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Einkauf" sheetId="2" state="visible" r:id="rId4"/>
    <sheet name="Szenarien" sheetId="3" state="visible" r:id="rId5"/>
    <sheet name="Artikel" sheetId="4" state="visible" r:id="rId6"/>
    <sheet name="Parameter" sheetId="5" state="visible" r:id="rId7"/>
    <sheet name="Neue Artikel" sheetId="6" state="visible" r:id="rId8"/>
    <sheet name="Gebinde-Kategorie" sheetId="7" state="visible" r:id="rId9"/>
    <sheet name="Liftbericht" sheetId="8" state="visible" r:id="rId10"/>
    <sheet name="Anleitung" sheetId="9" state="visible" r:id="rId11"/>
  </sheets>
  <definedNames>
    <definedName function="false" hidden="true" localSheetId="3" name="_xlnm._FilterDatabase" vbProcedure="false">Artikel!$A$6:$BQ$1843</definedName>
    <definedName function="false" hidden="false" localSheetId="0" name="_xlnm.Print_Area" vbProcedure="false">Cockpit!$A$1:$S$70</definedName>
    <definedName function="false" hidden="false" localSheetId="2" name="_xlnm.Print_Area" vbProcedure="false">Szenarien!$A$1:$P$45</definedName>
    <definedName function="false" hidden="false" name="A_FACH" vbProcedure="false">Artikel!$CR$7:$CR$1843</definedName>
    <definedName function="false" hidden="false" name="A_FINF" vbProcedure="false">Artikel!$CI$7:$CI$1843</definedName>
    <definedName function="false" hidden="false" name="A_FINN" vbProcedure="false">Artikel!$CO$7:$CO$1843</definedName>
    <definedName function="false" hidden="false" name="A_FINV" vbProcedure="false">Artikel!$CJ$7:$CJ$1843</definedName>
    <definedName function="false" hidden="false" name="A_GPT" vbProcedure="false">Artikel!$R$7:$R$1843</definedName>
    <definedName function="false" hidden="false" name="A_HPT" vbProcedure="false">Artikel!$CC$7:$CC$1843</definedName>
    <definedName function="false" hidden="false" name="A_IST" vbProcedure="false">Artikel!$H$7:$H$1843</definedName>
    <definedName function="false" hidden="false" name="A_ISTN" vbProcedure="false">Artikel!$CN$7:$CN$1843</definedName>
    <definedName function="false" hidden="false" name="A_KAPR" vbProcedure="false">Artikel!$X$7:$X$1843</definedName>
    <definedName function="false" hidden="false" name="A_LA" vbProcedure="false">Artikel!$CE$7:$CE$1843</definedName>
    <definedName function="false" hidden="false" name="A_LGN" vbProcedure="false">Artikel!$CM$7:$CM$1843</definedName>
    <definedName function="false" hidden="false" name="A_LIFT" vbProcedure="false">Artikel!$CF$7:$CF$1843</definedName>
    <definedName function="false" hidden="false" name="A_LOSE" vbProcedure="false">Artikel!$CA$7:$CA$1843</definedName>
    <definedName function="false" hidden="false" name="A_LUO" vbProcedure="false">Artikel!$CH$7:$CH$1843</definedName>
    <definedName function="false" hidden="false" name="A_MBLG" vbProcedure="false">Artikel!$CK$7:$CK$1843</definedName>
    <definedName function="false" hidden="false" name="A_MBN" vbProcedure="false">Artikel!$CL$7:$CL$1843</definedName>
    <definedName function="false" hidden="false" name="A_MPG_E" vbProcedure="false">Artikel!$BZ$7:$BZ$1843</definedName>
    <definedName function="false" hidden="false" name="A_PREIS" vbProcedure="false">Artikel!$G$7:$G$1843</definedName>
    <definedName function="false" hidden="false" name="A_VERB" vbProcedure="false">Artikel!$J$7:$J$1843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<sst xmlns="http://schemas.openxmlformats.org/spreadsheetml/2006/main" count="13034" uniqueCount="3248">
  <si>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</si>
  <si>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</si>
  <si>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</si>
  <si>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</si>
  <si>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</si>
  <si>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</si>
  <si>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</si>
  <si>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</si>
  <si>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B – Ziel-LU</t>
  </si>
  <si>
    <t xml:space="preserve">Ziel-LU</t>
  </si>
  <si>
    <t xml:space="preserve">(bei A ohne Wirkung)</t>
  </si>
  <si>
    <t xml:space="preserve">Bereich</t>
  </si>
  <si>
    <t xml:space="preserve">Höhe belegt mm</t>
  </si>
  <si>
    <t xml:space="preserve">Lifthöhe mm</t>
  </si>
  <si>
    <t xml:space="preserve">Tablare (Anzahl)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</si>
  <si>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</si>
  <si>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</si>
  <si>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</si>
  <si>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</si>
  <si>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</si>
  <si>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</si>
  <si>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</si>
  <si>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</si>
  <si>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</si>
  <si>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</si>
  <si>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</si>
  <si>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(mm Lifthöhe)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</si>
  <si>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</si>
  <si>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</si>
  <si>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</si>
  <si>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</si>
  <si>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</si>
  <si>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</si>
  <si>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</si>
  <si>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</si>
  <si>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Höhe mm je Lift</t>
  </si>
  <si>
    <t xml:space="preserve">aus Gebinden (Stammdaten)</t>
  </si>
  <si>
    <t xml:space="preserve">Fächer lt. Liftbericht</t>
  </si>
  <si>
    <t xml:space="preserve">lose (grob 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</si>
  <si>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</si>
  <si>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</si>
  <si>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</si>
  <si>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</si>
  <si>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</si>
  <si>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</si>
  <si>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</si>
  <si>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</si>
  <si>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Einkauf – Artikel zum Geradebiegen</t>
  </si>
  <si>
    <t xml:space="preserve">Lift-Artikel mit Bestand, bewertet nach Platz im Lift, Lagerwert und Umschlag. Priorität = Perzentil Platz + Perzentil Wert + (1 − Perzentil LU), 0 bis 3 – je höher, desto dringender. Abbaupotenzial = (Ist − Ziel-Ø) × Preis.</t>
  </si>
  <si>
    <t xml:space="preserve">Kommentare/Entscheide bitte im Blatt «Artikel» (MAX final, Ziel-LU Artikel, Kommentar Diskussion) erfassen.</t>
  </si>
  <si>
    <t xml:space="preserve">Sortieren nach</t>
  </si>
  <si>
    <t xml:space="preserve">Kombiniert (Platz + Wert + tiefer LU)</t>
  </si>
  <si>
    <t xml:space="preserve">Lift-Artikel mit Bestand</t>
  </si>
  <si>
    <t xml:space="preserve">davon Umschlag &lt; 1</t>
  </si>
  <si>
    <t xml:space="preserve">Lagerwert dieser Artikel</t>
  </si>
  <si>
    <t xml:space="preserve">Abbaupotenzial gesamt CHF</t>
  </si>
  <si>
    <t xml:space="preserve">Platz frei bei Ziel-LU ≈ mm</t>
  </si>
  <si>
    <t xml:space="preserve">Top 50: Anteil am Abbaupotenzial</t>
  </si>
  <si>
    <t xml:space="preserve">Ziel-LU (für Ziel-Ø / Abbau)</t>
  </si>
  <si>
    <t xml:space="preserve">Rang</t>
  </si>
  <si>
    <t xml:space="preserve">Artikel</t>
  </si>
  <si>
    <t xml:space="preserve">Bezeichnung</t>
  </si>
  <si>
    <t xml:space="preserve">Lift</t>
  </si>
  <si>
    <t xml:space="preserve">Gebinde</t>
  </si>
  <si>
    <t xml:space="preserve">Ist-Bestand</t>
  </si>
  <si>
    <t xml:space="preserve">Verbrauch 12 M</t>
  </si>
  <si>
    <t xml:space="preserve">IST-LU</t>
  </si>
  <si>
    <t xml:space="preserve">Ist-Wert CHF</t>
  </si>
  <si>
    <t xml:space="preserve">Platz Ist mm</t>
  </si>
  <si>
    <t xml:space="preserve">≈ Tablare</t>
  </si>
  <si>
    <t xml:space="preserve">Priorität (0–3)</t>
  </si>
  <si>
    <t xml:space="preserve">Ziel-Ø</t>
  </si>
  <si>
    <t xml:space="preserve">Abbaupotenzial CHF</t>
  </si>
  <si>
    <t xml:space="preserve">Platz frei ≈ mm</t>
  </si>
  <si>
    <t xml:space="preserve">Ursache / Aktion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</si>
  <si>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</si>
  <si>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</si>
  <si>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</si>
  <si>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</si>
  <si>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</si>
  <si>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</si>
  <si>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</si>
  <si>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</si>
  <si>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mm</t>
  </si>
  <si>
    <t xml:space="preserve">Lagerwert CHF</t>
  </si>
  <si>
    <t xml:space="preserve">Δ zum Ist CHF</t>
  </si>
  <si>
    <t xml:space="preserve">Δ zum Ist mm</t>
  </si>
  <si>
    <t xml:space="preserve">Lift 1 mm</t>
  </si>
  <si>
    <t xml:space="preserve">Lift 2 mm</t>
  </si>
  <si>
    <t xml:space="preserve">Lift 3 mm</t>
  </si>
  <si>
    <t xml:space="preserve">Aussen manuell mm</t>
  </si>
  <si>
    <t xml:space="preserve">–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</si>
  <si>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</si>
  <si>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</si>
  <si>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</si>
  <si>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</si>
  <si>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</si>
  <si>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</si>
  <si>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</si>
  <si>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</si>
  <si>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</si>
  <si>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</si>
  <si>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06.10.2026.</t>
  </si>
  <si>
    <t xml:space="preserve">Hilfsspalten (nicht ändern)</t>
  </si>
  <si>
    <t xml:space="preserve">Artikelnummer</t>
  </si>
  <si>
    <t xml:space="preserve">Status</t>
  </si>
  <si>
    <t xml:space="preserve">Hauptlager</t>
  </si>
  <si>
    <t xml:space="preserve">Lager in Zukunft</t>
  </si>
  <si>
    <t xml:space="preserve">ABC</t>
  </si>
  <si>
    <t xml:space="preserve">Preis CHF</t>
  </si>
  <si>
    <t xml:space="preserve">Verbrauch 12 Monate</t>
  </si>
  <si>
    <t xml:space="preserve">Ø-Bestand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</si>
  <si>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</si>
  <si>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</si>
  <si>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</si>
  <si>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</si>
  <si>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</si>
  <si>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</si>
  <si>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</si>
  <si>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Schätzklasse lose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</si>
  <si>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</si>
  <si>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</si>
  <si>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</si>
  <si>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</si>
  <si>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</si>
  <si>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ausgeglichen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</si>
  <si>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</si>
  <si>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</si>
  <si>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</si>
  <si>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</si>
  <si>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</si>
  <si>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</si>
  <si>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</si>
  <si>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</si>
  <si>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</si>
  <si>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Höhe mm</t>
  </si>
  <si>
    <t xml:space="preserve">A1 Ø-Bestand</t>
  </si>
  <si>
    <t xml:space="preserve">A1 Wert CHF (Ø)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</si>
  <si>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</si>
  <si>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</si>
  <si>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</si>
  <si>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</si>
  <si>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</si>
  <si>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</si>
  <si>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</si>
  <si>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Höhe mm</t>
  </si>
  <si>
    <t xml:space="preserve">A2 Ø-Bestand</t>
  </si>
  <si>
    <t xml:space="preserve">A2 Wert CHF (Ø)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</si>
  <si>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</si>
  <si>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</si>
  <si>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</si>
  <si>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</si>
  <si>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</si>
  <si>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</si>
  <si>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</si>
  <si>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Höhe mm</t>
  </si>
  <si>
    <t xml:space="preserve">A3 Ø-Bestand</t>
  </si>
  <si>
    <t xml:space="preserve">A3 Wert CHF (Ø)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</si>
  <si>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</si>
  <si>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</si>
  <si>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</si>
  <si>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</si>
  <si>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</si>
  <si>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</si>
  <si>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</si>
  <si>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</si>
  <si>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</si>
  <si>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</si>
  <si>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</si>
  <si>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</si>
  <si>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</si>
  <si>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</si>
  <si>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</si>
  <si>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</si>
  <si>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</si>
  <si>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</si>
  <si>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</si>
  <si>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</si>
  <si>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</si>
  <si>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Gebinde geschätzt (1/0)</t>
  </si>
  <si>
    <t xml:space="preserve">Höhe je Tablar mm</t>
  </si>
  <si>
    <t xml:space="preserve">Liftregel (LiZ/Hauptlager)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</si>
  <si>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</si>
  <si>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</si>
  <si>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</si>
  <si>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</si>
  <si>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</si>
  <si>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</si>
  <si>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</si>
  <si>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MB (Zahl)</t>
  </si>
  <si>
    <t xml:space="preserve">LG (Zahl)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</si>
  <si>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</si>
  <si>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</si>
  <si>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</si>
  <si>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</si>
  <si>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</si>
  <si>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Einkauf: Höhe Ist mm</t>
  </si>
  <si>
    <t xml:space="preserve">Einkauf: IST-LU</t>
  </si>
  <si>
    <t xml:space="preserve">Einkauf: Ist-Wert</t>
  </si>
  <si>
    <t xml:space="preserve">Einkauf: Ziel-Ø</t>
  </si>
  <si>
    <t xml:space="preserve">Einkauf: Abbaupotenzial CHF</t>
  </si>
  <si>
    <t xml:space="preserve">Einkauf: Platz frei mm</t>
  </si>
  <si>
    <t xml:space="preserve">Einkauf: Priorität (0–3)</t>
  </si>
  <si>
    <t xml:space="preserve">Einkauf: Sortierschlüssel</t>
  </si>
  <si>
    <t xml:space="preserve">101749</t>
  </si>
  <si>
    <t xml:space="preserve">Austrittsdüse</t>
  </si>
  <si>
    <t xml:space="preserve">F</t>
  </si>
  <si>
    <t xml:space="preserve">LIFT1</t>
  </si>
  <si>
    <t xml:space="preserve">Kardex Schwer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</si>
  <si>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</si>
  <si>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</si>
  <si>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</si>
  <si>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</si>
  <si>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</si>
  <si>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</si>
  <si>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</si>
  <si>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</si>
  <si>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</si>
  <si>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</si>
  <si>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</si>
  <si>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</si>
  <si>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Mittel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</si>
  <si>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</si>
  <si>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</si>
  <si>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</si>
  <si>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</si>
  <si>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</si>
  <si>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Kardex Kleinteil</t>
  </si>
  <si>
    <t xml:space="preserve">S61</t>
  </si>
  <si>
    <t xml:space="preserve">106185_MAT</t>
  </si>
  <si>
    <t xml:space="preserve">Rohmaterial zu 106185</t>
  </si>
  <si>
    <t xml:space="preserve">Gross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</si>
  <si>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</si>
  <si>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</si>
  <si>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</si>
  <si>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</si>
  <si>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</si>
  <si>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</si>
  <si>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</si>
  <si>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</si>
  <si>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</si>
  <si>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</si>
  <si>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</si>
  <si>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</si>
  <si>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</si>
  <si>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</si>
  <si>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</si>
  <si>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</si>
  <si>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</si>
  <si>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</si>
  <si>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</si>
  <si>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</si>
  <si>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</si>
  <si>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</si>
  <si>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</si>
  <si>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</si>
  <si>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</si>
  <si>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</si>
  <si>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</si>
  <si>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</si>
  <si>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</si>
  <si>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</si>
  <si>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</si>
  <si>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</si>
  <si>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</si>
  <si>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</si>
  <si>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</si>
  <si>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</si>
  <si>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</si>
  <si>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</si>
  <si>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</si>
  <si>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</si>
  <si>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</si>
  <si>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</si>
  <si>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</si>
  <si>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</si>
  <si>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</si>
  <si>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</si>
  <si>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</si>
  <si>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</si>
  <si>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</si>
  <si>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</si>
  <si>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</si>
  <si>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</si>
  <si>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</si>
  <si>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</si>
  <si>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</si>
  <si>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</si>
  <si>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</si>
  <si>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</si>
  <si>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</si>
  <si>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</si>
  <si>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</si>
  <si>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</si>
  <si>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</si>
  <si>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</si>
  <si>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</si>
  <si>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</si>
  <si>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</si>
  <si>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</si>
  <si>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</si>
  <si>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</si>
  <si>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</si>
  <si>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</si>
  <si>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</si>
  <si>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</si>
  <si>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</si>
  <si>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</si>
  <si>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</si>
  <si>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</si>
  <si>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</si>
  <si>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</si>
  <si>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</si>
  <si>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</si>
  <si>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</si>
  <si>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</si>
  <si>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</si>
  <si>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Klein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</si>
  <si>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</si>
  <si>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</si>
  <si>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</si>
  <si>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</si>
  <si>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</si>
  <si>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</si>
  <si>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</si>
  <si>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</si>
  <si>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</si>
  <si>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</si>
  <si>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</si>
  <si>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</si>
  <si>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</si>
  <si>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</si>
  <si>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</si>
  <si>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</si>
  <si>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</si>
  <si>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</si>
  <si>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</si>
  <si>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</si>
  <si>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</si>
  <si>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</si>
  <si>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</si>
  <si>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</si>
  <si>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</si>
  <si>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</si>
  <si>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</si>
  <si>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</si>
  <si>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</si>
  <si>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</si>
  <si>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</si>
  <si>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</si>
  <si>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</si>
  <si>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</si>
  <si>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</si>
  <si>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</si>
  <si>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</si>
  <si>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</si>
  <si>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</si>
  <si>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</si>
  <si>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</si>
  <si>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</si>
  <si>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</si>
  <si>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</si>
  <si>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</si>
  <si>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</si>
  <si>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</si>
  <si>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</si>
  <si>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</si>
  <si>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</si>
  <si>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</si>
  <si>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</si>
  <si>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</si>
  <si>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</si>
  <si>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</si>
  <si>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</si>
  <si>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</si>
  <si>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</si>
  <si>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</si>
  <si>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</si>
  <si>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</si>
  <si>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</si>
  <si>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</si>
  <si>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</si>
  <si>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</si>
  <si>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</si>
  <si>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</si>
  <si>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</si>
  <si>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</si>
  <si>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</si>
  <si>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</si>
  <si>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</si>
  <si>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</si>
  <si>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</si>
  <si>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</si>
  <si>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</si>
  <si>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</si>
  <si>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</si>
  <si>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</si>
  <si>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</si>
  <si>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</si>
  <si>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</si>
  <si>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</si>
  <si>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</si>
  <si>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</si>
  <si>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</si>
  <si>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</si>
  <si>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</si>
  <si>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</si>
  <si>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</si>
  <si>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</si>
  <si>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</si>
  <si>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</si>
  <si>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</si>
  <si>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Kisten Leer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</si>
  <si>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</si>
  <si>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</si>
  <si>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</si>
  <si>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</si>
  <si>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</si>
  <si>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</si>
  <si>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</si>
  <si>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</si>
  <si>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</si>
  <si>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</si>
  <si>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</si>
  <si>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</si>
  <si>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</si>
  <si>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</si>
  <si>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</si>
  <si>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</si>
  <si>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</si>
  <si>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</si>
  <si>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</si>
  <si>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</si>
  <si>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</si>
  <si>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</si>
  <si>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</si>
  <si>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</si>
  <si>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</si>
  <si>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</si>
  <si>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</si>
  <si>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</si>
  <si>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</si>
  <si>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</si>
  <si>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</si>
  <si>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</si>
  <si>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</si>
  <si>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</si>
  <si>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</si>
  <si>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</si>
  <si>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</si>
  <si>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</si>
  <si>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</si>
  <si>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</si>
  <si>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</si>
  <si>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</si>
  <si>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</si>
  <si>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</si>
  <si>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</si>
  <si>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</si>
  <si>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</si>
  <si>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</si>
  <si>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</si>
  <si>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</si>
  <si>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</si>
  <si>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</si>
  <si>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</si>
  <si>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</si>
  <si>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</si>
  <si>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</si>
  <si>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</si>
  <si>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</si>
  <si>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</si>
  <si>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</si>
  <si>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</si>
  <si>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</si>
  <si>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</si>
  <si>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</si>
  <si>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</si>
  <si>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</si>
  <si>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</si>
  <si>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</si>
  <si>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</si>
  <si>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</si>
  <si>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</si>
  <si>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</si>
  <si>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</si>
  <si>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</si>
  <si>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</si>
  <si>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</si>
  <si>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</si>
  <si>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</si>
  <si>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</si>
  <si>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</si>
  <si>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</si>
  <si>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</si>
  <si>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</si>
  <si>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</si>
  <si>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</si>
  <si>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</si>
  <si>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</si>
  <si>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</si>
  <si>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</si>
  <si>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</si>
  <si>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</si>
  <si>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</si>
  <si>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</si>
  <si>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</si>
  <si>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Verpackungsmaterial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</si>
  <si>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</si>
  <si>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</si>
  <si>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</si>
  <si>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</si>
  <si>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</si>
  <si>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</si>
  <si>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</si>
  <si>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</si>
  <si>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</si>
  <si>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</si>
  <si>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</si>
  <si>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</si>
  <si>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</si>
  <si>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</si>
  <si>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</si>
  <si>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</si>
  <si>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</si>
  <si>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</si>
  <si>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</si>
  <si>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</si>
  <si>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</si>
  <si>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</si>
  <si>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</si>
  <si>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</si>
  <si>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</si>
  <si>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</si>
  <si>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</si>
  <si>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</si>
  <si>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</si>
  <si>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</si>
  <si>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</si>
  <si>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</si>
  <si>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</si>
  <si>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</si>
  <si>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</si>
  <si>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</si>
  <si>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</si>
  <si>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</si>
  <si>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</si>
  <si>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</si>
  <si>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</si>
  <si>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</si>
  <si>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</si>
  <si>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</si>
  <si>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</si>
  <si>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</si>
  <si>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</si>
  <si>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</si>
  <si>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</si>
  <si>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</si>
  <si>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</si>
  <si>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</si>
  <si>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</si>
  <si>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</si>
  <si>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</si>
  <si>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</si>
  <si>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</si>
  <si>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</si>
  <si>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</si>
  <si>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</si>
  <si>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</si>
  <si>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</si>
  <si>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</si>
  <si>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</si>
  <si>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</si>
  <si>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</si>
  <si>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</si>
  <si>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</si>
  <si>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</si>
  <si>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</si>
  <si>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</si>
  <si>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</si>
  <si>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</si>
  <si>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</si>
  <si>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</si>
  <si>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</si>
  <si>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</si>
  <si>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</si>
  <si>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</si>
  <si>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</si>
  <si>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</si>
  <si>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</si>
  <si>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</si>
  <si>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</si>
  <si>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</si>
  <si>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</si>
  <si>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</si>
  <si>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</si>
  <si>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</si>
  <si>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</si>
  <si>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</si>
  <si>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</si>
  <si>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</si>
  <si>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</si>
  <si>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</si>
  <si>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</si>
  <si>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</si>
  <si>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</si>
  <si>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</si>
  <si>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</si>
  <si>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</si>
  <si>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</si>
  <si>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</si>
  <si>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</si>
  <si>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</si>
  <si>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</si>
  <si>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</si>
  <si>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</si>
  <si>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</si>
  <si>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</si>
  <si>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</si>
  <si>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</si>
  <si>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</si>
  <si>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</si>
  <si>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</si>
  <si>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</si>
  <si>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</si>
  <si>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</si>
  <si>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</si>
  <si>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</si>
  <si>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</si>
  <si>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</si>
  <si>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</si>
  <si>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</si>
  <si>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</si>
  <si>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</si>
  <si>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</si>
  <si>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</si>
  <si>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</si>
  <si>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</si>
  <si>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</si>
  <si>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</si>
  <si>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</si>
  <si>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</si>
  <si>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</si>
  <si>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</si>
  <si>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</si>
  <si>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</si>
  <si>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</si>
  <si>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</si>
  <si>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</si>
  <si>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</si>
  <si>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</si>
  <si>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</si>
  <si>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</si>
  <si>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</si>
  <si>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</si>
  <si>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</si>
  <si>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</si>
  <si>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</si>
  <si>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</si>
  <si>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</si>
  <si>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</si>
  <si>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</si>
  <si>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</si>
  <si>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</si>
  <si>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</si>
  <si>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</si>
  <si>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</si>
  <si>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</si>
  <si>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</si>
  <si>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</si>
  <si>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</si>
  <si>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</si>
  <si>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</si>
  <si>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</si>
  <si>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</si>
  <si>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</si>
  <si>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</si>
  <si>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</si>
  <si>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</si>
  <si>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</si>
  <si>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</si>
  <si>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</si>
  <si>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</si>
  <si>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</si>
  <si>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</si>
  <si>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</si>
  <si>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</si>
  <si>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</si>
  <si>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</si>
  <si>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</si>
  <si>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</si>
  <si>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</si>
  <si>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</si>
  <si>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</si>
  <si>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</si>
  <si>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</si>
  <si>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</si>
  <si>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</si>
  <si>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</si>
  <si>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</si>
  <si>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</si>
  <si>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</si>
  <si>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</si>
  <si>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</si>
  <si>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</si>
  <si>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</si>
  <si>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</si>
  <si>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</si>
  <si>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</si>
  <si>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</si>
  <si>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</si>
  <si>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</si>
  <si>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</si>
  <si>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</si>
  <si>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</si>
  <si>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</si>
  <si>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</si>
  <si>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</si>
  <si>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</si>
  <si>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</si>
  <si>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</si>
  <si>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</si>
  <si>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</si>
  <si>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</si>
  <si>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</si>
  <si>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</si>
  <si>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</si>
  <si>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</si>
  <si>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</si>
  <si>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</si>
  <si>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</si>
  <si>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</si>
  <si>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</si>
  <si>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</si>
  <si>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</si>
  <si>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</si>
  <si>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</si>
  <si>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</si>
  <si>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</si>
  <si>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</si>
  <si>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</si>
  <si>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</si>
  <si>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</si>
  <si>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</si>
  <si>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</si>
  <si>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</si>
  <si>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</si>
  <si>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</si>
  <si>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</si>
  <si>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</si>
  <si>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</si>
  <si>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</si>
  <si>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</si>
  <si>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</si>
  <si>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</si>
  <si>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</si>
  <si>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</si>
  <si>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</si>
  <si>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</si>
  <si>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</si>
  <si>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</si>
  <si>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</si>
  <si>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</si>
  <si>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</si>
  <si>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</si>
  <si>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</si>
  <si>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</si>
  <si>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</si>
  <si>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</si>
  <si>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</si>
  <si>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</si>
  <si>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</si>
  <si>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</si>
  <si>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</si>
  <si>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</si>
  <si>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</si>
  <si>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</si>
  <si>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</si>
  <si>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</si>
  <si>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</si>
  <si>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</si>
  <si>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</si>
  <si>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</si>
  <si>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</si>
  <si>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</si>
  <si>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</si>
  <si>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</si>
  <si>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</si>
  <si>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</si>
  <si>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</si>
  <si>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</si>
  <si>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</si>
  <si>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</si>
  <si>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</si>
  <si>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</si>
  <si>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</si>
  <si>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</si>
  <si>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</si>
  <si>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</si>
  <si>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</si>
  <si>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</si>
  <si>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</si>
  <si>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</si>
  <si>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</si>
  <si>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</si>
  <si>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</si>
  <si>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</si>
  <si>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</si>
  <si>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</si>
  <si>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</si>
  <si>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</si>
  <si>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</si>
  <si>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</si>
  <si>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</si>
  <si>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</si>
  <si>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</si>
  <si>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</si>
  <si>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</si>
  <si>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</si>
  <si>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</si>
  <si>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</si>
  <si>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</si>
  <si>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</si>
  <si>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</si>
  <si>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</si>
  <si>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</si>
  <si>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</si>
  <si>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</si>
  <si>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</si>
  <si>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</si>
  <si>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</si>
  <si>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</si>
  <si>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</si>
  <si>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</si>
  <si>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</si>
  <si>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</si>
  <si>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</si>
  <si>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</si>
  <si>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</si>
  <si>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</si>
  <si>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</si>
  <si>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</si>
  <si>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</si>
  <si>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</si>
  <si>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</si>
  <si>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</si>
  <si>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</si>
  <si>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</si>
  <si>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</si>
  <si>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</si>
  <si>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</si>
  <si>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</si>
  <si>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</si>
  <si>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</si>
  <si>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</si>
  <si>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</si>
  <si>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</si>
  <si>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</si>
  <si>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</si>
  <si>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</si>
  <si>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</si>
  <si>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</si>
  <si>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</si>
  <si>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</si>
  <si>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</si>
  <si>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</si>
  <si>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</si>
  <si>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</si>
  <si>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</si>
  <si>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</si>
  <si>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</si>
  <si>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</si>
  <si>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</si>
  <si>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</si>
  <si>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</si>
  <si>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</si>
  <si>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</si>
  <si>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</si>
  <si>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</si>
  <si>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</si>
  <si>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</si>
  <si>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</si>
  <si>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</si>
  <si>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</si>
  <si>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</si>
  <si>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</si>
  <si>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</si>
  <si>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</si>
  <si>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</si>
  <si>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</si>
  <si>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</si>
  <si>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</si>
  <si>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</si>
  <si>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</si>
  <si>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</si>
  <si>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</si>
  <si>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</si>
  <si>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</si>
  <si>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</si>
  <si>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</si>
  <si>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</si>
  <si>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</si>
  <si>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</si>
  <si>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</si>
  <si>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</si>
  <si>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</si>
  <si>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</si>
  <si>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</si>
  <si>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</si>
  <si>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</si>
  <si>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</si>
  <si>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</si>
  <si>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</si>
  <si>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</si>
  <si>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</si>
  <si>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</si>
  <si>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</si>
  <si>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</si>
  <si>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</si>
  <si>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</si>
  <si>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</si>
  <si>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</si>
  <si>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</si>
  <si>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</si>
  <si>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</si>
  <si>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</si>
  <si>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</si>
  <si>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</si>
  <si>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</si>
  <si>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</si>
  <si>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</si>
  <si>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</si>
  <si>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</si>
  <si>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</si>
  <si>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</si>
  <si>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</si>
  <si>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</si>
  <si>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</si>
  <si>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</si>
  <si>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</si>
  <si>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</si>
  <si>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</si>
  <si>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</si>
  <si>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</si>
  <si>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</si>
  <si>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</si>
  <si>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</si>
  <si>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</si>
  <si>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</si>
  <si>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</si>
  <si>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</si>
  <si>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</si>
  <si>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</si>
  <si>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</si>
  <si>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</si>
  <si>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</si>
  <si>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</si>
  <si>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</si>
  <si>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</si>
  <si>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</si>
  <si>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</si>
  <si>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</si>
  <si>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</si>
  <si>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</si>
  <si>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</si>
  <si>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</si>
  <si>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</si>
  <si>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</si>
  <si>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</si>
  <si>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</si>
  <si>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</si>
  <si>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</si>
  <si>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</si>
  <si>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</si>
  <si>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</si>
  <si>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</si>
  <si>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</si>
  <si>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</si>
  <si>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</si>
  <si>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</si>
  <si>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</si>
  <si>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</si>
  <si>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</si>
  <si>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</si>
  <si>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</si>
  <si>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</si>
  <si>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</si>
  <si>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</si>
  <si>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</si>
  <si>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</si>
  <si>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</si>
  <si>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</si>
  <si>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</si>
  <si>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</si>
  <si>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</si>
  <si>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</si>
  <si>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</si>
  <si>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</si>
  <si>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</si>
  <si>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</si>
  <si>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</si>
  <si>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</si>
  <si>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</si>
  <si>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</si>
  <si>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</si>
  <si>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</si>
  <si>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</si>
  <si>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</si>
  <si>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</si>
  <si>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</si>
  <si>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</si>
  <si>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</si>
  <si>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</si>
  <si>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</si>
  <si>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</si>
  <si>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</si>
  <si>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</si>
  <si>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</si>
  <si>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</si>
  <si>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</si>
  <si>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</si>
  <si>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</si>
  <si>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</si>
  <si>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</si>
  <si>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</si>
  <si>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</si>
  <si>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</si>
  <si>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</si>
  <si>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</si>
  <si>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</si>
  <si>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</si>
  <si>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</si>
  <si>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</si>
  <si>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</si>
  <si>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</si>
  <si>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</si>
  <si>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</si>
  <si>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</si>
  <si>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</si>
  <si>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</si>
  <si>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</si>
  <si>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</si>
  <si>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</si>
  <si>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</si>
  <si>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</si>
  <si>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</si>
  <si>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</si>
  <si>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</si>
  <si>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</si>
  <si>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</si>
  <si>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</si>
  <si>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</si>
  <si>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</si>
  <si>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</si>
  <si>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</si>
  <si>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</si>
  <si>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</si>
  <si>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</si>
  <si>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</si>
  <si>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</si>
  <si>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</si>
  <si>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</si>
  <si>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</si>
  <si>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</si>
  <si>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</si>
  <si>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</si>
  <si>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</si>
  <si>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</si>
  <si>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</si>
  <si>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</si>
  <si>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</si>
  <si>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</si>
  <si>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</si>
  <si>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</si>
  <si>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</si>
  <si>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</si>
  <si>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</si>
  <si>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</si>
  <si>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</si>
  <si>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</si>
  <si>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</si>
  <si>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</si>
  <si>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</si>
  <si>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</si>
  <si>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</si>
  <si>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</si>
  <si>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</si>
  <si>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</si>
  <si>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</si>
  <si>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</si>
  <si>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</si>
  <si>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</si>
  <si>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</si>
  <si>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</si>
  <si>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</si>
  <si>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</si>
  <si>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</si>
  <si>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</si>
  <si>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</si>
  <si>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</si>
  <si>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</si>
  <si>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</si>
  <si>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</si>
  <si>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</si>
  <si>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</si>
  <si>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</si>
  <si>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</si>
  <si>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</si>
  <si>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</si>
  <si>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</si>
  <si>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</si>
  <si>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</si>
  <si>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</si>
  <si>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</si>
  <si>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</si>
  <si>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</si>
  <si>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</si>
  <si>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</si>
  <si>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</si>
  <si>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</si>
  <si>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</si>
  <si>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</si>
  <si>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</si>
  <si>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</si>
  <si>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</si>
  <si>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</si>
  <si>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</si>
  <si>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</si>
  <si>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</si>
  <si>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</si>
  <si>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</si>
  <si>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</si>
  <si>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</si>
  <si>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</si>
  <si>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</si>
  <si>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</si>
  <si>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</si>
  <si>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</si>
  <si>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</si>
  <si>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</si>
  <si>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</si>
  <si>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</si>
  <si>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</si>
  <si>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</si>
  <si>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</si>
  <si>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</si>
  <si>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</si>
  <si>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</si>
  <si>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</si>
  <si>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</si>
  <si>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</si>
  <si>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</si>
  <si>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</si>
  <si>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</si>
  <si>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</si>
  <si>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</si>
  <si>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</si>
  <si>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</si>
  <si>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</si>
  <si>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</si>
  <si>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</si>
  <si>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</si>
  <si>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</si>
  <si>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</si>
  <si>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</si>
  <si>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</si>
  <si>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</si>
  <si>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</si>
  <si>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</si>
  <si>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</si>
  <si>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</si>
  <si>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</si>
  <si>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</si>
  <si>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</si>
  <si>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</si>
  <si>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</si>
  <si>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</si>
  <si>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</si>
  <si>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</si>
  <si>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</si>
  <si>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</si>
  <si>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</si>
  <si>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</si>
  <si>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</si>
  <si>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</si>
  <si>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</si>
  <si>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</si>
  <si>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</si>
  <si>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</si>
  <si>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</si>
  <si>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</si>
  <si>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</si>
  <si>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</si>
  <si>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</si>
  <si>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</si>
  <si>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</si>
  <si>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</si>
  <si>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</si>
  <si>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</si>
  <si>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</si>
  <si>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</si>
  <si>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</si>
  <si>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</si>
  <si>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</si>
  <si>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</si>
  <si>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</si>
  <si>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</si>
  <si>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</si>
  <si>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</si>
  <si>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</si>
  <si>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</si>
  <si>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</si>
  <si>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</si>
  <si>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</si>
  <si>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</si>
  <si>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</si>
  <si>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</si>
  <si>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</si>
  <si>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</si>
  <si>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</si>
  <si>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</si>
  <si>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</si>
  <si>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</si>
  <si>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</si>
  <si>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</si>
  <si>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</si>
  <si>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</si>
  <si>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</si>
  <si>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</si>
  <si>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</si>
  <si>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</si>
  <si>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</si>
  <si>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</si>
  <si>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</si>
  <si>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</si>
  <si>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</si>
  <si>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</si>
  <si>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</si>
  <si>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</si>
  <si>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</si>
  <si>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</si>
  <si>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</si>
  <si>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</si>
  <si>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</si>
  <si>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</si>
  <si>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</si>
  <si>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</si>
  <si>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</si>
  <si>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</si>
  <si>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</si>
  <si>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</si>
  <si>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</si>
  <si>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</si>
  <si>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</si>
  <si>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</si>
  <si>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</si>
  <si>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</si>
  <si>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</si>
  <si>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</si>
  <si>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</si>
  <si>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</si>
  <si>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</si>
  <si>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</si>
  <si>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</si>
  <si>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</si>
  <si>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</si>
  <si>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</si>
  <si>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</si>
  <si>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</si>
  <si>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</si>
  <si>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</si>
  <si>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</si>
  <si>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</si>
  <si>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</si>
  <si>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</si>
  <si>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</si>
  <si>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</si>
  <si>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</si>
  <si>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</si>
  <si>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</si>
  <si>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</si>
  <si>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</si>
  <si>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</si>
  <si>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</si>
  <si>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</si>
  <si>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</si>
  <si>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</si>
  <si>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</si>
  <si>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</si>
  <si>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</si>
  <si>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</si>
  <si>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</si>
  <si>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</si>
  <si>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</si>
  <si>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</si>
  <si>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</si>
  <si>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</si>
  <si>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</si>
  <si>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</si>
  <si>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</si>
  <si>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</si>
  <si>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</si>
  <si>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</si>
  <si>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</si>
  <si>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</si>
  <si>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</si>
  <si>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</si>
  <si>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</si>
  <si>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</si>
  <si>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</si>
  <si>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</si>
  <si>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</si>
  <si>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</si>
  <si>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</si>
  <si>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</si>
  <si>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</si>
  <si>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</si>
  <si>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</si>
  <si>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</si>
  <si>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</si>
  <si>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</si>
  <si>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</si>
  <si>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</si>
  <si>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</si>
  <si>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</si>
  <si>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</si>
  <si>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</si>
  <si>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</si>
  <si>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</si>
  <si>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</si>
  <si>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</si>
  <si>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</si>
  <si>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</si>
  <si>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</si>
  <si>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</si>
  <si>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</si>
  <si>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</si>
  <si>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</si>
  <si>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</si>
  <si>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</si>
  <si>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</si>
  <si>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</si>
  <si>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</si>
  <si>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</si>
  <si>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</si>
  <si>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</si>
  <si>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</si>
  <si>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</si>
  <si>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</si>
  <si>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</si>
  <si>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</si>
  <si>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</si>
  <si>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</si>
  <si>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</si>
  <si>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</si>
  <si>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</si>
  <si>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</si>
  <si>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</si>
  <si>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</si>
  <si>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</si>
  <si>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</si>
  <si>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</si>
  <si>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</si>
  <si>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</si>
  <si>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</si>
  <si>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</si>
  <si>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</si>
  <si>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</si>
  <si>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</si>
  <si>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</si>
  <si>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</si>
  <si>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</si>
  <si>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</si>
  <si>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</si>
  <si>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</si>
  <si>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</si>
  <si>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</si>
  <si>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</si>
  <si>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</si>
  <si>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</si>
  <si>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</si>
  <si>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</si>
  <si>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</si>
  <si>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</si>
  <si>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</si>
  <si>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</si>
  <si>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</si>
  <si>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</si>
  <si>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</si>
  <si>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</si>
  <si>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</si>
  <si>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</si>
  <si>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</si>
  <si>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</si>
  <si>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</si>
  <si>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</si>
  <si>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</si>
  <si>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</si>
  <si>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</si>
  <si>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</si>
  <si>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</si>
  <si>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</si>
  <si>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</si>
  <si>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</si>
  <si>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</si>
  <si>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</si>
  <si>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</si>
  <si>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</si>
  <si>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</si>
  <si>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</si>
  <si>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</si>
  <si>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</si>
  <si>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</si>
  <si>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</si>
  <si>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</si>
  <si>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</si>
  <si>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</si>
  <si>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</si>
  <si>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</si>
  <si>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</si>
  <si>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</si>
  <si>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</si>
  <si>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</si>
  <si>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</si>
  <si>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</si>
  <si>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</si>
  <si>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</si>
  <si>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</si>
  <si>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</si>
  <si>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</si>
  <si>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</si>
  <si>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</si>
  <si>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</si>
  <si>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</si>
  <si>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</si>
  <si>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</si>
  <si>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</si>
  <si>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</si>
  <si>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</si>
  <si>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</si>
  <si>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</si>
  <si>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</si>
  <si>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</si>
  <si>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</si>
  <si>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</si>
  <si>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</si>
  <si>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</si>
  <si>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</si>
  <si>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</si>
  <si>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</si>
  <si>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Steuerschrank &amp; Gestell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</si>
  <si>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</si>
  <si>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</si>
  <si>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</si>
  <si>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</si>
  <si>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</si>
  <si>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</si>
  <si>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</si>
  <si>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</si>
  <si>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</si>
  <si>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</si>
  <si>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</si>
  <si>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</si>
  <si>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</si>
  <si>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</si>
  <si>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</si>
  <si>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</si>
  <si>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</si>
  <si>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</si>
  <si>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</si>
  <si>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</si>
  <si>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</si>
  <si>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</si>
  <si>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</si>
  <si>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</si>
  <si>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</si>
  <si>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</si>
  <si>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</si>
  <si>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</si>
  <si>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</si>
  <si>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</si>
  <si>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</si>
  <si>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</si>
  <si>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</si>
  <si>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</si>
  <si>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</si>
  <si>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</si>
  <si>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</si>
  <si>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</si>
  <si>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</si>
  <si>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</si>
  <si>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</si>
  <si>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</si>
  <si>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</si>
  <si>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</si>
  <si>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</si>
  <si>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</si>
  <si>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</si>
  <si>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</si>
  <si>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</si>
  <si>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</si>
  <si>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</si>
  <si>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</si>
  <si>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</si>
  <si>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</si>
  <si>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</si>
  <si>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</si>
  <si>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</si>
  <si>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</si>
  <si>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</si>
  <si>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</si>
  <si>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</si>
  <si>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</si>
  <si>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</si>
  <si>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</si>
  <si>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</si>
  <si>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</si>
  <si>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</si>
  <si>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</si>
  <si>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</si>
  <si>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</si>
  <si>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SVC Verpackung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</si>
  <si>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</si>
  <si>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</si>
  <si>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</si>
  <si>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</si>
  <si>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</si>
  <si>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</si>
  <si>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</si>
  <si>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</si>
  <si>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</si>
  <si>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</si>
  <si>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</si>
  <si>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</si>
  <si>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</si>
  <si>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</si>
  <si>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</si>
  <si>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</si>
  <si>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</si>
  <si>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</si>
  <si>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</si>
  <si>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</si>
  <si>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</si>
  <si>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</si>
  <si>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</si>
  <si>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</si>
  <si>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</si>
  <si>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</si>
  <si>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</si>
  <si>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</si>
  <si>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</si>
  <si>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</si>
  <si>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</si>
  <si>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</si>
  <si>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</si>
  <si>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</si>
  <si>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</si>
  <si>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</si>
  <si>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</si>
  <si>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</si>
  <si>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</si>
  <si>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</si>
  <si>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</si>
  <si>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</si>
  <si>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</si>
  <si>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</si>
  <si>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</si>
  <si>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</si>
  <si>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</si>
  <si>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</si>
  <si>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</si>
  <si>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</si>
  <si>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</si>
  <si>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</si>
  <si>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</si>
  <si>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</si>
  <si>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</si>
  <si>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</si>
  <si>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</si>
  <si>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</si>
  <si>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</si>
  <si>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</si>
  <si>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</si>
  <si>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</si>
  <si>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</si>
  <si>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</si>
  <si>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</si>
  <si>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</si>
  <si>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</si>
  <si>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</si>
  <si>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</si>
  <si>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</si>
  <si>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</si>
  <si>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</si>
  <si>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</si>
  <si>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</si>
  <si>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</si>
  <si>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</si>
  <si>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</si>
  <si>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</si>
  <si>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</si>
  <si>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</si>
  <si>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</si>
  <si>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</si>
  <si>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</si>
  <si>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</si>
  <si>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</si>
  <si>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</si>
  <si>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</si>
  <si>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</si>
  <si>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</si>
  <si>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</si>
  <si>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</si>
  <si>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</si>
  <si>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</si>
  <si>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</si>
  <si>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</si>
  <si>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</si>
  <si>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</si>
  <si>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</si>
  <si>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</si>
  <si>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</si>
  <si>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</si>
  <si>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</si>
  <si>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</si>
  <si>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</si>
  <si>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</si>
  <si>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</si>
  <si>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</si>
  <si>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</si>
  <si>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</si>
  <si>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</si>
  <si>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</si>
  <si>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</si>
  <si>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</si>
  <si>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</si>
  <si>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</si>
  <si>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</si>
  <si>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</si>
  <si>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</si>
  <si>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</si>
  <si>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</si>
  <si>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</si>
  <si>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</si>
  <si>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</si>
  <si>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</si>
  <si>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</si>
  <si>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</si>
  <si>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</si>
  <si>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</si>
  <si>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</si>
  <si>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</si>
  <si>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</si>
  <si>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</si>
  <si>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</si>
  <si>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</si>
  <si>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</si>
  <si>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</si>
  <si>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</si>
  <si>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</si>
  <si>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</si>
  <si>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</si>
  <si>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</si>
  <si>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</si>
  <si>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</si>
  <si>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</si>
  <si>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</si>
  <si>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</si>
  <si>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</si>
  <si>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</si>
  <si>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</si>
  <si>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</si>
  <si>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</si>
  <si>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</si>
  <si>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</si>
  <si>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</si>
  <si>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</si>
  <si>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</si>
  <si>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</si>
  <si>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</si>
  <si>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</si>
  <si>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</si>
  <si>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</si>
  <si>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</si>
  <si>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</si>
  <si>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</si>
  <si>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</si>
  <si>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</si>
  <si>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</si>
  <si>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</si>
  <si>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</si>
  <si>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</si>
  <si>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</si>
  <si>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</si>
  <si>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</si>
  <si>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</si>
  <si>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</si>
  <si>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</si>
  <si>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</si>
  <si>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</si>
  <si>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</si>
  <si>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</si>
  <si>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</si>
  <si>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</si>
  <si>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</si>
  <si>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</si>
  <si>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</si>
  <si>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</si>
  <si>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</si>
  <si>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</si>
  <si>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</si>
  <si>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</si>
  <si>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</si>
  <si>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</si>
  <si>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</si>
  <si>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</si>
  <si>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</si>
  <si>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</si>
  <si>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</si>
  <si>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</si>
  <si>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</si>
  <si>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</si>
  <si>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</si>
  <si>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</si>
  <si>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</si>
  <si>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</si>
  <si>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</si>
  <si>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</si>
  <si>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</si>
  <si>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</si>
  <si>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</si>
  <si>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</si>
  <si>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</si>
  <si>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</si>
  <si>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</si>
  <si>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</si>
  <si>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</si>
  <si>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</si>
  <si>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</si>
  <si>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</si>
  <si>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</si>
  <si>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</si>
  <si>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</si>
  <si>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</si>
  <si>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</si>
  <si>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</si>
  <si>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</si>
  <si>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</si>
  <si>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</si>
  <si>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</si>
  <si>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</si>
  <si>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</si>
  <si>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</si>
  <si>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</si>
  <si>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</si>
  <si>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</si>
  <si>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</si>
  <si>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</si>
  <si>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</si>
  <si>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</si>
  <si>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</si>
  <si>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</si>
  <si>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</si>
  <si>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</si>
  <si>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</si>
  <si>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</si>
  <si>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</si>
  <si>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</si>
  <si>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</si>
  <si>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</si>
  <si>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</si>
  <si>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</si>
  <si>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</si>
  <si>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</si>
  <si>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</si>
  <si>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</si>
  <si>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</si>
  <si>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</si>
  <si>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</si>
  <si>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</si>
  <si>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</si>
  <si>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</si>
  <si>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</si>
  <si>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</si>
  <si>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</si>
  <si>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</si>
  <si>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</si>
  <si>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</si>
  <si>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</si>
  <si>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</si>
  <si>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</si>
  <si>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</si>
  <si>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</si>
  <si>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</si>
  <si>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</si>
  <si>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</si>
  <si>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</si>
  <si>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</si>
  <si>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</si>
  <si>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</si>
  <si>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</si>
  <si>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</si>
  <si>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</si>
  <si>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</si>
  <si>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</si>
  <si>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</si>
  <si>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</si>
  <si>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</si>
  <si>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</si>
  <si>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</si>
  <si>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</si>
  <si>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</si>
  <si>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</si>
  <si>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</si>
  <si>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</si>
  <si>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</si>
  <si>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</si>
  <si>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</si>
  <si>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</si>
  <si>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</si>
  <si>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</si>
  <si>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</si>
  <si>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</si>
  <si>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</si>
  <si>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</si>
  <si>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</si>
  <si>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</si>
  <si>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</si>
  <si>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</si>
  <si>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</si>
  <si>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</si>
  <si>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</si>
  <si>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</si>
  <si>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</si>
  <si>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</si>
  <si>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</si>
  <si>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</si>
  <si>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</si>
  <si>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</si>
  <si>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</si>
  <si>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</si>
  <si>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</si>
  <si>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</si>
  <si>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</si>
  <si>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</si>
  <si>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</si>
  <si>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</si>
  <si>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</si>
  <si>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</si>
  <si>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</si>
  <si>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</si>
  <si>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</si>
  <si>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</si>
  <si>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</si>
  <si>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</si>
  <si>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</si>
  <si>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</si>
  <si>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</si>
  <si>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</si>
  <si>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</si>
  <si>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</si>
  <si>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</si>
  <si>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</si>
  <si>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</si>
  <si>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</si>
  <si>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</si>
  <si>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</si>
  <si>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</si>
  <si>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</si>
  <si>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</si>
  <si>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</si>
  <si>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</si>
  <si>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</si>
  <si>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</si>
  <si>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</si>
  <si>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</si>
  <si>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</si>
  <si>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</si>
  <si>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</si>
  <si>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</si>
  <si>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</si>
  <si>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</si>
  <si>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</si>
  <si>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</si>
  <si>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</si>
  <si>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</si>
  <si>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</si>
  <si>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</si>
  <si>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</si>
  <si>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</si>
  <si>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</si>
  <si>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</si>
  <si>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</si>
  <si>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</si>
  <si>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</si>
  <si>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</si>
  <si>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</si>
  <si>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</si>
  <si>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</si>
  <si>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</si>
  <si>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</si>
  <si>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</si>
  <si>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</si>
  <si>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</si>
  <si>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</si>
  <si>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</si>
  <si>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</si>
  <si>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</si>
  <si>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</si>
  <si>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</si>
  <si>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</si>
  <si>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</si>
  <si>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</si>
  <si>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</si>
  <si>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</si>
  <si>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</si>
  <si>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</si>
  <si>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</si>
  <si>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</si>
  <si>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</si>
  <si>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</si>
  <si>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</si>
  <si>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</si>
  <si>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</si>
  <si>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</si>
  <si>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</si>
  <si>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</si>
  <si>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</si>
  <si>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</si>
  <si>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</si>
  <si>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</si>
  <si>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</si>
  <si>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</si>
  <si>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</si>
  <si>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</si>
  <si>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</si>
  <si>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</si>
  <si>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</si>
  <si>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</si>
  <si>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</si>
  <si>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</si>
  <si>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</si>
  <si>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</si>
  <si>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</si>
  <si>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</si>
  <si>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</si>
  <si>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</si>
  <si>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</si>
  <si>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</si>
  <si>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</si>
  <si>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</si>
  <si>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</si>
  <si>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</si>
  <si>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</si>
  <si>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</si>
  <si>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</si>
  <si>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</si>
  <si>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</si>
  <si>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</si>
  <si>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</si>
  <si>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</si>
  <si>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</si>
  <si>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</si>
  <si>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</si>
  <si>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</si>
  <si>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</si>
  <si>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</si>
  <si>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</si>
  <si>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</si>
  <si>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</si>
  <si>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</si>
  <si>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</si>
  <si>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</si>
  <si>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</si>
  <si>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</si>
  <si>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</si>
  <si>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</si>
  <si>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</si>
  <si>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</si>
  <si>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</si>
  <si>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</si>
  <si>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</si>
  <si>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</si>
  <si>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</si>
  <si>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</si>
  <si>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</si>
  <si>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</si>
  <si>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</si>
  <si>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</si>
  <si>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</si>
  <si>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</si>
  <si>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</si>
  <si>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</si>
  <si>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</si>
  <si>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</si>
  <si>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</si>
  <si>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</si>
  <si>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</si>
  <si>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</si>
  <si>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</si>
  <si>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</si>
  <si>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</si>
  <si>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</si>
  <si>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</si>
  <si>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</si>
  <si>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</si>
  <si>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</si>
  <si>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</si>
  <si>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</si>
  <si>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</si>
  <si>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</si>
  <si>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</si>
  <si>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</si>
  <si>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</si>
  <si>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</si>
  <si>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</si>
  <si>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</si>
  <si>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</si>
  <si>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</si>
  <si>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</si>
  <si>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</si>
  <si>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</si>
  <si>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</si>
  <si>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</si>
  <si>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</si>
  <si>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</si>
  <si>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</si>
  <si>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</si>
  <si>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</si>
  <si>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</si>
  <si>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</si>
  <si>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</si>
  <si>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</si>
  <si>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</si>
  <si>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</si>
  <si>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</si>
  <si>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</si>
  <si>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</si>
  <si>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</si>
  <si>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</si>
  <si>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</si>
  <si>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</si>
  <si>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</si>
  <si>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</si>
  <si>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</si>
  <si>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</si>
  <si>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</si>
  <si>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</si>
  <si>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</si>
  <si>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</si>
  <si>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</si>
  <si>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</si>
  <si>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</si>
  <si>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</si>
  <si>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</si>
  <si>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</si>
  <si>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</si>
  <si>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</si>
  <si>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</si>
  <si>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</si>
  <si>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</si>
  <si>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</si>
  <si>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</si>
  <si>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</si>
  <si>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</si>
  <si>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</si>
  <si>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</si>
  <si>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</si>
  <si>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</si>
  <si>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</si>
  <si>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</si>
  <si>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</si>
  <si>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</si>
  <si>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</si>
  <si>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</si>
  <si>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</si>
  <si>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</si>
  <si>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</si>
  <si>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</si>
  <si>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</si>
  <si>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</si>
  <si>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</si>
  <si>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</si>
  <si>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</si>
  <si>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</si>
  <si>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</si>
  <si>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</si>
  <si>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</si>
  <si>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</si>
  <si>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</si>
  <si>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</si>
  <si>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</si>
  <si>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</si>
  <si>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</si>
  <si>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</si>
  <si>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</si>
  <si>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</si>
  <si>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</si>
  <si>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</si>
  <si>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</si>
  <si>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</si>
  <si>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</si>
  <si>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</si>
  <si>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</si>
  <si>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</si>
  <si>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</si>
  <si>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</si>
  <si>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</si>
  <si>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</si>
  <si>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</si>
  <si>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</si>
  <si>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</si>
  <si>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</si>
  <si>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</si>
  <si>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</si>
  <si>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</si>
  <si>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</si>
  <si>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</si>
  <si>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</si>
  <si>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</si>
  <si>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</si>
  <si>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</si>
  <si>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</si>
  <si>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</si>
  <si>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</si>
  <si>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</si>
  <si>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</si>
  <si>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</si>
  <si>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</si>
  <si>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</si>
  <si>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</si>
  <si>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</si>
  <si>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</si>
  <si>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</si>
  <si>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</si>
  <si>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</si>
  <si>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</si>
  <si>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</si>
  <si>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</si>
  <si>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</si>
  <si>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</si>
  <si>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</si>
  <si>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</si>
  <si>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</si>
  <si>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</si>
  <si>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</si>
  <si>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</si>
  <si>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</si>
  <si>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</si>
  <si>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</si>
  <si>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</si>
  <si>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</si>
  <si>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</si>
  <si>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</si>
  <si>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</si>
  <si>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</si>
  <si>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</si>
  <si>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</si>
  <si>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</si>
  <si>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</si>
  <si>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</si>
  <si>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</si>
  <si>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</si>
  <si>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</si>
  <si>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</si>
  <si>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</si>
  <si>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</si>
  <si>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</si>
  <si>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</si>
  <si>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</si>
  <si>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</si>
  <si>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</si>
  <si>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</si>
  <si>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</si>
  <si>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</si>
  <si>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</si>
  <si>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</si>
  <si>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</si>
  <si>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</si>
  <si>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</si>
  <si>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</si>
  <si>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</si>
  <si>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</si>
  <si>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</si>
  <si>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</si>
  <si>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</si>
  <si>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</si>
  <si>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</si>
  <si>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</si>
  <si>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</si>
  <si>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</si>
  <si>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</si>
  <si>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</si>
  <si>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</si>
  <si>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</si>
  <si>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</si>
  <si>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</si>
  <si>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</si>
  <si>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</si>
  <si>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</si>
  <si>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</si>
  <si>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</si>
  <si>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</si>
  <si>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</si>
  <si>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</si>
  <si>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</si>
  <si>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</si>
  <si>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</si>
  <si>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</si>
  <si>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</si>
  <si>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</si>
  <si>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</si>
  <si>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</si>
  <si>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</si>
  <si>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</si>
  <si>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</si>
  <si>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</si>
  <si>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</si>
  <si>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</si>
  <si>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</si>
  <si>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</si>
  <si>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</si>
  <si>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</si>
  <si>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</si>
  <si>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</si>
  <si>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</si>
  <si>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</si>
  <si>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</si>
  <si>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</si>
  <si>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</si>
  <si>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</si>
  <si>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</si>
  <si>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</si>
  <si>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</si>
  <si>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</si>
  <si>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</si>
  <si>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</si>
  <si>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</si>
  <si>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</si>
  <si>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</si>
  <si>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</si>
  <si>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</si>
  <si>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</si>
  <si>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</si>
  <si>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</si>
  <si>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</si>
  <si>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</si>
  <si>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</si>
  <si>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</si>
  <si>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</si>
  <si>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</si>
  <si>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</si>
  <si>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</si>
  <si>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</si>
  <si>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</si>
  <si>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</si>
  <si>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</si>
  <si>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</si>
  <si>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</si>
  <si>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</si>
  <si>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</si>
  <si>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</si>
  <si>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</si>
  <si>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</si>
  <si>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</si>
  <si>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</si>
  <si>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</si>
  <si>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</si>
  <si>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</si>
  <si>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</si>
  <si>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</si>
  <si>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</si>
  <si>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</si>
  <si>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</si>
  <si>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</si>
  <si>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</si>
  <si>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</si>
  <si>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</si>
  <si>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</si>
  <si>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</si>
  <si>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</si>
  <si>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</si>
  <si>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</si>
  <si>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</si>
  <si>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</si>
  <si>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</si>
  <si>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</si>
  <si>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</si>
  <si>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</si>
  <si>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</si>
  <si>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-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</si>
  <si>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</si>
  <si>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</si>
  <si>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</si>
  <si>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</si>
  <si>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</si>
  <si>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</si>
  <si>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</si>
  <si>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</si>
  <si>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</si>
  <si>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</si>
  <si>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</si>
  <si>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</si>
  <si>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</si>
  <si>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</si>
  <si>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</si>
  <si>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</si>
  <si>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</si>
  <si>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</si>
  <si>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</si>
  <si>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</si>
  <si>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</si>
  <si>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</si>
  <si>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</si>
  <si>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</si>
  <si>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</si>
  <si>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</si>
  <si>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</si>
  <si>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</si>
  <si>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</si>
  <si>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</si>
  <si>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</si>
  <si>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</si>
  <si>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</si>
  <si>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</si>
  <si>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</si>
  <si>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</si>
  <si>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</si>
  <si>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</si>
  <si>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</si>
  <si>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</si>
  <si>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</si>
  <si>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</si>
  <si>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</si>
  <si>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</si>
  <si>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</si>
  <si>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</si>
  <si>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</si>
  <si>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</si>
  <si>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</si>
  <si>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</si>
  <si>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</si>
  <si>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</si>
  <si>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</si>
  <si>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</si>
  <si>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</si>
  <si>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</si>
  <si>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</si>
  <si>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</si>
  <si>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</si>
  <si>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</si>
  <si>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</si>
  <si>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</si>
  <si>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</si>
  <si>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</si>
  <si>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</si>
  <si>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</si>
  <si>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</si>
  <si>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</si>
  <si>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</si>
  <si>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</si>
  <si>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</si>
  <si>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</si>
  <si>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</si>
  <si>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</si>
  <si>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</si>
  <si>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</si>
  <si>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</si>
  <si>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</si>
  <si>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</si>
  <si>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</si>
  <si>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</si>
  <si>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</si>
  <si>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</si>
  <si>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</si>
  <si>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</si>
  <si>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</si>
  <si>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</si>
  <si>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</si>
  <si>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</si>
  <si>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</si>
  <si>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</si>
  <si>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</si>
  <si>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</si>
  <si>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</si>
  <si>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</si>
  <si>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</si>
  <si>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</si>
  <si>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</si>
  <si>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</si>
  <si>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</si>
  <si>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</si>
  <si>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</si>
  <si>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</si>
  <si>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</si>
  <si>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</si>
  <si>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</si>
  <si>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</si>
  <si>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</si>
  <si>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</si>
  <si>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</si>
  <si>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</si>
  <si>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</si>
  <si>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</si>
  <si>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</si>
  <si>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</si>
  <si>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</si>
  <si>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</si>
  <si>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</si>
  <si>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</si>
  <si>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</si>
  <si>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</si>
  <si>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</si>
  <si>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</si>
  <si>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</si>
  <si>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</si>
  <si>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</si>
  <si>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</si>
  <si>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</si>
  <si>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</si>
  <si>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</si>
  <si>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</si>
  <si>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</si>
  <si>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</si>
  <si>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</si>
  <si>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</si>
  <si>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</si>
  <si>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</si>
  <si>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</si>
  <si>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</si>
  <si>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</si>
  <si>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</si>
  <si>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</si>
  <si>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</si>
  <si>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</si>
  <si>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</si>
  <si>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</si>
  <si>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</si>
  <si>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</si>
  <si>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</si>
  <si>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</si>
  <si>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</si>
  <si>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</si>
  <si>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</si>
  <si>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</si>
  <si>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</si>
  <si>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</si>
  <si>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</si>
  <si>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</si>
  <si>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</si>
  <si>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</si>
  <si>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</si>
  <si>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</si>
  <si>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</si>
  <si>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</si>
  <si>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</si>
  <si>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</si>
  <si>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</si>
  <si>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</si>
  <si>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</si>
  <si>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Kompressor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</si>
  <si>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</si>
  <si>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</si>
  <si>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</si>
  <si>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</si>
  <si>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</si>
  <si>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</si>
  <si>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</si>
  <si>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</si>
  <si>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</si>
  <si>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</si>
  <si>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</si>
  <si>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</si>
  <si>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</si>
  <si>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</si>
  <si>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</si>
  <si>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</si>
  <si>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</si>
  <si>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</si>
  <si>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</si>
  <si>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</si>
  <si>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</si>
  <si>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</si>
  <si>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</si>
  <si>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</si>
  <si>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</si>
  <si>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</si>
  <si>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</si>
  <si>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</si>
  <si>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</si>
  <si>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</si>
  <si>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</si>
  <si>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</si>
  <si>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</si>
  <si>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</si>
  <si>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</si>
  <si>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</si>
  <si>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</si>
  <si>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</si>
  <si>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</si>
  <si>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</si>
  <si>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</si>
  <si>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</si>
  <si>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</si>
  <si>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</si>
  <si>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</si>
  <si>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</si>
  <si>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</si>
  <si>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</si>
  <si>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</si>
  <si>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</si>
  <si>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</si>
  <si>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</si>
  <si>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</si>
  <si>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</si>
  <si>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</si>
  <si>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</si>
  <si>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</si>
  <si>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</si>
  <si>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</si>
  <si>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</si>
  <si>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</si>
  <si>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</si>
  <si>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</si>
  <si>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</si>
  <si>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</si>
  <si>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</si>
  <si>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</si>
  <si>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</si>
  <si>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</si>
  <si>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</si>
  <si>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</si>
  <si>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</si>
  <si>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</si>
  <si>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</si>
  <si>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</si>
  <si>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</si>
  <si>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</si>
  <si>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</si>
  <si>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</si>
  <si>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</si>
  <si>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</si>
  <si>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</si>
  <si>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</si>
  <si>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</si>
  <si>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</si>
  <si>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</si>
  <si>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</si>
  <si>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</si>
  <si>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</si>
  <si>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</si>
  <si>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</si>
  <si>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</si>
  <si>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</si>
  <si>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</si>
  <si>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</si>
  <si>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</si>
  <si>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</si>
  <si>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</si>
  <si>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</si>
  <si>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</si>
  <si>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</si>
  <si>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</si>
  <si>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</si>
  <si>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</si>
  <si>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</si>
  <si>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</si>
  <si>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</si>
  <si>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</si>
  <si>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</si>
  <si>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</si>
  <si>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</si>
  <si>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</si>
  <si>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</si>
  <si>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</si>
  <si>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</si>
  <si>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</si>
  <si>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</si>
  <si>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</si>
  <si>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</si>
  <si>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</si>
  <si>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</si>
  <si>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</si>
  <si>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</si>
  <si>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</si>
  <si>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</si>
  <si>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</si>
  <si>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</si>
  <si>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</si>
  <si>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</si>
  <si>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</si>
  <si>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</si>
  <si>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</si>
  <si>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</si>
  <si>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</si>
  <si>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</si>
  <si>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</si>
  <si>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</si>
  <si>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</si>
  <si>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</si>
  <si>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</si>
  <si>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</si>
  <si>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</si>
  <si>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</si>
  <si>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</si>
  <si>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</si>
  <si>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</si>
  <si>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</si>
  <si>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</si>
  <si>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001145</t>
  </si>
  <si>
    <t xml:space="preserve">Atemschutzmaske</t>
  </si>
  <si>
    <t xml:space="preserve">nur im Artikelstamm (Bestand 23.06.2026); Verb.Lager</t>
  </si>
  <si>
    <t xml:space="preserve">001167</t>
  </si>
  <si>
    <t xml:space="preserve">Einsteck Knarre</t>
  </si>
  <si>
    <t xml:space="preserve">nur im Artikelstamm (Bestand 23.06.2026); Überbestand</t>
  </si>
  <si>
    <t xml:space="preserve">002036</t>
  </si>
  <si>
    <t xml:space="preserve">Universalmesser</t>
  </si>
  <si>
    <t xml:space="preserve">nur im Artikelstamm (Bestand 23.06.2026)</t>
  </si>
  <si>
    <t xml:space="preserve">002050</t>
  </si>
  <si>
    <t xml:space="preserve">Gewindebohrer M16</t>
  </si>
  <si>
    <t xml:space="preserve">005090</t>
  </si>
  <si>
    <t xml:space="preserve">SPS Konverter MMI</t>
  </si>
  <si>
    <t xml:space="preserve">005092</t>
  </si>
  <si>
    <t xml:space="preserve">SPS Kabel zu MMI 3m</t>
  </si>
  <si>
    <t xml:space="preserve">005095</t>
  </si>
  <si>
    <t xml:space="preserve">SPS Erweiterungs-Modul</t>
  </si>
  <si>
    <t xml:space="preserve">005124</t>
  </si>
  <si>
    <t xml:space="preserve">Hilfskontakt zu LS</t>
  </si>
  <si>
    <t xml:space="preserve">005126</t>
  </si>
  <si>
    <t xml:space="preserve">Hilfskontakt AB 4P. zu K-Schütz</t>
  </si>
  <si>
    <t xml:space="preserve">005134</t>
  </si>
  <si>
    <t xml:space="preserve">Phönix DC Speisegerät 10A</t>
  </si>
  <si>
    <t xml:space="preserve">005135</t>
  </si>
  <si>
    <t xml:space="preserve">005137</t>
  </si>
  <si>
    <t xml:space="preserve">Schalter Kraus &amp; Naimer stand.</t>
  </si>
  <si>
    <t xml:space="preserve">005138</t>
  </si>
  <si>
    <t xml:space="preserve">Telemecanique Not-Aus Taster komplett</t>
  </si>
  <si>
    <t xml:space="preserve">005141</t>
  </si>
  <si>
    <t xml:space="preserve">Sicherungsklemme mit LED für 5x20</t>
  </si>
  <si>
    <t xml:space="preserve">005237</t>
  </si>
  <si>
    <t xml:space="preserve">005275</t>
  </si>
  <si>
    <t xml:space="preserve">Magnetspule Parker</t>
  </si>
  <si>
    <t xml:space="preserve">005340</t>
  </si>
  <si>
    <t xml:space="preserve">005353</t>
  </si>
  <si>
    <t xml:space="preserve">005368</t>
  </si>
  <si>
    <t xml:space="preserve">SPS USB-Schnittstellenadapter</t>
  </si>
  <si>
    <t xml:space="preserve">005399</t>
  </si>
  <si>
    <t xml:space="preserve">Pinsel klein/gross</t>
  </si>
  <si>
    <t xml:space="preserve">005404</t>
  </si>
  <si>
    <t xml:space="preserve">Sicherheits-Hilfsschütz</t>
  </si>
  <si>
    <t xml:space="preserve">005413</t>
  </si>
  <si>
    <t xml:space="preserve">005414</t>
  </si>
  <si>
    <t xml:space="preserve">Klemmbügel</t>
  </si>
  <si>
    <t xml:space="preserve">005416</t>
  </si>
  <si>
    <t xml:space="preserve">005436</t>
  </si>
  <si>
    <t xml:space="preserve">Eingangsfilter Absperrventil DRS</t>
  </si>
  <si>
    <t xml:space="preserve">005438</t>
  </si>
  <si>
    <t xml:space="preserve">Filterscheibe DRS</t>
  </si>
  <si>
    <t xml:space="preserve">005550</t>
  </si>
  <si>
    <t xml:space="preserve">Filterscheibe BT2000</t>
  </si>
  <si>
    <t xml:space="preserve">005551</t>
  </si>
  <si>
    <t xml:space="preserve">Filterhülse BT2000</t>
  </si>
  <si>
    <t xml:space="preserve">005638</t>
  </si>
  <si>
    <t xml:space="preserve">Netzwerkkabel 2.0m</t>
  </si>
  <si>
    <t xml:space="preserve">005643</t>
  </si>
  <si>
    <t xml:space="preserve">Netzwerkkabel 20.0m</t>
  </si>
  <si>
    <t xml:space="preserve">005697</t>
  </si>
  <si>
    <t xml:space="preserve">Stromversorgung 230AC/24VDC</t>
  </si>
  <si>
    <t xml:space="preserve">005752</t>
  </si>
  <si>
    <t xml:space="preserve">Stecker komplett zu Heizpatrone</t>
  </si>
  <si>
    <t xml:space="preserve">005787</t>
  </si>
  <si>
    <t xml:space="preserve">Eingangsfilter komplett</t>
  </si>
  <si>
    <t xml:space="preserve">005802</t>
  </si>
  <si>
    <t xml:space="preserve">Schütz AB 100-K05DJ10</t>
  </si>
  <si>
    <t xml:space="preserve">005807</t>
  </si>
  <si>
    <t xml:space="preserve">nur im Artikelstamm (Bestand 23.06.2026); Handlager</t>
  </si>
  <si>
    <t xml:space="preserve">100344</t>
  </si>
  <si>
    <t xml:space="preserve">Kugelhahn O2</t>
  </si>
  <si>
    <t xml:space="preserve">100355</t>
  </si>
  <si>
    <t xml:space="preserve">102478</t>
  </si>
  <si>
    <t xml:space="preserve">nur im Artikelstamm (Bestand 23.06.2026); Twin</t>
  </si>
  <si>
    <t xml:space="preserve">102923</t>
  </si>
  <si>
    <t xml:space="preserve">Heizplatte</t>
  </si>
  <si>
    <t xml:space="preserve">103030</t>
  </si>
  <si>
    <t xml:space="preserve">103032</t>
  </si>
  <si>
    <t xml:space="preserve">Isolationsplatte</t>
  </si>
  <si>
    <t xml:space="preserve">103493</t>
  </si>
  <si>
    <t xml:space="preserve">Heizpatrone, spritzwassergeschützt</t>
  </si>
  <si>
    <t xml:space="preserve">103571</t>
  </si>
  <si>
    <t xml:space="preserve">Kartenleser USB 3.0</t>
  </si>
  <si>
    <t xml:space="preserve">104054</t>
  </si>
  <si>
    <t xml:space="preserve">Inbus Einsatz SW10</t>
  </si>
  <si>
    <t xml:space="preserve">104055</t>
  </si>
  <si>
    <t xml:space="preserve">Inbus Einsatz SW12</t>
  </si>
  <si>
    <t xml:space="preserve">104056</t>
  </si>
  <si>
    <t xml:space="preserve">Inbus Einsatz SW14</t>
  </si>
  <si>
    <t xml:space="preserve">105427</t>
  </si>
  <si>
    <t xml:space="preserve">Distanzring</t>
  </si>
  <si>
    <t xml:space="preserve">105852</t>
  </si>
  <si>
    <t xml:space="preserve">106216</t>
  </si>
  <si>
    <t xml:space="preserve">Aufhängung</t>
  </si>
  <si>
    <t xml:space="preserve">106365</t>
  </si>
  <si>
    <t xml:space="preserve">Temperaturfühler PT100, einschraubbar</t>
  </si>
  <si>
    <t xml:space="preserve">106439</t>
  </si>
  <si>
    <t xml:space="preserve">106440</t>
  </si>
  <si>
    <t xml:space="preserve">Brenngasblock</t>
  </si>
  <si>
    <t xml:space="preserve">106441</t>
  </si>
  <si>
    <t xml:space="preserve">106442</t>
  </si>
  <si>
    <t xml:space="preserve">106456</t>
  </si>
  <si>
    <t xml:space="preserve">nur im Artikelstamm (Bestand 23.06.2026); Neu</t>
  </si>
  <si>
    <t xml:space="preserve">106498</t>
  </si>
  <si>
    <t xml:space="preserve">Platte N2-Ablass komplett</t>
  </si>
  <si>
    <t xml:space="preserve">106537</t>
  </si>
  <si>
    <t xml:space="preserve">106553</t>
  </si>
  <si>
    <t xml:space="preserve">106568</t>
  </si>
  <si>
    <t xml:space="preserve">106740</t>
  </si>
  <si>
    <t xml:space="preserve">Druckreglerkabel</t>
  </si>
  <si>
    <t xml:space="preserve">106793</t>
  </si>
  <si>
    <t xml:space="preserve">Magnetventil Grundsockel</t>
  </si>
  <si>
    <t xml:space="preserve">106982</t>
  </si>
  <si>
    <t xml:space="preserve">Ethernet Switch, 5 TP-RJ45-Ports</t>
  </si>
  <si>
    <t xml:space="preserve">nur im Artikelstamm (Bestand 23.06.2026); B&amp;R</t>
  </si>
  <si>
    <t xml:space="preserve">106983</t>
  </si>
  <si>
    <t xml:space="preserve">Ethernet Switch, 8 TP-RJ45-Ports</t>
  </si>
  <si>
    <t xml:space="preserve">106987</t>
  </si>
  <si>
    <t xml:space="preserve">Innentemperaturregler</t>
  </si>
  <si>
    <t xml:space="preserve">106995</t>
  </si>
  <si>
    <t xml:space="preserve">Leitungsschutzschalter 10kA, 2-polig</t>
  </si>
  <si>
    <t xml:space="preserve">107210</t>
  </si>
  <si>
    <t xml:space="preserve">107366</t>
  </si>
  <si>
    <t xml:space="preserve">107615</t>
  </si>
  <si>
    <t xml:space="preserve">Scheibe Vertikale Aufhängung SPGr</t>
  </si>
  <si>
    <t xml:space="preserve">107643</t>
  </si>
  <si>
    <t xml:space="preserve">107649</t>
  </si>
  <si>
    <t xml:space="preserve">Leitungsschutzschalter 3P+N</t>
  </si>
  <si>
    <t xml:space="preserve">107651</t>
  </si>
  <si>
    <t xml:space="preserve">Lasche</t>
  </si>
  <si>
    <t xml:space="preserve">107689</t>
  </si>
  <si>
    <t xml:space="preserve">Honbürste DN16</t>
  </si>
  <si>
    <t xml:space="preserve">107690</t>
  </si>
  <si>
    <t xml:space="preserve">Honbürste DN20</t>
  </si>
  <si>
    <t xml:space="preserve">107794</t>
  </si>
  <si>
    <t xml:space="preserve">Sicherungsklemme</t>
  </si>
  <si>
    <t xml:space="preserve">107856</t>
  </si>
  <si>
    <t xml:space="preserve">SN-Schild Luftkompressor AC200</t>
  </si>
  <si>
    <t xml:space="preserve">108006</t>
  </si>
  <si>
    <t xml:space="preserve">108144</t>
  </si>
  <si>
    <t xml:space="preserve">108163</t>
  </si>
  <si>
    <t xml:space="preserve">Ersatzteilset für Druckregler HSD-U15</t>
  </si>
  <si>
    <t xml:space="preserve">108447</t>
  </si>
  <si>
    <t xml:space="preserve">Radialventilator 8-pol</t>
  </si>
  <si>
    <t xml:space="preserve">108490</t>
  </si>
  <si>
    <t xml:space="preserve">Anschweissstück Swagelok 10mm</t>
  </si>
  <si>
    <t xml:space="preserve">108505</t>
  </si>
  <si>
    <t xml:space="preserve">108537</t>
  </si>
  <si>
    <t xml:space="preserve">108645</t>
  </si>
  <si>
    <t xml:space="preserve">Drucktransmitterkabel SPC800 - VP</t>
  </si>
  <si>
    <t xml:space="preserve">108648</t>
  </si>
  <si>
    <t xml:space="preserve">Flexhon 320</t>
  </si>
  <si>
    <t xml:space="preserve">108649</t>
  </si>
  <si>
    <t xml:space="preserve">109188</t>
  </si>
  <si>
    <t xml:space="preserve">001037</t>
  </si>
  <si>
    <t xml:space="preserve">Schraubensicherung hochfest</t>
  </si>
  <si>
    <t xml:space="preserve">001198</t>
  </si>
  <si>
    <t xml:space="preserve">Ablösbare Markierungspunkte orange</t>
  </si>
  <si>
    <t xml:space="preserve">001201</t>
  </si>
  <si>
    <t xml:space="preserve">Holzkiste SPGr10 + SPC800 See</t>
  </si>
  <si>
    <t xml:space="preserve">001202</t>
  </si>
  <si>
    <t xml:space="preserve">Holzkiste SPGr16 + SPC800 See</t>
  </si>
  <si>
    <t xml:space="preserve">002059</t>
  </si>
  <si>
    <t xml:space="preserve">Windeisen</t>
  </si>
  <si>
    <t xml:space="preserve">002066</t>
  </si>
  <si>
    <t xml:space="preserve">Markierspray</t>
  </si>
  <si>
    <t xml:space="preserve">005041</t>
  </si>
  <si>
    <t xml:space="preserve">Ringwellschlauch O2/CH4</t>
  </si>
  <si>
    <t xml:space="preserve">005049</t>
  </si>
  <si>
    <t xml:space="preserve">005064</t>
  </si>
  <si>
    <t xml:space="preserve">005093</t>
  </si>
  <si>
    <t xml:space="preserve">SPS Kabel GT15 (GT16) zu Konverter</t>
  </si>
  <si>
    <t xml:space="preserve">005096</t>
  </si>
  <si>
    <t xml:space="preserve">SPS Analog-Modul</t>
  </si>
  <si>
    <t xml:space="preserve">005098</t>
  </si>
  <si>
    <t xml:space="preserve">JUMPFLEX Messumformer</t>
  </si>
  <si>
    <t xml:space="preserve">005099</t>
  </si>
  <si>
    <t xml:space="preserve">SPS RS485-Schnittstellenadapter</t>
  </si>
  <si>
    <t xml:space="preserve">005127</t>
  </si>
  <si>
    <t xml:space="preserve">Hilfsschütz AB 700-Kxxx 24VDC</t>
  </si>
  <si>
    <t xml:space="preserve">005146</t>
  </si>
  <si>
    <t xml:space="preserve">Reihenklemme gross</t>
  </si>
  <si>
    <t xml:space="preserve">005147</t>
  </si>
  <si>
    <t xml:space="preserve">Distanzplatte zu Reihenklemme gross</t>
  </si>
  <si>
    <t xml:space="preserve">005153</t>
  </si>
  <si>
    <t xml:space="preserve">005160</t>
  </si>
  <si>
    <t xml:space="preserve">005265</t>
  </si>
  <si>
    <t xml:space="preserve">005270</t>
  </si>
  <si>
    <t xml:space="preserve">Spulen-Montageset Parker</t>
  </si>
  <si>
    <t xml:space="preserve">005272</t>
  </si>
  <si>
    <t xml:space="preserve">PUR-PUR-Kabel</t>
  </si>
  <si>
    <t xml:space="preserve">nur im Artikelstamm (Bestand 23.06.2026); Überbestand; grosser Artikel &amp; nicht im KTL</t>
  </si>
  <si>
    <t xml:space="preserve">005301</t>
  </si>
  <si>
    <t xml:space="preserve">005382</t>
  </si>
  <si>
    <t xml:space="preserve">005408</t>
  </si>
  <si>
    <t xml:space="preserve">Magnetventil 4mm Spülluft</t>
  </si>
  <si>
    <t xml:space="preserve">005420</t>
  </si>
  <si>
    <t xml:space="preserve">005421</t>
  </si>
  <si>
    <t xml:space="preserve">005426</t>
  </si>
  <si>
    <t xml:space="preserve">Leitungsregler LM51</t>
  </si>
  <si>
    <t xml:space="preserve">005427</t>
  </si>
  <si>
    <t xml:space="preserve">005428</t>
  </si>
  <si>
    <t xml:space="preserve">005429</t>
  </si>
  <si>
    <t xml:space="preserve">005430</t>
  </si>
  <si>
    <t xml:space="preserve">005431</t>
  </si>
  <si>
    <t xml:space="preserve">005432</t>
  </si>
  <si>
    <t xml:space="preserve">Anschlussstück O2</t>
  </si>
  <si>
    <t xml:space="preserve">005433</t>
  </si>
  <si>
    <t xml:space="preserve">Anschlussstück CH4</t>
  </si>
  <si>
    <t xml:space="preserve">005434</t>
  </si>
  <si>
    <t xml:space="preserve">Anschlussstück N2</t>
  </si>
  <si>
    <t xml:space="preserve">005454</t>
  </si>
  <si>
    <t xml:space="preserve">005487</t>
  </si>
  <si>
    <t xml:space="preserve">Steuerkabel zu Drucksensoren</t>
  </si>
  <si>
    <t xml:space="preserve">005488</t>
  </si>
  <si>
    <t xml:space="preserve">Steuerkabel zu Blitzleuchte</t>
  </si>
  <si>
    <t xml:space="preserve">005493</t>
  </si>
  <si>
    <t xml:space="preserve">005494</t>
  </si>
  <si>
    <t xml:space="preserve">005547</t>
  </si>
  <si>
    <t xml:space="preserve">Drucktransmitter Wika O2</t>
  </si>
  <si>
    <t xml:space="preserve">005570</t>
  </si>
  <si>
    <t xml:space="preserve">Dichtung/CU</t>
  </si>
  <si>
    <t xml:space="preserve">005577</t>
  </si>
  <si>
    <t xml:space="preserve">Drucktransmitter Wika CH4</t>
  </si>
  <si>
    <t xml:space="preserve">005578</t>
  </si>
  <si>
    <t xml:space="preserve">Drucktransmitter Wika</t>
  </si>
  <si>
    <t xml:space="preserve">005579</t>
  </si>
  <si>
    <t xml:space="preserve">005591</t>
  </si>
  <si>
    <t xml:space="preserve">005598</t>
  </si>
  <si>
    <t xml:space="preserve">Telemecanique Taster / Lampe rot</t>
  </si>
  <si>
    <t xml:space="preserve">005600</t>
  </si>
  <si>
    <t xml:space="preserve">Zwillings-Aderendhülse isoliert</t>
  </si>
  <si>
    <t xml:space="preserve">005620</t>
  </si>
  <si>
    <t xml:space="preserve">Steuerkabel</t>
  </si>
  <si>
    <t xml:space="preserve">005630</t>
  </si>
  <si>
    <t xml:space="preserve">Aderendhülse in Streudose</t>
  </si>
  <si>
    <t xml:space="preserve">005653</t>
  </si>
  <si>
    <t xml:space="preserve">Blindstopfen mit Mutter</t>
  </si>
  <si>
    <t xml:space="preserve">005654</t>
  </si>
  <si>
    <t xml:space="preserve">Kabelverschraubung Progress</t>
  </si>
  <si>
    <t xml:space="preserve">005655</t>
  </si>
  <si>
    <t xml:space="preserve">005666</t>
  </si>
  <si>
    <t xml:space="preserve">005667</t>
  </si>
  <si>
    <t xml:space="preserve">005680</t>
  </si>
  <si>
    <t xml:space="preserve">Kranbahn-Stopper</t>
  </si>
  <si>
    <t xml:space="preserve">005685</t>
  </si>
  <si>
    <t xml:space="preserve">Adapter für Schlauchprüfung</t>
  </si>
  <si>
    <t xml:space="preserve">005718</t>
  </si>
  <si>
    <t xml:space="preserve">Vebindungsnippel</t>
  </si>
  <si>
    <t xml:space="preserve">005751</t>
  </si>
  <si>
    <t xml:space="preserve">005781</t>
  </si>
  <si>
    <t xml:space="preserve">Bolzenklemmen</t>
  </si>
  <si>
    <t xml:space="preserve">005800</t>
  </si>
  <si>
    <t xml:space="preserve">Gerade Aufschraubverschraubung</t>
  </si>
  <si>
    <t xml:space="preserve">005810</t>
  </si>
  <si>
    <t xml:space="preserve">005811</t>
  </si>
  <si>
    <t xml:space="preserve">100322</t>
  </si>
  <si>
    <t xml:space="preserve">100351</t>
  </si>
  <si>
    <t xml:space="preserve">Filterelementsatz für Filter Serien</t>
  </si>
  <si>
    <t xml:space="preserve">100373</t>
  </si>
  <si>
    <t xml:space="preserve">100396</t>
  </si>
  <si>
    <t xml:space="preserve">100425</t>
  </si>
  <si>
    <t xml:space="preserve">100685</t>
  </si>
  <si>
    <t xml:space="preserve">101491</t>
  </si>
  <si>
    <t xml:space="preserve">Hülse</t>
  </si>
  <si>
    <t xml:space="preserve">101519</t>
  </si>
  <si>
    <t xml:space="preserve">Quetschhülse</t>
  </si>
  <si>
    <t xml:space="preserve">101612</t>
  </si>
  <si>
    <t xml:space="preserve">Verdrahtungskanal</t>
  </si>
  <si>
    <t xml:space="preserve">103190</t>
  </si>
  <si>
    <t xml:space="preserve">Wagen komplett</t>
  </si>
  <si>
    <t xml:space="preserve">103498</t>
  </si>
  <si>
    <t xml:space="preserve">Zwischenplatte TwinXL</t>
  </si>
  <si>
    <t xml:space="preserve">103683</t>
  </si>
  <si>
    <t xml:space="preserve">Kranbahn-Profil (PB)</t>
  </si>
  <si>
    <t xml:space="preserve">103727</t>
  </si>
  <si>
    <t xml:space="preserve">103728</t>
  </si>
  <si>
    <t xml:space="preserve">103770</t>
  </si>
  <si>
    <t xml:space="preserve">Ablassbogen</t>
  </si>
  <si>
    <t xml:space="preserve">103787</t>
  </si>
  <si>
    <t xml:space="preserve">Druckregel-Strecke</t>
  </si>
  <si>
    <t xml:space="preserve">104246</t>
  </si>
  <si>
    <t xml:space="preserve">Klappe</t>
  </si>
  <si>
    <t xml:space="preserve">105259</t>
  </si>
  <si>
    <t xml:space="preserve">105347</t>
  </si>
  <si>
    <t xml:space="preserve">105373</t>
  </si>
  <si>
    <t xml:space="preserve">Blende Ø1.2 / M6</t>
  </si>
  <si>
    <t xml:space="preserve">105460</t>
  </si>
  <si>
    <t xml:space="preserve">GDS Flansch SPGr10</t>
  </si>
  <si>
    <t xml:space="preserve">105983</t>
  </si>
  <si>
    <t xml:space="preserve">GDS Flansch SPGr16</t>
  </si>
  <si>
    <t xml:space="preserve">106183</t>
  </si>
  <si>
    <t xml:space="preserve">SPGr16</t>
  </si>
  <si>
    <t xml:space="preserve">106582</t>
  </si>
  <si>
    <t xml:space="preserve">nur im Artikelstamm (Bestand 23.06.2026); grosser Artikel &amp; nicht im KTL</t>
  </si>
  <si>
    <t xml:space="preserve">106848</t>
  </si>
  <si>
    <t xml:space="preserve">107000</t>
  </si>
  <si>
    <t xml:space="preserve">Leuchtdrucktaster, 22 mm, rund</t>
  </si>
  <si>
    <t xml:space="preserve">107064</t>
  </si>
  <si>
    <t xml:space="preserve">107140</t>
  </si>
  <si>
    <t xml:space="preserve">Erdungskabel</t>
  </si>
  <si>
    <t xml:space="preserve">nur im Artikelstamm (Bestand 23.06.2026); Neu; nicht im KTL vorhanden</t>
  </si>
  <si>
    <t xml:space="preserve">107173</t>
  </si>
  <si>
    <t xml:space="preserve">Blende Ø1.3 / M6</t>
  </si>
  <si>
    <t xml:space="preserve">107412</t>
  </si>
  <si>
    <t xml:space="preserve">107414</t>
  </si>
  <si>
    <t xml:space="preserve">107674</t>
  </si>
  <si>
    <t xml:space="preserve">107738</t>
  </si>
  <si>
    <t xml:space="preserve">nur im Artikelstamm (Bestand 23.06.2026); Neuer Art.</t>
  </si>
  <si>
    <t xml:space="preserve">107955</t>
  </si>
  <si>
    <t xml:space="preserve">Hochdruck-Ganzmetallschlauch für Luft</t>
  </si>
  <si>
    <t xml:space="preserve">108448</t>
  </si>
  <si>
    <t xml:space="preserve">Ventilatorkabel mit Stecker 8-pol</t>
  </si>
  <si>
    <t xml:space="preserve">nur im Artikelstamm (Bestand 23.06.2026); nicht im KTL vorhanden</t>
  </si>
  <si>
    <t xml:space="preserve">108522</t>
  </si>
  <si>
    <t xml:space="preserve">108526</t>
  </si>
  <si>
    <t xml:space="preserve">108539</t>
  </si>
  <si>
    <t xml:space="preserve">108673</t>
  </si>
  <si>
    <t xml:space="preserve">Kabel</t>
  </si>
  <si>
    <t xml:space="preserve">108767</t>
  </si>
  <si>
    <t xml:space="preserve">108770</t>
  </si>
  <si>
    <t xml:space="preserve">108778</t>
  </si>
  <si>
    <t xml:space="preserve">108883</t>
  </si>
  <si>
    <t xml:space="preserve">109210</t>
  </si>
  <si>
    <t xml:space="preserve">109211</t>
  </si>
  <si>
    <t xml:space="preserve">ALT106813</t>
  </si>
  <si>
    <t xml:space="preserve">ALT106836</t>
  </si>
  <si>
    <t xml:space="preserve">MESSEGERAET SPGR16</t>
  </si>
  <si>
    <t xml:space="preserve">SPGr16 für Ausstellung</t>
  </si>
  <si>
    <t xml:space="preserve">104272</t>
  </si>
  <si>
    <t xml:space="preserve">TMV Spule O2, 100V - 110V</t>
  </si>
  <si>
    <t xml:space="preserve">104214</t>
  </si>
  <si>
    <t xml:space="preserve">TMV Spule CH4, 100V - 110V</t>
  </si>
  <si>
    <t xml:space="preserve">104273</t>
  </si>
  <si>
    <t xml:space="preserve">107069</t>
  </si>
  <si>
    <t xml:space="preserve">Rohr Anschweissstück DN80</t>
  </si>
  <si>
    <t xml:space="preserve">108503</t>
  </si>
  <si>
    <t xml:space="preserve">Steuerschrankkühlung EG101-DF</t>
  </si>
  <si>
    <t xml:space="preserve">102525</t>
  </si>
  <si>
    <t xml:space="preserve">107067</t>
  </si>
  <si>
    <t xml:space="preserve">104275</t>
  </si>
  <si>
    <t xml:space="preserve">TMV Spule O2, 230V</t>
  </si>
  <si>
    <t xml:space="preserve">109198</t>
  </si>
  <si>
    <t xml:space="preserve">107066</t>
  </si>
  <si>
    <t xml:space="preserve">005544</t>
  </si>
  <si>
    <t xml:space="preserve">108644</t>
  </si>
  <si>
    <t xml:space="preserve">108156</t>
  </si>
  <si>
    <t xml:space="preserve">Zwischenflansch SPGr16</t>
  </si>
  <si>
    <t xml:space="preserve">108766</t>
  </si>
  <si>
    <t xml:space="preserve">107068</t>
  </si>
  <si>
    <t xml:space="preserve">106908</t>
  </si>
  <si>
    <t xml:space="preserve">107617</t>
  </si>
  <si>
    <t xml:space="preserve">Holm Vertikale Aufhängung SPGr10</t>
  </si>
  <si>
    <t xml:space="preserve">103908</t>
  </si>
  <si>
    <t xml:space="preserve">Blinddeckel für Kessel, DN125 / PN16</t>
  </si>
  <si>
    <t xml:space="preserve">107748</t>
  </si>
  <si>
    <t xml:space="preserve">Systemleuchte LED</t>
  </si>
  <si>
    <t xml:space="preserve">107751</t>
  </si>
  <si>
    <t xml:space="preserve">Holm Vertikale Aufhängung SPGr16</t>
  </si>
  <si>
    <t xml:space="preserve">107752</t>
  </si>
  <si>
    <t xml:space="preserve">Träger Vertikale Aufhängung SPGr16</t>
  </si>
  <si>
    <t xml:space="preserve">103909</t>
  </si>
  <si>
    <t xml:space="preserve">Blinddeckel für Kessel, DN200 / PN6</t>
  </si>
  <si>
    <t xml:space="preserve">107618</t>
  </si>
  <si>
    <t xml:space="preserve">Träger Vertikale Aufhängung SPGr10</t>
  </si>
  <si>
    <t xml:space="preserve">103449</t>
  </si>
  <si>
    <t xml:space="preserve">005675</t>
  </si>
  <si>
    <t xml:space="preserve">108765</t>
  </si>
  <si>
    <t xml:space="preserve">002010</t>
  </si>
  <si>
    <t xml:space="preserve">Bolzenausdrehersatz</t>
  </si>
  <si>
    <t xml:space="preserve">107670</t>
  </si>
  <si>
    <t xml:space="preserve">Deckel SPGr10</t>
  </si>
  <si>
    <t xml:space="preserve">107841</t>
  </si>
  <si>
    <t xml:space="preserve">109092</t>
  </si>
  <si>
    <t xml:space="preserve">005564</t>
  </si>
  <si>
    <t xml:space="preserve">Vorfilter DRS komplett</t>
  </si>
  <si>
    <t xml:space="preserve">108546</t>
  </si>
  <si>
    <t xml:space="preserve">Miniatur-Leistungsschalter</t>
  </si>
  <si>
    <t xml:space="preserve">108547</t>
  </si>
  <si>
    <t xml:space="preserve">Leistungsschalter</t>
  </si>
  <si>
    <t xml:space="preserve">108548</t>
  </si>
  <si>
    <t xml:space="preserve">005315</t>
  </si>
  <si>
    <t xml:space="preserve">005388</t>
  </si>
  <si>
    <t xml:space="preserve">005111</t>
  </si>
  <si>
    <t xml:space="preserve">SPS Puffer-Batterie</t>
  </si>
  <si>
    <t xml:space="preserve">108271</t>
  </si>
  <si>
    <t xml:space="preserve">Wartungskleber AC215</t>
  </si>
  <si>
    <t xml:space="preserve">108874</t>
  </si>
  <si>
    <t xml:space="preserve">Einrastschildchen -A53.1</t>
  </si>
  <si>
    <t xml:space="preserve">002027</t>
  </si>
  <si>
    <t xml:space="preserve">107860</t>
  </si>
  <si>
    <t xml:space="preserve">Papierfiltereinsatz</t>
  </si>
  <si>
    <t xml:space="preserve">001196</t>
  </si>
  <si>
    <t xml:space="preserve">005136</t>
  </si>
  <si>
    <t xml:space="preserve">Schalter Siemens stand.</t>
  </si>
  <si>
    <t xml:space="preserve">nur im Artikelstamm (Bestand 23.06.2026); i.o</t>
  </si>
  <si>
    <t xml:space="preserve">005571</t>
  </si>
  <si>
    <t xml:space="preserve">Filtereinsatz F10</t>
  </si>
  <si>
    <t xml:space="preserve">107840</t>
  </si>
  <si>
    <t xml:space="preserve">107215</t>
  </si>
  <si>
    <t xml:space="preserve">108504</t>
  </si>
  <si>
    <t xml:space="preserve">Türpositionsschalter</t>
  </si>
  <si>
    <t xml:space="preserve">107712</t>
  </si>
  <si>
    <t xml:space="preserve">Local / Remote switch</t>
  </si>
  <si>
    <t xml:space="preserve">107299</t>
  </si>
  <si>
    <t xml:space="preserve">Bohrerset</t>
  </si>
  <si>
    <t xml:space="preserve">107452</t>
  </si>
  <si>
    <t xml:space="preserve">Taschenlampe 320 lm</t>
  </si>
  <si>
    <t xml:space="preserve">001140</t>
  </si>
  <si>
    <t xml:space="preserve">Ablösbare Markierungspunkte gelb</t>
  </si>
  <si>
    <t xml:space="preserve">005295</t>
  </si>
  <si>
    <t xml:space="preserve">Dichtscheibe zu Rohrverschraubung</t>
  </si>
  <si>
    <t xml:space="preserve">102898</t>
  </si>
  <si>
    <t xml:space="preserve">Sicherungsscheibe Nord-Lock X-series</t>
  </si>
  <si>
    <t xml:space="preserve">103440</t>
  </si>
  <si>
    <t xml:space="preserve">103539</t>
  </si>
  <si>
    <t xml:space="preserve">106135</t>
  </si>
  <si>
    <t xml:space="preserve">Dichtscheibe zu Adapter</t>
  </si>
  <si>
    <t xml:space="preserve">108189</t>
  </si>
  <si>
    <t xml:space="preserve">Typenschild AC215</t>
  </si>
  <si>
    <t xml:space="preserve">108190</t>
  </si>
  <si>
    <t xml:space="preserve">Typenschild SU42-2</t>
  </si>
  <si>
    <t xml:space="preserve">103441</t>
  </si>
  <si>
    <t xml:space="preserve">103442</t>
  </si>
  <si>
    <t xml:space="preserve">106932</t>
  </si>
  <si>
    <t xml:space="preserve">CompactFlash</t>
  </si>
  <si>
    <t xml:space="preserve">005425</t>
  </si>
  <si>
    <t xml:space="preserve">Gerade Einschraubverschraubung</t>
  </si>
  <si>
    <t xml:space="preserve">109072</t>
  </si>
  <si>
    <t xml:space="preserve">005356</t>
  </si>
  <si>
    <t xml:space="preserve">Eingangsadapter</t>
  </si>
  <si>
    <t xml:space="preserve">103396</t>
  </si>
  <si>
    <t xml:space="preserve">104057</t>
  </si>
  <si>
    <t xml:space="preserve">Inbus Einsatz SW8</t>
  </si>
  <si>
    <t xml:space="preserve">107127</t>
  </si>
  <si>
    <t xml:space="preserve">Blende Ø0.7 M10</t>
  </si>
  <si>
    <t xml:space="preserve">002034</t>
  </si>
  <si>
    <t xml:space="preserve">005298</t>
  </si>
  <si>
    <t xml:space="preserve">005422</t>
  </si>
  <si>
    <t xml:space="preserve">107005</t>
  </si>
  <si>
    <t xml:space="preserve">LED-Modul mit LED AC/DC 24V, weiss</t>
  </si>
  <si>
    <t xml:space="preserve">107006</t>
  </si>
  <si>
    <t xml:space="preserve">LED-Modul mit LED AC 230V weiss</t>
  </si>
  <si>
    <t xml:space="preserve">107743</t>
  </si>
  <si>
    <t xml:space="preserve">108427</t>
  </si>
  <si>
    <t xml:space="preserve">Halter Vertikale Aufhängung SPGr10</t>
  </si>
  <si>
    <t xml:space="preserve">108426</t>
  </si>
  <si>
    <t xml:space="preserve">Halter Vertikale Aufhängung SPGr16</t>
  </si>
  <si>
    <t xml:space="preserve">108768</t>
  </si>
  <si>
    <t xml:space="preserve">nur im Liftbericht (nicht im Kennzahlen-Auszug)</t>
  </si>
  <si>
    <t xml:space="preserve">NEU</t>
  </si>
  <si>
    <t xml:space="preserve">Parameter</t>
  </si>
  <si>
    <t xml:space="preserve">v4-oe</t>
  </si>
  <si>
    <t xml:space="preserve">Gelbe Felder dürfen geändert werden. Alles andere rechnet automatisch.</t>
  </si>
  <si>
    <t xml:space="preserve">Lagerlifte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</si>
  <si>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</si>
  <si>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</si>
  <si>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</si>
  <si>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</si>
  <si>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</si>
  <si>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</si>
  <si>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</si>
  <si>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</si>
  <si>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</si>
  <si>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</si>
  <si>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</si>
  <si>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</si>
  <si>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</si>
  <si>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</si>
  <si>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</si>
  <si>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</si>
  <si>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</si>
  <si>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</si>
  <si>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</si>
  <si>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</si>
  <si>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</si>
  <si>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</si>
  <si>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</si>
  <si>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</si>
  <si>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</si>
  <si>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</si>
  <si>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</si>
  <si>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</si>
  <si>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</si>
  <si>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</si>
  <si>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</si>
  <si>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</si>
  <si>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</si>
  <si>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Lager in Zukunft verwenden</t>
  </si>
  <si>
    <t xml:space="preserve">Ja</t>
  </si>
  <si>
    <t xml:space="preserve">Ja = Lift nach Spalte «Lager in Zukunft» (Tabelle I34). Leer = Regel nach Hauptlager.</t>
  </si>
  <si>
    <t xml:space="preserve">Ergänzt aus Artikelstamm (Bestand, nicht im Kennzahlen-Auszug)</t>
  </si>
  <si>
    <t xml:space="preserve">Ist-Bestand aus</t>
  </si>
  <si>
    <t xml:space="preserve">Jahresanfang 2025 + Export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</si>
  <si>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</si>
  <si>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</si>
  <si>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</si>
  <si>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</si>
  <si>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</si>
  <si>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</si>
  <si>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</si>
  <si>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Einkauf: Sortierung (nicht ändern)</t>
  </si>
  <si>
    <t xml:space="preserve">Gebinde je Tablar berechnen mit Tablarmass von Lift</t>
  </si>
  <si>
    <t xml:space="preserve">Zuschlag je Tablar (Tablarstärke + Zug) mm</t>
  </si>
  <si>
    <t xml:space="preserve">Grösste Lagerfläche</t>
  </si>
  <si>
    <t xml:space="preserve">Höhe je Tablar für lose Artikel mm (inkl. Zuschlag)</t>
  </si>
  <si>
    <t xml:space="preserve">Höchster Lagerwert</t>
  </si>
  <si>
    <t xml:space="preserve">Grobe Schätzung lose Artikel (ohne Gebinde, KTL/PAL)</t>
  </si>
  <si>
    <t xml:space="preserve">Tiefster Umschlag</t>
  </si>
  <si>
    <t xml:space="preserve">Klasse</t>
  </si>
  <si>
    <t xml:space="preserve">Schätz-Gebinde</t>
  </si>
  <si>
    <t xml:space="preserve">Typische Artikel</t>
  </si>
  <si>
    <t xml:space="preserve">Alle 3 Lifte mischen (gemeinsam beurteilen)</t>
  </si>
  <si>
    <t xml:space="preserve">Grösstes Abbaupotenzial</t>
  </si>
  <si>
    <t xml:space="preserve">Schrauben, Muttern, Kabel, Ventile, Sensoren, Etiketten … (Eurobox 400×300, 20 Stk)</t>
  </si>
  <si>
    <t xml:space="preserve">Ja = Lifte ausgeglichen befüllt (Spalte «Lift ausgeglichen»: Liftbericht bleibt in Lift 1, Trennbleche nur Lift 1/2, sonst so, dass Ist, B und C bei LU 3 möglichst gleichmässig verteilt sind); «Passt?» über die Summe aller 3 Lifte. Nein = Regel nach Gebinde.</t>
  </si>
  <si>
    <t xml:space="preserve">Panels, Gehäuse, Module, Schläuche, Sets, Service-Kits … (Eurobox 600×400, 4 Stk)</t>
  </si>
  <si>
    <t xml:space="preserve">Holzkisten, Rahmen, Rohre, Profile, Wagen, Kartons, Füllmaterial … (Trennblech 1200×800, 2 Stk)</t>
  </si>
  <si>
    <t xml:space="preserve">Platzbedarf rechnen mit</t>
  </si>
  <si>
    <t xml:space="preserve">Zuordnung je Artikel: Blatt «Artikel», Spalte «Schätzklasse lose» (Vorschlag aus der Bezeichnung, änderbar). Eigene Werte in «Gebindekategorie neu» oder «Tablare lose» haben Vorrang.</t>
  </si>
  <si>
    <t xml:space="preserve">Ø-Bestand = Material rotiert, nicht alle Artikel gleichzeitig auf MAX (wie Lagerplanung «Max.-Bestand Ergebnis»). MAX-Bestand = fixe Fächer für MB + ganze Bestellmenge.</t>
  </si>
  <si>
    <t xml:space="preserve">Zuordnung Hauptlager → Lift  (1 / 2 / 3 / 2+3 / Nein)</t>
  </si>
  <si>
    <t xml:space="preserve">Zuordnung Gebinde → Lift (nur Liftgruppe 2+3)</t>
  </si>
  <si>
    <t xml:space="preserve">Zuordnung «Lager in Zukunft» → Lift  (1 / 2 / 3 / 2+3 / Nein)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</si>
  <si>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</si>
  <si>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</si>
  <si>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</si>
  <si>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2+3</t>
  </si>
  <si>
    <t xml:space="preserve">Nein</t>
  </si>
  <si>
    <t xml:space="preserve">Nicht NLZ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</si>
  <si>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</si>
  <si>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</si>
  <si>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</si>
  <si>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</si>
  <si>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</si>
  <si>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</si>
  <si>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</si>
  <si>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</si>
  <si>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</si>
  <si>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</si>
  <si>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</si>
  <si>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</si>
  <si>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</si>
  <si>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</si>
  <si>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</si>
  <si>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</si>
  <si>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</si>
  <si>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</si>
  <si>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</si>
  <si>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</si>
  <si>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Gebinde je Tablar (manuell) und Höhe im Lift = Werte aus der Lagerplanung.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</si>
  <si>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</si>
  <si>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</si>
  <si>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</si>
  <si>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</si>
  <si>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</si>
  <si>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</si>
  <si>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</si>
  <si>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</si>
  <si>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</si>
  <si>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</si>
  <si>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</si>
  <si>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Höhe im Lift cm (ohne Zuschlag)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</si>
  <si>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</si>
  <si>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</si>
  <si>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</si>
  <si>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</si>
  <si>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</si>
  <si>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</si>
  <si>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</si>
  <si>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</si>
  <si>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</si>
  <si>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</si>
  <si>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</si>
  <si>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</si>
  <si>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</si>
  <si>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</si>
  <si>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</si>
  <si>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</si>
  <si>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</si>
  <si>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</si>
  <si>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</si>
  <si>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</si>
  <si>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</si>
  <si>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</si>
  <si>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</si>
  <si>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</si>
  <si>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</si>
  <si>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</si>
  <si>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</si>
  <si>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</si>
  <si>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</si>
  <si>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</si>
  <si>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</si>
  <si>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</si>
  <si>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</si>
  <si>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</si>
  <si>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</si>
  <si>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</si>
  <si>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</si>
  <si>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</si>
  <si>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</si>
  <si>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</si>
  <si>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</si>
  <si>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</si>
  <si>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</si>
  <si>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</si>
  <si>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</si>
  <si>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Lifte mischen / ausgleichen</t>
  </si>
  <si>
    <t xml:space="preserve">Parameter E27 = Ja: Die Spalte «Lift ausgeglichen» verteilt die Artikel so, dass alle 3 Lifte möglichst gleich voll sind – gleichzeitig für Ist, B und C bei LU 3 (Parameter im Skript: AUSGLEICH_LU): Liftbericht-Artikel bleiben in Lift 1, Trennbleche/Paletten nur in die ausfahrbaren Lifte 1 und 2, alles andere in den Lift mit dem tiefsten Füllgrad. Wird bei jedem Neuaufbau neu berechnet. «Lift manuell» hat Vorrang.</t>
  </si>
  <si>
    <t xml:space="preserve">Einkauf (Dashboard)</t>
  </si>
  <si>
    <t xml:space="preserve">Zeigt die 50 Lift-Artikel mit Bestand, die zuerst angegangen werden sollten. Sortierung wählbar: kombiniert (Platz + Wert + tiefer Umschlag), Fläche, Wert, tiefster Umschlag oder Abbaupotenzial. Abbaupotenzial = (Ist − Ziel-Ø bei gewähltem LU) × Preis; Platz frei ≈ anteilig.</t>
  </si>
  <si>
    <t xml:space="preserve">Lose Artikel grob geschätzt</t>
  </si>
  <si>
    <t xml:space="preserve">Artikel ohne Gebinde (KTL/PAL) bekommen aus der Bezeichnung eine Schätzklasse: Klein = Eurobox S51 à 20 Stk, Mittel = S61 à 4 Stk, Gross = Trennblech S81 à 2 Stk (Parameter I27:K29); mindestens der Ist-Bestand bzw. eine Losgrösse passt in 1 Gebinde. Damit rechnen sie wie Gebinde-Artikel. Klasse im Blatt Artikel änderbar; «Gebindekategorie neu» oder «Tablare lose» haben Vorrang. Kein Stapeln.</t>
  </si>
  <si>
    <t xml:space="preserve">Varianten</t>
  </si>
  <si>
    <t xml:space="preserve">A – Ist-Bestand: heutiger Bestand (unabhängig vom LU).</t>
  </si>
  <si>
    <t xml:space="preserve">B – Ziel-LU: Ziel-Ø-Bestand = Jahresverbrauch / Ziel-LU (= Spalte «Max.Bestand bei vorg. Umschlag» im Kennzahlen-Export). Bestellmenge = 2 × (Ziel-Ø − MB), mindestens Losgrösse (Mindestbestands-Strategie fix). MAX = MB + Bestellmenge → bestimmt den Platz (Gebinde). Ø-Bestand = MB + Bestellmenge/2 → bestimmt den Lagerwert.</t>
  </si>
  <si>
    <t xml:space="preserve">Platzbedarf (Parameter E30): «Ø-Bestand» (Standard, wie Lagerplanung: Material rotiert) oder «MAX-Bestand» (fixe Fächer für MB + Bestellmenge).</t>
  </si>
  <si>
    <t xml:space="preserve">C – Ziel-LU oder Ist (Hauptvariante): Platz = höherer Wert aus MAX (B) und Ist; Wert = höherer Wert aus Ø (B) und Ist – solange der Überbestand nicht abgebaut ist. Heutiger Gesamt-LU ≈ 2.4: erst ein Ziel-LU darüber senkt Bestand und Platz.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</si>
  <si>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</si>
  <si>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</si>
  <si>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</si>
  <si>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</si>
  <si>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die Lifthöhe (wie Lagerplanung): Tablare je Gebindetyp = Anzahl Gebinde / Gebinde je Tablar; jedes Tablar braucht Gebindehöhe + 35 mm (Parameter M23). Füllgrad = Summe Höhe / Lifthöhe 11'900 mm. Mit «Lifte mischen» (Parameter E27) zählt die Summe aller 3 Lifte.</t>
  </si>
  <si>
    <t xml:space="preserve">Gebinde je Tablar = Vorgabe Lagerplanung bzw. beste Anordnung des Gebindes (Stellmass, längs/quer) auf dem Tablar × Lagen (Blatt «Gebinde-Kategorie», manuell überschreibbar). Tablare je Artikel = Anzahl Gebinde / Gebinde je Tablar. Tablar-Ausnutzung (Parameter M21) gibt Reserve für Lücken.</t>
  </si>
  <si>
    <t xml:space="preserve">Zuordnung zuerst nach «Lager in Zukunft» (Artikelstamm, Parameter I34): Kardex Schwer → Lift 1, Kardex Kleinteil → Lift 2/3 nach Gebinde, Verpackung/Leerkisten/PAL/Nicht NLZ → nicht im Lift. Leer → Regel nach Hauptlager: </t>
  </si>
  <si>
    <t xml:space="preserve">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</si>
  <si>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</si>
  <si>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</si>
  <si>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</si>
  <si>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Jahresanfangsbestand 2025 (Spalte T) + Spalte G «Bestandsmenge» (= Bewegung seit 01.01.2025). KTL/PAL-Artikel mit Bestand, die im Kennzahlen-Auszug fehlen, sind aus dem Artikelstamm ergänzt (Bestand 23.06.2026). Lagerwert ≈ 3.55 Mio. CHF. Lift 1: Bestand aus Liftbericht.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</si>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</sst>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"/>
    <numFmt numFmtId="166" formatCode="#,##0"/>
    <numFmt numFmtId="167" formatCode="#,##0.0"/>
    <numFmt numFmtId="168" formatCode="0%"/>
    <numFmt numFmtId="169" formatCode="0"/>
    <numFmt numFmtId="170" formatCode="0.00"/>
    <numFmt numFmtId="171" formatCode="General"/>
    <numFmt numFmtId="172" formatCode="#,##0;\-#,##0"/>
    <numFmt numFmtId="173" formatCode="#,##0.00"/>
    <numFmt numFmtId="174" formatCode="0.000000"/>
    <numFmt numFmtId="175" formatCode="0.000"/>
    <numFmt numFmtId="176" formatCode="dd\.mm\.yyyy"/>
    <numFmt numFmtId="177" formatCode="0.00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0.920582232893157</c:v>
                </c:pt>
                <c:pt idx="1">
                  <c:v>0.8741303829224</c:v>
                </c:pt>
                <c:pt idx="2">
                  <c:v>0.96981334841629</c:v>
                </c:pt>
                <c:pt idx="3">
                  <c:v>0.921971865669345</c:v>
                </c:pt>
                <c:pt idx="4">
                  <c:v>0.921508654743949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3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0.971896148289825</c:v>
                </c:pt>
                <c:pt idx="1">
                  <c:v>1.19614988303014</c:v>
                </c:pt>
                <c:pt idx="2">
                  <c:v>1.14050589466556</c:v>
                </c:pt>
                <c:pt idx="3">
                  <c:v>1.16832788884785</c:v>
                </c:pt>
                <c:pt idx="4">
                  <c:v>1.10285064199517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B LU 4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0.95124503191107</c:v>
                </c:pt>
                <c:pt idx="1">
                  <c:v>0.883916835965155</c:v>
                </c:pt>
                <c:pt idx="2">
                  <c:v>0.904185943608213</c:v>
                </c:pt>
                <c:pt idx="3">
                  <c:v>0.894051389786684</c:v>
                </c:pt>
                <c:pt idx="4">
                  <c:v>0.913115937161479</c:v>
                </c:pt>
              </c:numCache>
            </c:numRef>
          </c:val>
        </c:ser>
        <c:gapWidth val="150"/>
        <c:overlap val="0"/>
        <c:axId val="85554809"/>
        <c:axId val="23129163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554809"/>
        <c:axId val="23129163"/>
      </c:lineChart>
      <c:catAx>
        <c:axId val="855548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29163"/>
        <c:crosses val="autoZero"/>
        <c:auto val="1"/>
        <c:lblAlgn val="ctr"/>
        <c:lblOffset val="100"/>
        <c:noMultiLvlLbl val="0"/>
      </c:catAx>
      <c:valAx>
        <c:axId val="23129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548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– Abbaupotenzial CHF (aktuelle Sortierung)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Einkauf!O10</c:f>
              <c:strCache>
                <c:ptCount val="1"/>
                <c:pt idx="0">
                  <c:v>Abbaupotenzial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Einkauf!$C$11:$C$25</c:f>
              <c:strCache>
                <c:ptCount val="15"/>
                <c:pt idx="0">
                  <c:v>107067</c:v>
                </c:pt>
                <c:pt idx="1">
                  <c:v>108475</c:v>
                </c:pt>
                <c:pt idx="2">
                  <c:v>005061</c:v>
                </c:pt>
                <c:pt idx="3">
                  <c:v>106185_MAT</c:v>
                </c:pt>
                <c:pt idx="4">
                  <c:v>106184_MAT</c:v>
                </c:pt>
                <c:pt idx="5">
                  <c:v>105315_MAT</c:v>
                </c:pt>
                <c:pt idx="6">
                  <c:v>111227</c:v>
                </c:pt>
                <c:pt idx="7">
                  <c:v>109088_MAT</c:v>
                </c:pt>
                <c:pt idx="8">
                  <c:v>106582</c:v>
                </c:pt>
                <c:pt idx="9">
                  <c:v>111226</c:v>
                </c:pt>
                <c:pt idx="10">
                  <c:v>108503</c:v>
                </c:pt>
                <c:pt idx="11">
                  <c:v>108447</c:v>
                </c:pt>
                <c:pt idx="12">
                  <c:v>107066</c:v>
                </c:pt>
                <c:pt idx="13">
                  <c:v>104214</c:v>
                </c:pt>
                <c:pt idx="14">
                  <c:v>107415</c:v>
                </c:pt>
              </c:strCache>
            </c:strRef>
          </c:cat>
          <c:val>
            <c:numRef>
              <c:f>Einkauf!$O$11:$O$25</c:f>
              <c:numCache>
                <c:formatCode>#,##0</c:formatCode>
                <c:ptCount val="15"/>
                <c:pt idx="0">
                  <c:v>20017.5</c:v>
                </c:pt>
                <c:pt idx="1">
                  <c:v>13056.29</c:v>
                </c:pt>
                <c:pt idx="2">
                  <c:v>12874.68</c:v>
                </c:pt>
                <c:pt idx="3">
                  <c:v>50144.625</c:v>
                </c:pt>
                <c:pt idx="4">
                  <c:v>39399.3</c:v>
                </c:pt>
                <c:pt idx="5">
                  <c:v>29738.165</c:v>
                </c:pt>
                <c:pt idx="6">
                  <c:v>1426.78</c:v>
                </c:pt>
                <c:pt idx="7">
                  <c:v>16615.265</c:v>
                </c:pt>
                <c:pt idx="8">
                  <c:v>0</c:v>
                </c:pt>
                <c:pt idx="9">
                  <c:v>2760.86</c:v>
                </c:pt>
                <c:pt idx="10">
                  <c:v>9269.845</c:v>
                </c:pt>
                <c:pt idx="11">
                  <c:v>8640</c:v>
                </c:pt>
                <c:pt idx="12">
                  <c:v>5225</c:v>
                </c:pt>
                <c:pt idx="13">
                  <c:v>3940.38</c:v>
                </c:pt>
                <c:pt idx="14">
                  <c:v>1249.05</c:v>
                </c:pt>
              </c:numCache>
            </c:numRef>
          </c:val>
        </c:ser>
        <c:gapWidth val="150"/>
        <c:overlap val="0"/>
        <c:axId val="63817687"/>
        <c:axId val="11434765"/>
      </c:barChart>
      <c:catAx>
        <c:axId val="638176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34765"/>
        <c:crosses val="autoZero"/>
        <c:auto val="1"/>
        <c:lblAlgn val="ctr"/>
        <c:lblOffset val="100"/>
        <c:noMultiLvlLbl val="0"/>
      </c:catAx>
      <c:valAx>
        <c:axId val="11434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176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1.0796283732963</c:v>
                </c:pt>
                <c:pt idx="1">
                  <c:v>1.01421742512737</c:v>
                </c:pt>
                <c:pt idx="2">
                  <c:v>0.961959965211639</c:v>
                </c:pt>
                <c:pt idx="3">
                  <c:v>0.942587823699667</c:v>
                </c:pt>
                <c:pt idx="4">
                  <c:v>0.913115937161479</c:v>
                </c:pt>
                <c:pt idx="5">
                  <c:v>0.89046698333107</c:v>
                </c:pt>
                <c:pt idx="6">
                  <c:v>0.879203262284198</c:v>
                </c:pt>
                <c:pt idx="7">
                  <c:v>0.869680056362687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1.21265571243708</c:v>
                </c:pt>
                <c:pt idx="1">
                  <c:v>1.15363033131549</c:v>
                </c:pt>
                <c:pt idx="2">
                  <c:v>1.10285064199517</c:v>
                </c:pt>
                <c:pt idx="3">
                  <c:v>1.08513179000414</c:v>
                </c:pt>
                <c:pt idx="4">
                  <c:v>1.06214108568243</c:v>
                </c:pt>
                <c:pt idx="5">
                  <c:v>1.04183358125229</c:v>
                </c:pt>
                <c:pt idx="6">
                  <c:v>1.03137518233427</c:v>
                </c:pt>
                <c:pt idx="7">
                  <c:v>1.02265729854161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0.921508654743949</c:v>
                </c:pt>
                <c:pt idx="1">
                  <c:v>0.921508654743949</c:v>
                </c:pt>
                <c:pt idx="2">
                  <c:v>0.921508654743949</c:v>
                </c:pt>
                <c:pt idx="3">
                  <c:v>0.921508654743949</c:v>
                </c:pt>
                <c:pt idx="4">
                  <c:v>0.921508654743949</c:v>
                </c:pt>
                <c:pt idx="5">
                  <c:v>0.921508654743949</c:v>
                </c:pt>
                <c:pt idx="6">
                  <c:v>0.921508654743949</c:v>
                </c:pt>
                <c:pt idx="7">
                  <c:v>0.921508654743949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092584"/>
        <c:axId val="62744490"/>
      </c:lineChart>
      <c:catAx>
        <c:axId val="580925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44490"/>
        <c:crosses val="autoZero"/>
        <c:auto val="1"/>
        <c:lblAlgn val="ctr"/>
        <c:lblOffset val="100"/>
        <c:noMultiLvlLbl val="0"/>
      </c:catAx>
      <c:valAx>
        <c:axId val="62744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92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131040</xdr:rowOff>
    </xdr:from>
    <xdr:to>
      <xdr:col>13</xdr:col>
      <xdr:colOff>718560</xdr:colOff>
      <xdr:row>54</xdr:row>
      <xdr:rowOff>132120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0</xdr:colOff>
      <xdr:row>8</xdr:row>
      <xdr:rowOff>130680</xdr:rowOff>
    </xdr:from>
    <xdr:to>
      <xdr:col>26</xdr:col>
      <xdr:colOff>447840</xdr:colOff>
      <xdr:row>24</xdr:row>
      <xdr:rowOff>39600</xdr:rowOff>
    </xdr:to>
    <xdr:graphicFrame>
      <xdr:nvGraphicFramePr>
        <xdr:cNvPr id="1" name="Chart 1"/>
        <xdr:cNvGraphicFramePr/>
      </xdr:nvGraphicFramePr>
      <xdr:xfrm>
        <a:off x="18094320" y="187632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2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"&amp;TEXT(Parameter!H8,"#,##0")&amp;" mm Lifthöhe (3 × 11 900)"&amp;IF(Parameter!E27="Ja","   ·   Lifte gemischt","")&amp;"   ·   IST-LU gesamt "&amp;TEXT(SUMPRODUCT(A_VERB,A_PREIS)/MAX(1,SUMPRODUCT(A_IST,A_PREIS)),"0.0")</f>
        <v>Verbrauchsbasis: 01.2025 – 12.2025   ·   Ist-Bestand: Jahresanfang 2025 + Export   ·   Kapazität 35,700 mm Lifthöhe (3 × 11 900)   ·   Lifte gemischt   ·   IST-LU gesamt 2.4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8</v>
      </c>
      <c r="P5" s="6"/>
      <c r="Q5" s="6"/>
      <c r="R5" s="6"/>
    </row>
    <row r="6" customFormat="false" ht="15" hidden="false" customHeight="false" outlineLevel="0" collapsed="false">
      <c r="B6" s="5" t="s">
        <v>9</v>
      </c>
      <c r="C6" s="7" t="n">
        <v>3</v>
      </c>
      <c r="D6" s="8" t="s">
        <v>10</v>
      </c>
      <c r="H6" s="5" t="s">
        <v>9</v>
      </c>
      <c r="I6" s="7" t="n">
        <v>3</v>
      </c>
      <c r="J6" s="8" t="s">
        <v>10</v>
      </c>
      <c r="N6" s="5" t="s">
        <v>9</v>
      </c>
      <c r="O6" s="7" t="n">
        <v>4</v>
      </c>
      <c r="P6" s="8" t="s">
        <v>10</v>
      </c>
    </row>
    <row r="8" customFormat="false" ht="15" hidden="false" customHeight="false" outlineLevel="0" collapsed="false">
      <c r="B8" s="9" t="s">
        <v>11</v>
      </c>
      <c r="C8" s="9" t="s">
        <v>12</v>
      </c>
      <c r="D8" s="9" t="s">
        <v>13</v>
      </c>
      <c r="E8" s="9" t="s">
        <v>14</v>
      </c>
      <c r="F8" s="9" t="s">
        <v>15</v>
      </c>
      <c r="H8" s="9" t="s">
        <v>11</v>
      </c>
      <c r="I8" s="9" t="s">
        <v>12</v>
      </c>
      <c r="J8" s="9" t="s">
        <v>13</v>
      </c>
      <c r="K8" s="9" t="s">
        <v>14</v>
      </c>
      <c r="L8" s="9" t="s">
        <v>15</v>
      </c>
      <c r="N8" s="9" t="s">
        <v>11</v>
      </c>
      <c r="O8" s="9" t="s">
        <v>12</v>
      </c>
      <c r="P8" s="9" t="s">
        <v>13</v>
      </c>
      <c r="Q8" s="9" t="s">
        <v>14</v>
      </c>
      <c r="R8" s="9" t="s">
        <v>15</v>
      </c>
    </row>
    <row r="9" customFormat="false" ht="15" hidden="false" customHeight="false" outlineLevel="0" collapsed="false">
      <c r="B9" s="10" t="s">
        <v>16</v>
      </c>
      <c r="C9" s="11" t="n">
        <f aca="false">SUMIFS(Artikel!$AJ$7:$AJ$1843,Artikel!$CF$7:$CF$1843,1)</f>
        <v>10954.9285714286</v>
      </c>
      <c r="D9" s="11" t="n">
        <f aca="false">Parameter!$H$5</f>
        <v>11900</v>
      </c>
      <c r="E9" s="12" t="n">
        <f aca="false">SUMIFS(Artikel!$AI$7:$AI$1843,Artikel!$CF$7:$CF$1843,1)</f>
        <v>46.6285714285714</v>
      </c>
      <c r="F9" s="13" t="n">
        <f aca="false">IF(D9&gt;0,C9/D9,0)</f>
        <v>0.920582232893157</v>
      </c>
      <c r="H9" s="10" t="s">
        <v>16</v>
      </c>
      <c r="I9" s="11" t="n">
        <f aca="false">SUMIFS(Artikel!$AT$7:$AT$1843,Artikel!$CF$7:$CF$1843,1)</f>
        <v>11565.5641646489</v>
      </c>
      <c r="J9" s="11" t="n">
        <f aca="false">Parameter!$H$5</f>
        <v>11900</v>
      </c>
      <c r="K9" s="12" t="n">
        <f aca="false">SUMIFS(Artikel!$AS$7:$AS$1843,Artikel!$CF$7:$CF$1843,1)</f>
        <v>49.1963680387409</v>
      </c>
      <c r="L9" s="13" t="n">
        <f aca="false">IF(J9&gt;0,I9/J9,0)</f>
        <v>0.971896148289825</v>
      </c>
      <c r="N9" s="10" t="s">
        <v>16</v>
      </c>
      <c r="O9" s="11" t="n">
        <f aca="false">SUMIFS(Artikel!$BD$7:$BD$1843,Artikel!$CF$7:$CF$1843,1)</f>
        <v>11319.8158797417</v>
      </c>
      <c r="P9" s="11" t="n">
        <f aca="false">Parameter!$H$5</f>
        <v>11900</v>
      </c>
      <c r="Q9" s="12" t="n">
        <f aca="false">SUMIFS(Artikel!$BC$7:$BC$1843,Artikel!$CF$7:$CF$1843,1)</f>
        <v>48.1252017756255</v>
      </c>
      <c r="R9" s="13" t="n">
        <f aca="false">IF(P9&gt;0,O9/P9,0)</f>
        <v>0.95124503191107</v>
      </c>
    </row>
    <row r="10" customFormat="false" ht="15" hidden="false" customHeight="false" outlineLevel="0" collapsed="false">
      <c r="B10" s="10" t="s">
        <v>17</v>
      </c>
      <c r="C10" s="11" t="n">
        <f aca="false">SUMIFS(Artikel!$AJ$7:$AJ$1843,Artikel!$CF$7:$CF$1843,2)</f>
        <v>10402.1515567766</v>
      </c>
      <c r="D10" s="11" t="n">
        <f aca="false">Parameter!$H$6</f>
        <v>11900</v>
      </c>
      <c r="E10" s="12" t="n">
        <f aca="false">SUMIFS(Artikel!$AI$7:$AI$1843,Artikel!$CF$7:$CF$1843,2)</f>
        <v>41.6913003663004</v>
      </c>
      <c r="F10" s="13" t="n">
        <f aca="false">IF(D10&gt;0,C10/D10,0)</f>
        <v>0.8741303829224</v>
      </c>
      <c r="H10" s="10" t="s">
        <v>17</v>
      </c>
      <c r="I10" s="11" t="n">
        <f aca="false">SUMIFS(Artikel!$AT$7:$AT$1843,Artikel!$CF$7:$CF$1843,2)</f>
        <v>14234.1836080586</v>
      </c>
      <c r="J10" s="11" t="n">
        <f aca="false">Parameter!$H$6</f>
        <v>11900</v>
      </c>
      <c r="K10" s="12" t="n">
        <f aca="false">SUMIFS(Artikel!$AS$7:$AS$1843,Artikel!$CF$7:$CF$1843,2)</f>
        <v>57.7259157509158</v>
      </c>
      <c r="L10" s="13" t="n">
        <f aca="false">IF(J10&gt;0,I10/J10,0)</f>
        <v>1.19614988303014</v>
      </c>
      <c r="N10" s="10" t="s">
        <v>17</v>
      </c>
      <c r="O10" s="11" t="n">
        <f aca="false">SUMIFS(Artikel!$BD$7:$BD$1843,Artikel!$CF$7:$CF$1843,2)</f>
        <v>10518.6103479853</v>
      </c>
      <c r="P10" s="11" t="n">
        <f aca="false">Parameter!$H$6</f>
        <v>11900</v>
      </c>
      <c r="Q10" s="12" t="n">
        <f aca="false">SUMIFS(Artikel!$BC$7:$BC$1843,Artikel!$CF$7:$CF$1843,2)</f>
        <v>42.9372710622711</v>
      </c>
      <c r="R10" s="13" t="n">
        <f aca="false">IF(P10&gt;0,O10/P10,0)</f>
        <v>0.883916835965155</v>
      </c>
    </row>
    <row r="11" customFormat="false" ht="15" hidden="false" customHeight="false" outlineLevel="0" collapsed="false">
      <c r="B11" s="10" t="s">
        <v>18</v>
      </c>
      <c r="C11" s="11" t="n">
        <f aca="false">SUMIFS(Artikel!$AJ$7:$AJ$1843,Artikel!$CF$7:$CF$1843,3)</f>
        <v>11540.7788461538</v>
      </c>
      <c r="D11" s="11" t="n">
        <f aca="false">Parameter!$H$7</f>
        <v>11900</v>
      </c>
      <c r="E11" s="12" t="n">
        <f aca="false">SUMIFS(Artikel!$AI$7:$AI$1843,Artikel!$CF$7:$CF$1843,3)</f>
        <v>59.2134615384615</v>
      </c>
      <c r="F11" s="13" t="n">
        <f aca="false">IF(D11&gt;0,C11/D11,0)</f>
        <v>0.96981334841629</v>
      </c>
      <c r="H11" s="10" t="s">
        <v>18</v>
      </c>
      <c r="I11" s="11" t="n">
        <f aca="false">SUMIFS(Artikel!$AT$7:$AT$1843,Artikel!$CF$7:$CF$1843,3)</f>
        <v>13572.0201465201</v>
      </c>
      <c r="J11" s="11" t="n">
        <f aca="false">Parameter!$H$7</f>
        <v>11900</v>
      </c>
      <c r="K11" s="12" t="n">
        <f aca="false">SUMIFS(Artikel!$AS$7:$AS$1843,Artikel!$CF$7:$CF$1843,3)</f>
        <v>71.0432234432234</v>
      </c>
      <c r="L11" s="13" t="n">
        <f aca="false">IF(J11&gt;0,I11/J11,0)</f>
        <v>1.14050589466556</v>
      </c>
      <c r="N11" s="10" t="s">
        <v>18</v>
      </c>
      <c r="O11" s="11" t="n">
        <f aca="false">SUMIFS(Artikel!$BD$7:$BD$1843,Artikel!$CF$7:$CF$1843,3)</f>
        <v>10759.8127289377</v>
      </c>
      <c r="P11" s="11" t="n">
        <f aca="false">Parameter!$H$7</f>
        <v>11900</v>
      </c>
      <c r="Q11" s="12" t="n">
        <f aca="false">SUMIFS(Artikel!$BC$7:$BC$1843,Artikel!$CF$7:$CF$1843,3)</f>
        <v>56.6960622710623</v>
      </c>
      <c r="R11" s="13" t="n">
        <f aca="false">IF(P11&gt;0,O11/P11,0)</f>
        <v>0.904185943608213</v>
      </c>
    </row>
    <row r="12" customFormat="false" ht="15" hidden="false" customHeight="false" outlineLevel="0" collapsed="false">
      <c r="B12" s="14" t="s">
        <v>19</v>
      </c>
      <c r="C12" s="15" t="n">
        <f aca="false">C10+C11</f>
        <v>21942.9304029304</v>
      </c>
      <c r="D12" s="15" t="n">
        <f aca="false">D10+D11</f>
        <v>23800</v>
      </c>
      <c r="E12" s="16" t="n">
        <f aca="false">E10+E11</f>
        <v>100.904761904762</v>
      </c>
      <c r="F12" s="13" t="n">
        <f aca="false">IF(D12&gt;0,C12/D12,0)</f>
        <v>0.921971865669345</v>
      </c>
      <c r="H12" s="14" t="s">
        <v>19</v>
      </c>
      <c r="I12" s="15" t="n">
        <f aca="false">I10+I11</f>
        <v>27806.2037545788</v>
      </c>
      <c r="J12" s="15" t="n">
        <f aca="false">J10+J11</f>
        <v>23800</v>
      </c>
      <c r="K12" s="16" t="n">
        <f aca="false">K10+K11</f>
        <v>128.769139194139</v>
      </c>
      <c r="L12" s="13" t="n">
        <f aca="false">IF(J12&gt;0,I12/J12,0)</f>
        <v>1.16832788884785</v>
      </c>
      <c r="N12" s="14" t="s">
        <v>19</v>
      </c>
      <c r="O12" s="15" t="n">
        <f aca="false">O10+O11</f>
        <v>21278.4230769231</v>
      </c>
      <c r="P12" s="15" t="n">
        <f aca="false">P10+P11</f>
        <v>23800</v>
      </c>
      <c r="Q12" s="16" t="n">
        <f aca="false">Q10+Q11</f>
        <v>99.6333333333333</v>
      </c>
      <c r="R12" s="13" t="n">
        <f aca="false">IF(P12&gt;0,O12/P12,0)</f>
        <v>0.894051389786684</v>
      </c>
    </row>
    <row r="13" customFormat="false" ht="15" hidden="false" customHeight="false" outlineLevel="0" collapsed="false">
      <c r="B13" s="14" t="s">
        <v>20</v>
      </c>
      <c r="C13" s="15" t="n">
        <f aca="false">C9+C12</f>
        <v>32897.858974359</v>
      </c>
      <c r="D13" s="15" t="n">
        <f aca="false">D9+D12</f>
        <v>35700</v>
      </c>
      <c r="E13" s="16" t="n">
        <f aca="false">E9+E12</f>
        <v>147.533333333333</v>
      </c>
      <c r="F13" s="13" t="n">
        <f aca="false">IF(D13&gt;0,C13/D13,0)</f>
        <v>0.921508654743949</v>
      </c>
      <c r="H13" s="14" t="s">
        <v>20</v>
      </c>
      <c r="I13" s="15" t="n">
        <f aca="false">I9+I12</f>
        <v>39371.7679192277</v>
      </c>
      <c r="J13" s="15" t="n">
        <f aca="false">J9+J12</f>
        <v>35700</v>
      </c>
      <c r="K13" s="16" t="n">
        <f aca="false">K9+K12</f>
        <v>177.96550723288</v>
      </c>
      <c r="L13" s="13" t="n">
        <f aca="false">IF(J13&gt;0,I13/J13,0)</f>
        <v>1.10285064199517</v>
      </c>
      <c r="N13" s="14" t="s">
        <v>20</v>
      </c>
      <c r="O13" s="15" t="n">
        <f aca="false">O9+O12</f>
        <v>32598.2389566648</v>
      </c>
      <c r="P13" s="15" t="n">
        <f aca="false">P9+P12</f>
        <v>35700</v>
      </c>
      <c r="Q13" s="16" t="n">
        <f aca="false">Q9+Q12</f>
        <v>147.758535108959</v>
      </c>
      <c r="R13" s="13" t="n">
        <f aca="false">IF(P13&gt;0,O13/P13,0)</f>
        <v>0.913115937161479</v>
      </c>
    </row>
    <row r="14" customFormat="false" ht="15" hidden="false" customHeight="false" outlineLevel="0" collapsed="false">
      <c r="B14" s="17" t="s">
        <v>21</v>
      </c>
      <c r="C14" s="18" t="n">
        <f aca="false">SUMIFS(Artikel!$AJ$7:$AJ$1843,Artikel!$CG$7:$CG$1843,"-")</f>
        <v>3247.98076923077</v>
      </c>
      <c r="H14" s="17" t="s">
        <v>21</v>
      </c>
      <c r="I14" s="18" t="n">
        <f aca="false">SUMIFS(Artikel!$AT$7:$AT$1843,Artikel!$CG$7:$CG$1843,"-")</f>
        <v>11472.1243704212</v>
      </c>
      <c r="N14" s="17" t="s">
        <v>21</v>
      </c>
      <c r="O14" s="18" t="n">
        <f aca="false">SUMIFS(Artikel!$BD$7:$BD$1843,Artikel!$CG$7:$CG$1843,"-")</f>
        <v>10526.7106799451</v>
      </c>
    </row>
    <row r="15" customFormat="false" ht="15" hidden="false" customHeight="false" outlineLevel="0" collapsed="false">
      <c r="B15" s="17" t="s">
        <v>22</v>
      </c>
      <c r="C15" s="18" t="n">
        <f aca="false">SUMIFS(Artikel!$AJ$7:$AJ$1843,Artikel!$CG$7:$CG$1843,"Aussen")</f>
        <v>0</v>
      </c>
      <c r="H15" s="17" t="s">
        <v>22</v>
      </c>
      <c r="I15" s="18" t="n">
        <f aca="false">SUMIFS(Artikel!$AT$7:$AT$1843,Artikel!$CG$7:$CG$1843,"Aussen")</f>
        <v>0</v>
      </c>
      <c r="N15" s="17" t="s">
        <v>22</v>
      </c>
      <c r="O15" s="18" t="n">
        <f aca="false">SUMIFS(Artikel!$BD$7:$BD$1843,Artikel!$CG$7:$CG$1843,"Aussen")</f>
        <v>0</v>
      </c>
    </row>
    <row r="17" customFormat="false" ht="21.75" hidden="false" customHeight="true" outlineLevel="0" collapsed="false">
      <c r="B17" s="19" t="s">
        <v>23</v>
      </c>
      <c r="E17" s="20" t="str">
        <f aca="false">IF(Parameter!$E$27="Ja",IF(C13&lt;=D13,"JA","NEIN"),IF(AND(C9&lt;=D9,C12&lt;=D12),"JA","NEIN"))</f>
        <v>JA</v>
      </c>
      <c r="F17" s="20"/>
      <c r="H17" s="19" t="s">
        <v>23</v>
      </c>
      <c r="K17" s="20" t="str">
        <f aca="false">IF(Parameter!$E$27="Ja",IF(I13&lt;=J13,"JA","NEIN"),IF(AND(I9&lt;=J9,I12&lt;=J12),"JA","NEIN"))</f>
        <v>NEIN</v>
      </c>
      <c r="L17" s="20"/>
      <c r="N17" s="19" t="s">
        <v>23</v>
      </c>
      <c r="Q17" s="20" t="str">
        <f aca="false">IF(Parameter!$E$27="Ja",IF(O13&lt;=P13,"JA","NEIN"),IF(AND(O9&lt;=P9,O12&lt;=P12),"JA","NEIN"))</f>
        <v>JA</v>
      </c>
      <c r="R17" s="20"/>
    </row>
    <row r="18" customFormat="false" ht="21.75" hidden="false" customHeight="true" outlineLevel="0" collapsed="false">
      <c r="B18" s="21" t="s">
        <v>24</v>
      </c>
      <c r="D18" s="22" t="str">
        <f aca="false">IF(C9&lt;=D9,"JA","NEIN")</f>
        <v>JA</v>
      </c>
      <c r="E18" s="20"/>
      <c r="F18" s="20"/>
      <c r="H18" s="21" t="s">
        <v>24</v>
      </c>
      <c r="J18" s="22" t="str">
        <f aca="false">IF(I9&lt;=J9,"JA","NEIN")</f>
        <v>JA</v>
      </c>
      <c r="K18" s="20"/>
      <c r="L18" s="20"/>
      <c r="N18" s="21" t="s">
        <v>24</v>
      </c>
      <c r="P18" s="22" t="str">
        <f aca="false">IF(O9&lt;=P9,"JA","NEIN")</f>
        <v>JA</v>
      </c>
      <c r="Q18" s="20"/>
      <c r="R18" s="20"/>
    </row>
    <row r="19" customFormat="false" ht="15" hidden="false" customHeight="false" outlineLevel="0" collapsed="false">
      <c r="B19" s="21" t="s">
        <v>25</v>
      </c>
      <c r="D19" s="22" t="str">
        <f aca="false">IF(C12&lt;=D12,"JA","NEIN")</f>
        <v>JA</v>
      </c>
      <c r="H19" s="21" t="s">
        <v>25</v>
      </c>
      <c r="J19" s="22" t="str">
        <f aca="false">IF(I12&lt;=J12,"JA","NEIN")</f>
        <v>NEIN</v>
      </c>
      <c r="N19" s="21" t="s">
        <v>25</v>
      </c>
      <c r="P19" s="22" t="str">
        <f aca="false">IF(O12&lt;=P12,"JA","NEIN")</f>
        <v>JA</v>
      </c>
    </row>
    <row r="20" customFormat="false" ht="15" hidden="false" customHeight="false" outlineLevel="0" collapsed="false">
      <c r="B20" s="23" t="str">
        <f aca="false">IF(Parameter!$E$27="Ja","Lifte gemischt: Summe aller 3 Lifte massgebend (frei: "&amp;TEXT(MAX(0,D13-C13),"0")&amp;" mm)",IF(OR(AND(C10&gt;D10,C11&lt;D11),AND(C11&gt;D11,C10&lt;D10)),"Ausgleich Lift 2 ↔ 3 möglich: "&amp;ROUNDUP(MIN(MAX(C10-D10,C11-D11),MAX(D10-C10,D11-C11)),0)&amp;" mm",""))</f>
        <v>Lifte gemischt: Summe aller 3 Lifte massgebend (frei: 2802 mm)</v>
      </c>
      <c r="C20" s="23"/>
      <c r="D20" s="23"/>
      <c r="E20" s="23"/>
      <c r="F20" s="23"/>
      <c r="H20" s="23" t="str">
        <f aca="false">IF(Parameter!$E$27="Ja","Lifte gemischt: Summe aller 3 Lifte massgebend (frei: "&amp;TEXT(MAX(0,J13-I13),"0")&amp;" mm)",IF(OR(AND(I10&gt;J10,I11&lt;J11),AND(I11&gt;J11,I10&lt;J10)),"Ausgleich Lift 2 ↔ 3 möglich: "&amp;ROUNDUP(MIN(MAX(I10-J10,I11-J11),MAX(J10-I10,J11-I11)),0)&amp;" mm",""))</f>
        <v>Lifte gemischt: Summe aller 3 Lifte massgebend (frei: 0 mm)</v>
      </c>
      <c r="I20" s="23"/>
      <c r="J20" s="23"/>
      <c r="K20" s="23"/>
      <c r="L20" s="23"/>
      <c r="N20" s="23" t="str">
        <f aca="false">IF(Parameter!$E$27="Ja","Lifte gemischt: Summe aller 3 Lifte massgebend (frei: "&amp;TEXT(MAX(0,P13-O13),"0")&amp;" mm)",IF(OR(AND(O10&gt;P10,O11&lt;P11),AND(O11&gt;P11,O10&lt;P10)),"Ausgleich Lift 2 ↔ 3 möglich: "&amp;ROUNDUP(MIN(MAX(O10-P10,O11-P11),MAX(P10-O10,P11-O11)),0)&amp;" mm",""))</f>
        <v>Lifte gemischt: Summe aller 3 Lifte massgebend (frei: 3102 mm)</v>
      </c>
      <c r="O20" s="23"/>
      <c r="P20" s="23"/>
      <c r="Q20" s="23"/>
      <c r="R20" s="23"/>
    </row>
    <row r="22" customFormat="false" ht="15" hidden="false" customHeight="false" outlineLevel="0" collapsed="false">
      <c r="B22" s="5" t="s">
        <v>26</v>
      </c>
      <c r="D22" s="24" t="n">
        <f aca="false">IF(Parameter!$E$27="Ja",MAX(0,C13-D13),MAX(0,C9-D9)+MAX(0,C12-D12))+C15</f>
        <v>0</v>
      </c>
      <c r="E22" s="8" t="str">
        <f aca="false">"≈ "&amp;TEXT(D22/Parameter!$M$24,"0")&amp;" Tablare"</f>
        <v>≈ 0 Tablare</v>
      </c>
      <c r="H22" s="5" t="s">
        <v>26</v>
      </c>
      <c r="J22" s="24" t="n">
        <f aca="false">IF(Parameter!$E$27="Ja",MAX(0,I13-J13),MAX(0,I9-J9)+MAX(0,I12-J12))+I15</f>
        <v>3671.76791922766</v>
      </c>
      <c r="K22" s="8" t="str">
        <f aca="false">"≈ "&amp;TEXT(J22/Parameter!$M$24,"0")&amp;" Tablare"</f>
        <v>≈ 16 Tablare</v>
      </c>
      <c r="N22" s="5" t="s">
        <v>26</v>
      </c>
      <c r="P22" s="24" t="n">
        <f aca="false">IF(Parameter!$E$27="Ja",MAX(0,O13-P13),MAX(0,O9-P9)+MAX(0,O12-P12))+O15</f>
        <v>0</v>
      </c>
      <c r="Q22" s="8" t="str">
        <f aca="false">"≈ "&amp;TEXT(P22/Parameter!$M$24,"0")&amp;" Tablare"</f>
        <v>≈ 0 Tablare</v>
      </c>
    </row>
    <row r="23" customFormat="false" ht="15" hidden="false" customHeight="false" outlineLevel="0" collapsed="false">
      <c r="B23" s="21" t="s">
        <v>27</v>
      </c>
      <c r="D23" s="25" t="n">
        <f aca="false">COUNTIF(Artikel!$BK$7:$BK$1843,"Aussenlager")+COUNTIF(Artikel!$BK$7:$BK$1843,"teilweise")</f>
        <v>0</v>
      </c>
      <c r="H23" s="21" t="s">
        <v>27</v>
      </c>
      <c r="J23" s="25" t="n">
        <f aca="false">COUNTIF(Artikel!$BL$7:$BL$1843,"Aussenlager")+COUNTIF(Artikel!$BL$7:$BL$1843,"teilweise")</f>
        <v>272</v>
      </c>
      <c r="N23" s="21" t="s">
        <v>27</v>
      </c>
      <c r="P23" s="25" t="n">
        <f aca="false">COUNTIF(Artikel!$BM$7:$BM$1843,"Aussenlager")+COUNTIF(Artikel!$BM$7:$BM$1843,"teilweise")</f>
        <v>0</v>
      </c>
    </row>
    <row r="25" customFormat="false" ht="15" hidden="false" customHeight="false" outlineLevel="0" collapsed="false">
      <c r="B25" s="5" t="s">
        <v>28</v>
      </c>
      <c r="D25" s="24" t="n">
        <f aca="false">SUM(Artikel!$AL$7:$AL$1843)</f>
        <v>3451046.21423</v>
      </c>
      <c r="H25" s="5" t="s">
        <v>28</v>
      </c>
      <c r="J25" s="24" t="n">
        <f aca="false">SUM(Artikel!$AV$7:$AV$1843)</f>
        <v>4986565.6825</v>
      </c>
      <c r="N25" s="5" t="s">
        <v>28</v>
      </c>
      <c r="P25" s="24" t="n">
        <f aca="false">SUM(Artikel!$BF$7:$BF$1843)</f>
        <v>2674239.855</v>
      </c>
    </row>
    <row r="26" customFormat="false" ht="15" hidden="false" customHeight="false" outlineLevel="0" collapsed="false">
      <c r="B26" s="21" t="s">
        <v>29</v>
      </c>
      <c r="D26" s="26" t="n">
        <f aca="false">SUMPRODUCT(Artikel!$AL$7:$AL$1843,Artikel!$AP$7:$AP$1843)</f>
        <v>3168585.11003</v>
      </c>
      <c r="H26" s="21" t="s">
        <v>29</v>
      </c>
      <c r="J26" s="26" t="n">
        <f aca="false">SUMPRODUCT(Artikel!$AV$7:$AV$1843,Artikel!$AZ$7:$AZ$1843)</f>
        <v>3963366.66778515</v>
      </c>
      <c r="N26" s="21" t="s">
        <v>29</v>
      </c>
      <c r="P26" s="26" t="n">
        <f aca="false">SUMPRODUCT(Artikel!$BF$7:$BF$1843,Artikel!$BJ$7:$BJ$1843)</f>
        <v>2278170.87</v>
      </c>
    </row>
    <row r="27" customFormat="false" ht="15" hidden="false" customHeight="false" outlineLevel="0" collapsed="false">
      <c r="B27" s="21" t="s">
        <v>30</v>
      </c>
      <c r="D27" s="26" t="n">
        <f aca="false">SUMIFS(Artikel!$AL$7:$AL$1843,Artikel!$CG$7:$CG$1843,"L1")+SUMIFS(Artikel!$AL$7:$AL$1843,Artikel!$CG$7:$CG$1843,"L23")+SUMIFS(Artikel!$AL$7:$AL$1843,Artikel!$CG$7:$CG$1843,"LIFT")-D26+SUMIFS(Artikel!$AL$7:$AL$1843,Artikel!$CG$7:$CG$1843,"Aussen")</f>
        <v>0</v>
      </c>
      <c r="H27" s="21" t="s">
        <v>30</v>
      </c>
      <c r="J27" s="26" t="n">
        <f aca="false">SUMIFS(Artikel!$AV$7:$AV$1843,Artikel!$CG$7:$CG$1843,"L1")+SUMIFS(Artikel!$AV$7:$AV$1843,Artikel!$CG$7:$CG$1843,"L23")+SUMIFS(Artikel!$AV$7:$AV$1843,Artikel!$CG$7:$CG$1843,"LIFT")-J26+SUMIFS(Artikel!$AV$7:$AV$1843,Artikel!$CG$7:$CG$1843,"Aussen")</f>
        <v>385957.159714854</v>
      </c>
      <c r="N27" s="21" t="s">
        <v>30</v>
      </c>
      <c r="P27" s="26" t="n">
        <f aca="false">SUMIFS(Artikel!$BF$7:$BF$1843,Artikel!$CG$7:$CG$1843,"L1")+SUMIFS(Artikel!$BF$7:$BF$1843,Artikel!$CG$7:$CG$1843,"L23")+SUMIFS(Artikel!$BF$7:$BF$1843,Artikel!$CG$7:$CG$1843,"LIFT")-P26+SUMIFS(Artikel!$BF$7:$BF$1843,Artikel!$CG$7:$CG$1843,"Aussen")</f>
        <v>0</v>
      </c>
    </row>
    <row r="28" customFormat="false" ht="15" hidden="false" customHeight="false" outlineLevel="0" collapsed="false">
      <c r="B28" s="21" t="s">
        <v>31</v>
      </c>
      <c r="D28" s="26" t="n">
        <f aca="false">SUMIFS(Artikel!$AL$7:$AL$1843,Artikel!$CG$7:$CG$1843,"-")</f>
        <v>282461.1042</v>
      </c>
      <c r="H28" s="21" t="s">
        <v>31</v>
      </c>
      <c r="J28" s="26" t="n">
        <f aca="false">SUMIFS(Artikel!$AV$7:$AV$1843,Artikel!$CG$7:$CG$1843,"-")</f>
        <v>637241.855</v>
      </c>
      <c r="N28" s="21" t="s">
        <v>31</v>
      </c>
      <c r="P28" s="26" t="n">
        <f aca="false">SUMIFS(Artikel!$BF$7:$BF$1843,Artikel!$CG$7:$CG$1843,"-")</f>
        <v>396068.985</v>
      </c>
    </row>
    <row r="30" customFormat="false" ht="15" hidden="false" customHeight="false" outlineLevel="0" collapsed="false">
      <c r="B30" s="5" t="s">
        <v>32</v>
      </c>
      <c r="D30" s="25" t="n">
        <f aca="false">SUMPRODUCT((Artikel!$H$7:$H$1843&gt;Artikel!$AM$7:$AM$1843)*1)</f>
        <v>818</v>
      </c>
      <c r="E30" s="8" t="s">
        <v>33</v>
      </c>
      <c r="H30" s="5" t="s">
        <v>32</v>
      </c>
      <c r="J30" s="25" t="n">
        <f aca="false">SUMPRODUCT((Artikel!$H$7:$H$1843&gt;Artikel!$AW$7:$AW$1843)*1)</f>
        <v>818</v>
      </c>
      <c r="K30" s="8" t="s">
        <v>33</v>
      </c>
      <c r="N30" s="5" t="s">
        <v>32</v>
      </c>
      <c r="P30" s="25" t="n">
        <f aca="false">SUMPRODUCT((Artikel!$H$7:$H$1843&gt;Artikel!$BG$7:$BG$1843)*1)</f>
        <v>833</v>
      </c>
      <c r="Q30" s="8" t="s">
        <v>33</v>
      </c>
    </row>
    <row r="31" customFormat="false" ht="15" hidden="false" customHeight="false" outlineLevel="0" collapsed="false">
      <c r="B31" s="21" t="s">
        <v>34</v>
      </c>
      <c r="D31" s="26" t="n">
        <f aca="false">SUMPRODUCT((Artikel!$H$7:$H$1843&gt;Artikel!$AM$7:$AM$1843)*(Artikel!$H$7:$H$1843-Artikel!$AM$7:$AM$1843)*Artikel!$G$7:$G$1843)</f>
        <v>1323944.0395</v>
      </c>
      <c r="H31" s="21" t="s">
        <v>34</v>
      </c>
      <c r="J31" s="26" t="n">
        <f aca="false">SUMPRODUCT((Artikel!$H$7:$H$1843&gt;Artikel!$AW$7:$AW$1843)*(Artikel!$H$7:$H$1843-Artikel!$AW$7:$AW$1843)*Artikel!$G$7:$G$1843)</f>
        <v>1323944.0395</v>
      </c>
      <c r="N31" s="21" t="s">
        <v>34</v>
      </c>
      <c r="P31" s="26" t="n">
        <f aca="false">SUMPRODUCT((Artikel!$H$7:$H$1843&gt;Artikel!$BG$7:$BG$1843)*(Artikel!$H$7:$H$1843-Artikel!$BG$7:$BG$1843)*Artikel!$G$7:$G$1843)</f>
        <v>1353565.4995</v>
      </c>
    </row>
    <row r="33" customFormat="false" ht="30" hidden="false" customHeight="true" outlineLevel="0" collapsed="false">
      <c r="B33" s="9" t="s">
        <v>35</v>
      </c>
      <c r="C33" s="9" t="s">
        <v>36</v>
      </c>
      <c r="D33" s="9" t="s">
        <v>37</v>
      </c>
      <c r="E33" s="9" t="s">
        <v>38</v>
      </c>
      <c r="F33" s="9" t="s">
        <v>39</v>
      </c>
      <c r="H33" s="9" t="s">
        <v>35</v>
      </c>
      <c r="I33" s="9" t="s">
        <v>36</v>
      </c>
      <c r="J33" s="9" t="s">
        <v>37</v>
      </c>
      <c r="K33" s="9" t="s">
        <v>38</v>
      </c>
      <c r="L33" s="9" t="s">
        <v>39</v>
      </c>
      <c r="N33" s="9" t="s">
        <v>35</v>
      </c>
      <c r="O33" s="9" t="s">
        <v>36</v>
      </c>
      <c r="P33" s="9" t="s">
        <v>37</v>
      </c>
      <c r="Q33" s="9" t="s">
        <v>38</v>
      </c>
      <c r="R33" s="9" t="s">
        <v>39</v>
      </c>
    </row>
    <row r="34" customFormat="false" ht="15" hidden="false" customHeight="false" outlineLevel="0" collapsed="false">
      <c r="B34" s="10" t="s">
        <v>16</v>
      </c>
      <c r="C34" s="12" t="n">
        <f aca="false">SUMIFS(Artikel!$AJ$7:$AJ$1843,Artikel!$CF$7:$CF$1843,1,Artikel!$CA$7:$CA$1843,0,Artikel!$CR$7:$CR$1843,0,Artikel!$CB$7:$CB$1843,0)</f>
        <v>839.928571428571</v>
      </c>
      <c r="D34" s="12" t="n">
        <f aca="false">SUMIFS(Artikel!$AJ$7:$AJ$1843,Artikel!$CF$7:$CF$1843,1,Artikel!$CR$7:$CR$1843,"&gt;0")</f>
        <v>10115</v>
      </c>
      <c r="E34" s="12" t="n">
        <f aca="false">SUMIFS(Artikel!$AJ$7:$AJ$1843,Artikel!$CF$7:$CF$1843,1,Artikel!$CA$7:$CA$1843,1,Artikel!$CR$7:$CR$1843,0)+SUMIFS(Artikel!$AJ$7:$AJ$1843,Artikel!$CF$7:$CF$1843,1,Artikel!$CB$7:$CB$1843,1,Artikel!$CR$7:$CR$1843,0)</f>
        <v>0</v>
      </c>
      <c r="F34" s="27" t="n">
        <f aca="false">IF(SUM(C34:E34)&gt;0,E34/SUM(C34:E34),0)</f>
        <v>0</v>
      </c>
      <c r="H34" s="10" t="s">
        <v>16</v>
      </c>
      <c r="I34" s="12" t="n">
        <f aca="false">SUMIFS(Artikel!$AT$7:$AT$1843,Artikel!$CF$7:$CF$1843,1,Artikel!$CA$7:$CA$1843,0,Artikel!$CR$7:$CR$1843,0,Artikel!$CB$7:$CB$1843,0)</f>
        <v>879.095238095238</v>
      </c>
      <c r="J34" s="12" t="n">
        <f aca="false">SUMIFS(Artikel!$AT$7:$AT$1843,Artikel!$CF$7:$CF$1843,1,Artikel!$CR$7:$CR$1843,"&gt;0")</f>
        <v>10686.4689265537</v>
      </c>
      <c r="K34" s="12" t="n">
        <f aca="false">SUMIFS(Artikel!$AT$7:$AT$1843,Artikel!$CF$7:$CF$1843,1,Artikel!$CA$7:$CA$1843,1,Artikel!$CR$7:$CR$1843,0)+SUMIFS(Artikel!$AT$7:$AT$1843,Artikel!$CF$7:$CF$1843,1,Artikel!$CB$7:$CB$1843,1,Artikel!$CR$7:$CR$1843,0)</f>
        <v>0</v>
      </c>
      <c r="L34" s="27" t="n">
        <f aca="false">IF(SUM(I34:K34)&gt;0,K34/SUM(I34:K34),0)</f>
        <v>0</v>
      </c>
      <c r="N34" s="10" t="s">
        <v>16</v>
      </c>
      <c r="O34" s="12" t="n">
        <f aca="false">SUMIFS(Artikel!$BD$7:$BD$1843,Artikel!$CF$7:$CF$1843,1,Artikel!$CA$7:$CA$1843,0,Artikel!$CR$7:$CR$1843,0,Artikel!$CB$7:$CB$1843,0)</f>
        <v>861.934523809524</v>
      </c>
      <c r="P34" s="12" t="n">
        <f aca="false">SUMIFS(Artikel!$BD$7:$BD$1843,Artikel!$CF$7:$CF$1843,1,Artikel!$CR$7:$CR$1843,"&gt;0")</f>
        <v>10457.8813559322</v>
      </c>
      <c r="Q34" s="12" t="n">
        <f aca="false">SUMIFS(Artikel!$BD$7:$BD$1843,Artikel!$CF$7:$CF$1843,1,Artikel!$CA$7:$CA$1843,1,Artikel!$CR$7:$CR$1843,0)+SUMIFS(Artikel!$BD$7:$BD$1843,Artikel!$CF$7:$CF$1843,1,Artikel!$CB$7:$CB$1843,1,Artikel!$CR$7:$CR$1843,0)</f>
        <v>0</v>
      </c>
      <c r="R34" s="27" t="n">
        <f aca="false">IF(SUM(O34:Q34)&gt;0,Q34/SUM(O34:Q34),0)</f>
        <v>0</v>
      </c>
    </row>
    <row r="35" customFormat="false" ht="15" hidden="false" customHeight="false" outlineLevel="0" collapsed="false">
      <c r="B35" s="10" t="s">
        <v>17</v>
      </c>
      <c r="C35" s="12" t="n">
        <f aca="false">SUMIFS(Artikel!$AJ$7:$AJ$1843,Artikel!$CF$7:$CF$1843,2,Artikel!$CA$7:$CA$1843,0,Artikel!$CR$7:$CR$1843,0,Artikel!$CB$7:$CB$1843,0)</f>
        <v>8874.65155677656</v>
      </c>
      <c r="D35" s="12" t="n">
        <f aca="false">SUMIFS(Artikel!$AJ$7:$AJ$1843,Artikel!$CF$7:$CF$1843,2,Artikel!$CR$7:$CR$1843,"&gt;0")</f>
        <v>0</v>
      </c>
      <c r="E35" s="12" t="n">
        <f aca="false">SUMIFS(Artikel!$AJ$7:$AJ$1843,Artikel!$CF$7:$CF$1843,2,Artikel!$CA$7:$CA$1843,1,Artikel!$CR$7:$CR$1843,0)+SUMIFS(Artikel!$AJ$7:$AJ$1843,Artikel!$CF$7:$CF$1843,2,Artikel!$CB$7:$CB$1843,1,Artikel!$CR$7:$CR$1843,0)</f>
        <v>1527.5</v>
      </c>
      <c r="F35" s="27" t="n">
        <f aca="false">IF(SUM(C35:E35)&gt;0,E35/SUM(C35:E35),0)</f>
        <v>0.146844620717423</v>
      </c>
      <c r="H35" s="10" t="s">
        <v>17</v>
      </c>
      <c r="I35" s="12" t="n">
        <f aca="false">SUMIFS(Artikel!$AT$7:$AT$1843,Artikel!$CF$7:$CF$1843,2,Artikel!$CA$7:$CA$1843,0,Artikel!$CR$7:$CR$1843,0,Artikel!$CB$7:$CB$1843,0)</f>
        <v>10767.9336080586</v>
      </c>
      <c r="J35" s="12" t="n">
        <f aca="false">SUMIFS(Artikel!$AT$7:$AT$1843,Artikel!$CF$7:$CF$1843,2,Artikel!$CR$7:$CR$1843,"&gt;0")</f>
        <v>0</v>
      </c>
      <c r="K35" s="12" t="n">
        <f aca="false">SUMIFS(Artikel!$AT$7:$AT$1843,Artikel!$CF$7:$CF$1843,2,Artikel!$CA$7:$CA$1843,1,Artikel!$CR$7:$CR$1843,0)+SUMIFS(Artikel!$AT$7:$AT$1843,Artikel!$CF$7:$CF$1843,2,Artikel!$CB$7:$CB$1843,1,Artikel!$CR$7:$CR$1843,0)</f>
        <v>3466.25</v>
      </c>
      <c r="L35" s="27" t="n">
        <f aca="false">IF(SUM(I35:K35)&gt;0,K35/SUM(I35:K35),0)</f>
        <v>0.243515897746155</v>
      </c>
      <c r="N35" s="10" t="s">
        <v>17</v>
      </c>
      <c r="O35" s="12" t="n">
        <f aca="false">SUMIFS(Artikel!$BD$7:$BD$1843,Artikel!$CF$7:$CF$1843,2,Artikel!$CA$7:$CA$1843,0,Artikel!$CR$7:$CR$1843,0,Artikel!$CB$7:$CB$1843,0)</f>
        <v>7287.36034798535</v>
      </c>
      <c r="P35" s="12" t="n">
        <f aca="false">SUMIFS(Artikel!$BD$7:$BD$1843,Artikel!$CF$7:$CF$1843,2,Artikel!$CR$7:$CR$1843,"&gt;0")</f>
        <v>0</v>
      </c>
      <c r="Q35" s="12" t="n">
        <f aca="false">SUMIFS(Artikel!$BD$7:$BD$1843,Artikel!$CF$7:$CF$1843,2,Artikel!$CA$7:$CA$1843,1,Artikel!$CR$7:$CR$1843,0)+SUMIFS(Artikel!$BD$7:$BD$1843,Artikel!$CF$7:$CF$1843,2,Artikel!$CB$7:$CB$1843,1,Artikel!$CR$7:$CR$1843,0)</f>
        <v>3231.25</v>
      </c>
      <c r="R35" s="27" t="n">
        <f aca="false">IF(SUM(O35:Q35)&gt;0,Q35/SUM(O35:Q35),0)</f>
        <v>0.307193620934812</v>
      </c>
    </row>
    <row r="36" customFormat="false" ht="15" hidden="false" customHeight="false" outlineLevel="0" collapsed="false">
      <c r="B36" s="10" t="s">
        <v>18</v>
      </c>
      <c r="C36" s="12" t="n">
        <f aca="false">SUMIFS(Artikel!$AJ$7:$AJ$1843,Artikel!$CF$7:$CF$1843,3,Artikel!$CA$7:$CA$1843,0,Artikel!$CR$7:$CR$1843,0,Artikel!$CB$7:$CB$1843,0)</f>
        <v>9317.38141025641</v>
      </c>
      <c r="D36" s="12" t="n">
        <f aca="false">SUMIFS(Artikel!$AJ$7:$AJ$1843,Artikel!$CF$7:$CF$1843,3,Artikel!$CR$7:$CR$1843,"&gt;0")</f>
        <v>0</v>
      </c>
      <c r="E36" s="12" t="n">
        <f aca="false">SUMIFS(Artikel!$AJ$7:$AJ$1843,Artikel!$CF$7:$CF$1843,3,Artikel!$CA$7:$CA$1843,1,Artikel!$CR$7:$CR$1843,0)+SUMIFS(Artikel!$AJ$7:$AJ$1843,Artikel!$CF$7:$CF$1843,3,Artikel!$CB$7:$CB$1843,1,Artikel!$CR$7:$CR$1843,0)</f>
        <v>2223.39743589744</v>
      </c>
      <c r="F36" s="27" t="n">
        <f aca="false">IF(SUM(C36:E36)&gt;0,E36/SUM(C36:E36),0)</f>
        <v>0.192655752747434</v>
      </c>
      <c r="H36" s="10" t="s">
        <v>18</v>
      </c>
      <c r="I36" s="12" t="n">
        <f aca="false">SUMIFS(Artikel!$AT$7:$AT$1843,Artikel!$CF$7:$CF$1843,3,Artikel!$CA$7:$CA$1843,0,Artikel!$CR$7:$CR$1843,0,Artikel!$CB$7:$CB$1843,0)</f>
        <v>10049.3919413919</v>
      </c>
      <c r="J36" s="12" t="n">
        <f aca="false">SUMIFS(Artikel!$AT$7:$AT$1843,Artikel!$CF$7:$CF$1843,3,Artikel!$CR$7:$CR$1843,"&gt;0")</f>
        <v>0</v>
      </c>
      <c r="K36" s="12" t="n">
        <f aca="false">SUMIFS(Artikel!$AT$7:$AT$1843,Artikel!$CF$7:$CF$1843,3,Artikel!$CA$7:$CA$1843,1,Artikel!$CR$7:$CR$1843,0)+SUMIFS(Artikel!$AT$7:$AT$1843,Artikel!$CF$7:$CF$1843,3,Artikel!$CB$7:$CB$1843,1,Artikel!$CR$7:$CR$1843,0)</f>
        <v>3522.62820512821</v>
      </c>
      <c r="L36" s="27" t="n">
        <f aca="false">IF(SUM(I36:K36)&gt;0,K36/SUM(I36:K36),0)</f>
        <v>0.259550764521331</v>
      </c>
      <c r="N36" s="10" t="s">
        <v>18</v>
      </c>
      <c r="O36" s="12" t="n">
        <f aca="false">SUMIFS(Artikel!$BD$7:$BD$1843,Artikel!$CF$7:$CF$1843,3,Artikel!$CA$7:$CA$1843,0,Artikel!$CR$7:$CR$1843,0,Artikel!$CB$7:$CB$1843,0)</f>
        <v>7460.00503663004</v>
      </c>
      <c r="P36" s="12" t="n">
        <f aca="false">SUMIFS(Artikel!$BD$7:$BD$1843,Artikel!$CF$7:$CF$1843,3,Artikel!$CR$7:$CR$1843,"&gt;0")</f>
        <v>0</v>
      </c>
      <c r="Q36" s="12" t="n">
        <f aca="false">SUMIFS(Artikel!$BD$7:$BD$1843,Artikel!$CF$7:$CF$1843,3,Artikel!$CA$7:$CA$1843,1,Artikel!$CR$7:$CR$1843,0)+SUMIFS(Artikel!$BD$7:$BD$1843,Artikel!$CF$7:$CF$1843,3,Artikel!$CB$7:$CB$1843,1,Artikel!$CR$7:$CR$1843,0)</f>
        <v>3299.80769230769</v>
      </c>
      <c r="R36" s="27" t="n">
        <f aca="false">IF(SUM(O36:Q36)&gt;0,Q36/SUM(O36:Q36),0)</f>
        <v>0.306678914906493</v>
      </c>
    </row>
    <row r="37" customFormat="false" ht="15" hidden="false" customHeight="false" outlineLevel="0" collapsed="false">
      <c r="B37" s="14" t="s">
        <v>40</v>
      </c>
      <c r="C37" s="16" t="n">
        <f aca="false">SUM(C34:C36)</f>
        <v>19031.9615384615</v>
      </c>
      <c r="D37" s="16" t="n">
        <f aca="false">SUM(D34:D36)</f>
        <v>10115</v>
      </c>
      <c r="E37" s="16" t="n">
        <f aca="false">SUM(E34:E36)</f>
        <v>3750.89743589744</v>
      </c>
      <c r="F37" s="13" t="n">
        <f aca="false">IF(SUM(C37:E37)&gt;0,E37/SUM(C37:E37),0)</f>
        <v>0.114016460427438</v>
      </c>
      <c r="H37" s="14" t="s">
        <v>40</v>
      </c>
      <c r="I37" s="16" t="n">
        <f aca="false">SUM(I34:I36)</f>
        <v>21696.4207875458</v>
      </c>
      <c r="J37" s="16" t="n">
        <f aca="false">SUM(J34:J36)</f>
        <v>10686.4689265537</v>
      </c>
      <c r="K37" s="16" t="n">
        <f aca="false">SUM(K34:K36)</f>
        <v>6988.87820512821</v>
      </c>
      <c r="L37" s="13" t="n">
        <f aca="false">IF(SUM(I37:K37)&gt;0,K37/SUM(I37:K37),0)</f>
        <v>0.177509890322073</v>
      </c>
      <c r="N37" s="14" t="s">
        <v>40</v>
      </c>
      <c r="O37" s="16" t="n">
        <f aca="false">SUM(O34:O36)</f>
        <v>15609.2999084249</v>
      </c>
      <c r="P37" s="16" t="n">
        <f aca="false">SUM(P34:P36)</f>
        <v>10457.8813559322</v>
      </c>
      <c r="Q37" s="16" t="n">
        <f aca="false">SUM(Q34:Q36)</f>
        <v>6531.05769230769</v>
      </c>
      <c r="R37" s="13" t="n">
        <f aca="false">IF(SUM(O37:Q37)&gt;0,Q37/SUM(O37:Q37),0)</f>
        <v>0.200350015870179</v>
      </c>
    </row>
    <row r="40" customFormat="false" ht="15" hidden="false" customHeight="false" outlineLevel="0" collapsed="false">
      <c r="B40" s="5" t="s">
        <v>41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3</v>
      </c>
      <c r="E40" s="5" t="str">
        <f aca="false">"A3: "&amp;LEFT(O5,1)&amp;IF(LEFT(O5,1)="A",""," LU "&amp;O6)</f>
        <v>A3: B LU 4</v>
      </c>
      <c r="F40" s="5" t="s">
        <v>42</v>
      </c>
    </row>
    <row r="41" customFormat="false" ht="15" hidden="false" customHeight="false" outlineLevel="0" collapsed="false">
      <c r="B41" s="21" t="s">
        <v>43</v>
      </c>
      <c r="C41" s="28" t="n">
        <f aca="false">F9</f>
        <v>0.920582232893157</v>
      </c>
      <c r="D41" s="28" t="n">
        <f aca="false">L9</f>
        <v>0.971896148289825</v>
      </c>
      <c r="E41" s="28" t="n">
        <f aca="false">R9</f>
        <v>0.95124503191107</v>
      </c>
      <c r="F41" s="28" t="n">
        <v>1</v>
      </c>
    </row>
    <row r="42" customFormat="false" ht="15" hidden="false" customHeight="false" outlineLevel="0" collapsed="false">
      <c r="B42" s="21" t="s">
        <v>44</v>
      </c>
      <c r="C42" s="28" t="n">
        <f aca="false">F10</f>
        <v>0.8741303829224</v>
      </c>
      <c r="D42" s="28" t="n">
        <f aca="false">L10</f>
        <v>1.19614988303014</v>
      </c>
      <c r="E42" s="28" t="n">
        <f aca="false">R10</f>
        <v>0.883916835965155</v>
      </c>
      <c r="F42" s="28" t="n">
        <v>1</v>
      </c>
    </row>
    <row r="43" customFormat="false" ht="15" hidden="false" customHeight="false" outlineLevel="0" collapsed="false">
      <c r="B43" s="21" t="s">
        <v>45</v>
      </c>
      <c r="C43" s="28" t="n">
        <f aca="false">F11</f>
        <v>0.96981334841629</v>
      </c>
      <c r="D43" s="28" t="n">
        <f aca="false">L11</f>
        <v>1.14050589466556</v>
      </c>
      <c r="E43" s="28" t="n">
        <f aca="false">R11</f>
        <v>0.904185943608213</v>
      </c>
      <c r="F43" s="28" t="n">
        <v>1</v>
      </c>
    </row>
    <row r="44" customFormat="false" ht="15" hidden="false" customHeight="false" outlineLevel="0" collapsed="false">
      <c r="B44" s="21" t="s">
        <v>46</v>
      </c>
      <c r="C44" s="28" t="n">
        <f aca="false">F12</f>
        <v>0.921971865669345</v>
      </c>
      <c r="D44" s="28" t="n">
        <f aca="false">L12</f>
        <v>1.16832788884785</v>
      </c>
      <c r="E44" s="28" t="n">
        <f aca="false">R12</f>
        <v>0.894051389786684</v>
      </c>
      <c r="F44" s="28" t="n">
        <v>1</v>
      </c>
    </row>
    <row r="45" customFormat="false" ht="15" hidden="false" customHeight="false" outlineLevel="0" collapsed="false">
      <c r="B45" s="21" t="s">
        <v>40</v>
      </c>
      <c r="C45" s="28" t="n">
        <f aca="false">F13</f>
        <v>0.921508654743949</v>
      </c>
      <c r="D45" s="28" t="n">
        <f aca="false">L13</f>
        <v>1.10285064199517</v>
      </c>
      <c r="E45" s="28" t="n">
        <f aca="false">R13</f>
        <v>0.913115937161479</v>
      </c>
      <c r="F45" s="28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{2FA8ED40-7FC5-4449-8361-816161E5F014}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{60234965-965D-472F-A1A2-1A71A5B95D74}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{695CBF7C-357E-4B4B-9861-18D3F4FA23AA}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A8ED40-7FC5-4449-8361-816161E5F014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60234965-965D-472F-A1A2-1A71A5B95D74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695CBF7C-357E-4B4B-9861-18D3F4FA23AA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1:R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5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40"/>
    <col collapsed="false" customWidth="true" hidden="true" outlineLevel="0" max="18" min="18" style="0" width="4"/>
  </cols>
  <sheetData>
    <row r="1" customFormat="false" ht="19.7" hidden="false" customHeight="false" outlineLevel="0" collapsed="false">
      <c r="B1" s="1" t="s">
        <v>47</v>
      </c>
    </row>
    <row r="2" customFormat="false" ht="15" hidden="false" customHeight="false" outlineLevel="0" collapsed="false">
      <c r="B2" s="3" t="s">
        <v>48</v>
      </c>
    </row>
    <row r="3" customFormat="false" ht="15" hidden="false" customHeight="false" outlineLevel="0" collapsed="false">
      <c r="B3" s="3" t="s">
        <v>49</v>
      </c>
    </row>
    <row r="5" customFormat="false" ht="27.75" hidden="false" customHeight="true" outlineLevel="0" collapsed="false">
      <c r="B5" s="5" t="s">
        <v>50</v>
      </c>
      <c r="C5" s="6" t="s">
        <v>51</v>
      </c>
      <c r="D5" s="6"/>
      <c r="E5" s="6"/>
      <c r="G5" s="29" t="s">
        <v>52</v>
      </c>
      <c r="H5" s="29"/>
      <c r="I5" s="29" t="s">
        <v>53</v>
      </c>
      <c r="J5" s="29"/>
      <c r="K5" s="29" t="s">
        <v>54</v>
      </c>
      <c r="L5" s="29"/>
      <c r="M5" s="29" t="s">
        <v>55</v>
      </c>
      <c r="N5" s="29"/>
      <c r="O5" s="29" t="s">
        <v>56</v>
      </c>
      <c r="P5" s="29"/>
      <c r="Q5" s="29" t="s">
        <v>57</v>
      </c>
      <c r="R5" s="29"/>
    </row>
    <row r="6" customFormat="false" ht="15" hidden="false" customHeight="false" outlineLevel="0" collapsed="false">
      <c r="B6" s="5" t="s">
        <v>58</v>
      </c>
      <c r="C6" s="30" t="n">
        <v>4</v>
      </c>
      <c r="G6" s="31" t="n">
        <f aca="false">COUNT(Artikel!$CS$7:$CS$1843)</f>
        <v>1463</v>
      </c>
      <c r="H6" s="31"/>
      <c r="I6" s="31" t="n">
        <f aca="false">COUNTIFS(Artikel!$CT$7:$CT$1843,"&lt;1")</f>
        <v>927</v>
      </c>
      <c r="J6" s="31"/>
      <c r="K6" s="31" t="n">
        <f aca="false">SUMIFS(Artikel!$CU$7:$CU$1843,Artikel!$CT$7:$CT$1843,"&lt;1")</f>
        <v>1752756.156</v>
      </c>
      <c r="L6" s="31"/>
      <c r="M6" s="31" t="n">
        <f aca="false">SUM(Artikel!$CW$7:$CW$1843)</f>
        <v>1698320.0975</v>
      </c>
      <c r="N6" s="31"/>
      <c r="O6" s="31" t="n">
        <f aca="false">SUM(Artikel!$CX$7:$CX$1843)</f>
        <v>15705.7736033721</v>
      </c>
      <c r="P6" s="31"/>
      <c r="Q6" s="32" t="n">
        <f aca="false">IF(SUM(Artikel!$CW$7:$CW$1843)&gt;0,SUM(O11:O60)/SUM(Artikel!$CW$7:$CW$1843),0)</f>
        <v>0.288525034662966</v>
      </c>
      <c r="R6" s="32"/>
    </row>
    <row r="7" customFormat="false" ht="15" hidden="false" customHeight="false" outlineLevel="0" collapsed="false">
      <c r="G7" s="31"/>
      <c r="H7" s="31"/>
      <c r="I7" s="31"/>
      <c r="J7" s="31"/>
      <c r="K7" s="31"/>
      <c r="L7" s="31"/>
      <c r="M7" s="31"/>
      <c r="N7" s="31"/>
      <c r="O7" s="31"/>
      <c r="P7" s="31"/>
      <c r="Q7" s="32"/>
      <c r="R7" s="32"/>
    </row>
    <row r="10" customFormat="false" ht="30" hidden="false" customHeight="true" outlineLevel="0" collapsed="false">
      <c r="B10" s="33" t="s">
        <v>59</v>
      </c>
      <c r="C10" s="33" t="s">
        <v>60</v>
      </c>
      <c r="D10" s="33" t="s">
        <v>61</v>
      </c>
      <c r="E10" s="33" t="s">
        <v>62</v>
      </c>
      <c r="F10" s="33" t="s">
        <v>63</v>
      </c>
      <c r="G10" s="33" t="s">
        <v>64</v>
      </c>
      <c r="H10" s="33" t="s">
        <v>65</v>
      </c>
      <c r="I10" s="33" t="s">
        <v>66</v>
      </c>
      <c r="J10" s="33" t="s">
        <v>67</v>
      </c>
      <c r="K10" s="33" t="s">
        <v>68</v>
      </c>
      <c r="L10" s="33" t="s">
        <v>69</v>
      </c>
      <c r="M10" s="33" t="s">
        <v>70</v>
      </c>
      <c r="N10" s="33" t="s">
        <v>71</v>
      </c>
      <c r="O10" s="33" t="s">
        <v>72</v>
      </c>
      <c r="P10" s="33" t="s">
        <v>73</v>
      </c>
      <c r="Q10" s="33" t="s">
        <v>74</v>
      </c>
    </row>
    <row r="11" customFormat="false" ht="15" hidden="false" customHeight="false" outlineLevel="0" collapsed="false">
      <c r="B11" s="34" t="n">
        <v>1</v>
      </c>
      <c r="C11" s="35" t="str">
        <f aca="false">IF($R11="","",INDEX(Artikel!$A$7:$A$1843,$R11))</f>
        <v>107067</v>
      </c>
      <c r="D11" s="35" t="str">
        <f aca="false">IF($R11="","",INDEX(Artikel!$B$7:$B$1843,$R11))</f>
        <v>Rohr Anschweissstück DN125</v>
      </c>
      <c r="E11" s="35" t="n">
        <f aca="false">IF($R11="","",INDEX(Artikel!$CF$7:$CF$1843,$R11))</f>
        <v>2</v>
      </c>
      <c r="F11" s="35" t="str">
        <f aca="false">IF($R11="","",INDEX(Artikel!$BY$7:$BY$1843,$R11))</f>
        <v>S81</v>
      </c>
      <c r="G11" s="36" t="n">
        <f aca="false">IF($R11="","",INDEX(Artikel!$H$7:$H$1843,$R11))</f>
        <v>26</v>
      </c>
      <c r="H11" s="36" t="n">
        <f aca="false">IF($R11="","",INDEX(Artikel!$J$7:$J$1843,$R11))</f>
        <v>0</v>
      </c>
      <c r="I11" s="37" t="n">
        <f aca="false">IF($R11="","",INDEX(Artikel!$CT$7:$CT$1843,$R11))</f>
        <v>0</v>
      </c>
      <c r="J11" s="36" t="n">
        <f aca="false">IF($R11="","",INDEX(Artikel!$CU$7:$CU$1843,$R11))</f>
        <v>20410</v>
      </c>
      <c r="K11" s="36" t="n">
        <f aca="false">IF($R11="","",INDEX(Artikel!$CS$7:$CS$1843,$R11))</f>
        <v>352.5</v>
      </c>
      <c r="L11" s="38" t="n">
        <f aca="false">IF($R11="","",K11/Parameter!$M$24)</f>
        <v>1.5</v>
      </c>
      <c r="M11" s="37" t="n">
        <f aca="false">IF($R11="","",INDEX(Artikel!$CY$7:$CY$1843,$R11))</f>
        <v>2.975</v>
      </c>
      <c r="N11" s="36" t="n">
        <f aca="false">IF($R11="","",INDEX(Artikel!$CV$7:$CV$1843,$R11))</f>
        <v>0.5</v>
      </c>
      <c r="O11" s="36" t="n">
        <f aca="false">IF($R11="","",INDEX(Artikel!$CW$7:$CW$1843,$R11))</f>
        <v>20017.5</v>
      </c>
      <c r="P11" s="36" t="n">
        <f aca="false">IF($R11="","",INDEX(Artikel!$CX$7:$CX$1843,$R11))</f>
        <v>345.721153846154</v>
      </c>
      <c r="Q11" s="39" t="str">
        <f aca="false">IF($R11="","",TRIM(INDEX(Artikel!$BO$7:$BO$1843,$R11)&amp;IF(INDEX(Artikel!$BP$7:$BP$1843,$R11)&lt;&gt;""," → "&amp;INDEX(Artikel!$BP$7:$BP$1843,$R11),"")))</f>
        <v/>
      </c>
      <c r="R11" s="40" t="n">
        <f aca="false">IFERROR(MATCH(LARGE(Artikel!$CZ$7:$CZ$1843,B11),Artikel!$CZ$7:$CZ$1843,0),"")</f>
        <v>1668</v>
      </c>
    </row>
    <row r="12" customFormat="false" ht="15" hidden="false" customHeight="false" outlineLevel="0" collapsed="false">
      <c r="B12" s="34" t="n">
        <v>2</v>
      </c>
      <c r="C12" s="35" t="str">
        <f aca="false">IF($R12="","",INDEX(Artikel!$A$7:$A$1843,$R12))</f>
        <v>108475</v>
      </c>
      <c r="D12" s="35" t="str">
        <f aca="false">IF($R12="","",INDEX(Artikel!$B$7:$B$1843,$R12))</f>
        <v>Austrittsdüse SPGr10</v>
      </c>
      <c r="E12" s="35" t="n">
        <f aca="false">IF($R12="","",INDEX(Artikel!$CF$7:$CF$1843,$R12))</f>
        <v>1</v>
      </c>
      <c r="F12" s="35" t="str">
        <f aca="false">IF($R12="","",INDEX(Artikel!$BY$7:$BY$1843,$R12))</f>
        <v>LOSE</v>
      </c>
      <c r="G12" s="36" t="n">
        <f aca="false">IF($R12="","",INDEX(Artikel!$H$7:$H$1843,$R12))</f>
        <v>9</v>
      </c>
      <c r="H12" s="36" t="n">
        <f aca="false">IF($R12="","",INDEX(Artikel!$J$7:$J$1843,$R12))</f>
        <v>0</v>
      </c>
      <c r="I12" s="37" t="n">
        <f aca="false">IF($R12="","",INDEX(Artikel!$CT$7:$CT$1843,$R12))</f>
        <v>0</v>
      </c>
      <c r="J12" s="36" t="n">
        <f aca="false">IF($R12="","",INDEX(Artikel!$CU$7:$CU$1843,$R12))</f>
        <v>18077.94</v>
      </c>
      <c r="K12" s="36" t="n">
        <f aca="false">IF($R12="","",INDEX(Artikel!$CS$7:$CS$1843,$R12))</f>
        <v>190.489642184557</v>
      </c>
      <c r="L12" s="38" t="n">
        <f aca="false">IF($R12="","",K12/Parameter!$M$24)</f>
        <v>0.810594222061947</v>
      </c>
      <c r="M12" s="37" t="n">
        <f aca="false">IF($R12="","",INDEX(Artikel!$CY$7:$CY$1843,$R12))</f>
        <v>2.961</v>
      </c>
      <c r="N12" s="36" t="n">
        <f aca="false">IF($R12="","",INDEX(Artikel!$CV$7:$CV$1843,$R12))</f>
        <v>2.5</v>
      </c>
      <c r="O12" s="36" t="n">
        <f aca="false">IF($R12="","",INDEX(Artikel!$CW$7:$CW$1843,$R12))</f>
        <v>13056.29</v>
      </c>
      <c r="P12" s="36" t="n">
        <f aca="false">IF($R12="","",INDEX(Artikel!$CX$7:$CX$1843,$R12))</f>
        <v>137.575852688847</v>
      </c>
      <c r="Q12" s="39" t="str">
        <f aca="false">IF($R12="","",TRIM(INDEX(Artikel!$BO$7:$BO$1843,$R12)&amp;IF(INDEX(Artikel!$BP$7:$BP$1843,$R12)&lt;&gt;""," → "&amp;INDEX(Artikel!$BP$7:$BP$1843,$R12),"")))</f>
        <v/>
      </c>
      <c r="R12" s="40" t="n">
        <f aca="false">IFERROR(MATCH(LARGE(Artikel!$CZ$7:$CZ$1843,B12),Artikel!$CZ$7:$CZ$1843,0),"")</f>
        <v>1345</v>
      </c>
    </row>
    <row r="13" customFormat="false" ht="15" hidden="false" customHeight="false" outlineLevel="0" collapsed="false">
      <c r="B13" s="34" t="n">
        <v>3</v>
      </c>
      <c r="C13" s="35" t="str">
        <f aca="false">IF($R13="","",INDEX(Artikel!$A$7:$A$1843,$R13))</f>
        <v>005061</v>
      </c>
      <c r="D13" s="35" t="str">
        <f aca="false">IF($R13="","",INDEX(Artikel!$B$7:$B$1843,$R13))</f>
        <v>Ringwellschlauch</v>
      </c>
      <c r="E13" s="35" t="n">
        <f aca="false">IF($R13="","",INDEX(Artikel!$CF$7:$CF$1843,$R13))</f>
        <v>2</v>
      </c>
      <c r="F13" s="35" t="str">
        <f aca="false">IF($R13="","",INDEX(Artikel!$BY$7:$BY$1843,$R13))</f>
        <v>S81</v>
      </c>
      <c r="G13" s="36" t="n">
        <f aca="false">IF($R13="","",INDEX(Artikel!$H$7:$H$1843,$R13))</f>
        <v>66</v>
      </c>
      <c r="H13" s="36" t="n">
        <f aca="false">IF($R13="","",INDEX(Artikel!$J$7:$J$1843,$R13))</f>
        <v>0</v>
      </c>
      <c r="I13" s="37" t="n">
        <f aca="false">IF($R13="","",INDEX(Artikel!$CT$7:$CT$1843,$R13))</f>
        <v>0</v>
      </c>
      <c r="J13" s="36" t="n">
        <f aca="false">IF($R13="","",INDEX(Artikel!$CU$7:$CU$1843,$R13))</f>
        <v>12972.96</v>
      </c>
      <c r="K13" s="36" t="n">
        <f aca="false">IF($R13="","",INDEX(Artikel!$CS$7:$CS$1843,$R13))</f>
        <v>117.5</v>
      </c>
      <c r="L13" s="38" t="n">
        <f aca="false">IF($R13="","",K13/Parameter!$M$24)</f>
        <v>0.5</v>
      </c>
      <c r="M13" s="37" t="n">
        <f aca="false">IF($R13="","",INDEX(Artikel!$CY$7:$CY$1843,$R13))</f>
        <v>2.928</v>
      </c>
      <c r="N13" s="36" t="n">
        <f aca="false">IF($R13="","",INDEX(Artikel!$CV$7:$CV$1843,$R13))</f>
        <v>0.5</v>
      </c>
      <c r="O13" s="36" t="n">
        <f aca="false">IF($R13="","",INDEX(Artikel!$CW$7:$CW$1843,$R13))</f>
        <v>12874.68</v>
      </c>
      <c r="P13" s="36" t="n">
        <f aca="false">IF($R13="","",INDEX(Artikel!$CX$7:$CX$1843,$R13))</f>
        <v>116.609848484848</v>
      </c>
      <c r="Q13" s="39" t="str">
        <f aca="false">IF($R13="","",TRIM(INDEX(Artikel!$BO$7:$BO$1843,$R13)&amp;IF(INDEX(Artikel!$BP$7:$BP$1843,$R13)&lt;&gt;""," → "&amp;INDEX(Artikel!$BP$7:$BP$1843,$R13),"")))</f>
        <v/>
      </c>
      <c r="R13" s="40" t="n">
        <f aca="false">IFERROR(MATCH(LARGE(Artikel!$CZ$7:$CZ$1843,B13),Artikel!$CZ$7:$CZ$1843,0),"")</f>
        <v>43</v>
      </c>
    </row>
    <row r="14" customFormat="false" ht="15" hidden="false" customHeight="false" outlineLevel="0" collapsed="false">
      <c r="B14" s="34" t="n">
        <v>4</v>
      </c>
      <c r="C14" s="35" t="str">
        <f aca="false">IF($R14="","",INDEX(Artikel!$A$7:$A$1843,$R14))</f>
        <v>106185_MAT</v>
      </c>
      <c r="D14" s="35" t="str">
        <f aca="false">IF($R14="","",INDEX(Artikel!$B$7:$B$1843,$R14))</f>
        <v>Rohmaterial zu 106185</v>
      </c>
      <c r="E14" s="35" t="n">
        <f aca="false">IF($R14="","",INDEX(Artikel!$CF$7:$CF$1843,$R14))</f>
        <v>2</v>
      </c>
      <c r="F14" s="35" t="str">
        <f aca="false">IF($R14="","",INDEX(Artikel!$BY$7:$BY$1843,$R14))</f>
        <v>S81</v>
      </c>
      <c r="G14" s="36" t="n">
        <f aca="false">IF($R14="","",INDEX(Artikel!$H$7:$H$1843,$R14))</f>
        <v>23</v>
      </c>
      <c r="H14" s="36" t="n">
        <f aca="false">IF($R14="","",INDEX(Artikel!$J$7:$J$1843,$R14))</f>
        <v>0</v>
      </c>
      <c r="I14" s="37" t="n">
        <f aca="false">IF($R14="","",INDEX(Artikel!$CT$7:$CT$1843,$R14))</f>
        <v>0</v>
      </c>
      <c r="J14" s="36" t="n">
        <f aca="false">IF($R14="","",INDEX(Artikel!$CU$7:$CU$1843,$R14))</f>
        <v>51258.95</v>
      </c>
      <c r="K14" s="36" t="n">
        <f aca="false">IF($R14="","",INDEX(Artikel!$CS$7:$CS$1843,$R14))</f>
        <v>58.75</v>
      </c>
      <c r="L14" s="38" t="n">
        <f aca="false">IF($R14="","",K14/Parameter!$M$24)</f>
        <v>0.25</v>
      </c>
      <c r="M14" s="37" t="n">
        <f aca="false">IF($R14="","",INDEX(Artikel!$CY$7:$CY$1843,$R14))</f>
        <v>2.912</v>
      </c>
      <c r="N14" s="36" t="n">
        <f aca="false">IF($R14="","",INDEX(Artikel!$CV$7:$CV$1843,$R14))</f>
        <v>0.5</v>
      </c>
      <c r="O14" s="36" t="n">
        <f aca="false">IF($R14="","",INDEX(Artikel!$CW$7:$CW$1843,$R14))</f>
        <v>50144.625</v>
      </c>
      <c r="P14" s="36" t="n">
        <f aca="false">IF($R14="","",INDEX(Artikel!$CX$7:$CX$1843,$R14))</f>
        <v>57.4728260869565</v>
      </c>
      <c r="Q14" s="39" t="str">
        <f aca="false">IF($R14="","",TRIM(INDEX(Artikel!$BO$7:$BO$1843,$R14)&amp;IF(INDEX(Artikel!$BP$7:$BP$1843,$R14)&lt;&gt;""," → "&amp;INDEX(Artikel!$BP$7:$BP$1843,$R14),"")))</f>
        <v/>
      </c>
      <c r="R14" s="40" t="n">
        <f aca="false">IFERROR(MATCH(LARGE(Artikel!$CZ$7:$CZ$1843,B14),Artikel!$CZ$7:$CZ$1843,0),"")</f>
        <v>6</v>
      </c>
    </row>
    <row r="15" customFormat="false" ht="32.8" hidden="false" customHeight="false" outlineLevel="0" collapsed="false">
      <c r="B15" s="34" t="n">
        <v>5</v>
      </c>
      <c r="C15" s="35" t="str">
        <f aca="false">IF($R15="","",INDEX(Artikel!$A$7:$A$1843,$R15))</f>
        <v>106184_MAT</v>
      </c>
      <c r="D15" s="35" t="str">
        <f aca="false">IF($R15="","",INDEX(Artikel!$B$7:$B$1843,$R15))</f>
        <v>Rohmaterial zu 106184</v>
      </c>
      <c r="E15" s="35" t="n">
        <f aca="false">IF($R15="","",INDEX(Artikel!$CF$7:$CF$1843,$R15))</f>
        <v>2</v>
      </c>
      <c r="F15" s="35" t="str">
        <f aca="false">IF($R15="","",INDEX(Artikel!$BY$7:$BY$1843,$R15))</f>
        <v>S81</v>
      </c>
      <c r="G15" s="36" t="n">
        <f aca="false">IF($R15="","",INDEX(Artikel!$H$7:$H$1843,$R15))</f>
        <v>23</v>
      </c>
      <c r="H15" s="36" t="n">
        <f aca="false">IF($R15="","",INDEX(Artikel!$J$7:$J$1843,$R15))</f>
        <v>0</v>
      </c>
      <c r="I15" s="37" t="n">
        <f aca="false">IF($R15="","",INDEX(Artikel!$CT$7:$CT$1843,$R15))</f>
        <v>0</v>
      </c>
      <c r="J15" s="36" t="n">
        <f aca="false">IF($R15="","",INDEX(Artikel!$CU$7:$CU$1843,$R15))</f>
        <v>40274.84</v>
      </c>
      <c r="K15" s="36" t="n">
        <f aca="false">IF($R15="","",INDEX(Artikel!$CS$7:$CS$1843,$R15))</f>
        <v>58.75</v>
      </c>
      <c r="L15" s="38" t="n">
        <f aca="false">IF($R15="","",K15/Parameter!$M$24)</f>
        <v>0.25</v>
      </c>
      <c r="M15" s="37" t="n">
        <f aca="false">IF($R15="","",INDEX(Artikel!$CY$7:$CY$1843,$R15))</f>
        <v>2.91</v>
      </c>
      <c r="N15" s="36" t="n">
        <f aca="false">IF($R15="","",INDEX(Artikel!$CV$7:$CV$1843,$R15))</f>
        <v>0.5</v>
      </c>
      <c r="O15" s="36" t="n">
        <f aca="false">IF($R15="","",INDEX(Artikel!$CW$7:$CW$1843,$R15))</f>
        <v>39399.3</v>
      </c>
      <c r="P15" s="36" t="n">
        <f aca="false">IF($R15="","",INDEX(Artikel!$CX$7:$CX$1843,$R15))</f>
        <v>57.4728260869565</v>
      </c>
      <c r="Q15" s="39" t="str">
        <f aca="false">IF($R15="","",TRIM(INDEX(Artikel!$BO$7:$BO$1843,$R15)&amp;IF(INDEX(Artikel!$BP$7:$BP$1843,$R15)&lt;&gt;""," → "&amp;INDEX(Artikel!$BP$7:$BP$1843,$R15),"")))</f>
        <v>Bedarf Niederurnen 8 Stk. + FC Bedarf war höher + WBZ 70 Tage, führten zu Bestellungen, Bedarf hat sich verschoben, Bestellungen wurden nicht angepasst. → Umarbeit möglich?</v>
      </c>
      <c r="R15" s="40" t="n">
        <f aca="false">IFERROR(MATCH(LARGE(Artikel!$CZ$7:$CZ$1843,B15),Artikel!$CZ$7:$CZ$1843,0),"")</f>
        <v>8</v>
      </c>
    </row>
    <row r="16" customFormat="false" ht="15" hidden="false" customHeight="false" outlineLevel="0" collapsed="false">
      <c r="B16" s="34" t="n">
        <v>6</v>
      </c>
      <c r="C16" s="35" t="str">
        <f aca="false">IF($R16="","",INDEX(Artikel!$A$7:$A$1843,$R16))</f>
        <v>105315_MAT</v>
      </c>
      <c r="D16" s="35" t="str">
        <f aca="false">IF($R16="","",INDEX(Artikel!$B$7:$B$1843,$R16))</f>
        <v>Rohmaterial zu 105315</v>
      </c>
      <c r="E16" s="35" t="n">
        <f aca="false">IF($R16="","",INDEX(Artikel!$CF$7:$CF$1843,$R16))</f>
        <v>2</v>
      </c>
      <c r="F16" s="35" t="str">
        <f aca="false">IF($R16="","",INDEX(Artikel!$BY$7:$BY$1843,$R16))</f>
        <v>S81</v>
      </c>
      <c r="G16" s="36" t="n">
        <f aca="false">IF($R16="","",INDEX(Artikel!$H$7:$H$1843,$R16))</f>
        <v>75</v>
      </c>
      <c r="H16" s="36" t="n">
        <f aca="false">IF($R16="","",INDEX(Artikel!$J$7:$J$1843,$R16))</f>
        <v>0</v>
      </c>
      <c r="I16" s="37" t="n">
        <f aca="false">IF($R16="","",INDEX(Artikel!$CT$7:$CT$1843,$R16))</f>
        <v>0</v>
      </c>
      <c r="J16" s="36" t="n">
        <f aca="false">IF($R16="","",INDEX(Artikel!$CU$7:$CU$1843,$R16))</f>
        <v>29937.75</v>
      </c>
      <c r="K16" s="36" t="n">
        <f aca="false">IF($R16="","",INDEX(Artikel!$CS$7:$CS$1843,$R16))</f>
        <v>58.75</v>
      </c>
      <c r="L16" s="38" t="n">
        <f aca="false">IF($R16="","",K16/Parameter!$M$24)</f>
        <v>0.25</v>
      </c>
      <c r="M16" s="37" t="n">
        <f aca="false">IF($R16="","",INDEX(Artikel!$CY$7:$CY$1843,$R16))</f>
        <v>2.905</v>
      </c>
      <c r="N16" s="36" t="n">
        <f aca="false">IF($R16="","",INDEX(Artikel!$CV$7:$CV$1843,$R16))</f>
        <v>0.5</v>
      </c>
      <c r="O16" s="36" t="n">
        <f aca="false">IF($R16="","",INDEX(Artikel!$CW$7:$CW$1843,$R16))</f>
        <v>29738.165</v>
      </c>
      <c r="P16" s="36" t="n">
        <f aca="false">IF($R16="","",INDEX(Artikel!$CX$7:$CX$1843,$R16))</f>
        <v>58.3583333333333</v>
      </c>
      <c r="Q16" s="39" t="str">
        <f aca="false">IF($R16="","",TRIM(INDEX(Artikel!$BO$7:$BO$1843,$R16)&amp;IF(INDEX(Artikel!$BP$7:$BP$1843,$R16)&lt;&gt;""," → "&amp;INDEX(Artikel!$BP$7:$BP$1843,$R16),"")))</f>
        <v/>
      </c>
      <c r="R16" s="40" t="n">
        <f aca="false">IFERROR(MATCH(LARGE(Artikel!$CZ$7:$CZ$1843,B16),Artikel!$CZ$7:$CZ$1843,0),"")</f>
        <v>11</v>
      </c>
    </row>
    <row r="17" customFormat="false" ht="32.8" hidden="false" customHeight="false" outlineLevel="0" collapsed="false">
      <c r="B17" s="34" t="n">
        <v>7</v>
      </c>
      <c r="C17" s="35" t="str">
        <f aca="false">IF($R17="","",INDEX(Artikel!$A$7:$A$1843,$R17))</f>
        <v>111227</v>
      </c>
      <c r="D17" s="35" t="str">
        <f aca="false">IF($R17="","",INDEX(Artikel!$B$7:$B$1843,$R17))</f>
        <v>Konstanthänger</v>
      </c>
      <c r="E17" s="35" t="n">
        <f aca="false">IF($R17="","",INDEX(Artikel!$CF$7:$CF$1843,$R17))</f>
        <v>1</v>
      </c>
      <c r="F17" s="35" t="str">
        <f aca="false">IF($R17="","",INDEX(Artikel!$BY$7:$BY$1843,$R17))</f>
        <v>LOSE</v>
      </c>
      <c r="G17" s="36" t="n">
        <f aca="false">IF($R17="","",INDEX(Artikel!$H$7:$H$1843,$R17))</f>
        <v>4</v>
      </c>
      <c r="H17" s="36" t="n">
        <f aca="false">IF($R17="","",INDEX(Artikel!$J$7:$J$1843,$R17))</f>
        <v>0</v>
      </c>
      <c r="I17" s="37" t="n">
        <f aca="false">IF($R17="","",INDEX(Artikel!$CT$7:$CT$1843,$R17))</f>
        <v>0</v>
      </c>
      <c r="J17" s="36" t="n">
        <f aca="false">IF($R17="","",INDEX(Artikel!$CU$7:$CU$1843,$R17))</f>
        <v>5707.12</v>
      </c>
      <c r="K17" s="36" t="n">
        <f aca="false">IF($R17="","",INDEX(Artikel!$CS$7:$CS$1843,$R17))</f>
        <v>152.391713747646</v>
      </c>
      <c r="L17" s="38" t="n">
        <f aca="false">IF($R17="","",K17/Parameter!$M$24)</f>
        <v>0.648475377649557</v>
      </c>
      <c r="M17" s="37" t="n">
        <f aca="false">IF($R17="","",INDEX(Artikel!$CY$7:$CY$1843,$R17))</f>
        <v>2.892</v>
      </c>
      <c r="N17" s="36" t="n">
        <f aca="false">IF($R17="","",INDEX(Artikel!$CV$7:$CV$1843,$R17))</f>
        <v>3</v>
      </c>
      <c r="O17" s="36" t="n">
        <f aca="false">IF($R17="","",INDEX(Artikel!$CW$7:$CW$1843,$R17))</f>
        <v>1426.78</v>
      </c>
      <c r="P17" s="36" t="n">
        <f aca="false">IF($R17="","",INDEX(Artikel!$CX$7:$CX$1843,$R17))</f>
        <v>38.0979284369115</v>
      </c>
      <c r="Q17" s="39" t="str">
        <f aca="false">IF($R17="","",TRIM(INDEX(Artikel!$BO$7:$BO$1843,$R17)&amp;IF(INDEX(Artikel!$BP$7:$BP$1843,$R17)&lt;&gt;""," → "&amp;INDEX(Artikel!$BP$7:$BP$1843,$R17),"")))</f>
        <v>Sehr hohe WBZ, daher Bedarf wurde vermutlich Angepasst und nicht weiter verfolgt -&gt; Vielleichtmusste auch ein Rahmen abgenommen werden? Abgekündigt?</v>
      </c>
      <c r="R17" s="40" t="n">
        <f aca="false">IFERROR(MATCH(LARGE(Artikel!$CZ$7:$CZ$1843,B17),Artikel!$CZ$7:$CZ$1843,0),"")</f>
        <v>40</v>
      </c>
    </row>
    <row r="18" customFormat="false" ht="15" hidden="false" customHeight="false" outlineLevel="0" collapsed="false">
      <c r="B18" s="34" t="n">
        <v>8</v>
      </c>
      <c r="C18" s="35" t="str">
        <f aca="false">IF($R18="","",INDEX(Artikel!$A$7:$A$1843,$R18))</f>
        <v>109088_MAT</v>
      </c>
      <c r="D18" s="35" t="str">
        <f aca="false">IF($R18="","",INDEX(Artikel!$B$7:$B$1843,$R18))</f>
        <v>Rohmaterial zu 109088</v>
      </c>
      <c r="E18" s="35" t="n">
        <f aca="false">IF($R18="","",INDEX(Artikel!$CF$7:$CF$1843,$R18))</f>
        <v>2</v>
      </c>
      <c r="F18" s="35" t="str">
        <f aca="false">IF($R18="","",INDEX(Artikel!$BY$7:$BY$1843,$R18))</f>
        <v>S81</v>
      </c>
      <c r="G18" s="36" t="n">
        <f aca="false">IF($R18="","",INDEX(Artikel!$H$7:$H$1843,$R18))</f>
        <v>114</v>
      </c>
      <c r="H18" s="36" t="n">
        <f aca="false">IF($R18="","",INDEX(Artikel!$J$7:$J$1843,$R18))</f>
        <v>0</v>
      </c>
      <c r="I18" s="37" t="n">
        <f aca="false">IF($R18="","",INDEX(Artikel!$CT$7:$CT$1843,$R18))</f>
        <v>0</v>
      </c>
      <c r="J18" s="36" t="n">
        <f aca="false">IF($R18="","",INDEX(Artikel!$CU$7:$CU$1843,$R18))</f>
        <v>16688.46</v>
      </c>
      <c r="K18" s="36" t="n">
        <f aca="false">IF($R18="","",INDEX(Artikel!$CS$7:$CS$1843,$R18))</f>
        <v>58.75</v>
      </c>
      <c r="L18" s="38" t="n">
        <f aca="false">IF($R18="","",K18/Parameter!$M$24)</f>
        <v>0.25</v>
      </c>
      <c r="M18" s="37" t="n">
        <f aca="false">IF($R18="","",INDEX(Artikel!$CY$7:$CY$1843,$R18))</f>
        <v>2.891</v>
      </c>
      <c r="N18" s="36" t="n">
        <f aca="false">IF($R18="","",INDEX(Artikel!$CV$7:$CV$1843,$R18))</f>
        <v>0.5</v>
      </c>
      <c r="O18" s="36" t="n">
        <f aca="false">IF($R18="","",INDEX(Artikel!$CW$7:$CW$1843,$R18))</f>
        <v>16615.265</v>
      </c>
      <c r="P18" s="36" t="n">
        <f aca="false">IF($R18="","",INDEX(Artikel!$CX$7:$CX$1843,$R18))</f>
        <v>58.4923245614035</v>
      </c>
      <c r="Q18" s="39" t="str">
        <f aca="false">IF($R18="","",TRIM(INDEX(Artikel!$BO$7:$BO$1843,$R18)&amp;IF(INDEX(Artikel!$BP$7:$BP$1843,$R18)&lt;&gt;""," → "&amp;INDEX(Artikel!$BP$7:$BP$1843,$R18),"")))</f>
        <v/>
      </c>
      <c r="R18" s="40" t="n">
        <f aca="false">IFERROR(MATCH(LARGE(Artikel!$CZ$7:$CZ$1843,B18),Artikel!$CZ$7:$CZ$1843,0),"")</f>
        <v>18</v>
      </c>
    </row>
    <row r="19" customFormat="false" ht="15" hidden="false" customHeight="false" outlineLevel="0" collapsed="false">
      <c r="B19" s="34" t="n">
        <v>9</v>
      </c>
      <c r="C19" s="35" t="str">
        <f aca="false">IF($R19="","",INDEX(Artikel!$A$7:$A$1843,$R19))</f>
        <v>106582</v>
      </c>
      <c r="D19" s="35" t="str">
        <f aca="false">IF($R19="","",INDEX(Artikel!$B$7:$B$1843,$R19))</f>
        <v>Austrittsdüse SPGr10</v>
      </c>
      <c r="E19" s="35" t="n">
        <f aca="false">IF($R19="","",INDEX(Artikel!$CF$7:$CF$1843,$R19))</f>
        <v>1</v>
      </c>
      <c r="F19" s="35" t="str">
        <f aca="false">IF($R19="","",INDEX(Artikel!$BY$7:$BY$1843,$R19))</f>
        <v>LOSE</v>
      </c>
      <c r="G19" s="36" t="n">
        <f aca="false">IF($R19="","",INDEX(Artikel!$H$7:$H$1843,$R19))</f>
        <v>3</v>
      </c>
      <c r="H19" s="36" t="n">
        <f aca="false">IF($R19="","",INDEX(Artikel!$J$7:$J$1843,$R19))</f>
        <v>0</v>
      </c>
      <c r="I19" s="37" t="n">
        <f aca="false">IF($R19="","",INDEX(Artikel!$CT$7:$CT$1843,$R19))</f>
        <v>0</v>
      </c>
      <c r="J19" s="36" t="n">
        <f aca="false">IF($R19="","",INDEX(Artikel!$CU$7:$CU$1843,$R19))</f>
        <v>6867.81</v>
      </c>
      <c r="K19" s="36" t="n">
        <f aca="false">IF($R19="","",INDEX(Artikel!$CS$7:$CS$1843,$R19))</f>
        <v>76.195856873823</v>
      </c>
      <c r="L19" s="38" t="n">
        <f aca="false">IF($R19="","",K19/Parameter!$M$24)</f>
        <v>0.324237688824779</v>
      </c>
      <c r="M19" s="37" t="n">
        <f aca="false">IF($R19="","",INDEX(Artikel!$CY$7:$CY$1843,$R19))</f>
        <v>2.877</v>
      </c>
      <c r="N19" s="36" t="n">
        <f aca="false">IF($R19="","",INDEX(Artikel!$CV$7:$CV$1843,$R19))</f>
        <v>3</v>
      </c>
      <c r="O19" s="36" t="n">
        <f aca="false">IF($R19="","",INDEX(Artikel!$CW$7:$CW$1843,$R19))</f>
        <v>0</v>
      </c>
      <c r="P19" s="36" t="n">
        <f aca="false">IF($R19="","",INDEX(Artikel!$CX$7:$CX$1843,$R19))</f>
        <v>0</v>
      </c>
      <c r="Q19" s="39" t="str">
        <f aca="false">IF($R19="","",TRIM(INDEX(Artikel!$BO$7:$BO$1843,$R19)&amp;IF(INDEX(Artikel!$BP$7:$BP$1843,$R19)&lt;&gt;""," → "&amp;INDEX(Artikel!$BP$7:$BP$1843,$R19),"")))</f>
        <v/>
      </c>
      <c r="R19" s="40" t="n">
        <f aca="false">IFERROR(MATCH(LARGE(Artikel!$CZ$7:$CZ$1843,B19),Artikel!$CZ$7:$CZ$1843,0),"")</f>
        <v>1637</v>
      </c>
    </row>
    <row r="20" customFormat="false" ht="15" hidden="false" customHeight="false" outlineLevel="0" collapsed="false">
      <c r="B20" s="34" t="n">
        <v>10</v>
      </c>
      <c r="C20" s="35" t="str">
        <f aca="false">IF($R20="","",INDEX(Artikel!$A$7:$A$1843,$R20))</f>
        <v>111226</v>
      </c>
      <c r="D20" s="35" t="str">
        <f aca="false">IF($R20="","",INDEX(Artikel!$B$7:$B$1843,$R20))</f>
        <v>Konstanthänger</v>
      </c>
      <c r="E20" s="35" t="n">
        <f aca="false">IF($R20="","",INDEX(Artikel!$CF$7:$CF$1843,$R20))</f>
        <v>1</v>
      </c>
      <c r="F20" s="35" t="str">
        <f aca="false">IF($R20="","",INDEX(Artikel!$BY$7:$BY$1843,$R20))</f>
        <v>LOSE</v>
      </c>
      <c r="G20" s="36" t="n">
        <f aca="false">IF($R20="","",INDEX(Artikel!$H$7:$H$1843,$R20))</f>
        <v>3</v>
      </c>
      <c r="H20" s="36" t="n">
        <f aca="false">IF($R20="","",INDEX(Artikel!$J$7:$J$1843,$R20))</f>
        <v>0</v>
      </c>
      <c r="I20" s="37" t="n">
        <f aca="false">IF($R20="","",INDEX(Artikel!$CT$7:$CT$1843,$R20))</f>
        <v>0</v>
      </c>
      <c r="J20" s="36" t="n">
        <f aca="false">IF($R20="","",INDEX(Artikel!$CU$7:$CU$1843,$R20))</f>
        <v>4141.29</v>
      </c>
      <c r="K20" s="36" t="n">
        <f aca="false">IF($R20="","",INDEX(Artikel!$CS$7:$CS$1843,$R20))</f>
        <v>304.783427495292</v>
      </c>
      <c r="L20" s="38" t="n">
        <f aca="false">IF($R20="","",K20/Parameter!$M$24)</f>
        <v>1.29695075529911</v>
      </c>
      <c r="M20" s="37" t="n">
        <f aca="false">IF($R20="","",INDEX(Artikel!$CY$7:$CY$1843,$R20))</f>
        <v>2.871</v>
      </c>
      <c r="N20" s="36" t="n">
        <f aca="false">IF($R20="","",INDEX(Artikel!$CV$7:$CV$1843,$R20))</f>
        <v>1</v>
      </c>
      <c r="O20" s="36" t="n">
        <f aca="false">IF($R20="","",INDEX(Artikel!$CW$7:$CW$1843,$R20))</f>
        <v>2760.86</v>
      </c>
      <c r="P20" s="36" t="n">
        <f aca="false">IF($R20="","",INDEX(Artikel!$CX$7:$CX$1843,$R20))</f>
        <v>203.188951663528</v>
      </c>
      <c r="Q20" s="39" t="str">
        <f aca="false">IF($R20="","",TRIM(INDEX(Artikel!$BO$7:$BO$1843,$R20)&amp;IF(INDEX(Artikel!$BP$7:$BP$1843,$R20)&lt;&gt;""," → "&amp;INDEX(Artikel!$BP$7:$BP$1843,$R20),"")))</f>
        <v/>
      </c>
      <c r="R20" s="40" t="n">
        <f aca="false">IFERROR(MATCH(LARGE(Artikel!$CZ$7:$CZ$1843,B20),Artikel!$CZ$7:$CZ$1843,0),"")</f>
        <v>42</v>
      </c>
    </row>
    <row r="21" customFormat="false" ht="15" hidden="false" customHeight="false" outlineLevel="0" collapsed="false">
      <c r="B21" s="34" t="n">
        <v>11</v>
      </c>
      <c r="C21" s="35" t="str">
        <f aca="false">IF($R21="","",INDEX(Artikel!$A$7:$A$1843,$R21))</f>
        <v>108503</v>
      </c>
      <c r="D21" s="35" t="str">
        <f aca="false">IF($R21="","",INDEX(Artikel!$B$7:$B$1843,$R21))</f>
        <v>Steuerschrankkühlung EG101-DF</v>
      </c>
      <c r="E21" s="35" t="n">
        <f aca="false">IF($R21="","",INDEX(Artikel!$CF$7:$CF$1843,$R21))</f>
        <v>2</v>
      </c>
      <c r="F21" s="35" t="str">
        <f aca="false">IF($R21="","",INDEX(Artikel!$BY$7:$BY$1843,$R21))</f>
        <v>S81</v>
      </c>
      <c r="G21" s="36" t="n">
        <f aca="false">IF($R21="","",INDEX(Artikel!$H$7:$H$1843,$R21))</f>
        <v>7</v>
      </c>
      <c r="H21" s="36" t="n">
        <f aca="false">IF($R21="","",INDEX(Artikel!$J$7:$J$1843,$R21))</f>
        <v>0</v>
      </c>
      <c r="I21" s="37" t="n">
        <f aca="false">IF($R21="","",INDEX(Artikel!$CT$7:$CT$1843,$R21))</f>
        <v>0</v>
      </c>
      <c r="J21" s="36" t="n">
        <f aca="false">IF($R21="","",INDEX(Artikel!$CU$7:$CU$1843,$R21))</f>
        <v>9982.91</v>
      </c>
      <c r="K21" s="36" t="n">
        <f aca="false">IF($R21="","",INDEX(Artikel!$CS$7:$CS$1843,$R21))</f>
        <v>58.75</v>
      </c>
      <c r="L21" s="38" t="n">
        <f aca="false">IF($R21="","",K21/Parameter!$M$24)</f>
        <v>0.25</v>
      </c>
      <c r="M21" s="37" t="n">
        <f aca="false">IF($R21="","",INDEX(Artikel!$CY$7:$CY$1843,$R21))</f>
        <v>2.867</v>
      </c>
      <c r="N21" s="36" t="n">
        <f aca="false">IF($R21="","",INDEX(Artikel!$CV$7:$CV$1843,$R21))</f>
        <v>0.5</v>
      </c>
      <c r="O21" s="36" t="n">
        <f aca="false">IF($R21="","",INDEX(Artikel!$CW$7:$CW$1843,$R21))</f>
        <v>9269.845</v>
      </c>
      <c r="P21" s="36" t="n">
        <f aca="false">IF($R21="","",INDEX(Artikel!$CX$7:$CX$1843,$R21))</f>
        <v>54.5535714285714</v>
      </c>
      <c r="Q21" s="39" t="str">
        <f aca="false">IF($R21="","",TRIM(INDEX(Artikel!$BO$7:$BO$1843,$R21)&amp;IF(INDEX(Artikel!$BP$7:$BP$1843,$R21)&lt;&gt;""," → "&amp;INDEX(Artikel!$BP$7:$BP$1843,$R21),"")))</f>
        <v/>
      </c>
      <c r="R21" s="40" t="n">
        <f aca="false">IFERROR(MATCH(LARGE(Artikel!$CZ$7:$CZ$1843,B21),Artikel!$CZ$7:$CZ$1843,0),"")</f>
        <v>1666</v>
      </c>
    </row>
    <row r="22" customFormat="false" ht="15" hidden="false" customHeight="false" outlineLevel="0" collapsed="false">
      <c r="B22" s="34" t="n">
        <v>12</v>
      </c>
      <c r="C22" s="35" t="str">
        <f aca="false">IF($R22="","",INDEX(Artikel!$A$7:$A$1843,$R22))</f>
        <v>108447</v>
      </c>
      <c r="D22" s="35" t="str">
        <f aca="false">IF($R22="","",INDEX(Artikel!$B$7:$B$1843,$R22))</f>
        <v>Radialventilator 8-pol</v>
      </c>
      <c r="E22" s="35" t="n">
        <f aca="false">IF($R22="","",INDEX(Artikel!$CF$7:$CF$1843,$R22))</f>
        <v>3</v>
      </c>
      <c r="F22" s="35" t="str">
        <f aca="false">IF($R22="","",INDEX(Artikel!$BY$7:$BY$1843,$R22))</f>
        <v>S63</v>
      </c>
      <c r="G22" s="36" t="n">
        <f aca="false">IF($R22="","",INDEX(Artikel!$H$7:$H$1843,$R22))</f>
        <v>46</v>
      </c>
      <c r="H22" s="36" t="n">
        <f aca="false">IF($R22="","",INDEX(Artikel!$J$7:$J$1843,$R22))</f>
        <v>0</v>
      </c>
      <c r="I22" s="37" t="n">
        <f aca="false">IF($R22="","",INDEX(Artikel!$CT$7:$CT$1843,$R22))</f>
        <v>0</v>
      </c>
      <c r="J22" s="36" t="n">
        <f aca="false">IF($R22="","",INDEX(Artikel!$CU$7:$CU$1843,$R22))</f>
        <v>11040</v>
      </c>
      <c r="K22" s="36" t="n">
        <f aca="false">IF($R22="","",INDEX(Artikel!$CS$7:$CS$1843,$R22))</f>
        <v>57.5</v>
      </c>
      <c r="L22" s="38" t="n">
        <f aca="false">IF($R22="","",K22/Parameter!$M$24)</f>
        <v>0.24468085106383</v>
      </c>
      <c r="M22" s="37" t="n">
        <f aca="false">IF($R22="","",INDEX(Artikel!$CY$7:$CY$1843,$R22))</f>
        <v>2.865</v>
      </c>
      <c r="N22" s="36" t="n">
        <f aca="false">IF($R22="","",INDEX(Artikel!$CV$7:$CV$1843,$R22))</f>
        <v>10</v>
      </c>
      <c r="O22" s="36" t="n">
        <f aca="false">IF($R22="","",INDEX(Artikel!$CW$7:$CW$1843,$R22))</f>
        <v>8640</v>
      </c>
      <c r="P22" s="36" t="n">
        <f aca="false">IF($R22="","",INDEX(Artikel!$CX$7:$CX$1843,$R22))</f>
        <v>45</v>
      </c>
      <c r="Q22" s="39" t="str">
        <f aca="false">IF($R22="","",TRIM(INDEX(Artikel!$BO$7:$BO$1843,$R22)&amp;IF(INDEX(Artikel!$BP$7:$BP$1843,$R22)&lt;&gt;""," → "&amp;INDEX(Artikel!$BP$7:$BP$1843,$R22),"")))</f>
        <v/>
      </c>
      <c r="R22" s="40" t="n">
        <f aca="false">IFERROR(MATCH(LARGE(Artikel!$CZ$7:$CZ$1843,B22),Artikel!$CZ$7:$CZ$1843,0),"")</f>
        <v>1543</v>
      </c>
    </row>
    <row r="23" customFormat="false" ht="15" hidden="false" customHeight="false" outlineLevel="0" collapsed="false">
      <c r="B23" s="34" t="n">
        <v>13</v>
      </c>
      <c r="C23" s="35" t="str">
        <f aca="false">IF($R23="","",INDEX(Artikel!$A$7:$A$1843,$R23))</f>
        <v>107066</v>
      </c>
      <c r="D23" s="35" t="str">
        <f aca="false">IF($R23="","",INDEX(Artikel!$B$7:$B$1843,$R23))</f>
        <v>Rohr Anschweissstück DN125</v>
      </c>
      <c r="E23" s="35" t="n">
        <f aca="false">IF($R23="","",INDEX(Artikel!$CF$7:$CF$1843,$R23))</f>
        <v>2</v>
      </c>
      <c r="F23" s="35" t="str">
        <f aca="false">IF($R23="","",INDEX(Artikel!$BY$7:$BY$1843,$R23))</f>
        <v>S71</v>
      </c>
      <c r="G23" s="36" t="n">
        <f aca="false">IF($R23="","",INDEX(Artikel!$H$7:$H$1843,$R23))</f>
        <v>10</v>
      </c>
      <c r="H23" s="36" t="n">
        <f aca="false">IF($R23="","",INDEX(Artikel!$J$7:$J$1843,$R23))</f>
        <v>0</v>
      </c>
      <c r="I23" s="37" t="n">
        <f aca="false">IF($R23="","",INDEX(Artikel!$CT$7:$CT$1843,$R23))</f>
        <v>0</v>
      </c>
      <c r="J23" s="36" t="n">
        <f aca="false">IF($R23="","",INDEX(Artikel!$CU$7:$CU$1843,$R23))</f>
        <v>5500</v>
      </c>
      <c r="K23" s="36" t="n">
        <f aca="false">IF($R23="","",INDEX(Artikel!$CS$7:$CS$1843,$R23))</f>
        <v>78.3333333333333</v>
      </c>
      <c r="L23" s="38" t="n">
        <f aca="false">IF($R23="","",K23/Parameter!$M$24)</f>
        <v>0.333333333333333</v>
      </c>
      <c r="M23" s="37" t="n">
        <f aca="false">IF($R23="","",INDEX(Artikel!$CY$7:$CY$1843,$R23))</f>
        <v>2.861</v>
      </c>
      <c r="N23" s="36" t="n">
        <f aca="false">IF($R23="","",INDEX(Artikel!$CV$7:$CV$1843,$R23))</f>
        <v>0.5</v>
      </c>
      <c r="O23" s="36" t="n">
        <f aca="false">IF($R23="","",INDEX(Artikel!$CW$7:$CW$1843,$R23))</f>
        <v>5225</v>
      </c>
      <c r="P23" s="36" t="n">
        <f aca="false">IF($R23="","",INDEX(Artikel!$CX$7:$CX$1843,$R23))</f>
        <v>74.4166666666667</v>
      </c>
      <c r="Q23" s="39" t="str">
        <f aca="false">IF($R23="","",TRIM(INDEX(Artikel!$BO$7:$BO$1843,$R23)&amp;IF(INDEX(Artikel!$BP$7:$BP$1843,$R23)&lt;&gt;""," → "&amp;INDEX(Artikel!$BP$7:$BP$1843,$R23),"")))</f>
        <v/>
      </c>
      <c r="R23" s="40" t="n">
        <f aca="false">IFERROR(MATCH(LARGE(Artikel!$CZ$7:$CZ$1843,B23),Artikel!$CZ$7:$CZ$1843,0),"")</f>
        <v>1671</v>
      </c>
    </row>
    <row r="24" customFormat="false" ht="15" hidden="false" customHeight="false" outlineLevel="0" collapsed="false">
      <c r="B24" s="34" t="n">
        <v>14</v>
      </c>
      <c r="C24" s="35" t="str">
        <f aca="false">IF($R24="","",INDEX(Artikel!$A$7:$A$1843,$R24))</f>
        <v>104214</v>
      </c>
      <c r="D24" s="35" t="str">
        <f aca="false">IF($R24="","",INDEX(Artikel!$B$7:$B$1843,$R24))</f>
        <v>TMV Spule CH4, 100V - 110V</v>
      </c>
      <c r="E24" s="35" t="n">
        <f aca="false">IF($R24="","",INDEX(Artikel!$CF$7:$CF$1843,$R24))</f>
        <v>2</v>
      </c>
      <c r="F24" s="35" t="str">
        <f aca="false">IF($R24="","",INDEX(Artikel!$BY$7:$BY$1843,$R24))</f>
        <v>S71</v>
      </c>
      <c r="G24" s="36" t="n">
        <f aca="false">IF($R24="","",INDEX(Artikel!$H$7:$H$1843,$R24))</f>
        <v>16</v>
      </c>
      <c r="H24" s="36" t="n">
        <f aca="false">IF($R24="","",INDEX(Artikel!$J$7:$J$1843,$R24))</f>
        <v>0</v>
      </c>
      <c r="I24" s="37" t="n">
        <f aca="false">IF($R24="","",INDEX(Artikel!$CT$7:$CT$1843,$R24))</f>
        <v>0</v>
      </c>
      <c r="J24" s="36" t="n">
        <f aca="false">IF($R24="","",INDEX(Artikel!$CU$7:$CU$1843,$R24))</f>
        <v>4670.08</v>
      </c>
      <c r="K24" s="36" t="n">
        <f aca="false">IF($R24="","",INDEX(Artikel!$CS$7:$CS$1843,$R24))</f>
        <v>117.5</v>
      </c>
      <c r="L24" s="38" t="n">
        <f aca="false">IF($R24="","",K24/Parameter!$M$24)</f>
        <v>0.5</v>
      </c>
      <c r="M24" s="37" t="n">
        <f aca="false">IF($R24="","",INDEX(Artikel!$CY$7:$CY$1843,$R24))</f>
        <v>2.859</v>
      </c>
      <c r="N24" s="36" t="n">
        <f aca="false">IF($R24="","",INDEX(Artikel!$CV$7:$CV$1843,$R24))</f>
        <v>2.5</v>
      </c>
      <c r="O24" s="36" t="n">
        <f aca="false">IF($R24="","",INDEX(Artikel!$CW$7:$CW$1843,$R24))</f>
        <v>3940.38</v>
      </c>
      <c r="P24" s="36" t="n">
        <f aca="false">IF($R24="","",INDEX(Artikel!$CX$7:$CX$1843,$R24))</f>
        <v>99.140625</v>
      </c>
      <c r="Q24" s="39" t="str">
        <f aca="false">IF($R24="","",TRIM(INDEX(Artikel!$BO$7:$BO$1843,$R24)&amp;IF(INDEX(Artikel!$BP$7:$BP$1843,$R24)&lt;&gt;""," → "&amp;INDEX(Artikel!$BP$7:$BP$1843,$R24),"")))</f>
        <v/>
      </c>
      <c r="R24" s="40" t="n">
        <f aca="false">IFERROR(MATCH(LARGE(Artikel!$CZ$7:$CZ$1843,B24),Artikel!$CZ$7:$CZ$1843,0),"")</f>
        <v>1663</v>
      </c>
    </row>
    <row r="25" customFormat="false" ht="15" hidden="false" customHeight="false" outlineLevel="0" collapsed="false">
      <c r="B25" s="34" t="n">
        <v>15</v>
      </c>
      <c r="C25" s="35" t="str">
        <f aca="false">IF($R25="","",INDEX(Artikel!$A$7:$A$1843,$R25))</f>
        <v>107415</v>
      </c>
      <c r="D25" s="35" t="str">
        <f aca="false">IF($R25="","",INDEX(Artikel!$B$7:$B$1843,$R25))</f>
        <v>Rohr Anschweissstück Øi206</v>
      </c>
      <c r="E25" s="35" t="n">
        <f aca="false">IF($R25="","",INDEX(Artikel!$CF$7:$CF$1843,$R25))</f>
        <v>2</v>
      </c>
      <c r="F25" s="35" t="str">
        <f aca="false">IF($R25="","",INDEX(Artikel!$BY$7:$BY$1843,$R25))</f>
        <v>S81</v>
      </c>
      <c r="G25" s="36" t="n">
        <f aca="false">IF($R25="","",INDEX(Artikel!$H$7:$H$1843,$R25))</f>
        <v>5</v>
      </c>
      <c r="H25" s="36" t="n">
        <f aca="false">IF($R25="","",INDEX(Artikel!$J$7:$J$1843,$R25))</f>
        <v>0</v>
      </c>
      <c r="I25" s="37" t="n">
        <f aca="false">IF($R25="","",INDEX(Artikel!$CT$7:$CT$1843,$R25))</f>
        <v>0</v>
      </c>
      <c r="J25" s="36" t="n">
        <f aca="false">IF($R25="","",INDEX(Artikel!$CU$7:$CU$1843,$R25))</f>
        <v>4163.5</v>
      </c>
      <c r="K25" s="36" t="n">
        <f aca="false">IF($R25="","",INDEX(Artikel!$CS$7:$CS$1843,$R25))</f>
        <v>117.5</v>
      </c>
      <c r="L25" s="38" t="n">
        <f aca="false">IF($R25="","",K25/Parameter!$M$24)</f>
        <v>0.5</v>
      </c>
      <c r="M25" s="37" t="n">
        <f aca="false">IF($R25="","",INDEX(Artikel!$CY$7:$CY$1843,$R25))</f>
        <v>2.846</v>
      </c>
      <c r="N25" s="36" t="n">
        <f aca="false">IF($R25="","",INDEX(Artikel!$CV$7:$CV$1843,$R25))</f>
        <v>3.5</v>
      </c>
      <c r="O25" s="36" t="n">
        <f aca="false">IF($R25="","",INDEX(Artikel!$CW$7:$CW$1843,$R25))</f>
        <v>1249.05</v>
      </c>
      <c r="P25" s="36" t="n">
        <f aca="false">IF($R25="","",INDEX(Artikel!$CX$7:$CX$1843,$R25))</f>
        <v>35.25</v>
      </c>
      <c r="Q25" s="39" t="str">
        <f aca="false">IF($R25="","",TRIM(INDEX(Artikel!$BO$7:$BO$1843,$R25)&amp;IF(INDEX(Artikel!$BP$7:$BP$1843,$R25)&lt;&gt;""," → "&amp;INDEX(Artikel!$BP$7:$BP$1843,$R25),"")))</f>
        <v/>
      </c>
      <c r="R25" s="40" t="n">
        <f aca="false">IFERROR(MATCH(LARGE(Artikel!$CZ$7:$CZ$1843,B25),Artikel!$CZ$7:$CZ$1843,0),"")</f>
        <v>55</v>
      </c>
    </row>
    <row r="26" customFormat="false" ht="15" hidden="false" customHeight="false" outlineLevel="0" collapsed="false">
      <c r="B26" s="34" t="n">
        <v>16</v>
      </c>
      <c r="C26" s="35" t="str">
        <f aca="false">IF($R26="","",INDEX(Artikel!$A$7:$A$1843,$R26))</f>
        <v>104272</v>
      </c>
      <c r="D26" s="35" t="str">
        <f aca="false">IF($R26="","",INDEX(Artikel!$B$7:$B$1843,$R26))</f>
        <v>TMV Spule O2, 100V - 110V</v>
      </c>
      <c r="E26" s="35" t="n">
        <f aca="false">IF($R26="","",INDEX(Artikel!$CF$7:$CF$1843,$R26))</f>
        <v>2</v>
      </c>
      <c r="F26" s="35" t="str">
        <f aca="false">IF($R26="","",INDEX(Artikel!$BY$7:$BY$1843,$R26))</f>
        <v>S71</v>
      </c>
      <c r="G26" s="36" t="n">
        <f aca="false">IF($R26="","",INDEX(Artikel!$H$7:$H$1843,$R26))</f>
        <v>23</v>
      </c>
      <c r="H26" s="36" t="n">
        <f aca="false">IF($R26="","",INDEX(Artikel!$J$7:$J$1843,$R26))</f>
        <v>0</v>
      </c>
      <c r="I26" s="37" t="n">
        <f aca="false">IF($R26="","",INDEX(Artikel!$CT$7:$CT$1843,$R26))</f>
        <v>0</v>
      </c>
      <c r="J26" s="36" t="n">
        <f aca="false">IF($R26="","",INDEX(Artikel!$CU$7:$CU$1843,$R26))</f>
        <v>3864</v>
      </c>
      <c r="K26" s="36" t="n">
        <f aca="false">IF($R26="","",INDEX(Artikel!$CS$7:$CS$1843,$R26))</f>
        <v>117.5</v>
      </c>
      <c r="L26" s="38" t="n">
        <f aca="false">IF($R26="","",K26/Parameter!$M$24)</f>
        <v>0.5</v>
      </c>
      <c r="M26" s="37" t="n">
        <f aca="false">IF($R26="","",INDEX(Artikel!$CY$7:$CY$1843,$R26))</f>
        <v>2.838</v>
      </c>
      <c r="N26" s="36" t="n">
        <f aca="false">IF($R26="","",INDEX(Artikel!$CV$7:$CV$1843,$R26))</f>
        <v>5</v>
      </c>
      <c r="O26" s="36" t="n">
        <f aca="false">IF($R26="","",INDEX(Artikel!$CW$7:$CW$1843,$R26))</f>
        <v>3024</v>
      </c>
      <c r="P26" s="36" t="n">
        <f aca="false">IF($R26="","",INDEX(Artikel!$CX$7:$CX$1843,$R26))</f>
        <v>91.9565217391304</v>
      </c>
      <c r="Q26" s="39" t="str">
        <f aca="false">IF($R26="","",TRIM(INDEX(Artikel!$BO$7:$BO$1843,$R26)&amp;IF(INDEX(Artikel!$BP$7:$BP$1843,$R26)&lt;&gt;""," → "&amp;INDEX(Artikel!$BP$7:$BP$1843,$R26),"")))</f>
        <v/>
      </c>
      <c r="R26" s="40" t="n">
        <f aca="false">IFERROR(MATCH(LARGE(Artikel!$CZ$7:$CZ$1843,B26),Artikel!$CZ$7:$CZ$1843,0),"")</f>
        <v>1662</v>
      </c>
    </row>
    <row r="27" customFormat="false" ht="15" hidden="false" customHeight="false" outlineLevel="0" collapsed="false">
      <c r="B27" s="34" t="n">
        <v>17</v>
      </c>
      <c r="C27" s="35" t="str">
        <f aca="false">IF($R27="","",INDEX(Artikel!$A$7:$A$1843,$R27))</f>
        <v>100770</v>
      </c>
      <c r="D27" s="35" t="str">
        <f aca="false">IF($R27="","",INDEX(Artikel!$B$7:$B$1843,$R27))</f>
        <v>Rohr</v>
      </c>
      <c r="E27" s="35" t="n">
        <f aca="false">IF($R27="","",INDEX(Artikel!$CF$7:$CF$1843,$R27))</f>
        <v>1</v>
      </c>
      <c r="F27" s="35" t="str">
        <f aca="false">IF($R27="","",INDEX(Artikel!$BY$7:$BY$1843,$R27))</f>
        <v>LOSE</v>
      </c>
      <c r="G27" s="36" t="n">
        <f aca="false">IF($R27="","",INDEX(Artikel!$H$7:$H$1843,$R27))</f>
        <v>10</v>
      </c>
      <c r="H27" s="36" t="n">
        <f aca="false">IF($R27="","",INDEX(Artikel!$J$7:$J$1843,$R27))</f>
        <v>0</v>
      </c>
      <c r="I27" s="37" t="n">
        <f aca="false">IF($R27="","",INDEX(Artikel!$CT$7:$CT$1843,$R27))</f>
        <v>0</v>
      </c>
      <c r="J27" s="36" t="n">
        <f aca="false">IF($R27="","",INDEX(Artikel!$CU$7:$CU$1843,$R27))</f>
        <v>3120</v>
      </c>
      <c r="K27" s="36" t="n">
        <f aca="false">IF($R27="","",INDEX(Artikel!$CS$7:$CS$1843,$R27))</f>
        <v>380.979284369115</v>
      </c>
      <c r="L27" s="38" t="n">
        <f aca="false">IF($R27="","",K27/Parameter!$M$24)</f>
        <v>1.62118844412389</v>
      </c>
      <c r="M27" s="37" t="n">
        <f aca="false">IF($R27="","",INDEX(Artikel!$CY$7:$CY$1843,$R27))</f>
        <v>2.829</v>
      </c>
      <c r="N27" s="36" t="n">
        <f aca="false">IF($R27="","",INDEX(Artikel!$CV$7:$CV$1843,$R27))</f>
        <v>0.5</v>
      </c>
      <c r="O27" s="36" t="n">
        <f aca="false">IF($R27="","",INDEX(Artikel!$CW$7:$CW$1843,$R27))</f>
        <v>2964</v>
      </c>
      <c r="P27" s="36" t="n">
        <f aca="false">IF($R27="","",INDEX(Artikel!$CX$7:$CX$1843,$R27))</f>
        <v>361.930320150659</v>
      </c>
      <c r="Q27" s="39" t="str">
        <f aca="false">IF($R27="","",TRIM(INDEX(Artikel!$BO$7:$BO$1843,$R27)&amp;IF(INDEX(Artikel!$BP$7:$BP$1843,$R27)&lt;&gt;""," → "&amp;INDEX(Artikel!$BP$7:$BP$1843,$R27),"")))</f>
        <v/>
      </c>
      <c r="R27" s="40" t="n">
        <f aca="false">IFERROR(MATCH(LARGE(Artikel!$CZ$7:$CZ$1843,B27),Artikel!$CZ$7:$CZ$1843,0),"")</f>
        <v>74</v>
      </c>
    </row>
    <row r="28" customFormat="false" ht="15" hidden="false" customHeight="false" outlineLevel="0" collapsed="false">
      <c r="B28" s="34" t="n">
        <v>18</v>
      </c>
      <c r="C28" s="35" t="str">
        <f aca="false">IF($R28="","",INDEX(Artikel!$A$7:$A$1843,$R28))</f>
        <v>104273</v>
      </c>
      <c r="D28" s="35" t="str">
        <f aca="false">IF($R28="","",INDEX(Artikel!$B$7:$B$1843,$R28))</f>
        <v>TMV Spule O2, 100V - 110V</v>
      </c>
      <c r="E28" s="35" t="n">
        <f aca="false">IF($R28="","",INDEX(Artikel!$CF$7:$CF$1843,$R28))</f>
        <v>2</v>
      </c>
      <c r="F28" s="35" t="str">
        <f aca="false">IF($R28="","",INDEX(Artikel!$BY$7:$BY$1843,$R28))</f>
        <v>S71</v>
      </c>
      <c r="G28" s="36" t="n">
        <f aca="false">IF($R28="","",INDEX(Artikel!$H$7:$H$1843,$R28))</f>
        <v>11</v>
      </c>
      <c r="H28" s="36" t="n">
        <f aca="false">IF($R28="","",INDEX(Artikel!$J$7:$J$1843,$R28))</f>
        <v>0</v>
      </c>
      <c r="I28" s="37" t="n">
        <f aca="false">IF($R28="","",INDEX(Artikel!$CT$7:$CT$1843,$R28))</f>
        <v>0</v>
      </c>
      <c r="J28" s="36" t="n">
        <f aca="false">IF($R28="","",INDEX(Artikel!$CU$7:$CU$1843,$R28))</f>
        <v>3215.41</v>
      </c>
      <c r="K28" s="36" t="n">
        <f aca="false">IF($R28="","",INDEX(Artikel!$CS$7:$CS$1843,$R28))</f>
        <v>117.5</v>
      </c>
      <c r="L28" s="38" t="n">
        <f aca="false">IF($R28="","",K28/Parameter!$M$24)</f>
        <v>0.5</v>
      </c>
      <c r="M28" s="37" t="n">
        <f aca="false">IF($R28="","",INDEX(Artikel!$CY$7:$CY$1843,$R28))</f>
        <v>2.805</v>
      </c>
      <c r="N28" s="36" t="n">
        <f aca="false">IF($R28="","",INDEX(Artikel!$CV$7:$CV$1843,$R28))</f>
        <v>2.5</v>
      </c>
      <c r="O28" s="36" t="n">
        <f aca="false">IF($R28="","",INDEX(Artikel!$CW$7:$CW$1843,$R28))</f>
        <v>2484.635</v>
      </c>
      <c r="P28" s="36" t="n">
        <f aca="false">IF($R28="","",INDEX(Artikel!$CX$7:$CX$1843,$R28))</f>
        <v>90.7954545454546</v>
      </c>
      <c r="Q28" s="39" t="str">
        <f aca="false">IF($R28="","",TRIM(INDEX(Artikel!$BO$7:$BO$1843,$R28)&amp;IF(INDEX(Artikel!$BP$7:$BP$1843,$R28)&lt;&gt;""," → "&amp;INDEX(Artikel!$BP$7:$BP$1843,$R28),"")))</f>
        <v/>
      </c>
      <c r="R28" s="40" t="n">
        <f aca="false">IFERROR(MATCH(LARGE(Artikel!$CZ$7:$CZ$1843,B28),Artikel!$CZ$7:$CZ$1843,0),"")</f>
        <v>1664</v>
      </c>
    </row>
    <row r="29" customFormat="false" ht="15" hidden="false" customHeight="false" outlineLevel="0" collapsed="false">
      <c r="B29" s="34" t="n">
        <v>19</v>
      </c>
      <c r="C29" s="35" t="str">
        <f aca="false">IF($R29="","",INDEX(Artikel!$A$7:$A$1843,$R29))</f>
        <v>102525</v>
      </c>
      <c r="D29" s="35" t="str">
        <f aca="false">IF($R29="","",INDEX(Artikel!$B$7:$B$1843,$R29))</f>
        <v>Federhänger</v>
      </c>
      <c r="E29" s="35" t="n">
        <f aca="false">IF($R29="","",INDEX(Artikel!$CF$7:$CF$1843,$R29))</f>
        <v>2</v>
      </c>
      <c r="F29" s="35" t="str">
        <f aca="false">IF($R29="","",INDEX(Artikel!$BY$7:$BY$1843,$R29))</f>
        <v>S81</v>
      </c>
      <c r="G29" s="36" t="n">
        <f aca="false">IF($R29="","",INDEX(Artikel!$H$7:$H$1843,$R29))</f>
        <v>8</v>
      </c>
      <c r="H29" s="36" t="n">
        <f aca="false">IF($R29="","",INDEX(Artikel!$J$7:$J$1843,$R29))</f>
        <v>0</v>
      </c>
      <c r="I29" s="37" t="n">
        <f aca="false">IF($R29="","",INDEX(Artikel!$CT$7:$CT$1843,$R29))</f>
        <v>0</v>
      </c>
      <c r="J29" s="36" t="n">
        <f aca="false">IF($R29="","",INDEX(Artikel!$CU$7:$CU$1843,$R29))</f>
        <v>2646.08</v>
      </c>
      <c r="K29" s="36" t="n">
        <f aca="false">IF($R29="","",INDEX(Artikel!$CS$7:$CS$1843,$R29))</f>
        <v>117.5</v>
      </c>
      <c r="L29" s="38" t="n">
        <f aca="false">IF($R29="","",K29/Parameter!$M$24)</f>
        <v>0.5</v>
      </c>
      <c r="M29" s="37" t="n">
        <f aca="false">IF($R29="","",INDEX(Artikel!$CY$7:$CY$1843,$R29))</f>
        <v>2.773</v>
      </c>
      <c r="N29" s="36" t="n">
        <f aca="false">IF($R29="","",INDEX(Artikel!$CV$7:$CV$1843,$R29))</f>
        <v>0.5</v>
      </c>
      <c r="O29" s="36" t="n">
        <f aca="false">IF($R29="","",INDEX(Artikel!$CW$7:$CW$1843,$R29))</f>
        <v>2480.7</v>
      </c>
      <c r="P29" s="36" t="n">
        <f aca="false">IF($R29="","",INDEX(Artikel!$CX$7:$CX$1843,$R29))</f>
        <v>110.15625</v>
      </c>
      <c r="Q29" s="39" t="str">
        <f aca="false">IF($R29="","",TRIM(INDEX(Artikel!$BO$7:$BO$1843,$R29)&amp;IF(INDEX(Artikel!$BP$7:$BP$1843,$R29)&lt;&gt;""," → "&amp;INDEX(Artikel!$BP$7:$BP$1843,$R29),"")))</f>
        <v/>
      </c>
      <c r="R29" s="40" t="n">
        <f aca="false">IFERROR(MATCH(LARGE(Artikel!$CZ$7:$CZ$1843,B29),Artikel!$CZ$7:$CZ$1843,0),"")</f>
        <v>1667</v>
      </c>
    </row>
    <row r="30" customFormat="false" ht="15" hidden="false" customHeight="false" outlineLevel="0" collapsed="false">
      <c r="B30" s="34" t="n">
        <v>20</v>
      </c>
      <c r="C30" s="35" t="str">
        <f aca="false">IF($R30="","",INDEX(Artikel!$A$7:$A$1843,$R30))</f>
        <v>108507</v>
      </c>
      <c r="D30" s="35" t="str">
        <f aca="false">IF($R30="","",INDEX(Artikel!$B$7:$B$1843,$R30))</f>
        <v>HMI GT2708-VTBD</v>
      </c>
      <c r="E30" s="35" t="n">
        <f aca="false">IF($R30="","",INDEX(Artikel!$CF$7:$CF$1843,$R30))</f>
        <v>3</v>
      </c>
      <c r="F30" s="35" t="str">
        <f aca="false">IF($R30="","",INDEX(Artikel!$BY$7:$BY$1843,$R30))</f>
        <v>S63</v>
      </c>
      <c r="G30" s="36" t="n">
        <f aca="false">IF($R30="","",INDEX(Artikel!$H$7:$H$1843,$R30))</f>
        <v>6</v>
      </c>
      <c r="H30" s="36" t="n">
        <f aca="false">IF($R30="","",INDEX(Artikel!$J$7:$J$1843,$R30))</f>
        <v>0</v>
      </c>
      <c r="I30" s="37" t="n">
        <f aca="false">IF($R30="","",INDEX(Artikel!$CT$7:$CT$1843,$R30))</f>
        <v>0</v>
      </c>
      <c r="J30" s="36" t="n">
        <f aca="false">IF($R30="","",INDEX(Artikel!$CU$7:$CU$1843,$R30))</f>
        <v>8602.74</v>
      </c>
      <c r="K30" s="36" t="n">
        <f aca="false">IF($R30="","",INDEX(Artikel!$CS$7:$CS$1843,$R30))</f>
        <v>28.75</v>
      </c>
      <c r="L30" s="38" t="n">
        <f aca="false">IF($R30="","",K30/Parameter!$M$24)</f>
        <v>0.122340425531915</v>
      </c>
      <c r="M30" s="37" t="n">
        <f aca="false">IF($R30="","",INDEX(Artikel!$CY$7:$CY$1843,$R30))</f>
        <v>2.767</v>
      </c>
      <c r="N30" s="36" t="n">
        <f aca="false">IF($R30="","",INDEX(Artikel!$CV$7:$CV$1843,$R30))</f>
        <v>1.5</v>
      </c>
      <c r="O30" s="36" t="n">
        <f aca="false">IF($R30="","",INDEX(Artikel!$CW$7:$CW$1843,$R30))</f>
        <v>6452.055</v>
      </c>
      <c r="P30" s="36" t="n">
        <f aca="false">IF($R30="","",INDEX(Artikel!$CX$7:$CX$1843,$R30))</f>
        <v>21.5625</v>
      </c>
      <c r="Q30" s="39" t="str">
        <f aca="false">IF($R30="","",TRIM(INDEX(Artikel!$BO$7:$BO$1843,$R30)&amp;IF(INDEX(Artikel!$BP$7:$BP$1843,$R30)&lt;&gt;""," → "&amp;INDEX(Artikel!$BP$7:$BP$1843,$R30),"")))</f>
        <v/>
      </c>
      <c r="R30" s="40" t="n">
        <f aca="false">IFERROR(MATCH(LARGE(Artikel!$CZ$7:$CZ$1843,B30),Artikel!$CZ$7:$CZ$1843,0),"")</f>
        <v>1316</v>
      </c>
    </row>
    <row r="31" customFormat="false" ht="15" hidden="false" customHeight="false" outlineLevel="0" collapsed="false">
      <c r="B31" s="34" t="n">
        <v>21</v>
      </c>
      <c r="C31" s="35" t="str">
        <f aca="false">IF($R31="","",INDEX(Artikel!$A$7:$A$1843,$R31))</f>
        <v>005545</v>
      </c>
      <c r="D31" s="35" t="str">
        <f aca="false">IF($R31="","",INDEX(Artikel!$B$7:$B$1843,$R31))</f>
        <v>Signalhorn mit Blitzleuchte</v>
      </c>
      <c r="E31" s="35" t="n">
        <f aca="false">IF($R31="","",INDEX(Artikel!$CF$7:$CF$1843,$R31))</f>
        <v>2</v>
      </c>
      <c r="F31" s="35" t="str">
        <f aca="false">IF($R31="","",INDEX(Artikel!$BY$7:$BY$1843,$R31))</f>
        <v>S71</v>
      </c>
      <c r="G31" s="36" t="n">
        <f aca="false">IF($R31="","",INDEX(Artikel!$H$7:$H$1843,$R31))</f>
        <v>22</v>
      </c>
      <c r="H31" s="36" t="n">
        <f aca="false">IF($R31="","",INDEX(Artikel!$J$7:$J$1843,$R31))</f>
        <v>0</v>
      </c>
      <c r="I31" s="37" t="n">
        <f aca="false">IF($R31="","",INDEX(Artikel!$CT$7:$CT$1843,$R31))</f>
        <v>0</v>
      </c>
      <c r="J31" s="36" t="n">
        <f aca="false">IF($R31="","",INDEX(Artikel!$CU$7:$CU$1843,$R31))</f>
        <v>4518.8</v>
      </c>
      <c r="K31" s="36" t="n">
        <f aca="false">IF($R31="","",INDEX(Artikel!$CS$7:$CS$1843,$R31))</f>
        <v>39.1666666666667</v>
      </c>
      <c r="L31" s="38" t="n">
        <f aca="false">IF($R31="","",K31/Parameter!$M$24)</f>
        <v>0.166666666666667</v>
      </c>
      <c r="M31" s="37" t="n">
        <f aca="false">IF($R31="","",INDEX(Artikel!$CY$7:$CY$1843,$R31))</f>
        <v>2.751</v>
      </c>
      <c r="N31" s="36" t="n">
        <f aca="false">IF($R31="","",INDEX(Artikel!$CV$7:$CV$1843,$R31))</f>
        <v>0.5</v>
      </c>
      <c r="O31" s="36" t="n">
        <f aca="false">IF($R31="","",INDEX(Artikel!$CW$7:$CW$1843,$R31))</f>
        <v>4416.1</v>
      </c>
      <c r="P31" s="36" t="n">
        <f aca="false">IF($R31="","",INDEX(Artikel!$CX$7:$CX$1843,$R31))</f>
        <v>38.2765151515152</v>
      </c>
      <c r="Q31" s="39" t="str">
        <f aca="false">IF($R31="","",TRIM(INDEX(Artikel!$BO$7:$BO$1843,$R31)&amp;IF(INDEX(Artikel!$BP$7:$BP$1843,$R31)&lt;&gt;""," → "&amp;INDEX(Artikel!$BP$7:$BP$1843,$R31),"")))</f>
        <v/>
      </c>
      <c r="R31" s="40" t="n">
        <f aca="false">IFERROR(MATCH(LARGE(Artikel!$CZ$7:$CZ$1843,B31),Artikel!$CZ$7:$CZ$1843,0),"")</f>
        <v>1091</v>
      </c>
    </row>
    <row r="32" customFormat="false" ht="15" hidden="false" customHeight="false" outlineLevel="0" collapsed="false">
      <c r="B32" s="34" t="n">
        <v>22</v>
      </c>
      <c r="C32" s="35" t="str">
        <f aca="false">IF($R32="","",INDEX(Artikel!$A$7:$A$1843,$R32))</f>
        <v>005040</v>
      </c>
      <c r="D32" s="35" t="str">
        <f aca="false">IF($R32="","",INDEX(Artikel!$B$7:$B$1843,$R32))</f>
        <v>Ringwellschlauch</v>
      </c>
      <c r="E32" s="35" t="n">
        <f aca="false">IF($R32="","",INDEX(Artikel!$CF$7:$CF$1843,$R32))</f>
        <v>3</v>
      </c>
      <c r="F32" s="35" t="str">
        <f aca="false">IF($R32="","",INDEX(Artikel!$BY$7:$BY$1843,$R32))</f>
        <v>S62</v>
      </c>
      <c r="G32" s="36" t="n">
        <f aca="false">IF($R32="","",INDEX(Artikel!$H$7:$H$1843,$R32))</f>
        <v>26</v>
      </c>
      <c r="H32" s="36" t="n">
        <f aca="false">IF($R32="","",INDEX(Artikel!$J$7:$J$1843,$R32))</f>
        <v>0</v>
      </c>
      <c r="I32" s="37" t="n">
        <f aca="false">IF($R32="","",INDEX(Artikel!$CT$7:$CT$1843,$R32))</f>
        <v>0</v>
      </c>
      <c r="J32" s="36" t="n">
        <f aca="false">IF($R32="","",INDEX(Artikel!$CU$7:$CU$1843,$R32))</f>
        <v>3134.56</v>
      </c>
      <c r="K32" s="36" t="n">
        <f aca="false">IF($R32="","",INDEX(Artikel!$CS$7:$CS$1843,$R32))</f>
        <v>40.8333333333333</v>
      </c>
      <c r="L32" s="38" t="n">
        <f aca="false">IF($R32="","",K32/Parameter!$M$24)</f>
        <v>0.173758865248227</v>
      </c>
      <c r="M32" s="37" t="n">
        <f aca="false">IF($R32="","",INDEX(Artikel!$CY$7:$CY$1843,$R32))</f>
        <v>2.735</v>
      </c>
      <c r="N32" s="36" t="n">
        <f aca="false">IF($R32="","",INDEX(Artikel!$CV$7:$CV$1843,$R32))</f>
        <v>0.5</v>
      </c>
      <c r="O32" s="36" t="n">
        <f aca="false">IF($R32="","",INDEX(Artikel!$CW$7:$CW$1843,$R32))</f>
        <v>3074.28</v>
      </c>
      <c r="P32" s="36" t="n">
        <f aca="false">IF($R32="","",INDEX(Artikel!$CX$7:$CX$1843,$R32))</f>
        <v>40.0480769230769</v>
      </c>
      <c r="Q32" s="39" t="str">
        <f aca="false">IF($R32="","",TRIM(INDEX(Artikel!$BO$7:$BO$1843,$R32)&amp;IF(INDEX(Artikel!$BP$7:$BP$1843,$R32)&lt;&gt;""," → "&amp;INDEX(Artikel!$BP$7:$BP$1843,$R32),"")))</f>
        <v/>
      </c>
      <c r="R32" s="40" t="n">
        <f aca="false">IFERROR(MATCH(LARGE(Artikel!$CZ$7:$CZ$1843,B32),Artikel!$CZ$7:$CZ$1843,0),"")</f>
        <v>131</v>
      </c>
    </row>
    <row r="33" customFormat="false" ht="15" hidden="false" customHeight="false" outlineLevel="0" collapsed="false">
      <c r="B33" s="34" t="n">
        <v>23</v>
      </c>
      <c r="C33" s="35" t="str">
        <f aca="false">IF($R33="","",INDEX(Artikel!$A$7:$A$1843,$R33))</f>
        <v>104216</v>
      </c>
      <c r="D33" s="35" t="str">
        <f aca="false">IF($R33="","",INDEX(Artikel!$B$7:$B$1843,$R33))</f>
        <v>Transfermagnetventil Spule CH4</v>
      </c>
      <c r="E33" s="35" t="n">
        <f aca="false">IF($R33="","",INDEX(Artikel!$CF$7:$CF$1843,$R33))</f>
        <v>1</v>
      </c>
      <c r="F33" s="35" t="str">
        <f aca="false">IF($R33="","",INDEX(Artikel!$BY$7:$BY$1843,$R33))</f>
        <v>S71</v>
      </c>
      <c r="G33" s="36" t="n">
        <f aca="false">IF($R33="","",INDEX(Artikel!$H$7:$H$1843,$R33))</f>
        <v>13</v>
      </c>
      <c r="H33" s="36" t="n">
        <f aca="false">IF($R33="","",INDEX(Artikel!$J$7:$J$1843,$R33))</f>
        <v>0</v>
      </c>
      <c r="I33" s="37" t="n">
        <f aca="false">IF($R33="","",INDEX(Artikel!$CT$7:$CT$1843,$R33))</f>
        <v>0</v>
      </c>
      <c r="J33" s="36" t="n">
        <f aca="false">IF($R33="","",INDEX(Artikel!$CU$7:$CU$1843,$R33))</f>
        <v>3756.09</v>
      </c>
      <c r="K33" s="36" t="n">
        <f aca="false">IF($R33="","",INDEX(Artikel!$CS$7:$CS$1843,$R33))</f>
        <v>39.1666666666667</v>
      </c>
      <c r="L33" s="38" t="n">
        <f aca="false">IF($R33="","",K33/Parameter!$M$24)</f>
        <v>0.166666666666667</v>
      </c>
      <c r="M33" s="37" t="n">
        <f aca="false">IF($R33="","",INDEX(Artikel!$CY$7:$CY$1843,$R33))</f>
        <v>2.728</v>
      </c>
      <c r="N33" s="36" t="n">
        <f aca="false">IF($R33="","",INDEX(Artikel!$CV$7:$CV$1843,$R33))</f>
        <v>0.5</v>
      </c>
      <c r="O33" s="36" t="n">
        <f aca="false">IF($R33="","",INDEX(Artikel!$CW$7:$CW$1843,$R33))</f>
        <v>3611.625</v>
      </c>
      <c r="P33" s="36" t="n">
        <f aca="false">IF($R33="","",INDEX(Artikel!$CX$7:$CX$1843,$R33))</f>
        <v>37.6602564102564</v>
      </c>
      <c r="Q33" s="39" t="str">
        <f aca="false">IF($R33="","",TRIM(INDEX(Artikel!$BO$7:$BO$1843,$R33)&amp;IF(INDEX(Artikel!$BP$7:$BP$1843,$R33)&lt;&gt;""," → "&amp;INDEX(Artikel!$BP$7:$BP$1843,$R33),"")))</f>
        <v/>
      </c>
      <c r="R33" s="40" t="n">
        <f aca="false">IFERROR(MATCH(LARGE(Artikel!$CZ$7:$CZ$1843,B33),Artikel!$CZ$7:$CZ$1843,0),"")</f>
        <v>1137</v>
      </c>
    </row>
    <row r="34" customFormat="false" ht="15" hidden="false" customHeight="false" outlineLevel="0" collapsed="false">
      <c r="B34" s="34" t="n">
        <v>24</v>
      </c>
      <c r="C34" s="35" t="str">
        <f aca="false">IF($R34="","",INDEX(Artikel!$A$7:$A$1843,$R34))</f>
        <v>104275</v>
      </c>
      <c r="D34" s="35" t="str">
        <f aca="false">IF($R34="","",INDEX(Artikel!$B$7:$B$1843,$R34))</f>
        <v>TMV Spule O2, 230V</v>
      </c>
      <c r="E34" s="35" t="n">
        <f aca="false">IF($R34="","",INDEX(Artikel!$CF$7:$CF$1843,$R34))</f>
        <v>2</v>
      </c>
      <c r="F34" s="35" t="str">
        <f aca="false">IF($R34="","",INDEX(Artikel!$BY$7:$BY$1843,$R34))</f>
        <v>S71</v>
      </c>
      <c r="G34" s="36" t="n">
        <f aca="false">IF($R34="","",INDEX(Artikel!$H$7:$H$1843,$R34))</f>
        <v>13</v>
      </c>
      <c r="H34" s="36" t="n">
        <f aca="false">IF($R34="","",INDEX(Artikel!$J$7:$J$1843,$R34))</f>
        <v>0</v>
      </c>
      <c r="I34" s="37" t="n">
        <f aca="false">IF($R34="","",INDEX(Artikel!$CT$7:$CT$1843,$R34))</f>
        <v>0</v>
      </c>
      <c r="J34" s="36" t="n">
        <f aca="false">IF($R34="","",INDEX(Artikel!$CU$7:$CU$1843,$R34))</f>
        <v>3747.77</v>
      </c>
      <c r="K34" s="36" t="n">
        <f aca="false">IF($R34="","",INDEX(Artikel!$CS$7:$CS$1843,$R34))</f>
        <v>39.1666666666667</v>
      </c>
      <c r="L34" s="38" t="n">
        <f aca="false">IF($R34="","",K34/Parameter!$M$24)</f>
        <v>0.166666666666667</v>
      </c>
      <c r="M34" s="37" t="n">
        <f aca="false">IF($R34="","",INDEX(Artikel!$CY$7:$CY$1843,$R34))</f>
        <v>2.727</v>
      </c>
      <c r="N34" s="36" t="n">
        <f aca="false">IF($R34="","",INDEX(Artikel!$CV$7:$CV$1843,$R34))</f>
        <v>2.5</v>
      </c>
      <c r="O34" s="36" t="n">
        <f aca="false">IF($R34="","",INDEX(Artikel!$CW$7:$CW$1843,$R34))</f>
        <v>3027.045</v>
      </c>
      <c r="P34" s="36" t="n">
        <f aca="false">IF($R34="","",INDEX(Artikel!$CX$7:$CX$1843,$R34))</f>
        <v>31.6346153846154</v>
      </c>
      <c r="Q34" s="39" t="str">
        <f aca="false">IF($R34="","",TRIM(INDEX(Artikel!$BO$7:$BO$1843,$R34)&amp;IF(INDEX(Artikel!$BP$7:$BP$1843,$R34)&lt;&gt;""," → "&amp;INDEX(Artikel!$BP$7:$BP$1843,$R34),"")))</f>
        <v/>
      </c>
      <c r="R34" s="40" t="n">
        <f aca="false">IFERROR(MATCH(LARGE(Artikel!$CZ$7:$CZ$1843,B34),Artikel!$CZ$7:$CZ$1843,0),"")</f>
        <v>1669</v>
      </c>
    </row>
    <row r="35" customFormat="false" ht="15" hidden="false" customHeight="false" outlineLevel="0" collapsed="false">
      <c r="B35" s="34" t="n">
        <v>25</v>
      </c>
      <c r="C35" s="35" t="str">
        <f aca="false">IF($R35="","",INDEX(Artikel!$A$7:$A$1843,$R35))</f>
        <v>108945</v>
      </c>
      <c r="D35" s="35" t="str">
        <f aca="false">IF($R35="","",INDEX(Artikel!$B$7:$B$1843,$R35))</f>
        <v>Kranbahnprofil</v>
      </c>
      <c r="E35" s="35" t="n">
        <f aca="false">IF($R35="","",INDEX(Artikel!$CF$7:$CF$1843,$R35))</f>
        <v>1</v>
      </c>
      <c r="F35" s="35" t="str">
        <f aca="false">IF($R35="","",INDEX(Artikel!$BY$7:$BY$1843,$R35))</f>
        <v>LOSE</v>
      </c>
      <c r="G35" s="36" t="n">
        <f aca="false">IF($R35="","",INDEX(Artikel!$H$7:$H$1843,$R35))</f>
        <v>8</v>
      </c>
      <c r="H35" s="36" t="n">
        <f aca="false">IF($R35="","",INDEX(Artikel!$J$7:$J$1843,$R35))</f>
        <v>0</v>
      </c>
      <c r="I35" s="37" t="n">
        <f aca="false">IF($R35="","",INDEX(Artikel!$CT$7:$CT$1843,$R35))</f>
        <v>0</v>
      </c>
      <c r="J35" s="36" t="n">
        <f aca="false">IF($R35="","",INDEX(Artikel!$CU$7:$CU$1843,$R35))</f>
        <v>1781.68</v>
      </c>
      <c r="K35" s="36" t="n">
        <f aca="false">IF($R35="","",INDEX(Artikel!$CS$7:$CS$1843,$R35))</f>
        <v>152.391713747646</v>
      </c>
      <c r="L35" s="38" t="n">
        <f aca="false">IF($R35="","",K35/Parameter!$M$24)</f>
        <v>0.648475377649557</v>
      </c>
      <c r="M35" s="37" t="n">
        <f aca="false">IF($R35="","",INDEX(Artikel!$CY$7:$CY$1843,$R35))</f>
        <v>2.723</v>
      </c>
      <c r="N35" s="36" t="n">
        <f aca="false">IF($R35="","",INDEX(Artikel!$CV$7:$CV$1843,$R35))</f>
        <v>0.5</v>
      </c>
      <c r="O35" s="36" t="n">
        <f aca="false">IF($R35="","",INDEX(Artikel!$CW$7:$CW$1843,$R35))</f>
        <v>1670.325</v>
      </c>
      <c r="P35" s="36" t="n">
        <f aca="false">IF($R35="","",INDEX(Artikel!$CX$7:$CX$1843,$R35))</f>
        <v>142.867231638418</v>
      </c>
      <c r="Q35" s="39" t="str">
        <f aca="false">IF($R35="","",TRIM(INDEX(Artikel!$BO$7:$BO$1843,$R35)&amp;IF(INDEX(Artikel!$BP$7:$BP$1843,$R35)&lt;&gt;""," → "&amp;INDEX(Artikel!$BP$7:$BP$1843,$R35),"")))</f>
        <v/>
      </c>
      <c r="R35" s="40" t="n">
        <f aca="false">IFERROR(MATCH(LARGE(Artikel!$CZ$7:$CZ$1843,B35),Artikel!$CZ$7:$CZ$1843,0),"")</f>
        <v>120</v>
      </c>
    </row>
    <row r="36" customFormat="false" ht="15" hidden="false" customHeight="false" outlineLevel="0" collapsed="false">
      <c r="B36" s="34" t="n">
        <v>26</v>
      </c>
      <c r="C36" s="35" t="str">
        <f aca="false">IF($R36="","",INDEX(Artikel!$A$7:$A$1843,$R36))</f>
        <v>108480</v>
      </c>
      <c r="D36" s="35" t="str">
        <f aca="false">IF($R36="","",INDEX(Artikel!$B$7:$B$1843,$R36))</f>
        <v>Reduktions Adapter</v>
      </c>
      <c r="E36" s="35" t="n">
        <f aca="false">IF($R36="","",INDEX(Artikel!$CF$7:$CF$1843,$R36))</f>
        <v>3</v>
      </c>
      <c r="F36" s="35" t="str">
        <f aca="false">IF($R36="","",INDEX(Artikel!$BY$7:$BY$1843,$R36))</f>
        <v>S63</v>
      </c>
      <c r="G36" s="36" t="n">
        <f aca="false">IF($R36="","",INDEX(Artikel!$H$7:$H$1843,$R36))</f>
        <v>13</v>
      </c>
      <c r="H36" s="36" t="n">
        <f aca="false">IF($R36="","",INDEX(Artikel!$J$7:$J$1843,$R36))</f>
        <v>0</v>
      </c>
      <c r="I36" s="37" t="n">
        <f aca="false">IF($R36="","",INDEX(Artikel!$CT$7:$CT$1843,$R36))</f>
        <v>0</v>
      </c>
      <c r="J36" s="36" t="n">
        <f aca="false">IF($R36="","",INDEX(Artikel!$CU$7:$CU$1843,$R36))</f>
        <v>4680</v>
      </c>
      <c r="K36" s="36" t="n">
        <f aca="false">IF($R36="","",INDEX(Artikel!$CS$7:$CS$1843,$R36))</f>
        <v>28.75</v>
      </c>
      <c r="L36" s="38" t="n">
        <f aca="false">IF($R36="","",K36/Parameter!$M$24)</f>
        <v>0.122340425531915</v>
      </c>
      <c r="M36" s="37" t="n">
        <f aca="false">IF($R36="","",INDEX(Artikel!$CY$7:$CY$1843,$R36))</f>
        <v>2.72</v>
      </c>
      <c r="N36" s="36" t="n">
        <f aca="false">IF($R36="","",INDEX(Artikel!$CV$7:$CV$1843,$R36))</f>
        <v>0.5</v>
      </c>
      <c r="O36" s="36" t="n">
        <f aca="false">IF($R36="","",INDEX(Artikel!$CW$7:$CW$1843,$R36))</f>
        <v>4500</v>
      </c>
      <c r="P36" s="36" t="n">
        <f aca="false">IF($R36="","",INDEX(Artikel!$CX$7:$CX$1843,$R36))</f>
        <v>27.6442307692308</v>
      </c>
      <c r="Q36" s="39" t="str">
        <f aca="false">IF($R36="","",TRIM(INDEX(Artikel!$BO$7:$BO$1843,$R36)&amp;IF(INDEX(Artikel!$BP$7:$BP$1843,$R36)&lt;&gt;""," → "&amp;INDEX(Artikel!$BP$7:$BP$1843,$R36),"")))</f>
        <v/>
      </c>
      <c r="R36" s="40" t="n">
        <f aca="false">IFERROR(MATCH(LARGE(Artikel!$CZ$7:$CZ$1843,B36),Artikel!$CZ$7:$CZ$1843,0),"")</f>
        <v>1166</v>
      </c>
    </row>
    <row r="37" customFormat="false" ht="15" hidden="false" customHeight="false" outlineLevel="0" collapsed="false">
      <c r="B37" s="34" t="n">
        <v>27</v>
      </c>
      <c r="C37" s="35" t="str">
        <f aca="false">IF($R37="","",INDEX(Artikel!$A$7:$A$1843,$R37))</f>
        <v>108156</v>
      </c>
      <c r="D37" s="35" t="str">
        <f aca="false">IF($R37="","",INDEX(Artikel!$B$7:$B$1843,$R37))</f>
        <v>Zwischenflansch SPGr16</v>
      </c>
      <c r="E37" s="35" t="n">
        <f aca="false">IF($R37="","",INDEX(Artikel!$CF$7:$CF$1843,$R37))</f>
        <v>3</v>
      </c>
      <c r="F37" s="35" t="str">
        <f aca="false">IF($R37="","",INDEX(Artikel!$BY$7:$BY$1843,$R37))</f>
        <v>S62</v>
      </c>
      <c r="G37" s="36" t="n">
        <f aca="false">IF($R37="","",INDEX(Artikel!$H$7:$H$1843,$R37))</f>
        <v>16</v>
      </c>
      <c r="H37" s="36" t="n">
        <f aca="false">IF($R37="","",INDEX(Artikel!$J$7:$J$1843,$R37))</f>
        <v>0</v>
      </c>
      <c r="I37" s="37" t="n">
        <f aca="false">IF($R37="","",INDEX(Artikel!$CT$7:$CT$1843,$R37))</f>
        <v>0</v>
      </c>
      <c r="J37" s="36" t="n">
        <f aca="false">IF($R37="","",INDEX(Artikel!$CU$7:$CU$1843,$R37))</f>
        <v>6944.96</v>
      </c>
      <c r="K37" s="36" t="n">
        <f aca="false">IF($R37="","",INDEX(Artikel!$CS$7:$CS$1843,$R37))</f>
        <v>20.4166666666667</v>
      </c>
      <c r="L37" s="38" t="n">
        <f aca="false">IF($R37="","",K37/Parameter!$M$24)</f>
        <v>0.0868794326241135</v>
      </c>
      <c r="M37" s="37" t="n">
        <f aca="false">IF($R37="","",INDEX(Artikel!$CY$7:$CY$1843,$R37))</f>
        <v>2.714</v>
      </c>
      <c r="N37" s="36" t="n">
        <f aca="false">IF($R37="","",INDEX(Artikel!$CV$7:$CV$1843,$R37))</f>
        <v>5</v>
      </c>
      <c r="O37" s="36" t="n">
        <f aca="false">IF($R37="","",INDEX(Artikel!$CW$7:$CW$1843,$R37))</f>
        <v>4774.66</v>
      </c>
      <c r="P37" s="36" t="n">
        <f aca="false">IF($R37="","",INDEX(Artikel!$CX$7:$CX$1843,$R37))</f>
        <v>14.0364583333333</v>
      </c>
      <c r="Q37" s="39" t="str">
        <f aca="false">IF($R37="","",TRIM(INDEX(Artikel!$BO$7:$BO$1843,$R37)&amp;IF(INDEX(Artikel!$BP$7:$BP$1843,$R37)&lt;&gt;""," → "&amp;INDEX(Artikel!$BP$7:$BP$1843,$R37),"")))</f>
        <v/>
      </c>
      <c r="R37" s="40" t="n">
        <f aca="false">IFERROR(MATCH(LARGE(Artikel!$CZ$7:$CZ$1843,B37),Artikel!$CZ$7:$CZ$1843,0),"")</f>
        <v>1674</v>
      </c>
    </row>
    <row r="38" customFormat="false" ht="15" hidden="false" customHeight="false" outlineLevel="0" collapsed="false">
      <c r="B38" s="34" t="n">
        <v>28</v>
      </c>
      <c r="C38" s="35" t="str">
        <f aca="false">IF($R38="","",INDEX(Artikel!$A$7:$A$1843,$R38))</f>
        <v>005085</v>
      </c>
      <c r="D38" s="35" t="str">
        <f aca="false">IF($R38="","",INDEX(Artikel!$B$7:$B$1843,$R38))</f>
        <v>SPS Grundgerät EG104/EG106</v>
      </c>
      <c r="E38" s="35" t="n">
        <f aca="false">IF($R38="","",INDEX(Artikel!$CF$7:$CF$1843,$R38))</f>
        <v>3</v>
      </c>
      <c r="F38" s="35" t="str">
        <f aca="false">IF($R38="","",INDEX(Artikel!$BY$7:$BY$1843,$R38))</f>
        <v>S61</v>
      </c>
      <c r="G38" s="36" t="n">
        <f aca="false">IF($R38="","",INDEX(Artikel!$H$7:$H$1843,$R38))</f>
        <v>5</v>
      </c>
      <c r="H38" s="36" t="n">
        <f aca="false">IF($R38="","",INDEX(Artikel!$J$7:$J$1843,$R38))</f>
        <v>0</v>
      </c>
      <c r="I38" s="37" t="n">
        <f aca="false">IF($R38="","",INDEX(Artikel!$CT$7:$CT$1843,$R38))</f>
        <v>0</v>
      </c>
      <c r="J38" s="36" t="n">
        <f aca="false">IF($R38="","",INDEX(Artikel!$CU$7:$CU$1843,$R38))</f>
        <v>4573.65</v>
      </c>
      <c r="K38" s="36" t="n">
        <f aca="false">IF($R38="","",INDEX(Artikel!$CS$7:$CS$1843,$R38))</f>
        <v>24.1666666666667</v>
      </c>
      <c r="L38" s="38" t="n">
        <f aca="false">IF($R38="","",K38/Parameter!$M$24)</f>
        <v>0.102836879432624</v>
      </c>
      <c r="M38" s="37" t="n">
        <f aca="false">IF($R38="","",INDEX(Artikel!$CY$7:$CY$1843,$R38))</f>
        <v>2.708</v>
      </c>
      <c r="N38" s="36" t="n">
        <f aca="false">IF($R38="","",INDEX(Artikel!$CV$7:$CV$1843,$R38))</f>
        <v>0.5</v>
      </c>
      <c r="O38" s="36" t="n">
        <f aca="false">IF($R38="","",INDEX(Artikel!$CW$7:$CW$1843,$R38))</f>
        <v>4116.285</v>
      </c>
      <c r="P38" s="36" t="n">
        <f aca="false">IF($R38="","",INDEX(Artikel!$CX$7:$CX$1843,$R38))</f>
        <v>21.75</v>
      </c>
      <c r="Q38" s="39" t="str">
        <f aca="false">IF($R38="","",TRIM(INDEX(Artikel!$BO$7:$BO$1843,$R38)&amp;IF(INDEX(Artikel!$BP$7:$BP$1843,$R38)&lt;&gt;""," → "&amp;INDEX(Artikel!$BP$7:$BP$1843,$R38),"")))</f>
        <v/>
      </c>
      <c r="R38" s="40" t="n">
        <f aca="false">IFERROR(MATCH(LARGE(Artikel!$CZ$7:$CZ$1843,B38),Artikel!$CZ$7:$CZ$1843,0),"")</f>
        <v>731</v>
      </c>
    </row>
    <row r="39" customFormat="false" ht="15" hidden="false" customHeight="false" outlineLevel="0" collapsed="false">
      <c r="B39" s="34" t="n">
        <v>29</v>
      </c>
      <c r="C39" s="35" t="str">
        <f aca="false">IF($R39="","",INDEX(Artikel!$A$7:$A$1843,$R39))</f>
        <v>105427</v>
      </c>
      <c r="D39" s="35" t="str">
        <f aca="false">IF($R39="","",INDEX(Artikel!$B$7:$B$1843,$R39))</f>
        <v>Distanzring</v>
      </c>
      <c r="E39" s="35" t="n">
        <f aca="false">IF($R39="","",INDEX(Artikel!$CF$7:$CF$1843,$R39))</f>
        <v>3</v>
      </c>
      <c r="F39" s="35" t="str">
        <f aca="false">IF($R39="","",INDEX(Artikel!$BY$7:$BY$1843,$R39))</f>
        <v>S62</v>
      </c>
      <c r="G39" s="36" t="n">
        <f aca="false">IF($R39="","",INDEX(Artikel!$H$7:$H$1843,$R39))</f>
        <v>78</v>
      </c>
      <c r="H39" s="36" t="n">
        <f aca="false">IF($R39="","",INDEX(Artikel!$J$7:$J$1843,$R39))</f>
        <v>0</v>
      </c>
      <c r="I39" s="37" t="n">
        <f aca="false">IF($R39="","",INDEX(Artikel!$CT$7:$CT$1843,$R39))</f>
        <v>0</v>
      </c>
      <c r="J39" s="36" t="n">
        <f aca="false">IF($R39="","",INDEX(Artikel!$CU$7:$CU$1843,$R39))</f>
        <v>5936.58</v>
      </c>
      <c r="K39" s="36" t="n">
        <f aca="false">IF($R39="","",INDEX(Artikel!$CS$7:$CS$1843,$R39))</f>
        <v>20.4166666666667</v>
      </c>
      <c r="L39" s="38" t="n">
        <f aca="false">IF($R39="","",K39/Parameter!$M$24)</f>
        <v>0.0868794326241135</v>
      </c>
      <c r="M39" s="37" t="n">
        <f aca="false">IF($R39="","",INDEX(Artikel!$CY$7:$CY$1843,$R39))</f>
        <v>2.703</v>
      </c>
      <c r="N39" s="36" t="n">
        <f aca="false">IF($R39="","",INDEX(Artikel!$CV$7:$CV$1843,$R39))</f>
        <v>5</v>
      </c>
      <c r="O39" s="36" t="n">
        <f aca="false">IF($R39="","",INDEX(Artikel!$CW$7:$CW$1843,$R39))</f>
        <v>5556.03</v>
      </c>
      <c r="P39" s="36" t="n">
        <f aca="false">IF($R39="","",INDEX(Artikel!$CX$7:$CX$1843,$R39))</f>
        <v>19.107905982906</v>
      </c>
      <c r="Q39" s="39" t="str">
        <f aca="false">IF($R39="","",TRIM(INDEX(Artikel!$BO$7:$BO$1843,$R39)&amp;IF(INDEX(Artikel!$BP$7:$BP$1843,$R39)&lt;&gt;""," → "&amp;INDEX(Artikel!$BP$7:$BP$1843,$R39),"")))</f>
        <v/>
      </c>
      <c r="R39" s="40" t="n">
        <f aca="false">IFERROR(MATCH(LARGE(Artikel!$CZ$7:$CZ$1843,B39),Artikel!$CZ$7:$CZ$1843,0),"")</f>
        <v>1511</v>
      </c>
    </row>
    <row r="40" customFormat="false" ht="15" hidden="false" customHeight="false" outlineLevel="0" collapsed="false">
      <c r="B40" s="34" t="n">
        <v>30</v>
      </c>
      <c r="C40" s="35" t="str">
        <f aca="false">IF($R40="","",INDEX(Artikel!$A$7:$A$1843,$R40))</f>
        <v>106365</v>
      </c>
      <c r="D40" s="35" t="str">
        <f aca="false">IF($R40="","",INDEX(Artikel!$B$7:$B$1843,$R40))</f>
        <v>Temperaturfühler PT100, einschraubbar</v>
      </c>
      <c r="E40" s="35" t="n">
        <f aca="false">IF($R40="","",INDEX(Artikel!$CF$7:$CF$1843,$R40))</f>
        <v>3</v>
      </c>
      <c r="F40" s="35" t="str">
        <f aca="false">IF($R40="","",INDEX(Artikel!$BY$7:$BY$1843,$R40))</f>
        <v>S62</v>
      </c>
      <c r="G40" s="36" t="n">
        <f aca="false">IF($R40="","",INDEX(Artikel!$H$7:$H$1843,$R40))</f>
        <v>28</v>
      </c>
      <c r="H40" s="36" t="n">
        <f aca="false">IF($R40="","",INDEX(Artikel!$J$7:$J$1843,$R40))</f>
        <v>0</v>
      </c>
      <c r="I40" s="37" t="n">
        <f aca="false">IF($R40="","",INDEX(Artikel!$CT$7:$CT$1843,$R40))</f>
        <v>0</v>
      </c>
      <c r="J40" s="36" t="n">
        <f aca="false">IF($R40="","",INDEX(Artikel!$CU$7:$CU$1843,$R40))</f>
        <v>5482.12</v>
      </c>
      <c r="K40" s="36" t="n">
        <f aca="false">IF($R40="","",INDEX(Artikel!$CS$7:$CS$1843,$R40))</f>
        <v>20.4166666666667</v>
      </c>
      <c r="L40" s="38" t="n">
        <f aca="false">IF($R40="","",K40/Parameter!$M$24)</f>
        <v>0.0868794326241135</v>
      </c>
      <c r="M40" s="37" t="n">
        <f aca="false">IF($R40="","",INDEX(Artikel!$CY$7:$CY$1843,$R40))</f>
        <v>2.695</v>
      </c>
      <c r="N40" s="36" t="n">
        <f aca="false">IF($R40="","",INDEX(Artikel!$CV$7:$CV$1843,$R40))</f>
        <v>7.5</v>
      </c>
      <c r="O40" s="36" t="n">
        <f aca="false">IF($R40="","",INDEX(Artikel!$CW$7:$CW$1843,$R40))</f>
        <v>4013.695</v>
      </c>
      <c r="P40" s="36" t="n">
        <f aca="false">IF($R40="","",INDEX(Artikel!$CX$7:$CX$1843,$R40))</f>
        <v>14.9479166666667</v>
      </c>
      <c r="Q40" s="39" t="str">
        <f aca="false">IF($R40="","",TRIM(INDEX(Artikel!$BO$7:$BO$1843,$R40)&amp;IF(INDEX(Artikel!$BP$7:$BP$1843,$R40)&lt;&gt;""," → "&amp;INDEX(Artikel!$BP$7:$BP$1843,$R40),"")))</f>
        <v/>
      </c>
      <c r="R40" s="40" t="n">
        <f aca="false">IFERROR(MATCH(LARGE(Artikel!$CZ$7:$CZ$1843,B40),Artikel!$CZ$7:$CZ$1843,0),"")</f>
        <v>1514</v>
      </c>
    </row>
    <row r="41" customFormat="false" ht="15" hidden="false" customHeight="false" outlineLevel="0" collapsed="false">
      <c r="B41" s="34" t="n">
        <v>31</v>
      </c>
      <c r="C41" s="35" t="str">
        <f aca="false">IF($R41="","",INDEX(Artikel!$A$7:$A$1843,$R41))</f>
        <v>108766</v>
      </c>
      <c r="D41" s="35" t="str">
        <f aca="false">IF($R41="","",INDEX(Artikel!$B$7:$B$1843,$R41))</f>
        <v>Reduktions Adapter</v>
      </c>
      <c r="E41" s="35" t="n">
        <f aca="false">IF($R41="","",INDEX(Artikel!$CF$7:$CF$1843,$R41))</f>
        <v>3</v>
      </c>
      <c r="F41" s="35" t="str">
        <f aca="false">IF($R41="","",INDEX(Artikel!$BY$7:$BY$1843,$R41))</f>
        <v>S62</v>
      </c>
      <c r="G41" s="36" t="n">
        <f aca="false">IF($R41="","",INDEX(Artikel!$H$7:$H$1843,$R41))</f>
        <v>14</v>
      </c>
      <c r="H41" s="36" t="n">
        <f aca="false">IF($R41="","",INDEX(Artikel!$J$7:$J$1843,$R41))</f>
        <v>0</v>
      </c>
      <c r="I41" s="37" t="n">
        <f aca="false">IF($R41="","",INDEX(Artikel!$CT$7:$CT$1843,$R41))</f>
        <v>0</v>
      </c>
      <c r="J41" s="36" t="n">
        <f aca="false">IF($R41="","",INDEX(Artikel!$CU$7:$CU$1843,$R41))</f>
        <v>5281.5</v>
      </c>
      <c r="K41" s="36" t="n">
        <f aca="false">IF($R41="","",INDEX(Artikel!$CS$7:$CS$1843,$R41))</f>
        <v>20.4166666666667</v>
      </c>
      <c r="L41" s="38" t="n">
        <f aca="false">IF($R41="","",K41/Parameter!$M$24)</f>
        <v>0.0868794326241135</v>
      </c>
      <c r="M41" s="37" t="n">
        <f aca="false">IF($R41="","",INDEX(Artikel!$CY$7:$CY$1843,$R41))</f>
        <v>2.692</v>
      </c>
      <c r="N41" s="36" t="n">
        <f aca="false">IF($R41="","",INDEX(Artikel!$CV$7:$CV$1843,$R41))</f>
        <v>5</v>
      </c>
      <c r="O41" s="36" t="n">
        <f aca="false">IF($R41="","",INDEX(Artikel!$CW$7:$CW$1843,$R41))</f>
        <v>3395.25</v>
      </c>
      <c r="P41" s="36" t="n">
        <f aca="false">IF($R41="","",INDEX(Artikel!$CX$7:$CX$1843,$R41))</f>
        <v>13.125</v>
      </c>
      <c r="Q41" s="39" t="str">
        <f aca="false">IF($R41="","",TRIM(INDEX(Artikel!$BO$7:$BO$1843,$R41)&amp;IF(INDEX(Artikel!$BP$7:$BP$1843,$R41)&lt;&gt;""," → "&amp;INDEX(Artikel!$BP$7:$BP$1843,$R41),"")))</f>
        <v/>
      </c>
      <c r="R41" s="40" t="n">
        <f aca="false">IFERROR(MATCH(LARGE(Artikel!$CZ$7:$CZ$1843,B41),Artikel!$CZ$7:$CZ$1843,0),"")</f>
        <v>1675</v>
      </c>
    </row>
    <row r="42" customFormat="false" ht="15" hidden="false" customHeight="false" outlineLevel="0" collapsed="false">
      <c r="B42" s="34" t="n">
        <v>32</v>
      </c>
      <c r="C42" s="35" t="str">
        <f aca="false">IF($R42="","",INDEX(Artikel!$A$7:$A$1843,$R42))</f>
        <v>108322</v>
      </c>
      <c r="D42" s="35" t="str">
        <f aca="false">IF($R42="","",INDEX(Artikel!$B$7:$B$1843,$R42))</f>
        <v>Gasvorwärmer</v>
      </c>
      <c r="E42" s="35" t="n">
        <f aca="false">IF($R42="","",INDEX(Artikel!$CF$7:$CF$1843,$R42))</f>
        <v>2</v>
      </c>
      <c r="F42" s="35" t="str">
        <f aca="false">IF($R42="","",INDEX(Artikel!$BY$7:$BY$1843,$R42))</f>
        <v>S71</v>
      </c>
      <c r="G42" s="36" t="n">
        <f aca="false">IF($R42="","",INDEX(Artikel!$H$7:$H$1843,$R42))</f>
        <v>7</v>
      </c>
      <c r="H42" s="36" t="n">
        <f aca="false">IF($R42="","",INDEX(Artikel!$J$7:$J$1843,$R42))</f>
        <v>0</v>
      </c>
      <c r="I42" s="37" t="n">
        <f aca="false">IF($R42="","",INDEX(Artikel!$CT$7:$CT$1843,$R42))</f>
        <v>0</v>
      </c>
      <c r="J42" s="36" t="n">
        <f aca="false">IF($R42="","",INDEX(Artikel!$CU$7:$CU$1843,$R42))</f>
        <v>2951.13</v>
      </c>
      <c r="K42" s="36" t="n">
        <f aca="false">IF($R42="","",INDEX(Artikel!$CS$7:$CS$1843,$R42))</f>
        <v>39.1666666666667</v>
      </c>
      <c r="L42" s="38" t="n">
        <f aca="false">IF($R42="","",K42/Parameter!$M$24)</f>
        <v>0.166666666666667</v>
      </c>
      <c r="M42" s="37" t="n">
        <f aca="false">IF($R42="","",INDEX(Artikel!$CY$7:$CY$1843,$R42))</f>
        <v>2.686</v>
      </c>
      <c r="N42" s="36" t="n">
        <f aca="false">IF($R42="","",INDEX(Artikel!$CV$7:$CV$1843,$R42))</f>
        <v>0.5</v>
      </c>
      <c r="O42" s="36" t="n">
        <f aca="false">IF($R42="","",INDEX(Artikel!$CW$7:$CW$1843,$R42))</f>
        <v>2740.335</v>
      </c>
      <c r="P42" s="36" t="n">
        <f aca="false">IF($R42="","",INDEX(Artikel!$CX$7:$CX$1843,$R42))</f>
        <v>36.3690476190476</v>
      </c>
      <c r="Q42" s="39" t="str">
        <f aca="false">IF($R42="","",TRIM(INDEX(Artikel!$BO$7:$BO$1843,$R42)&amp;IF(INDEX(Artikel!$BP$7:$BP$1843,$R42)&lt;&gt;""," → "&amp;INDEX(Artikel!$BP$7:$BP$1843,$R42),"")))</f>
        <v/>
      </c>
      <c r="R42" s="40" t="n">
        <f aca="false">IFERROR(MATCH(LARGE(Artikel!$CZ$7:$CZ$1843,B42),Artikel!$CZ$7:$CZ$1843,0),"")</f>
        <v>151</v>
      </c>
    </row>
    <row r="43" customFormat="false" ht="15" hidden="false" customHeight="false" outlineLevel="0" collapsed="false">
      <c r="B43" s="34" t="n">
        <v>33</v>
      </c>
      <c r="C43" s="35" t="str">
        <f aca="false">IF($R43="","",INDEX(Artikel!$A$7:$A$1843,$R43))</f>
        <v>103492</v>
      </c>
      <c r="D43" s="35" t="str">
        <f aca="false">IF($R43="","",INDEX(Artikel!$B$7:$B$1843,$R43))</f>
        <v>Heizpatrone</v>
      </c>
      <c r="E43" s="35" t="n">
        <f aca="false">IF($R43="","",INDEX(Artikel!$CF$7:$CF$1843,$R43))</f>
        <v>3</v>
      </c>
      <c r="F43" s="35" t="str">
        <f aca="false">IF($R43="","",INDEX(Artikel!$BY$7:$BY$1843,$R43))</f>
        <v>S63</v>
      </c>
      <c r="G43" s="36" t="n">
        <f aca="false">IF($R43="","",INDEX(Artikel!$H$7:$H$1843,$R43))</f>
        <v>28</v>
      </c>
      <c r="H43" s="36" t="n">
        <f aca="false">IF($R43="","",INDEX(Artikel!$J$7:$J$1843,$R43))</f>
        <v>0</v>
      </c>
      <c r="I43" s="37" t="n">
        <f aca="false">IF($R43="","",INDEX(Artikel!$CT$7:$CT$1843,$R43))</f>
        <v>0</v>
      </c>
      <c r="J43" s="36" t="n">
        <f aca="false">IF($R43="","",INDEX(Artikel!$CU$7:$CU$1843,$R43))</f>
        <v>3031</v>
      </c>
      <c r="K43" s="36" t="n">
        <f aca="false">IF($R43="","",INDEX(Artikel!$CS$7:$CS$1843,$R43))</f>
        <v>28.75</v>
      </c>
      <c r="L43" s="38" t="n">
        <f aca="false">IF($R43="","",K43/Parameter!$M$24)</f>
        <v>0.122340425531915</v>
      </c>
      <c r="M43" s="37" t="n">
        <f aca="false">IF($R43="","",INDEX(Artikel!$CY$7:$CY$1843,$R43))</f>
        <v>2.654</v>
      </c>
      <c r="N43" s="36" t="n">
        <f aca="false">IF($R43="","",INDEX(Artikel!$CV$7:$CV$1843,$R43))</f>
        <v>0.5</v>
      </c>
      <c r="O43" s="36" t="n">
        <f aca="false">IF($R43="","",INDEX(Artikel!$CW$7:$CW$1843,$R43))</f>
        <v>2976.875</v>
      </c>
      <c r="P43" s="36" t="n">
        <f aca="false">IF($R43="","",INDEX(Artikel!$CX$7:$CX$1843,$R43))</f>
        <v>28.2366071428571</v>
      </c>
      <c r="Q43" s="39" t="str">
        <f aca="false">IF($R43="","",TRIM(INDEX(Artikel!$BO$7:$BO$1843,$R43)&amp;IF(INDEX(Artikel!$BP$7:$BP$1843,$R43)&lt;&gt;""," → "&amp;INDEX(Artikel!$BP$7:$BP$1843,$R43),"")))</f>
        <v/>
      </c>
      <c r="R43" s="40" t="n">
        <f aca="false">IFERROR(MATCH(LARGE(Artikel!$CZ$7:$CZ$1843,B43),Artikel!$CZ$7:$CZ$1843,0),"")</f>
        <v>237</v>
      </c>
    </row>
    <row r="44" customFormat="false" ht="15" hidden="false" customHeight="false" outlineLevel="0" collapsed="false">
      <c r="B44" s="34" t="n">
        <v>34</v>
      </c>
      <c r="C44" s="35" t="str">
        <f aca="false">IF($R44="","",INDEX(Artikel!$A$7:$A$1843,$R44))</f>
        <v>108770</v>
      </c>
      <c r="D44" s="35" t="str">
        <f aca="false">IF($R44="","",INDEX(Artikel!$B$7:$B$1843,$R44))</f>
        <v>Ventilpanel SPGr BASE komplett</v>
      </c>
      <c r="E44" s="35" t="n">
        <f aca="false">IF($R44="","",INDEX(Artikel!$CF$7:$CF$1843,$R44))</f>
        <v>3</v>
      </c>
      <c r="F44" s="35" t="str">
        <f aca="false">IF($R44="","",INDEX(Artikel!$BY$7:$BY$1843,$R44))</f>
        <v>S61</v>
      </c>
      <c r="G44" s="36" t="n">
        <f aca="false">IF($R44="","",INDEX(Artikel!$H$7:$H$1843,$R44))</f>
        <v>6</v>
      </c>
      <c r="H44" s="36" t="n">
        <f aca="false">IF($R44="","",INDEX(Artikel!$J$7:$J$1843,$R44))</f>
        <v>0</v>
      </c>
      <c r="I44" s="37" t="n">
        <f aca="false">IF($R44="","",INDEX(Artikel!$CT$7:$CT$1843,$R44))</f>
        <v>0</v>
      </c>
      <c r="J44" s="36" t="n">
        <f aca="false">IF($R44="","",INDEX(Artikel!$CU$7:$CU$1843,$R44))</f>
        <v>31986</v>
      </c>
      <c r="K44" s="36" t="n">
        <f aca="false">IF($R44="","",INDEX(Artikel!$CS$7:$CS$1843,$R44))</f>
        <v>12.0833333333333</v>
      </c>
      <c r="L44" s="38" t="n">
        <f aca="false">IF($R44="","",K44/Parameter!$M$24)</f>
        <v>0.0514184397163121</v>
      </c>
      <c r="M44" s="37" t="n">
        <f aca="false">IF($R44="","",INDEX(Artikel!$CY$7:$CY$1843,$R44))</f>
        <v>2.651</v>
      </c>
      <c r="N44" s="36" t="n">
        <f aca="false">IF($R44="","",INDEX(Artikel!$CV$7:$CV$1843,$R44))</f>
        <v>0.5</v>
      </c>
      <c r="O44" s="36" t="n">
        <f aca="false">IF($R44="","",INDEX(Artikel!$CW$7:$CW$1843,$R44))</f>
        <v>29320.5</v>
      </c>
      <c r="P44" s="36" t="n">
        <f aca="false">IF($R44="","",INDEX(Artikel!$CX$7:$CX$1843,$R44))</f>
        <v>11.0763888888889</v>
      </c>
      <c r="Q44" s="39" t="str">
        <f aca="false">IF($R44="","",TRIM(INDEX(Artikel!$BO$7:$BO$1843,$R44)&amp;IF(INDEX(Artikel!$BP$7:$BP$1843,$R44)&lt;&gt;""," → "&amp;INDEX(Artikel!$BP$7:$BP$1843,$R44),"")))</f>
        <v/>
      </c>
      <c r="R44" s="40" t="n">
        <f aca="false">IFERROR(MATCH(LARGE(Artikel!$CZ$7:$CZ$1843,B44),Artikel!$CZ$7:$CZ$1843,0),"")</f>
        <v>1654</v>
      </c>
    </row>
    <row r="45" customFormat="false" ht="15" hidden="false" customHeight="false" outlineLevel="0" collapsed="false">
      <c r="B45" s="34" t="n">
        <v>35</v>
      </c>
      <c r="C45" s="35" t="str">
        <f aca="false">IF($R45="","",INDEX(Artikel!$A$7:$A$1843,$R45))</f>
        <v>005301</v>
      </c>
      <c r="D45" s="35" t="str">
        <f aca="false">IF($R45="","",INDEX(Artikel!$B$7:$B$1843,$R45))</f>
        <v>Rohr Anschweissstück</v>
      </c>
      <c r="E45" s="35" t="n">
        <f aca="false">IF($R45="","",INDEX(Artikel!$CF$7:$CF$1843,$R45))</f>
        <v>1</v>
      </c>
      <c r="F45" s="35" t="str">
        <f aca="false">IF($R45="","",INDEX(Artikel!$BY$7:$BY$1843,$R45))</f>
        <v>LOSE</v>
      </c>
      <c r="G45" s="36" t="n">
        <f aca="false">IF($R45="","",INDEX(Artikel!$H$7:$H$1843,$R45))</f>
        <v>2</v>
      </c>
      <c r="H45" s="36" t="n">
        <f aca="false">IF($R45="","",INDEX(Artikel!$J$7:$J$1843,$R45))</f>
        <v>0</v>
      </c>
      <c r="I45" s="37" t="n">
        <f aca="false">IF($R45="","",INDEX(Artikel!$CT$7:$CT$1843,$R45))</f>
        <v>0</v>
      </c>
      <c r="J45" s="36" t="n">
        <f aca="false">IF($R45="","",INDEX(Artikel!$CU$7:$CU$1843,$R45))</f>
        <v>2180</v>
      </c>
      <c r="K45" s="36" t="n">
        <f aca="false">IF($R45="","",INDEX(Artikel!$CS$7:$CS$1843,$R45))</f>
        <v>38.0979284369115</v>
      </c>
      <c r="L45" s="38" t="n">
        <f aca="false">IF($R45="","",K45/Parameter!$M$24)</f>
        <v>0.162118844412389</v>
      </c>
      <c r="M45" s="37" t="n">
        <f aca="false">IF($R45="","",INDEX(Artikel!$CY$7:$CY$1843,$R45))</f>
        <v>2.642</v>
      </c>
      <c r="N45" s="36" t="n">
        <f aca="false">IF($R45="","",INDEX(Artikel!$CV$7:$CV$1843,$R45))</f>
        <v>1.5</v>
      </c>
      <c r="O45" s="36" t="n">
        <f aca="false">IF($R45="","",INDEX(Artikel!$CW$7:$CW$1843,$R45))</f>
        <v>545</v>
      </c>
      <c r="P45" s="36" t="n">
        <f aca="false">IF($R45="","",INDEX(Artikel!$CX$7:$CX$1843,$R45))</f>
        <v>9.52448210922787</v>
      </c>
      <c r="Q45" s="39" t="str">
        <f aca="false">IF($R45="","",TRIM(INDEX(Artikel!$BO$7:$BO$1843,$R45)&amp;IF(INDEX(Artikel!$BP$7:$BP$1843,$R45)&lt;&gt;""," → "&amp;INDEX(Artikel!$BP$7:$BP$1843,$R45),"")))</f>
        <v/>
      </c>
      <c r="R45" s="40" t="n">
        <f aca="false">IFERROR(MATCH(LARGE(Artikel!$CZ$7:$CZ$1843,B45),Artikel!$CZ$7:$CZ$1843,0),"")</f>
        <v>1572</v>
      </c>
    </row>
    <row r="46" customFormat="false" ht="22.35" hidden="false" customHeight="false" outlineLevel="0" collapsed="false">
      <c r="B46" s="34" t="n">
        <v>36</v>
      </c>
      <c r="C46" s="35" t="str">
        <f aca="false">IF($R46="","",INDEX(Artikel!$A$7:$A$1843,$R46))</f>
        <v>111900</v>
      </c>
      <c r="D46" s="35" t="str">
        <f aca="false">IF($R46="","",INDEX(Artikel!$B$7:$B$1843,$R46))</f>
        <v>Ausgleichsvolumen 40l</v>
      </c>
      <c r="E46" s="35" t="n">
        <f aca="false">IF($R46="","",INDEX(Artikel!$CF$7:$CF$1843,$R46))</f>
        <v>1</v>
      </c>
      <c r="F46" s="35" t="str">
        <f aca="false">IF($R46="","",INDEX(Artikel!$BY$7:$BY$1843,$R46))</f>
        <v>LOSE</v>
      </c>
      <c r="G46" s="36" t="n">
        <f aca="false">IF($R46="","",INDEX(Artikel!$H$7:$H$1843,$R46))</f>
        <v>2</v>
      </c>
      <c r="H46" s="36" t="n">
        <f aca="false">IF($R46="","",INDEX(Artikel!$J$7:$J$1843,$R46))</f>
        <v>0</v>
      </c>
      <c r="I46" s="37" t="n">
        <f aca="false">IF($R46="","",INDEX(Artikel!$CT$7:$CT$1843,$R46))</f>
        <v>0</v>
      </c>
      <c r="J46" s="36" t="n">
        <f aca="false">IF($R46="","",INDEX(Artikel!$CU$7:$CU$1843,$R46))</f>
        <v>1348.3</v>
      </c>
      <c r="K46" s="36" t="n">
        <f aca="false">IF($R46="","",INDEX(Artikel!$CS$7:$CS$1843,$R46))</f>
        <v>76.195856873823</v>
      </c>
      <c r="L46" s="38" t="n">
        <f aca="false">IF($R46="","",K46/Parameter!$M$24)</f>
        <v>0.324237688824779</v>
      </c>
      <c r="M46" s="37" t="n">
        <f aca="false">IF($R46="","",INDEX(Artikel!$CY$7:$CY$1843,$R46))</f>
        <v>2.642</v>
      </c>
      <c r="N46" s="36" t="n">
        <f aca="false">IF($R46="","",INDEX(Artikel!$CV$7:$CV$1843,$R46))</f>
        <v>2.5</v>
      </c>
      <c r="O46" s="36" t="n">
        <f aca="false">IF($R46="","",INDEX(Artikel!$CW$7:$CW$1843,$R46))</f>
        <v>0</v>
      </c>
      <c r="P46" s="36" t="n">
        <f aca="false">IF($R46="","",INDEX(Artikel!$CX$7:$CX$1843,$R46))</f>
        <v>0</v>
      </c>
      <c r="Q46" s="39" t="str">
        <f aca="false">IF($R46="","",TRIM(INDEX(Artikel!$BO$7:$BO$1843,$R46)&amp;IF(INDEX(Artikel!$BP$7:$BP$1843,$R46)&lt;&gt;""," → "&amp;INDEX(Artikel!$BP$7:$BP$1843,$R46),"")))</f>
        <v>Kleinere Mengen eingekauft 2022-2024 - keine Entnahmen → T&amp;E: Benötigt/Alternative?</v>
      </c>
      <c r="R46" s="40" t="n">
        <f aca="false">IFERROR(MATCH(LARGE(Artikel!$CZ$7:$CZ$1843,B46),Artikel!$CZ$7:$CZ$1843,0),"")</f>
        <v>69</v>
      </c>
    </row>
    <row r="47" customFormat="false" ht="15" hidden="false" customHeight="false" outlineLevel="0" collapsed="false">
      <c r="B47" s="34" t="n">
        <v>37</v>
      </c>
      <c r="C47" s="35" t="str">
        <f aca="false">IF($R47="","",INDEX(Artikel!$A$7:$A$1843,$R47))</f>
        <v>MESSEGERAET SPGR16</v>
      </c>
      <c r="D47" s="35" t="str">
        <f aca="false">IF($R47="","",INDEX(Artikel!$B$7:$B$1843,$R47))</f>
        <v>SPGr16 für Ausstellung</v>
      </c>
      <c r="E47" s="35" t="n">
        <f aca="false">IF($R47="","",INDEX(Artikel!$CF$7:$CF$1843,$R47))</f>
        <v>3</v>
      </c>
      <c r="F47" s="35" t="str">
        <f aca="false">IF($R47="","",INDEX(Artikel!$BY$7:$BY$1843,$R47))</f>
        <v>S61</v>
      </c>
      <c r="G47" s="36" t="n">
        <f aca="false">IF($R47="","",INDEX(Artikel!$H$7:$H$1843,$R47))</f>
        <v>1</v>
      </c>
      <c r="H47" s="36" t="n">
        <f aca="false">IF($R47="","",INDEX(Artikel!$J$7:$J$1843,$R47))</f>
        <v>0</v>
      </c>
      <c r="I47" s="37" t="n">
        <f aca="false">IF($R47="","",INDEX(Artikel!$CT$7:$CT$1843,$R47))</f>
        <v>0</v>
      </c>
      <c r="J47" s="36" t="n">
        <f aca="false">IF($R47="","",INDEX(Artikel!$CU$7:$CU$1843,$R47))</f>
        <v>17553.7</v>
      </c>
      <c r="K47" s="36" t="n">
        <f aca="false">IF($R47="","",INDEX(Artikel!$CS$7:$CS$1843,$R47))</f>
        <v>12.0833333333333</v>
      </c>
      <c r="L47" s="38" t="n">
        <f aca="false">IF($R47="","",K47/Parameter!$M$24)</f>
        <v>0.0514184397163121</v>
      </c>
      <c r="M47" s="37" t="n">
        <f aca="false">IF($R47="","",INDEX(Artikel!$CY$7:$CY$1843,$R47))</f>
        <v>2.637</v>
      </c>
      <c r="N47" s="36" t="n">
        <f aca="false">IF($R47="","",INDEX(Artikel!$CV$7:$CV$1843,$R47))</f>
        <v>0.5</v>
      </c>
      <c r="O47" s="36" t="n">
        <f aca="false">IF($R47="","",INDEX(Artikel!$CW$7:$CW$1843,$R47))</f>
        <v>8776.85</v>
      </c>
      <c r="P47" s="36" t="n">
        <f aca="false">IF($R47="","",INDEX(Artikel!$CX$7:$CX$1843,$R47))</f>
        <v>6.04166666666667</v>
      </c>
      <c r="Q47" s="39" t="str">
        <f aca="false">IF($R47="","",TRIM(INDEX(Artikel!$BO$7:$BO$1843,$R47)&amp;IF(INDEX(Artikel!$BP$7:$BP$1843,$R47)&lt;&gt;""," → "&amp;INDEX(Artikel!$BP$7:$BP$1843,$R47),"")))</f>
        <v/>
      </c>
      <c r="R47" s="40" t="n">
        <f aca="false">IFERROR(MATCH(LARGE(Artikel!$CZ$7:$CZ$1843,B47),Artikel!$CZ$7:$CZ$1843,0),"")</f>
        <v>1661</v>
      </c>
    </row>
    <row r="48" customFormat="false" ht="15" hidden="false" customHeight="false" outlineLevel="0" collapsed="false">
      <c r="B48" s="34" t="n">
        <v>38</v>
      </c>
      <c r="C48" s="35" t="str">
        <f aca="false">IF($R48="","",INDEX(Artikel!$A$7:$A$1843,$R48))</f>
        <v>005694</v>
      </c>
      <c r="D48" s="35" t="str">
        <f aca="false">IF($R48="","",INDEX(Artikel!$B$7:$B$1843,$R48))</f>
        <v>Leitungsschutzschalter</v>
      </c>
      <c r="E48" s="35" t="n">
        <f aca="false">IF($R48="","",INDEX(Artikel!$CF$7:$CF$1843,$R48))</f>
        <v>3</v>
      </c>
      <c r="F48" s="35" t="str">
        <f aca="false">IF($R48="","",INDEX(Artikel!$BY$7:$BY$1843,$R48))</f>
        <v>S51</v>
      </c>
      <c r="G48" s="36" t="n">
        <f aca="false">IF($R48="","",INDEX(Artikel!$H$7:$H$1843,$R48))</f>
        <v>21</v>
      </c>
      <c r="H48" s="36" t="n">
        <f aca="false">IF($R48="","",INDEX(Artikel!$J$7:$J$1843,$R48))</f>
        <v>0</v>
      </c>
      <c r="I48" s="37" t="n">
        <f aca="false">IF($R48="","",INDEX(Artikel!$CT$7:$CT$1843,$R48))</f>
        <v>0</v>
      </c>
      <c r="J48" s="36" t="n">
        <f aca="false">IF($R48="","",INDEX(Artikel!$CU$7:$CU$1843,$R48))</f>
        <v>2803.29</v>
      </c>
      <c r="K48" s="36" t="n">
        <f aca="false">IF($R48="","",INDEX(Artikel!$CS$7:$CS$1843,$R48))</f>
        <v>23.8461538461538</v>
      </c>
      <c r="L48" s="38" t="n">
        <f aca="false">IF($R48="","",K48/Parameter!$M$24)</f>
        <v>0.101472995090016</v>
      </c>
      <c r="M48" s="37" t="n">
        <f aca="false">IF($R48="","",INDEX(Artikel!$CY$7:$CY$1843,$R48))</f>
        <v>2.629</v>
      </c>
      <c r="N48" s="36" t="n">
        <f aca="false">IF($R48="","",INDEX(Artikel!$CV$7:$CV$1843,$R48))</f>
        <v>0.5</v>
      </c>
      <c r="O48" s="36" t="n">
        <f aca="false">IF($R48="","",INDEX(Artikel!$CW$7:$CW$1843,$R48))</f>
        <v>2736.545</v>
      </c>
      <c r="P48" s="36" t="n">
        <f aca="false">IF($R48="","",INDEX(Artikel!$CX$7:$CX$1843,$R48))</f>
        <v>23.2783882783883</v>
      </c>
      <c r="Q48" s="39" t="str">
        <f aca="false">IF($R48="","",TRIM(INDEX(Artikel!$BO$7:$BO$1843,$R48)&amp;IF(INDEX(Artikel!$BP$7:$BP$1843,$R48)&lt;&gt;""," → "&amp;INDEX(Artikel!$BP$7:$BP$1843,$R48),"")))</f>
        <v/>
      </c>
      <c r="R48" s="40" t="n">
        <f aca="false">IFERROR(MATCH(LARGE(Artikel!$CZ$7:$CZ$1843,B48),Artikel!$CZ$7:$CZ$1843,0),"")</f>
        <v>1031</v>
      </c>
    </row>
    <row r="49" customFormat="false" ht="15" hidden="false" customHeight="false" outlineLevel="0" collapsed="false">
      <c r="B49" s="34" t="n">
        <v>39</v>
      </c>
      <c r="C49" s="35" t="str">
        <f aca="false">IF($R49="","",INDEX(Artikel!$A$7:$A$1843,$R49))</f>
        <v>001124</v>
      </c>
      <c r="D49" s="35" t="str">
        <f aca="false">IF($R49="","",INDEX(Artikel!$B$7:$B$1843,$R49))</f>
        <v>Holzkiste Steuerschrank gross</v>
      </c>
      <c r="E49" s="35" t="n">
        <f aca="false">IF($R49="","",INDEX(Artikel!$CF$7:$CF$1843,$R49))</f>
        <v>2</v>
      </c>
      <c r="F49" s="35" t="str">
        <f aca="false">IF($R49="","",INDEX(Artikel!$BY$7:$BY$1843,$R49))</f>
        <v>S81</v>
      </c>
      <c r="G49" s="36" t="n">
        <f aca="false">IF($R49="","",INDEX(Artikel!$H$7:$H$1843,$R49))</f>
        <v>4</v>
      </c>
      <c r="H49" s="36" t="n">
        <f aca="false">IF($R49="","",INDEX(Artikel!$J$7:$J$1843,$R49))</f>
        <v>0</v>
      </c>
      <c r="I49" s="37" t="n">
        <f aca="false">IF($R49="","",INDEX(Artikel!$CT$7:$CT$1843,$R49))</f>
        <v>0</v>
      </c>
      <c r="J49" s="36" t="n">
        <f aca="false">IF($R49="","",INDEX(Artikel!$CU$7:$CU$1843,$R49))</f>
        <v>1461.4</v>
      </c>
      <c r="K49" s="36" t="n">
        <f aca="false">IF($R49="","",INDEX(Artikel!$CS$7:$CS$1843,$R49))</f>
        <v>58.75</v>
      </c>
      <c r="L49" s="38" t="n">
        <f aca="false">IF($R49="","",K49/Parameter!$M$24)</f>
        <v>0.25</v>
      </c>
      <c r="M49" s="37" t="n">
        <f aca="false">IF($R49="","",INDEX(Artikel!$CY$7:$CY$1843,$R49))</f>
        <v>2.629</v>
      </c>
      <c r="N49" s="36" t="n">
        <f aca="false">IF($R49="","",INDEX(Artikel!$CV$7:$CV$1843,$R49))</f>
        <v>0.5</v>
      </c>
      <c r="O49" s="36" t="n">
        <f aca="false">IF($R49="","",INDEX(Artikel!$CW$7:$CW$1843,$R49))</f>
        <v>1278.725</v>
      </c>
      <c r="P49" s="36" t="n">
        <f aca="false">IF($R49="","",INDEX(Artikel!$CX$7:$CX$1843,$R49))</f>
        <v>51.40625</v>
      </c>
      <c r="Q49" s="39" t="str">
        <f aca="false">IF($R49="","",TRIM(INDEX(Artikel!$BO$7:$BO$1843,$R49)&amp;IF(INDEX(Artikel!$BP$7:$BP$1843,$R49)&lt;&gt;""," → "&amp;INDEX(Artikel!$BP$7:$BP$1843,$R49),"")))</f>
        <v/>
      </c>
      <c r="R49" s="40" t="n">
        <f aca="false">IFERROR(MATCH(LARGE(Artikel!$CZ$7:$CZ$1843,B49),Artikel!$CZ$7:$CZ$1843,0),"")</f>
        <v>136</v>
      </c>
    </row>
    <row r="50" customFormat="false" ht="15" hidden="false" customHeight="false" outlineLevel="0" collapsed="false">
      <c r="B50" s="34" t="n">
        <v>40</v>
      </c>
      <c r="C50" s="35" t="str">
        <f aca="false">IF($R50="","",INDEX(Artikel!$A$7:$A$1843,$R50))</f>
        <v>104212</v>
      </c>
      <c r="D50" s="35" t="str">
        <f aca="false">IF($R50="","",INDEX(Artikel!$B$7:$B$1843,$R50))</f>
        <v>Glühkerzenkabel inkl. Stecker zu VP</v>
      </c>
      <c r="E50" s="35" t="n">
        <f aca="false">IF($R50="","",INDEX(Artikel!$CF$7:$CF$1843,$R50))</f>
        <v>2</v>
      </c>
      <c r="F50" s="35" t="str">
        <f aca="false">IF($R50="","",INDEX(Artikel!$BY$7:$BY$1843,$R50))</f>
        <v>S71</v>
      </c>
      <c r="G50" s="36" t="n">
        <f aca="false">IF($R50="","",INDEX(Artikel!$H$7:$H$1843,$R50))</f>
        <v>13</v>
      </c>
      <c r="H50" s="36" t="n">
        <f aca="false">IF($R50="","",INDEX(Artikel!$J$7:$J$1843,$R50))</f>
        <v>0</v>
      </c>
      <c r="I50" s="37" t="n">
        <f aca="false">IF($R50="","",INDEX(Artikel!$CT$7:$CT$1843,$R50))</f>
        <v>0</v>
      </c>
      <c r="J50" s="36" t="n">
        <f aca="false">IF($R50="","",INDEX(Artikel!$CU$7:$CU$1843,$R50))</f>
        <v>1878.5</v>
      </c>
      <c r="K50" s="36" t="n">
        <f aca="false">IF($R50="","",INDEX(Artikel!$CS$7:$CS$1843,$R50))</f>
        <v>39.1666666666667</v>
      </c>
      <c r="L50" s="38" t="n">
        <f aca="false">IF($R50="","",K50/Parameter!$M$24)</f>
        <v>0.166666666666667</v>
      </c>
      <c r="M50" s="37" t="n">
        <f aca="false">IF($R50="","",INDEX(Artikel!$CY$7:$CY$1843,$R50))</f>
        <v>2.621</v>
      </c>
      <c r="N50" s="36" t="n">
        <f aca="false">IF($R50="","",INDEX(Artikel!$CV$7:$CV$1843,$R50))</f>
        <v>0.5</v>
      </c>
      <c r="O50" s="36" t="n">
        <f aca="false">IF($R50="","",INDEX(Artikel!$CW$7:$CW$1843,$R50))</f>
        <v>1806.25</v>
      </c>
      <c r="P50" s="36" t="n">
        <f aca="false">IF($R50="","",INDEX(Artikel!$CX$7:$CX$1843,$R50))</f>
        <v>37.6602564102564</v>
      </c>
      <c r="Q50" s="39" t="str">
        <f aca="false">IF($R50="","",TRIM(INDEX(Artikel!$BO$7:$BO$1843,$R50)&amp;IF(INDEX(Artikel!$BP$7:$BP$1843,$R50)&lt;&gt;""," → "&amp;INDEX(Artikel!$BP$7:$BP$1843,$R50),"")))</f>
        <v/>
      </c>
      <c r="R50" s="40" t="n">
        <f aca="false">IFERROR(MATCH(LARGE(Artikel!$CZ$7:$CZ$1843,B50),Artikel!$CZ$7:$CZ$1843,0),"")</f>
        <v>708</v>
      </c>
    </row>
    <row r="51" customFormat="false" ht="15" hidden="false" customHeight="false" outlineLevel="0" collapsed="false">
      <c r="B51" s="34" t="n">
        <v>41</v>
      </c>
      <c r="C51" s="35" t="str">
        <f aca="false">IF($R51="","",INDEX(Artikel!$A$7:$A$1843,$R51))</f>
        <v>105983</v>
      </c>
      <c r="D51" s="35" t="str">
        <f aca="false">IF($R51="","",INDEX(Artikel!$B$7:$B$1843,$R51))</f>
        <v>GDS Flansch SPGr16</v>
      </c>
      <c r="E51" s="35" t="n">
        <f aca="false">IF($R51="","",INDEX(Artikel!$CF$7:$CF$1843,$R51))</f>
        <v>3</v>
      </c>
      <c r="F51" s="35" t="str">
        <f aca="false">IF($R51="","",INDEX(Artikel!$BY$7:$BY$1843,$R51))</f>
        <v>S61</v>
      </c>
      <c r="G51" s="36" t="n">
        <f aca="false">IF($R51="","",INDEX(Artikel!$H$7:$H$1843,$R51))</f>
        <v>48</v>
      </c>
      <c r="H51" s="36" t="n">
        <f aca="false">IF($R51="","",INDEX(Artikel!$J$7:$J$1843,$R51))</f>
        <v>0</v>
      </c>
      <c r="I51" s="37" t="n">
        <f aca="false">IF($R51="","",INDEX(Artikel!$CT$7:$CT$1843,$R51))</f>
        <v>0</v>
      </c>
      <c r="J51" s="36" t="n">
        <f aca="false">IF($R51="","",INDEX(Artikel!$CU$7:$CU$1843,$R51))</f>
        <v>11639.04</v>
      </c>
      <c r="K51" s="36" t="n">
        <f aca="false">IF($R51="","",INDEX(Artikel!$CS$7:$CS$1843,$R51))</f>
        <v>12.0833333333333</v>
      </c>
      <c r="L51" s="38" t="n">
        <f aca="false">IF($R51="","",K51/Parameter!$M$24)</f>
        <v>0.0514184397163121</v>
      </c>
      <c r="M51" s="37" t="n">
        <f aca="false">IF($R51="","",INDEX(Artikel!$CY$7:$CY$1843,$R51))</f>
        <v>2.618</v>
      </c>
      <c r="N51" s="36" t="n">
        <f aca="false">IF($R51="","",INDEX(Artikel!$CV$7:$CV$1843,$R51))</f>
        <v>7.5</v>
      </c>
      <c r="O51" s="36" t="n">
        <f aca="false">IF($R51="","",INDEX(Artikel!$CW$7:$CW$1843,$R51))</f>
        <v>9820.44</v>
      </c>
      <c r="P51" s="36" t="n">
        <f aca="false">IF($R51="","",INDEX(Artikel!$CX$7:$CX$1843,$R51))</f>
        <v>10.1953125</v>
      </c>
      <c r="Q51" s="39" t="str">
        <f aca="false">IF($R51="","",TRIM(INDEX(Artikel!$BO$7:$BO$1843,$R51)&amp;IF(INDEX(Artikel!$BP$7:$BP$1843,$R51)&lt;&gt;""," → "&amp;INDEX(Artikel!$BP$7:$BP$1843,$R51),"")))</f>
        <v/>
      </c>
      <c r="R51" s="40" t="n">
        <f aca="false">IFERROR(MATCH(LARGE(Artikel!$CZ$7:$CZ$1843,B51),Artikel!$CZ$7:$CZ$1843,0),"")</f>
        <v>1635</v>
      </c>
    </row>
    <row r="52" customFormat="false" ht="15" hidden="false" customHeight="false" outlineLevel="0" collapsed="false">
      <c r="B52" s="34" t="n">
        <v>42</v>
      </c>
      <c r="C52" s="35" t="str">
        <f aca="false">IF($R52="","",INDEX(Artikel!$A$7:$A$1843,$R52))</f>
        <v>106183</v>
      </c>
      <c r="D52" s="35" t="str">
        <f aca="false">IF($R52="","",INDEX(Artikel!$B$7:$B$1843,$R52))</f>
        <v>SPGr16</v>
      </c>
      <c r="E52" s="35" t="n">
        <f aca="false">IF($R52="","",INDEX(Artikel!$CF$7:$CF$1843,$R52))</f>
        <v>3</v>
      </c>
      <c r="F52" s="35" t="str">
        <f aca="false">IF($R52="","",INDEX(Artikel!$BY$7:$BY$1843,$R52))</f>
        <v>S61</v>
      </c>
      <c r="G52" s="36" t="n">
        <f aca="false">IF($R52="","",INDEX(Artikel!$H$7:$H$1843,$R52))</f>
        <v>1</v>
      </c>
      <c r="H52" s="36" t="n">
        <f aca="false">IF($R52="","",INDEX(Artikel!$J$7:$J$1843,$R52))</f>
        <v>0</v>
      </c>
      <c r="I52" s="37" t="n">
        <f aca="false">IF($R52="","",INDEX(Artikel!$CT$7:$CT$1843,$R52))</f>
        <v>0</v>
      </c>
      <c r="J52" s="36" t="n">
        <f aca="false">IF($R52="","",INDEX(Artikel!$CU$7:$CU$1843,$R52))</f>
        <v>11054.86</v>
      </c>
      <c r="K52" s="36" t="n">
        <f aca="false">IF($R52="","",INDEX(Artikel!$CS$7:$CS$1843,$R52))</f>
        <v>12.0833333333333</v>
      </c>
      <c r="L52" s="38" t="n">
        <f aca="false">IF($R52="","",K52/Parameter!$M$24)</f>
        <v>0.0514184397163121</v>
      </c>
      <c r="M52" s="37" t="n">
        <f aca="false">IF($R52="","",INDEX(Artikel!$CY$7:$CY$1843,$R52))</f>
        <v>2.617</v>
      </c>
      <c r="N52" s="36" t="n">
        <f aca="false">IF($R52="","",INDEX(Artikel!$CV$7:$CV$1843,$R52))</f>
        <v>0.5</v>
      </c>
      <c r="O52" s="36" t="n">
        <f aca="false">IF($R52="","",INDEX(Artikel!$CW$7:$CW$1843,$R52))</f>
        <v>5527.43</v>
      </c>
      <c r="P52" s="36" t="n">
        <f aca="false">IF($R52="","",INDEX(Artikel!$CX$7:$CX$1843,$R52))</f>
        <v>6.04166666666667</v>
      </c>
      <c r="Q52" s="39" t="str">
        <f aca="false">IF($R52="","",TRIM(INDEX(Artikel!$BO$7:$BO$1843,$R52)&amp;IF(INDEX(Artikel!$BP$7:$BP$1843,$R52)&lt;&gt;""," → "&amp;INDEX(Artikel!$BP$7:$BP$1843,$R52),"")))</f>
        <v/>
      </c>
      <c r="R52" s="40" t="n">
        <f aca="false">IFERROR(MATCH(LARGE(Artikel!$CZ$7:$CZ$1843,B52),Artikel!$CZ$7:$CZ$1843,0),"")</f>
        <v>1636</v>
      </c>
    </row>
    <row r="53" customFormat="false" ht="32.8" hidden="false" customHeight="false" outlineLevel="0" collapsed="false">
      <c r="B53" s="34" t="n">
        <v>43</v>
      </c>
      <c r="C53" s="35" t="str">
        <f aca="false">IF($R53="","",INDEX(Artikel!$A$7:$A$1843,$R53))</f>
        <v>110978</v>
      </c>
      <c r="D53" s="35" t="str">
        <f aca="false">IF($R53="","",INDEX(Artikel!$B$7:$B$1843,$R53))</f>
        <v>Austrittsdüsenschauglas komplett</v>
      </c>
      <c r="E53" s="35" t="n">
        <f aca="false">IF($R53="","",INDEX(Artikel!$CF$7:$CF$1843,$R53))</f>
        <v>3</v>
      </c>
      <c r="F53" s="35" t="str">
        <f aca="false">IF($R53="","",INDEX(Artikel!$BY$7:$BY$1843,$R53))</f>
        <v>S61</v>
      </c>
      <c r="G53" s="36" t="n">
        <f aca="false">IF($R53="","",INDEX(Artikel!$H$7:$H$1843,$R53))</f>
        <v>4</v>
      </c>
      <c r="H53" s="36" t="n">
        <f aca="false">IF($R53="","",INDEX(Artikel!$J$7:$J$1843,$R53))</f>
        <v>0</v>
      </c>
      <c r="I53" s="37" t="n">
        <f aca="false">IF($R53="","",INDEX(Artikel!$CT$7:$CT$1843,$R53))</f>
        <v>0</v>
      </c>
      <c r="J53" s="36" t="n">
        <f aca="false">IF($R53="","",INDEX(Artikel!$CU$7:$CU$1843,$R53))</f>
        <v>11204</v>
      </c>
      <c r="K53" s="36" t="n">
        <f aca="false">IF($R53="","",INDEX(Artikel!$CS$7:$CS$1843,$R53))</f>
        <v>12.0833333333333</v>
      </c>
      <c r="L53" s="38" t="n">
        <f aca="false">IF($R53="","",K53/Parameter!$M$24)</f>
        <v>0.0514184397163121</v>
      </c>
      <c r="M53" s="37" t="n">
        <f aca="false">IF($R53="","",INDEX(Artikel!$CY$7:$CY$1843,$R53))</f>
        <v>2.617</v>
      </c>
      <c r="N53" s="36" t="n">
        <f aca="false">IF($R53="","",INDEX(Artikel!$CV$7:$CV$1843,$R53))</f>
        <v>0.5</v>
      </c>
      <c r="O53" s="36" t="n">
        <f aca="false">IF($R53="","",INDEX(Artikel!$CW$7:$CW$1843,$R53))</f>
        <v>9803.5</v>
      </c>
      <c r="P53" s="36" t="n">
        <f aca="false">IF($R53="","",INDEX(Artikel!$CX$7:$CX$1843,$R53))</f>
        <v>10.5729166666667</v>
      </c>
      <c r="Q53" s="39" t="str">
        <f aca="false">IF($R53="","",TRIM(INDEX(Artikel!$BO$7:$BO$1843,$R53)&amp;IF(INDEX(Artikel!$BP$7:$BP$1843,$R53)&lt;&gt;""," → "&amp;INDEX(Artikel!$BP$7:$BP$1843,$R53),"")))</f>
        <v>MB war auf 35 Stk. + Losgrösse 35 Stk. Letzter WE 07/2025 + Feldaustausch war vorgesehen und ist daraufhin nicht zustande gekommen (Zeitfestigkeit) → Keine</v>
      </c>
      <c r="R53" s="40" t="n">
        <f aca="false">IFERROR(MATCH(LARGE(Artikel!$CZ$7:$CZ$1843,B53),Artikel!$CZ$7:$CZ$1843,0),"")</f>
        <v>26</v>
      </c>
    </row>
    <row r="54" customFormat="false" ht="15" hidden="false" customHeight="false" outlineLevel="0" collapsed="false">
      <c r="B54" s="34" t="n">
        <v>44</v>
      </c>
      <c r="C54" s="35" t="str">
        <f aca="false">IF($R54="","",INDEX(Artikel!$A$7:$A$1843,$R54))</f>
        <v>005086</v>
      </c>
      <c r="D54" s="35" t="str">
        <f aca="false">IF($R54="","",INDEX(Artikel!$B$7:$B$1843,$R54))</f>
        <v>SPS Grundgerät EG101</v>
      </c>
      <c r="E54" s="35" t="n">
        <f aca="false">IF($R54="","",INDEX(Artikel!$CF$7:$CF$1843,$R54))</f>
        <v>3</v>
      </c>
      <c r="F54" s="35" t="str">
        <f aca="false">IF($R54="","",INDEX(Artikel!$BY$7:$BY$1843,$R54))</f>
        <v>S61</v>
      </c>
      <c r="G54" s="36" t="n">
        <f aca="false">IF($R54="","",INDEX(Artikel!$H$7:$H$1843,$R54))</f>
        <v>174</v>
      </c>
      <c r="H54" s="36" t="n">
        <f aca="false">IF($R54="","",INDEX(Artikel!$J$7:$J$1843,$R54))</f>
        <v>1</v>
      </c>
      <c r="I54" s="37" t="n">
        <f aca="false">IF($R54="","",INDEX(Artikel!$CT$7:$CT$1843,$R54))</f>
        <v>0.00574712643678161</v>
      </c>
      <c r="J54" s="36" t="n">
        <f aca="false">IF($R54="","",INDEX(Artikel!$CU$7:$CU$1843,$R54))</f>
        <v>53663.34</v>
      </c>
      <c r="K54" s="36" t="n">
        <f aca="false">IF($R54="","",INDEX(Artikel!$CS$7:$CS$1843,$R54))</f>
        <v>350.416666666667</v>
      </c>
      <c r="L54" s="38" t="n">
        <f aca="false">IF($R54="","",K54/Parameter!$M$24)</f>
        <v>1.49113475177305</v>
      </c>
      <c r="M54" s="37" t="n">
        <f aca="false">IF($R54="","",INDEX(Artikel!$CY$7:$CY$1843,$R54))</f>
        <v>2.617</v>
      </c>
      <c r="N54" s="36" t="n">
        <f aca="false">IF($R54="","",INDEX(Artikel!$CV$7:$CV$1843,$R54))</f>
        <v>0.5</v>
      </c>
      <c r="O54" s="36" t="n">
        <f aca="false">IF($R54="","",INDEX(Artikel!$CW$7:$CW$1843,$R54))</f>
        <v>53509.135</v>
      </c>
      <c r="P54" s="36" t="n">
        <f aca="false">IF($R54="","",INDEX(Artikel!$CX$7:$CX$1843,$R54))</f>
        <v>349.409722222222</v>
      </c>
      <c r="Q54" s="39" t="str">
        <f aca="false">IF($R54="","",TRIM(INDEX(Artikel!$BO$7:$BO$1843,$R54)&amp;IF(INDEX(Artikel!$BP$7:$BP$1843,$R54)&lt;&gt;""," → "&amp;INDEX(Artikel!$BP$7:$BP$1843,$R54),"")))</f>
        <v/>
      </c>
      <c r="R54" s="40" t="n">
        <f aca="false">IFERROR(MATCH(LARGE(Artikel!$CZ$7:$CZ$1843,B54),Artikel!$CZ$7:$CZ$1843,0),"")</f>
        <v>5</v>
      </c>
    </row>
    <row r="55" customFormat="false" ht="22.35" hidden="false" customHeight="false" outlineLevel="0" collapsed="false">
      <c r="B55" s="34" t="n">
        <v>45</v>
      </c>
      <c r="C55" s="35" t="str">
        <f aca="false">IF($R55="","",INDEX(Artikel!$A$7:$A$1843,$R55))</f>
        <v>111495</v>
      </c>
      <c r="D55" s="35" t="str">
        <f aca="false">IF($R55="","",INDEX(Artikel!$B$7:$B$1843,$R55))</f>
        <v>Verpackung Service Kit 7k, SPGr10</v>
      </c>
      <c r="E55" s="35" t="n">
        <f aca="false">IF($R55="","",INDEX(Artikel!$CF$7:$CF$1843,$R55))</f>
        <v>3</v>
      </c>
      <c r="F55" s="35" t="str">
        <f aca="false">IF($R55="","",INDEX(Artikel!$BY$7:$BY$1843,$R55))</f>
        <v>S61</v>
      </c>
      <c r="G55" s="36" t="n">
        <f aca="false">IF($R55="","",INDEX(Artikel!$H$7:$H$1843,$R55))</f>
        <v>43</v>
      </c>
      <c r="H55" s="36" t="n">
        <f aca="false">IF($R55="","",INDEX(Artikel!$J$7:$J$1843,$R55))</f>
        <v>0</v>
      </c>
      <c r="I55" s="37" t="n">
        <f aca="false">IF($R55="","",INDEX(Artikel!$CT$7:$CT$1843,$R55))</f>
        <v>0</v>
      </c>
      <c r="J55" s="36" t="n">
        <f aca="false">IF($R55="","",INDEX(Artikel!$CU$7:$CU$1843,$R55))</f>
        <v>11045.84</v>
      </c>
      <c r="K55" s="36" t="n">
        <f aca="false">IF($R55="","",INDEX(Artikel!$CS$7:$CS$1843,$R55))</f>
        <v>12.0833333333333</v>
      </c>
      <c r="L55" s="38" t="n">
        <f aca="false">IF($R55="","",K55/Parameter!$M$24)</f>
        <v>0.0514184397163121</v>
      </c>
      <c r="M55" s="37" t="n">
        <f aca="false">IF($R55="","",INDEX(Artikel!$CY$7:$CY$1843,$R55))</f>
        <v>2.616</v>
      </c>
      <c r="N55" s="36" t="n">
        <f aca="false">IF($R55="","",INDEX(Artikel!$CV$7:$CV$1843,$R55))</f>
        <v>36</v>
      </c>
      <c r="O55" s="36" t="n">
        <f aca="false">IF($R55="","",INDEX(Artikel!$CW$7:$CW$1843,$R55))</f>
        <v>1798.16</v>
      </c>
      <c r="P55" s="36" t="n">
        <f aca="false">IF($R55="","",INDEX(Artikel!$CX$7:$CX$1843,$R55))</f>
        <v>1.96705426356589</v>
      </c>
      <c r="Q55" s="39" t="str">
        <f aca="false">IF($R55="","",TRIM(INDEX(Artikel!$BO$7:$BO$1843,$R55)&amp;IF(INDEX(Artikel!$BP$7:$BP$1843,$R55)&lt;&gt;""," → "&amp;INDEX(Artikel!$BP$7:$BP$1843,$R55),"")))</f>
        <v>Bedarf durch Angebote getrieben, welche verschoben wurden WBZ ist zu lang - Verbraucht bis ca Ende 2026 → Keine</v>
      </c>
      <c r="R55" s="40" t="n">
        <f aca="false">IFERROR(MATCH(LARGE(Artikel!$CZ$7:$CZ$1843,B55),Artikel!$CZ$7:$CZ$1843,0),"")</f>
        <v>27</v>
      </c>
    </row>
    <row r="56" customFormat="false" ht="15" hidden="false" customHeight="false" outlineLevel="0" collapsed="false">
      <c r="B56" s="34" t="n">
        <v>46</v>
      </c>
      <c r="C56" s="35" t="str">
        <f aca="false">IF($R56="","",INDEX(Artikel!$A$7:$A$1843,$R56))</f>
        <v>111000</v>
      </c>
      <c r="D56" s="35" t="str">
        <f aca="false">IF($R56="","",INDEX(Artikel!$B$7:$B$1843,$R56))</f>
        <v>Austrittsdüsenschauglas komplett</v>
      </c>
      <c r="E56" s="35" t="n">
        <f aca="false">IF($R56="","",INDEX(Artikel!$CF$7:$CF$1843,$R56))</f>
        <v>3</v>
      </c>
      <c r="F56" s="35" t="str">
        <f aca="false">IF($R56="","",INDEX(Artikel!$BY$7:$BY$1843,$R56))</f>
        <v>S61</v>
      </c>
      <c r="G56" s="36" t="n">
        <f aca="false">IF($R56="","",INDEX(Artikel!$H$7:$H$1843,$R56))</f>
        <v>3</v>
      </c>
      <c r="H56" s="36" t="n">
        <f aca="false">IF($R56="","",INDEX(Artikel!$J$7:$J$1843,$R56))</f>
        <v>0</v>
      </c>
      <c r="I56" s="37" t="n">
        <f aca="false">IF($R56="","",INDEX(Artikel!$CT$7:$CT$1843,$R56))</f>
        <v>0</v>
      </c>
      <c r="J56" s="36" t="n">
        <f aca="false">IF($R56="","",INDEX(Artikel!$CU$7:$CU$1843,$R56))</f>
        <v>9369</v>
      </c>
      <c r="K56" s="36" t="n">
        <f aca="false">IF($R56="","",INDEX(Artikel!$CS$7:$CS$1843,$R56))</f>
        <v>12.0833333333333</v>
      </c>
      <c r="L56" s="38" t="n">
        <f aca="false">IF($R56="","",K56/Parameter!$M$24)</f>
        <v>0.0514184397163121</v>
      </c>
      <c r="M56" s="37" t="n">
        <f aca="false">IF($R56="","",INDEX(Artikel!$CY$7:$CY$1843,$R56))</f>
        <v>2.606</v>
      </c>
      <c r="N56" s="36" t="n">
        <f aca="false">IF($R56="","",INDEX(Artikel!$CV$7:$CV$1843,$R56))</f>
        <v>0.5</v>
      </c>
      <c r="O56" s="36" t="n">
        <f aca="false">IF($R56="","",INDEX(Artikel!$CW$7:$CW$1843,$R56))</f>
        <v>7807.5</v>
      </c>
      <c r="P56" s="36" t="n">
        <f aca="false">IF($R56="","",INDEX(Artikel!$CX$7:$CX$1843,$R56))</f>
        <v>10.0694444444444</v>
      </c>
      <c r="Q56" s="39" t="str">
        <f aca="false">IF($R56="","",TRIM(INDEX(Artikel!$BO$7:$BO$1843,$R56)&amp;IF(INDEX(Artikel!$BP$7:$BP$1843,$R56)&lt;&gt;""," → "&amp;INDEX(Artikel!$BP$7:$BP$1843,$R56),"")))</f>
        <v/>
      </c>
      <c r="R56" s="40" t="n">
        <f aca="false">IFERROR(MATCH(LARGE(Artikel!$CZ$7:$CZ$1843,B56),Artikel!$CZ$7:$CZ$1843,0),"")</f>
        <v>34</v>
      </c>
    </row>
    <row r="57" customFormat="false" ht="15" hidden="false" customHeight="false" outlineLevel="0" collapsed="false">
      <c r="B57" s="34" t="n">
        <v>47</v>
      </c>
      <c r="C57" s="35" t="str">
        <f aca="false">IF($R57="","",INDEX(Artikel!$A$7:$A$1843,$R57))</f>
        <v>105460</v>
      </c>
      <c r="D57" s="35" t="str">
        <f aca="false">IF($R57="","",INDEX(Artikel!$B$7:$B$1843,$R57))</f>
        <v>GDS Flansch SPGr10</v>
      </c>
      <c r="E57" s="35" t="n">
        <f aca="false">IF($R57="","",INDEX(Artikel!$CF$7:$CF$1843,$R57))</f>
        <v>3</v>
      </c>
      <c r="F57" s="35" t="str">
        <f aca="false">IF($R57="","",INDEX(Artikel!$BY$7:$BY$1843,$R57))</f>
        <v>S61</v>
      </c>
      <c r="G57" s="36" t="n">
        <f aca="false">IF($R57="","",INDEX(Artikel!$H$7:$H$1843,$R57))</f>
        <v>53</v>
      </c>
      <c r="H57" s="36" t="n">
        <f aca="false">IF($R57="","",INDEX(Artikel!$J$7:$J$1843,$R57))</f>
        <v>0</v>
      </c>
      <c r="I57" s="37" t="n">
        <f aca="false">IF($R57="","",INDEX(Artikel!$CT$7:$CT$1843,$R57))</f>
        <v>0</v>
      </c>
      <c r="J57" s="36" t="n">
        <f aca="false">IF($R57="","",INDEX(Artikel!$CU$7:$CU$1843,$R57))</f>
        <v>8778.39</v>
      </c>
      <c r="K57" s="36" t="n">
        <f aca="false">IF($R57="","",INDEX(Artikel!$CS$7:$CS$1843,$R57))</f>
        <v>12.0833333333333</v>
      </c>
      <c r="L57" s="38" t="n">
        <f aca="false">IF($R57="","",K57/Parameter!$M$24)</f>
        <v>0.0514184397163121</v>
      </c>
      <c r="M57" s="37" t="n">
        <f aca="false">IF($R57="","",INDEX(Artikel!$CY$7:$CY$1843,$R57))</f>
        <v>2.604</v>
      </c>
      <c r="N57" s="36" t="n">
        <f aca="false">IF($R57="","",INDEX(Artikel!$CV$7:$CV$1843,$R57))</f>
        <v>12.5</v>
      </c>
      <c r="O57" s="36" t="n">
        <f aca="false">IF($R57="","",INDEX(Artikel!$CW$7:$CW$1843,$R57))</f>
        <v>6708.015</v>
      </c>
      <c r="P57" s="36" t="n">
        <f aca="false">IF($R57="","",INDEX(Artikel!$CX$7:$CX$1843,$R57))</f>
        <v>9.23349056603773</v>
      </c>
      <c r="Q57" s="39" t="str">
        <f aca="false">IF($R57="","",TRIM(INDEX(Artikel!$BO$7:$BO$1843,$R57)&amp;IF(INDEX(Artikel!$BP$7:$BP$1843,$R57)&lt;&gt;""," → "&amp;INDEX(Artikel!$BP$7:$BP$1843,$R57),"")))</f>
        <v/>
      </c>
      <c r="R57" s="40" t="n">
        <f aca="false">IFERROR(MATCH(LARGE(Artikel!$CZ$7:$CZ$1843,B57),Artikel!$CZ$7:$CZ$1843,0),"")</f>
        <v>1634</v>
      </c>
    </row>
    <row r="58" customFormat="false" ht="22.35" hidden="false" customHeight="false" outlineLevel="0" collapsed="false">
      <c r="B58" s="34" t="n">
        <v>48</v>
      </c>
      <c r="C58" s="35" t="str">
        <f aca="false">IF($R58="","",INDEX(Artikel!$A$7:$A$1843,$R58))</f>
        <v>110390</v>
      </c>
      <c r="D58" s="35" t="str">
        <f aca="false">IF($R58="","",INDEX(Artikel!$B$7:$B$1843,$R58))</f>
        <v>Elektro-Set - Aufrüstung SPC800 V3.0.0</v>
      </c>
      <c r="E58" s="35" t="n">
        <f aca="false">IF($R58="","",INDEX(Artikel!$CF$7:$CF$1843,$R58))</f>
        <v>2</v>
      </c>
      <c r="F58" s="35" t="str">
        <f aca="false">IF($R58="","",INDEX(Artikel!$BY$7:$BY$1843,$R58))</f>
        <v>S71</v>
      </c>
      <c r="G58" s="36" t="n">
        <f aca="false">IF($R58="","",INDEX(Artikel!$H$7:$H$1843,$R58))</f>
        <v>94</v>
      </c>
      <c r="H58" s="36" t="n">
        <f aca="false">IF($R58="","",INDEX(Artikel!$J$7:$J$1843,$R58))</f>
        <v>2</v>
      </c>
      <c r="I58" s="37" t="n">
        <f aca="false">IF($R58="","",INDEX(Artikel!$CT$7:$CT$1843,$R58))</f>
        <v>0.0212765957446809</v>
      </c>
      <c r="J58" s="36" t="n">
        <f aca="false">IF($R58="","",INDEX(Artikel!$CU$7:$CU$1843,$R58))</f>
        <v>67570.96</v>
      </c>
      <c r="K58" s="36" t="n">
        <f aca="false">IF($R58="","",INDEX(Artikel!$CS$7:$CS$1843,$R58))</f>
        <v>274.166666666667</v>
      </c>
      <c r="L58" s="38" t="n">
        <f aca="false">IF($R58="","",K58/Parameter!$M$24)</f>
        <v>1.16666666666667</v>
      </c>
      <c r="M58" s="37" t="n">
        <f aca="false">IF($R58="","",INDEX(Artikel!$CY$7:$CY$1843,$R58))</f>
        <v>2.602</v>
      </c>
      <c r="N58" s="36" t="n">
        <f aca="false">IF($R58="","",INDEX(Artikel!$CV$7:$CV$1843,$R58))</f>
        <v>0.5</v>
      </c>
      <c r="O58" s="36" t="n">
        <f aca="false">IF($R58="","",INDEX(Artikel!$CW$7:$CW$1843,$R58))</f>
        <v>67211.54</v>
      </c>
      <c r="P58" s="36" t="n">
        <f aca="false">IF($R58="","",INDEX(Artikel!$CX$7:$CX$1843,$R58))</f>
        <v>272.708333333333</v>
      </c>
      <c r="Q58" s="39" t="str">
        <f aca="false">IF($R58="","",TRIM(INDEX(Artikel!$BO$7:$BO$1843,$R58)&amp;IF(INDEX(Artikel!$BP$7:$BP$1843,$R58)&lt;&gt;""," → "&amp;INDEX(Artikel!$BP$7:$BP$1843,$R58),"")))</f>
        <v>Bedarf durch Upgrade auf V3.2 - Vorproduktion → Abklären, wann diese gebraucht werden</v>
      </c>
      <c r="R58" s="40" t="n">
        <f aca="false">IFERROR(MATCH(LARGE(Artikel!$CZ$7:$CZ$1843,B58),Artikel!$CZ$7:$CZ$1843,0),"")</f>
        <v>2</v>
      </c>
    </row>
    <row r="59" customFormat="false" ht="15" hidden="false" customHeight="false" outlineLevel="0" collapsed="false">
      <c r="B59" s="34" t="n">
        <v>49</v>
      </c>
      <c r="C59" s="35" t="str">
        <f aca="false">IF($R59="","",INDEX(Artikel!$A$7:$A$1843,$R59))</f>
        <v>111957</v>
      </c>
      <c r="D59" s="35" t="str">
        <f aca="false">IF($R59="","",INDEX(Artikel!$B$7:$B$1843,$R59))</f>
        <v>Flaschenanschluss Ventil</v>
      </c>
      <c r="E59" s="35" t="n">
        <f aca="false">IF($R59="","",INDEX(Artikel!$CF$7:$CF$1843,$R59))</f>
        <v>2</v>
      </c>
      <c r="F59" s="35" t="str">
        <f aca="false">IF($R59="","",INDEX(Artikel!$BY$7:$BY$1843,$R59))</f>
        <v>S81</v>
      </c>
      <c r="G59" s="36" t="n">
        <f aca="false">IF($R59="","",INDEX(Artikel!$H$7:$H$1843,$R59))</f>
        <v>24</v>
      </c>
      <c r="H59" s="36" t="n">
        <f aca="false">IF($R59="","",INDEX(Artikel!$J$7:$J$1843,$R59))</f>
        <v>0</v>
      </c>
      <c r="I59" s="37" t="n">
        <f aca="false">IF($R59="","",INDEX(Artikel!$CT$7:$CT$1843,$R59))</f>
        <v>0</v>
      </c>
      <c r="J59" s="36" t="n">
        <f aca="false">IF($R59="","",INDEX(Artikel!$CU$7:$CU$1843,$R59))</f>
        <v>1224</v>
      </c>
      <c r="K59" s="36" t="n">
        <f aca="false">IF($R59="","",INDEX(Artikel!$CS$7:$CS$1843,$R59))</f>
        <v>58.75</v>
      </c>
      <c r="L59" s="38" t="n">
        <f aca="false">IF($R59="","",K59/Parameter!$M$24)</f>
        <v>0.25</v>
      </c>
      <c r="M59" s="37" t="n">
        <f aca="false">IF($R59="","",INDEX(Artikel!$CY$7:$CY$1843,$R59))</f>
        <v>2.598</v>
      </c>
      <c r="N59" s="36" t="n">
        <f aca="false">IF($R59="","",INDEX(Artikel!$CV$7:$CV$1843,$R59))</f>
        <v>0.5</v>
      </c>
      <c r="O59" s="36" t="n">
        <f aca="false">IF($R59="","",INDEX(Artikel!$CW$7:$CW$1843,$R59))</f>
        <v>1198.5</v>
      </c>
      <c r="P59" s="36" t="n">
        <f aca="false">IF($R59="","",INDEX(Artikel!$CX$7:$CX$1843,$R59))</f>
        <v>57.5260416666667</v>
      </c>
      <c r="Q59" s="39" t="str">
        <f aca="false">IF($R59="","",TRIM(INDEX(Artikel!$BO$7:$BO$1843,$R59)&amp;IF(INDEX(Artikel!$BP$7:$BP$1843,$R59)&lt;&gt;""," → "&amp;INDEX(Artikel!$BP$7:$BP$1843,$R59),"")))</f>
        <v/>
      </c>
      <c r="R59" s="40" t="n">
        <f aca="false">IFERROR(MATCH(LARGE(Artikel!$CZ$7:$CZ$1843,B59),Artikel!$CZ$7:$CZ$1843,0),"")</f>
        <v>155</v>
      </c>
    </row>
    <row r="60" customFormat="false" ht="22.35" hidden="false" customHeight="false" outlineLevel="0" collapsed="false">
      <c r="B60" s="34" t="n">
        <v>50</v>
      </c>
      <c r="C60" s="35" t="str">
        <f aca="false">IF($R60="","",INDEX(Artikel!$A$7:$A$1843,$R60))</f>
        <v>111497</v>
      </c>
      <c r="D60" s="35" t="str">
        <f aca="false">IF($R60="","",INDEX(Artikel!$B$7:$B$1843,$R60))</f>
        <v>Verpackung Service Kit 7k, SPGr16</v>
      </c>
      <c r="E60" s="35" t="n">
        <f aca="false">IF($R60="","",INDEX(Artikel!$CF$7:$CF$1843,$R60))</f>
        <v>3</v>
      </c>
      <c r="F60" s="35" t="str">
        <f aca="false">IF($R60="","",INDEX(Artikel!$BY$7:$BY$1843,$R60))</f>
        <v>S61</v>
      </c>
      <c r="G60" s="36" t="n">
        <f aca="false">IF($R60="","",INDEX(Artikel!$H$7:$H$1843,$R60))</f>
        <v>27</v>
      </c>
      <c r="H60" s="36" t="n">
        <f aca="false">IF($R60="","",INDEX(Artikel!$J$7:$J$1843,$R60))</f>
        <v>0</v>
      </c>
      <c r="I60" s="37" t="n">
        <f aca="false">IF($R60="","",INDEX(Artikel!$CT$7:$CT$1843,$R60))</f>
        <v>0</v>
      </c>
      <c r="J60" s="36" t="n">
        <f aca="false">IF($R60="","",INDEX(Artikel!$CU$7:$CU$1843,$R60))</f>
        <v>7572.42</v>
      </c>
      <c r="K60" s="36" t="n">
        <f aca="false">IF($R60="","",INDEX(Artikel!$CS$7:$CS$1843,$R60))</f>
        <v>12.0833333333333</v>
      </c>
      <c r="L60" s="38" t="n">
        <f aca="false">IF($R60="","",K60/Parameter!$M$24)</f>
        <v>0.0514184397163121</v>
      </c>
      <c r="M60" s="37" t="n">
        <f aca="false">IF($R60="","",INDEX(Artikel!$CY$7:$CY$1843,$R60))</f>
        <v>2.597</v>
      </c>
      <c r="N60" s="36" t="n">
        <f aca="false">IF($R60="","",INDEX(Artikel!$CV$7:$CV$1843,$R60))</f>
        <v>18</v>
      </c>
      <c r="O60" s="36" t="n">
        <f aca="false">IF($R60="","",INDEX(Artikel!$CW$7:$CW$1843,$R60))</f>
        <v>2524.14</v>
      </c>
      <c r="P60" s="36" t="n">
        <f aca="false">IF($R60="","",INDEX(Artikel!$CX$7:$CX$1843,$R60))</f>
        <v>4.02777777777778</v>
      </c>
      <c r="Q60" s="39" t="str">
        <f aca="false">IF($R60="","",TRIM(INDEX(Artikel!$BO$7:$BO$1843,$R60)&amp;IF(INDEX(Artikel!$BP$7:$BP$1843,$R60)&lt;&gt;""," → "&amp;INDEX(Artikel!$BP$7:$BP$1843,$R60),"")))</f>
        <v>Hoher Bedarf durch Angebote, welche verschoben wurden. Daher grosse Bestellungen getätigt → Retourverkaufen?</v>
      </c>
      <c r="R60" s="40" t="n">
        <f aca="false">IFERROR(MATCH(LARGE(Artikel!$CZ$7:$CZ$1843,B60),Artikel!$CZ$7:$CZ$1843,0),"")</f>
        <v>37</v>
      </c>
    </row>
  </sheetData>
  <mergeCells count="13">
    <mergeCell ref="C5:E5"/>
    <mergeCell ref="G5:H5"/>
    <mergeCell ref="I5:J5"/>
    <mergeCell ref="K5:L5"/>
    <mergeCell ref="M5:N5"/>
    <mergeCell ref="O5:P5"/>
    <mergeCell ref="Q5:R5"/>
    <mergeCell ref="G6:H7"/>
    <mergeCell ref="I6:J7"/>
    <mergeCell ref="K6:L7"/>
    <mergeCell ref="M6:N7"/>
    <mergeCell ref="O6:P7"/>
    <mergeCell ref="Q6:R7"/>
  </mergeCells>
  <conditionalFormatting sqref="I11:I60">
    <cfRule type="cellIs" priority="2" operator="lessThan" aboveAverage="0" equalAverage="0" bottom="0" percent="0" rank="0" text="" dxfId="1">
      <formula>1</formula>
    </cfRule>
    <cfRule type="cellIs" priority="3" operator="between" aboveAverage="0" equalAverage="0" bottom="0" percent="0" rank="0" text="" dxfId="2">
      <formula>1</formula>
      <formula>2</formula>
    </cfRule>
  </conditionalFormatting>
  <conditionalFormatting sqref="J11:J60">
    <cfRule type="dataBar" priority="4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{6D1031F3-1838-496F-A23B-4AB233A6E375}</x14:id>
        </ext>
      </extLst>
    </cfRule>
  </conditionalFormatting>
  <conditionalFormatting sqref="K11:K60">
    <cfRule type="dataBar" priority="5">
      <dataBar showValue="1" minLength="10" maxLength="90">
        <cfvo type="min" val="0"/>
        <cfvo type="max" val="0"/>
        <color rgb="FFA9D18E"/>
      </dataBar>
      <extLst>
        <ext xmlns:x14="http://schemas.microsoft.com/office/spreadsheetml/2009/9/main" uri="{B025F937-C7B1-47D3-B67F-A62EFF666E3E}">
          <x14:id>{ECCFC83C-38AB-41D4-A6C1-A5D98A69D83A}</x14:id>
        </ext>
      </extLst>
    </cfRule>
  </conditionalFormatting>
  <conditionalFormatting sqref="O11:O60">
    <cfRule type="dataBar" priority="6">
      <dataBar showValue="1" minLength="10" maxLength="90">
        <cfvo type="min" val="0"/>
        <cfvo type="max" val="0"/>
        <color rgb="FFF4B084"/>
      </dataBar>
      <extLst>
        <ext xmlns:x14="http://schemas.microsoft.com/office/spreadsheetml/2009/9/main" uri="{B025F937-C7B1-47D3-B67F-A62EFF666E3E}">
          <x14:id>{34B0C7F2-5F10-46EA-8140-D474DD18F640}</x14:id>
        </ext>
      </extLst>
    </cfRule>
  </conditionalFormatting>
  <conditionalFormatting sqref="M11:M60">
    <cfRule type="dataBar" priority="7">
      <dataBar showValue="1" minLength="10" maxLength="90">
        <cfvo type="num" val="0"/>
        <cfvo type="num" val="3"/>
        <color rgb="FFC00000"/>
      </dataBar>
      <extLst>
        <ext xmlns:x14="http://schemas.microsoft.com/office/spreadsheetml/2009/9/main" uri="{B025F937-C7B1-47D3-B67F-A62EFF666E3E}">
          <x14:id>{90788AC3-316B-428A-8E53-6A505750498E}</x14:id>
        </ext>
      </extLst>
    </cfRule>
  </conditionalFormatting>
  <dataValidations count="2">
    <dataValidation allowBlank="false" errorStyle="stop" operator="between" showDropDown="false" showErrorMessage="false" showInputMessage="false" sqref="C5" type="list">
      <formula1>Parameter!$G$23:$G$27</formula1>
      <formula2>0</formula2>
    </dataValidation>
    <dataValidation allowBlank="false" errorStyle="stop" operator="between" showDropDown="false" showErrorMessage="false" showInputMessage="false" sqref="C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1031F3-1838-496F-A23B-4AB233A6E375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m:sqref>J11:J60</xm:sqref>
        </x14:conditionalFormatting>
        <x14:conditionalFormatting xmlns:xm="http://schemas.microsoft.com/office/excel/2006/main">
          <x14:cfRule type="dataBar" id="{ECCFC83C-38AB-41D4-A6C1-A5D98A69D83A}">
            <x14:dataBar minLength="10" maxLength="90" axisPosition="none" gradient="true">
              <x14:cfvo type="min"/>
              <x14:cfvo type="max"/>
              <x14:negativeFillColor rgb="FFA9D18E"/>
              <x14:axisColor rgb="FF000000"/>
            </x14:dataBar>
          </x14:cfRule>
          <xm:sqref>K11:K60</xm:sqref>
        </x14:conditionalFormatting>
        <x14:conditionalFormatting xmlns:xm="http://schemas.microsoft.com/office/excel/2006/main">
          <x14:cfRule type="dataBar" id="{34B0C7F2-5F10-46EA-8140-D474DD18F640}">
            <x14:dataBar minLength="10" maxLength="90" axisPosition="none" gradient="true">
              <x14:cfvo type="min"/>
              <x14:cfvo type="max"/>
              <x14:negativeFillColor rgb="FFF4B084"/>
              <x14:axisColor rgb="FF000000"/>
            </x14:dataBar>
          </x14:cfRule>
          <xm:sqref>O11:O60</xm:sqref>
        </x14:conditionalFormatting>
        <x14:conditionalFormatting xmlns:xm="http://schemas.microsoft.com/office/excel/2006/main">
          <x14:cfRule type="dataBar" id="{90788AC3-316B-428A-8E53-6A505750498E}">
            <x14:dataBar minLength="10" maxLength="90" axisPosition="none" gradient="true">
              <x14:cfvo type="num">
                <xm:f>0</xm:f>
              </x14:cfvo>
              <x14:cfvo type="num">
                <xm:f>3</xm:f>
              </x14:cfvo>
              <x14:negativeFillColor rgb="FFC00000"/>
              <x14:axisColor rgb="FF000000"/>
            </x14:dataBar>
          </x14:cfRule>
          <xm:sqref>M11:M60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41" t="s">
        <v>75</v>
      </c>
    </row>
    <row r="2" customFormat="false" ht="15" hidden="false" customHeight="false" outlineLevel="0" collapsed="false">
      <c r="A2" s="42" t="s">
        <v>76</v>
      </c>
    </row>
    <row r="4" customFormat="false" ht="30" hidden="false" customHeight="true" outlineLevel="0" collapsed="false">
      <c r="A4" s="9" t="s">
        <v>5</v>
      </c>
      <c r="B4" s="9" t="s">
        <v>9</v>
      </c>
      <c r="C4" s="9" t="s">
        <v>77</v>
      </c>
      <c r="D4" s="9" t="s">
        <v>78</v>
      </c>
      <c r="E4" s="9" t="s">
        <v>79</v>
      </c>
      <c r="F4" s="9" t="s">
        <v>80</v>
      </c>
      <c r="G4" s="9" t="s">
        <v>81</v>
      </c>
      <c r="H4" s="9" t="s">
        <v>82</v>
      </c>
      <c r="I4" s="9" t="s">
        <v>83</v>
      </c>
      <c r="J4" s="9" t="s">
        <v>84</v>
      </c>
      <c r="K4" s="9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90</v>
      </c>
    </row>
    <row r="5" customFormat="false" ht="15" hidden="false" customHeight="false" outlineLevel="0" collapsed="false">
      <c r="A5" s="43" t="s">
        <v>64</v>
      </c>
      <c r="B5" s="44" t="s">
        <v>91</v>
      </c>
      <c r="C5" s="45" t="n">
        <f aca="false">M5/Parameter!$H$5</f>
        <v>0.920582232893157</v>
      </c>
      <c r="D5" s="45" t="n">
        <f aca="false">N5/Parameter!$H$6</f>
        <v>0.8741303829224</v>
      </c>
      <c r="E5" s="45" t="n">
        <f aca="false">O5/Parameter!$H$7</f>
        <v>0.96981334841629</v>
      </c>
      <c r="F5" s="46" t="n">
        <f aca="false">(N5+O5)/(Parameter!$H$6+Parameter!$H$7)</f>
        <v>0.921971865669345</v>
      </c>
      <c r="G5" s="46" t="n">
        <f aca="false">(M5+N5+O5)/Parameter!$H$8</f>
        <v>0.921508654743949</v>
      </c>
      <c r="H5" s="47" t="str">
        <f aca="false">IF(Parameter!$E$27="Ja",IF(M5+N5+O5&lt;=Parameter!$H$8,"JA","NEIN"),IF(AND(M5&lt;=Parameter!$H$5,N5+O5&lt;=Parameter!$H$6+Parameter!$H$7),"JA","NEIN"))</f>
        <v>JA</v>
      </c>
      <c r="I5" s="48" t="n">
        <f aca="false">IF(Parameter!$E$27="Ja",MAX(0,M5+N5+O5-Parameter!$H$8),MAX(0,M5-Parameter!$H$5)+MAX(0,N5+O5-Parameter!$H$6-Parameter!$H$7))+P5</f>
        <v>0</v>
      </c>
      <c r="J5" s="48" t="n">
        <f aca="false">SUMPRODUCT(A_IST*A_PREIS)</f>
        <v>3451046.21423</v>
      </c>
      <c r="K5" s="49" t="n">
        <f aca="false">J5-$J$5</f>
        <v>0</v>
      </c>
      <c r="L5" s="49" t="n">
        <f aca="false">(M5+N5+O5+P5)-($M$5+$N$5+$O$5+$P$5)</f>
        <v>0</v>
      </c>
      <c r="M5" s="11" t="n">
        <f aca="false">IF(Parameter!$E$30="MAX-Bestand"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10954.9285714286</v>
      </c>
      <c r="N5" s="11" t="n">
        <f aca="false">IF(Parameter!$E$30="MAX-Bestand"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10402.1515567766</v>
      </c>
      <c r="O5" s="11" t="n">
        <f aca="false">IF(Parameter!$E$30="MAX-Bestand"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11540.7788461538</v>
      </c>
      <c r="P5" s="11" t="n">
        <f aca="false">IF(Parameter!$E$30="MAX-Bestand"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0</v>
      </c>
    </row>
    <row r="6" customFormat="false" ht="15" hidden="false" customHeight="false" outlineLevel="0" collapsed="false">
      <c r="A6" s="10" t="s">
        <v>8</v>
      </c>
      <c r="B6" s="50" t="n">
        <f aca="false">Parameter!$A$23</f>
        <v>2</v>
      </c>
      <c r="C6" s="27" t="n">
        <f aca="false">M6/Parameter!$H$5</f>
        <v>1.04275739957</v>
      </c>
      <c r="D6" s="27" t="n">
        <f aca="false">N6/Parameter!$H$6</f>
        <v>1.16818612060209</v>
      </c>
      <c r="E6" s="27" t="n">
        <f aca="false">O6/Parameter!$H$7</f>
        <v>1.02794159971681</v>
      </c>
      <c r="F6" s="13" t="n">
        <f aca="false">(N6+O6)/(Parameter!$H$6+Parameter!$H$7)</f>
        <v>1.09806386015945</v>
      </c>
      <c r="G6" s="13" t="n">
        <f aca="false">(M6+N6+O6)/Parameter!$H$8</f>
        <v>1.0796283732963</v>
      </c>
      <c r="H6" s="51" t="str">
        <f aca="false">IF(Parameter!$E$27="Ja",IF(M6+N6+O6&lt;=Parameter!$H$8,"JA","NEIN"),IF(AND(M6&lt;=Parameter!$H$5,N6+O6&lt;=Parameter!$H$6+Parameter!$H$7),"JA","NEIN"))</f>
        <v>NEIN</v>
      </c>
      <c r="I6" s="11" t="n">
        <f aca="false">IF(Parameter!$E$27="Ja",MAX(0,M6+N6+O6-Parameter!$H$8),MAX(0,M6-Parameter!$H$5)+MAX(0,N6+O6-Parameter!$H$6-Parameter!$H$7))+P6</f>
        <v>2842.73292667784</v>
      </c>
      <c r="J6" s="11" t="n">
        <f aca="false">SUMPRODUCT((A_FINF*(A_MBN+A_FINV)/2+(1-A_FINF)*((A_MBN+ROUNDUP(A_MBN+(A_LGN+((2*(A_VERB/(A_LUO+(A_LUO=0)*$B6)-A_MBN))&gt;A_LGN)*((2*(A_VERB/(A_LUO+(A_LUO=0)*$B6)-A_MBN))-A_LGN)),0))/2))*A_PREIS)</f>
        <v>4438989.115</v>
      </c>
      <c r="K6" s="52" t="n">
        <f aca="false">J6-$J$5</f>
        <v>987942.90077</v>
      </c>
      <c r="L6" s="52" t="n">
        <f aca="false">(M6+N6+O6+P6)-($M$5+$N$5+$O$5+$P$5)</f>
        <v>5644.87395231887</v>
      </c>
      <c r="M6" s="11" t="n">
        <f aca="false">IF(Parameter!$E$30="MAX-Bestand",SUMPRODUCT((A_LIFT=1)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1)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12408.813054883</v>
      </c>
      <c r="N6" s="11" t="n">
        <f aca="false">IF(Parameter!$E$30="MAX-Bestand",SUMPRODUCT((A_LIFT=2)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2)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13901.4148351648</v>
      </c>
      <c r="O6" s="11" t="n">
        <f aca="false">IF(Parameter!$E$30="MAX-Bestand",SUMPRODUCT((A_LIFT=3)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3)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12232.50503663</v>
      </c>
      <c r="P6" s="11" t="n">
        <f aca="false">IF(Parameter!$E$30="MAX-Bestand",SUMPRODUCT((A_LIFT="Aussen"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"Aussen"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0</v>
      </c>
    </row>
    <row r="7" customFormat="false" ht="15" hidden="false" customHeight="false" outlineLevel="0" collapsed="false">
      <c r="A7" s="10" t="s">
        <v>8</v>
      </c>
      <c r="B7" s="50" t="n">
        <f aca="false">Parameter!$A$24</f>
        <v>2.5</v>
      </c>
      <c r="C7" s="27" t="n">
        <f aca="false">M7/Parameter!$H$5</f>
        <v>0.99144348417333</v>
      </c>
      <c r="D7" s="27" t="n">
        <f aca="false">N7/Parameter!$H$6</f>
        <v>1.07256287130237</v>
      </c>
      <c r="E7" s="27" t="n">
        <f aca="false">O7/Parameter!$H$7</f>
        <v>0.978645919906424</v>
      </c>
      <c r="F7" s="13" t="n">
        <f aca="false">(N7+O7)/(Parameter!$H$6+Parameter!$H$7)</f>
        <v>1.0256043956044</v>
      </c>
      <c r="G7" s="13" t="n">
        <f aca="false">(M7+N7+O7)/Parameter!$H$8</f>
        <v>1.01421742512737</v>
      </c>
      <c r="H7" s="51" t="str">
        <f aca="false">IF(Parameter!$E$27="Ja",IF(M7+N7+O7&lt;=Parameter!$H$8,"JA","NEIN"),IF(AND(M7&lt;=Parameter!$H$5,N7+O7&lt;=Parameter!$H$6+Parameter!$H$7),"JA","NEIN"))</f>
        <v>NEIN</v>
      </c>
      <c r="I7" s="11" t="n">
        <f aca="false">IF(Parameter!$E$27="Ja",MAX(0,M7+N7+O7-Parameter!$H$8),MAX(0,M7-Parameter!$H$5)+MAX(0,N7+O7-Parameter!$H$6-Parameter!$H$7))+P7</f>
        <v>507.562077047245</v>
      </c>
      <c r="J7" s="11" t="n">
        <f aca="false">SUMPRODUCT((A_FINF*(A_MBN+A_FINV)/2+(1-A_FINF)*((A_MBN+ROUNDUP(A_MBN+(A_LGN+((2*(A_VERB/(A_LUO+(A_LUO=0)*$B7)-A_MBN))&gt;A_LGN)*((2*(A_VERB/(A_LUO+(A_LUO=0)*$B7)-A_MBN))-A_LGN)),0))/2))*A_PREIS)</f>
        <v>3731188</v>
      </c>
      <c r="K7" s="52" t="n">
        <f aca="false">J7-$J$5</f>
        <v>280141.78577</v>
      </c>
      <c r="L7" s="52" t="n">
        <f aca="false">(M7+N7+O7+P7)-($M$5+$N$5+$O$5+$P$5)</f>
        <v>3309.70310268828</v>
      </c>
      <c r="M7" s="11" t="n">
        <f aca="false">IF(Parameter!$E$30="MAX-Bestand",SUMPRODUCT((A_LIFT=1)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1)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11798.1774616626</v>
      </c>
      <c r="N7" s="11" t="n">
        <f aca="false">IF(Parameter!$E$30="MAX-Bestand",SUMPRODUCT((A_LIFT=2)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2)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12763.4981684982</v>
      </c>
      <c r="O7" s="11" t="n">
        <f aca="false">IF(Parameter!$E$30="MAX-Bestand",SUMPRODUCT((A_LIFT=3)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3)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11645.8864468864</v>
      </c>
      <c r="P7" s="11" t="n">
        <f aca="false">IF(Parameter!$E$30="MAX-Bestand",SUMPRODUCT((A_LIFT="Aussen"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"Aussen"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0</v>
      </c>
    </row>
    <row r="8" customFormat="false" ht="15" hidden="false" customHeight="false" outlineLevel="0" collapsed="false">
      <c r="A8" s="10" t="s">
        <v>8</v>
      </c>
      <c r="B8" s="50" t="n">
        <f aca="false">Parameter!$A$25</f>
        <v>3</v>
      </c>
      <c r="C8" s="27" t="n">
        <f aca="false">M8/Parameter!$H$5</f>
        <v>0.970454071459092</v>
      </c>
      <c r="D8" s="27" t="n">
        <f aca="false">N8/Parameter!$H$6</f>
        <v>0.969491065657032</v>
      </c>
      <c r="E8" s="27" t="n">
        <f aca="false">O8/Parameter!$H$7</f>
        <v>0.945934758518792</v>
      </c>
      <c r="F8" s="13" t="n">
        <f aca="false">(N8+O8)/(Parameter!$H$6+Parameter!$H$7)</f>
        <v>0.957712912087912</v>
      </c>
      <c r="G8" s="13" t="n">
        <f aca="false">(M8+N8+O8)/Parameter!$H$8</f>
        <v>0.961959965211639</v>
      </c>
      <c r="H8" s="51" t="str">
        <f aca="false">IF(Parameter!$E$27="Ja",IF(M8+N8+O8&lt;=Parameter!$H$8,"JA","NEIN"),IF(AND(M8&lt;=Parameter!$H$5,N8+O8&lt;=Parameter!$H$6+Parameter!$H$7),"JA","NEIN"))</f>
        <v>JA</v>
      </c>
      <c r="I8" s="11" t="n">
        <f aca="false">IF(Parameter!$E$27="Ja",MAX(0,M8+N8+O8-Parameter!$H$8),MAX(0,M8-Parameter!$H$5)+MAX(0,N8+O8-Parameter!$H$6-Parameter!$H$7))+P8</f>
        <v>0</v>
      </c>
      <c r="J8" s="11" t="n">
        <f aca="false">SUMPRODUCT((A_FINF*(A_MBN+A_FINV)/2+(1-A_FINF)*((A_MBN+ROUNDUP(A_MBN+(A_LGN+((2*(A_VERB/(A_LUO+(A_LUO=0)*$B8)-A_MBN))&gt;A_LGN)*((2*(A_VERB/(A_LUO+(A_LUO=0)*$B8)-A_MBN))-A_LGN)),0))/2))*A_PREIS)</f>
        <v>3239075.19</v>
      </c>
      <c r="K8" s="52" t="n">
        <f aca="false">J8-$J$5</f>
        <v>-211971.02423</v>
      </c>
      <c r="L8" s="52" t="n">
        <f aca="false">(M8+N8+O8+P8)-($M$5+$N$5+$O$5+$P$5)</f>
        <v>1444.11178369654</v>
      </c>
      <c r="M8" s="11" t="n">
        <f aca="false">IF(Parameter!$E$30="MAX-Bestand",SUMPRODUCT((A_LIFT=1)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1)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11548.4034503632</v>
      </c>
      <c r="N8" s="11" t="n">
        <f aca="false">IF(Parameter!$E$30="MAX-Bestand",SUMPRODUCT((A_LIFT=2)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2)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11536.9436813187</v>
      </c>
      <c r="O8" s="11" t="n">
        <f aca="false">IF(Parameter!$E$30="MAX-Bestand",SUMPRODUCT((A_LIFT=3)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3)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11256.6236263736</v>
      </c>
      <c r="P8" s="11" t="n">
        <f aca="false">IF(Parameter!$E$30="MAX-Bestand",SUMPRODUCT((A_LIFT="Aussen"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"Aussen"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0</v>
      </c>
    </row>
    <row r="9" customFormat="false" ht="15" hidden="false" customHeight="false" outlineLevel="0" collapsed="false">
      <c r="A9" s="10" t="s">
        <v>8</v>
      </c>
      <c r="B9" s="50" t="n">
        <f aca="false">Parameter!$A$26</f>
        <v>3.5</v>
      </c>
      <c r="C9" s="27" t="n">
        <f aca="false">M9/Parameter!$H$5</f>
        <v>0.960849551685081</v>
      </c>
      <c r="D9" s="27" t="n">
        <f aca="false">N9/Parameter!$H$6</f>
        <v>0.948097508234063</v>
      </c>
      <c r="E9" s="27" t="n">
        <f aca="false">O9/Parameter!$H$7</f>
        <v>0.918816411179857</v>
      </c>
      <c r="F9" s="13" t="n">
        <f aca="false">(N9+O9)/(Parameter!$H$6+Parameter!$H$7)</f>
        <v>0.93345695970696</v>
      </c>
      <c r="G9" s="13" t="n">
        <f aca="false">(M9+N9+O9)/Parameter!$H$8</f>
        <v>0.942587823699667</v>
      </c>
      <c r="H9" s="51" t="str">
        <f aca="false">IF(Parameter!$E$27="Ja",IF(M9+N9+O9&lt;=Parameter!$H$8,"JA","NEIN"),IF(AND(M9&lt;=Parameter!$H$5,N9+O9&lt;=Parameter!$H$6+Parameter!$H$7),"JA","NEIN"))</f>
        <v>JA</v>
      </c>
      <c r="I9" s="11" t="n">
        <f aca="false">IF(Parameter!$E$27="Ja",MAX(0,M9+N9+O9-Parameter!$H$8),MAX(0,M9-Parameter!$H$5)+MAX(0,N9+O9-Parameter!$H$6-Parameter!$H$7))+P9</f>
        <v>0</v>
      </c>
      <c r="J9" s="11" t="n">
        <f aca="false">SUMPRODUCT((A_FINF*(A_MBN+A_FINV)/2+(1-A_FINF)*((A_MBN+ROUNDUP(A_MBN+(A_LGN+((2*(A_VERB/(A_LUO+(A_LUO=0)*$B9)-A_MBN))&gt;A_LGN)*((2*(A_VERB/(A_LUO+(A_LUO=0)*$B9)-A_MBN))-A_LGN)),0))/2))*A_PREIS)</f>
        <v>2937309.485</v>
      </c>
      <c r="K9" s="52" t="n">
        <f aca="false">J9-$J$5</f>
        <v>-513736.72923</v>
      </c>
      <c r="L9" s="52" t="n">
        <f aca="false">(M9+N9+O9+P9)-($M$5+$N$5+$O$5+$P$5)</f>
        <v>752.526331719135</v>
      </c>
      <c r="M9" s="11" t="n">
        <f aca="false">IF(Parameter!$E$30="MAX-Bestand",SUMPRODUCT((A_LIFT=1)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1)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11434.1096650525</v>
      </c>
      <c r="N9" s="11" t="n">
        <f aca="false">IF(Parameter!$E$30="MAX-Bestand",SUMPRODUCT((A_LIFT=2)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2)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11282.3603479853</v>
      </c>
      <c r="O9" s="11" t="n">
        <f aca="false">IF(Parameter!$E$30="MAX-Bestand",SUMPRODUCT((A_LIFT=3)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3)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10933.9152930403</v>
      </c>
      <c r="P9" s="11" t="n">
        <f aca="false">IF(Parameter!$E$30="MAX-Bestand",SUMPRODUCT((A_LIFT="Aussen"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"Aussen"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0</v>
      </c>
    </row>
    <row r="10" customFormat="false" ht="15" hidden="false" customHeight="false" outlineLevel="0" collapsed="false">
      <c r="A10" s="10" t="s">
        <v>8</v>
      </c>
      <c r="B10" s="50" t="n">
        <f aca="false">Parameter!$A$27</f>
        <v>4</v>
      </c>
      <c r="C10" s="27" t="n">
        <f aca="false">M10/Parameter!$H$5</f>
        <v>0.95124503191107</v>
      </c>
      <c r="D10" s="27" t="n">
        <f aca="false">N10/Parameter!$H$6</f>
        <v>0.883916835965155</v>
      </c>
      <c r="E10" s="27" t="n">
        <f aca="false">O10/Parameter!$H$7</f>
        <v>0.904185943608213</v>
      </c>
      <c r="F10" s="13" t="n">
        <f aca="false">(N10+O10)/(Parameter!$H$6+Parameter!$H$7)</f>
        <v>0.894051389786684</v>
      </c>
      <c r="G10" s="13" t="n">
        <f aca="false">(M10+N10+O10)/Parameter!$H$8</f>
        <v>0.913115937161479</v>
      </c>
      <c r="H10" s="51" t="str">
        <f aca="false">IF(Parameter!$E$27="Ja",IF(M10+N10+O10&lt;=Parameter!$H$8,"JA","NEIN"),IF(AND(M10&lt;=Parameter!$H$5,N10+O10&lt;=Parameter!$H$6+Parameter!$H$7),"JA","NEIN"))</f>
        <v>JA</v>
      </c>
      <c r="I10" s="11" t="n">
        <f aca="false">IF(Parameter!$E$27="Ja",MAX(0,M10+N10+O10-Parameter!$H$8),MAX(0,M10-Parameter!$H$5)+MAX(0,N10+O10-Parameter!$H$6-Parameter!$H$7))+P10</f>
        <v>0</v>
      </c>
      <c r="J10" s="11" t="n">
        <f aca="false">SUMPRODUCT((A_FINF*(A_MBN+A_FINV)/2+(1-A_FINF)*((A_MBN+ROUNDUP(A_MBN+(A_LGN+((2*(A_VERB/(A_LUO+(A_LUO=0)*$B10)-A_MBN))&gt;A_LGN)*((2*(A_VERB/(A_LUO+(A_LUO=0)*$B10)-A_MBN))-A_LGN)),0))/2))*A_PREIS)</f>
        <v>2674239.855</v>
      </c>
      <c r="K10" s="52" t="n">
        <f aca="false">J10-$J$5</f>
        <v>-776806.35923</v>
      </c>
      <c r="L10" s="52" t="n">
        <f aca="false">(M10+N10+O10+P10)-($M$5+$N$5+$O$5+$P$5)</f>
        <v>-299.620017694164</v>
      </c>
      <c r="M10" s="11" t="n">
        <f aca="false">IF(Parameter!$E$30="MAX-Bestand",SUMPRODUCT((A_LIFT=1)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1)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11319.8158797417</v>
      </c>
      <c r="N10" s="11" t="n">
        <f aca="false">IF(Parameter!$E$30="MAX-Bestand",SUMPRODUCT((A_LIFT=2)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2)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10518.6103479853</v>
      </c>
      <c r="O10" s="11" t="n">
        <f aca="false">IF(Parameter!$E$30="MAX-Bestand",SUMPRODUCT((A_LIFT=3)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3)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10759.8127289377</v>
      </c>
      <c r="P10" s="11" t="n">
        <f aca="false">IF(Parameter!$E$30="MAX-Bestand",SUMPRODUCT((A_LIFT="Aussen"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"Aussen"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0</v>
      </c>
    </row>
    <row r="11" customFormat="false" ht="15" hidden="false" customHeight="false" outlineLevel="0" collapsed="false">
      <c r="A11" s="10" t="s">
        <v>8</v>
      </c>
      <c r="B11" s="50" t="n">
        <f aca="false">Parameter!$A$28</f>
        <v>5</v>
      </c>
      <c r="C11" s="27" t="n">
        <f aca="false">M11/Parameter!$H$5</f>
        <v>0.944842018728395</v>
      </c>
      <c r="D11" s="27" t="n">
        <f aca="false">N11/Parameter!$H$6</f>
        <v>0.841619917197648</v>
      </c>
      <c r="E11" s="27" t="n">
        <f aca="false">O11/Parameter!$H$7</f>
        <v>0.884939014067165</v>
      </c>
      <c r="F11" s="13" t="n">
        <f aca="false">(N11+O11)/(Parameter!$H$6+Parameter!$H$7)</f>
        <v>0.863279465632407</v>
      </c>
      <c r="G11" s="13" t="n">
        <f aca="false">(M11+N11+O11)/Parameter!$H$8</f>
        <v>0.89046698333107</v>
      </c>
      <c r="H11" s="51" t="str">
        <f aca="false">IF(Parameter!$E$27="Ja",IF(M11+N11+O11&lt;=Parameter!$H$8,"JA","NEIN"),IF(AND(M11&lt;=Parameter!$H$5,N11+O11&lt;=Parameter!$H$6+Parameter!$H$7),"JA","NEIN"))</f>
        <v>JA</v>
      </c>
      <c r="I11" s="11" t="n">
        <f aca="false">IF(Parameter!$E$27="Ja",MAX(0,M11+N11+O11-Parameter!$H$8),MAX(0,M11-Parameter!$H$5)+MAX(0,N11+O11-Parameter!$H$6-Parameter!$H$7))+P11</f>
        <v>0</v>
      </c>
      <c r="J11" s="11" t="n">
        <f aca="false">SUMPRODUCT((A_FINF*(A_MBN+A_FINV)/2+(1-A_FINF)*((A_MBN+ROUNDUP(A_MBN+(A_LGN+((2*(A_VERB/(A_LUO+(A_LUO=0)*$B11)-A_MBN))&gt;A_LGN)*((2*(A_VERB/(A_LUO+(A_LUO=0)*$B11)-A_MBN))-A_LGN)),0))/2))*A_PREIS)</f>
        <v>2399206.6</v>
      </c>
      <c r="K11" s="52" t="n">
        <f aca="false">J11-$J$5</f>
        <v>-1051839.61423</v>
      </c>
      <c r="L11" s="52" t="n">
        <f aca="false">(M11+N11+O11+P11)-($M$5+$N$5+$O$5+$P$5)</f>
        <v>-1108.18766943978</v>
      </c>
      <c r="M11" s="11" t="n">
        <f aca="false">IF(Parameter!$E$30="MAX-Bestand",SUMPRODUCT((A_LIFT=1)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1)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11243.6200228679</v>
      </c>
      <c r="N11" s="11" t="n">
        <f aca="false">IF(Parameter!$E$30="MAX-Bestand",SUMPRODUCT((A_LIFT=2)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2)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10015.277014652</v>
      </c>
      <c r="O11" s="11" t="n">
        <f aca="false">IF(Parameter!$E$30="MAX-Bestand",SUMPRODUCT((A_LIFT=3)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3)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10530.7742673993</v>
      </c>
      <c r="P11" s="11" t="n">
        <f aca="false">IF(Parameter!$E$30="MAX-Bestand",SUMPRODUCT((A_LIFT="Aussen"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"Aussen"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0</v>
      </c>
    </row>
    <row r="12" customFormat="false" ht="15" hidden="false" customHeight="false" outlineLevel="0" collapsed="false">
      <c r="A12" s="10" t="s">
        <v>8</v>
      </c>
      <c r="B12" s="50" t="n">
        <f aca="false">Parameter!$A$29</f>
        <v>6</v>
      </c>
      <c r="C12" s="27" t="n">
        <f aca="false">M12/Parameter!$H$5</f>
        <v>0.94003975884139</v>
      </c>
      <c r="D12" s="27" t="n">
        <f aca="false">N12/Parameter!$H$6</f>
        <v>0.818580701511374</v>
      </c>
      <c r="E12" s="27" t="n">
        <f aca="false">O12/Parameter!$H$7</f>
        <v>0.878989326499831</v>
      </c>
      <c r="F12" s="13" t="n">
        <f aca="false">(N12+O12)/(Parameter!$H$6+Parameter!$H$7)</f>
        <v>0.848785014005602</v>
      </c>
      <c r="G12" s="13" t="n">
        <f aca="false">(M12+N12+O12)/Parameter!$H$8</f>
        <v>0.879203262284198</v>
      </c>
      <c r="H12" s="51" t="str">
        <f aca="false">IF(Parameter!$E$27="Ja",IF(M12+N12+O12&lt;=Parameter!$H$8,"JA","NEIN"),IF(AND(M12&lt;=Parameter!$H$5,N12+O12&lt;=Parameter!$H$6+Parameter!$H$7),"JA","NEIN"))</f>
        <v>JA</v>
      </c>
      <c r="I12" s="11" t="n">
        <f aca="false">IF(Parameter!$E$27="Ja",MAX(0,M12+N12+O12-Parameter!$H$8),MAX(0,M12-Parameter!$H$5)+MAX(0,N12+O12-Parameter!$H$6-Parameter!$H$7))+P12</f>
        <v>0</v>
      </c>
      <c r="J12" s="11" t="n">
        <f aca="false">SUMPRODUCT((A_FINF*(A_MBN+A_FINV)/2+(1-A_FINF)*((A_MBN+ROUNDUP(A_MBN+(A_LGN+((2*(A_VERB/(A_LUO+(A_LUO=0)*$B12)-A_MBN))&gt;A_LGN)*((2*(A_VERB/(A_LUO+(A_LUO=0)*$B12)-A_MBN))-A_LGN)),0))/2))*A_PREIS)</f>
        <v>2235558.115</v>
      </c>
      <c r="K12" s="52" t="n">
        <f aca="false">J12-$J$5</f>
        <v>-1215488.09923</v>
      </c>
      <c r="L12" s="52" t="n">
        <f aca="false">(M12+N12+O12+P12)-($M$5+$N$5+$O$5+$P$5)</f>
        <v>-1510.3025108131</v>
      </c>
      <c r="M12" s="11" t="n">
        <f aca="false">IF(Parameter!$E$30="MAX-Bestand",SUMPRODUCT((A_LIFT=1)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1)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11186.4731302125</v>
      </c>
      <c r="N12" s="11" t="n">
        <f aca="false">IF(Parameter!$E$30="MAX-Bestand",SUMPRODUCT((A_LIFT=2)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2)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9741.11034798535</v>
      </c>
      <c r="O12" s="11" t="n">
        <f aca="false">IF(Parameter!$E$30="MAX-Bestand",SUMPRODUCT((A_LIFT=3)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3)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10459.972985348</v>
      </c>
      <c r="P12" s="11" t="n">
        <f aca="false">IF(Parameter!$E$30="MAX-Bestand",SUMPRODUCT((A_LIFT="Aussen"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"Aussen"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0</v>
      </c>
    </row>
    <row r="13" customFormat="false" ht="15" hidden="false" customHeight="false" outlineLevel="0" collapsed="false">
      <c r="A13" s="10" t="s">
        <v>8</v>
      </c>
      <c r="B13" s="50" t="n">
        <f aca="false">Parameter!$A$30</f>
        <v>8</v>
      </c>
      <c r="C13" s="27" t="n">
        <f aca="false">M13/Parameter!$H$5</f>
        <v>0.938439005545721</v>
      </c>
      <c r="D13" s="27" t="n">
        <f aca="false">N13/Parameter!$H$6</f>
        <v>0.802124118878321</v>
      </c>
      <c r="E13" s="27" t="n">
        <f aca="false">O13/Parameter!$H$7</f>
        <v>0.868477044664019</v>
      </c>
      <c r="F13" s="13" t="n">
        <f aca="false">(N13+O13)/(Parameter!$H$6+Parameter!$H$7)</f>
        <v>0.83530058177117</v>
      </c>
      <c r="G13" s="13" t="n">
        <f aca="false">(M13+N13+O13)/Parameter!$H$8</f>
        <v>0.869680056362687</v>
      </c>
      <c r="H13" s="51" t="str">
        <f aca="false">IF(Parameter!$E$27="Ja",IF(M13+N13+O13&lt;=Parameter!$H$8,"JA","NEIN"),IF(AND(M13&lt;=Parameter!$H$5,N13+O13&lt;=Parameter!$H$6+Parameter!$H$7),"JA","NEIN"))</f>
        <v>JA</v>
      </c>
      <c r="I13" s="11" t="n">
        <f aca="false">IF(Parameter!$E$27="Ja",MAX(0,M13+N13+O13-Parameter!$H$8),MAX(0,M13-Parameter!$H$5)+MAX(0,N13+O13-Parameter!$H$6-Parameter!$H$7))+P13</f>
        <v>0</v>
      </c>
      <c r="J13" s="11" t="n">
        <f aca="false">SUMPRODUCT((A_FINF*(A_MBN+A_FINV)/2+(1-A_FINF)*((A_MBN+ROUNDUP(A_MBN+(A_LGN+((2*(A_VERB/(A_LUO+(A_LUO=0)*$B13)-A_MBN))&gt;A_LGN)*((2*(A_VERB/(A_LUO+(A_LUO=0)*$B13)-A_MBN))-A_LGN)),0))/2))*A_PREIS)</f>
        <v>2073440.12</v>
      </c>
      <c r="K13" s="52" t="n">
        <f aca="false">J13-$J$5</f>
        <v>-1377606.09423</v>
      </c>
      <c r="L13" s="52" t="n">
        <f aca="false">(M13+N13+O13+P13)-($M$5+$N$5+$O$5+$P$5)</f>
        <v>-1850.28096221104</v>
      </c>
      <c r="M13" s="11" t="n">
        <f aca="false">IF(Parameter!$E$30="MAX-Bestand",SUMPRODUCT((A_LIFT=1)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1)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11167.4241659941</v>
      </c>
      <c r="N13" s="11" t="n">
        <f aca="false">IF(Parameter!$E$30="MAX-Bestand",SUMPRODUCT((A_LIFT=2)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2)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9545.27701465201</v>
      </c>
      <c r="O13" s="11" t="n">
        <f aca="false">IF(Parameter!$E$30="MAX-Bestand",SUMPRODUCT((A_LIFT=3)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3)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10334.8768315018</v>
      </c>
      <c r="P13" s="11" t="n">
        <f aca="false">IF(Parameter!$E$30="MAX-Bestand",SUMPRODUCT((A_LIFT="Aussen"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"Aussen"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0</v>
      </c>
    </row>
    <row r="14" customFormat="false" ht="15" hidden="false" customHeight="false" outlineLevel="0" collapsed="false">
      <c r="A14" s="10" t="s">
        <v>7</v>
      </c>
      <c r="B14" s="50" t="n">
        <f aca="false">Parameter!$A$23</f>
        <v>2</v>
      </c>
      <c r="C14" s="27" t="n">
        <f aca="false">M14/Parameter!$H$5</f>
        <v>1.04419947640073</v>
      </c>
      <c r="D14" s="27" t="n">
        <f aca="false">N14/Parameter!$H$6</f>
        <v>1.38546118447379</v>
      </c>
      <c r="E14" s="27" t="n">
        <f aca="false">O14/Parameter!$H$7</f>
        <v>1.20830647643673</v>
      </c>
      <c r="F14" s="13" t="n">
        <f aca="false">(N14+O14)/(Parameter!$H$6+Parameter!$H$7)</f>
        <v>1.29688383045526</v>
      </c>
      <c r="G14" s="13" t="n">
        <f aca="false">(M14+N14+O14)/Parameter!$H$8</f>
        <v>1.21265571243708</v>
      </c>
      <c r="H14" s="51" t="str">
        <f aca="false">IF(Parameter!$E$27="Ja",IF(M14+N14+O14&lt;=Parameter!$H$8,"JA","NEIN"),IF(AND(M14&lt;=Parameter!$H$5,N14+O14&lt;=Parameter!$H$6+Parameter!$H$7),"JA","NEIN"))</f>
        <v>NEIN</v>
      </c>
      <c r="I14" s="11" t="n">
        <f aca="false">IF(Parameter!$E$27="Ja",MAX(0,M14+N14+O14-Parameter!$H$8),MAX(0,M14-Parameter!$H$5)+MAX(0,N14+O14-Parameter!$H$6-Parameter!$H$7))+P14</f>
        <v>7591.80893400385</v>
      </c>
      <c r="J14" s="11" t="n">
        <f aca="false">SUMPRODUCT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*A_PREIS)</f>
        <v>6070434.5065</v>
      </c>
      <c r="K14" s="52" t="n">
        <f aca="false">J14-$J$5</f>
        <v>2619388.29227</v>
      </c>
      <c r="L14" s="52" t="n">
        <f aca="false">(M14+N14+O14+P14)-($M$5+$N$5+$O$5+$P$5)</f>
        <v>10393.9499596449</v>
      </c>
      <c r="M14" s="11" t="n">
        <f aca="false">IF(Parameter!$E$30="MAX-Bestand",SUMPRODUCT((A_LIFT=1)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1)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12425.9737691687</v>
      </c>
      <c r="N14" s="11" t="n">
        <f aca="false">IF(Parameter!$E$30="MAX-Bestand",SUMPRODUCT((A_LIFT=2)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2)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16486.9880952381</v>
      </c>
      <c r="O14" s="11" t="n">
        <f aca="false">IF(Parameter!$E$30="MAX-Bestand",SUMPRODUCT((A_LIFT=3)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3)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14378.8470695971</v>
      </c>
      <c r="P14" s="11" t="n">
        <f aca="false">IF(Parameter!$E$30="MAX-Bestand",SUMPRODUCT((A_LIFT="Aussen"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"Aussen"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0</v>
      </c>
    </row>
    <row r="15" customFormat="false" ht="15" hidden="false" customHeight="false" outlineLevel="0" collapsed="false">
      <c r="A15" s="10" t="s">
        <v>7</v>
      </c>
      <c r="B15" s="50" t="n">
        <f aca="false">Parameter!$A$24</f>
        <v>2.5</v>
      </c>
      <c r="C15" s="27" t="n">
        <f aca="false">M15/Parameter!$H$5</f>
        <v>0.992885561004063</v>
      </c>
      <c r="D15" s="27" t="n">
        <f aca="false">N15/Parameter!$H$6</f>
        <v>1.29922168867547</v>
      </c>
      <c r="E15" s="27" t="n">
        <f aca="false">O15/Parameter!$H$7</f>
        <v>1.16878374426694</v>
      </c>
      <c r="F15" s="13" t="n">
        <f aca="false">(N15+O15)/(Parameter!$H$6+Parameter!$H$7)</f>
        <v>1.2340027164712</v>
      </c>
      <c r="G15" s="13" t="n">
        <f aca="false">(M15+N15+O15)/Parameter!$H$8</f>
        <v>1.15363033131549</v>
      </c>
      <c r="H15" s="51" t="str">
        <f aca="false">IF(Parameter!$E$27="Ja",IF(M15+N15+O15&lt;=Parameter!$H$8,"JA","NEIN"),IF(AND(M15&lt;=Parameter!$H$5,N15+O15&lt;=Parameter!$H$6+Parameter!$H$7),"JA","NEIN"))</f>
        <v>NEIN</v>
      </c>
      <c r="I15" s="11" t="n">
        <f aca="false">IF(Parameter!$E$27="Ja",MAX(0,M15+N15+O15-Parameter!$H$8),MAX(0,M15-Parameter!$H$5)+MAX(0,N15+O15-Parameter!$H$6-Parameter!$H$7))+P15</f>
        <v>5484.602827963</v>
      </c>
      <c r="J15" s="11" t="n">
        <f aca="false">SUMPRODUCT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*A_PREIS)</f>
        <v>5421076.3225</v>
      </c>
      <c r="K15" s="52" t="n">
        <f aca="false">J15-$J$5</f>
        <v>1970030.10827</v>
      </c>
      <c r="L15" s="52" t="n">
        <f aca="false">(M15+N15+O15+P15)-($M$5+$N$5+$O$5+$P$5)</f>
        <v>8286.74385360403</v>
      </c>
      <c r="M15" s="11" t="n">
        <f aca="false">IF(Parameter!$E$30="MAX-Bestand",SUMPRODUCT((A_LIFT=1)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1)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11815.3381759483</v>
      </c>
      <c r="N15" s="11" t="n">
        <f aca="false">IF(Parameter!$E$30="MAX-Bestand",SUMPRODUCT((A_LIFT=2)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2)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15460.7380952381</v>
      </c>
      <c r="O15" s="11" t="n">
        <f aca="false">IF(Parameter!$E$30="MAX-Bestand",SUMPRODUCT((A_LIFT=3)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3)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13908.5265567766</v>
      </c>
      <c r="P15" s="11" t="n">
        <f aca="false">IF(Parameter!$E$30="MAX-Bestand",SUMPRODUCT((A_LIFT="Aussen"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"Aussen"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0</v>
      </c>
    </row>
    <row r="16" customFormat="false" ht="15" hidden="false" customHeight="false" outlineLevel="0" collapsed="false">
      <c r="A16" s="10" t="s">
        <v>7</v>
      </c>
      <c r="B16" s="50" t="n">
        <f aca="false">Parameter!$A$25</f>
        <v>3</v>
      </c>
      <c r="C16" s="27" t="n">
        <f aca="false">M16/Parameter!$H$5</f>
        <v>0.971896148289825</v>
      </c>
      <c r="D16" s="27" t="n">
        <f aca="false">N16/Parameter!$H$6</f>
        <v>1.19614988303014</v>
      </c>
      <c r="E16" s="27" t="n">
        <f aca="false">O16/Parameter!$H$7</f>
        <v>1.14050589466556</v>
      </c>
      <c r="F16" s="13" t="n">
        <f aca="false">(N16+O16)/(Parameter!$H$6+Parameter!$H$7)</f>
        <v>1.16832788884785</v>
      </c>
      <c r="G16" s="13" t="n">
        <f aca="false">(M16+N16+O16)/Parameter!$H$8</f>
        <v>1.10285064199517</v>
      </c>
      <c r="H16" s="51" t="str">
        <f aca="false">IF(Parameter!$E$27="Ja",IF(M16+N16+O16&lt;=Parameter!$H$8,"JA","NEIN"),IF(AND(M16&lt;=Parameter!$H$5,N16+O16&lt;=Parameter!$H$6+Parameter!$H$7),"JA","NEIN"))</f>
        <v>NEIN</v>
      </c>
      <c r="I16" s="11" t="n">
        <f aca="false">IF(Parameter!$E$27="Ja",MAX(0,M16+N16+O16-Parameter!$H$8),MAX(0,M16-Parameter!$H$5)+MAX(0,N16+O16-Parameter!$H$6-Parameter!$H$7))+P16</f>
        <v>3671.76791922766</v>
      </c>
      <c r="J16" s="11" t="n">
        <f aca="false">SUMPRODUCT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*A_PREIS)</f>
        <v>4986565.6825</v>
      </c>
      <c r="K16" s="52" t="n">
        <f aca="false">J16-$J$5</f>
        <v>1535519.46827</v>
      </c>
      <c r="L16" s="52" t="n">
        <f aca="false">(M16+N16+O16+P16)-($M$5+$N$5+$O$5+$P$5)</f>
        <v>6473.90894486869</v>
      </c>
      <c r="M16" s="11" t="n">
        <f aca="false">IF(Parameter!$E$30="MAX-Bestand",SUMPRODUCT((A_LIFT=1)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1)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11565.5641646489</v>
      </c>
      <c r="N16" s="11" t="n">
        <f aca="false">IF(Parameter!$E$30="MAX-Bestand",SUMPRODUCT((A_LIFT=2)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2)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14234.1836080586</v>
      </c>
      <c r="O16" s="11" t="n">
        <f aca="false">IF(Parameter!$E$30="MAX-Bestand",SUMPRODUCT((A_LIFT=3)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3)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13572.0201465201</v>
      </c>
      <c r="P16" s="11" t="n">
        <f aca="false">IF(Parameter!$E$30="MAX-Bestand",SUMPRODUCT((A_LIFT="Aussen"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"Aussen"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0</v>
      </c>
    </row>
    <row r="17" customFormat="false" ht="15" hidden="false" customHeight="false" outlineLevel="0" collapsed="false">
      <c r="A17" s="10" t="s">
        <v>7</v>
      </c>
      <c r="B17" s="50" t="n">
        <f aca="false">Parameter!$A$26</f>
        <v>3.5</v>
      </c>
      <c r="C17" s="27" t="n">
        <f aca="false">M17/Parameter!$H$5</f>
        <v>0.962291628515813</v>
      </c>
      <c r="D17" s="27" t="n">
        <f aca="false">N17/Parameter!$H$6</f>
        <v>1.17804764213378</v>
      </c>
      <c r="E17" s="27" t="n">
        <f aca="false">O17/Parameter!$H$7</f>
        <v>1.11505609936282</v>
      </c>
      <c r="F17" s="13" t="n">
        <f aca="false">(N17+O17)/(Parameter!$H$6+Parameter!$H$7)</f>
        <v>1.1465518707483</v>
      </c>
      <c r="G17" s="13" t="n">
        <f aca="false">(M17+N17+O17)/Parameter!$H$8</f>
        <v>1.08513179000414</v>
      </c>
      <c r="H17" s="51" t="str">
        <f aca="false">IF(Parameter!$E$27="Ja",IF(M17+N17+O17&lt;=Parameter!$H$8,"JA","NEIN"),IF(AND(M17&lt;=Parameter!$H$5,N17+O17&lt;=Parameter!$H$6+Parameter!$H$7),"JA","NEIN"))</f>
        <v>NEIN</v>
      </c>
      <c r="I17" s="11" t="n">
        <f aca="false">IF(Parameter!$E$27="Ja",MAX(0,M17+N17+O17-Parameter!$H$8),MAX(0,M17-Parameter!$H$5)+MAX(0,N17+O17-Parameter!$H$6-Parameter!$H$7))+P17</f>
        <v>3039.2049031477</v>
      </c>
      <c r="J17" s="11" t="n">
        <f aca="false">SUMPRODUCT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*A_PREIS)</f>
        <v>4724878.6525</v>
      </c>
      <c r="K17" s="52" t="n">
        <f aca="false">J17-$J$5</f>
        <v>1273832.43827</v>
      </c>
      <c r="L17" s="52" t="n">
        <f aca="false">(M17+N17+O17+P17)-($M$5+$N$5+$O$5+$P$5)</f>
        <v>5841.34592878873</v>
      </c>
      <c r="M17" s="11" t="n">
        <f aca="false">IF(Parameter!$E$30="MAX-Bestand",SUMPRODUCT((A_LIFT=1)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1)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11451.2703793382</v>
      </c>
      <c r="N17" s="11" t="n">
        <f aca="false">IF(Parameter!$E$30="MAX-Bestand",SUMPRODUCT((A_LIFT=2)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2)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14018.7669413919</v>
      </c>
      <c r="O17" s="11" t="n">
        <f aca="false">IF(Parameter!$E$30="MAX-Bestand",SUMPRODUCT((A_LIFT=3)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3)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13269.1675824176</v>
      </c>
      <c r="P17" s="11" t="n">
        <f aca="false">IF(Parameter!$E$30="MAX-Bestand",SUMPRODUCT((A_LIFT="Aussen"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"Aussen"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0</v>
      </c>
    </row>
    <row r="18" customFormat="false" ht="15" hidden="false" customHeight="false" outlineLevel="0" collapsed="false">
      <c r="A18" s="10" t="s">
        <v>7</v>
      </c>
      <c r="B18" s="50" t="n">
        <f aca="false">Parameter!$A$27</f>
        <v>4</v>
      </c>
      <c r="C18" s="27" t="n">
        <f aca="false">M18/Parameter!$H$5</f>
        <v>0.952687108741802</v>
      </c>
      <c r="D18" s="27" t="n">
        <f aca="false">N18/Parameter!$H$6</f>
        <v>1.12867789423462</v>
      </c>
      <c r="E18" s="27" t="n">
        <f aca="false">O18/Parameter!$H$7</f>
        <v>1.10505825407086</v>
      </c>
      <c r="F18" s="13" t="n">
        <f aca="false">(N18+O18)/(Parameter!$H$6+Parameter!$H$7)</f>
        <v>1.11686807415274</v>
      </c>
      <c r="G18" s="13" t="n">
        <f aca="false">(M18+N18+O18)/Parameter!$H$8</f>
        <v>1.06214108568243</v>
      </c>
      <c r="H18" s="51" t="str">
        <f aca="false">IF(Parameter!$E$27="Ja",IF(M18+N18+O18&lt;=Parameter!$H$8,"JA","NEIN"),IF(AND(M18&lt;=Parameter!$H$5,N18+O18&lt;=Parameter!$H$6+Parameter!$H$7),"JA","NEIN"))</f>
        <v>NEIN</v>
      </c>
      <c r="I18" s="11" t="n">
        <f aca="false">IF(Parameter!$E$27="Ja",MAX(0,M18+N18+O18-Parameter!$H$8),MAX(0,M18-Parameter!$H$5)+MAX(0,N18+O18-Parameter!$H$6-Parameter!$H$7))+P18</f>
        <v>2218.4367588626</v>
      </c>
      <c r="J18" s="11" t="n">
        <f aca="false">SUMPRODUCT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*A_PREIS)</f>
        <v>4507568.0325</v>
      </c>
      <c r="K18" s="52" t="n">
        <f aca="false">J18-$J$5</f>
        <v>1056521.81827</v>
      </c>
      <c r="L18" s="52" t="n">
        <f aca="false">(M18+N18+O18+P18)-($M$5+$N$5+$O$5+$P$5)</f>
        <v>5020.57778450364</v>
      </c>
      <c r="M18" s="11" t="n">
        <f aca="false">IF(Parameter!$E$30="MAX-Bestand",SUMPRODUCT((A_LIFT=1)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1)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11336.9765940274</v>
      </c>
      <c r="N18" s="11" t="n">
        <f aca="false">IF(Parameter!$E$30="MAX-Bestand",SUMPRODUCT((A_LIFT=2)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2)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13431.2669413919</v>
      </c>
      <c r="O18" s="11" t="n">
        <f aca="false">IF(Parameter!$E$30="MAX-Bestand",SUMPRODUCT((A_LIFT=3)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3)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13150.1932234432</v>
      </c>
      <c r="P18" s="11" t="n">
        <f aca="false">IF(Parameter!$E$30="MAX-Bestand",SUMPRODUCT((A_LIFT="Aussen"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"Aussen"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0</v>
      </c>
    </row>
    <row r="19" customFormat="false" ht="15" hidden="false" customHeight="false" outlineLevel="0" collapsed="false">
      <c r="A19" s="10" t="s">
        <v>7</v>
      </c>
      <c r="B19" s="50" t="n">
        <f aca="false">Parameter!$A$28</f>
        <v>5</v>
      </c>
      <c r="C19" s="27" t="n">
        <f aca="false">M19/Parameter!$H$5</f>
        <v>0.946284095559128</v>
      </c>
      <c r="D19" s="27" t="n">
        <f aca="false">N19/Parameter!$H$6</f>
        <v>1.08967229199372</v>
      </c>
      <c r="E19" s="27" t="n">
        <f aca="false">O19/Parameter!$H$7</f>
        <v>1.08954435620402</v>
      </c>
      <c r="F19" s="13" t="n">
        <f aca="false">(N19+O19)/(Parameter!$H$6+Parameter!$H$7)</f>
        <v>1.08960832409887</v>
      </c>
      <c r="G19" s="13" t="n">
        <f aca="false">(M19+N19+O19)/Parameter!$H$8</f>
        <v>1.04183358125229</v>
      </c>
      <c r="H19" s="51" t="str">
        <f aca="false">IF(Parameter!$E$27="Ja",IF(M19+N19+O19&lt;=Parameter!$H$8,"JA","NEIN"),IF(AND(M19&lt;=Parameter!$H$5,N19+O19&lt;=Parameter!$H$6+Parameter!$H$7),"JA","NEIN"))</f>
        <v>NEIN</v>
      </c>
      <c r="I19" s="11" t="n">
        <f aca="false">IF(Parameter!$E$27="Ja",MAX(0,M19+N19+O19-Parameter!$H$8),MAX(0,M19-Parameter!$H$5)+MAX(0,N19+O19-Parameter!$H$6-Parameter!$H$7))+P19</f>
        <v>1493.45885070673</v>
      </c>
      <c r="J19" s="11" t="n">
        <f aca="false">SUMPRODUCT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*A_PREIS)</f>
        <v>4291056.4825</v>
      </c>
      <c r="K19" s="52" t="n">
        <f aca="false">J19-$J$5</f>
        <v>840010.26827</v>
      </c>
      <c r="L19" s="52" t="n">
        <f aca="false">(M19+N19+O19+P19)-($M$5+$N$5+$O$5+$P$5)</f>
        <v>4295.59987634776</v>
      </c>
      <c r="M19" s="11" t="n">
        <f aca="false">IF(Parameter!$E$30="MAX-Bestand",SUMPRODUCT((A_LIFT=1)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1)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11260.7807371536</v>
      </c>
      <c r="N19" s="11" t="n">
        <f aca="false">IF(Parameter!$E$30="MAX-Bestand",SUMPRODUCT((A_LIFT=2)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2)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12967.1002747253</v>
      </c>
      <c r="O19" s="11" t="n">
        <f aca="false">IF(Parameter!$E$30="MAX-Bestand",SUMPRODUCT((A_LIFT=3)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3)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12965.5778388278</v>
      </c>
      <c r="P19" s="11" t="n">
        <f aca="false">IF(Parameter!$E$30="MAX-Bestand",SUMPRODUCT((A_LIFT="Aussen"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"Aussen"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0</v>
      </c>
    </row>
    <row r="20" customFormat="false" ht="15" hidden="false" customHeight="false" outlineLevel="0" collapsed="false">
      <c r="A20" s="10" t="s">
        <v>7</v>
      </c>
      <c r="B20" s="50" t="n">
        <f aca="false">Parameter!$A$29</f>
        <v>6</v>
      </c>
      <c r="C20" s="27" t="n">
        <f aca="false">M20/Parameter!$H$5</f>
        <v>0.941481835672122</v>
      </c>
      <c r="D20" s="27" t="n">
        <f aca="false">N20/Parameter!$H$6</f>
        <v>1.06663307630745</v>
      </c>
      <c r="E20" s="27" t="n">
        <f aca="false">O20/Parameter!$H$7</f>
        <v>1.08601063502324</v>
      </c>
      <c r="F20" s="13" t="n">
        <f aca="false">(N20+O20)/(Parameter!$H$6+Parameter!$H$7)</f>
        <v>1.07632185566534</v>
      </c>
      <c r="G20" s="13" t="n">
        <f aca="false">(M20+N20+O20)/Parameter!$H$8</f>
        <v>1.03137518233427</v>
      </c>
      <c r="H20" s="51" t="str">
        <f aca="false">IF(Parameter!$E$27="Ja",IF(M20+N20+O20&lt;=Parameter!$H$8,"JA","NEIN"),IF(AND(M20&lt;=Parameter!$H$5,N20+O20&lt;=Parameter!$H$6+Parameter!$H$7),"JA","NEIN"))</f>
        <v>NEIN</v>
      </c>
      <c r="I20" s="11" t="n">
        <f aca="false">IF(Parameter!$E$27="Ja",MAX(0,M20+N20+O20-Parameter!$H$8),MAX(0,M20-Parameter!$H$5)+MAX(0,N20+O20-Parameter!$H$6-Parameter!$H$7))+P20</f>
        <v>1120.09400933342</v>
      </c>
      <c r="J20" s="11" t="n">
        <f aca="false">SUMPRODUCT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*A_PREIS)</f>
        <v>4172787.9375</v>
      </c>
      <c r="K20" s="52" t="n">
        <f aca="false">J20-$J$5</f>
        <v>721741.72327</v>
      </c>
      <c r="L20" s="52" t="n">
        <f aca="false">(M20+N20+O20+P20)-($M$5+$N$5+$O$5+$P$5)</f>
        <v>3922.23503497445</v>
      </c>
      <c r="M20" s="11" t="n">
        <f aca="false">IF(Parameter!$E$30="MAX-Bestand",SUMPRODUCT((A_LIFT=1)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1)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11203.6338444983</v>
      </c>
      <c r="N20" s="11" t="n">
        <f aca="false">IF(Parameter!$E$30="MAX-Bestand",SUMPRODUCT((A_LIFT=2)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2)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12692.9336080586</v>
      </c>
      <c r="O20" s="11" t="n">
        <f aca="false">IF(Parameter!$E$30="MAX-Bestand",SUMPRODUCT((A_LIFT=3)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3)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12923.5265567766</v>
      </c>
      <c r="P20" s="11" t="n">
        <f aca="false">IF(Parameter!$E$30="MAX-Bestand",SUMPRODUCT((A_LIFT="Aussen"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"Aussen"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0</v>
      </c>
    </row>
    <row r="21" customFormat="false" ht="15" hidden="false" customHeight="false" outlineLevel="0" collapsed="false">
      <c r="A21" s="10" t="s">
        <v>7</v>
      </c>
      <c r="B21" s="50" t="n">
        <f aca="false">Parameter!$A$30</f>
        <v>8</v>
      </c>
      <c r="C21" s="27" t="n">
        <f aca="false">M21/Parameter!$H$5</f>
        <v>0.939881082376453</v>
      </c>
      <c r="D21" s="27" t="n">
        <f aca="false">N21/Parameter!$H$6</f>
        <v>1.05017649367439</v>
      </c>
      <c r="E21" s="27" t="n">
        <f aca="false">O21/Parameter!$H$7</f>
        <v>1.07791431957398</v>
      </c>
      <c r="F21" s="13" t="n">
        <f aca="false">(N21+O21)/(Parameter!$H$6+Parameter!$H$7)</f>
        <v>1.06404540662419</v>
      </c>
      <c r="G21" s="13" t="n">
        <f aca="false">(M21+N21+O21)/Parameter!$H$8</f>
        <v>1.02265729854161</v>
      </c>
      <c r="H21" s="51" t="str">
        <f aca="false">IF(Parameter!$E$27="Ja",IF(M21+N21+O21&lt;=Parameter!$H$8,"JA","NEIN"),IF(AND(M21&lt;=Parameter!$H$5,N21+O21&lt;=Parameter!$H$6+Parameter!$H$7),"JA","NEIN"))</f>
        <v>NEIN</v>
      </c>
      <c r="I21" s="11" t="n">
        <f aca="false">IF(Parameter!$E$27="Ja",MAX(0,M21+N21+O21-Parameter!$H$8),MAX(0,M21-Parameter!$H$5)+MAX(0,N21+O21-Parameter!$H$6-Parameter!$H$7))+P21</f>
        <v>808.865557935475</v>
      </c>
      <c r="J21" s="11" t="n">
        <f aca="false">SUMPRODUCT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*A_PREIS)</f>
        <v>4043227.7675</v>
      </c>
      <c r="K21" s="52" t="n">
        <f aca="false">J21-$J$5</f>
        <v>592181.55327</v>
      </c>
      <c r="L21" s="52" t="n">
        <f aca="false">(M21+N21+O21+P21)-($M$5+$N$5+$O$5+$P$5)</f>
        <v>3611.00658357651</v>
      </c>
      <c r="M21" s="11" t="n">
        <f aca="false">IF(Parameter!$E$30="MAX-Bestand",SUMPRODUCT((A_LIFT=1)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1)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11184.5848802798</v>
      </c>
      <c r="N21" s="11" t="n">
        <f aca="false">IF(Parameter!$E$30="MAX-Bestand",SUMPRODUCT((A_LIFT=2)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2)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12497.1002747253</v>
      </c>
      <c r="O21" s="11" t="n">
        <f aca="false">IF(Parameter!$E$30="MAX-Bestand",SUMPRODUCT((A_LIFT=3)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3)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12827.1804029304</v>
      </c>
      <c r="P21" s="11" t="n">
        <f aca="false">IF(Parameter!$E$30="MAX-Bestand",SUMPRODUCT((A_LIFT="Aussen"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"Aussen"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0</v>
      </c>
    </row>
    <row r="23" customFormat="false" ht="15" hidden="false" customHeight="false" outlineLevel="0" collapsed="false">
      <c r="A23" s="53" t="s">
        <v>92</v>
      </c>
    </row>
    <row r="24" customFormat="false" ht="15" hidden="false" customHeight="false" outlineLevel="0" collapsed="false">
      <c r="A24" s="21" t="s">
        <v>93</v>
      </c>
      <c r="E24" s="54" t="str">
        <f aca="false">IFERROR("ab LU "&amp;INDEX(B6:B13,MATCH("JA",H6:H13,0)),"bei keinem LU der Liste")</f>
        <v>ab LU 3</v>
      </c>
    </row>
    <row r="25" customFormat="false" ht="15" hidden="false" customHeight="false" outlineLevel="0" collapsed="false">
      <c r="A25" s="21" t="s">
        <v>94</v>
      </c>
      <c r="E25" s="54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95</v>
      </c>
    </row>
    <row r="28" customFormat="false" ht="15" hidden="false" customHeight="false" outlineLevel="0" collapsed="false">
      <c r="A28" s="5" t="s">
        <v>96</v>
      </c>
    </row>
    <row r="29" customFormat="false" ht="15" hidden="false" customHeight="false" outlineLevel="0" collapsed="false">
      <c r="A29" s="5" t="s">
        <v>9</v>
      </c>
      <c r="B29" s="5" t="s">
        <v>97</v>
      </c>
      <c r="C29" s="5" t="s">
        <v>98</v>
      </c>
      <c r="D29" s="5" t="s">
        <v>42</v>
      </c>
      <c r="E29" s="5" t="s">
        <v>99</v>
      </c>
    </row>
    <row r="30" customFormat="false" ht="15" hidden="false" customHeight="false" outlineLevel="0" collapsed="false">
      <c r="A30" s="55" t="n">
        <f aca="false">B6</f>
        <v>2</v>
      </c>
      <c r="B30" s="28" t="n">
        <f aca="false">G6</f>
        <v>1.0796283732963</v>
      </c>
      <c r="C30" s="28" t="n">
        <f aca="false">G14</f>
        <v>1.21265571243708</v>
      </c>
      <c r="D30" s="28" t="n">
        <v>1</v>
      </c>
      <c r="E30" s="28" t="n">
        <f aca="false">$G$5</f>
        <v>0.921508654743949</v>
      </c>
    </row>
    <row r="31" customFormat="false" ht="15" hidden="false" customHeight="false" outlineLevel="0" collapsed="false">
      <c r="A31" s="55" t="n">
        <f aca="false">B7</f>
        <v>2.5</v>
      </c>
      <c r="B31" s="28" t="n">
        <f aca="false">G7</f>
        <v>1.01421742512737</v>
      </c>
      <c r="C31" s="28" t="n">
        <f aca="false">G15</f>
        <v>1.15363033131549</v>
      </c>
      <c r="D31" s="28" t="n">
        <v>1</v>
      </c>
      <c r="E31" s="28" t="n">
        <f aca="false">$G$5</f>
        <v>0.921508654743949</v>
      </c>
    </row>
    <row r="32" customFormat="false" ht="15" hidden="false" customHeight="false" outlineLevel="0" collapsed="false">
      <c r="A32" s="55" t="n">
        <f aca="false">B8</f>
        <v>3</v>
      </c>
      <c r="B32" s="28" t="n">
        <f aca="false">G8</f>
        <v>0.961959965211639</v>
      </c>
      <c r="C32" s="28" t="n">
        <f aca="false">G16</f>
        <v>1.10285064199517</v>
      </c>
      <c r="D32" s="28" t="n">
        <v>1</v>
      </c>
      <c r="E32" s="28" t="n">
        <f aca="false">$G$5</f>
        <v>0.921508654743949</v>
      </c>
    </row>
    <row r="33" customFormat="false" ht="15" hidden="false" customHeight="false" outlineLevel="0" collapsed="false">
      <c r="A33" s="55" t="n">
        <f aca="false">B9</f>
        <v>3.5</v>
      </c>
      <c r="B33" s="28" t="n">
        <f aca="false">G9</f>
        <v>0.942587823699667</v>
      </c>
      <c r="C33" s="28" t="n">
        <f aca="false">G17</f>
        <v>1.08513179000414</v>
      </c>
      <c r="D33" s="28" t="n">
        <v>1</v>
      </c>
      <c r="E33" s="28" t="n">
        <f aca="false">$G$5</f>
        <v>0.921508654743949</v>
      </c>
    </row>
    <row r="34" customFormat="false" ht="15" hidden="false" customHeight="false" outlineLevel="0" collapsed="false">
      <c r="A34" s="55" t="n">
        <f aca="false">B10</f>
        <v>4</v>
      </c>
      <c r="B34" s="28" t="n">
        <f aca="false">G10</f>
        <v>0.913115937161479</v>
      </c>
      <c r="C34" s="28" t="n">
        <f aca="false">G18</f>
        <v>1.06214108568243</v>
      </c>
      <c r="D34" s="28" t="n">
        <v>1</v>
      </c>
      <c r="E34" s="28" t="n">
        <f aca="false">$G$5</f>
        <v>0.921508654743949</v>
      </c>
    </row>
    <row r="35" customFormat="false" ht="15" hidden="false" customHeight="false" outlineLevel="0" collapsed="false">
      <c r="A35" s="55" t="n">
        <f aca="false">B11</f>
        <v>5</v>
      </c>
      <c r="B35" s="28" t="n">
        <f aca="false">G11</f>
        <v>0.89046698333107</v>
      </c>
      <c r="C35" s="28" t="n">
        <f aca="false">G19</f>
        <v>1.04183358125229</v>
      </c>
      <c r="D35" s="28" t="n">
        <v>1</v>
      </c>
      <c r="E35" s="28" t="n">
        <f aca="false">$G$5</f>
        <v>0.921508654743949</v>
      </c>
    </row>
    <row r="36" customFormat="false" ht="15" hidden="false" customHeight="false" outlineLevel="0" collapsed="false">
      <c r="A36" s="55" t="n">
        <f aca="false">B12</f>
        <v>6</v>
      </c>
      <c r="B36" s="28" t="n">
        <f aca="false">G12</f>
        <v>0.879203262284198</v>
      </c>
      <c r="C36" s="28" t="n">
        <f aca="false">G20</f>
        <v>1.03137518233427</v>
      </c>
      <c r="D36" s="28" t="n">
        <v>1</v>
      </c>
      <c r="E36" s="28" t="n">
        <f aca="false">$G$5</f>
        <v>0.921508654743949</v>
      </c>
    </row>
    <row r="37" customFormat="false" ht="15" hidden="false" customHeight="false" outlineLevel="0" collapsed="false">
      <c r="A37" s="55" t="n">
        <f aca="false">B13</f>
        <v>8</v>
      </c>
      <c r="B37" s="28" t="n">
        <f aca="false">G13</f>
        <v>0.869680056362687</v>
      </c>
      <c r="C37" s="28" t="n">
        <f aca="false">G21</f>
        <v>1.02265729854161</v>
      </c>
      <c r="D37" s="28" t="n">
        <v>1</v>
      </c>
      <c r="E37" s="28" t="n">
        <f aca="false">$G$5</f>
        <v>0.921508654743949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Z1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5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5" min="24" style="0" width="8"/>
    <col collapsed="false" customWidth="true" hidden="false" outlineLevel="0" max="29" min="26" style="0" width="7"/>
    <col collapsed="false" customWidth="true" hidden="false" outlineLevel="0" max="31" min="30" style="0" width="10"/>
    <col collapsed="false" customWidth="true" hidden="false" outlineLevel="0" max="32" min="32" style="0" width="9"/>
    <col collapsed="false" customWidth="true" hidden="false" outlineLevel="1" max="38" min="33" style="0" width="9"/>
    <col collapsed="false" customWidth="true" hidden="true" outlineLevel="2" max="42" min="39" style="0" width="8"/>
    <col collapsed="false" customWidth="true" hidden="false" outlineLevel="1" max="48" min="43" style="0" width="9"/>
    <col collapsed="false" customWidth="true" hidden="true" outlineLevel="2" max="52" min="49" style="0" width="8"/>
    <col collapsed="false" customWidth="true" hidden="false" outlineLevel="1" max="58" min="53" style="0" width="9"/>
    <col collapsed="false" customWidth="true" hidden="true" outlineLevel="2" max="62" min="59" style="0" width="8"/>
    <col collapsed="false" customWidth="true" hidden="false" outlineLevel="0" max="65" min="63" style="0" width="11"/>
    <col collapsed="false" customWidth="true" hidden="false" outlineLevel="0" max="66" min="66" style="0" width="45"/>
    <col collapsed="false" customWidth="true" hidden="false" outlineLevel="0" max="69" min="67" style="0" width="30"/>
    <col collapsed="false" customWidth="true" hidden="true" outlineLevel="1" max="96" min="70" style="0" width="9"/>
    <col collapsed="false" customWidth="true" hidden="false" outlineLevel="0" max="104" min="97" style="0" width="9"/>
  </cols>
  <sheetData>
    <row r="1" customFormat="false" ht="17.35" hidden="false" customHeight="false" outlineLevel="0" collapsed="false">
      <c r="A1" s="41" t="s">
        <v>100</v>
      </c>
    </row>
    <row r="2" customFormat="false" ht="15" hidden="false" customHeight="false" outlineLevel="0" collapsed="false">
      <c r="A2" s="42" t="s">
        <v>101</v>
      </c>
    </row>
    <row r="3" customFormat="false" ht="15" hidden="false" customHeight="false" outlineLevel="0" collapsed="false">
      <c r="A3" s="3" t="s">
        <v>102</v>
      </c>
    </row>
    <row r="5" customFormat="false" ht="15" hidden="false" customHeight="false" outlineLevel="0" collapsed="false">
      <c r="AG5" s="56" t="str">
        <f aca="false">"Ansicht 1: "&amp;Cockpit!$C$5&amp;IF(LEFT(Cockpit!$C$5,1)="A",""," / LU "&amp;Cockpit!$C$6)</f>
        <v>Ansicht 1: A – Ist-Bestand</v>
      </c>
      <c r="AQ5" s="56" t="str">
        <f aca="false">"Ansicht 2: "&amp;Cockpit!$I$5&amp;IF(LEFT(Cockpit!$I$5,1)="A",""," / LU "&amp;Cockpit!$I$6)</f>
        <v>Ansicht 2: C – Ziel-LU oder Ist / LU 3</v>
      </c>
      <c r="BA5" s="56" t="str">
        <f aca="false">"Ansicht 3: "&amp;Cockpit!$O$5&amp;IF(LEFT(Cockpit!$O$5,1)="A",""," / LU "&amp;Cockpit!$O$6)</f>
        <v>Ansicht 3: B – Ziel-LU / LU 4</v>
      </c>
      <c r="BR5" s="57" t="s">
        <v>103</v>
      </c>
    </row>
    <row r="6" customFormat="false" ht="54" hidden="false" customHeight="true" outlineLevel="0" collapsed="false">
      <c r="A6" s="58" t="s">
        <v>104</v>
      </c>
      <c r="B6" s="58" t="s">
        <v>61</v>
      </c>
      <c r="C6" s="58" t="s">
        <v>105</v>
      </c>
      <c r="D6" s="58" t="s">
        <v>106</v>
      </c>
      <c r="E6" s="58" t="s">
        <v>107</v>
      </c>
      <c r="F6" s="58" t="s">
        <v>108</v>
      </c>
      <c r="G6" s="58" t="s">
        <v>109</v>
      </c>
      <c r="H6" s="58" t="s">
        <v>64</v>
      </c>
      <c r="I6" s="58" t="s">
        <v>67</v>
      </c>
      <c r="J6" s="58" t="s">
        <v>110</v>
      </c>
      <c r="K6" s="58" t="s">
        <v>111</v>
      </c>
      <c r="L6" s="58" t="s">
        <v>66</v>
      </c>
      <c r="M6" s="58" t="s">
        <v>112</v>
      </c>
      <c r="N6" s="58" t="s">
        <v>113</v>
      </c>
      <c r="O6" s="58" t="s">
        <v>114</v>
      </c>
      <c r="P6" s="58" t="s">
        <v>115</v>
      </c>
      <c r="Q6" s="58" t="s">
        <v>116</v>
      </c>
      <c r="R6" s="58" t="s">
        <v>117</v>
      </c>
      <c r="S6" s="59" t="s">
        <v>118</v>
      </c>
      <c r="T6" s="59" t="s">
        <v>119</v>
      </c>
      <c r="U6" s="59" t="s">
        <v>120</v>
      </c>
      <c r="V6" s="59" t="s">
        <v>121</v>
      </c>
      <c r="W6" s="58" t="s">
        <v>122</v>
      </c>
      <c r="X6" s="58" t="s">
        <v>123</v>
      </c>
      <c r="Y6" s="58" t="s">
        <v>124</v>
      </c>
      <c r="Z6" s="58" t="s">
        <v>125</v>
      </c>
      <c r="AA6" s="58" t="s">
        <v>126</v>
      </c>
      <c r="AB6" s="59" t="s">
        <v>127</v>
      </c>
      <c r="AC6" s="59" t="s">
        <v>128</v>
      </c>
      <c r="AD6" s="58" t="s">
        <v>129</v>
      </c>
      <c r="AE6" s="58" t="s">
        <v>130</v>
      </c>
      <c r="AF6" s="59" t="s">
        <v>131</v>
      </c>
      <c r="AG6" s="58" t="s">
        <v>132</v>
      </c>
      <c r="AH6" s="58" t="s">
        <v>133</v>
      </c>
      <c r="AI6" s="58" t="s">
        <v>134</v>
      </c>
      <c r="AJ6" s="58" t="s">
        <v>135</v>
      </c>
      <c r="AK6" s="58" t="s">
        <v>136</v>
      </c>
      <c r="AL6" s="58" t="s">
        <v>137</v>
      </c>
      <c r="AM6" s="58" t="s">
        <v>138</v>
      </c>
      <c r="AN6" s="58" t="s">
        <v>139</v>
      </c>
      <c r="AO6" s="58" t="s">
        <v>140</v>
      </c>
      <c r="AP6" s="58" t="s">
        <v>141</v>
      </c>
      <c r="AQ6" s="58" t="s">
        <v>142</v>
      </c>
      <c r="AR6" s="58" t="s">
        <v>143</v>
      </c>
      <c r="AS6" s="58" t="s">
        <v>144</v>
      </c>
      <c r="AT6" s="58" t="s">
        <v>145</v>
      </c>
      <c r="AU6" s="58" t="s">
        <v>146</v>
      </c>
      <c r="AV6" s="58" t="s">
        <v>147</v>
      </c>
      <c r="AW6" s="58" t="s">
        <v>148</v>
      </c>
      <c r="AX6" s="58" t="s">
        <v>149</v>
      </c>
      <c r="AY6" s="58" t="s">
        <v>150</v>
      </c>
      <c r="AZ6" s="58" t="s">
        <v>151</v>
      </c>
      <c r="BA6" s="58" t="s">
        <v>152</v>
      </c>
      <c r="BB6" s="58" t="s">
        <v>153</v>
      </c>
      <c r="BC6" s="58" t="s">
        <v>154</v>
      </c>
      <c r="BD6" s="58" t="s">
        <v>155</v>
      </c>
      <c r="BE6" s="58" t="s">
        <v>156</v>
      </c>
      <c r="BF6" s="58" t="s">
        <v>157</v>
      </c>
      <c r="BG6" s="58" t="s">
        <v>158</v>
      </c>
      <c r="BH6" s="58" t="s">
        <v>159</v>
      </c>
      <c r="BI6" s="58" t="s">
        <v>160</v>
      </c>
      <c r="BJ6" s="58" t="s">
        <v>161</v>
      </c>
      <c r="BK6" s="58" t="s">
        <v>162</v>
      </c>
      <c r="BL6" s="58" t="s">
        <v>163</v>
      </c>
      <c r="BM6" s="58" t="s">
        <v>164</v>
      </c>
      <c r="BN6" s="58" t="s">
        <v>165</v>
      </c>
      <c r="BO6" s="58" t="s">
        <v>166</v>
      </c>
      <c r="BP6" s="58" t="s">
        <v>167</v>
      </c>
      <c r="BQ6" s="59" t="s">
        <v>168</v>
      </c>
      <c r="BR6" s="58" t="s">
        <v>169</v>
      </c>
      <c r="BS6" s="58" t="s">
        <v>170</v>
      </c>
      <c r="BT6" s="58" t="s">
        <v>171</v>
      </c>
      <c r="BU6" s="58" t="s">
        <v>172</v>
      </c>
      <c r="BV6" s="58" t="s">
        <v>173</v>
      </c>
      <c r="BW6" s="58" t="s">
        <v>174</v>
      </c>
      <c r="BX6" s="58" t="s">
        <v>175</v>
      </c>
      <c r="BY6" s="58" t="s">
        <v>176</v>
      </c>
      <c r="BZ6" s="58" t="s">
        <v>177</v>
      </c>
      <c r="CA6" s="58" t="s">
        <v>178</v>
      </c>
      <c r="CB6" s="58" t="s">
        <v>179</v>
      </c>
      <c r="CC6" s="58" t="s">
        <v>180</v>
      </c>
      <c r="CD6" s="58" t="s">
        <v>181</v>
      </c>
      <c r="CE6" s="58" t="s">
        <v>182</v>
      </c>
      <c r="CF6" s="58" t="s">
        <v>183</v>
      </c>
      <c r="CG6" s="58" t="s">
        <v>184</v>
      </c>
      <c r="CH6" s="58" t="s">
        <v>185</v>
      </c>
      <c r="CI6" s="58" t="s">
        <v>186</v>
      </c>
      <c r="CJ6" s="58" t="s">
        <v>187</v>
      </c>
      <c r="CK6" s="58" t="s">
        <v>188</v>
      </c>
      <c r="CL6" s="58" t="s">
        <v>189</v>
      </c>
      <c r="CM6" s="58" t="s">
        <v>190</v>
      </c>
      <c r="CN6" s="58" t="s">
        <v>191</v>
      </c>
      <c r="CO6" s="58" t="s">
        <v>192</v>
      </c>
      <c r="CP6" s="58" t="s">
        <v>193</v>
      </c>
      <c r="CQ6" s="58" t="s">
        <v>194</v>
      </c>
      <c r="CR6" s="58" t="s">
        <v>195</v>
      </c>
      <c r="CS6" s="58" t="s">
        <v>196</v>
      </c>
      <c r="CT6" s="58" t="s">
        <v>197</v>
      </c>
      <c r="CU6" s="58" t="s">
        <v>198</v>
      </c>
      <c r="CV6" s="58" t="s">
        <v>199</v>
      </c>
      <c r="CW6" s="58" t="s">
        <v>200</v>
      </c>
      <c r="CX6" s="58" t="s">
        <v>201</v>
      </c>
      <c r="CY6" s="58" t="s">
        <v>202</v>
      </c>
      <c r="CZ6" s="58" t="s">
        <v>203</v>
      </c>
    </row>
    <row r="7" customFormat="false" ht="15" hidden="false" customHeight="false" outlineLevel="0" collapsed="false">
      <c r="A7" s="60" t="s">
        <v>204</v>
      </c>
      <c r="B7" s="60" t="s">
        <v>205</v>
      </c>
      <c r="C7" s="60" t="s">
        <v>206</v>
      </c>
      <c r="D7" s="60" t="s">
        <v>207</v>
      </c>
      <c r="E7" s="60" t="s">
        <v>208</v>
      </c>
      <c r="F7" s="60" t="s">
        <v>209</v>
      </c>
      <c r="G7" s="61" t="n">
        <v>3724.72</v>
      </c>
      <c r="H7" s="62" t="n">
        <f aca="false">MAX(0,IF(AND(Parameter!$B$21="Ja",ISNUMBER(Y7)),Y7,IF(Parameter!$B$20="Jahresanfang 2025 + Export",BS7+BR7,BR7)))</f>
        <v>18</v>
      </c>
      <c r="I7" s="62" t="n">
        <f aca="false">H7*G7</f>
        <v>67044.96</v>
      </c>
      <c r="J7" s="62" t="n">
        <f aca="false">BU7*Parameter!$B$18</f>
        <v>7</v>
      </c>
      <c r="K7" s="63" t="n">
        <v>12.5</v>
      </c>
      <c r="L7" s="64" t="n">
        <v>0.56</v>
      </c>
      <c r="M7" s="62" t="n">
        <v>2</v>
      </c>
      <c r="N7" s="62" t="n">
        <v>5</v>
      </c>
      <c r="O7" s="65" t="n">
        <v>28</v>
      </c>
      <c r="P7" s="60" t="s">
        <v>210</v>
      </c>
      <c r="Q7" s="62"/>
      <c r="R7" s="65" t="n">
        <f aca="false">IF(CA7=1,0,IFERROR(VLOOKUP(BY7,'Gebinde-Kategorie'!$A$5:$N$45,13,0)+0,0))</f>
        <v>0</v>
      </c>
      <c r="S7" s="66"/>
      <c r="T7" s="67"/>
      <c r="U7" s="67"/>
      <c r="V7" s="67"/>
      <c r="W7" s="60" t="n">
        <v>1</v>
      </c>
      <c r="X7" s="62" t="n">
        <v>22</v>
      </c>
      <c r="Y7" s="62" t="n">
        <v>18</v>
      </c>
      <c r="Z7" s="60" t="n">
        <v>1</v>
      </c>
      <c r="AA7" s="60" t="n">
        <f aca="false">IF(A7="","",IF(AND(Parameter!$B$21="Ja",ISNUMBER(W7)),W7,IF(AND(Parameter!$E$27="Ja",ISNUMBER(Z7),CD7&lt;&gt;"Nein"),Z7,IF(CD7="2+3",IF(ISNUMBER(SEARCH("grosser Artikel",BV7)),2,IFERROR(VLOOKUP(BY7,Parameter!$F$35:$G$64,2,0),2)),IF(OR(CD7="Nein",CD7=""),"-",CD7)))))</f>
        <v>1</v>
      </c>
      <c r="AB7" s="67"/>
      <c r="AC7" s="68"/>
      <c r="AD7" s="62" t="n">
        <f aca="false">AW7</f>
        <v>7</v>
      </c>
      <c r="AE7" s="62" t="n">
        <f aca="false">MAX(AW7,H7)</f>
        <v>18</v>
      </c>
      <c r="AF7" s="69"/>
      <c r="AG7" s="62" t="n">
        <f aca="false">IF(LEFT(Cockpit!$C$5,1)="A",H7,IF(Parameter!$E$30="MAX-Bestand",IF(CI7=1,CJ7,IF(LEFT(Cockpit!$C$5,1)="B",AM7,MAX(AM7,H7))),ROUNDUP(AK7,0)))</f>
        <v>18</v>
      </c>
      <c r="AH7" s="62" t="n">
        <f aca="false">IF(CA7=1,0,ROUNDUP(AG7/BZ7,0))</f>
        <v>0</v>
      </c>
      <c r="AI7" s="64" t="n">
        <f aca="false">IF(CR7&gt;0,CR7*MAX(1,AG7/X7),IF(CA7=1,IF(AG7&lt;=0,0,CE7*MAX(1,IF(H7&gt;0,AG7/H7,1))),IF(R7&gt;0,AH7/R7,0))/MAX(0.1,N(Parameter!$M$21)))</f>
        <v>1.7608286252354</v>
      </c>
      <c r="AJ7" s="62" t="n">
        <f aca="false">AI7*CC7</f>
        <v>419.077212806026</v>
      </c>
      <c r="AK7" s="63" t="n">
        <f aca="false">IF(LEFT(Cockpit!$C$5,1)="A",H7,IF(CI7=1,(CL7+CJ7)/2,IF(LEFT(Cockpit!$C$5,1)="B",(CL7+AM7)/2,MAX((CL7+AM7)/2,H7))))</f>
        <v>18</v>
      </c>
      <c r="AL7" s="62" t="n">
        <f aca="false">AK7*G7</f>
        <v>67044.96</v>
      </c>
      <c r="AM7" s="62" t="n">
        <f aca="false">ROUNDUP(CL7+MAX(CM7,2*(J7/IF(CH7&gt;0,CH7,MAX(0.1,N(Cockpit!$C$6)))-CL7)),0)</f>
        <v>7</v>
      </c>
      <c r="AN7" s="63" t="n">
        <f aca="false">IF(AJ7&gt;0,J7/AJ7,-1)</f>
        <v>0.0167033658383139</v>
      </c>
      <c r="AO7" s="63" t="n">
        <f aca="false">IF(AND(OR(CG7="L1",CG7="L23",CG7="LIFT"),AJ7&gt;0),SUMIFS($AJ$7:$AJ$1843,$CG$7:$CG$1843,CG7,$AN$7:$AN$1843,"&gt;"&amp;AN7)+SUMIFS($AJ$7:$AJ$1843,$CG$7:$CG$1843,CG7,$AN$7:$AN$1843,AN7,$BX$7:$BX$1843,"&lt;="&amp;BX7),"")</f>
        <v>24064.9980986528</v>
      </c>
      <c r="AP7" s="70" t="n">
        <f aca="false">IF(AO7="",0,MAX(0,MIN(1,(IF(CG7="L1",Parameter!$H$5,IF(CG7="L23",Parameter!$H$6+Parameter!$H$7,Parameter!$H$5+Parameter!$H$6+Parameter!$H$7))-(AO7-AJ7))/AJ7)))</f>
        <v>1</v>
      </c>
      <c r="AQ7" s="62" t="n">
        <f aca="false">IF(LEFT(Cockpit!$I$5,1)="A",H7,IF(Parameter!$E$30="MAX-Bestand",IF(CI7=1,CJ7,IF(LEFT(Cockpit!$I$5,1)="B",AW7,MAX(AW7,H7))),ROUNDUP(AU7,0)))</f>
        <v>18</v>
      </c>
      <c r="AR7" s="62" t="n">
        <f aca="false">IF(CA7=1,0,ROUNDUP(AQ7/BZ7,0))</f>
        <v>0</v>
      </c>
      <c r="AS7" s="64" t="n">
        <f aca="false">IF(CR7&gt;0,CR7*MAX(1,AQ7/X7),IF(CA7=1,IF(AQ7&lt;=0,0,CE7*MAX(1,IF(H7&gt;0,AQ7/H7,1))),IF(R7&gt;0,AR7/R7,0))/MAX(0.1,N(Parameter!$M$21)))</f>
        <v>1.7608286252354</v>
      </c>
      <c r="AT7" s="62" t="n">
        <f aca="false">AS7*CC7</f>
        <v>419.077212806026</v>
      </c>
      <c r="AU7" s="63" t="n">
        <f aca="false">IF(LEFT(Cockpit!$I$5,1)="A",H7,IF(CI7=1,(CL7+CJ7)/2,IF(LEFT(Cockpit!$I$5,1)="B",(CL7+AW7)/2,MAX((CL7+AW7)/2,H7))))</f>
        <v>18</v>
      </c>
      <c r="AV7" s="62" t="n">
        <f aca="false">AU7*G7</f>
        <v>67044.96</v>
      </c>
      <c r="AW7" s="62" t="n">
        <f aca="false">ROUNDUP(CL7+MAX(CM7,2*(J7/IF(CH7&gt;0,CH7,MAX(0.1,N(Cockpit!$I$6)))-CL7)),0)</f>
        <v>7</v>
      </c>
      <c r="AX7" s="63" t="n">
        <f aca="false">IF(AT7&gt;0,J7/AT7,-1)</f>
        <v>0.0167033658383139</v>
      </c>
      <c r="AY7" s="63" t="n">
        <f aca="false">IF(AND(OR(CG7="L1",CG7="L23",CG7="LIFT"),AT7&gt;0),SUMIFS($AT$7:$AT$1843,$CG$7:$CG$1843,CG7,$AX$7:$AX$1843,"&gt;"&amp;AX7)+SUMIFS($AT$7:$AT$1843,$CG$7:$CG$1843,CG7,$AX$7:$AX$1843,AX7,$BX$7:$BX$1843,"&lt;="&amp;BX7),"")</f>
        <v>29418.1467400302</v>
      </c>
      <c r="AZ7" s="70" t="n">
        <f aca="false">IF(AY7="",0,MAX(0,MIN(1,(IF(CG7="L1",Parameter!$H$5,IF(CG7="L23",Parameter!$H$6+Parameter!$H$7,Parameter!$H$5+Parameter!$H$6+Parameter!$H$7))-(AY7-AT7))/AT7)))</f>
        <v>1</v>
      </c>
      <c r="BA7" s="62" t="n">
        <f aca="false">IF(LEFT(Cockpit!$O$5,1)="A",H7,IF(Parameter!$E$30="MAX-Bestand",IF(CI7=1,CJ7,IF(LEFT(Cockpit!$O$5,1)="B",BG7,MAX(BG7,H7))),ROUNDUP(BE7,0)))</f>
        <v>5</v>
      </c>
      <c r="BB7" s="62" t="n">
        <f aca="false">IF(CA7=1,0,ROUNDUP(BA7/BZ7,0))</f>
        <v>0</v>
      </c>
      <c r="BC7" s="64" t="n">
        <f aca="false">IF(CR7&gt;0,CR7*MAX(1,BA7/X7),IF(CA7=1,IF(BA7&lt;=0,0,CE7*MAX(1,IF(H7&gt;0,BA7/H7,1))),IF(R7&gt;0,BB7/R7,0))/MAX(0.1,N(Parameter!$M$21)))</f>
        <v>1.7608286252354</v>
      </c>
      <c r="BD7" s="62" t="n">
        <f aca="false">BC7*CC7</f>
        <v>419.077212806026</v>
      </c>
      <c r="BE7" s="63" t="n">
        <f aca="false">IF(LEFT(Cockpit!$O$5,1)="A",H7,IF(CI7=1,(CL7+CJ7)/2,IF(LEFT(Cockpit!$O$5,1)="B",(CL7+BG7)/2,MAX((CL7+BG7)/2,H7))))</f>
        <v>4.5</v>
      </c>
      <c r="BF7" s="62" t="n">
        <f aca="false">BE7*G7</f>
        <v>16761.24</v>
      </c>
      <c r="BG7" s="62" t="n">
        <f aca="false">ROUNDUP(CL7+MAX(CM7,2*(J7/IF(CH7&gt;0,CH7,MAX(0.1,N(Cockpit!$O$6)))-CL7)),0)</f>
        <v>7</v>
      </c>
      <c r="BH7" s="63" t="n">
        <f aca="false">IF(BD7&gt;0,J7/BD7,-1)</f>
        <v>0.0167033658383139</v>
      </c>
      <c r="BI7" s="63" t="n">
        <f aca="false">IF(AND(OR(CG7="L1",CG7="L23",CG7="LIFT"),BD7&gt;0),SUMIFS($BD$7:$BD$1843,$CG$7:$CG$1843,CG7,$BH$7:$BH$1843,"&gt;"&amp;BH7)+SUMIFS($BD$7:$BD$1843,$CG$7:$CG$1843,CG7,$BH$7:$BH$1843,BH7,$BX$7:$BX$1843,"&lt;="&amp;BX7),"")</f>
        <v>24963.8952499948</v>
      </c>
      <c r="BJ7" s="70" t="n">
        <f aca="false">IF(BI7="",0,MAX(0,MIN(1,(IF(CG7="L1",Parameter!$H$5,IF(CG7="L23",Parameter!$H$6+Parameter!$H$7,Parameter!$H$5+Parameter!$H$6+Parameter!$H$7))-(BI7-BD7))/BD7)))</f>
        <v>1</v>
      </c>
      <c r="BK7" s="60" t="str">
        <f aca="false">IF(AJ7&lt;=0,"",IF(CG7="Aussen","Aussenlager",IF(CG7="-","Nicht im Lift",IF(AP7&gt;=1,"Lift",IF(AP7&lt;=0,"Aussenlager","teilweise")))))</f>
        <v>Lift</v>
      </c>
      <c r="BL7" s="60" t="str">
        <f aca="false">IF(AT7&lt;=0,"",IF(CG7="Aussen","Aussenlager",IF(CG7="-","Nicht im Lift",IF(AZ7&gt;=1,"Lift",IF(AZ7&lt;=0,"Aussenlager","teilweise")))))</f>
        <v>Lift</v>
      </c>
      <c r="BM7" s="60" t="str">
        <f aca="false">IF(BD7&lt;=0,"",IF(CG7="Aussen","Aussenlager",IF(CG7="-","Nicht im Lift",IF(BJ7&gt;=1,"Lift",IF(BJ7&lt;=0,"Aussenlager","teilweise")))))</f>
        <v>Lift</v>
      </c>
      <c r="BN7" s="60" t="str">
        <f aca="false">IF(A7="","",IF(BW7=1,"Neu; ","")&amp;IF(AND(BW7=0,BR7&lt;0),"negativer Bestand (Export "&amp;BR7&amp;"); ","")&amp;IF(J7&lt;=0,"Kein Verbrauch; ","")&amp;IF(CR7&gt;0,"Lift "&amp;W7&amp;" lt. Liftbericht (Fach "&amp;X7&amp;" Stk); ",IF(CB7=1,"Gebinde geschätzt ("&amp;T7&amp;"); ",IF(CA7=1,"Lose – Tablare geschätzt; ","")))&amp;IF(H7&gt;AW7,"Überbestand "&amp;ROUND(H7-AW7,0)&amp;" Stk / CHF "&amp;ROUND((H7-AW7)*G7,0)&amp;"; ","")&amp;IF(AND(CI7=1,CJ7&lt;CK7),"MAX &lt; MB+LG; ","")&amp;IF(AND(CQ7&gt;0,CP7*10&gt;CQ7),"zu hoch für Tablar; ","")&amp;IF(AND(BW7=0,OR(CI7=1,AB7&lt;&gt;"",U7&lt;&gt;"",V7&lt;&gt;"",AC7&lt;&gt;"")),"manuell übersteuert; ","")&amp;IF(AND(CA7=0,R7=0),"Gebinde unbekannt / Stellmass fehlt; ","")&amp;IF(AND(CA7=0,N(V7)&lt;=0,N(Q7)&lt;=0),"Menge pro Gebinde fehlt (Ist = 1 Gebinde); ","")&amp;BV7)</f>
        <v>Lift 1 lt. Liftbericht (Fach 22 Stk); Überbestand 11 Stk / CHF 40972; </v>
      </c>
      <c r="BO7" s="60" t="s">
        <v>211</v>
      </c>
      <c r="BP7" s="60" t="s">
        <v>212</v>
      </c>
      <c r="BQ7" s="67"/>
      <c r="BR7" s="62" t="n">
        <v>20</v>
      </c>
      <c r="BS7" s="62" t="n">
        <v>7</v>
      </c>
      <c r="BT7" s="61" t="n">
        <v>75034.94</v>
      </c>
      <c r="BU7" s="62" t="n">
        <v>7</v>
      </c>
      <c r="BV7" s="60"/>
      <c r="BW7" s="65" t="n">
        <v>0</v>
      </c>
      <c r="BX7" s="65" t="n">
        <v>7</v>
      </c>
      <c r="BY7" s="60" t="str">
        <f aca="false">IF(U7&lt;&gt;"",UPPER(TRIM(U7)),IF(CB7=1,UPPER(VLOOKUP(T7,Parameter!$I$27:$K$29,2,0)),IF(P7="","LOSE",P7)))</f>
        <v>LOSE</v>
      </c>
      <c r="BZ7" s="62" t="n">
        <f aca="false">IF(BY7="LOSE",1,IF(N(V7)&gt;0,V7,IF(CB7=1,MAX(1,N(VLOOKUP(T7,Parameter!$I$27:$K$29,3,0)),H7,N(N7)),IF(N(Q7)&gt;0,Q7,MAX(1,H7)))))</f>
        <v>1</v>
      </c>
      <c r="CA7" s="65" t="n">
        <f aca="false">IF(BY7="LOSE",1,0)</f>
        <v>1</v>
      </c>
      <c r="CB7" s="65" t="n">
        <f aca="false">IF(AND(U7="",OR(P7="",P7="LOSE"),T7&lt;&gt;"",N(S7)&lt;=0,ISNUMBER(MATCH(T7,Parameter!$I$27:$I$29,0))),1,0)</f>
        <v>0</v>
      </c>
      <c r="CC7" s="65" t="n">
        <f aca="false">IF(CR7&gt;0,INDEX(Parameter!$H$5:$H$7,W7)/INDEX(Parameter!$E$5:$E$7,W7),IF(AND(CA7=0,N(IFERROR(VLOOKUP(BY7,'Gebinde-Kategorie'!$A$5:$N$45,14,0),0))&gt;0),VLOOKUP(BY7,'Gebinde-Kategorie'!$A$5:$N$45,14,0)*10+Parameter!$M$23,Parameter!$M$24))</f>
        <v>238</v>
      </c>
      <c r="CD7" s="60" t="n">
        <f aca="false">IF(AND(Parameter!$B$19="Ja",E7&lt;&gt;"",ISNUMBER(MATCH(E7,Parameter!$I$35:$I$52,0))),VLOOKUP(E7,Parameter!$I$35:$J$52,2,0),IFERROR(VLOOKUP(D7,Parameter!$A$35:$C$64,2,0),"Nein"))</f>
        <v>1</v>
      </c>
      <c r="CE7" s="64" t="n">
        <f aca="false">IF(CA7=0,0,IF(N(S7)&gt;0,S7,IFERROR(VLOOKUP(D7,Parameter!$A$35:$C$64,3,0)+0,0)))</f>
        <v>1</v>
      </c>
      <c r="CF7" s="60" t="n">
        <f aca="false">IF(AB7&lt;&gt;"",AB7,AA7)</f>
        <v>1</v>
      </c>
      <c r="CG7" s="60" t="str">
        <f aca="false">IF(OR(CF7=1,CF7=2,CF7=3),IF(Parameter!$E$27="Ja","LIFT",IF(CF7=1,"L1","L23")),IF(CF7="Aussen","Aussen","-"))</f>
        <v>LIFT</v>
      </c>
      <c r="CH7" s="71" t="n">
        <f aca="false">IF(N(AC7)&gt;0,AC7,0)</f>
        <v>0</v>
      </c>
      <c r="CI7" s="65" t="n">
        <f aca="false">IF(ISNUMBER(AF7),1,0)</f>
        <v>0</v>
      </c>
      <c r="CJ7" s="62" t="n">
        <f aca="false">N(AF7)</f>
        <v>0</v>
      </c>
      <c r="CK7" s="62" t="n">
        <f aca="false">N(M7)+N(N7)</f>
        <v>7</v>
      </c>
      <c r="CL7" s="62" t="n">
        <f aca="false">N(M7)</f>
        <v>2</v>
      </c>
      <c r="CM7" s="62" t="n">
        <f aca="false">N(N7)</f>
        <v>5</v>
      </c>
      <c r="CN7" s="62" t="n">
        <f aca="false">ROUNDUP(H7/BZ7,0)</f>
        <v>18</v>
      </c>
      <c r="CO7" s="62" t="n">
        <f aca="false">ROUNDUP(CJ7/BZ7,0)</f>
        <v>0</v>
      </c>
      <c r="CP7" s="65" t="n">
        <f aca="false">IF(CA7=1,0,IFERROR(VLOOKUP(BY7,'Gebinde-Kategorie'!$A$5:$N$45,5,0)+0,0))</f>
        <v>0</v>
      </c>
      <c r="CQ7" s="65" t="n">
        <f aca="false">IFERROR(IF(OR(CF7=1,CF7=2,CF7=3),N(INDEX(Parameter!$I$5:$I$7,CF7)),0),0)</f>
        <v>0</v>
      </c>
      <c r="CR7" s="64" t="n">
        <f aca="false">IF(AND(Parameter!$B$21="Ja",ISNUMBER(W7),N(X7)&gt;0),IFERROR(N(INDEX(Parameter!$L$5:$L$7,W7))*INDEX(Parameter!$E$5:$E$7,W7)*X7/SUMIFS($X$7:$X$1843,$W$7:$W$1843,W7),0),0)</f>
        <v>1.7608286252354</v>
      </c>
      <c r="CS7" s="62" t="n">
        <f aca="false">IF(AND(OR(CG7="L1",CG7="L23",CG7="LIFT"),H7&gt;0),CC7*IF(CR7&gt;0,CR7*MAX(1,H7/X7),IF(CA7=1,CE7,IF(R7&gt;0,CN7/R7,0))/MAX(0.1,N(Parameter!$M$21))),"")</f>
        <v>419.077212806026</v>
      </c>
      <c r="CT7" s="64" t="n">
        <f aca="false">IF(CS7="","",J7/H7)</f>
        <v>0.388888888888889</v>
      </c>
      <c r="CU7" s="62" t="n">
        <f aca="false">IF(CS7="","",H7*G7)</f>
        <v>67044.96</v>
      </c>
      <c r="CV7" s="63" t="n">
        <f aca="false">IF(CS7="","",(CL7+ROUNDUP(CL7+MAX(CM7,2*(J7/MAX(0.1,N(Einkauf!$C$6))-CL7)),0))/2)</f>
        <v>4.5</v>
      </c>
      <c r="CW7" s="62" t="n">
        <f aca="false">IF(CS7="","",MAX(0,H7-CV7)*G7)</f>
        <v>50283.72</v>
      </c>
      <c r="CX7" s="62" t="n">
        <f aca="false">IF(CS7="","",CS7*MAX(0,1-CV7/H7))</f>
        <v>314.30790960452</v>
      </c>
      <c r="CY7" s="64" t="n">
        <f aca="false">IF(CS7="","",PERCENTRANK($CS$7:$CS$1843,CS7)+PERCENTRANK($CU$7:$CU$1843,CU7)+1-PERCENTRANK($CT$7:$CT$1843,CT7))</f>
        <v>2.471</v>
      </c>
      <c r="CZ7" s="72" t="n">
        <f aca="false">IF(CS7="","",CHOOSE(MATCH(Einkauf!$C$5,Parameter!$G$23:$G$27,0),CY7,CS7,CU7,-CT7,CW7)+ROW()/1000000000)</f>
        <v>2.471000007</v>
      </c>
    </row>
    <row r="8" customFormat="false" ht="15" hidden="false" customHeight="false" outlineLevel="0" collapsed="false">
      <c r="A8" s="60" t="s">
        <v>213</v>
      </c>
      <c r="B8" s="60" t="s">
        <v>214</v>
      </c>
      <c r="C8" s="60" t="s">
        <v>209</v>
      </c>
      <c r="D8" s="60" t="s">
        <v>215</v>
      </c>
      <c r="E8" s="60"/>
      <c r="F8" s="60" t="s">
        <v>209</v>
      </c>
      <c r="G8" s="61" t="n">
        <v>718.84</v>
      </c>
      <c r="H8" s="62" t="n">
        <f aca="false">MAX(0,IF(AND(Parameter!$B$21="Ja",ISNUMBER(Y8)),Y8,IF(Parameter!$B$20="Jahresanfang 2025 + Export",BS8+BR8,BR8)))</f>
        <v>94</v>
      </c>
      <c r="I8" s="62" t="n">
        <f aca="false">H8*G8</f>
        <v>67570.96</v>
      </c>
      <c r="J8" s="62" t="n">
        <f aca="false">BU8*Parameter!$B$18</f>
        <v>2</v>
      </c>
      <c r="K8" s="63" t="n">
        <v>74</v>
      </c>
      <c r="L8" s="64" t="n">
        <v>0.027027027027027</v>
      </c>
      <c r="M8" s="62" t="n">
        <v>0</v>
      </c>
      <c r="N8" s="62" t="n">
        <v>1</v>
      </c>
      <c r="O8" s="65" t="n">
        <v>14</v>
      </c>
      <c r="P8" s="60" t="s">
        <v>216</v>
      </c>
      <c r="Q8" s="62" t="n">
        <v>14</v>
      </c>
      <c r="R8" s="65" t="n">
        <f aca="false">IF(CA8=1,0,IFERROR(VLOOKUP(BY8,'Gebinde-Kategorie'!$A$5:$N$45,13,0)+0,0))</f>
        <v>6</v>
      </c>
      <c r="S8" s="66"/>
      <c r="T8" s="67"/>
      <c r="U8" s="67"/>
      <c r="V8" s="67"/>
      <c r="W8" s="60"/>
      <c r="X8" s="62"/>
      <c r="Y8" s="62"/>
      <c r="Z8" s="60" t="n">
        <v>2</v>
      </c>
      <c r="AA8" s="60" t="n">
        <f aca="false">IF(A8="","",IF(AND(Parameter!$B$21="Ja",ISNUMBER(W8)),W8,IF(AND(Parameter!$E$27="Ja",ISNUMBER(Z8),CD8&lt;&gt;"Nein"),Z8,IF(CD8="2+3",IF(ISNUMBER(SEARCH("grosser Artikel",BV8)),2,IFERROR(VLOOKUP(BY8,Parameter!$F$35:$G$64,2,0),2)),IF(OR(CD8="Nein",CD8=""),"-",CD8)))))</f>
        <v>2</v>
      </c>
      <c r="AB8" s="67"/>
      <c r="AC8" s="68"/>
      <c r="AD8" s="62" t="n">
        <f aca="false">AW8</f>
        <v>2</v>
      </c>
      <c r="AE8" s="62" t="n">
        <f aca="false">MAX(AW8,H8)</f>
        <v>94</v>
      </c>
      <c r="AF8" s="69"/>
      <c r="AG8" s="62" t="n">
        <f aca="false">IF(LEFT(Cockpit!$C$5,1)="A",H8,IF(Parameter!$E$30="MAX-Bestand",IF(CI8=1,CJ8,IF(LEFT(Cockpit!$C$5,1)="B",AM8,MAX(AM8,H8))),ROUNDUP(AK8,0)))</f>
        <v>94</v>
      </c>
      <c r="AH8" s="62" t="n">
        <f aca="false">IF(CA8=1,0,ROUNDUP(AG8/BZ8,0))</f>
        <v>7</v>
      </c>
      <c r="AI8" s="64" t="n">
        <f aca="false">IF(CR8&gt;0,CR8*MAX(1,AG8/X8),IF(CA8=1,IF(AG8&lt;=0,0,CE8*MAX(1,IF(H8&gt;0,AG8/H8,1))),IF(R8&gt;0,AH8/R8,0))/MAX(0.1,N(Parameter!$M$21)))</f>
        <v>1.16666666666667</v>
      </c>
      <c r="AJ8" s="62" t="n">
        <f aca="false">AI8*CC8</f>
        <v>274.166666666667</v>
      </c>
      <c r="AK8" s="63" t="n">
        <f aca="false">IF(LEFT(Cockpit!$C$5,1)="A",H8,IF(CI8=1,(CL8+CJ8)/2,IF(LEFT(Cockpit!$C$5,1)="B",(CL8+AM8)/2,MAX((CL8+AM8)/2,H8))))</f>
        <v>94</v>
      </c>
      <c r="AL8" s="62" t="n">
        <f aca="false">AK8*G8</f>
        <v>67570.96</v>
      </c>
      <c r="AM8" s="62" t="n">
        <f aca="false">ROUNDUP(CL8+MAX(CM8,2*(J8/IF(CH8&gt;0,CH8,MAX(0.1,N(Cockpit!$C$6)))-CL8)),0)</f>
        <v>2</v>
      </c>
      <c r="AN8" s="63" t="n">
        <f aca="false">IF(AJ8&gt;0,J8/AJ8,-1)</f>
        <v>0.00729483282674772</v>
      </c>
      <c r="AO8" s="63" t="n">
        <f aca="false">IF(AND(OR(CG8="L1",CG8="L23",CG8="LIFT"),AJ8&gt;0),SUMIFS($AJ$7:$AJ$1843,$CG$7:$CG$1843,CG8,$AN$7:$AN$1843,"&gt;"&amp;AN8)+SUMIFS($AJ$7:$AJ$1843,$CG$7:$CG$1843,CG8,$AN$7:$AN$1843,AN8,$BX$7:$BX$1843,"&lt;="&amp;BX8),"")</f>
        <v>24411.6647653194</v>
      </c>
      <c r="AP8" s="70" t="n">
        <f aca="false">IF(AO8="",0,MAX(0,MIN(1,(IF(CG8="L1",Parameter!$H$5,IF(CG8="L23",Parameter!$H$6+Parameter!$H$7,Parameter!$H$5+Parameter!$H$6+Parameter!$H$7))-(AO8-AJ8))/AJ8)))</f>
        <v>1</v>
      </c>
      <c r="AQ8" s="62" t="n">
        <f aca="false">IF(LEFT(Cockpit!$I$5,1)="A",H8,IF(Parameter!$E$30="MAX-Bestand",IF(CI8=1,CJ8,IF(LEFT(Cockpit!$I$5,1)="B",AW8,MAX(AW8,H8))),ROUNDUP(AU8,0)))</f>
        <v>94</v>
      </c>
      <c r="AR8" s="62" t="n">
        <f aca="false">IF(CA8=1,0,ROUNDUP(AQ8/BZ8,0))</f>
        <v>7</v>
      </c>
      <c r="AS8" s="64" t="n">
        <f aca="false">IF(CR8&gt;0,CR8*MAX(1,AQ8/X8),IF(CA8=1,IF(AQ8&lt;=0,0,CE8*MAX(1,IF(H8&gt;0,AQ8/H8,1))),IF(R8&gt;0,AR8/R8,0))/MAX(0.1,N(Parameter!$M$21)))</f>
        <v>1.16666666666667</v>
      </c>
      <c r="AT8" s="62" t="n">
        <f aca="false">AS8*CC8</f>
        <v>274.166666666667</v>
      </c>
      <c r="AU8" s="63" t="n">
        <f aca="false">IF(LEFT(Cockpit!$I$5,1)="A",H8,IF(CI8=1,(CL8+CJ8)/2,IF(LEFT(Cockpit!$I$5,1)="B",(CL8+AW8)/2,MAX((CL8+AW8)/2,H8))))</f>
        <v>94</v>
      </c>
      <c r="AV8" s="62" t="n">
        <f aca="false">AU8*G8</f>
        <v>67570.96</v>
      </c>
      <c r="AW8" s="62" t="n">
        <f aca="false">ROUNDUP(CL8+MAX(CM8,2*(J8/IF(CH8&gt;0,CH8,MAX(0.1,N(Cockpit!$I$6)))-CL8)),0)</f>
        <v>2</v>
      </c>
      <c r="AX8" s="63" t="n">
        <f aca="false">IF(AT8&gt;0,J8/AT8,-1)</f>
        <v>0.00729483282674772</v>
      </c>
      <c r="AY8" s="63" t="n">
        <f aca="false">IF(AND(OR(CG8="L1",CG8="L23",CG8="LIFT"),AT8&gt;0),SUMIFS($AT$7:$AT$1843,$CG$7:$CG$1843,CG8,$AX$7:$AX$1843,"&gt;"&amp;AX8)+SUMIFS($AT$7:$AT$1843,$CG$7:$CG$1843,CG8,$AX$7:$AX$1843,AX8,$BX$7:$BX$1843,"&lt;="&amp;BX8),"")</f>
        <v>29764.8134066969</v>
      </c>
      <c r="AZ8" s="70" t="n">
        <f aca="false">IF(AY8="",0,MAX(0,MIN(1,(IF(CG8="L1",Parameter!$H$5,IF(CG8="L23",Parameter!$H$6+Parameter!$H$7,Parameter!$H$5+Parameter!$H$6+Parameter!$H$7))-(AY8-AT8))/AT8)))</f>
        <v>1</v>
      </c>
      <c r="BA8" s="62" t="n">
        <f aca="false">IF(LEFT(Cockpit!$O$5,1)="A",H8,IF(Parameter!$E$30="MAX-Bestand",IF(CI8=1,CJ8,IF(LEFT(Cockpit!$O$5,1)="B",BG8,MAX(BG8,H8))),ROUNDUP(BE8,0)))</f>
        <v>1</v>
      </c>
      <c r="BB8" s="62" t="n">
        <f aca="false">IF(CA8=1,0,ROUNDUP(BA8/BZ8,0))</f>
        <v>1</v>
      </c>
      <c r="BC8" s="64" t="n">
        <f aca="false">IF(CR8&gt;0,CR8*MAX(1,BA8/X8),IF(CA8=1,IF(BA8&lt;=0,0,CE8*MAX(1,IF(H8&gt;0,BA8/H8,1))),IF(R8&gt;0,BB8/R8,0))/MAX(0.1,N(Parameter!$M$21)))</f>
        <v>0.166666666666667</v>
      </c>
      <c r="BD8" s="62" t="n">
        <f aca="false">BC8*CC8</f>
        <v>39.1666666666667</v>
      </c>
      <c r="BE8" s="63" t="n">
        <f aca="false">IF(LEFT(Cockpit!$O$5,1)="A",H8,IF(CI8=1,(CL8+CJ8)/2,IF(LEFT(Cockpit!$O$5,1)="B",(CL8+BG8)/2,MAX((CL8+BG8)/2,H8))))</f>
        <v>0.5</v>
      </c>
      <c r="BF8" s="62" t="n">
        <f aca="false">BE8*G8</f>
        <v>359.42</v>
      </c>
      <c r="BG8" s="62" t="n">
        <f aca="false">ROUNDUP(CL8+MAX(CM8,2*(J8/IF(CH8&gt;0,CH8,MAX(0.1,N(Cockpit!$O$6)))-CL8)),0)</f>
        <v>1</v>
      </c>
      <c r="BH8" s="63" t="n">
        <f aca="false">IF(BD8&gt;0,J8/BD8,-1)</f>
        <v>0.0510638297872341</v>
      </c>
      <c r="BI8" s="63" t="n">
        <f aca="false">IF(AND(OR(CG8="L1",CG8="L23",CG8="LIFT"),BD8&gt;0),SUMIFS($BD$7:$BD$1843,$CG$7:$CG$1843,CG8,$BH$7:$BH$1843,"&gt;"&amp;BH8)+SUMIFS($BD$7:$BD$1843,$CG$7:$CG$1843,CG8,$BH$7:$BH$1843,BH8,$BX$7:$BX$1843,"&lt;="&amp;BX8),"")</f>
        <v>20150.0429394052</v>
      </c>
      <c r="BJ8" s="70" t="n">
        <f aca="false">IF(BI8="",0,MAX(0,MIN(1,(IF(CG8="L1",Parameter!$H$5,IF(CG8="L23",Parameter!$H$6+Parameter!$H$7,Parameter!$H$5+Parameter!$H$6+Parameter!$H$7))-(BI8-BD8))/BD8)))</f>
        <v>1</v>
      </c>
      <c r="BK8" s="60" t="str">
        <f aca="false">IF(AJ8&lt;=0,"",IF(CG8="Aussen","Aussenlager",IF(CG8="-","Nicht im Lift",IF(AP8&gt;=1,"Lift",IF(AP8&lt;=0,"Aussenlager","teilweise")))))</f>
        <v>Lift</v>
      </c>
      <c r="BL8" s="60" t="str">
        <f aca="false">IF(AT8&lt;=0,"",IF(CG8="Aussen","Aussenlager",IF(CG8="-","Nicht im Lift",IF(AZ8&gt;=1,"Lift",IF(AZ8&lt;=0,"Aussenlager","teilweise")))))</f>
        <v>Lift</v>
      </c>
      <c r="BM8" s="60" t="str">
        <f aca="false">IF(BD8&lt;=0,"",IF(CG8="Aussen","Aussenlager",IF(CG8="-","Nicht im Lift",IF(BJ8&gt;=1,"Lift",IF(BJ8&lt;=0,"Aussenlager","teilweise")))))</f>
        <v>Lift</v>
      </c>
      <c r="BN8" s="60" t="str">
        <f aca="false">IF(A8="","",IF(BW8=1,"Neu; ","")&amp;IF(AND(BW8=0,BR8&lt;0),"negativer Bestand (Export "&amp;BR8&amp;"); ","")&amp;IF(J8&lt;=0,"Kein Verbrauch; ","")&amp;IF(CR8&gt;0,"Lift "&amp;W8&amp;" lt. Liftbericht (Fach "&amp;X8&amp;" Stk); ",IF(CB8=1,"Gebinde geschätzt ("&amp;T8&amp;"); ",IF(CA8=1,"Lose – Tablare geschätzt; ","")))&amp;IF(H8&gt;AW8,"Überbestand "&amp;ROUND(H8-AW8,0)&amp;" Stk / CHF "&amp;ROUND((H8-AW8)*G8,0)&amp;"; ","")&amp;IF(AND(CI8=1,CJ8&lt;CK8),"MAX &lt; MB+LG; ","")&amp;IF(AND(CQ8&gt;0,CP8*10&gt;CQ8),"zu hoch für Tablar; ","")&amp;IF(AND(BW8=0,OR(CI8=1,AB8&lt;&gt;"",U8&lt;&gt;"",V8&lt;&gt;"",AC8&lt;&gt;"")),"manuell übersteuert; ","")&amp;IF(AND(CA8=0,R8=0),"Gebinde unbekannt / Stellmass fehlt; ","")&amp;IF(AND(CA8=0,N(V8)&lt;=0,N(Q8)&lt;=0),"Menge pro Gebinde fehlt (Ist = 1 Gebinde); ","")&amp;BV8)</f>
        <v>Überbestand 92 Stk / CHF 66133; </v>
      </c>
      <c r="BO8" s="60" t="s">
        <v>217</v>
      </c>
      <c r="BP8" s="60" t="s">
        <v>218</v>
      </c>
      <c r="BQ8" s="67"/>
      <c r="BR8" s="62" t="n">
        <v>94</v>
      </c>
      <c r="BS8" s="62" t="n">
        <v>0</v>
      </c>
      <c r="BT8" s="61" t="n">
        <v>67570.96</v>
      </c>
      <c r="BU8" s="62" t="n">
        <v>2</v>
      </c>
      <c r="BV8" s="60"/>
      <c r="BW8" s="65" t="n">
        <v>0</v>
      </c>
      <c r="BX8" s="65" t="n">
        <v>8</v>
      </c>
      <c r="BY8" s="60" t="str">
        <f aca="false">IF(U8&lt;&gt;"",UPPER(TRIM(U8)),IF(CB8=1,UPPER(VLOOKUP(T8,Parameter!$I$27:$K$29,2,0)),IF(P8="","LOSE",P8)))</f>
        <v>S71</v>
      </c>
      <c r="BZ8" s="62" t="n">
        <f aca="false">IF(BY8="LOSE",1,IF(N(V8)&gt;0,V8,IF(CB8=1,MAX(1,N(VLOOKUP(T8,Parameter!$I$27:$K$29,3,0)),H8,N(N8)),IF(N(Q8)&gt;0,Q8,MAX(1,H8)))))</f>
        <v>14</v>
      </c>
      <c r="CA8" s="65" t="n">
        <f aca="false">IF(BY8="LOSE",1,0)</f>
        <v>0</v>
      </c>
      <c r="CB8" s="65" t="n">
        <f aca="false">IF(AND(U8="",OR(P8="",P8="LOSE"),T8&lt;&gt;"",N(S8)&lt;=0,ISNUMBER(MATCH(T8,Parameter!$I$27:$I$29,0))),1,0)</f>
        <v>0</v>
      </c>
      <c r="CC8" s="65" t="n">
        <f aca="false">IF(CR8&gt;0,INDEX(Parameter!$H$5:$H$7,W8)/INDEX(Parameter!$E$5:$E$7,W8),IF(AND(CA8=0,N(IFERROR(VLOOKUP(BY8,'Gebinde-Kategorie'!$A$5:$N$45,14,0),0))&gt;0),VLOOKUP(BY8,'Gebinde-Kategorie'!$A$5:$N$45,14,0)*10+Parameter!$M$23,Parameter!$M$24))</f>
        <v>235</v>
      </c>
      <c r="CD8" s="60" t="str">
        <f aca="false">IF(AND(Parameter!$B$19="Ja",E8&lt;&gt;"",ISNUMBER(MATCH(E8,Parameter!$I$35:$I$52,0))),VLOOKUP(E8,Parameter!$I$35:$J$52,2,0),IFERROR(VLOOKUP(D8,Parameter!$A$35:$C$64,2,0),"Nein"))</f>
        <v>2+3</v>
      </c>
      <c r="CE8" s="64" t="n">
        <f aca="false">IF(CA8=0,0,IF(N(S8)&gt;0,S8,IFERROR(VLOOKUP(D8,Parameter!$A$35:$C$64,3,0)+0,0)))</f>
        <v>0</v>
      </c>
      <c r="CF8" s="60" t="n">
        <f aca="false">IF(AB8&lt;&gt;"",AB8,AA8)</f>
        <v>2</v>
      </c>
      <c r="CG8" s="60" t="str">
        <f aca="false">IF(OR(CF8=1,CF8=2,CF8=3),IF(Parameter!$E$27="Ja","LIFT",IF(CF8=1,"L1","L23")),IF(CF8="Aussen","Aussen","-"))</f>
        <v>LIFT</v>
      </c>
      <c r="CH8" s="71" t="n">
        <f aca="false">IF(N(AC8)&gt;0,AC8,0)</f>
        <v>0</v>
      </c>
      <c r="CI8" s="65" t="n">
        <f aca="false">IF(ISNUMBER(AF8),1,0)</f>
        <v>0</v>
      </c>
      <c r="CJ8" s="62" t="n">
        <f aca="false">N(AF8)</f>
        <v>0</v>
      </c>
      <c r="CK8" s="62" t="n">
        <f aca="false">N(M8)+N(N8)</f>
        <v>1</v>
      </c>
      <c r="CL8" s="62" t="n">
        <f aca="false">N(M8)</f>
        <v>0</v>
      </c>
      <c r="CM8" s="62" t="n">
        <f aca="false">N(N8)</f>
        <v>1</v>
      </c>
      <c r="CN8" s="62" t="n">
        <f aca="false">ROUNDUP(H8/BZ8,0)</f>
        <v>7</v>
      </c>
      <c r="CO8" s="62" t="n">
        <f aca="false">ROUNDUP(CJ8/BZ8,0)</f>
        <v>0</v>
      </c>
      <c r="CP8" s="65" t="n">
        <f aca="false">IF(CA8=1,0,IFERROR(VLOOKUP(BY8,'Gebinde-Kategorie'!$A$5:$N$45,5,0)+0,0))</f>
        <v>20</v>
      </c>
      <c r="CQ8" s="65" t="n">
        <f aca="false">IFERROR(IF(OR(CF8=1,CF8=2,CF8=3),N(INDEX(Parameter!$I$5:$I$7,CF8)),0),0)</f>
        <v>0</v>
      </c>
      <c r="CR8" s="64" t="n">
        <f aca="false">IF(AND(Parameter!$B$21="Ja",ISNUMBER(W8),N(X8)&gt;0),IFERROR(N(INDEX(Parameter!$L$5:$L$7,W8))*INDEX(Parameter!$E$5:$E$7,W8)*X8/SUMIFS($X$7:$X$1843,$W$7:$W$1843,W8),0),0)</f>
        <v>0</v>
      </c>
      <c r="CS8" s="62" t="n">
        <f aca="false">IF(AND(OR(CG8="L1",CG8="L23",CG8="LIFT"),H8&gt;0),CC8*IF(CR8&gt;0,CR8*MAX(1,H8/X8),IF(CA8=1,CE8,IF(R8&gt;0,CN8/R8,0))/MAX(0.1,N(Parameter!$M$21))),"")</f>
        <v>274.166666666667</v>
      </c>
      <c r="CT8" s="64" t="n">
        <f aca="false">IF(CS8="","",J8/H8)</f>
        <v>0.0212765957446809</v>
      </c>
      <c r="CU8" s="62" t="n">
        <f aca="false">IF(CS8="","",H8*G8)</f>
        <v>67570.96</v>
      </c>
      <c r="CV8" s="63" t="n">
        <f aca="false">IF(CS8="","",(CL8+ROUNDUP(CL8+MAX(CM8,2*(J8/MAX(0.1,N(Einkauf!$C$6))-CL8)),0))/2)</f>
        <v>0.5</v>
      </c>
      <c r="CW8" s="62" t="n">
        <f aca="false">IF(CS8="","",MAX(0,H8-CV8)*G8)</f>
        <v>67211.54</v>
      </c>
      <c r="CX8" s="62" t="n">
        <f aca="false">IF(CS8="","",CS8*MAX(0,1-CV8/H8))</f>
        <v>272.708333333333</v>
      </c>
      <c r="CY8" s="64" t="n">
        <f aca="false">IF(CS8="","",PERCENTRANK($CS$7:$CS$1843,CS8)+PERCENTRANK($CU$7:$CU$1843,CU8)+1-PERCENTRANK($CT$7:$CT$1843,CT8))</f>
        <v>2.602</v>
      </c>
      <c r="CZ8" s="72" t="n">
        <f aca="false">IF(CS8="","",CHOOSE(MATCH(Einkauf!$C$5,Parameter!$G$23:$G$27,0),CY8,CS8,CU8,-CT8,CW8)+ROW()/1000000000)</f>
        <v>2.602000008</v>
      </c>
    </row>
    <row r="9" customFormat="false" ht="15" hidden="false" customHeight="false" outlineLevel="0" collapsed="false">
      <c r="A9" s="60" t="s">
        <v>219</v>
      </c>
      <c r="B9" s="60" t="s">
        <v>220</v>
      </c>
      <c r="C9" s="60" t="s">
        <v>206</v>
      </c>
      <c r="D9" s="60" t="s">
        <v>215</v>
      </c>
      <c r="E9" s="60"/>
      <c r="F9" s="60" t="s">
        <v>209</v>
      </c>
      <c r="G9" s="61" t="n">
        <v>1980</v>
      </c>
      <c r="H9" s="62" t="n">
        <f aca="false">MAX(0,IF(AND(Parameter!$B$21="Ja",ISNUMBER(Y9)),Y9,IF(Parameter!$B$20="Jahresanfang 2025 + Export",BS9+BR9,BR9)))</f>
        <v>32</v>
      </c>
      <c r="I9" s="62" t="n">
        <f aca="false">H9*G9</f>
        <v>63360</v>
      </c>
      <c r="J9" s="62" t="n">
        <f aca="false">BU9*Parameter!$B$18</f>
        <v>11</v>
      </c>
      <c r="K9" s="63" t="n">
        <v>0.5</v>
      </c>
      <c r="L9" s="64" t="n">
        <v>22</v>
      </c>
      <c r="M9" s="62" t="n">
        <v>2</v>
      </c>
      <c r="N9" s="62" t="n">
        <v>5</v>
      </c>
      <c r="O9" s="65" t="n">
        <v>80</v>
      </c>
      <c r="P9" s="60" t="s">
        <v>210</v>
      </c>
      <c r="Q9" s="62"/>
      <c r="R9" s="65" t="n">
        <f aca="false">IF(CA9=1,0,IFERROR(VLOOKUP(BY9,'Gebinde-Kategorie'!$A$5:$N$45,13,0)+0,0))</f>
        <v>12</v>
      </c>
      <c r="S9" s="66"/>
      <c r="T9" s="67" t="s">
        <v>221</v>
      </c>
      <c r="U9" s="67"/>
      <c r="V9" s="67"/>
      <c r="W9" s="60"/>
      <c r="X9" s="62"/>
      <c r="Y9" s="62"/>
      <c r="Z9" s="60" t="n">
        <v>3</v>
      </c>
      <c r="AA9" s="60" t="n">
        <f aca="false">IF(A9="","",IF(AND(Parameter!$B$21="Ja",ISNUMBER(W9)),W9,IF(AND(Parameter!$E$27="Ja",ISNUMBER(Z9),CD9&lt;&gt;"Nein"),Z9,IF(CD9="2+3",IF(ISNUMBER(SEARCH("grosser Artikel",BV9)),2,IFERROR(VLOOKUP(BY9,Parameter!$F$35:$G$64,2,0),2)),IF(OR(CD9="Nein",CD9=""),"-",CD9)))))</f>
        <v>3</v>
      </c>
      <c r="AB9" s="67"/>
      <c r="AC9" s="68"/>
      <c r="AD9" s="62" t="n">
        <f aca="false">AW9</f>
        <v>7</v>
      </c>
      <c r="AE9" s="62" t="n">
        <f aca="false">MAX(AW9,H9)</f>
        <v>32</v>
      </c>
      <c r="AF9" s="69"/>
      <c r="AG9" s="62" t="n">
        <f aca="false">IF(LEFT(Cockpit!$C$5,1)="A",H9,IF(Parameter!$E$30="MAX-Bestand",IF(CI9=1,CJ9,IF(LEFT(Cockpit!$C$5,1)="B",AM9,MAX(AM9,H9))),ROUNDUP(AK9,0)))</f>
        <v>32</v>
      </c>
      <c r="AH9" s="62" t="n">
        <f aca="false">IF(CA9=1,0,ROUNDUP(AG9/BZ9,0))</f>
        <v>1</v>
      </c>
      <c r="AI9" s="64" t="n">
        <f aca="false">IF(CR9&gt;0,CR9*MAX(1,AG9/X9),IF(CA9=1,IF(AG9&lt;=0,0,CE9*MAX(1,IF(H9&gt;0,AG9/H9,1))),IF(R9&gt;0,AH9/R9,0))/MAX(0.1,N(Parameter!$M$21)))</f>
        <v>0.0833333333333333</v>
      </c>
      <c r="AJ9" s="62" t="n">
        <f aca="false">AI9*CC9</f>
        <v>12.0833333333333</v>
      </c>
      <c r="AK9" s="63" t="n">
        <f aca="false">IF(LEFT(Cockpit!$C$5,1)="A",H9,IF(CI9=1,(CL9+CJ9)/2,IF(LEFT(Cockpit!$C$5,1)="B",(CL9+AM9)/2,MAX((CL9+AM9)/2,H9))))</f>
        <v>32</v>
      </c>
      <c r="AL9" s="62" t="n">
        <f aca="false">AK9*G9</f>
        <v>63360</v>
      </c>
      <c r="AM9" s="62" t="n">
        <f aca="false">ROUNDUP(CL9+MAX(CM9,2*(J9/IF(CH9&gt;0,CH9,MAX(0.1,N(Cockpit!$C$6)))-CL9)),0)</f>
        <v>7</v>
      </c>
      <c r="AN9" s="63" t="n">
        <f aca="false">IF(AJ9&gt;0,J9/AJ9,-1)</f>
        <v>0.910344827586207</v>
      </c>
      <c r="AO9" s="63" t="n">
        <f aca="false">IF(AND(OR(CG9="L1",CG9="L23",CG9="LIFT"),AJ9&gt;0),SUMIFS($AJ$7:$AJ$1843,$CG$7:$CG$1843,CG9,$AN$7:$AN$1843,"&gt;"&amp;AN9)+SUMIFS($AJ$7:$AJ$1843,$CG$7:$CG$1843,CG9,$AN$7:$AN$1843,AN9,$BX$7:$BX$1843,"&lt;="&amp;BX9),"")</f>
        <v>7406.78891941392</v>
      </c>
      <c r="AP9" s="70" t="n">
        <f aca="false">IF(AO9="",0,MAX(0,MIN(1,(IF(CG9="L1",Parameter!$H$5,IF(CG9="L23",Parameter!$H$6+Parameter!$H$7,Parameter!$H$5+Parameter!$H$6+Parameter!$H$7))-(AO9-AJ9))/AJ9)))</f>
        <v>1</v>
      </c>
      <c r="AQ9" s="62" t="n">
        <f aca="false">IF(LEFT(Cockpit!$I$5,1)="A",H9,IF(Parameter!$E$30="MAX-Bestand",IF(CI9=1,CJ9,IF(LEFT(Cockpit!$I$5,1)="B",AW9,MAX(AW9,H9))),ROUNDUP(AU9,0)))</f>
        <v>32</v>
      </c>
      <c r="AR9" s="62" t="n">
        <f aca="false">IF(CA9=1,0,ROUNDUP(AQ9/BZ9,0))</f>
        <v>1</v>
      </c>
      <c r="AS9" s="64" t="n">
        <f aca="false">IF(CR9&gt;0,CR9*MAX(1,AQ9/X9),IF(CA9=1,IF(AQ9&lt;=0,0,CE9*MAX(1,IF(H9&gt;0,AQ9/H9,1))),IF(R9&gt;0,AR9/R9,0))/MAX(0.1,N(Parameter!$M$21)))</f>
        <v>0.0833333333333333</v>
      </c>
      <c r="AT9" s="62" t="n">
        <f aca="false">AS9*CC9</f>
        <v>12.0833333333333</v>
      </c>
      <c r="AU9" s="63" t="n">
        <f aca="false">IF(LEFT(Cockpit!$I$5,1)="A",H9,IF(CI9=1,(CL9+CJ9)/2,IF(LEFT(Cockpit!$I$5,1)="B",(CL9+AW9)/2,MAX((CL9+AW9)/2,H9))))</f>
        <v>32</v>
      </c>
      <c r="AV9" s="62" t="n">
        <f aca="false">AU9*G9</f>
        <v>63360</v>
      </c>
      <c r="AW9" s="62" t="n">
        <f aca="false">ROUNDUP(CL9+MAX(CM9,2*(J9/IF(CH9&gt;0,CH9,MAX(0.1,N(Cockpit!$I$6)))-CL9)),0)</f>
        <v>7</v>
      </c>
      <c r="AX9" s="63" t="n">
        <f aca="false">IF(AT9&gt;0,J9/AT9,-1)</f>
        <v>0.910344827586207</v>
      </c>
      <c r="AY9" s="63" t="n">
        <f aca="false">IF(AND(OR(CG9="L1",CG9="L23",CG9="LIFT"),AT9&gt;0),SUMIFS($AT$7:$AT$1843,$CG$7:$CG$1843,CG9,$AX$7:$AX$1843,"&gt;"&amp;AX9)+SUMIFS($AT$7:$AT$1843,$CG$7:$CG$1843,CG9,$AX$7:$AX$1843,AX9,$BX$7:$BX$1843,"&lt;="&amp;BX9),"")</f>
        <v>8981.22893772894</v>
      </c>
      <c r="AZ9" s="70" t="n">
        <f aca="false">IF(AY9="",0,MAX(0,MIN(1,(IF(CG9="L1",Parameter!$H$5,IF(CG9="L23",Parameter!$H$6+Parameter!$H$7,Parameter!$H$5+Parameter!$H$6+Parameter!$H$7))-(AY9-AT9))/AT9)))</f>
        <v>1</v>
      </c>
      <c r="BA9" s="62" t="n">
        <f aca="false">IF(LEFT(Cockpit!$O$5,1)="A",H9,IF(Parameter!$E$30="MAX-Bestand",IF(CI9=1,CJ9,IF(LEFT(Cockpit!$O$5,1)="B",BG9,MAX(BG9,H9))),ROUNDUP(BE9,0)))</f>
        <v>5</v>
      </c>
      <c r="BB9" s="62" t="n">
        <f aca="false">IF(CA9=1,0,ROUNDUP(BA9/BZ9,0))</f>
        <v>1</v>
      </c>
      <c r="BC9" s="64" t="n">
        <f aca="false">IF(CR9&gt;0,CR9*MAX(1,BA9/X9),IF(CA9=1,IF(BA9&lt;=0,0,CE9*MAX(1,IF(H9&gt;0,BA9/H9,1))),IF(R9&gt;0,BB9/R9,0))/MAX(0.1,N(Parameter!$M$21)))</f>
        <v>0.0833333333333333</v>
      </c>
      <c r="BD9" s="62" t="n">
        <f aca="false">BC9*CC9</f>
        <v>12.0833333333333</v>
      </c>
      <c r="BE9" s="63" t="n">
        <f aca="false">IF(LEFT(Cockpit!$O$5,1)="A",H9,IF(CI9=1,(CL9+CJ9)/2,IF(LEFT(Cockpit!$O$5,1)="B",(CL9+BG9)/2,MAX((CL9+BG9)/2,H9))))</f>
        <v>4.5</v>
      </c>
      <c r="BF9" s="62" t="n">
        <f aca="false">BE9*G9</f>
        <v>8910</v>
      </c>
      <c r="BG9" s="62" t="n">
        <f aca="false">ROUNDUP(CL9+MAX(CM9,2*(J9/IF(CH9&gt;0,CH9,MAX(0.1,N(Cockpit!$O$6)))-CL9)),0)</f>
        <v>7</v>
      </c>
      <c r="BH9" s="63" t="n">
        <f aca="false">IF(BD9&gt;0,J9/BD9,-1)</f>
        <v>0.910344827586207</v>
      </c>
      <c r="BI9" s="63" t="n">
        <f aca="false">IF(AND(OR(CG9="L1",CG9="L23",CG9="LIFT"),BD9&gt;0),SUMIFS($BD$7:$BD$1843,$CG$7:$CG$1843,CG9,$BH$7:$BH$1843,"&gt;"&amp;BH9)+SUMIFS($BD$7:$BD$1843,$CG$7:$CG$1843,CG9,$BH$7:$BH$1843,BH9,$BX$7:$BX$1843,"&lt;="&amp;BX9),"")</f>
        <v>8179.66254578755</v>
      </c>
      <c r="BJ9" s="70" t="n">
        <f aca="false">IF(BI9="",0,MAX(0,MIN(1,(IF(CG9="L1",Parameter!$H$5,IF(CG9="L23",Parameter!$H$6+Parameter!$H$7,Parameter!$H$5+Parameter!$H$6+Parameter!$H$7))-(BI9-BD9))/BD9)))</f>
        <v>1</v>
      </c>
      <c r="BK9" s="60" t="str">
        <f aca="false">IF(AJ9&lt;=0,"",IF(CG9="Aussen","Aussenlager",IF(CG9="-","Nicht im Lift",IF(AP9&gt;=1,"Lift",IF(AP9&lt;=0,"Aussenlager","teilweise")))))</f>
        <v>Lift</v>
      </c>
      <c r="BL9" s="60" t="str">
        <f aca="false">IF(AT9&lt;=0,"",IF(CG9="Aussen","Aussenlager",IF(CG9="-","Nicht im Lift",IF(AZ9&gt;=1,"Lift",IF(AZ9&lt;=0,"Aussenlager","teilweise")))))</f>
        <v>Lift</v>
      </c>
      <c r="BM9" s="60" t="str">
        <f aca="false">IF(BD9&lt;=0,"",IF(CG9="Aussen","Aussenlager",IF(CG9="-","Nicht im Lift",IF(BJ9&gt;=1,"Lift",IF(BJ9&lt;=0,"Aussenlager","teilweise")))))</f>
        <v>Lift</v>
      </c>
      <c r="BN9" s="60" t="str">
        <f aca="false">IF(A9="","",IF(BW9=1,"Neu; ","")&amp;IF(AND(BW9=0,BR9&lt;0),"negativer Bestand (Export "&amp;BR9&amp;"); ","")&amp;IF(J9&lt;=0,"Kein Verbrauch; ","")&amp;IF(CR9&gt;0,"Lift "&amp;W9&amp;" lt. Liftbericht (Fach "&amp;X9&amp;" Stk); ",IF(CB9=1,"Gebinde geschätzt ("&amp;T9&amp;"); ",IF(CA9=1,"Lose – Tablare geschätzt; ","")))&amp;IF(H9&gt;AW9,"Überbestand "&amp;ROUND(H9-AW9,0)&amp;" Stk / CHF "&amp;ROUND((H9-AW9)*G9,0)&amp;"; ","")&amp;IF(AND(CI9=1,CJ9&lt;CK9),"MAX &lt; MB+LG; ","")&amp;IF(AND(CQ9&gt;0,CP9*10&gt;CQ9),"zu hoch für Tablar; ","")&amp;IF(AND(BW9=0,OR(CI9=1,AB9&lt;&gt;"",U9&lt;&gt;"",V9&lt;&gt;"",AC9&lt;&gt;"")),"manuell übersteuert; ","")&amp;IF(AND(CA9=0,R9=0),"Gebinde unbekannt / Stellmass fehlt; ","")&amp;IF(AND(CA9=0,N(V9)&lt;=0,N(Q9)&lt;=0),"Menge pro Gebinde fehlt (Ist = 1 Gebinde); ","")&amp;BV9)</f>
        <v>Gebinde geschätzt (Mittel); Überbestand 25 Stk / CHF 49500; Menge pro Gebinde fehlt (Ist = 1 Gebinde); </v>
      </c>
      <c r="BO9" s="60"/>
      <c r="BP9" s="60"/>
      <c r="BQ9" s="67"/>
      <c r="BR9" s="62" t="n">
        <v>32</v>
      </c>
      <c r="BS9" s="62" t="n">
        <v>0</v>
      </c>
      <c r="BT9" s="61" t="n">
        <v>63360</v>
      </c>
      <c r="BU9" s="62" t="n">
        <v>11</v>
      </c>
      <c r="BV9" s="60"/>
      <c r="BW9" s="65" t="n">
        <v>0</v>
      </c>
      <c r="BX9" s="65" t="n">
        <v>9</v>
      </c>
      <c r="BY9" s="60" t="str">
        <f aca="false">IF(U9&lt;&gt;"",UPPER(TRIM(U9)),IF(CB9=1,UPPER(VLOOKUP(T9,Parameter!$I$27:$K$29,2,0)),IF(P9="","LOSE",P9)))</f>
        <v>S61</v>
      </c>
      <c r="BZ9" s="62" t="n">
        <f aca="false">IF(BY9="LOSE",1,IF(N(V9)&gt;0,V9,IF(CB9=1,MAX(1,N(VLOOKUP(T9,Parameter!$I$27:$K$29,3,0)),H9,N(N9)),IF(N(Q9)&gt;0,Q9,MAX(1,H9)))))</f>
        <v>32</v>
      </c>
      <c r="CA9" s="65" t="n">
        <f aca="false">IF(BY9="LOSE",1,0)</f>
        <v>0</v>
      </c>
      <c r="CB9" s="65" t="n">
        <f aca="false">IF(AND(U9="",OR(P9="",P9="LOSE"),T9&lt;&gt;"",N(S9)&lt;=0,ISNUMBER(MATCH(T9,Parameter!$I$27:$I$29,0))),1,0)</f>
        <v>1</v>
      </c>
      <c r="CC9" s="65" t="n">
        <f aca="false">IF(CR9&gt;0,INDEX(Parameter!$H$5:$H$7,W9)/INDEX(Parameter!$E$5:$E$7,W9),IF(AND(CA9=0,N(IFERROR(VLOOKUP(BY9,'Gebinde-Kategorie'!$A$5:$N$45,14,0),0))&gt;0),VLOOKUP(BY9,'Gebinde-Kategorie'!$A$5:$N$45,14,0)*10+Parameter!$M$23,Parameter!$M$24))</f>
        <v>145</v>
      </c>
      <c r="CD9" s="60" t="str">
        <f aca="false">IF(AND(Parameter!$B$19="Ja",E9&lt;&gt;"",ISNUMBER(MATCH(E9,Parameter!$I$35:$I$52,0))),VLOOKUP(E9,Parameter!$I$35:$J$52,2,0),IFERROR(VLOOKUP(D9,Parameter!$A$35:$C$64,2,0),"Nein"))</f>
        <v>2+3</v>
      </c>
      <c r="CE9" s="64" t="n">
        <f aca="false">IF(CA9=0,0,IF(N(S9)&gt;0,S9,IFERROR(VLOOKUP(D9,Parameter!$A$35:$C$64,3,0)+0,0)))</f>
        <v>0</v>
      </c>
      <c r="CF9" s="60" t="n">
        <f aca="false">IF(AB9&lt;&gt;"",AB9,AA9)</f>
        <v>3</v>
      </c>
      <c r="CG9" s="60" t="str">
        <f aca="false">IF(OR(CF9=1,CF9=2,CF9=3),IF(Parameter!$E$27="Ja","LIFT",IF(CF9=1,"L1","L23")),IF(CF9="Aussen","Aussen","-"))</f>
        <v>LIFT</v>
      </c>
      <c r="CH9" s="71" t="n">
        <f aca="false">IF(N(AC9)&gt;0,AC9,0)</f>
        <v>0</v>
      </c>
      <c r="CI9" s="65" t="n">
        <f aca="false">IF(ISNUMBER(AF9),1,0)</f>
        <v>0</v>
      </c>
      <c r="CJ9" s="62" t="n">
        <f aca="false">N(AF9)</f>
        <v>0</v>
      </c>
      <c r="CK9" s="62" t="n">
        <f aca="false">N(M9)+N(N9)</f>
        <v>7</v>
      </c>
      <c r="CL9" s="62" t="n">
        <f aca="false">N(M9)</f>
        <v>2</v>
      </c>
      <c r="CM9" s="62" t="n">
        <f aca="false">N(N9)</f>
        <v>5</v>
      </c>
      <c r="CN9" s="62" t="n">
        <f aca="false">ROUNDUP(H9/BZ9,0)</f>
        <v>1</v>
      </c>
      <c r="CO9" s="62" t="n">
        <f aca="false">ROUNDUP(CJ9/BZ9,0)</f>
        <v>0</v>
      </c>
      <c r="CP9" s="65" t="n">
        <f aca="false">IF(CA9=1,0,IFERROR(VLOOKUP(BY9,'Gebinde-Kategorie'!$A$5:$N$45,5,0)+0,0))</f>
        <v>11</v>
      </c>
      <c r="CQ9" s="65" t="n">
        <f aca="false">IFERROR(IF(OR(CF9=1,CF9=2,CF9=3),N(INDEX(Parameter!$I$5:$I$7,CF9)),0),0)</f>
        <v>0</v>
      </c>
      <c r="CR9" s="64" t="n">
        <f aca="false">IF(AND(Parameter!$B$21="Ja",ISNUMBER(W9),N(X9)&gt;0),IFERROR(N(INDEX(Parameter!$L$5:$L$7,W9))*INDEX(Parameter!$E$5:$E$7,W9)*X9/SUMIFS($X$7:$X$1843,$W$7:$W$1843,W9),0),0)</f>
        <v>0</v>
      </c>
      <c r="CS9" s="62" t="n">
        <f aca="false">IF(AND(OR(CG9="L1",CG9="L23",CG9="LIFT"),H9&gt;0),CC9*IF(CR9&gt;0,CR9*MAX(1,H9/X9),IF(CA9=1,CE9,IF(R9&gt;0,CN9/R9,0))/MAX(0.1,N(Parameter!$M$21))),"")</f>
        <v>12.0833333333333</v>
      </c>
      <c r="CT9" s="64" t="n">
        <f aca="false">IF(CS9="","",J9/H9)</f>
        <v>0.34375</v>
      </c>
      <c r="CU9" s="62" t="n">
        <f aca="false">IF(CS9="","",H9*G9)</f>
        <v>63360</v>
      </c>
      <c r="CV9" s="63" t="n">
        <f aca="false">IF(CS9="","",(CL9+ROUNDUP(CL9+MAX(CM9,2*(J9/MAX(0.1,N(Einkauf!$C$6))-CL9)),0))/2)</f>
        <v>4.5</v>
      </c>
      <c r="CW9" s="62" t="n">
        <f aca="false">IF(CS9="","",MAX(0,H9-CV9)*G9)</f>
        <v>54450</v>
      </c>
      <c r="CX9" s="62" t="n">
        <f aca="false">IF(CS9="","",CS9*MAX(0,1-CV9/H9))</f>
        <v>10.3841145833333</v>
      </c>
      <c r="CY9" s="64" t="n">
        <f aca="false">IF(CS9="","",PERCENTRANK($CS$7:$CS$1843,CS9)+PERCENTRANK($CU$7:$CU$1843,CU9)+1-PERCENTRANK($CT$7:$CT$1843,CT9))</f>
        <v>2.142</v>
      </c>
      <c r="CZ9" s="72" t="n">
        <f aca="false">IF(CS9="","",CHOOSE(MATCH(Einkauf!$C$5,Parameter!$G$23:$G$27,0),CY9,CS9,CU9,-CT9,CW9)+ROW()/1000000000)</f>
        <v>2.142000009</v>
      </c>
    </row>
    <row r="10" customFormat="false" ht="15" hidden="false" customHeight="false" outlineLevel="0" collapsed="false">
      <c r="A10" s="60" t="s">
        <v>222</v>
      </c>
      <c r="B10" s="60" t="s">
        <v>223</v>
      </c>
      <c r="C10" s="60" t="s">
        <v>206</v>
      </c>
      <c r="D10" s="60" t="s">
        <v>215</v>
      </c>
      <c r="E10" s="60"/>
      <c r="F10" s="60" t="s">
        <v>209</v>
      </c>
      <c r="G10" s="61" t="n">
        <v>5151.64</v>
      </c>
      <c r="H10" s="62" t="n">
        <f aca="false">MAX(0,IF(AND(Parameter!$B$21="Ja",ISNUMBER(Y10)),Y10,IF(Parameter!$B$20="Jahresanfang 2025 + Export",BS10+BR10,BR10)))</f>
        <v>11</v>
      </c>
      <c r="I10" s="62" t="n">
        <f aca="false">H10*G10</f>
        <v>56668.04</v>
      </c>
      <c r="J10" s="62" t="n">
        <f aca="false">BU10*Parameter!$B$18</f>
        <v>20</v>
      </c>
      <c r="K10" s="63" t="n">
        <v>12</v>
      </c>
      <c r="L10" s="64" t="n">
        <v>1.66666666666667</v>
      </c>
      <c r="M10" s="62" t="n">
        <v>5</v>
      </c>
      <c r="N10" s="62" t="n">
        <v>5</v>
      </c>
      <c r="O10" s="65" t="n">
        <v>28</v>
      </c>
      <c r="P10" s="60" t="s">
        <v>210</v>
      </c>
      <c r="Q10" s="62"/>
      <c r="R10" s="65" t="n">
        <f aca="false">IF(CA10=1,0,IFERROR(VLOOKUP(BY10,'Gebinde-Kategorie'!$A$5:$N$45,13,0)+0,0))</f>
        <v>12</v>
      </c>
      <c r="S10" s="66"/>
      <c r="T10" s="67" t="s">
        <v>221</v>
      </c>
      <c r="U10" s="67"/>
      <c r="V10" s="67"/>
      <c r="W10" s="60"/>
      <c r="X10" s="62"/>
      <c r="Y10" s="62"/>
      <c r="Z10" s="60" t="n">
        <v>3</v>
      </c>
      <c r="AA10" s="60" t="n">
        <f aca="false">IF(A10="","",IF(AND(Parameter!$B$21="Ja",ISNUMBER(W10)),W10,IF(AND(Parameter!$E$27="Ja",ISNUMBER(Z10),CD10&lt;&gt;"Nein"),Z10,IF(CD10="2+3",IF(ISNUMBER(SEARCH("grosser Artikel",BV10)),2,IFERROR(VLOOKUP(BY10,Parameter!$F$35:$G$64,2,0),2)),IF(OR(CD10="Nein",CD10=""),"-",CD10)))))</f>
        <v>3</v>
      </c>
      <c r="AB10" s="67"/>
      <c r="AC10" s="68"/>
      <c r="AD10" s="62" t="n">
        <f aca="false">AW10</f>
        <v>10</v>
      </c>
      <c r="AE10" s="62" t="n">
        <f aca="false">MAX(AW10,H10)</f>
        <v>11</v>
      </c>
      <c r="AF10" s="69"/>
      <c r="AG10" s="62" t="n">
        <f aca="false">IF(LEFT(Cockpit!$C$5,1)="A",H10,IF(Parameter!$E$30="MAX-Bestand",IF(CI10=1,CJ10,IF(LEFT(Cockpit!$C$5,1)="B",AM10,MAX(AM10,H10))),ROUNDUP(AK10,0)))</f>
        <v>11</v>
      </c>
      <c r="AH10" s="62" t="n">
        <f aca="false">IF(CA10=1,0,ROUNDUP(AG10/BZ10,0))</f>
        <v>1</v>
      </c>
      <c r="AI10" s="64" t="n">
        <f aca="false">IF(CR10&gt;0,CR10*MAX(1,AG10/X10),IF(CA10=1,IF(AG10&lt;=0,0,CE10*MAX(1,IF(H10&gt;0,AG10/H10,1))),IF(R10&gt;0,AH10/R10,0))/MAX(0.1,N(Parameter!$M$21)))</f>
        <v>0.0833333333333333</v>
      </c>
      <c r="AJ10" s="62" t="n">
        <f aca="false">AI10*CC10</f>
        <v>12.0833333333333</v>
      </c>
      <c r="AK10" s="63" t="n">
        <f aca="false">IF(LEFT(Cockpit!$C$5,1)="A",H10,IF(CI10=1,(CL10+CJ10)/2,IF(LEFT(Cockpit!$C$5,1)="B",(CL10+AM10)/2,MAX((CL10+AM10)/2,H10))))</f>
        <v>11</v>
      </c>
      <c r="AL10" s="62" t="n">
        <f aca="false">AK10*G10</f>
        <v>56668.04</v>
      </c>
      <c r="AM10" s="62" t="n">
        <f aca="false">ROUNDUP(CL10+MAX(CM10,2*(J10/IF(CH10&gt;0,CH10,MAX(0.1,N(Cockpit!$C$6)))-CL10)),0)</f>
        <v>10</v>
      </c>
      <c r="AN10" s="63" t="n">
        <f aca="false">IF(AJ10&gt;0,J10/AJ10,-1)</f>
        <v>1.6551724137931</v>
      </c>
      <c r="AO10" s="63" t="n">
        <f aca="false">IF(AND(OR(CG10="L1",CG10="L23",CG10="LIFT"),AJ10&gt;0),SUMIFS($AJ$7:$AJ$1843,$CG$7:$CG$1843,CG10,$AN$7:$AN$1843,"&gt;"&amp;AN10)+SUMIFS($AJ$7:$AJ$1843,$CG$7:$CG$1843,CG10,$AN$7:$AN$1843,AN10,$BX$7:$BX$1843,"&lt;="&amp;BX10),"")</f>
        <v>6116.69276556777</v>
      </c>
      <c r="AP10" s="70" t="n">
        <f aca="false">IF(AO10="",0,MAX(0,MIN(1,(IF(CG10="L1",Parameter!$H$5,IF(CG10="L23",Parameter!$H$6+Parameter!$H$7,Parameter!$H$5+Parameter!$H$6+Parameter!$H$7))-(AO10-AJ10))/AJ10)))</f>
        <v>1</v>
      </c>
      <c r="AQ10" s="62" t="n">
        <f aca="false">IF(LEFT(Cockpit!$I$5,1)="A",H10,IF(Parameter!$E$30="MAX-Bestand",IF(CI10=1,CJ10,IF(LEFT(Cockpit!$I$5,1)="B",AW10,MAX(AW10,H10))),ROUNDUP(AU10,0)))</f>
        <v>11</v>
      </c>
      <c r="AR10" s="62" t="n">
        <f aca="false">IF(CA10=1,0,ROUNDUP(AQ10/BZ10,0))</f>
        <v>1</v>
      </c>
      <c r="AS10" s="64" t="n">
        <f aca="false">IF(CR10&gt;0,CR10*MAX(1,AQ10/X10),IF(CA10=1,IF(AQ10&lt;=0,0,CE10*MAX(1,IF(H10&gt;0,AQ10/H10,1))),IF(R10&gt;0,AR10/R10,0))/MAX(0.1,N(Parameter!$M$21)))</f>
        <v>0.0833333333333333</v>
      </c>
      <c r="AT10" s="62" t="n">
        <f aca="false">AS10*CC10</f>
        <v>12.0833333333333</v>
      </c>
      <c r="AU10" s="63" t="n">
        <f aca="false">IF(LEFT(Cockpit!$I$5,1)="A",H10,IF(CI10=1,(CL10+CJ10)/2,IF(LEFT(Cockpit!$I$5,1)="B",(CL10+AW10)/2,MAX((CL10+AW10)/2,H10))))</f>
        <v>11</v>
      </c>
      <c r="AV10" s="62" t="n">
        <f aca="false">AU10*G10</f>
        <v>56668.04</v>
      </c>
      <c r="AW10" s="62" t="n">
        <f aca="false">ROUNDUP(CL10+MAX(CM10,2*(J10/IF(CH10&gt;0,CH10,MAX(0.1,N(Cockpit!$I$6)))-CL10)),0)</f>
        <v>10</v>
      </c>
      <c r="AX10" s="63" t="n">
        <f aca="false">IF(AT10&gt;0,J10/AT10,-1)</f>
        <v>1.6551724137931</v>
      </c>
      <c r="AY10" s="63" t="n">
        <f aca="false">IF(AND(OR(CG10="L1",CG10="L23",CG10="LIFT"),AT10&gt;0),SUMIFS($AT$7:$AT$1843,$CG$7:$CG$1843,CG10,$AX$7:$AX$1843,"&gt;"&amp;AX10)+SUMIFS($AT$7:$AT$1843,$CG$7:$CG$1843,CG10,$AX$7:$AX$1843,AX10,$BX$7:$BX$1843,"&lt;="&amp;BX10),"")</f>
        <v>7556.5815018315</v>
      </c>
      <c r="AZ10" s="70" t="n">
        <f aca="false">IF(AY10="",0,MAX(0,MIN(1,(IF(CG10="L1",Parameter!$H$5,IF(CG10="L23",Parameter!$H$6+Parameter!$H$7,Parameter!$H$5+Parameter!$H$6+Parameter!$H$7))-(AY10-AT10))/AT10)))</f>
        <v>1</v>
      </c>
      <c r="BA10" s="62" t="n">
        <f aca="false">IF(LEFT(Cockpit!$O$5,1)="A",H10,IF(Parameter!$E$30="MAX-Bestand",IF(CI10=1,CJ10,IF(LEFT(Cockpit!$O$5,1)="B",BG10,MAX(BG10,H10))),ROUNDUP(BE10,0)))</f>
        <v>8</v>
      </c>
      <c r="BB10" s="62" t="n">
        <f aca="false">IF(CA10=1,0,ROUNDUP(BA10/BZ10,0))</f>
        <v>1</v>
      </c>
      <c r="BC10" s="64" t="n">
        <f aca="false">IF(CR10&gt;0,CR10*MAX(1,BA10/X10),IF(CA10=1,IF(BA10&lt;=0,0,CE10*MAX(1,IF(H10&gt;0,BA10/H10,1))),IF(R10&gt;0,BB10/R10,0))/MAX(0.1,N(Parameter!$M$21)))</f>
        <v>0.0833333333333333</v>
      </c>
      <c r="BD10" s="62" t="n">
        <f aca="false">BC10*CC10</f>
        <v>12.0833333333333</v>
      </c>
      <c r="BE10" s="63" t="n">
        <f aca="false">IF(LEFT(Cockpit!$O$5,1)="A",H10,IF(CI10=1,(CL10+CJ10)/2,IF(LEFT(Cockpit!$O$5,1)="B",(CL10+BG10)/2,MAX((CL10+BG10)/2,H10))))</f>
        <v>7.5</v>
      </c>
      <c r="BF10" s="62" t="n">
        <f aca="false">BE10*G10</f>
        <v>38637.3</v>
      </c>
      <c r="BG10" s="62" t="n">
        <f aca="false">ROUNDUP(CL10+MAX(CM10,2*(J10/IF(CH10&gt;0,CH10,MAX(0.1,N(Cockpit!$O$6)))-CL10)),0)</f>
        <v>10</v>
      </c>
      <c r="BH10" s="63" t="n">
        <f aca="false">IF(BD10&gt;0,J10/BD10,-1)</f>
        <v>1.6551724137931</v>
      </c>
      <c r="BI10" s="63" t="n">
        <f aca="false">IF(AND(OR(CG10="L1",CG10="L23",CG10="LIFT"),BD10&gt;0),SUMIFS($BD$7:$BD$1843,$CG$7:$CG$1843,CG10,$BH$7:$BH$1843,"&gt;"&amp;BH10)+SUMIFS($BD$7:$BD$1843,$CG$7:$CG$1843,CG10,$BH$7:$BH$1843,BH10,$BX$7:$BX$1843,"&lt;="&amp;BX10),"")</f>
        <v>6388.09203296703</v>
      </c>
      <c r="BJ10" s="70" t="n">
        <f aca="false">IF(BI10="",0,MAX(0,MIN(1,(IF(CG10="L1",Parameter!$H$5,IF(CG10="L23",Parameter!$H$6+Parameter!$H$7,Parameter!$H$5+Parameter!$H$6+Parameter!$H$7))-(BI10-BD10))/BD10)))</f>
        <v>1</v>
      </c>
      <c r="BK10" s="60" t="str">
        <f aca="false">IF(AJ10&lt;=0,"",IF(CG10="Aussen","Aussenlager",IF(CG10="-","Nicht im Lift",IF(AP10&gt;=1,"Lift",IF(AP10&lt;=0,"Aussenlager","teilweise")))))</f>
        <v>Lift</v>
      </c>
      <c r="BL10" s="60" t="str">
        <f aca="false">IF(AT10&lt;=0,"",IF(CG10="Aussen","Aussenlager",IF(CG10="-","Nicht im Lift",IF(AZ10&gt;=1,"Lift",IF(AZ10&lt;=0,"Aussenlager","teilweise")))))</f>
        <v>Lift</v>
      </c>
      <c r="BM10" s="60" t="str">
        <f aca="false">IF(BD10&lt;=0,"",IF(CG10="Aussen","Aussenlager",IF(CG10="-","Nicht im Lift",IF(BJ10&gt;=1,"Lift",IF(BJ10&lt;=0,"Aussenlager","teilweise")))))</f>
        <v>Lift</v>
      </c>
      <c r="BN10" s="60" t="str">
        <f aca="false">IF(A10="","",IF(BW10=1,"Neu; ","")&amp;IF(AND(BW10=0,BR10&lt;0),"negativer Bestand (Export "&amp;BR10&amp;"); ","")&amp;IF(J10&lt;=0,"Kein Verbrauch; ","")&amp;IF(CR10&gt;0,"Lift "&amp;W10&amp;" lt. Liftbericht (Fach "&amp;X10&amp;" Stk); ",IF(CB10=1,"Gebinde geschätzt ("&amp;T10&amp;"); ",IF(CA10=1,"Lose – Tablare geschätzt; ","")))&amp;IF(H10&gt;AW10,"Überbestand "&amp;ROUND(H10-AW10,0)&amp;" Stk / CHF "&amp;ROUND((H10-AW10)*G10,0)&amp;"; ","")&amp;IF(AND(CI10=1,CJ10&lt;CK10),"MAX &lt; MB+LG; ","")&amp;IF(AND(CQ10&gt;0,CP10*10&gt;CQ10),"zu hoch für Tablar; ","")&amp;IF(AND(BW10=0,OR(CI10=1,AB10&lt;&gt;"",U10&lt;&gt;"",V10&lt;&gt;"",AC10&lt;&gt;"")),"manuell übersteuert; ","")&amp;IF(AND(CA10=0,R10=0),"Gebinde unbekannt / Stellmass fehlt; ","")&amp;IF(AND(CA10=0,N(V10)&lt;=0,N(Q10)&lt;=0),"Menge pro Gebinde fehlt (Ist = 1 Gebinde); ","")&amp;BV10)</f>
        <v>Gebinde geschätzt (Mittel); Überbestand 1 Stk / CHF 5152; Menge pro Gebinde fehlt (Ist = 1 Gebinde); </v>
      </c>
      <c r="BO10" s="60"/>
      <c r="BP10" s="60"/>
      <c r="BQ10" s="67"/>
      <c r="BR10" s="62" t="n">
        <v>11</v>
      </c>
      <c r="BS10" s="62" t="n">
        <v>0</v>
      </c>
      <c r="BT10" s="61" t="n">
        <v>56668.07</v>
      </c>
      <c r="BU10" s="62" t="n">
        <v>20</v>
      </c>
      <c r="BV10" s="60"/>
      <c r="BW10" s="65" t="n">
        <v>0</v>
      </c>
      <c r="BX10" s="65" t="n">
        <v>10</v>
      </c>
      <c r="BY10" s="60" t="str">
        <f aca="false">IF(U10&lt;&gt;"",UPPER(TRIM(U10)),IF(CB10=1,UPPER(VLOOKUP(T10,Parameter!$I$27:$K$29,2,0)),IF(P10="","LOSE",P10)))</f>
        <v>S61</v>
      </c>
      <c r="BZ10" s="62" t="n">
        <f aca="false">IF(BY10="LOSE",1,IF(N(V10)&gt;0,V10,IF(CB10=1,MAX(1,N(VLOOKUP(T10,Parameter!$I$27:$K$29,3,0)),H10,N(N10)),IF(N(Q10)&gt;0,Q10,MAX(1,H10)))))</f>
        <v>11</v>
      </c>
      <c r="CA10" s="65" t="n">
        <f aca="false">IF(BY10="LOSE",1,0)</f>
        <v>0</v>
      </c>
      <c r="CB10" s="65" t="n">
        <f aca="false">IF(AND(U10="",OR(P10="",P10="LOSE"),T10&lt;&gt;"",N(S10)&lt;=0,ISNUMBER(MATCH(T10,Parameter!$I$27:$I$29,0))),1,0)</f>
        <v>1</v>
      </c>
      <c r="CC10" s="65" t="n">
        <f aca="false">IF(CR10&gt;0,INDEX(Parameter!$H$5:$H$7,W10)/INDEX(Parameter!$E$5:$E$7,W10),IF(AND(CA10=0,N(IFERROR(VLOOKUP(BY10,'Gebinde-Kategorie'!$A$5:$N$45,14,0),0))&gt;0),VLOOKUP(BY10,'Gebinde-Kategorie'!$A$5:$N$45,14,0)*10+Parameter!$M$23,Parameter!$M$24))</f>
        <v>145</v>
      </c>
      <c r="CD10" s="60" t="str">
        <f aca="false">IF(AND(Parameter!$B$19="Ja",E10&lt;&gt;"",ISNUMBER(MATCH(E10,Parameter!$I$35:$I$52,0))),VLOOKUP(E10,Parameter!$I$35:$J$52,2,0),IFERROR(VLOOKUP(D10,Parameter!$A$35:$C$64,2,0),"Nein"))</f>
        <v>2+3</v>
      </c>
      <c r="CE10" s="64" t="n">
        <f aca="false">IF(CA10=0,0,IF(N(S10)&gt;0,S10,IFERROR(VLOOKUP(D10,Parameter!$A$35:$C$64,3,0)+0,0)))</f>
        <v>0</v>
      </c>
      <c r="CF10" s="60" t="n">
        <f aca="false">IF(AB10&lt;&gt;"",AB10,AA10)</f>
        <v>3</v>
      </c>
      <c r="CG10" s="60" t="str">
        <f aca="false">IF(OR(CF10=1,CF10=2,CF10=3),IF(Parameter!$E$27="Ja","LIFT",IF(CF10=1,"L1","L23")),IF(CF10="Aussen","Aussen","-"))</f>
        <v>LIFT</v>
      </c>
      <c r="CH10" s="71" t="n">
        <f aca="false">IF(N(AC10)&gt;0,AC10,0)</f>
        <v>0</v>
      </c>
      <c r="CI10" s="65" t="n">
        <f aca="false">IF(ISNUMBER(AF10),1,0)</f>
        <v>0</v>
      </c>
      <c r="CJ10" s="62" t="n">
        <f aca="false">N(AF10)</f>
        <v>0</v>
      </c>
      <c r="CK10" s="62" t="n">
        <f aca="false">N(M10)+N(N10)</f>
        <v>10</v>
      </c>
      <c r="CL10" s="62" t="n">
        <f aca="false">N(M10)</f>
        <v>5</v>
      </c>
      <c r="CM10" s="62" t="n">
        <f aca="false">N(N10)</f>
        <v>5</v>
      </c>
      <c r="CN10" s="62" t="n">
        <f aca="false">ROUNDUP(H10/BZ10,0)</f>
        <v>1</v>
      </c>
      <c r="CO10" s="62" t="n">
        <f aca="false">ROUNDUP(CJ10/BZ10,0)</f>
        <v>0</v>
      </c>
      <c r="CP10" s="65" t="n">
        <f aca="false">IF(CA10=1,0,IFERROR(VLOOKUP(BY10,'Gebinde-Kategorie'!$A$5:$N$45,5,0)+0,0))</f>
        <v>11</v>
      </c>
      <c r="CQ10" s="65" t="n">
        <f aca="false">IFERROR(IF(OR(CF10=1,CF10=2,CF10=3),N(INDEX(Parameter!$I$5:$I$7,CF10)),0),0)</f>
        <v>0</v>
      </c>
      <c r="CR10" s="64" t="n">
        <f aca="false">IF(AND(Parameter!$B$21="Ja",ISNUMBER(W10),N(X10)&gt;0),IFERROR(N(INDEX(Parameter!$L$5:$L$7,W10))*INDEX(Parameter!$E$5:$E$7,W10)*X10/SUMIFS($X$7:$X$1843,$W$7:$W$1843,W10),0),0)</f>
        <v>0</v>
      </c>
      <c r="CS10" s="62" t="n">
        <f aca="false">IF(AND(OR(CG10="L1",CG10="L23",CG10="LIFT"),H10&gt;0),CC10*IF(CR10&gt;0,CR10*MAX(1,H10/X10),IF(CA10=1,CE10,IF(R10&gt;0,CN10/R10,0))/MAX(0.1,N(Parameter!$M$21))),"")</f>
        <v>12.0833333333333</v>
      </c>
      <c r="CT10" s="64" t="n">
        <f aca="false">IF(CS10="","",J10/H10)</f>
        <v>1.81818181818182</v>
      </c>
      <c r="CU10" s="62" t="n">
        <f aca="false">IF(CS10="","",H10*G10)</f>
        <v>56668.04</v>
      </c>
      <c r="CV10" s="63" t="n">
        <f aca="false">IF(CS10="","",(CL10+ROUNDUP(CL10+MAX(CM10,2*(J10/MAX(0.1,N(Einkauf!$C$6))-CL10)),0))/2)</f>
        <v>7.5</v>
      </c>
      <c r="CW10" s="62" t="n">
        <f aca="false">IF(CS10="","",MAX(0,H10-CV10)*G10)</f>
        <v>18030.74</v>
      </c>
      <c r="CX10" s="62" t="n">
        <f aca="false">IF(CS10="","",CS10*MAX(0,1-CV10/H10))</f>
        <v>3.84469696969697</v>
      </c>
      <c r="CY10" s="64" t="n">
        <f aca="false">IF(CS10="","",PERCENTRANK($CS$7:$CS$1843,CS10)+PERCENTRANK($CU$7:$CU$1843,CU10)+1-PERCENTRANK($CT$7:$CT$1843,CT10))</f>
        <v>1.858</v>
      </c>
      <c r="CZ10" s="72" t="n">
        <f aca="false">IF(CS10="","",CHOOSE(MATCH(Einkauf!$C$5,Parameter!$G$23:$G$27,0),CY10,CS10,CU10,-CT10,CW10)+ROW()/1000000000)</f>
        <v>1.85800001</v>
      </c>
    </row>
    <row r="11" customFormat="false" ht="15" hidden="false" customHeight="false" outlineLevel="0" collapsed="false">
      <c r="A11" s="60" t="s">
        <v>224</v>
      </c>
      <c r="B11" s="60" t="s">
        <v>225</v>
      </c>
      <c r="C11" s="60" t="s">
        <v>206</v>
      </c>
      <c r="D11" s="60" t="s">
        <v>226</v>
      </c>
      <c r="E11" s="60" t="s">
        <v>227</v>
      </c>
      <c r="F11" s="60" t="s">
        <v>209</v>
      </c>
      <c r="G11" s="61" t="n">
        <v>308.41</v>
      </c>
      <c r="H11" s="62" t="n">
        <f aca="false">MAX(0,IF(AND(Parameter!$B$21="Ja",ISNUMBER(Y11)),Y11,IF(Parameter!$B$20="Jahresanfang 2025 + Export",BS11+BR11,BR11)))</f>
        <v>174</v>
      </c>
      <c r="I11" s="62" t="n">
        <f aca="false">H11*G11</f>
        <v>53663.34</v>
      </c>
      <c r="J11" s="62" t="n">
        <f aca="false">BU11*Parameter!$B$18</f>
        <v>1</v>
      </c>
      <c r="K11" s="63" t="n">
        <v>6</v>
      </c>
      <c r="L11" s="64" t="n">
        <v>0.166666666666667</v>
      </c>
      <c r="M11" s="62" t="n">
        <v>0</v>
      </c>
      <c r="N11" s="62" t="n">
        <v>1</v>
      </c>
      <c r="O11" s="65" t="n">
        <v>14</v>
      </c>
      <c r="P11" s="60" t="s">
        <v>228</v>
      </c>
      <c r="Q11" s="62" t="n">
        <v>6</v>
      </c>
      <c r="R11" s="65" t="n">
        <f aca="false">IF(CA11=1,0,IFERROR(VLOOKUP(BY11,'Gebinde-Kategorie'!$A$5:$N$45,13,0)+0,0))</f>
        <v>12</v>
      </c>
      <c r="S11" s="66"/>
      <c r="T11" s="67"/>
      <c r="U11" s="67"/>
      <c r="V11" s="67"/>
      <c r="W11" s="60"/>
      <c r="X11" s="62"/>
      <c r="Y11" s="62"/>
      <c r="Z11" s="60" t="n">
        <v>3</v>
      </c>
      <c r="AA11" s="60" t="n">
        <f aca="false">IF(A11="","",IF(AND(Parameter!$B$21="Ja",ISNUMBER(W11)),W11,IF(AND(Parameter!$E$27="Ja",ISNUMBER(Z11),CD11&lt;&gt;"Nein"),Z11,IF(CD11="2+3",IF(ISNUMBER(SEARCH("grosser Artikel",BV11)),2,IFERROR(VLOOKUP(BY11,Parameter!$F$35:$G$64,2,0),2)),IF(OR(CD11="Nein",CD11=""),"-",CD11)))))</f>
        <v>3</v>
      </c>
      <c r="AB11" s="67"/>
      <c r="AC11" s="68"/>
      <c r="AD11" s="62" t="n">
        <f aca="false">AW11</f>
        <v>1</v>
      </c>
      <c r="AE11" s="62" t="n">
        <f aca="false">MAX(AW11,H11)</f>
        <v>174</v>
      </c>
      <c r="AF11" s="69"/>
      <c r="AG11" s="62" t="n">
        <f aca="false">IF(LEFT(Cockpit!$C$5,1)="A",H11,IF(Parameter!$E$30="MAX-Bestand",IF(CI11=1,CJ11,IF(LEFT(Cockpit!$C$5,1)="B",AM11,MAX(AM11,H11))),ROUNDUP(AK11,0)))</f>
        <v>174</v>
      </c>
      <c r="AH11" s="62" t="n">
        <f aca="false">IF(CA11=1,0,ROUNDUP(AG11/BZ11,0))</f>
        <v>29</v>
      </c>
      <c r="AI11" s="64" t="n">
        <f aca="false">IF(CR11&gt;0,CR11*MAX(1,AG11/X11),IF(CA11=1,IF(AG11&lt;=0,0,CE11*MAX(1,IF(H11&gt;0,AG11/H11,1))),IF(R11&gt;0,AH11/R11,0))/MAX(0.1,N(Parameter!$M$21)))</f>
        <v>2.41666666666667</v>
      </c>
      <c r="AJ11" s="62" t="n">
        <f aca="false">AI11*CC11</f>
        <v>350.416666666667</v>
      </c>
      <c r="AK11" s="63" t="n">
        <f aca="false">IF(LEFT(Cockpit!$C$5,1)="A",H11,IF(CI11=1,(CL11+CJ11)/2,IF(LEFT(Cockpit!$C$5,1)="B",(CL11+AM11)/2,MAX((CL11+AM11)/2,H11))))</f>
        <v>174</v>
      </c>
      <c r="AL11" s="62" t="n">
        <f aca="false">AK11*G11</f>
        <v>53663.34</v>
      </c>
      <c r="AM11" s="62" t="n">
        <f aca="false">ROUNDUP(CL11+MAX(CM11,2*(J11/IF(CH11&gt;0,CH11,MAX(0.1,N(Cockpit!$C$6)))-CL11)),0)</f>
        <v>1</v>
      </c>
      <c r="AN11" s="63" t="n">
        <f aca="false">IF(AJ11&gt;0,J11/AJ11,-1)</f>
        <v>0.00285374554102259</v>
      </c>
      <c r="AO11" s="63" t="n">
        <f aca="false">IF(AND(OR(CG11="L1",CG11="L23",CG11="LIFT"),AJ11&gt;0),SUMIFS($AJ$7:$AJ$1843,$CG$7:$CG$1843,CG11,$AN$7:$AN$1843,"&gt;"&amp;AN11)+SUMIFS($AJ$7:$AJ$1843,$CG$7:$CG$1843,CG11,$AN$7:$AN$1843,AN11,$BX$7:$BX$1843,"&lt;="&amp;BX11),"")</f>
        <v>25427.9147653194</v>
      </c>
      <c r="AP11" s="70" t="n">
        <f aca="false">IF(AO11="",0,MAX(0,MIN(1,(IF(CG11="L1",Parameter!$H$5,IF(CG11="L23",Parameter!$H$6+Parameter!$H$7,Parameter!$H$5+Parameter!$H$6+Parameter!$H$7))-(AO11-AJ11))/AJ11)))</f>
        <v>1</v>
      </c>
      <c r="AQ11" s="62" t="n">
        <f aca="false">IF(LEFT(Cockpit!$I$5,1)="A",H11,IF(Parameter!$E$30="MAX-Bestand",IF(CI11=1,CJ11,IF(LEFT(Cockpit!$I$5,1)="B",AW11,MAX(AW11,H11))),ROUNDUP(AU11,0)))</f>
        <v>174</v>
      </c>
      <c r="AR11" s="62" t="n">
        <f aca="false">IF(CA11=1,0,ROUNDUP(AQ11/BZ11,0))</f>
        <v>29</v>
      </c>
      <c r="AS11" s="64" t="n">
        <f aca="false">IF(CR11&gt;0,CR11*MAX(1,AQ11/X11),IF(CA11=1,IF(AQ11&lt;=0,0,CE11*MAX(1,IF(H11&gt;0,AQ11/H11,1))),IF(R11&gt;0,AR11/R11,0))/MAX(0.1,N(Parameter!$M$21)))</f>
        <v>2.41666666666667</v>
      </c>
      <c r="AT11" s="62" t="n">
        <f aca="false">AS11*CC11</f>
        <v>350.416666666667</v>
      </c>
      <c r="AU11" s="63" t="n">
        <f aca="false">IF(LEFT(Cockpit!$I$5,1)="A",H11,IF(CI11=1,(CL11+CJ11)/2,IF(LEFT(Cockpit!$I$5,1)="B",(CL11+AW11)/2,MAX((CL11+AW11)/2,H11))))</f>
        <v>174</v>
      </c>
      <c r="AV11" s="62" t="n">
        <f aca="false">AU11*G11</f>
        <v>53663.34</v>
      </c>
      <c r="AW11" s="62" t="n">
        <f aca="false">ROUNDUP(CL11+MAX(CM11,2*(J11/IF(CH11&gt;0,CH11,MAX(0.1,N(Cockpit!$I$6)))-CL11)),0)</f>
        <v>1</v>
      </c>
      <c r="AX11" s="63" t="n">
        <f aca="false">IF(AT11&gt;0,J11/AT11,-1)</f>
        <v>0.00285374554102259</v>
      </c>
      <c r="AY11" s="63" t="n">
        <f aca="false">IF(AND(OR(CG11="L1",CG11="L23",CG11="LIFT"),AT11&gt;0),SUMIFS($AT$7:$AT$1843,$CG$7:$CG$1843,CG11,$AX$7:$AX$1843,"&gt;"&amp;AX11)+SUMIFS($AT$7:$AT$1843,$CG$7:$CG$1843,CG11,$AX$7:$AX$1843,AX11,$BX$7:$BX$1843,"&lt;="&amp;BX11),"")</f>
        <v>30781.0634066969</v>
      </c>
      <c r="AZ11" s="70" t="n">
        <f aca="false">IF(AY11="",0,MAX(0,MIN(1,(IF(CG11="L1",Parameter!$H$5,IF(CG11="L23",Parameter!$H$6+Parameter!$H$7,Parameter!$H$5+Parameter!$H$6+Parameter!$H$7))-(AY11-AT11))/AT11)))</f>
        <v>1</v>
      </c>
      <c r="BA11" s="62" t="n">
        <f aca="false">IF(LEFT(Cockpit!$O$5,1)="A",H11,IF(Parameter!$E$30="MAX-Bestand",IF(CI11=1,CJ11,IF(LEFT(Cockpit!$O$5,1)="B",BG11,MAX(BG11,H11))),ROUNDUP(BE11,0)))</f>
        <v>1</v>
      </c>
      <c r="BB11" s="62" t="n">
        <f aca="false">IF(CA11=1,0,ROUNDUP(BA11/BZ11,0))</f>
        <v>1</v>
      </c>
      <c r="BC11" s="64" t="n">
        <f aca="false">IF(CR11&gt;0,CR11*MAX(1,BA11/X11),IF(CA11=1,IF(BA11&lt;=0,0,CE11*MAX(1,IF(H11&gt;0,BA11/H11,1))),IF(R11&gt;0,BB11/R11,0))/MAX(0.1,N(Parameter!$M$21)))</f>
        <v>0.0833333333333333</v>
      </c>
      <c r="BD11" s="62" t="n">
        <f aca="false">BC11*CC11</f>
        <v>12.0833333333333</v>
      </c>
      <c r="BE11" s="63" t="n">
        <f aca="false">IF(LEFT(Cockpit!$O$5,1)="A",H11,IF(CI11=1,(CL11+CJ11)/2,IF(LEFT(Cockpit!$O$5,1)="B",(CL11+BG11)/2,MAX((CL11+BG11)/2,H11))))</f>
        <v>0.5</v>
      </c>
      <c r="BF11" s="62" t="n">
        <f aca="false">BE11*G11</f>
        <v>154.205</v>
      </c>
      <c r="BG11" s="62" t="n">
        <f aca="false">ROUNDUP(CL11+MAX(CM11,2*(J11/IF(CH11&gt;0,CH11,MAX(0.1,N(Cockpit!$O$6)))-CL11)),0)</f>
        <v>1</v>
      </c>
      <c r="BH11" s="63" t="n">
        <f aca="false">IF(BD11&gt;0,J11/BD11,-1)</f>
        <v>0.0827586206896552</v>
      </c>
      <c r="BI11" s="63" t="n">
        <f aca="false">IF(AND(OR(CG11="L1",CG11="L23",CG11="LIFT"),BD11&gt;0),SUMIFS($BD$7:$BD$1843,$CG$7:$CG$1843,CG11,$BH$7:$BH$1843,"&gt;"&amp;BH11)+SUMIFS($BD$7:$BD$1843,$CG$7:$CG$1843,CG11,$BH$7:$BH$1843,BH11,$BX$7:$BX$1843,"&lt;="&amp;BX11),"")</f>
        <v>18238.5622426067</v>
      </c>
      <c r="BJ11" s="70" t="n">
        <f aca="false">IF(BI11="",0,MAX(0,MIN(1,(IF(CG11="L1",Parameter!$H$5,IF(CG11="L23",Parameter!$H$6+Parameter!$H$7,Parameter!$H$5+Parameter!$H$6+Parameter!$H$7))-(BI11-BD11))/BD11)))</f>
        <v>1</v>
      </c>
      <c r="BK11" s="60" t="str">
        <f aca="false">IF(AJ11&lt;=0,"",IF(CG11="Aussen","Aussenlager",IF(CG11="-","Nicht im Lift",IF(AP11&gt;=1,"Lift",IF(AP11&lt;=0,"Aussenlager","teilweise")))))</f>
        <v>Lift</v>
      </c>
      <c r="BL11" s="60" t="str">
        <f aca="false">IF(AT11&lt;=0,"",IF(CG11="Aussen","Aussenlager",IF(CG11="-","Nicht im Lift",IF(AZ11&gt;=1,"Lift",IF(AZ11&lt;=0,"Aussenlager","teilweise")))))</f>
        <v>Lift</v>
      </c>
      <c r="BM11" s="60" t="str">
        <f aca="false">IF(BD11&lt;=0,"",IF(CG11="Aussen","Aussenlager",IF(CG11="-","Nicht im Lift",IF(BJ11&gt;=1,"Lift",IF(BJ11&lt;=0,"Aussenlager","teilweise")))))</f>
        <v>Lift</v>
      </c>
      <c r="BN11" s="60" t="str">
        <f aca="false">IF(A11="","",IF(BW11=1,"Neu; ","")&amp;IF(AND(BW11=0,BR11&lt;0),"negativer Bestand (Export "&amp;BR11&amp;"); ","")&amp;IF(J11&lt;=0,"Kein Verbrauch; ","")&amp;IF(CR11&gt;0,"Lift "&amp;W11&amp;" lt. Liftbericht (Fach "&amp;X11&amp;" Stk); ",IF(CB11=1,"Gebinde geschätzt ("&amp;T11&amp;"); ",IF(CA11=1,"Lose – Tablare geschätzt; ","")))&amp;IF(H11&gt;AW11,"Überbestand "&amp;ROUND(H11-AW11,0)&amp;" Stk / CHF "&amp;ROUND((H11-AW11)*G11,0)&amp;"; ","")&amp;IF(AND(CI11=1,CJ11&lt;CK11),"MAX &lt; MB+LG; ","")&amp;IF(AND(CQ11&gt;0,CP11*10&gt;CQ11),"zu hoch für Tablar; ","")&amp;IF(AND(BW11=0,OR(CI11=1,AB11&lt;&gt;"",U11&lt;&gt;"",V11&lt;&gt;"",AC11&lt;&gt;"")),"manuell übersteuert; ","")&amp;IF(AND(CA11=0,R11=0),"Gebinde unbekannt / Stellmass fehlt; ","")&amp;IF(AND(CA11=0,N(V11)&lt;=0,N(Q11)&lt;=0),"Menge pro Gebinde fehlt (Ist = 1 Gebinde); ","")&amp;BV11)</f>
        <v>Überbestand 173 Stk / CHF 53355; </v>
      </c>
      <c r="BO11" s="60"/>
      <c r="BP11" s="60"/>
      <c r="BQ11" s="67"/>
      <c r="BR11" s="62" t="n">
        <v>167</v>
      </c>
      <c r="BS11" s="62" t="n">
        <v>7</v>
      </c>
      <c r="BT11" s="61" t="n">
        <v>51492.01</v>
      </c>
      <c r="BU11" s="62" t="n">
        <v>1</v>
      </c>
      <c r="BV11" s="60"/>
      <c r="BW11" s="65" t="n">
        <v>0</v>
      </c>
      <c r="BX11" s="65" t="n">
        <v>11</v>
      </c>
      <c r="BY11" s="60" t="str">
        <f aca="false">IF(U11&lt;&gt;"",UPPER(TRIM(U11)),IF(CB11=1,UPPER(VLOOKUP(T11,Parameter!$I$27:$K$29,2,0)),IF(P11="","LOSE",P11)))</f>
        <v>S61</v>
      </c>
      <c r="BZ11" s="62" t="n">
        <f aca="false">IF(BY11="LOSE",1,IF(N(V11)&gt;0,V11,IF(CB11=1,MAX(1,N(VLOOKUP(T11,Parameter!$I$27:$K$29,3,0)),H11,N(N11)),IF(N(Q11)&gt;0,Q11,MAX(1,H11)))))</f>
        <v>6</v>
      </c>
      <c r="CA11" s="65" t="n">
        <f aca="false">IF(BY11="LOSE",1,0)</f>
        <v>0</v>
      </c>
      <c r="CB11" s="65" t="n">
        <f aca="false">IF(AND(U11="",OR(P11="",P11="LOSE"),T11&lt;&gt;"",N(S11)&lt;=0,ISNUMBER(MATCH(T11,Parameter!$I$27:$I$29,0))),1,0)</f>
        <v>0</v>
      </c>
      <c r="CC11" s="65" t="n">
        <f aca="false">IF(CR11&gt;0,INDEX(Parameter!$H$5:$H$7,W11)/INDEX(Parameter!$E$5:$E$7,W11),IF(AND(CA11=0,N(IFERROR(VLOOKUP(BY11,'Gebinde-Kategorie'!$A$5:$N$45,14,0),0))&gt;0),VLOOKUP(BY11,'Gebinde-Kategorie'!$A$5:$N$45,14,0)*10+Parameter!$M$23,Parameter!$M$24))</f>
        <v>145</v>
      </c>
      <c r="CD11" s="60" t="str">
        <f aca="false">IF(AND(Parameter!$B$19="Ja",E11&lt;&gt;"",ISNUMBER(MATCH(E11,Parameter!$I$35:$I$52,0))),VLOOKUP(E11,Parameter!$I$35:$J$52,2,0),IFERROR(VLOOKUP(D11,Parameter!$A$35:$C$64,2,0),"Nein"))</f>
        <v>2+3</v>
      </c>
      <c r="CE11" s="64" t="n">
        <f aca="false">IF(CA11=0,0,IF(N(S11)&gt;0,S11,IFERROR(VLOOKUP(D11,Parameter!$A$35:$C$64,3,0)+0,0)))</f>
        <v>0</v>
      </c>
      <c r="CF11" s="60" t="n">
        <f aca="false">IF(AB11&lt;&gt;"",AB11,AA11)</f>
        <v>3</v>
      </c>
      <c r="CG11" s="60" t="str">
        <f aca="false">IF(OR(CF11=1,CF11=2,CF11=3),IF(Parameter!$E$27="Ja","LIFT",IF(CF11=1,"L1","L23")),IF(CF11="Aussen","Aussen","-"))</f>
        <v>LIFT</v>
      </c>
      <c r="CH11" s="71" t="n">
        <f aca="false">IF(N(AC11)&gt;0,AC11,0)</f>
        <v>0</v>
      </c>
      <c r="CI11" s="65" t="n">
        <f aca="false">IF(ISNUMBER(AF11),1,0)</f>
        <v>0</v>
      </c>
      <c r="CJ11" s="62" t="n">
        <f aca="false">N(AF11)</f>
        <v>0</v>
      </c>
      <c r="CK11" s="62" t="n">
        <f aca="false">N(M11)+N(N11)</f>
        <v>1</v>
      </c>
      <c r="CL11" s="62" t="n">
        <f aca="false">N(M11)</f>
        <v>0</v>
      </c>
      <c r="CM11" s="62" t="n">
        <f aca="false">N(N11)</f>
        <v>1</v>
      </c>
      <c r="CN11" s="62" t="n">
        <f aca="false">ROUNDUP(H11/BZ11,0)</f>
        <v>29</v>
      </c>
      <c r="CO11" s="62" t="n">
        <f aca="false">ROUNDUP(CJ11/BZ11,0)</f>
        <v>0</v>
      </c>
      <c r="CP11" s="65" t="n">
        <f aca="false">IF(CA11=1,0,IFERROR(VLOOKUP(BY11,'Gebinde-Kategorie'!$A$5:$N$45,5,0)+0,0))</f>
        <v>11</v>
      </c>
      <c r="CQ11" s="65" t="n">
        <f aca="false">IFERROR(IF(OR(CF11=1,CF11=2,CF11=3),N(INDEX(Parameter!$I$5:$I$7,CF11)),0),0)</f>
        <v>0</v>
      </c>
      <c r="CR11" s="64" t="n">
        <f aca="false">IF(AND(Parameter!$B$21="Ja",ISNUMBER(W11),N(X11)&gt;0),IFERROR(N(INDEX(Parameter!$L$5:$L$7,W11))*INDEX(Parameter!$E$5:$E$7,W11)*X11/SUMIFS($X$7:$X$1843,$W$7:$W$1843,W11),0),0)</f>
        <v>0</v>
      </c>
      <c r="CS11" s="62" t="n">
        <f aca="false">IF(AND(OR(CG11="L1",CG11="L23",CG11="LIFT"),H11&gt;0),CC11*IF(CR11&gt;0,CR11*MAX(1,H11/X11),IF(CA11=1,CE11,IF(R11&gt;0,CN11/R11,0))/MAX(0.1,N(Parameter!$M$21))),"")</f>
        <v>350.416666666667</v>
      </c>
      <c r="CT11" s="64" t="n">
        <f aca="false">IF(CS11="","",J11/H11)</f>
        <v>0.00574712643678161</v>
      </c>
      <c r="CU11" s="62" t="n">
        <f aca="false">IF(CS11="","",H11*G11)</f>
        <v>53663.34</v>
      </c>
      <c r="CV11" s="63" t="n">
        <f aca="false">IF(CS11="","",(CL11+ROUNDUP(CL11+MAX(CM11,2*(J11/MAX(0.1,N(Einkauf!$C$6))-CL11)),0))/2)</f>
        <v>0.5</v>
      </c>
      <c r="CW11" s="62" t="n">
        <f aca="false">IF(CS11="","",MAX(0,H11-CV11)*G11)</f>
        <v>53509.135</v>
      </c>
      <c r="CX11" s="62" t="n">
        <f aca="false">IF(CS11="","",CS11*MAX(0,1-CV11/H11))</f>
        <v>349.409722222222</v>
      </c>
      <c r="CY11" s="64" t="n">
        <f aca="false">IF(CS11="","",PERCENTRANK($CS$7:$CS$1843,CS11)+PERCENTRANK($CU$7:$CU$1843,CU11)+1-PERCENTRANK($CT$7:$CT$1843,CT11))</f>
        <v>2.617</v>
      </c>
      <c r="CZ11" s="72" t="n">
        <f aca="false">IF(CS11="","",CHOOSE(MATCH(Einkauf!$C$5,Parameter!$G$23:$G$27,0),CY11,CS11,CU11,-CT11,CW11)+ROW()/1000000000)</f>
        <v>2.617000011</v>
      </c>
    </row>
    <row r="12" customFormat="false" ht="15" hidden="false" customHeight="false" outlineLevel="0" collapsed="false">
      <c r="A12" s="60" t="s">
        <v>229</v>
      </c>
      <c r="B12" s="60" t="s">
        <v>230</v>
      </c>
      <c r="C12" s="60" t="s">
        <v>206</v>
      </c>
      <c r="D12" s="60" t="s">
        <v>215</v>
      </c>
      <c r="E12" s="60"/>
      <c r="F12" s="60" t="s">
        <v>209</v>
      </c>
      <c r="G12" s="61" t="n">
        <v>2228.65</v>
      </c>
      <c r="H12" s="62" t="n">
        <f aca="false">MAX(0,IF(AND(Parameter!$B$21="Ja",ISNUMBER(Y12)),Y12,IF(Parameter!$B$20="Jahresanfang 2025 + Export",BS12+BR12,BR12)))</f>
        <v>23</v>
      </c>
      <c r="I12" s="62" t="n">
        <f aca="false">H12*G12</f>
        <v>51258.95</v>
      </c>
      <c r="J12" s="62" t="n">
        <f aca="false">BU12*Parameter!$B$18</f>
        <v>0</v>
      </c>
      <c r="K12" s="63" t="n">
        <v>0</v>
      </c>
      <c r="L12" s="64" t="n">
        <v>0</v>
      </c>
      <c r="M12" s="62" t="n">
        <v>0</v>
      </c>
      <c r="N12" s="62" t="n">
        <v>1</v>
      </c>
      <c r="O12" s="65" t="n">
        <v>9999</v>
      </c>
      <c r="P12" s="60" t="s">
        <v>210</v>
      </c>
      <c r="Q12" s="62"/>
      <c r="R12" s="65" t="n">
        <f aca="false">IF(CA12=1,0,IFERROR(VLOOKUP(BY12,'Gebinde-Kategorie'!$A$5:$N$45,13,0)+0,0))</f>
        <v>4</v>
      </c>
      <c r="S12" s="66"/>
      <c r="T12" s="67" t="s">
        <v>231</v>
      </c>
      <c r="U12" s="67"/>
      <c r="V12" s="67"/>
      <c r="W12" s="60"/>
      <c r="X12" s="62"/>
      <c r="Y12" s="62"/>
      <c r="Z12" s="60" t="n">
        <v>2</v>
      </c>
      <c r="AA12" s="60" t="n">
        <f aca="false">IF(A12="","",IF(AND(Parameter!$B$21="Ja",ISNUMBER(W12)),W12,IF(AND(Parameter!$E$27="Ja",ISNUMBER(Z12),CD12&lt;&gt;"Nein"),Z12,IF(CD12="2+3",IF(ISNUMBER(SEARCH("grosser Artikel",BV12)),2,IFERROR(VLOOKUP(BY12,Parameter!$F$35:$G$64,2,0),2)),IF(OR(CD12="Nein",CD12=""),"-",CD12)))))</f>
        <v>2</v>
      </c>
      <c r="AB12" s="67"/>
      <c r="AC12" s="68"/>
      <c r="AD12" s="62" t="n">
        <f aca="false">AW12</f>
        <v>1</v>
      </c>
      <c r="AE12" s="62" t="n">
        <f aca="false">MAX(AW12,H12)</f>
        <v>23</v>
      </c>
      <c r="AF12" s="69"/>
      <c r="AG12" s="62" t="n">
        <f aca="false">IF(LEFT(Cockpit!$C$5,1)="A",H12,IF(Parameter!$E$30="MAX-Bestand",IF(CI12=1,CJ12,IF(LEFT(Cockpit!$C$5,1)="B",AM12,MAX(AM12,H12))),ROUNDUP(AK12,0)))</f>
        <v>23</v>
      </c>
      <c r="AH12" s="62" t="n">
        <f aca="false">IF(CA12=1,0,ROUNDUP(AG12/BZ12,0))</f>
        <v>1</v>
      </c>
      <c r="AI12" s="64" t="n">
        <f aca="false">IF(CR12&gt;0,CR12*MAX(1,AG12/X12),IF(CA12=1,IF(AG12&lt;=0,0,CE12*MAX(1,IF(H12&gt;0,AG12/H12,1))),IF(R12&gt;0,AH12/R12,0))/MAX(0.1,N(Parameter!$M$21)))</f>
        <v>0.25</v>
      </c>
      <c r="AJ12" s="62" t="n">
        <f aca="false">AI12*CC12</f>
        <v>58.75</v>
      </c>
      <c r="AK12" s="63" t="n">
        <f aca="false">IF(LEFT(Cockpit!$C$5,1)="A",H12,IF(CI12=1,(CL12+CJ12)/2,IF(LEFT(Cockpit!$C$5,1)="B",(CL12+AM12)/2,MAX((CL12+AM12)/2,H12))))</f>
        <v>23</v>
      </c>
      <c r="AL12" s="62" t="n">
        <f aca="false">AK12*G12</f>
        <v>51258.95</v>
      </c>
      <c r="AM12" s="62" t="n">
        <f aca="false">ROUNDUP(CL12+MAX(CM12,2*(J12/IF(CH12&gt;0,CH12,MAX(0.1,N(Cockpit!$C$6)))-CL12)),0)</f>
        <v>1</v>
      </c>
      <c r="AN12" s="63" t="n">
        <f aca="false">IF(AJ12&gt;0,J12/AJ12,-1)</f>
        <v>0</v>
      </c>
      <c r="AO12" s="63" t="n">
        <f aca="false">IF(AND(OR(CG12="L1",CG12="L23",CG12="LIFT"),AJ12&gt;0),SUMIFS($AJ$7:$AJ$1843,$CG$7:$CG$1843,CG12,$AN$7:$AN$1843,"&gt;"&amp;AN12)+SUMIFS($AJ$7:$AJ$1843,$CG$7:$CG$1843,CG12,$AN$7:$AN$1843,AN12,$BX$7:$BX$1843,"&lt;="&amp;BX12),"")</f>
        <v>25487.7719081766</v>
      </c>
      <c r="AP12" s="70" t="n">
        <f aca="false">IF(AO12="",0,MAX(0,MIN(1,(IF(CG12="L1",Parameter!$H$5,IF(CG12="L23",Parameter!$H$6+Parameter!$H$7,Parameter!$H$5+Parameter!$H$6+Parameter!$H$7))-(AO12-AJ12))/AJ12)))</f>
        <v>1</v>
      </c>
      <c r="AQ12" s="62" t="n">
        <f aca="false">IF(LEFT(Cockpit!$I$5,1)="A",H12,IF(Parameter!$E$30="MAX-Bestand",IF(CI12=1,CJ12,IF(LEFT(Cockpit!$I$5,1)="B",AW12,MAX(AW12,H12))),ROUNDUP(AU12,0)))</f>
        <v>23</v>
      </c>
      <c r="AR12" s="62" t="n">
        <f aca="false">IF(CA12=1,0,ROUNDUP(AQ12/BZ12,0))</f>
        <v>1</v>
      </c>
      <c r="AS12" s="64" t="n">
        <f aca="false">IF(CR12&gt;0,CR12*MAX(1,AQ12/X12),IF(CA12=1,IF(AQ12&lt;=0,0,CE12*MAX(1,IF(H12&gt;0,AQ12/H12,1))),IF(R12&gt;0,AR12/R12,0))/MAX(0.1,N(Parameter!$M$21)))</f>
        <v>0.25</v>
      </c>
      <c r="AT12" s="62" t="n">
        <f aca="false">AS12*CC12</f>
        <v>58.75</v>
      </c>
      <c r="AU12" s="63" t="n">
        <f aca="false">IF(LEFT(Cockpit!$I$5,1)="A",H12,IF(CI12=1,(CL12+CJ12)/2,IF(LEFT(Cockpit!$I$5,1)="B",(CL12+AW12)/2,MAX((CL12+AW12)/2,H12))))</f>
        <v>23</v>
      </c>
      <c r="AV12" s="62" t="n">
        <f aca="false">AU12*G12</f>
        <v>51258.95</v>
      </c>
      <c r="AW12" s="62" t="n">
        <f aca="false">ROUNDUP(CL12+MAX(CM12,2*(J12/IF(CH12&gt;0,CH12,MAX(0.1,N(Cockpit!$I$6)))-CL12)),0)</f>
        <v>1</v>
      </c>
      <c r="AX12" s="63" t="n">
        <f aca="false">IF(AT12&gt;0,J12/AT12,-1)</f>
        <v>0</v>
      </c>
      <c r="AY12" s="63" t="n">
        <f aca="false">IF(AND(OR(CG12="L1",CG12="L23",CG12="LIFT"),AT12&gt;0),SUMIFS($AT$7:$AT$1843,$CG$7:$CG$1843,CG12,$AX$7:$AX$1843,"&gt;"&amp;AX12)+SUMIFS($AT$7:$AT$1843,$CG$7:$CG$1843,CG12,$AX$7:$AX$1843,AX12,$BX$7:$BX$1843,"&lt;="&amp;BX12),"")</f>
        <v>30840.920549554</v>
      </c>
      <c r="AZ12" s="70" t="n">
        <f aca="false">IF(AY12="",0,MAX(0,MIN(1,(IF(CG12="L1",Parameter!$H$5,IF(CG12="L23",Parameter!$H$6+Parameter!$H$7,Parameter!$H$5+Parameter!$H$6+Parameter!$H$7))-(AY12-AT12))/AT12)))</f>
        <v>1</v>
      </c>
      <c r="BA12" s="62" t="n">
        <f aca="false">IF(LEFT(Cockpit!$O$5,1)="A",H12,IF(Parameter!$E$30="MAX-Bestand",IF(CI12=1,CJ12,IF(LEFT(Cockpit!$O$5,1)="B",BG12,MAX(BG12,H12))),ROUNDUP(BE12,0)))</f>
        <v>1</v>
      </c>
      <c r="BB12" s="62" t="n">
        <f aca="false">IF(CA12=1,0,ROUNDUP(BA12/BZ12,0))</f>
        <v>1</v>
      </c>
      <c r="BC12" s="64" t="n">
        <f aca="false">IF(CR12&gt;0,CR12*MAX(1,BA12/X12),IF(CA12=1,IF(BA12&lt;=0,0,CE12*MAX(1,IF(H12&gt;0,BA12/H12,1))),IF(R12&gt;0,BB12/R12,0))/MAX(0.1,N(Parameter!$M$21)))</f>
        <v>0.25</v>
      </c>
      <c r="BD12" s="62" t="n">
        <f aca="false">BC12*CC12</f>
        <v>58.75</v>
      </c>
      <c r="BE12" s="63" t="n">
        <f aca="false">IF(LEFT(Cockpit!$O$5,1)="A",H12,IF(CI12=1,(CL12+CJ12)/2,IF(LEFT(Cockpit!$O$5,1)="B",(CL12+BG12)/2,MAX((CL12+BG12)/2,H12))))</f>
        <v>0.5</v>
      </c>
      <c r="BF12" s="62" t="n">
        <f aca="false">BE12*G12</f>
        <v>1114.325</v>
      </c>
      <c r="BG12" s="62" t="n">
        <f aca="false">ROUNDUP(CL12+MAX(CM12,2*(J12/IF(CH12&gt;0,CH12,MAX(0.1,N(Cockpit!$O$6)))-CL12)),0)</f>
        <v>1</v>
      </c>
      <c r="BH12" s="63" t="n">
        <f aca="false">IF(BD12&gt;0,J12/BD12,-1)</f>
        <v>0</v>
      </c>
      <c r="BI12" s="63" t="n">
        <f aca="false">IF(AND(OR(CG12="L1",CG12="L23",CG12="LIFT"),BD12&gt;0),SUMIFS($BD$7:$BD$1843,$CG$7:$CG$1843,CG12,$BH$7:$BH$1843,"&gt;"&amp;BH12)+SUMIFS($BD$7:$BD$1843,$CG$7:$CG$1843,CG12,$BH$7:$BH$1843,BH12,$BX$7:$BX$1843,"&lt;="&amp;BX12),"")</f>
        <v>25096.252392852</v>
      </c>
      <c r="BJ12" s="70" t="n">
        <f aca="false">IF(BI12="",0,MAX(0,MIN(1,(IF(CG12="L1",Parameter!$H$5,IF(CG12="L23",Parameter!$H$6+Parameter!$H$7,Parameter!$H$5+Parameter!$H$6+Parameter!$H$7))-(BI12-BD12))/BD12)))</f>
        <v>1</v>
      </c>
      <c r="BK12" s="60" t="str">
        <f aca="false">IF(AJ12&lt;=0,"",IF(CG12="Aussen","Aussenlager",IF(CG12="-","Nicht im Lift",IF(AP12&gt;=1,"Lift",IF(AP12&lt;=0,"Aussenlager","teilweise")))))</f>
        <v>Lift</v>
      </c>
      <c r="BL12" s="60" t="str">
        <f aca="false">IF(AT12&lt;=0,"",IF(CG12="Aussen","Aussenlager",IF(CG12="-","Nicht im Lift",IF(AZ12&gt;=1,"Lift",IF(AZ12&lt;=0,"Aussenlager","teilweise")))))</f>
        <v>Lift</v>
      </c>
      <c r="BM12" s="60" t="str">
        <f aca="false">IF(BD12&lt;=0,"",IF(CG12="Aussen","Aussenlager",IF(CG12="-","Nicht im Lift",IF(BJ12&gt;=1,"Lift",IF(BJ12&lt;=0,"Aussenlager","teilweise")))))</f>
        <v>Lift</v>
      </c>
      <c r="BN12" s="60" t="str">
        <f aca="false">IF(A12="","",IF(BW12=1,"Neu; ","")&amp;IF(AND(BW12=0,BR12&lt;0),"negativer Bestand (Export "&amp;BR12&amp;"); ","")&amp;IF(J12&lt;=0,"Kein Verbrauch; ","")&amp;IF(CR12&gt;0,"Lift "&amp;W12&amp;" lt. Liftbericht (Fach "&amp;X12&amp;" Stk); ",IF(CB12=1,"Gebinde geschätzt ("&amp;T12&amp;"); ",IF(CA12=1,"Lose – Tablare geschätzt; ","")))&amp;IF(H12&gt;AW12,"Überbestand "&amp;ROUND(H12-AW12,0)&amp;" Stk / CHF "&amp;ROUND((H12-AW12)*G12,0)&amp;"; ","")&amp;IF(AND(CI12=1,CJ12&lt;CK12),"MAX &lt; MB+LG; ","")&amp;IF(AND(CQ12&gt;0,CP12*10&gt;CQ12),"zu hoch für Tablar; ","")&amp;IF(AND(BW12=0,OR(CI12=1,AB12&lt;&gt;"",U12&lt;&gt;"",V12&lt;&gt;"",AC12&lt;&gt;"")),"manuell übersteuert; ","")&amp;IF(AND(CA12=0,R12=0),"Gebinde unbekannt / Stellmass fehlt; ","")&amp;IF(AND(CA12=0,N(V12)&lt;=0,N(Q12)&lt;=0),"Menge pro Gebinde fehlt (Ist = 1 Gebinde); ","")&amp;BV12)</f>
        <v>Kein Verbrauch; Gebinde geschätzt (Gross); Überbestand 22 Stk / CHF 49030; Menge pro Gebinde fehlt (Ist = 1 Gebinde); </v>
      </c>
      <c r="BO12" s="60"/>
      <c r="BP12" s="60"/>
      <c r="BQ12" s="67"/>
      <c r="BR12" s="62" t="n">
        <v>23</v>
      </c>
      <c r="BS12" s="62" t="n">
        <v>0</v>
      </c>
      <c r="BT12" s="61" t="n">
        <v>51258.95</v>
      </c>
      <c r="BU12" s="62" t="n">
        <v>0</v>
      </c>
      <c r="BV12" s="60"/>
      <c r="BW12" s="65" t="n">
        <v>0</v>
      </c>
      <c r="BX12" s="65" t="n">
        <v>12</v>
      </c>
      <c r="BY12" s="60" t="str">
        <f aca="false">IF(U12&lt;&gt;"",UPPER(TRIM(U12)),IF(CB12=1,UPPER(VLOOKUP(T12,Parameter!$I$27:$K$29,2,0)),IF(P12="","LOSE",P12)))</f>
        <v>S81</v>
      </c>
      <c r="BZ12" s="62" t="n">
        <f aca="false">IF(BY12="LOSE",1,IF(N(V12)&gt;0,V12,IF(CB12=1,MAX(1,N(VLOOKUP(T12,Parameter!$I$27:$K$29,3,0)),H12,N(N12)),IF(N(Q12)&gt;0,Q12,MAX(1,H12)))))</f>
        <v>23</v>
      </c>
      <c r="CA12" s="65" t="n">
        <f aca="false">IF(BY12="LOSE",1,0)</f>
        <v>0</v>
      </c>
      <c r="CB12" s="65" t="n">
        <f aca="false">IF(AND(U12="",OR(P12="",P12="LOSE"),T12&lt;&gt;"",N(S12)&lt;=0,ISNUMBER(MATCH(T12,Parameter!$I$27:$I$29,0))),1,0)</f>
        <v>1</v>
      </c>
      <c r="CC12" s="65" t="n">
        <f aca="false">IF(CR12&gt;0,INDEX(Parameter!$H$5:$H$7,W12)/INDEX(Parameter!$E$5:$E$7,W12),IF(AND(CA12=0,N(IFERROR(VLOOKUP(BY12,'Gebinde-Kategorie'!$A$5:$N$45,14,0),0))&gt;0),VLOOKUP(BY12,'Gebinde-Kategorie'!$A$5:$N$45,14,0)*10+Parameter!$M$23,Parameter!$M$24))</f>
        <v>235</v>
      </c>
      <c r="CD12" s="60" t="str">
        <f aca="false">IF(AND(Parameter!$B$19="Ja",E12&lt;&gt;"",ISNUMBER(MATCH(E12,Parameter!$I$35:$I$52,0))),VLOOKUP(E12,Parameter!$I$35:$J$52,2,0),IFERROR(VLOOKUP(D12,Parameter!$A$35:$C$64,2,0),"Nein"))</f>
        <v>2+3</v>
      </c>
      <c r="CE12" s="64" t="n">
        <f aca="false">IF(CA12=0,0,IF(N(S12)&gt;0,S12,IFERROR(VLOOKUP(D12,Parameter!$A$35:$C$64,3,0)+0,0)))</f>
        <v>0</v>
      </c>
      <c r="CF12" s="60" t="n">
        <f aca="false">IF(AB12&lt;&gt;"",AB12,AA12)</f>
        <v>2</v>
      </c>
      <c r="CG12" s="60" t="str">
        <f aca="false">IF(OR(CF12=1,CF12=2,CF12=3),IF(Parameter!$E$27="Ja","LIFT",IF(CF12=1,"L1","L23")),IF(CF12="Aussen","Aussen","-"))</f>
        <v>LIFT</v>
      </c>
      <c r="CH12" s="71" t="n">
        <f aca="false">IF(N(AC12)&gt;0,AC12,0)</f>
        <v>0</v>
      </c>
      <c r="CI12" s="65" t="n">
        <f aca="false">IF(ISNUMBER(AF12),1,0)</f>
        <v>0</v>
      </c>
      <c r="CJ12" s="62" t="n">
        <f aca="false">N(AF12)</f>
        <v>0</v>
      </c>
      <c r="CK12" s="62" t="n">
        <f aca="false">N(M12)+N(N12)</f>
        <v>1</v>
      </c>
      <c r="CL12" s="62" t="n">
        <f aca="false">N(M12)</f>
        <v>0</v>
      </c>
      <c r="CM12" s="62" t="n">
        <f aca="false">N(N12)</f>
        <v>1</v>
      </c>
      <c r="CN12" s="62" t="n">
        <f aca="false">ROUNDUP(H12/BZ12,0)</f>
        <v>1</v>
      </c>
      <c r="CO12" s="62" t="n">
        <f aca="false">ROUNDUP(CJ12/BZ12,0)</f>
        <v>0</v>
      </c>
      <c r="CP12" s="65" t="n">
        <f aca="false">IF(CA12=1,0,IFERROR(VLOOKUP(BY12,'Gebinde-Kategorie'!$A$5:$N$45,5,0)+0,0))</f>
        <v>20</v>
      </c>
      <c r="CQ12" s="65" t="n">
        <f aca="false">IFERROR(IF(OR(CF12=1,CF12=2,CF12=3),N(INDEX(Parameter!$I$5:$I$7,CF12)),0),0)</f>
        <v>0</v>
      </c>
      <c r="CR12" s="64" t="n">
        <f aca="false">IF(AND(Parameter!$B$21="Ja",ISNUMBER(W12),N(X12)&gt;0),IFERROR(N(INDEX(Parameter!$L$5:$L$7,W12))*INDEX(Parameter!$E$5:$E$7,W12)*X12/SUMIFS($X$7:$X$1843,$W$7:$W$1843,W12),0),0)</f>
        <v>0</v>
      </c>
      <c r="CS12" s="62" t="n">
        <f aca="false">IF(AND(OR(CG12="L1",CG12="L23",CG12="LIFT"),H12&gt;0),CC12*IF(CR12&gt;0,CR12*MAX(1,H12/X12),IF(CA12=1,CE12,IF(R12&gt;0,CN12/R12,0))/MAX(0.1,N(Parameter!$M$21))),"")</f>
        <v>58.75</v>
      </c>
      <c r="CT12" s="64" t="n">
        <f aca="false">IF(CS12="","",J12/H12)</f>
        <v>0</v>
      </c>
      <c r="CU12" s="62" t="n">
        <f aca="false">IF(CS12="","",H12*G12)</f>
        <v>51258.95</v>
      </c>
      <c r="CV12" s="63" t="n">
        <f aca="false">IF(CS12="","",(CL12+ROUNDUP(CL12+MAX(CM12,2*(J12/MAX(0.1,N(Einkauf!$C$6))-CL12)),0))/2)</f>
        <v>0.5</v>
      </c>
      <c r="CW12" s="62" t="n">
        <f aca="false">IF(CS12="","",MAX(0,H12-CV12)*G12)</f>
        <v>50144.625</v>
      </c>
      <c r="CX12" s="62" t="n">
        <f aca="false">IF(CS12="","",CS12*MAX(0,1-CV12/H12))</f>
        <v>57.4728260869565</v>
      </c>
      <c r="CY12" s="64" t="n">
        <f aca="false">IF(CS12="","",PERCENTRANK($CS$7:$CS$1843,CS12)+PERCENTRANK($CU$7:$CU$1843,CU12)+1-PERCENTRANK($CT$7:$CT$1843,CT12))</f>
        <v>2.912</v>
      </c>
      <c r="CZ12" s="72" t="n">
        <f aca="false">IF(CS12="","",CHOOSE(MATCH(Einkauf!$C$5,Parameter!$G$23:$G$27,0),CY12,CS12,CU12,-CT12,CW12)+ROW()/1000000000)</f>
        <v>2.912000012</v>
      </c>
    </row>
    <row r="13" customFormat="false" ht="15" hidden="false" customHeight="false" outlineLevel="0" collapsed="false">
      <c r="A13" s="60" t="s">
        <v>232</v>
      </c>
      <c r="B13" s="60" t="s">
        <v>205</v>
      </c>
      <c r="C13" s="60" t="s">
        <v>206</v>
      </c>
      <c r="D13" s="60" t="s">
        <v>207</v>
      </c>
      <c r="E13" s="60" t="s">
        <v>208</v>
      </c>
      <c r="F13" s="60" t="s">
        <v>209</v>
      </c>
      <c r="G13" s="61" t="n">
        <v>4008.68</v>
      </c>
      <c r="H13" s="62" t="n">
        <f aca="false">MAX(0,IF(AND(Parameter!$B$21="Ja",ISNUMBER(Y13)),Y13,IF(Parameter!$B$20="Jahresanfang 2025 + Export",BS13+BR13,BR13)))</f>
        <v>5</v>
      </c>
      <c r="I13" s="62" t="n">
        <f aca="false">H13*G13</f>
        <v>20043.4</v>
      </c>
      <c r="J13" s="62" t="n">
        <f aca="false">BU13*Parameter!$B$18</f>
        <v>31</v>
      </c>
      <c r="K13" s="63" t="n">
        <v>2.5</v>
      </c>
      <c r="L13" s="64" t="n">
        <v>12.4</v>
      </c>
      <c r="M13" s="62" t="n">
        <v>2</v>
      </c>
      <c r="N13" s="62" t="n">
        <v>10</v>
      </c>
      <c r="O13" s="65" t="n">
        <v>21</v>
      </c>
      <c r="P13" s="60" t="s">
        <v>210</v>
      </c>
      <c r="Q13" s="62"/>
      <c r="R13" s="65" t="n">
        <f aca="false">IF(CA13=1,0,IFERROR(VLOOKUP(BY13,'Gebinde-Kategorie'!$A$5:$N$45,13,0)+0,0))</f>
        <v>0</v>
      </c>
      <c r="S13" s="66"/>
      <c r="T13" s="67"/>
      <c r="U13" s="67"/>
      <c r="V13" s="67"/>
      <c r="W13" s="60" t="n">
        <v>1</v>
      </c>
      <c r="X13" s="62" t="n">
        <v>20</v>
      </c>
      <c r="Y13" s="62" t="n">
        <v>5</v>
      </c>
      <c r="Z13" s="60" t="n">
        <v>1</v>
      </c>
      <c r="AA13" s="60" t="n">
        <f aca="false">IF(A13="","",IF(AND(Parameter!$B$21="Ja",ISNUMBER(W13)),W13,IF(AND(Parameter!$E$27="Ja",ISNUMBER(Z13),CD13&lt;&gt;"Nein"),Z13,IF(CD13="2+3",IF(ISNUMBER(SEARCH("grosser Artikel",BV13)),2,IFERROR(VLOOKUP(BY13,Parameter!$F$35:$G$64,2,0),2)),IF(OR(CD13="Nein",CD13=""),"-",CD13)))))</f>
        <v>1</v>
      </c>
      <c r="AB13" s="67"/>
      <c r="AC13" s="68"/>
      <c r="AD13" s="62" t="n">
        <f aca="false">AW13</f>
        <v>19</v>
      </c>
      <c r="AE13" s="62" t="n">
        <f aca="false">MAX(AW13,H13)</f>
        <v>19</v>
      </c>
      <c r="AF13" s="69"/>
      <c r="AG13" s="62" t="n">
        <f aca="false">IF(LEFT(Cockpit!$C$5,1)="A",H13,IF(Parameter!$E$30="MAX-Bestand",IF(CI13=1,CJ13,IF(LEFT(Cockpit!$C$5,1)="B",AM13,MAX(AM13,H13))),ROUNDUP(AK13,0)))</f>
        <v>5</v>
      </c>
      <c r="AH13" s="62" t="n">
        <f aca="false">IF(CA13=1,0,ROUNDUP(AG13/BZ13,0))</f>
        <v>0</v>
      </c>
      <c r="AI13" s="64" t="n">
        <f aca="false">IF(CR13&gt;0,CR13*MAX(1,AG13/X13),IF(CA13=1,IF(AG13&lt;=0,0,CE13*MAX(1,IF(H13&gt;0,AG13/H13,1))),IF(R13&gt;0,AH13/R13,0))/MAX(0.1,N(Parameter!$M$21)))</f>
        <v>1.60075329566855</v>
      </c>
      <c r="AJ13" s="62" t="n">
        <f aca="false">AI13*CC13</f>
        <v>380.979284369115</v>
      </c>
      <c r="AK13" s="63" t="n">
        <f aca="false">IF(LEFT(Cockpit!$C$5,1)="A",H13,IF(CI13=1,(CL13+CJ13)/2,IF(LEFT(Cockpit!$C$5,1)="B",(CL13+AM13)/2,MAX((CL13+AM13)/2,H13))))</f>
        <v>5</v>
      </c>
      <c r="AL13" s="62" t="n">
        <f aca="false">AK13*G13</f>
        <v>20043.4</v>
      </c>
      <c r="AM13" s="62" t="n">
        <f aca="false">ROUNDUP(CL13+MAX(CM13,2*(J13/IF(CH13&gt;0,CH13,MAX(0.1,N(Cockpit!$C$6)))-CL13)),0)</f>
        <v>19</v>
      </c>
      <c r="AN13" s="63" t="n">
        <f aca="false">IF(AJ13&gt;0,J13/AJ13,-1)</f>
        <v>0.0813692535837865</v>
      </c>
      <c r="AO13" s="63" t="n">
        <f aca="false">IF(AND(OR(CG13="L1",CG13="L23",CG13="LIFT"),AJ13&gt;0),SUMIFS($AJ$7:$AJ$1843,$CG$7:$CG$1843,CG13,$AN$7:$AN$1843,"&gt;"&amp;AN13)+SUMIFS($AJ$7:$AJ$1843,$CG$7:$CG$1843,CG13,$AN$7:$AN$1843,AN13,$BX$7:$BX$1843,"&lt;="&amp;BX13),"")</f>
        <v>17142.9200166594</v>
      </c>
      <c r="AP13" s="70" t="n">
        <f aca="false">IF(AO13="",0,MAX(0,MIN(1,(IF(CG13="L1",Parameter!$H$5,IF(CG13="L23",Parameter!$H$6+Parameter!$H$7,Parameter!$H$5+Parameter!$H$6+Parameter!$H$7))-(AO13-AJ13))/AJ13)))</f>
        <v>1</v>
      </c>
      <c r="AQ13" s="62" t="n">
        <f aca="false">IF(LEFT(Cockpit!$I$5,1)="A",H13,IF(Parameter!$E$30="MAX-Bestand",IF(CI13=1,CJ13,IF(LEFT(Cockpit!$I$5,1)="B",AW13,MAX(AW13,H13))),ROUNDUP(AU13,0)))</f>
        <v>11</v>
      </c>
      <c r="AR13" s="62" t="n">
        <f aca="false">IF(CA13=1,0,ROUNDUP(AQ13/BZ13,0))</f>
        <v>0</v>
      </c>
      <c r="AS13" s="64" t="n">
        <f aca="false">IF(CR13&gt;0,CR13*MAX(1,AQ13/X13),IF(CA13=1,IF(AQ13&lt;=0,0,CE13*MAX(1,IF(H13&gt;0,AQ13/H13,1))),IF(R13&gt;0,AR13/R13,0))/MAX(0.1,N(Parameter!$M$21)))</f>
        <v>1.60075329566855</v>
      </c>
      <c r="AT13" s="62" t="n">
        <f aca="false">AS13*CC13</f>
        <v>380.979284369115</v>
      </c>
      <c r="AU13" s="63" t="n">
        <f aca="false">IF(LEFT(Cockpit!$I$5,1)="A",H13,IF(CI13=1,(CL13+CJ13)/2,IF(LEFT(Cockpit!$I$5,1)="B",(CL13+AW13)/2,MAX((CL13+AW13)/2,H13))))</f>
        <v>10.5</v>
      </c>
      <c r="AV13" s="62" t="n">
        <f aca="false">AU13*G13</f>
        <v>42091.14</v>
      </c>
      <c r="AW13" s="62" t="n">
        <f aca="false">ROUNDUP(CL13+MAX(CM13,2*(J13/IF(CH13&gt;0,CH13,MAX(0.1,N(Cockpit!$I$6)))-CL13)),0)</f>
        <v>19</v>
      </c>
      <c r="AX13" s="63" t="n">
        <f aca="false">IF(AT13&gt;0,J13/AT13,-1)</f>
        <v>0.0813692535837865</v>
      </c>
      <c r="AY13" s="63" t="n">
        <f aca="false">IF(AND(OR(CG13="L1",CG13="L23",CG13="LIFT"),AT13&gt;0),SUMIFS($AT$7:$AT$1843,$CG$7:$CG$1843,CG13,$AX$7:$AX$1843,"&gt;"&amp;AX13)+SUMIFS($AT$7:$AT$1843,$CG$7:$CG$1843,CG13,$AX$7:$AX$1843,AX13,$BX$7:$BX$1843,"&lt;="&amp;BX13),"")</f>
        <v>22202.3186580369</v>
      </c>
      <c r="AZ13" s="70" t="n">
        <f aca="false">IF(AY13="",0,MAX(0,MIN(1,(IF(CG13="L1",Parameter!$H$5,IF(CG13="L23",Parameter!$H$6+Parameter!$H$7,Parameter!$H$5+Parameter!$H$6+Parameter!$H$7))-(AY13-AT13))/AT13)))</f>
        <v>1</v>
      </c>
      <c r="BA13" s="62" t="n">
        <f aca="false">IF(LEFT(Cockpit!$O$5,1)="A",H13,IF(Parameter!$E$30="MAX-Bestand",IF(CI13=1,CJ13,IF(LEFT(Cockpit!$O$5,1)="B",BG13,MAX(BG13,H13))),ROUNDUP(BE13,0)))</f>
        <v>8</v>
      </c>
      <c r="BB13" s="62" t="n">
        <f aca="false">IF(CA13=1,0,ROUNDUP(BA13/BZ13,0))</f>
        <v>0</v>
      </c>
      <c r="BC13" s="64" t="n">
        <f aca="false">IF(CR13&gt;0,CR13*MAX(1,BA13/X13),IF(CA13=1,IF(BA13&lt;=0,0,CE13*MAX(1,IF(H13&gt;0,BA13/H13,1))),IF(R13&gt;0,BB13/R13,0))/MAX(0.1,N(Parameter!$M$21)))</f>
        <v>1.60075329566855</v>
      </c>
      <c r="BD13" s="62" t="n">
        <f aca="false">BC13*CC13</f>
        <v>380.979284369115</v>
      </c>
      <c r="BE13" s="63" t="n">
        <f aca="false">IF(LEFT(Cockpit!$O$5,1)="A",H13,IF(CI13=1,(CL13+CJ13)/2,IF(LEFT(Cockpit!$O$5,1)="B",(CL13+BG13)/2,MAX((CL13+BG13)/2,H13))))</f>
        <v>8</v>
      </c>
      <c r="BF13" s="62" t="n">
        <f aca="false">BE13*G13</f>
        <v>32069.44</v>
      </c>
      <c r="BG13" s="62" t="n">
        <f aca="false">ROUNDUP(CL13+MAX(CM13,2*(J13/IF(CH13&gt;0,CH13,MAX(0.1,N(Cockpit!$O$6)))-CL13)),0)</f>
        <v>14</v>
      </c>
      <c r="BH13" s="63" t="n">
        <f aca="false">IF(BD13&gt;0,J13/BD13,-1)</f>
        <v>0.0813692535837865</v>
      </c>
      <c r="BI13" s="63" t="n">
        <f aca="false">IF(AND(OR(CG13="L1",CG13="L23",CG13="LIFT"),BD13&gt;0),SUMIFS($BD$7:$BD$1843,$CG$7:$CG$1843,CG13,$BH$7:$BH$1843,"&gt;"&amp;BH13)+SUMIFS($BD$7:$BD$1843,$CG$7:$CG$1843,CG13,$BH$7:$BH$1843,BH13,$BX$7:$BX$1843,"&lt;="&amp;BX13),"")</f>
        <v>18812.8748603092</v>
      </c>
      <c r="BJ13" s="70" t="n">
        <f aca="false">IF(BI13="",0,MAX(0,MIN(1,(IF(CG13="L1",Parameter!$H$5,IF(CG13="L23",Parameter!$H$6+Parameter!$H$7,Parameter!$H$5+Parameter!$H$6+Parameter!$H$7))-(BI13-BD13))/BD13)))</f>
        <v>1</v>
      </c>
      <c r="BK13" s="60" t="str">
        <f aca="false">IF(AJ13&lt;=0,"",IF(CG13="Aussen","Aussenlager",IF(CG13="-","Nicht im Lift",IF(AP13&gt;=1,"Lift",IF(AP13&lt;=0,"Aussenlager","teilweise")))))</f>
        <v>Lift</v>
      </c>
      <c r="BL13" s="60" t="str">
        <f aca="false">IF(AT13&lt;=0,"",IF(CG13="Aussen","Aussenlager",IF(CG13="-","Nicht im Lift",IF(AZ13&gt;=1,"Lift",IF(AZ13&lt;=0,"Aussenlager","teilweise")))))</f>
        <v>Lift</v>
      </c>
      <c r="BM13" s="60" t="str">
        <f aca="false">IF(BD13&lt;=0,"",IF(CG13="Aussen","Aussenlager",IF(CG13="-","Nicht im Lift",IF(BJ13&gt;=1,"Lift",IF(BJ13&lt;=0,"Aussenlager","teilweise")))))</f>
        <v>Lift</v>
      </c>
      <c r="BN13" s="60" t="str">
        <f aca="false">IF(A13="","",IF(BW13=1,"Neu; ","")&amp;IF(AND(BW13=0,BR13&lt;0),"negativer Bestand (Export "&amp;BR13&amp;"); ","")&amp;IF(J13&lt;=0,"Kein Verbrauch; ","")&amp;IF(CR13&gt;0,"Lift "&amp;W13&amp;" lt. Liftbericht (Fach "&amp;X13&amp;" Stk); ",IF(CB13=1,"Gebinde geschätzt ("&amp;T13&amp;"); ",IF(CA13=1,"Lose – Tablare geschätzt; ","")))&amp;IF(H13&gt;AW13,"Überbestand "&amp;ROUND(H13-AW13,0)&amp;" Stk / CHF "&amp;ROUND((H13-AW13)*G13,0)&amp;"; ","")&amp;IF(AND(CI13=1,CJ13&lt;CK13),"MAX &lt; MB+LG; ","")&amp;IF(AND(CQ13&gt;0,CP13*10&gt;CQ13),"zu hoch für Tablar; ","")&amp;IF(AND(BW13=0,OR(CI13=1,AB13&lt;&gt;"",U13&lt;&gt;"",V13&lt;&gt;"",AC13&lt;&gt;"")),"manuell übersteuert; ","")&amp;IF(AND(CA13=0,R13=0),"Gebinde unbekannt / Stellmass fehlt; ","")&amp;IF(AND(CA13=0,N(V13)&lt;=0,N(Q13)&lt;=0),"Menge pro Gebinde fehlt (Ist = 1 Gebinde); ","")&amp;BV13)</f>
        <v>Lift 1 lt. Liftbericht (Fach 20 Stk); </v>
      </c>
      <c r="BO13" s="60"/>
      <c r="BP13" s="60"/>
      <c r="BQ13" s="67"/>
      <c r="BR13" s="62" t="n">
        <v>12</v>
      </c>
      <c r="BS13" s="62" t="n">
        <v>3</v>
      </c>
      <c r="BT13" s="61" t="n">
        <v>49636.92</v>
      </c>
      <c r="BU13" s="62" t="n">
        <v>31</v>
      </c>
      <c r="BV13" s="60"/>
      <c r="BW13" s="65" t="n">
        <v>0</v>
      </c>
      <c r="BX13" s="65" t="n">
        <v>13</v>
      </c>
      <c r="BY13" s="60" t="str">
        <f aca="false">IF(U13&lt;&gt;"",UPPER(TRIM(U13)),IF(CB13=1,UPPER(VLOOKUP(T13,Parameter!$I$27:$K$29,2,0)),IF(P13="","LOSE",P13)))</f>
        <v>LOSE</v>
      </c>
      <c r="BZ13" s="62" t="n">
        <f aca="false">IF(BY13="LOSE",1,IF(N(V13)&gt;0,V13,IF(CB13=1,MAX(1,N(VLOOKUP(T13,Parameter!$I$27:$K$29,3,0)),H13,N(N13)),IF(N(Q13)&gt;0,Q13,MAX(1,H13)))))</f>
        <v>1</v>
      </c>
      <c r="CA13" s="65" t="n">
        <f aca="false">IF(BY13="LOSE",1,0)</f>
        <v>1</v>
      </c>
      <c r="CB13" s="65" t="n">
        <f aca="false">IF(AND(U13="",OR(P13="",P13="LOSE"),T13&lt;&gt;"",N(S13)&lt;=0,ISNUMBER(MATCH(T13,Parameter!$I$27:$I$29,0))),1,0)</f>
        <v>0</v>
      </c>
      <c r="CC13" s="65" t="n">
        <f aca="false">IF(CR13&gt;0,INDEX(Parameter!$H$5:$H$7,W13)/INDEX(Parameter!$E$5:$E$7,W13),IF(AND(CA13=0,N(IFERROR(VLOOKUP(BY13,'Gebinde-Kategorie'!$A$5:$N$45,14,0),0))&gt;0),VLOOKUP(BY13,'Gebinde-Kategorie'!$A$5:$N$45,14,0)*10+Parameter!$M$23,Parameter!$M$24))</f>
        <v>238</v>
      </c>
      <c r="CD13" s="60" t="n">
        <f aca="false">IF(AND(Parameter!$B$19="Ja",E13&lt;&gt;"",ISNUMBER(MATCH(E13,Parameter!$I$35:$I$52,0))),VLOOKUP(E13,Parameter!$I$35:$J$52,2,0),IFERROR(VLOOKUP(D13,Parameter!$A$35:$C$64,2,0),"Nein"))</f>
        <v>1</v>
      </c>
      <c r="CE13" s="64" t="n">
        <f aca="false">IF(CA13=0,0,IF(N(S13)&gt;0,S13,IFERROR(VLOOKUP(D13,Parameter!$A$35:$C$64,3,0)+0,0)))</f>
        <v>1</v>
      </c>
      <c r="CF13" s="60" t="n">
        <f aca="false">IF(AB13&lt;&gt;"",AB13,AA13)</f>
        <v>1</v>
      </c>
      <c r="CG13" s="60" t="str">
        <f aca="false">IF(OR(CF13=1,CF13=2,CF13=3),IF(Parameter!$E$27="Ja","LIFT",IF(CF13=1,"L1","L23")),IF(CF13="Aussen","Aussen","-"))</f>
        <v>LIFT</v>
      </c>
      <c r="CH13" s="71" t="n">
        <f aca="false">IF(N(AC13)&gt;0,AC13,0)</f>
        <v>0</v>
      </c>
      <c r="CI13" s="65" t="n">
        <f aca="false">IF(ISNUMBER(AF13),1,0)</f>
        <v>0</v>
      </c>
      <c r="CJ13" s="62" t="n">
        <f aca="false">N(AF13)</f>
        <v>0</v>
      </c>
      <c r="CK13" s="62" t="n">
        <f aca="false">N(M13)+N(N13)</f>
        <v>12</v>
      </c>
      <c r="CL13" s="62" t="n">
        <f aca="false">N(M13)</f>
        <v>2</v>
      </c>
      <c r="CM13" s="62" t="n">
        <f aca="false">N(N13)</f>
        <v>10</v>
      </c>
      <c r="CN13" s="62" t="n">
        <f aca="false">ROUNDUP(H13/BZ13,0)</f>
        <v>5</v>
      </c>
      <c r="CO13" s="62" t="n">
        <f aca="false">ROUNDUP(CJ13/BZ13,0)</f>
        <v>0</v>
      </c>
      <c r="CP13" s="65" t="n">
        <f aca="false">IF(CA13=1,0,IFERROR(VLOOKUP(BY13,'Gebinde-Kategorie'!$A$5:$N$45,5,0)+0,0))</f>
        <v>0</v>
      </c>
      <c r="CQ13" s="65" t="n">
        <f aca="false">IFERROR(IF(OR(CF13=1,CF13=2,CF13=3),N(INDEX(Parameter!$I$5:$I$7,CF13)),0),0)</f>
        <v>0</v>
      </c>
      <c r="CR13" s="64" t="n">
        <f aca="false">IF(AND(Parameter!$B$21="Ja",ISNUMBER(W13),N(X13)&gt;0),IFERROR(N(INDEX(Parameter!$L$5:$L$7,W13))*INDEX(Parameter!$E$5:$E$7,W13)*X13/SUMIFS($X$7:$X$1843,$W$7:$W$1843,W13),0),0)</f>
        <v>1.60075329566855</v>
      </c>
      <c r="CS13" s="62" t="n">
        <f aca="false">IF(AND(OR(CG13="L1",CG13="L23",CG13="LIFT"),H13&gt;0),CC13*IF(CR13&gt;0,CR13*MAX(1,H13/X13),IF(CA13=1,CE13,IF(R13&gt;0,CN13/R13,0))/MAX(0.1,N(Parameter!$M$21))),"")</f>
        <v>380.979284369115</v>
      </c>
      <c r="CT13" s="64" t="n">
        <f aca="false">IF(CS13="","",J13/H13)</f>
        <v>6.2</v>
      </c>
      <c r="CU13" s="62" t="n">
        <f aca="false">IF(CS13="","",H13*G13)</f>
        <v>20043.4</v>
      </c>
      <c r="CV13" s="63" t="n">
        <f aca="false">IF(CS13="","",(CL13+ROUNDUP(CL13+MAX(CM13,2*(J13/MAX(0.1,N(Einkauf!$C$6))-CL13)),0))/2)</f>
        <v>8</v>
      </c>
      <c r="CW13" s="62" t="n">
        <f aca="false">IF(CS13="","",MAX(0,H13-CV13)*G13)</f>
        <v>0</v>
      </c>
      <c r="CX13" s="62" t="n">
        <f aca="false">IF(CS13="","",CS13*MAX(0,1-CV13/H13))</f>
        <v>0</v>
      </c>
      <c r="CY13" s="64" t="n">
        <f aca="false">IF(CS13="","",PERCENTRANK($CS$7:$CS$1843,CS13)+PERCENTRANK($CU$7:$CU$1843,CU13)+1-PERCENTRANK($CT$7:$CT$1843,CT13))</f>
        <v>2.004</v>
      </c>
      <c r="CZ13" s="72" t="n">
        <f aca="false">IF(CS13="","",CHOOSE(MATCH(Einkauf!$C$5,Parameter!$G$23:$G$27,0),CY13,CS13,CU13,-CT13,CW13)+ROW()/1000000000)</f>
        <v>2.004000013</v>
      </c>
    </row>
    <row r="14" customFormat="false" ht="15" hidden="false" customHeight="false" outlineLevel="0" collapsed="false">
      <c r="A14" s="60" t="s">
        <v>233</v>
      </c>
      <c r="B14" s="60" t="s">
        <v>234</v>
      </c>
      <c r="C14" s="60" t="s">
        <v>206</v>
      </c>
      <c r="D14" s="60" t="s">
        <v>215</v>
      </c>
      <c r="E14" s="60"/>
      <c r="F14" s="60" t="s">
        <v>209</v>
      </c>
      <c r="G14" s="61" t="n">
        <v>1751.08</v>
      </c>
      <c r="H14" s="62" t="n">
        <f aca="false">MAX(0,IF(AND(Parameter!$B$21="Ja",ISNUMBER(Y14)),Y14,IF(Parameter!$B$20="Jahresanfang 2025 + Export",BS14+BR14,BR14)))</f>
        <v>23</v>
      </c>
      <c r="I14" s="62" t="n">
        <f aca="false">H14*G14</f>
        <v>40274.84</v>
      </c>
      <c r="J14" s="62" t="n">
        <f aca="false">BU14*Parameter!$B$18</f>
        <v>0</v>
      </c>
      <c r="K14" s="63" t="n">
        <v>0</v>
      </c>
      <c r="L14" s="64" t="n">
        <v>0</v>
      </c>
      <c r="M14" s="62" t="n">
        <v>0</v>
      </c>
      <c r="N14" s="62" t="n">
        <v>1</v>
      </c>
      <c r="O14" s="65" t="n">
        <v>9999</v>
      </c>
      <c r="P14" s="60" t="s">
        <v>210</v>
      </c>
      <c r="Q14" s="62"/>
      <c r="R14" s="65" t="n">
        <f aca="false">IF(CA14=1,0,IFERROR(VLOOKUP(BY14,'Gebinde-Kategorie'!$A$5:$N$45,13,0)+0,0))</f>
        <v>4</v>
      </c>
      <c r="S14" s="66"/>
      <c r="T14" s="67" t="s">
        <v>231</v>
      </c>
      <c r="U14" s="67"/>
      <c r="V14" s="67"/>
      <c r="W14" s="60"/>
      <c r="X14" s="62"/>
      <c r="Y14" s="62"/>
      <c r="Z14" s="60" t="n">
        <v>2</v>
      </c>
      <c r="AA14" s="60" t="n">
        <f aca="false">IF(A14="","",IF(AND(Parameter!$B$21="Ja",ISNUMBER(W14)),W14,IF(AND(Parameter!$E$27="Ja",ISNUMBER(Z14),CD14&lt;&gt;"Nein"),Z14,IF(CD14="2+3",IF(ISNUMBER(SEARCH("grosser Artikel",BV14)),2,IFERROR(VLOOKUP(BY14,Parameter!$F$35:$G$64,2,0),2)),IF(OR(CD14="Nein",CD14=""),"-",CD14)))))</f>
        <v>2</v>
      </c>
      <c r="AB14" s="67"/>
      <c r="AC14" s="68"/>
      <c r="AD14" s="62" t="n">
        <f aca="false">AW14</f>
        <v>1</v>
      </c>
      <c r="AE14" s="62" t="n">
        <f aca="false">MAX(AW14,H14)</f>
        <v>23</v>
      </c>
      <c r="AF14" s="69"/>
      <c r="AG14" s="62" t="n">
        <f aca="false">IF(LEFT(Cockpit!$C$5,1)="A",H14,IF(Parameter!$E$30="MAX-Bestand",IF(CI14=1,CJ14,IF(LEFT(Cockpit!$C$5,1)="B",AM14,MAX(AM14,H14))),ROUNDUP(AK14,0)))</f>
        <v>23</v>
      </c>
      <c r="AH14" s="62" t="n">
        <f aca="false">IF(CA14=1,0,ROUNDUP(AG14/BZ14,0))</f>
        <v>1</v>
      </c>
      <c r="AI14" s="64" t="n">
        <f aca="false">IF(CR14&gt;0,CR14*MAX(1,AG14/X14),IF(CA14=1,IF(AG14&lt;=0,0,CE14*MAX(1,IF(H14&gt;0,AG14/H14,1))),IF(R14&gt;0,AH14/R14,0))/MAX(0.1,N(Parameter!$M$21)))</f>
        <v>0.25</v>
      </c>
      <c r="AJ14" s="62" t="n">
        <f aca="false">AI14*CC14</f>
        <v>58.75</v>
      </c>
      <c r="AK14" s="63" t="n">
        <f aca="false">IF(LEFT(Cockpit!$C$5,1)="A",H14,IF(CI14=1,(CL14+CJ14)/2,IF(LEFT(Cockpit!$C$5,1)="B",(CL14+AM14)/2,MAX((CL14+AM14)/2,H14))))</f>
        <v>23</v>
      </c>
      <c r="AL14" s="62" t="n">
        <f aca="false">AK14*G14</f>
        <v>40274.84</v>
      </c>
      <c r="AM14" s="62" t="n">
        <f aca="false">ROUNDUP(CL14+MAX(CM14,2*(J14/IF(CH14&gt;0,CH14,MAX(0.1,N(Cockpit!$C$6)))-CL14)),0)</f>
        <v>1</v>
      </c>
      <c r="AN14" s="63" t="n">
        <f aca="false">IF(AJ14&gt;0,J14/AJ14,-1)</f>
        <v>0</v>
      </c>
      <c r="AO14" s="63" t="n">
        <f aca="false">IF(AND(OR(CG14="L1",CG14="L23",CG14="LIFT"),AJ14&gt;0),SUMIFS($AJ$7:$AJ$1843,$CG$7:$CG$1843,CG14,$AN$7:$AN$1843,"&gt;"&amp;AN14)+SUMIFS($AJ$7:$AJ$1843,$CG$7:$CG$1843,CG14,$AN$7:$AN$1843,AN14,$BX$7:$BX$1843,"&lt;="&amp;BX14),"")</f>
        <v>25546.5219081766</v>
      </c>
      <c r="AP14" s="70" t="n">
        <f aca="false">IF(AO14="",0,MAX(0,MIN(1,(IF(CG14="L1",Parameter!$H$5,IF(CG14="L23",Parameter!$H$6+Parameter!$H$7,Parameter!$H$5+Parameter!$H$6+Parameter!$H$7))-(AO14-AJ14))/AJ14)))</f>
        <v>1</v>
      </c>
      <c r="AQ14" s="62" t="n">
        <f aca="false">IF(LEFT(Cockpit!$I$5,1)="A",H14,IF(Parameter!$E$30="MAX-Bestand",IF(CI14=1,CJ14,IF(LEFT(Cockpit!$I$5,1)="B",AW14,MAX(AW14,H14))),ROUNDUP(AU14,0)))</f>
        <v>23</v>
      </c>
      <c r="AR14" s="62" t="n">
        <f aca="false">IF(CA14=1,0,ROUNDUP(AQ14/BZ14,0))</f>
        <v>1</v>
      </c>
      <c r="AS14" s="64" t="n">
        <f aca="false">IF(CR14&gt;0,CR14*MAX(1,AQ14/X14),IF(CA14=1,IF(AQ14&lt;=0,0,CE14*MAX(1,IF(H14&gt;0,AQ14/H14,1))),IF(R14&gt;0,AR14/R14,0))/MAX(0.1,N(Parameter!$M$21)))</f>
        <v>0.25</v>
      </c>
      <c r="AT14" s="62" t="n">
        <f aca="false">AS14*CC14</f>
        <v>58.75</v>
      </c>
      <c r="AU14" s="63" t="n">
        <f aca="false">IF(LEFT(Cockpit!$I$5,1)="A",H14,IF(CI14=1,(CL14+CJ14)/2,IF(LEFT(Cockpit!$I$5,1)="B",(CL14+AW14)/2,MAX((CL14+AW14)/2,H14))))</f>
        <v>23</v>
      </c>
      <c r="AV14" s="62" t="n">
        <f aca="false">AU14*G14</f>
        <v>40274.84</v>
      </c>
      <c r="AW14" s="62" t="n">
        <f aca="false">ROUNDUP(CL14+MAX(CM14,2*(J14/IF(CH14&gt;0,CH14,MAX(0.1,N(Cockpit!$I$6)))-CL14)),0)</f>
        <v>1</v>
      </c>
      <c r="AX14" s="63" t="n">
        <f aca="false">IF(AT14&gt;0,J14/AT14,-1)</f>
        <v>0</v>
      </c>
      <c r="AY14" s="63" t="n">
        <f aca="false">IF(AND(OR(CG14="L1",CG14="L23",CG14="LIFT"),AT14&gt;0),SUMIFS($AT$7:$AT$1843,$CG$7:$CG$1843,CG14,$AX$7:$AX$1843,"&gt;"&amp;AX14)+SUMIFS($AT$7:$AT$1843,$CG$7:$CG$1843,CG14,$AX$7:$AX$1843,AX14,$BX$7:$BX$1843,"&lt;="&amp;BX14),"")</f>
        <v>30899.670549554</v>
      </c>
      <c r="AZ14" s="70" t="n">
        <f aca="false">IF(AY14="",0,MAX(0,MIN(1,(IF(CG14="L1",Parameter!$H$5,IF(CG14="L23",Parameter!$H$6+Parameter!$H$7,Parameter!$H$5+Parameter!$H$6+Parameter!$H$7))-(AY14-AT14))/AT14)))</f>
        <v>1</v>
      </c>
      <c r="BA14" s="62" t="n">
        <f aca="false">IF(LEFT(Cockpit!$O$5,1)="A",H14,IF(Parameter!$E$30="MAX-Bestand",IF(CI14=1,CJ14,IF(LEFT(Cockpit!$O$5,1)="B",BG14,MAX(BG14,H14))),ROUNDUP(BE14,0)))</f>
        <v>1</v>
      </c>
      <c r="BB14" s="62" t="n">
        <f aca="false">IF(CA14=1,0,ROUNDUP(BA14/BZ14,0))</f>
        <v>1</v>
      </c>
      <c r="BC14" s="64" t="n">
        <f aca="false">IF(CR14&gt;0,CR14*MAX(1,BA14/X14),IF(CA14=1,IF(BA14&lt;=0,0,CE14*MAX(1,IF(H14&gt;0,BA14/H14,1))),IF(R14&gt;0,BB14/R14,0))/MAX(0.1,N(Parameter!$M$21)))</f>
        <v>0.25</v>
      </c>
      <c r="BD14" s="62" t="n">
        <f aca="false">BC14*CC14</f>
        <v>58.75</v>
      </c>
      <c r="BE14" s="63" t="n">
        <f aca="false">IF(LEFT(Cockpit!$O$5,1)="A",H14,IF(CI14=1,(CL14+CJ14)/2,IF(LEFT(Cockpit!$O$5,1)="B",(CL14+BG14)/2,MAX((CL14+BG14)/2,H14))))</f>
        <v>0.5</v>
      </c>
      <c r="BF14" s="62" t="n">
        <f aca="false">BE14*G14</f>
        <v>875.54</v>
      </c>
      <c r="BG14" s="62" t="n">
        <f aca="false">ROUNDUP(CL14+MAX(CM14,2*(J14/IF(CH14&gt;0,CH14,MAX(0.1,N(Cockpit!$O$6)))-CL14)),0)</f>
        <v>1</v>
      </c>
      <c r="BH14" s="63" t="n">
        <f aca="false">IF(BD14&gt;0,J14/BD14,-1)</f>
        <v>0</v>
      </c>
      <c r="BI14" s="63" t="n">
        <f aca="false">IF(AND(OR(CG14="L1",CG14="L23",CG14="LIFT"),BD14&gt;0),SUMIFS($BD$7:$BD$1843,$CG$7:$CG$1843,CG14,$BH$7:$BH$1843,"&gt;"&amp;BH14)+SUMIFS($BD$7:$BD$1843,$CG$7:$CG$1843,CG14,$BH$7:$BH$1843,BH14,$BX$7:$BX$1843,"&lt;="&amp;BX14),"")</f>
        <v>25155.002392852</v>
      </c>
      <c r="BJ14" s="70" t="n">
        <f aca="false">IF(BI14="",0,MAX(0,MIN(1,(IF(CG14="L1",Parameter!$H$5,IF(CG14="L23",Parameter!$H$6+Parameter!$H$7,Parameter!$H$5+Parameter!$H$6+Parameter!$H$7))-(BI14-BD14))/BD14)))</f>
        <v>1</v>
      </c>
      <c r="BK14" s="60" t="str">
        <f aca="false">IF(AJ14&lt;=0,"",IF(CG14="Aussen","Aussenlager",IF(CG14="-","Nicht im Lift",IF(AP14&gt;=1,"Lift",IF(AP14&lt;=0,"Aussenlager","teilweise")))))</f>
        <v>Lift</v>
      </c>
      <c r="BL14" s="60" t="str">
        <f aca="false">IF(AT14&lt;=0,"",IF(CG14="Aussen","Aussenlager",IF(CG14="-","Nicht im Lift",IF(AZ14&gt;=1,"Lift",IF(AZ14&lt;=0,"Aussenlager","teilweise")))))</f>
        <v>Lift</v>
      </c>
      <c r="BM14" s="60" t="str">
        <f aca="false">IF(BD14&lt;=0,"",IF(CG14="Aussen","Aussenlager",IF(CG14="-","Nicht im Lift",IF(BJ14&gt;=1,"Lift",IF(BJ14&lt;=0,"Aussenlager","teilweise")))))</f>
        <v>Lift</v>
      </c>
      <c r="BN14" s="60" t="str">
        <f aca="false">IF(A14="","",IF(BW14=1,"Neu; ","")&amp;IF(AND(BW14=0,BR14&lt;0),"negativer Bestand (Export "&amp;BR14&amp;"); ","")&amp;IF(J14&lt;=0,"Kein Verbrauch; ","")&amp;IF(CR14&gt;0,"Lift "&amp;W14&amp;" lt. Liftbericht (Fach "&amp;X14&amp;" Stk); ",IF(CB14=1,"Gebinde geschätzt ("&amp;T14&amp;"); ",IF(CA14=1,"Lose – Tablare geschätzt; ","")))&amp;IF(H14&gt;AW14,"Überbestand "&amp;ROUND(H14-AW14,0)&amp;" Stk / CHF "&amp;ROUND((H14-AW14)*G14,0)&amp;"; ","")&amp;IF(AND(CI14=1,CJ14&lt;CK14),"MAX &lt; MB+LG; ","")&amp;IF(AND(CQ14&gt;0,CP14*10&gt;CQ14),"zu hoch für Tablar; ","")&amp;IF(AND(BW14=0,OR(CI14=1,AB14&lt;&gt;"",U14&lt;&gt;"",V14&lt;&gt;"",AC14&lt;&gt;"")),"manuell übersteuert; ","")&amp;IF(AND(CA14=0,R14=0),"Gebinde unbekannt / Stellmass fehlt; ","")&amp;IF(AND(CA14=0,N(V14)&lt;=0,N(Q14)&lt;=0),"Menge pro Gebinde fehlt (Ist = 1 Gebinde); ","")&amp;BV14)</f>
        <v>Kein Verbrauch; Gebinde geschätzt (Gross); Überbestand 22 Stk / CHF 38524; Menge pro Gebinde fehlt (Ist = 1 Gebinde); </v>
      </c>
      <c r="BO14" s="60" t="s">
        <v>235</v>
      </c>
      <c r="BP14" s="60" t="s">
        <v>236</v>
      </c>
      <c r="BQ14" s="67"/>
      <c r="BR14" s="62" t="n">
        <v>23</v>
      </c>
      <c r="BS14" s="62" t="n">
        <v>0</v>
      </c>
      <c r="BT14" s="61" t="n">
        <v>40274.84</v>
      </c>
      <c r="BU14" s="62" t="n">
        <v>0</v>
      </c>
      <c r="BV14" s="60"/>
      <c r="BW14" s="65" t="n">
        <v>0</v>
      </c>
      <c r="BX14" s="65" t="n">
        <v>14</v>
      </c>
      <c r="BY14" s="60" t="str">
        <f aca="false">IF(U14&lt;&gt;"",UPPER(TRIM(U14)),IF(CB14=1,UPPER(VLOOKUP(T14,Parameter!$I$27:$K$29,2,0)),IF(P14="","LOSE",P14)))</f>
        <v>S81</v>
      </c>
      <c r="BZ14" s="62" t="n">
        <f aca="false">IF(BY14="LOSE",1,IF(N(V14)&gt;0,V14,IF(CB14=1,MAX(1,N(VLOOKUP(T14,Parameter!$I$27:$K$29,3,0)),H14,N(N14)),IF(N(Q14)&gt;0,Q14,MAX(1,H14)))))</f>
        <v>23</v>
      </c>
      <c r="CA14" s="65" t="n">
        <f aca="false">IF(BY14="LOSE",1,0)</f>
        <v>0</v>
      </c>
      <c r="CB14" s="65" t="n">
        <f aca="false">IF(AND(U14="",OR(P14="",P14="LOSE"),T14&lt;&gt;"",N(S14)&lt;=0,ISNUMBER(MATCH(T14,Parameter!$I$27:$I$29,0))),1,0)</f>
        <v>1</v>
      </c>
      <c r="CC14" s="65" t="n">
        <f aca="false">IF(CR14&gt;0,INDEX(Parameter!$H$5:$H$7,W14)/INDEX(Parameter!$E$5:$E$7,W14),IF(AND(CA14=0,N(IFERROR(VLOOKUP(BY14,'Gebinde-Kategorie'!$A$5:$N$45,14,0),0))&gt;0),VLOOKUP(BY14,'Gebinde-Kategorie'!$A$5:$N$45,14,0)*10+Parameter!$M$23,Parameter!$M$24))</f>
        <v>235</v>
      </c>
      <c r="CD14" s="60" t="str">
        <f aca="false">IF(AND(Parameter!$B$19="Ja",E14&lt;&gt;"",ISNUMBER(MATCH(E14,Parameter!$I$35:$I$52,0))),VLOOKUP(E14,Parameter!$I$35:$J$52,2,0),IFERROR(VLOOKUP(D14,Parameter!$A$35:$C$64,2,0),"Nein"))</f>
        <v>2+3</v>
      </c>
      <c r="CE14" s="64" t="n">
        <f aca="false">IF(CA14=0,0,IF(N(S14)&gt;0,S14,IFERROR(VLOOKUP(D14,Parameter!$A$35:$C$64,3,0)+0,0)))</f>
        <v>0</v>
      </c>
      <c r="CF14" s="60" t="n">
        <f aca="false">IF(AB14&lt;&gt;"",AB14,AA14)</f>
        <v>2</v>
      </c>
      <c r="CG14" s="60" t="str">
        <f aca="false">IF(OR(CF14=1,CF14=2,CF14=3),IF(Parameter!$E$27="Ja","LIFT",IF(CF14=1,"L1","L23")),IF(CF14="Aussen","Aussen","-"))</f>
        <v>LIFT</v>
      </c>
      <c r="CH14" s="71" t="n">
        <f aca="false">IF(N(AC14)&gt;0,AC14,0)</f>
        <v>0</v>
      </c>
      <c r="CI14" s="65" t="n">
        <f aca="false">IF(ISNUMBER(AF14),1,0)</f>
        <v>0</v>
      </c>
      <c r="CJ14" s="62" t="n">
        <f aca="false">N(AF14)</f>
        <v>0</v>
      </c>
      <c r="CK14" s="62" t="n">
        <f aca="false">N(M14)+N(N14)</f>
        <v>1</v>
      </c>
      <c r="CL14" s="62" t="n">
        <f aca="false">N(M14)</f>
        <v>0</v>
      </c>
      <c r="CM14" s="62" t="n">
        <f aca="false">N(N14)</f>
        <v>1</v>
      </c>
      <c r="CN14" s="62" t="n">
        <f aca="false">ROUNDUP(H14/BZ14,0)</f>
        <v>1</v>
      </c>
      <c r="CO14" s="62" t="n">
        <f aca="false">ROUNDUP(CJ14/BZ14,0)</f>
        <v>0</v>
      </c>
      <c r="CP14" s="65" t="n">
        <f aca="false">IF(CA14=1,0,IFERROR(VLOOKUP(BY14,'Gebinde-Kategorie'!$A$5:$N$45,5,0)+0,0))</f>
        <v>20</v>
      </c>
      <c r="CQ14" s="65" t="n">
        <f aca="false">IFERROR(IF(OR(CF14=1,CF14=2,CF14=3),N(INDEX(Parameter!$I$5:$I$7,CF14)),0),0)</f>
        <v>0</v>
      </c>
      <c r="CR14" s="64" t="n">
        <f aca="false">IF(AND(Parameter!$B$21="Ja",ISNUMBER(W14),N(X14)&gt;0),IFERROR(N(INDEX(Parameter!$L$5:$L$7,W14))*INDEX(Parameter!$E$5:$E$7,W14)*X14/SUMIFS($X$7:$X$1843,$W$7:$W$1843,W14),0),0)</f>
        <v>0</v>
      </c>
      <c r="CS14" s="62" t="n">
        <f aca="false">IF(AND(OR(CG14="L1",CG14="L23",CG14="LIFT"),H14&gt;0),CC14*IF(CR14&gt;0,CR14*MAX(1,H14/X14),IF(CA14=1,CE14,IF(R14&gt;0,CN14/R14,0))/MAX(0.1,N(Parameter!$M$21))),"")</f>
        <v>58.75</v>
      </c>
      <c r="CT14" s="64" t="n">
        <f aca="false">IF(CS14="","",J14/H14)</f>
        <v>0</v>
      </c>
      <c r="CU14" s="62" t="n">
        <f aca="false">IF(CS14="","",H14*G14)</f>
        <v>40274.84</v>
      </c>
      <c r="CV14" s="63" t="n">
        <f aca="false">IF(CS14="","",(CL14+ROUNDUP(CL14+MAX(CM14,2*(J14/MAX(0.1,N(Einkauf!$C$6))-CL14)),0))/2)</f>
        <v>0.5</v>
      </c>
      <c r="CW14" s="62" t="n">
        <f aca="false">IF(CS14="","",MAX(0,H14-CV14)*G14)</f>
        <v>39399.3</v>
      </c>
      <c r="CX14" s="62" t="n">
        <f aca="false">IF(CS14="","",CS14*MAX(0,1-CV14/H14))</f>
        <v>57.4728260869565</v>
      </c>
      <c r="CY14" s="64" t="n">
        <f aca="false">IF(CS14="","",PERCENTRANK($CS$7:$CS$1843,CS14)+PERCENTRANK($CU$7:$CU$1843,CU14)+1-PERCENTRANK($CT$7:$CT$1843,CT14))</f>
        <v>2.91</v>
      </c>
      <c r="CZ14" s="72" t="n">
        <f aca="false">IF(CS14="","",CHOOSE(MATCH(Einkauf!$C$5,Parameter!$G$23:$G$27,0),CY14,CS14,CU14,-CT14,CW14)+ROW()/1000000000)</f>
        <v>2.910000014</v>
      </c>
    </row>
    <row r="15" customFormat="false" ht="15" hidden="false" customHeight="false" outlineLevel="0" collapsed="false">
      <c r="A15" s="60" t="s">
        <v>237</v>
      </c>
      <c r="B15" s="60" t="s">
        <v>238</v>
      </c>
      <c r="C15" s="60" t="s">
        <v>206</v>
      </c>
      <c r="D15" s="60" t="s">
        <v>215</v>
      </c>
      <c r="E15" s="60"/>
      <c r="F15" s="60" t="s">
        <v>209</v>
      </c>
      <c r="G15" s="61" t="n">
        <v>5356</v>
      </c>
      <c r="H15" s="62" t="n">
        <f aca="false">MAX(0,IF(AND(Parameter!$B$21="Ja",ISNUMBER(Y15)),Y15,IF(Parameter!$B$20="Jahresanfang 2025 + Export",BS15+BR15,BR15)))</f>
        <v>6</v>
      </c>
      <c r="I15" s="62" t="n">
        <f aca="false">H15*G15</f>
        <v>32136</v>
      </c>
      <c r="J15" s="62" t="n">
        <f aca="false">BU15*Parameter!$B$18</f>
        <v>23</v>
      </c>
      <c r="K15" s="63" t="n">
        <v>0.5</v>
      </c>
      <c r="L15" s="64" t="n">
        <v>46</v>
      </c>
      <c r="M15" s="62" t="n">
        <v>6</v>
      </c>
      <c r="N15" s="62" t="n">
        <v>5</v>
      </c>
      <c r="O15" s="65" t="n">
        <v>100</v>
      </c>
      <c r="P15" s="60" t="s">
        <v>210</v>
      </c>
      <c r="Q15" s="62"/>
      <c r="R15" s="65" t="n">
        <f aca="false">IF(CA15=1,0,IFERROR(VLOOKUP(BY15,'Gebinde-Kategorie'!$A$5:$N$45,13,0)+0,0))</f>
        <v>12</v>
      </c>
      <c r="S15" s="66"/>
      <c r="T15" s="67" t="s">
        <v>221</v>
      </c>
      <c r="U15" s="67"/>
      <c r="V15" s="67"/>
      <c r="W15" s="60"/>
      <c r="X15" s="62"/>
      <c r="Y15" s="62"/>
      <c r="Z15" s="60" t="n">
        <v>3</v>
      </c>
      <c r="AA15" s="60" t="n">
        <f aca="false">IF(A15="","",IF(AND(Parameter!$B$21="Ja",ISNUMBER(W15)),W15,IF(AND(Parameter!$E$27="Ja",ISNUMBER(Z15),CD15&lt;&gt;"Nein"),Z15,IF(CD15="2+3",IF(ISNUMBER(SEARCH("grosser Artikel",BV15)),2,IFERROR(VLOOKUP(BY15,Parameter!$F$35:$G$64,2,0),2)),IF(OR(CD15="Nein",CD15=""),"-",CD15)))))</f>
        <v>3</v>
      </c>
      <c r="AB15" s="67"/>
      <c r="AC15" s="68"/>
      <c r="AD15" s="62" t="n">
        <f aca="false">AW15</f>
        <v>11</v>
      </c>
      <c r="AE15" s="62" t="n">
        <f aca="false">MAX(AW15,H15)</f>
        <v>11</v>
      </c>
      <c r="AF15" s="69"/>
      <c r="AG15" s="62" t="n">
        <f aca="false">IF(LEFT(Cockpit!$C$5,1)="A",H15,IF(Parameter!$E$30="MAX-Bestand",IF(CI15=1,CJ15,IF(LEFT(Cockpit!$C$5,1)="B",AM15,MAX(AM15,H15))),ROUNDUP(AK15,0)))</f>
        <v>6</v>
      </c>
      <c r="AH15" s="62" t="n">
        <f aca="false">IF(CA15=1,0,ROUNDUP(AG15/BZ15,0))</f>
        <v>1</v>
      </c>
      <c r="AI15" s="64" t="n">
        <f aca="false">IF(CR15&gt;0,CR15*MAX(1,AG15/X15),IF(CA15=1,IF(AG15&lt;=0,0,CE15*MAX(1,IF(H15&gt;0,AG15/H15,1))),IF(R15&gt;0,AH15/R15,0))/MAX(0.1,N(Parameter!$M$21)))</f>
        <v>0.0833333333333333</v>
      </c>
      <c r="AJ15" s="62" t="n">
        <f aca="false">AI15*CC15</f>
        <v>12.0833333333333</v>
      </c>
      <c r="AK15" s="63" t="n">
        <f aca="false">IF(LEFT(Cockpit!$C$5,1)="A",H15,IF(CI15=1,(CL15+CJ15)/2,IF(LEFT(Cockpit!$C$5,1)="B",(CL15+AM15)/2,MAX((CL15+AM15)/2,H15))))</f>
        <v>6</v>
      </c>
      <c r="AL15" s="62" t="n">
        <f aca="false">AK15*G15</f>
        <v>32136</v>
      </c>
      <c r="AM15" s="62" t="n">
        <f aca="false">ROUNDUP(CL15+MAX(CM15,2*(J15/IF(CH15&gt;0,CH15,MAX(0.1,N(Cockpit!$C$6)))-CL15)),0)</f>
        <v>11</v>
      </c>
      <c r="AN15" s="63" t="n">
        <f aca="false">IF(AJ15&gt;0,J15/AJ15,-1)</f>
        <v>1.90344827586207</v>
      </c>
      <c r="AO15" s="63" t="n">
        <f aca="false">IF(AND(OR(CG15="L1",CG15="L23",CG15="LIFT"),AJ15&gt;0),SUMIFS($AJ$7:$AJ$1843,$CG$7:$CG$1843,CG15,$AN$7:$AN$1843,"&gt;"&amp;AN15)+SUMIFS($AJ$7:$AJ$1843,$CG$7:$CG$1843,CG15,$AN$7:$AN$1843,AN15,$BX$7:$BX$1843,"&lt;="&amp;BX15),"")</f>
        <v>5953.84661172161</v>
      </c>
      <c r="AP15" s="70" t="n">
        <f aca="false">IF(AO15="",0,MAX(0,MIN(1,(IF(CG15="L1",Parameter!$H$5,IF(CG15="L23",Parameter!$H$6+Parameter!$H$7,Parameter!$H$5+Parameter!$H$6+Parameter!$H$7))-(AO15-AJ15))/AJ15)))</f>
        <v>1</v>
      </c>
      <c r="AQ15" s="62" t="n">
        <f aca="false">IF(LEFT(Cockpit!$I$5,1)="A",H15,IF(Parameter!$E$30="MAX-Bestand",IF(CI15=1,CJ15,IF(LEFT(Cockpit!$I$5,1)="B",AW15,MAX(AW15,H15))),ROUNDUP(AU15,0)))</f>
        <v>9</v>
      </c>
      <c r="AR15" s="62" t="n">
        <f aca="false">IF(CA15=1,0,ROUNDUP(AQ15/BZ15,0))</f>
        <v>2</v>
      </c>
      <c r="AS15" s="64" t="n">
        <f aca="false">IF(CR15&gt;0,CR15*MAX(1,AQ15/X15),IF(CA15=1,IF(AQ15&lt;=0,0,CE15*MAX(1,IF(H15&gt;0,AQ15/H15,1))),IF(R15&gt;0,AR15/R15,0))/MAX(0.1,N(Parameter!$M$21)))</f>
        <v>0.166666666666667</v>
      </c>
      <c r="AT15" s="62" t="n">
        <f aca="false">AS15*CC15</f>
        <v>24.1666666666667</v>
      </c>
      <c r="AU15" s="63" t="n">
        <f aca="false">IF(LEFT(Cockpit!$I$5,1)="A",H15,IF(CI15=1,(CL15+CJ15)/2,IF(LEFT(Cockpit!$I$5,1)="B",(CL15+AW15)/2,MAX((CL15+AW15)/2,H15))))</f>
        <v>8.5</v>
      </c>
      <c r="AV15" s="62" t="n">
        <f aca="false">AU15*G15</f>
        <v>45526</v>
      </c>
      <c r="AW15" s="62" t="n">
        <f aca="false">ROUNDUP(CL15+MAX(CM15,2*(J15/IF(CH15&gt;0,CH15,MAX(0.1,N(Cockpit!$I$6)))-CL15)),0)</f>
        <v>11</v>
      </c>
      <c r="AX15" s="63" t="n">
        <f aca="false">IF(AT15&gt;0,J15/AT15,-1)</f>
        <v>0.951724137931035</v>
      </c>
      <c r="AY15" s="63" t="n">
        <f aca="false">IF(AND(OR(CG15="L1",CG15="L23",CG15="LIFT"),AT15&gt;0),SUMIFS($AT$7:$AT$1843,$CG$7:$CG$1843,CG15,$AX$7:$AX$1843,"&gt;"&amp;AX15)+SUMIFS($AT$7:$AT$1843,$CG$7:$CG$1843,CG15,$AX$7:$AX$1843,AX15,$BX$7:$BX$1843,"&lt;="&amp;BX15),"")</f>
        <v>8650.3956043956</v>
      </c>
      <c r="AZ15" s="70" t="n">
        <f aca="false">IF(AY15="",0,MAX(0,MIN(1,(IF(CG15="L1",Parameter!$H$5,IF(CG15="L23",Parameter!$H$6+Parameter!$H$7,Parameter!$H$5+Parameter!$H$6+Parameter!$H$7))-(AY15-AT15))/AT15)))</f>
        <v>1</v>
      </c>
      <c r="BA15" s="62" t="n">
        <f aca="false">IF(LEFT(Cockpit!$O$5,1)="A",H15,IF(Parameter!$E$30="MAX-Bestand",IF(CI15=1,CJ15,IF(LEFT(Cockpit!$O$5,1)="B",BG15,MAX(BG15,H15))),ROUNDUP(BE15,0)))</f>
        <v>9</v>
      </c>
      <c r="BB15" s="62" t="n">
        <f aca="false">IF(CA15=1,0,ROUNDUP(BA15/BZ15,0))</f>
        <v>2</v>
      </c>
      <c r="BC15" s="64" t="n">
        <f aca="false">IF(CR15&gt;0,CR15*MAX(1,BA15/X15),IF(CA15=1,IF(BA15&lt;=0,0,CE15*MAX(1,IF(H15&gt;0,BA15/H15,1))),IF(R15&gt;0,BB15/R15,0))/MAX(0.1,N(Parameter!$M$21)))</f>
        <v>0.166666666666667</v>
      </c>
      <c r="BD15" s="62" t="n">
        <f aca="false">BC15*CC15</f>
        <v>24.1666666666667</v>
      </c>
      <c r="BE15" s="63" t="n">
        <f aca="false">IF(LEFT(Cockpit!$O$5,1)="A",H15,IF(CI15=1,(CL15+CJ15)/2,IF(LEFT(Cockpit!$O$5,1)="B",(CL15+BG15)/2,MAX((CL15+BG15)/2,H15))))</f>
        <v>8.5</v>
      </c>
      <c r="BF15" s="62" t="n">
        <f aca="false">BE15*G15</f>
        <v>45526</v>
      </c>
      <c r="BG15" s="62" t="n">
        <f aca="false">ROUNDUP(CL15+MAX(CM15,2*(J15/IF(CH15&gt;0,CH15,MAX(0.1,N(Cockpit!$O$6)))-CL15)),0)</f>
        <v>11</v>
      </c>
      <c r="BH15" s="63" t="n">
        <f aca="false">IF(BD15&gt;0,J15/BD15,-1)</f>
        <v>0.951724137931035</v>
      </c>
      <c r="BI15" s="63" t="n">
        <f aca="false">IF(AND(OR(CG15="L1",CG15="L23",CG15="LIFT"),BD15&gt;0),SUMIFS($BD$7:$BD$1843,$CG$7:$CG$1843,CG15,$BH$7:$BH$1843,"&gt;"&amp;BH15)+SUMIFS($BD$7:$BD$1843,$CG$7:$CG$1843,CG15,$BH$7:$BH$1843,BH15,$BX$7:$BX$1843,"&lt;="&amp;BX15),"")</f>
        <v>8026.32921245421</v>
      </c>
      <c r="BJ15" s="70" t="n">
        <f aca="false">IF(BI15="",0,MAX(0,MIN(1,(IF(CG15="L1",Parameter!$H$5,IF(CG15="L23",Parameter!$H$6+Parameter!$H$7,Parameter!$H$5+Parameter!$H$6+Parameter!$H$7))-(BI15-BD15))/BD15)))</f>
        <v>1</v>
      </c>
      <c r="BK15" s="60" t="str">
        <f aca="false">IF(AJ15&lt;=0,"",IF(CG15="Aussen","Aussenlager",IF(CG15="-","Nicht im Lift",IF(AP15&gt;=1,"Lift",IF(AP15&lt;=0,"Aussenlager","teilweise")))))</f>
        <v>Lift</v>
      </c>
      <c r="BL15" s="60" t="str">
        <f aca="false">IF(AT15&lt;=0,"",IF(CG15="Aussen","Aussenlager",IF(CG15="-","Nicht im Lift",IF(AZ15&gt;=1,"Lift",IF(AZ15&lt;=0,"Aussenlager","teilweise")))))</f>
        <v>Lift</v>
      </c>
      <c r="BM15" s="60" t="str">
        <f aca="false">IF(BD15&lt;=0,"",IF(CG15="Aussen","Aussenlager",IF(CG15="-","Nicht im Lift",IF(BJ15&gt;=1,"Lift",IF(BJ15&lt;=0,"Aussenlager","teilweise")))))</f>
        <v>Lift</v>
      </c>
      <c r="BN15" s="60" t="str">
        <f aca="false">IF(A15="","",IF(BW15=1,"Neu; ","")&amp;IF(AND(BW15=0,BR15&lt;0),"negativer Bestand (Export "&amp;BR15&amp;"); ","")&amp;IF(J15&lt;=0,"Kein Verbrauch; ","")&amp;IF(CR15&gt;0,"Lift "&amp;W15&amp;" lt. Liftbericht (Fach "&amp;X15&amp;" Stk); ",IF(CB15=1,"Gebinde geschätzt ("&amp;T15&amp;"); ",IF(CA15=1,"Lose – Tablare geschätzt; ","")))&amp;IF(H15&gt;AW15,"Überbestand "&amp;ROUND(H15-AW15,0)&amp;" Stk / CHF "&amp;ROUND((H15-AW15)*G15,0)&amp;"; ","")&amp;IF(AND(CI15=1,CJ15&lt;CK15),"MAX &lt; MB+LG; ","")&amp;IF(AND(CQ15&gt;0,CP15*10&gt;CQ15),"zu hoch für Tablar; ","")&amp;IF(AND(BW15=0,OR(CI15=1,AB15&lt;&gt;"",U15&lt;&gt;"",V15&lt;&gt;"",AC15&lt;&gt;"")),"manuell übersteuert; ","")&amp;IF(AND(CA15=0,R15=0),"Gebinde unbekannt / Stellmass fehlt; ","")&amp;IF(AND(CA15=0,N(V15)&lt;=0,N(Q15)&lt;=0),"Menge pro Gebinde fehlt (Ist = 1 Gebinde); ","")&amp;BV15)</f>
        <v>Gebinde geschätzt (Mittel); Menge pro Gebinde fehlt (Ist = 1 Gebinde); </v>
      </c>
      <c r="BO15" s="60"/>
      <c r="BP15" s="60"/>
      <c r="BQ15" s="67"/>
      <c r="BR15" s="62" t="n">
        <v>6</v>
      </c>
      <c r="BS15" s="62" t="n">
        <v>0</v>
      </c>
      <c r="BT15" s="61" t="n">
        <v>32136</v>
      </c>
      <c r="BU15" s="62" t="n">
        <v>23</v>
      </c>
      <c r="BV15" s="60"/>
      <c r="BW15" s="65" t="n">
        <v>0</v>
      </c>
      <c r="BX15" s="65" t="n">
        <v>15</v>
      </c>
      <c r="BY15" s="60" t="str">
        <f aca="false">IF(U15&lt;&gt;"",UPPER(TRIM(U15)),IF(CB15=1,UPPER(VLOOKUP(T15,Parameter!$I$27:$K$29,2,0)),IF(P15="","LOSE",P15)))</f>
        <v>S61</v>
      </c>
      <c r="BZ15" s="62" t="n">
        <f aca="false">IF(BY15="LOSE",1,IF(N(V15)&gt;0,V15,IF(CB15=1,MAX(1,N(VLOOKUP(T15,Parameter!$I$27:$K$29,3,0)),H15,N(N15)),IF(N(Q15)&gt;0,Q15,MAX(1,H15)))))</f>
        <v>6</v>
      </c>
      <c r="CA15" s="65" t="n">
        <f aca="false">IF(BY15="LOSE",1,0)</f>
        <v>0</v>
      </c>
      <c r="CB15" s="65" t="n">
        <f aca="false">IF(AND(U15="",OR(P15="",P15="LOSE"),T15&lt;&gt;"",N(S15)&lt;=0,ISNUMBER(MATCH(T15,Parameter!$I$27:$I$29,0))),1,0)</f>
        <v>1</v>
      </c>
      <c r="CC15" s="65" t="n">
        <f aca="false">IF(CR15&gt;0,INDEX(Parameter!$H$5:$H$7,W15)/INDEX(Parameter!$E$5:$E$7,W15),IF(AND(CA15=0,N(IFERROR(VLOOKUP(BY15,'Gebinde-Kategorie'!$A$5:$N$45,14,0),0))&gt;0),VLOOKUP(BY15,'Gebinde-Kategorie'!$A$5:$N$45,14,0)*10+Parameter!$M$23,Parameter!$M$24))</f>
        <v>145</v>
      </c>
      <c r="CD15" s="60" t="str">
        <f aca="false">IF(AND(Parameter!$B$19="Ja",E15&lt;&gt;"",ISNUMBER(MATCH(E15,Parameter!$I$35:$I$52,0))),VLOOKUP(E15,Parameter!$I$35:$J$52,2,0),IFERROR(VLOOKUP(D15,Parameter!$A$35:$C$64,2,0),"Nein"))</f>
        <v>2+3</v>
      </c>
      <c r="CE15" s="64" t="n">
        <f aca="false">IF(CA15=0,0,IF(N(S15)&gt;0,S15,IFERROR(VLOOKUP(D15,Parameter!$A$35:$C$64,3,0)+0,0)))</f>
        <v>0</v>
      </c>
      <c r="CF15" s="60" t="n">
        <f aca="false">IF(AB15&lt;&gt;"",AB15,AA15)</f>
        <v>3</v>
      </c>
      <c r="CG15" s="60" t="str">
        <f aca="false">IF(OR(CF15=1,CF15=2,CF15=3),IF(Parameter!$E$27="Ja","LIFT",IF(CF15=1,"L1","L23")),IF(CF15="Aussen","Aussen","-"))</f>
        <v>LIFT</v>
      </c>
      <c r="CH15" s="71" t="n">
        <f aca="false">IF(N(AC15)&gt;0,AC15,0)</f>
        <v>0</v>
      </c>
      <c r="CI15" s="65" t="n">
        <f aca="false">IF(ISNUMBER(AF15),1,0)</f>
        <v>0</v>
      </c>
      <c r="CJ15" s="62" t="n">
        <f aca="false">N(AF15)</f>
        <v>0</v>
      </c>
      <c r="CK15" s="62" t="n">
        <f aca="false">N(M15)+N(N15)</f>
        <v>11</v>
      </c>
      <c r="CL15" s="62" t="n">
        <f aca="false">N(M15)</f>
        <v>6</v>
      </c>
      <c r="CM15" s="62" t="n">
        <f aca="false">N(N15)</f>
        <v>5</v>
      </c>
      <c r="CN15" s="62" t="n">
        <f aca="false">ROUNDUP(H15/BZ15,0)</f>
        <v>1</v>
      </c>
      <c r="CO15" s="62" t="n">
        <f aca="false">ROUNDUP(CJ15/BZ15,0)</f>
        <v>0</v>
      </c>
      <c r="CP15" s="65" t="n">
        <f aca="false">IF(CA15=1,0,IFERROR(VLOOKUP(BY15,'Gebinde-Kategorie'!$A$5:$N$45,5,0)+0,0))</f>
        <v>11</v>
      </c>
      <c r="CQ15" s="65" t="n">
        <f aca="false">IFERROR(IF(OR(CF15=1,CF15=2,CF15=3),N(INDEX(Parameter!$I$5:$I$7,CF15)),0),0)</f>
        <v>0</v>
      </c>
      <c r="CR15" s="64" t="n">
        <f aca="false">IF(AND(Parameter!$B$21="Ja",ISNUMBER(W15),N(X15)&gt;0),IFERROR(N(INDEX(Parameter!$L$5:$L$7,W15))*INDEX(Parameter!$E$5:$E$7,W15)*X15/SUMIFS($X$7:$X$1843,$W$7:$W$1843,W15),0),0)</f>
        <v>0</v>
      </c>
      <c r="CS15" s="62" t="n">
        <f aca="false">IF(AND(OR(CG15="L1",CG15="L23",CG15="LIFT"),H15&gt;0),CC15*IF(CR15&gt;0,CR15*MAX(1,H15/X15),IF(CA15=1,CE15,IF(R15&gt;0,CN15/R15,0))/MAX(0.1,N(Parameter!$M$21))),"")</f>
        <v>12.0833333333333</v>
      </c>
      <c r="CT15" s="64" t="n">
        <f aca="false">IF(CS15="","",J15/H15)</f>
        <v>3.83333333333333</v>
      </c>
      <c r="CU15" s="62" t="n">
        <f aca="false">IF(CS15="","",H15*G15)</f>
        <v>32136</v>
      </c>
      <c r="CV15" s="63" t="n">
        <f aca="false">IF(CS15="","",(CL15+ROUNDUP(CL15+MAX(CM15,2*(J15/MAX(0.1,N(Einkauf!$C$6))-CL15)),0))/2)</f>
        <v>8.5</v>
      </c>
      <c r="CW15" s="62" t="n">
        <f aca="false">IF(CS15="","",MAX(0,H15-CV15)*G15)</f>
        <v>0</v>
      </c>
      <c r="CX15" s="62" t="n">
        <f aca="false">IF(CS15="","",CS15*MAX(0,1-CV15/H15))</f>
        <v>0</v>
      </c>
      <c r="CY15" s="64" t="n">
        <f aca="false">IF(CS15="","",PERCENTRANK($CS$7:$CS$1843,CS15)+PERCENTRANK($CU$7:$CU$1843,CU15)+1-PERCENTRANK($CT$7:$CT$1843,CT15))</f>
        <v>1.721</v>
      </c>
      <c r="CZ15" s="72" t="n">
        <f aca="false">IF(CS15="","",CHOOSE(MATCH(Einkauf!$C$5,Parameter!$G$23:$G$27,0),CY15,CS15,CU15,-CT15,CW15)+ROW()/1000000000)</f>
        <v>1.721000015</v>
      </c>
    </row>
    <row r="16" customFormat="false" ht="15" hidden="false" customHeight="false" outlineLevel="0" collapsed="false">
      <c r="A16" s="60" t="s">
        <v>239</v>
      </c>
      <c r="B16" s="60" t="s">
        <v>240</v>
      </c>
      <c r="C16" s="60" t="s">
        <v>206</v>
      </c>
      <c r="D16" s="60" t="s">
        <v>215</v>
      </c>
      <c r="E16" s="60" t="s">
        <v>215</v>
      </c>
      <c r="F16" s="60" t="s">
        <v>209</v>
      </c>
      <c r="G16" s="61" t="n">
        <v>4269.47</v>
      </c>
      <c r="H16" s="62" t="n">
        <f aca="false">MAX(0,IF(AND(Parameter!$B$21="Ja",ISNUMBER(Y16)),Y16,IF(Parameter!$B$20="Jahresanfang 2025 + Export",BS16+BR16,BR16)))</f>
        <v>18</v>
      </c>
      <c r="I16" s="62" t="n">
        <f aca="false">H16*G16</f>
        <v>76850.46</v>
      </c>
      <c r="J16" s="62" t="n">
        <f aca="false">BU16*Parameter!$B$18</f>
        <v>81</v>
      </c>
      <c r="K16" s="63" t="n">
        <v>8</v>
      </c>
      <c r="L16" s="64" t="n">
        <v>10.125</v>
      </c>
      <c r="M16" s="62" t="n">
        <v>12</v>
      </c>
      <c r="N16" s="62" t="n">
        <v>5</v>
      </c>
      <c r="O16" s="65" t="n">
        <v>56</v>
      </c>
      <c r="P16" s="60" t="s">
        <v>210</v>
      </c>
      <c r="Q16" s="62"/>
      <c r="R16" s="65" t="n">
        <f aca="false">IF(CA16=1,0,IFERROR(VLOOKUP(BY16,'Gebinde-Kategorie'!$A$5:$N$45,13,0)+0,0))</f>
        <v>12</v>
      </c>
      <c r="S16" s="66"/>
      <c r="T16" s="67" t="s">
        <v>221</v>
      </c>
      <c r="U16" s="67"/>
      <c r="V16" s="67"/>
      <c r="W16" s="60"/>
      <c r="X16" s="62"/>
      <c r="Y16" s="62"/>
      <c r="Z16" s="60"/>
      <c r="AA16" s="60" t="str">
        <f aca="false">IF(A16="","",IF(AND(Parameter!$B$21="Ja",ISNUMBER(W16)),W16,IF(AND(Parameter!$E$27="Ja",ISNUMBER(Z16),CD16&lt;&gt;"Nein"),Z16,IF(CD16="2+3",IF(ISNUMBER(SEARCH("grosser Artikel",BV16)),2,IFERROR(VLOOKUP(BY16,Parameter!$F$35:$G$64,2,0),2)),IF(OR(CD16="Nein",CD16=""),"-",CD16)))))</f>
        <v>-</v>
      </c>
      <c r="AB16" s="67"/>
      <c r="AC16" s="68"/>
      <c r="AD16" s="62" t="n">
        <f aca="false">AW16</f>
        <v>42</v>
      </c>
      <c r="AE16" s="62" t="n">
        <f aca="false">MAX(AW16,H16)</f>
        <v>42</v>
      </c>
      <c r="AF16" s="69"/>
      <c r="AG16" s="62" t="n">
        <f aca="false">IF(LEFT(Cockpit!$C$5,1)="A",H16,IF(Parameter!$E$30="MAX-Bestand",IF(CI16=1,CJ16,IF(LEFT(Cockpit!$C$5,1)="B",AM16,MAX(AM16,H16))),ROUNDUP(AK16,0)))</f>
        <v>18</v>
      </c>
      <c r="AH16" s="62" t="n">
        <f aca="false">IF(CA16=1,0,ROUNDUP(AG16/BZ16,0))</f>
        <v>1</v>
      </c>
      <c r="AI16" s="64" t="n">
        <f aca="false">IF(CR16&gt;0,CR16*MAX(1,AG16/X16),IF(CA16=1,IF(AG16&lt;=0,0,CE16*MAX(1,IF(H16&gt;0,AG16/H16,1))),IF(R16&gt;0,AH16/R16,0))/MAX(0.1,N(Parameter!$M$21)))</f>
        <v>0.0833333333333333</v>
      </c>
      <c r="AJ16" s="62" t="n">
        <f aca="false">AI16*CC16</f>
        <v>12.0833333333333</v>
      </c>
      <c r="AK16" s="63" t="n">
        <f aca="false">IF(LEFT(Cockpit!$C$5,1)="A",H16,IF(CI16=1,(CL16+CJ16)/2,IF(LEFT(Cockpit!$C$5,1)="B",(CL16+AM16)/2,MAX((CL16+AM16)/2,H16))))</f>
        <v>18</v>
      </c>
      <c r="AL16" s="62" t="n">
        <f aca="false">AK16*G16</f>
        <v>76850.46</v>
      </c>
      <c r="AM16" s="62" t="n">
        <f aca="false">ROUNDUP(CL16+MAX(CM16,2*(J16/IF(CH16&gt;0,CH16,MAX(0.1,N(Cockpit!$C$6)))-CL16)),0)</f>
        <v>42</v>
      </c>
      <c r="AN16" s="63" t="n">
        <f aca="false">IF(AJ16&gt;0,J16/AJ16,-1)</f>
        <v>6.70344827586207</v>
      </c>
      <c r="AO16" s="63" t="str">
        <f aca="false">IF(AND(OR(CG16="L1",CG16="L23",CG16="LIFT"),AJ16&gt;0),SUMIFS($AJ$7:$AJ$1843,$CG$7:$CG$1843,CG16,$AN$7:$AN$1843,"&gt;"&amp;AN16)+SUMIFS($AJ$7:$AJ$1843,$CG$7:$CG$1843,CG16,$AN$7:$AN$1843,AN16,$BX$7:$BX$1843,"&lt;="&amp;BX16),"")</f>
        <v/>
      </c>
      <c r="AP16" s="70" t="n">
        <f aca="false">IF(AO16="",0,MAX(0,MIN(1,(IF(CG16="L1",Parameter!$H$5,IF(CG16="L23",Parameter!$H$6+Parameter!$H$7,Parameter!$H$5+Parameter!$H$6+Parameter!$H$7))-(AO16-AJ16))/AJ16)))</f>
        <v>0</v>
      </c>
      <c r="AQ16" s="62" t="n">
        <f aca="false">IF(LEFT(Cockpit!$I$5,1)="A",H16,IF(Parameter!$E$30="MAX-Bestand",IF(CI16=1,CJ16,IF(LEFT(Cockpit!$I$5,1)="B",AW16,MAX(AW16,H16))),ROUNDUP(AU16,0)))</f>
        <v>27</v>
      </c>
      <c r="AR16" s="62" t="n">
        <f aca="false">IF(CA16=1,0,ROUNDUP(AQ16/BZ16,0))</f>
        <v>2</v>
      </c>
      <c r="AS16" s="64" t="n">
        <f aca="false">IF(CR16&gt;0,CR16*MAX(1,AQ16/X16),IF(CA16=1,IF(AQ16&lt;=0,0,CE16*MAX(1,IF(H16&gt;0,AQ16/H16,1))),IF(R16&gt;0,AR16/R16,0))/MAX(0.1,N(Parameter!$M$21)))</f>
        <v>0.166666666666667</v>
      </c>
      <c r="AT16" s="62" t="n">
        <f aca="false">AS16*CC16</f>
        <v>24.1666666666667</v>
      </c>
      <c r="AU16" s="63" t="n">
        <f aca="false">IF(LEFT(Cockpit!$I$5,1)="A",H16,IF(CI16=1,(CL16+CJ16)/2,IF(LEFT(Cockpit!$I$5,1)="B",(CL16+AW16)/2,MAX((CL16+AW16)/2,H16))))</f>
        <v>27</v>
      </c>
      <c r="AV16" s="62" t="n">
        <f aca="false">AU16*G16</f>
        <v>115275.69</v>
      </c>
      <c r="AW16" s="62" t="n">
        <f aca="false">ROUNDUP(CL16+MAX(CM16,2*(J16/IF(CH16&gt;0,CH16,MAX(0.1,N(Cockpit!$I$6)))-CL16)),0)</f>
        <v>42</v>
      </c>
      <c r="AX16" s="63" t="n">
        <f aca="false">IF(AT16&gt;0,J16/AT16,-1)</f>
        <v>3.35172413793104</v>
      </c>
      <c r="AY16" s="63" t="str">
        <f aca="false">IF(AND(OR(CG16="L1",CG16="L23",CG16="LIFT"),AT16&gt;0),SUMIFS($AT$7:$AT$1843,$CG$7:$CG$1843,CG16,$AX$7:$AX$1843,"&gt;"&amp;AX16)+SUMIFS($AT$7:$AT$1843,$CG$7:$CG$1843,CG16,$AX$7:$AX$1843,AX16,$BX$7:$BX$1843,"&lt;="&amp;BX16),"")</f>
        <v/>
      </c>
      <c r="AZ16" s="70" t="n">
        <f aca="false">IF(AY16="",0,MAX(0,MIN(1,(IF(CG16="L1",Parameter!$H$5,IF(CG16="L23",Parameter!$H$6+Parameter!$H$7,Parameter!$H$5+Parameter!$H$6+Parameter!$H$7))-(AY16-AT16))/AT16)))</f>
        <v>0</v>
      </c>
      <c r="BA16" s="62" t="n">
        <f aca="false">IF(LEFT(Cockpit!$O$5,1)="A",H16,IF(Parameter!$E$30="MAX-Bestand",IF(CI16=1,CJ16,IF(LEFT(Cockpit!$O$5,1)="B",BG16,MAX(BG16,H16))),ROUNDUP(BE16,0)))</f>
        <v>21</v>
      </c>
      <c r="BB16" s="62" t="n">
        <f aca="false">IF(CA16=1,0,ROUNDUP(BA16/BZ16,0))</f>
        <v>2</v>
      </c>
      <c r="BC16" s="64" t="n">
        <f aca="false">IF(CR16&gt;0,CR16*MAX(1,BA16/X16),IF(CA16=1,IF(BA16&lt;=0,0,CE16*MAX(1,IF(H16&gt;0,BA16/H16,1))),IF(R16&gt;0,BB16/R16,0))/MAX(0.1,N(Parameter!$M$21)))</f>
        <v>0.166666666666667</v>
      </c>
      <c r="BD16" s="62" t="n">
        <f aca="false">BC16*CC16</f>
        <v>24.1666666666667</v>
      </c>
      <c r="BE16" s="63" t="n">
        <f aca="false">IF(LEFT(Cockpit!$O$5,1)="A",H16,IF(CI16=1,(CL16+CJ16)/2,IF(LEFT(Cockpit!$O$5,1)="B",(CL16+BG16)/2,MAX((CL16+BG16)/2,H16))))</f>
        <v>20.5</v>
      </c>
      <c r="BF16" s="62" t="n">
        <f aca="false">BE16*G16</f>
        <v>87524.135</v>
      </c>
      <c r="BG16" s="62" t="n">
        <f aca="false">ROUNDUP(CL16+MAX(CM16,2*(J16/IF(CH16&gt;0,CH16,MAX(0.1,N(Cockpit!$O$6)))-CL16)),0)</f>
        <v>29</v>
      </c>
      <c r="BH16" s="63" t="n">
        <f aca="false">IF(BD16&gt;0,J16/BD16,-1)</f>
        <v>3.35172413793104</v>
      </c>
      <c r="BI16" s="63" t="str">
        <f aca="false">IF(AND(OR(CG16="L1",CG16="L23",CG16="LIFT"),BD16&gt;0),SUMIFS($BD$7:$BD$1843,$CG$7:$CG$1843,CG16,$BH$7:$BH$1843,"&gt;"&amp;BH16)+SUMIFS($BD$7:$BD$1843,$CG$7:$CG$1843,CG16,$BH$7:$BH$1843,BH16,$BX$7:$BX$1843,"&lt;="&amp;BX16),"")</f>
        <v/>
      </c>
      <c r="BJ16" s="70" t="n">
        <f aca="false">IF(BI16="",0,MAX(0,MIN(1,(IF(CG16="L1",Parameter!$H$5,IF(CG16="L23",Parameter!$H$6+Parameter!$H$7,Parameter!$H$5+Parameter!$H$6+Parameter!$H$7))-(BI16-BD16))/BD16)))</f>
        <v>0</v>
      </c>
      <c r="BK16" s="60" t="str">
        <f aca="false">IF(AJ16&lt;=0,"",IF(CG16="Aussen","Aussenlager",IF(CG16="-","Nicht im Lift",IF(AP16&gt;=1,"Lift",IF(AP16&lt;=0,"Aussenlager","teilweise")))))</f>
        <v>Nicht im Lift</v>
      </c>
      <c r="BL16" s="60" t="str">
        <f aca="false">IF(AT16&lt;=0,"",IF(CG16="Aussen","Aussenlager",IF(CG16="-","Nicht im Lift",IF(AZ16&gt;=1,"Lift",IF(AZ16&lt;=0,"Aussenlager","teilweise")))))</f>
        <v>Nicht im Lift</v>
      </c>
      <c r="BM16" s="60" t="str">
        <f aca="false">IF(BD16&lt;=0,"",IF(CG16="Aussen","Aussenlager",IF(CG16="-","Nicht im Lift",IF(BJ16&gt;=1,"Lift",IF(BJ16&lt;=0,"Aussenlager","teilweise")))))</f>
        <v>Nicht im Lift</v>
      </c>
      <c r="BN16" s="60" t="str">
        <f aca="false">IF(A16="","",IF(BW16=1,"Neu; ","")&amp;IF(AND(BW16=0,BR16&lt;0),"negativer Bestand (Export "&amp;BR16&amp;"); ","")&amp;IF(J16&lt;=0,"Kein Verbrauch; ","")&amp;IF(CR16&gt;0,"Lift "&amp;W16&amp;" lt. Liftbericht (Fach "&amp;X16&amp;" Stk); ",IF(CB16=1,"Gebinde geschätzt ("&amp;T16&amp;"); ",IF(CA16=1,"Lose – Tablare geschätzt; ","")))&amp;IF(H16&gt;AW16,"Überbestand "&amp;ROUND(H16-AW16,0)&amp;" Stk / CHF "&amp;ROUND((H16-AW16)*G16,0)&amp;"; ","")&amp;IF(AND(CI16=1,CJ16&lt;CK16),"MAX &lt; MB+LG; ","")&amp;IF(AND(CQ16&gt;0,CP16*10&gt;CQ16),"zu hoch für Tablar; ","")&amp;IF(AND(BW16=0,OR(CI16=1,AB16&lt;&gt;"",U16&lt;&gt;"",V16&lt;&gt;"",AC16&lt;&gt;"")),"manuell übersteuert; ","")&amp;IF(AND(CA16=0,R16=0),"Gebinde unbekannt / Stellmass fehlt; ","")&amp;IF(AND(CA16=0,N(V16)&lt;=0,N(Q16)&lt;=0),"Menge pro Gebinde fehlt (Ist = 1 Gebinde); ","")&amp;BV16)</f>
        <v>Gebinde geschätzt (Mittel); Menge pro Gebinde fehlt (Ist = 1 Gebinde); </v>
      </c>
      <c r="BO16" s="60"/>
      <c r="BP16" s="60"/>
      <c r="BQ16" s="67"/>
      <c r="BR16" s="62" t="n">
        <v>8</v>
      </c>
      <c r="BS16" s="62" t="n">
        <v>10</v>
      </c>
      <c r="BT16" s="61" t="n">
        <v>31710.4700000001</v>
      </c>
      <c r="BU16" s="62" t="n">
        <v>81</v>
      </c>
      <c r="BV16" s="60"/>
      <c r="BW16" s="65" t="n">
        <v>0</v>
      </c>
      <c r="BX16" s="65" t="n">
        <v>16</v>
      </c>
      <c r="BY16" s="60" t="str">
        <f aca="false">IF(U16&lt;&gt;"",UPPER(TRIM(U16)),IF(CB16=1,UPPER(VLOOKUP(T16,Parameter!$I$27:$K$29,2,0)),IF(P16="","LOSE",P16)))</f>
        <v>S61</v>
      </c>
      <c r="BZ16" s="62" t="n">
        <f aca="false">IF(BY16="LOSE",1,IF(N(V16)&gt;0,V16,IF(CB16=1,MAX(1,N(VLOOKUP(T16,Parameter!$I$27:$K$29,3,0)),H16,N(N16)),IF(N(Q16)&gt;0,Q16,MAX(1,H16)))))</f>
        <v>18</v>
      </c>
      <c r="CA16" s="65" t="n">
        <f aca="false">IF(BY16="LOSE",1,0)</f>
        <v>0</v>
      </c>
      <c r="CB16" s="65" t="n">
        <f aca="false">IF(AND(U16="",OR(P16="",P16="LOSE"),T16&lt;&gt;"",N(S16)&lt;=0,ISNUMBER(MATCH(T16,Parameter!$I$27:$I$29,0))),1,0)</f>
        <v>1</v>
      </c>
      <c r="CC16" s="65" t="n">
        <f aca="false">IF(CR16&gt;0,INDEX(Parameter!$H$5:$H$7,W16)/INDEX(Parameter!$E$5:$E$7,W16),IF(AND(CA16=0,N(IFERROR(VLOOKUP(BY16,'Gebinde-Kategorie'!$A$5:$N$45,14,0),0))&gt;0),VLOOKUP(BY16,'Gebinde-Kategorie'!$A$5:$N$45,14,0)*10+Parameter!$M$23,Parameter!$M$24))</f>
        <v>145</v>
      </c>
      <c r="CD16" s="60" t="str">
        <f aca="false">IF(AND(Parameter!$B$19="Ja",E16&lt;&gt;"",ISNUMBER(MATCH(E16,Parameter!$I$35:$I$52,0))),VLOOKUP(E16,Parameter!$I$35:$J$52,2,0),IFERROR(VLOOKUP(D16,Parameter!$A$35:$C$64,2,0),"Nein"))</f>
        <v>Nein</v>
      </c>
      <c r="CE16" s="64" t="n">
        <f aca="false">IF(CA16=0,0,IF(N(S16)&gt;0,S16,IFERROR(VLOOKUP(D16,Parameter!$A$35:$C$64,3,0)+0,0)))</f>
        <v>0</v>
      </c>
      <c r="CF16" s="60" t="str">
        <f aca="false">IF(AB16&lt;&gt;"",AB16,AA16)</f>
        <v>-</v>
      </c>
      <c r="CG16" s="60" t="str">
        <f aca="false">IF(OR(CF16=1,CF16=2,CF16=3),IF(Parameter!$E$27="Ja","LIFT",IF(CF16=1,"L1","L23")),IF(CF16="Aussen","Aussen","-"))</f>
        <v>-</v>
      </c>
      <c r="CH16" s="71" t="n">
        <f aca="false">IF(N(AC16)&gt;0,AC16,0)</f>
        <v>0</v>
      </c>
      <c r="CI16" s="65" t="n">
        <f aca="false">IF(ISNUMBER(AF16),1,0)</f>
        <v>0</v>
      </c>
      <c r="CJ16" s="62" t="n">
        <f aca="false">N(AF16)</f>
        <v>0</v>
      </c>
      <c r="CK16" s="62" t="n">
        <f aca="false">N(M16)+N(N16)</f>
        <v>17</v>
      </c>
      <c r="CL16" s="62" t="n">
        <f aca="false">N(M16)</f>
        <v>12</v>
      </c>
      <c r="CM16" s="62" t="n">
        <f aca="false">N(N16)</f>
        <v>5</v>
      </c>
      <c r="CN16" s="62" t="n">
        <f aca="false">ROUNDUP(H16/BZ16,0)</f>
        <v>1</v>
      </c>
      <c r="CO16" s="62" t="n">
        <f aca="false">ROUNDUP(CJ16/BZ16,0)</f>
        <v>0</v>
      </c>
      <c r="CP16" s="65" t="n">
        <f aca="false">IF(CA16=1,0,IFERROR(VLOOKUP(BY16,'Gebinde-Kategorie'!$A$5:$N$45,5,0)+0,0))</f>
        <v>11</v>
      </c>
      <c r="CQ16" s="65" t="n">
        <f aca="false">IFERROR(IF(OR(CF16=1,CF16=2,CF16=3),N(INDEX(Parameter!$I$5:$I$7,CF16)),0),0)</f>
        <v>0</v>
      </c>
      <c r="CR16" s="64" t="n">
        <f aca="false">IF(AND(Parameter!$B$21="Ja",ISNUMBER(W16),N(X16)&gt;0),IFERROR(N(INDEX(Parameter!$L$5:$L$7,W16))*INDEX(Parameter!$E$5:$E$7,W16)*X16/SUMIFS($X$7:$X$1843,$W$7:$W$1843,W16),0),0)</f>
        <v>0</v>
      </c>
      <c r="CS16" s="62" t="str">
        <f aca="false">IF(AND(OR(CG16="L1",CG16="L23",CG16="LIFT"),H16&gt;0),CC16*IF(CR16&gt;0,CR16*MAX(1,H16/X16),IF(CA16=1,CE16,IF(R16&gt;0,CN16/R16,0))/MAX(0.1,N(Parameter!$M$21))),"")</f>
        <v/>
      </c>
      <c r="CT16" s="64" t="str">
        <f aca="false">IF(CS16="","",J16/H16)</f>
        <v/>
      </c>
      <c r="CU16" s="62" t="str">
        <f aca="false">IF(CS16="","",H16*G16)</f>
        <v/>
      </c>
      <c r="CV16" s="63" t="str">
        <f aca="false">IF(CS16="","",(CL16+ROUNDUP(CL16+MAX(CM16,2*(J16/MAX(0.1,N(Einkauf!$C$6))-CL16)),0))/2)</f>
        <v/>
      </c>
      <c r="CW16" s="62" t="str">
        <f aca="false">IF(CS16="","",MAX(0,H16-CV16)*G16)</f>
        <v/>
      </c>
      <c r="CX16" s="62" t="str">
        <f aca="false">IF(CS16="","",CS16*MAX(0,1-CV16/H16))</f>
        <v/>
      </c>
      <c r="CY16" s="64" t="str">
        <f aca="false">IF(CS16="","",PERCENTRANK($CS$7:$CS$1843,CS16)+PERCENTRANK($CU$7:$CU$1843,CU16)+1-PERCENTRANK($CT$7:$CT$1843,CT16))</f>
        <v/>
      </c>
      <c r="CZ16" s="72" t="str">
        <f aca="false">IF(CS16="","",CHOOSE(MATCH(Einkauf!$C$5,Parameter!$G$23:$G$27,0),CY16,CS16,CU16,-CT16,CW16)+ROW()/1000000000)</f>
        <v/>
      </c>
    </row>
    <row r="17" customFormat="false" ht="15" hidden="false" customHeight="false" outlineLevel="0" collapsed="false">
      <c r="A17" s="60" t="s">
        <v>241</v>
      </c>
      <c r="B17" s="60" t="s">
        <v>242</v>
      </c>
      <c r="C17" s="60" t="s">
        <v>206</v>
      </c>
      <c r="D17" s="60" t="s">
        <v>215</v>
      </c>
      <c r="E17" s="60"/>
      <c r="F17" s="60" t="s">
        <v>243</v>
      </c>
      <c r="G17" s="61" t="n">
        <v>399.17</v>
      </c>
      <c r="H17" s="62" t="n">
        <f aca="false">MAX(0,IF(AND(Parameter!$B$21="Ja",ISNUMBER(Y17)),Y17,IF(Parameter!$B$20="Jahresanfang 2025 + Export",BS17+BR17,BR17)))</f>
        <v>75</v>
      </c>
      <c r="I17" s="62" t="n">
        <f aca="false">H17*G17</f>
        <v>29937.75</v>
      </c>
      <c r="J17" s="62" t="n">
        <f aca="false">BU17*Parameter!$B$18</f>
        <v>0</v>
      </c>
      <c r="K17" s="63" t="n">
        <v>0</v>
      </c>
      <c r="L17" s="64" t="n">
        <v>0</v>
      </c>
      <c r="M17" s="62" t="n">
        <v>0</v>
      </c>
      <c r="N17" s="62" t="n">
        <v>1</v>
      </c>
      <c r="O17" s="65" t="n">
        <v>9999</v>
      </c>
      <c r="P17" s="60" t="s">
        <v>210</v>
      </c>
      <c r="Q17" s="62"/>
      <c r="R17" s="65" t="n">
        <f aca="false">IF(CA17=1,0,IFERROR(VLOOKUP(BY17,'Gebinde-Kategorie'!$A$5:$N$45,13,0)+0,0))</f>
        <v>4</v>
      </c>
      <c r="S17" s="66"/>
      <c r="T17" s="67" t="s">
        <v>231</v>
      </c>
      <c r="U17" s="67"/>
      <c r="V17" s="67"/>
      <c r="W17" s="60"/>
      <c r="X17" s="62"/>
      <c r="Y17" s="62"/>
      <c r="Z17" s="60" t="n">
        <v>2</v>
      </c>
      <c r="AA17" s="60" t="n">
        <f aca="false">IF(A17="","",IF(AND(Parameter!$B$21="Ja",ISNUMBER(W17)),W17,IF(AND(Parameter!$E$27="Ja",ISNUMBER(Z17),CD17&lt;&gt;"Nein"),Z17,IF(CD17="2+3",IF(ISNUMBER(SEARCH("grosser Artikel",BV17)),2,IFERROR(VLOOKUP(BY17,Parameter!$F$35:$G$64,2,0),2)),IF(OR(CD17="Nein",CD17=""),"-",CD17)))))</f>
        <v>2</v>
      </c>
      <c r="AB17" s="67"/>
      <c r="AC17" s="68"/>
      <c r="AD17" s="62" t="n">
        <f aca="false">AW17</f>
        <v>1</v>
      </c>
      <c r="AE17" s="62" t="n">
        <f aca="false">MAX(AW17,H17)</f>
        <v>75</v>
      </c>
      <c r="AF17" s="69"/>
      <c r="AG17" s="62" t="n">
        <f aca="false">IF(LEFT(Cockpit!$C$5,1)="A",H17,IF(Parameter!$E$30="MAX-Bestand",IF(CI17=1,CJ17,IF(LEFT(Cockpit!$C$5,1)="B",AM17,MAX(AM17,H17))),ROUNDUP(AK17,0)))</f>
        <v>75</v>
      </c>
      <c r="AH17" s="62" t="n">
        <f aca="false">IF(CA17=1,0,ROUNDUP(AG17/BZ17,0))</f>
        <v>1</v>
      </c>
      <c r="AI17" s="64" t="n">
        <f aca="false">IF(CR17&gt;0,CR17*MAX(1,AG17/X17),IF(CA17=1,IF(AG17&lt;=0,0,CE17*MAX(1,IF(H17&gt;0,AG17/H17,1))),IF(R17&gt;0,AH17/R17,0))/MAX(0.1,N(Parameter!$M$21)))</f>
        <v>0.25</v>
      </c>
      <c r="AJ17" s="62" t="n">
        <f aca="false">AI17*CC17</f>
        <v>58.75</v>
      </c>
      <c r="AK17" s="63" t="n">
        <f aca="false">IF(LEFT(Cockpit!$C$5,1)="A",H17,IF(CI17=1,(CL17+CJ17)/2,IF(LEFT(Cockpit!$C$5,1)="B",(CL17+AM17)/2,MAX((CL17+AM17)/2,H17))))</f>
        <v>75</v>
      </c>
      <c r="AL17" s="62" t="n">
        <f aca="false">AK17*G17</f>
        <v>29937.75</v>
      </c>
      <c r="AM17" s="62" t="n">
        <f aca="false">ROUNDUP(CL17+MAX(CM17,2*(J17/IF(CH17&gt;0,CH17,MAX(0.1,N(Cockpit!$C$6)))-CL17)),0)</f>
        <v>1</v>
      </c>
      <c r="AN17" s="63" t="n">
        <f aca="false">IF(AJ17&gt;0,J17/AJ17,-1)</f>
        <v>0</v>
      </c>
      <c r="AO17" s="63" t="n">
        <f aca="false">IF(AND(OR(CG17="L1",CG17="L23",CG17="LIFT"),AJ17&gt;0),SUMIFS($AJ$7:$AJ$1843,$CG$7:$CG$1843,CG17,$AN$7:$AN$1843,"&gt;"&amp;AN17)+SUMIFS($AJ$7:$AJ$1843,$CG$7:$CG$1843,CG17,$AN$7:$AN$1843,AN17,$BX$7:$BX$1843,"&lt;="&amp;BX17),"")</f>
        <v>25605.2719081766</v>
      </c>
      <c r="AP17" s="70" t="n">
        <f aca="false">IF(AO17="",0,MAX(0,MIN(1,(IF(CG17="L1",Parameter!$H$5,IF(CG17="L23",Parameter!$H$6+Parameter!$H$7,Parameter!$H$5+Parameter!$H$6+Parameter!$H$7))-(AO17-AJ17))/AJ17)))</f>
        <v>1</v>
      </c>
      <c r="AQ17" s="62" t="n">
        <f aca="false">IF(LEFT(Cockpit!$I$5,1)="A",H17,IF(Parameter!$E$30="MAX-Bestand",IF(CI17=1,CJ17,IF(LEFT(Cockpit!$I$5,1)="B",AW17,MAX(AW17,H17))),ROUNDUP(AU17,0)))</f>
        <v>75</v>
      </c>
      <c r="AR17" s="62" t="n">
        <f aca="false">IF(CA17=1,0,ROUNDUP(AQ17/BZ17,0))</f>
        <v>1</v>
      </c>
      <c r="AS17" s="64" t="n">
        <f aca="false">IF(CR17&gt;0,CR17*MAX(1,AQ17/X17),IF(CA17=1,IF(AQ17&lt;=0,0,CE17*MAX(1,IF(H17&gt;0,AQ17/H17,1))),IF(R17&gt;0,AR17/R17,0))/MAX(0.1,N(Parameter!$M$21)))</f>
        <v>0.25</v>
      </c>
      <c r="AT17" s="62" t="n">
        <f aca="false">AS17*CC17</f>
        <v>58.75</v>
      </c>
      <c r="AU17" s="63" t="n">
        <f aca="false">IF(LEFT(Cockpit!$I$5,1)="A",H17,IF(CI17=1,(CL17+CJ17)/2,IF(LEFT(Cockpit!$I$5,1)="B",(CL17+AW17)/2,MAX((CL17+AW17)/2,H17))))</f>
        <v>75</v>
      </c>
      <c r="AV17" s="62" t="n">
        <f aca="false">AU17*G17</f>
        <v>29937.75</v>
      </c>
      <c r="AW17" s="62" t="n">
        <f aca="false">ROUNDUP(CL17+MAX(CM17,2*(J17/IF(CH17&gt;0,CH17,MAX(0.1,N(Cockpit!$I$6)))-CL17)),0)</f>
        <v>1</v>
      </c>
      <c r="AX17" s="63" t="n">
        <f aca="false">IF(AT17&gt;0,J17/AT17,-1)</f>
        <v>0</v>
      </c>
      <c r="AY17" s="63" t="n">
        <f aca="false">IF(AND(OR(CG17="L1",CG17="L23",CG17="LIFT"),AT17&gt;0),SUMIFS($AT$7:$AT$1843,$CG$7:$CG$1843,CG17,$AX$7:$AX$1843,"&gt;"&amp;AX17)+SUMIFS($AT$7:$AT$1843,$CG$7:$CG$1843,CG17,$AX$7:$AX$1843,AX17,$BX$7:$BX$1843,"&lt;="&amp;BX17),"")</f>
        <v>30958.420549554</v>
      </c>
      <c r="AZ17" s="70" t="n">
        <f aca="false">IF(AY17="",0,MAX(0,MIN(1,(IF(CG17="L1",Parameter!$H$5,IF(CG17="L23",Parameter!$H$6+Parameter!$H$7,Parameter!$H$5+Parameter!$H$6+Parameter!$H$7))-(AY17-AT17))/AT17)))</f>
        <v>1</v>
      </c>
      <c r="BA17" s="62" t="n">
        <f aca="false">IF(LEFT(Cockpit!$O$5,1)="A",H17,IF(Parameter!$E$30="MAX-Bestand",IF(CI17=1,CJ17,IF(LEFT(Cockpit!$O$5,1)="B",BG17,MAX(BG17,H17))),ROUNDUP(BE17,0)))</f>
        <v>1</v>
      </c>
      <c r="BB17" s="62" t="n">
        <f aca="false">IF(CA17=1,0,ROUNDUP(BA17/BZ17,0))</f>
        <v>1</v>
      </c>
      <c r="BC17" s="64" t="n">
        <f aca="false">IF(CR17&gt;0,CR17*MAX(1,BA17/X17),IF(CA17=1,IF(BA17&lt;=0,0,CE17*MAX(1,IF(H17&gt;0,BA17/H17,1))),IF(R17&gt;0,BB17/R17,0))/MAX(0.1,N(Parameter!$M$21)))</f>
        <v>0.25</v>
      </c>
      <c r="BD17" s="62" t="n">
        <f aca="false">BC17*CC17</f>
        <v>58.75</v>
      </c>
      <c r="BE17" s="63" t="n">
        <f aca="false">IF(LEFT(Cockpit!$O$5,1)="A",H17,IF(CI17=1,(CL17+CJ17)/2,IF(LEFT(Cockpit!$O$5,1)="B",(CL17+BG17)/2,MAX((CL17+BG17)/2,H17))))</f>
        <v>0.5</v>
      </c>
      <c r="BF17" s="62" t="n">
        <f aca="false">BE17*G17</f>
        <v>199.585</v>
      </c>
      <c r="BG17" s="62" t="n">
        <f aca="false">ROUNDUP(CL17+MAX(CM17,2*(J17/IF(CH17&gt;0,CH17,MAX(0.1,N(Cockpit!$O$6)))-CL17)),0)</f>
        <v>1</v>
      </c>
      <c r="BH17" s="63" t="n">
        <f aca="false">IF(BD17&gt;0,J17/BD17,-1)</f>
        <v>0</v>
      </c>
      <c r="BI17" s="63" t="n">
        <f aca="false">IF(AND(OR(CG17="L1",CG17="L23",CG17="LIFT"),BD17&gt;0),SUMIFS($BD$7:$BD$1843,$CG$7:$CG$1843,CG17,$BH$7:$BH$1843,"&gt;"&amp;BH17)+SUMIFS($BD$7:$BD$1843,$CG$7:$CG$1843,CG17,$BH$7:$BH$1843,BH17,$BX$7:$BX$1843,"&lt;="&amp;BX17),"")</f>
        <v>25213.752392852</v>
      </c>
      <c r="BJ17" s="70" t="n">
        <f aca="false">IF(BI17="",0,MAX(0,MIN(1,(IF(CG17="L1",Parameter!$H$5,IF(CG17="L23",Parameter!$H$6+Parameter!$H$7,Parameter!$H$5+Parameter!$H$6+Parameter!$H$7))-(BI17-BD17))/BD17)))</f>
        <v>1</v>
      </c>
      <c r="BK17" s="60" t="str">
        <f aca="false">IF(AJ17&lt;=0,"",IF(CG17="Aussen","Aussenlager",IF(CG17="-","Nicht im Lift",IF(AP17&gt;=1,"Lift",IF(AP17&lt;=0,"Aussenlager","teilweise")))))</f>
        <v>Lift</v>
      </c>
      <c r="BL17" s="60" t="str">
        <f aca="false">IF(AT17&lt;=0,"",IF(CG17="Aussen","Aussenlager",IF(CG17="-","Nicht im Lift",IF(AZ17&gt;=1,"Lift",IF(AZ17&lt;=0,"Aussenlager","teilweise")))))</f>
        <v>Lift</v>
      </c>
      <c r="BM17" s="60" t="str">
        <f aca="false">IF(BD17&lt;=0,"",IF(CG17="Aussen","Aussenlager",IF(CG17="-","Nicht im Lift",IF(BJ17&gt;=1,"Lift",IF(BJ17&lt;=0,"Aussenlager","teilweise")))))</f>
        <v>Lift</v>
      </c>
      <c r="BN17" s="60" t="str">
        <f aca="false">IF(A17="","",IF(BW17=1,"Neu; ","")&amp;IF(AND(BW17=0,BR17&lt;0),"negativer Bestand (Export "&amp;BR17&amp;"); ","")&amp;IF(J17&lt;=0,"Kein Verbrauch; ","")&amp;IF(CR17&gt;0,"Lift "&amp;W17&amp;" lt. Liftbericht (Fach "&amp;X17&amp;" Stk); ",IF(CB17=1,"Gebinde geschätzt ("&amp;T17&amp;"); ",IF(CA17=1,"Lose – Tablare geschätzt; ","")))&amp;IF(H17&gt;AW17,"Überbestand "&amp;ROUND(H17-AW17,0)&amp;" Stk / CHF "&amp;ROUND((H17-AW17)*G17,0)&amp;"; ","")&amp;IF(AND(CI17=1,CJ17&lt;CK17),"MAX &lt; MB+LG; ","")&amp;IF(AND(CQ17&gt;0,CP17*10&gt;CQ17),"zu hoch für Tablar; ","")&amp;IF(AND(BW17=0,OR(CI17=1,AB17&lt;&gt;"",U17&lt;&gt;"",V17&lt;&gt;"",AC17&lt;&gt;"")),"manuell übersteuert; ","")&amp;IF(AND(CA17=0,R17=0),"Gebinde unbekannt / Stellmass fehlt; ","")&amp;IF(AND(CA17=0,N(V17)&lt;=0,N(Q17)&lt;=0),"Menge pro Gebinde fehlt (Ist = 1 Gebinde); ","")&amp;BV17)</f>
        <v>Kein Verbrauch; Gebinde geschätzt (Gross); Überbestand 74 Stk / CHF 29539; Menge pro Gebinde fehlt (Ist = 1 Gebinde); </v>
      </c>
      <c r="BO17" s="60"/>
      <c r="BP17" s="60"/>
      <c r="BQ17" s="67"/>
      <c r="BR17" s="62" t="n">
        <v>75</v>
      </c>
      <c r="BS17" s="62" t="n">
        <v>0</v>
      </c>
      <c r="BT17" s="61" t="n">
        <v>29937.75</v>
      </c>
      <c r="BU17" s="62" t="n">
        <v>0</v>
      </c>
      <c r="BV17" s="60"/>
      <c r="BW17" s="65" t="n">
        <v>0</v>
      </c>
      <c r="BX17" s="65" t="n">
        <v>17</v>
      </c>
      <c r="BY17" s="60" t="str">
        <f aca="false">IF(U17&lt;&gt;"",UPPER(TRIM(U17)),IF(CB17=1,UPPER(VLOOKUP(T17,Parameter!$I$27:$K$29,2,0)),IF(P17="","LOSE",P17)))</f>
        <v>S81</v>
      </c>
      <c r="BZ17" s="62" t="n">
        <f aca="false">IF(BY17="LOSE",1,IF(N(V17)&gt;0,V17,IF(CB17=1,MAX(1,N(VLOOKUP(T17,Parameter!$I$27:$K$29,3,0)),H17,N(N17)),IF(N(Q17)&gt;0,Q17,MAX(1,H17)))))</f>
        <v>75</v>
      </c>
      <c r="CA17" s="65" t="n">
        <f aca="false">IF(BY17="LOSE",1,0)</f>
        <v>0</v>
      </c>
      <c r="CB17" s="65" t="n">
        <f aca="false">IF(AND(U17="",OR(P17="",P17="LOSE"),T17&lt;&gt;"",N(S17)&lt;=0,ISNUMBER(MATCH(T17,Parameter!$I$27:$I$29,0))),1,0)</f>
        <v>1</v>
      </c>
      <c r="CC17" s="65" t="n">
        <f aca="false">IF(CR17&gt;0,INDEX(Parameter!$H$5:$H$7,W17)/INDEX(Parameter!$E$5:$E$7,W17),IF(AND(CA17=0,N(IFERROR(VLOOKUP(BY17,'Gebinde-Kategorie'!$A$5:$N$45,14,0),0))&gt;0),VLOOKUP(BY17,'Gebinde-Kategorie'!$A$5:$N$45,14,0)*10+Parameter!$M$23,Parameter!$M$24))</f>
        <v>235</v>
      </c>
      <c r="CD17" s="60" t="str">
        <f aca="false">IF(AND(Parameter!$B$19="Ja",E17&lt;&gt;"",ISNUMBER(MATCH(E17,Parameter!$I$35:$I$52,0))),VLOOKUP(E17,Parameter!$I$35:$J$52,2,0),IFERROR(VLOOKUP(D17,Parameter!$A$35:$C$64,2,0),"Nein"))</f>
        <v>2+3</v>
      </c>
      <c r="CE17" s="64" t="n">
        <f aca="false">IF(CA17=0,0,IF(N(S17)&gt;0,S17,IFERROR(VLOOKUP(D17,Parameter!$A$35:$C$64,3,0)+0,0)))</f>
        <v>0</v>
      </c>
      <c r="CF17" s="60" t="n">
        <f aca="false">IF(AB17&lt;&gt;"",AB17,AA17)</f>
        <v>2</v>
      </c>
      <c r="CG17" s="60" t="str">
        <f aca="false">IF(OR(CF17=1,CF17=2,CF17=3),IF(Parameter!$E$27="Ja","LIFT",IF(CF17=1,"L1","L23")),IF(CF17="Aussen","Aussen","-"))</f>
        <v>LIFT</v>
      </c>
      <c r="CH17" s="71" t="n">
        <f aca="false">IF(N(AC17)&gt;0,AC17,0)</f>
        <v>0</v>
      </c>
      <c r="CI17" s="65" t="n">
        <f aca="false">IF(ISNUMBER(AF17),1,0)</f>
        <v>0</v>
      </c>
      <c r="CJ17" s="62" t="n">
        <f aca="false">N(AF17)</f>
        <v>0</v>
      </c>
      <c r="CK17" s="62" t="n">
        <f aca="false">N(M17)+N(N17)</f>
        <v>1</v>
      </c>
      <c r="CL17" s="62" t="n">
        <f aca="false">N(M17)</f>
        <v>0</v>
      </c>
      <c r="CM17" s="62" t="n">
        <f aca="false">N(N17)</f>
        <v>1</v>
      </c>
      <c r="CN17" s="62" t="n">
        <f aca="false">ROUNDUP(H17/BZ17,0)</f>
        <v>1</v>
      </c>
      <c r="CO17" s="62" t="n">
        <f aca="false">ROUNDUP(CJ17/BZ17,0)</f>
        <v>0</v>
      </c>
      <c r="CP17" s="65" t="n">
        <f aca="false">IF(CA17=1,0,IFERROR(VLOOKUP(BY17,'Gebinde-Kategorie'!$A$5:$N$45,5,0)+0,0))</f>
        <v>20</v>
      </c>
      <c r="CQ17" s="65" t="n">
        <f aca="false">IFERROR(IF(OR(CF17=1,CF17=2,CF17=3),N(INDEX(Parameter!$I$5:$I$7,CF17)),0),0)</f>
        <v>0</v>
      </c>
      <c r="CR17" s="64" t="n">
        <f aca="false">IF(AND(Parameter!$B$21="Ja",ISNUMBER(W17),N(X17)&gt;0),IFERROR(N(INDEX(Parameter!$L$5:$L$7,W17))*INDEX(Parameter!$E$5:$E$7,W17)*X17/SUMIFS($X$7:$X$1843,$W$7:$W$1843,W17),0),0)</f>
        <v>0</v>
      </c>
      <c r="CS17" s="62" t="n">
        <f aca="false">IF(AND(OR(CG17="L1",CG17="L23",CG17="LIFT"),H17&gt;0),CC17*IF(CR17&gt;0,CR17*MAX(1,H17/X17),IF(CA17=1,CE17,IF(R17&gt;0,CN17/R17,0))/MAX(0.1,N(Parameter!$M$21))),"")</f>
        <v>58.75</v>
      </c>
      <c r="CT17" s="64" t="n">
        <f aca="false">IF(CS17="","",J17/H17)</f>
        <v>0</v>
      </c>
      <c r="CU17" s="62" t="n">
        <f aca="false">IF(CS17="","",H17*G17)</f>
        <v>29937.75</v>
      </c>
      <c r="CV17" s="63" t="n">
        <f aca="false">IF(CS17="","",(CL17+ROUNDUP(CL17+MAX(CM17,2*(J17/MAX(0.1,N(Einkauf!$C$6))-CL17)),0))/2)</f>
        <v>0.5</v>
      </c>
      <c r="CW17" s="62" t="n">
        <f aca="false">IF(CS17="","",MAX(0,H17-CV17)*G17)</f>
        <v>29738.165</v>
      </c>
      <c r="CX17" s="62" t="n">
        <f aca="false">IF(CS17="","",CS17*MAX(0,1-CV17/H17))</f>
        <v>58.3583333333333</v>
      </c>
      <c r="CY17" s="64" t="n">
        <f aca="false">IF(CS17="","",PERCENTRANK($CS$7:$CS$1843,CS17)+PERCENTRANK($CU$7:$CU$1843,CU17)+1-PERCENTRANK($CT$7:$CT$1843,CT17))</f>
        <v>2.905</v>
      </c>
      <c r="CZ17" s="72" t="n">
        <f aca="false">IF(CS17="","",CHOOSE(MATCH(Einkauf!$C$5,Parameter!$G$23:$G$27,0),CY17,CS17,CU17,-CT17,CW17)+ROW()/1000000000)</f>
        <v>2.905000017</v>
      </c>
    </row>
    <row r="18" customFormat="false" ht="15" hidden="false" customHeight="false" outlineLevel="0" collapsed="false">
      <c r="A18" s="60" t="s">
        <v>244</v>
      </c>
      <c r="B18" s="60" t="s">
        <v>245</v>
      </c>
      <c r="C18" s="60" t="s">
        <v>206</v>
      </c>
      <c r="D18" s="60" t="s">
        <v>215</v>
      </c>
      <c r="E18" s="60" t="s">
        <v>208</v>
      </c>
      <c r="F18" s="60" t="s">
        <v>243</v>
      </c>
      <c r="G18" s="61" t="n">
        <v>1120.91</v>
      </c>
      <c r="H18" s="62" t="n">
        <f aca="false">MAX(0,IF(AND(Parameter!$B$21="Ja",ISNUMBER(Y18)),Y18,IF(Parameter!$B$20="Jahresanfang 2025 + Export",BS18+BR18,BR18)))</f>
        <v>26</v>
      </c>
      <c r="I18" s="62" t="n">
        <f aca="false">H18*G18</f>
        <v>29143.66</v>
      </c>
      <c r="J18" s="62" t="n">
        <f aca="false">BU18*Parameter!$B$18</f>
        <v>25</v>
      </c>
      <c r="K18" s="63" t="n">
        <v>9.5</v>
      </c>
      <c r="L18" s="64" t="n">
        <v>2.63157894736842</v>
      </c>
      <c r="M18" s="62" t="n">
        <v>10</v>
      </c>
      <c r="N18" s="62" t="n">
        <v>10</v>
      </c>
      <c r="O18" s="65" t="n">
        <v>126</v>
      </c>
      <c r="P18" s="60" t="s">
        <v>216</v>
      </c>
      <c r="Q18" s="62" t="n">
        <v>8</v>
      </c>
      <c r="R18" s="65" t="n">
        <f aca="false">IF(CA18=1,0,IFERROR(VLOOKUP(BY18,'Gebinde-Kategorie'!$A$5:$N$45,13,0)+0,0))</f>
        <v>6</v>
      </c>
      <c r="S18" s="66"/>
      <c r="T18" s="67"/>
      <c r="U18" s="67"/>
      <c r="V18" s="67"/>
      <c r="W18" s="60"/>
      <c r="X18" s="62"/>
      <c r="Y18" s="62"/>
      <c r="Z18" s="60" t="n">
        <v>2</v>
      </c>
      <c r="AA18" s="60" t="n">
        <f aca="false">IF(A18="","",IF(AND(Parameter!$B$21="Ja",ISNUMBER(W18)),W18,IF(AND(Parameter!$E$27="Ja",ISNUMBER(Z18),CD18&lt;&gt;"Nein"),Z18,IF(CD18="2+3",IF(ISNUMBER(SEARCH("grosser Artikel",BV18)),2,IFERROR(VLOOKUP(BY18,Parameter!$F$35:$G$64,2,0),2)),IF(OR(CD18="Nein",CD18=""),"-",CD18)))))</f>
        <v>2</v>
      </c>
      <c r="AB18" s="67"/>
      <c r="AC18" s="68"/>
      <c r="AD18" s="62" t="n">
        <f aca="false">AW18</f>
        <v>20</v>
      </c>
      <c r="AE18" s="62" t="n">
        <f aca="false">MAX(AW18,H18)</f>
        <v>26</v>
      </c>
      <c r="AF18" s="69"/>
      <c r="AG18" s="62" t="n">
        <f aca="false">IF(LEFT(Cockpit!$C$5,1)="A",H18,IF(Parameter!$E$30="MAX-Bestand",IF(CI18=1,CJ18,IF(LEFT(Cockpit!$C$5,1)="B",AM18,MAX(AM18,H18))),ROUNDUP(AK18,0)))</f>
        <v>26</v>
      </c>
      <c r="AH18" s="62" t="n">
        <f aca="false">IF(CA18=1,0,ROUNDUP(AG18/BZ18,0))</f>
        <v>4</v>
      </c>
      <c r="AI18" s="64" t="n">
        <f aca="false">IF(CR18&gt;0,CR18*MAX(1,AG18/X18),IF(CA18=1,IF(AG18&lt;=0,0,CE18*MAX(1,IF(H18&gt;0,AG18/H18,1))),IF(R18&gt;0,AH18/R18,0))/MAX(0.1,N(Parameter!$M$21)))</f>
        <v>0.666666666666667</v>
      </c>
      <c r="AJ18" s="62" t="n">
        <f aca="false">AI18*CC18</f>
        <v>156.666666666667</v>
      </c>
      <c r="AK18" s="63" t="n">
        <f aca="false">IF(LEFT(Cockpit!$C$5,1)="A",H18,IF(CI18=1,(CL18+CJ18)/2,IF(LEFT(Cockpit!$C$5,1)="B",(CL18+AM18)/2,MAX((CL18+AM18)/2,H18))))</f>
        <v>26</v>
      </c>
      <c r="AL18" s="62" t="n">
        <f aca="false">AK18*G18</f>
        <v>29143.66</v>
      </c>
      <c r="AM18" s="62" t="n">
        <f aca="false">ROUNDUP(CL18+MAX(CM18,2*(J18/IF(CH18&gt;0,CH18,MAX(0.1,N(Cockpit!$C$6)))-CL18)),0)</f>
        <v>20</v>
      </c>
      <c r="AN18" s="63" t="n">
        <f aca="false">IF(AJ18&gt;0,J18/AJ18,-1)</f>
        <v>0.159574468085106</v>
      </c>
      <c r="AO18" s="63" t="n">
        <f aca="false">IF(AND(OR(CG18="L1",CG18="L23",CG18="LIFT"),AJ18&gt;0),SUMIFS($AJ$7:$AJ$1843,$CG$7:$CG$1843,CG18,$AN$7:$AN$1843,"&gt;"&amp;AN18)+SUMIFS($AJ$7:$AJ$1843,$CG$7:$CG$1843,CG18,$AN$7:$AN$1843,AN18,$BX$7:$BX$1843,"&lt;="&amp;BX18),"")</f>
        <v>13022.4901311024</v>
      </c>
      <c r="AP18" s="70" t="n">
        <f aca="false">IF(AO18="",0,MAX(0,MIN(1,(IF(CG18="L1",Parameter!$H$5,IF(CG18="L23",Parameter!$H$6+Parameter!$H$7,Parameter!$H$5+Parameter!$H$6+Parameter!$H$7))-(AO18-AJ18))/AJ18)))</f>
        <v>1</v>
      </c>
      <c r="AQ18" s="62" t="n">
        <f aca="false">IF(LEFT(Cockpit!$I$5,1)="A",H18,IF(Parameter!$E$30="MAX-Bestand",IF(CI18=1,CJ18,IF(LEFT(Cockpit!$I$5,1)="B",AW18,MAX(AW18,H18))),ROUNDUP(AU18,0)))</f>
        <v>26</v>
      </c>
      <c r="AR18" s="62" t="n">
        <f aca="false">IF(CA18=1,0,ROUNDUP(AQ18/BZ18,0))</f>
        <v>4</v>
      </c>
      <c r="AS18" s="64" t="n">
        <f aca="false">IF(CR18&gt;0,CR18*MAX(1,AQ18/X18),IF(CA18=1,IF(AQ18&lt;=0,0,CE18*MAX(1,IF(H18&gt;0,AQ18/H18,1))),IF(R18&gt;0,AR18/R18,0))/MAX(0.1,N(Parameter!$M$21)))</f>
        <v>0.666666666666667</v>
      </c>
      <c r="AT18" s="62" t="n">
        <f aca="false">AS18*CC18</f>
        <v>156.666666666667</v>
      </c>
      <c r="AU18" s="63" t="n">
        <f aca="false">IF(LEFT(Cockpit!$I$5,1)="A",H18,IF(CI18=1,(CL18+CJ18)/2,IF(LEFT(Cockpit!$I$5,1)="B",(CL18+AW18)/2,MAX((CL18+AW18)/2,H18))))</f>
        <v>26</v>
      </c>
      <c r="AV18" s="62" t="n">
        <f aca="false">AU18*G18</f>
        <v>29143.66</v>
      </c>
      <c r="AW18" s="62" t="n">
        <f aca="false">ROUNDUP(CL18+MAX(CM18,2*(J18/IF(CH18&gt;0,CH18,MAX(0.1,N(Cockpit!$I$6)))-CL18)),0)</f>
        <v>20</v>
      </c>
      <c r="AX18" s="63" t="n">
        <f aca="false">IF(AT18&gt;0,J18/AT18,-1)</f>
        <v>0.159574468085106</v>
      </c>
      <c r="AY18" s="63" t="n">
        <f aca="false">IF(AND(OR(CG18="L1",CG18="L23",CG18="LIFT"),AT18&gt;0),SUMIFS($AT$7:$AT$1843,$CG$7:$CG$1843,CG18,$AX$7:$AX$1843,"&gt;"&amp;AX18)+SUMIFS($AT$7:$AT$1843,$CG$7:$CG$1843,CG18,$AX$7:$AX$1843,AX18,$BX$7:$BX$1843,"&lt;="&amp;BX18),"")</f>
        <v>15975.3374542125</v>
      </c>
      <c r="AZ18" s="70" t="n">
        <f aca="false">IF(AY18="",0,MAX(0,MIN(1,(IF(CG18="L1",Parameter!$H$5,IF(CG18="L23",Parameter!$H$6+Parameter!$H$7,Parameter!$H$5+Parameter!$H$6+Parameter!$H$7))-(AY18-AT18))/AT18)))</f>
        <v>1</v>
      </c>
      <c r="BA18" s="62" t="n">
        <f aca="false">IF(LEFT(Cockpit!$O$5,1)="A",H18,IF(Parameter!$E$30="MAX-Bestand",IF(CI18=1,CJ18,IF(LEFT(Cockpit!$O$5,1)="B",BG18,MAX(BG18,H18))),ROUNDUP(BE18,0)))</f>
        <v>15</v>
      </c>
      <c r="BB18" s="62" t="n">
        <f aca="false">IF(CA18=1,0,ROUNDUP(BA18/BZ18,0))</f>
        <v>2</v>
      </c>
      <c r="BC18" s="64" t="n">
        <f aca="false">IF(CR18&gt;0,CR18*MAX(1,BA18/X18),IF(CA18=1,IF(BA18&lt;=0,0,CE18*MAX(1,IF(H18&gt;0,BA18/H18,1))),IF(R18&gt;0,BB18/R18,0))/MAX(0.1,N(Parameter!$M$21)))</f>
        <v>0.333333333333333</v>
      </c>
      <c r="BD18" s="62" t="n">
        <f aca="false">BC18*CC18</f>
        <v>78.3333333333333</v>
      </c>
      <c r="BE18" s="63" t="n">
        <f aca="false">IF(LEFT(Cockpit!$O$5,1)="A",H18,IF(CI18=1,(CL18+CJ18)/2,IF(LEFT(Cockpit!$O$5,1)="B",(CL18+BG18)/2,MAX((CL18+BG18)/2,H18))))</f>
        <v>15</v>
      </c>
      <c r="BF18" s="62" t="n">
        <f aca="false">BE18*G18</f>
        <v>16813.65</v>
      </c>
      <c r="BG18" s="62" t="n">
        <f aca="false">ROUNDUP(CL18+MAX(CM18,2*(J18/IF(CH18&gt;0,CH18,MAX(0.1,N(Cockpit!$O$6)))-CL18)),0)</f>
        <v>20</v>
      </c>
      <c r="BH18" s="63" t="n">
        <f aca="false">IF(BD18&gt;0,J18/BD18,-1)</f>
        <v>0.319148936170213</v>
      </c>
      <c r="BI18" s="63" t="n">
        <f aca="false">IF(AND(OR(CG18="L1",CG18="L23",CG18="LIFT"),BD18&gt;0),SUMIFS($BD$7:$BD$1843,$CG$7:$CG$1843,CG18,$BH$7:$BH$1843,"&gt;"&amp;BH18)+SUMIFS($BD$7:$BD$1843,$CG$7:$CG$1843,CG18,$BH$7:$BH$1843,BH18,$BX$7:$BX$1843,"&lt;="&amp;BX18),"")</f>
        <v>11736.211996337</v>
      </c>
      <c r="BJ18" s="70" t="n">
        <f aca="false">IF(BI18="",0,MAX(0,MIN(1,(IF(CG18="L1",Parameter!$H$5,IF(CG18="L23",Parameter!$H$6+Parameter!$H$7,Parameter!$H$5+Parameter!$H$6+Parameter!$H$7))-(BI18-BD18))/BD18)))</f>
        <v>1</v>
      </c>
      <c r="BK18" s="60" t="str">
        <f aca="false">IF(AJ18&lt;=0,"",IF(CG18="Aussen","Aussenlager",IF(CG18="-","Nicht im Lift",IF(AP18&gt;=1,"Lift",IF(AP18&lt;=0,"Aussenlager","teilweise")))))</f>
        <v>Lift</v>
      </c>
      <c r="BL18" s="60" t="str">
        <f aca="false">IF(AT18&lt;=0,"",IF(CG18="Aussen","Aussenlager",IF(CG18="-","Nicht im Lift",IF(AZ18&gt;=1,"Lift",IF(AZ18&lt;=0,"Aussenlager","teilweise")))))</f>
        <v>Lift</v>
      </c>
      <c r="BM18" s="60" t="str">
        <f aca="false">IF(BD18&lt;=0,"",IF(CG18="Aussen","Aussenlager",IF(CG18="-","Nicht im Lift",IF(BJ18&gt;=1,"Lift",IF(BJ18&lt;=0,"Aussenlager","teilweise")))))</f>
        <v>Lift</v>
      </c>
      <c r="BN18" s="60" t="str">
        <f aca="false">IF(A18="","",IF(BW18=1,"Neu; ","")&amp;IF(AND(BW18=0,BR18&lt;0),"negativer Bestand (Export "&amp;BR18&amp;"); ","")&amp;IF(J18&lt;=0,"Kein Verbrauch; ","")&amp;IF(CR18&gt;0,"Lift "&amp;W18&amp;" lt. Liftbericht (Fach "&amp;X18&amp;" Stk); ",IF(CB18=1,"Gebinde geschätzt ("&amp;T18&amp;"); ",IF(CA18=1,"Lose – Tablare geschätzt; ","")))&amp;IF(H18&gt;AW18,"Überbestand "&amp;ROUND(H18-AW18,0)&amp;" Stk / CHF "&amp;ROUND((H18-AW18)*G18,0)&amp;"; ","")&amp;IF(AND(CI18=1,CJ18&lt;CK18),"MAX &lt; MB+LG; ","")&amp;IF(AND(CQ18&gt;0,CP18*10&gt;CQ18),"zu hoch für Tablar; ","")&amp;IF(AND(BW18=0,OR(CI18=1,AB18&lt;&gt;"",U18&lt;&gt;"",V18&lt;&gt;"",AC18&lt;&gt;"")),"manuell übersteuert; ","")&amp;IF(AND(CA18=0,R18=0),"Gebinde unbekannt / Stellmass fehlt; ","")&amp;IF(AND(CA18=0,N(V18)&lt;=0,N(Q18)&lt;=0),"Menge pro Gebinde fehlt (Ist = 1 Gebinde); ","")&amp;BV18)</f>
        <v>Überbestand 6 Stk / CHF 6725; </v>
      </c>
      <c r="BO18" s="60"/>
      <c r="BP18" s="60"/>
      <c r="BQ18" s="67"/>
      <c r="BR18" s="62" t="n">
        <v>16</v>
      </c>
      <c r="BS18" s="62" t="n">
        <v>10</v>
      </c>
      <c r="BT18" s="61" t="n">
        <v>21618.66</v>
      </c>
      <c r="BU18" s="62" t="n">
        <v>25</v>
      </c>
      <c r="BV18" s="60"/>
      <c r="BW18" s="65" t="n">
        <v>0</v>
      </c>
      <c r="BX18" s="65" t="n">
        <v>18</v>
      </c>
      <c r="BY18" s="60" t="str">
        <f aca="false">IF(U18&lt;&gt;"",UPPER(TRIM(U18)),IF(CB18=1,UPPER(VLOOKUP(T18,Parameter!$I$27:$K$29,2,0)),IF(P18="","LOSE",P18)))</f>
        <v>S71</v>
      </c>
      <c r="BZ18" s="62" t="n">
        <f aca="false">IF(BY18="LOSE",1,IF(N(V18)&gt;0,V18,IF(CB18=1,MAX(1,N(VLOOKUP(T18,Parameter!$I$27:$K$29,3,0)),H18,N(N18)),IF(N(Q18)&gt;0,Q18,MAX(1,H18)))))</f>
        <v>8</v>
      </c>
      <c r="CA18" s="65" t="n">
        <f aca="false">IF(BY18="LOSE",1,0)</f>
        <v>0</v>
      </c>
      <c r="CB18" s="65" t="n">
        <f aca="false">IF(AND(U18="",OR(P18="",P18="LOSE"),T18&lt;&gt;"",N(S18)&lt;=0,ISNUMBER(MATCH(T18,Parameter!$I$27:$I$29,0))),1,0)</f>
        <v>0</v>
      </c>
      <c r="CC18" s="65" t="n">
        <f aca="false">IF(CR18&gt;0,INDEX(Parameter!$H$5:$H$7,W18)/INDEX(Parameter!$E$5:$E$7,W18),IF(AND(CA18=0,N(IFERROR(VLOOKUP(BY18,'Gebinde-Kategorie'!$A$5:$N$45,14,0),0))&gt;0),VLOOKUP(BY18,'Gebinde-Kategorie'!$A$5:$N$45,14,0)*10+Parameter!$M$23,Parameter!$M$24))</f>
        <v>235</v>
      </c>
      <c r="CD18" s="60" t="n">
        <f aca="false">IF(AND(Parameter!$B$19="Ja",E18&lt;&gt;"",ISNUMBER(MATCH(E18,Parameter!$I$35:$I$52,0))),VLOOKUP(E18,Parameter!$I$35:$J$52,2,0),IFERROR(VLOOKUP(D18,Parameter!$A$35:$C$64,2,0),"Nein"))</f>
        <v>1</v>
      </c>
      <c r="CE18" s="64" t="n">
        <f aca="false">IF(CA18=0,0,IF(N(S18)&gt;0,S18,IFERROR(VLOOKUP(D18,Parameter!$A$35:$C$64,3,0)+0,0)))</f>
        <v>0</v>
      </c>
      <c r="CF18" s="60" t="n">
        <f aca="false">IF(AB18&lt;&gt;"",AB18,AA18)</f>
        <v>2</v>
      </c>
      <c r="CG18" s="60" t="str">
        <f aca="false">IF(OR(CF18=1,CF18=2,CF18=3),IF(Parameter!$E$27="Ja","LIFT",IF(CF18=1,"L1","L23")),IF(CF18="Aussen","Aussen","-"))</f>
        <v>LIFT</v>
      </c>
      <c r="CH18" s="71" t="n">
        <f aca="false">IF(N(AC18)&gt;0,AC18,0)</f>
        <v>0</v>
      </c>
      <c r="CI18" s="65" t="n">
        <f aca="false">IF(ISNUMBER(AF18),1,0)</f>
        <v>0</v>
      </c>
      <c r="CJ18" s="62" t="n">
        <f aca="false">N(AF18)</f>
        <v>0</v>
      </c>
      <c r="CK18" s="62" t="n">
        <f aca="false">N(M18)+N(N18)</f>
        <v>20</v>
      </c>
      <c r="CL18" s="62" t="n">
        <f aca="false">N(M18)</f>
        <v>10</v>
      </c>
      <c r="CM18" s="62" t="n">
        <f aca="false">N(N18)</f>
        <v>10</v>
      </c>
      <c r="CN18" s="62" t="n">
        <f aca="false">ROUNDUP(H18/BZ18,0)</f>
        <v>4</v>
      </c>
      <c r="CO18" s="62" t="n">
        <f aca="false">ROUNDUP(CJ18/BZ18,0)</f>
        <v>0</v>
      </c>
      <c r="CP18" s="65" t="n">
        <f aca="false">IF(CA18=1,0,IFERROR(VLOOKUP(BY18,'Gebinde-Kategorie'!$A$5:$N$45,5,0)+0,0))</f>
        <v>20</v>
      </c>
      <c r="CQ18" s="65" t="n">
        <f aca="false">IFERROR(IF(OR(CF18=1,CF18=2,CF18=3),N(INDEX(Parameter!$I$5:$I$7,CF18)),0),0)</f>
        <v>0</v>
      </c>
      <c r="CR18" s="64" t="n">
        <f aca="false">IF(AND(Parameter!$B$21="Ja",ISNUMBER(W18),N(X18)&gt;0),IFERROR(N(INDEX(Parameter!$L$5:$L$7,W18))*INDEX(Parameter!$E$5:$E$7,W18)*X18/SUMIFS($X$7:$X$1843,$W$7:$W$1843,W18),0),0)</f>
        <v>0</v>
      </c>
      <c r="CS18" s="62" t="n">
        <f aca="false">IF(AND(OR(CG18="L1",CG18="L23",CG18="LIFT"),H18&gt;0),CC18*IF(CR18&gt;0,CR18*MAX(1,H18/X18),IF(CA18=1,CE18,IF(R18&gt;0,CN18/R18,0))/MAX(0.1,N(Parameter!$M$21))),"")</f>
        <v>156.666666666667</v>
      </c>
      <c r="CT18" s="64" t="n">
        <f aca="false">IF(CS18="","",J18/H18)</f>
        <v>0.961538461538462</v>
      </c>
      <c r="CU18" s="62" t="n">
        <f aca="false">IF(CS18="","",H18*G18)</f>
        <v>29143.66</v>
      </c>
      <c r="CV18" s="63" t="n">
        <f aca="false">IF(CS18="","",(CL18+ROUNDUP(CL18+MAX(CM18,2*(J18/MAX(0.1,N(Einkauf!$C$6))-CL18)),0))/2)</f>
        <v>15</v>
      </c>
      <c r="CW18" s="62" t="n">
        <f aca="false">IF(CS18="","",MAX(0,H18-CV18)*G18)</f>
        <v>12330.01</v>
      </c>
      <c r="CX18" s="62" t="n">
        <f aca="false">IF(CS18="","",CS18*MAX(0,1-CV18/H18))</f>
        <v>66.2820512820513</v>
      </c>
      <c r="CY18" s="64" t="n">
        <f aca="false">IF(CS18="","",PERCENTRANK($CS$7:$CS$1843,CS18)+PERCENTRANK($CU$7:$CU$1843,CU18)+1-PERCENTRANK($CT$7:$CT$1843,CT18))</f>
        <v>2.335</v>
      </c>
      <c r="CZ18" s="72" t="n">
        <f aca="false">IF(CS18="","",CHOOSE(MATCH(Einkauf!$C$5,Parameter!$G$23:$G$27,0),CY18,CS18,CU18,-CT18,CW18)+ROW()/1000000000)</f>
        <v>2.335000018</v>
      </c>
    </row>
    <row r="19" customFormat="false" ht="15" hidden="false" customHeight="false" outlineLevel="0" collapsed="false">
      <c r="A19" s="60" t="s">
        <v>246</v>
      </c>
      <c r="B19" s="60" t="s">
        <v>238</v>
      </c>
      <c r="C19" s="60" t="s">
        <v>206</v>
      </c>
      <c r="D19" s="60" t="s">
        <v>215</v>
      </c>
      <c r="E19" s="60"/>
      <c r="F19" s="60" t="s">
        <v>243</v>
      </c>
      <c r="G19" s="61" t="n">
        <v>4740.37</v>
      </c>
      <c r="H19" s="62" t="n">
        <f aca="false">MAX(0,IF(AND(Parameter!$B$21="Ja",ISNUMBER(Y19)),Y19,IF(Parameter!$B$20="Jahresanfang 2025 + Export",BS19+BR19,BR19)))</f>
        <v>4</v>
      </c>
      <c r="I19" s="62" t="n">
        <f aca="false">H19*G19</f>
        <v>18961.48</v>
      </c>
      <c r="J19" s="62" t="n">
        <f aca="false">BU19*Parameter!$B$18</f>
        <v>40</v>
      </c>
      <c r="K19" s="63" t="n">
        <v>13</v>
      </c>
      <c r="L19" s="64" t="n">
        <v>3.07692307692308</v>
      </c>
      <c r="M19" s="62" t="n">
        <v>5</v>
      </c>
      <c r="N19" s="62" t="n">
        <v>1</v>
      </c>
      <c r="O19" s="65" t="n">
        <v>28</v>
      </c>
      <c r="P19" s="60" t="s">
        <v>210</v>
      </c>
      <c r="Q19" s="62"/>
      <c r="R19" s="65" t="n">
        <f aca="false">IF(CA19=1,0,IFERROR(VLOOKUP(BY19,'Gebinde-Kategorie'!$A$5:$N$45,13,0)+0,0))</f>
        <v>12</v>
      </c>
      <c r="S19" s="66"/>
      <c r="T19" s="67" t="s">
        <v>221</v>
      </c>
      <c r="U19" s="67"/>
      <c r="V19" s="67"/>
      <c r="W19" s="60"/>
      <c r="X19" s="62"/>
      <c r="Y19" s="62"/>
      <c r="Z19" s="60" t="n">
        <v>3</v>
      </c>
      <c r="AA19" s="60" t="n">
        <f aca="false">IF(A19="","",IF(AND(Parameter!$B$21="Ja",ISNUMBER(W19)),W19,IF(AND(Parameter!$E$27="Ja",ISNUMBER(Z19),CD19&lt;&gt;"Nein"),Z19,IF(CD19="2+3",IF(ISNUMBER(SEARCH("grosser Artikel",BV19)),2,IFERROR(VLOOKUP(BY19,Parameter!$F$35:$G$64,2,0),2)),IF(OR(CD19="Nein",CD19=""),"-",CD19)))))</f>
        <v>3</v>
      </c>
      <c r="AB19" s="67"/>
      <c r="AC19" s="68"/>
      <c r="AD19" s="62" t="n">
        <f aca="false">AW19</f>
        <v>22</v>
      </c>
      <c r="AE19" s="62" t="n">
        <f aca="false">MAX(AW19,H19)</f>
        <v>22</v>
      </c>
      <c r="AF19" s="69"/>
      <c r="AG19" s="62" t="n">
        <f aca="false">IF(LEFT(Cockpit!$C$5,1)="A",H19,IF(Parameter!$E$30="MAX-Bestand",IF(CI19=1,CJ19,IF(LEFT(Cockpit!$C$5,1)="B",AM19,MAX(AM19,H19))),ROUNDUP(AK19,0)))</f>
        <v>4</v>
      </c>
      <c r="AH19" s="62" t="n">
        <f aca="false">IF(CA19=1,0,ROUNDUP(AG19/BZ19,0))</f>
        <v>1</v>
      </c>
      <c r="AI19" s="64" t="n">
        <f aca="false">IF(CR19&gt;0,CR19*MAX(1,AG19/X19),IF(CA19=1,IF(AG19&lt;=0,0,CE19*MAX(1,IF(H19&gt;0,AG19/H19,1))),IF(R19&gt;0,AH19/R19,0))/MAX(0.1,N(Parameter!$M$21)))</f>
        <v>0.0833333333333333</v>
      </c>
      <c r="AJ19" s="62" t="n">
        <f aca="false">AI19*CC19</f>
        <v>12.0833333333333</v>
      </c>
      <c r="AK19" s="63" t="n">
        <f aca="false">IF(LEFT(Cockpit!$C$5,1)="A",H19,IF(CI19=1,(CL19+CJ19)/2,IF(LEFT(Cockpit!$C$5,1)="B",(CL19+AM19)/2,MAX((CL19+AM19)/2,H19))))</f>
        <v>4</v>
      </c>
      <c r="AL19" s="62" t="n">
        <f aca="false">AK19*G19</f>
        <v>18961.48</v>
      </c>
      <c r="AM19" s="62" t="n">
        <f aca="false">ROUNDUP(CL19+MAX(CM19,2*(J19/IF(CH19&gt;0,CH19,MAX(0.1,N(Cockpit!$C$6)))-CL19)),0)</f>
        <v>22</v>
      </c>
      <c r="AN19" s="63" t="n">
        <f aca="false">IF(AJ19&gt;0,J19/AJ19,-1)</f>
        <v>3.31034482758621</v>
      </c>
      <c r="AO19" s="63" t="n">
        <f aca="false">IF(AND(OR(CG19="L1",CG19="L23",CG19="LIFT"),AJ19&gt;0),SUMIFS($AJ$7:$AJ$1843,$CG$7:$CG$1843,CG19,$AN$7:$AN$1843,"&gt;"&amp;AN19)+SUMIFS($AJ$7:$AJ$1843,$CG$7:$CG$1843,CG19,$AN$7:$AN$1843,AN19,$BX$7:$BX$1843,"&lt;="&amp;BX19),"")</f>
        <v>4969.16163003663</v>
      </c>
      <c r="AP19" s="70" t="n">
        <f aca="false">IF(AO19="",0,MAX(0,MIN(1,(IF(CG19="L1",Parameter!$H$5,IF(CG19="L23",Parameter!$H$6+Parameter!$H$7,Parameter!$H$5+Parameter!$H$6+Parameter!$H$7))-(AO19-AJ19))/AJ19)))</f>
        <v>1</v>
      </c>
      <c r="AQ19" s="62" t="n">
        <f aca="false">IF(LEFT(Cockpit!$I$5,1)="A",H19,IF(Parameter!$E$30="MAX-Bestand",IF(CI19=1,CJ19,IF(LEFT(Cockpit!$I$5,1)="B",AW19,MAX(AW19,H19))),ROUNDUP(AU19,0)))</f>
        <v>14</v>
      </c>
      <c r="AR19" s="62" t="n">
        <f aca="false">IF(CA19=1,0,ROUNDUP(AQ19/BZ19,0))</f>
        <v>4</v>
      </c>
      <c r="AS19" s="64" t="n">
        <f aca="false">IF(CR19&gt;0,CR19*MAX(1,AQ19/X19),IF(CA19=1,IF(AQ19&lt;=0,0,CE19*MAX(1,IF(H19&gt;0,AQ19/H19,1))),IF(R19&gt;0,AR19/R19,0))/MAX(0.1,N(Parameter!$M$21)))</f>
        <v>0.333333333333333</v>
      </c>
      <c r="AT19" s="62" t="n">
        <f aca="false">AS19*CC19</f>
        <v>48.3333333333333</v>
      </c>
      <c r="AU19" s="63" t="n">
        <f aca="false">IF(LEFT(Cockpit!$I$5,1)="A",H19,IF(CI19=1,(CL19+CJ19)/2,IF(LEFT(Cockpit!$I$5,1)="B",(CL19+AW19)/2,MAX((CL19+AW19)/2,H19))))</f>
        <v>13.5</v>
      </c>
      <c r="AV19" s="62" t="n">
        <f aca="false">AU19*G19</f>
        <v>63994.995</v>
      </c>
      <c r="AW19" s="62" t="n">
        <f aca="false">ROUNDUP(CL19+MAX(CM19,2*(J19/IF(CH19&gt;0,CH19,MAX(0.1,N(Cockpit!$I$6)))-CL19)),0)</f>
        <v>22</v>
      </c>
      <c r="AX19" s="63" t="n">
        <f aca="false">IF(AT19&gt;0,J19/AT19,-1)</f>
        <v>0.827586206896552</v>
      </c>
      <c r="AY19" s="63" t="n">
        <f aca="false">IF(AND(OR(CG19="L1",CG19="L23",CG19="LIFT"),AT19&gt;0),SUMIFS($AT$7:$AT$1843,$CG$7:$CG$1843,CG19,$AX$7:$AX$1843,"&gt;"&amp;AX19)+SUMIFS($AT$7:$AT$1843,$CG$7:$CG$1843,CG19,$AX$7:$AX$1843,AX19,$BX$7:$BX$1843,"&lt;="&amp;BX19),"")</f>
        <v>9757.85989010989</v>
      </c>
      <c r="AZ19" s="70" t="n">
        <f aca="false">IF(AY19="",0,MAX(0,MIN(1,(IF(CG19="L1",Parameter!$H$5,IF(CG19="L23",Parameter!$H$6+Parameter!$H$7,Parameter!$H$5+Parameter!$H$6+Parameter!$H$7))-(AY19-AT19))/AT19)))</f>
        <v>1</v>
      </c>
      <c r="BA19" s="62" t="n">
        <f aca="false">IF(LEFT(Cockpit!$O$5,1)="A",H19,IF(Parameter!$E$30="MAX-Bestand",IF(CI19=1,CJ19,IF(LEFT(Cockpit!$O$5,1)="B",BG19,MAX(BG19,H19))),ROUNDUP(BE19,0)))</f>
        <v>10</v>
      </c>
      <c r="BB19" s="62" t="n">
        <f aca="false">IF(CA19=1,0,ROUNDUP(BA19/BZ19,0))</f>
        <v>3</v>
      </c>
      <c r="BC19" s="64" t="n">
        <f aca="false">IF(CR19&gt;0,CR19*MAX(1,BA19/X19),IF(CA19=1,IF(BA19&lt;=0,0,CE19*MAX(1,IF(H19&gt;0,BA19/H19,1))),IF(R19&gt;0,BB19/R19,0))/MAX(0.1,N(Parameter!$M$21)))</f>
        <v>0.25</v>
      </c>
      <c r="BD19" s="62" t="n">
        <f aca="false">BC19*CC19</f>
        <v>36.25</v>
      </c>
      <c r="BE19" s="63" t="n">
        <f aca="false">IF(LEFT(Cockpit!$O$5,1)="A",H19,IF(CI19=1,(CL19+CJ19)/2,IF(LEFT(Cockpit!$O$5,1)="B",(CL19+BG19)/2,MAX((CL19+BG19)/2,H19))))</f>
        <v>10</v>
      </c>
      <c r="BF19" s="62" t="n">
        <f aca="false">BE19*G19</f>
        <v>47403.7</v>
      </c>
      <c r="BG19" s="62" t="n">
        <f aca="false">ROUNDUP(CL19+MAX(CM19,2*(J19/IF(CH19&gt;0,CH19,MAX(0.1,N(Cockpit!$O$6)))-CL19)),0)</f>
        <v>15</v>
      </c>
      <c r="BH19" s="63" t="n">
        <f aca="false">IF(BD19&gt;0,J19/BD19,-1)</f>
        <v>1.10344827586207</v>
      </c>
      <c r="BI19" s="63" t="n">
        <f aca="false">IF(AND(OR(CG19="L1",CG19="L23",CG19="LIFT"),BD19&gt;0),SUMIFS($BD$7:$BD$1843,$CG$7:$CG$1843,CG19,$BH$7:$BH$1843,"&gt;"&amp;BH19)+SUMIFS($BD$7:$BD$1843,$CG$7:$CG$1843,CG19,$BH$7:$BH$1843,BH19,$BX$7:$BX$1843,"&lt;="&amp;BX19),"")</f>
        <v>7339.05357142857</v>
      </c>
      <c r="BJ19" s="70" t="n">
        <f aca="false">IF(BI19="",0,MAX(0,MIN(1,(IF(CG19="L1",Parameter!$H$5,IF(CG19="L23",Parameter!$H$6+Parameter!$H$7,Parameter!$H$5+Parameter!$H$6+Parameter!$H$7))-(BI19-BD19))/BD19)))</f>
        <v>1</v>
      </c>
      <c r="BK19" s="60" t="str">
        <f aca="false">IF(AJ19&lt;=0,"",IF(CG19="Aussen","Aussenlager",IF(CG19="-","Nicht im Lift",IF(AP19&gt;=1,"Lift",IF(AP19&lt;=0,"Aussenlager","teilweise")))))</f>
        <v>Lift</v>
      </c>
      <c r="BL19" s="60" t="str">
        <f aca="false">IF(AT19&lt;=0,"",IF(CG19="Aussen","Aussenlager",IF(CG19="-","Nicht im Lift",IF(AZ19&gt;=1,"Lift",IF(AZ19&lt;=0,"Aussenlager","teilweise")))))</f>
        <v>Lift</v>
      </c>
      <c r="BM19" s="60" t="str">
        <f aca="false">IF(BD19&lt;=0,"",IF(CG19="Aussen","Aussenlager",IF(CG19="-","Nicht im Lift",IF(BJ19&gt;=1,"Lift",IF(BJ19&lt;=0,"Aussenlager","teilweise")))))</f>
        <v>Lift</v>
      </c>
      <c r="BN19" s="60" t="str">
        <f aca="false">IF(A19="","",IF(BW19=1,"Neu; ","")&amp;IF(AND(BW19=0,BR19&lt;0),"negativer Bestand (Export "&amp;BR19&amp;"); ","")&amp;IF(J19&lt;=0,"Kein Verbrauch; ","")&amp;IF(CR19&gt;0,"Lift "&amp;W19&amp;" lt. Liftbericht (Fach "&amp;X19&amp;" Stk); ",IF(CB19=1,"Gebinde geschätzt ("&amp;T19&amp;"); ",IF(CA19=1,"Lose – Tablare geschätzt; ","")))&amp;IF(H19&gt;AW19,"Überbestand "&amp;ROUND(H19-AW19,0)&amp;" Stk / CHF "&amp;ROUND((H19-AW19)*G19,0)&amp;"; ","")&amp;IF(AND(CI19=1,CJ19&lt;CK19),"MAX &lt; MB+LG; ","")&amp;IF(AND(CQ19&gt;0,CP19*10&gt;CQ19),"zu hoch für Tablar; ","")&amp;IF(AND(BW19=0,OR(CI19=1,AB19&lt;&gt;"",U19&lt;&gt;"",V19&lt;&gt;"",AC19&lt;&gt;"")),"manuell übersteuert; ","")&amp;IF(AND(CA19=0,R19=0),"Gebinde unbekannt / Stellmass fehlt; ","")&amp;IF(AND(CA19=0,N(V19)&lt;=0,N(Q19)&lt;=0),"Menge pro Gebinde fehlt (Ist = 1 Gebinde); ","")&amp;BV19)</f>
        <v>Gebinde geschätzt (Mittel); Menge pro Gebinde fehlt (Ist = 1 Gebinde); </v>
      </c>
      <c r="BO19" s="60"/>
      <c r="BP19" s="60"/>
      <c r="BQ19" s="67"/>
      <c r="BR19" s="62" t="n">
        <v>4</v>
      </c>
      <c r="BS19" s="62" t="n">
        <v>0</v>
      </c>
      <c r="BT19" s="61" t="n">
        <v>18961.4799999999</v>
      </c>
      <c r="BU19" s="62" t="n">
        <v>40</v>
      </c>
      <c r="BV19" s="60"/>
      <c r="BW19" s="65" t="n">
        <v>0</v>
      </c>
      <c r="BX19" s="65" t="n">
        <v>19</v>
      </c>
      <c r="BY19" s="60" t="str">
        <f aca="false">IF(U19&lt;&gt;"",UPPER(TRIM(U19)),IF(CB19=1,UPPER(VLOOKUP(T19,Parameter!$I$27:$K$29,2,0)),IF(P19="","LOSE",P19)))</f>
        <v>S61</v>
      </c>
      <c r="BZ19" s="62" t="n">
        <f aca="false">IF(BY19="LOSE",1,IF(N(V19)&gt;0,V19,IF(CB19=1,MAX(1,N(VLOOKUP(T19,Parameter!$I$27:$K$29,3,0)),H19,N(N19)),IF(N(Q19)&gt;0,Q19,MAX(1,H19)))))</f>
        <v>4</v>
      </c>
      <c r="CA19" s="65" t="n">
        <f aca="false">IF(BY19="LOSE",1,0)</f>
        <v>0</v>
      </c>
      <c r="CB19" s="65" t="n">
        <f aca="false">IF(AND(U19="",OR(P19="",P19="LOSE"),T19&lt;&gt;"",N(S19)&lt;=0,ISNUMBER(MATCH(T19,Parameter!$I$27:$I$29,0))),1,0)</f>
        <v>1</v>
      </c>
      <c r="CC19" s="65" t="n">
        <f aca="false">IF(CR19&gt;0,INDEX(Parameter!$H$5:$H$7,W19)/INDEX(Parameter!$E$5:$E$7,W19),IF(AND(CA19=0,N(IFERROR(VLOOKUP(BY19,'Gebinde-Kategorie'!$A$5:$N$45,14,0),0))&gt;0),VLOOKUP(BY19,'Gebinde-Kategorie'!$A$5:$N$45,14,0)*10+Parameter!$M$23,Parameter!$M$24))</f>
        <v>145</v>
      </c>
      <c r="CD19" s="60" t="str">
        <f aca="false">IF(AND(Parameter!$B$19="Ja",E19&lt;&gt;"",ISNUMBER(MATCH(E19,Parameter!$I$35:$I$52,0))),VLOOKUP(E19,Parameter!$I$35:$J$52,2,0),IFERROR(VLOOKUP(D19,Parameter!$A$35:$C$64,2,0),"Nein"))</f>
        <v>2+3</v>
      </c>
      <c r="CE19" s="64" t="n">
        <f aca="false">IF(CA19=0,0,IF(N(S19)&gt;0,S19,IFERROR(VLOOKUP(D19,Parameter!$A$35:$C$64,3,0)+0,0)))</f>
        <v>0</v>
      </c>
      <c r="CF19" s="60" t="n">
        <f aca="false">IF(AB19&lt;&gt;"",AB19,AA19)</f>
        <v>3</v>
      </c>
      <c r="CG19" s="60" t="str">
        <f aca="false">IF(OR(CF19=1,CF19=2,CF19=3),IF(Parameter!$E$27="Ja","LIFT",IF(CF19=1,"L1","L23")),IF(CF19="Aussen","Aussen","-"))</f>
        <v>LIFT</v>
      </c>
      <c r="CH19" s="71" t="n">
        <f aca="false">IF(N(AC19)&gt;0,AC19,0)</f>
        <v>0</v>
      </c>
      <c r="CI19" s="65" t="n">
        <f aca="false">IF(ISNUMBER(AF19),1,0)</f>
        <v>0</v>
      </c>
      <c r="CJ19" s="62" t="n">
        <f aca="false">N(AF19)</f>
        <v>0</v>
      </c>
      <c r="CK19" s="62" t="n">
        <f aca="false">N(M19)+N(N19)</f>
        <v>6</v>
      </c>
      <c r="CL19" s="62" t="n">
        <f aca="false">N(M19)</f>
        <v>5</v>
      </c>
      <c r="CM19" s="62" t="n">
        <f aca="false">N(N19)</f>
        <v>1</v>
      </c>
      <c r="CN19" s="62" t="n">
        <f aca="false">ROUNDUP(H19/BZ19,0)</f>
        <v>1</v>
      </c>
      <c r="CO19" s="62" t="n">
        <f aca="false">ROUNDUP(CJ19/BZ19,0)</f>
        <v>0</v>
      </c>
      <c r="CP19" s="65" t="n">
        <f aca="false">IF(CA19=1,0,IFERROR(VLOOKUP(BY19,'Gebinde-Kategorie'!$A$5:$N$45,5,0)+0,0))</f>
        <v>11</v>
      </c>
      <c r="CQ19" s="65" t="n">
        <f aca="false">IFERROR(IF(OR(CF19=1,CF19=2,CF19=3),N(INDEX(Parameter!$I$5:$I$7,CF19)),0),0)</f>
        <v>0</v>
      </c>
      <c r="CR19" s="64" t="n">
        <f aca="false">IF(AND(Parameter!$B$21="Ja",ISNUMBER(W19),N(X19)&gt;0),IFERROR(N(INDEX(Parameter!$L$5:$L$7,W19))*INDEX(Parameter!$E$5:$E$7,W19)*X19/SUMIFS($X$7:$X$1843,$W$7:$W$1843,W19),0),0)</f>
        <v>0</v>
      </c>
      <c r="CS19" s="62" t="n">
        <f aca="false">IF(AND(OR(CG19="L1",CG19="L23",CG19="LIFT"),H19&gt;0),CC19*IF(CR19&gt;0,CR19*MAX(1,H19/X19),IF(CA19=1,CE19,IF(R19&gt;0,CN19/R19,0))/MAX(0.1,N(Parameter!$M$21))),"")</f>
        <v>12.0833333333333</v>
      </c>
      <c r="CT19" s="64" t="n">
        <f aca="false">IF(CS19="","",J19/H19)</f>
        <v>10</v>
      </c>
      <c r="CU19" s="62" t="n">
        <f aca="false">IF(CS19="","",H19*G19)</f>
        <v>18961.48</v>
      </c>
      <c r="CV19" s="63" t="n">
        <f aca="false">IF(CS19="","",(CL19+ROUNDUP(CL19+MAX(CM19,2*(J19/MAX(0.1,N(Einkauf!$C$6))-CL19)),0))/2)</f>
        <v>10</v>
      </c>
      <c r="CW19" s="62" t="n">
        <f aca="false">IF(CS19="","",MAX(0,H19-CV19)*G19)</f>
        <v>0</v>
      </c>
      <c r="CX19" s="62" t="n">
        <f aca="false">IF(CS19="","",CS19*MAX(0,1-CV19/H19))</f>
        <v>0</v>
      </c>
      <c r="CY19" s="64" t="n">
        <f aca="false">IF(CS19="","",PERCENTRANK($CS$7:$CS$1843,CS19)+PERCENTRANK($CU$7:$CU$1843,CU19)+1-PERCENTRANK($CT$7:$CT$1843,CT19))</f>
        <v>1.65</v>
      </c>
      <c r="CZ19" s="72" t="n">
        <f aca="false">IF(CS19="","",CHOOSE(MATCH(Einkauf!$C$5,Parameter!$G$23:$G$27,0),CY19,CS19,CU19,-CT19,CW19)+ROW()/1000000000)</f>
        <v>1.650000019</v>
      </c>
    </row>
    <row r="20" customFormat="false" ht="15" hidden="false" customHeight="false" outlineLevel="0" collapsed="false">
      <c r="A20" s="60" t="s">
        <v>247</v>
      </c>
      <c r="B20" s="60" t="s">
        <v>248</v>
      </c>
      <c r="C20" s="60" t="s">
        <v>206</v>
      </c>
      <c r="D20" s="60" t="s">
        <v>207</v>
      </c>
      <c r="E20" s="60" t="s">
        <v>208</v>
      </c>
      <c r="F20" s="60" t="s">
        <v>243</v>
      </c>
      <c r="G20" s="61" t="n">
        <v>3611.62</v>
      </c>
      <c r="H20" s="62" t="n">
        <f aca="false">MAX(0,IF(AND(Parameter!$B$21="Ja",ISNUMBER(Y20)),Y20,IF(Parameter!$B$20="Jahresanfang 2025 + Export",BS20+BR20,BR20)))</f>
        <v>0</v>
      </c>
      <c r="I20" s="62" t="n">
        <f aca="false">H20*G20</f>
        <v>0</v>
      </c>
      <c r="J20" s="62" t="n">
        <f aca="false">BU20*Parameter!$B$18</f>
        <v>21</v>
      </c>
      <c r="K20" s="63" t="n">
        <v>6.5</v>
      </c>
      <c r="L20" s="64" t="n">
        <v>3.23076923076923</v>
      </c>
      <c r="M20" s="62" t="n">
        <v>1</v>
      </c>
      <c r="N20" s="62" t="n">
        <v>5</v>
      </c>
      <c r="O20" s="65" t="n">
        <v>21</v>
      </c>
      <c r="P20" s="60" t="s">
        <v>210</v>
      </c>
      <c r="Q20" s="62"/>
      <c r="R20" s="65" t="n">
        <f aca="false">IF(CA20=1,0,IFERROR(VLOOKUP(BY20,'Gebinde-Kategorie'!$A$5:$N$45,13,0)+0,0))</f>
        <v>0</v>
      </c>
      <c r="S20" s="66"/>
      <c r="T20" s="67"/>
      <c r="U20" s="67"/>
      <c r="V20" s="67"/>
      <c r="W20" s="60" t="n">
        <v>1</v>
      </c>
      <c r="X20" s="62" t="n">
        <v>10</v>
      </c>
      <c r="Y20" s="62" t="n">
        <v>0</v>
      </c>
      <c r="Z20" s="60" t="n">
        <v>1</v>
      </c>
      <c r="AA20" s="60" t="n">
        <f aca="false">IF(A20="","",IF(AND(Parameter!$B$21="Ja",ISNUMBER(W20)),W20,IF(AND(Parameter!$E$27="Ja",ISNUMBER(Z20),CD20&lt;&gt;"Nein"),Z20,IF(CD20="2+3",IF(ISNUMBER(SEARCH("grosser Artikel",BV20)),2,IFERROR(VLOOKUP(BY20,Parameter!$F$35:$G$64,2,0),2)),IF(OR(CD20="Nein",CD20=""),"-",CD20)))))</f>
        <v>1</v>
      </c>
      <c r="AB20" s="67"/>
      <c r="AC20" s="68"/>
      <c r="AD20" s="62" t="n">
        <f aca="false">AW20</f>
        <v>13</v>
      </c>
      <c r="AE20" s="62" t="n">
        <f aca="false">MAX(AW20,H20)</f>
        <v>13</v>
      </c>
      <c r="AF20" s="69"/>
      <c r="AG20" s="62" t="n">
        <f aca="false">IF(LEFT(Cockpit!$C$5,1)="A",H20,IF(Parameter!$E$30="MAX-Bestand",IF(CI20=1,CJ20,IF(LEFT(Cockpit!$C$5,1)="B",AM20,MAX(AM20,H20))),ROUNDUP(AK20,0)))</f>
        <v>0</v>
      </c>
      <c r="AH20" s="62" t="n">
        <f aca="false">IF(CA20=1,0,ROUNDUP(AG20/BZ20,0))</f>
        <v>0</v>
      </c>
      <c r="AI20" s="64" t="n">
        <f aca="false">IF(CR20&gt;0,CR20*MAX(1,AG20/X20),IF(CA20=1,IF(AG20&lt;=0,0,CE20*MAX(1,IF(H20&gt;0,AG20/H20,1))),IF(R20&gt;0,AH20/R20,0))/MAX(0.1,N(Parameter!$M$21)))</f>
        <v>0.800376647834275</v>
      </c>
      <c r="AJ20" s="62" t="n">
        <f aca="false">AI20*CC20</f>
        <v>190.489642184557</v>
      </c>
      <c r="AK20" s="63" t="n">
        <f aca="false">IF(LEFT(Cockpit!$C$5,1)="A",H20,IF(CI20=1,(CL20+CJ20)/2,IF(LEFT(Cockpit!$C$5,1)="B",(CL20+AM20)/2,MAX((CL20+AM20)/2,H20))))</f>
        <v>0</v>
      </c>
      <c r="AL20" s="62" t="n">
        <f aca="false">AK20*G20</f>
        <v>0</v>
      </c>
      <c r="AM20" s="62" t="n">
        <f aca="false">ROUNDUP(CL20+MAX(CM20,2*(J20/IF(CH20&gt;0,CH20,MAX(0.1,N(Cockpit!$C$6)))-CL20)),0)</f>
        <v>13</v>
      </c>
      <c r="AN20" s="63" t="n">
        <f aca="false">IF(AJ20&gt;0,J20/AJ20,-1)</f>
        <v>0.110242214532872</v>
      </c>
      <c r="AO20" s="63" t="n">
        <f aca="false">IF(AND(OR(CG20="L1",CG20="L23",CG20="LIFT"),AJ20&gt;0),SUMIFS($AJ$7:$AJ$1843,$CG$7:$CG$1843,CG20,$AN$7:$AN$1843,"&gt;"&amp;AN20)+SUMIFS($AJ$7:$AJ$1843,$CG$7:$CG$1843,CG20,$AN$7:$AN$1843,AN20,$BX$7:$BX$1843,"&lt;="&amp;BX20),"")</f>
        <v>15028.5442017963</v>
      </c>
      <c r="AP20" s="70" t="n">
        <f aca="false">IF(AO20="",0,MAX(0,MIN(1,(IF(CG20="L1",Parameter!$H$5,IF(CG20="L23",Parameter!$H$6+Parameter!$H$7,Parameter!$H$5+Parameter!$H$6+Parameter!$H$7))-(AO20-AJ20))/AJ20)))</f>
        <v>1</v>
      </c>
      <c r="AQ20" s="62" t="n">
        <f aca="false">IF(LEFT(Cockpit!$I$5,1)="A",H20,IF(Parameter!$E$30="MAX-Bestand",IF(CI20=1,CJ20,IF(LEFT(Cockpit!$I$5,1)="B",AW20,MAX(AW20,H20))),ROUNDUP(AU20,0)))</f>
        <v>7</v>
      </c>
      <c r="AR20" s="62" t="n">
        <f aca="false">IF(CA20=1,0,ROUNDUP(AQ20/BZ20,0))</f>
        <v>0</v>
      </c>
      <c r="AS20" s="64" t="n">
        <f aca="false">IF(CR20&gt;0,CR20*MAX(1,AQ20/X20),IF(CA20=1,IF(AQ20&lt;=0,0,CE20*MAX(1,IF(H20&gt;0,AQ20/H20,1))),IF(R20&gt;0,AR20/R20,0))/MAX(0.1,N(Parameter!$M$21)))</f>
        <v>0.800376647834275</v>
      </c>
      <c r="AT20" s="62" t="n">
        <f aca="false">AS20*CC20</f>
        <v>190.489642184557</v>
      </c>
      <c r="AU20" s="63" t="n">
        <f aca="false">IF(LEFT(Cockpit!$I$5,1)="A",H20,IF(CI20=1,(CL20+CJ20)/2,IF(LEFT(Cockpit!$I$5,1)="B",(CL20+AW20)/2,MAX((CL20+AW20)/2,H20))))</f>
        <v>7</v>
      </c>
      <c r="AV20" s="62" t="n">
        <f aca="false">AU20*G20</f>
        <v>25281.34</v>
      </c>
      <c r="AW20" s="62" t="n">
        <f aca="false">ROUNDUP(CL20+MAX(CM20,2*(J20/IF(CH20&gt;0,CH20,MAX(0.1,N(Cockpit!$I$6)))-CL20)),0)</f>
        <v>13</v>
      </c>
      <c r="AX20" s="63" t="n">
        <f aca="false">IF(AT20&gt;0,J20/AT20,-1)</f>
        <v>0.110242214532872</v>
      </c>
      <c r="AY20" s="63" t="n">
        <f aca="false">IF(AND(OR(CG20="L1",CG20="L23",CG20="LIFT"),AT20&gt;0),SUMIFS($AT$7:$AT$1843,$CG$7:$CG$1843,CG20,$AX$7:$AX$1843,"&gt;"&amp;AX20)+SUMIFS($AT$7:$AT$1843,$CG$7:$CG$1843,CG20,$AX$7:$AX$1843,AX20,$BX$7:$BX$1843,"&lt;="&amp;BX20),"")</f>
        <v>19052.9428431738</v>
      </c>
      <c r="AZ20" s="70" t="n">
        <f aca="false">IF(AY20="",0,MAX(0,MIN(1,(IF(CG20="L1",Parameter!$H$5,IF(CG20="L23",Parameter!$H$6+Parameter!$H$7,Parameter!$H$5+Parameter!$H$6+Parameter!$H$7))-(AY20-AT20))/AT20)))</f>
        <v>1</v>
      </c>
      <c r="BA20" s="62" t="n">
        <f aca="false">IF(LEFT(Cockpit!$O$5,1)="A",H20,IF(Parameter!$E$30="MAX-Bestand",IF(CI20=1,CJ20,IF(LEFT(Cockpit!$O$5,1)="B",BG20,MAX(BG20,H20))),ROUNDUP(BE20,0)))</f>
        <v>6</v>
      </c>
      <c r="BB20" s="62" t="n">
        <f aca="false">IF(CA20=1,0,ROUNDUP(BA20/BZ20,0))</f>
        <v>0</v>
      </c>
      <c r="BC20" s="64" t="n">
        <f aca="false">IF(CR20&gt;0,CR20*MAX(1,BA20/X20),IF(CA20=1,IF(BA20&lt;=0,0,CE20*MAX(1,IF(H20&gt;0,BA20/H20,1))),IF(R20&gt;0,BB20/R20,0))/MAX(0.1,N(Parameter!$M$21)))</f>
        <v>0.800376647834275</v>
      </c>
      <c r="BD20" s="62" t="n">
        <f aca="false">BC20*CC20</f>
        <v>190.489642184557</v>
      </c>
      <c r="BE20" s="63" t="n">
        <f aca="false">IF(LEFT(Cockpit!$O$5,1)="A",H20,IF(CI20=1,(CL20+CJ20)/2,IF(LEFT(Cockpit!$O$5,1)="B",(CL20+BG20)/2,MAX((CL20+BG20)/2,H20))))</f>
        <v>5.5</v>
      </c>
      <c r="BF20" s="62" t="n">
        <f aca="false">BE20*G20</f>
        <v>19863.91</v>
      </c>
      <c r="BG20" s="62" t="n">
        <f aca="false">ROUNDUP(CL20+MAX(CM20,2*(J20/IF(CH20&gt;0,CH20,MAX(0.1,N(Cockpit!$O$6)))-CL20)),0)</f>
        <v>10</v>
      </c>
      <c r="BH20" s="63" t="n">
        <f aca="false">IF(BD20&gt;0,J20/BD20,-1)</f>
        <v>0.110242214532872</v>
      </c>
      <c r="BI20" s="63" t="n">
        <f aca="false">IF(AND(OR(CG20="L1",CG20="L23",CG20="LIFT"),BD20&gt;0),SUMIFS($BD$7:$BD$1843,$CG$7:$CG$1843,CG20,$BH$7:$BH$1843,"&gt;"&amp;BH20)+SUMIFS($BD$7:$BD$1843,$CG$7:$CG$1843,CG20,$BH$7:$BH$1843,BH20,$BX$7:$BX$1843,"&lt;="&amp;BX20),"")</f>
        <v>16653.7554557025</v>
      </c>
      <c r="BJ20" s="70" t="n">
        <f aca="false">IF(BI20="",0,MAX(0,MIN(1,(IF(CG20="L1",Parameter!$H$5,IF(CG20="L23",Parameter!$H$6+Parameter!$H$7,Parameter!$H$5+Parameter!$H$6+Parameter!$H$7))-(BI20-BD20))/BD20)))</f>
        <v>1</v>
      </c>
      <c r="BK20" s="60" t="str">
        <f aca="false">IF(AJ20&lt;=0,"",IF(CG20="Aussen","Aussenlager",IF(CG20="-","Nicht im Lift",IF(AP20&gt;=1,"Lift",IF(AP20&lt;=0,"Aussenlager","teilweise")))))</f>
        <v>Lift</v>
      </c>
      <c r="BL20" s="60" t="str">
        <f aca="false">IF(AT20&lt;=0,"",IF(CG20="Aussen","Aussenlager",IF(CG20="-","Nicht im Lift",IF(AZ20&gt;=1,"Lift",IF(AZ20&lt;=0,"Aussenlager","teilweise")))))</f>
        <v>Lift</v>
      </c>
      <c r="BM20" s="60" t="str">
        <f aca="false">IF(BD20&lt;=0,"",IF(CG20="Aussen","Aussenlager",IF(CG20="-","Nicht im Lift",IF(BJ20&gt;=1,"Lift",IF(BJ20&lt;=0,"Aussenlager","teilweise")))))</f>
        <v>Lift</v>
      </c>
      <c r="BN20" s="60" t="str">
        <f aca="false">IF(A20="","",IF(BW20=1,"Neu; ","")&amp;IF(AND(BW20=0,BR20&lt;0),"negativer Bestand (Export "&amp;BR20&amp;"); ","")&amp;IF(J20&lt;=0,"Kein Verbrauch; ","")&amp;IF(CR20&gt;0,"Lift "&amp;W20&amp;" lt. Liftbericht (Fach "&amp;X20&amp;" Stk); ",IF(CB20=1,"Gebinde geschätzt ("&amp;T20&amp;"); ",IF(CA20=1,"Lose – Tablare geschätzt; ","")))&amp;IF(H20&gt;AW20,"Überbestand "&amp;ROUND(H20-AW20,0)&amp;" Stk / CHF "&amp;ROUND((H20-AW20)*G20,0)&amp;"; ","")&amp;IF(AND(CI20=1,CJ20&lt;CK20),"MAX &lt; MB+LG; ","")&amp;IF(AND(CQ20&gt;0,CP20*10&gt;CQ20),"zu hoch für Tablar; ","")&amp;IF(AND(BW20=0,OR(CI20=1,AB20&lt;&gt;"",U20&lt;&gt;"",V20&lt;&gt;"",AC20&lt;&gt;"")),"manuell übersteuert; ","")&amp;IF(AND(CA20=0,R20=0),"Gebinde unbekannt / Stellmass fehlt; ","")&amp;IF(AND(CA20=0,N(V20)&lt;=0,N(Q20)&lt;=0),"Menge pro Gebinde fehlt (Ist = 1 Gebinde); ","")&amp;BV20)</f>
        <v>Lift 1 lt. Liftbericht (Fach 10 Stk); </v>
      </c>
      <c r="BO20" s="60"/>
      <c r="BP20" s="60"/>
      <c r="BQ20" s="67"/>
      <c r="BR20" s="62" t="n">
        <v>5</v>
      </c>
      <c r="BS20" s="62" t="n">
        <v>6</v>
      </c>
      <c r="BT20" s="61" t="n">
        <v>18957.62</v>
      </c>
      <c r="BU20" s="62" t="n">
        <v>21</v>
      </c>
      <c r="BV20" s="60"/>
      <c r="BW20" s="65" t="n">
        <v>0</v>
      </c>
      <c r="BX20" s="65" t="n">
        <v>20</v>
      </c>
      <c r="BY20" s="60" t="str">
        <f aca="false">IF(U20&lt;&gt;"",UPPER(TRIM(U20)),IF(CB20=1,UPPER(VLOOKUP(T20,Parameter!$I$27:$K$29,2,0)),IF(P20="","LOSE",P20)))</f>
        <v>LOSE</v>
      </c>
      <c r="BZ20" s="62" t="n">
        <f aca="false">IF(BY20="LOSE",1,IF(N(V20)&gt;0,V20,IF(CB20=1,MAX(1,N(VLOOKUP(T20,Parameter!$I$27:$K$29,3,0)),H20,N(N20)),IF(N(Q20)&gt;0,Q20,MAX(1,H20)))))</f>
        <v>1</v>
      </c>
      <c r="CA20" s="65" t="n">
        <f aca="false">IF(BY20="LOSE",1,0)</f>
        <v>1</v>
      </c>
      <c r="CB20" s="65" t="n">
        <f aca="false">IF(AND(U20="",OR(P20="",P20="LOSE"),T20&lt;&gt;"",N(S20)&lt;=0,ISNUMBER(MATCH(T20,Parameter!$I$27:$I$29,0))),1,0)</f>
        <v>0</v>
      </c>
      <c r="CC20" s="65" t="n">
        <f aca="false">IF(CR20&gt;0,INDEX(Parameter!$H$5:$H$7,W20)/INDEX(Parameter!$E$5:$E$7,W20),IF(AND(CA20=0,N(IFERROR(VLOOKUP(BY20,'Gebinde-Kategorie'!$A$5:$N$45,14,0),0))&gt;0),VLOOKUP(BY20,'Gebinde-Kategorie'!$A$5:$N$45,14,0)*10+Parameter!$M$23,Parameter!$M$24))</f>
        <v>238</v>
      </c>
      <c r="CD20" s="60" t="n">
        <f aca="false">IF(AND(Parameter!$B$19="Ja",E20&lt;&gt;"",ISNUMBER(MATCH(E20,Parameter!$I$35:$I$52,0))),VLOOKUP(E20,Parameter!$I$35:$J$52,2,0),IFERROR(VLOOKUP(D20,Parameter!$A$35:$C$64,2,0),"Nein"))</f>
        <v>1</v>
      </c>
      <c r="CE20" s="64" t="n">
        <f aca="false">IF(CA20=0,0,IF(N(S20)&gt;0,S20,IFERROR(VLOOKUP(D20,Parameter!$A$35:$C$64,3,0)+0,0)))</f>
        <v>1</v>
      </c>
      <c r="CF20" s="60" t="n">
        <f aca="false">IF(AB20&lt;&gt;"",AB20,AA20)</f>
        <v>1</v>
      </c>
      <c r="CG20" s="60" t="str">
        <f aca="false">IF(OR(CF20=1,CF20=2,CF20=3),IF(Parameter!$E$27="Ja","LIFT",IF(CF20=1,"L1","L23")),IF(CF20="Aussen","Aussen","-"))</f>
        <v>LIFT</v>
      </c>
      <c r="CH20" s="71" t="n">
        <f aca="false">IF(N(AC20)&gt;0,AC20,0)</f>
        <v>0</v>
      </c>
      <c r="CI20" s="65" t="n">
        <f aca="false">IF(ISNUMBER(AF20),1,0)</f>
        <v>0</v>
      </c>
      <c r="CJ20" s="62" t="n">
        <f aca="false">N(AF20)</f>
        <v>0</v>
      </c>
      <c r="CK20" s="62" t="n">
        <f aca="false">N(M20)+N(N20)</f>
        <v>6</v>
      </c>
      <c r="CL20" s="62" t="n">
        <f aca="false">N(M20)</f>
        <v>1</v>
      </c>
      <c r="CM20" s="62" t="n">
        <f aca="false">N(N20)</f>
        <v>5</v>
      </c>
      <c r="CN20" s="62" t="n">
        <f aca="false">ROUNDUP(H20/BZ20,0)</f>
        <v>0</v>
      </c>
      <c r="CO20" s="62" t="n">
        <f aca="false">ROUNDUP(CJ20/BZ20,0)</f>
        <v>0</v>
      </c>
      <c r="CP20" s="65" t="n">
        <f aca="false">IF(CA20=1,0,IFERROR(VLOOKUP(BY20,'Gebinde-Kategorie'!$A$5:$N$45,5,0)+0,0))</f>
        <v>0</v>
      </c>
      <c r="CQ20" s="65" t="n">
        <f aca="false">IFERROR(IF(OR(CF20=1,CF20=2,CF20=3),N(INDEX(Parameter!$I$5:$I$7,CF20)),0),0)</f>
        <v>0</v>
      </c>
      <c r="CR20" s="64" t="n">
        <f aca="false">IF(AND(Parameter!$B$21="Ja",ISNUMBER(W20),N(X20)&gt;0),IFERROR(N(INDEX(Parameter!$L$5:$L$7,W20))*INDEX(Parameter!$E$5:$E$7,W20)*X20/SUMIFS($X$7:$X$1843,$W$7:$W$1843,W20),0),0)</f>
        <v>0.800376647834275</v>
      </c>
      <c r="CS20" s="62" t="str">
        <f aca="false">IF(AND(OR(CG20="L1",CG20="L23",CG20="LIFT"),H20&gt;0),CC20*IF(CR20&gt;0,CR20*MAX(1,H20/X20),IF(CA20=1,CE20,IF(R20&gt;0,CN20/R20,0))/MAX(0.1,N(Parameter!$M$21))),"")</f>
        <v/>
      </c>
      <c r="CT20" s="64" t="str">
        <f aca="false">IF(CS20="","",J20/H20)</f>
        <v/>
      </c>
      <c r="CU20" s="62" t="str">
        <f aca="false">IF(CS20="","",H20*G20)</f>
        <v/>
      </c>
      <c r="CV20" s="63" t="str">
        <f aca="false">IF(CS20="","",(CL20+ROUNDUP(CL20+MAX(CM20,2*(J20/MAX(0.1,N(Einkauf!$C$6))-CL20)),0))/2)</f>
        <v/>
      </c>
      <c r="CW20" s="62" t="str">
        <f aca="false">IF(CS20="","",MAX(0,H20-CV20)*G20)</f>
        <v/>
      </c>
      <c r="CX20" s="62" t="str">
        <f aca="false">IF(CS20="","",CS20*MAX(0,1-CV20/H20))</f>
        <v/>
      </c>
      <c r="CY20" s="64" t="str">
        <f aca="false">IF(CS20="","",PERCENTRANK($CS$7:$CS$1843,CS20)+PERCENTRANK($CU$7:$CU$1843,CU20)+1-PERCENTRANK($CT$7:$CT$1843,CT20))</f>
        <v/>
      </c>
      <c r="CZ20" s="72" t="str">
        <f aca="false">IF(CS20="","",CHOOSE(MATCH(Einkauf!$C$5,Parameter!$G$23:$G$27,0),CY20,CS20,CU20,-CT20,CW20)+ROW()/1000000000)</f>
        <v/>
      </c>
    </row>
    <row r="21" customFormat="false" ht="15" hidden="false" customHeight="false" outlineLevel="0" collapsed="false">
      <c r="A21" s="60" t="s">
        <v>249</v>
      </c>
      <c r="B21" s="60" t="s">
        <v>250</v>
      </c>
      <c r="C21" s="60" t="s">
        <v>206</v>
      </c>
      <c r="D21" s="60" t="s">
        <v>215</v>
      </c>
      <c r="E21" s="60" t="s">
        <v>208</v>
      </c>
      <c r="F21" s="60" t="s">
        <v>243</v>
      </c>
      <c r="G21" s="61" t="n">
        <v>1647.88</v>
      </c>
      <c r="H21" s="62" t="n">
        <f aca="false">MAX(0,IF(AND(Parameter!$B$21="Ja",ISNUMBER(Y21)),Y21,IF(Parameter!$B$20="Jahresanfang 2025 + Export",BS21+BR21,BR21)))</f>
        <v>23</v>
      </c>
      <c r="I21" s="62" t="n">
        <f aca="false">H21*G21</f>
        <v>37901.24</v>
      </c>
      <c r="J21" s="62" t="n">
        <f aca="false">BU21*Parameter!$B$18</f>
        <v>95</v>
      </c>
      <c r="K21" s="63" t="n">
        <v>24.5</v>
      </c>
      <c r="L21" s="64" t="n">
        <v>3.87755102040816</v>
      </c>
      <c r="M21" s="62" t="n">
        <v>5</v>
      </c>
      <c r="N21" s="62" t="n">
        <v>15</v>
      </c>
      <c r="O21" s="65" t="n">
        <v>21</v>
      </c>
      <c r="P21" s="60" t="s">
        <v>216</v>
      </c>
      <c r="Q21" s="62" t="n">
        <v>12</v>
      </c>
      <c r="R21" s="65" t="n">
        <f aca="false">IF(CA21=1,0,IFERROR(VLOOKUP(BY21,'Gebinde-Kategorie'!$A$5:$N$45,13,0)+0,0))</f>
        <v>6</v>
      </c>
      <c r="S21" s="66"/>
      <c r="T21" s="67"/>
      <c r="U21" s="67"/>
      <c r="V21" s="67"/>
      <c r="W21" s="60"/>
      <c r="X21" s="62"/>
      <c r="Y21" s="62"/>
      <c r="Z21" s="60" t="n">
        <v>2</v>
      </c>
      <c r="AA21" s="60" t="n">
        <f aca="false">IF(A21="","",IF(AND(Parameter!$B$21="Ja",ISNUMBER(W21)),W21,IF(AND(Parameter!$E$27="Ja",ISNUMBER(Z21),CD21&lt;&gt;"Nein"),Z21,IF(CD21="2+3",IF(ISNUMBER(SEARCH("grosser Artikel",BV21)),2,IFERROR(VLOOKUP(BY21,Parameter!$F$35:$G$64,2,0),2)),IF(OR(CD21="Nein",CD21=""),"-",CD21)))))</f>
        <v>2</v>
      </c>
      <c r="AB21" s="67"/>
      <c r="AC21" s="68"/>
      <c r="AD21" s="62" t="n">
        <f aca="false">AW21</f>
        <v>59</v>
      </c>
      <c r="AE21" s="62" t="n">
        <f aca="false">MAX(AW21,H21)</f>
        <v>59</v>
      </c>
      <c r="AF21" s="69"/>
      <c r="AG21" s="62" t="n">
        <f aca="false">IF(LEFT(Cockpit!$C$5,1)="A",H21,IF(Parameter!$E$30="MAX-Bestand",IF(CI21=1,CJ21,IF(LEFT(Cockpit!$C$5,1)="B",AM21,MAX(AM21,H21))),ROUNDUP(AK21,0)))</f>
        <v>23</v>
      </c>
      <c r="AH21" s="62" t="n">
        <f aca="false">IF(CA21=1,0,ROUNDUP(AG21/BZ21,0))</f>
        <v>2</v>
      </c>
      <c r="AI21" s="64" t="n">
        <f aca="false">IF(CR21&gt;0,CR21*MAX(1,AG21/X21),IF(CA21=1,IF(AG21&lt;=0,0,CE21*MAX(1,IF(H21&gt;0,AG21/H21,1))),IF(R21&gt;0,AH21/R21,0))/MAX(0.1,N(Parameter!$M$21)))</f>
        <v>0.333333333333333</v>
      </c>
      <c r="AJ21" s="62" t="n">
        <f aca="false">AI21*CC21</f>
        <v>78.3333333333333</v>
      </c>
      <c r="AK21" s="63" t="n">
        <f aca="false">IF(LEFT(Cockpit!$C$5,1)="A",H21,IF(CI21=1,(CL21+CJ21)/2,IF(LEFT(Cockpit!$C$5,1)="B",(CL21+AM21)/2,MAX((CL21+AM21)/2,H21))))</f>
        <v>23</v>
      </c>
      <c r="AL21" s="62" t="n">
        <f aca="false">AK21*G21</f>
        <v>37901.24</v>
      </c>
      <c r="AM21" s="62" t="n">
        <f aca="false">ROUNDUP(CL21+MAX(CM21,2*(J21/IF(CH21&gt;0,CH21,MAX(0.1,N(Cockpit!$C$6)))-CL21)),0)</f>
        <v>59</v>
      </c>
      <c r="AN21" s="63" t="n">
        <f aca="false">IF(AJ21&gt;0,J21/AJ21,-1)</f>
        <v>1.21276595744681</v>
      </c>
      <c r="AO21" s="63" t="n">
        <f aca="false">IF(AND(OR(CG21="L1",CG21="L23",CG21="LIFT"),AJ21&gt;0),SUMIFS($AJ$7:$AJ$1843,$CG$7:$CG$1843,CG21,$AN$7:$AN$1843,"&gt;"&amp;AN21)+SUMIFS($AJ$7:$AJ$1843,$CG$7:$CG$1843,CG21,$AN$7:$AN$1843,AN21,$BX$7:$BX$1843,"&lt;="&amp;BX21),"")</f>
        <v>6646.46840659341</v>
      </c>
      <c r="AP21" s="70" t="n">
        <f aca="false">IF(AO21="",0,MAX(0,MIN(1,(IF(CG21="L1",Parameter!$H$5,IF(CG21="L23",Parameter!$H$6+Parameter!$H$7,Parameter!$H$5+Parameter!$H$6+Parameter!$H$7))-(AO21-AJ21))/AJ21)))</f>
        <v>1</v>
      </c>
      <c r="AQ21" s="62" t="n">
        <f aca="false">IF(LEFT(Cockpit!$I$5,1)="A",H21,IF(Parameter!$E$30="MAX-Bestand",IF(CI21=1,CJ21,IF(LEFT(Cockpit!$I$5,1)="B",AW21,MAX(AW21,H21))),ROUNDUP(AU21,0)))</f>
        <v>32</v>
      </c>
      <c r="AR21" s="62" t="n">
        <f aca="false">IF(CA21=1,0,ROUNDUP(AQ21/BZ21,0))</f>
        <v>3</v>
      </c>
      <c r="AS21" s="64" t="n">
        <f aca="false">IF(CR21&gt;0,CR21*MAX(1,AQ21/X21),IF(CA21=1,IF(AQ21&lt;=0,0,CE21*MAX(1,IF(H21&gt;0,AQ21/H21,1))),IF(R21&gt;0,AR21/R21,0))/MAX(0.1,N(Parameter!$M$21)))</f>
        <v>0.5</v>
      </c>
      <c r="AT21" s="62" t="n">
        <f aca="false">AS21*CC21</f>
        <v>117.5</v>
      </c>
      <c r="AU21" s="63" t="n">
        <f aca="false">IF(LEFT(Cockpit!$I$5,1)="A",H21,IF(CI21=1,(CL21+CJ21)/2,IF(LEFT(Cockpit!$I$5,1)="B",(CL21+AW21)/2,MAX((CL21+AW21)/2,H21))))</f>
        <v>32</v>
      </c>
      <c r="AV21" s="62" t="n">
        <f aca="false">AU21*G21</f>
        <v>52732.16</v>
      </c>
      <c r="AW21" s="62" t="n">
        <f aca="false">ROUNDUP(CL21+MAX(CM21,2*(J21/IF(CH21&gt;0,CH21,MAX(0.1,N(Cockpit!$I$6)))-CL21)),0)</f>
        <v>59</v>
      </c>
      <c r="AX21" s="63" t="n">
        <f aca="false">IF(AT21&gt;0,J21/AT21,-1)</f>
        <v>0.808510638297872</v>
      </c>
      <c r="AY21" s="63" t="n">
        <f aca="false">IF(AND(OR(CG21="L1",CG21="L23",CG21="LIFT"),AT21&gt;0),SUMIFS($AT$7:$AT$1843,$CG$7:$CG$1843,CG21,$AX$7:$AX$1843,"&gt;"&amp;AX21)+SUMIFS($AT$7:$AT$1843,$CG$7:$CG$1843,CG21,$AX$7:$AX$1843,AX21,$BX$7:$BX$1843,"&lt;="&amp;BX21),"")</f>
        <v>10277.0265567766</v>
      </c>
      <c r="AZ21" s="70" t="n">
        <f aca="false">IF(AY21="",0,MAX(0,MIN(1,(IF(CG21="L1",Parameter!$H$5,IF(CG21="L23",Parameter!$H$6+Parameter!$H$7,Parameter!$H$5+Parameter!$H$6+Parameter!$H$7))-(AY21-AT21))/AT21)))</f>
        <v>1</v>
      </c>
      <c r="BA21" s="62" t="n">
        <f aca="false">IF(LEFT(Cockpit!$O$5,1)="A",H21,IF(Parameter!$E$30="MAX-Bestand",IF(CI21=1,CJ21,IF(LEFT(Cockpit!$O$5,1)="B",BG21,MAX(BG21,H21))),ROUNDUP(BE21,0)))</f>
        <v>24</v>
      </c>
      <c r="BB21" s="62" t="n">
        <f aca="false">IF(CA21=1,0,ROUNDUP(BA21/BZ21,0))</f>
        <v>2</v>
      </c>
      <c r="BC21" s="64" t="n">
        <f aca="false">IF(CR21&gt;0,CR21*MAX(1,BA21/X21),IF(CA21=1,IF(BA21&lt;=0,0,CE21*MAX(1,IF(H21&gt;0,BA21/H21,1))),IF(R21&gt;0,BB21/R21,0))/MAX(0.1,N(Parameter!$M$21)))</f>
        <v>0.333333333333333</v>
      </c>
      <c r="BD21" s="62" t="n">
        <f aca="false">BC21*CC21</f>
        <v>78.3333333333333</v>
      </c>
      <c r="BE21" s="63" t="n">
        <f aca="false">IF(LEFT(Cockpit!$O$5,1)="A",H21,IF(CI21=1,(CL21+CJ21)/2,IF(LEFT(Cockpit!$O$5,1)="B",(CL21+BG21)/2,MAX((CL21+BG21)/2,H21))))</f>
        <v>24</v>
      </c>
      <c r="BF21" s="62" t="n">
        <f aca="false">BE21*G21</f>
        <v>39549.12</v>
      </c>
      <c r="BG21" s="62" t="n">
        <f aca="false">ROUNDUP(CL21+MAX(CM21,2*(J21/IF(CH21&gt;0,CH21,MAX(0.1,N(Cockpit!$O$6)))-CL21)),0)</f>
        <v>43</v>
      </c>
      <c r="BH21" s="63" t="n">
        <f aca="false">IF(BD21&gt;0,J21/BD21,-1)</f>
        <v>1.21276595744681</v>
      </c>
      <c r="BI21" s="63" t="n">
        <f aca="false">IF(AND(OR(CG21="L1",CG21="L23",CG21="LIFT"),BD21&gt;0),SUMIFS($BD$7:$BD$1843,$CG$7:$CG$1843,CG21,$BH$7:$BH$1843,"&gt;"&amp;BH21)+SUMIFS($BD$7:$BD$1843,$CG$7:$CG$1843,CG21,$BH$7:$BH$1843,BH21,$BX$7:$BX$1843,"&lt;="&amp;BX21),"")</f>
        <v>7119.08562271062</v>
      </c>
      <c r="BJ21" s="70" t="n">
        <f aca="false">IF(BI21="",0,MAX(0,MIN(1,(IF(CG21="L1",Parameter!$H$5,IF(CG21="L23",Parameter!$H$6+Parameter!$H$7,Parameter!$H$5+Parameter!$H$6+Parameter!$H$7))-(BI21-BD21))/BD21)))</f>
        <v>1</v>
      </c>
      <c r="BK21" s="60" t="str">
        <f aca="false">IF(AJ21&lt;=0,"",IF(CG21="Aussen","Aussenlager",IF(CG21="-","Nicht im Lift",IF(AP21&gt;=1,"Lift",IF(AP21&lt;=0,"Aussenlager","teilweise")))))</f>
        <v>Lift</v>
      </c>
      <c r="BL21" s="60" t="str">
        <f aca="false">IF(AT21&lt;=0,"",IF(CG21="Aussen","Aussenlager",IF(CG21="-","Nicht im Lift",IF(AZ21&gt;=1,"Lift",IF(AZ21&lt;=0,"Aussenlager","teilweise")))))</f>
        <v>Lift</v>
      </c>
      <c r="BM21" s="60" t="str">
        <f aca="false">IF(BD21&lt;=0,"",IF(CG21="Aussen","Aussenlager",IF(CG21="-","Nicht im Lift",IF(BJ21&gt;=1,"Lift",IF(BJ21&lt;=0,"Aussenlager","teilweise")))))</f>
        <v>Lift</v>
      </c>
      <c r="BN21" s="60" t="str">
        <f aca="false">IF(A21="","",IF(BW21=1,"Neu; ","")&amp;IF(AND(BW21=0,BR21&lt;0),"negativer Bestand (Export "&amp;BR21&amp;"); ","")&amp;IF(J21&lt;=0,"Kein Verbrauch; ","")&amp;IF(CR21&gt;0,"Lift "&amp;W21&amp;" lt. Liftbericht (Fach "&amp;X21&amp;" Stk); ",IF(CB21=1,"Gebinde geschätzt ("&amp;T21&amp;"); ",IF(CA21=1,"Lose – Tablare geschätzt; ","")))&amp;IF(H21&gt;AW21,"Überbestand "&amp;ROUND(H21-AW21,0)&amp;" Stk / CHF "&amp;ROUND((H21-AW21)*G21,0)&amp;"; ","")&amp;IF(AND(CI21=1,CJ21&lt;CK21),"MAX &lt; MB+LG; ","")&amp;IF(AND(CQ21&gt;0,CP21*10&gt;CQ21),"zu hoch für Tablar; ","")&amp;IF(AND(BW21=0,OR(CI21=1,AB21&lt;&gt;"",U21&lt;&gt;"",V21&lt;&gt;"",AC21&lt;&gt;"")),"manuell übersteuert; ","")&amp;IF(AND(CA21=0,R21=0),"Gebinde unbekannt / Stellmass fehlt; ","")&amp;IF(AND(CA21=0,N(V21)&lt;=0,N(Q21)&lt;=0),"Menge pro Gebinde fehlt (Ist = 1 Gebinde); ","")&amp;BV21)</f>
        <v/>
      </c>
      <c r="BO21" s="60"/>
      <c r="BP21" s="60"/>
      <c r="BQ21" s="67"/>
      <c r="BR21" s="62" t="n">
        <v>12</v>
      </c>
      <c r="BS21" s="62" t="n">
        <v>11</v>
      </c>
      <c r="BT21" s="61" t="n">
        <v>17892.56</v>
      </c>
      <c r="BU21" s="62" t="n">
        <v>95</v>
      </c>
      <c r="BV21" s="60"/>
      <c r="BW21" s="65" t="n">
        <v>0</v>
      </c>
      <c r="BX21" s="65" t="n">
        <v>21</v>
      </c>
      <c r="BY21" s="60" t="str">
        <f aca="false">IF(U21&lt;&gt;"",UPPER(TRIM(U21)),IF(CB21=1,UPPER(VLOOKUP(T21,Parameter!$I$27:$K$29,2,0)),IF(P21="","LOSE",P21)))</f>
        <v>S71</v>
      </c>
      <c r="BZ21" s="62" t="n">
        <f aca="false">IF(BY21="LOSE",1,IF(N(V21)&gt;0,V21,IF(CB21=1,MAX(1,N(VLOOKUP(T21,Parameter!$I$27:$K$29,3,0)),H21,N(N21)),IF(N(Q21)&gt;0,Q21,MAX(1,H21)))))</f>
        <v>12</v>
      </c>
      <c r="CA21" s="65" t="n">
        <f aca="false">IF(BY21="LOSE",1,0)</f>
        <v>0</v>
      </c>
      <c r="CB21" s="65" t="n">
        <f aca="false">IF(AND(U21="",OR(P21="",P21="LOSE"),T21&lt;&gt;"",N(S21)&lt;=0,ISNUMBER(MATCH(T21,Parameter!$I$27:$I$29,0))),1,0)</f>
        <v>0</v>
      </c>
      <c r="CC21" s="65" t="n">
        <f aca="false">IF(CR21&gt;0,INDEX(Parameter!$H$5:$H$7,W21)/INDEX(Parameter!$E$5:$E$7,W21),IF(AND(CA21=0,N(IFERROR(VLOOKUP(BY21,'Gebinde-Kategorie'!$A$5:$N$45,14,0),0))&gt;0),VLOOKUP(BY21,'Gebinde-Kategorie'!$A$5:$N$45,14,0)*10+Parameter!$M$23,Parameter!$M$24))</f>
        <v>235</v>
      </c>
      <c r="CD21" s="60" t="n">
        <f aca="false">IF(AND(Parameter!$B$19="Ja",E21&lt;&gt;"",ISNUMBER(MATCH(E21,Parameter!$I$35:$I$52,0))),VLOOKUP(E21,Parameter!$I$35:$J$52,2,0),IFERROR(VLOOKUP(D21,Parameter!$A$35:$C$64,2,0),"Nein"))</f>
        <v>1</v>
      </c>
      <c r="CE21" s="64" t="n">
        <f aca="false">IF(CA21=0,0,IF(N(S21)&gt;0,S21,IFERROR(VLOOKUP(D21,Parameter!$A$35:$C$64,3,0)+0,0)))</f>
        <v>0</v>
      </c>
      <c r="CF21" s="60" t="n">
        <f aca="false">IF(AB21&lt;&gt;"",AB21,AA21)</f>
        <v>2</v>
      </c>
      <c r="CG21" s="60" t="str">
        <f aca="false">IF(OR(CF21=1,CF21=2,CF21=3),IF(Parameter!$E$27="Ja","LIFT",IF(CF21=1,"L1","L23")),IF(CF21="Aussen","Aussen","-"))</f>
        <v>LIFT</v>
      </c>
      <c r="CH21" s="71" t="n">
        <f aca="false">IF(N(AC21)&gt;0,AC21,0)</f>
        <v>0</v>
      </c>
      <c r="CI21" s="65" t="n">
        <f aca="false">IF(ISNUMBER(AF21),1,0)</f>
        <v>0</v>
      </c>
      <c r="CJ21" s="62" t="n">
        <f aca="false">N(AF21)</f>
        <v>0</v>
      </c>
      <c r="CK21" s="62" t="n">
        <f aca="false">N(M21)+N(N21)</f>
        <v>20</v>
      </c>
      <c r="CL21" s="62" t="n">
        <f aca="false">N(M21)</f>
        <v>5</v>
      </c>
      <c r="CM21" s="62" t="n">
        <f aca="false">N(N21)</f>
        <v>15</v>
      </c>
      <c r="CN21" s="62" t="n">
        <f aca="false">ROUNDUP(H21/BZ21,0)</f>
        <v>2</v>
      </c>
      <c r="CO21" s="62" t="n">
        <f aca="false">ROUNDUP(CJ21/BZ21,0)</f>
        <v>0</v>
      </c>
      <c r="CP21" s="65" t="n">
        <f aca="false">IF(CA21=1,0,IFERROR(VLOOKUP(BY21,'Gebinde-Kategorie'!$A$5:$N$45,5,0)+0,0))</f>
        <v>20</v>
      </c>
      <c r="CQ21" s="65" t="n">
        <f aca="false">IFERROR(IF(OR(CF21=1,CF21=2,CF21=3),N(INDEX(Parameter!$I$5:$I$7,CF21)),0),0)</f>
        <v>0</v>
      </c>
      <c r="CR21" s="64" t="n">
        <f aca="false">IF(AND(Parameter!$B$21="Ja",ISNUMBER(W21),N(X21)&gt;0),IFERROR(N(INDEX(Parameter!$L$5:$L$7,W21))*INDEX(Parameter!$E$5:$E$7,W21)*X21/SUMIFS($X$7:$X$1843,$W$7:$W$1843,W21),0),0)</f>
        <v>0</v>
      </c>
      <c r="CS21" s="62" t="n">
        <f aca="false">IF(AND(OR(CG21="L1",CG21="L23",CG21="LIFT"),H21&gt;0),CC21*IF(CR21&gt;0,CR21*MAX(1,H21/X21),IF(CA21=1,CE21,IF(R21&gt;0,CN21/R21,0))/MAX(0.1,N(Parameter!$M$21))),"")</f>
        <v>78.3333333333333</v>
      </c>
      <c r="CT21" s="64" t="n">
        <f aca="false">IF(CS21="","",J21/H21)</f>
        <v>4.1304347826087</v>
      </c>
      <c r="CU21" s="62" t="n">
        <f aca="false">IF(CS21="","",H21*G21)</f>
        <v>37901.24</v>
      </c>
      <c r="CV21" s="63" t="n">
        <f aca="false">IF(CS21="","",(CL21+ROUNDUP(CL21+MAX(CM21,2*(J21/MAX(0.1,N(Einkauf!$C$6))-CL21)),0))/2)</f>
        <v>24</v>
      </c>
      <c r="CW21" s="62" t="n">
        <f aca="false">IF(CS21="","",MAX(0,H21-CV21)*G21)</f>
        <v>0</v>
      </c>
      <c r="CX21" s="62" t="n">
        <f aca="false">IF(CS21="","",CS21*MAX(0,1-CV21/H21))</f>
        <v>0</v>
      </c>
      <c r="CY21" s="64" t="n">
        <f aca="false">IF(CS21="","",PERCENTRANK($CS$7:$CS$1843,CS21)+PERCENTRANK($CU$7:$CU$1843,CU21)+1-PERCENTRANK($CT$7:$CT$1843,CT21))</f>
        <v>2</v>
      </c>
      <c r="CZ21" s="72" t="n">
        <f aca="false">IF(CS21="","",CHOOSE(MATCH(Einkauf!$C$5,Parameter!$G$23:$G$27,0),CY21,CS21,CU21,-CT21,CW21)+ROW()/1000000000)</f>
        <v>2.000000021</v>
      </c>
    </row>
    <row r="22" customFormat="false" ht="15" hidden="false" customHeight="false" outlineLevel="0" collapsed="false">
      <c r="A22" s="60" t="s">
        <v>251</v>
      </c>
      <c r="B22" s="60" t="s">
        <v>252</v>
      </c>
      <c r="C22" s="60" t="s">
        <v>206</v>
      </c>
      <c r="D22" s="60" t="s">
        <v>207</v>
      </c>
      <c r="E22" s="60" t="s">
        <v>208</v>
      </c>
      <c r="F22" s="60" t="s">
        <v>243</v>
      </c>
      <c r="G22" s="61" t="n">
        <v>2587.56</v>
      </c>
      <c r="H22" s="62" t="n">
        <f aca="false">MAX(0,IF(AND(Parameter!$B$21="Ja",ISNUMBER(Y22)),Y22,IF(Parameter!$B$20="Jahresanfang 2025 + Export",BS22+BR22,BR22)))</f>
        <v>16</v>
      </c>
      <c r="I22" s="62" t="n">
        <f aca="false">H22*G22</f>
        <v>41400.96</v>
      </c>
      <c r="J22" s="62" t="n">
        <f aca="false">BU22*Parameter!$B$18</f>
        <v>29</v>
      </c>
      <c r="K22" s="63" t="n">
        <v>9.5</v>
      </c>
      <c r="L22" s="64" t="n">
        <v>3.05263157894737</v>
      </c>
      <c r="M22" s="62" t="n">
        <v>3</v>
      </c>
      <c r="N22" s="62" t="n">
        <v>10</v>
      </c>
      <c r="O22" s="65" t="n">
        <v>21</v>
      </c>
      <c r="P22" s="60" t="s">
        <v>210</v>
      </c>
      <c r="Q22" s="62"/>
      <c r="R22" s="65" t="n">
        <f aca="false">IF(CA22=1,0,IFERROR(VLOOKUP(BY22,'Gebinde-Kategorie'!$A$5:$N$45,13,0)+0,0))</f>
        <v>0</v>
      </c>
      <c r="S22" s="66"/>
      <c r="T22" s="67"/>
      <c r="U22" s="67"/>
      <c r="V22" s="67"/>
      <c r="W22" s="60" t="n">
        <v>1</v>
      </c>
      <c r="X22" s="62" t="n">
        <v>22</v>
      </c>
      <c r="Y22" s="62" t="n">
        <v>16</v>
      </c>
      <c r="Z22" s="60" t="n">
        <v>1</v>
      </c>
      <c r="AA22" s="60" t="n">
        <f aca="false">IF(A22="","",IF(AND(Parameter!$B$21="Ja",ISNUMBER(W22)),W22,IF(AND(Parameter!$E$27="Ja",ISNUMBER(Z22),CD22&lt;&gt;"Nein"),Z22,IF(CD22="2+3",IF(ISNUMBER(SEARCH("grosser Artikel",BV22)),2,IFERROR(VLOOKUP(BY22,Parameter!$F$35:$G$64,2,0),2)),IF(OR(CD22="Nein",CD22=""),"-",CD22)))))</f>
        <v>1</v>
      </c>
      <c r="AB22" s="67"/>
      <c r="AC22" s="68"/>
      <c r="AD22" s="62" t="n">
        <f aca="false">AW22</f>
        <v>17</v>
      </c>
      <c r="AE22" s="62" t="n">
        <f aca="false">MAX(AW22,H22)</f>
        <v>17</v>
      </c>
      <c r="AF22" s="69"/>
      <c r="AG22" s="62" t="n">
        <f aca="false">IF(LEFT(Cockpit!$C$5,1)="A",H22,IF(Parameter!$E$30="MAX-Bestand",IF(CI22=1,CJ22,IF(LEFT(Cockpit!$C$5,1)="B",AM22,MAX(AM22,H22))),ROUNDUP(AK22,0)))</f>
        <v>16</v>
      </c>
      <c r="AH22" s="62" t="n">
        <f aca="false">IF(CA22=1,0,ROUNDUP(AG22/BZ22,0))</f>
        <v>0</v>
      </c>
      <c r="AI22" s="64" t="n">
        <f aca="false">IF(CR22&gt;0,CR22*MAX(1,AG22/X22),IF(CA22=1,IF(AG22&lt;=0,0,CE22*MAX(1,IF(H22&gt;0,AG22/H22,1))),IF(R22&gt;0,AH22/R22,0))/MAX(0.1,N(Parameter!$M$21)))</f>
        <v>1.7608286252354</v>
      </c>
      <c r="AJ22" s="62" t="n">
        <f aca="false">AI22*CC22</f>
        <v>419.077212806026</v>
      </c>
      <c r="AK22" s="63" t="n">
        <f aca="false">IF(LEFT(Cockpit!$C$5,1)="A",H22,IF(CI22=1,(CL22+CJ22)/2,IF(LEFT(Cockpit!$C$5,1)="B",(CL22+AM22)/2,MAX((CL22+AM22)/2,H22))))</f>
        <v>16</v>
      </c>
      <c r="AL22" s="62" t="n">
        <f aca="false">AK22*G22</f>
        <v>41400.96</v>
      </c>
      <c r="AM22" s="62" t="n">
        <f aca="false">ROUNDUP(CL22+MAX(CM22,2*(J22/IF(CH22&gt;0,CH22,MAX(0.1,N(Cockpit!$C$6)))-CL22)),0)</f>
        <v>17</v>
      </c>
      <c r="AN22" s="63" t="n">
        <f aca="false">IF(AJ22&gt;0,J22/AJ22,-1)</f>
        <v>0.0691996584730149</v>
      </c>
      <c r="AO22" s="63" t="n">
        <f aca="false">IF(AND(OR(CG22="L1",CG22="L23",CG22="LIFT"),AJ22&gt;0),SUMIFS($AJ$7:$AJ$1843,$CG$7:$CG$1843,CG22,$AN$7:$AN$1843,"&gt;"&amp;AN22)+SUMIFS($AJ$7:$AJ$1843,$CG$7:$CG$1843,CG22,$AN$7:$AN$1843,AN22,$BX$7:$BX$1843,"&lt;="&amp;BX22),"")</f>
        <v>18579.6078697668</v>
      </c>
      <c r="AP22" s="70" t="n">
        <f aca="false">IF(AO22="",0,MAX(0,MIN(1,(IF(CG22="L1",Parameter!$H$5,IF(CG22="L23",Parameter!$H$6+Parameter!$H$7,Parameter!$H$5+Parameter!$H$6+Parameter!$H$7))-(AO22-AJ22))/AJ22)))</f>
        <v>1</v>
      </c>
      <c r="AQ22" s="62" t="n">
        <f aca="false">IF(LEFT(Cockpit!$I$5,1)="A",H22,IF(Parameter!$E$30="MAX-Bestand",IF(CI22=1,CJ22,IF(LEFT(Cockpit!$I$5,1)="B",AW22,MAX(AW22,H22))),ROUNDUP(AU22,0)))</f>
        <v>16</v>
      </c>
      <c r="AR22" s="62" t="n">
        <f aca="false">IF(CA22=1,0,ROUNDUP(AQ22/BZ22,0))</f>
        <v>0</v>
      </c>
      <c r="AS22" s="64" t="n">
        <f aca="false">IF(CR22&gt;0,CR22*MAX(1,AQ22/X22),IF(CA22=1,IF(AQ22&lt;=0,0,CE22*MAX(1,IF(H22&gt;0,AQ22/H22,1))),IF(R22&gt;0,AR22/R22,0))/MAX(0.1,N(Parameter!$M$21)))</f>
        <v>1.7608286252354</v>
      </c>
      <c r="AT22" s="62" t="n">
        <f aca="false">AS22*CC22</f>
        <v>419.077212806026</v>
      </c>
      <c r="AU22" s="63" t="n">
        <f aca="false">IF(LEFT(Cockpit!$I$5,1)="A",H22,IF(CI22=1,(CL22+CJ22)/2,IF(LEFT(Cockpit!$I$5,1)="B",(CL22+AW22)/2,MAX((CL22+AW22)/2,H22))))</f>
        <v>16</v>
      </c>
      <c r="AV22" s="62" t="n">
        <f aca="false">AU22*G22</f>
        <v>41400.96</v>
      </c>
      <c r="AW22" s="62" t="n">
        <f aca="false">ROUNDUP(CL22+MAX(CM22,2*(J22/IF(CH22&gt;0,CH22,MAX(0.1,N(Cockpit!$I$6)))-CL22)),0)</f>
        <v>17</v>
      </c>
      <c r="AX22" s="63" t="n">
        <f aca="false">IF(AT22&gt;0,J22/AT22,-1)</f>
        <v>0.0691996584730149</v>
      </c>
      <c r="AY22" s="63" t="n">
        <f aca="false">IF(AND(OR(CG22="L1",CG22="L23",CG22="LIFT"),AT22&gt;0),SUMIFS($AT$7:$AT$1843,$CG$7:$CG$1843,CG22,$AX$7:$AX$1843,"&gt;"&amp;AX22)+SUMIFS($AT$7:$AT$1843,$CG$7:$CG$1843,CG22,$AX$7:$AX$1843,AX22,$BX$7:$BX$1843,"&lt;="&amp;BX22),"")</f>
        <v>23639.0065111442</v>
      </c>
      <c r="AZ22" s="70" t="n">
        <f aca="false">IF(AY22="",0,MAX(0,MIN(1,(IF(CG22="L1",Parameter!$H$5,IF(CG22="L23",Parameter!$H$6+Parameter!$H$7,Parameter!$H$5+Parameter!$H$6+Parameter!$H$7))-(AY22-AT22))/AT22)))</f>
        <v>1</v>
      </c>
      <c r="BA22" s="62" t="n">
        <f aca="false">IF(LEFT(Cockpit!$O$5,1)="A",H22,IF(Parameter!$E$30="MAX-Bestand",IF(CI22=1,CJ22,IF(LEFT(Cockpit!$O$5,1)="B",BG22,MAX(BG22,H22))),ROUNDUP(BE22,0)))</f>
        <v>8</v>
      </c>
      <c r="BB22" s="62" t="n">
        <f aca="false">IF(CA22=1,0,ROUNDUP(BA22/BZ22,0))</f>
        <v>0</v>
      </c>
      <c r="BC22" s="64" t="n">
        <f aca="false">IF(CR22&gt;0,CR22*MAX(1,BA22/X22),IF(CA22=1,IF(BA22&lt;=0,0,CE22*MAX(1,IF(H22&gt;0,BA22/H22,1))),IF(R22&gt;0,BB22/R22,0))/MAX(0.1,N(Parameter!$M$21)))</f>
        <v>1.7608286252354</v>
      </c>
      <c r="BD22" s="62" t="n">
        <f aca="false">BC22*CC22</f>
        <v>419.077212806026</v>
      </c>
      <c r="BE22" s="63" t="n">
        <f aca="false">IF(LEFT(Cockpit!$O$5,1)="A",H22,IF(CI22=1,(CL22+CJ22)/2,IF(LEFT(Cockpit!$O$5,1)="B",(CL22+BG22)/2,MAX((CL22+BG22)/2,H22))))</f>
        <v>8</v>
      </c>
      <c r="BF22" s="62" t="n">
        <f aca="false">BE22*G22</f>
        <v>20700.48</v>
      </c>
      <c r="BG22" s="62" t="n">
        <f aca="false">ROUNDUP(CL22+MAX(CM22,2*(J22/IF(CH22&gt;0,CH22,MAX(0.1,N(Cockpit!$O$6)))-CL22)),0)</f>
        <v>13</v>
      </c>
      <c r="BH22" s="63" t="n">
        <f aca="false">IF(BD22&gt;0,J22/BD22,-1)</f>
        <v>0.0691996584730149</v>
      </c>
      <c r="BI22" s="63" t="n">
        <f aca="false">IF(AND(OR(CG22="L1",CG22="L23",CG22="LIFT"),BD22&gt;0),SUMIFS($BD$7:$BD$1843,$CG$7:$CG$1843,CG22,$BH$7:$BH$1843,"&gt;"&amp;BH22)+SUMIFS($BD$7:$BD$1843,$CG$7:$CG$1843,CG22,$BH$7:$BH$1843,BH22,$BX$7:$BX$1843,"&lt;="&amp;BX22),"")</f>
        <v>19994.9793800832</v>
      </c>
      <c r="BJ22" s="70" t="n">
        <f aca="false">IF(BI22="",0,MAX(0,MIN(1,(IF(CG22="L1",Parameter!$H$5,IF(CG22="L23",Parameter!$H$6+Parameter!$H$7,Parameter!$H$5+Parameter!$H$6+Parameter!$H$7))-(BI22-BD22))/BD22)))</f>
        <v>1</v>
      </c>
      <c r="BK22" s="60" t="str">
        <f aca="false">IF(AJ22&lt;=0,"",IF(CG22="Aussen","Aussenlager",IF(CG22="-","Nicht im Lift",IF(AP22&gt;=1,"Lift",IF(AP22&lt;=0,"Aussenlager","teilweise")))))</f>
        <v>Lift</v>
      </c>
      <c r="BL22" s="60" t="str">
        <f aca="false">IF(AT22&lt;=0,"",IF(CG22="Aussen","Aussenlager",IF(CG22="-","Nicht im Lift",IF(AZ22&gt;=1,"Lift",IF(AZ22&lt;=0,"Aussenlager","teilweise")))))</f>
        <v>Lift</v>
      </c>
      <c r="BM22" s="60" t="str">
        <f aca="false">IF(BD22&lt;=0,"",IF(CG22="Aussen","Aussenlager",IF(CG22="-","Nicht im Lift",IF(BJ22&gt;=1,"Lift",IF(BJ22&lt;=0,"Aussenlager","teilweise")))))</f>
        <v>Lift</v>
      </c>
      <c r="BN22" s="60" t="str">
        <f aca="false">IF(A22="","",IF(BW22=1,"Neu; ","")&amp;IF(AND(BW22=0,BR22&lt;0),"negativer Bestand (Export "&amp;BR22&amp;"); ","")&amp;IF(J22&lt;=0,"Kein Verbrauch; ","")&amp;IF(CR22&gt;0,"Lift "&amp;W22&amp;" lt. Liftbericht (Fach "&amp;X22&amp;" Stk); ",IF(CB22=1,"Gebinde geschätzt ("&amp;T22&amp;"); ",IF(CA22=1,"Lose – Tablare geschätzt; ","")))&amp;IF(H22&gt;AW22,"Überbestand "&amp;ROUND(H22-AW22,0)&amp;" Stk / CHF "&amp;ROUND((H22-AW22)*G22,0)&amp;"; ","")&amp;IF(AND(CI22=1,CJ22&lt;CK22),"MAX &lt; MB+LG; ","")&amp;IF(AND(CQ22&gt;0,CP22*10&gt;CQ22),"zu hoch für Tablar; ","")&amp;IF(AND(BW22=0,OR(CI22=1,AB22&lt;&gt;"",U22&lt;&gt;"",V22&lt;&gt;"",AC22&lt;&gt;"")),"manuell übersteuert; ","")&amp;IF(AND(CA22=0,R22=0),"Gebinde unbekannt / Stellmass fehlt; ","")&amp;IF(AND(CA22=0,N(V22)&lt;=0,N(Q22)&lt;=0),"Menge pro Gebinde fehlt (Ist = 1 Gebinde); ","")&amp;BV22)</f>
        <v>Lift 1 lt. Liftbericht (Fach 22 Stk); </v>
      </c>
      <c r="BO22" s="60" t="s">
        <v>253</v>
      </c>
      <c r="BP22" s="60"/>
      <c r="BQ22" s="67"/>
      <c r="BR22" s="62" t="n">
        <v>7</v>
      </c>
      <c r="BS22" s="62" t="n">
        <v>3</v>
      </c>
      <c r="BT22" s="61" t="n">
        <v>17583.76</v>
      </c>
      <c r="BU22" s="62" t="n">
        <v>29</v>
      </c>
      <c r="BV22" s="60"/>
      <c r="BW22" s="65" t="n">
        <v>0</v>
      </c>
      <c r="BX22" s="65" t="n">
        <v>22</v>
      </c>
      <c r="BY22" s="60" t="str">
        <f aca="false">IF(U22&lt;&gt;"",UPPER(TRIM(U22)),IF(CB22=1,UPPER(VLOOKUP(T22,Parameter!$I$27:$K$29,2,0)),IF(P22="","LOSE",P22)))</f>
        <v>LOSE</v>
      </c>
      <c r="BZ22" s="62" t="n">
        <f aca="false">IF(BY22="LOSE",1,IF(N(V22)&gt;0,V22,IF(CB22=1,MAX(1,N(VLOOKUP(T22,Parameter!$I$27:$K$29,3,0)),H22,N(N22)),IF(N(Q22)&gt;0,Q22,MAX(1,H22)))))</f>
        <v>1</v>
      </c>
      <c r="CA22" s="65" t="n">
        <f aca="false">IF(BY22="LOSE",1,0)</f>
        <v>1</v>
      </c>
      <c r="CB22" s="65" t="n">
        <f aca="false">IF(AND(U22="",OR(P22="",P22="LOSE"),T22&lt;&gt;"",N(S22)&lt;=0,ISNUMBER(MATCH(T22,Parameter!$I$27:$I$29,0))),1,0)</f>
        <v>0</v>
      </c>
      <c r="CC22" s="65" t="n">
        <f aca="false">IF(CR22&gt;0,INDEX(Parameter!$H$5:$H$7,W22)/INDEX(Parameter!$E$5:$E$7,W22),IF(AND(CA22=0,N(IFERROR(VLOOKUP(BY22,'Gebinde-Kategorie'!$A$5:$N$45,14,0),0))&gt;0),VLOOKUP(BY22,'Gebinde-Kategorie'!$A$5:$N$45,14,0)*10+Parameter!$M$23,Parameter!$M$24))</f>
        <v>238</v>
      </c>
      <c r="CD22" s="60" t="n">
        <f aca="false">IF(AND(Parameter!$B$19="Ja",E22&lt;&gt;"",ISNUMBER(MATCH(E22,Parameter!$I$35:$I$52,0))),VLOOKUP(E22,Parameter!$I$35:$J$52,2,0),IFERROR(VLOOKUP(D22,Parameter!$A$35:$C$64,2,0),"Nein"))</f>
        <v>1</v>
      </c>
      <c r="CE22" s="64" t="n">
        <f aca="false">IF(CA22=0,0,IF(N(S22)&gt;0,S22,IFERROR(VLOOKUP(D22,Parameter!$A$35:$C$64,3,0)+0,0)))</f>
        <v>1</v>
      </c>
      <c r="CF22" s="60" t="n">
        <f aca="false">IF(AB22&lt;&gt;"",AB22,AA22)</f>
        <v>1</v>
      </c>
      <c r="CG22" s="60" t="str">
        <f aca="false">IF(OR(CF22=1,CF22=2,CF22=3),IF(Parameter!$E$27="Ja","LIFT",IF(CF22=1,"L1","L23")),IF(CF22="Aussen","Aussen","-"))</f>
        <v>LIFT</v>
      </c>
      <c r="CH22" s="71" t="n">
        <f aca="false">IF(N(AC22)&gt;0,AC22,0)</f>
        <v>0</v>
      </c>
      <c r="CI22" s="65" t="n">
        <f aca="false">IF(ISNUMBER(AF22),1,0)</f>
        <v>0</v>
      </c>
      <c r="CJ22" s="62" t="n">
        <f aca="false">N(AF22)</f>
        <v>0</v>
      </c>
      <c r="CK22" s="62" t="n">
        <f aca="false">N(M22)+N(N22)</f>
        <v>13</v>
      </c>
      <c r="CL22" s="62" t="n">
        <f aca="false">N(M22)</f>
        <v>3</v>
      </c>
      <c r="CM22" s="62" t="n">
        <f aca="false">N(N22)</f>
        <v>10</v>
      </c>
      <c r="CN22" s="62" t="n">
        <f aca="false">ROUNDUP(H22/BZ22,0)</f>
        <v>16</v>
      </c>
      <c r="CO22" s="62" t="n">
        <f aca="false">ROUNDUP(CJ22/BZ22,0)</f>
        <v>0</v>
      </c>
      <c r="CP22" s="65" t="n">
        <f aca="false">IF(CA22=1,0,IFERROR(VLOOKUP(BY22,'Gebinde-Kategorie'!$A$5:$N$45,5,0)+0,0))</f>
        <v>0</v>
      </c>
      <c r="CQ22" s="65" t="n">
        <f aca="false">IFERROR(IF(OR(CF22=1,CF22=2,CF22=3),N(INDEX(Parameter!$I$5:$I$7,CF22)),0),0)</f>
        <v>0</v>
      </c>
      <c r="CR22" s="64" t="n">
        <f aca="false">IF(AND(Parameter!$B$21="Ja",ISNUMBER(W22),N(X22)&gt;0),IFERROR(N(INDEX(Parameter!$L$5:$L$7,W22))*INDEX(Parameter!$E$5:$E$7,W22)*X22/SUMIFS($X$7:$X$1843,$W$7:$W$1843,W22),0),0)</f>
        <v>1.7608286252354</v>
      </c>
      <c r="CS22" s="62" t="n">
        <f aca="false">IF(AND(OR(CG22="L1",CG22="L23",CG22="LIFT"),H22&gt;0),CC22*IF(CR22&gt;0,CR22*MAX(1,H22/X22),IF(CA22=1,CE22,IF(R22&gt;0,CN22/R22,0))/MAX(0.1,N(Parameter!$M$21))),"")</f>
        <v>419.077212806026</v>
      </c>
      <c r="CT22" s="64" t="n">
        <f aca="false">IF(CS22="","",J22/H22)</f>
        <v>1.8125</v>
      </c>
      <c r="CU22" s="62" t="n">
        <f aca="false">IF(CS22="","",H22*G22)</f>
        <v>41400.96</v>
      </c>
      <c r="CV22" s="63" t="n">
        <f aca="false">IF(CS22="","",(CL22+ROUNDUP(CL22+MAX(CM22,2*(J22/MAX(0.1,N(Einkauf!$C$6))-CL22)),0))/2)</f>
        <v>8</v>
      </c>
      <c r="CW22" s="62" t="n">
        <f aca="false">IF(CS22="","",MAX(0,H22-CV22)*G22)</f>
        <v>20700.48</v>
      </c>
      <c r="CX22" s="62" t="n">
        <f aca="false">IF(CS22="","",CS22*MAX(0,1-CV22/H22))</f>
        <v>209.538606403013</v>
      </c>
      <c r="CY22" s="64" t="n">
        <f aca="false">IF(CS22="","",PERCENTRANK($CS$7:$CS$1843,CS22)+PERCENTRANK($CU$7:$CU$1843,CU22)+1-PERCENTRANK($CT$7:$CT$1843,CT22))</f>
        <v>2.193</v>
      </c>
      <c r="CZ22" s="72" t="n">
        <f aca="false">IF(CS22="","",CHOOSE(MATCH(Einkauf!$C$5,Parameter!$G$23:$G$27,0),CY22,CS22,CU22,-CT22,CW22)+ROW()/1000000000)</f>
        <v>2.193000022</v>
      </c>
    </row>
    <row r="23" customFormat="false" ht="15" hidden="false" customHeight="false" outlineLevel="0" collapsed="false">
      <c r="A23" s="60" t="s">
        <v>254</v>
      </c>
      <c r="B23" s="60" t="s">
        <v>255</v>
      </c>
      <c r="C23" s="60" t="s">
        <v>206</v>
      </c>
      <c r="D23" s="60" t="s">
        <v>215</v>
      </c>
      <c r="E23" s="60" t="s">
        <v>227</v>
      </c>
      <c r="F23" s="60" t="s">
        <v>243</v>
      </c>
      <c r="G23" s="61" t="n">
        <v>211.01</v>
      </c>
      <c r="H23" s="62" t="n">
        <f aca="false">MAX(0,IF(AND(Parameter!$B$21="Ja",ISNUMBER(Y23)),Y23,IF(Parameter!$B$20="Jahresanfang 2025 + Export",BS23+BR23,BR23)))</f>
        <v>131</v>
      </c>
      <c r="I23" s="62" t="n">
        <f aca="false">H23*G23</f>
        <v>27642.31</v>
      </c>
      <c r="J23" s="62" t="n">
        <f aca="false">BU23*Parameter!$B$18</f>
        <v>337</v>
      </c>
      <c r="K23" s="63" t="n">
        <v>52.5</v>
      </c>
      <c r="L23" s="64" t="n">
        <v>6.41904761904762</v>
      </c>
      <c r="M23" s="62" t="n">
        <v>19</v>
      </c>
      <c r="N23" s="62" t="n">
        <v>60</v>
      </c>
      <c r="O23" s="65" t="n">
        <v>21</v>
      </c>
      <c r="P23" s="60" t="s">
        <v>228</v>
      </c>
      <c r="Q23" s="62" t="n">
        <v>42</v>
      </c>
      <c r="R23" s="65" t="n">
        <f aca="false">IF(CA23=1,0,IFERROR(VLOOKUP(BY23,'Gebinde-Kategorie'!$A$5:$N$45,13,0)+0,0))</f>
        <v>12</v>
      </c>
      <c r="S23" s="66"/>
      <c r="T23" s="67"/>
      <c r="U23" s="67"/>
      <c r="V23" s="67"/>
      <c r="W23" s="60"/>
      <c r="X23" s="62"/>
      <c r="Y23" s="62"/>
      <c r="Z23" s="60" t="n">
        <v>3</v>
      </c>
      <c r="AA23" s="60" t="n">
        <f aca="false">IF(A23="","",IF(AND(Parameter!$B$21="Ja",ISNUMBER(W23)),W23,IF(AND(Parameter!$E$27="Ja",ISNUMBER(Z23),CD23&lt;&gt;"Nein"),Z23,IF(CD23="2+3",IF(ISNUMBER(SEARCH("grosser Artikel",BV23)),2,IFERROR(VLOOKUP(BY23,Parameter!$F$35:$G$64,2,0),2)),IF(OR(CD23="Nein",CD23=""),"-",CD23)))))</f>
        <v>3</v>
      </c>
      <c r="AB23" s="67"/>
      <c r="AC23" s="68"/>
      <c r="AD23" s="62" t="n">
        <f aca="false">AW23</f>
        <v>206</v>
      </c>
      <c r="AE23" s="62" t="n">
        <f aca="false">MAX(AW23,H23)</f>
        <v>206</v>
      </c>
      <c r="AF23" s="69"/>
      <c r="AG23" s="62" t="n">
        <f aca="false">IF(LEFT(Cockpit!$C$5,1)="A",H23,IF(Parameter!$E$30="MAX-Bestand",IF(CI23=1,CJ23,IF(LEFT(Cockpit!$C$5,1)="B",AM23,MAX(AM23,H23))),ROUNDUP(AK23,0)))</f>
        <v>131</v>
      </c>
      <c r="AH23" s="62" t="n">
        <f aca="false">IF(CA23=1,0,ROUNDUP(AG23/BZ23,0))</f>
        <v>4</v>
      </c>
      <c r="AI23" s="64" t="n">
        <f aca="false">IF(CR23&gt;0,CR23*MAX(1,AG23/X23),IF(CA23=1,IF(AG23&lt;=0,0,CE23*MAX(1,IF(H23&gt;0,AG23/H23,1))),IF(R23&gt;0,AH23/R23,0))/MAX(0.1,N(Parameter!$M$21)))</f>
        <v>0.333333333333333</v>
      </c>
      <c r="AJ23" s="62" t="n">
        <f aca="false">AI23*CC23</f>
        <v>48.3333333333333</v>
      </c>
      <c r="AK23" s="63" t="n">
        <f aca="false">IF(LEFT(Cockpit!$C$5,1)="A",H23,IF(CI23=1,(CL23+CJ23)/2,IF(LEFT(Cockpit!$C$5,1)="B",(CL23+AM23)/2,MAX((CL23+AM23)/2,H23))))</f>
        <v>131</v>
      </c>
      <c r="AL23" s="62" t="n">
        <f aca="false">AK23*G23</f>
        <v>27642.31</v>
      </c>
      <c r="AM23" s="62" t="n">
        <f aca="false">ROUNDUP(CL23+MAX(CM23,2*(J23/IF(CH23&gt;0,CH23,MAX(0.1,N(Cockpit!$C$6)))-CL23)),0)</f>
        <v>206</v>
      </c>
      <c r="AN23" s="63" t="n">
        <f aca="false">IF(AJ23&gt;0,J23/AJ23,-1)</f>
        <v>6.97241379310345</v>
      </c>
      <c r="AO23" s="63" t="n">
        <f aca="false">IF(AND(OR(CG23="L1",CG23="L23",CG23="LIFT"),AJ23&gt;0),SUMIFS($AJ$7:$AJ$1843,$CG$7:$CG$1843,CG23,$AN$7:$AN$1843,"&gt;"&amp;AN23)+SUMIFS($AJ$7:$AJ$1843,$CG$7:$CG$1843,CG23,$AN$7:$AN$1843,AN23,$BX$7:$BX$1843,"&lt;="&amp;BX23),"")</f>
        <v>3267.22023809524</v>
      </c>
      <c r="AP23" s="70" t="n">
        <f aca="false">IF(AO23="",0,MAX(0,MIN(1,(IF(CG23="L1",Parameter!$H$5,IF(CG23="L23",Parameter!$H$6+Parameter!$H$7,Parameter!$H$5+Parameter!$H$6+Parameter!$H$7))-(AO23-AJ23))/AJ23)))</f>
        <v>1</v>
      </c>
      <c r="AQ23" s="62" t="n">
        <f aca="false">IF(LEFT(Cockpit!$I$5,1)="A",H23,IF(Parameter!$E$30="MAX-Bestand",IF(CI23=1,CJ23,IF(LEFT(Cockpit!$I$5,1)="B",AW23,MAX(AW23,H23))),ROUNDUP(AU23,0)))</f>
        <v>131</v>
      </c>
      <c r="AR23" s="62" t="n">
        <f aca="false">IF(CA23=1,0,ROUNDUP(AQ23/BZ23,0))</f>
        <v>4</v>
      </c>
      <c r="AS23" s="64" t="n">
        <f aca="false">IF(CR23&gt;0,CR23*MAX(1,AQ23/X23),IF(CA23=1,IF(AQ23&lt;=0,0,CE23*MAX(1,IF(H23&gt;0,AQ23/H23,1))),IF(R23&gt;0,AR23/R23,0))/MAX(0.1,N(Parameter!$M$21)))</f>
        <v>0.333333333333333</v>
      </c>
      <c r="AT23" s="62" t="n">
        <f aca="false">AS23*CC23</f>
        <v>48.3333333333333</v>
      </c>
      <c r="AU23" s="63" t="n">
        <f aca="false">IF(LEFT(Cockpit!$I$5,1)="A",H23,IF(CI23=1,(CL23+CJ23)/2,IF(LEFT(Cockpit!$I$5,1)="B",(CL23+AW23)/2,MAX((CL23+AW23)/2,H23))))</f>
        <v>131</v>
      </c>
      <c r="AV23" s="62" t="n">
        <f aca="false">AU23*G23</f>
        <v>27642.31</v>
      </c>
      <c r="AW23" s="62" t="n">
        <f aca="false">ROUNDUP(CL23+MAX(CM23,2*(J23/IF(CH23&gt;0,CH23,MAX(0.1,N(Cockpit!$I$6)))-CL23)),0)</f>
        <v>206</v>
      </c>
      <c r="AX23" s="63" t="n">
        <f aca="false">IF(AT23&gt;0,J23/AT23,-1)</f>
        <v>6.97241379310345</v>
      </c>
      <c r="AY23" s="63" t="n">
        <f aca="false">IF(AND(OR(CG23="L1",CG23="L23",CG23="LIFT"),AT23&gt;0),SUMIFS($AT$7:$AT$1843,$CG$7:$CG$1843,CG23,$AX$7:$AX$1843,"&gt;"&amp;AX23)+SUMIFS($AT$7:$AT$1843,$CG$7:$CG$1843,CG23,$AX$7:$AX$1843,AX23,$BX$7:$BX$1843,"&lt;="&amp;BX23),"")</f>
        <v>3985.03159340659</v>
      </c>
      <c r="AZ23" s="70" t="n">
        <f aca="false">IF(AY23="",0,MAX(0,MIN(1,(IF(CG23="L1",Parameter!$H$5,IF(CG23="L23",Parameter!$H$6+Parameter!$H$7,Parameter!$H$5+Parameter!$H$6+Parameter!$H$7))-(AY23-AT23))/AT23)))</f>
        <v>1</v>
      </c>
      <c r="BA23" s="62" t="n">
        <f aca="false">IF(LEFT(Cockpit!$O$5,1)="A",H23,IF(Parameter!$E$30="MAX-Bestand",IF(CI23=1,CJ23,IF(LEFT(Cockpit!$O$5,1)="B",BG23,MAX(BG23,H23))),ROUNDUP(BE23,0)))</f>
        <v>85</v>
      </c>
      <c r="BB23" s="62" t="n">
        <f aca="false">IF(CA23=1,0,ROUNDUP(BA23/BZ23,0))</f>
        <v>3</v>
      </c>
      <c r="BC23" s="64" t="n">
        <f aca="false">IF(CR23&gt;0,CR23*MAX(1,BA23/X23),IF(CA23=1,IF(BA23&lt;=0,0,CE23*MAX(1,IF(H23&gt;0,BA23/H23,1))),IF(R23&gt;0,BB23/R23,0))/MAX(0.1,N(Parameter!$M$21)))</f>
        <v>0.25</v>
      </c>
      <c r="BD23" s="62" t="n">
        <f aca="false">BC23*CC23</f>
        <v>36.25</v>
      </c>
      <c r="BE23" s="63" t="n">
        <f aca="false">IF(LEFT(Cockpit!$O$5,1)="A",H23,IF(CI23=1,(CL23+CJ23)/2,IF(LEFT(Cockpit!$O$5,1)="B",(CL23+BG23)/2,MAX((CL23+BG23)/2,H23))))</f>
        <v>84.5</v>
      </c>
      <c r="BF23" s="62" t="n">
        <f aca="false">BE23*G23</f>
        <v>17830.345</v>
      </c>
      <c r="BG23" s="62" t="n">
        <f aca="false">ROUNDUP(CL23+MAX(CM23,2*(J23/IF(CH23&gt;0,CH23,MAX(0.1,N(Cockpit!$O$6)))-CL23)),0)</f>
        <v>150</v>
      </c>
      <c r="BH23" s="63" t="n">
        <f aca="false">IF(BD23&gt;0,J23/BD23,-1)</f>
        <v>9.29655172413793</v>
      </c>
      <c r="BI23" s="63" t="n">
        <f aca="false">IF(AND(OR(CG23="L1",CG23="L23",CG23="LIFT"),BD23&gt;0),SUMIFS($BD$7:$BD$1843,$CG$7:$CG$1843,CG23,$BH$7:$BH$1843,"&gt;"&amp;BH23)+SUMIFS($BD$7:$BD$1843,$CG$7:$CG$1843,CG23,$BH$7:$BH$1843,BH23,$BX$7:$BX$1843,"&lt;="&amp;BX23),"")</f>
        <v>2785.27564102564</v>
      </c>
      <c r="BJ23" s="70" t="n">
        <f aca="false">IF(BI23="",0,MAX(0,MIN(1,(IF(CG23="L1",Parameter!$H$5,IF(CG23="L23",Parameter!$H$6+Parameter!$H$7,Parameter!$H$5+Parameter!$H$6+Parameter!$H$7))-(BI23-BD23))/BD23)))</f>
        <v>1</v>
      </c>
      <c r="BK23" s="60" t="str">
        <f aca="false">IF(AJ23&lt;=0,"",IF(CG23="Aussen","Aussenlager",IF(CG23="-","Nicht im Lift",IF(AP23&gt;=1,"Lift",IF(AP23&lt;=0,"Aussenlager","teilweise")))))</f>
        <v>Lift</v>
      </c>
      <c r="BL23" s="60" t="str">
        <f aca="false">IF(AT23&lt;=0,"",IF(CG23="Aussen","Aussenlager",IF(CG23="-","Nicht im Lift",IF(AZ23&gt;=1,"Lift",IF(AZ23&lt;=0,"Aussenlager","teilweise")))))</f>
        <v>Lift</v>
      </c>
      <c r="BM23" s="60" t="str">
        <f aca="false">IF(BD23&lt;=0,"",IF(CG23="Aussen","Aussenlager",IF(CG23="-","Nicht im Lift",IF(BJ23&gt;=1,"Lift",IF(BJ23&lt;=0,"Aussenlager","teilweise")))))</f>
        <v>Lift</v>
      </c>
      <c r="BN23" s="60" t="str">
        <f aca="false">IF(A23="","",IF(BW23=1,"Neu; ","")&amp;IF(AND(BW23=0,BR23&lt;0),"negativer Bestand (Export "&amp;BR23&amp;"); ","")&amp;IF(J23&lt;=0,"Kein Verbrauch; ","")&amp;IF(CR23&gt;0,"Lift "&amp;W23&amp;" lt. Liftbericht (Fach "&amp;X23&amp;" Stk); ",IF(CB23=1,"Gebinde geschätzt ("&amp;T23&amp;"); ",IF(CA23=1,"Lose – Tablare geschätzt; ","")))&amp;IF(H23&gt;AW23,"Überbestand "&amp;ROUND(H23-AW23,0)&amp;" Stk / CHF "&amp;ROUND((H23-AW23)*G23,0)&amp;"; ","")&amp;IF(AND(CI23=1,CJ23&lt;CK23),"MAX &lt; MB+LG; ","")&amp;IF(AND(CQ23&gt;0,CP23*10&gt;CQ23),"zu hoch für Tablar; ","")&amp;IF(AND(BW23=0,OR(CI23=1,AB23&lt;&gt;"",U23&lt;&gt;"",V23&lt;&gt;"",AC23&lt;&gt;"")),"manuell übersteuert; ","")&amp;IF(AND(CA23=0,R23=0),"Gebinde unbekannt / Stellmass fehlt; ","")&amp;IF(AND(CA23=0,N(V23)&lt;=0,N(Q23)&lt;=0),"Menge pro Gebinde fehlt (Ist = 1 Gebinde); ","")&amp;BV23)</f>
        <v/>
      </c>
      <c r="BO23" s="60" t="s">
        <v>256</v>
      </c>
      <c r="BP23" s="60" t="s">
        <v>257</v>
      </c>
      <c r="BQ23" s="67"/>
      <c r="BR23" s="62" t="n">
        <v>90</v>
      </c>
      <c r="BS23" s="62" t="n">
        <v>41</v>
      </c>
      <c r="BT23" s="61" t="n">
        <v>17462.83</v>
      </c>
      <c r="BU23" s="62" t="n">
        <v>337</v>
      </c>
      <c r="BV23" s="60"/>
      <c r="BW23" s="65" t="n">
        <v>0</v>
      </c>
      <c r="BX23" s="65" t="n">
        <v>23</v>
      </c>
      <c r="BY23" s="60" t="str">
        <f aca="false">IF(U23&lt;&gt;"",UPPER(TRIM(U23)),IF(CB23=1,UPPER(VLOOKUP(T23,Parameter!$I$27:$K$29,2,0)),IF(P23="","LOSE",P23)))</f>
        <v>S61</v>
      </c>
      <c r="BZ23" s="62" t="n">
        <f aca="false">IF(BY23="LOSE",1,IF(N(V23)&gt;0,V23,IF(CB23=1,MAX(1,N(VLOOKUP(T23,Parameter!$I$27:$K$29,3,0)),H23,N(N23)),IF(N(Q23)&gt;0,Q23,MAX(1,H23)))))</f>
        <v>42</v>
      </c>
      <c r="CA23" s="65" t="n">
        <f aca="false">IF(BY23="LOSE",1,0)</f>
        <v>0</v>
      </c>
      <c r="CB23" s="65" t="n">
        <f aca="false">IF(AND(U23="",OR(P23="",P23="LOSE"),T23&lt;&gt;"",N(S23)&lt;=0,ISNUMBER(MATCH(T23,Parameter!$I$27:$I$29,0))),1,0)</f>
        <v>0</v>
      </c>
      <c r="CC23" s="65" t="n">
        <f aca="false">IF(CR23&gt;0,INDEX(Parameter!$H$5:$H$7,W23)/INDEX(Parameter!$E$5:$E$7,W23),IF(AND(CA23=0,N(IFERROR(VLOOKUP(BY23,'Gebinde-Kategorie'!$A$5:$N$45,14,0),0))&gt;0),VLOOKUP(BY23,'Gebinde-Kategorie'!$A$5:$N$45,14,0)*10+Parameter!$M$23,Parameter!$M$24))</f>
        <v>145</v>
      </c>
      <c r="CD23" s="60" t="str">
        <f aca="false">IF(AND(Parameter!$B$19="Ja",E23&lt;&gt;"",ISNUMBER(MATCH(E23,Parameter!$I$35:$I$52,0))),VLOOKUP(E23,Parameter!$I$35:$J$52,2,0),IFERROR(VLOOKUP(D23,Parameter!$A$35:$C$64,2,0),"Nein"))</f>
        <v>2+3</v>
      </c>
      <c r="CE23" s="64" t="n">
        <f aca="false">IF(CA23=0,0,IF(N(S23)&gt;0,S23,IFERROR(VLOOKUP(D23,Parameter!$A$35:$C$64,3,0)+0,0)))</f>
        <v>0</v>
      </c>
      <c r="CF23" s="60" t="n">
        <f aca="false">IF(AB23&lt;&gt;"",AB23,AA23)</f>
        <v>3</v>
      </c>
      <c r="CG23" s="60" t="str">
        <f aca="false">IF(OR(CF23=1,CF23=2,CF23=3),IF(Parameter!$E$27="Ja","LIFT",IF(CF23=1,"L1","L23")),IF(CF23="Aussen","Aussen","-"))</f>
        <v>LIFT</v>
      </c>
      <c r="CH23" s="71" t="n">
        <f aca="false">IF(N(AC23)&gt;0,AC23,0)</f>
        <v>0</v>
      </c>
      <c r="CI23" s="65" t="n">
        <f aca="false">IF(ISNUMBER(AF23),1,0)</f>
        <v>0</v>
      </c>
      <c r="CJ23" s="62" t="n">
        <f aca="false">N(AF23)</f>
        <v>0</v>
      </c>
      <c r="CK23" s="62" t="n">
        <f aca="false">N(M23)+N(N23)</f>
        <v>79</v>
      </c>
      <c r="CL23" s="62" t="n">
        <f aca="false">N(M23)</f>
        <v>19</v>
      </c>
      <c r="CM23" s="62" t="n">
        <f aca="false">N(N23)</f>
        <v>60</v>
      </c>
      <c r="CN23" s="62" t="n">
        <f aca="false">ROUNDUP(H23/BZ23,0)</f>
        <v>4</v>
      </c>
      <c r="CO23" s="62" t="n">
        <f aca="false">ROUNDUP(CJ23/BZ23,0)</f>
        <v>0</v>
      </c>
      <c r="CP23" s="65" t="n">
        <f aca="false">IF(CA23=1,0,IFERROR(VLOOKUP(BY23,'Gebinde-Kategorie'!$A$5:$N$45,5,0)+0,0))</f>
        <v>11</v>
      </c>
      <c r="CQ23" s="65" t="n">
        <f aca="false">IFERROR(IF(OR(CF23=1,CF23=2,CF23=3),N(INDEX(Parameter!$I$5:$I$7,CF23)),0),0)</f>
        <v>0</v>
      </c>
      <c r="CR23" s="64" t="n">
        <f aca="false">IF(AND(Parameter!$B$21="Ja",ISNUMBER(W23),N(X23)&gt;0),IFERROR(N(INDEX(Parameter!$L$5:$L$7,W23))*INDEX(Parameter!$E$5:$E$7,W23)*X23/SUMIFS($X$7:$X$1843,$W$7:$W$1843,W23),0),0)</f>
        <v>0</v>
      </c>
      <c r="CS23" s="62" t="n">
        <f aca="false">IF(AND(OR(CG23="L1",CG23="L23",CG23="LIFT"),H23&gt;0),CC23*IF(CR23&gt;0,CR23*MAX(1,H23/X23),IF(CA23=1,CE23,IF(R23&gt;0,CN23/R23,0))/MAX(0.1,N(Parameter!$M$21))),"")</f>
        <v>48.3333333333333</v>
      </c>
      <c r="CT23" s="64" t="n">
        <f aca="false">IF(CS23="","",J23/H23)</f>
        <v>2.57251908396947</v>
      </c>
      <c r="CU23" s="62" t="n">
        <f aca="false">IF(CS23="","",H23*G23)</f>
        <v>27642.31</v>
      </c>
      <c r="CV23" s="63" t="n">
        <f aca="false">IF(CS23="","",(CL23+ROUNDUP(CL23+MAX(CM23,2*(J23/MAX(0.1,N(Einkauf!$C$6))-CL23)),0))/2)</f>
        <v>84.5</v>
      </c>
      <c r="CW23" s="62" t="n">
        <f aca="false">IF(CS23="","",MAX(0,H23-CV23)*G23)</f>
        <v>9811.965</v>
      </c>
      <c r="CX23" s="62" t="n">
        <f aca="false">IF(CS23="","",CS23*MAX(0,1-CV23/H23))</f>
        <v>17.1564885496183</v>
      </c>
      <c r="CY23" s="64" t="n">
        <f aca="false">IF(CS23="","",PERCENTRANK($CS$7:$CS$1843,CS23)+PERCENTRANK($CU$7:$CU$1843,CU23)+1-PERCENTRANK($CT$7:$CT$1843,CT23))</f>
        <v>2.031</v>
      </c>
      <c r="CZ23" s="72" t="n">
        <f aca="false">IF(CS23="","",CHOOSE(MATCH(Einkauf!$C$5,Parameter!$G$23:$G$27,0),CY23,CS23,CU23,-CT23,CW23)+ROW()/1000000000)</f>
        <v>2.031000023</v>
      </c>
    </row>
    <row r="24" customFormat="false" ht="15" hidden="false" customHeight="false" outlineLevel="0" collapsed="false">
      <c r="A24" s="60" t="s">
        <v>258</v>
      </c>
      <c r="B24" s="60" t="s">
        <v>259</v>
      </c>
      <c r="C24" s="60" t="s">
        <v>206</v>
      </c>
      <c r="D24" s="60" t="s">
        <v>215</v>
      </c>
      <c r="E24" s="60"/>
      <c r="F24" s="60" t="s">
        <v>260</v>
      </c>
      <c r="G24" s="61" t="n">
        <v>146.39</v>
      </c>
      <c r="H24" s="62" t="n">
        <f aca="false">MAX(0,IF(AND(Parameter!$B$21="Ja",ISNUMBER(Y24)),Y24,IF(Parameter!$B$20="Jahresanfang 2025 + Export",BS24+BR24,BR24)))</f>
        <v>114</v>
      </c>
      <c r="I24" s="62" t="n">
        <f aca="false">H24*G24</f>
        <v>16688.46</v>
      </c>
      <c r="J24" s="62" t="n">
        <f aca="false">BU24*Parameter!$B$18</f>
        <v>0</v>
      </c>
      <c r="K24" s="63" t="n">
        <v>19.5</v>
      </c>
      <c r="L24" s="64" t="n">
        <v>0</v>
      </c>
      <c r="M24" s="62" t="n">
        <v>0</v>
      </c>
      <c r="N24" s="62" t="n">
        <v>1</v>
      </c>
      <c r="O24" s="65" t="n">
        <v>0</v>
      </c>
      <c r="P24" s="60" t="s">
        <v>210</v>
      </c>
      <c r="Q24" s="62"/>
      <c r="R24" s="65" t="n">
        <f aca="false">IF(CA24=1,0,IFERROR(VLOOKUP(BY24,'Gebinde-Kategorie'!$A$5:$N$45,13,0)+0,0))</f>
        <v>4</v>
      </c>
      <c r="S24" s="66"/>
      <c r="T24" s="67" t="s">
        <v>231</v>
      </c>
      <c r="U24" s="67"/>
      <c r="V24" s="67"/>
      <c r="W24" s="60"/>
      <c r="X24" s="62"/>
      <c r="Y24" s="62"/>
      <c r="Z24" s="60" t="n">
        <v>2</v>
      </c>
      <c r="AA24" s="60" t="n">
        <f aca="false">IF(A24="","",IF(AND(Parameter!$B$21="Ja",ISNUMBER(W24)),W24,IF(AND(Parameter!$E$27="Ja",ISNUMBER(Z24),CD24&lt;&gt;"Nein"),Z24,IF(CD24="2+3",IF(ISNUMBER(SEARCH("grosser Artikel",BV24)),2,IFERROR(VLOOKUP(BY24,Parameter!$F$35:$G$64,2,0),2)),IF(OR(CD24="Nein",CD24=""),"-",CD24)))))</f>
        <v>2</v>
      </c>
      <c r="AB24" s="67"/>
      <c r="AC24" s="68"/>
      <c r="AD24" s="62" t="n">
        <f aca="false">AW24</f>
        <v>1</v>
      </c>
      <c r="AE24" s="62" t="n">
        <f aca="false">MAX(AW24,H24)</f>
        <v>114</v>
      </c>
      <c r="AF24" s="69"/>
      <c r="AG24" s="62" t="n">
        <f aca="false">IF(LEFT(Cockpit!$C$5,1)="A",H24,IF(Parameter!$E$30="MAX-Bestand",IF(CI24=1,CJ24,IF(LEFT(Cockpit!$C$5,1)="B",AM24,MAX(AM24,H24))),ROUNDUP(AK24,0)))</f>
        <v>114</v>
      </c>
      <c r="AH24" s="62" t="n">
        <f aca="false">IF(CA24=1,0,ROUNDUP(AG24/BZ24,0))</f>
        <v>1</v>
      </c>
      <c r="AI24" s="64" t="n">
        <f aca="false">IF(CR24&gt;0,CR24*MAX(1,AG24/X24),IF(CA24=1,IF(AG24&lt;=0,0,CE24*MAX(1,IF(H24&gt;0,AG24/H24,1))),IF(R24&gt;0,AH24/R24,0))/MAX(0.1,N(Parameter!$M$21)))</f>
        <v>0.25</v>
      </c>
      <c r="AJ24" s="62" t="n">
        <f aca="false">AI24*CC24</f>
        <v>58.75</v>
      </c>
      <c r="AK24" s="63" t="n">
        <f aca="false">IF(LEFT(Cockpit!$C$5,1)="A",H24,IF(CI24=1,(CL24+CJ24)/2,IF(LEFT(Cockpit!$C$5,1)="B",(CL24+AM24)/2,MAX((CL24+AM24)/2,H24))))</f>
        <v>114</v>
      </c>
      <c r="AL24" s="62" t="n">
        <f aca="false">AK24*G24</f>
        <v>16688.46</v>
      </c>
      <c r="AM24" s="62" t="n">
        <f aca="false">ROUNDUP(CL24+MAX(CM24,2*(J24/IF(CH24&gt;0,CH24,MAX(0.1,N(Cockpit!$C$6)))-CL24)),0)</f>
        <v>1</v>
      </c>
      <c r="AN24" s="63" t="n">
        <f aca="false">IF(AJ24&gt;0,J24/AJ24,-1)</f>
        <v>0</v>
      </c>
      <c r="AO24" s="63" t="n">
        <f aca="false">IF(AND(OR(CG24="L1",CG24="L23",CG24="LIFT"),AJ24&gt;0),SUMIFS($AJ$7:$AJ$1843,$CG$7:$CG$1843,CG24,$AN$7:$AN$1843,"&gt;"&amp;AN24)+SUMIFS($AJ$7:$AJ$1843,$CG$7:$CG$1843,CG24,$AN$7:$AN$1843,AN24,$BX$7:$BX$1843,"&lt;="&amp;BX24),"")</f>
        <v>25664.0219081766</v>
      </c>
      <c r="AP24" s="70" t="n">
        <f aca="false">IF(AO24="",0,MAX(0,MIN(1,(IF(CG24="L1",Parameter!$H$5,IF(CG24="L23",Parameter!$H$6+Parameter!$H$7,Parameter!$H$5+Parameter!$H$6+Parameter!$H$7))-(AO24-AJ24))/AJ24)))</f>
        <v>1</v>
      </c>
      <c r="AQ24" s="62" t="n">
        <f aca="false">IF(LEFT(Cockpit!$I$5,1)="A",H24,IF(Parameter!$E$30="MAX-Bestand",IF(CI24=1,CJ24,IF(LEFT(Cockpit!$I$5,1)="B",AW24,MAX(AW24,H24))),ROUNDUP(AU24,0)))</f>
        <v>114</v>
      </c>
      <c r="AR24" s="62" t="n">
        <f aca="false">IF(CA24=1,0,ROUNDUP(AQ24/BZ24,0))</f>
        <v>1</v>
      </c>
      <c r="AS24" s="64" t="n">
        <f aca="false">IF(CR24&gt;0,CR24*MAX(1,AQ24/X24),IF(CA24=1,IF(AQ24&lt;=0,0,CE24*MAX(1,IF(H24&gt;0,AQ24/H24,1))),IF(R24&gt;0,AR24/R24,0))/MAX(0.1,N(Parameter!$M$21)))</f>
        <v>0.25</v>
      </c>
      <c r="AT24" s="62" t="n">
        <f aca="false">AS24*CC24</f>
        <v>58.75</v>
      </c>
      <c r="AU24" s="63" t="n">
        <f aca="false">IF(LEFT(Cockpit!$I$5,1)="A",H24,IF(CI24=1,(CL24+CJ24)/2,IF(LEFT(Cockpit!$I$5,1)="B",(CL24+AW24)/2,MAX((CL24+AW24)/2,H24))))</f>
        <v>114</v>
      </c>
      <c r="AV24" s="62" t="n">
        <f aca="false">AU24*G24</f>
        <v>16688.46</v>
      </c>
      <c r="AW24" s="62" t="n">
        <f aca="false">ROUNDUP(CL24+MAX(CM24,2*(J24/IF(CH24&gt;0,CH24,MAX(0.1,N(Cockpit!$I$6)))-CL24)),0)</f>
        <v>1</v>
      </c>
      <c r="AX24" s="63" t="n">
        <f aca="false">IF(AT24&gt;0,J24/AT24,-1)</f>
        <v>0</v>
      </c>
      <c r="AY24" s="63" t="n">
        <f aca="false">IF(AND(OR(CG24="L1",CG24="L23",CG24="LIFT"),AT24&gt;0),SUMIFS($AT$7:$AT$1843,$CG$7:$CG$1843,CG24,$AX$7:$AX$1843,"&gt;"&amp;AX24)+SUMIFS($AT$7:$AT$1843,$CG$7:$CG$1843,CG24,$AX$7:$AX$1843,AX24,$BX$7:$BX$1843,"&lt;="&amp;BX24),"")</f>
        <v>31017.170549554</v>
      </c>
      <c r="AZ24" s="70" t="n">
        <f aca="false">IF(AY24="",0,MAX(0,MIN(1,(IF(CG24="L1",Parameter!$H$5,IF(CG24="L23",Parameter!$H$6+Parameter!$H$7,Parameter!$H$5+Parameter!$H$6+Parameter!$H$7))-(AY24-AT24))/AT24)))</f>
        <v>1</v>
      </c>
      <c r="BA24" s="62" t="n">
        <f aca="false">IF(LEFT(Cockpit!$O$5,1)="A",H24,IF(Parameter!$E$30="MAX-Bestand",IF(CI24=1,CJ24,IF(LEFT(Cockpit!$O$5,1)="B",BG24,MAX(BG24,H24))),ROUNDUP(BE24,0)))</f>
        <v>1</v>
      </c>
      <c r="BB24" s="62" t="n">
        <f aca="false">IF(CA24=1,0,ROUNDUP(BA24/BZ24,0))</f>
        <v>1</v>
      </c>
      <c r="BC24" s="64" t="n">
        <f aca="false">IF(CR24&gt;0,CR24*MAX(1,BA24/X24),IF(CA24=1,IF(BA24&lt;=0,0,CE24*MAX(1,IF(H24&gt;0,BA24/H24,1))),IF(R24&gt;0,BB24/R24,0))/MAX(0.1,N(Parameter!$M$21)))</f>
        <v>0.25</v>
      </c>
      <c r="BD24" s="62" t="n">
        <f aca="false">BC24*CC24</f>
        <v>58.75</v>
      </c>
      <c r="BE24" s="63" t="n">
        <f aca="false">IF(LEFT(Cockpit!$O$5,1)="A",H24,IF(CI24=1,(CL24+CJ24)/2,IF(LEFT(Cockpit!$O$5,1)="B",(CL24+BG24)/2,MAX((CL24+BG24)/2,H24))))</f>
        <v>0.5</v>
      </c>
      <c r="BF24" s="62" t="n">
        <f aca="false">BE24*G24</f>
        <v>73.195</v>
      </c>
      <c r="BG24" s="62" t="n">
        <f aca="false">ROUNDUP(CL24+MAX(CM24,2*(J24/IF(CH24&gt;0,CH24,MAX(0.1,N(Cockpit!$O$6)))-CL24)),0)</f>
        <v>1</v>
      </c>
      <c r="BH24" s="63" t="n">
        <f aca="false">IF(BD24&gt;0,J24/BD24,-1)</f>
        <v>0</v>
      </c>
      <c r="BI24" s="63" t="n">
        <f aca="false">IF(AND(OR(CG24="L1",CG24="L23",CG24="LIFT"),BD24&gt;0),SUMIFS($BD$7:$BD$1843,$CG$7:$CG$1843,CG24,$BH$7:$BH$1843,"&gt;"&amp;BH24)+SUMIFS($BD$7:$BD$1843,$CG$7:$CG$1843,CG24,$BH$7:$BH$1843,BH24,$BX$7:$BX$1843,"&lt;="&amp;BX24),"")</f>
        <v>25272.502392852</v>
      </c>
      <c r="BJ24" s="70" t="n">
        <f aca="false">IF(BI24="",0,MAX(0,MIN(1,(IF(CG24="L1",Parameter!$H$5,IF(CG24="L23",Parameter!$H$6+Parameter!$H$7,Parameter!$H$5+Parameter!$H$6+Parameter!$H$7))-(BI24-BD24))/BD24)))</f>
        <v>1</v>
      </c>
      <c r="BK24" s="60" t="str">
        <f aca="false">IF(AJ24&lt;=0,"",IF(CG24="Aussen","Aussenlager",IF(CG24="-","Nicht im Lift",IF(AP24&gt;=1,"Lift",IF(AP24&lt;=0,"Aussenlager","teilweise")))))</f>
        <v>Lift</v>
      </c>
      <c r="BL24" s="60" t="str">
        <f aca="false">IF(AT24&lt;=0,"",IF(CG24="Aussen","Aussenlager",IF(CG24="-","Nicht im Lift",IF(AZ24&gt;=1,"Lift",IF(AZ24&lt;=0,"Aussenlager","teilweise")))))</f>
        <v>Lift</v>
      </c>
      <c r="BM24" s="60" t="str">
        <f aca="false">IF(BD24&lt;=0,"",IF(CG24="Aussen","Aussenlager",IF(CG24="-","Nicht im Lift",IF(BJ24&gt;=1,"Lift",IF(BJ24&lt;=0,"Aussenlager","teilweise")))))</f>
        <v>Lift</v>
      </c>
      <c r="BN24" s="60" t="str">
        <f aca="false">IF(A24="","",IF(BW24=1,"Neu; ","")&amp;IF(AND(BW24=0,BR24&lt;0),"negativer Bestand (Export "&amp;BR24&amp;"); ","")&amp;IF(J24&lt;=0,"Kein Verbrauch; ","")&amp;IF(CR24&gt;0,"Lift "&amp;W24&amp;" lt. Liftbericht (Fach "&amp;X24&amp;" Stk); ",IF(CB24=1,"Gebinde geschätzt ("&amp;T24&amp;"); ",IF(CA24=1,"Lose – Tablare geschätzt; ","")))&amp;IF(H24&gt;AW24,"Überbestand "&amp;ROUND(H24-AW24,0)&amp;" Stk / CHF "&amp;ROUND((H24-AW24)*G24,0)&amp;"; ","")&amp;IF(AND(CI24=1,CJ24&lt;CK24),"MAX &lt; MB+LG; ","")&amp;IF(AND(CQ24&gt;0,CP24*10&gt;CQ24),"zu hoch für Tablar; ","")&amp;IF(AND(BW24=0,OR(CI24=1,AB24&lt;&gt;"",U24&lt;&gt;"",V24&lt;&gt;"",AC24&lt;&gt;"")),"manuell übersteuert; ","")&amp;IF(AND(CA24=0,R24=0),"Gebinde unbekannt / Stellmass fehlt; ","")&amp;IF(AND(CA24=0,N(V24)&lt;=0,N(Q24)&lt;=0),"Menge pro Gebinde fehlt (Ist = 1 Gebinde); ","")&amp;BV24)</f>
        <v>Kein Verbrauch; Gebinde geschätzt (Gross); Überbestand 113 Stk / CHF 16542; Menge pro Gebinde fehlt (Ist = 1 Gebinde); </v>
      </c>
      <c r="BO24" s="60"/>
      <c r="BP24" s="60"/>
      <c r="BQ24" s="67"/>
      <c r="BR24" s="62" t="n">
        <v>114</v>
      </c>
      <c r="BS24" s="62" t="n">
        <v>0</v>
      </c>
      <c r="BT24" s="61" t="n">
        <v>16688.46</v>
      </c>
      <c r="BU24" s="62" t="n">
        <v>0</v>
      </c>
      <c r="BV24" s="60"/>
      <c r="BW24" s="65" t="n">
        <v>0</v>
      </c>
      <c r="BX24" s="65" t="n">
        <v>24</v>
      </c>
      <c r="BY24" s="60" t="str">
        <f aca="false">IF(U24&lt;&gt;"",UPPER(TRIM(U24)),IF(CB24=1,UPPER(VLOOKUP(T24,Parameter!$I$27:$K$29,2,0)),IF(P24="","LOSE",P24)))</f>
        <v>S81</v>
      </c>
      <c r="BZ24" s="62" t="n">
        <f aca="false">IF(BY24="LOSE",1,IF(N(V24)&gt;0,V24,IF(CB24=1,MAX(1,N(VLOOKUP(T24,Parameter!$I$27:$K$29,3,0)),H24,N(N24)),IF(N(Q24)&gt;0,Q24,MAX(1,H24)))))</f>
        <v>114</v>
      </c>
      <c r="CA24" s="65" t="n">
        <f aca="false">IF(BY24="LOSE",1,0)</f>
        <v>0</v>
      </c>
      <c r="CB24" s="65" t="n">
        <f aca="false">IF(AND(U24="",OR(P24="",P24="LOSE"),T24&lt;&gt;"",N(S24)&lt;=0,ISNUMBER(MATCH(T24,Parameter!$I$27:$I$29,0))),1,0)</f>
        <v>1</v>
      </c>
      <c r="CC24" s="65" t="n">
        <f aca="false">IF(CR24&gt;0,INDEX(Parameter!$H$5:$H$7,W24)/INDEX(Parameter!$E$5:$E$7,W24),IF(AND(CA24=0,N(IFERROR(VLOOKUP(BY24,'Gebinde-Kategorie'!$A$5:$N$45,14,0),0))&gt;0),VLOOKUP(BY24,'Gebinde-Kategorie'!$A$5:$N$45,14,0)*10+Parameter!$M$23,Parameter!$M$24))</f>
        <v>235</v>
      </c>
      <c r="CD24" s="60" t="str">
        <f aca="false">IF(AND(Parameter!$B$19="Ja",E24&lt;&gt;"",ISNUMBER(MATCH(E24,Parameter!$I$35:$I$52,0))),VLOOKUP(E24,Parameter!$I$35:$J$52,2,0),IFERROR(VLOOKUP(D24,Parameter!$A$35:$C$64,2,0),"Nein"))</f>
        <v>2+3</v>
      </c>
      <c r="CE24" s="64" t="n">
        <f aca="false">IF(CA24=0,0,IF(N(S24)&gt;0,S24,IFERROR(VLOOKUP(D24,Parameter!$A$35:$C$64,3,0)+0,0)))</f>
        <v>0</v>
      </c>
      <c r="CF24" s="60" t="n">
        <f aca="false">IF(AB24&lt;&gt;"",AB24,AA24)</f>
        <v>2</v>
      </c>
      <c r="CG24" s="60" t="str">
        <f aca="false">IF(OR(CF24=1,CF24=2,CF24=3),IF(Parameter!$E$27="Ja","LIFT",IF(CF24=1,"L1","L23")),IF(CF24="Aussen","Aussen","-"))</f>
        <v>LIFT</v>
      </c>
      <c r="CH24" s="71" t="n">
        <f aca="false">IF(N(AC24)&gt;0,AC24,0)</f>
        <v>0</v>
      </c>
      <c r="CI24" s="65" t="n">
        <f aca="false">IF(ISNUMBER(AF24),1,0)</f>
        <v>0</v>
      </c>
      <c r="CJ24" s="62" t="n">
        <f aca="false">N(AF24)</f>
        <v>0</v>
      </c>
      <c r="CK24" s="62" t="n">
        <f aca="false">N(M24)+N(N24)</f>
        <v>1</v>
      </c>
      <c r="CL24" s="62" t="n">
        <f aca="false">N(M24)</f>
        <v>0</v>
      </c>
      <c r="CM24" s="62" t="n">
        <f aca="false">N(N24)</f>
        <v>1</v>
      </c>
      <c r="CN24" s="62" t="n">
        <f aca="false">ROUNDUP(H24/BZ24,0)</f>
        <v>1</v>
      </c>
      <c r="CO24" s="62" t="n">
        <f aca="false">ROUNDUP(CJ24/BZ24,0)</f>
        <v>0</v>
      </c>
      <c r="CP24" s="65" t="n">
        <f aca="false">IF(CA24=1,0,IFERROR(VLOOKUP(BY24,'Gebinde-Kategorie'!$A$5:$N$45,5,0)+0,0))</f>
        <v>20</v>
      </c>
      <c r="CQ24" s="65" t="n">
        <f aca="false">IFERROR(IF(OR(CF24=1,CF24=2,CF24=3),N(INDEX(Parameter!$I$5:$I$7,CF24)),0),0)</f>
        <v>0</v>
      </c>
      <c r="CR24" s="64" t="n">
        <f aca="false">IF(AND(Parameter!$B$21="Ja",ISNUMBER(W24),N(X24)&gt;0),IFERROR(N(INDEX(Parameter!$L$5:$L$7,W24))*INDEX(Parameter!$E$5:$E$7,W24)*X24/SUMIFS($X$7:$X$1843,$W$7:$W$1843,W24),0),0)</f>
        <v>0</v>
      </c>
      <c r="CS24" s="62" t="n">
        <f aca="false">IF(AND(OR(CG24="L1",CG24="L23",CG24="LIFT"),H24&gt;0),CC24*IF(CR24&gt;0,CR24*MAX(1,H24/X24),IF(CA24=1,CE24,IF(R24&gt;0,CN24/R24,0))/MAX(0.1,N(Parameter!$M$21))),"")</f>
        <v>58.75</v>
      </c>
      <c r="CT24" s="64" t="n">
        <f aca="false">IF(CS24="","",J24/H24)</f>
        <v>0</v>
      </c>
      <c r="CU24" s="62" t="n">
        <f aca="false">IF(CS24="","",H24*G24)</f>
        <v>16688.46</v>
      </c>
      <c r="CV24" s="63" t="n">
        <f aca="false">IF(CS24="","",(CL24+ROUNDUP(CL24+MAX(CM24,2*(J24/MAX(0.1,N(Einkauf!$C$6))-CL24)),0))/2)</f>
        <v>0.5</v>
      </c>
      <c r="CW24" s="62" t="n">
        <f aca="false">IF(CS24="","",MAX(0,H24-CV24)*G24)</f>
        <v>16615.265</v>
      </c>
      <c r="CX24" s="62" t="n">
        <f aca="false">IF(CS24="","",CS24*MAX(0,1-CV24/H24))</f>
        <v>58.4923245614035</v>
      </c>
      <c r="CY24" s="64" t="n">
        <f aca="false">IF(CS24="","",PERCENTRANK($CS$7:$CS$1843,CS24)+PERCENTRANK($CU$7:$CU$1843,CU24)+1-PERCENTRANK($CT$7:$CT$1843,CT24))</f>
        <v>2.891</v>
      </c>
      <c r="CZ24" s="72" t="n">
        <f aca="false">IF(CS24="","",CHOOSE(MATCH(Einkauf!$C$5,Parameter!$G$23:$G$27,0),CY24,CS24,CU24,-CT24,CW24)+ROW()/1000000000)</f>
        <v>2.891000024</v>
      </c>
    </row>
    <row r="25" customFormat="false" ht="15" hidden="false" customHeight="false" outlineLevel="0" collapsed="false">
      <c r="A25" s="60" t="s">
        <v>261</v>
      </c>
      <c r="B25" s="60" t="s">
        <v>262</v>
      </c>
      <c r="C25" s="60" t="s">
        <v>206</v>
      </c>
      <c r="D25" s="60" t="s">
        <v>207</v>
      </c>
      <c r="E25" s="60" t="s">
        <v>208</v>
      </c>
      <c r="F25" s="60" t="s">
        <v>260</v>
      </c>
      <c r="G25" s="61" t="n">
        <v>3268.12</v>
      </c>
      <c r="H25" s="62" t="n">
        <f aca="false">MAX(0,IF(AND(Parameter!$B$21="Ja",ISNUMBER(Y25)),Y25,IF(Parameter!$B$20="Jahresanfang 2025 + Export",BS25+BR25,BR25)))</f>
        <v>9</v>
      </c>
      <c r="I25" s="62" t="n">
        <f aca="false">H25*G25</f>
        <v>29413.08</v>
      </c>
      <c r="J25" s="62" t="n">
        <f aca="false">BU25*Parameter!$B$18</f>
        <v>24</v>
      </c>
      <c r="K25" s="63" t="n">
        <v>5.5</v>
      </c>
      <c r="L25" s="64" t="n">
        <v>4.36363636363636</v>
      </c>
      <c r="M25" s="62" t="n">
        <v>3</v>
      </c>
      <c r="N25" s="62" t="n">
        <v>6</v>
      </c>
      <c r="O25" s="65" t="n">
        <v>49</v>
      </c>
      <c r="P25" s="60" t="s">
        <v>210</v>
      </c>
      <c r="Q25" s="62"/>
      <c r="R25" s="65" t="n">
        <f aca="false">IF(CA25=1,0,IFERROR(VLOOKUP(BY25,'Gebinde-Kategorie'!$A$5:$N$45,13,0)+0,0))</f>
        <v>0</v>
      </c>
      <c r="S25" s="66"/>
      <c r="T25" s="67"/>
      <c r="U25" s="67"/>
      <c r="V25" s="67"/>
      <c r="W25" s="60" t="n">
        <v>1</v>
      </c>
      <c r="X25" s="62" t="n">
        <v>12</v>
      </c>
      <c r="Y25" s="62" t="n">
        <v>9</v>
      </c>
      <c r="Z25" s="60" t="n">
        <v>1</v>
      </c>
      <c r="AA25" s="60" t="n">
        <f aca="false">IF(A25="","",IF(AND(Parameter!$B$21="Ja",ISNUMBER(W25)),W25,IF(AND(Parameter!$E$27="Ja",ISNUMBER(Z25),CD25&lt;&gt;"Nein"),Z25,IF(CD25="2+3",IF(ISNUMBER(SEARCH("grosser Artikel",BV25)),2,IFERROR(VLOOKUP(BY25,Parameter!$F$35:$G$64,2,0),2)),IF(OR(CD25="Nein",CD25=""),"-",CD25)))))</f>
        <v>1</v>
      </c>
      <c r="AB25" s="67"/>
      <c r="AC25" s="68"/>
      <c r="AD25" s="62" t="n">
        <f aca="false">AW25</f>
        <v>13</v>
      </c>
      <c r="AE25" s="62" t="n">
        <f aca="false">MAX(AW25,H25)</f>
        <v>13</v>
      </c>
      <c r="AF25" s="69"/>
      <c r="AG25" s="62" t="n">
        <f aca="false">IF(LEFT(Cockpit!$C$5,1)="A",H25,IF(Parameter!$E$30="MAX-Bestand",IF(CI25=1,CJ25,IF(LEFT(Cockpit!$C$5,1)="B",AM25,MAX(AM25,H25))),ROUNDUP(AK25,0)))</f>
        <v>9</v>
      </c>
      <c r="AH25" s="62" t="n">
        <f aca="false">IF(CA25=1,0,ROUNDUP(AG25/BZ25,0))</f>
        <v>0</v>
      </c>
      <c r="AI25" s="64" t="n">
        <f aca="false">IF(CR25&gt;0,CR25*MAX(1,AG25/X25),IF(CA25=1,IF(AG25&lt;=0,0,CE25*MAX(1,IF(H25&gt;0,AG25/H25,1))),IF(R25&gt;0,AH25/R25,0))/MAX(0.1,N(Parameter!$M$21)))</f>
        <v>0.96045197740113</v>
      </c>
      <c r="AJ25" s="62" t="n">
        <f aca="false">AI25*CC25</f>
        <v>228.587570621469</v>
      </c>
      <c r="AK25" s="63" t="n">
        <f aca="false">IF(LEFT(Cockpit!$C$5,1)="A",H25,IF(CI25=1,(CL25+CJ25)/2,IF(LEFT(Cockpit!$C$5,1)="B",(CL25+AM25)/2,MAX((CL25+AM25)/2,H25))))</f>
        <v>9</v>
      </c>
      <c r="AL25" s="62" t="n">
        <f aca="false">AK25*G25</f>
        <v>29413.08</v>
      </c>
      <c r="AM25" s="62" t="n">
        <f aca="false">ROUNDUP(CL25+MAX(CM25,2*(J25/IF(CH25&gt;0,CH25,MAX(0.1,N(Cockpit!$C$6)))-CL25)),0)</f>
        <v>13</v>
      </c>
      <c r="AN25" s="63" t="n">
        <f aca="false">IF(AJ25&gt;0,J25/AJ25,-1)</f>
        <v>0.104992585269402</v>
      </c>
      <c r="AO25" s="63" t="n">
        <f aca="false">IF(AND(OR(CG25="L1",CG25="L23",CG25="LIFT"),AJ25&gt;0),SUMIFS($AJ$7:$AJ$1843,$CG$7:$CG$1843,CG25,$AN$7:$AN$1843,"&gt;"&amp;AN25)+SUMIFS($AJ$7:$AJ$1843,$CG$7:$CG$1843,CG25,$AN$7:$AN$1843,AN25,$BX$7:$BX$1843,"&lt;="&amp;BX25),"")</f>
        <v>15552.0865022454</v>
      </c>
      <c r="AP25" s="70" t="n">
        <f aca="false">IF(AO25="",0,MAX(0,MIN(1,(IF(CG25="L1",Parameter!$H$5,IF(CG25="L23",Parameter!$H$6+Parameter!$H$7,Parameter!$H$5+Parameter!$H$6+Parameter!$H$7))-(AO25-AJ25))/AJ25)))</f>
        <v>1</v>
      </c>
      <c r="AQ25" s="62" t="n">
        <f aca="false">IF(LEFT(Cockpit!$I$5,1)="A",H25,IF(Parameter!$E$30="MAX-Bestand",IF(CI25=1,CJ25,IF(LEFT(Cockpit!$I$5,1)="B",AW25,MAX(AW25,H25))),ROUNDUP(AU25,0)))</f>
        <v>9</v>
      </c>
      <c r="AR25" s="62" t="n">
        <f aca="false">IF(CA25=1,0,ROUNDUP(AQ25/BZ25,0))</f>
        <v>0</v>
      </c>
      <c r="AS25" s="64" t="n">
        <f aca="false">IF(CR25&gt;0,CR25*MAX(1,AQ25/X25),IF(CA25=1,IF(AQ25&lt;=0,0,CE25*MAX(1,IF(H25&gt;0,AQ25/H25,1))),IF(R25&gt;0,AR25/R25,0))/MAX(0.1,N(Parameter!$M$21)))</f>
        <v>0.96045197740113</v>
      </c>
      <c r="AT25" s="62" t="n">
        <f aca="false">AS25*CC25</f>
        <v>228.587570621469</v>
      </c>
      <c r="AU25" s="63" t="n">
        <f aca="false">IF(LEFT(Cockpit!$I$5,1)="A",H25,IF(CI25=1,(CL25+CJ25)/2,IF(LEFT(Cockpit!$I$5,1)="B",(CL25+AW25)/2,MAX((CL25+AW25)/2,H25))))</f>
        <v>9</v>
      </c>
      <c r="AV25" s="62" t="n">
        <f aca="false">AU25*G25</f>
        <v>29413.08</v>
      </c>
      <c r="AW25" s="62" t="n">
        <f aca="false">ROUNDUP(CL25+MAX(CM25,2*(J25/IF(CH25&gt;0,CH25,MAX(0.1,N(Cockpit!$I$6)))-CL25)),0)</f>
        <v>13</v>
      </c>
      <c r="AX25" s="63" t="n">
        <f aca="false">IF(AT25&gt;0,J25/AT25,-1)</f>
        <v>0.104992585269402</v>
      </c>
      <c r="AY25" s="63" t="n">
        <f aca="false">IF(AND(OR(CG25="L1",CG25="L23",CG25="LIFT"),AT25&gt;0),SUMIFS($AT$7:$AT$1843,$CG$7:$CG$1843,CG25,$AX$7:$AX$1843,"&gt;"&amp;AX25)+SUMIFS($AT$7:$AT$1843,$CG$7:$CG$1843,CG25,$AX$7:$AX$1843,AX25,$BX$7:$BX$1843,"&lt;="&amp;BX25),"")</f>
        <v>19576.4851436229</v>
      </c>
      <c r="AZ25" s="70" t="n">
        <f aca="false">IF(AY25="",0,MAX(0,MIN(1,(IF(CG25="L1",Parameter!$H$5,IF(CG25="L23",Parameter!$H$6+Parameter!$H$7,Parameter!$H$5+Parameter!$H$6+Parameter!$H$7))-(AY25-AT25))/AT25)))</f>
        <v>1</v>
      </c>
      <c r="BA25" s="62" t="n">
        <f aca="false">IF(LEFT(Cockpit!$O$5,1)="A",H25,IF(Parameter!$E$30="MAX-Bestand",IF(CI25=1,CJ25,IF(LEFT(Cockpit!$O$5,1)="B",BG25,MAX(BG25,H25))),ROUNDUP(BE25,0)))</f>
        <v>6</v>
      </c>
      <c r="BB25" s="62" t="n">
        <f aca="false">IF(CA25=1,0,ROUNDUP(BA25/BZ25,0))</f>
        <v>0</v>
      </c>
      <c r="BC25" s="64" t="n">
        <f aca="false">IF(CR25&gt;0,CR25*MAX(1,BA25/X25),IF(CA25=1,IF(BA25&lt;=0,0,CE25*MAX(1,IF(H25&gt;0,BA25/H25,1))),IF(R25&gt;0,BB25/R25,0))/MAX(0.1,N(Parameter!$M$21)))</f>
        <v>0.96045197740113</v>
      </c>
      <c r="BD25" s="62" t="n">
        <f aca="false">BC25*CC25</f>
        <v>228.587570621469</v>
      </c>
      <c r="BE25" s="63" t="n">
        <f aca="false">IF(LEFT(Cockpit!$O$5,1)="A",H25,IF(CI25=1,(CL25+CJ25)/2,IF(LEFT(Cockpit!$O$5,1)="B",(CL25+BG25)/2,MAX((CL25+BG25)/2,H25))))</f>
        <v>6</v>
      </c>
      <c r="BF25" s="62" t="n">
        <f aca="false">BE25*G25</f>
        <v>19608.72</v>
      </c>
      <c r="BG25" s="62" t="n">
        <f aca="false">ROUNDUP(CL25+MAX(CM25,2*(J25/IF(CH25&gt;0,CH25,MAX(0.1,N(Cockpit!$O$6)))-CL25)),0)</f>
        <v>9</v>
      </c>
      <c r="BH25" s="63" t="n">
        <f aca="false">IF(BD25&gt;0,J25/BD25,-1)</f>
        <v>0.104992585269402</v>
      </c>
      <c r="BI25" s="63" t="n">
        <f aca="false">IF(AND(OR(CG25="L1",CG25="L23",CG25="LIFT"),BD25&gt;0),SUMIFS($BD$7:$BD$1843,$CG$7:$CG$1843,CG25,$BH$7:$BH$1843,"&gt;"&amp;BH25)+SUMIFS($BD$7:$BD$1843,$CG$7:$CG$1843,CG25,$BH$7:$BH$1843,BH25,$BX$7:$BX$1843,"&lt;="&amp;BX25),"")</f>
        <v>17177.2977561516</v>
      </c>
      <c r="BJ25" s="70" t="n">
        <f aca="false">IF(BI25="",0,MAX(0,MIN(1,(IF(CG25="L1",Parameter!$H$5,IF(CG25="L23",Parameter!$H$6+Parameter!$H$7,Parameter!$H$5+Parameter!$H$6+Parameter!$H$7))-(BI25-BD25))/BD25)))</f>
        <v>1</v>
      </c>
      <c r="BK25" s="60" t="str">
        <f aca="false">IF(AJ25&lt;=0,"",IF(CG25="Aussen","Aussenlager",IF(CG25="-","Nicht im Lift",IF(AP25&gt;=1,"Lift",IF(AP25&lt;=0,"Aussenlager","teilweise")))))</f>
        <v>Lift</v>
      </c>
      <c r="BL25" s="60" t="str">
        <f aca="false">IF(AT25&lt;=0,"",IF(CG25="Aussen","Aussenlager",IF(CG25="-","Nicht im Lift",IF(AZ25&gt;=1,"Lift",IF(AZ25&lt;=0,"Aussenlager","teilweise")))))</f>
        <v>Lift</v>
      </c>
      <c r="BM25" s="60" t="str">
        <f aca="false">IF(BD25&lt;=0,"",IF(CG25="Aussen","Aussenlager",IF(CG25="-","Nicht im Lift",IF(BJ25&gt;=1,"Lift",IF(BJ25&lt;=0,"Aussenlager","teilweise")))))</f>
        <v>Lift</v>
      </c>
      <c r="BN25" s="60" t="str">
        <f aca="false">IF(A25="","",IF(BW25=1,"Neu; ","")&amp;IF(AND(BW25=0,BR25&lt;0),"negativer Bestand (Export "&amp;BR25&amp;"); ","")&amp;IF(J25&lt;=0,"Kein Verbrauch; ","")&amp;IF(CR25&gt;0,"Lift "&amp;W25&amp;" lt. Liftbericht (Fach "&amp;X25&amp;" Stk); ",IF(CB25=1,"Gebinde geschätzt ("&amp;T25&amp;"); ",IF(CA25=1,"Lose – Tablare geschätzt; ","")))&amp;IF(H25&gt;AW25,"Überbestand "&amp;ROUND(H25-AW25,0)&amp;" Stk / CHF "&amp;ROUND((H25-AW25)*G25,0)&amp;"; ","")&amp;IF(AND(CI25=1,CJ25&lt;CK25),"MAX &lt; MB+LG; ","")&amp;IF(AND(CQ25&gt;0,CP25*10&gt;CQ25),"zu hoch für Tablar; ","")&amp;IF(AND(BW25=0,OR(CI25=1,AB25&lt;&gt;"",U25&lt;&gt;"",V25&lt;&gt;"",AC25&lt;&gt;"")),"manuell übersteuert; ","")&amp;IF(AND(CA25=0,R25=0),"Gebinde unbekannt / Stellmass fehlt; ","")&amp;IF(AND(CA25=0,N(V25)&lt;=0,N(Q25)&lt;=0),"Menge pro Gebinde fehlt (Ist = 1 Gebinde); ","")&amp;BV25)</f>
        <v>Lift 1 lt. Liftbericht (Fach 12 Stk); </v>
      </c>
      <c r="BO25" s="60"/>
      <c r="BP25" s="60"/>
      <c r="BQ25" s="67"/>
      <c r="BR25" s="62" t="n">
        <v>5</v>
      </c>
      <c r="BS25" s="62" t="n">
        <v>0</v>
      </c>
      <c r="BT25" s="61" t="n">
        <v>16340.6</v>
      </c>
      <c r="BU25" s="62" t="n">
        <v>24</v>
      </c>
      <c r="BV25" s="60"/>
      <c r="BW25" s="65" t="n">
        <v>0</v>
      </c>
      <c r="BX25" s="65" t="n">
        <v>25</v>
      </c>
      <c r="BY25" s="60" t="str">
        <f aca="false">IF(U25&lt;&gt;"",UPPER(TRIM(U25)),IF(CB25=1,UPPER(VLOOKUP(T25,Parameter!$I$27:$K$29,2,0)),IF(P25="","LOSE",P25)))</f>
        <v>LOSE</v>
      </c>
      <c r="BZ25" s="62" t="n">
        <f aca="false">IF(BY25="LOSE",1,IF(N(V25)&gt;0,V25,IF(CB25=1,MAX(1,N(VLOOKUP(T25,Parameter!$I$27:$K$29,3,0)),H25,N(N25)),IF(N(Q25)&gt;0,Q25,MAX(1,H25)))))</f>
        <v>1</v>
      </c>
      <c r="CA25" s="65" t="n">
        <f aca="false">IF(BY25="LOSE",1,0)</f>
        <v>1</v>
      </c>
      <c r="CB25" s="65" t="n">
        <f aca="false">IF(AND(U25="",OR(P25="",P25="LOSE"),T25&lt;&gt;"",N(S25)&lt;=0,ISNUMBER(MATCH(T25,Parameter!$I$27:$I$29,0))),1,0)</f>
        <v>0</v>
      </c>
      <c r="CC25" s="65" t="n">
        <f aca="false">IF(CR25&gt;0,INDEX(Parameter!$H$5:$H$7,W25)/INDEX(Parameter!$E$5:$E$7,W25),IF(AND(CA25=0,N(IFERROR(VLOOKUP(BY25,'Gebinde-Kategorie'!$A$5:$N$45,14,0),0))&gt;0),VLOOKUP(BY25,'Gebinde-Kategorie'!$A$5:$N$45,14,0)*10+Parameter!$M$23,Parameter!$M$24))</f>
        <v>238</v>
      </c>
      <c r="CD25" s="60" t="n">
        <f aca="false">IF(AND(Parameter!$B$19="Ja",E25&lt;&gt;"",ISNUMBER(MATCH(E25,Parameter!$I$35:$I$52,0))),VLOOKUP(E25,Parameter!$I$35:$J$52,2,0),IFERROR(VLOOKUP(D25,Parameter!$A$35:$C$64,2,0),"Nein"))</f>
        <v>1</v>
      </c>
      <c r="CE25" s="64" t="n">
        <f aca="false">IF(CA25=0,0,IF(N(S25)&gt;0,S25,IFERROR(VLOOKUP(D25,Parameter!$A$35:$C$64,3,0)+0,0)))</f>
        <v>1</v>
      </c>
      <c r="CF25" s="60" t="n">
        <f aca="false">IF(AB25&lt;&gt;"",AB25,AA25)</f>
        <v>1</v>
      </c>
      <c r="CG25" s="60" t="str">
        <f aca="false">IF(OR(CF25=1,CF25=2,CF25=3),IF(Parameter!$E$27="Ja","LIFT",IF(CF25=1,"L1","L23")),IF(CF25="Aussen","Aussen","-"))</f>
        <v>LIFT</v>
      </c>
      <c r="CH25" s="71" t="n">
        <f aca="false">IF(N(AC25)&gt;0,AC25,0)</f>
        <v>0</v>
      </c>
      <c r="CI25" s="65" t="n">
        <f aca="false">IF(ISNUMBER(AF25),1,0)</f>
        <v>0</v>
      </c>
      <c r="CJ25" s="62" t="n">
        <f aca="false">N(AF25)</f>
        <v>0</v>
      </c>
      <c r="CK25" s="62" t="n">
        <f aca="false">N(M25)+N(N25)</f>
        <v>9</v>
      </c>
      <c r="CL25" s="62" t="n">
        <f aca="false">N(M25)</f>
        <v>3</v>
      </c>
      <c r="CM25" s="62" t="n">
        <f aca="false">N(N25)</f>
        <v>6</v>
      </c>
      <c r="CN25" s="62" t="n">
        <f aca="false">ROUNDUP(H25/BZ25,0)</f>
        <v>9</v>
      </c>
      <c r="CO25" s="62" t="n">
        <f aca="false">ROUNDUP(CJ25/BZ25,0)</f>
        <v>0</v>
      </c>
      <c r="CP25" s="65" t="n">
        <f aca="false">IF(CA25=1,0,IFERROR(VLOOKUP(BY25,'Gebinde-Kategorie'!$A$5:$N$45,5,0)+0,0))</f>
        <v>0</v>
      </c>
      <c r="CQ25" s="65" t="n">
        <f aca="false">IFERROR(IF(OR(CF25=1,CF25=2,CF25=3),N(INDEX(Parameter!$I$5:$I$7,CF25)),0),0)</f>
        <v>0</v>
      </c>
      <c r="CR25" s="64" t="n">
        <f aca="false">IF(AND(Parameter!$B$21="Ja",ISNUMBER(W25),N(X25)&gt;0),IFERROR(N(INDEX(Parameter!$L$5:$L$7,W25))*INDEX(Parameter!$E$5:$E$7,W25)*X25/SUMIFS($X$7:$X$1843,$W$7:$W$1843,W25),0),0)</f>
        <v>0.96045197740113</v>
      </c>
      <c r="CS25" s="62" t="n">
        <f aca="false">IF(AND(OR(CG25="L1",CG25="L23",CG25="LIFT"),H25&gt;0),CC25*IF(CR25&gt;0,CR25*MAX(1,H25/X25),IF(CA25=1,CE25,IF(R25&gt;0,CN25/R25,0))/MAX(0.1,N(Parameter!$M$21))),"")</f>
        <v>228.587570621469</v>
      </c>
      <c r="CT25" s="64" t="n">
        <f aca="false">IF(CS25="","",J25/H25)</f>
        <v>2.66666666666667</v>
      </c>
      <c r="CU25" s="62" t="n">
        <f aca="false">IF(CS25="","",H25*G25)</f>
        <v>29413.08</v>
      </c>
      <c r="CV25" s="63" t="n">
        <f aca="false">IF(CS25="","",(CL25+ROUNDUP(CL25+MAX(CM25,2*(J25/MAX(0.1,N(Einkauf!$C$6))-CL25)),0))/2)</f>
        <v>6</v>
      </c>
      <c r="CW25" s="62" t="n">
        <f aca="false">IF(CS25="","",MAX(0,H25-CV25)*G25)</f>
        <v>9804.36</v>
      </c>
      <c r="CX25" s="62" t="n">
        <f aca="false">IF(CS25="","",CS25*MAX(0,1-CV25/H25))</f>
        <v>76.195856873823</v>
      </c>
      <c r="CY25" s="64" t="n">
        <f aca="false">IF(CS25="","",PERCENTRANK($CS$7:$CS$1843,CS25)+PERCENTRANK($CU$7:$CU$1843,CU25)+1-PERCENTRANK($CT$7:$CT$1843,CT25))</f>
        <v>2.106</v>
      </c>
      <c r="CZ25" s="72" t="n">
        <f aca="false">IF(CS25="","",CHOOSE(MATCH(Einkauf!$C$5,Parameter!$G$23:$G$27,0),CY25,CS25,CU25,-CT25,CW25)+ROW()/1000000000)</f>
        <v>2.106000025</v>
      </c>
    </row>
    <row r="26" customFormat="false" ht="15" hidden="false" customHeight="false" outlineLevel="0" collapsed="false">
      <c r="A26" s="60" t="s">
        <v>263</v>
      </c>
      <c r="B26" s="60" t="s">
        <v>264</v>
      </c>
      <c r="C26" s="60" t="s">
        <v>206</v>
      </c>
      <c r="D26" s="60" t="s">
        <v>215</v>
      </c>
      <c r="E26" s="60" t="s">
        <v>215</v>
      </c>
      <c r="F26" s="60" t="s">
        <v>260</v>
      </c>
      <c r="G26" s="61" t="n">
        <v>120.44</v>
      </c>
      <c r="H26" s="62" t="n">
        <f aca="false">MAX(0,IF(AND(Parameter!$B$21="Ja",ISNUMBER(Y26)),Y26,IF(Parameter!$B$20="Jahresanfang 2025 + Export",BS26+BR26,BR26)))</f>
        <v>167</v>
      </c>
      <c r="I26" s="62" t="n">
        <f aca="false">H26*G26</f>
        <v>20113.48</v>
      </c>
      <c r="J26" s="62" t="n">
        <f aca="false">BU26*Parameter!$B$18</f>
        <v>62</v>
      </c>
      <c r="K26" s="63" t="n">
        <v>32.5</v>
      </c>
      <c r="L26" s="64" t="n">
        <v>1.90769230769231</v>
      </c>
      <c r="M26" s="62" t="n">
        <v>4</v>
      </c>
      <c r="N26" s="62" t="n">
        <v>35</v>
      </c>
      <c r="O26" s="65" t="n">
        <v>21</v>
      </c>
      <c r="P26" s="60" t="s">
        <v>265</v>
      </c>
      <c r="Q26" s="62" t="n">
        <v>31</v>
      </c>
      <c r="R26" s="65" t="n">
        <f aca="false">IF(CA26=1,0,IFERROR(VLOOKUP(BY26,'Gebinde-Kategorie'!$A$5:$N$45,13,0)+0,0))</f>
        <v>4</v>
      </c>
      <c r="S26" s="66"/>
      <c r="T26" s="67"/>
      <c r="U26" s="67"/>
      <c r="V26" s="67"/>
      <c r="W26" s="60"/>
      <c r="X26" s="62"/>
      <c r="Y26" s="62"/>
      <c r="Z26" s="60"/>
      <c r="AA26" s="60" t="str">
        <f aca="false">IF(A26="","",IF(AND(Parameter!$B$21="Ja",ISNUMBER(W26)),W26,IF(AND(Parameter!$E$27="Ja",ISNUMBER(Z26),CD26&lt;&gt;"Nein"),Z26,IF(CD26="2+3",IF(ISNUMBER(SEARCH("grosser Artikel",BV26)),2,IFERROR(VLOOKUP(BY26,Parameter!$F$35:$G$64,2,0),2)),IF(OR(CD26="Nein",CD26=""),"-",CD26)))))</f>
        <v>-</v>
      </c>
      <c r="AB26" s="67"/>
      <c r="AC26" s="68"/>
      <c r="AD26" s="62" t="n">
        <f aca="false">AW26</f>
        <v>39</v>
      </c>
      <c r="AE26" s="62" t="n">
        <f aca="false">MAX(AW26,H26)</f>
        <v>167</v>
      </c>
      <c r="AF26" s="69"/>
      <c r="AG26" s="62" t="n">
        <f aca="false">IF(LEFT(Cockpit!$C$5,1)="A",H26,IF(Parameter!$E$30="MAX-Bestand",IF(CI26=1,CJ26,IF(LEFT(Cockpit!$C$5,1)="B",AM26,MAX(AM26,H26))),ROUNDUP(AK26,0)))</f>
        <v>167</v>
      </c>
      <c r="AH26" s="62" t="n">
        <f aca="false">IF(CA26=1,0,ROUNDUP(AG26/BZ26,0))</f>
        <v>6</v>
      </c>
      <c r="AI26" s="64" t="n">
        <f aca="false">IF(CR26&gt;0,CR26*MAX(1,AG26/X26),IF(CA26=1,IF(AG26&lt;=0,0,CE26*MAX(1,IF(H26&gt;0,AG26/H26,1))),IF(R26&gt;0,AH26/R26,0))/MAX(0.1,N(Parameter!$M$21)))</f>
        <v>1.5</v>
      </c>
      <c r="AJ26" s="62" t="n">
        <f aca="false">AI26*CC26</f>
        <v>352.5</v>
      </c>
      <c r="AK26" s="63" t="n">
        <f aca="false">IF(LEFT(Cockpit!$C$5,1)="A",H26,IF(CI26=1,(CL26+CJ26)/2,IF(LEFT(Cockpit!$C$5,1)="B",(CL26+AM26)/2,MAX((CL26+AM26)/2,H26))))</f>
        <v>167</v>
      </c>
      <c r="AL26" s="62" t="n">
        <f aca="false">AK26*G26</f>
        <v>20113.48</v>
      </c>
      <c r="AM26" s="62" t="n">
        <f aca="false">ROUNDUP(CL26+MAX(CM26,2*(J26/IF(CH26&gt;0,CH26,MAX(0.1,N(Cockpit!$C$6)))-CL26)),0)</f>
        <v>39</v>
      </c>
      <c r="AN26" s="63" t="n">
        <f aca="false">IF(AJ26&gt;0,J26/AJ26,-1)</f>
        <v>0.175886524822695</v>
      </c>
      <c r="AO26" s="63" t="str">
        <f aca="false">IF(AND(OR(CG26="L1",CG26="L23",CG26="LIFT"),AJ26&gt;0),SUMIFS($AJ$7:$AJ$1843,$CG$7:$CG$1843,CG26,$AN$7:$AN$1843,"&gt;"&amp;AN26)+SUMIFS($AJ$7:$AJ$1843,$CG$7:$CG$1843,CG26,$AN$7:$AN$1843,AN26,$BX$7:$BX$1843,"&lt;="&amp;BX26),"")</f>
        <v/>
      </c>
      <c r="AP26" s="70" t="n">
        <f aca="false">IF(AO26="",0,MAX(0,MIN(1,(IF(CG26="L1",Parameter!$H$5,IF(CG26="L23",Parameter!$H$6+Parameter!$H$7,Parameter!$H$5+Parameter!$H$6+Parameter!$H$7))-(AO26-AJ26))/AJ26)))</f>
        <v>0</v>
      </c>
      <c r="AQ26" s="62" t="n">
        <f aca="false">IF(LEFT(Cockpit!$I$5,1)="A",H26,IF(Parameter!$E$30="MAX-Bestand",IF(CI26=1,CJ26,IF(LEFT(Cockpit!$I$5,1)="B",AW26,MAX(AW26,H26))),ROUNDUP(AU26,0)))</f>
        <v>167</v>
      </c>
      <c r="AR26" s="62" t="n">
        <f aca="false">IF(CA26=1,0,ROUNDUP(AQ26/BZ26,0))</f>
        <v>6</v>
      </c>
      <c r="AS26" s="64" t="n">
        <f aca="false">IF(CR26&gt;0,CR26*MAX(1,AQ26/X26),IF(CA26=1,IF(AQ26&lt;=0,0,CE26*MAX(1,IF(H26&gt;0,AQ26/H26,1))),IF(R26&gt;0,AR26/R26,0))/MAX(0.1,N(Parameter!$M$21)))</f>
        <v>1.5</v>
      </c>
      <c r="AT26" s="62" t="n">
        <f aca="false">AS26*CC26</f>
        <v>352.5</v>
      </c>
      <c r="AU26" s="63" t="n">
        <f aca="false">IF(LEFT(Cockpit!$I$5,1)="A",H26,IF(CI26=1,(CL26+CJ26)/2,IF(LEFT(Cockpit!$I$5,1)="B",(CL26+AW26)/2,MAX((CL26+AW26)/2,H26))))</f>
        <v>167</v>
      </c>
      <c r="AV26" s="62" t="n">
        <f aca="false">AU26*G26</f>
        <v>20113.48</v>
      </c>
      <c r="AW26" s="62" t="n">
        <f aca="false">ROUNDUP(CL26+MAX(CM26,2*(J26/IF(CH26&gt;0,CH26,MAX(0.1,N(Cockpit!$I$6)))-CL26)),0)</f>
        <v>39</v>
      </c>
      <c r="AX26" s="63" t="n">
        <f aca="false">IF(AT26&gt;0,J26/AT26,-1)</f>
        <v>0.175886524822695</v>
      </c>
      <c r="AY26" s="63" t="str">
        <f aca="false">IF(AND(OR(CG26="L1",CG26="L23",CG26="LIFT"),AT26&gt;0),SUMIFS($AT$7:$AT$1843,$CG$7:$CG$1843,CG26,$AX$7:$AX$1843,"&gt;"&amp;AX26)+SUMIFS($AT$7:$AT$1843,$CG$7:$CG$1843,CG26,$AX$7:$AX$1843,AX26,$BX$7:$BX$1843,"&lt;="&amp;BX26),"")</f>
        <v/>
      </c>
      <c r="AZ26" s="70" t="n">
        <f aca="false">IF(AY26="",0,MAX(0,MIN(1,(IF(CG26="L1",Parameter!$H$5,IF(CG26="L23",Parameter!$H$6+Parameter!$H$7,Parameter!$H$5+Parameter!$H$6+Parameter!$H$7))-(AY26-AT26))/AT26)))</f>
        <v>0</v>
      </c>
      <c r="BA26" s="62" t="n">
        <f aca="false">IF(LEFT(Cockpit!$O$5,1)="A",H26,IF(Parameter!$E$30="MAX-Bestand",IF(CI26=1,CJ26,IF(LEFT(Cockpit!$O$5,1)="B",BG26,MAX(BG26,H26))),ROUNDUP(BE26,0)))</f>
        <v>22</v>
      </c>
      <c r="BB26" s="62" t="n">
        <f aca="false">IF(CA26=1,0,ROUNDUP(BA26/BZ26,0))</f>
        <v>1</v>
      </c>
      <c r="BC26" s="64" t="n">
        <f aca="false">IF(CR26&gt;0,CR26*MAX(1,BA26/X26),IF(CA26=1,IF(BA26&lt;=0,0,CE26*MAX(1,IF(H26&gt;0,BA26/H26,1))),IF(R26&gt;0,BB26/R26,0))/MAX(0.1,N(Parameter!$M$21)))</f>
        <v>0.25</v>
      </c>
      <c r="BD26" s="62" t="n">
        <f aca="false">BC26*CC26</f>
        <v>58.75</v>
      </c>
      <c r="BE26" s="63" t="n">
        <f aca="false">IF(LEFT(Cockpit!$O$5,1)="A",H26,IF(CI26=1,(CL26+CJ26)/2,IF(LEFT(Cockpit!$O$5,1)="B",(CL26+BG26)/2,MAX((CL26+BG26)/2,H26))))</f>
        <v>21.5</v>
      </c>
      <c r="BF26" s="62" t="n">
        <f aca="false">BE26*G26</f>
        <v>2589.46</v>
      </c>
      <c r="BG26" s="62" t="n">
        <f aca="false">ROUNDUP(CL26+MAX(CM26,2*(J26/IF(CH26&gt;0,CH26,MAX(0.1,N(Cockpit!$O$6)))-CL26)),0)</f>
        <v>39</v>
      </c>
      <c r="BH26" s="63" t="n">
        <f aca="false">IF(BD26&gt;0,J26/BD26,-1)</f>
        <v>1.05531914893617</v>
      </c>
      <c r="BI26" s="63" t="str">
        <f aca="false">IF(AND(OR(CG26="L1",CG26="L23",CG26="LIFT"),BD26&gt;0),SUMIFS($BD$7:$BD$1843,$CG$7:$CG$1843,CG26,$BH$7:$BH$1843,"&gt;"&amp;BH26)+SUMIFS($BD$7:$BD$1843,$CG$7:$CG$1843,CG26,$BH$7:$BH$1843,BH26,$BX$7:$BX$1843,"&lt;="&amp;BX26),"")</f>
        <v/>
      </c>
      <c r="BJ26" s="70" t="n">
        <f aca="false">IF(BI26="",0,MAX(0,MIN(1,(IF(CG26="L1",Parameter!$H$5,IF(CG26="L23",Parameter!$H$6+Parameter!$H$7,Parameter!$H$5+Parameter!$H$6+Parameter!$H$7))-(BI26-BD26))/BD26)))</f>
        <v>0</v>
      </c>
      <c r="BK26" s="60" t="str">
        <f aca="false">IF(AJ26&lt;=0,"",IF(CG26="Aussen","Aussenlager",IF(CG26="-","Nicht im Lift",IF(AP26&gt;=1,"Lift",IF(AP26&lt;=0,"Aussenlager","teilweise")))))</f>
        <v>Nicht im Lift</v>
      </c>
      <c r="BL26" s="60" t="str">
        <f aca="false">IF(AT26&lt;=0,"",IF(CG26="Aussen","Aussenlager",IF(CG26="-","Nicht im Lift",IF(AZ26&gt;=1,"Lift",IF(AZ26&lt;=0,"Aussenlager","teilweise")))))</f>
        <v>Nicht im Lift</v>
      </c>
      <c r="BM26" s="60" t="str">
        <f aca="false">IF(BD26&lt;=0,"",IF(CG26="Aussen","Aussenlager",IF(CG26="-","Nicht im Lift",IF(BJ26&gt;=1,"Lift",IF(BJ26&lt;=0,"Aussenlager","teilweise")))))</f>
        <v>Nicht im Lift</v>
      </c>
      <c r="BN26" s="60" t="str">
        <f aca="false">IF(A26="","",IF(BW26=1,"Neu; ","")&amp;IF(AND(BW26=0,BR26&lt;0),"negativer Bestand (Export "&amp;BR26&amp;"); ","")&amp;IF(J26&lt;=0,"Kein Verbrauch; ","")&amp;IF(CR26&gt;0,"Lift "&amp;W26&amp;" lt. Liftbericht (Fach "&amp;X26&amp;" Stk); ",IF(CB26=1,"Gebinde geschätzt ("&amp;T26&amp;"); ",IF(CA26=1,"Lose – Tablare geschätzt; ","")))&amp;IF(H26&gt;AW26,"Überbestand "&amp;ROUND(H26-AW26,0)&amp;" Stk / CHF "&amp;ROUND((H26-AW26)*G26,0)&amp;"; ","")&amp;IF(AND(CI26=1,CJ26&lt;CK26),"MAX &lt; MB+LG; ","")&amp;IF(AND(CQ26&gt;0,CP26*10&gt;CQ26),"zu hoch für Tablar; ","")&amp;IF(AND(BW26=0,OR(CI26=1,AB26&lt;&gt;"",U26&lt;&gt;"",V26&lt;&gt;"",AC26&lt;&gt;"")),"manuell übersteuert; ","")&amp;IF(AND(CA26=0,R26=0),"Gebinde unbekannt / Stellmass fehlt; ","")&amp;IF(AND(CA26=0,N(V26)&lt;=0,N(Q26)&lt;=0),"Menge pro Gebinde fehlt (Ist = 1 Gebinde); ","")&amp;BV26)</f>
        <v>Überbestand 128 Stk / CHF 15416; </v>
      </c>
      <c r="BO26" s="60" t="s">
        <v>253</v>
      </c>
      <c r="BP26" s="60"/>
      <c r="BQ26" s="67"/>
      <c r="BR26" s="62" t="n">
        <v>137</v>
      </c>
      <c r="BS26" s="62" t="n">
        <v>30</v>
      </c>
      <c r="BT26" s="61" t="n">
        <v>15460.06</v>
      </c>
      <c r="BU26" s="62" t="n">
        <v>62</v>
      </c>
      <c r="BV26" s="60"/>
      <c r="BW26" s="65" t="n">
        <v>0</v>
      </c>
      <c r="BX26" s="65" t="n">
        <v>26</v>
      </c>
      <c r="BY26" s="60" t="str">
        <f aca="false">IF(U26&lt;&gt;"",UPPER(TRIM(U26)),IF(CB26=1,UPPER(VLOOKUP(T26,Parameter!$I$27:$K$29,2,0)),IF(P26="","LOSE",P26)))</f>
        <v>S81</v>
      </c>
      <c r="BZ26" s="62" t="n">
        <f aca="false">IF(BY26="LOSE",1,IF(N(V26)&gt;0,V26,IF(CB26=1,MAX(1,N(VLOOKUP(T26,Parameter!$I$27:$K$29,3,0)),H26,N(N26)),IF(N(Q26)&gt;0,Q26,MAX(1,H26)))))</f>
        <v>31</v>
      </c>
      <c r="CA26" s="65" t="n">
        <f aca="false">IF(BY26="LOSE",1,0)</f>
        <v>0</v>
      </c>
      <c r="CB26" s="65" t="n">
        <f aca="false">IF(AND(U26="",OR(P26="",P26="LOSE"),T26&lt;&gt;"",N(S26)&lt;=0,ISNUMBER(MATCH(T26,Parameter!$I$27:$I$29,0))),1,0)</f>
        <v>0</v>
      </c>
      <c r="CC26" s="65" t="n">
        <f aca="false">IF(CR26&gt;0,INDEX(Parameter!$H$5:$H$7,W26)/INDEX(Parameter!$E$5:$E$7,W26),IF(AND(CA26=0,N(IFERROR(VLOOKUP(BY26,'Gebinde-Kategorie'!$A$5:$N$45,14,0),0))&gt;0),VLOOKUP(BY26,'Gebinde-Kategorie'!$A$5:$N$45,14,0)*10+Parameter!$M$23,Parameter!$M$24))</f>
        <v>235</v>
      </c>
      <c r="CD26" s="60" t="str">
        <f aca="false">IF(AND(Parameter!$B$19="Ja",E26&lt;&gt;"",ISNUMBER(MATCH(E26,Parameter!$I$35:$I$52,0))),VLOOKUP(E26,Parameter!$I$35:$J$52,2,0),IFERROR(VLOOKUP(D26,Parameter!$A$35:$C$64,2,0),"Nein"))</f>
        <v>Nein</v>
      </c>
      <c r="CE26" s="64" t="n">
        <f aca="false">IF(CA26=0,0,IF(N(S26)&gt;0,S26,IFERROR(VLOOKUP(D26,Parameter!$A$35:$C$64,3,0)+0,0)))</f>
        <v>0</v>
      </c>
      <c r="CF26" s="60" t="str">
        <f aca="false">IF(AB26&lt;&gt;"",AB26,AA26)</f>
        <v>-</v>
      </c>
      <c r="CG26" s="60" t="str">
        <f aca="false">IF(OR(CF26=1,CF26=2,CF26=3),IF(Parameter!$E$27="Ja","LIFT",IF(CF26=1,"L1","L23")),IF(CF26="Aussen","Aussen","-"))</f>
        <v>-</v>
      </c>
      <c r="CH26" s="71" t="n">
        <f aca="false">IF(N(AC26)&gt;0,AC26,0)</f>
        <v>0</v>
      </c>
      <c r="CI26" s="65" t="n">
        <f aca="false">IF(ISNUMBER(AF26),1,0)</f>
        <v>0</v>
      </c>
      <c r="CJ26" s="62" t="n">
        <f aca="false">N(AF26)</f>
        <v>0</v>
      </c>
      <c r="CK26" s="62" t="n">
        <f aca="false">N(M26)+N(N26)</f>
        <v>39</v>
      </c>
      <c r="CL26" s="62" t="n">
        <f aca="false">N(M26)</f>
        <v>4</v>
      </c>
      <c r="CM26" s="62" t="n">
        <f aca="false">N(N26)</f>
        <v>35</v>
      </c>
      <c r="CN26" s="62" t="n">
        <f aca="false">ROUNDUP(H26/BZ26,0)</f>
        <v>6</v>
      </c>
      <c r="CO26" s="62" t="n">
        <f aca="false">ROUNDUP(CJ26/BZ26,0)</f>
        <v>0</v>
      </c>
      <c r="CP26" s="65" t="n">
        <f aca="false">IF(CA26=1,0,IFERROR(VLOOKUP(BY26,'Gebinde-Kategorie'!$A$5:$N$45,5,0)+0,0))</f>
        <v>20</v>
      </c>
      <c r="CQ26" s="65" t="n">
        <f aca="false">IFERROR(IF(OR(CF26=1,CF26=2,CF26=3),N(INDEX(Parameter!$I$5:$I$7,CF26)),0),0)</f>
        <v>0</v>
      </c>
      <c r="CR26" s="64" t="n">
        <f aca="false">IF(AND(Parameter!$B$21="Ja",ISNUMBER(W26),N(X26)&gt;0),IFERROR(N(INDEX(Parameter!$L$5:$L$7,W26))*INDEX(Parameter!$E$5:$E$7,W26)*X26/SUMIFS($X$7:$X$1843,$W$7:$W$1843,W26),0),0)</f>
        <v>0</v>
      </c>
      <c r="CS26" s="62" t="str">
        <f aca="false">IF(AND(OR(CG26="L1",CG26="L23",CG26="LIFT"),H26&gt;0),CC26*IF(CR26&gt;0,CR26*MAX(1,H26/X26),IF(CA26=1,CE26,IF(R26&gt;0,CN26/R26,0))/MAX(0.1,N(Parameter!$M$21))),"")</f>
        <v/>
      </c>
      <c r="CT26" s="64" t="str">
        <f aca="false">IF(CS26="","",J26/H26)</f>
        <v/>
      </c>
      <c r="CU26" s="62" t="str">
        <f aca="false">IF(CS26="","",H26*G26)</f>
        <v/>
      </c>
      <c r="CV26" s="63" t="str">
        <f aca="false">IF(CS26="","",(CL26+ROUNDUP(CL26+MAX(CM26,2*(J26/MAX(0.1,N(Einkauf!$C$6))-CL26)),0))/2)</f>
        <v/>
      </c>
      <c r="CW26" s="62" t="str">
        <f aca="false">IF(CS26="","",MAX(0,H26-CV26)*G26)</f>
        <v/>
      </c>
      <c r="CX26" s="62" t="str">
        <f aca="false">IF(CS26="","",CS26*MAX(0,1-CV26/H26))</f>
        <v/>
      </c>
      <c r="CY26" s="64" t="str">
        <f aca="false">IF(CS26="","",PERCENTRANK($CS$7:$CS$1843,CS26)+PERCENTRANK($CU$7:$CU$1843,CU26)+1-PERCENTRANK($CT$7:$CT$1843,CT26))</f>
        <v/>
      </c>
      <c r="CZ26" s="72" t="str">
        <f aca="false">IF(CS26="","",CHOOSE(MATCH(Einkauf!$C$5,Parameter!$G$23:$G$27,0),CY26,CS26,CU26,-CT26,CW26)+ROW()/1000000000)</f>
        <v/>
      </c>
    </row>
    <row r="27" customFormat="false" ht="15" hidden="false" customHeight="false" outlineLevel="0" collapsed="false">
      <c r="A27" s="60" t="s">
        <v>266</v>
      </c>
      <c r="B27" s="60" t="s">
        <v>267</v>
      </c>
      <c r="C27" s="60" t="s">
        <v>206</v>
      </c>
      <c r="D27" s="60" t="s">
        <v>226</v>
      </c>
      <c r="E27" s="60" t="s">
        <v>227</v>
      </c>
      <c r="F27" s="60" t="s">
        <v>260</v>
      </c>
      <c r="G27" s="61" t="n">
        <v>177.9</v>
      </c>
      <c r="H27" s="62" t="n">
        <f aca="false">MAX(0,IF(AND(Parameter!$B$21="Ja",ISNUMBER(Y27)),Y27,IF(Parameter!$B$20="Jahresanfang 2025 + Export",BS27+BR27,BR27)))</f>
        <v>115</v>
      </c>
      <c r="I27" s="62" t="n">
        <f aca="false">H27*G27</f>
        <v>20458.5</v>
      </c>
      <c r="J27" s="62" t="n">
        <f aca="false">BU27*Parameter!$B$18</f>
        <v>401</v>
      </c>
      <c r="K27" s="63" t="n">
        <v>80.5</v>
      </c>
      <c r="L27" s="64" t="n">
        <v>4.98136645962733</v>
      </c>
      <c r="M27" s="62" t="n">
        <v>23</v>
      </c>
      <c r="N27" s="62" t="n">
        <v>100</v>
      </c>
      <c r="O27" s="65" t="n">
        <v>21</v>
      </c>
      <c r="P27" s="60" t="s">
        <v>268</v>
      </c>
      <c r="Q27" s="62" t="n">
        <v>204</v>
      </c>
      <c r="R27" s="65" t="n">
        <f aca="false">IF(CA27=1,0,IFERROR(VLOOKUP(BY27,'Gebinde-Kategorie'!$A$5:$N$45,13,0)+0,0))</f>
        <v>12</v>
      </c>
      <c r="S27" s="66"/>
      <c r="T27" s="67"/>
      <c r="U27" s="67"/>
      <c r="V27" s="67"/>
      <c r="W27" s="60"/>
      <c r="X27" s="62"/>
      <c r="Y27" s="62"/>
      <c r="Z27" s="60" t="n">
        <v>3</v>
      </c>
      <c r="AA27" s="60" t="n">
        <f aca="false">IF(A27="","",IF(AND(Parameter!$B$21="Ja",ISNUMBER(W27)),W27,IF(AND(Parameter!$E$27="Ja",ISNUMBER(Z27),CD27&lt;&gt;"Nein"),Z27,IF(CD27="2+3",IF(ISNUMBER(SEARCH("grosser Artikel",BV27)),2,IFERROR(VLOOKUP(BY27,Parameter!$F$35:$G$64,2,0),2)),IF(OR(CD27="Nein",CD27=""),"-",CD27)))))</f>
        <v>3</v>
      </c>
      <c r="AB27" s="67"/>
      <c r="AC27" s="68"/>
      <c r="AD27" s="62" t="n">
        <f aca="false">AW27</f>
        <v>245</v>
      </c>
      <c r="AE27" s="62" t="n">
        <f aca="false">MAX(AW27,H27)</f>
        <v>245</v>
      </c>
      <c r="AF27" s="69"/>
      <c r="AG27" s="62" t="n">
        <f aca="false">IF(LEFT(Cockpit!$C$5,1)="A",H27,IF(Parameter!$E$30="MAX-Bestand",IF(CI27=1,CJ27,IF(LEFT(Cockpit!$C$5,1)="B",AM27,MAX(AM27,H27))),ROUNDUP(AK27,0)))</f>
        <v>115</v>
      </c>
      <c r="AH27" s="62" t="n">
        <f aca="false">IF(CA27=1,0,ROUNDUP(AG27/BZ27,0))</f>
        <v>1</v>
      </c>
      <c r="AI27" s="64" t="n">
        <f aca="false">IF(CR27&gt;0,CR27*MAX(1,AG27/X27),IF(CA27=1,IF(AG27&lt;=0,0,CE27*MAX(1,IF(H27&gt;0,AG27/H27,1))),IF(R27&gt;0,AH27/R27,0))/MAX(0.1,N(Parameter!$M$21)))</f>
        <v>0.0833333333333333</v>
      </c>
      <c r="AJ27" s="62" t="n">
        <f aca="false">AI27*CC27</f>
        <v>28.75</v>
      </c>
      <c r="AK27" s="63" t="n">
        <f aca="false">IF(LEFT(Cockpit!$C$5,1)="A",H27,IF(CI27=1,(CL27+CJ27)/2,IF(LEFT(Cockpit!$C$5,1)="B",(CL27+AM27)/2,MAX((CL27+AM27)/2,H27))))</f>
        <v>115</v>
      </c>
      <c r="AL27" s="62" t="n">
        <f aca="false">AK27*G27</f>
        <v>20458.5</v>
      </c>
      <c r="AM27" s="62" t="n">
        <f aca="false">ROUNDUP(CL27+MAX(CM27,2*(J27/IF(CH27&gt;0,CH27,MAX(0.1,N(Cockpit!$C$6)))-CL27)),0)</f>
        <v>245</v>
      </c>
      <c r="AN27" s="63" t="n">
        <f aca="false">IF(AJ27&gt;0,J27/AJ27,-1)</f>
        <v>13.9478260869565</v>
      </c>
      <c r="AO27" s="63" t="n">
        <f aca="false">IF(AND(OR(CG27="L1",CG27="L23",CG27="LIFT"),AJ27&gt;0),SUMIFS($AJ$7:$AJ$1843,$CG$7:$CG$1843,CG27,$AN$7:$AN$1843,"&gt;"&amp;AN27)+SUMIFS($AJ$7:$AJ$1843,$CG$7:$CG$1843,CG27,$AN$7:$AN$1843,AN27,$BX$7:$BX$1843,"&lt;="&amp;BX27),"")</f>
        <v>2172.09340659341</v>
      </c>
      <c r="AP27" s="70" t="n">
        <f aca="false">IF(AO27="",0,MAX(0,MIN(1,(IF(CG27="L1",Parameter!$H$5,IF(CG27="L23",Parameter!$H$6+Parameter!$H$7,Parameter!$H$5+Parameter!$H$6+Parameter!$H$7))-(AO27-AJ27))/AJ27)))</f>
        <v>1</v>
      </c>
      <c r="AQ27" s="62" t="n">
        <f aca="false">IF(LEFT(Cockpit!$I$5,1)="A",H27,IF(Parameter!$E$30="MAX-Bestand",IF(CI27=1,CJ27,IF(LEFT(Cockpit!$I$5,1)="B",AW27,MAX(AW27,H27))),ROUNDUP(AU27,0)))</f>
        <v>134</v>
      </c>
      <c r="AR27" s="62" t="n">
        <f aca="false">IF(CA27=1,0,ROUNDUP(AQ27/BZ27,0))</f>
        <v>1</v>
      </c>
      <c r="AS27" s="64" t="n">
        <f aca="false">IF(CR27&gt;0,CR27*MAX(1,AQ27/X27),IF(CA27=1,IF(AQ27&lt;=0,0,CE27*MAX(1,IF(H27&gt;0,AQ27/H27,1))),IF(R27&gt;0,AR27/R27,0))/MAX(0.1,N(Parameter!$M$21)))</f>
        <v>0.0833333333333333</v>
      </c>
      <c r="AT27" s="62" t="n">
        <f aca="false">AS27*CC27</f>
        <v>28.75</v>
      </c>
      <c r="AU27" s="63" t="n">
        <f aca="false">IF(LEFT(Cockpit!$I$5,1)="A",H27,IF(CI27=1,(CL27+CJ27)/2,IF(LEFT(Cockpit!$I$5,1)="B",(CL27+AW27)/2,MAX((CL27+AW27)/2,H27))))</f>
        <v>134</v>
      </c>
      <c r="AV27" s="62" t="n">
        <f aca="false">AU27*G27</f>
        <v>23838.6</v>
      </c>
      <c r="AW27" s="62" t="n">
        <f aca="false">ROUNDUP(CL27+MAX(CM27,2*(J27/IF(CH27&gt;0,CH27,MAX(0.1,N(Cockpit!$I$6)))-CL27)),0)</f>
        <v>245</v>
      </c>
      <c r="AX27" s="63" t="n">
        <f aca="false">IF(AT27&gt;0,J27/AT27,-1)</f>
        <v>13.9478260869565</v>
      </c>
      <c r="AY27" s="63" t="n">
        <f aca="false">IF(AND(OR(CG27="L1",CG27="L23",CG27="LIFT"),AT27&gt;0),SUMIFS($AT$7:$AT$1843,$CG$7:$CG$1843,CG27,$AX$7:$AX$1843,"&gt;"&amp;AX27)+SUMIFS($AT$7:$AT$1843,$CG$7:$CG$1843,CG27,$AX$7:$AX$1843,AX27,$BX$7:$BX$1843,"&lt;="&amp;BX27),"")</f>
        <v>2791.28021978022</v>
      </c>
      <c r="AZ27" s="70" t="n">
        <f aca="false">IF(AY27="",0,MAX(0,MIN(1,(IF(CG27="L1",Parameter!$H$5,IF(CG27="L23",Parameter!$H$6+Parameter!$H$7,Parameter!$H$5+Parameter!$H$6+Parameter!$H$7))-(AY27-AT27))/AT27)))</f>
        <v>1</v>
      </c>
      <c r="BA27" s="62" t="n">
        <f aca="false">IF(LEFT(Cockpit!$O$5,1)="A",H27,IF(Parameter!$E$30="MAX-Bestand",IF(CI27=1,CJ27,IF(LEFT(Cockpit!$O$5,1)="B",BG27,MAX(BG27,H27))),ROUNDUP(BE27,0)))</f>
        <v>101</v>
      </c>
      <c r="BB27" s="62" t="n">
        <f aca="false">IF(CA27=1,0,ROUNDUP(BA27/BZ27,0))</f>
        <v>1</v>
      </c>
      <c r="BC27" s="64" t="n">
        <f aca="false">IF(CR27&gt;0,CR27*MAX(1,BA27/X27),IF(CA27=1,IF(BA27&lt;=0,0,CE27*MAX(1,IF(H27&gt;0,BA27/H27,1))),IF(R27&gt;0,BB27/R27,0))/MAX(0.1,N(Parameter!$M$21)))</f>
        <v>0.0833333333333333</v>
      </c>
      <c r="BD27" s="62" t="n">
        <f aca="false">BC27*CC27</f>
        <v>28.75</v>
      </c>
      <c r="BE27" s="63" t="n">
        <f aca="false">IF(LEFT(Cockpit!$O$5,1)="A",H27,IF(CI27=1,(CL27+CJ27)/2,IF(LEFT(Cockpit!$O$5,1)="B",(CL27+BG27)/2,MAX((CL27+BG27)/2,H27))))</f>
        <v>100.5</v>
      </c>
      <c r="BF27" s="62" t="n">
        <f aca="false">BE27*G27</f>
        <v>17878.95</v>
      </c>
      <c r="BG27" s="62" t="n">
        <f aca="false">ROUNDUP(CL27+MAX(CM27,2*(J27/IF(CH27&gt;0,CH27,MAX(0.1,N(Cockpit!$O$6)))-CL27)),0)</f>
        <v>178</v>
      </c>
      <c r="BH27" s="63" t="n">
        <f aca="false">IF(BD27&gt;0,J27/BD27,-1)</f>
        <v>13.9478260869565</v>
      </c>
      <c r="BI27" s="63" t="n">
        <f aca="false">IF(AND(OR(CG27="L1",CG27="L23",CG27="LIFT"),BD27&gt;0),SUMIFS($BD$7:$BD$1843,$CG$7:$CG$1843,CG27,$BH$7:$BH$1843,"&gt;"&amp;BH27)+SUMIFS($BD$7:$BD$1843,$CG$7:$CG$1843,CG27,$BH$7:$BH$1843,BH27,$BX$7:$BX$1843,"&lt;="&amp;BX27),"")</f>
        <v>2459.96703296703</v>
      </c>
      <c r="BJ27" s="70" t="n">
        <f aca="false">IF(BI27="",0,MAX(0,MIN(1,(IF(CG27="L1",Parameter!$H$5,IF(CG27="L23",Parameter!$H$6+Parameter!$H$7,Parameter!$H$5+Parameter!$H$6+Parameter!$H$7))-(BI27-BD27))/BD27)))</f>
        <v>1</v>
      </c>
      <c r="BK27" s="60" t="str">
        <f aca="false">IF(AJ27&lt;=0,"",IF(CG27="Aussen","Aussenlager",IF(CG27="-","Nicht im Lift",IF(AP27&gt;=1,"Lift",IF(AP27&lt;=0,"Aussenlager","teilweise")))))</f>
        <v>Lift</v>
      </c>
      <c r="BL27" s="60" t="str">
        <f aca="false">IF(AT27&lt;=0,"",IF(CG27="Aussen","Aussenlager",IF(CG27="-","Nicht im Lift",IF(AZ27&gt;=1,"Lift",IF(AZ27&lt;=0,"Aussenlager","teilweise")))))</f>
        <v>Lift</v>
      </c>
      <c r="BM27" s="60" t="str">
        <f aca="false">IF(BD27&lt;=0,"",IF(CG27="Aussen","Aussenlager",IF(CG27="-","Nicht im Lift",IF(BJ27&gt;=1,"Lift",IF(BJ27&lt;=0,"Aussenlager","teilweise")))))</f>
        <v>Lift</v>
      </c>
      <c r="BN27" s="60" t="str">
        <f aca="false">IF(A27="","",IF(BW27=1,"Neu; ","")&amp;IF(AND(BW27=0,BR27&lt;0),"negativer Bestand (Export "&amp;BR27&amp;"); ","")&amp;IF(J27&lt;=0,"Kein Verbrauch; ","")&amp;IF(CR27&gt;0,"Lift "&amp;W27&amp;" lt. Liftbericht (Fach "&amp;X27&amp;" Stk); ",IF(CB27=1,"Gebinde geschätzt ("&amp;T27&amp;"); ",IF(CA27=1,"Lose – Tablare geschätzt; ","")))&amp;IF(H27&gt;AW27,"Überbestand "&amp;ROUND(H27-AW27,0)&amp;" Stk / CHF "&amp;ROUND((H27-AW27)*G27,0)&amp;"; ","")&amp;IF(AND(CI27=1,CJ27&lt;CK27),"MAX &lt; MB+LG; ","")&amp;IF(AND(CQ27&gt;0,CP27*10&gt;CQ27),"zu hoch für Tablar; ","")&amp;IF(AND(BW27=0,OR(CI27=1,AB27&lt;&gt;"",U27&lt;&gt;"",V27&lt;&gt;"",AC27&lt;&gt;"")),"manuell übersteuert; ","")&amp;IF(AND(CA27=0,R27=0),"Gebinde unbekannt / Stellmass fehlt; ","")&amp;IF(AND(CA27=0,N(V27)&lt;=0,N(Q27)&lt;=0),"Menge pro Gebinde fehlt (Ist = 1 Gebinde); ","")&amp;BV27)</f>
        <v/>
      </c>
      <c r="BO27" s="60" t="s">
        <v>269</v>
      </c>
      <c r="BP27" s="60"/>
      <c r="BQ27" s="67"/>
      <c r="BR27" s="62" t="n">
        <v>84</v>
      </c>
      <c r="BS27" s="62" t="n">
        <v>31</v>
      </c>
      <c r="BT27" s="61" t="n">
        <v>14939.18</v>
      </c>
      <c r="BU27" s="62" t="n">
        <v>401</v>
      </c>
      <c r="BV27" s="60"/>
      <c r="BW27" s="65" t="n">
        <v>0</v>
      </c>
      <c r="BX27" s="65" t="n">
        <v>27</v>
      </c>
      <c r="BY27" s="60" t="str">
        <f aca="false">IF(U27&lt;&gt;"",UPPER(TRIM(U27)),IF(CB27=1,UPPER(VLOOKUP(T27,Parameter!$I$27:$K$29,2,0)),IF(P27="","LOSE",P27)))</f>
        <v>S63</v>
      </c>
      <c r="BZ27" s="62" t="n">
        <f aca="false">IF(BY27="LOSE",1,IF(N(V27)&gt;0,V27,IF(CB27=1,MAX(1,N(VLOOKUP(T27,Parameter!$I$27:$K$29,3,0)),H27,N(N27)),IF(N(Q27)&gt;0,Q27,MAX(1,H27)))))</f>
        <v>204</v>
      </c>
      <c r="CA27" s="65" t="n">
        <f aca="false">IF(BY27="LOSE",1,0)</f>
        <v>0</v>
      </c>
      <c r="CB27" s="65" t="n">
        <f aca="false">IF(AND(U27="",OR(P27="",P27="LOSE"),T27&lt;&gt;"",N(S27)&lt;=0,ISNUMBER(MATCH(T27,Parameter!$I$27:$I$29,0))),1,0)</f>
        <v>0</v>
      </c>
      <c r="CC27" s="65" t="n">
        <f aca="false">IF(CR27&gt;0,INDEX(Parameter!$H$5:$H$7,W27)/INDEX(Parameter!$E$5:$E$7,W27),IF(AND(CA27=0,N(IFERROR(VLOOKUP(BY27,'Gebinde-Kategorie'!$A$5:$N$45,14,0),0))&gt;0),VLOOKUP(BY27,'Gebinde-Kategorie'!$A$5:$N$45,14,0)*10+Parameter!$M$23,Parameter!$M$24))</f>
        <v>345</v>
      </c>
      <c r="CD27" s="60" t="str">
        <f aca="false">IF(AND(Parameter!$B$19="Ja",E27&lt;&gt;"",ISNUMBER(MATCH(E27,Parameter!$I$35:$I$52,0))),VLOOKUP(E27,Parameter!$I$35:$J$52,2,0),IFERROR(VLOOKUP(D27,Parameter!$A$35:$C$64,2,0),"Nein"))</f>
        <v>2+3</v>
      </c>
      <c r="CE27" s="64" t="n">
        <f aca="false">IF(CA27=0,0,IF(N(S27)&gt;0,S27,IFERROR(VLOOKUP(D27,Parameter!$A$35:$C$64,3,0)+0,0)))</f>
        <v>0</v>
      </c>
      <c r="CF27" s="60" t="n">
        <f aca="false">IF(AB27&lt;&gt;"",AB27,AA27)</f>
        <v>3</v>
      </c>
      <c r="CG27" s="60" t="str">
        <f aca="false">IF(OR(CF27=1,CF27=2,CF27=3),IF(Parameter!$E$27="Ja","LIFT",IF(CF27=1,"L1","L23")),IF(CF27="Aussen","Aussen","-"))</f>
        <v>LIFT</v>
      </c>
      <c r="CH27" s="71" t="n">
        <f aca="false">IF(N(AC27)&gt;0,AC27,0)</f>
        <v>0</v>
      </c>
      <c r="CI27" s="65" t="n">
        <f aca="false">IF(ISNUMBER(AF27),1,0)</f>
        <v>0</v>
      </c>
      <c r="CJ27" s="62" t="n">
        <f aca="false">N(AF27)</f>
        <v>0</v>
      </c>
      <c r="CK27" s="62" t="n">
        <f aca="false">N(M27)+N(N27)</f>
        <v>123</v>
      </c>
      <c r="CL27" s="62" t="n">
        <f aca="false">N(M27)</f>
        <v>23</v>
      </c>
      <c r="CM27" s="62" t="n">
        <f aca="false">N(N27)</f>
        <v>100</v>
      </c>
      <c r="CN27" s="62" t="n">
        <f aca="false">ROUNDUP(H27/BZ27,0)</f>
        <v>1</v>
      </c>
      <c r="CO27" s="62" t="n">
        <f aca="false">ROUNDUP(CJ27/BZ27,0)</f>
        <v>0</v>
      </c>
      <c r="CP27" s="65" t="n">
        <f aca="false">IF(CA27=1,0,IFERROR(VLOOKUP(BY27,'Gebinde-Kategorie'!$A$5:$N$45,5,0)+0,0))</f>
        <v>31</v>
      </c>
      <c r="CQ27" s="65" t="n">
        <f aca="false">IFERROR(IF(OR(CF27=1,CF27=2,CF27=3),N(INDEX(Parameter!$I$5:$I$7,CF27)),0),0)</f>
        <v>0</v>
      </c>
      <c r="CR27" s="64" t="n">
        <f aca="false">IF(AND(Parameter!$B$21="Ja",ISNUMBER(W27),N(X27)&gt;0),IFERROR(N(INDEX(Parameter!$L$5:$L$7,W27))*INDEX(Parameter!$E$5:$E$7,W27)*X27/SUMIFS($X$7:$X$1843,$W$7:$W$1843,W27),0),0)</f>
        <v>0</v>
      </c>
      <c r="CS27" s="62" t="n">
        <f aca="false">IF(AND(OR(CG27="L1",CG27="L23",CG27="LIFT"),H27&gt;0),CC27*IF(CR27&gt;0,CR27*MAX(1,H27/X27),IF(CA27=1,CE27,IF(R27&gt;0,CN27/R27,0))/MAX(0.1,N(Parameter!$M$21))),"")</f>
        <v>28.75</v>
      </c>
      <c r="CT27" s="64" t="n">
        <f aca="false">IF(CS27="","",J27/H27)</f>
        <v>3.48695652173913</v>
      </c>
      <c r="CU27" s="62" t="n">
        <f aca="false">IF(CS27="","",H27*G27)</f>
        <v>20458.5</v>
      </c>
      <c r="CV27" s="63" t="n">
        <f aca="false">IF(CS27="","",(CL27+ROUNDUP(CL27+MAX(CM27,2*(J27/MAX(0.1,N(Einkauf!$C$6))-CL27)),0))/2)</f>
        <v>100.5</v>
      </c>
      <c r="CW27" s="62" t="n">
        <f aca="false">IF(CS27="","",MAX(0,H27-CV27)*G27)</f>
        <v>2579.55</v>
      </c>
      <c r="CX27" s="62" t="n">
        <f aca="false">IF(CS27="","",CS27*MAX(0,1-CV27/H27))</f>
        <v>3.625</v>
      </c>
      <c r="CY27" s="64" t="n">
        <f aca="false">IF(CS27="","",PERCENTRANK($CS$7:$CS$1843,CS27)+PERCENTRANK($CU$7:$CU$1843,CU27)+1-PERCENTRANK($CT$7:$CT$1843,CT27))</f>
        <v>1.893</v>
      </c>
      <c r="CZ27" s="72" t="n">
        <f aca="false">IF(CS27="","",CHOOSE(MATCH(Einkauf!$C$5,Parameter!$G$23:$G$27,0),CY27,CS27,CU27,-CT27,CW27)+ROW()/1000000000)</f>
        <v>1.893000027</v>
      </c>
    </row>
    <row r="28" customFormat="false" ht="15" hidden="false" customHeight="false" outlineLevel="0" collapsed="false">
      <c r="A28" s="60" t="s">
        <v>270</v>
      </c>
      <c r="B28" s="60" t="s">
        <v>271</v>
      </c>
      <c r="C28" s="60" t="s">
        <v>206</v>
      </c>
      <c r="D28" s="60" t="s">
        <v>215</v>
      </c>
      <c r="E28" s="60" t="s">
        <v>227</v>
      </c>
      <c r="F28" s="60" t="s">
        <v>260</v>
      </c>
      <c r="G28" s="61" t="n">
        <v>400.55</v>
      </c>
      <c r="H28" s="62" t="n">
        <f aca="false">MAX(0,IF(AND(Parameter!$B$21="Ja",ISNUMBER(Y28)),Y28,IF(Parameter!$B$20="Jahresanfang 2025 + Export",BS28+BR28,BR28)))</f>
        <v>41</v>
      </c>
      <c r="I28" s="62" t="n">
        <f aca="false">H28*G28</f>
        <v>16422.55</v>
      </c>
      <c r="J28" s="62" t="n">
        <f aca="false">BU28*Parameter!$B$18</f>
        <v>276</v>
      </c>
      <c r="K28" s="63" t="n">
        <v>24.5</v>
      </c>
      <c r="L28" s="64" t="n">
        <v>11.265306122449</v>
      </c>
      <c r="M28" s="62" t="n">
        <v>21</v>
      </c>
      <c r="N28" s="62" t="n">
        <v>35</v>
      </c>
      <c r="O28" s="65" t="n">
        <v>28</v>
      </c>
      <c r="P28" s="60" t="s">
        <v>210</v>
      </c>
      <c r="Q28" s="62"/>
      <c r="R28" s="65" t="n">
        <f aca="false">IF(CA28=1,0,IFERROR(VLOOKUP(BY28,'Gebinde-Kategorie'!$A$5:$N$45,13,0)+0,0))</f>
        <v>12</v>
      </c>
      <c r="S28" s="66"/>
      <c r="T28" s="67" t="s">
        <v>221</v>
      </c>
      <c r="U28" s="67"/>
      <c r="V28" s="67"/>
      <c r="W28" s="60"/>
      <c r="X28" s="62"/>
      <c r="Y28" s="62"/>
      <c r="Z28" s="60" t="n">
        <v>3</v>
      </c>
      <c r="AA28" s="60" t="n">
        <f aca="false">IF(A28="","",IF(AND(Parameter!$B$21="Ja",ISNUMBER(W28)),W28,IF(AND(Parameter!$E$27="Ja",ISNUMBER(Z28),CD28&lt;&gt;"Nein"),Z28,IF(CD28="2+3",IF(ISNUMBER(SEARCH("grosser Artikel",BV28)),2,IFERROR(VLOOKUP(BY28,Parameter!$F$35:$G$64,2,0),2)),IF(OR(CD28="Nein",CD28=""),"-",CD28)))))</f>
        <v>3</v>
      </c>
      <c r="AB28" s="67"/>
      <c r="AC28" s="68"/>
      <c r="AD28" s="62" t="n">
        <f aca="false">AW28</f>
        <v>163</v>
      </c>
      <c r="AE28" s="62" t="n">
        <f aca="false">MAX(AW28,H28)</f>
        <v>163</v>
      </c>
      <c r="AF28" s="69"/>
      <c r="AG28" s="62" t="n">
        <f aca="false">IF(LEFT(Cockpit!$C$5,1)="A",H28,IF(Parameter!$E$30="MAX-Bestand",IF(CI28=1,CJ28,IF(LEFT(Cockpit!$C$5,1)="B",AM28,MAX(AM28,H28))),ROUNDUP(AK28,0)))</f>
        <v>41</v>
      </c>
      <c r="AH28" s="62" t="n">
        <f aca="false">IF(CA28=1,0,ROUNDUP(AG28/BZ28,0))</f>
        <v>1</v>
      </c>
      <c r="AI28" s="64" t="n">
        <f aca="false">IF(CR28&gt;0,CR28*MAX(1,AG28/X28),IF(CA28=1,IF(AG28&lt;=0,0,CE28*MAX(1,IF(H28&gt;0,AG28/H28,1))),IF(R28&gt;0,AH28/R28,0))/MAX(0.1,N(Parameter!$M$21)))</f>
        <v>0.0833333333333333</v>
      </c>
      <c r="AJ28" s="62" t="n">
        <f aca="false">AI28*CC28</f>
        <v>12.0833333333333</v>
      </c>
      <c r="AK28" s="63" t="n">
        <f aca="false">IF(LEFT(Cockpit!$C$5,1)="A",H28,IF(CI28=1,(CL28+CJ28)/2,IF(LEFT(Cockpit!$C$5,1)="B",(CL28+AM28)/2,MAX((CL28+AM28)/2,H28))))</f>
        <v>41</v>
      </c>
      <c r="AL28" s="62" t="n">
        <f aca="false">AK28*G28</f>
        <v>16422.55</v>
      </c>
      <c r="AM28" s="62" t="n">
        <f aca="false">ROUNDUP(CL28+MAX(CM28,2*(J28/IF(CH28&gt;0,CH28,MAX(0.1,N(Cockpit!$C$6)))-CL28)),0)</f>
        <v>163</v>
      </c>
      <c r="AN28" s="63" t="n">
        <f aca="false">IF(AJ28&gt;0,J28/AJ28,-1)</f>
        <v>22.8413793103448</v>
      </c>
      <c r="AO28" s="63" t="n">
        <f aca="false">IF(AND(OR(CG28="L1",CG28="L23",CG28="LIFT"),AJ28&gt;0),SUMIFS($AJ$7:$AJ$1843,$CG$7:$CG$1843,CG28,$AN$7:$AN$1843,"&gt;"&amp;AN28)+SUMIFS($AJ$7:$AJ$1843,$CG$7:$CG$1843,CG28,$AN$7:$AN$1843,AN28,$BX$7:$BX$1843,"&lt;="&amp;BX28),"")</f>
        <v>1601.49084249084</v>
      </c>
      <c r="AP28" s="70" t="n">
        <f aca="false">IF(AO28="",0,MAX(0,MIN(1,(IF(CG28="L1",Parameter!$H$5,IF(CG28="L23",Parameter!$H$6+Parameter!$H$7,Parameter!$H$5+Parameter!$H$6+Parameter!$H$7))-(AO28-AJ28))/AJ28)))</f>
        <v>1</v>
      </c>
      <c r="AQ28" s="62" t="n">
        <f aca="false">IF(LEFT(Cockpit!$I$5,1)="A",H28,IF(Parameter!$E$30="MAX-Bestand",IF(CI28=1,CJ28,IF(LEFT(Cockpit!$I$5,1)="B",AW28,MAX(AW28,H28))),ROUNDUP(AU28,0)))</f>
        <v>92</v>
      </c>
      <c r="AR28" s="62" t="n">
        <f aca="false">IF(CA28=1,0,ROUNDUP(AQ28/BZ28,0))</f>
        <v>3</v>
      </c>
      <c r="AS28" s="64" t="n">
        <f aca="false">IF(CR28&gt;0,CR28*MAX(1,AQ28/X28),IF(CA28=1,IF(AQ28&lt;=0,0,CE28*MAX(1,IF(H28&gt;0,AQ28/H28,1))),IF(R28&gt;0,AR28/R28,0))/MAX(0.1,N(Parameter!$M$21)))</f>
        <v>0.25</v>
      </c>
      <c r="AT28" s="62" t="n">
        <f aca="false">AS28*CC28</f>
        <v>36.25</v>
      </c>
      <c r="AU28" s="63" t="n">
        <f aca="false">IF(LEFT(Cockpit!$I$5,1)="A",H28,IF(CI28=1,(CL28+CJ28)/2,IF(LEFT(Cockpit!$I$5,1)="B",(CL28+AW28)/2,MAX((CL28+AW28)/2,H28))))</f>
        <v>92</v>
      </c>
      <c r="AV28" s="62" t="n">
        <f aca="false">AU28*G28</f>
        <v>36850.6</v>
      </c>
      <c r="AW28" s="62" t="n">
        <f aca="false">ROUNDUP(CL28+MAX(CM28,2*(J28/IF(CH28&gt;0,CH28,MAX(0.1,N(Cockpit!$I$6)))-CL28)),0)</f>
        <v>163</v>
      </c>
      <c r="AX28" s="63" t="n">
        <f aca="false">IF(AT28&gt;0,J28/AT28,-1)</f>
        <v>7.61379310344828</v>
      </c>
      <c r="AY28" s="63" t="n">
        <f aca="false">IF(AND(OR(CG28="L1",CG28="L23",CG28="LIFT"),AT28&gt;0),SUMIFS($AT$7:$AT$1843,$CG$7:$CG$1843,CG28,$AX$7:$AX$1843,"&gt;"&amp;AX28)+SUMIFS($AT$7:$AT$1843,$CG$7:$CG$1843,CG28,$AX$7:$AX$1843,AX28,$BX$7:$BX$1843,"&lt;="&amp;BX28),"")</f>
        <v>3788.79212454212</v>
      </c>
      <c r="AZ28" s="70" t="n">
        <f aca="false">IF(AY28="",0,MAX(0,MIN(1,(IF(CG28="L1",Parameter!$H$5,IF(CG28="L23",Parameter!$H$6+Parameter!$H$7,Parameter!$H$5+Parameter!$H$6+Parameter!$H$7))-(AY28-AT28))/AT28)))</f>
        <v>1</v>
      </c>
      <c r="BA28" s="62" t="n">
        <f aca="false">IF(LEFT(Cockpit!$O$5,1)="A",H28,IF(Parameter!$E$30="MAX-Bestand",IF(CI28=1,CJ28,IF(LEFT(Cockpit!$O$5,1)="B",BG28,MAX(BG28,H28))),ROUNDUP(BE28,0)))</f>
        <v>69</v>
      </c>
      <c r="BB28" s="62" t="n">
        <f aca="false">IF(CA28=1,0,ROUNDUP(BA28/BZ28,0))</f>
        <v>2</v>
      </c>
      <c r="BC28" s="64" t="n">
        <f aca="false">IF(CR28&gt;0,CR28*MAX(1,BA28/X28),IF(CA28=1,IF(BA28&lt;=0,0,CE28*MAX(1,IF(H28&gt;0,BA28/H28,1))),IF(R28&gt;0,BB28/R28,0))/MAX(0.1,N(Parameter!$M$21)))</f>
        <v>0.166666666666667</v>
      </c>
      <c r="BD28" s="62" t="n">
        <f aca="false">BC28*CC28</f>
        <v>24.1666666666667</v>
      </c>
      <c r="BE28" s="63" t="n">
        <f aca="false">IF(LEFT(Cockpit!$O$5,1)="A",H28,IF(CI28=1,(CL28+CJ28)/2,IF(LEFT(Cockpit!$O$5,1)="B",(CL28+BG28)/2,MAX((CL28+BG28)/2,H28))))</f>
        <v>69</v>
      </c>
      <c r="BF28" s="62" t="n">
        <f aca="false">BE28*G28</f>
        <v>27637.95</v>
      </c>
      <c r="BG28" s="62" t="n">
        <f aca="false">ROUNDUP(CL28+MAX(CM28,2*(J28/IF(CH28&gt;0,CH28,MAX(0.1,N(Cockpit!$O$6)))-CL28)),0)</f>
        <v>117</v>
      </c>
      <c r="BH28" s="63" t="n">
        <f aca="false">IF(BD28&gt;0,J28/BD28,-1)</f>
        <v>11.4206896551724</v>
      </c>
      <c r="BI28" s="63" t="n">
        <f aca="false">IF(AND(OR(CG28="L1",CG28="L23",CG28="LIFT"),BD28&gt;0),SUMIFS($BD$7:$BD$1843,$CG$7:$CG$1843,CG28,$BH$7:$BH$1843,"&gt;"&amp;BH28)+SUMIFS($BD$7:$BD$1843,$CG$7:$CG$1843,CG28,$BH$7:$BH$1843,BH28,$BX$7:$BX$1843,"&lt;="&amp;BX28),"")</f>
        <v>2628.68772893773</v>
      </c>
      <c r="BJ28" s="70" t="n">
        <f aca="false">IF(BI28="",0,MAX(0,MIN(1,(IF(CG28="L1",Parameter!$H$5,IF(CG28="L23",Parameter!$H$6+Parameter!$H$7,Parameter!$H$5+Parameter!$H$6+Parameter!$H$7))-(BI28-BD28))/BD28)))</f>
        <v>1</v>
      </c>
      <c r="BK28" s="60" t="str">
        <f aca="false">IF(AJ28&lt;=0,"",IF(CG28="Aussen","Aussenlager",IF(CG28="-","Nicht im Lift",IF(AP28&gt;=1,"Lift",IF(AP28&lt;=0,"Aussenlager","teilweise")))))</f>
        <v>Lift</v>
      </c>
      <c r="BL28" s="60" t="str">
        <f aca="false">IF(AT28&lt;=0,"",IF(CG28="Aussen","Aussenlager",IF(CG28="-","Nicht im Lift",IF(AZ28&gt;=1,"Lift",IF(AZ28&lt;=0,"Aussenlager","teilweise")))))</f>
        <v>Lift</v>
      </c>
      <c r="BM28" s="60" t="str">
        <f aca="false">IF(BD28&lt;=0,"",IF(CG28="Aussen","Aussenlager",IF(CG28="-","Nicht im Lift",IF(BJ28&gt;=1,"Lift",IF(BJ28&lt;=0,"Aussenlager","teilweise")))))</f>
        <v>Lift</v>
      </c>
      <c r="BN28" s="60" t="str">
        <f aca="false">IF(A28="","",IF(BW28=1,"Neu; ","")&amp;IF(AND(BW28=0,BR28&lt;0),"negativer Bestand (Export "&amp;BR28&amp;"); ","")&amp;IF(J28&lt;=0,"Kein Verbrauch; ","")&amp;IF(CR28&gt;0,"Lift "&amp;W28&amp;" lt. Liftbericht (Fach "&amp;X28&amp;" Stk); ",IF(CB28=1,"Gebinde geschätzt ("&amp;T28&amp;"); ",IF(CA28=1,"Lose – Tablare geschätzt; ","")))&amp;IF(H28&gt;AW28,"Überbestand "&amp;ROUND(H28-AW28,0)&amp;" Stk / CHF "&amp;ROUND((H28-AW28)*G28,0)&amp;"; ","")&amp;IF(AND(CI28=1,CJ28&lt;CK28),"MAX &lt; MB+LG; ","")&amp;IF(AND(CQ28&gt;0,CP28*10&gt;CQ28),"zu hoch für Tablar; ","")&amp;IF(AND(BW28=0,OR(CI28=1,AB28&lt;&gt;"",U28&lt;&gt;"",V28&lt;&gt;"",AC28&lt;&gt;"")),"manuell übersteuert; ","")&amp;IF(AND(CA28=0,R28=0),"Gebinde unbekannt / Stellmass fehlt; ","")&amp;IF(AND(CA28=0,N(V28)&lt;=0,N(Q28)&lt;=0),"Menge pro Gebinde fehlt (Ist = 1 Gebinde); ","")&amp;BV28)</f>
        <v>Gebinde geschätzt (Mittel); Menge pro Gebinde fehlt (Ist = 1 Gebinde); nicht im KTL vorhanden</v>
      </c>
      <c r="BO28" s="60"/>
      <c r="BP28" s="60"/>
      <c r="BQ28" s="67"/>
      <c r="BR28" s="62" t="n">
        <v>35</v>
      </c>
      <c r="BS28" s="62" t="n">
        <v>6</v>
      </c>
      <c r="BT28" s="61" t="n">
        <v>13842.61</v>
      </c>
      <c r="BU28" s="62" t="n">
        <v>276</v>
      </c>
      <c r="BV28" s="60" t="s">
        <v>272</v>
      </c>
      <c r="BW28" s="65" t="n">
        <v>0</v>
      </c>
      <c r="BX28" s="65" t="n">
        <v>28</v>
      </c>
      <c r="BY28" s="60" t="str">
        <f aca="false">IF(U28&lt;&gt;"",UPPER(TRIM(U28)),IF(CB28=1,UPPER(VLOOKUP(T28,Parameter!$I$27:$K$29,2,0)),IF(P28="","LOSE",P28)))</f>
        <v>S61</v>
      </c>
      <c r="BZ28" s="62" t="n">
        <f aca="false">IF(BY28="LOSE",1,IF(N(V28)&gt;0,V28,IF(CB28=1,MAX(1,N(VLOOKUP(T28,Parameter!$I$27:$K$29,3,0)),H28,N(N28)),IF(N(Q28)&gt;0,Q28,MAX(1,H28)))))</f>
        <v>41</v>
      </c>
      <c r="CA28" s="65" t="n">
        <f aca="false">IF(BY28="LOSE",1,0)</f>
        <v>0</v>
      </c>
      <c r="CB28" s="65" t="n">
        <f aca="false">IF(AND(U28="",OR(P28="",P28="LOSE"),T28&lt;&gt;"",N(S28)&lt;=0,ISNUMBER(MATCH(T28,Parameter!$I$27:$I$29,0))),1,0)</f>
        <v>1</v>
      </c>
      <c r="CC28" s="65" t="n">
        <f aca="false">IF(CR28&gt;0,INDEX(Parameter!$H$5:$H$7,W28)/INDEX(Parameter!$E$5:$E$7,W28),IF(AND(CA28=0,N(IFERROR(VLOOKUP(BY28,'Gebinde-Kategorie'!$A$5:$N$45,14,0),0))&gt;0),VLOOKUP(BY28,'Gebinde-Kategorie'!$A$5:$N$45,14,0)*10+Parameter!$M$23,Parameter!$M$24))</f>
        <v>145</v>
      </c>
      <c r="CD28" s="60" t="str">
        <f aca="false">IF(AND(Parameter!$B$19="Ja",E28&lt;&gt;"",ISNUMBER(MATCH(E28,Parameter!$I$35:$I$52,0))),VLOOKUP(E28,Parameter!$I$35:$J$52,2,0),IFERROR(VLOOKUP(D28,Parameter!$A$35:$C$64,2,0),"Nein"))</f>
        <v>2+3</v>
      </c>
      <c r="CE28" s="64" t="n">
        <f aca="false">IF(CA28=0,0,IF(N(S28)&gt;0,S28,IFERROR(VLOOKUP(D28,Parameter!$A$35:$C$64,3,0)+0,0)))</f>
        <v>0</v>
      </c>
      <c r="CF28" s="60" t="n">
        <f aca="false">IF(AB28&lt;&gt;"",AB28,AA28)</f>
        <v>3</v>
      </c>
      <c r="CG28" s="60" t="str">
        <f aca="false">IF(OR(CF28=1,CF28=2,CF28=3),IF(Parameter!$E$27="Ja","LIFT",IF(CF28=1,"L1","L23")),IF(CF28="Aussen","Aussen","-"))</f>
        <v>LIFT</v>
      </c>
      <c r="CH28" s="71" t="n">
        <f aca="false">IF(N(AC28)&gt;0,AC28,0)</f>
        <v>0</v>
      </c>
      <c r="CI28" s="65" t="n">
        <f aca="false">IF(ISNUMBER(AF28),1,0)</f>
        <v>0</v>
      </c>
      <c r="CJ28" s="62" t="n">
        <f aca="false">N(AF28)</f>
        <v>0</v>
      </c>
      <c r="CK28" s="62" t="n">
        <f aca="false">N(M28)+N(N28)</f>
        <v>56</v>
      </c>
      <c r="CL28" s="62" t="n">
        <f aca="false">N(M28)</f>
        <v>21</v>
      </c>
      <c r="CM28" s="62" t="n">
        <f aca="false">N(N28)</f>
        <v>35</v>
      </c>
      <c r="CN28" s="62" t="n">
        <f aca="false">ROUNDUP(H28/BZ28,0)</f>
        <v>1</v>
      </c>
      <c r="CO28" s="62" t="n">
        <f aca="false">ROUNDUP(CJ28/BZ28,0)</f>
        <v>0</v>
      </c>
      <c r="CP28" s="65" t="n">
        <f aca="false">IF(CA28=1,0,IFERROR(VLOOKUP(BY28,'Gebinde-Kategorie'!$A$5:$N$45,5,0)+0,0))</f>
        <v>11</v>
      </c>
      <c r="CQ28" s="65" t="n">
        <f aca="false">IFERROR(IF(OR(CF28=1,CF28=2,CF28=3),N(INDEX(Parameter!$I$5:$I$7,CF28)),0),0)</f>
        <v>0</v>
      </c>
      <c r="CR28" s="64" t="n">
        <f aca="false">IF(AND(Parameter!$B$21="Ja",ISNUMBER(W28),N(X28)&gt;0),IFERROR(N(INDEX(Parameter!$L$5:$L$7,W28))*INDEX(Parameter!$E$5:$E$7,W28)*X28/SUMIFS($X$7:$X$1843,$W$7:$W$1843,W28),0),0)</f>
        <v>0</v>
      </c>
      <c r="CS28" s="62" t="n">
        <f aca="false">IF(AND(OR(CG28="L1",CG28="L23",CG28="LIFT"),H28&gt;0),CC28*IF(CR28&gt;0,CR28*MAX(1,H28/X28),IF(CA28=1,CE28,IF(R28&gt;0,CN28/R28,0))/MAX(0.1,N(Parameter!$M$21))),"")</f>
        <v>12.0833333333333</v>
      </c>
      <c r="CT28" s="64" t="n">
        <f aca="false">IF(CS28="","",J28/H28)</f>
        <v>6.73170731707317</v>
      </c>
      <c r="CU28" s="62" t="n">
        <f aca="false">IF(CS28="","",H28*G28)</f>
        <v>16422.55</v>
      </c>
      <c r="CV28" s="63" t="n">
        <f aca="false">IF(CS28="","",(CL28+ROUNDUP(CL28+MAX(CM28,2*(J28/MAX(0.1,N(Einkauf!$C$6))-CL28)),0))/2)</f>
        <v>69</v>
      </c>
      <c r="CW28" s="62" t="n">
        <f aca="false">IF(CS28="","",MAX(0,H28-CV28)*G28)</f>
        <v>0</v>
      </c>
      <c r="CX28" s="62" t="n">
        <f aca="false">IF(CS28="","",CS28*MAX(0,1-CV28/H28))</f>
        <v>0</v>
      </c>
      <c r="CY28" s="64" t="n">
        <f aca="false">IF(CS28="","",PERCENTRANK($CS$7:$CS$1843,CS28)+PERCENTRANK($CU$7:$CU$1843,CU28)+1-PERCENTRANK($CT$7:$CT$1843,CT28))</f>
        <v>1.657</v>
      </c>
      <c r="CZ28" s="72" t="n">
        <f aca="false">IF(CS28="","",CHOOSE(MATCH(Einkauf!$C$5,Parameter!$G$23:$G$27,0),CY28,CS28,CU28,-CT28,CW28)+ROW()/1000000000)</f>
        <v>1.657000028</v>
      </c>
    </row>
    <row r="29" customFormat="false" ht="15" hidden="false" customHeight="false" outlineLevel="0" collapsed="false">
      <c r="A29" s="60" t="s">
        <v>273</v>
      </c>
      <c r="B29" s="60" t="s">
        <v>274</v>
      </c>
      <c r="C29" s="60" t="s">
        <v>206</v>
      </c>
      <c r="D29" s="60" t="s">
        <v>226</v>
      </c>
      <c r="E29" s="60"/>
      <c r="F29" s="60" t="s">
        <v>260</v>
      </c>
      <c r="G29" s="61" t="n">
        <v>1048.6</v>
      </c>
      <c r="H29" s="62" t="n">
        <f aca="false">MAX(0,IF(AND(Parameter!$B$21="Ja",ISNUMBER(Y29)),Y29,IF(Parameter!$B$20="Jahresanfang 2025 + Export",BS29+BR29,BR29)))</f>
        <v>12</v>
      </c>
      <c r="I29" s="62" t="n">
        <f aca="false">H29*G29</f>
        <v>12583.2</v>
      </c>
      <c r="J29" s="62" t="n">
        <f aca="false">BU29*Parameter!$B$18</f>
        <v>23</v>
      </c>
      <c r="K29" s="63" t="n">
        <v>1.5</v>
      </c>
      <c r="L29" s="64" t="n">
        <v>15.3333333333333</v>
      </c>
      <c r="M29" s="62" t="n">
        <v>6</v>
      </c>
      <c r="N29" s="62" t="n">
        <v>5</v>
      </c>
      <c r="O29" s="65" t="n">
        <v>100</v>
      </c>
      <c r="P29" s="60" t="s">
        <v>275</v>
      </c>
      <c r="Q29" s="62" t="n">
        <v>20</v>
      </c>
      <c r="R29" s="65" t="n">
        <f aca="false">IF(CA29=1,0,IFERROR(VLOOKUP(BY29,'Gebinde-Kategorie'!$A$5:$N$45,13,0)+0,0))</f>
        <v>26</v>
      </c>
      <c r="S29" s="66"/>
      <c r="T29" s="67"/>
      <c r="U29" s="67"/>
      <c r="V29" s="67"/>
      <c r="W29" s="60"/>
      <c r="X29" s="62"/>
      <c r="Y29" s="62"/>
      <c r="Z29" s="60" t="n">
        <v>3</v>
      </c>
      <c r="AA29" s="60" t="n">
        <f aca="false">IF(A29="","",IF(AND(Parameter!$B$21="Ja",ISNUMBER(W29)),W29,IF(AND(Parameter!$E$27="Ja",ISNUMBER(Z29),CD29&lt;&gt;"Nein"),Z29,IF(CD29="2+3",IF(ISNUMBER(SEARCH("grosser Artikel",BV29)),2,IFERROR(VLOOKUP(BY29,Parameter!$F$35:$G$64,2,0),2)),IF(OR(CD29="Nein",CD29=""),"-",CD29)))))</f>
        <v>3</v>
      </c>
      <c r="AB29" s="67"/>
      <c r="AC29" s="68"/>
      <c r="AD29" s="62" t="n">
        <f aca="false">AW29</f>
        <v>11</v>
      </c>
      <c r="AE29" s="62" t="n">
        <f aca="false">MAX(AW29,H29)</f>
        <v>12</v>
      </c>
      <c r="AF29" s="69"/>
      <c r="AG29" s="62" t="n">
        <f aca="false">IF(LEFT(Cockpit!$C$5,1)="A",H29,IF(Parameter!$E$30="MAX-Bestand",IF(CI29=1,CJ29,IF(LEFT(Cockpit!$C$5,1)="B",AM29,MAX(AM29,H29))),ROUNDUP(AK29,0)))</f>
        <v>12</v>
      </c>
      <c r="AH29" s="62" t="n">
        <f aca="false">IF(CA29=1,0,ROUNDUP(AG29/BZ29,0))</f>
        <v>1</v>
      </c>
      <c r="AI29" s="64" t="n">
        <f aca="false">IF(CR29&gt;0,CR29*MAX(1,AG29/X29),IF(CA29=1,IF(AG29&lt;=0,0,CE29*MAX(1,IF(H29&gt;0,AG29/H29,1))),IF(R29&gt;0,AH29/R29,0))/MAX(0.1,N(Parameter!$M$21)))</f>
        <v>0.0384615384615385</v>
      </c>
      <c r="AJ29" s="62" t="n">
        <f aca="false">AI29*CC29</f>
        <v>9.42307692307692</v>
      </c>
      <c r="AK29" s="63" t="n">
        <f aca="false">IF(LEFT(Cockpit!$C$5,1)="A",H29,IF(CI29=1,(CL29+CJ29)/2,IF(LEFT(Cockpit!$C$5,1)="B",(CL29+AM29)/2,MAX((CL29+AM29)/2,H29))))</f>
        <v>12</v>
      </c>
      <c r="AL29" s="62" t="n">
        <f aca="false">AK29*G29</f>
        <v>12583.2</v>
      </c>
      <c r="AM29" s="62" t="n">
        <f aca="false">ROUNDUP(CL29+MAX(CM29,2*(J29/IF(CH29&gt;0,CH29,MAX(0.1,N(Cockpit!$C$6)))-CL29)),0)</f>
        <v>11</v>
      </c>
      <c r="AN29" s="63" t="n">
        <f aca="false">IF(AJ29&gt;0,J29/AJ29,-1)</f>
        <v>2.44081632653061</v>
      </c>
      <c r="AO29" s="63" t="n">
        <f aca="false">IF(AND(OR(CG29="L1",CG29="L23",CG29="LIFT"),AJ29&gt;0),SUMIFS($AJ$7:$AJ$1843,$CG$7:$CG$1843,CG29,$AN$7:$AN$1843,"&gt;"&amp;AN29)+SUMIFS($AJ$7:$AJ$1843,$CG$7:$CG$1843,CG29,$AN$7:$AN$1843,AN29,$BX$7:$BX$1843,"&lt;="&amp;BX29),"")</f>
        <v>5461.83928571429</v>
      </c>
      <c r="AP29" s="70" t="n">
        <f aca="false">IF(AO29="",0,MAX(0,MIN(1,(IF(CG29="L1",Parameter!$H$5,IF(CG29="L23",Parameter!$H$6+Parameter!$H$7,Parameter!$H$5+Parameter!$H$6+Parameter!$H$7))-(AO29-AJ29))/AJ29)))</f>
        <v>1</v>
      </c>
      <c r="AQ29" s="62" t="n">
        <f aca="false">IF(LEFT(Cockpit!$I$5,1)="A",H29,IF(Parameter!$E$30="MAX-Bestand",IF(CI29=1,CJ29,IF(LEFT(Cockpit!$I$5,1)="B",AW29,MAX(AW29,H29))),ROUNDUP(AU29,0)))</f>
        <v>12</v>
      </c>
      <c r="AR29" s="62" t="n">
        <f aca="false">IF(CA29=1,0,ROUNDUP(AQ29/BZ29,0))</f>
        <v>1</v>
      </c>
      <c r="AS29" s="64" t="n">
        <f aca="false">IF(CR29&gt;0,CR29*MAX(1,AQ29/X29),IF(CA29=1,IF(AQ29&lt;=0,0,CE29*MAX(1,IF(H29&gt;0,AQ29/H29,1))),IF(R29&gt;0,AR29/R29,0))/MAX(0.1,N(Parameter!$M$21)))</f>
        <v>0.0384615384615385</v>
      </c>
      <c r="AT29" s="62" t="n">
        <f aca="false">AS29*CC29</f>
        <v>9.42307692307692</v>
      </c>
      <c r="AU29" s="63" t="n">
        <f aca="false">IF(LEFT(Cockpit!$I$5,1)="A",H29,IF(CI29=1,(CL29+CJ29)/2,IF(LEFT(Cockpit!$I$5,1)="B",(CL29+AW29)/2,MAX((CL29+AW29)/2,H29))))</f>
        <v>12</v>
      </c>
      <c r="AV29" s="62" t="n">
        <f aca="false">AU29*G29</f>
        <v>12583.2</v>
      </c>
      <c r="AW29" s="62" t="n">
        <f aca="false">ROUNDUP(CL29+MAX(CM29,2*(J29/IF(CH29&gt;0,CH29,MAX(0.1,N(Cockpit!$I$6)))-CL29)),0)</f>
        <v>11</v>
      </c>
      <c r="AX29" s="63" t="n">
        <f aca="false">IF(AT29&gt;0,J29/AT29,-1)</f>
        <v>2.44081632653061</v>
      </c>
      <c r="AY29" s="63" t="n">
        <f aca="false">IF(AND(OR(CG29="L1",CG29="L23",CG29="LIFT"),AT29&gt;0),SUMIFS($AT$7:$AT$1843,$CG$7:$CG$1843,CG29,$AX$7:$AX$1843,"&gt;"&amp;AX29)+SUMIFS($AT$7:$AT$1843,$CG$7:$CG$1843,CG29,$AX$7:$AX$1843,AX29,$BX$7:$BX$1843,"&lt;="&amp;BX29),"")</f>
        <v>6235.06730769231</v>
      </c>
      <c r="AZ29" s="70" t="n">
        <f aca="false">IF(AY29="",0,MAX(0,MIN(1,(IF(CG29="L1",Parameter!$H$5,IF(CG29="L23",Parameter!$H$6+Parameter!$H$7,Parameter!$H$5+Parameter!$H$6+Parameter!$H$7))-(AY29-AT29))/AT29)))</f>
        <v>1</v>
      </c>
      <c r="BA29" s="62" t="n">
        <f aca="false">IF(LEFT(Cockpit!$O$5,1)="A",H29,IF(Parameter!$E$30="MAX-Bestand",IF(CI29=1,CJ29,IF(LEFT(Cockpit!$O$5,1)="B",BG29,MAX(BG29,H29))),ROUNDUP(BE29,0)))</f>
        <v>9</v>
      </c>
      <c r="BB29" s="62" t="n">
        <f aca="false">IF(CA29=1,0,ROUNDUP(BA29/BZ29,0))</f>
        <v>1</v>
      </c>
      <c r="BC29" s="64" t="n">
        <f aca="false">IF(CR29&gt;0,CR29*MAX(1,BA29/X29),IF(CA29=1,IF(BA29&lt;=0,0,CE29*MAX(1,IF(H29&gt;0,BA29/H29,1))),IF(R29&gt;0,BB29/R29,0))/MAX(0.1,N(Parameter!$M$21)))</f>
        <v>0.0384615384615385</v>
      </c>
      <c r="BD29" s="62" t="n">
        <f aca="false">BC29*CC29</f>
        <v>9.42307692307692</v>
      </c>
      <c r="BE29" s="63" t="n">
        <f aca="false">IF(LEFT(Cockpit!$O$5,1)="A",H29,IF(CI29=1,(CL29+CJ29)/2,IF(LEFT(Cockpit!$O$5,1)="B",(CL29+BG29)/2,MAX((CL29+BG29)/2,H29))))</f>
        <v>8.5</v>
      </c>
      <c r="BF29" s="62" t="n">
        <f aca="false">BE29*G29</f>
        <v>8913.1</v>
      </c>
      <c r="BG29" s="62" t="n">
        <f aca="false">ROUNDUP(CL29+MAX(CM29,2*(J29/IF(CH29&gt;0,CH29,MAX(0.1,N(Cockpit!$O$6)))-CL29)),0)</f>
        <v>11</v>
      </c>
      <c r="BH29" s="63" t="n">
        <f aca="false">IF(BD29&gt;0,J29/BD29,-1)</f>
        <v>2.44081632653061</v>
      </c>
      <c r="BI29" s="63" t="n">
        <f aca="false">IF(AND(OR(CG29="L1",CG29="L23",CG29="LIFT"),BD29&gt;0),SUMIFS($BD$7:$BD$1843,$CG$7:$CG$1843,CG29,$BH$7:$BH$1843,"&gt;"&amp;BH29)+SUMIFS($BD$7:$BD$1843,$CG$7:$CG$1843,CG29,$BH$7:$BH$1843,BH29,$BX$7:$BX$1843,"&lt;="&amp;BX29),"")</f>
        <v>5392.25641025641</v>
      </c>
      <c r="BJ29" s="70" t="n">
        <f aca="false">IF(BI29="",0,MAX(0,MIN(1,(IF(CG29="L1",Parameter!$H$5,IF(CG29="L23",Parameter!$H$6+Parameter!$H$7,Parameter!$H$5+Parameter!$H$6+Parameter!$H$7))-(BI29-BD29))/BD29)))</f>
        <v>1</v>
      </c>
      <c r="BK29" s="60" t="str">
        <f aca="false">IF(AJ29&lt;=0,"",IF(CG29="Aussen","Aussenlager",IF(CG29="-","Nicht im Lift",IF(AP29&gt;=1,"Lift",IF(AP29&lt;=0,"Aussenlager","teilweise")))))</f>
        <v>Lift</v>
      </c>
      <c r="BL29" s="60" t="str">
        <f aca="false">IF(AT29&lt;=0,"",IF(CG29="Aussen","Aussenlager",IF(CG29="-","Nicht im Lift",IF(AZ29&gt;=1,"Lift",IF(AZ29&lt;=0,"Aussenlager","teilweise")))))</f>
        <v>Lift</v>
      </c>
      <c r="BM29" s="60" t="str">
        <f aca="false">IF(BD29&lt;=0,"",IF(CG29="Aussen","Aussenlager",IF(CG29="-","Nicht im Lift",IF(BJ29&gt;=1,"Lift",IF(BJ29&lt;=0,"Aussenlager","teilweise")))))</f>
        <v>Lift</v>
      </c>
      <c r="BN29" s="60" t="str">
        <f aca="false">IF(A29="","",IF(BW29=1,"Neu; ","")&amp;IF(AND(BW29=0,BR29&lt;0),"negativer Bestand (Export "&amp;BR29&amp;"); ","")&amp;IF(J29&lt;=0,"Kein Verbrauch; ","")&amp;IF(CR29&gt;0,"Lift "&amp;W29&amp;" lt. Liftbericht (Fach "&amp;X29&amp;" Stk); ",IF(CB29=1,"Gebinde geschätzt ("&amp;T29&amp;"); ",IF(CA29=1,"Lose – Tablare geschätzt; ","")))&amp;IF(H29&gt;AW29,"Überbestand "&amp;ROUND(H29-AW29,0)&amp;" Stk / CHF "&amp;ROUND((H29-AW29)*G29,0)&amp;"; ","")&amp;IF(AND(CI29=1,CJ29&lt;CK29),"MAX &lt; MB+LG; ","")&amp;IF(AND(CQ29&gt;0,CP29*10&gt;CQ29),"zu hoch für Tablar; ","")&amp;IF(AND(BW29=0,OR(CI29=1,AB29&lt;&gt;"",U29&lt;&gt;"",V29&lt;&gt;"",AC29&lt;&gt;"")),"manuell übersteuert; ","")&amp;IF(AND(CA29=0,R29=0),"Gebinde unbekannt / Stellmass fehlt; ","")&amp;IF(AND(CA29=0,N(V29)&lt;=0,N(Q29)&lt;=0),"Menge pro Gebinde fehlt (Ist = 1 Gebinde); ","")&amp;BV29)</f>
        <v>Überbestand 1 Stk / CHF 1049; </v>
      </c>
      <c r="BO29" s="60" t="s">
        <v>276</v>
      </c>
      <c r="BP29" s="60" t="s">
        <v>277</v>
      </c>
      <c r="BQ29" s="67"/>
      <c r="BR29" s="62" t="n">
        <v>11</v>
      </c>
      <c r="BS29" s="62" t="n">
        <v>1</v>
      </c>
      <c r="BT29" s="61" t="n">
        <v>12583.19</v>
      </c>
      <c r="BU29" s="62" t="n">
        <v>23</v>
      </c>
      <c r="BV29" s="60"/>
      <c r="BW29" s="65" t="n">
        <v>0</v>
      </c>
      <c r="BX29" s="65" t="n">
        <v>29</v>
      </c>
      <c r="BY29" s="60" t="str">
        <f aca="false">IF(U29&lt;&gt;"",UPPER(TRIM(U29)),IF(CB29=1,UPPER(VLOOKUP(T29,Parameter!$I$27:$K$29,2,0)),IF(P29="","LOSE",P29)))</f>
        <v>S52</v>
      </c>
      <c r="BZ29" s="62" t="n">
        <f aca="false">IF(BY29="LOSE",1,IF(N(V29)&gt;0,V29,IF(CB29=1,MAX(1,N(VLOOKUP(T29,Parameter!$I$27:$K$29,3,0)),H29,N(N29)),IF(N(Q29)&gt;0,Q29,MAX(1,H29)))))</f>
        <v>20</v>
      </c>
      <c r="CA29" s="65" t="n">
        <f aca="false">IF(BY29="LOSE",1,0)</f>
        <v>0</v>
      </c>
      <c r="CB29" s="65" t="n">
        <f aca="false">IF(AND(U29="",OR(P29="",P29="LOSE"),T29&lt;&gt;"",N(S29)&lt;=0,ISNUMBER(MATCH(T29,Parameter!$I$27:$I$29,0))),1,0)</f>
        <v>0</v>
      </c>
      <c r="CC29" s="65" t="n">
        <f aca="false">IF(CR29&gt;0,INDEX(Parameter!$H$5:$H$7,W29)/INDEX(Parameter!$E$5:$E$7,W29),IF(AND(CA29=0,N(IFERROR(VLOOKUP(BY29,'Gebinde-Kategorie'!$A$5:$N$45,14,0),0))&gt;0),VLOOKUP(BY29,'Gebinde-Kategorie'!$A$5:$N$45,14,0)*10+Parameter!$M$23,Parameter!$M$24))</f>
        <v>245</v>
      </c>
      <c r="CD29" s="60" t="str">
        <f aca="false">IF(AND(Parameter!$B$19="Ja",E29&lt;&gt;"",ISNUMBER(MATCH(E29,Parameter!$I$35:$I$52,0))),VLOOKUP(E29,Parameter!$I$35:$J$52,2,0),IFERROR(VLOOKUP(D29,Parameter!$A$35:$C$64,2,0),"Nein"))</f>
        <v>2+3</v>
      </c>
      <c r="CE29" s="64" t="n">
        <f aca="false">IF(CA29=0,0,IF(N(S29)&gt;0,S29,IFERROR(VLOOKUP(D29,Parameter!$A$35:$C$64,3,0)+0,0)))</f>
        <v>0</v>
      </c>
      <c r="CF29" s="60" t="n">
        <f aca="false">IF(AB29&lt;&gt;"",AB29,AA29)</f>
        <v>3</v>
      </c>
      <c r="CG29" s="60" t="str">
        <f aca="false">IF(OR(CF29=1,CF29=2,CF29=3),IF(Parameter!$E$27="Ja","LIFT",IF(CF29=1,"L1","L23")),IF(CF29="Aussen","Aussen","-"))</f>
        <v>LIFT</v>
      </c>
      <c r="CH29" s="71" t="n">
        <f aca="false">IF(N(AC29)&gt;0,AC29,0)</f>
        <v>0</v>
      </c>
      <c r="CI29" s="65" t="n">
        <f aca="false">IF(ISNUMBER(AF29),1,0)</f>
        <v>0</v>
      </c>
      <c r="CJ29" s="62" t="n">
        <f aca="false">N(AF29)</f>
        <v>0</v>
      </c>
      <c r="CK29" s="62" t="n">
        <f aca="false">N(M29)+N(N29)</f>
        <v>11</v>
      </c>
      <c r="CL29" s="62" t="n">
        <f aca="false">N(M29)</f>
        <v>6</v>
      </c>
      <c r="CM29" s="62" t="n">
        <f aca="false">N(N29)</f>
        <v>5</v>
      </c>
      <c r="CN29" s="62" t="n">
        <f aca="false">ROUNDUP(H29/BZ29,0)</f>
        <v>1</v>
      </c>
      <c r="CO29" s="62" t="n">
        <f aca="false">ROUNDUP(CJ29/BZ29,0)</f>
        <v>0</v>
      </c>
      <c r="CP29" s="65" t="n">
        <f aca="false">IF(CA29=1,0,IFERROR(VLOOKUP(BY29,'Gebinde-Kategorie'!$A$5:$N$45,5,0)+0,0))</f>
        <v>21</v>
      </c>
      <c r="CQ29" s="65" t="n">
        <f aca="false">IFERROR(IF(OR(CF29=1,CF29=2,CF29=3),N(INDEX(Parameter!$I$5:$I$7,CF29)),0),0)</f>
        <v>0</v>
      </c>
      <c r="CR29" s="64" t="n">
        <f aca="false">IF(AND(Parameter!$B$21="Ja",ISNUMBER(W29),N(X29)&gt;0),IFERROR(N(INDEX(Parameter!$L$5:$L$7,W29))*INDEX(Parameter!$E$5:$E$7,W29)*X29/SUMIFS($X$7:$X$1843,$W$7:$W$1843,W29),0),0)</f>
        <v>0</v>
      </c>
      <c r="CS29" s="62" t="n">
        <f aca="false">IF(AND(OR(CG29="L1",CG29="L23",CG29="LIFT"),H29&gt;0),CC29*IF(CR29&gt;0,CR29*MAX(1,H29/X29),IF(CA29=1,CE29,IF(R29&gt;0,CN29/R29,0))/MAX(0.1,N(Parameter!$M$21))),"")</f>
        <v>9.42307692307692</v>
      </c>
      <c r="CT29" s="64" t="n">
        <f aca="false">IF(CS29="","",J29/H29)</f>
        <v>1.91666666666667</v>
      </c>
      <c r="CU29" s="62" t="n">
        <f aca="false">IF(CS29="","",H29*G29)</f>
        <v>12583.2</v>
      </c>
      <c r="CV29" s="63" t="n">
        <f aca="false">IF(CS29="","",(CL29+ROUNDUP(CL29+MAX(CM29,2*(J29/MAX(0.1,N(Einkauf!$C$6))-CL29)),0))/2)</f>
        <v>8.5</v>
      </c>
      <c r="CW29" s="62" t="n">
        <f aca="false">IF(CS29="","",MAX(0,H29-CV29)*G29)</f>
        <v>3670.1</v>
      </c>
      <c r="CX29" s="62" t="n">
        <f aca="false">IF(CS29="","",CS29*MAX(0,1-CV29/H29))</f>
        <v>2.74839743589744</v>
      </c>
      <c r="CY29" s="64" t="n">
        <f aca="false">IF(CS29="","",PERCENTRANK($CS$7:$CS$1843,CS29)+PERCENTRANK($CU$7:$CU$1843,CU29)+1-PERCENTRANK($CT$7:$CT$1843,CT29))</f>
        <v>1.738</v>
      </c>
      <c r="CZ29" s="72" t="n">
        <f aca="false">IF(CS29="","",CHOOSE(MATCH(Einkauf!$C$5,Parameter!$G$23:$G$27,0),CY29,CS29,CU29,-CT29,CW29)+ROW()/1000000000)</f>
        <v>1.738000029</v>
      </c>
    </row>
    <row r="30" customFormat="false" ht="15" hidden="false" customHeight="false" outlineLevel="0" collapsed="false">
      <c r="A30" s="60" t="s">
        <v>278</v>
      </c>
      <c r="B30" s="60" t="s">
        <v>279</v>
      </c>
      <c r="C30" s="60" t="s">
        <v>206</v>
      </c>
      <c r="D30" s="60" t="s">
        <v>215</v>
      </c>
      <c r="E30" s="60" t="s">
        <v>227</v>
      </c>
      <c r="F30" s="60" t="s">
        <v>260</v>
      </c>
      <c r="G30" s="61" t="n">
        <v>306.57</v>
      </c>
      <c r="H30" s="62" t="n">
        <f aca="false">MAX(0,IF(AND(Parameter!$B$21="Ja",ISNUMBER(Y30)),Y30,IF(Parameter!$B$20="Jahresanfang 2025 + Export",BS30+BR30,BR30)))</f>
        <v>45</v>
      </c>
      <c r="I30" s="62" t="n">
        <f aca="false">H30*G30</f>
        <v>13795.65</v>
      </c>
      <c r="J30" s="62" t="n">
        <f aca="false">BU30*Parameter!$B$18</f>
        <v>297</v>
      </c>
      <c r="K30" s="63" t="n">
        <v>25</v>
      </c>
      <c r="L30" s="64" t="n">
        <v>11.88</v>
      </c>
      <c r="M30" s="62" t="n">
        <v>23</v>
      </c>
      <c r="N30" s="62" t="n">
        <v>45</v>
      </c>
      <c r="O30" s="65" t="n">
        <v>28</v>
      </c>
      <c r="P30" s="60" t="s">
        <v>268</v>
      </c>
      <c r="Q30" s="62" t="n">
        <v>34</v>
      </c>
      <c r="R30" s="65" t="n">
        <f aca="false">IF(CA30=1,0,IFERROR(VLOOKUP(BY30,'Gebinde-Kategorie'!$A$5:$N$45,13,0)+0,0))</f>
        <v>12</v>
      </c>
      <c r="S30" s="66"/>
      <c r="T30" s="67"/>
      <c r="U30" s="67"/>
      <c r="V30" s="67"/>
      <c r="W30" s="60"/>
      <c r="X30" s="62"/>
      <c r="Y30" s="62"/>
      <c r="Z30" s="60" t="n">
        <v>3</v>
      </c>
      <c r="AA30" s="60" t="n">
        <f aca="false">IF(A30="","",IF(AND(Parameter!$B$21="Ja",ISNUMBER(W30)),W30,IF(AND(Parameter!$E$27="Ja",ISNUMBER(Z30),CD30&lt;&gt;"Nein"),Z30,IF(CD30="2+3",IF(ISNUMBER(SEARCH("grosser Artikel",BV30)),2,IFERROR(VLOOKUP(BY30,Parameter!$F$35:$G$64,2,0),2)),IF(OR(CD30="Nein",CD30=""),"-",CD30)))))</f>
        <v>3</v>
      </c>
      <c r="AB30" s="67"/>
      <c r="AC30" s="68"/>
      <c r="AD30" s="62" t="n">
        <f aca="false">AW30</f>
        <v>175</v>
      </c>
      <c r="AE30" s="62" t="n">
        <f aca="false">MAX(AW30,H30)</f>
        <v>175</v>
      </c>
      <c r="AF30" s="69"/>
      <c r="AG30" s="62" t="n">
        <f aca="false">IF(LEFT(Cockpit!$C$5,1)="A",H30,IF(Parameter!$E$30="MAX-Bestand",IF(CI30=1,CJ30,IF(LEFT(Cockpit!$C$5,1)="B",AM30,MAX(AM30,H30))),ROUNDUP(AK30,0)))</f>
        <v>45</v>
      </c>
      <c r="AH30" s="62" t="n">
        <f aca="false">IF(CA30=1,0,ROUNDUP(AG30/BZ30,0))</f>
        <v>2</v>
      </c>
      <c r="AI30" s="64" t="n">
        <f aca="false">IF(CR30&gt;0,CR30*MAX(1,AG30/X30),IF(CA30=1,IF(AG30&lt;=0,0,CE30*MAX(1,IF(H30&gt;0,AG30/H30,1))),IF(R30&gt;0,AH30/R30,0))/MAX(0.1,N(Parameter!$M$21)))</f>
        <v>0.166666666666667</v>
      </c>
      <c r="AJ30" s="62" t="n">
        <f aca="false">AI30*CC30</f>
        <v>57.5</v>
      </c>
      <c r="AK30" s="63" t="n">
        <f aca="false">IF(LEFT(Cockpit!$C$5,1)="A",H30,IF(CI30=1,(CL30+CJ30)/2,IF(LEFT(Cockpit!$C$5,1)="B",(CL30+AM30)/2,MAX((CL30+AM30)/2,H30))))</f>
        <v>45</v>
      </c>
      <c r="AL30" s="62" t="n">
        <f aca="false">AK30*G30</f>
        <v>13795.65</v>
      </c>
      <c r="AM30" s="62" t="n">
        <f aca="false">ROUNDUP(CL30+MAX(CM30,2*(J30/IF(CH30&gt;0,CH30,MAX(0.1,N(Cockpit!$C$6)))-CL30)),0)</f>
        <v>175</v>
      </c>
      <c r="AN30" s="63" t="n">
        <f aca="false">IF(AJ30&gt;0,J30/AJ30,-1)</f>
        <v>5.16521739130435</v>
      </c>
      <c r="AO30" s="63" t="n">
        <f aca="false">IF(AND(OR(CG30="L1",CG30="L23",CG30="LIFT"),AJ30&gt;0),SUMIFS($AJ$7:$AJ$1843,$CG$7:$CG$1843,CG30,$AN$7:$AN$1843,"&gt;"&amp;AN30)+SUMIFS($AJ$7:$AJ$1843,$CG$7:$CG$1843,CG30,$AN$7:$AN$1843,AN30,$BX$7:$BX$1843,"&lt;="&amp;BX30),"")</f>
        <v>3877.39331501832</v>
      </c>
      <c r="AP30" s="70" t="n">
        <f aca="false">IF(AO30="",0,MAX(0,MIN(1,(IF(CG30="L1",Parameter!$H$5,IF(CG30="L23",Parameter!$H$6+Parameter!$H$7,Parameter!$H$5+Parameter!$H$6+Parameter!$H$7))-(AO30-AJ30))/AJ30)))</f>
        <v>1</v>
      </c>
      <c r="AQ30" s="62" t="n">
        <f aca="false">IF(LEFT(Cockpit!$I$5,1)="A",H30,IF(Parameter!$E$30="MAX-Bestand",IF(CI30=1,CJ30,IF(LEFT(Cockpit!$I$5,1)="B",AW30,MAX(AW30,H30))),ROUNDUP(AU30,0)))</f>
        <v>99</v>
      </c>
      <c r="AR30" s="62" t="n">
        <f aca="false">IF(CA30=1,0,ROUNDUP(AQ30/BZ30,0))</f>
        <v>3</v>
      </c>
      <c r="AS30" s="64" t="n">
        <f aca="false">IF(CR30&gt;0,CR30*MAX(1,AQ30/X30),IF(CA30=1,IF(AQ30&lt;=0,0,CE30*MAX(1,IF(H30&gt;0,AQ30/H30,1))),IF(R30&gt;0,AR30/R30,0))/MAX(0.1,N(Parameter!$M$21)))</f>
        <v>0.25</v>
      </c>
      <c r="AT30" s="62" t="n">
        <f aca="false">AS30*CC30</f>
        <v>86.25</v>
      </c>
      <c r="AU30" s="63" t="n">
        <f aca="false">IF(LEFT(Cockpit!$I$5,1)="A",H30,IF(CI30=1,(CL30+CJ30)/2,IF(LEFT(Cockpit!$I$5,1)="B",(CL30+AW30)/2,MAX((CL30+AW30)/2,H30))))</f>
        <v>99</v>
      </c>
      <c r="AV30" s="62" t="n">
        <f aca="false">AU30*G30</f>
        <v>30350.43</v>
      </c>
      <c r="AW30" s="62" t="n">
        <f aca="false">ROUNDUP(CL30+MAX(CM30,2*(J30/IF(CH30&gt;0,CH30,MAX(0.1,N(Cockpit!$I$6)))-CL30)),0)</f>
        <v>175</v>
      </c>
      <c r="AX30" s="63" t="n">
        <f aca="false">IF(AT30&gt;0,J30/AT30,-1)</f>
        <v>3.44347826086957</v>
      </c>
      <c r="AY30" s="63" t="n">
        <f aca="false">IF(AND(OR(CG30="L1",CG30="L23",CG30="LIFT"),AT30&gt;0),SUMIFS($AT$7:$AT$1843,$CG$7:$CG$1843,CG30,$AX$7:$AX$1843,"&gt;"&amp;AX30)+SUMIFS($AT$7:$AT$1843,$CG$7:$CG$1843,CG30,$AX$7:$AX$1843,AX30,$BX$7:$BX$1843,"&lt;="&amp;BX30),"")</f>
        <v>5564.28067765568</v>
      </c>
      <c r="AZ30" s="70" t="n">
        <f aca="false">IF(AY30="",0,MAX(0,MIN(1,(IF(CG30="L1",Parameter!$H$5,IF(CG30="L23",Parameter!$H$6+Parameter!$H$7,Parameter!$H$5+Parameter!$H$6+Parameter!$H$7))-(AY30-AT30))/AT30)))</f>
        <v>1</v>
      </c>
      <c r="BA30" s="62" t="n">
        <f aca="false">IF(LEFT(Cockpit!$O$5,1)="A",H30,IF(Parameter!$E$30="MAX-Bestand",IF(CI30=1,CJ30,IF(LEFT(Cockpit!$O$5,1)="B",BG30,MAX(BG30,H30))),ROUNDUP(BE30,0)))</f>
        <v>75</v>
      </c>
      <c r="BB30" s="62" t="n">
        <f aca="false">IF(CA30=1,0,ROUNDUP(BA30/BZ30,0))</f>
        <v>3</v>
      </c>
      <c r="BC30" s="64" t="n">
        <f aca="false">IF(CR30&gt;0,CR30*MAX(1,BA30/X30),IF(CA30=1,IF(BA30&lt;=0,0,CE30*MAX(1,IF(H30&gt;0,BA30/H30,1))),IF(R30&gt;0,BB30/R30,0))/MAX(0.1,N(Parameter!$M$21)))</f>
        <v>0.25</v>
      </c>
      <c r="BD30" s="62" t="n">
        <f aca="false">BC30*CC30</f>
        <v>86.25</v>
      </c>
      <c r="BE30" s="63" t="n">
        <f aca="false">IF(LEFT(Cockpit!$O$5,1)="A",H30,IF(CI30=1,(CL30+CJ30)/2,IF(LEFT(Cockpit!$O$5,1)="B",(CL30+BG30)/2,MAX((CL30+BG30)/2,H30))))</f>
        <v>74.5</v>
      </c>
      <c r="BF30" s="62" t="n">
        <f aca="false">BE30*G30</f>
        <v>22839.465</v>
      </c>
      <c r="BG30" s="62" t="n">
        <f aca="false">ROUNDUP(CL30+MAX(CM30,2*(J30/IF(CH30&gt;0,CH30,MAX(0.1,N(Cockpit!$O$6)))-CL30)),0)</f>
        <v>126</v>
      </c>
      <c r="BH30" s="63" t="n">
        <f aca="false">IF(BD30&gt;0,J30/BD30,-1)</f>
        <v>3.44347826086957</v>
      </c>
      <c r="BI30" s="63" t="n">
        <f aca="false">IF(AND(OR(CG30="L1",CG30="L23",CG30="LIFT"),BD30&gt;0),SUMIFS($BD$7:$BD$1843,$CG$7:$CG$1843,CG30,$BH$7:$BH$1843,"&gt;"&amp;BH30)+SUMIFS($BD$7:$BD$1843,$CG$7:$CG$1843,CG30,$BH$7:$BH$1843,BH30,$BX$7:$BX$1843,"&lt;="&amp;BX30),"")</f>
        <v>4560.89285714286</v>
      </c>
      <c r="BJ30" s="70" t="n">
        <f aca="false">IF(BI30="",0,MAX(0,MIN(1,(IF(CG30="L1",Parameter!$H$5,IF(CG30="L23",Parameter!$H$6+Parameter!$H$7,Parameter!$H$5+Parameter!$H$6+Parameter!$H$7))-(BI30-BD30))/BD30)))</f>
        <v>1</v>
      </c>
      <c r="BK30" s="60" t="str">
        <f aca="false">IF(AJ30&lt;=0,"",IF(CG30="Aussen","Aussenlager",IF(CG30="-","Nicht im Lift",IF(AP30&gt;=1,"Lift",IF(AP30&lt;=0,"Aussenlager","teilweise")))))</f>
        <v>Lift</v>
      </c>
      <c r="BL30" s="60" t="str">
        <f aca="false">IF(AT30&lt;=0,"",IF(CG30="Aussen","Aussenlager",IF(CG30="-","Nicht im Lift",IF(AZ30&gt;=1,"Lift",IF(AZ30&lt;=0,"Aussenlager","teilweise")))))</f>
        <v>Lift</v>
      </c>
      <c r="BM30" s="60" t="str">
        <f aca="false">IF(BD30&lt;=0,"",IF(CG30="Aussen","Aussenlager",IF(CG30="-","Nicht im Lift",IF(BJ30&gt;=1,"Lift",IF(BJ30&lt;=0,"Aussenlager","teilweise")))))</f>
        <v>Lift</v>
      </c>
      <c r="BN30" s="60" t="str">
        <f aca="false">IF(A30="","",IF(BW30=1,"Neu; ","")&amp;IF(AND(BW30=0,BR30&lt;0),"negativer Bestand (Export "&amp;BR30&amp;"); ","")&amp;IF(J30&lt;=0,"Kein Verbrauch; ","")&amp;IF(CR30&gt;0,"Lift "&amp;W30&amp;" lt. Liftbericht (Fach "&amp;X30&amp;" Stk); ",IF(CB30=1,"Gebinde geschätzt ("&amp;T30&amp;"); ",IF(CA30=1,"Lose – Tablare geschätzt; ","")))&amp;IF(H30&gt;AW30,"Überbestand "&amp;ROUND(H30-AW30,0)&amp;" Stk / CHF "&amp;ROUND((H30-AW30)*G30,0)&amp;"; ","")&amp;IF(AND(CI30=1,CJ30&lt;CK30),"MAX &lt; MB+LG; ","")&amp;IF(AND(CQ30&gt;0,CP30*10&gt;CQ30),"zu hoch für Tablar; ","")&amp;IF(AND(BW30=0,OR(CI30=1,AB30&lt;&gt;"",U30&lt;&gt;"",V30&lt;&gt;"",AC30&lt;&gt;"")),"manuell übersteuert; ","")&amp;IF(AND(CA30=0,R30=0),"Gebinde unbekannt / Stellmass fehlt; ","")&amp;IF(AND(CA30=0,N(V30)&lt;=0,N(Q30)&lt;=0),"Menge pro Gebinde fehlt (Ist = 1 Gebinde); ","")&amp;BV30)</f>
        <v/>
      </c>
      <c r="BO30" s="60" t="s">
        <v>280</v>
      </c>
      <c r="BP30" s="60" t="s">
        <v>281</v>
      </c>
      <c r="BQ30" s="67"/>
      <c r="BR30" s="62" t="n">
        <v>41</v>
      </c>
      <c r="BS30" s="62" t="n">
        <v>4</v>
      </c>
      <c r="BT30" s="61" t="n">
        <v>12491.91</v>
      </c>
      <c r="BU30" s="62" t="n">
        <v>297</v>
      </c>
      <c r="BV30" s="60"/>
      <c r="BW30" s="65" t="n">
        <v>0</v>
      </c>
      <c r="BX30" s="65" t="n">
        <v>30</v>
      </c>
      <c r="BY30" s="60" t="str">
        <f aca="false">IF(U30&lt;&gt;"",UPPER(TRIM(U30)),IF(CB30=1,UPPER(VLOOKUP(T30,Parameter!$I$27:$K$29,2,0)),IF(P30="","LOSE",P30)))</f>
        <v>S63</v>
      </c>
      <c r="BZ30" s="62" t="n">
        <f aca="false">IF(BY30="LOSE",1,IF(N(V30)&gt;0,V30,IF(CB30=1,MAX(1,N(VLOOKUP(T30,Parameter!$I$27:$K$29,3,0)),H30,N(N30)),IF(N(Q30)&gt;0,Q30,MAX(1,H30)))))</f>
        <v>34</v>
      </c>
      <c r="CA30" s="65" t="n">
        <f aca="false">IF(BY30="LOSE",1,0)</f>
        <v>0</v>
      </c>
      <c r="CB30" s="65" t="n">
        <f aca="false">IF(AND(U30="",OR(P30="",P30="LOSE"),T30&lt;&gt;"",N(S30)&lt;=0,ISNUMBER(MATCH(T30,Parameter!$I$27:$I$29,0))),1,0)</f>
        <v>0</v>
      </c>
      <c r="CC30" s="65" t="n">
        <f aca="false">IF(CR30&gt;0,INDEX(Parameter!$H$5:$H$7,W30)/INDEX(Parameter!$E$5:$E$7,W30),IF(AND(CA30=0,N(IFERROR(VLOOKUP(BY30,'Gebinde-Kategorie'!$A$5:$N$45,14,0),0))&gt;0),VLOOKUP(BY30,'Gebinde-Kategorie'!$A$5:$N$45,14,0)*10+Parameter!$M$23,Parameter!$M$24))</f>
        <v>345</v>
      </c>
      <c r="CD30" s="60" t="str">
        <f aca="false">IF(AND(Parameter!$B$19="Ja",E30&lt;&gt;"",ISNUMBER(MATCH(E30,Parameter!$I$35:$I$52,0))),VLOOKUP(E30,Parameter!$I$35:$J$52,2,0),IFERROR(VLOOKUP(D30,Parameter!$A$35:$C$64,2,0),"Nein"))</f>
        <v>2+3</v>
      </c>
      <c r="CE30" s="64" t="n">
        <f aca="false">IF(CA30=0,0,IF(N(S30)&gt;0,S30,IFERROR(VLOOKUP(D30,Parameter!$A$35:$C$64,3,0)+0,0)))</f>
        <v>0</v>
      </c>
      <c r="CF30" s="60" t="n">
        <f aca="false">IF(AB30&lt;&gt;"",AB30,AA30)</f>
        <v>3</v>
      </c>
      <c r="CG30" s="60" t="str">
        <f aca="false">IF(OR(CF30=1,CF30=2,CF30=3),IF(Parameter!$E$27="Ja","LIFT",IF(CF30=1,"L1","L23")),IF(CF30="Aussen","Aussen","-"))</f>
        <v>LIFT</v>
      </c>
      <c r="CH30" s="71" t="n">
        <f aca="false">IF(N(AC30)&gt;0,AC30,0)</f>
        <v>0</v>
      </c>
      <c r="CI30" s="65" t="n">
        <f aca="false">IF(ISNUMBER(AF30),1,0)</f>
        <v>0</v>
      </c>
      <c r="CJ30" s="62" t="n">
        <f aca="false">N(AF30)</f>
        <v>0</v>
      </c>
      <c r="CK30" s="62" t="n">
        <f aca="false">N(M30)+N(N30)</f>
        <v>68</v>
      </c>
      <c r="CL30" s="62" t="n">
        <f aca="false">N(M30)</f>
        <v>23</v>
      </c>
      <c r="CM30" s="62" t="n">
        <f aca="false">N(N30)</f>
        <v>45</v>
      </c>
      <c r="CN30" s="62" t="n">
        <f aca="false">ROUNDUP(H30/BZ30,0)</f>
        <v>2</v>
      </c>
      <c r="CO30" s="62" t="n">
        <f aca="false">ROUNDUP(CJ30/BZ30,0)</f>
        <v>0</v>
      </c>
      <c r="CP30" s="65" t="n">
        <f aca="false">IF(CA30=1,0,IFERROR(VLOOKUP(BY30,'Gebinde-Kategorie'!$A$5:$N$45,5,0)+0,0))</f>
        <v>31</v>
      </c>
      <c r="CQ30" s="65" t="n">
        <f aca="false">IFERROR(IF(OR(CF30=1,CF30=2,CF30=3),N(INDEX(Parameter!$I$5:$I$7,CF30)),0),0)</f>
        <v>0</v>
      </c>
      <c r="CR30" s="64" t="n">
        <f aca="false">IF(AND(Parameter!$B$21="Ja",ISNUMBER(W30),N(X30)&gt;0),IFERROR(N(INDEX(Parameter!$L$5:$L$7,W30))*INDEX(Parameter!$E$5:$E$7,W30)*X30/SUMIFS($X$7:$X$1843,$W$7:$W$1843,W30),0),0)</f>
        <v>0</v>
      </c>
      <c r="CS30" s="62" t="n">
        <f aca="false">IF(AND(OR(CG30="L1",CG30="L23",CG30="LIFT"),H30&gt;0),CC30*IF(CR30&gt;0,CR30*MAX(1,H30/X30),IF(CA30=1,CE30,IF(R30&gt;0,CN30/R30,0))/MAX(0.1,N(Parameter!$M$21))),"")</f>
        <v>57.5</v>
      </c>
      <c r="CT30" s="64" t="n">
        <f aca="false">IF(CS30="","",J30/H30)</f>
        <v>6.6</v>
      </c>
      <c r="CU30" s="62" t="n">
        <f aca="false">IF(CS30="","",H30*G30)</f>
        <v>13795.65</v>
      </c>
      <c r="CV30" s="63" t="n">
        <f aca="false">IF(CS30="","",(CL30+ROUNDUP(CL30+MAX(CM30,2*(J30/MAX(0.1,N(Einkauf!$C$6))-CL30)),0))/2)</f>
        <v>74.5</v>
      </c>
      <c r="CW30" s="62" t="n">
        <f aca="false">IF(CS30="","",MAX(0,H30-CV30)*G30)</f>
        <v>0</v>
      </c>
      <c r="CX30" s="62" t="n">
        <f aca="false">IF(CS30="","",CS30*MAX(0,1-CV30/H30))</f>
        <v>0</v>
      </c>
      <c r="CY30" s="64" t="n">
        <f aca="false">IF(CS30="","",PERCENTRANK($CS$7:$CS$1843,CS30)+PERCENTRANK($CU$7:$CU$1843,CU30)+1-PERCENTRANK($CT$7:$CT$1843,CT30))</f>
        <v>1.902</v>
      </c>
      <c r="CZ30" s="72" t="n">
        <f aca="false">IF(CS30="","",CHOOSE(MATCH(Einkauf!$C$5,Parameter!$G$23:$G$27,0),CY30,CS30,CU30,-CT30,CW30)+ROW()/1000000000)</f>
        <v>1.90200003</v>
      </c>
    </row>
    <row r="31" customFormat="false" ht="15" hidden="false" customHeight="false" outlineLevel="0" collapsed="false">
      <c r="A31" s="60" t="s">
        <v>282</v>
      </c>
      <c r="B31" s="60" t="s">
        <v>283</v>
      </c>
      <c r="C31" s="60" t="s">
        <v>206</v>
      </c>
      <c r="D31" s="60" t="s">
        <v>207</v>
      </c>
      <c r="E31" s="60" t="s">
        <v>208</v>
      </c>
      <c r="F31" s="60" t="s">
        <v>260</v>
      </c>
      <c r="G31" s="61" t="n">
        <v>4074.91</v>
      </c>
      <c r="H31" s="62" t="n">
        <f aca="false">MAX(0,IF(AND(Parameter!$B$21="Ja",ISNUMBER(Y31)),Y31,IF(Parameter!$B$20="Jahresanfang 2025 + Export",BS31+BR31,BR31)))</f>
        <v>8</v>
      </c>
      <c r="I31" s="62" t="n">
        <f aca="false">H31*G31</f>
        <v>32599.28</v>
      </c>
      <c r="J31" s="62" t="n">
        <f aca="false">BU31*Parameter!$B$18</f>
        <v>24</v>
      </c>
      <c r="K31" s="63" t="n">
        <v>6.5</v>
      </c>
      <c r="L31" s="64" t="n">
        <v>3.69230769230769</v>
      </c>
      <c r="M31" s="62" t="n">
        <v>3</v>
      </c>
      <c r="N31" s="62" t="n">
        <v>6</v>
      </c>
      <c r="O31" s="65" t="n">
        <v>49</v>
      </c>
      <c r="P31" s="60" t="s">
        <v>210</v>
      </c>
      <c r="Q31" s="62"/>
      <c r="R31" s="65" t="n">
        <f aca="false">IF(CA31=1,0,IFERROR(VLOOKUP(BY31,'Gebinde-Kategorie'!$A$5:$N$45,13,0)+0,0))</f>
        <v>0</v>
      </c>
      <c r="S31" s="66"/>
      <c r="T31" s="67"/>
      <c r="U31" s="67"/>
      <c r="V31" s="67"/>
      <c r="W31" s="60" t="n">
        <v>1</v>
      </c>
      <c r="X31" s="62" t="n">
        <v>10</v>
      </c>
      <c r="Y31" s="62" t="n">
        <v>8</v>
      </c>
      <c r="Z31" s="60" t="n">
        <v>1</v>
      </c>
      <c r="AA31" s="60" t="n">
        <f aca="false">IF(A31="","",IF(AND(Parameter!$B$21="Ja",ISNUMBER(W31)),W31,IF(AND(Parameter!$E$27="Ja",ISNUMBER(Z31),CD31&lt;&gt;"Nein"),Z31,IF(CD31="2+3",IF(ISNUMBER(SEARCH("grosser Artikel",BV31)),2,IFERROR(VLOOKUP(BY31,Parameter!$F$35:$G$64,2,0),2)),IF(OR(CD31="Nein",CD31=""),"-",CD31)))))</f>
        <v>1</v>
      </c>
      <c r="AB31" s="67"/>
      <c r="AC31" s="68"/>
      <c r="AD31" s="62" t="n">
        <f aca="false">AW31</f>
        <v>13</v>
      </c>
      <c r="AE31" s="62" t="n">
        <f aca="false">MAX(AW31,H31)</f>
        <v>13</v>
      </c>
      <c r="AF31" s="69"/>
      <c r="AG31" s="62" t="n">
        <f aca="false">IF(LEFT(Cockpit!$C$5,1)="A",H31,IF(Parameter!$E$30="MAX-Bestand",IF(CI31=1,CJ31,IF(LEFT(Cockpit!$C$5,1)="B",AM31,MAX(AM31,H31))),ROUNDUP(AK31,0)))</f>
        <v>8</v>
      </c>
      <c r="AH31" s="62" t="n">
        <f aca="false">IF(CA31=1,0,ROUNDUP(AG31/BZ31,0))</f>
        <v>0</v>
      </c>
      <c r="AI31" s="64" t="n">
        <f aca="false">IF(CR31&gt;0,CR31*MAX(1,AG31/X31),IF(CA31=1,IF(AG31&lt;=0,0,CE31*MAX(1,IF(H31&gt;0,AG31/H31,1))),IF(R31&gt;0,AH31/R31,0))/MAX(0.1,N(Parameter!$M$21)))</f>
        <v>0.800376647834275</v>
      </c>
      <c r="AJ31" s="62" t="n">
        <f aca="false">AI31*CC31</f>
        <v>190.489642184557</v>
      </c>
      <c r="AK31" s="63" t="n">
        <f aca="false">IF(LEFT(Cockpit!$C$5,1)="A",H31,IF(CI31=1,(CL31+CJ31)/2,IF(LEFT(Cockpit!$C$5,1)="B",(CL31+AM31)/2,MAX((CL31+AM31)/2,H31))))</f>
        <v>8</v>
      </c>
      <c r="AL31" s="62" t="n">
        <f aca="false">AK31*G31</f>
        <v>32599.28</v>
      </c>
      <c r="AM31" s="62" t="n">
        <f aca="false">ROUNDUP(CL31+MAX(CM31,2*(J31/IF(CH31&gt;0,CH31,MAX(0.1,N(Cockpit!$C$6)))-CL31)),0)</f>
        <v>13</v>
      </c>
      <c r="AN31" s="63" t="n">
        <f aca="false">IF(AJ31&gt;0,J31/AJ31,-1)</f>
        <v>0.125991102323282</v>
      </c>
      <c r="AO31" s="63" t="n">
        <f aca="false">IF(AND(OR(CG31="L1",CG31="L23",CG31="LIFT"),AJ31&gt;0),SUMIFS($AJ$7:$AJ$1843,$CG$7:$CG$1843,CG31,$AN$7:$AN$1843,"&gt;"&amp;AN31)+SUMIFS($AJ$7:$AJ$1843,$CG$7:$CG$1843,CG31,$AN$7:$AN$1843,AN31,$BX$7:$BX$1843,"&lt;="&amp;BX31),"")</f>
        <v>14092.120002173</v>
      </c>
      <c r="AP31" s="70" t="n">
        <f aca="false">IF(AO31="",0,MAX(0,MIN(1,(IF(CG31="L1",Parameter!$H$5,IF(CG31="L23",Parameter!$H$6+Parameter!$H$7,Parameter!$H$5+Parameter!$H$6+Parameter!$H$7))-(AO31-AJ31))/AJ31)))</f>
        <v>1</v>
      </c>
      <c r="AQ31" s="62" t="n">
        <f aca="false">IF(LEFT(Cockpit!$I$5,1)="A",H31,IF(Parameter!$E$30="MAX-Bestand",IF(CI31=1,CJ31,IF(LEFT(Cockpit!$I$5,1)="B",AW31,MAX(AW31,H31))),ROUNDUP(AU31,0)))</f>
        <v>8</v>
      </c>
      <c r="AR31" s="62" t="n">
        <f aca="false">IF(CA31=1,0,ROUNDUP(AQ31/BZ31,0))</f>
        <v>0</v>
      </c>
      <c r="AS31" s="64" t="n">
        <f aca="false">IF(CR31&gt;0,CR31*MAX(1,AQ31/X31),IF(CA31=1,IF(AQ31&lt;=0,0,CE31*MAX(1,IF(H31&gt;0,AQ31/H31,1))),IF(R31&gt;0,AR31/R31,0))/MAX(0.1,N(Parameter!$M$21)))</f>
        <v>0.800376647834275</v>
      </c>
      <c r="AT31" s="62" t="n">
        <f aca="false">AS31*CC31</f>
        <v>190.489642184557</v>
      </c>
      <c r="AU31" s="63" t="n">
        <f aca="false">IF(LEFT(Cockpit!$I$5,1)="A",H31,IF(CI31=1,(CL31+CJ31)/2,IF(LEFT(Cockpit!$I$5,1)="B",(CL31+AW31)/2,MAX((CL31+AW31)/2,H31))))</f>
        <v>8</v>
      </c>
      <c r="AV31" s="62" t="n">
        <f aca="false">AU31*G31</f>
        <v>32599.28</v>
      </c>
      <c r="AW31" s="62" t="n">
        <f aca="false">ROUNDUP(CL31+MAX(CM31,2*(J31/IF(CH31&gt;0,CH31,MAX(0.1,N(Cockpit!$I$6)))-CL31)),0)</f>
        <v>13</v>
      </c>
      <c r="AX31" s="63" t="n">
        <f aca="false">IF(AT31&gt;0,J31/AT31,-1)</f>
        <v>0.125991102323282</v>
      </c>
      <c r="AY31" s="63" t="n">
        <f aca="false">IF(AND(OR(CG31="L1",CG31="L23",CG31="LIFT"),AT31&gt;0),SUMIFS($AT$7:$AT$1843,$CG$7:$CG$1843,CG31,$AX$7:$AX$1843,"&gt;"&amp;AX31)+SUMIFS($AT$7:$AT$1843,$CG$7:$CG$1843,CG31,$AX$7:$AX$1843,AX31,$BX$7:$BX$1843,"&lt;="&amp;BX31),"")</f>
        <v>18116.5186435504</v>
      </c>
      <c r="AZ31" s="70" t="n">
        <f aca="false">IF(AY31="",0,MAX(0,MIN(1,(IF(CG31="L1",Parameter!$H$5,IF(CG31="L23",Parameter!$H$6+Parameter!$H$7,Parameter!$H$5+Parameter!$H$6+Parameter!$H$7))-(AY31-AT31))/AT31)))</f>
        <v>1</v>
      </c>
      <c r="BA31" s="62" t="n">
        <f aca="false">IF(LEFT(Cockpit!$O$5,1)="A",H31,IF(Parameter!$E$30="MAX-Bestand",IF(CI31=1,CJ31,IF(LEFT(Cockpit!$O$5,1)="B",BG31,MAX(BG31,H31))),ROUNDUP(BE31,0)))</f>
        <v>6</v>
      </c>
      <c r="BB31" s="62" t="n">
        <f aca="false">IF(CA31=1,0,ROUNDUP(BA31/BZ31,0))</f>
        <v>0</v>
      </c>
      <c r="BC31" s="64" t="n">
        <f aca="false">IF(CR31&gt;0,CR31*MAX(1,BA31/X31),IF(CA31=1,IF(BA31&lt;=0,0,CE31*MAX(1,IF(H31&gt;0,BA31/H31,1))),IF(R31&gt;0,BB31/R31,0))/MAX(0.1,N(Parameter!$M$21)))</f>
        <v>0.800376647834275</v>
      </c>
      <c r="BD31" s="62" t="n">
        <f aca="false">BC31*CC31</f>
        <v>190.489642184557</v>
      </c>
      <c r="BE31" s="63" t="n">
        <f aca="false">IF(LEFT(Cockpit!$O$5,1)="A",H31,IF(CI31=1,(CL31+CJ31)/2,IF(LEFT(Cockpit!$O$5,1)="B",(CL31+BG31)/2,MAX((CL31+BG31)/2,H31))))</f>
        <v>6</v>
      </c>
      <c r="BF31" s="62" t="n">
        <f aca="false">BE31*G31</f>
        <v>24449.46</v>
      </c>
      <c r="BG31" s="62" t="n">
        <f aca="false">ROUNDUP(CL31+MAX(CM31,2*(J31/IF(CH31&gt;0,CH31,MAX(0.1,N(Cockpit!$O$6)))-CL31)),0)</f>
        <v>9</v>
      </c>
      <c r="BH31" s="63" t="n">
        <f aca="false">IF(BD31&gt;0,J31/BD31,-1)</f>
        <v>0.125991102323282</v>
      </c>
      <c r="BI31" s="63" t="n">
        <f aca="false">IF(AND(OR(CG31="L1",CG31="L23",CG31="LIFT"),BD31&gt;0),SUMIFS($BD$7:$BD$1843,$CG$7:$CG$1843,CG31,$BH$7:$BH$1843,"&gt;"&amp;BH31)+SUMIFS($BD$7:$BD$1843,$CG$7:$CG$1843,CG31,$BH$7:$BH$1843,BH31,$BX$7:$BX$1843,"&lt;="&amp;BX31),"")</f>
        <v>15506.4979227458</v>
      </c>
      <c r="BJ31" s="70" t="n">
        <f aca="false">IF(BI31="",0,MAX(0,MIN(1,(IF(CG31="L1",Parameter!$H$5,IF(CG31="L23",Parameter!$H$6+Parameter!$H$7,Parameter!$H$5+Parameter!$H$6+Parameter!$H$7))-(BI31-BD31))/BD31)))</f>
        <v>1</v>
      </c>
      <c r="BK31" s="60" t="str">
        <f aca="false">IF(AJ31&lt;=0,"",IF(CG31="Aussen","Aussenlager",IF(CG31="-","Nicht im Lift",IF(AP31&gt;=1,"Lift",IF(AP31&lt;=0,"Aussenlager","teilweise")))))</f>
        <v>Lift</v>
      </c>
      <c r="BL31" s="60" t="str">
        <f aca="false">IF(AT31&lt;=0,"",IF(CG31="Aussen","Aussenlager",IF(CG31="-","Nicht im Lift",IF(AZ31&gt;=1,"Lift",IF(AZ31&lt;=0,"Aussenlager","teilweise")))))</f>
        <v>Lift</v>
      </c>
      <c r="BM31" s="60" t="str">
        <f aca="false">IF(BD31&lt;=0,"",IF(CG31="Aussen","Aussenlager",IF(CG31="-","Nicht im Lift",IF(BJ31&gt;=1,"Lift",IF(BJ31&lt;=0,"Aussenlager","teilweise")))))</f>
        <v>Lift</v>
      </c>
      <c r="BN31" s="60" t="str">
        <f aca="false">IF(A31="","",IF(BW31=1,"Neu; ","")&amp;IF(AND(BW31=0,BR31&lt;0),"negativer Bestand (Export "&amp;BR31&amp;"); ","")&amp;IF(J31&lt;=0,"Kein Verbrauch; ","")&amp;IF(CR31&gt;0,"Lift "&amp;W31&amp;" lt. Liftbericht (Fach "&amp;X31&amp;" Stk); ",IF(CB31=1,"Gebinde geschätzt ("&amp;T31&amp;"); ",IF(CA31=1,"Lose – Tablare geschätzt; ","")))&amp;IF(H31&gt;AW31,"Überbestand "&amp;ROUND(H31-AW31,0)&amp;" Stk / CHF "&amp;ROUND((H31-AW31)*G31,0)&amp;"; ","")&amp;IF(AND(CI31=1,CJ31&lt;CK31),"MAX &lt; MB+LG; ","")&amp;IF(AND(CQ31&gt;0,CP31*10&gt;CQ31),"zu hoch für Tablar; ","")&amp;IF(AND(BW31=0,OR(CI31=1,AB31&lt;&gt;"",U31&lt;&gt;"",V31&lt;&gt;"",AC31&lt;&gt;"")),"manuell übersteuert; ","")&amp;IF(AND(CA31=0,R31=0),"Gebinde unbekannt / Stellmass fehlt; ","")&amp;IF(AND(CA31=0,N(V31)&lt;=0,N(Q31)&lt;=0),"Menge pro Gebinde fehlt (Ist = 1 Gebinde); ","")&amp;BV31)</f>
        <v>Lift 1 lt. Liftbericht (Fach 10 Stk); </v>
      </c>
      <c r="BO31" s="60" t="s">
        <v>284</v>
      </c>
      <c r="BP31" s="60" t="s">
        <v>285</v>
      </c>
      <c r="BQ31" s="67"/>
      <c r="BR31" s="62" t="n">
        <v>3</v>
      </c>
      <c r="BS31" s="62" t="n">
        <v>7</v>
      </c>
      <c r="BT31" s="61" t="n">
        <v>12035.71</v>
      </c>
      <c r="BU31" s="62" t="n">
        <v>24</v>
      </c>
      <c r="BV31" s="60"/>
      <c r="BW31" s="65" t="n">
        <v>0</v>
      </c>
      <c r="BX31" s="65" t="n">
        <v>31</v>
      </c>
      <c r="BY31" s="60" t="str">
        <f aca="false">IF(U31&lt;&gt;"",UPPER(TRIM(U31)),IF(CB31=1,UPPER(VLOOKUP(T31,Parameter!$I$27:$K$29,2,0)),IF(P31="","LOSE",P31)))</f>
        <v>LOSE</v>
      </c>
      <c r="BZ31" s="62" t="n">
        <f aca="false">IF(BY31="LOSE",1,IF(N(V31)&gt;0,V31,IF(CB31=1,MAX(1,N(VLOOKUP(T31,Parameter!$I$27:$K$29,3,0)),H31,N(N31)),IF(N(Q31)&gt;0,Q31,MAX(1,H31)))))</f>
        <v>1</v>
      </c>
      <c r="CA31" s="65" t="n">
        <f aca="false">IF(BY31="LOSE",1,0)</f>
        <v>1</v>
      </c>
      <c r="CB31" s="65" t="n">
        <f aca="false">IF(AND(U31="",OR(P31="",P31="LOSE"),T31&lt;&gt;"",N(S31)&lt;=0,ISNUMBER(MATCH(T31,Parameter!$I$27:$I$29,0))),1,0)</f>
        <v>0</v>
      </c>
      <c r="CC31" s="65" t="n">
        <f aca="false">IF(CR31&gt;0,INDEX(Parameter!$H$5:$H$7,W31)/INDEX(Parameter!$E$5:$E$7,W31),IF(AND(CA31=0,N(IFERROR(VLOOKUP(BY31,'Gebinde-Kategorie'!$A$5:$N$45,14,0),0))&gt;0),VLOOKUP(BY31,'Gebinde-Kategorie'!$A$5:$N$45,14,0)*10+Parameter!$M$23,Parameter!$M$24))</f>
        <v>238</v>
      </c>
      <c r="CD31" s="60" t="n">
        <f aca="false">IF(AND(Parameter!$B$19="Ja",E31&lt;&gt;"",ISNUMBER(MATCH(E31,Parameter!$I$35:$I$52,0))),VLOOKUP(E31,Parameter!$I$35:$J$52,2,0),IFERROR(VLOOKUP(D31,Parameter!$A$35:$C$64,2,0),"Nein"))</f>
        <v>1</v>
      </c>
      <c r="CE31" s="64" t="n">
        <f aca="false">IF(CA31=0,0,IF(N(S31)&gt;0,S31,IFERROR(VLOOKUP(D31,Parameter!$A$35:$C$64,3,0)+0,0)))</f>
        <v>1</v>
      </c>
      <c r="CF31" s="60" t="n">
        <f aca="false">IF(AB31&lt;&gt;"",AB31,AA31)</f>
        <v>1</v>
      </c>
      <c r="CG31" s="60" t="str">
        <f aca="false">IF(OR(CF31=1,CF31=2,CF31=3),IF(Parameter!$E$27="Ja","LIFT",IF(CF31=1,"L1","L23")),IF(CF31="Aussen","Aussen","-"))</f>
        <v>LIFT</v>
      </c>
      <c r="CH31" s="71" t="n">
        <f aca="false">IF(N(AC31)&gt;0,AC31,0)</f>
        <v>0</v>
      </c>
      <c r="CI31" s="65" t="n">
        <f aca="false">IF(ISNUMBER(AF31),1,0)</f>
        <v>0</v>
      </c>
      <c r="CJ31" s="62" t="n">
        <f aca="false">N(AF31)</f>
        <v>0</v>
      </c>
      <c r="CK31" s="62" t="n">
        <f aca="false">N(M31)+N(N31)</f>
        <v>9</v>
      </c>
      <c r="CL31" s="62" t="n">
        <f aca="false">N(M31)</f>
        <v>3</v>
      </c>
      <c r="CM31" s="62" t="n">
        <f aca="false">N(N31)</f>
        <v>6</v>
      </c>
      <c r="CN31" s="62" t="n">
        <f aca="false">ROUNDUP(H31/BZ31,0)</f>
        <v>8</v>
      </c>
      <c r="CO31" s="62" t="n">
        <f aca="false">ROUNDUP(CJ31/BZ31,0)</f>
        <v>0</v>
      </c>
      <c r="CP31" s="65" t="n">
        <f aca="false">IF(CA31=1,0,IFERROR(VLOOKUP(BY31,'Gebinde-Kategorie'!$A$5:$N$45,5,0)+0,0))</f>
        <v>0</v>
      </c>
      <c r="CQ31" s="65" t="n">
        <f aca="false">IFERROR(IF(OR(CF31=1,CF31=2,CF31=3),N(INDEX(Parameter!$I$5:$I$7,CF31)),0),0)</f>
        <v>0</v>
      </c>
      <c r="CR31" s="64" t="n">
        <f aca="false">IF(AND(Parameter!$B$21="Ja",ISNUMBER(W31),N(X31)&gt;0),IFERROR(N(INDEX(Parameter!$L$5:$L$7,W31))*INDEX(Parameter!$E$5:$E$7,W31)*X31/SUMIFS($X$7:$X$1843,$W$7:$W$1843,W31),0),0)</f>
        <v>0.800376647834275</v>
      </c>
      <c r="CS31" s="62" t="n">
        <f aca="false">IF(AND(OR(CG31="L1",CG31="L23",CG31="LIFT"),H31&gt;0),CC31*IF(CR31&gt;0,CR31*MAX(1,H31/X31),IF(CA31=1,CE31,IF(R31&gt;0,CN31/R31,0))/MAX(0.1,N(Parameter!$M$21))),"")</f>
        <v>190.489642184557</v>
      </c>
      <c r="CT31" s="64" t="n">
        <f aca="false">IF(CS31="","",J31/H31)</f>
        <v>3</v>
      </c>
      <c r="CU31" s="62" t="n">
        <f aca="false">IF(CS31="","",H31*G31)</f>
        <v>32599.28</v>
      </c>
      <c r="CV31" s="63" t="n">
        <f aca="false">IF(CS31="","",(CL31+ROUNDUP(CL31+MAX(CM31,2*(J31/MAX(0.1,N(Einkauf!$C$6))-CL31)),0))/2)</f>
        <v>6</v>
      </c>
      <c r="CW31" s="62" t="n">
        <f aca="false">IF(CS31="","",MAX(0,H31-CV31)*G31)</f>
        <v>8149.82</v>
      </c>
      <c r="CX31" s="62" t="n">
        <f aca="false">IF(CS31="","",CS31*MAX(0,1-CV31/H31))</f>
        <v>47.6224105461394</v>
      </c>
      <c r="CY31" s="64" t="n">
        <f aca="false">IF(CS31="","",PERCENTRANK($CS$7:$CS$1843,CS31)+PERCENTRANK($CU$7:$CU$1843,CU31)+1-PERCENTRANK($CT$7:$CT$1843,CT31))</f>
        <v>2.089</v>
      </c>
      <c r="CZ31" s="72" t="n">
        <f aca="false">IF(CS31="","",CHOOSE(MATCH(Einkauf!$C$5,Parameter!$G$23:$G$27,0),CY31,CS31,CU31,-CT31,CW31)+ROW()/1000000000)</f>
        <v>2.089000031</v>
      </c>
    </row>
    <row r="32" customFormat="false" ht="15" hidden="false" customHeight="false" outlineLevel="0" collapsed="false">
      <c r="A32" s="60" t="s">
        <v>286</v>
      </c>
      <c r="B32" s="60" t="s">
        <v>287</v>
      </c>
      <c r="C32" s="60" t="s">
        <v>206</v>
      </c>
      <c r="D32" s="60" t="s">
        <v>215</v>
      </c>
      <c r="E32" s="60"/>
      <c r="F32" s="60" t="s">
        <v>260</v>
      </c>
      <c r="G32" s="61" t="n">
        <v>2801</v>
      </c>
      <c r="H32" s="62" t="n">
        <f aca="false">MAX(0,IF(AND(Parameter!$B$21="Ja",ISNUMBER(Y32)),Y32,IF(Parameter!$B$20="Jahresanfang 2025 + Export",BS32+BR32,BR32)))</f>
        <v>4</v>
      </c>
      <c r="I32" s="62" t="n">
        <f aca="false">H32*G32</f>
        <v>11204</v>
      </c>
      <c r="J32" s="62" t="n">
        <f aca="false">BU32*Parameter!$B$18</f>
        <v>0</v>
      </c>
      <c r="K32" s="63" t="n">
        <v>0.5</v>
      </c>
      <c r="L32" s="64" t="n">
        <v>0</v>
      </c>
      <c r="M32" s="62" t="n">
        <v>0</v>
      </c>
      <c r="N32" s="62" t="n">
        <v>1</v>
      </c>
      <c r="O32" s="65" t="n">
        <v>56</v>
      </c>
      <c r="P32" s="60" t="s">
        <v>210</v>
      </c>
      <c r="Q32" s="62"/>
      <c r="R32" s="65" t="n">
        <f aca="false">IF(CA32=1,0,IFERROR(VLOOKUP(BY32,'Gebinde-Kategorie'!$A$5:$N$45,13,0)+0,0))</f>
        <v>12</v>
      </c>
      <c r="S32" s="66"/>
      <c r="T32" s="67" t="s">
        <v>221</v>
      </c>
      <c r="U32" s="67"/>
      <c r="V32" s="67"/>
      <c r="W32" s="60"/>
      <c r="X32" s="62"/>
      <c r="Y32" s="62"/>
      <c r="Z32" s="60" t="n">
        <v>3</v>
      </c>
      <c r="AA32" s="60" t="n">
        <f aca="false">IF(A32="","",IF(AND(Parameter!$B$21="Ja",ISNUMBER(W32)),W32,IF(AND(Parameter!$E$27="Ja",ISNUMBER(Z32),CD32&lt;&gt;"Nein"),Z32,IF(CD32="2+3",IF(ISNUMBER(SEARCH("grosser Artikel",BV32)),2,IFERROR(VLOOKUP(BY32,Parameter!$F$35:$G$64,2,0),2)),IF(OR(CD32="Nein",CD32=""),"-",CD32)))))</f>
        <v>3</v>
      </c>
      <c r="AB32" s="67"/>
      <c r="AC32" s="68"/>
      <c r="AD32" s="62" t="n">
        <f aca="false">AW32</f>
        <v>1</v>
      </c>
      <c r="AE32" s="62" t="n">
        <f aca="false">MAX(AW32,H32)</f>
        <v>4</v>
      </c>
      <c r="AF32" s="69"/>
      <c r="AG32" s="62" t="n">
        <f aca="false">IF(LEFT(Cockpit!$C$5,1)="A",H32,IF(Parameter!$E$30="MAX-Bestand",IF(CI32=1,CJ32,IF(LEFT(Cockpit!$C$5,1)="B",AM32,MAX(AM32,H32))),ROUNDUP(AK32,0)))</f>
        <v>4</v>
      </c>
      <c r="AH32" s="62" t="n">
        <f aca="false">IF(CA32=1,0,ROUNDUP(AG32/BZ32,0))</f>
        <v>1</v>
      </c>
      <c r="AI32" s="64" t="n">
        <f aca="false">IF(CR32&gt;0,CR32*MAX(1,AG32/X32),IF(CA32=1,IF(AG32&lt;=0,0,CE32*MAX(1,IF(H32&gt;0,AG32/H32,1))),IF(R32&gt;0,AH32/R32,0))/MAX(0.1,N(Parameter!$M$21)))</f>
        <v>0.0833333333333333</v>
      </c>
      <c r="AJ32" s="62" t="n">
        <f aca="false">AI32*CC32</f>
        <v>12.0833333333333</v>
      </c>
      <c r="AK32" s="63" t="n">
        <f aca="false">IF(LEFT(Cockpit!$C$5,1)="A",H32,IF(CI32=1,(CL32+CJ32)/2,IF(LEFT(Cockpit!$C$5,1)="B",(CL32+AM32)/2,MAX((CL32+AM32)/2,H32))))</f>
        <v>4</v>
      </c>
      <c r="AL32" s="62" t="n">
        <f aca="false">AK32*G32</f>
        <v>11204</v>
      </c>
      <c r="AM32" s="62" t="n">
        <f aca="false">ROUNDUP(CL32+MAX(CM32,2*(J32/IF(CH32&gt;0,CH32,MAX(0.1,N(Cockpit!$C$6)))-CL32)),0)</f>
        <v>1</v>
      </c>
      <c r="AN32" s="63" t="n">
        <f aca="false">IF(AJ32&gt;0,J32/AJ32,-1)</f>
        <v>0</v>
      </c>
      <c r="AO32" s="63" t="n">
        <f aca="false">IF(AND(OR(CG32="L1",CG32="L23",CG32="LIFT"),AJ32&gt;0),SUMIFS($AJ$7:$AJ$1843,$CG$7:$CG$1843,CG32,$AN$7:$AN$1843,"&gt;"&amp;AN32)+SUMIFS($AJ$7:$AJ$1843,$CG$7:$CG$1843,CG32,$AN$7:$AN$1843,AN32,$BX$7:$BX$1843,"&lt;="&amp;BX32),"")</f>
        <v>25676.1052415099</v>
      </c>
      <c r="AP32" s="70" t="n">
        <f aca="false">IF(AO32="",0,MAX(0,MIN(1,(IF(CG32="L1",Parameter!$H$5,IF(CG32="L23",Parameter!$H$6+Parameter!$H$7,Parameter!$H$5+Parameter!$H$6+Parameter!$H$7))-(AO32-AJ32))/AJ32)))</f>
        <v>1</v>
      </c>
      <c r="AQ32" s="62" t="n">
        <f aca="false">IF(LEFT(Cockpit!$I$5,1)="A",H32,IF(Parameter!$E$30="MAX-Bestand",IF(CI32=1,CJ32,IF(LEFT(Cockpit!$I$5,1)="B",AW32,MAX(AW32,H32))),ROUNDUP(AU32,0)))</f>
        <v>4</v>
      </c>
      <c r="AR32" s="62" t="n">
        <f aca="false">IF(CA32=1,0,ROUNDUP(AQ32/BZ32,0))</f>
        <v>1</v>
      </c>
      <c r="AS32" s="64" t="n">
        <f aca="false">IF(CR32&gt;0,CR32*MAX(1,AQ32/X32),IF(CA32=1,IF(AQ32&lt;=0,0,CE32*MAX(1,IF(H32&gt;0,AQ32/H32,1))),IF(R32&gt;0,AR32/R32,0))/MAX(0.1,N(Parameter!$M$21)))</f>
        <v>0.0833333333333333</v>
      </c>
      <c r="AT32" s="62" t="n">
        <f aca="false">AS32*CC32</f>
        <v>12.0833333333333</v>
      </c>
      <c r="AU32" s="63" t="n">
        <f aca="false">IF(LEFT(Cockpit!$I$5,1)="A",H32,IF(CI32=1,(CL32+CJ32)/2,IF(LEFT(Cockpit!$I$5,1)="B",(CL32+AW32)/2,MAX((CL32+AW32)/2,H32))))</f>
        <v>4</v>
      </c>
      <c r="AV32" s="62" t="n">
        <f aca="false">AU32*G32</f>
        <v>11204</v>
      </c>
      <c r="AW32" s="62" t="n">
        <f aca="false">ROUNDUP(CL32+MAX(CM32,2*(J32/IF(CH32&gt;0,CH32,MAX(0.1,N(Cockpit!$I$6)))-CL32)),0)</f>
        <v>1</v>
      </c>
      <c r="AX32" s="63" t="n">
        <f aca="false">IF(AT32&gt;0,J32/AT32,-1)</f>
        <v>0</v>
      </c>
      <c r="AY32" s="63" t="n">
        <f aca="false">IF(AND(OR(CG32="L1",CG32="L23",CG32="LIFT"),AT32&gt;0),SUMIFS($AT$7:$AT$1843,$CG$7:$CG$1843,CG32,$AX$7:$AX$1843,"&gt;"&amp;AX32)+SUMIFS($AT$7:$AT$1843,$CG$7:$CG$1843,CG32,$AX$7:$AX$1843,AX32,$BX$7:$BX$1843,"&lt;="&amp;BX32),"")</f>
        <v>31029.2538828874</v>
      </c>
      <c r="AZ32" s="70" t="n">
        <f aca="false">IF(AY32="",0,MAX(0,MIN(1,(IF(CG32="L1",Parameter!$H$5,IF(CG32="L23",Parameter!$H$6+Parameter!$H$7,Parameter!$H$5+Parameter!$H$6+Parameter!$H$7))-(AY32-AT32))/AT32)))</f>
        <v>1</v>
      </c>
      <c r="BA32" s="62" t="n">
        <f aca="false">IF(LEFT(Cockpit!$O$5,1)="A",H32,IF(Parameter!$E$30="MAX-Bestand",IF(CI32=1,CJ32,IF(LEFT(Cockpit!$O$5,1)="B",BG32,MAX(BG32,H32))),ROUNDUP(BE32,0)))</f>
        <v>1</v>
      </c>
      <c r="BB32" s="62" t="n">
        <f aca="false">IF(CA32=1,0,ROUNDUP(BA32/BZ32,0))</f>
        <v>1</v>
      </c>
      <c r="BC32" s="64" t="n">
        <f aca="false">IF(CR32&gt;0,CR32*MAX(1,BA32/X32),IF(CA32=1,IF(BA32&lt;=0,0,CE32*MAX(1,IF(H32&gt;0,BA32/H32,1))),IF(R32&gt;0,BB32/R32,0))/MAX(0.1,N(Parameter!$M$21)))</f>
        <v>0.0833333333333333</v>
      </c>
      <c r="BD32" s="62" t="n">
        <f aca="false">BC32*CC32</f>
        <v>12.0833333333333</v>
      </c>
      <c r="BE32" s="63" t="n">
        <f aca="false">IF(LEFT(Cockpit!$O$5,1)="A",H32,IF(CI32=1,(CL32+CJ32)/2,IF(LEFT(Cockpit!$O$5,1)="B",(CL32+BG32)/2,MAX((CL32+BG32)/2,H32))))</f>
        <v>0.5</v>
      </c>
      <c r="BF32" s="62" t="n">
        <f aca="false">BE32*G32</f>
        <v>1400.5</v>
      </c>
      <c r="BG32" s="62" t="n">
        <f aca="false">ROUNDUP(CL32+MAX(CM32,2*(J32/IF(CH32&gt;0,CH32,MAX(0.1,N(Cockpit!$O$6)))-CL32)),0)</f>
        <v>1</v>
      </c>
      <c r="BH32" s="63" t="n">
        <f aca="false">IF(BD32&gt;0,J32/BD32,-1)</f>
        <v>0</v>
      </c>
      <c r="BI32" s="63" t="n">
        <f aca="false">IF(AND(OR(CG32="L1",CG32="L23",CG32="LIFT"),BD32&gt;0),SUMIFS($BD$7:$BD$1843,$CG$7:$CG$1843,CG32,$BH$7:$BH$1843,"&gt;"&amp;BH32)+SUMIFS($BD$7:$BD$1843,$CG$7:$CG$1843,CG32,$BH$7:$BH$1843,BH32,$BX$7:$BX$1843,"&lt;="&amp;BX32),"")</f>
        <v>25284.5857261853</v>
      </c>
      <c r="BJ32" s="70" t="n">
        <f aca="false">IF(BI32="",0,MAX(0,MIN(1,(IF(CG32="L1",Parameter!$H$5,IF(CG32="L23",Parameter!$H$6+Parameter!$H$7,Parameter!$H$5+Parameter!$H$6+Parameter!$H$7))-(BI32-BD32))/BD32)))</f>
        <v>1</v>
      </c>
      <c r="BK32" s="60" t="str">
        <f aca="false">IF(AJ32&lt;=0,"",IF(CG32="Aussen","Aussenlager",IF(CG32="-","Nicht im Lift",IF(AP32&gt;=1,"Lift",IF(AP32&lt;=0,"Aussenlager","teilweise")))))</f>
        <v>Lift</v>
      </c>
      <c r="BL32" s="60" t="str">
        <f aca="false">IF(AT32&lt;=0,"",IF(CG32="Aussen","Aussenlager",IF(CG32="-","Nicht im Lift",IF(AZ32&gt;=1,"Lift",IF(AZ32&lt;=0,"Aussenlager","teilweise")))))</f>
        <v>Lift</v>
      </c>
      <c r="BM32" s="60" t="str">
        <f aca="false">IF(BD32&lt;=0,"",IF(CG32="Aussen","Aussenlager",IF(CG32="-","Nicht im Lift",IF(BJ32&gt;=1,"Lift",IF(BJ32&lt;=0,"Aussenlager","teilweise")))))</f>
        <v>Lift</v>
      </c>
      <c r="BN32" s="60" t="str">
        <f aca="false">IF(A32="","",IF(BW32=1,"Neu; ","")&amp;IF(AND(BW32=0,BR32&lt;0),"negativer Bestand (Export "&amp;BR32&amp;"); ","")&amp;IF(J32&lt;=0,"Kein Verbrauch; ","")&amp;IF(CR32&gt;0,"Lift "&amp;W32&amp;" lt. Liftbericht (Fach "&amp;X32&amp;" Stk); ",IF(CB32=1,"Gebinde geschätzt ("&amp;T32&amp;"); ",IF(CA32=1,"Lose – Tablare geschätzt; ","")))&amp;IF(H32&gt;AW32,"Überbestand "&amp;ROUND(H32-AW32,0)&amp;" Stk / CHF "&amp;ROUND((H32-AW32)*G32,0)&amp;"; ","")&amp;IF(AND(CI32=1,CJ32&lt;CK32),"MAX &lt; MB+LG; ","")&amp;IF(AND(CQ32&gt;0,CP32*10&gt;CQ32),"zu hoch für Tablar; ","")&amp;IF(AND(BW32=0,OR(CI32=1,AB32&lt;&gt;"",U32&lt;&gt;"",V32&lt;&gt;"",AC32&lt;&gt;"")),"manuell übersteuert; ","")&amp;IF(AND(CA32=0,R32=0),"Gebinde unbekannt / Stellmass fehlt; ","")&amp;IF(AND(CA32=0,N(V32)&lt;=0,N(Q32)&lt;=0),"Menge pro Gebinde fehlt (Ist = 1 Gebinde); ","")&amp;BV32)</f>
        <v>Kein Verbrauch; Gebinde geschätzt (Mittel); Überbestand 3 Stk / CHF 8403; Menge pro Gebinde fehlt (Ist = 1 Gebinde); </v>
      </c>
      <c r="BO32" s="60" t="s">
        <v>288</v>
      </c>
      <c r="BP32" s="60" t="s">
        <v>289</v>
      </c>
      <c r="BQ32" s="67"/>
      <c r="BR32" s="62" t="n">
        <v>4</v>
      </c>
      <c r="BS32" s="62" t="n">
        <v>0</v>
      </c>
      <c r="BT32" s="61" t="n">
        <v>11204</v>
      </c>
      <c r="BU32" s="62" t="n">
        <v>0</v>
      </c>
      <c r="BV32" s="60"/>
      <c r="BW32" s="65" t="n">
        <v>0</v>
      </c>
      <c r="BX32" s="65" t="n">
        <v>32</v>
      </c>
      <c r="BY32" s="60" t="str">
        <f aca="false">IF(U32&lt;&gt;"",UPPER(TRIM(U32)),IF(CB32=1,UPPER(VLOOKUP(T32,Parameter!$I$27:$K$29,2,0)),IF(P32="","LOSE",P32)))</f>
        <v>S61</v>
      </c>
      <c r="BZ32" s="62" t="n">
        <f aca="false">IF(BY32="LOSE",1,IF(N(V32)&gt;0,V32,IF(CB32=1,MAX(1,N(VLOOKUP(T32,Parameter!$I$27:$K$29,3,0)),H32,N(N32)),IF(N(Q32)&gt;0,Q32,MAX(1,H32)))))</f>
        <v>4</v>
      </c>
      <c r="CA32" s="65" t="n">
        <f aca="false">IF(BY32="LOSE",1,0)</f>
        <v>0</v>
      </c>
      <c r="CB32" s="65" t="n">
        <f aca="false">IF(AND(U32="",OR(P32="",P32="LOSE"),T32&lt;&gt;"",N(S32)&lt;=0,ISNUMBER(MATCH(T32,Parameter!$I$27:$I$29,0))),1,0)</f>
        <v>1</v>
      </c>
      <c r="CC32" s="65" t="n">
        <f aca="false">IF(CR32&gt;0,INDEX(Parameter!$H$5:$H$7,W32)/INDEX(Parameter!$E$5:$E$7,W32),IF(AND(CA32=0,N(IFERROR(VLOOKUP(BY32,'Gebinde-Kategorie'!$A$5:$N$45,14,0),0))&gt;0),VLOOKUP(BY32,'Gebinde-Kategorie'!$A$5:$N$45,14,0)*10+Parameter!$M$23,Parameter!$M$24))</f>
        <v>145</v>
      </c>
      <c r="CD32" s="60" t="str">
        <f aca="false">IF(AND(Parameter!$B$19="Ja",E32&lt;&gt;"",ISNUMBER(MATCH(E32,Parameter!$I$35:$I$52,0))),VLOOKUP(E32,Parameter!$I$35:$J$52,2,0),IFERROR(VLOOKUP(D32,Parameter!$A$35:$C$64,2,0),"Nein"))</f>
        <v>2+3</v>
      </c>
      <c r="CE32" s="64" t="n">
        <f aca="false">IF(CA32=0,0,IF(N(S32)&gt;0,S32,IFERROR(VLOOKUP(D32,Parameter!$A$35:$C$64,3,0)+0,0)))</f>
        <v>0</v>
      </c>
      <c r="CF32" s="60" t="n">
        <f aca="false">IF(AB32&lt;&gt;"",AB32,AA32)</f>
        <v>3</v>
      </c>
      <c r="CG32" s="60" t="str">
        <f aca="false">IF(OR(CF32=1,CF32=2,CF32=3),IF(Parameter!$E$27="Ja","LIFT",IF(CF32=1,"L1","L23")),IF(CF32="Aussen","Aussen","-"))</f>
        <v>LIFT</v>
      </c>
      <c r="CH32" s="71" t="n">
        <f aca="false">IF(N(AC32)&gt;0,AC32,0)</f>
        <v>0</v>
      </c>
      <c r="CI32" s="65" t="n">
        <f aca="false">IF(ISNUMBER(AF32),1,0)</f>
        <v>0</v>
      </c>
      <c r="CJ32" s="62" t="n">
        <f aca="false">N(AF32)</f>
        <v>0</v>
      </c>
      <c r="CK32" s="62" t="n">
        <f aca="false">N(M32)+N(N32)</f>
        <v>1</v>
      </c>
      <c r="CL32" s="62" t="n">
        <f aca="false">N(M32)</f>
        <v>0</v>
      </c>
      <c r="CM32" s="62" t="n">
        <f aca="false">N(N32)</f>
        <v>1</v>
      </c>
      <c r="CN32" s="62" t="n">
        <f aca="false">ROUNDUP(H32/BZ32,0)</f>
        <v>1</v>
      </c>
      <c r="CO32" s="62" t="n">
        <f aca="false">ROUNDUP(CJ32/BZ32,0)</f>
        <v>0</v>
      </c>
      <c r="CP32" s="65" t="n">
        <f aca="false">IF(CA32=1,0,IFERROR(VLOOKUP(BY32,'Gebinde-Kategorie'!$A$5:$N$45,5,0)+0,0))</f>
        <v>11</v>
      </c>
      <c r="CQ32" s="65" t="n">
        <f aca="false">IFERROR(IF(OR(CF32=1,CF32=2,CF32=3),N(INDEX(Parameter!$I$5:$I$7,CF32)),0),0)</f>
        <v>0</v>
      </c>
      <c r="CR32" s="64" t="n">
        <f aca="false">IF(AND(Parameter!$B$21="Ja",ISNUMBER(W32),N(X32)&gt;0),IFERROR(N(INDEX(Parameter!$L$5:$L$7,W32))*INDEX(Parameter!$E$5:$E$7,W32)*X32/SUMIFS($X$7:$X$1843,$W$7:$W$1843,W32),0),0)</f>
        <v>0</v>
      </c>
      <c r="CS32" s="62" t="n">
        <f aca="false">IF(AND(OR(CG32="L1",CG32="L23",CG32="LIFT"),H32&gt;0),CC32*IF(CR32&gt;0,CR32*MAX(1,H32/X32),IF(CA32=1,CE32,IF(R32&gt;0,CN32/R32,0))/MAX(0.1,N(Parameter!$M$21))),"")</f>
        <v>12.0833333333333</v>
      </c>
      <c r="CT32" s="64" t="n">
        <f aca="false">IF(CS32="","",J32/H32)</f>
        <v>0</v>
      </c>
      <c r="CU32" s="62" t="n">
        <f aca="false">IF(CS32="","",H32*G32)</f>
        <v>11204</v>
      </c>
      <c r="CV32" s="63" t="n">
        <f aca="false">IF(CS32="","",(CL32+ROUNDUP(CL32+MAX(CM32,2*(J32/MAX(0.1,N(Einkauf!$C$6))-CL32)),0))/2)</f>
        <v>0.5</v>
      </c>
      <c r="CW32" s="62" t="n">
        <f aca="false">IF(CS32="","",MAX(0,H32-CV32)*G32)</f>
        <v>9803.5</v>
      </c>
      <c r="CX32" s="62" t="n">
        <f aca="false">IF(CS32="","",CS32*MAX(0,1-CV32/H32))</f>
        <v>10.5729166666667</v>
      </c>
      <c r="CY32" s="64" t="n">
        <f aca="false">IF(CS32="","",PERCENTRANK($CS$7:$CS$1843,CS32)+PERCENTRANK($CU$7:$CU$1843,CU32)+1-PERCENTRANK($CT$7:$CT$1843,CT32))</f>
        <v>2.617</v>
      </c>
      <c r="CZ32" s="72" t="n">
        <f aca="false">IF(CS32="","",CHOOSE(MATCH(Einkauf!$C$5,Parameter!$G$23:$G$27,0),CY32,CS32,CU32,-CT32,CW32)+ROW()/1000000000)</f>
        <v>2.617000032</v>
      </c>
    </row>
    <row r="33" customFormat="false" ht="15" hidden="false" customHeight="false" outlineLevel="0" collapsed="false">
      <c r="A33" s="60" t="s">
        <v>290</v>
      </c>
      <c r="B33" s="60" t="s">
        <v>291</v>
      </c>
      <c r="C33" s="60" t="s">
        <v>206</v>
      </c>
      <c r="D33" s="60" t="s">
        <v>215</v>
      </c>
      <c r="E33" s="60"/>
      <c r="F33" s="60" t="s">
        <v>260</v>
      </c>
      <c r="G33" s="61" t="n">
        <v>256.88</v>
      </c>
      <c r="H33" s="62" t="n">
        <f aca="false">MAX(0,IF(AND(Parameter!$B$21="Ja",ISNUMBER(Y33)),Y33,IF(Parameter!$B$20="Jahresanfang 2025 + Export",BS33+BR33,BR33)))</f>
        <v>43</v>
      </c>
      <c r="I33" s="62" t="n">
        <f aca="false">H33*G33</f>
        <v>11045.84</v>
      </c>
      <c r="J33" s="62" t="n">
        <f aca="false">BU33*Parameter!$B$18</f>
        <v>0</v>
      </c>
      <c r="K33" s="63" t="n">
        <v>0</v>
      </c>
      <c r="L33" s="64" t="n">
        <v>0</v>
      </c>
      <c r="M33" s="62" t="n">
        <v>12</v>
      </c>
      <c r="N33" s="62" t="n">
        <v>48</v>
      </c>
      <c r="O33" s="65" t="n">
        <v>28</v>
      </c>
      <c r="P33" s="60" t="s">
        <v>210</v>
      </c>
      <c r="Q33" s="62"/>
      <c r="R33" s="65" t="n">
        <f aca="false">IF(CA33=1,0,IFERROR(VLOOKUP(BY33,'Gebinde-Kategorie'!$A$5:$N$45,13,0)+0,0))</f>
        <v>12</v>
      </c>
      <c r="S33" s="66"/>
      <c r="T33" s="67" t="s">
        <v>221</v>
      </c>
      <c r="U33" s="67"/>
      <c r="V33" s="67"/>
      <c r="W33" s="60"/>
      <c r="X33" s="62"/>
      <c r="Y33" s="62"/>
      <c r="Z33" s="60" t="n">
        <v>3</v>
      </c>
      <c r="AA33" s="60" t="n">
        <f aca="false">IF(A33="","",IF(AND(Parameter!$B$21="Ja",ISNUMBER(W33)),W33,IF(AND(Parameter!$E$27="Ja",ISNUMBER(Z33),CD33&lt;&gt;"Nein"),Z33,IF(CD33="2+3",IF(ISNUMBER(SEARCH("grosser Artikel",BV33)),2,IFERROR(VLOOKUP(BY33,Parameter!$F$35:$G$64,2,0),2)),IF(OR(CD33="Nein",CD33=""),"-",CD33)))))</f>
        <v>3</v>
      </c>
      <c r="AB33" s="67"/>
      <c r="AC33" s="68"/>
      <c r="AD33" s="62" t="n">
        <f aca="false">AW33</f>
        <v>60</v>
      </c>
      <c r="AE33" s="62" t="n">
        <f aca="false">MAX(AW33,H33)</f>
        <v>60</v>
      </c>
      <c r="AF33" s="69"/>
      <c r="AG33" s="62" t="n">
        <f aca="false">IF(LEFT(Cockpit!$C$5,1)="A",H33,IF(Parameter!$E$30="MAX-Bestand",IF(CI33=1,CJ33,IF(LEFT(Cockpit!$C$5,1)="B",AM33,MAX(AM33,H33))),ROUNDUP(AK33,0)))</f>
        <v>43</v>
      </c>
      <c r="AH33" s="62" t="n">
        <f aca="false">IF(CA33=1,0,ROUNDUP(AG33/BZ33,0))</f>
        <v>1</v>
      </c>
      <c r="AI33" s="64" t="n">
        <f aca="false">IF(CR33&gt;0,CR33*MAX(1,AG33/X33),IF(CA33=1,IF(AG33&lt;=0,0,CE33*MAX(1,IF(H33&gt;0,AG33/H33,1))),IF(R33&gt;0,AH33/R33,0))/MAX(0.1,N(Parameter!$M$21)))</f>
        <v>0.0833333333333333</v>
      </c>
      <c r="AJ33" s="62" t="n">
        <f aca="false">AI33*CC33</f>
        <v>12.0833333333333</v>
      </c>
      <c r="AK33" s="63" t="n">
        <f aca="false">IF(LEFT(Cockpit!$C$5,1)="A",H33,IF(CI33=1,(CL33+CJ33)/2,IF(LEFT(Cockpit!$C$5,1)="B",(CL33+AM33)/2,MAX((CL33+AM33)/2,H33))))</f>
        <v>43</v>
      </c>
      <c r="AL33" s="62" t="n">
        <f aca="false">AK33*G33</f>
        <v>11045.84</v>
      </c>
      <c r="AM33" s="62" t="n">
        <f aca="false">ROUNDUP(CL33+MAX(CM33,2*(J33/IF(CH33&gt;0,CH33,MAX(0.1,N(Cockpit!$C$6)))-CL33)),0)</f>
        <v>60</v>
      </c>
      <c r="AN33" s="63" t="n">
        <f aca="false">IF(AJ33&gt;0,J33/AJ33,-1)</f>
        <v>0</v>
      </c>
      <c r="AO33" s="63" t="n">
        <f aca="false">IF(AND(OR(CG33="L1",CG33="L23",CG33="LIFT"),AJ33&gt;0),SUMIFS($AJ$7:$AJ$1843,$CG$7:$CG$1843,CG33,$AN$7:$AN$1843,"&gt;"&amp;AN33)+SUMIFS($AJ$7:$AJ$1843,$CG$7:$CG$1843,CG33,$AN$7:$AN$1843,AN33,$BX$7:$BX$1843,"&lt;="&amp;BX33),"")</f>
        <v>25688.1885748432</v>
      </c>
      <c r="AP33" s="70" t="n">
        <f aca="false">IF(AO33="",0,MAX(0,MIN(1,(IF(CG33="L1",Parameter!$H$5,IF(CG33="L23",Parameter!$H$6+Parameter!$H$7,Parameter!$H$5+Parameter!$H$6+Parameter!$H$7))-(AO33-AJ33))/AJ33)))</f>
        <v>1</v>
      </c>
      <c r="AQ33" s="62" t="n">
        <f aca="false">IF(LEFT(Cockpit!$I$5,1)="A",H33,IF(Parameter!$E$30="MAX-Bestand",IF(CI33=1,CJ33,IF(LEFT(Cockpit!$I$5,1)="B",AW33,MAX(AW33,H33))),ROUNDUP(AU33,0)))</f>
        <v>43</v>
      </c>
      <c r="AR33" s="62" t="n">
        <f aca="false">IF(CA33=1,0,ROUNDUP(AQ33/BZ33,0))</f>
        <v>1</v>
      </c>
      <c r="AS33" s="64" t="n">
        <f aca="false">IF(CR33&gt;0,CR33*MAX(1,AQ33/X33),IF(CA33=1,IF(AQ33&lt;=0,0,CE33*MAX(1,IF(H33&gt;0,AQ33/H33,1))),IF(R33&gt;0,AR33/R33,0))/MAX(0.1,N(Parameter!$M$21)))</f>
        <v>0.0833333333333333</v>
      </c>
      <c r="AT33" s="62" t="n">
        <f aca="false">AS33*CC33</f>
        <v>12.0833333333333</v>
      </c>
      <c r="AU33" s="63" t="n">
        <f aca="false">IF(LEFT(Cockpit!$I$5,1)="A",H33,IF(CI33=1,(CL33+CJ33)/2,IF(LEFT(Cockpit!$I$5,1)="B",(CL33+AW33)/2,MAX((CL33+AW33)/2,H33))))</f>
        <v>43</v>
      </c>
      <c r="AV33" s="62" t="n">
        <f aca="false">AU33*G33</f>
        <v>11045.84</v>
      </c>
      <c r="AW33" s="62" t="n">
        <f aca="false">ROUNDUP(CL33+MAX(CM33,2*(J33/IF(CH33&gt;0,CH33,MAX(0.1,N(Cockpit!$I$6)))-CL33)),0)</f>
        <v>60</v>
      </c>
      <c r="AX33" s="63" t="n">
        <f aca="false">IF(AT33&gt;0,J33/AT33,-1)</f>
        <v>0</v>
      </c>
      <c r="AY33" s="63" t="n">
        <f aca="false">IF(AND(OR(CG33="L1",CG33="L23",CG33="LIFT"),AT33&gt;0),SUMIFS($AT$7:$AT$1843,$CG$7:$CG$1843,CG33,$AX$7:$AX$1843,"&gt;"&amp;AX33)+SUMIFS($AT$7:$AT$1843,$CG$7:$CG$1843,CG33,$AX$7:$AX$1843,AX33,$BX$7:$BX$1843,"&lt;="&amp;BX33),"")</f>
        <v>31041.3372162207</v>
      </c>
      <c r="AZ33" s="70" t="n">
        <f aca="false">IF(AY33="",0,MAX(0,MIN(1,(IF(CG33="L1",Parameter!$H$5,IF(CG33="L23",Parameter!$H$6+Parameter!$H$7,Parameter!$H$5+Parameter!$H$6+Parameter!$H$7))-(AY33-AT33))/AT33)))</f>
        <v>1</v>
      </c>
      <c r="BA33" s="62" t="n">
        <f aca="false">IF(LEFT(Cockpit!$O$5,1)="A",H33,IF(Parameter!$E$30="MAX-Bestand",IF(CI33=1,CJ33,IF(LEFT(Cockpit!$O$5,1)="B",BG33,MAX(BG33,H33))),ROUNDUP(BE33,0)))</f>
        <v>36</v>
      </c>
      <c r="BB33" s="62" t="n">
        <f aca="false">IF(CA33=1,0,ROUNDUP(BA33/BZ33,0))</f>
        <v>1</v>
      </c>
      <c r="BC33" s="64" t="n">
        <f aca="false">IF(CR33&gt;0,CR33*MAX(1,BA33/X33),IF(CA33=1,IF(BA33&lt;=0,0,CE33*MAX(1,IF(H33&gt;0,BA33/H33,1))),IF(R33&gt;0,BB33/R33,0))/MAX(0.1,N(Parameter!$M$21)))</f>
        <v>0.0833333333333333</v>
      </c>
      <c r="BD33" s="62" t="n">
        <f aca="false">BC33*CC33</f>
        <v>12.0833333333333</v>
      </c>
      <c r="BE33" s="63" t="n">
        <f aca="false">IF(LEFT(Cockpit!$O$5,1)="A",H33,IF(CI33=1,(CL33+CJ33)/2,IF(LEFT(Cockpit!$O$5,1)="B",(CL33+BG33)/2,MAX((CL33+BG33)/2,H33))))</f>
        <v>36</v>
      </c>
      <c r="BF33" s="62" t="n">
        <f aca="false">BE33*G33</f>
        <v>9247.68</v>
      </c>
      <c r="BG33" s="62" t="n">
        <f aca="false">ROUNDUP(CL33+MAX(CM33,2*(J33/IF(CH33&gt;0,CH33,MAX(0.1,N(Cockpit!$O$6)))-CL33)),0)</f>
        <v>60</v>
      </c>
      <c r="BH33" s="63" t="n">
        <f aca="false">IF(BD33&gt;0,J33/BD33,-1)</f>
        <v>0</v>
      </c>
      <c r="BI33" s="63" t="n">
        <f aca="false">IF(AND(OR(CG33="L1",CG33="L23",CG33="LIFT"),BD33&gt;0),SUMIFS($BD$7:$BD$1843,$CG$7:$CG$1843,CG33,$BH$7:$BH$1843,"&gt;"&amp;BH33)+SUMIFS($BD$7:$BD$1843,$CG$7:$CG$1843,CG33,$BH$7:$BH$1843,BH33,$BX$7:$BX$1843,"&lt;="&amp;BX33),"")</f>
        <v>25296.6690595186</v>
      </c>
      <c r="BJ33" s="70" t="n">
        <f aca="false">IF(BI33="",0,MAX(0,MIN(1,(IF(CG33="L1",Parameter!$H$5,IF(CG33="L23",Parameter!$H$6+Parameter!$H$7,Parameter!$H$5+Parameter!$H$6+Parameter!$H$7))-(BI33-BD33))/BD33)))</f>
        <v>1</v>
      </c>
      <c r="BK33" s="60" t="str">
        <f aca="false">IF(AJ33&lt;=0,"",IF(CG33="Aussen","Aussenlager",IF(CG33="-","Nicht im Lift",IF(AP33&gt;=1,"Lift",IF(AP33&lt;=0,"Aussenlager","teilweise")))))</f>
        <v>Lift</v>
      </c>
      <c r="BL33" s="60" t="str">
        <f aca="false">IF(AT33&lt;=0,"",IF(CG33="Aussen","Aussenlager",IF(CG33="-","Nicht im Lift",IF(AZ33&gt;=1,"Lift",IF(AZ33&lt;=0,"Aussenlager","teilweise")))))</f>
        <v>Lift</v>
      </c>
      <c r="BM33" s="60" t="str">
        <f aca="false">IF(BD33&lt;=0,"",IF(CG33="Aussen","Aussenlager",IF(CG33="-","Nicht im Lift",IF(BJ33&gt;=1,"Lift",IF(BJ33&lt;=0,"Aussenlager","teilweise")))))</f>
        <v>Lift</v>
      </c>
      <c r="BN33" s="60" t="str">
        <f aca="false">IF(A33="","",IF(BW33=1,"Neu; ","")&amp;IF(AND(BW33=0,BR33&lt;0),"negativer Bestand (Export "&amp;BR33&amp;"); ","")&amp;IF(J33&lt;=0,"Kein Verbrauch; ","")&amp;IF(CR33&gt;0,"Lift "&amp;W33&amp;" lt. Liftbericht (Fach "&amp;X33&amp;" Stk); ",IF(CB33=1,"Gebinde geschätzt ("&amp;T33&amp;"); ",IF(CA33=1,"Lose – Tablare geschätzt; ","")))&amp;IF(H33&gt;AW33,"Überbestand "&amp;ROUND(H33-AW33,0)&amp;" Stk / CHF "&amp;ROUND((H33-AW33)*G33,0)&amp;"; ","")&amp;IF(AND(CI33=1,CJ33&lt;CK33),"MAX &lt; MB+LG; ","")&amp;IF(AND(CQ33&gt;0,CP33*10&gt;CQ33),"zu hoch für Tablar; ","")&amp;IF(AND(BW33=0,OR(CI33=1,AB33&lt;&gt;"",U33&lt;&gt;"",V33&lt;&gt;"",AC33&lt;&gt;"")),"manuell übersteuert; ","")&amp;IF(AND(CA33=0,R33=0),"Gebinde unbekannt / Stellmass fehlt; ","")&amp;IF(AND(CA33=0,N(V33)&lt;=0,N(Q33)&lt;=0),"Menge pro Gebinde fehlt (Ist = 1 Gebinde); ","")&amp;BV33)</f>
        <v>Kein Verbrauch; Gebinde geschätzt (Mittel); Menge pro Gebinde fehlt (Ist = 1 Gebinde); </v>
      </c>
      <c r="BO33" s="60" t="s">
        <v>292</v>
      </c>
      <c r="BP33" s="60" t="s">
        <v>289</v>
      </c>
      <c r="BQ33" s="67"/>
      <c r="BR33" s="62" t="n">
        <v>43</v>
      </c>
      <c r="BS33" s="62" t="n">
        <v>0</v>
      </c>
      <c r="BT33" s="61" t="n">
        <v>11045.84</v>
      </c>
      <c r="BU33" s="62" t="n">
        <v>0</v>
      </c>
      <c r="BV33" s="60"/>
      <c r="BW33" s="65" t="n">
        <v>0</v>
      </c>
      <c r="BX33" s="65" t="n">
        <v>33</v>
      </c>
      <c r="BY33" s="60" t="str">
        <f aca="false">IF(U33&lt;&gt;"",UPPER(TRIM(U33)),IF(CB33=1,UPPER(VLOOKUP(T33,Parameter!$I$27:$K$29,2,0)),IF(P33="","LOSE",P33)))</f>
        <v>S61</v>
      </c>
      <c r="BZ33" s="62" t="n">
        <f aca="false">IF(BY33="LOSE",1,IF(N(V33)&gt;0,V33,IF(CB33=1,MAX(1,N(VLOOKUP(T33,Parameter!$I$27:$K$29,3,0)),H33,N(N33)),IF(N(Q33)&gt;0,Q33,MAX(1,H33)))))</f>
        <v>48</v>
      </c>
      <c r="CA33" s="65" t="n">
        <f aca="false">IF(BY33="LOSE",1,0)</f>
        <v>0</v>
      </c>
      <c r="CB33" s="65" t="n">
        <f aca="false">IF(AND(U33="",OR(P33="",P33="LOSE"),T33&lt;&gt;"",N(S33)&lt;=0,ISNUMBER(MATCH(T33,Parameter!$I$27:$I$29,0))),1,0)</f>
        <v>1</v>
      </c>
      <c r="CC33" s="65" t="n">
        <f aca="false">IF(CR33&gt;0,INDEX(Parameter!$H$5:$H$7,W33)/INDEX(Parameter!$E$5:$E$7,W33),IF(AND(CA33=0,N(IFERROR(VLOOKUP(BY33,'Gebinde-Kategorie'!$A$5:$N$45,14,0),0))&gt;0),VLOOKUP(BY33,'Gebinde-Kategorie'!$A$5:$N$45,14,0)*10+Parameter!$M$23,Parameter!$M$24))</f>
        <v>145</v>
      </c>
      <c r="CD33" s="60" t="str">
        <f aca="false">IF(AND(Parameter!$B$19="Ja",E33&lt;&gt;"",ISNUMBER(MATCH(E33,Parameter!$I$35:$I$52,0))),VLOOKUP(E33,Parameter!$I$35:$J$52,2,0),IFERROR(VLOOKUP(D33,Parameter!$A$35:$C$64,2,0),"Nein"))</f>
        <v>2+3</v>
      </c>
      <c r="CE33" s="64" t="n">
        <f aca="false">IF(CA33=0,0,IF(N(S33)&gt;0,S33,IFERROR(VLOOKUP(D33,Parameter!$A$35:$C$64,3,0)+0,0)))</f>
        <v>0</v>
      </c>
      <c r="CF33" s="60" t="n">
        <f aca="false">IF(AB33&lt;&gt;"",AB33,AA33)</f>
        <v>3</v>
      </c>
      <c r="CG33" s="60" t="str">
        <f aca="false">IF(OR(CF33=1,CF33=2,CF33=3),IF(Parameter!$E$27="Ja","LIFT",IF(CF33=1,"L1","L23")),IF(CF33="Aussen","Aussen","-"))</f>
        <v>LIFT</v>
      </c>
      <c r="CH33" s="71" t="n">
        <f aca="false">IF(N(AC33)&gt;0,AC33,0)</f>
        <v>0</v>
      </c>
      <c r="CI33" s="65" t="n">
        <f aca="false">IF(ISNUMBER(AF33),1,0)</f>
        <v>0</v>
      </c>
      <c r="CJ33" s="62" t="n">
        <f aca="false">N(AF33)</f>
        <v>0</v>
      </c>
      <c r="CK33" s="62" t="n">
        <f aca="false">N(M33)+N(N33)</f>
        <v>60</v>
      </c>
      <c r="CL33" s="62" t="n">
        <f aca="false">N(M33)</f>
        <v>12</v>
      </c>
      <c r="CM33" s="62" t="n">
        <f aca="false">N(N33)</f>
        <v>48</v>
      </c>
      <c r="CN33" s="62" t="n">
        <f aca="false">ROUNDUP(H33/BZ33,0)</f>
        <v>1</v>
      </c>
      <c r="CO33" s="62" t="n">
        <f aca="false">ROUNDUP(CJ33/BZ33,0)</f>
        <v>0</v>
      </c>
      <c r="CP33" s="65" t="n">
        <f aca="false">IF(CA33=1,0,IFERROR(VLOOKUP(BY33,'Gebinde-Kategorie'!$A$5:$N$45,5,0)+0,0))</f>
        <v>11</v>
      </c>
      <c r="CQ33" s="65" t="n">
        <f aca="false">IFERROR(IF(OR(CF33=1,CF33=2,CF33=3),N(INDEX(Parameter!$I$5:$I$7,CF33)),0),0)</f>
        <v>0</v>
      </c>
      <c r="CR33" s="64" t="n">
        <f aca="false">IF(AND(Parameter!$B$21="Ja",ISNUMBER(W33),N(X33)&gt;0),IFERROR(N(INDEX(Parameter!$L$5:$L$7,W33))*INDEX(Parameter!$E$5:$E$7,W33)*X33/SUMIFS($X$7:$X$1843,$W$7:$W$1843,W33),0),0)</f>
        <v>0</v>
      </c>
      <c r="CS33" s="62" t="n">
        <f aca="false">IF(AND(OR(CG33="L1",CG33="L23",CG33="LIFT"),H33&gt;0),CC33*IF(CR33&gt;0,CR33*MAX(1,H33/X33),IF(CA33=1,CE33,IF(R33&gt;0,CN33/R33,0))/MAX(0.1,N(Parameter!$M$21))),"")</f>
        <v>12.0833333333333</v>
      </c>
      <c r="CT33" s="64" t="n">
        <f aca="false">IF(CS33="","",J33/H33)</f>
        <v>0</v>
      </c>
      <c r="CU33" s="62" t="n">
        <f aca="false">IF(CS33="","",H33*G33)</f>
        <v>11045.84</v>
      </c>
      <c r="CV33" s="63" t="n">
        <f aca="false">IF(CS33="","",(CL33+ROUNDUP(CL33+MAX(CM33,2*(J33/MAX(0.1,N(Einkauf!$C$6))-CL33)),0))/2)</f>
        <v>36</v>
      </c>
      <c r="CW33" s="62" t="n">
        <f aca="false">IF(CS33="","",MAX(0,H33-CV33)*G33)</f>
        <v>1798.16</v>
      </c>
      <c r="CX33" s="62" t="n">
        <f aca="false">IF(CS33="","",CS33*MAX(0,1-CV33/H33))</f>
        <v>1.96705426356589</v>
      </c>
      <c r="CY33" s="64" t="n">
        <f aca="false">IF(CS33="","",PERCENTRANK($CS$7:$CS$1843,CS33)+PERCENTRANK($CU$7:$CU$1843,CU33)+1-PERCENTRANK($CT$7:$CT$1843,CT33))</f>
        <v>2.616</v>
      </c>
      <c r="CZ33" s="72" t="n">
        <f aca="false">IF(CS33="","",CHOOSE(MATCH(Einkauf!$C$5,Parameter!$G$23:$G$27,0),CY33,CS33,CU33,-CT33,CW33)+ROW()/1000000000)</f>
        <v>2.616000033</v>
      </c>
    </row>
    <row r="34" customFormat="false" ht="15" hidden="false" customHeight="false" outlineLevel="0" collapsed="false">
      <c r="A34" s="60" t="s">
        <v>293</v>
      </c>
      <c r="B34" s="60" t="s">
        <v>248</v>
      </c>
      <c r="C34" s="60" t="s">
        <v>206</v>
      </c>
      <c r="D34" s="60" t="s">
        <v>215</v>
      </c>
      <c r="E34" s="60"/>
      <c r="F34" s="60" t="s">
        <v>260</v>
      </c>
      <c r="G34" s="61" t="n">
        <v>3576.83</v>
      </c>
      <c r="H34" s="62" t="n">
        <f aca="false">MAX(0,IF(AND(Parameter!$B$21="Ja",ISNUMBER(Y34)),Y34,IF(Parameter!$B$20="Jahresanfang 2025 + Export",BS34+BR34,BR34)))</f>
        <v>5</v>
      </c>
      <c r="I34" s="62" t="n">
        <f aca="false">H34*G34</f>
        <v>17884.15</v>
      </c>
      <c r="J34" s="62" t="n">
        <f aca="false">BU34*Parameter!$B$18</f>
        <v>2</v>
      </c>
      <c r="K34" s="63" t="n">
        <v>4.5</v>
      </c>
      <c r="L34" s="64" t="n">
        <v>0.444444444444444</v>
      </c>
      <c r="M34" s="62" t="n">
        <v>2</v>
      </c>
      <c r="N34" s="62" t="n">
        <v>5</v>
      </c>
      <c r="O34" s="65" t="n">
        <v>84</v>
      </c>
      <c r="P34" s="60" t="s">
        <v>210</v>
      </c>
      <c r="Q34" s="62"/>
      <c r="R34" s="65" t="n">
        <f aca="false">IF(CA34=1,0,IFERROR(VLOOKUP(BY34,'Gebinde-Kategorie'!$A$5:$N$45,13,0)+0,0))</f>
        <v>0</v>
      </c>
      <c r="S34" s="66"/>
      <c r="T34" s="67"/>
      <c r="U34" s="67"/>
      <c r="V34" s="67"/>
      <c r="W34" s="60" t="n">
        <v>1</v>
      </c>
      <c r="X34" s="62" t="n">
        <v>6</v>
      </c>
      <c r="Y34" s="62" t="n">
        <v>5</v>
      </c>
      <c r="Z34" s="60" t="n">
        <v>1</v>
      </c>
      <c r="AA34" s="60" t="n">
        <f aca="false">IF(A34="","",IF(AND(Parameter!$B$21="Ja",ISNUMBER(W34)),W34,IF(AND(Parameter!$E$27="Ja",ISNUMBER(Z34),CD34&lt;&gt;"Nein"),Z34,IF(CD34="2+3",IF(ISNUMBER(SEARCH("grosser Artikel",BV34)),2,IFERROR(VLOOKUP(BY34,Parameter!$F$35:$G$64,2,0),2)),IF(OR(CD34="Nein",CD34=""),"-",CD34)))))</f>
        <v>1</v>
      </c>
      <c r="AB34" s="67"/>
      <c r="AC34" s="68"/>
      <c r="AD34" s="62" t="n">
        <f aca="false">AW34</f>
        <v>7</v>
      </c>
      <c r="AE34" s="62" t="n">
        <f aca="false">MAX(AW34,H34)</f>
        <v>7</v>
      </c>
      <c r="AF34" s="69"/>
      <c r="AG34" s="62" t="n">
        <f aca="false">IF(LEFT(Cockpit!$C$5,1)="A",H34,IF(Parameter!$E$30="MAX-Bestand",IF(CI34=1,CJ34,IF(LEFT(Cockpit!$C$5,1)="B",AM34,MAX(AM34,H34))),ROUNDUP(AK34,0)))</f>
        <v>5</v>
      </c>
      <c r="AH34" s="62" t="n">
        <f aca="false">IF(CA34=1,0,ROUNDUP(AG34/BZ34,0))</f>
        <v>0</v>
      </c>
      <c r="AI34" s="64" t="n">
        <f aca="false">IF(CR34&gt;0,CR34*MAX(1,AG34/X34),IF(CA34=1,IF(AG34&lt;=0,0,CE34*MAX(1,IF(H34&gt;0,AG34/H34,1))),IF(R34&gt;0,AH34/R34,0))/MAX(0.1,N(Parameter!$M$21)))</f>
        <v>0.480225988700565</v>
      </c>
      <c r="AJ34" s="62" t="n">
        <f aca="false">AI34*CC34</f>
        <v>114.293785310734</v>
      </c>
      <c r="AK34" s="63" t="n">
        <f aca="false">IF(LEFT(Cockpit!$C$5,1)="A",H34,IF(CI34=1,(CL34+CJ34)/2,IF(LEFT(Cockpit!$C$5,1)="B",(CL34+AM34)/2,MAX((CL34+AM34)/2,H34))))</f>
        <v>5</v>
      </c>
      <c r="AL34" s="62" t="n">
        <f aca="false">AK34*G34</f>
        <v>17884.15</v>
      </c>
      <c r="AM34" s="62" t="n">
        <f aca="false">ROUNDUP(CL34+MAX(CM34,2*(J34/IF(CH34&gt;0,CH34,MAX(0.1,N(Cockpit!$C$6)))-CL34)),0)</f>
        <v>7</v>
      </c>
      <c r="AN34" s="63" t="n">
        <f aca="false">IF(AJ34&gt;0,J34/AJ34,-1)</f>
        <v>0.017498764211567</v>
      </c>
      <c r="AO34" s="63" t="n">
        <f aca="false">IF(AND(OR(CG34="L1",CG34="L23",CG34="LIFT"),AJ34&gt;0),SUMIFS($AJ$7:$AJ$1843,$CG$7:$CG$1843,CG34,$AN$7:$AN$1843,"&gt;"&amp;AN34)+SUMIFS($AJ$7:$AJ$1843,$CG$7:$CG$1843,CG34,$AN$7:$AN$1843,AN34,$BX$7:$BX$1843,"&lt;="&amp;BX34),"")</f>
        <v>23415.7302078806</v>
      </c>
      <c r="AP34" s="70" t="n">
        <f aca="false">IF(AO34="",0,MAX(0,MIN(1,(IF(CG34="L1",Parameter!$H$5,IF(CG34="L23",Parameter!$H$6+Parameter!$H$7,Parameter!$H$5+Parameter!$H$6+Parameter!$H$7))-(AO34-AJ34))/AJ34)))</f>
        <v>1</v>
      </c>
      <c r="AQ34" s="62" t="n">
        <f aca="false">IF(LEFT(Cockpit!$I$5,1)="A",H34,IF(Parameter!$E$30="MAX-Bestand",IF(CI34=1,CJ34,IF(LEFT(Cockpit!$I$5,1)="B",AW34,MAX(AW34,H34))),ROUNDUP(AU34,0)))</f>
        <v>5</v>
      </c>
      <c r="AR34" s="62" t="n">
        <f aca="false">IF(CA34=1,0,ROUNDUP(AQ34/BZ34,0))</f>
        <v>0</v>
      </c>
      <c r="AS34" s="64" t="n">
        <f aca="false">IF(CR34&gt;0,CR34*MAX(1,AQ34/X34),IF(CA34=1,IF(AQ34&lt;=0,0,CE34*MAX(1,IF(H34&gt;0,AQ34/H34,1))),IF(R34&gt;0,AR34/R34,0))/MAX(0.1,N(Parameter!$M$21)))</f>
        <v>0.480225988700565</v>
      </c>
      <c r="AT34" s="62" t="n">
        <f aca="false">AS34*CC34</f>
        <v>114.293785310734</v>
      </c>
      <c r="AU34" s="63" t="n">
        <f aca="false">IF(LEFT(Cockpit!$I$5,1)="A",H34,IF(CI34=1,(CL34+CJ34)/2,IF(LEFT(Cockpit!$I$5,1)="B",(CL34+AW34)/2,MAX((CL34+AW34)/2,H34))))</f>
        <v>5</v>
      </c>
      <c r="AV34" s="62" t="n">
        <f aca="false">AU34*G34</f>
        <v>17884.15</v>
      </c>
      <c r="AW34" s="62" t="n">
        <f aca="false">ROUNDUP(CL34+MAX(CM34,2*(J34/IF(CH34&gt;0,CH34,MAX(0.1,N(Cockpit!$I$6)))-CL34)),0)</f>
        <v>7</v>
      </c>
      <c r="AX34" s="63" t="n">
        <f aca="false">IF(AT34&gt;0,J34/AT34,-1)</f>
        <v>0.017498764211567</v>
      </c>
      <c r="AY34" s="63" t="n">
        <f aca="false">IF(AND(OR(CG34="L1",CG34="L23",CG34="LIFT"),AT34&gt;0),SUMIFS($AT$7:$AT$1843,$CG$7:$CG$1843,CG34,$AX$7:$AX$1843,"&gt;"&amp;AX34)+SUMIFS($AT$7:$AT$1843,$CG$7:$CG$1843,CG34,$AX$7:$AX$1843,AX34,$BX$7:$BX$1843,"&lt;="&amp;BX34),"")</f>
        <v>28651.3788492581</v>
      </c>
      <c r="AZ34" s="70" t="n">
        <f aca="false">IF(AY34="",0,MAX(0,MIN(1,(IF(CG34="L1",Parameter!$H$5,IF(CG34="L23",Parameter!$H$6+Parameter!$H$7,Parameter!$H$5+Parameter!$H$6+Parameter!$H$7))-(AY34-AT34))/AT34)))</f>
        <v>1</v>
      </c>
      <c r="BA34" s="62" t="n">
        <f aca="false">IF(LEFT(Cockpit!$O$5,1)="A",H34,IF(Parameter!$E$30="MAX-Bestand",IF(CI34=1,CJ34,IF(LEFT(Cockpit!$O$5,1)="B",BG34,MAX(BG34,H34))),ROUNDUP(BE34,0)))</f>
        <v>5</v>
      </c>
      <c r="BB34" s="62" t="n">
        <f aca="false">IF(CA34=1,0,ROUNDUP(BA34/BZ34,0))</f>
        <v>0</v>
      </c>
      <c r="BC34" s="64" t="n">
        <f aca="false">IF(CR34&gt;0,CR34*MAX(1,BA34/X34),IF(CA34=1,IF(BA34&lt;=0,0,CE34*MAX(1,IF(H34&gt;0,BA34/H34,1))),IF(R34&gt;0,BB34/R34,0))/MAX(0.1,N(Parameter!$M$21)))</f>
        <v>0.480225988700565</v>
      </c>
      <c r="BD34" s="62" t="n">
        <f aca="false">BC34*CC34</f>
        <v>114.293785310734</v>
      </c>
      <c r="BE34" s="63" t="n">
        <f aca="false">IF(LEFT(Cockpit!$O$5,1)="A",H34,IF(CI34=1,(CL34+CJ34)/2,IF(LEFT(Cockpit!$O$5,1)="B",(CL34+BG34)/2,MAX((CL34+BG34)/2,H34))))</f>
        <v>4.5</v>
      </c>
      <c r="BF34" s="62" t="n">
        <f aca="false">BE34*G34</f>
        <v>16095.735</v>
      </c>
      <c r="BG34" s="62" t="n">
        <f aca="false">ROUNDUP(CL34+MAX(CM34,2*(J34/IF(CH34&gt;0,CH34,MAX(0.1,N(Cockpit!$O$6)))-CL34)),0)</f>
        <v>7</v>
      </c>
      <c r="BH34" s="63" t="n">
        <f aca="false">IF(BD34&gt;0,J34/BD34,-1)</f>
        <v>0.017498764211567</v>
      </c>
      <c r="BI34" s="63" t="n">
        <f aca="false">IF(AND(OR(CG34="L1",CG34="L23",CG34="LIFT"),BD34&gt;0),SUMIFS($BD$7:$BD$1843,$CG$7:$CG$1843,CG34,$BH$7:$BH$1843,"&gt;"&amp;BH34)+SUMIFS($BD$7:$BD$1843,$CG$7:$CG$1843,CG34,$BH$7:$BH$1843,BH34,$BX$7:$BX$1843,"&lt;="&amp;BX34),"")</f>
        <v>24197.1273592227</v>
      </c>
      <c r="BJ34" s="70" t="n">
        <f aca="false">IF(BI34="",0,MAX(0,MIN(1,(IF(CG34="L1",Parameter!$H$5,IF(CG34="L23",Parameter!$H$6+Parameter!$H$7,Parameter!$H$5+Parameter!$H$6+Parameter!$H$7))-(BI34-BD34))/BD34)))</f>
        <v>1</v>
      </c>
      <c r="BK34" s="60" t="str">
        <f aca="false">IF(AJ34&lt;=0,"",IF(CG34="Aussen","Aussenlager",IF(CG34="-","Nicht im Lift",IF(AP34&gt;=1,"Lift",IF(AP34&lt;=0,"Aussenlager","teilweise")))))</f>
        <v>Lift</v>
      </c>
      <c r="BL34" s="60" t="str">
        <f aca="false">IF(AT34&lt;=0,"",IF(CG34="Aussen","Aussenlager",IF(CG34="-","Nicht im Lift",IF(AZ34&gt;=1,"Lift",IF(AZ34&lt;=0,"Aussenlager","teilweise")))))</f>
        <v>Lift</v>
      </c>
      <c r="BM34" s="60" t="str">
        <f aca="false">IF(BD34&lt;=0,"",IF(CG34="Aussen","Aussenlager",IF(CG34="-","Nicht im Lift",IF(BJ34&gt;=1,"Lift",IF(BJ34&lt;=0,"Aussenlager","teilweise")))))</f>
        <v>Lift</v>
      </c>
      <c r="BN34" s="60" t="str">
        <f aca="false">IF(A34="","",IF(BW34=1,"Neu; ","")&amp;IF(AND(BW34=0,BR34&lt;0),"negativer Bestand (Export "&amp;BR34&amp;"); ","")&amp;IF(J34&lt;=0,"Kein Verbrauch; ","")&amp;IF(CR34&gt;0,"Lift "&amp;W34&amp;" lt. Liftbericht (Fach "&amp;X34&amp;" Stk); ",IF(CB34=1,"Gebinde geschätzt ("&amp;T34&amp;"); ",IF(CA34=1,"Lose – Tablare geschätzt; ","")))&amp;IF(H34&gt;AW34,"Überbestand "&amp;ROUND(H34-AW34,0)&amp;" Stk / CHF "&amp;ROUND((H34-AW34)*G34,0)&amp;"; ","")&amp;IF(AND(CI34=1,CJ34&lt;CK34),"MAX &lt; MB+LG; ","")&amp;IF(AND(CQ34&gt;0,CP34*10&gt;CQ34),"zu hoch für Tablar; ","")&amp;IF(AND(BW34=0,OR(CI34=1,AB34&lt;&gt;"",U34&lt;&gt;"",V34&lt;&gt;"",AC34&lt;&gt;"")),"manuell übersteuert; ","")&amp;IF(AND(CA34=0,R34=0),"Gebinde unbekannt / Stellmass fehlt; ","")&amp;IF(AND(CA34=0,N(V34)&lt;=0,N(Q34)&lt;=0),"Menge pro Gebinde fehlt (Ist = 1 Gebinde); ","")&amp;BV34)</f>
        <v>Lift 1 lt. Liftbericht (Fach 6 Stk); </v>
      </c>
      <c r="BO34" s="60"/>
      <c r="BP34" s="60"/>
      <c r="BQ34" s="67"/>
      <c r="BR34" s="62" t="n">
        <v>3</v>
      </c>
      <c r="BS34" s="62" t="n">
        <v>3</v>
      </c>
      <c r="BT34" s="61" t="n">
        <v>10844.04</v>
      </c>
      <c r="BU34" s="62" t="n">
        <v>2</v>
      </c>
      <c r="BV34" s="60"/>
      <c r="BW34" s="65" t="n">
        <v>0</v>
      </c>
      <c r="BX34" s="65" t="n">
        <v>34</v>
      </c>
      <c r="BY34" s="60" t="str">
        <f aca="false">IF(U34&lt;&gt;"",UPPER(TRIM(U34)),IF(CB34=1,UPPER(VLOOKUP(T34,Parameter!$I$27:$K$29,2,0)),IF(P34="","LOSE",P34)))</f>
        <v>LOSE</v>
      </c>
      <c r="BZ34" s="62" t="n">
        <f aca="false">IF(BY34="LOSE",1,IF(N(V34)&gt;0,V34,IF(CB34=1,MAX(1,N(VLOOKUP(T34,Parameter!$I$27:$K$29,3,0)),H34,N(N34)),IF(N(Q34)&gt;0,Q34,MAX(1,H34)))))</f>
        <v>1</v>
      </c>
      <c r="CA34" s="65" t="n">
        <f aca="false">IF(BY34="LOSE",1,0)</f>
        <v>1</v>
      </c>
      <c r="CB34" s="65" t="n">
        <f aca="false">IF(AND(U34="",OR(P34="",P34="LOSE"),T34&lt;&gt;"",N(S34)&lt;=0,ISNUMBER(MATCH(T34,Parameter!$I$27:$I$29,0))),1,0)</f>
        <v>0</v>
      </c>
      <c r="CC34" s="65" t="n">
        <f aca="false">IF(CR34&gt;0,INDEX(Parameter!$H$5:$H$7,W34)/INDEX(Parameter!$E$5:$E$7,W34),IF(AND(CA34=0,N(IFERROR(VLOOKUP(BY34,'Gebinde-Kategorie'!$A$5:$N$45,14,0),0))&gt;0),VLOOKUP(BY34,'Gebinde-Kategorie'!$A$5:$N$45,14,0)*10+Parameter!$M$23,Parameter!$M$24))</f>
        <v>238</v>
      </c>
      <c r="CD34" s="60" t="str">
        <f aca="false">IF(AND(Parameter!$B$19="Ja",E34&lt;&gt;"",ISNUMBER(MATCH(E34,Parameter!$I$35:$I$52,0))),VLOOKUP(E34,Parameter!$I$35:$J$52,2,0),IFERROR(VLOOKUP(D34,Parameter!$A$35:$C$64,2,0),"Nein"))</f>
        <v>2+3</v>
      </c>
      <c r="CE34" s="64" t="n">
        <f aca="false">IF(CA34=0,0,IF(N(S34)&gt;0,S34,IFERROR(VLOOKUP(D34,Parameter!$A$35:$C$64,3,0)+0,0)))</f>
        <v>0.15</v>
      </c>
      <c r="CF34" s="60" t="n">
        <f aca="false">IF(AB34&lt;&gt;"",AB34,AA34)</f>
        <v>1</v>
      </c>
      <c r="CG34" s="60" t="str">
        <f aca="false">IF(OR(CF34=1,CF34=2,CF34=3),IF(Parameter!$E$27="Ja","LIFT",IF(CF34=1,"L1","L23")),IF(CF34="Aussen","Aussen","-"))</f>
        <v>LIFT</v>
      </c>
      <c r="CH34" s="71" t="n">
        <f aca="false">IF(N(AC34)&gt;0,AC34,0)</f>
        <v>0</v>
      </c>
      <c r="CI34" s="65" t="n">
        <f aca="false">IF(ISNUMBER(AF34),1,0)</f>
        <v>0</v>
      </c>
      <c r="CJ34" s="62" t="n">
        <f aca="false">N(AF34)</f>
        <v>0</v>
      </c>
      <c r="CK34" s="62" t="n">
        <f aca="false">N(M34)+N(N34)</f>
        <v>7</v>
      </c>
      <c r="CL34" s="62" t="n">
        <f aca="false">N(M34)</f>
        <v>2</v>
      </c>
      <c r="CM34" s="62" t="n">
        <f aca="false">N(N34)</f>
        <v>5</v>
      </c>
      <c r="CN34" s="62" t="n">
        <f aca="false">ROUNDUP(H34/BZ34,0)</f>
        <v>5</v>
      </c>
      <c r="CO34" s="62" t="n">
        <f aca="false">ROUNDUP(CJ34/BZ34,0)</f>
        <v>0</v>
      </c>
      <c r="CP34" s="65" t="n">
        <f aca="false">IF(CA34=1,0,IFERROR(VLOOKUP(BY34,'Gebinde-Kategorie'!$A$5:$N$45,5,0)+0,0))</f>
        <v>0</v>
      </c>
      <c r="CQ34" s="65" t="n">
        <f aca="false">IFERROR(IF(OR(CF34=1,CF34=2,CF34=3),N(INDEX(Parameter!$I$5:$I$7,CF34)),0),0)</f>
        <v>0</v>
      </c>
      <c r="CR34" s="64" t="n">
        <f aca="false">IF(AND(Parameter!$B$21="Ja",ISNUMBER(W34),N(X34)&gt;0),IFERROR(N(INDEX(Parameter!$L$5:$L$7,W34))*INDEX(Parameter!$E$5:$E$7,W34)*X34/SUMIFS($X$7:$X$1843,$W$7:$W$1843,W34),0),0)</f>
        <v>0.480225988700565</v>
      </c>
      <c r="CS34" s="62" t="n">
        <f aca="false">IF(AND(OR(CG34="L1",CG34="L23",CG34="LIFT"),H34&gt;0),CC34*IF(CR34&gt;0,CR34*MAX(1,H34/X34),IF(CA34=1,CE34,IF(R34&gt;0,CN34/R34,0))/MAX(0.1,N(Parameter!$M$21))),"")</f>
        <v>114.293785310734</v>
      </c>
      <c r="CT34" s="64" t="n">
        <f aca="false">IF(CS34="","",J34/H34)</f>
        <v>0.4</v>
      </c>
      <c r="CU34" s="62" t="n">
        <f aca="false">IF(CS34="","",H34*G34)</f>
        <v>17884.15</v>
      </c>
      <c r="CV34" s="63" t="n">
        <f aca="false">IF(CS34="","",(CL34+ROUNDUP(CL34+MAX(CM34,2*(J34/MAX(0.1,N(Einkauf!$C$6))-CL34)),0))/2)</f>
        <v>4.5</v>
      </c>
      <c r="CW34" s="62" t="n">
        <f aca="false">IF(CS34="","",MAX(0,H34-CV34)*G34)</f>
        <v>1788.415</v>
      </c>
      <c r="CX34" s="62" t="n">
        <f aca="false">IF(CS34="","",CS34*MAX(0,1-CV34/H34))</f>
        <v>11.4293785310734</v>
      </c>
      <c r="CY34" s="64" t="n">
        <f aca="false">IF(CS34="","",PERCENTRANK($CS$7:$CS$1843,CS34)+PERCENTRANK($CU$7:$CU$1843,CU34)+1-PERCENTRANK($CT$7:$CT$1843,CT34))</f>
        <v>2.414</v>
      </c>
      <c r="CZ34" s="72" t="n">
        <f aca="false">IF(CS34="","",CHOOSE(MATCH(Einkauf!$C$5,Parameter!$G$23:$G$27,0),CY34,CS34,CU34,-CT34,CW34)+ROW()/1000000000)</f>
        <v>2.414000034</v>
      </c>
    </row>
    <row r="35" customFormat="false" ht="15" hidden="false" customHeight="false" outlineLevel="0" collapsed="false">
      <c r="A35" s="60" t="s">
        <v>294</v>
      </c>
      <c r="B35" s="60" t="s">
        <v>295</v>
      </c>
      <c r="C35" s="60" t="s">
        <v>206</v>
      </c>
      <c r="D35" s="60" t="s">
        <v>207</v>
      </c>
      <c r="E35" s="60" t="s">
        <v>208</v>
      </c>
      <c r="F35" s="60" t="s">
        <v>260</v>
      </c>
      <c r="G35" s="61" t="n">
        <v>1373.75</v>
      </c>
      <c r="H35" s="62" t="n">
        <f aca="false">MAX(0,IF(AND(Parameter!$B$21="Ja",ISNUMBER(Y35)),Y35,IF(Parameter!$B$20="Jahresanfang 2025 + Export",BS35+BR35,BR35)))</f>
        <v>19</v>
      </c>
      <c r="I35" s="62" t="n">
        <f aca="false">H35*G35</f>
        <v>26101.25</v>
      </c>
      <c r="J35" s="62" t="n">
        <f aca="false">BU35*Parameter!$B$18</f>
        <v>17</v>
      </c>
      <c r="K35" s="63" t="n">
        <v>26</v>
      </c>
      <c r="L35" s="64" t="n">
        <v>0.653846153846154</v>
      </c>
      <c r="M35" s="62" t="n">
        <v>4</v>
      </c>
      <c r="N35" s="62" t="n">
        <v>5</v>
      </c>
      <c r="O35" s="65" t="n">
        <v>70</v>
      </c>
      <c r="P35" s="60" t="s">
        <v>210</v>
      </c>
      <c r="Q35" s="62"/>
      <c r="R35" s="65" t="n">
        <f aca="false">IF(CA35=1,0,IFERROR(VLOOKUP(BY35,'Gebinde-Kategorie'!$A$5:$N$45,13,0)+0,0))</f>
        <v>0</v>
      </c>
      <c r="S35" s="66"/>
      <c r="T35" s="67"/>
      <c r="U35" s="67"/>
      <c r="V35" s="67"/>
      <c r="W35" s="60" t="n">
        <v>1</v>
      </c>
      <c r="X35" s="62" t="n">
        <v>34</v>
      </c>
      <c r="Y35" s="62" t="n">
        <v>19</v>
      </c>
      <c r="Z35" s="60" t="n">
        <v>1</v>
      </c>
      <c r="AA35" s="60" t="n">
        <f aca="false">IF(A35="","",IF(AND(Parameter!$B$21="Ja",ISNUMBER(W35)),W35,IF(AND(Parameter!$E$27="Ja",ISNUMBER(Z35),CD35&lt;&gt;"Nein"),Z35,IF(CD35="2+3",IF(ISNUMBER(SEARCH("grosser Artikel",BV35)),2,IFERROR(VLOOKUP(BY35,Parameter!$F$35:$G$64,2,0),2)),IF(OR(CD35="Nein",CD35=""),"-",CD35)))))</f>
        <v>1</v>
      </c>
      <c r="AB35" s="67"/>
      <c r="AC35" s="68"/>
      <c r="AD35" s="62" t="n">
        <f aca="false">AW35</f>
        <v>9</v>
      </c>
      <c r="AE35" s="62" t="n">
        <f aca="false">MAX(AW35,H35)</f>
        <v>19</v>
      </c>
      <c r="AF35" s="69"/>
      <c r="AG35" s="62" t="n">
        <f aca="false">IF(LEFT(Cockpit!$C$5,1)="A",H35,IF(Parameter!$E$30="MAX-Bestand",IF(CI35=1,CJ35,IF(LEFT(Cockpit!$C$5,1)="B",AM35,MAX(AM35,H35))),ROUNDUP(AK35,0)))</f>
        <v>19</v>
      </c>
      <c r="AH35" s="62" t="n">
        <f aca="false">IF(CA35=1,0,ROUNDUP(AG35/BZ35,0))</f>
        <v>0</v>
      </c>
      <c r="AI35" s="64" t="n">
        <f aca="false">IF(CR35&gt;0,CR35*MAX(1,AG35/X35),IF(CA35=1,IF(AG35&lt;=0,0,CE35*MAX(1,IF(H35&gt;0,AG35/H35,1))),IF(R35&gt;0,AH35/R35,0))/MAX(0.1,N(Parameter!$M$21)))</f>
        <v>2.72128060263654</v>
      </c>
      <c r="AJ35" s="62" t="n">
        <f aca="false">AI35*CC35</f>
        <v>647.664783427495</v>
      </c>
      <c r="AK35" s="63" t="n">
        <f aca="false">IF(LEFT(Cockpit!$C$5,1)="A",H35,IF(CI35=1,(CL35+CJ35)/2,IF(LEFT(Cockpit!$C$5,1)="B",(CL35+AM35)/2,MAX((CL35+AM35)/2,H35))))</f>
        <v>19</v>
      </c>
      <c r="AL35" s="62" t="n">
        <f aca="false">AK35*G35</f>
        <v>26101.25</v>
      </c>
      <c r="AM35" s="62" t="n">
        <f aca="false">ROUNDUP(CL35+MAX(CM35,2*(J35/IF(CH35&gt;0,CH35,MAX(0.1,N(Cockpit!$C$6)))-CL35)),0)</f>
        <v>9</v>
      </c>
      <c r="AN35" s="63" t="n">
        <f aca="false">IF(AJ35&gt;0,J35/AJ35,-1)</f>
        <v>0.0262481463173505</v>
      </c>
      <c r="AO35" s="63" t="n">
        <f aca="false">IF(AND(OR(CG35="L1",CG35="L23",CG35="LIFT"),AJ35&gt;0),SUMIFS($AJ$7:$AJ$1843,$CG$7:$CG$1843,CG35,$AN$7:$AN$1843,"&gt;"&amp;AN35)+SUMIFS($AJ$7:$AJ$1843,$CG$7:$CG$1843,CG35,$AN$7:$AN$1843,AN35,$BX$7:$BX$1843,"&lt;="&amp;BX35),"")</f>
        <v>21615.3166195857</v>
      </c>
      <c r="AP35" s="70" t="n">
        <f aca="false">IF(AO35="",0,MAX(0,MIN(1,(IF(CG35="L1",Parameter!$H$5,IF(CG35="L23",Parameter!$H$6+Parameter!$H$7,Parameter!$H$5+Parameter!$H$6+Parameter!$H$7))-(AO35-AJ35))/AJ35)))</f>
        <v>1</v>
      </c>
      <c r="AQ35" s="62" t="n">
        <f aca="false">IF(LEFT(Cockpit!$I$5,1)="A",H35,IF(Parameter!$E$30="MAX-Bestand",IF(CI35=1,CJ35,IF(LEFT(Cockpit!$I$5,1)="B",AW35,MAX(AW35,H35))),ROUNDUP(AU35,0)))</f>
        <v>19</v>
      </c>
      <c r="AR35" s="62" t="n">
        <f aca="false">IF(CA35=1,0,ROUNDUP(AQ35/BZ35,0))</f>
        <v>0</v>
      </c>
      <c r="AS35" s="64" t="n">
        <f aca="false">IF(CR35&gt;0,CR35*MAX(1,AQ35/X35),IF(CA35=1,IF(AQ35&lt;=0,0,CE35*MAX(1,IF(H35&gt;0,AQ35/H35,1))),IF(R35&gt;0,AR35/R35,0))/MAX(0.1,N(Parameter!$M$21)))</f>
        <v>2.72128060263654</v>
      </c>
      <c r="AT35" s="62" t="n">
        <f aca="false">AS35*CC35</f>
        <v>647.664783427495</v>
      </c>
      <c r="AU35" s="63" t="n">
        <f aca="false">IF(LEFT(Cockpit!$I$5,1)="A",H35,IF(CI35=1,(CL35+CJ35)/2,IF(LEFT(Cockpit!$I$5,1)="B",(CL35+AW35)/2,MAX((CL35+AW35)/2,H35))))</f>
        <v>19</v>
      </c>
      <c r="AV35" s="62" t="n">
        <f aca="false">AU35*G35</f>
        <v>26101.25</v>
      </c>
      <c r="AW35" s="62" t="n">
        <f aca="false">ROUNDUP(CL35+MAX(CM35,2*(J35/IF(CH35&gt;0,CH35,MAX(0.1,N(Cockpit!$I$6)))-CL35)),0)</f>
        <v>9</v>
      </c>
      <c r="AX35" s="63" t="n">
        <f aca="false">IF(AT35&gt;0,J35/AT35,-1)</f>
        <v>0.0262481463173505</v>
      </c>
      <c r="AY35" s="63" t="n">
        <f aca="false">IF(AND(OR(CG35="L1",CG35="L23",CG35="LIFT"),AT35&gt;0),SUMIFS($AT$7:$AT$1843,$CG$7:$CG$1843,CG35,$AX$7:$AX$1843,"&gt;"&amp;AX35)+SUMIFS($AT$7:$AT$1843,$CG$7:$CG$1843,CG35,$AX$7:$AX$1843,AX35,$BX$7:$BX$1843,"&lt;="&amp;BX35),"")</f>
        <v>26733.4652609631</v>
      </c>
      <c r="AZ35" s="70" t="n">
        <f aca="false">IF(AY35="",0,MAX(0,MIN(1,(IF(CG35="L1",Parameter!$H$5,IF(CG35="L23",Parameter!$H$6+Parameter!$H$7,Parameter!$H$5+Parameter!$H$6+Parameter!$H$7))-(AY35-AT35))/AT35)))</f>
        <v>1</v>
      </c>
      <c r="BA35" s="62" t="n">
        <f aca="false">IF(LEFT(Cockpit!$O$5,1)="A",H35,IF(Parameter!$E$30="MAX-Bestand",IF(CI35=1,CJ35,IF(LEFT(Cockpit!$O$5,1)="B",BG35,MAX(BG35,H35))),ROUNDUP(BE35,0)))</f>
        <v>7</v>
      </c>
      <c r="BB35" s="62" t="n">
        <f aca="false">IF(CA35=1,0,ROUNDUP(BA35/BZ35,0))</f>
        <v>0</v>
      </c>
      <c r="BC35" s="64" t="n">
        <f aca="false">IF(CR35&gt;0,CR35*MAX(1,BA35/X35),IF(CA35=1,IF(BA35&lt;=0,0,CE35*MAX(1,IF(H35&gt;0,BA35/H35,1))),IF(R35&gt;0,BB35/R35,0))/MAX(0.1,N(Parameter!$M$21)))</f>
        <v>2.72128060263654</v>
      </c>
      <c r="BD35" s="62" t="n">
        <f aca="false">BC35*CC35</f>
        <v>647.664783427495</v>
      </c>
      <c r="BE35" s="63" t="n">
        <f aca="false">IF(LEFT(Cockpit!$O$5,1)="A",H35,IF(CI35=1,(CL35+CJ35)/2,IF(LEFT(Cockpit!$O$5,1)="B",(CL35+BG35)/2,MAX((CL35+BG35)/2,H35))))</f>
        <v>6.5</v>
      </c>
      <c r="BF35" s="62" t="n">
        <f aca="false">BE35*G35</f>
        <v>8929.375</v>
      </c>
      <c r="BG35" s="62" t="n">
        <f aca="false">ROUNDUP(CL35+MAX(CM35,2*(J35/IF(CH35&gt;0,CH35,MAX(0.1,N(Cockpit!$O$6)))-CL35)),0)</f>
        <v>9</v>
      </c>
      <c r="BH35" s="63" t="n">
        <f aca="false">IF(BD35&gt;0,J35/BD35,-1)</f>
        <v>0.0262481463173505</v>
      </c>
      <c r="BI35" s="63" t="n">
        <f aca="false">IF(AND(OR(CG35="L1",CG35="L23",CG35="LIFT"),BD35&gt;0),SUMIFS($BD$7:$BD$1843,$CG$7:$CG$1843,CG35,$BH$7:$BH$1843,"&gt;"&amp;BH35)+SUMIFS($BD$7:$BD$1843,$CG$7:$CG$1843,CG35,$BH$7:$BH$1843,BH35,$BX$7:$BX$1843,"&lt;="&amp;BX35),"")</f>
        <v>22396.9060786201</v>
      </c>
      <c r="BJ35" s="70" t="n">
        <f aca="false">IF(BI35="",0,MAX(0,MIN(1,(IF(CG35="L1",Parameter!$H$5,IF(CG35="L23",Parameter!$H$6+Parameter!$H$7,Parameter!$H$5+Parameter!$H$6+Parameter!$H$7))-(BI35-BD35))/BD35)))</f>
        <v>1</v>
      </c>
      <c r="BK35" s="60" t="str">
        <f aca="false">IF(AJ35&lt;=0,"",IF(CG35="Aussen","Aussenlager",IF(CG35="-","Nicht im Lift",IF(AP35&gt;=1,"Lift",IF(AP35&lt;=0,"Aussenlager","teilweise")))))</f>
        <v>Lift</v>
      </c>
      <c r="BL35" s="60" t="str">
        <f aca="false">IF(AT35&lt;=0,"",IF(CG35="Aussen","Aussenlager",IF(CG35="-","Nicht im Lift",IF(AZ35&gt;=1,"Lift",IF(AZ35&lt;=0,"Aussenlager","teilweise")))))</f>
        <v>Lift</v>
      </c>
      <c r="BM35" s="60" t="str">
        <f aca="false">IF(BD35&lt;=0,"",IF(CG35="Aussen","Aussenlager",IF(CG35="-","Nicht im Lift",IF(BJ35&gt;=1,"Lift",IF(BJ35&lt;=0,"Aussenlager","teilweise")))))</f>
        <v>Lift</v>
      </c>
      <c r="BN35" s="60" t="str">
        <f aca="false">IF(A35="","",IF(BW35=1,"Neu; ","")&amp;IF(AND(BW35=0,BR35&lt;0),"negativer Bestand (Export "&amp;BR35&amp;"); ","")&amp;IF(J35&lt;=0,"Kein Verbrauch; ","")&amp;IF(CR35&gt;0,"Lift "&amp;W35&amp;" lt. Liftbericht (Fach "&amp;X35&amp;" Stk); ",IF(CB35=1,"Gebinde geschätzt ("&amp;T35&amp;"); ",IF(CA35=1,"Lose – Tablare geschätzt; ","")))&amp;IF(H35&gt;AW35,"Überbestand "&amp;ROUND(H35-AW35,0)&amp;" Stk / CHF "&amp;ROUND((H35-AW35)*G35,0)&amp;"; ","")&amp;IF(AND(CI35=1,CJ35&lt;CK35),"MAX &lt; MB+LG; ","")&amp;IF(AND(CQ35&gt;0,CP35*10&gt;CQ35),"zu hoch für Tablar; ","")&amp;IF(AND(BW35=0,OR(CI35=1,AB35&lt;&gt;"",U35&lt;&gt;"",V35&lt;&gt;"",AC35&lt;&gt;"")),"manuell übersteuert; ","")&amp;IF(AND(CA35=0,R35=0),"Gebinde unbekannt / Stellmass fehlt; ","")&amp;IF(AND(CA35=0,N(V35)&lt;=0,N(Q35)&lt;=0),"Menge pro Gebinde fehlt (Ist = 1 Gebinde); ","")&amp;BV35)</f>
        <v>Lift 1 lt. Liftbericht (Fach 34 Stk); Überbestand 10 Stk / CHF 13738; </v>
      </c>
      <c r="BO35" s="60" t="s">
        <v>296</v>
      </c>
      <c r="BP35" s="60" t="s">
        <v>297</v>
      </c>
      <c r="BQ35" s="67"/>
      <c r="BR35" s="62" t="n">
        <v>7</v>
      </c>
      <c r="BS35" s="62" t="n">
        <v>18</v>
      </c>
      <c r="BT35" s="61" t="n">
        <v>10801.01</v>
      </c>
      <c r="BU35" s="62" t="n">
        <v>17</v>
      </c>
      <c r="BV35" s="60"/>
      <c r="BW35" s="65" t="n">
        <v>0</v>
      </c>
      <c r="BX35" s="65" t="n">
        <v>35</v>
      </c>
      <c r="BY35" s="60" t="str">
        <f aca="false">IF(U35&lt;&gt;"",UPPER(TRIM(U35)),IF(CB35=1,UPPER(VLOOKUP(T35,Parameter!$I$27:$K$29,2,0)),IF(P35="","LOSE",P35)))</f>
        <v>LOSE</v>
      </c>
      <c r="BZ35" s="62" t="n">
        <f aca="false">IF(BY35="LOSE",1,IF(N(V35)&gt;0,V35,IF(CB35=1,MAX(1,N(VLOOKUP(T35,Parameter!$I$27:$K$29,3,0)),H35,N(N35)),IF(N(Q35)&gt;0,Q35,MAX(1,H35)))))</f>
        <v>1</v>
      </c>
      <c r="CA35" s="65" t="n">
        <f aca="false">IF(BY35="LOSE",1,0)</f>
        <v>1</v>
      </c>
      <c r="CB35" s="65" t="n">
        <f aca="false">IF(AND(U35="",OR(P35="",P35="LOSE"),T35&lt;&gt;"",N(S35)&lt;=0,ISNUMBER(MATCH(T35,Parameter!$I$27:$I$29,0))),1,0)</f>
        <v>0</v>
      </c>
      <c r="CC35" s="65" t="n">
        <f aca="false">IF(CR35&gt;0,INDEX(Parameter!$H$5:$H$7,W35)/INDEX(Parameter!$E$5:$E$7,W35),IF(AND(CA35=0,N(IFERROR(VLOOKUP(BY35,'Gebinde-Kategorie'!$A$5:$N$45,14,0),0))&gt;0),VLOOKUP(BY35,'Gebinde-Kategorie'!$A$5:$N$45,14,0)*10+Parameter!$M$23,Parameter!$M$24))</f>
        <v>238</v>
      </c>
      <c r="CD35" s="60" t="n">
        <f aca="false">IF(AND(Parameter!$B$19="Ja",E35&lt;&gt;"",ISNUMBER(MATCH(E35,Parameter!$I$35:$I$52,0))),VLOOKUP(E35,Parameter!$I$35:$J$52,2,0),IFERROR(VLOOKUP(D35,Parameter!$A$35:$C$64,2,0),"Nein"))</f>
        <v>1</v>
      </c>
      <c r="CE35" s="64" t="n">
        <f aca="false">IF(CA35=0,0,IF(N(S35)&gt;0,S35,IFERROR(VLOOKUP(D35,Parameter!$A$35:$C$64,3,0)+0,0)))</f>
        <v>1</v>
      </c>
      <c r="CF35" s="60" t="n">
        <f aca="false">IF(AB35&lt;&gt;"",AB35,AA35)</f>
        <v>1</v>
      </c>
      <c r="CG35" s="60" t="str">
        <f aca="false">IF(OR(CF35=1,CF35=2,CF35=3),IF(Parameter!$E$27="Ja","LIFT",IF(CF35=1,"L1","L23")),IF(CF35="Aussen","Aussen","-"))</f>
        <v>LIFT</v>
      </c>
      <c r="CH35" s="71" t="n">
        <f aca="false">IF(N(AC35)&gt;0,AC35,0)</f>
        <v>0</v>
      </c>
      <c r="CI35" s="65" t="n">
        <f aca="false">IF(ISNUMBER(AF35),1,0)</f>
        <v>0</v>
      </c>
      <c r="CJ35" s="62" t="n">
        <f aca="false">N(AF35)</f>
        <v>0</v>
      </c>
      <c r="CK35" s="62" t="n">
        <f aca="false">N(M35)+N(N35)</f>
        <v>9</v>
      </c>
      <c r="CL35" s="62" t="n">
        <f aca="false">N(M35)</f>
        <v>4</v>
      </c>
      <c r="CM35" s="62" t="n">
        <f aca="false">N(N35)</f>
        <v>5</v>
      </c>
      <c r="CN35" s="62" t="n">
        <f aca="false">ROUNDUP(H35/BZ35,0)</f>
        <v>19</v>
      </c>
      <c r="CO35" s="62" t="n">
        <f aca="false">ROUNDUP(CJ35/BZ35,0)</f>
        <v>0</v>
      </c>
      <c r="CP35" s="65" t="n">
        <f aca="false">IF(CA35=1,0,IFERROR(VLOOKUP(BY35,'Gebinde-Kategorie'!$A$5:$N$45,5,0)+0,0))</f>
        <v>0</v>
      </c>
      <c r="CQ35" s="65" t="n">
        <f aca="false">IFERROR(IF(OR(CF35=1,CF35=2,CF35=3),N(INDEX(Parameter!$I$5:$I$7,CF35)),0),0)</f>
        <v>0</v>
      </c>
      <c r="CR35" s="64" t="n">
        <f aca="false">IF(AND(Parameter!$B$21="Ja",ISNUMBER(W35),N(X35)&gt;0),IFERROR(N(INDEX(Parameter!$L$5:$L$7,W35))*INDEX(Parameter!$E$5:$E$7,W35)*X35/SUMIFS($X$7:$X$1843,$W$7:$W$1843,W35),0),0)</f>
        <v>2.72128060263654</v>
      </c>
      <c r="CS35" s="62" t="n">
        <f aca="false">IF(AND(OR(CG35="L1",CG35="L23",CG35="LIFT"),H35&gt;0),CC35*IF(CR35&gt;0,CR35*MAX(1,H35/X35),IF(CA35=1,CE35,IF(R35&gt;0,CN35/R35,0))/MAX(0.1,N(Parameter!$M$21))),"")</f>
        <v>647.664783427495</v>
      </c>
      <c r="CT35" s="64" t="n">
        <f aca="false">IF(CS35="","",J35/H35)</f>
        <v>0.894736842105263</v>
      </c>
      <c r="CU35" s="62" t="n">
        <f aca="false">IF(CS35="","",H35*G35)</f>
        <v>26101.25</v>
      </c>
      <c r="CV35" s="63" t="n">
        <f aca="false">IF(CS35="","",(CL35+ROUNDUP(CL35+MAX(CM35,2*(J35/MAX(0.1,N(Einkauf!$C$6))-CL35)),0))/2)</f>
        <v>6.5</v>
      </c>
      <c r="CW35" s="62" t="n">
        <f aca="false">IF(CS35="","",MAX(0,H35-CV35)*G35)</f>
        <v>17171.875</v>
      </c>
      <c r="CX35" s="62" t="n">
        <f aca="false">IF(CS35="","",CS35*MAX(0,1-CV35/H35))</f>
        <v>426.095252254931</v>
      </c>
      <c r="CY35" s="64" t="n">
        <f aca="false">IF(CS35="","",PERCENTRANK($CS$7:$CS$1843,CS35)+PERCENTRANK($CU$7:$CU$1843,CU35)+1-PERCENTRANK($CT$7:$CT$1843,CT35))</f>
        <v>2.368</v>
      </c>
      <c r="CZ35" s="72" t="n">
        <f aca="false">IF(CS35="","",CHOOSE(MATCH(Einkauf!$C$5,Parameter!$G$23:$G$27,0),CY35,CS35,CU35,-CT35,CW35)+ROW()/1000000000)</f>
        <v>2.368000035</v>
      </c>
    </row>
    <row r="36" customFormat="false" ht="15" hidden="false" customHeight="false" outlineLevel="0" collapsed="false">
      <c r="A36" s="60" t="s">
        <v>298</v>
      </c>
      <c r="B36" s="60" t="s">
        <v>223</v>
      </c>
      <c r="C36" s="60" t="s">
        <v>206</v>
      </c>
      <c r="D36" s="60" t="s">
        <v>215</v>
      </c>
      <c r="E36" s="60"/>
      <c r="F36" s="60" t="s">
        <v>260</v>
      </c>
      <c r="G36" s="61" t="n">
        <v>5350.29</v>
      </c>
      <c r="H36" s="62" t="n">
        <f aca="false">MAX(0,IF(AND(Parameter!$B$21="Ja",ISNUMBER(Y36)),Y36,IF(Parameter!$B$20="Jahresanfang 2025 + Export",BS36+BR36,BR36)))</f>
        <v>2</v>
      </c>
      <c r="I36" s="62" t="n">
        <f aca="false">H36*G36</f>
        <v>10700.58</v>
      </c>
      <c r="J36" s="62" t="n">
        <f aca="false">BU36*Parameter!$B$18</f>
        <v>6</v>
      </c>
      <c r="K36" s="63" t="n">
        <v>1</v>
      </c>
      <c r="L36" s="64" t="n">
        <v>6</v>
      </c>
      <c r="M36" s="62" t="n">
        <v>1</v>
      </c>
      <c r="N36" s="62" t="n">
        <v>1</v>
      </c>
      <c r="O36" s="65" t="n">
        <v>100</v>
      </c>
      <c r="P36" s="60" t="s">
        <v>210</v>
      </c>
      <c r="Q36" s="62"/>
      <c r="R36" s="65" t="n">
        <f aca="false">IF(CA36=1,0,IFERROR(VLOOKUP(BY36,'Gebinde-Kategorie'!$A$5:$N$45,13,0)+0,0))</f>
        <v>12</v>
      </c>
      <c r="S36" s="66"/>
      <c r="T36" s="67" t="s">
        <v>221</v>
      </c>
      <c r="U36" s="67"/>
      <c r="V36" s="67"/>
      <c r="W36" s="60"/>
      <c r="X36" s="62"/>
      <c r="Y36" s="62"/>
      <c r="Z36" s="60" t="n">
        <v>3</v>
      </c>
      <c r="AA36" s="60" t="n">
        <f aca="false">IF(A36="","",IF(AND(Parameter!$B$21="Ja",ISNUMBER(W36)),W36,IF(AND(Parameter!$E$27="Ja",ISNUMBER(Z36),CD36&lt;&gt;"Nein"),Z36,IF(CD36="2+3",IF(ISNUMBER(SEARCH("grosser Artikel",BV36)),2,IFERROR(VLOOKUP(BY36,Parameter!$F$35:$G$64,2,0),2)),IF(OR(CD36="Nein",CD36=""),"-",CD36)))))</f>
        <v>3</v>
      </c>
      <c r="AB36" s="67"/>
      <c r="AC36" s="68"/>
      <c r="AD36" s="62" t="n">
        <f aca="false">AW36</f>
        <v>3</v>
      </c>
      <c r="AE36" s="62" t="n">
        <f aca="false">MAX(AW36,H36)</f>
        <v>3</v>
      </c>
      <c r="AF36" s="69"/>
      <c r="AG36" s="62" t="n">
        <f aca="false">IF(LEFT(Cockpit!$C$5,1)="A",H36,IF(Parameter!$E$30="MAX-Bestand",IF(CI36=1,CJ36,IF(LEFT(Cockpit!$C$5,1)="B",AM36,MAX(AM36,H36))),ROUNDUP(AK36,0)))</f>
        <v>2</v>
      </c>
      <c r="AH36" s="62" t="n">
        <f aca="false">IF(CA36=1,0,ROUNDUP(AG36/BZ36,0))</f>
        <v>1</v>
      </c>
      <c r="AI36" s="64" t="n">
        <f aca="false">IF(CR36&gt;0,CR36*MAX(1,AG36/X36),IF(CA36=1,IF(AG36&lt;=0,0,CE36*MAX(1,IF(H36&gt;0,AG36/H36,1))),IF(R36&gt;0,AH36/R36,0))/MAX(0.1,N(Parameter!$M$21)))</f>
        <v>0.0833333333333333</v>
      </c>
      <c r="AJ36" s="62" t="n">
        <f aca="false">AI36*CC36</f>
        <v>12.0833333333333</v>
      </c>
      <c r="AK36" s="63" t="n">
        <f aca="false">IF(LEFT(Cockpit!$C$5,1)="A",H36,IF(CI36=1,(CL36+CJ36)/2,IF(LEFT(Cockpit!$C$5,1)="B",(CL36+AM36)/2,MAX((CL36+AM36)/2,H36))))</f>
        <v>2</v>
      </c>
      <c r="AL36" s="62" t="n">
        <f aca="false">AK36*G36</f>
        <v>10700.58</v>
      </c>
      <c r="AM36" s="62" t="n">
        <f aca="false">ROUNDUP(CL36+MAX(CM36,2*(J36/IF(CH36&gt;0,CH36,MAX(0.1,N(Cockpit!$C$6)))-CL36)),0)</f>
        <v>3</v>
      </c>
      <c r="AN36" s="63" t="n">
        <f aca="false">IF(AJ36&gt;0,J36/AJ36,-1)</f>
        <v>0.496551724137931</v>
      </c>
      <c r="AO36" s="63" t="n">
        <f aca="false">IF(AND(OR(CG36="L1",CG36="L23",CG36="LIFT"),AJ36&gt;0),SUMIFS($AJ$7:$AJ$1843,$CG$7:$CG$1843,CG36,$AN$7:$AN$1843,"&gt;"&amp;AN36)+SUMIFS($AJ$7:$AJ$1843,$CG$7:$CG$1843,CG36,$AN$7:$AN$1843,AN36,$BX$7:$BX$1843,"&lt;="&amp;BX36),"")</f>
        <v>9598.09383601333</v>
      </c>
      <c r="AP36" s="70" t="n">
        <f aca="false">IF(AO36="",0,MAX(0,MIN(1,(IF(CG36="L1",Parameter!$H$5,IF(CG36="L23",Parameter!$H$6+Parameter!$H$7,Parameter!$H$5+Parameter!$H$6+Parameter!$H$7))-(AO36-AJ36))/AJ36)))</f>
        <v>1</v>
      </c>
      <c r="AQ36" s="62" t="n">
        <f aca="false">IF(LEFT(Cockpit!$I$5,1)="A",H36,IF(Parameter!$E$30="MAX-Bestand",IF(CI36=1,CJ36,IF(LEFT(Cockpit!$I$5,1)="B",AW36,MAX(AW36,H36))),ROUNDUP(AU36,0)))</f>
        <v>2</v>
      </c>
      <c r="AR36" s="62" t="n">
        <f aca="false">IF(CA36=1,0,ROUNDUP(AQ36/BZ36,0))</f>
        <v>1</v>
      </c>
      <c r="AS36" s="64" t="n">
        <f aca="false">IF(CR36&gt;0,CR36*MAX(1,AQ36/X36),IF(CA36=1,IF(AQ36&lt;=0,0,CE36*MAX(1,IF(H36&gt;0,AQ36/H36,1))),IF(R36&gt;0,AR36/R36,0))/MAX(0.1,N(Parameter!$M$21)))</f>
        <v>0.0833333333333333</v>
      </c>
      <c r="AT36" s="62" t="n">
        <f aca="false">AS36*CC36</f>
        <v>12.0833333333333</v>
      </c>
      <c r="AU36" s="63" t="n">
        <f aca="false">IF(LEFT(Cockpit!$I$5,1)="A",H36,IF(CI36=1,(CL36+CJ36)/2,IF(LEFT(Cockpit!$I$5,1)="B",(CL36+AW36)/2,MAX((CL36+AW36)/2,H36))))</f>
        <v>2</v>
      </c>
      <c r="AV36" s="62" t="n">
        <f aca="false">AU36*G36</f>
        <v>10700.58</v>
      </c>
      <c r="AW36" s="62" t="n">
        <f aca="false">ROUNDUP(CL36+MAX(CM36,2*(J36/IF(CH36&gt;0,CH36,MAX(0.1,N(Cockpit!$I$6)))-CL36)),0)</f>
        <v>3</v>
      </c>
      <c r="AX36" s="63" t="n">
        <f aca="false">IF(AT36&gt;0,J36/AT36,-1)</f>
        <v>0.496551724137931</v>
      </c>
      <c r="AY36" s="63" t="n">
        <f aca="false">IF(AND(OR(CG36="L1",CG36="L23",CG36="LIFT"),AT36&gt;0),SUMIFS($AT$7:$AT$1843,$CG$7:$CG$1843,CG36,$AX$7:$AX$1843,"&gt;"&amp;AX36)+SUMIFS($AT$7:$AT$1843,$CG$7:$CG$1843,CG36,$AX$7:$AX$1843,AX36,$BX$7:$BX$1843,"&lt;="&amp;BX36),"")</f>
        <v>12011.9304029304</v>
      </c>
      <c r="AZ36" s="70" t="n">
        <f aca="false">IF(AY36="",0,MAX(0,MIN(1,(IF(CG36="L1",Parameter!$H$5,IF(CG36="L23",Parameter!$H$6+Parameter!$H$7,Parameter!$H$5+Parameter!$H$6+Parameter!$H$7))-(AY36-AT36))/AT36)))</f>
        <v>1</v>
      </c>
      <c r="BA36" s="62" t="n">
        <f aca="false">IF(LEFT(Cockpit!$O$5,1)="A",H36,IF(Parameter!$E$30="MAX-Bestand",IF(CI36=1,CJ36,IF(LEFT(Cockpit!$O$5,1)="B",BG36,MAX(BG36,H36))),ROUNDUP(BE36,0)))</f>
        <v>2</v>
      </c>
      <c r="BB36" s="62" t="n">
        <f aca="false">IF(CA36=1,0,ROUNDUP(BA36/BZ36,0))</f>
        <v>1</v>
      </c>
      <c r="BC36" s="64" t="n">
        <f aca="false">IF(CR36&gt;0,CR36*MAX(1,BA36/X36),IF(CA36=1,IF(BA36&lt;=0,0,CE36*MAX(1,IF(H36&gt;0,BA36/H36,1))),IF(R36&gt;0,BB36/R36,0))/MAX(0.1,N(Parameter!$M$21)))</f>
        <v>0.0833333333333333</v>
      </c>
      <c r="BD36" s="62" t="n">
        <f aca="false">BC36*CC36</f>
        <v>12.0833333333333</v>
      </c>
      <c r="BE36" s="63" t="n">
        <f aca="false">IF(LEFT(Cockpit!$O$5,1)="A",H36,IF(CI36=1,(CL36+CJ36)/2,IF(LEFT(Cockpit!$O$5,1)="B",(CL36+BG36)/2,MAX((CL36+BG36)/2,H36))))</f>
        <v>1.5</v>
      </c>
      <c r="BF36" s="62" t="n">
        <f aca="false">BE36*G36</f>
        <v>8025.435</v>
      </c>
      <c r="BG36" s="62" t="n">
        <f aca="false">ROUNDUP(CL36+MAX(CM36,2*(J36/IF(CH36&gt;0,CH36,MAX(0.1,N(Cockpit!$O$6)))-CL36)),0)</f>
        <v>2</v>
      </c>
      <c r="BH36" s="63" t="n">
        <f aca="false">IF(BD36&gt;0,J36/BD36,-1)</f>
        <v>0.496551724137931</v>
      </c>
      <c r="BI36" s="63" t="n">
        <f aca="false">IF(AND(OR(CG36="L1",CG36="L23",CG36="LIFT"),BD36&gt;0),SUMIFS($BD$7:$BD$1843,$CG$7:$CG$1843,CG36,$BH$7:$BH$1843,"&gt;"&amp;BH36)+SUMIFS($BD$7:$BD$1843,$CG$7:$CG$1843,CG36,$BH$7:$BH$1843,BH36,$BX$7:$BX$1843,"&lt;="&amp;BX36),"")</f>
        <v>10375.3466117216</v>
      </c>
      <c r="BJ36" s="70" t="n">
        <f aca="false">IF(BI36="",0,MAX(0,MIN(1,(IF(CG36="L1",Parameter!$H$5,IF(CG36="L23",Parameter!$H$6+Parameter!$H$7,Parameter!$H$5+Parameter!$H$6+Parameter!$H$7))-(BI36-BD36))/BD36)))</f>
        <v>1</v>
      </c>
      <c r="BK36" s="60" t="str">
        <f aca="false">IF(AJ36&lt;=0,"",IF(CG36="Aussen","Aussenlager",IF(CG36="-","Nicht im Lift",IF(AP36&gt;=1,"Lift",IF(AP36&lt;=0,"Aussenlager","teilweise")))))</f>
        <v>Lift</v>
      </c>
      <c r="BL36" s="60" t="str">
        <f aca="false">IF(AT36&lt;=0,"",IF(CG36="Aussen","Aussenlager",IF(CG36="-","Nicht im Lift",IF(AZ36&gt;=1,"Lift",IF(AZ36&lt;=0,"Aussenlager","teilweise")))))</f>
        <v>Lift</v>
      </c>
      <c r="BM36" s="60" t="str">
        <f aca="false">IF(BD36&lt;=0,"",IF(CG36="Aussen","Aussenlager",IF(CG36="-","Nicht im Lift",IF(BJ36&gt;=1,"Lift",IF(BJ36&lt;=0,"Aussenlager","teilweise")))))</f>
        <v>Lift</v>
      </c>
      <c r="BN36" s="60" t="str">
        <f aca="false">IF(A36="","",IF(BW36=1,"Neu; ","")&amp;IF(AND(BW36=0,BR36&lt;0),"negativer Bestand (Export "&amp;BR36&amp;"); ","")&amp;IF(J36&lt;=0,"Kein Verbrauch; ","")&amp;IF(CR36&gt;0,"Lift "&amp;W36&amp;" lt. Liftbericht (Fach "&amp;X36&amp;" Stk); ",IF(CB36=1,"Gebinde geschätzt ("&amp;T36&amp;"); ",IF(CA36=1,"Lose – Tablare geschätzt; ","")))&amp;IF(H36&gt;AW36,"Überbestand "&amp;ROUND(H36-AW36,0)&amp;" Stk / CHF "&amp;ROUND((H36-AW36)*G36,0)&amp;"; ","")&amp;IF(AND(CI36=1,CJ36&lt;CK36),"MAX &lt; MB+LG; ","")&amp;IF(AND(CQ36&gt;0,CP36*10&gt;CQ36),"zu hoch für Tablar; ","")&amp;IF(AND(BW36=0,OR(CI36=1,AB36&lt;&gt;"",U36&lt;&gt;"",V36&lt;&gt;"",AC36&lt;&gt;"")),"manuell übersteuert; ","")&amp;IF(AND(CA36=0,R36=0),"Gebinde unbekannt / Stellmass fehlt; ","")&amp;IF(AND(CA36=0,N(V36)&lt;=0,N(Q36)&lt;=0),"Menge pro Gebinde fehlt (Ist = 1 Gebinde); ","")&amp;BV36)</f>
        <v>Gebinde geschätzt (Mittel); Menge pro Gebinde fehlt (Ist = 1 Gebinde); </v>
      </c>
      <c r="BO36" s="60"/>
      <c r="BP36" s="60"/>
      <c r="BQ36" s="67"/>
      <c r="BR36" s="62" t="n">
        <v>2</v>
      </c>
      <c r="BS36" s="62" t="n">
        <v>0</v>
      </c>
      <c r="BT36" s="61" t="n">
        <v>10700.58</v>
      </c>
      <c r="BU36" s="62" t="n">
        <v>6</v>
      </c>
      <c r="BV36" s="60"/>
      <c r="BW36" s="65" t="n">
        <v>0</v>
      </c>
      <c r="BX36" s="65" t="n">
        <v>36</v>
      </c>
      <c r="BY36" s="60" t="str">
        <f aca="false">IF(U36&lt;&gt;"",UPPER(TRIM(U36)),IF(CB36=1,UPPER(VLOOKUP(T36,Parameter!$I$27:$K$29,2,0)),IF(P36="","LOSE",P36)))</f>
        <v>S61</v>
      </c>
      <c r="BZ36" s="62" t="n">
        <f aca="false">IF(BY36="LOSE",1,IF(N(V36)&gt;0,V36,IF(CB36=1,MAX(1,N(VLOOKUP(T36,Parameter!$I$27:$K$29,3,0)),H36,N(N36)),IF(N(Q36)&gt;0,Q36,MAX(1,H36)))))</f>
        <v>4</v>
      </c>
      <c r="CA36" s="65" t="n">
        <f aca="false">IF(BY36="LOSE",1,0)</f>
        <v>0</v>
      </c>
      <c r="CB36" s="65" t="n">
        <f aca="false">IF(AND(U36="",OR(P36="",P36="LOSE"),T36&lt;&gt;"",N(S36)&lt;=0,ISNUMBER(MATCH(T36,Parameter!$I$27:$I$29,0))),1,0)</f>
        <v>1</v>
      </c>
      <c r="CC36" s="65" t="n">
        <f aca="false">IF(CR36&gt;0,INDEX(Parameter!$H$5:$H$7,W36)/INDEX(Parameter!$E$5:$E$7,W36),IF(AND(CA36=0,N(IFERROR(VLOOKUP(BY36,'Gebinde-Kategorie'!$A$5:$N$45,14,0),0))&gt;0),VLOOKUP(BY36,'Gebinde-Kategorie'!$A$5:$N$45,14,0)*10+Parameter!$M$23,Parameter!$M$24))</f>
        <v>145</v>
      </c>
      <c r="CD36" s="60" t="str">
        <f aca="false">IF(AND(Parameter!$B$19="Ja",E36&lt;&gt;"",ISNUMBER(MATCH(E36,Parameter!$I$35:$I$52,0))),VLOOKUP(E36,Parameter!$I$35:$J$52,2,0),IFERROR(VLOOKUP(D36,Parameter!$A$35:$C$64,2,0),"Nein"))</f>
        <v>2+3</v>
      </c>
      <c r="CE36" s="64" t="n">
        <f aca="false">IF(CA36=0,0,IF(N(S36)&gt;0,S36,IFERROR(VLOOKUP(D36,Parameter!$A$35:$C$64,3,0)+0,0)))</f>
        <v>0</v>
      </c>
      <c r="CF36" s="60" t="n">
        <f aca="false">IF(AB36&lt;&gt;"",AB36,AA36)</f>
        <v>3</v>
      </c>
      <c r="CG36" s="60" t="str">
        <f aca="false">IF(OR(CF36=1,CF36=2,CF36=3),IF(Parameter!$E$27="Ja","LIFT",IF(CF36=1,"L1","L23")),IF(CF36="Aussen","Aussen","-"))</f>
        <v>LIFT</v>
      </c>
      <c r="CH36" s="71" t="n">
        <f aca="false">IF(N(AC36)&gt;0,AC36,0)</f>
        <v>0</v>
      </c>
      <c r="CI36" s="65" t="n">
        <f aca="false">IF(ISNUMBER(AF36),1,0)</f>
        <v>0</v>
      </c>
      <c r="CJ36" s="62" t="n">
        <f aca="false">N(AF36)</f>
        <v>0</v>
      </c>
      <c r="CK36" s="62" t="n">
        <f aca="false">N(M36)+N(N36)</f>
        <v>2</v>
      </c>
      <c r="CL36" s="62" t="n">
        <f aca="false">N(M36)</f>
        <v>1</v>
      </c>
      <c r="CM36" s="62" t="n">
        <f aca="false">N(N36)</f>
        <v>1</v>
      </c>
      <c r="CN36" s="62" t="n">
        <f aca="false">ROUNDUP(H36/BZ36,0)</f>
        <v>1</v>
      </c>
      <c r="CO36" s="62" t="n">
        <f aca="false">ROUNDUP(CJ36/BZ36,0)</f>
        <v>0</v>
      </c>
      <c r="CP36" s="65" t="n">
        <f aca="false">IF(CA36=1,0,IFERROR(VLOOKUP(BY36,'Gebinde-Kategorie'!$A$5:$N$45,5,0)+0,0))</f>
        <v>11</v>
      </c>
      <c r="CQ36" s="65" t="n">
        <f aca="false">IFERROR(IF(OR(CF36=1,CF36=2,CF36=3),N(INDEX(Parameter!$I$5:$I$7,CF36)),0),0)</f>
        <v>0</v>
      </c>
      <c r="CR36" s="64" t="n">
        <f aca="false">IF(AND(Parameter!$B$21="Ja",ISNUMBER(W36),N(X36)&gt;0),IFERROR(N(INDEX(Parameter!$L$5:$L$7,W36))*INDEX(Parameter!$E$5:$E$7,W36)*X36/SUMIFS($X$7:$X$1843,$W$7:$W$1843,W36),0),0)</f>
        <v>0</v>
      </c>
      <c r="CS36" s="62" t="n">
        <f aca="false">IF(AND(OR(CG36="L1",CG36="L23",CG36="LIFT"),H36&gt;0),CC36*IF(CR36&gt;0,CR36*MAX(1,H36/X36),IF(CA36=1,CE36,IF(R36&gt;0,CN36/R36,0))/MAX(0.1,N(Parameter!$M$21))),"")</f>
        <v>12.0833333333333</v>
      </c>
      <c r="CT36" s="64" t="n">
        <f aca="false">IF(CS36="","",J36/H36)</f>
        <v>3</v>
      </c>
      <c r="CU36" s="62" t="n">
        <f aca="false">IF(CS36="","",H36*G36)</f>
        <v>10700.58</v>
      </c>
      <c r="CV36" s="63" t="n">
        <f aca="false">IF(CS36="","",(CL36+ROUNDUP(CL36+MAX(CM36,2*(J36/MAX(0.1,N(Einkauf!$C$6))-CL36)),0))/2)</f>
        <v>1.5</v>
      </c>
      <c r="CW36" s="62" t="n">
        <f aca="false">IF(CS36="","",MAX(0,H36-CV36)*G36)</f>
        <v>2675.145</v>
      </c>
      <c r="CX36" s="62" t="n">
        <f aca="false">IF(CS36="","",CS36*MAX(0,1-CV36/H36))</f>
        <v>3.02083333333333</v>
      </c>
      <c r="CY36" s="64" t="n">
        <f aca="false">IF(CS36="","",PERCENTRANK($CS$7:$CS$1843,CS36)+PERCENTRANK($CU$7:$CU$1843,CU36)+1-PERCENTRANK($CT$7:$CT$1843,CT36))</f>
        <v>1.731</v>
      </c>
      <c r="CZ36" s="72" t="n">
        <f aca="false">IF(CS36="","",CHOOSE(MATCH(Einkauf!$C$5,Parameter!$G$23:$G$27,0),CY36,CS36,CU36,-CT36,CW36)+ROW()/1000000000)</f>
        <v>1.731000036</v>
      </c>
    </row>
    <row r="37" customFormat="false" ht="15" hidden="false" customHeight="false" outlineLevel="0" collapsed="false">
      <c r="A37" s="60" t="s">
        <v>299</v>
      </c>
      <c r="B37" s="60" t="s">
        <v>300</v>
      </c>
      <c r="C37" s="60" t="s">
        <v>206</v>
      </c>
      <c r="D37" s="60" t="s">
        <v>215</v>
      </c>
      <c r="E37" s="60" t="s">
        <v>227</v>
      </c>
      <c r="F37" s="60" t="s">
        <v>260</v>
      </c>
      <c r="G37" s="61" t="n">
        <v>225.19</v>
      </c>
      <c r="H37" s="62" t="n">
        <f aca="false">MAX(0,IF(AND(Parameter!$B$21="Ja",ISNUMBER(Y37)),Y37,IF(Parameter!$B$20="Jahresanfang 2025 + Export",BS37+BR37,BR37)))</f>
        <v>62</v>
      </c>
      <c r="I37" s="62" t="n">
        <f aca="false">H37*G37</f>
        <v>13961.78</v>
      </c>
      <c r="J37" s="62" t="n">
        <f aca="false">BU37*Parameter!$B$18</f>
        <v>131</v>
      </c>
      <c r="K37" s="63" t="n">
        <v>24</v>
      </c>
      <c r="L37" s="64" t="n">
        <v>5.45833333333333</v>
      </c>
      <c r="M37" s="62" t="n">
        <v>12</v>
      </c>
      <c r="N37" s="62" t="n">
        <v>35</v>
      </c>
      <c r="O37" s="65" t="n">
        <v>84</v>
      </c>
      <c r="P37" s="60" t="s">
        <v>301</v>
      </c>
      <c r="Q37" s="62" t="n">
        <v>61</v>
      </c>
      <c r="R37" s="65" t="n">
        <f aca="false">IF(CA37=1,0,IFERROR(VLOOKUP(BY37,'Gebinde-Kategorie'!$A$5:$N$45,13,0)+0,0))</f>
        <v>6</v>
      </c>
      <c r="S37" s="66"/>
      <c r="T37" s="67"/>
      <c r="U37" s="67"/>
      <c r="V37" s="67"/>
      <c r="W37" s="60"/>
      <c r="X37" s="62"/>
      <c r="Y37" s="62"/>
      <c r="Z37" s="60" t="n">
        <v>2</v>
      </c>
      <c r="AA37" s="60" t="n">
        <f aca="false">IF(A37="","",IF(AND(Parameter!$B$21="Ja",ISNUMBER(W37)),W37,IF(AND(Parameter!$E$27="Ja",ISNUMBER(Z37),CD37&lt;&gt;"Nein"),Z37,IF(CD37="2+3",IF(ISNUMBER(SEARCH("grosser Artikel",BV37)),2,IFERROR(VLOOKUP(BY37,Parameter!$F$35:$G$64,2,0),2)),IF(OR(CD37="Nein",CD37=""),"-",CD37)))))</f>
        <v>2</v>
      </c>
      <c r="AB37" s="67"/>
      <c r="AC37" s="68"/>
      <c r="AD37" s="62" t="n">
        <f aca="false">AW37</f>
        <v>76</v>
      </c>
      <c r="AE37" s="62" t="n">
        <f aca="false">MAX(AW37,H37)</f>
        <v>76</v>
      </c>
      <c r="AF37" s="69"/>
      <c r="AG37" s="62" t="n">
        <f aca="false">IF(LEFT(Cockpit!$C$5,1)="A",H37,IF(Parameter!$E$30="MAX-Bestand",IF(CI37=1,CJ37,IF(LEFT(Cockpit!$C$5,1)="B",AM37,MAX(AM37,H37))),ROUNDUP(AK37,0)))</f>
        <v>62</v>
      </c>
      <c r="AH37" s="62" t="n">
        <f aca="false">IF(CA37=1,0,ROUNDUP(AG37/BZ37,0))</f>
        <v>2</v>
      </c>
      <c r="AI37" s="64" t="n">
        <f aca="false">IF(CR37&gt;0,CR37*MAX(1,AG37/X37),IF(CA37=1,IF(AG37&lt;=0,0,CE37*MAX(1,IF(H37&gt;0,AG37/H37,1))),IF(R37&gt;0,AH37/R37,0))/MAX(0.1,N(Parameter!$M$21)))</f>
        <v>0.333333333333333</v>
      </c>
      <c r="AJ37" s="62" t="n">
        <f aca="false">AI37*CC37</f>
        <v>145</v>
      </c>
      <c r="AK37" s="63" t="n">
        <f aca="false">IF(LEFT(Cockpit!$C$5,1)="A",H37,IF(CI37=1,(CL37+CJ37)/2,IF(LEFT(Cockpit!$C$5,1)="B",(CL37+AM37)/2,MAX((CL37+AM37)/2,H37))))</f>
        <v>62</v>
      </c>
      <c r="AL37" s="62" t="n">
        <f aca="false">AK37*G37</f>
        <v>13961.78</v>
      </c>
      <c r="AM37" s="62" t="n">
        <f aca="false">ROUNDUP(CL37+MAX(CM37,2*(J37/IF(CH37&gt;0,CH37,MAX(0.1,N(Cockpit!$C$6)))-CL37)),0)</f>
        <v>76</v>
      </c>
      <c r="AN37" s="63" t="n">
        <f aca="false">IF(AJ37&gt;0,J37/AJ37,-1)</f>
        <v>0.903448275862069</v>
      </c>
      <c r="AO37" s="63" t="n">
        <f aca="false">IF(AND(OR(CG37="L1",CG37="L23",CG37="LIFT"),AJ37&gt;0),SUMIFS($AJ$7:$AJ$1843,$CG$7:$CG$1843,CG37,$AN$7:$AN$1843,"&gt;"&amp;AN37)+SUMIFS($AJ$7:$AJ$1843,$CG$7:$CG$1843,CG37,$AN$7:$AN$1843,AN37,$BX$7:$BX$1843,"&lt;="&amp;BX37),"")</f>
        <v>7612.20558608059</v>
      </c>
      <c r="AP37" s="70" t="n">
        <f aca="false">IF(AO37="",0,MAX(0,MIN(1,(IF(CG37="L1",Parameter!$H$5,IF(CG37="L23",Parameter!$H$6+Parameter!$H$7,Parameter!$H$5+Parameter!$H$6+Parameter!$H$7))-(AO37-AJ37))/AJ37)))</f>
        <v>1</v>
      </c>
      <c r="AQ37" s="62" t="n">
        <f aca="false">IF(LEFT(Cockpit!$I$5,1)="A",H37,IF(Parameter!$E$30="MAX-Bestand",IF(CI37=1,CJ37,IF(LEFT(Cockpit!$I$5,1)="B",AW37,MAX(AW37,H37))),ROUNDUP(AU37,0)))</f>
        <v>62</v>
      </c>
      <c r="AR37" s="62" t="n">
        <f aca="false">IF(CA37=1,0,ROUNDUP(AQ37/BZ37,0))</f>
        <v>2</v>
      </c>
      <c r="AS37" s="64" t="n">
        <f aca="false">IF(CR37&gt;0,CR37*MAX(1,AQ37/X37),IF(CA37=1,IF(AQ37&lt;=0,0,CE37*MAX(1,IF(H37&gt;0,AQ37/H37,1))),IF(R37&gt;0,AR37/R37,0))/MAX(0.1,N(Parameter!$M$21)))</f>
        <v>0.333333333333333</v>
      </c>
      <c r="AT37" s="62" t="n">
        <f aca="false">AS37*CC37</f>
        <v>145</v>
      </c>
      <c r="AU37" s="63" t="n">
        <f aca="false">IF(LEFT(Cockpit!$I$5,1)="A",H37,IF(CI37=1,(CL37+CJ37)/2,IF(LEFT(Cockpit!$I$5,1)="B",(CL37+AW37)/2,MAX((CL37+AW37)/2,H37))))</f>
        <v>62</v>
      </c>
      <c r="AV37" s="62" t="n">
        <f aca="false">AU37*G37</f>
        <v>13961.78</v>
      </c>
      <c r="AW37" s="62" t="n">
        <f aca="false">ROUNDUP(CL37+MAX(CM37,2*(J37/IF(CH37&gt;0,CH37,MAX(0.1,N(Cockpit!$I$6)))-CL37)),0)</f>
        <v>76</v>
      </c>
      <c r="AX37" s="63" t="n">
        <f aca="false">IF(AT37&gt;0,J37/AT37,-1)</f>
        <v>0.903448275862069</v>
      </c>
      <c r="AY37" s="63" t="n">
        <f aca="false">IF(AND(OR(CG37="L1",CG37="L23",CG37="LIFT"),AT37&gt;0),SUMIFS($AT$7:$AT$1843,$CG$7:$CG$1843,CG37,$AX$7:$AX$1843,"&gt;"&amp;AX37)+SUMIFS($AT$7:$AT$1843,$CG$7:$CG$1843,CG37,$AX$7:$AX$1843,AX37,$BX$7:$BX$1843,"&lt;="&amp;BX37),"")</f>
        <v>9186.6456043956</v>
      </c>
      <c r="AZ37" s="70" t="n">
        <f aca="false">IF(AY37="",0,MAX(0,MIN(1,(IF(CG37="L1",Parameter!$H$5,IF(CG37="L23",Parameter!$H$6+Parameter!$H$7,Parameter!$H$5+Parameter!$H$6+Parameter!$H$7))-(AY37-AT37))/AT37)))</f>
        <v>1</v>
      </c>
      <c r="BA37" s="62" t="n">
        <f aca="false">IF(LEFT(Cockpit!$O$5,1)="A",H37,IF(Parameter!$E$30="MAX-Bestand",IF(CI37=1,CJ37,IF(LEFT(Cockpit!$O$5,1)="B",BG37,MAX(BG37,H37))),ROUNDUP(BE37,0)))</f>
        <v>33</v>
      </c>
      <c r="BB37" s="62" t="n">
        <f aca="false">IF(CA37=1,0,ROUNDUP(BA37/BZ37,0))</f>
        <v>1</v>
      </c>
      <c r="BC37" s="64" t="n">
        <f aca="false">IF(CR37&gt;0,CR37*MAX(1,BA37/X37),IF(CA37=1,IF(BA37&lt;=0,0,CE37*MAX(1,IF(H37&gt;0,BA37/H37,1))),IF(R37&gt;0,BB37/R37,0))/MAX(0.1,N(Parameter!$M$21)))</f>
        <v>0.166666666666667</v>
      </c>
      <c r="BD37" s="62" t="n">
        <f aca="false">BC37*CC37</f>
        <v>72.5</v>
      </c>
      <c r="BE37" s="63" t="n">
        <f aca="false">IF(LEFT(Cockpit!$O$5,1)="A",H37,IF(CI37=1,(CL37+CJ37)/2,IF(LEFT(Cockpit!$O$5,1)="B",(CL37+BG37)/2,MAX((CL37+BG37)/2,H37))))</f>
        <v>33</v>
      </c>
      <c r="BF37" s="62" t="n">
        <f aca="false">BE37*G37</f>
        <v>7431.27</v>
      </c>
      <c r="BG37" s="62" t="n">
        <f aca="false">ROUNDUP(CL37+MAX(CM37,2*(J37/IF(CH37&gt;0,CH37,MAX(0.1,N(Cockpit!$O$6)))-CL37)),0)</f>
        <v>54</v>
      </c>
      <c r="BH37" s="63" t="n">
        <f aca="false">IF(BD37&gt;0,J37/BD37,-1)</f>
        <v>1.80689655172414</v>
      </c>
      <c r="BI37" s="63" t="n">
        <f aca="false">IF(AND(OR(CG37="L1",CG37="L23",CG37="LIFT"),BD37&gt;0),SUMIFS($BD$7:$BD$1843,$CG$7:$CG$1843,CG37,$BH$7:$BH$1843,"&gt;"&amp;BH37)+SUMIFS($BD$7:$BD$1843,$CG$7:$CG$1843,CG37,$BH$7:$BH$1843,BH37,$BX$7:$BX$1843,"&lt;="&amp;BX37),"")</f>
        <v>6086.35897435898</v>
      </c>
      <c r="BJ37" s="70" t="n">
        <f aca="false">IF(BI37="",0,MAX(0,MIN(1,(IF(CG37="L1",Parameter!$H$5,IF(CG37="L23",Parameter!$H$6+Parameter!$H$7,Parameter!$H$5+Parameter!$H$6+Parameter!$H$7))-(BI37-BD37))/BD37)))</f>
        <v>1</v>
      </c>
      <c r="BK37" s="60" t="str">
        <f aca="false">IF(AJ37&lt;=0,"",IF(CG37="Aussen","Aussenlager",IF(CG37="-","Nicht im Lift",IF(AP37&gt;=1,"Lift",IF(AP37&lt;=0,"Aussenlager","teilweise")))))</f>
        <v>Lift</v>
      </c>
      <c r="BL37" s="60" t="str">
        <f aca="false">IF(AT37&lt;=0,"",IF(CG37="Aussen","Aussenlager",IF(CG37="-","Nicht im Lift",IF(AZ37&gt;=1,"Lift",IF(AZ37&lt;=0,"Aussenlager","teilweise")))))</f>
        <v>Lift</v>
      </c>
      <c r="BM37" s="60" t="str">
        <f aca="false">IF(BD37&lt;=0,"",IF(CG37="Aussen","Aussenlager",IF(CG37="-","Nicht im Lift",IF(BJ37&gt;=1,"Lift",IF(BJ37&lt;=0,"Aussenlager","teilweise")))))</f>
        <v>Lift</v>
      </c>
      <c r="BN37" s="60" t="str">
        <f aca="false">IF(A37="","",IF(BW37=1,"Neu; ","")&amp;IF(AND(BW37=0,BR37&lt;0),"negativer Bestand (Export "&amp;BR37&amp;"); ","")&amp;IF(J37&lt;=0,"Kein Verbrauch; ","")&amp;IF(CR37&gt;0,"Lift "&amp;W37&amp;" lt. Liftbericht (Fach "&amp;X37&amp;" Stk); ",IF(CB37=1,"Gebinde geschätzt ("&amp;T37&amp;"); ",IF(CA37=1,"Lose – Tablare geschätzt; ","")))&amp;IF(H37&gt;AW37,"Überbestand "&amp;ROUND(H37-AW37,0)&amp;" Stk / CHF "&amp;ROUND((H37-AW37)*G37,0)&amp;"; ","")&amp;IF(AND(CI37=1,CJ37&lt;CK37),"MAX &lt; MB+LG; ","")&amp;IF(AND(CQ37&gt;0,CP37*10&gt;CQ37),"zu hoch für Tablar; ","")&amp;IF(AND(BW37=0,OR(CI37=1,AB37&lt;&gt;"",U37&lt;&gt;"",V37&lt;&gt;"",AC37&lt;&gt;"")),"manuell übersteuert; ","")&amp;IF(AND(CA37=0,R37=0),"Gebinde unbekannt / Stellmass fehlt; ","")&amp;IF(AND(CA37=0,N(V37)&lt;=0,N(Q37)&lt;=0),"Menge pro Gebinde fehlt (Ist = 1 Gebinde); ","")&amp;BV37)</f>
        <v>grosser Artikel &amp; nicht im KTL</v>
      </c>
      <c r="BO37" s="60" t="s">
        <v>302</v>
      </c>
      <c r="BP37" s="60"/>
      <c r="BQ37" s="67"/>
      <c r="BR37" s="62" t="n">
        <v>44</v>
      </c>
      <c r="BS37" s="62" t="n">
        <v>18</v>
      </c>
      <c r="BT37" s="61" t="n">
        <v>10677.68</v>
      </c>
      <c r="BU37" s="62" t="n">
        <v>131</v>
      </c>
      <c r="BV37" s="60" t="s">
        <v>303</v>
      </c>
      <c r="BW37" s="65" t="n">
        <v>0</v>
      </c>
      <c r="BX37" s="65" t="n">
        <v>37</v>
      </c>
      <c r="BY37" s="60" t="str">
        <f aca="false">IF(U37&lt;&gt;"",UPPER(TRIM(U37)),IF(CB37=1,UPPER(VLOOKUP(T37,Parameter!$I$27:$K$29,2,0)),IF(P37="","LOSE",P37)))</f>
        <v>S72</v>
      </c>
      <c r="BZ37" s="62" t="n">
        <f aca="false">IF(BY37="LOSE",1,IF(N(V37)&gt;0,V37,IF(CB37=1,MAX(1,N(VLOOKUP(T37,Parameter!$I$27:$K$29,3,0)),H37,N(N37)),IF(N(Q37)&gt;0,Q37,MAX(1,H37)))))</f>
        <v>61</v>
      </c>
      <c r="CA37" s="65" t="n">
        <f aca="false">IF(BY37="LOSE",1,0)</f>
        <v>0</v>
      </c>
      <c r="CB37" s="65" t="n">
        <f aca="false">IF(AND(U37="",OR(P37="",P37="LOSE"),T37&lt;&gt;"",N(S37)&lt;=0,ISNUMBER(MATCH(T37,Parameter!$I$27:$I$29,0))),1,0)</f>
        <v>0</v>
      </c>
      <c r="CC37" s="65" t="n">
        <f aca="false">IF(CR37&gt;0,INDEX(Parameter!$H$5:$H$7,W37)/INDEX(Parameter!$E$5:$E$7,W37),IF(AND(CA37=0,N(IFERROR(VLOOKUP(BY37,'Gebinde-Kategorie'!$A$5:$N$45,14,0),0))&gt;0),VLOOKUP(BY37,'Gebinde-Kategorie'!$A$5:$N$45,14,0)*10+Parameter!$M$23,Parameter!$M$24))</f>
        <v>435</v>
      </c>
      <c r="CD37" s="60" t="str">
        <f aca="false">IF(AND(Parameter!$B$19="Ja",E37&lt;&gt;"",ISNUMBER(MATCH(E37,Parameter!$I$35:$I$52,0))),VLOOKUP(E37,Parameter!$I$35:$J$52,2,0),IFERROR(VLOOKUP(D37,Parameter!$A$35:$C$64,2,0),"Nein"))</f>
        <v>2+3</v>
      </c>
      <c r="CE37" s="64" t="n">
        <f aca="false">IF(CA37=0,0,IF(N(S37)&gt;0,S37,IFERROR(VLOOKUP(D37,Parameter!$A$35:$C$64,3,0)+0,0)))</f>
        <v>0</v>
      </c>
      <c r="CF37" s="60" t="n">
        <f aca="false">IF(AB37&lt;&gt;"",AB37,AA37)</f>
        <v>2</v>
      </c>
      <c r="CG37" s="60" t="str">
        <f aca="false">IF(OR(CF37=1,CF37=2,CF37=3),IF(Parameter!$E$27="Ja","LIFT",IF(CF37=1,"L1","L23")),IF(CF37="Aussen","Aussen","-"))</f>
        <v>LIFT</v>
      </c>
      <c r="CH37" s="71" t="n">
        <f aca="false">IF(N(AC37)&gt;0,AC37,0)</f>
        <v>0</v>
      </c>
      <c r="CI37" s="65" t="n">
        <f aca="false">IF(ISNUMBER(AF37),1,0)</f>
        <v>0</v>
      </c>
      <c r="CJ37" s="62" t="n">
        <f aca="false">N(AF37)</f>
        <v>0</v>
      </c>
      <c r="CK37" s="62" t="n">
        <f aca="false">N(M37)+N(N37)</f>
        <v>47</v>
      </c>
      <c r="CL37" s="62" t="n">
        <f aca="false">N(M37)</f>
        <v>12</v>
      </c>
      <c r="CM37" s="62" t="n">
        <f aca="false">N(N37)</f>
        <v>35</v>
      </c>
      <c r="CN37" s="62" t="n">
        <f aca="false">ROUNDUP(H37/BZ37,0)</f>
        <v>2</v>
      </c>
      <c r="CO37" s="62" t="n">
        <f aca="false">ROUNDUP(CJ37/BZ37,0)</f>
        <v>0</v>
      </c>
      <c r="CP37" s="65" t="n">
        <f aca="false">IF(CA37=1,0,IFERROR(VLOOKUP(BY37,'Gebinde-Kategorie'!$A$5:$N$45,5,0)+0,0))</f>
        <v>40</v>
      </c>
      <c r="CQ37" s="65" t="n">
        <f aca="false">IFERROR(IF(OR(CF37=1,CF37=2,CF37=3),N(INDEX(Parameter!$I$5:$I$7,CF37)),0),0)</f>
        <v>0</v>
      </c>
      <c r="CR37" s="64" t="n">
        <f aca="false">IF(AND(Parameter!$B$21="Ja",ISNUMBER(W37),N(X37)&gt;0),IFERROR(N(INDEX(Parameter!$L$5:$L$7,W37))*INDEX(Parameter!$E$5:$E$7,W37)*X37/SUMIFS($X$7:$X$1843,$W$7:$W$1843,W37),0),0)</f>
        <v>0</v>
      </c>
      <c r="CS37" s="62" t="n">
        <f aca="false">IF(AND(OR(CG37="L1",CG37="L23",CG37="LIFT"),H37&gt;0),CC37*IF(CR37&gt;0,CR37*MAX(1,H37/X37),IF(CA37=1,CE37,IF(R37&gt;0,CN37/R37,0))/MAX(0.1,N(Parameter!$M$21))),"")</f>
        <v>145</v>
      </c>
      <c r="CT37" s="64" t="n">
        <f aca="false">IF(CS37="","",J37/H37)</f>
        <v>2.11290322580645</v>
      </c>
      <c r="CU37" s="62" t="n">
        <f aca="false">IF(CS37="","",H37*G37)</f>
        <v>13961.78</v>
      </c>
      <c r="CV37" s="63" t="n">
        <f aca="false">IF(CS37="","",(CL37+ROUNDUP(CL37+MAX(CM37,2*(J37/MAX(0.1,N(Einkauf!$C$6))-CL37)),0))/2)</f>
        <v>33</v>
      </c>
      <c r="CW37" s="62" t="n">
        <f aca="false">IF(CS37="","",MAX(0,H37-CV37)*G37)</f>
        <v>6530.51</v>
      </c>
      <c r="CX37" s="62" t="n">
        <f aca="false">IF(CS37="","",CS37*MAX(0,1-CV37/H37))</f>
        <v>67.8225806451613</v>
      </c>
      <c r="CY37" s="64" t="n">
        <f aca="false">IF(CS37="","",PERCENTRANK($CS$7:$CS$1843,CS37)+PERCENTRANK($CU$7:$CU$1843,CU37)+1-PERCENTRANK($CT$7:$CT$1843,CT37))</f>
        <v>2.12</v>
      </c>
      <c r="CZ37" s="72" t="n">
        <f aca="false">IF(CS37="","",CHOOSE(MATCH(Einkauf!$C$5,Parameter!$G$23:$G$27,0),CY37,CS37,CU37,-CT37,CW37)+ROW()/1000000000)</f>
        <v>2.120000037</v>
      </c>
    </row>
    <row r="38" customFormat="false" ht="15" hidden="false" customHeight="false" outlineLevel="0" collapsed="false">
      <c r="A38" s="60" t="s">
        <v>304</v>
      </c>
      <c r="B38" s="60" t="s">
        <v>305</v>
      </c>
      <c r="C38" s="60" t="s">
        <v>206</v>
      </c>
      <c r="D38" s="60" t="s">
        <v>215</v>
      </c>
      <c r="E38" s="60" t="s">
        <v>208</v>
      </c>
      <c r="F38" s="60" t="s">
        <v>260</v>
      </c>
      <c r="G38" s="61" t="n">
        <v>630.41</v>
      </c>
      <c r="H38" s="62" t="n">
        <f aca="false">MAX(0,IF(AND(Parameter!$B$21="Ja",ISNUMBER(Y38)),Y38,IF(Parameter!$B$20="Jahresanfang 2025 + Export",BS38+BR38,BR38)))</f>
        <v>16</v>
      </c>
      <c r="I38" s="62" t="n">
        <f aca="false">H38*G38</f>
        <v>10086.56</v>
      </c>
      <c r="J38" s="62" t="n">
        <f aca="false">BU38*Parameter!$B$18</f>
        <v>72</v>
      </c>
      <c r="K38" s="63" t="n">
        <v>13</v>
      </c>
      <c r="L38" s="64" t="n">
        <v>5.53846153846154</v>
      </c>
      <c r="M38" s="62" t="n">
        <v>4</v>
      </c>
      <c r="N38" s="62" t="n">
        <v>15</v>
      </c>
      <c r="O38" s="65" t="n">
        <v>21</v>
      </c>
      <c r="P38" s="60" t="s">
        <v>265</v>
      </c>
      <c r="Q38" s="62" t="n">
        <v>8</v>
      </c>
      <c r="R38" s="65" t="n">
        <f aca="false">IF(CA38=1,0,IFERROR(VLOOKUP(BY38,'Gebinde-Kategorie'!$A$5:$N$45,13,0)+0,0))</f>
        <v>4</v>
      </c>
      <c r="S38" s="66"/>
      <c r="T38" s="67"/>
      <c r="U38" s="67"/>
      <c r="V38" s="67"/>
      <c r="W38" s="60"/>
      <c r="X38" s="62"/>
      <c r="Y38" s="62"/>
      <c r="Z38" s="60" t="n">
        <v>2</v>
      </c>
      <c r="AA38" s="60" t="n">
        <f aca="false">IF(A38="","",IF(AND(Parameter!$B$21="Ja",ISNUMBER(W38)),W38,IF(AND(Parameter!$E$27="Ja",ISNUMBER(Z38),CD38&lt;&gt;"Nein"),Z38,IF(CD38="2+3",IF(ISNUMBER(SEARCH("grosser Artikel",BV38)),2,IFERROR(VLOOKUP(BY38,Parameter!$F$35:$G$64,2,0),2)),IF(OR(CD38="Nein",CD38=""),"-",CD38)))))</f>
        <v>2</v>
      </c>
      <c r="AB38" s="67"/>
      <c r="AC38" s="68"/>
      <c r="AD38" s="62" t="n">
        <f aca="false">AW38</f>
        <v>44</v>
      </c>
      <c r="AE38" s="62" t="n">
        <f aca="false">MAX(AW38,H38)</f>
        <v>44</v>
      </c>
      <c r="AF38" s="69"/>
      <c r="AG38" s="62" t="n">
        <f aca="false">IF(LEFT(Cockpit!$C$5,1)="A",H38,IF(Parameter!$E$30="MAX-Bestand",IF(CI38=1,CJ38,IF(LEFT(Cockpit!$C$5,1)="B",AM38,MAX(AM38,H38))),ROUNDUP(AK38,0)))</f>
        <v>16</v>
      </c>
      <c r="AH38" s="62" t="n">
        <f aca="false">IF(CA38=1,0,ROUNDUP(AG38/BZ38,0))</f>
        <v>2</v>
      </c>
      <c r="AI38" s="64" t="n">
        <f aca="false">IF(CR38&gt;0,CR38*MAX(1,AG38/X38),IF(CA38=1,IF(AG38&lt;=0,0,CE38*MAX(1,IF(H38&gt;0,AG38/H38,1))),IF(R38&gt;0,AH38/R38,0))/MAX(0.1,N(Parameter!$M$21)))</f>
        <v>0.5</v>
      </c>
      <c r="AJ38" s="62" t="n">
        <f aca="false">AI38*CC38</f>
        <v>117.5</v>
      </c>
      <c r="AK38" s="63" t="n">
        <f aca="false">IF(LEFT(Cockpit!$C$5,1)="A",H38,IF(CI38=1,(CL38+CJ38)/2,IF(LEFT(Cockpit!$C$5,1)="B",(CL38+AM38)/2,MAX((CL38+AM38)/2,H38))))</f>
        <v>16</v>
      </c>
      <c r="AL38" s="62" t="n">
        <f aca="false">AK38*G38</f>
        <v>10086.56</v>
      </c>
      <c r="AM38" s="62" t="n">
        <f aca="false">ROUNDUP(CL38+MAX(CM38,2*(J38/IF(CH38&gt;0,CH38,MAX(0.1,N(Cockpit!$C$6)))-CL38)),0)</f>
        <v>44</v>
      </c>
      <c r="AN38" s="63" t="n">
        <f aca="false">IF(AJ38&gt;0,J38/AJ38,-1)</f>
        <v>0.612765957446809</v>
      </c>
      <c r="AO38" s="63" t="n">
        <f aca="false">IF(AND(OR(CG38="L1",CG38="L23",CG38="LIFT"),AJ38&gt;0),SUMIFS($AJ$7:$AJ$1843,$CG$7:$CG$1843,CG38,$AN$7:$AN$1843,"&gt;"&amp;AN38)+SUMIFS($AJ$7:$AJ$1843,$CG$7:$CG$1843,CG38,$AN$7:$AN$1843,AN38,$BX$7:$BX$1843,"&lt;="&amp;BX38),"")</f>
        <v>8995.36947703897</v>
      </c>
      <c r="AP38" s="70" t="n">
        <f aca="false">IF(AO38="",0,MAX(0,MIN(1,(IF(CG38="L1",Parameter!$H$5,IF(CG38="L23",Parameter!$H$6+Parameter!$H$7,Parameter!$H$5+Parameter!$H$6+Parameter!$H$7))-(AO38-AJ38))/AJ38)))</f>
        <v>1</v>
      </c>
      <c r="AQ38" s="62" t="n">
        <f aca="false">IF(LEFT(Cockpit!$I$5,1)="A",H38,IF(Parameter!$E$30="MAX-Bestand",IF(CI38=1,CJ38,IF(LEFT(Cockpit!$I$5,1)="B",AW38,MAX(AW38,H38))),ROUNDUP(AU38,0)))</f>
        <v>24</v>
      </c>
      <c r="AR38" s="62" t="n">
        <f aca="false">IF(CA38=1,0,ROUNDUP(AQ38/BZ38,0))</f>
        <v>3</v>
      </c>
      <c r="AS38" s="64" t="n">
        <f aca="false">IF(CR38&gt;0,CR38*MAX(1,AQ38/X38),IF(CA38=1,IF(AQ38&lt;=0,0,CE38*MAX(1,IF(H38&gt;0,AQ38/H38,1))),IF(R38&gt;0,AR38/R38,0))/MAX(0.1,N(Parameter!$M$21)))</f>
        <v>0.75</v>
      </c>
      <c r="AT38" s="62" t="n">
        <f aca="false">AS38*CC38</f>
        <v>176.25</v>
      </c>
      <c r="AU38" s="63" t="n">
        <f aca="false">IF(LEFT(Cockpit!$I$5,1)="A",H38,IF(CI38=1,(CL38+CJ38)/2,IF(LEFT(Cockpit!$I$5,1)="B",(CL38+AW38)/2,MAX((CL38+AW38)/2,H38))))</f>
        <v>24</v>
      </c>
      <c r="AV38" s="62" t="n">
        <f aca="false">AU38*G38</f>
        <v>15129.84</v>
      </c>
      <c r="AW38" s="62" t="n">
        <f aca="false">ROUNDUP(CL38+MAX(CM38,2*(J38/IF(CH38&gt;0,CH38,MAX(0.1,N(Cockpit!$I$6)))-CL38)),0)</f>
        <v>44</v>
      </c>
      <c r="AX38" s="63" t="n">
        <f aca="false">IF(AT38&gt;0,J38/AT38,-1)</f>
        <v>0.408510638297872</v>
      </c>
      <c r="AY38" s="63" t="n">
        <f aca="false">IF(AND(OR(CG38="L1",CG38="L23",CG38="LIFT"),AT38&gt;0),SUMIFS($AT$7:$AT$1843,$CG$7:$CG$1843,CG38,$AX$7:$AX$1843,"&gt;"&amp;AX38)+SUMIFS($AT$7:$AT$1843,$CG$7:$CG$1843,CG38,$AX$7:$AX$1843,AX38,$BX$7:$BX$1843,"&lt;="&amp;BX38),"")</f>
        <v>12659.0993589744</v>
      </c>
      <c r="AZ38" s="70" t="n">
        <f aca="false">IF(AY38="",0,MAX(0,MIN(1,(IF(CG38="L1",Parameter!$H$5,IF(CG38="L23",Parameter!$H$6+Parameter!$H$7,Parameter!$H$5+Parameter!$H$6+Parameter!$H$7))-(AY38-AT38))/AT38)))</f>
        <v>1</v>
      </c>
      <c r="BA38" s="62" t="n">
        <f aca="false">IF(LEFT(Cockpit!$O$5,1)="A",H38,IF(Parameter!$E$30="MAX-Bestand",IF(CI38=1,CJ38,IF(LEFT(Cockpit!$O$5,1)="B",BG38,MAX(BG38,H38))),ROUNDUP(BE38,0)))</f>
        <v>18</v>
      </c>
      <c r="BB38" s="62" t="n">
        <f aca="false">IF(CA38=1,0,ROUNDUP(BA38/BZ38,0))</f>
        <v>3</v>
      </c>
      <c r="BC38" s="64" t="n">
        <f aca="false">IF(CR38&gt;0,CR38*MAX(1,BA38/X38),IF(CA38=1,IF(BA38&lt;=0,0,CE38*MAX(1,IF(H38&gt;0,BA38/H38,1))),IF(R38&gt;0,BB38/R38,0))/MAX(0.1,N(Parameter!$M$21)))</f>
        <v>0.75</v>
      </c>
      <c r="BD38" s="62" t="n">
        <f aca="false">BC38*CC38</f>
        <v>176.25</v>
      </c>
      <c r="BE38" s="63" t="n">
        <f aca="false">IF(LEFT(Cockpit!$O$5,1)="A",H38,IF(CI38=1,(CL38+CJ38)/2,IF(LEFT(Cockpit!$O$5,1)="B",(CL38+BG38)/2,MAX((CL38+BG38)/2,H38))))</f>
        <v>18</v>
      </c>
      <c r="BF38" s="62" t="n">
        <f aca="false">BE38*G38</f>
        <v>11347.38</v>
      </c>
      <c r="BG38" s="62" t="n">
        <f aca="false">ROUNDUP(CL38+MAX(CM38,2*(J38/IF(CH38&gt;0,CH38,MAX(0.1,N(Cockpit!$O$6)))-CL38)),0)</f>
        <v>32</v>
      </c>
      <c r="BH38" s="63" t="n">
        <f aca="false">IF(BD38&gt;0,J38/BD38,-1)</f>
        <v>0.408510638297872</v>
      </c>
      <c r="BI38" s="63" t="n">
        <f aca="false">IF(AND(OR(CG38="L1",CG38="L23",CG38="LIFT"),BD38&gt;0),SUMIFS($BD$7:$BD$1843,$CG$7:$CG$1843,CG38,$BH$7:$BH$1843,"&gt;"&amp;BH38)+SUMIFS($BD$7:$BD$1843,$CG$7:$CG$1843,CG38,$BH$7:$BH$1843,BH38,$BX$7:$BX$1843,"&lt;="&amp;BX38),"")</f>
        <v>10879.353021978</v>
      </c>
      <c r="BJ38" s="70" t="n">
        <f aca="false">IF(BI38="",0,MAX(0,MIN(1,(IF(CG38="L1",Parameter!$H$5,IF(CG38="L23",Parameter!$H$6+Parameter!$H$7,Parameter!$H$5+Parameter!$H$6+Parameter!$H$7))-(BI38-BD38))/BD38)))</f>
        <v>1</v>
      </c>
      <c r="BK38" s="60" t="str">
        <f aca="false">IF(AJ38&lt;=0,"",IF(CG38="Aussen","Aussenlager",IF(CG38="-","Nicht im Lift",IF(AP38&gt;=1,"Lift",IF(AP38&lt;=0,"Aussenlager","teilweise")))))</f>
        <v>Lift</v>
      </c>
      <c r="BL38" s="60" t="str">
        <f aca="false">IF(AT38&lt;=0,"",IF(CG38="Aussen","Aussenlager",IF(CG38="-","Nicht im Lift",IF(AZ38&gt;=1,"Lift",IF(AZ38&lt;=0,"Aussenlager","teilweise")))))</f>
        <v>Lift</v>
      </c>
      <c r="BM38" s="60" t="str">
        <f aca="false">IF(BD38&lt;=0,"",IF(CG38="Aussen","Aussenlager",IF(CG38="-","Nicht im Lift",IF(BJ38&gt;=1,"Lift",IF(BJ38&lt;=0,"Aussenlager","teilweise")))))</f>
        <v>Lift</v>
      </c>
      <c r="BN38" s="60" t="str">
        <f aca="false">IF(A38="","",IF(BW38=1,"Neu; ","")&amp;IF(AND(BW38=0,BR38&lt;0),"negativer Bestand (Export "&amp;BR38&amp;"); ","")&amp;IF(J38&lt;=0,"Kein Verbrauch; ","")&amp;IF(CR38&gt;0,"Lift "&amp;W38&amp;" lt. Liftbericht (Fach "&amp;X38&amp;" Stk); ",IF(CB38=1,"Gebinde geschätzt ("&amp;T38&amp;"); ",IF(CA38=1,"Lose – Tablare geschätzt; ","")))&amp;IF(H38&gt;AW38,"Überbestand "&amp;ROUND(H38-AW38,0)&amp;" Stk / CHF "&amp;ROUND((H38-AW38)*G38,0)&amp;"; ","")&amp;IF(AND(CI38=1,CJ38&lt;CK38),"MAX &lt; MB+LG; ","")&amp;IF(AND(CQ38&gt;0,CP38*10&gt;CQ38),"zu hoch für Tablar; ","")&amp;IF(AND(BW38=0,OR(CI38=1,AB38&lt;&gt;"",U38&lt;&gt;"",V38&lt;&gt;"",AC38&lt;&gt;"")),"manuell übersteuert; ","")&amp;IF(AND(CA38=0,R38=0),"Gebinde unbekannt / Stellmass fehlt; ","")&amp;IF(AND(CA38=0,N(V38)&lt;=0,N(Q38)&lt;=0),"Menge pro Gebinde fehlt (Ist = 1 Gebinde); ","")&amp;BV38)</f>
        <v/>
      </c>
      <c r="BO38" s="60"/>
      <c r="BP38" s="60"/>
      <c r="BQ38" s="67"/>
      <c r="BR38" s="62" t="n">
        <v>16</v>
      </c>
      <c r="BS38" s="62" t="n">
        <v>0</v>
      </c>
      <c r="BT38" s="61" t="n">
        <v>10086.58</v>
      </c>
      <c r="BU38" s="62" t="n">
        <v>72</v>
      </c>
      <c r="BV38" s="60"/>
      <c r="BW38" s="65" t="n">
        <v>0</v>
      </c>
      <c r="BX38" s="65" t="n">
        <v>38</v>
      </c>
      <c r="BY38" s="60" t="str">
        <f aca="false">IF(U38&lt;&gt;"",UPPER(TRIM(U38)),IF(CB38=1,UPPER(VLOOKUP(T38,Parameter!$I$27:$K$29,2,0)),IF(P38="","LOSE",P38)))</f>
        <v>S81</v>
      </c>
      <c r="BZ38" s="62" t="n">
        <f aca="false">IF(BY38="LOSE",1,IF(N(V38)&gt;0,V38,IF(CB38=1,MAX(1,N(VLOOKUP(T38,Parameter!$I$27:$K$29,3,0)),H38,N(N38)),IF(N(Q38)&gt;0,Q38,MAX(1,H38)))))</f>
        <v>8</v>
      </c>
      <c r="CA38" s="65" t="n">
        <f aca="false">IF(BY38="LOSE",1,0)</f>
        <v>0</v>
      </c>
      <c r="CB38" s="65" t="n">
        <f aca="false">IF(AND(U38="",OR(P38="",P38="LOSE"),T38&lt;&gt;"",N(S38)&lt;=0,ISNUMBER(MATCH(T38,Parameter!$I$27:$I$29,0))),1,0)</f>
        <v>0</v>
      </c>
      <c r="CC38" s="65" t="n">
        <f aca="false">IF(CR38&gt;0,INDEX(Parameter!$H$5:$H$7,W38)/INDEX(Parameter!$E$5:$E$7,W38),IF(AND(CA38=0,N(IFERROR(VLOOKUP(BY38,'Gebinde-Kategorie'!$A$5:$N$45,14,0),0))&gt;0),VLOOKUP(BY38,'Gebinde-Kategorie'!$A$5:$N$45,14,0)*10+Parameter!$M$23,Parameter!$M$24))</f>
        <v>235</v>
      </c>
      <c r="CD38" s="60" t="n">
        <f aca="false">IF(AND(Parameter!$B$19="Ja",E38&lt;&gt;"",ISNUMBER(MATCH(E38,Parameter!$I$35:$I$52,0))),VLOOKUP(E38,Parameter!$I$35:$J$52,2,0),IFERROR(VLOOKUP(D38,Parameter!$A$35:$C$64,2,0),"Nein"))</f>
        <v>1</v>
      </c>
      <c r="CE38" s="64" t="n">
        <f aca="false">IF(CA38=0,0,IF(N(S38)&gt;0,S38,IFERROR(VLOOKUP(D38,Parameter!$A$35:$C$64,3,0)+0,0)))</f>
        <v>0</v>
      </c>
      <c r="CF38" s="60" t="n">
        <f aca="false">IF(AB38&lt;&gt;"",AB38,AA38)</f>
        <v>2</v>
      </c>
      <c r="CG38" s="60" t="str">
        <f aca="false">IF(OR(CF38=1,CF38=2,CF38=3),IF(Parameter!$E$27="Ja","LIFT",IF(CF38=1,"L1","L23")),IF(CF38="Aussen","Aussen","-"))</f>
        <v>LIFT</v>
      </c>
      <c r="CH38" s="71" t="n">
        <f aca="false">IF(N(AC38)&gt;0,AC38,0)</f>
        <v>0</v>
      </c>
      <c r="CI38" s="65" t="n">
        <f aca="false">IF(ISNUMBER(AF38),1,0)</f>
        <v>0</v>
      </c>
      <c r="CJ38" s="62" t="n">
        <f aca="false">N(AF38)</f>
        <v>0</v>
      </c>
      <c r="CK38" s="62" t="n">
        <f aca="false">N(M38)+N(N38)</f>
        <v>19</v>
      </c>
      <c r="CL38" s="62" t="n">
        <f aca="false">N(M38)</f>
        <v>4</v>
      </c>
      <c r="CM38" s="62" t="n">
        <f aca="false">N(N38)</f>
        <v>15</v>
      </c>
      <c r="CN38" s="62" t="n">
        <f aca="false">ROUNDUP(H38/BZ38,0)</f>
        <v>2</v>
      </c>
      <c r="CO38" s="62" t="n">
        <f aca="false">ROUNDUP(CJ38/BZ38,0)</f>
        <v>0</v>
      </c>
      <c r="CP38" s="65" t="n">
        <f aca="false">IF(CA38=1,0,IFERROR(VLOOKUP(BY38,'Gebinde-Kategorie'!$A$5:$N$45,5,0)+0,0))</f>
        <v>20</v>
      </c>
      <c r="CQ38" s="65" t="n">
        <f aca="false">IFERROR(IF(OR(CF38=1,CF38=2,CF38=3),N(INDEX(Parameter!$I$5:$I$7,CF38)),0),0)</f>
        <v>0</v>
      </c>
      <c r="CR38" s="64" t="n">
        <f aca="false">IF(AND(Parameter!$B$21="Ja",ISNUMBER(W38),N(X38)&gt;0),IFERROR(N(INDEX(Parameter!$L$5:$L$7,W38))*INDEX(Parameter!$E$5:$E$7,W38)*X38/SUMIFS($X$7:$X$1843,$W$7:$W$1843,W38),0),0)</f>
        <v>0</v>
      </c>
      <c r="CS38" s="62" t="n">
        <f aca="false">IF(AND(OR(CG38="L1",CG38="L23",CG38="LIFT"),H38&gt;0),CC38*IF(CR38&gt;0,CR38*MAX(1,H38/X38),IF(CA38=1,CE38,IF(R38&gt;0,CN38/R38,0))/MAX(0.1,N(Parameter!$M$21))),"")</f>
        <v>117.5</v>
      </c>
      <c r="CT38" s="64" t="n">
        <f aca="false">IF(CS38="","",J38/H38)</f>
        <v>4.5</v>
      </c>
      <c r="CU38" s="62" t="n">
        <f aca="false">IF(CS38="","",H38*G38)</f>
        <v>10086.56</v>
      </c>
      <c r="CV38" s="63" t="n">
        <f aca="false">IF(CS38="","",(CL38+ROUNDUP(CL38+MAX(CM38,2*(J38/MAX(0.1,N(Einkauf!$C$6))-CL38)),0))/2)</f>
        <v>18</v>
      </c>
      <c r="CW38" s="62" t="n">
        <f aca="false">IF(CS38="","",MAX(0,H38-CV38)*G38)</f>
        <v>0</v>
      </c>
      <c r="CX38" s="62" t="n">
        <f aca="false">IF(CS38="","",CS38*MAX(0,1-CV38/H38))</f>
        <v>0</v>
      </c>
      <c r="CY38" s="64" t="n">
        <f aca="false">IF(CS38="","",PERCENTRANK($CS$7:$CS$1843,CS38)+PERCENTRANK($CU$7:$CU$1843,CU38)+1-PERCENTRANK($CT$7:$CT$1843,CT38))</f>
        <v>1.966</v>
      </c>
      <c r="CZ38" s="72" t="n">
        <f aca="false">IF(CS38="","",CHOOSE(MATCH(Einkauf!$C$5,Parameter!$G$23:$G$27,0),CY38,CS38,CU38,-CT38,CW38)+ROW()/1000000000)</f>
        <v>1.966000038</v>
      </c>
    </row>
    <row r="39" customFormat="false" ht="15" hidden="false" customHeight="false" outlineLevel="0" collapsed="false">
      <c r="A39" s="60" t="s">
        <v>306</v>
      </c>
      <c r="B39" s="60" t="s">
        <v>307</v>
      </c>
      <c r="C39" s="60" t="s">
        <v>206</v>
      </c>
      <c r="D39" s="60" t="s">
        <v>215</v>
      </c>
      <c r="E39" s="60" t="s">
        <v>208</v>
      </c>
      <c r="F39" s="60" t="s">
        <v>260</v>
      </c>
      <c r="G39" s="61" t="n">
        <v>914.52</v>
      </c>
      <c r="H39" s="62" t="n">
        <f aca="false">MAX(0,IF(AND(Parameter!$B$21="Ja",ISNUMBER(Y39)),Y39,IF(Parameter!$B$20="Jahresanfang 2025 + Export",BS39+BR39,BR39)))</f>
        <v>13</v>
      </c>
      <c r="I39" s="62" t="n">
        <f aca="false">H39*G39</f>
        <v>11888.76</v>
      </c>
      <c r="J39" s="62" t="n">
        <f aca="false">BU39*Parameter!$B$18</f>
        <v>147</v>
      </c>
      <c r="K39" s="63" t="n">
        <v>4</v>
      </c>
      <c r="L39" s="64" t="n">
        <v>36.75</v>
      </c>
      <c r="M39" s="62" t="n">
        <v>11</v>
      </c>
      <c r="N39" s="62" t="n">
        <v>20</v>
      </c>
      <c r="O39" s="65" t="n">
        <v>28</v>
      </c>
      <c r="P39" s="60" t="s">
        <v>210</v>
      </c>
      <c r="Q39" s="62"/>
      <c r="R39" s="65" t="n">
        <f aca="false">IF(CA39=1,0,IFERROR(VLOOKUP(BY39,'Gebinde-Kategorie'!$A$5:$N$45,13,0)+0,0))</f>
        <v>12</v>
      </c>
      <c r="S39" s="66"/>
      <c r="T39" s="67" t="s">
        <v>221</v>
      </c>
      <c r="U39" s="67"/>
      <c r="V39" s="67"/>
      <c r="W39" s="60"/>
      <c r="X39" s="62"/>
      <c r="Y39" s="62"/>
      <c r="Z39" s="60" t="n">
        <v>3</v>
      </c>
      <c r="AA39" s="60" t="n">
        <f aca="false">IF(A39="","",IF(AND(Parameter!$B$21="Ja",ISNUMBER(W39)),W39,IF(AND(Parameter!$E$27="Ja",ISNUMBER(Z39),CD39&lt;&gt;"Nein"),Z39,IF(CD39="2+3",IF(ISNUMBER(SEARCH("grosser Artikel",BV39)),2,IFERROR(VLOOKUP(BY39,Parameter!$F$35:$G$64,2,0),2)),IF(OR(CD39="Nein",CD39=""),"-",CD39)))))</f>
        <v>3</v>
      </c>
      <c r="AB39" s="67"/>
      <c r="AC39" s="68"/>
      <c r="AD39" s="62" t="n">
        <f aca="false">AW39</f>
        <v>87</v>
      </c>
      <c r="AE39" s="62" t="n">
        <f aca="false">MAX(AW39,H39)</f>
        <v>87</v>
      </c>
      <c r="AF39" s="69"/>
      <c r="AG39" s="62" t="n">
        <f aca="false">IF(LEFT(Cockpit!$C$5,1)="A",H39,IF(Parameter!$E$30="MAX-Bestand",IF(CI39=1,CJ39,IF(LEFT(Cockpit!$C$5,1)="B",AM39,MAX(AM39,H39))),ROUNDUP(AK39,0)))</f>
        <v>13</v>
      </c>
      <c r="AH39" s="62" t="n">
        <f aca="false">IF(CA39=1,0,ROUNDUP(AG39/BZ39,0))</f>
        <v>1</v>
      </c>
      <c r="AI39" s="64" t="n">
        <f aca="false">IF(CR39&gt;0,CR39*MAX(1,AG39/X39),IF(CA39=1,IF(AG39&lt;=0,0,CE39*MAX(1,IF(H39&gt;0,AG39/H39,1))),IF(R39&gt;0,AH39/R39,0))/MAX(0.1,N(Parameter!$M$21)))</f>
        <v>0.0833333333333333</v>
      </c>
      <c r="AJ39" s="62" t="n">
        <f aca="false">AI39*CC39</f>
        <v>12.0833333333333</v>
      </c>
      <c r="AK39" s="63" t="n">
        <f aca="false">IF(LEFT(Cockpit!$C$5,1)="A",H39,IF(CI39=1,(CL39+CJ39)/2,IF(LEFT(Cockpit!$C$5,1)="B",(CL39+AM39)/2,MAX((CL39+AM39)/2,H39))))</f>
        <v>13</v>
      </c>
      <c r="AL39" s="62" t="n">
        <f aca="false">AK39*G39</f>
        <v>11888.76</v>
      </c>
      <c r="AM39" s="62" t="n">
        <f aca="false">ROUNDUP(CL39+MAX(CM39,2*(J39/IF(CH39&gt;0,CH39,MAX(0.1,N(Cockpit!$C$6)))-CL39)),0)</f>
        <v>87</v>
      </c>
      <c r="AN39" s="63" t="n">
        <f aca="false">IF(AJ39&gt;0,J39/AJ39,-1)</f>
        <v>12.1655172413793</v>
      </c>
      <c r="AO39" s="63" t="n">
        <f aca="false">IF(AND(OR(CG39="L1",CG39="L23",CG39="LIFT"),AJ39&gt;0),SUMIFS($AJ$7:$AJ$1843,$CG$7:$CG$1843,CG39,$AN$7:$AN$1843,"&gt;"&amp;AN39)+SUMIFS($AJ$7:$AJ$1843,$CG$7:$CG$1843,CG39,$AN$7:$AN$1843,AN39,$BX$7:$BX$1843,"&lt;="&amp;BX39),"")</f>
        <v>2513.54120879121</v>
      </c>
      <c r="AP39" s="70" t="n">
        <f aca="false">IF(AO39="",0,MAX(0,MIN(1,(IF(CG39="L1",Parameter!$H$5,IF(CG39="L23",Parameter!$H$6+Parameter!$H$7,Parameter!$H$5+Parameter!$H$6+Parameter!$H$7))-(AO39-AJ39))/AJ39)))</f>
        <v>1</v>
      </c>
      <c r="AQ39" s="62" t="n">
        <f aca="false">IF(LEFT(Cockpit!$I$5,1)="A",H39,IF(Parameter!$E$30="MAX-Bestand",IF(CI39=1,CJ39,IF(LEFT(Cockpit!$I$5,1)="B",AW39,MAX(AW39,H39))),ROUNDUP(AU39,0)))</f>
        <v>49</v>
      </c>
      <c r="AR39" s="62" t="n">
        <f aca="false">IF(CA39=1,0,ROUNDUP(AQ39/BZ39,0))</f>
        <v>3</v>
      </c>
      <c r="AS39" s="64" t="n">
        <f aca="false">IF(CR39&gt;0,CR39*MAX(1,AQ39/X39),IF(CA39=1,IF(AQ39&lt;=0,0,CE39*MAX(1,IF(H39&gt;0,AQ39/H39,1))),IF(R39&gt;0,AR39/R39,0))/MAX(0.1,N(Parameter!$M$21)))</f>
        <v>0.25</v>
      </c>
      <c r="AT39" s="62" t="n">
        <f aca="false">AS39*CC39</f>
        <v>36.25</v>
      </c>
      <c r="AU39" s="63" t="n">
        <f aca="false">IF(LEFT(Cockpit!$I$5,1)="A",H39,IF(CI39=1,(CL39+CJ39)/2,IF(LEFT(Cockpit!$I$5,1)="B",(CL39+AW39)/2,MAX((CL39+AW39)/2,H39))))</f>
        <v>49</v>
      </c>
      <c r="AV39" s="62" t="n">
        <f aca="false">AU39*G39</f>
        <v>44811.48</v>
      </c>
      <c r="AW39" s="62" t="n">
        <f aca="false">ROUNDUP(CL39+MAX(CM39,2*(J39/IF(CH39&gt;0,CH39,MAX(0.1,N(Cockpit!$I$6)))-CL39)),0)</f>
        <v>87</v>
      </c>
      <c r="AX39" s="63" t="n">
        <f aca="false">IF(AT39&gt;0,J39/AT39,-1)</f>
        <v>4.0551724137931</v>
      </c>
      <c r="AY39" s="63" t="n">
        <f aca="false">IF(AND(OR(CG39="L1",CG39="L23",CG39="LIFT"),AT39&gt;0),SUMIFS($AT$7:$AT$1843,$CG$7:$CG$1843,CG39,$AX$7:$AX$1843,"&gt;"&amp;AX39)+SUMIFS($AT$7:$AT$1843,$CG$7:$CG$1843,CG39,$AX$7:$AX$1843,AX39,$BX$7:$BX$1843,"&lt;="&amp;BX39),"")</f>
        <v>4871.82097069597</v>
      </c>
      <c r="AZ39" s="70" t="n">
        <f aca="false">IF(AY39="",0,MAX(0,MIN(1,(IF(CG39="L1",Parameter!$H$5,IF(CG39="L23",Parameter!$H$6+Parameter!$H$7,Parameter!$H$5+Parameter!$H$6+Parameter!$H$7))-(AY39-AT39))/AT39)))</f>
        <v>1</v>
      </c>
      <c r="BA39" s="62" t="n">
        <f aca="false">IF(LEFT(Cockpit!$O$5,1)="A",H39,IF(Parameter!$E$30="MAX-Bestand",IF(CI39=1,CJ39,IF(LEFT(Cockpit!$O$5,1)="B",BG39,MAX(BG39,H39))),ROUNDUP(BE39,0)))</f>
        <v>37</v>
      </c>
      <c r="BB39" s="62" t="n">
        <f aca="false">IF(CA39=1,0,ROUNDUP(BA39/BZ39,0))</f>
        <v>2</v>
      </c>
      <c r="BC39" s="64" t="n">
        <f aca="false">IF(CR39&gt;0,CR39*MAX(1,BA39/X39),IF(CA39=1,IF(BA39&lt;=0,0,CE39*MAX(1,IF(H39&gt;0,BA39/H39,1))),IF(R39&gt;0,BB39/R39,0))/MAX(0.1,N(Parameter!$M$21)))</f>
        <v>0.166666666666667</v>
      </c>
      <c r="BD39" s="62" t="n">
        <f aca="false">BC39*CC39</f>
        <v>24.1666666666667</v>
      </c>
      <c r="BE39" s="63" t="n">
        <f aca="false">IF(LEFT(Cockpit!$O$5,1)="A",H39,IF(CI39=1,(CL39+CJ39)/2,IF(LEFT(Cockpit!$O$5,1)="B",(CL39+BG39)/2,MAX((CL39+BG39)/2,H39))))</f>
        <v>37</v>
      </c>
      <c r="BF39" s="62" t="n">
        <f aca="false">BE39*G39</f>
        <v>33837.24</v>
      </c>
      <c r="BG39" s="62" t="n">
        <f aca="false">ROUNDUP(CL39+MAX(CM39,2*(J39/IF(CH39&gt;0,CH39,MAX(0.1,N(Cockpit!$O$6)))-CL39)),0)</f>
        <v>63</v>
      </c>
      <c r="BH39" s="63" t="n">
        <f aca="false">IF(BD39&gt;0,J39/BD39,-1)</f>
        <v>6.08275862068966</v>
      </c>
      <c r="BI39" s="63" t="n">
        <f aca="false">IF(AND(OR(CG39="L1",CG39="L23",CG39="LIFT"),BD39&gt;0),SUMIFS($BD$7:$BD$1843,$CG$7:$CG$1843,CG39,$BH$7:$BH$1843,"&gt;"&amp;BH39)+SUMIFS($BD$7:$BD$1843,$CG$7:$CG$1843,CG39,$BH$7:$BH$1843,BH39,$BX$7:$BX$1843,"&lt;="&amp;BX39),"")</f>
        <v>3485.3402014652</v>
      </c>
      <c r="BJ39" s="70" t="n">
        <f aca="false">IF(BI39="",0,MAX(0,MIN(1,(IF(CG39="L1",Parameter!$H$5,IF(CG39="L23",Parameter!$H$6+Parameter!$H$7,Parameter!$H$5+Parameter!$H$6+Parameter!$H$7))-(BI39-BD39))/BD39)))</f>
        <v>1</v>
      </c>
      <c r="BK39" s="60" t="str">
        <f aca="false">IF(AJ39&lt;=0,"",IF(CG39="Aussen","Aussenlager",IF(CG39="-","Nicht im Lift",IF(AP39&gt;=1,"Lift",IF(AP39&lt;=0,"Aussenlager","teilweise")))))</f>
        <v>Lift</v>
      </c>
      <c r="BL39" s="60" t="str">
        <f aca="false">IF(AT39&lt;=0,"",IF(CG39="Aussen","Aussenlager",IF(CG39="-","Nicht im Lift",IF(AZ39&gt;=1,"Lift",IF(AZ39&lt;=0,"Aussenlager","teilweise")))))</f>
        <v>Lift</v>
      </c>
      <c r="BM39" s="60" t="str">
        <f aca="false">IF(BD39&lt;=0,"",IF(CG39="Aussen","Aussenlager",IF(CG39="-","Nicht im Lift",IF(BJ39&gt;=1,"Lift",IF(BJ39&lt;=0,"Aussenlager","teilweise")))))</f>
        <v>Lift</v>
      </c>
      <c r="BN39" s="60" t="str">
        <f aca="false">IF(A39="","",IF(BW39=1,"Neu; ","")&amp;IF(AND(BW39=0,BR39&lt;0),"negativer Bestand (Export "&amp;BR39&amp;"); ","")&amp;IF(J39&lt;=0,"Kein Verbrauch; ","")&amp;IF(CR39&gt;0,"Lift "&amp;W39&amp;" lt. Liftbericht (Fach "&amp;X39&amp;" Stk); ",IF(CB39=1,"Gebinde geschätzt ("&amp;T39&amp;"); ",IF(CA39=1,"Lose – Tablare geschätzt; ","")))&amp;IF(H39&gt;AW39,"Überbestand "&amp;ROUND(H39-AW39,0)&amp;" Stk / CHF "&amp;ROUND((H39-AW39)*G39,0)&amp;"; ","")&amp;IF(AND(CI39=1,CJ39&lt;CK39),"MAX &lt; MB+LG; ","")&amp;IF(AND(CQ39&gt;0,CP39*10&gt;CQ39),"zu hoch für Tablar; ","")&amp;IF(AND(BW39=0,OR(CI39=1,AB39&lt;&gt;"",U39&lt;&gt;"",V39&lt;&gt;"",AC39&lt;&gt;"")),"manuell übersteuert; ","")&amp;IF(AND(CA39=0,R39=0),"Gebinde unbekannt / Stellmass fehlt; ","")&amp;IF(AND(CA39=0,N(V39)&lt;=0,N(Q39)&lt;=0),"Menge pro Gebinde fehlt (Ist = 1 Gebinde); ","")&amp;BV39)</f>
        <v>Gebinde geschätzt (Mittel); Menge pro Gebinde fehlt (Ist = 1 Gebinde); </v>
      </c>
      <c r="BO39" s="60" t="s">
        <v>308</v>
      </c>
      <c r="BP39" s="60" t="s">
        <v>309</v>
      </c>
      <c r="BQ39" s="67"/>
      <c r="BR39" s="62" t="n">
        <v>11</v>
      </c>
      <c r="BS39" s="62" t="n">
        <v>2</v>
      </c>
      <c r="BT39" s="61" t="n">
        <v>10019.94</v>
      </c>
      <c r="BU39" s="62" t="n">
        <v>147</v>
      </c>
      <c r="BV39" s="60"/>
      <c r="BW39" s="65" t="n">
        <v>0</v>
      </c>
      <c r="BX39" s="65" t="n">
        <v>39</v>
      </c>
      <c r="BY39" s="60" t="str">
        <f aca="false">IF(U39&lt;&gt;"",UPPER(TRIM(U39)),IF(CB39=1,UPPER(VLOOKUP(T39,Parameter!$I$27:$K$29,2,0)),IF(P39="","LOSE",P39)))</f>
        <v>S61</v>
      </c>
      <c r="BZ39" s="62" t="n">
        <f aca="false">IF(BY39="LOSE",1,IF(N(V39)&gt;0,V39,IF(CB39=1,MAX(1,N(VLOOKUP(T39,Parameter!$I$27:$K$29,3,0)),H39,N(N39)),IF(N(Q39)&gt;0,Q39,MAX(1,H39)))))</f>
        <v>20</v>
      </c>
      <c r="CA39" s="65" t="n">
        <f aca="false">IF(BY39="LOSE",1,0)</f>
        <v>0</v>
      </c>
      <c r="CB39" s="65" t="n">
        <f aca="false">IF(AND(U39="",OR(P39="",P39="LOSE"),T39&lt;&gt;"",N(S39)&lt;=0,ISNUMBER(MATCH(T39,Parameter!$I$27:$I$29,0))),1,0)</f>
        <v>1</v>
      </c>
      <c r="CC39" s="65" t="n">
        <f aca="false">IF(CR39&gt;0,INDEX(Parameter!$H$5:$H$7,W39)/INDEX(Parameter!$E$5:$E$7,W39),IF(AND(CA39=0,N(IFERROR(VLOOKUP(BY39,'Gebinde-Kategorie'!$A$5:$N$45,14,0),0))&gt;0),VLOOKUP(BY39,'Gebinde-Kategorie'!$A$5:$N$45,14,0)*10+Parameter!$M$23,Parameter!$M$24))</f>
        <v>145</v>
      </c>
      <c r="CD39" s="60" t="n">
        <f aca="false">IF(AND(Parameter!$B$19="Ja",E39&lt;&gt;"",ISNUMBER(MATCH(E39,Parameter!$I$35:$I$52,0))),VLOOKUP(E39,Parameter!$I$35:$J$52,2,0),IFERROR(VLOOKUP(D39,Parameter!$A$35:$C$64,2,0),"Nein"))</f>
        <v>1</v>
      </c>
      <c r="CE39" s="64" t="n">
        <f aca="false">IF(CA39=0,0,IF(N(S39)&gt;0,S39,IFERROR(VLOOKUP(D39,Parameter!$A$35:$C$64,3,0)+0,0)))</f>
        <v>0</v>
      </c>
      <c r="CF39" s="60" t="n">
        <f aca="false">IF(AB39&lt;&gt;"",AB39,AA39)</f>
        <v>3</v>
      </c>
      <c r="CG39" s="60" t="str">
        <f aca="false">IF(OR(CF39=1,CF39=2,CF39=3),IF(Parameter!$E$27="Ja","LIFT",IF(CF39=1,"L1","L23")),IF(CF39="Aussen","Aussen","-"))</f>
        <v>LIFT</v>
      </c>
      <c r="CH39" s="71" t="n">
        <f aca="false">IF(N(AC39)&gt;0,AC39,0)</f>
        <v>0</v>
      </c>
      <c r="CI39" s="65" t="n">
        <f aca="false">IF(ISNUMBER(AF39),1,0)</f>
        <v>0</v>
      </c>
      <c r="CJ39" s="62" t="n">
        <f aca="false">N(AF39)</f>
        <v>0</v>
      </c>
      <c r="CK39" s="62" t="n">
        <f aca="false">N(M39)+N(N39)</f>
        <v>31</v>
      </c>
      <c r="CL39" s="62" t="n">
        <f aca="false">N(M39)</f>
        <v>11</v>
      </c>
      <c r="CM39" s="62" t="n">
        <f aca="false">N(N39)</f>
        <v>20</v>
      </c>
      <c r="CN39" s="62" t="n">
        <f aca="false">ROUNDUP(H39/BZ39,0)</f>
        <v>1</v>
      </c>
      <c r="CO39" s="62" t="n">
        <f aca="false">ROUNDUP(CJ39/BZ39,0)</f>
        <v>0</v>
      </c>
      <c r="CP39" s="65" t="n">
        <f aca="false">IF(CA39=1,0,IFERROR(VLOOKUP(BY39,'Gebinde-Kategorie'!$A$5:$N$45,5,0)+0,0))</f>
        <v>11</v>
      </c>
      <c r="CQ39" s="65" t="n">
        <f aca="false">IFERROR(IF(OR(CF39=1,CF39=2,CF39=3),N(INDEX(Parameter!$I$5:$I$7,CF39)),0),0)</f>
        <v>0</v>
      </c>
      <c r="CR39" s="64" t="n">
        <f aca="false">IF(AND(Parameter!$B$21="Ja",ISNUMBER(W39),N(X39)&gt;0),IFERROR(N(INDEX(Parameter!$L$5:$L$7,W39))*INDEX(Parameter!$E$5:$E$7,W39)*X39/SUMIFS($X$7:$X$1843,$W$7:$W$1843,W39),0),0)</f>
        <v>0</v>
      </c>
      <c r="CS39" s="62" t="n">
        <f aca="false">IF(AND(OR(CG39="L1",CG39="L23",CG39="LIFT"),H39&gt;0),CC39*IF(CR39&gt;0,CR39*MAX(1,H39/X39),IF(CA39=1,CE39,IF(R39&gt;0,CN39/R39,0))/MAX(0.1,N(Parameter!$M$21))),"")</f>
        <v>12.0833333333333</v>
      </c>
      <c r="CT39" s="64" t="n">
        <f aca="false">IF(CS39="","",J39/H39)</f>
        <v>11.3076923076923</v>
      </c>
      <c r="CU39" s="62" t="n">
        <f aca="false">IF(CS39="","",H39*G39)</f>
        <v>11888.76</v>
      </c>
      <c r="CV39" s="63" t="n">
        <f aca="false">IF(CS39="","",(CL39+ROUNDUP(CL39+MAX(CM39,2*(J39/MAX(0.1,N(Einkauf!$C$6))-CL39)),0))/2)</f>
        <v>37</v>
      </c>
      <c r="CW39" s="62" t="n">
        <f aca="false">IF(CS39="","",MAX(0,H39-CV39)*G39)</f>
        <v>0</v>
      </c>
      <c r="CX39" s="62" t="n">
        <f aca="false">IF(CS39="","",CS39*MAX(0,1-CV39/H39))</f>
        <v>0</v>
      </c>
      <c r="CY39" s="64" t="n">
        <f aca="false">IF(CS39="","",PERCENTRANK($CS$7:$CS$1843,CS39)+PERCENTRANK($CU$7:$CU$1843,CU39)+1-PERCENTRANK($CT$7:$CT$1843,CT39))</f>
        <v>1.624</v>
      </c>
      <c r="CZ39" s="72" t="n">
        <f aca="false">IF(CS39="","",CHOOSE(MATCH(Einkauf!$C$5,Parameter!$G$23:$G$27,0),CY39,CS39,CU39,-CT39,CW39)+ROW()/1000000000)</f>
        <v>1.624000039</v>
      </c>
    </row>
    <row r="40" customFormat="false" ht="15" hidden="false" customHeight="false" outlineLevel="0" collapsed="false">
      <c r="A40" s="60" t="s">
        <v>310</v>
      </c>
      <c r="B40" s="60" t="s">
        <v>287</v>
      </c>
      <c r="C40" s="60" t="s">
        <v>206</v>
      </c>
      <c r="D40" s="60" t="s">
        <v>215</v>
      </c>
      <c r="E40" s="60"/>
      <c r="F40" s="60" t="s">
        <v>260</v>
      </c>
      <c r="G40" s="61" t="n">
        <v>3123</v>
      </c>
      <c r="H40" s="62" t="n">
        <f aca="false">MAX(0,IF(AND(Parameter!$B$21="Ja",ISNUMBER(Y40)),Y40,IF(Parameter!$B$20="Jahresanfang 2025 + Export",BS40+BR40,BR40)))</f>
        <v>3</v>
      </c>
      <c r="I40" s="62" t="n">
        <f aca="false">H40*G40</f>
        <v>9369</v>
      </c>
      <c r="J40" s="62" t="n">
        <f aca="false">BU40*Parameter!$B$18</f>
        <v>0</v>
      </c>
      <c r="K40" s="63" t="n">
        <v>0.5</v>
      </c>
      <c r="L40" s="64" t="n">
        <v>0</v>
      </c>
      <c r="M40" s="62" t="n">
        <v>0</v>
      </c>
      <c r="N40" s="62" t="n">
        <v>1</v>
      </c>
      <c r="O40" s="65" t="n">
        <v>56</v>
      </c>
      <c r="P40" s="60" t="s">
        <v>210</v>
      </c>
      <c r="Q40" s="62"/>
      <c r="R40" s="65" t="n">
        <f aca="false">IF(CA40=1,0,IFERROR(VLOOKUP(BY40,'Gebinde-Kategorie'!$A$5:$N$45,13,0)+0,0))</f>
        <v>12</v>
      </c>
      <c r="S40" s="66"/>
      <c r="T40" s="67" t="s">
        <v>221</v>
      </c>
      <c r="U40" s="67"/>
      <c r="V40" s="67"/>
      <c r="W40" s="60"/>
      <c r="X40" s="62"/>
      <c r="Y40" s="62"/>
      <c r="Z40" s="60" t="n">
        <v>3</v>
      </c>
      <c r="AA40" s="60" t="n">
        <f aca="false">IF(A40="","",IF(AND(Parameter!$B$21="Ja",ISNUMBER(W40)),W40,IF(AND(Parameter!$E$27="Ja",ISNUMBER(Z40),CD40&lt;&gt;"Nein"),Z40,IF(CD40="2+3",IF(ISNUMBER(SEARCH("grosser Artikel",BV40)),2,IFERROR(VLOOKUP(BY40,Parameter!$F$35:$G$64,2,0),2)),IF(OR(CD40="Nein",CD40=""),"-",CD40)))))</f>
        <v>3</v>
      </c>
      <c r="AB40" s="67"/>
      <c r="AC40" s="68"/>
      <c r="AD40" s="62" t="n">
        <f aca="false">AW40</f>
        <v>1</v>
      </c>
      <c r="AE40" s="62" t="n">
        <f aca="false">MAX(AW40,H40)</f>
        <v>3</v>
      </c>
      <c r="AF40" s="69"/>
      <c r="AG40" s="62" t="n">
        <f aca="false">IF(LEFT(Cockpit!$C$5,1)="A",H40,IF(Parameter!$E$30="MAX-Bestand",IF(CI40=1,CJ40,IF(LEFT(Cockpit!$C$5,1)="B",AM40,MAX(AM40,H40))),ROUNDUP(AK40,0)))</f>
        <v>3</v>
      </c>
      <c r="AH40" s="62" t="n">
        <f aca="false">IF(CA40=1,0,ROUNDUP(AG40/BZ40,0))</f>
        <v>1</v>
      </c>
      <c r="AI40" s="64" t="n">
        <f aca="false">IF(CR40&gt;0,CR40*MAX(1,AG40/X40),IF(CA40=1,IF(AG40&lt;=0,0,CE40*MAX(1,IF(H40&gt;0,AG40/H40,1))),IF(R40&gt;0,AH40/R40,0))/MAX(0.1,N(Parameter!$M$21)))</f>
        <v>0.0833333333333333</v>
      </c>
      <c r="AJ40" s="62" t="n">
        <f aca="false">AI40*CC40</f>
        <v>12.0833333333333</v>
      </c>
      <c r="AK40" s="63" t="n">
        <f aca="false">IF(LEFT(Cockpit!$C$5,1)="A",H40,IF(CI40=1,(CL40+CJ40)/2,IF(LEFT(Cockpit!$C$5,1)="B",(CL40+AM40)/2,MAX((CL40+AM40)/2,H40))))</f>
        <v>3</v>
      </c>
      <c r="AL40" s="62" t="n">
        <f aca="false">AK40*G40</f>
        <v>9369</v>
      </c>
      <c r="AM40" s="62" t="n">
        <f aca="false">ROUNDUP(CL40+MAX(CM40,2*(J40/IF(CH40&gt;0,CH40,MAX(0.1,N(Cockpit!$C$6)))-CL40)),0)</f>
        <v>1</v>
      </c>
      <c r="AN40" s="63" t="n">
        <f aca="false">IF(AJ40&gt;0,J40/AJ40,-1)</f>
        <v>0</v>
      </c>
      <c r="AO40" s="63" t="n">
        <f aca="false">IF(AND(OR(CG40="L1",CG40="L23",CG40="LIFT"),AJ40&gt;0),SUMIFS($AJ$7:$AJ$1843,$CG$7:$CG$1843,CG40,$AN$7:$AN$1843,"&gt;"&amp;AN40)+SUMIFS($AJ$7:$AJ$1843,$CG$7:$CG$1843,CG40,$AN$7:$AN$1843,AN40,$BX$7:$BX$1843,"&lt;="&amp;BX40),"")</f>
        <v>25700.2719081766</v>
      </c>
      <c r="AP40" s="70" t="n">
        <f aca="false">IF(AO40="",0,MAX(0,MIN(1,(IF(CG40="L1",Parameter!$H$5,IF(CG40="L23",Parameter!$H$6+Parameter!$H$7,Parameter!$H$5+Parameter!$H$6+Parameter!$H$7))-(AO40-AJ40))/AJ40)))</f>
        <v>1</v>
      </c>
      <c r="AQ40" s="62" t="n">
        <f aca="false">IF(LEFT(Cockpit!$I$5,1)="A",H40,IF(Parameter!$E$30="MAX-Bestand",IF(CI40=1,CJ40,IF(LEFT(Cockpit!$I$5,1)="B",AW40,MAX(AW40,H40))),ROUNDUP(AU40,0)))</f>
        <v>3</v>
      </c>
      <c r="AR40" s="62" t="n">
        <f aca="false">IF(CA40=1,0,ROUNDUP(AQ40/BZ40,0))</f>
        <v>1</v>
      </c>
      <c r="AS40" s="64" t="n">
        <f aca="false">IF(CR40&gt;0,CR40*MAX(1,AQ40/X40),IF(CA40=1,IF(AQ40&lt;=0,0,CE40*MAX(1,IF(H40&gt;0,AQ40/H40,1))),IF(R40&gt;0,AR40/R40,0))/MAX(0.1,N(Parameter!$M$21)))</f>
        <v>0.0833333333333333</v>
      </c>
      <c r="AT40" s="62" t="n">
        <f aca="false">AS40*CC40</f>
        <v>12.0833333333333</v>
      </c>
      <c r="AU40" s="63" t="n">
        <f aca="false">IF(LEFT(Cockpit!$I$5,1)="A",H40,IF(CI40=1,(CL40+CJ40)/2,IF(LEFT(Cockpit!$I$5,1)="B",(CL40+AW40)/2,MAX((CL40+AW40)/2,H40))))</f>
        <v>3</v>
      </c>
      <c r="AV40" s="62" t="n">
        <f aca="false">AU40*G40</f>
        <v>9369</v>
      </c>
      <c r="AW40" s="62" t="n">
        <f aca="false">ROUNDUP(CL40+MAX(CM40,2*(J40/IF(CH40&gt;0,CH40,MAX(0.1,N(Cockpit!$I$6)))-CL40)),0)</f>
        <v>1</v>
      </c>
      <c r="AX40" s="63" t="n">
        <f aca="false">IF(AT40&gt;0,J40/AT40,-1)</f>
        <v>0</v>
      </c>
      <c r="AY40" s="63" t="n">
        <f aca="false">IF(AND(OR(CG40="L1",CG40="L23",CG40="LIFT"),AT40&gt;0),SUMIFS($AT$7:$AT$1843,$CG$7:$CG$1843,CG40,$AX$7:$AX$1843,"&gt;"&amp;AX40)+SUMIFS($AT$7:$AT$1843,$CG$7:$CG$1843,CG40,$AX$7:$AX$1843,AX40,$BX$7:$BX$1843,"&lt;="&amp;BX40),"")</f>
        <v>31053.420549554</v>
      </c>
      <c r="AZ40" s="70" t="n">
        <f aca="false">IF(AY40="",0,MAX(0,MIN(1,(IF(CG40="L1",Parameter!$H$5,IF(CG40="L23",Parameter!$H$6+Parameter!$H$7,Parameter!$H$5+Parameter!$H$6+Parameter!$H$7))-(AY40-AT40))/AT40)))</f>
        <v>1</v>
      </c>
      <c r="BA40" s="62" t="n">
        <f aca="false">IF(LEFT(Cockpit!$O$5,1)="A",H40,IF(Parameter!$E$30="MAX-Bestand",IF(CI40=1,CJ40,IF(LEFT(Cockpit!$O$5,1)="B",BG40,MAX(BG40,H40))),ROUNDUP(BE40,0)))</f>
        <v>1</v>
      </c>
      <c r="BB40" s="62" t="n">
        <f aca="false">IF(CA40=1,0,ROUNDUP(BA40/BZ40,0))</f>
        <v>1</v>
      </c>
      <c r="BC40" s="64" t="n">
        <f aca="false">IF(CR40&gt;0,CR40*MAX(1,BA40/X40),IF(CA40=1,IF(BA40&lt;=0,0,CE40*MAX(1,IF(H40&gt;0,BA40/H40,1))),IF(R40&gt;0,BB40/R40,0))/MAX(0.1,N(Parameter!$M$21)))</f>
        <v>0.0833333333333333</v>
      </c>
      <c r="BD40" s="62" t="n">
        <f aca="false">BC40*CC40</f>
        <v>12.0833333333333</v>
      </c>
      <c r="BE40" s="63" t="n">
        <f aca="false">IF(LEFT(Cockpit!$O$5,1)="A",H40,IF(CI40=1,(CL40+CJ40)/2,IF(LEFT(Cockpit!$O$5,1)="B",(CL40+BG40)/2,MAX((CL40+BG40)/2,H40))))</f>
        <v>0.5</v>
      </c>
      <c r="BF40" s="62" t="n">
        <f aca="false">BE40*G40</f>
        <v>1561.5</v>
      </c>
      <c r="BG40" s="62" t="n">
        <f aca="false">ROUNDUP(CL40+MAX(CM40,2*(J40/IF(CH40&gt;0,CH40,MAX(0.1,N(Cockpit!$O$6)))-CL40)),0)</f>
        <v>1</v>
      </c>
      <c r="BH40" s="63" t="n">
        <f aca="false">IF(BD40&gt;0,J40/BD40,-1)</f>
        <v>0</v>
      </c>
      <c r="BI40" s="63" t="n">
        <f aca="false">IF(AND(OR(CG40="L1",CG40="L23",CG40="LIFT"),BD40&gt;0),SUMIFS($BD$7:$BD$1843,$CG$7:$CG$1843,CG40,$BH$7:$BH$1843,"&gt;"&amp;BH40)+SUMIFS($BD$7:$BD$1843,$CG$7:$CG$1843,CG40,$BH$7:$BH$1843,BH40,$BX$7:$BX$1843,"&lt;="&amp;BX40),"")</f>
        <v>25308.752392852</v>
      </c>
      <c r="BJ40" s="70" t="n">
        <f aca="false">IF(BI40="",0,MAX(0,MIN(1,(IF(CG40="L1",Parameter!$H$5,IF(CG40="L23",Parameter!$H$6+Parameter!$H$7,Parameter!$H$5+Parameter!$H$6+Parameter!$H$7))-(BI40-BD40))/BD40)))</f>
        <v>1</v>
      </c>
      <c r="BK40" s="60" t="str">
        <f aca="false">IF(AJ40&lt;=0,"",IF(CG40="Aussen","Aussenlager",IF(CG40="-","Nicht im Lift",IF(AP40&gt;=1,"Lift",IF(AP40&lt;=0,"Aussenlager","teilweise")))))</f>
        <v>Lift</v>
      </c>
      <c r="BL40" s="60" t="str">
        <f aca="false">IF(AT40&lt;=0,"",IF(CG40="Aussen","Aussenlager",IF(CG40="-","Nicht im Lift",IF(AZ40&gt;=1,"Lift",IF(AZ40&lt;=0,"Aussenlager","teilweise")))))</f>
        <v>Lift</v>
      </c>
      <c r="BM40" s="60" t="str">
        <f aca="false">IF(BD40&lt;=0,"",IF(CG40="Aussen","Aussenlager",IF(CG40="-","Nicht im Lift",IF(BJ40&gt;=1,"Lift",IF(BJ40&lt;=0,"Aussenlager","teilweise")))))</f>
        <v>Lift</v>
      </c>
      <c r="BN40" s="60" t="str">
        <f aca="false">IF(A40="","",IF(BW40=1,"Neu; ","")&amp;IF(AND(BW40=0,BR40&lt;0),"negativer Bestand (Export "&amp;BR40&amp;"); ","")&amp;IF(J40&lt;=0,"Kein Verbrauch; ","")&amp;IF(CR40&gt;0,"Lift "&amp;W40&amp;" lt. Liftbericht (Fach "&amp;X40&amp;" Stk); ",IF(CB40=1,"Gebinde geschätzt ("&amp;T40&amp;"); ",IF(CA40=1,"Lose – Tablare geschätzt; ","")))&amp;IF(H40&gt;AW40,"Überbestand "&amp;ROUND(H40-AW40,0)&amp;" Stk / CHF "&amp;ROUND((H40-AW40)*G40,0)&amp;"; ","")&amp;IF(AND(CI40=1,CJ40&lt;CK40),"MAX &lt; MB+LG; ","")&amp;IF(AND(CQ40&gt;0,CP40*10&gt;CQ40),"zu hoch für Tablar; ","")&amp;IF(AND(BW40=0,OR(CI40=1,AB40&lt;&gt;"",U40&lt;&gt;"",V40&lt;&gt;"",AC40&lt;&gt;"")),"manuell übersteuert; ","")&amp;IF(AND(CA40=0,R40=0),"Gebinde unbekannt / Stellmass fehlt; ","")&amp;IF(AND(CA40=0,N(V40)&lt;=0,N(Q40)&lt;=0),"Menge pro Gebinde fehlt (Ist = 1 Gebinde); ","")&amp;BV40)</f>
        <v>Kein Verbrauch; Gebinde geschätzt (Mittel); Überbestand 2 Stk / CHF 6246; Menge pro Gebinde fehlt (Ist = 1 Gebinde); </v>
      </c>
      <c r="BO40" s="60"/>
      <c r="BP40" s="60"/>
      <c r="BQ40" s="67"/>
      <c r="BR40" s="62" t="n">
        <v>3</v>
      </c>
      <c r="BS40" s="62" t="n">
        <v>0</v>
      </c>
      <c r="BT40" s="61" t="n">
        <v>9369</v>
      </c>
      <c r="BU40" s="62" t="n">
        <v>0</v>
      </c>
      <c r="BV40" s="60"/>
      <c r="BW40" s="65" t="n">
        <v>0</v>
      </c>
      <c r="BX40" s="65" t="n">
        <v>40</v>
      </c>
      <c r="BY40" s="60" t="str">
        <f aca="false">IF(U40&lt;&gt;"",UPPER(TRIM(U40)),IF(CB40=1,UPPER(VLOOKUP(T40,Parameter!$I$27:$K$29,2,0)),IF(P40="","LOSE",P40)))</f>
        <v>S61</v>
      </c>
      <c r="BZ40" s="62" t="n">
        <f aca="false">IF(BY40="LOSE",1,IF(N(V40)&gt;0,V40,IF(CB40=1,MAX(1,N(VLOOKUP(T40,Parameter!$I$27:$K$29,3,0)),H40,N(N40)),IF(N(Q40)&gt;0,Q40,MAX(1,H40)))))</f>
        <v>4</v>
      </c>
      <c r="CA40" s="65" t="n">
        <f aca="false">IF(BY40="LOSE",1,0)</f>
        <v>0</v>
      </c>
      <c r="CB40" s="65" t="n">
        <f aca="false">IF(AND(U40="",OR(P40="",P40="LOSE"),T40&lt;&gt;"",N(S40)&lt;=0,ISNUMBER(MATCH(T40,Parameter!$I$27:$I$29,0))),1,0)</f>
        <v>1</v>
      </c>
      <c r="CC40" s="65" t="n">
        <f aca="false">IF(CR40&gt;0,INDEX(Parameter!$H$5:$H$7,W40)/INDEX(Parameter!$E$5:$E$7,W40),IF(AND(CA40=0,N(IFERROR(VLOOKUP(BY40,'Gebinde-Kategorie'!$A$5:$N$45,14,0),0))&gt;0),VLOOKUP(BY40,'Gebinde-Kategorie'!$A$5:$N$45,14,0)*10+Parameter!$M$23,Parameter!$M$24))</f>
        <v>145</v>
      </c>
      <c r="CD40" s="60" t="str">
        <f aca="false">IF(AND(Parameter!$B$19="Ja",E40&lt;&gt;"",ISNUMBER(MATCH(E40,Parameter!$I$35:$I$52,0))),VLOOKUP(E40,Parameter!$I$35:$J$52,2,0),IFERROR(VLOOKUP(D40,Parameter!$A$35:$C$64,2,0),"Nein"))</f>
        <v>2+3</v>
      </c>
      <c r="CE40" s="64" t="n">
        <f aca="false">IF(CA40=0,0,IF(N(S40)&gt;0,S40,IFERROR(VLOOKUP(D40,Parameter!$A$35:$C$64,3,0)+0,0)))</f>
        <v>0</v>
      </c>
      <c r="CF40" s="60" t="n">
        <f aca="false">IF(AB40&lt;&gt;"",AB40,AA40)</f>
        <v>3</v>
      </c>
      <c r="CG40" s="60" t="str">
        <f aca="false">IF(OR(CF40=1,CF40=2,CF40=3),IF(Parameter!$E$27="Ja","LIFT",IF(CF40=1,"L1","L23")),IF(CF40="Aussen","Aussen","-"))</f>
        <v>LIFT</v>
      </c>
      <c r="CH40" s="71" t="n">
        <f aca="false">IF(N(AC40)&gt;0,AC40,0)</f>
        <v>0</v>
      </c>
      <c r="CI40" s="65" t="n">
        <f aca="false">IF(ISNUMBER(AF40),1,0)</f>
        <v>0</v>
      </c>
      <c r="CJ40" s="62" t="n">
        <f aca="false">N(AF40)</f>
        <v>0</v>
      </c>
      <c r="CK40" s="62" t="n">
        <f aca="false">N(M40)+N(N40)</f>
        <v>1</v>
      </c>
      <c r="CL40" s="62" t="n">
        <f aca="false">N(M40)</f>
        <v>0</v>
      </c>
      <c r="CM40" s="62" t="n">
        <f aca="false">N(N40)</f>
        <v>1</v>
      </c>
      <c r="CN40" s="62" t="n">
        <f aca="false">ROUNDUP(H40/BZ40,0)</f>
        <v>1</v>
      </c>
      <c r="CO40" s="62" t="n">
        <f aca="false">ROUNDUP(CJ40/BZ40,0)</f>
        <v>0</v>
      </c>
      <c r="CP40" s="65" t="n">
        <f aca="false">IF(CA40=1,0,IFERROR(VLOOKUP(BY40,'Gebinde-Kategorie'!$A$5:$N$45,5,0)+0,0))</f>
        <v>11</v>
      </c>
      <c r="CQ40" s="65" t="n">
        <f aca="false">IFERROR(IF(OR(CF40=1,CF40=2,CF40=3),N(INDEX(Parameter!$I$5:$I$7,CF40)),0),0)</f>
        <v>0</v>
      </c>
      <c r="CR40" s="64" t="n">
        <f aca="false">IF(AND(Parameter!$B$21="Ja",ISNUMBER(W40),N(X40)&gt;0),IFERROR(N(INDEX(Parameter!$L$5:$L$7,W40))*INDEX(Parameter!$E$5:$E$7,W40)*X40/SUMIFS($X$7:$X$1843,$W$7:$W$1843,W40),0),0)</f>
        <v>0</v>
      </c>
      <c r="CS40" s="62" t="n">
        <f aca="false">IF(AND(OR(CG40="L1",CG40="L23",CG40="LIFT"),H40&gt;0),CC40*IF(CR40&gt;0,CR40*MAX(1,H40/X40),IF(CA40=1,CE40,IF(R40&gt;0,CN40/R40,0))/MAX(0.1,N(Parameter!$M$21))),"")</f>
        <v>12.0833333333333</v>
      </c>
      <c r="CT40" s="64" t="n">
        <f aca="false">IF(CS40="","",J40/H40)</f>
        <v>0</v>
      </c>
      <c r="CU40" s="62" t="n">
        <f aca="false">IF(CS40="","",H40*G40)</f>
        <v>9369</v>
      </c>
      <c r="CV40" s="63" t="n">
        <f aca="false">IF(CS40="","",(CL40+ROUNDUP(CL40+MAX(CM40,2*(J40/MAX(0.1,N(Einkauf!$C$6))-CL40)),0))/2)</f>
        <v>0.5</v>
      </c>
      <c r="CW40" s="62" t="n">
        <f aca="false">IF(CS40="","",MAX(0,H40-CV40)*G40)</f>
        <v>7807.5</v>
      </c>
      <c r="CX40" s="62" t="n">
        <f aca="false">IF(CS40="","",CS40*MAX(0,1-CV40/H40))</f>
        <v>10.0694444444444</v>
      </c>
      <c r="CY40" s="64" t="n">
        <f aca="false">IF(CS40="","",PERCENTRANK($CS$7:$CS$1843,CS40)+PERCENTRANK($CU$7:$CU$1843,CU40)+1-PERCENTRANK($CT$7:$CT$1843,CT40))</f>
        <v>2.606</v>
      </c>
      <c r="CZ40" s="72" t="n">
        <f aca="false">IF(CS40="","",CHOOSE(MATCH(Einkauf!$C$5,Parameter!$G$23:$G$27,0),CY40,CS40,CU40,-CT40,CW40)+ROW()/1000000000)</f>
        <v>2.60600004</v>
      </c>
    </row>
    <row r="41" customFormat="false" ht="15" hidden="false" customHeight="false" outlineLevel="0" collapsed="false">
      <c r="A41" s="60" t="s">
        <v>311</v>
      </c>
      <c r="B41" s="60" t="s">
        <v>312</v>
      </c>
      <c r="C41" s="60" t="s">
        <v>206</v>
      </c>
      <c r="D41" s="60" t="s">
        <v>215</v>
      </c>
      <c r="E41" s="60" t="s">
        <v>208</v>
      </c>
      <c r="F41" s="60" t="s">
        <v>260</v>
      </c>
      <c r="G41" s="61" t="n">
        <v>530</v>
      </c>
      <c r="H41" s="62" t="n">
        <f aca="false">MAX(0,IF(AND(Parameter!$B$21="Ja",ISNUMBER(Y41)),Y41,IF(Parameter!$B$20="Jahresanfang 2025 + Export",BS41+BR41,BR41)))</f>
        <v>19</v>
      </c>
      <c r="I41" s="62" t="n">
        <f aca="false">H41*G41</f>
        <v>10070</v>
      </c>
      <c r="J41" s="62" t="n">
        <f aca="false">BU41*Parameter!$B$18</f>
        <v>23</v>
      </c>
      <c r="K41" s="63" t="n">
        <v>9.5</v>
      </c>
      <c r="L41" s="64" t="n">
        <v>2.42105263157895</v>
      </c>
      <c r="M41" s="62" t="n">
        <v>5</v>
      </c>
      <c r="N41" s="62" t="n">
        <v>10</v>
      </c>
      <c r="O41" s="65" t="n">
        <v>70</v>
      </c>
      <c r="P41" s="60" t="s">
        <v>265</v>
      </c>
      <c r="Q41" s="62" t="n">
        <v>4</v>
      </c>
      <c r="R41" s="65" t="n">
        <f aca="false">IF(CA41=1,0,IFERROR(VLOOKUP(BY41,'Gebinde-Kategorie'!$A$5:$N$45,13,0)+0,0))</f>
        <v>4</v>
      </c>
      <c r="S41" s="66"/>
      <c r="T41" s="67"/>
      <c r="U41" s="67"/>
      <c r="V41" s="67"/>
      <c r="W41" s="60"/>
      <c r="X41" s="62"/>
      <c r="Y41" s="62"/>
      <c r="Z41" s="60" t="n">
        <v>2</v>
      </c>
      <c r="AA41" s="60" t="n">
        <f aca="false">IF(A41="","",IF(AND(Parameter!$B$21="Ja",ISNUMBER(W41)),W41,IF(AND(Parameter!$E$27="Ja",ISNUMBER(Z41),CD41&lt;&gt;"Nein"),Z41,IF(CD41="2+3",IF(ISNUMBER(SEARCH("grosser Artikel",BV41)),2,IFERROR(VLOOKUP(BY41,Parameter!$F$35:$G$64,2,0),2)),IF(OR(CD41="Nein",CD41=""),"-",CD41)))))</f>
        <v>2</v>
      </c>
      <c r="AB41" s="67"/>
      <c r="AC41" s="68"/>
      <c r="AD41" s="62" t="n">
        <f aca="false">AW41</f>
        <v>15</v>
      </c>
      <c r="AE41" s="62" t="n">
        <f aca="false">MAX(AW41,H41)</f>
        <v>19</v>
      </c>
      <c r="AF41" s="69"/>
      <c r="AG41" s="62" t="n">
        <f aca="false">IF(LEFT(Cockpit!$C$5,1)="A",H41,IF(Parameter!$E$30="MAX-Bestand",IF(CI41=1,CJ41,IF(LEFT(Cockpit!$C$5,1)="B",AM41,MAX(AM41,H41))),ROUNDUP(AK41,0)))</f>
        <v>19</v>
      </c>
      <c r="AH41" s="62" t="n">
        <f aca="false">IF(CA41=1,0,ROUNDUP(AG41/BZ41,0))</f>
        <v>5</v>
      </c>
      <c r="AI41" s="64" t="n">
        <f aca="false">IF(CR41&gt;0,CR41*MAX(1,AG41/X41),IF(CA41=1,IF(AG41&lt;=0,0,CE41*MAX(1,IF(H41&gt;0,AG41/H41,1))),IF(R41&gt;0,AH41/R41,0))/MAX(0.1,N(Parameter!$M$21)))</f>
        <v>1.25</v>
      </c>
      <c r="AJ41" s="62" t="n">
        <f aca="false">AI41*CC41</f>
        <v>293.75</v>
      </c>
      <c r="AK41" s="63" t="n">
        <f aca="false">IF(LEFT(Cockpit!$C$5,1)="A",H41,IF(CI41=1,(CL41+CJ41)/2,IF(LEFT(Cockpit!$C$5,1)="B",(CL41+AM41)/2,MAX((CL41+AM41)/2,H41))))</f>
        <v>19</v>
      </c>
      <c r="AL41" s="62" t="n">
        <f aca="false">AK41*G41</f>
        <v>10070</v>
      </c>
      <c r="AM41" s="62" t="n">
        <f aca="false">ROUNDUP(CL41+MAX(CM41,2*(J41/IF(CH41&gt;0,CH41,MAX(0.1,N(Cockpit!$C$6)))-CL41)),0)</f>
        <v>15</v>
      </c>
      <c r="AN41" s="63" t="n">
        <f aca="false">IF(AJ41&gt;0,J41/AJ41,-1)</f>
        <v>0.0782978723404255</v>
      </c>
      <c r="AO41" s="63" t="n">
        <f aca="false">IF(AND(OR(CG41="L1",CG41="L23",CG41="LIFT"),AJ41&gt;0),SUMIFS($AJ$7:$AJ$1843,$CG$7:$CG$1843,CG41,$AN$7:$AN$1843,"&gt;"&amp;AN41)+SUMIFS($AJ$7:$AJ$1843,$CG$7:$CG$1843,CG41,$AN$7:$AN$1843,AN41,$BX$7:$BX$1843,"&lt;="&amp;BX41),"")</f>
        <v>17474.7679450963</v>
      </c>
      <c r="AP41" s="70" t="n">
        <f aca="false">IF(AO41="",0,MAX(0,MIN(1,(IF(CG41="L1",Parameter!$H$5,IF(CG41="L23",Parameter!$H$6+Parameter!$H$7,Parameter!$H$5+Parameter!$H$6+Parameter!$H$7))-(AO41-AJ41))/AJ41)))</f>
        <v>1</v>
      </c>
      <c r="AQ41" s="62" t="n">
        <f aca="false">IF(LEFT(Cockpit!$I$5,1)="A",H41,IF(Parameter!$E$30="MAX-Bestand",IF(CI41=1,CJ41,IF(LEFT(Cockpit!$I$5,1)="B",AW41,MAX(AW41,H41))),ROUNDUP(AU41,0)))</f>
        <v>19</v>
      </c>
      <c r="AR41" s="62" t="n">
        <f aca="false">IF(CA41=1,0,ROUNDUP(AQ41/BZ41,0))</f>
        <v>5</v>
      </c>
      <c r="AS41" s="64" t="n">
        <f aca="false">IF(CR41&gt;0,CR41*MAX(1,AQ41/X41),IF(CA41=1,IF(AQ41&lt;=0,0,CE41*MAX(1,IF(H41&gt;0,AQ41/H41,1))),IF(R41&gt;0,AR41/R41,0))/MAX(0.1,N(Parameter!$M$21)))</f>
        <v>1.25</v>
      </c>
      <c r="AT41" s="62" t="n">
        <f aca="false">AS41*CC41</f>
        <v>293.75</v>
      </c>
      <c r="AU41" s="63" t="n">
        <f aca="false">IF(LEFT(Cockpit!$I$5,1)="A",H41,IF(CI41=1,(CL41+CJ41)/2,IF(LEFT(Cockpit!$I$5,1)="B",(CL41+AW41)/2,MAX((CL41+AW41)/2,H41))))</f>
        <v>19</v>
      </c>
      <c r="AV41" s="62" t="n">
        <f aca="false">AU41*G41</f>
        <v>10070</v>
      </c>
      <c r="AW41" s="62" t="n">
        <f aca="false">ROUNDUP(CL41+MAX(CM41,2*(J41/IF(CH41&gt;0,CH41,MAX(0.1,N(Cockpit!$I$6)))-CL41)),0)</f>
        <v>15</v>
      </c>
      <c r="AX41" s="63" t="n">
        <f aca="false">IF(AT41&gt;0,J41/AT41,-1)</f>
        <v>0.0782978723404255</v>
      </c>
      <c r="AY41" s="63" t="n">
        <f aca="false">IF(AND(OR(CG41="L1",CG41="L23",CG41="LIFT"),AT41&gt;0),SUMIFS($AT$7:$AT$1843,$CG$7:$CG$1843,CG41,$AX$7:$AX$1843,"&gt;"&amp;AX41)+SUMIFS($AT$7:$AT$1843,$CG$7:$CG$1843,CG41,$AX$7:$AX$1843,AX41,$BX$7:$BX$1843,"&lt;="&amp;BX41),"")</f>
        <v>22534.1665864738</v>
      </c>
      <c r="AZ41" s="70" t="n">
        <f aca="false">IF(AY41="",0,MAX(0,MIN(1,(IF(CG41="L1",Parameter!$H$5,IF(CG41="L23",Parameter!$H$6+Parameter!$H$7,Parameter!$H$5+Parameter!$H$6+Parameter!$H$7))-(AY41-AT41))/AT41)))</f>
        <v>1</v>
      </c>
      <c r="BA41" s="62" t="n">
        <f aca="false">IF(LEFT(Cockpit!$O$5,1)="A",H41,IF(Parameter!$E$30="MAX-Bestand",IF(CI41=1,CJ41,IF(LEFT(Cockpit!$O$5,1)="B",BG41,MAX(BG41,H41))),ROUNDUP(BE41,0)))</f>
        <v>10</v>
      </c>
      <c r="BB41" s="62" t="n">
        <f aca="false">IF(CA41=1,0,ROUNDUP(BA41/BZ41,0))</f>
        <v>3</v>
      </c>
      <c r="BC41" s="64" t="n">
        <f aca="false">IF(CR41&gt;0,CR41*MAX(1,BA41/X41),IF(CA41=1,IF(BA41&lt;=0,0,CE41*MAX(1,IF(H41&gt;0,BA41/H41,1))),IF(R41&gt;0,BB41/R41,0))/MAX(0.1,N(Parameter!$M$21)))</f>
        <v>0.75</v>
      </c>
      <c r="BD41" s="62" t="n">
        <f aca="false">BC41*CC41</f>
        <v>176.25</v>
      </c>
      <c r="BE41" s="63" t="n">
        <f aca="false">IF(LEFT(Cockpit!$O$5,1)="A",H41,IF(CI41=1,(CL41+CJ41)/2,IF(LEFT(Cockpit!$O$5,1)="B",(CL41+BG41)/2,MAX((CL41+BG41)/2,H41))))</f>
        <v>10</v>
      </c>
      <c r="BF41" s="62" t="n">
        <f aca="false">BE41*G41</f>
        <v>5300</v>
      </c>
      <c r="BG41" s="62" t="n">
        <f aca="false">ROUNDUP(CL41+MAX(CM41,2*(J41/IF(CH41&gt;0,CH41,MAX(0.1,N(Cockpit!$O$6)))-CL41)),0)</f>
        <v>15</v>
      </c>
      <c r="BH41" s="63" t="n">
        <f aca="false">IF(BD41&gt;0,J41/BD41,-1)</f>
        <v>0.130496453900709</v>
      </c>
      <c r="BI41" s="63" t="n">
        <f aca="false">IF(AND(OR(CG41="L1",CG41="L23",CG41="LIFT"),BD41&gt;0),SUMIFS($BD$7:$BD$1843,$CG$7:$CG$1843,CG41,$BH$7:$BH$1843,"&gt;"&amp;BH41)+SUMIFS($BD$7:$BD$1843,$CG$7:$CG$1843,CG41,$BH$7:$BH$1843,BH41,$BX$7:$BX$1843,"&lt;="&amp;BX41),"")</f>
        <v>15276.8416138946</v>
      </c>
      <c r="BJ41" s="70" t="n">
        <f aca="false">IF(BI41="",0,MAX(0,MIN(1,(IF(CG41="L1",Parameter!$H$5,IF(CG41="L23",Parameter!$H$6+Parameter!$H$7,Parameter!$H$5+Parameter!$H$6+Parameter!$H$7))-(BI41-BD41))/BD41)))</f>
        <v>1</v>
      </c>
      <c r="BK41" s="60" t="str">
        <f aca="false">IF(AJ41&lt;=0,"",IF(CG41="Aussen","Aussenlager",IF(CG41="-","Nicht im Lift",IF(AP41&gt;=1,"Lift",IF(AP41&lt;=0,"Aussenlager","teilweise")))))</f>
        <v>Lift</v>
      </c>
      <c r="BL41" s="60" t="str">
        <f aca="false">IF(AT41&lt;=0,"",IF(CG41="Aussen","Aussenlager",IF(CG41="-","Nicht im Lift",IF(AZ41&gt;=1,"Lift",IF(AZ41&lt;=0,"Aussenlager","teilweise")))))</f>
        <v>Lift</v>
      </c>
      <c r="BM41" s="60" t="str">
        <f aca="false">IF(BD41&lt;=0,"",IF(CG41="Aussen","Aussenlager",IF(CG41="-","Nicht im Lift",IF(BJ41&gt;=1,"Lift",IF(BJ41&lt;=0,"Aussenlager","teilweise")))))</f>
        <v>Lift</v>
      </c>
      <c r="BN41" s="60" t="str">
        <f aca="false">IF(A41="","",IF(BW41=1,"Neu; ","")&amp;IF(AND(BW41=0,BR41&lt;0),"negativer Bestand (Export "&amp;BR41&amp;"); ","")&amp;IF(J41&lt;=0,"Kein Verbrauch; ","")&amp;IF(CR41&gt;0,"Lift "&amp;W41&amp;" lt. Liftbericht (Fach "&amp;X41&amp;" Stk); ",IF(CB41=1,"Gebinde geschätzt ("&amp;T41&amp;"); ",IF(CA41=1,"Lose – Tablare geschätzt; ","")))&amp;IF(H41&gt;AW41,"Überbestand "&amp;ROUND(H41-AW41,0)&amp;" Stk / CHF "&amp;ROUND((H41-AW41)*G41,0)&amp;"; ","")&amp;IF(AND(CI41=1,CJ41&lt;CK41),"MAX &lt; MB+LG; ","")&amp;IF(AND(CQ41&gt;0,CP41*10&gt;CQ41),"zu hoch für Tablar; ","")&amp;IF(AND(BW41=0,OR(CI41=1,AB41&lt;&gt;"",U41&lt;&gt;"",V41&lt;&gt;"",AC41&lt;&gt;"")),"manuell übersteuert; ","")&amp;IF(AND(CA41=0,R41=0),"Gebinde unbekannt / Stellmass fehlt; ","")&amp;IF(AND(CA41=0,N(V41)&lt;=0,N(Q41)&lt;=0),"Menge pro Gebinde fehlt (Ist = 1 Gebinde); ","")&amp;BV41)</f>
        <v>Überbestand 4 Stk / CHF 2120; </v>
      </c>
      <c r="BO41" s="60" t="s">
        <v>313</v>
      </c>
      <c r="BP41" s="60" t="s">
        <v>314</v>
      </c>
      <c r="BQ41" s="67"/>
      <c r="BR41" s="62" t="n">
        <v>16</v>
      </c>
      <c r="BS41" s="62" t="n">
        <v>3</v>
      </c>
      <c r="BT41" s="61" t="n">
        <v>8480</v>
      </c>
      <c r="BU41" s="62" t="n">
        <v>23</v>
      </c>
      <c r="BV41" s="60"/>
      <c r="BW41" s="65" t="n">
        <v>0</v>
      </c>
      <c r="BX41" s="65" t="n">
        <v>41</v>
      </c>
      <c r="BY41" s="60" t="str">
        <f aca="false">IF(U41&lt;&gt;"",UPPER(TRIM(U41)),IF(CB41=1,UPPER(VLOOKUP(T41,Parameter!$I$27:$K$29,2,0)),IF(P41="","LOSE",P41)))</f>
        <v>S81</v>
      </c>
      <c r="BZ41" s="62" t="n">
        <f aca="false">IF(BY41="LOSE",1,IF(N(V41)&gt;0,V41,IF(CB41=1,MAX(1,N(VLOOKUP(T41,Parameter!$I$27:$K$29,3,0)),H41,N(N41)),IF(N(Q41)&gt;0,Q41,MAX(1,H41)))))</f>
        <v>4</v>
      </c>
      <c r="CA41" s="65" t="n">
        <f aca="false">IF(BY41="LOSE",1,0)</f>
        <v>0</v>
      </c>
      <c r="CB41" s="65" t="n">
        <f aca="false">IF(AND(U41="",OR(P41="",P41="LOSE"),T41&lt;&gt;"",N(S41)&lt;=0,ISNUMBER(MATCH(T41,Parameter!$I$27:$I$29,0))),1,0)</f>
        <v>0</v>
      </c>
      <c r="CC41" s="65" t="n">
        <f aca="false">IF(CR41&gt;0,INDEX(Parameter!$H$5:$H$7,W41)/INDEX(Parameter!$E$5:$E$7,W41),IF(AND(CA41=0,N(IFERROR(VLOOKUP(BY41,'Gebinde-Kategorie'!$A$5:$N$45,14,0),0))&gt;0),VLOOKUP(BY41,'Gebinde-Kategorie'!$A$5:$N$45,14,0)*10+Parameter!$M$23,Parameter!$M$24))</f>
        <v>235</v>
      </c>
      <c r="CD41" s="60" t="n">
        <f aca="false">IF(AND(Parameter!$B$19="Ja",E41&lt;&gt;"",ISNUMBER(MATCH(E41,Parameter!$I$35:$I$52,0))),VLOOKUP(E41,Parameter!$I$35:$J$52,2,0),IFERROR(VLOOKUP(D41,Parameter!$A$35:$C$64,2,0),"Nein"))</f>
        <v>1</v>
      </c>
      <c r="CE41" s="64" t="n">
        <f aca="false">IF(CA41=0,0,IF(N(S41)&gt;0,S41,IFERROR(VLOOKUP(D41,Parameter!$A$35:$C$64,3,0)+0,0)))</f>
        <v>0</v>
      </c>
      <c r="CF41" s="60" t="n">
        <f aca="false">IF(AB41&lt;&gt;"",AB41,AA41)</f>
        <v>2</v>
      </c>
      <c r="CG41" s="60" t="str">
        <f aca="false">IF(OR(CF41=1,CF41=2,CF41=3),IF(Parameter!$E$27="Ja","LIFT",IF(CF41=1,"L1","L23")),IF(CF41="Aussen","Aussen","-"))</f>
        <v>LIFT</v>
      </c>
      <c r="CH41" s="71" t="n">
        <f aca="false">IF(N(AC41)&gt;0,AC41,0)</f>
        <v>0</v>
      </c>
      <c r="CI41" s="65" t="n">
        <f aca="false">IF(ISNUMBER(AF41),1,0)</f>
        <v>0</v>
      </c>
      <c r="CJ41" s="62" t="n">
        <f aca="false">N(AF41)</f>
        <v>0</v>
      </c>
      <c r="CK41" s="62" t="n">
        <f aca="false">N(M41)+N(N41)</f>
        <v>15</v>
      </c>
      <c r="CL41" s="62" t="n">
        <f aca="false">N(M41)</f>
        <v>5</v>
      </c>
      <c r="CM41" s="62" t="n">
        <f aca="false">N(N41)</f>
        <v>10</v>
      </c>
      <c r="CN41" s="62" t="n">
        <f aca="false">ROUNDUP(H41/BZ41,0)</f>
        <v>5</v>
      </c>
      <c r="CO41" s="62" t="n">
        <f aca="false">ROUNDUP(CJ41/BZ41,0)</f>
        <v>0</v>
      </c>
      <c r="CP41" s="65" t="n">
        <f aca="false">IF(CA41=1,0,IFERROR(VLOOKUP(BY41,'Gebinde-Kategorie'!$A$5:$N$45,5,0)+0,0))</f>
        <v>20</v>
      </c>
      <c r="CQ41" s="65" t="n">
        <f aca="false">IFERROR(IF(OR(CF41=1,CF41=2,CF41=3),N(INDEX(Parameter!$I$5:$I$7,CF41)),0),0)</f>
        <v>0</v>
      </c>
      <c r="CR41" s="64" t="n">
        <f aca="false">IF(AND(Parameter!$B$21="Ja",ISNUMBER(W41),N(X41)&gt;0),IFERROR(N(INDEX(Parameter!$L$5:$L$7,W41))*INDEX(Parameter!$E$5:$E$7,W41)*X41/SUMIFS($X$7:$X$1843,$W$7:$W$1843,W41),0),0)</f>
        <v>0</v>
      </c>
      <c r="CS41" s="62" t="n">
        <f aca="false">IF(AND(OR(CG41="L1",CG41="L23",CG41="LIFT"),H41&gt;0),CC41*IF(CR41&gt;0,CR41*MAX(1,H41/X41),IF(CA41=1,CE41,IF(R41&gt;0,CN41/R41,0))/MAX(0.1,N(Parameter!$M$21))),"")</f>
        <v>293.75</v>
      </c>
      <c r="CT41" s="64" t="n">
        <f aca="false">IF(CS41="","",J41/H41)</f>
        <v>1.21052631578947</v>
      </c>
      <c r="CU41" s="62" t="n">
        <f aca="false">IF(CS41="","",H41*G41)</f>
        <v>10070</v>
      </c>
      <c r="CV41" s="63" t="n">
        <f aca="false">IF(CS41="","",(CL41+ROUNDUP(CL41+MAX(CM41,2*(J41/MAX(0.1,N(Einkauf!$C$6))-CL41)),0))/2)</f>
        <v>10</v>
      </c>
      <c r="CW41" s="62" t="n">
        <f aca="false">IF(CS41="","",MAX(0,H41-CV41)*G41)</f>
        <v>4770</v>
      </c>
      <c r="CX41" s="62" t="n">
        <f aca="false">IF(CS41="","",CS41*MAX(0,1-CV41/H41))</f>
        <v>139.144736842105</v>
      </c>
      <c r="CY41" s="64" t="n">
        <f aca="false">IF(CS41="","",PERCENTRANK($CS$7:$CS$1843,CS41)+PERCENTRANK($CU$7:$CU$1843,CU41)+1-PERCENTRANK($CT$7:$CT$1843,CT41))</f>
        <v>2.221</v>
      </c>
      <c r="CZ41" s="72" t="n">
        <f aca="false">IF(CS41="","",CHOOSE(MATCH(Einkauf!$C$5,Parameter!$G$23:$G$27,0),CY41,CS41,CU41,-CT41,CW41)+ROW()/1000000000)</f>
        <v>2.221000041</v>
      </c>
    </row>
    <row r="42" customFormat="false" ht="15" hidden="false" customHeight="false" outlineLevel="0" collapsed="false">
      <c r="A42" s="60" t="s">
        <v>315</v>
      </c>
      <c r="B42" s="60" t="s">
        <v>316</v>
      </c>
      <c r="C42" s="60" t="s">
        <v>206</v>
      </c>
      <c r="D42" s="60" t="s">
        <v>226</v>
      </c>
      <c r="E42" s="60"/>
      <c r="F42" s="60" t="s">
        <v>260</v>
      </c>
      <c r="G42" s="61" t="n">
        <v>1121.43</v>
      </c>
      <c r="H42" s="62" t="n">
        <f aca="false">MAX(0,IF(AND(Parameter!$B$21="Ja",ISNUMBER(Y42)),Y42,IF(Parameter!$B$20="Jahresanfang 2025 + Export",BS42+BR42,BR42)))</f>
        <v>7</v>
      </c>
      <c r="I42" s="62" t="n">
        <f aca="false">H42*G42</f>
        <v>7850.01</v>
      </c>
      <c r="J42" s="62" t="n">
        <f aca="false">BU42*Parameter!$B$18</f>
        <v>0</v>
      </c>
      <c r="K42" s="63" t="n">
        <v>0</v>
      </c>
      <c r="L42" s="64" t="n">
        <v>0</v>
      </c>
      <c r="M42" s="62" t="n">
        <v>0</v>
      </c>
      <c r="N42" s="62" t="n">
        <v>1</v>
      </c>
      <c r="O42" s="65" t="n">
        <v>9999</v>
      </c>
      <c r="P42" s="60" t="s">
        <v>210</v>
      </c>
      <c r="Q42" s="62"/>
      <c r="R42" s="65" t="n">
        <f aca="false">IF(CA42=1,0,IFERROR(VLOOKUP(BY42,'Gebinde-Kategorie'!$A$5:$N$45,13,0)+0,0))</f>
        <v>26</v>
      </c>
      <c r="S42" s="66"/>
      <c r="T42" s="67" t="s">
        <v>317</v>
      </c>
      <c r="U42" s="67"/>
      <c r="V42" s="67"/>
      <c r="W42" s="60"/>
      <c r="X42" s="62"/>
      <c r="Y42" s="62"/>
      <c r="Z42" s="60" t="n">
        <v>3</v>
      </c>
      <c r="AA42" s="60" t="n">
        <f aca="false">IF(A42="","",IF(AND(Parameter!$B$21="Ja",ISNUMBER(W42)),W42,IF(AND(Parameter!$E$27="Ja",ISNUMBER(Z42),CD42&lt;&gt;"Nein"),Z42,IF(CD42="2+3",IF(ISNUMBER(SEARCH("grosser Artikel",BV42)),2,IFERROR(VLOOKUP(BY42,Parameter!$F$35:$G$64,2,0),2)),IF(OR(CD42="Nein",CD42=""),"-",CD42)))))</f>
        <v>3</v>
      </c>
      <c r="AB42" s="67"/>
      <c r="AC42" s="68"/>
      <c r="AD42" s="62" t="n">
        <f aca="false">AW42</f>
        <v>1</v>
      </c>
      <c r="AE42" s="62" t="n">
        <f aca="false">MAX(AW42,H42)</f>
        <v>7</v>
      </c>
      <c r="AF42" s="69"/>
      <c r="AG42" s="62" t="n">
        <f aca="false">IF(LEFT(Cockpit!$C$5,1)="A",H42,IF(Parameter!$E$30="MAX-Bestand",IF(CI42=1,CJ42,IF(LEFT(Cockpit!$C$5,1)="B",AM42,MAX(AM42,H42))),ROUNDUP(AK42,0)))</f>
        <v>7</v>
      </c>
      <c r="AH42" s="62" t="n">
        <f aca="false">IF(CA42=1,0,ROUNDUP(AG42/BZ42,0))</f>
        <v>1</v>
      </c>
      <c r="AI42" s="64" t="n">
        <f aca="false">IF(CR42&gt;0,CR42*MAX(1,AG42/X42),IF(CA42=1,IF(AG42&lt;=0,0,CE42*MAX(1,IF(H42&gt;0,AG42/H42,1))),IF(R42&gt;0,AH42/R42,0))/MAX(0.1,N(Parameter!$M$21)))</f>
        <v>0.0384615384615385</v>
      </c>
      <c r="AJ42" s="62" t="n">
        <f aca="false">AI42*CC42</f>
        <v>5.96153846153846</v>
      </c>
      <c r="AK42" s="63" t="n">
        <f aca="false">IF(LEFT(Cockpit!$C$5,1)="A",H42,IF(CI42=1,(CL42+CJ42)/2,IF(LEFT(Cockpit!$C$5,1)="B",(CL42+AM42)/2,MAX((CL42+AM42)/2,H42))))</f>
        <v>7</v>
      </c>
      <c r="AL42" s="62" t="n">
        <f aca="false">AK42*G42</f>
        <v>7850.01</v>
      </c>
      <c r="AM42" s="62" t="n">
        <f aca="false">ROUNDUP(CL42+MAX(CM42,2*(J42/IF(CH42&gt;0,CH42,MAX(0.1,N(Cockpit!$C$6)))-CL42)),0)</f>
        <v>1</v>
      </c>
      <c r="AN42" s="63" t="n">
        <f aca="false">IF(AJ42&gt;0,J42/AJ42,-1)</f>
        <v>0</v>
      </c>
      <c r="AO42" s="63" t="n">
        <f aca="false">IF(AND(OR(CG42="L1",CG42="L23",CG42="LIFT"),AJ42&gt;0),SUMIFS($AJ$7:$AJ$1843,$CG$7:$CG$1843,CG42,$AN$7:$AN$1843,"&gt;"&amp;AN42)+SUMIFS($AJ$7:$AJ$1843,$CG$7:$CG$1843,CG42,$AN$7:$AN$1843,AN42,$BX$7:$BX$1843,"&lt;="&amp;BX42),"")</f>
        <v>25706.2334466381</v>
      </c>
      <c r="AP42" s="70" t="n">
        <f aca="false">IF(AO42="",0,MAX(0,MIN(1,(IF(CG42="L1",Parameter!$H$5,IF(CG42="L23",Parameter!$H$6+Parameter!$H$7,Parameter!$H$5+Parameter!$H$6+Parameter!$H$7))-(AO42-AJ42))/AJ42)))</f>
        <v>1</v>
      </c>
      <c r="AQ42" s="62" t="n">
        <f aca="false">IF(LEFT(Cockpit!$I$5,1)="A",H42,IF(Parameter!$E$30="MAX-Bestand",IF(CI42=1,CJ42,IF(LEFT(Cockpit!$I$5,1)="B",AW42,MAX(AW42,H42))),ROUNDUP(AU42,0)))</f>
        <v>7</v>
      </c>
      <c r="AR42" s="62" t="n">
        <f aca="false">IF(CA42=1,0,ROUNDUP(AQ42/BZ42,0))</f>
        <v>1</v>
      </c>
      <c r="AS42" s="64" t="n">
        <f aca="false">IF(CR42&gt;0,CR42*MAX(1,AQ42/X42),IF(CA42=1,IF(AQ42&lt;=0,0,CE42*MAX(1,IF(H42&gt;0,AQ42/H42,1))),IF(R42&gt;0,AR42/R42,0))/MAX(0.1,N(Parameter!$M$21)))</f>
        <v>0.0384615384615385</v>
      </c>
      <c r="AT42" s="62" t="n">
        <f aca="false">AS42*CC42</f>
        <v>5.96153846153846</v>
      </c>
      <c r="AU42" s="63" t="n">
        <f aca="false">IF(LEFT(Cockpit!$I$5,1)="A",H42,IF(CI42=1,(CL42+CJ42)/2,IF(LEFT(Cockpit!$I$5,1)="B",(CL42+AW42)/2,MAX((CL42+AW42)/2,H42))))</f>
        <v>7</v>
      </c>
      <c r="AV42" s="62" t="n">
        <f aca="false">AU42*G42</f>
        <v>7850.01</v>
      </c>
      <c r="AW42" s="62" t="n">
        <f aca="false">ROUNDUP(CL42+MAX(CM42,2*(J42/IF(CH42&gt;0,CH42,MAX(0.1,N(Cockpit!$I$6)))-CL42)),0)</f>
        <v>1</v>
      </c>
      <c r="AX42" s="63" t="n">
        <f aca="false">IF(AT42&gt;0,J42/AT42,-1)</f>
        <v>0</v>
      </c>
      <c r="AY42" s="63" t="n">
        <f aca="false">IF(AND(OR(CG42="L1",CG42="L23",CG42="LIFT"),AT42&gt;0),SUMIFS($AT$7:$AT$1843,$CG$7:$CG$1843,CG42,$AX$7:$AX$1843,"&gt;"&amp;AX42)+SUMIFS($AT$7:$AT$1843,$CG$7:$CG$1843,CG42,$AX$7:$AX$1843,AX42,$BX$7:$BX$1843,"&lt;="&amp;BX42),"")</f>
        <v>31059.3820880156</v>
      </c>
      <c r="AZ42" s="70" t="n">
        <f aca="false">IF(AY42="",0,MAX(0,MIN(1,(IF(CG42="L1",Parameter!$H$5,IF(CG42="L23",Parameter!$H$6+Parameter!$H$7,Parameter!$H$5+Parameter!$H$6+Parameter!$H$7))-(AY42-AT42))/AT42)))</f>
        <v>1</v>
      </c>
      <c r="BA42" s="62" t="n">
        <f aca="false">IF(LEFT(Cockpit!$O$5,1)="A",H42,IF(Parameter!$E$30="MAX-Bestand",IF(CI42=1,CJ42,IF(LEFT(Cockpit!$O$5,1)="B",BG42,MAX(BG42,H42))),ROUNDUP(BE42,0)))</f>
        <v>1</v>
      </c>
      <c r="BB42" s="62" t="n">
        <f aca="false">IF(CA42=1,0,ROUNDUP(BA42/BZ42,0))</f>
        <v>1</v>
      </c>
      <c r="BC42" s="64" t="n">
        <f aca="false">IF(CR42&gt;0,CR42*MAX(1,BA42/X42),IF(CA42=1,IF(BA42&lt;=0,0,CE42*MAX(1,IF(H42&gt;0,BA42/H42,1))),IF(R42&gt;0,BB42/R42,0))/MAX(0.1,N(Parameter!$M$21)))</f>
        <v>0.0384615384615385</v>
      </c>
      <c r="BD42" s="62" t="n">
        <f aca="false">BC42*CC42</f>
        <v>5.96153846153846</v>
      </c>
      <c r="BE42" s="63" t="n">
        <f aca="false">IF(LEFT(Cockpit!$O$5,1)="A",H42,IF(CI42=1,(CL42+CJ42)/2,IF(LEFT(Cockpit!$O$5,1)="B",(CL42+BG42)/2,MAX((CL42+BG42)/2,H42))))</f>
        <v>0.5</v>
      </c>
      <c r="BF42" s="62" t="n">
        <f aca="false">BE42*G42</f>
        <v>560.715</v>
      </c>
      <c r="BG42" s="62" t="n">
        <f aca="false">ROUNDUP(CL42+MAX(CM42,2*(J42/IF(CH42&gt;0,CH42,MAX(0.1,N(Cockpit!$O$6)))-CL42)),0)</f>
        <v>1</v>
      </c>
      <c r="BH42" s="63" t="n">
        <f aca="false">IF(BD42&gt;0,J42/BD42,-1)</f>
        <v>0</v>
      </c>
      <c r="BI42" s="63" t="n">
        <f aca="false">IF(AND(OR(CG42="L1",CG42="L23",CG42="LIFT"),BD42&gt;0),SUMIFS($BD$7:$BD$1843,$CG$7:$CG$1843,CG42,$BH$7:$BH$1843,"&gt;"&amp;BH42)+SUMIFS($BD$7:$BD$1843,$CG$7:$CG$1843,CG42,$BH$7:$BH$1843,BH42,$BX$7:$BX$1843,"&lt;="&amp;BX42),"")</f>
        <v>25314.7139313135</v>
      </c>
      <c r="BJ42" s="70" t="n">
        <f aca="false">IF(BI42="",0,MAX(0,MIN(1,(IF(CG42="L1",Parameter!$H$5,IF(CG42="L23",Parameter!$H$6+Parameter!$H$7,Parameter!$H$5+Parameter!$H$6+Parameter!$H$7))-(BI42-BD42))/BD42)))</f>
        <v>1</v>
      </c>
      <c r="BK42" s="60" t="str">
        <f aca="false">IF(AJ42&lt;=0,"",IF(CG42="Aussen","Aussenlager",IF(CG42="-","Nicht im Lift",IF(AP42&gt;=1,"Lift",IF(AP42&lt;=0,"Aussenlager","teilweise")))))</f>
        <v>Lift</v>
      </c>
      <c r="BL42" s="60" t="str">
        <f aca="false">IF(AT42&lt;=0,"",IF(CG42="Aussen","Aussenlager",IF(CG42="-","Nicht im Lift",IF(AZ42&gt;=1,"Lift",IF(AZ42&lt;=0,"Aussenlager","teilweise")))))</f>
        <v>Lift</v>
      </c>
      <c r="BM42" s="60" t="str">
        <f aca="false">IF(BD42&lt;=0,"",IF(CG42="Aussen","Aussenlager",IF(CG42="-","Nicht im Lift",IF(BJ42&gt;=1,"Lift",IF(BJ42&lt;=0,"Aussenlager","teilweise")))))</f>
        <v>Lift</v>
      </c>
      <c r="BN42" s="60" t="str">
        <f aca="false">IF(A42="","",IF(BW42=1,"Neu; ","")&amp;IF(AND(BW42=0,BR42&lt;0),"negativer Bestand (Export "&amp;BR42&amp;"); ","")&amp;IF(J42&lt;=0,"Kein Verbrauch; ","")&amp;IF(CR42&gt;0,"Lift "&amp;W42&amp;" lt. Liftbericht (Fach "&amp;X42&amp;" Stk); ",IF(CB42=1,"Gebinde geschätzt ("&amp;T42&amp;"); ",IF(CA42=1,"Lose – Tablare geschätzt; ","")))&amp;IF(H42&gt;AW42,"Überbestand "&amp;ROUND(H42-AW42,0)&amp;" Stk / CHF "&amp;ROUND((H42-AW42)*G42,0)&amp;"; ","")&amp;IF(AND(CI42=1,CJ42&lt;CK42),"MAX &lt; MB+LG; ","")&amp;IF(AND(CQ42&gt;0,CP42*10&gt;CQ42),"zu hoch für Tablar; ","")&amp;IF(AND(BW42=0,OR(CI42=1,AB42&lt;&gt;"",U42&lt;&gt;"",V42&lt;&gt;"",AC42&lt;&gt;"")),"manuell übersteuert; ","")&amp;IF(AND(CA42=0,R42=0),"Gebinde unbekannt / Stellmass fehlt; ","")&amp;IF(AND(CA42=0,N(V42)&lt;=0,N(Q42)&lt;=0),"Menge pro Gebinde fehlt (Ist = 1 Gebinde); ","")&amp;BV42)</f>
        <v>Kein Verbrauch; Gebinde geschätzt (Klein); Überbestand 6 Stk / CHF 6729; Menge pro Gebinde fehlt (Ist = 1 Gebinde); </v>
      </c>
      <c r="BO42" s="60"/>
      <c r="BP42" s="60"/>
      <c r="BQ42" s="67"/>
      <c r="BR42" s="62" t="n">
        <v>7</v>
      </c>
      <c r="BS42" s="62" t="n">
        <v>0</v>
      </c>
      <c r="BT42" s="61" t="n">
        <v>7850</v>
      </c>
      <c r="BU42" s="62" t="n">
        <v>0</v>
      </c>
      <c r="BV42" s="60"/>
      <c r="BW42" s="65" t="n">
        <v>0</v>
      </c>
      <c r="BX42" s="65" t="n">
        <v>42</v>
      </c>
      <c r="BY42" s="60" t="str">
        <f aca="false">IF(U42&lt;&gt;"",UPPER(TRIM(U42)),IF(CB42=1,UPPER(VLOOKUP(T42,Parameter!$I$27:$K$29,2,0)),IF(P42="","LOSE",P42)))</f>
        <v>S51</v>
      </c>
      <c r="BZ42" s="62" t="n">
        <f aca="false">IF(BY42="LOSE",1,IF(N(V42)&gt;0,V42,IF(CB42=1,MAX(1,N(VLOOKUP(T42,Parameter!$I$27:$K$29,3,0)),H42,N(N42)),IF(N(Q42)&gt;0,Q42,MAX(1,H42)))))</f>
        <v>20</v>
      </c>
      <c r="CA42" s="65" t="n">
        <f aca="false">IF(BY42="LOSE",1,0)</f>
        <v>0</v>
      </c>
      <c r="CB42" s="65" t="n">
        <f aca="false">IF(AND(U42="",OR(P42="",P42="LOSE"),T42&lt;&gt;"",N(S42)&lt;=0,ISNUMBER(MATCH(T42,Parameter!$I$27:$I$29,0))),1,0)</f>
        <v>1</v>
      </c>
      <c r="CC42" s="65" t="n">
        <f aca="false">IF(CR42&gt;0,INDEX(Parameter!$H$5:$H$7,W42)/INDEX(Parameter!$E$5:$E$7,W42),IF(AND(CA42=0,N(IFERROR(VLOOKUP(BY42,'Gebinde-Kategorie'!$A$5:$N$45,14,0),0))&gt;0),VLOOKUP(BY42,'Gebinde-Kategorie'!$A$5:$N$45,14,0)*10+Parameter!$M$23,Parameter!$M$24))</f>
        <v>155</v>
      </c>
      <c r="CD42" s="60" t="str">
        <f aca="false">IF(AND(Parameter!$B$19="Ja",E42&lt;&gt;"",ISNUMBER(MATCH(E42,Parameter!$I$35:$I$52,0))),VLOOKUP(E42,Parameter!$I$35:$J$52,2,0),IFERROR(VLOOKUP(D42,Parameter!$A$35:$C$64,2,0),"Nein"))</f>
        <v>2+3</v>
      </c>
      <c r="CE42" s="64" t="n">
        <f aca="false">IF(CA42=0,0,IF(N(S42)&gt;0,S42,IFERROR(VLOOKUP(D42,Parameter!$A$35:$C$64,3,0)+0,0)))</f>
        <v>0</v>
      </c>
      <c r="CF42" s="60" t="n">
        <f aca="false">IF(AB42&lt;&gt;"",AB42,AA42)</f>
        <v>3</v>
      </c>
      <c r="CG42" s="60" t="str">
        <f aca="false">IF(OR(CF42=1,CF42=2,CF42=3),IF(Parameter!$E$27="Ja","LIFT",IF(CF42=1,"L1","L23")),IF(CF42="Aussen","Aussen","-"))</f>
        <v>LIFT</v>
      </c>
      <c r="CH42" s="71" t="n">
        <f aca="false">IF(N(AC42)&gt;0,AC42,0)</f>
        <v>0</v>
      </c>
      <c r="CI42" s="65" t="n">
        <f aca="false">IF(ISNUMBER(AF42),1,0)</f>
        <v>0</v>
      </c>
      <c r="CJ42" s="62" t="n">
        <f aca="false">N(AF42)</f>
        <v>0</v>
      </c>
      <c r="CK42" s="62" t="n">
        <f aca="false">N(M42)+N(N42)</f>
        <v>1</v>
      </c>
      <c r="CL42" s="62" t="n">
        <f aca="false">N(M42)</f>
        <v>0</v>
      </c>
      <c r="CM42" s="62" t="n">
        <f aca="false">N(N42)</f>
        <v>1</v>
      </c>
      <c r="CN42" s="62" t="n">
        <f aca="false">ROUNDUP(H42/BZ42,0)</f>
        <v>1</v>
      </c>
      <c r="CO42" s="62" t="n">
        <f aca="false">ROUNDUP(CJ42/BZ42,0)</f>
        <v>0</v>
      </c>
      <c r="CP42" s="65" t="n">
        <f aca="false">IF(CA42=1,0,IFERROR(VLOOKUP(BY42,'Gebinde-Kategorie'!$A$5:$N$45,5,0)+0,0))</f>
        <v>11</v>
      </c>
      <c r="CQ42" s="65" t="n">
        <f aca="false">IFERROR(IF(OR(CF42=1,CF42=2,CF42=3),N(INDEX(Parameter!$I$5:$I$7,CF42)),0),0)</f>
        <v>0</v>
      </c>
      <c r="CR42" s="64" t="n">
        <f aca="false">IF(AND(Parameter!$B$21="Ja",ISNUMBER(W42),N(X42)&gt;0),IFERROR(N(INDEX(Parameter!$L$5:$L$7,W42))*INDEX(Parameter!$E$5:$E$7,W42)*X42/SUMIFS($X$7:$X$1843,$W$7:$W$1843,W42),0),0)</f>
        <v>0</v>
      </c>
      <c r="CS42" s="62" t="n">
        <f aca="false">IF(AND(OR(CG42="L1",CG42="L23",CG42="LIFT"),H42&gt;0),CC42*IF(CR42&gt;0,CR42*MAX(1,H42/X42),IF(CA42=1,CE42,IF(R42&gt;0,CN42/R42,0))/MAX(0.1,N(Parameter!$M$21))),"")</f>
        <v>5.96153846153846</v>
      </c>
      <c r="CT42" s="64" t="n">
        <f aca="false">IF(CS42="","",J42/H42)</f>
        <v>0</v>
      </c>
      <c r="CU42" s="62" t="n">
        <f aca="false">IF(CS42="","",H42*G42)</f>
        <v>7850.01</v>
      </c>
      <c r="CV42" s="63" t="n">
        <f aca="false">IF(CS42="","",(CL42+ROUNDUP(CL42+MAX(CM42,2*(J42/MAX(0.1,N(Einkauf!$C$6))-CL42)),0))/2)</f>
        <v>0.5</v>
      </c>
      <c r="CW42" s="62" t="n">
        <f aca="false">IF(CS42="","",MAX(0,H42-CV42)*G42)</f>
        <v>7289.295</v>
      </c>
      <c r="CX42" s="62" t="n">
        <f aca="false">IF(CS42="","",CS42*MAX(0,1-CV42/H42))</f>
        <v>5.53571428571429</v>
      </c>
      <c r="CY42" s="64" t="n">
        <f aca="false">IF(CS42="","",PERCENTRANK($CS$7:$CS$1843,CS42)+PERCENTRANK($CU$7:$CU$1843,CU42)+1-PERCENTRANK($CT$7:$CT$1843,CT42))</f>
        <v>2.296</v>
      </c>
      <c r="CZ42" s="72" t="n">
        <f aca="false">IF(CS42="","",CHOOSE(MATCH(Einkauf!$C$5,Parameter!$G$23:$G$27,0),CY42,CS42,CU42,-CT42,CW42)+ROW()/1000000000)</f>
        <v>2.296000042</v>
      </c>
    </row>
    <row r="43" customFormat="false" ht="15" hidden="false" customHeight="false" outlineLevel="0" collapsed="false">
      <c r="A43" s="60" t="s">
        <v>318</v>
      </c>
      <c r="B43" s="60" t="s">
        <v>319</v>
      </c>
      <c r="C43" s="60" t="s">
        <v>206</v>
      </c>
      <c r="D43" s="60" t="s">
        <v>215</v>
      </c>
      <c r="E43" s="60"/>
      <c r="F43" s="60" t="s">
        <v>260</v>
      </c>
      <c r="G43" s="61" t="n">
        <v>280.46</v>
      </c>
      <c r="H43" s="62" t="n">
        <f aca="false">MAX(0,IF(AND(Parameter!$B$21="Ja",ISNUMBER(Y43)),Y43,IF(Parameter!$B$20="Jahresanfang 2025 + Export",BS43+BR43,BR43)))</f>
        <v>27</v>
      </c>
      <c r="I43" s="62" t="n">
        <f aca="false">H43*G43</f>
        <v>7572.42</v>
      </c>
      <c r="J43" s="62" t="n">
        <f aca="false">BU43*Parameter!$B$18</f>
        <v>0</v>
      </c>
      <c r="K43" s="63" t="n">
        <v>0</v>
      </c>
      <c r="L43" s="64" t="n">
        <v>0</v>
      </c>
      <c r="M43" s="62" t="n">
        <v>6</v>
      </c>
      <c r="N43" s="62" t="n">
        <v>24</v>
      </c>
      <c r="O43" s="65" t="n">
        <v>28</v>
      </c>
      <c r="P43" s="60" t="s">
        <v>210</v>
      </c>
      <c r="Q43" s="62"/>
      <c r="R43" s="65" t="n">
        <f aca="false">IF(CA43=1,0,IFERROR(VLOOKUP(BY43,'Gebinde-Kategorie'!$A$5:$N$45,13,0)+0,0))</f>
        <v>12</v>
      </c>
      <c r="S43" s="66"/>
      <c r="T43" s="67" t="s">
        <v>221</v>
      </c>
      <c r="U43" s="67"/>
      <c r="V43" s="67"/>
      <c r="W43" s="60"/>
      <c r="X43" s="62"/>
      <c r="Y43" s="62"/>
      <c r="Z43" s="60" t="n">
        <v>3</v>
      </c>
      <c r="AA43" s="60" t="n">
        <f aca="false">IF(A43="","",IF(AND(Parameter!$B$21="Ja",ISNUMBER(W43)),W43,IF(AND(Parameter!$E$27="Ja",ISNUMBER(Z43),CD43&lt;&gt;"Nein"),Z43,IF(CD43="2+3",IF(ISNUMBER(SEARCH("grosser Artikel",BV43)),2,IFERROR(VLOOKUP(BY43,Parameter!$F$35:$G$64,2,0),2)),IF(OR(CD43="Nein",CD43=""),"-",CD43)))))</f>
        <v>3</v>
      </c>
      <c r="AB43" s="67"/>
      <c r="AC43" s="68"/>
      <c r="AD43" s="62" t="n">
        <f aca="false">AW43</f>
        <v>30</v>
      </c>
      <c r="AE43" s="62" t="n">
        <f aca="false">MAX(AW43,H43)</f>
        <v>30</v>
      </c>
      <c r="AF43" s="69"/>
      <c r="AG43" s="62" t="n">
        <f aca="false">IF(LEFT(Cockpit!$C$5,1)="A",H43,IF(Parameter!$E$30="MAX-Bestand",IF(CI43=1,CJ43,IF(LEFT(Cockpit!$C$5,1)="B",AM43,MAX(AM43,H43))),ROUNDUP(AK43,0)))</f>
        <v>27</v>
      </c>
      <c r="AH43" s="62" t="n">
        <f aca="false">IF(CA43=1,0,ROUNDUP(AG43/BZ43,0))</f>
        <v>1</v>
      </c>
      <c r="AI43" s="64" t="n">
        <f aca="false">IF(CR43&gt;0,CR43*MAX(1,AG43/X43),IF(CA43=1,IF(AG43&lt;=0,0,CE43*MAX(1,IF(H43&gt;0,AG43/H43,1))),IF(R43&gt;0,AH43/R43,0))/MAX(0.1,N(Parameter!$M$21)))</f>
        <v>0.0833333333333333</v>
      </c>
      <c r="AJ43" s="62" t="n">
        <f aca="false">AI43*CC43</f>
        <v>12.0833333333333</v>
      </c>
      <c r="AK43" s="63" t="n">
        <f aca="false">IF(LEFT(Cockpit!$C$5,1)="A",H43,IF(CI43=1,(CL43+CJ43)/2,IF(LEFT(Cockpit!$C$5,1)="B",(CL43+AM43)/2,MAX((CL43+AM43)/2,H43))))</f>
        <v>27</v>
      </c>
      <c r="AL43" s="62" t="n">
        <f aca="false">AK43*G43</f>
        <v>7572.42</v>
      </c>
      <c r="AM43" s="62" t="n">
        <f aca="false">ROUNDUP(CL43+MAX(CM43,2*(J43/IF(CH43&gt;0,CH43,MAX(0.1,N(Cockpit!$C$6)))-CL43)),0)</f>
        <v>30</v>
      </c>
      <c r="AN43" s="63" t="n">
        <f aca="false">IF(AJ43&gt;0,J43/AJ43,-1)</f>
        <v>0</v>
      </c>
      <c r="AO43" s="63" t="n">
        <f aca="false">IF(AND(OR(CG43="L1",CG43="L23",CG43="LIFT"),AJ43&gt;0),SUMIFS($AJ$7:$AJ$1843,$CG$7:$CG$1843,CG43,$AN$7:$AN$1843,"&gt;"&amp;AN43)+SUMIFS($AJ$7:$AJ$1843,$CG$7:$CG$1843,CG43,$AN$7:$AN$1843,AN43,$BX$7:$BX$1843,"&lt;="&amp;BX43),"")</f>
        <v>25718.3167799714</v>
      </c>
      <c r="AP43" s="70" t="n">
        <f aca="false">IF(AO43="",0,MAX(0,MIN(1,(IF(CG43="L1",Parameter!$H$5,IF(CG43="L23",Parameter!$H$6+Parameter!$H$7,Parameter!$H$5+Parameter!$H$6+Parameter!$H$7))-(AO43-AJ43))/AJ43)))</f>
        <v>1</v>
      </c>
      <c r="AQ43" s="62" t="n">
        <f aca="false">IF(LEFT(Cockpit!$I$5,1)="A",H43,IF(Parameter!$E$30="MAX-Bestand",IF(CI43=1,CJ43,IF(LEFT(Cockpit!$I$5,1)="B",AW43,MAX(AW43,H43))),ROUNDUP(AU43,0)))</f>
        <v>27</v>
      </c>
      <c r="AR43" s="62" t="n">
        <f aca="false">IF(CA43=1,0,ROUNDUP(AQ43/BZ43,0))</f>
        <v>1</v>
      </c>
      <c r="AS43" s="64" t="n">
        <f aca="false">IF(CR43&gt;0,CR43*MAX(1,AQ43/X43),IF(CA43=1,IF(AQ43&lt;=0,0,CE43*MAX(1,IF(H43&gt;0,AQ43/H43,1))),IF(R43&gt;0,AR43/R43,0))/MAX(0.1,N(Parameter!$M$21)))</f>
        <v>0.0833333333333333</v>
      </c>
      <c r="AT43" s="62" t="n">
        <f aca="false">AS43*CC43</f>
        <v>12.0833333333333</v>
      </c>
      <c r="AU43" s="63" t="n">
        <f aca="false">IF(LEFT(Cockpit!$I$5,1)="A",H43,IF(CI43=1,(CL43+CJ43)/2,IF(LEFT(Cockpit!$I$5,1)="B",(CL43+AW43)/2,MAX((CL43+AW43)/2,H43))))</f>
        <v>27</v>
      </c>
      <c r="AV43" s="62" t="n">
        <f aca="false">AU43*G43</f>
        <v>7572.42</v>
      </c>
      <c r="AW43" s="62" t="n">
        <f aca="false">ROUNDUP(CL43+MAX(CM43,2*(J43/IF(CH43&gt;0,CH43,MAX(0.1,N(Cockpit!$I$6)))-CL43)),0)</f>
        <v>30</v>
      </c>
      <c r="AX43" s="63" t="n">
        <f aca="false">IF(AT43&gt;0,J43/AT43,-1)</f>
        <v>0</v>
      </c>
      <c r="AY43" s="63" t="n">
        <f aca="false">IF(AND(OR(CG43="L1",CG43="L23",CG43="LIFT"),AT43&gt;0),SUMIFS($AT$7:$AT$1843,$CG$7:$CG$1843,CG43,$AX$7:$AX$1843,"&gt;"&amp;AX43)+SUMIFS($AT$7:$AT$1843,$CG$7:$CG$1843,CG43,$AX$7:$AX$1843,AX43,$BX$7:$BX$1843,"&lt;="&amp;BX43),"")</f>
        <v>31071.4654213489</v>
      </c>
      <c r="AZ43" s="70" t="n">
        <f aca="false">IF(AY43="",0,MAX(0,MIN(1,(IF(CG43="L1",Parameter!$H$5,IF(CG43="L23",Parameter!$H$6+Parameter!$H$7,Parameter!$H$5+Parameter!$H$6+Parameter!$H$7))-(AY43-AT43))/AT43)))</f>
        <v>1</v>
      </c>
      <c r="BA43" s="62" t="n">
        <f aca="false">IF(LEFT(Cockpit!$O$5,1)="A",H43,IF(Parameter!$E$30="MAX-Bestand",IF(CI43=1,CJ43,IF(LEFT(Cockpit!$O$5,1)="B",BG43,MAX(BG43,H43))),ROUNDUP(BE43,0)))</f>
        <v>18</v>
      </c>
      <c r="BB43" s="62" t="n">
        <f aca="false">IF(CA43=1,0,ROUNDUP(BA43/BZ43,0))</f>
        <v>1</v>
      </c>
      <c r="BC43" s="64" t="n">
        <f aca="false">IF(CR43&gt;0,CR43*MAX(1,BA43/X43),IF(CA43=1,IF(BA43&lt;=0,0,CE43*MAX(1,IF(H43&gt;0,BA43/H43,1))),IF(R43&gt;0,BB43/R43,0))/MAX(0.1,N(Parameter!$M$21)))</f>
        <v>0.0833333333333333</v>
      </c>
      <c r="BD43" s="62" t="n">
        <f aca="false">BC43*CC43</f>
        <v>12.0833333333333</v>
      </c>
      <c r="BE43" s="63" t="n">
        <f aca="false">IF(LEFT(Cockpit!$O$5,1)="A",H43,IF(CI43=1,(CL43+CJ43)/2,IF(LEFT(Cockpit!$O$5,1)="B",(CL43+BG43)/2,MAX((CL43+BG43)/2,H43))))</f>
        <v>18</v>
      </c>
      <c r="BF43" s="62" t="n">
        <f aca="false">BE43*G43</f>
        <v>5048.28</v>
      </c>
      <c r="BG43" s="62" t="n">
        <f aca="false">ROUNDUP(CL43+MAX(CM43,2*(J43/IF(CH43&gt;0,CH43,MAX(0.1,N(Cockpit!$O$6)))-CL43)),0)</f>
        <v>30</v>
      </c>
      <c r="BH43" s="63" t="n">
        <f aca="false">IF(BD43&gt;0,J43/BD43,-1)</f>
        <v>0</v>
      </c>
      <c r="BI43" s="63" t="n">
        <f aca="false">IF(AND(OR(CG43="L1",CG43="L23",CG43="LIFT"),BD43&gt;0),SUMIFS($BD$7:$BD$1843,$CG$7:$CG$1843,CG43,$BH$7:$BH$1843,"&gt;"&amp;BH43)+SUMIFS($BD$7:$BD$1843,$CG$7:$CG$1843,CG43,$BH$7:$BH$1843,BH43,$BX$7:$BX$1843,"&lt;="&amp;BX43),"")</f>
        <v>25326.7972646468</v>
      </c>
      <c r="BJ43" s="70" t="n">
        <f aca="false">IF(BI43="",0,MAX(0,MIN(1,(IF(CG43="L1",Parameter!$H$5,IF(CG43="L23",Parameter!$H$6+Parameter!$H$7,Parameter!$H$5+Parameter!$H$6+Parameter!$H$7))-(BI43-BD43))/BD43)))</f>
        <v>1</v>
      </c>
      <c r="BK43" s="60" t="str">
        <f aca="false">IF(AJ43&lt;=0,"",IF(CG43="Aussen","Aussenlager",IF(CG43="-","Nicht im Lift",IF(AP43&gt;=1,"Lift",IF(AP43&lt;=0,"Aussenlager","teilweise")))))</f>
        <v>Lift</v>
      </c>
      <c r="BL43" s="60" t="str">
        <f aca="false">IF(AT43&lt;=0,"",IF(CG43="Aussen","Aussenlager",IF(CG43="-","Nicht im Lift",IF(AZ43&gt;=1,"Lift",IF(AZ43&lt;=0,"Aussenlager","teilweise")))))</f>
        <v>Lift</v>
      </c>
      <c r="BM43" s="60" t="str">
        <f aca="false">IF(BD43&lt;=0,"",IF(CG43="Aussen","Aussenlager",IF(CG43="-","Nicht im Lift",IF(BJ43&gt;=1,"Lift",IF(BJ43&lt;=0,"Aussenlager","teilweise")))))</f>
        <v>Lift</v>
      </c>
      <c r="BN43" s="60" t="str">
        <f aca="false">IF(A43="","",IF(BW43=1,"Neu; ","")&amp;IF(AND(BW43=0,BR43&lt;0),"negativer Bestand (Export "&amp;BR43&amp;"); ","")&amp;IF(J43&lt;=0,"Kein Verbrauch; ","")&amp;IF(CR43&gt;0,"Lift "&amp;W43&amp;" lt. Liftbericht (Fach "&amp;X43&amp;" Stk); ",IF(CB43=1,"Gebinde geschätzt ("&amp;T43&amp;"); ",IF(CA43=1,"Lose – Tablare geschätzt; ","")))&amp;IF(H43&gt;AW43,"Überbestand "&amp;ROUND(H43-AW43,0)&amp;" Stk / CHF "&amp;ROUND((H43-AW43)*G43,0)&amp;"; ","")&amp;IF(AND(CI43=1,CJ43&lt;CK43),"MAX &lt; MB+LG; ","")&amp;IF(AND(CQ43&gt;0,CP43*10&gt;CQ43),"zu hoch für Tablar; ","")&amp;IF(AND(BW43=0,OR(CI43=1,AB43&lt;&gt;"",U43&lt;&gt;"",V43&lt;&gt;"",AC43&lt;&gt;"")),"manuell übersteuert; ","")&amp;IF(AND(CA43=0,R43=0),"Gebinde unbekannt / Stellmass fehlt; ","")&amp;IF(AND(CA43=0,N(V43)&lt;=0,N(Q43)&lt;=0),"Menge pro Gebinde fehlt (Ist = 1 Gebinde); ","")&amp;BV43)</f>
        <v>Kein Verbrauch; Gebinde geschätzt (Mittel); Menge pro Gebinde fehlt (Ist = 1 Gebinde); </v>
      </c>
      <c r="BO43" s="60" t="s">
        <v>320</v>
      </c>
      <c r="BP43" s="60" t="s">
        <v>321</v>
      </c>
      <c r="BQ43" s="67"/>
      <c r="BR43" s="62" t="n">
        <v>27</v>
      </c>
      <c r="BS43" s="62" t="n">
        <v>0</v>
      </c>
      <c r="BT43" s="61" t="n">
        <v>7572.42</v>
      </c>
      <c r="BU43" s="62" t="n">
        <v>0</v>
      </c>
      <c r="BV43" s="60"/>
      <c r="BW43" s="65" t="n">
        <v>0</v>
      </c>
      <c r="BX43" s="65" t="n">
        <v>43</v>
      </c>
      <c r="BY43" s="60" t="str">
        <f aca="false">IF(U43&lt;&gt;"",UPPER(TRIM(U43)),IF(CB43=1,UPPER(VLOOKUP(T43,Parameter!$I$27:$K$29,2,0)),IF(P43="","LOSE",P43)))</f>
        <v>S61</v>
      </c>
      <c r="BZ43" s="62" t="n">
        <f aca="false">IF(BY43="LOSE",1,IF(N(V43)&gt;0,V43,IF(CB43=1,MAX(1,N(VLOOKUP(T43,Parameter!$I$27:$K$29,3,0)),H43,N(N43)),IF(N(Q43)&gt;0,Q43,MAX(1,H43)))))</f>
        <v>27</v>
      </c>
      <c r="CA43" s="65" t="n">
        <f aca="false">IF(BY43="LOSE",1,0)</f>
        <v>0</v>
      </c>
      <c r="CB43" s="65" t="n">
        <f aca="false">IF(AND(U43="",OR(P43="",P43="LOSE"),T43&lt;&gt;"",N(S43)&lt;=0,ISNUMBER(MATCH(T43,Parameter!$I$27:$I$29,0))),1,0)</f>
        <v>1</v>
      </c>
      <c r="CC43" s="65" t="n">
        <f aca="false">IF(CR43&gt;0,INDEX(Parameter!$H$5:$H$7,W43)/INDEX(Parameter!$E$5:$E$7,W43),IF(AND(CA43=0,N(IFERROR(VLOOKUP(BY43,'Gebinde-Kategorie'!$A$5:$N$45,14,0),0))&gt;0),VLOOKUP(BY43,'Gebinde-Kategorie'!$A$5:$N$45,14,0)*10+Parameter!$M$23,Parameter!$M$24))</f>
        <v>145</v>
      </c>
      <c r="CD43" s="60" t="str">
        <f aca="false">IF(AND(Parameter!$B$19="Ja",E43&lt;&gt;"",ISNUMBER(MATCH(E43,Parameter!$I$35:$I$52,0))),VLOOKUP(E43,Parameter!$I$35:$J$52,2,0),IFERROR(VLOOKUP(D43,Parameter!$A$35:$C$64,2,0),"Nein"))</f>
        <v>2+3</v>
      </c>
      <c r="CE43" s="64" t="n">
        <f aca="false">IF(CA43=0,0,IF(N(S43)&gt;0,S43,IFERROR(VLOOKUP(D43,Parameter!$A$35:$C$64,3,0)+0,0)))</f>
        <v>0</v>
      </c>
      <c r="CF43" s="60" t="n">
        <f aca="false">IF(AB43&lt;&gt;"",AB43,AA43)</f>
        <v>3</v>
      </c>
      <c r="CG43" s="60" t="str">
        <f aca="false">IF(OR(CF43=1,CF43=2,CF43=3),IF(Parameter!$E$27="Ja","LIFT",IF(CF43=1,"L1","L23")),IF(CF43="Aussen","Aussen","-"))</f>
        <v>LIFT</v>
      </c>
      <c r="CH43" s="71" t="n">
        <f aca="false">IF(N(AC43)&gt;0,AC43,0)</f>
        <v>0</v>
      </c>
      <c r="CI43" s="65" t="n">
        <f aca="false">IF(ISNUMBER(AF43),1,0)</f>
        <v>0</v>
      </c>
      <c r="CJ43" s="62" t="n">
        <f aca="false">N(AF43)</f>
        <v>0</v>
      </c>
      <c r="CK43" s="62" t="n">
        <f aca="false">N(M43)+N(N43)</f>
        <v>30</v>
      </c>
      <c r="CL43" s="62" t="n">
        <f aca="false">N(M43)</f>
        <v>6</v>
      </c>
      <c r="CM43" s="62" t="n">
        <f aca="false">N(N43)</f>
        <v>24</v>
      </c>
      <c r="CN43" s="62" t="n">
        <f aca="false">ROUNDUP(H43/BZ43,0)</f>
        <v>1</v>
      </c>
      <c r="CO43" s="62" t="n">
        <f aca="false">ROUNDUP(CJ43/BZ43,0)</f>
        <v>0</v>
      </c>
      <c r="CP43" s="65" t="n">
        <f aca="false">IF(CA43=1,0,IFERROR(VLOOKUP(BY43,'Gebinde-Kategorie'!$A$5:$N$45,5,0)+0,0))</f>
        <v>11</v>
      </c>
      <c r="CQ43" s="65" t="n">
        <f aca="false">IFERROR(IF(OR(CF43=1,CF43=2,CF43=3),N(INDEX(Parameter!$I$5:$I$7,CF43)),0),0)</f>
        <v>0</v>
      </c>
      <c r="CR43" s="64" t="n">
        <f aca="false">IF(AND(Parameter!$B$21="Ja",ISNUMBER(W43),N(X43)&gt;0),IFERROR(N(INDEX(Parameter!$L$5:$L$7,W43))*INDEX(Parameter!$E$5:$E$7,W43)*X43/SUMIFS($X$7:$X$1843,$W$7:$W$1843,W43),0),0)</f>
        <v>0</v>
      </c>
      <c r="CS43" s="62" t="n">
        <f aca="false">IF(AND(OR(CG43="L1",CG43="L23",CG43="LIFT"),H43&gt;0),CC43*IF(CR43&gt;0,CR43*MAX(1,H43/X43),IF(CA43=1,CE43,IF(R43&gt;0,CN43/R43,0))/MAX(0.1,N(Parameter!$M$21))),"")</f>
        <v>12.0833333333333</v>
      </c>
      <c r="CT43" s="64" t="n">
        <f aca="false">IF(CS43="","",J43/H43)</f>
        <v>0</v>
      </c>
      <c r="CU43" s="62" t="n">
        <f aca="false">IF(CS43="","",H43*G43)</f>
        <v>7572.42</v>
      </c>
      <c r="CV43" s="63" t="n">
        <f aca="false">IF(CS43="","",(CL43+ROUNDUP(CL43+MAX(CM43,2*(J43/MAX(0.1,N(Einkauf!$C$6))-CL43)),0))/2)</f>
        <v>18</v>
      </c>
      <c r="CW43" s="62" t="n">
        <f aca="false">IF(CS43="","",MAX(0,H43-CV43)*G43)</f>
        <v>2524.14</v>
      </c>
      <c r="CX43" s="62" t="n">
        <f aca="false">IF(CS43="","",CS43*MAX(0,1-CV43/H43))</f>
        <v>4.02777777777778</v>
      </c>
      <c r="CY43" s="64" t="n">
        <f aca="false">IF(CS43="","",PERCENTRANK($CS$7:$CS$1843,CS43)+PERCENTRANK($CU$7:$CU$1843,CU43)+1-PERCENTRANK($CT$7:$CT$1843,CT43))</f>
        <v>2.597</v>
      </c>
      <c r="CZ43" s="72" t="n">
        <f aca="false">IF(CS43="","",CHOOSE(MATCH(Einkauf!$C$5,Parameter!$G$23:$G$27,0),CY43,CS43,CU43,-CT43,CW43)+ROW()/1000000000)</f>
        <v>2.597000043</v>
      </c>
    </row>
    <row r="44" customFormat="false" ht="15" hidden="false" customHeight="false" outlineLevel="0" collapsed="false">
      <c r="A44" s="60" t="s">
        <v>322</v>
      </c>
      <c r="B44" s="60" t="s">
        <v>323</v>
      </c>
      <c r="C44" s="60" t="s">
        <v>206</v>
      </c>
      <c r="D44" s="60" t="s">
        <v>215</v>
      </c>
      <c r="E44" s="60" t="s">
        <v>227</v>
      </c>
      <c r="F44" s="60" t="s">
        <v>260</v>
      </c>
      <c r="G44" s="61" t="n">
        <v>180.4</v>
      </c>
      <c r="H44" s="62" t="n">
        <f aca="false">MAX(0,IF(AND(Parameter!$B$21="Ja",ISNUMBER(Y44)),Y44,IF(Parameter!$B$20="Jahresanfang 2025 + Export",BS44+BR44,BR44)))</f>
        <v>98</v>
      </c>
      <c r="I44" s="62" t="n">
        <f aca="false">H44*G44</f>
        <v>17679.2</v>
      </c>
      <c r="J44" s="62" t="n">
        <f aca="false">BU44*Parameter!$B$18</f>
        <v>25</v>
      </c>
      <c r="K44" s="63" t="n">
        <v>44</v>
      </c>
      <c r="L44" s="64" t="n">
        <v>0.568181818181818</v>
      </c>
      <c r="M44" s="62" t="n">
        <v>10</v>
      </c>
      <c r="N44" s="62" t="n">
        <v>20</v>
      </c>
      <c r="O44" s="65" t="n">
        <v>98</v>
      </c>
      <c r="P44" s="60" t="s">
        <v>301</v>
      </c>
      <c r="Q44" s="62" t="n">
        <v>24</v>
      </c>
      <c r="R44" s="65" t="n">
        <f aca="false">IF(CA44=1,0,IFERROR(VLOOKUP(BY44,'Gebinde-Kategorie'!$A$5:$N$45,13,0)+0,0))</f>
        <v>6</v>
      </c>
      <c r="S44" s="66"/>
      <c r="T44" s="67"/>
      <c r="U44" s="67"/>
      <c r="V44" s="67"/>
      <c r="W44" s="60"/>
      <c r="X44" s="62"/>
      <c r="Y44" s="62"/>
      <c r="Z44" s="60" t="n">
        <v>2</v>
      </c>
      <c r="AA44" s="60" t="n">
        <f aca="false">IF(A44="","",IF(AND(Parameter!$B$21="Ja",ISNUMBER(W44)),W44,IF(AND(Parameter!$E$27="Ja",ISNUMBER(Z44),CD44&lt;&gt;"Nein"),Z44,IF(CD44="2+3",IF(ISNUMBER(SEARCH("grosser Artikel",BV44)),2,IFERROR(VLOOKUP(BY44,Parameter!$F$35:$G$64,2,0),2)),IF(OR(CD44="Nein",CD44=""),"-",CD44)))))</f>
        <v>2</v>
      </c>
      <c r="AB44" s="67"/>
      <c r="AC44" s="68"/>
      <c r="AD44" s="62" t="n">
        <f aca="false">AW44</f>
        <v>30</v>
      </c>
      <c r="AE44" s="62" t="n">
        <f aca="false">MAX(AW44,H44)</f>
        <v>98</v>
      </c>
      <c r="AF44" s="69"/>
      <c r="AG44" s="62" t="n">
        <f aca="false">IF(LEFT(Cockpit!$C$5,1)="A",H44,IF(Parameter!$E$30="MAX-Bestand",IF(CI44=1,CJ44,IF(LEFT(Cockpit!$C$5,1)="B",AM44,MAX(AM44,H44))),ROUNDUP(AK44,0)))</f>
        <v>98</v>
      </c>
      <c r="AH44" s="62" t="n">
        <f aca="false">IF(CA44=1,0,ROUNDUP(AG44/BZ44,0))</f>
        <v>5</v>
      </c>
      <c r="AI44" s="64" t="n">
        <f aca="false">IF(CR44&gt;0,CR44*MAX(1,AG44/X44),IF(CA44=1,IF(AG44&lt;=0,0,CE44*MAX(1,IF(H44&gt;0,AG44/H44,1))),IF(R44&gt;0,AH44/R44,0))/MAX(0.1,N(Parameter!$M$21)))</f>
        <v>0.833333333333333</v>
      </c>
      <c r="AJ44" s="62" t="n">
        <f aca="false">AI44*CC44</f>
        <v>362.5</v>
      </c>
      <c r="AK44" s="63" t="n">
        <f aca="false">IF(LEFT(Cockpit!$C$5,1)="A",H44,IF(CI44=1,(CL44+CJ44)/2,IF(LEFT(Cockpit!$C$5,1)="B",(CL44+AM44)/2,MAX((CL44+AM44)/2,H44))))</f>
        <v>98</v>
      </c>
      <c r="AL44" s="62" t="n">
        <f aca="false">AK44*G44</f>
        <v>17679.2</v>
      </c>
      <c r="AM44" s="62" t="n">
        <f aca="false">ROUNDUP(CL44+MAX(CM44,2*(J44/IF(CH44&gt;0,CH44,MAX(0.1,N(Cockpit!$C$6)))-CL44)),0)</f>
        <v>30</v>
      </c>
      <c r="AN44" s="63" t="n">
        <f aca="false">IF(AJ44&gt;0,J44/AJ44,-1)</f>
        <v>0.0689655172413793</v>
      </c>
      <c r="AO44" s="63" t="n">
        <f aca="false">IF(AND(OR(CG44="L1",CG44="L23",CG44="LIFT"),AJ44&gt;0),SUMIFS($AJ$7:$AJ$1843,$CG$7:$CG$1843,CG44,$AN$7:$AN$1843,"&gt;"&amp;AN44)+SUMIFS($AJ$7:$AJ$1843,$CG$7:$CG$1843,CG44,$AN$7:$AN$1843,AN44,$BX$7:$BX$1843,"&lt;="&amp;BX44),"")</f>
        <v>18942.1078697668</v>
      </c>
      <c r="AP44" s="70" t="n">
        <f aca="false">IF(AO44="",0,MAX(0,MIN(1,(IF(CG44="L1",Parameter!$H$5,IF(CG44="L23",Parameter!$H$6+Parameter!$H$7,Parameter!$H$5+Parameter!$H$6+Parameter!$H$7))-(AO44-AJ44))/AJ44)))</f>
        <v>1</v>
      </c>
      <c r="AQ44" s="62" t="n">
        <f aca="false">IF(LEFT(Cockpit!$I$5,1)="A",H44,IF(Parameter!$E$30="MAX-Bestand",IF(CI44=1,CJ44,IF(LEFT(Cockpit!$I$5,1)="B",AW44,MAX(AW44,H44))),ROUNDUP(AU44,0)))</f>
        <v>98</v>
      </c>
      <c r="AR44" s="62" t="n">
        <f aca="false">IF(CA44=1,0,ROUNDUP(AQ44/BZ44,0))</f>
        <v>5</v>
      </c>
      <c r="AS44" s="64" t="n">
        <f aca="false">IF(CR44&gt;0,CR44*MAX(1,AQ44/X44),IF(CA44=1,IF(AQ44&lt;=0,0,CE44*MAX(1,IF(H44&gt;0,AQ44/H44,1))),IF(R44&gt;0,AR44/R44,0))/MAX(0.1,N(Parameter!$M$21)))</f>
        <v>0.833333333333333</v>
      </c>
      <c r="AT44" s="62" t="n">
        <f aca="false">AS44*CC44</f>
        <v>362.5</v>
      </c>
      <c r="AU44" s="63" t="n">
        <f aca="false">IF(LEFT(Cockpit!$I$5,1)="A",H44,IF(CI44=1,(CL44+CJ44)/2,IF(LEFT(Cockpit!$I$5,1)="B",(CL44+AW44)/2,MAX((CL44+AW44)/2,H44))))</f>
        <v>98</v>
      </c>
      <c r="AV44" s="62" t="n">
        <f aca="false">AU44*G44</f>
        <v>17679.2</v>
      </c>
      <c r="AW44" s="62" t="n">
        <f aca="false">ROUNDUP(CL44+MAX(CM44,2*(J44/IF(CH44&gt;0,CH44,MAX(0.1,N(Cockpit!$I$6)))-CL44)),0)</f>
        <v>30</v>
      </c>
      <c r="AX44" s="63" t="n">
        <f aca="false">IF(AT44&gt;0,J44/AT44,-1)</f>
        <v>0.0689655172413793</v>
      </c>
      <c r="AY44" s="63" t="n">
        <f aca="false">IF(AND(OR(CG44="L1",CG44="L23",CG44="LIFT"),AT44&gt;0),SUMIFS($AT$7:$AT$1843,$CG$7:$CG$1843,CG44,$AX$7:$AX$1843,"&gt;"&amp;AX44)+SUMIFS($AT$7:$AT$1843,$CG$7:$CG$1843,CG44,$AX$7:$AX$1843,AX44,$BX$7:$BX$1843,"&lt;="&amp;BX44),"")</f>
        <v>24001.5065111442</v>
      </c>
      <c r="AZ44" s="70" t="n">
        <f aca="false">IF(AY44="",0,MAX(0,MIN(1,(IF(CG44="L1",Parameter!$H$5,IF(CG44="L23",Parameter!$H$6+Parameter!$H$7,Parameter!$H$5+Parameter!$H$6+Parameter!$H$7))-(AY44-AT44))/AT44)))</f>
        <v>1</v>
      </c>
      <c r="BA44" s="62" t="n">
        <f aca="false">IF(LEFT(Cockpit!$O$5,1)="A",H44,IF(Parameter!$E$30="MAX-Bestand",IF(CI44=1,CJ44,IF(LEFT(Cockpit!$O$5,1)="B",BG44,MAX(BG44,H44))),ROUNDUP(BE44,0)))</f>
        <v>20</v>
      </c>
      <c r="BB44" s="62" t="n">
        <f aca="false">IF(CA44=1,0,ROUNDUP(BA44/BZ44,0))</f>
        <v>1</v>
      </c>
      <c r="BC44" s="64" t="n">
        <f aca="false">IF(CR44&gt;0,CR44*MAX(1,BA44/X44),IF(CA44=1,IF(BA44&lt;=0,0,CE44*MAX(1,IF(H44&gt;0,BA44/H44,1))),IF(R44&gt;0,BB44/R44,0))/MAX(0.1,N(Parameter!$M$21)))</f>
        <v>0.166666666666667</v>
      </c>
      <c r="BD44" s="62" t="n">
        <f aca="false">BC44*CC44</f>
        <v>72.5</v>
      </c>
      <c r="BE44" s="63" t="n">
        <f aca="false">IF(LEFT(Cockpit!$O$5,1)="A",H44,IF(CI44=1,(CL44+CJ44)/2,IF(LEFT(Cockpit!$O$5,1)="B",(CL44+BG44)/2,MAX((CL44+BG44)/2,H44))))</f>
        <v>20</v>
      </c>
      <c r="BF44" s="62" t="n">
        <f aca="false">BE44*G44</f>
        <v>3608</v>
      </c>
      <c r="BG44" s="62" t="n">
        <f aca="false">ROUNDUP(CL44+MAX(CM44,2*(J44/IF(CH44&gt;0,CH44,MAX(0.1,N(Cockpit!$O$6)))-CL44)),0)</f>
        <v>30</v>
      </c>
      <c r="BH44" s="63" t="n">
        <f aca="false">IF(BD44&gt;0,J44/BD44,-1)</f>
        <v>0.344827586206897</v>
      </c>
      <c r="BI44" s="63" t="n">
        <f aca="false">IF(AND(OR(CG44="L1",CG44="L23",CG44="LIFT"),BD44&gt;0),SUMIFS($BD$7:$BD$1843,$CG$7:$CG$1843,CG44,$BH$7:$BH$1843,"&gt;"&amp;BH44)+SUMIFS($BD$7:$BD$1843,$CG$7:$CG$1843,CG44,$BH$7:$BH$1843,BH44,$BX$7:$BX$1843,"&lt;="&amp;BX44),"")</f>
        <v>11547.2696886447</v>
      </c>
      <c r="BJ44" s="70" t="n">
        <f aca="false">IF(BI44="",0,MAX(0,MIN(1,(IF(CG44="L1",Parameter!$H$5,IF(CG44="L23",Parameter!$H$6+Parameter!$H$7,Parameter!$H$5+Parameter!$H$6+Parameter!$H$7))-(BI44-BD44))/BD44)))</f>
        <v>1</v>
      </c>
      <c r="BK44" s="60" t="str">
        <f aca="false">IF(AJ44&lt;=0,"",IF(CG44="Aussen","Aussenlager",IF(CG44="-","Nicht im Lift",IF(AP44&gt;=1,"Lift",IF(AP44&lt;=0,"Aussenlager","teilweise")))))</f>
        <v>Lift</v>
      </c>
      <c r="BL44" s="60" t="str">
        <f aca="false">IF(AT44&lt;=0,"",IF(CG44="Aussen","Aussenlager",IF(CG44="-","Nicht im Lift",IF(AZ44&gt;=1,"Lift",IF(AZ44&lt;=0,"Aussenlager","teilweise")))))</f>
        <v>Lift</v>
      </c>
      <c r="BM44" s="60" t="str">
        <f aca="false">IF(BD44&lt;=0,"",IF(CG44="Aussen","Aussenlager",IF(CG44="-","Nicht im Lift",IF(BJ44&gt;=1,"Lift",IF(BJ44&lt;=0,"Aussenlager","teilweise")))))</f>
        <v>Lift</v>
      </c>
      <c r="BN44" s="60" t="str">
        <f aca="false">IF(A44="","",IF(BW44=1,"Neu; ","")&amp;IF(AND(BW44=0,BR44&lt;0),"negativer Bestand (Export "&amp;BR44&amp;"); ","")&amp;IF(J44&lt;=0,"Kein Verbrauch; ","")&amp;IF(CR44&gt;0,"Lift "&amp;W44&amp;" lt. Liftbericht (Fach "&amp;X44&amp;" Stk); ",IF(CB44=1,"Gebinde geschätzt ("&amp;T44&amp;"); ",IF(CA44=1,"Lose – Tablare geschätzt; ","")))&amp;IF(H44&gt;AW44,"Überbestand "&amp;ROUND(H44-AW44,0)&amp;" Stk / CHF "&amp;ROUND((H44-AW44)*G44,0)&amp;"; ","")&amp;IF(AND(CI44=1,CJ44&lt;CK44),"MAX &lt; MB+LG; ","")&amp;IF(AND(CQ44&gt;0,CP44*10&gt;CQ44),"zu hoch für Tablar; ","")&amp;IF(AND(BW44=0,OR(CI44=1,AB44&lt;&gt;"",U44&lt;&gt;"",V44&lt;&gt;"",AC44&lt;&gt;"")),"manuell übersteuert; ","")&amp;IF(AND(CA44=0,R44=0),"Gebinde unbekannt / Stellmass fehlt; ","")&amp;IF(AND(CA44=0,N(V44)&lt;=0,N(Q44)&lt;=0),"Menge pro Gebinde fehlt (Ist = 1 Gebinde); ","")&amp;BV44)</f>
        <v>Überbestand 68 Stk / CHF 12267; grosser Artikel &amp; nicht im KTL</v>
      </c>
      <c r="BO44" s="60"/>
      <c r="BP44" s="60"/>
      <c r="BQ44" s="67"/>
      <c r="BR44" s="62" t="n">
        <v>43</v>
      </c>
      <c r="BS44" s="62" t="n">
        <v>55</v>
      </c>
      <c r="BT44" s="61" t="n">
        <v>7381.23</v>
      </c>
      <c r="BU44" s="62" t="n">
        <v>25</v>
      </c>
      <c r="BV44" s="60" t="s">
        <v>303</v>
      </c>
      <c r="BW44" s="65" t="n">
        <v>0</v>
      </c>
      <c r="BX44" s="65" t="n">
        <v>44</v>
      </c>
      <c r="BY44" s="60" t="str">
        <f aca="false">IF(U44&lt;&gt;"",UPPER(TRIM(U44)),IF(CB44=1,UPPER(VLOOKUP(T44,Parameter!$I$27:$K$29,2,0)),IF(P44="","LOSE",P44)))</f>
        <v>S72</v>
      </c>
      <c r="BZ44" s="62" t="n">
        <f aca="false">IF(BY44="LOSE",1,IF(N(V44)&gt;0,V44,IF(CB44=1,MAX(1,N(VLOOKUP(T44,Parameter!$I$27:$K$29,3,0)),H44,N(N44)),IF(N(Q44)&gt;0,Q44,MAX(1,H44)))))</f>
        <v>24</v>
      </c>
      <c r="CA44" s="65" t="n">
        <f aca="false">IF(BY44="LOSE",1,0)</f>
        <v>0</v>
      </c>
      <c r="CB44" s="65" t="n">
        <f aca="false">IF(AND(U44="",OR(P44="",P44="LOSE"),T44&lt;&gt;"",N(S44)&lt;=0,ISNUMBER(MATCH(T44,Parameter!$I$27:$I$29,0))),1,0)</f>
        <v>0</v>
      </c>
      <c r="CC44" s="65" t="n">
        <f aca="false">IF(CR44&gt;0,INDEX(Parameter!$H$5:$H$7,W44)/INDEX(Parameter!$E$5:$E$7,W44),IF(AND(CA44=0,N(IFERROR(VLOOKUP(BY44,'Gebinde-Kategorie'!$A$5:$N$45,14,0),0))&gt;0),VLOOKUP(BY44,'Gebinde-Kategorie'!$A$5:$N$45,14,0)*10+Parameter!$M$23,Parameter!$M$24))</f>
        <v>435</v>
      </c>
      <c r="CD44" s="60" t="str">
        <f aca="false">IF(AND(Parameter!$B$19="Ja",E44&lt;&gt;"",ISNUMBER(MATCH(E44,Parameter!$I$35:$I$52,0))),VLOOKUP(E44,Parameter!$I$35:$J$52,2,0),IFERROR(VLOOKUP(D44,Parameter!$A$35:$C$64,2,0),"Nein"))</f>
        <v>2+3</v>
      </c>
      <c r="CE44" s="64" t="n">
        <f aca="false">IF(CA44=0,0,IF(N(S44)&gt;0,S44,IFERROR(VLOOKUP(D44,Parameter!$A$35:$C$64,3,0)+0,0)))</f>
        <v>0</v>
      </c>
      <c r="CF44" s="60" t="n">
        <f aca="false">IF(AB44&lt;&gt;"",AB44,AA44)</f>
        <v>2</v>
      </c>
      <c r="CG44" s="60" t="str">
        <f aca="false">IF(OR(CF44=1,CF44=2,CF44=3),IF(Parameter!$E$27="Ja","LIFT",IF(CF44=1,"L1","L23")),IF(CF44="Aussen","Aussen","-"))</f>
        <v>LIFT</v>
      </c>
      <c r="CH44" s="71" t="n">
        <f aca="false">IF(N(AC44)&gt;0,AC44,0)</f>
        <v>0</v>
      </c>
      <c r="CI44" s="65" t="n">
        <f aca="false">IF(ISNUMBER(AF44),1,0)</f>
        <v>0</v>
      </c>
      <c r="CJ44" s="62" t="n">
        <f aca="false">N(AF44)</f>
        <v>0</v>
      </c>
      <c r="CK44" s="62" t="n">
        <f aca="false">N(M44)+N(N44)</f>
        <v>30</v>
      </c>
      <c r="CL44" s="62" t="n">
        <f aca="false">N(M44)</f>
        <v>10</v>
      </c>
      <c r="CM44" s="62" t="n">
        <f aca="false">N(N44)</f>
        <v>20</v>
      </c>
      <c r="CN44" s="62" t="n">
        <f aca="false">ROUNDUP(H44/BZ44,0)</f>
        <v>5</v>
      </c>
      <c r="CO44" s="62" t="n">
        <f aca="false">ROUNDUP(CJ44/BZ44,0)</f>
        <v>0</v>
      </c>
      <c r="CP44" s="65" t="n">
        <f aca="false">IF(CA44=1,0,IFERROR(VLOOKUP(BY44,'Gebinde-Kategorie'!$A$5:$N$45,5,0)+0,0))</f>
        <v>40</v>
      </c>
      <c r="CQ44" s="65" t="n">
        <f aca="false">IFERROR(IF(OR(CF44=1,CF44=2,CF44=3),N(INDEX(Parameter!$I$5:$I$7,CF44)),0),0)</f>
        <v>0</v>
      </c>
      <c r="CR44" s="64" t="n">
        <f aca="false">IF(AND(Parameter!$B$21="Ja",ISNUMBER(W44),N(X44)&gt;0),IFERROR(N(INDEX(Parameter!$L$5:$L$7,W44))*INDEX(Parameter!$E$5:$E$7,W44)*X44/SUMIFS($X$7:$X$1843,$W$7:$W$1843,W44),0),0)</f>
        <v>0</v>
      </c>
      <c r="CS44" s="62" t="n">
        <f aca="false">IF(AND(OR(CG44="L1",CG44="L23",CG44="LIFT"),H44&gt;0),CC44*IF(CR44&gt;0,CR44*MAX(1,H44/X44),IF(CA44=1,CE44,IF(R44&gt;0,CN44/R44,0))/MAX(0.1,N(Parameter!$M$21))),"")</f>
        <v>362.5</v>
      </c>
      <c r="CT44" s="64" t="n">
        <f aca="false">IF(CS44="","",J44/H44)</f>
        <v>0.255102040816327</v>
      </c>
      <c r="CU44" s="62" t="n">
        <f aca="false">IF(CS44="","",H44*G44)</f>
        <v>17679.2</v>
      </c>
      <c r="CV44" s="63" t="n">
        <f aca="false">IF(CS44="","",(CL44+ROUNDUP(CL44+MAX(CM44,2*(J44/MAX(0.1,N(Einkauf!$C$6))-CL44)),0))/2)</f>
        <v>20</v>
      </c>
      <c r="CW44" s="62" t="n">
        <f aca="false">IF(CS44="","",MAX(0,H44-CV44)*G44)</f>
        <v>14071.2</v>
      </c>
      <c r="CX44" s="62" t="n">
        <f aca="false">IF(CS44="","",CS44*MAX(0,1-CV44/H44))</f>
        <v>288.520408163265</v>
      </c>
      <c r="CY44" s="64" t="n">
        <f aca="false">IF(CS44="","",PERCENTRANK($CS$7:$CS$1843,CS44)+PERCENTRANK($CU$7:$CU$1843,CU44)+1-PERCENTRANK($CT$7:$CT$1843,CT44))</f>
        <v>2.479</v>
      </c>
      <c r="CZ44" s="72" t="n">
        <f aca="false">IF(CS44="","",CHOOSE(MATCH(Einkauf!$C$5,Parameter!$G$23:$G$27,0),CY44,CS44,CU44,-CT44,CW44)+ROW()/1000000000)</f>
        <v>2.479000044</v>
      </c>
    </row>
    <row r="45" customFormat="false" ht="15" hidden="false" customHeight="false" outlineLevel="0" collapsed="false">
      <c r="A45" s="60" t="s">
        <v>324</v>
      </c>
      <c r="B45" s="60" t="s">
        <v>325</v>
      </c>
      <c r="C45" s="60" t="s">
        <v>206</v>
      </c>
      <c r="D45" s="60" t="s">
        <v>215</v>
      </c>
      <c r="E45" s="60" t="s">
        <v>208</v>
      </c>
      <c r="F45" s="60" t="s">
        <v>260</v>
      </c>
      <c r="G45" s="61" t="n">
        <v>618.8</v>
      </c>
      <c r="H45" s="62" t="n">
        <f aca="false">MAX(0,IF(AND(Parameter!$B$21="Ja",ISNUMBER(Y45)),Y45,IF(Parameter!$B$20="Jahresanfang 2025 + Export",BS45+BR45,BR45)))</f>
        <v>13</v>
      </c>
      <c r="I45" s="62" t="n">
        <f aca="false">H45*G45</f>
        <v>8044.4</v>
      </c>
      <c r="J45" s="62" t="n">
        <f aca="false">BU45*Parameter!$B$18</f>
        <v>72</v>
      </c>
      <c r="K45" s="63" t="n">
        <v>13</v>
      </c>
      <c r="L45" s="64" t="n">
        <v>5.53846153846154</v>
      </c>
      <c r="M45" s="62" t="n">
        <v>4</v>
      </c>
      <c r="N45" s="62" t="n">
        <v>15</v>
      </c>
      <c r="O45" s="65" t="n">
        <v>21</v>
      </c>
      <c r="P45" s="60" t="s">
        <v>265</v>
      </c>
      <c r="Q45" s="62" t="n">
        <v>9</v>
      </c>
      <c r="R45" s="65" t="n">
        <f aca="false">IF(CA45=1,0,IFERROR(VLOOKUP(BY45,'Gebinde-Kategorie'!$A$5:$N$45,13,0)+0,0))</f>
        <v>4</v>
      </c>
      <c r="S45" s="66"/>
      <c r="T45" s="67"/>
      <c r="U45" s="67"/>
      <c r="V45" s="67"/>
      <c r="W45" s="60"/>
      <c r="X45" s="62"/>
      <c r="Y45" s="62"/>
      <c r="Z45" s="60" t="n">
        <v>2</v>
      </c>
      <c r="AA45" s="60" t="n">
        <f aca="false">IF(A45="","",IF(AND(Parameter!$B$21="Ja",ISNUMBER(W45)),W45,IF(AND(Parameter!$E$27="Ja",ISNUMBER(Z45),CD45&lt;&gt;"Nein"),Z45,IF(CD45="2+3",IF(ISNUMBER(SEARCH("grosser Artikel",BV45)),2,IFERROR(VLOOKUP(BY45,Parameter!$F$35:$G$64,2,0),2)),IF(OR(CD45="Nein",CD45=""),"-",CD45)))))</f>
        <v>2</v>
      </c>
      <c r="AB45" s="67"/>
      <c r="AC45" s="68"/>
      <c r="AD45" s="62" t="n">
        <f aca="false">AW45</f>
        <v>44</v>
      </c>
      <c r="AE45" s="62" t="n">
        <f aca="false">MAX(AW45,H45)</f>
        <v>44</v>
      </c>
      <c r="AF45" s="69"/>
      <c r="AG45" s="62" t="n">
        <f aca="false">IF(LEFT(Cockpit!$C$5,1)="A",H45,IF(Parameter!$E$30="MAX-Bestand",IF(CI45=1,CJ45,IF(LEFT(Cockpit!$C$5,1)="B",AM45,MAX(AM45,H45))),ROUNDUP(AK45,0)))</f>
        <v>13</v>
      </c>
      <c r="AH45" s="62" t="n">
        <f aca="false">IF(CA45=1,0,ROUNDUP(AG45/BZ45,0))</f>
        <v>2</v>
      </c>
      <c r="AI45" s="64" t="n">
        <f aca="false">IF(CR45&gt;0,CR45*MAX(1,AG45/X45),IF(CA45=1,IF(AG45&lt;=0,0,CE45*MAX(1,IF(H45&gt;0,AG45/H45,1))),IF(R45&gt;0,AH45/R45,0))/MAX(0.1,N(Parameter!$M$21)))</f>
        <v>0.5</v>
      </c>
      <c r="AJ45" s="62" t="n">
        <f aca="false">AI45*CC45</f>
        <v>117.5</v>
      </c>
      <c r="AK45" s="63" t="n">
        <f aca="false">IF(LEFT(Cockpit!$C$5,1)="A",H45,IF(CI45=1,(CL45+CJ45)/2,IF(LEFT(Cockpit!$C$5,1)="B",(CL45+AM45)/2,MAX((CL45+AM45)/2,H45))))</f>
        <v>13</v>
      </c>
      <c r="AL45" s="62" t="n">
        <f aca="false">AK45*G45</f>
        <v>8044.4</v>
      </c>
      <c r="AM45" s="62" t="n">
        <f aca="false">ROUNDUP(CL45+MAX(CM45,2*(J45/IF(CH45&gt;0,CH45,MAX(0.1,N(Cockpit!$C$6)))-CL45)),0)</f>
        <v>44</v>
      </c>
      <c r="AN45" s="63" t="n">
        <f aca="false">IF(AJ45&gt;0,J45/AJ45,-1)</f>
        <v>0.612765957446809</v>
      </c>
      <c r="AO45" s="63" t="n">
        <f aca="false">IF(AND(OR(CG45="L1",CG45="L23",CG45="LIFT"),AJ45&gt;0),SUMIFS($AJ$7:$AJ$1843,$CG$7:$CG$1843,CG45,$AN$7:$AN$1843,"&gt;"&amp;AN45)+SUMIFS($AJ$7:$AJ$1843,$CG$7:$CG$1843,CG45,$AN$7:$AN$1843,AN45,$BX$7:$BX$1843,"&lt;="&amp;BX45),"")</f>
        <v>9112.86947703897</v>
      </c>
      <c r="AP45" s="70" t="n">
        <f aca="false">IF(AO45="",0,MAX(0,MIN(1,(IF(CG45="L1",Parameter!$H$5,IF(CG45="L23",Parameter!$H$6+Parameter!$H$7,Parameter!$H$5+Parameter!$H$6+Parameter!$H$7))-(AO45-AJ45))/AJ45)))</f>
        <v>1</v>
      </c>
      <c r="AQ45" s="62" t="n">
        <f aca="false">IF(LEFT(Cockpit!$I$5,1)="A",H45,IF(Parameter!$E$30="MAX-Bestand",IF(CI45=1,CJ45,IF(LEFT(Cockpit!$I$5,1)="B",AW45,MAX(AW45,H45))),ROUNDUP(AU45,0)))</f>
        <v>24</v>
      </c>
      <c r="AR45" s="62" t="n">
        <f aca="false">IF(CA45=1,0,ROUNDUP(AQ45/BZ45,0))</f>
        <v>3</v>
      </c>
      <c r="AS45" s="64" t="n">
        <f aca="false">IF(CR45&gt;0,CR45*MAX(1,AQ45/X45),IF(CA45=1,IF(AQ45&lt;=0,0,CE45*MAX(1,IF(H45&gt;0,AQ45/H45,1))),IF(R45&gt;0,AR45/R45,0))/MAX(0.1,N(Parameter!$M$21)))</f>
        <v>0.75</v>
      </c>
      <c r="AT45" s="62" t="n">
        <f aca="false">AS45*CC45</f>
        <v>176.25</v>
      </c>
      <c r="AU45" s="63" t="n">
        <f aca="false">IF(LEFT(Cockpit!$I$5,1)="A",H45,IF(CI45=1,(CL45+CJ45)/2,IF(LEFT(Cockpit!$I$5,1)="B",(CL45+AW45)/2,MAX((CL45+AW45)/2,H45))))</f>
        <v>24</v>
      </c>
      <c r="AV45" s="62" t="n">
        <f aca="false">AU45*G45</f>
        <v>14851.2</v>
      </c>
      <c r="AW45" s="62" t="n">
        <f aca="false">ROUNDUP(CL45+MAX(CM45,2*(J45/IF(CH45&gt;0,CH45,MAX(0.1,N(Cockpit!$I$6)))-CL45)),0)</f>
        <v>44</v>
      </c>
      <c r="AX45" s="63" t="n">
        <f aca="false">IF(AT45&gt;0,J45/AT45,-1)</f>
        <v>0.408510638297872</v>
      </c>
      <c r="AY45" s="63" t="n">
        <f aca="false">IF(AND(OR(CG45="L1",CG45="L23",CG45="LIFT"),AT45&gt;0),SUMIFS($AT$7:$AT$1843,$CG$7:$CG$1843,CG45,$AX$7:$AX$1843,"&gt;"&amp;AX45)+SUMIFS($AT$7:$AT$1843,$CG$7:$CG$1843,CG45,$AX$7:$AX$1843,AX45,$BX$7:$BX$1843,"&lt;="&amp;BX45),"")</f>
        <v>12835.3493589744</v>
      </c>
      <c r="AZ45" s="70" t="n">
        <f aca="false">IF(AY45="",0,MAX(0,MIN(1,(IF(CG45="L1",Parameter!$H$5,IF(CG45="L23",Parameter!$H$6+Parameter!$H$7,Parameter!$H$5+Parameter!$H$6+Parameter!$H$7))-(AY45-AT45))/AT45)))</f>
        <v>1</v>
      </c>
      <c r="BA45" s="62" t="n">
        <f aca="false">IF(LEFT(Cockpit!$O$5,1)="A",H45,IF(Parameter!$E$30="MAX-Bestand",IF(CI45=1,CJ45,IF(LEFT(Cockpit!$O$5,1)="B",BG45,MAX(BG45,H45))),ROUNDUP(BE45,0)))</f>
        <v>18</v>
      </c>
      <c r="BB45" s="62" t="n">
        <f aca="false">IF(CA45=1,0,ROUNDUP(BA45/BZ45,0))</f>
        <v>2</v>
      </c>
      <c r="BC45" s="64" t="n">
        <f aca="false">IF(CR45&gt;0,CR45*MAX(1,BA45/X45),IF(CA45=1,IF(BA45&lt;=0,0,CE45*MAX(1,IF(H45&gt;0,BA45/H45,1))),IF(R45&gt;0,BB45/R45,0))/MAX(0.1,N(Parameter!$M$21)))</f>
        <v>0.5</v>
      </c>
      <c r="BD45" s="62" t="n">
        <f aca="false">BC45*CC45</f>
        <v>117.5</v>
      </c>
      <c r="BE45" s="63" t="n">
        <f aca="false">IF(LEFT(Cockpit!$O$5,1)="A",H45,IF(CI45=1,(CL45+CJ45)/2,IF(LEFT(Cockpit!$O$5,1)="B",(CL45+BG45)/2,MAX((CL45+BG45)/2,H45))))</f>
        <v>18</v>
      </c>
      <c r="BF45" s="62" t="n">
        <f aca="false">BE45*G45</f>
        <v>11138.4</v>
      </c>
      <c r="BG45" s="62" t="n">
        <f aca="false">ROUNDUP(CL45+MAX(CM45,2*(J45/IF(CH45&gt;0,CH45,MAX(0.1,N(Cockpit!$O$6)))-CL45)),0)</f>
        <v>32</v>
      </c>
      <c r="BH45" s="63" t="n">
        <f aca="false">IF(BD45&gt;0,J45/BD45,-1)</f>
        <v>0.612765957446809</v>
      </c>
      <c r="BI45" s="63" t="n">
        <f aca="false">IF(AND(OR(CG45="L1",CG45="L23",CG45="LIFT"),BD45&gt;0),SUMIFS($BD$7:$BD$1843,$CG$7:$CG$1843,CG45,$BH$7:$BH$1843,"&gt;"&amp;BH45)+SUMIFS($BD$7:$BD$1843,$CG$7:$CG$1843,CG45,$BH$7:$BH$1843,BH45,$BX$7:$BX$1843,"&lt;="&amp;BX45),"")</f>
        <v>9851.37225274725</v>
      </c>
      <c r="BJ45" s="70" t="n">
        <f aca="false">IF(BI45="",0,MAX(0,MIN(1,(IF(CG45="L1",Parameter!$H$5,IF(CG45="L23",Parameter!$H$6+Parameter!$H$7,Parameter!$H$5+Parameter!$H$6+Parameter!$H$7))-(BI45-BD45))/BD45)))</f>
        <v>1</v>
      </c>
      <c r="BK45" s="60" t="str">
        <f aca="false">IF(AJ45&lt;=0,"",IF(CG45="Aussen","Aussenlager",IF(CG45="-","Nicht im Lift",IF(AP45&gt;=1,"Lift",IF(AP45&lt;=0,"Aussenlager","teilweise")))))</f>
        <v>Lift</v>
      </c>
      <c r="BL45" s="60" t="str">
        <f aca="false">IF(AT45&lt;=0,"",IF(CG45="Aussen","Aussenlager",IF(CG45="-","Nicht im Lift",IF(AZ45&gt;=1,"Lift",IF(AZ45&lt;=0,"Aussenlager","teilweise")))))</f>
        <v>Lift</v>
      </c>
      <c r="BM45" s="60" t="str">
        <f aca="false">IF(BD45&lt;=0,"",IF(CG45="Aussen","Aussenlager",IF(CG45="-","Nicht im Lift",IF(BJ45&gt;=1,"Lift",IF(BJ45&lt;=0,"Aussenlager","teilweise")))))</f>
        <v>Lift</v>
      </c>
      <c r="BN45" s="60" t="str">
        <f aca="false">IF(A45="","",IF(BW45=1,"Neu; ","")&amp;IF(AND(BW45=0,BR45&lt;0),"negativer Bestand (Export "&amp;BR45&amp;"); ","")&amp;IF(J45&lt;=0,"Kein Verbrauch; ","")&amp;IF(CR45&gt;0,"Lift "&amp;W45&amp;" lt. Liftbericht (Fach "&amp;X45&amp;" Stk); ",IF(CB45=1,"Gebinde geschätzt ("&amp;T45&amp;"); ",IF(CA45=1,"Lose – Tablare geschätzt; ","")))&amp;IF(H45&gt;AW45,"Überbestand "&amp;ROUND(H45-AW45,0)&amp;" Stk / CHF "&amp;ROUND((H45-AW45)*G45,0)&amp;"; ","")&amp;IF(AND(CI45=1,CJ45&lt;CK45),"MAX &lt; MB+LG; ","")&amp;IF(AND(CQ45&gt;0,CP45*10&gt;CQ45),"zu hoch für Tablar; ","")&amp;IF(AND(BW45=0,OR(CI45=1,AB45&lt;&gt;"",U45&lt;&gt;"",V45&lt;&gt;"",AC45&lt;&gt;"")),"manuell übersteuert; ","")&amp;IF(AND(CA45=0,R45=0),"Gebinde unbekannt / Stellmass fehlt; ","")&amp;IF(AND(CA45=0,N(V45)&lt;=0,N(Q45)&lt;=0),"Menge pro Gebinde fehlt (Ist = 1 Gebinde); ","")&amp;BV45)</f>
        <v/>
      </c>
      <c r="BO45" s="60"/>
      <c r="BP45" s="60"/>
      <c r="BQ45" s="67"/>
      <c r="BR45" s="62" t="n">
        <v>12</v>
      </c>
      <c r="BS45" s="62" t="n">
        <v>1</v>
      </c>
      <c r="BT45" s="61" t="n">
        <v>7364.52</v>
      </c>
      <c r="BU45" s="62" t="n">
        <v>72</v>
      </c>
      <c r="BV45" s="60"/>
      <c r="BW45" s="65" t="n">
        <v>0</v>
      </c>
      <c r="BX45" s="65" t="n">
        <v>45</v>
      </c>
      <c r="BY45" s="60" t="str">
        <f aca="false">IF(U45&lt;&gt;"",UPPER(TRIM(U45)),IF(CB45=1,UPPER(VLOOKUP(T45,Parameter!$I$27:$K$29,2,0)),IF(P45="","LOSE",P45)))</f>
        <v>S81</v>
      </c>
      <c r="BZ45" s="62" t="n">
        <f aca="false">IF(BY45="LOSE",1,IF(N(V45)&gt;0,V45,IF(CB45=1,MAX(1,N(VLOOKUP(T45,Parameter!$I$27:$K$29,3,0)),H45,N(N45)),IF(N(Q45)&gt;0,Q45,MAX(1,H45)))))</f>
        <v>9</v>
      </c>
      <c r="CA45" s="65" t="n">
        <f aca="false">IF(BY45="LOSE",1,0)</f>
        <v>0</v>
      </c>
      <c r="CB45" s="65" t="n">
        <f aca="false">IF(AND(U45="",OR(P45="",P45="LOSE"),T45&lt;&gt;"",N(S45)&lt;=0,ISNUMBER(MATCH(T45,Parameter!$I$27:$I$29,0))),1,0)</f>
        <v>0</v>
      </c>
      <c r="CC45" s="65" t="n">
        <f aca="false">IF(CR45&gt;0,INDEX(Parameter!$H$5:$H$7,W45)/INDEX(Parameter!$E$5:$E$7,W45),IF(AND(CA45=0,N(IFERROR(VLOOKUP(BY45,'Gebinde-Kategorie'!$A$5:$N$45,14,0),0))&gt;0),VLOOKUP(BY45,'Gebinde-Kategorie'!$A$5:$N$45,14,0)*10+Parameter!$M$23,Parameter!$M$24))</f>
        <v>235</v>
      </c>
      <c r="CD45" s="60" t="n">
        <f aca="false">IF(AND(Parameter!$B$19="Ja",E45&lt;&gt;"",ISNUMBER(MATCH(E45,Parameter!$I$35:$I$52,0))),VLOOKUP(E45,Parameter!$I$35:$J$52,2,0),IFERROR(VLOOKUP(D45,Parameter!$A$35:$C$64,2,0),"Nein"))</f>
        <v>1</v>
      </c>
      <c r="CE45" s="64" t="n">
        <f aca="false">IF(CA45=0,0,IF(N(S45)&gt;0,S45,IFERROR(VLOOKUP(D45,Parameter!$A$35:$C$64,3,0)+0,0)))</f>
        <v>0</v>
      </c>
      <c r="CF45" s="60" t="n">
        <f aca="false">IF(AB45&lt;&gt;"",AB45,AA45)</f>
        <v>2</v>
      </c>
      <c r="CG45" s="60" t="str">
        <f aca="false">IF(OR(CF45=1,CF45=2,CF45=3),IF(Parameter!$E$27="Ja","LIFT",IF(CF45=1,"L1","L23")),IF(CF45="Aussen","Aussen","-"))</f>
        <v>LIFT</v>
      </c>
      <c r="CH45" s="71" t="n">
        <f aca="false">IF(N(AC45)&gt;0,AC45,0)</f>
        <v>0</v>
      </c>
      <c r="CI45" s="65" t="n">
        <f aca="false">IF(ISNUMBER(AF45),1,0)</f>
        <v>0</v>
      </c>
      <c r="CJ45" s="62" t="n">
        <f aca="false">N(AF45)</f>
        <v>0</v>
      </c>
      <c r="CK45" s="62" t="n">
        <f aca="false">N(M45)+N(N45)</f>
        <v>19</v>
      </c>
      <c r="CL45" s="62" t="n">
        <f aca="false">N(M45)</f>
        <v>4</v>
      </c>
      <c r="CM45" s="62" t="n">
        <f aca="false">N(N45)</f>
        <v>15</v>
      </c>
      <c r="CN45" s="62" t="n">
        <f aca="false">ROUNDUP(H45/BZ45,0)</f>
        <v>2</v>
      </c>
      <c r="CO45" s="62" t="n">
        <f aca="false">ROUNDUP(CJ45/BZ45,0)</f>
        <v>0</v>
      </c>
      <c r="CP45" s="65" t="n">
        <f aca="false">IF(CA45=1,0,IFERROR(VLOOKUP(BY45,'Gebinde-Kategorie'!$A$5:$N$45,5,0)+0,0))</f>
        <v>20</v>
      </c>
      <c r="CQ45" s="65" t="n">
        <f aca="false">IFERROR(IF(OR(CF45=1,CF45=2,CF45=3),N(INDEX(Parameter!$I$5:$I$7,CF45)),0),0)</f>
        <v>0</v>
      </c>
      <c r="CR45" s="64" t="n">
        <f aca="false">IF(AND(Parameter!$B$21="Ja",ISNUMBER(W45),N(X45)&gt;0),IFERROR(N(INDEX(Parameter!$L$5:$L$7,W45))*INDEX(Parameter!$E$5:$E$7,W45)*X45/SUMIFS($X$7:$X$1843,$W$7:$W$1843,W45),0),0)</f>
        <v>0</v>
      </c>
      <c r="CS45" s="62" t="n">
        <f aca="false">IF(AND(OR(CG45="L1",CG45="L23",CG45="LIFT"),H45&gt;0),CC45*IF(CR45&gt;0,CR45*MAX(1,H45/X45),IF(CA45=1,CE45,IF(R45&gt;0,CN45/R45,0))/MAX(0.1,N(Parameter!$M$21))),"")</f>
        <v>117.5</v>
      </c>
      <c r="CT45" s="64" t="n">
        <f aca="false">IF(CS45="","",J45/H45)</f>
        <v>5.53846153846154</v>
      </c>
      <c r="CU45" s="62" t="n">
        <f aca="false">IF(CS45="","",H45*G45)</f>
        <v>8044.4</v>
      </c>
      <c r="CV45" s="63" t="n">
        <f aca="false">IF(CS45="","",(CL45+ROUNDUP(CL45+MAX(CM45,2*(J45/MAX(0.1,N(Einkauf!$C$6))-CL45)),0))/2)</f>
        <v>18</v>
      </c>
      <c r="CW45" s="62" t="n">
        <f aca="false">IF(CS45="","",MAX(0,H45-CV45)*G45)</f>
        <v>0</v>
      </c>
      <c r="CX45" s="62" t="n">
        <f aca="false">IF(CS45="","",CS45*MAX(0,1-CV45/H45))</f>
        <v>0</v>
      </c>
      <c r="CY45" s="64" t="n">
        <f aca="false">IF(CS45="","",PERCENTRANK($CS$7:$CS$1843,CS45)+PERCENTRANK($CU$7:$CU$1843,CU45)+1-PERCENTRANK($CT$7:$CT$1843,CT45))</f>
        <v>1.937</v>
      </c>
      <c r="CZ45" s="72" t="n">
        <f aca="false">IF(CS45="","",CHOOSE(MATCH(Einkauf!$C$5,Parameter!$G$23:$G$27,0),CY45,CS45,CU45,-CT45,CW45)+ROW()/1000000000)</f>
        <v>1.937000045</v>
      </c>
    </row>
    <row r="46" customFormat="false" ht="15" hidden="false" customHeight="false" outlineLevel="0" collapsed="false">
      <c r="A46" s="60" t="s">
        <v>326</v>
      </c>
      <c r="B46" s="60" t="s">
        <v>295</v>
      </c>
      <c r="C46" s="60" t="s">
        <v>206</v>
      </c>
      <c r="D46" s="60" t="s">
        <v>215</v>
      </c>
      <c r="E46" s="60"/>
      <c r="F46" s="60" t="s">
        <v>260</v>
      </c>
      <c r="G46" s="61" t="n">
        <v>1426.78</v>
      </c>
      <c r="H46" s="62" t="n">
        <f aca="false">MAX(0,IF(AND(Parameter!$B$21="Ja",ISNUMBER(Y46)),Y46,IF(Parameter!$B$20="Jahresanfang 2025 + Export",BS46+BR46,BR46)))</f>
        <v>4</v>
      </c>
      <c r="I46" s="62" t="n">
        <f aca="false">H46*G46</f>
        <v>5707.12</v>
      </c>
      <c r="J46" s="62" t="n">
        <f aca="false">BU46*Parameter!$B$18</f>
        <v>0</v>
      </c>
      <c r="K46" s="63" t="n">
        <v>2</v>
      </c>
      <c r="L46" s="64" t="n">
        <v>0</v>
      </c>
      <c r="M46" s="62" t="n">
        <v>2</v>
      </c>
      <c r="N46" s="62" t="n">
        <v>2</v>
      </c>
      <c r="O46" s="65" t="n">
        <v>70</v>
      </c>
      <c r="P46" s="60" t="s">
        <v>210</v>
      </c>
      <c r="Q46" s="62"/>
      <c r="R46" s="65" t="n">
        <f aca="false">IF(CA46=1,0,IFERROR(VLOOKUP(BY46,'Gebinde-Kategorie'!$A$5:$N$45,13,0)+0,0))</f>
        <v>0</v>
      </c>
      <c r="S46" s="66"/>
      <c r="T46" s="67"/>
      <c r="U46" s="67"/>
      <c r="V46" s="67"/>
      <c r="W46" s="60" t="n">
        <v>1</v>
      </c>
      <c r="X46" s="62" t="n">
        <v>8</v>
      </c>
      <c r="Y46" s="62" t="n">
        <v>4</v>
      </c>
      <c r="Z46" s="60" t="n">
        <v>1</v>
      </c>
      <c r="AA46" s="60" t="n">
        <f aca="false">IF(A46="","",IF(AND(Parameter!$B$21="Ja",ISNUMBER(W46)),W46,IF(AND(Parameter!$E$27="Ja",ISNUMBER(Z46),CD46&lt;&gt;"Nein"),Z46,IF(CD46="2+3",IF(ISNUMBER(SEARCH("grosser Artikel",BV46)),2,IFERROR(VLOOKUP(BY46,Parameter!$F$35:$G$64,2,0),2)),IF(OR(CD46="Nein",CD46=""),"-",CD46)))))</f>
        <v>1</v>
      </c>
      <c r="AB46" s="67"/>
      <c r="AC46" s="68"/>
      <c r="AD46" s="62" t="n">
        <f aca="false">AW46</f>
        <v>4</v>
      </c>
      <c r="AE46" s="62" t="n">
        <f aca="false">MAX(AW46,H46)</f>
        <v>4</v>
      </c>
      <c r="AF46" s="69"/>
      <c r="AG46" s="62" t="n">
        <f aca="false">IF(LEFT(Cockpit!$C$5,1)="A",H46,IF(Parameter!$E$30="MAX-Bestand",IF(CI46=1,CJ46,IF(LEFT(Cockpit!$C$5,1)="B",AM46,MAX(AM46,H46))),ROUNDUP(AK46,0)))</f>
        <v>4</v>
      </c>
      <c r="AH46" s="62" t="n">
        <f aca="false">IF(CA46=1,0,ROUNDUP(AG46/BZ46,0))</f>
        <v>0</v>
      </c>
      <c r="AI46" s="64" t="n">
        <f aca="false">IF(CR46&gt;0,CR46*MAX(1,AG46/X46),IF(CA46=1,IF(AG46&lt;=0,0,CE46*MAX(1,IF(H46&gt;0,AG46/H46,1))),IF(R46&gt;0,AH46/R46,0))/MAX(0.1,N(Parameter!$M$21)))</f>
        <v>0.64030131826742</v>
      </c>
      <c r="AJ46" s="62" t="n">
        <f aca="false">AI46*CC46</f>
        <v>152.391713747646</v>
      </c>
      <c r="AK46" s="63" t="n">
        <f aca="false">IF(LEFT(Cockpit!$C$5,1)="A",H46,IF(CI46=1,(CL46+CJ46)/2,IF(LEFT(Cockpit!$C$5,1)="B",(CL46+AM46)/2,MAX((CL46+AM46)/2,H46))))</f>
        <v>4</v>
      </c>
      <c r="AL46" s="62" t="n">
        <f aca="false">AK46*G46</f>
        <v>5707.12</v>
      </c>
      <c r="AM46" s="62" t="n">
        <f aca="false">ROUNDUP(CL46+MAX(CM46,2*(J46/IF(CH46&gt;0,CH46,MAX(0.1,N(Cockpit!$C$6)))-CL46)),0)</f>
        <v>4</v>
      </c>
      <c r="AN46" s="63" t="n">
        <f aca="false">IF(AJ46&gt;0,J46/AJ46,-1)</f>
        <v>0</v>
      </c>
      <c r="AO46" s="63" t="n">
        <f aca="false">IF(AND(OR(CG46="L1",CG46="L23",CG46="LIFT"),AJ46&gt;0),SUMIFS($AJ$7:$AJ$1843,$CG$7:$CG$1843,CG46,$AN$7:$AN$1843,"&gt;"&amp;AN46)+SUMIFS($AJ$7:$AJ$1843,$CG$7:$CG$1843,CG46,$AN$7:$AN$1843,AN46,$BX$7:$BX$1843,"&lt;="&amp;BX46),"")</f>
        <v>25870.7084937191</v>
      </c>
      <c r="AP46" s="70" t="n">
        <f aca="false">IF(AO46="",0,MAX(0,MIN(1,(IF(CG46="L1",Parameter!$H$5,IF(CG46="L23",Parameter!$H$6+Parameter!$H$7,Parameter!$H$5+Parameter!$H$6+Parameter!$H$7))-(AO46-AJ46))/AJ46)))</f>
        <v>1</v>
      </c>
      <c r="AQ46" s="62" t="n">
        <f aca="false">IF(LEFT(Cockpit!$I$5,1)="A",H46,IF(Parameter!$E$30="MAX-Bestand",IF(CI46=1,CJ46,IF(LEFT(Cockpit!$I$5,1)="B",AW46,MAX(AW46,H46))),ROUNDUP(AU46,0)))</f>
        <v>4</v>
      </c>
      <c r="AR46" s="62" t="n">
        <f aca="false">IF(CA46=1,0,ROUNDUP(AQ46/BZ46,0))</f>
        <v>0</v>
      </c>
      <c r="AS46" s="64" t="n">
        <f aca="false">IF(CR46&gt;0,CR46*MAX(1,AQ46/X46),IF(CA46=1,IF(AQ46&lt;=0,0,CE46*MAX(1,IF(H46&gt;0,AQ46/H46,1))),IF(R46&gt;0,AR46/R46,0))/MAX(0.1,N(Parameter!$M$21)))</f>
        <v>0.64030131826742</v>
      </c>
      <c r="AT46" s="62" t="n">
        <f aca="false">AS46*CC46</f>
        <v>152.391713747646</v>
      </c>
      <c r="AU46" s="63" t="n">
        <f aca="false">IF(LEFT(Cockpit!$I$5,1)="A",H46,IF(CI46=1,(CL46+CJ46)/2,IF(LEFT(Cockpit!$I$5,1)="B",(CL46+AW46)/2,MAX((CL46+AW46)/2,H46))))</f>
        <v>4</v>
      </c>
      <c r="AV46" s="62" t="n">
        <f aca="false">AU46*G46</f>
        <v>5707.12</v>
      </c>
      <c r="AW46" s="62" t="n">
        <f aca="false">ROUNDUP(CL46+MAX(CM46,2*(J46/IF(CH46&gt;0,CH46,MAX(0.1,N(Cockpit!$I$6)))-CL46)),0)</f>
        <v>4</v>
      </c>
      <c r="AX46" s="63" t="n">
        <f aca="false">IF(AT46&gt;0,J46/AT46,-1)</f>
        <v>0</v>
      </c>
      <c r="AY46" s="63" t="n">
        <f aca="false">IF(AND(OR(CG46="L1",CG46="L23",CG46="LIFT"),AT46&gt;0),SUMIFS($AT$7:$AT$1843,$CG$7:$CG$1843,CG46,$AX$7:$AX$1843,"&gt;"&amp;AX46)+SUMIFS($AT$7:$AT$1843,$CG$7:$CG$1843,CG46,$AX$7:$AX$1843,AX46,$BX$7:$BX$1843,"&lt;="&amp;BX46),"")</f>
        <v>31223.8571350965</v>
      </c>
      <c r="AZ46" s="70" t="n">
        <f aca="false">IF(AY46="",0,MAX(0,MIN(1,(IF(CG46="L1",Parameter!$H$5,IF(CG46="L23",Parameter!$H$6+Parameter!$H$7,Parameter!$H$5+Parameter!$H$6+Parameter!$H$7))-(AY46-AT46))/AT46)))</f>
        <v>1</v>
      </c>
      <c r="BA46" s="62" t="n">
        <f aca="false">IF(LEFT(Cockpit!$O$5,1)="A",H46,IF(Parameter!$E$30="MAX-Bestand",IF(CI46=1,CJ46,IF(LEFT(Cockpit!$O$5,1)="B",BG46,MAX(BG46,H46))),ROUNDUP(BE46,0)))</f>
        <v>3</v>
      </c>
      <c r="BB46" s="62" t="n">
        <f aca="false">IF(CA46=1,0,ROUNDUP(BA46/BZ46,0))</f>
        <v>0</v>
      </c>
      <c r="BC46" s="64" t="n">
        <f aca="false">IF(CR46&gt;0,CR46*MAX(1,BA46/X46),IF(CA46=1,IF(BA46&lt;=0,0,CE46*MAX(1,IF(H46&gt;0,BA46/H46,1))),IF(R46&gt;0,BB46/R46,0))/MAX(0.1,N(Parameter!$M$21)))</f>
        <v>0.64030131826742</v>
      </c>
      <c r="BD46" s="62" t="n">
        <f aca="false">BC46*CC46</f>
        <v>152.391713747646</v>
      </c>
      <c r="BE46" s="63" t="n">
        <f aca="false">IF(LEFT(Cockpit!$O$5,1)="A",H46,IF(CI46=1,(CL46+CJ46)/2,IF(LEFT(Cockpit!$O$5,1)="B",(CL46+BG46)/2,MAX((CL46+BG46)/2,H46))))</f>
        <v>3</v>
      </c>
      <c r="BF46" s="62" t="n">
        <f aca="false">BE46*G46</f>
        <v>4280.34</v>
      </c>
      <c r="BG46" s="62" t="n">
        <f aca="false">ROUNDUP(CL46+MAX(CM46,2*(J46/IF(CH46&gt;0,CH46,MAX(0.1,N(Cockpit!$O$6)))-CL46)),0)</f>
        <v>4</v>
      </c>
      <c r="BH46" s="63" t="n">
        <f aca="false">IF(BD46&gt;0,J46/BD46,-1)</f>
        <v>0</v>
      </c>
      <c r="BI46" s="63" t="n">
        <f aca="false">IF(AND(OR(CG46="L1",CG46="L23",CG46="LIFT"),BD46&gt;0),SUMIFS($BD$7:$BD$1843,$CG$7:$CG$1843,CG46,$BH$7:$BH$1843,"&gt;"&amp;BH46)+SUMIFS($BD$7:$BD$1843,$CG$7:$CG$1843,CG46,$BH$7:$BH$1843,BH46,$BX$7:$BX$1843,"&lt;="&amp;BX46),"")</f>
        <v>25479.1889783945</v>
      </c>
      <c r="BJ46" s="70" t="n">
        <f aca="false">IF(BI46="",0,MAX(0,MIN(1,(IF(CG46="L1",Parameter!$H$5,IF(CG46="L23",Parameter!$H$6+Parameter!$H$7,Parameter!$H$5+Parameter!$H$6+Parameter!$H$7))-(BI46-BD46))/BD46)))</f>
        <v>1</v>
      </c>
      <c r="BK46" s="60" t="str">
        <f aca="false">IF(AJ46&lt;=0,"",IF(CG46="Aussen","Aussenlager",IF(CG46="-","Nicht im Lift",IF(AP46&gt;=1,"Lift",IF(AP46&lt;=0,"Aussenlager","teilweise")))))</f>
        <v>Lift</v>
      </c>
      <c r="BL46" s="60" t="str">
        <f aca="false">IF(AT46&lt;=0,"",IF(CG46="Aussen","Aussenlager",IF(CG46="-","Nicht im Lift",IF(AZ46&gt;=1,"Lift",IF(AZ46&lt;=0,"Aussenlager","teilweise")))))</f>
        <v>Lift</v>
      </c>
      <c r="BM46" s="60" t="str">
        <f aca="false">IF(BD46&lt;=0,"",IF(CG46="Aussen","Aussenlager",IF(CG46="-","Nicht im Lift",IF(BJ46&gt;=1,"Lift",IF(BJ46&lt;=0,"Aussenlager","teilweise")))))</f>
        <v>Lift</v>
      </c>
      <c r="BN46" s="60" t="str">
        <f aca="false">IF(A46="","",IF(BW46=1,"Neu; ","")&amp;IF(AND(BW46=0,BR46&lt;0),"negativer Bestand (Export "&amp;BR46&amp;"); ","")&amp;IF(J46&lt;=0,"Kein Verbrauch; ","")&amp;IF(CR46&gt;0,"Lift "&amp;W46&amp;" lt. Liftbericht (Fach "&amp;X46&amp;" Stk); ",IF(CB46=1,"Gebinde geschätzt ("&amp;T46&amp;"); ",IF(CA46=1,"Lose – Tablare geschätzt; ","")))&amp;IF(H46&gt;AW46,"Überbestand "&amp;ROUND(H46-AW46,0)&amp;" Stk / CHF "&amp;ROUND((H46-AW46)*G46,0)&amp;"; ","")&amp;IF(AND(CI46=1,CJ46&lt;CK46),"MAX &lt; MB+LG; ","")&amp;IF(AND(CQ46&gt;0,CP46*10&gt;CQ46),"zu hoch für Tablar; ","")&amp;IF(AND(BW46=0,OR(CI46=1,AB46&lt;&gt;"",U46&lt;&gt;"",V46&lt;&gt;"",AC46&lt;&gt;"")),"manuell übersteuert; ","")&amp;IF(AND(CA46=0,R46=0),"Gebinde unbekannt / Stellmass fehlt; ","")&amp;IF(AND(CA46=0,N(V46)&lt;=0,N(Q46)&lt;=0),"Menge pro Gebinde fehlt (Ist = 1 Gebinde); ","")&amp;BV46)</f>
        <v>Kein Verbrauch; Lift 1 lt. Liftbericht (Fach 8 Stk); </v>
      </c>
      <c r="BO46" s="60" t="s">
        <v>327</v>
      </c>
      <c r="BP46" s="60"/>
      <c r="BQ46" s="67"/>
      <c r="BR46" s="62" t="n">
        <v>5</v>
      </c>
      <c r="BS46" s="62" t="n">
        <v>0</v>
      </c>
      <c r="BT46" s="61" t="n">
        <v>7133.9</v>
      </c>
      <c r="BU46" s="62" t="n">
        <v>0</v>
      </c>
      <c r="BV46" s="60"/>
      <c r="BW46" s="65" t="n">
        <v>0</v>
      </c>
      <c r="BX46" s="65" t="n">
        <v>46</v>
      </c>
      <c r="BY46" s="60" t="str">
        <f aca="false">IF(U46&lt;&gt;"",UPPER(TRIM(U46)),IF(CB46=1,UPPER(VLOOKUP(T46,Parameter!$I$27:$K$29,2,0)),IF(P46="","LOSE",P46)))</f>
        <v>LOSE</v>
      </c>
      <c r="BZ46" s="62" t="n">
        <f aca="false">IF(BY46="LOSE",1,IF(N(V46)&gt;0,V46,IF(CB46=1,MAX(1,N(VLOOKUP(T46,Parameter!$I$27:$K$29,3,0)),H46,N(N46)),IF(N(Q46)&gt;0,Q46,MAX(1,H46)))))</f>
        <v>1</v>
      </c>
      <c r="CA46" s="65" t="n">
        <f aca="false">IF(BY46="LOSE",1,0)</f>
        <v>1</v>
      </c>
      <c r="CB46" s="65" t="n">
        <f aca="false">IF(AND(U46="",OR(P46="",P46="LOSE"),T46&lt;&gt;"",N(S46)&lt;=0,ISNUMBER(MATCH(T46,Parameter!$I$27:$I$29,0))),1,0)</f>
        <v>0</v>
      </c>
      <c r="CC46" s="65" t="n">
        <f aca="false">IF(CR46&gt;0,INDEX(Parameter!$H$5:$H$7,W46)/INDEX(Parameter!$E$5:$E$7,W46),IF(AND(CA46=0,N(IFERROR(VLOOKUP(BY46,'Gebinde-Kategorie'!$A$5:$N$45,14,0),0))&gt;0),VLOOKUP(BY46,'Gebinde-Kategorie'!$A$5:$N$45,14,0)*10+Parameter!$M$23,Parameter!$M$24))</f>
        <v>238</v>
      </c>
      <c r="CD46" s="60" t="str">
        <f aca="false">IF(AND(Parameter!$B$19="Ja",E46&lt;&gt;"",ISNUMBER(MATCH(E46,Parameter!$I$35:$I$52,0))),VLOOKUP(E46,Parameter!$I$35:$J$52,2,0),IFERROR(VLOOKUP(D46,Parameter!$A$35:$C$64,2,0),"Nein"))</f>
        <v>2+3</v>
      </c>
      <c r="CE46" s="64" t="n">
        <f aca="false">IF(CA46=0,0,IF(N(S46)&gt;0,S46,IFERROR(VLOOKUP(D46,Parameter!$A$35:$C$64,3,0)+0,0)))</f>
        <v>0.15</v>
      </c>
      <c r="CF46" s="60" t="n">
        <f aca="false">IF(AB46&lt;&gt;"",AB46,AA46)</f>
        <v>1</v>
      </c>
      <c r="CG46" s="60" t="str">
        <f aca="false">IF(OR(CF46=1,CF46=2,CF46=3),IF(Parameter!$E$27="Ja","LIFT",IF(CF46=1,"L1","L23")),IF(CF46="Aussen","Aussen","-"))</f>
        <v>LIFT</v>
      </c>
      <c r="CH46" s="71" t="n">
        <f aca="false">IF(N(AC46)&gt;0,AC46,0)</f>
        <v>0</v>
      </c>
      <c r="CI46" s="65" t="n">
        <f aca="false">IF(ISNUMBER(AF46),1,0)</f>
        <v>0</v>
      </c>
      <c r="CJ46" s="62" t="n">
        <f aca="false">N(AF46)</f>
        <v>0</v>
      </c>
      <c r="CK46" s="62" t="n">
        <f aca="false">N(M46)+N(N46)</f>
        <v>4</v>
      </c>
      <c r="CL46" s="62" t="n">
        <f aca="false">N(M46)</f>
        <v>2</v>
      </c>
      <c r="CM46" s="62" t="n">
        <f aca="false">N(N46)</f>
        <v>2</v>
      </c>
      <c r="CN46" s="62" t="n">
        <f aca="false">ROUNDUP(H46/BZ46,0)</f>
        <v>4</v>
      </c>
      <c r="CO46" s="62" t="n">
        <f aca="false">ROUNDUP(CJ46/BZ46,0)</f>
        <v>0</v>
      </c>
      <c r="CP46" s="65" t="n">
        <f aca="false">IF(CA46=1,0,IFERROR(VLOOKUP(BY46,'Gebinde-Kategorie'!$A$5:$N$45,5,0)+0,0))</f>
        <v>0</v>
      </c>
      <c r="CQ46" s="65" t="n">
        <f aca="false">IFERROR(IF(OR(CF46=1,CF46=2,CF46=3),N(INDEX(Parameter!$I$5:$I$7,CF46)),0),0)</f>
        <v>0</v>
      </c>
      <c r="CR46" s="64" t="n">
        <f aca="false">IF(AND(Parameter!$B$21="Ja",ISNUMBER(W46),N(X46)&gt;0),IFERROR(N(INDEX(Parameter!$L$5:$L$7,W46))*INDEX(Parameter!$E$5:$E$7,W46)*X46/SUMIFS($X$7:$X$1843,$W$7:$W$1843,W46),0),0)</f>
        <v>0.64030131826742</v>
      </c>
      <c r="CS46" s="62" t="n">
        <f aca="false">IF(AND(OR(CG46="L1",CG46="L23",CG46="LIFT"),H46&gt;0),CC46*IF(CR46&gt;0,CR46*MAX(1,H46/X46),IF(CA46=1,CE46,IF(R46&gt;0,CN46/R46,0))/MAX(0.1,N(Parameter!$M$21))),"")</f>
        <v>152.391713747646</v>
      </c>
      <c r="CT46" s="64" t="n">
        <f aca="false">IF(CS46="","",J46/H46)</f>
        <v>0</v>
      </c>
      <c r="CU46" s="62" t="n">
        <f aca="false">IF(CS46="","",H46*G46)</f>
        <v>5707.12</v>
      </c>
      <c r="CV46" s="63" t="n">
        <f aca="false">IF(CS46="","",(CL46+ROUNDUP(CL46+MAX(CM46,2*(J46/MAX(0.1,N(Einkauf!$C$6))-CL46)),0))/2)</f>
        <v>3</v>
      </c>
      <c r="CW46" s="62" t="n">
        <f aca="false">IF(CS46="","",MAX(0,H46-CV46)*G46)</f>
        <v>1426.78</v>
      </c>
      <c r="CX46" s="62" t="n">
        <f aca="false">IF(CS46="","",CS46*MAX(0,1-CV46/H46))</f>
        <v>38.0979284369115</v>
      </c>
      <c r="CY46" s="64" t="n">
        <f aca="false">IF(CS46="","",PERCENTRANK($CS$7:$CS$1843,CS46)+PERCENTRANK($CU$7:$CU$1843,CU46)+1-PERCENTRANK($CT$7:$CT$1843,CT46))</f>
        <v>2.892</v>
      </c>
      <c r="CZ46" s="72" t="n">
        <f aca="false">IF(CS46="","",CHOOSE(MATCH(Einkauf!$C$5,Parameter!$G$23:$G$27,0),CY46,CS46,CU46,-CT46,CW46)+ROW()/1000000000)</f>
        <v>2.892000046</v>
      </c>
    </row>
    <row r="47" customFormat="false" ht="15" hidden="false" customHeight="false" outlineLevel="0" collapsed="false">
      <c r="A47" s="60" t="s">
        <v>328</v>
      </c>
      <c r="B47" s="60" t="s">
        <v>329</v>
      </c>
      <c r="C47" s="60" t="s">
        <v>206</v>
      </c>
      <c r="D47" s="60" t="s">
        <v>215</v>
      </c>
      <c r="E47" s="60"/>
      <c r="F47" s="60" t="s">
        <v>260</v>
      </c>
      <c r="G47" s="61" t="n">
        <v>2358</v>
      </c>
      <c r="H47" s="62" t="n">
        <f aca="false">MAX(0,IF(AND(Parameter!$B$21="Ja",ISNUMBER(Y47)),Y47,IF(Parameter!$B$20="Jahresanfang 2025 + Export",BS47+BR47,BR47)))</f>
        <v>3</v>
      </c>
      <c r="I47" s="62" t="n">
        <f aca="false">H47*G47</f>
        <v>7074</v>
      </c>
      <c r="J47" s="62" t="n">
        <f aca="false">BU47*Parameter!$B$18</f>
        <v>0</v>
      </c>
      <c r="K47" s="63" t="n">
        <v>1</v>
      </c>
      <c r="L47" s="64" t="n">
        <v>0</v>
      </c>
      <c r="M47" s="62" t="n">
        <v>0</v>
      </c>
      <c r="N47" s="62" t="n">
        <v>1</v>
      </c>
      <c r="O47" s="65" t="n">
        <v>120</v>
      </c>
      <c r="P47" s="60" t="s">
        <v>210</v>
      </c>
      <c r="Q47" s="62"/>
      <c r="R47" s="65" t="n">
        <f aca="false">IF(CA47=1,0,IFERROR(VLOOKUP(BY47,'Gebinde-Kategorie'!$A$5:$N$45,13,0)+0,0))</f>
        <v>12</v>
      </c>
      <c r="S47" s="66"/>
      <c r="T47" s="67" t="s">
        <v>221</v>
      </c>
      <c r="U47" s="67"/>
      <c r="V47" s="67"/>
      <c r="W47" s="60"/>
      <c r="X47" s="62"/>
      <c r="Y47" s="62"/>
      <c r="Z47" s="60" t="n">
        <v>3</v>
      </c>
      <c r="AA47" s="60" t="n">
        <f aca="false">IF(A47="","",IF(AND(Parameter!$B$21="Ja",ISNUMBER(W47)),W47,IF(AND(Parameter!$E$27="Ja",ISNUMBER(Z47),CD47&lt;&gt;"Nein"),Z47,IF(CD47="2+3",IF(ISNUMBER(SEARCH("grosser Artikel",BV47)),2,IFERROR(VLOOKUP(BY47,Parameter!$F$35:$G$64,2,0),2)),IF(OR(CD47="Nein",CD47=""),"-",CD47)))))</f>
        <v>3</v>
      </c>
      <c r="AB47" s="67"/>
      <c r="AC47" s="68"/>
      <c r="AD47" s="62" t="n">
        <f aca="false">AW47</f>
        <v>1</v>
      </c>
      <c r="AE47" s="62" t="n">
        <f aca="false">MAX(AW47,H47)</f>
        <v>3</v>
      </c>
      <c r="AF47" s="69"/>
      <c r="AG47" s="62" t="n">
        <f aca="false">IF(LEFT(Cockpit!$C$5,1)="A",H47,IF(Parameter!$E$30="MAX-Bestand",IF(CI47=1,CJ47,IF(LEFT(Cockpit!$C$5,1)="B",AM47,MAX(AM47,H47))),ROUNDUP(AK47,0)))</f>
        <v>3</v>
      </c>
      <c r="AH47" s="62" t="n">
        <f aca="false">IF(CA47=1,0,ROUNDUP(AG47/BZ47,0))</f>
        <v>1</v>
      </c>
      <c r="AI47" s="64" t="n">
        <f aca="false">IF(CR47&gt;0,CR47*MAX(1,AG47/X47),IF(CA47=1,IF(AG47&lt;=0,0,CE47*MAX(1,IF(H47&gt;0,AG47/H47,1))),IF(R47&gt;0,AH47/R47,0))/MAX(0.1,N(Parameter!$M$21)))</f>
        <v>0.0833333333333333</v>
      </c>
      <c r="AJ47" s="62" t="n">
        <f aca="false">AI47*CC47</f>
        <v>12.0833333333333</v>
      </c>
      <c r="AK47" s="63" t="n">
        <f aca="false">IF(LEFT(Cockpit!$C$5,1)="A",H47,IF(CI47=1,(CL47+CJ47)/2,IF(LEFT(Cockpit!$C$5,1)="B",(CL47+AM47)/2,MAX((CL47+AM47)/2,H47))))</f>
        <v>3</v>
      </c>
      <c r="AL47" s="62" t="n">
        <f aca="false">AK47*G47</f>
        <v>7074</v>
      </c>
      <c r="AM47" s="62" t="n">
        <f aca="false">ROUNDUP(CL47+MAX(CM47,2*(J47/IF(CH47&gt;0,CH47,MAX(0.1,N(Cockpit!$C$6)))-CL47)),0)</f>
        <v>1</v>
      </c>
      <c r="AN47" s="63" t="n">
        <f aca="false">IF(AJ47&gt;0,J47/AJ47,-1)</f>
        <v>0</v>
      </c>
      <c r="AO47" s="63" t="n">
        <f aca="false">IF(AND(OR(CG47="L1",CG47="L23",CG47="LIFT"),AJ47&gt;0),SUMIFS($AJ$7:$AJ$1843,$CG$7:$CG$1843,CG47,$AN$7:$AN$1843,"&gt;"&amp;AN47)+SUMIFS($AJ$7:$AJ$1843,$CG$7:$CG$1843,CG47,$AN$7:$AN$1843,AN47,$BX$7:$BX$1843,"&lt;="&amp;BX47),"")</f>
        <v>25882.7918270524</v>
      </c>
      <c r="AP47" s="70" t="n">
        <f aca="false">IF(AO47="",0,MAX(0,MIN(1,(IF(CG47="L1",Parameter!$H$5,IF(CG47="L23",Parameter!$H$6+Parameter!$H$7,Parameter!$H$5+Parameter!$H$6+Parameter!$H$7))-(AO47-AJ47))/AJ47)))</f>
        <v>1</v>
      </c>
      <c r="AQ47" s="62" t="n">
        <f aca="false">IF(LEFT(Cockpit!$I$5,1)="A",H47,IF(Parameter!$E$30="MAX-Bestand",IF(CI47=1,CJ47,IF(LEFT(Cockpit!$I$5,1)="B",AW47,MAX(AW47,H47))),ROUNDUP(AU47,0)))</f>
        <v>3</v>
      </c>
      <c r="AR47" s="62" t="n">
        <f aca="false">IF(CA47=1,0,ROUNDUP(AQ47/BZ47,0))</f>
        <v>1</v>
      </c>
      <c r="AS47" s="64" t="n">
        <f aca="false">IF(CR47&gt;0,CR47*MAX(1,AQ47/X47),IF(CA47=1,IF(AQ47&lt;=0,0,CE47*MAX(1,IF(H47&gt;0,AQ47/H47,1))),IF(R47&gt;0,AR47/R47,0))/MAX(0.1,N(Parameter!$M$21)))</f>
        <v>0.0833333333333333</v>
      </c>
      <c r="AT47" s="62" t="n">
        <f aca="false">AS47*CC47</f>
        <v>12.0833333333333</v>
      </c>
      <c r="AU47" s="63" t="n">
        <f aca="false">IF(LEFT(Cockpit!$I$5,1)="A",H47,IF(CI47=1,(CL47+CJ47)/2,IF(LEFT(Cockpit!$I$5,1)="B",(CL47+AW47)/2,MAX((CL47+AW47)/2,H47))))</f>
        <v>3</v>
      </c>
      <c r="AV47" s="62" t="n">
        <f aca="false">AU47*G47</f>
        <v>7074</v>
      </c>
      <c r="AW47" s="62" t="n">
        <f aca="false">ROUNDUP(CL47+MAX(CM47,2*(J47/IF(CH47&gt;0,CH47,MAX(0.1,N(Cockpit!$I$6)))-CL47)),0)</f>
        <v>1</v>
      </c>
      <c r="AX47" s="63" t="n">
        <f aca="false">IF(AT47&gt;0,J47/AT47,-1)</f>
        <v>0</v>
      </c>
      <c r="AY47" s="63" t="n">
        <f aca="false">IF(AND(OR(CG47="L1",CG47="L23",CG47="LIFT"),AT47&gt;0),SUMIFS($AT$7:$AT$1843,$CG$7:$CG$1843,CG47,$AX$7:$AX$1843,"&gt;"&amp;AX47)+SUMIFS($AT$7:$AT$1843,$CG$7:$CG$1843,CG47,$AX$7:$AX$1843,AX47,$BX$7:$BX$1843,"&lt;="&amp;BX47),"")</f>
        <v>31235.9404684299</v>
      </c>
      <c r="AZ47" s="70" t="n">
        <f aca="false">IF(AY47="",0,MAX(0,MIN(1,(IF(CG47="L1",Parameter!$H$5,IF(CG47="L23",Parameter!$H$6+Parameter!$H$7,Parameter!$H$5+Parameter!$H$6+Parameter!$H$7))-(AY47-AT47))/AT47)))</f>
        <v>1</v>
      </c>
      <c r="BA47" s="62" t="n">
        <f aca="false">IF(LEFT(Cockpit!$O$5,1)="A",H47,IF(Parameter!$E$30="MAX-Bestand",IF(CI47=1,CJ47,IF(LEFT(Cockpit!$O$5,1)="B",BG47,MAX(BG47,H47))),ROUNDUP(BE47,0)))</f>
        <v>1</v>
      </c>
      <c r="BB47" s="62" t="n">
        <f aca="false">IF(CA47=1,0,ROUNDUP(BA47/BZ47,0))</f>
        <v>1</v>
      </c>
      <c r="BC47" s="64" t="n">
        <f aca="false">IF(CR47&gt;0,CR47*MAX(1,BA47/X47),IF(CA47=1,IF(BA47&lt;=0,0,CE47*MAX(1,IF(H47&gt;0,BA47/H47,1))),IF(R47&gt;0,BB47/R47,0))/MAX(0.1,N(Parameter!$M$21)))</f>
        <v>0.0833333333333333</v>
      </c>
      <c r="BD47" s="62" t="n">
        <f aca="false">BC47*CC47</f>
        <v>12.0833333333333</v>
      </c>
      <c r="BE47" s="63" t="n">
        <f aca="false">IF(LEFT(Cockpit!$O$5,1)="A",H47,IF(CI47=1,(CL47+CJ47)/2,IF(LEFT(Cockpit!$O$5,1)="B",(CL47+BG47)/2,MAX((CL47+BG47)/2,H47))))</f>
        <v>0.5</v>
      </c>
      <c r="BF47" s="62" t="n">
        <f aca="false">BE47*G47</f>
        <v>1179</v>
      </c>
      <c r="BG47" s="62" t="n">
        <f aca="false">ROUNDUP(CL47+MAX(CM47,2*(J47/IF(CH47&gt;0,CH47,MAX(0.1,N(Cockpit!$O$6)))-CL47)),0)</f>
        <v>1</v>
      </c>
      <c r="BH47" s="63" t="n">
        <f aca="false">IF(BD47&gt;0,J47/BD47,-1)</f>
        <v>0</v>
      </c>
      <c r="BI47" s="63" t="n">
        <f aca="false">IF(AND(OR(CG47="L1",CG47="L23",CG47="LIFT"),BD47&gt;0),SUMIFS($BD$7:$BD$1843,$CG$7:$CG$1843,CG47,$BH$7:$BH$1843,"&gt;"&amp;BH47)+SUMIFS($BD$7:$BD$1843,$CG$7:$CG$1843,CG47,$BH$7:$BH$1843,BH47,$BX$7:$BX$1843,"&lt;="&amp;BX47),"")</f>
        <v>25491.2723117278</v>
      </c>
      <c r="BJ47" s="70" t="n">
        <f aca="false">IF(BI47="",0,MAX(0,MIN(1,(IF(CG47="L1",Parameter!$H$5,IF(CG47="L23",Parameter!$H$6+Parameter!$H$7,Parameter!$H$5+Parameter!$H$6+Parameter!$H$7))-(BI47-BD47))/BD47)))</f>
        <v>1</v>
      </c>
      <c r="BK47" s="60" t="str">
        <f aca="false">IF(AJ47&lt;=0,"",IF(CG47="Aussen","Aussenlager",IF(CG47="-","Nicht im Lift",IF(AP47&gt;=1,"Lift",IF(AP47&lt;=0,"Aussenlager","teilweise")))))</f>
        <v>Lift</v>
      </c>
      <c r="BL47" s="60" t="str">
        <f aca="false">IF(AT47&lt;=0,"",IF(CG47="Aussen","Aussenlager",IF(CG47="-","Nicht im Lift",IF(AZ47&gt;=1,"Lift",IF(AZ47&lt;=0,"Aussenlager","teilweise")))))</f>
        <v>Lift</v>
      </c>
      <c r="BM47" s="60" t="str">
        <f aca="false">IF(BD47&lt;=0,"",IF(CG47="Aussen","Aussenlager",IF(CG47="-","Nicht im Lift",IF(BJ47&gt;=1,"Lift",IF(BJ47&lt;=0,"Aussenlager","teilweise")))))</f>
        <v>Lift</v>
      </c>
      <c r="BN47" s="60" t="str">
        <f aca="false">IF(A47="","",IF(BW47=1,"Neu; ","")&amp;IF(AND(BW47=0,BR47&lt;0),"negativer Bestand (Export "&amp;BR47&amp;"); ","")&amp;IF(J47&lt;=0,"Kein Verbrauch; ","")&amp;IF(CR47&gt;0,"Lift "&amp;W47&amp;" lt. Liftbericht (Fach "&amp;X47&amp;" Stk); ",IF(CB47=1,"Gebinde geschätzt ("&amp;T47&amp;"); ",IF(CA47=1,"Lose – Tablare geschätzt; ","")))&amp;IF(H47&gt;AW47,"Überbestand "&amp;ROUND(H47-AW47,0)&amp;" Stk / CHF "&amp;ROUND((H47-AW47)*G47,0)&amp;"; ","")&amp;IF(AND(CI47=1,CJ47&lt;CK47),"MAX &lt; MB+LG; ","")&amp;IF(AND(CQ47&gt;0,CP47*10&gt;CQ47),"zu hoch für Tablar; ","")&amp;IF(AND(BW47=0,OR(CI47=1,AB47&lt;&gt;"",U47&lt;&gt;"",V47&lt;&gt;"",AC47&lt;&gt;"")),"manuell übersteuert; ","")&amp;IF(AND(CA47=0,R47=0),"Gebinde unbekannt / Stellmass fehlt; ","")&amp;IF(AND(CA47=0,N(V47)&lt;=0,N(Q47)&lt;=0),"Menge pro Gebinde fehlt (Ist = 1 Gebinde); ","")&amp;BV47)</f>
        <v>Kein Verbrauch; Gebinde geschätzt (Mittel); Überbestand 2 Stk / CHF 4716; Menge pro Gebinde fehlt (Ist = 1 Gebinde); </v>
      </c>
      <c r="BO47" s="60"/>
      <c r="BP47" s="60"/>
      <c r="BQ47" s="67"/>
      <c r="BR47" s="62" t="n">
        <v>3</v>
      </c>
      <c r="BS47" s="62" t="n">
        <v>0</v>
      </c>
      <c r="BT47" s="61" t="n">
        <v>7074</v>
      </c>
      <c r="BU47" s="62" t="n">
        <v>0</v>
      </c>
      <c r="BV47" s="60"/>
      <c r="BW47" s="65" t="n">
        <v>0</v>
      </c>
      <c r="BX47" s="65" t="n">
        <v>47</v>
      </c>
      <c r="BY47" s="60" t="str">
        <f aca="false">IF(U47&lt;&gt;"",UPPER(TRIM(U47)),IF(CB47=1,UPPER(VLOOKUP(T47,Parameter!$I$27:$K$29,2,0)),IF(P47="","LOSE",P47)))</f>
        <v>S61</v>
      </c>
      <c r="BZ47" s="62" t="n">
        <f aca="false">IF(BY47="LOSE",1,IF(N(V47)&gt;0,V47,IF(CB47=1,MAX(1,N(VLOOKUP(T47,Parameter!$I$27:$K$29,3,0)),H47,N(N47)),IF(N(Q47)&gt;0,Q47,MAX(1,H47)))))</f>
        <v>4</v>
      </c>
      <c r="CA47" s="65" t="n">
        <f aca="false">IF(BY47="LOSE",1,0)</f>
        <v>0</v>
      </c>
      <c r="CB47" s="65" t="n">
        <f aca="false">IF(AND(U47="",OR(P47="",P47="LOSE"),T47&lt;&gt;"",N(S47)&lt;=0,ISNUMBER(MATCH(T47,Parameter!$I$27:$I$29,0))),1,0)</f>
        <v>1</v>
      </c>
      <c r="CC47" s="65" t="n">
        <f aca="false">IF(CR47&gt;0,INDEX(Parameter!$H$5:$H$7,W47)/INDEX(Parameter!$E$5:$E$7,W47),IF(AND(CA47=0,N(IFERROR(VLOOKUP(BY47,'Gebinde-Kategorie'!$A$5:$N$45,14,0),0))&gt;0),VLOOKUP(BY47,'Gebinde-Kategorie'!$A$5:$N$45,14,0)*10+Parameter!$M$23,Parameter!$M$24))</f>
        <v>145</v>
      </c>
      <c r="CD47" s="60" t="str">
        <f aca="false">IF(AND(Parameter!$B$19="Ja",E47&lt;&gt;"",ISNUMBER(MATCH(E47,Parameter!$I$35:$I$52,0))),VLOOKUP(E47,Parameter!$I$35:$J$52,2,0),IFERROR(VLOOKUP(D47,Parameter!$A$35:$C$64,2,0),"Nein"))</f>
        <v>2+3</v>
      </c>
      <c r="CE47" s="64" t="n">
        <f aca="false">IF(CA47=0,0,IF(N(S47)&gt;0,S47,IFERROR(VLOOKUP(D47,Parameter!$A$35:$C$64,3,0)+0,0)))</f>
        <v>0</v>
      </c>
      <c r="CF47" s="60" t="n">
        <f aca="false">IF(AB47&lt;&gt;"",AB47,AA47)</f>
        <v>3</v>
      </c>
      <c r="CG47" s="60" t="str">
        <f aca="false">IF(OR(CF47=1,CF47=2,CF47=3),IF(Parameter!$E$27="Ja","LIFT",IF(CF47=1,"L1","L23")),IF(CF47="Aussen","Aussen","-"))</f>
        <v>LIFT</v>
      </c>
      <c r="CH47" s="71" t="n">
        <f aca="false">IF(N(AC47)&gt;0,AC47,0)</f>
        <v>0</v>
      </c>
      <c r="CI47" s="65" t="n">
        <f aca="false">IF(ISNUMBER(AF47),1,0)</f>
        <v>0</v>
      </c>
      <c r="CJ47" s="62" t="n">
        <f aca="false">N(AF47)</f>
        <v>0</v>
      </c>
      <c r="CK47" s="62" t="n">
        <f aca="false">N(M47)+N(N47)</f>
        <v>1</v>
      </c>
      <c r="CL47" s="62" t="n">
        <f aca="false">N(M47)</f>
        <v>0</v>
      </c>
      <c r="CM47" s="62" t="n">
        <f aca="false">N(N47)</f>
        <v>1</v>
      </c>
      <c r="CN47" s="62" t="n">
        <f aca="false">ROUNDUP(H47/BZ47,0)</f>
        <v>1</v>
      </c>
      <c r="CO47" s="62" t="n">
        <f aca="false">ROUNDUP(CJ47/BZ47,0)</f>
        <v>0</v>
      </c>
      <c r="CP47" s="65" t="n">
        <f aca="false">IF(CA47=1,0,IFERROR(VLOOKUP(BY47,'Gebinde-Kategorie'!$A$5:$N$45,5,0)+0,0))</f>
        <v>11</v>
      </c>
      <c r="CQ47" s="65" t="n">
        <f aca="false">IFERROR(IF(OR(CF47=1,CF47=2,CF47=3),N(INDEX(Parameter!$I$5:$I$7,CF47)),0),0)</f>
        <v>0</v>
      </c>
      <c r="CR47" s="64" t="n">
        <f aca="false">IF(AND(Parameter!$B$21="Ja",ISNUMBER(W47),N(X47)&gt;0),IFERROR(N(INDEX(Parameter!$L$5:$L$7,W47))*INDEX(Parameter!$E$5:$E$7,W47)*X47/SUMIFS($X$7:$X$1843,$W$7:$W$1843,W47),0),0)</f>
        <v>0</v>
      </c>
      <c r="CS47" s="62" t="n">
        <f aca="false">IF(AND(OR(CG47="L1",CG47="L23",CG47="LIFT"),H47&gt;0),CC47*IF(CR47&gt;0,CR47*MAX(1,H47/X47),IF(CA47=1,CE47,IF(R47&gt;0,CN47/R47,0))/MAX(0.1,N(Parameter!$M$21))),"")</f>
        <v>12.0833333333333</v>
      </c>
      <c r="CT47" s="64" t="n">
        <f aca="false">IF(CS47="","",J47/H47)</f>
        <v>0</v>
      </c>
      <c r="CU47" s="62" t="n">
        <f aca="false">IF(CS47="","",H47*G47)</f>
        <v>7074</v>
      </c>
      <c r="CV47" s="63" t="n">
        <f aca="false">IF(CS47="","",(CL47+ROUNDUP(CL47+MAX(CM47,2*(J47/MAX(0.1,N(Einkauf!$C$6))-CL47)),0))/2)</f>
        <v>0.5</v>
      </c>
      <c r="CW47" s="62" t="n">
        <f aca="false">IF(CS47="","",MAX(0,H47-CV47)*G47)</f>
        <v>5895</v>
      </c>
      <c r="CX47" s="62" t="n">
        <f aca="false">IF(CS47="","",CS47*MAX(0,1-CV47/H47))</f>
        <v>10.0694444444444</v>
      </c>
      <c r="CY47" s="64" t="n">
        <f aca="false">IF(CS47="","",PERCENTRANK($CS$7:$CS$1843,CS47)+PERCENTRANK($CU$7:$CU$1843,CU47)+1-PERCENTRANK($CT$7:$CT$1843,CT47))</f>
        <v>2.593</v>
      </c>
      <c r="CZ47" s="72" t="n">
        <f aca="false">IF(CS47="","",CHOOSE(MATCH(Einkauf!$C$5,Parameter!$G$23:$G$27,0),CY47,CS47,CU47,-CT47,CW47)+ROW()/1000000000)</f>
        <v>2.593000047</v>
      </c>
    </row>
    <row r="48" customFormat="false" ht="15" hidden="false" customHeight="false" outlineLevel="0" collapsed="false">
      <c r="A48" s="60" t="s">
        <v>330</v>
      </c>
      <c r="B48" s="60" t="s">
        <v>295</v>
      </c>
      <c r="C48" s="60" t="s">
        <v>206</v>
      </c>
      <c r="D48" s="60" t="s">
        <v>207</v>
      </c>
      <c r="E48" s="60"/>
      <c r="F48" s="60" t="s">
        <v>260</v>
      </c>
      <c r="G48" s="61" t="n">
        <v>1380.43</v>
      </c>
      <c r="H48" s="62" t="n">
        <f aca="false">MAX(0,IF(AND(Parameter!$B$21="Ja",ISNUMBER(Y48)),Y48,IF(Parameter!$B$20="Jahresanfang 2025 + Export",BS48+BR48,BR48)))</f>
        <v>3</v>
      </c>
      <c r="I48" s="62" t="n">
        <f aca="false">H48*G48</f>
        <v>4141.29</v>
      </c>
      <c r="J48" s="62" t="n">
        <f aca="false">BU48*Parameter!$B$18</f>
        <v>0</v>
      </c>
      <c r="K48" s="63" t="n">
        <v>3</v>
      </c>
      <c r="L48" s="64" t="n">
        <v>0</v>
      </c>
      <c r="M48" s="62" t="n">
        <v>0</v>
      </c>
      <c r="N48" s="62" t="n">
        <v>2</v>
      </c>
      <c r="O48" s="65" t="n">
        <v>70</v>
      </c>
      <c r="P48" s="60" t="s">
        <v>210</v>
      </c>
      <c r="Q48" s="62"/>
      <c r="R48" s="65" t="n">
        <f aca="false">IF(CA48=1,0,IFERROR(VLOOKUP(BY48,'Gebinde-Kategorie'!$A$5:$N$45,13,0)+0,0))</f>
        <v>0</v>
      </c>
      <c r="S48" s="66"/>
      <c r="T48" s="67"/>
      <c r="U48" s="67"/>
      <c r="V48" s="67"/>
      <c r="W48" s="60" t="n">
        <v>1</v>
      </c>
      <c r="X48" s="62" t="n">
        <v>16</v>
      </c>
      <c r="Y48" s="62" t="n">
        <v>3</v>
      </c>
      <c r="Z48" s="60" t="n">
        <v>1</v>
      </c>
      <c r="AA48" s="60" t="n">
        <f aca="false">IF(A48="","",IF(AND(Parameter!$B$21="Ja",ISNUMBER(W48)),W48,IF(AND(Parameter!$E$27="Ja",ISNUMBER(Z48),CD48&lt;&gt;"Nein"),Z48,IF(CD48="2+3",IF(ISNUMBER(SEARCH("grosser Artikel",BV48)),2,IFERROR(VLOOKUP(BY48,Parameter!$F$35:$G$64,2,0),2)),IF(OR(CD48="Nein",CD48=""),"-",CD48)))))</f>
        <v>1</v>
      </c>
      <c r="AB48" s="67"/>
      <c r="AC48" s="68"/>
      <c r="AD48" s="62" t="n">
        <f aca="false">AW48</f>
        <v>2</v>
      </c>
      <c r="AE48" s="62" t="n">
        <f aca="false">MAX(AW48,H48)</f>
        <v>3</v>
      </c>
      <c r="AF48" s="69"/>
      <c r="AG48" s="62" t="n">
        <f aca="false">IF(LEFT(Cockpit!$C$5,1)="A",H48,IF(Parameter!$E$30="MAX-Bestand",IF(CI48=1,CJ48,IF(LEFT(Cockpit!$C$5,1)="B",AM48,MAX(AM48,H48))),ROUNDUP(AK48,0)))</f>
        <v>3</v>
      </c>
      <c r="AH48" s="62" t="n">
        <f aca="false">IF(CA48=1,0,ROUNDUP(AG48/BZ48,0))</f>
        <v>0</v>
      </c>
      <c r="AI48" s="64" t="n">
        <f aca="false">IF(CR48&gt;0,CR48*MAX(1,AG48/X48),IF(CA48=1,IF(AG48&lt;=0,0,CE48*MAX(1,IF(H48&gt;0,AG48/H48,1))),IF(R48&gt;0,AH48/R48,0))/MAX(0.1,N(Parameter!$M$21)))</f>
        <v>1.28060263653484</v>
      </c>
      <c r="AJ48" s="62" t="n">
        <f aca="false">AI48*CC48</f>
        <v>304.783427495292</v>
      </c>
      <c r="AK48" s="63" t="n">
        <f aca="false">IF(LEFT(Cockpit!$C$5,1)="A",H48,IF(CI48=1,(CL48+CJ48)/2,IF(LEFT(Cockpit!$C$5,1)="B",(CL48+AM48)/2,MAX((CL48+AM48)/2,H48))))</f>
        <v>3</v>
      </c>
      <c r="AL48" s="62" t="n">
        <f aca="false">AK48*G48</f>
        <v>4141.29</v>
      </c>
      <c r="AM48" s="62" t="n">
        <f aca="false">ROUNDUP(CL48+MAX(CM48,2*(J48/IF(CH48&gt;0,CH48,MAX(0.1,N(Cockpit!$C$6)))-CL48)),0)</f>
        <v>2</v>
      </c>
      <c r="AN48" s="63" t="n">
        <f aca="false">IF(AJ48&gt;0,J48/AJ48,-1)</f>
        <v>0</v>
      </c>
      <c r="AO48" s="63" t="n">
        <f aca="false">IF(AND(OR(CG48="L1",CG48="L23",CG48="LIFT"),AJ48&gt;0),SUMIFS($AJ$7:$AJ$1843,$CG$7:$CG$1843,CG48,$AN$7:$AN$1843,"&gt;"&amp;AN48)+SUMIFS($AJ$7:$AJ$1843,$CG$7:$CG$1843,CG48,$AN$7:$AN$1843,AN48,$BX$7:$BX$1843,"&lt;="&amp;BX48),"")</f>
        <v>26187.5752545477</v>
      </c>
      <c r="AP48" s="70" t="n">
        <f aca="false">IF(AO48="",0,MAX(0,MIN(1,(IF(CG48="L1",Parameter!$H$5,IF(CG48="L23",Parameter!$H$6+Parameter!$H$7,Parameter!$H$5+Parameter!$H$6+Parameter!$H$7))-(AO48-AJ48))/AJ48)))</f>
        <v>1</v>
      </c>
      <c r="AQ48" s="62" t="n">
        <f aca="false">IF(LEFT(Cockpit!$I$5,1)="A",H48,IF(Parameter!$E$30="MAX-Bestand",IF(CI48=1,CJ48,IF(LEFT(Cockpit!$I$5,1)="B",AW48,MAX(AW48,H48))),ROUNDUP(AU48,0)))</f>
        <v>3</v>
      </c>
      <c r="AR48" s="62" t="n">
        <f aca="false">IF(CA48=1,0,ROUNDUP(AQ48/BZ48,0))</f>
        <v>0</v>
      </c>
      <c r="AS48" s="64" t="n">
        <f aca="false">IF(CR48&gt;0,CR48*MAX(1,AQ48/X48),IF(CA48=1,IF(AQ48&lt;=0,0,CE48*MAX(1,IF(H48&gt;0,AQ48/H48,1))),IF(R48&gt;0,AR48/R48,0))/MAX(0.1,N(Parameter!$M$21)))</f>
        <v>1.28060263653484</v>
      </c>
      <c r="AT48" s="62" t="n">
        <f aca="false">AS48*CC48</f>
        <v>304.783427495292</v>
      </c>
      <c r="AU48" s="63" t="n">
        <f aca="false">IF(LEFT(Cockpit!$I$5,1)="A",H48,IF(CI48=1,(CL48+CJ48)/2,IF(LEFT(Cockpit!$I$5,1)="B",(CL48+AW48)/2,MAX((CL48+AW48)/2,H48))))</f>
        <v>3</v>
      </c>
      <c r="AV48" s="62" t="n">
        <f aca="false">AU48*G48</f>
        <v>4141.29</v>
      </c>
      <c r="AW48" s="62" t="n">
        <f aca="false">ROUNDUP(CL48+MAX(CM48,2*(J48/IF(CH48&gt;0,CH48,MAX(0.1,N(Cockpit!$I$6)))-CL48)),0)</f>
        <v>2</v>
      </c>
      <c r="AX48" s="63" t="n">
        <f aca="false">IF(AT48&gt;0,J48/AT48,-1)</f>
        <v>0</v>
      </c>
      <c r="AY48" s="63" t="n">
        <f aca="false">IF(AND(OR(CG48="L1",CG48="L23",CG48="LIFT"),AT48&gt;0),SUMIFS($AT$7:$AT$1843,$CG$7:$CG$1843,CG48,$AX$7:$AX$1843,"&gt;"&amp;AX48)+SUMIFS($AT$7:$AT$1843,$CG$7:$CG$1843,CG48,$AX$7:$AX$1843,AX48,$BX$7:$BX$1843,"&lt;="&amp;BX48),"")</f>
        <v>31540.7238959252</v>
      </c>
      <c r="AZ48" s="70" t="n">
        <f aca="false">IF(AY48="",0,MAX(0,MIN(1,(IF(CG48="L1",Parameter!$H$5,IF(CG48="L23",Parameter!$H$6+Parameter!$H$7,Parameter!$H$5+Parameter!$H$6+Parameter!$H$7))-(AY48-AT48))/AT48)))</f>
        <v>1</v>
      </c>
      <c r="BA48" s="62" t="n">
        <f aca="false">IF(LEFT(Cockpit!$O$5,1)="A",H48,IF(Parameter!$E$30="MAX-Bestand",IF(CI48=1,CJ48,IF(LEFT(Cockpit!$O$5,1)="B",BG48,MAX(BG48,H48))),ROUNDUP(BE48,0)))</f>
        <v>1</v>
      </c>
      <c r="BB48" s="62" t="n">
        <f aca="false">IF(CA48=1,0,ROUNDUP(BA48/BZ48,0))</f>
        <v>0</v>
      </c>
      <c r="BC48" s="64" t="n">
        <f aca="false">IF(CR48&gt;0,CR48*MAX(1,BA48/X48),IF(CA48=1,IF(BA48&lt;=0,0,CE48*MAX(1,IF(H48&gt;0,BA48/H48,1))),IF(R48&gt;0,BB48/R48,0))/MAX(0.1,N(Parameter!$M$21)))</f>
        <v>1.28060263653484</v>
      </c>
      <c r="BD48" s="62" t="n">
        <f aca="false">BC48*CC48</f>
        <v>304.783427495292</v>
      </c>
      <c r="BE48" s="63" t="n">
        <f aca="false">IF(LEFT(Cockpit!$O$5,1)="A",H48,IF(CI48=1,(CL48+CJ48)/2,IF(LEFT(Cockpit!$O$5,1)="B",(CL48+BG48)/2,MAX((CL48+BG48)/2,H48))))</f>
        <v>1</v>
      </c>
      <c r="BF48" s="62" t="n">
        <f aca="false">BE48*G48</f>
        <v>1380.43</v>
      </c>
      <c r="BG48" s="62" t="n">
        <f aca="false">ROUNDUP(CL48+MAX(CM48,2*(J48/IF(CH48&gt;0,CH48,MAX(0.1,N(Cockpit!$O$6)))-CL48)),0)</f>
        <v>2</v>
      </c>
      <c r="BH48" s="63" t="n">
        <f aca="false">IF(BD48&gt;0,J48/BD48,-1)</f>
        <v>0</v>
      </c>
      <c r="BI48" s="63" t="n">
        <f aca="false">IF(AND(OR(CG48="L1",CG48="L23",CG48="LIFT"),BD48&gt;0),SUMIFS($BD$7:$BD$1843,$CG$7:$CG$1843,CG48,$BH$7:$BH$1843,"&gt;"&amp;BH48)+SUMIFS($BD$7:$BD$1843,$CG$7:$CG$1843,CG48,$BH$7:$BH$1843,BH48,$BX$7:$BX$1843,"&lt;="&amp;BX48),"")</f>
        <v>25796.0557392231</v>
      </c>
      <c r="BJ48" s="70" t="n">
        <f aca="false">IF(BI48="",0,MAX(0,MIN(1,(IF(CG48="L1",Parameter!$H$5,IF(CG48="L23",Parameter!$H$6+Parameter!$H$7,Parameter!$H$5+Parameter!$H$6+Parameter!$H$7))-(BI48-BD48))/BD48)))</f>
        <v>1</v>
      </c>
      <c r="BK48" s="60" t="str">
        <f aca="false">IF(AJ48&lt;=0,"",IF(CG48="Aussen","Aussenlager",IF(CG48="-","Nicht im Lift",IF(AP48&gt;=1,"Lift",IF(AP48&lt;=0,"Aussenlager","teilweise")))))</f>
        <v>Lift</v>
      </c>
      <c r="BL48" s="60" t="str">
        <f aca="false">IF(AT48&lt;=0,"",IF(CG48="Aussen","Aussenlager",IF(CG48="-","Nicht im Lift",IF(AZ48&gt;=1,"Lift",IF(AZ48&lt;=0,"Aussenlager","teilweise")))))</f>
        <v>Lift</v>
      </c>
      <c r="BM48" s="60" t="str">
        <f aca="false">IF(BD48&lt;=0,"",IF(CG48="Aussen","Aussenlager",IF(CG48="-","Nicht im Lift",IF(BJ48&gt;=1,"Lift",IF(BJ48&lt;=0,"Aussenlager","teilweise")))))</f>
        <v>Lift</v>
      </c>
      <c r="BN48" s="60" t="str">
        <f aca="false">IF(A48="","",IF(BW48=1,"Neu; ","")&amp;IF(AND(BW48=0,BR48&lt;0),"negativer Bestand (Export "&amp;BR48&amp;"); ","")&amp;IF(J48&lt;=0,"Kein Verbrauch; ","")&amp;IF(CR48&gt;0,"Lift "&amp;W48&amp;" lt. Liftbericht (Fach "&amp;X48&amp;" Stk); ",IF(CB48=1,"Gebinde geschätzt ("&amp;T48&amp;"); ",IF(CA48=1,"Lose – Tablare geschätzt; ","")))&amp;IF(H48&gt;AW48,"Überbestand "&amp;ROUND(H48-AW48,0)&amp;" Stk / CHF "&amp;ROUND((H48-AW48)*G48,0)&amp;"; ","")&amp;IF(AND(CI48=1,CJ48&lt;CK48),"MAX &lt; MB+LG; ","")&amp;IF(AND(CQ48&gt;0,CP48*10&gt;CQ48),"zu hoch für Tablar; ","")&amp;IF(AND(BW48=0,OR(CI48=1,AB48&lt;&gt;"",U48&lt;&gt;"",V48&lt;&gt;"",AC48&lt;&gt;"")),"manuell übersteuert; ","")&amp;IF(AND(CA48=0,R48=0),"Gebinde unbekannt / Stellmass fehlt; ","")&amp;IF(AND(CA48=0,N(V48)&lt;=0,N(Q48)&lt;=0),"Menge pro Gebinde fehlt (Ist = 1 Gebinde); ","")&amp;BV48)</f>
        <v>Kein Verbrauch; Lift 1 lt. Liftbericht (Fach 16 Stk); Überbestand 1 Stk / CHF 1380; </v>
      </c>
      <c r="BO48" s="60"/>
      <c r="BP48" s="60"/>
      <c r="BQ48" s="67"/>
      <c r="BR48" s="62" t="n">
        <v>5</v>
      </c>
      <c r="BS48" s="62" t="n">
        <v>0</v>
      </c>
      <c r="BT48" s="61" t="n">
        <v>6902.15</v>
      </c>
      <c r="BU48" s="62" t="n">
        <v>0</v>
      </c>
      <c r="BV48" s="60"/>
      <c r="BW48" s="65" t="n">
        <v>0</v>
      </c>
      <c r="BX48" s="65" t="n">
        <v>48</v>
      </c>
      <c r="BY48" s="60" t="str">
        <f aca="false">IF(U48&lt;&gt;"",UPPER(TRIM(U48)),IF(CB48=1,UPPER(VLOOKUP(T48,Parameter!$I$27:$K$29,2,0)),IF(P48="","LOSE",P48)))</f>
        <v>LOSE</v>
      </c>
      <c r="BZ48" s="62" t="n">
        <f aca="false">IF(BY48="LOSE",1,IF(N(V48)&gt;0,V48,IF(CB48=1,MAX(1,N(VLOOKUP(T48,Parameter!$I$27:$K$29,3,0)),H48,N(N48)),IF(N(Q48)&gt;0,Q48,MAX(1,H48)))))</f>
        <v>1</v>
      </c>
      <c r="CA48" s="65" t="n">
        <f aca="false">IF(BY48="LOSE",1,0)</f>
        <v>1</v>
      </c>
      <c r="CB48" s="65" t="n">
        <f aca="false">IF(AND(U48="",OR(P48="",P48="LOSE"),T48&lt;&gt;"",N(S48)&lt;=0,ISNUMBER(MATCH(T48,Parameter!$I$27:$I$29,0))),1,0)</f>
        <v>0</v>
      </c>
      <c r="CC48" s="65" t="n">
        <f aca="false">IF(CR48&gt;0,INDEX(Parameter!$H$5:$H$7,W48)/INDEX(Parameter!$E$5:$E$7,W48),IF(AND(CA48=0,N(IFERROR(VLOOKUP(BY48,'Gebinde-Kategorie'!$A$5:$N$45,14,0),0))&gt;0),VLOOKUP(BY48,'Gebinde-Kategorie'!$A$5:$N$45,14,0)*10+Parameter!$M$23,Parameter!$M$24))</f>
        <v>238</v>
      </c>
      <c r="CD48" s="60" t="n">
        <f aca="false">IF(AND(Parameter!$B$19="Ja",E48&lt;&gt;"",ISNUMBER(MATCH(E48,Parameter!$I$35:$I$52,0))),VLOOKUP(E48,Parameter!$I$35:$J$52,2,0),IFERROR(VLOOKUP(D48,Parameter!$A$35:$C$64,2,0),"Nein"))</f>
        <v>1</v>
      </c>
      <c r="CE48" s="64" t="n">
        <f aca="false">IF(CA48=0,0,IF(N(S48)&gt;0,S48,IFERROR(VLOOKUP(D48,Parameter!$A$35:$C$64,3,0)+0,0)))</f>
        <v>1</v>
      </c>
      <c r="CF48" s="60" t="n">
        <f aca="false">IF(AB48&lt;&gt;"",AB48,AA48)</f>
        <v>1</v>
      </c>
      <c r="CG48" s="60" t="str">
        <f aca="false">IF(OR(CF48=1,CF48=2,CF48=3),IF(Parameter!$E$27="Ja","LIFT",IF(CF48=1,"L1","L23")),IF(CF48="Aussen","Aussen","-"))</f>
        <v>LIFT</v>
      </c>
      <c r="CH48" s="71" t="n">
        <f aca="false">IF(N(AC48)&gt;0,AC48,0)</f>
        <v>0</v>
      </c>
      <c r="CI48" s="65" t="n">
        <f aca="false">IF(ISNUMBER(AF48),1,0)</f>
        <v>0</v>
      </c>
      <c r="CJ48" s="62" t="n">
        <f aca="false">N(AF48)</f>
        <v>0</v>
      </c>
      <c r="CK48" s="62" t="n">
        <f aca="false">N(M48)+N(N48)</f>
        <v>2</v>
      </c>
      <c r="CL48" s="62" t="n">
        <f aca="false">N(M48)</f>
        <v>0</v>
      </c>
      <c r="CM48" s="62" t="n">
        <f aca="false">N(N48)</f>
        <v>2</v>
      </c>
      <c r="CN48" s="62" t="n">
        <f aca="false">ROUNDUP(H48/BZ48,0)</f>
        <v>3</v>
      </c>
      <c r="CO48" s="62" t="n">
        <f aca="false">ROUNDUP(CJ48/BZ48,0)</f>
        <v>0</v>
      </c>
      <c r="CP48" s="65" t="n">
        <f aca="false">IF(CA48=1,0,IFERROR(VLOOKUP(BY48,'Gebinde-Kategorie'!$A$5:$N$45,5,0)+0,0))</f>
        <v>0</v>
      </c>
      <c r="CQ48" s="65" t="n">
        <f aca="false">IFERROR(IF(OR(CF48=1,CF48=2,CF48=3),N(INDEX(Parameter!$I$5:$I$7,CF48)),0),0)</f>
        <v>0</v>
      </c>
      <c r="CR48" s="64" t="n">
        <f aca="false">IF(AND(Parameter!$B$21="Ja",ISNUMBER(W48),N(X48)&gt;0),IFERROR(N(INDEX(Parameter!$L$5:$L$7,W48))*INDEX(Parameter!$E$5:$E$7,W48)*X48/SUMIFS($X$7:$X$1843,$W$7:$W$1843,W48),0),0)</f>
        <v>1.28060263653484</v>
      </c>
      <c r="CS48" s="62" t="n">
        <f aca="false">IF(AND(OR(CG48="L1",CG48="L23",CG48="LIFT"),H48&gt;0),CC48*IF(CR48&gt;0,CR48*MAX(1,H48/X48),IF(CA48=1,CE48,IF(R48&gt;0,CN48/R48,0))/MAX(0.1,N(Parameter!$M$21))),"")</f>
        <v>304.783427495292</v>
      </c>
      <c r="CT48" s="64" t="n">
        <f aca="false">IF(CS48="","",J48/H48)</f>
        <v>0</v>
      </c>
      <c r="CU48" s="62" t="n">
        <f aca="false">IF(CS48="","",H48*G48)</f>
        <v>4141.29</v>
      </c>
      <c r="CV48" s="63" t="n">
        <f aca="false">IF(CS48="","",(CL48+ROUNDUP(CL48+MAX(CM48,2*(J48/MAX(0.1,N(Einkauf!$C$6))-CL48)),0))/2)</f>
        <v>1</v>
      </c>
      <c r="CW48" s="62" t="n">
        <f aca="false">IF(CS48="","",MAX(0,H48-CV48)*G48)</f>
        <v>2760.86</v>
      </c>
      <c r="CX48" s="62" t="n">
        <f aca="false">IF(CS48="","",CS48*MAX(0,1-CV48/H48))</f>
        <v>203.188951663528</v>
      </c>
      <c r="CY48" s="64" t="n">
        <f aca="false">IF(CS48="","",PERCENTRANK($CS$7:$CS$1843,CS48)+PERCENTRANK($CU$7:$CU$1843,CU48)+1-PERCENTRANK($CT$7:$CT$1843,CT48))</f>
        <v>2.871</v>
      </c>
      <c r="CZ48" s="72" t="n">
        <f aca="false">IF(CS48="","",CHOOSE(MATCH(Einkauf!$C$5,Parameter!$G$23:$G$27,0),CY48,CS48,CU48,-CT48,CW48)+ROW()/1000000000)</f>
        <v>2.871000048</v>
      </c>
    </row>
    <row r="49" customFormat="false" ht="15" hidden="false" customHeight="false" outlineLevel="0" collapsed="false">
      <c r="A49" s="60" t="s">
        <v>331</v>
      </c>
      <c r="B49" s="60" t="s">
        <v>332</v>
      </c>
      <c r="C49" s="60" t="s">
        <v>206</v>
      </c>
      <c r="D49" s="60" t="s">
        <v>215</v>
      </c>
      <c r="E49" s="60"/>
      <c r="F49" s="60" t="s">
        <v>260</v>
      </c>
      <c r="G49" s="61" t="n">
        <v>196.56</v>
      </c>
      <c r="H49" s="62" t="n">
        <f aca="false">MAX(0,IF(AND(Parameter!$B$21="Ja",ISNUMBER(Y49)),Y49,IF(Parameter!$B$20="Jahresanfang 2025 + Export",BS49+BR49,BR49)))</f>
        <v>66</v>
      </c>
      <c r="I49" s="62" t="n">
        <f aca="false">H49*G49</f>
        <v>12972.96</v>
      </c>
      <c r="J49" s="62" t="n">
        <f aca="false">BU49*Parameter!$B$18</f>
        <v>0</v>
      </c>
      <c r="K49" s="63" t="n">
        <v>33</v>
      </c>
      <c r="L49" s="64" t="n">
        <v>0</v>
      </c>
      <c r="M49" s="62" t="n">
        <v>0</v>
      </c>
      <c r="N49" s="62" t="n">
        <v>1</v>
      </c>
      <c r="O49" s="65" t="n">
        <v>77</v>
      </c>
      <c r="P49" s="60" t="s">
        <v>265</v>
      </c>
      <c r="Q49" s="62" t="n">
        <v>34</v>
      </c>
      <c r="R49" s="65" t="n">
        <f aca="false">IF(CA49=1,0,IFERROR(VLOOKUP(BY49,'Gebinde-Kategorie'!$A$5:$N$45,13,0)+0,0))</f>
        <v>4</v>
      </c>
      <c r="S49" s="66"/>
      <c r="T49" s="67"/>
      <c r="U49" s="67"/>
      <c r="V49" s="67"/>
      <c r="W49" s="60"/>
      <c r="X49" s="62"/>
      <c r="Y49" s="62"/>
      <c r="Z49" s="60" t="n">
        <v>2</v>
      </c>
      <c r="AA49" s="60" t="n">
        <f aca="false">IF(A49="","",IF(AND(Parameter!$B$21="Ja",ISNUMBER(W49)),W49,IF(AND(Parameter!$E$27="Ja",ISNUMBER(Z49),CD49&lt;&gt;"Nein"),Z49,IF(CD49="2+3",IF(ISNUMBER(SEARCH("grosser Artikel",BV49)),2,IFERROR(VLOOKUP(BY49,Parameter!$F$35:$G$64,2,0),2)),IF(OR(CD49="Nein",CD49=""),"-",CD49)))))</f>
        <v>2</v>
      </c>
      <c r="AB49" s="67"/>
      <c r="AC49" s="68"/>
      <c r="AD49" s="62" t="n">
        <f aca="false">AW49</f>
        <v>1</v>
      </c>
      <c r="AE49" s="62" t="n">
        <f aca="false">MAX(AW49,H49)</f>
        <v>66</v>
      </c>
      <c r="AF49" s="69"/>
      <c r="AG49" s="62" t="n">
        <f aca="false">IF(LEFT(Cockpit!$C$5,1)="A",H49,IF(Parameter!$E$30="MAX-Bestand",IF(CI49=1,CJ49,IF(LEFT(Cockpit!$C$5,1)="B",AM49,MAX(AM49,H49))),ROUNDUP(AK49,0)))</f>
        <v>66</v>
      </c>
      <c r="AH49" s="62" t="n">
        <f aca="false">IF(CA49=1,0,ROUNDUP(AG49/BZ49,0))</f>
        <v>2</v>
      </c>
      <c r="AI49" s="64" t="n">
        <f aca="false">IF(CR49&gt;0,CR49*MAX(1,AG49/X49),IF(CA49=1,IF(AG49&lt;=0,0,CE49*MAX(1,IF(H49&gt;0,AG49/H49,1))),IF(R49&gt;0,AH49/R49,0))/MAX(0.1,N(Parameter!$M$21)))</f>
        <v>0.5</v>
      </c>
      <c r="AJ49" s="62" t="n">
        <f aca="false">AI49*CC49</f>
        <v>117.5</v>
      </c>
      <c r="AK49" s="63" t="n">
        <f aca="false">IF(LEFT(Cockpit!$C$5,1)="A",H49,IF(CI49=1,(CL49+CJ49)/2,IF(LEFT(Cockpit!$C$5,1)="B",(CL49+AM49)/2,MAX((CL49+AM49)/2,H49))))</f>
        <v>66</v>
      </c>
      <c r="AL49" s="62" t="n">
        <f aca="false">AK49*G49</f>
        <v>12972.96</v>
      </c>
      <c r="AM49" s="62" t="n">
        <f aca="false">ROUNDUP(CL49+MAX(CM49,2*(J49/IF(CH49&gt;0,CH49,MAX(0.1,N(Cockpit!$C$6)))-CL49)),0)</f>
        <v>1</v>
      </c>
      <c r="AN49" s="63" t="n">
        <f aca="false">IF(AJ49&gt;0,J49/AJ49,-1)</f>
        <v>0</v>
      </c>
      <c r="AO49" s="63" t="n">
        <f aca="false">IF(AND(OR(CG49="L1",CG49="L23",CG49="LIFT"),AJ49&gt;0),SUMIFS($AJ$7:$AJ$1843,$CG$7:$CG$1843,CG49,$AN$7:$AN$1843,"&gt;"&amp;AN49)+SUMIFS($AJ$7:$AJ$1843,$CG$7:$CG$1843,CG49,$AN$7:$AN$1843,AN49,$BX$7:$BX$1843,"&lt;="&amp;BX49),"")</f>
        <v>26305.0752545477</v>
      </c>
      <c r="AP49" s="70" t="n">
        <f aca="false">IF(AO49="",0,MAX(0,MIN(1,(IF(CG49="L1",Parameter!$H$5,IF(CG49="L23",Parameter!$H$6+Parameter!$H$7,Parameter!$H$5+Parameter!$H$6+Parameter!$H$7))-(AO49-AJ49))/AJ49)))</f>
        <v>1</v>
      </c>
      <c r="AQ49" s="62" t="n">
        <f aca="false">IF(LEFT(Cockpit!$I$5,1)="A",H49,IF(Parameter!$E$30="MAX-Bestand",IF(CI49=1,CJ49,IF(LEFT(Cockpit!$I$5,1)="B",AW49,MAX(AW49,H49))),ROUNDUP(AU49,0)))</f>
        <v>66</v>
      </c>
      <c r="AR49" s="62" t="n">
        <f aca="false">IF(CA49=1,0,ROUNDUP(AQ49/BZ49,0))</f>
        <v>2</v>
      </c>
      <c r="AS49" s="64" t="n">
        <f aca="false">IF(CR49&gt;0,CR49*MAX(1,AQ49/X49),IF(CA49=1,IF(AQ49&lt;=0,0,CE49*MAX(1,IF(H49&gt;0,AQ49/H49,1))),IF(R49&gt;0,AR49/R49,0))/MAX(0.1,N(Parameter!$M$21)))</f>
        <v>0.5</v>
      </c>
      <c r="AT49" s="62" t="n">
        <f aca="false">AS49*CC49</f>
        <v>117.5</v>
      </c>
      <c r="AU49" s="63" t="n">
        <f aca="false">IF(LEFT(Cockpit!$I$5,1)="A",H49,IF(CI49=1,(CL49+CJ49)/2,IF(LEFT(Cockpit!$I$5,1)="B",(CL49+AW49)/2,MAX((CL49+AW49)/2,H49))))</f>
        <v>66</v>
      </c>
      <c r="AV49" s="62" t="n">
        <f aca="false">AU49*G49</f>
        <v>12972.96</v>
      </c>
      <c r="AW49" s="62" t="n">
        <f aca="false">ROUNDUP(CL49+MAX(CM49,2*(J49/IF(CH49&gt;0,CH49,MAX(0.1,N(Cockpit!$I$6)))-CL49)),0)</f>
        <v>1</v>
      </c>
      <c r="AX49" s="63" t="n">
        <f aca="false">IF(AT49&gt;0,J49/AT49,-1)</f>
        <v>0</v>
      </c>
      <c r="AY49" s="63" t="n">
        <f aca="false">IF(AND(OR(CG49="L1",CG49="L23",CG49="LIFT"),AT49&gt;0),SUMIFS($AT$7:$AT$1843,$CG$7:$CG$1843,CG49,$AX$7:$AX$1843,"&gt;"&amp;AX49)+SUMIFS($AT$7:$AT$1843,$CG$7:$CG$1843,CG49,$AX$7:$AX$1843,AX49,$BX$7:$BX$1843,"&lt;="&amp;BX49),"")</f>
        <v>31658.2238959252</v>
      </c>
      <c r="AZ49" s="70" t="n">
        <f aca="false">IF(AY49="",0,MAX(0,MIN(1,(IF(CG49="L1",Parameter!$H$5,IF(CG49="L23",Parameter!$H$6+Parameter!$H$7,Parameter!$H$5+Parameter!$H$6+Parameter!$H$7))-(AY49-AT49))/AT49)))</f>
        <v>1</v>
      </c>
      <c r="BA49" s="62" t="n">
        <f aca="false">IF(LEFT(Cockpit!$O$5,1)="A",H49,IF(Parameter!$E$30="MAX-Bestand",IF(CI49=1,CJ49,IF(LEFT(Cockpit!$O$5,1)="B",BG49,MAX(BG49,H49))),ROUNDUP(BE49,0)))</f>
        <v>1</v>
      </c>
      <c r="BB49" s="62" t="n">
        <f aca="false">IF(CA49=1,0,ROUNDUP(BA49/BZ49,0))</f>
        <v>1</v>
      </c>
      <c r="BC49" s="64" t="n">
        <f aca="false">IF(CR49&gt;0,CR49*MAX(1,BA49/X49),IF(CA49=1,IF(BA49&lt;=0,0,CE49*MAX(1,IF(H49&gt;0,BA49/H49,1))),IF(R49&gt;0,BB49/R49,0))/MAX(0.1,N(Parameter!$M$21)))</f>
        <v>0.25</v>
      </c>
      <c r="BD49" s="62" t="n">
        <f aca="false">BC49*CC49</f>
        <v>58.75</v>
      </c>
      <c r="BE49" s="63" t="n">
        <f aca="false">IF(LEFT(Cockpit!$O$5,1)="A",H49,IF(CI49=1,(CL49+CJ49)/2,IF(LEFT(Cockpit!$O$5,1)="B",(CL49+BG49)/2,MAX((CL49+BG49)/2,H49))))</f>
        <v>0.5</v>
      </c>
      <c r="BF49" s="62" t="n">
        <f aca="false">BE49*G49</f>
        <v>98.28</v>
      </c>
      <c r="BG49" s="62" t="n">
        <f aca="false">ROUNDUP(CL49+MAX(CM49,2*(J49/IF(CH49&gt;0,CH49,MAX(0.1,N(Cockpit!$O$6)))-CL49)),0)</f>
        <v>1</v>
      </c>
      <c r="BH49" s="63" t="n">
        <f aca="false">IF(BD49&gt;0,J49/BD49,-1)</f>
        <v>0</v>
      </c>
      <c r="BI49" s="63" t="n">
        <f aca="false">IF(AND(OR(CG49="L1",CG49="L23",CG49="LIFT"),BD49&gt;0),SUMIFS($BD$7:$BD$1843,$CG$7:$CG$1843,CG49,$BH$7:$BH$1843,"&gt;"&amp;BH49)+SUMIFS($BD$7:$BD$1843,$CG$7:$CG$1843,CG49,$BH$7:$BH$1843,BH49,$BX$7:$BX$1843,"&lt;="&amp;BX49),"")</f>
        <v>25854.8057392231</v>
      </c>
      <c r="BJ49" s="70" t="n">
        <f aca="false">IF(BI49="",0,MAX(0,MIN(1,(IF(CG49="L1",Parameter!$H$5,IF(CG49="L23",Parameter!$H$6+Parameter!$H$7,Parameter!$H$5+Parameter!$H$6+Parameter!$H$7))-(BI49-BD49))/BD49)))</f>
        <v>1</v>
      </c>
      <c r="BK49" s="60" t="str">
        <f aca="false">IF(AJ49&lt;=0,"",IF(CG49="Aussen","Aussenlager",IF(CG49="-","Nicht im Lift",IF(AP49&gt;=1,"Lift",IF(AP49&lt;=0,"Aussenlager","teilweise")))))</f>
        <v>Lift</v>
      </c>
      <c r="BL49" s="60" t="str">
        <f aca="false">IF(AT49&lt;=0,"",IF(CG49="Aussen","Aussenlager",IF(CG49="-","Nicht im Lift",IF(AZ49&gt;=1,"Lift",IF(AZ49&lt;=0,"Aussenlager","teilweise")))))</f>
        <v>Lift</v>
      </c>
      <c r="BM49" s="60" t="str">
        <f aca="false">IF(BD49&lt;=0,"",IF(CG49="Aussen","Aussenlager",IF(CG49="-","Nicht im Lift",IF(BJ49&gt;=1,"Lift",IF(BJ49&lt;=0,"Aussenlager","teilweise")))))</f>
        <v>Lift</v>
      </c>
      <c r="BN49" s="60" t="str">
        <f aca="false">IF(A49="","",IF(BW49=1,"Neu; ","")&amp;IF(AND(BW49=0,BR49&lt;0),"negativer Bestand (Export "&amp;BR49&amp;"); ","")&amp;IF(J49&lt;=0,"Kein Verbrauch; ","")&amp;IF(CR49&gt;0,"Lift "&amp;W49&amp;" lt. Liftbericht (Fach "&amp;X49&amp;" Stk); ",IF(CB49=1,"Gebinde geschätzt ("&amp;T49&amp;"); ",IF(CA49=1,"Lose – Tablare geschätzt; ","")))&amp;IF(H49&gt;AW49,"Überbestand "&amp;ROUND(H49-AW49,0)&amp;" Stk / CHF "&amp;ROUND((H49-AW49)*G49,0)&amp;"; ","")&amp;IF(AND(CI49=1,CJ49&lt;CK49),"MAX &lt; MB+LG; ","")&amp;IF(AND(CQ49&gt;0,CP49*10&gt;CQ49),"zu hoch für Tablar; ","")&amp;IF(AND(BW49=0,OR(CI49=1,AB49&lt;&gt;"",U49&lt;&gt;"",V49&lt;&gt;"",AC49&lt;&gt;"")),"manuell übersteuert; ","")&amp;IF(AND(CA49=0,R49=0),"Gebinde unbekannt / Stellmass fehlt; ","")&amp;IF(AND(CA49=0,N(V49)&lt;=0,N(Q49)&lt;=0),"Menge pro Gebinde fehlt (Ist = 1 Gebinde); ","")&amp;BV49)</f>
        <v>Kein Verbrauch; Überbestand 65 Stk / CHF 12776; </v>
      </c>
      <c r="BO49" s="60"/>
      <c r="BP49" s="60"/>
      <c r="BQ49" s="67"/>
      <c r="BR49" s="62" t="n">
        <v>34</v>
      </c>
      <c r="BS49" s="62" t="n">
        <v>32</v>
      </c>
      <c r="BT49" s="61" t="n">
        <v>6683.04</v>
      </c>
      <c r="BU49" s="62" t="n">
        <v>0</v>
      </c>
      <c r="BV49" s="60"/>
      <c r="BW49" s="65" t="n">
        <v>0</v>
      </c>
      <c r="BX49" s="65" t="n">
        <v>49</v>
      </c>
      <c r="BY49" s="60" t="str">
        <f aca="false">IF(U49&lt;&gt;"",UPPER(TRIM(U49)),IF(CB49=1,UPPER(VLOOKUP(T49,Parameter!$I$27:$K$29,2,0)),IF(P49="","LOSE",P49)))</f>
        <v>S81</v>
      </c>
      <c r="BZ49" s="62" t="n">
        <f aca="false">IF(BY49="LOSE",1,IF(N(V49)&gt;0,V49,IF(CB49=1,MAX(1,N(VLOOKUP(T49,Parameter!$I$27:$K$29,3,0)),H49,N(N49)),IF(N(Q49)&gt;0,Q49,MAX(1,H49)))))</f>
        <v>34</v>
      </c>
      <c r="CA49" s="65" t="n">
        <f aca="false">IF(BY49="LOSE",1,0)</f>
        <v>0</v>
      </c>
      <c r="CB49" s="65" t="n">
        <f aca="false">IF(AND(U49="",OR(P49="",P49="LOSE"),T49&lt;&gt;"",N(S49)&lt;=0,ISNUMBER(MATCH(T49,Parameter!$I$27:$I$29,0))),1,0)</f>
        <v>0</v>
      </c>
      <c r="CC49" s="65" t="n">
        <f aca="false">IF(CR49&gt;0,INDEX(Parameter!$H$5:$H$7,W49)/INDEX(Parameter!$E$5:$E$7,W49),IF(AND(CA49=0,N(IFERROR(VLOOKUP(BY49,'Gebinde-Kategorie'!$A$5:$N$45,14,0),0))&gt;0),VLOOKUP(BY49,'Gebinde-Kategorie'!$A$5:$N$45,14,0)*10+Parameter!$M$23,Parameter!$M$24))</f>
        <v>235</v>
      </c>
      <c r="CD49" s="60" t="str">
        <f aca="false">IF(AND(Parameter!$B$19="Ja",E49&lt;&gt;"",ISNUMBER(MATCH(E49,Parameter!$I$35:$I$52,0))),VLOOKUP(E49,Parameter!$I$35:$J$52,2,0),IFERROR(VLOOKUP(D49,Parameter!$A$35:$C$64,2,0),"Nein"))</f>
        <v>2+3</v>
      </c>
      <c r="CE49" s="64" t="n">
        <f aca="false">IF(CA49=0,0,IF(N(S49)&gt;0,S49,IFERROR(VLOOKUP(D49,Parameter!$A$35:$C$64,3,0)+0,0)))</f>
        <v>0</v>
      </c>
      <c r="CF49" s="60" t="n">
        <f aca="false">IF(AB49&lt;&gt;"",AB49,AA49)</f>
        <v>2</v>
      </c>
      <c r="CG49" s="60" t="str">
        <f aca="false">IF(OR(CF49=1,CF49=2,CF49=3),IF(Parameter!$E$27="Ja","LIFT",IF(CF49=1,"L1","L23")),IF(CF49="Aussen","Aussen","-"))</f>
        <v>LIFT</v>
      </c>
      <c r="CH49" s="71" t="n">
        <f aca="false">IF(N(AC49)&gt;0,AC49,0)</f>
        <v>0</v>
      </c>
      <c r="CI49" s="65" t="n">
        <f aca="false">IF(ISNUMBER(AF49),1,0)</f>
        <v>0</v>
      </c>
      <c r="CJ49" s="62" t="n">
        <f aca="false">N(AF49)</f>
        <v>0</v>
      </c>
      <c r="CK49" s="62" t="n">
        <f aca="false">N(M49)+N(N49)</f>
        <v>1</v>
      </c>
      <c r="CL49" s="62" t="n">
        <f aca="false">N(M49)</f>
        <v>0</v>
      </c>
      <c r="CM49" s="62" t="n">
        <f aca="false">N(N49)</f>
        <v>1</v>
      </c>
      <c r="CN49" s="62" t="n">
        <f aca="false">ROUNDUP(H49/BZ49,0)</f>
        <v>2</v>
      </c>
      <c r="CO49" s="62" t="n">
        <f aca="false">ROUNDUP(CJ49/BZ49,0)</f>
        <v>0</v>
      </c>
      <c r="CP49" s="65" t="n">
        <f aca="false">IF(CA49=1,0,IFERROR(VLOOKUP(BY49,'Gebinde-Kategorie'!$A$5:$N$45,5,0)+0,0))</f>
        <v>20</v>
      </c>
      <c r="CQ49" s="65" t="n">
        <f aca="false">IFERROR(IF(OR(CF49=1,CF49=2,CF49=3),N(INDEX(Parameter!$I$5:$I$7,CF49)),0),0)</f>
        <v>0</v>
      </c>
      <c r="CR49" s="64" t="n">
        <f aca="false">IF(AND(Parameter!$B$21="Ja",ISNUMBER(W49),N(X49)&gt;0),IFERROR(N(INDEX(Parameter!$L$5:$L$7,W49))*INDEX(Parameter!$E$5:$E$7,W49)*X49/SUMIFS($X$7:$X$1843,$W$7:$W$1843,W49),0),0)</f>
        <v>0</v>
      </c>
      <c r="CS49" s="62" t="n">
        <f aca="false">IF(AND(OR(CG49="L1",CG49="L23",CG49="LIFT"),H49&gt;0),CC49*IF(CR49&gt;0,CR49*MAX(1,H49/X49),IF(CA49=1,CE49,IF(R49&gt;0,CN49/R49,0))/MAX(0.1,N(Parameter!$M$21))),"")</f>
        <v>117.5</v>
      </c>
      <c r="CT49" s="64" t="n">
        <f aca="false">IF(CS49="","",J49/H49)</f>
        <v>0</v>
      </c>
      <c r="CU49" s="62" t="n">
        <f aca="false">IF(CS49="","",H49*G49)</f>
        <v>12972.96</v>
      </c>
      <c r="CV49" s="63" t="n">
        <f aca="false">IF(CS49="","",(CL49+ROUNDUP(CL49+MAX(CM49,2*(J49/MAX(0.1,N(Einkauf!$C$6))-CL49)),0))/2)</f>
        <v>0.5</v>
      </c>
      <c r="CW49" s="62" t="n">
        <f aca="false">IF(CS49="","",MAX(0,H49-CV49)*G49)</f>
        <v>12874.68</v>
      </c>
      <c r="CX49" s="62" t="n">
        <f aca="false">IF(CS49="","",CS49*MAX(0,1-CV49/H49))</f>
        <v>116.609848484848</v>
      </c>
      <c r="CY49" s="64" t="n">
        <f aca="false">IF(CS49="","",PERCENTRANK($CS$7:$CS$1843,CS49)+PERCENTRANK($CU$7:$CU$1843,CU49)+1-PERCENTRANK($CT$7:$CT$1843,CT49))</f>
        <v>2.928</v>
      </c>
      <c r="CZ49" s="72" t="n">
        <f aca="false">IF(CS49="","",CHOOSE(MATCH(Einkauf!$C$5,Parameter!$G$23:$G$27,0),CY49,CS49,CU49,-CT49,CW49)+ROW()/1000000000)</f>
        <v>2.928000049</v>
      </c>
    </row>
    <row r="50" customFormat="false" ht="15" hidden="false" customHeight="false" outlineLevel="0" collapsed="false">
      <c r="A50" s="60" t="s">
        <v>333</v>
      </c>
      <c r="B50" s="60" t="s">
        <v>334</v>
      </c>
      <c r="C50" s="60" t="s">
        <v>206</v>
      </c>
      <c r="D50" s="60" t="s">
        <v>226</v>
      </c>
      <c r="E50" s="60" t="s">
        <v>227</v>
      </c>
      <c r="F50" s="60" t="s">
        <v>260</v>
      </c>
      <c r="G50" s="61" t="n">
        <v>177.93</v>
      </c>
      <c r="H50" s="62" t="n">
        <f aca="false">MAX(0,IF(AND(Parameter!$B$21="Ja",ISNUMBER(Y50)),Y50,IF(Parameter!$B$20="Jahresanfang 2025 + Export",BS50+BR50,BR50)))</f>
        <v>55</v>
      </c>
      <c r="I50" s="62" t="n">
        <f aca="false">H50*G50</f>
        <v>9786.15</v>
      </c>
      <c r="J50" s="62" t="n">
        <f aca="false">BU50*Parameter!$B$18</f>
        <v>125</v>
      </c>
      <c r="K50" s="63" t="n">
        <v>31</v>
      </c>
      <c r="L50" s="64" t="n">
        <v>4.03225806451613</v>
      </c>
      <c r="M50" s="62" t="n">
        <v>20</v>
      </c>
      <c r="N50" s="62" t="n">
        <v>40</v>
      </c>
      <c r="O50" s="65" t="n">
        <v>30</v>
      </c>
      <c r="P50" s="60" t="s">
        <v>335</v>
      </c>
      <c r="Q50" s="62" t="n">
        <v>80</v>
      </c>
      <c r="R50" s="65" t="n">
        <f aca="false">IF(CA50=1,0,IFERROR(VLOOKUP(BY50,'Gebinde-Kategorie'!$A$5:$N$45,13,0)+0,0))</f>
        <v>12</v>
      </c>
      <c r="S50" s="66"/>
      <c r="T50" s="67"/>
      <c r="U50" s="67"/>
      <c r="V50" s="67"/>
      <c r="W50" s="60"/>
      <c r="X50" s="62"/>
      <c r="Y50" s="62"/>
      <c r="Z50" s="60" t="n">
        <v>3</v>
      </c>
      <c r="AA50" s="60" t="n">
        <f aca="false">IF(A50="","",IF(AND(Parameter!$B$21="Ja",ISNUMBER(W50)),W50,IF(AND(Parameter!$E$27="Ja",ISNUMBER(Z50),CD50&lt;&gt;"Nein"),Z50,IF(CD50="2+3",IF(ISNUMBER(SEARCH("grosser Artikel",BV50)),2,IFERROR(VLOOKUP(BY50,Parameter!$F$35:$G$64,2,0),2)),IF(OR(CD50="Nein",CD50=""),"-",CD50)))))</f>
        <v>3</v>
      </c>
      <c r="AB50" s="67"/>
      <c r="AC50" s="68"/>
      <c r="AD50" s="62" t="n">
        <f aca="false">AW50</f>
        <v>64</v>
      </c>
      <c r="AE50" s="62" t="n">
        <f aca="false">MAX(AW50,H50)</f>
        <v>64</v>
      </c>
      <c r="AF50" s="69"/>
      <c r="AG50" s="62" t="n">
        <f aca="false">IF(LEFT(Cockpit!$C$5,1)="A",H50,IF(Parameter!$E$30="MAX-Bestand",IF(CI50=1,CJ50,IF(LEFT(Cockpit!$C$5,1)="B",AM50,MAX(AM50,H50))),ROUNDUP(AK50,0)))</f>
        <v>55</v>
      </c>
      <c r="AH50" s="62" t="n">
        <f aca="false">IF(CA50=1,0,ROUNDUP(AG50/BZ50,0))</f>
        <v>1</v>
      </c>
      <c r="AI50" s="64" t="n">
        <f aca="false">IF(CR50&gt;0,CR50*MAX(1,AG50/X50),IF(CA50=1,IF(AG50&lt;=0,0,CE50*MAX(1,IF(H50&gt;0,AG50/H50,1))),IF(R50&gt;0,AH50/R50,0))/MAX(0.1,N(Parameter!$M$21)))</f>
        <v>0.0833333333333333</v>
      </c>
      <c r="AJ50" s="62" t="n">
        <f aca="false">AI50*CC50</f>
        <v>20.4166666666667</v>
      </c>
      <c r="AK50" s="63" t="n">
        <f aca="false">IF(LEFT(Cockpit!$C$5,1)="A",H50,IF(CI50=1,(CL50+CJ50)/2,IF(LEFT(Cockpit!$C$5,1)="B",(CL50+AM50)/2,MAX((CL50+AM50)/2,H50))))</f>
        <v>55</v>
      </c>
      <c r="AL50" s="62" t="n">
        <f aca="false">AK50*G50</f>
        <v>9786.15</v>
      </c>
      <c r="AM50" s="62" t="n">
        <f aca="false">ROUNDUP(CL50+MAX(CM50,2*(J50/IF(CH50&gt;0,CH50,MAX(0.1,N(Cockpit!$C$6)))-CL50)),0)</f>
        <v>64</v>
      </c>
      <c r="AN50" s="63" t="n">
        <f aca="false">IF(AJ50&gt;0,J50/AJ50,-1)</f>
        <v>6.12244897959184</v>
      </c>
      <c r="AO50" s="63" t="n">
        <f aca="false">IF(AND(OR(CG50="L1",CG50="L23",CG50="LIFT"),AJ50&gt;0),SUMIFS($AJ$7:$AJ$1843,$CG$7:$CG$1843,CG50,$AN$7:$AN$1843,"&gt;"&amp;AN50)+SUMIFS($AJ$7:$AJ$1843,$CG$7:$CG$1843,CG50,$AN$7:$AN$1843,AN50,$BX$7:$BX$1843,"&lt;="&amp;BX50),"")</f>
        <v>3510.50686813187</v>
      </c>
      <c r="AP50" s="70" t="n">
        <f aca="false">IF(AO50="",0,MAX(0,MIN(1,(IF(CG50="L1",Parameter!$H$5,IF(CG50="L23",Parameter!$H$6+Parameter!$H$7,Parameter!$H$5+Parameter!$H$6+Parameter!$H$7))-(AO50-AJ50))/AJ50)))</f>
        <v>1</v>
      </c>
      <c r="AQ50" s="62" t="n">
        <f aca="false">IF(LEFT(Cockpit!$I$5,1)="A",H50,IF(Parameter!$E$30="MAX-Bestand",IF(CI50=1,CJ50,IF(LEFT(Cockpit!$I$5,1)="B",AW50,MAX(AW50,H50))),ROUNDUP(AU50,0)))</f>
        <v>55</v>
      </c>
      <c r="AR50" s="62" t="n">
        <f aca="false">IF(CA50=1,0,ROUNDUP(AQ50/BZ50,0))</f>
        <v>1</v>
      </c>
      <c r="AS50" s="64" t="n">
        <f aca="false">IF(CR50&gt;0,CR50*MAX(1,AQ50/X50),IF(CA50=1,IF(AQ50&lt;=0,0,CE50*MAX(1,IF(H50&gt;0,AQ50/H50,1))),IF(R50&gt;0,AR50/R50,0))/MAX(0.1,N(Parameter!$M$21)))</f>
        <v>0.0833333333333333</v>
      </c>
      <c r="AT50" s="62" t="n">
        <f aca="false">AS50*CC50</f>
        <v>20.4166666666667</v>
      </c>
      <c r="AU50" s="63" t="n">
        <f aca="false">IF(LEFT(Cockpit!$I$5,1)="A",H50,IF(CI50=1,(CL50+CJ50)/2,IF(LEFT(Cockpit!$I$5,1)="B",(CL50+AW50)/2,MAX((CL50+AW50)/2,H50))))</f>
        <v>55</v>
      </c>
      <c r="AV50" s="62" t="n">
        <f aca="false">AU50*G50</f>
        <v>9786.15</v>
      </c>
      <c r="AW50" s="62" t="n">
        <f aca="false">ROUNDUP(CL50+MAX(CM50,2*(J50/IF(CH50&gt;0,CH50,MAX(0.1,N(Cockpit!$I$6)))-CL50)),0)</f>
        <v>64</v>
      </c>
      <c r="AX50" s="63" t="n">
        <f aca="false">IF(AT50&gt;0,J50/AT50,-1)</f>
        <v>6.12244897959184</v>
      </c>
      <c r="AY50" s="63" t="n">
        <f aca="false">IF(AND(OR(CG50="L1",CG50="L23",CG50="LIFT"),AT50&gt;0),SUMIFS($AT$7:$AT$1843,$CG$7:$CG$1843,CG50,$AX$7:$AX$1843,"&gt;"&amp;AX50)+SUMIFS($AT$7:$AT$1843,$CG$7:$CG$1843,CG50,$AX$7:$AX$1843,AX50,$BX$7:$BX$1843,"&lt;="&amp;BX50),"")</f>
        <v>4176.17078754579</v>
      </c>
      <c r="AZ50" s="70" t="n">
        <f aca="false">IF(AY50="",0,MAX(0,MIN(1,(IF(CG50="L1",Parameter!$H$5,IF(CG50="L23",Parameter!$H$6+Parameter!$H$7,Parameter!$H$5+Parameter!$H$6+Parameter!$H$7))-(AY50-AT50))/AT50)))</f>
        <v>1</v>
      </c>
      <c r="BA50" s="62" t="n">
        <f aca="false">IF(LEFT(Cockpit!$O$5,1)="A",H50,IF(Parameter!$E$30="MAX-Bestand",IF(CI50=1,CJ50,IF(LEFT(Cockpit!$O$5,1)="B",BG50,MAX(BG50,H50))),ROUNDUP(BE50,0)))</f>
        <v>40</v>
      </c>
      <c r="BB50" s="62" t="n">
        <f aca="false">IF(CA50=1,0,ROUNDUP(BA50/BZ50,0))</f>
        <v>1</v>
      </c>
      <c r="BC50" s="64" t="n">
        <f aca="false">IF(CR50&gt;0,CR50*MAX(1,BA50/X50),IF(CA50=1,IF(BA50&lt;=0,0,CE50*MAX(1,IF(H50&gt;0,BA50/H50,1))),IF(R50&gt;0,BB50/R50,0))/MAX(0.1,N(Parameter!$M$21)))</f>
        <v>0.0833333333333333</v>
      </c>
      <c r="BD50" s="62" t="n">
        <f aca="false">BC50*CC50</f>
        <v>20.4166666666667</v>
      </c>
      <c r="BE50" s="63" t="n">
        <f aca="false">IF(LEFT(Cockpit!$O$5,1)="A",H50,IF(CI50=1,(CL50+CJ50)/2,IF(LEFT(Cockpit!$O$5,1)="B",(CL50+BG50)/2,MAX((CL50+BG50)/2,H50))))</f>
        <v>40</v>
      </c>
      <c r="BF50" s="62" t="n">
        <f aca="false">BE50*G50</f>
        <v>7117.2</v>
      </c>
      <c r="BG50" s="62" t="n">
        <f aca="false">ROUNDUP(CL50+MAX(CM50,2*(J50/IF(CH50&gt;0,CH50,MAX(0.1,N(Cockpit!$O$6)))-CL50)),0)</f>
        <v>60</v>
      </c>
      <c r="BH50" s="63" t="n">
        <f aca="false">IF(BD50&gt;0,J50/BD50,-1)</f>
        <v>6.12244897959184</v>
      </c>
      <c r="BI50" s="63" t="n">
        <f aca="false">IF(AND(OR(CG50="L1",CG50="L23",CG50="LIFT"),BD50&gt;0),SUMIFS($BD$7:$BD$1843,$CG$7:$CG$1843,CG50,$BH$7:$BH$1843,"&gt;"&amp;BH50)+SUMIFS($BD$7:$BD$1843,$CG$7:$CG$1843,CG50,$BH$7:$BH$1843,BH50,$BX$7:$BX$1843,"&lt;="&amp;BX50),"")</f>
        <v>3461.17353479853</v>
      </c>
      <c r="BJ50" s="70" t="n">
        <f aca="false">IF(BI50="",0,MAX(0,MIN(1,(IF(CG50="L1",Parameter!$H$5,IF(CG50="L23",Parameter!$H$6+Parameter!$H$7,Parameter!$H$5+Parameter!$H$6+Parameter!$H$7))-(BI50-BD50))/BD50)))</f>
        <v>1</v>
      </c>
      <c r="BK50" s="60" t="str">
        <f aca="false">IF(AJ50&lt;=0,"",IF(CG50="Aussen","Aussenlager",IF(CG50="-","Nicht im Lift",IF(AP50&gt;=1,"Lift",IF(AP50&lt;=0,"Aussenlager","teilweise")))))</f>
        <v>Lift</v>
      </c>
      <c r="BL50" s="60" t="str">
        <f aca="false">IF(AT50&lt;=0,"",IF(CG50="Aussen","Aussenlager",IF(CG50="-","Nicht im Lift",IF(AZ50&gt;=1,"Lift",IF(AZ50&lt;=0,"Aussenlager","teilweise")))))</f>
        <v>Lift</v>
      </c>
      <c r="BM50" s="60" t="str">
        <f aca="false">IF(BD50&lt;=0,"",IF(CG50="Aussen","Aussenlager",IF(CG50="-","Nicht im Lift",IF(BJ50&gt;=1,"Lift",IF(BJ50&lt;=0,"Aussenlager","teilweise")))))</f>
        <v>Lift</v>
      </c>
      <c r="BN50" s="60" t="str">
        <f aca="false">IF(A50="","",IF(BW50=1,"Neu; ","")&amp;IF(AND(BW50=0,BR50&lt;0),"negativer Bestand (Export "&amp;BR50&amp;"); ","")&amp;IF(J50&lt;=0,"Kein Verbrauch; ","")&amp;IF(CR50&gt;0,"Lift "&amp;W50&amp;" lt. Liftbericht (Fach "&amp;X50&amp;" Stk); ",IF(CB50=1,"Gebinde geschätzt ("&amp;T50&amp;"); ",IF(CA50=1,"Lose – Tablare geschätzt; ","")))&amp;IF(H50&gt;AW50,"Überbestand "&amp;ROUND(H50-AW50,0)&amp;" Stk / CHF "&amp;ROUND((H50-AW50)*G50,0)&amp;"; ","")&amp;IF(AND(CI50=1,CJ50&lt;CK50),"MAX &lt; MB+LG; ","")&amp;IF(AND(CQ50&gt;0,CP50*10&gt;CQ50),"zu hoch für Tablar; ","")&amp;IF(AND(BW50=0,OR(CI50=1,AB50&lt;&gt;"",U50&lt;&gt;"",V50&lt;&gt;"",AC50&lt;&gt;"")),"manuell übersteuert; ","")&amp;IF(AND(CA50=0,R50=0),"Gebinde unbekannt / Stellmass fehlt; ","")&amp;IF(AND(CA50=0,N(V50)&lt;=0,N(Q50)&lt;=0),"Menge pro Gebinde fehlt (Ist = 1 Gebinde); ","")&amp;BV50)</f>
        <v/>
      </c>
      <c r="BO50" s="60"/>
      <c r="BP50" s="60"/>
      <c r="BQ50" s="67"/>
      <c r="BR50" s="62" t="n">
        <v>36</v>
      </c>
      <c r="BS50" s="62" t="n">
        <v>19</v>
      </c>
      <c r="BT50" s="61" t="n">
        <v>6622.65</v>
      </c>
      <c r="BU50" s="62" t="n">
        <v>125</v>
      </c>
      <c r="BV50" s="60"/>
      <c r="BW50" s="65" t="n">
        <v>0</v>
      </c>
      <c r="BX50" s="65" t="n">
        <v>50</v>
      </c>
      <c r="BY50" s="60" t="str">
        <f aca="false">IF(U50&lt;&gt;"",UPPER(TRIM(U50)),IF(CB50=1,UPPER(VLOOKUP(T50,Parameter!$I$27:$K$29,2,0)),IF(P50="","LOSE",P50)))</f>
        <v>S62</v>
      </c>
      <c r="BZ50" s="62" t="n">
        <f aca="false">IF(BY50="LOSE",1,IF(N(V50)&gt;0,V50,IF(CB50=1,MAX(1,N(VLOOKUP(T50,Parameter!$I$27:$K$29,3,0)),H50,N(N50)),IF(N(Q50)&gt;0,Q50,MAX(1,H50)))))</f>
        <v>80</v>
      </c>
      <c r="CA50" s="65" t="n">
        <f aca="false">IF(BY50="LOSE",1,0)</f>
        <v>0</v>
      </c>
      <c r="CB50" s="65" t="n">
        <f aca="false">IF(AND(U50="",OR(P50="",P50="LOSE"),T50&lt;&gt;"",N(S50)&lt;=0,ISNUMBER(MATCH(T50,Parameter!$I$27:$I$29,0))),1,0)</f>
        <v>0</v>
      </c>
      <c r="CC50" s="65" t="n">
        <f aca="false">IF(CR50&gt;0,INDEX(Parameter!$H$5:$H$7,W50)/INDEX(Parameter!$E$5:$E$7,W50),IF(AND(CA50=0,N(IFERROR(VLOOKUP(BY50,'Gebinde-Kategorie'!$A$5:$N$45,14,0),0))&gt;0),VLOOKUP(BY50,'Gebinde-Kategorie'!$A$5:$N$45,14,0)*10+Parameter!$M$23,Parameter!$M$24))</f>
        <v>245</v>
      </c>
      <c r="CD50" s="60" t="str">
        <f aca="false">IF(AND(Parameter!$B$19="Ja",E50&lt;&gt;"",ISNUMBER(MATCH(E50,Parameter!$I$35:$I$52,0))),VLOOKUP(E50,Parameter!$I$35:$J$52,2,0),IFERROR(VLOOKUP(D50,Parameter!$A$35:$C$64,2,0),"Nein"))</f>
        <v>2+3</v>
      </c>
      <c r="CE50" s="64" t="n">
        <f aca="false">IF(CA50=0,0,IF(N(S50)&gt;0,S50,IFERROR(VLOOKUP(D50,Parameter!$A$35:$C$64,3,0)+0,0)))</f>
        <v>0</v>
      </c>
      <c r="CF50" s="60" t="n">
        <f aca="false">IF(AB50&lt;&gt;"",AB50,AA50)</f>
        <v>3</v>
      </c>
      <c r="CG50" s="60" t="str">
        <f aca="false">IF(OR(CF50=1,CF50=2,CF50=3),IF(Parameter!$E$27="Ja","LIFT",IF(CF50=1,"L1","L23")),IF(CF50="Aussen","Aussen","-"))</f>
        <v>LIFT</v>
      </c>
      <c r="CH50" s="71" t="n">
        <f aca="false">IF(N(AC50)&gt;0,AC50,0)</f>
        <v>0</v>
      </c>
      <c r="CI50" s="65" t="n">
        <f aca="false">IF(ISNUMBER(AF50),1,0)</f>
        <v>0</v>
      </c>
      <c r="CJ50" s="62" t="n">
        <f aca="false">N(AF50)</f>
        <v>0</v>
      </c>
      <c r="CK50" s="62" t="n">
        <f aca="false">N(M50)+N(N50)</f>
        <v>60</v>
      </c>
      <c r="CL50" s="62" t="n">
        <f aca="false">N(M50)</f>
        <v>20</v>
      </c>
      <c r="CM50" s="62" t="n">
        <f aca="false">N(N50)</f>
        <v>40</v>
      </c>
      <c r="CN50" s="62" t="n">
        <f aca="false">ROUNDUP(H50/BZ50,0)</f>
        <v>1</v>
      </c>
      <c r="CO50" s="62" t="n">
        <f aca="false">ROUNDUP(CJ50/BZ50,0)</f>
        <v>0</v>
      </c>
      <c r="CP50" s="65" t="n">
        <f aca="false">IF(CA50=1,0,IFERROR(VLOOKUP(BY50,'Gebinde-Kategorie'!$A$5:$N$45,5,0)+0,0))</f>
        <v>21</v>
      </c>
      <c r="CQ50" s="65" t="n">
        <f aca="false">IFERROR(IF(OR(CF50=1,CF50=2,CF50=3),N(INDEX(Parameter!$I$5:$I$7,CF50)),0),0)</f>
        <v>0</v>
      </c>
      <c r="CR50" s="64" t="n">
        <f aca="false">IF(AND(Parameter!$B$21="Ja",ISNUMBER(W50),N(X50)&gt;0),IFERROR(N(INDEX(Parameter!$L$5:$L$7,W50))*INDEX(Parameter!$E$5:$E$7,W50)*X50/SUMIFS($X$7:$X$1843,$W$7:$W$1843,W50),0),0)</f>
        <v>0</v>
      </c>
      <c r="CS50" s="62" t="n">
        <f aca="false">IF(AND(OR(CG50="L1",CG50="L23",CG50="LIFT"),H50&gt;0),CC50*IF(CR50&gt;0,CR50*MAX(1,H50/X50),IF(CA50=1,CE50,IF(R50&gt;0,CN50/R50,0))/MAX(0.1,N(Parameter!$M$21))),"")</f>
        <v>20.4166666666667</v>
      </c>
      <c r="CT50" s="64" t="n">
        <f aca="false">IF(CS50="","",J50/H50)</f>
        <v>2.27272727272727</v>
      </c>
      <c r="CU50" s="62" t="n">
        <f aca="false">IF(CS50="","",H50*G50)</f>
        <v>9786.15</v>
      </c>
      <c r="CV50" s="63" t="n">
        <f aca="false">IF(CS50="","",(CL50+ROUNDUP(CL50+MAX(CM50,2*(J50/MAX(0.1,N(Einkauf!$C$6))-CL50)),0))/2)</f>
        <v>40</v>
      </c>
      <c r="CW50" s="62" t="n">
        <f aca="false">IF(CS50="","",MAX(0,H50-CV50)*G50)</f>
        <v>2668.95</v>
      </c>
      <c r="CX50" s="62" t="n">
        <f aca="false">IF(CS50="","",CS50*MAX(0,1-CV50/H50))</f>
        <v>5.56818181818182</v>
      </c>
      <c r="CY50" s="64" t="n">
        <f aca="false">IF(CS50="","",PERCENTRANK($CS$7:$CS$1843,CS50)+PERCENTRANK($CU$7:$CU$1843,CU50)+1-PERCENTRANK($CT$7:$CT$1843,CT50))</f>
        <v>1.9</v>
      </c>
      <c r="CZ50" s="72" t="n">
        <f aca="false">IF(CS50="","",CHOOSE(MATCH(Einkauf!$C$5,Parameter!$G$23:$G$27,0),CY50,CS50,CU50,-CT50,CW50)+ROW()/1000000000)</f>
        <v>1.90000005</v>
      </c>
    </row>
    <row r="51" customFormat="false" ht="15" hidden="false" customHeight="false" outlineLevel="0" collapsed="false">
      <c r="A51" s="60" t="s">
        <v>336</v>
      </c>
      <c r="B51" s="60" t="s">
        <v>337</v>
      </c>
      <c r="C51" s="60" t="s">
        <v>206</v>
      </c>
      <c r="D51" s="60" t="s">
        <v>226</v>
      </c>
      <c r="E51" s="60" t="s">
        <v>227</v>
      </c>
      <c r="F51" s="60" t="s">
        <v>260</v>
      </c>
      <c r="G51" s="61" t="n">
        <v>16.16</v>
      </c>
      <c r="H51" s="62" t="n">
        <f aca="false">MAX(0,IF(AND(Parameter!$B$21="Ja",ISNUMBER(Y51)),Y51,IF(Parameter!$B$20="Jahresanfang 2025 + Export",BS51+BR51,BR51)))</f>
        <v>444</v>
      </c>
      <c r="I51" s="62" t="n">
        <f aca="false">H51*G51</f>
        <v>7175.04</v>
      </c>
      <c r="J51" s="62" t="n">
        <f aca="false">BU51*Parameter!$B$18</f>
        <v>714</v>
      </c>
      <c r="K51" s="63" t="n">
        <v>155.5</v>
      </c>
      <c r="L51" s="64" t="n">
        <v>4.59163987138264</v>
      </c>
      <c r="M51" s="62" t="n">
        <v>110</v>
      </c>
      <c r="N51" s="62" t="n">
        <v>330</v>
      </c>
      <c r="O51" s="65" t="n">
        <v>56</v>
      </c>
      <c r="P51" s="60" t="s">
        <v>275</v>
      </c>
      <c r="Q51" s="62" t="n">
        <v>174</v>
      </c>
      <c r="R51" s="65" t="n">
        <f aca="false">IF(CA51=1,0,IFERROR(VLOOKUP(BY51,'Gebinde-Kategorie'!$A$5:$N$45,13,0)+0,0))</f>
        <v>26</v>
      </c>
      <c r="S51" s="66"/>
      <c r="T51" s="67"/>
      <c r="U51" s="67"/>
      <c r="V51" s="67"/>
      <c r="W51" s="60"/>
      <c r="X51" s="62"/>
      <c r="Y51" s="62"/>
      <c r="Z51" s="60" t="n">
        <v>3</v>
      </c>
      <c r="AA51" s="60" t="n">
        <f aca="false">IF(A51="","",IF(AND(Parameter!$B$21="Ja",ISNUMBER(W51)),W51,IF(AND(Parameter!$E$27="Ja",ISNUMBER(Z51),CD51&lt;&gt;"Nein"),Z51,IF(CD51="2+3",IF(ISNUMBER(SEARCH("grosser Artikel",BV51)),2,IFERROR(VLOOKUP(BY51,Parameter!$F$35:$G$64,2,0),2)),IF(OR(CD51="Nein",CD51=""),"-",CD51)))))</f>
        <v>3</v>
      </c>
      <c r="AB51" s="67"/>
      <c r="AC51" s="68"/>
      <c r="AD51" s="62" t="n">
        <f aca="false">AW51</f>
        <v>440</v>
      </c>
      <c r="AE51" s="62" t="n">
        <f aca="false">MAX(AW51,H51)</f>
        <v>444</v>
      </c>
      <c r="AF51" s="69"/>
      <c r="AG51" s="62" t="n">
        <f aca="false">IF(LEFT(Cockpit!$C$5,1)="A",H51,IF(Parameter!$E$30="MAX-Bestand",IF(CI51=1,CJ51,IF(LEFT(Cockpit!$C$5,1)="B",AM51,MAX(AM51,H51))),ROUNDUP(AK51,0)))</f>
        <v>444</v>
      </c>
      <c r="AH51" s="62" t="n">
        <f aca="false">IF(CA51=1,0,ROUNDUP(AG51/BZ51,0))</f>
        <v>3</v>
      </c>
      <c r="AI51" s="64" t="n">
        <f aca="false">IF(CR51&gt;0,CR51*MAX(1,AG51/X51),IF(CA51=1,IF(AG51&lt;=0,0,CE51*MAX(1,IF(H51&gt;0,AG51/H51,1))),IF(R51&gt;0,AH51/R51,0))/MAX(0.1,N(Parameter!$M$21)))</f>
        <v>0.115384615384615</v>
      </c>
      <c r="AJ51" s="62" t="n">
        <f aca="false">AI51*CC51</f>
        <v>28.2692307692308</v>
      </c>
      <c r="AK51" s="63" t="n">
        <f aca="false">IF(LEFT(Cockpit!$C$5,1)="A",H51,IF(CI51=1,(CL51+CJ51)/2,IF(LEFT(Cockpit!$C$5,1)="B",(CL51+AM51)/2,MAX((CL51+AM51)/2,H51))))</f>
        <v>444</v>
      </c>
      <c r="AL51" s="62" t="n">
        <f aca="false">AK51*G51</f>
        <v>7175.04</v>
      </c>
      <c r="AM51" s="62" t="n">
        <f aca="false">ROUNDUP(CL51+MAX(CM51,2*(J51/IF(CH51&gt;0,CH51,MAX(0.1,N(Cockpit!$C$6)))-CL51)),0)</f>
        <v>440</v>
      </c>
      <c r="AN51" s="63" t="n">
        <f aca="false">IF(AJ51&gt;0,J51/AJ51,-1)</f>
        <v>25.2571428571429</v>
      </c>
      <c r="AO51" s="63" t="n">
        <f aca="false">IF(AND(OR(CG51="L1",CG51="L23",CG51="LIFT"),AJ51&gt;0),SUMIFS($AJ$7:$AJ$1843,$CG$7:$CG$1843,CG51,$AN$7:$AN$1843,"&gt;"&amp;AN51)+SUMIFS($AJ$7:$AJ$1843,$CG$7:$CG$1843,CG51,$AN$7:$AN$1843,AN51,$BX$7:$BX$1843,"&lt;="&amp;BX51),"")</f>
        <v>1539.30586080586</v>
      </c>
      <c r="AP51" s="70" t="n">
        <f aca="false">IF(AO51="",0,MAX(0,MIN(1,(IF(CG51="L1",Parameter!$H$5,IF(CG51="L23",Parameter!$H$6+Parameter!$H$7,Parameter!$H$5+Parameter!$H$6+Parameter!$H$7))-(AO51-AJ51))/AJ51)))</f>
        <v>1</v>
      </c>
      <c r="AQ51" s="62" t="n">
        <f aca="false">IF(LEFT(Cockpit!$I$5,1)="A",H51,IF(Parameter!$E$30="MAX-Bestand",IF(CI51=1,CJ51,IF(LEFT(Cockpit!$I$5,1)="B",AW51,MAX(AW51,H51))),ROUNDUP(AU51,0)))</f>
        <v>444</v>
      </c>
      <c r="AR51" s="62" t="n">
        <f aca="false">IF(CA51=1,0,ROUNDUP(AQ51/BZ51,0))</f>
        <v>3</v>
      </c>
      <c r="AS51" s="64" t="n">
        <f aca="false">IF(CR51&gt;0,CR51*MAX(1,AQ51/X51),IF(CA51=1,IF(AQ51&lt;=0,0,CE51*MAX(1,IF(H51&gt;0,AQ51/H51,1))),IF(R51&gt;0,AR51/R51,0))/MAX(0.1,N(Parameter!$M$21)))</f>
        <v>0.115384615384615</v>
      </c>
      <c r="AT51" s="62" t="n">
        <f aca="false">AS51*CC51</f>
        <v>28.2692307692308</v>
      </c>
      <c r="AU51" s="63" t="n">
        <f aca="false">IF(LEFT(Cockpit!$I$5,1)="A",H51,IF(CI51=1,(CL51+CJ51)/2,IF(LEFT(Cockpit!$I$5,1)="B",(CL51+AW51)/2,MAX((CL51+AW51)/2,H51))))</f>
        <v>444</v>
      </c>
      <c r="AV51" s="62" t="n">
        <f aca="false">AU51*G51</f>
        <v>7175.04</v>
      </c>
      <c r="AW51" s="62" t="n">
        <f aca="false">ROUNDUP(CL51+MAX(CM51,2*(J51/IF(CH51&gt;0,CH51,MAX(0.1,N(Cockpit!$I$6)))-CL51)),0)</f>
        <v>440</v>
      </c>
      <c r="AX51" s="63" t="n">
        <f aca="false">IF(AT51&gt;0,J51/AT51,-1)</f>
        <v>25.2571428571429</v>
      </c>
      <c r="AY51" s="63" t="n">
        <f aca="false">IF(AND(OR(CG51="L1",CG51="L23",CG51="LIFT"),AT51&gt;0),SUMIFS($AT$7:$AT$1843,$CG$7:$CG$1843,CG51,$AX$7:$AX$1843,"&gt;"&amp;AX51)+SUMIFS($AT$7:$AT$1843,$CG$7:$CG$1843,CG51,$AX$7:$AX$1843,AX51,$BX$7:$BX$1843,"&lt;="&amp;BX51),"")</f>
        <v>2165.14468864469</v>
      </c>
      <c r="AZ51" s="70" t="n">
        <f aca="false">IF(AY51="",0,MAX(0,MIN(1,(IF(CG51="L1",Parameter!$H$5,IF(CG51="L23",Parameter!$H$6+Parameter!$H$7,Parameter!$H$5+Parameter!$H$6+Parameter!$H$7))-(AY51-AT51))/AT51)))</f>
        <v>1</v>
      </c>
      <c r="BA51" s="62" t="n">
        <f aca="false">IF(LEFT(Cockpit!$O$5,1)="A",H51,IF(Parameter!$E$30="MAX-Bestand",IF(CI51=1,CJ51,IF(LEFT(Cockpit!$O$5,1)="B",BG51,MAX(BG51,H51))),ROUNDUP(BE51,0)))</f>
        <v>275</v>
      </c>
      <c r="BB51" s="62" t="n">
        <f aca="false">IF(CA51=1,0,ROUNDUP(BA51/BZ51,0))</f>
        <v>2</v>
      </c>
      <c r="BC51" s="64" t="n">
        <f aca="false">IF(CR51&gt;0,CR51*MAX(1,BA51/X51),IF(CA51=1,IF(BA51&lt;=0,0,CE51*MAX(1,IF(H51&gt;0,BA51/H51,1))),IF(R51&gt;0,BB51/R51,0))/MAX(0.1,N(Parameter!$M$21)))</f>
        <v>0.0769230769230769</v>
      </c>
      <c r="BD51" s="62" t="n">
        <f aca="false">BC51*CC51</f>
        <v>18.8461538461538</v>
      </c>
      <c r="BE51" s="63" t="n">
        <f aca="false">IF(LEFT(Cockpit!$O$5,1)="A",H51,IF(CI51=1,(CL51+CJ51)/2,IF(LEFT(Cockpit!$O$5,1)="B",(CL51+BG51)/2,MAX((CL51+BG51)/2,H51))))</f>
        <v>275</v>
      </c>
      <c r="BF51" s="62" t="n">
        <f aca="false">BE51*G51</f>
        <v>4444</v>
      </c>
      <c r="BG51" s="62" t="n">
        <f aca="false">ROUNDUP(CL51+MAX(CM51,2*(J51/IF(CH51&gt;0,CH51,MAX(0.1,N(Cockpit!$O$6)))-CL51)),0)</f>
        <v>440</v>
      </c>
      <c r="BH51" s="63" t="n">
        <f aca="false">IF(BD51&gt;0,J51/BD51,-1)</f>
        <v>37.8857142857143</v>
      </c>
      <c r="BI51" s="63" t="n">
        <f aca="false">IF(AND(OR(CG51="L1",CG51="L23",CG51="LIFT"),BD51&gt;0),SUMIFS($BD$7:$BD$1843,$CG$7:$CG$1843,CG51,$BH$7:$BH$1843,"&gt;"&amp;BH51)+SUMIFS($BD$7:$BD$1843,$CG$7:$CG$1843,CG51,$BH$7:$BH$1843,BH51,$BX$7:$BX$1843,"&lt;="&amp;BX51),"")</f>
        <v>1492.50045787546</v>
      </c>
      <c r="BJ51" s="70" t="n">
        <f aca="false">IF(BI51="",0,MAX(0,MIN(1,(IF(CG51="L1",Parameter!$H$5,IF(CG51="L23",Parameter!$H$6+Parameter!$H$7,Parameter!$H$5+Parameter!$H$6+Parameter!$H$7))-(BI51-BD51))/BD51)))</f>
        <v>1</v>
      </c>
      <c r="BK51" s="60" t="str">
        <f aca="false">IF(AJ51&lt;=0,"",IF(CG51="Aussen","Aussenlager",IF(CG51="-","Nicht im Lift",IF(AP51&gt;=1,"Lift",IF(AP51&lt;=0,"Aussenlager","teilweise")))))</f>
        <v>Lift</v>
      </c>
      <c r="BL51" s="60" t="str">
        <f aca="false">IF(AT51&lt;=0,"",IF(CG51="Aussen","Aussenlager",IF(CG51="-","Nicht im Lift",IF(AZ51&gt;=1,"Lift",IF(AZ51&lt;=0,"Aussenlager","teilweise")))))</f>
        <v>Lift</v>
      </c>
      <c r="BM51" s="60" t="str">
        <f aca="false">IF(BD51&lt;=0,"",IF(CG51="Aussen","Aussenlager",IF(CG51="-","Nicht im Lift",IF(BJ51&gt;=1,"Lift",IF(BJ51&lt;=0,"Aussenlager","teilweise")))))</f>
        <v>Lift</v>
      </c>
      <c r="BN51" s="60" t="str">
        <f aca="false">IF(A51="","",IF(BW51=1,"Neu; ","")&amp;IF(AND(BW51=0,BR51&lt;0),"negativer Bestand (Export "&amp;BR51&amp;"); ","")&amp;IF(J51&lt;=0,"Kein Verbrauch; ","")&amp;IF(CR51&gt;0,"Lift "&amp;W51&amp;" lt. Liftbericht (Fach "&amp;X51&amp;" Stk); ",IF(CB51=1,"Gebinde geschätzt ("&amp;T51&amp;"); ",IF(CA51=1,"Lose – Tablare geschätzt; ","")))&amp;IF(H51&gt;AW51,"Überbestand "&amp;ROUND(H51-AW51,0)&amp;" Stk / CHF "&amp;ROUND((H51-AW51)*G51,0)&amp;"; ","")&amp;IF(AND(CI51=1,CJ51&lt;CK51),"MAX &lt; MB+LG; ","")&amp;IF(AND(CQ51&gt;0,CP51*10&gt;CQ51),"zu hoch für Tablar; ","")&amp;IF(AND(BW51=0,OR(CI51=1,AB51&lt;&gt;"",U51&lt;&gt;"",V51&lt;&gt;"",AC51&lt;&gt;"")),"manuell übersteuert; ","")&amp;IF(AND(CA51=0,R51=0),"Gebinde unbekannt / Stellmass fehlt; ","")&amp;IF(AND(CA51=0,N(V51)&lt;=0,N(Q51)&lt;=0),"Menge pro Gebinde fehlt (Ist = 1 Gebinde); ","")&amp;BV51)</f>
        <v>Überbestand 4 Stk / CHF 65; </v>
      </c>
      <c r="BO51" s="60"/>
      <c r="BP51" s="60"/>
      <c r="BQ51" s="67"/>
      <c r="BR51" s="62" t="n">
        <v>399</v>
      </c>
      <c r="BS51" s="62" t="n">
        <v>45</v>
      </c>
      <c r="BT51" s="61" t="n">
        <v>6570.69</v>
      </c>
      <c r="BU51" s="62" t="n">
        <v>714</v>
      </c>
      <c r="BV51" s="60"/>
      <c r="BW51" s="65" t="n">
        <v>0</v>
      </c>
      <c r="BX51" s="65" t="n">
        <v>51</v>
      </c>
      <c r="BY51" s="60" t="str">
        <f aca="false">IF(U51&lt;&gt;"",UPPER(TRIM(U51)),IF(CB51=1,UPPER(VLOOKUP(T51,Parameter!$I$27:$K$29,2,0)),IF(P51="","LOSE",P51)))</f>
        <v>S52</v>
      </c>
      <c r="BZ51" s="62" t="n">
        <f aca="false">IF(BY51="LOSE",1,IF(N(V51)&gt;0,V51,IF(CB51=1,MAX(1,N(VLOOKUP(T51,Parameter!$I$27:$K$29,3,0)),H51,N(N51)),IF(N(Q51)&gt;0,Q51,MAX(1,H51)))))</f>
        <v>174</v>
      </c>
      <c r="CA51" s="65" t="n">
        <f aca="false">IF(BY51="LOSE",1,0)</f>
        <v>0</v>
      </c>
      <c r="CB51" s="65" t="n">
        <f aca="false">IF(AND(U51="",OR(P51="",P51="LOSE"),T51&lt;&gt;"",N(S51)&lt;=0,ISNUMBER(MATCH(T51,Parameter!$I$27:$I$29,0))),1,0)</f>
        <v>0</v>
      </c>
      <c r="CC51" s="65" t="n">
        <f aca="false">IF(CR51&gt;0,INDEX(Parameter!$H$5:$H$7,W51)/INDEX(Parameter!$E$5:$E$7,W51),IF(AND(CA51=0,N(IFERROR(VLOOKUP(BY51,'Gebinde-Kategorie'!$A$5:$N$45,14,0),0))&gt;0),VLOOKUP(BY51,'Gebinde-Kategorie'!$A$5:$N$45,14,0)*10+Parameter!$M$23,Parameter!$M$24))</f>
        <v>245</v>
      </c>
      <c r="CD51" s="60" t="str">
        <f aca="false">IF(AND(Parameter!$B$19="Ja",E51&lt;&gt;"",ISNUMBER(MATCH(E51,Parameter!$I$35:$I$52,0))),VLOOKUP(E51,Parameter!$I$35:$J$52,2,0),IFERROR(VLOOKUP(D51,Parameter!$A$35:$C$64,2,0),"Nein"))</f>
        <v>2+3</v>
      </c>
      <c r="CE51" s="64" t="n">
        <f aca="false">IF(CA51=0,0,IF(N(S51)&gt;0,S51,IFERROR(VLOOKUP(D51,Parameter!$A$35:$C$64,3,0)+0,0)))</f>
        <v>0</v>
      </c>
      <c r="CF51" s="60" t="n">
        <f aca="false">IF(AB51&lt;&gt;"",AB51,AA51)</f>
        <v>3</v>
      </c>
      <c r="CG51" s="60" t="str">
        <f aca="false">IF(OR(CF51=1,CF51=2,CF51=3),IF(Parameter!$E$27="Ja","LIFT",IF(CF51=1,"L1","L23")),IF(CF51="Aussen","Aussen","-"))</f>
        <v>LIFT</v>
      </c>
      <c r="CH51" s="71" t="n">
        <f aca="false">IF(N(AC51)&gt;0,AC51,0)</f>
        <v>0</v>
      </c>
      <c r="CI51" s="65" t="n">
        <f aca="false">IF(ISNUMBER(AF51),1,0)</f>
        <v>0</v>
      </c>
      <c r="CJ51" s="62" t="n">
        <f aca="false">N(AF51)</f>
        <v>0</v>
      </c>
      <c r="CK51" s="62" t="n">
        <f aca="false">N(M51)+N(N51)</f>
        <v>440</v>
      </c>
      <c r="CL51" s="62" t="n">
        <f aca="false">N(M51)</f>
        <v>110</v>
      </c>
      <c r="CM51" s="62" t="n">
        <f aca="false">N(N51)</f>
        <v>330</v>
      </c>
      <c r="CN51" s="62" t="n">
        <f aca="false">ROUNDUP(H51/BZ51,0)</f>
        <v>3</v>
      </c>
      <c r="CO51" s="62" t="n">
        <f aca="false">ROUNDUP(CJ51/BZ51,0)</f>
        <v>0</v>
      </c>
      <c r="CP51" s="65" t="n">
        <f aca="false">IF(CA51=1,0,IFERROR(VLOOKUP(BY51,'Gebinde-Kategorie'!$A$5:$N$45,5,0)+0,0))</f>
        <v>21</v>
      </c>
      <c r="CQ51" s="65" t="n">
        <f aca="false">IFERROR(IF(OR(CF51=1,CF51=2,CF51=3),N(INDEX(Parameter!$I$5:$I$7,CF51)),0),0)</f>
        <v>0</v>
      </c>
      <c r="CR51" s="64" t="n">
        <f aca="false">IF(AND(Parameter!$B$21="Ja",ISNUMBER(W51),N(X51)&gt;0),IFERROR(N(INDEX(Parameter!$L$5:$L$7,W51))*INDEX(Parameter!$E$5:$E$7,W51)*X51/SUMIFS($X$7:$X$1843,$W$7:$W$1843,W51),0),0)</f>
        <v>0</v>
      </c>
      <c r="CS51" s="62" t="n">
        <f aca="false">IF(AND(OR(CG51="L1",CG51="L23",CG51="LIFT"),H51&gt;0),CC51*IF(CR51&gt;0,CR51*MAX(1,H51/X51),IF(CA51=1,CE51,IF(R51&gt;0,CN51/R51,0))/MAX(0.1,N(Parameter!$M$21))),"")</f>
        <v>28.2692307692308</v>
      </c>
      <c r="CT51" s="64" t="n">
        <f aca="false">IF(CS51="","",J51/H51)</f>
        <v>1.60810810810811</v>
      </c>
      <c r="CU51" s="62" t="n">
        <f aca="false">IF(CS51="","",H51*G51)</f>
        <v>7175.04</v>
      </c>
      <c r="CV51" s="63" t="n">
        <f aca="false">IF(CS51="","",(CL51+ROUNDUP(CL51+MAX(CM51,2*(J51/MAX(0.1,N(Einkauf!$C$6))-CL51)),0))/2)</f>
        <v>275</v>
      </c>
      <c r="CW51" s="62" t="n">
        <f aca="false">IF(CS51="","",MAX(0,H51-CV51)*G51)</f>
        <v>2731.04</v>
      </c>
      <c r="CX51" s="62" t="n">
        <f aca="false">IF(CS51="","",CS51*MAX(0,1-CV51/H51))</f>
        <v>10.7601351351351</v>
      </c>
      <c r="CY51" s="64" t="n">
        <f aca="false">IF(CS51="","",PERCENTRANK($CS$7:$CS$1843,CS51)+PERCENTRANK($CU$7:$CU$1843,CU51)+1-PERCENTRANK($CT$7:$CT$1843,CT51))</f>
        <v>1.975</v>
      </c>
      <c r="CZ51" s="72" t="n">
        <f aca="false">IF(CS51="","",CHOOSE(MATCH(Einkauf!$C$5,Parameter!$G$23:$G$27,0),CY51,CS51,CU51,-CT51,CW51)+ROW()/1000000000)</f>
        <v>1.975000051</v>
      </c>
    </row>
    <row r="52" customFormat="false" ht="15" hidden="false" customHeight="false" outlineLevel="0" collapsed="false">
      <c r="A52" s="60" t="s">
        <v>338</v>
      </c>
      <c r="B52" s="60" t="s">
        <v>339</v>
      </c>
      <c r="C52" s="60" t="s">
        <v>206</v>
      </c>
      <c r="D52" s="60" t="s">
        <v>207</v>
      </c>
      <c r="E52" s="60" t="s">
        <v>208</v>
      </c>
      <c r="F52" s="60" t="s">
        <v>260</v>
      </c>
      <c r="G52" s="61" t="n">
        <v>197.24</v>
      </c>
      <c r="H52" s="62" t="n">
        <f aca="false">MAX(0,IF(AND(Parameter!$B$21="Ja",ISNUMBER(Y52)),Y52,IF(Parameter!$B$20="Jahresanfang 2025 + Export",BS52+BR52,BR52)))</f>
        <v>34</v>
      </c>
      <c r="I52" s="62" t="n">
        <f aca="false">H52*G52</f>
        <v>6706.16</v>
      </c>
      <c r="J52" s="62" t="n">
        <f aca="false">BU52*Parameter!$B$18</f>
        <v>48</v>
      </c>
      <c r="K52" s="63" t="n">
        <v>10.5</v>
      </c>
      <c r="L52" s="64" t="n">
        <v>4.57142857142857</v>
      </c>
      <c r="M52" s="62" t="n">
        <v>10</v>
      </c>
      <c r="N52" s="62" t="n">
        <v>12</v>
      </c>
      <c r="O52" s="65" t="n">
        <v>70</v>
      </c>
      <c r="P52" s="60" t="s">
        <v>210</v>
      </c>
      <c r="Q52" s="62"/>
      <c r="R52" s="65" t="n">
        <f aca="false">IF(CA52=1,0,IFERROR(VLOOKUP(BY52,'Gebinde-Kategorie'!$A$5:$N$45,13,0)+0,0))</f>
        <v>0</v>
      </c>
      <c r="S52" s="66"/>
      <c r="T52" s="67"/>
      <c r="U52" s="67"/>
      <c r="V52" s="67"/>
      <c r="W52" s="60" t="n">
        <v>1</v>
      </c>
      <c r="X52" s="62" t="n">
        <v>36</v>
      </c>
      <c r="Y52" s="62" t="n">
        <v>34</v>
      </c>
      <c r="Z52" s="60" t="n">
        <v>1</v>
      </c>
      <c r="AA52" s="60" t="n">
        <f aca="false">IF(A52="","",IF(AND(Parameter!$B$21="Ja",ISNUMBER(W52)),W52,IF(AND(Parameter!$E$27="Ja",ISNUMBER(Z52),CD52&lt;&gt;"Nein"),Z52,IF(CD52="2+3",IF(ISNUMBER(SEARCH("grosser Artikel",BV52)),2,IFERROR(VLOOKUP(BY52,Parameter!$F$35:$G$64,2,0),2)),IF(OR(CD52="Nein",CD52=""),"-",CD52)))))</f>
        <v>1</v>
      </c>
      <c r="AB52" s="67"/>
      <c r="AC52" s="68"/>
      <c r="AD52" s="62" t="n">
        <f aca="false">AW52</f>
        <v>22</v>
      </c>
      <c r="AE52" s="62" t="n">
        <f aca="false">MAX(AW52,H52)</f>
        <v>34</v>
      </c>
      <c r="AF52" s="69"/>
      <c r="AG52" s="62" t="n">
        <f aca="false">IF(LEFT(Cockpit!$C$5,1)="A",H52,IF(Parameter!$E$30="MAX-Bestand",IF(CI52=1,CJ52,IF(LEFT(Cockpit!$C$5,1)="B",AM52,MAX(AM52,H52))),ROUNDUP(AK52,0)))</f>
        <v>34</v>
      </c>
      <c r="AH52" s="62" t="n">
        <f aca="false">IF(CA52=1,0,ROUNDUP(AG52/BZ52,0))</f>
        <v>0</v>
      </c>
      <c r="AI52" s="64" t="n">
        <f aca="false">IF(CR52&gt;0,CR52*MAX(1,AG52/X52),IF(CA52=1,IF(AG52&lt;=0,0,CE52*MAX(1,IF(H52&gt;0,AG52/H52,1))),IF(R52&gt;0,AH52/R52,0))/MAX(0.1,N(Parameter!$M$21)))</f>
        <v>2.88135593220339</v>
      </c>
      <c r="AJ52" s="62" t="n">
        <f aca="false">AI52*CC52</f>
        <v>685.762711864407</v>
      </c>
      <c r="AK52" s="63" t="n">
        <f aca="false">IF(LEFT(Cockpit!$C$5,1)="A",H52,IF(CI52=1,(CL52+CJ52)/2,IF(LEFT(Cockpit!$C$5,1)="B",(CL52+AM52)/2,MAX((CL52+AM52)/2,H52))))</f>
        <v>34</v>
      </c>
      <c r="AL52" s="62" t="n">
        <f aca="false">AK52*G52</f>
        <v>6706.16</v>
      </c>
      <c r="AM52" s="62" t="n">
        <f aca="false">ROUNDUP(CL52+MAX(CM52,2*(J52/IF(CH52&gt;0,CH52,MAX(0.1,N(Cockpit!$C$6)))-CL52)),0)</f>
        <v>22</v>
      </c>
      <c r="AN52" s="63" t="n">
        <f aca="false">IF(AJ52&gt;0,J52/AJ52,-1)</f>
        <v>0.0699950568462679</v>
      </c>
      <c r="AO52" s="63" t="n">
        <f aca="false">IF(AND(OR(CG52="L1",CG52="L23",CG52="LIFT"),AJ52&gt;0),SUMIFS($AJ$7:$AJ$1843,$CG$7:$CG$1843,CG52,$AN$7:$AN$1843,"&gt;"&amp;AN52)+SUMIFS($AJ$7:$AJ$1843,$CG$7:$CG$1843,CG52,$AN$7:$AN$1843,AN52,$BX$7:$BX$1843,"&lt;="&amp;BX52),"")</f>
        <v>18160.5306569607</v>
      </c>
      <c r="AP52" s="70" t="n">
        <f aca="false">IF(AO52="",0,MAX(0,MIN(1,(IF(CG52="L1",Parameter!$H$5,IF(CG52="L23",Parameter!$H$6+Parameter!$H$7,Parameter!$H$5+Parameter!$H$6+Parameter!$H$7))-(AO52-AJ52))/AJ52)))</f>
        <v>1</v>
      </c>
      <c r="AQ52" s="62" t="n">
        <f aca="false">IF(LEFT(Cockpit!$I$5,1)="A",H52,IF(Parameter!$E$30="MAX-Bestand",IF(CI52=1,CJ52,IF(LEFT(Cockpit!$I$5,1)="B",AW52,MAX(AW52,H52))),ROUNDUP(AU52,0)))</f>
        <v>34</v>
      </c>
      <c r="AR52" s="62" t="n">
        <f aca="false">IF(CA52=1,0,ROUNDUP(AQ52/BZ52,0))</f>
        <v>0</v>
      </c>
      <c r="AS52" s="64" t="n">
        <f aca="false">IF(CR52&gt;0,CR52*MAX(1,AQ52/X52),IF(CA52=1,IF(AQ52&lt;=0,0,CE52*MAX(1,IF(H52&gt;0,AQ52/H52,1))),IF(R52&gt;0,AR52/R52,0))/MAX(0.1,N(Parameter!$M$21)))</f>
        <v>2.88135593220339</v>
      </c>
      <c r="AT52" s="62" t="n">
        <f aca="false">AS52*CC52</f>
        <v>685.762711864407</v>
      </c>
      <c r="AU52" s="63" t="n">
        <f aca="false">IF(LEFT(Cockpit!$I$5,1)="A",H52,IF(CI52=1,(CL52+CJ52)/2,IF(LEFT(Cockpit!$I$5,1)="B",(CL52+AW52)/2,MAX((CL52+AW52)/2,H52))))</f>
        <v>34</v>
      </c>
      <c r="AV52" s="62" t="n">
        <f aca="false">AU52*G52</f>
        <v>6706.16</v>
      </c>
      <c r="AW52" s="62" t="n">
        <f aca="false">ROUNDUP(CL52+MAX(CM52,2*(J52/IF(CH52&gt;0,CH52,MAX(0.1,N(Cockpit!$I$6)))-CL52)),0)</f>
        <v>22</v>
      </c>
      <c r="AX52" s="63" t="n">
        <f aca="false">IF(AT52&gt;0,J52/AT52,-1)</f>
        <v>0.0699950568462679</v>
      </c>
      <c r="AY52" s="63" t="n">
        <f aca="false">IF(AND(OR(CG52="L1",CG52="L23",CG52="LIFT"),AT52&gt;0),SUMIFS($AT$7:$AT$1843,$CG$7:$CG$1843,CG52,$AX$7:$AX$1843,"&gt;"&amp;AX52)+SUMIFS($AT$7:$AT$1843,$CG$7:$CG$1843,CG52,$AX$7:$AX$1843,AX52,$BX$7:$BX$1843,"&lt;="&amp;BX52),"")</f>
        <v>23219.9292983382</v>
      </c>
      <c r="AZ52" s="70" t="n">
        <f aca="false">IF(AY52="",0,MAX(0,MIN(1,(IF(CG52="L1",Parameter!$H$5,IF(CG52="L23",Parameter!$H$6+Parameter!$H$7,Parameter!$H$5+Parameter!$H$6+Parameter!$H$7))-(AY52-AT52))/AT52)))</f>
        <v>1</v>
      </c>
      <c r="BA52" s="62" t="n">
        <f aca="false">IF(LEFT(Cockpit!$O$5,1)="A",H52,IF(Parameter!$E$30="MAX-Bestand",IF(CI52=1,CJ52,IF(LEFT(Cockpit!$O$5,1)="B",BG52,MAX(BG52,H52))),ROUNDUP(BE52,0)))</f>
        <v>16</v>
      </c>
      <c r="BB52" s="62" t="n">
        <f aca="false">IF(CA52=1,0,ROUNDUP(BA52/BZ52,0))</f>
        <v>0</v>
      </c>
      <c r="BC52" s="64" t="n">
        <f aca="false">IF(CR52&gt;0,CR52*MAX(1,BA52/X52),IF(CA52=1,IF(BA52&lt;=0,0,CE52*MAX(1,IF(H52&gt;0,BA52/H52,1))),IF(R52&gt;0,BB52/R52,0))/MAX(0.1,N(Parameter!$M$21)))</f>
        <v>2.88135593220339</v>
      </c>
      <c r="BD52" s="62" t="n">
        <f aca="false">BC52*CC52</f>
        <v>685.762711864407</v>
      </c>
      <c r="BE52" s="63" t="n">
        <f aca="false">IF(LEFT(Cockpit!$O$5,1)="A",H52,IF(CI52=1,(CL52+CJ52)/2,IF(LEFT(Cockpit!$O$5,1)="B",(CL52+BG52)/2,MAX((CL52+BG52)/2,H52))))</f>
        <v>16</v>
      </c>
      <c r="BF52" s="62" t="n">
        <f aca="false">BE52*G52</f>
        <v>3155.84</v>
      </c>
      <c r="BG52" s="62" t="n">
        <f aca="false">ROUNDUP(CL52+MAX(CM52,2*(J52/IF(CH52&gt;0,CH52,MAX(0.1,N(Cockpit!$O$6)))-CL52)),0)</f>
        <v>22</v>
      </c>
      <c r="BH52" s="63" t="n">
        <f aca="false">IF(BD52&gt;0,J52/BD52,-1)</f>
        <v>0.0699950568462679</v>
      </c>
      <c r="BI52" s="63" t="n">
        <f aca="false">IF(AND(OR(CG52="L1",CG52="L23",CG52="LIFT"),BD52&gt;0),SUMIFS($BD$7:$BD$1843,$CG$7:$CG$1843,CG52,$BH$7:$BH$1843,"&gt;"&amp;BH52)+SUMIFS($BD$7:$BD$1843,$CG$7:$CG$1843,CG52,$BH$7:$BH$1843,BH52,$BX$7:$BX$1843,"&lt;="&amp;BX52),"")</f>
        <v>19575.9021672772</v>
      </c>
      <c r="BJ52" s="70" t="n">
        <f aca="false">IF(BI52="",0,MAX(0,MIN(1,(IF(CG52="L1",Parameter!$H$5,IF(CG52="L23",Parameter!$H$6+Parameter!$H$7,Parameter!$H$5+Parameter!$H$6+Parameter!$H$7))-(BI52-BD52))/BD52)))</f>
        <v>1</v>
      </c>
      <c r="BK52" s="60" t="str">
        <f aca="false">IF(AJ52&lt;=0,"",IF(CG52="Aussen","Aussenlager",IF(CG52="-","Nicht im Lift",IF(AP52&gt;=1,"Lift",IF(AP52&lt;=0,"Aussenlager","teilweise")))))</f>
        <v>Lift</v>
      </c>
      <c r="BL52" s="60" t="str">
        <f aca="false">IF(AT52&lt;=0,"",IF(CG52="Aussen","Aussenlager",IF(CG52="-","Nicht im Lift",IF(AZ52&gt;=1,"Lift",IF(AZ52&lt;=0,"Aussenlager","teilweise")))))</f>
        <v>Lift</v>
      </c>
      <c r="BM52" s="60" t="str">
        <f aca="false">IF(BD52&lt;=0,"",IF(CG52="Aussen","Aussenlager",IF(CG52="-","Nicht im Lift",IF(BJ52&gt;=1,"Lift",IF(BJ52&lt;=0,"Aussenlager","teilweise")))))</f>
        <v>Lift</v>
      </c>
      <c r="BN52" s="60" t="str">
        <f aca="false">IF(A52="","",IF(BW52=1,"Neu; ","")&amp;IF(AND(BW52=0,BR52&lt;0),"negativer Bestand (Export "&amp;BR52&amp;"); ","")&amp;IF(J52&lt;=0,"Kein Verbrauch; ","")&amp;IF(CR52&gt;0,"Lift "&amp;W52&amp;" lt. Liftbericht (Fach "&amp;X52&amp;" Stk); ",IF(CB52=1,"Gebinde geschätzt ("&amp;T52&amp;"); ",IF(CA52=1,"Lose – Tablare geschätzt; ","")))&amp;IF(H52&gt;AW52,"Überbestand "&amp;ROUND(H52-AW52,0)&amp;" Stk / CHF "&amp;ROUND((H52-AW52)*G52,0)&amp;"; ","")&amp;IF(AND(CI52=1,CJ52&lt;CK52),"MAX &lt; MB+LG; ","")&amp;IF(AND(CQ52&gt;0,CP52*10&gt;CQ52),"zu hoch für Tablar; ","")&amp;IF(AND(BW52=0,OR(CI52=1,AB52&lt;&gt;"",U52&lt;&gt;"",V52&lt;&gt;"",AC52&lt;&gt;"")),"manuell übersteuert; ","")&amp;IF(AND(CA52=0,R52=0),"Gebinde unbekannt / Stellmass fehlt; ","")&amp;IF(AND(CA52=0,N(V52)&lt;=0,N(Q52)&lt;=0),"Menge pro Gebinde fehlt (Ist = 1 Gebinde); ","")&amp;BV52)</f>
        <v>Lift 1 lt. Liftbericht (Fach 36 Stk); Überbestand 12 Stk / CHF 2367; </v>
      </c>
      <c r="BO52" s="60" t="s">
        <v>340</v>
      </c>
      <c r="BP52" s="60" t="s">
        <v>341</v>
      </c>
      <c r="BQ52" s="67"/>
      <c r="BR52" s="62" t="n">
        <v>29</v>
      </c>
      <c r="BS52" s="62" t="n">
        <v>5</v>
      </c>
      <c r="BT52" s="61" t="n">
        <v>5927.21</v>
      </c>
      <c r="BU52" s="62" t="n">
        <v>48</v>
      </c>
      <c r="BV52" s="60"/>
      <c r="BW52" s="65" t="n">
        <v>0</v>
      </c>
      <c r="BX52" s="65" t="n">
        <v>52</v>
      </c>
      <c r="BY52" s="60" t="str">
        <f aca="false">IF(U52&lt;&gt;"",UPPER(TRIM(U52)),IF(CB52=1,UPPER(VLOOKUP(T52,Parameter!$I$27:$K$29,2,0)),IF(P52="","LOSE",P52)))</f>
        <v>LOSE</v>
      </c>
      <c r="BZ52" s="62" t="n">
        <f aca="false">IF(BY52="LOSE",1,IF(N(V52)&gt;0,V52,IF(CB52=1,MAX(1,N(VLOOKUP(T52,Parameter!$I$27:$K$29,3,0)),H52,N(N52)),IF(N(Q52)&gt;0,Q52,MAX(1,H52)))))</f>
        <v>1</v>
      </c>
      <c r="CA52" s="65" t="n">
        <f aca="false">IF(BY52="LOSE",1,0)</f>
        <v>1</v>
      </c>
      <c r="CB52" s="65" t="n">
        <f aca="false">IF(AND(U52="",OR(P52="",P52="LOSE"),T52&lt;&gt;"",N(S52)&lt;=0,ISNUMBER(MATCH(T52,Parameter!$I$27:$I$29,0))),1,0)</f>
        <v>0</v>
      </c>
      <c r="CC52" s="65" t="n">
        <f aca="false">IF(CR52&gt;0,INDEX(Parameter!$H$5:$H$7,W52)/INDEX(Parameter!$E$5:$E$7,W52),IF(AND(CA52=0,N(IFERROR(VLOOKUP(BY52,'Gebinde-Kategorie'!$A$5:$N$45,14,0),0))&gt;0),VLOOKUP(BY52,'Gebinde-Kategorie'!$A$5:$N$45,14,0)*10+Parameter!$M$23,Parameter!$M$24))</f>
        <v>238</v>
      </c>
      <c r="CD52" s="60" t="n">
        <f aca="false">IF(AND(Parameter!$B$19="Ja",E52&lt;&gt;"",ISNUMBER(MATCH(E52,Parameter!$I$35:$I$52,0))),VLOOKUP(E52,Parameter!$I$35:$J$52,2,0),IFERROR(VLOOKUP(D52,Parameter!$A$35:$C$64,2,0),"Nein"))</f>
        <v>1</v>
      </c>
      <c r="CE52" s="64" t="n">
        <f aca="false">IF(CA52=0,0,IF(N(S52)&gt;0,S52,IFERROR(VLOOKUP(D52,Parameter!$A$35:$C$64,3,0)+0,0)))</f>
        <v>1</v>
      </c>
      <c r="CF52" s="60" t="n">
        <f aca="false">IF(AB52&lt;&gt;"",AB52,AA52)</f>
        <v>1</v>
      </c>
      <c r="CG52" s="60" t="str">
        <f aca="false">IF(OR(CF52=1,CF52=2,CF52=3),IF(Parameter!$E$27="Ja","LIFT",IF(CF52=1,"L1","L23")),IF(CF52="Aussen","Aussen","-"))</f>
        <v>LIFT</v>
      </c>
      <c r="CH52" s="71" t="n">
        <f aca="false">IF(N(AC52)&gt;0,AC52,0)</f>
        <v>0</v>
      </c>
      <c r="CI52" s="65" t="n">
        <f aca="false">IF(ISNUMBER(AF52),1,0)</f>
        <v>0</v>
      </c>
      <c r="CJ52" s="62" t="n">
        <f aca="false">N(AF52)</f>
        <v>0</v>
      </c>
      <c r="CK52" s="62" t="n">
        <f aca="false">N(M52)+N(N52)</f>
        <v>22</v>
      </c>
      <c r="CL52" s="62" t="n">
        <f aca="false">N(M52)</f>
        <v>10</v>
      </c>
      <c r="CM52" s="62" t="n">
        <f aca="false">N(N52)</f>
        <v>12</v>
      </c>
      <c r="CN52" s="62" t="n">
        <f aca="false">ROUNDUP(H52/BZ52,0)</f>
        <v>34</v>
      </c>
      <c r="CO52" s="62" t="n">
        <f aca="false">ROUNDUP(CJ52/BZ52,0)</f>
        <v>0</v>
      </c>
      <c r="CP52" s="65" t="n">
        <f aca="false">IF(CA52=1,0,IFERROR(VLOOKUP(BY52,'Gebinde-Kategorie'!$A$5:$N$45,5,0)+0,0))</f>
        <v>0</v>
      </c>
      <c r="CQ52" s="65" t="n">
        <f aca="false">IFERROR(IF(OR(CF52=1,CF52=2,CF52=3),N(INDEX(Parameter!$I$5:$I$7,CF52)),0),0)</f>
        <v>0</v>
      </c>
      <c r="CR52" s="64" t="n">
        <f aca="false">IF(AND(Parameter!$B$21="Ja",ISNUMBER(W52),N(X52)&gt;0),IFERROR(N(INDEX(Parameter!$L$5:$L$7,W52))*INDEX(Parameter!$E$5:$E$7,W52)*X52/SUMIFS($X$7:$X$1843,$W$7:$W$1843,W52),0),0)</f>
        <v>2.88135593220339</v>
      </c>
      <c r="CS52" s="62" t="n">
        <f aca="false">IF(AND(OR(CG52="L1",CG52="L23",CG52="LIFT"),H52&gt;0),CC52*IF(CR52&gt;0,CR52*MAX(1,H52/X52),IF(CA52=1,CE52,IF(R52&gt;0,CN52/R52,0))/MAX(0.1,N(Parameter!$M$21))),"")</f>
        <v>685.762711864407</v>
      </c>
      <c r="CT52" s="64" t="n">
        <f aca="false">IF(CS52="","",J52/H52)</f>
        <v>1.41176470588235</v>
      </c>
      <c r="CU52" s="62" t="n">
        <f aca="false">IF(CS52="","",H52*G52)</f>
        <v>6706.16</v>
      </c>
      <c r="CV52" s="63" t="n">
        <f aca="false">IF(CS52="","",(CL52+ROUNDUP(CL52+MAX(CM52,2*(J52/MAX(0.1,N(Einkauf!$C$6))-CL52)),0))/2)</f>
        <v>16</v>
      </c>
      <c r="CW52" s="62" t="n">
        <f aca="false">IF(CS52="","",MAX(0,H52-CV52)*G52)</f>
        <v>3550.32</v>
      </c>
      <c r="CX52" s="62" t="n">
        <f aca="false">IF(CS52="","",CS52*MAX(0,1-CV52/H52))</f>
        <v>363.050847457627</v>
      </c>
      <c r="CY52" s="64" t="n">
        <f aca="false">IF(CS52="","",PERCENTRANK($CS$7:$CS$1843,CS52)+PERCENTRANK($CU$7:$CU$1843,CU52)+1-PERCENTRANK($CT$7:$CT$1843,CT52))</f>
        <v>2.179</v>
      </c>
      <c r="CZ52" s="72" t="n">
        <f aca="false">IF(CS52="","",CHOOSE(MATCH(Einkauf!$C$5,Parameter!$G$23:$G$27,0),CY52,CS52,CU52,-CT52,CW52)+ROW()/1000000000)</f>
        <v>2.179000052</v>
      </c>
    </row>
    <row r="53" customFormat="false" ht="15" hidden="false" customHeight="false" outlineLevel="0" collapsed="false">
      <c r="A53" s="60" t="s">
        <v>342</v>
      </c>
      <c r="B53" s="60" t="s">
        <v>343</v>
      </c>
      <c r="C53" s="60" t="s">
        <v>206</v>
      </c>
      <c r="D53" s="60" t="s">
        <v>226</v>
      </c>
      <c r="E53" s="60" t="s">
        <v>227</v>
      </c>
      <c r="F53" s="60" t="s">
        <v>260</v>
      </c>
      <c r="G53" s="61" t="n">
        <v>113.85</v>
      </c>
      <c r="H53" s="62" t="n">
        <f aca="false">MAX(0,IF(AND(Parameter!$B$21="Ja",ISNUMBER(Y53)),Y53,IF(Parameter!$B$20="Jahresanfang 2025 + Export",BS53+BR53,BR53)))</f>
        <v>67</v>
      </c>
      <c r="I53" s="62" t="n">
        <f aca="false">H53*G53</f>
        <v>7627.95</v>
      </c>
      <c r="J53" s="62" t="n">
        <f aca="false">BU53*Parameter!$B$18</f>
        <v>82</v>
      </c>
      <c r="K53" s="63" t="n">
        <v>30.5</v>
      </c>
      <c r="L53" s="64" t="n">
        <v>2.68852459016393</v>
      </c>
      <c r="M53" s="62" t="n">
        <v>30</v>
      </c>
      <c r="N53" s="62" t="n">
        <v>40</v>
      </c>
      <c r="O53" s="65" t="n">
        <v>126</v>
      </c>
      <c r="P53" s="60" t="s">
        <v>344</v>
      </c>
      <c r="Q53" s="62" t="n">
        <v>91</v>
      </c>
      <c r="R53" s="65" t="n">
        <f aca="false">IF(CA53=1,0,IFERROR(VLOOKUP(BY53,'Gebinde-Kategorie'!$A$5:$N$45,13,0)+0,0))</f>
        <v>26</v>
      </c>
      <c r="S53" s="66"/>
      <c r="T53" s="67"/>
      <c r="U53" s="67"/>
      <c r="V53" s="67"/>
      <c r="W53" s="60"/>
      <c r="X53" s="62"/>
      <c r="Y53" s="62"/>
      <c r="Z53" s="60" t="n">
        <v>3</v>
      </c>
      <c r="AA53" s="60" t="n">
        <f aca="false">IF(A53="","",IF(AND(Parameter!$B$21="Ja",ISNUMBER(W53)),W53,IF(AND(Parameter!$E$27="Ja",ISNUMBER(Z53),CD53&lt;&gt;"Nein"),Z53,IF(CD53="2+3",IF(ISNUMBER(SEARCH("grosser Artikel",BV53)),2,IFERROR(VLOOKUP(BY53,Parameter!$F$35:$G$64,2,0),2)),IF(OR(CD53="Nein",CD53=""),"-",CD53)))))</f>
        <v>3</v>
      </c>
      <c r="AB53" s="67"/>
      <c r="AC53" s="68"/>
      <c r="AD53" s="62" t="n">
        <f aca="false">AW53</f>
        <v>70</v>
      </c>
      <c r="AE53" s="62" t="n">
        <f aca="false">MAX(AW53,H53)</f>
        <v>70</v>
      </c>
      <c r="AF53" s="69"/>
      <c r="AG53" s="62" t="n">
        <f aca="false">IF(LEFT(Cockpit!$C$5,1)="A",H53,IF(Parameter!$E$30="MAX-Bestand",IF(CI53=1,CJ53,IF(LEFT(Cockpit!$C$5,1)="B",AM53,MAX(AM53,H53))),ROUNDUP(AK53,0)))</f>
        <v>67</v>
      </c>
      <c r="AH53" s="62" t="n">
        <f aca="false">IF(CA53=1,0,ROUNDUP(AG53/BZ53,0))</f>
        <v>1</v>
      </c>
      <c r="AI53" s="64" t="n">
        <f aca="false">IF(CR53&gt;0,CR53*MAX(1,AG53/X53),IF(CA53=1,IF(AG53&lt;=0,0,CE53*MAX(1,IF(H53&gt;0,AG53/H53,1))),IF(R53&gt;0,AH53/R53,0))/MAX(0.1,N(Parameter!$M$21)))</f>
        <v>0.0384615384615385</v>
      </c>
      <c r="AJ53" s="62" t="n">
        <f aca="false">AI53*CC53</f>
        <v>5.96153846153846</v>
      </c>
      <c r="AK53" s="63" t="n">
        <f aca="false">IF(LEFT(Cockpit!$C$5,1)="A",H53,IF(CI53=1,(CL53+CJ53)/2,IF(LEFT(Cockpit!$C$5,1)="B",(CL53+AM53)/2,MAX((CL53+AM53)/2,H53))))</f>
        <v>67</v>
      </c>
      <c r="AL53" s="62" t="n">
        <f aca="false">AK53*G53</f>
        <v>7627.95</v>
      </c>
      <c r="AM53" s="62" t="n">
        <f aca="false">ROUNDUP(CL53+MAX(CM53,2*(J53/IF(CH53&gt;0,CH53,MAX(0.1,N(Cockpit!$C$6)))-CL53)),0)</f>
        <v>70</v>
      </c>
      <c r="AN53" s="63" t="n">
        <f aca="false">IF(AJ53&gt;0,J53/AJ53,-1)</f>
        <v>13.7548387096774</v>
      </c>
      <c r="AO53" s="63" t="n">
        <f aca="false">IF(AND(OR(CG53="L1",CG53="L23",CG53="LIFT"),AJ53&gt;0),SUMIFS($AJ$7:$AJ$1843,$CG$7:$CG$1843,CG53,$AN$7:$AN$1843,"&gt;"&amp;AN53)+SUMIFS($AJ$7:$AJ$1843,$CG$7:$CG$1843,CG53,$AN$7:$AN$1843,AN53,$BX$7:$BX$1843,"&lt;="&amp;BX53),"")</f>
        <v>2225.6510989011</v>
      </c>
      <c r="AP53" s="70" t="n">
        <f aca="false">IF(AO53="",0,MAX(0,MIN(1,(IF(CG53="L1",Parameter!$H$5,IF(CG53="L23",Parameter!$H$6+Parameter!$H$7,Parameter!$H$5+Parameter!$H$6+Parameter!$H$7))-(AO53-AJ53))/AJ53)))</f>
        <v>1</v>
      </c>
      <c r="AQ53" s="62" t="n">
        <f aca="false">IF(LEFT(Cockpit!$I$5,1)="A",H53,IF(Parameter!$E$30="MAX-Bestand",IF(CI53=1,CJ53,IF(LEFT(Cockpit!$I$5,1)="B",AW53,MAX(AW53,H53))),ROUNDUP(AU53,0)))</f>
        <v>67</v>
      </c>
      <c r="AR53" s="62" t="n">
        <f aca="false">IF(CA53=1,0,ROUNDUP(AQ53/BZ53,0))</f>
        <v>1</v>
      </c>
      <c r="AS53" s="64" t="n">
        <f aca="false">IF(CR53&gt;0,CR53*MAX(1,AQ53/X53),IF(CA53=1,IF(AQ53&lt;=0,0,CE53*MAX(1,IF(H53&gt;0,AQ53/H53,1))),IF(R53&gt;0,AR53/R53,0))/MAX(0.1,N(Parameter!$M$21)))</f>
        <v>0.0384615384615385</v>
      </c>
      <c r="AT53" s="62" t="n">
        <f aca="false">AS53*CC53</f>
        <v>5.96153846153846</v>
      </c>
      <c r="AU53" s="63" t="n">
        <f aca="false">IF(LEFT(Cockpit!$I$5,1)="A",H53,IF(CI53=1,(CL53+CJ53)/2,IF(LEFT(Cockpit!$I$5,1)="B",(CL53+AW53)/2,MAX((CL53+AW53)/2,H53))))</f>
        <v>67</v>
      </c>
      <c r="AV53" s="62" t="n">
        <f aca="false">AU53*G53</f>
        <v>7627.95</v>
      </c>
      <c r="AW53" s="62" t="n">
        <f aca="false">ROUNDUP(CL53+MAX(CM53,2*(J53/IF(CH53&gt;0,CH53,MAX(0.1,N(Cockpit!$I$6)))-CL53)),0)</f>
        <v>70</v>
      </c>
      <c r="AX53" s="63" t="n">
        <f aca="false">IF(AT53&gt;0,J53/AT53,-1)</f>
        <v>13.7548387096774</v>
      </c>
      <c r="AY53" s="63" t="n">
        <f aca="false">IF(AND(OR(CG53="L1",CG53="L23",CG53="LIFT"),AT53&gt;0),SUMIFS($AT$7:$AT$1843,$CG$7:$CG$1843,CG53,$AX$7:$AX$1843,"&gt;"&amp;AX53)+SUMIFS($AT$7:$AT$1843,$CG$7:$CG$1843,CG53,$AX$7:$AX$1843,AX53,$BX$7:$BX$1843,"&lt;="&amp;BX53),"")</f>
        <v>2844.83791208791</v>
      </c>
      <c r="AZ53" s="70" t="n">
        <f aca="false">IF(AY53="",0,MAX(0,MIN(1,(IF(CG53="L1",Parameter!$H$5,IF(CG53="L23",Parameter!$H$6+Parameter!$H$7,Parameter!$H$5+Parameter!$H$6+Parameter!$H$7))-(AY53-AT53))/AT53)))</f>
        <v>1</v>
      </c>
      <c r="BA53" s="62" t="n">
        <f aca="false">IF(LEFT(Cockpit!$O$5,1)="A",H53,IF(Parameter!$E$30="MAX-Bestand",IF(CI53=1,CJ53,IF(LEFT(Cockpit!$O$5,1)="B",BG53,MAX(BG53,H53))),ROUNDUP(BE53,0)))</f>
        <v>50</v>
      </c>
      <c r="BB53" s="62" t="n">
        <f aca="false">IF(CA53=1,0,ROUNDUP(BA53/BZ53,0))</f>
        <v>1</v>
      </c>
      <c r="BC53" s="64" t="n">
        <f aca="false">IF(CR53&gt;0,CR53*MAX(1,BA53/X53),IF(CA53=1,IF(BA53&lt;=0,0,CE53*MAX(1,IF(H53&gt;0,BA53/H53,1))),IF(R53&gt;0,BB53/R53,0))/MAX(0.1,N(Parameter!$M$21)))</f>
        <v>0.0384615384615385</v>
      </c>
      <c r="BD53" s="62" t="n">
        <f aca="false">BC53*CC53</f>
        <v>5.96153846153846</v>
      </c>
      <c r="BE53" s="63" t="n">
        <f aca="false">IF(LEFT(Cockpit!$O$5,1)="A",H53,IF(CI53=1,(CL53+CJ53)/2,IF(LEFT(Cockpit!$O$5,1)="B",(CL53+BG53)/2,MAX((CL53+BG53)/2,H53))))</f>
        <v>50</v>
      </c>
      <c r="BF53" s="62" t="n">
        <f aca="false">BE53*G53</f>
        <v>5692.5</v>
      </c>
      <c r="BG53" s="62" t="n">
        <f aca="false">ROUNDUP(CL53+MAX(CM53,2*(J53/IF(CH53&gt;0,CH53,MAX(0.1,N(Cockpit!$O$6)))-CL53)),0)</f>
        <v>70</v>
      </c>
      <c r="BH53" s="63" t="n">
        <f aca="false">IF(BD53&gt;0,J53/BD53,-1)</f>
        <v>13.7548387096774</v>
      </c>
      <c r="BI53" s="63" t="n">
        <f aca="false">IF(AND(OR(CG53="L1",CG53="L23",CG53="LIFT"),BD53&gt;0),SUMIFS($BD$7:$BD$1843,$CG$7:$CG$1843,CG53,$BH$7:$BH$1843,"&gt;"&amp;BH53)+SUMIFS($BD$7:$BD$1843,$CG$7:$CG$1843,CG53,$BH$7:$BH$1843,BH53,$BX$7:$BX$1843,"&lt;="&amp;BX53),"")</f>
        <v>2494.67857142857</v>
      </c>
      <c r="BJ53" s="70" t="n">
        <f aca="false">IF(BI53="",0,MAX(0,MIN(1,(IF(CG53="L1",Parameter!$H$5,IF(CG53="L23",Parameter!$H$6+Parameter!$H$7,Parameter!$H$5+Parameter!$H$6+Parameter!$H$7))-(BI53-BD53))/BD53)))</f>
        <v>1</v>
      </c>
      <c r="BK53" s="60" t="str">
        <f aca="false">IF(AJ53&lt;=0,"",IF(CG53="Aussen","Aussenlager",IF(CG53="-","Nicht im Lift",IF(AP53&gt;=1,"Lift",IF(AP53&lt;=0,"Aussenlager","teilweise")))))</f>
        <v>Lift</v>
      </c>
      <c r="BL53" s="60" t="str">
        <f aca="false">IF(AT53&lt;=0,"",IF(CG53="Aussen","Aussenlager",IF(CG53="-","Nicht im Lift",IF(AZ53&gt;=1,"Lift",IF(AZ53&lt;=0,"Aussenlager","teilweise")))))</f>
        <v>Lift</v>
      </c>
      <c r="BM53" s="60" t="str">
        <f aca="false">IF(BD53&lt;=0,"",IF(CG53="Aussen","Aussenlager",IF(CG53="-","Nicht im Lift",IF(BJ53&gt;=1,"Lift",IF(BJ53&lt;=0,"Aussenlager","teilweise")))))</f>
        <v>Lift</v>
      </c>
      <c r="BN53" s="60" t="str">
        <f aca="false">IF(A53="","",IF(BW53=1,"Neu; ","")&amp;IF(AND(BW53=0,BR53&lt;0),"negativer Bestand (Export "&amp;BR53&amp;"); ","")&amp;IF(J53&lt;=0,"Kein Verbrauch; ","")&amp;IF(CR53&gt;0,"Lift "&amp;W53&amp;" lt. Liftbericht (Fach "&amp;X53&amp;" Stk); ",IF(CB53=1,"Gebinde geschätzt ("&amp;T53&amp;"); ",IF(CA53=1,"Lose – Tablare geschätzt; ","")))&amp;IF(H53&gt;AW53,"Überbestand "&amp;ROUND(H53-AW53,0)&amp;" Stk / CHF "&amp;ROUND((H53-AW53)*G53,0)&amp;"; ","")&amp;IF(AND(CI53=1,CJ53&lt;CK53),"MAX &lt; MB+LG; ","")&amp;IF(AND(CQ53&gt;0,CP53*10&gt;CQ53),"zu hoch für Tablar; ","")&amp;IF(AND(BW53=0,OR(CI53=1,AB53&lt;&gt;"",U53&lt;&gt;"",V53&lt;&gt;"",AC53&lt;&gt;"")),"manuell übersteuert; ","")&amp;IF(AND(CA53=0,R53=0),"Gebinde unbekannt / Stellmass fehlt; ","")&amp;IF(AND(CA53=0,N(V53)&lt;=0,N(Q53)&lt;=0),"Menge pro Gebinde fehlt (Ist = 1 Gebinde); ","")&amp;BV53)</f>
        <v/>
      </c>
      <c r="BO53" s="60"/>
      <c r="BP53" s="60"/>
      <c r="BQ53" s="67"/>
      <c r="BR53" s="62" t="n">
        <v>45</v>
      </c>
      <c r="BS53" s="62" t="n">
        <v>22</v>
      </c>
      <c r="BT53" s="61" t="n">
        <v>5261.13</v>
      </c>
      <c r="BU53" s="62" t="n">
        <v>82</v>
      </c>
      <c r="BV53" s="60"/>
      <c r="BW53" s="65" t="n">
        <v>0</v>
      </c>
      <c r="BX53" s="65" t="n">
        <v>53</v>
      </c>
      <c r="BY53" s="60" t="str">
        <f aca="false">IF(U53&lt;&gt;"",UPPER(TRIM(U53)),IF(CB53=1,UPPER(VLOOKUP(T53,Parameter!$I$27:$K$29,2,0)),IF(P53="","LOSE",P53)))</f>
        <v>S51</v>
      </c>
      <c r="BZ53" s="62" t="n">
        <f aca="false">IF(BY53="LOSE",1,IF(N(V53)&gt;0,V53,IF(CB53=1,MAX(1,N(VLOOKUP(T53,Parameter!$I$27:$K$29,3,0)),H53,N(N53)),IF(N(Q53)&gt;0,Q53,MAX(1,H53)))))</f>
        <v>91</v>
      </c>
      <c r="CA53" s="65" t="n">
        <f aca="false">IF(BY53="LOSE",1,0)</f>
        <v>0</v>
      </c>
      <c r="CB53" s="65" t="n">
        <f aca="false">IF(AND(U53="",OR(P53="",P53="LOSE"),T53&lt;&gt;"",N(S53)&lt;=0,ISNUMBER(MATCH(T53,Parameter!$I$27:$I$29,0))),1,0)</f>
        <v>0</v>
      </c>
      <c r="CC53" s="65" t="n">
        <f aca="false">IF(CR53&gt;0,INDEX(Parameter!$H$5:$H$7,W53)/INDEX(Parameter!$E$5:$E$7,W53),IF(AND(CA53=0,N(IFERROR(VLOOKUP(BY53,'Gebinde-Kategorie'!$A$5:$N$45,14,0),0))&gt;0),VLOOKUP(BY53,'Gebinde-Kategorie'!$A$5:$N$45,14,0)*10+Parameter!$M$23,Parameter!$M$24))</f>
        <v>155</v>
      </c>
      <c r="CD53" s="60" t="str">
        <f aca="false">IF(AND(Parameter!$B$19="Ja",E53&lt;&gt;"",ISNUMBER(MATCH(E53,Parameter!$I$35:$I$52,0))),VLOOKUP(E53,Parameter!$I$35:$J$52,2,0),IFERROR(VLOOKUP(D53,Parameter!$A$35:$C$64,2,0),"Nein"))</f>
        <v>2+3</v>
      </c>
      <c r="CE53" s="64" t="n">
        <f aca="false">IF(CA53=0,0,IF(N(S53)&gt;0,S53,IFERROR(VLOOKUP(D53,Parameter!$A$35:$C$64,3,0)+0,0)))</f>
        <v>0</v>
      </c>
      <c r="CF53" s="60" t="n">
        <f aca="false">IF(AB53&lt;&gt;"",AB53,AA53)</f>
        <v>3</v>
      </c>
      <c r="CG53" s="60" t="str">
        <f aca="false">IF(OR(CF53=1,CF53=2,CF53=3),IF(Parameter!$E$27="Ja","LIFT",IF(CF53=1,"L1","L23")),IF(CF53="Aussen","Aussen","-"))</f>
        <v>LIFT</v>
      </c>
      <c r="CH53" s="71" t="n">
        <f aca="false">IF(N(AC53)&gt;0,AC53,0)</f>
        <v>0</v>
      </c>
      <c r="CI53" s="65" t="n">
        <f aca="false">IF(ISNUMBER(AF53),1,0)</f>
        <v>0</v>
      </c>
      <c r="CJ53" s="62" t="n">
        <f aca="false">N(AF53)</f>
        <v>0</v>
      </c>
      <c r="CK53" s="62" t="n">
        <f aca="false">N(M53)+N(N53)</f>
        <v>70</v>
      </c>
      <c r="CL53" s="62" t="n">
        <f aca="false">N(M53)</f>
        <v>30</v>
      </c>
      <c r="CM53" s="62" t="n">
        <f aca="false">N(N53)</f>
        <v>40</v>
      </c>
      <c r="CN53" s="62" t="n">
        <f aca="false">ROUNDUP(H53/BZ53,0)</f>
        <v>1</v>
      </c>
      <c r="CO53" s="62" t="n">
        <f aca="false">ROUNDUP(CJ53/BZ53,0)</f>
        <v>0</v>
      </c>
      <c r="CP53" s="65" t="n">
        <f aca="false">IF(CA53=1,0,IFERROR(VLOOKUP(BY53,'Gebinde-Kategorie'!$A$5:$N$45,5,0)+0,0))</f>
        <v>11</v>
      </c>
      <c r="CQ53" s="65" t="n">
        <f aca="false">IFERROR(IF(OR(CF53=1,CF53=2,CF53=3),N(INDEX(Parameter!$I$5:$I$7,CF53)),0),0)</f>
        <v>0</v>
      </c>
      <c r="CR53" s="64" t="n">
        <f aca="false">IF(AND(Parameter!$B$21="Ja",ISNUMBER(W53),N(X53)&gt;0),IFERROR(N(INDEX(Parameter!$L$5:$L$7,W53))*INDEX(Parameter!$E$5:$E$7,W53)*X53/SUMIFS($X$7:$X$1843,$W$7:$W$1843,W53),0),0)</f>
        <v>0</v>
      </c>
      <c r="CS53" s="62" t="n">
        <f aca="false">IF(AND(OR(CG53="L1",CG53="L23",CG53="LIFT"),H53&gt;0),CC53*IF(CR53&gt;0,CR53*MAX(1,H53/X53),IF(CA53=1,CE53,IF(R53&gt;0,CN53/R53,0))/MAX(0.1,N(Parameter!$M$21))),"")</f>
        <v>5.96153846153846</v>
      </c>
      <c r="CT53" s="64" t="n">
        <f aca="false">IF(CS53="","",J53/H53)</f>
        <v>1.22388059701493</v>
      </c>
      <c r="CU53" s="62" t="n">
        <f aca="false">IF(CS53="","",H53*G53)</f>
        <v>7627.95</v>
      </c>
      <c r="CV53" s="63" t="n">
        <f aca="false">IF(CS53="","",(CL53+ROUNDUP(CL53+MAX(CM53,2*(J53/MAX(0.1,N(Einkauf!$C$6))-CL53)),0))/2)</f>
        <v>50</v>
      </c>
      <c r="CW53" s="62" t="n">
        <f aca="false">IF(CS53="","",MAX(0,H53-CV53)*G53)</f>
        <v>1935.45</v>
      </c>
      <c r="CX53" s="62" t="n">
        <f aca="false">IF(CS53="","",CS53*MAX(0,1-CV53/H53))</f>
        <v>1.51262916188289</v>
      </c>
      <c r="CY53" s="64" t="n">
        <f aca="false">IF(CS53="","",PERCENTRANK($CS$7:$CS$1843,CS53)+PERCENTRANK($CU$7:$CU$1843,CU53)+1-PERCENTRANK($CT$7:$CT$1843,CT53))</f>
        <v>1.573</v>
      </c>
      <c r="CZ53" s="72" t="n">
        <f aca="false">IF(CS53="","",CHOOSE(MATCH(Einkauf!$C$5,Parameter!$G$23:$G$27,0),CY53,CS53,CU53,-CT53,CW53)+ROW()/1000000000)</f>
        <v>1.573000053</v>
      </c>
    </row>
    <row r="54" customFormat="false" ht="15" hidden="false" customHeight="false" outlineLevel="0" collapsed="false">
      <c r="A54" s="60" t="s">
        <v>345</v>
      </c>
      <c r="B54" s="60" t="s">
        <v>332</v>
      </c>
      <c r="C54" s="60" t="s">
        <v>206</v>
      </c>
      <c r="D54" s="60" t="s">
        <v>215</v>
      </c>
      <c r="E54" s="60" t="s">
        <v>215</v>
      </c>
      <c r="F54" s="60" t="s">
        <v>260</v>
      </c>
      <c r="G54" s="61" t="n">
        <v>189.42</v>
      </c>
      <c r="H54" s="62" t="n">
        <f aca="false">MAX(0,IF(AND(Parameter!$B$21="Ja",ISNUMBER(Y54)),Y54,IF(Parameter!$B$20="Jahresanfang 2025 + Export",BS54+BR54,BR54)))</f>
        <v>65</v>
      </c>
      <c r="I54" s="62" t="n">
        <f aca="false">H54*G54</f>
        <v>12312.3</v>
      </c>
      <c r="J54" s="62" t="n">
        <f aca="false">BU54*Parameter!$B$18</f>
        <v>90</v>
      </c>
      <c r="K54" s="63" t="n">
        <v>40.5</v>
      </c>
      <c r="L54" s="64" t="n">
        <v>2.22222222222222</v>
      </c>
      <c r="M54" s="62" t="n">
        <v>4</v>
      </c>
      <c r="N54" s="62" t="n">
        <v>35</v>
      </c>
      <c r="O54" s="65" t="n">
        <v>14</v>
      </c>
      <c r="P54" s="60" t="s">
        <v>265</v>
      </c>
      <c r="Q54" s="62" t="n">
        <v>76</v>
      </c>
      <c r="R54" s="65" t="n">
        <f aca="false">IF(CA54=1,0,IFERROR(VLOOKUP(BY54,'Gebinde-Kategorie'!$A$5:$N$45,13,0)+0,0))</f>
        <v>4</v>
      </c>
      <c r="S54" s="66"/>
      <c r="T54" s="67"/>
      <c r="U54" s="67"/>
      <c r="V54" s="67"/>
      <c r="W54" s="60"/>
      <c r="X54" s="62"/>
      <c r="Y54" s="62"/>
      <c r="Z54" s="60"/>
      <c r="AA54" s="60" t="str">
        <f aca="false">IF(A54="","",IF(AND(Parameter!$B$21="Ja",ISNUMBER(W54)),W54,IF(AND(Parameter!$E$27="Ja",ISNUMBER(Z54),CD54&lt;&gt;"Nein"),Z54,IF(CD54="2+3",IF(ISNUMBER(SEARCH("grosser Artikel",BV54)),2,IFERROR(VLOOKUP(BY54,Parameter!$F$35:$G$64,2,0),2)),IF(OR(CD54="Nein",CD54=""),"-",CD54)))))</f>
        <v>-</v>
      </c>
      <c r="AB54" s="67"/>
      <c r="AC54" s="68"/>
      <c r="AD54" s="62" t="n">
        <f aca="false">AW54</f>
        <v>56</v>
      </c>
      <c r="AE54" s="62" t="n">
        <f aca="false">MAX(AW54,H54)</f>
        <v>65</v>
      </c>
      <c r="AF54" s="69"/>
      <c r="AG54" s="62" t="n">
        <f aca="false">IF(LEFT(Cockpit!$C$5,1)="A",H54,IF(Parameter!$E$30="MAX-Bestand",IF(CI54=1,CJ54,IF(LEFT(Cockpit!$C$5,1)="B",AM54,MAX(AM54,H54))),ROUNDUP(AK54,0)))</f>
        <v>65</v>
      </c>
      <c r="AH54" s="62" t="n">
        <f aca="false">IF(CA54=1,0,ROUNDUP(AG54/BZ54,0))</f>
        <v>1</v>
      </c>
      <c r="AI54" s="64" t="n">
        <f aca="false">IF(CR54&gt;0,CR54*MAX(1,AG54/X54),IF(CA54=1,IF(AG54&lt;=0,0,CE54*MAX(1,IF(H54&gt;0,AG54/H54,1))),IF(R54&gt;0,AH54/R54,0))/MAX(0.1,N(Parameter!$M$21)))</f>
        <v>0.25</v>
      </c>
      <c r="AJ54" s="62" t="n">
        <f aca="false">AI54*CC54</f>
        <v>58.75</v>
      </c>
      <c r="AK54" s="63" t="n">
        <f aca="false">IF(LEFT(Cockpit!$C$5,1)="A",H54,IF(CI54=1,(CL54+CJ54)/2,IF(LEFT(Cockpit!$C$5,1)="B",(CL54+AM54)/2,MAX((CL54+AM54)/2,H54))))</f>
        <v>65</v>
      </c>
      <c r="AL54" s="62" t="n">
        <f aca="false">AK54*G54</f>
        <v>12312.3</v>
      </c>
      <c r="AM54" s="62" t="n">
        <f aca="false">ROUNDUP(CL54+MAX(CM54,2*(J54/IF(CH54&gt;0,CH54,MAX(0.1,N(Cockpit!$C$6)))-CL54)),0)</f>
        <v>56</v>
      </c>
      <c r="AN54" s="63" t="n">
        <f aca="false">IF(AJ54&gt;0,J54/AJ54,-1)</f>
        <v>1.53191489361702</v>
      </c>
      <c r="AO54" s="63" t="str">
        <f aca="false">IF(AND(OR(CG54="L1",CG54="L23",CG54="LIFT"),AJ54&gt;0),SUMIFS($AJ$7:$AJ$1843,$CG$7:$CG$1843,CG54,$AN$7:$AN$1843,"&gt;"&amp;AN54)+SUMIFS($AJ$7:$AJ$1843,$CG$7:$CG$1843,CG54,$AN$7:$AN$1843,AN54,$BX$7:$BX$1843,"&lt;="&amp;BX54),"")</f>
        <v/>
      </c>
      <c r="AP54" s="70" t="n">
        <f aca="false">IF(AO54="",0,MAX(0,MIN(1,(IF(CG54="L1",Parameter!$H$5,IF(CG54="L23",Parameter!$H$6+Parameter!$H$7,Parameter!$H$5+Parameter!$H$6+Parameter!$H$7))-(AO54-AJ54))/AJ54)))</f>
        <v>0</v>
      </c>
      <c r="AQ54" s="62" t="n">
        <f aca="false">IF(LEFT(Cockpit!$I$5,1)="A",H54,IF(Parameter!$E$30="MAX-Bestand",IF(CI54=1,CJ54,IF(LEFT(Cockpit!$I$5,1)="B",AW54,MAX(AW54,H54))),ROUNDUP(AU54,0)))</f>
        <v>65</v>
      </c>
      <c r="AR54" s="62" t="n">
        <f aca="false">IF(CA54=1,0,ROUNDUP(AQ54/BZ54,0))</f>
        <v>1</v>
      </c>
      <c r="AS54" s="64" t="n">
        <f aca="false">IF(CR54&gt;0,CR54*MAX(1,AQ54/X54),IF(CA54=1,IF(AQ54&lt;=0,0,CE54*MAX(1,IF(H54&gt;0,AQ54/H54,1))),IF(R54&gt;0,AR54/R54,0))/MAX(0.1,N(Parameter!$M$21)))</f>
        <v>0.25</v>
      </c>
      <c r="AT54" s="62" t="n">
        <f aca="false">AS54*CC54</f>
        <v>58.75</v>
      </c>
      <c r="AU54" s="63" t="n">
        <f aca="false">IF(LEFT(Cockpit!$I$5,1)="A",H54,IF(CI54=1,(CL54+CJ54)/2,IF(LEFT(Cockpit!$I$5,1)="B",(CL54+AW54)/2,MAX((CL54+AW54)/2,H54))))</f>
        <v>65</v>
      </c>
      <c r="AV54" s="62" t="n">
        <f aca="false">AU54*G54</f>
        <v>12312.3</v>
      </c>
      <c r="AW54" s="62" t="n">
        <f aca="false">ROUNDUP(CL54+MAX(CM54,2*(J54/IF(CH54&gt;0,CH54,MAX(0.1,N(Cockpit!$I$6)))-CL54)),0)</f>
        <v>56</v>
      </c>
      <c r="AX54" s="63" t="n">
        <f aca="false">IF(AT54&gt;0,J54/AT54,-1)</f>
        <v>1.53191489361702</v>
      </c>
      <c r="AY54" s="63" t="str">
        <f aca="false">IF(AND(OR(CG54="L1",CG54="L23",CG54="LIFT"),AT54&gt;0),SUMIFS($AT$7:$AT$1843,$CG$7:$CG$1843,CG54,$AX$7:$AX$1843,"&gt;"&amp;AX54)+SUMIFS($AT$7:$AT$1843,$CG$7:$CG$1843,CG54,$AX$7:$AX$1843,AX54,$BX$7:$BX$1843,"&lt;="&amp;BX54),"")</f>
        <v/>
      </c>
      <c r="AZ54" s="70" t="n">
        <f aca="false">IF(AY54="",0,MAX(0,MIN(1,(IF(CG54="L1",Parameter!$H$5,IF(CG54="L23",Parameter!$H$6+Parameter!$H$7,Parameter!$H$5+Parameter!$H$6+Parameter!$H$7))-(AY54-AT54))/AT54)))</f>
        <v>0</v>
      </c>
      <c r="BA54" s="62" t="n">
        <f aca="false">IF(LEFT(Cockpit!$O$5,1)="A",H54,IF(Parameter!$E$30="MAX-Bestand",IF(CI54=1,CJ54,IF(LEFT(Cockpit!$O$5,1)="B",BG54,MAX(BG54,H54))),ROUNDUP(BE54,0)))</f>
        <v>23</v>
      </c>
      <c r="BB54" s="62" t="n">
        <f aca="false">IF(CA54=1,0,ROUNDUP(BA54/BZ54,0))</f>
        <v>1</v>
      </c>
      <c r="BC54" s="64" t="n">
        <f aca="false">IF(CR54&gt;0,CR54*MAX(1,BA54/X54),IF(CA54=1,IF(BA54&lt;=0,0,CE54*MAX(1,IF(H54&gt;0,BA54/H54,1))),IF(R54&gt;0,BB54/R54,0))/MAX(0.1,N(Parameter!$M$21)))</f>
        <v>0.25</v>
      </c>
      <c r="BD54" s="62" t="n">
        <f aca="false">BC54*CC54</f>
        <v>58.75</v>
      </c>
      <c r="BE54" s="63" t="n">
        <f aca="false">IF(LEFT(Cockpit!$O$5,1)="A",H54,IF(CI54=1,(CL54+CJ54)/2,IF(LEFT(Cockpit!$O$5,1)="B",(CL54+BG54)/2,MAX((CL54+BG54)/2,H54))))</f>
        <v>22.5</v>
      </c>
      <c r="BF54" s="62" t="n">
        <f aca="false">BE54*G54</f>
        <v>4261.95</v>
      </c>
      <c r="BG54" s="62" t="n">
        <f aca="false">ROUNDUP(CL54+MAX(CM54,2*(J54/IF(CH54&gt;0,CH54,MAX(0.1,N(Cockpit!$O$6)))-CL54)),0)</f>
        <v>41</v>
      </c>
      <c r="BH54" s="63" t="n">
        <f aca="false">IF(BD54&gt;0,J54/BD54,-1)</f>
        <v>1.53191489361702</v>
      </c>
      <c r="BI54" s="63" t="str">
        <f aca="false">IF(AND(OR(CG54="L1",CG54="L23",CG54="LIFT"),BD54&gt;0),SUMIFS($BD$7:$BD$1843,$CG$7:$CG$1843,CG54,$BH$7:$BH$1843,"&gt;"&amp;BH54)+SUMIFS($BD$7:$BD$1843,$CG$7:$CG$1843,CG54,$BH$7:$BH$1843,BH54,$BX$7:$BX$1843,"&lt;="&amp;BX54),"")</f>
        <v/>
      </c>
      <c r="BJ54" s="70" t="n">
        <f aca="false">IF(BI54="",0,MAX(0,MIN(1,(IF(CG54="L1",Parameter!$H$5,IF(CG54="L23",Parameter!$H$6+Parameter!$H$7,Parameter!$H$5+Parameter!$H$6+Parameter!$H$7))-(BI54-BD54))/BD54)))</f>
        <v>0</v>
      </c>
      <c r="BK54" s="60" t="str">
        <f aca="false">IF(AJ54&lt;=0,"",IF(CG54="Aussen","Aussenlager",IF(CG54="-","Nicht im Lift",IF(AP54&gt;=1,"Lift",IF(AP54&lt;=0,"Aussenlager","teilweise")))))</f>
        <v>Nicht im Lift</v>
      </c>
      <c r="BL54" s="60" t="str">
        <f aca="false">IF(AT54&lt;=0,"",IF(CG54="Aussen","Aussenlager",IF(CG54="-","Nicht im Lift",IF(AZ54&gt;=1,"Lift",IF(AZ54&lt;=0,"Aussenlager","teilweise")))))</f>
        <v>Nicht im Lift</v>
      </c>
      <c r="BM54" s="60" t="str">
        <f aca="false">IF(BD54&lt;=0,"",IF(CG54="Aussen","Aussenlager",IF(CG54="-","Nicht im Lift",IF(BJ54&gt;=1,"Lift",IF(BJ54&lt;=0,"Aussenlager","teilweise")))))</f>
        <v>Nicht im Lift</v>
      </c>
      <c r="BN54" s="60" t="str">
        <f aca="false">IF(A54="","",IF(BW54=1,"Neu; ","")&amp;IF(AND(BW54=0,BR54&lt;0),"negativer Bestand (Export "&amp;BR54&amp;"); ","")&amp;IF(J54&lt;=0,"Kein Verbrauch; ","")&amp;IF(CR54&gt;0,"Lift "&amp;W54&amp;" lt. Liftbericht (Fach "&amp;X54&amp;" Stk); ",IF(CB54=1,"Gebinde geschätzt ("&amp;T54&amp;"); ",IF(CA54=1,"Lose – Tablare geschätzt; ","")))&amp;IF(H54&gt;AW54,"Überbestand "&amp;ROUND(H54-AW54,0)&amp;" Stk / CHF "&amp;ROUND((H54-AW54)*G54,0)&amp;"; ","")&amp;IF(AND(CI54=1,CJ54&lt;CK54),"MAX &lt; MB+LG; ","")&amp;IF(AND(CQ54&gt;0,CP54*10&gt;CQ54),"zu hoch für Tablar; ","")&amp;IF(AND(BW54=0,OR(CI54=1,AB54&lt;&gt;"",U54&lt;&gt;"",V54&lt;&gt;"",AC54&lt;&gt;"")),"manuell übersteuert; ","")&amp;IF(AND(CA54=0,R54=0),"Gebinde unbekannt / Stellmass fehlt; ","")&amp;IF(AND(CA54=0,N(V54)&lt;=0,N(Q54)&lt;=0),"Menge pro Gebinde fehlt (Ist = 1 Gebinde); ","")&amp;BV54)</f>
        <v>Überbestand 9 Stk / CHF 1705; </v>
      </c>
      <c r="BO54" s="60"/>
      <c r="BP54" s="60"/>
      <c r="BQ54" s="67"/>
      <c r="BR54" s="62" t="n">
        <v>25</v>
      </c>
      <c r="BS54" s="62" t="n">
        <v>40</v>
      </c>
      <c r="BT54" s="61" t="n">
        <v>4952.3</v>
      </c>
      <c r="BU54" s="62" t="n">
        <v>90</v>
      </c>
      <c r="BV54" s="60"/>
      <c r="BW54" s="65" t="n">
        <v>0</v>
      </c>
      <c r="BX54" s="65" t="n">
        <v>54</v>
      </c>
      <c r="BY54" s="60" t="str">
        <f aca="false">IF(U54&lt;&gt;"",UPPER(TRIM(U54)),IF(CB54=1,UPPER(VLOOKUP(T54,Parameter!$I$27:$K$29,2,0)),IF(P54="","LOSE",P54)))</f>
        <v>S81</v>
      </c>
      <c r="BZ54" s="62" t="n">
        <f aca="false">IF(BY54="LOSE",1,IF(N(V54)&gt;0,V54,IF(CB54=1,MAX(1,N(VLOOKUP(T54,Parameter!$I$27:$K$29,3,0)),H54,N(N54)),IF(N(Q54)&gt;0,Q54,MAX(1,H54)))))</f>
        <v>76</v>
      </c>
      <c r="CA54" s="65" t="n">
        <f aca="false">IF(BY54="LOSE",1,0)</f>
        <v>0</v>
      </c>
      <c r="CB54" s="65" t="n">
        <f aca="false">IF(AND(U54="",OR(P54="",P54="LOSE"),T54&lt;&gt;"",N(S54)&lt;=0,ISNUMBER(MATCH(T54,Parameter!$I$27:$I$29,0))),1,0)</f>
        <v>0</v>
      </c>
      <c r="CC54" s="65" t="n">
        <f aca="false">IF(CR54&gt;0,INDEX(Parameter!$H$5:$H$7,W54)/INDEX(Parameter!$E$5:$E$7,W54),IF(AND(CA54=0,N(IFERROR(VLOOKUP(BY54,'Gebinde-Kategorie'!$A$5:$N$45,14,0),0))&gt;0),VLOOKUP(BY54,'Gebinde-Kategorie'!$A$5:$N$45,14,0)*10+Parameter!$M$23,Parameter!$M$24))</f>
        <v>235</v>
      </c>
      <c r="CD54" s="60" t="str">
        <f aca="false">IF(AND(Parameter!$B$19="Ja",E54&lt;&gt;"",ISNUMBER(MATCH(E54,Parameter!$I$35:$I$52,0))),VLOOKUP(E54,Parameter!$I$35:$J$52,2,0),IFERROR(VLOOKUP(D54,Parameter!$A$35:$C$64,2,0),"Nein"))</f>
        <v>Nein</v>
      </c>
      <c r="CE54" s="64" t="n">
        <f aca="false">IF(CA54=0,0,IF(N(S54)&gt;0,S54,IFERROR(VLOOKUP(D54,Parameter!$A$35:$C$64,3,0)+0,0)))</f>
        <v>0</v>
      </c>
      <c r="CF54" s="60" t="str">
        <f aca="false">IF(AB54&lt;&gt;"",AB54,AA54)</f>
        <v>-</v>
      </c>
      <c r="CG54" s="60" t="str">
        <f aca="false">IF(OR(CF54=1,CF54=2,CF54=3),IF(Parameter!$E$27="Ja","LIFT",IF(CF54=1,"L1","L23")),IF(CF54="Aussen","Aussen","-"))</f>
        <v>-</v>
      </c>
      <c r="CH54" s="71" t="n">
        <f aca="false">IF(N(AC54)&gt;0,AC54,0)</f>
        <v>0</v>
      </c>
      <c r="CI54" s="65" t="n">
        <f aca="false">IF(ISNUMBER(AF54),1,0)</f>
        <v>0</v>
      </c>
      <c r="CJ54" s="62" t="n">
        <f aca="false">N(AF54)</f>
        <v>0</v>
      </c>
      <c r="CK54" s="62" t="n">
        <f aca="false">N(M54)+N(N54)</f>
        <v>39</v>
      </c>
      <c r="CL54" s="62" t="n">
        <f aca="false">N(M54)</f>
        <v>4</v>
      </c>
      <c r="CM54" s="62" t="n">
        <f aca="false">N(N54)</f>
        <v>35</v>
      </c>
      <c r="CN54" s="62" t="n">
        <f aca="false">ROUNDUP(H54/BZ54,0)</f>
        <v>1</v>
      </c>
      <c r="CO54" s="62" t="n">
        <f aca="false">ROUNDUP(CJ54/BZ54,0)</f>
        <v>0</v>
      </c>
      <c r="CP54" s="65" t="n">
        <f aca="false">IF(CA54=1,0,IFERROR(VLOOKUP(BY54,'Gebinde-Kategorie'!$A$5:$N$45,5,0)+0,0))</f>
        <v>20</v>
      </c>
      <c r="CQ54" s="65" t="n">
        <f aca="false">IFERROR(IF(OR(CF54=1,CF54=2,CF54=3),N(INDEX(Parameter!$I$5:$I$7,CF54)),0),0)</f>
        <v>0</v>
      </c>
      <c r="CR54" s="64" t="n">
        <f aca="false">IF(AND(Parameter!$B$21="Ja",ISNUMBER(W54),N(X54)&gt;0),IFERROR(N(INDEX(Parameter!$L$5:$L$7,W54))*INDEX(Parameter!$E$5:$E$7,W54)*X54/SUMIFS($X$7:$X$1843,$W$7:$W$1843,W54),0),0)</f>
        <v>0</v>
      </c>
      <c r="CS54" s="62" t="str">
        <f aca="false">IF(AND(OR(CG54="L1",CG54="L23",CG54="LIFT"),H54&gt;0),CC54*IF(CR54&gt;0,CR54*MAX(1,H54/X54),IF(CA54=1,CE54,IF(R54&gt;0,CN54/R54,0))/MAX(0.1,N(Parameter!$M$21))),"")</f>
        <v/>
      </c>
      <c r="CT54" s="64" t="str">
        <f aca="false">IF(CS54="","",J54/H54)</f>
        <v/>
      </c>
      <c r="CU54" s="62" t="str">
        <f aca="false">IF(CS54="","",H54*G54)</f>
        <v/>
      </c>
      <c r="CV54" s="63" t="str">
        <f aca="false">IF(CS54="","",(CL54+ROUNDUP(CL54+MAX(CM54,2*(J54/MAX(0.1,N(Einkauf!$C$6))-CL54)),0))/2)</f>
        <v/>
      </c>
      <c r="CW54" s="62" t="str">
        <f aca="false">IF(CS54="","",MAX(0,H54-CV54)*G54)</f>
        <v/>
      </c>
      <c r="CX54" s="62" t="str">
        <f aca="false">IF(CS54="","",CS54*MAX(0,1-CV54/H54))</f>
        <v/>
      </c>
      <c r="CY54" s="64" t="str">
        <f aca="false">IF(CS54="","",PERCENTRANK($CS$7:$CS$1843,CS54)+PERCENTRANK($CU$7:$CU$1843,CU54)+1-PERCENTRANK($CT$7:$CT$1843,CT54))</f>
        <v/>
      </c>
      <c r="CZ54" s="72" t="str">
        <f aca="false">IF(CS54="","",CHOOSE(MATCH(Einkauf!$C$5,Parameter!$G$23:$G$27,0),CY54,CS54,CU54,-CT54,CW54)+ROW()/1000000000)</f>
        <v/>
      </c>
    </row>
    <row r="55" customFormat="false" ht="15" hidden="false" customHeight="false" outlineLevel="0" collapsed="false">
      <c r="A55" s="60" t="s">
        <v>346</v>
      </c>
      <c r="B55" s="60" t="s">
        <v>347</v>
      </c>
      <c r="C55" s="60" t="s">
        <v>206</v>
      </c>
      <c r="D55" s="60" t="s">
        <v>215</v>
      </c>
      <c r="E55" s="60"/>
      <c r="F55" s="60" t="s">
        <v>260</v>
      </c>
      <c r="G55" s="61" t="n">
        <v>431.48</v>
      </c>
      <c r="H55" s="62" t="n">
        <f aca="false">MAX(0,IF(AND(Parameter!$B$21="Ja",ISNUMBER(Y55)),Y55,IF(Parameter!$B$20="Jahresanfang 2025 + Export",BS55+BR55,BR55)))</f>
        <v>11</v>
      </c>
      <c r="I55" s="62" t="n">
        <f aca="false">H55*G55</f>
        <v>4746.28</v>
      </c>
      <c r="J55" s="62" t="n">
        <f aca="false">BU55*Parameter!$B$18</f>
        <v>0</v>
      </c>
      <c r="K55" s="63" t="n">
        <v>0</v>
      </c>
      <c r="L55" s="64" t="n">
        <v>0</v>
      </c>
      <c r="M55" s="62" t="n">
        <v>2</v>
      </c>
      <c r="N55" s="62" t="n">
        <v>4</v>
      </c>
      <c r="O55" s="65" t="n">
        <v>28</v>
      </c>
      <c r="P55" s="60" t="s">
        <v>210</v>
      </c>
      <c r="Q55" s="62"/>
      <c r="R55" s="65" t="n">
        <f aca="false">IF(CA55=1,0,IFERROR(VLOOKUP(BY55,'Gebinde-Kategorie'!$A$5:$N$45,13,0)+0,0))</f>
        <v>12</v>
      </c>
      <c r="S55" s="66"/>
      <c r="T55" s="67" t="s">
        <v>221</v>
      </c>
      <c r="U55" s="67"/>
      <c r="V55" s="67"/>
      <c r="W55" s="60"/>
      <c r="X55" s="62"/>
      <c r="Y55" s="62"/>
      <c r="Z55" s="60" t="n">
        <v>3</v>
      </c>
      <c r="AA55" s="60" t="n">
        <f aca="false">IF(A55="","",IF(AND(Parameter!$B$21="Ja",ISNUMBER(W55)),W55,IF(AND(Parameter!$E$27="Ja",ISNUMBER(Z55),CD55&lt;&gt;"Nein"),Z55,IF(CD55="2+3",IF(ISNUMBER(SEARCH("grosser Artikel",BV55)),2,IFERROR(VLOOKUP(BY55,Parameter!$F$35:$G$64,2,0),2)),IF(OR(CD55="Nein",CD55=""),"-",CD55)))))</f>
        <v>3</v>
      </c>
      <c r="AB55" s="67"/>
      <c r="AC55" s="68"/>
      <c r="AD55" s="62" t="n">
        <f aca="false">AW55</f>
        <v>6</v>
      </c>
      <c r="AE55" s="62" t="n">
        <f aca="false">MAX(AW55,H55)</f>
        <v>11</v>
      </c>
      <c r="AF55" s="69"/>
      <c r="AG55" s="62" t="n">
        <f aca="false">IF(LEFT(Cockpit!$C$5,1)="A",H55,IF(Parameter!$E$30="MAX-Bestand",IF(CI55=1,CJ55,IF(LEFT(Cockpit!$C$5,1)="B",AM55,MAX(AM55,H55))),ROUNDUP(AK55,0)))</f>
        <v>11</v>
      </c>
      <c r="AH55" s="62" t="n">
        <f aca="false">IF(CA55=1,0,ROUNDUP(AG55/BZ55,0))</f>
        <v>1</v>
      </c>
      <c r="AI55" s="64" t="n">
        <f aca="false">IF(CR55&gt;0,CR55*MAX(1,AG55/X55),IF(CA55=1,IF(AG55&lt;=0,0,CE55*MAX(1,IF(H55&gt;0,AG55/H55,1))),IF(R55&gt;0,AH55/R55,0))/MAX(0.1,N(Parameter!$M$21)))</f>
        <v>0.0833333333333333</v>
      </c>
      <c r="AJ55" s="62" t="n">
        <f aca="false">AI55*CC55</f>
        <v>12.0833333333333</v>
      </c>
      <c r="AK55" s="63" t="n">
        <f aca="false">IF(LEFT(Cockpit!$C$5,1)="A",H55,IF(CI55=1,(CL55+CJ55)/2,IF(LEFT(Cockpit!$C$5,1)="B",(CL55+AM55)/2,MAX((CL55+AM55)/2,H55))))</f>
        <v>11</v>
      </c>
      <c r="AL55" s="62" t="n">
        <f aca="false">AK55*G55</f>
        <v>4746.28</v>
      </c>
      <c r="AM55" s="62" t="n">
        <f aca="false">ROUNDUP(CL55+MAX(CM55,2*(J55/IF(CH55&gt;0,CH55,MAX(0.1,N(Cockpit!$C$6)))-CL55)),0)</f>
        <v>6</v>
      </c>
      <c r="AN55" s="63" t="n">
        <f aca="false">IF(AJ55&gt;0,J55/AJ55,-1)</f>
        <v>0</v>
      </c>
      <c r="AO55" s="63" t="n">
        <f aca="false">IF(AND(OR(CG55="L1",CG55="L23",CG55="LIFT"),AJ55&gt;0),SUMIFS($AJ$7:$AJ$1843,$CG$7:$CG$1843,CG55,$AN$7:$AN$1843,"&gt;"&amp;AN55)+SUMIFS($AJ$7:$AJ$1843,$CG$7:$CG$1843,CG55,$AN$7:$AN$1843,AN55,$BX$7:$BX$1843,"&lt;="&amp;BX55),"")</f>
        <v>26317.158587881</v>
      </c>
      <c r="AP55" s="70" t="n">
        <f aca="false">IF(AO55="",0,MAX(0,MIN(1,(IF(CG55="L1",Parameter!$H$5,IF(CG55="L23",Parameter!$H$6+Parameter!$H$7,Parameter!$H$5+Parameter!$H$6+Parameter!$H$7))-(AO55-AJ55))/AJ55)))</f>
        <v>1</v>
      </c>
      <c r="AQ55" s="62" t="n">
        <f aca="false">IF(LEFT(Cockpit!$I$5,1)="A",H55,IF(Parameter!$E$30="MAX-Bestand",IF(CI55=1,CJ55,IF(LEFT(Cockpit!$I$5,1)="B",AW55,MAX(AW55,H55))),ROUNDUP(AU55,0)))</f>
        <v>11</v>
      </c>
      <c r="AR55" s="62" t="n">
        <f aca="false">IF(CA55=1,0,ROUNDUP(AQ55/BZ55,0))</f>
        <v>1</v>
      </c>
      <c r="AS55" s="64" t="n">
        <f aca="false">IF(CR55&gt;0,CR55*MAX(1,AQ55/X55),IF(CA55=1,IF(AQ55&lt;=0,0,CE55*MAX(1,IF(H55&gt;0,AQ55/H55,1))),IF(R55&gt;0,AR55/R55,0))/MAX(0.1,N(Parameter!$M$21)))</f>
        <v>0.0833333333333333</v>
      </c>
      <c r="AT55" s="62" t="n">
        <f aca="false">AS55*CC55</f>
        <v>12.0833333333333</v>
      </c>
      <c r="AU55" s="63" t="n">
        <f aca="false">IF(LEFT(Cockpit!$I$5,1)="A",H55,IF(CI55=1,(CL55+CJ55)/2,IF(LEFT(Cockpit!$I$5,1)="B",(CL55+AW55)/2,MAX((CL55+AW55)/2,H55))))</f>
        <v>11</v>
      </c>
      <c r="AV55" s="62" t="n">
        <f aca="false">AU55*G55</f>
        <v>4746.28</v>
      </c>
      <c r="AW55" s="62" t="n">
        <f aca="false">ROUNDUP(CL55+MAX(CM55,2*(J55/IF(CH55&gt;0,CH55,MAX(0.1,N(Cockpit!$I$6)))-CL55)),0)</f>
        <v>6</v>
      </c>
      <c r="AX55" s="63" t="n">
        <f aca="false">IF(AT55&gt;0,J55/AT55,-1)</f>
        <v>0</v>
      </c>
      <c r="AY55" s="63" t="n">
        <f aca="false">IF(AND(OR(CG55="L1",CG55="L23",CG55="LIFT"),AT55&gt;0),SUMIFS($AT$7:$AT$1843,$CG$7:$CG$1843,CG55,$AX$7:$AX$1843,"&gt;"&amp;AX55)+SUMIFS($AT$7:$AT$1843,$CG$7:$CG$1843,CG55,$AX$7:$AX$1843,AX55,$BX$7:$BX$1843,"&lt;="&amp;BX55),"")</f>
        <v>31670.3072292585</v>
      </c>
      <c r="AZ55" s="70" t="n">
        <f aca="false">IF(AY55="",0,MAX(0,MIN(1,(IF(CG55="L1",Parameter!$H$5,IF(CG55="L23",Parameter!$H$6+Parameter!$H$7,Parameter!$H$5+Parameter!$H$6+Parameter!$H$7))-(AY55-AT55))/AT55)))</f>
        <v>1</v>
      </c>
      <c r="BA55" s="62" t="n">
        <f aca="false">IF(LEFT(Cockpit!$O$5,1)="A",H55,IF(Parameter!$E$30="MAX-Bestand",IF(CI55=1,CJ55,IF(LEFT(Cockpit!$O$5,1)="B",BG55,MAX(BG55,H55))),ROUNDUP(BE55,0)))</f>
        <v>4</v>
      </c>
      <c r="BB55" s="62" t="n">
        <f aca="false">IF(CA55=1,0,ROUNDUP(BA55/BZ55,0))</f>
        <v>1</v>
      </c>
      <c r="BC55" s="64" t="n">
        <f aca="false">IF(CR55&gt;0,CR55*MAX(1,BA55/X55),IF(CA55=1,IF(BA55&lt;=0,0,CE55*MAX(1,IF(H55&gt;0,BA55/H55,1))),IF(R55&gt;0,BB55/R55,0))/MAX(0.1,N(Parameter!$M$21)))</f>
        <v>0.0833333333333333</v>
      </c>
      <c r="BD55" s="62" t="n">
        <f aca="false">BC55*CC55</f>
        <v>12.0833333333333</v>
      </c>
      <c r="BE55" s="63" t="n">
        <f aca="false">IF(LEFT(Cockpit!$O$5,1)="A",H55,IF(CI55=1,(CL55+CJ55)/2,IF(LEFT(Cockpit!$O$5,1)="B",(CL55+BG55)/2,MAX((CL55+BG55)/2,H55))))</f>
        <v>4</v>
      </c>
      <c r="BF55" s="62" t="n">
        <f aca="false">BE55*G55</f>
        <v>1725.92</v>
      </c>
      <c r="BG55" s="62" t="n">
        <f aca="false">ROUNDUP(CL55+MAX(CM55,2*(J55/IF(CH55&gt;0,CH55,MAX(0.1,N(Cockpit!$O$6)))-CL55)),0)</f>
        <v>6</v>
      </c>
      <c r="BH55" s="63" t="n">
        <f aca="false">IF(BD55&gt;0,J55/BD55,-1)</f>
        <v>0</v>
      </c>
      <c r="BI55" s="63" t="n">
        <f aca="false">IF(AND(OR(CG55="L1",CG55="L23",CG55="LIFT"),BD55&gt;0),SUMIFS($BD$7:$BD$1843,$CG$7:$CG$1843,CG55,$BH$7:$BH$1843,"&gt;"&amp;BH55)+SUMIFS($BD$7:$BD$1843,$CG$7:$CG$1843,CG55,$BH$7:$BH$1843,BH55,$BX$7:$BX$1843,"&lt;="&amp;BX55),"")</f>
        <v>25866.8890725564</v>
      </c>
      <c r="BJ55" s="70" t="n">
        <f aca="false">IF(BI55="",0,MAX(0,MIN(1,(IF(CG55="L1",Parameter!$H$5,IF(CG55="L23",Parameter!$H$6+Parameter!$H$7,Parameter!$H$5+Parameter!$H$6+Parameter!$H$7))-(BI55-BD55))/BD55)))</f>
        <v>1</v>
      </c>
      <c r="BK55" s="60" t="str">
        <f aca="false">IF(AJ55&lt;=0,"",IF(CG55="Aussen","Aussenlager",IF(CG55="-","Nicht im Lift",IF(AP55&gt;=1,"Lift",IF(AP55&lt;=0,"Aussenlager","teilweise")))))</f>
        <v>Lift</v>
      </c>
      <c r="BL55" s="60" t="str">
        <f aca="false">IF(AT55&lt;=0,"",IF(CG55="Aussen","Aussenlager",IF(CG55="-","Nicht im Lift",IF(AZ55&gt;=1,"Lift",IF(AZ55&lt;=0,"Aussenlager","teilweise")))))</f>
        <v>Lift</v>
      </c>
      <c r="BM55" s="60" t="str">
        <f aca="false">IF(BD55&lt;=0,"",IF(CG55="Aussen","Aussenlager",IF(CG55="-","Nicht im Lift",IF(BJ55&gt;=1,"Lift",IF(BJ55&lt;=0,"Aussenlager","teilweise")))))</f>
        <v>Lift</v>
      </c>
      <c r="BN55" s="60" t="str">
        <f aca="false">IF(A55="","",IF(BW55=1,"Neu; ","")&amp;IF(AND(BW55=0,BR55&lt;0),"negativer Bestand (Export "&amp;BR55&amp;"); ","")&amp;IF(J55&lt;=0,"Kein Verbrauch; ","")&amp;IF(CR55&gt;0,"Lift "&amp;W55&amp;" lt. Liftbericht (Fach "&amp;X55&amp;" Stk); ",IF(CB55=1,"Gebinde geschätzt ("&amp;T55&amp;"); ",IF(CA55=1,"Lose – Tablare geschätzt; ","")))&amp;IF(H55&gt;AW55,"Überbestand "&amp;ROUND(H55-AW55,0)&amp;" Stk / CHF "&amp;ROUND((H55-AW55)*G55,0)&amp;"; ","")&amp;IF(AND(CI55=1,CJ55&lt;CK55),"MAX &lt; MB+LG; ","")&amp;IF(AND(CQ55&gt;0,CP55*10&gt;CQ55),"zu hoch für Tablar; ","")&amp;IF(AND(BW55=0,OR(CI55=1,AB55&lt;&gt;"",U55&lt;&gt;"",V55&lt;&gt;"",AC55&lt;&gt;"")),"manuell übersteuert; ","")&amp;IF(AND(CA55=0,R55=0),"Gebinde unbekannt / Stellmass fehlt; ","")&amp;IF(AND(CA55=0,N(V55)&lt;=0,N(Q55)&lt;=0),"Menge pro Gebinde fehlt (Ist = 1 Gebinde); ","")&amp;BV55)</f>
        <v>Kein Verbrauch; Gebinde geschätzt (Mittel); Überbestand 5 Stk / CHF 2157; Menge pro Gebinde fehlt (Ist = 1 Gebinde); </v>
      </c>
      <c r="BO55" s="60" t="s">
        <v>348</v>
      </c>
      <c r="BP55" s="60"/>
      <c r="BQ55" s="67"/>
      <c r="BR55" s="62" t="n">
        <v>11</v>
      </c>
      <c r="BS55" s="62" t="n">
        <v>0</v>
      </c>
      <c r="BT55" s="61" t="n">
        <v>4746.28</v>
      </c>
      <c r="BU55" s="62" t="n">
        <v>0</v>
      </c>
      <c r="BV55" s="60"/>
      <c r="BW55" s="65" t="n">
        <v>0</v>
      </c>
      <c r="BX55" s="65" t="n">
        <v>55</v>
      </c>
      <c r="BY55" s="60" t="str">
        <f aca="false">IF(U55&lt;&gt;"",UPPER(TRIM(U55)),IF(CB55=1,UPPER(VLOOKUP(T55,Parameter!$I$27:$K$29,2,0)),IF(P55="","LOSE",P55)))</f>
        <v>S61</v>
      </c>
      <c r="BZ55" s="62" t="n">
        <f aca="false">IF(BY55="LOSE",1,IF(N(V55)&gt;0,V55,IF(CB55=1,MAX(1,N(VLOOKUP(T55,Parameter!$I$27:$K$29,3,0)),H55,N(N55)),IF(N(Q55)&gt;0,Q55,MAX(1,H55)))))</f>
        <v>11</v>
      </c>
      <c r="CA55" s="65" t="n">
        <f aca="false">IF(BY55="LOSE",1,0)</f>
        <v>0</v>
      </c>
      <c r="CB55" s="65" t="n">
        <f aca="false">IF(AND(U55="",OR(P55="",P55="LOSE"),T55&lt;&gt;"",N(S55)&lt;=0,ISNUMBER(MATCH(T55,Parameter!$I$27:$I$29,0))),1,0)</f>
        <v>1</v>
      </c>
      <c r="CC55" s="65" t="n">
        <f aca="false">IF(CR55&gt;0,INDEX(Parameter!$H$5:$H$7,W55)/INDEX(Parameter!$E$5:$E$7,W55),IF(AND(CA55=0,N(IFERROR(VLOOKUP(BY55,'Gebinde-Kategorie'!$A$5:$N$45,14,0),0))&gt;0),VLOOKUP(BY55,'Gebinde-Kategorie'!$A$5:$N$45,14,0)*10+Parameter!$M$23,Parameter!$M$24))</f>
        <v>145</v>
      </c>
      <c r="CD55" s="60" t="str">
        <f aca="false">IF(AND(Parameter!$B$19="Ja",E55&lt;&gt;"",ISNUMBER(MATCH(E55,Parameter!$I$35:$I$52,0))),VLOOKUP(E55,Parameter!$I$35:$J$52,2,0),IFERROR(VLOOKUP(D55,Parameter!$A$35:$C$64,2,0),"Nein"))</f>
        <v>2+3</v>
      </c>
      <c r="CE55" s="64" t="n">
        <f aca="false">IF(CA55=0,0,IF(N(S55)&gt;0,S55,IFERROR(VLOOKUP(D55,Parameter!$A$35:$C$64,3,0)+0,0)))</f>
        <v>0</v>
      </c>
      <c r="CF55" s="60" t="n">
        <f aca="false">IF(AB55&lt;&gt;"",AB55,AA55)</f>
        <v>3</v>
      </c>
      <c r="CG55" s="60" t="str">
        <f aca="false">IF(OR(CF55=1,CF55=2,CF55=3),IF(Parameter!$E$27="Ja","LIFT",IF(CF55=1,"L1","L23")),IF(CF55="Aussen","Aussen","-"))</f>
        <v>LIFT</v>
      </c>
      <c r="CH55" s="71" t="n">
        <f aca="false">IF(N(AC55)&gt;0,AC55,0)</f>
        <v>0</v>
      </c>
      <c r="CI55" s="65" t="n">
        <f aca="false">IF(ISNUMBER(AF55),1,0)</f>
        <v>0</v>
      </c>
      <c r="CJ55" s="62" t="n">
        <f aca="false">N(AF55)</f>
        <v>0</v>
      </c>
      <c r="CK55" s="62" t="n">
        <f aca="false">N(M55)+N(N55)</f>
        <v>6</v>
      </c>
      <c r="CL55" s="62" t="n">
        <f aca="false">N(M55)</f>
        <v>2</v>
      </c>
      <c r="CM55" s="62" t="n">
        <f aca="false">N(N55)</f>
        <v>4</v>
      </c>
      <c r="CN55" s="62" t="n">
        <f aca="false">ROUNDUP(H55/BZ55,0)</f>
        <v>1</v>
      </c>
      <c r="CO55" s="62" t="n">
        <f aca="false">ROUNDUP(CJ55/BZ55,0)</f>
        <v>0</v>
      </c>
      <c r="CP55" s="65" t="n">
        <f aca="false">IF(CA55=1,0,IFERROR(VLOOKUP(BY55,'Gebinde-Kategorie'!$A$5:$N$45,5,0)+0,0))</f>
        <v>11</v>
      </c>
      <c r="CQ55" s="65" t="n">
        <f aca="false">IFERROR(IF(OR(CF55=1,CF55=2,CF55=3),N(INDEX(Parameter!$I$5:$I$7,CF55)),0),0)</f>
        <v>0</v>
      </c>
      <c r="CR55" s="64" t="n">
        <f aca="false">IF(AND(Parameter!$B$21="Ja",ISNUMBER(W55),N(X55)&gt;0),IFERROR(N(INDEX(Parameter!$L$5:$L$7,W55))*INDEX(Parameter!$E$5:$E$7,W55)*X55/SUMIFS($X$7:$X$1843,$W$7:$W$1843,W55),0),0)</f>
        <v>0</v>
      </c>
      <c r="CS55" s="62" t="n">
        <f aca="false">IF(AND(OR(CG55="L1",CG55="L23",CG55="LIFT"),H55&gt;0),CC55*IF(CR55&gt;0,CR55*MAX(1,H55/X55),IF(CA55=1,CE55,IF(R55&gt;0,CN55/R55,0))/MAX(0.1,N(Parameter!$M$21))),"")</f>
        <v>12.0833333333333</v>
      </c>
      <c r="CT55" s="64" t="n">
        <f aca="false">IF(CS55="","",J55/H55)</f>
        <v>0</v>
      </c>
      <c r="CU55" s="62" t="n">
        <f aca="false">IF(CS55="","",H55*G55)</f>
        <v>4746.28</v>
      </c>
      <c r="CV55" s="63" t="n">
        <f aca="false">IF(CS55="","",(CL55+ROUNDUP(CL55+MAX(CM55,2*(J55/MAX(0.1,N(Einkauf!$C$6))-CL55)),0))/2)</f>
        <v>4</v>
      </c>
      <c r="CW55" s="62" t="n">
        <f aca="false">IF(CS55="","",MAX(0,H55-CV55)*G55)</f>
        <v>3020.36</v>
      </c>
      <c r="CX55" s="62" t="n">
        <f aca="false">IF(CS55="","",CS55*MAX(0,1-CV55/H55))</f>
        <v>7.68939393939394</v>
      </c>
      <c r="CY55" s="64" t="n">
        <f aca="false">IF(CS55="","",PERCENTRANK($CS$7:$CS$1843,CS55)+PERCENTRANK($CU$7:$CU$1843,CU55)+1-PERCENTRANK($CT$7:$CT$1843,CT55))</f>
        <v>2.56</v>
      </c>
      <c r="CZ55" s="72" t="n">
        <f aca="false">IF(CS55="","",CHOOSE(MATCH(Einkauf!$C$5,Parameter!$G$23:$G$27,0),CY55,CS55,CU55,-CT55,CW55)+ROW()/1000000000)</f>
        <v>2.560000055</v>
      </c>
    </row>
    <row r="56" customFormat="false" ht="15" hidden="false" customHeight="false" outlineLevel="0" collapsed="false">
      <c r="A56" s="60" t="s">
        <v>349</v>
      </c>
      <c r="B56" s="60" t="s">
        <v>350</v>
      </c>
      <c r="C56" s="60" t="s">
        <v>206</v>
      </c>
      <c r="D56" s="60" t="s">
        <v>215</v>
      </c>
      <c r="E56" s="60"/>
      <c r="F56" s="60" t="s">
        <v>260</v>
      </c>
      <c r="G56" s="61" t="n">
        <v>455.63</v>
      </c>
      <c r="H56" s="62" t="n">
        <f aca="false">MAX(0,IF(AND(Parameter!$B$21="Ja",ISNUMBER(Y56)),Y56,IF(Parameter!$B$20="Jahresanfang 2025 + Export",BS56+BR56,BR56)))</f>
        <v>10</v>
      </c>
      <c r="I56" s="62" t="n">
        <f aca="false">H56*G56</f>
        <v>4556.3</v>
      </c>
      <c r="J56" s="62" t="n">
        <f aca="false">BU56*Parameter!$B$18</f>
        <v>0</v>
      </c>
      <c r="K56" s="63" t="n">
        <v>0</v>
      </c>
      <c r="L56" s="64" t="n">
        <v>0</v>
      </c>
      <c r="M56" s="62" t="n">
        <v>4</v>
      </c>
      <c r="N56" s="62" t="n">
        <v>16</v>
      </c>
      <c r="O56" s="65" t="n">
        <v>28</v>
      </c>
      <c r="P56" s="60" t="s">
        <v>210</v>
      </c>
      <c r="Q56" s="62"/>
      <c r="R56" s="65" t="n">
        <f aca="false">IF(CA56=1,0,IFERROR(VLOOKUP(BY56,'Gebinde-Kategorie'!$A$5:$N$45,13,0)+0,0))</f>
        <v>12</v>
      </c>
      <c r="S56" s="66"/>
      <c r="T56" s="67" t="s">
        <v>221</v>
      </c>
      <c r="U56" s="67"/>
      <c r="V56" s="67"/>
      <c r="W56" s="60"/>
      <c r="X56" s="62"/>
      <c r="Y56" s="62"/>
      <c r="Z56" s="60" t="n">
        <v>3</v>
      </c>
      <c r="AA56" s="60" t="n">
        <f aca="false">IF(A56="","",IF(AND(Parameter!$B$21="Ja",ISNUMBER(W56)),W56,IF(AND(Parameter!$E$27="Ja",ISNUMBER(Z56),CD56&lt;&gt;"Nein"),Z56,IF(CD56="2+3",IF(ISNUMBER(SEARCH("grosser Artikel",BV56)),2,IFERROR(VLOOKUP(BY56,Parameter!$F$35:$G$64,2,0),2)),IF(OR(CD56="Nein",CD56=""),"-",CD56)))))</f>
        <v>3</v>
      </c>
      <c r="AB56" s="67"/>
      <c r="AC56" s="68"/>
      <c r="AD56" s="62" t="n">
        <f aca="false">AW56</f>
        <v>20</v>
      </c>
      <c r="AE56" s="62" t="n">
        <f aca="false">MAX(AW56,H56)</f>
        <v>20</v>
      </c>
      <c r="AF56" s="69"/>
      <c r="AG56" s="62" t="n">
        <f aca="false">IF(LEFT(Cockpit!$C$5,1)="A",H56,IF(Parameter!$E$30="MAX-Bestand",IF(CI56=1,CJ56,IF(LEFT(Cockpit!$C$5,1)="B",AM56,MAX(AM56,H56))),ROUNDUP(AK56,0)))</f>
        <v>10</v>
      </c>
      <c r="AH56" s="62" t="n">
        <f aca="false">IF(CA56=1,0,ROUNDUP(AG56/BZ56,0))</f>
        <v>1</v>
      </c>
      <c r="AI56" s="64" t="n">
        <f aca="false">IF(CR56&gt;0,CR56*MAX(1,AG56/X56),IF(CA56=1,IF(AG56&lt;=0,0,CE56*MAX(1,IF(H56&gt;0,AG56/H56,1))),IF(R56&gt;0,AH56/R56,0))/MAX(0.1,N(Parameter!$M$21)))</f>
        <v>0.0833333333333333</v>
      </c>
      <c r="AJ56" s="62" t="n">
        <f aca="false">AI56*CC56</f>
        <v>12.0833333333333</v>
      </c>
      <c r="AK56" s="63" t="n">
        <f aca="false">IF(LEFT(Cockpit!$C$5,1)="A",H56,IF(CI56=1,(CL56+CJ56)/2,IF(LEFT(Cockpit!$C$5,1)="B",(CL56+AM56)/2,MAX((CL56+AM56)/2,H56))))</f>
        <v>10</v>
      </c>
      <c r="AL56" s="62" t="n">
        <f aca="false">AK56*G56</f>
        <v>4556.3</v>
      </c>
      <c r="AM56" s="62" t="n">
        <f aca="false">ROUNDUP(CL56+MAX(CM56,2*(J56/IF(CH56&gt;0,CH56,MAX(0.1,N(Cockpit!$C$6)))-CL56)),0)</f>
        <v>20</v>
      </c>
      <c r="AN56" s="63" t="n">
        <f aca="false">IF(AJ56&gt;0,J56/AJ56,-1)</f>
        <v>0</v>
      </c>
      <c r="AO56" s="63" t="n">
        <f aca="false">IF(AND(OR(CG56="L1",CG56="L23",CG56="LIFT"),AJ56&gt;0),SUMIFS($AJ$7:$AJ$1843,$CG$7:$CG$1843,CG56,$AN$7:$AN$1843,"&gt;"&amp;AN56)+SUMIFS($AJ$7:$AJ$1843,$CG$7:$CG$1843,CG56,$AN$7:$AN$1843,AN56,$BX$7:$BX$1843,"&lt;="&amp;BX56),"")</f>
        <v>26329.2419212144</v>
      </c>
      <c r="AP56" s="70" t="n">
        <f aca="false">IF(AO56="",0,MAX(0,MIN(1,(IF(CG56="L1",Parameter!$H$5,IF(CG56="L23",Parameter!$H$6+Parameter!$H$7,Parameter!$H$5+Parameter!$H$6+Parameter!$H$7))-(AO56-AJ56))/AJ56)))</f>
        <v>1</v>
      </c>
      <c r="AQ56" s="62" t="n">
        <f aca="false">IF(LEFT(Cockpit!$I$5,1)="A",H56,IF(Parameter!$E$30="MAX-Bestand",IF(CI56=1,CJ56,IF(LEFT(Cockpit!$I$5,1)="B",AW56,MAX(AW56,H56))),ROUNDUP(AU56,0)))</f>
        <v>12</v>
      </c>
      <c r="AR56" s="62" t="n">
        <f aca="false">IF(CA56=1,0,ROUNDUP(AQ56/BZ56,0))</f>
        <v>1</v>
      </c>
      <c r="AS56" s="64" t="n">
        <f aca="false">IF(CR56&gt;0,CR56*MAX(1,AQ56/X56),IF(CA56=1,IF(AQ56&lt;=0,0,CE56*MAX(1,IF(H56&gt;0,AQ56/H56,1))),IF(R56&gt;0,AR56/R56,0))/MAX(0.1,N(Parameter!$M$21)))</f>
        <v>0.0833333333333333</v>
      </c>
      <c r="AT56" s="62" t="n">
        <f aca="false">AS56*CC56</f>
        <v>12.0833333333333</v>
      </c>
      <c r="AU56" s="63" t="n">
        <f aca="false">IF(LEFT(Cockpit!$I$5,1)="A",H56,IF(CI56=1,(CL56+CJ56)/2,IF(LEFT(Cockpit!$I$5,1)="B",(CL56+AW56)/2,MAX((CL56+AW56)/2,H56))))</f>
        <v>12</v>
      </c>
      <c r="AV56" s="62" t="n">
        <f aca="false">AU56*G56</f>
        <v>5467.56</v>
      </c>
      <c r="AW56" s="62" t="n">
        <f aca="false">ROUNDUP(CL56+MAX(CM56,2*(J56/IF(CH56&gt;0,CH56,MAX(0.1,N(Cockpit!$I$6)))-CL56)),0)</f>
        <v>20</v>
      </c>
      <c r="AX56" s="63" t="n">
        <f aca="false">IF(AT56&gt;0,J56/AT56,-1)</f>
        <v>0</v>
      </c>
      <c r="AY56" s="63" t="n">
        <f aca="false">IF(AND(OR(CG56="L1",CG56="L23",CG56="LIFT"),AT56&gt;0),SUMIFS($AT$7:$AT$1843,$CG$7:$CG$1843,CG56,$AX$7:$AX$1843,"&gt;"&amp;AX56)+SUMIFS($AT$7:$AT$1843,$CG$7:$CG$1843,CG56,$AX$7:$AX$1843,AX56,$BX$7:$BX$1843,"&lt;="&amp;BX56),"")</f>
        <v>31682.3905625918</v>
      </c>
      <c r="AZ56" s="70" t="n">
        <f aca="false">IF(AY56="",0,MAX(0,MIN(1,(IF(CG56="L1",Parameter!$H$5,IF(CG56="L23",Parameter!$H$6+Parameter!$H$7,Parameter!$H$5+Parameter!$H$6+Parameter!$H$7))-(AY56-AT56))/AT56)))</f>
        <v>1</v>
      </c>
      <c r="BA56" s="62" t="n">
        <f aca="false">IF(LEFT(Cockpit!$O$5,1)="A",H56,IF(Parameter!$E$30="MAX-Bestand",IF(CI56=1,CJ56,IF(LEFT(Cockpit!$O$5,1)="B",BG56,MAX(BG56,H56))),ROUNDUP(BE56,0)))</f>
        <v>12</v>
      </c>
      <c r="BB56" s="62" t="n">
        <f aca="false">IF(CA56=1,0,ROUNDUP(BA56/BZ56,0))</f>
        <v>1</v>
      </c>
      <c r="BC56" s="64" t="n">
        <f aca="false">IF(CR56&gt;0,CR56*MAX(1,BA56/X56),IF(CA56=1,IF(BA56&lt;=0,0,CE56*MAX(1,IF(H56&gt;0,BA56/H56,1))),IF(R56&gt;0,BB56/R56,0))/MAX(0.1,N(Parameter!$M$21)))</f>
        <v>0.0833333333333333</v>
      </c>
      <c r="BD56" s="62" t="n">
        <f aca="false">BC56*CC56</f>
        <v>12.0833333333333</v>
      </c>
      <c r="BE56" s="63" t="n">
        <f aca="false">IF(LEFT(Cockpit!$O$5,1)="A",H56,IF(CI56=1,(CL56+CJ56)/2,IF(LEFT(Cockpit!$O$5,1)="B",(CL56+BG56)/2,MAX((CL56+BG56)/2,H56))))</f>
        <v>12</v>
      </c>
      <c r="BF56" s="62" t="n">
        <f aca="false">BE56*G56</f>
        <v>5467.56</v>
      </c>
      <c r="BG56" s="62" t="n">
        <f aca="false">ROUNDUP(CL56+MAX(CM56,2*(J56/IF(CH56&gt;0,CH56,MAX(0.1,N(Cockpit!$O$6)))-CL56)),0)</f>
        <v>20</v>
      </c>
      <c r="BH56" s="63" t="n">
        <f aca="false">IF(BD56&gt;0,J56/BD56,-1)</f>
        <v>0</v>
      </c>
      <c r="BI56" s="63" t="n">
        <f aca="false">IF(AND(OR(CG56="L1",CG56="L23",CG56="LIFT"),BD56&gt;0),SUMIFS($BD$7:$BD$1843,$CG$7:$CG$1843,CG56,$BH$7:$BH$1843,"&gt;"&amp;BH56)+SUMIFS($BD$7:$BD$1843,$CG$7:$CG$1843,CG56,$BH$7:$BH$1843,BH56,$BX$7:$BX$1843,"&lt;="&amp;BX56),"")</f>
        <v>25878.9724058898</v>
      </c>
      <c r="BJ56" s="70" t="n">
        <f aca="false">IF(BI56="",0,MAX(0,MIN(1,(IF(CG56="L1",Parameter!$H$5,IF(CG56="L23",Parameter!$H$6+Parameter!$H$7,Parameter!$H$5+Parameter!$H$6+Parameter!$H$7))-(BI56-BD56))/BD56)))</f>
        <v>1</v>
      </c>
      <c r="BK56" s="60" t="str">
        <f aca="false">IF(AJ56&lt;=0,"",IF(CG56="Aussen","Aussenlager",IF(CG56="-","Nicht im Lift",IF(AP56&gt;=1,"Lift",IF(AP56&lt;=0,"Aussenlager","teilweise")))))</f>
        <v>Lift</v>
      </c>
      <c r="BL56" s="60" t="str">
        <f aca="false">IF(AT56&lt;=0,"",IF(CG56="Aussen","Aussenlager",IF(CG56="-","Nicht im Lift",IF(AZ56&gt;=1,"Lift",IF(AZ56&lt;=0,"Aussenlager","teilweise")))))</f>
        <v>Lift</v>
      </c>
      <c r="BM56" s="60" t="str">
        <f aca="false">IF(BD56&lt;=0,"",IF(CG56="Aussen","Aussenlager",IF(CG56="-","Nicht im Lift",IF(BJ56&gt;=1,"Lift",IF(BJ56&lt;=0,"Aussenlager","teilweise")))))</f>
        <v>Lift</v>
      </c>
      <c r="BN56" s="60" t="str">
        <f aca="false">IF(A56="","",IF(BW56=1,"Neu; ","")&amp;IF(AND(BW56=0,BR56&lt;0),"negativer Bestand (Export "&amp;BR56&amp;"); ","")&amp;IF(J56&lt;=0,"Kein Verbrauch; ","")&amp;IF(CR56&gt;0,"Lift "&amp;W56&amp;" lt. Liftbericht (Fach "&amp;X56&amp;" Stk); ",IF(CB56=1,"Gebinde geschätzt ("&amp;T56&amp;"); ",IF(CA56=1,"Lose – Tablare geschätzt; ","")))&amp;IF(H56&gt;AW56,"Überbestand "&amp;ROUND(H56-AW56,0)&amp;" Stk / CHF "&amp;ROUND((H56-AW56)*G56,0)&amp;"; ","")&amp;IF(AND(CI56=1,CJ56&lt;CK56),"MAX &lt; MB+LG; ","")&amp;IF(AND(CQ56&gt;0,CP56*10&gt;CQ56),"zu hoch für Tablar; ","")&amp;IF(AND(BW56=0,OR(CI56=1,AB56&lt;&gt;"",U56&lt;&gt;"",V56&lt;&gt;"",AC56&lt;&gt;"")),"manuell übersteuert; ","")&amp;IF(AND(CA56=0,R56=0),"Gebinde unbekannt / Stellmass fehlt; ","")&amp;IF(AND(CA56=0,N(V56)&lt;=0,N(Q56)&lt;=0),"Menge pro Gebinde fehlt (Ist = 1 Gebinde); ","")&amp;BV56)</f>
        <v>Kein Verbrauch; Gebinde geschätzt (Mittel); Menge pro Gebinde fehlt (Ist = 1 Gebinde); </v>
      </c>
      <c r="BO56" s="60" t="s">
        <v>256</v>
      </c>
      <c r="BP56" s="60"/>
      <c r="BQ56" s="67"/>
      <c r="BR56" s="62" t="n">
        <v>10</v>
      </c>
      <c r="BS56" s="62" t="n">
        <v>0</v>
      </c>
      <c r="BT56" s="61" t="n">
        <v>4556.3</v>
      </c>
      <c r="BU56" s="62" t="n">
        <v>0</v>
      </c>
      <c r="BV56" s="60"/>
      <c r="BW56" s="65" t="n">
        <v>0</v>
      </c>
      <c r="BX56" s="65" t="n">
        <v>56</v>
      </c>
      <c r="BY56" s="60" t="str">
        <f aca="false">IF(U56&lt;&gt;"",UPPER(TRIM(U56)),IF(CB56=1,UPPER(VLOOKUP(T56,Parameter!$I$27:$K$29,2,0)),IF(P56="","LOSE",P56)))</f>
        <v>S61</v>
      </c>
      <c r="BZ56" s="62" t="n">
        <f aca="false">IF(BY56="LOSE",1,IF(N(V56)&gt;0,V56,IF(CB56=1,MAX(1,N(VLOOKUP(T56,Parameter!$I$27:$K$29,3,0)),H56,N(N56)),IF(N(Q56)&gt;0,Q56,MAX(1,H56)))))</f>
        <v>16</v>
      </c>
      <c r="CA56" s="65" t="n">
        <f aca="false">IF(BY56="LOSE",1,0)</f>
        <v>0</v>
      </c>
      <c r="CB56" s="65" t="n">
        <f aca="false">IF(AND(U56="",OR(P56="",P56="LOSE"),T56&lt;&gt;"",N(S56)&lt;=0,ISNUMBER(MATCH(T56,Parameter!$I$27:$I$29,0))),1,0)</f>
        <v>1</v>
      </c>
      <c r="CC56" s="65" t="n">
        <f aca="false">IF(CR56&gt;0,INDEX(Parameter!$H$5:$H$7,W56)/INDEX(Parameter!$E$5:$E$7,W56),IF(AND(CA56=0,N(IFERROR(VLOOKUP(BY56,'Gebinde-Kategorie'!$A$5:$N$45,14,0),0))&gt;0),VLOOKUP(BY56,'Gebinde-Kategorie'!$A$5:$N$45,14,0)*10+Parameter!$M$23,Parameter!$M$24))</f>
        <v>145</v>
      </c>
      <c r="CD56" s="60" t="str">
        <f aca="false">IF(AND(Parameter!$B$19="Ja",E56&lt;&gt;"",ISNUMBER(MATCH(E56,Parameter!$I$35:$I$52,0))),VLOOKUP(E56,Parameter!$I$35:$J$52,2,0),IFERROR(VLOOKUP(D56,Parameter!$A$35:$C$64,2,0),"Nein"))</f>
        <v>2+3</v>
      </c>
      <c r="CE56" s="64" t="n">
        <f aca="false">IF(CA56=0,0,IF(N(S56)&gt;0,S56,IFERROR(VLOOKUP(D56,Parameter!$A$35:$C$64,3,0)+0,0)))</f>
        <v>0</v>
      </c>
      <c r="CF56" s="60" t="n">
        <f aca="false">IF(AB56&lt;&gt;"",AB56,AA56)</f>
        <v>3</v>
      </c>
      <c r="CG56" s="60" t="str">
        <f aca="false">IF(OR(CF56=1,CF56=2,CF56=3),IF(Parameter!$E$27="Ja","LIFT",IF(CF56=1,"L1","L23")),IF(CF56="Aussen","Aussen","-"))</f>
        <v>LIFT</v>
      </c>
      <c r="CH56" s="71" t="n">
        <f aca="false">IF(N(AC56)&gt;0,AC56,0)</f>
        <v>0</v>
      </c>
      <c r="CI56" s="65" t="n">
        <f aca="false">IF(ISNUMBER(AF56),1,0)</f>
        <v>0</v>
      </c>
      <c r="CJ56" s="62" t="n">
        <f aca="false">N(AF56)</f>
        <v>0</v>
      </c>
      <c r="CK56" s="62" t="n">
        <f aca="false">N(M56)+N(N56)</f>
        <v>20</v>
      </c>
      <c r="CL56" s="62" t="n">
        <f aca="false">N(M56)</f>
        <v>4</v>
      </c>
      <c r="CM56" s="62" t="n">
        <f aca="false">N(N56)</f>
        <v>16</v>
      </c>
      <c r="CN56" s="62" t="n">
        <f aca="false">ROUNDUP(H56/BZ56,0)</f>
        <v>1</v>
      </c>
      <c r="CO56" s="62" t="n">
        <f aca="false">ROUNDUP(CJ56/BZ56,0)</f>
        <v>0</v>
      </c>
      <c r="CP56" s="65" t="n">
        <f aca="false">IF(CA56=1,0,IFERROR(VLOOKUP(BY56,'Gebinde-Kategorie'!$A$5:$N$45,5,0)+0,0))</f>
        <v>11</v>
      </c>
      <c r="CQ56" s="65" t="n">
        <f aca="false">IFERROR(IF(OR(CF56=1,CF56=2,CF56=3),N(INDEX(Parameter!$I$5:$I$7,CF56)),0),0)</f>
        <v>0</v>
      </c>
      <c r="CR56" s="64" t="n">
        <f aca="false">IF(AND(Parameter!$B$21="Ja",ISNUMBER(W56),N(X56)&gt;0),IFERROR(N(INDEX(Parameter!$L$5:$L$7,W56))*INDEX(Parameter!$E$5:$E$7,W56)*X56/SUMIFS($X$7:$X$1843,$W$7:$W$1843,W56),0),0)</f>
        <v>0</v>
      </c>
      <c r="CS56" s="62" t="n">
        <f aca="false">IF(AND(OR(CG56="L1",CG56="L23",CG56="LIFT"),H56&gt;0),CC56*IF(CR56&gt;0,CR56*MAX(1,H56/X56),IF(CA56=1,CE56,IF(R56&gt;0,CN56/R56,0))/MAX(0.1,N(Parameter!$M$21))),"")</f>
        <v>12.0833333333333</v>
      </c>
      <c r="CT56" s="64" t="n">
        <f aca="false">IF(CS56="","",J56/H56)</f>
        <v>0</v>
      </c>
      <c r="CU56" s="62" t="n">
        <f aca="false">IF(CS56="","",H56*G56)</f>
        <v>4556.3</v>
      </c>
      <c r="CV56" s="63" t="n">
        <f aca="false">IF(CS56="","",(CL56+ROUNDUP(CL56+MAX(CM56,2*(J56/MAX(0.1,N(Einkauf!$C$6))-CL56)),0))/2)</f>
        <v>12</v>
      </c>
      <c r="CW56" s="62" t="n">
        <f aca="false">IF(CS56="","",MAX(0,H56-CV56)*G56)</f>
        <v>0</v>
      </c>
      <c r="CX56" s="62" t="n">
        <f aca="false">IF(CS56="","",CS56*MAX(0,1-CV56/H56))</f>
        <v>0</v>
      </c>
      <c r="CY56" s="64" t="n">
        <f aca="false">IF(CS56="","",PERCENTRANK($CS$7:$CS$1843,CS56)+PERCENTRANK($CU$7:$CU$1843,CU56)+1-PERCENTRANK($CT$7:$CT$1843,CT56))</f>
        <v>2.553</v>
      </c>
      <c r="CZ56" s="72" t="n">
        <f aca="false">IF(CS56="","",CHOOSE(MATCH(Einkauf!$C$5,Parameter!$G$23:$G$27,0),CY56,CS56,CU56,-CT56,CW56)+ROW()/1000000000)</f>
        <v>2.553000056</v>
      </c>
    </row>
    <row r="57" customFormat="false" ht="15" hidden="false" customHeight="false" outlineLevel="0" collapsed="false">
      <c r="A57" s="60" t="s">
        <v>351</v>
      </c>
      <c r="B57" s="60" t="s">
        <v>352</v>
      </c>
      <c r="C57" s="60" t="s">
        <v>206</v>
      </c>
      <c r="D57" s="60" t="s">
        <v>226</v>
      </c>
      <c r="E57" s="60" t="s">
        <v>227</v>
      </c>
      <c r="F57" s="60" t="s">
        <v>260</v>
      </c>
      <c r="G57" s="61" t="n">
        <v>280.9</v>
      </c>
      <c r="H57" s="62" t="n">
        <f aca="false">MAX(0,IF(AND(Parameter!$B$21="Ja",ISNUMBER(Y57)),Y57,IF(Parameter!$B$20="Jahresanfang 2025 + Export",BS57+BR57,BR57)))</f>
        <v>64</v>
      </c>
      <c r="I57" s="62" t="n">
        <f aca="false">H57*G57</f>
        <v>17977.6</v>
      </c>
      <c r="J57" s="62" t="n">
        <f aca="false">BU57*Parameter!$B$18</f>
        <v>232</v>
      </c>
      <c r="K57" s="63" t="n">
        <v>71</v>
      </c>
      <c r="L57" s="64" t="n">
        <v>3.26760563380282</v>
      </c>
      <c r="M57" s="62" t="n">
        <v>13</v>
      </c>
      <c r="N57" s="62" t="n">
        <v>25</v>
      </c>
      <c r="O57" s="65" t="n">
        <v>21</v>
      </c>
      <c r="P57" s="60" t="s">
        <v>335</v>
      </c>
      <c r="Q57" s="62" t="n">
        <v>89</v>
      </c>
      <c r="R57" s="65" t="n">
        <f aca="false">IF(CA57=1,0,IFERROR(VLOOKUP(BY57,'Gebinde-Kategorie'!$A$5:$N$45,13,0)+0,0))</f>
        <v>12</v>
      </c>
      <c r="S57" s="66"/>
      <c r="T57" s="67"/>
      <c r="U57" s="67"/>
      <c r="V57" s="67"/>
      <c r="W57" s="60"/>
      <c r="X57" s="62"/>
      <c r="Y57" s="62"/>
      <c r="Z57" s="60" t="n">
        <v>3</v>
      </c>
      <c r="AA57" s="60" t="n">
        <f aca="false">IF(A57="","",IF(AND(Parameter!$B$21="Ja",ISNUMBER(W57)),W57,IF(AND(Parameter!$E$27="Ja",ISNUMBER(Z57),CD57&lt;&gt;"Nein"),Z57,IF(CD57="2+3",IF(ISNUMBER(SEARCH("grosser Artikel",BV57)),2,IFERROR(VLOOKUP(BY57,Parameter!$F$35:$G$64,2,0),2)),IF(OR(CD57="Nein",CD57=""),"-",CD57)))))</f>
        <v>3</v>
      </c>
      <c r="AB57" s="67"/>
      <c r="AC57" s="68"/>
      <c r="AD57" s="62" t="n">
        <f aca="false">AW57</f>
        <v>142</v>
      </c>
      <c r="AE57" s="62" t="n">
        <f aca="false">MAX(AW57,H57)</f>
        <v>142</v>
      </c>
      <c r="AF57" s="69"/>
      <c r="AG57" s="62" t="n">
        <f aca="false">IF(LEFT(Cockpit!$C$5,1)="A",H57,IF(Parameter!$E$30="MAX-Bestand",IF(CI57=1,CJ57,IF(LEFT(Cockpit!$C$5,1)="B",AM57,MAX(AM57,H57))),ROUNDUP(AK57,0)))</f>
        <v>64</v>
      </c>
      <c r="AH57" s="62" t="n">
        <f aca="false">IF(CA57=1,0,ROUNDUP(AG57/BZ57,0))</f>
        <v>1</v>
      </c>
      <c r="AI57" s="64" t="n">
        <f aca="false">IF(CR57&gt;0,CR57*MAX(1,AG57/X57),IF(CA57=1,IF(AG57&lt;=0,0,CE57*MAX(1,IF(H57&gt;0,AG57/H57,1))),IF(R57&gt;0,AH57/R57,0))/MAX(0.1,N(Parameter!$M$21)))</f>
        <v>0.0833333333333333</v>
      </c>
      <c r="AJ57" s="62" t="n">
        <f aca="false">AI57*CC57</f>
        <v>20.4166666666667</v>
      </c>
      <c r="AK57" s="63" t="n">
        <f aca="false">IF(LEFT(Cockpit!$C$5,1)="A",H57,IF(CI57=1,(CL57+CJ57)/2,IF(LEFT(Cockpit!$C$5,1)="B",(CL57+AM57)/2,MAX((CL57+AM57)/2,H57))))</f>
        <v>64</v>
      </c>
      <c r="AL57" s="62" t="n">
        <f aca="false">AK57*G57</f>
        <v>17977.6</v>
      </c>
      <c r="AM57" s="62" t="n">
        <f aca="false">ROUNDUP(CL57+MAX(CM57,2*(J57/IF(CH57&gt;0,CH57,MAX(0.1,N(Cockpit!$C$6)))-CL57)),0)</f>
        <v>142</v>
      </c>
      <c r="AN57" s="63" t="n">
        <f aca="false">IF(AJ57&gt;0,J57/AJ57,-1)</f>
        <v>11.3632653061225</v>
      </c>
      <c r="AO57" s="63" t="n">
        <f aca="false">IF(AND(OR(CG57="L1",CG57="L23",CG57="LIFT"),AJ57&gt;0),SUMIFS($AJ$7:$AJ$1843,$CG$7:$CG$1843,CG57,$AN$7:$AN$1843,"&gt;"&amp;AN57)+SUMIFS($AJ$7:$AJ$1843,$CG$7:$CG$1843,CG57,$AN$7:$AN$1843,AN57,$BX$7:$BX$1843,"&lt;="&amp;BX57),"")</f>
        <v>2573.81501831502</v>
      </c>
      <c r="AP57" s="70" t="n">
        <f aca="false">IF(AO57="",0,MAX(0,MIN(1,(IF(CG57="L1",Parameter!$H$5,IF(CG57="L23",Parameter!$H$6+Parameter!$H$7,Parameter!$H$5+Parameter!$H$6+Parameter!$H$7))-(AO57-AJ57))/AJ57)))</f>
        <v>1</v>
      </c>
      <c r="AQ57" s="62" t="n">
        <f aca="false">IF(LEFT(Cockpit!$I$5,1)="A",H57,IF(Parameter!$E$30="MAX-Bestand",IF(CI57=1,CJ57,IF(LEFT(Cockpit!$I$5,1)="B",AW57,MAX(AW57,H57))),ROUNDUP(AU57,0)))</f>
        <v>78</v>
      </c>
      <c r="AR57" s="62" t="n">
        <f aca="false">IF(CA57=1,0,ROUNDUP(AQ57/BZ57,0))</f>
        <v>1</v>
      </c>
      <c r="AS57" s="64" t="n">
        <f aca="false">IF(CR57&gt;0,CR57*MAX(1,AQ57/X57),IF(CA57=1,IF(AQ57&lt;=0,0,CE57*MAX(1,IF(H57&gt;0,AQ57/H57,1))),IF(R57&gt;0,AR57/R57,0))/MAX(0.1,N(Parameter!$M$21)))</f>
        <v>0.0833333333333333</v>
      </c>
      <c r="AT57" s="62" t="n">
        <f aca="false">AS57*CC57</f>
        <v>20.4166666666667</v>
      </c>
      <c r="AU57" s="63" t="n">
        <f aca="false">IF(LEFT(Cockpit!$I$5,1)="A",H57,IF(CI57=1,(CL57+CJ57)/2,IF(LEFT(Cockpit!$I$5,1)="B",(CL57+AW57)/2,MAX((CL57+AW57)/2,H57))))</f>
        <v>77.5</v>
      </c>
      <c r="AV57" s="62" t="n">
        <f aca="false">AU57*G57</f>
        <v>21769.75</v>
      </c>
      <c r="AW57" s="62" t="n">
        <f aca="false">ROUNDUP(CL57+MAX(CM57,2*(J57/IF(CH57&gt;0,CH57,MAX(0.1,N(Cockpit!$I$6)))-CL57)),0)</f>
        <v>142</v>
      </c>
      <c r="AX57" s="63" t="n">
        <f aca="false">IF(AT57&gt;0,J57/AT57,-1)</f>
        <v>11.3632653061225</v>
      </c>
      <c r="AY57" s="63" t="n">
        <f aca="false">IF(AND(OR(CG57="L1",CG57="L23",CG57="LIFT"),AT57&gt;0),SUMIFS($AT$7:$AT$1843,$CG$7:$CG$1843,CG57,$AX$7:$AX$1843,"&gt;"&amp;AX57)+SUMIFS($AT$7:$AT$1843,$CG$7:$CG$1843,CG57,$AX$7:$AX$1843,AX57,$BX$7:$BX$1843,"&lt;="&amp;BX57),"")</f>
        <v>3169.95695970696</v>
      </c>
      <c r="AZ57" s="70" t="n">
        <f aca="false">IF(AY57="",0,MAX(0,MIN(1,(IF(CG57="L1",Parameter!$H$5,IF(CG57="L23",Parameter!$H$6+Parameter!$H$7,Parameter!$H$5+Parameter!$H$6+Parameter!$H$7))-(AY57-AT57))/AT57)))</f>
        <v>1</v>
      </c>
      <c r="BA57" s="62" t="n">
        <f aca="false">IF(LEFT(Cockpit!$O$5,1)="A",H57,IF(Parameter!$E$30="MAX-Bestand",IF(CI57=1,CJ57,IF(LEFT(Cockpit!$O$5,1)="B",BG57,MAX(BG57,H57))),ROUNDUP(BE57,0)))</f>
        <v>58</v>
      </c>
      <c r="BB57" s="62" t="n">
        <f aca="false">IF(CA57=1,0,ROUNDUP(BA57/BZ57,0))</f>
        <v>1</v>
      </c>
      <c r="BC57" s="64" t="n">
        <f aca="false">IF(CR57&gt;0,CR57*MAX(1,BA57/X57),IF(CA57=1,IF(BA57&lt;=0,0,CE57*MAX(1,IF(H57&gt;0,BA57/H57,1))),IF(R57&gt;0,BB57/R57,0))/MAX(0.1,N(Parameter!$M$21)))</f>
        <v>0.0833333333333333</v>
      </c>
      <c r="BD57" s="62" t="n">
        <f aca="false">BC57*CC57</f>
        <v>20.4166666666667</v>
      </c>
      <c r="BE57" s="63" t="n">
        <f aca="false">IF(LEFT(Cockpit!$O$5,1)="A",H57,IF(CI57=1,(CL57+CJ57)/2,IF(LEFT(Cockpit!$O$5,1)="B",(CL57+BG57)/2,MAX((CL57+BG57)/2,H57))))</f>
        <v>58</v>
      </c>
      <c r="BF57" s="62" t="n">
        <f aca="false">BE57*G57</f>
        <v>16292.2</v>
      </c>
      <c r="BG57" s="62" t="n">
        <f aca="false">ROUNDUP(CL57+MAX(CM57,2*(J57/IF(CH57&gt;0,CH57,MAX(0.1,N(Cockpit!$O$6)))-CL57)),0)</f>
        <v>103</v>
      </c>
      <c r="BH57" s="63" t="n">
        <f aca="false">IF(BD57&gt;0,J57/BD57,-1)</f>
        <v>11.3632653061225</v>
      </c>
      <c r="BI57" s="63" t="n">
        <f aca="false">IF(AND(OR(CG57="L1",CG57="L23",CG57="LIFT"),BD57&gt;0),SUMIFS($BD$7:$BD$1843,$CG$7:$CG$1843,CG57,$BH$7:$BH$1843,"&gt;"&amp;BH57)+SUMIFS($BD$7:$BD$1843,$CG$7:$CG$1843,CG57,$BH$7:$BH$1843,BH57,$BX$7:$BX$1843,"&lt;="&amp;BX57),"")</f>
        <v>2655.06593406593</v>
      </c>
      <c r="BJ57" s="70" t="n">
        <f aca="false">IF(BI57="",0,MAX(0,MIN(1,(IF(CG57="L1",Parameter!$H$5,IF(CG57="L23",Parameter!$H$6+Parameter!$H$7,Parameter!$H$5+Parameter!$H$6+Parameter!$H$7))-(BI57-BD57))/BD57)))</f>
        <v>1</v>
      </c>
      <c r="BK57" s="60" t="str">
        <f aca="false">IF(AJ57&lt;=0,"",IF(CG57="Aussen","Aussenlager",IF(CG57="-","Nicht im Lift",IF(AP57&gt;=1,"Lift",IF(AP57&lt;=0,"Aussenlager","teilweise")))))</f>
        <v>Lift</v>
      </c>
      <c r="BL57" s="60" t="str">
        <f aca="false">IF(AT57&lt;=0,"",IF(CG57="Aussen","Aussenlager",IF(CG57="-","Nicht im Lift",IF(AZ57&gt;=1,"Lift",IF(AZ57&lt;=0,"Aussenlager","teilweise")))))</f>
        <v>Lift</v>
      </c>
      <c r="BM57" s="60" t="str">
        <f aca="false">IF(BD57&lt;=0,"",IF(CG57="Aussen","Aussenlager",IF(CG57="-","Nicht im Lift",IF(BJ57&gt;=1,"Lift",IF(BJ57&lt;=0,"Aussenlager","teilweise")))))</f>
        <v>Lift</v>
      </c>
      <c r="BN57" s="60" t="str">
        <f aca="false">IF(A57="","",IF(BW57=1,"Neu; ","")&amp;IF(AND(BW57=0,BR57&lt;0),"negativer Bestand (Export "&amp;BR57&amp;"); ","")&amp;IF(J57&lt;=0,"Kein Verbrauch; ","")&amp;IF(CR57&gt;0,"Lift "&amp;W57&amp;" lt. Liftbericht (Fach "&amp;X57&amp;" Stk); ",IF(CB57=1,"Gebinde geschätzt ("&amp;T57&amp;"); ",IF(CA57=1,"Lose – Tablare geschätzt; ","")))&amp;IF(H57&gt;AW57,"Überbestand "&amp;ROUND(H57-AW57,0)&amp;" Stk / CHF "&amp;ROUND((H57-AW57)*G57,0)&amp;"; ","")&amp;IF(AND(CI57=1,CJ57&lt;CK57),"MAX &lt; MB+LG; ","")&amp;IF(AND(CQ57&gt;0,CP57*10&gt;CQ57),"zu hoch für Tablar; ","")&amp;IF(AND(BW57=0,OR(CI57=1,AB57&lt;&gt;"",U57&lt;&gt;"",V57&lt;&gt;"",AC57&lt;&gt;"")),"manuell übersteuert; ","")&amp;IF(AND(CA57=0,R57=0),"Gebinde unbekannt / Stellmass fehlt; ","")&amp;IF(AND(CA57=0,N(V57)&lt;=0,N(Q57)&lt;=0),"Menge pro Gebinde fehlt (Ist = 1 Gebinde); ","")&amp;BV57)</f>
        <v/>
      </c>
      <c r="BO57" s="60"/>
      <c r="BP57" s="60"/>
      <c r="BQ57" s="67"/>
      <c r="BR57" s="62" t="n">
        <v>13</v>
      </c>
      <c r="BS57" s="62" t="n">
        <v>51</v>
      </c>
      <c r="BT57" s="61" t="n">
        <v>4516.17999999989</v>
      </c>
      <c r="BU57" s="62" t="n">
        <v>232</v>
      </c>
      <c r="BV57" s="60"/>
      <c r="BW57" s="65" t="n">
        <v>0</v>
      </c>
      <c r="BX57" s="65" t="n">
        <v>57</v>
      </c>
      <c r="BY57" s="60" t="str">
        <f aca="false">IF(U57&lt;&gt;"",UPPER(TRIM(U57)),IF(CB57=1,UPPER(VLOOKUP(T57,Parameter!$I$27:$K$29,2,0)),IF(P57="","LOSE",P57)))</f>
        <v>S62</v>
      </c>
      <c r="BZ57" s="62" t="n">
        <f aca="false">IF(BY57="LOSE",1,IF(N(V57)&gt;0,V57,IF(CB57=1,MAX(1,N(VLOOKUP(T57,Parameter!$I$27:$K$29,3,0)),H57,N(N57)),IF(N(Q57)&gt;0,Q57,MAX(1,H57)))))</f>
        <v>89</v>
      </c>
      <c r="CA57" s="65" t="n">
        <f aca="false">IF(BY57="LOSE",1,0)</f>
        <v>0</v>
      </c>
      <c r="CB57" s="65" t="n">
        <f aca="false">IF(AND(U57="",OR(P57="",P57="LOSE"),T57&lt;&gt;"",N(S57)&lt;=0,ISNUMBER(MATCH(T57,Parameter!$I$27:$I$29,0))),1,0)</f>
        <v>0</v>
      </c>
      <c r="CC57" s="65" t="n">
        <f aca="false">IF(CR57&gt;0,INDEX(Parameter!$H$5:$H$7,W57)/INDEX(Parameter!$E$5:$E$7,W57),IF(AND(CA57=0,N(IFERROR(VLOOKUP(BY57,'Gebinde-Kategorie'!$A$5:$N$45,14,0),0))&gt;0),VLOOKUP(BY57,'Gebinde-Kategorie'!$A$5:$N$45,14,0)*10+Parameter!$M$23,Parameter!$M$24))</f>
        <v>245</v>
      </c>
      <c r="CD57" s="60" t="str">
        <f aca="false">IF(AND(Parameter!$B$19="Ja",E57&lt;&gt;"",ISNUMBER(MATCH(E57,Parameter!$I$35:$I$52,0))),VLOOKUP(E57,Parameter!$I$35:$J$52,2,0),IFERROR(VLOOKUP(D57,Parameter!$A$35:$C$64,2,0),"Nein"))</f>
        <v>2+3</v>
      </c>
      <c r="CE57" s="64" t="n">
        <f aca="false">IF(CA57=0,0,IF(N(S57)&gt;0,S57,IFERROR(VLOOKUP(D57,Parameter!$A$35:$C$64,3,0)+0,0)))</f>
        <v>0</v>
      </c>
      <c r="CF57" s="60" t="n">
        <f aca="false">IF(AB57&lt;&gt;"",AB57,AA57)</f>
        <v>3</v>
      </c>
      <c r="CG57" s="60" t="str">
        <f aca="false">IF(OR(CF57=1,CF57=2,CF57=3),IF(Parameter!$E$27="Ja","LIFT",IF(CF57=1,"L1","L23")),IF(CF57="Aussen","Aussen","-"))</f>
        <v>LIFT</v>
      </c>
      <c r="CH57" s="71" t="n">
        <f aca="false">IF(N(AC57)&gt;0,AC57,0)</f>
        <v>0</v>
      </c>
      <c r="CI57" s="65" t="n">
        <f aca="false">IF(ISNUMBER(AF57),1,0)</f>
        <v>0</v>
      </c>
      <c r="CJ57" s="62" t="n">
        <f aca="false">N(AF57)</f>
        <v>0</v>
      </c>
      <c r="CK57" s="62" t="n">
        <f aca="false">N(M57)+N(N57)</f>
        <v>38</v>
      </c>
      <c r="CL57" s="62" t="n">
        <f aca="false">N(M57)</f>
        <v>13</v>
      </c>
      <c r="CM57" s="62" t="n">
        <f aca="false">N(N57)</f>
        <v>25</v>
      </c>
      <c r="CN57" s="62" t="n">
        <f aca="false">ROUNDUP(H57/BZ57,0)</f>
        <v>1</v>
      </c>
      <c r="CO57" s="62" t="n">
        <f aca="false">ROUNDUP(CJ57/BZ57,0)</f>
        <v>0</v>
      </c>
      <c r="CP57" s="65" t="n">
        <f aca="false">IF(CA57=1,0,IFERROR(VLOOKUP(BY57,'Gebinde-Kategorie'!$A$5:$N$45,5,0)+0,0))</f>
        <v>21</v>
      </c>
      <c r="CQ57" s="65" t="n">
        <f aca="false">IFERROR(IF(OR(CF57=1,CF57=2,CF57=3),N(INDEX(Parameter!$I$5:$I$7,CF57)),0),0)</f>
        <v>0</v>
      </c>
      <c r="CR57" s="64" t="n">
        <f aca="false">IF(AND(Parameter!$B$21="Ja",ISNUMBER(W57),N(X57)&gt;0),IFERROR(N(INDEX(Parameter!$L$5:$L$7,W57))*INDEX(Parameter!$E$5:$E$7,W57)*X57/SUMIFS($X$7:$X$1843,$W$7:$W$1843,W57),0),0)</f>
        <v>0</v>
      </c>
      <c r="CS57" s="62" t="n">
        <f aca="false">IF(AND(OR(CG57="L1",CG57="L23",CG57="LIFT"),H57&gt;0),CC57*IF(CR57&gt;0,CR57*MAX(1,H57/X57),IF(CA57=1,CE57,IF(R57&gt;0,CN57/R57,0))/MAX(0.1,N(Parameter!$M$21))),"")</f>
        <v>20.4166666666667</v>
      </c>
      <c r="CT57" s="64" t="n">
        <f aca="false">IF(CS57="","",J57/H57)</f>
        <v>3.625</v>
      </c>
      <c r="CU57" s="62" t="n">
        <f aca="false">IF(CS57="","",H57*G57)</f>
        <v>17977.6</v>
      </c>
      <c r="CV57" s="63" t="n">
        <f aca="false">IF(CS57="","",(CL57+ROUNDUP(CL57+MAX(CM57,2*(J57/MAX(0.1,N(Einkauf!$C$6))-CL57)),0))/2)</f>
        <v>58</v>
      </c>
      <c r="CW57" s="62" t="n">
        <f aca="false">IF(CS57="","",MAX(0,H57-CV57)*G57)</f>
        <v>1685.4</v>
      </c>
      <c r="CX57" s="62" t="n">
        <f aca="false">IF(CS57="","",CS57*MAX(0,1-CV57/H57))</f>
        <v>1.9140625</v>
      </c>
      <c r="CY57" s="64" t="n">
        <f aca="false">IF(CS57="","",PERCENTRANK($CS$7:$CS$1843,CS57)+PERCENTRANK($CU$7:$CU$1843,CU57)+1-PERCENTRANK($CT$7:$CT$1843,CT57))</f>
        <v>1.841</v>
      </c>
      <c r="CZ57" s="72" t="n">
        <f aca="false">IF(CS57="","",CHOOSE(MATCH(Einkauf!$C$5,Parameter!$G$23:$G$27,0),CY57,CS57,CU57,-CT57,CW57)+ROW()/1000000000)</f>
        <v>1.841000057</v>
      </c>
    </row>
    <row r="58" customFormat="false" ht="15" hidden="false" customHeight="false" outlineLevel="0" collapsed="false">
      <c r="A58" s="60" t="s">
        <v>353</v>
      </c>
      <c r="B58" s="60" t="s">
        <v>354</v>
      </c>
      <c r="C58" s="60" t="s">
        <v>206</v>
      </c>
      <c r="D58" s="60" t="s">
        <v>226</v>
      </c>
      <c r="E58" s="60" t="s">
        <v>227</v>
      </c>
      <c r="F58" s="60" t="s">
        <v>260</v>
      </c>
      <c r="G58" s="61" t="n">
        <v>15.95</v>
      </c>
      <c r="H58" s="62" t="n">
        <f aca="false">MAX(0,IF(AND(Parameter!$B$21="Ja",ISNUMBER(Y58)),Y58,IF(Parameter!$B$20="Jahresanfang 2025 + Export",BS58+BR58,BR58)))</f>
        <v>309</v>
      </c>
      <c r="I58" s="62" t="n">
        <f aca="false">H58*G58</f>
        <v>4928.55</v>
      </c>
      <c r="J58" s="62" t="n">
        <f aca="false">BU58*Parameter!$B$18</f>
        <v>310</v>
      </c>
      <c r="K58" s="63" t="n">
        <v>94.5</v>
      </c>
      <c r="L58" s="64" t="n">
        <v>3.28042328042328</v>
      </c>
      <c r="M58" s="62" t="n">
        <v>50</v>
      </c>
      <c r="N58" s="62" t="n">
        <v>225</v>
      </c>
      <c r="O58" s="65" t="n">
        <v>56</v>
      </c>
      <c r="P58" s="60" t="s">
        <v>344</v>
      </c>
      <c r="Q58" s="62" t="n">
        <v>142</v>
      </c>
      <c r="R58" s="65" t="n">
        <f aca="false">IF(CA58=1,0,IFERROR(VLOOKUP(BY58,'Gebinde-Kategorie'!$A$5:$N$45,13,0)+0,0))</f>
        <v>26</v>
      </c>
      <c r="S58" s="66"/>
      <c r="T58" s="67"/>
      <c r="U58" s="67"/>
      <c r="V58" s="67"/>
      <c r="W58" s="60"/>
      <c r="X58" s="62"/>
      <c r="Y58" s="62"/>
      <c r="Z58" s="60" t="n">
        <v>3</v>
      </c>
      <c r="AA58" s="60" t="n">
        <f aca="false">IF(A58="","",IF(AND(Parameter!$B$21="Ja",ISNUMBER(W58)),W58,IF(AND(Parameter!$E$27="Ja",ISNUMBER(Z58),CD58&lt;&gt;"Nein"),Z58,IF(CD58="2+3",IF(ISNUMBER(SEARCH("grosser Artikel",BV58)),2,IFERROR(VLOOKUP(BY58,Parameter!$F$35:$G$64,2,0),2)),IF(OR(CD58="Nein",CD58=""),"-",CD58)))))</f>
        <v>3</v>
      </c>
      <c r="AB58" s="67"/>
      <c r="AC58" s="68"/>
      <c r="AD58" s="62" t="n">
        <f aca="false">AW58</f>
        <v>275</v>
      </c>
      <c r="AE58" s="62" t="n">
        <f aca="false">MAX(AW58,H58)</f>
        <v>309</v>
      </c>
      <c r="AF58" s="69"/>
      <c r="AG58" s="62" t="n">
        <f aca="false">IF(LEFT(Cockpit!$C$5,1)="A",H58,IF(Parameter!$E$30="MAX-Bestand",IF(CI58=1,CJ58,IF(LEFT(Cockpit!$C$5,1)="B",AM58,MAX(AM58,H58))),ROUNDUP(AK58,0)))</f>
        <v>309</v>
      </c>
      <c r="AH58" s="62" t="n">
        <f aca="false">IF(CA58=1,0,ROUNDUP(AG58/BZ58,0))</f>
        <v>3</v>
      </c>
      <c r="AI58" s="64" t="n">
        <f aca="false">IF(CR58&gt;0,CR58*MAX(1,AG58/X58),IF(CA58=1,IF(AG58&lt;=0,0,CE58*MAX(1,IF(H58&gt;0,AG58/H58,1))),IF(R58&gt;0,AH58/R58,0))/MAX(0.1,N(Parameter!$M$21)))</f>
        <v>0.115384615384615</v>
      </c>
      <c r="AJ58" s="62" t="n">
        <f aca="false">AI58*CC58</f>
        <v>17.8846153846154</v>
      </c>
      <c r="AK58" s="63" t="n">
        <f aca="false">IF(LEFT(Cockpit!$C$5,1)="A",H58,IF(CI58=1,(CL58+CJ58)/2,IF(LEFT(Cockpit!$C$5,1)="B",(CL58+AM58)/2,MAX((CL58+AM58)/2,H58))))</f>
        <v>309</v>
      </c>
      <c r="AL58" s="62" t="n">
        <f aca="false">AK58*G58</f>
        <v>4928.55</v>
      </c>
      <c r="AM58" s="62" t="n">
        <f aca="false">ROUNDUP(CL58+MAX(CM58,2*(J58/IF(CH58&gt;0,CH58,MAX(0.1,N(Cockpit!$C$6)))-CL58)),0)</f>
        <v>275</v>
      </c>
      <c r="AN58" s="63" t="n">
        <f aca="false">IF(AJ58&gt;0,J58/AJ58,-1)</f>
        <v>17.3333333333333</v>
      </c>
      <c r="AO58" s="63" t="n">
        <f aca="false">IF(AND(OR(CG58="L1",CG58="L23",CG58="LIFT"),AJ58&gt;0),SUMIFS($AJ$7:$AJ$1843,$CG$7:$CG$1843,CG58,$AN$7:$AN$1843,"&gt;"&amp;AN58)+SUMIFS($AJ$7:$AJ$1843,$CG$7:$CG$1843,CG58,$AN$7:$AN$1843,AN58,$BX$7:$BX$1843,"&lt;="&amp;BX58),"")</f>
        <v>1967.4097985348</v>
      </c>
      <c r="AP58" s="70" t="n">
        <f aca="false">IF(AO58="",0,MAX(0,MIN(1,(IF(CG58="L1",Parameter!$H$5,IF(CG58="L23",Parameter!$H$6+Parameter!$H$7,Parameter!$H$5+Parameter!$H$6+Parameter!$H$7))-(AO58-AJ58))/AJ58)))</f>
        <v>1</v>
      </c>
      <c r="AQ58" s="62" t="n">
        <f aca="false">IF(LEFT(Cockpit!$I$5,1)="A",H58,IF(Parameter!$E$30="MAX-Bestand",IF(CI58=1,CJ58,IF(LEFT(Cockpit!$I$5,1)="B",AW58,MAX(AW58,H58))),ROUNDUP(AU58,0)))</f>
        <v>309</v>
      </c>
      <c r="AR58" s="62" t="n">
        <f aca="false">IF(CA58=1,0,ROUNDUP(AQ58/BZ58,0))</f>
        <v>3</v>
      </c>
      <c r="AS58" s="64" t="n">
        <f aca="false">IF(CR58&gt;0,CR58*MAX(1,AQ58/X58),IF(CA58=1,IF(AQ58&lt;=0,0,CE58*MAX(1,IF(H58&gt;0,AQ58/H58,1))),IF(R58&gt;0,AR58/R58,0))/MAX(0.1,N(Parameter!$M$21)))</f>
        <v>0.115384615384615</v>
      </c>
      <c r="AT58" s="62" t="n">
        <f aca="false">AS58*CC58</f>
        <v>17.8846153846154</v>
      </c>
      <c r="AU58" s="63" t="n">
        <f aca="false">IF(LEFT(Cockpit!$I$5,1)="A",H58,IF(CI58=1,(CL58+CJ58)/2,IF(LEFT(Cockpit!$I$5,1)="B",(CL58+AW58)/2,MAX((CL58+AW58)/2,H58))))</f>
        <v>309</v>
      </c>
      <c r="AV58" s="62" t="n">
        <f aca="false">AU58*G58</f>
        <v>4928.55</v>
      </c>
      <c r="AW58" s="62" t="n">
        <f aca="false">ROUNDUP(CL58+MAX(CM58,2*(J58/IF(CH58&gt;0,CH58,MAX(0.1,N(Cockpit!$I$6)))-CL58)),0)</f>
        <v>275</v>
      </c>
      <c r="AX58" s="63" t="n">
        <f aca="false">IF(AT58&gt;0,J58/AT58,-1)</f>
        <v>17.3333333333333</v>
      </c>
      <c r="AY58" s="63" t="n">
        <f aca="false">IF(AND(OR(CG58="L1",CG58="L23",CG58="LIFT"),AT58&gt;0),SUMIFS($AT$7:$AT$1843,$CG$7:$CG$1843,CG58,$AX$7:$AX$1843,"&gt;"&amp;AX58)+SUMIFS($AT$7:$AT$1843,$CG$7:$CG$1843,CG58,$AX$7:$AX$1843,AX58,$BX$7:$BX$1843,"&lt;="&amp;BX58),"")</f>
        <v>2604.53067765568</v>
      </c>
      <c r="AZ58" s="70" t="n">
        <f aca="false">IF(AY58="",0,MAX(0,MIN(1,(IF(CG58="L1",Parameter!$H$5,IF(CG58="L23",Parameter!$H$6+Parameter!$H$7,Parameter!$H$5+Parameter!$H$6+Parameter!$H$7))-(AY58-AT58))/AT58)))</f>
        <v>1</v>
      </c>
      <c r="BA58" s="62" t="n">
        <f aca="false">IF(LEFT(Cockpit!$O$5,1)="A",H58,IF(Parameter!$E$30="MAX-Bestand",IF(CI58=1,CJ58,IF(LEFT(Cockpit!$O$5,1)="B",BG58,MAX(BG58,H58))),ROUNDUP(BE58,0)))</f>
        <v>163</v>
      </c>
      <c r="BB58" s="62" t="n">
        <f aca="false">IF(CA58=1,0,ROUNDUP(BA58/BZ58,0))</f>
        <v>2</v>
      </c>
      <c r="BC58" s="64" t="n">
        <f aca="false">IF(CR58&gt;0,CR58*MAX(1,BA58/X58),IF(CA58=1,IF(BA58&lt;=0,0,CE58*MAX(1,IF(H58&gt;0,BA58/H58,1))),IF(R58&gt;0,BB58/R58,0))/MAX(0.1,N(Parameter!$M$21)))</f>
        <v>0.0769230769230769</v>
      </c>
      <c r="BD58" s="62" t="n">
        <f aca="false">BC58*CC58</f>
        <v>11.9230769230769</v>
      </c>
      <c r="BE58" s="63" t="n">
        <f aca="false">IF(LEFT(Cockpit!$O$5,1)="A",H58,IF(CI58=1,(CL58+CJ58)/2,IF(LEFT(Cockpit!$O$5,1)="B",(CL58+BG58)/2,MAX((CL58+BG58)/2,H58))))</f>
        <v>162.5</v>
      </c>
      <c r="BF58" s="62" t="n">
        <f aca="false">BE58*G58</f>
        <v>2591.875</v>
      </c>
      <c r="BG58" s="62" t="n">
        <f aca="false">ROUNDUP(CL58+MAX(CM58,2*(J58/IF(CH58&gt;0,CH58,MAX(0.1,N(Cockpit!$O$6)))-CL58)),0)</f>
        <v>275</v>
      </c>
      <c r="BH58" s="63" t="n">
        <f aca="false">IF(BD58&gt;0,J58/BD58,-1)</f>
        <v>26</v>
      </c>
      <c r="BI58" s="63" t="n">
        <f aca="false">IF(AND(OR(CG58="L1",CG58="L23",CG58="LIFT"),BD58&gt;0),SUMIFS($BD$7:$BD$1843,$CG$7:$CG$1843,CG58,$BH$7:$BH$1843,"&gt;"&amp;BH58)+SUMIFS($BD$7:$BD$1843,$CG$7:$CG$1843,CG58,$BH$7:$BH$1843,BH58,$BX$7:$BX$1843,"&lt;="&amp;BX58),"")</f>
        <v>2054.4097985348</v>
      </c>
      <c r="BJ58" s="70" t="n">
        <f aca="false">IF(BI58="",0,MAX(0,MIN(1,(IF(CG58="L1",Parameter!$H$5,IF(CG58="L23",Parameter!$H$6+Parameter!$H$7,Parameter!$H$5+Parameter!$H$6+Parameter!$H$7))-(BI58-BD58))/BD58)))</f>
        <v>1</v>
      </c>
      <c r="BK58" s="60" t="str">
        <f aca="false">IF(AJ58&lt;=0,"",IF(CG58="Aussen","Aussenlager",IF(CG58="-","Nicht im Lift",IF(AP58&gt;=1,"Lift",IF(AP58&lt;=0,"Aussenlager","teilweise")))))</f>
        <v>Lift</v>
      </c>
      <c r="BL58" s="60" t="str">
        <f aca="false">IF(AT58&lt;=0,"",IF(CG58="Aussen","Aussenlager",IF(CG58="-","Nicht im Lift",IF(AZ58&gt;=1,"Lift",IF(AZ58&lt;=0,"Aussenlager","teilweise")))))</f>
        <v>Lift</v>
      </c>
      <c r="BM58" s="60" t="str">
        <f aca="false">IF(BD58&lt;=0,"",IF(CG58="Aussen","Aussenlager",IF(CG58="-","Nicht im Lift",IF(BJ58&gt;=1,"Lift",IF(BJ58&lt;=0,"Aussenlager","teilweise")))))</f>
        <v>Lift</v>
      </c>
      <c r="BN58" s="60" t="str">
        <f aca="false">IF(A58="","",IF(BW58=1,"Neu; ","")&amp;IF(AND(BW58=0,BR58&lt;0),"negativer Bestand (Export "&amp;BR58&amp;"); ","")&amp;IF(J58&lt;=0,"Kein Verbrauch; ","")&amp;IF(CR58&gt;0,"Lift "&amp;W58&amp;" lt. Liftbericht (Fach "&amp;X58&amp;" Stk); ",IF(CB58=1,"Gebinde geschätzt ("&amp;T58&amp;"); ",IF(CA58=1,"Lose – Tablare geschätzt; ","")))&amp;IF(H58&gt;AW58,"Überbestand "&amp;ROUND(H58-AW58,0)&amp;" Stk / CHF "&amp;ROUND((H58-AW58)*G58,0)&amp;"; ","")&amp;IF(AND(CI58=1,CJ58&lt;CK58),"MAX &lt; MB+LG; ","")&amp;IF(AND(CQ58&gt;0,CP58*10&gt;CQ58),"zu hoch für Tablar; ","")&amp;IF(AND(BW58=0,OR(CI58=1,AB58&lt;&gt;"",U58&lt;&gt;"",V58&lt;&gt;"",AC58&lt;&gt;"")),"manuell übersteuert; ","")&amp;IF(AND(CA58=0,R58=0),"Gebinde unbekannt / Stellmass fehlt; ","")&amp;IF(AND(CA58=0,N(V58)&lt;=0,N(Q58)&lt;=0),"Menge pro Gebinde fehlt (Ist = 1 Gebinde); ","")&amp;BV58)</f>
        <v>Überbestand 34 Stk / CHF 542; </v>
      </c>
      <c r="BO58" s="60"/>
      <c r="BP58" s="60"/>
      <c r="BQ58" s="67"/>
      <c r="BR58" s="62" t="n">
        <v>279</v>
      </c>
      <c r="BS58" s="62" t="n">
        <v>30</v>
      </c>
      <c r="BT58" s="61" t="n">
        <v>4460.25</v>
      </c>
      <c r="BU58" s="62" t="n">
        <v>310</v>
      </c>
      <c r="BV58" s="60"/>
      <c r="BW58" s="65" t="n">
        <v>0</v>
      </c>
      <c r="BX58" s="65" t="n">
        <v>58</v>
      </c>
      <c r="BY58" s="60" t="str">
        <f aca="false">IF(U58&lt;&gt;"",UPPER(TRIM(U58)),IF(CB58=1,UPPER(VLOOKUP(T58,Parameter!$I$27:$K$29,2,0)),IF(P58="","LOSE",P58)))</f>
        <v>S51</v>
      </c>
      <c r="BZ58" s="62" t="n">
        <f aca="false">IF(BY58="LOSE",1,IF(N(V58)&gt;0,V58,IF(CB58=1,MAX(1,N(VLOOKUP(T58,Parameter!$I$27:$K$29,3,0)),H58,N(N58)),IF(N(Q58)&gt;0,Q58,MAX(1,H58)))))</f>
        <v>142</v>
      </c>
      <c r="CA58" s="65" t="n">
        <f aca="false">IF(BY58="LOSE",1,0)</f>
        <v>0</v>
      </c>
      <c r="CB58" s="65" t="n">
        <f aca="false">IF(AND(U58="",OR(P58="",P58="LOSE"),T58&lt;&gt;"",N(S58)&lt;=0,ISNUMBER(MATCH(T58,Parameter!$I$27:$I$29,0))),1,0)</f>
        <v>0</v>
      </c>
      <c r="CC58" s="65" t="n">
        <f aca="false">IF(CR58&gt;0,INDEX(Parameter!$H$5:$H$7,W58)/INDEX(Parameter!$E$5:$E$7,W58),IF(AND(CA58=0,N(IFERROR(VLOOKUP(BY58,'Gebinde-Kategorie'!$A$5:$N$45,14,0),0))&gt;0),VLOOKUP(BY58,'Gebinde-Kategorie'!$A$5:$N$45,14,0)*10+Parameter!$M$23,Parameter!$M$24))</f>
        <v>155</v>
      </c>
      <c r="CD58" s="60" t="str">
        <f aca="false">IF(AND(Parameter!$B$19="Ja",E58&lt;&gt;"",ISNUMBER(MATCH(E58,Parameter!$I$35:$I$52,0))),VLOOKUP(E58,Parameter!$I$35:$J$52,2,0),IFERROR(VLOOKUP(D58,Parameter!$A$35:$C$64,2,0),"Nein"))</f>
        <v>2+3</v>
      </c>
      <c r="CE58" s="64" t="n">
        <f aca="false">IF(CA58=0,0,IF(N(S58)&gt;0,S58,IFERROR(VLOOKUP(D58,Parameter!$A$35:$C$64,3,0)+0,0)))</f>
        <v>0</v>
      </c>
      <c r="CF58" s="60" t="n">
        <f aca="false">IF(AB58&lt;&gt;"",AB58,AA58)</f>
        <v>3</v>
      </c>
      <c r="CG58" s="60" t="str">
        <f aca="false">IF(OR(CF58=1,CF58=2,CF58=3),IF(Parameter!$E$27="Ja","LIFT",IF(CF58=1,"L1","L23")),IF(CF58="Aussen","Aussen","-"))</f>
        <v>LIFT</v>
      </c>
      <c r="CH58" s="71" t="n">
        <f aca="false">IF(N(AC58)&gt;0,AC58,0)</f>
        <v>0</v>
      </c>
      <c r="CI58" s="65" t="n">
        <f aca="false">IF(ISNUMBER(AF58),1,0)</f>
        <v>0</v>
      </c>
      <c r="CJ58" s="62" t="n">
        <f aca="false">N(AF58)</f>
        <v>0</v>
      </c>
      <c r="CK58" s="62" t="n">
        <f aca="false">N(M58)+N(N58)</f>
        <v>275</v>
      </c>
      <c r="CL58" s="62" t="n">
        <f aca="false">N(M58)</f>
        <v>50</v>
      </c>
      <c r="CM58" s="62" t="n">
        <f aca="false">N(N58)</f>
        <v>225</v>
      </c>
      <c r="CN58" s="62" t="n">
        <f aca="false">ROUNDUP(H58/BZ58,0)</f>
        <v>3</v>
      </c>
      <c r="CO58" s="62" t="n">
        <f aca="false">ROUNDUP(CJ58/BZ58,0)</f>
        <v>0</v>
      </c>
      <c r="CP58" s="65" t="n">
        <f aca="false">IF(CA58=1,0,IFERROR(VLOOKUP(BY58,'Gebinde-Kategorie'!$A$5:$N$45,5,0)+0,0))</f>
        <v>11</v>
      </c>
      <c r="CQ58" s="65" t="n">
        <f aca="false">IFERROR(IF(OR(CF58=1,CF58=2,CF58=3),N(INDEX(Parameter!$I$5:$I$7,CF58)),0),0)</f>
        <v>0</v>
      </c>
      <c r="CR58" s="64" t="n">
        <f aca="false">IF(AND(Parameter!$B$21="Ja",ISNUMBER(W58),N(X58)&gt;0),IFERROR(N(INDEX(Parameter!$L$5:$L$7,W58))*INDEX(Parameter!$E$5:$E$7,W58)*X58/SUMIFS($X$7:$X$1843,$W$7:$W$1843,W58),0),0)</f>
        <v>0</v>
      </c>
      <c r="CS58" s="62" t="n">
        <f aca="false">IF(AND(OR(CG58="L1",CG58="L23",CG58="LIFT"),H58&gt;0),CC58*IF(CR58&gt;0,CR58*MAX(1,H58/X58),IF(CA58=1,CE58,IF(R58&gt;0,CN58/R58,0))/MAX(0.1,N(Parameter!$M$21))),"")</f>
        <v>17.8846153846154</v>
      </c>
      <c r="CT58" s="64" t="n">
        <f aca="false">IF(CS58="","",J58/H58)</f>
        <v>1.00323624595469</v>
      </c>
      <c r="CU58" s="62" t="n">
        <f aca="false">IF(CS58="","",H58*G58)</f>
        <v>4928.55</v>
      </c>
      <c r="CV58" s="63" t="n">
        <f aca="false">IF(CS58="","",(CL58+ROUNDUP(CL58+MAX(CM58,2*(J58/MAX(0.1,N(Einkauf!$C$6))-CL58)),0))/2)</f>
        <v>162.5</v>
      </c>
      <c r="CW58" s="62" t="n">
        <f aca="false">IF(CS58="","",MAX(0,H58-CV58)*G58)</f>
        <v>2336.675</v>
      </c>
      <c r="CX58" s="62" t="n">
        <f aca="false">IF(CS58="","",CS58*MAX(0,1-CV58/H58))</f>
        <v>8.47927557879014</v>
      </c>
      <c r="CY58" s="64" t="n">
        <f aca="false">IF(CS58="","",PERCENTRANK($CS$7:$CS$1843,CS58)+PERCENTRANK($CU$7:$CU$1843,CU58)+1-PERCENTRANK($CT$7:$CT$1843,CT58))</f>
        <v>1.991</v>
      </c>
      <c r="CZ58" s="72" t="n">
        <f aca="false">IF(CS58="","",CHOOSE(MATCH(Einkauf!$C$5,Parameter!$G$23:$G$27,0),CY58,CS58,CU58,-CT58,CW58)+ROW()/1000000000)</f>
        <v>1.991000058</v>
      </c>
    </row>
    <row r="59" customFormat="false" ht="15" hidden="false" customHeight="false" outlineLevel="0" collapsed="false">
      <c r="A59" s="60" t="s">
        <v>355</v>
      </c>
      <c r="B59" s="60" t="s">
        <v>356</v>
      </c>
      <c r="C59" s="60" t="s">
        <v>206</v>
      </c>
      <c r="D59" s="60" t="s">
        <v>215</v>
      </c>
      <c r="E59" s="60"/>
      <c r="F59" s="60" t="s">
        <v>260</v>
      </c>
      <c r="G59" s="61" t="n">
        <v>2168</v>
      </c>
      <c r="H59" s="62" t="n">
        <f aca="false">MAX(0,IF(AND(Parameter!$B$21="Ja",ISNUMBER(Y59)),Y59,IF(Parameter!$B$20="Jahresanfang 2025 + Export",BS59+BR59,BR59)))</f>
        <v>2</v>
      </c>
      <c r="I59" s="62" t="n">
        <f aca="false">H59*G59</f>
        <v>4336</v>
      </c>
      <c r="J59" s="62" t="n">
        <f aca="false">BU59*Parameter!$B$18</f>
        <v>1</v>
      </c>
      <c r="K59" s="63" t="n">
        <v>1</v>
      </c>
      <c r="L59" s="64" t="n">
        <v>1</v>
      </c>
      <c r="M59" s="62" t="n">
        <v>0</v>
      </c>
      <c r="N59" s="62" t="n">
        <v>1</v>
      </c>
      <c r="O59" s="65" t="n">
        <v>120</v>
      </c>
      <c r="P59" s="60" t="s">
        <v>210</v>
      </c>
      <c r="Q59" s="62"/>
      <c r="R59" s="65" t="n">
        <f aca="false">IF(CA59=1,0,IFERROR(VLOOKUP(BY59,'Gebinde-Kategorie'!$A$5:$N$45,13,0)+0,0))</f>
        <v>12</v>
      </c>
      <c r="S59" s="66"/>
      <c r="T59" s="67" t="s">
        <v>221</v>
      </c>
      <c r="U59" s="67"/>
      <c r="V59" s="67"/>
      <c r="W59" s="60"/>
      <c r="X59" s="62"/>
      <c r="Y59" s="62"/>
      <c r="Z59" s="60" t="n">
        <v>3</v>
      </c>
      <c r="AA59" s="60" t="n">
        <f aca="false">IF(A59="","",IF(AND(Parameter!$B$21="Ja",ISNUMBER(W59)),W59,IF(AND(Parameter!$E$27="Ja",ISNUMBER(Z59),CD59&lt;&gt;"Nein"),Z59,IF(CD59="2+3",IF(ISNUMBER(SEARCH("grosser Artikel",BV59)),2,IFERROR(VLOOKUP(BY59,Parameter!$F$35:$G$64,2,0),2)),IF(OR(CD59="Nein",CD59=""),"-",CD59)))))</f>
        <v>3</v>
      </c>
      <c r="AB59" s="67"/>
      <c r="AC59" s="68"/>
      <c r="AD59" s="62" t="n">
        <f aca="false">AW59</f>
        <v>1</v>
      </c>
      <c r="AE59" s="62" t="n">
        <f aca="false">MAX(AW59,H59)</f>
        <v>2</v>
      </c>
      <c r="AF59" s="69"/>
      <c r="AG59" s="62" t="n">
        <f aca="false">IF(LEFT(Cockpit!$C$5,1)="A",H59,IF(Parameter!$E$30="MAX-Bestand",IF(CI59=1,CJ59,IF(LEFT(Cockpit!$C$5,1)="B",AM59,MAX(AM59,H59))),ROUNDUP(AK59,0)))</f>
        <v>2</v>
      </c>
      <c r="AH59" s="62" t="n">
        <f aca="false">IF(CA59=1,0,ROUNDUP(AG59/BZ59,0))</f>
        <v>1</v>
      </c>
      <c r="AI59" s="64" t="n">
        <f aca="false">IF(CR59&gt;0,CR59*MAX(1,AG59/X59),IF(CA59=1,IF(AG59&lt;=0,0,CE59*MAX(1,IF(H59&gt;0,AG59/H59,1))),IF(R59&gt;0,AH59/R59,0))/MAX(0.1,N(Parameter!$M$21)))</f>
        <v>0.0833333333333333</v>
      </c>
      <c r="AJ59" s="62" t="n">
        <f aca="false">AI59*CC59</f>
        <v>12.0833333333333</v>
      </c>
      <c r="AK59" s="63" t="n">
        <f aca="false">IF(LEFT(Cockpit!$C$5,1)="A",H59,IF(CI59=1,(CL59+CJ59)/2,IF(LEFT(Cockpit!$C$5,1)="B",(CL59+AM59)/2,MAX((CL59+AM59)/2,H59))))</f>
        <v>2</v>
      </c>
      <c r="AL59" s="62" t="n">
        <f aca="false">AK59*G59</f>
        <v>4336</v>
      </c>
      <c r="AM59" s="62" t="n">
        <f aca="false">ROUNDUP(CL59+MAX(CM59,2*(J59/IF(CH59&gt;0,CH59,MAX(0.1,N(Cockpit!$C$6)))-CL59)),0)</f>
        <v>1</v>
      </c>
      <c r="AN59" s="63" t="n">
        <f aca="false">IF(AJ59&gt;0,J59/AJ59,-1)</f>
        <v>0.0827586206896552</v>
      </c>
      <c r="AO59" s="63" t="n">
        <f aca="false">IF(AND(OR(CG59="L1",CG59="L23",CG59="LIFT"),AJ59&gt;0),SUMIFS($AJ$7:$AJ$1843,$CG$7:$CG$1843,CG59,$AN$7:$AN$1843,"&gt;"&amp;AN59)+SUMIFS($AJ$7:$AJ$1843,$CG$7:$CG$1843,CG59,$AN$7:$AN$1843,AN59,$BX$7:$BX$1843,"&lt;="&amp;BX59),"")</f>
        <v>16677.357398957</v>
      </c>
      <c r="AP59" s="70" t="n">
        <f aca="false">IF(AO59="",0,MAX(0,MIN(1,(IF(CG59="L1",Parameter!$H$5,IF(CG59="L23",Parameter!$H$6+Parameter!$H$7,Parameter!$H$5+Parameter!$H$6+Parameter!$H$7))-(AO59-AJ59))/AJ59)))</f>
        <v>1</v>
      </c>
      <c r="AQ59" s="62" t="n">
        <f aca="false">IF(LEFT(Cockpit!$I$5,1)="A",H59,IF(Parameter!$E$30="MAX-Bestand",IF(CI59=1,CJ59,IF(LEFT(Cockpit!$I$5,1)="B",AW59,MAX(AW59,H59))),ROUNDUP(AU59,0)))</f>
        <v>2</v>
      </c>
      <c r="AR59" s="62" t="n">
        <f aca="false">IF(CA59=1,0,ROUNDUP(AQ59/BZ59,0))</f>
        <v>1</v>
      </c>
      <c r="AS59" s="64" t="n">
        <f aca="false">IF(CR59&gt;0,CR59*MAX(1,AQ59/X59),IF(CA59=1,IF(AQ59&lt;=0,0,CE59*MAX(1,IF(H59&gt;0,AQ59/H59,1))),IF(R59&gt;0,AR59/R59,0))/MAX(0.1,N(Parameter!$M$21)))</f>
        <v>0.0833333333333333</v>
      </c>
      <c r="AT59" s="62" t="n">
        <f aca="false">AS59*CC59</f>
        <v>12.0833333333333</v>
      </c>
      <c r="AU59" s="63" t="n">
        <f aca="false">IF(LEFT(Cockpit!$I$5,1)="A",H59,IF(CI59=1,(CL59+CJ59)/2,IF(LEFT(Cockpit!$I$5,1)="B",(CL59+AW59)/2,MAX((CL59+AW59)/2,H59))))</f>
        <v>2</v>
      </c>
      <c r="AV59" s="62" t="n">
        <f aca="false">AU59*G59</f>
        <v>4336</v>
      </c>
      <c r="AW59" s="62" t="n">
        <f aca="false">ROUNDUP(CL59+MAX(CM59,2*(J59/IF(CH59&gt;0,CH59,MAX(0.1,N(Cockpit!$I$6)))-CL59)),0)</f>
        <v>1</v>
      </c>
      <c r="AX59" s="63" t="n">
        <f aca="false">IF(AT59&gt;0,J59/AT59,-1)</f>
        <v>0.0827586206896552</v>
      </c>
      <c r="AY59" s="63" t="n">
        <f aca="false">IF(AND(OR(CG59="L1",CG59="L23",CG59="LIFT"),AT59&gt;0),SUMIFS($AT$7:$AT$1843,$CG$7:$CG$1843,CG59,$AX$7:$AX$1843,"&gt;"&amp;AX59)+SUMIFS($AT$7:$AT$1843,$CG$7:$CG$1843,CG59,$AX$7:$AX$1843,AX59,$BX$7:$BX$1843,"&lt;="&amp;BX59),"")</f>
        <v>21700.5060403344</v>
      </c>
      <c r="AZ59" s="70" t="n">
        <f aca="false">IF(AY59="",0,MAX(0,MIN(1,(IF(CG59="L1",Parameter!$H$5,IF(CG59="L23",Parameter!$H$6+Parameter!$H$7,Parameter!$H$5+Parameter!$H$6+Parameter!$H$7))-(AY59-AT59))/AT59)))</f>
        <v>1</v>
      </c>
      <c r="BA59" s="62" t="n">
        <f aca="false">IF(LEFT(Cockpit!$O$5,1)="A",H59,IF(Parameter!$E$30="MAX-Bestand",IF(CI59=1,CJ59,IF(LEFT(Cockpit!$O$5,1)="B",BG59,MAX(BG59,H59))),ROUNDUP(BE59,0)))</f>
        <v>1</v>
      </c>
      <c r="BB59" s="62" t="n">
        <f aca="false">IF(CA59=1,0,ROUNDUP(BA59/BZ59,0))</f>
        <v>1</v>
      </c>
      <c r="BC59" s="64" t="n">
        <f aca="false">IF(CR59&gt;0,CR59*MAX(1,BA59/X59),IF(CA59=1,IF(BA59&lt;=0,0,CE59*MAX(1,IF(H59&gt;0,BA59/H59,1))),IF(R59&gt;0,BB59/R59,0))/MAX(0.1,N(Parameter!$M$21)))</f>
        <v>0.0833333333333333</v>
      </c>
      <c r="BD59" s="62" t="n">
        <f aca="false">BC59*CC59</f>
        <v>12.0833333333333</v>
      </c>
      <c r="BE59" s="63" t="n">
        <f aca="false">IF(LEFT(Cockpit!$O$5,1)="A",H59,IF(CI59=1,(CL59+CJ59)/2,IF(LEFT(Cockpit!$O$5,1)="B",(CL59+BG59)/2,MAX((CL59+BG59)/2,H59))))</f>
        <v>0.5</v>
      </c>
      <c r="BF59" s="62" t="n">
        <f aca="false">BE59*G59</f>
        <v>1084</v>
      </c>
      <c r="BG59" s="62" t="n">
        <f aca="false">ROUNDUP(CL59+MAX(CM59,2*(J59/IF(CH59&gt;0,CH59,MAX(0.1,N(Cockpit!$O$6)))-CL59)),0)</f>
        <v>1</v>
      </c>
      <c r="BH59" s="63" t="n">
        <f aca="false">IF(BD59&gt;0,J59/BD59,-1)</f>
        <v>0.0827586206896552</v>
      </c>
      <c r="BI59" s="63" t="n">
        <f aca="false">IF(AND(OR(CG59="L1",CG59="L23",CG59="LIFT"),BD59&gt;0),SUMIFS($BD$7:$BD$1843,$CG$7:$CG$1843,CG59,$BH$7:$BH$1843,"&gt;"&amp;BH59)+SUMIFS($BD$7:$BD$1843,$CG$7:$CG$1843,CG59,$BH$7:$BH$1843,BH59,$BX$7:$BX$1843,"&lt;="&amp;BX59),"")</f>
        <v>18250.6455759401</v>
      </c>
      <c r="BJ59" s="70" t="n">
        <f aca="false">IF(BI59="",0,MAX(0,MIN(1,(IF(CG59="L1",Parameter!$H$5,IF(CG59="L23",Parameter!$H$6+Parameter!$H$7,Parameter!$H$5+Parameter!$H$6+Parameter!$H$7))-(BI59-BD59))/BD59)))</f>
        <v>1</v>
      </c>
      <c r="BK59" s="60" t="str">
        <f aca="false">IF(AJ59&lt;=0,"",IF(CG59="Aussen","Aussenlager",IF(CG59="-","Nicht im Lift",IF(AP59&gt;=1,"Lift",IF(AP59&lt;=0,"Aussenlager","teilweise")))))</f>
        <v>Lift</v>
      </c>
      <c r="BL59" s="60" t="str">
        <f aca="false">IF(AT59&lt;=0,"",IF(CG59="Aussen","Aussenlager",IF(CG59="-","Nicht im Lift",IF(AZ59&gt;=1,"Lift",IF(AZ59&lt;=0,"Aussenlager","teilweise")))))</f>
        <v>Lift</v>
      </c>
      <c r="BM59" s="60" t="str">
        <f aca="false">IF(BD59&lt;=0,"",IF(CG59="Aussen","Aussenlager",IF(CG59="-","Nicht im Lift",IF(BJ59&gt;=1,"Lift",IF(BJ59&lt;=0,"Aussenlager","teilweise")))))</f>
        <v>Lift</v>
      </c>
      <c r="BN59" s="60" t="str">
        <f aca="false">IF(A59="","",IF(BW59=1,"Neu; ","")&amp;IF(AND(BW59=0,BR59&lt;0),"negativer Bestand (Export "&amp;BR59&amp;"); ","")&amp;IF(J59&lt;=0,"Kein Verbrauch; ","")&amp;IF(CR59&gt;0,"Lift "&amp;W59&amp;" lt. Liftbericht (Fach "&amp;X59&amp;" Stk); ",IF(CB59=1,"Gebinde geschätzt ("&amp;T59&amp;"); ",IF(CA59=1,"Lose – Tablare geschätzt; ","")))&amp;IF(H59&gt;AW59,"Überbestand "&amp;ROUND(H59-AW59,0)&amp;" Stk / CHF "&amp;ROUND((H59-AW59)*G59,0)&amp;"; ","")&amp;IF(AND(CI59=1,CJ59&lt;CK59),"MAX &lt; MB+LG; ","")&amp;IF(AND(CQ59&gt;0,CP59*10&gt;CQ59),"zu hoch für Tablar; ","")&amp;IF(AND(BW59=0,OR(CI59=1,AB59&lt;&gt;"",U59&lt;&gt;"",V59&lt;&gt;"",AC59&lt;&gt;"")),"manuell übersteuert; ","")&amp;IF(AND(CA59=0,R59=0),"Gebinde unbekannt / Stellmass fehlt; ","")&amp;IF(AND(CA59=0,N(V59)&lt;=0,N(Q59)&lt;=0),"Menge pro Gebinde fehlt (Ist = 1 Gebinde); ","")&amp;BV59)</f>
        <v>Gebinde geschätzt (Mittel); Überbestand 1 Stk / CHF 2168; Menge pro Gebinde fehlt (Ist = 1 Gebinde); </v>
      </c>
      <c r="BO59" s="60"/>
      <c r="BP59" s="60"/>
      <c r="BQ59" s="67"/>
      <c r="BR59" s="62" t="n">
        <v>2</v>
      </c>
      <c r="BS59" s="62" t="n">
        <v>0</v>
      </c>
      <c r="BT59" s="61" t="n">
        <v>4336</v>
      </c>
      <c r="BU59" s="62" t="n">
        <v>1</v>
      </c>
      <c r="BV59" s="60"/>
      <c r="BW59" s="65" t="n">
        <v>0</v>
      </c>
      <c r="BX59" s="65" t="n">
        <v>59</v>
      </c>
      <c r="BY59" s="60" t="str">
        <f aca="false">IF(U59&lt;&gt;"",UPPER(TRIM(U59)),IF(CB59=1,UPPER(VLOOKUP(T59,Parameter!$I$27:$K$29,2,0)),IF(P59="","LOSE",P59)))</f>
        <v>S61</v>
      </c>
      <c r="BZ59" s="62" t="n">
        <f aca="false">IF(BY59="LOSE",1,IF(N(V59)&gt;0,V59,IF(CB59=1,MAX(1,N(VLOOKUP(T59,Parameter!$I$27:$K$29,3,0)),H59,N(N59)),IF(N(Q59)&gt;0,Q59,MAX(1,H59)))))</f>
        <v>4</v>
      </c>
      <c r="CA59" s="65" t="n">
        <f aca="false">IF(BY59="LOSE",1,0)</f>
        <v>0</v>
      </c>
      <c r="CB59" s="65" t="n">
        <f aca="false">IF(AND(U59="",OR(P59="",P59="LOSE"),T59&lt;&gt;"",N(S59)&lt;=0,ISNUMBER(MATCH(T59,Parameter!$I$27:$I$29,0))),1,0)</f>
        <v>1</v>
      </c>
      <c r="CC59" s="65" t="n">
        <f aca="false">IF(CR59&gt;0,INDEX(Parameter!$H$5:$H$7,W59)/INDEX(Parameter!$E$5:$E$7,W59),IF(AND(CA59=0,N(IFERROR(VLOOKUP(BY59,'Gebinde-Kategorie'!$A$5:$N$45,14,0),0))&gt;0),VLOOKUP(BY59,'Gebinde-Kategorie'!$A$5:$N$45,14,0)*10+Parameter!$M$23,Parameter!$M$24))</f>
        <v>145</v>
      </c>
      <c r="CD59" s="60" t="str">
        <f aca="false">IF(AND(Parameter!$B$19="Ja",E59&lt;&gt;"",ISNUMBER(MATCH(E59,Parameter!$I$35:$I$52,0))),VLOOKUP(E59,Parameter!$I$35:$J$52,2,0),IFERROR(VLOOKUP(D59,Parameter!$A$35:$C$64,2,0),"Nein"))</f>
        <v>2+3</v>
      </c>
      <c r="CE59" s="64" t="n">
        <f aca="false">IF(CA59=0,0,IF(N(S59)&gt;0,S59,IFERROR(VLOOKUP(D59,Parameter!$A$35:$C$64,3,0)+0,0)))</f>
        <v>0</v>
      </c>
      <c r="CF59" s="60" t="n">
        <f aca="false">IF(AB59&lt;&gt;"",AB59,AA59)</f>
        <v>3</v>
      </c>
      <c r="CG59" s="60" t="str">
        <f aca="false">IF(OR(CF59=1,CF59=2,CF59=3),IF(Parameter!$E$27="Ja","LIFT",IF(CF59=1,"L1","L23")),IF(CF59="Aussen","Aussen","-"))</f>
        <v>LIFT</v>
      </c>
      <c r="CH59" s="71" t="n">
        <f aca="false">IF(N(AC59)&gt;0,AC59,0)</f>
        <v>0</v>
      </c>
      <c r="CI59" s="65" t="n">
        <f aca="false">IF(ISNUMBER(AF59),1,0)</f>
        <v>0</v>
      </c>
      <c r="CJ59" s="62" t="n">
        <f aca="false">N(AF59)</f>
        <v>0</v>
      </c>
      <c r="CK59" s="62" t="n">
        <f aca="false">N(M59)+N(N59)</f>
        <v>1</v>
      </c>
      <c r="CL59" s="62" t="n">
        <f aca="false">N(M59)</f>
        <v>0</v>
      </c>
      <c r="CM59" s="62" t="n">
        <f aca="false">N(N59)</f>
        <v>1</v>
      </c>
      <c r="CN59" s="62" t="n">
        <f aca="false">ROUNDUP(H59/BZ59,0)</f>
        <v>1</v>
      </c>
      <c r="CO59" s="62" t="n">
        <f aca="false">ROUNDUP(CJ59/BZ59,0)</f>
        <v>0</v>
      </c>
      <c r="CP59" s="65" t="n">
        <f aca="false">IF(CA59=1,0,IFERROR(VLOOKUP(BY59,'Gebinde-Kategorie'!$A$5:$N$45,5,0)+0,0))</f>
        <v>11</v>
      </c>
      <c r="CQ59" s="65" t="n">
        <f aca="false">IFERROR(IF(OR(CF59=1,CF59=2,CF59=3),N(INDEX(Parameter!$I$5:$I$7,CF59)),0),0)</f>
        <v>0</v>
      </c>
      <c r="CR59" s="64" t="n">
        <f aca="false">IF(AND(Parameter!$B$21="Ja",ISNUMBER(W59),N(X59)&gt;0),IFERROR(N(INDEX(Parameter!$L$5:$L$7,W59))*INDEX(Parameter!$E$5:$E$7,W59)*X59/SUMIFS($X$7:$X$1843,$W$7:$W$1843,W59),0),0)</f>
        <v>0</v>
      </c>
      <c r="CS59" s="62" t="n">
        <f aca="false">IF(AND(OR(CG59="L1",CG59="L23",CG59="LIFT"),H59&gt;0),CC59*IF(CR59&gt;0,CR59*MAX(1,H59/X59),IF(CA59=1,CE59,IF(R59&gt;0,CN59/R59,0))/MAX(0.1,N(Parameter!$M$21))),"")</f>
        <v>12.0833333333333</v>
      </c>
      <c r="CT59" s="64" t="n">
        <f aca="false">IF(CS59="","",J59/H59)</f>
        <v>0.5</v>
      </c>
      <c r="CU59" s="62" t="n">
        <f aca="false">IF(CS59="","",H59*G59)</f>
        <v>4336</v>
      </c>
      <c r="CV59" s="63" t="n">
        <f aca="false">IF(CS59="","",(CL59+ROUNDUP(CL59+MAX(CM59,2*(J59/MAX(0.1,N(Einkauf!$C$6))-CL59)),0))/2)</f>
        <v>0.5</v>
      </c>
      <c r="CW59" s="62" t="n">
        <f aca="false">IF(CS59="","",MAX(0,H59-CV59)*G59)</f>
        <v>3252</v>
      </c>
      <c r="CX59" s="62" t="n">
        <f aca="false">IF(CS59="","",CS59*MAX(0,1-CV59/H59))</f>
        <v>9.0625</v>
      </c>
      <c r="CY59" s="64" t="n">
        <f aca="false">IF(CS59="","",PERCENTRANK($CS$7:$CS$1843,CS59)+PERCENTRANK($CU$7:$CU$1843,CU59)+1-PERCENTRANK($CT$7:$CT$1843,CT59))</f>
        <v>1.999</v>
      </c>
      <c r="CZ59" s="72" t="n">
        <f aca="false">IF(CS59="","",CHOOSE(MATCH(Einkauf!$C$5,Parameter!$G$23:$G$27,0),CY59,CS59,CU59,-CT59,CW59)+ROW()/1000000000)</f>
        <v>1.999000059</v>
      </c>
    </row>
    <row r="60" customFormat="false" ht="15" hidden="false" customHeight="false" outlineLevel="0" collapsed="false">
      <c r="A60" s="60" t="s">
        <v>357</v>
      </c>
      <c r="B60" s="60" t="s">
        <v>358</v>
      </c>
      <c r="C60" s="60" t="s">
        <v>206</v>
      </c>
      <c r="D60" s="60" t="s">
        <v>215</v>
      </c>
      <c r="E60" s="60" t="s">
        <v>208</v>
      </c>
      <c r="F60" s="60" t="s">
        <v>260</v>
      </c>
      <c r="G60" s="61" t="n">
        <v>605.97</v>
      </c>
      <c r="H60" s="62" t="n">
        <f aca="false">MAX(0,IF(AND(Parameter!$B$21="Ja",ISNUMBER(Y60)),Y60,IF(Parameter!$B$20="Jahresanfang 2025 + Export",BS60+BR60,BR60)))</f>
        <v>24</v>
      </c>
      <c r="I60" s="62" t="n">
        <f aca="false">H60*G60</f>
        <v>14543.28</v>
      </c>
      <c r="J60" s="62" t="n">
        <f aca="false">BU60*Parameter!$B$18</f>
        <v>80</v>
      </c>
      <c r="K60" s="63" t="n">
        <v>23.5</v>
      </c>
      <c r="L60" s="64" t="n">
        <v>3.40425531914894</v>
      </c>
      <c r="M60" s="62" t="n">
        <v>4</v>
      </c>
      <c r="N60" s="62" t="n">
        <v>25</v>
      </c>
      <c r="O60" s="65" t="n">
        <v>21</v>
      </c>
      <c r="P60" s="60" t="s">
        <v>265</v>
      </c>
      <c r="Q60" s="62" t="n">
        <v>20</v>
      </c>
      <c r="R60" s="65" t="n">
        <f aca="false">IF(CA60=1,0,IFERROR(VLOOKUP(BY60,'Gebinde-Kategorie'!$A$5:$N$45,13,0)+0,0))</f>
        <v>4</v>
      </c>
      <c r="S60" s="66"/>
      <c r="T60" s="67"/>
      <c r="U60" s="67"/>
      <c r="V60" s="67"/>
      <c r="W60" s="60"/>
      <c r="X60" s="62"/>
      <c r="Y60" s="62"/>
      <c r="Z60" s="60" t="n">
        <v>2</v>
      </c>
      <c r="AA60" s="60" t="n">
        <f aca="false">IF(A60="","",IF(AND(Parameter!$B$21="Ja",ISNUMBER(W60)),W60,IF(AND(Parameter!$E$27="Ja",ISNUMBER(Z60),CD60&lt;&gt;"Nein"),Z60,IF(CD60="2+3",IF(ISNUMBER(SEARCH("grosser Artikel",BV60)),2,IFERROR(VLOOKUP(BY60,Parameter!$F$35:$G$64,2,0),2)),IF(OR(CD60="Nein",CD60=""),"-",CD60)))))</f>
        <v>2</v>
      </c>
      <c r="AB60" s="67"/>
      <c r="AC60" s="68"/>
      <c r="AD60" s="62" t="n">
        <f aca="false">AW60</f>
        <v>50</v>
      </c>
      <c r="AE60" s="62" t="n">
        <f aca="false">MAX(AW60,H60)</f>
        <v>50</v>
      </c>
      <c r="AF60" s="69"/>
      <c r="AG60" s="62" t="n">
        <f aca="false">IF(LEFT(Cockpit!$C$5,1)="A",H60,IF(Parameter!$E$30="MAX-Bestand",IF(CI60=1,CJ60,IF(LEFT(Cockpit!$C$5,1)="B",AM60,MAX(AM60,H60))),ROUNDUP(AK60,0)))</f>
        <v>24</v>
      </c>
      <c r="AH60" s="62" t="n">
        <f aca="false">IF(CA60=1,0,ROUNDUP(AG60/BZ60,0))</f>
        <v>2</v>
      </c>
      <c r="AI60" s="64" t="n">
        <f aca="false">IF(CR60&gt;0,CR60*MAX(1,AG60/X60),IF(CA60=1,IF(AG60&lt;=0,0,CE60*MAX(1,IF(H60&gt;0,AG60/H60,1))),IF(R60&gt;0,AH60/R60,0))/MAX(0.1,N(Parameter!$M$21)))</f>
        <v>0.5</v>
      </c>
      <c r="AJ60" s="62" t="n">
        <f aca="false">AI60*CC60</f>
        <v>117.5</v>
      </c>
      <c r="AK60" s="63" t="n">
        <f aca="false">IF(LEFT(Cockpit!$C$5,1)="A",H60,IF(CI60=1,(CL60+CJ60)/2,IF(LEFT(Cockpit!$C$5,1)="B",(CL60+AM60)/2,MAX((CL60+AM60)/2,H60))))</f>
        <v>24</v>
      </c>
      <c r="AL60" s="62" t="n">
        <f aca="false">AK60*G60</f>
        <v>14543.28</v>
      </c>
      <c r="AM60" s="62" t="n">
        <f aca="false">ROUNDUP(CL60+MAX(CM60,2*(J60/IF(CH60&gt;0,CH60,MAX(0.1,N(Cockpit!$C$6)))-CL60)),0)</f>
        <v>50</v>
      </c>
      <c r="AN60" s="63" t="n">
        <f aca="false">IF(AJ60&gt;0,J60/AJ60,-1)</f>
        <v>0.680851063829787</v>
      </c>
      <c r="AO60" s="63" t="n">
        <f aca="false">IF(AND(OR(CG60="L1",CG60="L23",CG60="LIFT"),AJ60&gt;0),SUMIFS($AJ$7:$AJ$1843,$CG$7:$CG$1843,CG60,$AN$7:$AN$1843,"&gt;"&amp;AN60)+SUMIFS($AJ$7:$AJ$1843,$CG$7:$CG$1843,CG60,$AN$7:$AN$1843,AN60,$BX$7:$BX$1843,"&lt;="&amp;BX60),"")</f>
        <v>8592.26602564103</v>
      </c>
      <c r="AP60" s="70" t="n">
        <f aca="false">IF(AO60="",0,MAX(0,MIN(1,(IF(CG60="L1",Parameter!$H$5,IF(CG60="L23",Parameter!$H$6+Parameter!$H$7,Parameter!$H$5+Parameter!$H$6+Parameter!$H$7))-(AO60-AJ60))/AJ60)))</f>
        <v>1</v>
      </c>
      <c r="AQ60" s="62" t="n">
        <f aca="false">IF(LEFT(Cockpit!$I$5,1)="A",H60,IF(Parameter!$E$30="MAX-Bestand",IF(CI60=1,CJ60,IF(LEFT(Cockpit!$I$5,1)="B",AW60,MAX(AW60,H60))),ROUNDUP(AU60,0)))</f>
        <v>27</v>
      </c>
      <c r="AR60" s="62" t="n">
        <f aca="false">IF(CA60=1,0,ROUNDUP(AQ60/BZ60,0))</f>
        <v>2</v>
      </c>
      <c r="AS60" s="64" t="n">
        <f aca="false">IF(CR60&gt;0,CR60*MAX(1,AQ60/X60),IF(CA60=1,IF(AQ60&lt;=0,0,CE60*MAX(1,IF(H60&gt;0,AQ60/H60,1))),IF(R60&gt;0,AR60/R60,0))/MAX(0.1,N(Parameter!$M$21)))</f>
        <v>0.5</v>
      </c>
      <c r="AT60" s="62" t="n">
        <f aca="false">AS60*CC60</f>
        <v>117.5</v>
      </c>
      <c r="AU60" s="63" t="n">
        <f aca="false">IF(LEFT(Cockpit!$I$5,1)="A",H60,IF(CI60=1,(CL60+CJ60)/2,IF(LEFT(Cockpit!$I$5,1)="B",(CL60+AW60)/2,MAX((CL60+AW60)/2,H60))))</f>
        <v>27</v>
      </c>
      <c r="AV60" s="62" t="n">
        <f aca="false">AU60*G60</f>
        <v>16361.19</v>
      </c>
      <c r="AW60" s="62" t="n">
        <f aca="false">ROUNDUP(CL60+MAX(CM60,2*(J60/IF(CH60&gt;0,CH60,MAX(0.1,N(Cockpit!$I$6)))-CL60)),0)</f>
        <v>50</v>
      </c>
      <c r="AX60" s="63" t="n">
        <f aca="false">IF(AT60&gt;0,J60/AT60,-1)</f>
        <v>0.680851063829787</v>
      </c>
      <c r="AY60" s="63" t="n">
        <f aca="false">IF(AND(OR(CG60="L1",CG60="L23",CG60="LIFT"),AT60&gt;0),SUMIFS($AT$7:$AT$1843,$CG$7:$CG$1843,CG60,$AX$7:$AX$1843,"&gt;"&amp;AX60)+SUMIFS($AT$7:$AT$1843,$CG$7:$CG$1843,CG60,$AX$7:$AX$1843,AX60,$BX$7:$BX$1843,"&lt;="&amp;BX60),"")</f>
        <v>10876.0009157509</v>
      </c>
      <c r="AZ60" s="70" t="n">
        <f aca="false">IF(AY60="",0,MAX(0,MIN(1,(IF(CG60="L1",Parameter!$H$5,IF(CG60="L23",Parameter!$H$6+Parameter!$H$7,Parameter!$H$5+Parameter!$H$6+Parameter!$H$7))-(AY60-AT60))/AT60)))</f>
        <v>1</v>
      </c>
      <c r="BA60" s="62" t="n">
        <f aca="false">IF(LEFT(Cockpit!$O$5,1)="A",H60,IF(Parameter!$E$30="MAX-Bestand",IF(CI60=1,CJ60,IF(LEFT(Cockpit!$O$5,1)="B",BG60,MAX(BG60,H60))),ROUNDUP(BE60,0)))</f>
        <v>20</v>
      </c>
      <c r="BB60" s="62" t="n">
        <f aca="false">IF(CA60=1,0,ROUNDUP(BA60/BZ60,0))</f>
        <v>1</v>
      </c>
      <c r="BC60" s="64" t="n">
        <f aca="false">IF(CR60&gt;0,CR60*MAX(1,BA60/X60),IF(CA60=1,IF(BA60&lt;=0,0,CE60*MAX(1,IF(H60&gt;0,BA60/H60,1))),IF(R60&gt;0,BB60/R60,0))/MAX(0.1,N(Parameter!$M$21)))</f>
        <v>0.25</v>
      </c>
      <c r="BD60" s="62" t="n">
        <f aca="false">BC60*CC60</f>
        <v>58.75</v>
      </c>
      <c r="BE60" s="63" t="n">
        <f aca="false">IF(LEFT(Cockpit!$O$5,1)="A",H60,IF(CI60=1,(CL60+CJ60)/2,IF(LEFT(Cockpit!$O$5,1)="B",(CL60+BG60)/2,MAX((CL60+BG60)/2,H60))))</f>
        <v>20</v>
      </c>
      <c r="BF60" s="62" t="n">
        <f aca="false">BE60*G60</f>
        <v>12119.4</v>
      </c>
      <c r="BG60" s="62" t="n">
        <f aca="false">ROUNDUP(CL60+MAX(CM60,2*(J60/IF(CH60&gt;0,CH60,MAX(0.1,N(Cockpit!$O$6)))-CL60)),0)</f>
        <v>36</v>
      </c>
      <c r="BH60" s="63" t="n">
        <f aca="false">IF(BD60&gt;0,J60/BD60,-1)</f>
        <v>1.36170212765957</v>
      </c>
      <c r="BI60" s="63" t="n">
        <f aca="false">IF(AND(OR(CG60="L1",CG60="L23",CG60="LIFT"),BD60&gt;0),SUMIFS($BD$7:$BD$1843,$CG$7:$CG$1843,CG60,$BH$7:$BH$1843,"&gt;"&amp;BH60)+SUMIFS($BD$7:$BD$1843,$CG$7:$CG$1843,CG60,$BH$7:$BH$1843,BH60,$BX$7:$BX$1843,"&lt;="&amp;BX60),"")</f>
        <v>6771.68177655678</v>
      </c>
      <c r="BJ60" s="70" t="n">
        <f aca="false">IF(BI60="",0,MAX(0,MIN(1,(IF(CG60="L1",Parameter!$H$5,IF(CG60="L23",Parameter!$H$6+Parameter!$H$7,Parameter!$H$5+Parameter!$H$6+Parameter!$H$7))-(BI60-BD60))/BD60)))</f>
        <v>1</v>
      </c>
      <c r="BK60" s="60" t="str">
        <f aca="false">IF(AJ60&lt;=0,"",IF(CG60="Aussen","Aussenlager",IF(CG60="-","Nicht im Lift",IF(AP60&gt;=1,"Lift",IF(AP60&lt;=0,"Aussenlager","teilweise")))))</f>
        <v>Lift</v>
      </c>
      <c r="BL60" s="60" t="str">
        <f aca="false">IF(AT60&lt;=0,"",IF(CG60="Aussen","Aussenlager",IF(CG60="-","Nicht im Lift",IF(AZ60&gt;=1,"Lift",IF(AZ60&lt;=0,"Aussenlager","teilweise")))))</f>
        <v>Lift</v>
      </c>
      <c r="BM60" s="60" t="str">
        <f aca="false">IF(BD60&lt;=0,"",IF(CG60="Aussen","Aussenlager",IF(CG60="-","Nicht im Lift",IF(BJ60&gt;=1,"Lift",IF(BJ60&lt;=0,"Aussenlager","teilweise")))))</f>
        <v>Lift</v>
      </c>
      <c r="BN60" s="60" t="str">
        <f aca="false">IF(A60="","",IF(BW60=1,"Neu; ","")&amp;IF(AND(BW60=0,BR60&lt;0),"negativer Bestand (Export "&amp;BR60&amp;"); ","")&amp;IF(J60&lt;=0,"Kein Verbrauch; ","")&amp;IF(CR60&gt;0,"Lift "&amp;W60&amp;" lt. Liftbericht (Fach "&amp;X60&amp;" Stk); ",IF(CB60=1,"Gebinde geschätzt ("&amp;T60&amp;"); ",IF(CA60=1,"Lose – Tablare geschätzt; ","")))&amp;IF(H60&gt;AW60,"Überbestand "&amp;ROUND(H60-AW60,0)&amp;" Stk / CHF "&amp;ROUND((H60-AW60)*G60,0)&amp;"; ","")&amp;IF(AND(CI60=1,CJ60&lt;CK60),"MAX &lt; MB+LG; ","")&amp;IF(AND(CQ60&gt;0,CP60*10&gt;CQ60),"zu hoch für Tablar; ","")&amp;IF(AND(BW60=0,OR(CI60=1,AB60&lt;&gt;"",U60&lt;&gt;"",V60&lt;&gt;"",AC60&lt;&gt;"")),"manuell übersteuert; ","")&amp;IF(AND(CA60=0,R60=0),"Gebinde unbekannt / Stellmass fehlt; ","")&amp;IF(AND(CA60=0,N(V60)&lt;=0,N(Q60)&lt;=0),"Menge pro Gebinde fehlt (Ist = 1 Gebinde); ","")&amp;BV60)</f>
        <v/>
      </c>
      <c r="BO60" s="60" t="s">
        <v>359</v>
      </c>
      <c r="BP60" s="60" t="s">
        <v>360</v>
      </c>
      <c r="BQ60" s="67"/>
      <c r="BR60" s="62" t="n">
        <v>13</v>
      </c>
      <c r="BS60" s="62" t="n">
        <v>11</v>
      </c>
      <c r="BT60" s="61" t="n">
        <v>4297.99000000001</v>
      </c>
      <c r="BU60" s="62" t="n">
        <v>80</v>
      </c>
      <c r="BV60" s="60"/>
      <c r="BW60" s="65" t="n">
        <v>0</v>
      </c>
      <c r="BX60" s="65" t="n">
        <v>60</v>
      </c>
      <c r="BY60" s="60" t="str">
        <f aca="false">IF(U60&lt;&gt;"",UPPER(TRIM(U60)),IF(CB60=1,UPPER(VLOOKUP(T60,Parameter!$I$27:$K$29,2,0)),IF(P60="","LOSE",P60)))</f>
        <v>S81</v>
      </c>
      <c r="BZ60" s="62" t="n">
        <f aca="false">IF(BY60="LOSE",1,IF(N(V60)&gt;0,V60,IF(CB60=1,MAX(1,N(VLOOKUP(T60,Parameter!$I$27:$K$29,3,0)),H60,N(N60)),IF(N(Q60)&gt;0,Q60,MAX(1,H60)))))</f>
        <v>20</v>
      </c>
      <c r="CA60" s="65" t="n">
        <f aca="false">IF(BY60="LOSE",1,0)</f>
        <v>0</v>
      </c>
      <c r="CB60" s="65" t="n">
        <f aca="false">IF(AND(U60="",OR(P60="",P60="LOSE"),T60&lt;&gt;"",N(S60)&lt;=0,ISNUMBER(MATCH(T60,Parameter!$I$27:$I$29,0))),1,0)</f>
        <v>0</v>
      </c>
      <c r="CC60" s="65" t="n">
        <f aca="false">IF(CR60&gt;0,INDEX(Parameter!$H$5:$H$7,W60)/INDEX(Parameter!$E$5:$E$7,W60),IF(AND(CA60=0,N(IFERROR(VLOOKUP(BY60,'Gebinde-Kategorie'!$A$5:$N$45,14,0),0))&gt;0),VLOOKUP(BY60,'Gebinde-Kategorie'!$A$5:$N$45,14,0)*10+Parameter!$M$23,Parameter!$M$24))</f>
        <v>235</v>
      </c>
      <c r="CD60" s="60" t="n">
        <f aca="false">IF(AND(Parameter!$B$19="Ja",E60&lt;&gt;"",ISNUMBER(MATCH(E60,Parameter!$I$35:$I$52,0))),VLOOKUP(E60,Parameter!$I$35:$J$52,2,0),IFERROR(VLOOKUP(D60,Parameter!$A$35:$C$64,2,0),"Nein"))</f>
        <v>1</v>
      </c>
      <c r="CE60" s="64" t="n">
        <f aca="false">IF(CA60=0,0,IF(N(S60)&gt;0,S60,IFERROR(VLOOKUP(D60,Parameter!$A$35:$C$64,3,0)+0,0)))</f>
        <v>0</v>
      </c>
      <c r="CF60" s="60" t="n">
        <f aca="false">IF(AB60&lt;&gt;"",AB60,AA60)</f>
        <v>2</v>
      </c>
      <c r="CG60" s="60" t="str">
        <f aca="false">IF(OR(CF60=1,CF60=2,CF60=3),IF(Parameter!$E$27="Ja","LIFT",IF(CF60=1,"L1","L23")),IF(CF60="Aussen","Aussen","-"))</f>
        <v>LIFT</v>
      </c>
      <c r="CH60" s="71" t="n">
        <f aca="false">IF(N(AC60)&gt;0,AC60,0)</f>
        <v>0</v>
      </c>
      <c r="CI60" s="65" t="n">
        <f aca="false">IF(ISNUMBER(AF60),1,0)</f>
        <v>0</v>
      </c>
      <c r="CJ60" s="62" t="n">
        <f aca="false">N(AF60)</f>
        <v>0</v>
      </c>
      <c r="CK60" s="62" t="n">
        <f aca="false">N(M60)+N(N60)</f>
        <v>29</v>
      </c>
      <c r="CL60" s="62" t="n">
        <f aca="false">N(M60)</f>
        <v>4</v>
      </c>
      <c r="CM60" s="62" t="n">
        <f aca="false">N(N60)</f>
        <v>25</v>
      </c>
      <c r="CN60" s="62" t="n">
        <f aca="false">ROUNDUP(H60/BZ60,0)</f>
        <v>2</v>
      </c>
      <c r="CO60" s="62" t="n">
        <f aca="false">ROUNDUP(CJ60/BZ60,0)</f>
        <v>0</v>
      </c>
      <c r="CP60" s="65" t="n">
        <f aca="false">IF(CA60=1,0,IFERROR(VLOOKUP(BY60,'Gebinde-Kategorie'!$A$5:$N$45,5,0)+0,0))</f>
        <v>20</v>
      </c>
      <c r="CQ60" s="65" t="n">
        <f aca="false">IFERROR(IF(OR(CF60=1,CF60=2,CF60=3),N(INDEX(Parameter!$I$5:$I$7,CF60)),0),0)</f>
        <v>0</v>
      </c>
      <c r="CR60" s="64" t="n">
        <f aca="false">IF(AND(Parameter!$B$21="Ja",ISNUMBER(W60),N(X60)&gt;0),IFERROR(N(INDEX(Parameter!$L$5:$L$7,W60))*INDEX(Parameter!$E$5:$E$7,W60)*X60/SUMIFS($X$7:$X$1843,$W$7:$W$1843,W60),0),0)</f>
        <v>0</v>
      </c>
      <c r="CS60" s="62" t="n">
        <f aca="false">IF(AND(OR(CG60="L1",CG60="L23",CG60="LIFT"),H60&gt;0),CC60*IF(CR60&gt;0,CR60*MAX(1,H60/X60),IF(CA60=1,CE60,IF(R60&gt;0,CN60/R60,0))/MAX(0.1,N(Parameter!$M$21))),"")</f>
        <v>117.5</v>
      </c>
      <c r="CT60" s="64" t="n">
        <f aca="false">IF(CS60="","",J60/H60)</f>
        <v>3.33333333333333</v>
      </c>
      <c r="CU60" s="62" t="n">
        <f aca="false">IF(CS60="","",H60*G60)</f>
        <v>14543.28</v>
      </c>
      <c r="CV60" s="63" t="n">
        <f aca="false">IF(CS60="","",(CL60+ROUNDUP(CL60+MAX(CM60,2*(J60/MAX(0.1,N(Einkauf!$C$6))-CL60)),0))/2)</f>
        <v>20</v>
      </c>
      <c r="CW60" s="62" t="n">
        <f aca="false">IF(CS60="","",MAX(0,H60-CV60)*G60)</f>
        <v>2423.88</v>
      </c>
      <c r="CX60" s="62" t="n">
        <f aca="false">IF(CS60="","",CS60*MAX(0,1-CV60/H60))</f>
        <v>19.5833333333333</v>
      </c>
      <c r="CY60" s="64" t="n">
        <f aca="false">IF(CS60="","",PERCENTRANK($CS$7:$CS$1843,CS60)+PERCENTRANK($CU$7:$CU$1843,CU60)+1-PERCENTRANK($CT$7:$CT$1843,CT60))</f>
        <v>2.026</v>
      </c>
      <c r="CZ60" s="72" t="n">
        <f aca="false">IF(CS60="","",CHOOSE(MATCH(Einkauf!$C$5,Parameter!$G$23:$G$27,0),CY60,CS60,CU60,-CT60,CW60)+ROW()/1000000000)</f>
        <v>2.02600006</v>
      </c>
    </row>
    <row r="61" customFormat="false" ht="15" hidden="false" customHeight="false" outlineLevel="0" collapsed="false">
      <c r="A61" s="60" t="s">
        <v>361</v>
      </c>
      <c r="B61" s="60" t="s">
        <v>362</v>
      </c>
      <c r="C61" s="60" t="s">
        <v>206</v>
      </c>
      <c r="D61" s="60" t="s">
        <v>207</v>
      </c>
      <c r="E61" s="60"/>
      <c r="F61" s="60" t="s">
        <v>260</v>
      </c>
      <c r="G61" s="61" t="n">
        <v>832.7</v>
      </c>
      <c r="H61" s="62" t="n">
        <f aca="false">MAX(0,IF(AND(Parameter!$B$21="Ja",ISNUMBER(Y61)),Y61,IF(Parameter!$B$20="Jahresanfang 2025 + Export",BS61+BR61,BR61)))</f>
        <v>5</v>
      </c>
      <c r="I61" s="62" t="n">
        <f aca="false">H61*G61</f>
        <v>4163.5</v>
      </c>
      <c r="J61" s="62" t="n">
        <f aca="false">BU61*Parameter!$B$18</f>
        <v>0</v>
      </c>
      <c r="K61" s="63" t="n">
        <v>2.5</v>
      </c>
      <c r="L61" s="64" t="n">
        <v>0</v>
      </c>
      <c r="M61" s="62" t="n">
        <v>1</v>
      </c>
      <c r="N61" s="62" t="n">
        <v>5</v>
      </c>
      <c r="O61" s="65" t="n">
        <v>14</v>
      </c>
      <c r="P61" s="60" t="s">
        <v>265</v>
      </c>
      <c r="Q61" s="62" t="n">
        <v>3</v>
      </c>
      <c r="R61" s="65" t="n">
        <f aca="false">IF(CA61=1,0,IFERROR(VLOOKUP(BY61,'Gebinde-Kategorie'!$A$5:$N$45,13,0)+0,0))</f>
        <v>4</v>
      </c>
      <c r="S61" s="66"/>
      <c r="T61" s="67"/>
      <c r="U61" s="67"/>
      <c r="V61" s="67"/>
      <c r="W61" s="60"/>
      <c r="X61" s="62"/>
      <c r="Y61" s="62"/>
      <c r="Z61" s="60" t="n">
        <v>2</v>
      </c>
      <c r="AA61" s="60" t="n">
        <f aca="false">IF(A61="","",IF(AND(Parameter!$B$21="Ja",ISNUMBER(W61)),W61,IF(AND(Parameter!$E$27="Ja",ISNUMBER(Z61),CD61&lt;&gt;"Nein"),Z61,IF(CD61="2+3",IF(ISNUMBER(SEARCH("grosser Artikel",BV61)),2,IFERROR(VLOOKUP(BY61,Parameter!$F$35:$G$64,2,0),2)),IF(OR(CD61="Nein",CD61=""),"-",CD61)))))</f>
        <v>2</v>
      </c>
      <c r="AB61" s="67"/>
      <c r="AC61" s="68"/>
      <c r="AD61" s="62" t="n">
        <f aca="false">AW61</f>
        <v>6</v>
      </c>
      <c r="AE61" s="62" t="n">
        <f aca="false">MAX(AW61,H61)</f>
        <v>6</v>
      </c>
      <c r="AF61" s="69"/>
      <c r="AG61" s="62" t="n">
        <f aca="false">IF(LEFT(Cockpit!$C$5,1)="A",H61,IF(Parameter!$E$30="MAX-Bestand",IF(CI61=1,CJ61,IF(LEFT(Cockpit!$C$5,1)="B",AM61,MAX(AM61,H61))),ROUNDUP(AK61,0)))</f>
        <v>5</v>
      </c>
      <c r="AH61" s="62" t="n">
        <f aca="false">IF(CA61=1,0,ROUNDUP(AG61/BZ61,0))</f>
        <v>2</v>
      </c>
      <c r="AI61" s="64" t="n">
        <f aca="false">IF(CR61&gt;0,CR61*MAX(1,AG61/X61),IF(CA61=1,IF(AG61&lt;=0,0,CE61*MAX(1,IF(H61&gt;0,AG61/H61,1))),IF(R61&gt;0,AH61/R61,0))/MAX(0.1,N(Parameter!$M$21)))</f>
        <v>0.5</v>
      </c>
      <c r="AJ61" s="62" t="n">
        <f aca="false">AI61*CC61</f>
        <v>117.5</v>
      </c>
      <c r="AK61" s="63" t="n">
        <f aca="false">IF(LEFT(Cockpit!$C$5,1)="A",H61,IF(CI61=1,(CL61+CJ61)/2,IF(LEFT(Cockpit!$C$5,1)="B",(CL61+AM61)/2,MAX((CL61+AM61)/2,H61))))</f>
        <v>5</v>
      </c>
      <c r="AL61" s="62" t="n">
        <f aca="false">AK61*G61</f>
        <v>4163.5</v>
      </c>
      <c r="AM61" s="62" t="n">
        <f aca="false">ROUNDUP(CL61+MAX(CM61,2*(J61/IF(CH61&gt;0,CH61,MAX(0.1,N(Cockpit!$C$6)))-CL61)),0)</f>
        <v>6</v>
      </c>
      <c r="AN61" s="63" t="n">
        <f aca="false">IF(AJ61&gt;0,J61/AJ61,-1)</f>
        <v>0</v>
      </c>
      <c r="AO61" s="63" t="n">
        <f aca="false">IF(AND(OR(CG61="L1",CG61="L23",CG61="LIFT"),AJ61&gt;0),SUMIFS($AJ$7:$AJ$1843,$CG$7:$CG$1843,CG61,$AN$7:$AN$1843,"&gt;"&amp;AN61)+SUMIFS($AJ$7:$AJ$1843,$CG$7:$CG$1843,CG61,$AN$7:$AN$1843,AN61,$BX$7:$BX$1843,"&lt;="&amp;BX61),"")</f>
        <v>26446.7419212144</v>
      </c>
      <c r="AP61" s="70" t="n">
        <f aca="false">IF(AO61="",0,MAX(0,MIN(1,(IF(CG61="L1",Parameter!$H$5,IF(CG61="L23",Parameter!$H$6+Parameter!$H$7,Parameter!$H$5+Parameter!$H$6+Parameter!$H$7))-(AO61-AJ61))/AJ61)))</f>
        <v>1</v>
      </c>
      <c r="AQ61" s="62" t="n">
        <f aca="false">IF(LEFT(Cockpit!$I$5,1)="A",H61,IF(Parameter!$E$30="MAX-Bestand",IF(CI61=1,CJ61,IF(LEFT(Cockpit!$I$5,1)="B",AW61,MAX(AW61,H61))),ROUNDUP(AU61,0)))</f>
        <v>5</v>
      </c>
      <c r="AR61" s="62" t="n">
        <f aca="false">IF(CA61=1,0,ROUNDUP(AQ61/BZ61,0))</f>
        <v>2</v>
      </c>
      <c r="AS61" s="64" t="n">
        <f aca="false">IF(CR61&gt;0,CR61*MAX(1,AQ61/X61),IF(CA61=1,IF(AQ61&lt;=0,0,CE61*MAX(1,IF(H61&gt;0,AQ61/H61,1))),IF(R61&gt;0,AR61/R61,0))/MAX(0.1,N(Parameter!$M$21)))</f>
        <v>0.5</v>
      </c>
      <c r="AT61" s="62" t="n">
        <f aca="false">AS61*CC61</f>
        <v>117.5</v>
      </c>
      <c r="AU61" s="63" t="n">
        <f aca="false">IF(LEFT(Cockpit!$I$5,1)="A",H61,IF(CI61=1,(CL61+CJ61)/2,IF(LEFT(Cockpit!$I$5,1)="B",(CL61+AW61)/2,MAX((CL61+AW61)/2,H61))))</f>
        <v>5</v>
      </c>
      <c r="AV61" s="62" t="n">
        <f aca="false">AU61*G61</f>
        <v>4163.5</v>
      </c>
      <c r="AW61" s="62" t="n">
        <f aca="false">ROUNDUP(CL61+MAX(CM61,2*(J61/IF(CH61&gt;0,CH61,MAX(0.1,N(Cockpit!$I$6)))-CL61)),0)</f>
        <v>6</v>
      </c>
      <c r="AX61" s="63" t="n">
        <f aca="false">IF(AT61&gt;0,J61/AT61,-1)</f>
        <v>0</v>
      </c>
      <c r="AY61" s="63" t="n">
        <f aca="false">IF(AND(OR(CG61="L1",CG61="L23",CG61="LIFT"),AT61&gt;0),SUMIFS($AT$7:$AT$1843,$CG$7:$CG$1843,CG61,$AX$7:$AX$1843,"&gt;"&amp;AX61)+SUMIFS($AT$7:$AT$1843,$CG$7:$CG$1843,CG61,$AX$7:$AX$1843,AX61,$BX$7:$BX$1843,"&lt;="&amp;BX61),"")</f>
        <v>31799.8905625918</v>
      </c>
      <c r="AZ61" s="70" t="n">
        <f aca="false">IF(AY61="",0,MAX(0,MIN(1,(IF(CG61="L1",Parameter!$H$5,IF(CG61="L23",Parameter!$H$6+Parameter!$H$7,Parameter!$H$5+Parameter!$H$6+Parameter!$H$7))-(AY61-AT61))/AT61)))</f>
        <v>1</v>
      </c>
      <c r="BA61" s="62" t="n">
        <f aca="false">IF(LEFT(Cockpit!$O$5,1)="A",H61,IF(Parameter!$E$30="MAX-Bestand",IF(CI61=1,CJ61,IF(LEFT(Cockpit!$O$5,1)="B",BG61,MAX(BG61,H61))),ROUNDUP(BE61,0)))</f>
        <v>4</v>
      </c>
      <c r="BB61" s="62" t="n">
        <f aca="false">IF(CA61=1,0,ROUNDUP(BA61/BZ61,0))</f>
        <v>2</v>
      </c>
      <c r="BC61" s="64" t="n">
        <f aca="false">IF(CR61&gt;0,CR61*MAX(1,BA61/X61),IF(CA61=1,IF(BA61&lt;=0,0,CE61*MAX(1,IF(H61&gt;0,BA61/H61,1))),IF(R61&gt;0,BB61/R61,0))/MAX(0.1,N(Parameter!$M$21)))</f>
        <v>0.5</v>
      </c>
      <c r="BD61" s="62" t="n">
        <f aca="false">BC61*CC61</f>
        <v>117.5</v>
      </c>
      <c r="BE61" s="63" t="n">
        <f aca="false">IF(LEFT(Cockpit!$O$5,1)="A",H61,IF(CI61=1,(CL61+CJ61)/2,IF(LEFT(Cockpit!$O$5,1)="B",(CL61+BG61)/2,MAX((CL61+BG61)/2,H61))))</f>
        <v>3.5</v>
      </c>
      <c r="BF61" s="62" t="n">
        <f aca="false">BE61*G61</f>
        <v>2914.45</v>
      </c>
      <c r="BG61" s="62" t="n">
        <f aca="false">ROUNDUP(CL61+MAX(CM61,2*(J61/IF(CH61&gt;0,CH61,MAX(0.1,N(Cockpit!$O$6)))-CL61)),0)</f>
        <v>6</v>
      </c>
      <c r="BH61" s="63" t="n">
        <f aca="false">IF(BD61&gt;0,J61/BD61,-1)</f>
        <v>0</v>
      </c>
      <c r="BI61" s="63" t="n">
        <f aca="false">IF(AND(OR(CG61="L1",CG61="L23",CG61="LIFT"),BD61&gt;0),SUMIFS($BD$7:$BD$1843,$CG$7:$CG$1843,CG61,$BH$7:$BH$1843,"&gt;"&amp;BH61)+SUMIFS($BD$7:$BD$1843,$CG$7:$CG$1843,CG61,$BH$7:$BH$1843,BH61,$BX$7:$BX$1843,"&lt;="&amp;BX61),"")</f>
        <v>25996.4724058898</v>
      </c>
      <c r="BJ61" s="70" t="n">
        <f aca="false">IF(BI61="",0,MAX(0,MIN(1,(IF(CG61="L1",Parameter!$H$5,IF(CG61="L23",Parameter!$H$6+Parameter!$H$7,Parameter!$H$5+Parameter!$H$6+Parameter!$H$7))-(BI61-BD61))/BD61)))</f>
        <v>1</v>
      </c>
      <c r="BK61" s="60" t="str">
        <f aca="false">IF(AJ61&lt;=0,"",IF(CG61="Aussen","Aussenlager",IF(CG61="-","Nicht im Lift",IF(AP61&gt;=1,"Lift",IF(AP61&lt;=0,"Aussenlager","teilweise")))))</f>
        <v>Lift</v>
      </c>
      <c r="BL61" s="60" t="str">
        <f aca="false">IF(AT61&lt;=0,"",IF(CG61="Aussen","Aussenlager",IF(CG61="-","Nicht im Lift",IF(AZ61&gt;=1,"Lift",IF(AZ61&lt;=0,"Aussenlager","teilweise")))))</f>
        <v>Lift</v>
      </c>
      <c r="BM61" s="60" t="str">
        <f aca="false">IF(BD61&lt;=0,"",IF(CG61="Aussen","Aussenlager",IF(CG61="-","Nicht im Lift",IF(BJ61&gt;=1,"Lift",IF(BJ61&lt;=0,"Aussenlager","teilweise")))))</f>
        <v>Lift</v>
      </c>
      <c r="BN61" s="60" t="str">
        <f aca="false">IF(A61="","",IF(BW61=1,"Neu; ","")&amp;IF(AND(BW61=0,BR61&lt;0),"negativer Bestand (Export "&amp;BR61&amp;"); ","")&amp;IF(J61&lt;=0,"Kein Verbrauch; ","")&amp;IF(CR61&gt;0,"Lift "&amp;W61&amp;" lt. Liftbericht (Fach "&amp;X61&amp;" Stk); ",IF(CB61=1,"Gebinde geschätzt ("&amp;T61&amp;"); ",IF(CA61=1,"Lose – Tablare geschätzt; ","")))&amp;IF(H61&gt;AW61,"Überbestand "&amp;ROUND(H61-AW61,0)&amp;" Stk / CHF "&amp;ROUND((H61-AW61)*G61,0)&amp;"; ","")&amp;IF(AND(CI61=1,CJ61&lt;CK61),"MAX &lt; MB+LG; ","")&amp;IF(AND(CQ61&gt;0,CP61*10&gt;CQ61),"zu hoch für Tablar; ","")&amp;IF(AND(BW61=0,OR(CI61=1,AB61&lt;&gt;"",U61&lt;&gt;"",V61&lt;&gt;"",AC61&lt;&gt;"")),"manuell übersteuert; ","")&amp;IF(AND(CA61=0,R61=0),"Gebinde unbekannt / Stellmass fehlt; ","")&amp;IF(AND(CA61=0,N(V61)&lt;=0,N(Q61)&lt;=0),"Menge pro Gebinde fehlt (Ist = 1 Gebinde); ","")&amp;BV61)</f>
        <v>Kein Verbrauch; </v>
      </c>
      <c r="BO61" s="60"/>
      <c r="BP61" s="60"/>
      <c r="BQ61" s="67"/>
      <c r="BR61" s="62" t="n">
        <v>5</v>
      </c>
      <c r="BS61" s="62" t="n">
        <v>0</v>
      </c>
      <c r="BT61" s="61" t="n">
        <v>4163.5</v>
      </c>
      <c r="BU61" s="62" t="n">
        <v>0</v>
      </c>
      <c r="BV61" s="60"/>
      <c r="BW61" s="65" t="n">
        <v>0</v>
      </c>
      <c r="BX61" s="65" t="n">
        <v>61</v>
      </c>
      <c r="BY61" s="60" t="str">
        <f aca="false">IF(U61&lt;&gt;"",UPPER(TRIM(U61)),IF(CB61=1,UPPER(VLOOKUP(T61,Parameter!$I$27:$K$29,2,0)),IF(P61="","LOSE",P61)))</f>
        <v>S81</v>
      </c>
      <c r="BZ61" s="62" t="n">
        <f aca="false">IF(BY61="LOSE",1,IF(N(V61)&gt;0,V61,IF(CB61=1,MAX(1,N(VLOOKUP(T61,Parameter!$I$27:$K$29,3,0)),H61,N(N61)),IF(N(Q61)&gt;0,Q61,MAX(1,H61)))))</f>
        <v>3</v>
      </c>
      <c r="CA61" s="65" t="n">
        <f aca="false">IF(BY61="LOSE",1,0)</f>
        <v>0</v>
      </c>
      <c r="CB61" s="65" t="n">
        <f aca="false">IF(AND(U61="",OR(P61="",P61="LOSE"),T61&lt;&gt;"",N(S61)&lt;=0,ISNUMBER(MATCH(T61,Parameter!$I$27:$I$29,0))),1,0)</f>
        <v>0</v>
      </c>
      <c r="CC61" s="65" t="n">
        <f aca="false">IF(CR61&gt;0,INDEX(Parameter!$H$5:$H$7,W61)/INDEX(Parameter!$E$5:$E$7,W61),IF(AND(CA61=0,N(IFERROR(VLOOKUP(BY61,'Gebinde-Kategorie'!$A$5:$N$45,14,0),0))&gt;0),VLOOKUP(BY61,'Gebinde-Kategorie'!$A$5:$N$45,14,0)*10+Parameter!$M$23,Parameter!$M$24))</f>
        <v>235</v>
      </c>
      <c r="CD61" s="60" t="n">
        <f aca="false">IF(AND(Parameter!$B$19="Ja",E61&lt;&gt;"",ISNUMBER(MATCH(E61,Parameter!$I$35:$I$52,0))),VLOOKUP(E61,Parameter!$I$35:$J$52,2,0),IFERROR(VLOOKUP(D61,Parameter!$A$35:$C$64,2,0),"Nein"))</f>
        <v>1</v>
      </c>
      <c r="CE61" s="64" t="n">
        <f aca="false">IF(CA61=0,0,IF(N(S61)&gt;0,S61,IFERROR(VLOOKUP(D61,Parameter!$A$35:$C$64,3,0)+0,0)))</f>
        <v>0</v>
      </c>
      <c r="CF61" s="60" t="n">
        <f aca="false">IF(AB61&lt;&gt;"",AB61,AA61)</f>
        <v>2</v>
      </c>
      <c r="CG61" s="60" t="str">
        <f aca="false">IF(OR(CF61=1,CF61=2,CF61=3),IF(Parameter!$E$27="Ja","LIFT",IF(CF61=1,"L1","L23")),IF(CF61="Aussen","Aussen","-"))</f>
        <v>LIFT</v>
      </c>
      <c r="CH61" s="71" t="n">
        <f aca="false">IF(N(AC61)&gt;0,AC61,0)</f>
        <v>0</v>
      </c>
      <c r="CI61" s="65" t="n">
        <f aca="false">IF(ISNUMBER(AF61),1,0)</f>
        <v>0</v>
      </c>
      <c r="CJ61" s="62" t="n">
        <f aca="false">N(AF61)</f>
        <v>0</v>
      </c>
      <c r="CK61" s="62" t="n">
        <f aca="false">N(M61)+N(N61)</f>
        <v>6</v>
      </c>
      <c r="CL61" s="62" t="n">
        <f aca="false">N(M61)</f>
        <v>1</v>
      </c>
      <c r="CM61" s="62" t="n">
        <f aca="false">N(N61)</f>
        <v>5</v>
      </c>
      <c r="CN61" s="62" t="n">
        <f aca="false">ROUNDUP(H61/BZ61,0)</f>
        <v>2</v>
      </c>
      <c r="CO61" s="62" t="n">
        <f aca="false">ROUNDUP(CJ61/BZ61,0)</f>
        <v>0</v>
      </c>
      <c r="CP61" s="65" t="n">
        <f aca="false">IF(CA61=1,0,IFERROR(VLOOKUP(BY61,'Gebinde-Kategorie'!$A$5:$N$45,5,0)+0,0))</f>
        <v>20</v>
      </c>
      <c r="CQ61" s="65" t="n">
        <f aca="false">IFERROR(IF(OR(CF61=1,CF61=2,CF61=3),N(INDEX(Parameter!$I$5:$I$7,CF61)),0),0)</f>
        <v>0</v>
      </c>
      <c r="CR61" s="64" t="n">
        <f aca="false">IF(AND(Parameter!$B$21="Ja",ISNUMBER(W61),N(X61)&gt;0),IFERROR(N(INDEX(Parameter!$L$5:$L$7,W61))*INDEX(Parameter!$E$5:$E$7,W61)*X61/SUMIFS($X$7:$X$1843,$W$7:$W$1843,W61),0),0)</f>
        <v>0</v>
      </c>
      <c r="CS61" s="62" t="n">
        <f aca="false">IF(AND(OR(CG61="L1",CG61="L23",CG61="LIFT"),H61&gt;0),CC61*IF(CR61&gt;0,CR61*MAX(1,H61/X61),IF(CA61=1,CE61,IF(R61&gt;0,CN61/R61,0))/MAX(0.1,N(Parameter!$M$21))),"")</f>
        <v>117.5</v>
      </c>
      <c r="CT61" s="64" t="n">
        <f aca="false">IF(CS61="","",J61/H61)</f>
        <v>0</v>
      </c>
      <c r="CU61" s="62" t="n">
        <f aca="false">IF(CS61="","",H61*G61)</f>
        <v>4163.5</v>
      </c>
      <c r="CV61" s="63" t="n">
        <f aca="false">IF(CS61="","",(CL61+ROUNDUP(CL61+MAX(CM61,2*(J61/MAX(0.1,N(Einkauf!$C$6))-CL61)),0))/2)</f>
        <v>3.5</v>
      </c>
      <c r="CW61" s="62" t="n">
        <f aca="false">IF(CS61="","",MAX(0,H61-CV61)*G61)</f>
        <v>1249.05</v>
      </c>
      <c r="CX61" s="62" t="n">
        <f aca="false">IF(CS61="","",CS61*MAX(0,1-CV61/H61))</f>
        <v>35.25</v>
      </c>
      <c r="CY61" s="64" t="n">
        <f aca="false">IF(CS61="","",PERCENTRANK($CS$7:$CS$1843,CS61)+PERCENTRANK($CU$7:$CU$1843,CU61)+1-PERCENTRANK($CT$7:$CT$1843,CT61))</f>
        <v>2.846</v>
      </c>
      <c r="CZ61" s="72" t="n">
        <f aca="false">IF(CS61="","",CHOOSE(MATCH(Einkauf!$C$5,Parameter!$G$23:$G$27,0),CY61,CS61,CU61,-CT61,CW61)+ROW()/1000000000)</f>
        <v>2.846000061</v>
      </c>
    </row>
    <row r="62" customFormat="false" ht="15" hidden="false" customHeight="false" outlineLevel="0" collapsed="false">
      <c r="A62" s="60" t="s">
        <v>363</v>
      </c>
      <c r="B62" s="60" t="s">
        <v>364</v>
      </c>
      <c r="C62" s="60" t="s">
        <v>206</v>
      </c>
      <c r="D62" s="60" t="s">
        <v>226</v>
      </c>
      <c r="E62" s="60"/>
      <c r="F62" s="60" t="s">
        <v>260</v>
      </c>
      <c r="G62" s="61" t="n">
        <v>513</v>
      </c>
      <c r="H62" s="62" t="n">
        <f aca="false">MAX(0,IF(AND(Parameter!$B$21="Ja",ISNUMBER(Y62)),Y62,IF(Parameter!$B$20="Jahresanfang 2025 + Export",BS62+BR62,BR62)))</f>
        <v>8</v>
      </c>
      <c r="I62" s="62" t="n">
        <f aca="false">H62*G62</f>
        <v>4104</v>
      </c>
      <c r="J62" s="62" t="n">
        <f aca="false">BU62*Parameter!$B$18</f>
        <v>0</v>
      </c>
      <c r="K62" s="63" t="n">
        <v>0</v>
      </c>
      <c r="L62" s="64" t="n">
        <v>0</v>
      </c>
      <c r="M62" s="62" t="n">
        <v>0</v>
      </c>
      <c r="N62" s="62" t="n">
        <v>1</v>
      </c>
      <c r="O62" s="65" t="n">
        <v>9999</v>
      </c>
      <c r="P62" s="60" t="s">
        <v>210</v>
      </c>
      <c r="Q62" s="62"/>
      <c r="R62" s="65" t="n">
        <f aca="false">IF(CA62=1,0,IFERROR(VLOOKUP(BY62,'Gebinde-Kategorie'!$A$5:$N$45,13,0)+0,0))</f>
        <v>12</v>
      </c>
      <c r="S62" s="66"/>
      <c r="T62" s="67" t="s">
        <v>221</v>
      </c>
      <c r="U62" s="67"/>
      <c r="V62" s="67"/>
      <c r="W62" s="60"/>
      <c r="X62" s="62"/>
      <c r="Y62" s="62"/>
      <c r="Z62" s="60" t="n">
        <v>3</v>
      </c>
      <c r="AA62" s="60" t="n">
        <f aca="false">IF(A62="","",IF(AND(Parameter!$B$21="Ja",ISNUMBER(W62)),W62,IF(AND(Parameter!$E$27="Ja",ISNUMBER(Z62),CD62&lt;&gt;"Nein"),Z62,IF(CD62="2+3",IF(ISNUMBER(SEARCH("grosser Artikel",BV62)),2,IFERROR(VLOOKUP(BY62,Parameter!$F$35:$G$64,2,0),2)),IF(OR(CD62="Nein",CD62=""),"-",CD62)))))</f>
        <v>3</v>
      </c>
      <c r="AB62" s="67"/>
      <c r="AC62" s="68"/>
      <c r="AD62" s="62" t="n">
        <f aca="false">AW62</f>
        <v>1</v>
      </c>
      <c r="AE62" s="62" t="n">
        <f aca="false">MAX(AW62,H62)</f>
        <v>8</v>
      </c>
      <c r="AF62" s="69"/>
      <c r="AG62" s="62" t="n">
        <f aca="false">IF(LEFT(Cockpit!$C$5,1)="A",H62,IF(Parameter!$E$30="MAX-Bestand",IF(CI62=1,CJ62,IF(LEFT(Cockpit!$C$5,1)="B",AM62,MAX(AM62,H62))),ROUNDUP(AK62,0)))</f>
        <v>8</v>
      </c>
      <c r="AH62" s="62" t="n">
        <f aca="false">IF(CA62=1,0,ROUNDUP(AG62/BZ62,0))</f>
        <v>1</v>
      </c>
      <c r="AI62" s="64" t="n">
        <f aca="false">IF(CR62&gt;0,CR62*MAX(1,AG62/X62),IF(CA62=1,IF(AG62&lt;=0,0,CE62*MAX(1,IF(H62&gt;0,AG62/H62,1))),IF(R62&gt;0,AH62/R62,0))/MAX(0.1,N(Parameter!$M$21)))</f>
        <v>0.0833333333333333</v>
      </c>
      <c r="AJ62" s="62" t="n">
        <f aca="false">AI62*CC62</f>
        <v>12.0833333333333</v>
      </c>
      <c r="AK62" s="63" t="n">
        <f aca="false">IF(LEFT(Cockpit!$C$5,1)="A",H62,IF(CI62=1,(CL62+CJ62)/2,IF(LEFT(Cockpit!$C$5,1)="B",(CL62+AM62)/2,MAX((CL62+AM62)/2,H62))))</f>
        <v>8</v>
      </c>
      <c r="AL62" s="62" t="n">
        <f aca="false">AK62*G62</f>
        <v>4104</v>
      </c>
      <c r="AM62" s="62" t="n">
        <f aca="false">ROUNDUP(CL62+MAX(CM62,2*(J62/IF(CH62&gt;0,CH62,MAX(0.1,N(Cockpit!$C$6)))-CL62)),0)</f>
        <v>1</v>
      </c>
      <c r="AN62" s="63" t="n">
        <f aca="false">IF(AJ62&gt;0,J62/AJ62,-1)</f>
        <v>0</v>
      </c>
      <c r="AO62" s="63" t="n">
        <f aca="false">IF(AND(OR(CG62="L1",CG62="L23",CG62="LIFT"),AJ62&gt;0),SUMIFS($AJ$7:$AJ$1843,$CG$7:$CG$1843,CG62,$AN$7:$AN$1843,"&gt;"&amp;AN62)+SUMIFS($AJ$7:$AJ$1843,$CG$7:$CG$1843,CG62,$AN$7:$AN$1843,AN62,$BX$7:$BX$1843,"&lt;="&amp;BX62),"")</f>
        <v>26458.8252545477</v>
      </c>
      <c r="AP62" s="70" t="n">
        <f aca="false">IF(AO62="",0,MAX(0,MIN(1,(IF(CG62="L1",Parameter!$H$5,IF(CG62="L23",Parameter!$H$6+Parameter!$H$7,Parameter!$H$5+Parameter!$H$6+Parameter!$H$7))-(AO62-AJ62))/AJ62)))</f>
        <v>1</v>
      </c>
      <c r="AQ62" s="62" t="n">
        <f aca="false">IF(LEFT(Cockpit!$I$5,1)="A",H62,IF(Parameter!$E$30="MAX-Bestand",IF(CI62=1,CJ62,IF(LEFT(Cockpit!$I$5,1)="B",AW62,MAX(AW62,H62))),ROUNDUP(AU62,0)))</f>
        <v>8</v>
      </c>
      <c r="AR62" s="62" t="n">
        <f aca="false">IF(CA62=1,0,ROUNDUP(AQ62/BZ62,0))</f>
        <v>1</v>
      </c>
      <c r="AS62" s="64" t="n">
        <f aca="false">IF(CR62&gt;0,CR62*MAX(1,AQ62/X62),IF(CA62=1,IF(AQ62&lt;=0,0,CE62*MAX(1,IF(H62&gt;0,AQ62/H62,1))),IF(R62&gt;0,AR62/R62,0))/MAX(0.1,N(Parameter!$M$21)))</f>
        <v>0.0833333333333333</v>
      </c>
      <c r="AT62" s="62" t="n">
        <f aca="false">AS62*CC62</f>
        <v>12.0833333333333</v>
      </c>
      <c r="AU62" s="63" t="n">
        <f aca="false">IF(LEFT(Cockpit!$I$5,1)="A",H62,IF(CI62=1,(CL62+CJ62)/2,IF(LEFT(Cockpit!$I$5,1)="B",(CL62+AW62)/2,MAX((CL62+AW62)/2,H62))))</f>
        <v>8</v>
      </c>
      <c r="AV62" s="62" t="n">
        <f aca="false">AU62*G62</f>
        <v>4104</v>
      </c>
      <c r="AW62" s="62" t="n">
        <f aca="false">ROUNDUP(CL62+MAX(CM62,2*(J62/IF(CH62&gt;0,CH62,MAX(0.1,N(Cockpit!$I$6)))-CL62)),0)</f>
        <v>1</v>
      </c>
      <c r="AX62" s="63" t="n">
        <f aca="false">IF(AT62&gt;0,J62/AT62,-1)</f>
        <v>0</v>
      </c>
      <c r="AY62" s="63" t="n">
        <f aca="false">IF(AND(OR(CG62="L1",CG62="L23",CG62="LIFT"),AT62&gt;0),SUMIFS($AT$7:$AT$1843,$CG$7:$CG$1843,CG62,$AX$7:$AX$1843,"&gt;"&amp;AX62)+SUMIFS($AT$7:$AT$1843,$CG$7:$CG$1843,CG62,$AX$7:$AX$1843,AX62,$BX$7:$BX$1843,"&lt;="&amp;BX62),"")</f>
        <v>31811.9738959252</v>
      </c>
      <c r="AZ62" s="70" t="n">
        <f aca="false">IF(AY62="",0,MAX(0,MIN(1,(IF(CG62="L1",Parameter!$H$5,IF(CG62="L23",Parameter!$H$6+Parameter!$H$7,Parameter!$H$5+Parameter!$H$6+Parameter!$H$7))-(AY62-AT62))/AT62)))</f>
        <v>1</v>
      </c>
      <c r="BA62" s="62" t="n">
        <f aca="false">IF(LEFT(Cockpit!$O$5,1)="A",H62,IF(Parameter!$E$30="MAX-Bestand",IF(CI62=1,CJ62,IF(LEFT(Cockpit!$O$5,1)="B",BG62,MAX(BG62,H62))),ROUNDUP(BE62,0)))</f>
        <v>1</v>
      </c>
      <c r="BB62" s="62" t="n">
        <f aca="false">IF(CA62=1,0,ROUNDUP(BA62/BZ62,0))</f>
        <v>1</v>
      </c>
      <c r="BC62" s="64" t="n">
        <f aca="false">IF(CR62&gt;0,CR62*MAX(1,BA62/X62),IF(CA62=1,IF(BA62&lt;=0,0,CE62*MAX(1,IF(H62&gt;0,BA62/H62,1))),IF(R62&gt;0,BB62/R62,0))/MAX(0.1,N(Parameter!$M$21)))</f>
        <v>0.0833333333333333</v>
      </c>
      <c r="BD62" s="62" t="n">
        <f aca="false">BC62*CC62</f>
        <v>12.0833333333333</v>
      </c>
      <c r="BE62" s="63" t="n">
        <f aca="false">IF(LEFT(Cockpit!$O$5,1)="A",H62,IF(CI62=1,(CL62+CJ62)/2,IF(LEFT(Cockpit!$O$5,1)="B",(CL62+BG62)/2,MAX((CL62+BG62)/2,H62))))</f>
        <v>0.5</v>
      </c>
      <c r="BF62" s="62" t="n">
        <f aca="false">BE62*G62</f>
        <v>256.5</v>
      </c>
      <c r="BG62" s="62" t="n">
        <f aca="false">ROUNDUP(CL62+MAX(CM62,2*(J62/IF(CH62&gt;0,CH62,MAX(0.1,N(Cockpit!$O$6)))-CL62)),0)</f>
        <v>1</v>
      </c>
      <c r="BH62" s="63" t="n">
        <f aca="false">IF(BD62&gt;0,J62/BD62,-1)</f>
        <v>0</v>
      </c>
      <c r="BI62" s="63" t="n">
        <f aca="false">IF(AND(OR(CG62="L1",CG62="L23",CG62="LIFT"),BD62&gt;0),SUMIFS($BD$7:$BD$1843,$CG$7:$CG$1843,CG62,$BH$7:$BH$1843,"&gt;"&amp;BH62)+SUMIFS($BD$7:$BD$1843,$CG$7:$CG$1843,CG62,$BH$7:$BH$1843,BH62,$BX$7:$BX$1843,"&lt;="&amp;BX62),"")</f>
        <v>26008.5557392231</v>
      </c>
      <c r="BJ62" s="70" t="n">
        <f aca="false">IF(BI62="",0,MAX(0,MIN(1,(IF(CG62="L1",Parameter!$H$5,IF(CG62="L23",Parameter!$H$6+Parameter!$H$7,Parameter!$H$5+Parameter!$H$6+Parameter!$H$7))-(BI62-BD62))/BD62)))</f>
        <v>1</v>
      </c>
      <c r="BK62" s="60" t="str">
        <f aca="false">IF(AJ62&lt;=0,"",IF(CG62="Aussen","Aussenlager",IF(CG62="-","Nicht im Lift",IF(AP62&gt;=1,"Lift",IF(AP62&lt;=0,"Aussenlager","teilweise")))))</f>
        <v>Lift</v>
      </c>
      <c r="BL62" s="60" t="str">
        <f aca="false">IF(AT62&lt;=0,"",IF(CG62="Aussen","Aussenlager",IF(CG62="-","Nicht im Lift",IF(AZ62&gt;=1,"Lift",IF(AZ62&lt;=0,"Aussenlager","teilweise")))))</f>
        <v>Lift</v>
      </c>
      <c r="BM62" s="60" t="str">
        <f aca="false">IF(BD62&lt;=0,"",IF(CG62="Aussen","Aussenlager",IF(CG62="-","Nicht im Lift",IF(BJ62&gt;=1,"Lift",IF(BJ62&lt;=0,"Aussenlager","teilweise")))))</f>
        <v>Lift</v>
      </c>
      <c r="BN62" s="60" t="str">
        <f aca="false">IF(A62="","",IF(BW62=1,"Neu; ","")&amp;IF(AND(BW62=0,BR62&lt;0),"negativer Bestand (Export "&amp;BR62&amp;"); ","")&amp;IF(J62&lt;=0,"Kein Verbrauch; ","")&amp;IF(CR62&gt;0,"Lift "&amp;W62&amp;" lt. Liftbericht (Fach "&amp;X62&amp;" Stk); ",IF(CB62=1,"Gebinde geschätzt ("&amp;T62&amp;"); ",IF(CA62=1,"Lose – Tablare geschätzt; ","")))&amp;IF(H62&gt;AW62,"Überbestand "&amp;ROUND(H62-AW62,0)&amp;" Stk / CHF "&amp;ROUND((H62-AW62)*G62,0)&amp;"; ","")&amp;IF(AND(CI62=1,CJ62&lt;CK62),"MAX &lt; MB+LG; ","")&amp;IF(AND(CQ62&gt;0,CP62*10&gt;CQ62),"zu hoch für Tablar; ","")&amp;IF(AND(BW62=0,OR(CI62=1,AB62&lt;&gt;"",U62&lt;&gt;"",V62&lt;&gt;"",AC62&lt;&gt;"")),"manuell übersteuert; ","")&amp;IF(AND(CA62=0,R62=0),"Gebinde unbekannt / Stellmass fehlt; ","")&amp;IF(AND(CA62=0,N(V62)&lt;=0,N(Q62)&lt;=0),"Menge pro Gebinde fehlt (Ist = 1 Gebinde); ","")&amp;BV62)</f>
        <v>Kein Verbrauch; Gebinde geschätzt (Mittel); Überbestand 7 Stk / CHF 3591; Menge pro Gebinde fehlt (Ist = 1 Gebinde); </v>
      </c>
      <c r="BO62" s="60"/>
      <c r="BP62" s="60"/>
      <c r="BQ62" s="67"/>
      <c r="BR62" s="62" t="n">
        <v>8</v>
      </c>
      <c r="BS62" s="62" t="n">
        <v>0</v>
      </c>
      <c r="BT62" s="61" t="n">
        <v>4104</v>
      </c>
      <c r="BU62" s="62" t="n">
        <v>0</v>
      </c>
      <c r="BV62" s="60"/>
      <c r="BW62" s="65" t="n">
        <v>0</v>
      </c>
      <c r="BX62" s="65" t="n">
        <v>62</v>
      </c>
      <c r="BY62" s="60" t="str">
        <f aca="false">IF(U62&lt;&gt;"",UPPER(TRIM(U62)),IF(CB62=1,UPPER(VLOOKUP(T62,Parameter!$I$27:$K$29,2,0)),IF(P62="","LOSE",P62)))</f>
        <v>S61</v>
      </c>
      <c r="BZ62" s="62" t="n">
        <f aca="false">IF(BY62="LOSE",1,IF(N(V62)&gt;0,V62,IF(CB62=1,MAX(1,N(VLOOKUP(T62,Parameter!$I$27:$K$29,3,0)),H62,N(N62)),IF(N(Q62)&gt;0,Q62,MAX(1,H62)))))</f>
        <v>8</v>
      </c>
      <c r="CA62" s="65" t="n">
        <f aca="false">IF(BY62="LOSE",1,0)</f>
        <v>0</v>
      </c>
      <c r="CB62" s="65" t="n">
        <f aca="false">IF(AND(U62="",OR(P62="",P62="LOSE"),T62&lt;&gt;"",N(S62)&lt;=0,ISNUMBER(MATCH(T62,Parameter!$I$27:$I$29,0))),1,0)</f>
        <v>1</v>
      </c>
      <c r="CC62" s="65" t="n">
        <f aca="false">IF(CR62&gt;0,INDEX(Parameter!$H$5:$H$7,W62)/INDEX(Parameter!$E$5:$E$7,W62),IF(AND(CA62=0,N(IFERROR(VLOOKUP(BY62,'Gebinde-Kategorie'!$A$5:$N$45,14,0),0))&gt;0),VLOOKUP(BY62,'Gebinde-Kategorie'!$A$5:$N$45,14,0)*10+Parameter!$M$23,Parameter!$M$24))</f>
        <v>145</v>
      </c>
      <c r="CD62" s="60" t="str">
        <f aca="false">IF(AND(Parameter!$B$19="Ja",E62&lt;&gt;"",ISNUMBER(MATCH(E62,Parameter!$I$35:$I$52,0))),VLOOKUP(E62,Parameter!$I$35:$J$52,2,0),IFERROR(VLOOKUP(D62,Parameter!$A$35:$C$64,2,0),"Nein"))</f>
        <v>2+3</v>
      </c>
      <c r="CE62" s="64" t="n">
        <f aca="false">IF(CA62=0,0,IF(N(S62)&gt;0,S62,IFERROR(VLOOKUP(D62,Parameter!$A$35:$C$64,3,0)+0,0)))</f>
        <v>0</v>
      </c>
      <c r="CF62" s="60" t="n">
        <f aca="false">IF(AB62&lt;&gt;"",AB62,AA62)</f>
        <v>3</v>
      </c>
      <c r="CG62" s="60" t="str">
        <f aca="false">IF(OR(CF62=1,CF62=2,CF62=3),IF(Parameter!$E$27="Ja","LIFT",IF(CF62=1,"L1","L23")),IF(CF62="Aussen","Aussen","-"))</f>
        <v>LIFT</v>
      </c>
      <c r="CH62" s="71" t="n">
        <f aca="false">IF(N(AC62)&gt;0,AC62,0)</f>
        <v>0</v>
      </c>
      <c r="CI62" s="65" t="n">
        <f aca="false">IF(ISNUMBER(AF62),1,0)</f>
        <v>0</v>
      </c>
      <c r="CJ62" s="62" t="n">
        <f aca="false">N(AF62)</f>
        <v>0</v>
      </c>
      <c r="CK62" s="62" t="n">
        <f aca="false">N(M62)+N(N62)</f>
        <v>1</v>
      </c>
      <c r="CL62" s="62" t="n">
        <f aca="false">N(M62)</f>
        <v>0</v>
      </c>
      <c r="CM62" s="62" t="n">
        <f aca="false">N(N62)</f>
        <v>1</v>
      </c>
      <c r="CN62" s="62" t="n">
        <f aca="false">ROUNDUP(H62/BZ62,0)</f>
        <v>1</v>
      </c>
      <c r="CO62" s="62" t="n">
        <f aca="false">ROUNDUP(CJ62/BZ62,0)</f>
        <v>0</v>
      </c>
      <c r="CP62" s="65" t="n">
        <f aca="false">IF(CA62=1,0,IFERROR(VLOOKUP(BY62,'Gebinde-Kategorie'!$A$5:$N$45,5,0)+0,0))</f>
        <v>11</v>
      </c>
      <c r="CQ62" s="65" t="n">
        <f aca="false">IFERROR(IF(OR(CF62=1,CF62=2,CF62=3),N(INDEX(Parameter!$I$5:$I$7,CF62)),0),0)</f>
        <v>0</v>
      </c>
      <c r="CR62" s="64" t="n">
        <f aca="false">IF(AND(Parameter!$B$21="Ja",ISNUMBER(W62),N(X62)&gt;0),IFERROR(N(INDEX(Parameter!$L$5:$L$7,W62))*INDEX(Parameter!$E$5:$E$7,W62)*X62/SUMIFS($X$7:$X$1843,$W$7:$W$1843,W62),0),0)</f>
        <v>0</v>
      </c>
      <c r="CS62" s="62" t="n">
        <f aca="false">IF(AND(OR(CG62="L1",CG62="L23",CG62="LIFT"),H62&gt;0),CC62*IF(CR62&gt;0,CR62*MAX(1,H62/X62),IF(CA62=1,CE62,IF(R62&gt;0,CN62/R62,0))/MAX(0.1,N(Parameter!$M$21))),"")</f>
        <v>12.0833333333333</v>
      </c>
      <c r="CT62" s="64" t="n">
        <f aca="false">IF(CS62="","",J62/H62)</f>
        <v>0</v>
      </c>
      <c r="CU62" s="62" t="n">
        <f aca="false">IF(CS62="","",H62*G62)</f>
        <v>4104</v>
      </c>
      <c r="CV62" s="63" t="n">
        <f aca="false">IF(CS62="","",(CL62+ROUNDUP(CL62+MAX(CM62,2*(J62/MAX(0.1,N(Einkauf!$C$6))-CL62)),0))/2)</f>
        <v>0.5</v>
      </c>
      <c r="CW62" s="62" t="n">
        <f aca="false">IF(CS62="","",MAX(0,H62-CV62)*G62)</f>
        <v>3847.5</v>
      </c>
      <c r="CX62" s="62" t="n">
        <f aca="false">IF(CS62="","",CS62*MAX(0,1-CV62/H62))</f>
        <v>11.328125</v>
      </c>
      <c r="CY62" s="64" t="n">
        <f aca="false">IF(CS62="","",PERCENTRANK($CS$7:$CS$1843,CS62)+PERCENTRANK($CU$7:$CU$1843,CU62)+1-PERCENTRANK($CT$7:$CT$1843,CT62))</f>
        <v>2.541</v>
      </c>
      <c r="CZ62" s="72" t="n">
        <f aca="false">IF(CS62="","",CHOOSE(MATCH(Einkauf!$C$5,Parameter!$G$23:$G$27,0),CY62,CS62,CU62,-CT62,CW62)+ROW()/1000000000)</f>
        <v>2.541000062</v>
      </c>
    </row>
    <row r="63" customFormat="false" ht="15" hidden="false" customHeight="false" outlineLevel="0" collapsed="false">
      <c r="A63" s="60" t="s">
        <v>365</v>
      </c>
      <c r="B63" s="60" t="s">
        <v>366</v>
      </c>
      <c r="C63" s="60" t="s">
        <v>206</v>
      </c>
      <c r="D63" s="60" t="s">
        <v>226</v>
      </c>
      <c r="E63" s="60" t="s">
        <v>227</v>
      </c>
      <c r="F63" s="60" t="s">
        <v>260</v>
      </c>
      <c r="G63" s="61" t="n">
        <v>34.21</v>
      </c>
      <c r="H63" s="62" t="n">
        <f aca="false">MAX(0,IF(AND(Parameter!$B$21="Ja",ISNUMBER(Y63)),Y63,IF(Parameter!$B$20="Jahresanfang 2025 + Export",BS63+BR63,BR63)))</f>
        <v>174</v>
      </c>
      <c r="I63" s="62" t="n">
        <f aca="false">H63*G63</f>
        <v>5952.54</v>
      </c>
      <c r="J63" s="62" t="n">
        <f aca="false">BU63*Parameter!$B$18</f>
        <v>262</v>
      </c>
      <c r="K63" s="63" t="n">
        <v>102</v>
      </c>
      <c r="L63" s="64" t="n">
        <v>2.56862745098039</v>
      </c>
      <c r="M63" s="62" t="n">
        <v>45</v>
      </c>
      <c r="N63" s="62" t="n">
        <v>135</v>
      </c>
      <c r="O63" s="65" t="n">
        <v>56</v>
      </c>
      <c r="P63" s="60" t="s">
        <v>275</v>
      </c>
      <c r="Q63" s="62" t="n">
        <v>150</v>
      </c>
      <c r="R63" s="65" t="n">
        <f aca="false">IF(CA63=1,0,IFERROR(VLOOKUP(BY63,'Gebinde-Kategorie'!$A$5:$N$45,13,0)+0,0))</f>
        <v>26</v>
      </c>
      <c r="S63" s="66"/>
      <c r="T63" s="67"/>
      <c r="U63" s="67"/>
      <c r="V63" s="67"/>
      <c r="W63" s="60"/>
      <c r="X63" s="62"/>
      <c r="Y63" s="62"/>
      <c r="Z63" s="60" t="n">
        <v>3</v>
      </c>
      <c r="AA63" s="60" t="n">
        <f aca="false">IF(A63="","",IF(AND(Parameter!$B$21="Ja",ISNUMBER(W63)),W63,IF(AND(Parameter!$E$27="Ja",ISNUMBER(Z63),CD63&lt;&gt;"Nein"),Z63,IF(CD63="2+3",IF(ISNUMBER(SEARCH("grosser Artikel",BV63)),2,IFERROR(VLOOKUP(BY63,Parameter!$F$35:$G$64,2,0),2)),IF(OR(CD63="Nein",CD63=""),"-",CD63)))))</f>
        <v>3</v>
      </c>
      <c r="AB63" s="67"/>
      <c r="AC63" s="68"/>
      <c r="AD63" s="62" t="n">
        <f aca="false">AW63</f>
        <v>180</v>
      </c>
      <c r="AE63" s="62" t="n">
        <f aca="false">MAX(AW63,H63)</f>
        <v>180</v>
      </c>
      <c r="AF63" s="69"/>
      <c r="AG63" s="62" t="n">
        <f aca="false">IF(LEFT(Cockpit!$C$5,1)="A",H63,IF(Parameter!$E$30="MAX-Bestand",IF(CI63=1,CJ63,IF(LEFT(Cockpit!$C$5,1)="B",AM63,MAX(AM63,H63))),ROUNDUP(AK63,0)))</f>
        <v>174</v>
      </c>
      <c r="AH63" s="62" t="n">
        <f aca="false">IF(CA63=1,0,ROUNDUP(AG63/BZ63,0))</f>
        <v>2</v>
      </c>
      <c r="AI63" s="64" t="n">
        <f aca="false">IF(CR63&gt;0,CR63*MAX(1,AG63/X63),IF(CA63=1,IF(AG63&lt;=0,0,CE63*MAX(1,IF(H63&gt;0,AG63/H63,1))),IF(R63&gt;0,AH63/R63,0))/MAX(0.1,N(Parameter!$M$21)))</f>
        <v>0.0769230769230769</v>
      </c>
      <c r="AJ63" s="62" t="n">
        <f aca="false">AI63*CC63</f>
        <v>18.8461538461538</v>
      </c>
      <c r="AK63" s="63" t="n">
        <f aca="false">IF(LEFT(Cockpit!$C$5,1)="A",H63,IF(CI63=1,(CL63+CJ63)/2,IF(LEFT(Cockpit!$C$5,1)="B",(CL63+AM63)/2,MAX((CL63+AM63)/2,H63))))</f>
        <v>174</v>
      </c>
      <c r="AL63" s="62" t="n">
        <f aca="false">AK63*G63</f>
        <v>5952.54</v>
      </c>
      <c r="AM63" s="62" t="n">
        <f aca="false">ROUNDUP(CL63+MAX(CM63,2*(J63/IF(CH63&gt;0,CH63,MAX(0.1,N(Cockpit!$C$6)))-CL63)),0)</f>
        <v>180</v>
      </c>
      <c r="AN63" s="63" t="n">
        <f aca="false">IF(AJ63&gt;0,J63/AJ63,-1)</f>
        <v>13.9020408163265</v>
      </c>
      <c r="AO63" s="63" t="n">
        <f aca="false">IF(AND(OR(CG63="L1",CG63="L23",CG63="LIFT"),AJ63&gt;0),SUMIFS($AJ$7:$AJ$1843,$CG$7:$CG$1843,CG63,$AN$7:$AN$1843,"&gt;"&amp;AN63)+SUMIFS($AJ$7:$AJ$1843,$CG$7:$CG$1843,CG63,$AN$7:$AN$1843,AN63,$BX$7:$BX$1843,"&lt;="&amp;BX63),"")</f>
        <v>2219.68956043956</v>
      </c>
      <c r="AP63" s="70" t="n">
        <f aca="false">IF(AO63="",0,MAX(0,MIN(1,(IF(CG63="L1",Parameter!$H$5,IF(CG63="L23",Parameter!$H$6+Parameter!$H$7,Parameter!$H$5+Parameter!$H$6+Parameter!$H$7))-(AO63-AJ63))/AJ63)))</f>
        <v>1</v>
      </c>
      <c r="AQ63" s="62" t="n">
        <f aca="false">IF(LEFT(Cockpit!$I$5,1)="A",H63,IF(Parameter!$E$30="MAX-Bestand",IF(CI63=1,CJ63,IF(LEFT(Cockpit!$I$5,1)="B",AW63,MAX(AW63,H63))),ROUNDUP(AU63,0)))</f>
        <v>174</v>
      </c>
      <c r="AR63" s="62" t="n">
        <f aca="false">IF(CA63=1,0,ROUNDUP(AQ63/BZ63,0))</f>
        <v>2</v>
      </c>
      <c r="AS63" s="64" t="n">
        <f aca="false">IF(CR63&gt;0,CR63*MAX(1,AQ63/X63),IF(CA63=1,IF(AQ63&lt;=0,0,CE63*MAX(1,IF(H63&gt;0,AQ63/H63,1))),IF(R63&gt;0,AR63/R63,0))/MAX(0.1,N(Parameter!$M$21)))</f>
        <v>0.0769230769230769</v>
      </c>
      <c r="AT63" s="62" t="n">
        <f aca="false">AS63*CC63</f>
        <v>18.8461538461538</v>
      </c>
      <c r="AU63" s="63" t="n">
        <f aca="false">IF(LEFT(Cockpit!$I$5,1)="A",H63,IF(CI63=1,(CL63+CJ63)/2,IF(LEFT(Cockpit!$I$5,1)="B",(CL63+AW63)/2,MAX((CL63+AW63)/2,H63))))</f>
        <v>174</v>
      </c>
      <c r="AV63" s="62" t="n">
        <f aca="false">AU63*G63</f>
        <v>5952.54</v>
      </c>
      <c r="AW63" s="62" t="n">
        <f aca="false">ROUNDUP(CL63+MAX(CM63,2*(J63/IF(CH63&gt;0,CH63,MAX(0.1,N(Cockpit!$I$6)))-CL63)),0)</f>
        <v>180</v>
      </c>
      <c r="AX63" s="63" t="n">
        <f aca="false">IF(AT63&gt;0,J63/AT63,-1)</f>
        <v>13.9020408163265</v>
      </c>
      <c r="AY63" s="63" t="n">
        <f aca="false">IF(AND(OR(CG63="L1",CG63="L23",CG63="LIFT"),AT63&gt;0),SUMIFS($AT$7:$AT$1843,$CG$7:$CG$1843,CG63,$AX$7:$AX$1843,"&gt;"&amp;AX63)+SUMIFS($AT$7:$AT$1843,$CG$7:$CG$1843,CG63,$AX$7:$AX$1843,AX63,$BX$7:$BX$1843,"&lt;="&amp;BX63),"")</f>
        <v>2838.87637362637</v>
      </c>
      <c r="AZ63" s="70" t="n">
        <f aca="false">IF(AY63="",0,MAX(0,MIN(1,(IF(CG63="L1",Parameter!$H$5,IF(CG63="L23",Parameter!$H$6+Parameter!$H$7,Parameter!$H$5+Parameter!$H$6+Parameter!$H$7))-(AY63-AT63))/AT63)))</f>
        <v>1</v>
      </c>
      <c r="BA63" s="62" t="n">
        <f aca="false">IF(LEFT(Cockpit!$O$5,1)="A",H63,IF(Parameter!$E$30="MAX-Bestand",IF(CI63=1,CJ63,IF(LEFT(Cockpit!$O$5,1)="B",BG63,MAX(BG63,H63))),ROUNDUP(BE63,0)))</f>
        <v>113</v>
      </c>
      <c r="BB63" s="62" t="n">
        <f aca="false">IF(CA63=1,0,ROUNDUP(BA63/BZ63,0))</f>
        <v>1</v>
      </c>
      <c r="BC63" s="64" t="n">
        <f aca="false">IF(CR63&gt;0,CR63*MAX(1,BA63/X63),IF(CA63=1,IF(BA63&lt;=0,0,CE63*MAX(1,IF(H63&gt;0,BA63/H63,1))),IF(R63&gt;0,BB63/R63,0))/MAX(0.1,N(Parameter!$M$21)))</f>
        <v>0.0384615384615385</v>
      </c>
      <c r="BD63" s="62" t="n">
        <f aca="false">BC63*CC63</f>
        <v>9.42307692307692</v>
      </c>
      <c r="BE63" s="63" t="n">
        <f aca="false">IF(LEFT(Cockpit!$O$5,1)="A",H63,IF(CI63=1,(CL63+CJ63)/2,IF(LEFT(Cockpit!$O$5,1)="B",(CL63+BG63)/2,MAX((CL63+BG63)/2,H63))))</f>
        <v>112.5</v>
      </c>
      <c r="BF63" s="62" t="n">
        <f aca="false">BE63*G63</f>
        <v>3848.625</v>
      </c>
      <c r="BG63" s="62" t="n">
        <f aca="false">ROUNDUP(CL63+MAX(CM63,2*(J63/IF(CH63&gt;0,CH63,MAX(0.1,N(Cockpit!$O$6)))-CL63)),0)</f>
        <v>180</v>
      </c>
      <c r="BH63" s="63" t="n">
        <f aca="false">IF(BD63&gt;0,J63/BD63,-1)</f>
        <v>27.8040816326531</v>
      </c>
      <c r="BI63" s="63" t="n">
        <f aca="false">IF(AND(OR(CG63="L1",CG63="L23",CG63="LIFT"),BD63&gt;0),SUMIFS($BD$7:$BD$1843,$CG$7:$CG$1843,CG63,$BH$7:$BH$1843,"&gt;"&amp;BH63)+SUMIFS($BD$7:$BD$1843,$CG$7:$CG$1843,CG63,$BH$7:$BH$1843,BH63,$BX$7:$BX$1843,"&lt;="&amp;BX63),"")</f>
        <v>1908.8956043956</v>
      </c>
      <c r="BJ63" s="70" t="n">
        <f aca="false">IF(BI63="",0,MAX(0,MIN(1,(IF(CG63="L1",Parameter!$H$5,IF(CG63="L23",Parameter!$H$6+Parameter!$H$7,Parameter!$H$5+Parameter!$H$6+Parameter!$H$7))-(BI63-BD63))/BD63)))</f>
        <v>1</v>
      </c>
      <c r="BK63" s="60" t="str">
        <f aca="false">IF(AJ63&lt;=0,"",IF(CG63="Aussen","Aussenlager",IF(CG63="-","Nicht im Lift",IF(AP63&gt;=1,"Lift",IF(AP63&lt;=0,"Aussenlager","teilweise")))))</f>
        <v>Lift</v>
      </c>
      <c r="BL63" s="60" t="str">
        <f aca="false">IF(AT63&lt;=0,"",IF(CG63="Aussen","Aussenlager",IF(CG63="-","Nicht im Lift",IF(AZ63&gt;=1,"Lift",IF(AZ63&lt;=0,"Aussenlager","teilweise")))))</f>
        <v>Lift</v>
      </c>
      <c r="BM63" s="60" t="str">
        <f aca="false">IF(BD63&lt;=0,"",IF(CG63="Aussen","Aussenlager",IF(CG63="-","Nicht im Lift",IF(BJ63&gt;=1,"Lift",IF(BJ63&lt;=0,"Aussenlager","teilweise")))))</f>
        <v>Lift</v>
      </c>
      <c r="BN63" s="60" t="str">
        <f aca="false">IF(A63="","",IF(BW63=1,"Neu; ","")&amp;IF(AND(BW63=0,BR63&lt;0),"negativer Bestand (Export "&amp;BR63&amp;"); ","")&amp;IF(J63&lt;=0,"Kein Verbrauch; ","")&amp;IF(CR63&gt;0,"Lift "&amp;W63&amp;" lt. Liftbericht (Fach "&amp;X63&amp;" Stk); ",IF(CB63=1,"Gebinde geschätzt ("&amp;T63&amp;"); ",IF(CA63=1,"Lose – Tablare geschätzt; ","")))&amp;IF(H63&gt;AW63,"Überbestand "&amp;ROUND(H63-AW63,0)&amp;" Stk / CHF "&amp;ROUND((H63-AW63)*G63,0)&amp;"; ","")&amp;IF(AND(CI63=1,CJ63&lt;CK63),"MAX &lt; MB+LG; ","")&amp;IF(AND(CQ63&gt;0,CP63*10&gt;CQ63),"zu hoch für Tablar; ","")&amp;IF(AND(BW63=0,OR(CI63=1,AB63&lt;&gt;"",U63&lt;&gt;"",V63&lt;&gt;"",AC63&lt;&gt;"")),"manuell übersteuert; ","")&amp;IF(AND(CA63=0,R63=0),"Gebinde unbekannt / Stellmass fehlt; ","")&amp;IF(AND(CA63=0,N(V63)&lt;=0,N(Q63)&lt;=0),"Menge pro Gebinde fehlt (Ist = 1 Gebinde); ","")&amp;BV63)</f>
        <v/>
      </c>
      <c r="BO63" s="60" t="s">
        <v>367</v>
      </c>
      <c r="BP63" s="60"/>
      <c r="BQ63" s="67"/>
      <c r="BR63" s="62" t="n">
        <v>141</v>
      </c>
      <c r="BS63" s="62" t="n">
        <v>33</v>
      </c>
      <c r="BT63" s="61" t="n">
        <v>4088.73</v>
      </c>
      <c r="BU63" s="62" t="n">
        <v>262</v>
      </c>
      <c r="BV63" s="60"/>
      <c r="BW63" s="65" t="n">
        <v>0</v>
      </c>
      <c r="BX63" s="65" t="n">
        <v>63</v>
      </c>
      <c r="BY63" s="60" t="str">
        <f aca="false">IF(U63&lt;&gt;"",UPPER(TRIM(U63)),IF(CB63=1,UPPER(VLOOKUP(T63,Parameter!$I$27:$K$29,2,0)),IF(P63="","LOSE",P63)))</f>
        <v>S52</v>
      </c>
      <c r="BZ63" s="62" t="n">
        <f aca="false">IF(BY63="LOSE",1,IF(N(V63)&gt;0,V63,IF(CB63=1,MAX(1,N(VLOOKUP(T63,Parameter!$I$27:$K$29,3,0)),H63,N(N63)),IF(N(Q63)&gt;0,Q63,MAX(1,H63)))))</f>
        <v>150</v>
      </c>
      <c r="CA63" s="65" t="n">
        <f aca="false">IF(BY63="LOSE",1,0)</f>
        <v>0</v>
      </c>
      <c r="CB63" s="65" t="n">
        <f aca="false">IF(AND(U63="",OR(P63="",P63="LOSE"),T63&lt;&gt;"",N(S63)&lt;=0,ISNUMBER(MATCH(T63,Parameter!$I$27:$I$29,0))),1,0)</f>
        <v>0</v>
      </c>
      <c r="CC63" s="65" t="n">
        <f aca="false">IF(CR63&gt;0,INDEX(Parameter!$H$5:$H$7,W63)/INDEX(Parameter!$E$5:$E$7,W63),IF(AND(CA63=0,N(IFERROR(VLOOKUP(BY63,'Gebinde-Kategorie'!$A$5:$N$45,14,0),0))&gt;0),VLOOKUP(BY63,'Gebinde-Kategorie'!$A$5:$N$45,14,0)*10+Parameter!$M$23,Parameter!$M$24))</f>
        <v>245</v>
      </c>
      <c r="CD63" s="60" t="str">
        <f aca="false">IF(AND(Parameter!$B$19="Ja",E63&lt;&gt;"",ISNUMBER(MATCH(E63,Parameter!$I$35:$I$52,0))),VLOOKUP(E63,Parameter!$I$35:$J$52,2,0),IFERROR(VLOOKUP(D63,Parameter!$A$35:$C$64,2,0),"Nein"))</f>
        <v>2+3</v>
      </c>
      <c r="CE63" s="64" t="n">
        <f aca="false">IF(CA63=0,0,IF(N(S63)&gt;0,S63,IFERROR(VLOOKUP(D63,Parameter!$A$35:$C$64,3,0)+0,0)))</f>
        <v>0</v>
      </c>
      <c r="CF63" s="60" t="n">
        <f aca="false">IF(AB63&lt;&gt;"",AB63,AA63)</f>
        <v>3</v>
      </c>
      <c r="CG63" s="60" t="str">
        <f aca="false">IF(OR(CF63=1,CF63=2,CF63=3),IF(Parameter!$E$27="Ja","LIFT",IF(CF63=1,"L1","L23")),IF(CF63="Aussen","Aussen","-"))</f>
        <v>LIFT</v>
      </c>
      <c r="CH63" s="71" t="n">
        <f aca="false">IF(N(AC63)&gt;0,AC63,0)</f>
        <v>0</v>
      </c>
      <c r="CI63" s="65" t="n">
        <f aca="false">IF(ISNUMBER(AF63),1,0)</f>
        <v>0</v>
      </c>
      <c r="CJ63" s="62" t="n">
        <f aca="false">N(AF63)</f>
        <v>0</v>
      </c>
      <c r="CK63" s="62" t="n">
        <f aca="false">N(M63)+N(N63)</f>
        <v>180</v>
      </c>
      <c r="CL63" s="62" t="n">
        <f aca="false">N(M63)</f>
        <v>45</v>
      </c>
      <c r="CM63" s="62" t="n">
        <f aca="false">N(N63)</f>
        <v>135</v>
      </c>
      <c r="CN63" s="62" t="n">
        <f aca="false">ROUNDUP(H63/BZ63,0)</f>
        <v>2</v>
      </c>
      <c r="CO63" s="62" t="n">
        <f aca="false">ROUNDUP(CJ63/BZ63,0)</f>
        <v>0</v>
      </c>
      <c r="CP63" s="65" t="n">
        <f aca="false">IF(CA63=1,0,IFERROR(VLOOKUP(BY63,'Gebinde-Kategorie'!$A$5:$N$45,5,0)+0,0))</f>
        <v>21</v>
      </c>
      <c r="CQ63" s="65" t="n">
        <f aca="false">IFERROR(IF(OR(CF63=1,CF63=2,CF63=3),N(INDEX(Parameter!$I$5:$I$7,CF63)),0),0)</f>
        <v>0</v>
      </c>
      <c r="CR63" s="64" t="n">
        <f aca="false">IF(AND(Parameter!$B$21="Ja",ISNUMBER(W63),N(X63)&gt;0),IFERROR(N(INDEX(Parameter!$L$5:$L$7,W63))*INDEX(Parameter!$E$5:$E$7,W63)*X63/SUMIFS($X$7:$X$1843,$W$7:$W$1843,W63),0),0)</f>
        <v>0</v>
      </c>
      <c r="CS63" s="62" t="n">
        <f aca="false">IF(AND(OR(CG63="L1",CG63="L23",CG63="LIFT"),H63&gt;0),CC63*IF(CR63&gt;0,CR63*MAX(1,H63/X63),IF(CA63=1,CE63,IF(R63&gt;0,CN63/R63,0))/MAX(0.1,N(Parameter!$M$21))),"")</f>
        <v>18.8461538461538</v>
      </c>
      <c r="CT63" s="64" t="n">
        <f aca="false">IF(CS63="","",J63/H63)</f>
        <v>1.50574712643678</v>
      </c>
      <c r="CU63" s="62" t="n">
        <f aca="false">IF(CS63="","",H63*G63)</f>
        <v>5952.54</v>
      </c>
      <c r="CV63" s="63" t="n">
        <f aca="false">IF(CS63="","",(CL63+ROUNDUP(CL63+MAX(CM63,2*(J63/MAX(0.1,N(Einkauf!$C$6))-CL63)),0))/2)</f>
        <v>112.5</v>
      </c>
      <c r="CW63" s="62" t="n">
        <f aca="false">IF(CS63="","",MAX(0,H63-CV63)*G63)</f>
        <v>2103.915</v>
      </c>
      <c r="CX63" s="62" t="n">
        <f aca="false">IF(CS63="","",CS63*MAX(0,1-CV63/H63))</f>
        <v>6.66114058355438</v>
      </c>
      <c r="CY63" s="64" t="n">
        <f aca="false">IF(CS63="","",PERCENTRANK($CS$7:$CS$1843,CS63)+PERCENTRANK($CU$7:$CU$1843,CU63)+1-PERCENTRANK($CT$7:$CT$1843,CT63))</f>
        <v>1.922</v>
      </c>
      <c r="CZ63" s="72" t="n">
        <f aca="false">IF(CS63="","",CHOOSE(MATCH(Einkauf!$C$5,Parameter!$G$23:$G$27,0),CY63,CS63,CU63,-CT63,CW63)+ROW()/1000000000)</f>
        <v>1.922000063</v>
      </c>
    </row>
    <row r="64" customFormat="false" ht="15" hidden="false" customHeight="false" outlineLevel="0" collapsed="false">
      <c r="A64" s="60" t="s">
        <v>368</v>
      </c>
      <c r="B64" s="60" t="s">
        <v>369</v>
      </c>
      <c r="C64" s="60" t="s">
        <v>206</v>
      </c>
      <c r="D64" s="60" t="s">
        <v>226</v>
      </c>
      <c r="E64" s="60" t="s">
        <v>227</v>
      </c>
      <c r="F64" s="60" t="s">
        <v>260</v>
      </c>
      <c r="G64" s="61" t="n">
        <v>2181.57</v>
      </c>
      <c r="H64" s="62" t="n">
        <f aca="false">MAX(0,IF(AND(Parameter!$B$21="Ja",ISNUMBER(Y64)),Y64,IF(Parameter!$B$20="Jahresanfang 2025 + Export",BS64+BR64,BR64)))</f>
        <v>2.15000000000001</v>
      </c>
      <c r="I64" s="62" t="n">
        <f aca="false">H64*G64</f>
        <v>4690.37550000001</v>
      </c>
      <c r="J64" s="62" t="n">
        <f aca="false">BU64*Parameter!$B$18</f>
        <v>2.605</v>
      </c>
      <c r="K64" s="63" t="n">
        <v>0.447500000000003</v>
      </c>
      <c r="L64" s="64" t="n">
        <v>5.82122905027929</v>
      </c>
      <c r="M64" s="62" t="n">
        <v>0</v>
      </c>
      <c r="N64" s="62" t="n">
        <v>1</v>
      </c>
      <c r="O64" s="65" t="n">
        <v>60</v>
      </c>
      <c r="P64" s="60" t="s">
        <v>370</v>
      </c>
      <c r="Q64" s="62" t="n">
        <v>3.3</v>
      </c>
      <c r="R64" s="65" t="n">
        <f aca="false">IF(CA64=1,0,IFERROR(VLOOKUP(BY64,'Gebinde-Kategorie'!$A$5:$N$45,13,0)+0,0))</f>
        <v>52</v>
      </c>
      <c r="S64" s="66"/>
      <c r="T64" s="67"/>
      <c r="U64" s="67"/>
      <c r="V64" s="67"/>
      <c r="W64" s="60"/>
      <c r="X64" s="62"/>
      <c r="Y64" s="62"/>
      <c r="Z64" s="60" t="n">
        <v>3</v>
      </c>
      <c r="AA64" s="60" t="n">
        <f aca="false">IF(A64="","",IF(AND(Parameter!$B$21="Ja",ISNUMBER(W64)),W64,IF(AND(Parameter!$E$27="Ja",ISNUMBER(Z64),CD64&lt;&gt;"Nein"),Z64,IF(CD64="2+3",IF(ISNUMBER(SEARCH("grosser Artikel",BV64)),2,IFERROR(VLOOKUP(BY64,Parameter!$F$35:$G$64,2,0),2)),IF(OR(CD64="Nein",CD64=""),"-",CD64)))))</f>
        <v>3</v>
      </c>
      <c r="AB64" s="67"/>
      <c r="AC64" s="68"/>
      <c r="AD64" s="62" t="n">
        <f aca="false">AW64</f>
        <v>2</v>
      </c>
      <c r="AE64" s="62" t="n">
        <f aca="false">MAX(AW64,H64)</f>
        <v>2.15000000000001</v>
      </c>
      <c r="AF64" s="69"/>
      <c r="AG64" s="62" t="n">
        <f aca="false">IF(LEFT(Cockpit!$C$5,1)="A",H64,IF(Parameter!$E$30="MAX-Bestand",IF(CI64=1,CJ64,IF(LEFT(Cockpit!$C$5,1)="B",AM64,MAX(AM64,H64))),ROUNDUP(AK64,0)))</f>
        <v>2.15000000000001</v>
      </c>
      <c r="AH64" s="62" t="n">
        <f aca="false">IF(CA64=1,0,ROUNDUP(AG64/BZ64,0))</f>
        <v>1</v>
      </c>
      <c r="AI64" s="64" t="n">
        <f aca="false">IF(CR64&gt;0,CR64*MAX(1,AG64/X64),IF(CA64=1,IF(AG64&lt;=0,0,CE64*MAX(1,IF(H64&gt;0,AG64/H64,1))),IF(R64&gt;0,AH64/R64,0))/MAX(0.1,N(Parameter!$M$21)))</f>
        <v>0.0192307692307692</v>
      </c>
      <c r="AJ64" s="62" t="n">
        <f aca="false">AI64*CC64</f>
        <v>2.98076923076923</v>
      </c>
      <c r="AK64" s="63" t="n">
        <f aca="false">IF(LEFT(Cockpit!$C$5,1)="A",H64,IF(CI64=1,(CL64+CJ64)/2,IF(LEFT(Cockpit!$C$5,1)="B",(CL64+AM64)/2,MAX((CL64+AM64)/2,H64))))</f>
        <v>2.15000000000001</v>
      </c>
      <c r="AL64" s="62" t="n">
        <f aca="false">AK64*G64</f>
        <v>4690.37550000001</v>
      </c>
      <c r="AM64" s="62" t="n">
        <f aca="false">ROUNDUP(CL64+MAX(CM64,2*(J64/IF(CH64&gt;0,CH64,MAX(0.1,N(Cockpit!$C$6)))-CL64)),0)</f>
        <v>2</v>
      </c>
      <c r="AN64" s="63" t="n">
        <f aca="false">IF(AJ64&gt;0,J64/AJ64,-1)</f>
        <v>0.873935483870968</v>
      </c>
      <c r="AO64" s="63" t="n">
        <f aca="false">IF(AND(OR(CG64="L1",CG64="L23",CG64="LIFT"),AJ64&gt;0),SUMIFS($AJ$7:$AJ$1843,$CG$7:$CG$1843,CG64,$AN$7:$AN$1843,"&gt;"&amp;AN64)+SUMIFS($AJ$7:$AJ$1843,$CG$7:$CG$1843,CG64,$AN$7:$AN$1843,AN64,$BX$7:$BX$1843,"&lt;="&amp;BX64),"")</f>
        <v>7654.50961538462</v>
      </c>
      <c r="AP64" s="70" t="n">
        <f aca="false">IF(AO64="",0,MAX(0,MIN(1,(IF(CG64="L1",Parameter!$H$5,IF(CG64="L23",Parameter!$H$6+Parameter!$H$7,Parameter!$H$5+Parameter!$H$6+Parameter!$H$7))-(AO64-AJ64))/AJ64)))</f>
        <v>1</v>
      </c>
      <c r="AQ64" s="62" t="n">
        <f aca="false">IF(LEFT(Cockpit!$I$5,1)="A",H64,IF(Parameter!$E$30="MAX-Bestand",IF(CI64=1,CJ64,IF(LEFT(Cockpit!$I$5,1)="B",AW64,MAX(AW64,H64))),ROUNDUP(AU64,0)))</f>
        <v>3</v>
      </c>
      <c r="AR64" s="62" t="n">
        <f aca="false">IF(CA64=1,0,ROUNDUP(AQ64/BZ64,0))</f>
        <v>1</v>
      </c>
      <c r="AS64" s="64" t="n">
        <f aca="false">IF(CR64&gt;0,CR64*MAX(1,AQ64/X64),IF(CA64=1,IF(AQ64&lt;=0,0,CE64*MAX(1,IF(H64&gt;0,AQ64/H64,1))),IF(R64&gt;0,AR64/R64,0))/MAX(0.1,N(Parameter!$M$21)))</f>
        <v>0.0192307692307692</v>
      </c>
      <c r="AT64" s="62" t="n">
        <f aca="false">AS64*CC64</f>
        <v>2.98076923076923</v>
      </c>
      <c r="AU64" s="63" t="n">
        <f aca="false">IF(LEFT(Cockpit!$I$5,1)="A",H64,IF(CI64=1,(CL64+CJ64)/2,IF(LEFT(Cockpit!$I$5,1)="B",(CL64+AW64)/2,MAX((CL64+AW64)/2,H64))))</f>
        <v>2.15000000000001</v>
      </c>
      <c r="AV64" s="62" t="n">
        <f aca="false">AU64*G64</f>
        <v>4690.37550000001</v>
      </c>
      <c r="AW64" s="62" t="n">
        <f aca="false">ROUNDUP(CL64+MAX(CM64,2*(J64/IF(CH64&gt;0,CH64,MAX(0.1,N(Cockpit!$I$6)))-CL64)),0)</f>
        <v>2</v>
      </c>
      <c r="AX64" s="63" t="n">
        <f aca="false">IF(AT64&gt;0,J64/AT64,-1)</f>
        <v>0.873935483870968</v>
      </c>
      <c r="AY64" s="63" t="n">
        <f aca="false">IF(AND(OR(CG64="L1",CG64="L23",CG64="LIFT"),AT64&gt;0),SUMIFS($AT$7:$AT$1843,$CG$7:$CG$1843,CG64,$AX$7:$AX$1843,"&gt;"&amp;AX64)+SUMIFS($AT$7:$AT$1843,$CG$7:$CG$1843,CG64,$AX$7:$AX$1843,AX64,$BX$7:$BX$1843,"&lt;="&amp;BX64),"")</f>
        <v>9289.3663003663</v>
      </c>
      <c r="AZ64" s="70" t="n">
        <f aca="false">IF(AY64="",0,MAX(0,MIN(1,(IF(CG64="L1",Parameter!$H$5,IF(CG64="L23",Parameter!$H$6+Parameter!$H$7,Parameter!$H$5+Parameter!$H$6+Parameter!$H$7))-(AY64-AT64))/AT64)))</f>
        <v>1</v>
      </c>
      <c r="BA64" s="62" t="n">
        <f aca="false">IF(LEFT(Cockpit!$O$5,1)="A",H64,IF(Parameter!$E$30="MAX-Bestand",IF(CI64=1,CJ64,IF(LEFT(Cockpit!$O$5,1)="B",BG64,MAX(BG64,H64))),ROUNDUP(BE64,0)))</f>
        <v>1</v>
      </c>
      <c r="BB64" s="62" t="n">
        <f aca="false">IF(CA64=1,0,ROUNDUP(BA64/BZ64,0))</f>
        <v>1</v>
      </c>
      <c r="BC64" s="64" t="n">
        <f aca="false">IF(CR64&gt;0,CR64*MAX(1,BA64/X64),IF(CA64=1,IF(BA64&lt;=0,0,CE64*MAX(1,IF(H64&gt;0,BA64/H64,1))),IF(R64&gt;0,BB64/R64,0))/MAX(0.1,N(Parameter!$M$21)))</f>
        <v>0.0192307692307692</v>
      </c>
      <c r="BD64" s="62" t="n">
        <f aca="false">BC64*CC64</f>
        <v>2.98076923076923</v>
      </c>
      <c r="BE64" s="63" t="n">
        <f aca="false">IF(LEFT(Cockpit!$O$5,1)="A",H64,IF(CI64=1,(CL64+CJ64)/2,IF(LEFT(Cockpit!$O$5,1)="B",(CL64+BG64)/2,MAX((CL64+BG64)/2,H64))))</f>
        <v>1</v>
      </c>
      <c r="BF64" s="62" t="n">
        <f aca="false">BE64*G64</f>
        <v>2181.57</v>
      </c>
      <c r="BG64" s="62" t="n">
        <f aca="false">ROUNDUP(CL64+MAX(CM64,2*(J64/IF(CH64&gt;0,CH64,MAX(0.1,N(Cockpit!$O$6)))-CL64)),0)</f>
        <v>2</v>
      </c>
      <c r="BH64" s="63" t="n">
        <f aca="false">IF(BD64&gt;0,J64/BD64,-1)</f>
        <v>0.873935483870968</v>
      </c>
      <c r="BI64" s="63" t="n">
        <f aca="false">IF(AND(OR(CG64="L1",CG64="L23",CG64="LIFT"),BD64&gt;0),SUMIFS($BD$7:$BD$1843,$CG$7:$CG$1843,CG64,$BH$7:$BH$1843,"&gt;"&amp;BH64)+SUMIFS($BD$7:$BD$1843,$CG$7:$CG$1843,CG64,$BH$7:$BH$1843,BH64,$BX$7:$BX$1843,"&lt;="&amp;BX64),"")</f>
        <v>8272.33379120879</v>
      </c>
      <c r="BJ64" s="70" t="n">
        <f aca="false">IF(BI64="",0,MAX(0,MIN(1,(IF(CG64="L1",Parameter!$H$5,IF(CG64="L23",Parameter!$H$6+Parameter!$H$7,Parameter!$H$5+Parameter!$H$6+Parameter!$H$7))-(BI64-BD64))/BD64)))</f>
        <v>1</v>
      </c>
      <c r="BK64" s="60" t="str">
        <f aca="false">IF(AJ64&lt;=0,"",IF(CG64="Aussen","Aussenlager",IF(CG64="-","Nicht im Lift",IF(AP64&gt;=1,"Lift",IF(AP64&lt;=0,"Aussenlager","teilweise")))))</f>
        <v>Lift</v>
      </c>
      <c r="BL64" s="60" t="str">
        <f aca="false">IF(AT64&lt;=0,"",IF(CG64="Aussen","Aussenlager",IF(CG64="-","Nicht im Lift",IF(AZ64&gt;=1,"Lift",IF(AZ64&lt;=0,"Aussenlager","teilweise")))))</f>
        <v>Lift</v>
      </c>
      <c r="BM64" s="60" t="str">
        <f aca="false">IF(BD64&lt;=0,"",IF(CG64="Aussen","Aussenlager",IF(CG64="-","Nicht im Lift",IF(BJ64&gt;=1,"Lift",IF(BJ64&lt;=0,"Aussenlager","teilweise")))))</f>
        <v>Lift</v>
      </c>
      <c r="BN64" s="60" t="str">
        <f aca="false">IF(A64="","",IF(BW64=1,"Neu; ","")&amp;IF(AND(BW64=0,BR64&lt;0),"negativer Bestand (Export "&amp;BR64&amp;"); ","")&amp;IF(J64&lt;=0,"Kein Verbrauch; ","")&amp;IF(CR64&gt;0,"Lift "&amp;W64&amp;" lt. Liftbericht (Fach "&amp;X64&amp;" Stk); ",IF(CB64=1,"Gebinde geschätzt ("&amp;T64&amp;"); ",IF(CA64=1,"Lose – Tablare geschätzt; ","")))&amp;IF(H64&gt;AW64,"Überbestand "&amp;ROUND(H64-AW64,0)&amp;" Stk / CHF "&amp;ROUND((H64-AW64)*G64,0)&amp;"; ","")&amp;IF(AND(CI64=1,CJ64&lt;CK64),"MAX &lt; MB+LG; ","")&amp;IF(AND(CQ64&gt;0,CP64*10&gt;CQ64),"zu hoch für Tablar; ","")&amp;IF(AND(BW64=0,OR(CI64=1,AB64&lt;&gt;"",U64&lt;&gt;"",V64&lt;&gt;"",AC64&lt;&gt;"")),"manuell übersteuert; ","")&amp;IF(AND(CA64=0,R64=0),"Gebinde unbekannt / Stellmass fehlt; ","")&amp;IF(AND(CA64=0,N(V64)&lt;=0,N(Q64)&lt;=0),"Menge pro Gebinde fehlt (Ist = 1 Gebinde); ","")&amp;BV64)</f>
        <v>Überbestand 0 Stk / CHF 327; </v>
      </c>
      <c r="BO64" s="60" t="s">
        <v>371</v>
      </c>
      <c r="BP64" s="60"/>
      <c r="BQ64" s="67"/>
      <c r="BR64" s="62" t="n">
        <v>1.9</v>
      </c>
      <c r="BS64" s="62" t="n">
        <v>0.250000000000004</v>
      </c>
      <c r="BT64" s="61" t="n">
        <v>3955.6</v>
      </c>
      <c r="BU64" s="62" t="n">
        <v>2.605</v>
      </c>
      <c r="BV64" s="60"/>
      <c r="BW64" s="65" t="n">
        <v>0</v>
      </c>
      <c r="BX64" s="65" t="n">
        <v>64</v>
      </c>
      <c r="BY64" s="60" t="str">
        <f aca="false">IF(U64&lt;&gt;"",UPPER(TRIM(U64)),IF(CB64=1,UPPER(VLOOKUP(T64,Parameter!$I$27:$K$29,2,0)),IF(P64="","LOSE",P64)))</f>
        <v>S41</v>
      </c>
      <c r="BZ64" s="62" t="n">
        <f aca="false">IF(BY64="LOSE",1,IF(N(V64)&gt;0,V64,IF(CB64=1,MAX(1,N(VLOOKUP(T64,Parameter!$I$27:$K$29,3,0)),H64,N(N64)),IF(N(Q64)&gt;0,Q64,MAX(1,H64)))))</f>
        <v>3.3</v>
      </c>
      <c r="CA64" s="65" t="n">
        <f aca="false">IF(BY64="LOSE",1,0)</f>
        <v>0</v>
      </c>
      <c r="CB64" s="65" t="n">
        <f aca="false">IF(AND(U64="",OR(P64="",P64="LOSE"),T64&lt;&gt;"",N(S64)&lt;=0,ISNUMBER(MATCH(T64,Parameter!$I$27:$I$29,0))),1,0)</f>
        <v>0</v>
      </c>
      <c r="CC64" s="65" t="n">
        <f aca="false">IF(CR64&gt;0,INDEX(Parameter!$H$5:$H$7,W64)/INDEX(Parameter!$E$5:$E$7,W64),IF(AND(CA64=0,N(IFERROR(VLOOKUP(BY64,'Gebinde-Kategorie'!$A$5:$N$45,14,0),0))&gt;0),VLOOKUP(BY64,'Gebinde-Kategorie'!$A$5:$N$45,14,0)*10+Parameter!$M$23,Parameter!$M$24))</f>
        <v>155</v>
      </c>
      <c r="CD64" s="60" t="str">
        <f aca="false">IF(AND(Parameter!$B$19="Ja",E64&lt;&gt;"",ISNUMBER(MATCH(E64,Parameter!$I$35:$I$52,0))),VLOOKUP(E64,Parameter!$I$35:$J$52,2,0),IFERROR(VLOOKUP(D64,Parameter!$A$35:$C$64,2,0),"Nein"))</f>
        <v>2+3</v>
      </c>
      <c r="CE64" s="64" t="n">
        <f aca="false">IF(CA64=0,0,IF(N(S64)&gt;0,S64,IFERROR(VLOOKUP(D64,Parameter!$A$35:$C$64,3,0)+0,0)))</f>
        <v>0</v>
      </c>
      <c r="CF64" s="60" t="n">
        <f aca="false">IF(AB64&lt;&gt;"",AB64,AA64)</f>
        <v>3</v>
      </c>
      <c r="CG64" s="60" t="str">
        <f aca="false">IF(OR(CF64=1,CF64=2,CF64=3),IF(Parameter!$E$27="Ja","LIFT",IF(CF64=1,"L1","L23")),IF(CF64="Aussen","Aussen","-"))</f>
        <v>LIFT</v>
      </c>
      <c r="CH64" s="71" t="n">
        <f aca="false">IF(N(AC64)&gt;0,AC64,0)</f>
        <v>0</v>
      </c>
      <c r="CI64" s="65" t="n">
        <f aca="false">IF(ISNUMBER(AF64),1,0)</f>
        <v>0</v>
      </c>
      <c r="CJ64" s="62" t="n">
        <f aca="false">N(AF64)</f>
        <v>0</v>
      </c>
      <c r="CK64" s="62" t="n">
        <f aca="false">N(M64)+N(N64)</f>
        <v>1</v>
      </c>
      <c r="CL64" s="62" t="n">
        <f aca="false">N(M64)</f>
        <v>0</v>
      </c>
      <c r="CM64" s="62" t="n">
        <f aca="false">N(N64)</f>
        <v>1</v>
      </c>
      <c r="CN64" s="62" t="n">
        <f aca="false">ROUNDUP(H64/BZ64,0)</f>
        <v>1</v>
      </c>
      <c r="CO64" s="62" t="n">
        <f aca="false">ROUNDUP(CJ64/BZ64,0)</f>
        <v>0</v>
      </c>
      <c r="CP64" s="65" t="n">
        <f aca="false">IF(CA64=1,0,IFERROR(VLOOKUP(BY64,'Gebinde-Kategorie'!$A$5:$N$45,5,0)+0,0))</f>
        <v>11</v>
      </c>
      <c r="CQ64" s="65" t="n">
        <f aca="false">IFERROR(IF(OR(CF64=1,CF64=2,CF64=3),N(INDEX(Parameter!$I$5:$I$7,CF64)),0),0)</f>
        <v>0</v>
      </c>
      <c r="CR64" s="64" t="n">
        <f aca="false">IF(AND(Parameter!$B$21="Ja",ISNUMBER(W64),N(X64)&gt;0),IFERROR(N(INDEX(Parameter!$L$5:$L$7,W64))*INDEX(Parameter!$E$5:$E$7,W64)*X64/SUMIFS($X$7:$X$1843,$W$7:$W$1843,W64),0),0)</f>
        <v>0</v>
      </c>
      <c r="CS64" s="62" t="n">
        <f aca="false">IF(AND(OR(CG64="L1",CG64="L23",CG64="LIFT"),H64&gt;0),CC64*IF(CR64&gt;0,CR64*MAX(1,H64/X64),IF(CA64=1,CE64,IF(R64&gt;0,CN64/R64,0))/MAX(0.1,N(Parameter!$M$21))),"")</f>
        <v>2.98076923076923</v>
      </c>
      <c r="CT64" s="64" t="n">
        <f aca="false">IF(CS64="","",J64/H64)</f>
        <v>1.21162790697674</v>
      </c>
      <c r="CU64" s="62" t="n">
        <f aca="false">IF(CS64="","",H64*G64)</f>
        <v>4690.37550000001</v>
      </c>
      <c r="CV64" s="63" t="n">
        <f aca="false">IF(CS64="","",(CL64+ROUNDUP(CL64+MAX(CM64,2*(J64/MAX(0.1,N(Einkauf!$C$6))-CL64)),0))/2)</f>
        <v>1</v>
      </c>
      <c r="CW64" s="62" t="n">
        <f aca="false">IF(CS64="","",MAX(0,H64-CV64)*G64)</f>
        <v>2508.80550000001</v>
      </c>
      <c r="CX64" s="62" t="n">
        <f aca="false">IF(CS64="","",CS64*MAX(0,1-CV64/H64))</f>
        <v>1.5943649373882</v>
      </c>
      <c r="CY64" s="64" t="n">
        <f aca="false">IF(CS64="","",PERCENTRANK($CS$7:$CS$1843,CS64)+PERCENTRANK($CU$7:$CU$1843,CU64)+1-PERCENTRANK($CT$7:$CT$1843,CT64))</f>
        <v>1.389</v>
      </c>
      <c r="CZ64" s="72" t="n">
        <f aca="false">IF(CS64="","",CHOOSE(MATCH(Einkauf!$C$5,Parameter!$G$23:$G$27,0),CY64,CS64,CU64,-CT64,CW64)+ROW()/1000000000)</f>
        <v>1.389000064</v>
      </c>
    </row>
    <row r="65" customFormat="false" ht="15" hidden="false" customHeight="false" outlineLevel="0" collapsed="false">
      <c r="A65" s="60" t="s">
        <v>372</v>
      </c>
      <c r="B65" s="60" t="s">
        <v>373</v>
      </c>
      <c r="C65" s="60" t="s">
        <v>206</v>
      </c>
      <c r="D65" s="60" t="s">
        <v>215</v>
      </c>
      <c r="E65" s="60"/>
      <c r="F65" s="60" t="s">
        <v>260</v>
      </c>
      <c r="G65" s="61" t="n">
        <v>788.31</v>
      </c>
      <c r="H65" s="62" t="n">
        <f aca="false">MAX(0,IF(AND(Parameter!$B$21="Ja",ISNUMBER(Y65)),Y65,IF(Parameter!$B$20="Jahresanfang 2025 + Export",BS65+BR65,BR65)))</f>
        <v>5</v>
      </c>
      <c r="I65" s="62" t="n">
        <f aca="false">H65*G65</f>
        <v>3941.55</v>
      </c>
      <c r="J65" s="62" t="n">
        <f aca="false">BU65*Parameter!$B$18</f>
        <v>0</v>
      </c>
      <c r="K65" s="63" t="n">
        <v>0</v>
      </c>
      <c r="L65" s="64" t="n">
        <v>0</v>
      </c>
      <c r="M65" s="62" t="n">
        <v>0</v>
      </c>
      <c r="N65" s="62" t="n">
        <v>5</v>
      </c>
      <c r="O65" s="65" t="n">
        <v>9999</v>
      </c>
      <c r="P65" s="60" t="s">
        <v>210</v>
      </c>
      <c r="Q65" s="62"/>
      <c r="R65" s="65" t="n">
        <f aca="false">IF(CA65=1,0,IFERROR(VLOOKUP(BY65,'Gebinde-Kategorie'!$A$5:$N$45,13,0)+0,0))</f>
        <v>12</v>
      </c>
      <c r="S65" s="66"/>
      <c r="T65" s="67" t="s">
        <v>221</v>
      </c>
      <c r="U65" s="67"/>
      <c r="V65" s="67"/>
      <c r="W65" s="60"/>
      <c r="X65" s="62"/>
      <c r="Y65" s="62"/>
      <c r="Z65" s="60" t="n">
        <v>3</v>
      </c>
      <c r="AA65" s="60" t="n">
        <f aca="false">IF(A65="","",IF(AND(Parameter!$B$21="Ja",ISNUMBER(W65)),W65,IF(AND(Parameter!$E$27="Ja",ISNUMBER(Z65),CD65&lt;&gt;"Nein"),Z65,IF(CD65="2+3",IF(ISNUMBER(SEARCH("grosser Artikel",BV65)),2,IFERROR(VLOOKUP(BY65,Parameter!$F$35:$G$64,2,0),2)),IF(OR(CD65="Nein",CD65=""),"-",CD65)))))</f>
        <v>3</v>
      </c>
      <c r="AB65" s="67"/>
      <c r="AC65" s="68"/>
      <c r="AD65" s="62" t="n">
        <f aca="false">AW65</f>
        <v>5</v>
      </c>
      <c r="AE65" s="62" t="n">
        <f aca="false">MAX(AW65,H65)</f>
        <v>5</v>
      </c>
      <c r="AF65" s="69"/>
      <c r="AG65" s="62" t="n">
        <f aca="false">IF(LEFT(Cockpit!$C$5,1)="A",H65,IF(Parameter!$E$30="MAX-Bestand",IF(CI65=1,CJ65,IF(LEFT(Cockpit!$C$5,1)="B",AM65,MAX(AM65,H65))),ROUNDUP(AK65,0)))</f>
        <v>5</v>
      </c>
      <c r="AH65" s="62" t="n">
        <f aca="false">IF(CA65=1,0,ROUNDUP(AG65/BZ65,0))</f>
        <v>1</v>
      </c>
      <c r="AI65" s="64" t="n">
        <f aca="false">IF(CR65&gt;0,CR65*MAX(1,AG65/X65),IF(CA65=1,IF(AG65&lt;=0,0,CE65*MAX(1,IF(H65&gt;0,AG65/H65,1))),IF(R65&gt;0,AH65/R65,0))/MAX(0.1,N(Parameter!$M$21)))</f>
        <v>0.0833333333333333</v>
      </c>
      <c r="AJ65" s="62" t="n">
        <f aca="false">AI65*CC65</f>
        <v>12.0833333333333</v>
      </c>
      <c r="AK65" s="63" t="n">
        <f aca="false">IF(LEFT(Cockpit!$C$5,1)="A",H65,IF(CI65=1,(CL65+CJ65)/2,IF(LEFT(Cockpit!$C$5,1)="B",(CL65+AM65)/2,MAX((CL65+AM65)/2,H65))))</f>
        <v>5</v>
      </c>
      <c r="AL65" s="62" t="n">
        <f aca="false">AK65*G65</f>
        <v>3941.55</v>
      </c>
      <c r="AM65" s="62" t="n">
        <f aca="false">ROUNDUP(CL65+MAX(CM65,2*(J65/IF(CH65&gt;0,CH65,MAX(0.1,N(Cockpit!$C$6)))-CL65)),0)</f>
        <v>5</v>
      </c>
      <c r="AN65" s="63" t="n">
        <f aca="false">IF(AJ65&gt;0,J65/AJ65,-1)</f>
        <v>0</v>
      </c>
      <c r="AO65" s="63" t="n">
        <f aca="false">IF(AND(OR(CG65="L1",CG65="L23",CG65="LIFT"),AJ65&gt;0),SUMIFS($AJ$7:$AJ$1843,$CG$7:$CG$1843,CG65,$AN$7:$AN$1843,"&gt;"&amp;AN65)+SUMIFS($AJ$7:$AJ$1843,$CG$7:$CG$1843,CG65,$AN$7:$AN$1843,AN65,$BX$7:$BX$1843,"&lt;="&amp;BX65),"")</f>
        <v>26470.908587881</v>
      </c>
      <c r="AP65" s="70" t="n">
        <f aca="false">IF(AO65="",0,MAX(0,MIN(1,(IF(CG65="L1",Parameter!$H$5,IF(CG65="L23",Parameter!$H$6+Parameter!$H$7,Parameter!$H$5+Parameter!$H$6+Parameter!$H$7))-(AO65-AJ65))/AJ65)))</f>
        <v>1</v>
      </c>
      <c r="AQ65" s="62" t="n">
        <f aca="false">IF(LEFT(Cockpit!$I$5,1)="A",H65,IF(Parameter!$E$30="MAX-Bestand",IF(CI65=1,CJ65,IF(LEFT(Cockpit!$I$5,1)="B",AW65,MAX(AW65,H65))),ROUNDUP(AU65,0)))</f>
        <v>5</v>
      </c>
      <c r="AR65" s="62" t="n">
        <f aca="false">IF(CA65=1,0,ROUNDUP(AQ65/BZ65,0))</f>
        <v>1</v>
      </c>
      <c r="AS65" s="64" t="n">
        <f aca="false">IF(CR65&gt;0,CR65*MAX(1,AQ65/X65),IF(CA65=1,IF(AQ65&lt;=0,0,CE65*MAX(1,IF(H65&gt;0,AQ65/H65,1))),IF(R65&gt;0,AR65/R65,0))/MAX(0.1,N(Parameter!$M$21)))</f>
        <v>0.0833333333333333</v>
      </c>
      <c r="AT65" s="62" t="n">
        <f aca="false">AS65*CC65</f>
        <v>12.0833333333333</v>
      </c>
      <c r="AU65" s="63" t="n">
        <f aca="false">IF(LEFT(Cockpit!$I$5,1)="A",H65,IF(CI65=1,(CL65+CJ65)/2,IF(LEFT(Cockpit!$I$5,1)="B",(CL65+AW65)/2,MAX((CL65+AW65)/2,H65))))</f>
        <v>5</v>
      </c>
      <c r="AV65" s="62" t="n">
        <f aca="false">AU65*G65</f>
        <v>3941.55</v>
      </c>
      <c r="AW65" s="62" t="n">
        <f aca="false">ROUNDUP(CL65+MAX(CM65,2*(J65/IF(CH65&gt;0,CH65,MAX(0.1,N(Cockpit!$I$6)))-CL65)),0)</f>
        <v>5</v>
      </c>
      <c r="AX65" s="63" t="n">
        <f aca="false">IF(AT65&gt;0,J65/AT65,-1)</f>
        <v>0</v>
      </c>
      <c r="AY65" s="63" t="n">
        <f aca="false">IF(AND(OR(CG65="L1",CG65="L23",CG65="LIFT"),AT65&gt;0),SUMIFS($AT$7:$AT$1843,$CG$7:$CG$1843,CG65,$AX$7:$AX$1843,"&gt;"&amp;AX65)+SUMIFS($AT$7:$AT$1843,$CG$7:$CG$1843,CG65,$AX$7:$AX$1843,AX65,$BX$7:$BX$1843,"&lt;="&amp;BX65),"")</f>
        <v>31824.0572292585</v>
      </c>
      <c r="AZ65" s="70" t="n">
        <f aca="false">IF(AY65="",0,MAX(0,MIN(1,(IF(CG65="L1",Parameter!$H$5,IF(CG65="L23",Parameter!$H$6+Parameter!$H$7,Parameter!$H$5+Parameter!$H$6+Parameter!$H$7))-(AY65-AT65))/AT65)))</f>
        <v>1</v>
      </c>
      <c r="BA65" s="62" t="n">
        <f aca="false">IF(LEFT(Cockpit!$O$5,1)="A",H65,IF(Parameter!$E$30="MAX-Bestand",IF(CI65=1,CJ65,IF(LEFT(Cockpit!$O$5,1)="B",BG65,MAX(BG65,H65))),ROUNDUP(BE65,0)))</f>
        <v>3</v>
      </c>
      <c r="BB65" s="62" t="n">
        <f aca="false">IF(CA65=1,0,ROUNDUP(BA65/BZ65,0))</f>
        <v>1</v>
      </c>
      <c r="BC65" s="64" t="n">
        <f aca="false">IF(CR65&gt;0,CR65*MAX(1,BA65/X65),IF(CA65=1,IF(BA65&lt;=0,0,CE65*MAX(1,IF(H65&gt;0,BA65/H65,1))),IF(R65&gt;0,BB65/R65,0))/MAX(0.1,N(Parameter!$M$21)))</f>
        <v>0.0833333333333333</v>
      </c>
      <c r="BD65" s="62" t="n">
        <f aca="false">BC65*CC65</f>
        <v>12.0833333333333</v>
      </c>
      <c r="BE65" s="63" t="n">
        <f aca="false">IF(LEFT(Cockpit!$O$5,1)="A",H65,IF(CI65=1,(CL65+CJ65)/2,IF(LEFT(Cockpit!$O$5,1)="B",(CL65+BG65)/2,MAX((CL65+BG65)/2,H65))))</f>
        <v>2.5</v>
      </c>
      <c r="BF65" s="62" t="n">
        <f aca="false">BE65*G65</f>
        <v>1970.775</v>
      </c>
      <c r="BG65" s="62" t="n">
        <f aca="false">ROUNDUP(CL65+MAX(CM65,2*(J65/IF(CH65&gt;0,CH65,MAX(0.1,N(Cockpit!$O$6)))-CL65)),0)</f>
        <v>5</v>
      </c>
      <c r="BH65" s="63" t="n">
        <f aca="false">IF(BD65&gt;0,J65/BD65,-1)</f>
        <v>0</v>
      </c>
      <c r="BI65" s="63" t="n">
        <f aca="false">IF(AND(OR(CG65="L1",CG65="L23",CG65="LIFT"),BD65&gt;0),SUMIFS($BD$7:$BD$1843,$CG$7:$CG$1843,CG65,$BH$7:$BH$1843,"&gt;"&amp;BH65)+SUMIFS($BD$7:$BD$1843,$CG$7:$CG$1843,CG65,$BH$7:$BH$1843,BH65,$BX$7:$BX$1843,"&lt;="&amp;BX65),"")</f>
        <v>26020.6390725564</v>
      </c>
      <c r="BJ65" s="70" t="n">
        <f aca="false">IF(BI65="",0,MAX(0,MIN(1,(IF(CG65="L1",Parameter!$H$5,IF(CG65="L23",Parameter!$H$6+Parameter!$H$7,Parameter!$H$5+Parameter!$H$6+Parameter!$H$7))-(BI65-BD65))/BD65)))</f>
        <v>1</v>
      </c>
      <c r="BK65" s="60" t="str">
        <f aca="false">IF(AJ65&lt;=0,"",IF(CG65="Aussen","Aussenlager",IF(CG65="-","Nicht im Lift",IF(AP65&gt;=1,"Lift",IF(AP65&lt;=0,"Aussenlager","teilweise")))))</f>
        <v>Lift</v>
      </c>
      <c r="BL65" s="60" t="str">
        <f aca="false">IF(AT65&lt;=0,"",IF(CG65="Aussen","Aussenlager",IF(CG65="-","Nicht im Lift",IF(AZ65&gt;=1,"Lift",IF(AZ65&lt;=0,"Aussenlager","teilweise")))))</f>
        <v>Lift</v>
      </c>
      <c r="BM65" s="60" t="str">
        <f aca="false">IF(BD65&lt;=0,"",IF(CG65="Aussen","Aussenlager",IF(CG65="-","Nicht im Lift",IF(BJ65&gt;=1,"Lift",IF(BJ65&lt;=0,"Aussenlager","teilweise")))))</f>
        <v>Lift</v>
      </c>
      <c r="BN65" s="60" t="str">
        <f aca="false">IF(A65="","",IF(BW65=1,"Neu; ","")&amp;IF(AND(BW65=0,BR65&lt;0),"negativer Bestand (Export "&amp;BR65&amp;"); ","")&amp;IF(J65&lt;=0,"Kein Verbrauch; ","")&amp;IF(CR65&gt;0,"Lift "&amp;W65&amp;" lt. Liftbericht (Fach "&amp;X65&amp;" Stk); ",IF(CB65=1,"Gebinde geschätzt ("&amp;T65&amp;"); ",IF(CA65=1,"Lose – Tablare geschätzt; ","")))&amp;IF(H65&gt;AW65,"Überbestand "&amp;ROUND(H65-AW65,0)&amp;" Stk / CHF "&amp;ROUND((H65-AW65)*G65,0)&amp;"; ","")&amp;IF(AND(CI65=1,CJ65&lt;CK65),"MAX &lt; MB+LG; ","")&amp;IF(AND(CQ65&gt;0,CP65*10&gt;CQ65),"zu hoch für Tablar; ","")&amp;IF(AND(BW65=0,OR(CI65=1,AB65&lt;&gt;"",U65&lt;&gt;"",V65&lt;&gt;"",AC65&lt;&gt;"")),"manuell übersteuert; ","")&amp;IF(AND(CA65=0,R65=0),"Gebinde unbekannt / Stellmass fehlt; ","")&amp;IF(AND(CA65=0,N(V65)&lt;=0,N(Q65)&lt;=0),"Menge pro Gebinde fehlt (Ist = 1 Gebinde); ","")&amp;BV65)</f>
        <v>Kein Verbrauch; Gebinde geschätzt (Mittel); Menge pro Gebinde fehlt (Ist = 1 Gebinde); </v>
      </c>
      <c r="BO65" s="60" t="s">
        <v>374</v>
      </c>
      <c r="BP65" s="60"/>
      <c r="BQ65" s="67"/>
      <c r="BR65" s="62" t="n">
        <v>5</v>
      </c>
      <c r="BS65" s="62" t="n">
        <v>0</v>
      </c>
      <c r="BT65" s="61" t="n">
        <v>3941.55</v>
      </c>
      <c r="BU65" s="62" t="n">
        <v>0</v>
      </c>
      <c r="BV65" s="60"/>
      <c r="BW65" s="65" t="n">
        <v>0</v>
      </c>
      <c r="BX65" s="65" t="n">
        <v>65</v>
      </c>
      <c r="BY65" s="60" t="str">
        <f aca="false">IF(U65&lt;&gt;"",UPPER(TRIM(U65)),IF(CB65=1,UPPER(VLOOKUP(T65,Parameter!$I$27:$K$29,2,0)),IF(P65="","LOSE",P65)))</f>
        <v>S61</v>
      </c>
      <c r="BZ65" s="62" t="n">
        <f aca="false">IF(BY65="LOSE",1,IF(N(V65)&gt;0,V65,IF(CB65=1,MAX(1,N(VLOOKUP(T65,Parameter!$I$27:$K$29,3,0)),H65,N(N65)),IF(N(Q65)&gt;0,Q65,MAX(1,H65)))))</f>
        <v>5</v>
      </c>
      <c r="CA65" s="65" t="n">
        <f aca="false">IF(BY65="LOSE",1,0)</f>
        <v>0</v>
      </c>
      <c r="CB65" s="65" t="n">
        <f aca="false">IF(AND(U65="",OR(P65="",P65="LOSE"),T65&lt;&gt;"",N(S65)&lt;=0,ISNUMBER(MATCH(T65,Parameter!$I$27:$I$29,0))),1,0)</f>
        <v>1</v>
      </c>
      <c r="CC65" s="65" t="n">
        <f aca="false">IF(CR65&gt;0,INDEX(Parameter!$H$5:$H$7,W65)/INDEX(Parameter!$E$5:$E$7,W65),IF(AND(CA65=0,N(IFERROR(VLOOKUP(BY65,'Gebinde-Kategorie'!$A$5:$N$45,14,0),0))&gt;0),VLOOKUP(BY65,'Gebinde-Kategorie'!$A$5:$N$45,14,0)*10+Parameter!$M$23,Parameter!$M$24))</f>
        <v>145</v>
      </c>
      <c r="CD65" s="60" t="str">
        <f aca="false">IF(AND(Parameter!$B$19="Ja",E65&lt;&gt;"",ISNUMBER(MATCH(E65,Parameter!$I$35:$I$52,0))),VLOOKUP(E65,Parameter!$I$35:$J$52,2,0),IFERROR(VLOOKUP(D65,Parameter!$A$35:$C$64,2,0),"Nein"))</f>
        <v>2+3</v>
      </c>
      <c r="CE65" s="64" t="n">
        <f aca="false">IF(CA65=0,0,IF(N(S65)&gt;0,S65,IFERROR(VLOOKUP(D65,Parameter!$A$35:$C$64,3,0)+0,0)))</f>
        <v>0</v>
      </c>
      <c r="CF65" s="60" t="n">
        <f aca="false">IF(AB65&lt;&gt;"",AB65,AA65)</f>
        <v>3</v>
      </c>
      <c r="CG65" s="60" t="str">
        <f aca="false">IF(OR(CF65=1,CF65=2,CF65=3),IF(Parameter!$E$27="Ja","LIFT",IF(CF65=1,"L1","L23")),IF(CF65="Aussen","Aussen","-"))</f>
        <v>LIFT</v>
      </c>
      <c r="CH65" s="71" t="n">
        <f aca="false">IF(N(AC65)&gt;0,AC65,0)</f>
        <v>0</v>
      </c>
      <c r="CI65" s="65" t="n">
        <f aca="false">IF(ISNUMBER(AF65),1,0)</f>
        <v>0</v>
      </c>
      <c r="CJ65" s="62" t="n">
        <f aca="false">N(AF65)</f>
        <v>0</v>
      </c>
      <c r="CK65" s="62" t="n">
        <f aca="false">N(M65)+N(N65)</f>
        <v>5</v>
      </c>
      <c r="CL65" s="62" t="n">
        <f aca="false">N(M65)</f>
        <v>0</v>
      </c>
      <c r="CM65" s="62" t="n">
        <f aca="false">N(N65)</f>
        <v>5</v>
      </c>
      <c r="CN65" s="62" t="n">
        <f aca="false">ROUNDUP(H65/BZ65,0)</f>
        <v>1</v>
      </c>
      <c r="CO65" s="62" t="n">
        <f aca="false">ROUNDUP(CJ65/BZ65,0)</f>
        <v>0</v>
      </c>
      <c r="CP65" s="65" t="n">
        <f aca="false">IF(CA65=1,0,IFERROR(VLOOKUP(BY65,'Gebinde-Kategorie'!$A$5:$N$45,5,0)+0,0))</f>
        <v>11</v>
      </c>
      <c r="CQ65" s="65" t="n">
        <f aca="false">IFERROR(IF(OR(CF65=1,CF65=2,CF65=3),N(INDEX(Parameter!$I$5:$I$7,CF65)),0),0)</f>
        <v>0</v>
      </c>
      <c r="CR65" s="64" t="n">
        <f aca="false">IF(AND(Parameter!$B$21="Ja",ISNUMBER(W65),N(X65)&gt;0),IFERROR(N(INDEX(Parameter!$L$5:$L$7,W65))*INDEX(Parameter!$E$5:$E$7,W65)*X65/SUMIFS($X$7:$X$1843,$W$7:$W$1843,W65),0),0)</f>
        <v>0</v>
      </c>
      <c r="CS65" s="62" t="n">
        <f aca="false">IF(AND(OR(CG65="L1",CG65="L23",CG65="LIFT"),H65&gt;0),CC65*IF(CR65&gt;0,CR65*MAX(1,H65/X65),IF(CA65=1,CE65,IF(R65&gt;0,CN65/R65,0))/MAX(0.1,N(Parameter!$M$21))),"")</f>
        <v>12.0833333333333</v>
      </c>
      <c r="CT65" s="64" t="n">
        <f aca="false">IF(CS65="","",J65/H65)</f>
        <v>0</v>
      </c>
      <c r="CU65" s="62" t="n">
        <f aca="false">IF(CS65="","",H65*G65)</f>
        <v>3941.55</v>
      </c>
      <c r="CV65" s="63" t="n">
        <f aca="false">IF(CS65="","",(CL65+ROUNDUP(CL65+MAX(CM65,2*(J65/MAX(0.1,N(Einkauf!$C$6))-CL65)),0))/2)</f>
        <v>2.5</v>
      </c>
      <c r="CW65" s="62" t="n">
        <f aca="false">IF(CS65="","",MAX(0,H65-CV65)*G65)</f>
        <v>1970.775</v>
      </c>
      <c r="CX65" s="62" t="n">
        <f aca="false">IF(CS65="","",CS65*MAX(0,1-CV65/H65))</f>
        <v>6.04166666666667</v>
      </c>
      <c r="CY65" s="64" t="n">
        <f aca="false">IF(CS65="","",PERCENTRANK($CS$7:$CS$1843,CS65)+PERCENTRANK($CU$7:$CU$1843,CU65)+1-PERCENTRANK($CT$7:$CT$1843,CT65))</f>
        <v>2.539</v>
      </c>
      <c r="CZ65" s="72" t="n">
        <f aca="false">IF(CS65="","",CHOOSE(MATCH(Einkauf!$C$5,Parameter!$G$23:$G$27,0),CY65,CS65,CU65,-CT65,CW65)+ROW()/1000000000)</f>
        <v>2.539000065</v>
      </c>
    </row>
    <row r="66" customFormat="false" ht="15" hidden="false" customHeight="false" outlineLevel="0" collapsed="false">
      <c r="A66" s="60" t="s">
        <v>375</v>
      </c>
      <c r="B66" s="60" t="s">
        <v>376</v>
      </c>
      <c r="C66" s="60" t="s">
        <v>206</v>
      </c>
      <c r="D66" s="60" t="s">
        <v>215</v>
      </c>
      <c r="E66" s="60"/>
      <c r="F66" s="60" t="s">
        <v>260</v>
      </c>
      <c r="G66" s="61" t="n">
        <v>1947</v>
      </c>
      <c r="H66" s="62" t="n">
        <f aca="false">MAX(0,IF(AND(Parameter!$B$21="Ja",ISNUMBER(Y66)),Y66,IF(Parameter!$B$20="Jahresanfang 2025 + Export",BS66+BR66,BR66)))</f>
        <v>2</v>
      </c>
      <c r="I66" s="62" t="n">
        <f aca="false">H66*G66</f>
        <v>3894</v>
      </c>
      <c r="J66" s="62" t="n">
        <f aca="false">BU66*Parameter!$B$18</f>
        <v>0</v>
      </c>
      <c r="K66" s="63" t="n">
        <v>1</v>
      </c>
      <c r="L66" s="64" t="n">
        <v>0</v>
      </c>
      <c r="M66" s="62" t="n">
        <v>0</v>
      </c>
      <c r="N66" s="62" t="n">
        <v>1</v>
      </c>
      <c r="O66" s="65" t="n">
        <v>70</v>
      </c>
      <c r="P66" s="60" t="s">
        <v>344</v>
      </c>
      <c r="Q66" s="62" t="n">
        <v>2</v>
      </c>
      <c r="R66" s="65" t="n">
        <f aca="false">IF(CA66=1,0,IFERROR(VLOOKUP(BY66,'Gebinde-Kategorie'!$A$5:$N$45,13,0)+0,0))</f>
        <v>26</v>
      </c>
      <c r="S66" s="66"/>
      <c r="T66" s="67"/>
      <c r="U66" s="67"/>
      <c r="V66" s="67"/>
      <c r="W66" s="60"/>
      <c r="X66" s="62"/>
      <c r="Y66" s="62"/>
      <c r="Z66" s="60" t="n">
        <v>3</v>
      </c>
      <c r="AA66" s="60" t="n">
        <f aca="false">IF(A66="","",IF(AND(Parameter!$B$21="Ja",ISNUMBER(W66)),W66,IF(AND(Parameter!$E$27="Ja",ISNUMBER(Z66),CD66&lt;&gt;"Nein"),Z66,IF(CD66="2+3",IF(ISNUMBER(SEARCH("grosser Artikel",BV66)),2,IFERROR(VLOOKUP(BY66,Parameter!$F$35:$G$64,2,0),2)),IF(OR(CD66="Nein",CD66=""),"-",CD66)))))</f>
        <v>3</v>
      </c>
      <c r="AB66" s="67"/>
      <c r="AC66" s="68"/>
      <c r="AD66" s="62" t="n">
        <f aca="false">AW66</f>
        <v>1</v>
      </c>
      <c r="AE66" s="62" t="n">
        <f aca="false">MAX(AW66,H66)</f>
        <v>2</v>
      </c>
      <c r="AF66" s="69"/>
      <c r="AG66" s="62" t="n">
        <f aca="false">IF(LEFT(Cockpit!$C$5,1)="A",H66,IF(Parameter!$E$30="MAX-Bestand",IF(CI66=1,CJ66,IF(LEFT(Cockpit!$C$5,1)="B",AM66,MAX(AM66,H66))),ROUNDUP(AK66,0)))</f>
        <v>2</v>
      </c>
      <c r="AH66" s="62" t="n">
        <f aca="false">IF(CA66=1,0,ROUNDUP(AG66/BZ66,0))</f>
        <v>1</v>
      </c>
      <c r="AI66" s="64" t="n">
        <f aca="false">IF(CR66&gt;0,CR66*MAX(1,AG66/X66),IF(CA66=1,IF(AG66&lt;=0,0,CE66*MAX(1,IF(H66&gt;0,AG66/H66,1))),IF(R66&gt;0,AH66/R66,0))/MAX(0.1,N(Parameter!$M$21)))</f>
        <v>0.0384615384615385</v>
      </c>
      <c r="AJ66" s="62" t="n">
        <f aca="false">AI66*CC66</f>
        <v>5.96153846153846</v>
      </c>
      <c r="AK66" s="63" t="n">
        <f aca="false">IF(LEFT(Cockpit!$C$5,1)="A",H66,IF(CI66=1,(CL66+CJ66)/2,IF(LEFT(Cockpit!$C$5,1)="B",(CL66+AM66)/2,MAX((CL66+AM66)/2,H66))))</f>
        <v>2</v>
      </c>
      <c r="AL66" s="62" t="n">
        <f aca="false">AK66*G66</f>
        <v>3894</v>
      </c>
      <c r="AM66" s="62" t="n">
        <f aca="false">ROUNDUP(CL66+MAX(CM66,2*(J66/IF(CH66&gt;0,CH66,MAX(0.1,N(Cockpit!$C$6)))-CL66)),0)</f>
        <v>1</v>
      </c>
      <c r="AN66" s="63" t="n">
        <f aca="false">IF(AJ66&gt;0,J66/AJ66,-1)</f>
        <v>0</v>
      </c>
      <c r="AO66" s="63" t="n">
        <f aca="false">IF(AND(OR(CG66="L1",CG66="L23",CG66="LIFT"),AJ66&gt;0),SUMIFS($AJ$7:$AJ$1843,$CG$7:$CG$1843,CG66,$AN$7:$AN$1843,"&gt;"&amp;AN66)+SUMIFS($AJ$7:$AJ$1843,$CG$7:$CG$1843,CG66,$AN$7:$AN$1843,AN66,$BX$7:$BX$1843,"&lt;="&amp;BX66),"")</f>
        <v>26476.8701263426</v>
      </c>
      <c r="AP66" s="70" t="n">
        <f aca="false">IF(AO66="",0,MAX(0,MIN(1,(IF(CG66="L1",Parameter!$H$5,IF(CG66="L23",Parameter!$H$6+Parameter!$H$7,Parameter!$H$5+Parameter!$H$6+Parameter!$H$7))-(AO66-AJ66))/AJ66)))</f>
        <v>1</v>
      </c>
      <c r="AQ66" s="62" t="n">
        <f aca="false">IF(LEFT(Cockpit!$I$5,1)="A",H66,IF(Parameter!$E$30="MAX-Bestand",IF(CI66=1,CJ66,IF(LEFT(Cockpit!$I$5,1)="B",AW66,MAX(AW66,H66))),ROUNDUP(AU66,0)))</f>
        <v>2</v>
      </c>
      <c r="AR66" s="62" t="n">
        <f aca="false">IF(CA66=1,0,ROUNDUP(AQ66/BZ66,0))</f>
        <v>1</v>
      </c>
      <c r="AS66" s="64" t="n">
        <f aca="false">IF(CR66&gt;0,CR66*MAX(1,AQ66/X66),IF(CA66=1,IF(AQ66&lt;=0,0,CE66*MAX(1,IF(H66&gt;0,AQ66/H66,1))),IF(R66&gt;0,AR66/R66,0))/MAX(0.1,N(Parameter!$M$21)))</f>
        <v>0.0384615384615385</v>
      </c>
      <c r="AT66" s="62" t="n">
        <f aca="false">AS66*CC66</f>
        <v>5.96153846153846</v>
      </c>
      <c r="AU66" s="63" t="n">
        <f aca="false">IF(LEFT(Cockpit!$I$5,1)="A",H66,IF(CI66=1,(CL66+CJ66)/2,IF(LEFT(Cockpit!$I$5,1)="B",(CL66+AW66)/2,MAX((CL66+AW66)/2,H66))))</f>
        <v>2</v>
      </c>
      <c r="AV66" s="62" t="n">
        <f aca="false">AU66*G66</f>
        <v>3894</v>
      </c>
      <c r="AW66" s="62" t="n">
        <f aca="false">ROUNDUP(CL66+MAX(CM66,2*(J66/IF(CH66&gt;0,CH66,MAX(0.1,N(Cockpit!$I$6)))-CL66)),0)</f>
        <v>1</v>
      </c>
      <c r="AX66" s="63" t="n">
        <f aca="false">IF(AT66&gt;0,J66/AT66,-1)</f>
        <v>0</v>
      </c>
      <c r="AY66" s="63" t="n">
        <f aca="false">IF(AND(OR(CG66="L1",CG66="L23",CG66="LIFT"),AT66&gt;0),SUMIFS($AT$7:$AT$1843,$CG$7:$CG$1843,CG66,$AX$7:$AX$1843,"&gt;"&amp;AX66)+SUMIFS($AT$7:$AT$1843,$CG$7:$CG$1843,CG66,$AX$7:$AX$1843,AX66,$BX$7:$BX$1843,"&lt;="&amp;BX66),"")</f>
        <v>31830.01876772</v>
      </c>
      <c r="AZ66" s="70" t="n">
        <f aca="false">IF(AY66="",0,MAX(0,MIN(1,(IF(CG66="L1",Parameter!$H$5,IF(CG66="L23",Parameter!$H$6+Parameter!$H$7,Parameter!$H$5+Parameter!$H$6+Parameter!$H$7))-(AY66-AT66))/AT66)))</f>
        <v>1</v>
      </c>
      <c r="BA66" s="62" t="n">
        <f aca="false">IF(LEFT(Cockpit!$O$5,1)="A",H66,IF(Parameter!$E$30="MAX-Bestand",IF(CI66=1,CJ66,IF(LEFT(Cockpit!$O$5,1)="B",BG66,MAX(BG66,H66))),ROUNDUP(BE66,0)))</f>
        <v>1</v>
      </c>
      <c r="BB66" s="62" t="n">
        <f aca="false">IF(CA66=1,0,ROUNDUP(BA66/BZ66,0))</f>
        <v>1</v>
      </c>
      <c r="BC66" s="64" t="n">
        <f aca="false">IF(CR66&gt;0,CR66*MAX(1,BA66/X66),IF(CA66=1,IF(BA66&lt;=0,0,CE66*MAX(1,IF(H66&gt;0,BA66/H66,1))),IF(R66&gt;0,BB66/R66,0))/MAX(0.1,N(Parameter!$M$21)))</f>
        <v>0.0384615384615385</v>
      </c>
      <c r="BD66" s="62" t="n">
        <f aca="false">BC66*CC66</f>
        <v>5.96153846153846</v>
      </c>
      <c r="BE66" s="63" t="n">
        <f aca="false">IF(LEFT(Cockpit!$O$5,1)="A",H66,IF(CI66=1,(CL66+CJ66)/2,IF(LEFT(Cockpit!$O$5,1)="B",(CL66+BG66)/2,MAX((CL66+BG66)/2,H66))))</f>
        <v>0.5</v>
      </c>
      <c r="BF66" s="62" t="n">
        <f aca="false">BE66*G66</f>
        <v>973.5</v>
      </c>
      <c r="BG66" s="62" t="n">
        <f aca="false">ROUNDUP(CL66+MAX(CM66,2*(J66/IF(CH66&gt;0,CH66,MAX(0.1,N(Cockpit!$O$6)))-CL66)),0)</f>
        <v>1</v>
      </c>
      <c r="BH66" s="63" t="n">
        <f aca="false">IF(BD66&gt;0,J66/BD66,-1)</f>
        <v>0</v>
      </c>
      <c r="BI66" s="63" t="n">
        <f aca="false">IF(AND(OR(CG66="L1",CG66="L23",CG66="LIFT"),BD66&gt;0),SUMIFS($BD$7:$BD$1843,$CG$7:$CG$1843,CG66,$BH$7:$BH$1843,"&gt;"&amp;BH66)+SUMIFS($BD$7:$BD$1843,$CG$7:$CG$1843,CG66,$BH$7:$BH$1843,BH66,$BX$7:$BX$1843,"&lt;="&amp;BX66),"")</f>
        <v>26026.600611018</v>
      </c>
      <c r="BJ66" s="70" t="n">
        <f aca="false">IF(BI66="",0,MAX(0,MIN(1,(IF(CG66="L1",Parameter!$H$5,IF(CG66="L23",Parameter!$H$6+Parameter!$H$7,Parameter!$H$5+Parameter!$H$6+Parameter!$H$7))-(BI66-BD66))/BD66)))</f>
        <v>1</v>
      </c>
      <c r="BK66" s="60" t="str">
        <f aca="false">IF(AJ66&lt;=0,"",IF(CG66="Aussen","Aussenlager",IF(CG66="-","Nicht im Lift",IF(AP66&gt;=1,"Lift",IF(AP66&lt;=0,"Aussenlager","teilweise")))))</f>
        <v>Lift</v>
      </c>
      <c r="BL66" s="60" t="str">
        <f aca="false">IF(AT66&lt;=0,"",IF(CG66="Aussen","Aussenlager",IF(CG66="-","Nicht im Lift",IF(AZ66&gt;=1,"Lift",IF(AZ66&lt;=0,"Aussenlager","teilweise")))))</f>
        <v>Lift</v>
      </c>
      <c r="BM66" s="60" t="str">
        <f aca="false">IF(BD66&lt;=0,"",IF(CG66="Aussen","Aussenlager",IF(CG66="-","Nicht im Lift",IF(BJ66&gt;=1,"Lift",IF(BJ66&lt;=0,"Aussenlager","teilweise")))))</f>
        <v>Lift</v>
      </c>
      <c r="BN66" s="60" t="str">
        <f aca="false">IF(A66="","",IF(BW66=1,"Neu; ","")&amp;IF(AND(BW66=0,BR66&lt;0),"negativer Bestand (Export "&amp;BR66&amp;"); ","")&amp;IF(J66&lt;=0,"Kein Verbrauch; ","")&amp;IF(CR66&gt;0,"Lift "&amp;W66&amp;" lt. Liftbericht (Fach "&amp;X66&amp;" Stk); ",IF(CB66=1,"Gebinde geschätzt ("&amp;T66&amp;"); ",IF(CA66=1,"Lose – Tablare geschätzt; ","")))&amp;IF(H66&gt;AW66,"Überbestand "&amp;ROUND(H66-AW66,0)&amp;" Stk / CHF "&amp;ROUND((H66-AW66)*G66,0)&amp;"; ","")&amp;IF(AND(CI66=1,CJ66&lt;CK66),"MAX &lt; MB+LG; ","")&amp;IF(AND(CQ66&gt;0,CP66*10&gt;CQ66),"zu hoch für Tablar; ","")&amp;IF(AND(BW66=0,OR(CI66=1,AB66&lt;&gt;"",U66&lt;&gt;"",V66&lt;&gt;"",AC66&lt;&gt;"")),"manuell übersteuert; ","")&amp;IF(AND(CA66=0,R66=0),"Gebinde unbekannt / Stellmass fehlt; ","")&amp;IF(AND(CA66=0,N(V66)&lt;=0,N(Q66)&lt;=0),"Menge pro Gebinde fehlt (Ist = 1 Gebinde); ","")&amp;BV66)</f>
        <v>Kein Verbrauch; Überbestand 1 Stk / CHF 1947; </v>
      </c>
      <c r="BO66" s="60"/>
      <c r="BP66" s="60"/>
      <c r="BQ66" s="67"/>
      <c r="BR66" s="62" t="n">
        <v>2</v>
      </c>
      <c r="BS66" s="62" t="n">
        <v>0</v>
      </c>
      <c r="BT66" s="61" t="n">
        <v>3894</v>
      </c>
      <c r="BU66" s="62" t="n">
        <v>0</v>
      </c>
      <c r="BV66" s="60"/>
      <c r="BW66" s="65" t="n">
        <v>0</v>
      </c>
      <c r="BX66" s="65" t="n">
        <v>66</v>
      </c>
      <c r="BY66" s="60" t="str">
        <f aca="false">IF(U66&lt;&gt;"",UPPER(TRIM(U66)),IF(CB66=1,UPPER(VLOOKUP(T66,Parameter!$I$27:$K$29,2,0)),IF(P66="","LOSE",P66)))</f>
        <v>S51</v>
      </c>
      <c r="BZ66" s="62" t="n">
        <f aca="false">IF(BY66="LOSE",1,IF(N(V66)&gt;0,V66,IF(CB66=1,MAX(1,N(VLOOKUP(T66,Parameter!$I$27:$K$29,3,0)),H66,N(N66)),IF(N(Q66)&gt;0,Q66,MAX(1,H66)))))</f>
        <v>2</v>
      </c>
      <c r="CA66" s="65" t="n">
        <f aca="false">IF(BY66="LOSE",1,0)</f>
        <v>0</v>
      </c>
      <c r="CB66" s="65" t="n">
        <f aca="false">IF(AND(U66="",OR(P66="",P66="LOSE"),T66&lt;&gt;"",N(S66)&lt;=0,ISNUMBER(MATCH(T66,Parameter!$I$27:$I$29,0))),1,0)</f>
        <v>0</v>
      </c>
      <c r="CC66" s="65" t="n">
        <f aca="false">IF(CR66&gt;0,INDEX(Parameter!$H$5:$H$7,W66)/INDEX(Parameter!$E$5:$E$7,W66),IF(AND(CA66=0,N(IFERROR(VLOOKUP(BY66,'Gebinde-Kategorie'!$A$5:$N$45,14,0),0))&gt;0),VLOOKUP(BY66,'Gebinde-Kategorie'!$A$5:$N$45,14,0)*10+Parameter!$M$23,Parameter!$M$24))</f>
        <v>155</v>
      </c>
      <c r="CD66" s="60" t="str">
        <f aca="false">IF(AND(Parameter!$B$19="Ja",E66&lt;&gt;"",ISNUMBER(MATCH(E66,Parameter!$I$35:$I$52,0))),VLOOKUP(E66,Parameter!$I$35:$J$52,2,0),IFERROR(VLOOKUP(D66,Parameter!$A$35:$C$64,2,0),"Nein"))</f>
        <v>2+3</v>
      </c>
      <c r="CE66" s="64" t="n">
        <f aca="false">IF(CA66=0,0,IF(N(S66)&gt;0,S66,IFERROR(VLOOKUP(D66,Parameter!$A$35:$C$64,3,0)+0,0)))</f>
        <v>0</v>
      </c>
      <c r="CF66" s="60" t="n">
        <f aca="false">IF(AB66&lt;&gt;"",AB66,AA66)</f>
        <v>3</v>
      </c>
      <c r="CG66" s="60" t="str">
        <f aca="false">IF(OR(CF66=1,CF66=2,CF66=3),IF(Parameter!$E$27="Ja","LIFT",IF(CF66=1,"L1","L23")),IF(CF66="Aussen","Aussen","-"))</f>
        <v>LIFT</v>
      </c>
      <c r="CH66" s="71" t="n">
        <f aca="false">IF(N(AC66)&gt;0,AC66,0)</f>
        <v>0</v>
      </c>
      <c r="CI66" s="65" t="n">
        <f aca="false">IF(ISNUMBER(AF66),1,0)</f>
        <v>0</v>
      </c>
      <c r="CJ66" s="62" t="n">
        <f aca="false">N(AF66)</f>
        <v>0</v>
      </c>
      <c r="CK66" s="62" t="n">
        <f aca="false">N(M66)+N(N66)</f>
        <v>1</v>
      </c>
      <c r="CL66" s="62" t="n">
        <f aca="false">N(M66)</f>
        <v>0</v>
      </c>
      <c r="CM66" s="62" t="n">
        <f aca="false">N(N66)</f>
        <v>1</v>
      </c>
      <c r="CN66" s="62" t="n">
        <f aca="false">ROUNDUP(H66/BZ66,0)</f>
        <v>1</v>
      </c>
      <c r="CO66" s="62" t="n">
        <f aca="false">ROUNDUP(CJ66/BZ66,0)</f>
        <v>0</v>
      </c>
      <c r="CP66" s="65" t="n">
        <f aca="false">IF(CA66=1,0,IFERROR(VLOOKUP(BY66,'Gebinde-Kategorie'!$A$5:$N$45,5,0)+0,0))</f>
        <v>11</v>
      </c>
      <c r="CQ66" s="65" t="n">
        <f aca="false">IFERROR(IF(OR(CF66=1,CF66=2,CF66=3),N(INDEX(Parameter!$I$5:$I$7,CF66)),0),0)</f>
        <v>0</v>
      </c>
      <c r="CR66" s="64" t="n">
        <f aca="false">IF(AND(Parameter!$B$21="Ja",ISNUMBER(W66),N(X66)&gt;0),IFERROR(N(INDEX(Parameter!$L$5:$L$7,W66))*INDEX(Parameter!$E$5:$E$7,W66)*X66/SUMIFS($X$7:$X$1843,$W$7:$W$1843,W66),0),0)</f>
        <v>0</v>
      </c>
      <c r="CS66" s="62" t="n">
        <f aca="false">IF(AND(OR(CG66="L1",CG66="L23",CG66="LIFT"),H66&gt;0),CC66*IF(CR66&gt;0,CR66*MAX(1,H66/X66),IF(CA66=1,CE66,IF(R66&gt;0,CN66/R66,0))/MAX(0.1,N(Parameter!$M$21))),"")</f>
        <v>5.96153846153846</v>
      </c>
      <c r="CT66" s="64" t="n">
        <f aca="false">IF(CS66="","",J66/H66)</f>
        <v>0</v>
      </c>
      <c r="CU66" s="62" t="n">
        <f aca="false">IF(CS66="","",H66*G66)</f>
        <v>3894</v>
      </c>
      <c r="CV66" s="63" t="n">
        <f aca="false">IF(CS66="","",(CL66+ROUNDUP(CL66+MAX(CM66,2*(J66/MAX(0.1,N(Einkauf!$C$6))-CL66)),0))/2)</f>
        <v>0.5</v>
      </c>
      <c r="CW66" s="62" t="n">
        <f aca="false">IF(CS66="","",MAX(0,H66-CV66)*G66)</f>
        <v>2920.5</v>
      </c>
      <c r="CX66" s="62" t="n">
        <f aca="false">IF(CS66="","",CS66*MAX(0,1-CV66/H66))</f>
        <v>4.47115384615385</v>
      </c>
      <c r="CY66" s="64" t="n">
        <f aca="false">IF(CS66="","",PERCENTRANK($CS$7:$CS$1843,CS66)+PERCENTRANK($CU$7:$CU$1843,CU66)+1-PERCENTRANK($CT$7:$CT$1843,CT66))</f>
        <v>2.234</v>
      </c>
      <c r="CZ66" s="72" t="n">
        <f aca="false">IF(CS66="","",CHOOSE(MATCH(Einkauf!$C$5,Parameter!$G$23:$G$27,0),CY66,CS66,CU66,-CT66,CW66)+ROW()/1000000000)</f>
        <v>2.234000066</v>
      </c>
    </row>
    <row r="67" customFormat="false" ht="15" hidden="false" customHeight="false" outlineLevel="0" collapsed="false">
      <c r="A67" s="60" t="s">
        <v>377</v>
      </c>
      <c r="B67" s="60" t="s">
        <v>378</v>
      </c>
      <c r="C67" s="60" t="s">
        <v>206</v>
      </c>
      <c r="D67" s="60" t="s">
        <v>226</v>
      </c>
      <c r="E67" s="60"/>
      <c r="F67" s="60" t="s">
        <v>260</v>
      </c>
      <c r="G67" s="61" t="n">
        <v>477</v>
      </c>
      <c r="H67" s="62" t="n">
        <f aca="false">MAX(0,IF(AND(Parameter!$B$21="Ja",ISNUMBER(Y67)),Y67,IF(Parameter!$B$20="Jahresanfang 2025 + Export",BS67+BR67,BR67)))</f>
        <v>8</v>
      </c>
      <c r="I67" s="62" t="n">
        <f aca="false">H67*G67</f>
        <v>3816</v>
      </c>
      <c r="J67" s="62" t="n">
        <f aca="false">BU67*Parameter!$B$18</f>
        <v>0</v>
      </c>
      <c r="K67" s="63" t="n">
        <v>0</v>
      </c>
      <c r="L67" s="64" t="n">
        <v>0</v>
      </c>
      <c r="M67" s="62" t="n">
        <v>0</v>
      </c>
      <c r="N67" s="62" t="n">
        <v>5</v>
      </c>
      <c r="O67" s="65" t="n">
        <v>9999</v>
      </c>
      <c r="P67" s="60" t="s">
        <v>210</v>
      </c>
      <c r="Q67" s="62"/>
      <c r="R67" s="65" t="n">
        <f aca="false">IF(CA67=1,0,IFERROR(VLOOKUP(BY67,'Gebinde-Kategorie'!$A$5:$N$45,13,0)+0,0))</f>
        <v>12</v>
      </c>
      <c r="S67" s="66"/>
      <c r="T67" s="67" t="s">
        <v>221</v>
      </c>
      <c r="U67" s="67"/>
      <c r="V67" s="67"/>
      <c r="W67" s="60"/>
      <c r="X67" s="62"/>
      <c r="Y67" s="62"/>
      <c r="Z67" s="60" t="n">
        <v>3</v>
      </c>
      <c r="AA67" s="60" t="n">
        <f aca="false">IF(A67="","",IF(AND(Parameter!$B$21="Ja",ISNUMBER(W67)),W67,IF(AND(Parameter!$E$27="Ja",ISNUMBER(Z67),CD67&lt;&gt;"Nein"),Z67,IF(CD67="2+3",IF(ISNUMBER(SEARCH("grosser Artikel",BV67)),2,IFERROR(VLOOKUP(BY67,Parameter!$F$35:$G$64,2,0),2)),IF(OR(CD67="Nein",CD67=""),"-",CD67)))))</f>
        <v>3</v>
      </c>
      <c r="AB67" s="67"/>
      <c r="AC67" s="68"/>
      <c r="AD67" s="62" t="n">
        <f aca="false">AW67</f>
        <v>5</v>
      </c>
      <c r="AE67" s="62" t="n">
        <f aca="false">MAX(AW67,H67)</f>
        <v>8</v>
      </c>
      <c r="AF67" s="69"/>
      <c r="AG67" s="62" t="n">
        <f aca="false">IF(LEFT(Cockpit!$C$5,1)="A",H67,IF(Parameter!$E$30="MAX-Bestand",IF(CI67=1,CJ67,IF(LEFT(Cockpit!$C$5,1)="B",AM67,MAX(AM67,H67))),ROUNDUP(AK67,0)))</f>
        <v>8</v>
      </c>
      <c r="AH67" s="62" t="n">
        <f aca="false">IF(CA67=1,0,ROUNDUP(AG67/BZ67,0))</f>
        <v>1</v>
      </c>
      <c r="AI67" s="64" t="n">
        <f aca="false">IF(CR67&gt;0,CR67*MAX(1,AG67/X67),IF(CA67=1,IF(AG67&lt;=0,0,CE67*MAX(1,IF(H67&gt;0,AG67/H67,1))),IF(R67&gt;0,AH67/R67,0))/MAX(0.1,N(Parameter!$M$21)))</f>
        <v>0.0833333333333333</v>
      </c>
      <c r="AJ67" s="62" t="n">
        <f aca="false">AI67*CC67</f>
        <v>12.0833333333333</v>
      </c>
      <c r="AK67" s="63" t="n">
        <f aca="false">IF(LEFT(Cockpit!$C$5,1)="A",H67,IF(CI67=1,(CL67+CJ67)/2,IF(LEFT(Cockpit!$C$5,1)="B",(CL67+AM67)/2,MAX((CL67+AM67)/2,H67))))</f>
        <v>8</v>
      </c>
      <c r="AL67" s="62" t="n">
        <f aca="false">AK67*G67</f>
        <v>3816</v>
      </c>
      <c r="AM67" s="62" t="n">
        <f aca="false">ROUNDUP(CL67+MAX(CM67,2*(J67/IF(CH67&gt;0,CH67,MAX(0.1,N(Cockpit!$C$6)))-CL67)),0)</f>
        <v>5</v>
      </c>
      <c r="AN67" s="63" t="n">
        <f aca="false">IF(AJ67&gt;0,J67/AJ67,-1)</f>
        <v>0</v>
      </c>
      <c r="AO67" s="63" t="n">
        <f aca="false">IF(AND(OR(CG67="L1",CG67="L23",CG67="LIFT"),AJ67&gt;0),SUMIFS($AJ$7:$AJ$1843,$CG$7:$CG$1843,CG67,$AN$7:$AN$1843,"&gt;"&amp;AN67)+SUMIFS($AJ$7:$AJ$1843,$CG$7:$CG$1843,CG67,$AN$7:$AN$1843,AN67,$BX$7:$BX$1843,"&lt;="&amp;BX67),"")</f>
        <v>26488.9534596759</v>
      </c>
      <c r="AP67" s="70" t="n">
        <f aca="false">IF(AO67="",0,MAX(0,MIN(1,(IF(CG67="L1",Parameter!$H$5,IF(CG67="L23",Parameter!$H$6+Parameter!$H$7,Parameter!$H$5+Parameter!$H$6+Parameter!$H$7))-(AO67-AJ67))/AJ67)))</f>
        <v>1</v>
      </c>
      <c r="AQ67" s="62" t="n">
        <f aca="false">IF(LEFT(Cockpit!$I$5,1)="A",H67,IF(Parameter!$E$30="MAX-Bestand",IF(CI67=1,CJ67,IF(LEFT(Cockpit!$I$5,1)="B",AW67,MAX(AW67,H67))),ROUNDUP(AU67,0)))</f>
        <v>8</v>
      </c>
      <c r="AR67" s="62" t="n">
        <f aca="false">IF(CA67=1,0,ROUNDUP(AQ67/BZ67,0))</f>
        <v>1</v>
      </c>
      <c r="AS67" s="64" t="n">
        <f aca="false">IF(CR67&gt;0,CR67*MAX(1,AQ67/X67),IF(CA67=1,IF(AQ67&lt;=0,0,CE67*MAX(1,IF(H67&gt;0,AQ67/H67,1))),IF(R67&gt;0,AR67/R67,0))/MAX(0.1,N(Parameter!$M$21)))</f>
        <v>0.0833333333333333</v>
      </c>
      <c r="AT67" s="62" t="n">
        <f aca="false">AS67*CC67</f>
        <v>12.0833333333333</v>
      </c>
      <c r="AU67" s="63" t="n">
        <f aca="false">IF(LEFT(Cockpit!$I$5,1)="A",H67,IF(CI67=1,(CL67+CJ67)/2,IF(LEFT(Cockpit!$I$5,1)="B",(CL67+AW67)/2,MAX((CL67+AW67)/2,H67))))</f>
        <v>8</v>
      </c>
      <c r="AV67" s="62" t="n">
        <f aca="false">AU67*G67</f>
        <v>3816</v>
      </c>
      <c r="AW67" s="62" t="n">
        <f aca="false">ROUNDUP(CL67+MAX(CM67,2*(J67/IF(CH67&gt;0,CH67,MAX(0.1,N(Cockpit!$I$6)))-CL67)),0)</f>
        <v>5</v>
      </c>
      <c r="AX67" s="63" t="n">
        <f aca="false">IF(AT67&gt;0,J67/AT67,-1)</f>
        <v>0</v>
      </c>
      <c r="AY67" s="63" t="n">
        <f aca="false">IF(AND(OR(CG67="L1",CG67="L23",CG67="LIFT"),AT67&gt;0),SUMIFS($AT$7:$AT$1843,$CG$7:$CG$1843,CG67,$AX$7:$AX$1843,"&gt;"&amp;AX67)+SUMIFS($AT$7:$AT$1843,$CG$7:$CG$1843,CG67,$AX$7:$AX$1843,AX67,$BX$7:$BX$1843,"&lt;="&amp;BX67),"")</f>
        <v>31842.1021010534</v>
      </c>
      <c r="AZ67" s="70" t="n">
        <f aca="false">IF(AY67="",0,MAX(0,MIN(1,(IF(CG67="L1",Parameter!$H$5,IF(CG67="L23",Parameter!$H$6+Parameter!$H$7,Parameter!$H$5+Parameter!$H$6+Parameter!$H$7))-(AY67-AT67))/AT67)))</f>
        <v>1</v>
      </c>
      <c r="BA67" s="62" t="n">
        <f aca="false">IF(LEFT(Cockpit!$O$5,1)="A",H67,IF(Parameter!$E$30="MAX-Bestand",IF(CI67=1,CJ67,IF(LEFT(Cockpit!$O$5,1)="B",BG67,MAX(BG67,H67))),ROUNDUP(BE67,0)))</f>
        <v>3</v>
      </c>
      <c r="BB67" s="62" t="n">
        <f aca="false">IF(CA67=1,0,ROUNDUP(BA67/BZ67,0))</f>
        <v>1</v>
      </c>
      <c r="BC67" s="64" t="n">
        <f aca="false">IF(CR67&gt;0,CR67*MAX(1,BA67/X67),IF(CA67=1,IF(BA67&lt;=0,0,CE67*MAX(1,IF(H67&gt;0,BA67/H67,1))),IF(R67&gt;0,BB67/R67,0))/MAX(0.1,N(Parameter!$M$21)))</f>
        <v>0.0833333333333333</v>
      </c>
      <c r="BD67" s="62" t="n">
        <f aca="false">BC67*CC67</f>
        <v>12.0833333333333</v>
      </c>
      <c r="BE67" s="63" t="n">
        <f aca="false">IF(LEFT(Cockpit!$O$5,1)="A",H67,IF(CI67=1,(CL67+CJ67)/2,IF(LEFT(Cockpit!$O$5,1)="B",(CL67+BG67)/2,MAX((CL67+BG67)/2,H67))))</f>
        <v>2.5</v>
      </c>
      <c r="BF67" s="62" t="n">
        <f aca="false">BE67*G67</f>
        <v>1192.5</v>
      </c>
      <c r="BG67" s="62" t="n">
        <f aca="false">ROUNDUP(CL67+MAX(CM67,2*(J67/IF(CH67&gt;0,CH67,MAX(0.1,N(Cockpit!$O$6)))-CL67)),0)</f>
        <v>5</v>
      </c>
      <c r="BH67" s="63" t="n">
        <f aca="false">IF(BD67&gt;0,J67/BD67,-1)</f>
        <v>0</v>
      </c>
      <c r="BI67" s="63" t="n">
        <f aca="false">IF(AND(OR(CG67="L1",CG67="L23",CG67="LIFT"),BD67&gt;0),SUMIFS($BD$7:$BD$1843,$CG$7:$CG$1843,CG67,$BH$7:$BH$1843,"&gt;"&amp;BH67)+SUMIFS($BD$7:$BD$1843,$CG$7:$CG$1843,CG67,$BH$7:$BH$1843,BH67,$BX$7:$BX$1843,"&lt;="&amp;BX67),"")</f>
        <v>26038.6839443513</v>
      </c>
      <c r="BJ67" s="70" t="n">
        <f aca="false">IF(BI67="",0,MAX(0,MIN(1,(IF(CG67="L1",Parameter!$H$5,IF(CG67="L23",Parameter!$H$6+Parameter!$H$7,Parameter!$H$5+Parameter!$H$6+Parameter!$H$7))-(BI67-BD67))/BD67)))</f>
        <v>1</v>
      </c>
      <c r="BK67" s="60" t="str">
        <f aca="false">IF(AJ67&lt;=0,"",IF(CG67="Aussen","Aussenlager",IF(CG67="-","Nicht im Lift",IF(AP67&gt;=1,"Lift",IF(AP67&lt;=0,"Aussenlager","teilweise")))))</f>
        <v>Lift</v>
      </c>
      <c r="BL67" s="60" t="str">
        <f aca="false">IF(AT67&lt;=0,"",IF(CG67="Aussen","Aussenlager",IF(CG67="-","Nicht im Lift",IF(AZ67&gt;=1,"Lift",IF(AZ67&lt;=0,"Aussenlager","teilweise")))))</f>
        <v>Lift</v>
      </c>
      <c r="BM67" s="60" t="str">
        <f aca="false">IF(BD67&lt;=0,"",IF(CG67="Aussen","Aussenlager",IF(CG67="-","Nicht im Lift",IF(BJ67&gt;=1,"Lift",IF(BJ67&lt;=0,"Aussenlager","teilweise")))))</f>
        <v>Lift</v>
      </c>
      <c r="BN67" s="60" t="str">
        <f aca="false">IF(A67="","",IF(BW67=1,"Neu; ","")&amp;IF(AND(BW67=0,BR67&lt;0),"negativer Bestand (Export "&amp;BR67&amp;"); ","")&amp;IF(J67&lt;=0,"Kein Verbrauch; ","")&amp;IF(CR67&gt;0,"Lift "&amp;W67&amp;" lt. Liftbericht (Fach "&amp;X67&amp;" Stk); ",IF(CB67=1,"Gebinde geschätzt ("&amp;T67&amp;"); ",IF(CA67=1,"Lose – Tablare geschätzt; ","")))&amp;IF(H67&gt;AW67,"Überbestand "&amp;ROUND(H67-AW67,0)&amp;" Stk / CHF "&amp;ROUND((H67-AW67)*G67,0)&amp;"; ","")&amp;IF(AND(CI67=1,CJ67&lt;CK67),"MAX &lt; MB+LG; ","")&amp;IF(AND(CQ67&gt;0,CP67*10&gt;CQ67),"zu hoch für Tablar; ","")&amp;IF(AND(BW67=0,OR(CI67=1,AB67&lt;&gt;"",U67&lt;&gt;"",V67&lt;&gt;"",AC67&lt;&gt;"")),"manuell übersteuert; ","")&amp;IF(AND(CA67=0,R67=0),"Gebinde unbekannt / Stellmass fehlt; ","")&amp;IF(AND(CA67=0,N(V67)&lt;=0,N(Q67)&lt;=0),"Menge pro Gebinde fehlt (Ist = 1 Gebinde); ","")&amp;BV67)</f>
        <v>Kein Verbrauch; Gebinde geschätzt (Mittel); Überbestand 3 Stk / CHF 1431; Menge pro Gebinde fehlt (Ist = 1 Gebinde); </v>
      </c>
      <c r="BO67" s="60"/>
      <c r="BP67" s="60"/>
      <c r="BQ67" s="67"/>
      <c r="BR67" s="62" t="n">
        <v>8</v>
      </c>
      <c r="BS67" s="62" t="n">
        <v>0</v>
      </c>
      <c r="BT67" s="61" t="n">
        <v>3816</v>
      </c>
      <c r="BU67" s="62" t="n">
        <v>0</v>
      </c>
      <c r="BV67" s="60"/>
      <c r="BW67" s="65" t="n">
        <v>0</v>
      </c>
      <c r="BX67" s="65" t="n">
        <v>67</v>
      </c>
      <c r="BY67" s="60" t="str">
        <f aca="false">IF(U67&lt;&gt;"",UPPER(TRIM(U67)),IF(CB67=1,UPPER(VLOOKUP(T67,Parameter!$I$27:$K$29,2,0)),IF(P67="","LOSE",P67)))</f>
        <v>S61</v>
      </c>
      <c r="BZ67" s="62" t="n">
        <f aca="false">IF(BY67="LOSE",1,IF(N(V67)&gt;0,V67,IF(CB67=1,MAX(1,N(VLOOKUP(T67,Parameter!$I$27:$K$29,3,0)),H67,N(N67)),IF(N(Q67)&gt;0,Q67,MAX(1,H67)))))</f>
        <v>8</v>
      </c>
      <c r="CA67" s="65" t="n">
        <f aca="false">IF(BY67="LOSE",1,0)</f>
        <v>0</v>
      </c>
      <c r="CB67" s="65" t="n">
        <f aca="false">IF(AND(U67="",OR(P67="",P67="LOSE"),T67&lt;&gt;"",N(S67)&lt;=0,ISNUMBER(MATCH(T67,Parameter!$I$27:$I$29,0))),1,0)</f>
        <v>1</v>
      </c>
      <c r="CC67" s="65" t="n">
        <f aca="false">IF(CR67&gt;0,INDEX(Parameter!$H$5:$H$7,W67)/INDEX(Parameter!$E$5:$E$7,W67),IF(AND(CA67=0,N(IFERROR(VLOOKUP(BY67,'Gebinde-Kategorie'!$A$5:$N$45,14,0),0))&gt;0),VLOOKUP(BY67,'Gebinde-Kategorie'!$A$5:$N$45,14,0)*10+Parameter!$M$23,Parameter!$M$24))</f>
        <v>145</v>
      </c>
      <c r="CD67" s="60" t="str">
        <f aca="false">IF(AND(Parameter!$B$19="Ja",E67&lt;&gt;"",ISNUMBER(MATCH(E67,Parameter!$I$35:$I$52,0))),VLOOKUP(E67,Parameter!$I$35:$J$52,2,0),IFERROR(VLOOKUP(D67,Parameter!$A$35:$C$64,2,0),"Nein"))</f>
        <v>2+3</v>
      </c>
      <c r="CE67" s="64" t="n">
        <f aca="false">IF(CA67=0,0,IF(N(S67)&gt;0,S67,IFERROR(VLOOKUP(D67,Parameter!$A$35:$C$64,3,0)+0,0)))</f>
        <v>0</v>
      </c>
      <c r="CF67" s="60" t="n">
        <f aca="false">IF(AB67&lt;&gt;"",AB67,AA67)</f>
        <v>3</v>
      </c>
      <c r="CG67" s="60" t="str">
        <f aca="false">IF(OR(CF67=1,CF67=2,CF67=3),IF(Parameter!$E$27="Ja","LIFT",IF(CF67=1,"L1","L23")),IF(CF67="Aussen","Aussen","-"))</f>
        <v>LIFT</v>
      </c>
      <c r="CH67" s="71" t="n">
        <f aca="false">IF(N(AC67)&gt;0,AC67,0)</f>
        <v>0</v>
      </c>
      <c r="CI67" s="65" t="n">
        <f aca="false">IF(ISNUMBER(AF67),1,0)</f>
        <v>0</v>
      </c>
      <c r="CJ67" s="62" t="n">
        <f aca="false">N(AF67)</f>
        <v>0</v>
      </c>
      <c r="CK67" s="62" t="n">
        <f aca="false">N(M67)+N(N67)</f>
        <v>5</v>
      </c>
      <c r="CL67" s="62" t="n">
        <f aca="false">N(M67)</f>
        <v>0</v>
      </c>
      <c r="CM67" s="62" t="n">
        <f aca="false">N(N67)</f>
        <v>5</v>
      </c>
      <c r="CN67" s="62" t="n">
        <f aca="false">ROUNDUP(H67/BZ67,0)</f>
        <v>1</v>
      </c>
      <c r="CO67" s="62" t="n">
        <f aca="false">ROUNDUP(CJ67/BZ67,0)</f>
        <v>0</v>
      </c>
      <c r="CP67" s="65" t="n">
        <f aca="false">IF(CA67=1,0,IFERROR(VLOOKUP(BY67,'Gebinde-Kategorie'!$A$5:$N$45,5,0)+0,0))</f>
        <v>11</v>
      </c>
      <c r="CQ67" s="65" t="n">
        <f aca="false">IFERROR(IF(OR(CF67=1,CF67=2,CF67=3),N(INDEX(Parameter!$I$5:$I$7,CF67)),0),0)</f>
        <v>0</v>
      </c>
      <c r="CR67" s="64" t="n">
        <f aca="false">IF(AND(Parameter!$B$21="Ja",ISNUMBER(W67),N(X67)&gt;0),IFERROR(N(INDEX(Parameter!$L$5:$L$7,W67))*INDEX(Parameter!$E$5:$E$7,W67)*X67/SUMIFS($X$7:$X$1843,$W$7:$W$1843,W67),0),0)</f>
        <v>0</v>
      </c>
      <c r="CS67" s="62" t="n">
        <f aca="false">IF(AND(OR(CG67="L1",CG67="L23",CG67="LIFT"),H67&gt;0),CC67*IF(CR67&gt;0,CR67*MAX(1,H67/X67),IF(CA67=1,CE67,IF(R67&gt;0,CN67/R67,0))/MAX(0.1,N(Parameter!$M$21))),"")</f>
        <v>12.0833333333333</v>
      </c>
      <c r="CT67" s="64" t="n">
        <f aca="false">IF(CS67="","",J67/H67)</f>
        <v>0</v>
      </c>
      <c r="CU67" s="62" t="n">
        <f aca="false">IF(CS67="","",H67*G67)</f>
        <v>3816</v>
      </c>
      <c r="CV67" s="63" t="n">
        <f aca="false">IF(CS67="","",(CL67+ROUNDUP(CL67+MAX(CM67,2*(J67/MAX(0.1,N(Einkauf!$C$6))-CL67)),0))/2)</f>
        <v>2.5</v>
      </c>
      <c r="CW67" s="62" t="n">
        <f aca="false">IF(CS67="","",MAX(0,H67-CV67)*G67)</f>
        <v>2623.5</v>
      </c>
      <c r="CX67" s="62" t="n">
        <f aca="false">IF(CS67="","",CS67*MAX(0,1-CV67/H67))</f>
        <v>8.30729166666667</v>
      </c>
      <c r="CY67" s="64" t="n">
        <f aca="false">IF(CS67="","",PERCENTRANK($CS$7:$CS$1843,CS67)+PERCENTRANK($CU$7:$CU$1843,CU67)+1-PERCENTRANK($CT$7:$CT$1843,CT67))</f>
        <v>2.533</v>
      </c>
      <c r="CZ67" s="72" t="n">
        <f aca="false">IF(CS67="","",CHOOSE(MATCH(Einkauf!$C$5,Parameter!$G$23:$G$27,0),CY67,CS67,CU67,-CT67,CW67)+ROW()/1000000000)</f>
        <v>2.533000067</v>
      </c>
    </row>
    <row r="68" customFormat="false" ht="15" hidden="false" customHeight="false" outlineLevel="0" collapsed="false">
      <c r="A68" s="60" t="s">
        <v>379</v>
      </c>
      <c r="B68" s="60" t="s">
        <v>373</v>
      </c>
      <c r="C68" s="60" t="s">
        <v>206</v>
      </c>
      <c r="D68" s="60" t="s">
        <v>215</v>
      </c>
      <c r="E68" s="60"/>
      <c r="F68" s="60" t="s">
        <v>260</v>
      </c>
      <c r="G68" s="61" t="n">
        <v>758.09</v>
      </c>
      <c r="H68" s="62" t="n">
        <f aca="false">MAX(0,IF(AND(Parameter!$B$21="Ja",ISNUMBER(Y68)),Y68,IF(Parameter!$B$20="Jahresanfang 2025 + Export",BS68+BR68,BR68)))</f>
        <v>5</v>
      </c>
      <c r="I68" s="62" t="n">
        <f aca="false">H68*G68</f>
        <v>3790.45</v>
      </c>
      <c r="J68" s="62" t="n">
        <f aca="false">BU68*Parameter!$B$18</f>
        <v>0</v>
      </c>
      <c r="K68" s="63" t="n">
        <v>0</v>
      </c>
      <c r="L68" s="64" t="n">
        <v>0</v>
      </c>
      <c r="M68" s="62" t="n">
        <v>0</v>
      </c>
      <c r="N68" s="62" t="n">
        <v>5</v>
      </c>
      <c r="O68" s="65" t="n">
        <v>9999</v>
      </c>
      <c r="P68" s="60" t="s">
        <v>210</v>
      </c>
      <c r="Q68" s="62"/>
      <c r="R68" s="65" t="n">
        <f aca="false">IF(CA68=1,0,IFERROR(VLOOKUP(BY68,'Gebinde-Kategorie'!$A$5:$N$45,13,0)+0,0))</f>
        <v>12</v>
      </c>
      <c r="S68" s="66"/>
      <c r="T68" s="67" t="s">
        <v>221</v>
      </c>
      <c r="U68" s="67"/>
      <c r="V68" s="67"/>
      <c r="W68" s="60"/>
      <c r="X68" s="62"/>
      <c r="Y68" s="62"/>
      <c r="Z68" s="60" t="n">
        <v>3</v>
      </c>
      <c r="AA68" s="60" t="n">
        <f aca="false">IF(A68="","",IF(AND(Parameter!$B$21="Ja",ISNUMBER(W68)),W68,IF(AND(Parameter!$E$27="Ja",ISNUMBER(Z68),CD68&lt;&gt;"Nein"),Z68,IF(CD68="2+3",IF(ISNUMBER(SEARCH("grosser Artikel",BV68)),2,IFERROR(VLOOKUP(BY68,Parameter!$F$35:$G$64,2,0),2)),IF(OR(CD68="Nein",CD68=""),"-",CD68)))))</f>
        <v>3</v>
      </c>
      <c r="AB68" s="67"/>
      <c r="AC68" s="68"/>
      <c r="AD68" s="62" t="n">
        <f aca="false">AW68</f>
        <v>5</v>
      </c>
      <c r="AE68" s="62" t="n">
        <f aca="false">MAX(AW68,H68)</f>
        <v>5</v>
      </c>
      <c r="AF68" s="69"/>
      <c r="AG68" s="62" t="n">
        <f aca="false">IF(LEFT(Cockpit!$C$5,1)="A",H68,IF(Parameter!$E$30="MAX-Bestand",IF(CI68=1,CJ68,IF(LEFT(Cockpit!$C$5,1)="B",AM68,MAX(AM68,H68))),ROUNDUP(AK68,0)))</f>
        <v>5</v>
      </c>
      <c r="AH68" s="62" t="n">
        <f aca="false">IF(CA68=1,0,ROUNDUP(AG68/BZ68,0))</f>
        <v>1</v>
      </c>
      <c r="AI68" s="64" t="n">
        <f aca="false">IF(CR68&gt;0,CR68*MAX(1,AG68/X68),IF(CA68=1,IF(AG68&lt;=0,0,CE68*MAX(1,IF(H68&gt;0,AG68/H68,1))),IF(R68&gt;0,AH68/R68,0))/MAX(0.1,N(Parameter!$M$21)))</f>
        <v>0.0833333333333333</v>
      </c>
      <c r="AJ68" s="62" t="n">
        <f aca="false">AI68*CC68</f>
        <v>12.0833333333333</v>
      </c>
      <c r="AK68" s="63" t="n">
        <f aca="false">IF(LEFT(Cockpit!$C$5,1)="A",H68,IF(CI68=1,(CL68+CJ68)/2,IF(LEFT(Cockpit!$C$5,1)="B",(CL68+AM68)/2,MAX((CL68+AM68)/2,H68))))</f>
        <v>5</v>
      </c>
      <c r="AL68" s="62" t="n">
        <f aca="false">AK68*G68</f>
        <v>3790.45</v>
      </c>
      <c r="AM68" s="62" t="n">
        <f aca="false">ROUNDUP(CL68+MAX(CM68,2*(J68/IF(CH68&gt;0,CH68,MAX(0.1,N(Cockpit!$C$6)))-CL68)),0)</f>
        <v>5</v>
      </c>
      <c r="AN68" s="63" t="n">
        <f aca="false">IF(AJ68&gt;0,J68/AJ68,-1)</f>
        <v>0</v>
      </c>
      <c r="AO68" s="63" t="n">
        <f aca="false">IF(AND(OR(CG68="L1",CG68="L23",CG68="LIFT"),AJ68&gt;0),SUMIFS($AJ$7:$AJ$1843,$CG$7:$CG$1843,CG68,$AN$7:$AN$1843,"&gt;"&amp;AN68)+SUMIFS($AJ$7:$AJ$1843,$CG$7:$CG$1843,CG68,$AN$7:$AN$1843,AN68,$BX$7:$BX$1843,"&lt;="&amp;BX68),"")</f>
        <v>26501.0367930093</v>
      </c>
      <c r="AP68" s="70" t="n">
        <f aca="false">IF(AO68="",0,MAX(0,MIN(1,(IF(CG68="L1",Parameter!$H$5,IF(CG68="L23",Parameter!$H$6+Parameter!$H$7,Parameter!$H$5+Parameter!$H$6+Parameter!$H$7))-(AO68-AJ68))/AJ68)))</f>
        <v>1</v>
      </c>
      <c r="AQ68" s="62" t="n">
        <f aca="false">IF(LEFT(Cockpit!$I$5,1)="A",H68,IF(Parameter!$E$30="MAX-Bestand",IF(CI68=1,CJ68,IF(LEFT(Cockpit!$I$5,1)="B",AW68,MAX(AW68,H68))),ROUNDUP(AU68,0)))</f>
        <v>5</v>
      </c>
      <c r="AR68" s="62" t="n">
        <f aca="false">IF(CA68=1,0,ROUNDUP(AQ68/BZ68,0))</f>
        <v>1</v>
      </c>
      <c r="AS68" s="64" t="n">
        <f aca="false">IF(CR68&gt;0,CR68*MAX(1,AQ68/X68),IF(CA68=1,IF(AQ68&lt;=0,0,CE68*MAX(1,IF(H68&gt;0,AQ68/H68,1))),IF(R68&gt;0,AR68/R68,0))/MAX(0.1,N(Parameter!$M$21)))</f>
        <v>0.0833333333333333</v>
      </c>
      <c r="AT68" s="62" t="n">
        <f aca="false">AS68*CC68</f>
        <v>12.0833333333333</v>
      </c>
      <c r="AU68" s="63" t="n">
        <f aca="false">IF(LEFT(Cockpit!$I$5,1)="A",H68,IF(CI68=1,(CL68+CJ68)/2,IF(LEFT(Cockpit!$I$5,1)="B",(CL68+AW68)/2,MAX((CL68+AW68)/2,H68))))</f>
        <v>5</v>
      </c>
      <c r="AV68" s="62" t="n">
        <f aca="false">AU68*G68</f>
        <v>3790.45</v>
      </c>
      <c r="AW68" s="62" t="n">
        <f aca="false">ROUNDUP(CL68+MAX(CM68,2*(J68/IF(CH68&gt;0,CH68,MAX(0.1,N(Cockpit!$I$6)))-CL68)),0)</f>
        <v>5</v>
      </c>
      <c r="AX68" s="63" t="n">
        <f aca="false">IF(AT68&gt;0,J68/AT68,-1)</f>
        <v>0</v>
      </c>
      <c r="AY68" s="63" t="n">
        <f aca="false">IF(AND(OR(CG68="L1",CG68="L23",CG68="LIFT"),AT68&gt;0),SUMIFS($AT$7:$AT$1843,$CG$7:$CG$1843,CG68,$AX$7:$AX$1843,"&gt;"&amp;AX68)+SUMIFS($AT$7:$AT$1843,$CG$7:$CG$1843,CG68,$AX$7:$AX$1843,AX68,$BX$7:$BX$1843,"&lt;="&amp;BX68),"")</f>
        <v>31854.1854343867</v>
      </c>
      <c r="AZ68" s="70" t="n">
        <f aca="false">IF(AY68="",0,MAX(0,MIN(1,(IF(CG68="L1",Parameter!$H$5,IF(CG68="L23",Parameter!$H$6+Parameter!$H$7,Parameter!$H$5+Parameter!$H$6+Parameter!$H$7))-(AY68-AT68))/AT68)))</f>
        <v>1</v>
      </c>
      <c r="BA68" s="62" t="n">
        <f aca="false">IF(LEFT(Cockpit!$O$5,1)="A",H68,IF(Parameter!$E$30="MAX-Bestand",IF(CI68=1,CJ68,IF(LEFT(Cockpit!$O$5,1)="B",BG68,MAX(BG68,H68))),ROUNDUP(BE68,0)))</f>
        <v>3</v>
      </c>
      <c r="BB68" s="62" t="n">
        <f aca="false">IF(CA68=1,0,ROUNDUP(BA68/BZ68,0))</f>
        <v>1</v>
      </c>
      <c r="BC68" s="64" t="n">
        <f aca="false">IF(CR68&gt;0,CR68*MAX(1,BA68/X68),IF(CA68=1,IF(BA68&lt;=0,0,CE68*MAX(1,IF(H68&gt;0,BA68/H68,1))),IF(R68&gt;0,BB68/R68,0))/MAX(0.1,N(Parameter!$M$21)))</f>
        <v>0.0833333333333333</v>
      </c>
      <c r="BD68" s="62" t="n">
        <f aca="false">BC68*CC68</f>
        <v>12.0833333333333</v>
      </c>
      <c r="BE68" s="63" t="n">
        <f aca="false">IF(LEFT(Cockpit!$O$5,1)="A",H68,IF(CI68=1,(CL68+CJ68)/2,IF(LEFT(Cockpit!$O$5,1)="B",(CL68+BG68)/2,MAX((CL68+BG68)/2,H68))))</f>
        <v>2.5</v>
      </c>
      <c r="BF68" s="62" t="n">
        <f aca="false">BE68*G68</f>
        <v>1895.225</v>
      </c>
      <c r="BG68" s="62" t="n">
        <f aca="false">ROUNDUP(CL68+MAX(CM68,2*(J68/IF(CH68&gt;0,CH68,MAX(0.1,N(Cockpit!$O$6)))-CL68)),0)</f>
        <v>5</v>
      </c>
      <c r="BH68" s="63" t="n">
        <f aca="false">IF(BD68&gt;0,J68/BD68,-1)</f>
        <v>0</v>
      </c>
      <c r="BI68" s="63" t="n">
        <f aca="false">IF(AND(OR(CG68="L1",CG68="L23",CG68="LIFT"),BD68&gt;0),SUMIFS($BD$7:$BD$1843,$CG$7:$CG$1843,CG68,$BH$7:$BH$1843,"&gt;"&amp;BH68)+SUMIFS($BD$7:$BD$1843,$CG$7:$CG$1843,CG68,$BH$7:$BH$1843,BH68,$BX$7:$BX$1843,"&lt;="&amp;BX68),"")</f>
        <v>26050.7672776847</v>
      </c>
      <c r="BJ68" s="70" t="n">
        <f aca="false">IF(BI68="",0,MAX(0,MIN(1,(IF(CG68="L1",Parameter!$H$5,IF(CG68="L23",Parameter!$H$6+Parameter!$H$7,Parameter!$H$5+Parameter!$H$6+Parameter!$H$7))-(BI68-BD68))/BD68)))</f>
        <v>1</v>
      </c>
      <c r="BK68" s="60" t="str">
        <f aca="false">IF(AJ68&lt;=0,"",IF(CG68="Aussen","Aussenlager",IF(CG68="-","Nicht im Lift",IF(AP68&gt;=1,"Lift",IF(AP68&lt;=0,"Aussenlager","teilweise")))))</f>
        <v>Lift</v>
      </c>
      <c r="BL68" s="60" t="str">
        <f aca="false">IF(AT68&lt;=0,"",IF(CG68="Aussen","Aussenlager",IF(CG68="-","Nicht im Lift",IF(AZ68&gt;=1,"Lift",IF(AZ68&lt;=0,"Aussenlager","teilweise")))))</f>
        <v>Lift</v>
      </c>
      <c r="BM68" s="60" t="str">
        <f aca="false">IF(BD68&lt;=0,"",IF(CG68="Aussen","Aussenlager",IF(CG68="-","Nicht im Lift",IF(BJ68&gt;=1,"Lift",IF(BJ68&lt;=0,"Aussenlager","teilweise")))))</f>
        <v>Lift</v>
      </c>
      <c r="BN68" s="60" t="str">
        <f aca="false">IF(A68="","",IF(BW68=1,"Neu; ","")&amp;IF(AND(BW68=0,BR68&lt;0),"negativer Bestand (Export "&amp;BR68&amp;"); ","")&amp;IF(J68&lt;=0,"Kein Verbrauch; ","")&amp;IF(CR68&gt;0,"Lift "&amp;W68&amp;" lt. Liftbericht (Fach "&amp;X68&amp;" Stk); ",IF(CB68=1,"Gebinde geschätzt ("&amp;T68&amp;"); ",IF(CA68=1,"Lose – Tablare geschätzt; ","")))&amp;IF(H68&gt;AW68,"Überbestand "&amp;ROUND(H68-AW68,0)&amp;" Stk / CHF "&amp;ROUND((H68-AW68)*G68,0)&amp;"; ","")&amp;IF(AND(CI68=1,CJ68&lt;CK68),"MAX &lt; MB+LG; ","")&amp;IF(AND(CQ68&gt;0,CP68*10&gt;CQ68),"zu hoch für Tablar; ","")&amp;IF(AND(BW68=0,OR(CI68=1,AB68&lt;&gt;"",U68&lt;&gt;"",V68&lt;&gt;"",AC68&lt;&gt;"")),"manuell übersteuert; ","")&amp;IF(AND(CA68=0,R68=0),"Gebinde unbekannt / Stellmass fehlt; ","")&amp;IF(AND(CA68=0,N(V68)&lt;=0,N(Q68)&lt;=0),"Menge pro Gebinde fehlt (Ist = 1 Gebinde); ","")&amp;BV68)</f>
        <v>Kein Verbrauch; Gebinde geschätzt (Mittel); Menge pro Gebinde fehlt (Ist = 1 Gebinde); </v>
      </c>
      <c r="BO68" s="60"/>
      <c r="BP68" s="60"/>
      <c r="BQ68" s="67"/>
      <c r="BR68" s="62" t="n">
        <v>5</v>
      </c>
      <c r="BS68" s="62" t="n">
        <v>0</v>
      </c>
      <c r="BT68" s="61" t="n">
        <v>3790.45</v>
      </c>
      <c r="BU68" s="62" t="n">
        <v>0</v>
      </c>
      <c r="BV68" s="60"/>
      <c r="BW68" s="65" t="n">
        <v>0</v>
      </c>
      <c r="BX68" s="65" t="n">
        <v>68</v>
      </c>
      <c r="BY68" s="60" t="str">
        <f aca="false">IF(U68&lt;&gt;"",UPPER(TRIM(U68)),IF(CB68=1,UPPER(VLOOKUP(T68,Parameter!$I$27:$K$29,2,0)),IF(P68="","LOSE",P68)))</f>
        <v>S61</v>
      </c>
      <c r="BZ68" s="62" t="n">
        <f aca="false">IF(BY68="LOSE",1,IF(N(V68)&gt;0,V68,IF(CB68=1,MAX(1,N(VLOOKUP(T68,Parameter!$I$27:$K$29,3,0)),H68,N(N68)),IF(N(Q68)&gt;0,Q68,MAX(1,H68)))))</f>
        <v>5</v>
      </c>
      <c r="CA68" s="65" t="n">
        <f aca="false">IF(BY68="LOSE",1,0)</f>
        <v>0</v>
      </c>
      <c r="CB68" s="65" t="n">
        <f aca="false">IF(AND(U68="",OR(P68="",P68="LOSE"),T68&lt;&gt;"",N(S68)&lt;=0,ISNUMBER(MATCH(T68,Parameter!$I$27:$I$29,0))),1,0)</f>
        <v>1</v>
      </c>
      <c r="CC68" s="65" t="n">
        <f aca="false">IF(CR68&gt;0,INDEX(Parameter!$H$5:$H$7,W68)/INDEX(Parameter!$E$5:$E$7,W68),IF(AND(CA68=0,N(IFERROR(VLOOKUP(BY68,'Gebinde-Kategorie'!$A$5:$N$45,14,0),0))&gt;0),VLOOKUP(BY68,'Gebinde-Kategorie'!$A$5:$N$45,14,0)*10+Parameter!$M$23,Parameter!$M$24))</f>
        <v>145</v>
      </c>
      <c r="CD68" s="60" t="str">
        <f aca="false">IF(AND(Parameter!$B$19="Ja",E68&lt;&gt;"",ISNUMBER(MATCH(E68,Parameter!$I$35:$I$52,0))),VLOOKUP(E68,Parameter!$I$35:$J$52,2,0),IFERROR(VLOOKUP(D68,Parameter!$A$35:$C$64,2,0),"Nein"))</f>
        <v>2+3</v>
      </c>
      <c r="CE68" s="64" t="n">
        <f aca="false">IF(CA68=0,0,IF(N(S68)&gt;0,S68,IFERROR(VLOOKUP(D68,Parameter!$A$35:$C$64,3,0)+0,0)))</f>
        <v>0</v>
      </c>
      <c r="CF68" s="60" t="n">
        <f aca="false">IF(AB68&lt;&gt;"",AB68,AA68)</f>
        <v>3</v>
      </c>
      <c r="CG68" s="60" t="str">
        <f aca="false">IF(OR(CF68=1,CF68=2,CF68=3),IF(Parameter!$E$27="Ja","LIFT",IF(CF68=1,"L1","L23")),IF(CF68="Aussen","Aussen","-"))</f>
        <v>LIFT</v>
      </c>
      <c r="CH68" s="71" t="n">
        <f aca="false">IF(N(AC68)&gt;0,AC68,0)</f>
        <v>0</v>
      </c>
      <c r="CI68" s="65" t="n">
        <f aca="false">IF(ISNUMBER(AF68),1,0)</f>
        <v>0</v>
      </c>
      <c r="CJ68" s="62" t="n">
        <f aca="false">N(AF68)</f>
        <v>0</v>
      </c>
      <c r="CK68" s="62" t="n">
        <f aca="false">N(M68)+N(N68)</f>
        <v>5</v>
      </c>
      <c r="CL68" s="62" t="n">
        <f aca="false">N(M68)</f>
        <v>0</v>
      </c>
      <c r="CM68" s="62" t="n">
        <f aca="false">N(N68)</f>
        <v>5</v>
      </c>
      <c r="CN68" s="62" t="n">
        <f aca="false">ROUNDUP(H68/BZ68,0)</f>
        <v>1</v>
      </c>
      <c r="CO68" s="62" t="n">
        <f aca="false">ROUNDUP(CJ68/BZ68,0)</f>
        <v>0</v>
      </c>
      <c r="CP68" s="65" t="n">
        <f aca="false">IF(CA68=1,0,IFERROR(VLOOKUP(BY68,'Gebinde-Kategorie'!$A$5:$N$45,5,0)+0,0))</f>
        <v>11</v>
      </c>
      <c r="CQ68" s="65" t="n">
        <f aca="false">IFERROR(IF(OR(CF68=1,CF68=2,CF68=3),N(INDEX(Parameter!$I$5:$I$7,CF68)),0),0)</f>
        <v>0</v>
      </c>
      <c r="CR68" s="64" t="n">
        <f aca="false">IF(AND(Parameter!$B$21="Ja",ISNUMBER(W68),N(X68)&gt;0),IFERROR(N(INDEX(Parameter!$L$5:$L$7,W68))*INDEX(Parameter!$E$5:$E$7,W68)*X68/SUMIFS($X$7:$X$1843,$W$7:$W$1843,W68),0),0)</f>
        <v>0</v>
      </c>
      <c r="CS68" s="62" t="n">
        <f aca="false">IF(AND(OR(CG68="L1",CG68="L23",CG68="LIFT"),H68&gt;0),CC68*IF(CR68&gt;0,CR68*MAX(1,H68/X68),IF(CA68=1,CE68,IF(R68&gt;0,CN68/R68,0))/MAX(0.1,N(Parameter!$M$21))),"")</f>
        <v>12.0833333333333</v>
      </c>
      <c r="CT68" s="64" t="n">
        <f aca="false">IF(CS68="","",J68/H68)</f>
        <v>0</v>
      </c>
      <c r="CU68" s="62" t="n">
        <f aca="false">IF(CS68="","",H68*G68)</f>
        <v>3790.45</v>
      </c>
      <c r="CV68" s="63" t="n">
        <f aca="false">IF(CS68="","",(CL68+ROUNDUP(CL68+MAX(CM68,2*(J68/MAX(0.1,N(Einkauf!$C$6))-CL68)),0))/2)</f>
        <v>2.5</v>
      </c>
      <c r="CW68" s="62" t="n">
        <f aca="false">IF(CS68="","",MAX(0,H68-CV68)*G68)</f>
        <v>1895.225</v>
      </c>
      <c r="CX68" s="62" t="n">
        <f aca="false">IF(CS68="","",CS68*MAX(0,1-CV68/H68))</f>
        <v>6.04166666666667</v>
      </c>
      <c r="CY68" s="64" t="n">
        <f aca="false">IF(CS68="","",PERCENTRANK($CS$7:$CS$1843,CS68)+PERCENTRANK($CU$7:$CU$1843,CU68)+1-PERCENTRANK($CT$7:$CT$1843,CT68))</f>
        <v>2.531</v>
      </c>
      <c r="CZ68" s="72" t="n">
        <f aca="false">IF(CS68="","",CHOOSE(MATCH(Einkauf!$C$5,Parameter!$G$23:$G$27,0),CY68,CS68,CU68,-CT68,CW68)+ROW()/1000000000)</f>
        <v>2.531000068</v>
      </c>
    </row>
    <row r="69" customFormat="false" ht="15" hidden="false" customHeight="false" outlineLevel="0" collapsed="false">
      <c r="A69" s="60" t="s">
        <v>380</v>
      </c>
      <c r="B69" s="60" t="s">
        <v>381</v>
      </c>
      <c r="C69" s="60" t="s">
        <v>206</v>
      </c>
      <c r="D69" s="60" t="s">
        <v>215</v>
      </c>
      <c r="E69" s="60" t="s">
        <v>208</v>
      </c>
      <c r="F69" s="60" t="s">
        <v>260</v>
      </c>
      <c r="G69" s="61" t="n">
        <v>223.35</v>
      </c>
      <c r="H69" s="62" t="n">
        <f aca="false">MAX(0,IF(AND(Parameter!$B$21="Ja",ISNUMBER(Y69)),Y69,IF(Parameter!$B$20="Jahresanfang 2025 + Export",BS69+BR69,BR69)))</f>
        <v>25</v>
      </c>
      <c r="I69" s="62" t="n">
        <f aca="false">H69*G69</f>
        <v>5583.75</v>
      </c>
      <c r="J69" s="62" t="n">
        <f aca="false">BU69*Parameter!$B$18</f>
        <v>30</v>
      </c>
      <c r="K69" s="63" t="n">
        <v>17.5</v>
      </c>
      <c r="L69" s="64" t="n">
        <v>1.71428571428571</v>
      </c>
      <c r="M69" s="62" t="n">
        <v>2</v>
      </c>
      <c r="N69" s="62" t="n">
        <v>15</v>
      </c>
      <c r="O69" s="65" t="n">
        <v>21</v>
      </c>
      <c r="P69" s="60" t="s">
        <v>301</v>
      </c>
      <c r="Q69" s="62" t="n">
        <v>28</v>
      </c>
      <c r="R69" s="65" t="n">
        <f aca="false">IF(CA69=1,0,IFERROR(VLOOKUP(BY69,'Gebinde-Kategorie'!$A$5:$N$45,13,0)+0,0))</f>
        <v>6</v>
      </c>
      <c r="S69" s="66"/>
      <c r="T69" s="67"/>
      <c r="U69" s="67"/>
      <c r="V69" s="67"/>
      <c r="W69" s="60"/>
      <c r="X69" s="62"/>
      <c r="Y69" s="62"/>
      <c r="Z69" s="60" t="n">
        <v>2</v>
      </c>
      <c r="AA69" s="60" t="n">
        <f aca="false">IF(A69="","",IF(AND(Parameter!$B$21="Ja",ISNUMBER(W69)),W69,IF(AND(Parameter!$E$27="Ja",ISNUMBER(Z69),CD69&lt;&gt;"Nein"),Z69,IF(CD69="2+3",IF(ISNUMBER(SEARCH("grosser Artikel",BV69)),2,IFERROR(VLOOKUP(BY69,Parameter!$F$35:$G$64,2,0),2)),IF(OR(CD69="Nein",CD69=""),"-",CD69)))))</f>
        <v>2</v>
      </c>
      <c r="AB69" s="67"/>
      <c r="AC69" s="68"/>
      <c r="AD69" s="62" t="n">
        <f aca="false">AW69</f>
        <v>18</v>
      </c>
      <c r="AE69" s="62" t="n">
        <f aca="false">MAX(AW69,H69)</f>
        <v>25</v>
      </c>
      <c r="AF69" s="69"/>
      <c r="AG69" s="62" t="n">
        <f aca="false">IF(LEFT(Cockpit!$C$5,1)="A",H69,IF(Parameter!$E$30="MAX-Bestand",IF(CI69=1,CJ69,IF(LEFT(Cockpit!$C$5,1)="B",AM69,MAX(AM69,H69))),ROUNDUP(AK69,0)))</f>
        <v>25</v>
      </c>
      <c r="AH69" s="62" t="n">
        <f aca="false">IF(CA69=1,0,ROUNDUP(AG69/BZ69,0))</f>
        <v>1</v>
      </c>
      <c r="AI69" s="64" t="n">
        <f aca="false">IF(CR69&gt;0,CR69*MAX(1,AG69/X69),IF(CA69=1,IF(AG69&lt;=0,0,CE69*MAX(1,IF(H69&gt;0,AG69/H69,1))),IF(R69&gt;0,AH69/R69,0))/MAX(0.1,N(Parameter!$M$21)))</f>
        <v>0.166666666666667</v>
      </c>
      <c r="AJ69" s="62" t="n">
        <f aca="false">AI69*CC69</f>
        <v>72.5</v>
      </c>
      <c r="AK69" s="63" t="n">
        <f aca="false">IF(LEFT(Cockpit!$C$5,1)="A",H69,IF(CI69=1,(CL69+CJ69)/2,IF(LEFT(Cockpit!$C$5,1)="B",(CL69+AM69)/2,MAX((CL69+AM69)/2,H69))))</f>
        <v>25</v>
      </c>
      <c r="AL69" s="62" t="n">
        <f aca="false">AK69*G69</f>
        <v>5583.75</v>
      </c>
      <c r="AM69" s="62" t="n">
        <f aca="false">ROUNDUP(CL69+MAX(CM69,2*(J69/IF(CH69&gt;0,CH69,MAX(0.1,N(Cockpit!$C$6)))-CL69)),0)</f>
        <v>18</v>
      </c>
      <c r="AN69" s="63" t="n">
        <f aca="false">IF(AJ69&gt;0,J69/AJ69,-1)</f>
        <v>0.413793103448276</v>
      </c>
      <c r="AO69" s="63" t="n">
        <f aca="false">IF(AND(OR(CG69="L1",CG69="L23",CG69="LIFT"),AJ69&gt;0),SUMIFS($AJ$7:$AJ$1843,$CG$7:$CG$1843,CG69,$AN$7:$AN$1843,"&gt;"&amp;AN69)+SUMIFS($AJ$7:$AJ$1843,$CG$7:$CG$1843,CG69,$AN$7:$AN$1843,AN69,$BX$7:$BX$1843,"&lt;="&amp;BX69),"")</f>
        <v>10103.5961253906</v>
      </c>
      <c r="AP69" s="70" t="n">
        <f aca="false">IF(AO69="",0,MAX(0,MIN(1,(IF(CG69="L1",Parameter!$H$5,IF(CG69="L23",Parameter!$H$6+Parameter!$H$7,Parameter!$H$5+Parameter!$H$6+Parameter!$H$7))-(AO69-AJ69))/AJ69)))</f>
        <v>1</v>
      </c>
      <c r="AQ69" s="62" t="n">
        <f aca="false">IF(LEFT(Cockpit!$I$5,1)="A",H69,IF(Parameter!$E$30="MAX-Bestand",IF(CI69=1,CJ69,IF(LEFT(Cockpit!$I$5,1)="B",AW69,MAX(AW69,H69))),ROUNDUP(AU69,0)))</f>
        <v>25</v>
      </c>
      <c r="AR69" s="62" t="n">
        <f aca="false">IF(CA69=1,0,ROUNDUP(AQ69/BZ69,0))</f>
        <v>1</v>
      </c>
      <c r="AS69" s="64" t="n">
        <f aca="false">IF(CR69&gt;0,CR69*MAX(1,AQ69/X69),IF(CA69=1,IF(AQ69&lt;=0,0,CE69*MAX(1,IF(H69&gt;0,AQ69/H69,1))),IF(R69&gt;0,AR69/R69,0))/MAX(0.1,N(Parameter!$M$21)))</f>
        <v>0.166666666666667</v>
      </c>
      <c r="AT69" s="62" t="n">
        <f aca="false">AS69*CC69</f>
        <v>72.5</v>
      </c>
      <c r="AU69" s="63" t="n">
        <f aca="false">IF(LEFT(Cockpit!$I$5,1)="A",H69,IF(CI69=1,(CL69+CJ69)/2,IF(LEFT(Cockpit!$I$5,1)="B",(CL69+AW69)/2,MAX((CL69+AW69)/2,H69))))</f>
        <v>25</v>
      </c>
      <c r="AV69" s="62" t="n">
        <f aca="false">AU69*G69</f>
        <v>5583.75</v>
      </c>
      <c r="AW69" s="62" t="n">
        <f aca="false">ROUNDUP(CL69+MAX(CM69,2*(J69/IF(CH69&gt;0,CH69,MAX(0.1,N(Cockpit!$I$6)))-CL69)),0)</f>
        <v>18</v>
      </c>
      <c r="AX69" s="63" t="n">
        <f aca="false">IF(AT69&gt;0,J69/AT69,-1)</f>
        <v>0.413793103448276</v>
      </c>
      <c r="AY69" s="63" t="n">
        <f aca="false">IF(AND(OR(CG69="L1",CG69="L23",CG69="LIFT"),AT69&gt;0),SUMIFS($AT$7:$AT$1843,$CG$7:$CG$1843,CG69,$AX$7:$AX$1843,"&gt;"&amp;AX69)+SUMIFS($AT$7:$AT$1843,$CG$7:$CG$1843,CG69,$AX$7:$AX$1843,AX69,$BX$7:$BX$1843,"&lt;="&amp;BX69),"")</f>
        <v>12458.6826923077</v>
      </c>
      <c r="AZ69" s="70" t="n">
        <f aca="false">IF(AY69="",0,MAX(0,MIN(1,(IF(CG69="L1",Parameter!$H$5,IF(CG69="L23",Parameter!$H$6+Parameter!$H$7,Parameter!$H$5+Parameter!$H$6+Parameter!$H$7))-(AY69-AT69))/AT69)))</f>
        <v>1</v>
      </c>
      <c r="BA69" s="62" t="n">
        <f aca="false">IF(LEFT(Cockpit!$O$5,1)="A",H69,IF(Parameter!$E$30="MAX-Bestand",IF(CI69=1,CJ69,IF(LEFT(Cockpit!$O$5,1)="B",BG69,MAX(BG69,H69))),ROUNDUP(BE69,0)))</f>
        <v>10</v>
      </c>
      <c r="BB69" s="62" t="n">
        <f aca="false">IF(CA69=1,0,ROUNDUP(BA69/BZ69,0))</f>
        <v>1</v>
      </c>
      <c r="BC69" s="64" t="n">
        <f aca="false">IF(CR69&gt;0,CR69*MAX(1,BA69/X69),IF(CA69=1,IF(BA69&lt;=0,0,CE69*MAX(1,IF(H69&gt;0,BA69/H69,1))),IF(R69&gt;0,BB69/R69,0))/MAX(0.1,N(Parameter!$M$21)))</f>
        <v>0.166666666666667</v>
      </c>
      <c r="BD69" s="62" t="n">
        <f aca="false">BC69*CC69</f>
        <v>72.5</v>
      </c>
      <c r="BE69" s="63" t="n">
        <f aca="false">IF(LEFT(Cockpit!$O$5,1)="A",H69,IF(CI69=1,(CL69+CJ69)/2,IF(LEFT(Cockpit!$O$5,1)="B",(CL69+BG69)/2,MAX((CL69+BG69)/2,H69))))</f>
        <v>9.5</v>
      </c>
      <c r="BF69" s="62" t="n">
        <f aca="false">BE69*G69</f>
        <v>2121.825</v>
      </c>
      <c r="BG69" s="62" t="n">
        <f aca="false">ROUNDUP(CL69+MAX(CM69,2*(J69/IF(CH69&gt;0,CH69,MAX(0.1,N(Cockpit!$O$6)))-CL69)),0)</f>
        <v>17</v>
      </c>
      <c r="BH69" s="63" t="n">
        <f aca="false">IF(BD69&gt;0,J69/BD69,-1)</f>
        <v>0.413793103448276</v>
      </c>
      <c r="BI69" s="63" t="n">
        <f aca="false">IF(AND(OR(CG69="L1",CG69="L23",CG69="LIFT"),BD69&gt;0),SUMIFS($BD$7:$BD$1843,$CG$7:$CG$1843,CG69,$BH$7:$BH$1843,"&gt;"&amp;BH69)+SUMIFS($BD$7:$BD$1843,$CG$7:$CG$1843,CG69,$BH$7:$BH$1843,BH69,$BX$7:$BX$1843,"&lt;="&amp;BX69),"")</f>
        <v>10678.9363553114</v>
      </c>
      <c r="BJ69" s="70" t="n">
        <f aca="false">IF(BI69="",0,MAX(0,MIN(1,(IF(CG69="L1",Parameter!$H$5,IF(CG69="L23",Parameter!$H$6+Parameter!$H$7,Parameter!$H$5+Parameter!$H$6+Parameter!$H$7))-(BI69-BD69))/BD69)))</f>
        <v>1</v>
      </c>
      <c r="BK69" s="60" t="str">
        <f aca="false">IF(AJ69&lt;=0,"",IF(CG69="Aussen","Aussenlager",IF(CG69="-","Nicht im Lift",IF(AP69&gt;=1,"Lift",IF(AP69&lt;=0,"Aussenlager","teilweise")))))</f>
        <v>Lift</v>
      </c>
      <c r="BL69" s="60" t="str">
        <f aca="false">IF(AT69&lt;=0,"",IF(CG69="Aussen","Aussenlager",IF(CG69="-","Nicht im Lift",IF(AZ69&gt;=1,"Lift",IF(AZ69&lt;=0,"Aussenlager","teilweise")))))</f>
        <v>Lift</v>
      </c>
      <c r="BM69" s="60" t="str">
        <f aca="false">IF(BD69&lt;=0,"",IF(CG69="Aussen","Aussenlager",IF(CG69="-","Nicht im Lift",IF(BJ69&gt;=1,"Lift",IF(BJ69&lt;=0,"Aussenlager","teilweise")))))</f>
        <v>Lift</v>
      </c>
      <c r="BN69" s="60" t="str">
        <f aca="false">IF(A69="","",IF(BW69=1,"Neu; ","")&amp;IF(AND(BW69=0,BR69&lt;0),"negativer Bestand (Export "&amp;BR69&amp;"); ","")&amp;IF(J69&lt;=0,"Kein Verbrauch; ","")&amp;IF(CR69&gt;0,"Lift "&amp;W69&amp;" lt. Liftbericht (Fach "&amp;X69&amp;" Stk); ",IF(CB69=1,"Gebinde geschätzt ("&amp;T69&amp;"); ",IF(CA69=1,"Lose – Tablare geschätzt; ","")))&amp;IF(H69&gt;AW69,"Überbestand "&amp;ROUND(H69-AW69,0)&amp;" Stk / CHF "&amp;ROUND((H69-AW69)*G69,0)&amp;"; ","")&amp;IF(AND(CI69=1,CJ69&lt;CK69),"MAX &lt; MB+LG; ","")&amp;IF(AND(CQ69&gt;0,CP69*10&gt;CQ69),"zu hoch für Tablar; ","")&amp;IF(AND(BW69=0,OR(CI69=1,AB69&lt;&gt;"",U69&lt;&gt;"",V69&lt;&gt;"",AC69&lt;&gt;"")),"manuell übersteuert; ","")&amp;IF(AND(CA69=0,R69=0),"Gebinde unbekannt / Stellmass fehlt; ","")&amp;IF(AND(CA69=0,N(V69)&lt;=0,N(Q69)&lt;=0),"Menge pro Gebinde fehlt (Ist = 1 Gebinde); ","")&amp;BV69)</f>
        <v>Überbestand 7 Stk / CHF 1563; </v>
      </c>
      <c r="BO69" s="60"/>
      <c r="BP69" s="60"/>
      <c r="BQ69" s="67"/>
      <c r="BR69" s="62" t="n">
        <v>15</v>
      </c>
      <c r="BS69" s="62" t="n">
        <v>10</v>
      </c>
      <c r="BT69" s="61" t="n">
        <v>3779.35000000001</v>
      </c>
      <c r="BU69" s="62" t="n">
        <v>30</v>
      </c>
      <c r="BV69" s="60"/>
      <c r="BW69" s="65" t="n">
        <v>0</v>
      </c>
      <c r="BX69" s="65" t="n">
        <v>69</v>
      </c>
      <c r="BY69" s="60" t="str">
        <f aca="false">IF(U69&lt;&gt;"",UPPER(TRIM(U69)),IF(CB69=1,UPPER(VLOOKUP(T69,Parameter!$I$27:$K$29,2,0)),IF(P69="","LOSE",P69)))</f>
        <v>S72</v>
      </c>
      <c r="BZ69" s="62" t="n">
        <f aca="false">IF(BY69="LOSE",1,IF(N(V69)&gt;0,V69,IF(CB69=1,MAX(1,N(VLOOKUP(T69,Parameter!$I$27:$K$29,3,0)),H69,N(N69)),IF(N(Q69)&gt;0,Q69,MAX(1,H69)))))</f>
        <v>28</v>
      </c>
      <c r="CA69" s="65" t="n">
        <f aca="false">IF(BY69="LOSE",1,0)</f>
        <v>0</v>
      </c>
      <c r="CB69" s="65" t="n">
        <f aca="false">IF(AND(U69="",OR(P69="",P69="LOSE"),T69&lt;&gt;"",N(S69)&lt;=0,ISNUMBER(MATCH(T69,Parameter!$I$27:$I$29,0))),1,0)</f>
        <v>0</v>
      </c>
      <c r="CC69" s="65" t="n">
        <f aca="false">IF(CR69&gt;0,INDEX(Parameter!$H$5:$H$7,W69)/INDEX(Parameter!$E$5:$E$7,W69),IF(AND(CA69=0,N(IFERROR(VLOOKUP(BY69,'Gebinde-Kategorie'!$A$5:$N$45,14,0),0))&gt;0),VLOOKUP(BY69,'Gebinde-Kategorie'!$A$5:$N$45,14,0)*10+Parameter!$M$23,Parameter!$M$24))</f>
        <v>435</v>
      </c>
      <c r="CD69" s="60" t="n">
        <f aca="false">IF(AND(Parameter!$B$19="Ja",E69&lt;&gt;"",ISNUMBER(MATCH(E69,Parameter!$I$35:$I$52,0))),VLOOKUP(E69,Parameter!$I$35:$J$52,2,0),IFERROR(VLOOKUP(D69,Parameter!$A$35:$C$64,2,0),"Nein"))</f>
        <v>1</v>
      </c>
      <c r="CE69" s="64" t="n">
        <f aca="false">IF(CA69=0,0,IF(N(S69)&gt;0,S69,IFERROR(VLOOKUP(D69,Parameter!$A$35:$C$64,3,0)+0,0)))</f>
        <v>0</v>
      </c>
      <c r="CF69" s="60" t="n">
        <f aca="false">IF(AB69&lt;&gt;"",AB69,AA69)</f>
        <v>2</v>
      </c>
      <c r="CG69" s="60" t="str">
        <f aca="false">IF(OR(CF69=1,CF69=2,CF69=3),IF(Parameter!$E$27="Ja","LIFT",IF(CF69=1,"L1","L23")),IF(CF69="Aussen","Aussen","-"))</f>
        <v>LIFT</v>
      </c>
      <c r="CH69" s="71" t="n">
        <f aca="false">IF(N(AC69)&gt;0,AC69,0)</f>
        <v>0</v>
      </c>
      <c r="CI69" s="65" t="n">
        <f aca="false">IF(ISNUMBER(AF69),1,0)</f>
        <v>0</v>
      </c>
      <c r="CJ69" s="62" t="n">
        <f aca="false">N(AF69)</f>
        <v>0</v>
      </c>
      <c r="CK69" s="62" t="n">
        <f aca="false">N(M69)+N(N69)</f>
        <v>17</v>
      </c>
      <c r="CL69" s="62" t="n">
        <f aca="false">N(M69)</f>
        <v>2</v>
      </c>
      <c r="CM69" s="62" t="n">
        <f aca="false">N(N69)</f>
        <v>15</v>
      </c>
      <c r="CN69" s="62" t="n">
        <f aca="false">ROUNDUP(H69/BZ69,0)</f>
        <v>1</v>
      </c>
      <c r="CO69" s="62" t="n">
        <f aca="false">ROUNDUP(CJ69/BZ69,0)</f>
        <v>0</v>
      </c>
      <c r="CP69" s="65" t="n">
        <f aca="false">IF(CA69=1,0,IFERROR(VLOOKUP(BY69,'Gebinde-Kategorie'!$A$5:$N$45,5,0)+0,0))</f>
        <v>40</v>
      </c>
      <c r="CQ69" s="65" t="n">
        <f aca="false">IFERROR(IF(OR(CF69=1,CF69=2,CF69=3),N(INDEX(Parameter!$I$5:$I$7,CF69)),0),0)</f>
        <v>0</v>
      </c>
      <c r="CR69" s="64" t="n">
        <f aca="false">IF(AND(Parameter!$B$21="Ja",ISNUMBER(W69),N(X69)&gt;0),IFERROR(N(INDEX(Parameter!$L$5:$L$7,W69))*INDEX(Parameter!$E$5:$E$7,W69)*X69/SUMIFS($X$7:$X$1843,$W$7:$W$1843,W69),0),0)</f>
        <v>0</v>
      </c>
      <c r="CS69" s="62" t="n">
        <f aca="false">IF(AND(OR(CG69="L1",CG69="L23",CG69="LIFT"),H69&gt;0),CC69*IF(CR69&gt;0,CR69*MAX(1,H69/X69),IF(CA69=1,CE69,IF(R69&gt;0,CN69/R69,0))/MAX(0.1,N(Parameter!$M$21))),"")</f>
        <v>72.5</v>
      </c>
      <c r="CT69" s="64" t="n">
        <f aca="false">IF(CS69="","",J69/H69)</f>
        <v>1.2</v>
      </c>
      <c r="CU69" s="62" t="n">
        <f aca="false">IF(CS69="","",H69*G69)</f>
        <v>5583.75</v>
      </c>
      <c r="CV69" s="63" t="n">
        <f aca="false">IF(CS69="","",(CL69+ROUNDUP(CL69+MAX(CM69,2*(J69/MAX(0.1,N(Einkauf!$C$6))-CL69)),0))/2)</f>
        <v>9.5</v>
      </c>
      <c r="CW69" s="62" t="n">
        <f aca="false">IF(CS69="","",MAX(0,H69-CV69)*G69)</f>
        <v>3461.925</v>
      </c>
      <c r="CX69" s="62" t="n">
        <f aca="false">IF(CS69="","",CS69*MAX(0,1-CV69/H69))</f>
        <v>44.95</v>
      </c>
      <c r="CY69" s="64" t="n">
        <f aca="false">IF(CS69="","",PERCENTRANK($CS$7:$CS$1843,CS69)+PERCENTRANK($CU$7:$CU$1843,CU69)+1-PERCENTRANK($CT$7:$CT$1843,CT69))</f>
        <v>2.143</v>
      </c>
      <c r="CZ69" s="72" t="n">
        <f aca="false">IF(CS69="","",CHOOSE(MATCH(Einkauf!$C$5,Parameter!$G$23:$G$27,0),CY69,CS69,CU69,-CT69,CW69)+ROW()/1000000000)</f>
        <v>2.143000069</v>
      </c>
    </row>
    <row r="70" customFormat="false" ht="15" hidden="false" customHeight="false" outlineLevel="0" collapsed="false">
      <c r="A70" s="60" t="s">
        <v>382</v>
      </c>
      <c r="B70" s="60" t="s">
        <v>383</v>
      </c>
      <c r="C70" s="60" t="s">
        <v>206</v>
      </c>
      <c r="D70" s="60" t="s">
        <v>215</v>
      </c>
      <c r="E70" s="60"/>
      <c r="F70" s="60" t="s">
        <v>260</v>
      </c>
      <c r="G70" s="61" t="n">
        <v>1842</v>
      </c>
      <c r="H70" s="62" t="n">
        <f aca="false">MAX(0,IF(AND(Parameter!$B$21="Ja",ISNUMBER(Y70)),Y70,IF(Parameter!$B$20="Jahresanfang 2025 + Export",BS70+BR70,BR70)))</f>
        <v>2</v>
      </c>
      <c r="I70" s="62" t="n">
        <f aca="false">H70*G70</f>
        <v>3684</v>
      </c>
      <c r="J70" s="62" t="n">
        <f aca="false">BU70*Parameter!$B$18</f>
        <v>0</v>
      </c>
      <c r="K70" s="63" t="n">
        <v>1</v>
      </c>
      <c r="L70" s="64" t="n">
        <v>0</v>
      </c>
      <c r="M70" s="62" t="n">
        <v>0</v>
      </c>
      <c r="N70" s="62" t="n">
        <v>1</v>
      </c>
      <c r="O70" s="65" t="n">
        <v>70</v>
      </c>
      <c r="P70" s="60" t="s">
        <v>344</v>
      </c>
      <c r="Q70" s="62" t="n">
        <v>2</v>
      </c>
      <c r="R70" s="65" t="n">
        <f aca="false">IF(CA70=1,0,IFERROR(VLOOKUP(BY70,'Gebinde-Kategorie'!$A$5:$N$45,13,0)+0,0))</f>
        <v>26</v>
      </c>
      <c r="S70" s="66"/>
      <c r="T70" s="67"/>
      <c r="U70" s="67"/>
      <c r="V70" s="67"/>
      <c r="W70" s="60"/>
      <c r="X70" s="62"/>
      <c r="Y70" s="62"/>
      <c r="Z70" s="60" t="n">
        <v>3</v>
      </c>
      <c r="AA70" s="60" t="n">
        <f aca="false">IF(A70="","",IF(AND(Parameter!$B$21="Ja",ISNUMBER(W70)),W70,IF(AND(Parameter!$E$27="Ja",ISNUMBER(Z70),CD70&lt;&gt;"Nein"),Z70,IF(CD70="2+3",IF(ISNUMBER(SEARCH("grosser Artikel",BV70)),2,IFERROR(VLOOKUP(BY70,Parameter!$F$35:$G$64,2,0),2)),IF(OR(CD70="Nein",CD70=""),"-",CD70)))))</f>
        <v>3</v>
      </c>
      <c r="AB70" s="67"/>
      <c r="AC70" s="68"/>
      <c r="AD70" s="62" t="n">
        <f aca="false">AW70</f>
        <v>1</v>
      </c>
      <c r="AE70" s="62" t="n">
        <f aca="false">MAX(AW70,H70)</f>
        <v>2</v>
      </c>
      <c r="AF70" s="69"/>
      <c r="AG70" s="62" t="n">
        <f aca="false">IF(LEFT(Cockpit!$C$5,1)="A",H70,IF(Parameter!$E$30="MAX-Bestand",IF(CI70=1,CJ70,IF(LEFT(Cockpit!$C$5,1)="B",AM70,MAX(AM70,H70))),ROUNDUP(AK70,0)))</f>
        <v>2</v>
      </c>
      <c r="AH70" s="62" t="n">
        <f aca="false">IF(CA70=1,0,ROUNDUP(AG70/BZ70,0))</f>
        <v>1</v>
      </c>
      <c r="AI70" s="64" t="n">
        <f aca="false">IF(CR70&gt;0,CR70*MAX(1,AG70/X70),IF(CA70=1,IF(AG70&lt;=0,0,CE70*MAX(1,IF(H70&gt;0,AG70/H70,1))),IF(R70&gt;0,AH70/R70,0))/MAX(0.1,N(Parameter!$M$21)))</f>
        <v>0.0384615384615385</v>
      </c>
      <c r="AJ70" s="62" t="n">
        <f aca="false">AI70*CC70</f>
        <v>5.96153846153846</v>
      </c>
      <c r="AK70" s="63" t="n">
        <f aca="false">IF(LEFT(Cockpit!$C$5,1)="A",H70,IF(CI70=1,(CL70+CJ70)/2,IF(LEFT(Cockpit!$C$5,1)="B",(CL70+AM70)/2,MAX((CL70+AM70)/2,H70))))</f>
        <v>2</v>
      </c>
      <c r="AL70" s="62" t="n">
        <f aca="false">AK70*G70</f>
        <v>3684</v>
      </c>
      <c r="AM70" s="62" t="n">
        <f aca="false">ROUNDUP(CL70+MAX(CM70,2*(J70/IF(CH70&gt;0,CH70,MAX(0.1,N(Cockpit!$C$6)))-CL70)),0)</f>
        <v>1</v>
      </c>
      <c r="AN70" s="63" t="n">
        <f aca="false">IF(AJ70&gt;0,J70/AJ70,-1)</f>
        <v>0</v>
      </c>
      <c r="AO70" s="63" t="n">
        <f aca="false">IF(AND(OR(CG70="L1",CG70="L23",CG70="LIFT"),AJ70&gt;0),SUMIFS($AJ$7:$AJ$1843,$CG$7:$CG$1843,CG70,$AN$7:$AN$1843,"&gt;"&amp;AN70)+SUMIFS($AJ$7:$AJ$1843,$CG$7:$CG$1843,CG70,$AN$7:$AN$1843,AN70,$BX$7:$BX$1843,"&lt;="&amp;BX70),"")</f>
        <v>26506.9983314708</v>
      </c>
      <c r="AP70" s="70" t="n">
        <f aca="false">IF(AO70="",0,MAX(0,MIN(1,(IF(CG70="L1",Parameter!$H$5,IF(CG70="L23",Parameter!$H$6+Parameter!$H$7,Parameter!$H$5+Parameter!$H$6+Parameter!$H$7))-(AO70-AJ70))/AJ70)))</f>
        <v>1</v>
      </c>
      <c r="AQ70" s="62" t="n">
        <f aca="false">IF(LEFT(Cockpit!$I$5,1)="A",H70,IF(Parameter!$E$30="MAX-Bestand",IF(CI70=1,CJ70,IF(LEFT(Cockpit!$I$5,1)="B",AW70,MAX(AW70,H70))),ROUNDUP(AU70,0)))</f>
        <v>2</v>
      </c>
      <c r="AR70" s="62" t="n">
        <f aca="false">IF(CA70=1,0,ROUNDUP(AQ70/BZ70,0))</f>
        <v>1</v>
      </c>
      <c r="AS70" s="64" t="n">
        <f aca="false">IF(CR70&gt;0,CR70*MAX(1,AQ70/X70),IF(CA70=1,IF(AQ70&lt;=0,0,CE70*MAX(1,IF(H70&gt;0,AQ70/H70,1))),IF(R70&gt;0,AR70/R70,0))/MAX(0.1,N(Parameter!$M$21)))</f>
        <v>0.0384615384615385</v>
      </c>
      <c r="AT70" s="62" t="n">
        <f aca="false">AS70*CC70</f>
        <v>5.96153846153846</v>
      </c>
      <c r="AU70" s="63" t="n">
        <f aca="false">IF(LEFT(Cockpit!$I$5,1)="A",H70,IF(CI70=1,(CL70+CJ70)/2,IF(LEFT(Cockpit!$I$5,1)="B",(CL70+AW70)/2,MAX((CL70+AW70)/2,H70))))</f>
        <v>2</v>
      </c>
      <c r="AV70" s="62" t="n">
        <f aca="false">AU70*G70</f>
        <v>3684</v>
      </c>
      <c r="AW70" s="62" t="n">
        <f aca="false">ROUNDUP(CL70+MAX(CM70,2*(J70/IF(CH70&gt;0,CH70,MAX(0.1,N(Cockpit!$I$6)))-CL70)),0)</f>
        <v>1</v>
      </c>
      <c r="AX70" s="63" t="n">
        <f aca="false">IF(AT70&gt;0,J70/AT70,-1)</f>
        <v>0</v>
      </c>
      <c r="AY70" s="63" t="n">
        <f aca="false">IF(AND(OR(CG70="L1",CG70="L23",CG70="LIFT"),AT70&gt;0),SUMIFS($AT$7:$AT$1843,$CG$7:$CG$1843,CG70,$AX$7:$AX$1843,"&gt;"&amp;AX70)+SUMIFS($AT$7:$AT$1843,$CG$7:$CG$1843,CG70,$AX$7:$AX$1843,AX70,$BX$7:$BX$1843,"&lt;="&amp;BX70),"")</f>
        <v>31860.1469728482</v>
      </c>
      <c r="AZ70" s="70" t="n">
        <f aca="false">IF(AY70="",0,MAX(0,MIN(1,(IF(CG70="L1",Parameter!$H$5,IF(CG70="L23",Parameter!$H$6+Parameter!$H$7,Parameter!$H$5+Parameter!$H$6+Parameter!$H$7))-(AY70-AT70))/AT70)))</f>
        <v>1</v>
      </c>
      <c r="BA70" s="62" t="n">
        <f aca="false">IF(LEFT(Cockpit!$O$5,1)="A",H70,IF(Parameter!$E$30="MAX-Bestand",IF(CI70=1,CJ70,IF(LEFT(Cockpit!$O$5,1)="B",BG70,MAX(BG70,H70))),ROUNDUP(BE70,0)))</f>
        <v>1</v>
      </c>
      <c r="BB70" s="62" t="n">
        <f aca="false">IF(CA70=1,0,ROUNDUP(BA70/BZ70,0))</f>
        <v>1</v>
      </c>
      <c r="BC70" s="64" t="n">
        <f aca="false">IF(CR70&gt;0,CR70*MAX(1,BA70/X70),IF(CA70=1,IF(BA70&lt;=0,0,CE70*MAX(1,IF(H70&gt;0,BA70/H70,1))),IF(R70&gt;0,BB70/R70,0))/MAX(0.1,N(Parameter!$M$21)))</f>
        <v>0.0384615384615385</v>
      </c>
      <c r="BD70" s="62" t="n">
        <f aca="false">BC70*CC70</f>
        <v>5.96153846153846</v>
      </c>
      <c r="BE70" s="63" t="n">
        <f aca="false">IF(LEFT(Cockpit!$O$5,1)="A",H70,IF(CI70=1,(CL70+CJ70)/2,IF(LEFT(Cockpit!$O$5,1)="B",(CL70+BG70)/2,MAX((CL70+BG70)/2,H70))))</f>
        <v>0.5</v>
      </c>
      <c r="BF70" s="62" t="n">
        <f aca="false">BE70*G70</f>
        <v>921</v>
      </c>
      <c r="BG70" s="62" t="n">
        <f aca="false">ROUNDUP(CL70+MAX(CM70,2*(J70/IF(CH70&gt;0,CH70,MAX(0.1,N(Cockpit!$O$6)))-CL70)),0)</f>
        <v>1</v>
      </c>
      <c r="BH70" s="63" t="n">
        <f aca="false">IF(BD70&gt;0,J70/BD70,-1)</f>
        <v>0</v>
      </c>
      <c r="BI70" s="63" t="n">
        <f aca="false">IF(AND(OR(CG70="L1",CG70="L23",CG70="LIFT"),BD70&gt;0),SUMIFS($BD$7:$BD$1843,$CG$7:$CG$1843,CG70,$BH$7:$BH$1843,"&gt;"&amp;BH70)+SUMIFS($BD$7:$BD$1843,$CG$7:$CG$1843,CG70,$BH$7:$BH$1843,BH70,$BX$7:$BX$1843,"&lt;="&amp;BX70),"")</f>
        <v>26056.7288161462</v>
      </c>
      <c r="BJ70" s="70" t="n">
        <f aca="false">IF(BI70="",0,MAX(0,MIN(1,(IF(CG70="L1",Parameter!$H$5,IF(CG70="L23",Parameter!$H$6+Parameter!$H$7,Parameter!$H$5+Parameter!$H$6+Parameter!$H$7))-(BI70-BD70))/BD70)))</f>
        <v>1</v>
      </c>
      <c r="BK70" s="60" t="str">
        <f aca="false">IF(AJ70&lt;=0,"",IF(CG70="Aussen","Aussenlager",IF(CG70="-","Nicht im Lift",IF(AP70&gt;=1,"Lift",IF(AP70&lt;=0,"Aussenlager","teilweise")))))</f>
        <v>Lift</v>
      </c>
      <c r="BL70" s="60" t="str">
        <f aca="false">IF(AT70&lt;=0,"",IF(CG70="Aussen","Aussenlager",IF(CG70="-","Nicht im Lift",IF(AZ70&gt;=1,"Lift",IF(AZ70&lt;=0,"Aussenlager","teilweise")))))</f>
        <v>Lift</v>
      </c>
      <c r="BM70" s="60" t="str">
        <f aca="false">IF(BD70&lt;=0,"",IF(CG70="Aussen","Aussenlager",IF(CG70="-","Nicht im Lift",IF(BJ70&gt;=1,"Lift",IF(BJ70&lt;=0,"Aussenlager","teilweise")))))</f>
        <v>Lift</v>
      </c>
      <c r="BN70" s="60" t="str">
        <f aca="false">IF(A70="","",IF(BW70=1,"Neu; ","")&amp;IF(AND(BW70=0,BR70&lt;0),"negativer Bestand (Export "&amp;BR70&amp;"); ","")&amp;IF(J70&lt;=0,"Kein Verbrauch; ","")&amp;IF(CR70&gt;0,"Lift "&amp;W70&amp;" lt. Liftbericht (Fach "&amp;X70&amp;" Stk); ",IF(CB70=1,"Gebinde geschätzt ("&amp;T70&amp;"); ",IF(CA70=1,"Lose – Tablare geschätzt; ","")))&amp;IF(H70&gt;AW70,"Überbestand "&amp;ROUND(H70-AW70,0)&amp;" Stk / CHF "&amp;ROUND((H70-AW70)*G70,0)&amp;"; ","")&amp;IF(AND(CI70=1,CJ70&lt;CK70),"MAX &lt; MB+LG; ","")&amp;IF(AND(CQ70&gt;0,CP70*10&gt;CQ70),"zu hoch für Tablar; ","")&amp;IF(AND(BW70=0,OR(CI70=1,AB70&lt;&gt;"",U70&lt;&gt;"",V70&lt;&gt;"",AC70&lt;&gt;"")),"manuell übersteuert; ","")&amp;IF(AND(CA70=0,R70=0),"Gebinde unbekannt / Stellmass fehlt; ","")&amp;IF(AND(CA70=0,N(V70)&lt;=0,N(Q70)&lt;=0),"Menge pro Gebinde fehlt (Ist = 1 Gebinde); ","")&amp;BV70)</f>
        <v>Kein Verbrauch; Überbestand 1 Stk / CHF 1842; </v>
      </c>
      <c r="BO70" s="60"/>
      <c r="BP70" s="60"/>
      <c r="BQ70" s="67"/>
      <c r="BR70" s="62" t="n">
        <v>2</v>
      </c>
      <c r="BS70" s="62" t="n">
        <v>0</v>
      </c>
      <c r="BT70" s="61" t="n">
        <v>3684</v>
      </c>
      <c r="BU70" s="62" t="n">
        <v>0</v>
      </c>
      <c r="BV70" s="60"/>
      <c r="BW70" s="65" t="n">
        <v>0</v>
      </c>
      <c r="BX70" s="65" t="n">
        <v>70</v>
      </c>
      <c r="BY70" s="60" t="str">
        <f aca="false">IF(U70&lt;&gt;"",UPPER(TRIM(U70)),IF(CB70=1,UPPER(VLOOKUP(T70,Parameter!$I$27:$K$29,2,0)),IF(P70="","LOSE",P70)))</f>
        <v>S51</v>
      </c>
      <c r="BZ70" s="62" t="n">
        <f aca="false">IF(BY70="LOSE",1,IF(N(V70)&gt;0,V70,IF(CB70=1,MAX(1,N(VLOOKUP(T70,Parameter!$I$27:$K$29,3,0)),H70,N(N70)),IF(N(Q70)&gt;0,Q70,MAX(1,H70)))))</f>
        <v>2</v>
      </c>
      <c r="CA70" s="65" t="n">
        <f aca="false">IF(BY70="LOSE",1,0)</f>
        <v>0</v>
      </c>
      <c r="CB70" s="65" t="n">
        <f aca="false">IF(AND(U70="",OR(P70="",P70="LOSE"),T70&lt;&gt;"",N(S70)&lt;=0,ISNUMBER(MATCH(T70,Parameter!$I$27:$I$29,0))),1,0)</f>
        <v>0</v>
      </c>
      <c r="CC70" s="65" t="n">
        <f aca="false">IF(CR70&gt;0,INDEX(Parameter!$H$5:$H$7,W70)/INDEX(Parameter!$E$5:$E$7,W70),IF(AND(CA70=0,N(IFERROR(VLOOKUP(BY70,'Gebinde-Kategorie'!$A$5:$N$45,14,0),0))&gt;0),VLOOKUP(BY70,'Gebinde-Kategorie'!$A$5:$N$45,14,0)*10+Parameter!$M$23,Parameter!$M$24))</f>
        <v>155</v>
      </c>
      <c r="CD70" s="60" t="str">
        <f aca="false">IF(AND(Parameter!$B$19="Ja",E70&lt;&gt;"",ISNUMBER(MATCH(E70,Parameter!$I$35:$I$52,0))),VLOOKUP(E70,Parameter!$I$35:$J$52,2,0),IFERROR(VLOOKUP(D70,Parameter!$A$35:$C$64,2,0),"Nein"))</f>
        <v>2+3</v>
      </c>
      <c r="CE70" s="64" t="n">
        <f aca="false">IF(CA70=0,0,IF(N(S70)&gt;0,S70,IFERROR(VLOOKUP(D70,Parameter!$A$35:$C$64,3,0)+0,0)))</f>
        <v>0</v>
      </c>
      <c r="CF70" s="60" t="n">
        <f aca="false">IF(AB70&lt;&gt;"",AB70,AA70)</f>
        <v>3</v>
      </c>
      <c r="CG70" s="60" t="str">
        <f aca="false">IF(OR(CF70=1,CF70=2,CF70=3),IF(Parameter!$E$27="Ja","LIFT",IF(CF70=1,"L1","L23")),IF(CF70="Aussen","Aussen","-"))</f>
        <v>LIFT</v>
      </c>
      <c r="CH70" s="71" t="n">
        <f aca="false">IF(N(AC70)&gt;0,AC70,0)</f>
        <v>0</v>
      </c>
      <c r="CI70" s="65" t="n">
        <f aca="false">IF(ISNUMBER(AF70),1,0)</f>
        <v>0</v>
      </c>
      <c r="CJ70" s="62" t="n">
        <f aca="false">N(AF70)</f>
        <v>0</v>
      </c>
      <c r="CK70" s="62" t="n">
        <f aca="false">N(M70)+N(N70)</f>
        <v>1</v>
      </c>
      <c r="CL70" s="62" t="n">
        <f aca="false">N(M70)</f>
        <v>0</v>
      </c>
      <c r="CM70" s="62" t="n">
        <f aca="false">N(N70)</f>
        <v>1</v>
      </c>
      <c r="CN70" s="62" t="n">
        <f aca="false">ROUNDUP(H70/BZ70,0)</f>
        <v>1</v>
      </c>
      <c r="CO70" s="62" t="n">
        <f aca="false">ROUNDUP(CJ70/BZ70,0)</f>
        <v>0</v>
      </c>
      <c r="CP70" s="65" t="n">
        <f aca="false">IF(CA70=1,0,IFERROR(VLOOKUP(BY70,'Gebinde-Kategorie'!$A$5:$N$45,5,0)+0,0))</f>
        <v>11</v>
      </c>
      <c r="CQ70" s="65" t="n">
        <f aca="false">IFERROR(IF(OR(CF70=1,CF70=2,CF70=3),N(INDEX(Parameter!$I$5:$I$7,CF70)),0),0)</f>
        <v>0</v>
      </c>
      <c r="CR70" s="64" t="n">
        <f aca="false">IF(AND(Parameter!$B$21="Ja",ISNUMBER(W70),N(X70)&gt;0),IFERROR(N(INDEX(Parameter!$L$5:$L$7,W70))*INDEX(Parameter!$E$5:$E$7,W70)*X70/SUMIFS($X$7:$X$1843,$W$7:$W$1843,W70),0),0)</f>
        <v>0</v>
      </c>
      <c r="CS70" s="62" t="n">
        <f aca="false">IF(AND(OR(CG70="L1",CG70="L23",CG70="LIFT"),H70&gt;0),CC70*IF(CR70&gt;0,CR70*MAX(1,H70/X70),IF(CA70=1,CE70,IF(R70&gt;0,CN70/R70,0))/MAX(0.1,N(Parameter!$M$21))),"")</f>
        <v>5.96153846153846</v>
      </c>
      <c r="CT70" s="64" t="n">
        <f aca="false">IF(CS70="","",J70/H70)</f>
        <v>0</v>
      </c>
      <c r="CU70" s="62" t="n">
        <f aca="false">IF(CS70="","",H70*G70)</f>
        <v>3684</v>
      </c>
      <c r="CV70" s="63" t="n">
        <f aca="false">IF(CS70="","",(CL70+ROUNDUP(CL70+MAX(CM70,2*(J70/MAX(0.1,N(Einkauf!$C$6))-CL70)),0))/2)</f>
        <v>0.5</v>
      </c>
      <c r="CW70" s="62" t="n">
        <f aca="false">IF(CS70="","",MAX(0,H70-CV70)*G70)</f>
        <v>2763</v>
      </c>
      <c r="CX70" s="62" t="n">
        <f aca="false">IF(CS70="","",CS70*MAX(0,1-CV70/H70))</f>
        <v>4.47115384615385</v>
      </c>
      <c r="CY70" s="64" t="n">
        <f aca="false">IF(CS70="","",PERCENTRANK($CS$7:$CS$1843,CS70)+PERCENTRANK($CU$7:$CU$1843,CU70)+1-PERCENTRANK($CT$7:$CT$1843,CT70))</f>
        <v>2.223</v>
      </c>
      <c r="CZ70" s="72" t="n">
        <f aca="false">IF(CS70="","",CHOOSE(MATCH(Einkauf!$C$5,Parameter!$G$23:$G$27,0),CY70,CS70,CU70,-CT70,CW70)+ROW()/1000000000)</f>
        <v>2.22300007</v>
      </c>
    </row>
    <row r="71" customFormat="false" ht="15" hidden="false" customHeight="false" outlineLevel="0" collapsed="false">
      <c r="A71" s="60" t="s">
        <v>384</v>
      </c>
      <c r="B71" s="60" t="s">
        <v>385</v>
      </c>
      <c r="C71" s="60" t="s">
        <v>206</v>
      </c>
      <c r="D71" s="60" t="s">
        <v>215</v>
      </c>
      <c r="E71" s="60" t="s">
        <v>208</v>
      </c>
      <c r="F71" s="60" t="s">
        <v>260</v>
      </c>
      <c r="G71" s="61" t="n">
        <v>136.73</v>
      </c>
      <c r="H71" s="62" t="n">
        <f aca="false">MAX(0,IF(AND(Parameter!$B$21="Ja",ISNUMBER(Y71)),Y71,IF(Parameter!$B$20="Jahresanfang 2025 + Export",BS71+BR71,BR71)))</f>
        <v>31</v>
      </c>
      <c r="I71" s="62" t="n">
        <f aca="false">H71*G71</f>
        <v>4238.63</v>
      </c>
      <c r="J71" s="62" t="n">
        <f aca="false">BU71*Parameter!$B$18</f>
        <v>30</v>
      </c>
      <c r="K71" s="63" t="n">
        <v>15</v>
      </c>
      <c r="L71" s="64" t="n">
        <v>2</v>
      </c>
      <c r="M71" s="62" t="n">
        <v>1</v>
      </c>
      <c r="N71" s="62" t="n">
        <v>30</v>
      </c>
      <c r="O71" s="65" t="n">
        <v>21</v>
      </c>
      <c r="P71" s="60" t="s">
        <v>216</v>
      </c>
      <c r="Q71" s="62" t="n">
        <v>24</v>
      </c>
      <c r="R71" s="65" t="n">
        <f aca="false">IF(CA71=1,0,IFERROR(VLOOKUP(BY71,'Gebinde-Kategorie'!$A$5:$N$45,13,0)+0,0))</f>
        <v>6</v>
      </c>
      <c r="S71" s="66"/>
      <c r="T71" s="67"/>
      <c r="U71" s="67"/>
      <c r="V71" s="67"/>
      <c r="W71" s="60"/>
      <c r="X71" s="62"/>
      <c r="Y71" s="62"/>
      <c r="Z71" s="60" t="n">
        <v>2</v>
      </c>
      <c r="AA71" s="60" t="n">
        <f aca="false">IF(A71="","",IF(AND(Parameter!$B$21="Ja",ISNUMBER(W71)),W71,IF(AND(Parameter!$E$27="Ja",ISNUMBER(Z71),CD71&lt;&gt;"Nein"),Z71,IF(CD71="2+3",IF(ISNUMBER(SEARCH("grosser Artikel",BV71)),2,IFERROR(VLOOKUP(BY71,Parameter!$F$35:$G$64,2,0),2)),IF(OR(CD71="Nein",CD71=""),"-",CD71)))))</f>
        <v>2</v>
      </c>
      <c r="AB71" s="67"/>
      <c r="AC71" s="68"/>
      <c r="AD71" s="62" t="n">
        <f aca="false">AW71</f>
        <v>31</v>
      </c>
      <c r="AE71" s="62" t="n">
        <f aca="false">MAX(AW71,H71)</f>
        <v>31</v>
      </c>
      <c r="AF71" s="69"/>
      <c r="AG71" s="62" t="n">
        <f aca="false">IF(LEFT(Cockpit!$C$5,1)="A",H71,IF(Parameter!$E$30="MAX-Bestand",IF(CI71=1,CJ71,IF(LEFT(Cockpit!$C$5,1)="B",AM71,MAX(AM71,H71))),ROUNDUP(AK71,0)))</f>
        <v>31</v>
      </c>
      <c r="AH71" s="62" t="n">
        <f aca="false">IF(CA71=1,0,ROUNDUP(AG71/BZ71,0))</f>
        <v>2</v>
      </c>
      <c r="AI71" s="64" t="n">
        <f aca="false">IF(CR71&gt;0,CR71*MAX(1,AG71/X71),IF(CA71=1,IF(AG71&lt;=0,0,CE71*MAX(1,IF(H71&gt;0,AG71/H71,1))),IF(R71&gt;0,AH71/R71,0))/MAX(0.1,N(Parameter!$M$21)))</f>
        <v>0.333333333333333</v>
      </c>
      <c r="AJ71" s="62" t="n">
        <f aca="false">AI71*CC71</f>
        <v>78.3333333333333</v>
      </c>
      <c r="AK71" s="63" t="n">
        <f aca="false">IF(LEFT(Cockpit!$C$5,1)="A",H71,IF(CI71=1,(CL71+CJ71)/2,IF(LEFT(Cockpit!$C$5,1)="B",(CL71+AM71)/2,MAX((CL71+AM71)/2,H71))))</f>
        <v>31</v>
      </c>
      <c r="AL71" s="62" t="n">
        <f aca="false">AK71*G71</f>
        <v>4238.63</v>
      </c>
      <c r="AM71" s="62" t="n">
        <f aca="false">ROUNDUP(CL71+MAX(CM71,2*(J71/IF(CH71&gt;0,CH71,MAX(0.1,N(Cockpit!$C$6)))-CL71)),0)</f>
        <v>31</v>
      </c>
      <c r="AN71" s="63" t="n">
        <f aca="false">IF(AJ71&gt;0,J71/AJ71,-1)</f>
        <v>0.382978723404255</v>
      </c>
      <c r="AO71" s="63" t="n">
        <f aca="false">IF(AND(OR(CG71="L1",CG71="L23",CG71="LIFT"),AJ71&gt;0),SUMIFS($AJ$7:$AJ$1843,$CG$7:$CG$1843,CG71,$AN$7:$AN$1843,"&gt;"&amp;AN71)+SUMIFS($AJ$7:$AJ$1843,$CG$7:$CG$1843,CG71,$AN$7:$AN$1843,AN71,$BX$7:$BX$1843,"&lt;="&amp;BX71),"")</f>
        <v>10380.9999715445</v>
      </c>
      <c r="AP71" s="70" t="n">
        <f aca="false">IF(AO71="",0,MAX(0,MIN(1,(IF(CG71="L1",Parameter!$H$5,IF(CG71="L23",Parameter!$H$6+Parameter!$H$7,Parameter!$H$5+Parameter!$H$6+Parameter!$H$7))-(AO71-AJ71))/AJ71)))</f>
        <v>1</v>
      </c>
      <c r="AQ71" s="62" t="n">
        <f aca="false">IF(LEFT(Cockpit!$I$5,1)="A",H71,IF(Parameter!$E$30="MAX-Bestand",IF(CI71=1,CJ71,IF(LEFT(Cockpit!$I$5,1)="B",AW71,MAX(AW71,H71))),ROUNDUP(AU71,0)))</f>
        <v>31</v>
      </c>
      <c r="AR71" s="62" t="n">
        <f aca="false">IF(CA71=1,0,ROUNDUP(AQ71/BZ71,0))</f>
        <v>2</v>
      </c>
      <c r="AS71" s="64" t="n">
        <f aca="false">IF(CR71&gt;0,CR71*MAX(1,AQ71/X71),IF(CA71=1,IF(AQ71&lt;=0,0,CE71*MAX(1,IF(H71&gt;0,AQ71/H71,1))),IF(R71&gt;0,AR71/R71,0))/MAX(0.1,N(Parameter!$M$21)))</f>
        <v>0.333333333333333</v>
      </c>
      <c r="AT71" s="62" t="n">
        <f aca="false">AS71*CC71</f>
        <v>78.3333333333333</v>
      </c>
      <c r="AU71" s="63" t="n">
        <f aca="false">IF(LEFT(Cockpit!$I$5,1)="A",H71,IF(CI71=1,(CL71+CJ71)/2,IF(LEFT(Cockpit!$I$5,1)="B",(CL71+AW71)/2,MAX((CL71+AW71)/2,H71))))</f>
        <v>31</v>
      </c>
      <c r="AV71" s="62" t="n">
        <f aca="false">AU71*G71</f>
        <v>4238.63</v>
      </c>
      <c r="AW71" s="62" t="n">
        <f aca="false">ROUNDUP(CL71+MAX(CM71,2*(J71/IF(CH71&gt;0,CH71,MAX(0.1,N(Cockpit!$I$6)))-CL71)),0)</f>
        <v>31</v>
      </c>
      <c r="AX71" s="63" t="n">
        <f aca="false">IF(AT71&gt;0,J71/AT71,-1)</f>
        <v>0.382978723404255</v>
      </c>
      <c r="AY71" s="63" t="n">
        <f aca="false">IF(AND(OR(CG71="L1",CG71="L23",CG71="LIFT"),AT71&gt;0),SUMIFS($AT$7:$AT$1843,$CG$7:$CG$1843,CG71,$AX$7:$AX$1843,"&gt;"&amp;AX71)+SUMIFS($AT$7:$AT$1843,$CG$7:$CG$1843,CG71,$AX$7:$AX$1843,AX71,$BX$7:$BX$1843,"&lt;="&amp;BX71),"")</f>
        <v>13112.7532051282</v>
      </c>
      <c r="AZ71" s="70" t="n">
        <f aca="false">IF(AY71="",0,MAX(0,MIN(1,(IF(CG71="L1",Parameter!$H$5,IF(CG71="L23",Parameter!$H$6+Parameter!$H$7,Parameter!$H$5+Parameter!$H$6+Parameter!$H$7))-(AY71-AT71))/AT71)))</f>
        <v>1</v>
      </c>
      <c r="BA71" s="62" t="n">
        <f aca="false">IF(LEFT(Cockpit!$O$5,1)="A",H71,IF(Parameter!$E$30="MAX-Bestand",IF(CI71=1,CJ71,IF(LEFT(Cockpit!$O$5,1)="B",BG71,MAX(BG71,H71))),ROUNDUP(BE71,0)))</f>
        <v>16</v>
      </c>
      <c r="BB71" s="62" t="n">
        <f aca="false">IF(CA71=1,0,ROUNDUP(BA71/BZ71,0))</f>
        <v>1</v>
      </c>
      <c r="BC71" s="64" t="n">
        <f aca="false">IF(CR71&gt;0,CR71*MAX(1,BA71/X71),IF(CA71=1,IF(BA71&lt;=0,0,CE71*MAX(1,IF(H71&gt;0,BA71/H71,1))),IF(R71&gt;0,BB71/R71,0))/MAX(0.1,N(Parameter!$M$21)))</f>
        <v>0.166666666666667</v>
      </c>
      <c r="BD71" s="62" t="n">
        <f aca="false">BC71*CC71</f>
        <v>39.1666666666667</v>
      </c>
      <c r="BE71" s="63" t="n">
        <f aca="false">IF(LEFT(Cockpit!$O$5,1)="A",H71,IF(CI71=1,(CL71+CJ71)/2,IF(LEFT(Cockpit!$O$5,1)="B",(CL71+BG71)/2,MAX((CL71+BG71)/2,H71))))</f>
        <v>16</v>
      </c>
      <c r="BF71" s="62" t="n">
        <f aca="false">BE71*G71</f>
        <v>2187.68</v>
      </c>
      <c r="BG71" s="62" t="n">
        <f aca="false">ROUNDUP(CL71+MAX(CM71,2*(J71/IF(CH71&gt;0,CH71,MAX(0.1,N(Cockpit!$O$6)))-CL71)),0)</f>
        <v>31</v>
      </c>
      <c r="BH71" s="63" t="n">
        <f aca="false">IF(BD71&gt;0,J71/BD71,-1)</f>
        <v>0.765957446808511</v>
      </c>
      <c r="BI71" s="63" t="n">
        <f aca="false">IF(AND(OR(CG71="L1",CG71="L23",CG71="LIFT"),BD71&gt;0),SUMIFS($BD$7:$BD$1843,$CG$7:$CG$1843,CG71,$BH$7:$BH$1843,"&gt;"&amp;BH71)+SUMIFS($BD$7:$BD$1843,$CG$7:$CG$1843,CG71,$BH$7:$BH$1843,BH71,$BX$7:$BX$1843,"&lt;="&amp;BX71),"")</f>
        <v>8961.85302197802</v>
      </c>
      <c r="BJ71" s="70" t="n">
        <f aca="false">IF(BI71="",0,MAX(0,MIN(1,(IF(CG71="L1",Parameter!$H$5,IF(CG71="L23",Parameter!$H$6+Parameter!$H$7,Parameter!$H$5+Parameter!$H$6+Parameter!$H$7))-(BI71-BD71))/BD71)))</f>
        <v>1</v>
      </c>
      <c r="BK71" s="60" t="str">
        <f aca="false">IF(AJ71&lt;=0,"",IF(CG71="Aussen","Aussenlager",IF(CG71="-","Nicht im Lift",IF(AP71&gt;=1,"Lift",IF(AP71&lt;=0,"Aussenlager","teilweise")))))</f>
        <v>Lift</v>
      </c>
      <c r="BL71" s="60" t="str">
        <f aca="false">IF(AT71&lt;=0,"",IF(CG71="Aussen","Aussenlager",IF(CG71="-","Nicht im Lift",IF(AZ71&gt;=1,"Lift",IF(AZ71&lt;=0,"Aussenlager","teilweise")))))</f>
        <v>Lift</v>
      </c>
      <c r="BM71" s="60" t="str">
        <f aca="false">IF(BD71&lt;=0,"",IF(CG71="Aussen","Aussenlager",IF(CG71="-","Nicht im Lift",IF(BJ71&gt;=1,"Lift",IF(BJ71&lt;=0,"Aussenlager","teilweise")))))</f>
        <v>Lift</v>
      </c>
      <c r="BN71" s="60" t="str">
        <f aca="false">IF(A71="","",IF(BW71=1,"Neu; ","")&amp;IF(AND(BW71=0,BR71&lt;0),"negativer Bestand (Export "&amp;BR71&amp;"); ","")&amp;IF(J71&lt;=0,"Kein Verbrauch; ","")&amp;IF(CR71&gt;0,"Lift "&amp;W71&amp;" lt. Liftbericht (Fach "&amp;X71&amp;" Stk); ",IF(CB71=1,"Gebinde geschätzt ("&amp;T71&amp;"); ",IF(CA71=1,"Lose – Tablare geschätzt; ","")))&amp;IF(H71&gt;AW71,"Überbestand "&amp;ROUND(H71-AW71,0)&amp;" Stk / CHF "&amp;ROUND((H71-AW71)*G71,0)&amp;"; ","")&amp;IF(AND(CI71=1,CJ71&lt;CK71),"MAX &lt; MB+LG; ","")&amp;IF(AND(CQ71&gt;0,CP71*10&gt;CQ71),"zu hoch für Tablar; ","")&amp;IF(AND(BW71=0,OR(CI71=1,AB71&lt;&gt;"",U71&lt;&gt;"",V71&lt;&gt;"",AC71&lt;&gt;"")),"manuell übersteuert; ","")&amp;IF(AND(CA71=0,R71=0),"Gebinde unbekannt / Stellmass fehlt; ","")&amp;IF(AND(CA71=0,N(V71)&lt;=0,N(Q71)&lt;=0),"Menge pro Gebinde fehlt (Ist = 1 Gebinde); ","")&amp;BV71)</f>
        <v/>
      </c>
      <c r="BO71" s="60" t="s">
        <v>386</v>
      </c>
      <c r="BP71" s="60" t="s">
        <v>387</v>
      </c>
      <c r="BQ71" s="67"/>
      <c r="BR71" s="62" t="n">
        <v>26</v>
      </c>
      <c r="BS71" s="62" t="n">
        <v>5</v>
      </c>
      <c r="BT71" s="61" t="n">
        <v>3578.48</v>
      </c>
      <c r="BU71" s="62" t="n">
        <v>30</v>
      </c>
      <c r="BV71" s="60"/>
      <c r="BW71" s="65" t="n">
        <v>0</v>
      </c>
      <c r="BX71" s="65" t="n">
        <v>71</v>
      </c>
      <c r="BY71" s="60" t="str">
        <f aca="false">IF(U71&lt;&gt;"",UPPER(TRIM(U71)),IF(CB71=1,UPPER(VLOOKUP(T71,Parameter!$I$27:$K$29,2,0)),IF(P71="","LOSE",P71)))</f>
        <v>S71</v>
      </c>
      <c r="BZ71" s="62" t="n">
        <f aca="false">IF(BY71="LOSE",1,IF(N(V71)&gt;0,V71,IF(CB71=1,MAX(1,N(VLOOKUP(T71,Parameter!$I$27:$K$29,3,0)),H71,N(N71)),IF(N(Q71)&gt;0,Q71,MAX(1,H71)))))</f>
        <v>24</v>
      </c>
      <c r="CA71" s="65" t="n">
        <f aca="false">IF(BY71="LOSE",1,0)</f>
        <v>0</v>
      </c>
      <c r="CB71" s="65" t="n">
        <f aca="false">IF(AND(U71="",OR(P71="",P71="LOSE"),T71&lt;&gt;"",N(S71)&lt;=0,ISNUMBER(MATCH(T71,Parameter!$I$27:$I$29,0))),1,0)</f>
        <v>0</v>
      </c>
      <c r="CC71" s="65" t="n">
        <f aca="false">IF(CR71&gt;0,INDEX(Parameter!$H$5:$H$7,W71)/INDEX(Parameter!$E$5:$E$7,W71),IF(AND(CA71=0,N(IFERROR(VLOOKUP(BY71,'Gebinde-Kategorie'!$A$5:$N$45,14,0),0))&gt;0),VLOOKUP(BY71,'Gebinde-Kategorie'!$A$5:$N$45,14,0)*10+Parameter!$M$23,Parameter!$M$24))</f>
        <v>235</v>
      </c>
      <c r="CD71" s="60" t="n">
        <f aca="false">IF(AND(Parameter!$B$19="Ja",E71&lt;&gt;"",ISNUMBER(MATCH(E71,Parameter!$I$35:$I$52,0))),VLOOKUP(E71,Parameter!$I$35:$J$52,2,0),IFERROR(VLOOKUP(D71,Parameter!$A$35:$C$64,2,0),"Nein"))</f>
        <v>1</v>
      </c>
      <c r="CE71" s="64" t="n">
        <f aca="false">IF(CA71=0,0,IF(N(S71)&gt;0,S71,IFERROR(VLOOKUP(D71,Parameter!$A$35:$C$64,3,0)+0,0)))</f>
        <v>0</v>
      </c>
      <c r="CF71" s="60" t="n">
        <f aca="false">IF(AB71&lt;&gt;"",AB71,AA71)</f>
        <v>2</v>
      </c>
      <c r="CG71" s="60" t="str">
        <f aca="false">IF(OR(CF71=1,CF71=2,CF71=3),IF(Parameter!$E$27="Ja","LIFT",IF(CF71=1,"L1","L23")),IF(CF71="Aussen","Aussen","-"))</f>
        <v>LIFT</v>
      </c>
      <c r="CH71" s="71" t="n">
        <f aca="false">IF(N(AC71)&gt;0,AC71,0)</f>
        <v>0</v>
      </c>
      <c r="CI71" s="65" t="n">
        <f aca="false">IF(ISNUMBER(AF71),1,0)</f>
        <v>0</v>
      </c>
      <c r="CJ71" s="62" t="n">
        <f aca="false">N(AF71)</f>
        <v>0</v>
      </c>
      <c r="CK71" s="62" t="n">
        <f aca="false">N(M71)+N(N71)</f>
        <v>31</v>
      </c>
      <c r="CL71" s="62" t="n">
        <f aca="false">N(M71)</f>
        <v>1</v>
      </c>
      <c r="CM71" s="62" t="n">
        <f aca="false">N(N71)</f>
        <v>30</v>
      </c>
      <c r="CN71" s="62" t="n">
        <f aca="false">ROUNDUP(H71/BZ71,0)</f>
        <v>2</v>
      </c>
      <c r="CO71" s="62" t="n">
        <f aca="false">ROUNDUP(CJ71/BZ71,0)</f>
        <v>0</v>
      </c>
      <c r="CP71" s="65" t="n">
        <f aca="false">IF(CA71=1,0,IFERROR(VLOOKUP(BY71,'Gebinde-Kategorie'!$A$5:$N$45,5,0)+0,0))</f>
        <v>20</v>
      </c>
      <c r="CQ71" s="65" t="n">
        <f aca="false">IFERROR(IF(OR(CF71=1,CF71=2,CF71=3),N(INDEX(Parameter!$I$5:$I$7,CF71)),0),0)</f>
        <v>0</v>
      </c>
      <c r="CR71" s="64" t="n">
        <f aca="false">IF(AND(Parameter!$B$21="Ja",ISNUMBER(W71),N(X71)&gt;0),IFERROR(N(INDEX(Parameter!$L$5:$L$7,W71))*INDEX(Parameter!$E$5:$E$7,W71)*X71/SUMIFS($X$7:$X$1843,$W$7:$W$1843,W71),0),0)</f>
        <v>0</v>
      </c>
      <c r="CS71" s="62" t="n">
        <f aca="false">IF(AND(OR(CG71="L1",CG71="L23",CG71="LIFT"),H71&gt;0),CC71*IF(CR71&gt;0,CR71*MAX(1,H71/X71),IF(CA71=1,CE71,IF(R71&gt;0,CN71/R71,0))/MAX(0.1,N(Parameter!$M$21))),"")</f>
        <v>78.3333333333333</v>
      </c>
      <c r="CT71" s="64" t="n">
        <f aca="false">IF(CS71="","",J71/H71)</f>
        <v>0.967741935483871</v>
      </c>
      <c r="CU71" s="62" t="n">
        <f aca="false">IF(CS71="","",H71*G71)</f>
        <v>4238.63</v>
      </c>
      <c r="CV71" s="63" t="n">
        <f aca="false">IF(CS71="","",(CL71+ROUNDUP(CL71+MAX(CM71,2*(J71/MAX(0.1,N(Einkauf!$C$6))-CL71)),0))/2)</f>
        <v>16</v>
      </c>
      <c r="CW71" s="62" t="n">
        <f aca="false">IF(CS71="","",MAX(0,H71-CV71)*G71)</f>
        <v>2050.95</v>
      </c>
      <c r="CX71" s="62" t="n">
        <f aca="false">IF(CS71="","",CS71*MAX(0,1-CV71/H71))</f>
        <v>37.9032258064516</v>
      </c>
      <c r="CY71" s="64" t="n">
        <f aca="false">IF(CS71="","",PERCENTRANK($CS$7:$CS$1843,CS71)+PERCENTRANK($CU$7:$CU$1843,CU71)+1-PERCENTRANK($CT$7:$CT$1843,CT71))</f>
        <v>2.204</v>
      </c>
      <c r="CZ71" s="72" t="n">
        <f aca="false">IF(CS71="","",CHOOSE(MATCH(Einkauf!$C$5,Parameter!$G$23:$G$27,0),CY71,CS71,CU71,-CT71,CW71)+ROW()/1000000000)</f>
        <v>2.204000071</v>
      </c>
    </row>
    <row r="72" customFormat="false" ht="15" hidden="false" customHeight="false" outlineLevel="0" collapsed="false">
      <c r="A72" s="60" t="s">
        <v>388</v>
      </c>
      <c r="B72" s="60" t="s">
        <v>389</v>
      </c>
      <c r="C72" s="60" t="s">
        <v>206</v>
      </c>
      <c r="D72" s="60" t="s">
        <v>215</v>
      </c>
      <c r="E72" s="60" t="s">
        <v>227</v>
      </c>
      <c r="F72" s="60" t="s">
        <v>260</v>
      </c>
      <c r="G72" s="61" t="n">
        <v>176.61</v>
      </c>
      <c r="H72" s="62" t="n">
        <f aca="false">MAX(0,IF(AND(Parameter!$B$21="Ja",ISNUMBER(Y72)),Y72,IF(Parameter!$B$20="Jahresanfang 2025 + Export",BS72+BR72,BR72)))</f>
        <v>46</v>
      </c>
      <c r="I72" s="62" t="n">
        <f aca="false">H72*G72</f>
        <v>8124.06</v>
      </c>
      <c r="J72" s="62" t="n">
        <f aca="false">BU72*Parameter!$B$18</f>
        <v>75</v>
      </c>
      <c r="K72" s="63" t="n">
        <v>46.5</v>
      </c>
      <c r="L72" s="64" t="n">
        <v>1.61290322580645</v>
      </c>
      <c r="M72" s="62" t="n">
        <v>15</v>
      </c>
      <c r="N72" s="62" t="n">
        <v>35</v>
      </c>
      <c r="O72" s="65" t="n">
        <v>60</v>
      </c>
      <c r="P72" s="60" t="s">
        <v>390</v>
      </c>
      <c r="Q72" s="62" t="n">
        <v>38</v>
      </c>
      <c r="R72" s="65" t="n">
        <f aca="false">IF(CA72=1,0,IFERROR(VLOOKUP(BY72,'Gebinde-Kategorie'!$A$5:$N$45,13,0)+0,0))</f>
        <v>4</v>
      </c>
      <c r="S72" s="66"/>
      <c r="T72" s="67"/>
      <c r="U72" s="67"/>
      <c r="V72" s="67"/>
      <c r="W72" s="60"/>
      <c r="X72" s="62"/>
      <c r="Y72" s="62"/>
      <c r="Z72" s="60" t="n">
        <v>2</v>
      </c>
      <c r="AA72" s="60" t="n">
        <f aca="false">IF(A72="","",IF(AND(Parameter!$B$21="Ja",ISNUMBER(W72)),W72,IF(AND(Parameter!$E$27="Ja",ISNUMBER(Z72),CD72&lt;&gt;"Nein"),Z72,IF(CD72="2+3",IF(ISNUMBER(SEARCH("grosser Artikel",BV72)),2,IFERROR(VLOOKUP(BY72,Parameter!$F$35:$G$64,2,0),2)),IF(OR(CD72="Nein",CD72=""),"-",CD72)))))</f>
        <v>2</v>
      </c>
      <c r="AB72" s="67"/>
      <c r="AC72" s="68"/>
      <c r="AD72" s="62" t="n">
        <f aca="false">AW72</f>
        <v>50</v>
      </c>
      <c r="AE72" s="62" t="n">
        <f aca="false">MAX(AW72,H72)</f>
        <v>50</v>
      </c>
      <c r="AF72" s="69"/>
      <c r="AG72" s="62" t="n">
        <f aca="false">IF(LEFT(Cockpit!$C$5,1)="A",H72,IF(Parameter!$E$30="MAX-Bestand",IF(CI72=1,CJ72,IF(LEFT(Cockpit!$C$5,1)="B",AM72,MAX(AM72,H72))),ROUNDUP(AK72,0)))</f>
        <v>46</v>
      </c>
      <c r="AH72" s="62" t="n">
        <f aca="false">IF(CA72=1,0,ROUNDUP(AG72/BZ72,0))</f>
        <v>2</v>
      </c>
      <c r="AI72" s="64" t="n">
        <f aca="false">IF(CR72&gt;0,CR72*MAX(1,AG72/X72),IF(CA72=1,IF(AG72&lt;=0,0,CE72*MAX(1,IF(H72&gt;0,AG72/H72,1))),IF(R72&gt;0,AH72/R72,0))/MAX(0.1,N(Parameter!$M$21)))</f>
        <v>0.5</v>
      </c>
      <c r="AJ72" s="62" t="n">
        <f aca="false">AI72*CC72</f>
        <v>217.5</v>
      </c>
      <c r="AK72" s="63" t="n">
        <f aca="false">IF(LEFT(Cockpit!$C$5,1)="A",H72,IF(CI72=1,(CL72+CJ72)/2,IF(LEFT(Cockpit!$C$5,1)="B",(CL72+AM72)/2,MAX((CL72+AM72)/2,H72))))</f>
        <v>46</v>
      </c>
      <c r="AL72" s="62" t="n">
        <f aca="false">AK72*G72</f>
        <v>8124.06</v>
      </c>
      <c r="AM72" s="62" t="n">
        <f aca="false">ROUNDUP(CL72+MAX(CM72,2*(J72/IF(CH72&gt;0,CH72,MAX(0.1,N(Cockpit!$C$6)))-CL72)),0)</f>
        <v>50</v>
      </c>
      <c r="AN72" s="63" t="n">
        <f aca="false">IF(AJ72&gt;0,J72/AJ72,-1)</f>
        <v>0.344827586206897</v>
      </c>
      <c r="AO72" s="63" t="n">
        <f aca="false">IF(AND(OR(CG72="L1",CG72="L23",CG72="LIFT"),AJ72&gt;0),SUMIFS($AJ$7:$AJ$1843,$CG$7:$CG$1843,CG72,$AN$7:$AN$1843,"&gt;"&amp;AN72)+SUMIFS($AJ$7:$AJ$1843,$CG$7:$CG$1843,CG72,$AN$7:$AN$1843,AN72,$BX$7:$BX$1843,"&lt;="&amp;BX72),"")</f>
        <v>10934.7499715445</v>
      </c>
      <c r="AP72" s="70" t="n">
        <f aca="false">IF(AO72="",0,MAX(0,MIN(1,(IF(CG72="L1",Parameter!$H$5,IF(CG72="L23",Parameter!$H$6+Parameter!$H$7,Parameter!$H$5+Parameter!$H$6+Parameter!$H$7))-(AO72-AJ72))/AJ72)))</f>
        <v>1</v>
      </c>
      <c r="AQ72" s="62" t="n">
        <f aca="false">IF(LEFT(Cockpit!$I$5,1)="A",H72,IF(Parameter!$E$30="MAX-Bestand",IF(CI72=1,CJ72,IF(LEFT(Cockpit!$I$5,1)="B",AW72,MAX(AW72,H72))),ROUNDUP(AU72,0)))</f>
        <v>46</v>
      </c>
      <c r="AR72" s="62" t="n">
        <f aca="false">IF(CA72=1,0,ROUNDUP(AQ72/BZ72,0))</f>
        <v>2</v>
      </c>
      <c r="AS72" s="64" t="n">
        <f aca="false">IF(CR72&gt;0,CR72*MAX(1,AQ72/X72),IF(CA72=1,IF(AQ72&lt;=0,0,CE72*MAX(1,IF(H72&gt;0,AQ72/H72,1))),IF(R72&gt;0,AR72/R72,0))/MAX(0.1,N(Parameter!$M$21)))</f>
        <v>0.5</v>
      </c>
      <c r="AT72" s="62" t="n">
        <f aca="false">AS72*CC72</f>
        <v>217.5</v>
      </c>
      <c r="AU72" s="63" t="n">
        <f aca="false">IF(LEFT(Cockpit!$I$5,1)="A",H72,IF(CI72=1,(CL72+CJ72)/2,IF(LEFT(Cockpit!$I$5,1)="B",(CL72+AW72)/2,MAX((CL72+AW72)/2,H72))))</f>
        <v>46</v>
      </c>
      <c r="AV72" s="62" t="n">
        <f aca="false">AU72*G72</f>
        <v>8124.06</v>
      </c>
      <c r="AW72" s="62" t="n">
        <f aca="false">ROUNDUP(CL72+MAX(CM72,2*(J72/IF(CH72&gt;0,CH72,MAX(0.1,N(Cockpit!$I$6)))-CL72)),0)</f>
        <v>50</v>
      </c>
      <c r="AX72" s="63" t="n">
        <f aca="false">IF(AT72&gt;0,J72/AT72,-1)</f>
        <v>0.344827586206897</v>
      </c>
      <c r="AY72" s="63" t="n">
        <f aca="false">IF(AND(OR(CG72="L1",CG72="L23",CG72="LIFT"),AT72&gt;0),SUMIFS($AT$7:$AT$1843,$CG$7:$CG$1843,CG72,$AX$7:$AX$1843,"&gt;"&amp;AX72)+SUMIFS($AT$7:$AT$1843,$CG$7:$CG$1843,CG72,$AX$7:$AX$1843,AX72,$BX$7:$BX$1843,"&lt;="&amp;BX72),"")</f>
        <v>13666.5032051282</v>
      </c>
      <c r="AZ72" s="70" t="n">
        <f aca="false">IF(AY72="",0,MAX(0,MIN(1,(IF(CG72="L1",Parameter!$H$5,IF(CG72="L23",Parameter!$H$6+Parameter!$H$7,Parameter!$H$5+Parameter!$H$6+Parameter!$H$7))-(AY72-AT72))/AT72)))</f>
        <v>1</v>
      </c>
      <c r="BA72" s="62" t="n">
        <f aca="false">IF(LEFT(Cockpit!$O$5,1)="A",H72,IF(Parameter!$E$30="MAX-Bestand",IF(CI72=1,CJ72,IF(LEFT(Cockpit!$O$5,1)="B",BG72,MAX(BG72,H72))),ROUNDUP(BE72,0)))</f>
        <v>33</v>
      </c>
      <c r="BB72" s="62" t="n">
        <f aca="false">IF(CA72=1,0,ROUNDUP(BA72/BZ72,0))</f>
        <v>1</v>
      </c>
      <c r="BC72" s="64" t="n">
        <f aca="false">IF(CR72&gt;0,CR72*MAX(1,BA72/X72),IF(CA72=1,IF(BA72&lt;=0,0,CE72*MAX(1,IF(H72&gt;0,BA72/H72,1))),IF(R72&gt;0,BB72/R72,0))/MAX(0.1,N(Parameter!$M$21)))</f>
        <v>0.25</v>
      </c>
      <c r="BD72" s="62" t="n">
        <f aca="false">BC72*CC72</f>
        <v>108.75</v>
      </c>
      <c r="BE72" s="63" t="n">
        <f aca="false">IF(LEFT(Cockpit!$O$5,1)="A",H72,IF(CI72=1,(CL72+CJ72)/2,IF(LEFT(Cockpit!$O$5,1)="B",(CL72+BG72)/2,MAX((CL72+BG72)/2,H72))))</f>
        <v>32.5</v>
      </c>
      <c r="BF72" s="62" t="n">
        <f aca="false">BE72*G72</f>
        <v>5739.825</v>
      </c>
      <c r="BG72" s="62" t="n">
        <f aca="false">ROUNDUP(CL72+MAX(CM72,2*(J72/IF(CH72&gt;0,CH72,MAX(0.1,N(Cockpit!$O$6)))-CL72)),0)</f>
        <v>50</v>
      </c>
      <c r="BH72" s="63" t="n">
        <f aca="false">IF(BD72&gt;0,J72/BD72,-1)</f>
        <v>0.689655172413793</v>
      </c>
      <c r="BI72" s="63" t="n">
        <f aca="false">IF(AND(OR(CG72="L1",CG72="L23",CG72="LIFT"),BD72&gt;0),SUMIFS($BD$7:$BD$1843,$CG$7:$CG$1843,CG72,$BH$7:$BH$1843,"&gt;"&amp;BH72)+SUMIFS($BD$7:$BD$1843,$CG$7:$CG$1843,CG72,$BH$7:$BH$1843,BH72,$BX$7:$BX$1843,"&lt;="&amp;BX72),"")</f>
        <v>9485.63507326007</v>
      </c>
      <c r="BJ72" s="70" t="n">
        <f aca="false">IF(BI72="",0,MAX(0,MIN(1,(IF(CG72="L1",Parameter!$H$5,IF(CG72="L23",Parameter!$H$6+Parameter!$H$7,Parameter!$H$5+Parameter!$H$6+Parameter!$H$7))-(BI72-BD72))/BD72)))</f>
        <v>1</v>
      </c>
      <c r="BK72" s="60" t="str">
        <f aca="false">IF(AJ72&lt;=0,"",IF(CG72="Aussen","Aussenlager",IF(CG72="-","Nicht im Lift",IF(AP72&gt;=1,"Lift",IF(AP72&lt;=0,"Aussenlager","teilweise")))))</f>
        <v>Lift</v>
      </c>
      <c r="BL72" s="60" t="str">
        <f aca="false">IF(AT72&lt;=0,"",IF(CG72="Aussen","Aussenlager",IF(CG72="-","Nicht im Lift",IF(AZ72&gt;=1,"Lift",IF(AZ72&lt;=0,"Aussenlager","teilweise")))))</f>
        <v>Lift</v>
      </c>
      <c r="BM72" s="60" t="str">
        <f aca="false">IF(BD72&lt;=0,"",IF(CG72="Aussen","Aussenlager",IF(CG72="-","Nicht im Lift",IF(BJ72&gt;=1,"Lift",IF(BJ72&lt;=0,"Aussenlager","teilweise")))))</f>
        <v>Lift</v>
      </c>
      <c r="BN72" s="60" t="str">
        <f aca="false">IF(A72="","",IF(BW72=1,"Neu; ","")&amp;IF(AND(BW72=0,BR72&lt;0),"negativer Bestand (Export "&amp;BR72&amp;"); ","")&amp;IF(J72&lt;=0,"Kein Verbrauch; ","")&amp;IF(CR72&gt;0,"Lift "&amp;W72&amp;" lt. Liftbericht (Fach "&amp;X72&amp;" Stk); ",IF(CB72=1,"Gebinde geschätzt ("&amp;T72&amp;"); ",IF(CA72=1,"Lose – Tablare geschätzt; ","")))&amp;IF(H72&gt;AW72,"Überbestand "&amp;ROUND(H72-AW72,0)&amp;" Stk / CHF "&amp;ROUND((H72-AW72)*G72,0)&amp;"; ","")&amp;IF(AND(CI72=1,CJ72&lt;CK72),"MAX &lt; MB+LG; ","")&amp;IF(AND(CQ72&gt;0,CP72*10&gt;CQ72),"zu hoch für Tablar; ","")&amp;IF(AND(BW72=0,OR(CI72=1,AB72&lt;&gt;"",U72&lt;&gt;"",V72&lt;&gt;"",AC72&lt;&gt;"")),"manuell übersteuert; ","")&amp;IF(AND(CA72=0,R72=0),"Gebinde unbekannt / Stellmass fehlt; ","")&amp;IF(AND(CA72=0,N(V72)&lt;=0,N(Q72)&lt;=0),"Menge pro Gebinde fehlt (Ist = 1 Gebinde); ","")&amp;BV72)</f>
        <v>grosser Artikel &amp; nicht im KTL</v>
      </c>
      <c r="BO72" s="60" t="s">
        <v>391</v>
      </c>
      <c r="BP72" s="60" t="s">
        <v>387</v>
      </c>
      <c r="BQ72" s="67"/>
      <c r="BR72" s="62" t="n">
        <v>22</v>
      </c>
      <c r="BS72" s="62" t="n">
        <v>24</v>
      </c>
      <c r="BT72" s="61" t="n">
        <v>3534.78</v>
      </c>
      <c r="BU72" s="62" t="n">
        <v>75</v>
      </c>
      <c r="BV72" s="60" t="s">
        <v>303</v>
      </c>
      <c r="BW72" s="65" t="n">
        <v>0</v>
      </c>
      <c r="BX72" s="65" t="n">
        <v>72</v>
      </c>
      <c r="BY72" s="60" t="str">
        <f aca="false">IF(U72&lt;&gt;"",UPPER(TRIM(U72)),IF(CB72=1,UPPER(VLOOKUP(T72,Parameter!$I$27:$K$29,2,0)),IF(P72="","LOSE",P72)))</f>
        <v>S82</v>
      </c>
      <c r="BZ72" s="62" t="n">
        <f aca="false">IF(BY72="LOSE",1,IF(N(V72)&gt;0,V72,IF(CB72=1,MAX(1,N(VLOOKUP(T72,Parameter!$I$27:$K$29,3,0)),H72,N(N72)),IF(N(Q72)&gt;0,Q72,MAX(1,H72)))))</f>
        <v>38</v>
      </c>
      <c r="CA72" s="65" t="n">
        <f aca="false">IF(BY72="LOSE",1,0)</f>
        <v>0</v>
      </c>
      <c r="CB72" s="65" t="n">
        <f aca="false">IF(AND(U72="",OR(P72="",P72="LOSE"),T72&lt;&gt;"",N(S72)&lt;=0,ISNUMBER(MATCH(T72,Parameter!$I$27:$I$29,0))),1,0)</f>
        <v>0</v>
      </c>
      <c r="CC72" s="65" t="n">
        <f aca="false">IF(CR72&gt;0,INDEX(Parameter!$H$5:$H$7,W72)/INDEX(Parameter!$E$5:$E$7,W72),IF(AND(CA72=0,N(IFERROR(VLOOKUP(BY72,'Gebinde-Kategorie'!$A$5:$N$45,14,0),0))&gt;0),VLOOKUP(BY72,'Gebinde-Kategorie'!$A$5:$N$45,14,0)*10+Parameter!$M$23,Parameter!$M$24))</f>
        <v>435</v>
      </c>
      <c r="CD72" s="60" t="str">
        <f aca="false">IF(AND(Parameter!$B$19="Ja",E72&lt;&gt;"",ISNUMBER(MATCH(E72,Parameter!$I$35:$I$52,0))),VLOOKUP(E72,Parameter!$I$35:$J$52,2,0),IFERROR(VLOOKUP(D72,Parameter!$A$35:$C$64,2,0),"Nein"))</f>
        <v>2+3</v>
      </c>
      <c r="CE72" s="64" t="n">
        <f aca="false">IF(CA72=0,0,IF(N(S72)&gt;0,S72,IFERROR(VLOOKUP(D72,Parameter!$A$35:$C$64,3,0)+0,0)))</f>
        <v>0</v>
      </c>
      <c r="CF72" s="60" t="n">
        <f aca="false">IF(AB72&lt;&gt;"",AB72,AA72)</f>
        <v>2</v>
      </c>
      <c r="CG72" s="60" t="str">
        <f aca="false">IF(OR(CF72=1,CF72=2,CF72=3),IF(Parameter!$E$27="Ja","LIFT",IF(CF72=1,"L1","L23")),IF(CF72="Aussen","Aussen","-"))</f>
        <v>LIFT</v>
      </c>
      <c r="CH72" s="71" t="n">
        <f aca="false">IF(N(AC72)&gt;0,AC72,0)</f>
        <v>0</v>
      </c>
      <c r="CI72" s="65" t="n">
        <f aca="false">IF(ISNUMBER(AF72),1,0)</f>
        <v>0</v>
      </c>
      <c r="CJ72" s="62" t="n">
        <f aca="false">N(AF72)</f>
        <v>0</v>
      </c>
      <c r="CK72" s="62" t="n">
        <f aca="false">N(M72)+N(N72)</f>
        <v>50</v>
      </c>
      <c r="CL72" s="62" t="n">
        <f aca="false">N(M72)</f>
        <v>15</v>
      </c>
      <c r="CM72" s="62" t="n">
        <f aca="false">N(N72)</f>
        <v>35</v>
      </c>
      <c r="CN72" s="62" t="n">
        <f aca="false">ROUNDUP(H72/BZ72,0)</f>
        <v>2</v>
      </c>
      <c r="CO72" s="62" t="n">
        <f aca="false">ROUNDUP(CJ72/BZ72,0)</f>
        <v>0</v>
      </c>
      <c r="CP72" s="65" t="n">
        <f aca="false">IF(CA72=1,0,IFERROR(VLOOKUP(BY72,'Gebinde-Kategorie'!$A$5:$N$45,5,0)+0,0))</f>
        <v>40</v>
      </c>
      <c r="CQ72" s="65" t="n">
        <f aca="false">IFERROR(IF(OR(CF72=1,CF72=2,CF72=3),N(INDEX(Parameter!$I$5:$I$7,CF72)),0),0)</f>
        <v>0</v>
      </c>
      <c r="CR72" s="64" t="n">
        <f aca="false">IF(AND(Parameter!$B$21="Ja",ISNUMBER(W72),N(X72)&gt;0),IFERROR(N(INDEX(Parameter!$L$5:$L$7,W72))*INDEX(Parameter!$E$5:$E$7,W72)*X72/SUMIFS($X$7:$X$1843,$W$7:$W$1843,W72),0),0)</f>
        <v>0</v>
      </c>
      <c r="CS72" s="62" t="n">
        <f aca="false">IF(AND(OR(CG72="L1",CG72="L23",CG72="LIFT"),H72&gt;0),CC72*IF(CR72&gt;0,CR72*MAX(1,H72/X72),IF(CA72=1,CE72,IF(R72&gt;0,CN72/R72,0))/MAX(0.1,N(Parameter!$M$21))),"")</f>
        <v>217.5</v>
      </c>
      <c r="CT72" s="64" t="n">
        <f aca="false">IF(CS72="","",J72/H72)</f>
        <v>1.6304347826087</v>
      </c>
      <c r="CU72" s="62" t="n">
        <f aca="false">IF(CS72="","",H72*G72)</f>
        <v>8124.06</v>
      </c>
      <c r="CV72" s="63" t="n">
        <f aca="false">IF(CS72="","",(CL72+ROUNDUP(CL72+MAX(CM72,2*(J72/MAX(0.1,N(Einkauf!$C$6))-CL72)),0))/2)</f>
        <v>32.5</v>
      </c>
      <c r="CW72" s="62" t="n">
        <f aca="false">IF(CS72="","",MAX(0,H72-CV72)*G72)</f>
        <v>2384.235</v>
      </c>
      <c r="CX72" s="62" t="n">
        <f aca="false">IF(CS72="","",CS72*MAX(0,1-CV72/H72))</f>
        <v>63.8315217391304</v>
      </c>
      <c r="CY72" s="64" t="n">
        <f aca="false">IF(CS72="","",PERCENTRANK($CS$7:$CS$1843,CS72)+PERCENTRANK($CU$7:$CU$1843,CU72)+1-PERCENTRANK($CT$7:$CT$1843,CT72))</f>
        <v>2.142</v>
      </c>
      <c r="CZ72" s="72" t="n">
        <f aca="false">IF(CS72="","",CHOOSE(MATCH(Einkauf!$C$5,Parameter!$G$23:$G$27,0),CY72,CS72,CU72,-CT72,CW72)+ROW()/1000000000)</f>
        <v>2.142000072</v>
      </c>
    </row>
    <row r="73" customFormat="false" ht="15" hidden="false" customHeight="false" outlineLevel="0" collapsed="false">
      <c r="A73" s="60" t="s">
        <v>392</v>
      </c>
      <c r="B73" s="60" t="s">
        <v>334</v>
      </c>
      <c r="C73" s="60" t="s">
        <v>206</v>
      </c>
      <c r="D73" s="60" t="s">
        <v>226</v>
      </c>
      <c r="E73" s="60" t="s">
        <v>227</v>
      </c>
      <c r="F73" s="60" t="s">
        <v>260</v>
      </c>
      <c r="G73" s="61" t="n">
        <v>160.95</v>
      </c>
      <c r="H73" s="62" t="n">
        <f aca="false">MAX(0,IF(AND(Parameter!$B$21="Ja",ISNUMBER(Y73)),Y73,IF(Parameter!$B$20="Jahresanfang 2025 + Export",BS73+BR73,BR73)))</f>
        <v>39</v>
      </c>
      <c r="I73" s="62" t="n">
        <f aca="false">H73*G73</f>
        <v>6277.05</v>
      </c>
      <c r="J73" s="62" t="n">
        <f aca="false">BU73*Parameter!$B$18</f>
        <v>97</v>
      </c>
      <c r="K73" s="63" t="n">
        <v>15.5</v>
      </c>
      <c r="L73" s="64" t="n">
        <v>6.25806451612903</v>
      </c>
      <c r="M73" s="62" t="n">
        <v>10</v>
      </c>
      <c r="N73" s="62" t="n">
        <v>40</v>
      </c>
      <c r="O73" s="65" t="n">
        <v>30</v>
      </c>
      <c r="P73" s="60" t="s">
        <v>344</v>
      </c>
      <c r="Q73" s="62" t="n">
        <v>31</v>
      </c>
      <c r="R73" s="65" t="n">
        <f aca="false">IF(CA73=1,0,IFERROR(VLOOKUP(BY73,'Gebinde-Kategorie'!$A$5:$N$45,13,0)+0,0))</f>
        <v>26</v>
      </c>
      <c r="S73" s="66"/>
      <c r="T73" s="67"/>
      <c r="U73" s="67"/>
      <c r="V73" s="67"/>
      <c r="W73" s="60"/>
      <c r="X73" s="62"/>
      <c r="Y73" s="62"/>
      <c r="Z73" s="60" t="n">
        <v>3</v>
      </c>
      <c r="AA73" s="60" t="n">
        <f aca="false">IF(A73="","",IF(AND(Parameter!$B$21="Ja",ISNUMBER(W73)),W73,IF(AND(Parameter!$E$27="Ja",ISNUMBER(Z73),CD73&lt;&gt;"Nein"),Z73,IF(CD73="2+3",IF(ISNUMBER(SEARCH("grosser Artikel",BV73)),2,IFERROR(VLOOKUP(BY73,Parameter!$F$35:$G$64,2,0),2)),IF(OR(CD73="Nein",CD73=""),"-",CD73)))))</f>
        <v>3</v>
      </c>
      <c r="AB73" s="67"/>
      <c r="AC73" s="68"/>
      <c r="AD73" s="62" t="n">
        <f aca="false">AW73</f>
        <v>55</v>
      </c>
      <c r="AE73" s="62" t="n">
        <f aca="false">MAX(AW73,H73)</f>
        <v>55</v>
      </c>
      <c r="AF73" s="69"/>
      <c r="AG73" s="62" t="n">
        <f aca="false">IF(LEFT(Cockpit!$C$5,1)="A",H73,IF(Parameter!$E$30="MAX-Bestand",IF(CI73=1,CJ73,IF(LEFT(Cockpit!$C$5,1)="B",AM73,MAX(AM73,H73))),ROUNDUP(AK73,0)))</f>
        <v>39</v>
      </c>
      <c r="AH73" s="62" t="n">
        <f aca="false">IF(CA73=1,0,ROUNDUP(AG73/BZ73,0))</f>
        <v>2</v>
      </c>
      <c r="AI73" s="64" t="n">
        <f aca="false">IF(CR73&gt;0,CR73*MAX(1,AG73/X73),IF(CA73=1,IF(AG73&lt;=0,0,CE73*MAX(1,IF(H73&gt;0,AG73/H73,1))),IF(R73&gt;0,AH73/R73,0))/MAX(0.1,N(Parameter!$M$21)))</f>
        <v>0.0769230769230769</v>
      </c>
      <c r="AJ73" s="62" t="n">
        <f aca="false">AI73*CC73</f>
        <v>11.9230769230769</v>
      </c>
      <c r="AK73" s="63" t="n">
        <f aca="false">IF(LEFT(Cockpit!$C$5,1)="A",H73,IF(CI73=1,(CL73+CJ73)/2,IF(LEFT(Cockpit!$C$5,1)="B",(CL73+AM73)/2,MAX((CL73+AM73)/2,H73))))</f>
        <v>39</v>
      </c>
      <c r="AL73" s="62" t="n">
        <f aca="false">AK73*G73</f>
        <v>6277.05</v>
      </c>
      <c r="AM73" s="62" t="n">
        <f aca="false">ROUNDUP(CL73+MAX(CM73,2*(J73/IF(CH73&gt;0,CH73,MAX(0.1,N(Cockpit!$C$6)))-CL73)),0)</f>
        <v>55</v>
      </c>
      <c r="AN73" s="63" t="n">
        <f aca="false">IF(AJ73&gt;0,J73/AJ73,-1)</f>
        <v>8.13548387096774</v>
      </c>
      <c r="AO73" s="63" t="n">
        <f aca="false">IF(AND(OR(CG73="L1",CG73="L23",CG73="LIFT"),AJ73&gt;0),SUMIFS($AJ$7:$AJ$1843,$CG$7:$CG$1843,CG73,$AN$7:$AN$1843,"&gt;"&amp;AN73)+SUMIFS($AJ$7:$AJ$1843,$CG$7:$CG$1843,CG73,$AN$7:$AN$1843,AN73,$BX$7:$BX$1843,"&lt;="&amp;BX73),"")</f>
        <v>3019.63461538462</v>
      </c>
      <c r="AP73" s="70" t="n">
        <f aca="false">IF(AO73="",0,MAX(0,MIN(1,(IF(CG73="L1",Parameter!$H$5,IF(CG73="L23",Parameter!$H$6+Parameter!$H$7,Parameter!$H$5+Parameter!$H$6+Parameter!$H$7))-(AO73-AJ73))/AJ73)))</f>
        <v>1</v>
      </c>
      <c r="AQ73" s="62" t="n">
        <f aca="false">IF(LEFT(Cockpit!$I$5,1)="A",H73,IF(Parameter!$E$30="MAX-Bestand",IF(CI73=1,CJ73,IF(LEFT(Cockpit!$I$5,1)="B",AW73,MAX(AW73,H73))),ROUNDUP(AU73,0)))</f>
        <v>39</v>
      </c>
      <c r="AR73" s="62" t="n">
        <f aca="false">IF(CA73=1,0,ROUNDUP(AQ73/BZ73,0))</f>
        <v>2</v>
      </c>
      <c r="AS73" s="64" t="n">
        <f aca="false">IF(CR73&gt;0,CR73*MAX(1,AQ73/X73),IF(CA73=1,IF(AQ73&lt;=0,0,CE73*MAX(1,IF(H73&gt;0,AQ73/H73,1))),IF(R73&gt;0,AR73/R73,0))/MAX(0.1,N(Parameter!$M$21)))</f>
        <v>0.0769230769230769</v>
      </c>
      <c r="AT73" s="62" t="n">
        <f aca="false">AS73*CC73</f>
        <v>11.9230769230769</v>
      </c>
      <c r="AU73" s="63" t="n">
        <f aca="false">IF(LEFT(Cockpit!$I$5,1)="A",H73,IF(CI73=1,(CL73+CJ73)/2,IF(LEFT(Cockpit!$I$5,1)="B",(CL73+AW73)/2,MAX((CL73+AW73)/2,H73))))</f>
        <v>39</v>
      </c>
      <c r="AV73" s="62" t="n">
        <f aca="false">AU73*G73</f>
        <v>6277.05</v>
      </c>
      <c r="AW73" s="62" t="n">
        <f aca="false">ROUNDUP(CL73+MAX(CM73,2*(J73/IF(CH73&gt;0,CH73,MAX(0.1,N(Cockpit!$I$6)))-CL73)),0)</f>
        <v>55</v>
      </c>
      <c r="AX73" s="63" t="n">
        <f aca="false">IF(AT73&gt;0,J73/AT73,-1)</f>
        <v>8.13548387096774</v>
      </c>
      <c r="AY73" s="63" t="n">
        <f aca="false">IF(AND(OR(CG73="L1",CG73="L23",CG73="LIFT"),AT73&gt;0),SUMIFS($AT$7:$AT$1843,$CG$7:$CG$1843,CG73,$AX$7:$AX$1843,"&gt;"&amp;AX73)+SUMIFS($AT$7:$AT$1843,$CG$7:$CG$1843,CG73,$AX$7:$AX$1843,AX73,$BX$7:$BX$1843,"&lt;="&amp;BX73),"")</f>
        <v>3653.56501831502</v>
      </c>
      <c r="AZ73" s="70" t="n">
        <f aca="false">IF(AY73="",0,MAX(0,MIN(1,(IF(CG73="L1",Parameter!$H$5,IF(CG73="L23",Parameter!$H$6+Parameter!$H$7,Parameter!$H$5+Parameter!$H$6+Parameter!$H$7))-(AY73-AT73))/AT73)))</f>
        <v>1</v>
      </c>
      <c r="BA73" s="62" t="n">
        <f aca="false">IF(LEFT(Cockpit!$O$5,1)="A",H73,IF(Parameter!$E$30="MAX-Bestand",IF(CI73=1,CJ73,IF(LEFT(Cockpit!$O$5,1)="B",BG73,MAX(BG73,H73))),ROUNDUP(BE73,0)))</f>
        <v>30</v>
      </c>
      <c r="BB73" s="62" t="n">
        <f aca="false">IF(CA73=1,0,ROUNDUP(BA73/BZ73,0))</f>
        <v>1</v>
      </c>
      <c r="BC73" s="64" t="n">
        <f aca="false">IF(CR73&gt;0,CR73*MAX(1,BA73/X73),IF(CA73=1,IF(BA73&lt;=0,0,CE73*MAX(1,IF(H73&gt;0,BA73/H73,1))),IF(R73&gt;0,BB73/R73,0))/MAX(0.1,N(Parameter!$M$21)))</f>
        <v>0.0384615384615385</v>
      </c>
      <c r="BD73" s="62" t="n">
        <f aca="false">BC73*CC73</f>
        <v>5.96153846153846</v>
      </c>
      <c r="BE73" s="63" t="n">
        <f aca="false">IF(LEFT(Cockpit!$O$5,1)="A",H73,IF(CI73=1,(CL73+CJ73)/2,IF(LEFT(Cockpit!$O$5,1)="B",(CL73+BG73)/2,MAX((CL73+BG73)/2,H73))))</f>
        <v>30</v>
      </c>
      <c r="BF73" s="62" t="n">
        <f aca="false">BE73*G73</f>
        <v>4828.5</v>
      </c>
      <c r="BG73" s="62" t="n">
        <f aca="false">ROUNDUP(CL73+MAX(CM73,2*(J73/IF(CH73&gt;0,CH73,MAX(0.1,N(Cockpit!$O$6)))-CL73)),0)</f>
        <v>50</v>
      </c>
      <c r="BH73" s="63" t="n">
        <f aca="false">IF(BD73&gt;0,J73/BD73,-1)</f>
        <v>16.2709677419355</v>
      </c>
      <c r="BI73" s="63" t="n">
        <f aca="false">IF(AND(OR(CG73="L1",CG73="L23",CG73="LIFT"),BD73&gt;0),SUMIFS($BD$7:$BD$1843,$CG$7:$CG$1843,CG73,$BH$7:$BH$1843,"&gt;"&amp;BH73)+SUMIFS($BD$7:$BD$1843,$CG$7:$CG$1843,CG73,$BH$7:$BH$1843,BH73,$BX$7:$BX$1843,"&lt;="&amp;BX73),"")</f>
        <v>2374.76327838828</v>
      </c>
      <c r="BJ73" s="70" t="n">
        <f aca="false">IF(BI73="",0,MAX(0,MIN(1,(IF(CG73="L1",Parameter!$H$5,IF(CG73="L23",Parameter!$H$6+Parameter!$H$7,Parameter!$H$5+Parameter!$H$6+Parameter!$H$7))-(BI73-BD73))/BD73)))</f>
        <v>1</v>
      </c>
      <c r="BK73" s="60" t="str">
        <f aca="false">IF(AJ73&lt;=0,"",IF(CG73="Aussen","Aussenlager",IF(CG73="-","Nicht im Lift",IF(AP73&gt;=1,"Lift",IF(AP73&lt;=0,"Aussenlager","teilweise")))))</f>
        <v>Lift</v>
      </c>
      <c r="BL73" s="60" t="str">
        <f aca="false">IF(AT73&lt;=0,"",IF(CG73="Aussen","Aussenlager",IF(CG73="-","Nicht im Lift",IF(AZ73&gt;=1,"Lift",IF(AZ73&lt;=0,"Aussenlager","teilweise")))))</f>
        <v>Lift</v>
      </c>
      <c r="BM73" s="60" t="str">
        <f aca="false">IF(BD73&lt;=0,"",IF(CG73="Aussen","Aussenlager",IF(CG73="-","Nicht im Lift",IF(BJ73&gt;=1,"Lift",IF(BJ73&lt;=0,"Aussenlager","teilweise")))))</f>
        <v>Lift</v>
      </c>
      <c r="BN73" s="60" t="str">
        <f aca="false">IF(A73="","",IF(BW73=1,"Neu; ","")&amp;IF(AND(BW73=0,BR73&lt;0),"negativer Bestand (Export "&amp;BR73&amp;"); ","")&amp;IF(J73&lt;=0,"Kein Verbrauch; ","")&amp;IF(CR73&gt;0,"Lift "&amp;W73&amp;" lt. Liftbericht (Fach "&amp;X73&amp;" Stk); ",IF(CB73=1,"Gebinde geschätzt ("&amp;T73&amp;"); ",IF(CA73=1,"Lose – Tablare geschätzt; ","")))&amp;IF(H73&gt;AW73,"Überbestand "&amp;ROUND(H73-AW73,0)&amp;" Stk / CHF "&amp;ROUND((H73-AW73)*G73,0)&amp;"; ","")&amp;IF(AND(CI73=1,CJ73&lt;CK73),"MAX &lt; MB+LG; ","")&amp;IF(AND(CQ73&gt;0,CP73*10&gt;CQ73),"zu hoch für Tablar; ","")&amp;IF(AND(BW73=0,OR(CI73=1,AB73&lt;&gt;"",U73&lt;&gt;"",V73&lt;&gt;"",AC73&lt;&gt;"")),"manuell übersteuert; ","")&amp;IF(AND(CA73=0,R73=0),"Gebinde unbekannt / Stellmass fehlt; ","")&amp;IF(AND(CA73=0,N(V73)&lt;=0,N(Q73)&lt;=0),"Menge pro Gebinde fehlt (Ist = 1 Gebinde); ","")&amp;BV73)</f>
        <v/>
      </c>
      <c r="BO73" s="60"/>
      <c r="BP73" s="60"/>
      <c r="BQ73" s="67"/>
      <c r="BR73" s="62" t="n">
        <v>20</v>
      </c>
      <c r="BS73" s="62" t="n">
        <v>19</v>
      </c>
      <c r="BT73" s="61" t="n">
        <v>3430.65000000001</v>
      </c>
      <c r="BU73" s="62" t="n">
        <v>97</v>
      </c>
      <c r="BV73" s="60"/>
      <c r="BW73" s="65" t="n">
        <v>0</v>
      </c>
      <c r="BX73" s="65" t="n">
        <v>73</v>
      </c>
      <c r="BY73" s="60" t="str">
        <f aca="false">IF(U73&lt;&gt;"",UPPER(TRIM(U73)),IF(CB73=1,UPPER(VLOOKUP(T73,Parameter!$I$27:$K$29,2,0)),IF(P73="","LOSE",P73)))</f>
        <v>S51</v>
      </c>
      <c r="BZ73" s="62" t="n">
        <f aca="false">IF(BY73="LOSE",1,IF(N(V73)&gt;0,V73,IF(CB73=1,MAX(1,N(VLOOKUP(T73,Parameter!$I$27:$K$29,3,0)),H73,N(N73)),IF(N(Q73)&gt;0,Q73,MAX(1,H73)))))</f>
        <v>31</v>
      </c>
      <c r="CA73" s="65" t="n">
        <f aca="false">IF(BY73="LOSE",1,0)</f>
        <v>0</v>
      </c>
      <c r="CB73" s="65" t="n">
        <f aca="false">IF(AND(U73="",OR(P73="",P73="LOSE"),T73&lt;&gt;"",N(S73)&lt;=0,ISNUMBER(MATCH(T73,Parameter!$I$27:$I$29,0))),1,0)</f>
        <v>0</v>
      </c>
      <c r="CC73" s="65" t="n">
        <f aca="false">IF(CR73&gt;0,INDEX(Parameter!$H$5:$H$7,W73)/INDEX(Parameter!$E$5:$E$7,W73),IF(AND(CA73=0,N(IFERROR(VLOOKUP(BY73,'Gebinde-Kategorie'!$A$5:$N$45,14,0),0))&gt;0),VLOOKUP(BY73,'Gebinde-Kategorie'!$A$5:$N$45,14,0)*10+Parameter!$M$23,Parameter!$M$24))</f>
        <v>155</v>
      </c>
      <c r="CD73" s="60" t="str">
        <f aca="false">IF(AND(Parameter!$B$19="Ja",E73&lt;&gt;"",ISNUMBER(MATCH(E73,Parameter!$I$35:$I$52,0))),VLOOKUP(E73,Parameter!$I$35:$J$52,2,0),IFERROR(VLOOKUP(D73,Parameter!$A$35:$C$64,2,0),"Nein"))</f>
        <v>2+3</v>
      </c>
      <c r="CE73" s="64" t="n">
        <f aca="false">IF(CA73=0,0,IF(N(S73)&gt;0,S73,IFERROR(VLOOKUP(D73,Parameter!$A$35:$C$64,3,0)+0,0)))</f>
        <v>0</v>
      </c>
      <c r="CF73" s="60" t="n">
        <f aca="false">IF(AB73&lt;&gt;"",AB73,AA73)</f>
        <v>3</v>
      </c>
      <c r="CG73" s="60" t="str">
        <f aca="false">IF(OR(CF73=1,CF73=2,CF73=3),IF(Parameter!$E$27="Ja","LIFT",IF(CF73=1,"L1","L23")),IF(CF73="Aussen","Aussen","-"))</f>
        <v>LIFT</v>
      </c>
      <c r="CH73" s="71" t="n">
        <f aca="false">IF(N(AC73)&gt;0,AC73,0)</f>
        <v>0</v>
      </c>
      <c r="CI73" s="65" t="n">
        <f aca="false">IF(ISNUMBER(AF73),1,0)</f>
        <v>0</v>
      </c>
      <c r="CJ73" s="62" t="n">
        <f aca="false">N(AF73)</f>
        <v>0</v>
      </c>
      <c r="CK73" s="62" t="n">
        <f aca="false">N(M73)+N(N73)</f>
        <v>50</v>
      </c>
      <c r="CL73" s="62" t="n">
        <f aca="false">N(M73)</f>
        <v>10</v>
      </c>
      <c r="CM73" s="62" t="n">
        <f aca="false">N(N73)</f>
        <v>40</v>
      </c>
      <c r="CN73" s="62" t="n">
        <f aca="false">ROUNDUP(H73/BZ73,0)</f>
        <v>2</v>
      </c>
      <c r="CO73" s="62" t="n">
        <f aca="false">ROUNDUP(CJ73/BZ73,0)</f>
        <v>0</v>
      </c>
      <c r="CP73" s="65" t="n">
        <f aca="false">IF(CA73=1,0,IFERROR(VLOOKUP(BY73,'Gebinde-Kategorie'!$A$5:$N$45,5,0)+0,0))</f>
        <v>11</v>
      </c>
      <c r="CQ73" s="65" t="n">
        <f aca="false">IFERROR(IF(OR(CF73=1,CF73=2,CF73=3),N(INDEX(Parameter!$I$5:$I$7,CF73)),0),0)</f>
        <v>0</v>
      </c>
      <c r="CR73" s="64" t="n">
        <f aca="false">IF(AND(Parameter!$B$21="Ja",ISNUMBER(W73),N(X73)&gt;0),IFERROR(N(INDEX(Parameter!$L$5:$L$7,W73))*INDEX(Parameter!$E$5:$E$7,W73)*X73/SUMIFS($X$7:$X$1843,$W$7:$W$1843,W73),0),0)</f>
        <v>0</v>
      </c>
      <c r="CS73" s="62" t="n">
        <f aca="false">IF(AND(OR(CG73="L1",CG73="L23",CG73="LIFT"),H73&gt;0),CC73*IF(CR73&gt;0,CR73*MAX(1,H73/X73),IF(CA73=1,CE73,IF(R73&gt;0,CN73/R73,0))/MAX(0.1,N(Parameter!$M$21))),"")</f>
        <v>11.9230769230769</v>
      </c>
      <c r="CT73" s="64" t="n">
        <f aca="false">IF(CS73="","",J73/H73)</f>
        <v>2.48717948717949</v>
      </c>
      <c r="CU73" s="62" t="n">
        <f aca="false">IF(CS73="","",H73*G73)</f>
        <v>6277.05</v>
      </c>
      <c r="CV73" s="63" t="n">
        <f aca="false">IF(CS73="","",(CL73+ROUNDUP(CL73+MAX(CM73,2*(J73/MAX(0.1,N(Einkauf!$C$6))-CL73)),0))/2)</f>
        <v>30</v>
      </c>
      <c r="CW73" s="62" t="n">
        <f aca="false">IF(CS73="","",MAX(0,H73-CV73)*G73)</f>
        <v>1448.55</v>
      </c>
      <c r="CX73" s="62" t="n">
        <f aca="false">IF(CS73="","",CS73*MAX(0,1-CV73/H73))</f>
        <v>2.75147928994083</v>
      </c>
      <c r="CY73" s="64" t="n">
        <f aca="false">IF(CS73="","",PERCENTRANK($CS$7:$CS$1843,CS73)+PERCENTRANK($CU$7:$CU$1843,CU73)+1-PERCENTRANK($CT$7:$CT$1843,CT73))</f>
        <v>1.706</v>
      </c>
      <c r="CZ73" s="72" t="n">
        <f aca="false">IF(CS73="","",CHOOSE(MATCH(Einkauf!$C$5,Parameter!$G$23:$G$27,0),CY73,CS73,CU73,-CT73,CW73)+ROW()/1000000000)</f>
        <v>1.706000073</v>
      </c>
    </row>
    <row r="74" customFormat="false" ht="15" hidden="false" customHeight="false" outlineLevel="0" collapsed="false">
      <c r="A74" s="60" t="s">
        <v>393</v>
      </c>
      <c r="B74" s="60" t="s">
        <v>394</v>
      </c>
      <c r="C74" s="60" t="s">
        <v>206</v>
      </c>
      <c r="D74" s="60" t="s">
        <v>395</v>
      </c>
      <c r="E74" s="60"/>
      <c r="F74" s="60" t="s">
        <v>260</v>
      </c>
      <c r="G74" s="61" t="n">
        <v>3398.79</v>
      </c>
      <c r="H74" s="62" t="n">
        <f aca="false">MAX(0,IF(AND(Parameter!$B$21="Ja",ISNUMBER(Y74)),Y74,IF(Parameter!$B$20="Jahresanfang 2025 + Export",BS74+BR74,BR74)))</f>
        <v>1</v>
      </c>
      <c r="I74" s="62" t="n">
        <f aca="false">H74*G74</f>
        <v>3398.79</v>
      </c>
      <c r="J74" s="62" t="n">
        <f aca="false">BU74*Parameter!$B$18</f>
        <v>0</v>
      </c>
      <c r="K74" s="63" t="n">
        <v>0.5</v>
      </c>
      <c r="L74" s="64" t="n">
        <v>0</v>
      </c>
      <c r="M74" s="62" t="n">
        <v>0</v>
      </c>
      <c r="N74" s="62" t="n">
        <v>1</v>
      </c>
      <c r="O74" s="65" t="n">
        <v>0</v>
      </c>
      <c r="P74" s="60" t="s">
        <v>210</v>
      </c>
      <c r="Q74" s="62"/>
      <c r="R74" s="65" t="n">
        <f aca="false">IF(CA74=1,0,IFERROR(VLOOKUP(BY74,'Gebinde-Kategorie'!$A$5:$N$45,13,0)+0,0))</f>
        <v>0</v>
      </c>
      <c r="S74" s="66"/>
      <c r="T74" s="67"/>
      <c r="U74" s="67"/>
      <c r="V74" s="67"/>
      <c r="W74" s="60"/>
      <c r="X74" s="62"/>
      <c r="Y74" s="62"/>
      <c r="Z74" s="60"/>
      <c r="AA74" s="60" t="str">
        <f aca="false">IF(A74="","",IF(AND(Parameter!$B$21="Ja",ISNUMBER(W74)),W74,IF(AND(Parameter!$E$27="Ja",ISNUMBER(Z74),CD74&lt;&gt;"Nein"),Z74,IF(CD74="2+3",IF(ISNUMBER(SEARCH("grosser Artikel",BV74)),2,IFERROR(VLOOKUP(BY74,Parameter!$F$35:$G$64,2,0),2)),IF(OR(CD74="Nein",CD74=""),"-",CD74)))))</f>
        <v>-</v>
      </c>
      <c r="AB74" s="67"/>
      <c r="AC74" s="68"/>
      <c r="AD74" s="62" t="n">
        <f aca="false">AW74</f>
        <v>1</v>
      </c>
      <c r="AE74" s="62" t="n">
        <f aca="false">MAX(AW74,H74)</f>
        <v>1</v>
      </c>
      <c r="AF74" s="69"/>
      <c r="AG74" s="62" t="n">
        <f aca="false">IF(LEFT(Cockpit!$C$5,1)="A",H74,IF(Parameter!$E$30="MAX-Bestand",IF(CI74=1,CJ74,IF(LEFT(Cockpit!$C$5,1)="B",AM74,MAX(AM74,H74))),ROUNDUP(AK74,0)))</f>
        <v>1</v>
      </c>
      <c r="AH74" s="62" t="n">
        <f aca="false">IF(CA74=1,0,ROUNDUP(AG74/BZ74,0))</f>
        <v>0</v>
      </c>
      <c r="AI74" s="64" t="n">
        <f aca="false">IF(CR74&gt;0,CR74*MAX(1,AG74/X74),IF(CA74=1,IF(AG74&lt;=0,0,CE74*MAX(1,IF(H74&gt;0,AG74/H74,1))),IF(R74&gt;0,AH74/R74,0))/MAX(0.1,N(Parameter!$M$21)))</f>
        <v>0.15</v>
      </c>
      <c r="AJ74" s="62" t="n">
        <f aca="false">AI74*CC74</f>
        <v>35.25</v>
      </c>
      <c r="AK74" s="63" t="n">
        <f aca="false">IF(LEFT(Cockpit!$C$5,1)="A",H74,IF(CI74=1,(CL74+CJ74)/2,IF(LEFT(Cockpit!$C$5,1)="B",(CL74+AM74)/2,MAX((CL74+AM74)/2,H74))))</f>
        <v>1</v>
      </c>
      <c r="AL74" s="62" t="n">
        <f aca="false">AK74*G74</f>
        <v>3398.79</v>
      </c>
      <c r="AM74" s="62" t="n">
        <f aca="false">ROUNDUP(CL74+MAX(CM74,2*(J74/IF(CH74&gt;0,CH74,MAX(0.1,N(Cockpit!$C$6)))-CL74)),0)</f>
        <v>1</v>
      </c>
      <c r="AN74" s="63" t="n">
        <f aca="false">IF(AJ74&gt;0,J74/AJ74,-1)</f>
        <v>0</v>
      </c>
      <c r="AO74" s="63" t="str">
        <f aca="false">IF(AND(OR(CG74="L1",CG74="L23",CG74="LIFT"),AJ74&gt;0),SUMIFS($AJ$7:$AJ$1843,$CG$7:$CG$1843,CG74,$AN$7:$AN$1843,"&gt;"&amp;AN74)+SUMIFS($AJ$7:$AJ$1843,$CG$7:$CG$1843,CG74,$AN$7:$AN$1843,AN74,$BX$7:$BX$1843,"&lt;="&amp;BX74),"")</f>
        <v/>
      </c>
      <c r="AP74" s="70" t="n">
        <f aca="false">IF(AO74="",0,MAX(0,MIN(1,(IF(CG74="L1",Parameter!$H$5,IF(CG74="L23",Parameter!$H$6+Parameter!$H$7,Parameter!$H$5+Parameter!$H$6+Parameter!$H$7))-(AO74-AJ74))/AJ74)))</f>
        <v>0</v>
      </c>
      <c r="AQ74" s="62" t="n">
        <f aca="false">IF(LEFT(Cockpit!$I$5,1)="A",H74,IF(Parameter!$E$30="MAX-Bestand",IF(CI74=1,CJ74,IF(LEFT(Cockpit!$I$5,1)="B",AW74,MAX(AW74,H74))),ROUNDUP(AU74,0)))</f>
        <v>1</v>
      </c>
      <c r="AR74" s="62" t="n">
        <f aca="false">IF(CA74=1,0,ROUNDUP(AQ74/BZ74,0))</f>
        <v>0</v>
      </c>
      <c r="AS74" s="64" t="n">
        <f aca="false">IF(CR74&gt;0,CR74*MAX(1,AQ74/X74),IF(CA74=1,IF(AQ74&lt;=0,0,CE74*MAX(1,IF(H74&gt;0,AQ74/H74,1))),IF(R74&gt;0,AR74/R74,0))/MAX(0.1,N(Parameter!$M$21)))</f>
        <v>0.15</v>
      </c>
      <c r="AT74" s="62" t="n">
        <f aca="false">AS74*CC74</f>
        <v>35.25</v>
      </c>
      <c r="AU74" s="63" t="n">
        <f aca="false">IF(LEFT(Cockpit!$I$5,1)="A",H74,IF(CI74=1,(CL74+CJ74)/2,IF(LEFT(Cockpit!$I$5,1)="B",(CL74+AW74)/2,MAX((CL74+AW74)/2,H74))))</f>
        <v>1</v>
      </c>
      <c r="AV74" s="62" t="n">
        <f aca="false">AU74*G74</f>
        <v>3398.79</v>
      </c>
      <c r="AW74" s="62" t="n">
        <f aca="false">ROUNDUP(CL74+MAX(CM74,2*(J74/IF(CH74&gt;0,CH74,MAX(0.1,N(Cockpit!$I$6)))-CL74)),0)</f>
        <v>1</v>
      </c>
      <c r="AX74" s="63" t="n">
        <f aca="false">IF(AT74&gt;0,J74/AT74,-1)</f>
        <v>0</v>
      </c>
      <c r="AY74" s="63" t="str">
        <f aca="false">IF(AND(OR(CG74="L1",CG74="L23",CG74="LIFT"),AT74&gt;0),SUMIFS($AT$7:$AT$1843,$CG$7:$CG$1843,CG74,$AX$7:$AX$1843,"&gt;"&amp;AX74)+SUMIFS($AT$7:$AT$1843,$CG$7:$CG$1843,CG74,$AX$7:$AX$1843,AX74,$BX$7:$BX$1843,"&lt;="&amp;BX74),"")</f>
        <v/>
      </c>
      <c r="AZ74" s="70" t="n">
        <f aca="false">IF(AY74="",0,MAX(0,MIN(1,(IF(CG74="L1",Parameter!$H$5,IF(CG74="L23",Parameter!$H$6+Parameter!$H$7,Parameter!$H$5+Parameter!$H$6+Parameter!$H$7))-(AY74-AT74))/AT74)))</f>
        <v>0</v>
      </c>
      <c r="BA74" s="62" t="n">
        <f aca="false">IF(LEFT(Cockpit!$O$5,1)="A",H74,IF(Parameter!$E$30="MAX-Bestand",IF(CI74=1,CJ74,IF(LEFT(Cockpit!$O$5,1)="B",BG74,MAX(BG74,H74))),ROUNDUP(BE74,0)))</f>
        <v>1</v>
      </c>
      <c r="BB74" s="62" t="n">
        <f aca="false">IF(CA74=1,0,ROUNDUP(BA74/BZ74,0))</f>
        <v>0</v>
      </c>
      <c r="BC74" s="64" t="n">
        <f aca="false">IF(CR74&gt;0,CR74*MAX(1,BA74/X74),IF(CA74=1,IF(BA74&lt;=0,0,CE74*MAX(1,IF(H74&gt;0,BA74/H74,1))),IF(R74&gt;0,BB74/R74,0))/MAX(0.1,N(Parameter!$M$21)))</f>
        <v>0.15</v>
      </c>
      <c r="BD74" s="62" t="n">
        <f aca="false">BC74*CC74</f>
        <v>35.25</v>
      </c>
      <c r="BE74" s="63" t="n">
        <f aca="false">IF(LEFT(Cockpit!$O$5,1)="A",H74,IF(CI74=1,(CL74+CJ74)/2,IF(LEFT(Cockpit!$O$5,1)="B",(CL74+BG74)/2,MAX((CL74+BG74)/2,H74))))</f>
        <v>0.5</v>
      </c>
      <c r="BF74" s="62" t="n">
        <f aca="false">BE74*G74</f>
        <v>1699.395</v>
      </c>
      <c r="BG74" s="62" t="n">
        <f aca="false">ROUNDUP(CL74+MAX(CM74,2*(J74/IF(CH74&gt;0,CH74,MAX(0.1,N(Cockpit!$O$6)))-CL74)),0)</f>
        <v>1</v>
      </c>
      <c r="BH74" s="63" t="n">
        <f aca="false">IF(BD74&gt;0,J74/BD74,-1)</f>
        <v>0</v>
      </c>
      <c r="BI74" s="63" t="str">
        <f aca="false">IF(AND(OR(CG74="L1",CG74="L23",CG74="LIFT"),BD74&gt;0),SUMIFS($BD$7:$BD$1843,$CG$7:$CG$1843,CG74,$BH$7:$BH$1843,"&gt;"&amp;BH74)+SUMIFS($BD$7:$BD$1843,$CG$7:$CG$1843,CG74,$BH$7:$BH$1843,BH74,$BX$7:$BX$1843,"&lt;="&amp;BX74),"")</f>
        <v/>
      </c>
      <c r="BJ74" s="70" t="n">
        <f aca="false">IF(BI74="",0,MAX(0,MIN(1,(IF(CG74="L1",Parameter!$H$5,IF(CG74="L23",Parameter!$H$6+Parameter!$H$7,Parameter!$H$5+Parameter!$H$6+Parameter!$H$7))-(BI74-BD74))/BD74)))</f>
        <v>0</v>
      </c>
      <c r="BK74" s="60" t="str">
        <f aca="false">IF(AJ74&lt;=0,"",IF(CG74="Aussen","Aussenlager",IF(CG74="-","Nicht im Lift",IF(AP74&gt;=1,"Lift",IF(AP74&lt;=0,"Aussenlager","teilweise")))))</f>
        <v>Nicht im Lift</v>
      </c>
      <c r="BL74" s="60" t="str">
        <f aca="false">IF(AT74&lt;=0,"",IF(CG74="Aussen","Aussenlager",IF(CG74="-","Nicht im Lift",IF(AZ74&gt;=1,"Lift",IF(AZ74&lt;=0,"Aussenlager","teilweise")))))</f>
        <v>Nicht im Lift</v>
      </c>
      <c r="BM74" s="60" t="str">
        <f aca="false">IF(BD74&lt;=0,"",IF(CG74="Aussen","Aussenlager",IF(CG74="-","Nicht im Lift",IF(BJ74&gt;=1,"Lift",IF(BJ74&lt;=0,"Aussenlager","teilweise")))))</f>
        <v>Nicht im Lift</v>
      </c>
      <c r="BN74" s="60" t="str">
        <f aca="false">IF(A74="","",IF(BW74=1,"Neu; ","")&amp;IF(AND(BW74=0,BR74&lt;0),"negativer Bestand (Export "&amp;BR74&amp;"); ","")&amp;IF(J74&lt;=0,"Kein Verbrauch; ","")&amp;IF(CR74&gt;0,"Lift "&amp;W74&amp;" lt. Liftbericht (Fach "&amp;X74&amp;" Stk); ",IF(CB74=1,"Gebinde geschätzt ("&amp;T74&amp;"); ",IF(CA74=1,"Lose – Tablare geschätzt; ","")))&amp;IF(H74&gt;AW74,"Überbestand "&amp;ROUND(H74-AW74,0)&amp;" Stk / CHF "&amp;ROUND((H74-AW74)*G74,0)&amp;"; ","")&amp;IF(AND(CI74=1,CJ74&lt;CK74),"MAX &lt; MB+LG; ","")&amp;IF(AND(CQ74&gt;0,CP74*10&gt;CQ74),"zu hoch für Tablar; ","")&amp;IF(AND(BW74=0,OR(CI74=1,AB74&lt;&gt;"",U74&lt;&gt;"",V74&lt;&gt;"",AC74&lt;&gt;"")),"manuell übersteuert; ","")&amp;IF(AND(CA74=0,R74=0),"Gebinde unbekannt / Stellmass fehlt; ","")&amp;IF(AND(CA74=0,N(V74)&lt;=0,N(Q74)&lt;=0),"Menge pro Gebinde fehlt (Ist = 1 Gebinde); ","")&amp;BV74)</f>
        <v>Kein Verbrauch; Lose – Tablare geschätzt; </v>
      </c>
      <c r="BO74" s="60"/>
      <c r="BP74" s="60"/>
      <c r="BQ74" s="67"/>
      <c r="BR74" s="62" t="n">
        <v>1</v>
      </c>
      <c r="BS74" s="62" t="n">
        <v>0</v>
      </c>
      <c r="BT74" s="61" t="n">
        <v>3398.79</v>
      </c>
      <c r="BU74" s="62" t="n">
        <v>0</v>
      </c>
      <c r="BV74" s="60"/>
      <c r="BW74" s="65" t="n">
        <v>0</v>
      </c>
      <c r="BX74" s="65" t="n">
        <v>74</v>
      </c>
      <c r="BY74" s="60" t="str">
        <f aca="false">IF(U74&lt;&gt;"",UPPER(TRIM(U74)),IF(CB74=1,UPPER(VLOOKUP(T74,Parameter!$I$27:$K$29,2,0)),IF(P74="","LOSE",P74)))</f>
        <v>LOSE</v>
      </c>
      <c r="BZ74" s="62" t="n">
        <f aca="false">IF(BY74="LOSE",1,IF(N(V74)&gt;0,V74,IF(CB74=1,MAX(1,N(VLOOKUP(T74,Parameter!$I$27:$K$29,3,0)),H74,N(N74)),IF(N(Q74)&gt;0,Q74,MAX(1,H74)))))</f>
        <v>1</v>
      </c>
      <c r="CA74" s="65" t="n">
        <f aca="false">IF(BY74="LOSE",1,0)</f>
        <v>1</v>
      </c>
      <c r="CB74" s="65" t="n">
        <f aca="false">IF(AND(U74="",OR(P74="",P74="LOSE"),T74&lt;&gt;"",N(S74)&lt;=0,ISNUMBER(MATCH(T74,Parameter!$I$27:$I$29,0))),1,0)</f>
        <v>0</v>
      </c>
      <c r="CC74" s="65" t="n">
        <f aca="false">IF(CR74&gt;0,INDEX(Parameter!$H$5:$H$7,W74)/INDEX(Parameter!$E$5:$E$7,W74),IF(AND(CA74=0,N(IFERROR(VLOOKUP(BY74,'Gebinde-Kategorie'!$A$5:$N$45,14,0),0))&gt;0),VLOOKUP(BY74,'Gebinde-Kategorie'!$A$5:$N$45,14,0)*10+Parameter!$M$23,Parameter!$M$24))</f>
        <v>235</v>
      </c>
      <c r="CD74" s="60" t="str">
        <f aca="false">IF(AND(Parameter!$B$19="Ja",E74&lt;&gt;"",ISNUMBER(MATCH(E74,Parameter!$I$35:$I$52,0))),VLOOKUP(E74,Parameter!$I$35:$J$52,2,0),IFERROR(VLOOKUP(D74,Parameter!$A$35:$C$64,2,0),"Nein"))</f>
        <v>Nein</v>
      </c>
      <c r="CE74" s="64" t="n">
        <f aca="false">IF(CA74=0,0,IF(N(S74)&gt;0,S74,IFERROR(VLOOKUP(D74,Parameter!$A$35:$C$64,3,0)+0,0)))</f>
        <v>0.15</v>
      </c>
      <c r="CF74" s="60" t="str">
        <f aca="false">IF(AB74&lt;&gt;"",AB74,AA74)</f>
        <v>-</v>
      </c>
      <c r="CG74" s="60" t="str">
        <f aca="false">IF(OR(CF74=1,CF74=2,CF74=3),IF(Parameter!$E$27="Ja","LIFT",IF(CF74=1,"L1","L23")),IF(CF74="Aussen","Aussen","-"))</f>
        <v>-</v>
      </c>
      <c r="CH74" s="71" t="n">
        <f aca="false">IF(N(AC74)&gt;0,AC74,0)</f>
        <v>0</v>
      </c>
      <c r="CI74" s="65" t="n">
        <f aca="false">IF(ISNUMBER(AF74),1,0)</f>
        <v>0</v>
      </c>
      <c r="CJ74" s="62" t="n">
        <f aca="false">N(AF74)</f>
        <v>0</v>
      </c>
      <c r="CK74" s="62" t="n">
        <f aca="false">N(M74)+N(N74)</f>
        <v>1</v>
      </c>
      <c r="CL74" s="62" t="n">
        <f aca="false">N(M74)</f>
        <v>0</v>
      </c>
      <c r="CM74" s="62" t="n">
        <f aca="false">N(N74)</f>
        <v>1</v>
      </c>
      <c r="CN74" s="62" t="n">
        <f aca="false">ROUNDUP(H74/BZ74,0)</f>
        <v>1</v>
      </c>
      <c r="CO74" s="62" t="n">
        <f aca="false">ROUNDUP(CJ74/BZ74,0)</f>
        <v>0</v>
      </c>
      <c r="CP74" s="65" t="n">
        <f aca="false">IF(CA74=1,0,IFERROR(VLOOKUP(BY74,'Gebinde-Kategorie'!$A$5:$N$45,5,0)+0,0))</f>
        <v>0</v>
      </c>
      <c r="CQ74" s="65" t="n">
        <f aca="false">IFERROR(IF(OR(CF74=1,CF74=2,CF74=3),N(INDEX(Parameter!$I$5:$I$7,CF74)),0),0)</f>
        <v>0</v>
      </c>
      <c r="CR74" s="64" t="n">
        <f aca="false">IF(AND(Parameter!$B$21="Ja",ISNUMBER(W74),N(X74)&gt;0),IFERROR(N(INDEX(Parameter!$L$5:$L$7,W74))*INDEX(Parameter!$E$5:$E$7,W74)*X74/SUMIFS($X$7:$X$1843,$W$7:$W$1843,W74),0),0)</f>
        <v>0</v>
      </c>
      <c r="CS74" s="62" t="str">
        <f aca="false">IF(AND(OR(CG74="L1",CG74="L23",CG74="LIFT"),H74&gt;0),CC74*IF(CR74&gt;0,CR74*MAX(1,H74/X74),IF(CA74=1,CE74,IF(R74&gt;0,CN74/R74,0))/MAX(0.1,N(Parameter!$M$21))),"")</f>
        <v/>
      </c>
      <c r="CT74" s="64" t="str">
        <f aca="false">IF(CS74="","",J74/H74)</f>
        <v/>
      </c>
      <c r="CU74" s="62" t="str">
        <f aca="false">IF(CS74="","",H74*G74)</f>
        <v/>
      </c>
      <c r="CV74" s="63" t="str">
        <f aca="false">IF(CS74="","",(CL74+ROUNDUP(CL74+MAX(CM74,2*(J74/MAX(0.1,N(Einkauf!$C$6))-CL74)),0))/2)</f>
        <v/>
      </c>
      <c r="CW74" s="62" t="str">
        <f aca="false">IF(CS74="","",MAX(0,H74-CV74)*G74)</f>
        <v/>
      </c>
      <c r="CX74" s="62" t="str">
        <f aca="false">IF(CS74="","",CS74*MAX(0,1-CV74/H74))</f>
        <v/>
      </c>
      <c r="CY74" s="64" t="str">
        <f aca="false">IF(CS74="","",PERCENTRANK($CS$7:$CS$1843,CS74)+PERCENTRANK($CU$7:$CU$1843,CU74)+1-PERCENTRANK($CT$7:$CT$1843,CT74))</f>
        <v/>
      </c>
      <c r="CZ74" s="72" t="str">
        <f aca="false">IF(CS74="","",CHOOSE(MATCH(Einkauf!$C$5,Parameter!$G$23:$G$27,0),CY74,CS74,CU74,-CT74,CW74)+ROW()/1000000000)</f>
        <v/>
      </c>
    </row>
    <row r="75" customFormat="false" ht="15" hidden="false" customHeight="false" outlineLevel="0" collapsed="false">
      <c r="A75" s="60" t="s">
        <v>396</v>
      </c>
      <c r="B75" s="60" t="s">
        <v>397</v>
      </c>
      <c r="C75" s="60" t="s">
        <v>206</v>
      </c>
      <c r="D75" s="60" t="s">
        <v>215</v>
      </c>
      <c r="E75" s="60"/>
      <c r="F75" s="60" t="s">
        <v>260</v>
      </c>
      <c r="G75" s="61" t="n">
        <v>674.15</v>
      </c>
      <c r="H75" s="62" t="n">
        <f aca="false">MAX(0,IF(AND(Parameter!$B$21="Ja",ISNUMBER(Y75)),Y75,IF(Parameter!$B$20="Jahresanfang 2025 + Export",BS75+BR75,BR75)))</f>
        <v>2</v>
      </c>
      <c r="I75" s="62" t="n">
        <f aca="false">H75*G75</f>
        <v>1348.3</v>
      </c>
      <c r="J75" s="62" t="n">
        <f aca="false">BU75*Parameter!$B$18</f>
        <v>0</v>
      </c>
      <c r="K75" s="63" t="n">
        <v>0</v>
      </c>
      <c r="L75" s="64" t="n">
        <v>0</v>
      </c>
      <c r="M75" s="62" t="n">
        <v>0</v>
      </c>
      <c r="N75" s="62" t="n">
        <v>5</v>
      </c>
      <c r="O75" s="65" t="n">
        <v>9999</v>
      </c>
      <c r="P75" s="60" t="s">
        <v>210</v>
      </c>
      <c r="Q75" s="62"/>
      <c r="R75" s="65" t="n">
        <f aca="false">IF(CA75=1,0,IFERROR(VLOOKUP(BY75,'Gebinde-Kategorie'!$A$5:$N$45,13,0)+0,0))</f>
        <v>0</v>
      </c>
      <c r="S75" s="66"/>
      <c r="T75" s="67"/>
      <c r="U75" s="67"/>
      <c r="V75" s="67"/>
      <c r="W75" s="60" t="n">
        <v>1</v>
      </c>
      <c r="X75" s="62" t="n">
        <v>4</v>
      </c>
      <c r="Y75" s="62" t="n">
        <v>2</v>
      </c>
      <c r="Z75" s="60" t="n">
        <v>1</v>
      </c>
      <c r="AA75" s="60" t="n">
        <f aca="false">IF(A75="","",IF(AND(Parameter!$B$21="Ja",ISNUMBER(W75)),W75,IF(AND(Parameter!$E$27="Ja",ISNUMBER(Z75),CD75&lt;&gt;"Nein"),Z75,IF(CD75="2+3",IF(ISNUMBER(SEARCH("grosser Artikel",BV75)),2,IFERROR(VLOOKUP(BY75,Parameter!$F$35:$G$64,2,0),2)),IF(OR(CD75="Nein",CD75=""),"-",CD75)))))</f>
        <v>1</v>
      </c>
      <c r="AB75" s="67"/>
      <c r="AC75" s="68"/>
      <c r="AD75" s="62" t="n">
        <f aca="false">AW75</f>
        <v>5</v>
      </c>
      <c r="AE75" s="62" t="n">
        <f aca="false">MAX(AW75,H75)</f>
        <v>5</v>
      </c>
      <c r="AF75" s="69"/>
      <c r="AG75" s="62" t="n">
        <f aca="false">IF(LEFT(Cockpit!$C$5,1)="A",H75,IF(Parameter!$E$30="MAX-Bestand",IF(CI75=1,CJ75,IF(LEFT(Cockpit!$C$5,1)="B",AM75,MAX(AM75,H75))),ROUNDUP(AK75,0)))</f>
        <v>2</v>
      </c>
      <c r="AH75" s="62" t="n">
        <f aca="false">IF(CA75=1,0,ROUNDUP(AG75/BZ75,0))</f>
        <v>0</v>
      </c>
      <c r="AI75" s="64" t="n">
        <f aca="false">IF(CR75&gt;0,CR75*MAX(1,AG75/X75),IF(CA75=1,IF(AG75&lt;=0,0,CE75*MAX(1,IF(H75&gt;0,AG75/H75,1))),IF(R75&gt;0,AH75/R75,0))/MAX(0.1,N(Parameter!$M$21)))</f>
        <v>0.32015065913371</v>
      </c>
      <c r="AJ75" s="62" t="n">
        <f aca="false">AI75*CC75</f>
        <v>76.195856873823</v>
      </c>
      <c r="AK75" s="63" t="n">
        <f aca="false">IF(LEFT(Cockpit!$C$5,1)="A",H75,IF(CI75=1,(CL75+CJ75)/2,IF(LEFT(Cockpit!$C$5,1)="B",(CL75+AM75)/2,MAX((CL75+AM75)/2,H75))))</f>
        <v>2</v>
      </c>
      <c r="AL75" s="62" t="n">
        <f aca="false">AK75*G75</f>
        <v>1348.3</v>
      </c>
      <c r="AM75" s="62" t="n">
        <f aca="false">ROUNDUP(CL75+MAX(CM75,2*(J75/IF(CH75&gt;0,CH75,MAX(0.1,N(Cockpit!$C$6)))-CL75)),0)</f>
        <v>5</v>
      </c>
      <c r="AN75" s="63" t="n">
        <f aca="false">IF(AJ75&gt;0,J75/AJ75,-1)</f>
        <v>0</v>
      </c>
      <c r="AO75" s="63" t="n">
        <f aca="false">IF(AND(OR(CG75="L1",CG75="L23",CG75="LIFT"),AJ75&gt;0),SUMIFS($AJ$7:$AJ$1843,$CG$7:$CG$1843,CG75,$AN$7:$AN$1843,"&gt;"&amp;AN75)+SUMIFS($AJ$7:$AJ$1843,$CG$7:$CG$1843,CG75,$AN$7:$AN$1843,AN75,$BX$7:$BX$1843,"&lt;="&amp;BX75),"")</f>
        <v>26583.1941883446</v>
      </c>
      <c r="AP75" s="70" t="n">
        <f aca="false">IF(AO75="",0,MAX(0,MIN(1,(IF(CG75="L1",Parameter!$H$5,IF(CG75="L23",Parameter!$H$6+Parameter!$H$7,Parameter!$H$5+Parameter!$H$6+Parameter!$H$7))-(AO75-AJ75))/AJ75)))</f>
        <v>1</v>
      </c>
      <c r="AQ75" s="62" t="n">
        <f aca="false">IF(LEFT(Cockpit!$I$5,1)="A",H75,IF(Parameter!$E$30="MAX-Bestand",IF(CI75=1,CJ75,IF(LEFT(Cockpit!$I$5,1)="B",AW75,MAX(AW75,H75))),ROUNDUP(AU75,0)))</f>
        <v>3</v>
      </c>
      <c r="AR75" s="62" t="n">
        <f aca="false">IF(CA75=1,0,ROUNDUP(AQ75/BZ75,0))</f>
        <v>0</v>
      </c>
      <c r="AS75" s="64" t="n">
        <f aca="false">IF(CR75&gt;0,CR75*MAX(1,AQ75/X75),IF(CA75=1,IF(AQ75&lt;=0,0,CE75*MAX(1,IF(H75&gt;0,AQ75/H75,1))),IF(R75&gt;0,AR75/R75,0))/MAX(0.1,N(Parameter!$M$21)))</f>
        <v>0.32015065913371</v>
      </c>
      <c r="AT75" s="62" t="n">
        <f aca="false">AS75*CC75</f>
        <v>76.195856873823</v>
      </c>
      <c r="AU75" s="63" t="n">
        <f aca="false">IF(LEFT(Cockpit!$I$5,1)="A",H75,IF(CI75=1,(CL75+CJ75)/2,IF(LEFT(Cockpit!$I$5,1)="B",(CL75+AW75)/2,MAX((CL75+AW75)/2,H75))))</f>
        <v>2.5</v>
      </c>
      <c r="AV75" s="62" t="n">
        <f aca="false">AU75*G75</f>
        <v>1685.375</v>
      </c>
      <c r="AW75" s="62" t="n">
        <f aca="false">ROUNDUP(CL75+MAX(CM75,2*(J75/IF(CH75&gt;0,CH75,MAX(0.1,N(Cockpit!$I$6)))-CL75)),0)</f>
        <v>5</v>
      </c>
      <c r="AX75" s="63" t="n">
        <f aca="false">IF(AT75&gt;0,J75/AT75,-1)</f>
        <v>0</v>
      </c>
      <c r="AY75" s="63" t="n">
        <f aca="false">IF(AND(OR(CG75="L1",CG75="L23",CG75="LIFT"),AT75&gt;0),SUMIFS($AT$7:$AT$1843,$CG$7:$CG$1843,CG75,$AX$7:$AX$1843,"&gt;"&amp;AX75)+SUMIFS($AT$7:$AT$1843,$CG$7:$CG$1843,CG75,$AX$7:$AX$1843,AX75,$BX$7:$BX$1843,"&lt;="&amp;BX75),"")</f>
        <v>31936.3428297221</v>
      </c>
      <c r="AZ75" s="70" t="n">
        <f aca="false">IF(AY75="",0,MAX(0,MIN(1,(IF(CG75="L1",Parameter!$H$5,IF(CG75="L23",Parameter!$H$6+Parameter!$H$7,Parameter!$H$5+Parameter!$H$6+Parameter!$H$7))-(AY75-AT75))/AT75)))</f>
        <v>1</v>
      </c>
      <c r="BA75" s="62" t="n">
        <f aca="false">IF(LEFT(Cockpit!$O$5,1)="A",H75,IF(Parameter!$E$30="MAX-Bestand",IF(CI75=1,CJ75,IF(LEFT(Cockpit!$O$5,1)="B",BG75,MAX(BG75,H75))),ROUNDUP(BE75,0)))</f>
        <v>3</v>
      </c>
      <c r="BB75" s="62" t="n">
        <f aca="false">IF(CA75=1,0,ROUNDUP(BA75/BZ75,0))</f>
        <v>0</v>
      </c>
      <c r="BC75" s="64" t="n">
        <f aca="false">IF(CR75&gt;0,CR75*MAX(1,BA75/X75),IF(CA75=1,IF(BA75&lt;=0,0,CE75*MAX(1,IF(H75&gt;0,BA75/H75,1))),IF(R75&gt;0,BB75/R75,0))/MAX(0.1,N(Parameter!$M$21)))</f>
        <v>0.32015065913371</v>
      </c>
      <c r="BD75" s="62" t="n">
        <f aca="false">BC75*CC75</f>
        <v>76.195856873823</v>
      </c>
      <c r="BE75" s="63" t="n">
        <f aca="false">IF(LEFT(Cockpit!$O$5,1)="A",H75,IF(CI75=1,(CL75+CJ75)/2,IF(LEFT(Cockpit!$O$5,1)="B",(CL75+BG75)/2,MAX((CL75+BG75)/2,H75))))</f>
        <v>2.5</v>
      </c>
      <c r="BF75" s="62" t="n">
        <f aca="false">BE75*G75</f>
        <v>1685.375</v>
      </c>
      <c r="BG75" s="62" t="n">
        <f aca="false">ROUNDUP(CL75+MAX(CM75,2*(J75/IF(CH75&gt;0,CH75,MAX(0.1,N(Cockpit!$O$6)))-CL75)),0)</f>
        <v>5</v>
      </c>
      <c r="BH75" s="63" t="n">
        <f aca="false">IF(BD75&gt;0,J75/BD75,-1)</f>
        <v>0</v>
      </c>
      <c r="BI75" s="63" t="n">
        <f aca="false">IF(AND(OR(CG75="L1",CG75="L23",CG75="LIFT"),BD75&gt;0),SUMIFS($BD$7:$BD$1843,$CG$7:$CG$1843,CG75,$BH$7:$BH$1843,"&gt;"&amp;BH75)+SUMIFS($BD$7:$BD$1843,$CG$7:$CG$1843,CG75,$BH$7:$BH$1843,BH75,$BX$7:$BX$1843,"&lt;="&amp;BX75),"")</f>
        <v>26132.92467302</v>
      </c>
      <c r="BJ75" s="70" t="n">
        <f aca="false">IF(BI75="",0,MAX(0,MIN(1,(IF(CG75="L1",Parameter!$H$5,IF(CG75="L23",Parameter!$H$6+Parameter!$H$7,Parameter!$H$5+Parameter!$H$6+Parameter!$H$7))-(BI75-BD75))/BD75)))</f>
        <v>1</v>
      </c>
      <c r="BK75" s="60" t="str">
        <f aca="false">IF(AJ75&lt;=0,"",IF(CG75="Aussen","Aussenlager",IF(CG75="-","Nicht im Lift",IF(AP75&gt;=1,"Lift",IF(AP75&lt;=0,"Aussenlager","teilweise")))))</f>
        <v>Lift</v>
      </c>
      <c r="BL75" s="60" t="str">
        <f aca="false">IF(AT75&lt;=0,"",IF(CG75="Aussen","Aussenlager",IF(CG75="-","Nicht im Lift",IF(AZ75&gt;=1,"Lift",IF(AZ75&lt;=0,"Aussenlager","teilweise")))))</f>
        <v>Lift</v>
      </c>
      <c r="BM75" s="60" t="str">
        <f aca="false">IF(BD75&lt;=0,"",IF(CG75="Aussen","Aussenlager",IF(CG75="-","Nicht im Lift",IF(BJ75&gt;=1,"Lift",IF(BJ75&lt;=0,"Aussenlager","teilweise")))))</f>
        <v>Lift</v>
      </c>
      <c r="BN75" s="60" t="str">
        <f aca="false">IF(A75="","",IF(BW75=1,"Neu; ","")&amp;IF(AND(BW75=0,BR75&lt;0),"negativer Bestand (Export "&amp;BR75&amp;"); ","")&amp;IF(J75&lt;=0,"Kein Verbrauch; ","")&amp;IF(CR75&gt;0,"Lift "&amp;W75&amp;" lt. Liftbericht (Fach "&amp;X75&amp;" Stk); ",IF(CB75=1,"Gebinde geschätzt ("&amp;T75&amp;"); ",IF(CA75=1,"Lose – Tablare geschätzt; ","")))&amp;IF(H75&gt;AW75,"Überbestand "&amp;ROUND(H75-AW75,0)&amp;" Stk / CHF "&amp;ROUND((H75-AW75)*G75,0)&amp;"; ","")&amp;IF(AND(CI75=1,CJ75&lt;CK75),"MAX &lt; MB+LG; ","")&amp;IF(AND(CQ75&gt;0,CP75*10&gt;CQ75),"zu hoch für Tablar; ","")&amp;IF(AND(BW75=0,OR(CI75=1,AB75&lt;&gt;"",U75&lt;&gt;"",V75&lt;&gt;"",AC75&lt;&gt;"")),"manuell übersteuert; ","")&amp;IF(AND(CA75=0,R75=0),"Gebinde unbekannt / Stellmass fehlt; ","")&amp;IF(AND(CA75=0,N(V75)&lt;=0,N(Q75)&lt;=0),"Menge pro Gebinde fehlt (Ist = 1 Gebinde); ","")&amp;BV75)</f>
        <v>Kein Verbrauch; Lift 1 lt. Liftbericht (Fach 4 Stk); </v>
      </c>
      <c r="BO75" s="60" t="s">
        <v>398</v>
      </c>
      <c r="BP75" s="60" t="s">
        <v>387</v>
      </c>
      <c r="BQ75" s="67"/>
      <c r="BR75" s="62" t="n">
        <v>5</v>
      </c>
      <c r="BS75" s="62" t="n">
        <v>0</v>
      </c>
      <c r="BT75" s="61" t="n">
        <v>3370.75</v>
      </c>
      <c r="BU75" s="62" t="n">
        <v>0</v>
      </c>
      <c r="BV75" s="60"/>
      <c r="BW75" s="65" t="n">
        <v>0</v>
      </c>
      <c r="BX75" s="65" t="n">
        <v>75</v>
      </c>
      <c r="BY75" s="60" t="str">
        <f aca="false">IF(U75&lt;&gt;"",UPPER(TRIM(U75)),IF(CB75=1,UPPER(VLOOKUP(T75,Parameter!$I$27:$K$29,2,0)),IF(P75="","LOSE",P75)))</f>
        <v>LOSE</v>
      </c>
      <c r="BZ75" s="62" t="n">
        <f aca="false">IF(BY75="LOSE",1,IF(N(V75)&gt;0,V75,IF(CB75=1,MAX(1,N(VLOOKUP(T75,Parameter!$I$27:$K$29,3,0)),H75,N(N75)),IF(N(Q75)&gt;0,Q75,MAX(1,H75)))))</f>
        <v>1</v>
      </c>
      <c r="CA75" s="65" t="n">
        <f aca="false">IF(BY75="LOSE",1,0)</f>
        <v>1</v>
      </c>
      <c r="CB75" s="65" t="n">
        <f aca="false">IF(AND(U75="",OR(P75="",P75="LOSE"),T75&lt;&gt;"",N(S75)&lt;=0,ISNUMBER(MATCH(T75,Parameter!$I$27:$I$29,0))),1,0)</f>
        <v>0</v>
      </c>
      <c r="CC75" s="65" t="n">
        <f aca="false">IF(CR75&gt;0,INDEX(Parameter!$H$5:$H$7,W75)/INDEX(Parameter!$E$5:$E$7,W75),IF(AND(CA75=0,N(IFERROR(VLOOKUP(BY75,'Gebinde-Kategorie'!$A$5:$N$45,14,0),0))&gt;0),VLOOKUP(BY75,'Gebinde-Kategorie'!$A$5:$N$45,14,0)*10+Parameter!$M$23,Parameter!$M$24))</f>
        <v>238</v>
      </c>
      <c r="CD75" s="60" t="str">
        <f aca="false">IF(AND(Parameter!$B$19="Ja",E75&lt;&gt;"",ISNUMBER(MATCH(E75,Parameter!$I$35:$I$52,0))),VLOOKUP(E75,Parameter!$I$35:$J$52,2,0),IFERROR(VLOOKUP(D75,Parameter!$A$35:$C$64,2,0),"Nein"))</f>
        <v>2+3</v>
      </c>
      <c r="CE75" s="64" t="n">
        <f aca="false">IF(CA75=0,0,IF(N(S75)&gt;0,S75,IFERROR(VLOOKUP(D75,Parameter!$A$35:$C$64,3,0)+0,0)))</f>
        <v>0.15</v>
      </c>
      <c r="CF75" s="60" t="n">
        <f aca="false">IF(AB75&lt;&gt;"",AB75,AA75)</f>
        <v>1</v>
      </c>
      <c r="CG75" s="60" t="str">
        <f aca="false">IF(OR(CF75=1,CF75=2,CF75=3),IF(Parameter!$E$27="Ja","LIFT",IF(CF75=1,"L1","L23")),IF(CF75="Aussen","Aussen","-"))</f>
        <v>LIFT</v>
      </c>
      <c r="CH75" s="71" t="n">
        <f aca="false">IF(N(AC75)&gt;0,AC75,0)</f>
        <v>0</v>
      </c>
      <c r="CI75" s="65" t="n">
        <f aca="false">IF(ISNUMBER(AF75),1,0)</f>
        <v>0</v>
      </c>
      <c r="CJ75" s="62" t="n">
        <f aca="false">N(AF75)</f>
        <v>0</v>
      </c>
      <c r="CK75" s="62" t="n">
        <f aca="false">N(M75)+N(N75)</f>
        <v>5</v>
      </c>
      <c r="CL75" s="62" t="n">
        <f aca="false">N(M75)</f>
        <v>0</v>
      </c>
      <c r="CM75" s="62" t="n">
        <f aca="false">N(N75)</f>
        <v>5</v>
      </c>
      <c r="CN75" s="62" t="n">
        <f aca="false">ROUNDUP(H75/BZ75,0)</f>
        <v>2</v>
      </c>
      <c r="CO75" s="62" t="n">
        <f aca="false">ROUNDUP(CJ75/BZ75,0)</f>
        <v>0</v>
      </c>
      <c r="CP75" s="65" t="n">
        <f aca="false">IF(CA75=1,0,IFERROR(VLOOKUP(BY75,'Gebinde-Kategorie'!$A$5:$N$45,5,0)+0,0))</f>
        <v>0</v>
      </c>
      <c r="CQ75" s="65" t="n">
        <f aca="false">IFERROR(IF(OR(CF75=1,CF75=2,CF75=3),N(INDEX(Parameter!$I$5:$I$7,CF75)),0),0)</f>
        <v>0</v>
      </c>
      <c r="CR75" s="64" t="n">
        <f aca="false">IF(AND(Parameter!$B$21="Ja",ISNUMBER(W75),N(X75)&gt;0),IFERROR(N(INDEX(Parameter!$L$5:$L$7,W75))*INDEX(Parameter!$E$5:$E$7,W75)*X75/SUMIFS($X$7:$X$1843,$W$7:$W$1843,W75),0),0)</f>
        <v>0.32015065913371</v>
      </c>
      <c r="CS75" s="62" t="n">
        <f aca="false">IF(AND(OR(CG75="L1",CG75="L23",CG75="LIFT"),H75&gt;0),CC75*IF(CR75&gt;0,CR75*MAX(1,H75/X75),IF(CA75=1,CE75,IF(R75&gt;0,CN75/R75,0))/MAX(0.1,N(Parameter!$M$21))),"")</f>
        <v>76.195856873823</v>
      </c>
      <c r="CT75" s="64" t="n">
        <f aca="false">IF(CS75="","",J75/H75)</f>
        <v>0</v>
      </c>
      <c r="CU75" s="62" t="n">
        <f aca="false">IF(CS75="","",H75*G75)</f>
        <v>1348.3</v>
      </c>
      <c r="CV75" s="63" t="n">
        <f aca="false">IF(CS75="","",(CL75+ROUNDUP(CL75+MAX(CM75,2*(J75/MAX(0.1,N(Einkauf!$C$6))-CL75)),0))/2)</f>
        <v>2.5</v>
      </c>
      <c r="CW75" s="62" t="n">
        <f aca="false">IF(CS75="","",MAX(0,H75-CV75)*G75)</f>
        <v>0</v>
      </c>
      <c r="CX75" s="62" t="n">
        <f aca="false">IF(CS75="","",CS75*MAX(0,1-CV75/H75))</f>
        <v>0</v>
      </c>
      <c r="CY75" s="64" t="n">
        <f aca="false">IF(CS75="","",PERCENTRANK($CS$7:$CS$1843,CS75)+PERCENTRANK($CU$7:$CU$1843,CU75)+1-PERCENTRANK($CT$7:$CT$1843,CT75))</f>
        <v>2.642</v>
      </c>
      <c r="CZ75" s="72" t="n">
        <f aca="false">IF(CS75="","",CHOOSE(MATCH(Einkauf!$C$5,Parameter!$G$23:$G$27,0),CY75,CS75,CU75,-CT75,CW75)+ROW()/1000000000)</f>
        <v>2.642000075</v>
      </c>
    </row>
    <row r="76" customFormat="false" ht="15" hidden="false" customHeight="false" outlineLevel="0" collapsed="false">
      <c r="A76" s="60" t="s">
        <v>399</v>
      </c>
      <c r="B76" s="60" t="s">
        <v>400</v>
      </c>
      <c r="C76" s="60" t="s">
        <v>206</v>
      </c>
      <c r="D76" s="60" t="s">
        <v>215</v>
      </c>
      <c r="E76" s="60" t="s">
        <v>227</v>
      </c>
      <c r="F76" s="60" t="s">
        <v>260</v>
      </c>
      <c r="G76" s="61" t="n">
        <v>186.8</v>
      </c>
      <c r="H76" s="62" t="n">
        <f aca="false">MAX(0,IF(AND(Parameter!$B$21="Ja",ISNUMBER(Y76)),Y76,IF(Parameter!$B$20="Jahresanfang 2025 + Export",BS76+BR76,BR76)))</f>
        <v>19</v>
      </c>
      <c r="I76" s="62" t="n">
        <f aca="false">H76*G76</f>
        <v>3549.2</v>
      </c>
      <c r="J76" s="62" t="n">
        <f aca="false">BU76*Parameter!$B$18</f>
        <v>46</v>
      </c>
      <c r="K76" s="63" t="n">
        <v>8</v>
      </c>
      <c r="L76" s="64" t="n">
        <v>5.75</v>
      </c>
      <c r="M76" s="62" t="n">
        <v>5</v>
      </c>
      <c r="N76" s="62" t="n">
        <v>25</v>
      </c>
      <c r="O76" s="65" t="n">
        <v>49</v>
      </c>
      <c r="P76" s="60" t="s">
        <v>216</v>
      </c>
      <c r="Q76" s="62" t="n">
        <v>13</v>
      </c>
      <c r="R76" s="65" t="n">
        <f aca="false">IF(CA76=1,0,IFERROR(VLOOKUP(BY76,'Gebinde-Kategorie'!$A$5:$N$45,13,0)+0,0))</f>
        <v>6</v>
      </c>
      <c r="S76" s="66"/>
      <c r="T76" s="67"/>
      <c r="U76" s="67"/>
      <c r="V76" s="67"/>
      <c r="W76" s="60"/>
      <c r="X76" s="62"/>
      <c r="Y76" s="62"/>
      <c r="Z76" s="60" t="n">
        <v>2</v>
      </c>
      <c r="AA76" s="60" t="n">
        <f aca="false">IF(A76="","",IF(AND(Parameter!$B$21="Ja",ISNUMBER(W76)),W76,IF(AND(Parameter!$E$27="Ja",ISNUMBER(Z76),CD76&lt;&gt;"Nein"),Z76,IF(CD76="2+3",IF(ISNUMBER(SEARCH("grosser Artikel",BV76)),2,IFERROR(VLOOKUP(BY76,Parameter!$F$35:$G$64,2,0),2)),IF(OR(CD76="Nein",CD76=""),"-",CD76)))))</f>
        <v>2</v>
      </c>
      <c r="AB76" s="67"/>
      <c r="AC76" s="68"/>
      <c r="AD76" s="62" t="n">
        <f aca="false">AW76</f>
        <v>30</v>
      </c>
      <c r="AE76" s="62" t="n">
        <f aca="false">MAX(AW76,H76)</f>
        <v>30</v>
      </c>
      <c r="AF76" s="69"/>
      <c r="AG76" s="62" t="n">
        <f aca="false">IF(LEFT(Cockpit!$C$5,1)="A",H76,IF(Parameter!$E$30="MAX-Bestand",IF(CI76=1,CJ76,IF(LEFT(Cockpit!$C$5,1)="B",AM76,MAX(AM76,H76))),ROUNDUP(AK76,0)))</f>
        <v>19</v>
      </c>
      <c r="AH76" s="62" t="n">
        <f aca="false">IF(CA76=1,0,ROUNDUP(AG76/BZ76,0))</f>
        <v>2</v>
      </c>
      <c r="AI76" s="64" t="n">
        <f aca="false">IF(CR76&gt;0,CR76*MAX(1,AG76/X76),IF(CA76=1,IF(AG76&lt;=0,0,CE76*MAX(1,IF(H76&gt;0,AG76/H76,1))),IF(R76&gt;0,AH76/R76,0))/MAX(0.1,N(Parameter!$M$21)))</f>
        <v>0.333333333333333</v>
      </c>
      <c r="AJ76" s="62" t="n">
        <f aca="false">AI76*CC76</f>
        <v>78.3333333333333</v>
      </c>
      <c r="AK76" s="63" t="n">
        <f aca="false">IF(LEFT(Cockpit!$C$5,1)="A",H76,IF(CI76=1,(CL76+CJ76)/2,IF(LEFT(Cockpit!$C$5,1)="B",(CL76+AM76)/2,MAX((CL76+AM76)/2,H76))))</f>
        <v>19</v>
      </c>
      <c r="AL76" s="62" t="n">
        <f aca="false">AK76*G76</f>
        <v>3549.2</v>
      </c>
      <c r="AM76" s="62" t="n">
        <f aca="false">ROUNDUP(CL76+MAX(CM76,2*(J76/IF(CH76&gt;0,CH76,MAX(0.1,N(Cockpit!$C$6)))-CL76)),0)</f>
        <v>30</v>
      </c>
      <c r="AN76" s="63" t="n">
        <f aca="false">IF(AJ76&gt;0,J76/AJ76,-1)</f>
        <v>0.587234042553192</v>
      </c>
      <c r="AO76" s="63" t="n">
        <f aca="false">IF(AND(OR(CG76="L1",CG76="L23",CG76="LIFT"),AJ76&gt;0),SUMIFS($AJ$7:$AJ$1843,$CG$7:$CG$1843,CG76,$AN$7:$AN$1843,"&gt;"&amp;AN76)+SUMIFS($AJ$7:$AJ$1843,$CG$7:$CG$1843,CG76,$AN$7:$AN$1843,AN76,$BX$7:$BX$1843,"&lt;="&amp;BX76),"")</f>
        <v>9357.86947703897</v>
      </c>
      <c r="AP76" s="70" t="n">
        <f aca="false">IF(AO76="",0,MAX(0,MIN(1,(IF(CG76="L1",Parameter!$H$5,IF(CG76="L23",Parameter!$H$6+Parameter!$H$7,Parameter!$H$5+Parameter!$H$6+Parameter!$H$7))-(AO76-AJ76))/AJ76)))</f>
        <v>1</v>
      </c>
      <c r="AQ76" s="62" t="n">
        <f aca="false">IF(LEFT(Cockpit!$I$5,1)="A",H76,IF(Parameter!$E$30="MAX-Bestand",IF(CI76=1,CJ76,IF(LEFT(Cockpit!$I$5,1)="B",AW76,MAX(AW76,H76))),ROUNDUP(AU76,0)))</f>
        <v>19</v>
      </c>
      <c r="AR76" s="62" t="n">
        <f aca="false">IF(CA76=1,0,ROUNDUP(AQ76/BZ76,0))</f>
        <v>2</v>
      </c>
      <c r="AS76" s="64" t="n">
        <f aca="false">IF(CR76&gt;0,CR76*MAX(1,AQ76/X76),IF(CA76=1,IF(AQ76&lt;=0,0,CE76*MAX(1,IF(H76&gt;0,AQ76/H76,1))),IF(R76&gt;0,AR76/R76,0))/MAX(0.1,N(Parameter!$M$21)))</f>
        <v>0.333333333333333</v>
      </c>
      <c r="AT76" s="62" t="n">
        <f aca="false">AS76*CC76</f>
        <v>78.3333333333333</v>
      </c>
      <c r="AU76" s="63" t="n">
        <f aca="false">IF(LEFT(Cockpit!$I$5,1)="A",H76,IF(CI76=1,(CL76+CJ76)/2,IF(LEFT(Cockpit!$I$5,1)="B",(CL76+AW76)/2,MAX((CL76+AW76)/2,H76))))</f>
        <v>19</v>
      </c>
      <c r="AV76" s="62" t="n">
        <f aca="false">AU76*G76</f>
        <v>3549.2</v>
      </c>
      <c r="AW76" s="62" t="n">
        <f aca="false">ROUNDUP(CL76+MAX(CM76,2*(J76/IF(CH76&gt;0,CH76,MAX(0.1,N(Cockpit!$I$6)))-CL76)),0)</f>
        <v>30</v>
      </c>
      <c r="AX76" s="63" t="n">
        <f aca="false">IF(AT76&gt;0,J76/AT76,-1)</f>
        <v>0.587234042553192</v>
      </c>
      <c r="AY76" s="63" t="n">
        <f aca="false">IF(AND(OR(CG76="L1",CG76="L23",CG76="LIFT"),AT76&gt;0),SUMIFS($AT$7:$AT$1843,$CG$7:$CG$1843,CG76,$AX$7:$AX$1843,"&gt;"&amp;AX76)+SUMIFS($AT$7:$AT$1843,$CG$7:$CG$1843,CG76,$AX$7:$AX$1843,AX76,$BX$7:$BX$1843,"&lt;="&amp;BX76),"")</f>
        <v>11364.782967033</v>
      </c>
      <c r="AZ76" s="70" t="n">
        <f aca="false">IF(AY76="",0,MAX(0,MIN(1,(IF(CG76="L1",Parameter!$H$5,IF(CG76="L23",Parameter!$H$6+Parameter!$H$7,Parameter!$H$5+Parameter!$H$6+Parameter!$H$7))-(AY76-AT76))/AT76)))</f>
        <v>1</v>
      </c>
      <c r="BA76" s="62" t="n">
        <f aca="false">IF(LEFT(Cockpit!$O$5,1)="A",H76,IF(Parameter!$E$30="MAX-Bestand",IF(CI76=1,CJ76,IF(LEFT(Cockpit!$O$5,1)="B",BG76,MAX(BG76,H76))),ROUNDUP(BE76,0)))</f>
        <v>18</v>
      </c>
      <c r="BB76" s="62" t="n">
        <f aca="false">IF(CA76=1,0,ROUNDUP(BA76/BZ76,0))</f>
        <v>2</v>
      </c>
      <c r="BC76" s="64" t="n">
        <f aca="false">IF(CR76&gt;0,CR76*MAX(1,BA76/X76),IF(CA76=1,IF(BA76&lt;=0,0,CE76*MAX(1,IF(H76&gt;0,BA76/H76,1))),IF(R76&gt;0,BB76/R76,0))/MAX(0.1,N(Parameter!$M$21)))</f>
        <v>0.333333333333333</v>
      </c>
      <c r="BD76" s="62" t="n">
        <f aca="false">BC76*CC76</f>
        <v>78.3333333333333</v>
      </c>
      <c r="BE76" s="63" t="n">
        <f aca="false">IF(LEFT(Cockpit!$O$5,1)="A",H76,IF(CI76=1,(CL76+CJ76)/2,IF(LEFT(Cockpit!$O$5,1)="B",(CL76+BG76)/2,MAX((CL76+BG76)/2,H76))))</f>
        <v>17.5</v>
      </c>
      <c r="BF76" s="62" t="n">
        <f aca="false">BE76*G76</f>
        <v>3269</v>
      </c>
      <c r="BG76" s="62" t="n">
        <f aca="false">ROUNDUP(CL76+MAX(CM76,2*(J76/IF(CH76&gt;0,CH76,MAX(0.1,N(Cockpit!$O$6)))-CL76)),0)</f>
        <v>30</v>
      </c>
      <c r="BH76" s="63" t="n">
        <f aca="false">IF(BD76&gt;0,J76/BD76,-1)</f>
        <v>0.587234042553192</v>
      </c>
      <c r="BI76" s="63" t="n">
        <f aca="false">IF(AND(OR(CG76="L1",CG76="L23",CG76="LIFT"),BD76&gt;0),SUMIFS($BD$7:$BD$1843,$CG$7:$CG$1843,CG76,$BH$7:$BH$1843,"&gt;"&amp;BH76)+SUMIFS($BD$7:$BD$1843,$CG$7:$CG$1843,CG76,$BH$7:$BH$1843,BH76,$BX$7:$BX$1843,"&lt;="&amp;BX76),"")</f>
        <v>10077.6222527473</v>
      </c>
      <c r="BJ76" s="70" t="n">
        <f aca="false">IF(BI76="",0,MAX(0,MIN(1,(IF(CG76="L1",Parameter!$H$5,IF(CG76="L23",Parameter!$H$6+Parameter!$H$7,Parameter!$H$5+Parameter!$H$6+Parameter!$H$7))-(BI76-BD76))/BD76)))</f>
        <v>1</v>
      </c>
      <c r="BK76" s="60" t="str">
        <f aca="false">IF(AJ76&lt;=0,"",IF(CG76="Aussen","Aussenlager",IF(CG76="-","Nicht im Lift",IF(AP76&gt;=1,"Lift",IF(AP76&lt;=0,"Aussenlager","teilweise")))))</f>
        <v>Lift</v>
      </c>
      <c r="BL76" s="60" t="str">
        <f aca="false">IF(AT76&lt;=0,"",IF(CG76="Aussen","Aussenlager",IF(CG76="-","Nicht im Lift",IF(AZ76&gt;=1,"Lift",IF(AZ76&lt;=0,"Aussenlager","teilweise")))))</f>
        <v>Lift</v>
      </c>
      <c r="BM76" s="60" t="str">
        <f aca="false">IF(BD76&lt;=0,"",IF(CG76="Aussen","Aussenlager",IF(CG76="-","Nicht im Lift",IF(BJ76&gt;=1,"Lift",IF(BJ76&lt;=0,"Aussenlager","teilweise")))))</f>
        <v>Lift</v>
      </c>
      <c r="BN76" s="60" t="str">
        <f aca="false">IF(A76="","",IF(BW76=1,"Neu; ","")&amp;IF(AND(BW76=0,BR76&lt;0),"negativer Bestand (Export "&amp;BR76&amp;"); ","")&amp;IF(J76&lt;=0,"Kein Verbrauch; ","")&amp;IF(CR76&gt;0,"Lift "&amp;W76&amp;" lt. Liftbericht (Fach "&amp;X76&amp;" Stk); ",IF(CB76=1,"Gebinde geschätzt ("&amp;T76&amp;"); ",IF(CA76=1,"Lose – Tablare geschätzt; ","")))&amp;IF(H76&gt;AW76,"Überbestand "&amp;ROUND(H76-AW76,0)&amp;" Stk / CHF "&amp;ROUND((H76-AW76)*G76,0)&amp;"; ","")&amp;IF(AND(CI76=1,CJ76&lt;CK76),"MAX &lt; MB+LG; ","")&amp;IF(AND(CQ76&gt;0,CP76*10&gt;CQ76),"zu hoch für Tablar; ","")&amp;IF(AND(BW76=0,OR(CI76=1,AB76&lt;&gt;"",U76&lt;&gt;"",V76&lt;&gt;"",AC76&lt;&gt;"")),"manuell übersteuert; ","")&amp;IF(AND(CA76=0,R76=0),"Gebinde unbekannt / Stellmass fehlt; ","")&amp;IF(AND(CA76=0,N(V76)&lt;=0,N(Q76)&lt;=0),"Menge pro Gebinde fehlt (Ist = 1 Gebinde); ","")&amp;BV76)</f>
        <v>Überbestand; grosser Artikel &amp; nicht im KTL</v>
      </c>
      <c r="BO76" s="60"/>
      <c r="BP76" s="60"/>
      <c r="BQ76" s="67"/>
      <c r="BR76" s="62" t="n">
        <v>18</v>
      </c>
      <c r="BS76" s="62" t="n">
        <v>1</v>
      </c>
      <c r="BT76" s="61" t="n">
        <v>3364.03</v>
      </c>
      <c r="BU76" s="62" t="n">
        <v>46</v>
      </c>
      <c r="BV76" s="60" t="s">
        <v>401</v>
      </c>
      <c r="BW76" s="65" t="n">
        <v>0</v>
      </c>
      <c r="BX76" s="65" t="n">
        <v>76</v>
      </c>
      <c r="BY76" s="60" t="str">
        <f aca="false">IF(U76&lt;&gt;"",UPPER(TRIM(U76)),IF(CB76=1,UPPER(VLOOKUP(T76,Parameter!$I$27:$K$29,2,0)),IF(P76="","LOSE",P76)))</f>
        <v>S71</v>
      </c>
      <c r="BZ76" s="62" t="n">
        <f aca="false">IF(BY76="LOSE",1,IF(N(V76)&gt;0,V76,IF(CB76=1,MAX(1,N(VLOOKUP(T76,Parameter!$I$27:$K$29,3,0)),H76,N(N76)),IF(N(Q76)&gt;0,Q76,MAX(1,H76)))))</f>
        <v>13</v>
      </c>
      <c r="CA76" s="65" t="n">
        <f aca="false">IF(BY76="LOSE",1,0)</f>
        <v>0</v>
      </c>
      <c r="CB76" s="65" t="n">
        <f aca="false">IF(AND(U76="",OR(P76="",P76="LOSE"),T76&lt;&gt;"",N(S76)&lt;=0,ISNUMBER(MATCH(T76,Parameter!$I$27:$I$29,0))),1,0)</f>
        <v>0</v>
      </c>
      <c r="CC76" s="65" t="n">
        <f aca="false">IF(CR76&gt;0,INDEX(Parameter!$H$5:$H$7,W76)/INDEX(Parameter!$E$5:$E$7,W76),IF(AND(CA76=0,N(IFERROR(VLOOKUP(BY76,'Gebinde-Kategorie'!$A$5:$N$45,14,0),0))&gt;0),VLOOKUP(BY76,'Gebinde-Kategorie'!$A$5:$N$45,14,0)*10+Parameter!$M$23,Parameter!$M$24))</f>
        <v>235</v>
      </c>
      <c r="CD76" s="60" t="str">
        <f aca="false">IF(AND(Parameter!$B$19="Ja",E76&lt;&gt;"",ISNUMBER(MATCH(E76,Parameter!$I$35:$I$52,0))),VLOOKUP(E76,Parameter!$I$35:$J$52,2,0),IFERROR(VLOOKUP(D76,Parameter!$A$35:$C$64,2,0),"Nein"))</f>
        <v>2+3</v>
      </c>
      <c r="CE76" s="64" t="n">
        <f aca="false">IF(CA76=0,0,IF(N(S76)&gt;0,S76,IFERROR(VLOOKUP(D76,Parameter!$A$35:$C$64,3,0)+0,0)))</f>
        <v>0</v>
      </c>
      <c r="CF76" s="60" t="n">
        <f aca="false">IF(AB76&lt;&gt;"",AB76,AA76)</f>
        <v>2</v>
      </c>
      <c r="CG76" s="60" t="str">
        <f aca="false">IF(OR(CF76=1,CF76=2,CF76=3),IF(Parameter!$E$27="Ja","LIFT",IF(CF76=1,"L1","L23")),IF(CF76="Aussen","Aussen","-"))</f>
        <v>LIFT</v>
      </c>
      <c r="CH76" s="71" t="n">
        <f aca="false">IF(N(AC76)&gt;0,AC76,0)</f>
        <v>0</v>
      </c>
      <c r="CI76" s="65" t="n">
        <f aca="false">IF(ISNUMBER(AF76),1,0)</f>
        <v>0</v>
      </c>
      <c r="CJ76" s="62" t="n">
        <f aca="false">N(AF76)</f>
        <v>0</v>
      </c>
      <c r="CK76" s="62" t="n">
        <f aca="false">N(M76)+N(N76)</f>
        <v>30</v>
      </c>
      <c r="CL76" s="62" t="n">
        <f aca="false">N(M76)</f>
        <v>5</v>
      </c>
      <c r="CM76" s="62" t="n">
        <f aca="false">N(N76)</f>
        <v>25</v>
      </c>
      <c r="CN76" s="62" t="n">
        <f aca="false">ROUNDUP(H76/BZ76,0)</f>
        <v>2</v>
      </c>
      <c r="CO76" s="62" t="n">
        <f aca="false">ROUNDUP(CJ76/BZ76,0)</f>
        <v>0</v>
      </c>
      <c r="CP76" s="65" t="n">
        <f aca="false">IF(CA76=1,0,IFERROR(VLOOKUP(BY76,'Gebinde-Kategorie'!$A$5:$N$45,5,0)+0,0))</f>
        <v>20</v>
      </c>
      <c r="CQ76" s="65" t="n">
        <f aca="false">IFERROR(IF(OR(CF76=1,CF76=2,CF76=3),N(INDEX(Parameter!$I$5:$I$7,CF76)),0),0)</f>
        <v>0</v>
      </c>
      <c r="CR76" s="64" t="n">
        <f aca="false">IF(AND(Parameter!$B$21="Ja",ISNUMBER(W76),N(X76)&gt;0),IFERROR(N(INDEX(Parameter!$L$5:$L$7,W76))*INDEX(Parameter!$E$5:$E$7,W76)*X76/SUMIFS($X$7:$X$1843,$W$7:$W$1843,W76),0),0)</f>
        <v>0</v>
      </c>
      <c r="CS76" s="62" t="n">
        <f aca="false">IF(AND(OR(CG76="L1",CG76="L23",CG76="LIFT"),H76&gt;0),CC76*IF(CR76&gt;0,CR76*MAX(1,H76/X76),IF(CA76=1,CE76,IF(R76&gt;0,CN76/R76,0))/MAX(0.1,N(Parameter!$M$21))),"")</f>
        <v>78.3333333333333</v>
      </c>
      <c r="CT76" s="64" t="n">
        <f aca="false">IF(CS76="","",J76/H76)</f>
        <v>2.42105263157895</v>
      </c>
      <c r="CU76" s="62" t="n">
        <f aca="false">IF(CS76="","",H76*G76)</f>
        <v>3549.2</v>
      </c>
      <c r="CV76" s="63" t="n">
        <f aca="false">IF(CS76="","",(CL76+ROUNDUP(CL76+MAX(CM76,2*(J76/MAX(0.1,N(Einkauf!$C$6))-CL76)),0))/2)</f>
        <v>17.5</v>
      </c>
      <c r="CW76" s="62" t="n">
        <f aca="false">IF(CS76="","",MAX(0,H76-CV76)*G76)</f>
        <v>280.2</v>
      </c>
      <c r="CX76" s="62" t="n">
        <f aca="false">IF(CS76="","",CS76*MAX(0,1-CV76/H76))</f>
        <v>6.18421052631579</v>
      </c>
      <c r="CY76" s="64" t="n">
        <f aca="false">IF(CS76="","",PERCENTRANK($CS$7:$CS$1843,CS76)+PERCENTRANK($CU$7:$CU$1843,CU76)+1-PERCENTRANK($CT$7:$CT$1843,CT76))</f>
        <v>1.959</v>
      </c>
      <c r="CZ76" s="72" t="n">
        <f aca="false">IF(CS76="","",CHOOSE(MATCH(Einkauf!$C$5,Parameter!$G$23:$G$27,0),CY76,CS76,CU76,-CT76,CW76)+ROW()/1000000000)</f>
        <v>1.959000076</v>
      </c>
    </row>
    <row r="77" customFormat="false" ht="15" hidden="false" customHeight="false" outlineLevel="0" collapsed="false">
      <c r="A77" s="60" t="s">
        <v>402</v>
      </c>
      <c r="B77" s="60" t="s">
        <v>403</v>
      </c>
      <c r="C77" s="60" t="s">
        <v>206</v>
      </c>
      <c r="D77" s="60" t="s">
        <v>215</v>
      </c>
      <c r="E77" s="60"/>
      <c r="F77" s="60" t="s">
        <v>260</v>
      </c>
      <c r="G77" s="61" t="n">
        <v>553.67</v>
      </c>
      <c r="H77" s="62" t="n">
        <f aca="false">MAX(0,IF(AND(Parameter!$B$21="Ja",ISNUMBER(Y77)),Y77,IF(Parameter!$B$20="Jahresanfang 2025 + Export",BS77+BR77,BR77)))</f>
        <v>6</v>
      </c>
      <c r="I77" s="62" t="n">
        <f aca="false">H77*G77</f>
        <v>3322.02</v>
      </c>
      <c r="J77" s="62" t="n">
        <f aca="false">BU77*Parameter!$B$18</f>
        <v>18</v>
      </c>
      <c r="K77" s="63" t="n">
        <v>7</v>
      </c>
      <c r="L77" s="64" t="n">
        <v>2.57142857142857</v>
      </c>
      <c r="M77" s="62" t="n">
        <v>3</v>
      </c>
      <c r="N77" s="62" t="n">
        <v>10</v>
      </c>
      <c r="O77" s="65" t="n">
        <v>63</v>
      </c>
      <c r="P77" s="60" t="s">
        <v>216</v>
      </c>
      <c r="Q77" s="62" t="n">
        <v>20</v>
      </c>
      <c r="R77" s="65" t="n">
        <f aca="false">IF(CA77=1,0,IFERROR(VLOOKUP(BY77,'Gebinde-Kategorie'!$A$5:$N$45,13,0)+0,0))</f>
        <v>6</v>
      </c>
      <c r="S77" s="66"/>
      <c r="T77" s="67"/>
      <c r="U77" s="67"/>
      <c r="V77" s="67"/>
      <c r="W77" s="60"/>
      <c r="X77" s="62"/>
      <c r="Y77" s="62"/>
      <c r="Z77" s="60" t="n">
        <v>2</v>
      </c>
      <c r="AA77" s="60" t="n">
        <f aca="false">IF(A77="","",IF(AND(Parameter!$B$21="Ja",ISNUMBER(W77)),W77,IF(AND(Parameter!$E$27="Ja",ISNUMBER(Z77),CD77&lt;&gt;"Nein"),Z77,IF(CD77="2+3",IF(ISNUMBER(SEARCH("grosser Artikel",BV77)),2,IFERROR(VLOOKUP(BY77,Parameter!$F$35:$G$64,2,0),2)),IF(OR(CD77="Nein",CD77=""),"-",CD77)))))</f>
        <v>2</v>
      </c>
      <c r="AB77" s="67"/>
      <c r="AC77" s="68"/>
      <c r="AD77" s="62" t="n">
        <f aca="false">AW77</f>
        <v>13</v>
      </c>
      <c r="AE77" s="62" t="n">
        <f aca="false">MAX(AW77,H77)</f>
        <v>13</v>
      </c>
      <c r="AF77" s="69"/>
      <c r="AG77" s="62" t="n">
        <f aca="false">IF(LEFT(Cockpit!$C$5,1)="A",H77,IF(Parameter!$E$30="MAX-Bestand",IF(CI77=1,CJ77,IF(LEFT(Cockpit!$C$5,1)="B",AM77,MAX(AM77,H77))),ROUNDUP(AK77,0)))</f>
        <v>6</v>
      </c>
      <c r="AH77" s="62" t="n">
        <f aca="false">IF(CA77=1,0,ROUNDUP(AG77/BZ77,0))</f>
        <v>1</v>
      </c>
      <c r="AI77" s="64" t="n">
        <f aca="false">IF(CR77&gt;0,CR77*MAX(1,AG77/X77),IF(CA77=1,IF(AG77&lt;=0,0,CE77*MAX(1,IF(H77&gt;0,AG77/H77,1))),IF(R77&gt;0,AH77/R77,0))/MAX(0.1,N(Parameter!$M$21)))</f>
        <v>0.166666666666667</v>
      </c>
      <c r="AJ77" s="62" t="n">
        <f aca="false">AI77*CC77</f>
        <v>39.1666666666667</v>
      </c>
      <c r="AK77" s="63" t="n">
        <f aca="false">IF(LEFT(Cockpit!$C$5,1)="A",H77,IF(CI77=1,(CL77+CJ77)/2,IF(LEFT(Cockpit!$C$5,1)="B",(CL77+AM77)/2,MAX((CL77+AM77)/2,H77))))</f>
        <v>6</v>
      </c>
      <c r="AL77" s="62" t="n">
        <f aca="false">AK77*G77</f>
        <v>3322.02</v>
      </c>
      <c r="AM77" s="62" t="n">
        <f aca="false">ROUNDUP(CL77+MAX(CM77,2*(J77/IF(CH77&gt;0,CH77,MAX(0.1,N(Cockpit!$C$6)))-CL77)),0)</f>
        <v>13</v>
      </c>
      <c r="AN77" s="63" t="n">
        <f aca="false">IF(AJ77&gt;0,J77/AJ77,-1)</f>
        <v>0.459574468085106</v>
      </c>
      <c r="AO77" s="63" t="n">
        <f aca="false">IF(AND(OR(CG77="L1",CG77="L23",CG77="LIFT"),AJ77&gt;0),SUMIFS($AJ$7:$AJ$1843,$CG$7:$CG$1843,CG77,$AN$7:$AN$1843,"&gt;"&amp;AN77)+SUMIFS($AJ$7:$AJ$1843,$CG$7:$CG$1843,CG77,$AN$7:$AN$1843,AN77,$BX$7:$BX$1843,"&lt;="&amp;BX77),"")</f>
        <v>9739.34383601333</v>
      </c>
      <c r="AP77" s="70" t="n">
        <f aca="false">IF(AO77="",0,MAX(0,MIN(1,(IF(CG77="L1",Parameter!$H$5,IF(CG77="L23",Parameter!$H$6+Parameter!$H$7,Parameter!$H$5+Parameter!$H$6+Parameter!$H$7))-(AO77-AJ77))/AJ77)))</f>
        <v>1</v>
      </c>
      <c r="AQ77" s="62" t="n">
        <f aca="false">IF(LEFT(Cockpit!$I$5,1)="A",H77,IF(Parameter!$E$30="MAX-Bestand",IF(CI77=1,CJ77,IF(LEFT(Cockpit!$I$5,1)="B",AW77,MAX(AW77,H77))),ROUNDUP(AU77,0)))</f>
        <v>8</v>
      </c>
      <c r="AR77" s="62" t="n">
        <f aca="false">IF(CA77=1,0,ROUNDUP(AQ77/BZ77,0))</f>
        <v>1</v>
      </c>
      <c r="AS77" s="64" t="n">
        <f aca="false">IF(CR77&gt;0,CR77*MAX(1,AQ77/X77),IF(CA77=1,IF(AQ77&lt;=0,0,CE77*MAX(1,IF(H77&gt;0,AQ77/H77,1))),IF(R77&gt;0,AR77/R77,0))/MAX(0.1,N(Parameter!$M$21)))</f>
        <v>0.166666666666667</v>
      </c>
      <c r="AT77" s="62" t="n">
        <f aca="false">AS77*CC77</f>
        <v>39.1666666666667</v>
      </c>
      <c r="AU77" s="63" t="n">
        <f aca="false">IF(LEFT(Cockpit!$I$5,1)="A",H77,IF(CI77=1,(CL77+CJ77)/2,IF(LEFT(Cockpit!$I$5,1)="B",(CL77+AW77)/2,MAX((CL77+AW77)/2,H77))))</f>
        <v>8</v>
      </c>
      <c r="AV77" s="62" t="n">
        <f aca="false">AU77*G77</f>
        <v>4429.36</v>
      </c>
      <c r="AW77" s="62" t="n">
        <f aca="false">ROUNDUP(CL77+MAX(CM77,2*(J77/IF(CH77&gt;0,CH77,MAX(0.1,N(Cockpit!$I$6)))-CL77)),0)</f>
        <v>13</v>
      </c>
      <c r="AX77" s="63" t="n">
        <f aca="false">IF(AT77&gt;0,J77/AT77,-1)</f>
        <v>0.459574468085106</v>
      </c>
      <c r="AY77" s="63" t="n">
        <f aca="false">IF(AND(OR(CG77="L1",CG77="L23",CG77="LIFT"),AT77&gt;0),SUMIFS($AT$7:$AT$1843,$CG$7:$CG$1843,CG77,$AX$7:$AX$1843,"&gt;"&amp;AX77)+SUMIFS($AT$7:$AT$1843,$CG$7:$CG$1843,CG77,$AX$7:$AX$1843,AX77,$BX$7:$BX$1843,"&lt;="&amp;BX77),"")</f>
        <v>12153.1804029304</v>
      </c>
      <c r="AZ77" s="70" t="n">
        <f aca="false">IF(AY77="",0,MAX(0,MIN(1,(IF(CG77="L1",Parameter!$H$5,IF(CG77="L23",Parameter!$H$6+Parameter!$H$7,Parameter!$H$5+Parameter!$H$6+Parameter!$H$7))-(AY77-AT77))/AT77)))</f>
        <v>1</v>
      </c>
      <c r="BA77" s="62" t="n">
        <f aca="false">IF(LEFT(Cockpit!$O$5,1)="A",H77,IF(Parameter!$E$30="MAX-Bestand",IF(CI77=1,CJ77,IF(LEFT(Cockpit!$O$5,1)="B",BG77,MAX(BG77,H77))),ROUNDUP(BE77,0)))</f>
        <v>8</v>
      </c>
      <c r="BB77" s="62" t="n">
        <f aca="false">IF(CA77=1,0,ROUNDUP(BA77/BZ77,0))</f>
        <v>1</v>
      </c>
      <c r="BC77" s="64" t="n">
        <f aca="false">IF(CR77&gt;0,CR77*MAX(1,BA77/X77),IF(CA77=1,IF(BA77&lt;=0,0,CE77*MAX(1,IF(H77&gt;0,BA77/H77,1))),IF(R77&gt;0,BB77/R77,0))/MAX(0.1,N(Parameter!$M$21)))</f>
        <v>0.166666666666667</v>
      </c>
      <c r="BD77" s="62" t="n">
        <f aca="false">BC77*CC77</f>
        <v>39.1666666666667</v>
      </c>
      <c r="BE77" s="63" t="n">
        <f aca="false">IF(LEFT(Cockpit!$O$5,1)="A",H77,IF(CI77=1,(CL77+CJ77)/2,IF(LEFT(Cockpit!$O$5,1)="B",(CL77+BG77)/2,MAX((CL77+BG77)/2,H77))))</f>
        <v>8</v>
      </c>
      <c r="BF77" s="62" t="n">
        <f aca="false">BE77*G77</f>
        <v>4429.36</v>
      </c>
      <c r="BG77" s="62" t="n">
        <f aca="false">ROUNDUP(CL77+MAX(CM77,2*(J77/IF(CH77&gt;0,CH77,MAX(0.1,N(Cockpit!$O$6)))-CL77)),0)</f>
        <v>13</v>
      </c>
      <c r="BH77" s="63" t="n">
        <f aca="false">IF(BD77&gt;0,J77/BD77,-1)</f>
        <v>0.459574468085106</v>
      </c>
      <c r="BI77" s="63" t="n">
        <f aca="false">IF(AND(OR(CG77="L1",CG77="L23",CG77="LIFT"),BD77&gt;0),SUMIFS($BD$7:$BD$1843,$CG$7:$CG$1843,CG77,$BH$7:$BH$1843,"&gt;"&amp;BH77)+SUMIFS($BD$7:$BD$1843,$CG$7:$CG$1843,CG77,$BH$7:$BH$1843,BH77,$BX$7:$BX$1843,"&lt;="&amp;BX77),"")</f>
        <v>10459.0966117216</v>
      </c>
      <c r="BJ77" s="70" t="n">
        <f aca="false">IF(BI77="",0,MAX(0,MIN(1,(IF(CG77="L1",Parameter!$H$5,IF(CG77="L23",Parameter!$H$6+Parameter!$H$7,Parameter!$H$5+Parameter!$H$6+Parameter!$H$7))-(BI77-BD77))/BD77)))</f>
        <v>1</v>
      </c>
      <c r="BK77" s="60" t="str">
        <f aca="false">IF(AJ77&lt;=0,"",IF(CG77="Aussen","Aussenlager",IF(CG77="-","Nicht im Lift",IF(AP77&gt;=1,"Lift",IF(AP77&lt;=0,"Aussenlager","teilweise")))))</f>
        <v>Lift</v>
      </c>
      <c r="BL77" s="60" t="str">
        <f aca="false">IF(AT77&lt;=0,"",IF(CG77="Aussen","Aussenlager",IF(CG77="-","Nicht im Lift",IF(AZ77&gt;=1,"Lift",IF(AZ77&lt;=0,"Aussenlager","teilweise")))))</f>
        <v>Lift</v>
      </c>
      <c r="BM77" s="60" t="str">
        <f aca="false">IF(BD77&lt;=0,"",IF(CG77="Aussen","Aussenlager",IF(CG77="-","Nicht im Lift",IF(BJ77&gt;=1,"Lift",IF(BJ77&lt;=0,"Aussenlager","teilweise")))))</f>
        <v>Lift</v>
      </c>
      <c r="BN77" s="60" t="str">
        <f aca="false">IF(A77="","",IF(BW77=1,"Neu; ","")&amp;IF(AND(BW77=0,BR77&lt;0),"negativer Bestand (Export "&amp;BR77&amp;"); ","")&amp;IF(J77&lt;=0,"Kein Verbrauch; ","")&amp;IF(CR77&gt;0,"Lift "&amp;W77&amp;" lt. Liftbericht (Fach "&amp;X77&amp;" Stk); ",IF(CB77=1,"Gebinde geschätzt ("&amp;T77&amp;"); ",IF(CA77=1,"Lose – Tablare geschätzt; ","")))&amp;IF(H77&gt;AW77,"Überbestand "&amp;ROUND(H77-AW77,0)&amp;" Stk / CHF "&amp;ROUND((H77-AW77)*G77,0)&amp;"; ","")&amp;IF(AND(CI77=1,CJ77&lt;CK77),"MAX &lt; MB+LG; ","")&amp;IF(AND(CQ77&gt;0,CP77*10&gt;CQ77),"zu hoch für Tablar; ","")&amp;IF(AND(BW77=0,OR(CI77=1,AB77&lt;&gt;"",U77&lt;&gt;"",V77&lt;&gt;"",AC77&lt;&gt;"")),"manuell übersteuert; ","")&amp;IF(AND(CA77=0,R77=0),"Gebinde unbekannt / Stellmass fehlt; ","")&amp;IF(AND(CA77=0,N(V77)&lt;=0,N(Q77)&lt;=0),"Menge pro Gebinde fehlt (Ist = 1 Gebinde); ","")&amp;BV77)</f>
        <v/>
      </c>
      <c r="BO77" s="60"/>
      <c r="BP77" s="60"/>
      <c r="BQ77" s="67"/>
      <c r="BR77" s="62" t="n">
        <v>6</v>
      </c>
      <c r="BS77" s="62" t="n">
        <v>0</v>
      </c>
      <c r="BT77" s="61" t="n">
        <v>3322.02</v>
      </c>
      <c r="BU77" s="62" t="n">
        <v>18</v>
      </c>
      <c r="BV77" s="60"/>
      <c r="BW77" s="65" t="n">
        <v>0</v>
      </c>
      <c r="BX77" s="65" t="n">
        <v>77</v>
      </c>
      <c r="BY77" s="60" t="str">
        <f aca="false">IF(U77&lt;&gt;"",UPPER(TRIM(U77)),IF(CB77=1,UPPER(VLOOKUP(T77,Parameter!$I$27:$K$29,2,0)),IF(P77="","LOSE",P77)))</f>
        <v>S71</v>
      </c>
      <c r="BZ77" s="62" t="n">
        <f aca="false">IF(BY77="LOSE",1,IF(N(V77)&gt;0,V77,IF(CB77=1,MAX(1,N(VLOOKUP(T77,Parameter!$I$27:$K$29,3,0)),H77,N(N77)),IF(N(Q77)&gt;0,Q77,MAX(1,H77)))))</f>
        <v>20</v>
      </c>
      <c r="CA77" s="65" t="n">
        <f aca="false">IF(BY77="LOSE",1,0)</f>
        <v>0</v>
      </c>
      <c r="CB77" s="65" t="n">
        <f aca="false">IF(AND(U77="",OR(P77="",P77="LOSE"),T77&lt;&gt;"",N(S77)&lt;=0,ISNUMBER(MATCH(T77,Parameter!$I$27:$I$29,0))),1,0)</f>
        <v>0</v>
      </c>
      <c r="CC77" s="65" t="n">
        <f aca="false">IF(CR77&gt;0,INDEX(Parameter!$H$5:$H$7,W77)/INDEX(Parameter!$E$5:$E$7,W77),IF(AND(CA77=0,N(IFERROR(VLOOKUP(BY77,'Gebinde-Kategorie'!$A$5:$N$45,14,0),0))&gt;0),VLOOKUP(BY77,'Gebinde-Kategorie'!$A$5:$N$45,14,0)*10+Parameter!$M$23,Parameter!$M$24))</f>
        <v>235</v>
      </c>
      <c r="CD77" s="60" t="str">
        <f aca="false">IF(AND(Parameter!$B$19="Ja",E77&lt;&gt;"",ISNUMBER(MATCH(E77,Parameter!$I$35:$I$52,0))),VLOOKUP(E77,Parameter!$I$35:$J$52,2,0),IFERROR(VLOOKUP(D77,Parameter!$A$35:$C$64,2,0),"Nein"))</f>
        <v>2+3</v>
      </c>
      <c r="CE77" s="64" t="n">
        <f aca="false">IF(CA77=0,0,IF(N(S77)&gt;0,S77,IFERROR(VLOOKUP(D77,Parameter!$A$35:$C$64,3,0)+0,0)))</f>
        <v>0</v>
      </c>
      <c r="CF77" s="60" t="n">
        <f aca="false">IF(AB77&lt;&gt;"",AB77,AA77)</f>
        <v>2</v>
      </c>
      <c r="CG77" s="60" t="str">
        <f aca="false">IF(OR(CF77=1,CF77=2,CF77=3),IF(Parameter!$E$27="Ja","LIFT",IF(CF77=1,"L1","L23")),IF(CF77="Aussen","Aussen","-"))</f>
        <v>LIFT</v>
      </c>
      <c r="CH77" s="71" t="n">
        <f aca="false">IF(N(AC77)&gt;0,AC77,0)</f>
        <v>0</v>
      </c>
      <c r="CI77" s="65" t="n">
        <f aca="false">IF(ISNUMBER(AF77),1,0)</f>
        <v>0</v>
      </c>
      <c r="CJ77" s="62" t="n">
        <f aca="false">N(AF77)</f>
        <v>0</v>
      </c>
      <c r="CK77" s="62" t="n">
        <f aca="false">N(M77)+N(N77)</f>
        <v>13</v>
      </c>
      <c r="CL77" s="62" t="n">
        <f aca="false">N(M77)</f>
        <v>3</v>
      </c>
      <c r="CM77" s="62" t="n">
        <f aca="false">N(N77)</f>
        <v>10</v>
      </c>
      <c r="CN77" s="62" t="n">
        <f aca="false">ROUNDUP(H77/BZ77,0)</f>
        <v>1</v>
      </c>
      <c r="CO77" s="62" t="n">
        <f aca="false">ROUNDUP(CJ77/BZ77,0)</f>
        <v>0</v>
      </c>
      <c r="CP77" s="65" t="n">
        <f aca="false">IF(CA77=1,0,IFERROR(VLOOKUP(BY77,'Gebinde-Kategorie'!$A$5:$N$45,5,0)+0,0))</f>
        <v>20</v>
      </c>
      <c r="CQ77" s="65" t="n">
        <f aca="false">IFERROR(IF(OR(CF77=1,CF77=2,CF77=3),N(INDEX(Parameter!$I$5:$I$7,CF77)),0),0)</f>
        <v>0</v>
      </c>
      <c r="CR77" s="64" t="n">
        <f aca="false">IF(AND(Parameter!$B$21="Ja",ISNUMBER(W77),N(X77)&gt;0),IFERROR(N(INDEX(Parameter!$L$5:$L$7,W77))*INDEX(Parameter!$E$5:$E$7,W77)*X77/SUMIFS($X$7:$X$1843,$W$7:$W$1843,W77),0),0)</f>
        <v>0</v>
      </c>
      <c r="CS77" s="62" t="n">
        <f aca="false">IF(AND(OR(CG77="L1",CG77="L23",CG77="LIFT"),H77&gt;0),CC77*IF(CR77&gt;0,CR77*MAX(1,H77/X77),IF(CA77=1,CE77,IF(R77&gt;0,CN77/R77,0))/MAX(0.1,N(Parameter!$M$21))),"")</f>
        <v>39.1666666666667</v>
      </c>
      <c r="CT77" s="64" t="n">
        <f aca="false">IF(CS77="","",J77/H77)</f>
        <v>3</v>
      </c>
      <c r="CU77" s="62" t="n">
        <f aca="false">IF(CS77="","",H77*G77)</f>
        <v>3322.02</v>
      </c>
      <c r="CV77" s="63" t="n">
        <f aca="false">IF(CS77="","",(CL77+ROUNDUP(CL77+MAX(CM77,2*(J77/MAX(0.1,N(Einkauf!$C$6))-CL77)),0))/2)</f>
        <v>8</v>
      </c>
      <c r="CW77" s="62" t="n">
        <f aca="false">IF(CS77="","",MAX(0,H77-CV77)*G77)</f>
        <v>0</v>
      </c>
      <c r="CX77" s="62" t="n">
        <f aca="false">IF(CS77="","",CS77*MAX(0,1-CV77/H77))</f>
        <v>0</v>
      </c>
      <c r="CY77" s="64" t="n">
        <f aca="false">IF(CS77="","",PERCENTRANK($CS$7:$CS$1843,CS77)+PERCENTRANK($CU$7:$CU$1843,CU77)+1-PERCENTRANK($CT$7:$CT$1843,CT77))</f>
        <v>1.824</v>
      </c>
      <c r="CZ77" s="72" t="n">
        <f aca="false">IF(CS77="","",CHOOSE(MATCH(Einkauf!$C$5,Parameter!$G$23:$G$27,0),CY77,CS77,CU77,-CT77,CW77)+ROW()/1000000000)</f>
        <v>1.824000077</v>
      </c>
    </row>
    <row r="78" customFormat="false" ht="15" hidden="false" customHeight="false" outlineLevel="0" collapsed="false">
      <c r="A78" s="60" t="s">
        <v>404</v>
      </c>
      <c r="B78" s="60" t="s">
        <v>405</v>
      </c>
      <c r="C78" s="60" t="s">
        <v>206</v>
      </c>
      <c r="D78" s="60" t="s">
        <v>226</v>
      </c>
      <c r="E78" s="60"/>
      <c r="F78" s="60" t="s">
        <v>260</v>
      </c>
      <c r="G78" s="61" t="n">
        <v>818.16</v>
      </c>
      <c r="H78" s="62" t="n">
        <f aca="false">MAX(0,IF(AND(Parameter!$B$21="Ja",ISNUMBER(Y78)),Y78,IF(Parameter!$B$20="Jahresanfang 2025 + Export",BS78+BR78,BR78)))</f>
        <v>4</v>
      </c>
      <c r="I78" s="62" t="n">
        <f aca="false">H78*G78</f>
        <v>3272.64</v>
      </c>
      <c r="J78" s="62" t="n">
        <f aca="false">BU78*Parameter!$B$18</f>
        <v>1</v>
      </c>
      <c r="K78" s="63" t="n">
        <v>2</v>
      </c>
      <c r="L78" s="64" t="n">
        <v>0.5</v>
      </c>
      <c r="M78" s="62" t="n">
        <v>0</v>
      </c>
      <c r="N78" s="62" t="n">
        <v>1</v>
      </c>
      <c r="O78" s="65" t="n">
        <v>49</v>
      </c>
      <c r="P78" s="60" t="s">
        <v>335</v>
      </c>
      <c r="Q78" s="62" t="n">
        <v>5</v>
      </c>
      <c r="R78" s="65" t="n">
        <f aca="false">IF(CA78=1,0,IFERROR(VLOOKUP(BY78,'Gebinde-Kategorie'!$A$5:$N$45,13,0)+0,0))</f>
        <v>12</v>
      </c>
      <c r="S78" s="66"/>
      <c r="T78" s="67"/>
      <c r="U78" s="67"/>
      <c r="V78" s="67"/>
      <c r="W78" s="60"/>
      <c r="X78" s="62"/>
      <c r="Y78" s="62"/>
      <c r="Z78" s="60" t="n">
        <v>3</v>
      </c>
      <c r="AA78" s="60" t="n">
        <f aca="false">IF(A78="","",IF(AND(Parameter!$B$21="Ja",ISNUMBER(W78)),W78,IF(AND(Parameter!$E$27="Ja",ISNUMBER(Z78),CD78&lt;&gt;"Nein"),Z78,IF(CD78="2+3",IF(ISNUMBER(SEARCH("grosser Artikel",BV78)),2,IFERROR(VLOOKUP(BY78,Parameter!$F$35:$G$64,2,0),2)),IF(OR(CD78="Nein",CD78=""),"-",CD78)))))</f>
        <v>3</v>
      </c>
      <c r="AB78" s="67"/>
      <c r="AC78" s="68"/>
      <c r="AD78" s="62" t="n">
        <f aca="false">AW78</f>
        <v>1</v>
      </c>
      <c r="AE78" s="62" t="n">
        <f aca="false">MAX(AW78,H78)</f>
        <v>4</v>
      </c>
      <c r="AF78" s="69"/>
      <c r="AG78" s="62" t="n">
        <f aca="false">IF(LEFT(Cockpit!$C$5,1)="A",H78,IF(Parameter!$E$30="MAX-Bestand",IF(CI78=1,CJ78,IF(LEFT(Cockpit!$C$5,1)="B",AM78,MAX(AM78,H78))),ROUNDUP(AK78,0)))</f>
        <v>4</v>
      </c>
      <c r="AH78" s="62" t="n">
        <f aca="false">IF(CA78=1,0,ROUNDUP(AG78/BZ78,0))</f>
        <v>1</v>
      </c>
      <c r="AI78" s="64" t="n">
        <f aca="false">IF(CR78&gt;0,CR78*MAX(1,AG78/X78),IF(CA78=1,IF(AG78&lt;=0,0,CE78*MAX(1,IF(H78&gt;0,AG78/H78,1))),IF(R78&gt;0,AH78/R78,0))/MAX(0.1,N(Parameter!$M$21)))</f>
        <v>0.0833333333333333</v>
      </c>
      <c r="AJ78" s="62" t="n">
        <f aca="false">AI78*CC78</f>
        <v>20.4166666666667</v>
      </c>
      <c r="AK78" s="63" t="n">
        <f aca="false">IF(LEFT(Cockpit!$C$5,1)="A",H78,IF(CI78=1,(CL78+CJ78)/2,IF(LEFT(Cockpit!$C$5,1)="B",(CL78+AM78)/2,MAX((CL78+AM78)/2,H78))))</f>
        <v>4</v>
      </c>
      <c r="AL78" s="62" t="n">
        <f aca="false">AK78*G78</f>
        <v>3272.64</v>
      </c>
      <c r="AM78" s="62" t="n">
        <f aca="false">ROUNDUP(CL78+MAX(CM78,2*(J78/IF(CH78&gt;0,CH78,MAX(0.1,N(Cockpit!$C$6)))-CL78)),0)</f>
        <v>1</v>
      </c>
      <c r="AN78" s="63" t="n">
        <f aca="false">IF(AJ78&gt;0,J78/AJ78,-1)</f>
        <v>0.0489795918367347</v>
      </c>
      <c r="AO78" s="63" t="n">
        <f aca="false">IF(AND(OR(CG78="L1",CG78="L23",CG78="LIFT"),AJ78&gt;0),SUMIFS($AJ$7:$AJ$1843,$CG$7:$CG$1843,CG78,$AN$7:$AN$1843,"&gt;"&amp;AN78)+SUMIFS($AJ$7:$AJ$1843,$CG$7:$CG$1843,CG78,$AN$7:$AN$1843,AN78,$BX$7:$BX$1843,"&lt;="&amp;BX78),"")</f>
        <v>19344.190659858</v>
      </c>
      <c r="AP78" s="70" t="n">
        <f aca="false">IF(AO78="",0,MAX(0,MIN(1,(IF(CG78="L1",Parameter!$H$5,IF(CG78="L23",Parameter!$H$6+Parameter!$H$7,Parameter!$H$5+Parameter!$H$6+Parameter!$H$7))-(AO78-AJ78))/AJ78)))</f>
        <v>1</v>
      </c>
      <c r="AQ78" s="62" t="n">
        <f aca="false">IF(LEFT(Cockpit!$I$5,1)="A",H78,IF(Parameter!$E$30="MAX-Bestand",IF(CI78=1,CJ78,IF(LEFT(Cockpit!$I$5,1)="B",AW78,MAX(AW78,H78))),ROUNDUP(AU78,0)))</f>
        <v>4</v>
      </c>
      <c r="AR78" s="62" t="n">
        <f aca="false">IF(CA78=1,0,ROUNDUP(AQ78/BZ78,0))</f>
        <v>1</v>
      </c>
      <c r="AS78" s="64" t="n">
        <f aca="false">IF(CR78&gt;0,CR78*MAX(1,AQ78/X78),IF(CA78=1,IF(AQ78&lt;=0,0,CE78*MAX(1,IF(H78&gt;0,AQ78/H78,1))),IF(R78&gt;0,AR78/R78,0))/MAX(0.1,N(Parameter!$M$21)))</f>
        <v>0.0833333333333333</v>
      </c>
      <c r="AT78" s="62" t="n">
        <f aca="false">AS78*CC78</f>
        <v>20.4166666666667</v>
      </c>
      <c r="AU78" s="63" t="n">
        <f aca="false">IF(LEFT(Cockpit!$I$5,1)="A",H78,IF(CI78=1,(CL78+CJ78)/2,IF(LEFT(Cockpit!$I$5,1)="B",(CL78+AW78)/2,MAX((CL78+AW78)/2,H78))))</f>
        <v>4</v>
      </c>
      <c r="AV78" s="62" t="n">
        <f aca="false">AU78*G78</f>
        <v>3272.64</v>
      </c>
      <c r="AW78" s="62" t="n">
        <f aca="false">ROUNDUP(CL78+MAX(CM78,2*(J78/IF(CH78&gt;0,CH78,MAX(0.1,N(Cockpit!$I$6)))-CL78)),0)</f>
        <v>1</v>
      </c>
      <c r="AX78" s="63" t="n">
        <f aca="false">IF(AT78&gt;0,J78/AT78,-1)</f>
        <v>0.0489795918367347</v>
      </c>
      <c r="AY78" s="63" t="n">
        <f aca="false">IF(AND(OR(CG78="L1",CG78="L23",CG78="LIFT"),AT78&gt;0),SUMIFS($AT$7:$AT$1843,$CG$7:$CG$1843,CG78,$AX$7:$AX$1843,"&gt;"&amp;AX78)+SUMIFS($AT$7:$AT$1843,$CG$7:$CG$1843,CG78,$AX$7:$AX$1843,AX78,$BX$7:$BX$1843,"&lt;="&amp;BX78),"")</f>
        <v>24403.5893012355</v>
      </c>
      <c r="AZ78" s="70" t="n">
        <f aca="false">IF(AY78="",0,MAX(0,MIN(1,(IF(CG78="L1",Parameter!$H$5,IF(CG78="L23",Parameter!$H$6+Parameter!$H$7,Parameter!$H$5+Parameter!$H$6+Parameter!$H$7))-(AY78-AT78))/AT78)))</f>
        <v>1</v>
      </c>
      <c r="BA78" s="62" t="n">
        <f aca="false">IF(LEFT(Cockpit!$O$5,1)="A",H78,IF(Parameter!$E$30="MAX-Bestand",IF(CI78=1,CJ78,IF(LEFT(Cockpit!$O$5,1)="B",BG78,MAX(BG78,H78))),ROUNDUP(BE78,0)))</f>
        <v>1</v>
      </c>
      <c r="BB78" s="62" t="n">
        <f aca="false">IF(CA78=1,0,ROUNDUP(BA78/BZ78,0))</f>
        <v>1</v>
      </c>
      <c r="BC78" s="64" t="n">
        <f aca="false">IF(CR78&gt;0,CR78*MAX(1,BA78/X78),IF(CA78=1,IF(BA78&lt;=0,0,CE78*MAX(1,IF(H78&gt;0,BA78/H78,1))),IF(R78&gt;0,BB78/R78,0))/MAX(0.1,N(Parameter!$M$21)))</f>
        <v>0.0833333333333333</v>
      </c>
      <c r="BD78" s="62" t="n">
        <f aca="false">BC78*CC78</f>
        <v>20.4166666666667</v>
      </c>
      <c r="BE78" s="63" t="n">
        <f aca="false">IF(LEFT(Cockpit!$O$5,1)="A",H78,IF(CI78=1,(CL78+CJ78)/2,IF(LEFT(Cockpit!$O$5,1)="B",(CL78+BG78)/2,MAX((CL78+BG78)/2,H78))))</f>
        <v>0.5</v>
      </c>
      <c r="BF78" s="62" t="n">
        <f aca="false">BE78*G78</f>
        <v>409.08</v>
      </c>
      <c r="BG78" s="62" t="n">
        <f aca="false">ROUNDUP(CL78+MAX(CM78,2*(J78/IF(CH78&gt;0,CH78,MAX(0.1,N(Cockpit!$O$6)))-CL78)),0)</f>
        <v>1</v>
      </c>
      <c r="BH78" s="63" t="n">
        <f aca="false">IF(BD78&gt;0,J78/BD78,-1)</f>
        <v>0.0489795918367347</v>
      </c>
      <c r="BI78" s="63" t="n">
        <f aca="false">IF(AND(OR(CG78="L1",CG78="L23",CG78="LIFT"),BD78&gt;0),SUMIFS($BD$7:$BD$1843,$CG$7:$CG$1843,CG78,$BH$7:$BH$1843,"&gt;"&amp;BH78)+SUMIFS($BD$7:$BD$1843,$CG$7:$CG$1843,CG78,$BH$7:$BH$1843,BH78,$BX$7:$BX$1843,"&lt;="&amp;BX78),"")</f>
        <v>20333.0878112001</v>
      </c>
      <c r="BJ78" s="70" t="n">
        <f aca="false">IF(BI78="",0,MAX(0,MIN(1,(IF(CG78="L1",Parameter!$H$5,IF(CG78="L23",Parameter!$H$6+Parameter!$H$7,Parameter!$H$5+Parameter!$H$6+Parameter!$H$7))-(BI78-BD78))/BD78)))</f>
        <v>1</v>
      </c>
      <c r="BK78" s="60" t="str">
        <f aca="false">IF(AJ78&lt;=0,"",IF(CG78="Aussen","Aussenlager",IF(CG78="-","Nicht im Lift",IF(AP78&gt;=1,"Lift",IF(AP78&lt;=0,"Aussenlager","teilweise")))))</f>
        <v>Lift</v>
      </c>
      <c r="BL78" s="60" t="str">
        <f aca="false">IF(AT78&lt;=0,"",IF(CG78="Aussen","Aussenlager",IF(CG78="-","Nicht im Lift",IF(AZ78&gt;=1,"Lift",IF(AZ78&lt;=0,"Aussenlager","teilweise")))))</f>
        <v>Lift</v>
      </c>
      <c r="BM78" s="60" t="str">
        <f aca="false">IF(BD78&lt;=0,"",IF(CG78="Aussen","Aussenlager",IF(CG78="-","Nicht im Lift",IF(BJ78&gt;=1,"Lift",IF(BJ78&lt;=0,"Aussenlager","teilweise")))))</f>
        <v>Lift</v>
      </c>
      <c r="BN78" s="60" t="str">
        <f aca="false">IF(A78="","",IF(BW78=1,"Neu; ","")&amp;IF(AND(BW78=0,BR78&lt;0),"negativer Bestand (Export "&amp;BR78&amp;"); ","")&amp;IF(J78&lt;=0,"Kein Verbrauch; ","")&amp;IF(CR78&gt;0,"Lift "&amp;W78&amp;" lt. Liftbericht (Fach "&amp;X78&amp;" Stk); ",IF(CB78=1,"Gebinde geschätzt ("&amp;T78&amp;"); ",IF(CA78=1,"Lose – Tablare geschätzt; ","")))&amp;IF(H78&gt;AW78,"Überbestand "&amp;ROUND(H78-AW78,0)&amp;" Stk / CHF "&amp;ROUND((H78-AW78)*G78,0)&amp;"; ","")&amp;IF(AND(CI78=1,CJ78&lt;CK78),"MAX &lt; MB+LG; ","")&amp;IF(AND(CQ78&gt;0,CP78*10&gt;CQ78),"zu hoch für Tablar; ","")&amp;IF(AND(BW78=0,OR(CI78=1,AB78&lt;&gt;"",U78&lt;&gt;"",V78&lt;&gt;"",AC78&lt;&gt;"")),"manuell übersteuert; ","")&amp;IF(AND(CA78=0,R78=0),"Gebinde unbekannt / Stellmass fehlt; ","")&amp;IF(AND(CA78=0,N(V78)&lt;=0,N(Q78)&lt;=0),"Menge pro Gebinde fehlt (Ist = 1 Gebinde); ","")&amp;BV78)</f>
        <v>Überbestand 3 Stk / CHF 2454; </v>
      </c>
      <c r="BO78" s="60"/>
      <c r="BP78" s="60" t="s">
        <v>406</v>
      </c>
      <c r="BQ78" s="67"/>
      <c r="BR78" s="62" t="n">
        <v>4</v>
      </c>
      <c r="BS78" s="62" t="n">
        <v>0</v>
      </c>
      <c r="BT78" s="61" t="n">
        <v>3272.64</v>
      </c>
      <c r="BU78" s="62" t="n">
        <v>1</v>
      </c>
      <c r="BV78" s="60"/>
      <c r="BW78" s="65" t="n">
        <v>0</v>
      </c>
      <c r="BX78" s="65" t="n">
        <v>78</v>
      </c>
      <c r="BY78" s="60" t="str">
        <f aca="false">IF(U78&lt;&gt;"",UPPER(TRIM(U78)),IF(CB78=1,UPPER(VLOOKUP(T78,Parameter!$I$27:$K$29,2,0)),IF(P78="","LOSE",P78)))</f>
        <v>S62</v>
      </c>
      <c r="BZ78" s="62" t="n">
        <f aca="false">IF(BY78="LOSE",1,IF(N(V78)&gt;0,V78,IF(CB78=1,MAX(1,N(VLOOKUP(T78,Parameter!$I$27:$K$29,3,0)),H78,N(N78)),IF(N(Q78)&gt;0,Q78,MAX(1,H78)))))</f>
        <v>5</v>
      </c>
      <c r="CA78" s="65" t="n">
        <f aca="false">IF(BY78="LOSE",1,0)</f>
        <v>0</v>
      </c>
      <c r="CB78" s="65" t="n">
        <f aca="false">IF(AND(U78="",OR(P78="",P78="LOSE"),T78&lt;&gt;"",N(S78)&lt;=0,ISNUMBER(MATCH(T78,Parameter!$I$27:$I$29,0))),1,0)</f>
        <v>0</v>
      </c>
      <c r="CC78" s="65" t="n">
        <f aca="false">IF(CR78&gt;0,INDEX(Parameter!$H$5:$H$7,W78)/INDEX(Parameter!$E$5:$E$7,W78),IF(AND(CA78=0,N(IFERROR(VLOOKUP(BY78,'Gebinde-Kategorie'!$A$5:$N$45,14,0),0))&gt;0),VLOOKUP(BY78,'Gebinde-Kategorie'!$A$5:$N$45,14,0)*10+Parameter!$M$23,Parameter!$M$24))</f>
        <v>245</v>
      </c>
      <c r="CD78" s="60" t="str">
        <f aca="false">IF(AND(Parameter!$B$19="Ja",E78&lt;&gt;"",ISNUMBER(MATCH(E78,Parameter!$I$35:$I$52,0))),VLOOKUP(E78,Parameter!$I$35:$J$52,2,0),IFERROR(VLOOKUP(D78,Parameter!$A$35:$C$64,2,0),"Nein"))</f>
        <v>2+3</v>
      </c>
      <c r="CE78" s="64" t="n">
        <f aca="false">IF(CA78=0,0,IF(N(S78)&gt;0,S78,IFERROR(VLOOKUP(D78,Parameter!$A$35:$C$64,3,0)+0,0)))</f>
        <v>0</v>
      </c>
      <c r="CF78" s="60" t="n">
        <f aca="false">IF(AB78&lt;&gt;"",AB78,AA78)</f>
        <v>3</v>
      </c>
      <c r="CG78" s="60" t="str">
        <f aca="false">IF(OR(CF78=1,CF78=2,CF78=3),IF(Parameter!$E$27="Ja","LIFT",IF(CF78=1,"L1","L23")),IF(CF78="Aussen","Aussen","-"))</f>
        <v>LIFT</v>
      </c>
      <c r="CH78" s="71" t="n">
        <f aca="false">IF(N(AC78)&gt;0,AC78,0)</f>
        <v>0</v>
      </c>
      <c r="CI78" s="65" t="n">
        <f aca="false">IF(ISNUMBER(AF78),1,0)</f>
        <v>0</v>
      </c>
      <c r="CJ78" s="62" t="n">
        <f aca="false">N(AF78)</f>
        <v>0</v>
      </c>
      <c r="CK78" s="62" t="n">
        <f aca="false">N(M78)+N(N78)</f>
        <v>1</v>
      </c>
      <c r="CL78" s="62" t="n">
        <f aca="false">N(M78)</f>
        <v>0</v>
      </c>
      <c r="CM78" s="62" t="n">
        <f aca="false">N(N78)</f>
        <v>1</v>
      </c>
      <c r="CN78" s="62" t="n">
        <f aca="false">ROUNDUP(H78/BZ78,0)</f>
        <v>1</v>
      </c>
      <c r="CO78" s="62" t="n">
        <f aca="false">ROUNDUP(CJ78/BZ78,0)</f>
        <v>0</v>
      </c>
      <c r="CP78" s="65" t="n">
        <f aca="false">IF(CA78=1,0,IFERROR(VLOOKUP(BY78,'Gebinde-Kategorie'!$A$5:$N$45,5,0)+0,0))</f>
        <v>21</v>
      </c>
      <c r="CQ78" s="65" t="n">
        <f aca="false">IFERROR(IF(OR(CF78=1,CF78=2,CF78=3),N(INDEX(Parameter!$I$5:$I$7,CF78)),0),0)</f>
        <v>0</v>
      </c>
      <c r="CR78" s="64" t="n">
        <f aca="false">IF(AND(Parameter!$B$21="Ja",ISNUMBER(W78),N(X78)&gt;0),IFERROR(N(INDEX(Parameter!$L$5:$L$7,W78))*INDEX(Parameter!$E$5:$E$7,W78)*X78/SUMIFS($X$7:$X$1843,$W$7:$W$1843,W78),0),0)</f>
        <v>0</v>
      </c>
      <c r="CS78" s="62" t="n">
        <f aca="false">IF(AND(OR(CG78="L1",CG78="L23",CG78="LIFT"),H78&gt;0),CC78*IF(CR78&gt;0,CR78*MAX(1,H78/X78),IF(CA78=1,CE78,IF(R78&gt;0,CN78/R78,0))/MAX(0.1,N(Parameter!$M$21))),"")</f>
        <v>20.4166666666667</v>
      </c>
      <c r="CT78" s="64" t="n">
        <f aca="false">IF(CS78="","",J78/H78)</f>
        <v>0.25</v>
      </c>
      <c r="CU78" s="62" t="n">
        <f aca="false">IF(CS78="","",H78*G78)</f>
        <v>3272.64</v>
      </c>
      <c r="CV78" s="63" t="n">
        <f aca="false">IF(CS78="","",(CL78+ROUNDUP(CL78+MAX(CM78,2*(J78/MAX(0.1,N(Einkauf!$C$6))-CL78)),0))/2)</f>
        <v>0.5</v>
      </c>
      <c r="CW78" s="62" t="n">
        <f aca="false">IF(CS78="","",MAX(0,H78-CV78)*G78)</f>
        <v>2863.56</v>
      </c>
      <c r="CX78" s="62" t="n">
        <f aca="false">IF(CS78="","",CS78*MAX(0,1-CV78/H78))</f>
        <v>17.8645833333333</v>
      </c>
      <c r="CY78" s="64" t="n">
        <f aca="false">IF(CS78="","",PERCENTRANK($CS$7:$CS$1843,CS78)+PERCENTRANK($CU$7:$CU$1843,CU78)+1-PERCENTRANK($CT$7:$CT$1843,CT78))</f>
        <v>2.146</v>
      </c>
      <c r="CZ78" s="72" t="n">
        <f aca="false">IF(CS78="","",CHOOSE(MATCH(Einkauf!$C$5,Parameter!$G$23:$G$27,0),CY78,CS78,CU78,-CT78,CW78)+ROW()/1000000000)</f>
        <v>2.146000078</v>
      </c>
    </row>
    <row r="79" customFormat="false" ht="15" hidden="false" customHeight="false" outlineLevel="0" collapsed="false">
      <c r="A79" s="60" t="s">
        <v>407</v>
      </c>
      <c r="B79" s="60" t="s">
        <v>343</v>
      </c>
      <c r="C79" s="60" t="s">
        <v>206</v>
      </c>
      <c r="D79" s="60" t="s">
        <v>226</v>
      </c>
      <c r="E79" s="60" t="s">
        <v>227</v>
      </c>
      <c r="F79" s="60" t="s">
        <v>260</v>
      </c>
      <c r="G79" s="61" t="n">
        <v>349</v>
      </c>
      <c r="H79" s="62" t="n">
        <f aca="false">MAX(0,IF(AND(Parameter!$B$21="Ja",ISNUMBER(Y79)),Y79,IF(Parameter!$B$20="Jahresanfang 2025 + Export",BS79+BR79,BR79)))</f>
        <v>30</v>
      </c>
      <c r="I79" s="62" t="n">
        <f aca="false">H79*G79</f>
        <v>10470</v>
      </c>
      <c r="J79" s="62" t="n">
        <f aca="false">BU79*Parameter!$B$18</f>
        <v>77</v>
      </c>
      <c r="K79" s="63" t="n">
        <v>23</v>
      </c>
      <c r="L79" s="64" t="n">
        <v>3.34782608695652</v>
      </c>
      <c r="M79" s="62" t="n">
        <v>4</v>
      </c>
      <c r="N79" s="62" t="n">
        <v>10</v>
      </c>
      <c r="O79" s="65" t="n">
        <v>21</v>
      </c>
      <c r="P79" s="60" t="s">
        <v>275</v>
      </c>
      <c r="Q79" s="62" t="n">
        <v>35</v>
      </c>
      <c r="R79" s="65" t="n">
        <f aca="false">IF(CA79=1,0,IFERROR(VLOOKUP(BY79,'Gebinde-Kategorie'!$A$5:$N$45,13,0)+0,0))</f>
        <v>26</v>
      </c>
      <c r="S79" s="66"/>
      <c r="T79" s="67"/>
      <c r="U79" s="67"/>
      <c r="V79" s="67"/>
      <c r="W79" s="60"/>
      <c r="X79" s="62"/>
      <c r="Y79" s="62"/>
      <c r="Z79" s="60" t="n">
        <v>3</v>
      </c>
      <c r="AA79" s="60" t="n">
        <f aca="false">IF(A79="","",IF(AND(Parameter!$B$21="Ja",ISNUMBER(W79)),W79,IF(AND(Parameter!$E$27="Ja",ISNUMBER(Z79),CD79&lt;&gt;"Nein"),Z79,IF(CD79="2+3",IF(ISNUMBER(SEARCH("grosser Artikel",BV79)),2,IFERROR(VLOOKUP(BY79,Parameter!$F$35:$G$64,2,0),2)),IF(OR(CD79="Nein",CD79=""),"-",CD79)))))</f>
        <v>3</v>
      </c>
      <c r="AB79" s="67"/>
      <c r="AC79" s="68"/>
      <c r="AD79" s="62" t="n">
        <f aca="false">AW79</f>
        <v>48</v>
      </c>
      <c r="AE79" s="62" t="n">
        <f aca="false">MAX(AW79,H79)</f>
        <v>48</v>
      </c>
      <c r="AF79" s="69"/>
      <c r="AG79" s="62" t="n">
        <f aca="false">IF(LEFT(Cockpit!$C$5,1)="A",H79,IF(Parameter!$E$30="MAX-Bestand",IF(CI79=1,CJ79,IF(LEFT(Cockpit!$C$5,1)="B",AM79,MAX(AM79,H79))),ROUNDUP(AK79,0)))</f>
        <v>30</v>
      </c>
      <c r="AH79" s="62" t="n">
        <f aca="false">IF(CA79=1,0,ROUNDUP(AG79/BZ79,0))</f>
        <v>1</v>
      </c>
      <c r="AI79" s="64" t="n">
        <f aca="false">IF(CR79&gt;0,CR79*MAX(1,AG79/X79),IF(CA79=1,IF(AG79&lt;=0,0,CE79*MAX(1,IF(H79&gt;0,AG79/H79,1))),IF(R79&gt;0,AH79/R79,0))/MAX(0.1,N(Parameter!$M$21)))</f>
        <v>0.0384615384615385</v>
      </c>
      <c r="AJ79" s="62" t="n">
        <f aca="false">AI79*CC79</f>
        <v>9.42307692307692</v>
      </c>
      <c r="AK79" s="63" t="n">
        <f aca="false">IF(LEFT(Cockpit!$C$5,1)="A",H79,IF(CI79=1,(CL79+CJ79)/2,IF(LEFT(Cockpit!$C$5,1)="B",(CL79+AM79)/2,MAX((CL79+AM79)/2,H79))))</f>
        <v>30</v>
      </c>
      <c r="AL79" s="62" t="n">
        <f aca="false">AK79*G79</f>
        <v>10470</v>
      </c>
      <c r="AM79" s="62" t="n">
        <f aca="false">ROUNDUP(CL79+MAX(CM79,2*(J79/IF(CH79&gt;0,CH79,MAX(0.1,N(Cockpit!$C$6)))-CL79)),0)</f>
        <v>48</v>
      </c>
      <c r="AN79" s="63" t="n">
        <f aca="false">IF(AJ79&gt;0,J79/AJ79,-1)</f>
        <v>8.17142857142857</v>
      </c>
      <c r="AO79" s="63" t="n">
        <f aca="false">IF(AND(OR(CG79="L1",CG79="L23",CG79="LIFT"),AJ79&gt;0),SUMIFS($AJ$7:$AJ$1843,$CG$7:$CG$1843,CG79,$AN$7:$AN$1843,"&gt;"&amp;AN79)+SUMIFS($AJ$7:$AJ$1843,$CG$7:$CG$1843,CG79,$AN$7:$AN$1843,AN79,$BX$7:$BX$1843,"&lt;="&amp;BX79),"")</f>
        <v>3007.71153846154</v>
      </c>
      <c r="AP79" s="70" t="n">
        <f aca="false">IF(AO79="",0,MAX(0,MIN(1,(IF(CG79="L1",Parameter!$H$5,IF(CG79="L23",Parameter!$H$6+Parameter!$H$7,Parameter!$H$5+Parameter!$H$6+Parameter!$H$7))-(AO79-AJ79))/AJ79)))</f>
        <v>1</v>
      </c>
      <c r="AQ79" s="62" t="n">
        <f aca="false">IF(LEFT(Cockpit!$I$5,1)="A",H79,IF(Parameter!$E$30="MAX-Bestand",IF(CI79=1,CJ79,IF(LEFT(Cockpit!$I$5,1)="B",AW79,MAX(AW79,H79))),ROUNDUP(AU79,0)))</f>
        <v>30</v>
      </c>
      <c r="AR79" s="62" t="n">
        <f aca="false">IF(CA79=1,0,ROUNDUP(AQ79/BZ79,0))</f>
        <v>1</v>
      </c>
      <c r="AS79" s="64" t="n">
        <f aca="false">IF(CR79&gt;0,CR79*MAX(1,AQ79/X79),IF(CA79=1,IF(AQ79&lt;=0,0,CE79*MAX(1,IF(H79&gt;0,AQ79/H79,1))),IF(R79&gt;0,AR79/R79,0))/MAX(0.1,N(Parameter!$M$21)))</f>
        <v>0.0384615384615385</v>
      </c>
      <c r="AT79" s="62" t="n">
        <f aca="false">AS79*CC79</f>
        <v>9.42307692307692</v>
      </c>
      <c r="AU79" s="63" t="n">
        <f aca="false">IF(LEFT(Cockpit!$I$5,1)="A",H79,IF(CI79=1,(CL79+CJ79)/2,IF(LEFT(Cockpit!$I$5,1)="B",(CL79+AW79)/2,MAX((CL79+AW79)/2,H79))))</f>
        <v>30</v>
      </c>
      <c r="AV79" s="62" t="n">
        <f aca="false">AU79*G79</f>
        <v>10470</v>
      </c>
      <c r="AW79" s="62" t="n">
        <f aca="false">ROUNDUP(CL79+MAX(CM79,2*(J79/IF(CH79&gt;0,CH79,MAX(0.1,N(Cockpit!$I$6)))-CL79)),0)</f>
        <v>48</v>
      </c>
      <c r="AX79" s="63" t="n">
        <f aca="false">IF(AT79&gt;0,J79/AT79,-1)</f>
        <v>8.17142857142857</v>
      </c>
      <c r="AY79" s="63" t="n">
        <f aca="false">IF(AND(OR(CG79="L1",CG79="L23",CG79="LIFT"),AT79&gt;0),SUMIFS($AT$7:$AT$1843,$CG$7:$CG$1843,CG79,$AX$7:$AX$1843,"&gt;"&amp;AX79)+SUMIFS($AT$7:$AT$1843,$CG$7:$CG$1843,CG79,$AX$7:$AX$1843,AX79,$BX$7:$BX$1843,"&lt;="&amp;BX79),"")</f>
        <v>3641.64194139194</v>
      </c>
      <c r="AZ79" s="70" t="n">
        <f aca="false">IF(AY79="",0,MAX(0,MIN(1,(IF(CG79="L1",Parameter!$H$5,IF(CG79="L23",Parameter!$H$6+Parameter!$H$7,Parameter!$H$5+Parameter!$H$6+Parameter!$H$7))-(AY79-AT79))/AT79)))</f>
        <v>1</v>
      </c>
      <c r="BA79" s="62" t="n">
        <f aca="false">IF(LEFT(Cockpit!$O$5,1)="A",H79,IF(Parameter!$E$30="MAX-Bestand",IF(CI79=1,CJ79,IF(LEFT(Cockpit!$O$5,1)="B",BG79,MAX(BG79,H79))),ROUNDUP(BE79,0)))</f>
        <v>20</v>
      </c>
      <c r="BB79" s="62" t="n">
        <f aca="false">IF(CA79=1,0,ROUNDUP(BA79/BZ79,0))</f>
        <v>1</v>
      </c>
      <c r="BC79" s="64" t="n">
        <f aca="false">IF(CR79&gt;0,CR79*MAX(1,BA79/X79),IF(CA79=1,IF(BA79&lt;=0,0,CE79*MAX(1,IF(H79&gt;0,BA79/H79,1))),IF(R79&gt;0,BB79/R79,0))/MAX(0.1,N(Parameter!$M$21)))</f>
        <v>0.0384615384615385</v>
      </c>
      <c r="BD79" s="62" t="n">
        <f aca="false">BC79*CC79</f>
        <v>9.42307692307692</v>
      </c>
      <c r="BE79" s="63" t="n">
        <f aca="false">IF(LEFT(Cockpit!$O$5,1)="A",H79,IF(CI79=1,(CL79+CJ79)/2,IF(LEFT(Cockpit!$O$5,1)="B",(CL79+BG79)/2,MAX((CL79+BG79)/2,H79))))</f>
        <v>19.5</v>
      </c>
      <c r="BF79" s="62" t="n">
        <f aca="false">BE79*G79</f>
        <v>6805.5</v>
      </c>
      <c r="BG79" s="62" t="n">
        <f aca="false">ROUNDUP(CL79+MAX(CM79,2*(J79/IF(CH79&gt;0,CH79,MAX(0.1,N(Cockpit!$O$6)))-CL79)),0)</f>
        <v>35</v>
      </c>
      <c r="BH79" s="63" t="n">
        <f aca="false">IF(BD79&gt;0,J79/BD79,-1)</f>
        <v>8.17142857142857</v>
      </c>
      <c r="BI79" s="63" t="n">
        <f aca="false">IF(AND(OR(CG79="L1",CG79="L23",CG79="LIFT"),BD79&gt;0),SUMIFS($BD$7:$BD$1843,$CG$7:$CG$1843,CG79,$BH$7:$BH$1843,"&gt;"&amp;BH79)+SUMIFS($BD$7:$BD$1843,$CG$7:$CG$1843,CG79,$BH$7:$BH$1843,BH79,$BX$7:$BX$1843,"&lt;="&amp;BX79),"")</f>
        <v>3017.75503663004</v>
      </c>
      <c r="BJ79" s="70" t="n">
        <f aca="false">IF(BI79="",0,MAX(0,MIN(1,(IF(CG79="L1",Parameter!$H$5,IF(CG79="L23",Parameter!$H$6+Parameter!$H$7,Parameter!$H$5+Parameter!$H$6+Parameter!$H$7))-(BI79-BD79))/BD79)))</f>
        <v>1</v>
      </c>
      <c r="BK79" s="60" t="str">
        <f aca="false">IF(AJ79&lt;=0,"",IF(CG79="Aussen","Aussenlager",IF(CG79="-","Nicht im Lift",IF(AP79&gt;=1,"Lift",IF(AP79&lt;=0,"Aussenlager","teilweise")))))</f>
        <v>Lift</v>
      </c>
      <c r="BL79" s="60" t="str">
        <f aca="false">IF(AT79&lt;=0,"",IF(CG79="Aussen","Aussenlager",IF(CG79="-","Nicht im Lift",IF(AZ79&gt;=1,"Lift",IF(AZ79&lt;=0,"Aussenlager","teilweise")))))</f>
        <v>Lift</v>
      </c>
      <c r="BM79" s="60" t="str">
        <f aca="false">IF(BD79&lt;=0,"",IF(CG79="Aussen","Aussenlager",IF(CG79="-","Nicht im Lift",IF(BJ79&gt;=1,"Lift",IF(BJ79&lt;=0,"Aussenlager","teilweise")))))</f>
        <v>Lift</v>
      </c>
      <c r="BN79" s="60" t="str">
        <f aca="false">IF(A79="","",IF(BW79=1,"Neu; ","")&amp;IF(AND(BW79=0,BR79&lt;0),"negativer Bestand (Export "&amp;BR79&amp;"); ","")&amp;IF(J79&lt;=0,"Kein Verbrauch; ","")&amp;IF(CR79&gt;0,"Lift "&amp;W79&amp;" lt. Liftbericht (Fach "&amp;X79&amp;" Stk); ",IF(CB79=1,"Gebinde geschätzt ("&amp;T79&amp;"); ",IF(CA79=1,"Lose – Tablare geschätzt; ","")))&amp;IF(H79&gt;AW79,"Überbestand "&amp;ROUND(H79-AW79,0)&amp;" Stk / CHF "&amp;ROUND((H79-AW79)*G79,0)&amp;"; ","")&amp;IF(AND(CI79=1,CJ79&lt;CK79),"MAX &lt; MB+LG; ","")&amp;IF(AND(CQ79&gt;0,CP79*10&gt;CQ79),"zu hoch für Tablar; ","")&amp;IF(AND(BW79=0,OR(CI79=1,AB79&lt;&gt;"",U79&lt;&gt;"",V79&lt;&gt;"",AC79&lt;&gt;"")),"manuell übersteuert; ","")&amp;IF(AND(CA79=0,R79=0),"Gebinde unbekannt / Stellmass fehlt; ","")&amp;IF(AND(CA79=0,N(V79)&lt;=0,N(Q79)&lt;=0),"Menge pro Gebinde fehlt (Ist = 1 Gebinde); ","")&amp;BV79)</f>
        <v/>
      </c>
      <c r="BO79" s="60"/>
      <c r="BP79" s="60"/>
      <c r="BQ79" s="67"/>
      <c r="BR79" s="62" t="n">
        <v>9</v>
      </c>
      <c r="BS79" s="62" t="n">
        <v>21</v>
      </c>
      <c r="BT79" s="61" t="n">
        <v>3204.82</v>
      </c>
      <c r="BU79" s="62" t="n">
        <v>77</v>
      </c>
      <c r="BV79" s="60"/>
      <c r="BW79" s="65" t="n">
        <v>0</v>
      </c>
      <c r="BX79" s="65" t="n">
        <v>79</v>
      </c>
      <c r="BY79" s="60" t="str">
        <f aca="false">IF(U79&lt;&gt;"",UPPER(TRIM(U79)),IF(CB79=1,UPPER(VLOOKUP(T79,Parameter!$I$27:$K$29,2,0)),IF(P79="","LOSE",P79)))</f>
        <v>S52</v>
      </c>
      <c r="BZ79" s="62" t="n">
        <f aca="false">IF(BY79="LOSE",1,IF(N(V79)&gt;0,V79,IF(CB79=1,MAX(1,N(VLOOKUP(T79,Parameter!$I$27:$K$29,3,0)),H79,N(N79)),IF(N(Q79)&gt;0,Q79,MAX(1,H79)))))</f>
        <v>35</v>
      </c>
      <c r="CA79" s="65" t="n">
        <f aca="false">IF(BY79="LOSE",1,0)</f>
        <v>0</v>
      </c>
      <c r="CB79" s="65" t="n">
        <f aca="false">IF(AND(U79="",OR(P79="",P79="LOSE"),T79&lt;&gt;"",N(S79)&lt;=0,ISNUMBER(MATCH(T79,Parameter!$I$27:$I$29,0))),1,0)</f>
        <v>0</v>
      </c>
      <c r="CC79" s="65" t="n">
        <f aca="false">IF(CR79&gt;0,INDEX(Parameter!$H$5:$H$7,W79)/INDEX(Parameter!$E$5:$E$7,W79),IF(AND(CA79=0,N(IFERROR(VLOOKUP(BY79,'Gebinde-Kategorie'!$A$5:$N$45,14,0),0))&gt;0),VLOOKUP(BY79,'Gebinde-Kategorie'!$A$5:$N$45,14,0)*10+Parameter!$M$23,Parameter!$M$24))</f>
        <v>245</v>
      </c>
      <c r="CD79" s="60" t="str">
        <f aca="false">IF(AND(Parameter!$B$19="Ja",E79&lt;&gt;"",ISNUMBER(MATCH(E79,Parameter!$I$35:$I$52,0))),VLOOKUP(E79,Parameter!$I$35:$J$52,2,0),IFERROR(VLOOKUP(D79,Parameter!$A$35:$C$64,2,0),"Nein"))</f>
        <v>2+3</v>
      </c>
      <c r="CE79" s="64" t="n">
        <f aca="false">IF(CA79=0,0,IF(N(S79)&gt;0,S79,IFERROR(VLOOKUP(D79,Parameter!$A$35:$C$64,3,0)+0,0)))</f>
        <v>0</v>
      </c>
      <c r="CF79" s="60" t="n">
        <f aca="false">IF(AB79&lt;&gt;"",AB79,AA79)</f>
        <v>3</v>
      </c>
      <c r="CG79" s="60" t="str">
        <f aca="false">IF(OR(CF79=1,CF79=2,CF79=3),IF(Parameter!$E$27="Ja","LIFT",IF(CF79=1,"L1","L23")),IF(CF79="Aussen","Aussen","-"))</f>
        <v>LIFT</v>
      </c>
      <c r="CH79" s="71" t="n">
        <f aca="false">IF(N(AC79)&gt;0,AC79,0)</f>
        <v>0</v>
      </c>
      <c r="CI79" s="65" t="n">
        <f aca="false">IF(ISNUMBER(AF79),1,0)</f>
        <v>0</v>
      </c>
      <c r="CJ79" s="62" t="n">
        <f aca="false">N(AF79)</f>
        <v>0</v>
      </c>
      <c r="CK79" s="62" t="n">
        <f aca="false">N(M79)+N(N79)</f>
        <v>14</v>
      </c>
      <c r="CL79" s="62" t="n">
        <f aca="false">N(M79)</f>
        <v>4</v>
      </c>
      <c r="CM79" s="62" t="n">
        <f aca="false">N(N79)</f>
        <v>10</v>
      </c>
      <c r="CN79" s="62" t="n">
        <f aca="false">ROUNDUP(H79/BZ79,0)</f>
        <v>1</v>
      </c>
      <c r="CO79" s="62" t="n">
        <f aca="false">ROUNDUP(CJ79/BZ79,0)</f>
        <v>0</v>
      </c>
      <c r="CP79" s="65" t="n">
        <f aca="false">IF(CA79=1,0,IFERROR(VLOOKUP(BY79,'Gebinde-Kategorie'!$A$5:$N$45,5,0)+0,0))</f>
        <v>21</v>
      </c>
      <c r="CQ79" s="65" t="n">
        <f aca="false">IFERROR(IF(OR(CF79=1,CF79=2,CF79=3),N(INDEX(Parameter!$I$5:$I$7,CF79)),0),0)</f>
        <v>0</v>
      </c>
      <c r="CR79" s="64" t="n">
        <f aca="false">IF(AND(Parameter!$B$21="Ja",ISNUMBER(W79),N(X79)&gt;0),IFERROR(N(INDEX(Parameter!$L$5:$L$7,W79))*INDEX(Parameter!$E$5:$E$7,W79)*X79/SUMIFS($X$7:$X$1843,$W$7:$W$1843,W79),0),0)</f>
        <v>0</v>
      </c>
      <c r="CS79" s="62" t="n">
        <f aca="false">IF(AND(OR(CG79="L1",CG79="L23",CG79="LIFT"),H79&gt;0),CC79*IF(CR79&gt;0,CR79*MAX(1,H79/X79),IF(CA79=1,CE79,IF(R79&gt;0,CN79/R79,0))/MAX(0.1,N(Parameter!$M$21))),"")</f>
        <v>9.42307692307692</v>
      </c>
      <c r="CT79" s="64" t="n">
        <f aca="false">IF(CS79="","",J79/H79)</f>
        <v>2.56666666666667</v>
      </c>
      <c r="CU79" s="62" t="n">
        <f aca="false">IF(CS79="","",H79*G79)</f>
        <v>10470</v>
      </c>
      <c r="CV79" s="63" t="n">
        <f aca="false">IF(CS79="","",(CL79+ROUNDUP(CL79+MAX(CM79,2*(J79/MAX(0.1,N(Einkauf!$C$6))-CL79)),0))/2)</f>
        <v>19.5</v>
      </c>
      <c r="CW79" s="62" t="n">
        <f aca="false">IF(CS79="","",MAX(0,H79-CV79)*G79)</f>
        <v>3664.5</v>
      </c>
      <c r="CX79" s="62" t="n">
        <f aca="false">IF(CS79="","",CS79*MAX(0,1-CV79/H79))</f>
        <v>3.29807692307692</v>
      </c>
      <c r="CY79" s="64" t="n">
        <f aca="false">IF(CS79="","",PERCENTRANK($CS$7:$CS$1843,CS79)+PERCENTRANK($CU$7:$CU$1843,CU79)+1-PERCENTRANK($CT$7:$CT$1843,CT79))</f>
        <v>1.671</v>
      </c>
      <c r="CZ79" s="72" t="n">
        <f aca="false">IF(CS79="","",CHOOSE(MATCH(Einkauf!$C$5,Parameter!$G$23:$G$27,0),CY79,CS79,CU79,-CT79,CW79)+ROW()/1000000000)</f>
        <v>1.671000079</v>
      </c>
    </row>
    <row r="80" customFormat="false" ht="15" hidden="false" customHeight="false" outlineLevel="0" collapsed="false">
      <c r="A80" s="60" t="s">
        <v>408</v>
      </c>
      <c r="B80" s="60" t="s">
        <v>409</v>
      </c>
      <c r="C80" s="60" t="s">
        <v>206</v>
      </c>
      <c r="D80" s="60" t="s">
        <v>215</v>
      </c>
      <c r="E80" s="60"/>
      <c r="F80" s="60" t="s">
        <v>260</v>
      </c>
      <c r="G80" s="61" t="n">
        <v>312</v>
      </c>
      <c r="H80" s="62" t="n">
        <f aca="false">MAX(0,IF(AND(Parameter!$B$21="Ja",ISNUMBER(Y80)),Y80,IF(Parameter!$B$20="Jahresanfang 2025 + Export",BS80+BR80,BR80)))</f>
        <v>10</v>
      </c>
      <c r="I80" s="62" t="n">
        <f aca="false">H80*G80</f>
        <v>3120</v>
      </c>
      <c r="J80" s="62" t="n">
        <f aca="false">BU80*Parameter!$B$18</f>
        <v>0</v>
      </c>
      <c r="K80" s="63" t="n">
        <v>10</v>
      </c>
      <c r="L80" s="64" t="n">
        <v>0</v>
      </c>
      <c r="M80" s="62" t="n">
        <v>0</v>
      </c>
      <c r="N80" s="62" t="n">
        <v>1</v>
      </c>
      <c r="O80" s="65" t="n">
        <v>35</v>
      </c>
      <c r="P80" s="60" t="s">
        <v>210</v>
      </c>
      <c r="Q80" s="62"/>
      <c r="R80" s="65" t="n">
        <f aca="false">IF(CA80=1,0,IFERROR(VLOOKUP(BY80,'Gebinde-Kategorie'!$A$5:$N$45,13,0)+0,0))</f>
        <v>0</v>
      </c>
      <c r="S80" s="66"/>
      <c r="T80" s="67"/>
      <c r="U80" s="67"/>
      <c r="V80" s="67"/>
      <c r="W80" s="60" t="n">
        <v>1</v>
      </c>
      <c r="X80" s="62" t="n">
        <v>20</v>
      </c>
      <c r="Y80" s="62" t="n">
        <v>10</v>
      </c>
      <c r="Z80" s="60" t="n">
        <v>1</v>
      </c>
      <c r="AA80" s="60" t="n">
        <f aca="false">IF(A80="","",IF(AND(Parameter!$B$21="Ja",ISNUMBER(W80)),W80,IF(AND(Parameter!$E$27="Ja",ISNUMBER(Z80),CD80&lt;&gt;"Nein"),Z80,IF(CD80="2+3",IF(ISNUMBER(SEARCH("grosser Artikel",BV80)),2,IFERROR(VLOOKUP(BY80,Parameter!$F$35:$G$64,2,0),2)),IF(OR(CD80="Nein",CD80=""),"-",CD80)))))</f>
        <v>1</v>
      </c>
      <c r="AB80" s="67"/>
      <c r="AC80" s="68"/>
      <c r="AD80" s="62" t="n">
        <f aca="false">AW80</f>
        <v>1</v>
      </c>
      <c r="AE80" s="62" t="n">
        <f aca="false">MAX(AW80,H80)</f>
        <v>10</v>
      </c>
      <c r="AF80" s="69"/>
      <c r="AG80" s="62" t="n">
        <f aca="false">IF(LEFT(Cockpit!$C$5,1)="A",H80,IF(Parameter!$E$30="MAX-Bestand",IF(CI80=1,CJ80,IF(LEFT(Cockpit!$C$5,1)="B",AM80,MAX(AM80,H80))),ROUNDUP(AK80,0)))</f>
        <v>10</v>
      </c>
      <c r="AH80" s="62" t="n">
        <f aca="false">IF(CA80=1,0,ROUNDUP(AG80/BZ80,0))</f>
        <v>0</v>
      </c>
      <c r="AI80" s="64" t="n">
        <f aca="false">IF(CR80&gt;0,CR80*MAX(1,AG80/X80),IF(CA80=1,IF(AG80&lt;=0,0,CE80*MAX(1,IF(H80&gt;0,AG80/H80,1))),IF(R80&gt;0,AH80/R80,0))/MAX(0.1,N(Parameter!$M$21)))</f>
        <v>1.60075329566855</v>
      </c>
      <c r="AJ80" s="62" t="n">
        <f aca="false">AI80*CC80</f>
        <v>380.979284369115</v>
      </c>
      <c r="AK80" s="63" t="n">
        <f aca="false">IF(LEFT(Cockpit!$C$5,1)="A",H80,IF(CI80=1,(CL80+CJ80)/2,IF(LEFT(Cockpit!$C$5,1)="B",(CL80+AM80)/2,MAX((CL80+AM80)/2,H80))))</f>
        <v>10</v>
      </c>
      <c r="AL80" s="62" t="n">
        <f aca="false">AK80*G80</f>
        <v>3120</v>
      </c>
      <c r="AM80" s="62" t="n">
        <f aca="false">ROUNDUP(CL80+MAX(CM80,2*(J80/IF(CH80&gt;0,CH80,MAX(0.1,N(Cockpit!$C$6)))-CL80)),0)</f>
        <v>1</v>
      </c>
      <c r="AN80" s="63" t="n">
        <f aca="false">IF(AJ80&gt;0,J80/AJ80,-1)</f>
        <v>0</v>
      </c>
      <c r="AO80" s="63" t="n">
        <f aca="false">IF(AND(OR(CG80="L1",CG80="L23",CG80="LIFT"),AJ80&gt;0),SUMIFS($AJ$7:$AJ$1843,$CG$7:$CG$1843,CG80,$AN$7:$AN$1843,"&gt;"&amp;AN80)+SUMIFS($AJ$7:$AJ$1843,$CG$7:$CG$1843,CG80,$AN$7:$AN$1843,AN80,$BX$7:$BX$1843,"&lt;="&amp;BX80),"")</f>
        <v>26964.1734727137</v>
      </c>
      <c r="AP80" s="70" t="n">
        <f aca="false">IF(AO80="",0,MAX(0,MIN(1,(IF(CG80="L1",Parameter!$H$5,IF(CG80="L23",Parameter!$H$6+Parameter!$H$7,Parameter!$H$5+Parameter!$H$6+Parameter!$H$7))-(AO80-AJ80))/AJ80)))</f>
        <v>1</v>
      </c>
      <c r="AQ80" s="62" t="n">
        <f aca="false">IF(LEFT(Cockpit!$I$5,1)="A",H80,IF(Parameter!$E$30="MAX-Bestand",IF(CI80=1,CJ80,IF(LEFT(Cockpit!$I$5,1)="B",AW80,MAX(AW80,H80))),ROUNDUP(AU80,0)))</f>
        <v>10</v>
      </c>
      <c r="AR80" s="62" t="n">
        <f aca="false">IF(CA80=1,0,ROUNDUP(AQ80/BZ80,0))</f>
        <v>0</v>
      </c>
      <c r="AS80" s="64" t="n">
        <f aca="false">IF(CR80&gt;0,CR80*MAX(1,AQ80/X80),IF(CA80=1,IF(AQ80&lt;=0,0,CE80*MAX(1,IF(H80&gt;0,AQ80/H80,1))),IF(R80&gt;0,AR80/R80,0))/MAX(0.1,N(Parameter!$M$21)))</f>
        <v>1.60075329566855</v>
      </c>
      <c r="AT80" s="62" t="n">
        <f aca="false">AS80*CC80</f>
        <v>380.979284369115</v>
      </c>
      <c r="AU80" s="63" t="n">
        <f aca="false">IF(LEFT(Cockpit!$I$5,1)="A",H80,IF(CI80=1,(CL80+CJ80)/2,IF(LEFT(Cockpit!$I$5,1)="B",(CL80+AW80)/2,MAX((CL80+AW80)/2,H80))))</f>
        <v>10</v>
      </c>
      <c r="AV80" s="62" t="n">
        <f aca="false">AU80*G80</f>
        <v>3120</v>
      </c>
      <c r="AW80" s="62" t="n">
        <f aca="false">ROUNDUP(CL80+MAX(CM80,2*(J80/IF(CH80&gt;0,CH80,MAX(0.1,N(Cockpit!$I$6)))-CL80)),0)</f>
        <v>1</v>
      </c>
      <c r="AX80" s="63" t="n">
        <f aca="false">IF(AT80&gt;0,J80/AT80,-1)</f>
        <v>0</v>
      </c>
      <c r="AY80" s="63" t="n">
        <f aca="false">IF(AND(OR(CG80="L1",CG80="L23",CG80="LIFT"),AT80&gt;0),SUMIFS($AT$7:$AT$1843,$CG$7:$CG$1843,CG80,$AX$7:$AX$1843,"&gt;"&amp;AX80)+SUMIFS($AT$7:$AT$1843,$CG$7:$CG$1843,CG80,$AX$7:$AX$1843,AX80,$BX$7:$BX$1843,"&lt;="&amp;BX80),"")</f>
        <v>32317.3221140912</v>
      </c>
      <c r="AZ80" s="70" t="n">
        <f aca="false">IF(AY80="",0,MAX(0,MIN(1,(IF(CG80="L1",Parameter!$H$5,IF(CG80="L23",Parameter!$H$6+Parameter!$H$7,Parameter!$H$5+Parameter!$H$6+Parameter!$H$7))-(AY80-AT80))/AT80)))</f>
        <v>1</v>
      </c>
      <c r="BA80" s="62" t="n">
        <f aca="false">IF(LEFT(Cockpit!$O$5,1)="A",H80,IF(Parameter!$E$30="MAX-Bestand",IF(CI80=1,CJ80,IF(LEFT(Cockpit!$O$5,1)="B",BG80,MAX(BG80,H80))),ROUNDUP(BE80,0)))</f>
        <v>1</v>
      </c>
      <c r="BB80" s="62" t="n">
        <f aca="false">IF(CA80=1,0,ROUNDUP(BA80/BZ80,0))</f>
        <v>0</v>
      </c>
      <c r="BC80" s="64" t="n">
        <f aca="false">IF(CR80&gt;0,CR80*MAX(1,BA80/X80),IF(CA80=1,IF(BA80&lt;=0,0,CE80*MAX(1,IF(H80&gt;0,BA80/H80,1))),IF(R80&gt;0,BB80/R80,0))/MAX(0.1,N(Parameter!$M$21)))</f>
        <v>1.60075329566855</v>
      </c>
      <c r="BD80" s="62" t="n">
        <f aca="false">BC80*CC80</f>
        <v>380.979284369115</v>
      </c>
      <c r="BE80" s="63" t="n">
        <f aca="false">IF(LEFT(Cockpit!$O$5,1)="A",H80,IF(CI80=1,(CL80+CJ80)/2,IF(LEFT(Cockpit!$O$5,1)="B",(CL80+BG80)/2,MAX((CL80+BG80)/2,H80))))</f>
        <v>0.5</v>
      </c>
      <c r="BF80" s="62" t="n">
        <f aca="false">BE80*G80</f>
        <v>156</v>
      </c>
      <c r="BG80" s="62" t="n">
        <f aca="false">ROUNDUP(CL80+MAX(CM80,2*(J80/IF(CH80&gt;0,CH80,MAX(0.1,N(Cockpit!$O$6)))-CL80)),0)</f>
        <v>1</v>
      </c>
      <c r="BH80" s="63" t="n">
        <f aca="false">IF(BD80&gt;0,J80/BD80,-1)</f>
        <v>0</v>
      </c>
      <c r="BI80" s="63" t="n">
        <f aca="false">IF(AND(OR(CG80="L1",CG80="L23",CG80="LIFT"),BD80&gt;0),SUMIFS($BD$7:$BD$1843,$CG$7:$CG$1843,CG80,$BH$7:$BH$1843,"&gt;"&amp;BH80)+SUMIFS($BD$7:$BD$1843,$CG$7:$CG$1843,CG80,$BH$7:$BH$1843,BH80,$BX$7:$BX$1843,"&lt;="&amp;BX80),"")</f>
        <v>26513.9039573891</v>
      </c>
      <c r="BJ80" s="70" t="n">
        <f aca="false">IF(BI80="",0,MAX(0,MIN(1,(IF(CG80="L1",Parameter!$H$5,IF(CG80="L23",Parameter!$H$6+Parameter!$H$7,Parameter!$H$5+Parameter!$H$6+Parameter!$H$7))-(BI80-BD80))/BD80)))</f>
        <v>1</v>
      </c>
      <c r="BK80" s="60" t="str">
        <f aca="false">IF(AJ80&lt;=0,"",IF(CG80="Aussen","Aussenlager",IF(CG80="-","Nicht im Lift",IF(AP80&gt;=1,"Lift",IF(AP80&lt;=0,"Aussenlager","teilweise")))))</f>
        <v>Lift</v>
      </c>
      <c r="BL80" s="60" t="str">
        <f aca="false">IF(AT80&lt;=0,"",IF(CG80="Aussen","Aussenlager",IF(CG80="-","Nicht im Lift",IF(AZ80&gt;=1,"Lift",IF(AZ80&lt;=0,"Aussenlager","teilweise")))))</f>
        <v>Lift</v>
      </c>
      <c r="BM80" s="60" t="str">
        <f aca="false">IF(BD80&lt;=0,"",IF(CG80="Aussen","Aussenlager",IF(CG80="-","Nicht im Lift",IF(BJ80&gt;=1,"Lift",IF(BJ80&lt;=0,"Aussenlager","teilweise")))))</f>
        <v>Lift</v>
      </c>
      <c r="BN80" s="60" t="str">
        <f aca="false">IF(A80="","",IF(BW80=1,"Neu; ","")&amp;IF(AND(BW80=0,BR80&lt;0),"negativer Bestand (Export "&amp;BR80&amp;"); ","")&amp;IF(J80&lt;=0,"Kein Verbrauch; ","")&amp;IF(CR80&gt;0,"Lift "&amp;W80&amp;" lt. Liftbericht (Fach "&amp;X80&amp;" Stk); ",IF(CB80=1,"Gebinde geschätzt ("&amp;T80&amp;"); ",IF(CA80=1,"Lose – Tablare geschätzt; ","")))&amp;IF(H80&gt;AW80,"Überbestand "&amp;ROUND(H80-AW80,0)&amp;" Stk / CHF "&amp;ROUND((H80-AW80)*G80,0)&amp;"; ","")&amp;IF(AND(CI80=1,CJ80&lt;CK80),"MAX &lt; MB+LG; ","")&amp;IF(AND(CQ80&gt;0,CP80*10&gt;CQ80),"zu hoch für Tablar; ","")&amp;IF(AND(BW80=0,OR(CI80=1,AB80&lt;&gt;"",U80&lt;&gt;"",V80&lt;&gt;"",AC80&lt;&gt;"")),"manuell übersteuert; ","")&amp;IF(AND(CA80=0,R80=0),"Gebinde unbekannt / Stellmass fehlt; ","")&amp;IF(AND(CA80=0,N(V80)&lt;=0,N(Q80)&lt;=0),"Menge pro Gebinde fehlt (Ist = 1 Gebinde); ","")&amp;BV80)</f>
        <v>Kein Verbrauch; Lift 1 lt. Liftbericht (Fach 20 Stk); Überbestand 9 Stk / CHF 2808; </v>
      </c>
      <c r="BO80" s="60"/>
      <c r="BP80" s="60"/>
      <c r="BQ80" s="67"/>
      <c r="BR80" s="62" t="n">
        <v>10</v>
      </c>
      <c r="BS80" s="62" t="n">
        <v>10</v>
      </c>
      <c r="BT80" s="61" t="n">
        <v>3120</v>
      </c>
      <c r="BU80" s="62" t="n">
        <v>0</v>
      </c>
      <c r="BV80" s="60"/>
      <c r="BW80" s="65" t="n">
        <v>0</v>
      </c>
      <c r="BX80" s="65" t="n">
        <v>80</v>
      </c>
      <c r="BY80" s="60" t="str">
        <f aca="false">IF(U80&lt;&gt;"",UPPER(TRIM(U80)),IF(CB80=1,UPPER(VLOOKUP(T80,Parameter!$I$27:$K$29,2,0)),IF(P80="","LOSE",P80)))</f>
        <v>LOSE</v>
      </c>
      <c r="BZ80" s="62" t="n">
        <f aca="false">IF(BY80="LOSE",1,IF(N(V80)&gt;0,V80,IF(CB80=1,MAX(1,N(VLOOKUP(T80,Parameter!$I$27:$K$29,3,0)),H80,N(N80)),IF(N(Q80)&gt;0,Q80,MAX(1,H80)))))</f>
        <v>1</v>
      </c>
      <c r="CA80" s="65" t="n">
        <f aca="false">IF(BY80="LOSE",1,0)</f>
        <v>1</v>
      </c>
      <c r="CB80" s="65" t="n">
        <f aca="false">IF(AND(U80="",OR(P80="",P80="LOSE"),T80&lt;&gt;"",N(S80)&lt;=0,ISNUMBER(MATCH(T80,Parameter!$I$27:$I$29,0))),1,0)</f>
        <v>0</v>
      </c>
      <c r="CC80" s="65" t="n">
        <f aca="false">IF(CR80&gt;0,INDEX(Parameter!$H$5:$H$7,W80)/INDEX(Parameter!$E$5:$E$7,W80),IF(AND(CA80=0,N(IFERROR(VLOOKUP(BY80,'Gebinde-Kategorie'!$A$5:$N$45,14,0),0))&gt;0),VLOOKUP(BY80,'Gebinde-Kategorie'!$A$5:$N$45,14,0)*10+Parameter!$M$23,Parameter!$M$24))</f>
        <v>238</v>
      </c>
      <c r="CD80" s="60" t="str">
        <f aca="false">IF(AND(Parameter!$B$19="Ja",E80&lt;&gt;"",ISNUMBER(MATCH(E80,Parameter!$I$35:$I$52,0))),VLOOKUP(E80,Parameter!$I$35:$J$52,2,0),IFERROR(VLOOKUP(D80,Parameter!$A$35:$C$64,2,0),"Nein"))</f>
        <v>2+3</v>
      </c>
      <c r="CE80" s="64" t="n">
        <f aca="false">IF(CA80=0,0,IF(N(S80)&gt;0,S80,IFERROR(VLOOKUP(D80,Parameter!$A$35:$C$64,3,0)+0,0)))</f>
        <v>0.15</v>
      </c>
      <c r="CF80" s="60" t="n">
        <f aca="false">IF(AB80&lt;&gt;"",AB80,AA80)</f>
        <v>1</v>
      </c>
      <c r="CG80" s="60" t="str">
        <f aca="false">IF(OR(CF80=1,CF80=2,CF80=3),IF(Parameter!$E$27="Ja","LIFT",IF(CF80=1,"L1","L23")),IF(CF80="Aussen","Aussen","-"))</f>
        <v>LIFT</v>
      </c>
      <c r="CH80" s="71" t="n">
        <f aca="false">IF(N(AC80)&gt;0,AC80,0)</f>
        <v>0</v>
      </c>
      <c r="CI80" s="65" t="n">
        <f aca="false">IF(ISNUMBER(AF80),1,0)</f>
        <v>0</v>
      </c>
      <c r="CJ80" s="62" t="n">
        <f aca="false">N(AF80)</f>
        <v>0</v>
      </c>
      <c r="CK80" s="62" t="n">
        <f aca="false">N(M80)+N(N80)</f>
        <v>1</v>
      </c>
      <c r="CL80" s="62" t="n">
        <f aca="false">N(M80)</f>
        <v>0</v>
      </c>
      <c r="CM80" s="62" t="n">
        <f aca="false">N(N80)</f>
        <v>1</v>
      </c>
      <c r="CN80" s="62" t="n">
        <f aca="false">ROUNDUP(H80/BZ80,0)</f>
        <v>10</v>
      </c>
      <c r="CO80" s="62" t="n">
        <f aca="false">ROUNDUP(CJ80/BZ80,0)</f>
        <v>0</v>
      </c>
      <c r="CP80" s="65" t="n">
        <f aca="false">IF(CA80=1,0,IFERROR(VLOOKUP(BY80,'Gebinde-Kategorie'!$A$5:$N$45,5,0)+0,0))</f>
        <v>0</v>
      </c>
      <c r="CQ80" s="65" t="n">
        <f aca="false">IFERROR(IF(OR(CF80=1,CF80=2,CF80=3),N(INDEX(Parameter!$I$5:$I$7,CF80)),0),0)</f>
        <v>0</v>
      </c>
      <c r="CR80" s="64" t="n">
        <f aca="false">IF(AND(Parameter!$B$21="Ja",ISNUMBER(W80),N(X80)&gt;0),IFERROR(N(INDEX(Parameter!$L$5:$L$7,W80))*INDEX(Parameter!$E$5:$E$7,W80)*X80/SUMIFS($X$7:$X$1843,$W$7:$W$1843,W80),0),0)</f>
        <v>1.60075329566855</v>
      </c>
      <c r="CS80" s="62" t="n">
        <f aca="false">IF(AND(OR(CG80="L1",CG80="L23",CG80="LIFT"),H80&gt;0),CC80*IF(CR80&gt;0,CR80*MAX(1,H80/X80),IF(CA80=1,CE80,IF(R80&gt;0,CN80/R80,0))/MAX(0.1,N(Parameter!$M$21))),"")</f>
        <v>380.979284369115</v>
      </c>
      <c r="CT80" s="64" t="n">
        <f aca="false">IF(CS80="","",J80/H80)</f>
        <v>0</v>
      </c>
      <c r="CU80" s="62" t="n">
        <f aca="false">IF(CS80="","",H80*G80)</f>
        <v>3120</v>
      </c>
      <c r="CV80" s="63" t="n">
        <f aca="false">IF(CS80="","",(CL80+ROUNDUP(CL80+MAX(CM80,2*(J80/MAX(0.1,N(Einkauf!$C$6))-CL80)),0))/2)</f>
        <v>0.5</v>
      </c>
      <c r="CW80" s="62" t="n">
        <f aca="false">IF(CS80="","",MAX(0,H80-CV80)*G80)</f>
        <v>2964</v>
      </c>
      <c r="CX80" s="62" t="n">
        <f aca="false">IF(CS80="","",CS80*MAX(0,1-CV80/H80))</f>
        <v>361.930320150659</v>
      </c>
      <c r="CY80" s="64" t="n">
        <f aca="false">IF(CS80="","",PERCENTRANK($CS$7:$CS$1843,CS80)+PERCENTRANK($CU$7:$CU$1843,CU80)+1-PERCENTRANK($CT$7:$CT$1843,CT80))</f>
        <v>2.829</v>
      </c>
      <c r="CZ80" s="72" t="n">
        <f aca="false">IF(CS80="","",CHOOSE(MATCH(Einkauf!$C$5,Parameter!$G$23:$G$27,0),CY80,CS80,CU80,-CT80,CW80)+ROW()/1000000000)</f>
        <v>2.82900008</v>
      </c>
    </row>
    <row r="81" customFormat="false" ht="15" hidden="false" customHeight="false" outlineLevel="0" collapsed="false">
      <c r="A81" s="60" t="s">
        <v>410</v>
      </c>
      <c r="B81" s="60" t="s">
        <v>411</v>
      </c>
      <c r="C81" s="60" t="s">
        <v>206</v>
      </c>
      <c r="D81" s="60" t="s">
        <v>215</v>
      </c>
      <c r="E81" s="60" t="s">
        <v>412</v>
      </c>
      <c r="F81" s="60" t="s">
        <v>260</v>
      </c>
      <c r="G81" s="61" t="n">
        <v>760.97</v>
      </c>
      <c r="H81" s="62" t="n">
        <f aca="false">MAX(0,IF(AND(Parameter!$B$21="Ja",ISNUMBER(Y81)),Y81,IF(Parameter!$B$20="Jahresanfang 2025 + Export",BS81+BR81,BR81)))</f>
        <v>4</v>
      </c>
      <c r="I81" s="62" t="n">
        <f aca="false">H81*G81</f>
        <v>3043.88</v>
      </c>
      <c r="J81" s="62" t="n">
        <f aca="false">BU81*Parameter!$B$18</f>
        <v>27</v>
      </c>
      <c r="K81" s="63" t="n">
        <v>0.5</v>
      </c>
      <c r="L81" s="64" t="n">
        <v>54</v>
      </c>
      <c r="M81" s="62" t="n">
        <v>0</v>
      </c>
      <c r="N81" s="62" t="n">
        <v>1</v>
      </c>
      <c r="O81" s="65" t="n">
        <v>21</v>
      </c>
      <c r="P81" s="60" t="s">
        <v>210</v>
      </c>
      <c r="Q81" s="62"/>
      <c r="R81" s="65" t="n">
        <f aca="false">IF(CA81=1,0,IFERROR(VLOOKUP(BY81,'Gebinde-Kategorie'!$A$5:$N$45,13,0)+0,0))</f>
        <v>4</v>
      </c>
      <c r="S81" s="66"/>
      <c r="T81" s="67" t="s">
        <v>231</v>
      </c>
      <c r="U81" s="67"/>
      <c r="V81" s="67"/>
      <c r="W81" s="60"/>
      <c r="X81" s="62"/>
      <c r="Y81" s="62"/>
      <c r="Z81" s="60"/>
      <c r="AA81" s="60" t="str">
        <f aca="false">IF(A81="","",IF(AND(Parameter!$B$21="Ja",ISNUMBER(W81)),W81,IF(AND(Parameter!$E$27="Ja",ISNUMBER(Z81),CD81&lt;&gt;"Nein"),Z81,IF(CD81="2+3",IF(ISNUMBER(SEARCH("grosser Artikel",BV81)),2,IFERROR(VLOOKUP(BY81,Parameter!$F$35:$G$64,2,0),2)),IF(OR(CD81="Nein",CD81=""),"-",CD81)))))</f>
        <v>-</v>
      </c>
      <c r="AB81" s="67"/>
      <c r="AC81" s="68"/>
      <c r="AD81" s="62" t="n">
        <f aca="false">AW81</f>
        <v>18</v>
      </c>
      <c r="AE81" s="62" t="n">
        <f aca="false">MAX(AW81,H81)</f>
        <v>18</v>
      </c>
      <c r="AF81" s="69"/>
      <c r="AG81" s="62" t="n">
        <f aca="false">IF(LEFT(Cockpit!$C$5,1)="A",H81,IF(Parameter!$E$30="MAX-Bestand",IF(CI81=1,CJ81,IF(LEFT(Cockpit!$C$5,1)="B",AM81,MAX(AM81,H81))),ROUNDUP(AK81,0)))</f>
        <v>4</v>
      </c>
      <c r="AH81" s="62" t="n">
        <f aca="false">IF(CA81=1,0,ROUNDUP(AG81/BZ81,0))</f>
        <v>1</v>
      </c>
      <c r="AI81" s="64" t="n">
        <f aca="false">IF(CR81&gt;0,CR81*MAX(1,AG81/X81),IF(CA81=1,IF(AG81&lt;=0,0,CE81*MAX(1,IF(H81&gt;0,AG81/H81,1))),IF(R81&gt;0,AH81/R81,0))/MAX(0.1,N(Parameter!$M$21)))</f>
        <v>0.25</v>
      </c>
      <c r="AJ81" s="62" t="n">
        <f aca="false">AI81*CC81</f>
        <v>58.75</v>
      </c>
      <c r="AK81" s="63" t="n">
        <f aca="false">IF(LEFT(Cockpit!$C$5,1)="A",H81,IF(CI81=1,(CL81+CJ81)/2,IF(LEFT(Cockpit!$C$5,1)="B",(CL81+AM81)/2,MAX((CL81+AM81)/2,H81))))</f>
        <v>4</v>
      </c>
      <c r="AL81" s="62" t="n">
        <f aca="false">AK81*G81</f>
        <v>3043.88</v>
      </c>
      <c r="AM81" s="62" t="n">
        <f aca="false">ROUNDUP(CL81+MAX(CM81,2*(J81/IF(CH81&gt;0,CH81,MAX(0.1,N(Cockpit!$C$6)))-CL81)),0)</f>
        <v>18</v>
      </c>
      <c r="AN81" s="63" t="n">
        <f aca="false">IF(AJ81&gt;0,J81/AJ81,-1)</f>
        <v>0.459574468085106</v>
      </c>
      <c r="AO81" s="63" t="str">
        <f aca="false">IF(AND(OR(CG81="L1",CG81="L23",CG81="LIFT"),AJ81&gt;0),SUMIFS($AJ$7:$AJ$1843,$CG$7:$CG$1843,CG81,$AN$7:$AN$1843,"&gt;"&amp;AN81)+SUMIFS($AJ$7:$AJ$1843,$CG$7:$CG$1843,CG81,$AN$7:$AN$1843,AN81,$BX$7:$BX$1843,"&lt;="&amp;BX81),"")</f>
        <v/>
      </c>
      <c r="AP81" s="70" t="n">
        <f aca="false">IF(AO81="",0,MAX(0,MIN(1,(IF(CG81="L1",Parameter!$H$5,IF(CG81="L23",Parameter!$H$6+Parameter!$H$7,Parameter!$H$5+Parameter!$H$6+Parameter!$H$7))-(AO81-AJ81))/AJ81)))</f>
        <v>0</v>
      </c>
      <c r="AQ81" s="62" t="n">
        <f aca="false">IF(LEFT(Cockpit!$I$5,1)="A",H81,IF(Parameter!$E$30="MAX-Bestand",IF(CI81=1,CJ81,IF(LEFT(Cockpit!$I$5,1)="B",AW81,MAX(AW81,H81))),ROUNDUP(AU81,0)))</f>
        <v>9</v>
      </c>
      <c r="AR81" s="62" t="n">
        <f aca="false">IF(CA81=1,0,ROUNDUP(AQ81/BZ81,0))</f>
        <v>3</v>
      </c>
      <c r="AS81" s="64" t="n">
        <f aca="false">IF(CR81&gt;0,CR81*MAX(1,AQ81/X81),IF(CA81=1,IF(AQ81&lt;=0,0,CE81*MAX(1,IF(H81&gt;0,AQ81/H81,1))),IF(R81&gt;0,AR81/R81,0))/MAX(0.1,N(Parameter!$M$21)))</f>
        <v>0.75</v>
      </c>
      <c r="AT81" s="62" t="n">
        <f aca="false">AS81*CC81</f>
        <v>176.25</v>
      </c>
      <c r="AU81" s="63" t="n">
        <f aca="false">IF(LEFT(Cockpit!$I$5,1)="A",H81,IF(CI81=1,(CL81+CJ81)/2,IF(LEFT(Cockpit!$I$5,1)="B",(CL81+AW81)/2,MAX((CL81+AW81)/2,H81))))</f>
        <v>9</v>
      </c>
      <c r="AV81" s="62" t="n">
        <f aca="false">AU81*G81</f>
        <v>6848.73</v>
      </c>
      <c r="AW81" s="62" t="n">
        <f aca="false">ROUNDUP(CL81+MAX(CM81,2*(J81/IF(CH81&gt;0,CH81,MAX(0.1,N(Cockpit!$I$6)))-CL81)),0)</f>
        <v>18</v>
      </c>
      <c r="AX81" s="63" t="n">
        <f aca="false">IF(AT81&gt;0,J81/AT81,-1)</f>
        <v>0.153191489361702</v>
      </c>
      <c r="AY81" s="63" t="str">
        <f aca="false">IF(AND(OR(CG81="L1",CG81="L23",CG81="LIFT"),AT81&gt;0),SUMIFS($AT$7:$AT$1843,$CG$7:$CG$1843,CG81,$AX$7:$AX$1843,"&gt;"&amp;AX81)+SUMIFS($AT$7:$AT$1843,$CG$7:$CG$1843,CG81,$AX$7:$AX$1843,AX81,$BX$7:$BX$1843,"&lt;="&amp;BX81),"")</f>
        <v/>
      </c>
      <c r="AZ81" s="70" t="n">
        <f aca="false">IF(AY81="",0,MAX(0,MIN(1,(IF(CG81="L1",Parameter!$H$5,IF(CG81="L23",Parameter!$H$6+Parameter!$H$7,Parameter!$H$5+Parameter!$H$6+Parameter!$H$7))-(AY81-AT81))/AT81)))</f>
        <v>0</v>
      </c>
      <c r="BA81" s="62" t="n">
        <f aca="false">IF(LEFT(Cockpit!$O$5,1)="A",H81,IF(Parameter!$E$30="MAX-Bestand",IF(CI81=1,CJ81,IF(LEFT(Cockpit!$O$5,1)="B",BG81,MAX(BG81,H81))),ROUNDUP(BE81,0)))</f>
        <v>7</v>
      </c>
      <c r="BB81" s="62" t="n">
        <f aca="false">IF(CA81=1,0,ROUNDUP(BA81/BZ81,0))</f>
        <v>2</v>
      </c>
      <c r="BC81" s="64" t="n">
        <f aca="false">IF(CR81&gt;0,CR81*MAX(1,BA81/X81),IF(CA81=1,IF(BA81&lt;=0,0,CE81*MAX(1,IF(H81&gt;0,BA81/H81,1))),IF(R81&gt;0,BB81/R81,0))/MAX(0.1,N(Parameter!$M$21)))</f>
        <v>0.5</v>
      </c>
      <c r="BD81" s="62" t="n">
        <f aca="false">BC81*CC81</f>
        <v>117.5</v>
      </c>
      <c r="BE81" s="63" t="n">
        <f aca="false">IF(LEFT(Cockpit!$O$5,1)="A",H81,IF(CI81=1,(CL81+CJ81)/2,IF(LEFT(Cockpit!$O$5,1)="B",(CL81+BG81)/2,MAX((CL81+BG81)/2,H81))))</f>
        <v>7</v>
      </c>
      <c r="BF81" s="62" t="n">
        <f aca="false">BE81*G81</f>
        <v>5326.79</v>
      </c>
      <c r="BG81" s="62" t="n">
        <f aca="false">ROUNDUP(CL81+MAX(CM81,2*(J81/IF(CH81&gt;0,CH81,MAX(0.1,N(Cockpit!$O$6)))-CL81)),0)</f>
        <v>14</v>
      </c>
      <c r="BH81" s="63" t="n">
        <f aca="false">IF(BD81&gt;0,J81/BD81,-1)</f>
        <v>0.229787234042553</v>
      </c>
      <c r="BI81" s="63" t="str">
        <f aca="false">IF(AND(OR(CG81="L1",CG81="L23",CG81="LIFT"),BD81&gt;0),SUMIFS($BD$7:$BD$1843,$CG$7:$CG$1843,CG81,$BH$7:$BH$1843,"&gt;"&amp;BH81)+SUMIFS($BD$7:$BD$1843,$CG$7:$CG$1843,CG81,$BH$7:$BH$1843,BH81,$BX$7:$BX$1843,"&lt;="&amp;BX81),"")</f>
        <v/>
      </c>
      <c r="BJ81" s="70" t="n">
        <f aca="false">IF(BI81="",0,MAX(0,MIN(1,(IF(CG81="L1",Parameter!$H$5,IF(CG81="L23",Parameter!$H$6+Parameter!$H$7,Parameter!$H$5+Parameter!$H$6+Parameter!$H$7))-(BI81-BD81))/BD81)))</f>
        <v>0</v>
      </c>
      <c r="BK81" s="60" t="str">
        <f aca="false">IF(AJ81&lt;=0,"",IF(CG81="Aussen","Aussenlager",IF(CG81="-","Nicht im Lift",IF(AP81&gt;=1,"Lift",IF(AP81&lt;=0,"Aussenlager","teilweise")))))</f>
        <v>Nicht im Lift</v>
      </c>
      <c r="BL81" s="60" t="str">
        <f aca="false">IF(AT81&lt;=0,"",IF(CG81="Aussen","Aussenlager",IF(CG81="-","Nicht im Lift",IF(AZ81&gt;=1,"Lift",IF(AZ81&lt;=0,"Aussenlager","teilweise")))))</f>
        <v>Nicht im Lift</v>
      </c>
      <c r="BM81" s="60" t="str">
        <f aca="false">IF(BD81&lt;=0,"",IF(CG81="Aussen","Aussenlager",IF(CG81="-","Nicht im Lift",IF(BJ81&gt;=1,"Lift",IF(BJ81&lt;=0,"Aussenlager","teilweise")))))</f>
        <v>Nicht im Lift</v>
      </c>
      <c r="BN81" s="60" t="str">
        <f aca="false">IF(A81="","",IF(BW81=1,"Neu; ","")&amp;IF(AND(BW81=0,BR81&lt;0),"negativer Bestand (Export "&amp;BR81&amp;"); ","")&amp;IF(J81&lt;=0,"Kein Verbrauch; ","")&amp;IF(CR81&gt;0,"Lift "&amp;W81&amp;" lt. Liftbericht (Fach "&amp;X81&amp;" Stk); ",IF(CB81=1,"Gebinde geschätzt ("&amp;T81&amp;"); ",IF(CA81=1,"Lose – Tablare geschätzt; ","")))&amp;IF(H81&gt;AW81,"Überbestand "&amp;ROUND(H81-AW81,0)&amp;" Stk / CHF "&amp;ROUND((H81-AW81)*G81,0)&amp;"; ","")&amp;IF(AND(CI81=1,CJ81&lt;CK81),"MAX &lt; MB+LG; ","")&amp;IF(AND(CQ81&gt;0,CP81*10&gt;CQ81),"zu hoch für Tablar; ","")&amp;IF(AND(BW81=0,OR(CI81=1,AB81&lt;&gt;"",U81&lt;&gt;"",V81&lt;&gt;"",AC81&lt;&gt;"")),"manuell übersteuert; ","")&amp;IF(AND(CA81=0,R81=0),"Gebinde unbekannt / Stellmass fehlt; ","")&amp;IF(AND(CA81=0,N(V81)&lt;=0,N(Q81)&lt;=0),"Menge pro Gebinde fehlt (Ist = 1 Gebinde); ","")&amp;BV81)</f>
        <v>Gebinde geschätzt (Gross); Menge pro Gebinde fehlt (Ist = 1 Gebinde); </v>
      </c>
      <c r="BO81" s="60"/>
      <c r="BP81" s="60"/>
      <c r="BQ81" s="67"/>
      <c r="BR81" s="62" t="n">
        <v>4</v>
      </c>
      <c r="BS81" s="62" t="n">
        <v>0</v>
      </c>
      <c r="BT81" s="61" t="n">
        <v>3043.88</v>
      </c>
      <c r="BU81" s="62" t="n">
        <v>27</v>
      </c>
      <c r="BV81" s="60"/>
      <c r="BW81" s="65" t="n">
        <v>0</v>
      </c>
      <c r="BX81" s="65" t="n">
        <v>81</v>
      </c>
      <c r="BY81" s="60" t="str">
        <f aca="false">IF(U81&lt;&gt;"",UPPER(TRIM(U81)),IF(CB81=1,UPPER(VLOOKUP(T81,Parameter!$I$27:$K$29,2,0)),IF(P81="","LOSE",P81)))</f>
        <v>S81</v>
      </c>
      <c r="BZ81" s="62" t="n">
        <f aca="false">IF(BY81="LOSE",1,IF(N(V81)&gt;0,V81,IF(CB81=1,MAX(1,N(VLOOKUP(T81,Parameter!$I$27:$K$29,3,0)),H81,N(N81)),IF(N(Q81)&gt;0,Q81,MAX(1,H81)))))</f>
        <v>4</v>
      </c>
      <c r="CA81" s="65" t="n">
        <f aca="false">IF(BY81="LOSE",1,0)</f>
        <v>0</v>
      </c>
      <c r="CB81" s="65" t="n">
        <f aca="false">IF(AND(U81="",OR(P81="",P81="LOSE"),T81&lt;&gt;"",N(S81)&lt;=0,ISNUMBER(MATCH(T81,Parameter!$I$27:$I$29,0))),1,0)</f>
        <v>1</v>
      </c>
      <c r="CC81" s="65" t="n">
        <f aca="false">IF(CR81&gt;0,INDEX(Parameter!$H$5:$H$7,W81)/INDEX(Parameter!$E$5:$E$7,W81),IF(AND(CA81=0,N(IFERROR(VLOOKUP(BY81,'Gebinde-Kategorie'!$A$5:$N$45,14,0),0))&gt;0),VLOOKUP(BY81,'Gebinde-Kategorie'!$A$5:$N$45,14,0)*10+Parameter!$M$23,Parameter!$M$24))</f>
        <v>235</v>
      </c>
      <c r="CD81" s="60" t="str">
        <f aca="false">IF(AND(Parameter!$B$19="Ja",E81&lt;&gt;"",ISNUMBER(MATCH(E81,Parameter!$I$35:$I$52,0))),VLOOKUP(E81,Parameter!$I$35:$J$52,2,0),IFERROR(VLOOKUP(D81,Parameter!$A$35:$C$64,2,0),"Nein"))</f>
        <v>Nein</v>
      </c>
      <c r="CE81" s="64" t="n">
        <f aca="false">IF(CA81=0,0,IF(N(S81)&gt;0,S81,IFERROR(VLOOKUP(D81,Parameter!$A$35:$C$64,3,0)+0,0)))</f>
        <v>0</v>
      </c>
      <c r="CF81" s="60" t="str">
        <f aca="false">IF(AB81&lt;&gt;"",AB81,AA81)</f>
        <v>-</v>
      </c>
      <c r="CG81" s="60" t="str">
        <f aca="false">IF(OR(CF81=1,CF81=2,CF81=3),IF(Parameter!$E$27="Ja","LIFT",IF(CF81=1,"L1","L23")),IF(CF81="Aussen","Aussen","-"))</f>
        <v>-</v>
      </c>
      <c r="CH81" s="71" t="n">
        <f aca="false">IF(N(AC81)&gt;0,AC81,0)</f>
        <v>0</v>
      </c>
      <c r="CI81" s="65" t="n">
        <f aca="false">IF(ISNUMBER(AF81),1,0)</f>
        <v>0</v>
      </c>
      <c r="CJ81" s="62" t="n">
        <f aca="false">N(AF81)</f>
        <v>0</v>
      </c>
      <c r="CK81" s="62" t="n">
        <f aca="false">N(M81)+N(N81)</f>
        <v>1</v>
      </c>
      <c r="CL81" s="62" t="n">
        <f aca="false">N(M81)</f>
        <v>0</v>
      </c>
      <c r="CM81" s="62" t="n">
        <f aca="false">N(N81)</f>
        <v>1</v>
      </c>
      <c r="CN81" s="62" t="n">
        <f aca="false">ROUNDUP(H81/BZ81,0)</f>
        <v>1</v>
      </c>
      <c r="CO81" s="62" t="n">
        <f aca="false">ROUNDUP(CJ81/BZ81,0)</f>
        <v>0</v>
      </c>
      <c r="CP81" s="65" t="n">
        <f aca="false">IF(CA81=1,0,IFERROR(VLOOKUP(BY81,'Gebinde-Kategorie'!$A$5:$N$45,5,0)+0,0))</f>
        <v>20</v>
      </c>
      <c r="CQ81" s="65" t="n">
        <f aca="false">IFERROR(IF(OR(CF81=1,CF81=2,CF81=3),N(INDEX(Parameter!$I$5:$I$7,CF81)),0),0)</f>
        <v>0</v>
      </c>
      <c r="CR81" s="64" t="n">
        <f aca="false">IF(AND(Parameter!$B$21="Ja",ISNUMBER(W81),N(X81)&gt;0),IFERROR(N(INDEX(Parameter!$L$5:$L$7,W81))*INDEX(Parameter!$E$5:$E$7,W81)*X81/SUMIFS($X$7:$X$1843,$W$7:$W$1843,W81),0),0)</f>
        <v>0</v>
      </c>
      <c r="CS81" s="62" t="str">
        <f aca="false">IF(AND(OR(CG81="L1",CG81="L23",CG81="LIFT"),H81&gt;0),CC81*IF(CR81&gt;0,CR81*MAX(1,H81/X81),IF(CA81=1,CE81,IF(R81&gt;0,CN81/R81,0))/MAX(0.1,N(Parameter!$M$21))),"")</f>
        <v/>
      </c>
      <c r="CT81" s="64" t="str">
        <f aca="false">IF(CS81="","",J81/H81)</f>
        <v/>
      </c>
      <c r="CU81" s="62" t="str">
        <f aca="false">IF(CS81="","",H81*G81)</f>
        <v/>
      </c>
      <c r="CV81" s="63" t="str">
        <f aca="false">IF(CS81="","",(CL81+ROUNDUP(CL81+MAX(CM81,2*(J81/MAX(0.1,N(Einkauf!$C$6))-CL81)),0))/2)</f>
        <v/>
      </c>
      <c r="CW81" s="62" t="str">
        <f aca="false">IF(CS81="","",MAX(0,H81-CV81)*G81)</f>
        <v/>
      </c>
      <c r="CX81" s="62" t="str">
        <f aca="false">IF(CS81="","",CS81*MAX(0,1-CV81/H81))</f>
        <v/>
      </c>
      <c r="CY81" s="64" t="str">
        <f aca="false">IF(CS81="","",PERCENTRANK($CS$7:$CS$1843,CS81)+PERCENTRANK($CU$7:$CU$1843,CU81)+1-PERCENTRANK($CT$7:$CT$1843,CT81))</f>
        <v/>
      </c>
      <c r="CZ81" s="72" t="str">
        <f aca="false">IF(CS81="","",CHOOSE(MATCH(Einkauf!$C$5,Parameter!$G$23:$G$27,0),CY81,CS81,CU81,-CT81,CW81)+ROW()/1000000000)</f>
        <v/>
      </c>
    </row>
    <row r="82" customFormat="false" ht="15" hidden="false" customHeight="false" outlineLevel="0" collapsed="false">
      <c r="A82" s="60" t="s">
        <v>413</v>
      </c>
      <c r="B82" s="60" t="s">
        <v>414</v>
      </c>
      <c r="C82" s="60" t="s">
        <v>206</v>
      </c>
      <c r="D82" s="60" t="s">
        <v>215</v>
      </c>
      <c r="E82" s="60" t="s">
        <v>227</v>
      </c>
      <c r="F82" s="60" t="s">
        <v>260</v>
      </c>
      <c r="G82" s="61" t="n">
        <v>185.43</v>
      </c>
      <c r="H82" s="62" t="n">
        <f aca="false">MAX(0,IF(AND(Parameter!$B$21="Ja",ISNUMBER(Y82)),Y82,IF(Parameter!$B$20="Jahresanfang 2025 + Export",BS82+BR82,BR82)))</f>
        <v>28</v>
      </c>
      <c r="I82" s="62" t="n">
        <f aca="false">H82*G82</f>
        <v>5192.04</v>
      </c>
      <c r="J82" s="62" t="n">
        <f aca="false">BU82*Parameter!$B$18</f>
        <v>67</v>
      </c>
      <c r="K82" s="63" t="n">
        <v>14</v>
      </c>
      <c r="L82" s="64" t="n">
        <v>4.78571428571429</v>
      </c>
      <c r="M82" s="62" t="n">
        <v>10</v>
      </c>
      <c r="N82" s="62" t="n">
        <v>30</v>
      </c>
      <c r="O82" s="65" t="n">
        <v>44</v>
      </c>
      <c r="P82" s="60" t="s">
        <v>216</v>
      </c>
      <c r="Q82" s="62" t="n">
        <v>18</v>
      </c>
      <c r="R82" s="65" t="n">
        <f aca="false">IF(CA82=1,0,IFERROR(VLOOKUP(BY82,'Gebinde-Kategorie'!$A$5:$N$45,13,0)+0,0))</f>
        <v>6</v>
      </c>
      <c r="S82" s="66"/>
      <c r="T82" s="67"/>
      <c r="U82" s="67"/>
      <c r="V82" s="67"/>
      <c r="W82" s="60"/>
      <c r="X82" s="62"/>
      <c r="Y82" s="62"/>
      <c r="Z82" s="60" t="n">
        <v>2</v>
      </c>
      <c r="AA82" s="60" t="n">
        <f aca="false">IF(A82="","",IF(AND(Parameter!$B$21="Ja",ISNUMBER(W82)),W82,IF(AND(Parameter!$E$27="Ja",ISNUMBER(Z82),CD82&lt;&gt;"Nein"),Z82,IF(CD82="2+3",IF(ISNUMBER(SEARCH("grosser Artikel",BV82)),2,IFERROR(VLOOKUP(BY82,Parameter!$F$35:$G$64,2,0),2)),IF(OR(CD82="Nein",CD82=""),"-",CD82)))))</f>
        <v>2</v>
      </c>
      <c r="AB82" s="67"/>
      <c r="AC82" s="68"/>
      <c r="AD82" s="62" t="n">
        <f aca="false">AW82</f>
        <v>40</v>
      </c>
      <c r="AE82" s="62" t="n">
        <f aca="false">MAX(AW82,H82)</f>
        <v>40</v>
      </c>
      <c r="AF82" s="69"/>
      <c r="AG82" s="62" t="n">
        <f aca="false">IF(LEFT(Cockpit!$C$5,1)="A",H82,IF(Parameter!$E$30="MAX-Bestand",IF(CI82=1,CJ82,IF(LEFT(Cockpit!$C$5,1)="B",AM82,MAX(AM82,H82))),ROUNDUP(AK82,0)))</f>
        <v>28</v>
      </c>
      <c r="AH82" s="62" t="n">
        <f aca="false">IF(CA82=1,0,ROUNDUP(AG82/BZ82,0))</f>
        <v>2</v>
      </c>
      <c r="AI82" s="64" t="n">
        <f aca="false">IF(CR82&gt;0,CR82*MAX(1,AG82/X82),IF(CA82=1,IF(AG82&lt;=0,0,CE82*MAX(1,IF(H82&gt;0,AG82/H82,1))),IF(R82&gt;0,AH82/R82,0))/MAX(0.1,N(Parameter!$M$21)))</f>
        <v>0.333333333333333</v>
      </c>
      <c r="AJ82" s="62" t="n">
        <f aca="false">AI82*CC82</f>
        <v>78.3333333333333</v>
      </c>
      <c r="AK82" s="63" t="n">
        <f aca="false">IF(LEFT(Cockpit!$C$5,1)="A",H82,IF(CI82=1,(CL82+CJ82)/2,IF(LEFT(Cockpit!$C$5,1)="B",(CL82+AM82)/2,MAX((CL82+AM82)/2,H82))))</f>
        <v>28</v>
      </c>
      <c r="AL82" s="62" t="n">
        <f aca="false">AK82*G82</f>
        <v>5192.04</v>
      </c>
      <c r="AM82" s="62" t="n">
        <f aca="false">ROUNDUP(CL82+MAX(CM82,2*(J82/IF(CH82&gt;0,CH82,MAX(0.1,N(Cockpit!$C$6)))-CL82)),0)</f>
        <v>40</v>
      </c>
      <c r="AN82" s="63" t="n">
        <f aca="false">IF(AJ82&gt;0,J82/AJ82,-1)</f>
        <v>0.85531914893617</v>
      </c>
      <c r="AO82" s="63" t="n">
        <f aca="false">IF(AND(OR(CG82="L1",CG82="L23",CG82="LIFT"),AJ82&gt;0),SUMIFS($AJ$7:$AJ$1843,$CG$7:$CG$1843,CG82,$AN$7:$AN$1843,"&gt;"&amp;AN82)+SUMIFS($AJ$7:$AJ$1843,$CG$7:$CG$1843,CG82,$AN$7:$AN$1843,AN82,$BX$7:$BX$1843,"&lt;="&amp;BX82),"")</f>
        <v>7732.84294871795</v>
      </c>
      <c r="AP82" s="70" t="n">
        <f aca="false">IF(AO82="",0,MAX(0,MIN(1,(IF(CG82="L1",Parameter!$H$5,IF(CG82="L23",Parameter!$H$6+Parameter!$H$7,Parameter!$H$5+Parameter!$H$6+Parameter!$H$7))-(AO82-AJ82))/AJ82)))</f>
        <v>1</v>
      </c>
      <c r="AQ82" s="62" t="n">
        <f aca="false">IF(LEFT(Cockpit!$I$5,1)="A",H82,IF(Parameter!$E$30="MAX-Bestand",IF(CI82=1,CJ82,IF(LEFT(Cockpit!$I$5,1)="B",AW82,MAX(AW82,H82))),ROUNDUP(AU82,0)))</f>
        <v>28</v>
      </c>
      <c r="AR82" s="62" t="n">
        <f aca="false">IF(CA82=1,0,ROUNDUP(AQ82/BZ82,0))</f>
        <v>2</v>
      </c>
      <c r="AS82" s="64" t="n">
        <f aca="false">IF(CR82&gt;0,CR82*MAX(1,AQ82/X82),IF(CA82=1,IF(AQ82&lt;=0,0,CE82*MAX(1,IF(H82&gt;0,AQ82/H82,1))),IF(R82&gt;0,AR82/R82,0))/MAX(0.1,N(Parameter!$M$21)))</f>
        <v>0.333333333333333</v>
      </c>
      <c r="AT82" s="62" t="n">
        <f aca="false">AS82*CC82</f>
        <v>78.3333333333333</v>
      </c>
      <c r="AU82" s="63" t="n">
        <f aca="false">IF(LEFT(Cockpit!$I$5,1)="A",H82,IF(CI82=1,(CL82+CJ82)/2,IF(LEFT(Cockpit!$I$5,1)="B",(CL82+AW82)/2,MAX((CL82+AW82)/2,H82))))</f>
        <v>28</v>
      </c>
      <c r="AV82" s="62" t="n">
        <f aca="false">AU82*G82</f>
        <v>5192.04</v>
      </c>
      <c r="AW82" s="62" t="n">
        <f aca="false">ROUNDUP(CL82+MAX(CM82,2*(J82/IF(CH82&gt;0,CH82,MAX(0.1,N(Cockpit!$I$6)))-CL82)),0)</f>
        <v>40</v>
      </c>
      <c r="AX82" s="63" t="n">
        <f aca="false">IF(AT82&gt;0,J82/AT82,-1)</f>
        <v>0.85531914893617</v>
      </c>
      <c r="AY82" s="63" t="n">
        <f aca="false">IF(AND(OR(CG82="L1",CG82="L23",CG82="LIFT"),AT82&gt;0),SUMIFS($AT$7:$AT$1843,$CG$7:$CG$1843,CG82,$AX$7:$AX$1843,"&gt;"&amp;AX82)+SUMIFS($AT$7:$AT$1843,$CG$7:$CG$1843,CG82,$AX$7:$AX$1843,AX82,$BX$7:$BX$1843,"&lt;="&amp;BX82),"")</f>
        <v>9367.69963369963</v>
      </c>
      <c r="AZ82" s="70" t="n">
        <f aca="false">IF(AY82="",0,MAX(0,MIN(1,(IF(CG82="L1",Parameter!$H$5,IF(CG82="L23",Parameter!$H$6+Parameter!$H$7,Parameter!$H$5+Parameter!$H$6+Parameter!$H$7))-(AY82-AT82))/AT82)))</f>
        <v>1</v>
      </c>
      <c r="BA82" s="62" t="n">
        <f aca="false">IF(LEFT(Cockpit!$O$5,1)="A",H82,IF(Parameter!$E$30="MAX-Bestand",IF(CI82=1,CJ82,IF(LEFT(Cockpit!$O$5,1)="B",BG82,MAX(BG82,H82))),ROUNDUP(BE82,0)))</f>
        <v>25</v>
      </c>
      <c r="BB82" s="62" t="n">
        <f aca="false">IF(CA82=1,0,ROUNDUP(BA82/BZ82,0))</f>
        <v>2</v>
      </c>
      <c r="BC82" s="64" t="n">
        <f aca="false">IF(CR82&gt;0,CR82*MAX(1,BA82/X82),IF(CA82=1,IF(BA82&lt;=0,0,CE82*MAX(1,IF(H82&gt;0,BA82/H82,1))),IF(R82&gt;0,BB82/R82,0))/MAX(0.1,N(Parameter!$M$21)))</f>
        <v>0.333333333333333</v>
      </c>
      <c r="BD82" s="62" t="n">
        <f aca="false">BC82*CC82</f>
        <v>78.3333333333333</v>
      </c>
      <c r="BE82" s="63" t="n">
        <f aca="false">IF(LEFT(Cockpit!$O$5,1)="A",H82,IF(CI82=1,(CL82+CJ82)/2,IF(LEFT(Cockpit!$O$5,1)="B",(CL82+BG82)/2,MAX((CL82+BG82)/2,H82))))</f>
        <v>25</v>
      </c>
      <c r="BF82" s="62" t="n">
        <f aca="false">BE82*G82</f>
        <v>4635.75</v>
      </c>
      <c r="BG82" s="62" t="n">
        <f aca="false">ROUNDUP(CL82+MAX(CM82,2*(J82/IF(CH82&gt;0,CH82,MAX(0.1,N(Cockpit!$O$6)))-CL82)),0)</f>
        <v>40</v>
      </c>
      <c r="BH82" s="63" t="n">
        <f aca="false">IF(BD82&gt;0,J82/BD82,-1)</f>
        <v>0.85531914893617</v>
      </c>
      <c r="BI82" s="63" t="n">
        <f aca="false">IF(AND(OR(CG82="L1",CG82="L23",CG82="LIFT"),BD82&gt;0),SUMIFS($BD$7:$BD$1843,$CG$7:$CG$1843,CG82,$BH$7:$BH$1843,"&gt;"&amp;BH82)+SUMIFS($BD$7:$BD$1843,$CG$7:$CG$1843,CG82,$BH$7:$BH$1843,BH82,$BX$7:$BX$1843,"&lt;="&amp;BX82),"")</f>
        <v>8389.83379120879</v>
      </c>
      <c r="BJ82" s="70" t="n">
        <f aca="false">IF(BI82="",0,MAX(0,MIN(1,(IF(CG82="L1",Parameter!$H$5,IF(CG82="L23",Parameter!$H$6+Parameter!$H$7,Parameter!$H$5+Parameter!$H$6+Parameter!$H$7))-(BI82-BD82))/BD82)))</f>
        <v>1</v>
      </c>
      <c r="BK82" s="60" t="str">
        <f aca="false">IF(AJ82&lt;=0,"",IF(CG82="Aussen","Aussenlager",IF(CG82="-","Nicht im Lift",IF(AP82&gt;=1,"Lift",IF(AP82&lt;=0,"Aussenlager","teilweise")))))</f>
        <v>Lift</v>
      </c>
      <c r="BL82" s="60" t="str">
        <f aca="false">IF(AT82&lt;=0,"",IF(CG82="Aussen","Aussenlager",IF(CG82="-","Nicht im Lift",IF(AZ82&gt;=1,"Lift",IF(AZ82&lt;=0,"Aussenlager","teilweise")))))</f>
        <v>Lift</v>
      </c>
      <c r="BM82" s="60" t="str">
        <f aca="false">IF(BD82&lt;=0,"",IF(CG82="Aussen","Aussenlager",IF(CG82="-","Nicht im Lift",IF(BJ82&gt;=1,"Lift",IF(BJ82&lt;=0,"Aussenlager","teilweise")))))</f>
        <v>Lift</v>
      </c>
      <c r="BN82" s="60" t="str">
        <f aca="false">IF(A82="","",IF(BW82=1,"Neu; ","")&amp;IF(AND(BW82=0,BR82&lt;0),"negativer Bestand (Export "&amp;BR82&amp;"); ","")&amp;IF(J82&lt;=0,"Kein Verbrauch; ","")&amp;IF(CR82&gt;0,"Lift "&amp;W82&amp;" lt. Liftbericht (Fach "&amp;X82&amp;" Stk); ",IF(CB82=1,"Gebinde geschätzt ("&amp;T82&amp;"); ",IF(CA82=1,"Lose – Tablare geschätzt; ","")))&amp;IF(H82&gt;AW82,"Überbestand "&amp;ROUND(H82-AW82,0)&amp;" Stk / CHF "&amp;ROUND((H82-AW82)*G82,0)&amp;"; ","")&amp;IF(AND(CI82=1,CJ82&lt;CK82),"MAX &lt; MB+LG; ","")&amp;IF(AND(CQ82&gt;0,CP82*10&gt;CQ82),"zu hoch für Tablar; ","")&amp;IF(AND(BW82=0,OR(CI82=1,AB82&lt;&gt;"",U82&lt;&gt;"",V82&lt;&gt;"",AC82&lt;&gt;"")),"manuell übersteuert; ","")&amp;IF(AND(CA82=0,R82=0),"Gebinde unbekannt / Stellmass fehlt; ","")&amp;IF(AND(CA82=0,N(V82)&lt;=0,N(Q82)&lt;=0),"Menge pro Gebinde fehlt (Ist = 1 Gebinde); ","")&amp;BV82)</f>
        <v>grosser Artikel &amp; nicht im KTL</v>
      </c>
      <c r="BO82" s="60"/>
      <c r="BP82" s="60"/>
      <c r="BQ82" s="67"/>
      <c r="BR82" s="62" t="n">
        <v>15</v>
      </c>
      <c r="BS82" s="62" t="n">
        <v>13</v>
      </c>
      <c r="BT82" s="61" t="n">
        <v>3008.04</v>
      </c>
      <c r="BU82" s="62" t="n">
        <v>67</v>
      </c>
      <c r="BV82" s="60" t="s">
        <v>303</v>
      </c>
      <c r="BW82" s="65" t="n">
        <v>0</v>
      </c>
      <c r="BX82" s="65" t="n">
        <v>82</v>
      </c>
      <c r="BY82" s="60" t="str">
        <f aca="false">IF(U82&lt;&gt;"",UPPER(TRIM(U82)),IF(CB82=1,UPPER(VLOOKUP(T82,Parameter!$I$27:$K$29,2,0)),IF(P82="","LOSE",P82)))</f>
        <v>S71</v>
      </c>
      <c r="BZ82" s="62" t="n">
        <f aca="false">IF(BY82="LOSE",1,IF(N(V82)&gt;0,V82,IF(CB82=1,MAX(1,N(VLOOKUP(T82,Parameter!$I$27:$K$29,3,0)),H82,N(N82)),IF(N(Q82)&gt;0,Q82,MAX(1,H82)))))</f>
        <v>18</v>
      </c>
      <c r="CA82" s="65" t="n">
        <f aca="false">IF(BY82="LOSE",1,0)</f>
        <v>0</v>
      </c>
      <c r="CB82" s="65" t="n">
        <f aca="false">IF(AND(U82="",OR(P82="",P82="LOSE"),T82&lt;&gt;"",N(S82)&lt;=0,ISNUMBER(MATCH(T82,Parameter!$I$27:$I$29,0))),1,0)</f>
        <v>0</v>
      </c>
      <c r="CC82" s="65" t="n">
        <f aca="false">IF(CR82&gt;0,INDEX(Parameter!$H$5:$H$7,W82)/INDEX(Parameter!$E$5:$E$7,W82),IF(AND(CA82=0,N(IFERROR(VLOOKUP(BY82,'Gebinde-Kategorie'!$A$5:$N$45,14,0),0))&gt;0),VLOOKUP(BY82,'Gebinde-Kategorie'!$A$5:$N$45,14,0)*10+Parameter!$M$23,Parameter!$M$24))</f>
        <v>235</v>
      </c>
      <c r="CD82" s="60" t="str">
        <f aca="false">IF(AND(Parameter!$B$19="Ja",E82&lt;&gt;"",ISNUMBER(MATCH(E82,Parameter!$I$35:$I$52,0))),VLOOKUP(E82,Parameter!$I$35:$J$52,2,0),IFERROR(VLOOKUP(D82,Parameter!$A$35:$C$64,2,0),"Nein"))</f>
        <v>2+3</v>
      </c>
      <c r="CE82" s="64" t="n">
        <f aca="false">IF(CA82=0,0,IF(N(S82)&gt;0,S82,IFERROR(VLOOKUP(D82,Parameter!$A$35:$C$64,3,0)+0,0)))</f>
        <v>0</v>
      </c>
      <c r="CF82" s="60" t="n">
        <f aca="false">IF(AB82&lt;&gt;"",AB82,AA82)</f>
        <v>2</v>
      </c>
      <c r="CG82" s="60" t="str">
        <f aca="false">IF(OR(CF82=1,CF82=2,CF82=3),IF(Parameter!$E$27="Ja","LIFT",IF(CF82=1,"L1","L23")),IF(CF82="Aussen","Aussen","-"))</f>
        <v>LIFT</v>
      </c>
      <c r="CH82" s="71" t="n">
        <f aca="false">IF(N(AC82)&gt;0,AC82,0)</f>
        <v>0</v>
      </c>
      <c r="CI82" s="65" t="n">
        <f aca="false">IF(ISNUMBER(AF82),1,0)</f>
        <v>0</v>
      </c>
      <c r="CJ82" s="62" t="n">
        <f aca="false">N(AF82)</f>
        <v>0</v>
      </c>
      <c r="CK82" s="62" t="n">
        <f aca="false">N(M82)+N(N82)</f>
        <v>40</v>
      </c>
      <c r="CL82" s="62" t="n">
        <f aca="false">N(M82)</f>
        <v>10</v>
      </c>
      <c r="CM82" s="62" t="n">
        <f aca="false">N(N82)</f>
        <v>30</v>
      </c>
      <c r="CN82" s="62" t="n">
        <f aca="false">ROUNDUP(H82/BZ82,0)</f>
        <v>2</v>
      </c>
      <c r="CO82" s="62" t="n">
        <f aca="false">ROUNDUP(CJ82/BZ82,0)</f>
        <v>0</v>
      </c>
      <c r="CP82" s="65" t="n">
        <f aca="false">IF(CA82=1,0,IFERROR(VLOOKUP(BY82,'Gebinde-Kategorie'!$A$5:$N$45,5,0)+0,0))</f>
        <v>20</v>
      </c>
      <c r="CQ82" s="65" t="n">
        <f aca="false">IFERROR(IF(OR(CF82=1,CF82=2,CF82=3),N(INDEX(Parameter!$I$5:$I$7,CF82)),0),0)</f>
        <v>0</v>
      </c>
      <c r="CR82" s="64" t="n">
        <f aca="false">IF(AND(Parameter!$B$21="Ja",ISNUMBER(W82),N(X82)&gt;0),IFERROR(N(INDEX(Parameter!$L$5:$L$7,W82))*INDEX(Parameter!$E$5:$E$7,W82)*X82/SUMIFS($X$7:$X$1843,$W$7:$W$1843,W82),0),0)</f>
        <v>0</v>
      </c>
      <c r="CS82" s="62" t="n">
        <f aca="false">IF(AND(OR(CG82="L1",CG82="L23",CG82="LIFT"),H82&gt;0),CC82*IF(CR82&gt;0,CR82*MAX(1,H82/X82),IF(CA82=1,CE82,IF(R82&gt;0,CN82/R82,0))/MAX(0.1,N(Parameter!$M$21))),"")</f>
        <v>78.3333333333333</v>
      </c>
      <c r="CT82" s="64" t="n">
        <f aca="false">IF(CS82="","",J82/H82)</f>
        <v>2.39285714285714</v>
      </c>
      <c r="CU82" s="62" t="n">
        <f aca="false">IF(CS82="","",H82*G82)</f>
        <v>5192.04</v>
      </c>
      <c r="CV82" s="63" t="n">
        <f aca="false">IF(CS82="","",(CL82+ROUNDUP(CL82+MAX(CM82,2*(J82/MAX(0.1,N(Einkauf!$C$6))-CL82)),0))/2)</f>
        <v>25</v>
      </c>
      <c r="CW82" s="62" t="n">
        <f aca="false">IF(CS82="","",MAX(0,H82-CV82)*G82)</f>
        <v>556.29</v>
      </c>
      <c r="CX82" s="62" t="n">
        <f aca="false">IF(CS82="","",CS82*MAX(0,1-CV82/H82))</f>
        <v>8.39285714285714</v>
      </c>
      <c r="CY82" s="64" t="n">
        <f aca="false">IF(CS82="","",PERCENTRANK($CS$7:$CS$1843,CS82)+PERCENTRANK($CU$7:$CU$1843,CU82)+1-PERCENTRANK($CT$7:$CT$1843,CT82))</f>
        <v>2.01</v>
      </c>
      <c r="CZ82" s="72" t="n">
        <f aca="false">IF(CS82="","",CHOOSE(MATCH(Einkauf!$C$5,Parameter!$G$23:$G$27,0),CY82,CS82,CU82,-CT82,CW82)+ROW()/1000000000)</f>
        <v>2.010000082</v>
      </c>
    </row>
    <row r="83" customFormat="false" ht="15" hidden="false" customHeight="false" outlineLevel="0" collapsed="false">
      <c r="A83" s="60" t="s">
        <v>415</v>
      </c>
      <c r="B83" s="60" t="s">
        <v>416</v>
      </c>
      <c r="C83" s="60" t="s">
        <v>206</v>
      </c>
      <c r="D83" s="60" t="s">
        <v>226</v>
      </c>
      <c r="E83" s="60" t="s">
        <v>227</v>
      </c>
      <c r="F83" s="60" t="s">
        <v>260</v>
      </c>
      <c r="G83" s="61" t="n">
        <v>30.36</v>
      </c>
      <c r="H83" s="62" t="n">
        <f aca="false">MAX(0,IF(AND(Parameter!$B$21="Ja",ISNUMBER(Y83)),Y83,IF(Parameter!$B$20="Jahresanfang 2025 + Export",BS83+BR83,BR83)))</f>
        <v>232</v>
      </c>
      <c r="I83" s="62" t="n">
        <f aca="false">H83*G83</f>
        <v>7043.52</v>
      </c>
      <c r="J83" s="62" t="n">
        <f aca="false">BU83*Parameter!$B$18</f>
        <v>1152</v>
      </c>
      <c r="K83" s="63" t="n">
        <v>441.5</v>
      </c>
      <c r="L83" s="64" t="n">
        <v>2.60928652321631</v>
      </c>
      <c r="M83" s="62" t="n">
        <v>106</v>
      </c>
      <c r="N83" s="62" t="n">
        <v>400</v>
      </c>
      <c r="O83" s="65" t="n">
        <v>56</v>
      </c>
      <c r="P83" s="60" t="s">
        <v>370</v>
      </c>
      <c r="Q83" s="62" t="n">
        <v>550</v>
      </c>
      <c r="R83" s="65" t="n">
        <f aca="false">IF(CA83=1,0,IFERROR(VLOOKUP(BY83,'Gebinde-Kategorie'!$A$5:$N$45,13,0)+0,0))</f>
        <v>52</v>
      </c>
      <c r="S83" s="66"/>
      <c r="T83" s="67"/>
      <c r="U83" s="67"/>
      <c r="V83" s="67"/>
      <c r="W83" s="60"/>
      <c r="X83" s="62"/>
      <c r="Y83" s="62"/>
      <c r="Z83" s="60" t="n">
        <v>3</v>
      </c>
      <c r="AA83" s="60" t="n">
        <f aca="false">IF(A83="","",IF(AND(Parameter!$B$21="Ja",ISNUMBER(W83)),W83,IF(AND(Parameter!$E$27="Ja",ISNUMBER(Z83),CD83&lt;&gt;"Nein"),Z83,IF(CD83="2+3",IF(ISNUMBER(SEARCH("grosser Artikel",BV83)),2,IFERROR(VLOOKUP(BY83,Parameter!$F$35:$G$64,2,0),2)),IF(OR(CD83="Nein",CD83=""),"-",CD83)))))</f>
        <v>3</v>
      </c>
      <c r="AB83" s="67"/>
      <c r="AC83" s="68"/>
      <c r="AD83" s="62" t="n">
        <f aca="false">AW83</f>
        <v>662</v>
      </c>
      <c r="AE83" s="62" t="n">
        <f aca="false">MAX(AW83,H83)</f>
        <v>662</v>
      </c>
      <c r="AF83" s="69"/>
      <c r="AG83" s="62" t="n">
        <f aca="false">IF(LEFT(Cockpit!$C$5,1)="A",H83,IF(Parameter!$E$30="MAX-Bestand",IF(CI83=1,CJ83,IF(LEFT(Cockpit!$C$5,1)="B",AM83,MAX(AM83,H83))),ROUNDUP(AK83,0)))</f>
        <v>232</v>
      </c>
      <c r="AH83" s="62" t="n">
        <f aca="false">IF(CA83=1,0,ROUNDUP(AG83/BZ83,0))</f>
        <v>1</v>
      </c>
      <c r="AI83" s="64" t="n">
        <f aca="false">IF(CR83&gt;0,CR83*MAX(1,AG83/X83),IF(CA83=1,IF(AG83&lt;=0,0,CE83*MAX(1,IF(H83&gt;0,AG83/H83,1))),IF(R83&gt;0,AH83/R83,0))/MAX(0.1,N(Parameter!$M$21)))</f>
        <v>0.0192307692307692</v>
      </c>
      <c r="AJ83" s="62" t="n">
        <f aca="false">AI83*CC83</f>
        <v>2.98076923076923</v>
      </c>
      <c r="AK83" s="63" t="n">
        <f aca="false">IF(LEFT(Cockpit!$C$5,1)="A",H83,IF(CI83=1,(CL83+CJ83)/2,IF(LEFT(Cockpit!$C$5,1)="B",(CL83+AM83)/2,MAX((CL83+AM83)/2,H83))))</f>
        <v>232</v>
      </c>
      <c r="AL83" s="62" t="n">
        <f aca="false">AK83*G83</f>
        <v>7043.52</v>
      </c>
      <c r="AM83" s="62" t="n">
        <f aca="false">ROUNDUP(CL83+MAX(CM83,2*(J83/IF(CH83&gt;0,CH83,MAX(0.1,N(Cockpit!$C$6)))-CL83)),0)</f>
        <v>662</v>
      </c>
      <c r="AN83" s="63" t="n">
        <f aca="false">IF(AJ83&gt;0,J83/AJ83,-1)</f>
        <v>386.477419354839</v>
      </c>
      <c r="AO83" s="63" t="n">
        <f aca="false">IF(AND(OR(CG83="L1",CG83="L23",CG83="LIFT"),AJ83&gt;0),SUMIFS($AJ$7:$AJ$1843,$CG$7:$CG$1843,CG83,$AN$7:$AN$1843,"&gt;"&amp;AN83)+SUMIFS($AJ$7:$AJ$1843,$CG$7:$CG$1843,CG83,$AN$7:$AN$1843,AN83,$BX$7:$BX$1843,"&lt;="&amp;BX83),"")</f>
        <v>202.968406593407</v>
      </c>
      <c r="AP83" s="70" t="n">
        <f aca="false">IF(AO83="",0,MAX(0,MIN(1,(IF(CG83="L1",Parameter!$H$5,IF(CG83="L23",Parameter!$H$6+Parameter!$H$7,Parameter!$H$5+Parameter!$H$6+Parameter!$H$7))-(AO83-AJ83))/AJ83)))</f>
        <v>1</v>
      </c>
      <c r="AQ83" s="62" t="n">
        <f aca="false">IF(LEFT(Cockpit!$I$5,1)="A",H83,IF(Parameter!$E$30="MAX-Bestand",IF(CI83=1,CJ83,IF(LEFT(Cockpit!$I$5,1)="B",AW83,MAX(AW83,H83))),ROUNDUP(AU83,0)))</f>
        <v>384</v>
      </c>
      <c r="AR83" s="62" t="n">
        <f aca="false">IF(CA83=1,0,ROUNDUP(AQ83/BZ83,0))</f>
        <v>1</v>
      </c>
      <c r="AS83" s="64" t="n">
        <f aca="false">IF(CR83&gt;0,CR83*MAX(1,AQ83/X83),IF(CA83=1,IF(AQ83&lt;=0,0,CE83*MAX(1,IF(H83&gt;0,AQ83/H83,1))),IF(R83&gt;0,AR83/R83,0))/MAX(0.1,N(Parameter!$M$21)))</f>
        <v>0.0192307692307692</v>
      </c>
      <c r="AT83" s="62" t="n">
        <f aca="false">AS83*CC83</f>
        <v>2.98076923076923</v>
      </c>
      <c r="AU83" s="63" t="n">
        <f aca="false">IF(LEFT(Cockpit!$I$5,1)="A",H83,IF(CI83=1,(CL83+CJ83)/2,IF(LEFT(Cockpit!$I$5,1)="B",(CL83+AW83)/2,MAX((CL83+AW83)/2,H83))))</f>
        <v>384</v>
      </c>
      <c r="AV83" s="62" t="n">
        <f aca="false">AU83*G83</f>
        <v>11658.24</v>
      </c>
      <c r="AW83" s="62" t="n">
        <f aca="false">ROUNDUP(CL83+MAX(CM83,2*(J83/IF(CH83&gt;0,CH83,MAX(0.1,N(Cockpit!$I$6)))-CL83)),0)</f>
        <v>662</v>
      </c>
      <c r="AX83" s="63" t="n">
        <f aca="false">IF(AT83&gt;0,J83/AT83,-1)</f>
        <v>386.477419354839</v>
      </c>
      <c r="AY83" s="63" t="n">
        <f aca="false">IF(AND(OR(CG83="L1",CG83="L23",CG83="LIFT"),AT83&gt;0),SUMIFS($AT$7:$AT$1843,$CG$7:$CG$1843,CG83,$AX$7:$AX$1843,"&gt;"&amp;AX83)+SUMIFS($AT$7:$AT$1843,$CG$7:$CG$1843,CG83,$AX$7:$AX$1843,AX83,$BX$7:$BX$1843,"&lt;="&amp;BX83),"")</f>
        <v>137.184523809524</v>
      </c>
      <c r="AZ83" s="70" t="n">
        <f aca="false">IF(AY83="",0,MAX(0,MIN(1,(IF(CG83="L1",Parameter!$H$5,IF(CG83="L23",Parameter!$H$6+Parameter!$H$7,Parameter!$H$5+Parameter!$H$6+Parameter!$H$7))-(AY83-AT83))/AT83)))</f>
        <v>1</v>
      </c>
      <c r="BA83" s="62" t="n">
        <f aca="false">IF(LEFT(Cockpit!$O$5,1)="A",H83,IF(Parameter!$E$30="MAX-Bestand",IF(CI83=1,CJ83,IF(LEFT(Cockpit!$O$5,1)="B",BG83,MAX(BG83,H83))),ROUNDUP(BE83,0)))</f>
        <v>306</v>
      </c>
      <c r="BB83" s="62" t="n">
        <f aca="false">IF(CA83=1,0,ROUNDUP(BA83/BZ83,0))</f>
        <v>1</v>
      </c>
      <c r="BC83" s="64" t="n">
        <f aca="false">IF(CR83&gt;0,CR83*MAX(1,BA83/X83),IF(CA83=1,IF(BA83&lt;=0,0,CE83*MAX(1,IF(H83&gt;0,BA83/H83,1))),IF(R83&gt;0,BB83/R83,0))/MAX(0.1,N(Parameter!$M$21)))</f>
        <v>0.0192307692307692</v>
      </c>
      <c r="BD83" s="62" t="n">
        <f aca="false">BC83*CC83</f>
        <v>2.98076923076923</v>
      </c>
      <c r="BE83" s="63" t="n">
        <f aca="false">IF(LEFT(Cockpit!$O$5,1)="A",H83,IF(CI83=1,(CL83+CJ83)/2,IF(LEFT(Cockpit!$O$5,1)="B",(CL83+BG83)/2,MAX((CL83+BG83)/2,H83))))</f>
        <v>306</v>
      </c>
      <c r="BF83" s="62" t="n">
        <f aca="false">BE83*G83</f>
        <v>9290.16</v>
      </c>
      <c r="BG83" s="62" t="n">
        <f aca="false">ROUNDUP(CL83+MAX(CM83,2*(J83/IF(CH83&gt;0,CH83,MAX(0.1,N(Cockpit!$O$6)))-CL83)),0)</f>
        <v>506</v>
      </c>
      <c r="BH83" s="63" t="n">
        <f aca="false">IF(BD83&gt;0,J83/BD83,-1)</f>
        <v>386.477419354839</v>
      </c>
      <c r="BI83" s="63" t="n">
        <f aca="false">IF(AND(OR(CG83="L1",CG83="L23",CG83="LIFT"),BD83&gt;0),SUMIFS($BD$7:$BD$1843,$CG$7:$CG$1843,CG83,$BH$7:$BH$1843,"&gt;"&amp;BH83)+SUMIFS($BD$7:$BD$1843,$CG$7:$CG$1843,CG83,$BH$7:$BH$1843,BH83,$BX$7:$BX$1843,"&lt;="&amp;BX83),"")</f>
        <v>206.416666666667</v>
      </c>
      <c r="BJ83" s="70" t="n">
        <f aca="false">IF(BI83="",0,MAX(0,MIN(1,(IF(CG83="L1",Parameter!$H$5,IF(CG83="L23",Parameter!$H$6+Parameter!$H$7,Parameter!$H$5+Parameter!$H$6+Parameter!$H$7))-(BI83-BD83))/BD83)))</f>
        <v>1</v>
      </c>
      <c r="BK83" s="60" t="str">
        <f aca="false">IF(AJ83&lt;=0,"",IF(CG83="Aussen","Aussenlager",IF(CG83="-","Nicht im Lift",IF(AP83&gt;=1,"Lift",IF(AP83&lt;=0,"Aussenlager","teilweise")))))</f>
        <v>Lift</v>
      </c>
      <c r="BL83" s="60" t="str">
        <f aca="false">IF(AT83&lt;=0,"",IF(CG83="Aussen","Aussenlager",IF(CG83="-","Nicht im Lift",IF(AZ83&gt;=1,"Lift",IF(AZ83&lt;=0,"Aussenlager","teilweise")))))</f>
        <v>Lift</v>
      </c>
      <c r="BM83" s="60" t="str">
        <f aca="false">IF(BD83&lt;=0,"",IF(CG83="Aussen","Aussenlager",IF(CG83="-","Nicht im Lift",IF(BJ83&gt;=1,"Lift",IF(BJ83&lt;=0,"Aussenlager","teilweise")))))</f>
        <v>Lift</v>
      </c>
      <c r="BN83" s="60" t="str">
        <f aca="false">IF(A83="","",IF(BW83=1,"Neu; ","")&amp;IF(AND(BW83=0,BR83&lt;0),"negativer Bestand (Export "&amp;BR83&amp;"); ","")&amp;IF(J83&lt;=0,"Kein Verbrauch; ","")&amp;IF(CR83&gt;0,"Lift "&amp;W83&amp;" lt. Liftbericht (Fach "&amp;X83&amp;" Stk); ",IF(CB83=1,"Gebinde geschätzt ("&amp;T83&amp;"); ",IF(CA83=1,"Lose – Tablare geschätzt; ","")))&amp;IF(H83&gt;AW83,"Überbestand "&amp;ROUND(H83-AW83,0)&amp;" Stk / CHF "&amp;ROUND((H83-AW83)*G83,0)&amp;"; ","")&amp;IF(AND(CI83=1,CJ83&lt;CK83),"MAX &lt; MB+LG; ","")&amp;IF(AND(CQ83&gt;0,CP83*10&gt;CQ83),"zu hoch für Tablar; ","")&amp;IF(AND(BW83=0,OR(CI83=1,AB83&lt;&gt;"",U83&lt;&gt;"",V83&lt;&gt;"",AC83&lt;&gt;"")),"manuell übersteuert; ","")&amp;IF(AND(CA83=0,R83=0),"Gebinde unbekannt / Stellmass fehlt; ","")&amp;IF(AND(CA83=0,N(V83)&lt;=0,N(Q83)&lt;=0),"Menge pro Gebinde fehlt (Ist = 1 Gebinde); ","")&amp;BV83)</f>
        <v/>
      </c>
      <c r="BO83" s="60"/>
      <c r="BP83" s="60"/>
      <c r="BQ83" s="67"/>
      <c r="BR83" s="62" t="n">
        <v>94</v>
      </c>
      <c r="BS83" s="62" t="n">
        <v>138</v>
      </c>
      <c r="BT83" s="61" t="n">
        <v>2989.54000000002</v>
      </c>
      <c r="BU83" s="62" t="n">
        <v>1152</v>
      </c>
      <c r="BV83" s="60"/>
      <c r="BW83" s="65" t="n">
        <v>0</v>
      </c>
      <c r="BX83" s="65" t="n">
        <v>83</v>
      </c>
      <c r="BY83" s="60" t="str">
        <f aca="false">IF(U83&lt;&gt;"",UPPER(TRIM(U83)),IF(CB83=1,UPPER(VLOOKUP(T83,Parameter!$I$27:$K$29,2,0)),IF(P83="","LOSE",P83)))</f>
        <v>S41</v>
      </c>
      <c r="BZ83" s="62" t="n">
        <f aca="false">IF(BY83="LOSE",1,IF(N(V83)&gt;0,V83,IF(CB83=1,MAX(1,N(VLOOKUP(T83,Parameter!$I$27:$K$29,3,0)),H83,N(N83)),IF(N(Q83)&gt;0,Q83,MAX(1,H83)))))</f>
        <v>550</v>
      </c>
      <c r="CA83" s="65" t="n">
        <f aca="false">IF(BY83="LOSE",1,0)</f>
        <v>0</v>
      </c>
      <c r="CB83" s="65" t="n">
        <f aca="false">IF(AND(U83="",OR(P83="",P83="LOSE"),T83&lt;&gt;"",N(S83)&lt;=0,ISNUMBER(MATCH(T83,Parameter!$I$27:$I$29,0))),1,0)</f>
        <v>0</v>
      </c>
      <c r="CC83" s="65" t="n">
        <f aca="false">IF(CR83&gt;0,INDEX(Parameter!$H$5:$H$7,W83)/INDEX(Parameter!$E$5:$E$7,W83),IF(AND(CA83=0,N(IFERROR(VLOOKUP(BY83,'Gebinde-Kategorie'!$A$5:$N$45,14,0),0))&gt;0),VLOOKUP(BY83,'Gebinde-Kategorie'!$A$5:$N$45,14,0)*10+Parameter!$M$23,Parameter!$M$24))</f>
        <v>155</v>
      </c>
      <c r="CD83" s="60" t="str">
        <f aca="false">IF(AND(Parameter!$B$19="Ja",E83&lt;&gt;"",ISNUMBER(MATCH(E83,Parameter!$I$35:$I$52,0))),VLOOKUP(E83,Parameter!$I$35:$J$52,2,0),IFERROR(VLOOKUP(D83,Parameter!$A$35:$C$64,2,0),"Nein"))</f>
        <v>2+3</v>
      </c>
      <c r="CE83" s="64" t="n">
        <f aca="false">IF(CA83=0,0,IF(N(S83)&gt;0,S83,IFERROR(VLOOKUP(D83,Parameter!$A$35:$C$64,3,0)+0,0)))</f>
        <v>0</v>
      </c>
      <c r="CF83" s="60" t="n">
        <f aca="false">IF(AB83&lt;&gt;"",AB83,AA83)</f>
        <v>3</v>
      </c>
      <c r="CG83" s="60" t="str">
        <f aca="false">IF(OR(CF83=1,CF83=2,CF83=3),IF(Parameter!$E$27="Ja","LIFT",IF(CF83=1,"L1","L23")),IF(CF83="Aussen","Aussen","-"))</f>
        <v>LIFT</v>
      </c>
      <c r="CH83" s="71" t="n">
        <f aca="false">IF(N(AC83)&gt;0,AC83,0)</f>
        <v>0</v>
      </c>
      <c r="CI83" s="65" t="n">
        <f aca="false">IF(ISNUMBER(AF83),1,0)</f>
        <v>0</v>
      </c>
      <c r="CJ83" s="62" t="n">
        <f aca="false">N(AF83)</f>
        <v>0</v>
      </c>
      <c r="CK83" s="62" t="n">
        <f aca="false">N(M83)+N(N83)</f>
        <v>506</v>
      </c>
      <c r="CL83" s="62" t="n">
        <f aca="false">N(M83)</f>
        <v>106</v>
      </c>
      <c r="CM83" s="62" t="n">
        <f aca="false">N(N83)</f>
        <v>400</v>
      </c>
      <c r="CN83" s="62" t="n">
        <f aca="false">ROUNDUP(H83/BZ83,0)</f>
        <v>1</v>
      </c>
      <c r="CO83" s="62" t="n">
        <f aca="false">ROUNDUP(CJ83/BZ83,0)</f>
        <v>0</v>
      </c>
      <c r="CP83" s="65" t="n">
        <f aca="false">IF(CA83=1,0,IFERROR(VLOOKUP(BY83,'Gebinde-Kategorie'!$A$5:$N$45,5,0)+0,0))</f>
        <v>11</v>
      </c>
      <c r="CQ83" s="65" t="n">
        <f aca="false">IFERROR(IF(OR(CF83=1,CF83=2,CF83=3),N(INDEX(Parameter!$I$5:$I$7,CF83)),0),0)</f>
        <v>0</v>
      </c>
      <c r="CR83" s="64" t="n">
        <f aca="false">IF(AND(Parameter!$B$21="Ja",ISNUMBER(W83),N(X83)&gt;0),IFERROR(N(INDEX(Parameter!$L$5:$L$7,W83))*INDEX(Parameter!$E$5:$E$7,W83)*X83/SUMIFS($X$7:$X$1843,$W$7:$W$1843,W83),0),0)</f>
        <v>0</v>
      </c>
      <c r="CS83" s="62" t="n">
        <f aca="false">IF(AND(OR(CG83="L1",CG83="L23",CG83="LIFT"),H83&gt;0),CC83*IF(CR83&gt;0,CR83*MAX(1,H83/X83),IF(CA83=1,CE83,IF(R83&gt;0,CN83/R83,0))/MAX(0.1,N(Parameter!$M$21))),"")</f>
        <v>2.98076923076923</v>
      </c>
      <c r="CT83" s="64" t="n">
        <f aca="false">IF(CS83="","",J83/H83)</f>
        <v>4.96551724137931</v>
      </c>
      <c r="CU83" s="62" t="n">
        <f aca="false">IF(CS83="","",H83*G83)</f>
        <v>7043.52</v>
      </c>
      <c r="CV83" s="63" t="n">
        <f aca="false">IF(CS83="","",(CL83+ROUNDUP(CL83+MAX(CM83,2*(J83/MAX(0.1,N(Einkauf!$C$6))-CL83)),0))/2)</f>
        <v>306</v>
      </c>
      <c r="CW83" s="62" t="n">
        <f aca="false">IF(CS83="","",MAX(0,H83-CV83)*G83)</f>
        <v>0</v>
      </c>
      <c r="CX83" s="62" t="n">
        <f aca="false">IF(CS83="","",CS83*MAX(0,1-CV83/H83))</f>
        <v>0</v>
      </c>
      <c r="CY83" s="64" t="n">
        <f aca="false">IF(CS83="","",PERCENTRANK($CS$7:$CS$1843,CS83)+PERCENTRANK($CU$7:$CU$1843,CU83)+1-PERCENTRANK($CT$7:$CT$1843,CT83))</f>
        <v>1.189</v>
      </c>
      <c r="CZ83" s="72" t="n">
        <f aca="false">IF(CS83="","",CHOOSE(MATCH(Einkauf!$C$5,Parameter!$G$23:$G$27,0),CY83,CS83,CU83,-CT83,CW83)+ROW()/1000000000)</f>
        <v>1.189000083</v>
      </c>
    </row>
    <row r="84" customFormat="false" ht="15" hidden="false" customHeight="false" outlineLevel="0" collapsed="false">
      <c r="A84" s="60" t="s">
        <v>417</v>
      </c>
      <c r="B84" s="60" t="s">
        <v>418</v>
      </c>
      <c r="C84" s="60" t="s">
        <v>206</v>
      </c>
      <c r="D84" s="60" t="s">
        <v>226</v>
      </c>
      <c r="E84" s="60" t="s">
        <v>227</v>
      </c>
      <c r="F84" s="60" t="s">
        <v>260</v>
      </c>
      <c r="G84" s="61" t="n">
        <v>58.75</v>
      </c>
      <c r="H84" s="62" t="n">
        <f aca="false">MAX(0,IF(AND(Parameter!$B$21="Ja",ISNUMBER(Y84)),Y84,IF(Parameter!$B$20="Jahresanfang 2025 + Export",BS84+BR84,BR84)))</f>
        <v>161</v>
      </c>
      <c r="I84" s="62" t="n">
        <f aca="false">H84*G84</f>
        <v>9458.75</v>
      </c>
      <c r="J84" s="62" t="n">
        <f aca="false">BU84*Parameter!$B$18</f>
        <v>357</v>
      </c>
      <c r="K84" s="63" t="n">
        <v>91</v>
      </c>
      <c r="L84" s="64" t="n">
        <v>3.92307692307692</v>
      </c>
      <c r="M84" s="62" t="n">
        <v>20</v>
      </c>
      <c r="N84" s="62" t="n">
        <v>80</v>
      </c>
      <c r="O84" s="65" t="n">
        <v>21</v>
      </c>
      <c r="P84" s="60" t="s">
        <v>275</v>
      </c>
      <c r="Q84" s="62" t="n">
        <v>109</v>
      </c>
      <c r="R84" s="65" t="n">
        <f aca="false">IF(CA84=1,0,IFERROR(VLOOKUP(BY84,'Gebinde-Kategorie'!$A$5:$N$45,13,0)+0,0))</f>
        <v>26</v>
      </c>
      <c r="S84" s="66"/>
      <c r="T84" s="67"/>
      <c r="U84" s="67"/>
      <c r="V84" s="67"/>
      <c r="W84" s="60"/>
      <c r="X84" s="62"/>
      <c r="Y84" s="62"/>
      <c r="Z84" s="60" t="n">
        <v>3</v>
      </c>
      <c r="AA84" s="60" t="n">
        <f aca="false">IF(A84="","",IF(AND(Parameter!$B$21="Ja",ISNUMBER(W84)),W84,IF(AND(Parameter!$E$27="Ja",ISNUMBER(Z84),CD84&lt;&gt;"Nein"),Z84,IF(CD84="2+3",IF(ISNUMBER(SEARCH("grosser Artikel",BV84)),2,IFERROR(VLOOKUP(BY84,Parameter!$F$35:$G$64,2,0),2)),IF(OR(CD84="Nein",CD84=""),"-",CD84)))))</f>
        <v>3</v>
      </c>
      <c r="AB84" s="67"/>
      <c r="AC84" s="68"/>
      <c r="AD84" s="62" t="n">
        <f aca="false">AW84</f>
        <v>218</v>
      </c>
      <c r="AE84" s="62" t="n">
        <f aca="false">MAX(AW84,H84)</f>
        <v>218</v>
      </c>
      <c r="AF84" s="69"/>
      <c r="AG84" s="62" t="n">
        <f aca="false">IF(LEFT(Cockpit!$C$5,1)="A",H84,IF(Parameter!$E$30="MAX-Bestand",IF(CI84=1,CJ84,IF(LEFT(Cockpit!$C$5,1)="B",AM84,MAX(AM84,H84))),ROUNDUP(AK84,0)))</f>
        <v>161</v>
      </c>
      <c r="AH84" s="62" t="n">
        <f aca="false">IF(CA84=1,0,ROUNDUP(AG84/BZ84,0))</f>
        <v>2</v>
      </c>
      <c r="AI84" s="64" t="n">
        <f aca="false">IF(CR84&gt;0,CR84*MAX(1,AG84/X84),IF(CA84=1,IF(AG84&lt;=0,0,CE84*MAX(1,IF(H84&gt;0,AG84/H84,1))),IF(R84&gt;0,AH84/R84,0))/MAX(0.1,N(Parameter!$M$21)))</f>
        <v>0.0769230769230769</v>
      </c>
      <c r="AJ84" s="62" t="n">
        <f aca="false">AI84*CC84</f>
        <v>18.8461538461538</v>
      </c>
      <c r="AK84" s="63" t="n">
        <f aca="false">IF(LEFT(Cockpit!$C$5,1)="A",H84,IF(CI84=1,(CL84+CJ84)/2,IF(LEFT(Cockpit!$C$5,1)="B",(CL84+AM84)/2,MAX((CL84+AM84)/2,H84))))</f>
        <v>161</v>
      </c>
      <c r="AL84" s="62" t="n">
        <f aca="false">AK84*G84</f>
        <v>9458.75</v>
      </c>
      <c r="AM84" s="62" t="n">
        <f aca="false">ROUNDUP(CL84+MAX(CM84,2*(J84/IF(CH84&gt;0,CH84,MAX(0.1,N(Cockpit!$C$6)))-CL84)),0)</f>
        <v>218</v>
      </c>
      <c r="AN84" s="63" t="n">
        <f aca="false">IF(AJ84&gt;0,J84/AJ84,-1)</f>
        <v>18.9428571428571</v>
      </c>
      <c r="AO84" s="63" t="n">
        <f aca="false">IF(AND(OR(CG84="L1",CG84="L23",CG84="LIFT"),AJ84&gt;0),SUMIFS($AJ$7:$AJ$1843,$CG$7:$CG$1843,CG84,$AN$7:$AN$1843,"&gt;"&amp;AN84)+SUMIFS($AJ$7:$AJ$1843,$CG$7:$CG$1843,CG84,$AN$7:$AN$1843,AN84,$BX$7:$BX$1843,"&lt;="&amp;BX84),"")</f>
        <v>1766.35073260073</v>
      </c>
      <c r="AP84" s="70" t="n">
        <f aca="false">IF(AO84="",0,MAX(0,MIN(1,(IF(CG84="L1",Parameter!$H$5,IF(CG84="L23",Parameter!$H$6+Parameter!$H$7,Parameter!$H$5+Parameter!$H$6+Parameter!$H$7))-(AO84-AJ84))/AJ84)))</f>
        <v>1</v>
      </c>
      <c r="AQ84" s="62" t="n">
        <f aca="false">IF(LEFT(Cockpit!$I$5,1)="A",H84,IF(Parameter!$E$30="MAX-Bestand",IF(CI84=1,CJ84,IF(LEFT(Cockpit!$I$5,1)="B",AW84,MAX(AW84,H84))),ROUNDUP(AU84,0)))</f>
        <v>161</v>
      </c>
      <c r="AR84" s="62" t="n">
        <f aca="false">IF(CA84=1,0,ROUNDUP(AQ84/BZ84,0))</f>
        <v>2</v>
      </c>
      <c r="AS84" s="64" t="n">
        <f aca="false">IF(CR84&gt;0,CR84*MAX(1,AQ84/X84),IF(CA84=1,IF(AQ84&lt;=0,0,CE84*MAX(1,IF(H84&gt;0,AQ84/H84,1))),IF(R84&gt;0,AR84/R84,0))/MAX(0.1,N(Parameter!$M$21)))</f>
        <v>0.0769230769230769</v>
      </c>
      <c r="AT84" s="62" t="n">
        <f aca="false">AS84*CC84</f>
        <v>18.8461538461538</v>
      </c>
      <c r="AU84" s="63" t="n">
        <f aca="false">IF(LEFT(Cockpit!$I$5,1)="A",H84,IF(CI84=1,(CL84+CJ84)/2,IF(LEFT(Cockpit!$I$5,1)="B",(CL84+AW84)/2,MAX((CL84+AW84)/2,H84))))</f>
        <v>161</v>
      </c>
      <c r="AV84" s="62" t="n">
        <f aca="false">AU84*G84</f>
        <v>9458.75</v>
      </c>
      <c r="AW84" s="62" t="n">
        <f aca="false">ROUNDUP(CL84+MAX(CM84,2*(J84/IF(CH84&gt;0,CH84,MAX(0.1,N(Cockpit!$I$6)))-CL84)),0)</f>
        <v>218</v>
      </c>
      <c r="AX84" s="63" t="n">
        <f aca="false">IF(AT84&gt;0,J84/AT84,-1)</f>
        <v>18.9428571428571</v>
      </c>
      <c r="AY84" s="63" t="n">
        <f aca="false">IF(AND(OR(CG84="L1",CG84="L23",CG84="LIFT"),AT84&gt;0),SUMIFS($AT$7:$AT$1843,$CG$7:$CG$1843,CG84,$AX$7:$AX$1843,"&gt;"&amp;AX84)+SUMIFS($AT$7:$AT$1843,$CG$7:$CG$1843,CG84,$AX$7:$AX$1843,AX84,$BX$7:$BX$1843,"&lt;="&amp;BX84),"")</f>
        <v>2403.47161172161</v>
      </c>
      <c r="AZ84" s="70" t="n">
        <f aca="false">IF(AY84="",0,MAX(0,MIN(1,(IF(CG84="L1",Parameter!$H$5,IF(CG84="L23",Parameter!$H$6+Parameter!$H$7,Parameter!$H$5+Parameter!$H$6+Parameter!$H$7))-(AY84-AT84))/AT84)))</f>
        <v>1</v>
      </c>
      <c r="BA84" s="62" t="n">
        <f aca="false">IF(LEFT(Cockpit!$O$5,1)="A",H84,IF(Parameter!$E$30="MAX-Bestand",IF(CI84=1,CJ84,IF(LEFT(Cockpit!$O$5,1)="B",BG84,MAX(BG84,H84))),ROUNDUP(BE84,0)))</f>
        <v>90</v>
      </c>
      <c r="BB84" s="62" t="n">
        <f aca="false">IF(CA84=1,0,ROUNDUP(BA84/BZ84,0))</f>
        <v>1</v>
      </c>
      <c r="BC84" s="64" t="n">
        <f aca="false">IF(CR84&gt;0,CR84*MAX(1,BA84/X84),IF(CA84=1,IF(BA84&lt;=0,0,CE84*MAX(1,IF(H84&gt;0,BA84/H84,1))),IF(R84&gt;0,BB84/R84,0))/MAX(0.1,N(Parameter!$M$21)))</f>
        <v>0.0384615384615385</v>
      </c>
      <c r="BD84" s="62" t="n">
        <f aca="false">BC84*CC84</f>
        <v>9.42307692307692</v>
      </c>
      <c r="BE84" s="63" t="n">
        <f aca="false">IF(LEFT(Cockpit!$O$5,1)="A",H84,IF(CI84=1,(CL84+CJ84)/2,IF(LEFT(Cockpit!$O$5,1)="B",(CL84+BG84)/2,MAX((CL84+BG84)/2,H84))))</f>
        <v>89.5</v>
      </c>
      <c r="BF84" s="62" t="n">
        <f aca="false">BE84*G84</f>
        <v>5258.125</v>
      </c>
      <c r="BG84" s="62" t="n">
        <f aca="false">ROUNDUP(CL84+MAX(CM84,2*(J84/IF(CH84&gt;0,CH84,MAX(0.1,N(Cockpit!$O$6)))-CL84)),0)</f>
        <v>159</v>
      </c>
      <c r="BH84" s="63" t="n">
        <f aca="false">IF(BD84&gt;0,J84/BD84,-1)</f>
        <v>37.8857142857143</v>
      </c>
      <c r="BI84" s="63" t="n">
        <f aca="false">IF(AND(OR(CG84="L1",CG84="L23",CG84="LIFT"),BD84&gt;0),SUMIFS($BD$7:$BD$1843,$CG$7:$CG$1843,CG84,$BH$7:$BH$1843,"&gt;"&amp;BH84)+SUMIFS($BD$7:$BD$1843,$CG$7:$CG$1843,CG84,$BH$7:$BH$1843,BH84,$BX$7:$BX$1843,"&lt;="&amp;BX84),"")</f>
        <v>1501.92353479853</v>
      </c>
      <c r="BJ84" s="70" t="n">
        <f aca="false">IF(BI84="",0,MAX(0,MIN(1,(IF(CG84="L1",Parameter!$H$5,IF(CG84="L23",Parameter!$H$6+Parameter!$H$7,Parameter!$H$5+Parameter!$H$6+Parameter!$H$7))-(BI84-BD84))/BD84)))</f>
        <v>1</v>
      </c>
      <c r="BK84" s="60" t="str">
        <f aca="false">IF(AJ84&lt;=0,"",IF(CG84="Aussen","Aussenlager",IF(CG84="-","Nicht im Lift",IF(AP84&gt;=1,"Lift",IF(AP84&lt;=0,"Aussenlager","teilweise")))))</f>
        <v>Lift</v>
      </c>
      <c r="BL84" s="60" t="str">
        <f aca="false">IF(AT84&lt;=0,"",IF(CG84="Aussen","Aussenlager",IF(CG84="-","Nicht im Lift",IF(AZ84&gt;=1,"Lift",IF(AZ84&lt;=0,"Aussenlager","teilweise")))))</f>
        <v>Lift</v>
      </c>
      <c r="BM84" s="60" t="str">
        <f aca="false">IF(BD84&lt;=0,"",IF(CG84="Aussen","Aussenlager",IF(CG84="-","Nicht im Lift",IF(BJ84&gt;=1,"Lift",IF(BJ84&lt;=0,"Aussenlager","teilweise")))))</f>
        <v>Lift</v>
      </c>
      <c r="BN84" s="60" t="str">
        <f aca="false">IF(A84="","",IF(BW84=1,"Neu; ","")&amp;IF(AND(BW84=0,BR84&lt;0),"negativer Bestand (Export "&amp;BR84&amp;"); ","")&amp;IF(J84&lt;=0,"Kein Verbrauch; ","")&amp;IF(CR84&gt;0,"Lift "&amp;W84&amp;" lt. Liftbericht (Fach "&amp;X84&amp;" Stk); ",IF(CB84=1,"Gebinde geschätzt ("&amp;T84&amp;"); ",IF(CA84=1,"Lose – Tablare geschätzt; ","")))&amp;IF(H84&gt;AW84,"Überbestand "&amp;ROUND(H84-AW84,0)&amp;" Stk / CHF "&amp;ROUND((H84-AW84)*G84,0)&amp;"; ","")&amp;IF(AND(CI84=1,CJ84&lt;CK84),"MAX &lt; MB+LG; ","")&amp;IF(AND(CQ84&gt;0,CP84*10&gt;CQ84),"zu hoch für Tablar; ","")&amp;IF(AND(BW84=0,OR(CI84=1,AB84&lt;&gt;"",U84&lt;&gt;"",V84&lt;&gt;"",AC84&lt;&gt;"")),"manuell übersteuert; ","")&amp;IF(AND(CA84=0,R84=0),"Gebinde unbekannt / Stellmass fehlt; ","")&amp;IF(AND(CA84=0,N(V84)&lt;=0,N(Q84)&lt;=0),"Menge pro Gebinde fehlt (Ist = 1 Gebinde); ","")&amp;BV84)</f>
        <v/>
      </c>
      <c r="BO84" s="60"/>
      <c r="BP84" s="60"/>
      <c r="BQ84" s="67"/>
      <c r="BR84" s="62" t="n">
        <v>50</v>
      </c>
      <c r="BS84" s="62" t="n">
        <v>111</v>
      </c>
      <c r="BT84" s="61" t="n">
        <v>2976.35</v>
      </c>
      <c r="BU84" s="62" t="n">
        <v>357</v>
      </c>
      <c r="BV84" s="60"/>
      <c r="BW84" s="65" t="n">
        <v>0</v>
      </c>
      <c r="BX84" s="65" t="n">
        <v>84</v>
      </c>
      <c r="BY84" s="60" t="str">
        <f aca="false">IF(U84&lt;&gt;"",UPPER(TRIM(U84)),IF(CB84=1,UPPER(VLOOKUP(T84,Parameter!$I$27:$K$29,2,0)),IF(P84="","LOSE",P84)))</f>
        <v>S52</v>
      </c>
      <c r="BZ84" s="62" t="n">
        <f aca="false">IF(BY84="LOSE",1,IF(N(V84)&gt;0,V84,IF(CB84=1,MAX(1,N(VLOOKUP(T84,Parameter!$I$27:$K$29,3,0)),H84,N(N84)),IF(N(Q84)&gt;0,Q84,MAX(1,H84)))))</f>
        <v>109</v>
      </c>
      <c r="CA84" s="65" t="n">
        <f aca="false">IF(BY84="LOSE",1,0)</f>
        <v>0</v>
      </c>
      <c r="CB84" s="65" t="n">
        <f aca="false">IF(AND(U84="",OR(P84="",P84="LOSE"),T84&lt;&gt;"",N(S84)&lt;=0,ISNUMBER(MATCH(T84,Parameter!$I$27:$I$29,0))),1,0)</f>
        <v>0</v>
      </c>
      <c r="CC84" s="65" t="n">
        <f aca="false">IF(CR84&gt;0,INDEX(Parameter!$H$5:$H$7,W84)/INDEX(Parameter!$E$5:$E$7,W84),IF(AND(CA84=0,N(IFERROR(VLOOKUP(BY84,'Gebinde-Kategorie'!$A$5:$N$45,14,0),0))&gt;0),VLOOKUP(BY84,'Gebinde-Kategorie'!$A$5:$N$45,14,0)*10+Parameter!$M$23,Parameter!$M$24))</f>
        <v>245</v>
      </c>
      <c r="CD84" s="60" t="str">
        <f aca="false">IF(AND(Parameter!$B$19="Ja",E84&lt;&gt;"",ISNUMBER(MATCH(E84,Parameter!$I$35:$I$52,0))),VLOOKUP(E84,Parameter!$I$35:$J$52,2,0),IFERROR(VLOOKUP(D84,Parameter!$A$35:$C$64,2,0),"Nein"))</f>
        <v>2+3</v>
      </c>
      <c r="CE84" s="64" t="n">
        <f aca="false">IF(CA84=0,0,IF(N(S84)&gt;0,S84,IFERROR(VLOOKUP(D84,Parameter!$A$35:$C$64,3,0)+0,0)))</f>
        <v>0</v>
      </c>
      <c r="CF84" s="60" t="n">
        <f aca="false">IF(AB84&lt;&gt;"",AB84,AA84)</f>
        <v>3</v>
      </c>
      <c r="CG84" s="60" t="str">
        <f aca="false">IF(OR(CF84=1,CF84=2,CF84=3),IF(Parameter!$E$27="Ja","LIFT",IF(CF84=1,"L1","L23")),IF(CF84="Aussen","Aussen","-"))</f>
        <v>LIFT</v>
      </c>
      <c r="CH84" s="71" t="n">
        <f aca="false">IF(N(AC84)&gt;0,AC84,0)</f>
        <v>0</v>
      </c>
      <c r="CI84" s="65" t="n">
        <f aca="false">IF(ISNUMBER(AF84),1,0)</f>
        <v>0</v>
      </c>
      <c r="CJ84" s="62" t="n">
        <f aca="false">N(AF84)</f>
        <v>0</v>
      </c>
      <c r="CK84" s="62" t="n">
        <f aca="false">N(M84)+N(N84)</f>
        <v>100</v>
      </c>
      <c r="CL84" s="62" t="n">
        <f aca="false">N(M84)</f>
        <v>20</v>
      </c>
      <c r="CM84" s="62" t="n">
        <f aca="false">N(N84)</f>
        <v>80</v>
      </c>
      <c r="CN84" s="62" t="n">
        <f aca="false">ROUNDUP(H84/BZ84,0)</f>
        <v>2</v>
      </c>
      <c r="CO84" s="62" t="n">
        <f aca="false">ROUNDUP(CJ84/BZ84,0)</f>
        <v>0</v>
      </c>
      <c r="CP84" s="65" t="n">
        <f aca="false">IF(CA84=1,0,IFERROR(VLOOKUP(BY84,'Gebinde-Kategorie'!$A$5:$N$45,5,0)+0,0))</f>
        <v>21</v>
      </c>
      <c r="CQ84" s="65" t="n">
        <f aca="false">IFERROR(IF(OR(CF84=1,CF84=2,CF84=3),N(INDEX(Parameter!$I$5:$I$7,CF84)),0),0)</f>
        <v>0</v>
      </c>
      <c r="CR84" s="64" t="n">
        <f aca="false">IF(AND(Parameter!$B$21="Ja",ISNUMBER(W84),N(X84)&gt;0),IFERROR(N(INDEX(Parameter!$L$5:$L$7,W84))*INDEX(Parameter!$E$5:$E$7,W84)*X84/SUMIFS($X$7:$X$1843,$W$7:$W$1843,W84),0),0)</f>
        <v>0</v>
      </c>
      <c r="CS84" s="62" t="n">
        <f aca="false">IF(AND(OR(CG84="L1",CG84="L23",CG84="LIFT"),H84&gt;0),CC84*IF(CR84&gt;0,CR84*MAX(1,H84/X84),IF(CA84=1,CE84,IF(R84&gt;0,CN84/R84,0))/MAX(0.1,N(Parameter!$M$21))),"")</f>
        <v>18.8461538461538</v>
      </c>
      <c r="CT84" s="64" t="n">
        <f aca="false">IF(CS84="","",J84/H84)</f>
        <v>2.21739130434783</v>
      </c>
      <c r="CU84" s="62" t="n">
        <f aca="false">IF(CS84="","",H84*G84)</f>
        <v>9458.75</v>
      </c>
      <c r="CV84" s="63" t="n">
        <f aca="false">IF(CS84="","",(CL84+ROUNDUP(CL84+MAX(CM84,2*(J84/MAX(0.1,N(Einkauf!$C$6))-CL84)),0))/2)</f>
        <v>89.5</v>
      </c>
      <c r="CW84" s="62" t="n">
        <f aca="false">IF(CS84="","",MAX(0,H84-CV84)*G84)</f>
        <v>4200.625</v>
      </c>
      <c r="CX84" s="62" t="n">
        <f aca="false">IF(CS84="","",CS84*MAX(0,1-CV84/H84))</f>
        <v>8.36956521739131</v>
      </c>
      <c r="CY84" s="64" t="n">
        <f aca="false">IF(CS84="","",PERCENTRANK($CS$7:$CS$1843,CS84)+PERCENTRANK($CU$7:$CU$1843,CU84)+1-PERCENTRANK($CT$7:$CT$1843,CT84))</f>
        <v>1.887</v>
      </c>
      <c r="CZ84" s="72" t="n">
        <f aca="false">IF(CS84="","",CHOOSE(MATCH(Einkauf!$C$5,Parameter!$G$23:$G$27,0),CY84,CS84,CU84,-CT84,CW84)+ROW()/1000000000)</f>
        <v>1.887000084</v>
      </c>
    </row>
    <row r="85" customFormat="false" ht="15" hidden="false" customHeight="false" outlineLevel="0" collapsed="false">
      <c r="A85" s="60" t="s">
        <v>419</v>
      </c>
      <c r="B85" s="60" t="s">
        <v>323</v>
      </c>
      <c r="C85" s="60" t="s">
        <v>206</v>
      </c>
      <c r="D85" s="60" t="s">
        <v>215</v>
      </c>
      <c r="E85" s="60" t="s">
        <v>227</v>
      </c>
      <c r="F85" s="60" t="s">
        <v>260</v>
      </c>
      <c r="G85" s="61" t="n">
        <v>249.96</v>
      </c>
      <c r="H85" s="62" t="n">
        <f aca="false">MAX(0,IF(AND(Parameter!$B$21="Ja",ISNUMBER(Y85)),Y85,IF(Parameter!$B$20="Jahresanfang 2025 + Export",BS85+BR85,BR85)))</f>
        <v>29</v>
      </c>
      <c r="I85" s="62" t="n">
        <f aca="false">H85*G85</f>
        <v>7248.84</v>
      </c>
      <c r="J85" s="62" t="n">
        <f aca="false">BU85*Parameter!$B$18</f>
        <v>62</v>
      </c>
      <c r="K85" s="63" t="n">
        <v>22.5</v>
      </c>
      <c r="L85" s="64" t="n">
        <v>2.75555555555556</v>
      </c>
      <c r="M85" s="62" t="n">
        <v>4</v>
      </c>
      <c r="N85" s="62" t="n">
        <v>20</v>
      </c>
      <c r="O85" s="65" t="n">
        <v>21</v>
      </c>
      <c r="P85" s="60" t="s">
        <v>301</v>
      </c>
      <c r="Q85" s="62" t="n">
        <v>31</v>
      </c>
      <c r="R85" s="65" t="n">
        <f aca="false">IF(CA85=1,0,IFERROR(VLOOKUP(BY85,'Gebinde-Kategorie'!$A$5:$N$45,13,0)+0,0))</f>
        <v>6</v>
      </c>
      <c r="S85" s="66"/>
      <c r="T85" s="67"/>
      <c r="U85" s="67"/>
      <c r="V85" s="67"/>
      <c r="W85" s="60"/>
      <c r="X85" s="62"/>
      <c r="Y85" s="62"/>
      <c r="Z85" s="60" t="n">
        <v>2</v>
      </c>
      <c r="AA85" s="60" t="n">
        <f aca="false">IF(A85="","",IF(AND(Parameter!$B$21="Ja",ISNUMBER(W85)),W85,IF(AND(Parameter!$E$27="Ja",ISNUMBER(Z85),CD85&lt;&gt;"Nein"),Z85,IF(CD85="2+3",IF(ISNUMBER(SEARCH("grosser Artikel",BV85)),2,IFERROR(VLOOKUP(BY85,Parameter!$F$35:$G$64,2,0),2)),IF(OR(CD85="Nein",CD85=""),"-",CD85)))))</f>
        <v>2</v>
      </c>
      <c r="AB85" s="67"/>
      <c r="AC85" s="68"/>
      <c r="AD85" s="62" t="n">
        <f aca="false">AW85</f>
        <v>38</v>
      </c>
      <c r="AE85" s="62" t="n">
        <f aca="false">MAX(AW85,H85)</f>
        <v>38</v>
      </c>
      <c r="AF85" s="69"/>
      <c r="AG85" s="62" t="n">
        <f aca="false">IF(LEFT(Cockpit!$C$5,1)="A",H85,IF(Parameter!$E$30="MAX-Bestand",IF(CI85=1,CJ85,IF(LEFT(Cockpit!$C$5,1)="B",AM85,MAX(AM85,H85))),ROUNDUP(AK85,0)))</f>
        <v>29</v>
      </c>
      <c r="AH85" s="62" t="n">
        <f aca="false">IF(CA85=1,0,ROUNDUP(AG85/BZ85,0))</f>
        <v>1</v>
      </c>
      <c r="AI85" s="64" t="n">
        <f aca="false">IF(CR85&gt;0,CR85*MAX(1,AG85/X85),IF(CA85=1,IF(AG85&lt;=0,0,CE85*MAX(1,IF(H85&gt;0,AG85/H85,1))),IF(R85&gt;0,AH85/R85,0))/MAX(0.1,N(Parameter!$M$21)))</f>
        <v>0.166666666666667</v>
      </c>
      <c r="AJ85" s="62" t="n">
        <f aca="false">AI85*CC85</f>
        <v>72.5</v>
      </c>
      <c r="AK85" s="63" t="n">
        <f aca="false">IF(LEFT(Cockpit!$C$5,1)="A",H85,IF(CI85=1,(CL85+CJ85)/2,IF(LEFT(Cockpit!$C$5,1)="B",(CL85+AM85)/2,MAX((CL85+AM85)/2,H85))))</f>
        <v>29</v>
      </c>
      <c r="AL85" s="62" t="n">
        <f aca="false">AK85*G85</f>
        <v>7248.84</v>
      </c>
      <c r="AM85" s="62" t="n">
        <f aca="false">ROUNDUP(CL85+MAX(CM85,2*(J85/IF(CH85&gt;0,CH85,MAX(0.1,N(Cockpit!$C$6)))-CL85)),0)</f>
        <v>38</v>
      </c>
      <c r="AN85" s="63" t="n">
        <f aca="false">IF(AJ85&gt;0,J85/AJ85,-1)</f>
        <v>0.855172413793104</v>
      </c>
      <c r="AO85" s="63" t="n">
        <f aca="false">IF(AND(OR(CG85="L1",CG85="L23",CG85="LIFT"),AJ85&gt;0),SUMIFS($AJ$7:$AJ$1843,$CG$7:$CG$1843,CG85,$AN$7:$AN$1843,"&gt;"&amp;AN85)+SUMIFS($AJ$7:$AJ$1843,$CG$7:$CG$1843,CG85,$AN$7:$AN$1843,AN85,$BX$7:$BX$1843,"&lt;="&amp;BX85),"")</f>
        <v>7805.34294871795</v>
      </c>
      <c r="AP85" s="70" t="n">
        <f aca="false">IF(AO85="",0,MAX(0,MIN(1,(IF(CG85="L1",Parameter!$H$5,IF(CG85="L23",Parameter!$H$6+Parameter!$H$7,Parameter!$H$5+Parameter!$H$6+Parameter!$H$7))-(AO85-AJ85))/AJ85)))</f>
        <v>1</v>
      </c>
      <c r="AQ85" s="62" t="n">
        <f aca="false">IF(LEFT(Cockpit!$I$5,1)="A",H85,IF(Parameter!$E$30="MAX-Bestand",IF(CI85=1,CJ85,IF(LEFT(Cockpit!$I$5,1)="B",AW85,MAX(AW85,H85))),ROUNDUP(AU85,0)))</f>
        <v>29</v>
      </c>
      <c r="AR85" s="62" t="n">
        <f aca="false">IF(CA85=1,0,ROUNDUP(AQ85/BZ85,0))</f>
        <v>1</v>
      </c>
      <c r="AS85" s="64" t="n">
        <f aca="false">IF(CR85&gt;0,CR85*MAX(1,AQ85/X85),IF(CA85=1,IF(AQ85&lt;=0,0,CE85*MAX(1,IF(H85&gt;0,AQ85/H85,1))),IF(R85&gt;0,AR85/R85,0))/MAX(0.1,N(Parameter!$M$21)))</f>
        <v>0.166666666666667</v>
      </c>
      <c r="AT85" s="62" t="n">
        <f aca="false">AS85*CC85</f>
        <v>72.5</v>
      </c>
      <c r="AU85" s="63" t="n">
        <f aca="false">IF(LEFT(Cockpit!$I$5,1)="A",H85,IF(CI85=1,(CL85+CJ85)/2,IF(LEFT(Cockpit!$I$5,1)="B",(CL85+AW85)/2,MAX((CL85+AW85)/2,H85))))</f>
        <v>29</v>
      </c>
      <c r="AV85" s="62" t="n">
        <f aca="false">AU85*G85</f>
        <v>7248.84</v>
      </c>
      <c r="AW85" s="62" t="n">
        <f aca="false">ROUNDUP(CL85+MAX(CM85,2*(J85/IF(CH85&gt;0,CH85,MAX(0.1,N(Cockpit!$I$6)))-CL85)),0)</f>
        <v>38</v>
      </c>
      <c r="AX85" s="63" t="n">
        <f aca="false">IF(AT85&gt;0,J85/AT85,-1)</f>
        <v>0.855172413793104</v>
      </c>
      <c r="AY85" s="63" t="n">
        <f aca="false">IF(AND(OR(CG85="L1",CG85="L23",CG85="LIFT"),AT85&gt;0),SUMIFS($AT$7:$AT$1843,$CG$7:$CG$1843,CG85,$AX$7:$AX$1843,"&gt;"&amp;AX85)+SUMIFS($AT$7:$AT$1843,$CG$7:$CG$1843,CG85,$AX$7:$AX$1843,AX85,$BX$7:$BX$1843,"&lt;="&amp;BX85),"")</f>
        <v>9518.53296703297</v>
      </c>
      <c r="AZ85" s="70" t="n">
        <f aca="false">IF(AY85="",0,MAX(0,MIN(1,(IF(CG85="L1",Parameter!$H$5,IF(CG85="L23",Parameter!$H$6+Parameter!$H$7,Parameter!$H$5+Parameter!$H$6+Parameter!$H$7))-(AY85-AT85))/AT85)))</f>
        <v>1</v>
      </c>
      <c r="BA85" s="62" t="n">
        <f aca="false">IF(LEFT(Cockpit!$O$5,1)="A",H85,IF(Parameter!$E$30="MAX-Bestand",IF(CI85=1,CJ85,IF(LEFT(Cockpit!$O$5,1)="B",BG85,MAX(BG85,H85))),ROUNDUP(BE85,0)))</f>
        <v>16</v>
      </c>
      <c r="BB85" s="62" t="n">
        <f aca="false">IF(CA85=1,0,ROUNDUP(BA85/BZ85,0))</f>
        <v>1</v>
      </c>
      <c r="BC85" s="64" t="n">
        <f aca="false">IF(CR85&gt;0,CR85*MAX(1,BA85/X85),IF(CA85=1,IF(BA85&lt;=0,0,CE85*MAX(1,IF(H85&gt;0,BA85/H85,1))),IF(R85&gt;0,BB85/R85,0))/MAX(0.1,N(Parameter!$M$21)))</f>
        <v>0.166666666666667</v>
      </c>
      <c r="BD85" s="62" t="n">
        <f aca="false">BC85*CC85</f>
        <v>72.5</v>
      </c>
      <c r="BE85" s="63" t="n">
        <f aca="false">IF(LEFT(Cockpit!$O$5,1)="A",H85,IF(CI85=1,(CL85+CJ85)/2,IF(LEFT(Cockpit!$O$5,1)="B",(CL85+BG85)/2,MAX((CL85+BG85)/2,H85))))</f>
        <v>15.5</v>
      </c>
      <c r="BF85" s="62" t="n">
        <f aca="false">BE85*G85</f>
        <v>3874.38</v>
      </c>
      <c r="BG85" s="62" t="n">
        <f aca="false">ROUNDUP(CL85+MAX(CM85,2*(J85/IF(CH85&gt;0,CH85,MAX(0.1,N(Cockpit!$O$6)))-CL85)),0)</f>
        <v>27</v>
      </c>
      <c r="BH85" s="63" t="n">
        <f aca="false">IF(BD85&gt;0,J85/BD85,-1)</f>
        <v>0.855172413793104</v>
      </c>
      <c r="BI85" s="63" t="n">
        <f aca="false">IF(AND(OR(CG85="L1",CG85="L23",CG85="LIFT"),BD85&gt;0),SUMIFS($BD$7:$BD$1843,$CG$7:$CG$1843,CG85,$BH$7:$BH$1843,"&gt;"&amp;BH85)+SUMIFS($BD$7:$BD$1843,$CG$7:$CG$1843,CG85,$BH$7:$BH$1843,BH85,$BX$7:$BX$1843,"&lt;="&amp;BX85),"")</f>
        <v>8540.66712454212</v>
      </c>
      <c r="BJ85" s="70" t="n">
        <f aca="false">IF(BI85="",0,MAX(0,MIN(1,(IF(CG85="L1",Parameter!$H$5,IF(CG85="L23",Parameter!$H$6+Parameter!$H$7,Parameter!$H$5+Parameter!$H$6+Parameter!$H$7))-(BI85-BD85))/BD85)))</f>
        <v>1</v>
      </c>
      <c r="BK85" s="60" t="str">
        <f aca="false">IF(AJ85&lt;=0,"",IF(CG85="Aussen","Aussenlager",IF(CG85="-","Nicht im Lift",IF(AP85&gt;=1,"Lift",IF(AP85&lt;=0,"Aussenlager","teilweise")))))</f>
        <v>Lift</v>
      </c>
      <c r="BL85" s="60" t="str">
        <f aca="false">IF(AT85&lt;=0,"",IF(CG85="Aussen","Aussenlager",IF(CG85="-","Nicht im Lift",IF(AZ85&gt;=1,"Lift",IF(AZ85&lt;=0,"Aussenlager","teilweise")))))</f>
        <v>Lift</v>
      </c>
      <c r="BM85" s="60" t="str">
        <f aca="false">IF(BD85&lt;=0,"",IF(CG85="Aussen","Aussenlager",IF(CG85="-","Nicht im Lift",IF(BJ85&gt;=1,"Lift",IF(BJ85&lt;=0,"Aussenlager","teilweise")))))</f>
        <v>Lift</v>
      </c>
      <c r="BN85" s="60" t="str">
        <f aca="false">IF(A85="","",IF(BW85=1,"Neu; ","")&amp;IF(AND(BW85=0,BR85&lt;0),"negativer Bestand (Export "&amp;BR85&amp;"); ","")&amp;IF(J85&lt;=0,"Kein Verbrauch; ","")&amp;IF(CR85&gt;0,"Lift "&amp;W85&amp;" lt. Liftbericht (Fach "&amp;X85&amp;" Stk); ",IF(CB85=1,"Gebinde geschätzt ("&amp;T85&amp;"); ",IF(CA85=1,"Lose – Tablare geschätzt; ","")))&amp;IF(H85&gt;AW85,"Überbestand "&amp;ROUND(H85-AW85,0)&amp;" Stk / CHF "&amp;ROUND((H85-AW85)*G85,0)&amp;"; ","")&amp;IF(AND(CI85=1,CJ85&lt;CK85),"MAX &lt; MB+LG; ","")&amp;IF(AND(CQ85&gt;0,CP85*10&gt;CQ85),"zu hoch für Tablar; ","")&amp;IF(AND(BW85=0,OR(CI85=1,AB85&lt;&gt;"",U85&lt;&gt;"",V85&lt;&gt;"",AC85&lt;&gt;"")),"manuell übersteuert; ","")&amp;IF(AND(CA85=0,R85=0),"Gebinde unbekannt / Stellmass fehlt; ","")&amp;IF(AND(CA85=0,N(V85)&lt;=0,N(Q85)&lt;=0),"Menge pro Gebinde fehlt (Ist = 1 Gebinde); ","")&amp;BV85)</f>
        <v>grosser Artikel &amp; nicht im KTL</v>
      </c>
      <c r="BO85" s="60"/>
      <c r="BP85" s="60"/>
      <c r="BQ85" s="67"/>
      <c r="BR85" s="62" t="n">
        <v>15</v>
      </c>
      <c r="BS85" s="62" t="n">
        <v>14</v>
      </c>
      <c r="BT85" s="61" t="n">
        <v>2968.34</v>
      </c>
      <c r="BU85" s="62" t="n">
        <v>62</v>
      </c>
      <c r="BV85" s="60" t="s">
        <v>303</v>
      </c>
      <c r="BW85" s="65" t="n">
        <v>0</v>
      </c>
      <c r="BX85" s="65" t="n">
        <v>85</v>
      </c>
      <c r="BY85" s="60" t="str">
        <f aca="false">IF(U85&lt;&gt;"",UPPER(TRIM(U85)),IF(CB85=1,UPPER(VLOOKUP(T85,Parameter!$I$27:$K$29,2,0)),IF(P85="","LOSE",P85)))</f>
        <v>S72</v>
      </c>
      <c r="BZ85" s="62" t="n">
        <f aca="false">IF(BY85="LOSE",1,IF(N(V85)&gt;0,V85,IF(CB85=1,MAX(1,N(VLOOKUP(T85,Parameter!$I$27:$K$29,3,0)),H85,N(N85)),IF(N(Q85)&gt;0,Q85,MAX(1,H85)))))</f>
        <v>31</v>
      </c>
      <c r="CA85" s="65" t="n">
        <f aca="false">IF(BY85="LOSE",1,0)</f>
        <v>0</v>
      </c>
      <c r="CB85" s="65" t="n">
        <f aca="false">IF(AND(U85="",OR(P85="",P85="LOSE"),T85&lt;&gt;"",N(S85)&lt;=0,ISNUMBER(MATCH(T85,Parameter!$I$27:$I$29,0))),1,0)</f>
        <v>0</v>
      </c>
      <c r="CC85" s="65" t="n">
        <f aca="false">IF(CR85&gt;0,INDEX(Parameter!$H$5:$H$7,W85)/INDEX(Parameter!$E$5:$E$7,W85),IF(AND(CA85=0,N(IFERROR(VLOOKUP(BY85,'Gebinde-Kategorie'!$A$5:$N$45,14,0),0))&gt;0),VLOOKUP(BY85,'Gebinde-Kategorie'!$A$5:$N$45,14,0)*10+Parameter!$M$23,Parameter!$M$24))</f>
        <v>435</v>
      </c>
      <c r="CD85" s="60" t="str">
        <f aca="false">IF(AND(Parameter!$B$19="Ja",E85&lt;&gt;"",ISNUMBER(MATCH(E85,Parameter!$I$35:$I$52,0))),VLOOKUP(E85,Parameter!$I$35:$J$52,2,0),IFERROR(VLOOKUP(D85,Parameter!$A$35:$C$64,2,0),"Nein"))</f>
        <v>2+3</v>
      </c>
      <c r="CE85" s="64" t="n">
        <f aca="false">IF(CA85=0,0,IF(N(S85)&gt;0,S85,IFERROR(VLOOKUP(D85,Parameter!$A$35:$C$64,3,0)+0,0)))</f>
        <v>0</v>
      </c>
      <c r="CF85" s="60" t="n">
        <f aca="false">IF(AB85&lt;&gt;"",AB85,AA85)</f>
        <v>2</v>
      </c>
      <c r="CG85" s="60" t="str">
        <f aca="false">IF(OR(CF85=1,CF85=2,CF85=3),IF(Parameter!$E$27="Ja","LIFT",IF(CF85=1,"L1","L23")),IF(CF85="Aussen","Aussen","-"))</f>
        <v>LIFT</v>
      </c>
      <c r="CH85" s="71" t="n">
        <f aca="false">IF(N(AC85)&gt;0,AC85,0)</f>
        <v>0</v>
      </c>
      <c r="CI85" s="65" t="n">
        <f aca="false">IF(ISNUMBER(AF85),1,0)</f>
        <v>0</v>
      </c>
      <c r="CJ85" s="62" t="n">
        <f aca="false">N(AF85)</f>
        <v>0</v>
      </c>
      <c r="CK85" s="62" t="n">
        <f aca="false">N(M85)+N(N85)</f>
        <v>24</v>
      </c>
      <c r="CL85" s="62" t="n">
        <f aca="false">N(M85)</f>
        <v>4</v>
      </c>
      <c r="CM85" s="62" t="n">
        <f aca="false">N(N85)</f>
        <v>20</v>
      </c>
      <c r="CN85" s="62" t="n">
        <f aca="false">ROUNDUP(H85/BZ85,0)</f>
        <v>1</v>
      </c>
      <c r="CO85" s="62" t="n">
        <f aca="false">ROUNDUP(CJ85/BZ85,0)</f>
        <v>0</v>
      </c>
      <c r="CP85" s="65" t="n">
        <f aca="false">IF(CA85=1,0,IFERROR(VLOOKUP(BY85,'Gebinde-Kategorie'!$A$5:$N$45,5,0)+0,0))</f>
        <v>40</v>
      </c>
      <c r="CQ85" s="65" t="n">
        <f aca="false">IFERROR(IF(OR(CF85=1,CF85=2,CF85=3),N(INDEX(Parameter!$I$5:$I$7,CF85)),0),0)</f>
        <v>0</v>
      </c>
      <c r="CR85" s="64" t="n">
        <f aca="false">IF(AND(Parameter!$B$21="Ja",ISNUMBER(W85),N(X85)&gt;0),IFERROR(N(INDEX(Parameter!$L$5:$L$7,W85))*INDEX(Parameter!$E$5:$E$7,W85)*X85/SUMIFS($X$7:$X$1843,$W$7:$W$1843,W85),0),0)</f>
        <v>0</v>
      </c>
      <c r="CS85" s="62" t="n">
        <f aca="false">IF(AND(OR(CG85="L1",CG85="L23",CG85="LIFT"),H85&gt;0),CC85*IF(CR85&gt;0,CR85*MAX(1,H85/X85),IF(CA85=1,CE85,IF(R85&gt;0,CN85/R85,0))/MAX(0.1,N(Parameter!$M$21))),"")</f>
        <v>72.5</v>
      </c>
      <c r="CT85" s="64" t="n">
        <f aca="false">IF(CS85="","",J85/H85)</f>
        <v>2.13793103448276</v>
      </c>
      <c r="CU85" s="62" t="n">
        <f aca="false">IF(CS85="","",H85*G85)</f>
        <v>7248.84</v>
      </c>
      <c r="CV85" s="63" t="n">
        <f aca="false">IF(CS85="","",(CL85+ROUNDUP(CL85+MAX(CM85,2*(J85/MAX(0.1,N(Einkauf!$C$6))-CL85)),0))/2)</f>
        <v>15.5</v>
      </c>
      <c r="CW85" s="62" t="n">
        <f aca="false">IF(CS85="","",MAX(0,H85-CV85)*G85)</f>
        <v>3374.46</v>
      </c>
      <c r="CX85" s="62" t="n">
        <f aca="false">IF(CS85="","",CS85*MAX(0,1-CV85/H85))</f>
        <v>33.75</v>
      </c>
      <c r="CY85" s="64" t="n">
        <f aca="false">IF(CS85="","",PERCENTRANK($CS$7:$CS$1843,CS85)+PERCENTRANK($CU$7:$CU$1843,CU85)+1-PERCENTRANK($CT$7:$CT$1843,CT85))</f>
        <v>2.057</v>
      </c>
      <c r="CZ85" s="72" t="n">
        <f aca="false">IF(CS85="","",CHOOSE(MATCH(Einkauf!$C$5,Parameter!$G$23:$G$27,0),CY85,CS85,CU85,-CT85,CW85)+ROW()/1000000000)</f>
        <v>2.057000085</v>
      </c>
    </row>
    <row r="86" customFormat="false" ht="15" hidden="false" customHeight="false" outlineLevel="0" collapsed="false">
      <c r="A86" s="60" t="s">
        <v>420</v>
      </c>
      <c r="B86" s="60" t="s">
        <v>421</v>
      </c>
      <c r="C86" s="60" t="s">
        <v>206</v>
      </c>
      <c r="D86" s="60" t="s">
        <v>215</v>
      </c>
      <c r="E86" s="60"/>
      <c r="F86" s="60" t="s">
        <v>260</v>
      </c>
      <c r="G86" s="61" t="n">
        <v>423.8</v>
      </c>
      <c r="H86" s="62" t="n">
        <f aca="false">MAX(0,IF(AND(Parameter!$B$21="Ja",ISNUMBER(Y86)),Y86,IF(Parameter!$B$20="Jahresanfang 2025 + Export",BS86+BR86,BR86)))</f>
        <v>7</v>
      </c>
      <c r="I86" s="62" t="n">
        <f aca="false">H86*G86</f>
        <v>2966.6</v>
      </c>
      <c r="J86" s="62" t="n">
        <f aca="false">BU86*Parameter!$B$18</f>
        <v>32</v>
      </c>
      <c r="K86" s="63" t="n">
        <v>14.5</v>
      </c>
      <c r="L86" s="64" t="n">
        <v>2.20689655172414</v>
      </c>
      <c r="M86" s="62" t="n">
        <v>5</v>
      </c>
      <c r="N86" s="62" t="n">
        <v>15</v>
      </c>
      <c r="O86" s="65" t="n">
        <v>63</v>
      </c>
      <c r="P86" s="60" t="s">
        <v>216</v>
      </c>
      <c r="Q86" s="62" t="n">
        <v>22</v>
      </c>
      <c r="R86" s="65" t="n">
        <f aca="false">IF(CA86=1,0,IFERROR(VLOOKUP(BY86,'Gebinde-Kategorie'!$A$5:$N$45,13,0)+0,0))</f>
        <v>6</v>
      </c>
      <c r="S86" s="66"/>
      <c r="T86" s="67"/>
      <c r="U86" s="67"/>
      <c r="V86" s="67"/>
      <c r="W86" s="60"/>
      <c r="X86" s="62"/>
      <c r="Y86" s="62"/>
      <c r="Z86" s="60" t="n">
        <v>2</v>
      </c>
      <c r="AA86" s="60" t="n">
        <f aca="false">IF(A86="","",IF(AND(Parameter!$B$21="Ja",ISNUMBER(W86)),W86,IF(AND(Parameter!$E$27="Ja",ISNUMBER(Z86),CD86&lt;&gt;"Nein"),Z86,IF(CD86="2+3",IF(ISNUMBER(SEARCH("grosser Artikel",BV86)),2,IFERROR(VLOOKUP(BY86,Parameter!$F$35:$G$64,2,0),2)),IF(OR(CD86="Nein",CD86=""),"-",CD86)))))</f>
        <v>2</v>
      </c>
      <c r="AB86" s="67"/>
      <c r="AC86" s="68"/>
      <c r="AD86" s="62" t="n">
        <f aca="false">AW86</f>
        <v>20</v>
      </c>
      <c r="AE86" s="62" t="n">
        <f aca="false">MAX(AW86,H86)</f>
        <v>20</v>
      </c>
      <c r="AF86" s="69"/>
      <c r="AG86" s="62" t="n">
        <f aca="false">IF(LEFT(Cockpit!$C$5,1)="A",H86,IF(Parameter!$E$30="MAX-Bestand",IF(CI86=1,CJ86,IF(LEFT(Cockpit!$C$5,1)="B",AM86,MAX(AM86,H86))),ROUNDUP(AK86,0)))</f>
        <v>7</v>
      </c>
      <c r="AH86" s="62" t="n">
        <f aca="false">IF(CA86=1,0,ROUNDUP(AG86/BZ86,0))</f>
        <v>1</v>
      </c>
      <c r="AI86" s="64" t="n">
        <f aca="false">IF(CR86&gt;0,CR86*MAX(1,AG86/X86),IF(CA86=1,IF(AG86&lt;=0,0,CE86*MAX(1,IF(H86&gt;0,AG86/H86,1))),IF(R86&gt;0,AH86/R86,0))/MAX(0.1,N(Parameter!$M$21)))</f>
        <v>0.166666666666667</v>
      </c>
      <c r="AJ86" s="62" t="n">
        <f aca="false">AI86*CC86</f>
        <v>39.1666666666667</v>
      </c>
      <c r="AK86" s="63" t="n">
        <f aca="false">IF(LEFT(Cockpit!$C$5,1)="A",H86,IF(CI86=1,(CL86+CJ86)/2,IF(LEFT(Cockpit!$C$5,1)="B",(CL86+AM86)/2,MAX((CL86+AM86)/2,H86))))</f>
        <v>7</v>
      </c>
      <c r="AL86" s="62" t="n">
        <f aca="false">AK86*G86</f>
        <v>2966.6</v>
      </c>
      <c r="AM86" s="62" t="n">
        <f aca="false">ROUNDUP(CL86+MAX(CM86,2*(J86/IF(CH86&gt;0,CH86,MAX(0.1,N(Cockpit!$C$6)))-CL86)),0)</f>
        <v>20</v>
      </c>
      <c r="AN86" s="63" t="n">
        <f aca="false">IF(AJ86&gt;0,J86/AJ86,-1)</f>
        <v>0.817021276595745</v>
      </c>
      <c r="AO86" s="63" t="n">
        <f aca="false">IF(AND(OR(CG86="L1",CG86="L23",CG86="LIFT"),AJ86&gt;0),SUMIFS($AJ$7:$AJ$1843,$CG$7:$CG$1843,CG86,$AN$7:$AN$1843,"&gt;"&amp;AN86)+SUMIFS($AJ$7:$AJ$1843,$CG$7:$CG$1843,CG86,$AN$7:$AN$1843,AN86,$BX$7:$BX$1843,"&lt;="&amp;BX86),"")</f>
        <v>8017.45833333333</v>
      </c>
      <c r="AP86" s="70" t="n">
        <f aca="false">IF(AO86="",0,MAX(0,MIN(1,(IF(CG86="L1",Parameter!$H$5,IF(CG86="L23",Parameter!$H$6+Parameter!$H$7,Parameter!$H$5+Parameter!$H$6+Parameter!$H$7))-(AO86-AJ86))/AJ86)))</f>
        <v>1</v>
      </c>
      <c r="AQ86" s="62" t="n">
        <f aca="false">IF(LEFT(Cockpit!$I$5,1)="A",H86,IF(Parameter!$E$30="MAX-Bestand",IF(CI86=1,CJ86,IF(LEFT(Cockpit!$I$5,1)="B",AW86,MAX(AW86,H86))),ROUNDUP(AU86,0)))</f>
        <v>13</v>
      </c>
      <c r="AR86" s="62" t="n">
        <f aca="false">IF(CA86=1,0,ROUNDUP(AQ86/BZ86,0))</f>
        <v>1</v>
      </c>
      <c r="AS86" s="64" t="n">
        <f aca="false">IF(CR86&gt;0,CR86*MAX(1,AQ86/X86),IF(CA86=1,IF(AQ86&lt;=0,0,CE86*MAX(1,IF(H86&gt;0,AQ86/H86,1))),IF(R86&gt;0,AR86/R86,0))/MAX(0.1,N(Parameter!$M$21)))</f>
        <v>0.166666666666667</v>
      </c>
      <c r="AT86" s="62" t="n">
        <f aca="false">AS86*CC86</f>
        <v>39.1666666666667</v>
      </c>
      <c r="AU86" s="63" t="n">
        <f aca="false">IF(LEFT(Cockpit!$I$5,1)="A",H86,IF(CI86=1,(CL86+CJ86)/2,IF(LEFT(Cockpit!$I$5,1)="B",(CL86+AW86)/2,MAX((CL86+AW86)/2,H86))))</f>
        <v>12.5</v>
      </c>
      <c r="AV86" s="62" t="n">
        <f aca="false">AU86*G86</f>
        <v>5297.5</v>
      </c>
      <c r="AW86" s="62" t="n">
        <f aca="false">ROUNDUP(CL86+MAX(CM86,2*(J86/IF(CH86&gt;0,CH86,MAX(0.1,N(Cockpit!$I$6)))-CL86)),0)</f>
        <v>20</v>
      </c>
      <c r="AX86" s="63" t="n">
        <f aca="false">IF(AT86&gt;0,J86/AT86,-1)</f>
        <v>0.817021276595745</v>
      </c>
      <c r="AY86" s="63" t="n">
        <f aca="false">IF(AND(OR(CG86="L1",CG86="L23",CG86="LIFT"),AT86&gt;0),SUMIFS($AT$7:$AT$1843,$CG$7:$CG$1843,CG86,$AX$7:$AX$1843,"&gt;"&amp;AX86)+SUMIFS($AT$7:$AT$1843,$CG$7:$CG$1843,CG86,$AX$7:$AX$1843,AX86,$BX$7:$BX$1843,"&lt;="&amp;BX86),"")</f>
        <v>9881.60989010989</v>
      </c>
      <c r="AZ86" s="70" t="n">
        <f aca="false">IF(AY86="",0,MAX(0,MIN(1,(IF(CG86="L1",Parameter!$H$5,IF(CG86="L23",Parameter!$H$6+Parameter!$H$7,Parameter!$H$5+Parameter!$H$6+Parameter!$H$7))-(AY86-AT86))/AT86)))</f>
        <v>1</v>
      </c>
      <c r="BA86" s="62" t="n">
        <f aca="false">IF(LEFT(Cockpit!$O$5,1)="A",H86,IF(Parameter!$E$30="MAX-Bestand",IF(CI86=1,CJ86,IF(LEFT(Cockpit!$O$5,1)="B",BG86,MAX(BG86,H86))),ROUNDUP(BE86,0)))</f>
        <v>13</v>
      </c>
      <c r="BB86" s="62" t="n">
        <f aca="false">IF(CA86=1,0,ROUNDUP(BA86/BZ86,0))</f>
        <v>1</v>
      </c>
      <c r="BC86" s="64" t="n">
        <f aca="false">IF(CR86&gt;0,CR86*MAX(1,BA86/X86),IF(CA86=1,IF(BA86&lt;=0,0,CE86*MAX(1,IF(H86&gt;0,BA86/H86,1))),IF(R86&gt;0,BB86/R86,0))/MAX(0.1,N(Parameter!$M$21)))</f>
        <v>0.166666666666667</v>
      </c>
      <c r="BD86" s="62" t="n">
        <f aca="false">BC86*CC86</f>
        <v>39.1666666666667</v>
      </c>
      <c r="BE86" s="63" t="n">
        <f aca="false">IF(LEFT(Cockpit!$O$5,1)="A",H86,IF(CI86=1,(CL86+CJ86)/2,IF(LEFT(Cockpit!$O$5,1)="B",(CL86+BG86)/2,MAX((CL86+BG86)/2,H86))))</f>
        <v>12.5</v>
      </c>
      <c r="BF86" s="62" t="n">
        <f aca="false">BE86*G86</f>
        <v>5297.5</v>
      </c>
      <c r="BG86" s="62" t="n">
        <f aca="false">ROUNDUP(CL86+MAX(CM86,2*(J86/IF(CH86&gt;0,CH86,MAX(0.1,N(Cockpit!$O$6)))-CL86)),0)</f>
        <v>20</v>
      </c>
      <c r="BH86" s="63" t="n">
        <f aca="false">IF(BD86&gt;0,J86/BD86,-1)</f>
        <v>0.817021276595745</v>
      </c>
      <c r="BI86" s="63" t="n">
        <f aca="false">IF(AND(OR(CG86="L1",CG86="L23",CG86="LIFT"),BD86&gt;0),SUMIFS($BD$7:$BD$1843,$CG$7:$CG$1843,CG86,$BH$7:$BH$1843,"&gt;"&amp;BH86)+SUMIFS($BD$7:$BD$1843,$CG$7:$CG$1843,CG86,$BH$7:$BH$1843,BH86,$BX$7:$BX$1843,"&lt;="&amp;BX86),"")</f>
        <v>8676.43635531135</v>
      </c>
      <c r="BJ86" s="70" t="n">
        <f aca="false">IF(BI86="",0,MAX(0,MIN(1,(IF(CG86="L1",Parameter!$H$5,IF(CG86="L23",Parameter!$H$6+Parameter!$H$7,Parameter!$H$5+Parameter!$H$6+Parameter!$H$7))-(BI86-BD86))/BD86)))</f>
        <v>1</v>
      </c>
      <c r="BK86" s="60" t="str">
        <f aca="false">IF(AJ86&lt;=0,"",IF(CG86="Aussen","Aussenlager",IF(CG86="-","Nicht im Lift",IF(AP86&gt;=1,"Lift",IF(AP86&lt;=0,"Aussenlager","teilweise")))))</f>
        <v>Lift</v>
      </c>
      <c r="BL86" s="60" t="str">
        <f aca="false">IF(AT86&lt;=0,"",IF(CG86="Aussen","Aussenlager",IF(CG86="-","Nicht im Lift",IF(AZ86&gt;=1,"Lift",IF(AZ86&lt;=0,"Aussenlager","teilweise")))))</f>
        <v>Lift</v>
      </c>
      <c r="BM86" s="60" t="str">
        <f aca="false">IF(BD86&lt;=0,"",IF(CG86="Aussen","Aussenlager",IF(CG86="-","Nicht im Lift",IF(BJ86&gt;=1,"Lift",IF(BJ86&lt;=0,"Aussenlager","teilweise")))))</f>
        <v>Lift</v>
      </c>
      <c r="BN86" s="60" t="str">
        <f aca="false">IF(A86="","",IF(BW86=1,"Neu; ","")&amp;IF(AND(BW86=0,BR86&lt;0),"negativer Bestand (Export "&amp;BR86&amp;"); ","")&amp;IF(J86&lt;=0,"Kein Verbrauch; ","")&amp;IF(CR86&gt;0,"Lift "&amp;W86&amp;" lt. Liftbericht (Fach "&amp;X86&amp;" Stk); ",IF(CB86=1,"Gebinde geschätzt ("&amp;T86&amp;"); ",IF(CA86=1,"Lose – Tablare geschätzt; ","")))&amp;IF(H86&gt;AW86,"Überbestand "&amp;ROUND(H86-AW86,0)&amp;" Stk / CHF "&amp;ROUND((H86-AW86)*G86,0)&amp;"; ","")&amp;IF(AND(CI86=1,CJ86&lt;CK86),"MAX &lt; MB+LG; ","")&amp;IF(AND(CQ86&gt;0,CP86*10&gt;CQ86),"zu hoch für Tablar; ","")&amp;IF(AND(BW86=0,OR(CI86=1,AB86&lt;&gt;"",U86&lt;&gt;"",V86&lt;&gt;"",AC86&lt;&gt;"")),"manuell übersteuert; ","")&amp;IF(AND(CA86=0,R86=0),"Gebinde unbekannt / Stellmass fehlt; ","")&amp;IF(AND(CA86=0,N(V86)&lt;=0,N(Q86)&lt;=0),"Menge pro Gebinde fehlt (Ist = 1 Gebinde); ","")&amp;BV86)</f>
        <v/>
      </c>
      <c r="BO86" s="60" t="s">
        <v>422</v>
      </c>
      <c r="BP86" s="60" t="s">
        <v>423</v>
      </c>
      <c r="BQ86" s="67"/>
      <c r="BR86" s="62" t="n">
        <v>7</v>
      </c>
      <c r="BS86" s="62" t="n">
        <v>0</v>
      </c>
      <c r="BT86" s="61" t="n">
        <v>2966.6</v>
      </c>
      <c r="BU86" s="62" t="n">
        <v>32</v>
      </c>
      <c r="BV86" s="60"/>
      <c r="BW86" s="65" t="n">
        <v>0</v>
      </c>
      <c r="BX86" s="65" t="n">
        <v>86</v>
      </c>
      <c r="BY86" s="60" t="str">
        <f aca="false">IF(U86&lt;&gt;"",UPPER(TRIM(U86)),IF(CB86=1,UPPER(VLOOKUP(T86,Parameter!$I$27:$K$29,2,0)),IF(P86="","LOSE",P86)))</f>
        <v>S71</v>
      </c>
      <c r="BZ86" s="62" t="n">
        <f aca="false">IF(BY86="LOSE",1,IF(N(V86)&gt;0,V86,IF(CB86=1,MAX(1,N(VLOOKUP(T86,Parameter!$I$27:$K$29,3,0)),H86,N(N86)),IF(N(Q86)&gt;0,Q86,MAX(1,H86)))))</f>
        <v>22</v>
      </c>
      <c r="CA86" s="65" t="n">
        <f aca="false">IF(BY86="LOSE",1,0)</f>
        <v>0</v>
      </c>
      <c r="CB86" s="65" t="n">
        <f aca="false">IF(AND(U86="",OR(P86="",P86="LOSE"),T86&lt;&gt;"",N(S86)&lt;=0,ISNUMBER(MATCH(T86,Parameter!$I$27:$I$29,0))),1,0)</f>
        <v>0</v>
      </c>
      <c r="CC86" s="65" t="n">
        <f aca="false">IF(CR86&gt;0,INDEX(Parameter!$H$5:$H$7,W86)/INDEX(Parameter!$E$5:$E$7,W86),IF(AND(CA86=0,N(IFERROR(VLOOKUP(BY86,'Gebinde-Kategorie'!$A$5:$N$45,14,0),0))&gt;0),VLOOKUP(BY86,'Gebinde-Kategorie'!$A$5:$N$45,14,0)*10+Parameter!$M$23,Parameter!$M$24))</f>
        <v>235</v>
      </c>
      <c r="CD86" s="60" t="str">
        <f aca="false">IF(AND(Parameter!$B$19="Ja",E86&lt;&gt;"",ISNUMBER(MATCH(E86,Parameter!$I$35:$I$52,0))),VLOOKUP(E86,Parameter!$I$35:$J$52,2,0),IFERROR(VLOOKUP(D86,Parameter!$A$35:$C$64,2,0),"Nein"))</f>
        <v>2+3</v>
      </c>
      <c r="CE86" s="64" t="n">
        <f aca="false">IF(CA86=0,0,IF(N(S86)&gt;0,S86,IFERROR(VLOOKUP(D86,Parameter!$A$35:$C$64,3,0)+0,0)))</f>
        <v>0</v>
      </c>
      <c r="CF86" s="60" t="n">
        <f aca="false">IF(AB86&lt;&gt;"",AB86,AA86)</f>
        <v>2</v>
      </c>
      <c r="CG86" s="60" t="str">
        <f aca="false">IF(OR(CF86=1,CF86=2,CF86=3),IF(Parameter!$E$27="Ja","LIFT",IF(CF86=1,"L1","L23")),IF(CF86="Aussen","Aussen","-"))</f>
        <v>LIFT</v>
      </c>
      <c r="CH86" s="71" t="n">
        <f aca="false">IF(N(AC86)&gt;0,AC86,0)</f>
        <v>0</v>
      </c>
      <c r="CI86" s="65" t="n">
        <f aca="false">IF(ISNUMBER(AF86),1,0)</f>
        <v>0</v>
      </c>
      <c r="CJ86" s="62" t="n">
        <f aca="false">N(AF86)</f>
        <v>0</v>
      </c>
      <c r="CK86" s="62" t="n">
        <f aca="false">N(M86)+N(N86)</f>
        <v>20</v>
      </c>
      <c r="CL86" s="62" t="n">
        <f aca="false">N(M86)</f>
        <v>5</v>
      </c>
      <c r="CM86" s="62" t="n">
        <f aca="false">N(N86)</f>
        <v>15</v>
      </c>
      <c r="CN86" s="62" t="n">
        <f aca="false">ROUNDUP(H86/BZ86,0)</f>
        <v>1</v>
      </c>
      <c r="CO86" s="62" t="n">
        <f aca="false">ROUNDUP(CJ86/BZ86,0)</f>
        <v>0</v>
      </c>
      <c r="CP86" s="65" t="n">
        <f aca="false">IF(CA86=1,0,IFERROR(VLOOKUP(BY86,'Gebinde-Kategorie'!$A$5:$N$45,5,0)+0,0))</f>
        <v>20</v>
      </c>
      <c r="CQ86" s="65" t="n">
        <f aca="false">IFERROR(IF(OR(CF86=1,CF86=2,CF86=3),N(INDEX(Parameter!$I$5:$I$7,CF86)),0),0)</f>
        <v>0</v>
      </c>
      <c r="CR86" s="64" t="n">
        <f aca="false">IF(AND(Parameter!$B$21="Ja",ISNUMBER(W86),N(X86)&gt;0),IFERROR(N(INDEX(Parameter!$L$5:$L$7,W86))*INDEX(Parameter!$E$5:$E$7,W86)*X86/SUMIFS($X$7:$X$1843,$W$7:$W$1843,W86),0),0)</f>
        <v>0</v>
      </c>
      <c r="CS86" s="62" t="n">
        <f aca="false">IF(AND(OR(CG86="L1",CG86="L23",CG86="LIFT"),H86&gt;0),CC86*IF(CR86&gt;0,CR86*MAX(1,H86/X86),IF(CA86=1,CE86,IF(R86&gt;0,CN86/R86,0))/MAX(0.1,N(Parameter!$M$21))),"")</f>
        <v>39.1666666666667</v>
      </c>
      <c r="CT86" s="64" t="n">
        <f aca="false">IF(CS86="","",J86/H86)</f>
        <v>4.57142857142857</v>
      </c>
      <c r="CU86" s="62" t="n">
        <f aca="false">IF(CS86="","",H86*G86)</f>
        <v>2966.6</v>
      </c>
      <c r="CV86" s="63" t="n">
        <f aca="false">IF(CS86="","",(CL86+ROUNDUP(CL86+MAX(CM86,2*(J86/MAX(0.1,N(Einkauf!$C$6))-CL86)),0))/2)</f>
        <v>12.5</v>
      </c>
      <c r="CW86" s="62" t="n">
        <f aca="false">IF(CS86="","",MAX(0,H86-CV86)*G86)</f>
        <v>0</v>
      </c>
      <c r="CX86" s="62" t="n">
        <f aca="false">IF(CS86="","",CS86*MAX(0,1-CV86/H86))</f>
        <v>0</v>
      </c>
      <c r="CY86" s="64" t="n">
        <f aca="false">IF(CS86="","",PERCENTRANK($CS$7:$CS$1843,CS86)+PERCENTRANK($CU$7:$CU$1843,CU86)+1-PERCENTRANK($CT$7:$CT$1843,CT86))</f>
        <v>1.737</v>
      </c>
      <c r="CZ86" s="72" t="n">
        <f aca="false">IF(CS86="","",CHOOSE(MATCH(Einkauf!$C$5,Parameter!$G$23:$G$27,0),CY86,CS86,CU86,-CT86,CW86)+ROW()/1000000000)</f>
        <v>1.737000086</v>
      </c>
    </row>
    <row r="87" customFormat="false" ht="15" hidden="false" customHeight="false" outlineLevel="0" collapsed="false">
      <c r="A87" s="60" t="s">
        <v>424</v>
      </c>
      <c r="B87" s="60" t="s">
        <v>425</v>
      </c>
      <c r="C87" s="60" t="s">
        <v>206</v>
      </c>
      <c r="D87" s="60" t="s">
        <v>226</v>
      </c>
      <c r="E87" s="60" t="s">
        <v>227</v>
      </c>
      <c r="F87" s="60" t="s">
        <v>260</v>
      </c>
      <c r="G87" s="61" t="n">
        <v>140.69</v>
      </c>
      <c r="H87" s="62" t="n">
        <f aca="false">MAX(0,IF(AND(Parameter!$B$21="Ja",ISNUMBER(Y87)),Y87,IF(Parameter!$B$20="Jahresanfang 2025 + Export",BS87+BR87,BR87)))</f>
        <v>27</v>
      </c>
      <c r="I87" s="62" t="n">
        <f aca="false">H87*G87</f>
        <v>3798.63</v>
      </c>
      <c r="J87" s="62" t="n">
        <f aca="false">BU87*Parameter!$B$18</f>
        <v>30</v>
      </c>
      <c r="K87" s="63" t="n">
        <v>8.5</v>
      </c>
      <c r="L87" s="64" t="n">
        <v>3.52941176470588</v>
      </c>
      <c r="M87" s="62" t="n">
        <v>2</v>
      </c>
      <c r="N87" s="62" t="n">
        <v>25</v>
      </c>
      <c r="O87" s="65" t="n">
        <v>21</v>
      </c>
      <c r="P87" s="60" t="s">
        <v>268</v>
      </c>
      <c r="Q87" s="62" t="n">
        <v>30</v>
      </c>
      <c r="R87" s="65" t="n">
        <f aca="false">IF(CA87=1,0,IFERROR(VLOOKUP(BY87,'Gebinde-Kategorie'!$A$5:$N$45,13,0)+0,0))</f>
        <v>12</v>
      </c>
      <c r="S87" s="66"/>
      <c r="T87" s="67"/>
      <c r="U87" s="67"/>
      <c r="V87" s="67"/>
      <c r="W87" s="60"/>
      <c r="X87" s="62"/>
      <c r="Y87" s="62"/>
      <c r="Z87" s="60" t="n">
        <v>3</v>
      </c>
      <c r="AA87" s="60" t="n">
        <f aca="false">IF(A87="","",IF(AND(Parameter!$B$21="Ja",ISNUMBER(W87)),W87,IF(AND(Parameter!$E$27="Ja",ISNUMBER(Z87),CD87&lt;&gt;"Nein"),Z87,IF(CD87="2+3",IF(ISNUMBER(SEARCH("grosser Artikel",BV87)),2,IFERROR(VLOOKUP(BY87,Parameter!$F$35:$G$64,2,0),2)),IF(OR(CD87="Nein",CD87=""),"-",CD87)))))</f>
        <v>3</v>
      </c>
      <c r="AB87" s="67"/>
      <c r="AC87" s="68"/>
      <c r="AD87" s="62" t="n">
        <f aca="false">AW87</f>
        <v>27</v>
      </c>
      <c r="AE87" s="62" t="n">
        <f aca="false">MAX(AW87,H87)</f>
        <v>27</v>
      </c>
      <c r="AF87" s="69"/>
      <c r="AG87" s="62" t="n">
        <f aca="false">IF(LEFT(Cockpit!$C$5,1)="A",H87,IF(Parameter!$E$30="MAX-Bestand",IF(CI87=1,CJ87,IF(LEFT(Cockpit!$C$5,1)="B",AM87,MAX(AM87,H87))),ROUNDUP(AK87,0)))</f>
        <v>27</v>
      </c>
      <c r="AH87" s="62" t="n">
        <f aca="false">IF(CA87=1,0,ROUNDUP(AG87/BZ87,0))</f>
        <v>1</v>
      </c>
      <c r="AI87" s="64" t="n">
        <f aca="false">IF(CR87&gt;0,CR87*MAX(1,AG87/X87),IF(CA87=1,IF(AG87&lt;=0,0,CE87*MAX(1,IF(H87&gt;0,AG87/H87,1))),IF(R87&gt;0,AH87/R87,0))/MAX(0.1,N(Parameter!$M$21)))</f>
        <v>0.0833333333333333</v>
      </c>
      <c r="AJ87" s="62" t="n">
        <f aca="false">AI87*CC87</f>
        <v>28.75</v>
      </c>
      <c r="AK87" s="63" t="n">
        <f aca="false">IF(LEFT(Cockpit!$C$5,1)="A",H87,IF(CI87=1,(CL87+CJ87)/2,IF(LEFT(Cockpit!$C$5,1)="B",(CL87+AM87)/2,MAX((CL87+AM87)/2,H87))))</f>
        <v>27</v>
      </c>
      <c r="AL87" s="62" t="n">
        <f aca="false">AK87*G87</f>
        <v>3798.63</v>
      </c>
      <c r="AM87" s="62" t="n">
        <f aca="false">ROUNDUP(CL87+MAX(CM87,2*(J87/IF(CH87&gt;0,CH87,MAX(0.1,N(Cockpit!$C$6)))-CL87)),0)</f>
        <v>27</v>
      </c>
      <c r="AN87" s="63" t="n">
        <f aca="false">IF(AJ87&gt;0,J87/AJ87,-1)</f>
        <v>1.04347826086957</v>
      </c>
      <c r="AO87" s="63" t="n">
        <f aca="false">IF(AND(OR(CG87="L1",CG87="L23",CG87="LIFT"),AJ87&gt;0),SUMIFS($AJ$7:$AJ$1843,$CG$7:$CG$1843,CG87,$AN$7:$AN$1843,"&gt;"&amp;AN87)+SUMIFS($AJ$7:$AJ$1843,$CG$7:$CG$1843,CG87,$AN$7:$AN$1843,AN87,$BX$7:$BX$1843,"&lt;="&amp;BX87),"")</f>
        <v>6960.1543040293</v>
      </c>
      <c r="AP87" s="70" t="n">
        <f aca="false">IF(AO87="",0,MAX(0,MIN(1,(IF(CG87="L1",Parameter!$H$5,IF(CG87="L23",Parameter!$H$6+Parameter!$H$7,Parameter!$H$5+Parameter!$H$6+Parameter!$H$7))-(AO87-AJ87))/AJ87)))</f>
        <v>1</v>
      </c>
      <c r="AQ87" s="62" t="n">
        <f aca="false">IF(LEFT(Cockpit!$I$5,1)="A",H87,IF(Parameter!$E$30="MAX-Bestand",IF(CI87=1,CJ87,IF(LEFT(Cockpit!$I$5,1)="B",AW87,MAX(AW87,H87))),ROUNDUP(AU87,0)))</f>
        <v>27</v>
      </c>
      <c r="AR87" s="62" t="n">
        <f aca="false">IF(CA87=1,0,ROUNDUP(AQ87/BZ87,0))</f>
        <v>1</v>
      </c>
      <c r="AS87" s="64" t="n">
        <f aca="false">IF(CR87&gt;0,CR87*MAX(1,AQ87/X87),IF(CA87=1,IF(AQ87&lt;=0,0,CE87*MAX(1,IF(H87&gt;0,AQ87/H87,1))),IF(R87&gt;0,AR87/R87,0))/MAX(0.1,N(Parameter!$M$21)))</f>
        <v>0.0833333333333333</v>
      </c>
      <c r="AT87" s="62" t="n">
        <f aca="false">AS87*CC87</f>
        <v>28.75</v>
      </c>
      <c r="AU87" s="63" t="n">
        <f aca="false">IF(LEFT(Cockpit!$I$5,1)="A",H87,IF(CI87=1,(CL87+CJ87)/2,IF(LEFT(Cockpit!$I$5,1)="B",(CL87+AW87)/2,MAX((CL87+AW87)/2,H87))))</f>
        <v>27</v>
      </c>
      <c r="AV87" s="62" t="n">
        <f aca="false">AU87*G87</f>
        <v>3798.63</v>
      </c>
      <c r="AW87" s="62" t="n">
        <f aca="false">ROUNDUP(CL87+MAX(CM87,2*(J87/IF(CH87&gt;0,CH87,MAX(0.1,N(Cockpit!$I$6)))-CL87)),0)</f>
        <v>27</v>
      </c>
      <c r="AX87" s="63" t="n">
        <f aca="false">IF(AT87&gt;0,J87/AT87,-1)</f>
        <v>1.04347826086957</v>
      </c>
      <c r="AY87" s="63" t="n">
        <f aca="false">IF(AND(OR(CG87="L1",CG87="L23",CG87="LIFT"),AT87&gt;0),SUMIFS($AT$7:$AT$1843,$CG$7:$CG$1843,CG87,$AX$7:$AX$1843,"&gt;"&amp;AX87)+SUMIFS($AT$7:$AT$1843,$CG$7:$CG$1843,CG87,$AX$7:$AX$1843,AX87,$BX$7:$BX$1843,"&lt;="&amp;BX87),"")</f>
        <v>8310.65201465201</v>
      </c>
      <c r="AZ87" s="70" t="n">
        <f aca="false">IF(AY87="",0,MAX(0,MIN(1,(IF(CG87="L1",Parameter!$H$5,IF(CG87="L23",Parameter!$H$6+Parameter!$H$7,Parameter!$H$5+Parameter!$H$6+Parameter!$H$7))-(AY87-AT87))/AT87)))</f>
        <v>1</v>
      </c>
      <c r="BA87" s="62" t="n">
        <f aca="false">IF(LEFT(Cockpit!$O$5,1)="A",H87,IF(Parameter!$E$30="MAX-Bestand",IF(CI87=1,CJ87,IF(LEFT(Cockpit!$O$5,1)="B",BG87,MAX(BG87,H87))),ROUNDUP(BE87,0)))</f>
        <v>15</v>
      </c>
      <c r="BB87" s="62" t="n">
        <f aca="false">IF(CA87=1,0,ROUNDUP(BA87/BZ87,0))</f>
        <v>1</v>
      </c>
      <c r="BC87" s="64" t="n">
        <f aca="false">IF(CR87&gt;0,CR87*MAX(1,BA87/X87),IF(CA87=1,IF(BA87&lt;=0,0,CE87*MAX(1,IF(H87&gt;0,BA87/H87,1))),IF(R87&gt;0,BB87/R87,0))/MAX(0.1,N(Parameter!$M$21)))</f>
        <v>0.0833333333333333</v>
      </c>
      <c r="BD87" s="62" t="n">
        <f aca="false">BC87*CC87</f>
        <v>28.75</v>
      </c>
      <c r="BE87" s="63" t="n">
        <f aca="false">IF(LEFT(Cockpit!$O$5,1)="A",H87,IF(CI87=1,(CL87+CJ87)/2,IF(LEFT(Cockpit!$O$5,1)="B",(CL87+BG87)/2,MAX((CL87+BG87)/2,H87))))</f>
        <v>14.5</v>
      </c>
      <c r="BF87" s="62" t="n">
        <f aca="false">BE87*G87</f>
        <v>2040.005</v>
      </c>
      <c r="BG87" s="62" t="n">
        <f aca="false">ROUNDUP(CL87+MAX(CM87,2*(J87/IF(CH87&gt;0,CH87,MAX(0.1,N(Cockpit!$O$6)))-CL87)),0)</f>
        <v>27</v>
      </c>
      <c r="BH87" s="63" t="n">
        <f aca="false">IF(BD87&gt;0,J87/BD87,-1)</f>
        <v>1.04347826086957</v>
      </c>
      <c r="BI87" s="63" t="n">
        <f aca="false">IF(AND(OR(CG87="L1",CG87="L23",CG87="LIFT"),BD87&gt;0),SUMIFS($BD$7:$BD$1843,$CG$7:$CG$1843,CG87,$BH$7:$BH$1843,"&gt;"&amp;BH87)+SUMIFS($BD$7:$BD$1843,$CG$7:$CG$1843,CG87,$BH$7:$BH$1843,BH87,$BX$7:$BX$1843,"&lt;="&amp;BX87),"")</f>
        <v>7458.05998168498</v>
      </c>
      <c r="BJ87" s="70" t="n">
        <f aca="false">IF(BI87="",0,MAX(0,MIN(1,(IF(CG87="L1",Parameter!$H$5,IF(CG87="L23",Parameter!$H$6+Parameter!$H$7,Parameter!$H$5+Parameter!$H$6+Parameter!$H$7))-(BI87-BD87))/BD87)))</f>
        <v>1</v>
      </c>
      <c r="BK87" s="60" t="str">
        <f aca="false">IF(AJ87&lt;=0,"",IF(CG87="Aussen","Aussenlager",IF(CG87="-","Nicht im Lift",IF(AP87&gt;=1,"Lift",IF(AP87&lt;=0,"Aussenlager","teilweise")))))</f>
        <v>Lift</v>
      </c>
      <c r="BL87" s="60" t="str">
        <f aca="false">IF(AT87&lt;=0,"",IF(CG87="Aussen","Aussenlager",IF(CG87="-","Nicht im Lift",IF(AZ87&gt;=1,"Lift",IF(AZ87&lt;=0,"Aussenlager","teilweise")))))</f>
        <v>Lift</v>
      </c>
      <c r="BM87" s="60" t="str">
        <f aca="false">IF(BD87&lt;=0,"",IF(CG87="Aussen","Aussenlager",IF(CG87="-","Nicht im Lift",IF(BJ87&gt;=1,"Lift",IF(BJ87&lt;=0,"Aussenlager","teilweise")))))</f>
        <v>Lift</v>
      </c>
      <c r="BN87" s="60" t="str">
        <f aca="false">IF(A87="","",IF(BW87=1,"Neu; ","")&amp;IF(AND(BW87=0,BR87&lt;0),"negativer Bestand (Export "&amp;BR87&amp;"); ","")&amp;IF(J87&lt;=0,"Kein Verbrauch; ","")&amp;IF(CR87&gt;0,"Lift "&amp;W87&amp;" lt. Liftbericht (Fach "&amp;X87&amp;" Stk); ",IF(CB87=1,"Gebinde geschätzt ("&amp;T87&amp;"); ",IF(CA87=1,"Lose – Tablare geschätzt; ","")))&amp;IF(H87&gt;AW87,"Überbestand "&amp;ROUND(H87-AW87,0)&amp;" Stk / CHF "&amp;ROUND((H87-AW87)*G87,0)&amp;"; ","")&amp;IF(AND(CI87=1,CJ87&lt;CK87),"MAX &lt; MB+LG; ","")&amp;IF(AND(CQ87&gt;0,CP87*10&gt;CQ87),"zu hoch für Tablar; ","")&amp;IF(AND(BW87=0,OR(CI87=1,AB87&lt;&gt;"",U87&lt;&gt;"",V87&lt;&gt;"",AC87&lt;&gt;"")),"manuell übersteuert; ","")&amp;IF(AND(CA87=0,R87=0),"Gebinde unbekannt / Stellmass fehlt; ","")&amp;IF(AND(CA87=0,N(V87)&lt;=0,N(Q87)&lt;=0),"Menge pro Gebinde fehlt (Ist = 1 Gebinde); ","")&amp;BV87)</f>
        <v/>
      </c>
      <c r="BO87" s="60"/>
      <c r="BP87" s="60"/>
      <c r="BQ87" s="67"/>
      <c r="BR87" s="62" t="n">
        <v>21</v>
      </c>
      <c r="BS87" s="62" t="n">
        <v>6</v>
      </c>
      <c r="BT87" s="61" t="n">
        <v>2941.11</v>
      </c>
      <c r="BU87" s="62" t="n">
        <v>30</v>
      </c>
      <c r="BV87" s="60"/>
      <c r="BW87" s="65" t="n">
        <v>0</v>
      </c>
      <c r="BX87" s="65" t="n">
        <v>87</v>
      </c>
      <c r="BY87" s="60" t="str">
        <f aca="false">IF(U87&lt;&gt;"",UPPER(TRIM(U87)),IF(CB87=1,UPPER(VLOOKUP(T87,Parameter!$I$27:$K$29,2,0)),IF(P87="","LOSE",P87)))</f>
        <v>S63</v>
      </c>
      <c r="BZ87" s="62" t="n">
        <f aca="false">IF(BY87="LOSE",1,IF(N(V87)&gt;0,V87,IF(CB87=1,MAX(1,N(VLOOKUP(T87,Parameter!$I$27:$K$29,3,0)),H87,N(N87)),IF(N(Q87)&gt;0,Q87,MAX(1,H87)))))</f>
        <v>30</v>
      </c>
      <c r="CA87" s="65" t="n">
        <f aca="false">IF(BY87="LOSE",1,0)</f>
        <v>0</v>
      </c>
      <c r="CB87" s="65" t="n">
        <f aca="false">IF(AND(U87="",OR(P87="",P87="LOSE"),T87&lt;&gt;"",N(S87)&lt;=0,ISNUMBER(MATCH(T87,Parameter!$I$27:$I$29,0))),1,0)</f>
        <v>0</v>
      </c>
      <c r="CC87" s="65" t="n">
        <f aca="false">IF(CR87&gt;0,INDEX(Parameter!$H$5:$H$7,W87)/INDEX(Parameter!$E$5:$E$7,W87),IF(AND(CA87=0,N(IFERROR(VLOOKUP(BY87,'Gebinde-Kategorie'!$A$5:$N$45,14,0),0))&gt;0),VLOOKUP(BY87,'Gebinde-Kategorie'!$A$5:$N$45,14,0)*10+Parameter!$M$23,Parameter!$M$24))</f>
        <v>345</v>
      </c>
      <c r="CD87" s="60" t="str">
        <f aca="false">IF(AND(Parameter!$B$19="Ja",E87&lt;&gt;"",ISNUMBER(MATCH(E87,Parameter!$I$35:$I$52,0))),VLOOKUP(E87,Parameter!$I$35:$J$52,2,0),IFERROR(VLOOKUP(D87,Parameter!$A$35:$C$64,2,0),"Nein"))</f>
        <v>2+3</v>
      </c>
      <c r="CE87" s="64" t="n">
        <f aca="false">IF(CA87=0,0,IF(N(S87)&gt;0,S87,IFERROR(VLOOKUP(D87,Parameter!$A$35:$C$64,3,0)+0,0)))</f>
        <v>0</v>
      </c>
      <c r="CF87" s="60" t="n">
        <f aca="false">IF(AB87&lt;&gt;"",AB87,AA87)</f>
        <v>3</v>
      </c>
      <c r="CG87" s="60" t="str">
        <f aca="false">IF(OR(CF87=1,CF87=2,CF87=3),IF(Parameter!$E$27="Ja","LIFT",IF(CF87=1,"L1","L23")),IF(CF87="Aussen","Aussen","-"))</f>
        <v>LIFT</v>
      </c>
      <c r="CH87" s="71" t="n">
        <f aca="false">IF(N(AC87)&gt;0,AC87,0)</f>
        <v>0</v>
      </c>
      <c r="CI87" s="65" t="n">
        <f aca="false">IF(ISNUMBER(AF87),1,0)</f>
        <v>0</v>
      </c>
      <c r="CJ87" s="62" t="n">
        <f aca="false">N(AF87)</f>
        <v>0</v>
      </c>
      <c r="CK87" s="62" t="n">
        <f aca="false">N(M87)+N(N87)</f>
        <v>27</v>
      </c>
      <c r="CL87" s="62" t="n">
        <f aca="false">N(M87)</f>
        <v>2</v>
      </c>
      <c r="CM87" s="62" t="n">
        <f aca="false">N(N87)</f>
        <v>25</v>
      </c>
      <c r="CN87" s="62" t="n">
        <f aca="false">ROUNDUP(H87/BZ87,0)</f>
        <v>1</v>
      </c>
      <c r="CO87" s="62" t="n">
        <f aca="false">ROUNDUP(CJ87/BZ87,0)</f>
        <v>0</v>
      </c>
      <c r="CP87" s="65" t="n">
        <f aca="false">IF(CA87=1,0,IFERROR(VLOOKUP(BY87,'Gebinde-Kategorie'!$A$5:$N$45,5,0)+0,0))</f>
        <v>31</v>
      </c>
      <c r="CQ87" s="65" t="n">
        <f aca="false">IFERROR(IF(OR(CF87=1,CF87=2,CF87=3),N(INDEX(Parameter!$I$5:$I$7,CF87)),0),0)</f>
        <v>0</v>
      </c>
      <c r="CR87" s="64" t="n">
        <f aca="false">IF(AND(Parameter!$B$21="Ja",ISNUMBER(W87),N(X87)&gt;0),IFERROR(N(INDEX(Parameter!$L$5:$L$7,W87))*INDEX(Parameter!$E$5:$E$7,W87)*X87/SUMIFS($X$7:$X$1843,$W$7:$W$1843,W87),0),0)</f>
        <v>0</v>
      </c>
      <c r="CS87" s="62" t="n">
        <f aca="false">IF(AND(OR(CG87="L1",CG87="L23",CG87="LIFT"),H87&gt;0),CC87*IF(CR87&gt;0,CR87*MAX(1,H87/X87),IF(CA87=1,CE87,IF(R87&gt;0,CN87/R87,0))/MAX(0.1,N(Parameter!$M$21))),"")</f>
        <v>28.75</v>
      </c>
      <c r="CT87" s="64" t="n">
        <f aca="false">IF(CS87="","",J87/H87)</f>
        <v>1.11111111111111</v>
      </c>
      <c r="CU87" s="62" t="n">
        <f aca="false">IF(CS87="","",H87*G87)</f>
        <v>3798.63</v>
      </c>
      <c r="CV87" s="63" t="n">
        <f aca="false">IF(CS87="","",(CL87+ROUNDUP(CL87+MAX(CM87,2*(J87/MAX(0.1,N(Einkauf!$C$6))-CL87)),0))/2)</f>
        <v>14.5</v>
      </c>
      <c r="CW87" s="62" t="n">
        <f aca="false">IF(CS87="","",MAX(0,H87-CV87)*G87)</f>
        <v>1758.625</v>
      </c>
      <c r="CX87" s="62" t="n">
        <f aca="false">IF(CS87="","",CS87*MAX(0,1-CV87/H87))</f>
        <v>13.3101851851852</v>
      </c>
      <c r="CY87" s="64" t="n">
        <f aca="false">IF(CS87="","",PERCENTRANK($CS$7:$CS$1843,CS87)+PERCENTRANK($CU$7:$CU$1843,CU87)+1-PERCENTRANK($CT$7:$CT$1843,CT87))</f>
        <v>2.003</v>
      </c>
      <c r="CZ87" s="72" t="n">
        <f aca="false">IF(CS87="","",CHOOSE(MATCH(Einkauf!$C$5,Parameter!$G$23:$G$27,0),CY87,CS87,CU87,-CT87,CW87)+ROW()/1000000000)</f>
        <v>2.003000087</v>
      </c>
    </row>
    <row r="88" customFormat="false" ht="15" hidden="false" customHeight="false" outlineLevel="0" collapsed="false">
      <c r="A88" s="60" t="s">
        <v>426</v>
      </c>
      <c r="B88" s="60" t="s">
        <v>427</v>
      </c>
      <c r="C88" s="60" t="s">
        <v>206</v>
      </c>
      <c r="D88" s="60" t="s">
        <v>226</v>
      </c>
      <c r="E88" s="60" t="s">
        <v>227</v>
      </c>
      <c r="F88" s="60" t="s">
        <v>260</v>
      </c>
      <c r="G88" s="61" t="n">
        <v>12.41</v>
      </c>
      <c r="H88" s="62" t="n">
        <f aca="false">MAX(0,IF(AND(Parameter!$B$21="Ja",ISNUMBER(Y88)),Y88,IF(Parameter!$B$20="Jahresanfang 2025 + Export",BS88+BR88,BR88)))</f>
        <v>277</v>
      </c>
      <c r="I88" s="62" t="n">
        <f aca="false">H88*G88</f>
        <v>3437.57</v>
      </c>
      <c r="J88" s="62" t="n">
        <f aca="false">BU88*Parameter!$B$18</f>
        <v>315</v>
      </c>
      <c r="K88" s="63" t="n">
        <v>129</v>
      </c>
      <c r="L88" s="64" t="n">
        <v>2.44186046511628</v>
      </c>
      <c r="M88" s="62" t="n">
        <v>55</v>
      </c>
      <c r="N88" s="62" t="n">
        <v>255</v>
      </c>
      <c r="O88" s="65" t="n">
        <v>56</v>
      </c>
      <c r="P88" s="60" t="s">
        <v>370</v>
      </c>
      <c r="Q88" s="62" t="n">
        <v>128</v>
      </c>
      <c r="R88" s="65" t="n">
        <f aca="false">IF(CA88=1,0,IFERROR(VLOOKUP(BY88,'Gebinde-Kategorie'!$A$5:$N$45,13,0)+0,0))</f>
        <v>52</v>
      </c>
      <c r="S88" s="66"/>
      <c r="T88" s="67"/>
      <c r="U88" s="67"/>
      <c r="V88" s="67"/>
      <c r="W88" s="60"/>
      <c r="X88" s="62"/>
      <c r="Y88" s="62"/>
      <c r="Z88" s="60" t="n">
        <v>3</v>
      </c>
      <c r="AA88" s="60" t="n">
        <f aca="false">IF(A88="","",IF(AND(Parameter!$B$21="Ja",ISNUMBER(W88)),W88,IF(AND(Parameter!$E$27="Ja",ISNUMBER(Z88),CD88&lt;&gt;"Nein"),Z88,IF(CD88="2+3",IF(ISNUMBER(SEARCH("grosser Artikel",BV88)),2,IFERROR(VLOOKUP(BY88,Parameter!$F$35:$G$64,2,0),2)),IF(OR(CD88="Nein",CD88=""),"-",CD88)))))</f>
        <v>3</v>
      </c>
      <c r="AB88" s="67"/>
      <c r="AC88" s="68"/>
      <c r="AD88" s="62" t="n">
        <f aca="false">AW88</f>
        <v>310</v>
      </c>
      <c r="AE88" s="62" t="n">
        <f aca="false">MAX(AW88,H88)</f>
        <v>310</v>
      </c>
      <c r="AF88" s="69"/>
      <c r="AG88" s="62" t="n">
        <f aca="false">IF(LEFT(Cockpit!$C$5,1)="A",H88,IF(Parameter!$E$30="MAX-Bestand",IF(CI88=1,CJ88,IF(LEFT(Cockpit!$C$5,1)="B",AM88,MAX(AM88,H88))),ROUNDUP(AK88,0)))</f>
        <v>277</v>
      </c>
      <c r="AH88" s="62" t="n">
        <f aca="false">IF(CA88=1,0,ROUNDUP(AG88/BZ88,0))</f>
        <v>3</v>
      </c>
      <c r="AI88" s="64" t="n">
        <f aca="false">IF(CR88&gt;0,CR88*MAX(1,AG88/X88),IF(CA88=1,IF(AG88&lt;=0,0,CE88*MAX(1,IF(H88&gt;0,AG88/H88,1))),IF(R88&gt;0,AH88/R88,0))/MAX(0.1,N(Parameter!$M$21)))</f>
        <v>0.0576923076923077</v>
      </c>
      <c r="AJ88" s="62" t="n">
        <f aca="false">AI88*CC88</f>
        <v>8.94230769230769</v>
      </c>
      <c r="AK88" s="63" t="n">
        <f aca="false">IF(LEFT(Cockpit!$C$5,1)="A",H88,IF(CI88=1,(CL88+CJ88)/2,IF(LEFT(Cockpit!$C$5,1)="B",(CL88+AM88)/2,MAX((CL88+AM88)/2,H88))))</f>
        <v>277</v>
      </c>
      <c r="AL88" s="62" t="n">
        <f aca="false">AK88*G88</f>
        <v>3437.57</v>
      </c>
      <c r="AM88" s="62" t="n">
        <f aca="false">ROUNDUP(CL88+MAX(CM88,2*(J88/IF(CH88&gt;0,CH88,MAX(0.1,N(Cockpit!$C$6)))-CL88)),0)</f>
        <v>310</v>
      </c>
      <c r="AN88" s="63" t="n">
        <f aca="false">IF(AJ88&gt;0,J88/AJ88,-1)</f>
        <v>35.2258064516129</v>
      </c>
      <c r="AO88" s="63" t="n">
        <f aca="false">IF(AND(OR(CG88="L1",CG88="L23",CG88="LIFT"),AJ88&gt;0),SUMIFS($AJ$7:$AJ$1843,$CG$7:$CG$1843,CG88,$AN$7:$AN$1843,"&gt;"&amp;AN88)+SUMIFS($AJ$7:$AJ$1843,$CG$7:$CG$1843,CG88,$AN$7:$AN$1843,AN88,$BX$7:$BX$1843,"&lt;="&amp;BX88),"")</f>
        <v>1292.79532967033</v>
      </c>
      <c r="AP88" s="70" t="n">
        <f aca="false">IF(AO88="",0,MAX(0,MIN(1,(IF(CG88="L1",Parameter!$H$5,IF(CG88="L23",Parameter!$H$6+Parameter!$H$7,Parameter!$H$5+Parameter!$H$6+Parameter!$H$7))-(AO88-AJ88))/AJ88)))</f>
        <v>1</v>
      </c>
      <c r="AQ88" s="62" t="n">
        <f aca="false">IF(LEFT(Cockpit!$I$5,1)="A",H88,IF(Parameter!$E$30="MAX-Bestand",IF(CI88=1,CJ88,IF(LEFT(Cockpit!$I$5,1)="B",AW88,MAX(AW88,H88))),ROUNDUP(AU88,0)))</f>
        <v>277</v>
      </c>
      <c r="AR88" s="62" t="n">
        <f aca="false">IF(CA88=1,0,ROUNDUP(AQ88/BZ88,0))</f>
        <v>3</v>
      </c>
      <c r="AS88" s="64" t="n">
        <f aca="false">IF(CR88&gt;0,CR88*MAX(1,AQ88/X88),IF(CA88=1,IF(AQ88&lt;=0,0,CE88*MAX(1,IF(H88&gt;0,AQ88/H88,1))),IF(R88&gt;0,AR88/R88,0))/MAX(0.1,N(Parameter!$M$21)))</f>
        <v>0.0576923076923077</v>
      </c>
      <c r="AT88" s="62" t="n">
        <f aca="false">AS88*CC88</f>
        <v>8.94230769230769</v>
      </c>
      <c r="AU88" s="63" t="n">
        <f aca="false">IF(LEFT(Cockpit!$I$5,1)="A",H88,IF(CI88=1,(CL88+CJ88)/2,IF(LEFT(Cockpit!$I$5,1)="B",(CL88+AW88)/2,MAX((CL88+AW88)/2,H88))))</f>
        <v>277</v>
      </c>
      <c r="AV88" s="62" t="n">
        <f aca="false">AU88*G88</f>
        <v>3437.57</v>
      </c>
      <c r="AW88" s="62" t="n">
        <f aca="false">ROUNDUP(CL88+MAX(CM88,2*(J88/IF(CH88&gt;0,CH88,MAX(0.1,N(Cockpit!$I$6)))-CL88)),0)</f>
        <v>310</v>
      </c>
      <c r="AX88" s="63" t="n">
        <f aca="false">IF(AT88&gt;0,J88/AT88,-1)</f>
        <v>35.2258064516129</v>
      </c>
      <c r="AY88" s="63" t="n">
        <f aca="false">IF(AND(OR(CG88="L1",CG88="L23",CG88="LIFT"),AT88&gt;0),SUMIFS($AT$7:$AT$1843,$CG$7:$CG$1843,CG88,$AX$7:$AX$1843,"&gt;"&amp;AX88)+SUMIFS($AT$7:$AT$1843,$CG$7:$CG$1843,CG88,$AX$7:$AX$1843,AX88,$BX$7:$BX$1843,"&lt;="&amp;BX88),"")</f>
        <v>1613.56135531136</v>
      </c>
      <c r="AZ88" s="70" t="n">
        <f aca="false">IF(AY88="",0,MAX(0,MIN(1,(IF(CG88="L1",Parameter!$H$5,IF(CG88="L23",Parameter!$H$6+Parameter!$H$7,Parameter!$H$5+Parameter!$H$6+Parameter!$H$7))-(AY88-AT88))/AT88)))</f>
        <v>1</v>
      </c>
      <c r="BA88" s="62" t="n">
        <f aca="false">IF(LEFT(Cockpit!$O$5,1)="A",H88,IF(Parameter!$E$30="MAX-Bestand",IF(CI88=1,CJ88,IF(LEFT(Cockpit!$O$5,1)="B",BG88,MAX(BG88,H88))),ROUNDUP(BE88,0)))</f>
        <v>183</v>
      </c>
      <c r="BB88" s="62" t="n">
        <f aca="false">IF(CA88=1,0,ROUNDUP(BA88/BZ88,0))</f>
        <v>2</v>
      </c>
      <c r="BC88" s="64" t="n">
        <f aca="false">IF(CR88&gt;0,CR88*MAX(1,BA88/X88),IF(CA88=1,IF(BA88&lt;=0,0,CE88*MAX(1,IF(H88&gt;0,BA88/H88,1))),IF(R88&gt;0,BB88/R88,0))/MAX(0.1,N(Parameter!$M$21)))</f>
        <v>0.0384615384615385</v>
      </c>
      <c r="BD88" s="62" t="n">
        <f aca="false">BC88*CC88</f>
        <v>5.96153846153846</v>
      </c>
      <c r="BE88" s="63" t="n">
        <f aca="false">IF(LEFT(Cockpit!$O$5,1)="A",H88,IF(CI88=1,(CL88+CJ88)/2,IF(LEFT(Cockpit!$O$5,1)="B",(CL88+BG88)/2,MAX((CL88+BG88)/2,H88))))</f>
        <v>182.5</v>
      </c>
      <c r="BF88" s="62" t="n">
        <f aca="false">BE88*G88</f>
        <v>2264.825</v>
      </c>
      <c r="BG88" s="62" t="n">
        <f aca="false">ROUNDUP(CL88+MAX(CM88,2*(J88/IF(CH88&gt;0,CH88,MAX(0.1,N(Cockpit!$O$6)))-CL88)),0)</f>
        <v>310</v>
      </c>
      <c r="BH88" s="63" t="n">
        <f aca="false">IF(BD88&gt;0,J88/BD88,-1)</f>
        <v>52.8387096774194</v>
      </c>
      <c r="BI88" s="63" t="n">
        <f aca="false">IF(AND(OR(CG88="L1",CG88="L23",CG88="LIFT"),BD88&gt;0),SUMIFS($BD$7:$BD$1843,$CG$7:$CG$1843,CG88,$BH$7:$BH$1843,"&gt;"&amp;BH88)+SUMIFS($BD$7:$BD$1843,$CG$7:$CG$1843,CG88,$BH$7:$BH$1843,BH88,$BX$7:$BX$1843,"&lt;="&amp;BX88),"")</f>
        <v>1195.08516483517</v>
      </c>
      <c r="BJ88" s="70" t="n">
        <f aca="false">IF(BI88="",0,MAX(0,MIN(1,(IF(CG88="L1",Parameter!$H$5,IF(CG88="L23",Parameter!$H$6+Parameter!$H$7,Parameter!$H$5+Parameter!$H$6+Parameter!$H$7))-(BI88-BD88))/BD88)))</f>
        <v>1</v>
      </c>
      <c r="BK88" s="60" t="str">
        <f aca="false">IF(AJ88&lt;=0,"",IF(CG88="Aussen","Aussenlager",IF(CG88="-","Nicht im Lift",IF(AP88&gt;=1,"Lift",IF(AP88&lt;=0,"Aussenlager","teilweise")))))</f>
        <v>Lift</v>
      </c>
      <c r="BL88" s="60" t="str">
        <f aca="false">IF(AT88&lt;=0,"",IF(CG88="Aussen","Aussenlager",IF(CG88="-","Nicht im Lift",IF(AZ88&gt;=1,"Lift",IF(AZ88&lt;=0,"Aussenlager","teilweise")))))</f>
        <v>Lift</v>
      </c>
      <c r="BM88" s="60" t="str">
        <f aca="false">IF(BD88&lt;=0,"",IF(CG88="Aussen","Aussenlager",IF(CG88="-","Nicht im Lift",IF(BJ88&gt;=1,"Lift",IF(BJ88&lt;=0,"Aussenlager","teilweise")))))</f>
        <v>Lift</v>
      </c>
      <c r="BN88" s="60" t="str">
        <f aca="false">IF(A88="","",IF(BW88=1,"Neu; ","")&amp;IF(AND(BW88=0,BR88&lt;0),"negativer Bestand (Export "&amp;BR88&amp;"); ","")&amp;IF(J88&lt;=0,"Kein Verbrauch; ","")&amp;IF(CR88&gt;0,"Lift "&amp;W88&amp;" lt. Liftbericht (Fach "&amp;X88&amp;" Stk); ",IF(CB88=1,"Gebinde geschätzt ("&amp;T88&amp;"); ",IF(CA88=1,"Lose – Tablare geschätzt; ","")))&amp;IF(H88&gt;AW88,"Überbestand "&amp;ROUND(H88-AW88,0)&amp;" Stk / CHF "&amp;ROUND((H88-AW88)*G88,0)&amp;"; ","")&amp;IF(AND(CI88=1,CJ88&lt;CK88),"MAX &lt; MB+LG; ","")&amp;IF(AND(CQ88&gt;0,CP88*10&gt;CQ88),"zu hoch für Tablar; ","")&amp;IF(AND(BW88=0,OR(CI88=1,AB88&lt;&gt;"",U88&lt;&gt;"",V88&lt;&gt;"",AC88&lt;&gt;"")),"manuell übersteuert; ","")&amp;IF(AND(CA88=0,R88=0),"Gebinde unbekannt / Stellmass fehlt; ","")&amp;IF(AND(CA88=0,N(V88)&lt;=0,N(Q88)&lt;=0),"Menge pro Gebinde fehlt (Ist = 1 Gebinde); ","")&amp;BV88)</f>
        <v/>
      </c>
      <c r="BO88" s="60"/>
      <c r="BP88" s="60"/>
      <c r="BQ88" s="67"/>
      <c r="BR88" s="62" t="n">
        <v>229</v>
      </c>
      <c r="BS88" s="62" t="n">
        <v>48</v>
      </c>
      <c r="BT88" s="61" t="n">
        <v>2896.49</v>
      </c>
      <c r="BU88" s="62" t="n">
        <v>315</v>
      </c>
      <c r="BV88" s="60"/>
      <c r="BW88" s="65" t="n">
        <v>0</v>
      </c>
      <c r="BX88" s="65" t="n">
        <v>88</v>
      </c>
      <c r="BY88" s="60" t="str">
        <f aca="false">IF(U88&lt;&gt;"",UPPER(TRIM(U88)),IF(CB88=1,UPPER(VLOOKUP(T88,Parameter!$I$27:$K$29,2,0)),IF(P88="","LOSE",P88)))</f>
        <v>S41</v>
      </c>
      <c r="BZ88" s="62" t="n">
        <f aca="false">IF(BY88="LOSE",1,IF(N(V88)&gt;0,V88,IF(CB88=1,MAX(1,N(VLOOKUP(T88,Parameter!$I$27:$K$29,3,0)),H88,N(N88)),IF(N(Q88)&gt;0,Q88,MAX(1,H88)))))</f>
        <v>128</v>
      </c>
      <c r="CA88" s="65" t="n">
        <f aca="false">IF(BY88="LOSE",1,0)</f>
        <v>0</v>
      </c>
      <c r="CB88" s="65" t="n">
        <f aca="false">IF(AND(U88="",OR(P88="",P88="LOSE"),T88&lt;&gt;"",N(S88)&lt;=0,ISNUMBER(MATCH(T88,Parameter!$I$27:$I$29,0))),1,0)</f>
        <v>0</v>
      </c>
      <c r="CC88" s="65" t="n">
        <f aca="false">IF(CR88&gt;0,INDEX(Parameter!$H$5:$H$7,W88)/INDEX(Parameter!$E$5:$E$7,W88),IF(AND(CA88=0,N(IFERROR(VLOOKUP(BY88,'Gebinde-Kategorie'!$A$5:$N$45,14,0),0))&gt;0),VLOOKUP(BY88,'Gebinde-Kategorie'!$A$5:$N$45,14,0)*10+Parameter!$M$23,Parameter!$M$24))</f>
        <v>155</v>
      </c>
      <c r="CD88" s="60" t="str">
        <f aca="false">IF(AND(Parameter!$B$19="Ja",E88&lt;&gt;"",ISNUMBER(MATCH(E88,Parameter!$I$35:$I$52,0))),VLOOKUP(E88,Parameter!$I$35:$J$52,2,0),IFERROR(VLOOKUP(D88,Parameter!$A$35:$C$64,2,0),"Nein"))</f>
        <v>2+3</v>
      </c>
      <c r="CE88" s="64" t="n">
        <f aca="false">IF(CA88=0,0,IF(N(S88)&gt;0,S88,IFERROR(VLOOKUP(D88,Parameter!$A$35:$C$64,3,0)+0,0)))</f>
        <v>0</v>
      </c>
      <c r="CF88" s="60" t="n">
        <f aca="false">IF(AB88&lt;&gt;"",AB88,AA88)</f>
        <v>3</v>
      </c>
      <c r="CG88" s="60" t="str">
        <f aca="false">IF(OR(CF88=1,CF88=2,CF88=3),IF(Parameter!$E$27="Ja","LIFT",IF(CF88=1,"L1","L23")),IF(CF88="Aussen","Aussen","-"))</f>
        <v>LIFT</v>
      </c>
      <c r="CH88" s="71" t="n">
        <f aca="false">IF(N(AC88)&gt;0,AC88,0)</f>
        <v>0</v>
      </c>
      <c r="CI88" s="65" t="n">
        <f aca="false">IF(ISNUMBER(AF88),1,0)</f>
        <v>0</v>
      </c>
      <c r="CJ88" s="62" t="n">
        <f aca="false">N(AF88)</f>
        <v>0</v>
      </c>
      <c r="CK88" s="62" t="n">
        <f aca="false">N(M88)+N(N88)</f>
        <v>310</v>
      </c>
      <c r="CL88" s="62" t="n">
        <f aca="false">N(M88)</f>
        <v>55</v>
      </c>
      <c r="CM88" s="62" t="n">
        <f aca="false">N(N88)</f>
        <v>255</v>
      </c>
      <c r="CN88" s="62" t="n">
        <f aca="false">ROUNDUP(H88/BZ88,0)</f>
        <v>3</v>
      </c>
      <c r="CO88" s="62" t="n">
        <f aca="false">ROUNDUP(CJ88/BZ88,0)</f>
        <v>0</v>
      </c>
      <c r="CP88" s="65" t="n">
        <f aca="false">IF(CA88=1,0,IFERROR(VLOOKUP(BY88,'Gebinde-Kategorie'!$A$5:$N$45,5,0)+0,0))</f>
        <v>11</v>
      </c>
      <c r="CQ88" s="65" t="n">
        <f aca="false">IFERROR(IF(OR(CF88=1,CF88=2,CF88=3),N(INDEX(Parameter!$I$5:$I$7,CF88)),0),0)</f>
        <v>0</v>
      </c>
      <c r="CR88" s="64" t="n">
        <f aca="false">IF(AND(Parameter!$B$21="Ja",ISNUMBER(W88),N(X88)&gt;0),IFERROR(N(INDEX(Parameter!$L$5:$L$7,W88))*INDEX(Parameter!$E$5:$E$7,W88)*X88/SUMIFS($X$7:$X$1843,$W$7:$W$1843,W88),0),0)</f>
        <v>0</v>
      </c>
      <c r="CS88" s="62" t="n">
        <f aca="false">IF(AND(OR(CG88="L1",CG88="L23",CG88="LIFT"),H88&gt;0),CC88*IF(CR88&gt;0,CR88*MAX(1,H88/X88),IF(CA88=1,CE88,IF(R88&gt;0,CN88/R88,0))/MAX(0.1,N(Parameter!$M$21))),"")</f>
        <v>8.94230769230769</v>
      </c>
      <c r="CT88" s="64" t="n">
        <f aca="false">IF(CS88="","",J88/H88)</f>
        <v>1.13718411552347</v>
      </c>
      <c r="CU88" s="62" t="n">
        <f aca="false">IF(CS88="","",H88*G88)</f>
        <v>3437.57</v>
      </c>
      <c r="CV88" s="63" t="n">
        <f aca="false">IF(CS88="","",(CL88+ROUNDUP(CL88+MAX(CM88,2*(J88/MAX(0.1,N(Einkauf!$C$6))-CL88)),0))/2)</f>
        <v>182.5</v>
      </c>
      <c r="CW88" s="62" t="n">
        <f aca="false">IF(CS88="","",MAX(0,H88-CV88)*G88)</f>
        <v>1172.745</v>
      </c>
      <c r="CX88" s="62" t="n">
        <f aca="false">IF(CS88="","",CS88*MAX(0,1-CV88/H88))</f>
        <v>3.05071507914468</v>
      </c>
      <c r="CY88" s="64" t="n">
        <f aca="false">IF(CS88="","",PERCENTRANK($CS$7:$CS$1843,CS88)+PERCENTRANK($CU$7:$CU$1843,CU88)+1-PERCENTRANK($CT$7:$CT$1843,CT88))</f>
        <v>1.724</v>
      </c>
      <c r="CZ88" s="72" t="n">
        <f aca="false">IF(CS88="","",CHOOSE(MATCH(Einkauf!$C$5,Parameter!$G$23:$G$27,0),CY88,CS88,CU88,-CT88,CW88)+ROW()/1000000000)</f>
        <v>1.724000088</v>
      </c>
    </row>
    <row r="89" customFormat="false" ht="15" hidden="false" customHeight="false" outlineLevel="0" collapsed="false">
      <c r="A89" s="60" t="s">
        <v>428</v>
      </c>
      <c r="B89" s="60" t="s">
        <v>429</v>
      </c>
      <c r="C89" s="60" t="s">
        <v>206</v>
      </c>
      <c r="D89" s="60" t="s">
        <v>215</v>
      </c>
      <c r="E89" s="60"/>
      <c r="F89" s="60" t="s">
        <v>260</v>
      </c>
      <c r="G89" s="61" t="n">
        <v>1447</v>
      </c>
      <c r="H89" s="62" t="n">
        <f aca="false">MAX(0,IF(AND(Parameter!$B$21="Ja",ISNUMBER(Y89)),Y89,IF(Parameter!$B$20="Jahresanfang 2025 + Export",BS89+BR89,BR89)))</f>
        <v>2</v>
      </c>
      <c r="I89" s="62" t="n">
        <f aca="false">H89*G89</f>
        <v>2894</v>
      </c>
      <c r="J89" s="62" t="n">
        <f aca="false">BU89*Parameter!$B$18</f>
        <v>0</v>
      </c>
      <c r="K89" s="63" t="n">
        <v>1</v>
      </c>
      <c r="L89" s="64" t="n">
        <v>0</v>
      </c>
      <c r="M89" s="62" t="n">
        <v>0</v>
      </c>
      <c r="N89" s="62" t="n">
        <v>1</v>
      </c>
      <c r="O89" s="65" t="n">
        <v>70</v>
      </c>
      <c r="P89" s="60" t="s">
        <v>344</v>
      </c>
      <c r="Q89" s="62" t="n">
        <v>2</v>
      </c>
      <c r="R89" s="65" t="n">
        <f aca="false">IF(CA89=1,0,IFERROR(VLOOKUP(BY89,'Gebinde-Kategorie'!$A$5:$N$45,13,0)+0,0))</f>
        <v>26</v>
      </c>
      <c r="S89" s="66"/>
      <c r="T89" s="67"/>
      <c r="U89" s="67"/>
      <c r="V89" s="67"/>
      <c r="W89" s="60"/>
      <c r="X89" s="62"/>
      <c r="Y89" s="62"/>
      <c r="Z89" s="60" t="n">
        <v>3</v>
      </c>
      <c r="AA89" s="60" t="n">
        <f aca="false">IF(A89="","",IF(AND(Parameter!$B$21="Ja",ISNUMBER(W89)),W89,IF(AND(Parameter!$E$27="Ja",ISNUMBER(Z89),CD89&lt;&gt;"Nein"),Z89,IF(CD89="2+3",IF(ISNUMBER(SEARCH("grosser Artikel",BV89)),2,IFERROR(VLOOKUP(BY89,Parameter!$F$35:$G$64,2,0),2)),IF(OR(CD89="Nein",CD89=""),"-",CD89)))))</f>
        <v>3</v>
      </c>
      <c r="AB89" s="67"/>
      <c r="AC89" s="68"/>
      <c r="AD89" s="62" t="n">
        <f aca="false">AW89</f>
        <v>1</v>
      </c>
      <c r="AE89" s="62" t="n">
        <f aca="false">MAX(AW89,H89)</f>
        <v>2</v>
      </c>
      <c r="AF89" s="69"/>
      <c r="AG89" s="62" t="n">
        <f aca="false">IF(LEFT(Cockpit!$C$5,1)="A",H89,IF(Parameter!$E$30="MAX-Bestand",IF(CI89=1,CJ89,IF(LEFT(Cockpit!$C$5,1)="B",AM89,MAX(AM89,H89))),ROUNDUP(AK89,0)))</f>
        <v>2</v>
      </c>
      <c r="AH89" s="62" t="n">
        <f aca="false">IF(CA89=1,0,ROUNDUP(AG89/BZ89,0))</f>
        <v>1</v>
      </c>
      <c r="AI89" s="64" t="n">
        <f aca="false">IF(CR89&gt;0,CR89*MAX(1,AG89/X89),IF(CA89=1,IF(AG89&lt;=0,0,CE89*MAX(1,IF(H89&gt;0,AG89/H89,1))),IF(R89&gt;0,AH89/R89,0))/MAX(0.1,N(Parameter!$M$21)))</f>
        <v>0.0384615384615385</v>
      </c>
      <c r="AJ89" s="62" t="n">
        <f aca="false">AI89*CC89</f>
        <v>5.96153846153846</v>
      </c>
      <c r="AK89" s="63" t="n">
        <f aca="false">IF(LEFT(Cockpit!$C$5,1)="A",H89,IF(CI89=1,(CL89+CJ89)/2,IF(LEFT(Cockpit!$C$5,1)="B",(CL89+AM89)/2,MAX((CL89+AM89)/2,H89))))</f>
        <v>2</v>
      </c>
      <c r="AL89" s="62" t="n">
        <f aca="false">AK89*G89</f>
        <v>2894</v>
      </c>
      <c r="AM89" s="62" t="n">
        <f aca="false">ROUNDUP(CL89+MAX(CM89,2*(J89/IF(CH89&gt;0,CH89,MAX(0.1,N(Cockpit!$C$6)))-CL89)),0)</f>
        <v>1</v>
      </c>
      <c r="AN89" s="63" t="n">
        <f aca="false">IF(AJ89&gt;0,J89/AJ89,-1)</f>
        <v>0</v>
      </c>
      <c r="AO89" s="63" t="n">
        <f aca="false">IF(AND(OR(CG89="L1",CG89="L23",CG89="LIFT"),AJ89&gt;0),SUMIFS($AJ$7:$AJ$1843,$CG$7:$CG$1843,CG89,$AN$7:$AN$1843,"&gt;"&amp;AN89)+SUMIFS($AJ$7:$AJ$1843,$CG$7:$CG$1843,CG89,$AN$7:$AN$1843,AN89,$BX$7:$BX$1843,"&lt;="&amp;BX89),"")</f>
        <v>26970.1350111753</v>
      </c>
      <c r="AP89" s="70" t="n">
        <f aca="false">IF(AO89="",0,MAX(0,MIN(1,(IF(CG89="L1",Parameter!$H$5,IF(CG89="L23",Parameter!$H$6+Parameter!$H$7,Parameter!$H$5+Parameter!$H$6+Parameter!$H$7))-(AO89-AJ89))/AJ89)))</f>
        <v>1</v>
      </c>
      <c r="AQ89" s="62" t="n">
        <f aca="false">IF(LEFT(Cockpit!$I$5,1)="A",H89,IF(Parameter!$E$30="MAX-Bestand",IF(CI89=1,CJ89,IF(LEFT(Cockpit!$I$5,1)="B",AW89,MAX(AW89,H89))),ROUNDUP(AU89,0)))</f>
        <v>2</v>
      </c>
      <c r="AR89" s="62" t="n">
        <f aca="false">IF(CA89=1,0,ROUNDUP(AQ89/BZ89,0))</f>
        <v>1</v>
      </c>
      <c r="AS89" s="64" t="n">
        <f aca="false">IF(CR89&gt;0,CR89*MAX(1,AQ89/X89),IF(CA89=1,IF(AQ89&lt;=0,0,CE89*MAX(1,IF(H89&gt;0,AQ89/H89,1))),IF(R89&gt;0,AR89/R89,0))/MAX(0.1,N(Parameter!$M$21)))</f>
        <v>0.0384615384615385</v>
      </c>
      <c r="AT89" s="62" t="n">
        <f aca="false">AS89*CC89</f>
        <v>5.96153846153846</v>
      </c>
      <c r="AU89" s="63" t="n">
        <f aca="false">IF(LEFT(Cockpit!$I$5,1)="A",H89,IF(CI89=1,(CL89+CJ89)/2,IF(LEFT(Cockpit!$I$5,1)="B",(CL89+AW89)/2,MAX((CL89+AW89)/2,H89))))</f>
        <v>2</v>
      </c>
      <c r="AV89" s="62" t="n">
        <f aca="false">AU89*G89</f>
        <v>2894</v>
      </c>
      <c r="AW89" s="62" t="n">
        <f aca="false">ROUNDUP(CL89+MAX(CM89,2*(J89/IF(CH89&gt;0,CH89,MAX(0.1,N(Cockpit!$I$6)))-CL89)),0)</f>
        <v>1</v>
      </c>
      <c r="AX89" s="63" t="n">
        <f aca="false">IF(AT89&gt;0,J89/AT89,-1)</f>
        <v>0</v>
      </c>
      <c r="AY89" s="63" t="n">
        <f aca="false">IF(AND(OR(CG89="L1",CG89="L23",CG89="LIFT"),AT89&gt;0),SUMIFS($AT$7:$AT$1843,$CG$7:$CG$1843,CG89,$AX$7:$AX$1843,"&gt;"&amp;AX89)+SUMIFS($AT$7:$AT$1843,$CG$7:$CG$1843,CG89,$AX$7:$AX$1843,AX89,$BX$7:$BX$1843,"&lt;="&amp;BX89),"")</f>
        <v>32323.2836525527</v>
      </c>
      <c r="AZ89" s="70" t="n">
        <f aca="false">IF(AY89="",0,MAX(0,MIN(1,(IF(CG89="L1",Parameter!$H$5,IF(CG89="L23",Parameter!$H$6+Parameter!$H$7,Parameter!$H$5+Parameter!$H$6+Parameter!$H$7))-(AY89-AT89))/AT89)))</f>
        <v>1</v>
      </c>
      <c r="BA89" s="62" t="n">
        <f aca="false">IF(LEFT(Cockpit!$O$5,1)="A",H89,IF(Parameter!$E$30="MAX-Bestand",IF(CI89=1,CJ89,IF(LEFT(Cockpit!$O$5,1)="B",BG89,MAX(BG89,H89))),ROUNDUP(BE89,0)))</f>
        <v>1</v>
      </c>
      <c r="BB89" s="62" t="n">
        <f aca="false">IF(CA89=1,0,ROUNDUP(BA89/BZ89,0))</f>
        <v>1</v>
      </c>
      <c r="BC89" s="64" t="n">
        <f aca="false">IF(CR89&gt;0,CR89*MAX(1,BA89/X89),IF(CA89=1,IF(BA89&lt;=0,0,CE89*MAX(1,IF(H89&gt;0,BA89/H89,1))),IF(R89&gt;0,BB89/R89,0))/MAX(0.1,N(Parameter!$M$21)))</f>
        <v>0.0384615384615385</v>
      </c>
      <c r="BD89" s="62" t="n">
        <f aca="false">BC89*CC89</f>
        <v>5.96153846153846</v>
      </c>
      <c r="BE89" s="63" t="n">
        <f aca="false">IF(LEFT(Cockpit!$O$5,1)="A",H89,IF(CI89=1,(CL89+CJ89)/2,IF(LEFT(Cockpit!$O$5,1)="B",(CL89+BG89)/2,MAX((CL89+BG89)/2,H89))))</f>
        <v>0.5</v>
      </c>
      <c r="BF89" s="62" t="n">
        <f aca="false">BE89*G89</f>
        <v>723.5</v>
      </c>
      <c r="BG89" s="62" t="n">
        <f aca="false">ROUNDUP(CL89+MAX(CM89,2*(J89/IF(CH89&gt;0,CH89,MAX(0.1,N(Cockpit!$O$6)))-CL89)),0)</f>
        <v>1</v>
      </c>
      <c r="BH89" s="63" t="n">
        <f aca="false">IF(BD89&gt;0,J89/BD89,-1)</f>
        <v>0</v>
      </c>
      <c r="BI89" s="63" t="n">
        <f aca="false">IF(AND(OR(CG89="L1",CG89="L23",CG89="LIFT"),BD89&gt;0),SUMIFS($BD$7:$BD$1843,$CG$7:$CG$1843,CG89,$BH$7:$BH$1843,"&gt;"&amp;BH89)+SUMIFS($BD$7:$BD$1843,$CG$7:$CG$1843,CG89,$BH$7:$BH$1843,BH89,$BX$7:$BX$1843,"&lt;="&amp;BX89),"")</f>
        <v>26519.8654958507</v>
      </c>
      <c r="BJ89" s="70" t="n">
        <f aca="false">IF(BI89="",0,MAX(0,MIN(1,(IF(CG89="L1",Parameter!$H$5,IF(CG89="L23",Parameter!$H$6+Parameter!$H$7,Parameter!$H$5+Parameter!$H$6+Parameter!$H$7))-(BI89-BD89))/BD89)))</f>
        <v>1</v>
      </c>
      <c r="BK89" s="60" t="str">
        <f aca="false">IF(AJ89&lt;=0,"",IF(CG89="Aussen","Aussenlager",IF(CG89="-","Nicht im Lift",IF(AP89&gt;=1,"Lift",IF(AP89&lt;=0,"Aussenlager","teilweise")))))</f>
        <v>Lift</v>
      </c>
      <c r="BL89" s="60" t="str">
        <f aca="false">IF(AT89&lt;=0,"",IF(CG89="Aussen","Aussenlager",IF(CG89="-","Nicht im Lift",IF(AZ89&gt;=1,"Lift",IF(AZ89&lt;=0,"Aussenlager","teilweise")))))</f>
        <v>Lift</v>
      </c>
      <c r="BM89" s="60" t="str">
        <f aca="false">IF(BD89&lt;=0,"",IF(CG89="Aussen","Aussenlager",IF(CG89="-","Nicht im Lift",IF(BJ89&gt;=1,"Lift",IF(BJ89&lt;=0,"Aussenlager","teilweise")))))</f>
        <v>Lift</v>
      </c>
      <c r="BN89" s="60" t="str">
        <f aca="false">IF(A89="","",IF(BW89=1,"Neu; ","")&amp;IF(AND(BW89=0,BR89&lt;0),"negativer Bestand (Export "&amp;BR89&amp;"); ","")&amp;IF(J89&lt;=0,"Kein Verbrauch; ","")&amp;IF(CR89&gt;0,"Lift "&amp;W89&amp;" lt. Liftbericht (Fach "&amp;X89&amp;" Stk); ",IF(CB89=1,"Gebinde geschätzt ("&amp;T89&amp;"); ",IF(CA89=1,"Lose – Tablare geschätzt; ","")))&amp;IF(H89&gt;AW89,"Überbestand "&amp;ROUND(H89-AW89,0)&amp;" Stk / CHF "&amp;ROUND((H89-AW89)*G89,0)&amp;"; ","")&amp;IF(AND(CI89=1,CJ89&lt;CK89),"MAX &lt; MB+LG; ","")&amp;IF(AND(CQ89&gt;0,CP89*10&gt;CQ89),"zu hoch für Tablar; ","")&amp;IF(AND(BW89=0,OR(CI89=1,AB89&lt;&gt;"",U89&lt;&gt;"",V89&lt;&gt;"",AC89&lt;&gt;"")),"manuell übersteuert; ","")&amp;IF(AND(CA89=0,R89=0),"Gebinde unbekannt / Stellmass fehlt; ","")&amp;IF(AND(CA89=0,N(V89)&lt;=0,N(Q89)&lt;=0),"Menge pro Gebinde fehlt (Ist = 1 Gebinde); ","")&amp;BV89)</f>
        <v>Kein Verbrauch; Überbestand 1 Stk / CHF 1447; </v>
      </c>
      <c r="BO89" s="60" t="s">
        <v>430</v>
      </c>
      <c r="BP89" s="60" t="s">
        <v>431</v>
      </c>
      <c r="BQ89" s="67"/>
      <c r="BR89" s="62" t="n">
        <v>2</v>
      </c>
      <c r="BS89" s="62" t="n">
        <v>0</v>
      </c>
      <c r="BT89" s="61" t="n">
        <v>2894</v>
      </c>
      <c r="BU89" s="62" t="n">
        <v>0</v>
      </c>
      <c r="BV89" s="60"/>
      <c r="BW89" s="65" t="n">
        <v>0</v>
      </c>
      <c r="BX89" s="65" t="n">
        <v>89</v>
      </c>
      <c r="BY89" s="60" t="str">
        <f aca="false">IF(U89&lt;&gt;"",UPPER(TRIM(U89)),IF(CB89=1,UPPER(VLOOKUP(T89,Parameter!$I$27:$K$29,2,0)),IF(P89="","LOSE",P89)))</f>
        <v>S51</v>
      </c>
      <c r="BZ89" s="62" t="n">
        <f aca="false">IF(BY89="LOSE",1,IF(N(V89)&gt;0,V89,IF(CB89=1,MAX(1,N(VLOOKUP(T89,Parameter!$I$27:$K$29,3,0)),H89,N(N89)),IF(N(Q89)&gt;0,Q89,MAX(1,H89)))))</f>
        <v>2</v>
      </c>
      <c r="CA89" s="65" t="n">
        <f aca="false">IF(BY89="LOSE",1,0)</f>
        <v>0</v>
      </c>
      <c r="CB89" s="65" t="n">
        <f aca="false">IF(AND(U89="",OR(P89="",P89="LOSE"),T89&lt;&gt;"",N(S89)&lt;=0,ISNUMBER(MATCH(T89,Parameter!$I$27:$I$29,0))),1,0)</f>
        <v>0</v>
      </c>
      <c r="CC89" s="65" t="n">
        <f aca="false">IF(CR89&gt;0,INDEX(Parameter!$H$5:$H$7,W89)/INDEX(Parameter!$E$5:$E$7,W89),IF(AND(CA89=0,N(IFERROR(VLOOKUP(BY89,'Gebinde-Kategorie'!$A$5:$N$45,14,0),0))&gt;0),VLOOKUP(BY89,'Gebinde-Kategorie'!$A$5:$N$45,14,0)*10+Parameter!$M$23,Parameter!$M$24))</f>
        <v>155</v>
      </c>
      <c r="CD89" s="60" t="str">
        <f aca="false">IF(AND(Parameter!$B$19="Ja",E89&lt;&gt;"",ISNUMBER(MATCH(E89,Parameter!$I$35:$I$52,0))),VLOOKUP(E89,Parameter!$I$35:$J$52,2,0),IFERROR(VLOOKUP(D89,Parameter!$A$35:$C$64,2,0),"Nein"))</f>
        <v>2+3</v>
      </c>
      <c r="CE89" s="64" t="n">
        <f aca="false">IF(CA89=0,0,IF(N(S89)&gt;0,S89,IFERROR(VLOOKUP(D89,Parameter!$A$35:$C$64,3,0)+0,0)))</f>
        <v>0</v>
      </c>
      <c r="CF89" s="60" t="n">
        <f aca="false">IF(AB89&lt;&gt;"",AB89,AA89)</f>
        <v>3</v>
      </c>
      <c r="CG89" s="60" t="str">
        <f aca="false">IF(OR(CF89=1,CF89=2,CF89=3),IF(Parameter!$E$27="Ja","LIFT",IF(CF89=1,"L1","L23")),IF(CF89="Aussen","Aussen","-"))</f>
        <v>LIFT</v>
      </c>
      <c r="CH89" s="71" t="n">
        <f aca="false">IF(N(AC89)&gt;0,AC89,0)</f>
        <v>0</v>
      </c>
      <c r="CI89" s="65" t="n">
        <f aca="false">IF(ISNUMBER(AF89),1,0)</f>
        <v>0</v>
      </c>
      <c r="CJ89" s="62" t="n">
        <f aca="false">N(AF89)</f>
        <v>0</v>
      </c>
      <c r="CK89" s="62" t="n">
        <f aca="false">N(M89)+N(N89)</f>
        <v>1</v>
      </c>
      <c r="CL89" s="62" t="n">
        <f aca="false">N(M89)</f>
        <v>0</v>
      </c>
      <c r="CM89" s="62" t="n">
        <f aca="false">N(N89)</f>
        <v>1</v>
      </c>
      <c r="CN89" s="62" t="n">
        <f aca="false">ROUNDUP(H89/BZ89,0)</f>
        <v>1</v>
      </c>
      <c r="CO89" s="62" t="n">
        <f aca="false">ROUNDUP(CJ89/BZ89,0)</f>
        <v>0</v>
      </c>
      <c r="CP89" s="65" t="n">
        <f aca="false">IF(CA89=1,0,IFERROR(VLOOKUP(BY89,'Gebinde-Kategorie'!$A$5:$N$45,5,0)+0,0))</f>
        <v>11</v>
      </c>
      <c r="CQ89" s="65" t="n">
        <f aca="false">IFERROR(IF(OR(CF89=1,CF89=2,CF89=3),N(INDEX(Parameter!$I$5:$I$7,CF89)),0),0)</f>
        <v>0</v>
      </c>
      <c r="CR89" s="64" t="n">
        <f aca="false">IF(AND(Parameter!$B$21="Ja",ISNUMBER(W89),N(X89)&gt;0),IFERROR(N(INDEX(Parameter!$L$5:$L$7,W89))*INDEX(Parameter!$E$5:$E$7,W89)*X89/SUMIFS($X$7:$X$1843,$W$7:$W$1843,W89),0),0)</f>
        <v>0</v>
      </c>
      <c r="CS89" s="62" t="n">
        <f aca="false">IF(AND(OR(CG89="L1",CG89="L23",CG89="LIFT"),H89&gt;0),CC89*IF(CR89&gt;0,CR89*MAX(1,H89/X89),IF(CA89=1,CE89,IF(R89&gt;0,CN89/R89,0))/MAX(0.1,N(Parameter!$M$21))),"")</f>
        <v>5.96153846153846</v>
      </c>
      <c r="CT89" s="64" t="n">
        <f aca="false">IF(CS89="","",J89/H89)</f>
        <v>0</v>
      </c>
      <c r="CU89" s="62" t="n">
        <f aca="false">IF(CS89="","",H89*G89)</f>
        <v>2894</v>
      </c>
      <c r="CV89" s="63" t="n">
        <f aca="false">IF(CS89="","",(CL89+ROUNDUP(CL89+MAX(CM89,2*(J89/MAX(0.1,N(Einkauf!$C$6))-CL89)),0))/2)</f>
        <v>0.5</v>
      </c>
      <c r="CW89" s="62" t="n">
        <f aca="false">IF(CS89="","",MAX(0,H89-CV89)*G89)</f>
        <v>2170.5</v>
      </c>
      <c r="CX89" s="62" t="n">
        <f aca="false">IF(CS89="","",CS89*MAX(0,1-CV89/H89))</f>
        <v>4.47115384615385</v>
      </c>
      <c r="CY89" s="64" t="n">
        <f aca="false">IF(CS89="","",PERCENTRANK($CS$7:$CS$1843,CS89)+PERCENTRANK($CU$7:$CU$1843,CU89)+1-PERCENTRANK($CT$7:$CT$1843,CT89))</f>
        <v>2.178</v>
      </c>
      <c r="CZ89" s="72" t="n">
        <f aca="false">IF(CS89="","",CHOOSE(MATCH(Einkauf!$C$5,Parameter!$G$23:$G$27,0),CY89,CS89,CU89,-CT89,CW89)+ROW()/1000000000)</f>
        <v>2.178000089</v>
      </c>
    </row>
    <row r="90" customFormat="false" ht="15" hidden="false" customHeight="false" outlineLevel="0" collapsed="false">
      <c r="A90" s="60" t="s">
        <v>432</v>
      </c>
      <c r="B90" s="60" t="s">
        <v>433</v>
      </c>
      <c r="C90" s="60" t="s">
        <v>206</v>
      </c>
      <c r="D90" s="60" t="s">
        <v>226</v>
      </c>
      <c r="E90" s="60" t="s">
        <v>227</v>
      </c>
      <c r="F90" s="60" t="s">
        <v>260</v>
      </c>
      <c r="G90" s="61" t="n">
        <v>294.55</v>
      </c>
      <c r="H90" s="62" t="n">
        <f aca="false">MAX(0,IF(AND(Parameter!$B$21="Ja",ISNUMBER(Y90)),Y90,IF(Parameter!$B$20="Jahresanfang 2025 + Export",BS90+BR90,BR90)))</f>
        <v>13</v>
      </c>
      <c r="I90" s="62" t="n">
        <f aca="false">H90*G90</f>
        <v>3829.15</v>
      </c>
      <c r="J90" s="62" t="n">
        <f aca="false">BU90*Parameter!$B$18</f>
        <v>2</v>
      </c>
      <c r="K90" s="63" t="n">
        <v>9</v>
      </c>
      <c r="L90" s="64" t="n">
        <v>0.222222222222222</v>
      </c>
      <c r="M90" s="62" t="n">
        <v>0</v>
      </c>
      <c r="N90" s="62" t="n">
        <v>1</v>
      </c>
      <c r="O90" s="65" t="n">
        <v>42</v>
      </c>
      <c r="P90" s="60" t="s">
        <v>275</v>
      </c>
      <c r="Q90" s="62" t="n">
        <v>17</v>
      </c>
      <c r="R90" s="65" t="n">
        <f aca="false">IF(CA90=1,0,IFERROR(VLOOKUP(BY90,'Gebinde-Kategorie'!$A$5:$N$45,13,0)+0,0))</f>
        <v>26</v>
      </c>
      <c r="S90" s="66"/>
      <c r="T90" s="67"/>
      <c r="U90" s="67"/>
      <c r="V90" s="67"/>
      <c r="W90" s="60"/>
      <c r="X90" s="62"/>
      <c r="Y90" s="62"/>
      <c r="Z90" s="60" t="n">
        <v>3</v>
      </c>
      <c r="AA90" s="60" t="n">
        <f aca="false">IF(A90="","",IF(AND(Parameter!$B$21="Ja",ISNUMBER(W90)),W90,IF(AND(Parameter!$E$27="Ja",ISNUMBER(Z90),CD90&lt;&gt;"Nein"),Z90,IF(CD90="2+3",IF(ISNUMBER(SEARCH("grosser Artikel",BV90)),2,IFERROR(VLOOKUP(BY90,Parameter!$F$35:$G$64,2,0),2)),IF(OR(CD90="Nein",CD90=""),"-",CD90)))))</f>
        <v>3</v>
      </c>
      <c r="AB90" s="67"/>
      <c r="AC90" s="68"/>
      <c r="AD90" s="62" t="n">
        <f aca="false">AW90</f>
        <v>2</v>
      </c>
      <c r="AE90" s="62" t="n">
        <f aca="false">MAX(AW90,H90)</f>
        <v>13</v>
      </c>
      <c r="AF90" s="69"/>
      <c r="AG90" s="62" t="n">
        <f aca="false">IF(LEFT(Cockpit!$C$5,1)="A",H90,IF(Parameter!$E$30="MAX-Bestand",IF(CI90=1,CJ90,IF(LEFT(Cockpit!$C$5,1)="B",AM90,MAX(AM90,H90))),ROUNDUP(AK90,0)))</f>
        <v>13</v>
      </c>
      <c r="AH90" s="62" t="n">
        <f aca="false">IF(CA90=1,0,ROUNDUP(AG90/BZ90,0))</f>
        <v>1</v>
      </c>
      <c r="AI90" s="64" t="n">
        <f aca="false">IF(CR90&gt;0,CR90*MAX(1,AG90/X90),IF(CA90=1,IF(AG90&lt;=0,0,CE90*MAX(1,IF(H90&gt;0,AG90/H90,1))),IF(R90&gt;0,AH90/R90,0))/MAX(0.1,N(Parameter!$M$21)))</f>
        <v>0.0384615384615385</v>
      </c>
      <c r="AJ90" s="62" t="n">
        <f aca="false">AI90*CC90</f>
        <v>9.42307692307692</v>
      </c>
      <c r="AK90" s="63" t="n">
        <f aca="false">IF(LEFT(Cockpit!$C$5,1)="A",H90,IF(CI90=1,(CL90+CJ90)/2,IF(LEFT(Cockpit!$C$5,1)="B",(CL90+AM90)/2,MAX((CL90+AM90)/2,H90))))</f>
        <v>13</v>
      </c>
      <c r="AL90" s="62" t="n">
        <f aca="false">AK90*G90</f>
        <v>3829.15</v>
      </c>
      <c r="AM90" s="62" t="n">
        <f aca="false">ROUNDUP(CL90+MAX(CM90,2*(J90/IF(CH90&gt;0,CH90,MAX(0.1,N(Cockpit!$C$6)))-CL90)),0)</f>
        <v>2</v>
      </c>
      <c r="AN90" s="63" t="n">
        <f aca="false">IF(AJ90&gt;0,J90/AJ90,-1)</f>
        <v>0.212244897959184</v>
      </c>
      <c r="AO90" s="63" t="n">
        <f aca="false">IF(AND(OR(CG90="L1",CG90="L23",CG90="LIFT"),AJ90&gt;0),SUMIFS($AJ$7:$AJ$1843,$CG$7:$CG$1843,CG90,$AN$7:$AN$1843,"&gt;"&amp;AN90)+SUMIFS($AJ$7:$AJ$1843,$CG$7:$CG$1843,CG90,$AN$7:$AN$1843,AN90,$BX$7:$BX$1843,"&lt;="&amp;BX90),"")</f>
        <v>12335.8555157178</v>
      </c>
      <c r="AP90" s="70" t="n">
        <f aca="false">IF(AO90="",0,MAX(0,MIN(1,(IF(CG90="L1",Parameter!$H$5,IF(CG90="L23",Parameter!$H$6+Parameter!$H$7,Parameter!$H$5+Parameter!$H$6+Parameter!$H$7))-(AO90-AJ90))/AJ90)))</f>
        <v>1</v>
      </c>
      <c r="AQ90" s="62" t="n">
        <f aca="false">IF(LEFT(Cockpit!$I$5,1)="A",H90,IF(Parameter!$E$30="MAX-Bestand",IF(CI90=1,CJ90,IF(LEFT(Cockpit!$I$5,1)="B",AW90,MAX(AW90,H90))),ROUNDUP(AU90,0)))</f>
        <v>13</v>
      </c>
      <c r="AR90" s="62" t="n">
        <f aca="false">IF(CA90=1,0,ROUNDUP(AQ90/BZ90,0))</f>
        <v>1</v>
      </c>
      <c r="AS90" s="64" t="n">
        <f aca="false">IF(CR90&gt;0,CR90*MAX(1,AQ90/X90),IF(CA90=1,IF(AQ90&lt;=0,0,CE90*MAX(1,IF(H90&gt;0,AQ90/H90,1))),IF(R90&gt;0,AR90/R90,0))/MAX(0.1,N(Parameter!$M$21)))</f>
        <v>0.0384615384615385</v>
      </c>
      <c r="AT90" s="62" t="n">
        <f aca="false">AS90*CC90</f>
        <v>9.42307692307692</v>
      </c>
      <c r="AU90" s="63" t="n">
        <f aca="false">IF(LEFT(Cockpit!$I$5,1)="A",H90,IF(CI90=1,(CL90+CJ90)/2,IF(LEFT(Cockpit!$I$5,1)="B",(CL90+AW90)/2,MAX((CL90+AW90)/2,H90))))</f>
        <v>13</v>
      </c>
      <c r="AV90" s="62" t="n">
        <f aca="false">AU90*G90</f>
        <v>3829.15</v>
      </c>
      <c r="AW90" s="62" t="n">
        <f aca="false">ROUNDUP(CL90+MAX(CM90,2*(J90/IF(CH90&gt;0,CH90,MAX(0.1,N(Cockpit!$I$6)))-CL90)),0)</f>
        <v>2</v>
      </c>
      <c r="AX90" s="63" t="n">
        <f aca="false">IF(AT90&gt;0,J90/AT90,-1)</f>
        <v>0.212244897959184</v>
      </c>
      <c r="AY90" s="63" t="n">
        <f aca="false">IF(AND(OR(CG90="L1",CG90="L23",CG90="LIFT"),AT90&gt;0),SUMIFS($AT$7:$AT$1843,$CG$7:$CG$1843,CG90,$AX$7:$AX$1843,"&gt;"&amp;AX90)+SUMIFS($AT$7:$AT$1843,$CG$7:$CG$1843,CG90,$AX$7:$AX$1843,AX90,$BX$7:$BX$1843,"&lt;="&amp;BX90),"")</f>
        <v>15165.1130952381</v>
      </c>
      <c r="AZ90" s="70" t="n">
        <f aca="false">IF(AY90="",0,MAX(0,MIN(1,(IF(CG90="L1",Parameter!$H$5,IF(CG90="L23",Parameter!$H$6+Parameter!$H$7,Parameter!$H$5+Parameter!$H$6+Parameter!$H$7))-(AY90-AT90))/AT90)))</f>
        <v>1</v>
      </c>
      <c r="BA90" s="62" t="n">
        <f aca="false">IF(LEFT(Cockpit!$O$5,1)="A",H90,IF(Parameter!$E$30="MAX-Bestand",IF(CI90=1,CJ90,IF(LEFT(Cockpit!$O$5,1)="B",BG90,MAX(BG90,H90))),ROUNDUP(BE90,0)))</f>
        <v>1</v>
      </c>
      <c r="BB90" s="62" t="n">
        <f aca="false">IF(CA90=1,0,ROUNDUP(BA90/BZ90,0))</f>
        <v>1</v>
      </c>
      <c r="BC90" s="64" t="n">
        <f aca="false">IF(CR90&gt;0,CR90*MAX(1,BA90/X90),IF(CA90=1,IF(BA90&lt;=0,0,CE90*MAX(1,IF(H90&gt;0,BA90/H90,1))),IF(R90&gt;0,BB90/R90,0))/MAX(0.1,N(Parameter!$M$21)))</f>
        <v>0.0384615384615385</v>
      </c>
      <c r="BD90" s="62" t="n">
        <f aca="false">BC90*CC90</f>
        <v>9.42307692307692</v>
      </c>
      <c r="BE90" s="63" t="n">
        <f aca="false">IF(LEFT(Cockpit!$O$5,1)="A",H90,IF(CI90=1,(CL90+CJ90)/2,IF(LEFT(Cockpit!$O$5,1)="B",(CL90+BG90)/2,MAX((CL90+BG90)/2,H90))))</f>
        <v>0.5</v>
      </c>
      <c r="BF90" s="62" t="n">
        <f aca="false">BE90*G90</f>
        <v>147.275</v>
      </c>
      <c r="BG90" s="62" t="n">
        <f aca="false">ROUNDUP(CL90+MAX(CM90,2*(J90/IF(CH90&gt;0,CH90,MAX(0.1,N(Cockpit!$O$6)))-CL90)),0)</f>
        <v>1</v>
      </c>
      <c r="BH90" s="63" t="n">
        <f aca="false">IF(BD90&gt;0,J90/BD90,-1)</f>
        <v>0.212244897959184</v>
      </c>
      <c r="BI90" s="63" t="n">
        <f aca="false">IF(AND(OR(CG90="L1",CG90="L23",CG90="LIFT"),BD90&gt;0),SUMIFS($BD$7:$BD$1843,$CG$7:$CG$1843,CG90,$BH$7:$BH$1843,"&gt;"&amp;BH90)+SUMIFS($BD$7:$BD$1843,$CG$7:$CG$1843,CG90,$BH$7:$BH$1843,BH90,$BX$7:$BX$1843,"&lt;="&amp;BX90),"")</f>
        <v>12307.3978937729</v>
      </c>
      <c r="BJ90" s="70" t="n">
        <f aca="false">IF(BI90="",0,MAX(0,MIN(1,(IF(CG90="L1",Parameter!$H$5,IF(CG90="L23",Parameter!$H$6+Parameter!$H$7,Parameter!$H$5+Parameter!$H$6+Parameter!$H$7))-(BI90-BD90))/BD90)))</f>
        <v>1</v>
      </c>
      <c r="BK90" s="60" t="str">
        <f aca="false">IF(AJ90&lt;=0,"",IF(CG90="Aussen","Aussenlager",IF(CG90="-","Nicht im Lift",IF(AP90&gt;=1,"Lift",IF(AP90&lt;=0,"Aussenlager","teilweise")))))</f>
        <v>Lift</v>
      </c>
      <c r="BL90" s="60" t="str">
        <f aca="false">IF(AT90&lt;=0,"",IF(CG90="Aussen","Aussenlager",IF(CG90="-","Nicht im Lift",IF(AZ90&gt;=1,"Lift",IF(AZ90&lt;=0,"Aussenlager","teilweise")))))</f>
        <v>Lift</v>
      </c>
      <c r="BM90" s="60" t="str">
        <f aca="false">IF(BD90&lt;=0,"",IF(CG90="Aussen","Aussenlager",IF(CG90="-","Nicht im Lift",IF(BJ90&gt;=1,"Lift",IF(BJ90&lt;=0,"Aussenlager","teilweise")))))</f>
        <v>Lift</v>
      </c>
      <c r="BN90" s="60" t="str">
        <f aca="false">IF(A90="","",IF(BW90=1,"Neu; ","")&amp;IF(AND(BW90=0,BR90&lt;0),"negativer Bestand (Export "&amp;BR90&amp;"); ","")&amp;IF(J90&lt;=0,"Kein Verbrauch; ","")&amp;IF(CR90&gt;0,"Lift "&amp;W90&amp;" lt. Liftbericht (Fach "&amp;X90&amp;" Stk); ",IF(CB90=1,"Gebinde geschätzt ("&amp;T90&amp;"); ",IF(CA90=1,"Lose – Tablare geschätzt; ","")))&amp;IF(H90&gt;AW90,"Überbestand "&amp;ROUND(H90-AW90,0)&amp;" Stk / CHF "&amp;ROUND((H90-AW90)*G90,0)&amp;"; ","")&amp;IF(AND(CI90=1,CJ90&lt;CK90),"MAX &lt; MB+LG; ","")&amp;IF(AND(CQ90&gt;0,CP90*10&gt;CQ90),"zu hoch für Tablar; ","")&amp;IF(AND(BW90=0,OR(CI90=1,AB90&lt;&gt;"",U90&lt;&gt;"",V90&lt;&gt;"",AC90&lt;&gt;"")),"manuell übersteuert; ","")&amp;IF(AND(CA90=0,R90=0),"Gebinde unbekannt / Stellmass fehlt; ","")&amp;IF(AND(CA90=0,N(V90)&lt;=0,N(Q90)&lt;=0),"Menge pro Gebinde fehlt (Ist = 1 Gebinde); ","")&amp;BV90)</f>
        <v>Überbestand 11 Stk / CHF 3240; Überbestand</v>
      </c>
      <c r="BO90" s="60"/>
      <c r="BP90" s="60"/>
      <c r="BQ90" s="67"/>
      <c r="BR90" s="62" t="n">
        <v>8</v>
      </c>
      <c r="BS90" s="62" t="n">
        <v>5</v>
      </c>
      <c r="BT90" s="61" t="n">
        <v>2784.35</v>
      </c>
      <c r="BU90" s="62" t="n">
        <v>2</v>
      </c>
      <c r="BV90" s="60" t="s">
        <v>434</v>
      </c>
      <c r="BW90" s="65" t="n">
        <v>0</v>
      </c>
      <c r="BX90" s="65" t="n">
        <v>90</v>
      </c>
      <c r="BY90" s="60" t="str">
        <f aca="false">IF(U90&lt;&gt;"",UPPER(TRIM(U90)),IF(CB90=1,UPPER(VLOOKUP(T90,Parameter!$I$27:$K$29,2,0)),IF(P90="","LOSE",P90)))</f>
        <v>S52</v>
      </c>
      <c r="BZ90" s="62" t="n">
        <f aca="false">IF(BY90="LOSE",1,IF(N(V90)&gt;0,V90,IF(CB90=1,MAX(1,N(VLOOKUP(T90,Parameter!$I$27:$K$29,3,0)),H90,N(N90)),IF(N(Q90)&gt;0,Q90,MAX(1,H90)))))</f>
        <v>17</v>
      </c>
      <c r="CA90" s="65" t="n">
        <f aca="false">IF(BY90="LOSE",1,0)</f>
        <v>0</v>
      </c>
      <c r="CB90" s="65" t="n">
        <f aca="false">IF(AND(U90="",OR(P90="",P90="LOSE"),T90&lt;&gt;"",N(S90)&lt;=0,ISNUMBER(MATCH(T90,Parameter!$I$27:$I$29,0))),1,0)</f>
        <v>0</v>
      </c>
      <c r="CC90" s="65" t="n">
        <f aca="false">IF(CR90&gt;0,INDEX(Parameter!$H$5:$H$7,W90)/INDEX(Parameter!$E$5:$E$7,W90),IF(AND(CA90=0,N(IFERROR(VLOOKUP(BY90,'Gebinde-Kategorie'!$A$5:$N$45,14,0),0))&gt;0),VLOOKUP(BY90,'Gebinde-Kategorie'!$A$5:$N$45,14,0)*10+Parameter!$M$23,Parameter!$M$24))</f>
        <v>245</v>
      </c>
      <c r="CD90" s="60" t="str">
        <f aca="false">IF(AND(Parameter!$B$19="Ja",E90&lt;&gt;"",ISNUMBER(MATCH(E90,Parameter!$I$35:$I$52,0))),VLOOKUP(E90,Parameter!$I$35:$J$52,2,0),IFERROR(VLOOKUP(D90,Parameter!$A$35:$C$64,2,0),"Nein"))</f>
        <v>2+3</v>
      </c>
      <c r="CE90" s="64" t="n">
        <f aca="false">IF(CA90=0,0,IF(N(S90)&gt;0,S90,IFERROR(VLOOKUP(D90,Parameter!$A$35:$C$64,3,0)+0,0)))</f>
        <v>0</v>
      </c>
      <c r="CF90" s="60" t="n">
        <f aca="false">IF(AB90&lt;&gt;"",AB90,AA90)</f>
        <v>3</v>
      </c>
      <c r="CG90" s="60" t="str">
        <f aca="false">IF(OR(CF90=1,CF90=2,CF90=3),IF(Parameter!$E$27="Ja","LIFT",IF(CF90=1,"L1","L23")),IF(CF90="Aussen","Aussen","-"))</f>
        <v>LIFT</v>
      </c>
      <c r="CH90" s="71" t="n">
        <f aca="false">IF(N(AC90)&gt;0,AC90,0)</f>
        <v>0</v>
      </c>
      <c r="CI90" s="65" t="n">
        <f aca="false">IF(ISNUMBER(AF90),1,0)</f>
        <v>0</v>
      </c>
      <c r="CJ90" s="62" t="n">
        <f aca="false">N(AF90)</f>
        <v>0</v>
      </c>
      <c r="CK90" s="62" t="n">
        <f aca="false">N(M90)+N(N90)</f>
        <v>1</v>
      </c>
      <c r="CL90" s="62" t="n">
        <f aca="false">N(M90)</f>
        <v>0</v>
      </c>
      <c r="CM90" s="62" t="n">
        <f aca="false">N(N90)</f>
        <v>1</v>
      </c>
      <c r="CN90" s="62" t="n">
        <f aca="false">ROUNDUP(H90/BZ90,0)</f>
        <v>1</v>
      </c>
      <c r="CO90" s="62" t="n">
        <f aca="false">ROUNDUP(CJ90/BZ90,0)</f>
        <v>0</v>
      </c>
      <c r="CP90" s="65" t="n">
        <f aca="false">IF(CA90=1,0,IFERROR(VLOOKUP(BY90,'Gebinde-Kategorie'!$A$5:$N$45,5,0)+0,0))</f>
        <v>21</v>
      </c>
      <c r="CQ90" s="65" t="n">
        <f aca="false">IFERROR(IF(OR(CF90=1,CF90=2,CF90=3),N(INDEX(Parameter!$I$5:$I$7,CF90)),0),0)</f>
        <v>0</v>
      </c>
      <c r="CR90" s="64" t="n">
        <f aca="false">IF(AND(Parameter!$B$21="Ja",ISNUMBER(W90),N(X90)&gt;0),IFERROR(N(INDEX(Parameter!$L$5:$L$7,W90))*INDEX(Parameter!$E$5:$E$7,W90)*X90/SUMIFS($X$7:$X$1843,$W$7:$W$1843,W90),0),0)</f>
        <v>0</v>
      </c>
      <c r="CS90" s="62" t="n">
        <f aca="false">IF(AND(OR(CG90="L1",CG90="L23",CG90="LIFT"),H90&gt;0),CC90*IF(CR90&gt;0,CR90*MAX(1,H90/X90),IF(CA90=1,CE90,IF(R90&gt;0,CN90/R90,0))/MAX(0.1,N(Parameter!$M$21))),"")</f>
        <v>9.42307692307692</v>
      </c>
      <c r="CT90" s="64" t="n">
        <f aca="false">IF(CS90="","",J90/H90)</f>
        <v>0.153846153846154</v>
      </c>
      <c r="CU90" s="62" t="n">
        <f aca="false">IF(CS90="","",H90*G90)</f>
        <v>3829.15</v>
      </c>
      <c r="CV90" s="63" t="n">
        <f aca="false">IF(CS90="","",(CL90+ROUNDUP(CL90+MAX(CM90,2*(J90/MAX(0.1,N(Einkauf!$C$6))-CL90)),0))/2)</f>
        <v>0.5</v>
      </c>
      <c r="CW90" s="62" t="n">
        <f aca="false">IF(CS90="","",MAX(0,H90-CV90)*G90)</f>
        <v>3681.875</v>
      </c>
      <c r="CX90" s="62" t="n">
        <f aca="false">IF(CS90="","",CS90*MAX(0,1-CV90/H90))</f>
        <v>9.06065088757397</v>
      </c>
      <c r="CY90" s="64" t="n">
        <f aca="false">IF(CS90="","",PERCENTRANK($CS$7:$CS$1843,CS90)+PERCENTRANK($CU$7:$CU$1843,CU90)+1-PERCENTRANK($CT$7:$CT$1843,CT90))</f>
        <v>1.998</v>
      </c>
      <c r="CZ90" s="72" t="n">
        <f aca="false">IF(CS90="","",CHOOSE(MATCH(Einkauf!$C$5,Parameter!$G$23:$G$27,0),CY90,CS90,CU90,-CT90,CW90)+ROW()/1000000000)</f>
        <v>1.99800009</v>
      </c>
    </row>
    <row r="91" customFormat="false" ht="15" hidden="false" customHeight="false" outlineLevel="0" collapsed="false">
      <c r="A91" s="60" t="s">
        <v>435</v>
      </c>
      <c r="B91" s="60" t="s">
        <v>436</v>
      </c>
      <c r="C91" s="60" t="s">
        <v>206</v>
      </c>
      <c r="D91" s="60" t="s">
        <v>215</v>
      </c>
      <c r="E91" s="60" t="s">
        <v>208</v>
      </c>
      <c r="F91" s="60" t="s">
        <v>260</v>
      </c>
      <c r="G91" s="61" t="n">
        <v>335.82</v>
      </c>
      <c r="H91" s="62" t="n">
        <f aca="false">MAX(0,IF(AND(Parameter!$B$21="Ja",ISNUMBER(Y91)),Y91,IF(Parameter!$B$20="Jahresanfang 2025 + Export",BS91+BR91,BR91)))</f>
        <v>15</v>
      </c>
      <c r="I91" s="62" t="n">
        <f aca="false">H91*G91</f>
        <v>5037.3</v>
      </c>
      <c r="J91" s="62" t="n">
        <f aca="false">BU91*Parameter!$B$18</f>
        <v>30</v>
      </c>
      <c r="K91" s="63" t="n">
        <v>13.5</v>
      </c>
      <c r="L91" s="64" t="n">
        <v>2.22222222222222</v>
      </c>
      <c r="M91" s="62" t="n">
        <v>2</v>
      </c>
      <c r="N91" s="62" t="n">
        <v>15</v>
      </c>
      <c r="O91" s="65" t="n">
        <v>21</v>
      </c>
      <c r="P91" s="60" t="s">
        <v>216</v>
      </c>
      <c r="Q91" s="62" t="n">
        <v>24</v>
      </c>
      <c r="R91" s="65" t="n">
        <f aca="false">IF(CA91=1,0,IFERROR(VLOOKUP(BY91,'Gebinde-Kategorie'!$A$5:$N$45,13,0)+0,0))</f>
        <v>6</v>
      </c>
      <c r="S91" s="66"/>
      <c r="T91" s="67"/>
      <c r="U91" s="67"/>
      <c r="V91" s="67"/>
      <c r="W91" s="60"/>
      <c r="X91" s="62"/>
      <c r="Y91" s="62"/>
      <c r="Z91" s="60" t="n">
        <v>2</v>
      </c>
      <c r="AA91" s="60" t="n">
        <f aca="false">IF(A91="","",IF(AND(Parameter!$B$21="Ja",ISNUMBER(W91)),W91,IF(AND(Parameter!$E$27="Ja",ISNUMBER(Z91),CD91&lt;&gt;"Nein"),Z91,IF(CD91="2+3",IF(ISNUMBER(SEARCH("grosser Artikel",BV91)),2,IFERROR(VLOOKUP(BY91,Parameter!$F$35:$G$64,2,0),2)),IF(OR(CD91="Nein",CD91=""),"-",CD91)))))</f>
        <v>2</v>
      </c>
      <c r="AB91" s="67"/>
      <c r="AC91" s="68"/>
      <c r="AD91" s="62" t="n">
        <f aca="false">AW91</f>
        <v>18</v>
      </c>
      <c r="AE91" s="62" t="n">
        <f aca="false">MAX(AW91,H91)</f>
        <v>18</v>
      </c>
      <c r="AF91" s="69"/>
      <c r="AG91" s="62" t="n">
        <f aca="false">IF(LEFT(Cockpit!$C$5,1)="A",H91,IF(Parameter!$E$30="MAX-Bestand",IF(CI91=1,CJ91,IF(LEFT(Cockpit!$C$5,1)="B",AM91,MAX(AM91,H91))),ROUNDUP(AK91,0)))</f>
        <v>15</v>
      </c>
      <c r="AH91" s="62" t="n">
        <f aca="false">IF(CA91=1,0,ROUNDUP(AG91/BZ91,0))</f>
        <v>1</v>
      </c>
      <c r="AI91" s="64" t="n">
        <f aca="false">IF(CR91&gt;0,CR91*MAX(1,AG91/X91),IF(CA91=1,IF(AG91&lt;=0,0,CE91*MAX(1,IF(H91&gt;0,AG91/H91,1))),IF(R91&gt;0,AH91/R91,0))/MAX(0.1,N(Parameter!$M$21)))</f>
        <v>0.166666666666667</v>
      </c>
      <c r="AJ91" s="62" t="n">
        <f aca="false">AI91*CC91</f>
        <v>39.1666666666667</v>
      </c>
      <c r="AK91" s="63" t="n">
        <f aca="false">IF(LEFT(Cockpit!$C$5,1)="A",H91,IF(CI91=1,(CL91+CJ91)/2,IF(LEFT(Cockpit!$C$5,1)="B",(CL91+AM91)/2,MAX((CL91+AM91)/2,H91))))</f>
        <v>15</v>
      </c>
      <c r="AL91" s="62" t="n">
        <f aca="false">AK91*G91</f>
        <v>5037.3</v>
      </c>
      <c r="AM91" s="62" t="n">
        <f aca="false">ROUNDUP(CL91+MAX(CM91,2*(J91/IF(CH91&gt;0,CH91,MAX(0.1,N(Cockpit!$C$6)))-CL91)),0)</f>
        <v>18</v>
      </c>
      <c r="AN91" s="63" t="n">
        <f aca="false">IF(AJ91&gt;0,J91/AJ91,-1)</f>
        <v>0.765957446808511</v>
      </c>
      <c r="AO91" s="63" t="n">
        <f aca="false">IF(AND(OR(CG91="L1",CG91="L23",CG91="LIFT"),AJ91&gt;0),SUMIFS($AJ$7:$AJ$1843,$CG$7:$CG$1843,CG91,$AN$7:$AN$1843,"&gt;"&amp;AN91)+SUMIFS($AJ$7:$AJ$1843,$CG$7:$CG$1843,CG91,$AN$7:$AN$1843,AN91,$BX$7:$BX$1843,"&lt;="&amp;BX91),"")</f>
        <v>8290.15064102564</v>
      </c>
      <c r="AP91" s="70" t="n">
        <f aca="false">IF(AO91="",0,MAX(0,MIN(1,(IF(CG91="L1",Parameter!$H$5,IF(CG91="L23",Parameter!$H$6+Parameter!$H$7,Parameter!$H$5+Parameter!$H$6+Parameter!$H$7))-(AO91-AJ91))/AJ91)))</f>
        <v>1</v>
      </c>
      <c r="AQ91" s="62" t="n">
        <f aca="false">IF(LEFT(Cockpit!$I$5,1)="A",H91,IF(Parameter!$E$30="MAX-Bestand",IF(CI91=1,CJ91,IF(LEFT(Cockpit!$I$5,1)="B",AW91,MAX(AW91,H91))),ROUNDUP(AU91,0)))</f>
        <v>15</v>
      </c>
      <c r="AR91" s="62" t="n">
        <f aca="false">IF(CA91=1,0,ROUNDUP(AQ91/BZ91,0))</f>
        <v>1</v>
      </c>
      <c r="AS91" s="64" t="n">
        <f aca="false">IF(CR91&gt;0,CR91*MAX(1,AQ91/X91),IF(CA91=1,IF(AQ91&lt;=0,0,CE91*MAX(1,IF(H91&gt;0,AQ91/H91,1))),IF(R91&gt;0,AR91/R91,0))/MAX(0.1,N(Parameter!$M$21)))</f>
        <v>0.166666666666667</v>
      </c>
      <c r="AT91" s="62" t="n">
        <f aca="false">AS91*CC91</f>
        <v>39.1666666666667</v>
      </c>
      <c r="AU91" s="63" t="n">
        <f aca="false">IF(LEFT(Cockpit!$I$5,1)="A",H91,IF(CI91=1,(CL91+CJ91)/2,IF(LEFT(Cockpit!$I$5,1)="B",(CL91+AW91)/2,MAX((CL91+AW91)/2,H91))))</f>
        <v>15</v>
      </c>
      <c r="AV91" s="62" t="n">
        <f aca="false">AU91*G91</f>
        <v>5037.3</v>
      </c>
      <c r="AW91" s="62" t="n">
        <f aca="false">ROUNDUP(CL91+MAX(CM91,2*(J91/IF(CH91&gt;0,CH91,MAX(0.1,N(Cockpit!$I$6)))-CL91)),0)</f>
        <v>18</v>
      </c>
      <c r="AX91" s="63" t="n">
        <f aca="false">IF(AT91&gt;0,J91/AT91,-1)</f>
        <v>0.765957446808511</v>
      </c>
      <c r="AY91" s="63" t="n">
        <f aca="false">IF(AND(OR(CG91="L1",CG91="L23",CG91="LIFT"),AT91&gt;0),SUMIFS($AT$7:$AT$1843,$CG$7:$CG$1843,CG91,$AX$7:$AX$1843,"&gt;"&amp;AX91)+SUMIFS($AT$7:$AT$1843,$CG$7:$CG$1843,CG91,$AX$7:$AX$1843,AX91,$BX$7:$BX$1843,"&lt;="&amp;BX91),"")</f>
        <v>10549.7188644689</v>
      </c>
      <c r="AZ91" s="70" t="n">
        <f aca="false">IF(AY91="",0,MAX(0,MIN(1,(IF(CG91="L1",Parameter!$H$5,IF(CG91="L23",Parameter!$H$6+Parameter!$H$7,Parameter!$H$5+Parameter!$H$6+Parameter!$H$7))-(AY91-AT91))/AT91)))</f>
        <v>1</v>
      </c>
      <c r="BA91" s="62" t="n">
        <f aca="false">IF(LEFT(Cockpit!$O$5,1)="A",H91,IF(Parameter!$E$30="MAX-Bestand",IF(CI91=1,CJ91,IF(LEFT(Cockpit!$O$5,1)="B",BG91,MAX(BG91,H91))),ROUNDUP(BE91,0)))</f>
        <v>10</v>
      </c>
      <c r="BB91" s="62" t="n">
        <f aca="false">IF(CA91=1,0,ROUNDUP(BA91/BZ91,0))</f>
        <v>1</v>
      </c>
      <c r="BC91" s="64" t="n">
        <f aca="false">IF(CR91&gt;0,CR91*MAX(1,BA91/X91),IF(CA91=1,IF(BA91&lt;=0,0,CE91*MAX(1,IF(H91&gt;0,BA91/H91,1))),IF(R91&gt;0,BB91/R91,0))/MAX(0.1,N(Parameter!$M$21)))</f>
        <v>0.166666666666667</v>
      </c>
      <c r="BD91" s="62" t="n">
        <f aca="false">BC91*CC91</f>
        <v>39.1666666666667</v>
      </c>
      <c r="BE91" s="63" t="n">
        <f aca="false">IF(LEFT(Cockpit!$O$5,1)="A",H91,IF(CI91=1,(CL91+CJ91)/2,IF(LEFT(Cockpit!$O$5,1)="B",(CL91+BG91)/2,MAX((CL91+BG91)/2,H91))))</f>
        <v>9.5</v>
      </c>
      <c r="BF91" s="62" t="n">
        <f aca="false">BE91*G91</f>
        <v>3190.29</v>
      </c>
      <c r="BG91" s="62" t="n">
        <f aca="false">ROUNDUP(CL91+MAX(CM91,2*(J91/IF(CH91&gt;0,CH91,MAX(0.1,N(Cockpit!$O$6)))-CL91)),0)</f>
        <v>17</v>
      </c>
      <c r="BH91" s="63" t="n">
        <f aca="false">IF(BD91&gt;0,J91/BD91,-1)</f>
        <v>0.765957446808511</v>
      </c>
      <c r="BI91" s="63" t="n">
        <f aca="false">IF(AND(OR(CG91="L1",CG91="L23",CG91="LIFT"),BD91&gt;0),SUMIFS($BD$7:$BD$1843,$CG$7:$CG$1843,CG91,$BH$7:$BH$1843,"&gt;"&amp;BH91)+SUMIFS($BD$7:$BD$1843,$CG$7:$CG$1843,CG91,$BH$7:$BH$1843,BH91,$BX$7:$BX$1843,"&lt;="&amp;BX91),"")</f>
        <v>9001.01968864469</v>
      </c>
      <c r="BJ91" s="70" t="n">
        <f aca="false">IF(BI91="",0,MAX(0,MIN(1,(IF(CG91="L1",Parameter!$H$5,IF(CG91="L23",Parameter!$H$6+Parameter!$H$7,Parameter!$H$5+Parameter!$H$6+Parameter!$H$7))-(BI91-BD91))/BD91)))</f>
        <v>1</v>
      </c>
      <c r="BK91" s="60" t="str">
        <f aca="false">IF(AJ91&lt;=0,"",IF(CG91="Aussen","Aussenlager",IF(CG91="-","Nicht im Lift",IF(AP91&gt;=1,"Lift",IF(AP91&lt;=0,"Aussenlager","teilweise")))))</f>
        <v>Lift</v>
      </c>
      <c r="BL91" s="60" t="str">
        <f aca="false">IF(AT91&lt;=0,"",IF(CG91="Aussen","Aussenlager",IF(CG91="-","Nicht im Lift",IF(AZ91&gt;=1,"Lift",IF(AZ91&lt;=0,"Aussenlager","teilweise")))))</f>
        <v>Lift</v>
      </c>
      <c r="BM91" s="60" t="str">
        <f aca="false">IF(BD91&lt;=0,"",IF(CG91="Aussen","Aussenlager",IF(CG91="-","Nicht im Lift",IF(BJ91&gt;=1,"Lift",IF(BJ91&lt;=0,"Aussenlager","teilweise")))))</f>
        <v>Lift</v>
      </c>
      <c r="BN91" s="60" t="str">
        <f aca="false">IF(A91="","",IF(BW91=1,"Neu; ","")&amp;IF(AND(BW91=0,BR91&lt;0),"negativer Bestand (Export "&amp;BR91&amp;"); ","")&amp;IF(J91&lt;=0,"Kein Verbrauch; ","")&amp;IF(CR91&gt;0,"Lift "&amp;W91&amp;" lt. Liftbericht (Fach "&amp;X91&amp;" Stk); ",IF(CB91=1,"Gebinde geschätzt ("&amp;T91&amp;"); ",IF(CA91=1,"Lose – Tablare geschätzt; ","")))&amp;IF(H91&gt;AW91,"Überbestand "&amp;ROUND(H91-AW91,0)&amp;" Stk / CHF "&amp;ROUND((H91-AW91)*G91,0)&amp;"; ","")&amp;IF(AND(CI91=1,CJ91&lt;CK91),"MAX &lt; MB+LG; ","")&amp;IF(AND(CQ91&gt;0,CP91*10&gt;CQ91),"zu hoch für Tablar; ","")&amp;IF(AND(BW91=0,OR(CI91=1,AB91&lt;&gt;"",U91&lt;&gt;"",V91&lt;&gt;"",AC91&lt;&gt;"")),"manuell übersteuert; ","")&amp;IF(AND(CA91=0,R91=0),"Gebinde unbekannt / Stellmass fehlt; ","")&amp;IF(AND(CA91=0,N(V91)&lt;=0,N(Q91)&lt;=0),"Menge pro Gebinde fehlt (Ist = 1 Gebinde); ","")&amp;BV91)</f>
        <v/>
      </c>
      <c r="BO91" s="60"/>
      <c r="BP91" s="60"/>
      <c r="BQ91" s="67"/>
      <c r="BR91" s="62" t="n">
        <v>7</v>
      </c>
      <c r="BS91" s="62" t="n">
        <v>8</v>
      </c>
      <c r="BT91" s="61" t="n">
        <v>2673.78</v>
      </c>
      <c r="BU91" s="62" t="n">
        <v>30</v>
      </c>
      <c r="BV91" s="60"/>
      <c r="BW91" s="65" t="n">
        <v>0</v>
      </c>
      <c r="BX91" s="65" t="n">
        <v>91</v>
      </c>
      <c r="BY91" s="60" t="str">
        <f aca="false">IF(U91&lt;&gt;"",UPPER(TRIM(U91)),IF(CB91=1,UPPER(VLOOKUP(T91,Parameter!$I$27:$K$29,2,0)),IF(P91="","LOSE",P91)))</f>
        <v>S71</v>
      </c>
      <c r="BZ91" s="62" t="n">
        <f aca="false">IF(BY91="LOSE",1,IF(N(V91)&gt;0,V91,IF(CB91=1,MAX(1,N(VLOOKUP(T91,Parameter!$I$27:$K$29,3,0)),H91,N(N91)),IF(N(Q91)&gt;0,Q91,MAX(1,H91)))))</f>
        <v>24</v>
      </c>
      <c r="CA91" s="65" t="n">
        <f aca="false">IF(BY91="LOSE",1,0)</f>
        <v>0</v>
      </c>
      <c r="CB91" s="65" t="n">
        <f aca="false">IF(AND(U91="",OR(P91="",P91="LOSE"),T91&lt;&gt;"",N(S91)&lt;=0,ISNUMBER(MATCH(T91,Parameter!$I$27:$I$29,0))),1,0)</f>
        <v>0</v>
      </c>
      <c r="CC91" s="65" t="n">
        <f aca="false">IF(CR91&gt;0,INDEX(Parameter!$H$5:$H$7,W91)/INDEX(Parameter!$E$5:$E$7,W91),IF(AND(CA91=0,N(IFERROR(VLOOKUP(BY91,'Gebinde-Kategorie'!$A$5:$N$45,14,0),0))&gt;0),VLOOKUP(BY91,'Gebinde-Kategorie'!$A$5:$N$45,14,0)*10+Parameter!$M$23,Parameter!$M$24))</f>
        <v>235</v>
      </c>
      <c r="CD91" s="60" t="n">
        <f aca="false">IF(AND(Parameter!$B$19="Ja",E91&lt;&gt;"",ISNUMBER(MATCH(E91,Parameter!$I$35:$I$52,0))),VLOOKUP(E91,Parameter!$I$35:$J$52,2,0),IFERROR(VLOOKUP(D91,Parameter!$A$35:$C$64,2,0),"Nein"))</f>
        <v>1</v>
      </c>
      <c r="CE91" s="64" t="n">
        <f aca="false">IF(CA91=0,0,IF(N(S91)&gt;0,S91,IFERROR(VLOOKUP(D91,Parameter!$A$35:$C$64,3,0)+0,0)))</f>
        <v>0</v>
      </c>
      <c r="CF91" s="60" t="n">
        <f aca="false">IF(AB91&lt;&gt;"",AB91,AA91)</f>
        <v>2</v>
      </c>
      <c r="CG91" s="60" t="str">
        <f aca="false">IF(OR(CF91=1,CF91=2,CF91=3),IF(Parameter!$E$27="Ja","LIFT",IF(CF91=1,"L1","L23")),IF(CF91="Aussen","Aussen","-"))</f>
        <v>LIFT</v>
      </c>
      <c r="CH91" s="71" t="n">
        <f aca="false">IF(N(AC91)&gt;0,AC91,0)</f>
        <v>0</v>
      </c>
      <c r="CI91" s="65" t="n">
        <f aca="false">IF(ISNUMBER(AF91),1,0)</f>
        <v>0</v>
      </c>
      <c r="CJ91" s="62" t="n">
        <f aca="false">N(AF91)</f>
        <v>0</v>
      </c>
      <c r="CK91" s="62" t="n">
        <f aca="false">N(M91)+N(N91)</f>
        <v>17</v>
      </c>
      <c r="CL91" s="62" t="n">
        <f aca="false">N(M91)</f>
        <v>2</v>
      </c>
      <c r="CM91" s="62" t="n">
        <f aca="false">N(N91)</f>
        <v>15</v>
      </c>
      <c r="CN91" s="62" t="n">
        <f aca="false">ROUNDUP(H91/BZ91,0)</f>
        <v>1</v>
      </c>
      <c r="CO91" s="62" t="n">
        <f aca="false">ROUNDUP(CJ91/BZ91,0)</f>
        <v>0</v>
      </c>
      <c r="CP91" s="65" t="n">
        <f aca="false">IF(CA91=1,0,IFERROR(VLOOKUP(BY91,'Gebinde-Kategorie'!$A$5:$N$45,5,0)+0,0))</f>
        <v>20</v>
      </c>
      <c r="CQ91" s="65" t="n">
        <f aca="false">IFERROR(IF(OR(CF91=1,CF91=2,CF91=3),N(INDEX(Parameter!$I$5:$I$7,CF91)),0),0)</f>
        <v>0</v>
      </c>
      <c r="CR91" s="64" t="n">
        <f aca="false">IF(AND(Parameter!$B$21="Ja",ISNUMBER(W91),N(X91)&gt;0),IFERROR(N(INDEX(Parameter!$L$5:$L$7,W91))*INDEX(Parameter!$E$5:$E$7,W91)*X91/SUMIFS($X$7:$X$1843,$W$7:$W$1843,W91),0),0)</f>
        <v>0</v>
      </c>
      <c r="CS91" s="62" t="n">
        <f aca="false">IF(AND(OR(CG91="L1",CG91="L23",CG91="LIFT"),H91&gt;0),CC91*IF(CR91&gt;0,CR91*MAX(1,H91/X91),IF(CA91=1,CE91,IF(R91&gt;0,CN91/R91,0))/MAX(0.1,N(Parameter!$M$21))),"")</f>
        <v>39.1666666666667</v>
      </c>
      <c r="CT91" s="64" t="n">
        <f aca="false">IF(CS91="","",J91/H91)</f>
        <v>2</v>
      </c>
      <c r="CU91" s="62" t="n">
        <f aca="false">IF(CS91="","",H91*G91)</f>
        <v>5037.3</v>
      </c>
      <c r="CV91" s="63" t="n">
        <f aca="false">IF(CS91="","",(CL91+ROUNDUP(CL91+MAX(CM91,2*(J91/MAX(0.1,N(Einkauf!$C$6))-CL91)),0))/2)</f>
        <v>9.5</v>
      </c>
      <c r="CW91" s="62" t="n">
        <f aca="false">IF(CS91="","",MAX(0,H91-CV91)*G91)</f>
        <v>1847.01</v>
      </c>
      <c r="CX91" s="62" t="n">
        <f aca="false">IF(CS91="","",CS91*MAX(0,1-CV91/H91))</f>
        <v>14.3611111111111</v>
      </c>
      <c r="CY91" s="64" t="n">
        <f aca="false">IF(CS91="","",PERCENTRANK($CS$7:$CS$1843,CS91)+PERCENTRANK($CU$7:$CU$1843,CU91)+1-PERCENTRANK($CT$7:$CT$1843,CT91))</f>
        <v>1.955</v>
      </c>
      <c r="CZ91" s="72" t="n">
        <f aca="false">IF(CS91="","",CHOOSE(MATCH(Einkauf!$C$5,Parameter!$G$23:$G$27,0),CY91,CS91,CU91,-CT91,CW91)+ROW()/1000000000)</f>
        <v>1.955000091</v>
      </c>
    </row>
    <row r="92" customFormat="false" ht="15" hidden="false" customHeight="false" outlineLevel="0" collapsed="false">
      <c r="A92" s="60" t="s">
        <v>437</v>
      </c>
      <c r="B92" s="60" t="s">
        <v>438</v>
      </c>
      <c r="C92" s="60" t="s">
        <v>206</v>
      </c>
      <c r="D92" s="60" t="s">
        <v>226</v>
      </c>
      <c r="E92" s="60"/>
      <c r="F92" s="60" t="s">
        <v>260</v>
      </c>
      <c r="G92" s="61" t="n">
        <v>129.65</v>
      </c>
      <c r="H92" s="62" t="n">
        <f aca="false">MAX(0,IF(AND(Parameter!$B$21="Ja",ISNUMBER(Y92)),Y92,IF(Parameter!$B$20="Jahresanfang 2025 + Export",BS92+BR92,BR92)))</f>
        <v>20</v>
      </c>
      <c r="I92" s="62" t="n">
        <f aca="false">H92*G92</f>
        <v>2593</v>
      </c>
      <c r="J92" s="62" t="n">
        <f aca="false">BU92*Parameter!$B$18</f>
        <v>0</v>
      </c>
      <c r="K92" s="63" t="n">
        <v>0</v>
      </c>
      <c r="L92" s="64" t="n">
        <v>0</v>
      </c>
      <c r="M92" s="62" t="n">
        <v>0</v>
      </c>
      <c r="N92" s="62" t="n">
        <v>1</v>
      </c>
      <c r="O92" s="65" t="n">
        <v>9999</v>
      </c>
      <c r="P92" s="60" t="s">
        <v>210</v>
      </c>
      <c r="Q92" s="62"/>
      <c r="R92" s="65" t="n">
        <f aca="false">IF(CA92=1,0,IFERROR(VLOOKUP(BY92,'Gebinde-Kategorie'!$A$5:$N$45,13,0)+0,0))</f>
        <v>26</v>
      </c>
      <c r="S92" s="66"/>
      <c r="T92" s="67" t="s">
        <v>317</v>
      </c>
      <c r="U92" s="67"/>
      <c r="V92" s="67"/>
      <c r="W92" s="60"/>
      <c r="X92" s="62"/>
      <c r="Y92" s="62"/>
      <c r="Z92" s="60" t="n">
        <v>3</v>
      </c>
      <c r="AA92" s="60" t="n">
        <f aca="false">IF(A92="","",IF(AND(Parameter!$B$21="Ja",ISNUMBER(W92)),W92,IF(AND(Parameter!$E$27="Ja",ISNUMBER(Z92),CD92&lt;&gt;"Nein"),Z92,IF(CD92="2+3",IF(ISNUMBER(SEARCH("grosser Artikel",BV92)),2,IFERROR(VLOOKUP(BY92,Parameter!$F$35:$G$64,2,0),2)),IF(OR(CD92="Nein",CD92=""),"-",CD92)))))</f>
        <v>3</v>
      </c>
      <c r="AB92" s="67"/>
      <c r="AC92" s="68"/>
      <c r="AD92" s="62" t="n">
        <f aca="false">AW92</f>
        <v>1</v>
      </c>
      <c r="AE92" s="62" t="n">
        <f aca="false">MAX(AW92,H92)</f>
        <v>20</v>
      </c>
      <c r="AF92" s="69"/>
      <c r="AG92" s="62" t="n">
        <f aca="false">IF(LEFT(Cockpit!$C$5,1)="A",H92,IF(Parameter!$E$30="MAX-Bestand",IF(CI92=1,CJ92,IF(LEFT(Cockpit!$C$5,1)="B",AM92,MAX(AM92,H92))),ROUNDUP(AK92,0)))</f>
        <v>20</v>
      </c>
      <c r="AH92" s="62" t="n">
        <f aca="false">IF(CA92=1,0,ROUNDUP(AG92/BZ92,0))</f>
        <v>1</v>
      </c>
      <c r="AI92" s="64" t="n">
        <f aca="false">IF(CR92&gt;0,CR92*MAX(1,AG92/X92),IF(CA92=1,IF(AG92&lt;=0,0,CE92*MAX(1,IF(H92&gt;0,AG92/H92,1))),IF(R92&gt;0,AH92/R92,0))/MAX(0.1,N(Parameter!$M$21)))</f>
        <v>0.0384615384615385</v>
      </c>
      <c r="AJ92" s="62" t="n">
        <f aca="false">AI92*CC92</f>
        <v>5.96153846153846</v>
      </c>
      <c r="AK92" s="63" t="n">
        <f aca="false">IF(LEFT(Cockpit!$C$5,1)="A",H92,IF(CI92=1,(CL92+CJ92)/2,IF(LEFT(Cockpit!$C$5,1)="B",(CL92+AM92)/2,MAX((CL92+AM92)/2,H92))))</f>
        <v>20</v>
      </c>
      <c r="AL92" s="62" t="n">
        <f aca="false">AK92*G92</f>
        <v>2593</v>
      </c>
      <c r="AM92" s="62" t="n">
        <f aca="false">ROUNDUP(CL92+MAX(CM92,2*(J92/IF(CH92&gt;0,CH92,MAX(0.1,N(Cockpit!$C$6)))-CL92)),0)</f>
        <v>1</v>
      </c>
      <c r="AN92" s="63" t="n">
        <f aca="false">IF(AJ92&gt;0,J92/AJ92,-1)</f>
        <v>0</v>
      </c>
      <c r="AO92" s="63" t="n">
        <f aca="false">IF(AND(OR(CG92="L1",CG92="L23",CG92="LIFT"),AJ92&gt;0),SUMIFS($AJ$7:$AJ$1843,$CG$7:$CG$1843,CG92,$AN$7:$AN$1843,"&gt;"&amp;AN92)+SUMIFS($AJ$7:$AJ$1843,$CG$7:$CG$1843,CG92,$AN$7:$AN$1843,AN92,$BX$7:$BX$1843,"&lt;="&amp;BX92),"")</f>
        <v>26976.0965496368</v>
      </c>
      <c r="AP92" s="70" t="n">
        <f aca="false">IF(AO92="",0,MAX(0,MIN(1,(IF(CG92="L1",Parameter!$H$5,IF(CG92="L23",Parameter!$H$6+Parameter!$H$7,Parameter!$H$5+Parameter!$H$6+Parameter!$H$7))-(AO92-AJ92))/AJ92)))</f>
        <v>1</v>
      </c>
      <c r="AQ92" s="62" t="n">
        <f aca="false">IF(LEFT(Cockpit!$I$5,1)="A",H92,IF(Parameter!$E$30="MAX-Bestand",IF(CI92=1,CJ92,IF(LEFT(Cockpit!$I$5,1)="B",AW92,MAX(AW92,H92))),ROUNDUP(AU92,0)))</f>
        <v>20</v>
      </c>
      <c r="AR92" s="62" t="n">
        <f aca="false">IF(CA92=1,0,ROUNDUP(AQ92/BZ92,0))</f>
        <v>1</v>
      </c>
      <c r="AS92" s="64" t="n">
        <f aca="false">IF(CR92&gt;0,CR92*MAX(1,AQ92/X92),IF(CA92=1,IF(AQ92&lt;=0,0,CE92*MAX(1,IF(H92&gt;0,AQ92/H92,1))),IF(R92&gt;0,AR92/R92,0))/MAX(0.1,N(Parameter!$M$21)))</f>
        <v>0.0384615384615385</v>
      </c>
      <c r="AT92" s="62" t="n">
        <f aca="false">AS92*CC92</f>
        <v>5.96153846153846</v>
      </c>
      <c r="AU92" s="63" t="n">
        <f aca="false">IF(LEFT(Cockpit!$I$5,1)="A",H92,IF(CI92=1,(CL92+CJ92)/2,IF(LEFT(Cockpit!$I$5,1)="B",(CL92+AW92)/2,MAX((CL92+AW92)/2,H92))))</f>
        <v>20</v>
      </c>
      <c r="AV92" s="62" t="n">
        <f aca="false">AU92*G92</f>
        <v>2593</v>
      </c>
      <c r="AW92" s="62" t="n">
        <f aca="false">ROUNDUP(CL92+MAX(CM92,2*(J92/IF(CH92&gt;0,CH92,MAX(0.1,N(Cockpit!$I$6)))-CL92)),0)</f>
        <v>1</v>
      </c>
      <c r="AX92" s="63" t="n">
        <f aca="false">IF(AT92&gt;0,J92/AT92,-1)</f>
        <v>0</v>
      </c>
      <c r="AY92" s="63" t="n">
        <f aca="false">IF(AND(OR(CG92="L1",CG92="L23",CG92="LIFT"),AT92&gt;0),SUMIFS($AT$7:$AT$1843,$CG$7:$CG$1843,CG92,$AX$7:$AX$1843,"&gt;"&amp;AX92)+SUMIFS($AT$7:$AT$1843,$CG$7:$CG$1843,CG92,$AX$7:$AX$1843,AX92,$BX$7:$BX$1843,"&lt;="&amp;BX92),"")</f>
        <v>32329.2451910143</v>
      </c>
      <c r="AZ92" s="70" t="n">
        <f aca="false">IF(AY92="",0,MAX(0,MIN(1,(IF(CG92="L1",Parameter!$H$5,IF(CG92="L23",Parameter!$H$6+Parameter!$H$7,Parameter!$H$5+Parameter!$H$6+Parameter!$H$7))-(AY92-AT92))/AT92)))</f>
        <v>1</v>
      </c>
      <c r="BA92" s="62" t="n">
        <f aca="false">IF(LEFT(Cockpit!$O$5,1)="A",H92,IF(Parameter!$E$30="MAX-Bestand",IF(CI92=1,CJ92,IF(LEFT(Cockpit!$O$5,1)="B",BG92,MAX(BG92,H92))),ROUNDUP(BE92,0)))</f>
        <v>1</v>
      </c>
      <c r="BB92" s="62" t="n">
        <f aca="false">IF(CA92=1,0,ROUNDUP(BA92/BZ92,0))</f>
        <v>1</v>
      </c>
      <c r="BC92" s="64" t="n">
        <f aca="false">IF(CR92&gt;0,CR92*MAX(1,BA92/X92),IF(CA92=1,IF(BA92&lt;=0,0,CE92*MAX(1,IF(H92&gt;0,BA92/H92,1))),IF(R92&gt;0,BB92/R92,0))/MAX(0.1,N(Parameter!$M$21)))</f>
        <v>0.0384615384615385</v>
      </c>
      <c r="BD92" s="62" t="n">
        <f aca="false">BC92*CC92</f>
        <v>5.96153846153846</v>
      </c>
      <c r="BE92" s="63" t="n">
        <f aca="false">IF(LEFT(Cockpit!$O$5,1)="A",H92,IF(CI92=1,(CL92+CJ92)/2,IF(LEFT(Cockpit!$O$5,1)="B",(CL92+BG92)/2,MAX((CL92+BG92)/2,H92))))</f>
        <v>0.5</v>
      </c>
      <c r="BF92" s="62" t="n">
        <f aca="false">BE92*G92</f>
        <v>64.825</v>
      </c>
      <c r="BG92" s="62" t="n">
        <f aca="false">ROUNDUP(CL92+MAX(CM92,2*(J92/IF(CH92&gt;0,CH92,MAX(0.1,N(Cockpit!$O$6)))-CL92)),0)</f>
        <v>1</v>
      </c>
      <c r="BH92" s="63" t="n">
        <f aca="false">IF(BD92&gt;0,J92/BD92,-1)</f>
        <v>0</v>
      </c>
      <c r="BI92" s="63" t="n">
        <f aca="false">IF(AND(OR(CG92="L1",CG92="L23",CG92="LIFT"),BD92&gt;0),SUMIFS($BD$7:$BD$1843,$CG$7:$CG$1843,CG92,$BH$7:$BH$1843,"&gt;"&amp;BH92)+SUMIFS($BD$7:$BD$1843,$CG$7:$CG$1843,CG92,$BH$7:$BH$1843,BH92,$BX$7:$BX$1843,"&lt;="&amp;BX92),"")</f>
        <v>26525.8270343122</v>
      </c>
      <c r="BJ92" s="70" t="n">
        <f aca="false">IF(BI92="",0,MAX(0,MIN(1,(IF(CG92="L1",Parameter!$H$5,IF(CG92="L23",Parameter!$H$6+Parameter!$H$7,Parameter!$H$5+Parameter!$H$6+Parameter!$H$7))-(BI92-BD92))/BD92)))</f>
        <v>1</v>
      </c>
      <c r="BK92" s="60" t="str">
        <f aca="false">IF(AJ92&lt;=0,"",IF(CG92="Aussen","Aussenlager",IF(CG92="-","Nicht im Lift",IF(AP92&gt;=1,"Lift",IF(AP92&lt;=0,"Aussenlager","teilweise")))))</f>
        <v>Lift</v>
      </c>
      <c r="BL92" s="60" t="str">
        <f aca="false">IF(AT92&lt;=0,"",IF(CG92="Aussen","Aussenlager",IF(CG92="-","Nicht im Lift",IF(AZ92&gt;=1,"Lift",IF(AZ92&lt;=0,"Aussenlager","teilweise")))))</f>
        <v>Lift</v>
      </c>
      <c r="BM92" s="60" t="str">
        <f aca="false">IF(BD92&lt;=0,"",IF(CG92="Aussen","Aussenlager",IF(CG92="-","Nicht im Lift",IF(BJ92&gt;=1,"Lift",IF(BJ92&lt;=0,"Aussenlager","teilweise")))))</f>
        <v>Lift</v>
      </c>
      <c r="BN92" s="60" t="str">
        <f aca="false">IF(A92="","",IF(BW92=1,"Neu; ","")&amp;IF(AND(BW92=0,BR92&lt;0),"negativer Bestand (Export "&amp;BR92&amp;"); ","")&amp;IF(J92&lt;=0,"Kein Verbrauch; ","")&amp;IF(CR92&gt;0,"Lift "&amp;W92&amp;" lt. Liftbericht (Fach "&amp;X92&amp;" Stk); ",IF(CB92=1,"Gebinde geschätzt ("&amp;T92&amp;"); ",IF(CA92=1,"Lose – Tablare geschätzt; ","")))&amp;IF(H92&gt;AW92,"Überbestand "&amp;ROUND(H92-AW92,0)&amp;" Stk / CHF "&amp;ROUND((H92-AW92)*G92,0)&amp;"; ","")&amp;IF(AND(CI92=1,CJ92&lt;CK92),"MAX &lt; MB+LG; ","")&amp;IF(AND(CQ92&gt;0,CP92*10&gt;CQ92),"zu hoch für Tablar; ","")&amp;IF(AND(BW92=0,OR(CI92=1,AB92&lt;&gt;"",U92&lt;&gt;"",V92&lt;&gt;"",AC92&lt;&gt;"")),"manuell übersteuert; ","")&amp;IF(AND(CA92=0,R92=0),"Gebinde unbekannt / Stellmass fehlt; ","")&amp;IF(AND(CA92=0,N(V92)&lt;=0,N(Q92)&lt;=0),"Menge pro Gebinde fehlt (Ist = 1 Gebinde); ","")&amp;BV92)</f>
        <v>Kein Verbrauch; Gebinde geschätzt (Klein); Überbestand 19 Stk / CHF 2463; Menge pro Gebinde fehlt (Ist = 1 Gebinde); </v>
      </c>
      <c r="BO92" s="60"/>
      <c r="BP92" s="60"/>
      <c r="BQ92" s="67"/>
      <c r="BR92" s="62" t="n">
        <v>20</v>
      </c>
      <c r="BS92" s="62" t="n">
        <v>0</v>
      </c>
      <c r="BT92" s="61" t="n">
        <v>2593</v>
      </c>
      <c r="BU92" s="62" t="n">
        <v>0</v>
      </c>
      <c r="BV92" s="60"/>
      <c r="BW92" s="65" t="n">
        <v>0</v>
      </c>
      <c r="BX92" s="65" t="n">
        <v>92</v>
      </c>
      <c r="BY92" s="60" t="str">
        <f aca="false">IF(U92&lt;&gt;"",UPPER(TRIM(U92)),IF(CB92=1,UPPER(VLOOKUP(T92,Parameter!$I$27:$K$29,2,0)),IF(P92="","LOSE",P92)))</f>
        <v>S51</v>
      </c>
      <c r="BZ92" s="62" t="n">
        <f aca="false">IF(BY92="LOSE",1,IF(N(V92)&gt;0,V92,IF(CB92=1,MAX(1,N(VLOOKUP(T92,Parameter!$I$27:$K$29,3,0)),H92,N(N92)),IF(N(Q92)&gt;0,Q92,MAX(1,H92)))))</f>
        <v>20</v>
      </c>
      <c r="CA92" s="65" t="n">
        <f aca="false">IF(BY92="LOSE",1,0)</f>
        <v>0</v>
      </c>
      <c r="CB92" s="65" t="n">
        <f aca="false">IF(AND(U92="",OR(P92="",P92="LOSE"),T92&lt;&gt;"",N(S92)&lt;=0,ISNUMBER(MATCH(T92,Parameter!$I$27:$I$29,0))),1,0)</f>
        <v>1</v>
      </c>
      <c r="CC92" s="65" t="n">
        <f aca="false">IF(CR92&gt;0,INDEX(Parameter!$H$5:$H$7,W92)/INDEX(Parameter!$E$5:$E$7,W92),IF(AND(CA92=0,N(IFERROR(VLOOKUP(BY92,'Gebinde-Kategorie'!$A$5:$N$45,14,0),0))&gt;0),VLOOKUP(BY92,'Gebinde-Kategorie'!$A$5:$N$45,14,0)*10+Parameter!$M$23,Parameter!$M$24))</f>
        <v>155</v>
      </c>
      <c r="CD92" s="60" t="str">
        <f aca="false">IF(AND(Parameter!$B$19="Ja",E92&lt;&gt;"",ISNUMBER(MATCH(E92,Parameter!$I$35:$I$52,0))),VLOOKUP(E92,Parameter!$I$35:$J$52,2,0),IFERROR(VLOOKUP(D92,Parameter!$A$35:$C$64,2,0),"Nein"))</f>
        <v>2+3</v>
      </c>
      <c r="CE92" s="64" t="n">
        <f aca="false">IF(CA92=0,0,IF(N(S92)&gt;0,S92,IFERROR(VLOOKUP(D92,Parameter!$A$35:$C$64,3,0)+0,0)))</f>
        <v>0</v>
      </c>
      <c r="CF92" s="60" t="n">
        <f aca="false">IF(AB92&lt;&gt;"",AB92,AA92)</f>
        <v>3</v>
      </c>
      <c r="CG92" s="60" t="str">
        <f aca="false">IF(OR(CF92=1,CF92=2,CF92=3),IF(Parameter!$E$27="Ja","LIFT",IF(CF92=1,"L1","L23")),IF(CF92="Aussen","Aussen","-"))</f>
        <v>LIFT</v>
      </c>
      <c r="CH92" s="71" t="n">
        <f aca="false">IF(N(AC92)&gt;0,AC92,0)</f>
        <v>0</v>
      </c>
      <c r="CI92" s="65" t="n">
        <f aca="false">IF(ISNUMBER(AF92),1,0)</f>
        <v>0</v>
      </c>
      <c r="CJ92" s="62" t="n">
        <f aca="false">N(AF92)</f>
        <v>0</v>
      </c>
      <c r="CK92" s="62" t="n">
        <f aca="false">N(M92)+N(N92)</f>
        <v>1</v>
      </c>
      <c r="CL92" s="62" t="n">
        <f aca="false">N(M92)</f>
        <v>0</v>
      </c>
      <c r="CM92" s="62" t="n">
        <f aca="false">N(N92)</f>
        <v>1</v>
      </c>
      <c r="CN92" s="62" t="n">
        <f aca="false">ROUNDUP(H92/BZ92,0)</f>
        <v>1</v>
      </c>
      <c r="CO92" s="62" t="n">
        <f aca="false">ROUNDUP(CJ92/BZ92,0)</f>
        <v>0</v>
      </c>
      <c r="CP92" s="65" t="n">
        <f aca="false">IF(CA92=1,0,IFERROR(VLOOKUP(BY92,'Gebinde-Kategorie'!$A$5:$N$45,5,0)+0,0))</f>
        <v>11</v>
      </c>
      <c r="CQ92" s="65" t="n">
        <f aca="false">IFERROR(IF(OR(CF92=1,CF92=2,CF92=3),N(INDEX(Parameter!$I$5:$I$7,CF92)),0),0)</f>
        <v>0</v>
      </c>
      <c r="CR92" s="64" t="n">
        <f aca="false">IF(AND(Parameter!$B$21="Ja",ISNUMBER(W92),N(X92)&gt;0),IFERROR(N(INDEX(Parameter!$L$5:$L$7,W92))*INDEX(Parameter!$E$5:$E$7,W92)*X92/SUMIFS($X$7:$X$1843,$W$7:$W$1843,W92),0),0)</f>
        <v>0</v>
      </c>
      <c r="CS92" s="62" t="n">
        <f aca="false">IF(AND(OR(CG92="L1",CG92="L23",CG92="LIFT"),H92&gt;0),CC92*IF(CR92&gt;0,CR92*MAX(1,H92/X92),IF(CA92=1,CE92,IF(R92&gt;0,CN92/R92,0))/MAX(0.1,N(Parameter!$M$21))),"")</f>
        <v>5.96153846153846</v>
      </c>
      <c r="CT92" s="64" t="n">
        <f aca="false">IF(CS92="","",J92/H92)</f>
        <v>0</v>
      </c>
      <c r="CU92" s="62" t="n">
        <f aca="false">IF(CS92="","",H92*G92)</f>
        <v>2593</v>
      </c>
      <c r="CV92" s="63" t="n">
        <f aca="false">IF(CS92="","",(CL92+ROUNDUP(CL92+MAX(CM92,2*(J92/MAX(0.1,N(Einkauf!$C$6))-CL92)),0))/2)</f>
        <v>0.5</v>
      </c>
      <c r="CW92" s="62" t="n">
        <f aca="false">IF(CS92="","",MAX(0,H92-CV92)*G92)</f>
        <v>2528.175</v>
      </c>
      <c r="CX92" s="62" t="n">
        <f aca="false">IF(CS92="","",CS92*MAX(0,1-CV92/H92))</f>
        <v>5.8125</v>
      </c>
      <c r="CY92" s="64" t="n">
        <f aca="false">IF(CS92="","",PERCENTRANK($CS$7:$CS$1843,CS92)+PERCENTRANK($CU$7:$CU$1843,CU92)+1-PERCENTRANK($CT$7:$CT$1843,CT92))</f>
        <v>2.163</v>
      </c>
      <c r="CZ92" s="72" t="n">
        <f aca="false">IF(CS92="","",CHOOSE(MATCH(Einkauf!$C$5,Parameter!$G$23:$G$27,0),CY92,CS92,CU92,-CT92,CW92)+ROW()/1000000000)</f>
        <v>2.163000092</v>
      </c>
    </row>
    <row r="93" customFormat="false" ht="15" hidden="false" customHeight="false" outlineLevel="0" collapsed="false">
      <c r="A93" s="60" t="s">
        <v>439</v>
      </c>
      <c r="B93" s="60" t="s">
        <v>440</v>
      </c>
      <c r="C93" s="60" t="s">
        <v>206</v>
      </c>
      <c r="D93" s="60" t="s">
        <v>215</v>
      </c>
      <c r="E93" s="60"/>
      <c r="F93" s="60" t="s">
        <v>260</v>
      </c>
      <c r="G93" s="61" t="n">
        <v>510.45</v>
      </c>
      <c r="H93" s="62" t="n">
        <f aca="false">MAX(0,IF(AND(Parameter!$B$21="Ja",ISNUMBER(Y93)),Y93,IF(Parameter!$B$20="Jahresanfang 2025 + Export",BS93+BR93,BR93)))</f>
        <v>5</v>
      </c>
      <c r="I93" s="62" t="n">
        <f aca="false">H93*G93</f>
        <v>2552.25</v>
      </c>
      <c r="J93" s="62" t="n">
        <f aca="false">BU93*Parameter!$B$18</f>
        <v>0</v>
      </c>
      <c r="K93" s="63" t="n">
        <v>0</v>
      </c>
      <c r="L93" s="64" t="n">
        <v>0</v>
      </c>
      <c r="M93" s="62" t="n">
        <v>2</v>
      </c>
      <c r="N93" s="62" t="n">
        <v>8</v>
      </c>
      <c r="O93" s="65" t="n">
        <v>28</v>
      </c>
      <c r="P93" s="60" t="s">
        <v>210</v>
      </c>
      <c r="Q93" s="62"/>
      <c r="R93" s="65" t="n">
        <f aca="false">IF(CA93=1,0,IFERROR(VLOOKUP(BY93,'Gebinde-Kategorie'!$A$5:$N$45,13,0)+0,0))</f>
        <v>12</v>
      </c>
      <c r="S93" s="66"/>
      <c r="T93" s="67" t="s">
        <v>221</v>
      </c>
      <c r="U93" s="67"/>
      <c r="V93" s="67"/>
      <c r="W93" s="60"/>
      <c r="X93" s="62"/>
      <c r="Y93" s="62"/>
      <c r="Z93" s="60" t="n">
        <v>3</v>
      </c>
      <c r="AA93" s="60" t="n">
        <f aca="false">IF(A93="","",IF(AND(Parameter!$B$21="Ja",ISNUMBER(W93)),W93,IF(AND(Parameter!$E$27="Ja",ISNUMBER(Z93),CD93&lt;&gt;"Nein"),Z93,IF(CD93="2+3",IF(ISNUMBER(SEARCH("grosser Artikel",BV93)),2,IFERROR(VLOOKUP(BY93,Parameter!$F$35:$G$64,2,0),2)),IF(OR(CD93="Nein",CD93=""),"-",CD93)))))</f>
        <v>3</v>
      </c>
      <c r="AB93" s="67"/>
      <c r="AC93" s="68"/>
      <c r="AD93" s="62" t="n">
        <f aca="false">AW93</f>
        <v>10</v>
      </c>
      <c r="AE93" s="62" t="n">
        <f aca="false">MAX(AW93,H93)</f>
        <v>10</v>
      </c>
      <c r="AF93" s="69"/>
      <c r="AG93" s="62" t="n">
        <f aca="false">IF(LEFT(Cockpit!$C$5,1)="A",H93,IF(Parameter!$E$30="MAX-Bestand",IF(CI93=1,CJ93,IF(LEFT(Cockpit!$C$5,1)="B",AM93,MAX(AM93,H93))),ROUNDUP(AK93,0)))</f>
        <v>5</v>
      </c>
      <c r="AH93" s="62" t="n">
        <f aca="false">IF(CA93=1,0,ROUNDUP(AG93/BZ93,0))</f>
        <v>1</v>
      </c>
      <c r="AI93" s="64" t="n">
        <f aca="false">IF(CR93&gt;0,CR93*MAX(1,AG93/X93),IF(CA93=1,IF(AG93&lt;=0,0,CE93*MAX(1,IF(H93&gt;0,AG93/H93,1))),IF(R93&gt;0,AH93/R93,0))/MAX(0.1,N(Parameter!$M$21)))</f>
        <v>0.0833333333333333</v>
      </c>
      <c r="AJ93" s="62" t="n">
        <f aca="false">AI93*CC93</f>
        <v>12.0833333333333</v>
      </c>
      <c r="AK93" s="63" t="n">
        <f aca="false">IF(LEFT(Cockpit!$C$5,1)="A",H93,IF(CI93=1,(CL93+CJ93)/2,IF(LEFT(Cockpit!$C$5,1)="B",(CL93+AM93)/2,MAX((CL93+AM93)/2,H93))))</f>
        <v>5</v>
      </c>
      <c r="AL93" s="62" t="n">
        <f aca="false">AK93*G93</f>
        <v>2552.25</v>
      </c>
      <c r="AM93" s="62" t="n">
        <f aca="false">ROUNDUP(CL93+MAX(CM93,2*(J93/IF(CH93&gt;0,CH93,MAX(0.1,N(Cockpit!$C$6)))-CL93)),0)</f>
        <v>10</v>
      </c>
      <c r="AN93" s="63" t="n">
        <f aca="false">IF(AJ93&gt;0,J93/AJ93,-1)</f>
        <v>0</v>
      </c>
      <c r="AO93" s="63" t="n">
        <f aca="false">IF(AND(OR(CG93="L1",CG93="L23",CG93="LIFT"),AJ93&gt;0),SUMIFS($AJ$7:$AJ$1843,$CG$7:$CG$1843,CG93,$AN$7:$AN$1843,"&gt;"&amp;AN93)+SUMIFS($AJ$7:$AJ$1843,$CG$7:$CG$1843,CG93,$AN$7:$AN$1843,AN93,$BX$7:$BX$1843,"&lt;="&amp;BX93),"")</f>
        <v>26988.1798829701</v>
      </c>
      <c r="AP93" s="70" t="n">
        <f aca="false">IF(AO93="",0,MAX(0,MIN(1,(IF(CG93="L1",Parameter!$H$5,IF(CG93="L23",Parameter!$H$6+Parameter!$H$7,Parameter!$H$5+Parameter!$H$6+Parameter!$H$7))-(AO93-AJ93))/AJ93)))</f>
        <v>1</v>
      </c>
      <c r="AQ93" s="62" t="n">
        <f aca="false">IF(LEFT(Cockpit!$I$5,1)="A",H93,IF(Parameter!$E$30="MAX-Bestand",IF(CI93=1,CJ93,IF(LEFT(Cockpit!$I$5,1)="B",AW93,MAX(AW93,H93))),ROUNDUP(AU93,0)))</f>
        <v>6</v>
      </c>
      <c r="AR93" s="62" t="n">
        <f aca="false">IF(CA93=1,0,ROUNDUP(AQ93/BZ93,0))</f>
        <v>1</v>
      </c>
      <c r="AS93" s="64" t="n">
        <f aca="false">IF(CR93&gt;0,CR93*MAX(1,AQ93/X93),IF(CA93=1,IF(AQ93&lt;=0,0,CE93*MAX(1,IF(H93&gt;0,AQ93/H93,1))),IF(R93&gt;0,AR93/R93,0))/MAX(0.1,N(Parameter!$M$21)))</f>
        <v>0.0833333333333333</v>
      </c>
      <c r="AT93" s="62" t="n">
        <f aca="false">AS93*CC93</f>
        <v>12.0833333333333</v>
      </c>
      <c r="AU93" s="63" t="n">
        <f aca="false">IF(LEFT(Cockpit!$I$5,1)="A",H93,IF(CI93=1,(CL93+CJ93)/2,IF(LEFT(Cockpit!$I$5,1)="B",(CL93+AW93)/2,MAX((CL93+AW93)/2,H93))))</f>
        <v>6</v>
      </c>
      <c r="AV93" s="62" t="n">
        <f aca="false">AU93*G93</f>
        <v>3062.7</v>
      </c>
      <c r="AW93" s="62" t="n">
        <f aca="false">ROUNDUP(CL93+MAX(CM93,2*(J93/IF(CH93&gt;0,CH93,MAX(0.1,N(Cockpit!$I$6)))-CL93)),0)</f>
        <v>10</v>
      </c>
      <c r="AX93" s="63" t="n">
        <f aca="false">IF(AT93&gt;0,J93/AT93,-1)</f>
        <v>0</v>
      </c>
      <c r="AY93" s="63" t="n">
        <f aca="false">IF(AND(OR(CG93="L1",CG93="L23",CG93="LIFT"),AT93&gt;0),SUMIFS($AT$7:$AT$1843,$CG$7:$CG$1843,CG93,$AX$7:$AX$1843,"&gt;"&amp;AX93)+SUMIFS($AT$7:$AT$1843,$CG$7:$CG$1843,CG93,$AX$7:$AX$1843,AX93,$BX$7:$BX$1843,"&lt;="&amp;BX93),"")</f>
        <v>32341.3285243476</v>
      </c>
      <c r="AZ93" s="70" t="n">
        <f aca="false">IF(AY93="",0,MAX(0,MIN(1,(IF(CG93="L1",Parameter!$H$5,IF(CG93="L23",Parameter!$H$6+Parameter!$H$7,Parameter!$H$5+Parameter!$H$6+Parameter!$H$7))-(AY93-AT93))/AT93)))</f>
        <v>1</v>
      </c>
      <c r="BA93" s="62" t="n">
        <f aca="false">IF(LEFT(Cockpit!$O$5,1)="A",H93,IF(Parameter!$E$30="MAX-Bestand",IF(CI93=1,CJ93,IF(LEFT(Cockpit!$O$5,1)="B",BG93,MAX(BG93,H93))),ROUNDUP(BE93,0)))</f>
        <v>6</v>
      </c>
      <c r="BB93" s="62" t="n">
        <f aca="false">IF(CA93=1,0,ROUNDUP(BA93/BZ93,0))</f>
        <v>1</v>
      </c>
      <c r="BC93" s="64" t="n">
        <f aca="false">IF(CR93&gt;0,CR93*MAX(1,BA93/X93),IF(CA93=1,IF(BA93&lt;=0,0,CE93*MAX(1,IF(H93&gt;0,BA93/H93,1))),IF(R93&gt;0,BB93/R93,0))/MAX(0.1,N(Parameter!$M$21)))</f>
        <v>0.0833333333333333</v>
      </c>
      <c r="BD93" s="62" t="n">
        <f aca="false">BC93*CC93</f>
        <v>12.0833333333333</v>
      </c>
      <c r="BE93" s="63" t="n">
        <f aca="false">IF(LEFT(Cockpit!$O$5,1)="A",H93,IF(CI93=1,(CL93+CJ93)/2,IF(LEFT(Cockpit!$O$5,1)="B",(CL93+BG93)/2,MAX((CL93+BG93)/2,H93))))</f>
        <v>6</v>
      </c>
      <c r="BF93" s="62" t="n">
        <f aca="false">BE93*G93</f>
        <v>3062.7</v>
      </c>
      <c r="BG93" s="62" t="n">
        <f aca="false">ROUNDUP(CL93+MAX(CM93,2*(J93/IF(CH93&gt;0,CH93,MAX(0.1,N(Cockpit!$O$6)))-CL93)),0)</f>
        <v>10</v>
      </c>
      <c r="BH93" s="63" t="n">
        <f aca="false">IF(BD93&gt;0,J93/BD93,-1)</f>
        <v>0</v>
      </c>
      <c r="BI93" s="63" t="n">
        <f aca="false">IF(AND(OR(CG93="L1",CG93="L23",CG93="LIFT"),BD93&gt;0),SUMIFS($BD$7:$BD$1843,$CG$7:$CG$1843,CG93,$BH$7:$BH$1843,"&gt;"&amp;BH93)+SUMIFS($BD$7:$BD$1843,$CG$7:$CG$1843,CG93,$BH$7:$BH$1843,BH93,$BX$7:$BX$1843,"&lt;="&amp;BX93),"")</f>
        <v>26537.9103676455</v>
      </c>
      <c r="BJ93" s="70" t="n">
        <f aca="false">IF(BI93="",0,MAX(0,MIN(1,(IF(CG93="L1",Parameter!$H$5,IF(CG93="L23",Parameter!$H$6+Parameter!$H$7,Parameter!$H$5+Parameter!$H$6+Parameter!$H$7))-(BI93-BD93))/BD93)))</f>
        <v>1</v>
      </c>
      <c r="BK93" s="60" t="str">
        <f aca="false">IF(AJ93&lt;=0,"",IF(CG93="Aussen","Aussenlager",IF(CG93="-","Nicht im Lift",IF(AP93&gt;=1,"Lift",IF(AP93&lt;=0,"Aussenlager","teilweise")))))</f>
        <v>Lift</v>
      </c>
      <c r="BL93" s="60" t="str">
        <f aca="false">IF(AT93&lt;=0,"",IF(CG93="Aussen","Aussenlager",IF(CG93="-","Nicht im Lift",IF(AZ93&gt;=1,"Lift",IF(AZ93&lt;=0,"Aussenlager","teilweise")))))</f>
        <v>Lift</v>
      </c>
      <c r="BM93" s="60" t="str">
        <f aca="false">IF(BD93&lt;=0,"",IF(CG93="Aussen","Aussenlager",IF(CG93="-","Nicht im Lift",IF(BJ93&gt;=1,"Lift",IF(BJ93&lt;=0,"Aussenlager","teilweise")))))</f>
        <v>Lift</v>
      </c>
      <c r="BN93" s="60" t="str">
        <f aca="false">IF(A93="","",IF(BW93=1,"Neu; ","")&amp;IF(AND(BW93=0,BR93&lt;0),"negativer Bestand (Export "&amp;BR93&amp;"); ","")&amp;IF(J93&lt;=0,"Kein Verbrauch; ","")&amp;IF(CR93&gt;0,"Lift "&amp;W93&amp;" lt. Liftbericht (Fach "&amp;X93&amp;" Stk); ",IF(CB93=1,"Gebinde geschätzt ("&amp;T93&amp;"); ",IF(CA93=1,"Lose – Tablare geschätzt; ","")))&amp;IF(H93&gt;AW93,"Überbestand "&amp;ROUND(H93-AW93,0)&amp;" Stk / CHF "&amp;ROUND((H93-AW93)*G93,0)&amp;"; ","")&amp;IF(AND(CI93=1,CJ93&lt;CK93),"MAX &lt; MB+LG; ","")&amp;IF(AND(CQ93&gt;0,CP93*10&gt;CQ93),"zu hoch für Tablar; ","")&amp;IF(AND(BW93=0,OR(CI93=1,AB93&lt;&gt;"",U93&lt;&gt;"",V93&lt;&gt;"",AC93&lt;&gt;"")),"manuell übersteuert; ","")&amp;IF(AND(CA93=0,R93=0),"Gebinde unbekannt / Stellmass fehlt; ","")&amp;IF(AND(CA93=0,N(V93)&lt;=0,N(Q93)&lt;=0),"Menge pro Gebinde fehlt (Ist = 1 Gebinde); ","")&amp;BV93)</f>
        <v>Kein Verbrauch; Gebinde geschätzt (Mittel); Menge pro Gebinde fehlt (Ist = 1 Gebinde); </v>
      </c>
      <c r="BO93" s="60"/>
      <c r="BP93" s="60"/>
      <c r="BQ93" s="67"/>
      <c r="BR93" s="62" t="n">
        <v>5</v>
      </c>
      <c r="BS93" s="62" t="n">
        <v>0</v>
      </c>
      <c r="BT93" s="61" t="n">
        <v>2552.25</v>
      </c>
      <c r="BU93" s="62" t="n">
        <v>0</v>
      </c>
      <c r="BV93" s="60"/>
      <c r="BW93" s="65" t="n">
        <v>0</v>
      </c>
      <c r="BX93" s="65" t="n">
        <v>93</v>
      </c>
      <c r="BY93" s="60" t="str">
        <f aca="false">IF(U93&lt;&gt;"",UPPER(TRIM(U93)),IF(CB93=1,UPPER(VLOOKUP(T93,Parameter!$I$27:$K$29,2,0)),IF(P93="","LOSE",P93)))</f>
        <v>S61</v>
      </c>
      <c r="BZ93" s="62" t="n">
        <f aca="false">IF(BY93="LOSE",1,IF(N(V93)&gt;0,V93,IF(CB93=1,MAX(1,N(VLOOKUP(T93,Parameter!$I$27:$K$29,3,0)),H93,N(N93)),IF(N(Q93)&gt;0,Q93,MAX(1,H93)))))</f>
        <v>8</v>
      </c>
      <c r="CA93" s="65" t="n">
        <f aca="false">IF(BY93="LOSE",1,0)</f>
        <v>0</v>
      </c>
      <c r="CB93" s="65" t="n">
        <f aca="false">IF(AND(U93="",OR(P93="",P93="LOSE"),T93&lt;&gt;"",N(S93)&lt;=0,ISNUMBER(MATCH(T93,Parameter!$I$27:$I$29,0))),1,0)</f>
        <v>1</v>
      </c>
      <c r="CC93" s="65" t="n">
        <f aca="false">IF(CR93&gt;0,INDEX(Parameter!$H$5:$H$7,W93)/INDEX(Parameter!$E$5:$E$7,W93),IF(AND(CA93=0,N(IFERROR(VLOOKUP(BY93,'Gebinde-Kategorie'!$A$5:$N$45,14,0),0))&gt;0),VLOOKUP(BY93,'Gebinde-Kategorie'!$A$5:$N$45,14,0)*10+Parameter!$M$23,Parameter!$M$24))</f>
        <v>145</v>
      </c>
      <c r="CD93" s="60" t="str">
        <f aca="false">IF(AND(Parameter!$B$19="Ja",E93&lt;&gt;"",ISNUMBER(MATCH(E93,Parameter!$I$35:$I$52,0))),VLOOKUP(E93,Parameter!$I$35:$J$52,2,0),IFERROR(VLOOKUP(D93,Parameter!$A$35:$C$64,2,0),"Nein"))</f>
        <v>2+3</v>
      </c>
      <c r="CE93" s="64" t="n">
        <f aca="false">IF(CA93=0,0,IF(N(S93)&gt;0,S93,IFERROR(VLOOKUP(D93,Parameter!$A$35:$C$64,3,0)+0,0)))</f>
        <v>0</v>
      </c>
      <c r="CF93" s="60" t="n">
        <f aca="false">IF(AB93&lt;&gt;"",AB93,AA93)</f>
        <v>3</v>
      </c>
      <c r="CG93" s="60" t="str">
        <f aca="false">IF(OR(CF93=1,CF93=2,CF93=3),IF(Parameter!$E$27="Ja","LIFT",IF(CF93=1,"L1","L23")),IF(CF93="Aussen","Aussen","-"))</f>
        <v>LIFT</v>
      </c>
      <c r="CH93" s="71" t="n">
        <f aca="false">IF(N(AC93)&gt;0,AC93,0)</f>
        <v>0</v>
      </c>
      <c r="CI93" s="65" t="n">
        <f aca="false">IF(ISNUMBER(AF93),1,0)</f>
        <v>0</v>
      </c>
      <c r="CJ93" s="62" t="n">
        <f aca="false">N(AF93)</f>
        <v>0</v>
      </c>
      <c r="CK93" s="62" t="n">
        <f aca="false">N(M93)+N(N93)</f>
        <v>10</v>
      </c>
      <c r="CL93" s="62" t="n">
        <f aca="false">N(M93)</f>
        <v>2</v>
      </c>
      <c r="CM93" s="62" t="n">
        <f aca="false">N(N93)</f>
        <v>8</v>
      </c>
      <c r="CN93" s="62" t="n">
        <f aca="false">ROUNDUP(H93/BZ93,0)</f>
        <v>1</v>
      </c>
      <c r="CO93" s="62" t="n">
        <f aca="false">ROUNDUP(CJ93/BZ93,0)</f>
        <v>0</v>
      </c>
      <c r="CP93" s="65" t="n">
        <f aca="false">IF(CA93=1,0,IFERROR(VLOOKUP(BY93,'Gebinde-Kategorie'!$A$5:$N$45,5,0)+0,0))</f>
        <v>11</v>
      </c>
      <c r="CQ93" s="65" t="n">
        <f aca="false">IFERROR(IF(OR(CF93=1,CF93=2,CF93=3),N(INDEX(Parameter!$I$5:$I$7,CF93)),0),0)</f>
        <v>0</v>
      </c>
      <c r="CR93" s="64" t="n">
        <f aca="false">IF(AND(Parameter!$B$21="Ja",ISNUMBER(W93),N(X93)&gt;0),IFERROR(N(INDEX(Parameter!$L$5:$L$7,W93))*INDEX(Parameter!$E$5:$E$7,W93)*X93/SUMIFS($X$7:$X$1843,$W$7:$W$1843,W93),0),0)</f>
        <v>0</v>
      </c>
      <c r="CS93" s="62" t="n">
        <f aca="false">IF(AND(OR(CG93="L1",CG93="L23",CG93="LIFT"),H93&gt;0),CC93*IF(CR93&gt;0,CR93*MAX(1,H93/X93),IF(CA93=1,CE93,IF(R93&gt;0,CN93/R93,0))/MAX(0.1,N(Parameter!$M$21))),"")</f>
        <v>12.0833333333333</v>
      </c>
      <c r="CT93" s="64" t="n">
        <f aca="false">IF(CS93="","",J93/H93)</f>
        <v>0</v>
      </c>
      <c r="CU93" s="62" t="n">
        <f aca="false">IF(CS93="","",H93*G93)</f>
        <v>2552.25</v>
      </c>
      <c r="CV93" s="63" t="n">
        <f aca="false">IF(CS93="","",(CL93+ROUNDUP(CL93+MAX(CM93,2*(J93/MAX(0.1,N(Einkauf!$C$6))-CL93)),0))/2)</f>
        <v>6</v>
      </c>
      <c r="CW93" s="62" t="n">
        <f aca="false">IF(CS93="","",MAX(0,H93-CV93)*G93)</f>
        <v>0</v>
      </c>
      <c r="CX93" s="62" t="n">
        <f aca="false">IF(CS93="","",CS93*MAX(0,1-CV93/H93))</f>
        <v>0</v>
      </c>
      <c r="CY93" s="64" t="n">
        <f aca="false">IF(CS93="","",PERCENTRANK($CS$7:$CS$1843,CS93)+PERCENTRANK($CU$7:$CU$1843,CU93)+1-PERCENTRANK($CT$7:$CT$1843,CT93))</f>
        <v>2.465</v>
      </c>
      <c r="CZ93" s="72" t="n">
        <f aca="false">IF(CS93="","",CHOOSE(MATCH(Einkauf!$C$5,Parameter!$G$23:$G$27,0),CY93,CS93,CU93,-CT93,CW93)+ROW()/1000000000)</f>
        <v>2.465000093</v>
      </c>
    </row>
    <row r="94" customFormat="false" ht="15" hidden="false" customHeight="false" outlineLevel="0" collapsed="false">
      <c r="A94" s="60" t="s">
        <v>441</v>
      </c>
      <c r="B94" s="60" t="s">
        <v>442</v>
      </c>
      <c r="C94" s="60" t="s">
        <v>206</v>
      </c>
      <c r="D94" s="60" t="s">
        <v>226</v>
      </c>
      <c r="E94" s="60" t="s">
        <v>208</v>
      </c>
      <c r="F94" s="60" t="s">
        <v>260</v>
      </c>
      <c r="G94" s="61" t="n">
        <v>29.5</v>
      </c>
      <c r="H94" s="62" t="n">
        <f aca="false">MAX(0,IF(AND(Parameter!$B$21="Ja",ISNUMBER(Y94)),Y94,IF(Parameter!$B$20="Jahresanfang 2025 + Export",BS94+BR94,BR94)))</f>
        <v>98</v>
      </c>
      <c r="I94" s="62" t="n">
        <f aca="false">H94*G94</f>
        <v>2891</v>
      </c>
      <c r="J94" s="62" t="n">
        <f aca="false">BU94*Parameter!$B$18</f>
        <v>88</v>
      </c>
      <c r="K94" s="63" t="n">
        <v>11</v>
      </c>
      <c r="L94" s="64" t="n">
        <v>8</v>
      </c>
      <c r="M94" s="62" t="n">
        <v>5</v>
      </c>
      <c r="N94" s="62" t="n">
        <v>90</v>
      </c>
      <c r="O94" s="65" t="n">
        <v>21</v>
      </c>
      <c r="P94" s="60" t="s">
        <v>443</v>
      </c>
      <c r="Q94" s="62" t="n">
        <v>50</v>
      </c>
      <c r="R94" s="65" t="n">
        <f aca="false">IF(CA94=1,0,IFERROR(VLOOKUP(BY94,'Gebinde-Kategorie'!$A$5:$N$45,13,0)+0,0))</f>
        <v>280</v>
      </c>
      <c r="S94" s="66"/>
      <c r="T94" s="67"/>
      <c r="U94" s="67"/>
      <c r="V94" s="67"/>
      <c r="W94" s="60"/>
      <c r="X94" s="62"/>
      <c r="Y94" s="62"/>
      <c r="Z94" s="60" t="n">
        <v>2</v>
      </c>
      <c r="AA94" s="60" t="n">
        <f aca="false">IF(A94="","",IF(AND(Parameter!$B$21="Ja",ISNUMBER(W94)),W94,IF(AND(Parameter!$E$27="Ja",ISNUMBER(Z94),CD94&lt;&gt;"Nein"),Z94,IF(CD94="2+3",IF(ISNUMBER(SEARCH("grosser Artikel",BV94)),2,IFERROR(VLOOKUP(BY94,Parameter!$F$35:$G$64,2,0),2)),IF(OR(CD94="Nein",CD94=""),"-",CD94)))))</f>
        <v>2</v>
      </c>
      <c r="AB94" s="67"/>
      <c r="AC94" s="68"/>
      <c r="AD94" s="62" t="n">
        <f aca="false">AW94</f>
        <v>95</v>
      </c>
      <c r="AE94" s="62" t="n">
        <f aca="false">MAX(AW94,H94)</f>
        <v>98</v>
      </c>
      <c r="AF94" s="69"/>
      <c r="AG94" s="62" t="n">
        <f aca="false">IF(LEFT(Cockpit!$C$5,1)="A",H94,IF(Parameter!$E$30="MAX-Bestand",IF(CI94=1,CJ94,IF(LEFT(Cockpit!$C$5,1)="B",AM94,MAX(AM94,H94))),ROUNDUP(AK94,0)))</f>
        <v>98</v>
      </c>
      <c r="AH94" s="62" t="n">
        <f aca="false">IF(CA94=1,0,ROUNDUP(AG94/BZ94,0))</f>
        <v>2</v>
      </c>
      <c r="AI94" s="64" t="n">
        <f aca="false">IF(CR94&gt;0,CR94*MAX(1,AG94/X94),IF(CA94=1,IF(AG94&lt;=0,0,CE94*MAX(1,IF(H94&gt;0,AG94/H94,1))),IF(R94&gt;0,AH94/R94,0))/MAX(0.1,N(Parameter!$M$21)))</f>
        <v>0.00714285714285714</v>
      </c>
      <c r="AJ94" s="62" t="n">
        <f aca="false">AI94*CC94</f>
        <v>1.10714285714286</v>
      </c>
      <c r="AK94" s="63" t="n">
        <f aca="false">IF(LEFT(Cockpit!$C$5,1)="A",H94,IF(CI94=1,(CL94+CJ94)/2,IF(LEFT(Cockpit!$C$5,1)="B",(CL94+AM94)/2,MAX((CL94+AM94)/2,H94))))</f>
        <v>98</v>
      </c>
      <c r="AL94" s="62" t="n">
        <f aca="false">AK94*G94</f>
        <v>2891</v>
      </c>
      <c r="AM94" s="62" t="n">
        <f aca="false">ROUNDUP(CL94+MAX(CM94,2*(J94/IF(CH94&gt;0,CH94,MAX(0.1,N(Cockpit!$C$6)))-CL94)),0)</f>
        <v>95</v>
      </c>
      <c r="AN94" s="63" t="n">
        <f aca="false">IF(AJ94&gt;0,J94/AJ94,-1)</f>
        <v>79.4838709677419</v>
      </c>
      <c r="AO94" s="63" t="n">
        <f aca="false">IF(AND(OR(CG94="L1",CG94="L23",CG94="LIFT"),AJ94&gt;0),SUMIFS($AJ$7:$AJ$1843,$CG$7:$CG$1843,CG94,$AN$7:$AN$1843,"&gt;"&amp;AN94)+SUMIFS($AJ$7:$AJ$1843,$CG$7:$CG$1843,CG94,$AN$7:$AN$1843,AN94,$BX$7:$BX$1843,"&lt;="&amp;BX94),"")</f>
        <v>861.447802197802</v>
      </c>
      <c r="AP94" s="70" t="n">
        <f aca="false">IF(AO94="",0,MAX(0,MIN(1,(IF(CG94="L1",Parameter!$H$5,IF(CG94="L23",Parameter!$H$6+Parameter!$H$7,Parameter!$H$5+Parameter!$H$6+Parameter!$H$7))-(AO94-AJ94))/AJ94)))</f>
        <v>1</v>
      </c>
      <c r="AQ94" s="62" t="n">
        <f aca="false">IF(LEFT(Cockpit!$I$5,1)="A",H94,IF(Parameter!$E$30="MAX-Bestand",IF(CI94=1,CJ94,IF(LEFT(Cockpit!$I$5,1)="B",AW94,MAX(AW94,H94))),ROUNDUP(AU94,0)))</f>
        <v>98</v>
      </c>
      <c r="AR94" s="62" t="n">
        <f aca="false">IF(CA94=1,0,ROUNDUP(AQ94/BZ94,0))</f>
        <v>2</v>
      </c>
      <c r="AS94" s="64" t="n">
        <f aca="false">IF(CR94&gt;0,CR94*MAX(1,AQ94/X94),IF(CA94=1,IF(AQ94&lt;=0,0,CE94*MAX(1,IF(H94&gt;0,AQ94/H94,1))),IF(R94&gt;0,AR94/R94,0))/MAX(0.1,N(Parameter!$M$21)))</f>
        <v>0.00714285714285714</v>
      </c>
      <c r="AT94" s="62" t="n">
        <f aca="false">AS94*CC94</f>
        <v>1.10714285714286</v>
      </c>
      <c r="AU94" s="63" t="n">
        <f aca="false">IF(LEFT(Cockpit!$I$5,1)="A",H94,IF(CI94=1,(CL94+CJ94)/2,IF(LEFT(Cockpit!$I$5,1)="B",(CL94+AW94)/2,MAX((CL94+AW94)/2,H94))))</f>
        <v>98</v>
      </c>
      <c r="AV94" s="62" t="n">
        <f aca="false">AU94*G94</f>
        <v>2891</v>
      </c>
      <c r="AW94" s="62" t="n">
        <f aca="false">ROUNDUP(CL94+MAX(CM94,2*(J94/IF(CH94&gt;0,CH94,MAX(0.1,N(Cockpit!$I$6)))-CL94)),0)</f>
        <v>95</v>
      </c>
      <c r="AX94" s="63" t="n">
        <f aca="false">IF(AT94&gt;0,J94/AT94,-1)</f>
        <v>79.4838709677419</v>
      </c>
      <c r="AY94" s="63" t="n">
        <f aca="false">IF(AND(OR(CG94="L1",CG94="L23",CG94="LIFT"),AT94&gt;0),SUMIFS($AT$7:$AT$1843,$CG$7:$CG$1843,CG94,$AX$7:$AX$1843,"&gt;"&amp;AX94)+SUMIFS($AT$7:$AT$1843,$CG$7:$CG$1843,CG94,$AX$7:$AX$1843,AX94,$BX$7:$BX$1843,"&lt;="&amp;BX94),"")</f>
        <v>1074.35989010989</v>
      </c>
      <c r="AZ94" s="70" t="n">
        <f aca="false">IF(AY94="",0,MAX(0,MIN(1,(IF(CG94="L1",Parameter!$H$5,IF(CG94="L23",Parameter!$H$6+Parameter!$H$7,Parameter!$H$5+Parameter!$H$6+Parameter!$H$7))-(AY94-AT94))/AT94)))</f>
        <v>1</v>
      </c>
      <c r="BA94" s="62" t="n">
        <f aca="false">IF(LEFT(Cockpit!$O$5,1)="A",H94,IF(Parameter!$E$30="MAX-Bestand",IF(CI94=1,CJ94,IF(LEFT(Cockpit!$O$5,1)="B",BG94,MAX(BG94,H94))),ROUNDUP(BE94,0)))</f>
        <v>50</v>
      </c>
      <c r="BB94" s="62" t="n">
        <f aca="false">IF(CA94=1,0,ROUNDUP(BA94/BZ94,0))</f>
        <v>1</v>
      </c>
      <c r="BC94" s="64" t="n">
        <f aca="false">IF(CR94&gt;0,CR94*MAX(1,BA94/X94),IF(CA94=1,IF(BA94&lt;=0,0,CE94*MAX(1,IF(H94&gt;0,BA94/H94,1))),IF(R94&gt;0,BB94/R94,0))/MAX(0.1,N(Parameter!$M$21)))</f>
        <v>0.00357142857142857</v>
      </c>
      <c r="BD94" s="62" t="n">
        <f aca="false">BC94*CC94</f>
        <v>0.553571428571429</v>
      </c>
      <c r="BE94" s="63" t="n">
        <f aca="false">IF(LEFT(Cockpit!$O$5,1)="A",H94,IF(CI94=1,(CL94+CJ94)/2,IF(LEFT(Cockpit!$O$5,1)="B",(CL94+BG94)/2,MAX((CL94+BG94)/2,H94))))</f>
        <v>50</v>
      </c>
      <c r="BF94" s="62" t="n">
        <f aca="false">BE94*G94</f>
        <v>1475</v>
      </c>
      <c r="BG94" s="62" t="n">
        <f aca="false">ROUNDUP(CL94+MAX(CM94,2*(J94/IF(CH94&gt;0,CH94,MAX(0.1,N(Cockpit!$O$6)))-CL94)),0)</f>
        <v>95</v>
      </c>
      <c r="BH94" s="63" t="n">
        <f aca="false">IF(BD94&gt;0,J94/BD94,-1)</f>
        <v>158.967741935484</v>
      </c>
      <c r="BI94" s="63" t="n">
        <f aca="false">IF(AND(OR(CG94="L1",CG94="L23",CG94="LIFT"),BD94&gt;0),SUMIFS($BD$7:$BD$1843,$CG$7:$CG$1843,CG94,$BH$7:$BH$1843,"&gt;"&amp;BH94)+SUMIFS($BD$7:$BD$1843,$CG$7:$CG$1843,CG94,$BH$7:$BH$1843,BH94,$BX$7:$BX$1843,"&lt;="&amp;BX94),"")</f>
        <v>536</v>
      </c>
      <c r="BJ94" s="70" t="n">
        <f aca="false">IF(BI94="",0,MAX(0,MIN(1,(IF(CG94="L1",Parameter!$H$5,IF(CG94="L23",Parameter!$H$6+Parameter!$H$7,Parameter!$H$5+Parameter!$H$6+Parameter!$H$7))-(BI94-BD94))/BD94)))</f>
        <v>1</v>
      </c>
      <c r="BK94" s="60" t="str">
        <f aca="false">IF(AJ94&lt;=0,"",IF(CG94="Aussen","Aussenlager",IF(CG94="-","Nicht im Lift",IF(AP94&gt;=1,"Lift",IF(AP94&lt;=0,"Aussenlager","teilweise")))))</f>
        <v>Lift</v>
      </c>
      <c r="BL94" s="60" t="str">
        <f aca="false">IF(AT94&lt;=0,"",IF(CG94="Aussen","Aussenlager",IF(CG94="-","Nicht im Lift",IF(AZ94&gt;=1,"Lift",IF(AZ94&lt;=0,"Aussenlager","teilweise")))))</f>
        <v>Lift</v>
      </c>
      <c r="BM94" s="60" t="str">
        <f aca="false">IF(BD94&lt;=0,"",IF(CG94="Aussen","Aussenlager",IF(CG94="-","Nicht im Lift",IF(BJ94&gt;=1,"Lift",IF(BJ94&lt;=0,"Aussenlager","teilweise")))))</f>
        <v>Lift</v>
      </c>
      <c r="BN94" s="60" t="str">
        <f aca="false">IF(A94="","",IF(BW94=1,"Neu; ","")&amp;IF(AND(BW94=0,BR94&lt;0),"negativer Bestand (Export "&amp;BR94&amp;"); ","")&amp;IF(J94&lt;=0,"Kein Verbrauch; ","")&amp;IF(CR94&gt;0,"Lift "&amp;W94&amp;" lt. Liftbericht (Fach "&amp;X94&amp;" Stk); ",IF(CB94=1,"Gebinde geschätzt ("&amp;T94&amp;"); ",IF(CA94=1,"Lose – Tablare geschätzt; ","")))&amp;IF(H94&gt;AW94,"Überbestand "&amp;ROUND(H94-AW94,0)&amp;" Stk / CHF "&amp;ROUND((H94-AW94)*G94,0)&amp;"; ","")&amp;IF(AND(CI94=1,CJ94&lt;CK94),"MAX &lt; MB+LG; ","")&amp;IF(AND(CQ94&gt;0,CP94*10&gt;CQ94),"zu hoch für Tablar; ","")&amp;IF(AND(BW94=0,OR(CI94=1,AB94&lt;&gt;"",U94&lt;&gt;"",V94&lt;&gt;"",AC94&lt;&gt;"")),"manuell übersteuert; ","")&amp;IF(AND(CA94=0,R94=0),"Gebinde unbekannt / Stellmass fehlt; ","")&amp;IF(AND(CA94=0,N(V94)&lt;=0,N(Q94)&lt;=0),"Menge pro Gebinde fehlt (Ist = 1 Gebinde); ","")&amp;BV94)</f>
        <v>Überbestand 3 Stk / CHF 89; </v>
      </c>
      <c r="BO94" s="60"/>
      <c r="BP94" s="60"/>
      <c r="BQ94" s="67"/>
      <c r="BR94" s="62" t="n">
        <v>83</v>
      </c>
      <c r="BS94" s="62" t="n">
        <v>15</v>
      </c>
      <c r="BT94" s="61" t="n">
        <v>2482.39</v>
      </c>
      <c r="BU94" s="62" t="n">
        <v>88</v>
      </c>
      <c r="BV94" s="60"/>
      <c r="BW94" s="65" t="n">
        <v>0</v>
      </c>
      <c r="BX94" s="65" t="n">
        <v>94</v>
      </c>
      <c r="BY94" s="60" t="str">
        <f aca="false">IF(U94&lt;&gt;"",UPPER(TRIM(U94)),IF(CB94=1,UPPER(VLOOKUP(T94,Parameter!$I$27:$K$29,2,0)),IF(P94="","LOSE",P94)))</f>
        <v>S21</v>
      </c>
      <c r="BZ94" s="62" t="n">
        <f aca="false">IF(BY94="LOSE",1,IF(N(V94)&gt;0,V94,IF(CB94=1,MAX(1,N(VLOOKUP(T94,Parameter!$I$27:$K$29,3,0)),H94,N(N94)),IF(N(Q94)&gt;0,Q94,MAX(1,H94)))))</f>
        <v>50</v>
      </c>
      <c r="CA94" s="65" t="n">
        <f aca="false">IF(BY94="LOSE",1,0)</f>
        <v>0</v>
      </c>
      <c r="CB94" s="65" t="n">
        <f aca="false">IF(AND(U94="",OR(P94="",P94="LOSE"),T94&lt;&gt;"",N(S94)&lt;=0,ISNUMBER(MATCH(T94,Parameter!$I$27:$I$29,0))),1,0)</f>
        <v>0</v>
      </c>
      <c r="CC94" s="65" t="n">
        <f aca="false">IF(CR94&gt;0,INDEX(Parameter!$H$5:$H$7,W94)/INDEX(Parameter!$E$5:$E$7,W94),IF(AND(CA94=0,N(IFERROR(VLOOKUP(BY94,'Gebinde-Kategorie'!$A$5:$N$45,14,0),0))&gt;0),VLOOKUP(BY94,'Gebinde-Kategorie'!$A$5:$N$45,14,0)*10+Parameter!$M$23,Parameter!$M$24))</f>
        <v>155</v>
      </c>
      <c r="CD94" s="60" t="n">
        <f aca="false">IF(AND(Parameter!$B$19="Ja",E94&lt;&gt;"",ISNUMBER(MATCH(E94,Parameter!$I$35:$I$52,0))),VLOOKUP(E94,Parameter!$I$35:$J$52,2,0),IFERROR(VLOOKUP(D94,Parameter!$A$35:$C$64,2,0),"Nein"))</f>
        <v>1</v>
      </c>
      <c r="CE94" s="64" t="n">
        <f aca="false">IF(CA94=0,0,IF(N(S94)&gt;0,S94,IFERROR(VLOOKUP(D94,Parameter!$A$35:$C$64,3,0)+0,0)))</f>
        <v>0</v>
      </c>
      <c r="CF94" s="60" t="n">
        <f aca="false">IF(AB94&lt;&gt;"",AB94,AA94)</f>
        <v>2</v>
      </c>
      <c r="CG94" s="60" t="str">
        <f aca="false">IF(OR(CF94=1,CF94=2,CF94=3),IF(Parameter!$E$27="Ja","LIFT",IF(CF94=1,"L1","L23")),IF(CF94="Aussen","Aussen","-"))</f>
        <v>LIFT</v>
      </c>
      <c r="CH94" s="71" t="n">
        <f aca="false">IF(N(AC94)&gt;0,AC94,0)</f>
        <v>0</v>
      </c>
      <c r="CI94" s="65" t="n">
        <f aca="false">IF(ISNUMBER(AF94),1,0)</f>
        <v>0</v>
      </c>
      <c r="CJ94" s="62" t="n">
        <f aca="false">N(AF94)</f>
        <v>0</v>
      </c>
      <c r="CK94" s="62" t="n">
        <f aca="false">N(M94)+N(N94)</f>
        <v>95</v>
      </c>
      <c r="CL94" s="62" t="n">
        <f aca="false">N(M94)</f>
        <v>5</v>
      </c>
      <c r="CM94" s="62" t="n">
        <f aca="false">N(N94)</f>
        <v>90</v>
      </c>
      <c r="CN94" s="62" t="n">
        <f aca="false">ROUNDUP(H94/BZ94,0)</f>
        <v>2</v>
      </c>
      <c r="CO94" s="62" t="n">
        <f aca="false">ROUNDUP(CJ94/BZ94,0)</f>
        <v>0</v>
      </c>
      <c r="CP94" s="65" t="n">
        <f aca="false">IF(CA94=1,0,IFERROR(VLOOKUP(BY94,'Gebinde-Kategorie'!$A$5:$N$45,5,0)+0,0))</f>
        <v>8</v>
      </c>
      <c r="CQ94" s="65" t="n">
        <f aca="false">IFERROR(IF(OR(CF94=1,CF94=2,CF94=3),N(INDEX(Parameter!$I$5:$I$7,CF94)),0),0)</f>
        <v>0</v>
      </c>
      <c r="CR94" s="64" t="n">
        <f aca="false">IF(AND(Parameter!$B$21="Ja",ISNUMBER(W94),N(X94)&gt;0),IFERROR(N(INDEX(Parameter!$L$5:$L$7,W94))*INDEX(Parameter!$E$5:$E$7,W94)*X94/SUMIFS($X$7:$X$1843,$W$7:$W$1843,W94),0),0)</f>
        <v>0</v>
      </c>
      <c r="CS94" s="62" t="n">
        <f aca="false">IF(AND(OR(CG94="L1",CG94="L23",CG94="LIFT"),H94&gt;0),CC94*IF(CR94&gt;0,CR94*MAX(1,H94/X94),IF(CA94=1,CE94,IF(R94&gt;0,CN94/R94,0))/MAX(0.1,N(Parameter!$M$21))),"")</f>
        <v>1.10714285714286</v>
      </c>
      <c r="CT94" s="64" t="n">
        <f aca="false">IF(CS94="","",J94/H94)</f>
        <v>0.897959183673469</v>
      </c>
      <c r="CU94" s="62" t="n">
        <f aca="false">IF(CS94="","",H94*G94)</f>
        <v>2891</v>
      </c>
      <c r="CV94" s="63" t="n">
        <f aca="false">IF(CS94="","",(CL94+ROUNDUP(CL94+MAX(CM94,2*(J94/MAX(0.1,N(Einkauf!$C$6))-CL94)),0))/2)</f>
        <v>50</v>
      </c>
      <c r="CW94" s="62" t="n">
        <f aca="false">IF(CS94="","",MAX(0,H94-CV94)*G94)</f>
        <v>1416</v>
      </c>
      <c r="CX94" s="62" t="n">
        <f aca="false">IF(CS94="","",CS94*MAX(0,1-CV94/H94))</f>
        <v>0.542274052478134</v>
      </c>
      <c r="CY94" s="64" t="n">
        <f aca="false">IF(CS94="","",PERCENTRANK($CS$7:$CS$1843,CS94)+PERCENTRANK($CU$7:$CU$1843,CU94)+1-PERCENTRANK($CT$7:$CT$1843,CT94))</f>
        <v>1.2574</v>
      </c>
      <c r="CZ94" s="72" t="n">
        <f aca="false">IF(CS94="","",CHOOSE(MATCH(Einkauf!$C$5,Parameter!$G$23:$G$27,0),CY94,CS94,CU94,-CT94,CW94)+ROW()/1000000000)</f>
        <v>1.257400094</v>
      </c>
    </row>
    <row r="95" customFormat="false" ht="15" hidden="false" customHeight="false" outlineLevel="0" collapsed="false">
      <c r="A95" s="60" t="s">
        <v>444</v>
      </c>
      <c r="B95" s="60" t="s">
        <v>445</v>
      </c>
      <c r="C95" s="60" t="s">
        <v>206</v>
      </c>
      <c r="D95" s="60" t="s">
        <v>226</v>
      </c>
      <c r="E95" s="60"/>
      <c r="F95" s="60" t="s">
        <v>260</v>
      </c>
      <c r="G95" s="61" t="n">
        <v>33.76</v>
      </c>
      <c r="H95" s="62" t="n">
        <f aca="false">MAX(0,IF(AND(Parameter!$B$21="Ja",ISNUMBER(Y95)),Y95,IF(Parameter!$B$20="Jahresanfang 2025 + Export",BS95+BR95,BR95)))</f>
        <v>72</v>
      </c>
      <c r="I95" s="62" t="n">
        <f aca="false">H95*G95</f>
        <v>2430.72</v>
      </c>
      <c r="J95" s="62" t="n">
        <f aca="false">BU95*Parameter!$B$18</f>
        <v>12</v>
      </c>
      <c r="K95" s="63" t="n">
        <v>40</v>
      </c>
      <c r="L95" s="64" t="n">
        <v>0.3</v>
      </c>
      <c r="M95" s="62" t="n">
        <v>0</v>
      </c>
      <c r="N95" s="62" t="n">
        <v>10</v>
      </c>
      <c r="O95" s="65" t="n">
        <v>21</v>
      </c>
      <c r="P95" s="60" t="s">
        <v>210</v>
      </c>
      <c r="Q95" s="62"/>
      <c r="R95" s="65" t="n">
        <f aca="false">IF(CA95=1,0,IFERROR(VLOOKUP(BY95,'Gebinde-Kategorie'!$A$5:$N$45,13,0)+0,0))</f>
        <v>26</v>
      </c>
      <c r="S95" s="66"/>
      <c r="T95" s="67" t="s">
        <v>317</v>
      </c>
      <c r="U95" s="67"/>
      <c r="V95" s="67"/>
      <c r="W95" s="60"/>
      <c r="X95" s="62"/>
      <c r="Y95" s="62"/>
      <c r="Z95" s="60" t="n">
        <v>3</v>
      </c>
      <c r="AA95" s="60" t="n">
        <f aca="false">IF(A95="","",IF(AND(Parameter!$B$21="Ja",ISNUMBER(W95)),W95,IF(AND(Parameter!$E$27="Ja",ISNUMBER(Z95),CD95&lt;&gt;"Nein"),Z95,IF(CD95="2+3",IF(ISNUMBER(SEARCH("grosser Artikel",BV95)),2,IFERROR(VLOOKUP(BY95,Parameter!$F$35:$G$64,2,0),2)),IF(OR(CD95="Nein",CD95=""),"-",CD95)))))</f>
        <v>3</v>
      </c>
      <c r="AB95" s="67"/>
      <c r="AC95" s="68"/>
      <c r="AD95" s="62" t="n">
        <f aca="false">AW95</f>
        <v>10</v>
      </c>
      <c r="AE95" s="62" t="n">
        <f aca="false">MAX(AW95,H95)</f>
        <v>72</v>
      </c>
      <c r="AF95" s="69"/>
      <c r="AG95" s="62" t="n">
        <f aca="false">IF(LEFT(Cockpit!$C$5,1)="A",H95,IF(Parameter!$E$30="MAX-Bestand",IF(CI95=1,CJ95,IF(LEFT(Cockpit!$C$5,1)="B",AM95,MAX(AM95,H95))),ROUNDUP(AK95,0)))</f>
        <v>72</v>
      </c>
      <c r="AH95" s="62" t="n">
        <f aca="false">IF(CA95=1,0,ROUNDUP(AG95/BZ95,0))</f>
        <v>1</v>
      </c>
      <c r="AI95" s="64" t="n">
        <f aca="false">IF(CR95&gt;0,CR95*MAX(1,AG95/X95),IF(CA95=1,IF(AG95&lt;=0,0,CE95*MAX(1,IF(H95&gt;0,AG95/H95,1))),IF(R95&gt;0,AH95/R95,0))/MAX(0.1,N(Parameter!$M$21)))</f>
        <v>0.0384615384615385</v>
      </c>
      <c r="AJ95" s="62" t="n">
        <f aca="false">AI95*CC95</f>
        <v>5.96153846153846</v>
      </c>
      <c r="AK95" s="63" t="n">
        <f aca="false">IF(LEFT(Cockpit!$C$5,1)="A",H95,IF(CI95=1,(CL95+CJ95)/2,IF(LEFT(Cockpit!$C$5,1)="B",(CL95+AM95)/2,MAX((CL95+AM95)/2,H95))))</f>
        <v>72</v>
      </c>
      <c r="AL95" s="62" t="n">
        <f aca="false">AK95*G95</f>
        <v>2430.72</v>
      </c>
      <c r="AM95" s="62" t="n">
        <f aca="false">ROUNDUP(CL95+MAX(CM95,2*(J95/IF(CH95&gt;0,CH95,MAX(0.1,N(Cockpit!$C$6)))-CL95)),0)</f>
        <v>10</v>
      </c>
      <c r="AN95" s="63" t="n">
        <f aca="false">IF(AJ95&gt;0,J95/AJ95,-1)</f>
        <v>2.01290322580645</v>
      </c>
      <c r="AO95" s="63" t="n">
        <f aca="false">IF(AND(OR(CG95="L1",CG95="L23",CG95="LIFT"),AJ95&gt;0),SUMIFS($AJ$7:$AJ$1843,$CG$7:$CG$1843,CG95,$AN$7:$AN$1843,"&gt;"&amp;AN95)+SUMIFS($AJ$7:$AJ$1843,$CG$7:$CG$1843,CG95,$AN$7:$AN$1843,AN95,$BX$7:$BX$1843,"&lt;="&amp;BX95),"")</f>
        <v>5756.57097069597</v>
      </c>
      <c r="AP95" s="70" t="n">
        <f aca="false">IF(AO95="",0,MAX(0,MIN(1,(IF(CG95="L1",Parameter!$H$5,IF(CG95="L23",Parameter!$H$6+Parameter!$H$7,Parameter!$H$5+Parameter!$H$6+Parameter!$H$7))-(AO95-AJ95))/AJ95)))</f>
        <v>1</v>
      </c>
      <c r="AQ95" s="62" t="n">
        <f aca="false">IF(LEFT(Cockpit!$I$5,1)="A",H95,IF(Parameter!$E$30="MAX-Bestand",IF(CI95=1,CJ95,IF(LEFT(Cockpit!$I$5,1)="B",AW95,MAX(AW95,H95))),ROUNDUP(AU95,0)))</f>
        <v>72</v>
      </c>
      <c r="AR95" s="62" t="n">
        <f aca="false">IF(CA95=1,0,ROUNDUP(AQ95/BZ95,0))</f>
        <v>1</v>
      </c>
      <c r="AS95" s="64" t="n">
        <f aca="false">IF(CR95&gt;0,CR95*MAX(1,AQ95/X95),IF(CA95=1,IF(AQ95&lt;=0,0,CE95*MAX(1,IF(H95&gt;0,AQ95/H95,1))),IF(R95&gt;0,AR95/R95,0))/MAX(0.1,N(Parameter!$M$21)))</f>
        <v>0.0384615384615385</v>
      </c>
      <c r="AT95" s="62" t="n">
        <f aca="false">AS95*CC95</f>
        <v>5.96153846153846</v>
      </c>
      <c r="AU95" s="63" t="n">
        <f aca="false">IF(LEFT(Cockpit!$I$5,1)="A",H95,IF(CI95=1,(CL95+CJ95)/2,IF(LEFT(Cockpit!$I$5,1)="B",(CL95+AW95)/2,MAX((CL95+AW95)/2,H95))))</f>
        <v>72</v>
      </c>
      <c r="AV95" s="62" t="n">
        <f aca="false">AU95*G95</f>
        <v>2430.72</v>
      </c>
      <c r="AW95" s="62" t="n">
        <f aca="false">ROUNDUP(CL95+MAX(CM95,2*(J95/IF(CH95&gt;0,CH95,MAX(0.1,N(Cockpit!$I$6)))-CL95)),0)</f>
        <v>10</v>
      </c>
      <c r="AX95" s="63" t="n">
        <f aca="false">IF(AT95&gt;0,J95/AT95,-1)</f>
        <v>2.01290322580645</v>
      </c>
      <c r="AY95" s="63" t="n">
        <f aca="false">IF(AND(OR(CG95="L1",CG95="L23",CG95="LIFT"),AT95&gt;0),SUMIFS($AT$7:$AT$1843,$CG$7:$CG$1843,CG95,$AX$7:$AX$1843,"&gt;"&amp;AX95)+SUMIFS($AT$7:$AT$1843,$CG$7:$CG$1843,CG95,$AX$7:$AX$1843,AX95,$BX$7:$BX$1843,"&lt;="&amp;BX95),"")</f>
        <v>7124.51053113553</v>
      </c>
      <c r="AZ95" s="70" t="n">
        <f aca="false">IF(AY95="",0,MAX(0,MIN(1,(IF(CG95="L1",Parameter!$H$5,IF(CG95="L23",Parameter!$H$6+Parameter!$H$7,Parameter!$H$5+Parameter!$H$6+Parameter!$H$7))-(AY95-AT95))/AT95)))</f>
        <v>1</v>
      </c>
      <c r="BA95" s="62" t="n">
        <f aca="false">IF(LEFT(Cockpit!$O$5,1)="A",H95,IF(Parameter!$E$30="MAX-Bestand",IF(CI95=1,CJ95,IF(LEFT(Cockpit!$O$5,1)="B",BG95,MAX(BG95,H95))),ROUNDUP(BE95,0)))</f>
        <v>5</v>
      </c>
      <c r="BB95" s="62" t="n">
        <f aca="false">IF(CA95=1,0,ROUNDUP(BA95/BZ95,0))</f>
        <v>1</v>
      </c>
      <c r="BC95" s="64" t="n">
        <f aca="false">IF(CR95&gt;0,CR95*MAX(1,BA95/X95),IF(CA95=1,IF(BA95&lt;=0,0,CE95*MAX(1,IF(H95&gt;0,BA95/H95,1))),IF(R95&gt;0,BB95/R95,0))/MAX(0.1,N(Parameter!$M$21)))</f>
        <v>0.0384615384615385</v>
      </c>
      <c r="BD95" s="62" t="n">
        <f aca="false">BC95*CC95</f>
        <v>5.96153846153846</v>
      </c>
      <c r="BE95" s="63" t="n">
        <f aca="false">IF(LEFT(Cockpit!$O$5,1)="A",H95,IF(CI95=1,(CL95+CJ95)/2,IF(LEFT(Cockpit!$O$5,1)="B",(CL95+BG95)/2,MAX((CL95+BG95)/2,H95))))</f>
        <v>5</v>
      </c>
      <c r="BF95" s="62" t="n">
        <f aca="false">BE95*G95</f>
        <v>168.8</v>
      </c>
      <c r="BG95" s="62" t="n">
        <f aca="false">ROUNDUP(CL95+MAX(CM95,2*(J95/IF(CH95&gt;0,CH95,MAX(0.1,N(Cockpit!$O$6)))-CL95)),0)</f>
        <v>10</v>
      </c>
      <c r="BH95" s="63" t="n">
        <f aca="false">IF(BD95&gt;0,J95/BD95,-1)</f>
        <v>2.01290322580645</v>
      </c>
      <c r="BI95" s="63" t="n">
        <f aca="false">IF(AND(OR(CG95="L1",CG95="L23",CG95="LIFT"),BD95&gt;0),SUMIFS($BD$7:$BD$1843,$CG$7:$CG$1843,CG95,$BH$7:$BH$1843,"&gt;"&amp;BH95)+SUMIFS($BD$7:$BD$1843,$CG$7:$CG$1843,CG95,$BH$7:$BH$1843,BH95,$BX$7:$BX$1843,"&lt;="&amp;BX95),"")</f>
        <v>5848.69871794872</v>
      </c>
      <c r="BJ95" s="70" t="n">
        <f aca="false">IF(BI95="",0,MAX(0,MIN(1,(IF(CG95="L1",Parameter!$H$5,IF(CG95="L23",Parameter!$H$6+Parameter!$H$7,Parameter!$H$5+Parameter!$H$6+Parameter!$H$7))-(BI95-BD95))/BD95)))</f>
        <v>1</v>
      </c>
      <c r="BK95" s="60" t="str">
        <f aca="false">IF(AJ95&lt;=0,"",IF(CG95="Aussen","Aussenlager",IF(CG95="-","Nicht im Lift",IF(AP95&gt;=1,"Lift",IF(AP95&lt;=0,"Aussenlager","teilweise")))))</f>
        <v>Lift</v>
      </c>
      <c r="BL95" s="60" t="str">
        <f aca="false">IF(AT95&lt;=0,"",IF(CG95="Aussen","Aussenlager",IF(CG95="-","Nicht im Lift",IF(AZ95&gt;=1,"Lift",IF(AZ95&lt;=0,"Aussenlager","teilweise")))))</f>
        <v>Lift</v>
      </c>
      <c r="BM95" s="60" t="str">
        <f aca="false">IF(BD95&lt;=0,"",IF(CG95="Aussen","Aussenlager",IF(CG95="-","Nicht im Lift",IF(BJ95&gt;=1,"Lift",IF(BJ95&lt;=0,"Aussenlager","teilweise")))))</f>
        <v>Lift</v>
      </c>
      <c r="BN95" s="60" t="str">
        <f aca="false">IF(A95="","",IF(BW95=1,"Neu; ","")&amp;IF(AND(BW95=0,BR95&lt;0),"negativer Bestand (Export "&amp;BR95&amp;"); ","")&amp;IF(J95&lt;=0,"Kein Verbrauch; ","")&amp;IF(CR95&gt;0,"Lift "&amp;W95&amp;" lt. Liftbericht (Fach "&amp;X95&amp;" Stk); ",IF(CB95=1,"Gebinde geschätzt ("&amp;T95&amp;"); ",IF(CA95=1,"Lose – Tablare geschätzt; ","")))&amp;IF(H95&gt;AW95,"Überbestand "&amp;ROUND(H95-AW95,0)&amp;" Stk / CHF "&amp;ROUND((H95-AW95)*G95,0)&amp;"; ","")&amp;IF(AND(CI95=1,CJ95&lt;CK95),"MAX &lt; MB+LG; ","")&amp;IF(AND(CQ95&gt;0,CP95*10&gt;CQ95),"zu hoch für Tablar; ","")&amp;IF(AND(BW95=0,OR(CI95=1,AB95&lt;&gt;"",U95&lt;&gt;"",V95&lt;&gt;"",AC95&lt;&gt;"")),"manuell übersteuert; ","")&amp;IF(AND(CA95=0,R95=0),"Gebinde unbekannt / Stellmass fehlt; ","")&amp;IF(AND(CA95=0,N(V95)&lt;=0,N(Q95)&lt;=0),"Menge pro Gebinde fehlt (Ist = 1 Gebinde); ","")&amp;BV95)</f>
        <v>Gebinde geschätzt (Klein); Überbestand 62 Stk / CHF 2093; Menge pro Gebinde fehlt (Ist = 1 Gebinde); </v>
      </c>
      <c r="BO95" s="60"/>
      <c r="BP95" s="60"/>
      <c r="BQ95" s="67"/>
      <c r="BR95" s="62" t="n">
        <v>72</v>
      </c>
      <c r="BS95" s="62" t="n">
        <v>0</v>
      </c>
      <c r="BT95" s="61" t="n">
        <v>2430.72</v>
      </c>
      <c r="BU95" s="62" t="n">
        <v>12</v>
      </c>
      <c r="BV95" s="60"/>
      <c r="BW95" s="65" t="n">
        <v>0</v>
      </c>
      <c r="BX95" s="65" t="n">
        <v>95</v>
      </c>
      <c r="BY95" s="60" t="str">
        <f aca="false">IF(U95&lt;&gt;"",UPPER(TRIM(U95)),IF(CB95=1,UPPER(VLOOKUP(T95,Parameter!$I$27:$K$29,2,0)),IF(P95="","LOSE",P95)))</f>
        <v>S51</v>
      </c>
      <c r="BZ95" s="62" t="n">
        <f aca="false">IF(BY95="LOSE",1,IF(N(V95)&gt;0,V95,IF(CB95=1,MAX(1,N(VLOOKUP(T95,Parameter!$I$27:$K$29,3,0)),H95,N(N95)),IF(N(Q95)&gt;0,Q95,MAX(1,H95)))))</f>
        <v>72</v>
      </c>
      <c r="CA95" s="65" t="n">
        <f aca="false">IF(BY95="LOSE",1,0)</f>
        <v>0</v>
      </c>
      <c r="CB95" s="65" t="n">
        <f aca="false">IF(AND(U95="",OR(P95="",P95="LOSE"),T95&lt;&gt;"",N(S95)&lt;=0,ISNUMBER(MATCH(T95,Parameter!$I$27:$I$29,0))),1,0)</f>
        <v>1</v>
      </c>
      <c r="CC95" s="65" t="n">
        <f aca="false">IF(CR95&gt;0,INDEX(Parameter!$H$5:$H$7,W95)/INDEX(Parameter!$E$5:$E$7,W95),IF(AND(CA95=0,N(IFERROR(VLOOKUP(BY95,'Gebinde-Kategorie'!$A$5:$N$45,14,0),0))&gt;0),VLOOKUP(BY95,'Gebinde-Kategorie'!$A$5:$N$45,14,0)*10+Parameter!$M$23,Parameter!$M$24))</f>
        <v>155</v>
      </c>
      <c r="CD95" s="60" t="str">
        <f aca="false">IF(AND(Parameter!$B$19="Ja",E95&lt;&gt;"",ISNUMBER(MATCH(E95,Parameter!$I$35:$I$52,0))),VLOOKUP(E95,Parameter!$I$35:$J$52,2,0),IFERROR(VLOOKUP(D95,Parameter!$A$35:$C$64,2,0),"Nein"))</f>
        <v>2+3</v>
      </c>
      <c r="CE95" s="64" t="n">
        <f aca="false">IF(CA95=0,0,IF(N(S95)&gt;0,S95,IFERROR(VLOOKUP(D95,Parameter!$A$35:$C$64,3,0)+0,0)))</f>
        <v>0</v>
      </c>
      <c r="CF95" s="60" t="n">
        <f aca="false">IF(AB95&lt;&gt;"",AB95,AA95)</f>
        <v>3</v>
      </c>
      <c r="CG95" s="60" t="str">
        <f aca="false">IF(OR(CF95=1,CF95=2,CF95=3),IF(Parameter!$E$27="Ja","LIFT",IF(CF95=1,"L1","L23")),IF(CF95="Aussen","Aussen","-"))</f>
        <v>LIFT</v>
      </c>
      <c r="CH95" s="71" t="n">
        <f aca="false">IF(N(AC95)&gt;0,AC95,0)</f>
        <v>0</v>
      </c>
      <c r="CI95" s="65" t="n">
        <f aca="false">IF(ISNUMBER(AF95),1,0)</f>
        <v>0</v>
      </c>
      <c r="CJ95" s="62" t="n">
        <f aca="false">N(AF95)</f>
        <v>0</v>
      </c>
      <c r="CK95" s="62" t="n">
        <f aca="false">N(M95)+N(N95)</f>
        <v>10</v>
      </c>
      <c r="CL95" s="62" t="n">
        <f aca="false">N(M95)</f>
        <v>0</v>
      </c>
      <c r="CM95" s="62" t="n">
        <f aca="false">N(N95)</f>
        <v>10</v>
      </c>
      <c r="CN95" s="62" t="n">
        <f aca="false">ROUNDUP(H95/BZ95,0)</f>
        <v>1</v>
      </c>
      <c r="CO95" s="62" t="n">
        <f aca="false">ROUNDUP(CJ95/BZ95,0)</f>
        <v>0</v>
      </c>
      <c r="CP95" s="65" t="n">
        <f aca="false">IF(CA95=1,0,IFERROR(VLOOKUP(BY95,'Gebinde-Kategorie'!$A$5:$N$45,5,0)+0,0))</f>
        <v>11</v>
      </c>
      <c r="CQ95" s="65" t="n">
        <f aca="false">IFERROR(IF(OR(CF95=1,CF95=2,CF95=3),N(INDEX(Parameter!$I$5:$I$7,CF95)),0),0)</f>
        <v>0</v>
      </c>
      <c r="CR95" s="64" t="n">
        <f aca="false">IF(AND(Parameter!$B$21="Ja",ISNUMBER(W95),N(X95)&gt;0),IFERROR(N(INDEX(Parameter!$L$5:$L$7,W95))*INDEX(Parameter!$E$5:$E$7,W95)*X95/SUMIFS($X$7:$X$1843,$W$7:$W$1843,W95),0),0)</f>
        <v>0</v>
      </c>
      <c r="CS95" s="62" t="n">
        <f aca="false">IF(AND(OR(CG95="L1",CG95="L23",CG95="LIFT"),H95&gt;0),CC95*IF(CR95&gt;0,CR95*MAX(1,H95/X95),IF(CA95=1,CE95,IF(R95&gt;0,CN95/R95,0))/MAX(0.1,N(Parameter!$M$21))),"")</f>
        <v>5.96153846153846</v>
      </c>
      <c r="CT95" s="64" t="n">
        <f aca="false">IF(CS95="","",J95/H95)</f>
        <v>0.166666666666667</v>
      </c>
      <c r="CU95" s="62" t="n">
        <f aca="false">IF(CS95="","",H95*G95)</f>
        <v>2430.72</v>
      </c>
      <c r="CV95" s="63" t="n">
        <f aca="false">IF(CS95="","",(CL95+ROUNDUP(CL95+MAX(CM95,2*(J95/MAX(0.1,N(Einkauf!$C$6))-CL95)),0))/2)</f>
        <v>5</v>
      </c>
      <c r="CW95" s="62" t="n">
        <f aca="false">IF(CS95="","",MAX(0,H95-CV95)*G95)</f>
        <v>2261.92</v>
      </c>
      <c r="CX95" s="62" t="n">
        <f aca="false">IF(CS95="","",CS95*MAX(0,1-CV95/H95))</f>
        <v>5.54754273504274</v>
      </c>
      <c r="CY95" s="64" t="n">
        <f aca="false">IF(CS95="","",PERCENTRANK($CS$7:$CS$1843,CS95)+PERCENTRANK($CU$7:$CU$1843,CU95)+1-PERCENTRANK($CT$7:$CT$1843,CT95))</f>
        <v>1.696</v>
      </c>
      <c r="CZ95" s="72" t="n">
        <f aca="false">IF(CS95="","",CHOOSE(MATCH(Einkauf!$C$5,Parameter!$G$23:$G$27,0),CY95,CS95,CU95,-CT95,CW95)+ROW()/1000000000)</f>
        <v>1.696000095</v>
      </c>
    </row>
    <row r="96" customFormat="false" ht="15" hidden="false" customHeight="false" outlineLevel="0" collapsed="false">
      <c r="A96" s="60" t="s">
        <v>446</v>
      </c>
      <c r="B96" s="60" t="s">
        <v>447</v>
      </c>
      <c r="C96" s="60" t="s">
        <v>206</v>
      </c>
      <c r="D96" s="60" t="s">
        <v>215</v>
      </c>
      <c r="E96" s="60" t="s">
        <v>227</v>
      </c>
      <c r="F96" s="60" t="s">
        <v>260</v>
      </c>
      <c r="G96" s="61" t="n">
        <v>1.44</v>
      </c>
      <c r="H96" s="62" t="n">
        <f aca="false">MAX(0,IF(AND(Parameter!$B$21="Ja",ISNUMBER(Y96)),Y96,IF(Parameter!$B$20="Jahresanfang 2025 + Export",BS96+BR96,BR96)))</f>
        <v>4252</v>
      </c>
      <c r="I96" s="62" t="n">
        <f aca="false">H96*G96</f>
        <v>6122.88</v>
      </c>
      <c r="J96" s="62" t="n">
        <f aca="false">BU96*Parameter!$B$18</f>
        <v>16871</v>
      </c>
      <c r="K96" s="63" t="n">
        <v>2824.5</v>
      </c>
      <c r="L96" s="64" t="n">
        <v>5.97309258275801</v>
      </c>
      <c r="M96" s="62" t="n">
        <v>1968</v>
      </c>
      <c r="N96" s="62" t="n">
        <v>2000</v>
      </c>
      <c r="O96" s="65" t="n">
        <v>42</v>
      </c>
      <c r="P96" s="60" t="s">
        <v>216</v>
      </c>
      <c r="Q96" s="62"/>
      <c r="R96" s="65" t="n">
        <f aca="false">IF(CA96=1,0,IFERROR(VLOOKUP(BY96,'Gebinde-Kategorie'!$A$5:$N$45,13,0)+0,0))</f>
        <v>6</v>
      </c>
      <c r="S96" s="66"/>
      <c r="T96" s="67"/>
      <c r="U96" s="67"/>
      <c r="V96" s="67"/>
      <c r="W96" s="60"/>
      <c r="X96" s="62"/>
      <c r="Y96" s="62"/>
      <c r="Z96" s="60" t="n">
        <v>2</v>
      </c>
      <c r="AA96" s="60" t="n">
        <f aca="false">IF(A96="","",IF(AND(Parameter!$B$21="Ja",ISNUMBER(W96)),W96,IF(AND(Parameter!$E$27="Ja",ISNUMBER(Z96),CD96&lt;&gt;"Nein"),Z96,IF(CD96="2+3",IF(ISNUMBER(SEARCH("grosser Artikel",BV96)),2,IFERROR(VLOOKUP(BY96,Parameter!$F$35:$G$64,2,0),2)),IF(OR(CD96="Nein",CD96=""),"-",CD96)))))</f>
        <v>2</v>
      </c>
      <c r="AB96" s="67"/>
      <c r="AC96" s="68"/>
      <c r="AD96" s="62" t="n">
        <f aca="false">AW96</f>
        <v>9280</v>
      </c>
      <c r="AE96" s="62" t="n">
        <f aca="false">MAX(AW96,H96)</f>
        <v>9280</v>
      </c>
      <c r="AF96" s="69"/>
      <c r="AG96" s="62" t="n">
        <f aca="false">IF(LEFT(Cockpit!$C$5,1)="A",H96,IF(Parameter!$E$30="MAX-Bestand",IF(CI96=1,CJ96,IF(LEFT(Cockpit!$C$5,1)="B",AM96,MAX(AM96,H96))),ROUNDUP(AK96,0)))</f>
        <v>4252</v>
      </c>
      <c r="AH96" s="62" t="n">
        <f aca="false">IF(CA96=1,0,ROUNDUP(AG96/BZ96,0))</f>
        <v>1</v>
      </c>
      <c r="AI96" s="64" t="n">
        <f aca="false">IF(CR96&gt;0,CR96*MAX(1,AG96/X96),IF(CA96=1,IF(AG96&lt;=0,0,CE96*MAX(1,IF(H96&gt;0,AG96/H96,1))),IF(R96&gt;0,AH96/R96,0))/MAX(0.1,N(Parameter!$M$21)))</f>
        <v>0.166666666666667</v>
      </c>
      <c r="AJ96" s="62" t="n">
        <f aca="false">AI96*CC96</f>
        <v>39.1666666666667</v>
      </c>
      <c r="AK96" s="63" t="n">
        <f aca="false">IF(LEFT(Cockpit!$C$5,1)="A",H96,IF(CI96=1,(CL96+CJ96)/2,IF(LEFT(Cockpit!$C$5,1)="B",(CL96+AM96)/2,MAX((CL96+AM96)/2,H96))))</f>
        <v>4252</v>
      </c>
      <c r="AL96" s="62" t="n">
        <f aca="false">AK96*G96</f>
        <v>6122.88</v>
      </c>
      <c r="AM96" s="62" t="n">
        <f aca="false">ROUNDUP(CL96+MAX(CM96,2*(J96/IF(CH96&gt;0,CH96,MAX(0.1,N(Cockpit!$C$6)))-CL96)),0)</f>
        <v>9280</v>
      </c>
      <c r="AN96" s="63" t="n">
        <f aca="false">IF(AJ96&gt;0,J96/AJ96,-1)</f>
        <v>430.748936170213</v>
      </c>
      <c r="AO96" s="63" t="n">
        <f aca="false">IF(AND(OR(CG96="L1",CG96="L23",CG96="LIFT"),AJ96&gt;0),SUMIFS($AJ$7:$AJ$1843,$CG$7:$CG$1843,CG96,$AN$7:$AN$1843,"&gt;"&amp;AN96)+SUMIFS($AJ$7:$AJ$1843,$CG$7:$CG$1843,CG96,$AN$7:$AN$1843,AN96,$BX$7:$BX$1843,"&lt;="&amp;BX96),"")</f>
        <v>168.967948717949</v>
      </c>
      <c r="AP96" s="70" t="n">
        <f aca="false">IF(AO96="",0,MAX(0,MIN(1,(IF(CG96="L1",Parameter!$H$5,IF(CG96="L23",Parameter!$H$6+Parameter!$H$7,Parameter!$H$5+Parameter!$H$6+Parameter!$H$7))-(AO96-AJ96))/AJ96)))</f>
        <v>1</v>
      </c>
      <c r="AQ96" s="62" t="n">
        <f aca="false">IF(LEFT(Cockpit!$I$5,1)="A",H96,IF(Parameter!$E$30="MAX-Bestand",IF(CI96=1,CJ96,IF(LEFT(Cockpit!$I$5,1)="B",AW96,MAX(AW96,H96))),ROUNDUP(AU96,0)))</f>
        <v>5624</v>
      </c>
      <c r="AR96" s="62" t="n">
        <f aca="false">IF(CA96=1,0,ROUNDUP(AQ96/BZ96,0))</f>
        <v>2</v>
      </c>
      <c r="AS96" s="64" t="n">
        <f aca="false">IF(CR96&gt;0,CR96*MAX(1,AQ96/X96),IF(CA96=1,IF(AQ96&lt;=0,0,CE96*MAX(1,IF(H96&gt;0,AQ96/H96,1))),IF(R96&gt;0,AR96/R96,0))/MAX(0.1,N(Parameter!$M$21)))</f>
        <v>0.333333333333333</v>
      </c>
      <c r="AT96" s="62" t="n">
        <f aca="false">AS96*CC96</f>
        <v>78.3333333333333</v>
      </c>
      <c r="AU96" s="63" t="n">
        <f aca="false">IF(LEFT(Cockpit!$I$5,1)="A",H96,IF(CI96=1,(CL96+CJ96)/2,IF(LEFT(Cockpit!$I$5,1)="B",(CL96+AW96)/2,MAX((CL96+AW96)/2,H96))))</f>
        <v>5624</v>
      </c>
      <c r="AV96" s="62" t="n">
        <f aca="false">AU96*G96</f>
        <v>8098.56</v>
      </c>
      <c r="AW96" s="62" t="n">
        <f aca="false">ROUNDUP(CL96+MAX(CM96,2*(J96/IF(CH96&gt;0,CH96,MAX(0.1,N(Cockpit!$I$6)))-CL96)),0)</f>
        <v>9280</v>
      </c>
      <c r="AX96" s="63" t="n">
        <f aca="false">IF(AT96&gt;0,J96/AT96,-1)</f>
        <v>215.374468085106</v>
      </c>
      <c r="AY96" s="63" t="n">
        <f aca="false">IF(AND(OR(CG96="L1",CG96="L23",CG96="LIFT"),AT96&gt;0),SUMIFS($AT$7:$AT$1843,$CG$7:$CG$1843,CG96,$AX$7:$AX$1843,"&gt;"&amp;AX96)+SUMIFS($AT$7:$AT$1843,$CG$7:$CG$1843,CG96,$AX$7:$AX$1843,AX96,$BX$7:$BX$1843,"&lt;="&amp;BX96),"")</f>
        <v>425.332417582418</v>
      </c>
      <c r="AZ96" s="70" t="n">
        <f aca="false">IF(AY96="",0,MAX(0,MIN(1,(IF(CG96="L1",Parameter!$H$5,IF(CG96="L23",Parameter!$H$6+Parameter!$H$7,Parameter!$H$5+Parameter!$H$6+Parameter!$H$7))-(AY96-AT96))/AT96)))</f>
        <v>1</v>
      </c>
      <c r="BA96" s="62" t="n">
        <f aca="false">IF(LEFT(Cockpit!$O$5,1)="A",H96,IF(Parameter!$E$30="MAX-Bestand",IF(CI96=1,CJ96,IF(LEFT(Cockpit!$O$5,1)="B",BG96,MAX(BG96,H96))),ROUNDUP(BE96,0)))</f>
        <v>4218</v>
      </c>
      <c r="BB96" s="62" t="n">
        <f aca="false">IF(CA96=1,0,ROUNDUP(BA96/BZ96,0))</f>
        <v>1</v>
      </c>
      <c r="BC96" s="64" t="n">
        <f aca="false">IF(CR96&gt;0,CR96*MAX(1,BA96/X96),IF(CA96=1,IF(BA96&lt;=0,0,CE96*MAX(1,IF(H96&gt;0,BA96/H96,1))),IF(R96&gt;0,BB96/R96,0))/MAX(0.1,N(Parameter!$M$21)))</f>
        <v>0.166666666666667</v>
      </c>
      <c r="BD96" s="62" t="n">
        <f aca="false">BC96*CC96</f>
        <v>39.1666666666667</v>
      </c>
      <c r="BE96" s="63" t="n">
        <f aca="false">IF(LEFT(Cockpit!$O$5,1)="A",H96,IF(CI96=1,(CL96+CJ96)/2,IF(LEFT(Cockpit!$O$5,1)="B",(CL96+BG96)/2,MAX((CL96+BG96)/2,H96))))</f>
        <v>4218</v>
      </c>
      <c r="BF96" s="62" t="n">
        <f aca="false">BE96*G96</f>
        <v>6073.92</v>
      </c>
      <c r="BG96" s="62" t="n">
        <f aca="false">ROUNDUP(CL96+MAX(CM96,2*(J96/IF(CH96&gt;0,CH96,MAX(0.1,N(Cockpit!$O$6)))-CL96)),0)</f>
        <v>6468</v>
      </c>
      <c r="BH96" s="63" t="n">
        <f aca="false">IF(BD96&gt;0,J96/BD96,-1)</f>
        <v>430.748936170213</v>
      </c>
      <c r="BI96" s="63" t="n">
        <f aca="false">IF(AND(OR(CG96="L1",CG96="L23",CG96="LIFT"),BD96&gt;0),SUMIFS($BD$7:$BD$1843,$CG$7:$CG$1843,CG96,$BH$7:$BH$1843,"&gt;"&amp;BH96)+SUMIFS($BD$7:$BD$1843,$CG$7:$CG$1843,CG96,$BH$7:$BH$1843,BH96,$BX$7:$BX$1843,"&lt;="&amp;BX96),"")</f>
        <v>173.182692307692</v>
      </c>
      <c r="BJ96" s="70" t="n">
        <f aca="false">IF(BI96="",0,MAX(0,MIN(1,(IF(CG96="L1",Parameter!$H$5,IF(CG96="L23",Parameter!$H$6+Parameter!$H$7,Parameter!$H$5+Parameter!$H$6+Parameter!$H$7))-(BI96-BD96))/BD96)))</f>
        <v>1</v>
      </c>
      <c r="BK96" s="60" t="str">
        <f aca="false">IF(AJ96&lt;=0,"",IF(CG96="Aussen","Aussenlager",IF(CG96="-","Nicht im Lift",IF(AP96&gt;=1,"Lift",IF(AP96&lt;=0,"Aussenlager","teilweise")))))</f>
        <v>Lift</v>
      </c>
      <c r="BL96" s="60" t="str">
        <f aca="false">IF(AT96&lt;=0,"",IF(CG96="Aussen","Aussenlager",IF(CG96="-","Nicht im Lift",IF(AZ96&gt;=1,"Lift",IF(AZ96&lt;=0,"Aussenlager","teilweise")))))</f>
        <v>Lift</v>
      </c>
      <c r="BM96" s="60" t="str">
        <f aca="false">IF(BD96&lt;=0,"",IF(CG96="Aussen","Aussenlager",IF(CG96="-","Nicht im Lift",IF(BJ96&gt;=1,"Lift",IF(BJ96&lt;=0,"Aussenlager","teilweise")))))</f>
        <v>Lift</v>
      </c>
      <c r="BN96" s="60" t="str">
        <f aca="false">IF(A96="","",IF(BW96=1,"Neu; ","")&amp;IF(AND(BW96=0,BR96&lt;0),"negativer Bestand (Export "&amp;BR96&amp;"); ","")&amp;IF(J96&lt;=0,"Kein Verbrauch; ","")&amp;IF(CR96&gt;0,"Lift "&amp;W96&amp;" lt. Liftbericht (Fach "&amp;X96&amp;" Stk); ",IF(CB96=1,"Gebinde geschätzt ("&amp;T96&amp;"); ",IF(CA96=1,"Lose – Tablare geschätzt; ","")))&amp;IF(H96&gt;AW96,"Überbestand "&amp;ROUND(H96-AW96,0)&amp;" Stk / CHF "&amp;ROUND((H96-AW96)*G96,0)&amp;"; ","")&amp;IF(AND(CI96=1,CJ96&lt;CK96),"MAX &lt; MB+LG; ","")&amp;IF(AND(CQ96&gt;0,CP96*10&gt;CQ96),"zu hoch für Tablar; ","")&amp;IF(AND(BW96=0,OR(CI96=1,AB96&lt;&gt;"",U96&lt;&gt;"",V96&lt;&gt;"",AC96&lt;&gt;"")),"manuell übersteuert; ","")&amp;IF(AND(CA96=0,R96=0),"Gebinde unbekannt / Stellmass fehlt; ","")&amp;IF(AND(CA96=0,N(V96)&lt;=0,N(Q96)&lt;=0),"Menge pro Gebinde fehlt (Ist = 1 Gebinde); ","")&amp;BV96)</f>
        <v>Menge pro Gebinde fehlt (Ist = 1 Gebinde); grosser Artikel &amp; nicht im KTL</v>
      </c>
      <c r="BO96" s="60"/>
      <c r="BP96" s="60"/>
      <c r="BQ96" s="67"/>
      <c r="BR96" s="62" t="n">
        <v>1628</v>
      </c>
      <c r="BS96" s="62" t="n">
        <v>2624</v>
      </c>
      <c r="BT96" s="61" t="n">
        <v>2421.60000000001</v>
      </c>
      <c r="BU96" s="62" t="n">
        <v>16871</v>
      </c>
      <c r="BV96" s="60" t="s">
        <v>303</v>
      </c>
      <c r="BW96" s="65" t="n">
        <v>0</v>
      </c>
      <c r="BX96" s="65" t="n">
        <v>96</v>
      </c>
      <c r="BY96" s="60" t="str">
        <f aca="false">IF(U96&lt;&gt;"",UPPER(TRIM(U96)),IF(CB96=1,UPPER(VLOOKUP(T96,Parameter!$I$27:$K$29,2,0)),IF(P96="","LOSE",P96)))</f>
        <v>S71</v>
      </c>
      <c r="BZ96" s="62" t="n">
        <f aca="false">IF(BY96="LOSE",1,IF(N(V96)&gt;0,V96,IF(CB96=1,MAX(1,N(VLOOKUP(T96,Parameter!$I$27:$K$29,3,0)),H96,N(N96)),IF(N(Q96)&gt;0,Q96,MAX(1,H96)))))</f>
        <v>4252</v>
      </c>
      <c r="CA96" s="65" t="n">
        <f aca="false">IF(BY96="LOSE",1,0)</f>
        <v>0</v>
      </c>
      <c r="CB96" s="65" t="n">
        <f aca="false">IF(AND(U96="",OR(P96="",P96="LOSE"),T96&lt;&gt;"",N(S96)&lt;=0,ISNUMBER(MATCH(T96,Parameter!$I$27:$I$29,0))),1,0)</f>
        <v>0</v>
      </c>
      <c r="CC96" s="65" t="n">
        <f aca="false">IF(CR96&gt;0,INDEX(Parameter!$H$5:$H$7,W96)/INDEX(Parameter!$E$5:$E$7,W96),IF(AND(CA96=0,N(IFERROR(VLOOKUP(BY96,'Gebinde-Kategorie'!$A$5:$N$45,14,0),0))&gt;0),VLOOKUP(BY96,'Gebinde-Kategorie'!$A$5:$N$45,14,0)*10+Parameter!$M$23,Parameter!$M$24))</f>
        <v>235</v>
      </c>
      <c r="CD96" s="60" t="str">
        <f aca="false">IF(AND(Parameter!$B$19="Ja",E96&lt;&gt;"",ISNUMBER(MATCH(E96,Parameter!$I$35:$I$52,0))),VLOOKUP(E96,Parameter!$I$35:$J$52,2,0),IFERROR(VLOOKUP(D96,Parameter!$A$35:$C$64,2,0),"Nein"))</f>
        <v>2+3</v>
      </c>
      <c r="CE96" s="64" t="n">
        <f aca="false">IF(CA96=0,0,IF(N(S96)&gt;0,S96,IFERROR(VLOOKUP(D96,Parameter!$A$35:$C$64,3,0)+0,0)))</f>
        <v>0</v>
      </c>
      <c r="CF96" s="60" t="n">
        <f aca="false">IF(AB96&lt;&gt;"",AB96,AA96)</f>
        <v>2</v>
      </c>
      <c r="CG96" s="60" t="str">
        <f aca="false">IF(OR(CF96=1,CF96=2,CF96=3),IF(Parameter!$E$27="Ja","LIFT",IF(CF96=1,"L1","L23")),IF(CF96="Aussen","Aussen","-"))</f>
        <v>LIFT</v>
      </c>
      <c r="CH96" s="71" t="n">
        <f aca="false">IF(N(AC96)&gt;0,AC96,0)</f>
        <v>0</v>
      </c>
      <c r="CI96" s="65" t="n">
        <f aca="false">IF(ISNUMBER(AF96),1,0)</f>
        <v>0</v>
      </c>
      <c r="CJ96" s="62" t="n">
        <f aca="false">N(AF96)</f>
        <v>0</v>
      </c>
      <c r="CK96" s="62" t="n">
        <f aca="false">N(M96)+N(N96)</f>
        <v>3968</v>
      </c>
      <c r="CL96" s="62" t="n">
        <f aca="false">N(M96)</f>
        <v>1968</v>
      </c>
      <c r="CM96" s="62" t="n">
        <f aca="false">N(N96)</f>
        <v>2000</v>
      </c>
      <c r="CN96" s="62" t="n">
        <f aca="false">ROUNDUP(H96/BZ96,0)</f>
        <v>1</v>
      </c>
      <c r="CO96" s="62" t="n">
        <f aca="false">ROUNDUP(CJ96/BZ96,0)</f>
        <v>0</v>
      </c>
      <c r="CP96" s="65" t="n">
        <f aca="false">IF(CA96=1,0,IFERROR(VLOOKUP(BY96,'Gebinde-Kategorie'!$A$5:$N$45,5,0)+0,0))</f>
        <v>20</v>
      </c>
      <c r="CQ96" s="65" t="n">
        <f aca="false">IFERROR(IF(OR(CF96=1,CF96=2,CF96=3),N(INDEX(Parameter!$I$5:$I$7,CF96)),0),0)</f>
        <v>0</v>
      </c>
      <c r="CR96" s="64" t="n">
        <f aca="false">IF(AND(Parameter!$B$21="Ja",ISNUMBER(W96),N(X96)&gt;0),IFERROR(N(INDEX(Parameter!$L$5:$L$7,W96))*INDEX(Parameter!$E$5:$E$7,W96)*X96/SUMIFS($X$7:$X$1843,$W$7:$W$1843,W96),0),0)</f>
        <v>0</v>
      </c>
      <c r="CS96" s="62" t="n">
        <f aca="false">IF(AND(OR(CG96="L1",CG96="L23",CG96="LIFT"),H96&gt;0),CC96*IF(CR96&gt;0,CR96*MAX(1,H96/X96),IF(CA96=1,CE96,IF(R96&gt;0,CN96/R96,0))/MAX(0.1,N(Parameter!$M$21))),"")</f>
        <v>39.1666666666667</v>
      </c>
      <c r="CT96" s="64" t="n">
        <f aca="false">IF(CS96="","",J96/H96)</f>
        <v>3.96777986829727</v>
      </c>
      <c r="CU96" s="62" t="n">
        <f aca="false">IF(CS96="","",H96*G96)</f>
        <v>6122.88</v>
      </c>
      <c r="CV96" s="63" t="n">
        <f aca="false">IF(CS96="","",(CL96+ROUNDUP(CL96+MAX(CM96,2*(J96/MAX(0.1,N(Einkauf!$C$6))-CL96)),0))/2)</f>
        <v>4218</v>
      </c>
      <c r="CW96" s="62" t="n">
        <f aca="false">IF(CS96="","",MAX(0,H96-CV96)*G96)</f>
        <v>48.96</v>
      </c>
      <c r="CX96" s="62" t="n">
        <f aca="false">IF(CS96="","",CS96*MAX(0,1-CV96/H96))</f>
        <v>0.313185951708998</v>
      </c>
      <c r="CY96" s="64" t="n">
        <f aca="false">IF(CS96="","",PERCENTRANK($CS$7:$CS$1843,CS96)+PERCENTRANK($CU$7:$CU$1843,CU96)+1-PERCENTRANK($CT$7:$CT$1843,CT96))</f>
        <v>1.847</v>
      </c>
      <c r="CZ96" s="72" t="n">
        <f aca="false">IF(CS96="","",CHOOSE(MATCH(Einkauf!$C$5,Parameter!$G$23:$G$27,0),CY96,CS96,CU96,-CT96,CW96)+ROW()/1000000000)</f>
        <v>1.847000096</v>
      </c>
    </row>
    <row r="97" customFormat="false" ht="15" hidden="false" customHeight="false" outlineLevel="0" collapsed="false">
      <c r="A97" s="60" t="s">
        <v>448</v>
      </c>
      <c r="B97" s="60" t="s">
        <v>449</v>
      </c>
      <c r="C97" s="60" t="s">
        <v>206</v>
      </c>
      <c r="D97" s="60" t="s">
        <v>226</v>
      </c>
      <c r="E97" s="60" t="s">
        <v>227</v>
      </c>
      <c r="F97" s="60" t="s">
        <v>260</v>
      </c>
      <c r="G97" s="61" t="n">
        <v>0.7</v>
      </c>
      <c r="H97" s="62" t="n">
        <f aca="false">MAX(0,IF(AND(Parameter!$B$21="Ja",ISNUMBER(Y97)),Y97,IF(Parameter!$B$20="Jahresanfang 2025 + Export",BS97+BR97,BR97)))</f>
        <v>8796</v>
      </c>
      <c r="I97" s="62" t="n">
        <f aca="false">H97*G97</f>
        <v>6157.2</v>
      </c>
      <c r="J97" s="62" t="n">
        <f aca="false">BU97*Parameter!$B$18</f>
        <v>7575</v>
      </c>
      <c r="K97" s="63" t="n">
        <v>4450</v>
      </c>
      <c r="L97" s="64" t="n">
        <v>1.70224719101124</v>
      </c>
      <c r="M97" s="62" t="n">
        <v>850</v>
      </c>
      <c r="N97" s="62" t="n">
        <v>2000</v>
      </c>
      <c r="O97" s="65" t="n">
        <v>147</v>
      </c>
      <c r="P97" s="60" t="s">
        <v>268</v>
      </c>
      <c r="Q97" s="62" t="n">
        <v>6979</v>
      </c>
      <c r="R97" s="65" t="n">
        <f aca="false">IF(CA97=1,0,IFERROR(VLOOKUP(BY97,'Gebinde-Kategorie'!$A$5:$N$45,13,0)+0,0))</f>
        <v>12</v>
      </c>
      <c r="S97" s="66"/>
      <c r="T97" s="67"/>
      <c r="U97" s="67"/>
      <c r="V97" s="67"/>
      <c r="W97" s="60"/>
      <c r="X97" s="62"/>
      <c r="Y97" s="62"/>
      <c r="Z97" s="60" t="n">
        <v>3</v>
      </c>
      <c r="AA97" s="60" t="n">
        <f aca="false">IF(A97="","",IF(AND(Parameter!$B$21="Ja",ISNUMBER(W97)),W97,IF(AND(Parameter!$E$27="Ja",ISNUMBER(Z97),CD97&lt;&gt;"Nein"),Z97,IF(CD97="2+3",IF(ISNUMBER(SEARCH("grosser Artikel",BV97)),2,IFERROR(VLOOKUP(BY97,Parameter!$F$35:$G$64,2,0),2)),IF(OR(CD97="Nein",CD97=""),"-",CD97)))))</f>
        <v>3</v>
      </c>
      <c r="AB97" s="67"/>
      <c r="AC97" s="68"/>
      <c r="AD97" s="62" t="n">
        <f aca="false">AW97</f>
        <v>4200</v>
      </c>
      <c r="AE97" s="62" t="n">
        <f aca="false">MAX(AW97,H97)</f>
        <v>8796</v>
      </c>
      <c r="AF97" s="69"/>
      <c r="AG97" s="62" t="n">
        <f aca="false">IF(LEFT(Cockpit!$C$5,1)="A",H97,IF(Parameter!$E$30="MAX-Bestand",IF(CI97=1,CJ97,IF(LEFT(Cockpit!$C$5,1)="B",AM97,MAX(AM97,H97))),ROUNDUP(AK97,0)))</f>
        <v>8796</v>
      </c>
      <c r="AH97" s="62" t="n">
        <f aca="false">IF(CA97=1,0,ROUNDUP(AG97/BZ97,0))</f>
        <v>2</v>
      </c>
      <c r="AI97" s="64" t="n">
        <f aca="false">IF(CR97&gt;0,CR97*MAX(1,AG97/X97),IF(CA97=1,IF(AG97&lt;=0,0,CE97*MAX(1,IF(H97&gt;0,AG97/H97,1))),IF(R97&gt;0,AH97/R97,0))/MAX(0.1,N(Parameter!$M$21)))</f>
        <v>0.166666666666667</v>
      </c>
      <c r="AJ97" s="62" t="n">
        <f aca="false">AI97*CC97</f>
        <v>57.5</v>
      </c>
      <c r="AK97" s="63" t="n">
        <f aca="false">IF(LEFT(Cockpit!$C$5,1)="A",H97,IF(CI97=1,(CL97+CJ97)/2,IF(LEFT(Cockpit!$C$5,1)="B",(CL97+AM97)/2,MAX((CL97+AM97)/2,H97))))</f>
        <v>8796</v>
      </c>
      <c r="AL97" s="62" t="n">
        <f aca="false">AK97*G97</f>
        <v>6157.2</v>
      </c>
      <c r="AM97" s="62" t="n">
        <f aca="false">ROUNDUP(CL97+MAX(CM97,2*(J97/IF(CH97&gt;0,CH97,MAX(0.1,N(Cockpit!$C$6)))-CL97)),0)</f>
        <v>4200</v>
      </c>
      <c r="AN97" s="63" t="n">
        <f aca="false">IF(AJ97&gt;0,J97/AJ97,-1)</f>
        <v>131.739130434783</v>
      </c>
      <c r="AO97" s="63" t="n">
        <f aca="false">IF(AND(OR(CG97="L1",CG97="L23",CG97="LIFT"),AJ97&gt;0),SUMIFS($AJ$7:$AJ$1843,$CG$7:$CG$1843,CG97,$AN$7:$AN$1843,"&gt;"&amp;AN97)+SUMIFS($AJ$7:$AJ$1843,$CG$7:$CG$1843,CG97,$AN$7:$AN$1843,AN97,$BX$7:$BX$1843,"&lt;="&amp;BX97),"")</f>
        <v>606.298534798535</v>
      </c>
      <c r="AP97" s="70" t="n">
        <f aca="false">IF(AO97="",0,MAX(0,MIN(1,(IF(CG97="L1",Parameter!$H$5,IF(CG97="L23",Parameter!$H$6+Parameter!$H$7,Parameter!$H$5+Parameter!$H$6+Parameter!$H$7))-(AO97-AJ97))/AJ97)))</f>
        <v>1</v>
      </c>
      <c r="AQ97" s="62" t="n">
        <f aca="false">IF(LEFT(Cockpit!$I$5,1)="A",H97,IF(Parameter!$E$30="MAX-Bestand",IF(CI97=1,CJ97,IF(LEFT(Cockpit!$I$5,1)="B",AW97,MAX(AW97,H97))),ROUNDUP(AU97,0)))</f>
        <v>8796</v>
      </c>
      <c r="AR97" s="62" t="n">
        <f aca="false">IF(CA97=1,0,ROUNDUP(AQ97/BZ97,0))</f>
        <v>2</v>
      </c>
      <c r="AS97" s="64" t="n">
        <f aca="false">IF(CR97&gt;0,CR97*MAX(1,AQ97/X97),IF(CA97=1,IF(AQ97&lt;=0,0,CE97*MAX(1,IF(H97&gt;0,AQ97/H97,1))),IF(R97&gt;0,AR97/R97,0))/MAX(0.1,N(Parameter!$M$21)))</f>
        <v>0.166666666666667</v>
      </c>
      <c r="AT97" s="62" t="n">
        <f aca="false">AS97*CC97</f>
        <v>57.5</v>
      </c>
      <c r="AU97" s="63" t="n">
        <f aca="false">IF(LEFT(Cockpit!$I$5,1)="A",H97,IF(CI97=1,(CL97+CJ97)/2,IF(LEFT(Cockpit!$I$5,1)="B",(CL97+AW97)/2,MAX((CL97+AW97)/2,H97))))</f>
        <v>8796</v>
      </c>
      <c r="AV97" s="62" t="n">
        <f aca="false">AU97*G97</f>
        <v>6157.2</v>
      </c>
      <c r="AW97" s="62" t="n">
        <f aca="false">ROUNDUP(CL97+MAX(CM97,2*(J97/IF(CH97&gt;0,CH97,MAX(0.1,N(Cockpit!$I$6)))-CL97)),0)</f>
        <v>4200</v>
      </c>
      <c r="AX97" s="63" t="n">
        <f aca="false">IF(AT97&gt;0,J97/AT97,-1)</f>
        <v>131.739130434783</v>
      </c>
      <c r="AY97" s="63" t="n">
        <f aca="false">IF(AND(OR(CG97="L1",CG97="L23",CG97="LIFT"),AT97&gt;0),SUMIFS($AT$7:$AT$1843,$CG$7:$CG$1843,CG97,$AX$7:$AX$1843,"&gt;"&amp;AX97)+SUMIFS($AT$7:$AT$1843,$CG$7:$CG$1843,CG97,$AX$7:$AX$1843,AX97,$BX$7:$BX$1843,"&lt;="&amp;BX97),"")</f>
        <v>723.93543956044</v>
      </c>
      <c r="AZ97" s="70" t="n">
        <f aca="false">IF(AY97="",0,MAX(0,MIN(1,(IF(CG97="L1",Parameter!$H$5,IF(CG97="L23",Parameter!$H$6+Parameter!$H$7,Parameter!$H$5+Parameter!$H$6+Parameter!$H$7))-(AY97-AT97))/AT97)))</f>
        <v>1</v>
      </c>
      <c r="BA97" s="62" t="n">
        <f aca="false">IF(LEFT(Cockpit!$O$5,1)="A",H97,IF(Parameter!$E$30="MAX-Bestand",IF(CI97=1,CJ97,IF(LEFT(Cockpit!$O$5,1)="B",BG97,MAX(BG97,H97))),ROUNDUP(BE97,0)))</f>
        <v>1894</v>
      </c>
      <c r="BB97" s="62" t="n">
        <f aca="false">IF(CA97=1,0,ROUNDUP(BA97/BZ97,0))</f>
        <v>1</v>
      </c>
      <c r="BC97" s="64" t="n">
        <f aca="false">IF(CR97&gt;0,CR97*MAX(1,BA97/X97),IF(CA97=1,IF(BA97&lt;=0,0,CE97*MAX(1,IF(H97&gt;0,BA97/H97,1))),IF(R97&gt;0,BB97/R97,0))/MAX(0.1,N(Parameter!$M$21)))</f>
        <v>0.0833333333333333</v>
      </c>
      <c r="BD97" s="62" t="n">
        <f aca="false">BC97*CC97</f>
        <v>28.75</v>
      </c>
      <c r="BE97" s="63" t="n">
        <f aca="false">IF(LEFT(Cockpit!$O$5,1)="A",H97,IF(CI97=1,(CL97+CJ97)/2,IF(LEFT(Cockpit!$O$5,1)="B",(CL97+BG97)/2,MAX((CL97+BG97)/2,H97))))</f>
        <v>1894</v>
      </c>
      <c r="BF97" s="62" t="n">
        <f aca="false">BE97*G97</f>
        <v>1325.8</v>
      </c>
      <c r="BG97" s="62" t="n">
        <f aca="false">ROUNDUP(CL97+MAX(CM97,2*(J97/IF(CH97&gt;0,CH97,MAX(0.1,N(Cockpit!$O$6)))-CL97)),0)</f>
        <v>2938</v>
      </c>
      <c r="BH97" s="63" t="n">
        <f aca="false">IF(BD97&gt;0,J97/BD97,-1)</f>
        <v>263.478260869565</v>
      </c>
      <c r="BI97" s="63" t="n">
        <f aca="false">IF(AND(OR(CG97="L1",CG97="L23",CG97="LIFT"),BD97&gt;0),SUMIFS($BD$7:$BD$1843,$CG$7:$CG$1843,CG97,$BH$7:$BH$1843,"&gt;"&amp;BH97)+SUMIFS($BD$7:$BD$1843,$CG$7:$CG$1843,CG97,$BH$7:$BH$1843,BH97,$BX$7:$BX$1843,"&lt;="&amp;BX97),"")</f>
        <v>300.342490842491</v>
      </c>
      <c r="BJ97" s="70" t="n">
        <f aca="false">IF(BI97="",0,MAX(0,MIN(1,(IF(CG97="L1",Parameter!$H$5,IF(CG97="L23",Parameter!$H$6+Parameter!$H$7,Parameter!$H$5+Parameter!$H$6+Parameter!$H$7))-(BI97-BD97))/BD97)))</f>
        <v>1</v>
      </c>
      <c r="BK97" s="60" t="str">
        <f aca="false">IF(AJ97&lt;=0,"",IF(CG97="Aussen","Aussenlager",IF(CG97="-","Nicht im Lift",IF(AP97&gt;=1,"Lift",IF(AP97&lt;=0,"Aussenlager","teilweise")))))</f>
        <v>Lift</v>
      </c>
      <c r="BL97" s="60" t="str">
        <f aca="false">IF(AT97&lt;=0,"",IF(CG97="Aussen","Aussenlager",IF(CG97="-","Nicht im Lift",IF(AZ97&gt;=1,"Lift",IF(AZ97&lt;=0,"Aussenlager","teilweise")))))</f>
        <v>Lift</v>
      </c>
      <c r="BM97" s="60" t="str">
        <f aca="false">IF(BD97&lt;=0,"",IF(CG97="Aussen","Aussenlager",IF(CG97="-","Nicht im Lift",IF(BJ97&gt;=1,"Lift",IF(BJ97&lt;=0,"Aussenlager","teilweise")))))</f>
        <v>Lift</v>
      </c>
      <c r="BN97" s="60" t="str">
        <f aca="false">IF(A97="","",IF(BW97=1,"Neu; ","")&amp;IF(AND(BW97=0,BR97&lt;0),"negativer Bestand (Export "&amp;BR97&amp;"); ","")&amp;IF(J97&lt;=0,"Kein Verbrauch; ","")&amp;IF(CR97&gt;0,"Lift "&amp;W97&amp;" lt. Liftbericht (Fach "&amp;X97&amp;" Stk); ",IF(CB97=1,"Gebinde geschätzt ("&amp;T97&amp;"); ",IF(CA97=1,"Lose – Tablare geschätzt; ","")))&amp;IF(H97&gt;AW97,"Überbestand "&amp;ROUND(H97-AW97,0)&amp;" Stk / CHF "&amp;ROUND((H97-AW97)*G97,0)&amp;"; ","")&amp;IF(AND(CI97=1,CJ97&lt;CK97),"MAX &lt; MB+LG; ","")&amp;IF(AND(CQ97&gt;0,CP97*10&gt;CQ97),"zu hoch für Tablar; ","")&amp;IF(AND(BW97=0,OR(CI97=1,AB97&lt;&gt;"",U97&lt;&gt;"",V97&lt;&gt;"",AC97&lt;&gt;"")),"manuell übersteuert; ","")&amp;IF(AND(CA97=0,R97=0),"Gebinde unbekannt / Stellmass fehlt; ","")&amp;IF(AND(CA97=0,N(V97)&lt;=0,N(Q97)&lt;=0),"Menge pro Gebinde fehlt (Ist = 1 Gebinde); ","")&amp;BV97)</f>
        <v>Überbestand 4596 Stk / CHF 3217; </v>
      </c>
      <c r="BO97" s="60"/>
      <c r="BP97" s="60"/>
      <c r="BQ97" s="67"/>
      <c r="BR97" s="62" t="n">
        <v>2568</v>
      </c>
      <c r="BS97" s="62" t="n">
        <v>6228</v>
      </c>
      <c r="BT97" s="61" t="n">
        <v>2416.7</v>
      </c>
      <c r="BU97" s="62" t="n">
        <v>7575</v>
      </c>
      <c r="BV97" s="60"/>
      <c r="BW97" s="65" t="n">
        <v>0</v>
      </c>
      <c r="BX97" s="65" t="n">
        <v>97</v>
      </c>
      <c r="BY97" s="60" t="str">
        <f aca="false">IF(U97&lt;&gt;"",UPPER(TRIM(U97)),IF(CB97=1,UPPER(VLOOKUP(T97,Parameter!$I$27:$K$29,2,0)),IF(P97="","LOSE",P97)))</f>
        <v>S63</v>
      </c>
      <c r="BZ97" s="62" t="n">
        <f aca="false">IF(BY97="LOSE",1,IF(N(V97)&gt;0,V97,IF(CB97=1,MAX(1,N(VLOOKUP(T97,Parameter!$I$27:$K$29,3,0)),H97,N(N97)),IF(N(Q97)&gt;0,Q97,MAX(1,H97)))))</f>
        <v>6979</v>
      </c>
      <c r="CA97" s="65" t="n">
        <f aca="false">IF(BY97="LOSE",1,0)</f>
        <v>0</v>
      </c>
      <c r="CB97" s="65" t="n">
        <f aca="false">IF(AND(U97="",OR(P97="",P97="LOSE"),T97&lt;&gt;"",N(S97)&lt;=0,ISNUMBER(MATCH(T97,Parameter!$I$27:$I$29,0))),1,0)</f>
        <v>0</v>
      </c>
      <c r="CC97" s="65" t="n">
        <f aca="false">IF(CR97&gt;0,INDEX(Parameter!$H$5:$H$7,W97)/INDEX(Parameter!$E$5:$E$7,W97),IF(AND(CA97=0,N(IFERROR(VLOOKUP(BY97,'Gebinde-Kategorie'!$A$5:$N$45,14,0),0))&gt;0),VLOOKUP(BY97,'Gebinde-Kategorie'!$A$5:$N$45,14,0)*10+Parameter!$M$23,Parameter!$M$24))</f>
        <v>345</v>
      </c>
      <c r="CD97" s="60" t="str">
        <f aca="false">IF(AND(Parameter!$B$19="Ja",E97&lt;&gt;"",ISNUMBER(MATCH(E97,Parameter!$I$35:$I$52,0))),VLOOKUP(E97,Parameter!$I$35:$J$52,2,0),IFERROR(VLOOKUP(D97,Parameter!$A$35:$C$64,2,0),"Nein"))</f>
        <v>2+3</v>
      </c>
      <c r="CE97" s="64" t="n">
        <f aca="false">IF(CA97=0,0,IF(N(S97)&gt;0,S97,IFERROR(VLOOKUP(D97,Parameter!$A$35:$C$64,3,0)+0,0)))</f>
        <v>0</v>
      </c>
      <c r="CF97" s="60" t="n">
        <f aca="false">IF(AB97&lt;&gt;"",AB97,AA97)</f>
        <v>3</v>
      </c>
      <c r="CG97" s="60" t="str">
        <f aca="false">IF(OR(CF97=1,CF97=2,CF97=3),IF(Parameter!$E$27="Ja","LIFT",IF(CF97=1,"L1","L23")),IF(CF97="Aussen","Aussen","-"))</f>
        <v>LIFT</v>
      </c>
      <c r="CH97" s="71" t="n">
        <f aca="false">IF(N(AC97)&gt;0,AC97,0)</f>
        <v>0</v>
      </c>
      <c r="CI97" s="65" t="n">
        <f aca="false">IF(ISNUMBER(AF97),1,0)</f>
        <v>0</v>
      </c>
      <c r="CJ97" s="62" t="n">
        <f aca="false">N(AF97)</f>
        <v>0</v>
      </c>
      <c r="CK97" s="62" t="n">
        <f aca="false">N(M97)+N(N97)</f>
        <v>2850</v>
      </c>
      <c r="CL97" s="62" t="n">
        <f aca="false">N(M97)</f>
        <v>850</v>
      </c>
      <c r="CM97" s="62" t="n">
        <f aca="false">N(N97)</f>
        <v>2000</v>
      </c>
      <c r="CN97" s="62" t="n">
        <f aca="false">ROUNDUP(H97/BZ97,0)</f>
        <v>2</v>
      </c>
      <c r="CO97" s="62" t="n">
        <f aca="false">ROUNDUP(CJ97/BZ97,0)</f>
        <v>0</v>
      </c>
      <c r="CP97" s="65" t="n">
        <f aca="false">IF(CA97=1,0,IFERROR(VLOOKUP(BY97,'Gebinde-Kategorie'!$A$5:$N$45,5,0)+0,0))</f>
        <v>31</v>
      </c>
      <c r="CQ97" s="65" t="n">
        <f aca="false">IFERROR(IF(OR(CF97=1,CF97=2,CF97=3),N(INDEX(Parameter!$I$5:$I$7,CF97)),0),0)</f>
        <v>0</v>
      </c>
      <c r="CR97" s="64" t="n">
        <f aca="false">IF(AND(Parameter!$B$21="Ja",ISNUMBER(W97),N(X97)&gt;0),IFERROR(N(INDEX(Parameter!$L$5:$L$7,W97))*INDEX(Parameter!$E$5:$E$7,W97)*X97/SUMIFS($X$7:$X$1843,$W$7:$W$1843,W97),0),0)</f>
        <v>0</v>
      </c>
      <c r="CS97" s="62" t="n">
        <f aca="false">IF(AND(OR(CG97="L1",CG97="L23",CG97="LIFT"),H97&gt;0),CC97*IF(CR97&gt;0,CR97*MAX(1,H97/X97),IF(CA97=1,CE97,IF(R97&gt;0,CN97/R97,0))/MAX(0.1,N(Parameter!$M$21))),"")</f>
        <v>57.5</v>
      </c>
      <c r="CT97" s="64" t="n">
        <f aca="false">IF(CS97="","",J97/H97)</f>
        <v>0.86118690313779</v>
      </c>
      <c r="CU97" s="62" t="n">
        <f aca="false">IF(CS97="","",H97*G97)</f>
        <v>6157.2</v>
      </c>
      <c r="CV97" s="63" t="n">
        <f aca="false">IF(CS97="","",(CL97+ROUNDUP(CL97+MAX(CM97,2*(J97/MAX(0.1,N(Einkauf!$C$6))-CL97)),0))/2)</f>
        <v>1894</v>
      </c>
      <c r="CW97" s="62" t="n">
        <f aca="false">IF(CS97="","",MAX(0,H97-CV97)*G97)</f>
        <v>4831.4</v>
      </c>
      <c r="CX97" s="62" t="n">
        <f aca="false">IF(CS97="","",CS97*MAX(0,1-CV97/H97))</f>
        <v>45.118804001819</v>
      </c>
      <c r="CY97" s="64" t="n">
        <f aca="false">IF(CS97="","",PERCENTRANK($CS$7:$CS$1843,CS97)+PERCENTRANK($CU$7:$CU$1843,CU97)+1-PERCENTRANK($CT$7:$CT$1843,CT97))</f>
        <v>2.224</v>
      </c>
      <c r="CZ97" s="72" t="n">
        <f aca="false">IF(CS97="","",CHOOSE(MATCH(Einkauf!$C$5,Parameter!$G$23:$G$27,0),CY97,CS97,CU97,-CT97,CW97)+ROW()/1000000000)</f>
        <v>2.224000097</v>
      </c>
    </row>
    <row r="98" customFormat="false" ht="15" hidden="false" customHeight="false" outlineLevel="0" collapsed="false">
      <c r="A98" s="60" t="s">
        <v>450</v>
      </c>
      <c r="B98" s="60" t="s">
        <v>451</v>
      </c>
      <c r="C98" s="60" t="s">
        <v>206</v>
      </c>
      <c r="D98" s="60" t="s">
        <v>226</v>
      </c>
      <c r="E98" s="60" t="s">
        <v>227</v>
      </c>
      <c r="F98" s="60" t="s">
        <v>260</v>
      </c>
      <c r="G98" s="61" t="n">
        <v>63</v>
      </c>
      <c r="H98" s="62" t="n">
        <f aca="false">MAX(0,IF(AND(Parameter!$B$21="Ja",ISNUMBER(Y98)),Y98,IF(Parameter!$B$20="Jahresanfang 2025 + Export",BS98+BR98,BR98)))</f>
        <v>51</v>
      </c>
      <c r="I98" s="62" t="n">
        <f aca="false">H98*G98</f>
        <v>3213</v>
      </c>
      <c r="J98" s="62" t="n">
        <f aca="false">BU98*Parameter!$B$18</f>
        <v>66</v>
      </c>
      <c r="K98" s="63" t="n">
        <v>29.5</v>
      </c>
      <c r="L98" s="64" t="n">
        <v>2.23728813559322</v>
      </c>
      <c r="M98" s="62" t="n">
        <v>5</v>
      </c>
      <c r="N98" s="62" t="n">
        <v>50</v>
      </c>
      <c r="O98" s="65" t="n">
        <v>28</v>
      </c>
      <c r="P98" s="60" t="s">
        <v>344</v>
      </c>
      <c r="Q98" s="62" t="n">
        <v>34</v>
      </c>
      <c r="R98" s="65" t="n">
        <f aca="false">IF(CA98=1,0,IFERROR(VLOOKUP(BY98,'Gebinde-Kategorie'!$A$5:$N$45,13,0)+0,0))</f>
        <v>26</v>
      </c>
      <c r="S98" s="66"/>
      <c r="T98" s="67"/>
      <c r="U98" s="67"/>
      <c r="V98" s="67"/>
      <c r="W98" s="60"/>
      <c r="X98" s="62"/>
      <c r="Y98" s="62"/>
      <c r="Z98" s="60" t="n">
        <v>3</v>
      </c>
      <c r="AA98" s="60" t="n">
        <f aca="false">IF(A98="","",IF(AND(Parameter!$B$21="Ja",ISNUMBER(W98)),W98,IF(AND(Parameter!$E$27="Ja",ISNUMBER(Z98),CD98&lt;&gt;"Nein"),Z98,IF(CD98="2+3",IF(ISNUMBER(SEARCH("grosser Artikel",BV98)),2,IFERROR(VLOOKUP(BY98,Parameter!$F$35:$G$64,2,0),2)),IF(OR(CD98="Nein",CD98=""),"-",CD98)))))</f>
        <v>3</v>
      </c>
      <c r="AB98" s="67"/>
      <c r="AC98" s="68"/>
      <c r="AD98" s="62" t="n">
        <f aca="false">AW98</f>
        <v>55</v>
      </c>
      <c r="AE98" s="62" t="n">
        <f aca="false">MAX(AW98,H98)</f>
        <v>55</v>
      </c>
      <c r="AF98" s="69"/>
      <c r="AG98" s="62" t="n">
        <f aca="false">IF(LEFT(Cockpit!$C$5,1)="A",H98,IF(Parameter!$E$30="MAX-Bestand",IF(CI98=1,CJ98,IF(LEFT(Cockpit!$C$5,1)="B",AM98,MAX(AM98,H98))),ROUNDUP(AK98,0)))</f>
        <v>51</v>
      </c>
      <c r="AH98" s="62" t="n">
        <f aca="false">IF(CA98=1,0,ROUNDUP(AG98/BZ98,0))</f>
        <v>2</v>
      </c>
      <c r="AI98" s="64" t="n">
        <f aca="false">IF(CR98&gt;0,CR98*MAX(1,AG98/X98),IF(CA98=1,IF(AG98&lt;=0,0,CE98*MAX(1,IF(H98&gt;0,AG98/H98,1))),IF(R98&gt;0,AH98/R98,0))/MAX(0.1,N(Parameter!$M$21)))</f>
        <v>0.0769230769230769</v>
      </c>
      <c r="AJ98" s="62" t="n">
        <f aca="false">AI98*CC98</f>
        <v>11.9230769230769</v>
      </c>
      <c r="AK98" s="63" t="n">
        <f aca="false">IF(LEFT(Cockpit!$C$5,1)="A",H98,IF(CI98=1,(CL98+CJ98)/2,IF(LEFT(Cockpit!$C$5,1)="B",(CL98+AM98)/2,MAX((CL98+AM98)/2,H98))))</f>
        <v>51</v>
      </c>
      <c r="AL98" s="62" t="n">
        <f aca="false">AK98*G98</f>
        <v>3213</v>
      </c>
      <c r="AM98" s="62" t="n">
        <f aca="false">ROUNDUP(CL98+MAX(CM98,2*(J98/IF(CH98&gt;0,CH98,MAX(0.1,N(Cockpit!$C$6)))-CL98)),0)</f>
        <v>55</v>
      </c>
      <c r="AN98" s="63" t="n">
        <f aca="false">IF(AJ98&gt;0,J98/AJ98,-1)</f>
        <v>5.53548387096774</v>
      </c>
      <c r="AO98" s="63" t="n">
        <f aca="false">IF(AND(OR(CG98="L1",CG98="L23",CG98="LIFT"),AJ98&gt;0),SUMIFS($AJ$7:$AJ$1843,$CG$7:$CG$1843,CG98,$AN$7:$AN$1843,"&gt;"&amp;AN98)+SUMIFS($AJ$7:$AJ$1843,$CG$7:$CG$1843,CG98,$AN$7:$AN$1843,AN98,$BX$7:$BX$1843,"&lt;="&amp;BX98),"")</f>
        <v>3708.51968864469</v>
      </c>
      <c r="AP98" s="70" t="n">
        <f aca="false">IF(AO98="",0,MAX(0,MIN(1,(IF(CG98="L1",Parameter!$H$5,IF(CG98="L23",Parameter!$H$6+Parameter!$H$7,Parameter!$H$5+Parameter!$H$6+Parameter!$H$7))-(AO98-AJ98))/AJ98)))</f>
        <v>1</v>
      </c>
      <c r="AQ98" s="62" t="n">
        <f aca="false">IF(LEFT(Cockpit!$I$5,1)="A",H98,IF(Parameter!$E$30="MAX-Bestand",IF(CI98=1,CJ98,IF(LEFT(Cockpit!$I$5,1)="B",AW98,MAX(AW98,H98))),ROUNDUP(AU98,0)))</f>
        <v>51</v>
      </c>
      <c r="AR98" s="62" t="n">
        <f aca="false">IF(CA98=1,0,ROUNDUP(AQ98/BZ98,0))</f>
        <v>2</v>
      </c>
      <c r="AS98" s="64" t="n">
        <f aca="false">IF(CR98&gt;0,CR98*MAX(1,AQ98/X98),IF(CA98=1,IF(AQ98&lt;=0,0,CE98*MAX(1,IF(H98&gt;0,AQ98/H98,1))),IF(R98&gt;0,AR98/R98,0))/MAX(0.1,N(Parameter!$M$21)))</f>
        <v>0.0769230769230769</v>
      </c>
      <c r="AT98" s="62" t="n">
        <f aca="false">AS98*CC98</f>
        <v>11.9230769230769</v>
      </c>
      <c r="AU98" s="63" t="n">
        <f aca="false">IF(LEFT(Cockpit!$I$5,1)="A",H98,IF(CI98=1,(CL98+CJ98)/2,IF(LEFT(Cockpit!$I$5,1)="B",(CL98+AW98)/2,MAX((CL98+AW98)/2,H98))))</f>
        <v>51</v>
      </c>
      <c r="AV98" s="62" t="n">
        <f aca="false">AU98*G98</f>
        <v>3213</v>
      </c>
      <c r="AW98" s="62" t="n">
        <f aca="false">ROUNDUP(CL98+MAX(CM98,2*(J98/IF(CH98&gt;0,CH98,MAX(0.1,N(Cockpit!$I$6)))-CL98)),0)</f>
        <v>55</v>
      </c>
      <c r="AX98" s="63" t="n">
        <f aca="false">IF(AT98&gt;0,J98/AT98,-1)</f>
        <v>5.53548387096774</v>
      </c>
      <c r="AY98" s="63" t="n">
        <f aca="false">IF(AND(OR(CG98="L1",CG98="L23",CG98="LIFT"),AT98&gt;0),SUMIFS($AT$7:$AT$1843,$CG$7:$CG$1843,CG98,$AX$7:$AX$1843,"&gt;"&amp;AX98)+SUMIFS($AT$7:$AT$1843,$CG$7:$CG$1843,CG98,$AX$7:$AX$1843,AX98,$BX$7:$BX$1843,"&lt;="&amp;BX98),"")</f>
        <v>4362.26053113553</v>
      </c>
      <c r="AZ98" s="70" t="n">
        <f aca="false">IF(AY98="",0,MAX(0,MIN(1,(IF(CG98="L1",Parameter!$H$5,IF(CG98="L23",Parameter!$H$6+Parameter!$H$7,Parameter!$H$5+Parameter!$H$6+Parameter!$H$7))-(AY98-AT98))/AT98)))</f>
        <v>1</v>
      </c>
      <c r="BA98" s="62" t="n">
        <f aca="false">IF(LEFT(Cockpit!$O$5,1)="A",H98,IF(Parameter!$E$30="MAX-Bestand",IF(CI98=1,CJ98,IF(LEFT(Cockpit!$O$5,1)="B",BG98,MAX(BG98,H98))),ROUNDUP(BE98,0)))</f>
        <v>30</v>
      </c>
      <c r="BB98" s="62" t="n">
        <f aca="false">IF(CA98=1,0,ROUNDUP(BA98/BZ98,0))</f>
        <v>1</v>
      </c>
      <c r="BC98" s="64" t="n">
        <f aca="false">IF(CR98&gt;0,CR98*MAX(1,BA98/X98),IF(CA98=1,IF(BA98&lt;=0,0,CE98*MAX(1,IF(H98&gt;0,BA98/H98,1))),IF(R98&gt;0,BB98/R98,0))/MAX(0.1,N(Parameter!$M$21)))</f>
        <v>0.0384615384615385</v>
      </c>
      <c r="BD98" s="62" t="n">
        <f aca="false">BC98*CC98</f>
        <v>5.96153846153846</v>
      </c>
      <c r="BE98" s="63" t="n">
        <f aca="false">IF(LEFT(Cockpit!$O$5,1)="A",H98,IF(CI98=1,(CL98+CJ98)/2,IF(LEFT(Cockpit!$O$5,1)="B",(CL98+BG98)/2,MAX((CL98+BG98)/2,H98))))</f>
        <v>30</v>
      </c>
      <c r="BF98" s="62" t="n">
        <f aca="false">BE98*G98</f>
        <v>1890</v>
      </c>
      <c r="BG98" s="62" t="n">
        <f aca="false">ROUNDUP(CL98+MAX(CM98,2*(J98/IF(CH98&gt;0,CH98,MAX(0.1,N(Cockpit!$O$6)))-CL98)),0)</f>
        <v>55</v>
      </c>
      <c r="BH98" s="63" t="n">
        <f aca="false">IF(BD98&gt;0,J98/BD98,-1)</f>
        <v>11.0709677419355</v>
      </c>
      <c r="BI98" s="63" t="n">
        <f aca="false">IF(AND(OR(CG98="L1",CG98="L23",CG98="LIFT"),BD98&gt;0),SUMIFS($BD$7:$BD$1843,$CG$7:$CG$1843,CG98,$BH$7:$BH$1843,"&gt;"&amp;BH98)+SUMIFS($BD$7:$BD$1843,$CG$7:$CG$1843,CG98,$BH$7:$BH$1843,BH98,$BX$7:$BX$1843,"&lt;="&amp;BX98),"")</f>
        <v>2661.02747252747</v>
      </c>
      <c r="BJ98" s="70" t="n">
        <f aca="false">IF(BI98="",0,MAX(0,MIN(1,(IF(CG98="L1",Parameter!$H$5,IF(CG98="L23",Parameter!$H$6+Parameter!$H$7,Parameter!$H$5+Parameter!$H$6+Parameter!$H$7))-(BI98-BD98))/BD98)))</f>
        <v>1</v>
      </c>
      <c r="BK98" s="60" t="str">
        <f aca="false">IF(AJ98&lt;=0,"",IF(CG98="Aussen","Aussenlager",IF(CG98="-","Nicht im Lift",IF(AP98&gt;=1,"Lift",IF(AP98&lt;=0,"Aussenlager","teilweise")))))</f>
        <v>Lift</v>
      </c>
      <c r="BL98" s="60" t="str">
        <f aca="false">IF(AT98&lt;=0,"",IF(CG98="Aussen","Aussenlager",IF(CG98="-","Nicht im Lift",IF(AZ98&gt;=1,"Lift",IF(AZ98&lt;=0,"Aussenlager","teilweise")))))</f>
        <v>Lift</v>
      </c>
      <c r="BM98" s="60" t="str">
        <f aca="false">IF(BD98&lt;=0,"",IF(CG98="Aussen","Aussenlager",IF(CG98="-","Nicht im Lift",IF(BJ98&gt;=1,"Lift",IF(BJ98&lt;=0,"Aussenlager","teilweise")))))</f>
        <v>Lift</v>
      </c>
      <c r="BN98" s="60" t="str">
        <f aca="false">IF(A98="","",IF(BW98=1,"Neu; ","")&amp;IF(AND(BW98=0,BR98&lt;0),"negativer Bestand (Export "&amp;BR98&amp;"); ","")&amp;IF(J98&lt;=0,"Kein Verbrauch; ","")&amp;IF(CR98&gt;0,"Lift "&amp;W98&amp;" lt. Liftbericht (Fach "&amp;X98&amp;" Stk); ",IF(CB98=1,"Gebinde geschätzt ("&amp;T98&amp;"); ",IF(CA98=1,"Lose – Tablare geschätzt; ","")))&amp;IF(H98&gt;AW98,"Überbestand "&amp;ROUND(H98-AW98,0)&amp;" Stk / CHF "&amp;ROUND((H98-AW98)*G98,0)&amp;"; ","")&amp;IF(AND(CI98=1,CJ98&lt;CK98),"MAX &lt; MB+LG; ","")&amp;IF(AND(CQ98&gt;0,CP98*10&gt;CQ98),"zu hoch für Tablar; ","")&amp;IF(AND(BW98=0,OR(CI98=1,AB98&lt;&gt;"",U98&lt;&gt;"",V98&lt;&gt;"",AC98&lt;&gt;"")),"manuell übersteuert; ","")&amp;IF(AND(CA98=0,R98=0),"Gebinde unbekannt / Stellmass fehlt; ","")&amp;IF(AND(CA98=0,N(V98)&lt;=0,N(Q98)&lt;=0),"Menge pro Gebinde fehlt (Ist = 1 Gebinde); ","")&amp;BV98)</f>
        <v/>
      </c>
      <c r="BO98" s="60"/>
      <c r="BP98" s="60"/>
      <c r="BQ98" s="67"/>
      <c r="BR98" s="62" t="n">
        <v>38</v>
      </c>
      <c r="BS98" s="62" t="n">
        <v>13</v>
      </c>
      <c r="BT98" s="61" t="n">
        <v>2394.26</v>
      </c>
      <c r="BU98" s="62" t="n">
        <v>66</v>
      </c>
      <c r="BV98" s="60"/>
      <c r="BW98" s="65" t="n">
        <v>0</v>
      </c>
      <c r="BX98" s="65" t="n">
        <v>98</v>
      </c>
      <c r="BY98" s="60" t="str">
        <f aca="false">IF(U98&lt;&gt;"",UPPER(TRIM(U98)),IF(CB98=1,UPPER(VLOOKUP(T98,Parameter!$I$27:$K$29,2,0)),IF(P98="","LOSE",P98)))</f>
        <v>S51</v>
      </c>
      <c r="BZ98" s="62" t="n">
        <f aca="false">IF(BY98="LOSE",1,IF(N(V98)&gt;0,V98,IF(CB98=1,MAX(1,N(VLOOKUP(T98,Parameter!$I$27:$K$29,3,0)),H98,N(N98)),IF(N(Q98)&gt;0,Q98,MAX(1,H98)))))</f>
        <v>34</v>
      </c>
      <c r="CA98" s="65" t="n">
        <f aca="false">IF(BY98="LOSE",1,0)</f>
        <v>0</v>
      </c>
      <c r="CB98" s="65" t="n">
        <f aca="false">IF(AND(U98="",OR(P98="",P98="LOSE"),T98&lt;&gt;"",N(S98)&lt;=0,ISNUMBER(MATCH(T98,Parameter!$I$27:$I$29,0))),1,0)</f>
        <v>0</v>
      </c>
      <c r="CC98" s="65" t="n">
        <f aca="false">IF(CR98&gt;0,INDEX(Parameter!$H$5:$H$7,W98)/INDEX(Parameter!$E$5:$E$7,W98),IF(AND(CA98=0,N(IFERROR(VLOOKUP(BY98,'Gebinde-Kategorie'!$A$5:$N$45,14,0),0))&gt;0),VLOOKUP(BY98,'Gebinde-Kategorie'!$A$5:$N$45,14,0)*10+Parameter!$M$23,Parameter!$M$24))</f>
        <v>155</v>
      </c>
      <c r="CD98" s="60" t="str">
        <f aca="false">IF(AND(Parameter!$B$19="Ja",E98&lt;&gt;"",ISNUMBER(MATCH(E98,Parameter!$I$35:$I$52,0))),VLOOKUP(E98,Parameter!$I$35:$J$52,2,0),IFERROR(VLOOKUP(D98,Parameter!$A$35:$C$64,2,0),"Nein"))</f>
        <v>2+3</v>
      </c>
      <c r="CE98" s="64" t="n">
        <f aca="false">IF(CA98=0,0,IF(N(S98)&gt;0,S98,IFERROR(VLOOKUP(D98,Parameter!$A$35:$C$64,3,0)+0,0)))</f>
        <v>0</v>
      </c>
      <c r="CF98" s="60" t="n">
        <f aca="false">IF(AB98&lt;&gt;"",AB98,AA98)</f>
        <v>3</v>
      </c>
      <c r="CG98" s="60" t="str">
        <f aca="false">IF(OR(CF98=1,CF98=2,CF98=3),IF(Parameter!$E$27="Ja","LIFT",IF(CF98=1,"L1","L23")),IF(CF98="Aussen","Aussen","-"))</f>
        <v>LIFT</v>
      </c>
      <c r="CH98" s="71" t="n">
        <f aca="false">IF(N(AC98)&gt;0,AC98,0)</f>
        <v>0</v>
      </c>
      <c r="CI98" s="65" t="n">
        <f aca="false">IF(ISNUMBER(AF98),1,0)</f>
        <v>0</v>
      </c>
      <c r="CJ98" s="62" t="n">
        <f aca="false">N(AF98)</f>
        <v>0</v>
      </c>
      <c r="CK98" s="62" t="n">
        <f aca="false">N(M98)+N(N98)</f>
        <v>55</v>
      </c>
      <c r="CL98" s="62" t="n">
        <f aca="false">N(M98)</f>
        <v>5</v>
      </c>
      <c r="CM98" s="62" t="n">
        <f aca="false">N(N98)</f>
        <v>50</v>
      </c>
      <c r="CN98" s="62" t="n">
        <f aca="false">ROUNDUP(H98/BZ98,0)</f>
        <v>2</v>
      </c>
      <c r="CO98" s="62" t="n">
        <f aca="false">ROUNDUP(CJ98/BZ98,0)</f>
        <v>0</v>
      </c>
      <c r="CP98" s="65" t="n">
        <f aca="false">IF(CA98=1,0,IFERROR(VLOOKUP(BY98,'Gebinde-Kategorie'!$A$5:$N$45,5,0)+0,0))</f>
        <v>11</v>
      </c>
      <c r="CQ98" s="65" t="n">
        <f aca="false">IFERROR(IF(OR(CF98=1,CF98=2,CF98=3),N(INDEX(Parameter!$I$5:$I$7,CF98)),0),0)</f>
        <v>0</v>
      </c>
      <c r="CR98" s="64" t="n">
        <f aca="false">IF(AND(Parameter!$B$21="Ja",ISNUMBER(W98),N(X98)&gt;0),IFERROR(N(INDEX(Parameter!$L$5:$L$7,W98))*INDEX(Parameter!$E$5:$E$7,W98)*X98/SUMIFS($X$7:$X$1843,$W$7:$W$1843,W98),0),0)</f>
        <v>0</v>
      </c>
      <c r="CS98" s="62" t="n">
        <f aca="false">IF(AND(OR(CG98="L1",CG98="L23",CG98="LIFT"),H98&gt;0),CC98*IF(CR98&gt;0,CR98*MAX(1,H98/X98),IF(CA98=1,CE98,IF(R98&gt;0,CN98/R98,0))/MAX(0.1,N(Parameter!$M$21))),"")</f>
        <v>11.9230769230769</v>
      </c>
      <c r="CT98" s="64" t="n">
        <f aca="false">IF(CS98="","",J98/H98)</f>
        <v>1.29411764705882</v>
      </c>
      <c r="CU98" s="62" t="n">
        <f aca="false">IF(CS98="","",H98*G98)</f>
        <v>3213</v>
      </c>
      <c r="CV98" s="63" t="n">
        <f aca="false">IF(CS98="","",(CL98+ROUNDUP(CL98+MAX(CM98,2*(J98/MAX(0.1,N(Einkauf!$C$6))-CL98)),0))/2)</f>
        <v>30</v>
      </c>
      <c r="CW98" s="62" t="n">
        <f aca="false">IF(CS98="","",MAX(0,H98-CV98)*G98)</f>
        <v>1323</v>
      </c>
      <c r="CX98" s="62" t="n">
        <f aca="false">IF(CS98="","",CS98*MAX(0,1-CV98/H98))</f>
        <v>4.90950226244344</v>
      </c>
      <c r="CY98" s="64" t="n">
        <f aca="false">IF(CS98="","",PERCENTRANK($CS$7:$CS$1843,CS98)+PERCENTRANK($CU$7:$CU$1843,CU98)+1-PERCENTRANK($CT$7:$CT$1843,CT98))</f>
        <v>1.741</v>
      </c>
      <c r="CZ98" s="72" t="n">
        <f aca="false">IF(CS98="","",CHOOSE(MATCH(Einkauf!$C$5,Parameter!$G$23:$G$27,0),CY98,CS98,CU98,-CT98,CW98)+ROW()/1000000000)</f>
        <v>1.741000098</v>
      </c>
    </row>
    <row r="99" customFormat="false" ht="15" hidden="false" customHeight="false" outlineLevel="0" collapsed="false">
      <c r="A99" s="60" t="s">
        <v>452</v>
      </c>
      <c r="B99" s="60" t="s">
        <v>453</v>
      </c>
      <c r="C99" s="60" t="s">
        <v>206</v>
      </c>
      <c r="D99" s="60" t="s">
        <v>215</v>
      </c>
      <c r="E99" s="60" t="s">
        <v>227</v>
      </c>
      <c r="F99" s="60" t="s">
        <v>260</v>
      </c>
      <c r="G99" s="61" t="n">
        <v>198.42</v>
      </c>
      <c r="H99" s="62" t="n">
        <f aca="false">MAX(0,IF(AND(Parameter!$B$21="Ja",ISNUMBER(Y99)),Y99,IF(Parameter!$B$20="Jahresanfang 2025 + Export",BS99+BR99,BR99)))</f>
        <v>12</v>
      </c>
      <c r="I99" s="62" t="n">
        <f aca="false">H99*G99</f>
        <v>2381.04</v>
      </c>
      <c r="J99" s="62" t="n">
        <f aca="false">BU99*Parameter!$B$18</f>
        <v>24</v>
      </c>
      <c r="K99" s="63" t="n">
        <v>7</v>
      </c>
      <c r="L99" s="64" t="n">
        <v>3.42857142857143</v>
      </c>
      <c r="M99" s="62" t="n">
        <v>3</v>
      </c>
      <c r="N99" s="62" t="n">
        <v>15</v>
      </c>
      <c r="O99" s="65" t="n">
        <v>56</v>
      </c>
      <c r="P99" s="60" t="s">
        <v>344</v>
      </c>
      <c r="Q99" s="62" t="n">
        <v>12</v>
      </c>
      <c r="R99" s="65" t="n">
        <f aca="false">IF(CA99=1,0,IFERROR(VLOOKUP(BY99,'Gebinde-Kategorie'!$A$5:$N$45,13,0)+0,0))</f>
        <v>26</v>
      </c>
      <c r="S99" s="66"/>
      <c r="T99" s="67"/>
      <c r="U99" s="67"/>
      <c r="V99" s="67"/>
      <c r="W99" s="60"/>
      <c r="X99" s="62"/>
      <c r="Y99" s="62"/>
      <c r="Z99" s="60" t="n">
        <v>3</v>
      </c>
      <c r="AA99" s="60" t="n">
        <f aca="false">IF(A99="","",IF(AND(Parameter!$B$21="Ja",ISNUMBER(W99)),W99,IF(AND(Parameter!$E$27="Ja",ISNUMBER(Z99),CD99&lt;&gt;"Nein"),Z99,IF(CD99="2+3",IF(ISNUMBER(SEARCH("grosser Artikel",BV99)),2,IFERROR(VLOOKUP(BY99,Parameter!$F$35:$G$64,2,0),2)),IF(OR(CD99="Nein",CD99=""),"-",CD99)))))</f>
        <v>3</v>
      </c>
      <c r="AB99" s="67"/>
      <c r="AC99" s="68"/>
      <c r="AD99" s="62" t="n">
        <f aca="false">AW99</f>
        <v>18</v>
      </c>
      <c r="AE99" s="62" t="n">
        <f aca="false">MAX(AW99,H99)</f>
        <v>18</v>
      </c>
      <c r="AF99" s="69"/>
      <c r="AG99" s="62" t="n">
        <f aca="false">IF(LEFT(Cockpit!$C$5,1)="A",H99,IF(Parameter!$E$30="MAX-Bestand",IF(CI99=1,CJ99,IF(LEFT(Cockpit!$C$5,1)="B",AM99,MAX(AM99,H99))),ROUNDUP(AK99,0)))</f>
        <v>12</v>
      </c>
      <c r="AH99" s="62" t="n">
        <f aca="false">IF(CA99=1,0,ROUNDUP(AG99/BZ99,0))</f>
        <v>1</v>
      </c>
      <c r="AI99" s="64" t="n">
        <f aca="false">IF(CR99&gt;0,CR99*MAX(1,AG99/X99),IF(CA99=1,IF(AG99&lt;=0,0,CE99*MAX(1,IF(H99&gt;0,AG99/H99,1))),IF(R99&gt;0,AH99/R99,0))/MAX(0.1,N(Parameter!$M$21)))</f>
        <v>0.0384615384615385</v>
      </c>
      <c r="AJ99" s="62" t="n">
        <f aca="false">AI99*CC99</f>
        <v>5.96153846153846</v>
      </c>
      <c r="AK99" s="63" t="n">
        <f aca="false">IF(LEFT(Cockpit!$C$5,1)="A",H99,IF(CI99=1,(CL99+CJ99)/2,IF(LEFT(Cockpit!$C$5,1)="B",(CL99+AM99)/2,MAX((CL99+AM99)/2,H99))))</f>
        <v>12</v>
      </c>
      <c r="AL99" s="62" t="n">
        <f aca="false">AK99*G99</f>
        <v>2381.04</v>
      </c>
      <c r="AM99" s="62" t="n">
        <f aca="false">ROUNDUP(CL99+MAX(CM99,2*(J99/IF(CH99&gt;0,CH99,MAX(0.1,N(Cockpit!$C$6)))-CL99)),0)</f>
        <v>18</v>
      </c>
      <c r="AN99" s="63" t="n">
        <f aca="false">IF(AJ99&gt;0,J99/AJ99,-1)</f>
        <v>4.0258064516129</v>
      </c>
      <c r="AO99" s="63" t="n">
        <f aca="false">IF(AND(OR(CG99="L1",CG99="L23",CG99="LIFT"),AJ99&gt;0),SUMIFS($AJ$7:$AJ$1843,$CG$7:$CG$1843,CG99,$AN$7:$AN$1843,"&gt;"&amp;AN99)+SUMIFS($AJ$7:$AJ$1843,$CG$7:$CG$1843,CG99,$AN$7:$AN$1843,AN99,$BX$7:$BX$1843,"&lt;="&amp;BX99),"")</f>
        <v>4316.95833333333</v>
      </c>
      <c r="AP99" s="70" t="n">
        <f aca="false">IF(AO99="",0,MAX(0,MIN(1,(IF(CG99="L1",Parameter!$H$5,IF(CG99="L23",Parameter!$H$6+Parameter!$H$7,Parameter!$H$5+Parameter!$H$6+Parameter!$H$7))-(AO99-AJ99))/AJ99)))</f>
        <v>1</v>
      </c>
      <c r="AQ99" s="62" t="n">
        <f aca="false">IF(LEFT(Cockpit!$I$5,1)="A",H99,IF(Parameter!$E$30="MAX-Bestand",IF(CI99=1,CJ99,IF(LEFT(Cockpit!$I$5,1)="B",AW99,MAX(AW99,H99))),ROUNDUP(AU99,0)))</f>
        <v>12</v>
      </c>
      <c r="AR99" s="62" t="n">
        <f aca="false">IF(CA99=1,0,ROUNDUP(AQ99/BZ99,0))</f>
        <v>1</v>
      </c>
      <c r="AS99" s="64" t="n">
        <f aca="false">IF(CR99&gt;0,CR99*MAX(1,AQ99/X99),IF(CA99=1,IF(AQ99&lt;=0,0,CE99*MAX(1,IF(H99&gt;0,AQ99/H99,1))),IF(R99&gt;0,AR99/R99,0))/MAX(0.1,N(Parameter!$M$21)))</f>
        <v>0.0384615384615385</v>
      </c>
      <c r="AT99" s="62" t="n">
        <f aca="false">AS99*CC99</f>
        <v>5.96153846153846</v>
      </c>
      <c r="AU99" s="63" t="n">
        <f aca="false">IF(LEFT(Cockpit!$I$5,1)="A",H99,IF(CI99=1,(CL99+CJ99)/2,IF(LEFT(Cockpit!$I$5,1)="B",(CL99+AW99)/2,MAX((CL99+AW99)/2,H99))))</f>
        <v>12</v>
      </c>
      <c r="AV99" s="62" t="n">
        <f aca="false">AU99*G99</f>
        <v>2381.04</v>
      </c>
      <c r="AW99" s="62" t="n">
        <f aca="false">ROUNDUP(CL99+MAX(CM99,2*(J99/IF(CH99&gt;0,CH99,MAX(0.1,N(Cockpit!$I$6)))-CL99)),0)</f>
        <v>18</v>
      </c>
      <c r="AX99" s="63" t="n">
        <f aca="false">IF(AT99&gt;0,J99/AT99,-1)</f>
        <v>4.0258064516129</v>
      </c>
      <c r="AY99" s="63" t="n">
        <f aca="false">IF(AND(OR(CG99="L1",CG99="L23",CG99="LIFT"),AT99&gt;0),SUMIFS($AT$7:$AT$1843,$CG$7:$CG$1843,CG99,$AX$7:$AX$1843,"&gt;"&amp;AX99)+SUMIFS($AT$7:$AT$1843,$CG$7:$CG$1843,CG99,$AX$7:$AX$1843,AX99,$BX$7:$BX$1843,"&lt;="&amp;BX99),"")</f>
        <v>4914.03250915751</v>
      </c>
      <c r="AZ99" s="70" t="n">
        <f aca="false">IF(AY99="",0,MAX(0,MIN(1,(IF(CG99="L1",Parameter!$H$5,IF(CG99="L23",Parameter!$H$6+Parameter!$H$7,Parameter!$H$5+Parameter!$H$6+Parameter!$H$7))-(AY99-AT99))/AT99)))</f>
        <v>1</v>
      </c>
      <c r="BA99" s="62" t="n">
        <f aca="false">IF(LEFT(Cockpit!$O$5,1)="A",H99,IF(Parameter!$E$30="MAX-Bestand",IF(CI99=1,CJ99,IF(LEFT(Cockpit!$O$5,1)="B",BG99,MAX(BG99,H99))),ROUNDUP(BE99,0)))</f>
        <v>11</v>
      </c>
      <c r="BB99" s="62" t="n">
        <f aca="false">IF(CA99=1,0,ROUNDUP(BA99/BZ99,0))</f>
        <v>1</v>
      </c>
      <c r="BC99" s="64" t="n">
        <f aca="false">IF(CR99&gt;0,CR99*MAX(1,BA99/X99),IF(CA99=1,IF(BA99&lt;=0,0,CE99*MAX(1,IF(H99&gt;0,BA99/H99,1))),IF(R99&gt;0,BB99/R99,0))/MAX(0.1,N(Parameter!$M$21)))</f>
        <v>0.0384615384615385</v>
      </c>
      <c r="BD99" s="62" t="n">
        <f aca="false">BC99*CC99</f>
        <v>5.96153846153846</v>
      </c>
      <c r="BE99" s="63" t="n">
        <f aca="false">IF(LEFT(Cockpit!$O$5,1)="A",H99,IF(CI99=1,(CL99+CJ99)/2,IF(LEFT(Cockpit!$O$5,1)="B",(CL99+BG99)/2,MAX((CL99+BG99)/2,H99))))</f>
        <v>10.5</v>
      </c>
      <c r="BF99" s="62" t="n">
        <f aca="false">BE99*G99</f>
        <v>2083.41</v>
      </c>
      <c r="BG99" s="62" t="n">
        <f aca="false">ROUNDUP(CL99+MAX(CM99,2*(J99/IF(CH99&gt;0,CH99,MAX(0.1,N(Cockpit!$O$6)))-CL99)),0)</f>
        <v>18</v>
      </c>
      <c r="BH99" s="63" t="n">
        <f aca="false">IF(BD99&gt;0,J99/BD99,-1)</f>
        <v>4.0258064516129</v>
      </c>
      <c r="BI99" s="63" t="n">
        <f aca="false">IF(AND(OR(CG99="L1",CG99="L23",CG99="LIFT"),BD99&gt;0),SUMIFS($BD$7:$BD$1843,$CG$7:$CG$1843,CG99,$BH$7:$BH$1843,"&gt;"&amp;BH99)+SUMIFS($BD$7:$BD$1843,$CG$7:$CG$1843,CG99,$BH$7:$BH$1843,BH99,$BX$7:$BX$1843,"&lt;="&amp;BX99),"")</f>
        <v>4036.07417582418</v>
      </c>
      <c r="BJ99" s="70" t="n">
        <f aca="false">IF(BI99="",0,MAX(0,MIN(1,(IF(CG99="L1",Parameter!$H$5,IF(CG99="L23",Parameter!$H$6+Parameter!$H$7,Parameter!$H$5+Parameter!$H$6+Parameter!$H$7))-(BI99-BD99))/BD99)))</f>
        <v>1</v>
      </c>
      <c r="BK99" s="60" t="str">
        <f aca="false">IF(AJ99&lt;=0,"",IF(CG99="Aussen","Aussenlager",IF(CG99="-","Nicht im Lift",IF(AP99&gt;=1,"Lift",IF(AP99&lt;=0,"Aussenlager","teilweise")))))</f>
        <v>Lift</v>
      </c>
      <c r="BL99" s="60" t="str">
        <f aca="false">IF(AT99&lt;=0,"",IF(CG99="Aussen","Aussenlager",IF(CG99="-","Nicht im Lift",IF(AZ99&gt;=1,"Lift",IF(AZ99&lt;=0,"Aussenlager","teilweise")))))</f>
        <v>Lift</v>
      </c>
      <c r="BM99" s="60" t="str">
        <f aca="false">IF(BD99&lt;=0,"",IF(CG99="Aussen","Aussenlager",IF(CG99="-","Nicht im Lift",IF(BJ99&gt;=1,"Lift",IF(BJ99&lt;=0,"Aussenlager","teilweise")))))</f>
        <v>Lift</v>
      </c>
      <c r="BN99" s="60" t="str">
        <f aca="false">IF(A99="","",IF(BW99=1,"Neu; ","")&amp;IF(AND(BW99=0,BR99&lt;0),"negativer Bestand (Export "&amp;BR99&amp;"); ","")&amp;IF(J99&lt;=0,"Kein Verbrauch; ","")&amp;IF(CR99&gt;0,"Lift "&amp;W99&amp;" lt. Liftbericht (Fach "&amp;X99&amp;" Stk); ",IF(CB99=1,"Gebinde geschätzt ("&amp;T99&amp;"); ",IF(CA99=1,"Lose – Tablare geschätzt; ","")))&amp;IF(H99&gt;AW99,"Überbestand "&amp;ROUND(H99-AW99,0)&amp;" Stk / CHF "&amp;ROUND((H99-AW99)*G99,0)&amp;"; ","")&amp;IF(AND(CI99=1,CJ99&lt;CK99),"MAX &lt; MB+LG; ","")&amp;IF(AND(CQ99&gt;0,CP99*10&gt;CQ99),"zu hoch für Tablar; ","")&amp;IF(AND(BW99=0,OR(CI99=1,AB99&lt;&gt;"",U99&lt;&gt;"",V99&lt;&gt;"",AC99&lt;&gt;"")),"manuell übersteuert; ","")&amp;IF(AND(CA99=0,R99=0),"Gebinde unbekannt / Stellmass fehlt; ","")&amp;IF(AND(CA99=0,N(V99)&lt;=0,N(Q99)&lt;=0),"Menge pro Gebinde fehlt (Ist = 1 Gebinde); ","")&amp;BV99)</f>
        <v/>
      </c>
      <c r="BO99" s="60"/>
      <c r="BP99" s="60"/>
      <c r="BQ99" s="67"/>
      <c r="BR99" s="62" t="n">
        <v>12</v>
      </c>
      <c r="BS99" s="62" t="n">
        <v>0</v>
      </c>
      <c r="BT99" s="61" t="n">
        <v>2381.04</v>
      </c>
      <c r="BU99" s="62" t="n">
        <v>24</v>
      </c>
      <c r="BV99" s="60"/>
      <c r="BW99" s="65" t="n">
        <v>0</v>
      </c>
      <c r="BX99" s="65" t="n">
        <v>99</v>
      </c>
      <c r="BY99" s="60" t="str">
        <f aca="false">IF(U99&lt;&gt;"",UPPER(TRIM(U99)),IF(CB99=1,UPPER(VLOOKUP(T99,Parameter!$I$27:$K$29,2,0)),IF(P99="","LOSE",P99)))</f>
        <v>S51</v>
      </c>
      <c r="BZ99" s="62" t="n">
        <f aca="false">IF(BY99="LOSE",1,IF(N(V99)&gt;0,V99,IF(CB99=1,MAX(1,N(VLOOKUP(T99,Parameter!$I$27:$K$29,3,0)),H99,N(N99)),IF(N(Q99)&gt;0,Q99,MAX(1,H99)))))</f>
        <v>12</v>
      </c>
      <c r="CA99" s="65" t="n">
        <f aca="false">IF(BY99="LOSE",1,0)</f>
        <v>0</v>
      </c>
      <c r="CB99" s="65" t="n">
        <f aca="false">IF(AND(U99="",OR(P99="",P99="LOSE"),T99&lt;&gt;"",N(S99)&lt;=0,ISNUMBER(MATCH(T99,Parameter!$I$27:$I$29,0))),1,0)</f>
        <v>0</v>
      </c>
      <c r="CC99" s="65" t="n">
        <f aca="false">IF(CR99&gt;0,INDEX(Parameter!$H$5:$H$7,W99)/INDEX(Parameter!$E$5:$E$7,W99),IF(AND(CA99=0,N(IFERROR(VLOOKUP(BY99,'Gebinde-Kategorie'!$A$5:$N$45,14,0),0))&gt;0),VLOOKUP(BY99,'Gebinde-Kategorie'!$A$5:$N$45,14,0)*10+Parameter!$M$23,Parameter!$M$24))</f>
        <v>155</v>
      </c>
      <c r="CD99" s="60" t="str">
        <f aca="false">IF(AND(Parameter!$B$19="Ja",E99&lt;&gt;"",ISNUMBER(MATCH(E99,Parameter!$I$35:$I$52,0))),VLOOKUP(E99,Parameter!$I$35:$J$52,2,0),IFERROR(VLOOKUP(D99,Parameter!$A$35:$C$64,2,0),"Nein"))</f>
        <v>2+3</v>
      </c>
      <c r="CE99" s="64" t="n">
        <f aca="false">IF(CA99=0,0,IF(N(S99)&gt;0,S99,IFERROR(VLOOKUP(D99,Parameter!$A$35:$C$64,3,0)+0,0)))</f>
        <v>0</v>
      </c>
      <c r="CF99" s="60" t="n">
        <f aca="false">IF(AB99&lt;&gt;"",AB99,AA99)</f>
        <v>3</v>
      </c>
      <c r="CG99" s="60" t="str">
        <f aca="false">IF(OR(CF99=1,CF99=2,CF99=3),IF(Parameter!$E$27="Ja","LIFT",IF(CF99=1,"L1","L23")),IF(CF99="Aussen","Aussen","-"))</f>
        <v>LIFT</v>
      </c>
      <c r="CH99" s="71" t="n">
        <f aca="false">IF(N(AC99)&gt;0,AC99,0)</f>
        <v>0</v>
      </c>
      <c r="CI99" s="65" t="n">
        <f aca="false">IF(ISNUMBER(AF99),1,0)</f>
        <v>0</v>
      </c>
      <c r="CJ99" s="62" t="n">
        <f aca="false">N(AF99)</f>
        <v>0</v>
      </c>
      <c r="CK99" s="62" t="n">
        <f aca="false">N(M99)+N(N99)</f>
        <v>18</v>
      </c>
      <c r="CL99" s="62" t="n">
        <f aca="false">N(M99)</f>
        <v>3</v>
      </c>
      <c r="CM99" s="62" t="n">
        <f aca="false">N(N99)</f>
        <v>15</v>
      </c>
      <c r="CN99" s="62" t="n">
        <f aca="false">ROUNDUP(H99/BZ99,0)</f>
        <v>1</v>
      </c>
      <c r="CO99" s="62" t="n">
        <f aca="false">ROUNDUP(CJ99/BZ99,0)</f>
        <v>0</v>
      </c>
      <c r="CP99" s="65" t="n">
        <f aca="false">IF(CA99=1,0,IFERROR(VLOOKUP(BY99,'Gebinde-Kategorie'!$A$5:$N$45,5,0)+0,0))</f>
        <v>11</v>
      </c>
      <c r="CQ99" s="65" t="n">
        <f aca="false">IFERROR(IF(OR(CF99=1,CF99=2,CF99=3),N(INDEX(Parameter!$I$5:$I$7,CF99)),0),0)</f>
        <v>0</v>
      </c>
      <c r="CR99" s="64" t="n">
        <f aca="false">IF(AND(Parameter!$B$21="Ja",ISNUMBER(W99),N(X99)&gt;0),IFERROR(N(INDEX(Parameter!$L$5:$L$7,W99))*INDEX(Parameter!$E$5:$E$7,W99)*X99/SUMIFS($X$7:$X$1843,$W$7:$W$1843,W99),0),0)</f>
        <v>0</v>
      </c>
      <c r="CS99" s="62" t="n">
        <f aca="false">IF(AND(OR(CG99="L1",CG99="L23",CG99="LIFT"),H99&gt;0),CC99*IF(CR99&gt;0,CR99*MAX(1,H99/X99),IF(CA99=1,CE99,IF(R99&gt;0,CN99/R99,0))/MAX(0.1,N(Parameter!$M$21))),"")</f>
        <v>5.96153846153846</v>
      </c>
      <c r="CT99" s="64" t="n">
        <f aca="false">IF(CS99="","",J99/H99)</f>
        <v>2</v>
      </c>
      <c r="CU99" s="62" t="n">
        <f aca="false">IF(CS99="","",H99*G99)</f>
        <v>2381.04</v>
      </c>
      <c r="CV99" s="63" t="n">
        <f aca="false">IF(CS99="","",(CL99+ROUNDUP(CL99+MAX(CM99,2*(J99/MAX(0.1,N(Einkauf!$C$6))-CL99)),0))/2)</f>
        <v>10.5</v>
      </c>
      <c r="CW99" s="62" t="n">
        <f aca="false">IF(CS99="","",MAX(0,H99-CV99)*G99)</f>
        <v>297.63</v>
      </c>
      <c r="CX99" s="62" t="n">
        <f aca="false">IF(CS99="","",CS99*MAX(0,1-CV99/H99))</f>
        <v>0.745192307692308</v>
      </c>
      <c r="CY99" s="64" t="n">
        <f aca="false">IF(CS99="","",PERCENTRANK($CS$7:$CS$1843,CS99)+PERCENTRANK($CU$7:$CU$1843,CU99)+1-PERCENTRANK($CT$7:$CT$1843,CT99))</f>
        <v>1.345</v>
      </c>
      <c r="CZ99" s="72" t="n">
        <f aca="false">IF(CS99="","",CHOOSE(MATCH(Einkauf!$C$5,Parameter!$G$23:$G$27,0),CY99,CS99,CU99,-CT99,CW99)+ROW()/1000000000)</f>
        <v>1.345000099</v>
      </c>
    </row>
    <row r="100" customFormat="false" ht="15" hidden="false" customHeight="false" outlineLevel="0" collapsed="false">
      <c r="A100" s="60" t="s">
        <v>454</v>
      </c>
      <c r="B100" s="60" t="s">
        <v>455</v>
      </c>
      <c r="C100" s="60" t="s">
        <v>206</v>
      </c>
      <c r="D100" s="60" t="s">
        <v>215</v>
      </c>
      <c r="E100" s="60" t="s">
        <v>208</v>
      </c>
      <c r="F100" s="60" t="s">
        <v>260</v>
      </c>
      <c r="G100" s="61" t="n">
        <v>354.44</v>
      </c>
      <c r="H100" s="62" t="n">
        <f aca="false">MAX(0,IF(AND(Parameter!$B$21="Ja",ISNUMBER(Y100)),Y100,IF(Parameter!$B$20="Jahresanfang 2025 + Export",BS100+BR100,BR100)))</f>
        <v>25</v>
      </c>
      <c r="I100" s="62" t="n">
        <f aca="false">H100*G100</f>
        <v>8861</v>
      </c>
      <c r="J100" s="62" t="n">
        <f aca="false">BU100*Parameter!$B$18</f>
        <v>177</v>
      </c>
      <c r="K100" s="63" t="n">
        <v>52.5</v>
      </c>
      <c r="L100" s="64" t="n">
        <v>3.37142857142857</v>
      </c>
      <c r="M100" s="62" t="n">
        <v>20</v>
      </c>
      <c r="N100" s="62" t="n">
        <v>35</v>
      </c>
      <c r="O100" s="65" t="n">
        <v>84</v>
      </c>
      <c r="P100" s="60" t="s">
        <v>301</v>
      </c>
      <c r="Q100" s="62" t="n">
        <v>20</v>
      </c>
      <c r="R100" s="65" t="n">
        <f aca="false">IF(CA100=1,0,IFERROR(VLOOKUP(BY100,'Gebinde-Kategorie'!$A$5:$N$45,13,0)+0,0))</f>
        <v>6</v>
      </c>
      <c r="S100" s="66"/>
      <c r="T100" s="67"/>
      <c r="U100" s="67"/>
      <c r="V100" s="67"/>
      <c r="W100" s="60"/>
      <c r="X100" s="62"/>
      <c r="Y100" s="62"/>
      <c r="Z100" s="60" t="n">
        <v>2</v>
      </c>
      <c r="AA100" s="60" t="n">
        <f aca="false">IF(A100="","",IF(AND(Parameter!$B$21="Ja",ISNUMBER(W100)),W100,IF(AND(Parameter!$E$27="Ja",ISNUMBER(Z100),CD100&lt;&gt;"Nein"),Z100,IF(CD100="2+3",IF(ISNUMBER(SEARCH("grosser Artikel",BV100)),2,IFERROR(VLOOKUP(BY100,Parameter!$F$35:$G$64,2,0),2)),IF(OR(CD100="Nein",CD100=""),"-",CD100)))))</f>
        <v>2</v>
      </c>
      <c r="AB100" s="67"/>
      <c r="AC100" s="68"/>
      <c r="AD100" s="62" t="n">
        <f aca="false">AW100</f>
        <v>98</v>
      </c>
      <c r="AE100" s="62" t="n">
        <f aca="false">MAX(AW100,H100)</f>
        <v>98</v>
      </c>
      <c r="AF100" s="69"/>
      <c r="AG100" s="62" t="n">
        <f aca="false">IF(LEFT(Cockpit!$C$5,1)="A",H100,IF(Parameter!$E$30="MAX-Bestand",IF(CI100=1,CJ100,IF(LEFT(Cockpit!$C$5,1)="B",AM100,MAX(AM100,H100))),ROUNDUP(AK100,0)))</f>
        <v>25</v>
      </c>
      <c r="AH100" s="62" t="n">
        <f aca="false">IF(CA100=1,0,ROUNDUP(AG100/BZ100,0))</f>
        <v>2</v>
      </c>
      <c r="AI100" s="64" t="n">
        <f aca="false">IF(CR100&gt;0,CR100*MAX(1,AG100/X100),IF(CA100=1,IF(AG100&lt;=0,0,CE100*MAX(1,IF(H100&gt;0,AG100/H100,1))),IF(R100&gt;0,AH100/R100,0))/MAX(0.1,N(Parameter!$M$21)))</f>
        <v>0.333333333333333</v>
      </c>
      <c r="AJ100" s="62" t="n">
        <f aca="false">AI100*CC100</f>
        <v>145</v>
      </c>
      <c r="AK100" s="63" t="n">
        <f aca="false">IF(LEFT(Cockpit!$C$5,1)="A",H100,IF(CI100=1,(CL100+CJ100)/2,IF(LEFT(Cockpit!$C$5,1)="B",(CL100+AM100)/2,MAX((CL100+AM100)/2,H100))))</f>
        <v>25</v>
      </c>
      <c r="AL100" s="62" t="n">
        <f aca="false">AK100*G100</f>
        <v>8861</v>
      </c>
      <c r="AM100" s="62" t="n">
        <f aca="false">ROUNDUP(CL100+MAX(CM100,2*(J100/IF(CH100&gt;0,CH100,MAX(0.1,N(Cockpit!$C$6)))-CL100)),0)</f>
        <v>98</v>
      </c>
      <c r="AN100" s="63" t="n">
        <f aca="false">IF(AJ100&gt;0,J100/AJ100,-1)</f>
        <v>1.22068965517241</v>
      </c>
      <c r="AO100" s="63" t="n">
        <f aca="false">IF(AND(OR(CG100="L1",CG100="L23",CG100="LIFT"),AJ100&gt;0),SUMIFS($AJ$7:$AJ$1843,$CG$7:$CG$1843,CG100,$AN$7:$AN$1843,"&gt;"&amp;AN100)+SUMIFS($AJ$7:$AJ$1843,$CG$7:$CG$1843,CG100,$AN$7:$AN$1843,AN100,$BX$7:$BX$1843,"&lt;="&amp;BX100),"")</f>
        <v>6568.13507326007</v>
      </c>
      <c r="AP100" s="70" t="n">
        <f aca="false">IF(AO100="",0,MAX(0,MIN(1,(IF(CG100="L1",Parameter!$H$5,IF(CG100="L23",Parameter!$H$6+Parameter!$H$7,Parameter!$H$5+Parameter!$H$6+Parameter!$H$7))-(AO100-AJ100))/AJ100)))</f>
        <v>1</v>
      </c>
      <c r="AQ100" s="62" t="n">
        <f aca="false">IF(LEFT(Cockpit!$I$5,1)="A",H100,IF(Parameter!$E$30="MAX-Bestand",IF(CI100=1,CJ100,IF(LEFT(Cockpit!$I$5,1)="B",AW100,MAX(AW100,H100))),ROUNDUP(AU100,0)))</f>
        <v>59</v>
      </c>
      <c r="AR100" s="62" t="n">
        <f aca="false">IF(CA100=1,0,ROUNDUP(AQ100/BZ100,0))</f>
        <v>3</v>
      </c>
      <c r="AS100" s="64" t="n">
        <f aca="false">IF(CR100&gt;0,CR100*MAX(1,AQ100/X100),IF(CA100=1,IF(AQ100&lt;=0,0,CE100*MAX(1,IF(H100&gt;0,AQ100/H100,1))),IF(R100&gt;0,AR100/R100,0))/MAX(0.1,N(Parameter!$M$21)))</f>
        <v>0.5</v>
      </c>
      <c r="AT100" s="62" t="n">
        <f aca="false">AS100*CC100</f>
        <v>217.5</v>
      </c>
      <c r="AU100" s="63" t="n">
        <f aca="false">IF(LEFT(Cockpit!$I$5,1)="A",H100,IF(CI100=1,(CL100+CJ100)/2,IF(LEFT(Cockpit!$I$5,1)="B",(CL100+AW100)/2,MAX((CL100+AW100)/2,H100))))</f>
        <v>59</v>
      </c>
      <c r="AV100" s="62" t="n">
        <f aca="false">AU100*G100</f>
        <v>20911.96</v>
      </c>
      <c r="AW100" s="62" t="n">
        <f aca="false">ROUNDUP(CL100+MAX(CM100,2*(J100/IF(CH100&gt;0,CH100,MAX(0.1,N(Cockpit!$I$6)))-CL100)),0)</f>
        <v>98</v>
      </c>
      <c r="AX100" s="63" t="n">
        <f aca="false">IF(AT100&gt;0,J100/AT100,-1)</f>
        <v>0.813793103448276</v>
      </c>
      <c r="AY100" s="63" t="n">
        <f aca="false">IF(AND(OR(CG100="L1",CG100="L23",CG100="LIFT"),AT100&gt;0),SUMIFS($AT$7:$AT$1843,$CG$7:$CG$1843,CG100,$AX$7:$AX$1843,"&gt;"&amp;AX100)+SUMIFS($AT$7:$AT$1843,$CG$7:$CG$1843,CG100,$AX$7:$AX$1843,AX100,$BX$7:$BX$1843,"&lt;="&amp;BX100),"")</f>
        <v>10099.1098901099</v>
      </c>
      <c r="AZ100" s="70" t="n">
        <f aca="false">IF(AY100="",0,MAX(0,MIN(1,(IF(CG100="L1",Parameter!$H$5,IF(CG100="L23",Parameter!$H$6+Parameter!$H$7,Parameter!$H$5+Parameter!$H$6+Parameter!$H$7))-(AY100-AT100))/AT100)))</f>
        <v>1</v>
      </c>
      <c r="BA100" s="62" t="n">
        <f aca="false">IF(LEFT(Cockpit!$O$5,1)="A",H100,IF(Parameter!$E$30="MAX-Bestand",IF(CI100=1,CJ100,IF(LEFT(Cockpit!$O$5,1)="B",BG100,MAX(BG100,H100))),ROUNDUP(BE100,0)))</f>
        <v>45</v>
      </c>
      <c r="BB100" s="62" t="n">
        <f aca="false">IF(CA100=1,0,ROUNDUP(BA100/BZ100,0))</f>
        <v>3</v>
      </c>
      <c r="BC100" s="64" t="n">
        <f aca="false">IF(CR100&gt;0,CR100*MAX(1,BA100/X100),IF(CA100=1,IF(BA100&lt;=0,0,CE100*MAX(1,IF(H100&gt;0,BA100/H100,1))),IF(R100&gt;0,BB100/R100,0))/MAX(0.1,N(Parameter!$M$21)))</f>
        <v>0.5</v>
      </c>
      <c r="BD100" s="62" t="n">
        <f aca="false">BC100*CC100</f>
        <v>217.5</v>
      </c>
      <c r="BE100" s="63" t="n">
        <f aca="false">IF(LEFT(Cockpit!$O$5,1)="A",H100,IF(CI100=1,(CL100+CJ100)/2,IF(LEFT(Cockpit!$O$5,1)="B",(CL100+BG100)/2,MAX((CL100+BG100)/2,H100))))</f>
        <v>44.5</v>
      </c>
      <c r="BF100" s="62" t="n">
        <f aca="false">BE100*G100</f>
        <v>15772.58</v>
      </c>
      <c r="BG100" s="62" t="n">
        <f aca="false">ROUNDUP(CL100+MAX(CM100,2*(J100/IF(CH100&gt;0,CH100,MAX(0.1,N(Cockpit!$O$6)))-CL100)),0)</f>
        <v>69</v>
      </c>
      <c r="BH100" s="63" t="n">
        <f aca="false">IF(BD100&gt;0,J100/BD100,-1)</f>
        <v>0.813793103448276</v>
      </c>
      <c r="BI100" s="63" t="n">
        <f aca="false">IF(AND(OR(CG100="L1",CG100="L23",CG100="LIFT"),BD100&gt;0),SUMIFS($BD$7:$BD$1843,$CG$7:$CG$1843,CG100,$BH$7:$BH$1843,"&gt;"&amp;BH100)+SUMIFS($BD$7:$BD$1843,$CG$7:$CG$1843,CG100,$BH$7:$BH$1843,BH100,$BX$7:$BX$1843,"&lt;="&amp;BX100),"")</f>
        <v>8893.93635531135</v>
      </c>
      <c r="BJ100" s="70" t="n">
        <f aca="false">IF(BI100="",0,MAX(0,MIN(1,(IF(CG100="L1",Parameter!$H$5,IF(CG100="L23",Parameter!$H$6+Parameter!$H$7,Parameter!$H$5+Parameter!$H$6+Parameter!$H$7))-(BI100-BD100))/BD100)))</f>
        <v>1</v>
      </c>
      <c r="BK100" s="60" t="str">
        <f aca="false">IF(AJ100&lt;=0,"",IF(CG100="Aussen","Aussenlager",IF(CG100="-","Nicht im Lift",IF(AP100&gt;=1,"Lift",IF(AP100&lt;=0,"Aussenlager","teilweise")))))</f>
        <v>Lift</v>
      </c>
      <c r="BL100" s="60" t="str">
        <f aca="false">IF(AT100&lt;=0,"",IF(CG100="Aussen","Aussenlager",IF(CG100="-","Nicht im Lift",IF(AZ100&gt;=1,"Lift",IF(AZ100&lt;=0,"Aussenlager","teilweise")))))</f>
        <v>Lift</v>
      </c>
      <c r="BM100" s="60" t="str">
        <f aca="false">IF(BD100&lt;=0,"",IF(CG100="Aussen","Aussenlager",IF(CG100="-","Nicht im Lift",IF(BJ100&gt;=1,"Lift",IF(BJ100&lt;=0,"Aussenlager","teilweise")))))</f>
        <v>Lift</v>
      </c>
      <c r="BN100" s="60" t="str">
        <f aca="false">IF(A100="","",IF(BW100=1,"Neu; ","")&amp;IF(AND(BW100=0,BR100&lt;0),"negativer Bestand (Export "&amp;BR100&amp;"); ","")&amp;IF(J100&lt;=0,"Kein Verbrauch; ","")&amp;IF(CR100&gt;0,"Lift "&amp;W100&amp;" lt. Liftbericht (Fach "&amp;X100&amp;" Stk); ",IF(CB100=1,"Gebinde geschätzt ("&amp;T100&amp;"); ",IF(CA100=1,"Lose – Tablare geschätzt; ","")))&amp;IF(H100&gt;AW100,"Überbestand "&amp;ROUND(H100-AW100,0)&amp;" Stk / CHF "&amp;ROUND((H100-AW100)*G100,0)&amp;"; ","")&amp;IF(AND(CI100=1,CJ100&lt;CK100),"MAX &lt; MB+LG; ","")&amp;IF(AND(CQ100&gt;0,CP100*10&gt;CQ100),"zu hoch für Tablar; ","")&amp;IF(AND(BW100=0,OR(CI100=1,AB100&lt;&gt;"",U100&lt;&gt;"",V100&lt;&gt;"",AC100&lt;&gt;"")),"manuell übersteuert; ","")&amp;IF(AND(CA100=0,R100=0),"Gebinde unbekannt / Stellmass fehlt; ","")&amp;IF(AND(CA100=0,N(V100)&lt;=0,N(Q100)&lt;=0),"Menge pro Gebinde fehlt (Ist = 1 Gebinde); ","")&amp;BV100)</f>
        <v/>
      </c>
      <c r="BO100" s="60"/>
      <c r="BP100" s="60"/>
      <c r="BQ100" s="67"/>
      <c r="BR100" s="62" t="n">
        <v>5</v>
      </c>
      <c r="BS100" s="62" t="n">
        <v>20</v>
      </c>
      <c r="BT100" s="61" t="n">
        <v>2352.15000000003</v>
      </c>
      <c r="BU100" s="62" t="n">
        <v>177</v>
      </c>
      <c r="BV100" s="60"/>
      <c r="BW100" s="65" t="n">
        <v>0</v>
      </c>
      <c r="BX100" s="65" t="n">
        <v>100</v>
      </c>
      <c r="BY100" s="60" t="str">
        <f aca="false">IF(U100&lt;&gt;"",UPPER(TRIM(U100)),IF(CB100=1,UPPER(VLOOKUP(T100,Parameter!$I$27:$K$29,2,0)),IF(P100="","LOSE",P100)))</f>
        <v>S72</v>
      </c>
      <c r="BZ100" s="62" t="n">
        <f aca="false">IF(BY100="LOSE",1,IF(N(V100)&gt;0,V100,IF(CB100=1,MAX(1,N(VLOOKUP(T100,Parameter!$I$27:$K$29,3,0)),H100,N(N100)),IF(N(Q100)&gt;0,Q100,MAX(1,H100)))))</f>
        <v>20</v>
      </c>
      <c r="CA100" s="65" t="n">
        <f aca="false">IF(BY100="LOSE",1,0)</f>
        <v>0</v>
      </c>
      <c r="CB100" s="65" t="n">
        <f aca="false">IF(AND(U100="",OR(P100="",P100="LOSE"),T100&lt;&gt;"",N(S100)&lt;=0,ISNUMBER(MATCH(T100,Parameter!$I$27:$I$29,0))),1,0)</f>
        <v>0</v>
      </c>
      <c r="CC100" s="65" t="n">
        <f aca="false">IF(CR100&gt;0,INDEX(Parameter!$H$5:$H$7,W100)/INDEX(Parameter!$E$5:$E$7,W100),IF(AND(CA100=0,N(IFERROR(VLOOKUP(BY100,'Gebinde-Kategorie'!$A$5:$N$45,14,0),0))&gt;0),VLOOKUP(BY100,'Gebinde-Kategorie'!$A$5:$N$45,14,0)*10+Parameter!$M$23,Parameter!$M$24))</f>
        <v>435</v>
      </c>
      <c r="CD100" s="60" t="n">
        <f aca="false">IF(AND(Parameter!$B$19="Ja",E100&lt;&gt;"",ISNUMBER(MATCH(E100,Parameter!$I$35:$I$52,0))),VLOOKUP(E100,Parameter!$I$35:$J$52,2,0),IFERROR(VLOOKUP(D100,Parameter!$A$35:$C$64,2,0),"Nein"))</f>
        <v>1</v>
      </c>
      <c r="CE100" s="64" t="n">
        <f aca="false">IF(CA100=0,0,IF(N(S100)&gt;0,S100,IFERROR(VLOOKUP(D100,Parameter!$A$35:$C$64,3,0)+0,0)))</f>
        <v>0</v>
      </c>
      <c r="CF100" s="60" t="n">
        <f aca="false">IF(AB100&lt;&gt;"",AB100,AA100)</f>
        <v>2</v>
      </c>
      <c r="CG100" s="60" t="str">
        <f aca="false">IF(OR(CF100=1,CF100=2,CF100=3),IF(Parameter!$E$27="Ja","LIFT",IF(CF100=1,"L1","L23")),IF(CF100="Aussen","Aussen","-"))</f>
        <v>LIFT</v>
      </c>
      <c r="CH100" s="71" t="n">
        <f aca="false">IF(N(AC100)&gt;0,AC100,0)</f>
        <v>0</v>
      </c>
      <c r="CI100" s="65" t="n">
        <f aca="false">IF(ISNUMBER(AF100),1,0)</f>
        <v>0</v>
      </c>
      <c r="CJ100" s="62" t="n">
        <f aca="false">N(AF100)</f>
        <v>0</v>
      </c>
      <c r="CK100" s="62" t="n">
        <f aca="false">N(M100)+N(N100)</f>
        <v>55</v>
      </c>
      <c r="CL100" s="62" t="n">
        <f aca="false">N(M100)</f>
        <v>20</v>
      </c>
      <c r="CM100" s="62" t="n">
        <f aca="false">N(N100)</f>
        <v>35</v>
      </c>
      <c r="CN100" s="62" t="n">
        <f aca="false">ROUNDUP(H100/BZ100,0)</f>
        <v>2</v>
      </c>
      <c r="CO100" s="62" t="n">
        <f aca="false">ROUNDUP(CJ100/BZ100,0)</f>
        <v>0</v>
      </c>
      <c r="CP100" s="65" t="n">
        <f aca="false">IF(CA100=1,0,IFERROR(VLOOKUP(BY100,'Gebinde-Kategorie'!$A$5:$N$45,5,0)+0,0))</f>
        <v>40</v>
      </c>
      <c r="CQ100" s="65" t="n">
        <f aca="false">IFERROR(IF(OR(CF100=1,CF100=2,CF100=3),N(INDEX(Parameter!$I$5:$I$7,CF100)),0),0)</f>
        <v>0</v>
      </c>
      <c r="CR100" s="64" t="n">
        <f aca="false">IF(AND(Parameter!$B$21="Ja",ISNUMBER(W100),N(X100)&gt;0),IFERROR(N(INDEX(Parameter!$L$5:$L$7,W100))*INDEX(Parameter!$E$5:$E$7,W100)*X100/SUMIFS($X$7:$X$1843,$W$7:$W$1843,W100),0),0)</f>
        <v>0</v>
      </c>
      <c r="CS100" s="62" t="n">
        <f aca="false">IF(AND(OR(CG100="L1",CG100="L23",CG100="LIFT"),H100&gt;0),CC100*IF(CR100&gt;0,CR100*MAX(1,H100/X100),IF(CA100=1,CE100,IF(R100&gt;0,CN100/R100,0))/MAX(0.1,N(Parameter!$M$21))),"")</f>
        <v>145</v>
      </c>
      <c r="CT100" s="64" t="n">
        <f aca="false">IF(CS100="","",J100/H100)</f>
        <v>7.08</v>
      </c>
      <c r="CU100" s="62" t="n">
        <f aca="false">IF(CS100="","",H100*G100)</f>
        <v>8861</v>
      </c>
      <c r="CV100" s="63" t="n">
        <f aca="false">IF(CS100="","",(CL100+ROUNDUP(CL100+MAX(CM100,2*(J100/MAX(0.1,N(Einkauf!$C$6))-CL100)),0))/2)</f>
        <v>44.5</v>
      </c>
      <c r="CW100" s="62" t="n">
        <f aca="false">IF(CS100="","",MAX(0,H100-CV100)*G100)</f>
        <v>0</v>
      </c>
      <c r="CX100" s="62" t="n">
        <f aca="false">IF(CS100="","",CS100*MAX(0,1-CV100/H100))</f>
        <v>0</v>
      </c>
      <c r="CY100" s="64" t="n">
        <f aca="false">IF(CS100="","",PERCENTRANK($CS$7:$CS$1843,CS100)+PERCENTRANK($CU$7:$CU$1843,CU100)+1-PERCENTRANK($CT$7:$CT$1843,CT100))</f>
        <v>1.935</v>
      </c>
      <c r="CZ100" s="72" t="n">
        <f aca="false">IF(CS100="","",CHOOSE(MATCH(Einkauf!$C$5,Parameter!$G$23:$G$27,0),CY100,CS100,CU100,-CT100,CW100)+ROW()/1000000000)</f>
        <v>1.9350001</v>
      </c>
    </row>
    <row r="101" customFormat="false" ht="15" hidden="false" customHeight="false" outlineLevel="0" collapsed="false">
      <c r="A101" s="60" t="s">
        <v>456</v>
      </c>
      <c r="B101" s="60" t="s">
        <v>457</v>
      </c>
      <c r="C101" s="60" t="s">
        <v>206</v>
      </c>
      <c r="D101" s="60" t="s">
        <v>226</v>
      </c>
      <c r="E101" s="60"/>
      <c r="F101" s="60" t="s">
        <v>260</v>
      </c>
      <c r="G101" s="61" t="n">
        <v>167.07</v>
      </c>
      <c r="H101" s="62" t="n">
        <f aca="false">MAX(0,IF(AND(Parameter!$B$21="Ja",ISNUMBER(Y101)),Y101,IF(Parameter!$B$20="Jahresanfang 2025 + Export",BS101+BR101,BR101)))</f>
        <v>14</v>
      </c>
      <c r="I101" s="62" t="n">
        <f aca="false">H101*G101</f>
        <v>2338.98</v>
      </c>
      <c r="J101" s="62" t="n">
        <f aca="false">BU101*Parameter!$B$18</f>
        <v>6</v>
      </c>
      <c r="K101" s="63" t="n">
        <v>0</v>
      </c>
      <c r="L101" s="64" t="n">
        <v>0</v>
      </c>
      <c r="M101" s="62" t="n">
        <v>0</v>
      </c>
      <c r="N101" s="62" t="n">
        <v>5</v>
      </c>
      <c r="O101" s="65" t="n">
        <v>28</v>
      </c>
      <c r="P101" s="60" t="s">
        <v>344</v>
      </c>
      <c r="Q101" s="62" t="n">
        <v>5</v>
      </c>
      <c r="R101" s="65" t="n">
        <f aca="false">IF(CA101=1,0,IFERROR(VLOOKUP(BY101,'Gebinde-Kategorie'!$A$5:$N$45,13,0)+0,0))</f>
        <v>26</v>
      </c>
      <c r="S101" s="66"/>
      <c r="T101" s="67"/>
      <c r="U101" s="67"/>
      <c r="V101" s="67"/>
      <c r="W101" s="60"/>
      <c r="X101" s="62"/>
      <c r="Y101" s="62"/>
      <c r="Z101" s="60" t="n">
        <v>3</v>
      </c>
      <c r="AA101" s="60" t="n">
        <f aca="false">IF(A101="","",IF(AND(Parameter!$B$21="Ja",ISNUMBER(W101)),W101,IF(AND(Parameter!$E$27="Ja",ISNUMBER(Z101),CD101&lt;&gt;"Nein"),Z101,IF(CD101="2+3",IF(ISNUMBER(SEARCH("grosser Artikel",BV101)),2,IFERROR(VLOOKUP(BY101,Parameter!$F$35:$G$64,2,0),2)),IF(OR(CD101="Nein",CD101=""),"-",CD101)))))</f>
        <v>3</v>
      </c>
      <c r="AB101" s="67"/>
      <c r="AC101" s="68"/>
      <c r="AD101" s="62" t="n">
        <f aca="false">AW101</f>
        <v>5</v>
      </c>
      <c r="AE101" s="62" t="n">
        <f aca="false">MAX(AW101,H101)</f>
        <v>14</v>
      </c>
      <c r="AF101" s="69"/>
      <c r="AG101" s="62" t="n">
        <f aca="false">IF(LEFT(Cockpit!$C$5,1)="A",H101,IF(Parameter!$E$30="MAX-Bestand",IF(CI101=1,CJ101,IF(LEFT(Cockpit!$C$5,1)="B",AM101,MAX(AM101,H101))),ROUNDUP(AK101,0)))</f>
        <v>14</v>
      </c>
      <c r="AH101" s="62" t="n">
        <f aca="false">IF(CA101=1,0,ROUNDUP(AG101/BZ101,0))</f>
        <v>3</v>
      </c>
      <c r="AI101" s="64" t="n">
        <f aca="false">IF(CR101&gt;0,CR101*MAX(1,AG101/X101),IF(CA101=1,IF(AG101&lt;=0,0,CE101*MAX(1,IF(H101&gt;0,AG101/H101,1))),IF(R101&gt;0,AH101/R101,0))/MAX(0.1,N(Parameter!$M$21)))</f>
        <v>0.115384615384615</v>
      </c>
      <c r="AJ101" s="62" t="n">
        <f aca="false">AI101*CC101</f>
        <v>17.8846153846154</v>
      </c>
      <c r="AK101" s="63" t="n">
        <f aca="false">IF(LEFT(Cockpit!$C$5,1)="A",H101,IF(CI101=1,(CL101+CJ101)/2,IF(LEFT(Cockpit!$C$5,1)="B",(CL101+AM101)/2,MAX((CL101+AM101)/2,H101))))</f>
        <v>14</v>
      </c>
      <c r="AL101" s="62" t="n">
        <f aca="false">AK101*G101</f>
        <v>2338.98</v>
      </c>
      <c r="AM101" s="62" t="n">
        <f aca="false">ROUNDUP(CL101+MAX(CM101,2*(J101/IF(CH101&gt;0,CH101,MAX(0.1,N(Cockpit!$C$6)))-CL101)),0)</f>
        <v>5</v>
      </c>
      <c r="AN101" s="63" t="n">
        <f aca="false">IF(AJ101&gt;0,J101/AJ101,-1)</f>
        <v>0.335483870967742</v>
      </c>
      <c r="AO101" s="63" t="n">
        <f aca="false">IF(AND(OR(CG101="L1",CG101="L23",CG101="LIFT"),AJ101&gt;0),SUMIFS($AJ$7:$AJ$1843,$CG$7:$CG$1843,CG101,$AN$7:$AN$1843,"&gt;"&amp;AN101)+SUMIFS($AJ$7:$AJ$1843,$CG$7:$CG$1843,CG101,$AN$7:$AN$1843,AN101,$BX$7:$BX$1843,"&lt;="&amp;BX101),"")</f>
        <v>11162.1731933321</v>
      </c>
      <c r="AP101" s="70" t="n">
        <f aca="false">IF(AO101="",0,MAX(0,MIN(1,(IF(CG101="L1",Parameter!$H$5,IF(CG101="L23",Parameter!$H$6+Parameter!$H$7,Parameter!$H$5+Parameter!$H$6+Parameter!$H$7))-(AO101-AJ101))/AJ101)))</f>
        <v>1</v>
      </c>
      <c r="AQ101" s="62" t="n">
        <f aca="false">IF(LEFT(Cockpit!$I$5,1)="A",H101,IF(Parameter!$E$30="MAX-Bestand",IF(CI101=1,CJ101,IF(LEFT(Cockpit!$I$5,1)="B",AW101,MAX(AW101,H101))),ROUNDUP(AU101,0)))</f>
        <v>14</v>
      </c>
      <c r="AR101" s="62" t="n">
        <f aca="false">IF(CA101=1,0,ROUNDUP(AQ101/BZ101,0))</f>
        <v>3</v>
      </c>
      <c r="AS101" s="64" t="n">
        <f aca="false">IF(CR101&gt;0,CR101*MAX(1,AQ101/X101),IF(CA101=1,IF(AQ101&lt;=0,0,CE101*MAX(1,IF(H101&gt;0,AQ101/H101,1))),IF(R101&gt;0,AR101/R101,0))/MAX(0.1,N(Parameter!$M$21)))</f>
        <v>0.115384615384615</v>
      </c>
      <c r="AT101" s="62" t="n">
        <f aca="false">AS101*CC101</f>
        <v>17.8846153846154</v>
      </c>
      <c r="AU101" s="63" t="n">
        <f aca="false">IF(LEFT(Cockpit!$I$5,1)="A",H101,IF(CI101=1,(CL101+CJ101)/2,IF(LEFT(Cockpit!$I$5,1)="B",(CL101+AW101)/2,MAX((CL101+AW101)/2,H101))))</f>
        <v>14</v>
      </c>
      <c r="AV101" s="62" t="n">
        <f aca="false">AU101*G101</f>
        <v>2338.98</v>
      </c>
      <c r="AW101" s="62" t="n">
        <f aca="false">ROUNDUP(CL101+MAX(CM101,2*(J101/IF(CH101&gt;0,CH101,MAX(0.1,N(Cockpit!$I$6)))-CL101)),0)</f>
        <v>5</v>
      </c>
      <c r="AX101" s="63" t="n">
        <f aca="false">IF(AT101&gt;0,J101/AT101,-1)</f>
        <v>0.335483870967742</v>
      </c>
      <c r="AY101" s="63" t="n">
        <f aca="false">IF(AND(OR(CG101="L1",CG101="L23",CG101="LIFT"),AT101&gt;0),SUMIFS($AT$7:$AT$1843,$CG$7:$CG$1843,CG101,$AX$7:$AX$1843,"&gt;"&amp;AX101)+SUMIFS($AT$7:$AT$1843,$CG$7:$CG$1843,CG101,$AX$7:$AX$1843,AX101,$BX$7:$BX$1843,"&lt;="&amp;BX101),"")</f>
        <v>13684.3878205128</v>
      </c>
      <c r="AZ101" s="70" t="n">
        <f aca="false">IF(AY101="",0,MAX(0,MIN(1,(IF(CG101="L1",Parameter!$H$5,IF(CG101="L23",Parameter!$H$6+Parameter!$H$7,Parameter!$H$5+Parameter!$H$6+Parameter!$H$7))-(AY101-AT101))/AT101)))</f>
        <v>1</v>
      </c>
      <c r="BA101" s="62" t="n">
        <f aca="false">IF(LEFT(Cockpit!$O$5,1)="A",H101,IF(Parameter!$E$30="MAX-Bestand",IF(CI101=1,CJ101,IF(LEFT(Cockpit!$O$5,1)="B",BG101,MAX(BG101,H101))),ROUNDUP(BE101,0)))</f>
        <v>3</v>
      </c>
      <c r="BB101" s="62" t="n">
        <f aca="false">IF(CA101=1,0,ROUNDUP(BA101/BZ101,0))</f>
        <v>1</v>
      </c>
      <c r="BC101" s="64" t="n">
        <f aca="false">IF(CR101&gt;0,CR101*MAX(1,BA101/X101),IF(CA101=1,IF(BA101&lt;=0,0,CE101*MAX(1,IF(H101&gt;0,BA101/H101,1))),IF(R101&gt;0,BB101/R101,0))/MAX(0.1,N(Parameter!$M$21)))</f>
        <v>0.0384615384615385</v>
      </c>
      <c r="BD101" s="62" t="n">
        <f aca="false">BC101*CC101</f>
        <v>5.96153846153846</v>
      </c>
      <c r="BE101" s="63" t="n">
        <f aca="false">IF(LEFT(Cockpit!$O$5,1)="A",H101,IF(CI101=1,(CL101+CJ101)/2,IF(LEFT(Cockpit!$O$5,1)="B",(CL101+BG101)/2,MAX((CL101+BG101)/2,H101))))</f>
        <v>2.5</v>
      </c>
      <c r="BF101" s="62" t="n">
        <f aca="false">BE101*G101</f>
        <v>417.675</v>
      </c>
      <c r="BG101" s="62" t="n">
        <f aca="false">ROUNDUP(CL101+MAX(CM101,2*(J101/IF(CH101&gt;0,CH101,MAX(0.1,N(Cockpit!$O$6)))-CL101)),0)</f>
        <v>5</v>
      </c>
      <c r="BH101" s="63" t="n">
        <f aca="false">IF(BD101&gt;0,J101/BD101,-1)</f>
        <v>1.00645161290323</v>
      </c>
      <c r="BI101" s="63" t="n">
        <f aca="false">IF(AND(OR(CG101="L1",CG101="L23",CG101="LIFT"),BD101&gt;0),SUMIFS($BD$7:$BD$1843,$CG$7:$CG$1843,CG101,$BH$7:$BH$1843,"&gt;"&amp;BH101)+SUMIFS($BD$7:$BD$1843,$CG$7:$CG$1843,CG101,$BH$7:$BH$1843,BH101,$BX$7:$BX$1843,"&lt;="&amp;BX101),"")</f>
        <v>7642.35485347985</v>
      </c>
      <c r="BJ101" s="70" t="n">
        <f aca="false">IF(BI101="",0,MAX(0,MIN(1,(IF(CG101="L1",Parameter!$H$5,IF(CG101="L23",Parameter!$H$6+Parameter!$H$7,Parameter!$H$5+Parameter!$H$6+Parameter!$H$7))-(BI101-BD101))/BD101)))</f>
        <v>1</v>
      </c>
      <c r="BK101" s="60" t="str">
        <f aca="false">IF(AJ101&lt;=0,"",IF(CG101="Aussen","Aussenlager",IF(CG101="-","Nicht im Lift",IF(AP101&gt;=1,"Lift",IF(AP101&lt;=0,"Aussenlager","teilweise")))))</f>
        <v>Lift</v>
      </c>
      <c r="BL101" s="60" t="str">
        <f aca="false">IF(AT101&lt;=0,"",IF(CG101="Aussen","Aussenlager",IF(CG101="-","Nicht im Lift",IF(AZ101&gt;=1,"Lift",IF(AZ101&lt;=0,"Aussenlager","teilweise")))))</f>
        <v>Lift</v>
      </c>
      <c r="BM101" s="60" t="str">
        <f aca="false">IF(BD101&lt;=0,"",IF(CG101="Aussen","Aussenlager",IF(CG101="-","Nicht im Lift",IF(BJ101&gt;=1,"Lift",IF(BJ101&lt;=0,"Aussenlager","teilweise")))))</f>
        <v>Lift</v>
      </c>
      <c r="BN101" s="60" t="str">
        <f aca="false">IF(A101="","",IF(BW101=1,"Neu; ","")&amp;IF(AND(BW101=0,BR101&lt;0),"negativer Bestand (Export "&amp;BR101&amp;"); ","")&amp;IF(J101&lt;=0,"Kein Verbrauch; ","")&amp;IF(CR101&gt;0,"Lift "&amp;W101&amp;" lt. Liftbericht (Fach "&amp;X101&amp;" Stk); ",IF(CB101=1,"Gebinde geschätzt ("&amp;T101&amp;"); ",IF(CA101=1,"Lose – Tablare geschätzt; ","")))&amp;IF(H101&gt;AW101,"Überbestand "&amp;ROUND(H101-AW101,0)&amp;" Stk / CHF "&amp;ROUND((H101-AW101)*G101,0)&amp;"; ","")&amp;IF(AND(CI101=1,CJ101&lt;CK101),"MAX &lt; MB+LG; ","")&amp;IF(AND(CQ101&gt;0,CP101*10&gt;CQ101),"zu hoch für Tablar; ","")&amp;IF(AND(BW101=0,OR(CI101=1,AB101&lt;&gt;"",U101&lt;&gt;"",V101&lt;&gt;"",AC101&lt;&gt;"")),"manuell übersteuert; ","")&amp;IF(AND(CA101=0,R101=0),"Gebinde unbekannt / Stellmass fehlt; ","")&amp;IF(AND(CA101=0,N(V101)&lt;=0,N(Q101)&lt;=0),"Menge pro Gebinde fehlt (Ist = 1 Gebinde); ","")&amp;BV101)</f>
        <v>Überbestand 9 Stk / CHF 1504; </v>
      </c>
      <c r="BO101" s="60"/>
      <c r="BP101" s="60"/>
      <c r="BQ101" s="67"/>
      <c r="BR101" s="62" t="n">
        <v>14</v>
      </c>
      <c r="BS101" s="62" t="n">
        <v>0</v>
      </c>
      <c r="BT101" s="61" t="n">
        <v>2338.96</v>
      </c>
      <c r="BU101" s="62" t="n">
        <v>6</v>
      </c>
      <c r="BV101" s="60"/>
      <c r="BW101" s="65" t="n">
        <v>0</v>
      </c>
      <c r="BX101" s="65" t="n">
        <v>101</v>
      </c>
      <c r="BY101" s="60" t="str">
        <f aca="false">IF(U101&lt;&gt;"",UPPER(TRIM(U101)),IF(CB101=1,UPPER(VLOOKUP(T101,Parameter!$I$27:$K$29,2,0)),IF(P101="","LOSE",P101)))</f>
        <v>S51</v>
      </c>
      <c r="BZ101" s="62" t="n">
        <f aca="false">IF(BY101="LOSE",1,IF(N(V101)&gt;0,V101,IF(CB101=1,MAX(1,N(VLOOKUP(T101,Parameter!$I$27:$K$29,3,0)),H101,N(N101)),IF(N(Q101)&gt;0,Q101,MAX(1,H101)))))</f>
        <v>5</v>
      </c>
      <c r="CA101" s="65" t="n">
        <f aca="false">IF(BY101="LOSE",1,0)</f>
        <v>0</v>
      </c>
      <c r="CB101" s="65" t="n">
        <f aca="false">IF(AND(U101="",OR(P101="",P101="LOSE"),T101&lt;&gt;"",N(S101)&lt;=0,ISNUMBER(MATCH(T101,Parameter!$I$27:$I$29,0))),1,0)</f>
        <v>0</v>
      </c>
      <c r="CC101" s="65" t="n">
        <f aca="false">IF(CR101&gt;0,INDEX(Parameter!$H$5:$H$7,W101)/INDEX(Parameter!$E$5:$E$7,W101),IF(AND(CA101=0,N(IFERROR(VLOOKUP(BY101,'Gebinde-Kategorie'!$A$5:$N$45,14,0),0))&gt;0),VLOOKUP(BY101,'Gebinde-Kategorie'!$A$5:$N$45,14,0)*10+Parameter!$M$23,Parameter!$M$24))</f>
        <v>155</v>
      </c>
      <c r="CD101" s="60" t="str">
        <f aca="false">IF(AND(Parameter!$B$19="Ja",E101&lt;&gt;"",ISNUMBER(MATCH(E101,Parameter!$I$35:$I$52,0))),VLOOKUP(E101,Parameter!$I$35:$J$52,2,0),IFERROR(VLOOKUP(D101,Parameter!$A$35:$C$64,2,0),"Nein"))</f>
        <v>2+3</v>
      </c>
      <c r="CE101" s="64" t="n">
        <f aca="false">IF(CA101=0,0,IF(N(S101)&gt;0,S101,IFERROR(VLOOKUP(D101,Parameter!$A$35:$C$64,3,0)+0,0)))</f>
        <v>0</v>
      </c>
      <c r="CF101" s="60" t="n">
        <f aca="false">IF(AB101&lt;&gt;"",AB101,AA101)</f>
        <v>3</v>
      </c>
      <c r="CG101" s="60" t="str">
        <f aca="false">IF(OR(CF101=1,CF101=2,CF101=3),IF(Parameter!$E$27="Ja","LIFT",IF(CF101=1,"L1","L23")),IF(CF101="Aussen","Aussen","-"))</f>
        <v>LIFT</v>
      </c>
      <c r="CH101" s="71" t="n">
        <f aca="false">IF(N(AC101)&gt;0,AC101,0)</f>
        <v>0</v>
      </c>
      <c r="CI101" s="65" t="n">
        <f aca="false">IF(ISNUMBER(AF101),1,0)</f>
        <v>0</v>
      </c>
      <c r="CJ101" s="62" t="n">
        <f aca="false">N(AF101)</f>
        <v>0</v>
      </c>
      <c r="CK101" s="62" t="n">
        <f aca="false">N(M101)+N(N101)</f>
        <v>5</v>
      </c>
      <c r="CL101" s="62" t="n">
        <f aca="false">N(M101)</f>
        <v>0</v>
      </c>
      <c r="CM101" s="62" t="n">
        <f aca="false">N(N101)</f>
        <v>5</v>
      </c>
      <c r="CN101" s="62" t="n">
        <f aca="false">ROUNDUP(H101/BZ101,0)</f>
        <v>3</v>
      </c>
      <c r="CO101" s="62" t="n">
        <f aca="false">ROUNDUP(CJ101/BZ101,0)</f>
        <v>0</v>
      </c>
      <c r="CP101" s="65" t="n">
        <f aca="false">IF(CA101=1,0,IFERROR(VLOOKUP(BY101,'Gebinde-Kategorie'!$A$5:$N$45,5,0)+0,0))</f>
        <v>11</v>
      </c>
      <c r="CQ101" s="65" t="n">
        <f aca="false">IFERROR(IF(OR(CF101=1,CF101=2,CF101=3),N(INDEX(Parameter!$I$5:$I$7,CF101)),0),0)</f>
        <v>0</v>
      </c>
      <c r="CR101" s="64" t="n">
        <f aca="false">IF(AND(Parameter!$B$21="Ja",ISNUMBER(W101),N(X101)&gt;0),IFERROR(N(INDEX(Parameter!$L$5:$L$7,W101))*INDEX(Parameter!$E$5:$E$7,W101)*X101/SUMIFS($X$7:$X$1843,$W$7:$W$1843,W101),0),0)</f>
        <v>0</v>
      </c>
      <c r="CS101" s="62" t="n">
        <f aca="false">IF(AND(OR(CG101="L1",CG101="L23",CG101="LIFT"),H101&gt;0),CC101*IF(CR101&gt;0,CR101*MAX(1,H101/X101),IF(CA101=1,CE101,IF(R101&gt;0,CN101/R101,0))/MAX(0.1,N(Parameter!$M$21))),"")</f>
        <v>17.8846153846154</v>
      </c>
      <c r="CT101" s="64" t="n">
        <f aca="false">IF(CS101="","",J101/H101)</f>
        <v>0.428571428571429</v>
      </c>
      <c r="CU101" s="62" t="n">
        <f aca="false">IF(CS101="","",H101*G101)</f>
        <v>2338.98</v>
      </c>
      <c r="CV101" s="63" t="n">
        <f aca="false">IF(CS101="","",(CL101+ROUNDUP(CL101+MAX(CM101,2*(J101/MAX(0.1,N(Einkauf!$C$6))-CL101)),0))/2)</f>
        <v>2.5</v>
      </c>
      <c r="CW101" s="62" t="n">
        <f aca="false">IF(CS101="","",MAX(0,H101-CV101)*G101)</f>
        <v>1921.305</v>
      </c>
      <c r="CX101" s="62" t="n">
        <f aca="false">IF(CS101="","",CS101*MAX(0,1-CV101/H101))</f>
        <v>14.6909340659341</v>
      </c>
      <c r="CY101" s="64" t="n">
        <f aca="false">IF(CS101="","",PERCENTRANK($CS$7:$CS$1843,CS101)+PERCENTRANK($CU$7:$CU$1843,CU101)+1-PERCENTRANK($CT$7:$CT$1843,CT101))</f>
        <v>2.018</v>
      </c>
      <c r="CZ101" s="72" t="n">
        <f aca="false">IF(CS101="","",CHOOSE(MATCH(Einkauf!$C$5,Parameter!$G$23:$G$27,0),CY101,CS101,CU101,-CT101,CW101)+ROW()/1000000000)</f>
        <v>2.018000101</v>
      </c>
    </row>
    <row r="102" customFormat="false" ht="15" hidden="false" customHeight="false" outlineLevel="0" collapsed="false">
      <c r="A102" s="60" t="s">
        <v>458</v>
      </c>
      <c r="B102" s="60" t="s">
        <v>459</v>
      </c>
      <c r="C102" s="60" t="s">
        <v>206</v>
      </c>
      <c r="D102" s="60" t="s">
        <v>215</v>
      </c>
      <c r="E102" s="60" t="s">
        <v>227</v>
      </c>
      <c r="F102" s="60" t="s">
        <v>260</v>
      </c>
      <c r="G102" s="61" t="n">
        <v>178.31</v>
      </c>
      <c r="H102" s="62" t="n">
        <f aca="false">MAX(0,IF(AND(Parameter!$B$21="Ja",ISNUMBER(Y102)),Y102,IF(Parameter!$B$20="Jahresanfang 2025 + Export",BS102+BR102,BR102)))</f>
        <v>17</v>
      </c>
      <c r="I102" s="62" t="n">
        <f aca="false">H102*G102</f>
        <v>3031.27</v>
      </c>
      <c r="J102" s="62" t="n">
        <f aca="false">BU102*Parameter!$B$18</f>
        <v>12</v>
      </c>
      <c r="K102" s="63" t="n">
        <v>12</v>
      </c>
      <c r="L102" s="64" t="n">
        <v>1</v>
      </c>
      <c r="M102" s="62" t="n">
        <v>0</v>
      </c>
      <c r="N102" s="62" t="n">
        <v>50</v>
      </c>
      <c r="O102" s="65" t="n">
        <v>14</v>
      </c>
      <c r="P102" s="60" t="s">
        <v>265</v>
      </c>
      <c r="Q102" s="62" t="n">
        <v>15</v>
      </c>
      <c r="R102" s="65" t="n">
        <f aca="false">IF(CA102=1,0,IFERROR(VLOOKUP(BY102,'Gebinde-Kategorie'!$A$5:$N$45,13,0)+0,0))</f>
        <v>4</v>
      </c>
      <c r="S102" s="66"/>
      <c r="T102" s="67"/>
      <c r="U102" s="67"/>
      <c r="V102" s="67"/>
      <c r="W102" s="60"/>
      <c r="X102" s="62"/>
      <c r="Y102" s="62"/>
      <c r="Z102" s="60" t="n">
        <v>2</v>
      </c>
      <c r="AA102" s="60" t="n">
        <f aca="false">IF(A102="","",IF(AND(Parameter!$B$21="Ja",ISNUMBER(W102)),W102,IF(AND(Parameter!$E$27="Ja",ISNUMBER(Z102),CD102&lt;&gt;"Nein"),Z102,IF(CD102="2+3",IF(ISNUMBER(SEARCH("grosser Artikel",BV102)),2,IFERROR(VLOOKUP(BY102,Parameter!$F$35:$G$64,2,0),2)),IF(OR(CD102="Nein",CD102=""),"-",CD102)))))</f>
        <v>2</v>
      </c>
      <c r="AB102" s="67"/>
      <c r="AC102" s="68"/>
      <c r="AD102" s="62" t="n">
        <f aca="false">AW102</f>
        <v>50</v>
      </c>
      <c r="AE102" s="62" t="n">
        <f aca="false">MAX(AW102,H102)</f>
        <v>50</v>
      </c>
      <c r="AF102" s="69"/>
      <c r="AG102" s="62" t="n">
        <f aca="false">IF(LEFT(Cockpit!$C$5,1)="A",H102,IF(Parameter!$E$30="MAX-Bestand",IF(CI102=1,CJ102,IF(LEFT(Cockpit!$C$5,1)="B",AM102,MAX(AM102,H102))),ROUNDUP(AK102,0)))</f>
        <v>17</v>
      </c>
      <c r="AH102" s="62" t="n">
        <f aca="false">IF(CA102=1,0,ROUNDUP(AG102/BZ102,0))</f>
        <v>2</v>
      </c>
      <c r="AI102" s="64" t="n">
        <f aca="false">IF(CR102&gt;0,CR102*MAX(1,AG102/X102),IF(CA102=1,IF(AG102&lt;=0,0,CE102*MAX(1,IF(H102&gt;0,AG102/H102,1))),IF(R102&gt;0,AH102/R102,0))/MAX(0.1,N(Parameter!$M$21)))</f>
        <v>0.5</v>
      </c>
      <c r="AJ102" s="62" t="n">
        <f aca="false">AI102*CC102</f>
        <v>117.5</v>
      </c>
      <c r="AK102" s="63" t="n">
        <f aca="false">IF(LEFT(Cockpit!$C$5,1)="A",H102,IF(CI102=1,(CL102+CJ102)/2,IF(LEFT(Cockpit!$C$5,1)="B",(CL102+AM102)/2,MAX((CL102+AM102)/2,H102))))</f>
        <v>17</v>
      </c>
      <c r="AL102" s="62" t="n">
        <f aca="false">AK102*G102</f>
        <v>3031.27</v>
      </c>
      <c r="AM102" s="62" t="n">
        <f aca="false">ROUNDUP(CL102+MAX(CM102,2*(J102/IF(CH102&gt;0,CH102,MAX(0.1,N(Cockpit!$C$6)))-CL102)),0)</f>
        <v>50</v>
      </c>
      <c r="AN102" s="63" t="n">
        <f aca="false">IF(AJ102&gt;0,J102/AJ102,-1)</f>
        <v>0.102127659574468</v>
      </c>
      <c r="AO102" s="63" t="n">
        <f aca="false">IF(AND(OR(CG102="L1",CG102="L23",CG102="LIFT"),AJ102&gt;0),SUMIFS($AJ$7:$AJ$1843,$CG$7:$CG$1843,CG102,$AN$7:$AN$1843,"&gt;"&amp;AN102)+SUMIFS($AJ$7:$AJ$1843,$CG$7:$CG$1843,CG102,$AN$7:$AN$1843,AN102,$BX$7:$BX$1843,"&lt;="&amp;BX102),"")</f>
        <v>15736.4344306823</v>
      </c>
      <c r="AP102" s="70" t="n">
        <f aca="false">IF(AO102="",0,MAX(0,MIN(1,(IF(CG102="L1",Parameter!$H$5,IF(CG102="L23",Parameter!$H$6+Parameter!$H$7,Parameter!$H$5+Parameter!$H$6+Parameter!$H$7))-(AO102-AJ102))/AJ102)))</f>
        <v>1</v>
      </c>
      <c r="AQ102" s="62" t="n">
        <f aca="false">IF(LEFT(Cockpit!$I$5,1)="A",H102,IF(Parameter!$E$30="MAX-Bestand",IF(CI102=1,CJ102,IF(LEFT(Cockpit!$I$5,1)="B",AW102,MAX(AW102,H102))),ROUNDUP(AU102,0)))</f>
        <v>25</v>
      </c>
      <c r="AR102" s="62" t="n">
        <f aca="false">IF(CA102=1,0,ROUNDUP(AQ102/BZ102,0))</f>
        <v>2</v>
      </c>
      <c r="AS102" s="64" t="n">
        <f aca="false">IF(CR102&gt;0,CR102*MAX(1,AQ102/X102),IF(CA102=1,IF(AQ102&lt;=0,0,CE102*MAX(1,IF(H102&gt;0,AQ102/H102,1))),IF(R102&gt;0,AR102/R102,0))/MAX(0.1,N(Parameter!$M$21)))</f>
        <v>0.5</v>
      </c>
      <c r="AT102" s="62" t="n">
        <f aca="false">AS102*CC102</f>
        <v>117.5</v>
      </c>
      <c r="AU102" s="63" t="n">
        <f aca="false">IF(LEFT(Cockpit!$I$5,1)="A",H102,IF(CI102=1,(CL102+CJ102)/2,IF(LEFT(Cockpit!$I$5,1)="B",(CL102+AW102)/2,MAX((CL102+AW102)/2,H102))))</f>
        <v>25</v>
      </c>
      <c r="AV102" s="62" t="n">
        <f aca="false">AU102*G102</f>
        <v>4457.75</v>
      </c>
      <c r="AW102" s="62" t="n">
        <f aca="false">ROUNDUP(CL102+MAX(CM102,2*(J102/IF(CH102&gt;0,CH102,MAX(0.1,N(Cockpit!$I$6)))-CL102)),0)</f>
        <v>50</v>
      </c>
      <c r="AX102" s="63" t="n">
        <f aca="false">IF(AT102&gt;0,J102/AT102,-1)</f>
        <v>0.102127659574468</v>
      </c>
      <c r="AY102" s="63" t="n">
        <f aca="false">IF(AND(OR(CG102="L1",CG102="L23",CG102="LIFT"),AT102&gt;0),SUMIFS($AT$7:$AT$1843,$CG$7:$CG$1843,CG102,$AX$7:$AX$1843,"&gt;"&amp;AX102)+SUMIFS($AT$7:$AT$1843,$CG$7:$CG$1843,CG102,$AX$7:$AX$1843,AX102,$BX$7:$BX$1843,"&lt;="&amp;BX102),"")</f>
        <v>19760.8330720598</v>
      </c>
      <c r="AZ102" s="70" t="n">
        <f aca="false">IF(AY102="",0,MAX(0,MIN(1,(IF(CG102="L1",Parameter!$H$5,IF(CG102="L23",Parameter!$H$6+Parameter!$H$7,Parameter!$H$5+Parameter!$H$6+Parameter!$H$7))-(AY102-AT102))/AT102)))</f>
        <v>1</v>
      </c>
      <c r="BA102" s="62" t="n">
        <f aca="false">IF(LEFT(Cockpit!$O$5,1)="A",H102,IF(Parameter!$E$30="MAX-Bestand",IF(CI102=1,CJ102,IF(LEFT(Cockpit!$O$5,1)="B",BG102,MAX(BG102,H102))),ROUNDUP(BE102,0)))</f>
        <v>25</v>
      </c>
      <c r="BB102" s="62" t="n">
        <f aca="false">IF(CA102=1,0,ROUNDUP(BA102/BZ102,0))</f>
        <v>2</v>
      </c>
      <c r="BC102" s="64" t="n">
        <f aca="false">IF(CR102&gt;0,CR102*MAX(1,BA102/X102),IF(CA102=1,IF(BA102&lt;=0,0,CE102*MAX(1,IF(H102&gt;0,BA102/H102,1))),IF(R102&gt;0,BB102/R102,0))/MAX(0.1,N(Parameter!$M$21)))</f>
        <v>0.5</v>
      </c>
      <c r="BD102" s="62" t="n">
        <f aca="false">BC102*CC102</f>
        <v>117.5</v>
      </c>
      <c r="BE102" s="63" t="n">
        <f aca="false">IF(LEFT(Cockpit!$O$5,1)="A",H102,IF(CI102=1,(CL102+CJ102)/2,IF(LEFT(Cockpit!$O$5,1)="B",(CL102+BG102)/2,MAX((CL102+BG102)/2,H102))))</f>
        <v>25</v>
      </c>
      <c r="BF102" s="62" t="n">
        <f aca="false">BE102*G102</f>
        <v>4457.75</v>
      </c>
      <c r="BG102" s="62" t="n">
        <f aca="false">ROUNDUP(CL102+MAX(CM102,2*(J102/IF(CH102&gt;0,CH102,MAX(0.1,N(Cockpit!$O$6)))-CL102)),0)</f>
        <v>50</v>
      </c>
      <c r="BH102" s="63" t="n">
        <f aca="false">IF(BD102&gt;0,J102/BD102,-1)</f>
        <v>0.102127659574468</v>
      </c>
      <c r="BI102" s="63" t="n">
        <f aca="false">IF(AND(OR(CG102="L1",CG102="L23",CG102="LIFT"),BD102&gt;0),SUMIFS($BD$7:$BD$1843,$CG$7:$CG$1843,CG102,$BH$7:$BH$1843,"&gt;"&amp;BH102)+SUMIFS($BD$7:$BD$1843,$CG$7:$CG$1843,CG102,$BH$7:$BH$1843,BH102,$BX$7:$BX$1843,"&lt;="&amp;BX102),"")</f>
        <v>17390.3956845885</v>
      </c>
      <c r="BJ102" s="70" t="n">
        <f aca="false">IF(BI102="",0,MAX(0,MIN(1,(IF(CG102="L1",Parameter!$H$5,IF(CG102="L23",Parameter!$H$6+Parameter!$H$7,Parameter!$H$5+Parameter!$H$6+Parameter!$H$7))-(BI102-BD102))/BD102)))</f>
        <v>1</v>
      </c>
      <c r="BK102" s="60" t="str">
        <f aca="false">IF(AJ102&lt;=0,"",IF(CG102="Aussen","Aussenlager",IF(CG102="-","Nicht im Lift",IF(AP102&gt;=1,"Lift",IF(AP102&lt;=0,"Aussenlager","teilweise")))))</f>
        <v>Lift</v>
      </c>
      <c r="BL102" s="60" t="str">
        <f aca="false">IF(AT102&lt;=0,"",IF(CG102="Aussen","Aussenlager",IF(CG102="-","Nicht im Lift",IF(AZ102&gt;=1,"Lift",IF(AZ102&lt;=0,"Aussenlager","teilweise")))))</f>
        <v>Lift</v>
      </c>
      <c r="BM102" s="60" t="str">
        <f aca="false">IF(BD102&lt;=0,"",IF(CG102="Aussen","Aussenlager",IF(CG102="-","Nicht im Lift",IF(BJ102&gt;=1,"Lift",IF(BJ102&lt;=0,"Aussenlager","teilweise")))))</f>
        <v>Lift</v>
      </c>
      <c r="BN102" s="60" t="str">
        <f aca="false">IF(A102="","",IF(BW102=1,"Neu; ","")&amp;IF(AND(BW102=0,BR102&lt;0),"negativer Bestand (Export "&amp;BR102&amp;"); ","")&amp;IF(J102&lt;=0,"Kein Verbrauch; ","")&amp;IF(CR102&gt;0,"Lift "&amp;W102&amp;" lt. Liftbericht (Fach "&amp;X102&amp;" Stk); ",IF(CB102=1,"Gebinde geschätzt ("&amp;T102&amp;"); ",IF(CA102=1,"Lose – Tablare geschätzt; ","")))&amp;IF(H102&gt;AW102,"Überbestand "&amp;ROUND(H102-AW102,0)&amp;" Stk / CHF "&amp;ROUND((H102-AW102)*G102,0)&amp;"; ","")&amp;IF(AND(CI102=1,CJ102&lt;CK102),"MAX &lt; MB+LG; ","")&amp;IF(AND(CQ102&gt;0,CP102*10&gt;CQ102),"zu hoch für Tablar; ","")&amp;IF(AND(BW102=0,OR(CI102=1,AB102&lt;&gt;"",U102&lt;&gt;"",V102&lt;&gt;"",AC102&lt;&gt;"")),"manuell übersteuert; ","")&amp;IF(AND(CA102=0,R102=0),"Gebinde unbekannt / Stellmass fehlt; ","")&amp;IF(AND(CA102=0,N(V102)&lt;=0,N(Q102)&lt;=0),"Menge pro Gebinde fehlt (Ist = 1 Gebinde); ","")&amp;BV102)</f>
        <v>grosser Artikel &amp; nicht im KTL</v>
      </c>
      <c r="BO102" s="60"/>
      <c r="BP102" s="60"/>
      <c r="BQ102" s="67"/>
      <c r="BR102" s="62" t="n">
        <v>13</v>
      </c>
      <c r="BS102" s="62" t="n">
        <v>4</v>
      </c>
      <c r="BT102" s="61" t="n">
        <v>2328.73</v>
      </c>
      <c r="BU102" s="62" t="n">
        <v>12</v>
      </c>
      <c r="BV102" s="60" t="s">
        <v>303</v>
      </c>
      <c r="BW102" s="65" t="n">
        <v>0</v>
      </c>
      <c r="BX102" s="65" t="n">
        <v>102</v>
      </c>
      <c r="BY102" s="60" t="str">
        <f aca="false">IF(U102&lt;&gt;"",UPPER(TRIM(U102)),IF(CB102=1,UPPER(VLOOKUP(T102,Parameter!$I$27:$K$29,2,0)),IF(P102="","LOSE",P102)))</f>
        <v>S81</v>
      </c>
      <c r="BZ102" s="62" t="n">
        <f aca="false">IF(BY102="LOSE",1,IF(N(V102)&gt;0,V102,IF(CB102=1,MAX(1,N(VLOOKUP(T102,Parameter!$I$27:$K$29,3,0)),H102,N(N102)),IF(N(Q102)&gt;0,Q102,MAX(1,H102)))))</f>
        <v>15</v>
      </c>
      <c r="CA102" s="65" t="n">
        <f aca="false">IF(BY102="LOSE",1,0)</f>
        <v>0</v>
      </c>
      <c r="CB102" s="65" t="n">
        <f aca="false">IF(AND(U102="",OR(P102="",P102="LOSE"),T102&lt;&gt;"",N(S102)&lt;=0,ISNUMBER(MATCH(T102,Parameter!$I$27:$I$29,0))),1,0)</f>
        <v>0</v>
      </c>
      <c r="CC102" s="65" t="n">
        <f aca="false">IF(CR102&gt;0,INDEX(Parameter!$H$5:$H$7,W102)/INDEX(Parameter!$E$5:$E$7,W102),IF(AND(CA102=0,N(IFERROR(VLOOKUP(BY102,'Gebinde-Kategorie'!$A$5:$N$45,14,0),0))&gt;0),VLOOKUP(BY102,'Gebinde-Kategorie'!$A$5:$N$45,14,0)*10+Parameter!$M$23,Parameter!$M$24))</f>
        <v>235</v>
      </c>
      <c r="CD102" s="60" t="str">
        <f aca="false">IF(AND(Parameter!$B$19="Ja",E102&lt;&gt;"",ISNUMBER(MATCH(E102,Parameter!$I$35:$I$52,0))),VLOOKUP(E102,Parameter!$I$35:$J$52,2,0),IFERROR(VLOOKUP(D102,Parameter!$A$35:$C$64,2,0),"Nein"))</f>
        <v>2+3</v>
      </c>
      <c r="CE102" s="64" t="n">
        <f aca="false">IF(CA102=0,0,IF(N(S102)&gt;0,S102,IFERROR(VLOOKUP(D102,Parameter!$A$35:$C$64,3,0)+0,0)))</f>
        <v>0</v>
      </c>
      <c r="CF102" s="60" t="n">
        <f aca="false">IF(AB102&lt;&gt;"",AB102,AA102)</f>
        <v>2</v>
      </c>
      <c r="CG102" s="60" t="str">
        <f aca="false">IF(OR(CF102=1,CF102=2,CF102=3),IF(Parameter!$E$27="Ja","LIFT",IF(CF102=1,"L1","L23")),IF(CF102="Aussen","Aussen","-"))</f>
        <v>LIFT</v>
      </c>
      <c r="CH102" s="71" t="n">
        <f aca="false">IF(N(AC102)&gt;0,AC102,0)</f>
        <v>0</v>
      </c>
      <c r="CI102" s="65" t="n">
        <f aca="false">IF(ISNUMBER(AF102),1,0)</f>
        <v>0</v>
      </c>
      <c r="CJ102" s="62" t="n">
        <f aca="false">N(AF102)</f>
        <v>0</v>
      </c>
      <c r="CK102" s="62" t="n">
        <f aca="false">N(M102)+N(N102)</f>
        <v>50</v>
      </c>
      <c r="CL102" s="62" t="n">
        <f aca="false">N(M102)</f>
        <v>0</v>
      </c>
      <c r="CM102" s="62" t="n">
        <f aca="false">N(N102)</f>
        <v>50</v>
      </c>
      <c r="CN102" s="62" t="n">
        <f aca="false">ROUNDUP(H102/BZ102,0)</f>
        <v>2</v>
      </c>
      <c r="CO102" s="62" t="n">
        <f aca="false">ROUNDUP(CJ102/BZ102,0)</f>
        <v>0</v>
      </c>
      <c r="CP102" s="65" t="n">
        <f aca="false">IF(CA102=1,0,IFERROR(VLOOKUP(BY102,'Gebinde-Kategorie'!$A$5:$N$45,5,0)+0,0))</f>
        <v>20</v>
      </c>
      <c r="CQ102" s="65" t="n">
        <f aca="false">IFERROR(IF(OR(CF102=1,CF102=2,CF102=3),N(INDEX(Parameter!$I$5:$I$7,CF102)),0),0)</f>
        <v>0</v>
      </c>
      <c r="CR102" s="64" t="n">
        <f aca="false">IF(AND(Parameter!$B$21="Ja",ISNUMBER(W102),N(X102)&gt;0),IFERROR(N(INDEX(Parameter!$L$5:$L$7,W102))*INDEX(Parameter!$E$5:$E$7,W102)*X102/SUMIFS($X$7:$X$1843,$W$7:$W$1843,W102),0),0)</f>
        <v>0</v>
      </c>
      <c r="CS102" s="62" t="n">
        <f aca="false">IF(AND(OR(CG102="L1",CG102="L23",CG102="LIFT"),H102&gt;0),CC102*IF(CR102&gt;0,CR102*MAX(1,H102/X102),IF(CA102=1,CE102,IF(R102&gt;0,CN102/R102,0))/MAX(0.1,N(Parameter!$M$21))),"")</f>
        <v>117.5</v>
      </c>
      <c r="CT102" s="64" t="n">
        <f aca="false">IF(CS102="","",J102/H102)</f>
        <v>0.705882352941177</v>
      </c>
      <c r="CU102" s="62" t="n">
        <f aca="false">IF(CS102="","",H102*G102)</f>
        <v>3031.27</v>
      </c>
      <c r="CV102" s="63" t="n">
        <f aca="false">IF(CS102="","",(CL102+ROUNDUP(CL102+MAX(CM102,2*(J102/MAX(0.1,N(Einkauf!$C$6))-CL102)),0))/2)</f>
        <v>25</v>
      </c>
      <c r="CW102" s="62" t="n">
        <f aca="false">IF(CS102="","",MAX(0,H102-CV102)*G102)</f>
        <v>0</v>
      </c>
      <c r="CX102" s="62" t="n">
        <f aca="false">IF(CS102="","",CS102*MAX(0,1-CV102/H102))</f>
        <v>0</v>
      </c>
      <c r="CY102" s="64" t="n">
        <f aca="false">IF(CS102="","",PERCENTRANK($CS$7:$CS$1843,CS102)+PERCENTRANK($CU$7:$CU$1843,CU102)+1-PERCENTRANK($CT$7:$CT$1843,CT102))</f>
        <v>2.204</v>
      </c>
      <c r="CZ102" s="72" t="n">
        <f aca="false">IF(CS102="","",CHOOSE(MATCH(Einkauf!$C$5,Parameter!$G$23:$G$27,0),CY102,CS102,CU102,-CT102,CW102)+ROW()/1000000000)</f>
        <v>2.204000102</v>
      </c>
    </row>
    <row r="103" customFormat="false" ht="15" hidden="false" customHeight="false" outlineLevel="0" collapsed="false">
      <c r="A103" s="60" t="s">
        <v>460</v>
      </c>
      <c r="B103" s="60" t="s">
        <v>461</v>
      </c>
      <c r="C103" s="60" t="s">
        <v>206</v>
      </c>
      <c r="D103" s="60" t="s">
        <v>215</v>
      </c>
      <c r="E103" s="60"/>
      <c r="F103" s="60" t="s">
        <v>260</v>
      </c>
      <c r="G103" s="61" t="n">
        <v>305.49</v>
      </c>
      <c r="H103" s="62" t="n">
        <f aca="false">MAX(0,IF(AND(Parameter!$B$21="Ja",ISNUMBER(Y103)),Y103,IF(Parameter!$B$20="Jahresanfang 2025 + Export",BS103+BR103,BR103)))</f>
        <v>41</v>
      </c>
      <c r="I103" s="62" t="n">
        <f aca="false">H103*G103</f>
        <v>12525.09</v>
      </c>
      <c r="J103" s="62" t="n">
        <f aca="false">BU103*Parameter!$B$18</f>
        <v>151</v>
      </c>
      <c r="K103" s="63" t="n">
        <v>41.5</v>
      </c>
      <c r="L103" s="64" t="n">
        <v>3.63855421686747</v>
      </c>
      <c r="M103" s="62" t="n">
        <v>15</v>
      </c>
      <c r="N103" s="62" t="n">
        <v>24</v>
      </c>
      <c r="O103" s="65" t="n">
        <v>28</v>
      </c>
      <c r="P103" s="60" t="s">
        <v>216</v>
      </c>
      <c r="Q103" s="62" t="n">
        <v>40</v>
      </c>
      <c r="R103" s="65" t="n">
        <f aca="false">IF(CA103=1,0,IFERROR(VLOOKUP(BY103,'Gebinde-Kategorie'!$A$5:$N$45,13,0)+0,0))</f>
        <v>6</v>
      </c>
      <c r="S103" s="66"/>
      <c r="T103" s="67"/>
      <c r="U103" s="67"/>
      <c r="V103" s="67"/>
      <c r="W103" s="60"/>
      <c r="X103" s="62"/>
      <c r="Y103" s="62"/>
      <c r="Z103" s="60" t="n">
        <v>2</v>
      </c>
      <c r="AA103" s="60" t="n">
        <f aca="false">IF(A103="","",IF(AND(Parameter!$B$21="Ja",ISNUMBER(W103)),W103,IF(AND(Parameter!$E$27="Ja",ISNUMBER(Z103),CD103&lt;&gt;"Nein"),Z103,IF(CD103="2+3",IF(ISNUMBER(SEARCH("grosser Artikel",BV103)),2,IFERROR(VLOOKUP(BY103,Parameter!$F$35:$G$64,2,0),2)),IF(OR(CD103="Nein",CD103=""),"-",CD103)))))</f>
        <v>2</v>
      </c>
      <c r="AB103" s="67"/>
      <c r="AC103" s="68"/>
      <c r="AD103" s="62" t="n">
        <f aca="false">AW103</f>
        <v>86</v>
      </c>
      <c r="AE103" s="62" t="n">
        <f aca="false">MAX(AW103,H103)</f>
        <v>86</v>
      </c>
      <c r="AF103" s="69"/>
      <c r="AG103" s="62" t="n">
        <f aca="false">IF(LEFT(Cockpit!$C$5,1)="A",H103,IF(Parameter!$E$30="MAX-Bestand",IF(CI103=1,CJ103,IF(LEFT(Cockpit!$C$5,1)="B",AM103,MAX(AM103,H103))),ROUNDUP(AK103,0)))</f>
        <v>41</v>
      </c>
      <c r="AH103" s="62" t="n">
        <f aca="false">IF(CA103=1,0,ROUNDUP(AG103/BZ103,0))</f>
        <v>2</v>
      </c>
      <c r="AI103" s="64" t="n">
        <f aca="false">IF(CR103&gt;0,CR103*MAX(1,AG103/X103),IF(CA103=1,IF(AG103&lt;=0,0,CE103*MAX(1,IF(H103&gt;0,AG103/H103,1))),IF(R103&gt;0,AH103/R103,0))/MAX(0.1,N(Parameter!$M$21)))</f>
        <v>0.333333333333333</v>
      </c>
      <c r="AJ103" s="62" t="n">
        <f aca="false">AI103*CC103</f>
        <v>78.3333333333333</v>
      </c>
      <c r="AK103" s="63" t="n">
        <f aca="false">IF(LEFT(Cockpit!$C$5,1)="A",H103,IF(CI103=1,(CL103+CJ103)/2,IF(LEFT(Cockpit!$C$5,1)="B",(CL103+AM103)/2,MAX((CL103+AM103)/2,H103))))</f>
        <v>41</v>
      </c>
      <c r="AL103" s="62" t="n">
        <f aca="false">AK103*G103</f>
        <v>12525.09</v>
      </c>
      <c r="AM103" s="62" t="n">
        <f aca="false">ROUNDUP(CL103+MAX(CM103,2*(J103/IF(CH103&gt;0,CH103,MAX(0.1,N(Cockpit!$C$6)))-CL103)),0)</f>
        <v>86</v>
      </c>
      <c r="AN103" s="63" t="n">
        <f aca="false">IF(AJ103&gt;0,J103/AJ103,-1)</f>
        <v>1.92765957446809</v>
      </c>
      <c r="AO103" s="63" t="n">
        <f aca="false">IF(AND(OR(CG103="L1",CG103="L23",CG103="LIFT"),AJ103&gt;0),SUMIFS($AJ$7:$AJ$1843,$CG$7:$CG$1843,CG103,$AN$7:$AN$1843,"&gt;"&amp;AN103)+SUMIFS($AJ$7:$AJ$1843,$CG$7:$CG$1843,CG103,$AN$7:$AN$1843,AN103,$BX$7:$BX$1843,"&lt;="&amp;BX103),"")</f>
        <v>5941.76327838828</v>
      </c>
      <c r="AP103" s="70" t="n">
        <f aca="false">IF(AO103="",0,MAX(0,MIN(1,(IF(CG103="L1",Parameter!$H$5,IF(CG103="L23",Parameter!$H$6+Parameter!$H$7,Parameter!$H$5+Parameter!$H$6+Parameter!$H$7))-(AO103-AJ103))/AJ103)))</f>
        <v>1</v>
      </c>
      <c r="AQ103" s="62" t="n">
        <f aca="false">IF(LEFT(Cockpit!$I$5,1)="A",H103,IF(Parameter!$E$30="MAX-Bestand",IF(CI103=1,CJ103,IF(LEFT(Cockpit!$I$5,1)="B",AW103,MAX(AW103,H103))),ROUNDUP(AU103,0)))</f>
        <v>51</v>
      </c>
      <c r="AR103" s="62" t="n">
        <f aca="false">IF(CA103=1,0,ROUNDUP(AQ103/BZ103,0))</f>
        <v>2</v>
      </c>
      <c r="AS103" s="64" t="n">
        <f aca="false">IF(CR103&gt;0,CR103*MAX(1,AQ103/X103),IF(CA103=1,IF(AQ103&lt;=0,0,CE103*MAX(1,IF(H103&gt;0,AQ103/H103,1))),IF(R103&gt;0,AR103/R103,0))/MAX(0.1,N(Parameter!$M$21)))</f>
        <v>0.333333333333333</v>
      </c>
      <c r="AT103" s="62" t="n">
        <f aca="false">AS103*CC103</f>
        <v>78.3333333333333</v>
      </c>
      <c r="AU103" s="63" t="n">
        <f aca="false">IF(LEFT(Cockpit!$I$5,1)="A",H103,IF(CI103=1,(CL103+CJ103)/2,IF(LEFT(Cockpit!$I$5,1)="B",(CL103+AW103)/2,MAX((CL103+AW103)/2,H103))))</f>
        <v>50.5</v>
      </c>
      <c r="AV103" s="62" t="n">
        <f aca="false">AU103*G103</f>
        <v>15427.245</v>
      </c>
      <c r="AW103" s="62" t="n">
        <f aca="false">ROUNDUP(CL103+MAX(CM103,2*(J103/IF(CH103&gt;0,CH103,MAX(0.1,N(Cockpit!$I$6)))-CL103)),0)</f>
        <v>86</v>
      </c>
      <c r="AX103" s="63" t="n">
        <f aca="false">IF(AT103&gt;0,J103/AT103,-1)</f>
        <v>1.92765957446809</v>
      </c>
      <c r="AY103" s="63" t="n">
        <f aca="false">IF(AND(OR(CG103="L1",CG103="L23",CG103="LIFT"),AT103&gt;0),SUMIFS($AT$7:$AT$1843,$CG$7:$CG$1843,CG103,$AX$7:$AX$1843,"&gt;"&amp;AX103)+SUMIFS($AT$7:$AT$1843,$CG$7:$CG$1843,CG103,$AX$7:$AX$1843,AX103,$BX$7:$BX$1843,"&lt;="&amp;BX103),"")</f>
        <v>7391.36950549451</v>
      </c>
      <c r="AZ103" s="70" t="n">
        <f aca="false">IF(AY103="",0,MAX(0,MIN(1,(IF(CG103="L1",Parameter!$H$5,IF(CG103="L23",Parameter!$H$6+Parameter!$H$7,Parameter!$H$5+Parameter!$H$6+Parameter!$H$7))-(AY103-AT103))/AT103)))</f>
        <v>1</v>
      </c>
      <c r="BA103" s="62" t="n">
        <f aca="false">IF(LEFT(Cockpit!$O$5,1)="A",H103,IF(Parameter!$E$30="MAX-Bestand",IF(CI103=1,CJ103,IF(LEFT(Cockpit!$O$5,1)="B",BG103,MAX(BG103,H103))),ROUNDUP(BE103,0)))</f>
        <v>38</v>
      </c>
      <c r="BB103" s="62" t="n">
        <f aca="false">IF(CA103=1,0,ROUNDUP(BA103/BZ103,0))</f>
        <v>1</v>
      </c>
      <c r="BC103" s="64" t="n">
        <f aca="false">IF(CR103&gt;0,CR103*MAX(1,BA103/X103),IF(CA103=1,IF(BA103&lt;=0,0,CE103*MAX(1,IF(H103&gt;0,BA103/H103,1))),IF(R103&gt;0,BB103/R103,0))/MAX(0.1,N(Parameter!$M$21)))</f>
        <v>0.166666666666667</v>
      </c>
      <c r="BD103" s="62" t="n">
        <f aca="false">BC103*CC103</f>
        <v>39.1666666666667</v>
      </c>
      <c r="BE103" s="63" t="n">
        <f aca="false">IF(LEFT(Cockpit!$O$5,1)="A",H103,IF(CI103=1,(CL103+CJ103)/2,IF(LEFT(Cockpit!$O$5,1)="B",(CL103+BG103)/2,MAX((CL103+BG103)/2,H103))))</f>
        <v>38</v>
      </c>
      <c r="BF103" s="62" t="n">
        <f aca="false">BE103*G103</f>
        <v>11608.62</v>
      </c>
      <c r="BG103" s="62" t="n">
        <f aca="false">ROUNDUP(CL103+MAX(CM103,2*(J103/IF(CH103&gt;0,CH103,MAX(0.1,N(Cockpit!$O$6)))-CL103)),0)</f>
        <v>61</v>
      </c>
      <c r="BH103" s="63" t="n">
        <f aca="false">IF(BD103&gt;0,J103/BD103,-1)</f>
        <v>3.85531914893617</v>
      </c>
      <c r="BI103" s="63" t="n">
        <f aca="false">IF(AND(OR(CG103="L1",CG103="L23",CG103="LIFT"),BD103&gt;0),SUMIFS($BD$7:$BD$1843,$CG$7:$CG$1843,CG103,$BH$7:$BH$1843,"&gt;"&amp;BH103)+SUMIFS($BD$7:$BD$1843,$CG$7:$CG$1843,CG103,$BH$7:$BH$1843,BH103,$BX$7:$BX$1843,"&lt;="&amp;BX103),"")</f>
        <v>4315.84981684982</v>
      </c>
      <c r="BJ103" s="70" t="n">
        <f aca="false">IF(BI103="",0,MAX(0,MIN(1,(IF(CG103="L1",Parameter!$H$5,IF(CG103="L23",Parameter!$H$6+Parameter!$H$7,Parameter!$H$5+Parameter!$H$6+Parameter!$H$7))-(BI103-BD103))/BD103)))</f>
        <v>1</v>
      </c>
      <c r="BK103" s="60" t="str">
        <f aca="false">IF(AJ103&lt;=0,"",IF(CG103="Aussen","Aussenlager",IF(CG103="-","Nicht im Lift",IF(AP103&gt;=1,"Lift",IF(AP103&lt;=0,"Aussenlager","teilweise")))))</f>
        <v>Lift</v>
      </c>
      <c r="BL103" s="60" t="str">
        <f aca="false">IF(AT103&lt;=0,"",IF(CG103="Aussen","Aussenlager",IF(CG103="-","Nicht im Lift",IF(AZ103&gt;=1,"Lift",IF(AZ103&lt;=0,"Aussenlager","teilweise")))))</f>
        <v>Lift</v>
      </c>
      <c r="BM103" s="60" t="str">
        <f aca="false">IF(BD103&lt;=0,"",IF(CG103="Aussen","Aussenlager",IF(CG103="-","Nicht im Lift",IF(BJ103&gt;=1,"Lift",IF(BJ103&lt;=0,"Aussenlager","teilweise")))))</f>
        <v>Lift</v>
      </c>
      <c r="BN103" s="60" t="str">
        <f aca="false">IF(A103="","",IF(BW103=1,"Neu; ","")&amp;IF(AND(BW103=0,BR103&lt;0),"negativer Bestand (Export "&amp;BR103&amp;"); ","")&amp;IF(J103&lt;=0,"Kein Verbrauch; ","")&amp;IF(CR103&gt;0,"Lift "&amp;W103&amp;" lt. Liftbericht (Fach "&amp;X103&amp;" Stk); ",IF(CB103=1,"Gebinde geschätzt ("&amp;T103&amp;"); ",IF(CA103=1,"Lose – Tablare geschätzt; ","")))&amp;IF(H103&gt;AW103,"Überbestand "&amp;ROUND(H103-AW103,0)&amp;" Stk / CHF "&amp;ROUND((H103-AW103)*G103,0)&amp;"; ","")&amp;IF(AND(CI103=1,CJ103&lt;CK103),"MAX &lt; MB+LG; ","")&amp;IF(AND(CQ103&gt;0,CP103*10&gt;CQ103),"zu hoch für Tablar; ","")&amp;IF(AND(BW103=0,OR(CI103=1,AB103&lt;&gt;"",U103&lt;&gt;"",V103&lt;&gt;"",AC103&lt;&gt;"")),"manuell übersteuert; ","")&amp;IF(AND(CA103=0,R103=0),"Gebinde unbekannt / Stellmass fehlt; ","")&amp;IF(AND(CA103=0,N(V103)&lt;=0,N(Q103)&lt;=0),"Menge pro Gebinde fehlt (Ist = 1 Gebinde); ","")&amp;BV103)</f>
        <v/>
      </c>
      <c r="BO103" s="60"/>
      <c r="BP103" s="60"/>
      <c r="BQ103" s="67"/>
      <c r="BR103" s="62" t="n">
        <v>5</v>
      </c>
      <c r="BS103" s="62" t="n">
        <v>36</v>
      </c>
      <c r="BT103" s="61" t="n">
        <v>2316.92999999999</v>
      </c>
      <c r="BU103" s="62" t="n">
        <v>151</v>
      </c>
      <c r="BV103" s="60"/>
      <c r="BW103" s="65" t="n">
        <v>0</v>
      </c>
      <c r="BX103" s="65" t="n">
        <v>103</v>
      </c>
      <c r="BY103" s="60" t="str">
        <f aca="false">IF(U103&lt;&gt;"",UPPER(TRIM(U103)),IF(CB103=1,UPPER(VLOOKUP(T103,Parameter!$I$27:$K$29,2,0)),IF(P103="","LOSE",P103)))</f>
        <v>S71</v>
      </c>
      <c r="BZ103" s="62" t="n">
        <f aca="false">IF(BY103="LOSE",1,IF(N(V103)&gt;0,V103,IF(CB103=1,MAX(1,N(VLOOKUP(T103,Parameter!$I$27:$K$29,3,0)),H103,N(N103)),IF(N(Q103)&gt;0,Q103,MAX(1,H103)))))</f>
        <v>40</v>
      </c>
      <c r="CA103" s="65" t="n">
        <f aca="false">IF(BY103="LOSE",1,0)</f>
        <v>0</v>
      </c>
      <c r="CB103" s="65" t="n">
        <f aca="false">IF(AND(U103="",OR(P103="",P103="LOSE"),T103&lt;&gt;"",N(S103)&lt;=0,ISNUMBER(MATCH(T103,Parameter!$I$27:$I$29,0))),1,0)</f>
        <v>0</v>
      </c>
      <c r="CC103" s="65" t="n">
        <f aca="false">IF(CR103&gt;0,INDEX(Parameter!$H$5:$H$7,W103)/INDEX(Parameter!$E$5:$E$7,W103),IF(AND(CA103=0,N(IFERROR(VLOOKUP(BY103,'Gebinde-Kategorie'!$A$5:$N$45,14,0),0))&gt;0),VLOOKUP(BY103,'Gebinde-Kategorie'!$A$5:$N$45,14,0)*10+Parameter!$M$23,Parameter!$M$24))</f>
        <v>235</v>
      </c>
      <c r="CD103" s="60" t="str">
        <f aca="false">IF(AND(Parameter!$B$19="Ja",E103&lt;&gt;"",ISNUMBER(MATCH(E103,Parameter!$I$35:$I$52,0))),VLOOKUP(E103,Parameter!$I$35:$J$52,2,0),IFERROR(VLOOKUP(D103,Parameter!$A$35:$C$64,2,0),"Nein"))</f>
        <v>2+3</v>
      </c>
      <c r="CE103" s="64" t="n">
        <f aca="false">IF(CA103=0,0,IF(N(S103)&gt;0,S103,IFERROR(VLOOKUP(D103,Parameter!$A$35:$C$64,3,0)+0,0)))</f>
        <v>0</v>
      </c>
      <c r="CF103" s="60" t="n">
        <f aca="false">IF(AB103&lt;&gt;"",AB103,AA103)</f>
        <v>2</v>
      </c>
      <c r="CG103" s="60" t="str">
        <f aca="false">IF(OR(CF103=1,CF103=2,CF103=3),IF(Parameter!$E$27="Ja","LIFT",IF(CF103=1,"L1","L23")),IF(CF103="Aussen","Aussen","-"))</f>
        <v>LIFT</v>
      </c>
      <c r="CH103" s="71" t="n">
        <f aca="false">IF(N(AC103)&gt;0,AC103,0)</f>
        <v>0</v>
      </c>
      <c r="CI103" s="65" t="n">
        <f aca="false">IF(ISNUMBER(AF103),1,0)</f>
        <v>0</v>
      </c>
      <c r="CJ103" s="62" t="n">
        <f aca="false">N(AF103)</f>
        <v>0</v>
      </c>
      <c r="CK103" s="62" t="n">
        <f aca="false">N(M103)+N(N103)</f>
        <v>39</v>
      </c>
      <c r="CL103" s="62" t="n">
        <f aca="false">N(M103)</f>
        <v>15</v>
      </c>
      <c r="CM103" s="62" t="n">
        <f aca="false">N(N103)</f>
        <v>24</v>
      </c>
      <c r="CN103" s="62" t="n">
        <f aca="false">ROUNDUP(H103/BZ103,0)</f>
        <v>2</v>
      </c>
      <c r="CO103" s="62" t="n">
        <f aca="false">ROUNDUP(CJ103/BZ103,0)</f>
        <v>0</v>
      </c>
      <c r="CP103" s="65" t="n">
        <f aca="false">IF(CA103=1,0,IFERROR(VLOOKUP(BY103,'Gebinde-Kategorie'!$A$5:$N$45,5,0)+0,0))</f>
        <v>20</v>
      </c>
      <c r="CQ103" s="65" t="n">
        <f aca="false">IFERROR(IF(OR(CF103=1,CF103=2,CF103=3),N(INDEX(Parameter!$I$5:$I$7,CF103)),0),0)</f>
        <v>0</v>
      </c>
      <c r="CR103" s="64" t="n">
        <f aca="false">IF(AND(Parameter!$B$21="Ja",ISNUMBER(W103),N(X103)&gt;0),IFERROR(N(INDEX(Parameter!$L$5:$L$7,W103))*INDEX(Parameter!$E$5:$E$7,W103)*X103/SUMIFS($X$7:$X$1843,$W$7:$W$1843,W103),0),0)</f>
        <v>0</v>
      </c>
      <c r="CS103" s="62" t="n">
        <f aca="false">IF(AND(OR(CG103="L1",CG103="L23",CG103="LIFT"),H103&gt;0),CC103*IF(CR103&gt;0,CR103*MAX(1,H103/X103),IF(CA103=1,CE103,IF(R103&gt;0,CN103/R103,0))/MAX(0.1,N(Parameter!$M$21))),"")</f>
        <v>78.3333333333333</v>
      </c>
      <c r="CT103" s="64" t="n">
        <f aca="false">IF(CS103="","",J103/H103)</f>
        <v>3.68292682926829</v>
      </c>
      <c r="CU103" s="62" t="n">
        <f aca="false">IF(CS103="","",H103*G103)</f>
        <v>12525.09</v>
      </c>
      <c r="CV103" s="63" t="n">
        <f aca="false">IF(CS103="","",(CL103+ROUNDUP(CL103+MAX(CM103,2*(J103/MAX(0.1,N(Einkauf!$C$6))-CL103)),0))/2)</f>
        <v>38</v>
      </c>
      <c r="CW103" s="62" t="n">
        <f aca="false">IF(CS103="","",MAX(0,H103-CV103)*G103)</f>
        <v>916.47</v>
      </c>
      <c r="CX103" s="62" t="n">
        <f aca="false">IF(CS103="","",CS103*MAX(0,1-CV103/H103))</f>
        <v>5.73170731707317</v>
      </c>
      <c r="CY103" s="64" t="n">
        <f aca="false">IF(CS103="","",PERCENTRANK($CS$7:$CS$1843,CS103)+PERCENTRANK($CU$7:$CU$1843,CU103)+1-PERCENTRANK($CT$7:$CT$1843,CT103))</f>
        <v>1.986</v>
      </c>
      <c r="CZ103" s="72" t="n">
        <f aca="false">IF(CS103="","",CHOOSE(MATCH(Einkauf!$C$5,Parameter!$G$23:$G$27,0),CY103,CS103,CU103,-CT103,CW103)+ROW()/1000000000)</f>
        <v>1.986000103</v>
      </c>
    </row>
    <row r="104" customFormat="false" ht="15" hidden="false" customHeight="false" outlineLevel="0" collapsed="false">
      <c r="A104" s="60" t="s">
        <v>462</v>
      </c>
      <c r="B104" s="60" t="s">
        <v>416</v>
      </c>
      <c r="C104" s="60" t="s">
        <v>206</v>
      </c>
      <c r="D104" s="60" t="s">
        <v>226</v>
      </c>
      <c r="E104" s="60" t="s">
        <v>227</v>
      </c>
      <c r="F104" s="60" t="s">
        <v>260</v>
      </c>
      <c r="G104" s="61" t="n">
        <v>12.37</v>
      </c>
      <c r="H104" s="62" t="n">
        <f aca="false">MAX(0,IF(AND(Parameter!$B$21="Ja",ISNUMBER(Y104)),Y104,IF(Parameter!$B$20="Jahresanfang 2025 + Export",BS104+BR104,BR104)))</f>
        <v>377</v>
      </c>
      <c r="I104" s="62" t="n">
        <f aca="false">H104*G104</f>
        <v>4663.49</v>
      </c>
      <c r="J104" s="62" t="n">
        <f aca="false">BU104*Parameter!$B$18</f>
        <v>1024</v>
      </c>
      <c r="K104" s="63" t="n">
        <v>264</v>
      </c>
      <c r="L104" s="64" t="n">
        <v>3.87878787878788</v>
      </c>
      <c r="M104" s="62" t="n">
        <v>65</v>
      </c>
      <c r="N104" s="62" t="n">
        <v>500</v>
      </c>
      <c r="O104" s="65" t="n">
        <v>21</v>
      </c>
      <c r="P104" s="60" t="s">
        <v>463</v>
      </c>
      <c r="Q104" s="62" t="n">
        <v>574</v>
      </c>
      <c r="R104" s="65" t="n">
        <f aca="false">IF(CA104=1,0,IFERROR(VLOOKUP(BY104,'Gebinde-Kategorie'!$A$5:$N$45,13,0)+0,0))</f>
        <v>104</v>
      </c>
      <c r="S104" s="66"/>
      <c r="T104" s="67"/>
      <c r="U104" s="67"/>
      <c r="V104" s="67"/>
      <c r="W104" s="60"/>
      <c r="X104" s="62"/>
      <c r="Y104" s="62"/>
      <c r="Z104" s="60" t="n">
        <v>1</v>
      </c>
      <c r="AA104" s="60" t="n">
        <f aca="false">IF(A104="","",IF(AND(Parameter!$B$21="Ja",ISNUMBER(W104)),W104,IF(AND(Parameter!$E$27="Ja",ISNUMBER(Z104),CD104&lt;&gt;"Nein"),Z104,IF(CD104="2+3",IF(ISNUMBER(SEARCH("grosser Artikel",BV104)),2,IFERROR(VLOOKUP(BY104,Parameter!$F$35:$G$64,2,0),2)),IF(OR(CD104="Nein",CD104=""),"-",CD104)))))</f>
        <v>1</v>
      </c>
      <c r="AB104" s="67"/>
      <c r="AC104" s="68"/>
      <c r="AD104" s="62" t="n">
        <f aca="false">AW104</f>
        <v>618</v>
      </c>
      <c r="AE104" s="62" t="n">
        <f aca="false">MAX(AW104,H104)</f>
        <v>618</v>
      </c>
      <c r="AF104" s="69"/>
      <c r="AG104" s="62" t="n">
        <f aca="false">IF(LEFT(Cockpit!$C$5,1)="A",H104,IF(Parameter!$E$30="MAX-Bestand",IF(CI104=1,CJ104,IF(LEFT(Cockpit!$C$5,1)="B",AM104,MAX(AM104,H104))),ROUNDUP(AK104,0)))</f>
        <v>377</v>
      </c>
      <c r="AH104" s="62" t="n">
        <f aca="false">IF(CA104=1,0,ROUNDUP(AG104/BZ104,0))</f>
        <v>1</v>
      </c>
      <c r="AI104" s="64" t="n">
        <f aca="false">IF(CR104&gt;0,CR104*MAX(1,AG104/X104),IF(CA104=1,IF(AG104&lt;=0,0,CE104*MAX(1,IF(H104&gt;0,AG104/H104,1))),IF(R104&gt;0,AH104/R104,0))/MAX(0.1,N(Parameter!$M$21)))</f>
        <v>0.00961538461538462</v>
      </c>
      <c r="AJ104" s="62" t="n">
        <f aca="false">AI104*CC104</f>
        <v>1.49038461538462</v>
      </c>
      <c r="AK104" s="63" t="n">
        <f aca="false">IF(LEFT(Cockpit!$C$5,1)="A",H104,IF(CI104=1,(CL104+CJ104)/2,IF(LEFT(Cockpit!$C$5,1)="B",(CL104+AM104)/2,MAX((CL104+AM104)/2,H104))))</f>
        <v>377</v>
      </c>
      <c r="AL104" s="62" t="n">
        <f aca="false">AK104*G104</f>
        <v>4663.49</v>
      </c>
      <c r="AM104" s="62" t="n">
        <f aca="false">ROUNDUP(CL104+MAX(CM104,2*(J104/IF(CH104&gt;0,CH104,MAX(0.1,N(Cockpit!$C$6)))-CL104)),0)</f>
        <v>618</v>
      </c>
      <c r="AN104" s="63" t="n">
        <f aca="false">IF(AJ104&gt;0,J104/AJ104,-1)</f>
        <v>687.070967741935</v>
      </c>
      <c r="AO104" s="63" t="n">
        <f aca="false">IF(AND(OR(CG104="L1",CG104="L23",CG104="LIFT"),AJ104&gt;0),SUMIFS($AJ$7:$AJ$1843,$CG$7:$CG$1843,CG104,$AN$7:$AN$1843,"&gt;"&amp;AN104)+SUMIFS($AJ$7:$AJ$1843,$CG$7:$CG$1843,CG104,$AN$7:$AN$1843,AN104,$BX$7:$BX$1843,"&lt;="&amp;BX104),"")</f>
        <v>26.4436813186813</v>
      </c>
      <c r="AP104" s="70" t="n">
        <f aca="false">IF(AO104="",0,MAX(0,MIN(1,(IF(CG104="L1",Parameter!$H$5,IF(CG104="L23",Parameter!$H$6+Parameter!$H$7,Parameter!$H$5+Parameter!$H$6+Parameter!$H$7))-(AO104-AJ104))/AJ104)))</f>
        <v>1</v>
      </c>
      <c r="AQ104" s="62" t="n">
        <f aca="false">IF(LEFT(Cockpit!$I$5,1)="A",H104,IF(Parameter!$E$30="MAX-Bestand",IF(CI104=1,CJ104,IF(LEFT(Cockpit!$I$5,1)="B",AW104,MAX(AW104,H104))),ROUNDUP(AU104,0)))</f>
        <v>377</v>
      </c>
      <c r="AR104" s="62" t="n">
        <f aca="false">IF(CA104=1,0,ROUNDUP(AQ104/BZ104,0))</f>
        <v>1</v>
      </c>
      <c r="AS104" s="64" t="n">
        <f aca="false">IF(CR104&gt;0,CR104*MAX(1,AQ104/X104),IF(CA104=1,IF(AQ104&lt;=0,0,CE104*MAX(1,IF(H104&gt;0,AQ104/H104,1))),IF(R104&gt;0,AR104/R104,0))/MAX(0.1,N(Parameter!$M$21)))</f>
        <v>0.00961538461538462</v>
      </c>
      <c r="AT104" s="62" t="n">
        <f aca="false">AS104*CC104</f>
        <v>1.49038461538462</v>
      </c>
      <c r="AU104" s="63" t="n">
        <f aca="false">IF(LEFT(Cockpit!$I$5,1)="A",H104,IF(CI104=1,(CL104+CJ104)/2,IF(LEFT(Cockpit!$I$5,1)="B",(CL104+AW104)/2,MAX((CL104+AW104)/2,H104))))</f>
        <v>377</v>
      </c>
      <c r="AV104" s="62" t="n">
        <f aca="false">AU104*G104</f>
        <v>4663.49</v>
      </c>
      <c r="AW104" s="62" t="n">
        <f aca="false">ROUNDUP(CL104+MAX(CM104,2*(J104/IF(CH104&gt;0,CH104,MAX(0.1,N(Cockpit!$I$6)))-CL104)),0)</f>
        <v>618</v>
      </c>
      <c r="AX104" s="63" t="n">
        <f aca="false">IF(AT104&gt;0,J104/AT104,-1)</f>
        <v>687.070967741935</v>
      </c>
      <c r="AY104" s="63" t="n">
        <f aca="false">IF(AND(OR(CG104="L1",CG104="L23",CG104="LIFT"),AT104&gt;0),SUMIFS($AT$7:$AT$1843,$CG$7:$CG$1843,CG104,$AX$7:$AX$1843,"&gt;"&amp;AX104)+SUMIFS($AT$7:$AT$1843,$CG$7:$CG$1843,CG104,$AX$7:$AX$1843,AX104,$BX$7:$BX$1843,"&lt;="&amp;BX104),"")</f>
        <v>28.8708791208791</v>
      </c>
      <c r="AZ104" s="70" t="n">
        <f aca="false">IF(AY104="",0,MAX(0,MIN(1,(IF(CG104="L1",Parameter!$H$5,IF(CG104="L23",Parameter!$H$6+Parameter!$H$7,Parameter!$H$5+Parameter!$H$6+Parameter!$H$7))-(AY104-AT104))/AT104)))</f>
        <v>1</v>
      </c>
      <c r="BA104" s="62" t="n">
        <f aca="false">IF(LEFT(Cockpit!$O$5,1)="A",H104,IF(Parameter!$E$30="MAX-Bestand",IF(CI104=1,CJ104,IF(LEFT(Cockpit!$O$5,1)="B",BG104,MAX(BG104,H104))),ROUNDUP(BE104,0)))</f>
        <v>315</v>
      </c>
      <c r="BB104" s="62" t="n">
        <f aca="false">IF(CA104=1,0,ROUNDUP(BA104/BZ104,0))</f>
        <v>1</v>
      </c>
      <c r="BC104" s="64" t="n">
        <f aca="false">IF(CR104&gt;0,CR104*MAX(1,BA104/X104),IF(CA104=1,IF(BA104&lt;=0,0,CE104*MAX(1,IF(H104&gt;0,BA104/H104,1))),IF(R104&gt;0,BB104/R104,0))/MAX(0.1,N(Parameter!$M$21)))</f>
        <v>0.00961538461538462</v>
      </c>
      <c r="BD104" s="62" t="n">
        <f aca="false">BC104*CC104</f>
        <v>1.49038461538462</v>
      </c>
      <c r="BE104" s="63" t="n">
        <f aca="false">IF(LEFT(Cockpit!$O$5,1)="A",H104,IF(CI104=1,(CL104+CJ104)/2,IF(LEFT(Cockpit!$O$5,1)="B",(CL104+BG104)/2,MAX((CL104+BG104)/2,H104))))</f>
        <v>315</v>
      </c>
      <c r="BF104" s="62" t="n">
        <f aca="false">BE104*G104</f>
        <v>3896.55</v>
      </c>
      <c r="BG104" s="62" t="n">
        <f aca="false">ROUNDUP(CL104+MAX(CM104,2*(J104/IF(CH104&gt;0,CH104,MAX(0.1,N(Cockpit!$O$6)))-CL104)),0)</f>
        <v>565</v>
      </c>
      <c r="BH104" s="63" t="n">
        <f aca="false">IF(BD104&gt;0,J104/BD104,-1)</f>
        <v>687.070967741935</v>
      </c>
      <c r="BI104" s="63" t="n">
        <f aca="false">IF(AND(OR(CG104="L1",CG104="L23",CG104="LIFT"),BD104&gt;0),SUMIFS($BD$7:$BD$1843,$CG$7:$CG$1843,CG104,$BH$7:$BH$1843,"&gt;"&amp;BH104)+SUMIFS($BD$7:$BD$1843,$CG$7:$CG$1843,CG104,$BH$7:$BH$1843,BH104,$BX$7:$BX$1843,"&lt;="&amp;BX104),"")</f>
        <v>35.0027472527473</v>
      </c>
      <c r="BJ104" s="70" t="n">
        <f aca="false">IF(BI104="",0,MAX(0,MIN(1,(IF(CG104="L1",Parameter!$H$5,IF(CG104="L23",Parameter!$H$6+Parameter!$H$7,Parameter!$H$5+Parameter!$H$6+Parameter!$H$7))-(BI104-BD104))/BD104)))</f>
        <v>1</v>
      </c>
      <c r="BK104" s="60" t="str">
        <f aca="false">IF(AJ104&lt;=0,"",IF(CG104="Aussen","Aussenlager",IF(CG104="-","Nicht im Lift",IF(AP104&gt;=1,"Lift",IF(AP104&lt;=0,"Aussenlager","teilweise")))))</f>
        <v>Lift</v>
      </c>
      <c r="BL104" s="60" t="str">
        <f aca="false">IF(AT104&lt;=0,"",IF(CG104="Aussen","Aussenlager",IF(CG104="-","Nicht im Lift",IF(AZ104&gt;=1,"Lift",IF(AZ104&lt;=0,"Aussenlager","teilweise")))))</f>
        <v>Lift</v>
      </c>
      <c r="BM104" s="60" t="str">
        <f aca="false">IF(BD104&lt;=0,"",IF(CG104="Aussen","Aussenlager",IF(CG104="-","Nicht im Lift",IF(BJ104&gt;=1,"Lift",IF(BJ104&lt;=0,"Aussenlager","teilweise")))))</f>
        <v>Lift</v>
      </c>
      <c r="BN104" s="60" t="str">
        <f aca="false">IF(A104="","",IF(BW104=1,"Neu; ","")&amp;IF(AND(BW104=0,BR104&lt;0),"negativer Bestand (Export "&amp;BR104&amp;"); ","")&amp;IF(J104&lt;=0,"Kein Verbrauch; ","")&amp;IF(CR104&gt;0,"Lift "&amp;W104&amp;" lt. Liftbericht (Fach "&amp;X104&amp;" Stk); ",IF(CB104=1,"Gebinde geschätzt ("&amp;T104&amp;"); ",IF(CA104=1,"Lose – Tablare geschätzt; ","")))&amp;IF(H104&gt;AW104,"Überbestand "&amp;ROUND(H104-AW104,0)&amp;" Stk / CHF "&amp;ROUND((H104-AW104)*G104,0)&amp;"; ","")&amp;IF(AND(CI104=1,CJ104&lt;CK104),"MAX &lt; MB+LG; ","")&amp;IF(AND(CQ104&gt;0,CP104*10&gt;CQ104),"zu hoch für Tablar; ","")&amp;IF(AND(BW104=0,OR(CI104=1,AB104&lt;&gt;"",U104&lt;&gt;"",V104&lt;&gt;"",AC104&lt;&gt;"")),"manuell übersteuert; ","")&amp;IF(AND(CA104=0,R104=0),"Gebinde unbekannt / Stellmass fehlt; ","")&amp;IF(AND(CA104=0,N(V104)&lt;=0,N(Q104)&lt;=0),"Menge pro Gebinde fehlt (Ist = 1 Gebinde); ","")&amp;BV104)</f>
        <v/>
      </c>
      <c r="BO104" s="60"/>
      <c r="BP104" s="60"/>
      <c r="BQ104" s="67"/>
      <c r="BR104" s="62" t="n">
        <v>196</v>
      </c>
      <c r="BS104" s="62" t="n">
        <v>181</v>
      </c>
      <c r="BT104" s="61" t="n">
        <v>2298.74</v>
      </c>
      <c r="BU104" s="62" t="n">
        <v>1024</v>
      </c>
      <c r="BV104" s="60"/>
      <c r="BW104" s="65" t="n">
        <v>0</v>
      </c>
      <c r="BX104" s="65" t="n">
        <v>104</v>
      </c>
      <c r="BY104" s="60" t="str">
        <f aca="false">IF(U104&lt;&gt;"",UPPER(TRIM(U104)),IF(CB104=1,UPPER(VLOOKUP(T104,Parameter!$I$27:$K$29,2,0)),IF(P104="","LOSE",P104)))</f>
        <v>S32</v>
      </c>
      <c r="BZ104" s="62" t="n">
        <f aca="false">IF(BY104="LOSE",1,IF(N(V104)&gt;0,V104,IF(CB104=1,MAX(1,N(VLOOKUP(T104,Parameter!$I$27:$K$29,3,0)),H104,N(N104)),IF(N(Q104)&gt;0,Q104,MAX(1,H104)))))</f>
        <v>574</v>
      </c>
      <c r="CA104" s="65" t="n">
        <f aca="false">IF(BY104="LOSE",1,0)</f>
        <v>0</v>
      </c>
      <c r="CB104" s="65" t="n">
        <f aca="false">IF(AND(U104="",OR(P104="",P104="LOSE"),T104&lt;&gt;"",N(S104)&lt;=0,ISNUMBER(MATCH(T104,Parameter!$I$27:$I$29,0))),1,0)</f>
        <v>0</v>
      </c>
      <c r="CC104" s="65" t="n">
        <f aca="false">IF(CR104&gt;0,INDEX(Parameter!$H$5:$H$7,W104)/INDEX(Parameter!$E$5:$E$7,W104),IF(AND(CA104=0,N(IFERROR(VLOOKUP(BY104,'Gebinde-Kategorie'!$A$5:$N$45,14,0),0))&gt;0),VLOOKUP(BY104,'Gebinde-Kategorie'!$A$5:$N$45,14,0)*10+Parameter!$M$23,Parameter!$M$24))</f>
        <v>155</v>
      </c>
      <c r="CD104" s="60" t="str">
        <f aca="false">IF(AND(Parameter!$B$19="Ja",E104&lt;&gt;"",ISNUMBER(MATCH(E104,Parameter!$I$35:$I$52,0))),VLOOKUP(E104,Parameter!$I$35:$J$52,2,0),IFERROR(VLOOKUP(D104,Parameter!$A$35:$C$64,2,0),"Nein"))</f>
        <v>2+3</v>
      </c>
      <c r="CE104" s="64" t="n">
        <f aca="false">IF(CA104=0,0,IF(N(S104)&gt;0,S104,IFERROR(VLOOKUP(D104,Parameter!$A$35:$C$64,3,0)+0,0)))</f>
        <v>0</v>
      </c>
      <c r="CF104" s="60" t="n">
        <f aca="false">IF(AB104&lt;&gt;"",AB104,AA104)</f>
        <v>1</v>
      </c>
      <c r="CG104" s="60" t="str">
        <f aca="false">IF(OR(CF104=1,CF104=2,CF104=3),IF(Parameter!$E$27="Ja","LIFT",IF(CF104=1,"L1","L23")),IF(CF104="Aussen","Aussen","-"))</f>
        <v>LIFT</v>
      </c>
      <c r="CH104" s="71" t="n">
        <f aca="false">IF(N(AC104)&gt;0,AC104,0)</f>
        <v>0</v>
      </c>
      <c r="CI104" s="65" t="n">
        <f aca="false">IF(ISNUMBER(AF104),1,0)</f>
        <v>0</v>
      </c>
      <c r="CJ104" s="62" t="n">
        <f aca="false">N(AF104)</f>
        <v>0</v>
      </c>
      <c r="CK104" s="62" t="n">
        <f aca="false">N(M104)+N(N104)</f>
        <v>565</v>
      </c>
      <c r="CL104" s="62" t="n">
        <f aca="false">N(M104)</f>
        <v>65</v>
      </c>
      <c r="CM104" s="62" t="n">
        <f aca="false">N(N104)</f>
        <v>500</v>
      </c>
      <c r="CN104" s="62" t="n">
        <f aca="false">ROUNDUP(H104/BZ104,0)</f>
        <v>1</v>
      </c>
      <c r="CO104" s="62" t="n">
        <f aca="false">ROUNDUP(CJ104/BZ104,0)</f>
        <v>0</v>
      </c>
      <c r="CP104" s="65" t="n">
        <f aca="false">IF(CA104=1,0,IFERROR(VLOOKUP(BY104,'Gebinde-Kategorie'!$A$5:$N$45,5,0)+0,0))</f>
        <v>8</v>
      </c>
      <c r="CQ104" s="65" t="n">
        <f aca="false">IFERROR(IF(OR(CF104=1,CF104=2,CF104=3),N(INDEX(Parameter!$I$5:$I$7,CF104)),0),0)</f>
        <v>0</v>
      </c>
      <c r="CR104" s="64" t="n">
        <f aca="false">IF(AND(Parameter!$B$21="Ja",ISNUMBER(W104),N(X104)&gt;0),IFERROR(N(INDEX(Parameter!$L$5:$L$7,W104))*INDEX(Parameter!$E$5:$E$7,W104)*X104/SUMIFS($X$7:$X$1843,$W$7:$W$1843,W104),0),0)</f>
        <v>0</v>
      </c>
      <c r="CS104" s="62" t="n">
        <f aca="false">IF(AND(OR(CG104="L1",CG104="L23",CG104="LIFT"),H104&gt;0),CC104*IF(CR104&gt;0,CR104*MAX(1,H104/X104),IF(CA104=1,CE104,IF(R104&gt;0,CN104/R104,0))/MAX(0.1,N(Parameter!$M$21))),"")</f>
        <v>1.49038461538462</v>
      </c>
      <c r="CT104" s="64" t="n">
        <f aca="false">IF(CS104="","",J104/H104)</f>
        <v>2.71618037135279</v>
      </c>
      <c r="CU104" s="62" t="n">
        <f aca="false">IF(CS104="","",H104*G104)</f>
        <v>4663.49</v>
      </c>
      <c r="CV104" s="63" t="n">
        <f aca="false">IF(CS104="","",(CL104+ROUNDUP(CL104+MAX(CM104,2*(J104/MAX(0.1,N(Einkauf!$C$6))-CL104)),0))/2)</f>
        <v>315</v>
      </c>
      <c r="CW104" s="62" t="n">
        <f aca="false">IF(CS104="","",MAX(0,H104-CV104)*G104)</f>
        <v>766.94</v>
      </c>
      <c r="CX104" s="62" t="n">
        <f aca="false">IF(CS104="","",CS104*MAX(0,1-CV104/H104))</f>
        <v>0.245103040195878</v>
      </c>
      <c r="CY104" s="64" t="n">
        <f aca="false">IF(CS104="","",PERCENTRANK($CS$7:$CS$1843,CS104)+PERCENTRANK($CU$7:$CU$1843,CU104)+1-PERCENTRANK($CT$7:$CT$1843,CT104))</f>
        <v>1.139</v>
      </c>
      <c r="CZ104" s="72" t="n">
        <f aca="false">IF(CS104="","",CHOOSE(MATCH(Einkauf!$C$5,Parameter!$G$23:$G$27,0),CY104,CS104,CU104,-CT104,CW104)+ROW()/1000000000)</f>
        <v>1.139000104</v>
      </c>
    </row>
    <row r="105" customFormat="false" ht="15" hidden="false" customHeight="false" outlineLevel="0" collapsed="false">
      <c r="A105" s="60" t="s">
        <v>464</v>
      </c>
      <c r="B105" s="60" t="s">
        <v>465</v>
      </c>
      <c r="C105" s="60" t="s">
        <v>206</v>
      </c>
      <c r="D105" s="60" t="s">
        <v>215</v>
      </c>
      <c r="E105" s="60" t="s">
        <v>215</v>
      </c>
      <c r="F105" s="60" t="s">
        <v>260</v>
      </c>
      <c r="G105" s="61" t="n">
        <v>448.5</v>
      </c>
      <c r="H105" s="62" t="n">
        <f aca="false">MAX(0,IF(AND(Parameter!$B$21="Ja",ISNUMBER(Y105)),Y105,IF(Parameter!$B$20="Jahresanfang 2025 + Export",BS105+BR105,BR105)))</f>
        <v>6</v>
      </c>
      <c r="I105" s="62" t="n">
        <f aca="false">H105*G105</f>
        <v>2691</v>
      </c>
      <c r="J105" s="62" t="n">
        <f aca="false">BU105*Parameter!$B$18</f>
        <v>5</v>
      </c>
      <c r="K105" s="63" t="n">
        <v>3.5</v>
      </c>
      <c r="L105" s="64" t="n">
        <v>1.42857142857143</v>
      </c>
      <c r="M105" s="62" t="n">
        <v>0</v>
      </c>
      <c r="N105" s="62" t="n">
        <v>5</v>
      </c>
      <c r="O105" s="65" t="n">
        <v>21</v>
      </c>
      <c r="P105" s="60" t="s">
        <v>210</v>
      </c>
      <c r="Q105" s="62"/>
      <c r="R105" s="65" t="n">
        <f aca="false">IF(CA105=1,0,IFERROR(VLOOKUP(BY105,'Gebinde-Kategorie'!$A$5:$N$45,13,0)+0,0))</f>
        <v>4</v>
      </c>
      <c r="S105" s="66"/>
      <c r="T105" s="67" t="s">
        <v>231</v>
      </c>
      <c r="U105" s="67"/>
      <c r="V105" s="67"/>
      <c r="W105" s="60"/>
      <c r="X105" s="62"/>
      <c r="Y105" s="62"/>
      <c r="Z105" s="60"/>
      <c r="AA105" s="60" t="str">
        <f aca="false">IF(A105="","",IF(AND(Parameter!$B$21="Ja",ISNUMBER(W105)),W105,IF(AND(Parameter!$E$27="Ja",ISNUMBER(Z105),CD105&lt;&gt;"Nein"),Z105,IF(CD105="2+3",IF(ISNUMBER(SEARCH("grosser Artikel",BV105)),2,IFERROR(VLOOKUP(BY105,Parameter!$F$35:$G$64,2,0),2)),IF(OR(CD105="Nein",CD105=""),"-",CD105)))))</f>
        <v>-</v>
      </c>
      <c r="AB105" s="67"/>
      <c r="AC105" s="68"/>
      <c r="AD105" s="62" t="n">
        <f aca="false">AW105</f>
        <v>5</v>
      </c>
      <c r="AE105" s="62" t="n">
        <f aca="false">MAX(AW105,H105)</f>
        <v>6</v>
      </c>
      <c r="AF105" s="69"/>
      <c r="AG105" s="62" t="n">
        <f aca="false">IF(LEFT(Cockpit!$C$5,1)="A",H105,IF(Parameter!$E$30="MAX-Bestand",IF(CI105=1,CJ105,IF(LEFT(Cockpit!$C$5,1)="B",AM105,MAX(AM105,H105))),ROUNDUP(AK105,0)))</f>
        <v>6</v>
      </c>
      <c r="AH105" s="62" t="n">
        <f aca="false">IF(CA105=1,0,ROUNDUP(AG105/BZ105,0))</f>
        <v>1</v>
      </c>
      <c r="AI105" s="64" t="n">
        <f aca="false">IF(CR105&gt;0,CR105*MAX(1,AG105/X105),IF(CA105=1,IF(AG105&lt;=0,0,CE105*MAX(1,IF(H105&gt;0,AG105/H105,1))),IF(R105&gt;0,AH105/R105,0))/MAX(0.1,N(Parameter!$M$21)))</f>
        <v>0.25</v>
      </c>
      <c r="AJ105" s="62" t="n">
        <f aca="false">AI105*CC105</f>
        <v>58.75</v>
      </c>
      <c r="AK105" s="63" t="n">
        <f aca="false">IF(LEFT(Cockpit!$C$5,1)="A",H105,IF(CI105=1,(CL105+CJ105)/2,IF(LEFT(Cockpit!$C$5,1)="B",(CL105+AM105)/2,MAX((CL105+AM105)/2,H105))))</f>
        <v>6</v>
      </c>
      <c r="AL105" s="62" t="n">
        <f aca="false">AK105*G105</f>
        <v>2691</v>
      </c>
      <c r="AM105" s="62" t="n">
        <f aca="false">ROUNDUP(CL105+MAX(CM105,2*(J105/IF(CH105&gt;0,CH105,MAX(0.1,N(Cockpit!$C$6)))-CL105)),0)</f>
        <v>5</v>
      </c>
      <c r="AN105" s="63" t="n">
        <f aca="false">IF(AJ105&gt;0,J105/AJ105,-1)</f>
        <v>0.0851063829787234</v>
      </c>
      <c r="AO105" s="63" t="str">
        <f aca="false">IF(AND(OR(CG105="L1",CG105="L23",CG105="LIFT"),AJ105&gt;0),SUMIFS($AJ$7:$AJ$1843,$CG$7:$CG$1843,CG105,$AN$7:$AN$1843,"&gt;"&amp;AN105)+SUMIFS($AJ$7:$AJ$1843,$CG$7:$CG$1843,CG105,$AN$7:$AN$1843,AN105,$BX$7:$BX$1843,"&lt;="&amp;BX105),"")</f>
        <v/>
      </c>
      <c r="AP105" s="70" t="n">
        <f aca="false">IF(AO105="",0,MAX(0,MIN(1,(IF(CG105="L1",Parameter!$H$5,IF(CG105="L23",Parameter!$H$6+Parameter!$H$7,Parameter!$H$5+Parameter!$H$6+Parameter!$H$7))-(AO105-AJ105))/AJ105)))</f>
        <v>0</v>
      </c>
      <c r="AQ105" s="62" t="n">
        <f aca="false">IF(LEFT(Cockpit!$I$5,1)="A",H105,IF(Parameter!$E$30="MAX-Bestand",IF(CI105=1,CJ105,IF(LEFT(Cockpit!$I$5,1)="B",AW105,MAX(AW105,H105))),ROUNDUP(AU105,0)))</f>
        <v>6</v>
      </c>
      <c r="AR105" s="62" t="n">
        <f aca="false">IF(CA105=1,0,ROUNDUP(AQ105/BZ105,0))</f>
        <v>1</v>
      </c>
      <c r="AS105" s="64" t="n">
        <f aca="false">IF(CR105&gt;0,CR105*MAX(1,AQ105/X105),IF(CA105=1,IF(AQ105&lt;=0,0,CE105*MAX(1,IF(H105&gt;0,AQ105/H105,1))),IF(R105&gt;0,AR105/R105,0))/MAX(0.1,N(Parameter!$M$21)))</f>
        <v>0.25</v>
      </c>
      <c r="AT105" s="62" t="n">
        <f aca="false">AS105*CC105</f>
        <v>58.75</v>
      </c>
      <c r="AU105" s="63" t="n">
        <f aca="false">IF(LEFT(Cockpit!$I$5,1)="A",H105,IF(CI105=1,(CL105+CJ105)/2,IF(LEFT(Cockpit!$I$5,1)="B",(CL105+AW105)/2,MAX((CL105+AW105)/2,H105))))</f>
        <v>6</v>
      </c>
      <c r="AV105" s="62" t="n">
        <f aca="false">AU105*G105</f>
        <v>2691</v>
      </c>
      <c r="AW105" s="62" t="n">
        <f aca="false">ROUNDUP(CL105+MAX(CM105,2*(J105/IF(CH105&gt;0,CH105,MAX(0.1,N(Cockpit!$I$6)))-CL105)),0)</f>
        <v>5</v>
      </c>
      <c r="AX105" s="63" t="n">
        <f aca="false">IF(AT105&gt;0,J105/AT105,-1)</f>
        <v>0.0851063829787234</v>
      </c>
      <c r="AY105" s="63" t="str">
        <f aca="false">IF(AND(OR(CG105="L1",CG105="L23",CG105="LIFT"),AT105&gt;0),SUMIFS($AT$7:$AT$1843,$CG$7:$CG$1843,CG105,$AX$7:$AX$1843,"&gt;"&amp;AX105)+SUMIFS($AT$7:$AT$1843,$CG$7:$CG$1843,CG105,$AX$7:$AX$1843,AX105,$BX$7:$BX$1843,"&lt;="&amp;BX105),"")</f>
        <v/>
      </c>
      <c r="AZ105" s="70" t="n">
        <f aca="false">IF(AY105="",0,MAX(0,MIN(1,(IF(CG105="L1",Parameter!$H$5,IF(CG105="L23",Parameter!$H$6+Parameter!$H$7,Parameter!$H$5+Parameter!$H$6+Parameter!$H$7))-(AY105-AT105))/AT105)))</f>
        <v>0</v>
      </c>
      <c r="BA105" s="62" t="n">
        <f aca="false">IF(LEFT(Cockpit!$O$5,1)="A",H105,IF(Parameter!$E$30="MAX-Bestand",IF(CI105=1,CJ105,IF(LEFT(Cockpit!$O$5,1)="B",BG105,MAX(BG105,H105))),ROUNDUP(BE105,0)))</f>
        <v>3</v>
      </c>
      <c r="BB105" s="62" t="n">
        <f aca="false">IF(CA105=1,0,ROUNDUP(BA105/BZ105,0))</f>
        <v>1</v>
      </c>
      <c r="BC105" s="64" t="n">
        <f aca="false">IF(CR105&gt;0,CR105*MAX(1,BA105/X105),IF(CA105=1,IF(BA105&lt;=0,0,CE105*MAX(1,IF(H105&gt;0,BA105/H105,1))),IF(R105&gt;0,BB105/R105,0))/MAX(0.1,N(Parameter!$M$21)))</f>
        <v>0.25</v>
      </c>
      <c r="BD105" s="62" t="n">
        <f aca="false">BC105*CC105</f>
        <v>58.75</v>
      </c>
      <c r="BE105" s="63" t="n">
        <f aca="false">IF(LEFT(Cockpit!$O$5,1)="A",H105,IF(CI105=1,(CL105+CJ105)/2,IF(LEFT(Cockpit!$O$5,1)="B",(CL105+BG105)/2,MAX((CL105+BG105)/2,H105))))</f>
        <v>2.5</v>
      </c>
      <c r="BF105" s="62" t="n">
        <f aca="false">BE105*G105</f>
        <v>1121.25</v>
      </c>
      <c r="BG105" s="62" t="n">
        <f aca="false">ROUNDUP(CL105+MAX(CM105,2*(J105/IF(CH105&gt;0,CH105,MAX(0.1,N(Cockpit!$O$6)))-CL105)),0)</f>
        <v>5</v>
      </c>
      <c r="BH105" s="63" t="n">
        <f aca="false">IF(BD105&gt;0,J105/BD105,-1)</f>
        <v>0.0851063829787234</v>
      </c>
      <c r="BI105" s="63" t="str">
        <f aca="false">IF(AND(OR(CG105="L1",CG105="L23",CG105="LIFT"),BD105&gt;0),SUMIFS($BD$7:$BD$1843,$CG$7:$CG$1843,CG105,$BH$7:$BH$1843,"&gt;"&amp;BH105)+SUMIFS($BD$7:$BD$1843,$CG$7:$CG$1843,CG105,$BH$7:$BH$1843,BH105,$BX$7:$BX$1843,"&lt;="&amp;BX105),"")</f>
        <v/>
      </c>
      <c r="BJ105" s="70" t="n">
        <f aca="false">IF(BI105="",0,MAX(0,MIN(1,(IF(CG105="L1",Parameter!$H$5,IF(CG105="L23",Parameter!$H$6+Parameter!$H$7,Parameter!$H$5+Parameter!$H$6+Parameter!$H$7))-(BI105-BD105))/BD105)))</f>
        <v>0</v>
      </c>
      <c r="BK105" s="60" t="str">
        <f aca="false">IF(AJ105&lt;=0,"",IF(CG105="Aussen","Aussenlager",IF(CG105="-","Nicht im Lift",IF(AP105&gt;=1,"Lift",IF(AP105&lt;=0,"Aussenlager","teilweise")))))</f>
        <v>Nicht im Lift</v>
      </c>
      <c r="BL105" s="60" t="str">
        <f aca="false">IF(AT105&lt;=0,"",IF(CG105="Aussen","Aussenlager",IF(CG105="-","Nicht im Lift",IF(AZ105&gt;=1,"Lift",IF(AZ105&lt;=0,"Aussenlager","teilweise")))))</f>
        <v>Nicht im Lift</v>
      </c>
      <c r="BM105" s="60" t="str">
        <f aca="false">IF(BD105&lt;=0,"",IF(CG105="Aussen","Aussenlager",IF(CG105="-","Nicht im Lift",IF(BJ105&gt;=1,"Lift",IF(BJ105&lt;=0,"Aussenlager","teilweise")))))</f>
        <v>Nicht im Lift</v>
      </c>
      <c r="BN105" s="60" t="str">
        <f aca="false">IF(A105="","",IF(BW105=1,"Neu; ","")&amp;IF(AND(BW105=0,BR105&lt;0),"negativer Bestand (Export "&amp;BR105&amp;"); ","")&amp;IF(J105&lt;=0,"Kein Verbrauch; ","")&amp;IF(CR105&gt;0,"Lift "&amp;W105&amp;" lt. Liftbericht (Fach "&amp;X105&amp;" Stk); ",IF(CB105=1,"Gebinde geschätzt ("&amp;T105&amp;"); ",IF(CA105=1,"Lose – Tablare geschätzt; ","")))&amp;IF(H105&gt;AW105,"Überbestand "&amp;ROUND(H105-AW105,0)&amp;" Stk / CHF "&amp;ROUND((H105-AW105)*G105,0)&amp;"; ","")&amp;IF(AND(CI105=1,CJ105&lt;CK105),"MAX &lt; MB+LG; ","")&amp;IF(AND(CQ105&gt;0,CP105*10&gt;CQ105),"zu hoch für Tablar; ","")&amp;IF(AND(BW105=0,OR(CI105=1,AB105&lt;&gt;"",U105&lt;&gt;"",V105&lt;&gt;"",AC105&lt;&gt;"")),"manuell übersteuert; ","")&amp;IF(AND(CA105=0,R105=0),"Gebinde unbekannt / Stellmass fehlt; ","")&amp;IF(AND(CA105=0,N(V105)&lt;=0,N(Q105)&lt;=0),"Menge pro Gebinde fehlt (Ist = 1 Gebinde); ","")&amp;BV105)</f>
        <v>Gebinde geschätzt (Gross); Überbestand 1 Stk / CHF 449; Menge pro Gebinde fehlt (Ist = 1 Gebinde); </v>
      </c>
      <c r="BO105" s="60"/>
      <c r="BP105" s="60"/>
      <c r="BQ105" s="67"/>
      <c r="BR105" s="62" t="n">
        <v>5</v>
      </c>
      <c r="BS105" s="62" t="n">
        <v>1</v>
      </c>
      <c r="BT105" s="61" t="n">
        <v>2291.16</v>
      </c>
      <c r="BU105" s="62" t="n">
        <v>5</v>
      </c>
      <c r="BV105" s="60"/>
      <c r="BW105" s="65" t="n">
        <v>0</v>
      </c>
      <c r="BX105" s="65" t="n">
        <v>105</v>
      </c>
      <c r="BY105" s="60" t="str">
        <f aca="false">IF(U105&lt;&gt;"",UPPER(TRIM(U105)),IF(CB105=1,UPPER(VLOOKUP(T105,Parameter!$I$27:$K$29,2,0)),IF(P105="","LOSE",P105)))</f>
        <v>S81</v>
      </c>
      <c r="BZ105" s="62" t="n">
        <f aca="false">IF(BY105="LOSE",1,IF(N(V105)&gt;0,V105,IF(CB105=1,MAX(1,N(VLOOKUP(T105,Parameter!$I$27:$K$29,3,0)),H105,N(N105)),IF(N(Q105)&gt;0,Q105,MAX(1,H105)))))</f>
        <v>6</v>
      </c>
      <c r="CA105" s="65" t="n">
        <f aca="false">IF(BY105="LOSE",1,0)</f>
        <v>0</v>
      </c>
      <c r="CB105" s="65" t="n">
        <f aca="false">IF(AND(U105="",OR(P105="",P105="LOSE"),T105&lt;&gt;"",N(S105)&lt;=0,ISNUMBER(MATCH(T105,Parameter!$I$27:$I$29,0))),1,0)</f>
        <v>1</v>
      </c>
      <c r="CC105" s="65" t="n">
        <f aca="false">IF(CR105&gt;0,INDEX(Parameter!$H$5:$H$7,W105)/INDEX(Parameter!$E$5:$E$7,W105),IF(AND(CA105=0,N(IFERROR(VLOOKUP(BY105,'Gebinde-Kategorie'!$A$5:$N$45,14,0),0))&gt;0),VLOOKUP(BY105,'Gebinde-Kategorie'!$A$5:$N$45,14,0)*10+Parameter!$M$23,Parameter!$M$24))</f>
        <v>235</v>
      </c>
      <c r="CD105" s="60" t="str">
        <f aca="false">IF(AND(Parameter!$B$19="Ja",E105&lt;&gt;"",ISNUMBER(MATCH(E105,Parameter!$I$35:$I$52,0))),VLOOKUP(E105,Parameter!$I$35:$J$52,2,0),IFERROR(VLOOKUP(D105,Parameter!$A$35:$C$64,2,0),"Nein"))</f>
        <v>Nein</v>
      </c>
      <c r="CE105" s="64" t="n">
        <f aca="false">IF(CA105=0,0,IF(N(S105)&gt;0,S105,IFERROR(VLOOKUP(D105,Parameter!$A$35:$C$64,3,0)+0,0)))</f>
        <v>0</v>
      </c>
      <c r="CF105" s="60" t="str">
        <f aca="false">IF(AB105&lt;&gt;"",AB105,AA105)</f>
        <v>-</v>
      </c>
      <c r="CG105" s="60" t="str">
        <f aca="false">IF(OR(CF105=1,CF105=2,CF105=3),IF(Parameter!$E$27="Ja","LIFT",IF(CF105=1,"L1","L23")),IF(CF105="Aussen","Aussen","-"))</f>
        <v>-</v>
      </c>
      <c r="CH105" s="71" t="n">
        <f aca="false">IF(N(AC105)&gt;0,AC105,0)</f>
        <v>0</v>
      </c>
      <c r="CI105" s="65" t="n">
        <f aca="false">IF(ISNUMBER(AF105),1,0)</f>
        <v>0</v>
      </c>
      <c r="CJ105" s="62" t="n">
        <f aca="false">N(AF105)</f>
        <v>0</v>
      </c>
      <c r="CK105" s="62" t="n">
        <f aca="false">N(M105)+N(N105)</f>
        <v>5</v>
      </c>
      <c r="CL105" s="62" t="n">
        <f aca="false">N(M105)</f>
        <v>0</v>
      </c>
      <c r="CM105" s="62" t="n">
        <f aca="false">N(N105)</f>
        <v>5</v>
      </c>
      <c r="CN105" s="62" t="n">
        <f aca="false">ROUNDUP(H105/BZ105,0)</f>
        <v>1</v>
      </c>
      <c r="CO105" s="62" t="n">
        <f aca="false">ROUNDUP(CJ105/BZ105,0)</f>
        <v>0</v>
      </c>
      <c r="CP105" s="65" t="n">
        <f aca="false">IF(CA105=1,0,IFERROR(VLOOKUP(BY105,'Gebinde-Kategorie'!$A$5:$N$45,5,0)+0,0))</f>
        <v>20</v>
      </c>
      <c r="CQ105" s="65" t="n">
        <f aca="false">IFERROR(IF(OR(CF105=1,CF105=2,CF105=3),N(INDEX(Parameter!$I$5:$I$7,CF105)),0),0)</f>
        <v>0</v>
      </c>
      <c r="CR105" s="64" t="n">
        <f aca="false">IF(AND(Parameter!$B$21="Ja",ISNUMBER(W105),N(X105)&gt;0),IFERROR(N(INDEX(Parameter!$L$5:$L$7,W105))*INDEX(Parameter!$E$5:$E$7,W105)*X105/SUMIFS($X$7:$X$1843,$W$7:$W$1843,W105),0),0)</f>
        <v>0</v>
      </c>
      <c r="CS105" s="62" t="str">
        <f aca="false">IF(AND(OR(CG105="L1",CG105="L23",CG105="LIFT"),H105&gt;0),CC105*IF(CR105&gt;0,CR105*MAX(1,H105/X105),IF(CA105=1,CE105,IF(R105&gt;0,CN105/R105,0))/MAX(0.1,N(Parameter!$M$21))),"")</f>
        <v/>
      </c>
      <c r="CT105" s="64" t="str">
        <f aca="false">IF(CS105="","",J105/H105)</f>
        <v/>
      </c>
      <c r="CU105" s="62" t="str">
        <f aca="false">IF(CS105="","",H105*G105)</f>
        <v/>
      </c>
      <c r="CV105" s="63" t="str">
        <f aca="false">IF(CS105="","",(CL105+ROUNDUP(CL105+MAX(CM105,2*(J105/MAX(0.1,N(Einkauf!$C$6))-CL105)),0))/2)</f>
        <v/>
      </c>
      <c r="CW105" s="62" t="str">
        <f aca="false">IF(CS105="","",MAX(0,H105-CV105)*G105)</f>
        <v/>
      </c>
      <c r="CX105" s="62" t="str">
        <f aca="false">IF(CS105="","",CS105*MAX(0,1-CV105/H105))</f>
        <v/>
      </c>
      <c r="CY105" s="64" t="str">
        <f aca="false">IF(CS105="","",PERCENTRANK($CS$7:$CS$1843,CS105)+PERCENTRANK($CU$7:$CU$1843,CU105)+1-PERCENTRANK($CT$7:$CT$1843,CT105))</f>
        <v/>
      </c>
      <c r="CZ105" s="72" t="str">
        <f aca="false">IF(CS105="","",CHOOSE(MATCH(Einkauf!$C$5,Parameter!$G$23:$G$27,0),CY105,CS105,CU105,-CT105,CW105)+ROW()/1000000000)</f>
        <v/>
      </c>
    </row>
    <row r="106" customFormat="false" ht="15" hidden="false" customHeight="false" outlineLevel="0" collapsed="false">
      <c r="A106" s="60" t="s">
        <v>466</v>
      </c>
      <c r="B106" s="60" t="s">
        <v>467</v>
      </c>
      <c r="C106" s="60" t="s">
        <v>206</v>
      </c>
      <c r="D106" s="60" t="s">
        <v>226</v>
      </c>
      <c r="E106" s="60" t="s">
        <v>227</v>
      </c>
      <c r="F106" s="60" t="s">
        <v>260</v>
      </c>
      <c r="G106" s="61" t="n">
        <v>17.68</v>
      </c>
      <c r="H106" s="62" t="n">
        <f aca="false">MAX(0,IF(AND(Parameter!$B$21="Ja",ISNUMBER(Y106)),Y106,IF(Parameter!$B$20="Jahresanfang 2025 + Export",BS106+BR106,BR106)))</f>
        <v>214</v>
      </c>
      <c r="I106" s="62" t="n">
        <f aca="false">H106*G106</f>
        <v>3783.52</v>
      </c>
      <c r="J106" s="62" t="n">
        <f aca="false">BU106*Parameter!$B$18</f>
        <v>618</v>
      </c>
      <c r="K106" s="63" t="n">
        <v>140</v>
      </c>
      <c r="L106" s="64" t="n">
        <v>4.41428571428572</v>
      </c>
      <c r="M106" s="62" t="n">
        <v>36</v>
      </c>
      <c r="N106" s="62" t="n">
        <v>100</v>
      </c>
      <c r="O106" s="65" t="n">
        <v>21</v>
      </c>
      <c r="P106" s="60" t="s">
        <v>468</v>
      </c>
      <c r="Q106" s="62" t="n">
        <v>333</v>
      </c>
      <c r="R106" s="65" t="n">
        <f aca="false">IF(CA106=1,0,IFERROR(VLOOKUP(BY106,'Gebinde-Kategorie'!$A$5:$N$45,13,0)+0,0))</f>
        <v>140</v>
      </c>
      <c r="S106" s="66"/>
      <c r="T106" s="67"/>
      <c r="U106" s="67"/>
      <c r="V106" s="67"/>
      <c r="W106" s="60"/>
      <c r="X106" s="62"/>
      <c r="Y106" s="62"/>
      <c r="Z106" s="60" t="n">
        <v>2</v>
      </c>
      <c r="AA106" s="60" t="n">
        <f aca="false">IF(A106="","",IF(AND(Parameter!$B$21="Ja",ISNUMBER(W106)),W106,IF(AND(Parameter!$E$27="Ja",ISNUMBER(Z106),CD106&lt;&gt;"Nein"),Z106,IF(CD106="2+3",IF(ISNUMBER(SEARCH("grosser Artikel",BV106)),2,IFERROR(VLOOKUP(BY106,Parameter!$F$35:$G$64,2,0),2)),IF(OR(CD106="Nein",CD106=""),"-",CD106)))))</f>
        <v>2</v>
      </c>
      <c r="AB106" s="67"/>
      <c r="AC106" s="68"/>
      <c r="AD106" s="62" t="n">
        <f aca="false">AW106</f>
        <v>376</v>
      </c>
      <c r="AE106" s="62" t="n">
        <f aca="false">MAX(AW106,H106)</f>
        <v>376</v>
      </c>
      <c r="AF106" s="69"/>
      <c r="AG106" s="62" t="n">
        <f aca="false">IF(LEFT(Cockpit!$C$5,1)="A",H106,IF(Parameter!$E$30="MAX-Bestand",IF(CI106=1,CJ106,IF(LEFT(Cockpit!$C$5,1)="B",AM106,MAX(AM106,H106))),ROUNDUP(AK106,0)))</f>
        <v>214</v>
      </c>
      <c r="AH106" s="62" t="n">
        <f aca="false">IF(CA106=1,0,ROUNDUP(AG106/BZ106,0))</f>
        <v>1</v>
      </c>
      <c r="AI106" s="64" t="n">
        <f aca="false">IF(CR106&gt;0,CR106*MAX(1,AG106/X106),IF(CA106=1,IF(AG106&lt;=0,0,CE106*MAX(1,IF(H106&gt;0,AG106/H106,1))),IF(R106&gt;0,AH106/R106,0))/MAX(0.1,N(Parameter!$M$21)))</f>
        <v>0.00714285714285714</v>
      </c>
      <c r="AJ106" s="62" t="n">
        <f aca="false">AI106*CC106</f>
        <v>1.10714285714286</v>
      </c>
      <c r="AK106" s="63" t="n">
        <f aca="false">IF(LEFT(Cockpit!$C$5,1)="A",H106,IF(CI106=1,(CL106+CJ106)/2,IF(LEFT(Cockpit!$C$5,1)="B",(CL106+AM106)/2,MAX((CL106+AM106)/2,H106))))</f>
        <v>214</v>
      </c>
      <c r="AL106" s="62" t="n">
        <f aca="false">AK106*G106</f>
        <v>3783.52</v>
      </c>
      <c r="AM106" s="62" t="n">
        <f aca="false">ROUNDUP(CL106+MAX(CM106,2*(J106/IF(CH106&gt;0,CH106,MAX(0.1,N(Cockpit!$C$6)))-CL106)),0)</f>
        <v>376</v>
      </c>
      <c r="AN106" s="63" t="n">
        <f aca="false">IF(AJ106&gt;0,J106/AJ106,-1)</f>
        <v>558.193548387097</v>
      </c>
      <c r="AO106" s="63" t="n">
        <f aca="false">IF(AND(OR(CG106="L1",CG106="L23",CG106="LIFT"),AJ106&gt;0),SUMIFS($AJ$7:$AJ$1843,$CG$7:$CG$1843,CG106,$AN$7:$AN$1843,"&gt;"&amp;AN106)+SUMIFS($AJ$7:$AJ$1843,$CG$7:$CG$1843,CG106,$AN$7:$AN$1843,AN106,$BX$7:$BX$1843,"&lt;="&amp;BX106),"")</f>
        <v>51.6648351648352</v>
      </c>
      <c r="AP106" s="70" t="n">
        <f aca="false">IF(AO106="",0,MAX(0,MIN(1,(IF(CG106="L1",Parameter!$H$5,IF(CG106="L23",Parameter!$H$6+Parameter!$H$7,Parameter!$H$5+Parameter!$H$6+Parameter!$H$7))-(AO106-AJ106))/AJ106)))</f>
        <v>1</v>
      </c>
      <c r="AQ106" s="62" t="n">
        <f aca="false">IF(LEFT(Cockpit!$I$5,1)="A",H106,IF(Parameter!$E$30="MAX-Bestand",IF(CI106=1,CJ106,IF(LEFT(Cockpit!$I$5,1)="B",AW106,MAX(AW106,H106))),ROUNDUP(AU106,0)))</f>
        <v>214</v>
      </c>
      <c r="AR106" s="62" t="n">
        <f aca="false">IF(CA106=1,0,ROUNDUP(AQ106/BZ106,0))</f>
        <v>1</v>
      </c>
      <c r="AS106" s="64" t="n">
        <f aca="false">IF(CR106&gt;0,CR106*MAX(1,AQ106/X106),IF(CA106=1,IF(AQ106&lt;=0,0,CE106*MAX(1,IF(H106&gt;0,AQ106/H106,1))),IF(R106&gt;0,AR106/R106,0))/MAX(0.1,N(Parameter!$M$21)))</f>
        <v>0.00714285714285714</v>
      </c>
      <c r="AT106" s="62" t="n">
        <f aca="false">AS106*CC106</f>
        <v>1.10714285714286</v>
      </c>
      <c r="AU106" s="63" t="n">
        <f aca="false">IF(LEFT(Cockpit!$I$5,1)="A",H106,IF(CI106=1,(CL106+CJ106)/2,IF(LEFT(Cockpit!$I$5,1)="B",(CL106+AW106)/2,MAX((CL106+AW106)/2,H106))))</f>
        <v>214</v>
      </c>
      <c r="AV106" s="62" t="n">
        <f aca="false">AU106*G106</f>
        <v>3783.52</v>
      </c>
      <c r="AW106" s="62" t="n">
        <f aca="false">ROUNDUP(CL106+MAX(CM106,2*(J106/IF(CH106&gt;0,CH106,MAX(0.1,N(Cockpit!$I$6)))-CL106)),0)</f>
        <v>376</v>
      </c>
      <c r="AX106" s="63" t="n">
        <f aca="false">IF(AT106&gt;0,J106/AT106,-1)</f>
        <v>558.193548387097</v>
      </c>
      <c r="AY106" s="63" t="n">
        <f aca="false">IF(AND(OR(CG106="L1",CG106="L23",CG106="LIFT"),AT106&gt;0),SUMIFS($AT$7:$AT$1843,$CG$7:$CG$1843,CG106,$AX$7:$AX$1843,"&gt;"&amp;AX106)+SUMIFS($AT$7:$AT$1843,$CG$7:$CG$1843,CG106,$AX$7:$AX$1843,AX106,$BX$7:$BX$1843,"&lt;="&amp;BX106),"")</f>
        <v>44.668956043956</v>
      </c>
      <c r="AZ106" s="70" t="n">
        <f aca="false">IF(AY106="",0,MAX(0,MIN(1,(IF(CG106="L1",Parameter!$H$5,IF(CG106="L23",Parameter!$H$6+Parameter!$H$7,Parameter!$H$5+Parameter!$H$6+Parameter!$H$7))-(AY106-AT106))/AT106)))</f>
        <v>1</v>
      </c>
      <c r="BA106" s="62" t="n">
        <f aca="false">IF(LEFT(Cockpit!$O$5,1)="A",H106,IF(Parameter!$E$30="MAX-Bestand",IF(CI106=1,CJ106,IF(LEFT(Cockpit!$O$5,1)="B",BG106,MAX(BG106,H106))),ROUNDUP(BE106,0)))</f>
        <v>155</v>
      </c>
      <c r="BB106" s="62" t="n">
        <f aca="false">IF(CA106=1,0,ROUNDUP(BA106/BZ106,0))</f>
        <v>1</v>
      </c>
      <c r="BC106" s="64" t="n">
        <f aca="false">IF(CR106&gt;0,CR106*MAX(1,BA106/X106),IF(CA106=1,IF(BA106&lt;=0,0,CE106*MAX(1,IF(H106&gt;0,BA106/H106,1))),IF(R106&gt;0,BB106/R106,0))/MAX(0.1,N(Parameter!$M$21)))</f>
        <v>0.00714285714285714</v>
      </c>
      <c r="BD106" s="62" t="n">
        <f aca="false">BC106*CC106</f>
        <v>1.10714285714286</v>
      </c>
      <c r="BE106" s="63" t="n">
        <f aca="false">IF(LEFT(Cockpit!$O$5,1)="A",H106,IF(CI106=1,(CL106+CJ106)/2,IF(LEFT(Cockpit!$O$5,1)="B",(CL106+BG106)/2,MAX((CL106+BG106)/2,H106))))</f>
        <v>154.5</v>
      </c>
      <c r="BF106" s="62" t="n">
        <f aca="false">BE106*G106</f>
        <v>2731.56</v>
      </c>
      <c r="BG106" s="62" t="n">
        <f aca="false">ROUNDUP(CL106+MAX(CM106,2*(J106/IF(CH106&gt;0,CH106,MAX(0.1,N(Cockpit!$O$6)))-CL106)),0)</f>
        <v>273</v>
      </c>
      <c r="BH106" s="63" t="n">
        <f aca="false">IF(BD106&gt;0,J106/BD106,-1)</f>
        <v>558.193548387097</v>
      </c>
      <c r="BI106" s="63" t="n">
        <f aca="false">IF(AND(OR(CG106="L1",CG106="L23",CG106="LIFT"),BD106&gt;0),SUMIFS($BD$7:$BD$1843,$CG$7:$CG$1843,CG106,$BH$7:$BH$1843,"&gt;"&amp;BH106)+SUMIFS($BD$7:$BD$1843,$CG$7:$CG$1843,CG106,$BH$7:$BH$1843,BH106,$BX$7:$BX$1843,"&lt;="&amp;BX106),"")</f>
        <v>64.7577838827839</v>
      </c>
      <c r="BJ106" s="70" t="n">
        <f aca="false">IF(BI106="",0,MAX(0,MIN(1,(IF(CG106="L1",Parameter!$H$5,IF(CG106="L23",Parameter!$H$6+Parameter!$H$7,Parameter!$H$5+Parameter!$H$6+Parameter!$H$7))-(BI106-BD106))/BD106)))</f>
        <v>1</v>
      </c>
      <c r="BK106" s="60" t="str">
        <f aca="false">IF(AJ106&lt;=0,"",IF(CG106="Aussen","Aussenlager",IF(CG106="-","Nicht im Lift",IF(AP106&gt;=1,"Lift",IF(AP106&lt;=0,"Aussenlager","teilweise")))))</f>
        <v>Lift</v>
      </c>
      <c r="BL106" s="60" t="str">
        <f aca="false">IF(AT106&lt;=0,"",IF(CG106="Aussen","Aussenlager",IF(CG106="-","Nicht im Lift",IF(AZ106&gt;=1,"Lift",IF(AZ106&lt;=0,"Aussenlager","teilweise")))))</f>
        <v>Lift</v>
      </c>
      <c r="BM106" s="60" t="str">
        <f aca="false">IF(BD106&lt;=0,"",IF(CG106="Aussen","Aussenlager",IF(CG106="-","Nicht im Lift",IF(BJ106&gt;=1,"Lift",IF(BJ106&lt;=0,"Aussenlager","teilweise")))))</f>
        <v>Lift</v>
      </c>
      <c r="BN106" s="60" t="str">
        <f aca="false">IF(A106="","",IF(BW106=1,"Neu; ","")&amp;IF(AND(BW106=0,BR106&lt;0),"negativer Bestand (Export "&amp;BR106&amp;"); ","")&amp;IF(J106&lt;=0,"Kein Verbrauch; ","")&amp;IF(CR106&gt;0,"Lift "&amp;W106&amp;" lt. Liftbericht (Fach "&amp;X106&amp;" Stk); ",IF(CB106=1,"Gebinde geschätzt ("&amp;T106&amp;"); ",IF(CA106=1,"Lose – Tablare geschätzt; ","")))&amp;IF(H106&gt;AW106,"Überbestand "&amp;ROUND(H106-AW106,0)&amp;" Stk / CHF "&amp;ROUND((H106-AW106)*G106,0)&amp;"; ","")&amp;IF(AND(CI106=1,CJ106&lt;CK106),"MAX &lt; MB+LG; ","")&amp;IF(AND(CQ106&gt;0,CP106*10&gt;CQ106),"zu hoch für Tablar; ","")&amp;IF(AND(BW106=0,OR(CI106=1,AB106&lt;&gt;"",U106&lt;&gt;"",V106&lt;&gt;"",AC106&lt;&gt;"")),"manuell übersteuert; ","")&amp;IF(AND(CA106=0,R106=0),"Gebinde unbekannt / Stellmass fehlt; ","")&amp;IF(AND(CA106=0,N(V106)&lt;=0,N(Q106)&lt;=0),"Menge pro Gebinde fehlt (Ist = 1 Gebinde); ","")&amp;BV106)</f>
        <v/>
      </c>
      <c r="BO106" s="60"/>
      <c r="BP106" s="60"/>
      <c r="BQ106" s="67"/>
      <c r="BR106" s="62" t="n">
        <v>119</v>
      </c>
      <c r="BS106" s="62" t="n">
        <v>95</v>
      </c>
      <c r="BT106" s="61" t="n">
        <v>2236.92</v>
      </c>
      <c r="BU106" s="62" t="n">
        <v>618</v>
      </c>
      <c r="BV106" s="60"/>
      <c r="BW106" s="65" t="n">
        <v>0</v>
      </c>
      <c r="BX106" s="65" t="n">
        <v>106</v>
      </c>
      <c r="BY106" s="60" t="str">
        <f aca="false">IF(U106&lt;&gt;"",UPPER(TRIM(U106)),IF(CB106=1,UPPER(VLOOKUP(T106,Parameter!$I$27:$K$29,2,0)),IF(P106="","LOSE",P106)))</f>
        <v>S22</v>
      </c>
      <c r="BZ106" s="62" t="n">
        <f aca="false">IF(BY106="LOSE",1,IF(N(V106)&gt;0,V106,IF(CB106=1,MAX(1,N(VLOOKUP(T106,Parameter!$I$27:$K$29,3,0)),H106,N(N106)),IF(N(Q106)&gt;0,Q106,MAX(1,H106)))))</f>
        <v>333</v>
      </c>
      <c r="CA106" s="65" t="n">
        <f aca="false">IF(BY106="LOSE",1,0)</f>
        <v>0</v>
      </c>
      <c r="CB106" s="65" t="n">
        <f aca="false">IF(AND(U106="",OR(P106="",P106="LOSE"),T106&lt;&gt;"",N(S106)&lt;=0,ISNUMBER(MATCH(T106,Parameter!$I$27:$I$29,0))),1,0)</f>
        <v>0</v>
      </c>
      <c r="CC106" s="65" t="n">
        <f aca="false">IF(CR106&gt;0,INDEX(Parameter!$H$5:$H$7,W106)/INDEX(Parameter!$E$5:$E$7,W106),IF(AND(CA106=0,N(IFERROR(VLOOKUP(BY106,'Gebinde-Kategorie'!$A$5:$N$45,14,0),0))&gt;0),VLOOKUP(BY106,'Gebinde-Kategorie'!$A$5:$N$45,14,0)*10+Parameter!$M$23,Parameter!$M$24))</f>
        <v>155</v>
      </c>
      <c r="CD106" s="60" t="str">
        <f aca="false">IF(AND(Parameter!$B$19="Ja",E106&lt;&gt;"",ISNUMBER(MATCH(E106,Parameter!$I$35:$I$52,0))),VLOOKUP(E106,Parameter!$I$35:$J$52,2,0),IFERROR(VLOOKUP(D106,Parameter!$A$35:$C$64,2,0),"Nein"))</f>
        <v>2+3</v>
      </c>
      <c r="CE106" s="64" t="n">
        <f aca="false">IF(CA106=0,0,IF(N(S106)&gt;0,S106,IFERROR(VLOOKUP(D106,Parameter!$A$35:$C$64,3,0)+0,0)))</f>
        <v>0</v>
      </c>
      <c r="CF106" s="60" t="n">
        <f aca="false">IF(AB106&lt;&gt;"",AB106,AA106)</f>
        <v>2</v>
      </c>
      <c r="CG106" s="60" t="str">
        <f aca="false">IF(OR(CF106=1,CF106=2,CF106=3),IF(Parameter!$E$27="Ja","LIFT",IF(CF106=1,"L1","L23")),IF(CF106="Aussen","Aussen","-"))</f>
        <v>LIFT</v>
      </c>
      <c r="CH106" s="71" t="n">
        <f aca="false">IF(N(AC106)&gt;0,AC106,0)</f>
        <v>0</v>
      </c>
      <c r="CI106" s="65" t="n">
        <f aca="false">IF(ISNUMBER(AF106),1,0)</f>
        <v>0</v>
      </c>
      <c r="CJ106" s="62" t="n">
        <f aca="false">N(AF106)</f>
        <v>0</v>
      </c>
      <c r="CK106" s="62" t="n">
        <f aca="false">N(M106)+N(N106)</f>
        <v>136</v>
      </c>
      <c r="CL106" s="62" t="n">
        <f aca="false">N(M106)</f>
        <v>36</v>
      </c>
      <c r="CM106" s="62" t="n">
        <f aca="false">N(N106)</f>
        <v>100</v>
      </c>
      <c r="CN106" s="62" t="n">
        <f aca="false">ROUNDUP(H106/BZ106,0)</f>
        <v>1</v>
      </c>
      <c r="CO106" s="62" t="n">
        <f aca="false">ROUNDUP(CJ106/BZ106,0)</f>
        <v>0</v>
      </c>
      <c r="CP106" s="65" t="n">
        <f aca="false">IF(CA106=1,0,IFERROR(VLOOKUP(BY106,'Gebinde-Kategorie'!$A$5:$N$45,5,0)+0,0))</f>
        <v>8</v>
      </c>
      <c r="CQ106" s="65" t="n">
        <f aca="false">IFERROR(IF(OR(CF106=1,CF106=2,CF106=3),N(INDEX(Parameter!$I$5:$I$7,CF106)),0),0)</f>
        <v>0</v>
      </c>
      <c r="CR106" s="64" t="n">
        <f aca="false">IF(AND(Parameter!$B$21="Ja",ISNUMBER(W106),N(X106)&gt;0),IFERROR(N(INDEX(Parameter!$L$5:$L$7,W106))*INDEX(Parameter!$E$5:$E$7,W106)*X106/SUMIFS($X$7:$X$1843,$W$7:$W$1843,W106),0),0)</f>
        <v>0</v>
      </c>
      <c r="CS106" s="62" t="n">
        <f aca="false">IF(AND(OR(CG106="L1",CG106="L23",CG106="LIFT"),H106&gt;0),CC106*IF(CR106&gt;0,CR106*MAX(1,H106/X106),IF(CA106=1,CE106,IF(R106&gt;0,CN106/R106,0))/MAX(0.1,N(Parameter!$M$21))),"")</f>
        <v>1.10714285714286</v>
      </c>
      <c r="CT106" s="64" t="n">
        <f aca="false">IF(CS106="","",J106/H106)</f>
        <v>2.88785046728972</v>
      </c>
      <c r="CU106" s="62" t="n">
        <f aca="false">IF(CS106="","",H106*G106)</f>
        <v>3783.52</v>
      </c>
      <c r="CV106" s="63" t="n">
        <f aca="false">IF(CS106="","",(CL106+ROUNDUP(CL106+MAX(CM106,2*(J106/MAX(0.1,N(Einkauf!$C$6))-CL106)),0))/2)</f>
        <v>154.5</v>
      </c>
      <c r="CW106" s="62" t="n">
        <f aca="false">IF(CS106="","",MAX(0,H106-CV106)*G106)</f>
        <v>1051.96</v>
      </c>
      <c r="CX106" s="62" t="n">
        <f aca="false">IF(CS106="","",CS106*MAX(0,1-CV106/H106))</f>
        <v>0.307827102803738</v>
      </c>
      <c r="CY106" s="64" t="n">
        <f aca="false">IF(CS106="","",PERCENTRANK($CS$7:$CS$1843,CS106)+PERCENTRANK($CU$7:$CU$1843,CU106)+1-PERCENTRANK($CT$7:$CT$1843,CT106))</f>
        <v>1.0424</v>
      </c>
      <c r="CZ106" s="72" t="n">
        <f aca="false">IF(CS106="","",CHOOSE(MATCH(Einkauf!$C$5,Parameter!$G$23:$G$27,0),CY106,CS106,CU106,-CT106,CW106)+ROW()/1000000000)</f>
        <v>1.042400106</v>
      </c>
    </row>
    <row r="107" customFormat="false" ht="15" hidden="false" customHeight="false" outlineLevel="0" collapsed="false">
      <c r="A107" s="60" t="s">
        <v>469</v>
      </c>
      <c r="B107" s="60" t="s">
        <v>334</v>
      </c>
      <c r="C107" s="60" t="s">
        <v>206</v>
      </c>
      <c r="D107" s="60" t="s">
        <v>226</v>
      </c>
      <c r="E107" s="60" t="s">
        <v>227</v>
      </c>
      <c r="F107" s="60" t="s">
        <v>260</v>
      </c>
      <c r="G107" s="61" t="n">
        <v>160.1</v>
      </c>
      <c r="H107" s="62" t="n">
        <f aca="false">MAX(0,IF(AND(Parameter!$B$21="Ja",ISNUMBER(Y107)),Y107,IF(Parameter!$B$20="Jahresanfang 2025 + Export",BS107+BR107,BR107)))</f>
        <v>37</v>
      </c>
      <c r="I107" s="62" t="n">
        <f aca="false">H107*G107</f>
        <v>5923.7</v>
      </c>
      <c r="J107" s="62" t="n">
        <f aca="false">BU107*Parameter!$B$18</f>
        <v>90</v>
      </c>
      <c r="K107" s="63" t="n">
        <v>30</v>
      </c>
      <c r="L107" s="64" t="n">
        <v>3</v>
      </c>
      <c r="M107" s="62" t="n">
        <v>10</v>
      </c>
      <c r="N107" s="62" t="n">
        <v>35</v>
      </c>
      <c r="O107" s="65" t="n">
        <v>30</v>
      </c>
      <c r="P107" s="60" t="s">
        <v>344</v>
      </c>
      <c r="Q107" s="62" t="n">
        <v>37</v>
      </c>
      <c r="R107" s="65" t="n">
        <f aca="false">IF(CA107=1,0,IFERROR(VLOOKUP(BY107,'Gebinde-Kategorie'!$A$5:$N$45,13,0)+0,0))</f>
        <v>26</v>
      </c>
      <c r="S107" s="66"/>
      <c r="T107" s="67"/>
      <c r="U107" s="67"/>
      <c r="V107" s="67"/>
      <c r="W107" s="60"/>
      <c r="X107" s="62"/>
      <c r="Y107" s="62"/>
      <c r="Z107" s="60" t="n">
        <v>3</v>
      </c>
      <c r="AA107" s="60" t="n">
        <f aca="false">IF(A107="","",IF(AND(Parameter!$B$21="Ja",ISNUMBER(W107)),W107,IF(AND(Parameter!$E$27="Ja",ISNUMBER(Z107),CD107&lt;&gt;"Nein"),Z107,IF(CD107="2+3",IF(ISNUMBER(SEARCH("grosser Artikel",BV107)),2,IFERROR(VLOOKUP(BY107,Parameter!$F$35:$G$64,2,0),2)),IF(OR(CD107="Nein",CD107=""),"-",CD107)))))</f>
        <v>3</v>
      </c>
      <c r="AB107" s="67"/>
      <c r="AC107" s="68"/>
      <c r="AD107" s="62" t="n">
        <f aca="false">AW107</f>
        <v>50</v>
      </c>
      <c r="AE107" s="62" t="n">
        <f aca="false">MAX(AW107,H107)</f>
        <v>50</v>
      </c>
      <c r="AF107" s="69"/>
      <c r="AG107" s="62" t="n">
        <f aca="false">IF(LEFT(Cockpit!$C$5,1)="A",H107,IF(Parameter!$E$30="MAX-Bestand",IF(CI107=1,CJ107,IF(LEFT(Cockpit!$C$5,1)="B",AM107,MAX(AM107,H107))),ROUNDUP(AK107,0)))</f>
        <v>37</v>
      </c>
      <c r="AH107" s="62" t="n">
        <f aca="false">IF(CA107=1,0,ROUNDUP(AG107/BZ107,0))</f>
        <v>1</v>
      </c>
      <c r="AI107" s="64" t="n">
        <f aca="false">IF(CR107&gt;0,CR107*MAX(1,AG107/X107),IF(CA107=1,IF(AG107&lt;=0,0,CE107*MAX(1,IF(H107&gt;0,AG107/H107,1))),IF(R107&gt;0,AH107/R107,0))/MAX(0.1,N(Parameter!$M$21)))</f>
        <v>0.0384615384615385</v>
      </c>
      <c r="AJ107" s="62" t="n">
        <f aca="false">AI107*CC107</f>
        <v>5.96153846153846</v>
      </c>
      <c r="AK107" s="63" t="n">
        <f aca="false">IF(LEFT(Cockpit!$C$5,1)="A",H107,IF(CI107=1,(CL107+CJ107)/2,IF(LEFT(Cockpit!$C$5,1)="B",(CL107+AM107)/2,MAX((CL107+AM107)/2,H107))))</f>
        <v>37</v>
      </c>
      <c r="AL107" s="62" t="n">
        <f aca="false">AK107*G107</f>
        <v>5923.7</v>
      </c>
      <c r="AM107" s="62" t="n">
        <f aca="false">ROUNDUP(CL107+MAX(CM107,2*(J107/IF(CH107&gt;0,CH107,MAX(0.1,N(Cockpit!$C$6)))-CL107)),0)</f>
        <v>50</v>
      </c>
      <c r="AN107" s="63" t="n">
        <f aca="false">IF(AJ107&gt;0,J107/AJ107,-1)</f>
        <v>15.0967741935484</v>
      </c>
      <c r="AO107" s="63" t="n">
        <f aca="false">IF(AND(OR(CG107="L1",CG107="L23",CG107="LIFT"),AJ107&gt;0),SUMIFS($AJ$7:$AJ$1843,$CG$7:$CG$1843,CG107,$AN$7:$AN$1843,"&gt;"&amp;AN107)+SUMIFS($AJ$7:$AJ$1843,$CG$7:$CG$1843,CG107,$AN$7:$AN$1843,AN107,$BX$7:$BX$1843,"&lt;="&amp;BX107),"")</f>
        <v>2073.14102564103</v>
      </c>
      <c r="AP107" s="70" t="n">
        <f aca="false">IF(AO107="",0,MAX(0,MIN(1,(IF(CG107="L1",Parameter!$H$5,IF(CG107="L23",Parameter!$H$6+Parameter!$H$7,Parameter!$H$5+Parameter!$H$6+Parameter!$H$7))-(AO107-AJ107))/AJ107)))</f>
        <v>1</v>
      </c>
      <c r="AQ107" s="62" t="n">
        <f aca="false">IF(LEFT(Cockpit!$I$5,1)="A",H107,IF(Parameter!$E$30="MAX-Bestand",IF(CI107=1,CJ107,IF(LEFT(Cockpit!$I$5,1)="B",AW107,MAX(AW107,H107))),ROUNDUP(AU107,0)))</f>
        <v>37</v>
      </c>
      <c r="AR107" s="62" t="n">
        <f aca="false">IF(CA107=1,0,ROUNDUP(AQ107/BZ107,0))</f>
        <v>1</v>
      </c>
      <c r="AS107" s="64" t="n">
        <f aca="false">IF(CR107&gt;0,CR107*MAX(1,AQ107/X107),IF(CA107=1,IF(AQ107&lt;=0,0,CE107*MAX(1,IF(H107&gt;0,AQ107/H107,1))),IF(R107&gt;0,AR107/R107,0))/MAX(0.1,N(Parameter!$M$21)))</f>
        <v>0.0384615384615385</v>
      </c>
      <c r="AT107" s="62" t="n">
        <f aca="false">AS107*CC107</f>
        <v>5.96153846153846</v>
      </c>
      <c r="AU107" s="63" t="n">
        <f aca="false">IF(LEFT(Cockpit!$I$5,1)="A",H107,IF(CI107=1,(CL107+CJ107)/2,IF(LEFT(Cockpit!$I$5,1)="B",(CL107+AW107)/2,MAX((CL107+AW107)/2,H107))))</f>
        <v>37</v>
      </c>
      <c r="AV107" s="62" t="n">
        <f aca="false">AU107*G107</f>
        <v>5923.7</v>
      </c>
      <c r="AW107" s="62" t="n">
        <f aca="false">ROUNDUP(CL107+MAX(CM107,2*(J107/IF(CH107&gt;0,CH107,MAX(0.1,N(Cockpit!$I$6)))-CL107)),0)</f>
        <v>50</v>
      </c>
      <c r="AX107" s="63" t="n">
        <f aca="false">IF(AT107&gt;0,J107/AT107,-1)</f>
        <v>15.0967741935484</v>
      </c>
      <c r="AY107" s="63" t="n">
        <f aca="false">IF(AND(OR(CG107="L1",CG107="L23",CG107="LIFT"),AT107&gt;0),SUMIFS($AT$7:$AT$1843,$CG$7:$CG$1843,CG107,$AX$7:$AX$1843,"&gt;"&amp;AX107)+SUMIFS($AT$7:$AT$1843,$CG$7:$CG$1843,CG107,$AX$7:$AX$1843,AX107,$BX$7:$BX$1843,"&lt;="&amp;BX107),"")</f>
        <v>2721.07783882784</v>
      </c>
      <c r="AZ107" s="70" t="n">
        <f aca="false">IF(AY107="",0,MAX(0,MIN(1,(IF(CG107="L1",Parameter!$H$5,IF(CG107="L23",Parameter!$H$6+Parameter!$H$7,Parameter!$H$5+Parameter!$H$6+Parameter!$H$7))-(AY107-AT107))/AT107)))</f>
        <v>1</v>
      </c>
      <c r="BA107" s="62" t="n">
        <f aca="false">IF(LEFT(Cockpit!$O$5,1)="A",H107,IF(Parameter!$E$30="MAX-Bestand",IF(CI107=1,CJ107,IF(LEFT(Cockpit!$O$5,1)="B",BG107,MAX(BG107,H107))),ROUNDUP(BE107,0)))</f>
        <v>28</v>
      </c>
      <c r="BB107" s="62" t="n">
        <f aca="false">IF(CA107=1,0,ROUNDUP(BA107/BZ107,0))</f>
        <v>1</v>
      </c>
      <c r="BC107" s="64" t="n">
        <f aca="false">IF(CR107&gt;0,CR107*MAX(1,BA107/X107),IF(CA107=1,IF(BA107&lt;=0,0,CE107*MAX(1,IF(H107&gt;0,BA107/H107,1))),IF(R107&gt;0,BB107/R107,0))/MAX(0.1,N(Parameter!$M$21)))</f>
        <v>0.0384615384615385</v>
      </c>
      <c r="BD107" s="62" t="n">
        <f aca="false">BC107*CC107</f>
        <v>5.96153846153846</v>
      </c>
      <c r="BE107" s="63" t="n">
        <f aca="false">IF(LEFT(Cockpit!$O$5,1)="A",H107,IF(CI107=1,(CL107+CJ107)/2,IF(LEFT(Cockpit!$O$5,1)="B",(CL107+BG107)/2,MAX((CL107+BG107)/2,H107))))</f>
        <v>27.5</v>
      </c>
      <c r="BF107" s="62" t="n">
        <f aca="false">BE107*G107</f>
        <v>4402.75</v>
      </c>
      <c r="BG107" s="62" t="n">
        <f aca="false">ROUNDUP(CL107+MAX(CM107,2*(J107/IF(CH107&gt;0,CH107,MAX(0.1,N(Cockpit!$O$6)))-CL107)),0)</f>
        <v>45</v>
      </c>
      <c r="BH107" s="63" t="n">
        <f aca="false">IF(BD107&gt;0,J107/BD107,-1)</f>
        <v>15.0967741935484</v>
      </c>
      <c r="BI107" s="63" t="n">
        <f aca="false">IF(AND(OR(CG107="L1",CG107="L23",CG107="LIFT"),BD107&gt;0),SUMIFS($BD$7:$BD$1843,$CG$7:$CG$1843,CG107,$BH$7:$BH$1843,"&gt;"&amp;BH107)+SUMIFS($BD$7:$BD$1843,$CG$7:$CG$1843,CG107,$BH$7:$BH$1843,BH107,$BX$7:$BX$1843,"&lt;="&amp;BX107),"")</f>
        <v>2404.11492673993</v>
      </c>
      <c r="BJ107" s="70" t="n">
        <f aca="false">IF(BI107="",0,MAX(0,MIN(1,(IF(CG107="L1",Parameter!$H$5,IF(CG107="L23",Parameter!$H$6+Parameter!$H$7,Parameter!$H$5+Parameter!$H$6+Parameter!$H$7))-(BI107-BD107))/BD107)))</f>
        <v>1</v>
      </c>
      <c r="BK107" s="60" t="str">
        <f aca="false">IF(AJ107&lt;=0,"",IF(CG107="Aussen","Aussenlager",IF(CG107="-","Nicht im Lift",IF(AP107&gt;=1,"Lift",IF(AP107&lt;=0,"Aussenlager","teilweise")))))</f>
        <v>Lift</v>
      </c>
      <c r="BL107" s="60" t="str">
        <f aca="false">IF(AT107&lt;=0,"",IF(CG107="Aussen","Aussenlager",IF(CG107="-","Nicht im Lift",IF(AZ107&gt;=1,"Lift",IF(AZ107&lt;=0,"Aussenlager","teilweise")))))</f>
        <v>Lift</v>
      </c>
      <c r="BM107" s="60" t="str">
        <f aca="false">IF(BD107&lt;=0,"",IF(CG107="Aussen","Aussenlager",IF(CG107="-","Nicht im Lift",IF(BJ107&gt;=1,"Lift",IF(BJ107&lt;=0,"Aussenlager","teilweise")))))</f>
        <v>Lift</v>
      </c>
      <c r="BN107" s="60" t="str">
        <f aca="false">IF(A107="","",IF(BW107=1,"Neu; ","")&amp;IF(AND(BW107=0,BR107&lt;0),"negativer Bestand (Export "&amp;BR107&amp;"); ","")&amp;IF(J107&lt;=0,"Kein Verbrauch; ","")&amp;IF(CR107&gt;0,"Lift "&amp;W107&amp;" lt. Liftbericht (Fach "&amp;X107&amp;" Stk); ",IF(CB107=1,"Gebinde geschätzt ("&amp;T107&amp;"); ",IF(CA107=1,"Lose – Tablare geschätzt; ","")))&amp;IF(H107&gt;AW107,"Überbestand "&amp;ROUND(H107-AW107,0)&amp;" Stk / CHF "&amp;ROUND((H107-AW107)*G107,0)&amp;"; ","")&amp;IF(AND(CI107=1,CJ107&lt;CK107),"MAX &lt; MB+LG; ","")&amp;IF(AND(CQ107&gt;0,CP107*10&gt;CQ107),"zu hoch für Tablar; ","")&amp;IF(AND(BW107=0,OR(CI107=1,AB107&lt;&gt;"",U107&lt;&gt;"",V107&lt;&gt;"",AC107&lt;&gt;"")),"manuell übersteuert; ","")&amp;IF(AND(CA107=0,R107=0),"Gebinde unbekannt / Stellmass fehlt; ","")&amp;IF(AND(CA107=0,N(V107)&lt;=0,N(Q107)&lt;=0),"Menge pro Gebinde fehlt (Ist = 1 Gebinde); ","")&amp;BV107)</f>
        <v/>
      </c>
      <c r="BO107" s="60"/>
      <c r="BP107" s="60"/>
      <c r="BQ107" s="67"/>
      <c r="BR107" s="62" t="n">
        <v>12</v>
      </c>
      <c r="BS107" s="62" t="n">
        <v>25</v>
      </c>
      <c r="BT107" s="61" t="n">
        <v>2199.6</v>
      </c>
      <c r="BU107" s="62" t="n">
        <v>90</v>
      </c>
      <c r="BV107" s="60"/>
      <c r="BW107" s="65" t="n">
        <v>0</v>
      </c>
      <c r="BX107" s="65" t="n">
        <v>107</v>
      </c>
      <c r="BY107" s="60" t="str">
        <f aca="false">IF(U107&lt;&gt;"",UPPER(TRIM(U107)),IF(CB107=1,UPPER(VLOOKUP(T107,Parameter!$I$27:$K$29,2,0)),IF(P107="","LOSE",P107)))</f>
        <v>S51</v>
      </c>
      <c r="BZ107" s="62" t="n">
        <f aca="false">IF(BY107="LOSE",1,IF(N(V107)&gt;0,V107,IF(CB107=1,MAX(1,N(VLOOKUP(T107,Parameter!$I$27:$K$29,3,0)),H107,N(N107)),IF(N(Q107)&gt;0,Q107,MAX(1,H107)))))</f>
        <v>37</v>
      </c>
      <c r="CA107" s="65" t="n">
        <f aca="false">IF(BY107="LOSE",1,0)</f>
        <v>0</v>
      </c>
      <c r="CB107" s="65" t="n">
        <f aca="false">IF(AND(U107="",OR(P107="",P107="LOSE"),T107&lt;&gt;"",N(S107)&lt;=0,ISNUMBER(MATCH(T107,Parameter!$I$27:$I$29,0))),1,0)</f>
        <v>0</v>
      </c>
      <c r="CC107" s="65" t="n">
        <f aca="false">IF(CR107&gt;0,INDEX(Parameter!$H$5:$H$7,W107)/INDEX(Parameter!$E$5:$E$7,W107),IF(AND(CA107=0,N(IFERROR(VLOOKUP(BY107,'Gebinde-Kategorie'!$A$5:$N$45,14,0),0))&gt;0),VLOOKUP(BY107,'Gebinde-Kategorie'!$A$5:$N$45,14,0)*10+Parameter!$M$23,Parameter!$M$24))</f>
        <v>155</v>
      </c>
      <c r="CD107" s="60" t="str">
        <f aca="false">IF(AND(Parameter!$B$19="Ja",E107&lt;&gt;"",ISNUMBER(MATCH(E107,Parameter!$I$35:$I$52,0))),VLOOKUP(E107,Parameter!$I$35:$J$52,2,0),IFERROR(VLOOKUP(D107,Parameter!$A$35:$C$64,2,0),"Nein"))</f>
        <v>2+3</v>
      </c>
      <c r="CE107" s="64" t="n">
        <f aca="false">IF(CA107=0,0,IF(N(S107)&gt;0,S107,IFERROR(VLOOKUP(D107,Parameter!$A$35:$C$64,3,0)+0,0)))</f>
        <v>0</v>
      </c>
      <c r="CF107" s="60" t="n">
        <f aca="false">IF(AB107&lt;&gt;"",AB107,AA107)</f>
        <v>3</v>
      </c>
      <c r="CG107" s="60" t="str">
        <f aca="false">IF(OR(CF107=1,CF107=2,CF107=3),IF(Parameter!$E$27="Ja","LIFT",IF(CF107=1,"L1","L23")),IF(CF107="Aussen","Aussen","-"))</f>
        <v>LIFT</v>
      </c>
      <c r="CH107" s="71" t="n">
        <f aca="false">IF(N(AC107)&gt;0,AC107,0)</f>
        <v>0</v>
      </c>
      <c r="CI107" s="65" t="n">
        <f aca="false">IF(ISNUMBER(AF107),1,0)</f>
        <v>0</v>
      </c>
      <c r="CJ107" s="62" t="n">
        <f aca="false">N(AF107)</f>
        <v>0</v>
      </c>
      <c r="CK107" s="62" t="n">
        <f aca="false">N(M107)+N(N107)</f>
        <v>45</v>
      </c>
      <c r="CL107" s="62" t="n">
        <f aca="false">N(M107)</f>
        <v>10</v>
      </c>
      <c r="CM107" s="62" t="n">
        <f aca="false">N(N107)</f>
        <v>35</v>
      </c>
      <c r="CN107" s="62" t="n">
        <f aca="false">ROUNDUP(H107/BZ107,0)</f>
        <v>1</v>
      </c>
      <c r="CO107" s="62" t="n">
        <f aca="false">ROUNDUP(CJ107/BZ107,0)</f>
        <v>0</v>
      </c>
      <c r="CP107" s="65" t="n">
        <f aca="false">IF(CA107=1,0,IFERROR(VLOOKUP(BY107,'Gebinde-Kategorie'!$A$5:$N$45,5,0)+0,0))</f>
        <v>11</v>
      </c>
      <c r="CQ107" s="65" t="n">
        <f aca="false">IFERROR(IF(OR(CF107=1,CF107=2,CF107=3),N(INDEX(Parameter!$I$5:$I$7,CF107)),0),0)</f>
        <v>0</v>
      </c>
      <c r="CR107" s="64" t="n">
        <f aca="false">IF(AND(Parameter!$B$21="Ja",ISNUMBER(W107),N(X107)&gt;0),IFERROR(N(INDEX(Parameter!$L$5:$L$7,W107))*INDEX(Parameter!$E$5:$E$7,W107)*X107/SUMIFS($X$7:$X$1843,$W$7:$W$1843,W107),0),0)</f>
        <v>0</v>
      </c>
      <c r="CS107" s="62" t="n">
        <f aca="false">IF(AND(OR(CG107="L1",CG107="L23",CG107="LIFT"),H107&gt;0),CC107*IF(CR107&gt;0,CR107*MAX(1,H107/X107),IF(CA107=1,CE107,IF(R107&gt;0,CN107/R107,0))/MAX(0.1,N(Parameter!$M$21))),"")</f>
        <v>5.96153846153846</v>
      </c>
      <c r="CT107" s="64" t="n">
        <f aca="false">IF(CS107="","",J107/H107)</f>
        <v>2.43243243243243</v>
      </c>
      <c r="CU107" s="62" t="n">
        <f aca="false">IF(CS107="","",H107*G107)</f>
        <v>5923.7</v>
      </c>
      <c r="CV107" s="63" t="n">
        <f aca="false">IF(CS107="","",(CL107+ROUNDUP(CL107+MAX(CM107,2*(J107/MAX(0.1,N(Einkauf!$C$6))-CL107)),0))/2)</f>
        <v>27.5</v>
      </c>
      <c r="CW107" s="62" t="n">
        <f aca="false">IF(CS107="","",MAX(0,H107-CV107)*G107)</f>
        <v>1520.95</v>
      </c>
      <c r="CX107" s="62" t="n">
        <f aca="false">IF(CS107="","",CS107*MAX(0,1-CV107/H107))</f>
        <v>1.53066528066528</v>
      </c>
      <c r="CY107" s="64" t="n">
        <f aca="false">IF(CS107="","",PERCENTRANK($CS$7:$CS$1843,CS107)+PERCENTRANK($CU$7:$CU$1843,CU107)+1-PERCENTRANK($CT$7:$CT$1843,CT107))</f>
        <v>1.428</v>
      </c>
      <c r="CZ107" s="72" t="n">
        <f aca="false">IF(CS107="","",CHOOSE(MATCH(Einkauf!$C$5,Parameter!$G$23:$G$27,0),CY107,CS107,CU107,-CT107,CW107)+ROW()/1000000000)</f>
        <v>1.428000107</v>
      </c>
    </row>
    <row r="108" customFormat="false" ht="15" hidden="false" customHeight="false" outlineLevel="0" collapsed="false">
      <c r="A108" s="60" t="s">
        <v>470</v>
      </c>
      <c r="B108" s="60" t="s">
        <v>471</v>
      </c>
      <c r="C108" s="60" t="s">
        <v>206</v>
      </c>
      <c r="D108" s="60" t="s">
        <v>226</v>
      </c>
      <c r="E108" s="60"/>
      <c r="F108" s="60" t="s">
        <v>260</v>
      </c>
      <c r="G108" s="61" t="n">
        <v>57.81</v>
      </c>
      <c r="H108" s="62" t="n">
        <f aca="false">MAX(0,IF(AND(Parameter!$B$21="Ja",ISNUMBER(Y108)),Y108,IF(Parameter!$B$20="Jahresanfang 2025 + Export",BS108+BR108,BR108)))</f>
        <v>53</v>
      </c>
      <c r="I108" s="62" t="n">
        <f aca="false">H108*G108</f>
        <v>3063.93</v>
      </c>
      <c r="J108" s="62" t="n">
        <f aca="false">BU108*Parameter!$B$18</f>
        <v>90</v>
      </c>
      <c r="K108" s="63" t="n">
        <v>32</v>
      </c>
      <c r="L108" s="64" t="n">
        <v>2.8125</v>
      </c>
      <c r="M108" s="62" t="n">
        <v>20</v>
      </c>
      <c r="N108" s="62" t="n">
        <v>55</v>
      </c>
      <c r="O108" s="65" t="n">
        <v>70</v>
      </c>
      <c r="P108" s="60" t="s">
        <v>275</v>
      </c>
      <c r="Q108" s="62" t="n">
        <v>50</v>
      </c>
      <c r="R108" s="65" t="n">
        <f aca="false">IF(CA108=1,0,IFERROR(VLOOKUP(BY108,'Gebinde-Kategorie'!$A$5:$N$45,13,0)+0,0))</f>
        <v>26</v>
      </c>
      <c r="S108" s="66"/>
      <c r="T108" s="67"/>
      <c r="U108" s="67"/>
      <c r="V108" s="67"/>
      <c r="W108" s="60"/>
      <c r="X108" s="62"/>
      <c r="Y108" s="62"/>
      <c r="Z108" s="60" t="n">
        <v>3</v>
      </c>
      <c r="AA108" s="60" t="n">
        <f aca="false">IF(A108="","",IF(AND(Parameter!$B$21="Ja",ISNUMBER(W108)),W108,IF(AND(Parameter!$E$27="Ja",ISNUMBER(Z108),CD108&lt;&gt;"Nein"),Z108,IF(CD108="2+3",IF(ISNUMBER(SEARCH("grosser Artikel",BV108)),2,IFERROR(VLOOKUP(BY108,Parameter!$F$35:$G$64,2,0),2)),IF(OR(CD108="Nein",CD108=""),"-",CD108)))))</f>
        <v>3</v>
      </c>
      <c r="AB108" s="67"/>
      <c r="AC108" s="68"/>
      <c r="AD108" s="62" t="n">
        <f aca="false">AW108</f>
        <v>75</v>
      </c>
      <c r="AE108" s="62" t="n">
        <f aca="false">MAX(AW108,H108)</f>
        <v>75</v>
      </c>
      <c r="AF108" s="69"/>
      <c r="AG108" s="62" t="n">
        <f aca="false">IF(LEFT(Cockpit!$C$5,1)="A",H108,IF(Parameter!$E$30="MAX-Bestand",IF(CI108=1,CJ108,IF(LEFT(Cockpit!$C$5,1)="B",AM108,MAX(AM108,H108))),ROUNDUP(AK108,0)))</f>
        <v>53</v>
      </c>
      <c r="AH108" s="62" t="n">
        <f aca="false">IF(CA108=1,0,ROUNDUP(AG108/BZ108,0))</f>
        <v>2</v>
      </c>
      <c r="AI108" s="64" t="n">
        <f aca="false">IF(CR108&gt;0,CR108*MAX(1,AG108/X108),IF(CA108=1,IF(AG108&lt;=0,0,CE108*MAX(1,IF(H108&gt;0,AG108/H108,1))),IF(R108&gt;0,AH108/R108,0))/MAX(0.1,N(Parameter!$M$21)))</f>
        <v>0.0769230769230769</v>
      </c>
      <c r="AJ108" s="62" t="n">
        <f aca="false">AI108*CC108</f>
        <v>18.8461538461538</v>
      </c>
      <c r="AK108" s="63" t="n">
        <f aca="false">IF(LEFT(Cockpit!$C$5,1)="A",H108,IF(CI108=1,(CL108+CJ108)/2,IF(LEFT(Cockpit!$C$5,1)="B",(CL108+AM108)/2,MAX((CL108+AM108)/2,H108))))</f>
        <v>53</v>
      </c>
      <c r="AL108" s="62" t="n">
        <f aca="false">AK108*G108</f>
        <v>3063.93</v>
      </c>
      <c r="AM108" s="62" t="n">
        <f aca="false">ROUNDUP(CL108+MAX(CM108,2*(J108/IF(CH108&gt;0,CH108,MAX(0.1,N(Cockpit!$C$6)))-CL108)),0)</f>
        <v>75</v>
      </c>
      <c r="AN108" s="63" t="n">
        <f aca="false">IF(AJ108&gt;0,J108/AJ108,-1)</f>
        <v>4.77551020408163</v>
      </c>
      <c r="AO108" s="63" t="n">
        <f aca="false">IF(AND(OR(CG108="L1",CG108="L23",CG108="LIFT"),AJ108&gt;0),SUMIFS($AJ$7:$AJ$1843,$CG$7:$CG$1843,CG108,$AN$7:$AN$1843,"&gt;"&amp;AN108)+SUMIFS($AJ$7:$AJ$1843,$CG$7:$CG$1843,CG108,$AN$7:$AN$1843,AN108,$BX$7:$BX$1843,"&lt;="&amp;BX108),"")</f>
        <v>4111.52426739927</v>
      </c>
      <c r="AP108" s="70" t="n">
        <f aca="false">IF(AO108="",0,MAX(0,MIN(1,(IF(CG108="L1",Parameter!$H$5,IF(CG108="L23",Parameter!$H$6+Parameter!$H$7,Parameter!$H$5+Parameter!$H$6+Parameter!$H$7))-(AO108-AJ108))/AJ108)))</f>
        <v>1</v>
      </c>
      <c r="AQ108" s="62" t="n">
        <f aca="false">IF(LEFT(Cockpit!$I$5,1)="A",H108,IF(Parameter!$E$30="MAX-Bestand",IF(CI108=1,CJ108,IF(LEFT(Cockpit!$I$5,1)="B",AW108,MAX(AW108,H108))),ROUNDUP(AU108,0)))</f>
        <v>53</v>
      </c>
      <c r="AR108" s="62" t="n">
        <f aca="false">IF(CA108=1,0,ROUNDUP(AQ108/BZ108,0))</f>
        <v>2</v>
      </c>
      <c r="AS108" s="64" t="n">
        <f aca="false">IF(CR108&gt;0,CR108*MAX(1,AQ108/X108),IF(CA108=1,IF(AQ108&lt;=0,0,CE108*MAX(1,IF(H108&gt;0,AQ108/H108,1))),IF(R108&gt;0,AR108/R108,0))/MAX(0.1,N(Parameter!$M$21)))</f>
        <v>0.0769230769230769</v>
      </c>
      <c r="AT108" s="62" t="n">
        <f aca="false">AS108*CC108</f>
        <v>18.8461538461538</v>
      </c>
      <c r="AU108" s="63" t="n">
        <f aca="false">IF(LEFT(Cockpit!$I$5,1)="A",H108,IF(CI108=1,(CL108+CJ108)/2,IF(LEFT(Cockpit!$I$5,1)="B",(CL108+AW108)/2,MAX((CL108+AW108)/2,H108))))</f>
        <v>53</v>
      </c>
      <c r="AV108" s="62" t="n">
        <f aca="false">AU108*G108</f>
        <v>3063.93</v>
      </c>
      <c r="AW108" s="62" t="n">
        <f aca="false">ROUNDUP(CL108+MAX(CM108,2*(J108/IF(CH108&gt;0,CH108,MAX(0.1,N(Cockpit!$I$6)))-CL108)),0)</f>
        <v>75</v>
      </c>
      <c r="AX108" s="63" t="n">
        <f aca="false">IF(AT108&gt;0,J108/AT108,-1)</f>
        <v>4.77551020408163</v>
      </c>
      <c r="AY108" s="63" t="n">
        <f aca="false">IF(AND(OR(CG108="L1",CG108="L23",CG108="LIFT"),AT108&gt;0),SUMIFS($AT$7:$AT$1843,$CG$7:$CG$1843,CG108,$AX$7:$AX$1843,"&gt;"&amp;AX108)+SUMIFS($AT$7:$AT$1843,$CG$7:$CG$1843,CG108,$AX$7:$AX$1843,AX108,$BX$7:$BX$1843,"&lt;="&amp;BX108),"")</f>
        <v>4707.76510989011</v>
      </c>
      <c r="AZ108" s="70" t="n">
        <f aca="false">IF(AY108="",0,MAX(0,MIN(1,(IF(CG108="L1",Parameter!$H$5,IF(CG108="L23",Parameter!$H$6+Parameter!$H$7,Parameter!$H$5+Parameter!$H$6+Parameter!$H$7))-(AY108-AT108))/AT108)))</f>
        <v>1</v>
      </c>
      <c r="BA108" s="62" t="n">
        <f aca="false">IF(LEFT(Cockpit!$O$5,1)="A",H108,IF(Parameter!$E$30="MAX-Bestand",IF(CI108=1,CJ108,IF(LEFT(Cockpit!$O$5,1)="B",BG108,MAX(BG108,H108))),ROUNDUP(BE108,0)))</f>
        <v>48</v>
      </c>
      <c r="BB108" s="62" t="n">
        <f aca="false">IF(CA108=1,0,ROUNDUP(BA108/BZ108,0))</f>
        <v>1</v>
      </c>
      <c r="BC108" s="64" t="n">
        <f aca="false">IF(CR108&gt;0,CR108*MAX(1,BA108/X108),IF(CA108=1,IF(BA108&lt;=0,0,CE108*MAX(1,IF(H108&gt;0,BA108/H108,1))),IF(R108&gt;0,BB108/R108,0))/MAX(0.1,N(Parameter!$M$21)))</f>
        <v>0.0384615384615385</v>
      </c>
      <c r="BD108" s="62" t="n">
        <f aca="false">BC108*CC108</f>
        <v>9.42307692307692</v>
      </c>
      <c r="BE108" s="63" t="n">
        <f aca="false">IF(LEFT(Cockpit!$O$5,1)="A",H108,IF(CI108=1,(CL108+CJ108)/2,IF(LEFT(Cockpit!$O$5,1)="B",(CL108+BG108)/2,MAX((CL108+BG108)/2,H108))))</f>
        <v>47.5</v>
      </c>
      <c r="BF108" s="62" t="n">
        <f aca="false">BE108*G108</f>
        <v>2745.975</v>
      </c>
      <c r="BG108" s="62" t="n">
        <f aca="false">ROUNDUP(CL108+MAX(CM108,2*(J108/IF(CH108&gt;0,CH108,MAX(0.1,N(Cockpit!$O$6)))-CL108)),0)</f>
        <v>75</v>
      </c>
      <c r="BH108" s="63" t="n">
        <f aca="false">IF(BD108&gt;0,J108/BD108,-1)</f>
        <v>9.55102040816326</v>
      </c>
      <c r="BI108" s="63" t="n">
        <f aca="false">IF(AND(OR(CG108="L1",CG108="L23",CG108="LIFT"),BD108&gt;0),SUMIFS($BD$7:$BD$1843,$CG$7:$CG$1843,CG108,$BH$7:$BH$1843,"&gt;"&amp;BH108)+SUMIFS($BD$7:$BD$1843,$CG$7:$CG$1843,CG108,$BH$7:$BH$1843,BH108,$BX$7:$BX$1843,"&lt;="&amp;BX108),"")</f>
        <v>2727.11858974359</v>
      </c>
      <c r="BJ108" s="70" t="n">
        <f aca="false">IF(BI108="",0,MAX(0,MIN(1,(IF(CG108="L1",Parameter!$H$5,IF(CG108="L23",Parameter!$H$6+Parameter!$H$7,Parameter!$H$5+Parameter!$H$6+Parameter!$H$7))-(BI108-BD108))/BD108)))</f>
        <v>1</v>
      </c>
      <c r="BK108" s="60" t="str">
        <f aca="false">IF(AJ108&lt;=0,"",IF(CG108="Aussen","Aussenlager",IF(CG108="-","Nicht im Lift",IF(AP108&gt;=1,"Lift",IF(AP108&lt;=0,"Aussenlager","teilweise")))))</f>
        <v>Lift</v>
      </c>
      <c r="BL108" s="60" t="str">
        <f aca="false">IF(AT108&lt;=0,"",IF(CG108="Aussen","Aussenlager",IF(CG108="-","Nicht im Lift",IF(AZ108&gt;=1,"Lift",IF(AZ108&lt;=0,"Aussenlager","teilweise")))))</f>
        <v>Lift</v>
      </c>
      <c r="BM108" s="60" t="str">
        <f aca="false">IF(BD108&lt;=0,"",IF(CG108="Aussen","Aussenlager",IF(CG108="-","Nicht im Lift",IF(BJ108&gt;=1,"Lift",IF(BJ108&lt;=0,"Aussenlager","teilweise")))))</f>
        <v>Lift</v>
      </c>
      <c r="BN108" s="60" t="str">
        <f aca="false">IF(A108="","",IF(BW108=1,"Neu; ","")&amp;IF(AND(BW108=0,BR108&lt;0),"negativer Bestand (Export "&amp;BR108&amp;"); ","")&amp;IF(J108&lt;=0,"Kein Verbrauch; ","")&amp;IF(CR108&gt;0,"Lift "&amp;W108&amp;" lt. Liftbericht (Fach "&amp;X108&amp;" Stk); ",IF(CB108=1,"Gebinde geschätzt ("&amp;T108&amp;"); ",IF(CA108=1,"Lose – Tablare geschätzt; ","")))&amp;IF(H108&gt;AW108,"Überbestand "&amp;ROUND(H108-AW108,0)&amp;" Stk / CHF "&amp;ROUND((H108-AW108)*G108,0)&amp;"; ","")&amp;IF(AND(CI108=1,CJ108&lt;CK108),"MAX &lt; MB+LG; ","")&amp;IF(AND(CQ108&gt;0,CP108*10&gt;CQ108),"zu hoch für Tablar; ","")&amp;IF(AND(BW108=0,OR(CI108=1,AB108&lt;&gt;"",U108&lt;&gt;"",V108&lt;&gt;"",AC108&lt;&gt;"")),"manuell übersteuert; ","")&amp;IF(AND(CA108=0,R108=0),"Gebinde unbekannt / Stellmass fehlt; ","")&amp;IF(AND(CA108=0,N(V108)&lt;=0,N(Q108)&lt;=0),"Menge pro Gebinde fehlt (Ist = 1 Gebinde); ","")&amp;BV108)</f>
        <v/>
      </c>
      <c r="BO108" s="60"/>
      <c r="BP108" s="60"/>
      <c r="BQ108" s="67"/>
      <c r="BR108" s="62" t="n">
        <v>38</v>
      </c>
      <c r="BS108" s="62" t="n">
        <v>15</v>
      </c>
      <c r="BT108" s="61" t="n">
        <v>2184.18</v>
      </c>
      <c r="BU108" s="62" t="n">
        <v>90</v>
      </c>
      <c r="BV108" s="60"/>
      <c r="BW108" s="65" t="n">
        <v>0</v>
      </c>
      <c r="BX108" s="65" t="n">
        <v>108</v>
      </c>
      <c r="BY108" s="60" t="str">
        <f aca="false">IF(U108&lt;&gt;"",UPPER(TRIM(U108)),IF(CB108=1,UPPER(VLOOKUP(T108,Parameter!$I$27:$K$29,2,0)),IF(P108="","LOSE",P108)))</f>
        <v>S52</v>
      </c>
      <c r="BZ108" s="62" t="n">
        <f aca="false">IF(BY108="LOSE",1,IF(N(V108)&gt;0,V108,IF(CB108=1,MAX(1,N(VLOOKUP(T108,Parameter!$I$27:$K$29,3,0)),H108,N(N108)),IF(N(Q108)&gt;0,Q108,MAX(1,H108)))))</f>
        <v>50</v>
      </c>
      <c r="CA108" s="65" t="n">
        <f aca="false">IF(BY108="LOSE",1,0)</f>
        <v>0</v>
      </c>
      <c r="CB108" s="65" t="n">
        <f aca="false">IF(AND(U108="",OR(P108="",P108="LOSE"),T108&lt;&gt;"",N(S108)&lt;=0,ISNUMBER(MATCH(T108,Parameter!$I$27:$I$29,0))),1,0)</f>
        <v>0</v>
      </c>
      <c r="CC108" s="65" t="n">
        <f aca="false">IF(CR108&gt;0,INDEX(Parameter!$H$5:$H$7,W108)/INDEX(Parameter!$E$5:$E$7,W108),IF(AND(CA108=0,N(IFERROR(VLOOKUP(BY108,'Gebinde-Kategorie'!$A$5:$N$45,14,0),0))&gt;0),VLOOKUP(BY108,'Gebinde-Kategorie'!$A$5:$N$45,14,0)*10+Parameter!$M$23,Parameter!$M$24))</f>
        <v>245</v>
      </c>
      <c r="CD108" s="60" t="str">
        <f aca="false">IF(AND(Parameter!$B$19="Ja",E108&lt;&gt;"",ISNUMBER(MATCH(E108,Parameter!$I$35:$I$52,0))),VLOOKUP(E108,Parameter!$I$35:$J$52,2,0),IFERROR(VLOOKUP(D108,Parameter!$A$35:$C$64,2,0),"Nein"))</f>
        <v>2+3</v>
      </c>
      <c r="CE108" s="64" t="n">
        <f aca="false">IF(CA108=0,0,IF(N(S108)&gt;0,S108,IFERROR(VLOOKUP(D108,Parameter!$A$35:$C$64,3,0)+0,0)))</f>
        <v>0</v>
      </c>
      <c r="CF108" s="60" t="n">
        <f aca="false">IF(AB108&lt;&gt;"",AB108,AA108)</f>
        <v>3</v>
      </c>
      <c r="CG108" s="60" t="str">
        <f aca="false">IF(OR(CF108=1,CF108=2,CF108=3),IF(Parameter!$E$27="Ja","LIFT",IF(CF108=1,"L1","L23")),IF(CF108="Aussen","Aussen","-"))</f>
        <v>LIFT</v>
      </c>
      <c r="CH108" s="71" t="n">
        <f aca="false">IF(N(AC108)&gt;0,AC108,0)</f>
        <v>0</v>
      </c>
      <c r="CI108" s="65" t="n">
        <f aca="false">IF(ISNUMBER(AF108),1,0)</f>
        <v>0</v>
      </c>
      <c r="CJ108" s="62" t="n">
        <f aca="false">N(AF108)</f>
        <v>0</v>
      </c>
      <c r="CK108" s="62" t="n">
        <f aca="false">N(M108)+N(N108)</f>
        <v>75</v>
      </c>
      <c r="CL108" s="62" t="n">
        <f aca="false">N(M108)</f>
        <v>20</v>
      </c>
      <c r="CM108" s="62" t="n">
        <f aca="false">N(N108)</f>
        <v>55</v>
      </c>
      <c r="CN108" s="62" t="n">
        <f aca="false">ROUNDUP(H108/BZ108,0)</f>
        <v>2</v>
      </c>
      <c r="CO108" s="62" t="n">
        <f aca="false">ROUNDUP(CJ108/BZ108,0)</f>
        <v>0</v>
      </c>
      <c r="CP108" s="65" t="n">
        <f aca="false">IF(CA108=1,0,IFERROR(VLOOKUP(BY108,'Gebinde-Kategorie'!$A$5:$N$45,5,0)+0,0))</f>
        <v>21</v>
      </c>
      <c r="CQ108" s="65" t="n">
        <f aca="false">IFERROR(IF(OR(CF108=1,CF108=2,CF108=3),N(INDEX(Parameter!$I$5:$I$7,CF108)),0),0)</f>
        <v>0</v>
      </c>
      <c r="CR108" s="64" t="n">
        <f aca="false">IF(AND(Parameter!$B$21="Ja",ISNUMBER(W108),N(X108)&gt;0),IFERROR(N(INDEX(Parameter!$L$5:$L$7,W108))*INDEX(Parameter!$E$5:$E$7,W108)*X108/SUMIFS($X$7:$X$1843,$W$7:$W$1843,W108),0),0)</f>
        <v>0</v>
      </c>
      <c r="CS108" s="62" t="n">
        <f aca="false">IF(AND(OR(CG108="L1",CG108="L23",CG108="LIFT"),H108&gt;0),CC108*IF(CR108&gt;0,CR108*MAX(1,H108/X108),IF(CA108=1,CE108,IF(R108&gt;0,CN108/R108,0))/MAX(0.1,N(Parameter!$M$21))),"")</f>
        <v>18.8461538461538</v>
      </c>
      <c r="CT108" s="64" t="n">
        <f aca="false">IF(CS108="","",J108/H108)</f>
        <v>1.69811320754717</v>
      </c>
      <c r="CU108" s="62" t="n">
        <f aca="false">IF(CS108="","",H108*G108)</f>
        <v>3063.93</v>
      </c>
      <c r="CV108" s="63" t="n">
        <f aca="false">IF(CS108="","",(CL108+ROUNDUP(CL108+MAX(CM108,2*(J108/MAX(0.1,N(Einkauf!$C$6))-CL108)),0))/2)</f>
        <v>47.5</v>
      </c>
      <c r="CW108" s="62" t="n">
        <f aca="false">IF(CS108="","",MAX(0,H108-CV108)*G108)</f>
        <v>317.955</v>
      </c>
      <c r="CX108" s="62" t="n">
        <f aca="false">IF(CS108="","",CS108*MAX(0,1-CV108/H108))</f>
        <v>1.95573294629898</v>
      </c>
      <c r="CY108" s="64" t="n">
        <f aca="false">IF(CS108="","",PERCENTRANK($CS$7:$CS$1843,CS108)+PERCENTRANK($CU$7:$CU$1843,CU108)+1-PERCENTRANK($CT$7:$CT$1843,CT108))</f>
        <v>1.811</v>
      </c>
      <c r="CZ108" s="72" t="n">
        <f aca="false">IF(CS108="","",CHOOSE(MATCH(Einkauf!$C$5,Parameter!$G$23:$G$27,0),CY108,CS108,CU108,-CT108,CW108)+ROW()/1000000000)</f>
        <v>1.811000108</v>
      </c>
    </row>
    <row r="109" customFormat="false" ht="15" hidden="false" customHeight="false" outlineLevel="0" collapsed="false">
      <c r="A109" s="60" t="s">
        <v>472</v>
      </c>
      <c r="B109" s="60" t="s">
        <v>473</v>
      </c>
      <c r="C109" s="60" t="s">
        <v>206</v>
      </c>
      <c r="D109" s="60" t="s">
        <v>226</v>
      </c>
      <c r="E109" s="60" t="s">
        <v>227</v>
      </c>
      <c r="F109" s="60" t="s">
        <v>260</v>
      </c>
      <c r="G109" s="61" t="n">
        <v>251.24</v>
      </c>
      <c r="H109" s="62" t="n">
        <f aca="false">MAX(0,IF(AND(Parameter!$B$21="Ja",ISNUMBER(Y109)),Y109,IF(Parameter!$B$20="Jahresanfang 2025 + Export",BS109+BR109,BR109)))</f>
        <v>23</v>
      </c>
      <c r="I109" s="62" t="n">
        <f aca="false">H109*G109</f>
        <v>5778.52</v>
      </c>
      <c r="J109" s="62" t="n">
        <f aca="false">BU109*Parameter!$B$18</f>
        <v>16</v>
      </c>
      <c r="K109" s="63" t="n">
        <v>17</v>
      </c>
      <c r="L109" s="64" t="n">
        <v>0.941176470588235</v>
      </c>
      <c r="M109" s="62" t="n">
        <v>2</v>
      </c>
      <c r="N109" s="62" t="n">
        <v>10</v>
      </c>
      <c r="O109" s="65" t="n">
        <v>35</v>
      </c>
      <c r="P109" s="60" t="s">
        <v>275</v>
      </c>
      <c r="Q109" s="62" t="n">
        <v>22</v>
      </c>
      <c r="R109" s="65" t="n">
        <f aca="false">IF(CA109=1,0,IFERROR(VLOOKUP(BY109,'Gebinde-Kategorie'!$A$5:$N$45,13,0)+0,0))</f>
        <v>26</v>
      </c>
      <c r="S109" s="66"/>
      <c r="T109" s="67"/>
      <c r="U109" s="67"/>
      <c r="V109" s="67"/>
      <c r="W109" s="60"/>
      <c r="X109" s="62"/>
      <c r="Y109" s="62"/>
      <c r="Z109" s="60" t="n">
        <v>3</v>
      </c>
      <c r="AA109" s="60" t="n">
        <f aca="false">IF(A109="","",IF(AND(Parameter!$B$21="Ja",ISNUMBER(W109)),W109,IF(AND(Parameter!$E$27="Ja",ISNUMBER(Z109),CD109&lt;&gt;"Nein"),Z109,IF(CD109="2+3",IF(ISNUMBER(SEARCH("grosser Artikel",BV109)),2,IFERROR(VLOOKUP(BY109,Parameter!$F$35:$G$64,2,0),2)),IF(OR(CD109="Nein",CD109=""),"-",CD109)))))</f>
        <v>3</v>
      </c>
      <c r="AB109" s="67"/>
      <c r="AC109" s="68"/>
      <c r="AD109" s="62" t="n">
        <f aca="false">AW109</f>
        <v>12</v>
      </c>
      <c r="AE109" s="62" t="n">
        <f aca="false">MAX(AW109,H109)</f>
        <v>23</v>
      </c>
      <c r="AF109" s="69"/>
      <c r="AG109" s="62" t="n">
        <f aca="false">IF(LEFT(Cockpit!$C$5,1)="A",H109,IF(Parameter!$E$30="MAX-Bestand",IF(CI109=1,CJ109,IF(LEFT(Cockpit!$C$5,1)="B",AM109,MAX(AM109,H109))),ROUNDUP(AK109,0)))</f>
        <v>23</v>
      </c>
      <c r="AH109" s="62" t="n">
        <f aca="false">IF(CA109=1,0,ROUNDUP(AG109/BZ109,0))</f>
        <v>2</v>
      </c>
      <c r="AI109" s="64" t="n">
        <f aca="false">IF(CR109&gt;0,CR109*MAX(1,AG109/X109),IF(CA109=1,IF(AG109&lt;=0,0,CE109*MAX(1,IF(H109&gt;0,AG109/H109,1))),IF(R109&gt;0,AH109/R109,0))/MAX(0.1,N(Parameter!$M$21)))</f>
        <v>0.0769230769230769</v>
      </c>
      <c r="AJ109" s="62" t="n">
        <f aca="false">AI109*CC109</f>
        <v>18.8461538461538</v>
      </c>
      <c r="AK109" s="63" t="n">
        <f aca="false">IF(LEFT(Cockpit!$C$5,1)="A",H109,IF(CI109=1,(CL109+CJ109)/2,IF(LEFT(Cockpit!$C$5,1)="B",(CL109+AM109)/2,MAX((CL109+AM109)/2,H109))))</f>
        <v>23</v>
      </c>
      <c r="AL109" s="62" t="n">
        <f aca="false">AK109*G109</f>
        <v>5778.52</v>
      </c>
      <c r="AM109" s="62" t="n">
        <f aca="false">ROUNDUP(CL109+MAX(CM109,2*(J109/IF(CH109&gt;0,CH109,MAX(0.1,N(Cockpit!$C$6)))-CL109)),0)</f>
        <v>12</v>
      </c>
      <c r="AN109" s="63" t="n">
        <f aca="false">IF(AJ109&gt;0,J109/AJ109,-1)</f>
        <v>0.848979591836735</v>
      </c>
      <c r="AO109" s="63" t="n">
        <f aca="false">IF(AND(OR(CG109="L1",CG109="L23",CG109="LIFT"),AJ109&gt;0),SUMIFS($AJ$7:$AJ$1843,$CG$7:$CG$1843,CG109,$AN$7:$AN$1843,"&gt;"&amp;AN109)+SUMIFS($AJ$7:$AJ$1843,$CG$7:$CG$1843,CG109,$AN$7:$AN$1843,AN109,$BX$7:$BX$1843,"&lt;="&amp;BX109),"")</f>
        <v>7824.1891025641</v>
      </c>
      <c r="AP109" s="70" t="n">
        <f aca="false">IF(AO109="",0,MAX(0,MIN(1,(IF(CG109="L1",Parameter!$H$5,IF(CG109="L23",Parameter!$H$6+Parameter!$H$7,Parameter!$H$5+Parameter!$H$6+Parameter!$H$7))-(AO109-AJ109))/AJ109)))</f>
        <v>1</v>
      </c>
      <c r="AQ109" s="62" t="n">
        <f aca="false">IF(LEFT(Cockpit!$I$5,1)="A",H109,IF(Parameter!$E$30="MAX-Bestand",IF(CI109=1,CJ109,IF(LEFT(Cockpit!$I$5,1)="B",AW109,MAX(AW109,H109))),ROUNDUP(AU109,0)))</f>
        <v>23</v>
      </c>
      <c r="AR109" s="62" t="n">
        <f aca="false">IF(CA109=1,0,ROUNDUP(AQ109/BZ109,0))</f>
        <v>2</v>
      </c>
      <c r="AS109" s="64" t="n">
        <f aca="false">IF(CR109&gt;0,CR109*MAX(1,AQ109/X109),IF(CA109=1,IF(AQ109&lt;=0,0,CE109*MAX(1,IF(H109&gt;0,AQ109/H109,1))),IF(R109&gt;0,AR109/R109,0))/MAX(0.1,N(Parameter!$M$21)))</f>
        <v>0.0769230769230769</v>
      </c>
      <c r="AT109" s="62" t="n">
        <f aca="false">AS109*CC109</f>
        <v>18.8461538461538</v>
      </c>
      <c r="AU109" s="63" t="n">
        <f aca="false">IF(LEFT(Cockpit!$I$5,1)="A",H109,IF(CI109=1,(CL109+CJ109)/2,IF(LEFT(Cockpit!$I$5,1)="B",(CL109+AW109)/2,MAX((CL109+AW109)/2,H109))))</f>
        <v>23</v>
      </c>
      <c r="AV109" s="62" t="n">
        <f aca="false">AU109*G109</f>
        <v>5778.52</v>
      </c>
      <c r="AW109" s="62" t="n">
        <f aca="false">ROUNDUP(CL109+MAX(CM109,2*(J109/IF(CH109&gt;0,CH109,MAX(0.1,N(Cockpit!$I$6)))-CL109)),0)</f>
        <v>12</v>
      </c>
      <c r="AX109" s="63" t="n">
        <f aca="false">IF(AT109&gt;0,J109/AT109,-1)</f>
        <v>0.848979591836735</v>
      </c>
      <c r="AY109" s="63" t="n">
        <f aca="false">IF(AND(OR(CG109="L1",CG109="L23",CG109="LIFT"),AT109&gt;0),SUMIFS($AT$7:$AT$1843,$CG$7:$CG$1843,CG109,$AX$7:$AX$1843,"&gt;"&amp;AX109)+SUMIFS($AT$7:$AT$1843,$CG$7:$CG$1843,CG109,$AX$7:$AX$1843,AX109,$BX$7:$BX$1843,"&lt;="&amp;BX109),"")</f>
        <v>9573.62912087912</v>
      </c>
      <c r="AZ109" s="70" t="n">
        <f aca="false">IF(AY109="",0,MAX(0,MIN(1,(IF(CG109="L1",Parameter!$H$5,IF(CG109="L23",Parameter!$H$6+Parameter!$H$7,Parameter!$H$5+Parameter!$H$6+Parameter!$H$7))-(AY109-AT109))/AT109)))</f>
        <v>1</v>
      </c>
      <c r="BA109" s="62" t="n">
        <f aca="false">IF(LEFT(Cockpit!$O$5,1)="A",H109,IF(Parameter!$E$30="MAX-Bestand",IF(CI109=1,CJ109,IF(LEFT(Cockpit!$O$5,1)="B",BG109,MAX(BG109,H109))),ROUNDUP(BE109,0)))</f>
        <v>7</v>
      </c>
      <c r="BB109" s="62" t="n">
        <f aca="false">IF(CA109=1,0,ROUNDUP(BA109/BZ109,0))</f>
        <v>1</v>
      </c>
      <c r="BC109" s="64" t="n">
        <f aca="false">IF(CR109&gt;0,CR109*MAX(1,BA109/X109),IF(CA109=1,IF(BA109&lt;=0,0,CE109*MAX(1,IF(H109&gt;0,BA109/H109,1))),IF(R109&gt;0,BB109/R109,0))/MAX(0.1,N(Parameter!$M$21)))</f>
        <v>0.0384615384615385</v>
      </c>
      <c r="BD109" s="62" t="n">
        <f aca="false">BC109*CC109</f>
        <v>9.42307692307692</v>
      </c>
      <c r="BE109" s="63" t="n">
        <f aca="false">IF(LEFT(Cockpit!$O$5,1)="A",H109,IF(CI109=1,(CL109+CJ109)/2,IF(LEFT(Cockpit!$O$5,1)="B",(CL109+BG109)/2,MAX((CL109+BG109)/2,H109))))</f>
        <v>7</v>
      </c>
      <c r="BF109" s="62" t="n">
        <f aca="false">BE109*G109</f>
        <v>1758.68</v>
      </c>
      <c r="BG109" s="62" t="n">
        <f aca="false">ROUNDUP(CL109+MAX(CM109,2*(J109/IF(CH109&gt;0,CH109,MAX(0.1,N(Cockpit!$O$6)))-CL109)),0)</f>
        <v>12</v>
      </c>
      <c r="BH109" s="63" t="n">
        <f aca="false">IF(BD109&gt;0,J109/BD109,-1)</f>
        <v>1.69795918367347</v>
      </c>
      <c r="BI109" s="63" t="n">
        <f aca="false">IF(AND(OR(CG109="L1",CG109="L23",CG109="LIFT"),BD109&gt;0),SUMIFS($BD$7:$BD$1843,$CG$7:$CG$1843,CG109,$BH$7:$BH$1843,"&gt;"&amp;BH109)+SUMIFS($BD$7:$BD$1843,$CG$7:$CG$1843,CG109,$BH$7:$BH$1843,BH109,$BX$7:$BX$1843,"&lt;="&amp;BX109),"")</f>
        <v>6291.68177655678</v>
      </c>
      <c r="BJ109" s="70" t="n">
        <f aca="false">IF(BI109="",0,MAX(0,MIN(1,(IF(CG109="L1",Parameter!$H$5,IF(CG109="L23",Parameter!$H$6+Parameter!$H$7,Parameter!$H$5+Parameter!$H$6+Parameter!$H$7))-(BI109-BD109))/BD109)))</f>
        <v>1</v>
      </c>
      <c r="BK109" s="60" t="str">
        <f aca="false">IF(AJ109&lt;=0,"",IF(CG109="Aussen","Aussenlager",IF(CG109="-","Nicht im Lift",IF(AP109&gt;=1,"Lift",IF(AP109&lt;=0,"Aussenlager","teilweise")))))</f>
        <v>Lift</v>
      </c>
      <c r="BL109" s="60" t="str">
        <f aca="false">IF(AT109&lt;=0,"",IF(CG109="Aussen","Aussenlager",IF(CG109="-","Nicht im Lift",IF(AZ109&gt;=1,"Lift",IF(AZ109&lt;=0,"Aussenlager","teilweise")))))</f>
        <v>Lift</v>
      </c>
      <c r="BM109" s="60" t="str">
        <f aca="false">IF(BD109&lt;=0,"",IF(CG109="Aussen","Aussenlager",IF(CG109="-","Nicht im Lift",IF(BJ109&gt;=1,"Lift",IF(BJ109&lt;=0,"Aussenlager","teilweise")))))</f>
        <v>Lift</v>
      </c>
      <c r="BN109" s="60" t="str">
        <f aca="false">IF(A109="","",IF(BW109=1,"Neu; ","")&amp;IF(AND(BW109=0,BR109&lt;0),"negativer Bestand (Export "&amp;BR109&amp;"); ","")&amp;IF(J109&lt;=0,"Kein Verbrauch; ","")&amp;IF(CR109&gt;0,"Lift "&amp;W109&amp;" lt. Liftbericht (Fach "&amp;X109&amp;" Stk); ",IF(CB109=1,"Gebinde geschätzt ("&amp;T109&amp;"); ",IF(CA109=1,"Lose – Tablare geschätzt; ","")))&amp;IF(H109&gt;AW109,"Überbestand "&amp;ROUND(H109-AW109,0)&amp;" Stk / CHF "&amp;ROUND((H109-AW109)*G109,0)&amp;"; ","")&amp;IF(AND(CI109=1,CJ109&lt;CK109),"MAX &lt; MB+LG; ","")&amp;IF(AND(CQ109&gt;0,CP109*10&gt;CQ109),"zu hoch für Tablar; ","")&amp;IF(AND(BW109=0,OR(CI109=1,AB109&lt;&gt;"",U109&lt;&gt;"",V109&lt;&gt;"",AC109&lt;&gt;"")),"manuell übersteuert; ","")&amp;IF(AND(CA109=0,R109=0),"Gebinde unbekannt / Stellmass fehlt; ","")&amp;IF(AND(CA109=0,N(V109)&lt;=0,N(Q109)&lt;=0),"Menge pro Gebinde fehlt (Ist = 1 Gebinde); ","")&amp;BV109)</f>
        <v>Überbestand 11 Stk / CHF 2764; </v>
      </c>
      <c r="BO109" s="60"/>
      <c r="BP109" s="60"/>
      <c r="BQ109" s="67"/>
      <c r="BR109" s="62" t="n">
        <v>8</v>
      </c>
      <c r="BS109" s="62" t="n">
        <v>15</v>
      </c>
      <c r="BT109" s="61" t="n">
        <v>2138.62</v>
      </c>
      <c r="BU109" s="62" t="n">
        <v>16</v>
      </c>
      <c r="BV109" s="60"/>
      <c r="BW109" s="65" t="n">
        <v>0</v>
      </c>
      <c r="BX109" s="65" t="n">
        <v>109</v>
      </c>
      <c r="BY109" s="60" t="str">
        <f aca="false">IF(U109&lt;&gt;"",UPPER(TRIM(U109)),IF(CB109=1,UPPER(VLOOKUP(T109,Parameter!$I$27:$K$29,2,0)),IF(P109="","LOSE",P109)))</f>
        <v>S52</v>
      </c>
      <c r="BZ109" s="62" t="n">
        <f aca="false">IF(BY109="LOSE",1,IF(N(V109)&gt;0,V109,IF(CB109=1,MAX(1,N(VLOOKUP(T109,Parameter!$I$27:$K$29,3,0)),H109,N(N109)),IF(N(Q109)&gt;0,Q109,MAX(1,H109)))))</f>
        <v>22</v>
      </c>
      <c r="CA109" s="65" t="n">
        <f aca="false">IF(BY109="LOSE",1,0)</f>
        <v>0</v>
      </c>
      <c r="CB109" s="65" t="n">
        <f aca="false">IF(AND(U109="",OR(P109="",P109="LOSE"),T109&lt;&gt;"",N(S109)&lt;=0,ISNUMBER(MATCH(T109,Parameter!$I$27:$I$29,0))),1,0)</f>
        <v>0</v>
      </c>
      <c r="CC109" s="65" t="n">
        <f aca="false">IF(CR109&gt;0,INDEX(Parameter!$H$5:$H$7,W109)/INDEX(Parameter!$E$5:$E$7,W109),IF(AND(CA109=0,N(IFERROR(VLOOKUP(BY109,'Gebinde-Kategorie'!$A$5:$N$45,14,0),0))&gt;0),VLOOKUP(BY109,'Gebinde-Kategorie'!$A$5:$N$45,14,0)*10+Parameter!$M$23,Parameter!$M$24))</f>
        <v>245</v>
      </c>
      <c r="CD109" s="60" t="str">
        <f aca="false">IF(AND(Parameter!$B$19="Ja",E109&lt;&gt;"",ISNUMBER(MATCH(E109,Parameter!$I$35:$I$52,0))),VLOOKUP(E109,Parameter!$I$35:$J$52,2,0),IFERROR(VLOOKUP(D109,Parameter!$A$35:$C$64,2,0),"Nein"))</f>
        <v>2+3</v>
      </c>
      <c r="CE109" s="64" t="n">
        <f aca="false">IF(CA109=0,0,IF(N(S109)&gt;0,S109,IFERROR(VLOOKUP(D109,Parameter!$A$35:$C$64,3,0)+0,0)))</f>
        <v>0</v>
      </c>
      <c r="CF109" s="60" t="n">
        <f aca="false">IF(AB109&lt;&gt;"",AB109,AA109)</f>
        <v>3</v>
      </c>
      <c r="CG109" s="60" t="str">
        <f aca="false">IF(OR(CF109=1,CF109=2,CF109=3),IF(Parameter!$E$27="Ja","LIFT",IF(CF109=1,"L1","L23")),IF(CF109="Aussen","Aussen","-"))</f>
        <v>LIFT</v>
      </c>
      <c r="CH109" s="71" t="n">
        <f aca="false">IF(N(AC109)&gt;0,AC109,0)</f>
        <v>0</v>
      </c>
      <c r="CI109" s="65" t="n">
        <f aca="false">IF(ISNUMBER(AF109),1,0)</f>
        <v>0</v>
      </c>
      <c r="CJ109" s="62" t="n">
        <f aca="false">N(AF109)</f>
        <v>0</v>
      </c>
      <c r="CK109" s="62" t="n">
        <f aca="false">N(M109)+N(N109)</f>
        <v>12</v>
      </c>
      <c r="CL109" s="62" t="n">
        <f aca="false">N(M109)</f>
        <v>2</v>
      </c>
      <c r="CM109" s="62" t="n">
        <f aca="false">N(N109)</f>
        <v>10</v>
      </c>
      <c r="CN109" s="62" t="n">
        <f aca="false">ROUNDUP(H109/BZ109,0)</f>
        <v>2</v>
      </c>
      <c r="CO109" s="62" t="n">
        <f aca="false">ROUNDUP(CJ109/BZ109,0)</f>
        <v>0</v>
      </c>
      <c r="CP109" s="65" t="n">
        <f aca="false">IF(CA109=1,0,IFERROR(VLOOKUP(BY109,'Gebinde-Kategorie'!$A$5:$N$45,5,0)+0,0))</f>
        <v>21</v>
      </c>
      <c r="CQ109" s="65" t="n">
        <f aca="false">IFERROR(IF(OR(CF109=1,CF109=2,CF109=3),N(INDEX(Parameter!$I$5:$I$7,CF109)),0),0)</f>
        <v>0</v>
      </c>
      <c r="CR109" s="64" t="n">
        <f aca="false">IF(AND(Parameter!$B$21="Ja",ISNUMBER(W109),N(X109)&gt;0),IFERROR(N(INDEX(Parameter!$L$5:$L$7,W109))*INDEX(Parameter!$E$5:$E$7,W109)*X109/SUMIFS($X$7:$X$1843,$W$7:$W$1843,W109),0),0)</f>
        <v>0</v>
      </c>
      <c r="CS109" s="62" t="n">
        <f aca="false">IF(AND(OR(CG109="L1",CG109="L23",CG109="LIFT"),H109&gt;0),CC109*IF(CR109&gt;0,CR109*MAX(1,H109/X109),IF(CA109=1,CE109,IF(R109&gt;0,CN109/R109,0))/MAX(0.1,N(Parameter!$M$21))),"")</f>
        <v>18.8461538461538</v>
      </c>
      <c r="CT109" s="64" t="n">
        <f aca="false">IF(CS109="","",J109/H109)</f>
        <v>0.695652173913044</v>
      </c>
      <c r="CU109" s="62" t="n">
        <f aca="false">IF(CS109="","",H109*G109)</f>
        <v>5778.52</v>
      </c>
      <c r="CV109" s="63" t="n">
        <f aca="false">IF(CS109="","",(CL109+ROUNDUP(CL109+MAX(CM109,2*(J109/MAX(0.1,N(Einkauf!$C$6))-CL109)),0))/2)</f>
        <v>7</v>
      </c>
      <c r="CW109" s="62" t="n">
        <f aca="false">IF(CS109="","",MAX(0,H109-CV109)*G109)</f>
        <v>4019.84</v>
      </c>
      <c r="CX109" s="62" t="n">
        <f aca="false">IF(CS109="","",CS109*MAX(0,1-CV109/H109))</f>
        <v>13.1103678929766</v>
      </c>
      <c r="CY109" s="64" t="n">
        <f aca="false">IF(CS109="","",PERCENTRANK($CS$7:$CS$1843,CS109)+PERCENTRANK($CU$7:$CU$1843,CU109)+1-PERCENTRANK($CT$7:$CT$1843,CT109))</f>
        <v>2.096</v>
      </c>
      <c r="CZ109" s="72" t="n">
        <f aca="false">IF(CS109="","",CHOOSE(MATCH(Einkauf!$C$5,Parameter!$G$23:$G$27,0),CY109,CS109,CU109,-CT109,CW109)+ROW()/1000000000)</f>
        <v>2.096000109</v>
      </c>
    </row>
    <row r="110" customFormat="false" ht="15" hidden="false" customHeight="false" outlineLevel="0" collapsed="false">
      <c r="A110" s="60" t="s">
        <v>474</v>
      </c>
      <c r="B110" s="60" t="s">
        <v>475</v>
      </c>
      <c r="C110" s="60" t="s">
        <v>206</v>
      </c>
      <c r="D110" s="60" t="s">
        <v>226</v>
      </c>
      <c r="E110" s="60"/>
      <c r="F110" s="60" t="s">
        <v>260</v>
      </c>
      <c r="G110" s="61" t="n">
        <v>692.78</v>
      </c>
      <c r="H110" s="62" t="n">
        <f aca="false">MAX(0,IF(AND(Parameter!$B$21="Ja",ISNUMBER(Y110)),Y110,IF(Parameter!$B$20="Jahresanfang 2025 + Export",BS110+BR110,BR110)))</f>
        <v>3</v>
      </c>
      <c r="I110" s="62" t="n">
        <f aca="false">H110*G110</f>
        <v>2078.34</v>
      </c>
      <c r="J110" s="62" t="n">
        <f aca="false">BU110*Parameter!$B$18</f>
        <v>2</v>
      </c>
      <c r="K110" s="63" t="n">
        <v>2</v>
      </c>
      <c r="L110" s="64" t="n">
        <v>1</v>
      </c>
      <c r="M110" s="62" t="n">
        <v>0</v>
      </c>
      <c r="N110" s="62" t="n">
        <v>1</v>
      </c>
      <c r="O110" s="65" t="n">
        <v>31</v>
      </c>
      <c r="P110" s="60" t="s">
        <v>275</v>
      </c>
      <c r="Q110" s="62" t="n">
        <v>4</v>
      </c>
      <c r="R110" s="65" t="n">
        <f aca="false">IF(CA110=1,0,IFERROR(VLOOKUP(BY110,'Gebinde-Kategorie'!$A$5:$N$45,13,0)+0,0))</f>
        <v>26</v>
      </c>
      <c r="S110" s="66"/>
      <c r="T110" s="67"/>
      <c r="U110" s="67"/>
      <c r="V110" s="67"/>
      <c r="W110" s="60"/>
      <c r="X110" s="62"/>
      <c r="Y110" s="62"/>
      <c r="Z110" s="60" t="n">
        <v>3</v>
      </c>
      <c r="AA110" s="60" t="n">
        <f aca="false">IF(A110="","",IF(AND(Parameter!$B$21="Ja",ISNUMBER(W110)),W110,IF(AND(Parameter!$E$27="Ja",ISNUMBER(Z110),CD110&lt;&gt;"Nein"),Z110,IF(CD110="2+3",IF(ISNUMBER(SEARCH("grosser Artikel",BV110)),2,IFERROR(VLOOKUP(BY110,Parameter!$F$35:$G$64,2,0),2)),IF(OR(CD110="Nein",CD110=""),"-",CD110)))))</f>
        <v>3</v>
      </c>
      <c r="AB110" s="67"/>
      <c r="AC110" s="68"/>
      <c r="AD110" s="62" t="n">
        <f aca="false">AW110</f>
        <v>2</v>
      </c>
      <c r="AE110" s="62" t="n">
        <f aca="false">MAX(AW110,H110)</f>
        <v>3</v>
      </c>
      <c r="AF110" s="69"/>
      <c r="AG110" s="62" t="n">
        <f aca="false">IF(LEFT(Cockpit!$C$5,1)="A",H110,IF(Parameter!$E$30="MAX-Bestand",IF(CI110=1,CJ110,IF(LEFT(Cockpit!$C$5,1)="B",AM110,MAX(AM110,H110))),ROUNDUP(AK110,0)))</f>
        <v>3</v>
      </c>
      <c r="AH110" s="62" t="n">
        <f aca="false">IF(CA110=1,0,ROUNDUP(AG110/BZ110,0))</f>
        <v>1</v>
      </c>
      <c r="AI110" s="64" t="n">
        <f aca="false">IF(CR110&gt;0,CR110*MAX(1,AG110/X110),IF(CA110=1,IF(AG110&lt;=0,0,CE110*MAX(1,IF(H110&gt;0,AG110/H110,1))),IF(R110&gt;0,AH110/R110,0))/MAX(0.1,N(Parameter!$M$21)))</f>
        <v>0.0384615384615385</v>
      </c>
      <c r="AJ110" s="62" t="n">
        <f aca="false">AI110*CC110</f>
        <v>9.42307692307692</v>
      </c>
      <c r="AK110" s="63" t="n">
        <f aca="false">IF(LEFT(Cockpit!$C$5,1)="A",H110,IF(CI110=1,(CL110+CJ110)/2,IF(LEFT(Cockpit!$C$5,1)="B",(CL110+AM110)/2,MAX((CL110+AM110)/2,H110))))</f>
        <v>3</v>
      </c>
      <c r="AL110" s="62" t="n">
        <f aca="false">AK110*G110</f>
        <v>2078.34</v>
      </c>
      <c r="AM110" s="62" t="n">
        <f aca="false">ROUNDUP(CL110+MAX(CM110,2*(J110/IF(CH110&gt;0,CH110,MAX(0.1,N(Cockpit!$C$6)))-CL110)),0)</f>
        <v>2</v>
      </c>
      <c r="AN110" s="63" t="n">
        <f aca="false">IF(AJ110&gt;0,J110/AJ110,-1)</f>
        <v>0.212244897959184</v>
      </c>
      <c r="AO110" s="63" t="n">
        <f aca="false">IF(AND(OR(CG110="L1",CG110="L23",CG110="LIFT"),AJ110&gt;0),SUMIFS($AJ$7:$AJ$1843,$CG$7:$CG$1843,CG110,$AN$7:$AN$1843,"&gt;"&amp;AN110)+SUMIFS($AJ$7:$AJ$1843,$CG$7:$CG$1843,CG110,$AN$7:$AN$1843,AN110,$BX$7:$BX$1843,"&lt;="&amp;BX110),"")</f>
        <v>12345.2785926409</v>
      </c>
      <c r="AP110" s="70" t="n">
        <f aca="false">IF(AO110="",0,MAX(0,MIN(1,(IF(CG110="L1",Parameter!$H$5,IF(CG110="L23",Parameter!$H$6+Parameter!$H$7,Parameter!$H$5+Parameter!$H$6+Parameter!$H$7))-(AO110-AJ110))/AJ110)))</f>
        <v>1</v>
      </c>
      <c r="AQ110" s="62" t="n">
        <f aca="false">IF(LEFT(Cockpit!$I$5,1)="A",H110,IF(Parameter!$E$30="MAX-Bestand",IF(CI110=1,CJ110,IF(LEFT(Cockpit!$I$5,1)="B",AW110,MAX(AW110,H110))),ROUNDUP(AU110,0)))</f>
        <v>3</v>
      </c>
      <c r="AR110" s="62" t="n">
        <f aca="false">IF(CA110=1,0,ROUNDUP(AQ110/BZ110,0))</f>
        <v>1</v>
      </c>
      <c r="AS110" s="64" t="n">
        <f aca="false">IF(CR110&gt;0,CR110*MAX(1,AQ110/X110),IF(CA110=1,IF(AQ110&lt;=0,0,CE110*MAX(1,IF(H110&gt;0,AQ110/H110,1))),IF(R110&gt;0,AR110/R110,0))/MAX(0.1,N(Parameter!$M$21)))</f>
        <v>0.0384615384615385</v>
      </c>
      <c r="AT110" s="62" t="n">
        <f aca="false">AS110*CC110</f>
        <v>9.42307692307692</v>
      </c>
      <c r="AU110" s="63" t="n">
        <f aca="false">IF(LEFT(Cockpit!$I$5,1)="A",H110,IF(CI110=1,(CL110+CJ110)/2,IF(LEFT(Cockpit!$I$5,1)="B",(CL110+AW110)/2,MAX((CL110+AW110)/2,H110))))</f>
        <v>3</v>
      </c>
      <c r="AV110" s="62" t="n">
        <f aca="false">AU110*G110</f>
        <v>2078.34</v>
      </c>
      <c r="AW110" s="62" t="n">
        <f aca="false">ROUNDUP(CL110+MAX(CM110,2*(J110/IF(CH110&gt;0,CH110,MAX(0.1,N(Cockpit!$I$6)))-CL110)),0)</f>
        <v>2</v>
      </c>
      <c r="AX110" s="63" t="n">
        <f aca="false">IF(AT110&gt;0,J110/AT110,-1)</f>
        <v>0.212244897959184</v>
      </c>
      <c r="AY110" s="63" t="n">
        <f aca="false">IF(AND(OR(CG110="L1",CG110="L23",CG110="LIFT"),AT110&gt;0),SUMIFS($AT$7:$AT$1843,$CG$7:$CG$1843,CG110,$AX$7:$AX$1843,"&gt;"&amp;AX110)+SUMIFS($AT$7:$AT$1843,$CG$7:$CG$1843,CG110,$AX$7:$AX$1843,AX110,$BX$7:$BX$1843,"&lt;="&amp;BX110),"")</f>
        <v>15174.5361721612</v>
      </c>
      <c r="AZ110" s="70" t="n">
        <f aca="false">IF(AY110="",0,MAX(0,MIN(1,(IF(CG110="L1",Parameter!$H$5,IF(CG110="L23",Parameter!$H$6+Parameter!$H$7,Parameter!$H$5+Parameter!$H$6+Parameter!$H$7))-(AY110-AT110))/AT110)))</f>
        <v>1</v>
      </c>
      <c r="BA110" s="62" t="n">
        <f aca="false">IF(LEFT(Cockpit!$O$5,1)="A",H110,IF(Parameter!$E$30="MAX-Bestand",IF(CI110=1,CJ110,IF(LEFT(Cockpit!$O$5,1)="B",BG110,MAX(BG110,H110))),ROUNDUP(BE110,0)))</f>
        <v>1</v>
      </c>
      <c r="BB110" s="62" t="n">
        <f aca="false">IF(CA110=1,0,ROUNDUP(BA110/BZ110,0))</f>
        <v>1</v>
      </c>
      <c r="BC110" s="64" t="n">
        <f aca="false">IF(CR110&gt;0,CR110*MAX(1,BA110/X110),IF(CA110=1,IF(BA110&lt;=0,0,CE110*MAX(1,IF(H110&gt;0,BA110/H110,1))),IF(R110&gt;0,BB110/R110,0))/MAX(0.1,N(Parameter!$M$21)))</f>
        <v>0.0384615384615385</v>
      </c>
      <c r="BD110" s="62" t="n">
        <f aca="false">BC110*CC110</f>
        <v>9.42307692307692</v>
      </c>
      <c r="BE110" s="63" t="n">
        <f aca="false">IF(LEFT(Cockpit!$O$5,1)="A",H110,IF(CI110=1,(CL110+CJ110)/2,IF(LEFT(Cockpit!$O$5,1)="B",(CL110+BG110)/2,MAX((CL110+BG110)/2,H110))))</f>
        <v>0.5</v>
      </c>
      <c r="BF110" s="62" t="n">
        <f aca="false">BE110*G110</f>
        <v>346.39</v>
      </c>
      <c r="BG110" s="62" t="n">
        <f aca="false">ROUNDUP(CL110+MAX(CM110,2*(J110/IF(CH110&gt;0,CH110,MAX(0.1,N(Cockpit!$O$6)))-CL110)),0)</f>
        <v>1</v>
      </c>
      <c r="BH110" s="63" t="n">
        <f aca="false">IF(BD110&gt;0,J110/BD110,-1)</f>
        <v>0.212244897959184</v>
      </c>
      <c r="BI110" s="63" t="n">
        <f aca="false">IF(AND(OR(CG110="L1",CG110="L23",CG110="LIFT"),BD110&gt;0),SUMIFS($BD$7:$BD$1843,$CG$7:$CG$1843,CG110,$BH$7:$BH$1843,"&gt;"&amp;BH110)+SUMIFS($BD$7:$BD$1843,$CG$7:$CG$1843,CG110,$BH$7:$BH$1843,BH110,$BX$7:$BX$1843,"&lt;="&amp;BX110),"")</f>
        <v>12316.820970696</v>
      </c>
      <c r="BJ110" s="70" t="n">
        <f aca="false">IF(BI110="",0,MAX(0,MIN(1,(IF(CG110="L1",Parameter!$H$5,IF(CG110="L23",Parameter!$H$6+Parameter!$H$7,Parameter!$H$5+Parameter!$H$6+Parameter!$H$7))-(BI110-BD110))/BD110)))</f>
        <v>1</v>
      </c>
      <c r="BK110" s="60" t="str">
        <f aca="false">IF(AJ110&lt;=0,"",IF(CG110="Aussen","Aussenlager",IF(CG110="-","Nicht im Lift",IF(AP110&gt;=1,"Lift",IF(AP110&lt;=0,"Aussenlager","teilweise")))))</f>
        <v>Lift</v>
      </c>
      <c r="BL110" s="60" t="str">
        <f aca="false">IF(AT110&lt;=0,"",IF(CG110="Aussen","Aussenlager",IF(CG110="-","Nicht im Lift",IF(AZ110&gt;=1,"Lift",IF(AZ110&lt;=0,"Aussenlager","teilweise")))))</f>
        <v>Lift</v>
      </c>
      <c r="BM110" s="60" t="str">
        <f aca="false">IF(BD110&lt;=0,"",IF(CG110="Aussen","Aussenlager",IF(CG110="-","Nicht im Lift",IF(BJ110&gt;=1,"Lift",IF(BJ110&lt;=0,"Aussenlager","teilweise")))))</f>
        <v>Lift</v>
      </c>
      <c r="BN110" s="60" t="str">
        <f aca="false">IF(A110="","",IF(BW110=1,"Neu; ","")&amp;IF(AND(BW110=0,BR110&lt;0),"negativer Bestand (Export "&amp;BR110&amp;"); ","")&amp;IF(J110&lt;=0,"Kein Verbrauch; ","")&amp;IF(CR110&gt;0,"Lift "&amp;W110&amp;" lt. Liftbericht (Fach "&amp;X110&amp;" Stk); ",IF(CB110=1,"Gebinde geschätzt ("&amp;T110&amp;"); ",IF(CA110=1,"Lose – Tablare geschätzt; ","")))&amp;IF(H110&gt;AW110,"Überbestand "&amp;ROUND(H110-AW110,0)&amp;" Stk / CHF "&amp;ROUND((H110-AW110)*G110,0)&amp;"; ","")&amp;IF(AND(CI110=1,CJ110&lt;CK110),"MAX &lt; MB+LG; ","")&amp;IF(AND(CQ110&gt;0,CP110*10&gt;CQ110),"zu hoch für Tablar; ","")&amp;IF(AND(BW110=0,OR(CI110=1,AB110&lt;&gt;"",U110&lt;&gt;"",V110&lt;&gt;"",AC110&lt;&gt;"")),"manuell übersteuert; ","")&amp;IF(AND(CA110=0,R110=0),"Gebinde unbekannt / Stellmass fehlt; ","")&amp;IF(AND(CA110=0,N(V110)&lt;=0,N(Q110)&lt;=0),"Menge pro Gebinde fehlt (Ist = 1 Gebinde); ","")&amp;BV110)</f>
        <v>Überbestand 1 Stk / CHF 693; </v>
      </c>
      <c r="BO110" s="60"/>
      <c r="BP110" s="60"/>
      <c r="BQ110" s="67"/>
      <c r="BR110" s="62" t="n">
        <v>3</v>
      </c>
      <c r="BS110" s="62" t="n">
        <v>0</v>
      </c>
      <c r="BT110" s="61" t="n">
        <v>2078.34</v>
      </c>
      <c r="BU110" s="62" t="n">
        <v>2</v>
      </c>
      <c r="BV110" s="60"/>
      <c r="BW110" s="65" t="n">
        <v>0</v>
      </c>
      <c r="BX110" s="65" t="n">
        <v>110</v>
      </c>
      <c r="BY110" s="60" t="str">
        <f aca="false">IF(U110&lt;&gt;"",UPPER(TRIM(U110)),IF(CB110=1,UPPER(VLOOKUP(T110,Parameter!$I$27:$K$29,2,0)),IF(P110="","LOSE",P110)))</f>
        <v>S52</v>
      </c>
      <c r="BZ110" s="62" t="n">
        <f aca="false">IF(BY110="LOSE",1,IF(N(V110)&gt;0,V110,IF(CB110=1,MAX(1,N(VLOOKUP(T110,Parameter!$I$27:$K$29,3,0)),H110,N(N110)),IF(N(Q110)&gt;0,Q110,MAX(1,H110)))))</f>
        <v>4</v>
      </c>
      <c r="CA110" s="65" t="n">
        <f aca="false">IF(BY110="LOSE",1,0)</f>
        <v>0</v>
      </c>
      <c r="CB110" s="65" t="n">
        <f aca="false">IF(AND(U110="",OR(P110="",P110="LOSE"),T110&lt;&gt;"",N(S110)&lt;=0,ISNUMBER(MATCH(T110,Parameter!$I$27:$I$29,0))),1,0)</f>
        <v>0</v>
      </c>
      <c r="CC110" s="65" t="n">
        <f aca="false">IF(CR110&gt;0,INDEX(Parameter!$H$5:$H$7,W110)/INDEX(Parameter!$E$5:$E$7,W110),IF(AND(CA110=0,N(IFERROR(VLOOKUP(BY110,'Gebinde-Kategorie'!$A$5:$N$45,14,0),0))&gt;0),VLOOKUP(BY110,'Gebinde-Kategorie'!$A$5:$N$45,14,0)*10+Parameter!$M$23,Parameter!$M$24))</f>
        <v>245</v>
      </c>
      <c r="CD110" s="60" t="str">
        <f aca="false">IF(AND(Parameter!$B$19="Ja",E110&lt;&gt;"",ISNUMBER(MATCH(E110,Parameter!$I$35:$I$52,0))),VLOOKUP(E110,Parameter!$I$35:$J$52,2,0),IFERROR(VLOOKUP(D110,Parameter!$A$35:$C$64,2,0),"Nein"))</f>
        <v>2+3</v>
      </c>
      <c r="CE110" s="64" t="n">
        <f aca="false">IF(CA110=0,0,IF(N(S110)&gt;0,S110,IFERROR(VLOOKUP(D110,Parameter!$A$35:$C$64,3,0)+0,0)))</f>
        <v>0</v>
      </c>
      <c r="CF110" s="60" t="n">
        <f aca="false">IF(AB110&lt;&gt;"",AB110,AA110)</f>
        <v>3</v>
      </c>
      <c r="CG110" s="60" t="str">
        <f aca="false">IF(OR(CF110=1,CF110=2,CF110=3),IF(Parameter!$E$27="Ja","LIFT",IF(CF110=1,"L1","L23")),IF(CF110="Aussen","Aussen","-"))</f>
        <v>LIFT</v>
      </c>
      <c r="CH110" s="71" t="n">
        <f aca="false">IF(N(AC110)&gt;0,AC110,0)</f>
        <v>0</v>
      </c>
      <c r="CI110" s="65" t="n">
        <f aca="false">IF(ISNUMBER(AF110),1,0)</f>
        <v>0</v>
      </c>
      <c r="CJ110" s="62" t="n">
        <f aca="false">N(AF110)</f>
        <v>0</v>
      </c>
      <c r="CK110" s="62" t="n">
        <f aca="false">N(M110)+N(N110)</f>
        <v>1</v>
      </c>
      <c r="CL110" s="62" t="n">
        <f aca="false">N(M110)</f>
        <v>0</v>
      </c>
      <c r="CM110" s="62" t="n">
        <f aca="false">N(N110)</f>
        <v>1</v>
      </c>
      <c r="CN110" s="62" t="n">
        <f aca="false">ROUNDUP(H110/BZ110,0)</f>
        <v>1</v>
      </c>
      <c r="CO110" s="62" t="n">
        <f aca="false">ROUNDUP(CJ110/BZ110,0)</f>
        <v>0</v>
      </c>
      <c r="CP110" s="65" t="n">
        <f aca="false">IF(CA110=1,0,IFERROR(VLOOKUP(BY110,'Gebinde-Kategorie'!$A$5:$N$45,5,0)+0,0))</f>
        <v>21</v>
      </c>
      <c r="CQ110" s="65" t="n">
        <f aca="false">IFERROR(IF(OR(CF110=1,CF110=2,CF110=3),N(INDEX(Parameter!$I$5:$I$7,CF110)),0),0)</f>
        <v>0</v>
      </c>
      <c r="CR110" s="64" t="n">
        <f aca="false">IF(AND(Parameter!$B$21="Ja",ISNUMBER(W110),N(X110)&gt;0),IFERROR(N(INDEX(Parameter!$L$5:$L$7,W110))*INDEX(Parameter!$E$5:$E$7,W110)*X110/SUMIFS($X$7:$X$1843,$W$7:$W$1843,W110),0),0)</f>
        <v>0</v>
      </c>
      <c r="CS110" s="62" t="n">
        <f aca="false">IF(AND(OR(CG110="L1",CG110="L23",CG110="LIFT"),H110&gt;0),CC110*IF(CR110&gt;0,CR110*MAX(1,H110/X110),IF(CA110=1,CE110,IF(R110&gt;0,CN110/R110,0))/MAX(0.1,N(Parameter!$M$21))),"")</f>
        <v>9.42307692307692</v>
      </c>
      <c r="CT110" s="64" t="n">
        <f aca="false">IF(CS110="","",J110/H110)</f>
        <v>0.666666666666667</v>
      </c>
      <c r="CU110" s="62" t="n">
        <f aca="false">IF(CS110="","",H110*G110)</f>
        <v>2078.34</v>
      </c>
      <c r="CV110" s="63" t="n">
        <f aca="false">IF(CS110="","",(CL110+ROUNDUP(CL110+MAX(CM110,2*(J110/MAX(0.1,N(Einkauf!$C$6))-CL110)),0))/2)</f>
        <v>0.5</v>
      </c>
      <c r="CW110" s="62" t="n">
        <f aca="false">IF(CS110="","",MAX(0,H110-CV110)*G110)</f>
        <v>1731.95</v>
      </c>
      <c r="CX110" s="62" t="n">
        <f aca="false">IF(CS110="","",CS110*MAX(0,1-CV110/H110))</f>
        <v>7.8525641025641</v>
      </c>
      <c r="CY110" s="64" t="n">
        <f aca="false">IF(CS110="","",PERCENTRANK($CS$7:$CS$1843,CS110)+PERCENTRANK($CU$7:$CU$1843,CU110)+1-PERCENTRANK($CT$7:$CT$1843,CT110))</f>
        <v>1.779</v>
      </c>
      <c r="CZ110" s="72" t="n">
        <f aca="false">IF(CS110="","",CHOOSE(MATCH(Einkauf!$C$5,Parameter!$G$23:$G$27,0),CY110,CS110,CU110,-CT110,CW110)+ROW()/1000000000)</f>
        <v>1.77900011</v>
      </c>
    </row>
    <row r="111" customFormat="false" ht="15" hidden="false" customHeight="false" outlineLevel="0" collapsed="false">
      <c r="A111" s="60" t="s">
        <v>476</v>
      </c>
      <c r="B111" s="60" t="s">
        <v>477</v>
      </c>
      <c r="C111" s="60" t="s">
        <v>206</v>
      </c>
      <c r="D111" s="60" t="s">
        <v>226</v>
      </c>
      <c r="E111" s="60" t="s">
        <v>227</v>
      </c>
      <c r="F111" s="60" t="s">
        <v>260</v>
      </c>
      <c r="G111" s="61" t="n">
        <v>52.61</v>
      </c>
      <c r="H111" s="62" t="n">
        <f aca="false">MAX(0,IF(AND(Parameter!$B$21="Ja",ISNUMBER(Y111)),Y111,IF(Parameter!$B$20="Jahresanfang 2025 + Export",BS111+BR111,BR111)))</f>
        <v>47</v>
      </c>
      <c r="I111" s="62" t="n">
        <f aca="false">H111*G111</f>
        <v>2472.67</v>
      </c>
      <c r="J111" s="62" t="n">
        <f aca="false">BU111*Parameter!$B$18</f>
        <v>74</v>
      </c>
      <c r="K111" s="63" t="n">
        <v>25.5</v>
      </c>
      <c r="L111" s="64" t="n">
        <v>2.90196078431373</v>
      </c>
      <c r="M111" s="62" t="n">
        <v>5</v>
      </c>
      <c r="N111" s="62" t="n">
        <v>75</v>
      </c>
      <c r="O111" s="65" t="n">
        <v>21</v>
      </c>
      <c r="P111" s="60" t="s">
        <v>275</v>
      </c>
      <c r="Q111" s="62" t="n">
        <v>50</v>
      </c>
      <c r="R111" s="65" t="n">
        <f aca="false">IF(CA111=1,0,IFERROR(VLOOKUP(BY111,'Gebinde-Kategorie'!$A$5:$N$45,13,0)+0,0))</f>
        <v>26</v>
      </c>
      <c r="S111" s="66"/>
      <c r="T111" s="67"/>
      <c r="U111" s="67"/>
      <c r="V111" s="67"/>
      <c r="W111" s="60"/>
      <c r="X111" s="62"/>
      <c r="Y111" s="62"/>
      <c r="Z111" s="60" t="n">
        <v>3</v>
      </c>
      <c r="AA111" s="60" t="n">
        <f aca="false">IF(A111="","",IF(AND(Parameter!$B$21="Ja",ISNUMBER(W111)),W111,IF(AND(Parameter!$E$27="Ja",ISNUMBER(Z111),CD111&lt;&gt;"Nein"),Z111,IF(CD111="2+3",IF(ISNUMBER(SEARCH("grosser Artikel",BV111)),2,IFERROR(VLOOKUP(BY111,Parameter!$F$35:$G$64,2,0),2)),IF(OR(CD111="Nein",CD111=""),"-",CD111)))))</f>
        <v>3</v>
      </c>
      <c r="AB111" s="67"/>
      <c r="AC111" s="68"/>
      <c r="AD111" s="62" t="n">
        <f aca="false">AW111</f>
        <v>80</v>
      </c>
      <c r="AE111" s="62" t="n">
        <f aca="false">MAX(AW111,H111)</f>
        <v>80</v>
      </c>
      <c r="AF111" s="69"/>
      <c r="AG111" s="62" t="n">
        <f aca="false">IF(LEFT(Cockpit!$C$5,1)="A",H111,IF(Parameter!$E$30="MAX-Bestand",IF(CI111=1,CJ111,IF(LEFT(Cockpit!$C$5,1)="B",AM111,MAX(AM111,H111))),ROUNDUP(AK111,0)))</f>
        <v>47</v>
      </c>
      <c r="AH111" s="62" t="n">
        <f aca="false">IF(CA111=1,0,ROUNDUP(AG111/BZ111,0))</f>
        <v>1</v>
      </c>
      <c r="AI111" s="64" t="n">
        <f aca="false">IF(CR111&gt;0,CR111*MAX(1,AG111/X111),IF(CA111=1,IF(AG111&lt;=0,0,CE111*MAX(1,IF(H111&gt;0,AG111/H111,1))),IF(R111&gt;0,AH111/R111,0))/MAX(0.1,N(Parameter!$M$21)))</f>
        <v>0.0384615384615385</v>
      </c>
      <c r="AJ111" s="62" t="n">
        <f aca="false">AI111*CC111</f>
        <v>9.42307692307692</v>
      </c>
      <c r="AK111" s="63" t="n">
        <f aca="false">IF(LEFT(Cockpit!$C$5,1)="A",H111,IF(CI111=1,(CL111+CJ111)/2,IF(LEFT(Cockpit!$C$5,1)="B",(CL111+AM111)/2,MAX((CL111+AM111)/2,H111))))</f>
        <v>47</v>
      </c>
      <c r="AL111" s="62" t="n">
        <f aca="false">AK111*G111</f>
        <v>2472.67</v>
      </c>
      <c r="AM111" s="62" t="n">
        <f aca="false">ROUNDUP(CL111+MAX(CM111,2*(J111/IF(CH111&gt;0,CH111,MAX(0.1,N(Cockpit!$C$6)))-CL111)),0)</f>
        <v>80</v>
      </c>
      <c r="AN111" s="63" t="n">
        <f aca="false">IF(AJ111&gt;0,J111/AJ111,-1)</f>
        <v>7.8530612244898</v>
      </c>
      <c r="AO111" s="63" t="n">
        <f aca="false">IF(AND(OR(CG111="L1",CG111="L23",CG111="LIFT"),AJ111&gt;0),SUMIFS($AJ$7:$AJ$1843,$CG$7:$CG$1843,CG111,$AN$7:$AN$1843,"&gt;"&amp;AN111)+SUMIFS($AJ$7:$AJ$1843,$CG$7:$CG$1843,CG111,$AN$7:$AN$1843,AN111,$BX$7:$BX$1843,"&lt;="&amp;BX111),"")</f>
        <v>3098.19230769231</v>
      </c>
      <c r="AP111" s="70" t="n">
        <f aca="false">IF(AO111="",0,MAX(0,MIN(1,(IF(CG111="L1",Parameter!$H$5,IF(CG111="L23",Parameter!$H$6+Parameter!$H$7,Parameter!$H$5+Parameter!$H$6+Parameter!$H$7))-(AO111-AJ111))/AJ111)))</f>
        <v>1</v>
      </c>
      <c r="AQ111" s="62" t="n">
        <f aca="false">IF(LEFT(Cockpit!$I$5,1)="A",H111,IF(Parameter!$E$30="MAX-Bestand",IF(CI111=1,CJ111,IF(LEFT(Cockpit!$I$5,1)="B",AW111,MAX(AW111,H111))),ROUNDUP(AU111,0)))</f>
        <v>47</v>
      </c>
      <c r="AR111" s="62" t="n">
        <f aca="false">IF(CA111=1,0,ROUNDUP(AQ111/BZ111,0))</f>
        <v>1</v>
      </c>
      <c r="AS111" s="64" t="n">
        <f aca="false">IF(CR111&gt;0,CR111*MAX(1,AQ111/X111),IF(CA111=1,IF(AQ111&lt;=0,0,CE111*MAX(1,IF(H111&gt;0,AQ111/H111,1))),IF(R111&gt;0,AR111/R111,0))/MAX(0.1,N(Parameter!$M$21)))</f>
        <v>0.0384615384615385</v>
      </c>
      <c r="AT111" s="62" t="n">
        <f aca="false">AS111*CC111</f>
        <v>9.42307692307692</v>
      </c>
      <c r="AU111" s="63" t="n">
        <f aca="false">IF(LEFT(Cockpit!$I$5,1)="A",H111,IF(CI111=1,(CL111+CJ111)/2,IF(LEFT(Cockpit!$I$5,1)="B",(CL111+AW111)/2,MAX((CL111+AW111)/2,H111))))</f>
        <v>47</v>
      </c>
      <c r="AV111" s="62" t="n">
        <f aca="false">AU111*G111</f>
        <v>2472.67</v>
      </c>
      <c r="AW111" s="62" t="n">
        <f aca="false">ROUNDUP(CL111+MAX(CM111,2*(J111/IF(CH111&gt;0,CH111,MAX(0.1,N(Cockpit!$I$6)))-CL111)),0)</f>
        <v>80</v>
      </c>
      <c r="AX111" s="63" t="n">
        <f aca="false">IF(AT111&gt;0,J111/AT111,-1)</f>
        <v>7.8530612244898</v>
      </c>
      <c r="AY111" s="63" t="n">
        <f aca="false">IF(AND(OR(CG111="L1",CG111="L23",CG111="LIFT"),AT111&gt;0),SUMIFS($AT$7:$AT$1843,$CG$7:$CG$1843,CG111,$AX$7:$AX$1843,"&gt;"&amp;AX111)+SUMIFS($AT$7:$AT$1843,$CG$7:$CG$1843,CG111,$AX$7:$AX$1843,AX111,$BX$7:$BX$1843,"&lt;="&amp;BX111),"")</f>
        <v>3722.25366300366</v>
      </c>
      <c r="AZ111" s="70" t="n">
        <f aca="false">IF(AY111="",0,MAX(0,MIN(1,(IF(CG111="L1",Parameter!$H$5,IF(CG111="L23",Parameter!$H$6+Parameter!$H$7,Parameter!$H$5+Parameter!$H$6+Parameter!$H$7))-(AY111-AT111))/AT111)))</f>
        <v>1</v>
      </c>
      <c r="BA111" s="62" t="n">
        <f aca="false">IF(LEFT(Cockpit!$O$5,1)="A",H111,IF(Parameter!$E$30="MAX-Bestand",IF(CI111=1,CJ111,IF(LEFT(Cockpit!$O$5,1)="B",BG111,MAX(BG111,H111))),ROUNDUP(BE111,0)))</f>
        <v>43</v>
      </c>
      <c r="BB111" s="62" t="n">
        <f aca="false">IF(CA111=1,0,ROUNDUP(BA111/BZ111,0))</f>
        <v>1</v>
      </c>
      <c r="BC111" s="64" t="n">
        <f aca="false">IF(CR111&gt;0,CR111*MAX(1,BA111/X111),IF(CA111=1,IF(BA111&lt;=0,0,CE111*MAX(1,IF(H111&gt;0,BA111/H111,1))),IF(R111&gt;0,BB111/R111,0))/MAX(0.1,N(Parameter!$M$21)))</f>
        <v>0.0384615384615385</v>
      </c>
      <c r="BD111" s="62" t="n">
        <f aca="false">BC111*CC111</f>
        <v>9.42307692307692</v>
      </c>
      <c r="BE111" s="63" t="n">
        <f aca="false">IF(LEFT(Cockpit!$O$5,1)="A",H111,IF(CI111=1,(CL111+CJ111)/2,IF(LEFT(Cockpit!$O$5,1)="B",(CL111+BG111)/2,MAX((CL111+BG111)/2,H111))))</f>
        <v>42.5</v>
      </c>
      <c r="BF111" s="62" t="n">
        <f aca="false">BE111*G111</f>
        <v>2235.925</v>
      </c>
      <c r="BG111" s="62" t="n">
        <f aca="false">ROUNDUP(CL111+MAX(CM111,2*(J111/IF(CH111&gt;0,CH111,MAX(0.1,N(Cockpit!$O$6)))-CL111)),0)</f>
        <v>80</v>
      </c>
      <c r="BH111" s="63" t="n">
        <f aca="false">IF(BD111&gt;0,J111/BD111,-1)</f>
        <v>7.8530612244898</v>
      </c>
      <c r="BI111" s="63" t="n">
        <f aca="false">IF(AND(OR(CG111="L1",CG111="L23",CG111="LIFT"),BD111&gt;0),SUMIFS($BD$7:$BD$1843,$CG$7:$CG$1843,CG111,$BH$7:$BH$1843,"&gt;"&amp;BH111)+SUMIFS($BD$7:$BD$1843,$CG$7:$CG$1843,CG111,$BH$7:$BH$1843,BH111,$BX$7:$BX$1843,"&lt;="&amp;BX111),"")</f>
        <v>3083.62316849817</v>
      </c>
      <c r="BJ111" s="70" t="n">
        <f aca="false">IF(BI111="",0,MAX(0,MIN(1,(IF(CG111="L1",Parameter!$H$5,IF(CG111="L23",Parameter!$H$6+Parameter!$H$7,Parameter!$H$5+Parameter!$H$6+Parameter!$H$7))-(BI111-BD111))/BD111)))</f>
        <v>1</v>
      </c>
      <c r="BK111" s="60" t="str">
        <f aca="false">IF(AJ111&lt;=0,"",IF(CG111="Aussen","Aussenlager",IF(CG111="-","Nicht im Lift",IF(AP111&gt;=1,"Lift",IF(AP111&lt;=0,"Aussenlager","teilweise")))))</f>
        <v>Lift</v>
      </c>
      <c r="BL111" s="60" t="str">
        <f aca="false">IF(AT111&lt;=0,"",IF(CG111="Aussen","Aussenlager",IF(CG111="-","Nicht im Lift",IF(AZ111&gt;=1,"Lift",IF(AZ111&lt;=0,"Aussenlager","teilweise")))))</f>
        <v>Lift</v>
      </c>
      <c r="BM111" s="60" t="str">
        <f aca="false">IF(BD111&lt;=0,"",IF(CG111="Aussen","Aussenlager",IF(CG111="-","Nicht im Lift",IF(BJ111&gt;=1,"Lift",IF(BJ111&lt;=0,"Aussenlager","teilweise")))))</f>
        <v>Lift</v>
      </c>
      <c r="BN111" s="60" t="str">
        <f aca="false">IF(A111="","",IF(BW111=1,"Neu; ","")&amp;IF(AND(BW111=0,BR111&lt;0),"negativer Bestand (Export "&amp;BR111&amp;"); ","")&amp;IF(J111&lt;=0,"Kein Verbrauch; ","")&amp;IF(CR111&gt;0,"Lift "&amp;W111&amp;" lt. Liftbericht (Fach "&amp;X111&amp;" Stk); ",IF(CB111=1,"Gebinde geschätzt ("&amp;T111&amp;"); ",IF(CA111=1,"Lose – Tablare geschätzt; ","")))&amp;IF(H111&gt;AW111,"Überbestand "&amp;ROUND(H111-AW111,0)&amp;" Stk / CHF "&amp;ROUND((H111-AW111)*G111,0)&amp;"; ","")&amp;IF(AND(CI111=1,CJ111&lt;CK111),"MAX &lt; MB+LG; ","")&amp;IF(AND(CQ111&gt;0,CP111*10&gt;CQ111),"zu hoch für Tablar; ","")&amp;IF(AND(BW111=0,OR(CI111=1,AB111&lt;&gt;"",U111&lt;&gt;"",V111&lt;&gt;"",AC111&lt;&gt;"")),"manuell übersteuert; ","")&amp;IF(AND(CA111=0,R111=0),"Gebinde unbekannt / Stellmass fehlt; ","")&amp;IF(AND(CA111=0,N(V111)&lt;=0,N(Q111)&lt;=0),"Menge pro Gebinde fehlt (Ist = 1 Gebinde); ","")&amp;BV111)</f>
        <v/>
      </c>
      <c r="BO111" s="60"/>
      <c r="BP111" s="60"/>
      <c r="BQ111" s="67"/>
      <c r="BR111" s="62" t="n">
        <v>34</v>
      </c>
      <c r="BS111" s="62" t="n">
        <v>13</v>
      </c>
      <c r="BT111" s="61" t="n">
        <v>2066.83</v>
      </c>
      <c r="BU111" s="62" t="n">
        <v>74</v>
      </c>
      <c r="BV111" s="60"/>
      <c r="BW111" s="65" t="n">
        <v>0</v>
      </c>
      <c r="BX111" s="65" t="n">
        <v>111</v>
      </c>
      <c r="BY111" s="60" t="str">
        <f aca="false">IF(U111&lt;&gt;"",UPPER(TRIM(U111)),IF(CB111=1,UPPER(VLOOKUP(T111,Parameter!$I$27:$K$29,2,0)),IF(P111="","LOSE",P111)))</f>
        <v>S52</v>
      </c>
      <c r="BZ111" s="62" t="n">
        <f aca="false">IF(BY111="LOSE",1,IF(N(V111)&gt;0,V111,IF(CB111=1,MAX(1,N(VLOOKUP(T111,Parameter!$I$27:$K$29,3,0)),H111,N(N111)),IF(N(Q111)&gt;0,Q111,MAX(1,H111)))))</f>
        <v>50</v>
      </c>
      <c r="CA111" s="65" t="n">
        <f aca="false">IF(BY111="LOSE",1,0)</f>
        <v>0</v>
      </c>
      <c r="CB111" s="65" t="n">
        <f aca="false">IF(AND(U111="",OR(P111="",P111="LOSE"),T111&lt;&gt;"",N(S111)&lt;=0,ISNUMBER(MATCH(T111,Parameter!$I$27:$I$29,0))),1,0)</f>
        <v>0</v>
      </c>
      <c r="CC111" s="65" t="n">
        <f aca="false">IF(CR111&gt;0,INDEX(Parameter!$H$5:$H$7,W111)/INDEX(Parameter!$E$5:$E$7,W111),IF(AND(CA111=0,N(IFERROR(VLOOKUP(BY111,'Gebinde-Kategorie'!$A$5:$N$45,14,0),0))&gt;0),VLOOKUP(BY111,'Gebinde-Kategorie'!$A$5:$N$45,14,0)*10+Parameter!$M$23,Parameter!$M$24))</f>
        <v>245</v>
      </c>
      <c r="CD111" s="60" t="str">
        <f aca="false">IF(AND(Parameter!$B$19="Ja",E111&lt;&gt;"",ISNUMBER(MATCH(E111,Parameter!$I$35:$I$52,0))),VLOOKUP(E111,Parameter!$I$35:$J$52,2,0),IFERROR(VLOOKUP(D111,Parameter!$A$35:$C$64,2,0),"Nein"))</f>
        <v>2+3</v>
      </c>
      <c r="CE111" s="64" t="n">
        <f aca="false">IF(CA111=0,0,IF(N(S111)&gt;0,S111,IFERROR(VLOOKUP(D111,Parameter!$A$35:$C$64,3,0)+0,0)))</f>
        <v>0</v>
      </c>
      <c r="CF111" s="60" t="n">
        <f aca="false">IF(AB111&lt;&gt;"",AB111,AA111)</f>
        <v>3</v>
      </c>
      <c r="CG111" s="60" t="str">
        <f aca="false">IF(OR(CF111=1,CF111=2,CF111=3),IF(Parameter!$E$27="Ja","LIFT",IF(CF111=1,"L1","L23")),IF(CF111="Aussen","Aussen","-"))</f>
        <v>LIFT</v>
      </c>
      <c r="CH111" s="71" t="n">
        <f aca="false">IF(N(AC111)&gt;0,AC111,0)</f>
        <v>0</v>
      </c>
      <c r="CI111" s="65" t="n">
        <f aca="false">IF(ISNUMBER(AF111),1,0)</f>
        <v>0</v>
      </c>
      <c r="CJ111" s="62" t="n">
        <f aca="false">N(AF111)</f>
        <v>0</v>
      </c>
      <c r="CK111" s="62" t="n">
        <f aca="false">N(M111)+N(N111)</f>
        <v>80</v>
      </c>
      <c r="CL111" s="62" t="n">
        <f aca="false">N(M111)</f>
        <v>5</v>
      </c>
      <c r="CM111" s="62" t="n">
        <f aca="false">N(N111)</f>
        <v>75</v>
      </c>
      <c r="CN111" s="62" t="n">
        <f aca="false">ROUNDUP(H111/BZ111,0)</f>
        <v>1</v>
      </c>
      <c r="CO111" s="62" t="n">
        <f aca="false">ROUNDUP(CJ111/BZ111,0)</f>
        <v>0</v>
      </c>
      <c r="CP111" s="65" t="n">
        <f aca="false">IF(CA111=1,0,IFERROR(VLOOKUP(BY111,'Gebinde-Kategorie'!$A$5:$N$45,5,0)+0,0))</f>
        <v>21</v>
      </c>
      <c r="CQ111" s="65" t="n">
        <f aca="false">IFERROR(IF(OR(CF111=1,CF111=2,CF111=3),N(INDEX(Parameter!$I$5:$I$7,CF111)),0),0)</f>
        <v>0</v>
      </c>
      <c r="CR111" s="64" t="n">
        <f aca="false">IF(AND(Parameter!$B$21="Ja",ISNUMBER(W111),N(X111)&gt;0),IFERROR(N(INDEX(Parameter!$L$5:$L$7,W111))*INDEX(Parameter!$E$5:$E$7,W111)*X111/SUMIFS($X$7:$X$1843,$W$7:$W$1843,W111),0),0)</f>
        <v>0</v>
      </c>
      <c r="CS111" s="62" t="n">
        <f aca="false">IF(AND(OR(CG111="L1",CG111="L23",CG111="LIFT"),H111&gt;0),CC111*IF(CR111&gt;0,CR111*MAX(1,H111/X111),IF(CA111=1,CE111,IF(R111&gt;0,CN111/R111,0))/MAX(0.1,N(Parameter!$M$21))),"")</f>
        <v>9.42307692307692</v>
      </c>
      <c r="CT111" s="64" t="n">
        <f aca="false">IF(CS111="","",J111/H111)</f>
        <v>1.57446808510638</v>
      </c>
      <c r="CU111" s="62" t="n">
        <f aca="false">IF(CS111="","",H111*G111)</f>
        <v>2472.67</v>
      </c>
      <c r="CV111" s="63" t="n">
        <f aca="false">IF(CS111="","",(CL111+ROUNDUP(CL111+MAX(CM111,2*(J111/MAX(0.1,N(Einkauf!$C$6))-CL111)),0))/2)</f>
        <v>42.5</v>
      </c>
      <c r="CW111" s="62" t="n">
        <f aca="false">IF(CS111="","",MAX(0,H111-CV111)*G111)</f>
        <v>236.745</v>
      </c>
      <c r="CX111" s="62" t="n">
        <f aca="false">IF(CS111="","",CS111*MAX(0,1-CV111/H111))</f>
        <v>0.902209492635024</v>
      </c>
      <c r="CY111" s="64" t="n">
        <f aca="false">IF(CS111="","",PERCENTRANK($CS$7:$CS$1843,CS111)+PERCENTRANK($CU$7:$CU$1843,CU111)+1-PERCENTRANK($CT$7:$CT$1843,CT111))</f>
        <v>1.605</v>
      </c>
      <c r="CZ111" s="72" t="n">
        <f aca="false">IF(CS111="","",CHOOSE(MATCH(Einkauf!$C$5,Parameter!$G$23:$G$27,0),CY111,CS111,CU111,-CT111,CW111)+ROW()/1000000000)</f>
        <v>1.605000111</v>
      </c>
    </row>
    <row r="112" customFormat="false" ht="15" hidden="false" customHeight="false" outlineLevel="0" collapsed="false">
      <c r="A112" s="60" t="s">
        <v>478</v>
      </c>
      <c r="B112" s="60" t="s">
        <v>479</v>
      </c>
      <c r="C112" s="60" t="s">
        <v>206</v>
      </c>
      <c r="D112" s="60" t="s">
        <v>215</v>
      </c>
      <c r="E112" s="60" t="s">
        <v>208</v>
      </c>
      <c r="F112" s="60" t="s">
        <v>260</v>
      </c>
      <c r="G112" s="61" t="n">
        <v>345.4</v>
      </c>
      <c r="H112" s="62" t="n">
        <f aca="false">MAX(0,IF(AND(Parameter!$B$21="Ja",ISNUMBER(Y112)),Y112,IF(Parameter!$B$20="Jahresanfang 2025 + Export",BS112+BR112,BR112)))</f>
        <v>34</v>
      </c>
      <c r="I112" s="62" t="n">
        <f aca="false">H112*G112</f>
        <v>11743.6</v>
      </c>
      <c r="J112" s="62" t="n">
        <f aca="false">BU112*Parameter!$B$18</f>
        <v>34</v>
      </c>
      <c r="K112" s="63" t="n">
        <v>28</v>
      </c>
      <c r="L112" s="64" t="n">
        <v>1.21428571428571</v>
      </c>
      <c r="M112" s="62" t="n">
        <v>10</v>
      </c>
      <c r="N112" s="62" t="n">
        <v>15</v>
      </c>
      <c r="O112" s="65" t="n">
        <v>98</v>
      </c>
      <c r="P112" s="60" t="s">
        <v>216</v>
      </c>
      <c r="Q112" s="62" t="n">
        <v>24</v>
      </c>
      <c r="R112" s="65" t="n">
        <f aca="false">IF(CA112=1,0,IFERROR(VLOOKUP(BY112,'Gebinde-Kategorie'!$A$5:$N$45,13,0)+0,0))</f>
        <v>6</v>
      </c>
      <c r="S112" s="66"/>
      <c r="T112" s="67"/>
      <c r="U112" s="67"/>
      <c r="V112" s="67"/>
      <c r="W112" s="60"/>
      <c r="X112" s="62"/>
      <c r="Y112" s="62"/>
      <c r="Z112" s="60" t="n">
        <v>2</v>
      </c>
      <c r="AA112" s="60" t="n">
        <f aca="false">IF(A112="","",IF(AND(Parameter!$B$21="Ja",ISNUMBER(W112)),W112,IF(AND(Parameter!$E$27="Ja",ISNUMBER(Z112),CD112&lt;&gt;"Nein"),Z112,IF(CD112="2+3",IF(ISNUMBER(SEARCH("grosser Artikel",BV112)),2,IFERROR(VLOOKUP(BY112,Parameter!$F$35:$G$64,2,0),2)),IF(OR(CD112="Nein",CD112=""),"-",CD112)))))</f>
        <v>2</v>
      </c>
      <c r="AB112" s="67"/>
      <c r="AC112" s="68"/>
      <c r="AD112" s="62" t="n">
        <f aca="false">AW112</f>
        <v>25</v>
      </c>
      <c r="AE112" s="62" t="n">
        <f aca="false">MAX(AW112,H112)</f>
        <v>34</v>
      </c>
      <c r="AF112" s="69"/>
      <c r="AG112" s="62" t="n">
        <f aca="false">IF(LEFT(Cockpit!$C$5,1)="A",H112,IF(Parameter!$E$30="MAX-Bestand",IF(CI112=1,CJ112,IF(LEFT(Cockpit!$C$5,1)="B",AM112,MAX(AM112,H112))),ROUNDUP(AK112,0)))</f>
        <v>34</v>
      </c>
      <c r="AH112" s="62" t="n">
        <f aca="false">IF(CA112=1,0,ROUNDUP(AG112/BZ112,0))</f>
        <v>2</v>
      </c>
      <c r="AI112" s="64" t="n">
        <f aca="false">IF(CR112&gt;0,CR112*MAX(1,AG112/X112),IF(CA112=1,IF(AG112&lt;=0,0,CE112*MAX(1,IF(H112&gt;0,AG112/H112,1))),IF(R112&gt;0,AH112/R112,0))/MAX(0.1,N(Parameter!$M$21)))</f>
        <v>0.333333333333333</v>
      </c>
      <c r="AJ112" s="62" t="n">
        <f aca="false">AI112*CC112</f>
        <v>78.3333333333333</v>
      </c>
      <c r="AK112" s="63" t="n">
        <f aca="false">IF(LEFT(Cockpit!$C$5,1)="A",H112,IF(CI112=1,(CL112+CJ112)/2,IF(LEFT(Cockpit!$C$5,1)="B",(CL112+AM112)/2,MAX((CL112+AM112)/2,H112))))</f>
        <v>34</v>
      </c>
      <c r="AL112" s="62" t="n">
        <f aca="false">AK112*G112</f>
        <v>11743.6</v>
      </c>
      <c r="AM112" s="62" t="n">
        <f aca="false">ROUNDUP(CL112+MAX(CM112,2*(J112/IF(CH112&gt;0,CH112,MAX(0.1,N(Cockpit!$C$6)))-CL112)),0)</f>
        <v>25</v>
      </c>
      <c r="AN112" s="63" t="n">
        <f aca="false">IF(AJ112&gt;0,J112/AJ112,-1)</f>
        <v>0.434042553191489</v>
      </c>
      <c r="AO112" s="63" t="n">
        <f aca="false">IF(AND(OR(CG112="L1",CG112="L23",CG112="LIFT"),AJ112&gt;0),SUMIFS($AJ$7:$AJ$1843,$CG$7:$CG$1843,CG112,$AN$7:$AN$1843,"&gt;"&amp;AN112)+SUMIFS($AJ$7:$AJ$1843,$CG$7:$CG$1843,CG112,$AN$7:$AN$1843,AN112,$BX$7:$BX$1843,"&lt;="&amp;BX112),"")</f>
        <v>10002.8268946214</v>
      </c>
      <c r="AP112" s="70" t="n">
        <f aca="false">IF(AO112="",0,MAX(0,MIN(1,(IF(CG112="L1",Parameter!$H$5,IF(CG112="L23",Parameter!$H$6+Parameter!$H$7,Parameter!$H$5+Parameter!$H$6+Parameter!$H$7))-(AO112-AJ112))/AJ112)))</f>
        <v>1</v>
      </c>
      <c r="AQ112" s="62" t="n">
        <f aca="false">IF(LEFT(Cockpit!$I$5,1)="A",H112,IF(Parameter!$E$30="MAX-Bestand",IF(CI112=1,CJ112,IF(LEFT(Cockpit!$I$5,1)="B",AW112,MAX(AW112,H112))),ROUNDUP(AU112,0)))</f>
        <v>34</v>
      </c>
      <c r="AR112" s="62" t="n">
        <f aca="false">IF(CA112=1,0,ROUNDUP(AQ112/BZ112,0))</f>
        <v>2</v>
      </c>
      <c r="AS112" s="64" t="n">
        <f aca="false">IF(CR112&gt;0,CR112*MAX(1,AQ112/X112),IF(CA112=1,IF(AQ112&lt;=0,0,CE112*MAX(1,IF(H112&gt;0,AQ112/H112,1))),IF(R112&gt;0,AR112/R112,0))/MAX(0.1,N(Parameter!$M$21)))</f>
        <v>0.333333333333333</v>
      </c>
      <c r="AT112" s="62" t="n">
        <f aca="false">AS112*CC112</f>
        <v>78.3333333333333</v>
      </c>
      <c r="AU112" s="63" t="n">
        <f aca="false">IF(LEFT(Cockpit!$I$5,1)="A",H112,IF(CI112=1,(CL112+CJ112)/2,IF(LEFT(Cockpit!$I$5,1)="B",(CL112+AW112)/2,MAX((CL112+AW112)/2,H112))))</f>
        <v>34</v>
      </c>
      <c r="AV112" s="62" t="n">
        <f aca="false">AU112*G112</f>
        <v>11743.6</v>
      </c>
      <c r="AW112" s="62" t="n">
        <f aca="false">ROUNDUP(CL112+MAX(CM112,2*(J112/IF(CH112&gt;0,CH112,MAX(0.1,N(Cockpit!$I$6)))-CL112)),0)</f>
        <v>25</v>
      </c>
      <c r="AX112" s="63" t="n">
        <f aca="false">IF(AT112&gt;0,J112/AT112,-1)</f>
        <v>0.434042553191489</v>
      </c>
      <c r="AY112" s="63" t="n">
        <f aca="false">IF(AND(OR(CG112="L1",CG112="L23",CG112="LIFT"),AT112&gt;0),SUMIFS($AT$7:$AT$1843,$CG$7:$CG$1843,CG112,$AX$7:$AX$1843,"&gt;"&amp;AX112)+SUMIFS($AT$7:$AT$1843,$CG$7:$CG$1843,CG112,$AX$7:$AX$1843,AX112,$BX$7:$BX$1843,"&lt;="&amp;BX112),"")</f>
        <v>12357.9134615385</v>
      </c>
      <c r="AZ112" s="70" t="n">
        <f aca="false">IF(AY112="",0,MAX(0,MIN(1,(IF(CG112="L1",Parameter!$H$5,IF(CG112="L23",Parameter!$H$6+Parameter!$H$7,Parameter!$H$5+Parameter!$H$6+Parameter!$H$7))-(AY112-AT112))/AT112)))</f>
        <v>1</v>
      </c>
      <c r="BA112" s="62" t="n">
        <f aca="false">IF(LEFT(Cockpit!$O$5,1)="A",H112,IF(Parameter!$E$30="MAX-Bestand",IF(CI112=1,CJ112,IF(LEFT(Cockpit!$O$5,1)="B",BG112,MAX(BG112,H112))),ROUNDUP(BE112,0)))</f>
        <v>18</v>
      </c>
      <c r="BB112" s="62" t="n">
        <f aca="false">IF(CA112=1,0,ROUNDUP(BA112/BZ112,0))</f>
        <v>1</v>
      </c>
      <c r="BC112" s="64" t="n">
        <f aca="false">IF(CR112&gt;0,CR112*MAX(1,BA112/X112),IF(CA112=1,IF(BA112&lt;=0,0,CE112*MAX(1,IF(H112&gt;0,BA112/H112,1))),IF(R112&gt;0,BB112/R112,0))/MAX(0.1,N(Parameter!$M$21)))</f>
        <v>0.166666666666667</v>
      </c>
      <c r="BD112" s="62" t="n">
        <f aca="false">BC112*CC112</f>
        <v>39.1666666666667</v>
      </c>
      <c r="BE112" s="63" t="n">
        <f aca="false">IF(LEFT(Cockpit!$O$5,1)="A",H112,IF(CI112=1,(CL112+CJ112)/2,IF(LEFT(Cockpit!$O$5,1)="B",(CL112+BG112)/2,MAX((CL112+BG112)/2,H112))))</f>
        <v>17.5</v>
      </c>
      <c r="BF112" s="62" t="n">
        <f aca="false">BE112*G112</f>
        <v>6044.5</v>
      </c>
      <c r="BG112" s="62" t="n">
        <f aca="false">ROUNDUP(CL112+MAX(CM112,2*(J112/IF(CH112&gt;0,CH112,MAX(0.1,N(Cockpit!$O$6)))-CL112)),0)</f>
        <v>25</v>
      </c>
      <c r="BH112" s="63" t="n">
        <f aca="false">IF(BD112&gt;0,J112/BD112,-1)</f>
        <v>0.868085106382979</v>
      </c>
      <c r="BI112" s="63" t="n">
        <f aca="false">IF(AND(OR(CG112="L1",CG112="L23",CG112="LIFT"),BD112&gt;0),SUMIFS($BD$7:$BD$1843,$CG$7:$CG$1843,CG112,$BH$7:$BH$1843,"&gt;"&amp;BH112)+SUMIFS($BD$7:$BD$1843,$CG$7:$CG$1843,CG112,$BH$7:$BH$1843,BH112,$BX$7:$BX$1843,"&lt;="&amp;BX112),"")</f>
        <v>8311.50045787546</v>
      </c>
      <c r="BJ112" s="70" t="n">
        <f aca="false">IF(BI112="",0,MAX(0,MIN(1,(IF(CG112="L1",Parameter!$H$5,IF(CG112="L23",Parameter!$H$6+Parameter!$H$7,Parameter!$H$5+Parameter!$H$6+Parameter!$H$7))-(BI112-BD112))/BD112)))</f>
        <v>1</v>
      </c>
      <c r="BK112" s="60" t="str">
        <f aca="false">IF(AJ112&lt;=0,"",IF(CG112="Aussen","Aussenlager",IF(CG112="-","Nicht im Lift",IF(AP112&gt;=1,"Lift",IF(AP112&lt;=0,"Aussenlager","teilweise")))))</f>
        <v>Lift</v>
      </c>
      <c r="BL112" s="60" t="str">
        <f aca="false">IF(AT112&lt;=0,"",IF(CG112="Aussen","Aussenlager",IF(CG112="-","Nicht im Lift",IF(AZ112&gt;=1,"Lift",IF(AZ112&lt;=0,"Aussenlager","teilweise")))))</f>
        <v>Lift</v>
      </c>
      <c r="BM112" s="60" t="str">
        <f aca="false">IF(BD112&lt;=0,"",IF(CG112="Aussen","Aussenlager",IF(CG112="-","Nicht im Lift",IF(BJ112&gt;=1,"Lift",IF(BJ112&lt;=0,"Aussenlager","teilweise")))))</f>
        <v>Lift</v>
      </c>
      <c r="BN112" s="60" t="str">
        <f aca="false">IF(A112="","",IF(BW112=1,"Neu; ","")&amp;IF(AND(BW112=0,BR112&lt;0),"negativer Bestand (Export "&amp;BR112&amp;"); ","")&amp;IF(J112&lt;=0,"Kein Verbrauch; ","")&amp;IF(CR112&gt;0,"Lift "&amp;W112&amp;" lt. Liftbericht (Fach "&amp;X112&amp;" Stk); ",IF(CB112=1,"Gebinde geschätzt ("&amp;T112&amp;"); ",IF(CA112=1,"Lose – Tablare geschätzt; ","")))&amp;IF(H112&gt;AW112,"Überbestand "&amp;ROUND(H112-AW112,0)&amp;" Stk / CHF "&amp;ROUND((H112-AW112)*G112,0)&amp;"; ","")&amp;IF(AND(CI112=1,CJ112&lt;CK112),"MAX &lt; MB+LG; ","")&amp;IF(AND(CQ112&gt;0,CP112*10&gt;CQ112),"zu hoch für Tablar; ","")&amp;IF(AND(BW112=0,OR(CI112=1,AB112&lt;&gt;"",U112&lt;&gt;"",V112&lt;&gt;"",AC112&lt;&gt;"")),"manuell übersteuert; ","")&amp;IF(AND(CA112=0,R112=0),"Gebinde unbekannt / Stellmass fehlt; ","")&amp;IF(AND(CA112=0,N(V112)&lt;=0,N(Q112)&lt;=0),"Menge pro Gebinde fehlt (Ist = 1 Gebinde); ","")&amp;BV112)</f>
        <v>Überbestand 9 Stk / CHF 3109; </v>
      </c>
      <c r="BO112" s="60"/>
      <c r="BP112" s="60"/>
      <c r="BQ112" s="67"/>
      <c r="BR112" s="62" t="n">
        <v>1</v>
      </c>
      <c r="BS112" s="62" t="n">
        <v>33</v>
      </c>
      <c r="BT112" s="61" t="n">
        <v>2056.76</v>
      </c>
      <c r="BU112" s="62" t="n">
        <v>34</v>
      </c>
      <c r="BV112" s="60"/>
      <c r="BW112" s="65" t="n">
        <v>0</v>
      </c>
      <c r="BX112" s="65" t="n">
        <v>112</v>
      </c>
      <c r="BY112" s="60" t="str">
        <f aca="false">IF(U112&lt;&gt;"",UPPER(TRIM(U112)),IF(CB112=1,UPPER(VLOOKUP(T112,Parameter!$I$27:$K$29,2,0)),IF(P112="","LOSE",P112)))</f>
        <v>S71</v>
      </c>
      <c r="BZ112" s="62" t="n">
        <f aca="false">IF(BY112="LOSE",1,IF(N(V112)&gt;0,V112,IF(CB112=1,MAX(1,N(VLOOKUP(T112,Parameter!$I$27:$K$29,3,0)),H112,N(N112)),IF(N(Q112)&gt;0,Q112,MAX(1,H112)))))</f>
        <v>24</v>
      </c>
      <c r="CA112" s="65" t="n">
        <f aca="false">IF(BY112="LOSE",1,0)</f>
        <v>0</v>
      </c>
      <c r="CB112" s="65" t="n">
        <f aca="false">IF(AND(U112="",OR(P112="",P112="LOSE"),T112&lt;&gt;"",N(S112)&lt;=0,ISNUMBER(MATCH(T112,Parameter!$I$27:$I$29,0))),1,0)</f>
        <v>0</v>
      </c>
      <c r="CC112" s="65" t="n">
        <f aca="false">IF(CR112&gt;0,INDEX(Parameter!$H$5:$H$7,W112)/INDEX(Parameter!$E$5:$E$7,W112),IF(AND(CA112=0,N(IFERROR(VLOOKUP(BY112,'Gebinde-Kategorie'!$A$5:$N$45,14,0),0))&gt;0),VLOOKUP(BY112,'Gebinde-Kategorie'!$A$5:$N$45,14,0)*10+Parameter!$M$23,Parameter!$M$24))</f>
        <v>235</v>
      </c>
      <c r="CD112" s="60" t="n">
        <f aca="false">IF(AND(Parameter!$B$19="Ja",E112&lt;&gt;"",ISNUMBER(MATCH(E112,Parameter!$I$35:$I$52,0))),VLOOKUP(E112,Parameter!$I$35:$J$52,2,0),IFERROR(VLOOKUP(D112,Parameter!$A$35:$C$64,2,0),"Nein"))</f>
        <v>1</v>
      </c>
      <c r="CE112" s="64" t="n">
        <f aca="false">IF(CA112=0,0,IF(N(S112)&gt;0,S112,IFERROR(VLOOKUP(D112,Parameter!$A$35:$C$64,3,0)+0,0)))</f>
        <v>0</v>
      </c>
      <c r="CF112" s="60" t="n">
        <f aca="false">IF(AB112&lt;&gt;"",AB112,AA112)</f>
        <v>2</v>
      </c>
      <c r="CG112" s="60" t="str">
        <f aca="false">IF(OR(CF112=1,CF112=2,CF112=3),IF(Parameter!$E$27="Ja","LIFT",IF(CF112=1,"L1","L23")),IF(CF112="Aussen","Aussen","-"))</f>
        <v>LIFT</v>
      </c>
      <c r="CH112" s="71" t="n">
        <f aca="false">IF(N(AC112)&gt;0,AC112,0)</f>
        <v>0</v>
      </c>
      <c r="CI112" s="65" t="n">
        <f aca="false">IF(ISNUMBER(AF112),1,0)</f>
        <v>0</v>
      </c>
      <c r="CJ112" s="62" t="n">
        <f aca="false">N(AF112)</f>
        <v>0</v>
      </c>
      <c r="CK112" s="62" t="n">
        <f aca="false">N(M112)+N(N112)</f>
        <v>25</v>
      </c>
      <c r="CL112" s="62" t="n">
        <f aca="false">N(M112)</f>
        <v>10</v>
      </c>
      <c r="CM112" s="62" t="n">
        <f aca="false">N(N112)</f>
        <v>15</v>
      </c>
      <c r="CN112" s="62" t="n">
        <f aca="false">ROUNDUP(H112/BZ112,0)</f>
        <v>2</v>
      </c>
      <c r="CO112" s="62" t="n">
        <f aca="false">ROUNDUP(CJ112/BZ112,0)</f>
        <v>0</v>
      </c>
      <c r="CP112" s="65" t="n">
        <f aca="false">IF(CA112=1,0,IFERROR(VLOOKUP(BY112,'Gebinde-Kategorie'!$A$5:$N$45,5,0)+0,0))</f>
        <v>20</v>
      </c>
      <c r="CQ112" s="65" t="n">
        <f aca="false">IFERROR(IF(OR(CF112=1,CF112=2,CF112=3),N(INDEX(Parameter!$I$5:$I$7,CF112)),0),0)</f>
        <v>0</v>
      </c>
      <c r="CR112" s="64" t="n">
        <f aca="false">IF(AND(Parameter!$B$21="Ja",ISNUMBER(W112),N(X112)&gt;0),IFERROR(N(INDEX(Parameter!$L$5:$L$7,W112))*INDEX(Parameter!$E$5:$E$7,W112)*X112/SUMIFS($X$7:$X$1843,$W$7:$W$1843,W112),0),0)</f>
        <v>0</v>
      </c>
      <c r="CS112" s="62" t="n">
        <f aca="false">IF(AND(OR(CG112="L1",CG112="L23",CG112="LIFT"),H112&gt;0),CC112*IF(CR112&gt;0,CR112*MAX(1,H112/X112),IF(CA112=1,CE112,IF(R112&gt;0,CN112/R112,0))/MAX(0.1,N(Parameter!$M$21))),"")</f>
        <v>78.3333333333333</v>
      </c>
      <c r="CT112" s="64" t="n">
        <f aca="false">IF(CS112="","",J112/H112)</f>
        <v>1</v>
      </c>
      <c r="CU112" s="62" t="n">
        <f aca="false">IF(CS112="","",H112*G112)</f>
        <v>11743.6</v>
      </c>
      <c r="CV112" s="63" t="n">
        <f aca="false">IF(CS112="","",(CL112+ROUNDUP(CL112+MAX(CM112,2*(J112/MAX(0.1,N(Einkauf!$C$6))-CL112)),0))/2)</f>
        <v>17.5</v>
      </c>
      <c r="CW112" s="62" t="n">
        <f aca="false">IF(CS112="","",MAX(0,H112-CV112)*G112)</f>
        <v>5699.1</v>
      </c>
      <c r="CX112" s="62" t="n">
        <f aca="false">IF(CS112="","",CS112*MAX(0,1-CV112/H112))</f>
        <v>38.0147058823529</v>
      </c>
      <c r="CY112" s="64" t="n">
        <f aca="false">IF(CS112="","",PERCENTRANK($CS$7:$CS$1843,CS112)+PERCENTRANK($CU$7:$CU$1843,CU112)+1-PERCENTRANK($CT$7:$CT$1843,CT112))</f>
        <v>2.273</v>
      </c>
      <c r="CZ112" s="72" t="n">
        <f aca="false">IF(CS112="","",CHOOSE(MATCH(Einkauf!$C$5,Parameter!$G$23:$G$27,0),CY112,CS112,CU112,-CT112,CW112)+ROW()/1000000000)</f>
        <v>2.273000112</v>
      </c>
    </row>
    <row r="113" customFormat="false" ht="15" hidden="false" customHeight="false" outlineLevel="0" collapsed="false">
      <c r="A113" s="60" t="s">
        <v>480</v>
      </c>
      <c r="B113" s="60" t="s">
        <v>473</v>
      </c>
      <c r="C113" s="60" t="s">
        <v>206</v>
      </c>
      <c r="D113" s="60" t="s">
        <v>226</v>
      </c>
      <c r="E113" s="60" t="s">
        <v>227</v>
      </c>
      <c r="F113" s="60" t="s">
        <v>260</v>
      </c>
      <c r="G113" s="61" t="n">
        <v>100.28</v>
      </c>
      <c r="H113" s="62" t="n">
        <f aca="false">MAX(0,IF(AND(Parameter!$B$21="Ja",ISNUMBER(Y113)),Y113,IF(Parameter!$B$20="Jahresanfang 2025 + Export",BS113+BR113,BR113)))</f>
        <v>39</v>
      </c>
      <c r="I113" s="62" t="n">
        <f aca="false">H113*G113</f>
        <v>3910.92</v>
      </c>
      <c r="J113" s="62" t="n">
        <f aca="false">BU113*Parameter!$B$18</f>
        <v>64</v>
      </c>
      <c r="K113" s="63" t="n">
        <v>17.5</v>
      </c>
      <c r="L113" s="64" t="n">
        <v>3.65714285714286</v>
      </c>
      <c r="M113" s="62" t="n">
        <v>5</v>
      </c>
      <c r="N113" s="62" t="n">
        <v>40</v>
      </c>
      <c r="O113" s="65" t="n">
        <v>35</v>
      </c>
      <c r="P113" s="60" t="s">
        <v>268</v>
      </c>
      <c r="Q113" s="62" t="n">
        <v>76</v>
      </c>
      <c r="R113" s="65" t="n">
        <f aca="false">IF(CA113=1,0,IFERROR(VLOOKUP(BY113,'Gebinde-Kategorie'!$A$5:$N$45,13,0)+0,0))</f>
        <v>12</v>
      </c>
      <c r="S113" s="66"/>
      <c r="T113" s="67"/>
      <c r="U113" s="67"/>
      <c r="V113" s="67"/>
      <c r="W113" s="60"/>
      <c r="X113" s="62"/>
      <c r="Y113" s="62"/>
      <c r="Z113" s="60" t="n">
        <v>3</v>
      </c>
      <c r="AA113" s="60" t="n">
        <f aca="false">IF(A113="","",IF(AND(Parameter!$B$21="Ja",ISNUMBER(W113)),W113,IF(AND(Parameter!$E$27="Ja",ISNUMBER(Z113),CD113&lt;&gt;"Nein"),Z113,IF(CD113="2+3",IF(ISNUMBER(SEARCH("grosser Artikel",BV113)),2,IFERROR(VLOOKUP(BY113,Parameter!$F$35:$G$64,2,0),2)),IF(OR(CD113="Nein",CD113=""),"-",CD113)))))</f>
        <v>3</v>
      </c>
      <c r="AB113" s="67"/>
      <c r="AC113" s="68"/>
      <c r="AD113" s="62" t="n">
        <f aca="false">AW113</f>
        <v>45</v>
      </c>
      <c r="AE113" s="62" t="n">
        <f aca="false">MAX(AW113,H113)</f>
        <v>45</v>
      </c>
      <c r="AF113" s="69"/>
      <c r="AG113" s="62" t="n">
        <f aca="false">IF(LEFT(Cockpit!$C$5,1)="A",H113,IF(Parameter!$E$30="MAX-Bestand",IF(CI113=1,CJ113,IF(LEFT(Cockpit!$C$5,1)="B",AM113,MAX(AM113,H113))),ROUNDUP(AK113,0)))</f>
        <v>39</v>
      </c>
      <c r="AH113" s="62" t="n">
        <f aca="false">IF(CA113=1,0,ROUNDUP(AG113/BZ113,0))</f>
        <v>1</v>
      </c>
      <c r="AI113" s="64" t="n">
        <f aca="false">IF(CR113&gt;0,CR113*MAX(1,AG113/X113),IF(CA113=1,IF(AG113&lt;=0,0,CE113*MAX(1,IF(H113&gt;0,AG113/H113,1))),IF(R113&gt;0,AH113/R113,0))/MAX(0.1,N(Parameter!$M$21)))</f>
        <v>0.0833333333333333</v>
      </c>
      <c r="AJ113" s="62" t="n">
        <f aca="false">AI113*CC113</f>
        <v>28.75</v>
      </c>
      <c r="AK113" s="63" t="n">
        <f aca="false">IF(LEFT(Cockpit!$C$5,1)="A",H113,IF(CI113=1,(CL113+CJ113)/2,IF(LEFT(Cockpit!$C$5,1)="B",(CL113+AM113)/2,MAX((CL113+AM113)/2,H113))))</f>
        <v>39</v>
      </c>
      <c r="AL113" s="62" t="n">
        <f aca="false">AK113*G113</f>
        <v>3910.92</v>
      </c>
      <c r="AM113" s="62" t="n">
        <f aca="false">ROUNDUP(CL113+MAX(CM113,2*(J113/IF(CH113&gt;0,CH113,MAX(0.1,N(Cockpit!$C$6)))-CL113)),0)</f>
        <v>45</v>
      </c>
      <c r="AN113" s="63" t="n">
        <f aca="false">IF(AJ113&gt;0,J113/AJ113,-1)</f>
        <v>2.22608695652174</v>
      </c>
      <c r="AO113" s="63" t="n">
        <f aca="false">IF(AND(OR(CG113="L1",CG113="L23",CG113="LIFT"),AJ113&gt;0),SUMIFS($AJ$7:$AJ$1843,$CG$7:$CG$1843,CG113,$AN$7:$AN$1843,"&gt;"&amp;AN113)+SUMIFS($AJ$7:$AJ$1843,$CG$7:$CG$1843,CG113,$AN$7:$AN$1843,AN113,$BX$7:$BX$1843,"&lt;="&amp;BX113),"")</f>
        <v>5723.14148351648</v>
      </c>
      <c r="AP113" s="70" t="n">
        <f aca="false">IF(AO113="",0,MAX(0,MIN(1,(IF(CG113="L1",Parameter!$H$5,IF(CG113="L23",Parameter!$H$6+Parameter!$H$7,Parameter!$H$5+Parameter!$H$6+Parameter!$H$7))-(AO113-AJ113))/AJ113)))</f>
        <v>1</v>
      </c>
      <c r="AQ113" s="62" t="n">
        <f aca="false">IF(LEFT(Cockpit!$I$5,1)="A",H113,IF(Parameter!$E$30="MAX-Bestand",IF(CI113=1,CJ113,IF(LEFT(Cockpit!$I$5,1)="B",AW113,MAX(AW113,H113))),ROUNDUP(AU113,0)))</f>
        <v>39</v>
      </c>
      <c r="AR113" s="62" t="n">
        <f aca="false">IF(CA113=1,0,ROUNDUP(AQ113/BZ113,0))</f>
        <v>1</v>
      </c>
      <c r="AS113" s="64" t="n">
        <f aca="false">IF(CR113&gt;0,CR113*MAX(1,AQ113/X113),IF(CA113=1,IF(AQ113&lt;=0,0,CE113*MAX(1,IF(H113&gt;0,AQ113/H113,1))),IF(R113&gt;0,AR113/R113,0))/MAX(0.1,N(Parameter!$M$21)))</f>
        <v>0.0833333333333333</v>
      </c>
      <c r="AT113" s="62" t="n">
        <f aca="false">AS113*CC113</f>
        <v>28.75</v>
      </c>
      <c r="AU113" s="63" t="n">
        <f aca="false">IF(LEFT(Cockpit!$I$5,1)="A",H113,IF(CI113=1,(CL113+CJ113)/2,IF(LEFT(Cockpit!$I$5,1)="B",(CL113+AW113)/2,MAX((CL113+AW113)/2,H113))))</f>
        <v>39</v>
      </c>
      <c r="AV113" s="62" t="n">
        <f aca="false">AU113*G113</f>
        <v>3910.92</v>
      </c>
      <c r="AW113" s="62" t="n">
        <f aca="false">ROUNDUP(CL113+MAX(CM113,2*(J113/IF(CH113&gt;0,CH113,MAX(0.1,N(Cockpit!$I$6)))-CL113)),0)</f>
        <v>45</v>
      </c>
      <c r="AX113" s="63" t="n">
        <f aca="false">IF(AT113&gt;0,J113/AT113,-1)</f>
        <v>2.22608695652174</v>
      </c>
      <c r="AY113" s="63" t="n">
        <f aca="false">IF(AND(OR(CG113="L1",CG113="L23",CG113="LIFT"),AT113&gt;0),SUMIFS($AT$7:$AT$1843,$CG$7:$CG$1843,CG113,$AX$7:$AX$1843,"&gt;"&amp;AX113)+SUMIFS($AT$7:$AT$1843,$CG$7:$CG$1843,CG113,$AX$7:$AX$1843,AX113,$BX$7:$BX$1843,"&lt;="&amp;BX113),"")</f>
        <v>6627.20283882784</v>
      </c>
      <c r="AZ113" s="70" t="n">
        <f aca="false">IF(AY113="",0,MAX(0,MIN(1,(IF(CG113="L1",Parameter!$H$5,IF(CG113="L23",Parameter!$H$6+Parameter!$H$7,Parameter!$H$5+Parameter!$H$6+Parameter!$H$7))-(AY113-AT113))/AT113)))</f>
        <v>1</v>
      </c>
      <c r="BA113" s="62" t="n">
        <f aca="false">IF(LEFT(Cockpit!$O$5,1)="A",H113,IF(Parameter!$E$30="MAX-Bestand",IF(CI113=1,CJ113,IF(LEFT(Cockpit!$O$5,1)="B",BG113,MAX(BG113,H113))),ROUNDUP(BE113,0)))</f>
        <v>25</v>
      </c>
      <c r="BB113" s="62" t="n">
        <f aca="false">IF(CA113=1,0,ROUNDUP(BA113/BZ113,0))</f>
        <v>1</v>
      </c>
      <c r="BC113" s="64" t="n">
        <f aca="false">IF(CR113&gt;0,CR113*MAX(1,BA113/X113),IF(CA113=1,IF(BA113&lt;=0,0,CE113*MAX(1,IF(H113&gt;0,BA113/H113,1))),IF(R113&gt;0,BB113/R113,0))/MAX(0.1,N(Parameter!$M$21)))</f>
        <v>0.0833333333333333</v>
      </c>
      <c r="BD113" s="62" t="n">
        <f aca="false">BC113*CC113</f>
        <v>28.75</v>
      </c>
      <c r="BE113" s="63" t="n">
        <f aca="false">IF(LEFT(Cockpit!$O$5,1)="A",H113,IF(CI113=1,(CL113+CJ113)/2,IF(LEFT(Cockpit!$O$5,1)="B",(CL113+BG113)/2,MAX((CL113+BG113)/2,H113))))</f>
        <v>25</v>
      </c>
      <c r="BF113" s="62" t="n">
        <f aca="false">BE113*G113</f>
        <v>2507</v>
      </c>
      <c r="BG113" s="62" t="n">
        <f aca="false">ROUNDUP(CL113+MAX(CM113,2*(J113/IF(CH113&gt;0,CH113,MAX(0.1,N(Cockpit!$O$6)))-CL113)),0)</f>
        <v>45</v>
      </c>
      <c r="BH113" s="63" t="n">
        <f aca="false">IF(BD113&gt;0,J113/BD113,-1)</f>
        <v>2.22608695652174</v>
      </c>
      <c r="BI113" s="63" t="n">
        <f aca="false">IF(AND(OR(CG113="L1",CG113="L23",CG113="LIFT"),BD113&gt;0),SUMIFS($BD$7:$BD$1843,$CG$7:$CG$1843,CG113,$BH$7:$BH$1843,"&gt;"&amp;BH113)+SUMIFS($BD$7:$BD$1843,$CG$7:$CG$1843,CG113,$BH$7:$BH$1843,BH113,$BX$7:$BX$1843,"&lt;="&amp;BX113),"")</f>
        <v>5699.40384615385</v>
      </c>
      <c r="BJ113" s="70" t="n">
        <f aca="false">IF(BI113="",0,MAX(0,MIN(1,(IF(CG113="L1",Parameter!$H$5,IF(CG113="L23",Parameter!$H$6+Parameter!$H$7,Parameter!$H$5+Parameter!$H$6+Parameter!$H$7))-(BI113-BD113))/BD113)))</f>
        <v>1</v>
      </c>
      <c r="BK113" s="60" t="str">
        <f aca="false">IF(AJ113&lt;=0,"",IF(CG113="Aussen","Aussenlager",IF(CG113="-","Nicht im Lift",IF(AP113&gt;=1,"Lift",IF(AP113&lt;=0,"Aussenlager","teilweise")))))</f>
        <v>Lift</v>
      </c>
      <c r="BL113" s="60" t="str">
        <f aca="false">IF(AT113&lt;=0,"",IF(CG113="Aussen","Aussenlager",IF(CG113="-","Nicht im Lift",IF(AZ113&gt;=1,"Lift",IF(AZ113&lt;=0,"Aussenlager","teilweise")))))</f>
        <v>Lift</v>
      </c>
      <c r="BM113" s="60" t="str">
        <f aca="false">IF(BD113&lt;=0,"",IF(CG113="Aussen","Aussenlager",IF(CG113="-","Nicht im Lift",IF(BJ113&gt;=1,"Lift",IF(BJ113&lt;=0,"Aussenlager","teilweise")))))</f>
        <v>Lift</v>
      </c>
      <c r="BN113" s="60" t="str">
        <f aca="false">IF(A113="","",IF(BW113=1,"Neu; ","")&amp;IF(AND(BW113=0,BR113&lt;0),"negativer Bestand (Export "&amp;BR113&amp;"); ","")&amp;IF(J113&lt;=0,"Kein Verbrauch; ","")&amp;IF(CR113&gt;0,"Lift "&amp;W113&amp;" lt. Liftbericht (Fach "&amp;X113&amp;" Stk); ",IF(CB113=1,"Gebinde geschätzt ("&amp;T113&amp;"); ",IF(CA113=1,"Lose – Tablare geschätzt; ","")))&amp;IF(H113&gt;AW113,"Überbestand "&amp;ROUND(H113-AW113,0)&amp;" Stk / CHF "&amp;ROUND((H113-AW113)*G113,0)&amp;"; ","")&amp;IF(AND(CI113=1,CJ113&lt;CK113),"MAX &lt; MB+LG; ","")&amp;IF(AND(CQ113&gt;0,CP113*10&gt;CQ113),"zu hoch für Tablar; ","")&amp;IF(AND(BW113=0,OR(CI113=1,AB113&lt;&gt;"",U113&lt;&gt;"",V113&lt;&gt;"",AC113&lt;&gt;"")),"manuell übersteuert; ","")&amp;IF(AND(CA113=0,R113=0),"Gebinde unbekannt / Stellmass fehlt; ","")&amp;IF(AND(CA113=0,N(V113)&lt;=0,N(Q113)&lt;=0),"Menge pro Gebinde fehlt (Ist = 1 Gebinde); ","")&amp;BV113)</f>
        <v/>
      </c>
      <c r="BO113" s="60"/>
      <c r="BP113" s="60"/>
      <c r="BQ113" s="67"/>
      <c r="BR113" s="62" t="n">
        <v>19</v>
      </c>
      <c r="BS113" s="62" t="n">
        <v>20</v>
      </c>
      <c r="BT113" s="61" t="n">
        <v>2016.52</v>
      </c>
      <c r="BU113" s="62" t="n">
        <v>64</v>
      </c>
      <c r="BV113" s="60"/>
      <c r="BW113" s="65" t="n">
        <v>0</v>
      </c>
      <c r="BX113" s="65" t="n">
        <v>113</v>
      </c>
      <c r="BY113" s="60" t="str">
        <f aca="false">IF(U113&lt;&gt;"",UPPER(TRIM(U113)),IF(CB113=1,UPPER(VLOOKUP(T113,Parameter!$I$27:$K$29,2,0)),IF(P113="","LOSE",P113)))</f>
        <v>S63</v>
      </c>
      <c r="BZ113" s="62" t="n">
        <f aca="false">IF(BY113="LOSE",1,IF(N(V113)&gt;0,V113,IF(CB113=1,MAX(1,N(VLOOKUP(T113,Parameter!$I$27:$K$29,3,0)),H113,N(N113)),IF(N(Q113)&gt;0,Q113,MAX(1,H113)))))</f>
        <v>76</v>
      </c>
      <c r="CA113" s="65" t="n">
        <f aca="false">IF(BY113="LOSE",1,0)</f>
        <v>0</v>
      </c>
      <c r="CB113" s="65" t="n">
        <f aca="false">IF(AND(U113="",OR(P113="",P113="LOSE"),T113&lt;&gt;"",N(S113)&lt;=0,ISNUMBER(MATCH(T113,Parameter!$I$27:$I$29,0))),1,0)</f>
        <v>0</v>
      </c>
      <c r="CC113" s="65" t="n">
        <f aca="false">IF(CR113&gt;0,INDEX(Parameter!$H$5:$H$7,W113)/INDEX(Parameter!$E$5:$E$7,W113),IF(AND(CA113=0,N(IFERROR(VLOOKUP(BY113,'Gebinde-Kategorie'!$A$5:$N$45,14,0),0))&gt;0),VLOOKUP(BY113,'Gebinde-Kategorie'!$A$5:$N$45,14,0)*10+Parameter!$M$23,Parameter!$M$24))</f>
        <v>345</v>
      </c>
      <c r="CD113" s="60" t="str">
        <f aca="false">IF(AND(Parameter!$B$19="Ja",E113&lt;&gt;"",ISNUMBER(MATCH(E113,Parameter!$I$35:$I$52,0))),VLOOKUP(E113,Parameter!$I$35:$J$52,2,0),IFERROR(VLOOKUP(D113,Parameter!$A$35:$C$64,2,0),"Nein"))</f>
        <v>2+3</v>
      </c>
      <c r="CE113" s="64" t="n">
        <f aca="false">IF(CA113=0,0,IF(N(S113)&gt;0,S113,IFERROR(VLOOKUP(D113,Parameter!$A$35:$C$64,3,0)+0,0)))</f>
        <v>0</v>
      </c>
      <c r="CF113" s="60" t="n">
        <f aca="false">IF(AB113&lt;&gt;"",AB113,AA113)</f>
        <v>3</v>
      </c>
      <c r="CG113" s="60" t="str">
        <f aca="false">IF(OR(CF113=1,CF113=2,CF113=3),IF(Parameter!$E$27="Ja","LIFT",IF(CF113=1,"L1","L23")),IF(CF113="Aussen","Aussen","-"))</f>
        <v>LIFT</v>
      </c>
      <c r="CH113" s="71" t="n">
        <f aca="false">IF(N(AC113)&gt;0,AC113,0)</f>
        <v>0</v>
      </c>
      <c r="CI113" s="65" t="n">
        <f aca="false">IF(ISNUMBER(AF113),1,0)</f>
        <v>0</v>
      </c>
      <c r="CJ113" s="62" t="n">
        <f aca="false">N(AF113)</f>
        <v>0</v>
      </c>
      <c r="CK113" s="62" t="n">
        <f aca="false">N(M113)+N(N113)</f>
        <v>45</v>
      </c>
      <c r="CL113" s="62" t="n">
        <f aca="false">N(M113)</f>
        <v>5</v>
      </c>
      <c r="CM113" s="62" t="n">
        <f aca="false">N(N113)</f>
        <v>40</v>
      </c>
      <c r="CN113" s="62" t="n">
        <f aca="false">ROUNDUP(H113/BZ113,0)</f>
        <v>1</v>
      </c>
      <c r="CO113" s="62" t="n">
        <f aca="false">ROUNDUP(CJ113/BZ113,0)</f>
        <v>0</v>
      </c>
      <c r="CP113" s="65" t="n">
        <f aca="false">IF(CA113=1,0,IFERROR(VLOOKUP(BY113,'Gebinde-Kategorie'!$A$5:$N$45,5,0)+0,0))</f>
        <v>31</v>
      </c>
      <c r="CQ113" s="65" t="n">
        <f aca="false">IFERROR(IF(OR(CF113=1,CF113=2,CF113=3),N(INDEX(Parameter!$I$5:$I$7,CF113)),0),0)</f>
        <v>0</v>
      </c>
      <c r="CR113" s="64" t="n">
        <f aca="false">IF(AND(Parameter!$B$21="Ja",ISNUMBER(W113),N(X113)&gt;0),IFERROR(N(INDEX(Parameter!$L$5:$L$7,W113))*INDEX(Parameter!$E$5:$E$7,W113)*X113/SUMIFS($X$7:$X$1843,$W$7:$W$1843,W113),0),0)</f>
        <v>0</v>
      </c>
      <c r="CS113" s="62" t="n">
        <f aca="false">IF(AND(OR(CG113="L1",CG113="L23",CG113="LIFT"),H113&gt;0),CC113*IF(CR113&gt;0,CR113*MAX(1,H113/X113),IF(CA113=1,CE113,IF(R113&gt;0,CN113/R113,0))/MAX(0.1,N(Parameter!$M$21))),"")</f>
        <v>28.75</v>
      </c>
      <c r="CT113" s="64" t="n">
        <f aca="false">IF(CS113="","",J113/H113)</f>
        <v>1.64102564102564</v>
      </c>
      <c r="CU113" s="62" t="n">
        <f aca="false">IF(CS113="","",H113*G113)</f>
        <v>3910.92</v>
      </c>
      <c r="CV113" s="63" t="n">
        <f aca="false">IF(CS113="","",(CL113+ROUNDUP(CL113+MAX(CM113,2*(J113/MAX(0.1,N(Einkauf!$C$6))-CL113)),0))/2)</f>
        <v>25</v>
      </c>
      <c r="CW113" s="62" t="n">
        <f aca="false">IF(CS113="","",MAX(0,H113-CV113)*G113)</f>
        <v>1403.92</v>
      </c>
      <c r="CX113" s="62" t="n">
        <f aca="false">IF(CS113="","",CS113*MAX(0,1-CV113/H113))</f>
        <v>10.3205128205128</v>
      </c>
      <c r="CY113" s="64" t="n">
        <f aca="false">IF(CS113="","",PERCENTRANK($CS$7:$CS$1843,CS113)+PERCENTRANK($CU$7:$CU$1843,CU113)+1-PERCENTRANK($CT$7:$CT$1843,CT113))</f>
        <v>1.917</v>
      </c>
      <c r="CZ113" s="72" t="n">
        <f aca="false">IF(CS113="","",CHOOSE(MATCH(Einkauf!$C$5,Parameter!$G$23:$G$27,0),CY113,CS113,CU113,-CT113,CW113)+ROW()/1000000000)</f>
        <v>1.917000113</v>
      </c>
    </row>
    <row r="114" customFormat="false" ht="15" hidden="false" customHeight="false" outlineLevel="0" collapsed="false">
      <c r="A114" s="60" t="s">
        <v>481</v>
      </c>
      <c r="B114" s="60" t="s">
        <v>482</v>
      </c>
      <c r="C114" s="60" t="s">
        <v>206</v>
      </c>
      <c r="D114" s="60" t="s">
        <v>226</v>
      </c>
      <c r="E114" s="60" t="s">
        <v>227</v>
      </c>
      <c r="F114" s="60" t="s">
        <v>260</v>
      </c>
      <c r="G114" s="61" t="n">
        <v>107</v>
      </c>
      <c r="H114" s="62" t="n">
        <f aca="false">MAX(0,IF(AND(Parameter!$B$21="Ja",ISNUMBER(Y114)),Y114,IF(Parameter!$B$20="Jahresanfang 2025 + Export",BS114+BR114,BR114)))</f>
        <v>25</v>
      </c>
      <c r="I114" s="62" t="n">
        <f aca="false">H114*G114</f>
        <v>2675</v>
      </c>
      <c r="J114" s="62" t="n">
        <f aca="false">BU114*Parameter!$B$18</f>
        <v>59</v>
      </c>
      <c r="K114" s="63" t="n">
        <v>18.5</v>
      </c>
      <c r="L114" s="64" t="n">
        <v>3.18918918918919</v>
      </c>
      <c r="M114" s="62" t="n">
        <v>2</v>
      </c>
      <c r="N114" s="62" t="n">
        <v>35</v>
      </c>
      <c r="O114" s="65" t="n">
        <v>14</v>
      </c>
      <c r="P114" s="60" t="s">
        <v>275</v>
      </c>
      <c r="Q114" s="62" t="n">
        <v>18</v>
      </c>
      <c r="R114" s="65" t="n">
        <f aca="false">IF(CA114=1,0,IFERROR(VLOOKUP(BY114,'Gebinde-Kategorie'!$A$5:$N$45,13,0)+0,0))</f>
        <v>26</v>
      </c>
      <c r="S114" s="66"/>
      <c r="T114" s="67"/>
      <c r="U114" s="67"/>
      <c r="V114" s="67"/>
      <c r="W114" s="60"/>
      <c r="X114" s="62"/>
      <c r="Y114" s="62"/>
      <c r="Z114" s="60" t="n">
        <v>3</v>
      </c>
      <c r="AA114" s="60" t="n">
        <f aca="false">IF(A114="","",IF(AND(Parameter!$B$21="Ja",ISNUMBER(W114)),W114,IF(AND(Parameter!$E$27="Ja",ISNUMBER(Z114),CD114&lt;&gt;"Nein"),Z114,IF(CD114="2+3",IF(ISNUMBER(SEARCH("grosser Artikel",BV114)),2,IFERROR(VLOOKUP(BY114,Parameter!$F$35:$G$64,2,0),2)),IF(OR(CD114="Nein",CD114=""),"-",CD114)))))</f>
        <v>3</v>
      </c>
      <c r="AB114" s="67"/>
      <c r="AC114" s="68"/>
      <c r="AD114" s="62" t="n">
        <f aca="false">AW114</f>
        <v>38</v>
      </c>
      <c r="AE114" s="62" t="n">
        <f aca="false">MAX(AW114,H114)</f>
        <v>38</v>
      </c>
      <c r="AF114" s="69"/>
      <c r="AG114" s="62" t="n">
        <f aca="false">IF(LEFT(Cockpit!$C$5,1)="A",H114,IF(Parameter!$E$30="MAX-Bestand",IF(CI114=1,CJ114,IF(LEFT(Cockpit!$C$5,1)="B",AM114,MAX(AM114,H114))),ROUNDUP(AK114,0)))</f>
        <v>25</v>
      </c>
      <c r="AH114" s="62" t="n">
        <f aca="false">IF(CA114=1,0,ROUNDUP(AG114/BZ114,0))</f>
        <v>2</v>
      </c>
      <c r="AI114" s="64" t="n">
        <f aca="false">IF(CR114&gt;0,CR114*MAX(1,AG114/X114),IF(CA114=1,IF(AG114&lt;=0,0,CE114*MAX(1,IF(H114&gt;0,AG114/H114,1))),IF(R114&gt;0,AH114/R114,0))/MAX(0.1,N(Parameter!$M$21)))</f>
        <v>0.0769230769230769</v>
      </c>
      <c r="AJ114" s="62" t="n">
        <f aca="false">AI114*CC114</f>
        <v>18.8461538461538</v>
      </c>
      <c r="AK114" s="63" t="n">
        <f aca="false">IF(LEFT(Cockpit!$C$5,1)="A",H114,IF(CI114=1,(CL114+CJ114)/2,IF(LEFT(Cockpit!$C$5,1)="B",(CL114+AM114)/2,MAX((CL114+AM114)/2,H114))))</f>
        <v>25</v>
      </c>
      <c r="AL114" s="62" t="n">
        <f aca="false">AK114*G114</f>
        <v>2675</v>
      </c>
      <c r="AM114" s="62" t="n">
        <f aca="false">ROUNDUP(CL114+MAX(CM114,2*(J114/IF(CH114&gt;0,CH114,MAX(0.1,N(Cockpit!$C$6)))-CL114)),0)</f>
        <v>38</v>
      </c>
      <c r="AN114" s="63" t="n">
        <f aca="false">IF(AJ114&gt;0,J114/AJ114,-1)</f>
        <v>3.13061224489796</v>
      </c>
      <c r="AO114" s="63" t="n">
        <f aca="false">IF(AND(OR(CG114="L1",CG114="L23",CG114="LIFT"),AJ114&gt;0),SUMIFS($AJ$7:$AJ$1843,$CG$7:$CG$1843,CG114,$AN$7:$AN$1843,"&gt;"&amp;AN114)+SUMIFS($AJ$7:$AJ$1843,$CG$7:$CG$1843,CG114,$AN$7:$AN$1843,AN114,$BX$7:$BX$1843,"&lt;="&amp;BX114),"")</f>
        <v>4993.96932234432</v>
      </c>
      <c r="AP114" s="70" t="n">
        <f aca="false">IF(AO114="",0,MAX(0,MIN(1,(IF(CG114="L1",Parameter!$H$5,IF(CG114="L23",Parameter!$H$6+Parameter!$H$7,Parameter!$H$5+Parameter!$H$6+Parameter!$H$7))-(AO114-AJ114))/AJ114)))</f>
        <v>1</v>
      </c>
      <c r="AQ114" s="62" t="n">
        <f aca="false">IF(LEFT(Cockpit!$I$5,1)="A",H114,IF(Parameter!$E$30="MAX-Bestand",IF(CI114=1,CJ114,IF(LEFT(Cockpit!$I$5,1)="B",AW114,MAX(AW114,H114))),ROUNDUP(AU114,0)))</f>
        <v>25</v>
      </c>
      <c r="AR114" s="62" t="n">
        <f aca="false">IF(CA114=1,0,ROUNDUP(AQ114/BZ114,0))</f>
        <v>2</v>
      </c>
      <c r="AS114" s="64" t="n">
        <f aca="false">IF(CR114&gt;0,CR114*MAX(1,AQ114/X114),IF(CA114=1,IF(AQ114&lt;=0,0,CE114*MAX(1,IF(H114&gt;0,AQ114/H114,1))),IF(R114&gt;0,AR114/R114,0))/MAX(0.1,N(Parameter!$M$21)))</f>
        <v>0.0769230769230769</v>
      </c>
      <c r="AT114" s="62" t="n">
        <f aca="false">AS114*CC114</f>
        <v>18.8461538461538</v>
      </c>
      <c r="AU114" s="63" t="n">
        <f aca="false">IF(LEFT(Cockpit!$I$5,1)="A",H114,IF(CI114=1,(CL114+CJ114)/2,IF(LEFT(Cockpit!$I$5,1)="B",(CL114+AW114)/2,MAX((CL114+AW114)/2,H114))))</f>
        <v>25</v>
      </c>
      <c r="AV114" s="62" t="n">
        <f aca="false">AU114*G114</f>
        <v>2675</v>
      </c>
      <c r="AW114" s="62" t="n">
        <f aca="false">ROUNDUP(CL114+MAX(CM114,2*(J114/IF(CH114&gt;0,CH114,MAX(0.1,N(Cockpit!$I$6)))-CL114)),0)</f>
        <v>38</v>
      </c>
      <c r="AX114" s="63" t="n">
        <f aca="false">IF(AT114&gt;0,J114/AT114,-1)</f>
        <v>3.13061224489796</v>
      </c>
      <c r="AY114" s="63" t="n">
        <f aca="false">IF(AND(OR(CG114="L1",CG114="L23",CG114="LIFT"),AT114&gt;0),SUMIFS($AT$7:$AT$1843,$CG$7:$CG$1843,CG114,$AX$7:$AX$1843,"&gt;"&amp;AX114)+SUMIFS($AT$7:$AT$1843,$CG$7:$CG$1843,CG114,$AX$7:$AX$1843,AX114,$BX$7:$BX$1843,"&lt;="&amp;BX114),"")</f>
        <v>5750.01785714286</v>
      </c>
      <c r="AZ114" s="70" t="n">
        <f aca="false">IF(AY114="",0,MAX(0,MIN(1,(IF(CG114="L1",Parameter!$H$5,IF(CG114="L23",Parameter!$H$6+Parameter!$H$7,Parameter!$H$5+Parameter!$H$6+Parameter!$H$7))-(AY114-AT114))/AT114)))</f>
        <v>1</v>
      </c>
      <c r="BA114" s="62" t="n">
        <f aca="false">IF(LEFT(Cockpit!$O$5,1)="A",H114,IF(Parameter!$E$30="MAX-Bestand",IF(CI114=1,CJ114,IF(LEFT(Cockpit!$O$5,1)="B",BG114,MAX(BG114,H114))),ROUNDUP(BE114,0)))</f>
        <v>20</v>
      </c>
      <c r="BB114" s="62" t="n">
        <f aca="false">IF(CA114=1,0,ROUNDUP(BA114/BZ114,0))</f>
        <v>2</v>
      </c>
      <c r="BC114" s="64" t="n">
        <f aca="false">IF(CR114&gt;0,CR114*MAX(1,BA114/X114),IF(CA114=1,IF(BA114&lt;=0,0,CE114*MAX(1,IF(H114&gt;0,BA114/H114,1))),IF(R114&gt;0,BB114/R114,0))/MAX(0.1,N(Parameter!$M$21)))</f>
        <v>0.0769230769230769</v>
      </c>
      <c r="BD114" s="62" t="n">
        <f aca="false">BC114*CC114</f>
        <v>18.8461538461538</v>
      </c>
      <c r="BE114" s="63" t="n">
        <f aca="false">IF(LEFT(Cockpit!$O$5,1)="A",H114,IF(CI114=1,(CL114+CJ114)/2,IF(LEFT(Cockpit!$O$5,1)="B",(CL114+BG114)/2,MAX((CL114+BG114)/2,H114))))</f>
        <v>19.5</v>
      </c>
      <c r="BF114" s="62" t="n">
        <f aca="false">BE114*G114</f>
        <v>2086.5</v>
      </c>
      <c r="BG114" s="62" t="n">
        <f aca="false">ROUNDUP(CL114+MAX(CM114,2*(J114/IF(CH114&gt;0,CH114,MAX(0.1,N(Cockpit!$O$6)))-CL114)),0)</f>
        <v>37</v>
      </c>
      <c r="BH114" s="63" t="n">
        <f aca="false">IF(BD114&gt;0,J114/BD114,-1)</f>
        <v>3.13061224489796</v>
      </c>
      <c r="BI114" s="63" t="n">
        <f aca="false">IF(AND(OR(CG114="L1",CG114="L23",CG114="LIFT"),BD114&gt;0),SUMIFS($BD$7:$BD$1843,$CG$7:$CG$1843,CG114,$BH$7:$BH$1843,"&gt;"&amp;BH114)+SUMIFS($BD$7:$BD$1843,$CG$7:$CG$1843,CG114,$BH$7:$BH$1843,BH114,$BX$7:$BX$1843,"&lt;="&amp;BX114),"")</f>
        <v>4713.28067765568</v>
      </c>
      <c r="BJ114" s="70" t="n">
        <f aca="false">IF(BI114="",0,MAX(0,MIN(1,(IF(CG114="L1",Parameter!$H$5,IF(CG114="L23",Parameter!$H$6+Parameter!$H$7,Parameter!$H$5+Parameter!$H$6+Parameter!$H$7))-(BI114-BD114))/BD114)))</f>
        <v>1</v>
      </c>
      <c r="BK114" s="60" t="str">
        <f aca="false">IF(AJ114&lt;=0,"",IF(CG114="Aussen","Aussenlager",IF(CG114="-","Nicht im Lift",IF(AP114&gt;=1,"Lift",IF(AP114&lt;=0,"Aussenlager","teilweise")))))</f>
        <v>Lift</v>
      </c>
      <c r="BL114" s="60" t="str">
        <f aca="false">IF(AT114&lt;=0,"",IF(CG114="Aussen","Aussenlager",IF(CG114="-","Nicht im Lift",IF(AZ114&gt;=1,"Lift",IF(AZ114&lt;=0,"Aussenlager","teilweise")))))</f>
        <v>Lift</v>
      </c>
      <c r="BM114" s="60" t="str">
        <f aca="false">IF(BD114&lt;=0,"",IF(CG114="Aussen","Aussenlager",IF(CG114="-","Nicht im Lift",IF(BJ114&gt;=1,"Lift",IF(BJ114&lt;=0,"Aussenlager","teilweise")))))</f>
        <v>Lift</v>
      </c>
      <c r="BN114" s="60" t="str">
        <f aca="false">IF(A114="","",IF(BW114=1,"Neu; ","")&amp;IF(AND(BW114=0,BR114&lt;0),"negativer Bestand (Export "&amp;BR114&amp;"); ","")&amp;IF(J114&lt;=0,"Kein Verbrauch; ","")&amp;IF(CR114&gt;0,"Lift "&amp;W114&amp;" lt. Liftbericht (Fach "&amp;X114&amp;" Stk); ",IF(CB114=1,"Gebinde geschätzt ("&amp;T114&amp;"); ",IF(CA114=1,"Lose – Tablare geschätzt; ","")))&amp;IF(H114&gt;AW114,"Überbestand "&amp;ROUND(H114-AW114,0)&amp;" Stk / CHF "&amp;ROUND((H114-AW114)*G114,0)&amp;"; ","")&amp;IF(AND(CI114=1,CJ114&lt;CK114),"MAX &lt; MB+LG; ","")&amp;IF(AND(CQ114&gt;0,CP114*10&gt;CQ114),"zu hoch für Tablar; ","")&amp;IF(AND(BW114=0,OR(CI114=1,AB114&lt;&gt;"",U114&lt;&gt;"",V114&lt;&gt;"",AC114&lt;&gt;"")),"manuell übersteuert; ","")&amp;IF(AND(CA114=0,R114=0),"Gebinde unbekannt / Stellmass fehlt; ","")&amp;IF(AND(CA114=0,N(V114)&lt;=0,N(Q114)&lt;=0),"Menge pro Gebinde fehlt (Ist = 1 Gebinde); ","")&amp;BV114)</f>
        <v/>
      </c>
      <c r="BO114" s="60"/>
      <c r="BP114" s="60"/>
      <c r="BQ114" s="67"/>
      <c r="BR114" s="62" t="n">
        <v>18</v>
      </c>
      <c r="BS114" s="62" t="n">
        <v>7</v>
      </c>
      <c r="BT114" s="61" t="n">
        <v>1926</v>
      </c>
      <c r="BU114" s="62" t="n">
        <v>59</v>
      </c>
      <c r="BV114" s="60"/>
      <c r="BW114" s="65" t="n">
        <v>0</v>
      </c>
      <c r="BX114" s="65" t="n">
        <v>114</v>
      </c>
      <c r="BY114" s="60" t="str">
        <f aca="false">IF(U114&lt;&gt;"",UPPER(TRIM(U114)),IF(CB114=1,UPPER(VLOOKUP(T114,Parameter!$I$27:$K$29,2,0)),IF(P114="","LOSE",P114)))</f>
        <v>S52</v>
      </c>
      <c r="BZ114" s="62" t="n">
        <f aca="false">IF(BY114="LOSE",1,IF(N(V114)&gt;0,V114,IF(CB114=1,MAX(1,N(VLOOKUP(T114,Parameter!$I$27:$K$29,3,0)),H114,N(N114)),IF(N(Q114)&gt;0,Q114,MAX(1,H114)))))</f>
        <v>18</v>
      </c>
      <c r="CA114" s="65" t="n">
        <f aca="false">IF(BY114="LOSE",1,0)</f>
        <v>0</v>
      </c>
      <c r="CB114" s="65" t="n">
        <f aca="false">IF(AND(U114="",OR(P114="",P114="LOSE"),T114&lt;&gt;"",N(S114)&lt;=0,ISNUMBER(MATCH(T114,Parameter!$I$27:$I$29,0))),1,0)</f>
        <v>0</v>
      </c>
      <c r="CC114" s="65" t="n">
        <f aca="false">IF(CR114&gt;0,INDEX(Parameter!$H$5:$H$7,W114)/INDEX(Parameter!$E$5:$E$7,W114),IF(AND(CA114=0,N(IFERROR(VLOOKUP(BY114,'Gebinde-Kategorie'!$A$5:$N$45,14,0),0))&gt;0),VLOOKUP(BY114,'Gebinde-Kategorie'!$A$5:$N$45,14,0)*10+Parameter!$M$23,Parameter!$M$24))</f>
        <v>245</v>
      </c>
      <c r="CD114" s="60" t="str">
        <f aca="false">IF(AND(Parameter!$B$19="Ja",E114&lt;&gt;"",ISNUMBER(MATCH(E114,Parameter!$I$35:$I$52,0))),VLOOKUP(E114,Parameter!$I$35:$J$52,2,0),IFERROR(VLOOKUP(D114,Parameter!$A$35:$C$64,2,0),"Nein"))</f>
        <v>2+3</v>
      </c>
      <c r="CE114" s="64" t="n">
        <f aca="false">IF(CA114=0,0,IF(N(S114)&gt;0,S114,IFERROR(VLOOKUP(D114,Parameter!$A$35:$C$64,3,0)+0,0)))</f>
        <v>0</v>
      </c>
      <c r="CF114" s="60" t="n">
        <f aca="false">IF(AB114&lt;&gt;"",AB114,AA114)</f>
        <v>3</v>
      </c>
      <c r="CG114" s="60" t="str">
        <f aca="false">IF(OR(CF114=1,CF114=2,CF114=3),IF(Parameter!$E$27="Ja","LIFT",IF(CF114=1,"L1","L23")),IF(CF114="Aussen","Aussen","-"))</f>
        <v>LIFT</v>
      </c>
      <c r="CH114" s="71" t="n">
        <f aca="false">IF(N(AC114)&gt;0,AC114,0)</f>
        <v>0</v>
      </c>
      <c r="CI114" s="65" t="n">
        <f aca="false">IF(ISNUMBER(AF114),1,0)</f>
        <v>0</v>
      </c>
      <c r="CJ114" s="62" t="n">
        <f aca="false">N(AF114)</f>
        <v>0</v>
      </c>
      <c r="CK114" s="62" t="n">
        <f aca="false">N(M114)+N(N114)</f>
        <v>37</v>
      </c>
      <c r="CL114" s="62" t="n">
        <f aca="false">N(M114)</f>
        <v>2</v>
      </c>
      <c r="CM114" s="62" t="n">
        <f aca="false">N(N114)</f>
        <v>35</v>
      </c>
      <c r="CN114" s="62" t="n">
        <f aca="false">ROUNDUP(H114/BZ114,0)</f>
        <v>2</v>
      </c>
      <c r="CO114" s="62" t="n">
        <f aca="false">ROUNDUP(CJ114/BZ114,0)</f>
        <v>0</v>
      </c>
      <c r="CP114" s="65" t="n">
        <f aca="false">IF(CA114=1,0,IFERROR(VLOOKUP(BY114,'Gebinde-Kategorie'!$A$5:$N$45,5,0)+0,0))</f>
        <v>21</v>
      </c>
      <c r="CQ114" s="65" t="n">
        <f aca="false">IFERROR(IF(OR(CF114=1,CF114=2,CF114=3),N(INDEX(Parameter!$I$5:$I$7,CF114)),0),0)</f>
        <v>0</v>
      </c>
      <c r="CR114" s="64" t="n">
        <f aca="false">IF(AND(Parameter!$B$21="Ja",ISNUMBER(W114),N(X114)&gt;0),IFERROR(N(INDEX(Parameter!$L$5:$L$7,W114))*INDEX(Parameter!$E$5:$E$7,W114)*X114/SUMIFS($X$7:$X$1843,$W$7:$W$1843,W114),0),0)</f>
        <v>0</v>
      </c>
      <c r="CS114" s="62" t="n">
        <f aca="false">IF(AND(OR(CG114="L1",CG114="L23",CG114="LIFT"),H114&gt;0),CC114*IF(CR114&gt;0,CR114*MAX(1,H114/X114),IF(CA114=1,CE114,IF(R114&gt;0,CN114/R114,0))/MAX(0.1,N(Parameter!$M$21))),"")</f>
        <v>18.8461538461538</v>
      </c>
      <c r="CT114" s="64" t="n">
        <f aca="false">IF(CS114="","",J114/H114)</f>
        <v>2.36</v>
      </c>
      <c r="CU114" s="62" t="n">
        <f aca="false">IF(CS114="","",H114*G114)</f>
        <v>2675</v>
      </c>
      <c r="CV114" s="63" t="n">
        <f aca="false">IF(CS114="","",(CL114+ROUNDUP(CL114+MAX(CM114,2*(J114/MAX(0.1,N(Einkauf!$C$6))-CL114)),0))/2)</f>
        <v>19.5</v>
      </c>
      <c r="CW114" s="62" t="n">
        <f aca="false">IF(CS114="","",MAX(0,H114-CV114)*G114)</f>
        <v>588.5</v>
      </c>
      <c r="CX114" s="62" t="n">
        <f aca="false">IF(CS114="","",CS114*MAX(0,1-CV114/H114))</f>
        <v>4.14615384615385</v>
      </c>
      <c r="CY114" s="64" t="n">
        <f aca="false">IF(CS114="","",PERCENTRANK($CS$7:$CS$1843,CS114)+PERCENTRANK($CU$7:$CU$1843,CU114)+1-PERCENTRANK($CT$7:$CT$1843,CT114))</f>
        <v>1.736</v>
      </c>
      <c r="CZ114" s="72" t="n">
        <f aca="false">IF(CS114="","",CHOOSE(MATCH(Einkauf!$C$5,Parameter!$G$23:$G$27,0),CY114,CS114,CU114,-CT114,CW114)+ROW()/1000000000)</f>
        <v>1.736000114</v>
      </c>
    </row>
    <row r="115" customFormat="false" ht="15" hidden="false" customHeight="false" outlineLevel="0" collapsed="false">
      <c r="A115" s="60" t="s">
        <v>483</v>
      </c>
      <c r="B115" s="60" t="s">
        <v>484</v>
      </c>
      <c r="C115" s="60" t="s">
        <v>206</v>
      </c>
      <c r="D115" s="60" t="s">
        <v>226</v>
      </c>
      <c r="E115" s="60" t="s">
        <v>227</v>
      </c>
      <c r="F115" s="60" t="s">
        <v>260</v>
      </c>
      <c r="G115" s="61" t="n">
        <v>13.66</v>
      </c>
      <c r="H115" s="62" t="n">
        <f aca="false">MAX(0,IF(AND(Parameter!$B$21="Ja",ISNUMBER(Y115)),Y115,IF(Parameter!$B$20="Jahresanfang 2025 + Export",BS115+BR115,BR115)))</f>
        <v>195.1</v>
      </c>
      <c r="I115" s="62" t="n">
        <f aca="false">H115*G115</f>
        <v>2665.066</v>
      </c>
      <c r="J115" s="62" t="n">
        <f aca="false">BU115*Parameter!$B$18</f>
        <v>447.2</v>
      </c>
      <c r="K115" s="63" t="n">
        <v>62.2</v>
      </c>
      <c r="L115" s="64" t="n">
        <v>7.18971061093248</v>
      </c>
      <c r="M115" s="62" t="n">
        <v>30</v>
      </c>
      <c r="N115" s="62" t="n">
        <v>265</v>
      </c>
      <c r="O115" s="65" t="n">
        <v>21</v>
      </c>
      <c r="P115" s="60" t="s">
        <v>268</v>
      </c>
      <c r="Q115" s="62" t="n">
        <v>91</v>
      </c>
      <c r="R115" s="65" t="n">
        <f aca="false">IF(CA115=1,0,IFERROR(VLOOKUP(BY115,'Gebinde-Kategorie'!$A$5:$N$45,13,0)+0,0))</f>
        <v>12</v>
      </c>
      <c r="S115" s="66"/>
      <c r="T115" s="67"/>
      <c r="U115" s="67"/>
      <c r="V115" s="67"/>
      <c r="W115" s="60"/>
      <c r="X115" s="62"/>
      <c r="Y115" s="62"/>
      <c r="Z115" s="60" t="n">
        <v>3</v>
      </c>
      <c r="AA115" s="60" t="n">
        <f aca="false">IF(A115="","",IF(AND(Parameter!$B$21="Ja",ISNUMBER(W115)),W115,IF(AND(Parameter!$E$27="Ja",ISNUMBER(Z115),CD115&lt;&gt;"Nein"),Z115,IF(CD115="2+3",IF(ISNUMBER(SEARCH("grosser Artikel",BV115)),2,IFERROR(VLOOKUP(BY115,Parameter!$F$35:$G$64,2,0),2)),IF(OR(CD115="Nein",CD115=""),"-",CD115)))))</f>
        <v>3</v>
      </c>
      <c r="AB115" s="67"/>
      <c r="AC115" s="68"/>
      <c r="AD115" s="62" t="n">
        <f aca="false">AW115</f>
        <v>295</v>
      </c>
      <c r="AE115" s="62" t="n">
        <f aca="false">MAX(AW115,H115)</f>
        <v>295</v>
      </c>
      <c r="AF115" s="69"/>
      <c r="AG115" s="62" t="n">
        <f aca="false">IF(LEFT(Cockpit!$C$5,1)="A",H115,IF(Parameter!$E$30="MAX-Bestand",IF(CI115=1,CJ115,IF(LEFT(Cockpit!$C$5,1)="B",AM115,MAX(AM115,H115))),ROUNDUP(AK115,0)))</f>
        <v>195.1</v>
      </c>
      <c r="AH115" s="62" t="n">
        <f aca="false">IF(CA115=1,0,ROUNDUP(AG115/BZ115,0))</f>
        <v>3</v>
      </c>
      <c r="AI115" s="64" t="n">
        <f aca="false">IF(CR115&gt;0,CR115*MAX(1,AG115/X115),IF(CA115=1,IF(AG115&lt;=0,0,CE115*MAX(1,IF(H115&gt;0,AG115/H115,1))),IF(R115&gt;0,AH115/R115,0))/MAX(0.1,N(Parameter!$M$21)))</f>
        <v>0.25</v>
      </c>
      <c r="AJ115" s="62" t="n">
        <f aca="false">AI115*CC115</f>
        <v>86.25</v>
      </c>
      <c r="AK115" s="63" t="n">
        <f aca="false">IF(LEFT(Cockpit!$C$5,1)="A",H115,IF(CI115=1,(CL115+CJ115)/2,IF(LEFT(Cockpit!$C$5,1)="B",(CL115+AM115)/2,MAX((CL115+AM115)/2,H115))))</f>
        <v>195.1</v>
      </c>
      <c r="AL115" s="62" t="n">
        <f aca="false">AK115*G115</f>
        <v>2665.066</v>
      </c>
      <c r="AM115" s="62" t="n">
        <f aca="false">ROUNDUP(CL115+MAX(CM115,2*(J115/IF(CH115&gt;0,CH115,MAX(0.1,N(Cockpit!$C$6)))-CL115)),0)</f>
        <v>295</v>
      </c>
      <c r="AN115" s="63" t="n">
        <f aca="false">IF(AJ115&gt;0,J115/AJ115,-1)</f>
        <v>5.18492753623188</v>
      </c>
      <c r="AO115" s="63" t="n">
        <f aca="false">IF(AND(OR(CG115="L1",CG115="L23",CG115="LIFT"),AJ115&gt;0),SUMIFS($AJ$7:$AJ$1843,$CG$7:$CG$1843,CG115,$AN$7:$AN$1843,"&gt;"&amp;AN115)+SUMIFS($AJ$7:$AJ$1843,$CG$7:$CG$1843,CG115,$AN$7:$AN$1843,AN115,$BX$7:$BX$1843,"&lt;="&amp;BX115),"")</f>
        <v>3819.89331501832</v>
      </c>
      <c r="AP115" s="70" t="n">
        <f aca="false">IF(AO115="",0,MAX(0,MIN(1,(IF(CG115="L1",Parameter!$H$5,IF(CG115="L23",Parameter!$H$6+Parameter!$H$7,Parameter!$H$5+Parameter!$H$6+Parameter!$H$7))-(AO115-AJ115))/AJ115)))</f>
        <v>1</v>
      </c>
      <c r="AQ115" s="62" t="n">
        <f aca="false">IF(LEFT(Cockpit!$I$5,1)="A",H115,IF(Parameter!$E$30="MAX-Bestand",IF(CI115=1,CJ115,IF(LEFT(Cockpit!$I$5,1)="B",AW115,MAX(AW115,H115))),ROUNDUP(AU115,0)))</f>
        <v>196</v>
      </c>
      <c r="AR115" s="62" t="n">
        <f aca="false">IF(CA115=1,0,ROUNDUP(AQ115/BZ115,0))</f>
        <v>3</v>
      </c>
      <c r="AS115" s="64" t="n">
        <f aca="false">IF(CR115&gt;0,CR115*MAX(1,AQ115/X115),IF(CA115=1,IF(AQ115&lt;=0,0,CE115*MAX(1,IF(H115&gt;0,AQ115/H115,1))),IF(R115&gt;0,AR115/R115,0))/MAX(0.1,N(Parameter!$M$21)))</f>
        <v>0.25</v>
      </c>
      <c r="AT115" s="62" t="n">
        <f aca="false">AS115*CC115</f>
        <v>86.25</v>
      </c>
      <c r="AU115" s="63" t="n">
        <f aca="false">IF(LEFT(Cockpit!$I$5,1)="A",H115,IF(CI115=1,(CL115+CJ115)/2,IF(LEFT(Cockpit!$I$5,1)="B",(CL115+AW115)/2,MAX((CL115+AW115)/2,H115))))</f>
        <v>195.1</v>
      </c>
      <c r="AV115" s="62" t="n">
        <f aca="false">AU115*G115</f>
        <v>2665.066</v>
      </c>
      <c r="AW115" s="62" t="n">
        <f aca="false">ROUNDUP(CL115+MAX(CM115,2*(J115/IF(CH115&gt;0,CH115,MAX(0.1,N(Cockpit!$I$6)))-CL115)),0)</f>
        <v>295</v>
      </c>
      <c r="AX115" s="63" t="n">
        <f aca="false">IF(AT115&gt;0,J115/AT115,-1)</f>
        <v>5.18492753623188</v>
      </c>
      <c r="AY115" s="63" t="n">
        <f aca="false">IF(AND(OR(CG115="L1",CG115="L23",CG115="LIFT"),AT115&gt;0),SUMIFS($AT$7:$AT$1843,$CG$7:$CG$1843,CG115,$AX$7:$AX$1843,"&gt;"&amp;AX115)+SUMIFS($AT$7:$AT$1843,$CG$7:$CG$1843,CG115,$AX$7:$AX$1843,AX115,$BX$7:$BX$1843,"&lt;="&amp;BX115),"")</f>
        <v>4473.63415750916</v>
      </c>
      <c r="AZ115" s="70" t="n">
        <f aca="false">IF(AY115="",0,MAX(0,MIN(1,(IF(CG115="L1",Parameter!$H$5,IF(CG115="L23",Parameter!$H$6+Parameter!$H$7,Parameter!$H$5+Parameter!$H$6+Parameter!$H$7))-(AY115-AT115))/AT115)))</f>
        <v>1</v>
      </c>
      <c r="BA115" s="62" t="n">
        <f aca="false">IF(LEFT(Cockpit!$O$5,1)="A",H115,IF(Parameter!$E$30="MAX-Bestand",IF(CI115=1,CJ115,IF(LEFT(Cockpit!$O$5,1)="B",BG115,MAX(BG115,H115))),ROUNDUP(BE115,0)))</f>
        <v>163</v>
      </c>
      <c r="BB115" s="62" t="n">
        <f aca="false">IF(CA115=1,0,ROUNDUP(BA115/BZ115,0))</f>
        <v>2</v>
      </c>
      <c r="BC115" s="64" t="n">
        <f aca="false">IF(CR115&gt;0,CR115*MAX(1,BA115/X115),IF(CA115=1,IF(BA115&lt;=0,0,CE115*MAX(1,IF(H115&gt;0,BA115/H115,1))),IF(R115&gt;0,BB115/R115,0))/MAX(0.1,N(Parameter!$M$21)))</f>
        <v>0.166666666666667</v>
      </c>
      <c r="BD115" s="62" t="n">
        <f aca="false">BC115*CC115</f>
        <v>57.5</v>
      </c>
      <c r="BE115" s="63" t="n">
        <f aca="false">IF(LEFT(Cockpit!$O$5,1)="A",H115,IF(CI115=1,(CL115+CJ115)/2,IF(LEFT(Cockpit!$O$5,1)="B",(CL115+BG115)/2,MAX((CL115+BG115)/2,H115))))</f>
        <v>162.5</v>
      </c>
      <c r="BF115" s="62" t="n">
        <f aca="false">BE115*G115</f>
        <v>2219.75</v>
      </c>
      <c r="BG115" s="62" t="n">
        <f aca="false">ROUNDUP(CL115+MAX(CM115,2*(J115/IF(CH115&gt;0,CH115,MAX(0.1,N(Cockpit!$O$6)))-CL115)),0)</f>
        <v>295</v>
      </c>
      <c r="BH115" s="63" t="n">
        <f aca="false">IF(BD115&gt;0,J115/BD115,-1)</f>
        <v>7.77739130434783</v>
      </c>
      <c r="BI115" s="63" t="n">
        <f aca="false">IF(AND(OR(CG115="L1",CG115="L23",CG115="LIFT"),BD115&gt;0),SUMIFS($BD$7:$BD$1843,$CG$7:$CG$1843,CG115,$BH$7:$BH$1843,"&gt;"&amp;BH115)+SUMIFS($BD$7:$BD$1843,$CG$7:$CG$1843,CG115,$BH$7:$BH$1843,BH115,$BX$7:$BX$1843,"&lt;="&amp;BX115),"")</f>
        <v>3141.12316849817</v>
      </c>
      <c r="BJ115" s="70" t="n">
        <f aca="false">IF(BI115="",0,MAX(0,MIN(1,(IF(CG115="L1",Parameter!$H$5,IF(CG115="L23",Parameter!$H$6+Parameter!$H$7,Parameter!$H$5+Parameter!$H$6+Parameter!$H$7))-(BI115-BD115))/BD115)))</f>
        <v>1</v>
      </c>
      <c r="BK115" s="60" t="str">
        <f aca="false">IF(AJ115&lt;=0,"",IF(CG115="Aussen","Aussenlager",IF(CG115="-","Nicht im Lift",IF(AP115&gt;=1,"Lift",IF(AP115&lt;=0,"Aussenlager","teilweise")))))</f>
        <v>Lift</v>
      </c>
      <c r="BL115" s="60" t="str">
        <f aca="false">IF(AT115&lt;=0,"",IF(CG115="Aussen","Aussenlager",IF(CG115="-","Nicht im Lift",IF(AZ115&gt;=1,"Lift",IF(AZ115&lt;=0,"Aussenlager","teilweise")))))</f>
        <v>Lift</v>
      </c>
      <c r="BM115" s="60" t="str">
        <f aca="false">IF(BD115&lt;=0,"",IF(CG115="Aussen","Aussenlager",IF(CG115="-","Nicht im Lift",IF(BJ115&gt;=1,"Lift",IF(BJ115&lt;=0,"Aussenlager","teilweise")))))</f>
        <v>Lift</v>
      </c>
      <c r="BN115" s="60" t="str">
        <f aca="false">IF(A115="","",IF(BW115=1,"Neu; ","")&amp;IF(AND(BW115=0,BR115&lt;0),"negativer Bestand (Export "&amp;BR115&amp;"); ","")&amp;IF(J115&lt;=0,"Kein Verbrauch; ","")&amp;IF(CR115&gt;0,"Lift "&amp;W115&amp;" lt. Liftbericht (Fach "&amp;X115&amp;" Stk); ",IF(CB115=1,"Gebinde geschätzt ("&amp;T115&amp;"); ",IF(CA115=1,"Lose – Tablare geschätzt; ","")))&amp;IF(H115&gt;AW115,"Überbestand "&amp;ROUND(H115-AW115,0)&amp;" Stk / CHF "&amp;ROUND((H115-AW115)*G115,0)&amp;"; ","")&amp;IF(AND(CI115=1,CJ115&lt;CK115),"MAX &lt; MB+LG; ","")&amp;IF(AND(CQ115&gt;0,CP115*10&gt;CQ115),"zu hoch für Tablar; ","")&amp;IF(AND(BW115=0,OR(CI115=1,AB115&lt;&gt;"",U115&lt;&gt;"",V115&lt;&gt;"",AC115&lt;&gt;"")),"manuell übersteuert; ","")&amp;IF(AND(CA115=0,R115=0),"Gebinde unbekannt / Stellmass fehlt; ","")&amp;IF(AND(CA115=0,N(V115)&lt;=0,N(Q115)&lt;=0),"Menge pro Gebinde fehlt (Ist = 1 Gebinde); ","")&amp;BV115)</f>
        <v/>
      </c>
      <c r="BO115" s="60"/>
      <c r="BP115" s="60"/>
      <c r="BQ115" s="67"/>
      <c r="BR115" s="62" t="n">
        <v>147.8</v>
      </c>
      <c r="BS115" s="62" t="n">
        <v>47.3</v>
      </c>
      <c r="BT115" s="61" t="n">
        <v>1915.36</v>
      </c>
      <c r="BU115" s="62" t="n">
        <v>447.2</v>
      </c>
      <c r="BV115" s="60"/>
      <c r="BW115" s="65" t="n">
        <v>0</v>
      </c>
      <c r="BX115" s="65" t="n">
        <v>115</v>
      </c>
      <c r="BY115" s="60" t="str">
        <f aca="false">IF(U115&lt;&gt;"",UPPER(TRIM(U115)),IF(CB115=1,UPPER(VLOOKUP(T115,Parameter!$I$27:$K$29,2,0)),IF(P115="","LOSE",P115)))</f>
        <v>S63</v>
      </c>
      <c r="BZ115" s="62" t="n">
        <f aca="false">IF(BY115="LOSE",1,IF(N(V115)&gt;0,V115,IF(CB115=1,MAX(1,N(VLOOKUP(T115,Parameter!$I$27:$K$29,3,0)),H115,N(N115)),IF(N(Q115)&gt;0,Q115,MAX(1,H115)))))</f>
        <v>91</v>
      </c>
      <c r="CA115" s="65" t="n">
        <f aca="false">IF(BY115="LOSE",1,0)</f>
        <v>0</v>
      </c>
      <c r="CB115" s="65" t="n">
        <f aca="false">IF(AND(U115="",OR(P115="",P115="LOSE"),T115&lt;&gt;"",N(S115)&lt;=0,ISNUMBER(MATCH(T115,Parameter!$I$27:$I$29,0))),1,0)</f>
        <v>0</v>
      </c>
      <c r="CC115" s="65" t="n">
        <f aca="false">IF(CR115&gt;0,INDEX(Parameter!$H$5:$H$7,W115)/INDEX(Parameter!$E$5:$E$7,W115),IF(AND(CA115=0,N(IFERROR(VLOOKUP(BY115,'Gebinde-Kategorie'!$A$5:$N$45,14,0),0))&gt;0),VLOOKUP(BY115,'Gebinde-Kategorie'!$A$5:$N$45,14,0)*10+Parameter!$M$23,Parameter!$M$24))</f>
        <v>345</v>
      </c>
      <c r="CD115" s="60" t="str">
        <f aca="false">IF(AND(Parameter!$B$19="Ja",E115&lt;&gt;"",ISNUMBER(MATCH(E115,Parameter!$I$35:$I$52,0))),VLOOKUP(E115,Parameter!$I$35:$J$52,2,0),IFERROR(VLOOKUP(D115,Parameter!$A$35:$C$64,2,0),"Nein"))</f>
        <v>2+3</v>
      </c>
      <c r="CE115" s="64" t="n">
        <f aca="false">IF(CA115=0,0,IF(N(S115)&gt;0,S115,IFERROR(VLOOKUP(D115,Parameter!$A$35:$C$64,3,0)+0,0)))</f>
        <v>0</v>
      </c>
      <c r="CF115" s="60" t="n">
        <f aca="false">IF(AB115&lt;&gt;"",AB115,AA115)</f>
        <v>3</v>
      </c>
      <c r="CG115" s="60" t="str">
        <f aca="false">IF(OR(CF115=1,CF115=2,CF115=3),IF(Parameter!$E$27="Ja","LIFT",IF(CF115=1,"L1","L23")),IF(CF115="Aussen","Aussen","-"))</f>
        <v>LIFT</v>
      </c>
      <c r="CH115" s="71" t="n">
        <f aca="false">IF(N(AC115)&gt;0,AC115,0)</f>
        <v>0</v>
      </c>
      <c r="CI115" s="65" t="n">
        <f aca="false">IF(ISNUMBER(AF115),1,0)</f>
        <v>0</v>
      </c>
      <c r="CJ115" s="62" t="n">
        <f aca="false">N(AF115)</f>
        <v>0</v>
      </c>
      <c r="CK115" s="62" t="n">
        <f aca="false">N(M115)+N(N115)</f>
        <v>295</v>
      </c>
      <c r="CL115" s="62" t="n">
        <f aca="false">N(M115)</f>
        <v>30</v>
      </c>
      <c r="CM115" s="62" t="n">
        <f aca="false">N(N115)</f>
        <v>265</v>
      </c>
      <c r="CN115" s="62" t="n">
        <f aca="false">ROUNDUP(H115/BZ115,0)</f>
        <v>3</v>
      </c>
      <c r="CO115" s="62" t="n">
        <f aca="false">ROUNDUP(CJ115/BZ115,0)</f>
        <v>0</v>
      </c>
      <c r="CP115" s="65" t="n">
        <f aca="false">IF(CA115=1,0,IFERROR(VLOOKUP(BY115,'Gebinde-Kategorie'!$A$5:$N$45,5,0)+0,0))</f>
        <v>31</v>
      </c>
      <c r="CQ115" s="65" t="n">
        <f aca="false">IFERROR(IF(OR(CF115=1,CF115=2,CF115=3),N(INDEX(Parameter!$I$5:$I$7,CF115)),0),0)</f>
        <v>0</v>
      </c>
      <c r="CR115" s="64" t="n">
        <f aca="false">IF(AND(Parameter!$B$21="Ja",ISNUMBER(W115),N(X115)&gt;0),IFERROR(N(INDEX(Parameter!$L$5:$L$7,W115))*INDEX(Parameter!$E$5:$E$7,W115)*X115/SUMIFS($X$7:$X$1843,$W$7:$W$1843,W115),0),0)</f>
        <v>0</v>
      </c>
      <c r="CS115" s="62" t="n">
        <f aca="false">IF(AND(OR(CG115="L1",CG115="L23",CG115="LIFT"),H115&gt;0),CC115*IF(CR115&gt;0,CR115*MAX(1,H115/X115),IF(CA115=1,CE115,IF(R115&gt;0,CN115/R115,0))/MAX(0.1,N(Parameter!$M$21))),"")</f>
        <v>86.25</v>
      </c>
      <c r="CT115" s="64" t="n">
        <f aca="false">IF(CS115="","",J115/H115)</f>
        <v>2.29215786776012</v>
      </c>
      <c r="CU115" s="62" t="n">
        <f aca="false">IF(CS115="","",H115*G115)</f>
        <v>2665.066</v>
      </c>
      <c r="CV115" s="63" t="n">
        <f aca="false">IF(CS115="","",(CL115+ROUNDUP(CL115+MAX(CM115,2*(J115/MAX(0.1,N(Einkauf!$C$6))-CL115)),0))/2)</f>
        <v>162.5</v>
      </c>
      <c r="CW115" s="62" t="n">
        <f aca="false">IF(CS115="","",MAX(0,H115-CV115)*G115)</f>
        <v>445.316000000001</v>
      </c>
      <c r="CX115" s="62" t="n">
        <f aca="false">IF(CS115="","",CS115*MAX(0,1-CV115/H115))</f>
        <v>14.4118400820093</v>
      </c>
      <c r="CY115" s="64" t="n">
        <f aca="false">IF(CS115="","",PERCENTRANK($CS$7:$CS$1843,CS115)+PERCENTRANK($CU$7:$CU$1843,CU115)+1-PERCENTRANK($CT$7:$CT$1843,CT115))</f>
        <v>1.932</v>
      </c>
      <c r="CZ115" s="72" t="n">
        <f aca="false">IF(CS115="","",CHOOSE(MATCH(Einkauf!$C$5,Parameter!$G$23:$G$27,0),CY115,CS115,CU115,-CT115,CW115)+ROW()/1000000000)</f>
        <v>1.932000115</v>
      </c>
    </row>
    <row r="116" customFormat="false" ht="15" hidden="false" customHeight="false" outlineLevel="0" collapsed="false">
      <c r="A116" s="60" t="s">
        <v>485</v>
      </c>
      <c r="B116" s="60" t="s">
        <v>416</v>
      </c>
      <c r="C116" s="60" t="s">
        <v>206</v>
      </c>
      <c r="D116" s="60" t="s">
        <v>226</v>
      </c>
      <c r="E116" s="60" t="s">
        <v>227</v>
      </c>
      <c r="F116" s="60" t="s">
        <v>260</v>
      </c>
      <c r="G116" s="61" t="n">
        <v>9.17</v>
      </c>
      <c r="H116" s="62" t="n">
        <f aca="false">MAX(0,IF(AND(Parameter!$B$21="Ja",ISNUMBER(Y116)),Y116,IF(Parameter!$B$20="Jahresanfang 2025 + Export",BS116+BR116,BR116)))</f>
        <v>266</v>
      </c>
      <c r="I116" s="62" t="n">
        <f aca="false">H116*G116</f>
        <v>2439.22</v>
      </c>
      <c r="J116" s="62" t="n">
        <f aca="false">BU116*Parameter!$B$18</f>
        <v>309</v>
      </c>
      <c r="K116" s="63" t="n">
        <v>66</v>
      </c>
      <c r="L116" s="64" t="n">
        <v>4.68181818181818</v>
      </c>
      <c r="M116" s="62" t="n">
        <v>30</v>
      </c>
      <c r="N116" s="62" t="n">
        <v>265</v>
      </c>
      <c r="O116" s="65" t="n">
        <v>30</v>
      </c>
      <c r="P116" s="60" t="s">
        <v>443</v>
      </c>
      <c r="Q116" s="62" t="n">
        <v>58</v>
      </c>
      <c r="R116" s="65" t="n">
        <f aca="false">IF(CA116=1,0,IFERROR(VLOOKUP(BY116,'Gebinde-Kategorie'!$A$5:$N$45,13,0)+0,0))</f>
        <v>280</v>
      </c>
      <c r="S116" s="66"/>
      <c r="T116" s="67"/>
      <c r="U116" s="67"/>
      <c r="V116" s="67"/>
      <c r="W116" s="60"/>
      <c r="X116" s="62"/>
      <c r="Y116" s="62"/>
      <c r="Z116" s="60" t="n">
        <v>1</v>
      </c>
      <c r="AA116" s="60" t="n">
        <f aca="false">IF(A116="","",IF(AND(Parameter!$B$21="Ja",ISNUMBER(W116)),W116,IF(AND(Parameter!$E$27="Ja",ISNUMBER(Z116),CD116&lt;&gt;"Nein"),Z116,IF(CD116="2+3",IF(ISNUMBER(SEARCH("grosser Artikel",BV116)),2,IFERROR(VLOOKUP(BY116,Parameter!$F$35:$G$64,2,0),2)),IF(OR(CD116="Nein",CD116=""),"-",CD116)))))</f>
        <v>1</v>
      </c>
      <c r="AB116" s="67"/>
      <c r="AC116" s="68"/>
      <c r="AD116" s="62" t="n">
        <f aca="false">AW116</f>
        <v>295</v>
      </c>
      <c r="AE116" s="62" t="n">
        <f aca="false">MAX(AW116,H116)</f>
        <v>295</v>
      </c>
      <c r="AF116" s="69"/>
      <c r="AG116" s="62" t="n">
        <f aca="false">IF(LEFT(Cockpit!$C$5,1)="A",H116,IF(Parameter!$E$30="MAX-Bestand",IF(CI116=1,CJ116,IF(LEFT(Cockpit!$C$5,1)="B",AM116,MAX(AM116,H116))),ROUNDUP(AK116,0)))</f>
        <v>266</v>
      </c>
      <c r="AH116" s="62" t="n">
        <f aca="false">IF(CA116=1,0,ROUNDUP(AG116/BZ116,0))</f>
        <v>5</v>
      </c>
      <c r="AI116" s="64" t="n">
        <f aca="false">IF(CR116&gt;0,CR116*MAX(1,AG116/X116),IF(CA116=1,IF(AG116&lt;=0,0,CE116*MAX(1,IF(H116&gt;0,AG116/H116,1))),IF(R116&gt;0,AH116/R116,0))/MAX(0.1,N(Parameter!$M$21)))</f>
        <v>0.0178571428571429</v>
      </c>
      <c r="AJ116" s="62" t="n">
        <f aca="false">AI116*CC116</f>
        <v>2.76785714285714</v>
      </c>
      <c r="AK116" s="63" t="n">
        <f aca="false">IF(LEFT(Cockpit!$C$5,1)="A",H116,IF(CI116=1,(CL116+CJ116)/2,IF(LEFT(Cockpit!$C$5,1)="B",(CL116+AM116)/2,MAX((CL116+AM116)/2,H116))))</f>
        <v>266</v>
      </c>
      <c r="AL116" s="62" t="n">
        <f aca="false">AK116*G116</f>
        <v>2439.22</v>
      </c>
      <c r="AM116" s="62" t="n">
        <f aca="false">ROUNDUP(CL116+MAX(CM116,2*(J116/IF(CH116&gt;0,CH116,MAX(0.1,N(Cockpit!$C$6)))-CL116)),0)</f>
        <v>295</v>
      </c>
      <c r="AN116" s="63" t="n">
        <f aca="false">IF(AJ116&gt;0,J116/AJ116,-1)</f>
        <v>111.638709677419</v>
      </c>
      <c r="AO116" s="63" t="n">
        <f aca="false">IF(AND(OR(CG116="L1",CG116="L23",CG116="LIFT"),AJ116&gt;0),SUMIFS($AJ$7:$AJ$1843,$CG$7:$CG$1843,CG116,$AN$7:$AN$1843,"&gt;"&amp;AN116)+SUMIFS($AJ$7:$AJ$1843,$CG$7:$CG$1843,CG116,$AN$7:$AN$1843,AN116,$BX$7:$BX$1843,"&lt;="&amp;BX116),"")</f>
        <v>749.580586080586</v>
      </c>
      <c r="AP116" s="70" t="n">
        <f aca="false">IF(AO116="",0,MAX(0,MIN(1,(IF(CG116="L1",Parameter!$H$5,IF(CG116="L23",Parameter!$H$6+Parameter!$H$7,Parameter!$H$5+Parameter!$H$6+Parameter!$H$7))-(AO116-AJ116))/AJ116)))</f>
        <v>1</v>
      </c>
      <c r="AQ116" s="62" t="n">
        <f aca="false">IF(LEFT(Cockpit!$I$5,1)="A",H116,IF(Parameter!$E$30="MAX-Bestand",IF(CI116=1,CJ116,IF(LEFT(Cockpit!$I$5,1)="B",AW116,MAX(AW116,H116))),ROUNDUP(AU116,0)))</f>
        <v>266</v>
      </c>
      <c r="AR116" s="62" t="n">
        <f aca="false">IF(CA116=1,0,ROUNDUP(AQ116/BZ116,0))</f>
        <v>5</v>
      </c>
      <c r="AS116" s="64" t="n">
        <f aca="false">IF(CR116&gt;0,CR116*MAX(1,AQ116/X116),IF(CA116=1,IF(AQ116&lt;=0,0,CE116*MAX(1,IF(H116&gt;0,AQ116/H116,1))),IF(R116&gt;0,AR116/R116,0))/MAX(0.1,N(Parameter!$M$21)))</f>
        <v>0.0178571428571429</v>
      </c>
      <c r="AT116" s="62" t="n">
        <f aca="false">AS116*CC116</f>
        <v>2.76785714285714</v>
      </c>
      <c r="AU116" s="63" t="n">
        <f aca="false">IF(LEFT(Cockpit!$I$5,1)="A",H116,IF(CI116=1,(CL116+CJ116)/2,IF(LEFT(Cockpit!$I$5,1)="B",(CL116+AW116)/2,MAX((CL116+AW116)/2,H116))))</f>
        <v>266</v>
      </c>
      <c r="AV116" s="62" t="n">
        <f aca="false">AU116*G116</f>
        <v>2439.22</v>
      </c>
      <c r="AW116" s="62" t="n">
        <f aca="false">ROUNDUP(CL116+MAX(CM116,2*(J116/IF(CH116&gt;0,CH116,MAX(0.1,N(Cockpit!$I$6)))-CL116)),0)</f>
        <v>295</v>
      </c>
      <c r="AX116" s="63" t="n">
        <f aca="false">IF(AT116&gt;0,J116/AT116,-1)</f>
        <v>111.638709677419</v>
      </c>
      <c r="AY116" s="63" t="n">
        <f aca="false">IF(AND(OR(CG116="L1",CG116="L23",CG116="LIFT"),AT116&gt;0),SUMIFS($AT$7:$AT$1843,$CG$7:$CG$1843,CG116,$AX$7:$AX$1843,"&gt;"&amp;AX116)+SUMIFS($AT$7:$AT$1843,$CG$7:$CG$1843,CG116,$AX$7:$AX$1843,AX116,$BX$7:$BX$1843,"&lt;="&amp;BX116),"")</f>
        <v>824.303571428571</v>
      </c>
      <c r="AZ116" s="70" t="n">
        <f aca="false">IF(AY116="",0,MAX(0,MIN(1,(IF(CG116="L1",Parameter!$H$5,IF(CG116="L23",Parameter!$H$6+Parameter!$H$7,Parameter!$H$5+Parameter!$H$6+Parameter!$H$7))-(AY116-AT116))/AT116)))</f>
        <v>1</v>
      </c>
      <c r="BA116" s="62" t="n">
        <f aca="false">IF(LEFT(Cockpit!$O$5,1)="A",H116,IF(Parameter!$E$30="MAX-Bestand",IF(CI116=1,CJ116,IF(LEFT(Cockpit!$O$5,1)="B",BG116,MAX(BG116,H116))),ROUNDUP(BE116,0)))</f>
        <v>163</v>
      </c>
      <c r="BB116" s="62" t="n">
        <f aca="false">IF(CA116=1,0,ROUNDUP(BA116/BZ116,0))</f>
        <v>3</v>
      </c>
      <c r="BC116" s="64" t="n">
        <f aca="false">IF(CR116&gt;0,CR116*MAX(1,BA116/X116),IF(CA116=1,IF(BA116&lt;=0,0,CE116*MAX(1,IF(H116&gt;0,BA116/H116,1))),IF(R116&gt;0,BB116/R116,0))/MAX(0.1,N(Parameter!$M$21)))</f>
        <v>0.0107142857142857</v>
      </c>
      <c r="BD116" s="62" t="n">
        <f aca="false">BC116*CC116</f>
        <v>1.66071428571429</v>
      </c>
      <c r="BE116" s="63" t="n">
        <f aca="false">IF(LEFT(Cockpit!$O$5,1)="A",H116,IF(CI116=1,(CL116+CJ116)/2,IF(LEFT(Cockpit!$O$5,1)="B",(CL116+BG116)/2,MAX((CL116+BG116)/2,H116))))</f>
        <v>162.5</v>
      </c>
      <c r="BF116" s="62" t="n">
        <f aca="false">BE116*G116</f>
        <v>1490.125</v>
      </c>
      <c r="BG116" s="62" t="n">
        <f aca="false">ROUNDUP(CL116+MAX(CM116,2*(J116/IF(CH116&gt;0,CH116,MAX(0.1,N(Cockpit!$O$6)))-CL116)),0)</f>
        <v>295</v>
      </c>
      <c r="BH116" s="63" t="n">
        <f aca="false">IF(BD116&gt;0,J116/BD116,-1)</f>
        <v>186.064516129032</v>
      </c>
      <c r="BI116" s="63" t="n">
        <f aca="false">IF(AND(OR(CG116="L1",CG116="L23",CG116="LIFT"),BD116&gt;0),SUMIFS($BD$7:$BD$1843,$CG$7:$CG$1843,CG116,$BH$7:$BH$1843,"&gt;"&amp;BH116)+SUMIFS($BD$7:$BD$1843,$CG$7:$CG$1843,CG116,$BH$7:$BH$1843,BH116,$BX$7:$BX$1843,"&lt;="&amp;BX116),"")</f>
        <v>493.20467032967</v>
      </c>
      <c r="BJ116" s="70" t="n">
        <f aca="false">IF(BI116="",0,MAX(0,MIN(1,(IF(CG116="L1",Parameter!$H$5,IF(CG116="L23",Parameter!$H$6+Parameter!$H$7,Parameter!$H$5+Parameter!$H$6+Parameter!$H$7))-(BI116-BD116))/BD116)))</f>
        <v>1</v>
      </c>
      <c r="BK116" s="60" t="str">
        <f aca="false">IF(AJ116&lt;=0,"",IF(CG116="Aussen","Aussenlager",IF(CG116="-","Nicht im Lift",IF(AP116&gt;=1,"Lift",IF(AP116&lt;=0,"Aussenlager","teilweise")))))</f>
        <v>Lift</v>
      </c>
      <c r="BL116" s="60" t="str">
        <f aca="false">IF(AT116&lt;=0,"",IF(CG116="Aussen","Aussenlager",IF(CG116="-","Nicht im Lift",IF(AZ116&gt;=1,"Lift",IF(AZ116&lt;=0,"Aussenlager","teilweise")))))</f>
        <v>Lift</v>
      </c>
      <c r="BM116" s="60" t="str">
        <f aca="false">IF(BD116&lt;=0,"",IF(CG116="Aussen","Aussenlager",IF(CG116="-","Nicht im Lift",IF(BJ116&gt;=1,"Lift",IF(BJ116&lt;=0,"Aussenlager","teilweise")))))</f>
        <v>Lift</v>
      </c>
      <c r="BN116" s="60" t="str">
        <f aca="false">IF(A116="","",IF(BW116=1,"Neu; ","")&amp;IF(AND(BW116=0,BR116&lt;0),"negativer Bestand (Export "&amp;BR116&amp;"); ","")&amp;IF(J116&lt;=0,"Kein Verbrauch; ","")&amp;IF(CR116&gt;0,"Lift "&amp;W116&amp;" lt. Liftbericht (Fach "&amp;X116&amp;" Stk); ",IF(CB116=1,"Gebinde geschätzt ("&amp;T116&amp;"); ",IF(CA116=1,"Lose – Tablare geschätzt; ","")))&amp;IF(H116&gt;AW116,"Überbestand "&amp;ROUND(H116-AW116,0)&amp;" Stk / CHF "&amp;ROUND((H116-AW116)*G116,0)&amp;"; ","")&amp;IF(AND(CI116=1,CJ116&lt;CK116),"MAX &lt; MB+LG; ","")&amp;IF(AND(CQ116&gt;0,CP116*10&gt;CQ116),"zu hoch für Tablar; ","")&amp;IF(AND(BW116=0,OR(CI116=1,AB116&lt;&gt;"",U116&lt;&gt;"",V116&lt;&gt;"",AC116&lt;&gt;"")),"manuell übersteuert; ","")&amp;IF(AND(CA116=0,R116=0),"Gebinde unbekannt / Stellmass fehlt; ","")&amp;IF(AND(CA116=0,N(V116)&lt;=0,N(Q116)&lt;=0),"Menge pro Gebinde fehlt (Ist = 1 Gebinde); ","")&amp;BV116)</f>
        <v/>
      </c>
      <c r="BO116" s="60"/>
      <c r="BP116" s="60"/>
      <c r="BQ116" s="67"/>
      <c r="BR116" s="62" t="n">
        <v>220</v>
      </c>
      <c r="BS116" s="62" t="n">
        <v>46</v>
      </c>
      <c r="BT116" s="61" t="n">
        <v>1914.82</v>
      </c>
      <c r="BU116" s="62" t="n">
        <v>309</v>
      </c>
      <c r="BV116" s="60"/>
      <c r="BW116" s="65" t="n">
        <v>0</v>
      </c>
      <c r="BX116" s="65" t="n">
        <v>116</v>
      </c>
      <c r="BY116" s="60" t="str">
        <f aca="false">IF(U116&lt;&gt;"",UPPER(TRIM(U116)),IF(CB116=1,UPPER(VLOOKUP(T116,Parameter!$I$27:$K$29,2,0)),IF(P116="","LOSE",P116)))</f>
        <v>S21</v>
      </c>
      <c r="BZ116" s="62" t="n">
        <f aca="false">IF(BY116="LOSE",1,IF(N(V116)&gt;0,V116,IF(CB116=1,MAX(1,N(VLOOKUP(T116,Parameter!$I$27:$K$29,3,0)),H116,N(N116)),IF(N(Q116)&gt;0,Q116,MAX(1,H116)))))</f>
        <v>58</v>
      </c>
      <c r="CA116" s="65" t="n">
        <f aca="false">IF(BY116="LOSE",1,0)</f>
        <v>0</v>
      </c>
      <c r="CB116" s="65" t="n">
        <f aca="false">IF(AND(U116="",OR(P116="",P116="LOSE"),T116&lt;&gt;"",N(S116)&lt;=0,ISNUMBER(MATCH(T116,Parameter!$I$27:$I$29,0))),1,0)</f>
        <v>0</v>
      </c>
      <c r="CC116" s="65" t="n">
        <f aca="false">IF(CR116&gt;0,INDEX(Parameter!$H$5:$H$7,W116)/INDEX(Parameter!$E$5:$E$7,W116),IF(AND(CA116=0,N(IFERROR(VLOOKUP(BY116,'Gebinde-Kategorie'!$A$5:$N$45,14,0),0))&gt;0),VLOOKUP(BY116,'Gebinde-Kategorie'!$A$5:$N$45,14,0)*10+Parameter!$M$23,Parameter!$M$24))</f>
        <v>155</v>
      </c>
      <c r="CD116" s="60" t="str">
        <f aca="false">IF(AND(Parameter!$B$19="Ja",E116&lt;&gt;"",ISNUMBER(MATCH(E116,Parameter!$I$35:$I$52,0))),VLOOKUP(E116,Parameter!$I$35:$J$52,2,0),IFERROR(VLOOKUP(D116,Parameter!$A$35:$C$64,2,0),"Nein"))</f>
        <v>2+3</v>
      </c>
      <c r="CE116" s="64" t="n">
        <f aca="false">IF(CA116=0,0,IF(N(S116)&gt;0,S116,IFERROR(VLOOKUP(D116,Parameter!$A$35:$C$64,3,0)+0,0)))</f>
        <v>0</v>
      </c>
      <c r="CF116" s="60" t="n">
        <f aca="false">IF(AB116&lt;&gt;"",AB116,AA116)</f>
        <v>1</v>
      </c>
      <c r="CG116" s="60" t="str">
        <f aca="false">IF(OR(CF116=1,CF116=2,CF116=3),IF(Parameter!$E$27="Ja","LIFT",IF(CF116=1,"L1","L23")),IF(CF116="Aussen","Aussen","-"))</f>
        <v>LIFT</v>
      </c>
      <c r="CH116" s="71" t="n">
        <f aca="false">IF(N(AC116)&gt;0,AC116,0)</f>
        <v>0</v>
      </c>
      <c r="CI116" s="65" t="n">
        <f aca="false">IF(ISNUMBER(AF116),1,0)</f>
        <v>0</v>
      </c>
      <c r="CJ116" s="62" t="n">
        <f aca="false">N(AF116)</f>
        <v>0</v>
      </c>
      <c r="CK116" s="62" t="n">
        <f aca="false">N(M116)+N(N116)</f>
        <v>295</v>
      </c>
      <c r="CL116" s="62" t="n">
        <f aca="false">N(M116)</f>
        <v>30</v>
      </c>
      <c r="CM116" s="62" t="n">
        <f aca="false">N(N116)</f>
        <v>265</v>
      </c>
      <c r="CN116" s="62" t="n">
        <f aca="false">ROUNDUP(H116/BZ116,0)</f>
        <v>5</v>
      </c>
      <c r="CO116" s="62" t="n">
        <f aca="false">ROUNDUP(CJ116/BZ116,0)</f>
        <v>0</v>
      </c>
      <c r="CP116" s="65" t="n">
        <f aca="false">IF(CA116=1,0,IFERROR(VLOOKUP(BY116,'Gebinde-Kategorie'!$A$5:$N$45,5,0)+0,0))</f>
        <v>8</v>
      </c>
      <c r="CQ116" s="65" t="n">
        <f aca="false">IFERROR(IF(OR(CF116=1,CF116=2,CF116=3),N(INDEX(Parameter!$I$5:$I$7,CF116)),0),0)</f>
        <v>0</v>
      </c>
      <c r="CR116" s="64" t="n">
        <f aca="false">IF(AND(Parameter!$B$21="Ja",ISNUMBER(W116),N(X116)&gt;0),IFERROR(N(INDEX(Parameter!$L$5:$L$7,W116))*INDEX(Parameter!$E$5:$E$7,W116)*X116/SUMIFS($X$7:$X$1843,$W$7:$W$1843,W116),0),0)</f>
        <v>0</v>
      </c>
      <c r="CS116" s="62" t="n">
        <f aca="false">IF(AND(OR(CG116="L1",CG116="L23",CG116="LIFT"),H116&gt;0),CC116*IF(CR116&gt;0,CR116*MAX(1,H116/X116),IF(CA116=1,CE116,IF(R116&gt;0,CN116/R116,0))/MAX(0.1,N(Parameter!$M$21))),"")</f>
        <v>2.76785714285714</v>
      </c>
      <c r="CT116" s="64" t="n">
        <f aca="false">IF(CS116="","",J116/H116)</f>
        <v>1.16165413533835</v>
      </c>
      <c r="CU116" s="62" t="n">
        <f aca="false">IF(CS116="","",H116*G116)</f>
        <v>2439.22</v>
      </c>
      <c r="CV116" s="63" t="n">
        <f aca="false">IF(CS116="","",(CL116+ROUNDUP(CL116+MAX(CM116,2*(J116/MAX(0.1,N(Einkauf!$C$6))-CL116)),0))/2)</f>
        <v>162.5</v>
      </c>
      <c r="CW116" s="62" t="n">
        <f aca="false">IF(CS116="","",MAX(0,H116-CV116)*G116)</f>
        <v>949.095</v>
      </c>
      <c r="CX116" s="62" t="n">
        <f aca="false">IF(CS116="","",CS116*MAX(0,1-CV116/H116))</f>
        <v>1.07696697099893</v>
      </c>
      <c r="CY116" s="64" t="n">
        <f aca="false">IF(CS116="","",PERCENTRANK($CS$7:$CS$1843,CS116)+PERCENTRANK($CU$7:$CU$1843,CU116)+1-PERCENTRANK($CT$7:$CT$1843,CT116))</f>
        <v>1.307</v>
      </c>
      <c r="CZ116" s="72" t="n">
        <f aca="false">IF(CS116="","",CHOOSE(MATCH(Einkauf!$C$5,Parameter!$G$23:$G$27,0),CY116,CS116,CU116,-CT116,CW116)+ROW()/1000000000)</f>
        <v>1.307000116</v>
      </c>
    </row>
    <row r="117" customFormat="false" ht="15" hidden="false" customHeight="false" outlineLevel="0" collapsed="false">
      <c r="A117" s="60" t="s">
        <v>486</v>
      </c>
      <c r="B117" s="60" t="s">
        <v>487</v>
      </c>
      <c r="C117" s="60" t="s">
        <v>206</v>
      </c>
      <c r="D117" s="60" t="s">
        <v>215</v>
      </c>
      <c r="E117" s="60"/>
      <c r="F117" s="60" t="s">
        <v>260</v>
      </c>
      <c r="G117" s="61" t="n">
        <v>127.1</v>
      </c>
      <c r="H117" s="62" t="n">
        <f aca="false">MAX(0,IF(AND(Parameter!$B$21="Ja",ISNUMBER(Y117)),Y117,IF(Parameter!$B$20="Jahresanfang 2025 + Export",BS117+BR117,BR117)))</f>
        <v>15</v>
      </c>
      <c r="I117" s="62" t="n">
        <f aca="false">H117*G117</f>
        <v>1906.5</v>
      </c>
      <c r="J117" s="62" t="n">
        <f aca="false">BU117*Parameter!$B$18</f>
        <v>0</v>
      </c>
      <c r="K117" s="63" t="n">
        <v>0</v>
      </c>
      <c r="L117" s="64" t="n">
        <v>0</v>
      </c>
      <c r="M117" s="62" t="n">
        <v>0</v>
      </c>
      <c r="N117" s="62" t="n">
        <v>1</v>
      </c>
      <c r="O117" s="65" t="n">
        <v>9999</v>
      </c>
      <c r="P117" s="60" t="s">
        <v>210</v>
      </c>
      <c r="Q117" s="62"/>
      <c r="R117" s="65" t="n">
        <f aca="false">IF(CA117=1,0,IFERROR(VLOOKUP(BY117,'Gebinde-Kategorie'!$A$5:$N$45,13,0)+0,0))</f>
        <v>12</v>
      </c>
      <c r="S117" s="66"/>
      <c r="T117" s="67" t="s">
        <v>221</v>
      </c>
      <c r="U117" s="67"/>
      <c r="V117" s="67"/>
      <c r="W117" s="60"/>
      <c r="X117" s="62"/>
      <c r="Y117" s="62"/>
      <c r="Z117" s="60" t="n">
        <v>3</v>
      </c>
      <c r="AA117" s="60" t="n">
        <f aca="false">IF(A117="","",IF(AND(Parameter!$B$21="Ja",ISNUMBER(W117)),W117,IF(AND(Parameter!$E$27="Ja",ISNUMBER(Z117),CD117&lt;&gt;"Nein"),Z117,IF(CD117="2+3",IF(ISNUMBER(SEARCH("grosser Artikel",BV117)),2,IFERROR(VLOOKUP(BY117,Parameter!$F$35:$G$64,2,0),2)),IF(OR(CD117="Nein",CD117=""),"-",CD117)))))</f>
        <v>3</v>
      </c>
      <c r="AB117" s="67"/>
      <c r="AC117" s="68"/>
      <c r="AD117" s="62" t="n">
        <f aca="false">AW117</f>
        <v>1</v>
      </c>
      <c r="AE117" s="62" t="n">
        <f aca="false">MAX(AW117,H117)</f>
        <v>15</v>
      </c>
      <c r="AF117" s="69"/>
      <c r="AG117" s="62" t="n">
        <f aca="false">IF(LEFT(Cockpit!$C$5,1)="A",H117,IF(Parameter!$E$30="MAX-Bestand",IF(CI117=1,CJ117,IF(LEFT(Cockpit!$C$5,1)="B",AM117,MAX(AM117,H117))),ROUNDUP(AK117,0)))</f>
        <v>15</v>
      </c>
      <c r="AH117" s="62" t="n">
        <f aca="false">IF(CA117=1,0,ROUNDUP(AG117/BZ117,0))</f>
        <v>1</v>
      </c>
      <c r="AI117" s="64" t="n">
        <f aca="false">IF(CR117&gt;0,CR117*MAX(1,AG117/X117),IF(CA117=1,IF(AG117&lt;=0,0,CE117*MAX(1,IF(H117&gt;0,AG117/H117,1))),IF(R117&gt;0,AH117/R117,0))/MAX(0.1,N(Parameter!$M$21)))</f>
        <v>0.0833333333333333</v>
      </c>
      <c r="AJ117" s="62" t="n">
        <f aca="false">AI117*CC117</f>
        <v>12.0833333333333</v>
      </c>
      <c r="AK117" s="63" t="n">
        <f aca="false">IF(LEFT(Cockpit!$C$5,1)="A",H117,IF(CI117=1,(CL117+CJ117)/2,IF(LEFT(Cockpit!$C$5,1)="B",(CL117+AM117)/2,MAX((CL117+AM117)/2,H117))))</f>
        <v>15</v>
      </c>
      <c r="AL117" s="62" t="n">
        <f aca="false">AK117*G117</f>
        <v>1906.5</v>
      </c>
      <c r="AM117" s="62" t="n">
        <f aca="false">ROUNDUP(CL117+MAX(CM117,2*(J117/IF(CH117&gt;0,CH117,MAX(0.1,N(Cockpit!$C$6)))-CL117)),0)</f>
        <v>1</v>
      </c>
      <c r="AN117" s="63" t="n">
        <f aca="false">IF(AJ117&gt;0,J117/AJ117,-1)</f>
        <v>0</v>
      </c>
      <c r="AO117" s="63" t="n">
        <f aca="false">IF(AND(OR(CG117="L1",CG117="L23",CG117="LIFT"),AJ117&gt;0),SUMIFS($AJ$7:$AJ$1843,$CG$7:$CG$1843,CG117,$AN$7:$AN$1843,"&gt;"&amp;AN117)+SUMIFS($AJ$7:$AJ$1843,$CG$7:$CG$1843,CG117,$AN$7:$AN$1843,AN117,$BX$7:$BX$1843,"&lt;="&amp;BX117),"")</f>
        <v>27000.2632163035</v>
      </c>
      <c r="AP117" s="70" t="n">
        <f aca="false">IF(AO117="",0,MAX(0,MIN(1,(IF(CG117="L1",Parameter!$H$5,IF(CG117="L23",Parameter!$H$6+Parameter!$H$7,Parameter!$H$5+Parameter!$H$6+Parameter!$H$7))-(AO117-AJ117))/AJ117)))</f>
        <v>1</v>
      </c>
      <c r="AQ117" s="62" t="n">
        <f aca="false">IF(LEFT(Cockpit!$I$5,1)="A",H117,IF(Parameter!$E$30="MAX-Bestand",IF(CI117=1,CJ117,IF(LEFT(Cockpit!$I$5,1)="B",AW117,MAX(AW117,H117))),ROUNDUP(AU117,0)))</f>
        <v>15</v>
      </c>
      <c r="AR117" s="62" t="n">
        <f aca="false">IF(CA117=1,0,ROUNDUP(AQ117/BZ117,0))</f>
        <v>1</v>
      </c>
      <c r="AS117" s="64" t="n">
        <f aca="false">IF(CR117&gt;0,CR117*MAX(1,AQ117/X117),IF(CA117=1,IF(AQ117&lt;=0,0,CE117*MAX(1,IF(H117&gt;0,AQ117/H117,1))),IF(R117&gt;0,AR117/R117,0))/MAX(0.1,N(Parameter!$M$21)))</f>
        <v>0.0833333333333333</v>
      </c>
      <c r="AT117" s="62" t="n">
        <f aca="false">AS117*CC117</f>
        <v>12.0833333333333</v>
      </c>
      <c r="AU117" s="63" t="n">
        <f aca="false">IF(LEFT(Cockpit!$I$5,1)="A",H117,IF(CI117=1,(CL117+CJ117)/2,IF(LEFT(Cockpit!$I$5,1)="B",(CL117+AW117)/2,MAX((CL117+AW117)/2,H117))))</f>
        <v>15</v>
      </c>
      <c r="AV117" s="62" t="n">
        <f aca="false">AU117*G117</f>
        <v>1906.5</v>
      </c>
      <c r="AW117" s="62" t="n">
        <f aca="false">ROUNDUP(CL117+MAX(CM117,2*(J117/IF(CH117&gt;0,CH117,MAX(0.1,N(Cockpit!$I$6)))-CL117)),0)</f>
        <v>1</v>
      </c>
      <c r="AX117" s="63" t="n">
        <f aca="false">IF(AT117&gt;0,J117/AT117,-1)</f>
        <v>0</v>
      </c>
      <c r="AY117" s="63" t="n">
        <f aca="false">IF(AND(OR(CG117="L1",CG117="L23",CG117="LIFT"),AT117&gt;0),SUMIFS($AT$7:$AT$1843,$CG$7:$CG$1843,CG117,$AX$7:$AX$1843,"&gt;"&amp;AX117)+SUMIFS($AT$7:$AT$1843,$CG$7:$CG$1843,CG117,$AX$7:$AX$1843,AX117,$BX$7:$BX$1843,"&lt;="&amp;BX117),"")</f>
        <v>32353.4118576809</v>
      </c>
      <c r="AZ117" s="70" t="n">
        <f aca="false">IF(AY117="",0,MAX(0,MIN(1,(IF(CG117="L1",Parameter!$H$5,IF(CG117="L23",Parameter!$H$6+Parameter!$H$7,Parameter!$H$5+Parameter!$H$6+Parameter!$H$7))-(AY117-AT117))/AT117)))</f>
        <v>1</v>
      </c>
      <c r="BA117" s="62" t="n">
        <f aca="false">IF(LEFT(Cockpit!$O$5,1)="A",H117,IF(Parameter!$E$30="MAX-Bestand",IF(CI117=1,CJ117,IF(LEFT(Cockpit!$O$5,1)="B",BG117,MAX(BG117,H117))),ROUNDUP(BE117,0)))</f>
        <v>1</v>
      </c>
      <c r="BB117" s="62" t="n">
        <f aca="false">IF(CA117=1,0,ROUNDUP(BA117/BZ117,0))</f>
        <v>1</v>
      </c>
      <c r="BC117" s="64" t="n">
        <f aca="false">IF(CR117&gt;0,CR117*MAX(1,BA117/X117),IF(CA117=1,IF(BA117&lt;=0,0,CE117*MAX(1,IF(H117&gt;0,BA117/H117,1))),IF(R117&gt;0,BB117/R117,0))/MAX(0.1,N(Parameter!$M$21)))</f>
        <v>0.0833333333333333</v>
      </c>
      <c r="BD117" s="62" t="n">
        <f aca="false">BC117*CC117</f>
        <v>12.0833333333333</v>
      </c>
      <c r="BE117" s="63" t="n">
        <f aca="false">IF(LEFT(Cockpit!$O$5,1)="A",H117,IF(CI117=1,(CL117+CJ117)/2,IF(LEFT(Cockpit!$O$5,1)="B",(CL117+BG117)/2,MAX((CL117+BG117)/2,H117))))</f>
        <v>0.5</v>
      </c>
      <c r="BF117" s="62" t="n">
        <f aca="false">BE117*G117</f>
        <v>63.55</v>
      </c>
      <c r="BG117" s="62" t="n">
        <f aca="false">ROUNDUP(CL117+MAX(CM117,2*(J117/IF(CH117&gt;0,CH117,MAX(0.1,N(Cockpit!$O$6)))-CL117)),0)</f>
        <v>1</v>
      </c>
      <c r="BH117" s="63" t="n">
        <f aca="false">IF(BD117&gt;0,J117/BD117,-1)</f>
        <v>0</v>
      </c>
      <c r="BI117" s="63" t="n">
        <f aca="false">IF(AND(OR(CG117="L1",CG117="L23",CG117="LIFT"),BD117&gt;0),SUMIFS($BD$7:$BD$1843,$CG$7:$CG$1843,CG117,$BH$7:$BH$1843,"&gt;"&amp;BH117)+SUMIFS($BD$7:$BD$1843,$CG$7:$CG$1843,CG117,$BH$7:$BH$1843,BH117,$BX$7:$BX$1843,"&lt;="&amp;BX117),"")</f>
        <v>26549.9937009789</v>
      </c>
      <c r="BJ117" s="70" t="n">
        <f aca="false">IF(BI117="",0,MAX(0,MIN(1,(IF(CG117="L1",Parameter!$H$5,IF(CG117="L23",Parameter!$H$6+Parameter!$H$7,Parameter!$H$5+Parameter!$H$6+Parameter!$H$7))-(BI117-BD117))/BD117)))</f>
        <v>1</v>
      </c>
      <c r="BK117" s="60" t="str">
        <f aca="false">IF(AJ117&lt;=0,"",IF(CG117="Aussen","Aussenlager",IF(CG117="-","Nicht im Lift",IF(AP117&gt;=1,"Lift",IF(AP117&lt;=0,"Aussenlager","teilweise")))))</f>
        <v>Lift</v>
      </c>
      <c r="BL117" s="60" t="str">
        <f aca="false">IF(AT117&lt;=0,"",IF(CG117="Aussen","Aussenlager",IF(CG117="-","Nicht im Lift",IF(AZ117&gt;=1,"Lift",IF(AZ117&lt;=0,"Aussenlager","teilweise")))))</f>
        <v>Lift</v>
      </c>
      <c r="BM117" s="60" t="str">
        <f aca="false">IF(BD117&lt;=0,"",IF(CG117="Aussen","Aussenlager",IF(CG117="-","Nicht im Lift",IF(BJ117&gt;=1,"Lift",IF(BJ117&lt;=0,"Aussenlager","teilweise")))))</f>
        <v>Lift</v>
      </c>
      <c r="BN117" s="60" t="str">
        <f aca="false">IF(A117="","",IF(BW117=1,"Neu; ","")&amp;IF(AND(BW117=0,BR117&lt;0),"negativer Bestand (Export "&amp;BR117&amp;"); ","")&amp;IF(J117&lt;=0,"Kein Verbrauch; ","")&amp;IF(CR117&gt;0,"Lift "&amp;W117&amp;" lt. Liftbericht (Fach "&amp;X117&amp;" Stk); ",IF(CB117=1,"Gebinde geschätzt ("&amp;T117&amp;"); ",IF(CA117=1,"Lose – Tablare geschätzt; ","")))&amp;IF(H117&gt;AW117,"Überbestand "&amp;ROUND(H117-AW117,0)&amp;" Stk / CHF "&amp;ROUND((H117-AW117)*G117,0)&amp;"; ","")&amp;IF(AND(CI117=1,CJ117&lt;CK117),"MAX &lt; MB+LG; ","")&amp;IF(AND(CQ117&gt;0,CP117*10&gt;CQ117),"zu hoch für Tablar; ","")&amp;IF(AND(BW117=0,OR(CI117=1,AB117&lt;&gt;"",U117&lt;&gt;"",V117&lt;&gt;"",AC117&lt;&gt;"")),"manuell übersteuert; ","")&amp;IF(AND(CA117=0,R117=0),"Gebinde unbekannt / Stellmass fehlt; ","")&amp;IF(AND(CA117=0,N(V117)&lt;=0,N(Q117)&lt;=0),"Menge pro Gebinde fehlt (Ist = 1 Gebinde); ","")&amp;BV117)</f>
        <v>Kein Verbrauch; Gebinde geschätzt (Mittel); Überbestand 14 Stk / CHF 1779; Menge pro Gebinde fehlt (Ist = 1 Gebinde); </v>
      </c>
      <c r="BO117" s="60"/>
      <c r="BP117" s="60"/>
      <c r="BQ117" s="67"/>
      <c r="BR117" s="62" t="n">
        <v>15</v>
      </c>
      <c r="BS117" s="62" t="n">
        <v>0</v>
      </c>
      <c r="BT117" s="61" t="n">
        <v>1906.5</v>
      </c>
      <c r="BU117" s="62" t="n">
        <v>0</v>
      </c>
      <c r="BV117" s="60"/>
      <c r="BW117" s="65" t="n">
        <v>0</v>
      </c>
      <c r="BX117" s="65" t="n">
        <v>117</v>
      </c>
      <c r="BY117" s="60" t="str">
        <f aca="false">IF(U117&lt;&gt;"",UPPER(TRIM(U117)),IF(CB117=1,UPPER(VLOOKUP(T117,Parameter!$I$27:$K$29,2,0)),IF(P117="","LOSE",P117)))</f>
        <v>S61</v>
      </c>
      <c r="BZ117" s="62" t="n">
        <f aca="false">IF(BY117="LOSE",1,IF(N(V117)&gt;0,V117,IF(CB117=1,MAX(1,N(VLOOKUP(T117,Parameter!$I$27:$K$29,3,0)),H117,N(N117)),IF(N(Q117)&gt;0,Q117,MAX(1,H117)))))</f>
        <v>15</v>
      </c>
      <c r="CA117" s="65" t="n">
        <f aca="false">IF(BY117="LOSE",1,0)</f>
        <v>0</v>
      </c>
      <c r="CB117" s="65" t="n">
        <f aca="false">IF(AND(U117="",OR(P117="",P117="LOSE"),T117&lt;&gt;"",N(S117)&lt;=0,ISNUMBER(MATCH(T117,Parameter!$I$27:$I$29,0))),1,0)</f>
        <v>1</v>
      </c>
      <c r="CC117" s="65" t="n">
        <f aca="false">IF(CR117&gt;0,INDEX(Parameter!$H$5:$H$7,W117)/INDEX(Parameter!$E$5:$E$7,W117),IF(AND(CA117=0,N(IFERROR(VLOOKUP(BY117,'Gebinde-Kategorie'!$A$5:$N$45,14,0),0))&gt;0),VLOOKUP(BY117,'Gebinde-Kategorie'!$A$5:$N$45,14,0)*10+Parameter!$M$23,Parameter!$M$24))</f>
        <v>145</v>
      </c>
      <c r="CD117" s="60" t="str">
        <f aca="false">IF(AND(Parameter!$B$19="Ja",E117&lt;&gt;"",ISNUMBER(MATCH(E117,Parameter!$I$35:$I$52,0))),VLOOKUP(E117,Parameter!$I$35:$J$52,2,0),IFERROR(VLOOKUP(D117,Parameter!$A$35:$C$64,2,0),"Nein"))</f>
        <v>2+3</v>
      </c>
      <c r="CE117" s="64" t="n">
        <f aca="false">IF(CA117=0,0,IF(N(S117)&gt;0,S117,IFERROR(VLOOKUP(D117,Parameter!$A$35:$C$64,3,0)+0,0)))</f>
        <v>0</v>
      </c>
      <c r="CF117" s="60" t="n">
        <f aca="false">IF(AB117&lt;&gt;"",AB117,AA117)</f>
        <v>3</v>
      </c>
      <c r="CG117" s="60" t="str">
        <f aca="false">IF(OR(CF117=1,CF117=2,CF117=3),IF(Parameter!$E$27="Ja","LIFT",IF(CF117=1,"L1","L23")),IF(CF117="Aussen","Aussen","-"))</f>
        <v>LIFT</v>
      </c>
      <c r="CH117" s="71" t="n">
        <f aca="false">IF(N(AC117)&gt;0,AC117,0)</f>
        <v>0</v>
      </c>
      <c r="CI117" s="65" t="n">
        <f aca="false">IF(ISNUMBER(AF117),1,0)</f>
        <v>0</v>
      </c>
      <c r="CJ117" s="62" t="n">
        <f aca="false">N(AF117)</f>
        <v>0</v>
      </c>
      <c r="CK117" s="62" t="n">
        <f aca="false">N(M117)+N(N117)</f>
        <v>1</v>
      </c>
      <c r="CL117" s="62" t="n">
        <f aca="false">N(M117)</f>
        <v>0</v>
      </c>
      <c r="CM117" s="62" t="n">
        <f aca="false">N(N117)</f>
        <v>1</v>
      </c>
      <c r="CN117" s="62" t="n">
        <f aca="false">ROUNDUP(H117/BZ117,0)</f>
        <v>1</v>
      </c>
      <c r="CO117" s="62" t="n">
        <f aca="false">ROUNDUP(CJ117/BZ117,0)</f>
        <v>0</v>
      </c>
      <c r="CP117" s="65" t="n">
        <f aca="false">IF(CA117=1,0,IFERROR(VLOOKUP(BY117,'Gebinde-Kategorie'!$A$5:$N$45,5,0)+0,0))</f>
        <v>11</v>
      </c>
      <c r="CQ117" s="65" t="n">
        <f aca="false">IFERROR(IF(OR(CF117=1,CF117=2,CF117=3),N(INDEX(Parameter!$I$5:$I$7,CF117)),0),0)</f>
        <v>0</v>
      </c>
      <c r="CR117" s="64" t="n">
        <f aca="false">IF(AND(Parameter!$B$21="Ja",ISNUMBER(W117),N(X117)&gt;0),IFERROR(N(INDEX(Parameter!$L$5:$L$7,W117))*INDEX(Parameter!$E$5:$E$7,W117)*X117/SUMIFS($X$7:$X$1843,$W$7:$W$1843,W117),0),0)</f>
        <v>0</v>
      </c>
      <c r="CS117" s="62" t="n">
        <f aca="false">IF(AND(OR(CG117="L1",CG117="L23",CG117="LIFT"),H117&gt;0),CC117*IF(CR117&gt;0,CR117*MAX(1,H117/X117),IF(CA117=1,CE117,IF(R117&gt;0,CN117/R117,0))/MAX(0.1,N(Parameter!$M$21))),"")</f>
        <v>12.0833333333333</v>
      </c>
      <c r="CT117" s="64" t="n">
        <f aca="false">IF(CS117="","",J117/H117)</f>
        <v>0</v>
      </c>
      <c r="CU117" s="62" t="n">
        <f aca="false">IF(CS117="","",H117*G117)</f>
        <v>1906.5</v>
      </c>
      <c r="CV117" s="63" t="n">
        <f aca="false">IF(CS117="","",(CL117+ROUNDUP(CL117+MAX(CM117,2*(J117/MAX(0.1,N(Einkauf!$C$6))-CL117)),0))/2)</f>
        <v>0.5</v>
      </c>
      <c r="CW117" s="62" t="n">
        <f aca="false">IF(CS117="","",MAX(0,H117-CV117)*G117)</f>
        <v>1842.95</v>
      </c>
      <c r="CX117" s="62" t="n">
        <f aca="false">IF(CS117="","",CS117*MAX(0,1-CV117/H117))</f>
        <v>11.6805555555556</v>
      </c>
      <c r="CY117" s="64" t="n">
        <f aca="false">IF(CS117="","",PERCENTRANK($CS$7:$CS$1843,CS117)+PERCENTRANK($CU$7:$CU$1843,CU117)+1-PERCENTRANK($CT$7:$CT$1843,CT117))</f>
        <v>2.425</v>
      </c>
      <c r="CZ117" s="72" t="n">
        <f aca="false">IF(CS117="","",CHOOSE(MATCH(Einkauf!$C$5,Parameter!$G$23:$G$27,0),CY117,CS117,CU117,-CT117,CW117)+ROW()/1000000000)</f>
        <v>2.425000117</v>
      </c>
    </row>
    <row r="118" customFormat="false" ht="15" hidden="false" customHeight="false" outlineLevel="0" collapsed="false">
      <c r="A118" s="60" t="s">
        <v>488</v>
      </c>
      <c r="B118" s="60" t="s">
        <v>489</v>
      </c>
      <c r="C118" s="60" t="s">
        <v>206</v>
      </c>
      <c r="D118" s="60" t="s">
        <v>226</v>
      </c>
      <c r="E118" s="60"/>
      <c r="F118" s="60" t="s">
        <v>260</v>
      </c>
      <c r="G118" s="61" t="n">
        <v>348.07</v>
      </c>
      <c r="H118" s="62" t="n">
        <f aca="false">MAX(0,IF(AND(Parameter!$B$21="Ja",ISNUMBER(Y118)),Y118,IF(Parameter!$B$20="Jahresanfang 2025 + Export",BS118+BR118,BR118)))</f>
        <v>17</v>
      </c>
      <c r="I118" s="62" t="n">
        <f aca="false">H118*G118</f>
        <v>5917.19</v>
      </c>
      <c r="J118" s="62" t="n">
        <f aca="false">BU118*Parameter!$B$18</f>
        <v>24</v>
      </c>
      <c r="K118" s="63" t="n">
        <v>10</v>
      </c>
      <c r="L118" s="64" t="n">
        <v>2.4</v>
      </c>
      <c r="M118" s="62" t="n">
        <v>2</v>
      </c>
      <c r="N118" s="62" t="n">
        <v>15</v>
      </c>
      <c r="O118" s="65" t="n">
        <v>42</v>
      </c>
      <c r="P118" s="60" t="s">
        <v>344</v>
      </c>
      <c r="Q118" s="62" t="n">
        <v>12</v>
      </c>
      <c r="R118" s="65" t="n">
        <f aca="false">IF(CA118=1,0,IFERROR(VLOOKUP(BY118,'Gebinde-Kategorie'!$A$5:$N$45,13,0)+0,0))</f>
        <v>26</v>
      </c>
      <c r="S118" s="66"/>
      <c r="T118" s="67"/>
      <c r="U118" s="67"/>
      <c r="V118" s="67"/>
      <c r="W118" s="60"/>
      <c r="X118" s="62"/>
      <c r="Y118" s="62"/>
      <c r="Z118" s="60" t="n">
        <v>3</v>
      </c>
      <c r="AA118" s="60" t="n">
        <f aca="false">IF(A118="","",IF(AND(Parameter!$B$21="Ja",ISNUMBER(W118)),W118,IF(AND(Parameter!$E$27="Ja",ISNUMBER(Z118),CD118&lt;&gt;"Nein"),Z118,IF(CD118="2+3",IF(ISNUMBER(SEARCH("grosser Artikel",BV118)),2,IFERROR(VLOOKUP(BY118,Parameter!$F$35:$G$64,2,0),2)),IF(OR(CD118="Nein",CD118=""),"-",CD118)))))</f>
        <v>3</v>
      </c>
      <c r="AB118" s="67"/>
      <c r="AC118" s="68"/>
      <c r="AD118" s="62" t="n">
        <f aca="false">AW118</f>
        <v>17</v>
      </c>
      <c r="AE118" s="62" t="n">
        <f aca="false">MAX(AW118,H118)</f>
        <v>17</v>
      </c>
      <c r="AF118" s="69"/>
      <c r="AG118" s="62" t="n">
        <f aca="false">IF(LEFT(Cockpit!$C$5,1)="A",H118,IF(Parameter!$E$30="MAX-Bestand",IF(CI118=1,CJ118,IF(LEFT(Cockpit!$C$5,1)="B",AM118,MAX(AM118,H118))),ROUNDUP(AK118,0)))</f>
        <v>17</v>
      </c>
      <c r="AH118" s="62" t="n">
        <f aca="false">IF(CA118=1,0,ROUNDUP(AG118/BZ118,0))</f>
        <v>2</v>
      </c>
      <c r="AI118" s="64" t="n">
        <f aca="false">IF(CR118&gt;0,CR118*MAX(1,AG118/X118),IF(CA118=1,IF(AG118&lt;=0,0,CE118*MAX(1,IF(H118&gt;0,AG118/H118,1))),IF(R118&gt;0,AH118/R118,0))/MAX(0.1,N(Parameter!$M$21)))</f>
        <v>0.0769230769230769</v>
      </c>
      <c r="AJ118" s="62" t="n">
        <f aca="false">AI118*CC118</f>
        <v>11.9230769230769</v>
      </c>
      <c r="AK118" s="63" t="n">
        <f aca="false">IF(LEFT(Cockpit!$C$5,1)="A",H118,IF(CI118=1,(CL118+CJ118)/2,IF(LEFT(Cockpit!$C$5,1)="B",(CL118+AM118)/2,MAX((CL118+AM118)/2,H118))))</f>
        <v>17</v>
      </c>
      <c r="AL118" s="62" t="n">
        <f aca="false">AK118*G118</f>
        <v>5917.19</v>
      </c>
      <c r="AM118" s="62" t="n">
        <f aca="false">ROUNDUP(CL118+MAX(CM118,2*(J118/IF(CH118&gt;0,CH118,MAX(0.1,N(Cockpit!$C$6)))-CL118)),0)</f>
        <v>17</v>
      </c>
      <c r="AN118" s="63" t="n">
        <f aca="false">IF(AJ118&gt;0,J118/AJ118,-1)</f>
        <v>2.01290322580645</v>
      </c>
      <c r="AO118" s="63" t="n">
        <f aca="false">IF(AND(OR(CG118="L1",CG118="L23",CG118="LIFT"),AJ118&gt;0),SUMIFS($AJ$7:$AJ$1843,$CG$7:$CG$1843,CG118,$AN$7:$AN$1843,"&gt;"&amp;AN118)+SUMIFS($AJ$7:$AJ$1843,$CG$7:$CG$1843,CG118,$AN$7:$AN$1843,AN118,$BX$7:$BX$1843,"&lt;="&amp;BX118),"")</f>
        <v>5768.49404761905</v>
      </c>
      <c r="AP118" s="70" t="n">
        <f aca="false">IF(AO118="",0,MAX(0,MIN(1,(IF(CG118="L1",Parameter!$H$5,IF(CG118="L23",Parameter!$H$6+Parameter!$H$7,Parameter!$H$5+Parameter!$H$6+Parameter!$H$7))-(AO118-AJ118))/AJ118)))</f>
        <v>1</v>
      </c>
      <c r="AQ118" s="62" t="n">
        <f aca="false">IF(LEFT(Cockpit!$I$5,1)="A",H118,IF(Parameter!$E$30="MAX-Bestand",IF(CI118=1,CJ118,IF(LEFT(Cockpit!$I$5,1)="B",AW118,MAX(AW118,H118))),ROUNDUP(AU118,0)))</f>
        <v>17</v>
      </c>
      <c r="AR118" s="62" t="n">
        <f aca="false">IF(CA118=1,0,ROUNDUP(AQ118/BZ118,0))</f>
        <v>2</v>
      </c>
      <c r="AS118" s="64" t="n">
        <f aca="false">IF(CR118&gt;0,CR118*MAX(1,AQ118/X118),IF(CA118=1,IF(AQ118&lt;=0,0,CE118*MAX(1,IF(H118&gt;0,AQ118/H118,1))),IF(R118&gt;0,AR118/R118,0))/MAX(0.1,N(Parameter!$M$21)))</f>
        <v>0.0769230769230769</v>
      </c>
      <c r="AT118" s="62" t="n">
        <f aca="false">AS118*CC118</f>
        <v>11.9230769230769</v>
      </c>
      <c r="AU118" s="63" t="n">
        <f aca="false">IF(LEFT(Cockpit!$I$5,1)="A",H118,IF(CI118=1,(CL118+CJ118)/2,IF(LEFT(Cockpit!$I$5,1)="B",(CL118+AW118)/2,MAX((CL118+AW118)/2,H118))))</f>
        <v>17</v>
      </c>
      <c r="AV118" s="62" t="n">
        <f aca="false">AU118*G118</f>
        <v>5917.19</v>
      </c>
      <c r="AW118" s="62" t="n">
        <f aca="false">ROUNDUP(CL118+MAX(CM118,2*(J118/IF(CH118&gt;0,CH118,MAX(0.1,N(Cockpit!$I$6)))-CL118)),0)</f>
        <v>17</v>
      </c>
      <c r="AX118" s="63" t="n">
        <f aca="false">IF(AT118&gt;0,J118/AT118,-1)</f>
        <v>2.01290322580645</v>
      </c>
      <c r="AY118" s="63" t="n">
        <f aca="false">IF(AND(OR(CG118="L1",CG118="L23",CG118="LIFT"),AT118&gt;0),SUMIFS($AT$7:$AT$1843,$CG$7:$CG$1843,CG118,$AX$7:$AX$1843,"&gt;"&amp;AX118)+SUMIFS($AT$7:$AT$1843,$CG$7:$CG$1843,CG118,$AX$7:$AX$1843,AX118,$BX$7:$BX$1843,"&lt;="&amp;BX118),"")</f>
        <v>7136.43360805861</v>
      </c>
      <c r="AZ118" s="70" t="n">
        <f aca="false">IF(AY118="",0,MAX(0,MIN(1,(IF(CG118="L1",Parameter!$H$5,IF(CG118="L23",Parameter!$H$6+Parameter!$H$7,Parameter!$H$5+Parameter!$H$6+Parameter!$H$7))-(AY118-AT118))/AT118)))</f>
        <v>1</v>
      </c>
      <c r="BA118" s="62" t="n">
        <f aca="false">IF(LEFT(Cockpit!$O$5,1)="A",H118,IF(Parameter!$E$30="MAX-Bestand",IF(CI118=1,CJ118,IF(LEFT(Cockpit!$O$5,1)="B",BG118,MAX(BG118,H118))),ROUNDUP(BE118,0)))</f>
        <v>10</v>
      </c>
      <c r="BB118" s="62" t="n">
        <f aca="false">IF(CA118=1,0,ROUNDUP(BA118/BZ118,0))</f>
        <v>1</v>
      </c>
      <c r="BC118" s="64" t="n">
        <f aca="false">IF(CR118&gt;0,CR118*MAX(1,BA118/X118),IF(CA118=1,IF(BA118&lt;=0,0,CE118*MAX(1,IF(H118&gt;0,BA118/H118,1))),IF(R118&gt;0,BB118/R118,0))/MAX(0.1,N(Parameter!$M$21)))</f>
        <v>0.0384615384615385</v>
      </c>
      <c r="BD118" s="62" t="n">
        <f aca="false">BC118*CC118</f>
        <v>5.96153846153846</v>
      </c>
      <c r="BE118" s="63" t="n">
        <f aca="false">IF(LEFT(Cockpit!$O$5,1)="A",H118,IF(CI118=1,(CL118+CJ118)/2,IF(LEFT(Cockpit!$O$5,1)="B",(CL118+BG118)/2,MAX((CL118+BG118)/2,H118))))</f>
        <v>9.5</v>
      </c>
      <c r="BF118" s="62" t="n">
        <f aca="false">BE118*G118</f>
        <v>3306.665</v>
      </c>
      <c r="BG118" s="62" t="n">
        <f aca="false">ROUNDUP(CL118+MAX(CM118,2*(J118/IF(CH118&gt;0,CH118,MAX(0.1,N(Cockpit!$O$6)))-CL118)),0)</f>
        <v>17</v>
      </c>
      <c r="BH118" s="63" t="n">
        <f aca="false">IF(BD118&gt;0,J118/BD118,-1)</f>
        <v>4.0258064516129</v>
      </c>
      <c r="BI118" s="63" t="n">
        <f aca="false">IF(AND(OR(CG118="L1",CG118="L23",CG118="LIFT"),BD118&gt;0),SUMIFS($BD$7:$BD$1843,$CG$7:$CG$1843,CG118,$BH$7:$BH$1843,"&gt;"&amp;BH118)+SUMIFS($BD$7:$BD$1843,$CG$7:$CG$1843,CG118,$BH$7:$BH$1843,BH118,$BX$7:$BX$1843,"&lt;="&amp;BX118),"")</f>
        <v>4042.03571428571</v>
      </c>
      <c r="BJ118" s="70" t="n">
        <f aca="false">IF(BI118="",0,MAX(0,MIN(1,(IF(CG118="L1",Parameter!$H$5,IF(CG118="L23",Parameter!$H$6+Parameter!$H$7,Parameter!$H$5+Parameter!$H$6+Parameter!$H$7))-(BI118-BD118))/BD118)))</f>
        <v>1</v>
      </c>
      <c r="BK118" s="60" t="str">
        <f aca="false">IF(AJ118&lt;=0,"",IF(CG118="Aussen","Aussenlager",IF(CG118="-","Nicht im Lift",IF(AP118&gt;=1,"Lift",IF(AP118&lt;=0,"Aussenlager","teilweise")))))</f>
        <v>Lift</v>
      </c>
      <c r="BL118" s="60" t="str">
        <f aca="false">IF(AT118&lt;=0,"",IF(CG118="Aussen","Aussenlager",IF(CG118="-","Nicht im Lift",IF(AZ118&gt;=1,"Lift",IF(AZ118&lt;=0,"Aussenlager","teilweise")))))</f>
        <v>Lift</v>
      </c>
      <c r="BM118" s="60" t="str">
        <f aca="false">IF(BD118&lt;=0,"",IF(CG118="Aussen","Aussenlager",IF(CG118="-","Nicht im Lift",IF(BJ118&gt;=1,"Lift",IF(BJ118&lt;=0,"Aussenlager","teilweise")))))</f>
        <v>Lift</v>
      </c>
      <c r="BN118" s="60" t="str">
        <f aca="false">IF(A118="","",IF(BW118=1,"Neu; ","")&amp;IF(AND(BW118=0,BR118&lt;0),"negativer Bestand (Export "&amp;BR118&amp;"); ","")&amp;IF(J118&lt;=0,"Kein Verbrauch; ","")&amp;IF(CR118&gt;0,"Lift "&amp;W118&amp;" lt. Liftbericht (Fach "&amp;X118&amp;" Stk); ",IF(CB118=1,"Gebinde geschätzt ("&amp;T118&amp;"); ",IF(CA118=1,"Lose – Tablare geschätzt; ","")))&amp;IF(H118&gt;AW118,"Überbestand "&amp;ROUND(H118-AW118,0)&amp;" Stk / CHF "&amp;ROUND((H118-AW118)*G118,0)&amp;"; ","")&amp;IF(AND(CI118=1,CJ118&lt;CK118),"MAX &lt; MB+LG; ","")&amp;IF(AND(CQ118&gt;0,CP118*10&gt;CQ118),"zu hoch für Tablar; ","")&amp;IF(AND(BW118=0,OR(CI118=1,AB118&lt;&gt;"",U118&lt;&gt;"",V118&lt;&gt;"",AC118&lt;&gt;"")),"manuell übersteuert; ","")&amp;IF(AND(CA118=0,R118=0),"Gebinde unbekannt / Stellmass fehlt; ","")&amp;IF(AND(CA118=0,N(V118)&lt;=0,N(Q118)&lt;=0),"Menge pro Gebinde fehlt (Ist = 1 Gebinde); ","")&amp;BV118)</f>
        <v/>
      </c>
      <c r="BO118" s="60"/>
      <c r="BP118" s="60"/>
      <c r="BQ118" s="67"/>
      <c r="BR118" s="62" t="n">
        <v>5</v>
      </c>
      <c r="BS118" s="62" t="n">
        <v>12</v>
      </c>
      <c r="BT118" s="61" t="n">
        <v>1902.10999999999</v>
      </c>
      <c r="BU118" s="62" t="n">
        <v>24</v>
      </c>
      <c r="BV118" s="60"/>
      <c r="BW118" s="65" t="n">
        <v>0</v>
      </c>
      <c r="BX118" s="65" t="n">
        <v>118</v>
      </c>
      <c r="BY118" s="60" t="str">
        <f aca="false">IF(U118&lt;&gt;"",UPPER(TRIM(U118)),IF(CB118=1,UPPER(VLOOKUP(T118,Parameter!$I$27:$K$29,2,0)),IF(P118="","LOSE",P118)))</f>
        <v>S51</v>
      </c>
      <c r="BZ118" s="62" t="n">
        <f aca="false">IF(BY118="LOSE",1,IF(N(V118)&gt;0,V118,IF(CB118=1,MAX(1,N(VLOOKUP(T118,Parameter!$I$27:$K$29,3,0)),H118,N(N118)),IF(N(Q118)&gt;0,Q118,MAX(1,H118)))))</f>
        <v>12</v>
      </c>
      <c r="CA118" s="65" t="n">
        <f aca="false">IF(BY118="LOSE",1,0)</f>
        <v>0</v>
      </c>
      <c r="CB118" s="65" t="n">
        <f aca="false">IF(AND(U118="",OR(P118="",P118="LOSE"),T118&lt;&gt;"",N(S118)&lt;=0,ISNUMBER(MATCH(T118,Parameter!$I$27:$I$29,0))),1,0)</f>
        <v>0</v>
      </c>
      <c r="CC118" s="65" t="n">
        <f aca="false">IF(CR118&gt;0,INDEX(Parameter!$H$5:$H$7,W118)/INDEX(Parameter!$E$5:$E$7,W118),IF(AND(CA118=0,N(IFERROR(VLOOKUP(BY118,'Gebinde-Kategorie'!$A$5:$N$45,14,0),0))&gt;0),VLOOKUP(BY118,'Gebinde-Kategorie'!$A$5:$N$45,14,0)*10+Parameter!$M$23,Parameter!$M$24))</f>
        <v>155</v>
      </c>
      <c r="CD118" s="60" t="str">
        <f aca="false">IF(AND(Parameter!$B$19="Ja",E118&lt;&gt;"",ISNUMBER(MATCH(E118,Parameter!$I$35:$I$52,0))),VLOOKUP(E118,Parameter!$I$35:$J$52,2,0),IFERROR(VLOOKUP(D118,Parameter!$A$35:$C$64,2,0),"Nein"))</f>
        <v>2+3</v>
      </c>
      <c r="CE118" s="64" t="n">
        <f aca="false">IF(CA118=0,0,IF(N(S118)&gt;0,S118,IFERROR(VLOOKUP(D118,Parameter!$A$35:$C$64,3,0)+0,0)))</f>
        <v>0</v>
      </c>
      <c r="CF118" s="60" t="n">
        <f aca="false">IF(AB118&lt;&gt;"",AB118,AA118)</f>
        <v>3</v>
      </c>
      <c r="CG118" s="60" t="str">
        <f aca="false">IF(OR(CF118=1,CF118=2,CF118=3),IF(Parameter!$E$27="Ja","LIFT",IF(CF118=1,"L1","L23")),IF(CF118="Aussen","Aussen","-"))</f>
        <v>LIFT</v>
      </c>
      <c r="CH118" s="71" t="n">
        <f aca="false">IF(N(AC118)&gt;0,AC118,0)</f>
        <v>0</v>
      </c>
      <c r="CI118" s="65" t="n">
        <f aca="false">IF(ISNUMBER(AF118),1,0)</f>
        <v>0</v>
      </c>
      <c r="CJ118" s="62" t="n">
        <f aca="false">N(AF118)</f>
        <v>0</v>
      </c>
      <c r="CK118" s="62" t="n">
        <f aca="false">N(M118)+N(N118)</f>
        <v>17</v>
      </c>
      <c r="CL118" s="62" t="n">
        <f aca="false">N(M118)</f>
        <v>2</v>
      </c>
      <c r="CM118" s="62" t="n">
        <f aca="false">N(N118)</f>
        <v>15</v>
      </c>
      <c r="CN118" s="62" t="n">
        <f aca="false">ROUNDUP(H118/BZ118,0)</f>
        <v>2</v>
      </c>
      <c r="CO118" s="62" t="n">
        <f aca="false">ROUNDUP(CJ118/BZ118,0)</f>
        <v>0</v>
      </c>
      <c r="CP118" s="65" t="n">
        <f aca="false">IF(CA118=1,0,IFERROR(VLOOKUP(BY118,'Gebinde-Kategorie'!$A$5:$N$45,5,0)+0,0))</f>
        <v>11</v>
      </c>
      <c r="CQ118" s="65" t="n">
        <f aca="false">IFERROR(IF(OR(CF118=1,CF118=2,CF118=3),N(INDEX(Parameter!$I$5:$I$7,CF118)),0),0)</f>
        <v>0</v>
      </c>
      <c r="CR118" s="64" t="n">
        <f aca="false">IF(AND(Parameter!$B$21="Ja",ISNUMBER(W118),N(X118)&gt;0),IFERROR(N(INDEX(Parameter!$L$5:$L$7,W118))*INDEX(Parameter!$E$5:$E$7,W118)*X118/SUMIFS($X$7:$X$1843,$W$7:$W$1843,W118),0),0)</f>
        <v>0</v>
      </c>
      <c r="CS118" s="62" t="n">
        <f aca="false">IF(AND(OR(CG118="L1",CG118="L23",CG118="LIFT"),H118&gt;0),CC118*IF(CR118&gt;0,CR118*MAX(1,H118/X118),IF(CA118=1,CE118,IF(R118&gt;0,CN118/R118,0))/MAX(0.1,N(Parameter!$M$21))),"")</f>
        <v>11.9230769230769</v>
      </c>
      <c r="CT118" s="64" t="n">
        <f aca="false">IF(CS118="","",J118/H118)</f>
        <v>1.41176470588235</v>
      </c>
      <c r="CU118" s="62" t="n">
        <f aca="false">IF(CS118="","",H118*G118)</f>
        <v>5917.19</v>
      </c>
      <c r="CV118" s="63" t="n">
        <f aca="false">IF(CS118="","",(CL118+ROUNDUP(CL118+MAX(CM118,2*(J118/MAX(0.1,N(Einkauf!$C$6))-CL118)),0))/2)</f>
        <v>9.5</v>
      </c>
      <c r="CW118" s="62" t="n">
        <f aca="false">IF(CS118="","",MAX(0,H118-CV118)*G118)</f>
        <v>2610.525</v>
      </c>
      <c r="CX118" s="62" t="n">
        <f aca="false">IF(CS118="","",CS118*MAX(0,1-CV118/H118))</f>
        <v>5.26018099547511</v>
      </c>
      <c r="CY118" s="64" t="n">
        <f aca="false">IF(CS118="","",PERCENTRANK($CS$7:$CS$1843,CS118)+PERCENTRANK($CU$7:$CU$1843,CU118)+1-PERCENTRANK($CT$7:$CT$1843,CT118))</f>
        <v>1.801</v>
      </c>
      <c r="CZ118" s="72" t="n">
        <f aca="false">IF(CS118="","",CHOOSE(MATCH(Einkauf!$C$5,Parameter!$G$23:$G$27,0),CY118,CS118,CU118,-CT118,CW118)+ROW()/1000000000)</f>
        <v>1.801000118</v>
      </c>
    </row>
    <row r="119" customFormat="false" ht="15" hidden="false" customHeight="false" outlineLevel="0" collapsed="false">
      <c r="A119" s="60" t="s">
        <v>490</v>
      </c>
      <c r="B119" s="60" t="s">
        <v>467</v>
      </c>
      <c r="C119" s="60" t="s">
        <v>206</v>
      </c>
      <c r="D119" s="60" t="s">
        <v>226</v>
      </c>
      <c r="E119" s="60" t="s">
        <v>227</v>
      </c>
      <c r="F119" s="60" t="s">
        <v>260</v>
      </c>
      <c r="G119" s="61" t="n">
        <v>41.62</v>
      </c>
      <c r="H119" s="62" t="n">
        <f aca="false">MAX(0,IF(AND(Parameter!$B$21="Ja",ISNUMBER(Y119)),Y119,IF(Parameter!$B$20="Jahresanfang 2025 + Export",BS119+BR119,BR119)))</f>
        <v>228</v>
      </c>
      <c r="I119" s="62" t="n">
        <f aca="false">H119*G119</f>
        <v>9489.36</v>
      </c>
      <c r="J119" s="62" t="n">
        <f aca="false">BU119*Parameter!$B$18</f>
        <v>1320</v>
      </c>
      <c r="K119" s="63" t="n">
        <v>220</v>
      </c>
      <c r="L119" s="64" t="n">
        <v>6</v>
      </c>
      <c r="M119" s="62" t="n">
        <v>77</v>
      </c>
      <c r="N119" s="62" t="n">
        <v>200</v>
      </c>
      <c r="O119" s="65" t="n">
        <v>21</v>
      </c>
      <c r="P119" s="60" t="s">
        <v>275</v>
      </c>
      <c r="Q119" s="62" t="n">
        <v>850</v>
      </c>
      <c r="R119" s="65" t="n">
        <f aca="false">IF(CA119=1,0,IFERROR(VLOOKUP(BY119,'Gebinde-Kategorie'!$A$5:$N$45,13,0)+0,0))</f>
        <v>26</v>
      </c>
      <c r="S119" s="66"/>
      <c r="T119" s="67"/>
      <c r="U119" s="67"/>
      <c r="V119" s="67"/>
      <c r="W119" s="60"/>
      <c r="X119" s="62"/>
      <c r="Y119" s="62"/>
      <c r="Z119" s="60" t="n">
        <v>3</v>
      </c>
      <c r="AA119" s="60" t="n">
        <f aca="false">IF(A119="","",IF(AND(Parameter!$B$21="Ja",ISNUMBER(W119)),W119,IF(AND(Parameter!$E$27="Ja",ISNUMBER(Z119),CD119&lt;&gt;"Nein"),Z119,IF(CD119="2+3",IF(ISNUMBER(SEARCH("grosser Artikel",BV119)),2,IFERROR(VLOOKUP(BY119,Parameter!$F$35:$G$64,2,0),2)),IF(OR(CD119="Nein",CD119=""),"-",CD119)))))</f>
        <v>3</v>
      </c>
      <c r="AB119" s="67"/>
      <c r="AC119" s="68"/>
      <c r="AD119" s="62" t="n">
        <f aca="false">AW119</f>
        <v>803</v>
      </c>
      <c r="AE119" s="62" t="n">
        <f aca="false">MAX(AW119,H119)</f>
        <v>803</v>
      </c>
      <c r="AF119" s="69"/>
      <c r="AG119" s="62" t="n">
        <f aca="false">IF(LEFT(Cockpit!$C$5,1)="A",H119,IF(Parameter!$E$30="MAX-Bestand",IF(CI119=1,CJ119,IF(LEFT(Cockpit!$C$5,1)="B",AM119,MAX(AM119,H119))),ROUNDUP(AK119,0)))</f>
        <v>228</v>
      </c>
      <c r="AH119" s="62" t="n">
        <f aca="false">IF(CA119=1,0,ROUNDUP(AG119/BZ119,0))</f>
        <v>1</v>
      </c>
      <c r="AI119" s="64" t="n">
        <f aca="false">IF(CR119&gt;0,CR119*MAX(1,AG119/X119),IF(CA119=1,IF(AG119&lt;=0,0,CE119*MAX(1,IF(H119&gt;0,AG119/H119,1))),IF(R119&gt;0,AH119/R119,0))/MAX(0.1,N(Parameter!$M$21)))</f>
        <v>0.0384615384615385</v>
      </c>
      <c r="AJ119" s="62" t="n">
        <f aca="false">AI119*CC119</f>
        <v>9.42307692307692</v>
      </c>
      <c r="AK119" s="63" t="n">
        <f aca="false">IF(LEFT(Cockpit!$C$5,1)="A",H119,IF(CI119=1,(CL119+CJ119)/2,IF(LEFT(Cockpit!$C$5,1)="B",(CL119+AM119)/2,MAX((CL119+AM119)/2,H119))))</f>
        <v>228</v>
      </c>
      <c r="AL119" s="62" t="n">
        <f aca="false">AK119*G119</f>
        <v>9489.36</v>
      </c>
      <c r="AM119" s="62" t="n">
        <f aca="false">ROUNDUP(CL119+MAX(CM119,2*(J119/IF(CH119&gt;0,CH119,MAX(0.1,N(Cockpit!$C$6)))-CL119)),0)</f>
        <v>803</v>
      </c>
      <c r="AN119" s="63" t="n">
        <f aca="false">IF(AJ119&gt;0,J119/AJ119,-1)</f>
        <v>140.081632653061</v>
      </c>
      <c r="AO119" s="63" t="n">
        <f aca="false">IF(AND(OR(CG119="L1",CG119="L23",CG119="LIFT"),AJ119&gt;0),SUMIFS($AJ$7:$AJ$1843,$CG$7:$CG$1843,CG119,$AN$7:$AN$1843,"&gt;"&amp;AN119)+SUMIFS($AJ$7:$AJ$1843,$CG$7:$CG$1843,CG119,$AN$7:$AN$1843,AN119,$BX$7:$BX$1843,"&lt;="&amp;BX119),"")</f>
        <v>512.305402930403</v>
      </c>
      <c r="AP119" s="70" t="n">
        <f aca="false">IF(AO119="",0,MAX(0,MIN(1,(IF(CG119="L1",Parameter!$H$5,IF(CG119="L23",Parameter!$H$6+Parameter!$H$7,Parameter!$H$5+Parameter!$H$6+Parameter!$H$7))-(AO119-AJ119))/AJ119)))</f>
        <v>1</v>
      </c>
      <c r="AQ119" s="62" t="n">
        <f aca="false">IF(LEFT(Cockpit!$I$5,1)="A",H119,IF(Parameter!$E$30="MAX-Bestand",IF(CI119=1,CJ119,IF(LEFT(Cockpit!$I$5,1)="B",AW119,MAX(AW119,H119))),ROUNDUP(AU119,0)))</f>
        <v>440</v>
      </c>
      <c r="AR119" s="62" t="n">
        <f aca="false">IF(CA119=1,0,ROUNDUP(AQ119/BZ119,0))</f>
        <v>1</v>
      </c>
      <c r="AS119" s="64" t="n">
        <f aca="false">IF(CR119&gt;0,CR119*MAX(1,AQ119/X119),IF(CA119=1,IF(AQ119&lt;=0,0,CE119*MAX(1,IF(H119&gt;0,AQ119/H119,1))),IF(R119&gt;0,AR119/R119,0))/MAX(0.1,N(Parameter!$M$21)))</f>
        <v>0.0384615384615385</v>
      </c>
      <c r="AT119" s="62" t="n">
        <f aca="false">AS119*CC119</f>
        <v>9.42307692307692</v>
      </c>
      <c r="AU119" s="63" t="n">
        <f aca="false">IF(LEFT(Cockpit!$I$5,1)="A",H119,IF(CI119=1,(CL119+CJ119)/2,IF(LEFT(Cockpit!$I$5,1)="B",(CL119+AW119)/2,MAX((CL119+AW119)/2,H119))))</f>
        <v>440</v>
      </c>
      <c r="AV119" s="62" t="n">
        <f aca="false">AU119*G119</f>
        <v>18312.8</v>
      </c>
      <c r="AW119" s="62" t="n">
        <f aca="false">ROUNDUP(CL119+MAX(CM119,2*(J119/IF(CH119&gt;0,CH119,MAX(0.1,N(Cockpit!$I$6)))-CL119)),0)</f>
        <v>803</v>
      </c>
      <c r="AX119" s="63" t="n">
        <f aca="false">IF(AT119&gt;0,J119/AT119,-1)</f>
        <v>140.081632653061</v>
      </c>
      <c r="AY119" s="63" t="n">
        <f aca="false">IF(AND(OR(CG119="L1",CG119="L23",CG119="LIFT"),AT119&gt;0),SUMIFS($AT$7:$AT$1843,$CG$7:$CG$1843,CG119,$AX$7:$AX$1843,"&gt;"&amp;AX119)+SUMIFS($AT$7:$AT$1843,$CG$7:$CG$1843,CG119,$AX$7:$AX$1843,AX119,$BX$7:$BX$1843,"&lt;="&amp;BX119),"")</f>
        <v>629.942307692308</v>
      </c>
      <c r="AZ119" s="70" t="n">
        <f aca="false">IF(AY119="",0,MAX(0,MIN(1,(IF(CG119="L1",Parameter!$H$5,IF(CG119="L23",Parameter!$H$6+Parameter!$H$7,Parameter!$H$5+Parameter!$H$6+Parameter!$H$7))-(AY119-AT119))/AT119)))</f>
        <v>1</v>
      </c>
      <c r="BA119" s="62" t="n">
        <f aca="false">IF(LEFT(Cockpit!$O$5,1)="A",H119,IF(Parameter!$E$30="MAX-Bestand",IF(CI119=1,CJ119,IF(LEFT(Cockpit!$O$5,1)="B",BG119,MAX(BG119,H119))),ROUNDUP(BE119,0)))</f>
        <v>330</v>
      </c>
      <c r="BB119" s="62" t="n">
        <f aca="false">IF(CA119=1,0,ROUNDUP(BA119/BZ119,0))</f>
        <v>1</v>
      </c>
      <c r="BC119" s="64" t="n">
        <f aca="false">IF(CR119&gt;0,CR119*MAX(1,BA119/X119),IF(CA119=1,IF(BA119&lt;=0,0,CE119*MAX(1,IF(H119&gt;0,BA119/H119,1))),IF(R119&gt;0,BB119/R119,0))/MAX(0.1,N(Parameter!$M$21)))</f>
        <v>0.0384615384615385</v>
      </c>
      <c r="BD119" s="62" t="n">
        <f aca="false">BC119*CC119</f>
        <v>9.42307692307692</v>
      </c>
      <c r="BE119" s="63" t="n">
        <f aca="false">IF(LEFT(Cockpit!$O$5,1)="A",H119,IF(CI119=1,(CL119+CJ119)/2,IF(LEFT(Cockpit!$O$5,1)="B",(CL119+BG119)/2,MAX((CL119+BG119)/2,H119))))</f>
        <v>330</v>
      </c>
      <c r="BF119" s="62" t="n">
        <f aca="false">BE119*G119</f>
        <v>13734.6</v>
      </c>
      <c r="BG119" s="62" t="n">
        <f aca="false">ROUNDUP(CL119+MAX(CM119,2*(J119/IF(CH119&gt;0,CH119,MAX(0.1,N(Cockpit!$O$6)))-CL119)),0)</f>
        <v>583</v>
      </c>
      <c r="BH119" s="63" t="n">
        <f aca="false">IF(BD119&gt;0,J119/BD119,-1)</f>
        <v>140.081632653061</v>
      </c>
      <c r="BI119" s="63" t="n">
        <f aca="false">IF(AND(OR(CG119="L1",CG119="L23",CG119="LIFT"),BD119&gt;0),SUMIFS($BD$7:$BD$1843,$CG$7:$CG$1843,CG119,$BH$7:$BH$1843,"&gt;"&amp;BH119)+SUMIFS($BD$7:$BD$1843,$CG$7:$CG$1843,CG119,$BH$7:$BH$1843,BH119,$BX$7:$BX$1843,"&lt;="&amp;BX119),"")</f>
        <v>594.101648351648</v>
      </c>
      <c r="BJ119" s="70" t="n">
        <f aca="false">IF(BI119="",0,MAX(0,MIN(1,(IF(CG119="L1",Parameter!$H$5,IF(CG119="L23",Parameter!$H$6+Parameter!$H$7,Parameter!$H$5+Parameter!$H$6+Parameter!$H$7))-(BI119-BD119))/BD119)))</f>
        <v>1</v>
      </c>
      <c r="BK119" s="60" t="str">
        <f aca="false">IF(AJ119&lt;=0,"",IF(CG119="Aussen","Aussenlager",IF(CG119="-","Nicht im Lift",IF(AP119&gt;=1,"Lift",IF(AP119&lt;=0,"Aussenlager","teilweise")))))</f>
        <v>Lift</v>
      </c>
      <c r="BL119" s="60" t="str">
        <f aca="false">IF(AT119&lt;=0,"",IF(CG119="Aussen","Aussenlager",IF(CG119="-","Nicht im Lift",IF(AZ119&gt;=1,"Lift",IF(AZ119&lt;=0,"Aussenlager","teilweise")))))</f>
        <v>Lift</v>
      </c>
      <c r="BM119" s="60" t="str">
        <f aca="false">IF(BD119&lt;=0,"",IF(CG119="Aussen","Aussenlager",IF(CG119="-","Nicht im Lift",IF(BJ119&gt;=1,"Lift",IF(BJ119&lt;=0,"Aussenlager","teilweise")))))</f>
        <v>Lift</v>
      </c>
      <c r="BN119" s="60" t="str">
        <f aca="false">IF(A119="","",IF(BW119=1,"Neu; ","")&amp;IF(AND(BW119=0,BR119&lt;0),"negativer Bestand (Export "&amp;BR119&amp;"); ","")&amp;IF(J119&lt;=0,"Kein Verbrauch; ","")&amp;IF(CR119&gt;0,"Lift "&amp;W119&amp;" lt. Liftbericht (Fach "&amp;X119&amp;" Stk); ",IF(CB119=1,"Gebinde geschätzt ("&amp;T119&amp;"); ",IF(CA119=1,"Lose – Tablare geschätzt; ","")))&amp;IF(H119&gt;AW119,"Überbestand "&amp;ROUND(H119-AW119,0)&amp;" Stk / CHF "&amp;ROUND((H119-AW119)*G119,0)&amp;"; ","")&amp;IF(AND(CI119=1,CJ119&lt;CK119),"MAX &lt; MB+LG; ","")&amp;IF(AND(CQ119&gt;0,CP119*10&gt;CQ119),"zu hoch für Tablar; ","")&amp;IF(AND(BW119=0,OR(CI119=1,AB119&lt;&gt;"",U119&lt;&gt;"",V119&lt;&gt;"",AC119&lt;&gt;"")),"manuell übersteuert; ","")&amp;IF(AND(CA119=0,R119=0),"Gebinde unbekannt / Stellmass fehlt; ","")&amp;IF(AND(CA119=0,N(V119)&lt;=0,N(Q119)&lt;=0),"Menge pro Gebinde fehlt (Ist = 1 Gebinde); ","")&amp;BV119)</f>
        <v/>
      </c>
      <c r="BO119" s="60"/>
      <c r="BP119" s="60"/>
      <c r="BQ119" s="67"/>
      <c r="BR119" s="62" t="n">
        <v>45</v>
      </c>
      <c r="BS119" s="62" t="n">
        <v>183</v>
      </c>
      <c r="BT119" s="61" t="n">
        <v>1852.62</v>
      </c>
      <c r="BU119" s="62" t="n">
        <v>1320</v>
      </c>
      <c r="BV119" s="60"/>
      <c r="BW119" s="65" t="n">
        <v>0</v>
      </c>
      <c r="BX119" s="65" t="n">
        <v>119</v>
      </c>
      <c r="BY119" s="60" t="str">
        <f aca="false">IF(U119&lt;&gt;"",UPPER(TRIM(U119)),IF(CB119=1,UPPER(VLOOKUP(T119,Parameter!$I$27:$K$29,2,0)),IF(P119="","LOSE",P119)))</f>
        <v>S52</v>
      </c>
      <c r="BZ119" s="62" t="n">
        <f aca="false">IF(BY119="LOSE",1,IF(N(V119)&gt;0,V119,IF(CB119=1,MAX(1,N(VLOOKUP(T119,Parameter!$I$27:$K$29,3,0)),H119,N(N119)),IF(N(Q119)&gt;0,Q119,MAX(1,H119)))))</f>
        <v>850</v>
      </c>
      <c r="CA119" s="65" t="n">
        <f aca="false">IF(BY119="LOSE",1,0)</f>
        <v>0</v>
      </c>
      <c r="CB119" s="65" t="n">
        <f aca="false">IF(AND(U119="",OR(P119="",P119="LOSE"),T119&lt;&gt;"",N(S119)&lt;=0,ISNUMBER(MATCH(T119,Parameter!$I$27:$I$29,0))),1,0)</f>
        <v>0</v>
      </c>
      <c r="CC119" s="65" t="n">
        <f aca="false">IF(CR119&gt;0,INDEX(Parameter!$H$5:$H$7,W119)/INDEX(Parameter!$E$5:$E$7,W119),IF(AND(CA119=0,N(IFERROR(VLOOKUP(BY119,'Gebinde-Kategorie'!$A$5:$N$45,14,0),0))&gt;0),VLOOKUP(BY119,'Gebinde-Kategorie'!$A$5:$N$45,14,0)*10+Parameter!$M$23,Parameter!$M$24))</f>
        <v>245</v>
      </c>
      <c r="CD119" s="60" t="str">
        <f aca="false">IF(AND(Parameter!$B$19="Ja",E119&lt;&gt;"",ISNUMBER(MATCH(E119,Parameter!$I$35:$I$52,0))),VLOOKUP(E119,Parameter!$I$35:$J$52,2,0),IFERROR(VLOOKUP(D119,Parameter!$A$35:$C$64,2,0),"Nein"))</f>
        <v>2+3</v>
      </c>
      <c r="CE119" s="64" t="n">
        <f aca="false">IF(CA119=0,0,IF(N(S119)&gt;0,S119,IFERROR(VLOOKUP(D119,Parameter!$A$35:$C$64,3,0)+0,0)))</f>
        <v>0</v>
      </c>
      <c r="CF119" s="60" t="n">
        <f aca="false">IF(AB119&lt;&gt;"",AB119,AA119)</f>
        <v>3</v>
      </c>
      <c r="CG119" s="60" t="str">
        <f aca="false">IF(OR(CF119=1,CF119=2,CF119=3),IF(Parameter!$E$27="Ja","LIFT",IF(CF119=1,"L1","L23")),IF(CF119="Aussen","Aussen","-"))</f>
        <v>LIFT</v>
      </c>
      <c r="CH119" s="71" t="n">
        <f aca="false">IF(N(AC119)&gt;0,AC119,0)</f>
        <v>0</v>
      </c>
      <c r="CI119" s="65" t="n">
        <f aca="false">IF(ISNUMBER(AF119),1,0)</f>
        <v>0</v>
      </c>
      <c r="CJ119" s="62" t="n">
        <f aca="false">N(AF119)</f>
        <v>0</v>
      </c>
      <c r="CK119" s="62" t="n">
        <f aca="false">N(M119)+N(N119)</f>
        <v>277</v>
      </c>
      <c r="CL119" s="62" t="n">
        <f aca="false">N(M119)</f>
        <v>77</v>
      </c>
      <c r="CM119" s="62" t="n">
        <f aca="false">N(N119)</f>
        <v>200</v>
      </c>
      <c r="CN119" s="62" t="n">
        <f aca="false">ROUNDUP(H119/BZ119,0)</f>
        <v>1</v>
      </c>
      <c r="CO119" s="62" t="n">
        <f aca="false">ROUNDUP(CJ119/BZ119,0)</f>
        <v>0</v>
      </c>
      <c r="CP119" s="65" t="n">
        <f aca="false">IF(CA119=1,0,IFERROR(VLOOKUP(BY119,'Gebinde-Kategorie'!$A$5:$N$45,5,0)+0,0))</f>
        <v>21</v>
      </c>
      <c r="CQ119" s="65" t="n">
        <f aca="false">IFERROR(IF(OR(CF119=1,CF119=2,CF119=3),N(INDEX(Parameter!$I$5:$I$7,CF119)),0),0)</f>
        <v>0</v>
      </c>
      <c r="CR119" s="64" t="n">
        <f aca="false">IF(AND(Parameter!$B$21="Ja",ISNUMBER(W119),N(X119)&gt;0),IFERROR(N(INDEX(Parameter!$L$5:$L$7,W119))*INDEX(Parameter!$E$5:$E$7,W119)*X119/SUMIFS($X$7:$X$1843,$W$7:$W$1843,W119),0),0)</f>
        <v>0</v>
      </c>
      <c r="CS119" s="62" t="n">
        <f aca="false">IF(AND(OR(CG119="L1",CG119="L23",CG119="LIFT"),H119&gt;0),CC119*IF(CR119&gt;0,CR119*MAX(1,H119/X119),IF(CA119=1,CE119,IF(R119&gt;0,CN119/R119,0))/MAX(0.1,N(Parameter!$M$21))),"")</f>
        <v>9.42307692307692</v>
      </c>
      <c r="CT119" s="64" t="n">
        <f aca="false">IF(CS119="","",J119/H119)</f>
        <v>5.78947368421053</v>
      </c>
      <c r="CU119" s="62" t="n">
        <f aca="false">IF(CS119="","",H119*G119)</f>
        <v>9489.36</v>
      </c>
      <c r="CV119" s="63" t="n">
        <f aca="false">IF(CS119="","",(CL119+ROUNDUP(CL119+MAX(CM119,2*(J119/MAX(0.1,N(Einkauf!$C$6))-CL119)),0))/2)</f>
        <v>330</v>
      </c>
      <c r="CW119" s="62" t="n">
        <f aca="false">IF(CS119="","",MAX(0,H119-CV119)*G119)</f>
        <v>0</v>
      </c>
      <c r="CX119" s="62" t="n">
        <f aca="false">IF(CS119="","",CS119*MAX(0,1-CV119/H119))</f>
        <v>0</v>
      </c>
      <c r="CY119" s="64" t="n">
        <f aca="false">IF(CS119="","",PERCENTRANK($CS$7:$CS$1843,CS119)+PERCENTRANK($CU$7:$CU$1843,CU119)+1-PERCENTRANK($CT$7:$CT$1843,CT119))</f>
        <v>1.557</v>
      </c>
      <c r="CZ119" s="72" t="n">
        <f aca="false">IF(CS119="","",CHOOSE(MATCH(Einkauf!$C$5,Parameter!$G$23:$G$27,0),CY119,CS119,CU119,-CT119,CW119)+ROW()/1000000000)</f>
        <v>1.557000119</v>
      </c>
    </row>
    <row r="120" customFormat="false" ht="15" hidden="false" customHeight="false" outlineLevel="0" collapsed="false">
      <c r="A120" s="60" t="s">
        <v>491</v>
      </c>
      <c r="B120" s="60" t="s">
        <v>492</v>
      </c>
      <c r="C120" s="60" t="s">
        <v>206</v>
      </c>
      <c r="D120" s="60" t="s">
        <v>215</v>
      </c>
      <c r="E120" s="60" t="s">
        <v>227</v>
      </c>
      <c r="F120" s="60" t="s">
        <v>260</v>
      </c>
      <c r="G120" s="61" t="n">
        <v>106.7</v>
      </c>
      <c r="H120" s="62" t="n">
        <f aca="false">MAX(0,IF(AND(Parameter!$B$21="Ja",ISNUMBER(Y120)),Y120,IF(Parameter!$B$20="Jahresanfang 2025 + Export",BS120+BR120,BR120)))</f>
        <v>113</v>
      </c>
      <c r="I120" s="62" t="n">
        <f aca="false">H120*G120</f>
        <v>12057.1</v>
      </c>
      <c r="J120" s="62" t="n">
        <f aca="false">BU120*Parameter!$B$18</f>
        <v>444</v>
      </c>
      <c r="K120" s="63" t="n">
        <v>83.5</v>
      </c>
      <c r="L120" s="64" t="n">
        <v>5.31736526946108</v>
      </c>
      <c r="M120" s="62" t="n">
        <v>25</v>
      </c>
      <c r="N120" s="62" t="n">
        <v>110</v>
      </c>
      <c r="O120" s="65" t="n">
        <v>21</v>
      </c>
      <c r="P120" s="60" t="s">
        <v>216</v>
      </c>
      <c r="Q120" s="62" t="n">
        <v>56</v>
      </c>
      <c r="R120" s="65" t="n">
        <f aca="false">IF(CA120=1,0,IFERROR(VLOOKUP(BY120,'Gebinde-Kategorie'!$A$5:$N$45,13,0)+0,0))</f>
        <v>6</v>
      </c>
      <c r="S120" s="66"/>
      <c r="T120" s="67"/>
      <c r="U120" s="67"/>
      <c r="V120" s="67"/>
      <c r="W120" s="60"/>
      <c r="X120" s="62"/>
      <c r="Y120" s="62"/>
      <c r="Z120" s="60" t="n">
        <v>2</v>
      </c>
      <c r="AA120" s="60" t="n">
        <f aca="false">IF(A120="","",IF(AND(Parameter!$B$21="Ja",ISNUMBER(W120)),W120,IF(AND(Parameter!$E$27="Ja",ISNUMBER(Z120),CD120&lt;&gt;"Nein"),Z120,IF(CD120="2+3",IF(ISNUMBER(SEARCH("grosser Artikel",BV120)),2,IFERROR(VLOOKUP(BY120,Parameter!$F$35:$G$64,2,0),2)),IF(OR(CD120="Nein",CD120=""),"-",CD120)))))</f>
        <v>2</v>
      </c>
      <c r="AB120" s="67"/>
      <c r="AC120" s="68"/>
      <c r="AD120" s="62" t="n">
        <f aca="false">AW120</f>
        <v>271</v>
      </c>
      <c r="AE120" s="62" t="n">
        <f aca="false">MAX(AW120,H120)</f>
        <v>271</v>
      </c>
      <c r="AF120" s="69"/>
      <c r="AG120" s="62" t="n">
        <f aca="false">IF(LEFT(Cockpit!$C$5,1)="A",H120,IF(Parameter!$E$30="MAX-Bestand",IF(CI120=1,CJ120,IF(LEFT(Cockpit!$C$5,1)="B",AM120,MAX(AM120,H120))),ROUNDUP(AK120,0)))</f>
        <v>113</v>
      </c>
      <c r="AH120" s="62" t="n">
        <f aca="false">IF(CA120=1,0,ROUNDUP(AG120/BZ120,0))</f>
        <v>3</v>
      </c>
      <c r="AI120" s="64" t="n">
        <f aca="false">IF(CR120&gt;0,CR120*MAX(1,AG120/X120),IF(CA120=1,IF(AG120&lt;=0,0,CE120*MAX(1,IF(H120&gt;0,AG120/H120,1))),IF(R120&gt;0,AH120/R120,0))/MAX(0.1,N(Parameter!$M$21)))</f>
        <v>0.5</v>
      </c>
      <c r="AJ120" s="62" t="n">
        <f aca="false">AI120*CC120</f>
        <v>117.5</v>
      </c>
      <c r="AK120" s="63" t="n">
        <f aca="false">IF(LEFT(Cockpit!$C$5,1)="A",H120,IF(CI120=1,(CL120+CJ120)/2,IF(LEFT(Cockpit!$C$5,1)="B",(CL120+AM120)/2,MAX((CL120+AM120)/2,H120))))</f>
        <v>113</v>
      </c>
      <c r="AL120" s="62" t="n">
        <f aca="false">AK120*G120</f>
        <v>12057.1</v>
      </c>
      <c r="AM120" s="62" t="n">
        <f aca="false">ROUNDUP(CL120+MAX(CM120,2*(J120/IF(CH120&gt;0,CH120,MAX(0.1,N(Cockpit!$C$6)))-CL120)),0)</f>
        <v>271</v>
      </c>
      <c r="AN120" s="63" t="n">
        <f aca="false">IF(AJ120&gt;0,J120/AJ120,-1)</f>
        <v>3.77872340425532</v>
      </c>
      <c r="AO120" s="63" t="n">
        <f aca="false">IF(AND(OR(CG120="L1",CG120="L23",CG120="LIFT"),AJ120&gt;0),SUMIFS($AJ$7:$AJ$1843,$CG$7:$CG$1843,CG120,$AN$7:$AN$1843,"&gt;"&amp;AN120)+SUMIFS($AJ$7:$AJ$1843,$CG$7:$CG$1843,CG120,$AN$7:$AN$1843,AN120,$BX$7:$BX$1843,"&lt;="&amp;BX120),"")</f>
        <v>4679.05769230769</v>
      </c>
      <c r="AP120" s="70" t="n">
        <f aca="false">IF(AO120="",0,MAX(0,MIN(1,(IF(CG120="L1",Parameter!$H$5,IF(CG120="L23",Parameter!$H$6+Parameter!$H$7,Parameter!$H$5+Parameter!$H$6+Parameter!$H$7))-(AO120-AJ120))/AJ120)))</f>
        <v>1</v>
      </c>
      <c r="AQ120" s="62" t="n">
        <f aca="false">IF(LEFT(Cockpit!$I$5,1)="A",H120,IF(Parameter!$E$30="MAX-Bestand",IF(CI120=1,CJ120,IF(LEFT(Cockpit!$I$5,1)="B",AW120,MAX(AW120,H120))),ROUNDUP(AU120,0)))</f>
        <v>148</v>
      </c>
      <c r="AR120" s="62" t="n">
        <f aca="false">IF(CA120=1,0,ROUNDUP(AQ120/BZ120,0))</f>
        <v>3</v>
      </c>
      <c r="AS120" s="64" t="n">
        <f aca="false">IF(CR120&gt;0,CR120*MAX(1,AQ120/X120),IF(CA120=1,IF(AQ120&lt;=0,0,CE120*MAX(1,IF(H120&gt;0,AQ120/H120,1))),IF(R120&gt;0,AR120/R120,0))/MAX(0.1,N(Parameter!$M$21)))</f>
        <v>0.5</v>
      </c>
      <c r="AT120" s="62" t="n">
        <f aca="false">AS120*CC120</f>
        <v>117.5</v>
      </c>
      <c r="AU120" s="63" t="n">
        <f aca="false">IF(LEFT(Cockpit!$I$5,1)="A",H120,IF(CI120=1,(CL120+CJ120)/2,IF(LEFT(Cockpit!$I$5,1)="B",(CL120+AW120)/2,MAX((CL120+AW120)/2,H120))))</f>
        <v>148</v>
      </c>
      <c r="AV120" s="62" t="n">
        <f aca="false">AU120*G120</f>
        <v>15791.6</v>
      </c>
      <c r="AW120" s="62" t="n">
        <f aca="false">ROUNDUP(CL120+MAX(CM120,2*(J120/IF(CH120&gt;0,CH120,MAX(0.1,N(Cockpit!$I$6)))-CL120)),0)</f>
        <v>271</v>
      </c>
      <c r="AX120" s="63" t="n">
        <f aca="false">IF(AT120&gt;0,J120/AT120,-1)</f>
        <v>3.77872340425532</v>
      </c>
      <c r="AY120" s="63" t="n">
        <f aca="false">IF(AND(OR(CG120="L1",CG120="L23",CG120="LIFT"),AT120&gt;0),SUMIFS($AT$7:$AT$1843,$CG$7:$CG$1843,CG120,$AX$7:$AX$1843,"&gt;"&amp;AX120)+SUMIFS($AT$7:$AT$1843,$CG$7:$CG$1843,CG120,$AX$7:$AX$1843,AX120,$BX$7:$BX$1843,"&lt;="&amp;BX120),"")</f>
        <v>5297.47802197802</v>
      </c>
      <c r="AZ120" s="70" t="n">
        <f aca="false">IF(AY120="",0,MAX(0,MIN(1,(IF(CG120="L1",Parameter!$H$5,IF(CG120="L23",Parameter!$H$6+Parameter!$H$7,Parameter!$H$5+Parameter!$H$6+Parameter!$H$7))-(AY120-AT120))/AT120)))</f>
        <v>1</v>
      </c>
      <c r="BA120" s="62" t="n">
        <f aca="false">IF(LEFT(Cockpit!$O$5,1)="A",H120,IF(Parameter!$E$30="MAX-Bestand",IF(CI120=1,CJ120,IF(LEFT(Cockpit!$O$5,1)="B",BG120,MAX(BG120,H120))),ROUNDUP(BE120,0)))</f>
        <v>111</v>
      </c>
      <c r="BB120" s="62" t="n">
        <f aca="false">IF(CA120=1,0,ROUNDUP(BA120/BZ120,0))</f>
        <v>2</v>
      </c>
      <c r="BC120" s="64" t="n">
        <f aca="false">IF(CR120&gt;0,CR120*MAX(1,BA120/X120),IF(CA120=1,IF(BA120&lt;=0,0,CE120*MAX(1,IF(H120&gt;0,BA120/H120,1))),IF(R120&gt;0,BB120/R120,0))/MAX(0.1,N(Parameter!$M$21)))</f>
        <v>0.333333333333333</v>
      </c>
      <c r="BD120" s="62" t="n">
        <f aca="false">BC120*CC120</f>
        <v>78.3333333333333</v>
      </c>
      <c r="BE120" s="63" t="n">
        <f aca="false">IF(LEFT(Cockpit!$O$5,1)="A",H120,IF(CI120=1,(CL120+CJ120)/2,IF(LEFT(Cockpit!$O$5,1)="B",(CL120+BG120)/2,MAX((CL120+BG120)/2,H120))))</f>
        <v>111</v>
      </c>
      <c r="BF120" s="62" t="n">
        <f aca="false">BE120*G120</f>
        <v>11843.7</v>
      </c>
      <c r="BG120" s="62" t="n">
        <f aca="false">ROUNDUP(CL120+MAX(CM120,2*(J120/IF(CH120&gt;0,CH120,MAX(0.1,N(Cockpit!$O$6)))-CL120)),0)</f>
        <v>197</v>
      </c>
      <c r="BH120" s="63" t="n">
        <f aca="false">IF(BD120&gt;0,J120/BD120,-1)</f>
        <v>5.66808510638298</v>
      </c>
      <c r="BI120" s="63" t="n">
        <f aca="false">IF(AND(OR(CG120="L1",CG120="L23",CG120="LIFT"),BD120&gt;0),SUMIFS($BD$7:$BD$1843,$CG$7:$CG$1843,CG120,$BH$7:$BH$1843,"&gt;"&amp;BH120)+SUMIFS($BD$7:$BD$1843,$CG$7:$CG$1843,CG120,$BH$7:$BH$1843,BH120,$BX$7:$BX$1843,"&lt;="&amp;BX120),"")</f>
        <v>3637.61584249084</v>
      </c>
      <c r="BJ120" s="70" t="n">
        <f aca="false">IF(BI120="",0,MAX(0,MIN(1,(IF(CG120="L1",Parameter!$H$5,IF(CG120="L23",Parameter!$H$6+Parameter!$H$7,Parameter!$H$5+Parameter!$H$6+Parameter!$H$7))-(BI120-BD120))/BD120)))</f>
        <v>1</v>
      </c>
      <c r="BK120" s="60" t="str">
        <f aca="false">IF(AJ120&lt;=0,"",IF(CG120="Aussen","Aussenlager",IF(CG120="-","Nicht im Lift",IF(AP120&gt;=1,"Lift",IF(AP120&lt;=0,"Aussenlager","teilweise")))))</f>
        <v>Lift</v>
      </c>
      <c r="BL120" s="60" t="str">
        <f aca="false">IF(AT120&lt;=0,"",IF(CG120="Aussen","Aussenlager",IF(CG120="-","Nicht im Lift",IF(AZ120&gt;=1,"Lift",IF(AZ120&lt;=0,"Aussenlager","teilweise")))))</f>
        <v>Lift</v>
      </c>
      <c r="BM120" s="60" t="str">
        <f aca="false">IF(BD120&lt;=0,"",IF(CG120="Aussen","Aussenlager",IF(CG120="-","Nicht im Lift",IF(BJ120&gt;=1,"Lift",IF(BJ120&lt;=0,"Aussenlager","teilweise")))))</f>
        <v>Lift</v>
      </c>
      <c r="BN120" s="60" t="str">
        <f aca="false">IF(A120="","",IF(BW120=1,"Neu; ","")&amp;IF(AND(BW120=0,BR120&lt;0),"negativer Bestand (Export "&amp;BR120&amp;"); ","")&amp;IF(J120&lt;=0,"Kein Verbrauch; ","")&amp;IF(CR120&gt;0,"Lift "&amp;W120&amp;" lt. Liftbericht (Fach "&amp;X120&amp;" Stk); ",IF(CB120=1,"Gebinde geschätzt ("&amp;T120&amp;"); ",IF(CA120=1,"Lose – Tablare geschätzt; ","")))&amp;IF(H120&gt;AW120,"Überbestand "&amp;ROUND(H120-AW120,0)&amp;" Stk / CHF "&amp;ROUND((H120-AW120)*G120,0)&amp;"; ","")&amp;IF(AND(CI120=1,CJ120&lt;CK120),"MAX &lt; MB+LG; ","")&amp;IF(AND(CQ120&gt;0,CP120*10&gt;CQ120),"zu hoch für Tablar; ","")&amp;IF(AND(BW120=0,OR(CI120=1,AB120&lt;&gt;"",U120&lt;&gt;"",V120&lt;&gt;"",AC120&lt;&gt;"")),"manuell übersteuert; ","")&amp;IF(AND(CA120=0,R120=0),"Gebinde unbekannt / Stellmass fehlt; ","")&amp;IF(AND(CA120=0,N(V120)&lt;=0,N(Q120)&lt;=0),"Menge pro Gebinde fehlt (Ist = 1 Gebinde); ","")&amp;BV120)</f>
        <v>grosser Artikel &amp; nicht im KTL</v>
      </c>
      <c r="BO120" s="60"/>
      <c r="BP120" s="60"/>
      <c r="BQ120" s="67"/>
      <c r="BR120" s="62" t="n">
        <v>20</v>
      </c>
      <c r="BS120" s="62" t="n">
        <v>93</v>
      </c>
      <c r="BT120" s="61" t="n">
        <v>1844.19999999997</v>
      </c>
      <c r="BU120" s="62" t="n">
        <v>444</v>
      </c>
      <c r="BV120" s="60" t="s">
        <v>303</v>
      </c>
      <c r="BW120" s="65" t="n">
        <v>0</v>
      </c>
      <c r="BX120" s="65" t="n">
        <v>120</v>
      </c>
      <c r="BY120" s="60" t="str">
        <f aca="false">IF(U120&lt;&gt;"",UPPER(TRIM(U120)),IF(CB120=1,UPPER(VLOOKUP(T120,Parameter!$I$27:$K$29,2,0)),IF(P120="","LOSE",P120)))</f>
        <v>S71</v>
      </c>
      <c r="BZ120" s="62" t="n">
        <f aca="false">IF(BY120="LOSE",1,IF(N(V120)&gt;0,V120,IF(CB120=1,MAX(1,N(VLOOKUP(T120,Parameter!$I$27:$K$29,3,0)),H120,N(N120)),IF(N(Q120)&gt;0,Q120,MAX(1,H120)))))</f>
        <v>56</v>
      </c>
      <c r="CA120" s="65" t="n">
        <f aca="false">IF(BY120="LOSE",1,0)</f>
        <v>0</v>
      </c>
      <c r="CB120" s="65" t="n">
        <f aca="false">IF(AND(U120="",OR(P120="",P120="LOSE"),T120&lt;&gt;"",N(S120)&lt;=0,ISNUMBER(MATCH(T120,Parameter!$I$27:$I$29,0))),1,0)</f>
        <v>0</v>
      </c>
      <c r="CC120" s="65" t="n">
        <f aca="false">IF(CR120&gt;0,INDEX(Parameter!$H$5:$H$7,W120)/INDEX(Parameter!$E$5:$E$7,W120),IF(AND(CA120=0,N(IFERROR(VLOOKUP(BY120,'Gebinde-Kategorie'!$A$5:$N$45,14,0),0))&gt;0),VLOOKUP(BY120,'Gebinde-Kategorie'!$A$5:$N$45,14,0)*10+Parameter!$M$23,Parameter!$M$24))</f>
        <v>235</v>
      </c>
      <c r="CD120" s="60" t="str">
        <f aca="false">IF(AND(Parameter!$B$19="Ja",E120&lt;&gt;"",ISNUMBER(MATCH(E120,Parameter!$I$35:$I$52,0))),VLOOKUP(E120,Parameter!$I$35:$J$52,2,0),IFERROR(VLOOKUP(D120,Parameter!$A$35:$C$64,2,0),"Nein"))</f>
        <v>2+3</v>
      </c>
      <c r="CE120" s="64" t="n">
        <f aca="false">IF(CA120=0,0,IF(N(S120)&gt;0,S120,IFERROR(VLOOKUP(D120,Parameter!$A$35:$C$64,3,0)+0,0)))</f>
        <v>0</v>
      </c>
      <c r="CF120" s="60" t="n">
        <f aca="false">IF(AB120&lt;&gt;"",AB120,AA120)</f>
        <v>2</v>
      </c>
      <c r="CG120" s="60" t="str">
        <f aca="false">IF(OR(CF120=1,CF120=2,CF120=3),IF(Parameter!$E$27="Ja","LIFT",IF(CF120=1,"L1","L23")),IF(CF120="Aussen","Aussen","-"))</f>
        <v>LIFT</v>
      </c>
      <c r="CH120" s="71" t="n">
        <f aca="false">IF(N(AC120)&gt;0,AC120,0)</f>
        <v>0</v>
      </c>
      <c r="CI120" s="65" t="n">
        <f aca="false">IF(ISNUMBER(AF120),1,0)</f>
        <v>0</v>
      </c>
      <c r="CJ120" s="62" t="n">
        <f aca="false">N(AF120)</f>
        <v>0</v>
      </c>
      <c r="CK120" s="62" t="n">
        <f aca="false">N(M120)+N(N120)</f>
        <v>135</v>
      </c>
      <c r="CL120" s="62" t="n">
        <f aca="false">N(M120)</f>
        <v>25</v>
      </c>
      <c r="CM120" s="62" t="n">
        <f aca="false">N(N120)</f>
        <v>110</v>
      </c>
      <c r="CN120" s="62" t="n">
        <f aca="false">ROUNDUP(H120/BZ120,0)</f>
        <v>3</v>
      </c>
      <c r="CO120" s="62" t="n">
        <f aca="false">ROUNDUP(CJ120/BZ120,0)</f>
        <v>0</v>
      </c>
      <c r="CP120" s="65" t="n">
        <f aca="false">IF(CA120=1,0,IFERROR(VLOOKUP(BY120,'Gebinde-Kategorie'!$A$5:$N$45,5,0)+0,0))</f>
        <v>20</v>
      </c>
      <c r="CQ120" s="65" t="n">
        <f aca="false">IFERROR(IF(OR(CF120=1,CF120=2,CF120=3),N(INDEX(Parameter!$I$5:$I$7,CF120)),0),0)</f>
        <v>0</v>
      </c>
      <c r="CR120" s="64" t="n">
        <f aca="false">IF(AND(Parameter!$B$21="Ja",ISNUMBER(W120),N(X120)&gt;0),IFERROR(N(INDEX(Parameter!$L$5:$L$7,W120))*INDEX(Parameter!$E$5:$E$7,W120)*X120/SUMIFS($X$7:$X$1843,$W$7:$W$1843,W120),0),0)</f>
        <v>0</v>
      </c>
      <c r="CS120" s="62" t="n">
        <f aca="false">IF(AND(OR(CG120="L1",CG120="L23",CG120="LIFT"),H120&gt;0),CC120*IF(CR120&gt;0,CR120*MAX(1,H120/X120),IF(CA120=1,CE120,IF(R120&gt;0,CN120/R120,0))/MAX(0.1,N(Parameter!$M$21))),"")</f>
        <v>117.5</v>
      </c>
      <c r="CT120" s="64" t="n">
        <f aca="false">IF(CS120="","",J120/H120)</f>
        <v>3.92920353982301</v>
      </c>
      <c r="CU120" s="62" t="n">
        <f aca="false">IF(CS120="","",H120*G120)</f>
        <v>12057.1</v>
      </c>
      <c r="CV120" s="63" t="n">
        <f aca="false">IF(CS120="","",(CL120+ROUNDUP(CL120+MAX(CM120,2*(J120/MAX(0.1,N(Einkauf!$C$6))-CL120)),0))/2)</f>
        <v>111</v>
      </c>
      <c r="CW120" s="62" t="n">
        <f aca="false">IF(CS120="","",MAX(0,H120-CV120)*G120)</f>
        <v>213.4</v>
      </c>
      <c r="CX120" s="62" t="n">
        <f aca="false">IF(CS120="","",CS120*MAX(0,1-CV120/H120))</f>
        <v>2.07964601769912</v>
      </c>
      <c r="CY120" s="64" t="n">
        <f aca="false">IF(CS120="","",PERCENTRANK($CS$7:$CS$1843,CS120)+PERCENTRANK($CU$7:$CU$1843,CU120)+1-PERCENTRANK($CT$7:$CT$1843,CT120))</f>
        <v>1.991</v>
      </c>
      <c r="CZ120" s="72" t="n">
        <f aca="false">IF(CS120="","",CHOOSE(MATCH(Einkauf!$C$5,Parameter!$G$23:$G$27,0),CY120,CS120,CU120,-CT120,CW120)+ROW()/1000000000)</f>
        <v>1.99100012</v>
      </c>
    </row>
    <row r="121" customFormat="false" ht="15" hidden="false" customHeight="false" outlineLevel="0" collapsed="false">
      <c r="A121" s="60" t="s">
        <v>493</v>
      </c>
      <c r="B121" s="60" t="s">
        <v>494</v>
      </c>
      <c r="C121" s="60" t="s">
        <v>206</v>
      </c>
      <c r="D121" s="60" t="s">
        <v>226</v>
      </c>
      <c r="E121" s="60" t="s">
        <v>227</v>
      </c>
      <c r="F121" s="60" t="s">
        <v>260</v>
      </c>
      <c r="G121" s="61" t="n">
        <v>59.19</v>
      </c>
      <c r="H121" s="62" t="n">
        <f aca="false">MAX(0,IF(AND(Parameter!$B$21="Ja",ISNUMBER(Y121)),Y121,IF(Parameter!$B$20="Jahresanfang 2025 + Export",BS121+BR121,BR121)))</f>
        <v>59</v>
      </c>
      <c r="I121" s="62" t="n">
        <f aca="false">H121*G121</f>
        <v>3492.21</v>
      </c>
      <c r="J121" s="62" t="n">
        <f aca="false">BU121*Parameter!$B$18</f>
        <v>59</v>
      </c>
      <c r="K121" s="63" t="n">
        <v>52</v>
      </c>
      <c r="L121" s="64" t="n">
        <v>1.13461538461539</v>
      </c>
      <c r="M121" s="62" t="n">
        <v>5</v>
      </c>
      <c r="N121" s="62" t="n">
        <v>50</v>
      </c>
      <c r="O121" s="65" t="n">
        <v>28</v>
      </c>
      <c r="P121" s="60" t="s">
        <v>275</v>
      </c>
      <c r="Q121" s="62" t="n">
        <v>12</v>
      </c>
      <c r="R121" s="65" t="n">
        <f aca="false">IF(CA121=1,0,IFERROR(VLOOKUP(BY121,'Gebinde-Kategorie'!$A$5:$N$45,13,0)+0,0))</f>
        <v>26</v>
      </c>
      <c r="S121" s="66"/>
      <c r="T121" s="67"/>
      <c r="U121" s="67"/>
      <c r="V121" s="67"/>
      <c r="W121" s="60"/>
      <c r="X121" s="62"/>
      <c r="Y121" s="62"/>
      <c r="Z121" s="60" t="n">
        <v>3</v>
      </c>
      <c r="AA121" s="60" t="n">
        <f aca="false">IF(A121="","",IF(AND(Parameter!$B$21="Ja",ISNUMBER(W121)),W121,IF(AND(Parameter!$E$27="Ja",ISNUMBER(Z121),CD121&lt;&gt;"Nein"),Z121,IF(CD121="2+3",IF(ISNUMBER(SEARCH("grosser Artikel",BV121)),2,IFERROR(VLOOKUP(BY121,Parameter!$F$35:$G$64,2,0),2)),IF(OR(CD121="Nein",CD121=""),"-",CD121)))))</f>
        <v>3</v>
      </c>
      <c r="AB121" s="67"/>
      <c r="AC121" s="68"/>
      <c r="AD121" s="62" t="n">
        <f aca="false">AW121</f>
        <v>55</v>
      </c>
      <c r="AE121" s="62" t="n">
        <f aca="false">MAX(AW121,H121)</f>
        <v>59</v>
      </c>
      <c r="AF121" s="69"/>
      <c r="AG121" s="62" t="n">
        <f aca="false">IF(LEFT(Cockpit!$C$5,1)="A",H121,IF(Parameter!$E$30="MAX-Bestand",IF(CI121=1,CJ121,IF(LEFT(Cockpit!$C$5,1)="B",AM121,MAX(AM121,H121))),ROUNDUP(AK121,0)))</f>
        <v>59</v>
      </c>
      <c r="AH121" s="62" t="n">
        <f aca="false">IF(CA121=1,0,ROUNDUP(AG121/BZ121,0))</f>
        <v>5</v>
      </c>
      <c r="AI121" s="64" t="n">
        <f aca="false">IF(CR121&gt;0,CR121*MAX(1,AG121/X121),IF(CA121=1,IF(AG121&lt;=0,0,CE121*MAX(1,IF(H121&gt;0,AG121/H121,1))),IF(R121&gt;0,AH121/R121,0))/MAX(0.1,N(Parameter!$M$21)))</f>
        <v>0.192307692307692</v>
      </c>
      <c r="AJ121" s="62" t="n">
        <f aca="false">AI121*CC121</f>
        <v>47.1153846153846</v>
      </c>
      <c r="AK121" s="63" t="n">
        <f aca="false">IF(LEFT(Cockpit!$C$5,1)="A",H121,IF(CI121=1,(CL121+CJ121)/2,IF(LEFT(Cockpit!$C$5,1)="B",(CL121+AM121)/2,MAX((CL121+AM121)/2,H121))))</f>
        <v>59</v>
      </c>
      <c r="AL121" s="62" t="n">
        <f aca="false">AK121*G121</f>
        <v>3492.21</v>
      </c>
      <c r="AM121" s="62" t="n">
        <f aca="false">ROUNDUP(CL121+MAX(CM121,2*(J121/IF(CH121&gt;0,CH121,MAX(0.1,N(Cockpit!$C$6)))-CL121)),0)</f>
        <v>55</v>
      </c>
      <c r="AN121" s="63" t="n">
        <f aca="false">IF(AJ121&gt;0,J121/AJ121,-1)</f>
        <v>1.25224489795918</v>
      </c>
      <c r="AO121" s="63" t="n">
        <f aca="false">IF(AND(OR(CG121="L1",CG121="L23",CG121="LIFT"),AJ121&gt;0),SUMIFS($AJ$7:$AJ$1843,$CG$7:$CG$1843,CG121,$AN$7:$AN$1843,"&gt;"&amp;AN121)+SUMIFS($AJ$7:$AJ$1843,$CG$7:$CG$1843,CG121,$AN$7:$AN$1843,AN121,$BX$7:$BX$1843,"&lt;="&amp;BX121),"")</f>
        <v>6411.05173992674</v>
      </c>
      <c r="AP121" s="70" t="n">
        <f aca="false">IF(AO121="",0,MAX(0,MIN(1,(IF(CG121="L1",Parameter!$H$5,IF(CG121="L23",Parameter!$H$6+Parameter!$H$7,Parameter!$H$5+Parameter!$H$6+Parameter!$H$7))-(AO121-AJ121))/AJ121)))</f>
        <v>1</v>
      </c>
      <c r="AQ121" s="62" t="n">
        <f aca="false">IF(LEFT(Cockpit!$I$5,1)="A",H121,IF(Parameter!$E$30="MAX-Bestand",IF(CI121=1,CJ121,IF(LEFT(Cockpit!$I$5,1)="B",AW121,MAX(AW121,H121))),ROUNDUP(AU121,0)))</f>
        <v>59</v>
      </c>
      <c r="AR121" s="62" t="n">
        <f aca="false">IF(CA121=1,0,ROUNDUP(AQ121/BZ121,0))</f>
        <v>5</v>
      </c>
      <c r="AS121" s="64" t="n">
        <f aca="false">IF(CR121&gt;0,CR121*MAX(1,AQ121/X121),IF(CA121=1,IF(AQ121&lt;=0,0,CE121*MAX(1,IF(H121&gt;0,AQ121/H121,1))),IF(R121&gt;0,AR121/R121,0))/MAX(0.1,N(Parameter!$M$21)))</f>
        <v>0.192307692307692</v>
      </c>
      <c r="AT121" s="62" t="n">
        <f aca="false">AS121*CC121</f>
        <v>47.1153846153846</v>
      </c>
      <c r="AU121" s="63" t="n">
        <f aca="false">IF(LEFT(Cockpit!$I$5,1)="A",H121,IF(CI121=1,(CL121+CJ121)/2,IF(LEFT(Cockpit!$I$5,1)="B",(CL121+AW121)/2,MAX((CL121+AW121)/2,H121))))</f>
        <v>59</v>
      </c>
      <c r="AV121" s="62" t="n">
        <f aca="false">AU121*G121</f>
        <v>3492.21</v>
      </c>
      <c r="AW121" s="62" t="n">
        <f aca="false">ROUNDUP(CL121+MAX(CM121,2*(J121/IF(CH121&gt;0,CH121,MAX(0.1,N(Cockpit!$I$6)))-CL121)),0)</f>
        <v>55</v>
      </c>
      <c r="AX121" s="63" t="n">
        <f aca="false">IF(AT121&gt;0,J121/AT121,-1)</f>
        <v>1.25224489795918</v>
      </c>
      <c r="AY121" s="63" t="n">
        <f aca="false">IF(AND(OR(CG121="L1",CG121="L23",CG121="LIFT"),AT121&gt;0),SUMIFS($AT$7:$AT$1843,$CG$7:$CG$1843,CG121,$AX$7:$AX$1843,"&gt;"&amp;AX121)+SUMIFS($AT$7:$AT$1843,$CG$7:$CG$1843,CG121,$AX$7:$AX$1843,AX121,$BX$7:$BX$1843,"&lt;="&amp;BX121),"")</f>
        <v>8094.88278388278</v>
      </c>
      <c r="AZ121" s="70" t="n">
        <f aca="false">IF(AY121="",0,MAX(0,MIN(1,(IF(CG121="L1",Parameter!$H$5,IF(CG121="L23",Parameter!$H$6+Parameter!$H$7,Parameter!$H$5+Parameter!$H$6+Parameter!$H$7))-(AY121-AT121))/AT121)))</f>
        <v>1</v>
      </c>
      <c r="BA121" s="62" t="n">
        <f aca="false">IF(LEFT(Cockpit!$O$5,1)="A",H121,IF(Parameter!$E$30="MAX-Bestand",IF(CI121=1,CJ121,IF(LEFT(Cockpit!$O$5,1)="B",BG121,MAX(BG121,H121))),ROUNDUP(BE121,0)))</f>
        <v>30</v>
      </c>
      <c r="BB121" s="62" t="n">
        <f aca="false">IF(CA121=1,0,ROUNDUP(BA121/BZ121,0))</f>
        <v>3</v>
      </c>
      <c r="BC121" s="64" t="n">
        <f aca="false">IF(CR121&gt;0,CR121*MAX(1,BA121/X121),IF(CA121=1,IF(BA121&lt;=0,0,CE121*MAX(1,IF(H121&gt;0,BA121/H121,1))),IF(R121&gt;0,BB121/R121,0))/MAX(0.1,N(Parameter!$M$21)))</f>
        <v>0.115384615384615</v>
      </c>
      <c r="BD121" s="62" t="n">
        <f aca="false">BC121*CC121</f>
        <v>28.2692307692308</v>
      </c>
      <c r="BE121" s="63" t="n">
        <f aca="false">IF(LEFT(Cockpit!$O$5,1)="A",H121,IF(CI121=1,(CL121+CJ121)/2,IF(LEFT(Cockpit!$O$5,1)="B",(CL121+BG121)/2,MAX((CL121+BG121)/2,H121))))</f>
        <v>30</v>
      </c>
      <c r="BF121" s="62" t="n">
        <f aca="false">BE121*G121</f>
        <v>1775.7</v>
      </c>
      <c r="BG121" s="62" t="n">
        <f aca="false">ROUNDUP(CL121+MAX(CM121,2*(J121/IF(CH121&gt;0,CH121,MAX(0.1,N(Cockpit!$O$6)))-CL121)),0)</f>
        <v>55</v>
      </c>
      <c r="BH121" s="63" t="n">
        <f aca="false">IF(BD121&gt;0,J121/BD121,-1)</f>
        <v>2.08707482993197</v>
      </c>
      <c r="BI121" s="63" t="n">
        <f aca="false">IF(AND(OR(CG121="L1",CG121="L23",CG121="LIFT"),BD121&gt;0),SUMIFS($BD$7:$BD$1843,$CG$7:$CG$1843,CG121,$BH$7:$BH$1843,"&gt;"&amp;BH121)+SUMIFS($BD$7:$BD$1843,$CG$7:$CG$1843,CG121,$BH$7:$BH$1843,BH121,$BX$7:$BX$1843,"&lt;="&amp;BX121),"")</f>
        <v>5764.40384615385</v>
      </c>
      <c r="BJ121" s="70" t="n">
        <f aca="false">IF(BI121="",0,MAX(0,MIN(1,(IF(CG121="L1",Parameter!$H$5,IF(CG121="L23",Parameter!$H$6+Parameter!$H$7,Parameter!$H$5+Parameter!$H$6+Parameter!$H$7))-(BI121-BD121))/BD121)))</f>
        <v>1</v>
      </c>
      <c r="BK121" s="60" t="str">
        <f aca="false">IF(AJ121&lt;=0,"",IF(CG121="Aussen","Aussenlager",IF(CG121="-","Nicht im Lift",IF(AP121&gt;=1,"Lift",IF(AP121&lt;=0,"Aussenlager","teilweise")))))</f>
        <v>Lift</v>
      </c>
      <c r="BL121" s="60" t="str">
        <f aca="false">IF(AT121&lt;=0,"",IF(CG121="Aussen","Aussenlager",IF(CG121="-","Nicht im Lift",IF(AZ121&gt;=1,"Lift",IF(AZ121&lt;=0,"Aussenlager","teilweise")))))</f>
        <v>Lift</v>
      </c>
      <c r="BM121" s="60" t="str">
        <f aca="false">IF(BD121&lt;=0,"",IF(CG121="Aussen","Aussenlager",IF(CG121="-","Nicht im Lift",IF(BJ121&gt;=1,"Lift",IF(BJ121&lt;=0,"Aussenlager","teilweise")))))</f>
        <v>Lift</v>
      </c>
      <c r="BN121" s="60" t="str">
        <f aca="false">IF(A121="","",IF(BW121=1,"Neu; ","")&amp;IF(AND(BW121=0,BR121&lt;0),"negativer Bestand (Export "&amp;BR121&amp;"); ","")&amp;IF(J121&lt;=0,"Kein Verbrauch; ","")&amp;IF(CR121&gt;0,"Lift "&amp;W121&amp;" lt. Liftbericht (Fach "&amp;X121&amp;" Stk); ",IF(CB121=1,"Gebinde geschätzt ("&amp;T121&amp;"); ",IF(CA121=1,"Lose – Tablare geschätzt; ","")))&amp;IF(H121&gt;AW121,"Überbestand "&amp;ROUND(H121-AW121,0)&amp;" Stk / CHF "&amp;ROUND((H121-AW121)*G121,0)&amp;"; ","")&amp;IF(AND(CI121=1,CJ121&lt;CK121),"MAX &lt; MB+LG; ","")&amp;IF(AND(CQ121&gt;0,CP121*10&gt;CQ121),"zu hoch für Tablar; ","")&amp;IF(AND(BW121=0,OR(CI121=1,AB121&lt;&gt;"",U121&lt;&gt;"",V121&lt;&gt;"",AC121&lt;&gt;"")),"manuell übersteuert; ","")&amp;IF(AND(CA121=0,R121=0),"Gebinde unbekannt / Stellmass fehlt; ","")&amp;IF(AND(CA121=0,N(V121)&lt;=0,N(Q121)&lt;=0),"Menge pro Gebinde fehlt (Ist = 1 Gebinde); ","")&amp;BV121)</f>
        <v>Überbestand 4 Stk / CHF 237; </v>
      </c>
      <c r="BO121" s="60"/>
      <c r="BP121" s="60"/>
      <c r="BQ121" s="67"/>
      <c r="BR121" s="62" t="n">
        <v>31</v>
      </c>
      <c r="BS121" s="62" t="n">
        <v>28</v>
      </c>
      <c r="BT121" s="61" t="n">
        <v>1839.24</v>
      </c>
      <c r="BU121" s="62" t="n">
        <v>59</v>
      </c>
      <c r="BV121" s="60"/>
      <c r="BW121" s="65" t="n">
        <v>0</v>
      </c>
      <c r="BX121" s="65" t="n">
        <v>121</v>
      </c>
      <c r="BY121" s="60" t="str">
        <f aca="false">IF(U121&lt;&gt;"",UPPER(TRIM(U121)),IF(CB121=1,UPPER(VLOOKUP(T121,Parameter!$I$27:$K$29,2,0)),IF(P121="","LOSE",P121)))</f>
        <v>S52</v>
      </c>
      <c r="BZ121" s="62" t="n">
        <f aca="false">IF(BY121="LOSE",1,IF(N(V121)&gt;0,V121,IF(CB121=1,MAX(1,N(VLOOKUP(T121,Parameter!$I$27:$K$29,3,0)),H121,N(N121)),IF(N(Q121)&gt;0,Q121,MAX(1,H121)))))</f>
        <v>12</v>
      </c>
      <c r="CA121" s="65" t="n">
        <f aca="false">IF(BY121="LOSE",1,0)</f>
        <v>0</v>
      </c>
      <c r="CB121" s="65" t="n">
        <f aca="false">IF(AND(U121="",OR(P121="",P121="LOSE"),T121&lt;&gt;"",N(S121)&lt;=0,ISNUMBER(MATCH(T121,Parameter!$I$27:$I$29,0))),1,0)</f>
        <v>0</v>
      </c>
      <c r="CC121" s="65" t="n">
        <f aca="false">IF(CR121&gt;0,INDEX(Parameter!$H$5:$H$7,W121)/INDEX(Parameter!$E$5:$E$7,W121),IF(AND(CA121=0,N(IFERROR(VLOOKUP(BY121,'Gebinde-Kategorie'!$A$5:$N$45,14,0),0))&gt;0),VLOOKUP(BY121,'Gebinde-Kategorie'!$A$5:$N$45,14,0)*10+Parameter!$M$23,Parameter!$M$24))</f>
        <v>245</v>
      </c>
      <c r="CD121" s="60" t="str">
        <f aca="false">IF(AND(Parameter!$B$19="Ja",E121&lt;&gt;"",ISNUMBER(MATCH(E121,Parameter!$I$35:$I$52,0))),VLOOKUP(E121,Parameter!$I$35:$J$52,2,0),IFERROR(VLOOKUP(D121,Parameter!$A$35:$C$64,2,0),"Nein"))</f>
        <v>2+3</v>
      </c>
      <c r="CE121" s="64" t="n">
        <f aca="false">IF(CA121=0,0,IF(N(S121)&gt;0,S121,IFERROR(VLOOKUP(D121,Parameter!$A$35:$C$64,3,0)+0,0)))</f>
        <v>0</v>
      </c>
      <c r="CF121" s="60" t="n">
        <f aca="false">IF(AB121&lt;&gt;"",AB121,AA121)</f>
        <v>3</v>
      </c>
      <c r="CG121" s="60" t="str">
        <f aca="false">IF(OR(CF121=1,CF121=2,CF121=3),IF(Parameter!$E$27="Ja","LIFT",IF(CF121=1,"L1","L23")),IF(CF121="Aussen","Aussen","-"))</f>
        <v>LIFT</v>
      </c>
      <c r="CH121" s="71" t="n">
        <f aca="false">IF(N(AC121)&gt;0,AC121,0)</f>
        <v>0</v>
      </c>
      <c r="CI121" s="65" t="n">
        <f aca="false">IF(ISNUMBER(AF121),1,0)</f>
        <v>0</v>
      </c>
      <c r="CJ121" s="62" t="n">
        <f aca="false">N(AF121)</f>
        <v>0</v>
      </c>
      <c r="CK121" s="62" t="n">
        <f aca="false">N(M121)+N(N121)</f>
        <v>55</v>
      </c>
      <c r="CL121" s="62" t="n">
        <f aca="false">N(M121)</f>
        <v>5</v>
      </c>
      <c r="CM121" s="62" t="n">
        <f aca="false">N(N121)</f>
        <v>50</v>
      </c>
      <c r="CN121" s="62" t="n">
        <f aca="false">ROUNDUP(H121/BZ121,0)</f>
        <v>5</v>
      </c>
      <c r="CO121" s="62" t="n">
        <f aca="false">ROUNDUP(CJ121/BZ121,0)</f>
        <v>0</v>
      </c>
      <c r="CP121" s="65" t="n">
        <f aca="false">IF(CA121=1,0,IFERROR(VLOOKUP(BY121,'Gebinde-Kategorie'!$A$5:$N$45,5,0)+0,0))</f>
        <v>21</v>
      </c>
      <c r="CQ121" s="65" t="n">
        <f aca="false">IFERROR(IF(OR(CF121=1,CF121=2,CF121=3),N(INDEX(Parameter!$I$5:$I$7,CF121)),0),0)</f>
        <v>0</v>
      </c>
      <c r="CR121" s="64" t="n">
        <f aca="false">IF(AND(Parameter!$B$21="Ja",ISNUMBER(W121),N(X121)&gt;0),IFERROR(N(INDEX(Parameter!$L$5:$L$7,W121))*INDEX(Parameter!$E$5:$E$7,W121)*X121/SUMIFS($X$7:$X$1843,$W$7:$W$1843,W121),0),0)</f>
        <v>0</v>
      </c>
      <c r="CS121" s="62" t="n">
        <f aca="false">IF(AND(OR(CG121="L1",CG121="L23",CG121="LIFT"),H121&gt;0),CC121*IF(CR121&gt;0,CR121*MAX(1,H121/X121),IF(CA121=1,CE121,IF(R121&gt;0,CN121/R121,0))/MAX(0.1,N(Parameter!$M$21))),"")</f>
        <v>47.1153846153846</v>
      </c>
      <c r="CT121" s="64" t="n">
        <f aca="false">IF(CS121="","",J121/H121)</f>
        <v>1</v>
      </c>
      <c r="CU121" s="62" t="n">
        <f aca="false">IF(CS121="","",H121*G121)</f>
        <v>3492.21</v>
      </c>
      <c r="CV121" s="63" t="n">
        <f aca="false">IF(CS121="","",(CL121+ROUNDUP(CL121+MAX(CM121,2*(J121/MAX(0.1,N(Einkauf!$C$6))-CL121)),0))/2)</f>
        <v>30</v>
      </c>
      <c r="CW121" s="62" t="n">
        <f aca="false">IF(CS121="","",MAX(0,H121-CV121)*G121)</f>
        <v>1716.51</v>
      </c>
      <c r="CX121" s="62" t="n">
        <f aca="false">IF(CS121="","",CS121*MAX(0,1-CV121/H121))</f>
        <v>23.158409387223</v>
      </c>
      <c r="CY121" s="64" t="n">
        <f aca="false">IF(CS121="","",PERCENTRANK($CS$7:$CS$1843,CS121)+PERCENTRANK($CU$7:$CU$1843,CU121)+1-PERCENTRANK($CT$7:$CT$1843,CT121))</f>
        <v>2.129</v>
      </c>
      <c r="CZ121" s="72" t="n">
        <f aca="false">IF(CS121="","",CHOOSE(MATCH(Einkauf!$C$5,Parameter!$G$23:$G$27,0),CY121,CS121,CU121,-CT121,CW121)+ROW()/1000000000)</f>
        <v>2.129000121</v>
      </c>
    </row>
    <row r="122" customFormat="false" ht="15" hidden="false" customHeight="false" outlineLevel="0" collapsed="false">
      <c r="A122" s="60" t="s">
        <v>495</v>
      </c>
      <c r="B122" s="60" t="s">
        <v>487</v>
      </c>
      <c r="C122" s="60" t="s">
        <v>206</v>
      </c>
      <c r="D122" s="60" t="s">
        <v>215</v>
      </c>
      <c r="E122" s="60" t="s">
        <v>215</v>
      </c>
      <c r="F122" s="60" t="s">
        <v>260</v>
      </c>
      <c r="G122" s="61" t="n">
        <v>255.71</v>
      </c>
      <c r="H122" s="62" t="n">
        <f aca="false">MAX(0,IF(AND(Parameter!$B$21="Ja",ISNUMBER(Y122)),Y122,IF(Parameter!$B$20="Jahresanfang 2025 + Export",BS122+BR122,BR122)))</f>
        <v>17</v>
      </c>
      <c r="I122" s="62" t="n">
        <f aca="false">H122*G122</f>
        <v>4347.07</v>
      </c>
      <c r="J122" s="62" t="n">
        <f aca="false">BU122*Parameter!$B$18</f>
        <v>50</v>
      </c>
      <c r="K122" s="63" t="n">
        <v>19</v>
      </c>
      <c r="L122" s="64" t="n">
        <v>2.63157894736842</v>
      </c>
      <c r="M122" s="62" t="n">
        <v>10</v>
      </c>
      <c r="N122" s="62" t="n">
        <v>20</v>
      </c>
      <c r="O122" s="65" t="n">
        <v>40</v>
      </c>
      <c r="P122" s="60" t="s">
        <v>390</v>
      </c>
      <c r="Q122" s="62" t="n">
        <v>35</v>
      </c>
      <c r="R122" s="65" t="n">
        <f aca="false">IF(CA122=1,0,IFERROR(VLOOKUP(BY122,'Gebinde-Kategorie'!$A$5:$N$45,13,0)+0,0))</f>
        <v>4</v>
      </c>
      <c r="S122" s="66"/>
      <c r="T122" s="67"/>
      <c r="U122" s="67"/>
      <c r="V122" s="67"/>
      <c r="W122" s="60"/>
      <c r="X122" s="62"/>
      <c r="Y122" s="62"/>
      <c r="Z122" s="60"/>
      <c r="AA122" s="60" t="str">
        <f aca="false">IF(A122="","",IF(AND(Parameter!$B$21="Ja",ISNUMBER(W122)),W122,IF(AND(Parameter!$E$27="Ja",ISNUMBER(Z122),CD122&lt;&gt;"Nein"),Z122,IF(CD122="2+3",IF(ISNUMBER(SEARCH("grosser Artikel",BV122)),2,IFERROR(VLOOKUP(BY122,Parameter!$F$35:$G$64,2,0),2)),IF(OR(CD122="Nein",CD122=""),"-",CD122)))))</f>
        <v>-</v>
      </c>
      <c r="AB122" s="67"/>
      <c r="AC122" s="68"/>
      <c r="AD122" s="62" t="n">
        <f aca="false">AW122</f>
        <v>30</v>
      </c>
      <c r="AE122" s="62" t="n">
        <f aca="false">MAX(AW122,H122)</f>
        <v>30</v>
      </c>
      <c r="AF122" s="69"/>
      <c r="AG122" s="62" t="n">
        <f aca="false">IF(LEFT(Cockpit!$C$5,1)="A",H122,IF(Parameter!$E$30="MAX-Bestand",IF(CI122=1,CJ122,IF(LEFT(Cockpit!$C$5,1)="B",AM122,MAX(AM122,H122))),ROUNDUP(AK122,0)))</f>
        <v>17</v>
      </c>
      <c r="AH122" s="62" t="n">
        <f aca="false">IF(CA122=1,0,ROUNDUP(AG122/BZ122,0))</f>
        <v>1</v>
      </c>
      <c r="AI122" s="64" t="n">
        <f aca="false">IF(CR122&gt;0,CR122*MAX(1,AG122/X122),IF(CA122=1,IF(AG122&lt;=0,0,CE122*MAX(1,IF(H122&gt;0,AG122/H122,1))),IF(R122&gt;0,AH122/R122,0))/MAX(0.1,N(Parameter!$M$21)))</f>
        <v>0.25</v>
      </c>
      <c r="AJ122" s="62" t="n">
        <f aca="false">AI122*CC122</f>
        <v>108.75</v>
      </c>
      <c r="AK122" s="63" t="n">
        <f aca="false">IF(LEFT(Cockpit!$C$5,1)="A",H122,IF(CI122=1,(CL122+CJ122)/2,IF(LEFT(Cockpit!$C$5,1)="B",(CL122+AM122)/2,MAX((CL122+AM122)/2,H122))))</f>
        <v>17</v>
      </c>
      <c r="AL122" s="62" t="n">
        <f aca="false">AK122*G122</f>
        <v>4347.07</v>
      </c>
      <c r="AM122" s="62" t="n">
        <f aca="false">ROUNDUP(CL122+MAX(CM122,2*(J122/IF(CH122&gt;0,CH122,MAX(0.1,N(Cockpit!$C$6)))-CL122)),0)</f>
        <v>30</v>
      </c>
      <c r="AN122" s="63" t="n">
        <f aca="false">IF(AJ122&gt;0,J122/AJ122,-1)</f>
        <v>0.459770114942529</v>
      </c>
      <c r="AO122" s="63" t="str">
        <f aca="false">IF(AND(OR(CG122="L1",CG122="L23",CG122="LIFT"),AJ122&gt;0),SUMIFS($AJ$7:$AJ$1843,$CG$7:$CG$1843,CG122,$AN$7:$AN$1843,"&gt;"&amp;AN122)+SUMIFS($AJ$7:$AJ$1843,$CG$7:$CG$1843,CG122,$AN$7:$AN$1843,AN122,$BX$7:$BX$1843,"&lt;="&amp;BX122),"")</f>
        <v/>
      </c>
      <c r="AP122" s="70" t="n">
        <f aca="false">IF(AO122="",0,MAX(0,MIN(1,(IF(CG122="L1",Parameter!$H$5,IF(CG122="L23",Parameter!$H$6+Parameter!$H$7,Parameter!$H$5+Parameter!$H$6+Parameter!$H$7))-(AO122-AJ122))/AJ122)))</f>
        <v>0</v>
      </c>
      <c r="AQ122" s="62" t="n">
        <f aca="false">IF(LEFT(Cockpit!$I$5,1)="A",H122,IF(Parameter!$E$30="MAX-Bestand",IF(CI122=1,CJ122,IF(LEFT(Cockpit!$I$5,1)="B",AW122,MAX(AW122,H122))),ROUNDUP(AU122,0)))</f>
        <v>20</v>
      </c>
      <c r="AR122" s="62" t="n">
        <f aca="false">IF(CA122=1,0,ROUNDUP(AQ122/BZ122,0))</f>
        <v>1</v>
      </c>
      <c r="AS122" s="64" t="n">
        <f aca="false">IF(CR122&gt;0,CR122*MAX(1,AQ122/X122),IF(CA122=1,IF(AQ122&lt;=0,0,CE122*MAX(1,IF(H122&gt;0,AQ122/H122,1))),IF(R122&gt;0,AR122/R122,0))/MAX(0.1,N(Parameter!$M$21)))</f>
        <v>0.25</v>
      </c>
      <c r="AT122" s="62" t="n">
        <f aca="false">AS122*CC122</f>
        <v>108.75</v>
      </c>
      <c r="AU122" s="63" t="n">
        <f aca="false">IF(LEFT(Cockpit!$I$5,1)="A",H122,IF(CI122=1,(CL122+CJ122)/2,IF(LEFT(Cockpit!$I$5,1)="B",(CL122+AW122)/2,MAX((CL122+AW122)/2,H122))))</f>
        <v>20</v>
      </c>
      <c r="AV122" s="62" t="n">
        <f aca="false">AU122*G122</f>
        <v>5114.2</v>
      </c>
      <c r="AW122" s="62" t="n">
        <f aca="false">ROUNDUP(CL122+MAX(CM122,2*(J122/IF(CH122&gt;0,CH122,MAX(0.1,N(Cockpit!$I$6)))-CL122)),0)</f>
        <v>30</v>
      </c>
      <c r="AX122" s="63" t="n">
        <f aca="false">IF(AT122&gt;0,J122/AT122,-1)</f>
        <v>0.459770114942529</v>
      </c>
      <c r="AY122" s="63" t="str">
        <f aca="false">IF(AND(OR(CG122="L1",CG122="L23",CG122="LIFT"),AT122&gt;0),SUMIFS($AT$7:$AT$1843,$CG$7:$CG$1843,CG122,$AX$7:$AX$1843,"&gt;"&amp;AX122)+SUMIFS($AT$7:$AT$1843,$CG$7:$CG$1843,CG122,$AX$7:$AX$1843,AX122,$BX$7:$BX$1843,"&lt;="&amp;BX122),"")</f>
        <v/>
      </c>
      <c r="AZ122" s="70" t="n">
        <f aca="false">IF(AY122="",0,MAX(0,MIN(1,(IF(CG122="L1",Parameter!$H$5,IF(CG122="L23",Parameter!$H$6+Parameter!$H$7,Parameter!$H$5+Parameter!$H$6+Parameter!$H$7))-(AY122-AT122))/AT122)))</f>
        <v>0</v>
      </c>
      <c r="BA122" s="62" t="n">
        <f aca="false">IF(LEFT(Cockpit!$O$5,1)="A",H122,IF(Parameter!$E$30="MAX-Bestand",IF(CI122=1,CJ122,IF(LEFT(Cockpit!$O$5,1)="B",BG122,MAX(BG122,H122))),ROUNDUP(BE122,0)))</f>
        <v>20</v>
      </c>
      <c r="BB122" s="62" t="n">
        <f aca="false">IF(CA122=1,0,ROUNDUP(BA122/BZ122,0))</f>
        <v>1</v>
      </c>
      <c r="BC122" s="64" t="n">
        <f aca="false">IF(CR122&gt;0,CR122*MAX(1,BA122/X122),IF(CA122=1,IF(BA122&lt;=0,0,CE122*MAX(1,IF(H122&gt;0,BA122/H122,1))),IF(R122&gt;0,BB122/R122,0))/MAX(0.1,N(Parameter!$M$21)))</f>
        <v>0.25</v>
      </c>
      <c r="BD122" s="62" t="n">
        <f aca="false">BC122*CC122</f>
        <v>108.75</v>
      </c>
      <c r="BE122" s="63" t="n">
        <f aca="false">IF(LEFT(Cockpit!$O$5,1)="A",H122,IF(CI122=1,(CL122+CJ122)/2,IF(LEFT(Cockpit!$O$5,1)="B",(CL122+BG122)/2,MAX((CL122+BG122)/2,H122))))</f>
        <v>20</v>
      </c>
      <c r="BF122" s="62" t="n">
        <f aca="false">BE122*G122</f>
        <v>5114.2</v>
      </c>
      <c r="BG122" s="62" t="n">
        <f aca="false">ROUNDUP(CL122+MAX(CM122,2*(J122/IF(CH122&gt;0,CH122,MAX(0.1,N(Cockpit!$O$6)))-CL122)),0)</f>
        <v>30</v>
      </c>
      <c r="BH122" s="63" t="n">
        <f aca="false">IF(BD122&gt;0,J122/BD122,-1)</f>
        <v>0.459770114942529</v>
      </c>
      <c r="BI122" s="63" t="str">
        <f aca="false">IF(AND(OR(CG122="L1",CG122="L23",CG122="LIFT"),BD122&gt;0),SUMIFS($BD$7:$BD$1843,$CG$7:$CG$1843,CG122,$BH$7:$BH$1843,"&gt;"&amp;BH122)+SUMIFS($BD$7:$BD$1843,$CG$7:$CG$1843,CG122,$BH$7:$BH$1843,BH122,$BX$7:$BX$1843,"&lt;="&amp;BX122),"")</f>
        <v/>
      </c>
      <c r="BJ122" s="70" t="n">
        <f aca="false">IF(BI122="",0,MAX(0,MIN(1,(IF(CG122="L1",Parameter!$H$5,IF(CG122="L23",Parameter!$H$6+Parameter!$H$7,Parameter!$H$5+Parameter!$H$6+Parameter!$H$7))-(BI122-BD122))/BD122)))</f>
        <v>0</v>
      </c>
      <c r="BK122" s="60" t="str">
        <f aca="false">IF(AJ122&lt;=0,"",IF(CG122="Aussen","Aussenlager",IF(CG122="-","Nicht im Lift",IF(AP122&gt;=1,"Lift",IF(AP122&lt;=0,"Aussenlager","teilweise")))))</f>
        <v>Nicht im Lift</v>
      </c>
      <c r="BL122" s="60" t="str">
        <f aca="false">IF(AT122&lt;=0,"",IF(CG122="Aussen","Aussenlager",IF(CG122="-","Nicht im Lift",IF(AZ122&gt;=1,"Lift",IF(AZ122&lt;=0,"Aussenlager","teilweise")))))</f>
        <v>Nicht im Lift</v>
      </c>
      <c r="BM122" s="60" t="str">
        <f aca="false">IF(BD122&lt;=0,"",IF(CG122="Aussen","Aussenlager",IF(CG122="-","Nicht im Lift",IF(BJ122&gt;=1,"Lift",IF(BJ122&lt;=0,"Aussenlager","teilweise")))))</f>
        <v>Nicht im Lift</v>
      </c>
      <c r="BN122" s="60" t="str">
        <f aca="false">IF(A122="","",IF(BW122=1,"Neu; ","")&amp;IF(AND(BW122=0,BR122&lt;0),"negativer Bestand (Export "&amp;BR122&amp;"); ","")&amp;IF(J122&lt;=0,"Kein Verbrauch; ","")&amp;IF(CR122&gt;0,"Lift "&amp;W122&amp;" lt. Liftbericht (Fach "&amp;X122&amp;" Stk); ",IF(CB122=1,"Gebinde geschätzt ("&amp;T122&amp;"); ",IF(CA122=1,"Lose – Tablare geschätzt; ","")))&amp;IF(H122&gt;AW122,"Überbestand "&amp;ROUND(H122-AW122,0)&amp;" Stk / CHF "&amp;ROUND((H122-AW122)*G122,0)&amp;"; ","")&amp;IF(AND(CI122=1,CJ122&lt;CK122),"MAX &lt; MB+LG; ","")&amp;IF(AND(CQ122&gt;0,CP122*10&gt;CQ122),"zu hoch für Tablar; ","")&amp;IF(AND(BW122=0,OR(CI122=1,AB122&lt;&gt;"",U122&lt;&gt;"",V122&lt;&gt;"",AC122&lt;&gt;"")),"manuell übersteuert; ","")&amp;IF(AND(CA122=0,R122=0),"Gebinde unbekannt / Stellmass fehlt; ","")&amp;IF(AND(CA122=0,N(V122)&lt;=0,N(Q122)&lt;=0),"Menge pro Gebinde fehlt (Ist = 1 Gebinde); ","")&amp;BV122)</f>
        <v>Überbestand</v>
      </c>
      <c r="BO122" s="60"/>
      <c r="BP122" s="60"/>
      <c r="BQ122" s="67"/>
      <c r="BR122" s="62" t="n">
        <v>7</v>
      </c>
      <c r="BS122" s="62" t="n">
        <v>10</v>
      </c>
      <c r="BT122" s="61" t="n">
        <v>1826.97</v>
      </c>
      <c r="BU122" s="62" t="n">
        <v>50</v>
      </c>
      <c r="BV122" s="60" t="s">
        <v>434</v>
      </c>
      <c r="BW122" s="65" t="n">
        <v>0</v>
      </c>
      <c r="BX122" s="65" t="n">
        <v>122</v>
      </c>
      <c r="BY122" s="60" t="str">
        <f aca="false">IF(U122&lt;&gt;"",UPPER(TRIM(U122)),IF(CB122=1,UPPER(VLOOKUP(T122,Parameter!$I$27:$K$29,2,0)),IF(P122="","LOSE",P122)))</f>
        <v>S82</v>
      </c>
      <c r="BZ122" s="62" t="n">
        <f aca="false">IF(BY122="LOSE",1,IF(N(V122)&gt;0,V122,IF(CB122=1,MAX(1,N(VLOOKUP(T122,Parameter!$I$27:$K$29,3,0)),H122,N(N122)),IF(N(Q122)&gt;0,Q122,MAX(1,H122)))))</f>
        <v>35</v>
      </c>
      <c r="CA122" s="65" t="n">
        <f aca="false">IF(BY122="LOSE",1,0)</f>
        <v>0</v>
      </c>
      <c r="CB122" s="65" t="n">
        <f aca="false">IF(AND(U122="",OR(P122="",P122="LOSE"),T122&lt;&gt;"",N(S122)&lt;=0,ISNUMBER(MATCH(T122,Parameter!$I$27:$I$29,0))),1,0)</f>
        <v>0</v>
      </c>
      <c r="CC122" s="65" t="n">
        <f aca="false">IF(CR122&gt;0,INDEX(Parameter!$H$5:$H$7,W122)/INDEX(Parameter!$E$5:$E$7,W122),IF(AND(CA122=0,N(IFERROR(VLOOKUP(BY122,'Gebinde-Kategorie'!$A$5:$N$45,14,0),0))&gt;0),VLOOKUP(BY122,'Gebinde-Kategorie'!$A$5:$N$45,14,0)*10+Parameter!$M$23,Parameter!$M$24))</f>
        <v>435</v>
      </c>
      <c r="CD122" s="60" t="str">
        <f aca="false">IF(AND(Parameter!$B$19="Ja",E122&lt;&gt;"",ISNUMBER(MATCH(E122,Parameter!$I$35:$I$52,0))),VLOOKUP(E122,Parameter!$I$35:$J$52,2,0),IFERROR(VLOOKUP(D122,Parameter!$A$35:$C$64,2,0),"Nein"))</f>
        <v>Nein</v>
      </c>
      <c r="CE122" s="64" t="n">
        <f aca="false">IF(CA122=0,0,IF(N(S122)&gt;0,S122,IFERROR(VLOOKUP(D122,Parameter!$A$35:$C$64,3,0)+0,0)))</f>
        <v>0</v>
      </c>
      <c r="CF122" s="60" t="str">
        <f aca="false">IF(AB122&lt;&gt;"",AB122,AA122)</f>
        <v>-</v>
      </c>
      <c r="CG122" s="60" t="str">
        <f aca="false">IF(OR(CF122=1,CF122=2,CF122=3),IF(Parameter!$E$27="Ja","LIFT",IF(CF122=1,"L1","L23")),IF(CF122="Aussen","Aussen","-"))</f>
        <v>-</v>
      </c>
      <c r="CH122" s="71" t="n">
        <f aca="false">IF(N(AC122)&gt;0,AC122,0)</f>
        <v>0</v>
      </c>
      <c r="CI122" s="65" t="n">
        <f aca="false">IF(ISNUMBER(AF122),1,0)</f>
        <v>0</v>
      </c>
      <c r="CJ122" s="62" t="n">
        <f aca="false">N(AF122)</f>
        <v>0</v>
      </c>
      <c r="CK122" s="62" t="n">
        <f aca="false">N(M122)+N(N122)</f>
        <v>30</v>
      </c>
      <c r="CL122" s="62" t="n">
        <f aca="false">N(M122)</f>
        <v>10</v>
      </c>
      <c r="CM122" s="62" t="n">
        <f aca="false">N(N122)</f>
        <v>20</v>
      </c>
      <c r="CN122" s="62" t="n">
        <f aca="false">ROUNDUP(H122/BZ122,0)</f>
        <v>1</v>
      </c>
      <c r="CO122" s="62" t="n">
        <f aca="false">ROUNDUP(CJ122/BZ122,0)</f>
        <v>0</v>
      </c>
      <c r="CP122" s="65" t="n">
        <f aca="false">IF(CA122=1,0,IFERROR(VLOOKUP(BY122,'Gebinde-Kategorie'!$A$5:$N$45,5,0)+0,0))</f>
        <v>40</v>
      </c>
      <c r="CQ122" s="65" t="n">
        <f aca="false">IFERROR(IF(OR(CF122=1,CF122=2,CF122=3),N(INDEX(Parameter!$I$5:$I$7,CF122)),0),0)</f>
        <v>0</v>
      </c>
      <c r="CR122" s="64" t="n">
        <f aca="false">IF(AND(Parameter!$B$21="Ja",ISNUMBER(W122),N(X122)&gt;0),IFERROR(N(INDEX(Parameter!$L$5:$L$7,W122))*INDEX(Parameter!$E$5:$E$7,W122)*X122/SUMIFS($X$7:$X$1843,$W$7:$W$1843,W122),0),0)</f>
        <v>0</v>
      </c>
      <c r="CS122" s="62" t="str">
        <f aca="false">IF(AND(OR(CG122="L1",CG122="L23",CG122="LIFT"),H122&gt;0),CC122*IF(CR122&gt;0,CR122*MAX(1,H122/X122),IF(CA122=1,CE122,IF(R122&gt;0,CN122/R122,0))/MAX(0.1,N(Parameter!$M$21))),"")</f>
        <v/>
      </c>
      <c r="CT122" s="64" t="str">
        <f aca="false">IF(CS122="","",J122/H122)</f>
        <v/>
      </c>
      <c r="CU122" s="62" t="str">
        <f aca="false">IF(CS122="","",H122*G122)</f>
        <v/>
      </c>
      <c r="CV122" s="63" t="str">
        <f aca="false">IF(CS122="","",(CL122+ROUNDUP(CL122+MAX(CM122,2*(J122/MAX(0.1,N(Einkauf!$C$6))-CL122)),0))/2)</f>
        <v/>
      </c>
      <c r="CW122" s="62" t="str">
        <f aca="false">IF(CS122="","",MAX(0,H122-CV122)*G122)</f>
        <v/>
      </c>
      <c r="CX122" s="62" t="str">
        <f aca="false">IF(CS122="","",CS122*MAX(0,1-CV122/H122))</f>
        <v/>
      </c>
      <c r="CY122" s="64" t="str">
        <f aca="false">IF(CS122="","",PERCENTRANK($CS$7:$CS$1843,CS122)+PERCENTRANK($CU$7:$CU$1843,CU122)+1-PERCENTRANK($CT$7:$CT$1843,CT122))</f>
        <v/>
      </c>
      <c r="CZ122" s="72" t="str">
        <f aca="false">IF(CS122="","",CHOOSE(MATCH(Einkauf!$C$5,Parameter!$G$23:$G$27,0),CY122,CS122,CU122,-CT122,CW122)+ROW()/1000000000)</f>
        <v/>
      </c>
    </row>
    <row r="123" customFormat="false" ht="15" hidden="false" customHeight="false" outlineLevel="0" collapsed="false">
      <c r="A123" s="60" t="s">
        <v>496</v>
      </c>
      <c r="B123" s="60" t="s">
        <v>497</v>
      </c>
      <c r="C123" s="60" t="s">
        <v>498</v>
      </c>
      <c r="D123" s="60" t="s">
        <v>215</v>
      </c>
      <c r="E123" s="60"/>
      <c r="F123" s="60" t="s">
        <v>260</v>
      </c>
      <c r="G123" s="61" t="n">
        <v>606.9</v>
      </c>
      <c r="H123" s="62" t="n">
        <f aca="false">MAX(0,IF(AND(Parameter!$B$21="Ja",ISNUMBER(Y123)),Y123,IF(Parameter!$B$20="Jahresanfang 2025 + Export",BS123+BR123,BR123)))</f>
        <v>3</v>
      </c>
      <c r="I123" s="62" t="n">
        <f aca="false">H123*G123</f>
        <v>1820.7</v>
      </c>
      <c r="J123" s="62" t="n">
        <f aca="false">BU123*Parameter!$B$18</f>
        <v>6</v>
      </c>
      <c r="K123" s="63" t="n">
        <v>1.5</v>
      </c>
      <c r="L123" s="64" t="n">
        <v>4</v>
      </c>
      <c r="M123" s="62" t="n">
        <v>0</v>
      </c>
      <c r="N123" s="62" t="n">
        <v>1</v>
      </c>
      <c r="O123" s="65" t="n">
        <v>14</v>
      </c>
      <c r="P123" s="60" t="s">
        <v>210</v>
      </c>
      <c r="Q123" s="62"/>
      <c r="R123" s="65" t="n">
        <f aca="false">IF(CA123=1,0,IFERROR(VLOOKUP(BY123,'Gebinde-Kategorie'!$A$5:$N$45,13,0)+0,0))</f>
        <v>4</v>
      </c>
      <c r="S123" s="66"/>
      <c r="T123" s="67" t="s">
        <v>231</v>
      </c>
      <c r="U123" s="67"/>
      <c r="V123" s="67"/>
      <c r="W123" s="60"/>
      <c r="X123" s="62"/>
      <c r="Y123" s="62"/>
      <c r="Z123" s="60" t="n">
        <v>2</v>
      </c>
      <c r="AA123" s="60" t="n">
        <f aca="false">IF(A123="","",IF(AND(Parameter!$B$21="Ja",ISNUMBER(W123)),W123,IF(AND(Parameter!$E$27="Ja",ISNUMBER(Z123),CD123&lt;&gt;"Nein"),Z123,IF(CD123="2+3",IF(ISNUMBER(SEARCH("grosser Artikel",BV123)),2,IFERROR(VLOOKUP(BY123,Parameter!$F$35:$G$64,2,0),2)),IF(OR(CD123="Nein",CD123=""),"-",CD123)))))</f>
        <v>2</v>
      </c>
      <c r="AB123" s="67"/>
      <c r="AC123" s="68"/>
      <c r="AD123" s="62" t="n">
        <f aca="false">AW123</f>
        <v>4</v>
      </c>
      <c r="AE123" s="62" t="n">
        <f aca="false">MAX(AW123,H123)</f>
        <v>4</v>
      </c>
      <c r="AF123" s="69"/>
      <c r="AG123" s="62" t="n">
        <f aca="false">IF(LEFT(Cockpit!$C$5,1)="A",H123,IF(Parameter!$E$30="MAX-Bestand",IF(CI123=1,CJ123,IF(LEFT(Cockpit!$C$5,1)="B",AM123,MAX(AM123,H123))),ROUNDUP(AK123,0)))</f>
        <v>3</v>
      </c>
      <c r="AH123" s="62" t="n">
        <f aca="false">IF(CA123=1,0,ROUNDUP(AG123/BZ123,0))</f>
        <v>1</v>
      </c>
      <c r="AI123" s="64" t="n">
        <f aca="false">IF(CR123&gt;0,CR123*MAX(1,AG123/X123),IF(CA123=1,IF(AG123&lt;=0,0,CE123*MAX(1,IF(H123&gt;0,AG123/H123,1))),IF(R123&gt;0,AH123/R123,0))/MAX(0.1,N(Parameter!$M$21)))</f>
        <v>0.25</v>
      </c>
      <c r="AJ123" s="62" t="n">
        <f aca="false">AI123*CC123</f>
        <v>58.75</v>
      </c>
      <c r="AK123" s="63" t="n">
        <f aca="false">IF(LEFT(Cockpit!$C$5,1)="A",H123,IF(CI123=1,(CL123+CJ123)/2,IF(LEFT(Cockpit!$C$5,1)="B",(CL123+AM123)/2,MAX((CL123+AM123)/2,H123))))</f>
        <v>3</v>
      </c>
      <c r="AL123" s="62" t="n">
        <f aca="false">AK123*G123</f>
        <v>1820.7</v>
      </c>
      <c r="AM123" s="62" t="n">
        <f aca="false">ROUNDUP(CL123+MAX(CM123,2*(J123/IF(CH123&gt;0,CH123,MAX(0.1,N(Cockpit!$C$6)))-CL123)),0)</f>
        <v>4</v>
      </c>
      <c r="AN123" s="63" t="n">
        <f aca="false">IF(AJ123&gt;0,J123/AJ123,-1)</f>
        <v>0.102127659574468</v>
      </c>
      <c r="AO123" s="63" t="n">
        <f aca="false">IF(AND(OR(CG123="L1",CG123="L23",CG123="LIFT"),AJ123&gt;0),SUMIFS($AJ$7:$AJ$1843,$CG$7:$CG$1843,CG123,$AN$7:$AN$1843,"&gt;"&amp;AN123)+SUMIFS($AJ$7:$AJ$1843,$CG$7:$CG$1843,CG123,$AN$7:$AN$1843,AN123,$BX$7:$BX$1843,"&lt;="&amp;BX123),"")</f>
        <v>15795.1844306823</v>
      </c>
      <c r="AP123" s="70" t="n">
        <f aca="false">IF(AO123="",0,MAX(0,MIN(1,(IF(CG123="L1",Parameter!$H$5,IF(CG123="L23",Parameter!$H$6+Parameter!$H$7,Parameter!$H$5+Parameter!$H$6+Parameter!$H$7))-(AO123-AJ123))/AJ123)))</f>
        <v>1</v>
      </c>
      <c r="AQ123" s="62" t="n">
        <f aca="false">IF(LEFT(Cockpit!$I$5,1)="A",H123,IF(Parameter!$E$30="MAX-Bestand",IF(CI123=1,CJ123,IF(LEFT(Cockpit!$I$5,1)="B",AW123,MAX(AW123,H123))),ROUNDUP(AU123,0)))</f>
        <v>3</v>
      </c>
      <c r="AR123" s="62" t="n">
        <f aca="false">IF(CA123=1,0,ROUNDUP(AQ123/BZ123,0))</f>
        <v>1</v>
      </c>
      <c r="AS123" s="64" t="n">
        <f aca="false">IF(CR123&gt;0,CR123*MAX(1,AQ123/X123),IF(CA123=1,IF(AQ123&lt;=0,0,CE123*MAX(1,IF(H123&gt;0,AQ123/H123,1))),IF(R123&gt;0,AR123/R123,0))/MAX(0.1,N(Parameter!$M$21)))</f>
        <v>0.25</v>
      </c>
      <c r="AT123" s="62" t="n">
        <f aca="false">AS123*CC123</f>
        <v>58.75</v>
      </c>
      <c r="AU123" s="63" t="n">
        <f aca="false">IF(LEFT(Cockpit!$I$5,1)="A",H123,IF(CI123=1,(CL123+CJ123)/2,IF(LEFT(Cockpit!$I$5,1)="B",(CL123+AW123)/2,MAX((CL123+AW123)/2,H123))))</f>
        <v>3</v>
      </c>
      <c r="AV123" s="62" t="n">
        <f aca="false">AU123*G123</f>
        <v>1820.7</v>
      </c>
      <c r="AW123" s="62" t="n">
        <f aca="false">ROUNDUP(CL123+MAX(CM123,2*(J123/IF(CH123&gt;0,CH123,MAX(0.1,N(Cockpit!$I$6)))-CL123)),0)</f>
        <v>4</v>
      </c>
      <c r="AX123" s="63" t="n">
        <f aca="false">IF(AT123&gt;0,J123/AT123,-1)</f>
        <v>0.102127659574468</v>
      </c>
      <c r="AY123" s="63" t="n">
        <f aca="false">IF(AND(OR(CG123="L1",CG123="L23",CG123="LIFT"),AT123&gt;0),SUMIFS($AT$7:$AT$1843,$CG$7:$CG$1843,CG123,$AX$7:$AX$1843,"&gt;"&amp;AX123)+SUMIFS($AT$7:$AT$1843,$CG$7:$CG$1843,CG123,$AX$7:$AX$1843,AX123,$BX$7:$BX$1843,"&lt;="&amp;BX123),"")</f>
        <v>19819.5830720598</v>
      </c>
      <c r="AZ123" s="70" t="n">
        <f aca="false">IF(AY123="",0,MAX(0,MIN(1,(IF(CG123="L1",Parameter!$H$5,IF(CG123="L23",Parameter!$H$6+Parameter!$H$7,Parameter!$H$5+Parameter!$H$6+Parameter!$H$7))-(AY123-AT123))/AT123)))</f>
        <v>1</v>
      </c>
      <c r="BA123" s="62" t="n">
        <f aca="false">IF(LEFT(Cockpit!$O$5,1)="A",H123,IF(Parameter!$E$30="MAX-Bestand",IF(CI123=1,CJ123,IF(LEFT(Cockpit!$O$5,1)="B",BG123,MAX(BG123,H123))),ROUNDUP(BE123,0)))</f>
        <v>2</v>
      </c>
      <c r="BB123" s="62" t="n">
        <f aca="false">IF(CA123=1,0,ROUNDUP(BA123/BZ123,0))</f>
        <v>1</v>
      </c>
      <c r="BC123" s="64" t="n">
        <f aca="false">IF(CR123&gt;0,CR123*MAX(1,BA123/X123),IF(CA123=1,IF(BA123&lt;=0,0,CE123*MAX(1,IF(H123&gt;0,BA123/H123,1))),IF(R123&gt;0,BB123/R123,0))/MAX(0.1,N(Parameter!$M$21)))</f>
        <v>0.25</v>
      </c>
      <c r="BD123" s="62" t="n">
        <f aca="false">BC123*CC123</f>
        <v>58.75</v>
      </c>
      <c r="BE123" s="63" t="n">
        <f aca="false">IF(LEFT(Cockpit!$O$5,1)="A",H123,IF(CI123=1,(CL123+CJ123)/2,IF(LEFT(Cockpit!$O$5,1)="B",(CL123+BG123)/2,MAX((CL123+BG123)/2,H123))))</f>
        <v>1.5</v>
      </c>
      <c r="BF123" s="62" t="n">
        <f aca="false">BE123*G123</f>
        <v>910.35</v>
      </c>
      <c r="BG123" s="62" t="n">
        <f aca="false">ROUNDUP(CL123+MAX(CM123,2*(J123/IF(CH123&gt;0,CH123,MAX(0.1,N(Cockpit!$O$6)))-CL123)),0)</f>
        <v>3</v>
      </c>
      <c r="BH123" s="63" t="n">
        <f aca="false">IF(BD123&gt;0,J123/BD123,-1)</f>
        <v>0.102127659574468</v>
      </c>
      <c r="BI123" s="63" t="n">
        <f aca="false">IF(AND(OR(CG123="L1",CG123="L23",CG123="LIFT"),BD123&gt;0),SUMIFS($BD$7:$BD$1843,$CG$7:$CG$1843,CG123,$BH$7:$BH$1843,"&gt;"&amp;BH123)+SUMIFS($BD$7:$BD$1843,$CG$7:$CG$1843,CG123,$BH$7:$BH$1843,BH123,$BX$7:$BX$1843,"&lt;="&amp;BX123),"")</f>
        <v>17449.1456845885</v>
      </c>
      <c r="BJ123" s="70" t="n">
        <f aca="false">IF(BI123="",0,MAX(0,MIN(1,(IF(CG123="L1",Parameter!$H$5,IF(CG123="L23",Parameter!$H$6+Parameter!$H$7,Parameter!$H$5+Parameter!$H$6+Parameter!$H$7))-(BI123-BD123))/BD123)))</f>
        <v>1</v>
      </c>
      <c r="BK123" s="60" t="str">
        <f aca="false">IF(AJ123&lt;=0,"",IF(CG123="Aussen","Aussenlager",IF(CG123="-","Nicht im Lift",IF(AP123&gt;=1,"Lift",IF(AP123&lt;=0,"Aussenlager","teilweise")))))</f>
        <v>Lift</v>
      </c>
      <c r="BL123" s="60" t="str">
        <f aca="false">IF(AT123&lt;=0,"",IF(CG123="Aussen","Aussenlager",IF(CG123="-","Nicht im Lift",IF(AZ123&gt;=1,"Lift",IF(AZ123&lt;=0,"Aussenlager","teilweise")))))</f>
        <v>Lift</v>
      </c>
      <c r="BM123" s="60" t="str">
        <f aca="false">IF(BD123&lt;=0,"",IF(CG123="Aussen","Aussenlager",IF(CG123="-","Nicht im Lift",IF(BJ123&gt;=1,"Lift",IF(BJ123&lt;=0,"Aussenlager","teilweise")))))</f>
        <v>Lift</v>
      </c>
      <c r="BN123" s="60" t="str">
        <f aca="false">IF(A123="","",IF(BW123=1,"Neu; ","")&amp;IF(AND(BW123=0,BR123&lt;0),"negativer Bestand (Export "&amp;BR123&amp;"); ","")&amp;IF(J123&lt;=0,"Kein Verbrauch; ","")&amp;IF(CR123&gt;0,"Lift "&amp;W123&amp;" lt. Liftbericht (Fach "&amp;X123&amp;" Stk); ",IF(CB123=1,"Gebinde geschätzt ("&amp;T123&amp;"); ",IF(CA123=1,"Lose – Tablare geschätzt; ","")))&amp;IF(H123&gt;AW123,"Überbestand "&amp;ROUND(H123-AW123,0)&amp;" Stk / CHF "&amp;ROUND((H123-AW123)*G123,0)&amp;"; ","")&amp;IF(AND(CI123=1,CJ123&lt;CK123),"MAX &lt; MB+LG; ","")&amp;IF(AND(CQ123&gt;0,CP123*10&gt;CQ123),"zu hoch für Tablar; ","")&amp;IF(AND(BW123=0,OR(CI123=1,AB123&lt;&gt;"",U123&lt;&gt;"",V123&lt;&gt;"",AC123&lt;&gt;"")),"manuell übersteuert; ","")&amp;IF(AND(CA123=0,R123=0),"Gebinde unbekannt / Stellmass fehlt; ","")&amp;IF(AND(CA123=0,N(V123)&lt;=0,N(Q123)&lt;=0),"Menge pro Gebinde fehlt (Ist = 1 Gebinde); ","")&amp;BV123)</f>
        <v>Gebinde geschätzt (Gross); Menge pro Gebinde fehlt (Ist = 1 Gebinde); </v>
      </c>
      <c r="BO123" s="60"/>
      <c r="BP123" s="60"/>
      <c r="BQ123" s="67"/>
      <c r="BR123" s="62" t="n">
        <v>3</v>
      </c>
      <c r="BS123" s="62" t="n">
        <v>0</v>
      </c>
      <c r="BT123" s="61" t="n">
        <v>1820.7</v>
      </c>
      <c r="BU123" s="62" t="n">
        <v>6</v>
      </c>
      <c r="BV123" s="60"/>
      <c r="BW123" s="65" t="n">
        <v>0</v>
      </c>
      <c r="BX123" s="65" t="n">
        <v>123</v>
      </c>
      <c r="BY123" s="60" t="str">
        <f aca="false">IF(U123&lt;&gt;"",UPPER(TRIM(U123)),IF(CB123=1,UPPER(VLOOKUP(T123,Parameter!$I$27:$K$29,2,0)),IF(P123="","LOSE",P123)))</f>
        <v>S81</v>
      </c>
      <c r="BZ123" s="62" t="n">
        <f aca="false">IF(BY123="LOSE",1,IF(N(V123)&gt;0,V123,IF(CB123=1,MAX(1,N(VLOOKUP(T123,Parameter!$I$27:$K$29,3,0)),H123,N(N123)),IF(N(Q123)&gt;0,Q123,MAX(1,H123)))))</f>
        <v>3</v>
      </c>
      <c r="CA123" s="65" t="n">
        <f aca="false">IF(BY123="LOSE",1,0)</f>
        <v>0</v>
      </c>
      <c r="CB123" s="65" t="n">
        <f aca="false">IF(AND(U123="",OR(P123="",P123="LOSE"),T123&lt;&gt;"",N(S123)&lt;=0,ISNUMBER(MATCH(T123,Parameter!$I$27:$I$29,0))),1,0)</f>
        <v>1</v>
      </c>
      <c r="CC123" s="65" t="n">
        <f aca="false">IF(CR123&gt;0,INDEX(Parameter!$H$5:$H$7,W123)/INDEX(Parameter!$E$5:$E$7,W123),IF(AND(CA123=0,N(IFERROR(VLOOKUP(BY123,'Gebinde-Kategorie'!$A$5:$N$45,14,0),0))&gt;0),VLOOKUP(BY123,'Gebinde-Kategorie'!$A$5:$N$45,14,0)*10+Parameter!$M$23,Parameter!$M$24))</f>
        <v>235</v>
      </c>
      <c r="CD123" s="60" t="str">
        <f aca="false">IF(AND(Parameter!$B$19="Ja",E123&lt;&gt;"",ISNUMBER(MATCH(E123,Parameter!$I$35:$I$52,0))),VLOOKUP(E123,Parameter!$I$35:$J$52,2,0),IFERROR(VLOOKUP(D123,Parameter!$A$35:$C$64,2,0),"Nein"))</f>
        <v>2+3</v>
      </c>
      <c r="CE123" s="64" t="n">
        <f aca="false">IF(CA123=0,0,IF(N(S123)&gt;0,S123,IFERROR(VLOOKUP(D123,Parameter!$A$35:$C$64,3,0)+0,0)))</f>
        <v>0</v>
      </c>
      <c r="CF123" s="60" t="n">
        <f aca="false">IF(AB123&lt;&gt;"",AB123,AA123)</f>
        <v>2</v>
      </c>
      <c r="CG123" s="60" t="str">
        <f aca="false">IF(OR(CF123=1,CF123=2,CF123=3),IF(Parameter!$E$27="Ja","LIFT",IF(CF123=1,"L1","L23")),IF(CF123="Aussen","Aussen","-"))</f>
        <v>LIFT</v>
      </c>
      <c r="CH123" s="71" t="n">
        <f aca="false">IF(N(AC123)&gt;0,AC123,0)</f>
        <v>0</v>
      </c>
      <c r="CI123" s="65" t="n">
        <f aca="false">IF(ISNUMBER(AF123),1,0)</f>
        <v>0</v>
      </c>
      <c r="CJ123" s="62" t="n">
        <f aca="false">N(AF123)</f>
        <v>0</v>
      </c>
      <c r="CK123" s="62" t="n">
        <f aca="false">N(M123)+N(N123)</f>
        <v>1</v>
      </c>
      <c r="CL123" s="62" t="n">
        <f aca="false">N(M123)</f>
        <v>0</v>
      </c>
      <c r="CM123" s="62" t="n">
        <f aca="false">N(N123)</f>
        <v>1</v>
      </c>
      <c r="CN123" s="62" t="n">
        <f aca="false">ROUNDUP(H123/BZ123,0)</f>
        <v>1</v>
      </c>
      <c r="CO123" s="62" t="n">
        <f aca="false">ROUNDUP(CJ123/BZ123,0)</f>
        <v>0</v>
      </c>
      <c r="CP123" s="65" t="n">
        <f aca="false">IF(CA123=1,0,IFERROR(VLOOKUP(BY123,'Gebinde-Kategorie'!$A$5:$N$45,5,0)+0,0))</f>
        <v>20</v>
      </c>
      <c r="CQ123" s="65" t="n">
        <f aca="false">IFERROR(IF(OR(CF123=1,CF123=2,CF123=3),N(INDEX(Parameter!$I$5:$I$7,CF123)),0),0)</f>
        <v>0</v>
      </c>
      <c r="CR123" s="64" t="n">
        <f aca="false">IF(AND(Parameter!$B$21="Ja",ISNUMBER(W123),N(X123)&gt;0),IFERROR(N(INDEX(Parameter!$L$5:$L$7,W123))*INDEX(Parameter!$E$5:$E$7,W123)*X123/SUMIFS($X$7:$X$1843,$W$7:$W$1843,W123),0),0)</f>
        <v>0</v>
      </c>
      <c r="CS123" s="62" t="n">
        <f aca="false">IF(AND(OR(CG123="L1",CG123="L23",CG123="LIFT"),H123&gt;0),CC123*IF(CR123&gt;0,CR123*MAX(1,H123/X123),IF(CA123=1,CE123,IF(R123&gt;0,CN123/R123,0))/MAX(0.1,N(Parameter!$M$21))),"")</f>
        <v>58.75</v>
      </c>
      <c r="CT123" s="64" t="n">
        <f aca="false">IF(CS123="","",J123/H123)</f>
        <v>2</v>
      </c>
      <c r="CU123" s="62" t="n">
        <f aca="false">IF(CS123="","",H123*G123)</f>
        <v>1820.7</v>
      </c>
      <c r="CV123" s="63" t="n">
        <f aca="false">IF(CS123="","",(CL123+ROUNDUP(CL123+MAX(CM123,2*(J123/MAX(0.1,N(Einkauf!$C$6))-CL123)),0))/2)</f>
        <v>1.5</v>
      </c>
      <c r="CW123" s="62" t="n">
        <f aca="false">IF(CS123="","",MAX(0,H123-CV123)*G123)</f>
        <v>910.35</v>
      </c>
      <c r="CX123" s="62" t="n">
        <f aca="false">IF(CS123="","",CS123*MAX(0,1-CV123/H123))</f>
        <v>29.375</v>
      </c>
      <c r="CY123" s="64" t="n">
        <f aca="false">IF(CS123="","",PERCENTRANK($CS$7:$CS$1843,CS123)+PERCENTRANK($CU$7:$CU$1843,CU123)+1-PERCENTRANK($CT$7:$CT$1843,CT123))</f>
        <v>1.861</v>
      </c>
      <c r="CZ123" s="72" t="n">
        <f aca="false">IF(CS123="","",CHOOSE(MATCH(Einkauf!$C$5,Parameter!$G$23:$G$27,0),CY123,CS123,CU123,-CT123,CW123)+ROW()/1000000000)</f>
        <v>1.861000123</v>
      </c>
    </row>
    <row r="124" customFormat="false" ht="15" hidden="false" customHeight="false" outlineLevel="0" collapsed="false">
      <c r="A124" s="60" t="s">
        <v>499</v>
      </c>
      <c r="B124" s="60" t="s">
        <v>500</v>
      </c>
      <c r="C124" s="60" t="s">
        <v>206</v>
      </c>
      <c r="D124" s="60" t="s">
        <v>226</v>
      </c>
      <c r="E124" s="60"/>
      <c r="F124" s="60" t="s">
        <v>260</v>
      </c>
      <c r="G124" s="61" t="n">
        <v>44.35</v>
      </c>
      <c r="H124" s="62" t="n">
        <f aca="false">MAX(0,IF(AND(Parameter!$B$21="Ja",ISNUMBER(Y124)),Y124,IF(Parameter!$B$20="Jahresanfang 2025 + Export",BS124+BR124,BR124)))</f>
        <v>50</v>
      </c>
      <c r="I124" s="62" t="n">
        <f aca="false">H124*G124</f>
        <v>2217.5</v>
      </c>
      <c r="J124" s="62" t="n">
        <f aca="false">BU124*Parameter!$B$18</f>
        <v>0</v>
      </c>
      <c r="K124" s="63" t="n">
        <v>10</v>
      </c>
      <c r="L124" s="64" t="n">
        <v>0</v>
      </c>
      <c r="M124" s="62" t="n">
        <v>0</v>
      </c>
      <c r="N124" s="62" t="n">
        <v>1</v>
      </c>
      <c r="O124" s="65" t="n">
        <v>42</v>
      </c>
      <c r="P124" s="60" t="s">
        <v>344</v>
      </c>
      <c r="Q124" s="62" t="n">
        <v>50</v>
      </c>
      <c r="R124" s="65" t="n">
        <f aca="false">IF(CA124=1,0,IFERROR(VLOOKUP(BY124,'Gebinde-Kategorie'!$A$5:$N$45,13,0)+0,0))</f>
        <v>26</v>
      </c>
      <c r="S124" s="66"/>
      <c r="T124" s="67"/>
      <c r="U124" s="67"/>
      <c r="V124" s="67"/>
      <c r="W124" s="60"/>
      <c r="X124" s="62"/>
      <c r="Y124" s="62"/>
      <c r="Z124" s="60" t="n">
        <v>3</v>
      </c>
      <c r="AA124" s="60" t="n">
        <f aca="false">IF(A124="","",IF(AND(Parameter!$B$21="Ja",ISNUMBER(W124)),W124,IF(AND(Parameter!$E$27="Ja",ISNUMBER(Z124),CD124&lt;&gt;"Nein"),Z124,IF(CD124="2+3",IF(ISNUMBER(SEARCH("grosser Artikel",BV124)),2,IFERROR(VLOOKUP(BY124,Parameter!$F$35:$G$64,2,0),2)),IF(OR(CD124="Nein",CD124=""),"-",CD124)))))</f>
        <v>3</v>
      </c>
      <c r="AB124" s="67"/>
      <c r="AC124" s="68"/>
      <c r="AD124" s="62" t="n">
        <f aca="false">AW124</f>
        <v>1</v>
      </c>
      <c r="AE124" s="62" t="n">
        <f aca="false">MAX(AW124,H124)</f>
        <v>50</v>
      </c>
      <c r="AF124" s="69"/>
      <c r="AG124" s="62" t="n">
        <f aca="false">IF(LEFT(Cockpit!$C$5,1)="A",H124,IF(Parameter!$E$30="MAX-Bestand",IF(CI124=1,CJ124,IF(LEFT(Cockpit!$C$5,1)="B",AM124,MAX(AM124,H124))),ROUNDUP(AK124,0)))</f>
        <v>50</v>
      </c>
      <c r="AH124" s="62" t="n">
        <f aca="false">IF(CA124=1,0,ROUNDUP(AG124/BZ124,0))</f>
        <v>1</v>
      </c>
      <c r="AI124" s="64" t="n">
        <f aca="false">IF(CR124&gt;0,CR124*MAX(1,AG124/X124),IF(CA124=1,IF(AG124&lt;=0,0,CE124*MAX(1,IF(H124&gt;0,AG124/H124,1))),IF(R124&gt;0,AH124/R124,0))/MAX(0.1,N(Parameter!$M$21)))</f>
        <v>0.0384615384615385</v>
      </c>
      <c r="AJ124" s="62" t="n">
        <f aca="false">AI124*CC124</f>
        <v>5.96153846153846</v>
      </c>
      <c r="AK124" s="63" t="n">
        <f aca="false">IF(LEFT(Cockpit!$C$5,1)="A",H124,IF(CI124=1,(CL124+CJ124)/2,IF(LEFT(Cockpit!$C$5,1)="B",(CL124+AM124)/2,MAX((CL124+AM124)/2,H124))))</f>
        <v>50</v>
      </c>
      <c r="AL124" s="62" t="n">
        <f aca="false">AK124*G124</f>
        <v>2217.5</v>
      </c>
      <c r="AM124" s="62" t="n">
        <f aca="false">ROUNDUP(CL124+MAX(CM124,2*(J124/IF(CH124&gt;0,CH124,MAX(0.1,N(Cockpit!$C$6)))-CL124)),0)</f>
        <v>1</v>
      </c>
      <c r="AN124" s="63" t="n">
        <f aca="false">IF(AJ124&gt;0,J124/AJ124,-1)</f>
        <v>0</v>
      </c>
      <c r="AO124" s="63" t="n">
        <f aca="false">IF(AND(OR(CG124="L1",CG124="L23",CG124="LIFT"),AJ124&gt;0),SUMIFS($AJ$7:$AJ$1843,$CG$7:$CG$1843,CG124,$AN$7:$AN$1843,"&gt;"&amp;AN124)+SUMIFS($AJ$7:$AJ$1843,$CG$7:$CG$1843,CG124,$AN$7:$AN$1843,AN124,$BX$7:$BX$1843,"&lt;="&amp;BX124),"")</f>
        <v>27006.224754765</v>
      </c>
      <c r="AP124" s="70" t="n">
        <f aca="false">IF(AO124="",0,MAX(0,MIN(1,(IF(CG124="L1",Parameter!$H$5,IF(CG124="L23",Parameter!$H$6+Parameter!$H$7,Parameter!$H$5+Parameter!$H$6+Parameter!$H$7))-(AO124-AJ124))/AJ124)))</f>
        <v>1</v>
      </c>
      <c r="AQ124" s="62" t="n">
        <f aca="false">IF(LEFT(Cockpit!$I$5,1)="A",H124,IF(Parameter!$E$30="MAX-Bestand",IF(CI124=1,CJ124,IF(LEFT(Cockpit!$I$5,1)="B",AW124,MAX(AW124,H124))),ROUNDUP(AU124,0)))</f>
        <v>50</v>
      </c>
      <c r="AR124" s="62" t="n">
        <f aca="false">IF(CA124=1,0,ROUNDUP(AQ124/BZ124,0))</f>
        <v>1</v>
      </c>
      <c r="AS124" s="64" t="n">
        <f aca="false">IF(CR124&gt;0,CR124*MAX(1,AQ124/X124),IF(CA124=1,IF(AQ124&lt;=0,0,CE124*MAX(1,IF(H124&gt;0,AQ124/H124,1))),IF(R124&gt;0,AR124/R124,0))/MAX(0.1,N(Parameter!$M$21)))</f>
        <v>0.0384615384615385</v>
      </c>
      <c r="AT124" s="62" t="n">
        <f aca="false">AS124*CC124</f>
        <v>5.96153846153846</v>
      </c>
      <c r="AU124" s="63" t="n">
        <f aca="false">IF(LEFT(Cockpit!$I$5,1)="A",H124,IF(CI124=1,(CL124+CJ124)/2,IF(LEFT(Cockpit!$I$5,1)="B",(CL124+AW124)/2,MAX((CL124+AW124)/2,H124))))</f>
        <v>50</v>
      </c>
      <c r="AV124" s="62" t="n">
        <f aca="false">AU124*G124</f>
        <v>2217.5</v>
      </c>
      <c r="AW124" s="62" t="n">
        <f aca="false">ROUNDUP(CL124+MAX(CM124,2*(J124/IF(CH124&gt;0,CH124,MAX(0.1,N(Cockpit!$I$6)))-CL124)),0)</f>
        <v>1</v>
      </c>
      <c r="AX124" s="63" t="n">
        <f aca="false">IF(AT124&gt;0,J124/AT124,-1)</f>
        <v>0</v>
      </c>
      <c r="AY124" s="63" t="n">
        <f aca="false">IF(AND(OR(CG124="L1",CG124="L23",CG124="LIFT"),AT124&gt;0),SUMIFS($AT$7:$AT$1843,$CG$7:$CG$1843,CG124,$AX$7:$AX$1843,"&gt;"&amp;AX124)+SUMIFS($AT$7:$AT$1843,$CG$7:$CG$1843,CG124,$AX$7:$AX$1843,AX124,$BX$7:$BX$1843,"&lt;="&amp;BX124),"")</f>
        <v>32359.3733961425</v>
      </c>
      <c r="AZ124" s="70" t="n">
        <f aca="false">IF(AY124="",0,MAX(0,MIN(1,(IF(CG124="L1",Parameter!$H$5,IF(CG124="L23",Parameter!$H$6+Parameter!$H$7,Parameter!$H$5+Parameter!$H$6+Parameter!$H$7))-(AY124-AT124))/AT124)))</f>
        <v>1</v>
      </c>
      <c r="BA124" s="62" t="n">
        <f aca="false">IF(LEFT(Cockpit!$O$5,1)="A",H124,IF(Parameter!$E$30="MAX-Bestand",IF(CI124=1,CJ124,IF(LEFT(Cockpit!$O$5,1)="B",BG124,MAX(BG124,H124))),ROUNDUP(BE124,0)))</f>
        <v>1</v>
      </c>
      <c r="BB124" s="62" t="n">
        <f aca="false">IF(CA124=1,0,ROUNDUP(BA124/BZ124,0))</f>
        <v>1</v>
      </c>
      <c r="BC124" s="64" t="n">
        <f aca="false">IF(CR124&gt;0,CR124*MAX(1,BA124/X124),IF(CA124=1,IF(BA124&lt;=0,0,CE124*MAX(1,IF(H124&gt;0,BA124/H124,1))),IF(R124&gt;0,BB124/R124,0))/MAX(0.1,N(Parameter!$M$21)))</f>
        <v>0.0384615384615385</v>
      </c>
      <c r="BD124" s="62" t="n">
        <f aca="false">BC124*CC124</f>
        <v>5.96153846153846</v>
      </c>
      <c r="BE124" s="63" t="n">
        <f aca="false">IF(LEFT(Cockpit!$O$5,1)="A",H124,IF(CI124=1,(CL124+CJ124)/2,IF(LEFT(Cockpit!$O$5,1)="B",(CL124+BG124)/2,MAX((CL124+BG124)/2,H124))))</f>
        <v>0.5</v>
      </c>
      <c r="BF124" s="62" t="n">
        <f aca="false">BE124*G124</f>
        <v>22.175</v>
      </c>
      <c r="BG124" s="62" t="n">
        <f aca="false">ROUNDUP(CL124+MAX(CM124,2*(J124/IF(CH124&gt;0,CH124,MAX(0.1,N(Cockpit!$O$6)))-CL124)),0)</f>
        <v>1</v>
      </c>
      <c r="BH124" s="63" t="n">
        <f aca="false">IF(BD124&gt;0,J124/BD124,-1)</f>
        <v>0</v>
      </c>
      <c r="BI124" s="63" t="n">
        <f aca="false">IF(AND(OR(CG124="L1",CG124="L23",CG124="LIFT"),BD124&gt;0),SUMIFS($BD$7:$BD$1843,$CG$7:$CG$1843,CG124,$BH$7:$BH$1843,"&gt;"&amp;BH124)+SUMIFS($BD$7:$BD$1843,$CG$7:$CG$1843,CG124,$BH$7:$BH$1843,BH124,$BX$7:$BX$1843,"&lt;="&amp;BX124),"")</f>
        <v>26555.9552394404</v>
      </c>
      <c r="BJ124" s="70" t="n">
        <f aca="false">IF(BI124="",0,MAX(0,MIN(1,(IF(CG124="L1",Parameter!$H$5,IF(CG124="L23",Parameter!$H$6+Parameter!$H$7,Parameter!$H$5+Parameter!$H$6+Parameter!$H$7))-(BI124-BD124))/BD124)))</f>
        <v>1</v>
      </c>
      <c r="BK124" s="60" t="str">
        <f aca="false">IF(AJ124&lt;=0,"",IF(CG124="Aussen","Aussenlager",IF(CG124="-","Nicht im Lift",IF(AP124&gt;=1,"Lift",IF(AP124&lt;=0,"Aussenlager","teilweise")))))</f>
        <v>Lift</v>
      </c>
      <c r="BL124" s="60" t="str">
        <f aca="false">IF(AT124&lt;=0,"",IF(CG124="Aussen","Aussenlager",IF(CG124="-","Nicht im Lift",IF(AZ124&gt;=1,"Lift",IF(AZ124&lt;=0,"Aussenlager","teilweise")))))</f>
        <v>Lift</v>
      </c>
      <c r="BM124" s="60" t="str">
        <f aca="false">IF(BD124&lt;=0,"",IF(CG124="Aussen","Aussenlager",IF(CG124="-","Nicht im Lift",IF(BJ124&gt;=1,"Lift",IF(BJ124&lt;=0,"Aussenlager","teilweise")))))</f>
        <v>Lift</v>
      </c>
      <c r="BN124" s="60" t="str">
        <f aca="false">IF(A124="","",IF(BW124=1,"Neu; ","")&amp;IF(AND(BW124=0,BR124&lt;0),"negativer Bestand (Export "&amp;BR124&amp;"); ","")&amp;IF(J124&lt;=0,"Kein Verbrauch; ","")&amp;IF(CR124&gt;0,"Lift "&amp;W124&amp;" lt. Liftbericht (Fach "&amp;X124&amp;" Stk); ",IF(CB124=1,"Gebinde geschätzt ("&amp;T124&amp;"); ",IF(CA124=1,"Lose – Tablare geschätzt; ","")))&amp;IF(H124&gt;AW124,"Überbestand "&amp;ROUND(H124-AW124,0)&amp;" Stk / CHF "&amp;ROUND((H124-AW124)*G124,0)&amp;"; ","")&amp;IF(AND(CI124=1,CJ124&lt;CK124),"MAX &lt; MB+LG; ","")&amp;IF(AND(CQ124&gt;0,CP124*10&gt;CQ124),"zu hoch für Tablar; ","")&amp;IF(AND(BW124=0,OR(CI124=1,AB124&lt;&gt;"",U124&lt;&gt;"",V124&lt;&gt;"",AC124&lt;&gt;"")),"manuell übersteuert; ","")&amp;IF(AND(CA124=0,R124=0),"Gebinde unbekannt / Stellmass fehlt; ","")&amp;IF(AND(CA124=0,N(V124)&lt;=0,N(Q124)&lt;=0),"Menge pro Gebinde fehlt (Ist = 1 Gebinde); ","")&amp;BV124)</f>
        <v>Kein Verbrauch; Überbestand 49 Stk / CHF 2173; </v>
      </c>
      <c r="BO124" s="60"/>
      <c r="BP124" s="60"/>
      <c r="BQ124" s="67"/>
      <c r="BR124" s="62" t="n">
        <v>40</v>
      </c>
      <c r="BS124" s="62" t="n">
        <v>10</v>
      </c>
      <c r="BT124" s="61" t="n">
        <v>1795</v>
      </c>
      <c r="BU124" s="62" t="n">
        <v>0</v>
      </c>
      <c r="BV124" s="60"/>
      <c r="BW124" s="65" t="n">
        <v>0</v>
      </c>
      <c r="BX124" s="65" t="n">
        <v>124</v>
      </c>
      <c r="BY124" s="60" t="str">
        <f aca="false">IF(U124&lt;&gt;"",UPPER(TRIM(U124)),IF(CB124=1,UPPER(VLOOKUP(T124,Parameter!$I$27:$K$29,2,0)),IF(P124="","LOSE",P124)))</f>
        <v>S51</v>
      </c>
      <c r="BZ124" s="62" t="n">
        <f aca="false">IF(BY124="LOSE",1,IF(N(V124)&gt;0,V124,IF(CB124=1,MAX(1,N(VLOOKUP(T124,Parameter!$I$27:$K$29,3,0)),H124,N(N124)),IF(N(Q124)&gt;0,Q124,MAX(1,H124)))))</f>
        <v>50</v>
      </c>
      <c r="CA124" s="65" t="n">
        <f aca="false">IF(BY124="LOSE",1,0)</f>
        <v>0</v>
      </c>
      <c r="CB124" s="65" t="n">
        <f aca="false">IF(AND(U124="",OR(P124="",P124="LOSE"),T124&lt;&gt;"",N(S124)&lt;=0,ISNUMBER(MATCH(T124,Parameter!$I$27:$I$29,0))),1,0)</f>
        <v>0</v>
      </c>
      <c r="CC124" s="65" t="n">
        <f aca="false">IF(CR124&gt;0,INDEX(Parameter!$H$5:$H$7,W124)/INDEX(Parameter!$E$5:$E$7,W124),IF(AND(CA124=0,N(IFERROR(VLOOKUP(BY124,'Gebinde-Kategorie'!$A$5:$N$45,14,0),0))&gt;0),VLOOKUP(BY124,'Gebinde-Kategorie'!$A$5:$N$45,14,0)*10+Parameter!$M$23,Parameter!$M$24))</f>
        <v>155</v>
      </c>
      <c r="CD124" s="60" t="str">
        <f aca="false">IF(AND(Parameter!$B$19="Ja",E124&lt;&gt;"",ISNUMBER(MATCH(E124,Parameter!$I$35:$I$52,0))),VLOOKUP(E124,Parameter!$I$35:$J$52,2,0),IFERROR(VLOOKUP(D124,Parameter!$A$35:$C$64,2,0),"Nein"))</f>
        <v>2+3</v>
      </c>
      <c r="CE124" s="64" t="n">
        <f aca="false">IF(CA124=0,0,IF(N(S124)&gt;0,S124,IFERROR(VLOOKUP(D124,Parameter!$A$35:$C$64,3,0)+0,0)))</f>
        <v>0</v>
      </c>
      <c r="CF124" s="60" t="n">
        <f aca="false">IF(AB124&lt;&gt;"",AB124,AA124)</f>
        <v>3</v>
      </c>
      <c r="CG124" s="60" t="str">
        <f aca="false">IF(OR(CF124=1,CF124=2,CF124=3),IF(Parameter!$E$27="Ja","LIFT",IF(CF124=1,"L1","L23")),IF(CF124="Aussen","Aussen","-"))</f>
        <v>LIFT</v>
      </c>
      <c r="CH124" s="71" t="n">
        <f aca="false">IF(N(AC124)&gt;0,AC124,0)</f>
        <v>0</v>
      </c>
      <c r="CI124" s="65" t="n">
        <f aca="false">IF(ISNUMBER(AF124),1,0)</f>
        <v>0</v>
      </c>
      <c r="CJ124" s="62" t="n">
        <f aca="false">N(AF124)</f>
        <v>0</v>
      </c>
      <c r="CK124" s="62" t="n">
        <f aca="false">N(M124)+N(N124)</f>
        <v>1</v>
      </c>
      <c r="CL124" s="62" t="n">
        <f aca="false">N(M124)</f>
        <v>0</v>
      </c>
      <c r="CM124" s="62" t="n">
        <f aca="false">N(N124)</f>
        <v>1</v>
      </c>
      <c r="CN124" s="62" t="n">
        <f aca="false">ROUNDUP(H124/BZ124,0)</f>
        <v>1</v>
      </c>
      <c r="CO124" s="62" t="n">
        <f aca="false">ROUNDUP(CJ124/BZ124,0)</f>
        <v>0</v>
      </c>
      <c r="CP124" s="65" t="n">
        <f aca="false">IF(CA124=1,0,IFERROR(VLOOKUP(BY124,'Gebinde-Kategorie'!$A$5:$N$45,5,0)+0,0))</f>
        <v>11</v>
      </c>
      <c r="CQ124" s="65" t="n">
        <f aca="false">IFERROR(IF(OR(CF124=1,CF124=2,CF124=3),N(INDEX(Parameter!$I$5:$I$7,CF124)),0),0)</f>
        <v>0</v>
      </c>
      <c r="CR124" s="64" t="n">
        <f aca="false">IF(AND(Parameter!$B$21="Ja",ISNUMBER(W124),N(X124)&gt;0),IFERROR(N(INDEX(Parameter!$L$5:$L$7,W124))*INDEX(Parameter!$E$5:$E$7,W124)*X124/SUMIFS($X$7:$X$1843,$W$7:$W$1843,W124),0),0)</f>
        <v>0</v>
      </c>
      <c r="CS124" s="62" t="n">
        <f aca="false">IF(AND(OR(CG124="L1",CG124="L23",CG124="LIFT"),H124&gt;0),CC124*IF(CR124&gt;0,CR124*MAX(1,H124/X124),IF(CA124=1,CE124,IF(R124&gt;0,CN124/R124,0))/MAX(0.1,N(Parameter!$M$21))),"")</f>
        <v>5.96153846153846</v>
      </c>
      <c r="CT124" s="64" t="n">
        <f aca="false">IF(CS124="","",J124/H124)</f>
        <v>0</v>
      </c>
      <c r="CU124" s="62" t="n">
        <f aca="false">IF(CS124="","",H124*G124)</f>
        <v>2217.5</v>
      </c>
      <c r="CV124" s="63" t="n">
        <f aca="false">IF(CS124="","",(CL124+ROUNDUP(CL124+MAX(CM124,2*(J124/MAX(0.1,N(Einkauf!$C$6))-CL124)),0))/2)</f>
        <v>0.5</v>
      </c>
      <c r="CW124" s="62" t="n">
        <f aca="false">IF(CS124="","",MAX(0,H124-CV124)*G124)</f>
        <v>2195.325</v>
      </c>
      <c r="CX124" s="62" t="n">
        <f aca="false">IF(CS124="","",CS124*MAX(0,1-CV124/H124))</f>
        <v>5.90192307692308</v>
      </c>
      <c r="CY124" s="64" t="n">
        <f aca="false">IF(CS124="","",PERCENTRANK($CS$7:$CS$1843,CS124)+PERCENTRANK($CU$7:$CU$1843,CU124)+1-PERCENTRANK($CT$7:$CT$1843,CT124))</f>
        <v>2.145</v>
      </c>
      <c r="CZ124" s="72" t="n">
        <f aca="false">IF(CS124="","",CHOOSE(MATCH(Einkauf!$C$5,Parameter!$G$23:$G$27,0),CY124,CS124,CU124,-CT124,CW124)+ROW()/1000000000)</f>
        <v>2.145000124</v>
      </c>
    </row>
    <row r="125" customFormat="false" ht="15" hidden="false" customHeight="false" outlineLevel="0" collapsed="false">
      <c r="A125" s="60" t="s">
        <v>501</v>
      </c>
      <c r="B125" s="60" t="s">
        <v>502</v>
      </c>
      <c r="C125" s="60" t="s">
        <v>206</v>
      </c>
      <c r="D125" s="60" t="s">
        <v>215</v>
      </c>
      <c r="E125" s="60"/>
      <c r="F125" s="60" t="s">
        <v>260</v>
      </c>
      <c r="G125" s="61" t="n">
        <v>583</v>
      </c>
      <c r="H125" s="62" t="n">
        <f aca="false">MAX(0,IF(AND(Parameter!$B$21="Ja",ISNUMBER(Y125)),Y125,IF(Parameter!$B$20="Jahresanfang 2025 + Export",BS125+BR125,BR125)))</f>
        <v>5</v>
      </c>
      <c r="I125" s="62" t="n">
        <f aca="false">H125*G125</f>
        <v>2915</v>
      </c>
      <c r="J125" s="62" t="n">
        <f aca="false">BU125*Parameter!$B$18</f>
        <v>2</v>
      </c>
      <c r="K125" s="63" t="n">
        <v>1.5</v>
      </c>
      <c r="L125" s="64" t="n">
        <v>1.33333333333333</v>
      </c>
      <c r="M125" s="62" t="n">
        <v>0</v>
      </c>
      <c r="N125" s="62" t="n">
        <v>1</v>
      </c>
      <c r="O125" s="65" t="n">
        <v>35</v>
      </c>
      <c r="P125" s="60" t="s">
        <v>228</v>
      </c>
      <c r="Q125" s="62" t="n">
        <v>7</v>
      </c>
      <c r="R125" s="65" t="n">
        <f aca="false">IF(CA125=1,0,IFERROR(VLOOKUP(BY125,'Gebinde-Kategorie'!$A$5:$N$45,13,0)+0,0))</f>
        <v>12</v>
      </c>
      <c r="S125" s="66"/>
      <c r="T125" s="67"/>
      <c r="U125" s="67"/>
      <c r="V125" s="67"/>
      <c r="W125" s="60"/>
      <c r="X125" s="62"/>
      <c r="Y125" s="62"/>
      <c r="Z125" s="60" t="n">
        <v>3</v>
      </c>
      <c r="AA125" s="60" t="n">
        <f aca="false">IF(A125="","",IF(AND(Parameter!$B$21="Ja",ISNUMBER(W125)),W125,IF(AND(Parameter!$E$27="Ja",ISNUMBER(Z125),CD125&lt;&gt;"Nein"),Z125,IF(CD125="2+3",IF(ISNUMBER(SEARCH("grosser Artikel",BV125)),2,IFERROR(VLOOKUP(BY125,Parameter!$F$35:$G$64,2,0),2)),IF(OR(CD125="Nein",CD125=""),"-",CD125)))))</f>
        <v>3</v>
      </c>
      <c r="AB125" s="67"/>
      <c r="AC125" s="68"/>
      <c r="AD125" s="62" t="n">
        <f aca="false">AW125</f>
        <v>2</v>
      </c>
      <c r="AE125" s="62" t="n">
        <f aca="false">MAX(AW125,H125)</f>
        <v>5</v>
      </c>
      <c r="AF125" s="69"/>
      <c r="AG125" s="62" t="n">
        <f aca="false">IF(LEFT(Cockpit!$C$5,1)="A",H125,IF(Parameter!$E$30="MAX-Bestand",IF(CI125=1,CJ125,IF(LEFT(Cockpit!$C$5,1)="B",AM125,MAX(AM125,H125))),ROUNDUP(AK125,0)))</f>
        <v>5</v>
      </c>
      <c r="AH125" s="62" t="n">
        <f aca="false">IF(CA125=1,0,ROUNDUP(AG125/BZ125,0))</f>
        <v>1</v>
      </c>
      <c r="AI125" s="64" t="n">
        <f aca="false">IF(CR125&gt;0,CR125*MAX(1,AG125/X125),IF(CA125=1,IF(AG125&lt;=0,0,CE125*MAX(1,IF(H125&gt;0,AG125/H125,1))),IF(R125&gt;0,AH125/R125,0))/MAX(0.1,N(Parameter!$M$21)))</f>
        <v>0.0833333333333333</v>
      </c>
      <c r="AJ125" s="62" t="n">
        <f aca="false">AI125*CC125</f>
        <v>12.0833333333333</v>
      </c>
      <c r="AK125" s="63" t="n">
        <f aca="false">IF(LEFT(Cockpit!$C$5,1)="A",H125,IF(CI125=1,(CL125+CJ125)/2,IF(LEFT(Cockpit!$C$5,1)="B",(CL125+AM125)/2,MAX((CL125+AM125)/2,H125))))</f>
        <v>5</v>
      </c>
      <c r="AL125" s="62" t="n">
        <f aca="false">AK125*G125</f>
        <v>2915</v>
      </c>
      <c r="AM125" s="62" t="n">
        <f aca="false">ROUNDUP(CL125+MAX(CM125,2*(J125/IF(CH125&gt;0,CH125,MAX(0.1,N(Cockpit!$C$6)))-CL125)),0)</f>
        <v>2</v>
      </c>
      <c r="AN125" s="63" t="n">
        <f aca="false">IF(AJ125&gt;0,J125/AJ125,-1)</f>
        <v>0.16551724137931</v>
      </c>
      <c r="AO125" s="63" t="n">
        <f aca="false">IF(AND(OR(CG125="L1",CG125="L23",CG125="LIFT"),AJ125&gt;0),SUMIFS($AJ$7:$AJ$1843,$CG$7:$CG$1843,CG125,$AN$7:$AN$1843,"&gt;"&amp;AN125)+SUMIFS($AJ$7:$AJ$1843,$CG$7:$CG$1843,CG125,$AN$7:$AN$1843,AN125,$BX$7:$BX$1843,"&lt;="&amp;BX125),"")</f>
        <v>12781.2401311024</v>
      </c>
      <c r="AP125" s="70" t="n">
        <f aca="false">IF(AO125="",0,MAX(0,MIN(1,(IF(CG125="L1",Parameter!$H$5,IF(CG125="L23",Parameter!$H$6+Parameter!$H$7,Parameter!$H$5+Parameter!$H$6+Parameter!$H$7))-(AO125-AJ125))/AJ125)))</f>
        <v>1</v>
      </c>
      <c r="AQ125" s="62" t="n">
        <f aca="false">IF(LEFT(Cockpit!$I$5,1)="A",H125,IF(Parameter!$E$30="MAX-Bestand",IF(CI125=1,CJ125,IF(LEFT(Cockpit!$I$5,1)="B",AW125,MAX(AW125,H125))),ROUNDUP(AU125,0)))</f>
        <v>5</v>
      </c>
      <c r="AR125" s="62" t="n">
        <f aca="false">IF(CA125=1,0,ROUNDUP(AQ125/BZ125,0))</f>
        <v>1</v>
      </c>
      <c r="AS125" s="64" t="n">
        <f aca="false">IF(CR125&gt;0,CR125*MAX(1,AQ125/X125),IF(CA125=1,IF(AQ125&lt;=0,0,CE125*MAX(1,IF(H125&gt;0,AQ125/H125,1))),IF(R125&gt;0,AR125/R125,0))/MAX(0.1,N(Parameter!$M$21)))</f>
        <v>0.0833333333333333</v>
      </c>
      <c r="AT125" s="62" t="n">
        <f aca="false">AS125*CC125</f>
        <v>12.0833333333333</v>
      </c>
      <c r="AU125" s="63" t="n">
        <f aca="false">IF(LEFT(Cockpit!$I$5,1)="A",H125,IF(CI125=1,(CL125+CJ125)/2,IF(LEFT(Cockpit!$I$5,1)="B",(CL125+AW125)/2,MAX((CL125+AW125)/2,H125))))</f>
        <v>5</v>
      </c>
      <c r="AV125" s="62" t="n">
        <f aca="false">AU125*G125</f>
        <v>2915</v>
      </c>
      <c r="AW125" s="62" t="n">
        <f aca="false">ROUNDUP(CL125+MAX(CM125,2*(J125/IF(CH125&gt;0,CH125,MAX(0.1,N(Cockpit!$I$6)))-CL125)),0)</f>
        <v>2</v>
      </c>
      <c r="AX125" s="63" t="n">
        <f aca="false">IF(AT125&gt;0,J125/AT125,-1)</f>
        <v>0.16551724137931</v>
      </c>
      <c r="AY125" s="63" t="n">
        <f aca="false">IF(AND(OR(CG125="L1",CG125="L23",CG125="LIFT"),AT125&gt;0),SUMIFS($AT$7:$AT$1843,$CG$7:$CG$1843,CG125,$AX$7:$AX$1843,"&gt;"&amp;AX125)+SUMIFS($AT$7:$AT$1843,$CG$7:$CG$1843,CG125,$AX$7:$AX$1843,AX125,$BX$7:$BX$1843,"&lt;="&amp;BX125),"")</f>
        <v>15709.9207875458</v>
      </c>
      <c r="AZ125" s="70" t="n">
        <f aca="false">IF(AY125="",0,MAX(0,MIN(1,(IF(CG125="L1",Parameter!$H$5,IF(CG125="L23",Parameter!$H$6+Parameter!$H$7,Parameter!$H$5+Parameter!$H$6+Parameter!$H$7))-(AY125-AT125))/AT125)))</f>
        <v>1</v>
      </c>
      <c r="BA125" s="62" t="n">
        <f aca="false">IF(LEFT(Cockpit!$O$5,1)="A",H125,IF(Parameter!$E$30="MAX-Bestand",IF(CI125=1,CJ125,IF(LEFT(Cockpit!$O$5,1)="B",BG125,MAX(BG125,H125))),ROUNDUP(BE125,0)))</f>
        <v>1</v>
      </c>
      <c r="BB125" s="62" t="n">
        <f aca="false">IF(CA125=1,0,ROUNDUP(BA125/BZ125,0))</f>
        <v>1</v>
      </c>
      <c r="BC125" s="64" t="n">
        <f aca="false">IF(CR125&gt;0,CR125*MAX(1,BA125/X125),IF(CA125=1,IF(BA125&lt;=0,0,CE125*MAX(1,IF(H125&gt;0,BA125/H125,1))),IF(R125&gt;0,BB125/R125,0))/MAX(0.1,N(Parameter!$M$21)))</f>
        <v>0.0833333333333333</v>
      </c>
      <c r="BD125" s="62" t="n">
        <f aca="false">BC125*CC125</f>
        <v>12.0833333333333</v>
      </c>
      <c r="BE125" s="63" t="n">
        <f aca="false">IF(LEFT(Cockpit!$O$5,1)="A",H125,IF(CI125=1,(CL125+CJ125)/2,IF(LEFT(Cockpit!$O$5,1)="B",(CL125+BG125)/2,MAX((CL125+BG125)/2,H125))))</f>
        <v>0.5</v>
      </c>
      <c r="BF125" s="62" t="n">
        <f aca="false">BE125*G125</f>
        <v>291.5</v>
      </c>
      <c r="BG125" s="62" t="n">
        <f aca="false">ROUNDUP(CL125+MAX(CM125,2*(J125/IF(CH125&gt;0,CH125,MAX(0.1,N(Cockpit!$O$6)))-CL125)),0)</f>
        <v>1</v>
      </c>
      <c r="BH125" s="63" t="n">
        <f aca="false">IF(BD125&gt;0,J125/BD125,-1)</f>
        <v>0.16551724137931</v>
      </c>
      <c r="BI125" s="63" t="n">
        <f aca="false">IF(AND(OR(CG125="L1",CG125="L23",CG125="LIFT"),BD125&gt;0),SUMIFS($BD$7:$BD$1843,$CG$7:$CG$1843,CG125,$BH$7:$BH$1843,"&gt;"&amp;BH125)+SUMIFS($BD$7:$BD$1843,$CG$7:$CG$1843,CG125,$BH$7:$BH$1843,BH125,$BX$7:$BX$1843,"&lt;="&amp;BX125),"")</f>
        <v>13512.2206157778</v>
      </c>
      <c r="BJ125" s="70" t="n">
        <f aca="false">IF(BI125="",0,MAX(0,MIN(1,(IF(CG125="L1",Parameter!$H$5,IF(CG125="L23",Parameter!$H$6+Parameter!$H$7,Parameter!$H$5+Parameter!$H$6+Parameter!$H$7))-(BI125-BD125))/BD125)))</f>
        <v>1</v>
      </c>
      <c r="BK125" s="60" t="str">
        <f aca="false">IF(AJ125&lt;=0,"",IF(CG125="Aussen","Aussenlager",IF(CG125="-","Nicht im Lift",IF(AP125&gt;=1,"Lift",IF(AP125&lt;=0,"Aussenlager","teilweise")))))</f>
        <v>Lift</v>
      </c>
      <c r="BL125" s="60" t="str">
        <f aca="false">IF(AT125&lt;=0,"",IF(CG125="Aussen","Aussenlager",IF(CG125="-","Nicht im Lift",IF(AZ125&gt;=1,"Lift",IF(AZ125&lt;=0,"Aussenlager","teilweise")))))</f>
        <v>Lift</v>
      </c>
      <c r="BM125" s="60" t="str">
        <f aca="false">IF(BD125&lt;=0,"",IF(CG125="Aussen","Aussenlager",IF(CG125="-","Nicht im Lift",IF(BJ125&gt;=1,"Lift",IF(BJ125&lt;=0,"Aussenlager","teilweise")))))</f>
        <v>Lift</v>
      </c>
      <c r="BN125" s="60" t="str">
        <f aca="false">IF(A125="","",IF(BW125=1,"Neu; ","")&amp;IF(AND(BW125=0,BR125&lt;0),"negativer Bestand (Export "&amp;BR125&amp;"); ","")&amp;IF(J125&lt;=0,"Kein Verbrauch; ","")&amp;IF(CR125&gt;0,"Lift "&amp;W125&amp;" lt. Liftbericht (Fach "&amp;X125&amp;" Stk); ",IF(CB125=1,"Gebinde geschätzt ("&amp;T125&amp;"); ",IF(CA125=1,"Lose – Tablare geschätzt; ","")))&amp;IF(H125&gt;AW125,"Überbestand "&amp;ROUND(H125-AW125,0)&amp;" Stk / CHF "&amp;ROUND((H125-AW125)*G125,0)&amp;"; ","")&amp;IF(AND(CI125=1,CJ125&lt;CK125),"MAX &lt; MB+LG; ","")&amp;IF(AND(CQ125&gt;0,CP125*10&gt;CQ125),"zu hoch für Tablar; ","")&amp;IF(AND(BW125=0,OR(CI125=1,AB125&lt;&gt;"",U125&lt;&gt;"",V125&lt;&gt;"",AC125&lt;&gt;"")),"manuell übersteuert; ","")&amp;IF(AND(CA125=0,R125=0),"Gebinde unbekannt / Stellmass fehlt; ","")&amp;IF(AND(CA125=0,N(V125)&lt;=0,N(Q125)&lt;=0),"Menge pro Gebinde fehlt (Ist = 1 Gebinde); ","")&amp;BV125)</f>
        <v>Überbestand 3 Stk / CHF 1749; </v>
      </c>
      <c r="BO125" s="60"/>
      <c r="BP125" s="60"/>
      <c r="BQ125" s="67"/>
      <c r="BR125" s="62" t="n">
        <v>3</v>
      </c>
      <c r="BS125" s="62" t="n">
        <v>2</v>
      </c>
      <c r="BT125" s="61" t="n">
        <v>1783</v>
      </c>
      <c r="BU125" s="62" t="n">
        <v>2</v>
      </c>
      <c r="BV125" s="60"/>
      <c r="BW125" s="65" t="n">
        <v>0</v>
      </c>
      <c r="BX125" s="65" t="n">
        <v>125</v>
      </c>
      <c r="BY125" s="60" t="str">
        <f aca="false">IF(U125&lt;&gt;"",UPPER(TRIM(U125)),IF(CB125=1,UPPER(VLOOKUP(T125,Parameter!$I$27:$K$29,2,0)),IF(P125="","LOSE",P125)))</f>
        <v>S61</v>
      </c>
      <c r="BZ125" s="62" t="n">
        <f aca="false">IF(BY125="LOSE",1,IF(N(V125)&gt;0,V125,IF(CB125=1,MAX(1,N(VLOOKUP(T125,Parameter!$I$27:$K$29,3,0)),H125,N(N125)),IF(N(Q125)&gt;0,Q125,MAX(1,H125)))))</f>
        <v>7</v>
      </c>
      <c r="CA125" s="65" t="n">
        <f aca="false">IF(BY125="LOSE",1,0)</f>
        <v>0</v>
      </c>
      <c r="CB125" s="65" t="n">
        <f aca="false">IF(AND(U125="",OR(P125="",P125="LOSE"),T125&lt;&gt;"",N(S125)&lt;=0,ISNUMBER(MATCH(T125,Parameter!$I$27:$I$29,0))),1,0)</f>
        <v>0</v>
      </c>
      <c r="CC125" s="65" t="n">
        <f aca="false">IF(CR125&gt;0,INDEX(Parameter!$H$5:$H$7,W125)/INDEX(Parameter!$E$5:$E$7,W125),IF(AND(CA125=0,N(IFERROR(VLOOKUP(BY125,'Gebinde-Kategorie'!$A$5:$N$45,14,0),0))&gt;0),VLOOKUP(BY125,'Gebinde-Kategorie'!$A$5:$N$45,14,0)*10+Parameter!$M$23,Parameter!$M$24))</f>
        <v>145</v>
      </c>
      <c r="CD125" s="60" t="str">
        <f aca="false">IF(AND(Parameter!$B$19="Ja",E125&lt;&gt;"",ISNUMBER(MATCH(E125,Parameter!$I$35:$I$52,0))),VLOOKUP(E125,Parameter!$I$35:$J$52,2,0),IFERROR(VLOOKUP(D125,Parameter!$A$35:$C$64,2,0),"Nein"))</f>
        <v>2+3</v>
      </c>
      <c r="CE125" s="64" t="n">
        <f aca="false">IF(CA125=0,0,IF(N(S125)&gt;0,S125,IFERROR(VLOOKUP(D125,Parameter!$A$35:$C$64,3,0)+0,0)))</f>
        <v>0</v>
      </c>
      <c r="CF125" s="60" t="n">
        <f aca="false">IF(AB125&lt;&gt;"",AB125,AA125)</f>
        <v>3</v>
      </c>
      <c r="CG125" s="60" t="str">
        <f aca="false">IF(OR(CF125=1,CF125=2,CF125=3),IF(Parameter!$E$27="Ja","LIFT",IF(CF125=1,"L1","L23")),IF(CF125="Aussen","Aussen","-"))</f>
        <v>LIFT</v>
      </c>
      <c r="CH125" s="71" t="n">
        <f aca="false">IF(N(AC125)&gt;0,AC125,0)</f>
        <v>0</v>
      </c>
      <c r="CI125" s="65" t="n">
        <f aca="false">IF(ISNUMBER(AF125),1,0)</f>
        <v>0</v>
      </c>
      <c r="CJ125" s="62" t="n">
        <f aca="false">N(AF125)</f>
        <v>0</v>
      </c>
      <c r="CK125" s="62" t="n">
        <f aca="false">N(M125)+N(N125)</f>
        <v>1</v>
      </c>
      <c r="CL125" s="62" t="n">
        <f aca="false">N(M125)</f>
        <v>0</v>
      </c>
      <c r="CM125" s="62" t="n">
        <f aca="false">N(N125)</f>
        <v>1</v>
      </c>
      <c r="CN125" s="62" t="n">
        <f aca="false">ROUNDUP(H125/BZ125,0)</f>
        <v>1</v>
      </c>
      <c r="CO125" s="62" t="n">
        <f aca="false">ROUNDUP(CJ125/BZ125,0)</f>
        <v>0</v>
      </c>
      <c r="CP125" s="65" t="n">
        <f aca="false">IF(CA125=1,0,IFERROR(VLOOKUP(BY125,'Gebinde-Kategorie'!$A$5:$N$45,5,0)+0,0))</f>
        <v>11</v>
      </c>
      <c r="CQ125" s="65" t="n">
        <f aca="false">IFERROR(IF(OR(CF125=1,CF125=2,CF125=3),N(INDEX(Parameter!$I$5:$I$7,CF125)),0),0)</f>
        <v>0</v>
      </c>
      <c r="CR125" s="64" t="n">
        <f aca="false">IF(AND(Parameter!$B$21="Ja",ISNUMBER(W125),N(X125)&gt;0),IFERROR(N(INDEX(Parameter!$L$5:$L$7,W125))*INDEX(Parameter!$E$5:$E$7,W125)*X125/SUMIFS($X$7:$X$1843,$W$7:$W$1843,W125),0),0)</f>
        <v>0</v>
      </c>
      <c r="CS125" s="62" t="n">
        <f aca="false">IF(AND(OR(CG125="L1",CG125="L23",CG125="LIFT"),H125&gt;0),CC125*IF(CR125&gt;0,CR125*MAX(1,H125/X125),IF(CA125=1,CE125,IF(R125&gt;0,CN125/R125,0))/MAX(0.1,N(Parameter!$M$21))),"")</f>
        <v>12.0833333333333</v>
      </c>
      <c r="CT125" s="64" t="n">
        <f aca="false">IF(CS125="","",J125/H125)</f>
        <v>0.4</v>
      </c>
      <c r="CU125" s="62" t="n">
        <f aca="false">IF(CS125="","",H125*G125)</f>
        <v>2915</v>
      </c>
      <c r="CV125" s="63" t="n">
        <f aca="false">IF(CS125="","",(CL125+ROUNDUP(CL125+MAX(CM125,2*(J125/MAX(0.1,N(Einkauf!$C$6))-CL125)),0))/2)</f>
        <v>0.5</v>
      </c>
      <c r="CW125" s="62" t="n">
        <f aca="false">IF(CS125="","",MAX(0,H125-CV125)*G125)</f>
        <v>2623.5</v>
      </c>
      <c r="CX125" s="62" t="n">
        <f aca="false">IF(CS125="","",CS125*MAX(0,1-CV125/H125))</f>
        <v>10.875</v>
      </c>
      <c r="CY125" s="64" t="n">
        <f aca="false">IF(CS125="","",PERCENTRANK($CS$7:$CS$1843,CS125)+PERCENTRANK($CU$7:$CU$1843,CU125)+1-PERCENTRANK($CT$7:$CT$1843,CT125))</f>
        <v>1.958</v>
      </c>
      <c r="CZ125" s="72" t="n">
        <f aca="false">IF(CS125="","",CHOOSE(MATCH(Einkauf!$C$5,Parameter!$G$23:$G$27,0),CY125,CS125,CU125,-CT125,CW125)+ROW()/1000000000)</f>
        <v>1.958000125</v>
      </c>
    </row>
    <row r="126" customFormat="false" ht="15" hidden="false" customHeight="false" outlineLevel="0" collapsed="false">
      <c r="A126" s="60" t="s">
        <v>503</v>
      </c>
      <c r="B126" s="60" t="s">
        <v>504</v>
      </c>
      <c r="C126" s="60" t="s">
        <v>206</v>
      </c>
      <c r="D126" s="60" t="s">
        <v>207</v>
      </c>
      <c r="E126" s="60"/>
      <c r="F126" s="60" t="s">
        <v>260</v>
      </c>
      <c r="G126" s="61" t="n">
        <v>222.71</v>
      </c>
      <c r="H126" s="62" t="n">
        <f aca="false">MAX(0,IF(AND(Parameter!$B$21="Ja",ISNUMBER(Y126)),Y126,IF(Parameter!$B$20="Jahresanfang 2025 + Export",BS126+BR126,BR126)))</f>
        <v>8</v>
      </c>
      <c r="I126" s="62" t="n">
        <f aca="false">H126*G126</f>
        <v>1781.68</v>
      </c>
      <c r="J126" s="62" t="n">
        <f aca="false">BU126*Parameter!$B$18</f>
        <v>0</v>
      </c>
      <c r="K126" s="63" t="n">
        <v>4</v>
      </c>
      <c r="L126" s="64" t="n">
        <v>0</v>
      </c>
      <c r="M126" s="62" t="n">
        <v>0</v>
      </c>
      <c r="N126" s="62" t="n">
        <v>1</v>
      </c>
      <c r="O126" s="65" t="n">
        <v>42</v>
      </c>
      <c r="P126" s="60" t="s">
        <v>210</v>
      </c>
      <c r="Q126" s="62"/>
      <c r="R126" s="65" t="n">
        <f aca="false">IF(CA126=1,0,IFERROR(VLOOKUP(BY126,'Gebinde-Kategorie'!$A$5:$N$45,13,0)+0,0))</f>
        <v>0</v>
      </c>
      <c r="S126" s="66"/>
      <c r="T126" s="67"/>
      <c r="U126" s="67"/>
      <c r="V126" s="67"/>
      <c r="W126" s="60" t="n">
        <v>1</v>
      </c>
      <c r="X126" s="62" t="n">
        <v>8</v>
      </c>
      <c r="Y126" s="62" t="n">
        <v>8</v>
      </c>
      <c r="Z126" s="60" t="n">
        <v>1</v>
      </c>
      <c r="AA126" s="60" t="n">
        <f aca="false">IF(A126="","",IF(AND(Parameter!$B$21="Ja",ISNUMBER(W126)),W126,IF(AND(Parameter!$E$27="Ja",ISNUMBER(Z126),CD126&lt;&gt;"Nein"),Z126,IF(CD126="2+3",IF(ISNUMBER(SEARCH("grosser Artikel",BV126)),2,IFERROR(VLOOKUP(BY126,Parameter!$F$35:$G$64,2,0),2)),IF(OR(CD126="Nein",CD126=""),"-",CD126)))))</f>
        <v>1</v>
      </c>
      <c r="AB126" s="67"/>
      <c r="AC126" s="68"/>
      <c r="AD126" s="62" t="n">
        <f aca="false">AW126</f>
        <v>1</v>
      </c>
      <c r="AE126" s="62" t="n">
        <f aca="false">MAX(AW126,H126)</f>
        <v>8</v>
      </c>
      <c r="AF126" s="69"/>
      <c r="AG126" s="62" t="n">
        <f aca="false">IF(LEFT(Cockpit!$C$5,1)="A",H126,IF(Parameter!$E$30="MAX-Bestand",IF(CI126=1,CJ126,IF(LEFT(Cockpit!$C$5,1)="B",AM126,MAX(AM126,H126))),ROUNDUP(AK126,0)))</f>
        <v>8</v>
      </c>
      <c r="AH126" s="62" t="n">
        <f aca="false">IF(CA126=1,0,ROUNDUP(AG126/BZ126,0))</f>
        <v>0</v>
      </c>
      <c r="AI126" s="64" t="n">
        <f aca="false">IF(CR126&gt;0,CR126*MAX(1,AG126/X126),IF(CA126=1,IF(AG126&lt;=0,0,CE126*MAX(1,IF(H126&gt;0,AG126/H126,1))),IF(R126&gt;0,AH126/R126,0))/MAX(0.1,N(Parameter!$M$21)))</f>
        <v>0.64030131826742</v>
      </c>
      <c r="AJ126" s="62" t="n">
        <f aca="false">AI126*CC126</f>
        <v>152.391713747646</v>
      </c>
      <c r="AK126" s="63" t="n">
        <f aca="false">IF(LEFT(Cockpit!$C$5,1)="A",H126,IF(CI126=1,(CL126+CJ126)/2,IF(LEFT(Cockpit!$C$5,1)="B",(CL126+AM126)/2,MAX((CL126+AM126)/2,H126))))</f>
        <v>8</v>
      </c>
      <c r="AL126" s="62" t="n">
        <f aca="false">AK126*G126</f>
        <v>1781.68</v>
      </c>
      <c r="AM126" s="62" t="n">
        <f aca="false">ROUNDUP(CL126+MAX(CM126,2*(J126/IF(CH126&gt;0,CH126,MAX(0.1,N(Cockpit!$C$6)))-CL126)),0)</f>
        <v>1</v>
      </c>
      <c r="AN126" s="63" t="n">
        <f aca="false">IF(AJ126&gt;0,J126/AJ126,-1)</f>
        <v>0</v>
      </c>
      <c r="AO126" s="63" t="n">
        <f aca="false">IF(AND(OR(CG126="L1",CG126="L23",CG126="LIFT"),AJ126&gt;0),SUMIFS($AJ$7:$AJ$1843,$CG$7:$CG$1843,CG126,$AN$7:$AN$1843,"&gt;"&amp;AN126)+SUMIFS($AJ$7:$AJ$1843,$CG$7:$CG$1843,CG126,$AN$7:$AN$1843,AN126,$BX$7:$BX$1843,"&lt;="&amp;BX126),"")</f>
        <v>27158.6164685127</v>
      </c>
      <c r="AP126" s="70" t="n">
        <f aca="false">IF(AO126="",0,MAX(0,MIN(1,(IF(CG126="L1",Parameter!$H$5,IF(CG126="L23",Parameter!$H$6+Parameter!$H$7,Parameter!$H$5+Parameter!$H$6+Parameter!$H$7))-(AO126-AJ126))/AJ126)))</f>
        <v>1</v>
      </c>
      <c r="AQ126" s="62" t="n">
        <f aca="false">IF(LEFT(Cockpit!$I$5,1)="A",H126,IF(Parameter!$E$30="MAX-Bestand",IF(CI126=1,CJ126,IF(LEFT(Cockpit!$I$5,1)="B",AW126,MAX(AW126,H126))),ROUNDUP(AU126,0)))</f>
        <v>8</v>
      </c>
      <c r="AR126" s="62" t="n">
        <f aca="false">IF(CA126=1,0,ROUNDUP(AQ126/BZ126,0))</f>
        <v>0</v>
      </c>
      <c r="AS126" s="64" t="n">
        <f aca="false">IF(CR126&gt;0,CR126*MAX(1,AQ126/X126),IF(CA126=1,IF(AQ126&lt;=0,0,CE126*MAX(1,IF(H126&gt;0,AQ126/H126,1))),IF(R126&gt;0,AR126/R126,0))/MAX(0.1,N(Parameter!$M$21)))</f>
        <v>0.64030131826742</v>
      </c>
      <c r="AT126" s="62" t="n">
        <f aca="false">AS126*CC126</f>
        <v>152.391713747646</v>
      </c>
      <c r="AU126" s="63" t="n">
        <f aca="false">IF(LEFT(Cockpit!$I$5,1)="A",H126,IF(CI126=1,(CL126+CJ126)/2,IF(LEFT(Cockpit!$I$5,1)="B",(CL126+AW126)/2,MAX((CL126+AW126)/2,H126))))</f>
        <v>8</v>
      </c>
      <c r="AV126" s="62" t="n">
        <f aca="false">AU126*G126</f>
        <v>1781.68</v>
      </c>
      <c r="AW126" s="62" t="n">
        <f aca="false">ROUNDUP(CL126+MAX(CM126,2*(J126/IF(CH126&gt;0,CH126,MAX(0.1,N(Cockpit!$I$6)))-CL126)),0)</f>
        <v>1</v>
      </c>
      <c r="AX126" s="63" t="n">
        <f aca="false">IF(AT126&gt;0,J126/AT126,-1)</f>
        <v>0</v>
      </c>
      <c r="AY126" s="63" t="n">
        <f aca="false">IF(AND(OR(CG126="L1",CG126="L23",CG126="LIFT"),AT126&gt;0),SUMIFS($AT$7:$AT$1843,$CG$7:$CG$1843,CG126,$AX$7:$AX$1843,"&gt;"&amp;AX126)+SUMIFS($AT$7:$AT$1843,$CG$7:$CG$1843,CG126,$AX$7:$AX$1843,AX126,$BX$7:$BX$1843,"&lt;="&amp;BX126),"")</f>
        <v>32511.7651098901</v>
      </c>
      <c r="AZ126" s="70" t="n">
        <f aca="false">IF(AY126="",0,MAX(0,MIN(1,(IF(CG126="L1",Parameter!$H$5,IF(CG126="L23",Parameter!$H$6+Parameter!$H$7,Parameter!$H$5+Parameter!$H$6+Parameter!$H$7))-(AY126-AT126))/AT126)))</f>
        <v>1</v>
      </c>
      <c r="BA126" s="62" t="n">
        <f aca="false">IF(LEFT(Cockpit!$O$5,1)="A",H126,IF(Parameter!$E$30="MAX-Bestand",IF(CI126=1,CJ126,IF(LEFT(Cockpit!$O$5,1)="B",BG126,MAX(BG126,H126))),ROUNDUP(BE126,0)))</f>
        <v>1</v>
      </c>
      <c r="BB126" s="62" t="n">
        <f aca="false">IF(CA126=1,0,ROUNDUP(BA126/BZ126,0))</f>
        <v>0</v>
      </c>
      <c r="BC126" s="64" t="n">
        <f aca="false">IF(CR126&gt;0,CR126*MAX(1,BA126/X126),IF(CA126=1,IF(BA126&lt;=0,0,CE126*MAX(1,IF(H126&gt;0,BA126/H126,1))),IF(R126&gt;0,BB126/R126,0))/MAX(0.1,N(Parameter!$M$21)))</f>
        <v>0.64030131826742</v>
      </c>
      <c r="BD126" s="62" t="n">
        <f aca="false">BC126*CC126</f>
        <v>152.391713747646</v>
      </c>
      <c r="BE126" s="63" t="n">
        <f aca="false">IF(LEFT(Cockpit!$O$5,1)="A",H126,IF(CI126=1,(CL126+CJ126)/2,IF(LEFT(Cockpit!$O$5,1)="B",(CL126+BG126)/2,MAX((CL126+BG126)/2,H126))))</f>
        <v>0.5</v>
      </c>
      <c r="BF126" s="62" t="n">
        <f aca="false">BE126*G126</f>
        <v>111.355</v>
      </c>
      <c r="BG126" s="62" t="n">
        <f aca="false">ROUNDUP(CL126+MAX(CM126,2*(J126/IF(CH126&gt;0,CH126,MAX(0.1,N(Cockpit!$O$6)))-CL126)),0)</f>
        <v>1</v>
      </c>
      <c r="BH126" s="63" t="n">
        <f aca="false">IF(BD126&gt;0,J126/BD126,-1)</f>
        <v>0</v>
      </c>
      <c r="BI126" s="63" t="n">
        <f aca="false">IF(AND(OR(CG126="L1",CG126="L23",CG126="LIFT"),BD126&gt;0),SUMIFS($BD$7:$BD$1843,$CG$7:$CG$1843,CG126,$BH$7:$BH$1843,"&gt;"&amp;BH126)+SUMIFS($BD$7:$BD$1843,$CG$7:$CG$1843,CG126,$BH$7:$BH$1843,BH126,$BX$7:$BX$1843,"&lt;="&amp;BX126),"")</f>
        <v>26708.3469531881</v>
      </c>
      <c r="BJ126" s="70" t="n">
        <f aca="false">IF(BI126="",0,MAX(0,MIN(1,(IF(CG126="L1",Parameter!$H$5,IF(CG126="L23",Parameter!$H$6+Parameter!$H$7,Parameter!$H$5+Parameter!$H$6+Parameter!$H$7))-(BI126-BD126))/BD126)))</f>
        <v>1</v>
      </c>
      <c r="BK126" s="60" t="str">
        <f aca="false">IF(AJ126&lt;=0,"",IF(CG126="Aussen","Aussenlager",IF(CG126="-","Nicht im Lift",IF(AP126&gt;=1,"Lift",IF(AP126&lt;=0,"Aussenlager","teilweise")))))</f>
        <v>Lift</v>
      </c>
      <c r="BL126" s="60" t="str">
        <f aca="false">IF(AT126&lt;=0,"",IF(CG126="Aussen","Aussenlager",IF(CG126="-","Nicht im Lift",IF(AZ126&gt;=1,"Lift",IF(AZ126&lt;=0,"Aussenlager","teilweise")))))</f>
        <v>Lift</v>
      </c>
      <c r="BM126" s="60" t="str">
        <f aca="false">IF(BD126&lt;=0,"",IF(CG126="Aussen","Aussenlager",IF(CG126="-","Nicht im Lift",IF(BJ126&gt;=1,"Lift",IF(BJ126&lt;=0,"Aussenlager","teilweise")))))</f>
        <v>Lift</v>
      </c>
      <c r="BN126" s="60" t="str">
        <f aca="false">IF(A126="","",IF(BW126=1,"Neu; ","")&amp;IF(AND(BW126=0,BR126&lt;0),"negativer Bestand (Export "&amp;BR126&amp;"); ","")&amp;IF(J126&lt;=0,"Kein Verbrauch; ","")&amp;IF(CR126&gt;0,"Lift "&amp;W126&amp;" lt. Liftbericht (Fach "&amp;X126&amp;" Stk); ",IF(CB126=1,"Gebinde geschätzt ("&amp;T126&amp;"); ",IF(CA126=1,"Lose – Tablare geschätzt; ","")))&amp;IF(H126&gt;AW126,"Überbestand "&amp;ROUND(H126-AW126,0)&amp;" Stk / CHF "&amp;ROUND((H126-AW126)*G126,0)&amp;"; ","")&amp;IF(AND(CI126=1,CJ126&lt;CK126),"MAX &lt; MB+LG; ","")&amp;IF(AND(CQ126&gt;0,CP126*10&gt;CQ126),"zu hoch für Tablar; ","")&amp;IF(AND(BW126=0,OR(CI126=1,AB126&lt;&gt;"",U126&lt;&gt;"",V126&lt;&gt;"",AC126&lt;&gt;"")),"manuell übersteuert; ","")&amp;IF(AND(CA126=0,R126=0),"Gebinde unbekannt / Stellmass fehlt; ","")&amp;IF(AND(CA126=0,N(V126)&lt;=0,N(Q126)&lt;=0),"Menge pro Gebinde fehlt (Ist = 1 Gebinde); ","")&amp;BV126)</f>
        <v>Kein Verbrauch; Lift 1 lt. Liftbericht (Fach 8 Stk); Überbestand 7 Stk / CHF 1559; </v>
      </c>
      <c r="BO126" s="60"/>
      <c r="BP126" s="60"/>
      <c r="BQ126" s="67"/>
      <c r="BR126" s="62" t="n">
        <v>8</v>
      </c>
      <c r="BS126" s="62" t="n">
        <v>0</v>
      </c>
      <c r="BT126" s="61" t="n">
        <v>1781.68</v>
      </c>
      <c r="BU126" s="62" t="n">
        <v>0</v>
      </c>
      <c r="BV126" s="60"/>
      <c r="BW126" s="65" t="n">
        <v>0</v>
      </c>
      <c r="BX126" s="65" t="n">
        <v>126</v>
      </c>
      <c r="BY126" s="60" t="str">
        <f aca="false">IF(U126&lt;&gt;"",UPPER(TRIM(U126)),IF(CB126=1,UPPER(VLOOKUP(T126,Parameter!$I$27:$K$29,2,0)),IF(P126="","LOSE",P126)))</f>
        <v>LOSE</v>
      </c>
      <c r="BZ126" s="62" t="n">
        <f aca="false">IF(BY126="LOSE",1,IF(N(V126)&gt;0,V126,IF(CB126=1,MAX(1,N(VLOOKUP(T126,Parameter!$I$27:$K$29,3,0)),H126,N(N126)),IF(N(Q126)&gt;0,Q126,MAX(1,H126)))))</f>
        <v>1</v>
      </c>
      <c r="CA126" s="65" t="n">
        <f aca="false">IF(BY126="LOSE",1,0)</f>
        <v>1</v>
      </c>
      <c r="CB126" s="65" t="n">
        <f aca="false">IF(AND(U126="",OR(P126="",P126="LOSE"),T126&lt;&gt;"",N(S126)&lt;=0,ISNUMBER(MATCH(T126,Parameter!$I$27:$I$29,0))),1,0)</f>
        <v>0</v>
      </c>
      <c r="CC126" s="65" t="n">
        <f aca="false">IF(CR126&gt;0,INDEX(Parameter!$H$5:$H$7,W126)/INDEX(Parameter!$E$5:$E$7,W126),IF(AND(CA126=0,N(IFERROR(VLOOKUP(BY126,'Gebinde-Kategorie'!$A$5:$N$45,14,0),0))&gt;0),VLOOKUP(BY126,'Gebinde-Kategorie'!$A$5:$N$45,14,0)*10+Parameter!$M$23,Parameter!$M$24))</f>
        <v>238</v>
      </c>
      <c r="CD126" s="60" t="n">
        <f aca="false">IF(AND(Parameter!$B$19="Ja",E126&lt;&gt;"",ISNUMBER(MATCH(E126,Parameter!$I$35:$I$52,0))),VLOOKUP(E126,Parameter!$I$35:$J$52,2,0),IFERROR(VLOOKUP(D126,Parameter!$A$35:$C$64,2,0),"Nein"))</f>
        <v>1</v>
      </c>
      <c r="CE126" s="64" t="n">
        <f aca="false">IF(CA126=0,0,IF(N(S126)&gt;0,S126,IFERROR(VLOOKUP(D126,Parameter!$A$35:$C$64,3,0)+0,0)))</f>
        <v>1</v>
      </c>
      <c r="CF126" s="60" t="n">
        <f aca="false">IF(AB126&lt;&gt;"",AB126,AA126)</f>
        <v>1</v>
      </c>
      <c r="CG126" s="60" t="str">
        <f aca="false">IF(OR(CF126=1,CF126=2,CF126=3),IF(Parameter!$E$27="Ja","LIFT",IF(CF126=1,"L1","L23")),IF(CF126="Aussen","Aussen","-"))</f>
        <v>LIFT</v>
      </c>
      <c r="CH126" s="71" t="n">
        <f aca="false">IF(N(AC126)&gt;0,AC126,0)</f>
        <v>0</v>
      </c>
      <c r="CI126" s="65" t="n">
        <f aca="false">IF(ISNUMBER(AF126),1,0)</f>
        <v>0</v>
      </c>
      <c r="CJ126" s="62" t="n">
        <f aca="false">N(AF126)</f>
        <v>0</v>
      </c>
      <c r="CK126" s="62" t="n">
        <f aca="false">N(M126)+N(N126)</f>
        <v>1</v>
      </c>
      <c r="CL126" s="62" t="n">
        <f aca="false">N(M126)</f>
        <v>0</v>
      </c>
      <c r="CM126" s="62" t="n">
        <f aca="false">N(N126)</f>
        <v>1</v>
      </c>
      <c r="CN126" s="62" t="n">
        <f aca="false">ROUNDUP(H126/BZ126,0)</f>
        <v>8</v>
      </c>
      <c r="CO126" s="62" t="n">
        <f aca="false">ROUNDUP(CJ126/BZ126,0)</f>
        <v>0</v>
      </c>
      <c r="CP126" s="65" t="n">
        <f aca="false">IF(CA126=1,0,IFERROR(VLOOKUP(BY126,'Gebinde-Kategorie'!$A$5:$N$45,5,0)+0,0))</f>
        <v>0</v>
      </c>
      <c r="CQ126" s="65" t="n">
        <f aca="false">IFERROR(IF(OR(CF126=1,CF126=2,CF126=3),N(INDEX(Parameter!$I$5:$I$7,CF126)),0),0)</f>
        <v>0</v>
      </c>
      <c r="CR126" s="64" t="n">
        <f aca="false">IF(AND(Parameter!$B$21="Ja",ISNUMBER(W126),N(X126)&gt;0),IFERROR(N(INDEX(Parameter!$L$5:$L$7,W126))*INDEX(Parameter!$E$5:$E$7,W126)*X126/SUMIFS($X$7:$X$1843,$W$7:$W$1843,W126),0),0)</f>
        <v>0.64030131826742</v>
      </c>
      <c r="CS126" s="62" t="n">
        <f aca="false">IF(AND(OR(CG126="L1",CG126="L23",CG126="LIFT"),H126&gt;0),CC126*IF(CR126&gt;0,CR126*MAX(1,H126/X126),IF(CA126=1,CE126,IF(R126&gt;0,CN126/R126,0))/MAX(0.1,N(Parameter!$M$21))),"")</f>
        <v>152.391713747646</v>
      </c>
      <c r="CT126" s="64" t="n">
        <f aca="false">IF(CS126="","",J126/H126)</f>
        <v>0</v>
      </c>
      <c r="CU126" s="62" t="n">
        <f aca="false">IF(CS126="","",H126*G126)</f>
        <v>1781.68</v>
      </c>
      <c r="CV126" s="63" t="n">
        <f aca="false">IF(CS126="","",(CL126+ROUNDUP(CL126+MAX(CM126,2*(J126/MAX(0.1,N(Einkauf!$C$6))-CL126)),0))/2)</f>
        <v>0.5</v>
      </c>
      <c r="CW126" s="62" t="n">
        <f aca="false">IF(CS126="","",MAX(0,H126-CV126)*G126)</f>
        <v>1670.325</v>
      </c>
      <c r="CX126" s="62" t="n">
        <f aca="false">IF(CS126="","",CS126*MAX(0,1-CV126/H126))</f>
        <v>142.867231638418</v>
      </c>
      <c r="CY126" s="64" t="n">
        <f aca="false">IF(CS126="","",PERCENTRANK($CS$7:$CS$1843,CS126)+PERCENTRANK($CU$7:$CU$1843,CU126)+1-PERCENTRANK($CT$7:$CT$1843,CT126))</f>
        <v>2.723</v>
      </c>
      <c r="CZ126" s="72" t="n">
        <f aca="false">IF(CS126="","",CHOOSE(MATCH(Einkauf!$C$5,Parameter!$G$23:$G$27,0),CY126,CS126,CU126,-CT126,CW126)+ROW()/1000000000)</f>
        <v>2.723000126</v>
      </c>
    </row>
    <row r="127" customFormat="false" ht="15" hidden="false" customHeight="false" outlineLevel="0" collapsed="false">
      <c r="A127" s="60" t="s">
        <v>505</v>
      </c>
      <c r="B127" s="60" t="s">
        <v>506</v>
      </c>
      <c r="C127" s="60" t="s">
        <v>206</v>
      </c>
      <c r="D127" s="60" t="s">
        <v>215</v>
      </c>
      <c r="E127" s="60" t="s">
        <v>507</v>
      </c>
      <c r="F127" s="60" t="s">
        <v>260</v>
      </c>
      <c r="G127" s="61" t="n">
        <v>19.53</v>
      </c>
      <c r="H127" s="62" t="n">
        <f aca="false">MAX(0,IF(AND(Parameter!$B$21="Ja",ISNUMBER(Y127)),Y127,IF(Parameter!$B$20="Jahresanfang 2025 + Export",BS127+BR127,BR127)))</f>
        <v>113</v>
      </c>
      <c r="I127" s="62" t="n">
        <f aca="false">H127*G127</f>
        <v>2206.89</v>
      </c>
      <c r="J127" s="62" t="n">
        <f aca="false">BU127*Parameter!$B$18</f>
        <v>25</v>
      </c>
      <c r="K127" s="63" t="n">
        <v>89</v>
      </c>
      <c r="L127" s="64" t="n">
        <v>0.280898876404494</v>
      </c>
      <c r="M127" s="62" t="n">
        <v>1</v>
      </c>
      <c r="N127" s="62" t="n">
        <v>25</v>
      </c>
      <c r="O127" s="65" t="n">
        <v>21</v>
      </c>
      <c r="P127" s="60" t="s">
        <v>210</v>
      </c>
      <c r="Q127" s="62"/>
      <c r="R127" s="65" t="n">
        <f aca="false">IF(CA127=1,0,IFERROR(VLOOKUP(BY127,'Gebinde-Kategorie'!$A$5:$N$45,13,0)+0,0))</f>
        <v>4</v>
      </c>
      <c r="S127" s="66"/>
      <c r="T127" s="67" t="s">
        <v>231</v>
      </c>
      <c r="U127" s="67"/>
      <c r="V127" s="67"/>
      <c r="W127" s="60"/>
      <c r="X127" s="62"/>
      <c r="Y127" s="62"/>
      <c r="Z127" s="60"/>
      <c r="AA127" s="60" t="str">
        <f aca="false">IF(A127="","",IF(AND(Parameter!$B$21="Ja",ISNUMBER(W127)),W127,IF(AND(Parameter!$E$27="Ja",ISNUMBER(Z127),CD127&lt;&gt;"Nein"),Z127,IF(CD127="2+3",IF(ISNUMBER(SEARCH("grosser Artikel",BV127)),2,IFERROR(VLOOKUP(BY127,Parameter!$F$35:$G$64,2,0),2)),IF(OR(CD127="Nein",CD127=""),"-",CD127)))))</f>
        <v>-</v>
      </c>
      <c r="AB127" s="67"/>
      <c r="AC127" s="68"/>
      <c r="AD127" s="62" t="n">
        <f aca="false">AW127</f>
        <v>26</v>
      </c>
      <c r="AE127" s="62" t="n">
        <f aca="false">MAX(AW127,H127)</f>
        <v>113</v>
      </c>
      <c r="AF127" s="69"/>
      <c r="AG127" s="62" t="n">
        <f aca="false">IF(LEFT(Cockpit!$C$5,1)="A",H127,IF(Parameter!$E$30="MAX-Bestand",IF(CI127=1,CJ127,IF(LEFT(Cockpit!$C$5,1)="B",AM127,MAX(AM127,H127))),ROUNDUP(AK127,0)))</f>
        <v>113</v>
      </c>
      <c r="AH127" s="62" t="n">
        <f aca="false">IF(CA127=1,0,ROUNDUP(AG127/BZ127,0))</f>
        <v>1</v>
      </c>
      <c r="AI127" s="64" t="n">
        <f aca="false">IF(CR127&gt;0,CR127*MAX(1,AG127/X127),IF(CA127=1,IF(AG127&lt;=0,0,CE127*MAX(1,IF(H127&gt;0,AG127/H127,1))),IF(R127&gt;0,AH127/R127,0))/MAX(0.1,N(Parameter!$M$21)))</f>
        <v>0.25</v>
      </c>
      <c r="AJ127" s="62" t="n">
        <f aca="false">AI127*CC127</f>
        <v>58.75</v>
      </c>
      <c r="AK127" s="63" t="n">
        <f aca="false">IF(LEFT(Cockpit!$C$5,1)="A",H127,IF(CI127=1,(CL127+CJ127)/2,IF(LEFT(Cockpit!$C$5,1)="B",(CL127+AM127)/2,MAX((CL127+AM127)/2,H127))))</f>
        <v>113</v>
      </c>
      <c r="AL127" s="62" t="n">
        <f aca="false">AK127*G127</f>
        <v>2206.89</v>
      </c>
      <c r="AM127" s="62" t="n">
        <f aca="false">ROUNDUP(CL127+MAX(CM127,2*(J127/IF(CH127&gt;0,CH127,MAX(0.1,N(Cockpit!$C$6)))-CL127)),0)</f>
        <v>26</v>
      </c>
      <c r="AN127" s="63" t="n">
        <f aca="false">IF(AJ127&gt;0,J127/AJ127,-1)</f>
        <v>0.425531914893617</v>
      </c>
      <c r="AO127" s="63" t="str">
        <f aca="false">IF(AND(OR(CG127="L1",CG127="L23",CG127="LIFT"),AJ127&gt;0),SUMIFS($AJ$7:$AJ$1843,$CG$7:$CG$1843,CG127,$AN$7:$AN$1843,"&gt;"&amp;AN127)+SUMIFS($AJ$7:$AJ$1843,$CG$7:$CG$1843,CG127,$AN$7:$AN$1843,AN127,$BX$7:$BX$1843,"&lt;="&amp;BX127),"")</f>
        <v/>
      </c>
      <c r="AP127" s="70" t="n">
        <f aca="false">IF(AO127="",0,MAX(0,MIN(1,(IF(CG127="L1",Parameter!$H$5,IF(CG127="L23",Parameter!$H$6+Parameter!$H$7,Parameter!$H$5+Parameter!$H$6+Parameter!$H$7))-(AO127-AJ127))/AJ127)))</f>
        <v>0</v>
      </c>
      <c r="AQ127" s="62" t="n">
        <f aca="false">IF(LEFT(Cockpit!$I$5,1)="A",H127,IF(Parameter!$E$30="MAX-Bestand",IF(CI127=1,CJ127,IF(LEFT(Cockpit!$I$5,1)="B",AW127,MAX(AW127,H127))),ROUNDUP(AU127,0)))</f>
        <v>113</v>
      </c>
      <c r="AR127" s="62" t="n">
        <f aca="false">IF(CA127=1,0,ROUNDUP(AQ127/BZ127,0))</f>
        <v>1</v>
      </c>
      <c r="AS127" s="64" t="n">
        <f aca="false">IF(CR127&gt;0,CR127*MAX(1,AQ127/X127),IF(CA127=1,IF(AQ127&lt;=0,0,CE127*MAX(1,IF(H127&gt;0,AQ127/H127,1))),IF(R127&gt;0,AR127/R127,0))/MAX(0.1,N(Parameter!$M$21)))</f>
        <v>0.25</v>
      </c>
      <c r="AT127" s="62" t="n">
        <f aca="false">AS127*CC127</f>
        <v>58.75</v>
      </c>
      <c r="AU127" s="63" t="n">
        <f aca="false">IF(LEFT(Cockpit!$I$5,1)="A",H127,IF(CI127=1,(CL127+CJ127)/2,IF(LEFT(Cockpit!$I$5,1)="B",(CL127+AW127)/2,MAX((CL127+AW127)/2,H127))))</f>
        <v>113</v>
      </c>
      <c r="AV127" s="62" t="n">
        <f aca="false">AU127*G127</f>
        <v>2206.89</v>
      </c>
      <c r="AW127" s="62" t="n">
        <f aca="false">ROUNDUP(CL127+MAX(CM127,2*(J127/IF(CH127&gt;0,CH127,MAX(0.1,N(Cockpit!$I$6)))-CL127)),0)</f>
        <v>26</v>
      </c>
      <c r="AX127" s="63" t="n">
        <f aca="false">IF(AT127&gt;0,J127/AT127,-1)</f>
        <v>0.425531914893617</v>
      </c>
      <c r="AY127" s="63" t="str">
        <f aca="false">IF(AND(OR(CG127="L1",CG127="L23",CG127="LIFT"),AT127&gt;0),SUMIFS($AT$7:$AT$1843,$CG$7:$CG$1843,CG127,$AX$7:$AX$1843,"&gt;"&amp;AX127)+SUMIFS($AT$7:$AT$1843,$CG$7:$CG$1843,CG127,$AX$7:$AX$1843,AX127,$BX$7:$BX$1843,"&lt;="&amp;BX127),"")</f>
        <v/>
      </c>
      <c r="AZ127" s="70" t="n">
        <f aca="false">IF(AY127="",0,MAX(0,MIN(1,(IF(CG127="L1",Parameter!$H$5,IF(CG127="L23",Parameter!$H$6+Parameter!$H$7,Parameter!$H$5+Parameter!$H$6+Parameter!$H$7))-(AY127-AT127))/AT127)))</f>
        <v>0</v>
      </c>
      <c r="BA127" s="62" t="n">
        <f aca="false">IF(LEFT(Cockpit!$O$5,1)="A",H127,IF(Parameter!$E$30="MAX-Bestand",IF(CI127=1,CJ127,IF(LEFT(Cockpit!$O$5,1)="B",BG127,MAX(BG127,H127))),ROUNDUP(BE127,0)))</f>
        <v>14</v>
      </c>
      <c r="BB127" s="62" t="n">
        <f aca="false">IF(CA127=1,0,ROUNDUP(BA127/BZ127,0))</f>
        <v>1</v>
      </c>
      <c r="BC127" s="64" t="n">
        <f aca="false">IF(CR127&gt;0,CR127*MAX(1,BA127/X127),IF(CA127=1,IF(BA127&lt;=0,0,CE127*MAX(1,IF(H127&gt;0,BA127/H127,1))),IF(R127&gt;0,BB127/R127,0))/MAX(0.1,N(Parameter!$M$21)))</f>
        <v>0.25</v>
      </c>
      <c r="BD127" s="62" t="n">
        <f aca="false">BC127*CC127</f>
        <v>58.75</v>
      </c>
      <c r="BE127" s="63" t="n">
        <f aca="false">IF(LEFT(Cockpit!$O$5,1)="A",H127,IF(CI127=1,(CL127+CJ127)/2,IF(LEFT(Cockpit!$O$5,1)="B",(CL127+BG127)/2,MAX((CL127+BG127)/2,H127))))</f>
        <v>13.5</v>
      </c>
      <c r="BF127" s="62" t="n">
        <f aca="false">BE127*G127</f>
        <v>263.655</v>
      </c>
      <c r="BG127" s="62" t="n">
        <f aca="false">ROUNDUP(CL127+MAX(CM127,2*(J127/IF(CH127&gt;0,CH127,MAX(0.1,N(Cockpit!$O$6)))-CL127)),0)</f>
        <v>26</v>
      </c>
      <c r="BH127" s="63" t="n">
        <f aca="false">IF(BD127&gt;0,J127/BD127,-1)</f>
        <v>0.425531914893617</v>
      </c>
      <c r="BI127" s="63" t="str">
        <f aca="false">IF(AND(OR(CG127="L1",CG127="L23",CG127="LIFT"),BD127&gt;0),SUMIFS($BD$7:$BD$1843,$CG$7:$CG$1843,CG127,$BH$7:$BH$1843,"&gt;"&amp;BH127)+SUMIFS($BD$7:$BD$1843,$CG$7:$CG$1843,CG127,$BH$7:$BH$1843,BH127,$BX$7:$BX$1843,"&lt;="&amp;BX127),"")</f>
        <v/>
      </c>
      <c r="BJ127" s="70" t="n">
        <f aca="false">IF(BI127="",0,MAX(0,MIN(1,(IF(CG127="L1",Parameter!$H$5,IF(CG127="L23",Parameter!$H$6+Parameter!$H$7,Parameter!$H$5+Parameter!$H$6+Parameter!$H$7))-(BI127-BD127))/BD127)))</f>
        <v>0</v>
      </c>
      <c r="BK127" s="60" t="str">
        <f aca="false">IF(AJ127&lt;=0,"",IF(CG127="Aussen","Aussenlager",IF(CG127="-","Nicht im Lift",IF(AP127&gt;=1,"Lift",IF(AP127&lt;=0,"Aussenlager","teilweise")))))</f>
        <v>Nicht im Lift</v>
      </c>
      <c r="BL127" s="60" t="str">
        <f aca="false">IF(AT127&lt;=0,"",IF(CG127="Aussen","Aussenlager",IF(CG127="-","Nicht im Lift",IF(AZ127&gt;=1,"Lift",IF(AZ127&lt;=0,"Aussenlager","teilweise")))))</f>
        <v>Nicht im Lift</v>
      </c>
      <c r="BM127" s="60" t="str">
        <f aca="false">IF(BD127&lt;=0,"",IF(CG127="Aussen","Aussenlager",IF(CG127="-","Nicht im Lift",IF(BJ127&gt;=1,"Lift",IF(BJ127&lt;=0,"Aussenlager","teilweise")))))</f>
        <v>Nicht im Lift</v>
      </c>
      <c r="BN127" s="60" t="str">
        <f aca="false">IF(A127="","",IF(BW127=1,"Neu; ","")&amp;IF(AND(BW127=0,BR127&lt;0),"negativer Bestand (Export "&amp;BR127&amp;"); ","")&amp;IF(J127&lt;=0,"Kein Verbrauch; ","")&amp;IF(CR127&gt;0,"Lift "&amp;W127&amp;" lt. Liftbericht (Fach "&amp;X127&amp;" Stk); ",IF(CB127=1,"Gebinde geschätzt ("&amp;T127&amp;"); ",IF(CA127=1,"Lose – Tablare geschätzt; ","")))&amp;IF(H127&gt;AW127,"Überbestand "&amp;ROUND(H127-AW127,0)&amp;" Stk / CHF "&amp;ROUND((H127-AW127)*G127,0)&amp;"; ","")&amp;IF(AND(CI127=1,CJ127&lt;CK127),"MAX &lt; MB+LG; ","")&amp;IF(AND(CQ127&gt;0,CP127*10&gt;CQ127),"zu hoch für Tablar; ","")&amp;IF(AND(BW127=0,OR(CI127=1,AB127&lt;&gt;"",U127&lt;&gt;"",V127&lt;&gt;"",AC127&lt;&gt;"")),"manuell übersteuert; ","")&amp;IF(AND(CA127=0,R127=0),"Gebinde unbekannt / Stellmass fehlt; ","")&amp;IF(AND(CA127=0,N(V127)&lt;=0,N(Q127)&lt;=0),"Menge pro Gebinde fehlt (Ist = 1 Gebinde); ","")&amp;BV127)</f>
        <v>Gebinde geschätzt (Gross); Überbestand 87 Stk / CHF 1699; Menge pro Gebinde fehlt (Ist = 1 Gebinde); </v>
      </c>
      <c r="BO127" s="60"/>
      <c r="BP127" s="60"/>
      <c r="BQ127" s="67"/>
      <c r="BR127" s="62" t="n">
        <v>91</v>
      </c>
      <c r="BS127" s="62" t="n">
        <v>22</v>
      </c>
      <c r="BT127" s="61" t="n">
        <v>1776.13</v>
      </c>
      <c r="BU127" s="62" t="n">
        <v>25</v>
      </c>
      <c r="BV127" s="60"/>
      <c r="BW127" s="65" t="n">
        <v>0</v>
      </c>
      <c r="BX127" s="65" t="n">
        <v>127</v>
      </c>
      <c r="BY127" s="60" t="str">
        <f aca="false">IF(U127&lt;&gt;"",UPPER(TRIM(U127)),IF(CB127=1,UPPER(VLOOKUP(T127,Parameter!$I$27:$K$29,2,0)),IF(P127="","LOSE",P127)))</f>
        <v>S81</v>
      </c>
      <c r="BZ127" s="62" t="n">
        <f aca="false">IF(BY127="LOSE",1,IF(N(V127)&gt;0,V127,IF(CB127=1,MAX(1,N(VLOOKUP(T127,Parameter!$I$27:$K$29,3,0)),H127,N(N127)),IF(N(Q127)&gt;0,Q127,MAX(1,H127)))))</f>
        <v>113</v>
      </c>
      <c r="CA127" s="65" t="n">
        <f aca="false">IF(BY127="LOSE",1,0)</f>
        <v>0</v>
      </c>
      <c r="CB127" s="65" t="n">
        <f aca="false">IF(AND(U127="",OR(P127="",P127="LOSE"),T127&lt;&gt;"",N(S127)&lt;=0,ISNUMBER(MATCH(T127,Parameter!$I$27:$I$29,0))),1,0)</f>
        <v>1</v>
      </c>
      <c r="CC127" s="65" t="n">
        <f aca="false">IF(CR127&gt;0,INDEX(Parameter!$H$5:$H$7,W127)/INDEX(Parameter!$E$5:$E$7,W127),IF(AND(CA127=0,N(IFERROR(VLOOKUP(BY127,'Gebinde-Kategorie'!$A$5:$N$45,14,0),0))&gt;0),VLOOKUP(BY127,'Gebinde-Kategorie'!$A$5:$N$45,14,0)*10+Parameter!$M$23,Parameter!$M$24))</f>
        <v>235</v>
      </c>
      <c r="CD127" s="60" t="str">
        <f aca="false">IF(AND(Parameter!$B$19="Ja",E127&lt;&gt;"",ISNUMBER(MATCH(E127,Parameter!$I$35:$I$52,0))),VLOOKUP(E127,Parameter!$I$35:$J$52,2,0),IFERROR(VLOOKUP(D127,Parameter!$A$35:$C$64,2,0),"Nein"))</f>
        <v>Nein</v>
      </c>
      <c r="CE127" s="64" t="n">
        <f aca="false">IF(CA127=0,0,IF(N(S127)&gt;0,S127,IFERROR(VLOOKUP(D127,Parameter!$A$35:$C$64,3,0)+0,0)))</f>
        <v>0</v>
      </c>
      <c r="CF127" s="60" t="str">
        <f aca="false">IF(AB127&lt;&gt;"",AB127,AA127)</f>
        <v>-</v>
      </c>
      <c r="CG127" s="60" t="str">
        <f aca="false">IF(OR(CF127=1,CF127=2,CF127=3),IF(Parameter!$E$27="Ja","LIFT",IF(CF127=1,"L1","L23")),IF(CF127="Aussen","Aussen","-"))</f>
        <v>-</v>
      </c>
      <c r="CH127" s="71" t="n">
        <f aca="false">IF(N(AC127)&gt;0,AC127,0)</f>
        <v>0</v>
      </c>
      <c r="CI127" s="65" t="n">
        <f aca="false">IF(ISNUMBER(AF127),1,0)</f>
        <v>0</v>
      </c>
      <c r="CJ127" s="62" t="n">
        <f aca="false">N(AF127)</f>
        <v>0</v>
      </c>
      <c r="CK127" s="62" t="n">
        <f aca="false">N(M127)+N(N127)</f>
        <v>26</v>
      </c>
      <c r="CL127" s="62" t="n">
        <f aca="false">N(M127)</f>
        <v>1</v>
      </c>
      <c r="CM127" s="62" t="n">
        <f aca="false">N(N127)</f>
        <v>25</v>
      </c>
      <c r="CN127" s="62" t="n">
        <f aca="false">ROUNDUP(H127/BZ127,0)</f>
        <v>1</v>
      </c>
      <c r="CO127" s="62" t="n">
        <f aca="false">ROUNDUP(CJ127/BZ127,0)</f>
        <v>0</v>
      </c>
      <c r="CP127" s="65" t="n">
        <f aca="false">IF(CA127=1,0,IFERROR(VLOOKUP(BY127,'Gebinde-Kategorie'!$A$5:$N$45,5,0)+0,0))</f>
        <v>20</v>
      </c>
      <c r="CQ127" s="65" t="n">
        <f aca="false">IFERROR(IF(OR(CF127=1,CF127=2,CF127=3),N(INDEX(Parameter!$I$5:$I$7,CF127)),0),0)</f>
        <v>0</v>
      </c>
      <c r="CR127" s="64" t="n">
        <f aca="false">IF(AND(Parameter!$B$21="Ja",ISNUMBER(W127),N(X127)&gt;0),IFERROR(N(INDEX(Parameter!$L$5:$L$7,W127))*INDEX(Parameter!$E$5:$E$7,W127)*X127/SUMIFS($X$7:$X$1843,$W$7:$W$1843,W127),0),0)</f>
        <v>0</v>
      </c>
      <c r="CS127" s="62" t="str">
        <f aca="false">IF(AND(OR(CG127="L1",CG127="L23",CG127="LIFT"),H127&gt;0),CC127*IF(CR127&gt;0,CR127*MAX(1,H127/X127),IF(CA127=1,CE127,IF(R127&gt;0,CN127/R127,0))/MAX(0.1,N(Parameter!$M$21))),"")</f>
        <v/>
      </c>
      <c r="CT127" s="64" t="str">
        <f aca="false">IF(CS127="","",J127/H127)</f>
        <v/>
      </c>
      <c r="CU127" s="62" t="str">
        <f aca="false">IF(CS127="","",H127*G127)</f>
        <v/>
      </c>
      <c r="CV127" s="63" t="str">
        <f aca="false">IF(CS127="","",(CL127+ROUNDUP(CL127+MAX(CM127,2*(J127/MAX(0.1,N(Einkauf!$C$6))-CL127)),0))/2)</f>
        <v/>
      </c>
      <c r="CW127" s="62" t="str">
        <f aca="false">IF(CS127="","",MAX(0,H127-CV127)*G127)</f>
        <v/>
      </c>
      <c r="CX127" s="62" t="str">
        <f aca="false">IF(CS127="","",CS127*MAX(0,1-CV127/H127))</f>
        <v/>
      </c>
      <c r="CY127" s="64" t="str">
        <f aca="false">IF(CS127="","",PERCENTRANK($CS$7:$CS$1843,CS127)+PERCENTRANK($CU$7:$CU$1843,CU127)+1-PERCENTRANK($CT$7:$CT$1843,CT127))</f>
        <v/>
      </c>
      <c r="CZ127" s="72" t="str">
        <f aca="false">IF(CS127="","",CHOOSE(MATCH(Einkauf!$C$5,Parameter!$G$23:$G$27,0),CY127,CS127,CU127,-CT127,CW127)+ROW()/1000000000)</f>
        <v/>
      </c>
    </row>
    <row r="128" customFormat="false" ht="15" hidden="false" customHeight="false" outlineLevel="0" collapsed="false">
      <c r="A128" s="60" t="s">
        <v>508</v>
      </c>
      <c r="B128" s="60" t="s">
        <v>473</v>
      </c>
      <c r="C128" s="60" t="s">
        <v>206</v>
      </c>
      <c r="D128" s="60" t="s">
        <v>226</v>
      </c>
      <c r="E128" s="60" t="s">
        <v>227</v>
      </c>
      <c r="F128" s="60" t="s">
        <v>260</v>
      </c>
      <c r="G128" s="61" t="n">
        <v>110.3</v>
      </c>
      <c r="H128" s="62" t="n">
        <f aca="false">MAX(0,IF(AND(Parameter!$B$21="Ja",ISNUMBER(Y128)),Y128,IF(Parameter!$B$20="Jahresanfang 2025 + Export",BS128+BR128,BR128)))</f>
        <v>44</v>
      </c>
      <c r="I128" s="62" t="n">
        <f aca="false">H128*G128</f>
        <v>4853.2</v>
      </c>
      <c r="J128" s="62" t="n">
        <f aca="false">BU128*Parameter!$B$18</f>
        <v>73</v>
      </c>
      <c r="K128" s="63" t="n">
        <v>26.5</v>
      </c>
      <c r="L128" s="64" t="n">
        <v>2.75471698113208</v>
      </c>
      <c r="M128" s="62" t="n">
        <v>10</v>
      </c>
      <c r="N128" s="62" t="n">
        <v>40</v>
      </c>
      <c r="O128" s="65" t="n">
        <v>35</v>
      </c>
      <c r="P128" s="60" t="s">
        <v>335</v>
      </c>
      <c r="Q128" s="62" t="n">
        <v>75</v>
      </c>
      <c r="R128" s="65" t="n">
        <f aca="false">IF(CA128=1,0,IFERROR(VLOOKUP(BY128,'Gebinde-Kategorie'!$A$5:$N$45,13,0)+0,0))</f>
        <v>12</v>
      </c>
      <c r="S128" s="66"/>
      <c r="T128" s="67"/>
      <c r="U128" s="67"/>
      <c r="V128" s="67"/>
      <c r="W128" s="60"/>
      <c r="X128" s="62"/>
      <c r="Y128" s="62"/>
      <c r="Z128" s="60" t="n">
        <v>3</v>
      </c>
      <c r="AA128" s="60" t="n">
        <f aca="false">IF(A128="","",IF(AND(Parameter!$B$21="Ja",ISNUMBER(W128)),W128,IF(AND(Parameter!$E$27="Ja",ISNUMBER(Z128),CD128&lt;&gt;"Nein"),Z128,IF(CD128="2+3",IF(ISNUMBER(SEARCH("grosser Artikel",BV128)),2,IFERROR(VLOOKUP(BY128,Parameter!$F$35:$G$64,2,0),2)),IF(OR(CD128="Nein",CD128=""),"-",CD128)))))</f>
        <v>3</v>
      </c>
      <c r="AB128" s="67"/>
      <c r="AC128" s="68"/>
      <c r="AD128" s="62" t="n">
        <f aca="false">AW128</f>
        <v>50</v>
      </c>
      <c r="AE128" s="62" t="n">
        <f aca="false">MAX(AW128,H128)</f>
        <v>50</v>
      </c>
      <c r="AF128" s="69"/>
      <c r="AG128" s="62" t="n">
        <f aca="false">IF(LEFT(Cockpit!$C$5,1)="A",H128,IF(Parameter!$E$30="MAX-Bestand",IF(CI128=1,CJ128,IF(LEFT(Cockpit!$C$5,1)="B",AM128,MAX(AM128,H128))),ROUNDUP(AK128,0)))</f>
        <v>44</v>
      </c>
      <c r="AH128" s="62" t="n">
        <f aca="false">IF(CA128=1,0,ROUNDUP(AG128/BZ128,0))</f>
        <v>1</v>
      </c>
      <c r="AI128" s="64" t="n">
        <f aca="false">IF(CR128&gt;0,CR128*MAX(1,AG128/X128),IF(CA128=1,IF(AG128&lt;=0,0,CE128*MAX(1,IF(H128&gt;0,AG128/H128,1))),IF(R128&gt;0,AH128/R128,0))/MAX(0.1,N(Parameter!$M$21)))</f>
        <v>0.0833333333333333</v>
      </c>
      <c r="AJ128" s="62" t="n">
        <f aca="false">AI128*CC128</f>
        <v>20.4166666666667</v>
      </c>
      <c r="AK128" s="63" t="n">
        <f aca="false">IF(LEFT(Cockpit!$C$5,1)="A",H128,IF(CI128=1,(CL128+CJ128)/2,IF(LEFT(Cockpit!$C$5,1)="B",(CL128+AM128)/2,MAX((CL128+AM128)/2,H128))))</f>
        <v>44</v>
      </c>
      <c r="AL128" s="62" t="n">
        <f aca="false">AK128*G128</f>
        <v>4853.2</v>
      </c>
      <c r="AM128" s="62" t="n">
        <f aca="false">ROUNDUP(CL128+MAX(CM128,2*(J128/IF(CH128&gt;0,CH128,MAX(0.1,N(Cockpit!$C$6)))-CL128)),0)</f>
        <v>50</v>
      </c>
      <c r="AN128" s="63" t="n">
        <f aca="false">IF(AJ128&gt;0,J128/AJ128,-1)</f>
        <v>3.57551020408163</v>
      </c>
      <c r="AO128" s="63" t="n">
        <f aca="false">IF(AND(OR(CG128="L1",CG128="L23",CG128="LIFT"),AJ128&gt;0),SUMIFS($AJ$7:$AJ$1843,$CG$7:$CG$1843,CG128,$AN$7:$AN$1843,"&gt;"&amp;AN128)+SUMIFS($AJ$7:$AJ$1843,$CG$7:$CG$1843,CG128,$AN$7:$AN$1843,AN128,$BX$7:$BX$1843,"&lt;="&amp;BX128),"")</f>
        <v>4862.1423992674</v>
      </c>
      <c r="AP128" s="70" t="n">
        <f aca="false">IF(AO128="",0,MAX(0,MIN(1,(IF(CG128="L1",Parameter!$H$5,IF(CG128="L23",Parameter!$H$6+Parameter!$H$7,Parameter!$H$5+Parameter!$H$6+Parameter!$H$7))-(AO128-AJ128))/AJ128)))</f>
        <v>1</v>
      </c>
      <c r="AQ128" s="62" t="n">
        <f aca="false">IF(LEFT(Cockpit!$I$5,1)="A",H128,IF(Parameter!$E$30="MAX-Bestand",IF(CI128=1,CJ128,IF(LEFT(Cockpit!$I$5,1)="B",AW128,MAX(AW128,H128))),ROUNDUP(AU128,0)))</f>
        <v>44</v>
      </c>
      <c r="AR128" s="62" t="n">
        <f aca="false">IF(CA128=1,0,ROUNDUP(AQ128/BZ128,0))</f>
        <v>1</v>
      </c>
      <c r="AS128" s="64" t="n">
        <f aca="false">IF(CR128&gt;0,CR128*MAX(1,AQ128/X128),IF(CA128=1,IF(AQ128&lt;=0,0,CE128*MAX(1,IF(H128&gt;0,AQ128/H128,1))),IF(R128&gt;0,AR128/R128,0))/MAX(0.1,N(Parameter!$M$21)))</f>
        <v>0.0833333333333333</v>
      </c>
      <c r="AT128" s="62" t="n">
        <f aca="false">AS128*CC128</f>
        <v>20.4166666666667</v>
      </c>
      <c r="AU128" s="63" t="n">
        <f aca="false">IF(LEFT(Cockpit!$I$5,1)="A",H128,IF(CI128=1,(CL128+CJ128)/2,IF(LEFT(Cockpit!$I$5,1)="B",(CL128+AW128)/2,MAX((CL128+AW128)/2,H128))))</f>
        <v>44</v>
      </c>
      <c r="AV128" s="62" t="n">
        <f aca="false">AU128*G128</f>
        <v>4853.2</v>
      </c>
      <c r="AW128" s="62" t="n">
        <f aca="false">ROUNDUP(CL128+MAX(CM128,2*(J128/IF(CH128&gt;0,CH128,MAX(0.1,N(Cockpit!$I$6)))-CL128)),0)</f>
        <v>50</v>
      </c>
      <c r="AX128" s="63" t="n">
        <f aca="false">IF(AT128&gt;0,J128/AT128,-1)</f>
        <v>3.57551020408163</v>
      </c>
      <c r="AY128" s="63" t="n">
        <f aca="false">IF(AND(OR(CG128="L1",CG128="L23",CG128="LIFT"),AT128&gt;0),SUMIFS($AT$7:$AT$1843,$CG$7:$CG$1843,CG128,$AX$7:$AX$1843,"&gt;"&amp;AX128)+SUMIFS($AT$7:$AT$1843,$CG$7:$CG$1843,CG128,$AX$7:$AX$1843,AX128,$BX$7:$BX$1843,"&lt;="&amp;BX128),"")</f>
        <v>5439.7293956044</v>
      </c>
      <c r="AZ128" s="70" t="n">
        <f aca="false">IF(AY128="",0,MAX(0,MIN(1,(IF(CG128="L1",Parameter!$H$5,IF(CG128="L23",Parameter!$H$6+Parameter!$H$7,Parameter!$H$5+Parameter!$H$6+Parameter!$H$7))-(AY128-AT128))/AT128)))</f>
        <v>1</v>
      </c>
      <c r="BA128" s="62" t="n">
        <f aca="false">IF(LEFT(Cockpit!$O$5,1)="A",H128,IF(Parameter!$E$30="MAX-Bestand",IF(CI128=1,CJ128,IF(LEFT(Cockpit!$O$5,1)="B",BG128,MAX(BG128,H128))),ROUNDUP(BE128,0)))</f>
        <v>30</v>
      </c>
      <c r="BB128" s="62" t="n">
        <f aca="false">IF(CA128=1,0,ROUNDUP(BA128/BZ128,0))</f>
        <v>1</v>
      </c>
      <c r="BC128" s="64" t="n">
        <f aca="false">IF(CR128&gt;0,CR128*MAX(1,BA128/X128),IF(CA128=1,IF(BA128&lt;=0,0,CE128*MAX(1,IF(H128&gt;0,BA128/H128,1))),IF(R128&gt;0,BB128/R128,0))/MAX(0.1,N(Parameter!$M$21)))</f>
        <v>0.0833333333333333</v>
      </c>
      <c r="BD128" s="62" t="n">
        <f aca="false">BC128*CC128</f>
        <v>20.4166666666667</v>
      </c>
      <c r="BE128" s="63" t="n">
        <f aca="false">IF(LEFT(Cockpit!$O$5,1)="A",H128,IF(CI128=1,(CL128+CJ128)/2,IF(LEFT(Cockpit!$O$5,1)="B",(CL128+BG128)/2,MAX((CL128+BG128)/2,H128))))</f>
        <v>30</v>
      </c>
      <c r="BF128" s="62" t="n">
        <f aca="false">BE128*G128</f>
        <v>3309</v>
      </c>
      <c r="BG128" s="62" t="n">
        <f aca="false">ROUNDUP(CL128+MAX(CM128,2*(J128/IF(CH128&gt;0,CH128,MAX(0.1,N(Cockpit!$O$6)))-CL128)),0)</f>
        <v>50</v>
      </c>
      <c r="BH128" s="63" t="n">
        <f aca="false">IF(BD128&gt;0,J128/BD128,-1)</f>
        <v>3.57551020408163</v>
      </c>
      <c r="BI128" s="63" t="n">
        <f aca="false">IF(AND(OR(CG128="L1",CG128="L23",CG128="LIFT"),BD128&gt;0),SUMIFS($BD$7:$BD$1843,$CG$7:$CG$1843,CG128,$BH$7:$BH$1843,"&gt;"&amp;BH128)+SUMIFS($BD$7:$BD$1843,$CG$7:$CG$1843,CG128,$BH$7:$BH$1843,BH128,$BX$7:$BX$1843,"&lt;="&amp;BX128),"")</f>
        <v>4454.22619047619</v>
      </c>
      <c r="BJ128" s="70" t="n">
        <f aca="false">IF(BI128="",0,MAX(0,MIN(1,(IF(CG128="L1",Parameter!$H$5,IF(CG128="L23",Parameter!$H$6+Parameter!$H$7,Parameter!$H$5+Parameter!$H$6+Parameter!$H$7))-(BI128-BD128))/BD128)))</f>
        <v>1</v>
      </c>
      <c r="BK128" s="60" t="str">
        <f aca="false">IF(AJ128&lt;=0,"",IF(CG128="Aussen","Aussenlager",IF(CG128="-","Nicht im Lift",IF(AP128&gt;=1,"Lift",IF(AP128&lt;=0,"Aussenlager","teilweise")))))</f>
        <v>Lift</v>
      </c>
      <c r="BL128" s="60" t="str">
        <f aca="false">IF(AT128&lt;=0,"",IF(CG128="Aussen","Aussenlager",IF(CG128="-","Nicht im Lift",IF(AZ128&gt;=1,"Lift",IF(AZ128&lt;=0,"Aussenlager","teilweise")))))</f>
        <v>Lift</v>
      </c>
      <c r="BM128" s="60" t="str">
        <f aca="false">IF(BD128&lt;=0,"",IF(CG128="Aussen","Aussenlager",IF(CG128="-","Nicht im Lift",IF(BJ128&gt;=1,"Lift",IF(BJ128&lt;=0,"Aussenlager","teilweise")))))</f>
        <v>Lift</v>
      </c>
      <c r="BN128" s="60" t="str">
        <f aca="false">IF(A128="","",IF(BW128=1,"Neu; ","")&amp;IF(AND(BW128=0,BR128&lt;0),"negativer Bestand (Export "&amp;BR128&amp;"); ","")&amp;IF(J128&lt;=0,"Kein Verbrauch; ","")&amp;IF(CR128&gt;0,"Lift "&amp;W128&amp;" lt. Liftbericht (Fach "&amp;X128&amp;" Stk); ",IF(CB128=1,"Gebinde geschätzt ("&amp;T128&amp;"); ",IF(CA128=1,"Lose – Tablare geschätzt; ","")))&amp;IF(H128&gt;AW128,"Überbestand "&amp;ROUND(H128-AW128,0)&amp;" Stk / CHF "&amp;ROUND((H128-AW128)*G128,0)&amp;"; ","")&amp;IF(AND(CI128=1,CJ128&lt;CK128),"MAX &lt; MB+LG; ","")&amp;IF(AND(CQ128&gt;0,CP128*10&gt;CQ128),"zu hoch für Tablar; ","")&amp;IF(AND(BW128=0,OR(CI128=1,AB128&lt;&gt;"",U128&lt;&gt;"",V128&lt;&gt;"",AC128&lt;&gt;"")),"manuell übersteuert; ","")&amp;IF(AND(CA128=0,R128=0),"Gebinde unbekannt / Stellmass fehlt; ","")&amp;IF(AND(CA128=0,N(V128)&lt;=0,N(Q128)&lt;=0),"Menge pro Gebinde fehlt (Ist = 1 Gebinde); ","")&amp;BV128)</f>
        <v/>
      </c>
      <c r="BO128" s="60"/>
      <c r="BP128" s="60"/>
      <c r="BQ128" s="67"/>
      <c r="BR128" s="62" t="n">
        <v>11</v>
      </c>
      <c r="BS128" s="62" t="n">
        <v>33</v>
      </c>
      <c r="BT128" s="61" t="n">
        <v>1770.01</v>
      </c>
      <c r="BU128" s="62" t="n">
        <v>73</v>
      </c>
      <c r="BV128" s="60"/>
      <c r="BW128" s="65" t="n">
        <v>0</v>
      </c>
      <c r="BX128" s="65" t="n">
        <v>128</v>
      </c>
      <c r="BY128" s="60" t="str">
        <f aca="false">IF(U128&lt;&gt;"",UPPER(TRIM(U128)),IF(CB128=1,UPPER(VLOOKUP(T128,Parameter!$I$27:$K$29,2,0)),IF(P128="","LOSE",P128)))</f>
        <v>S62</v>
      </c>
      <c r="BZ128" s="62" t="n">
        <f aca="false">IF(BY128="LOSE",1,IF(N(V128)&gt;0,V128,IF(CB128=1,MAX(1,N(VLOOKUP(T128,Parameter!$I$27:$K$29,3,0)),H128,N(N128)),IF(N(Q128)&gt;0,Q128,MAX(1,H128)))))</f>
        <v>75</v>
      </c>
      <c r="CA128" s="65" t="n">
        <f aca="false">IF(BY128="LOSE",1,0)</f>
        <v>0</v>
      </c>
      <c r="CB128" s="65" t="n">
        <f aca="false">IF(AND(U128="",OR(P128="",P128="LOSE"),T128&lt;&gt;"",N(S128)&lt;=0,ISNUMBER(MATCH(T128,Parameter!$I$27:$I$29,0))),1,0)</f>
        <v>0</v>
      </c>
      <c r="CC128" s="65" t="n">
        <f aca="false">IF(CR128&gt;0,INDEX(Parameter!$H$5:$H$7,W128)/INDEX(Parameter!$E$5:$E$7,W128),IF(AND(CA128=0,N(IFERROR(VLOOKUP(BY128,'Gebinde-Kategorie'!$A$5:$N$45,14,0),0))&gt;0),VLOOKUP(BY128,'Gebinde-Kategorie'!$A$5:$N$45,14,0)*10+Parameter!$M$23,Parameter!$M$24))</f>
        <v>245</v>
      </c>
      <c r="CD128" s="60" t="str">
        <f aca="false">IF(AND(Parameter!$B$19="Ja",E128&lt;&gt;"",ISNUMBER(MATCH(E128,Parameter!$I$35:$I$52,0))),VLOOKUP(E128,Parameter!$I$35:$J$52,2,0),IFERROR(VLOOKUP(D128,Parameter!$A$35:$C$64,2,0),"Nein"))</f>
        <v>2+3</v>
      </c>
      <c r="CE128" s="64" t="n">
        <f aca="false">IF(CA128=0,0,IF(N(S128)&gt;0,S128,IFERROR(VLOOKUP(D128,Parameter!$A$35:$C$64,3,0)+0,0)))</f>
        <v>0</v>
      </c>
      <c r="CF128" s="60" t="n">
        <f aca="false">IF(AB128&lt;&gt;"",AB128,AA128)</f>
        <v>3</v>
      </c>
      <c r="CG128" s="60" t="str">
        <f aca="false">IF(OR(CF128=1,CF128=2,CF128=3),IF(Parameter!$E$27="Ja","LIFT",IF(CF128=1,"L1","L23")),IF(CF128="Aussen","Aussen","-"))</f>
        <v>LIFT</v>
      </c>
      <c r="CH128" s="71" t="n">
        <f aca="false">IF(N(AC128)&gt;0,AC128,0)</f>
        <v>0</v>
      </c>
      <c r="CI128" s="65" t="n">
        <f aca="false">IF(ISNUMBER(AF128),1,0)</f>
        <v>0</v>
      </c>
      <c r="CJ128" s="62" t="n">
        <f aca="false">N(AF128)</f>
        <v>0</v>
      </c>
      <c r="CK128" s="62" t="n">
        <f aca="false">N(M128)+N(N128)</f>
        <v>50</v>
      </c>
      <c r="CL128" s="62" t="n">
        <f aca="false">N(M128)</f>
        <v>10</v>
      </c>
      <c r="CM128" s="62" t="n">
        <f aca="false">N(N128)</f>
        <v>40</v>
      </c>
      <c r="CN128" s="62" t="n">
        <f aca="false">ROUNDUP(H128/BZ128,0)</f>
        <v>1</v>
      </c>
      <c r="CO128" s="62" t="n">
        <f aca="false">ROUNDUP(CJ128/BZ128,0)</f>
        <v>0</v>
      </c>
      <c r="CP128" s="65" t="n">
        <f aca="false">IF(CA128=1,0,IFERROR(VLOOKUP(BY128,'Gebinde-Kategorie'!$A$5:$N$45,5,0)+0,0))</f>
        <v>21</v>
      </c>
      <c r="CQ128" s="65" t="n">
        <f aca="false">IFERROR(IF(OR(CF128=1,CF128=2,CF128=3),N(INDEX(Parameter!$I$5:$I$7,CF128)),0),0)</f>
        <v>0</v>
      </c>
      <c r="CR128" s="64" t="n">
        <f aca="false">IF(AND(Parameter!$B$21="Ja",ISNUMBER(W128),N(X128)&gt;0),IFERROR(N(INDEX(Parameter!$L$5:$L$7,W128))*INDEX(Parameter!$E$5:$E$7,W128)*X128/SUMIFS($X$7:$X$1843,$W$7:$W$1843,W128),0),0)</f>
        <v>0</v>
      </c>
      <c r="CS128" s="62" t="n">
        <f aca="false">IF(AND(OR(CG128="L1",CG128="L23",CG128="LIFT"),H128&gt;0),CC128*IF(CR128&gt;0,CR128*MAX(1,H128/X128),IF(CA128=1,CE128,IF(R128&gt;0,CN128/R128,0))/MAX(0.1,N(Parameter!$M$21))),"")</f>
        <v>20.4166666666667</v>
      </c>
      <c r="CT128" s="64" t="n">
        <f aca="false">IF(CS128="","",J128/H128)</f>
        <v>1.65909090909091</v>
      </c>
      <c r="CU128" s="62" t="n">
        <f aca="false">IF(CS128="","",H128*G128)</f>
        <v>4853.2</v>
      </c>
      <c r="CV128" s="63" t="n">
        <f aca="false">IF(CS128="","",(CL128+ROUNDUP(CL128+MAX(CM128,2*(J128/MAX(0.1,N(Einkauf!$C$6))-CL128)),0))/2)</f>
        <v>30</v>
      </c>
      <c r="CW128" s="62" t="n">
        <f aca="false">IF(CS128="","",MAX(0,H128-CV128)*G128)</f>
        <v>1544.2</v>
      </c>
      <c r="CX128" s="62" t="n">
        <f aca="false">IF(CS128="","",CS128*MAX(0,1-CV128/H128))</f>
        <v>6.49621212121212</v>
      </c>
      <c r="CY128" s="64" t="n">
        <f aca="false">IF(CS128="","",PERCENTRANK($CS$7:$CS$1843,CS128)+PERCENTRANK($CU$7:$CU$1843,CU128)+1-PERCENTRANK($CT$7:$CT$1843,CT128))</f>
        <v>1.9</v>
      </c>
      <c r="CZ128" s="72" t="n">
        <f aca="false">IF(CS128="","",CHOOSE(MATCH(Einkauf!$C$5,Parameter!$G$23:$G$27,0),CY128,CS128,CU128,-CT128,CW128)+ROW()/1000000000)</f>
        <v>1.900000128</v>
      </c>
    </row>
    <row r="129" customFormat="false" ht="15" hidden="false" customHeight="false" outlineLevel="0" collapsed="false">
      <c r="A129" s="60" t="s">
        <v>509</v>
      </c>
      <c r="B129" s="60" t="s">
        <v>510</v>
      </c>
      <c r="C129" s="60" t="s">
        <v>206</v>
      </c>
      <c r="D129" s="60" t="s">
        <v>226</v>
      </c>
      <c r="E129" s="60" t="s">
        <v>227</v>
      </c>
      <c r="F129" s="60" t="s">
        <v>260</v>
      </c>
      <c r="G129" s="61" t="n">
        <v>3.7</v>
      </c>
      <c r="H129" s="62" t="n">
        <f aca="false">MAX(0,IF(AND(Parameter!$B$21="Ja",ISNUMBER(Y129)),Y129,IF(Parameter!$B$20="Jahresanfang 2025 + Export",BS129+BR129,BR129)))</f>
        <v>601</v>
      </c>
      <c r="I129" s="62" t="n">
        <f aca="false">H129*G129</f>
        <v>2223.7</v>
      </c>
      <c r="J129" s="62" t="n">
        <f aca="false">BU129*Parameter!$B$18</f>
        <v>689</v>
      </c>
      <c r="K129" s="63" t="n">
        <v>214</v>
      </c>
      <c r="L129" s="64" t="n">
        <v>3.2196261682243</v>
      </c>
      <c r="M129" s="62" t="n">
        <v>26</v>
      </c>
      <c r="N129" s="62" t="n">
        <v>690</v>
      </c>
      <c r="O129" s="65" t="n">
        <v>14</v>
      </c>
      <c r="P129" s="60" t="s">
        <v>275</v>
      </c>
      <c r="Q129" s="62" t="n">
        <v>331</v>
      </c>
      <c r="R129" s="65" t="n">
        <f aca="false">IF(CA129=1,0,IFERROR(VLOOKUP(BY129,'Gebinde-Kategorie'!$A$5:$N$45,13,0)+0,0))</f>
        <v>26</v>
      </c>
      <c r="S129" s="66"/>
      <c r="T129" s="67"/>
      <c r="U129" s="67"/>
      <c r="V129" s="67"/>
      <c r="W129" s="60"/>
      <c r="X129" s="62"/>
      <c r="Y129" s="62"/>
      <c r="Z129" s="60" t="n">
        <v>3</v>
      </c>
      <c r="AA129" s="60" t="n">
        <f aca="false">IF(A129="","",IF(AND(Parameter!$B$21="Ja",ISNUMBER(W129)),W129,IF(AND(Parameter!$E$27="Ja",ISNUMBER(Z129),CD129&lt;&gt;"Nein"),Z129,IF(CD129="2+3",IF(ISNUMBER(SEARCH("grosser Artikel",BV129)),2,IFERROR(VLOOKUP(BY129,Parameter!$F$35:$G$64,2,0),2)),IF(OR(CD129="Nein",CD129=""),"-",CD129)))))</f>
        <v>3</v>
      </c>
      <c r="AB129" s="67"/>
      <c r="AC129" s="68"/>
      <c r="AD129" s="62" t="n">
        <f aca="false">AW129</f>
        <v>716</v>
      </c>
      <c r="AE129" s="62" t="n">
        <f aca="false">MAX(AW129,H129)</f>
        <v>716</v>
      </c>
      <c r="AF129" s="69"/>
      <c r="AG129" s="62" t="n">
        <f aca="false">IF(LEFT(Cockpit!$C$5,1)="A",H129,IF(Parameter!$E$30="MAX-Bestand",IF(CI129=1,CJ129,IF(LEFT(Cockpit!$C$5,1)="B",AM129,MAX(AM129,H129))),ROUNDUP(AK129,0)))</f>
        <v>601</v>
      </c>
      <c r="AH129" s="62" t="n">
        <f aca="false">IF(CA129=1,0,ROUNDUP(AG129/BZ129,0))</f>
        <v>2</v>
      </c>
      <c r="AI129" s="64" t="n">
        <f aca="false">IF(CR129&gt;0,CR129*MAX(1,AG129/X129),IF(CA129=1,IF(AG129&lt;=0,0,CE129*MAX(1,IF(H129&gt;0,AG129/H129,1))),IF(R129&gt;0,AH129/R129,0))/MAX(0.1,N(Parameter!$M$21)))</f>
        <v>0.0769230769230769</v>
      </c>
      <c r="AJ129" s="62" t="n">
        <f aca="false">AI129*CC129</f>
        <v>18.8461538461538</v>
      </c>
      <c r="AK129" s="63" t="n">
        <f aca="false">IF(LEFT(Cockpit!$C$5,1)="A",H129,IF(CI129=1,(CL129+CJ129)/2,IF(LEFT(Cockpit!$C$5,1)="B",(CL129+AM129)/2,MAX((CL129+AM129)/2,H129))))</f>
        <v>601</v>
      </c>
      <c r="AL129" s="62" t="n">
        <f aca="false">AK129*G129</f>
        <v>2223.7</v>
      </c>
      <c r="AM129" s="62" t="n">
        <f aca="false">ROUNDUP(CL129+MAX(CM129,2*(J129/IF(CH129&gt;0,CH129,MAX(0.1,N(Cockpit!$C$6)))-CL129)),0)</f>
        <v>716</v>
      </c>
      <c r="AN129" s="63" t="n">
        <f aca="false">IF(AJ129&gt;0,J129/AJ129,-1)</f>
        <v>36.5591836734694</v>
      </c>
      <c r="AO129" s="63" t="n">
        <f aca="false">IF(AND(OR(CG129="L1",CG129="L23",CG129="LIFT"),AJ129&gt;0),SUMIFS($AJ$7:$AJ$1843,$CG$7:$CG$1843,CG129,$AN$7:$AN$1843,"&gt;"&amp;AN129)+SUMIFS($AJ$7:$AJ$1843,$CG$7:$CG$1843,CG129,$AN$7:$AN$1843,AN129,$BX$7:$BX$1843,"&lt;="&amp;BX129),"")</f>
        <v>1280.70192307692</v>
      </c>
      <c r="AP129" s="70" t="n">
        <f aca="false">IF(AO129="",0,MAX(0,MIN(1,(IF(CG129="L1",Parameter!$H$5,IF(CG129="L23",Parameter!$H$6+Parameter!$H$7,Parameter!$H$5+Parameter!$H$6+Parameter!$H$7))-(AO129-AJ129))/AJ129)))</f>
        <v>1</v>
      </c>
      <c r="AQ129" s="62" t="n">
        <f aca="false">IF(LEFT(Cockpit!$I$5,1)="A",H129,IF(Parameter!$E$30="MAX-Bestand",IF(CI129=1,CJ129,IF(LEFT(Cockpit!$I$5,1)="B",AW129,MAX(AW129,H129))),ROUNDUP(AU129,0)))</f>
        <v>601</v>
      </c>
      <c r="AR129" s="62" t="n">
        <f aca="false">IF(CA129=1,0,ROUNDUP(AQ129/BZ129,0))</f>
        <v>2</v>
      </c>
      <c r="AS129" s="64" t="n">
        <f aca="false">IF(CR129&gt;0,CR129*MAX(1,AQ129/X129),IF(CA129=1,IF(AQ129&lt;=0,0,CE129*MAX(1,IF(H129&gt;0,AQ129/H129,1))),IF(R129&gt;0,AR129/R129,0))/MAX(0.1,N(Parameter!$M$21)))</f>
        <v>0.0769230769230769</v>
      </c>
      <c r="AT129" s="62" t="n">
        <f aca="false">AS129*CC129</f>
        <v>18.8461538461538</v>
      </c>
      <c r="AU129" s="63" t="n">
        <f aca="false">IF(LEFT(Cockpit!$I$5,1)="A",H129,IF(CI129=1,(CL129+CJ129)/2,IF(LEFT(Cockpit!$I$5,1)="B",(CL129+AW129)/2,MAX((CL129+AW129)/2,H129))))</f>
        <v>601</v>
      </c>
      <c r="AV129" s="62" t="n">
        <f aca="false">AU129*G129</f>
        <v>2223.7</v>
      </c>
      <c r="AW129" s="62" t="n">
        <f aca="false">ROUNDUP(CL129+MAX(CM129,2*(J129/IF(CH129&gt;0,CH129,MAX(0.1,N(Cockpit!$I$6)))-CL129)),0)</f>
        <v>716</v>
      </c>
      <c r="AX129" s="63" t="n">
        <f aca="false">IF(AT129&gt;0,J129/AT129,-1)</f>
        <v>36.5591836734694</v>
      </c>
      <c r="AY129" s="63" t="n">
        <f aca="false">IF(AND(OR(CG129="L1",CG129="L23",CG129="LIFT"),AT129&gt;0),SUMIFS($AT$7:$AT$1843,$CG$7:$CG$1843,CG129,$AX$7:$AX$1843,"&gt;"&amp;AX129)+SUMIFS($AT$7:$AT$1843,$CG$7:$CG$1843,CG129,$AX$7:$AX$1843,AX129,$BX$7:$BX$1843,"&lt;="&amp;BX129),"")</f>
        <v>1599.25366300366</v>
      </c>
      <c r="AZ129" s="70" t="n">
        <f aca="false">IF(AY129="",0,MAX(0,MIN(1,(IF(CG129="L1",Parameter!$H$5,IF(CG129="L23",Parameter!$H$6+Parameter!$H$7,Parameter!$H$5+Parameter!$H$6+Parameter!$H$7))-(AY129-AT129))/AT129)))</f>
        <v>1</v>
      </c>
      <c r="BA129" s="62" t="n">
        <f aca="false">IF(LEFT(Cockpit!$O$5,1)="A",H129,IF(Parameter!$E$30="MAX-Bestand",IF(CI129=1,CJ129,IF(LEFT(Cockpit!$O$5,1)="B",BG129,MAX(BG129,H129))),ROUNDUP(BE129,0)))</f>
        <v>371</v>
      </c>
      <c r="BB129" s="62" t="n">
        <f aca="false">IF(CA129=1,0,ROUNDUP(BA129/BZ129,0))</f>
        <v>2</v>
      </c>
      <c r="BC129" s="64" t="n">
        <f aca="false">IF(CR129&gt;0,CR129*MAX(1,BA129/X129),IF(CA129=1,IF(BA129&lt;=0,0,CE129*MAX(1,IF(H129&gt;0,BA129/H129,1))),IF(R129&gt;0,BB129/R129,0))/MAX(0.1,N(Parameter!$M$21)))</f>
        <v>0.0769230769230769</v>
      </c>
      <c r="BD129" s="62" t="n">
        <f aca="false">BC129*CC129</f>
        <v>18.8461538461538</v>
      </c>
      <c r="BE129" s="63" t="n">
        <f aca="false">IF(LEFT(Cockpit!$O$5,1)="A",H129,IF(CI129=1,(CL129+CJ129)/2,IF(LEFT(Cockpit!$O$5,1)="B",(CL129+BG129)/2,MAX((CL129+BG129)/2,H129))))</f>
        <v>371</v>
      </c>
      <c r="BF129" s="62" t="n">
        <f aca="false">BE129*G129</f>
        <v>1372.7</v>
      </c>
      <c r="BG129" s="62" t="n">
        <f aca="false">ROUNDUP(CL129+MAX(CM129,2*(J129/IF(CH129&gt;0,CH129,MAX(0.1,N(Cockpit!$O$6)))-CL129)),0)</f>
        <v>716</v>
      </c>
      <c r="BH129" s="63" t="n">
        <f aca="false">IF(BD129&gt;0,J129/BD129,-1)</f>
        <v>36.5591836734694</v>
      </c>
      <c r="BI129" s="63" t="n">
        <f aca="false">IF(AND(OR(CG129="L1",CG129="L23",CG129="LIFT"),BD129&gt;0),SUMIFS($BD$7:$BD$1843,$CG$7:$CG$1843,CG129,$BH$7:$BH$1843,"&gt;"&amp;BH129)+SUMIFS($BD$7:$BD$1843,$CG$7:$CG$1843,CG129,$BH$7:$BH$1843,BH129,$BX$7:$BX$1843,"&lt;="&amp;BX129),"")</f>
        <v>1527.45512820513</v>
      </c>
      <c r="BJ129" s="70" t="n">
        <f aca="false">IF(BI129="",0,MAX(0,MIN(1,(IF(CG129="L1",Parameter!$H$5,IF(CG129="L23",Parameter!$H$6+Parameter!$H$7,Parameter!$H$5+Parameter!$H$6+Parameter!$H$7))-(BI129-BD129))/BD129)))</f>
        <v>1</v>
      </c>
      <c r="BK129" s="60" t="str">
        <f aca="false">IF(AJ129&lt;=0,"",IF(CG129="Aussen","Aussenlager",IF(CG129="-","Nicht im Lift",IF(AP129&gt;=1,"Lift",IF(AP129&lt;=0,"Aussenlager","teilweise")))))</f>
        <v>Lift</v>
      </c>
      <c r="BL129" s="60" t="str">
        <f aca="false">IF(AT129&lt;=0,"",IF(CG129="Aussen","Aussenlager",IF(CG129="-","Nicht im Lift",IF(AZ129&gt;=1,"Lift",IF(AZ129&lt;=0,"Aussenlager","teilweise")))))</f>
        <v>Lift</v>
      </c>
      <c r="BM129" s="60" t="str">
        <f aca="false">IF(BD129&lt;=0,"",IF(CG129="Aussen","Aussenlager",IF(CG129="-","Nicht im Lift",IF(BJ129&gt;=1,"Lift",IF(BJ129&lt;=0,"Aussenlager","teilweise")))))</f>
        <v>Lift</v>
      </c>
      <c r="BN129" s="60" t="str">
        <f aca="false">IF(A129="","",IF(BW129=1,"Neu; ","")&amp;IF(AND(BW129=0,BR129&lt;0),"negativer Bestand (Export "&amp;BR129&amp;"); ","")&amp;IF(J129&lt;=0,"Kein Verbrauch; ","")&amp;IF(CR129&gt;0,"Lift "&amp;W129&amp;" lt. Liftbericht (Fach "&amp;X129&amp;" Stk); ",IF(CB129=1,"Gebinde geschätzt ("&amp;T129&amp;"); ",IF(CA129=1,"Lose – Tablare geschätzt; ","")))&amp;IF(H129&gt;AW129,"Überbestand "&amp;ROUND(H129-AW129,0)&amp;" Stk / CHF "&amp;ROUND((H129-AW129)*G129,0)&amp;"; ","")&amp;IF(AND(CI129=1,CJ129&lt;CK129),"MAX &lt; MB+LG; ","")&amp;IF(AND(CQ129&gt;0,CP129*10&gt;CQ129),"zu hoch für Tablar; ","")&amp;IF(AND(BW129=0,OR(CI129=1,AB129&lt;&gt;"",U129&lt;&gt;"",V129&lt;&gt;"",AC129&lt;&gt;"")),"manuell übersteuert; ","")&amp;IF(AND(CA129=0,R129=0),"Gebinde unbekannt / Stellmass fehlt; ","")&amp;IF(AND(CA129=0,N(V129)&lt;=0,N(Q129)&lt;=0),"Menge pro Gebinde fehlt (Ist = 1 Gebinde); ","")&amp;BV129)</f>
        <v/>
      </c>
      <c r="BO129" s="60"/>
      <c r="BP129" s="60"/>
      <c r="BQ129" s="67"/>
      <c r="BR129" s="62" t="n">
        <v>487</v>
      </c>
      <c r="BS129" s="62" t="n">
        <v>114</v>
      </c>
      <c r="BT129" s="61" t="n">
        <v>1761.24</v>
      </c>
      <c r="BU129" s="62" t="n">
        <v>689</v>
      </c>
      <c r="BV129" s="60"/>
      <c r="BW129" s="65" t="n">
        <v>0</v>
      </c>
      <c r="BX129" s="65" t="n">
        <v>129</v>
      </c>
      <c r="BY129" s="60" t="str">
        <f aca="false">IF(U129&lt;&gt;"",UPPER(TRIM(U129)),IF(CB129=1,UPPER(VLOOKUP(T129,Parameter!$I$27:$K$29,2,0)),IF(P129="","LOSE",P129)))</f>
        <v>S52</v>
      </c>
      <c r="BZ129" s="62" t="n">
        <f aca="false">IF(BY129="LOSE",1,IF(N(V129)&gt;0,V129,IF(CB129=1,MAX(1,N(VLOOKUP(T129,Parameter!$I$27:$K$29,3,0)),H129,N(N129)),IF(N(Q129)&gt;0,Q129,MAX(1,H129)))))</f>
        <v>331</v>
      </c>
      <c r="CA129" s="65" t="n">
        <f aca="false">IF(BY129="LOSE",1,0)</f>
        <v>0</v>
      </c>
      <c r="CB129" s="65" t="n">
        <f aca="false">IF(AND(U129="",OR(P129="",P129="LOSE"),T129&lt;&gt;"",N(S129)&lt;=0,ISNUMBER(MATCH(T129,Parameter!$I$27:$I$29,0))),1,0)</f>
        <v>0</v>
      </c>
      <c r="CC129" s="65" t="n">
        <f aca="false">IF(CR129&gt;0,INDEX(Parameter!$H$5:$H$7,W129)/INDEX(Parameter!$E$5:$E$7,W129),IF(AND(CA129=0,N(IFERROR(VLOOKUP(BY129,'Gebinde-Kategorie'!$A$5:$N$45,14,0),0))&gt;0),VLOOKUP(BY129,'Gebinde-Kategorie'!$A$5:$N$45,14,0)*10+Parameter!$M$23,Parameter!$M$24))</f>
        <v>245</v>
      </c>
      <c r="CD129" s="60" t="str">
        <f aca="false">IF(AND(Parameter!$B$19="Ja",E129&lt;&gt;"",ISNUMBER(MATCH(E129,Parameter!$I$35:$I$52,0))),VLOOKUP(E129,Parameter!$I$35:$J$52,2,0),IFERROR(VLOOKUP(D129,Parameter!$A$35:$C$64,2,0),"Nein"))</f>
        <v>2+3</v>
      </c>
      <c r="CE129" s="64" t="n">
        <f aca="false">IF(CA129=0,0,IF(N(S129)&gt;0,S129,IFERROR(VLOOKUP(D129,Parameter!$A$35:$C$64,3,0)+0,0)))</f>
        <v>0</v>
      </c>
      <c r="CF129" s="60" t="n">
        <f aca="false">IF(AB129&lt;&gt;"",AB129,AA129)</f>
        <v>3</v>
      </c>
      <c r="CG129" s="60" t="str">
        <f aca="false">IF(OR(CF129=1,CF129=2,CF129=3),IF(Parameter!$E$27="Ja","LIFT",IF(CF129=1,"L1","L23")),IF(CF129="Aussen","Aussen","-"))</f>
        <v>LIFT</v>
      </c>
      <c r="CH129" s="71" t="n">
        <f aca="false">IF(N(AC129)&gt;0,AC129,0)</f>
        <v>0</v>
      </c>
      <c r="CI129" s="65" t="n">
        <f aca="false">IF(ISNUMBER(AF129),1,0)</f>
        <v>0</v>
      </c>
      <c r="CJ129" s="62" t="n">
        <f aca="false">N(AF129)</f>
        <v>0</v>
      </c>
      <c r="CK129" s="62" t="n">
        <f aca="false">N(M129)+N(N129)</f>
        <v>716</v>
      </c>
      <c r="CL129" s="62" t="n">
        <f aca="false">N(M129)</f>
        <v>26</v>
      </c>
      <c r="CM129" s="62" t="n">
        <f aca="false">N(N129)</f>
        <v>690</v>
      </c>
      <c r="CN129" s="62" t="n">
        <f aca="false">ROUNDUP(H129/BZ129,0)</f>
        <v>2</v>
      </c>
      <c r="CO129" s="62" t="n">
        <f aca="false">ROUNDUP(CJ129/BZ129,0)</f>
        <v>0</v>
      </c>
      <c r="CP129" s="65" t="n">
        <f aca="false">IF(CA129=1,0,IFERROR(VLOOKUP(BY129,'Gebinde-Kategorie'!$A$5:$N$45,5,0)+0,0))</f>
        <v>21</v>
      </c>
      <c r="CQ129" s="65" t="n">
        <f aca="false">IFERROR(IF(OR(CF129=1,CF129=2,CF129=3),N(INDEX(Parameter!$I$5:$I$7,CF129)),0),0)</f>
        <v>0</v>
      </c>
      <c r="CR129" s="64" t="n">
        <f aca="false">IF(AND(Parameter!$B$21="Ja",ISNUMBER(W129),N(X129)&gt;0),IFERROR(N(INDEX(Parameter!$L$5:$L$7,W129))*INDEX(Parameter!$E$5:$E$7,W129)*X129/SUMIFS($X$7:$X$1843,$W$7:$W$1843,W129),0),0)</f>
        <v>0</v>
      </c>
      <c r="CS129" s="62" t="n">
        <f aca="false">IF(AND(OR(CG129="L1",CG129="L23",CG129="LIFT"),H129&gt;0),CC129*IF(CR129&gt;0,CR129*MAX(1,H129/X129),IF(CA129=1,CE129,IF(R129&gt;0,CN129/R129,0))/MAX(0.1,N(Parameter!$M$21))),"")</f>
        <v>18.8461538461538</v>
      </c>
      <c r="CT129" s="64" t="n">
        <f aca="false">IF(CS129="","",J129/H129)</f>
        <v>1.14642262895175</v>
      </c>
      <c r="CU129" s="62" t="n">
        <f aca="false">IF(CS129="","",H129*G129)</f>
        <v>2223.7</v>
      </c>
      <c r="CV129" s="63" t="n">
        <f aca="false">IF(CS129="","",(CL129+ROUNDUP(CL129+MAX(CM129,2*(J129/MAX(0.1,N(Einkauf!$C$6))-CL129)),0))/2)</f>
        <v>371</v>
      </c>
      <c r="CW129" s="62" t="n">
        <f aca="false">IF(CS129="","",MAX(0,H129-CV129)*G129)</f>
        <v>851</v>
      </c>
      <c r="CX129" s="62" t="n">
        <f aca="false">IF(CS129="","",CS129*MAX(0,1-CV129/H129))</f>
        <v>7.21233841034174</v>
      </c>
      <c r="CY129" s="64" t="n">
        <f aca="false">IF(CS129="","",PERCENTRANK($CS$7:$CS$1843,CS129)+PERCENTRANK($CU$7:$CU$1843,CU129)+1-PERCENTRANK($CT$7:$CT$1843,CT129))</f>
        <v>1.854</v>
      </c>
      <c r="CZ129" s="72" t="n">
        <f aca="false">IF(CS129="","",CHOOSE(MATCH(Einkauf!$C$5,Parameter!$G$23:$G$27,0),CY129,CS129,CU129,-CT129,CW129)+ROW()/1000000000)</f>
        <v>1.854000129</v>
      </c>
    </row>
    <row r="130" customFormat="false" ht="15" hidden="false" customHeight="false" outlineLevel="0" collapsed="false">
      <c r="A130" s="60" t="s">
        <v>511</v>
      </c>
      <c r="B130" s="60" t="s">
        <v>205</v>
      </c>
      <c r="C130" s="60" t="s">
        <v>206</v>
      </c>
      <c r="D130" s="60" t="s">
        <v>207</v>
      </c>
      <c r="E130" s="60" t="s">
        <v>208</v>
      </c>
      <c r="F130" s="60" t="s">
        <v>260</v>
      </c>
      <c r="G130" s="61" t="n">
        <v>3280</v>
      </c>
      <c r="H130" s="62" t="n">
        <f aca="false">MAX(0,IF(AND(Parameter!$B$21="Ja",ISNUMBER(Y130)),Y130,IF(Parameter!$B$20="Jahresanfang 2025 + Export",BS130+BR130,BR130)))</f>
        <v>1</v>
      </c>
      <c r="I130" s="62" t="n">
        <f aca="false">H130*G130</f>
        <v>3280</v>
      </c>
      <c r="J130" s="62" t="n">
        <f aca="false">BU130*Parameter!$B$18</f>
        <v>3</v>
      </c>
      <c r="K130" s="63" t="n">
        <v>0.5</v>
      </c>
      <c r="L130" s="64" t="n">
        <v>6</v>
      </c>
      <c r="M130" s="62" t="n">
        <v>0</v>
      </c>
      <c r="N130" s="62" t="n">
        <v>1</v>
      </c>
      <c r="O130" s="65" t="n">
        <v>58</v>
      </c>
      <c r="P130" s="60" t="s">
        <v>210</v>
      </c>
      <c r="Q130" s="62"/>
      <c r="R130" s="65" t="n">
        <f aca="false">IF(CA130=1,0,IFERROR(VLOOKUP(BY130,'Gebinde-Kategorie'!$A$5:$N$45,13,0)+0,0))</f>
        <v>0</v>
      </c>
      <c r="S130" s="66"/>
      <c r="T130" s="67"/>
      <c r="U130" s="67"/>
      <c r="V130" s="67"/>
      <c r="W130" s="60" t="n">
        <v>1</v>
      </c>
      <c r="X130" s="62" t="n">
        <v>2</v>
      </c>
      <c r="Y130" s="62" t="n">
        <v>1</v>
      </c>
      <c r="Z130" s="60" t="n">
        <v>1</v>
      </c>
      <c r="AA130" s="60" t="n">
        <f aca="false">IF(A130="","",IF(AND(Parameter!$B$21="Ja",ISNUMBER(W130)),W130,IF(AND(Parameter!$E$27="Ja",ISNUMBER(Z130),CD130&lt;&gt;"Nein"),Z130,IF(CD130="2+3",IF(ISNUMBER(SEARCH("grosser Artikel",BV130)),2,IFERROR(VLOOKUP(BY130,Parameter!$F$35:$G$64,2,0),2)),IF(OR(CD130="Nein",CD130=""),"-",CD130)))))</f>
        <v>1</v>
      </c>
      <c r="AB130" s="67"/>
      <c r="AC130" s="68"/>
      <c r="AD130" s="62" t="n">
        <f aca="false">AW130</f>
        <v>2</v>
      </c>
      <c r="AE130" s="62" t="n">
        <f aca="false">MAX(AW130,H130)</f>
        <v>2</v>
      </c>
      <c r="AF130" s="69"/>
      <c r="AG130" s="62" t="n">
        <f aca="false">IF(LEFT(Cockpit!$C$5,1)="A",H130,IF(Parameter!$E$30="MAX-Bestand",IF(CI130=1,CJ130,IF(LEFT(Cockpit!$C$5,1)="B",AM130,MAX(AM130,H130))),ROUNDUP(AK130,0)))</f>
        <v>1</v>
      </c>
      <c r="AH130" s="62" t="n">
        <f aca="false">IF(CA130=1,0,ROUNDUP(AG130/BZ130,0))</f>
        <v>0</v>
      </c>
      <c r="AI130" s="64" t="n">
        <f aca="false">IF(CR130&gt;0,CR130*MAX(1,AG130/X130),IF(CA130=1,IF(AG130&lt;=0,0,CE130*MAX(1,IF(H130&gt;0,AG130/H130,1))),IF(R130&gt;0,AH130/R130,0))/MAX(0.1,N(Parameter!$M$21)))</f>
        <v>0.160075329566855</v>
      </c>
      <c r="AJ130" s="62" t="n">
        <f aca="false">AI130*CC130</f>
        <v>38.0979284369115</v>
      </c>
      <c r="AK130" s="63" t="n">
        <f aca="false">IF(LEFT(Cockpit!$C$5,1)="A",H130,IF(CI130=1,(CL130+CJ130)/2,IF(LEFT(Cockpit!$C$5,1)="B",(CL130+AM130)/2,MAX((CL130+AM130)/2,H130))))</f>
        <v>1</v>
      </c>
      <c r="AL130" s="62" t="n">
        <f aca="false">AK130*G130</f>
        <v>3280</v>
      </c>
      <c r="AM130" s="62" t="n">
        <f aca="false">ROUNDUP(CL130+MAX(CM130,2*(J130/IF(CH130&gt;0,CH130,MAX(0.1,N(Cockpit!$C$6)))-CL130)),0)</f>
        <v>2</v>
      </c>
      <c r="AN130" s="63" t="n">
        <f aca="false">IF(AJ130&gt;0,J130/AJ130,-1)</f>
        <v>0.0787444389520514</v>
      </c>
      <c r="AO130" s="63" t="n">
        <f aca="false">IF(AND(OR(CG130="L1",CG130="L23",CG130="LIFT"),AJ130&gt;0),SUMIFS($AJ$7:$AJ$1843,$CG$7:$CG$1843,CG130,$AN$7:$AN$1843,"&gt;"&amp;AN130)+SUMIFS($AJ$7:$AJ$1843,$CG$7:$CG$1843,CG130,$AN$7:$AN$1843,AN130,$BX$7:$BX$1843,"&lt;="&amp;BX130),"")</f>
        <v>17181.0179450963</v>
      </c>
      <c r="AP130" s="70" t="n">
        <f aca="false">IF(AO130="",0,MAX(0,MIN(1,(IF(CG130="L1",Parameter!$H$5,IF(CG130="L23",Parameter!$H$6+Parameter!$H$7,Parameter!$H$5+Parameter!$H$6+Parameter!$H$7))-(AO130-AJ130))/AJ130)))</f>
        <v>1</v>
      </c>
      <c r="AQ130" s="62" t="n">
        <f aca="false">IF(LEFT(Cockpit!$I$5,1)="A",H130,IF(Parameter!$E$30="MAX-Bestand",IF(CI130=1,CJ130,IF(LEFT(Cockpit!$I$5,1)="B",AW130,MAX(AW130,H130))),ROUNDUP(AU130,0)))</f>
        <v>1</v>
      </c>
      <c r="AR130" s="62" t="n">
        <f aca="false">IF(CA130=1,0,ROUNDUP(AQ130/BZ130,0))</f>
        <v>0</v>
      </c>
      <c r="AS130" s="64" t="n">
        <f aca="false">IF(CR130&gt;0,CR130*MAX(1,AQ130/X130),IF(CA130=1,IF(AQ130&lt;=0,0,CE130*MAX(1,IF(H130&gt;0,AQ130/H130,1))),IF(R130&gt;0,AR130/R130,0))/MAX(0.1,N(Parameter!$M$21)))</f>
        <v>0.160075329566855</v>
      </c>
      <c r="AT130" s="62" t="n">
        <f aca="false">AS130*CC130</f>
        <v>38.0979284369115</v>
      </c>
      <c r="AU130" s="63" t="n">
        <f aca="false">IF(LEFT(Cockpit!$I$5,1)="A",H130,IF(CI130=1,(CL130+CJ130)/2,IF(LEFT(Cockpit!$I$5,1)="B",(CL130+AW130)/2,MAX((CL130+AW130)/2,H130))))</f>
        <v>1</v>
      </c>
      <c r="AV130" s="62" t="n">
        <f aca="false">AU130*G130</f>
        <v>3280</v>
      </c>
      <c r="AW130" s="62" t="n">
        <f aca="false">ROUNDUP(CL130+MAX(CM130,2*(J130/IF(CH130&gt;0,CH130,MAX(0.1,N(Cockpit!$I$6)))-CL130)),0)</f>
        <v>2</v>
      </c>
      <c r="AX130" s="63" t="n">
        <f aca="false">IF(AT130&gt;0,J130/AT130,-1)</f>
        <v>0.0787444389520514</v>
      </c>
      <c r="AY130" s="63" t="n">
        <f aca="false">IF(AND(OR(CG130="L1",CG130="L23",CG130="LIFT"),AT130&gt;0),SUMIFS($AT$7:$AT$1843,$CG$7:$CG$1843,CG130,$AX$7:$AX$1843,"&gt;"&amp;AX130)+SUMIFS($AT$7:$AT$1843,$CG$7:$CG$1843,CG130,$AX$7:$AX$1843,AX130,$BX$7:$BX$1843,"&lt;="&amp;BX130),"")</f>
        <v>22240.4165864738</v>
      </c>
      <c r="AZ130" s="70" t="n">
        <f aca="false">IF(AY130="",0,MAX(0,MIN(1,(IF(CG130="L1",Parameter!$H$5,IF(CG130="L23",Parameter!$H$6+Parameter!$H$7,Parameter!$H$5+Parameter!$H$6+Parameter!$H$7))-(AY130-AT130))/AT130)))</f>
        <v>1</v>
      </c>
      <c r="BA130" s="62" t="n">
        <f aca="false">IF(LEFT(Cockpit!$O$5,1)="A",H130,IF(Parameter!$E$30="MAX-Bestand",IF(CI130=1,CJ130,IF(LEFT(Cockpit!$O$5,1)="B",BG130,MAX(BG130,H130))),ROUNDUP(BE130,0)))</f>
        <v>1</v>
      </c>
      <c r="BB130" s="62" t="n">
        <f aca="false">IF(CA130=1,0,ROUNDUP(BA130/BZ130,0))</f>
        <v>0</v>
      </c>
      <c r="BC130" s="64" t="n">
        <f aca="false">IF(CR130&gt;0,CR130*MAX(1,BA130/X130),IF(CA130=1,IF(BA130&lt;=0,0,CE130*MAX(1,IF(H130&gt;0,BA130/H130,1))),IF(R130&gt;0,BB130/R130,0))/MAX(0.1,N(Parameter!$M$21)))</f>
        <v>0.160075329566855</v>
      </c>
      <c r="BD130" s="62" t="n">
        <f aca="false">BC130*CC130</f>
        <v>38.0979284369115</v>
      </c>
      <c r="BE130" s="63" t="n">
        <f aca="false">IF(LEFT(Cockpit!$O$5,1)="A",H130,IF(CI130=1,(CL130+CJ130)/2,IF(LEFT(Cockpit!$O$5,1)="B",(CL130+BG130)/2,MAX((CL130+BG130)/2,H130))))</f>
        <v>1</v>
      </c>
      <c r="BF130" s="62" t="n">
        <f aca="false">BE130*G130</f>
        <v>3280</v>
      </c>
      <c r="BG130" s="62" t="n">
        <f aca="false">ROUNDUP(CL130+MAX(CM130,2*(J130/IF(CH130&gt;0,CH130,MAX(0.1,N(Cockpit!$O$6)))-CL130)),0)</f>
        <v>2</v>
      </c>
      <c r="BH130" s="63" t="n">
        <f aca="false">IF(BD130&gt;0,J130/BD130,-1)</f>
        <v>0.0787444389520514</v>
      </c>
      <c r="BI130" s="63" t="n">
        <f aca="false">IF(AND(OR(CG130="L1",CG130="L23",CG130="LIFT"),BD130&gt;0),SUMIFS($BD$7:$BD$1843,$CG$7:$CG$1843,CG130,$BH$7:$BH$1843,"&gt;"&amp;BH130)+SUMIFS($BD$7:$BD$1843,$CG$7:$CG$1843,CG130,$BH$7:$BH$1843,BH130,$BX$7:$BX$1843,"&lt;="&amp;BX130),"")</f>
        <v>18850.9727887461</v>
      </c>
      <c r="BJ130" s="70" t="n">
        <f aca="false">IF(BI130="",0,MAX(0,MIN(1,(IF(CG130="L1",Parameter!$H$5,IF(CG130="L23",Parameter!$H$6+Parameter!$H$7,Parameter!$H$5+Parameter!$H$6+Parameter!$H$7))-(BI130-BD130))/BD130)))</f>
        <v>1</v>
      </c>
      <c r="BK130" s="60" t="str">
        <f aca="false">IF(AJ130&lt;=0,"",IF(CG130="Aussen","Aussenlager",IF(CG130="-","Nicht im Lift",IF(AP130&gt;=1,"Lift",IF(AP130&lt;=0,"Aussenlager","teilweise")))))</f>
        <v>Lift</v>
      </c>
      <c r="BL130" s="60" t="str">
        <f aca="false">IF(AT130&lt;=0,"",IF(CG130="Aussen","Aussenlager",IF(CG130="-","Nicht im Lift",IF(AZ130&gt;=1,"Lift",IF(AZ130&lt;=0,"Aussenlager","teilweise")))))</f>
        <v>Lift</v>
      </c>
      <c r="BM130" s="60" t="str">
        <f aca="false">IF(BD130&lt;=0,"",IF(CG130="Aussen","Aussenlager",IF(CG130="-","Nicht im Lift",IF(BJ130&gt;=1,"Lift",IF(BJ130&lt;=0,"Aussenlager","teilweise")))))</f>
        <v>Lift</v>
      </c>
      <c r="BN130" s="60" t="str">
        <f aca="false">IF(A130="","",IF(BW130=1,"Neu; ","")&amp;IF(AND(BW130=0,BR130&lt;0),"negativer Bestand (Export "&amp;BR130&amp;"); ","")&amp;IF(J130&lt;=0,"Kein Verbrauch; ","")&amp;IF(CR130&gt;0,"Lift "&amp;W130&amp;" lt. Liftbericht (Fach "&amp;X130&amp;" Stk); ",IF(CB130=1,"Gebinde geschätzt ("&amp;T130&amp;"); ",IF(CA130=1,"Lose – Tablare geschätzt; ","")))&amp;IF(H130&gt;AW130,"Überbestand "&amp;ROUND(H130-AW130,0)&amp;" Stk / CHF "&amp;ROUND((H130-AW130)*G130,0)&amp;"; ","")&amp;IF(AND(CI130=1,CJ130&lt;CK130),"MAX &lt; MB+LG; ","")&amp;IF(AND(CQ130&gt;0,CP130*10&gt;CQ130),"zu hoch für Tablar; ","")&amp;IF(AND(BW130=0,OR(CI130=1,AB130&lt;&gt;"",U130&lt;&gt;"",V130&lt;&gt;"",AC130&lt;&gt;"")),"manuell übersteuert; ","")&amp;IF(AND(CA130=0,R130=0),"Gebinde unbekannt / Stellmass fehlt; ","")&amp;IF(AND(CA130=0,N(V130)&lt;=0,N(Q130)&lt;=0),"Menge pro Gebinde fehlt (Ist = 1 Gebinde); ","")&amp;BV130)</f>
        <v>Lift 1 lt. Liftbericht (Fach 2 Stk); </v>
      </c>
      <c r="BO130" s="60"/>
      <c r="BP130" s="60"/>
      <c r="BQ130" s="67"/>
      <c r="BR130" s="62" t="n">
        <v>0</v>
      </c>
      <c r="BS130" s="62" t="n">
        <v>1</v>
      </c>
      <c r="BT130" s="61" t="n">
        <v>1745</v>
      </c>
      <c r="BU130" s="62" t="n">
        <v>3</v>
      </c>
      <c r="BV130" s="60"/>
      <c r="BW130" s="65" t="n">
        <v>0</v>
      </c>
      <c r="BX130" s="65" t="n">
        <v>130</v>
      </c>
      <c r="BY130" s="60" t="str">
        <f aca="false">IF(U130&lt;&gt;"",UPPER(TRIM(U130)),IF(CB130=1,UPPER(VLOOKUP(T130,Parameter!$I$27:$K$29,2,0)),IF(P130="","LOSE",P130)))</f>
        <v>LOSE</v>
      </c>
      <c r="BZ130" s="62" t="n">
        <f aca="false">IF(BY130="LOSE",1,IF(N(V130)&gt;0,V130,IF(CB130=1,MAX(1,N(VLOOKUP(T130,Parameter!$I$27:$K$29,3,0)),H130,N(N130)),IF(N(Q130)&gt;0,Q130,MAX(1,H130)))))</f>
        <v>1</v>
      </c>
      <c r="CA130" s="65" t="n">
        <f aca="false">IF(BY130="LOSE",1,0)</f>
        <v>1</v>
      </c>
      <c r="CB130" s="65" t="n">
        <f aca="false">IF(AND(U130="",OR(P130="",P130="LOSE"),T130&lt;&gt;"",N(S130)&lt;=0,ISNUMBER(MATCH(T130,Parameter!$I$27:$I$29,0))),1,0)</f>
        <v>0</v>
      </c>
      <c r="CC130" s="65" t="n">
        <f aca="false">IF(CR130&gt;0,INDEX(Parameter!$H$5:$H$7,W130)/INDEX(Parameter!$E$5:$E$7,W130),IF(AND(CA130=0,N(IFERROR(VLOOKUP(BY130,'Gebinde-Kategorie'!$A$5:$N$45,14,0),0))&gt;0),VLOOKUP(BY130,'Gebinde-Kategorie'!$A$5:$N$45,14,0)*10+Parameter!$M$23,Parameter!$M$24))</f>
        <v>238</v>
      </c>
      <c r="CD130" s="60" t="n">
        <f aca="false">IF(AND(Parameter!$B$19="Ja",E130&lt;&gt;"",ISNUMBER(MATCH(E130,Parameter!$I$35:$I$52,0))),VLOOKUP(E130,Parameter!$I$35:$J$52,2,0),IFERROR(VLOOKUP(D130,Parameter!$A$35:$C$64,2,0),"Nein"))</f>
        <v>1</v>
      </c>
      <c r="CE130" s="64" t="n">
        <f aca="false">IF(CA130=0,0,IF(N(S130)&gt;0,S130,IFERROR(VLOOKUP(D130,Parameter!$A$35:$C$64,3,0)+0,0)))</f>
        <v>1</v>
      </c>
      <c r="CF130" s="60" t="n">
        <f aca="false">IF(AB130&lt;&gt;"",AB130,AA130)</f>
        <v>1</v>
      </c>
      <c r="CG130" s="60" t="str">
        <f aca="false">IF(OR(CF130=1,CF130=2,CF130=3),IF(Parameter!$E$27="Ja","LIFT",IF(CF130=1,"L1","L23")),IF(CF130="Aussen","Aussen","-"))</f>
        <v>LIFT</v>
      </c>
      <c r="CH130" s="71" t="n">
        <f aca="false">IF(N(AC130)&gt;0,AC130,0)</f>
        <v>0</v>
      </c>
      <c r="CI130" s="65" t="n">
        <f aca="false">IF(ISNUMBER(AF130),1,0)</f>
        <v>0</v>
      </c>
      <c r="CJ130" s="62" t="n">
        <f aca="false">N(AF130)</f>
        <v>0</v>
      </c>
      <c r="CK130" s="62" t="n">
        <f aca="false">N(M130)+N(N130)</f>
        <v>1</v>
      </c>
      <c r="CL130" s="62" t="n">
        <f aca="false">N(M130)</f>
        <v>0</v>
      </c>
      <c r="CM130" s="62" t="n">
        <f aca="false">N(N130)</f>
        <v>1</v>
      </c>
      <c r="CN130" s="62" t="n">
        <f aca="false">ROUNDUP(H130/BZ130,0)</f>
        <v>1</v>
      </c>
      <c r="CO130" s="62" t="n">
        <f aca="false">ROUNDUP(CJ130/BZ130,0)</f>
        <v>0</v>
      </c>
      <c r="CP130" s="65" t="n">
        <f aca="false">IF(CA130=1,0,IFERROR(VLOOKUP(BY130,'Gebinde-Kategorie'!$A$5:$N$45,5,0)+0,0))</f>
        <v>0</v>
      </c>
      <c r="CQ130" s="65" t="n">
        <f aca="false">IFERROR(IF(OR(CF130=1,CF130=2,CF130=3),N(INDEX(Parameter!$I$5:$I$7,CF130)),0),0)</f>
        <v>0</v>
      </c>
      <c r="CR130" s="64" t="n">
        <f aca="false">IF(AND(Parameter!$B$21="Ja",ISNUMBER(W130),N(X130)&gt;0),IFERROR(N(INDEX(Parameter!$L$5:$L$7,W130))*INDEX(Parameter!$E$5:$E$7,W130)*X130/SUMIFS($X$7:$X$1843,$W$7:$W$1843,W130),0),0)</f>
        <v>0.160075329566855</v>
      </c>
      <c r="CS130" s="62" t="n">
        <f aca="false">IF(AND(OR(CG130="L1",CG130="L23",CG130="LIFT"),H130&gt;0),CC130*IF(CR130&gt;0,CR130*MAX(1,H130/X130),IF(CA130=1,CE130,IF(R130&gt;0,CN130/R130,0))/MAX(0.1,N(Parameter!$M$21))),"")</f>
        <v>38.0979284369115</v>
      </c>
      <c r="CT130" s="64" t="n">
        <f aca="false">IF(CS130="","",J130/H130)</f>
        <v>3</v>
      </c>
      <c r="CU130" s="62" t="n">
        <f aca="false">IF(CS130="","",H130*G130)</f>
        <v>3280</v>
      </c>
      <c r="CV130" s="63" t="n">
        <f aca="false">IF(CS130="","",(CL130+ROUNDUP(CL130+MAX(CM130,2*(J130/MAX(0.1,N(Einkauf!$C$6))-CL130)),0))/2)</f>
        <v>1</v>
      </c>
      <c r="CW130" s="62" t="n">
        <f aca="false">IF(CS130="","",MAX(0,H130-CV130)*G130)</f>
        <v>0</v>
      </c>
      <c r="CX130" s="62" t="n">
        <f aca="false">IF(CS130="","",CS130*MAX(0,1-CV130/H130))</f>
        <v>0</v>
      </c>
      <c r="CY130" s="64" t="n">
        <f aca="false">IF(CS130="","",PERCENTRANK($CS$7:$CS$1843,CS130)+PERCENTRANK($CU$7:$CU$1843,CU130)+1-PERCENTRANK($CT$7:$CT$1843,CT130))</f>
        <v>1.821</v>
      </c>
      <c r="CZ130" s="72" t="n">
        <f aca="false">IF(CS130="","",CHOOSE(MATCH(Einkauf!$C$5,Parameter!$G$23:$G$27,0),CY130,CS130,CU130,-CT130,CW130)+ROW()/1000000000)</f>
        <v>1.82100013</v>
      </c>
    </row>
    <row r="131" customFormat="false" ht="15" hidden="false" customHeight="false" outlineLevel="0" collapsed="false">
      <c r="A131" s="60" t="s">
        <v>512</v>
      </c>
      <c r="B131" s="60" t="s">
        <v>513</v>
      </c>
      <c r="C131" s="60" t="s">
        <v>206</v>
      </c>
      <c r="D131" s="60" t="s">
        <v>215</v>
      </c>
      <c r="E131" s="60" t="s">
        <v>227</v>
      </c>
      <c r="F131" s="60" t="s">
        <v>260</v>
      </c>
      <c r="G131" s="61" t="n">
        <v>2.89</v>
      </c>
      <c r="H131" s="62" t="n">
        <f aca="false">MAX(0,IF(AND(Parameter!$B$21="Ja",ISNUMBER(Y131)),Y131,IF(Parameter!$B$20="Jahresanfang 2025 + Export",BS131+BR131,BR131)))</f>
        <v>792</v>
      </c>
      <c r="I131" s="62" t="n">
        <f aca="false">H131*G131</f>
        <v>2288.88</v>
      </c>
      <c r="J131" s="62" t="n">
        <f aca="false">BU131*Parameter!$B$18</f>
        <v>797</v>
      </c>
      <c r="K131" s="63" t="n">
        <v>333</v>
      </c>
      <c r="L131" s="64" t="n">
        <v>2.39339339339339</v>
      </c>
      <c r="M131" s="62" t="n">
        <v>112</v>
      </c>
      <c r="N131" s="62" t="n">
        <v>800</v>
      </c>
      <c r="O131" s="65" t="n">
        <v>51</v>
      </c>
      <c r="P131" s="60" t="s">
        <v>268</v>
      </c>
      <c r="Q131" s="62" t="n">
        <v>250</v>
      </c>
      <c r="R131" s="65" t="n">
        <f aca="false">IF(CA131=1,0,IFERROR(VLOOKUP(BY131,'Gebinde-Kategorie'!$A$5:$N$45,13,0)+0,0))</f>
        <v>12</v>
      </c>
      <c r="S131" s="66"/>
      <c r="T131" s="67"/>
      <c r="U131" s="67"/>
      <c r="V131" s="67"/>
      <c r="W131" s="60"/>
      <c r="X131" s="62"/>
      <c r="Y131" s="62"/>
      <c r="Z131" s="60" t="n">
        <v>3</v>
      </c>
      <c r="AA131" s="60" t="n">
        <f aca="false">IF(A131="","",IF(AND(Parameter!$B$21="Ja",ISNUMBER(W131)),W131,IF(AND(Parameter!$E$27="Ja",ISNUMBER(Z131),CD131&lt;&gt;"Nein"),Z131,IF(CD131="2+3",IF(ISNUMBER(SEARCH("grosser Artikel",BV131)),2,IFERROR(VLOOKUP(BY131,Parameter!$F$35:$G$64,2,0),2)),IF(OR(CD131="Nein",CD131=""),"-",CD131)))))</f>
        <v>3</v>
      </c>
      <c r="AB131" s="67"/>
      <c r="AC131" s="68"/>
      <c r="AD131" s="62" t="n">
        <f aca="false">AW131</f>
        <v>912</v>
      </c>
      <c r="AE131" s="62" t="n">
        <f aca="false">MAX(AW131,H131)</f>
        <v>912</v>
      </c>
      <c r="AF131" s="69"/>
      <c r="AG131" s="62" t="n">
        <f aca="false">IF(LEFT(Cockpit!$C$5,1)="A",H131,IF(Parameter!$E$30="MAX-Bestand",IF(CI131=1,CJ131,IF(LEFT(Cockpit!$C$5,1)="B",AM131,MAX(AM131,H131))),ROUNDUP(AK131,0)))</f>
        <v>792</v>
      </c>
      <c r="AH131" s="62" t="n">
        <f aca="false">IF(CA131=1,0,ROUNDUP(AG131/BZ131,0))</f>
        <v>4</v>
      </c>
      <c r="AI131" s="64" t="n">
        <f aca="false">IF(CR131&gt;0,CR131*MAX(1,AG131/X131),IF(CA131=1,IF(AG131&lt;=0,0,CE131*MAX(1,IF(H131&gt;0,AG131/H131,1))),IF(R131&gt;0,AH131/R131,0))/MAX(0.1,N(Parameter!$M$21)))</f>
        <v>0.333333333333333</v>
      </c>
      <c r="AJ131" s="62" t="n">
        <f aca="false">AI131*CC131</f>
        <v>115</v>
      </c>
      <c r="AK131" s="63" t="n">
        <f aca="false">IF(LEFT(Cockpit!$C$5,1)="A",H131,IF(CI131=1,(CL131+CJ131)/2,IF(LEFT(Cockpit!$C$5,1)="B",(CL131+AM131)/2,MAX((CL131+AM131)/2,H131))))</f>
        <v>792</v>
      </c>
      <c r="AL131" s="62" t="n">
        <f aca="false">AK131*G131</f>
        <v>2288.88</v>
      </c>
      <c r="AM131" s="62" t="n">
        <f aca="false">ROUNDUP(CL131+MAX(CM131,2*(J131/IF(CH131&gt;0,CH131,MAX(0.1,N(Cockpit!$C$6)))-CL131)),0)</f>
        <v>912</v>
      </c>
      <c r="AN131" s="63" t="n">
        <f aca="false">IF(AJ131&gt;0,J131/AJ131,-1)</f>
        <v>6.9304347826087</v>
      </c>
      <c r="AO131" s="63" t="n">
        <f aca="false">IF(AND(OR(CG131="L1",CG131="L23",CG131="LIFT"),AJ131&gt;0),SUMIFS($AJ$7:$AJ$1843,$CG$7:$CG$1843,CG131,$AN$7:$AN$1843,"&gt;"&amp;AN131)+SUMIFS($AJ$7:$AJ$1843,$CG$7:$CG$1843,CG131,$AN$7:$AN$1843,AN131,$BX$7:$BX$1843,"&lt;="&amp;BX131),"")</f>
        <v>3382.22023809524</v>
      </c>
      <c r="AP131" s="70" t="n">
        <f aca="false">IF(AO131="",0,MAX(0,MIN(1,(IF(CG131="L1",Parameter!$H$5,IF(CG131="L23",Parameter!$H$6+Parameter!$H$7,Parameter!$H$5+Parameter!$H$6+Parameter!$H$7))-(AO131-AJ131))/AJ131)))</f>
        <v>1</v>
      </c>
      <c r="AQ131" s="62" t="n">
        <f aca="false">IF(LEFT(Cockpit!$I$5,1)="A",H131,IF(Parameter!$E$30="MAX-Bestand",IF(CI131=1,CJ131,IF(LEFT(Cockpit!$I$5,1)="B",AW131,MAX(AW131,H131))),ROUNDUP(AU131,0)))</f>
        <v>792</v>
      </c>
      <c r="AR131" s="62" t="n">
        <f aca="false">IF(CA131=1,0,ROUNDUP(AQ131/BZ131,0))</f>
        <v>4</v>
      </c>
      <c r="AS131" s="64" t="n">
        <f aca="false">IF(CR131&gt;0,CR131*MAX(1,AQ131/X131),IF(CA131=1,IF(AQ131&lt;=0,0,CE131*MAX(1,IF(H131&gt;0,AQ131/H131,1))),IF(R131&gt;0,AR131/R131,0))/MAX(0.1,N(Parameter!$M$21)))</f>
        <v>0.333333333333333</v>
      </c>
      <c r="AT131" s="62" t="n">
        <f aca="false">AS131*CC131</f>
        <v>115</v>
      </c>
      <c r="AU131" s="63" t="n">
        <f aca="false">IF(LEFT(Cockpit!$I$5,1)="A",H131,IF(CI131=1,(CL131+CJ131)/2,IF(LEFT(Cockpit!$I$5,1)="B",(CL131+AW131)/2,MAX((CL131+AW131)/2,H131))))</f>
        <v>792</v>
      </c>
      <c r="AV131" s="62" t="n">
        <f aca="false">AU131*G131</f>
        <v>2288.88</v>
      </c>
      <c r="AW131" s="62" t="n">
        <f aca="false">ROUNDUP(CL131+MAX(CM131,2*(J131/IF(CH131&gt;0,CH131,MAX(0.1,N(Cockpit!$I$6)))-CL131)),0)</f>
        <v>912</v>
      </c>
      <c r="AX131" s="63" t="n">
        <f aca="false">IF(AT131&gt;0,J131/AT131,-1)</f>
        <v>6.9304347826087</v>
      </c>
      <c r="AY131" s="63" t="n">
        <f aca="false">IF(AND(OR(CG131="L1",CG131="L23",CG131="LIFT"),AT131&gt;0),SUMIFS($AT$7:$AT$1843,$CG$7:$CG$1843,CG131,$AX$7:$AX$1843,"&gt;"&amp;AX131)+SUMIFS($AT$7:$AT$1843,$CG$7:$CG$1843,CG131,$AX$7:$AX$1843,AX131,$BX$7:$BX$1843,"&lt;="&amp;BX131),"")</f>
        <v>4100.03159340659</v>
      </c>
      <c r="AZ131" s="70" t="n">
        <f aca="false">IF(AY131="",0,MAX(0,MIN(1,(IF(CG131="L1",Parameter!$H$5,IF(CG131="L23",Parameter!$H$6+Parameter!$H$7,Parameter!$H$5+Parameter!$H$6+Parameter!$H$7))-(AY131-AT131))/AT131)))</f>
        <v>1</v>
      </c>
      <c r="BA131" s="62" t="n">
        <f aca="false">IF(LEFT(Cockpit!$O$5,1)="A",H131,IF(Parameter!$E$30="MAX-Bestand",IF(CI131=1,CJ131,IF(LEFT(Cockpit!$O$5,1)="B",BG131,MAX(BG131,H131))),ROUNDUP(BE131,0)))</f>
        <v>512</v>
      </c>
      <c r="BB131" s="62" t="n">
        <f aca="false">IF(CA131=1,0,ROUNDUP(BA131/BZ131,0))</f>
        <v>3</v>
      </c>
      <c r="BC131" s="64" t="n">
        <f aca="false">IF(CR131&gt;0,CR131*MAX(1,BA131/X131),IF(CA131=1,IF(BA131&lt;=0,0,CE131*MAX(1,IF(H131&gt;0,BA131/H131,1))),IF(R131&gt;0,BB131/R131,0))/MAX(0.1,N(Parameter!$M$21)))</f>
        <v>0.25</v>
      </c>
      <c r="BD131" s="62" t="n">
        <f aca="false">BC131*CC131</f>
        <v>86.25</v>
      </c>
      <c r="BE131" s="63" t="n">
        <f aca="false">IF(LEFT(Cockpit!$O$5,1)="A",H131,IF(CI131=1,(CL131+CJ131)/2,IF(LEFT(Cockpit!$O$5,1)="B",(CL131+BG131)/2,MAX((CL131+BG131)/2,H131))))</f>
        <v>512</v>
      </c>
      <c r="BF131" s="62" t="n">
        <f aca="false">BE131*G131</f>
        <v>1479.68</v>
      </c>
      <c r="BG131" s="62" t="n">
        <f aca="false">ROUNDUP(CL131+MAX(CM131,2*(J131/IF(CH131&gt;0,CH131,MAX(0.1,N(Cockpit!$O$6)))-CL131)),0)</f>
        <v>912</v>
      </c>
      <c r="BH131" s="63" t="n">
        <f aca="false">IF(BD131&gt;0,J131/BD131,-1)</f>
        <v>9.24057971014493</v>
      </c>
      <c r="BI131" s="63" t="n">
        <f aca="false">IF(AND(OR(CG131="L1",CG131="L23",CG131="LIFT"),BD131&gt;0),SUMIFS($BD$7:$BD$1843,$CG$7:$CG$1843,CG131,$BH$7:$BH$1843,"&gt;"&amp;BH131)+SUMIFS($BD$7:$BD$1843,$CG$7:$CG$1843,CG131,$BH$7:$BH$1843,BH131,$BX$7:$BX$1843,"&lt;="&amp;BX131),"")</f>
        <v>2871.52564102564</v>
      </c>
      <c r="BJ131" s="70" t="n">
        <f aca="false">IF(BI131="",0,MAX(0,MIN(1,(IF(CG131="L1",Parameter!$H$5,IF(CG131="L23",Parameter!$H$6+Parameter!$H$7,Parameter!$H$5+Parameter!$H$6+Parameter!$H$7))-(BI131-BD131))/BD131)))</f>
        <v>1</v>
      </c>
      <c r="BK131" s="60" t="str">
        <f aca="false">IF(AJ131&lt;=0,"",IF(CG131="Aussen","Aussenlager",IF(CG131="-","Nicht im Lift",IF(AP131&gt;=1,"Lift",IF(AP131&lt;=0,"Aussenlager","teilweise")))))</f>
        <v>Lift</v>
      </c>
      <c r="BL131" s="60" t="str">
        <f aca="false">IF(AT131&lt;=0,"",IF(CG131="Aussen","Aussenlager",IF(CG131="-","Nicht im Lift",IF(AZ131&gt;=1,"Lift",IF(AZ131&lt;=0,"Aussenlager","teilweise")))))</f>
        <v>Lift</v>
      </c>
      <c r="BM131" s="60" t="str">
        <f aca="false">IF(BD131&lt;=0,"",IF(CG131="Aussen","Aussenlager",IF(CG131="-","Nicht im Lift",IF(BJ131&gt;=1,"Lift",IF(BJ131&lt;=0,"Aussenlager","teilweise")))))</f>
        <v>Lift</v>
      </c>
      <c r="BN131" s="60" t="str">
        <f aca="false">IF(A131="","",IF(BW131=1,"Neu; ","")&amp;IF(AND(BW131=0,BR131&lt;0),"negativer Bestand (Export "&amp;BR131&amp;"); ","")&amp;IF(J131&lt;=0,"Kein Verbrauch; ","")&amp;IF(CR131&gt;0,"Lift "&amp;W131&amp;" lt. Liftbericht (Fach "&amp;X131&amp;" Stk); ",IF(CB131=1,"Gebinde geschätzt ("&amp;T131&amp;"); ",IF(CA131=1,"Lose – Tablare geschätzt; ","")))&amp;IF(H131&gt;AW131,"Überbestand "&amp;ROUND(H131-AW131,0)&amp;" Stk / CHF "&amp;ROUND((H131-AW131)*G131,0)&amp;"; ","")&amp;IF(AND(CI131=1,CJ131&lt;CK131),"MAX &lt; MB+LG; ","")&amp;IF(AND(CQ131&gt;0,CP131*10&gt;CQ131),"zu hoch für Tablar; ","")&amp;IF(AND(BW131=0,OR(CI131=1,AB131&lt;&gt;"",U131&lt;&gt;"",V131&lt;&gt;"",AC131&lt;&gt;"")),"manuell übersteuert; ","")&amp;IF(AND(CA131=0,R131=0),"Gebinde unbekannt / Stellmass fehlt; ","")&amp;IF(AND(CA131=0,N(V131)&lt;=0,N(Q131)&lt;=0),"Menge pro Gebinde fehlt (Ist = 1 Gebinde); ","")&amp;BV131)</f>
        <v>gehört dieser Artikel ins KTL ?</v>
      </c>
      <c r="BO131" s="60"/>
      <c r="BP131" s="60"/>
      <c r="BQ131" s="67"/>
      <c r="BR131" s="62" t="n">
        <v>567</v>
      </c>
      <c r="BS131" s="62" t="n">
        <v>225</v>
      </c>
      <c r="BT131" s="61" t="n">
        <v>1734.11</v>
      </c>
      <c r="BU131" s="62" t="n">
        <v>797</v>
      </c>
      <c r="BV131" s="60" t="s">
        <v>514</v>
      </c>
      <c r="BW131" s="65" t="n">
        <v>0</v>
      </c>
      <c r="BX131" s="65" t="n">
        <v>131</v>
      </c>
      <c r="BY131" s="60" t="str">
        <f aca="false">IF(U131&lt;&gt;"",UPPER(TRIM(U131)),IF(CB131=1,UPPER(VLOOKUP(T131,Parameter!$I$27:$K$29,2,0)),IF(P131="","LOSE",P131)))</f>
        <v>S63</v>
      </c>
      <c r="BZ131" s="62" t="n">
        <f aca="false">IF(BY131="LOSE",1,IF(N(V131)&gt;0,V131,IF(CB131=1,MAX(1,N(VLOOKUP(T131,Parameter!$I$27:$K$29,3,0)),H131,N(N131)),IF(N(Q131)&gt;0,Q131,MAX(1,H131)))))</f>
        <v>250</v>
      </c>
      <c r="CA131" s="65" t="n">
        <f aca="false">IF(BY131="LOSE",1,0)</f>
        <v>0</v>
      </c>
      <c r="CB131" s="65" t="n">
        <f aca="false">IF(AND(U131="",OR(P131="",P131="LOSE"),T131&lt;&gt;"",N(S131)&lt;=0,ISNUMBER(MATCH(T131,Parameter!$I$27:$I$29,0))),1,0)</f>
        <v>0</v>
      </c>
      <c r="CC131" s="65" t="n">
        <f aca="false">IF(CR131&gt;0,INDEX(Parameter!$H$5:$H$7,W131)/INDEX(Parameter!$E$5:$E$7,W131),IF(AND(CA131=0,N(IFERROR(VLOOKUP(BY131,'Gebinde-Kategorie'!$A$5:$N$45,14,0),0))&gt;0),VLOOKUP(BY131,'Gebinde-Kategorie'!$A$5:$N$45,14,0)*10+Parameter!$M$23,Parameter!$M$24))</f>
        <v>345</v>
      </c>
      <c r="CD131" s="60" t="str">
        <f aca="false">IF(AND(Parameter!$B$19="Ja",E131&lt;&gt;"",ISNUMBER(MATCH(E131,Parameter!$I$35:$I$52,0))),VLOOKUP(E131,Parameter!$I$35:$J$52,2,0),IFERROR(VLOOKUP(D131,Parameter!$A$35:$C$64,2,0),"Nein"))</f>
        <v>2+3</v>
      </c>
      <c r="CE131" s="64" t="n">
        <f aca="false">IF(CA131=0,0,IF(N(S131)&gt;0,S131,IFERROR(VLOOKUP(D131,Parameter!$A$35:$C$64,3,0)+0,0)))</f>
        <v>0</v>
      </c>
      <c r="CF131" s="60" t="n">
        <f aca="false">IF(AB131&lt;&gt;"",AB131,AA131)</f>
        <v>3</v>
      </c>
      <c r="CG131" s="60" t="str">
        <f aca="false">IF(OR(CF131=1,CF131=2,CF131=3),IF(Parameter!$E$27="Ja","LIFT",IF(CF131=1,"L1","L23")),IF(CF131="Aussen","Aussen","-"))</f>
        <v>LIFT</v>
      </c>
      <c r="CH131" s="71" t="n">
        <f aca="false">IF(N(AC131)&gt;0,AC131,0)</f>
        <v>0</v>
      </c>
      <c r="CI131" s="65" t="n">
        <f aca="false">IF(ISNUMBER(AF131),1,0)</f>
        <v>0</v>
      </c>
      <c r="CJ131" s="62" t="n">
        <f aca="false">N(AF131)</f>
        <v>0</v>
      </c>
      <c r="CK131" s="62" t="n">
        <f aca="false">N(M131)+N(N131)</f>
        <v>912</v>
      </c>
      <c r="CL131" s="62" t="n">
        <f aca="false">N(M131)</f>
        <v>112</v>
      </c>
      <c r="CM131" s="62" t="n">
        <f aca="false">N(N131)</f>
        <v>800</v>
      </c>
      <c r="CN131" s="62" t="n">
        <f aca="false">ROUNDUP(H131/BZ131,0)</f>
        <v>4</v>
      </c>
      <c r="CO131" s="62" t="n">
        <f aca="false">ROUNDUP(CJ131/BZ131,0)</f>
        <v>0</v>
      </c>
      <c r="CP131" s="65" t="n">
        <f aca="false">IF(CA131=1,0,IFERROR(VLOOKUP(BY131,'Gebinde-Kategorie'!$A$5:$N$45,5,0)+0,0))</f>
        <v>31</v>
      </c>
      <c r="CQ131" s="65" t="n">
        <f aca="false">IFERROR(IF(OR(CF131=1,CF131=2,CF131=3),N(INDEX(Parameter!$I$5:$I$7,CF131)),0),0)</f>
        <v>0</v>
      </c>
      <c r="CR131" s="64" t="n">
        <f aca="false">IF(AND(Parameter!$B$21="Ja",ISNUMBER(W131),N(X131)&gt;0),IFERROR(N(INDEX(Parameter!$L$5:$L$7,W131))*INDEX(Parameter!$E$5:$E$7,W131)*X131/SUMIFS($X$7:$X$1843,$W$7:$W$1843,W131),0),0)</f>
        <v>0</v>
      </c>
      <c r="CS131" s="62" t="n">
        <f aca="false">IF(AND(OR(CG131="L1",CG131="L23",CG131="LIFT"),H131&gt;0),CC131*IF(CR131&gt;0,CR131*MAX(1,H131/X131),IF(CA131=1,CE131,IF(R131&gt;0,CN131/R131,0))/MAX(0.1,N(Parameter!$M$21))),"")</f>
        <v>115</v>
      </c>
      <c r="CT131" s="64" t="n">
        <f aca="false">IF(CS131="","",J131/H131)</f>
        <v>1.00631313131313</v>
      </c>
      <c r="CU131" s="62" t="n">
        <f aca="false">IF(CS131="","",H131*G131)</f>
        <v>2288.88</v>
      </c>
      <c r="CV131" s="63" t="n">
        <f aca="false">IF(CS131="","",(CL131+ROUNDUP(CL131+MAX(CM131,2*(J131/MAX(0.1,N(Einkauf!$C$6))-CL131)),0))/2)</f>
        <v>512</v>
      </c>
      <c r="CW131" s="62" t="n">
        <f aca="false">IF(CS131="","",MAX(0,H131-CV131)*G131)</f>
        <v>809.2</v>
      </c>
      <c r="CX131" s="62" t="n">
        <f aca="false">IF(CS131="","",CS131*MAX(0,1-CV131/H131))</f>
        <v>40.6565656565657</v>
      </c>
      <c r="CY131" s="64" t="n">
        <f aca="false">IF(CS131="","",PERCENTRANK($CS$7:$CS$1843,CS131)+PERCENTRANK($CU$7:$CU$1843,CU131)+1-PERCENTRANK($CT$7:$CT$1843,CT131))</f>
        <v>2.085</v>
      </c>
      <c r="CZ131" s="72" t="n">
        <f aca="false">IF(CS131="","",CHOOSE(MATCH(Einkauf!$C$5,Parameter!$G$23:$G$27,0),CY131,CS131,CU131,-CT131,CW131)+ROW()/1000000000)</f>
        <v>2.085000131</v>
      </c>
    </row>
    <row r="132" customFormat="false" ht="15" hidden="false" customHeight="false" outlineLevel="0" collapsed="false">
      <c r="A132" s="60" t="s">
        <v>515</v>
      </c>
      <c r="B132" s="60" t="s">
        <v>510</v>
      </c>
      <c r="C132" s="60" t="s">
        <v>206</v>
      </c>
      <c r="D132" s="60" t="s">
        <v>226</v>
      </c>
      <c r="E132" s="60" t="s">
        <v>227</v>
      </c>
      <c r="F132" s="60" t="s">
        <v>260</v>
      </c>
      <c r="G132" s="61" t="n">
        <v>7.89</v>
      </c>
      <c r="H132" s="62" t="n">
        <f aca="false">MAX(0,IF(AND(Parameter!$B$21="Ja",ISNUMBER(Y132)),Y132,IF(Parameter!$B$20="Jahresanfang 2025 + Export",BS132+BR132,BR132)))</f>
        <v>263</v>
      </c>
      <c r="I132" s="62" t="n">
        <f aca="false">H132*G132</f>
        <v>2075.07</v>
      </c>
      <c r="J132" s="62" t="n">
        <f aca="false">BU132*Parameter!$B$18</f>
        <v>391</v>
      </c>
      <c r="K132" s="63" t="n">
        <v>72.5</v>
      </c>
      <c r="L132" s="64" t="n">
        <v>5.39310344827586</v>
      </c>
      <c r="M132" s="62" t="n">
        <v>15</v>
      </c>
      <c r="N132" s="62" t="n">
        <v>390</v>
      </c>
      <c r="O132" s="65" t="n">
        <v>14</v>
      </c>
      <c r="P132" s="60" t="s">
        <v>370</v>
      </c>
      <c r="Q132" s="62" t="n">
        <v>178</v>
      </c>
      <c r="R132" s="65" t="n">
        <f aca="false">IF(CA132=1,0,IFERROR(VLOOKUP(BY132,'Gebinde-Kategorie'!$A$5:$N$45,13,0)+0,0))</f>
        <v>52</v>
      </c>
      <c r="S132" s="66"/>
      <c r="T132" s="67"/>
      <c r="U132" s="67"/>
      <c r="V132" s="67"/>
      <c r="W132" s="60"/>
      <c r="X132" s="62"/>
      <c r="Y132" s="62"/>
      <c r="Z132" s="60" t="n">
        <v>3</v>
      </c>
      <c r="AA132" s="60" t="n">
        <f aca="false">IF(A132="","",IF(AND(Parameter!$B$21="Ja",ISNUMBER(W132)),W132,IF(AND(Parameter!$E$27="Ja",ISNUMBER(Z132),CD132&lt;&gt;"Nein"),Z132,IF(CD132="2+3",IF(ISNUMBER(SEARCH("grosser Artikel",BV132)),2,IFERROR(VLOOKUP(BY132,Parameter!$F$35:$G$64,2,0),2)),IF(OR(CD132="Nein",CD132=""),"-",CD132)))))</f>
        <v>3</v>
      </c>
      <c r="AB132" s="67"/>
      <c r="AC132" s="68"/>
      <c r="AD132" s="62" t="n">
        <f aca="false">AW132</f>
        <v>405</v>
      </c>
      <c r="AE132" s="62" t="n">
        <f aca="false">MAX(AW132,H132)</f>
        <v>405</v>
      </c>
      <c r="AF132" s="69"/>
      <c r="AG132" s="62" t="n">
        <f aca="false">IF(LEFT(Cockpit!$C$5,1)="A",H132,IF(Parameter!$E$30="MAX-Bestand",IF(CI132=1,CJ132,IF(LEFT(Cockpit!$C$5,1)="B",AM132,MAX(AM132,H132))),ROUNDUP(AK132,0)))</f>
        <v>263</v>
      </c>
      <c r="AH132" s="62" t="n">
        <f aca="false">IF(CA132=1,0,ROUNDUP(AG132/BZ132,0))</f>
        <v>2</v>
      </c>
      <c r="AI132" s="64" t="n">
        <f aca="false">IF(CR132&gt;0,CR132*MAX(1,AG132/X132),IF(CA132=1,IF(AG132&lt;=0,0,CE132*MAX(1,IF(H132&gt;0,AG132/H132,1))),IF(R132&gt;0,AH132/R132,0))/MAX(0.1,N(Parameter!$M$21)))</f>
        <v>0.0384615384615385</v>
      </c>
      <c r="AJ132" s="62" t="n">
        <f aca="false">AI132*CC132</f>
        <v>5.96153846153846</v>
      </c>
      <c r="AK132" s="63" t="n">
        <f aca="false">IF(LEFT(Cockpit!$C$5,1)="A",H132,IF(CI132=1,(CL132+CJ132)/2,IF(LEFT(Cockpit!$C$5,1)="B",(CL132+AM132)/2,MAX((CL132+AM132)/2,H132))))</f>
        <v>263</v>
      </c>
      <c r="AL132" s="62" t="n">
        <f aca="false">AK132*G132</f>
        <v>2075.07</v>
      </c>
      <c r="AM132" s="62" t="n">
        <f aca="false">ROUNDUP(CL132+MAX(CM132,2*(J132/IF(CH132&gt;0,CH132,MAX(0.1,N(Cockpit!$C$6)))-CL132)),0)</f>
        <v>405</v>
      </c>
      <c r="AN132" s="63" t="n">
        <f aca="false">IF(AJ132&gt;0,J132/AJ132,-1)</f>
        <v>65.5870967741935</v>
      </c>
      <c r="AO132" s="63" t="n">
        <f aca="false">IF(AND(OR(CG132="L1",CG132="L23",CG132="LIFT"),AJ132&gt;0),SUMIFS($AJ$7:$AJ$1843,$CG$7:$CG$1843,CG132,$AN$7:$AN$1843,"&gt;"&amp;AN132)+SUMIFS($AJ$7:$AJ$1843,$CG$7:$CG$1843,CG132,$AN$7:$AN$1843,AN132,$BX$7:$BX$1843,"&lt;="&amp;BX132),"")</f>
        <v>934.701923076923</v>
      </c>
      <c r="AP132" s="70" t="n">
        <f aca="false">IF(AO132="",0,MAX(0,MIN(1,(IF(CG132="L1",Parameter!$H$5,IF(CG132="L23",Parameter!$H$6+Parameter!$H$7,Parameter!$H$5+Parameter!$H$6+Parameter!$H$7))-(AO132-AJ132))/AJ132)))</f>
        <v>1</v>
      </c>
      <c r="AQ132" s="62" t="n">
        <f aca="false">IF(LEFT(Cockpit!$I$5,1)="A",H132,IF(Parameter!$E$30="MAX-Bestand",IF(CI132=1,CJ132,IF(LEFT(Cockpit!$I$5,1)="B",AW132,MAX(AW132,H132))),ROUNDUP(AU132,0)))</f>
        <v>263</v>
      </c>
      <c r="AR132" s="62" t="n">
        <f aca="false">IF(CA132=1,0,ROUNDUP(AQ132/BZ132,0))</f>
        <v>2</v>
      </c>
      <c r="AS132" s="64" t="n">
        <f aca="false">IF(CR132&gt;0,CR132*MAX(1,AQ132/X132),IF(CA132=1,IF(AQ132&lt;=0,0,CE132*MAX(1,IF(H132&gt;0,AQ132/H132,1))),IF(R132&gt;0,AR132/R132,0))/MAX(0.1,N(Parameter!$M$21)))</f>
        <v>0.0384615384615385</v>
      </c>
      <c r="AT132" s="62" t="n">
        <f aca="false">AS132*CC132</f>
        <v>5.96153846153846</v>
      </c>
      <c r="AU132" s="63" t="n">
        <f aca="false">IF(LEFT(Cockpit!$I$5,1)="A",H132,IF(CI132=1,(CL132+CJ132)/2,IF(LEFT(Cockpit!$I$5,1)="B",(CL132+AW132)/2,MAX((CL132+AW132)/2,H132))))</f>
        <v>263</v>
      </c>
      <c r="AV132" s="62" t="n">
        <f aca="false">AU132*G132</f>
        <v>2075.07</v>
      </c>
      <c r="AW132" s="62" t="n">
        <f aca="false">ROUNDUP(CL132+MAX(CM132,2*(J132/IF(CH132&gt;0,CH132,MAX(0.1,N(Cockpit!$I$6)))-CL132)),0)</f>
        <v>405</v>
      </c>
      <c r="AX132" s="63" t="n">
        <f aca="false">IF(AT132&gt;0,J132/AT132,-1)</f>
        <v>65.5870967741935</v>
      </c>
      <c r="AY132" s="63" t="n">
        <f aca="false">IF(AND(OR(CG132="L1",CG132="L23",CG132="LIFT"),AT132&gt;0),SUMIFS($AT$7:$AT$1843,$CG$7:$CG$1843,CG132,$AX$7:$AX$1843,"&gt;"&amp;AX132)+SUMIFS($AT$7:$AT$1843,$CG$7:$CG$1843,CG132,$AX$7:$AX$1843,AX132,$BX$7:$BX$1843,"&lt;="&amp;BX132),"")</f>
        <v>1146.50686813187</v>
      </c>
      <c r="AZ132" s="70" t="n">
        <f aca="false">IF(AY132="",0,MAX(0,MIN(1,(IF(CG132="L1",Parameter!$H$5,IF(CG132="L23",Parameter!$H$6+Parameter!$H$7,Parameter!$H$5+Parameter!$H$6+Parameter!$H$7))-(AY132-AT132))/AT132)))</f>
        <v>1</v>
      </c>
      <c r="BA132" s="62" t="n">
        <f aca="false">IF(LEFT(Cockpit!$O$5,1)="A",H132,IF(Parameter!$E$30="MAX-Bestand",IF(CI132=1,CJ132,IF(LEFT(Cockpit!$O$5,1)="B",BG132,MAX(BG132,H132))),ROUNDUP(BE132,0)))</f>
        <v>210</v>
      </c>
      <c r="BB132" s="62" t="n">
        <f aca="false">IF(CA132=1,0,ROUNDUP(BA132/BZ132,0))</f>
        <v>2</v>
      </c>
      <c r="BC132" s="64" t="n">
        <f aca="false">IF(CR132&gt;0,CR132*MAX(1,BA132/X132),IF(CA132=1,IF(BA132&lt;=0,0,CE132*MAX(1,IF(H132&gt;0,BA132/H132,1))),IF(R132&gt;0,BB132/R132,0))/MAX(0.1,N(Parameter!$M$21)))</f>
        <v>0.0384615384615385</v>
      </c>
      <c r="BD132" s="62" t="n">
        <f aca="false">BC132*CC132</f>
        <v>5.96153846153846</v>
      </c>
      <c r="BE132" s="63" t="n">
        <f aca="false">IF(LEFT(Cockpit!$O$5,1)="A",H132,IF(CI132=1,(CL132+CJ132)/2,IF(LEFT(Cockpit!$O$5,1)="B",(CL132+BG132)/2,MAX((CL132+BG132)/2,H132))))</f>
        <v>210</v>
      </c>
      <c r="BF132" s="62" t="n">
        <f aca="false">BE132*G132</f>
        <v>1656.9</v>
      </c>
      <c r="BG132" s="62" t="n">
        <f aca="false">ROUNDUP(CL132+MAX(CM132,2*(J132/IF(CH132&gt;0,CH132,MAX(0.1,N(Cockpit!$O$6)))-CL132)),0)</f>
        <v>405</v>
      </c>
      <c r="BH132" s="63" t="n">
        <f aca="false">IF(BD132&gt;0,J132/BD132,-1)</f>
        <v>65.5870967741935</v>
      </c>
      <c r="BI132" s="63" t="n">
        <f aca="false">IF(AND(OR(CG132="L1",CG132="L23",CG132="LIFT"),BD132&gt;0),SUMIFS($BD$7:$BD$1843,$CG$7:$CG$1843,CG132,$BH$7:$BH$1843,"&gt;"&amp;BH132)+SUMIFS($BD$7:$BD$1843,$CG$7:$CG$1843,CG132,$BH$7:$BH$1843,BH132,$BX$7:$BX$1843,"&lt;="&amp;BX132),"")</f>
        <v>1045.8663003663</v>
      </c>
      <c r="BJ132" s="70" t="n">
        <f aca="false">IF(BI132="",0,MAX(0,MIN(1,(IF(CG132="L1",Parameter!$H$5,IF(CG132="L23",Parameter!$H$6+Parameter!$H$7,Parameter!$H$5+Parameter!$H$6+Parameter!$H$7))-(BI132-BD132))/BD132)))</f>
        <v>1</v>
      </c>
      <c r="BK132" s="60" t="str">
        <f aca="false">IF(AJ132&lt;=0,"",IF(CG132="Aussen","Aussenlager",IF(CG132="-","Nicht im Lift",IF(AP132&gt;=1,"Lift",IF(AP132&lt;=0,"Aussenlager","teilweise")))))</f>
        <v>Lift</v>
      </c>
      <c r="BL132" s="60" t="str">
        <f aca="false">IF(AT132&lt;=0,"",IF(CG132="Aussen","Aussenlager",IF(CG132="-","Nicht im Lift",IF(AZ132&gt;=1,"Lift",IF(AZ132&lt;=0,"Aussenlager","teilweise")))))</f>
        <v>Lift</v>
      </c>
      <c r="BM132" s="60" t="str">
        <f aca="false">IF(BD132&lt;=0,"",IF(CG132="Aussen","Aussenlager",IF(CG132="-","Nicht im Lift",IF(BJ132&gt;=1,"Lift",IF(BJ132&lt;=0,"Aussenlager","teilweise")))))</f>
        <v>Lift</v>
      </c>
      <c r="BN132" s="60" t="str">
        <f aca="false">IF(A132="","",IF(BW132=1,"Neu; ","")&amp;IF(AND(BW132=0,BR132&lt;0),"negativer Bestand (Export "&amp;BR132&amp;"); ","")&amp;IF(J132&lt;=0,"Kein Verbrauch; ","")&amp;IF(CR132&gt;0,"Lift "&amp;W132&amp;" lt. Liftbericht (Fach "&amp;X132&amp;" Stk); ",IF(CB132=1,"Gebinde geschätzt ("&amp;T132&amp;"); ",IF(CA132=1,"Lose – Tablare geschätzt; ","")))&amp;IF(H132&gt;AW132,"Überbestand "&amp;ROUND(H132-AW132,0)&amp;" Stk / CHF "&amp;ROUND((H132-AW132)*G132,0)&amp;"; ","")&amp;IF(AND(CI132=1,CJ132&lt;CK132),"MAX &lt; MB+LG; ","")&amp;IF(AND(CQ132&gt;0,CP132*10&gt;CQ132),"zu hoch für Tablar; ","")&amp;IF(AND(BW132=0,OR(CI132=1,AB132&lt;&gt;"",U132&lt;&gt;"",V132&lt;&gt;"",AC132&lt;&gt;"")),"manuell übersteuert; ","")&amp;IF(AND(CA132=0,R132=0),"Gebinde unbekannt / Stellmass fehlt; ","")&amp;IF(AND(CA132=0,N(V132)&lt;=0,N(Q132)&lt;=0),"Menge pro Gebinde fehlt (Ist = 1 Gebinde); ","")&amp;BV132)</f>
        <v/>
      </c>
      <c r="BO132" s="60"/>
      <c r="BP132" s="60"/>
      <c r="BQ132" s="67"/>
      <c r="BR132" s="62" t="n">
        <v>217</v>
      </c>
      <c r="BS132" s="62" t="n">
        <v>46</v>
      </c>
      <c r="BT132" s="61" t="n">
        <v>1710.09</v>
      </c>
      <c r="BU132" s="62" t="n">
        <v>391</v>
      </c>
      <c r="BV132" s="60"/>
      <c r="BW132" s="65" t="n">
        <v>0</v>
      </c>
      <c r="BX132" s="65" t="n">
        <v>132</v>
      </c>
      <c r="BY132" s="60" t="str">
        <f aca="false">IF(U132&lt;&gt;"",UPPER(TRIM(U132)),IF(CB132=1,UPPER(VLOOKUP(T132,Parameter!$I$27:$K$29,2,0)),IF(P132="","LOSE",P132)))</f>
        <v>S41</v>
      </c>
      <c r="BZ132" s="62" t="n">
        <f aca="false">IF(BY132="LOSE",1,IF(N(V132)&gt;0,V132,IF(CB132=1,MAX(1,N(VLOOKUP(T132,Parameter!$I$27:$K$29,3,0)),H132,N(N132)),IF(N(Q132)&gt;0,Q132,MAX(1,H132)))))</f>
        <v>178</v>
      </c>
      <c r="CA132" s="65" t="n">
        <f aca="false">IF(BY132="LOSE",1,0)</f>
        <v>0</v>
      </c>
      <c r="CB132" s="65" t="n">
        <f aca="false">IF(AND(U132="",OR(P132="",P132="LOSE"),T132&lt;&gt;"",N(S132)&lt;=0,ISNUMBER(MATCH(T132,Parameter!$I$27:$I$29,0))),1,0)</f>
        <v>0</v>
      </c>
      <c r="CC132" s="65" t="n">
        <f aca="false">IF(CR132&gt;0,INDEX(Parameter!$H$5:$H$7,W132)/INDEX(Parameter!$E$5:$E$7,W132),IF(AND(CA132=0,N(IFERROR(VLOOKUP(BY132,'Gebinde-Kategorie'!$A$5:$N$45,14,0),0))&gt;0),VLOOKUP(BY132,'Gebinde-Kategorie'!$A$5:$N$45,14,0)*10+Parameter!$M$23,Parameter!$M$24))</f>
        <v>155</v>
      </c>
      <c r="CD132" s="60" t="str">
        <f aca="false">IF(AND(Parameter!$B$19="Ja",E132&lt;&gt;"",ISNUMBER(MATCH(E132,Parameter!$I$35:$I$52,0))),VLOOKUP(E132,Parameter!$I$35:$J$52,2,0),IFERROR(VLOOKUP(D132,Parameter!$A$35:$C$64,2,0),"Nein"))</f>
        <v>2+3</v>
      </c>
      <c r="CE132" s="64" t="n">
        <f aca="false">IF(CA132=0,0,IF(N(S132)&gt;0,S132,IFERROR(VLOOKUP(D132,Parameter!$A$35:$C$64,3,0)+0,0)))</f>
        <v>0</v>
      </c>
      <c r="CF132" s="60" t="n">
        <f aca="false">IF(AB132&lt;&gt;"",AB132,AA132)</f>
        <v>3</v>
      </c>
      <c r="CG132" s="60" t="str">
        <f aca="false">IF(OR(CF132=1,CF132=2,CF132=3),IF(Parameter!$E$27="Ja","LIFT",IF(CF132=1,"L1","L23")),IF(CF132="Aussen","Aussen","-"))</f>
        <v>LIFT</v>
      </c>
      <c r="CH132" s="71" t="n">
        <f aca="false">IF(N(AC132)&gt;0,AC132,0)</f>
        <v>0</v>
      </c>
      <c r="CI132" s="65" t="n">
        <f aca="false">IF(ISNUMBER(AF132),1,0)</f>
        <v>0</v>
      </c>
      <c r="CJ132" s="62" t="n">
        <f aca="false">N(AF132)</f>
        <v>0</v>
      </c>
      <c r="CK132" s="62" t="n">
        <f aca="false">N(M132)+N(N132)</f>
        <v>405</v>
      </c>
      <c r="CL132" s="62" t="n">
        <f aca="false">N(M132)</f>
        <v>15</v>
      </c>
      <c r="CM132" s="62" t="n">
        <f aca="false">N(N132)</f>
        <v>390</v>
      </c>
      <c r="CN132" s="62" t="n">
        <f aca="false">ROUNDUP(H132/BZ132,0)</f>
        <v>2</v>
      </c>
      <c r="CO132" s="62" t="n">
        <f aca="false">ROUNDUP(CJ132/BZ132,0)</f>
        <v>0</v>
      </c>
      <c r="CP132" s="65" t="n">
        <f aca="false">IF(CA132=1,0,IFERROR(VLOOKUP(BY132,'Gebinde-Kategorie'!$A$5:$N$45,5,0)+0,0))</f>
        <v>11</v>
      </c>
      <c r="CQ132" s="65" t="n">
        <f aca="false">IFERROR(IF(OR(CF132=1,CF132=2,CF132=3),N(INDEX(Parameter!$I$5:$I$7,CF132)),0),0)</f>
        <v>0</v>
      </c>
      <c r="CR132" s="64" t="n">
        <f aca="false">IF(AND(Parameter!$B$21="Ja",ISNUMBER(W132),N(X132)&gt;0),IFERROR(N(INDEX(Parameter!$L$5:$L$7,W132))*INDEX(Parameter!$E$5:$E$7,W132)*X132/SUMIFS($X$7:$X$1843,$W$7:$W$1843,W132),0),0)</f>
        <v>0</v>
      </c>
      <c r="CS132" s="62" t="n">
        <f aca="false">IF(AND(OR(CG132="L1",CG132="L23",CG132="LIFT"),H132&gt;0),CC132*IF(CR132&gt;0,CR132*MAX(1,H132/X132),IF(CA132=1,CE132,IF(R132&gt;0,CN132/R132,0))/MAX(0.1,N(Parameter!$M$21))),"")</f>
        <v>5.96153846153846</v>
      </c>
      <c r="CT132" s="64" t="n">
        <f aca="false">IF(CS132="","",J132/H132)</f>
        <v>1.48669201520913</v>
      </c>
      <c r="CU132" s="62" t="n">
        <f aca="false">IF(CS132="","",H132*G132)</f>
        <v>2075.07</v>
      </c>
      <c r="CV132" s="63" t="n">
        <f aca="false">IF(CS132="","",(CL132+ROUNDUP(CL132+MAX(CM132,2*(J132/MAX(0.1,N(Einkauf!$C$6))-CL132)),0))/2)</f>
        <v>210</v>
      </c>
      <c r="CW132" s="62" t="n">
        <f aca="false">IF(CS132="","",MAX(0,H132-CV132)*G132)</f>
        <v>418.17</v>
      </c>
      <c r="CX132" s="62" t="n">
        <f aca="false">IF(CS132="","",CS132*MAX(0,1-CV132/H132))</f>
        <v>1.20137467095642</v>
      </c>
      <c r="CY132" s="64" t="n">
        <f aca="false">IF(CS132="","",PERCENTRANK($CS$7:$CS$1843,CS132)+PERCENTRANK($CU$7:$CU$1843,CU132)+1-PERCENTRANK($CT$7:$CT$1843,CT132))</f>
        <v>1.379</v>
      </c>
      <c r="CZ132" s="72" t="n">
        <f aca="false">IF(CS132="","",CHOOSE(MATCH(Einkauf!$C$5,Parameter!$G$23:$G$27,0),CY132,CS132,CU132,-CT132,CW132)+ROW()/1000000000)</f>
        <v>1.379000132</v>
      </c>
    </row>
    <row r="133" customFormat="false" ht="15" hidden="false" customHeight="false" outlineLevel="0" collapsed="false">
      <c r="A133" s="60" t="s">
        <v>516</v>
      </c>
      <c r="B133" s="60" t="s">
        <v>517</v>
      </c>
      <c r="C133" s="60" t="s">
        <v>206</v>
      </c>
      <c r="D133" s="60" t="s">
        <v>226</v>
      </c>
      <c r="E133" s="60" t="s">
        <v>227</v>
      </c>
      <c r="F133" s="60" t="s">
        <v>260</v>
      </c>
      <c r="G133" s="61" t="n">
        <v>1.3</v>
      </c>
      <c r="H133" s="62" t="n">
        <f aca="false">MAX(0,IF(AND(Parameter!$B$21="Ja",ISNUMBER(Y133)),Y133,IF(Parameter!$B$20="Jahresanfang 2025 + Export",BS133+BR133,BR133)))</f>
        <v>2057</v>
      </c>
      <c r="I133" s="62" t="n">
        <f aca="false">H133*G133</f>
        <v>2674.1</v>
      </c>
      <c r="J133" s="62" t="n">
        <f aca="false">BU133*Parameter!$B$18</f>
        <v>2371</v>
      </c>
      <c r="K133" s="63" t="n">
        <v>739</v>
      </c>
      <c r="L133" s="64" t="n">
        <v>3.20838971583221</v>
      </c>
      <c r="M133" s="62" t="n">
        <v>100</v>
      </c>
      <c r="N133" s="62" t="n">
        <v>2145</v>
      </c>
      <c r="O133" s="65" t="n">
        <v>14</v>
      </c>
      <c r="P133" s="60" t="s">
        <v>518</v>
      </c>
      <c r="Q133" s="62" t="n">
        <v>1988</v>
      </c>
      <c r="R133" s="65" t="n">
        <f aca="false">IF(CA133=1,0,IFERROR(VLOOKUP(BY133,'Gebinde-Kategorie'!$A$5:$N$45,13,0)+0,0))</f>
        <v>52</v>
      </c>
      <c r="S133" s="66"/>
      <c r="T133" s="67"/>
      <c r="U133" s="67"/>
      <c r="V133" s="67"/>
      <c r="W133" s="60"/>
      <c r="X133" s="62"/>
      <c r="Y133" s="62"/>
      <c r="Z133" s="60" t="n">
        <v>3</v>
      </c>
      <c r="AA133" s="60" t="n">
        <f aca="false">IF(A133="","",IF(AND(Parameter!$B$21="Ja",ISNUMBER(W133)),W133,IF(AND(Parameter!$E$27="Ja",ISNUMBER(Z133),CD133&lt;&gt;"Nein"),Z133,IF(CD133="2+3",IF(ISNUMBER(SEARCH("grosser Artikel",BV133)),2,IFERROR(VLOOKUP(BY133,Parameter!$F$35:$G$64,2,0),2)),IF(OR(CD133="Nein",CD133=""),"-",CD133)))))</f>
        <v>3</v>
      </c>
      <c r="AB133" s="67"/>
      <c r="AC133" s="68"/>
      <c r="AD133" s="62" t="n">
        <f aca="false">AW133</f>
        <v>2245</v>
      </c>
      <c r="AE133" s="62" t="n">
        <f aca="false">MAX(AW133,H133)</f>
        <v>2245</v>
      </c>
      <c r="AF133" s="69"/>
      <c r="AG133" s="62" t="n">
        <f aca="false">IF(LEFT(Cockpit!$C$5,1)="A",H133,IF(Parameter!$E$30="MAX-Bestand",IF(CI133=1,CJ133,IF(LEFT(Cockpit!$C$5,1)="B",AM133,MAX(AM133,H133))),ROUNDUP(AK133,0)))</f>
        <v>2057</v>
      </c>
      <c r="AH133" s="62" t="n">
        <f aca="false">IF(CA133=1,0,ROUNDUP(AG133/BZ133,0))</f>
        <v>2</v>
      </c>
      <c r="AI133" s="64" t="n">
        <f aca="false">IF(CR133&gt;0,CR133*MAX(1,AG133/X133),IF(CA133=1,IF(AG133&lt;=0,0,CE133*MAX(1,IF(H133&gt;0,AG133/H133,1))),IF(R133&gt;0,AH133/R133,0))/MAX(0.1,N(Parameter!$M$21)))</f>
        <v>0.0384615384615385</v>
      </c>
      <c r="AJ133" s="62" t="n">
        <f aca="false">AI133*CC133</f>
        <v>5.96153846153846</v>
      </c>
      <c r="AK133" s="63" t="n">
        <f aca="false">IF(LEFT(Cockpit!$C$5,1)="A",H133,IF(CI133=1,(CL133+CJ133)/2,IF(LEFT(Cockpit!$C$5,1)="B",(CL133+AM133)/2,MAX((CL133+AM133)/2,H133))))</f>
        <v>2057</v>
      </c>
      <c r="AL133" s="62" t="n">
        <f aca="false">AK133*G133</f>
        <v>2674.1</v>
      </c>
      <c r="AM133" s="62" t="n">
        <f aca="false">ROUNDUP(CL133+MAX(CM133,2*(J133/IF(CH133&gt;0,CH133,MAX(0.1,N(Cockpit!$C$6)))-CL133)),0)</f>
        <v>2245</v>
      </c>
      <c r="AN133" s="63" t="n">
        <f aca="false">IF(AJ133&gt;0,J133/AJ133,-1)</f>
        <v>397.716129032258</v>
      </c>
      <c r="AO133" s="63" t="n">
        <f aca="false">IF(AND(OR(CG133="L1",CG133="L23",CG133="LIFT"),AJ133&gt;0),SUMIFS($AJ$7:$AJ$1843,$CG$7:$CG$1843,CG133,$AN$7:$AN$1843,"&gt;"&amp;AN133)+SUMIFS($AJ$7:$AJ$1843,$CG$7:$CG$1843,CG133,$AN$7:$AN$1843,AN133,$BX$7:$BX$1843,"&lt;="&amp;BX133),"")</f>
        <v>177.527014652015</v>
      </c>
      <c r="AP133" s="70" t="n">
        <f aca="false">IF(AO133="",0,MAX(0,MIN(1,(IF(CG133="L1",Parameter!$H$5,IF(CG133="L23",Parameter!$H$6+Parameter!$H$7,Parameter!$H$5+Parameter!$H$6+Parameter!$H$7))-(AO133-AJ133))/AJ133)))</f>
        <v>1</v>
      </c>
      <c r="AQ133" s="62" t="n">
        <f aca="false">IF(LEFT(Cockpit!$I$5,1)="A",H133,IF(Parameter!$E$30="MAX-Bestand",IF(CI133=1,CJ133,IF(LEFT(Cockpit!$I$5,1)="B",AW133,MAX(AW133,H133))),ROUNDUP(AU133,0)))</f>
        <v>2057</v>
      </c>
      <c r="AR133" s="62" t="n">
        <f aca="false">IF(CA133=1,0,ROUNDUP(AQ133/BZ133,0))</f>
        <v>2</v>
      </c>
      <c r="AS133" s="64" t="n">
        <f aca="false">IF(CR133&gt;0,CR133*MAX(1,AQ133/X133),IF(CA133=1,IF(AQ133&lt;=0,0,CE133*MAX(1,IF(H133&gt;0,AQ133/H133,1))),IF(R133&gt;0,AR133/R133,0))/MAX(0.1,N(Parameter!$M$21)))</f>
        <v>0.0384615384615385</v>
      </c>
      <c r="AT133" s="62" t="n">
        <f aca="false">AS133*CC133</f>
        <v>5.96153846153846</v>
      </c>
      <c r="AU133" s="63" t="n">
        <f aca="false">IF(LEFT(Cockpit!$I$5,1)="A",H133,IF(CI133=1,(CL133+CJ133)/2,IF(LEFT(Cockpit!$I$5,1)="B",(CL133+AW133)/2,MAX((CL133+AW133)/2,H133))))</f>
        <v>2057</v>
      </c>
      <c r="AV133" s="62" t="n">
        <f aca="false">AU133*G133</f>
        <v>2674.1</v>
      </c>
      <c r="AW133" s="62" t="n">
        <f aca="false">ROUNDUP(CL133+MAX(CM133,2*(J133/IF(CH133&gt;0,CH133,MAX(0.1,N(Cockpit!$I$6)))-CL133)),0)</f>
        <v>2245</v>
      </c>
      <c r="AX133" s="63" t="n">
        <f aca="false">IF(AT133&gt;0,J133/AT133,-1)</f>
        <v>397.716129032258</v>
      </c>
      <c r="AY133" s="63" t="n">
        <f aca="false">IF(AND(OR(CG133="L1",CG133="L23",CG133="LIFT"),AT133&gt;0),SUMIFS($AT$7:$AT$1843,$CG$7:$CG$1843,CG133,$AX$7:$AX$1843,"&gt;"&amp;AX133)+SUMIFS($AT$7:$AT$1843,$CG$7:$CG$1843,CG133,$AX$7:$AX$1843,AX133,$BX$7:$BX$1843,"&lt;="&amp;BX133),"")</f>
        <v>111.743131868132</v>
      </c>
      <c r="AZ133" s="70" t="n">
        <f aca="false">IF(AY133="",0,MAX(0,MIN(1,(IF(CG133="L1",Parameter!$H$5,IF(CG133="L23",Parameter!$H$6+Parameter!$H$7,Parameter!$H$5+Parameter!$H$6+Parameter!$H$7))-(AY133-AT133))/AT133)))</f>
        <v>1</v>
      </c>
      <c r="BA133" s="62" t="n">
        <f aca="false">IF(LEFT(Cockpit!$O$5,1)="A",H133,IF(Parameter!$E$30="MAX-Bestand",IF(CI133=1,CJ133,IF(LEFT(Cockpit!$O$5,1)="B",BG133,MAX(BG133,H133))),ROUNDUP(BE133,0)))</f>
        <v>1173</v>
      </c>
      <c r="BB133" s="62" t="n">
        <f aca="false">IF(CA133=1,0,ROUNDUP(BA133/BZ133,0))</f>
        <v>1</v>
      </c>
      <c r="BC133" s="64" t="n">
        <f aca="false">IF(CR133&gt;0,CR133*MAX(1,BA133/X133),IF(CA133=1,IF(BA133&lt;=0,0,CE133*MAX(1,IF(H133&gt;0,BA133/H133,1))),IF(R133&gt;0,BB133/R133,0))/MAX(0.1,N(Parameter!$M$21)))</f>
        <v>0.0192307692307692</v>
      </c>
      <c r="BD133" s="62" t="n">
        <f aca="false">BC133*CC133</f>
        <v>2.98076923076923</v>
      </c>
      <c r="BE133" s="63" t="n">
        <f aca="false">IF(LEFT(Cockpit!$O$5,1)="A",H133,IF(CI133=1,(CL133+CJ133)/2,IF(LEFT(Cockpit!$O$5,1)="B",(CL133+BG133)/2,MAX((CL133+BG133)/2,H133))))</f>
        <v>1172.5</v>
      </c>
      <c r="BF133" s="62" t="n">
        <f aca="false">BE133*G133</f>
        <v>1524.25</v>
      </c>
      <c r="BG133" s="62" t="n">
        <f aca="false">ROUNDUP(CL133+MAX(CM133,2*(J133/IF(CH133&gt;0,CH133,MAX(0.1,N(Cockpit!$O$6)))-CL133)),0)</f>
        <v>2245</v>
      </c>
      <c r="BH133" s="63" t="n">
        <f aca="false">IF(BD133&gt;0,J133/BD133,-1)</f>
        <v>795.432258064516</v>
      </c>
      <c r="BI133" s="63" t="n">
        <f aca="false">IF(AND(OR(CG133="L1",CG133="L23",CG133="LIFT"),BD133&gt;0),SUMIFS($BD$7:$BD$1843,$CG$7:$CG$1843,CG133,$BH$7:$BH$1843,"&gt;"&amp;BH133)+SUMIFS($BD$7:$BD$1843,$CG$7:$CG$1843,CG133,$BH$7:$BH$1843,BH133,$BX$7:$BX$1843,"&lt;="&amp;BX133),"")</f>
        <v>32.4052197802198</v>
      </c>
      <c r="BJ133" s="70" t="n">
        <f aca="false">IF(BI133="",0,MAX(0,MIN(1,(IF(CG133="L1",Parameter!$H$5,IF(CG133="L23",Parameter!$H$6+Parameter!$H$7,Parameter!$H$5+Parameter!$H$6+Parameter!$H$7))-(BI133-BD133))/BD133)))</f>
        <v>1</v>
      </c>
      <c r="BK133" s="60" t="str">
        <f aca="false">IF(AJ133&lt;=0,"",IF(CG133="Aussen","Aussenlager",IF(CG133="-","Nicht im Lift",IF(AP133&gt;=1,"Lift",IF(AP133&lt;=0,"Aussenlager","teilweise")))))</f>
        <v>Lift</v>
      </c>
      <c r="BL133" s="60" t="str">
        <f aca="false">IF(AT133&lt;=0,"",IF(CG133="Aussen","Aussenlager",IF(CG133="-","Nicht im Lift",IF(AZ133&gt;=1,"Lift",IF(AZ133&lt;=0,"Aussenlager","teilweise")))))</f>
        <v>Lift</v>
      </c>
      <c r="BM133" s="60" t="str">
        <f aca="false">IF(BD133&lt;=0,"",IF(CG133="Aussen","Aussenlager",IF(CG133="-","Nicht im Lift",IF(BJ133&gt;=1,"Lift",IF(BJ133&lt;=0,"Aussenlager","teilweise")))))</f>
        <v>Lift</v>
      </c>
      <c r="BN133" s="60" t="str">
        <f aca="false">IF(A133="","",IF(BW133=1,"Neu; ","")&amp;IF(AND(BW133=0,BR133&lt;0),"negativer Bestand (Export "&amp;BR133&amp;"); ","")&amp;IF(J133&lt;=0,"Kein Verbrauch; ","")&amp;IF(CR133&gt;0,"Lift "&amp;W133&amp;" lt. Liftbericht (Fach "&amp;X133&amp;" Stk); ",IF(CB133=1,"Gebinde geschätzt ("&amp;T133&amp;"); ",IF(CA133=1,"Lose – Tablare geschätzt; ","")))&amp;IF(H133&gt;AW133,"Überbestand "&amp;ROUND(H133-AW133,0)&amp;" Stk / CHF "&amp;ROUND((H133-AW133)*G133,0)&amp;"; ","")&amp;IF(AND(CI133=1,CJ133&lt;CK133),"MAX &lt; MB+LG; ","")&amp;IF(AND(CQ133&gt;0,CP133*10&gt;CQ133),"zu hoch für Tablar; ","")&amp;IF(AND(BW133=0,OR(CI133=1,AB133&lt;&gt;"",U133&lt;&gt;"",V133&lt;&gt;"",AC133&lt;&gt;"")),"manuell übersteuert; ","")&amp;IF(AND(CA133=0,R133=0),"Gebinde unbekannt / Stellmass fehlt; ","")&amp;IF(AND(CA133=0,N(V133)&lt;=0,N(Q133)&lt;=0),"Menge pro Gebinde fehlt (Ist = 1 Gebinde); ","")&amp;BV133)</f>
        <v/>
      </c>
      <c r="BO133" s="60"/>
      <c r="BP133" s="60"/>
      <c r="BQ133" s="67"/>
      <c r="BR133" s="62" t="n">
        <v>1387</v>
      </c>
      <c r="BS133" s="62" t="n">
        <v>670</v>
      </c>
      <c r="BT133" s="61" t="n">
        <v>1675.10000000001</v>
      </c>
      <c r="BU133" s="62" t="n">
        <v>2371</v>
      </c>
      <c r="BV133" s="60"/>
      <c r="BW133" s="65" t="n">
        <v>0</v>
      </c>
      <c r="BX133" s="65" t="n">
        <v>133</v>
      </c>
      <c r="BY133" s="60" t="str">
        <f aca="false">IF(U133&lt;&gt;"",UPPER(TRIM(U133)),IF(CB133=1,UPPER(VLOOKUP(T133,Parameter!$I$27:$K$29,2,0)),IF(P133="","LOSE",P133)))</f>
        <v>S33</v>
      </c>
      <c r="BZ133" s="62" t="n">
        <f aca="false">IF(BY133="LOSE",1,IF(N(V133)&gt;0,V133,IF(CB133=1,MAX(1,N(VLOOKUP(T133,Parameter!$I$27:$K$29,3,0)),H133,N(N133)),IF(N(Q133)&gt;0,Q133,MAX(1,H133)))))</f>
        <v>1988</v>
      </c>
      <c r="CA133" s="65" t="n">
        <f aca="false">IF(BY133="LOSE",1,0)</f>
        <v>0</v>
      </c>
      <c r="CB133" s="65" t="n">
        <f aca="false">IF(AND(U133="",OR(P133="",P133="LOSE"),T133&lt;&gt;"",N(S133)&lt;=0,ISNUMBER(MATCH(T133,Parameter!$I$27:$I$29,0))),1,0)</f>
        <v>0</v>
      </c>
      <c r="CC133" s="65" t="n">
        <f aca="false">IF(CR133&gt;0,INDEX(Parameter!$H$5:$H$7,W133)/INDEX(Parameter!$E$5:$E$7,W133),IF(AND(CA133=0,N(IFERROR(VLOOKUP(BY133,'Gebinde-Kategorie'!$A$5:$N$45,14,0),0))&gt;0),VLOOKUP(BY133,'Gebinde-Kategorie'!$A$5:$N$45,14,0)*10+Parameter!$M$23,Parameter!$M$24))</f>
        <v>155</v>
      </c>
      <c r="CD133" s="60" t="str">
        <f aca="false">IF(AND(Parameter!$B$19="Ja",E133&lt;&gt;"",ISNUMBER(MATCH(E133,Parameter!$I$35:$I$52,0))),VLOOKUP(E133,Parameter!$I$35:$J$52,2,0),IFERROR(VLOOKUP(D133,Parameter!$A$35:$C$64,2,0),"Nein"))</f>
        <v>2+3</v>
      </c>
      <c r="CE133" s="64" t="n">
        <f aca="false">IF(CA133=0,0,IF(N(S133)&gt;0,S133,IFERROR(VLOOKUP(D133,Parameter!$A$35:$C$64,3,0)+0,0)))</f>
        <v>0</v>
      </c>
      <c r="CF133" s="60" t="n">
        <f aca="false">IF(AB133&lt;&gt;"",AB133,AA133)</f>
        <v>3</v>
      </c>
      <c r="CG133" s="60" t="str">
        <f aca="false">IF(OR(CF133=1,CF133=2,CF133=3),IF(Parameter!$E$27="Ja","LIFT",IF(CF133=1,"L1","L23")),IF(CF133="Aussen","Aussen","-"))</f>
        <v>LIFT</v>
      </c>
      <c r="CH133" s="71" t="n">
        <f aca="false">IF(N(AC133)&gt;0,AC133,0)</f>
        <v>0</v>
      </c>
      <c r="CI133" s="65" t="n">
        <f aca="false">IF(ISNUMBER(AF133),1,0)</f>
        <v>0</v>
      </c>
      <c r="CJ133" s="62" t="n">
        <f aca="false">N(AF133)</f>
        <v>0</v>
      </c>
      <c r="CK133" s="62" t="n">
        <f aca="false">N(M133)+N(N133)</f>
        <v>2245</v>
      </c>
      <c r="CL133" s="62" t="n">
        <f aca="false">N(M133)</f>
        <v>100</v>
      </c>
      <c r="CM133" s="62" t="n">
        <f aca="false">N(N133)</f>
        <v>2145</v>
      </c>
      <c r="CN133" s="62" t="n">
        <f aca="false">ROUNDUP(H133/BZ133,0)</f>
        <v>2</v>
      </c>
      <c r="CO133" s="62" t="n">
        <f aca="false">ROUNDUP(CJ133/BZ133,0)</f>
        <v>0</v>
      </c>
      <c r="CP133" s="65" t="n">
        <f aca="false">IF(CA133=1,0,IFERROR(VLOOKUP(BY133,'Gebinde-Kategorie'!$A$5:$N$45,5,0)+0,0))</f>
        <v>8</v>
      </c>
      <c r="CQ133" s="65" t="n">
        <f aca="false">IFERROR(IF(OR(CF133=1,CF133=2,CF133=3),N(INDEX(Parameter!$I$5:$I$7,CF133)),0),0)</f>
        <v>0</v>
      </c>
      <c r="CR133" s="64" t="n">
        <f aca="false">IF(AND(Parameter!$B$21="Ja",ISNUMBER(W133),N(X133)&gt;0),IFERROR(N(INDEX(Parameter!$L$5:$L$7,W133))*INDEX(Parameter!$E$5:$E$7,W133)*X133/SUMIFS($X$7:$X$1843,$W$7:$W$1843,W133),0),0)</f>
        <v>0</v>
      </c>
      <c r="CS133" s="62" t="n">
        <f aca="false">IF(AND(OR(CG133="L1",CG133="L23",CG133="LIFT"),H133&gt;0),CC133*IF(CR133&gt;0,CR133*MAX(1,H133/X133),IF(CA133=1,CE133,IF(R133&gt;0,CN133/R133,0))/MAX(0.1,N(Parameter!$M$21))),"")</f>
        <v>5.96153846153846</v>
      </c>
      <c r="CT133" s="64" t="n">
        <f aca="false">IF(CS133="","",J133/H133)</f>
        <v>1.15264948954789</v>
      </c>
      <c r="CU133" s="62" t="n">
        <f aca="false">IF(CS133="","",H133*G133)</f>
        <v>2674.1</v>
      </c>
      <c r="CV133" s="63" t="n">
        <f aca="false">IF(CS133="","",(CL133+ROUNDUP(CL133+MAX(CM133,2*(J133/MAX(0.1,N(Einkauf!$C$6))-CL133)),0))/2)</f>
        <v>1172.5</v>
      </c>
      <c r="CW133" s="62" t="n">
        <f aca="false">IF(CS133="","",MAX(0,H133-CV133)*G133)</f>
        <v>1149.85</v>
      </c>
      <c r="CX133" s="62" t="n">
        <f aca="false">IF(CS133="","",CS133*MAX(0,1-CV133/H133))</f>
        <v>2.56343255674806</v>
      </c>
      <c r="CY133" s="64" t="n">
        <f aca="false">IF(CS133="","",PERCENTRANK($CS$7:$CS$1843,CS133)+PERCENTRANK($CU$7:$CU$1843,CU133)+1-PERCENTRANK($CT$7:$CT$1843,CT133))</f>
        <v>1.467</v>
      </c>
      <c r="CZ133" s="72" t="n">
        <f aca="false">IF(CS133="","",CHOOSE(MATCH(Einkauf!$C$5,Parameter!$G$23:$G$27,0),CY133,CS133,CU133,-CT133,CW133)+ROW()/1000000000)</f>
        <v>1.467000133</v>
      </c>
    </row>
    <row r="134" customFormat="false" ht="15" hidden="false" customHeight="false" outlineLevel="0" collapsed="false">
      <c r="A134" s="60" t="s">
        <v>519</v>
      </c>
      <c r="B134" s="60" t="s">
        <v>343</v>
      </c>
      <c r="C134" s="60" t="s">
        <v>206</v>
      </c>
      <c r="D134" s="60" t="s">
        <v>226</v>
      </c>
      <c r="E134" s="60" t="s">
        <v>227</v>
      </c>
      <c r="F134" s="60" t="s">
        <v>260</v>
      </c>
      <c r="G134" s="61" t="n">
        <v>332.74</v>
      </c>
      <c r="H134" s="62" t="n">
        <f aca="false">MAX(0,IF(AND(Parameter!$B$21="Ja",ISNUMBER(Y134)),Y134,IF(Parameter!$B$20="Jahresanfang 2025 + Export",BS134+BR134,BR134)))</f>
        <v>22</v>
      </c>
      <c r="I134" s="62" t="n">
        <f aca="false">H134*G134</f>
        <v>7320.28</v>
      </c>
      <c r="J134" s="62" t="n">
        <f aca="false">BU134*Parameter!$B$18</f>
        <v>7</v>
      </c>
      <c r="K134" s="63" t="n">
        <v>18.5</v>
      </c>
      <c r="L134" s="64" t="n">
        <v>0.378378378378378</v>
      </c>
      <c r="M134" s="62" t="n">
        <v>2</v>
      </c>
      <c r="N134" s="62" t="n">
        <v>5</v>
      </c>
      <c r="O134" s="65" t="n">
        <v>105</v>
      </c>
      <c r="P134" s="60" t="s">
        <v>344</v>
      </c>
      <c r="Q134" s="62" t="n">
        <v>16</v>
      </c>
      <c r="R134" s="65" t="n">
        <f aca="false">IF(CA134=1,0,IFERROR(VLOOKUP(BY134,'Gebinde-Kategorie'!$A$5:$N$45,13,0)+0,0))</f>
        <v>26</v>
      </c>
      <c r="S134" s="66"/>
      <c r="T134" s="67"/>
      <c r="U134" s="67"/>
      <c r="V134" s="67"/>
      <c r="W134" s="60"/>
      <c r="X134" s="62"/>
      <c r="Y134" s="62"/>
      <c r="Z134" s="60" t="n">
        <v>3</v>
      </c>
      <c r="AA134" s="60" t="n">
        <f aca="false">IF(A134="","",IF(AND(Parameter!$B$21="Ja",ISNUMBER(W134)),W134,IF(AND(Parameter!$E$27="Ja",ISNUMBER(Z134),CD134&lt;&gt;"Nein"),Z134,IF(CD134="2+3",IF(ISNUMBER(SEARCH("grosser Artikel",BV134)),2,IFERROR(VLOOKUP(BY134,Parameter!$F$35:$G$64,2,0),2)),IF(OR(CD134="Nein",CD134=""),"-",CD134)))))</f>
        <v>3</v>
      </c>
      <c r="AB134" s="67"/>
      <c r="AC134" s="68"/>
      <c r="AD134" s="62" t="n">
        <f aca="false">AW134</f>
        <v>7</v>
      </c>
      <c r="AE134" s="62" t="n">
        <f aca="false">MAX(AW134,H134)</f>
        <v>22</v>
      </c>
      <c r="AF134" s="69"/>
      <c r="AG134" s="62" t="n">
        <f aca="false">IF(LEFT(Cockpit!$C$5,1)="A",H134,IF(Parameter!$E$30="MAX-Bestand",IF(CI134=1,CJ134,IF(LEFT(Cockpit!$C$5,1)="B",AM134,MAX(AM134,H134))),ROUNDUP(AK134,0)))</f>
        <v>22</v>
      </c>
      <c r="AH134" s="62" t="n">
        <f aca="false">IF(CA134=1,0,ROUNDUP(AG134/BZ134,0))</f>
        <v>2</v>
      </c>
      <c r="AI134" s="64" t="n">
        <f aca="false">IF(CR134&gt;0,CR134*MAX(1,AG134/X134),IF(CA134=1,IF(AG134&lt;=0,0,CE134*MAX(1,IF(H134&gt;0,AG134/H134,1))),IF(R134&gt;0,AH134/R134,0))/MAX(0.1,N(Parameter!$M$21)))</f>
        <v>0.0769230769230769</v>
      </c>
      <c r="AJ134" s="62" t="n">
        <f aca="false">AI134*CC134</f>
        <v>11.9230769230769</v>
      </c>
      <c r="AK134" s="63" t="n">
        <f aca="false">IF(LEFT(Cockpit!$C$5,1)="A",H134,IF(CI134=1,(CL134+CJ134)/2,IF(LEFT(Cockpit!$C$5,1)="B",(CL134+AM134)/2,MAX((CL134+AM134)/2,H134))))</f>
        <v>22</v>
      </c>
      <c r="AL134" s="62" t="n">
        <f aca="false">AK134*G134</f>
        <v>7320.28</v>
      </c>
      <c r="AM134" s="62" t="n">
        <f aca="false">ROUNDUP(CL134+MAX(CM134,2*(J134/IF(CH134&gt;0,CH134,MAX(0.1,N(Cockpit!$C$6)))-CL134)),0)</f>
        <v>7</v>
      </c>
      <c r="AN134" s="63" t="n">
        <f aca="false">IF(AJ134&gt;0,J134/AJ134,-1)</f>
        <v>0.587096774193548</v>
      </c>
      <c r="AO134" s="63" t="n">
        <f aca="false">IF(AND(OR(CG134="L1",CG134="L23",CG134="LIFT"),AJ134&gt;0),SUMIFS($AJ$7:$AJ$1843,$CG$7:$CG$1843,CG134,$AN$7:$AN$1843,"&gt;"&amp;AN134)+SUMIFS($AJ$7:$AJ$1843,$CG$7:$CG$1843,CG134,$AN$7:$AN$1843,AN134,$BX$7:$BX$1843,"&lt;="&amp;BX134),"")</f>
        <v>9369.79255396205</v>
      </c>
      <c r="AP134" s="70" t="n">
        <f aca="false">IF(AO134="",0,MAX(0,MIN(1,(IF(CG134="L1",Parameter!$H$5,IF(CG134="L23",Parameter!$H$6+Parameter!$H$7,Parameter!$H$5+Parameter!$H$6+Parameter!$H$7))-(AO134-AJ134))/AJ134)))</f>
        <v>1</v>
      </c>
      <c r="AQ134" s="62" t="n">
        <f aca="false">IF(LEFT(Cockpit!$I$5,1)="A",H134,IF(Parameter!$E$30="MAX-Bestand",IF(CI134=1,CJ134,IF(LEFT(Cockpit!$I$5,1)="B",AW134,MAX(AW134,H134))),ROUNDUP(AU134,0)))</f>
        <v>22</v>
      </c>
      <c r="AR134" s="62" t="n">
        <f aca="false">IF(CA134=1,0,ROUNDUP(AQ134/BZ134,0))</f>
        <v>2</v>
      </c>
      <c r="AS134" s="64" t="n">
        <f aca="false">IF(CR134&gt;0,CR134*MAX(1,AQ134/X134),IF(CA134=1,IF(AQ134&lt;=0,0,CE134*MAX(1,IF(H134&gt;0,AQ134/H134,1))),IF(R134&gt;0,AR134/R134,0))/MAX(0.1,N(Parameter!$M$21)))</f>
        <v>0.0769230769230769</v>
      </c>
      <c r="AT134" s="62" t="n">
        <f aca="false">AS134*CC134</f>
        <v>11.9230769230769</v>
      </c>
      <c r="AU134" s="63" t="n">
        <f aca="false">IF(LEFT(Cockpit!$I$5,1)="A",H134,IF(CI134=1,(CL134+CJ134)/2,IF(LEFT(Cockpit!$I$5,1)="B",(CL134+AW134)/2,MAX((CL134+AW134)/2,H134))))</f>
        <v>22</v>
      </c>
      <c r="AV134" s="62" t="n">
        <f aca="false">AU134*G134</f>
        <v>7320.28</v>
      </c>
      <c r="AW134" s="62" t="n">
        <f aca="false">ROUNDUP(CL134+MAX(CM134,2*(J134/IF(CH134&gt;0,CH134,MAX(0.1,N(Cockpit!$I$6)))-CL134)),0)</f>
        <v>7</v>
      </c>
      <c r="AX134" s="63" t="n">
        <f aca="false">IF(AT134&gt;0,J134/AT134,-1)</f>
        <v>0.587096774193548</v>
      </c>
      <c r="AY134" s="63" t="n">
        <f aca="false">IF(AND(OR(CG134="L1",CG134="L23",CG134="LIFT"),AT134&gt;0),SUMIFS($AT$7:$AT$1843,$CG$7:$CG$1843,CG134,$AX$7:$AX$1843,"&gt;"&amp;AX134)+SUMIFS($AT$7:$AT$1843,$CG$7:$CG$1843,CG134,$AX$7:$AX$1843,AX134,$BX$7:$BX$1843,"&lt;="&amp;BX134),"")</f>
        <v>11455.0393772894</v>
      </c>
      <c r="AZ134" s="70" t="n">
        <f aca="false">IF(AY134="",0,MAX(0,MIN(1,(IF(CG134="L1",Parameter!$H$5,IF(CG134="L23",Parameter!$H$6+Parameter!$H$7,Parameter!$H$5+Parameter!$H$6+Parameter!$H$7))-(AY134-AT134))/AT134)))</f>
        <v>1</v>
      </c>
      <c r="BA134" s="62" t="n">
        <f aca="false">IF(LEFT(Cockpit!$O$5,1)="A",H134,IF(Parameter!$E$30="MAX-Bestand",IF(CI134=1,CJ134,IF(LEFT(Cockpit!$O$5,1)="B",BG134,MAX(BG134,H134))),ROUNDUP(BE134,0)))</f>
        <v>5</v>
      </c>
      <c r="BB134" s="62" t="n">
        <f aca="false">IF(CA134=1,0,ROUNDUP(BA134/BZ134,0))</f>
        <v>1</v>
      </c>
      <c r="BC134" s="64" t="n">
        <f aca="false">IF(CR134&gt;0,CR134*MAX(1,BA134/X134),IF(CA134=1,IF(BA134&lt;=0,0,CE134*MAX(1,IF(H134&gt;0,BA134/H134,1))),IF(R134&gt;0,BB134/R134,0))/MAX(0.1,N(Parameter!$M$21)))</f>
        <v>0.0384615384615385</v>
      </c>
      <c r="BD134" s="62" t="n">
        <f aca="false">BC134*CC134</f>
        <v>5.96153846153846</v>
      </c>
      <c r="BE134" s="63" t="n">
        <f aca="false">IF(LEFT(Cockpit!$O$5,1)="A",H134,IF(CI134=1,(CL134+CJ134)/2,IF(LEFT(Cockpit!$O$5,1)="B",(CL134+BG134)/2,MAX((CL134+BG134)/2,H134))))</f>
        <v>4.5</v>
      </c>
      <c r="BF134" s="62" t="n">
        <f aca="false">BE134*G134</f>
        <v>1497.33</v>
      </c>
      <c r="BG134" s="62" t="n">
        <f aca="false">ROUNDUP(CL134+MAX(CM134,2*(J134/IF(CH134&gt;0,CH134,MAX(0.1,N(Cockpit!$O$6)))-CL134)),0)</f>
        <v>7</v>
      </c>
      <c r="BH134" s="63" t="n">
        <f aca="false">IF(BD134&gt;0,J134/BD134,-1)</f>
        <v>1.1741935483871</v>
      </c>
      <c r="BI134" s="63" t="n">
        <f aca="false">IF(AND(OR(CG134="L1",CG134="L23",CG134="LIFT"),BD134&gt;0),SUMIFS($BD$7:$BD$1843,$CG$7:$CG$1843,CG134,$BH$7:$BH$1843,"&gt;"&amp;BH134)+SUMIFS($BD$7:$BD$1843,$CG$7:$CG$1843,CG134,$BH$7:$BH$1843,BH134,$BX$7:$BX$1843,"&lt;="&amp;BX134),"")</f>
        <v>7188.38049450549</v>
      </c>
      <c r="BJ134" s="70" t="n">
        <f aca="false">IF(BI134="",0,MAX(0,MIN(1,(IF(CG134="L1",Parameter!$H$5,IF(CG134="L23",Parameter!$H$6+Parameter!$H$7,Parameter!$H$5+Parameter!$H$6+Parameter!$H$7))-(BI134-BD134))/BD134)))</f>
        <v>1</v>
      </c>
      <c r="BK134" s="60" t="str">
        <f aca="false">IF(AJ134&lt;=0,"",IF(CG134="Aussen","Aussenlager",IF(CG134="-","Nicht im Lift",IF(AP134&gt;=1,"Lift",IF(AP134&lt;=0,"Aussenlager","teilweise")))))</f>
        <v>Lift</v>
      </c>
      <c r="BL134" s="60" t="str">
        <f aca="false">IF(AT134&lt;=0,"",IF(CG134="Aussen","Aussenlager",IF(CG134="-","Nicht im Lift",IF(AZ134&gt;=1,"Lift",IF(AZ134&lt;=0,"Aussenlager","teilweise")))))</f>
        <v>Lift</v>
      </c>
      <c r="BM134" s="60" t="str">
        <f aca="false">IF(BD134&lt;=0,"",IF(CG134="Aussen","Aussenlager",IF(CG134="-","Nicht im Lift",IF(BJ134&gt;=1,"Lift",IF(BJ134&lt;=0,"Aussenlager","teilweise")))))</f>
        <v>Lift</v>
      </c>
      <c r="BN134" s="60" t="str">
        <f aca="false">IF(A134="","",IF(BW134=1,"Neu; ","")&amp;IF(AND(BW134=0,BR134&lt;0),"negativer Bestand (Export "&amp;BR134&amp;"); ","")&amp;IF(J134&lt;=0,"Kein Verbrauch; ","")&amp;IF(CR134&gt;0,"Lift "&amp;W134&amp;" lt. Liftbericht (Fach "&amp;X134&amp;" Stk); ",IF(CB134=1,"Gebinde geschätzt ("&amp;T134&amp;"); ",IF(CA134=1,"Lose – Tablare geschätzt; ","")))&amp;IF(H134&gt;AW134,"Überbestand "&amp;ROUND(H134-AW134,0)&amp;" Stk / CHF "&amp;ROUND((H134-AW134)*G134,0)&amp;"; ","")&amp;IF(AND(CI134=1,CJ134&lt;CK134),"MAX &lt; MB+LG; ","")&amp;IF(AND(CQ134&gt;0,CP134*10&gt;CQ134),"zu hoch für Tablar; ","")&amp;IF(AND(BW134=0,OR(CI134=1,AB134&lt;&gt;"",U134&lt;&gt;"",V134&lt;&gt;"",AC134&lt;&gt;"")),"manuell übersteuert; ","")&amp;IF(AND(CA134=0,R134=0),"Gebinde unbekannt / Stellmass fehlt; ","")&amp;IF(AND(CA134=0,N(V134)&lt;=0,N(Q134)&lt;=0),"Menge pro Gebinde fehlt (Ist = 1 Gebinde); ","")&amp;BV134)</f>
        <v>Überbestand 15 Stk / CHF 4991; </v>
      </c>
      <c r="BO134" s="60"/>
      <c r="BP134" s="60"/>
      <c r="BQ134" s="67"/>
      <c r="BR134" s="62" t="n">
        <v>5</v>
      </c>
      <c r="BS134" s="62" t="n">
        <v>17</v>
      </c>
      <c r="BT134" s="61" t="n">
        <v>1663.19</v>
      </c>
      <c r="BU134" s="62" t="n">
        <v>7</v>
      </c>
      <c r="BV134" s="60"/>
      <c r="BW134" s="65" t="n">
        <v>0</v>
      </c>
      <c r="BX134" s="65" t="n">
        <v>134</v>
      </c>
      <c r="BY134" s="60" t="str">
        <f aca="false">IF(U134&lt;&gt;"",UPPER(TRIM(U134)),IF(CB134=1,UPPER(VLOOKUP(T134,Parameter!$I$27:$K$29,2,0)),IF(P134="","LOSE",P134)))</f>
        <v>S51</v>
      </c>
      <c r="BZ134" s="62" t="n">
        <f aca="false">IF(BY134="LOSE",1,IF(N(V134)&gt;0,V134,IF(CB134=1,MAX(1,N(VLOOKUP(T134,Parameter!$I$27:$K$29,3,0)),H134,N(N134)),IF(N(Q134)&gt;0,Q134,MAX(1,H134)))))</f>
        <v>16</v>
      </c>
      <c r="CA134" s="65" t="n">
        <f aca="false">IF(BY134="LOSE",1,0)</f>
        <v>0</v>
      </c>
      <c r="CB134" s="65" t="n">
        <f aca="false">IF(AND(U134="",OR(P134="",P134="LOSE"),T134&lt;&gt;"",N(S134)&lt;=0,ISNUMBER(MATCH(T134,Parameter!$I$27:$I$29,0))),1,0)</f>
        <v>0</v>
      </c>
      <c r="CC134" s="65" t="n">
        <f aca="false">IF(CR134&gt;0,INDEX(Parameter!$H$5:$H$7,W134)/INDEX(Parameter!$E$5:$E$7,W134),IF(AND(CA134=0,N(IFERROR(VLOOKUP(BY134,'Gebinde-Kategorie'!$A$5:$N$45,14,0),0))&gt;0),VLOOKUP(BY134,'Gebinde-Kategorie'!$A$5:$N$45,14,0)*10+Parameter!$M$23,Parameter!$M$24))</f>
        <v>155</v>
      </c>
      <c r="CD134" s="60" t="str">
        <f aca="false">IF(AND(Parameter!$B$19="Ja",E134&lt;&gt;"",ISNUMBER(MATCH(E134,Parameter!$I$35:$I$52,0))),VLOOKUP(E134,Parameter!$I$35:$J$52,2,0),IFERROR(VLOOKUP(D134,Parameter!$A$35:$C$64,2,0),"Nein"))</f>
        <v>2+3</v>
      </c>
      <c r="CE134" s="64" t="n">
        <f aca="false">IF(CA134=0,0,IF(N(S134)&gt;0,S134,IFERROR(VLOOKUP(D134,Parameter!$A$35:$C$64,3,0)+0,0)))</f>
        <v>0</v>
      </c>
      <c r="CF134" s="60" t="n">
        <f aca="false">IF(AB134&lt;&gt;"",AB134,AA134)</f>
        <v>3</v>
      </c>
      <c r="CG134" s="60" t="str">
        <f aca="false">IF(OR(CF134=1,CF134=2,CF134=3),IF(Parameter!$E$27="Ja","LIFT",IF(CF134=1,"L1","L23")),IF(CF134="Aussen","Aussen","-"))</f>
        <v>LIFT</v>
      </c>
      <c r="CH134" s="71" t="n">
        <f aca="false">IF(N(AC134)&gt;0,AC134,0)</f>
        <v>0</v>
      </c>
      <c r="CI134" s="65" t="n">
        <f aca="false">IF(ISNUMBER(AF134),1,0)</f>
        <v>0</v>
      </c>
      <c r="CJ134" s="62" t="n">
        <f aca="false">N(AF134)</f>
        <v>0</v>
      </c>
      <c r="CK134" s="62" t="n">
        <f aca="false">N(M134)+N(N134)</f>
        <v>7</v>
      </c>
      <c r="CL134" s="62" t="n">
        <f aca="false">N(M134)</f>
        <v>2</v>
      </c>
      <c r="CM134" s="62" t="n">
        <f aca="false">N(N134)</f>
        <v>5</v>
      </c>
      <c r="CN134" s="62" t="n">
        <f aca="false">ROUNDUP(H134/BZ134,0)</f>
        <v>2</v>
      </c>
      <c r="CO134" s="62" t="n">
        <f aca="false">ROUNDUP(CJ134/BZ134,0)</f>
        <v>0</v>
      </c>
      <c r="CP134" s="65" t="n">
        <f aca="false">IF(CA134=1,0,IFERROR(VLOOKUP(BY134,'Gebinde-Kategorie'!$A$5:$N$45,5,0)+0,0))</f>
        <v>11</v>
      </c>
      <c r="CQ134" s="65" t="n">
        <f aca="false">IFERROR(IF(OR(CF134=1,CF134=2,CF134=3),N(INDEX(Parameter!$I$5:$I$7,CF134)),0),0)</f>
        <v>0</v>
      </c>
      <c r="CR134" s="64" t="n">
        <f aca="false">IF(AND(Parameter!$B$21="Ja",ISNUMBER(W134),N(X134)&gt;0),IFERROR(N(INDEX(Parameter!$L$5:$L$7,W134))*INDEX(Parameter!$E$5:$E$7,W134)*X134/SUMIFS($X$7:$X$1843,$W$7:$W$1843,W134),0),0)</f>
        <v>0</v>
      </c>
      <c r="CS134" s="62" t="n">
        <f aca="false">IF(AND(OR(CG134="L1",CG134="L23",CG134="LIFT"),H134&gt;0),CC134*IF(CR134&gt;0,CR134*MAX(1,H134/X134),IF(CA134=1,CE134,IF(R134&gt;0,CN134/R134,0))/MAX(0.1,N(Parameter!$M$21))),"")</f>
        <v>11.9230769230769</v>
      </c>
      <c r="CT134" s="64" t="n">
        <f aca="false">IF(CS134="","",J134/H134)</f>
        <v>0.318181818181818</v>
      </c>
      <c r="CU134" s="62" t="n">
        <f aca="false">IF(CS134="","",H134*G134)</f>
        <v>7320.28</v>
      </c>
      <c r="CV134" s="63" t="n">
        <f aca="false">IF(CS134="","",(CL134+ROUNDUP(CL134+MAX(CM134,2*(J134/MAX(0.1,N(Einkauf!$C$6))-CL134)),0))/2)</f>
        <v>4.5</v>
      </c>
      <c r="CW134" s="62" t="n">
        <f aca="false">IF(CS134="","",MAX(0,H134-CV134)*G134)</f>
        <v>5822.95</v>
      </c>
      <c r="CX134" s="62" t="n">
        <f aca="false">IF(CS134="","",CS134*MAX(0,1-CV134/H134))</f>
        <v>9.48426573426573</v>
      </c>
      <c r="CY134" s="64" t="n">
        <f aca="false">IF(CS134="","",PERCENTRANK($CS$7:$CS$1843,CS134)+PERCENTRANK($CU$7:$CU$1843,CU134)+1-PERCENTRANK($CT$7:$CT$1843,CT134))</f>
        <v>2.065</v>
      </c>
      <c r="CZ134" s="72" t="n">
        <f aca="false">IF(CS134="","",CHOOSE(MATCH(Einkauf!$C$5,Parameter!$G$23:$G$27,0),CY134,CS134,CU134,-CT134,CW134)+ROW()/1000000000)</f>
        <v>2.065000134</v>
      </c>
    </row>
    <row r="135" customFormat="false" ht="15" hidden="false" customHeight="false" outlineLevel="0" collapsed="false">
      <c r="A135" s="60" t="s">
        <v>520</v>
      </c>
      <c r="B135" s="60" t="s">
        <v>389</v>
      </c>
      <c r="C135" s="60" t="s">
        <v>206</v>
      </c>
      <c r="D135" s="60" t="s">
        <v>215</v>
      </c>
      <c r="E135" s="60" t="s">
        <v>215</v>
      </c>
      <c r="F135" s="60" t="s">
        <v>260</v>
      </c>
      <c r="G135" s="61" t="n">
        <v>112.45</v>
      </c>
      <c r="H135" s="62" t="n">
        <f aca="false">MAX(0,IF(AND(Parameter!$B$21="Ja",ISNUMBER(Y135)),Y135,IF(Parameter!$B$20="Jahresanfang 2025 + Export",BS135+BR135,BR135)))</f>
        <v>126</v>
      </c>
      <c r="I135" s="62" t="n">
        <f aca="false">H135*G135</f>
        <v>14168.7</v>
      </c>
      <c r="J135" s="62" t="n">
        <f aca="false">BU135*Parameter!$B$18</f>
        <v>315</v>
      </c>
      <c r="K135" s="63" t="n">
        <v>124.5</v>
      </c>
      <c r="L135" s="64" t="n">
        <v>2.53012048192771</v>
      </c>
      <c r="M135" s="62" t="n">
        <v>18</v>
      </c>
      <c r="N135" s="62" t="n">
        <v>100</v>
      </c>
      <c r="O135" s="65" t="n">
        <v>21</v>
      </c>
      <c r="P135" s="60" t="s">
        <v>216</v>
      </c>
      <c r="Q135" s="62" t="n">
        <v>60</v>
      </c>
      <c r="R135" s="65" t="n">
        <f aca="false">IF(CA135=1,0,IFERROR(VLOOKUP(BY135,'Gebinde-Kategorie'!$A$5:$N$45,13,0)+0,0))</f>
        <v>6</v>
      </c>
      <c r="S135" s="66"/>
      <c r="T135" s="67"/>
      <c r="U135" s="67"/>
      <c r="V135" s="67"/>
      <c r="W135" s="60"/>
      <c r="X135" s="62"/>
      <c r="Y135" s="62"/>
      <c r="Z135" s="60"/>
      <c r="AA135" s="60" t="str">
        <f aca="false">IF(A135="","",IF(AND(Parameter!$B$21="Ja",ISNUMBER(W135)),W135,IF(AND(Parameter!$E$27="Ja",ISNUMBER(Z135),CD135&lt;&gt;"Nein"),Z135,IF(CD135="2+3",IF(ISNUMBER(SEARCH("grosser Artikel",BV135)),2,IFERROR(VLOOKUP(BY135,Parameter!$F$35:$G$64,2,0),2)),IF(OR(CD135="Nein",CD135=""),"-",CD135)))))</f>
        <v>-</v>
      </c>
      <c r="AB135" s="67"/>
      <c r="AC135" s="68"/>
      <c r="AD135" s="62" t="n">
        <f aca="false">AW135</f>
        <v>192</v>
      </c>
      <c r="AE135" s="62" t="n">
        <f aca="false">MAX(AW135,H135)</f>
        <v>192</v>
      </c>
      <c r="AF135" s="69"/>
      <c r="AG135" s="62" t="n">
        <f aca="false">IF(LEFT(Cockpit!$C$5,1)="A",H135,IF(Parameter!$E$30="MAX-Bestand",IF(CI135=1,CJ135,IF(LEFT(Cockpit!$C$5,1)="B",AM135,MAX(AM135,H135))),ROUNDUP(AK135,0)))</f>
        <v>126</v>
      </c>
      <c r="AH135" s="62" t="n">
        <f aca="false">IF(CA135=1,0,ROUNDUP(AG135/BZ135,0))</f>
        <v>3</v>
      </c>
      <c r="AI135" s="64" t="n">
        <f aca="false">IF(CR135&gt;0,CR135*MAX(1,AG135/X135),IF(CA135=1,IF(AG135&lt;=0,0,CE135*MAX(1,IF(H135&gt;0,AG135/H135,1))),IF(R135&gt;0,AH135/R135,0))/MAX(0.1,N(Parameter!$M$21)))</f>
        <v>0.5</v>
      </c>
      <c r="AJ135" s="62" t="n">
        <f aca="false">AI135*CC135</f>
        <v>117.5</v>
      </c>
      <c r="AK135" s="63" t="n">
        <f aca="false">IF(LEFT(Cockpit!$C$5,1)="A",H135,IF(CI135=1,(CL135+CJ135)/2,IF(LEFT(Cockpit!$C$5,1)="B",(CL135+AM135)/2,MAX((CL135+AM135)/2,H135))))</f>
        <v>126</v>
      </c>
      <c r="AL135" s="62" t="n">
        <f aca="false">AK135*G135</f>
        <v>14168.7</v>
      </c>
      <c r="AM135" s="62" t="n">
        <f aca="false">ROUNDUP(CL135+MAX(CM135,2*(J135/IF(CH135&gt;0,CH135,MAX(0.1,N(Cockpit!$C$6)))-CL135)),0)</f>
        <v>192</v>
      </c>
      <c r="AN135" s="63" t="n">
        <f aca="false">IF(AJ135&gt;0,J135/AJ135,-1)</f>
        <v>2.68085106382979</v>
      </c>
      <c r="AO135" s="63" t="str">
        <f aca="false">IF(AND(OR(CG135="L1",CG135="L23",CG135="LIFT"),AJ135&gt;0),SUMIFS($AJ$7:$AJ$1843,$CG$7:$CG$1843,CG135,$AN$7:$AN$1843,"&gt;"&amp;AN135)+SUMIFS($AJ$7:$AJ$1843,$CG$7:$CG$1843,CG135,$AN$7:$AN$1843,AN135,$BX$7:$BX$1843,"&lt;="&amp;BX135),"")</f>
        <v/>
      </c>
      <c r="AP135" s="70" t="n">
        <f aca="false">IF(AO135="",0,MAX(0,MIN(1,(IF(CG135="L1",Parameter!$H$5,IF(CG135="L23",Parameter!$H$6+Parameter!$H$7,Parameter!$H$5+Parameter!$H$6+Parameter!$H$7))-(AO135-AJ135))/AJ135)))</f>
        <v>0</v>
      </c>
      <c r="AQ135" s="62" t="n">
        <f aca="false">IF(LEFT(Cockpit!$I$5,1)="A",H135,IF(Parameter!$E$30="MAX-Bestand",IF(CI135=1,CJ135,IF(LEFT(Cockpit!$I$5,1)="B",AW135,MAX(AW135,H135))),ROUNDUP(AU135,0)))</f>
        <v>126</v>
      </c>
      <c r="AR135" s="62" t="n">
        <f aca="false">IF(CA135=1,0,ROUNDUP(AQ135/BZ135,0))</f>
        <v>3</v>
      </c>
      <c r="AS135" s="64" t="n">
        <f aca="false">IF(CR135&gt;0,CR135*MAX(1,AQ135/X135),IF(CA135=1,IF(AQ135&lt;=0,0,CE135*MAX(1,IF(H135&gt;0,AQ135/H135,1))),IF(R135&gt;0,AR135/R135,0))/MAX(0.1,N(Parameter!$M$21)))</f>
        <v>0.5</v>
      </c>
      <c r="AT135" s="62" t="n">
        <f aca="false">AS135*CC135</f>
        <v>117.5</v>
      </c>
      <c r="AU135" s="63" t="n">
        <f aca="false">IF(LEFT(Cockpit!$I$5,1)="A",H135,IF(CI135=1,(CL135+CJ135)/2,IF(LEFT(Cockpit!$I$5,1)="B",(CL135+AW135)/2,MAX((CL135+AW135)/2,H135))))</f>
        <v>126</v>
      </c>
      <c r="AV135" s="62" t="n">
        <f aca="false">AU135*G135</f>
        <v>14168.7</v>
      </c>
      <c r="AW135" s="62" t="n">
        <f aca="false">ROUNDUP(CL135+MAX(CM135,2*(J135/IF(CH135&gt;0,CH135,MAX(0.1,N(Cockpit!$I$6)))-CL135)),0)</f>
        <v>192</v>
      </c>
      <c r="AX135" s="63" t="n">
        <f aca="false">IF(AT135&gt;0,J135/AT135,-1)</f>
        <v>2.68085106382979</v>
      </c>
      <c r="AY135" s="63" t="str">
        <f aca="false">IF(AND(OR(CG135="L1",CG135="L23",CG135="LIFT"),AT135&gt;0),SUMIFS($AT$7:$AT$1843,$CG$7:$CG$1843,CG135,$AX$7:$AX$1843,"&gt;"&amp;AX135)+SUMIFS($AT$7:$AT$1843,$CG$7:$CG$1843,CG135,$AX$7:$AX$1843,AX135,$BX$7:$BX$1843,"&lt;="&amp;BX135),"")</f>
        <v/>
      </c>
      <c r="AZ135" s="70" t="n">
        <f aca="false">IF(AY135="",0,MAX(0,MIN(1,(IF(CG135="L1",Parameter!$H$5,IF(CG135="L23",Parameter!$H$6+Parameter!$H$7,Parameter!$H$5+Parameter!$H$6+Parameter!$H$7))-(AY135-AT135))/AT135)))</f>
        <v>0</v>
      </c>
      <c r="BA135" s="62" t="n">
        <f aca="false">IF(LEFT(Cockpit!$O$5,1)="A",H135,IF(Parameter!$E$30="MAX-Bestand",IF(CI135=1,CJ135,IF(LEFT(Cockpit!$O$5,1)="B",BG135,MAX(BG135,H135))),ROUNDUP(BE135,0)))</f>
        <v>79</v>
      </c>
      <c r="BB135" s="62" t="n">
        <f aca="false">IF(CA135=1,0,ROUNDUP(BA135/BZ135,0))</f>
        <v>2</v>
      </c>
      <c r="BC135" s="64" t="n">
        <f aca="false">IF(CR135&gt;0,CR135*MAX(1,BA135/X135),IF(CA135=1,IF(BA135&lt;=0,0,CE135*MAX(1,IF(H135&gt;0,BA135/H135,1))),IF(R135&gt;0,BB135/R135,0))/MAX(0.1,N(Parameter!$M$21)))</f>
        <v>0.333333333333333</v>
      </c>
      <c r="BD135" s="62" t="n">
        <f aca="false">BC135*CC135</f>
        <v>78.3333333333333</v>
      </c>
      <c r="BE135" s="63" t="n">
        <f aca="false">IF(LEFT(Cockpit!$O$5,1)="A",H135,IF(CI135=1,(CL135+CJ135)/2,IF(LEFT(Cockpit!$O$5,1)="B",(CL135+BG135)/2,MAX((CL135+BG135)/2,H135))))</f>
        <v>79</v>
      </c>
      <c r="BF135" s="62" t="n">
        <f aca="false">BE135*G135</f>
        <v>8883.55</v>
      </c>
      <c r="BG135" s="62" t="n">
        <f aca="false">ROUNDUP(CL135+MAX(CM135,2*(J135/IF(CH135&gt;0,CH135,MAX(0.1,N(Cockpit!$O$6)))-CL135)),0)</f>
        <v>140</v>
      </c>
      <c r="BH135" s="63" t="n">
        <f aca="false">IF(BD135&gt;0,J135/BD135,-1)</f>
        <v>4.02127659574468</v>
      </c>
      <c r="BI135" s="63" t="str">
        <f aca="false">IF(AND(OR(CG135="L1",CG135="L23",CG135="LIFT"),BD135&gt;0),SUMIFS($BD$7:$BD$1843,$CG$7:$CG$1843,CG135,$BH$7:$BH$1843,"&gt;"&amp;BH135)+SUMIFS($BD$7:$BD$1843,$CG$7:$CG$1843,CG135,$BH$7:$BH$1843,BH135,$BX$7:$BX$1843,"&lt;="&amp;BX135),"")</f>
        <v/>
      </c>
      <c r="BJ135" s="70" t="n">
        <f aca="false">IF(BI135="",0,MAX(0,MIN(1,(IF(CG135="L1",Parameter!$H$5,IF(CG135="L23",Parameter!$H$6+Parameter!$H$7,Parameter!$H$5+Parameter!$H$6+Parameter!$H$7))-(BI135-BD135))/BD135)))</f>
        <v>0</v>
      </c>
      <c r="BK135" s="60" t="str">
        <f aca="false">IF(AJ135&lt;=0,"",IF(CG135="Aussen","Aussenlager",IF(CG135="-","Nicht im Lift",IF(AP135&gt;=1,"Lift",IF(AP135&lt;=0,"Aussenlager","teilweise")))))</f>
        <v>Nicht im Lift</v>
      </c>
      <c r="BL135" s="60" t="str">
        <f aca="false">IF(AT135&lt;=0,"",IF(CG135="Aussen","Aussenlager",IF(CG135="-","Nicht im Lift",IF(AZ135&gt;=1,"Lift",IF(AZ135&lt;=0,"Aussenlager","teilweise")))))</f>
        <v>Nicht im Lift</v>
      </c>
      <c r="BM135" s="60" t="str">
        <f aca="false">IF(BD135&lt;=0,"",IF(CG135="Aussen","Aussenlager",IF(CG135="-","Nicht im Lift",IF(BJ135&gt;=1,"Lift",IF(BJ135&lt;=0,"Aussenlager","teilweise")))))</f>
        <v>Nicht im Lift</v>
      </c>
      <c r="BN135" s="60" t="str">
        <f aca="false">IF(A135="","",IF(BW135=1,"Neu; ","")&amp;IF(AND(BW135=0,BR135&lt;0),"negativer Bestand (Export "&amp;BR135&amp;"); ","")&amp;IF(J135&lt;=0,"Kein Verbrauch; ","")&amp;IF(CR135&gt;0,"Lift "&amp;W135&amp;" lt. Liftbericht (Fach "&amp;X135&amp;" Stk); ",IF(CB135=1,"Gebinde geschätzt ("&amp;T135&amp;"); ",IF(CA135=1,"Lose – Tablare geschätzt; ","")))&amp;IF(H135&gt;AW135,"Überbestand "&amp;ROUND(H135-AW135,0)&amp;" Stk / CHF "&amp;ROUND((H135-AW135)*G135,0)&amp;"; ","")&amp;IF(AND(CI135=1,CJ135&lt;CK135),"MAX &lt; MB+LG; ","")&amp;IF(AND(CQ135&gt;0,CP135*10&gt;CQ135),"zu hoch für Tablar; ","")&amp;IF(AND(BW135=0,OR(CI135=1,AB135&lt;&gt;"",U135&lt;&gt;"",V135&lt;&gt;"",AC135&lt;&gt;"")),"manuell übersteuert; ","")&amp;IF(AND(CA135=0,R135=0),"Gebinde unbekannt / Stellmass fehlt; ","")&amp;IF(AND(CA135=0,N(V135)&lt;=0,N(Q135)&lt;=0),"Menge pro Gebinde fehlt (Ist = 1 Gebinde); ","")&amp;BV135)</f>
        <v/>
      </c>
      <c r="BO135" s="60"/>
      <c r="BP135" s="60"/>
      <c r="BQ135" s="67"/>
      <c r="BR135" s="62" t="n">
        <v>20</v>
      </c>
      <c r="BS135" s="62" t="n">
        <v>106</v>
      </c>
      <c r="BT135" s="61" t="n">
        <v>1645.25000000001</v>
      </c>
      <c r="BU135" s="62" t="n">
        <v>315</v>
      </c>
      <c r="BV135" s="60"/>
      <c r="BW135" s="65" t="n">
        <v>0</v>
      </c>
      <c r="BX135" s="65" t="n">
        <v>135</v>
      </c>
      <c r="BY135" s="60" t="str">
        <f aca="false">IF(U135&lt;&gt;"",UPPER(TRIM(U135)),IF(CB135=1,UPPER(VLOOKUP(T135,Parameter!$I$27:$K$29,2,0)),IF(P135="","LOSE",P135)))</f>
        <v>S71</v>
      </c>
      <c r="BZ135" s="62" t="n">
        <f aca="false">IF(BY135="LOSE",1,IF(N(V135)&gt;0,V135,IF(CB135=1,MAX(1,N(VLOOKUP(T135,Parameter!$I$27:$K$29,3,0)),H135,N(N135)),IF(N(Q135)&gt;0,Q135,MAX(1,H135)))))</f>
        <v>60</v>
      </c>
      <c r="CA135" s="65" t="n">
        <f aca="false">IF(BY135="LOSE",1,0)</f>
        <v>0</v>
      </c>
      <c r="CB135" s="65" t="n">
        <f aca="false">IF(AND(U135="",OR(P135="",P135="LOSE"),T135&lt;&gt;"",N(S135)&lt;=0,ISNUMBER(MATCH(T135,Parameter!$I$27:$I$29,0))),1,0)</f>
        <v>0</v>
      </c>
      <c r="CC135" s="65" t="n">
        <f aca="false">IF(CR135&gt;0,INDEX(Parameter!$H$5:$H$7,W135)/INDEX(Parameter!$E$5:$E$7,W135),IF(AND(CA135=0,N(IFERROR(VLOOKUP(BY135,'Gebinde-Kategorie'!$A$5:$N$45,14,0),0))&gt;0),VLOOKUP(BY135,'Gebinde-Kategorie'!$A$5:$N$45,14,0)*10+Parameter!$M$23,Parameter!$M$24))</f>
        <v>235</v>
      </c>
      <c r="CD135" s="60" t="str">
        <f aca="false">IF(AND(Parameter!$B$19="Ja",E135&lt;&gt;"",ISNUMBER(MATCH(E135,Parameter!$I$35:$I$52,0))),VLOOKUP(E135,Parameter!$I$35:$J$52,2,0),IFERROR(VLOOKUP(D135,Parameter!$A$35:$C$64,2,0),"Nein"))</f>
        <v>Nein</v>
      </c>
      <c r="CE135" s="64" t="n">
        <f aca="false">IF(CA135=0,0,IF(N(S135)&gt;0,S135,IFERROR(VLOOKUP(D135,Parameter!$A$35:$C$64,3,0)+0,0)))</f>
        <v>0</v>
      </c>
      <c r="CF135" s="60" t="str">
        <f aca="false">IF(AB135&lt;&gt;"",AB135,AA135)</f>
        <v>-</v>
      </c>
      <c r="CG135" s="60" t="str">
        <f aca="false">IF(OR(CF135=1,CF135=2,CF135=3),IF(Parameter!$E$27="Ja","LIFT",IF(CF135=1,"L1","L23")),IF(CF135="Aussen","Aussen","-"))</f>
        <v>-</v>
      </c>
      <c r="CH135" s="71" t="n">
        <f aca="false">IF(N(AC135)&gt;0,AC135,0)</f>
        <v>0</v>
      </c>
      <c r="CI135" s="65" t="n">
        <f aca="false">IF(ISNUMBER(AF135),1,0)</f>
        <v>0</v>
      </c>
      <c r="CJ135" s="62" t="n">
        <f aca="false">N(AF135)</f>
        <v>0</v>
      </c>
      <c r="CK135" s="62" t="n">
        <f aca="false">N(M135)+N(N135)</f>
        <v>118</v>
      </c>
      <c r="CL135" s="62" t="n">
        <f aca="false">N(M135)</f>
        <v>18</v>
      </c>
      <c r="CM135" s="62" t="n">
        <f aca="false">N(N135)</f>
        <v>100</v>
      </c>
      <c r="CN135" s="62" t="n">
        <f aca="false">ROUNDUP(H135/BZ135,0)</f>
        <v>3</v>
      </c>
      <c r="CO135" s="62" t="n">
        <f aca="false">ROUNDUP(CJ135/BZ135,0)</f>
        <v>0</v>
      </c>
      <c r="CP135" s="65" t="n">
        <f aca="false">IF(CA135=1,0,IFERROR(VLOOKUP(BY135,'Gebinde-Kategorie'!$A$5:$N$45,5,0)+0,0))</f>
        <v>20</v>
      </c>
      <c r="CQ135" s="65" t="n">
        <f aca="false">IFERROR(IF(OR(CF135=1,CF135=2,CF135=3),N(INDEX(Parameter!$I$5:$I$7,CF135)),0),0)</f>
        <v>0</v>
      </c>
      <c r="CR135" s="64" t="n">
        <f aca="false">IF(AND(Parameter!$B$21="Ja",ISNUMBER(W135),N(X135)&gt;0),IFERROR(N(INDEX(Parameter!$L$5:$L$7,W135))*INDEX(Parameter!$E$5:$E$7,W135)*X135/SUMIFS($X$7:$X$1843,$W$7:$W$1843,W135),0),0)</f>
        <v>0</v>
      </c>
      <c r="CS135" s="62" t="str">
        <f aca="false">IF(AND(OR(CG135="L1",CG135="L23",CG135="LIFT"),H135&gt;0),CC135*IF(CR135&gt;0,CR135*MAX(1,H135/X135),IF(CA135=1,CE135,IF(R135&gt;0,CN135/R135,0))/MAX(0.1,N(Parameter!$M$21))),"")</f>
        <v/>
      </c>
      <c r="CT135" s="64" t="str">
        <f aca="false">IF(CS135="","",J135/H135)</f>
        <v/>
      </c>
      <c r="CU135" s="62" t="str">
        <f aca="false">IF(CS135="","",H135*G135)</f>
        <v/>
      </c>
      <c r="CV135" s="63" t="str">
        <f aca="false">IF(CS135="","",(CL135+ROUNDUP(CL135+MAX(CM135,2*(J135/MAX(0.1,N(Einkauf!$C$6))-CL135)),0))/2)</f>
        <v/>
      </c>
      <c r="CW135" s="62" t="str">
        <f aca="false">IF(CS135="","",MAX(0,H135-CV135)*G135)</f>
        <v/>
      </c>
      <c r="CX135" s="62" t="str">
        <f aca="false">IF(CS135="","",CS135*MAX(0,1-CV135/H135))</f>
        <v/>
      </c>
      <c r="CY135" s="64" t="str">
        <f aca="false">IF(CS135="","",PERCENTRANK($CS$7:$CS$1843,CS135)+PERCENTRANK($CU$7:$CU$1843,CU135)+1-PERCENTRANK($CT$7:$CT$1843,CT135))</f>
        <v/>
      </c>
      <c r="CZ135" s="72" t="str">
        <f aca="false">IF(CS135="","",CHOOSE(MATCH(Einkauf!$C$5,Parameter!$G$23:$G$27,0),CY135,CS135,CU135,-CT135,CW135)+ROW()/1000000000)</f>
        <v/>
      </c>
    </row>
    <row r="136" customFormat="false" ht="15" hidden="false" customHeight="false" outlineLevel="0" collapsed="false">
      <c r="A136" s="60" t="s">
        <v>521</v>
      </c>
      <c r="B136" s="60" t="s">
        <v>522</v>
      </c>
      <c r="C136" s="60" t="s">
        <v>206</v>
      </c>
      <c r="D136" s="60" t="s">
        <v>215</v>
      </c>
      <c r="E136" s="60"/>
      <c r="F136" s="60" t="s">
        <v>260</v>
      </c>
      <c r="G136" s="61" t="n">
        <v>96.49</v>
      </c>
      <c r="H136" s="62" t="n">
        <f aca="false">MAX(0,IF(AND(Parameter!$B$21="Ja",ISNUMBER(Y136)),Y136,IF(Parameter!$B$20="Jahresanfang 2025 + Export",BS136+BR136,BR136)))</f>
        <v>49</v>
      </c>
      <c r="I136" s="62" t="n">
        <f aca="false">H136*G136</f>
        <v>4728.01</v>
      </c>
      <c r="J136" s="62" t="n">
        <f aca="false">BU136*Parameter!$B$18</f>
        <v>151</v>
      </c>
      <c r="K136" s="63" t="n">
        <v>34.5</v>
      </c>
      <c r="L136" s="64" t="n">
        <v>4.3768115942029</v>
      </c>
      <c r="M136" s="62" t="n">
        <v>15</v>
      </c>
      <c r="N136" s="62" t="n">
        <v>60</v>
      </c>
      <c r="O136" s="65" t="n">
        <v>28</v>
      </c>
      <c r="P136" s="60" t="s">
        <v>216</v>
      </c>
      <c r="Q136" s="62" t="n">
        <v>12</v>
      </c>
      <c r="R136" s="65" t="n">
        <f aca="false">IF(CA136=1,0,IFERROR(VLOOKUP(BY136,'Gebinde-Kategorie'!$A$5:$N$45,13,0)+0,0))</f>
        <v>6</v>
      </c>
      <c r="S136" s="66"/>
      <c r="T136" s="67"/>
      <c r="U136" s="67"/>
      <c r="V136" s="67"/>
      <c r="W136" s="60"/>
      <c r="X136" s="62"/>
      <c r="Y136" s="62"/>
      <c r="Z136" s="60" t="n">
        <v>2</v>
      </c>
      <c r="AA136" s="60" t="n">
        <f aca="false">IF(A136="","",IF(AND(Parameter!$B$21="Ja",ISNUMBER(W136)),W136,IF(AND(Parameter!$E$27="Ja",ISNUMBER(Z136),CD136&lt;&gt;"Nein"),Z136,IF(CD136="2+3",IF(ISNUMBER(SEARCH("grosser Artikel",BV136)),2,IFERROR(VLOOKUP(BY136,Parameter!$F$35:$G$64,2,0),2)),IF(OR(CD136="Nein",CD136=""),"-",CD136)))))</f>
        <v>2</v>
      </c>
      <c r="AB136" s="67"/>
      <c r="AC136" s="68"/>
      <c r="AD136" s="62" t="n">
        <f aca="false">AW136</f>
        <v>86</v>
      </c>
      <c r="AE136" s="62" t="n">
        <f aca="false">MAX(AW136,H136)</f>
        <v>86</v>
      </c>
      <c r="AF136" s="69"/>
      <c r="AG136" s="62" t="n">
        <f aca="false">IF(LEFT(Cockpit!$C$5,1)="A",H136,IF(Parameter!$E$30="MAX-Bestand",IF(CI136=1,CJ136,IF(LEFT(Cockpit!$C$5,1)="B",AM136,MAX(AM136,H136))),ROUNDUP(AK136,0)))</f>
        <v>49</v>
      </c>
      <c r="AH136" s="62" t="n">
        <f aca="false">IF(CA136=1,0,ROUNDUP(AG136/BZ136,0))</f>
        <v>5</v>
      </c>
      <c r="AI136" s="64" t="n">
        <f aca="false">IF(CR136&gt;0,CR136*MAX(1,AG136/X136),IF(CA136=1,IF(AG136&lt;=0,0,CE136*MAX(1,IF(H136&gt;0,AG136/H136,1))),IF(R136&gt;0,AH136/R136,0))/MAX(0.1,N(Parameter!$M$21)))</f>
        <v>0.833333333333333</v>
      </c>
      <c r="AJ136" s="62" t="n">
        <f aca="false">AI136*CC136</f>
        <v>195.833333333333</v>
      </c>
      <c r="AK136" s="63" t="n">
        <f aca="false">IF(LEFT(Cockpit!$C$5,1)="A",H136,IF(CI136=1,(CL136+CJ136)/2,IF(LEFT(Cockpit!$C$5,1)="B",(CL136+AM136)/2,MAX((CL136+AM136)/2,H136))))</f>
        <v>49</v>
      </c>
      <c r="AL136" s="62" t="n">
        <f aca="false">AK136*G136</f>
        <v>4728.01</v>
      </c>
      <c r="AM136" s="62" t="n">
        <f aca="false">ROUNDUP(CL136+MAX(CM136,2*(J136/IF(CH136&gt;0,CH136,MAX(0.1,N(Cockpit!$C$6)))-CL136)),0)</f>
        <v>86</v>
      </c>
      <c r="AN136" s="63" t="n">
        <f aca="false">IF(AJ136&gt;0,J136/AJ136,-1)</f>
        <v>0.771063829787234</v>
      </c>
      <c r="AO136" s="63" t="n">
        <f aca="false">IF(AND(OR(CG136="L1",CG136="L23",CG136="LIFT"),AJ136&gt;0),SUMIFS($AJ$7:$AJ$1843,$CG$7:$CG$1843,CG136,$AN$7:$AN$1843,"&gt;"&amp;AN136)+SUMIFS($AJ$7:$AJ$1843,$CG$7:$CG$1843,CG136,$AN$7:$AN$1843,AN136,$BX$7:$BX$1843,"&lt;="&amp;BX136),"")</f>
        <v>8250.98397435898</v>
      </c>
      <c r="AP136" s="70" t="n">
        <f aca="false">IF(AO136="",0,MAX(0,MIN(1,(IF(CG136="L1",Parameter!$H$5,IF(CG136="L23",Parameter!$H$6+Parameter!$H$7,Parameter!$H$5+Parameter!$H$6+Parameter!$H$7))-(AO136-AJ136))/AJ136)))</f>
        <v>1</v>
      </c>
      <c r="AQ136" s="62" t="n">
        <f aca="false">IF(LEFT(Cockpit!$I$5,1)="A",H136,IF(Parameter!$E$30="MAX-Bestand",IF(CI136=1,CJ136,IF(LEFT(Cockpit!$I$5,1)="B",AW136,MAX(AW136,H136))),ROUNDUP(AU136,0)))</f>
        <v>51</v>
      </c>
      <c r="AR136" s="62" t="n">
        <f aca="false">IF(CA136=1,0,ROUNDUP(AQ136/BZ136,0))</f>
        <v>5</v>
      </c>
      <c r="AS136" s="64" t="n">
        <f aca="false">IF(CR136&gt;0,CR136*MAX(1,AQ136/X136),IF(CA136=1,IF(AQ136&lt;=0,0,CE136*MAX(1,IF(H136&gt;0,AQ136/H136,1))),IF(R136&gt;0,AR136/R136,0))/MAX(0.1,N(Parameter!$M$21)))</f>
        <v>0.833333333333333</v>
      </c>
      <c r="AT136" s="62" t="n">
        <f aca="false">AS136*CC136</f>
        <v>195.833333333333</v>
      </c>
      <c r="AU136" s="63" t="n">
        <f aca="false">IF(LEFT(Cockpit!$I$5,1)="A",H136,IF(CI136=1,(CL136+CJ136)/2,IF(LEFT(Cockpit!$I$5,1)="B",(CL136+AW136)/2,MAX((CL136+AW136)/2,H136))))</f>
        <v>50.5</v>
      </c>
      <c r="AV136" s="62" t="n">
        <f aca="false">AU136*G136</f>
        <v>4872.745</v>
      </c>
      <c r="AW136" s="62" t="n">
        <f aca="false">ROUNDUP(CL136+MAX(CM136,2*(J136/IF(CH136&gt;0,CH136,MAX(0.1,N(Cockpit!$I$6)))-CL136)),0)</f>
        <v>86</v>
      </c>
      <c r="AX136" s="63" t="n">
        <f aca="false">IF(AT136&gt;0,J136/AT136,-1)</f>
        <v>0.771063829787234</v>
      </c>
      <c r="AY136" s="63" t="n">
        <f aca="false">IF(AND(OR(CG136="L1",CG136="L23",CG136="LIFT"),AT136&gt;0),SUMIFS($AT$7:$AT$1843,$CG$7:$CG$1843,CG136,$AX$7:$AX$1843,"&gt;"&amp;AX136)+SUMIFS($AT$7:$AT$1843,$CG$7:$CG$1843,CG136,$AX$7:$AX$1843,AX136,$BX$7:$BX$1843,"&lt;="&amp;BX136),"")</f>
        <v>10510.5521978022</v>
      </c>
      <c r="AZ136" s="70" t="n">
        <f aca="false">IF(AY136="",0,MAX(0,MIN(1,(IF(CG136="L1",Parameter!$H$5,IF(CG136="L23",Parameter!$H$6+Parameter!$H$7,Parameter!$H$5+Parameter!$H$6+Parameter!$H$7))-(AY136-AT136))/AT136)))</f>
        <v>1</v>
      </c>
      <c r="BA136" s="62" t="n">
        <f aca="false">IF(LEFT(Cockpit!$O$5,1)="A",H136,IF(Parameter!$E$30="MAX-Bestand",IF(CI136=1,CJ136,IF(LEFT(Cockpit!$O$5,1)="B",BG136,MAX(BG136,H136))),ROUNDUP(BE136,0)))</f>
        <v>45</v>
      </c>
      <c r="BB136" s="62" t="n">
        <f aca="false">IF(CA136=1,0,ROUNDUP(BA136/BZ136,0))</f>
        <v>4</v>
      </c>
      <c r="BC136" s="64" t="n">
        <f aca="false">IF(CR136&gt;0,CR136*MAX(1,BA136/X136),IF(CA136=1,IF(BA136&lt;=0,0,CE136*MAX(1,IF(H136&gt;0,BA136/H136,1))),IF(R136&gt;0,BB136/R136,0))/MAX(0.1,N(Parameter!$M$21)))</f>
        <v>0.666666666666667</v>
      </c>
      <c r="BD136" s="62" t="n">
        <f aca="false">BC136*CC136</f>
        <v>156.666666666667</v>
      </c>
      <c r="BE136" s="63" t="n">
        <f aca="false">IF(LEFT(Cockpit!$O$5,1)="A",H136,IF(CI136=1,(CL136+CJ136)/2,IF(LEFT(Cockpit!$O$5,1)="B",(CL136+BG136)/2,MAX((CL136+BG136)/2,H136))))</f>
        <v>45</v>
      </c>
      <c r="BF136" s="62" t="n">
        <f aca="false">BE136*G136</f>
        <v>4342.05</v>
      </c>
      <c r="BG136" s="62" t="n">
        <f aca="false">ROUNDUP(CL136+MAX(CM136,2*(J136/IF(CH136&gt;0,CH136,MAX(0.1,N(Cockpit!$O$6)))-CL136)),0)</f>
        <v>75</v>
      </c>
      <c r="BH136" s="63" t="n">
        <f aca="false">IF(BD136&gt;0,J136/BD136,-1)</f>
        <v>0.963829787234043</v>
      </c>
      <c r="BI136" s="63" t="n">
        <f aca="false">IF(AND(OR(CG136="L1",CG136="L23",CG136="LIFT"),BD136&gt;0),SUMIFS($BD$7:$BD$1843,$CG$7:$CG$1843,CG136,$BH$7:$BH$1843,"&gt;"&amp;BH136)+SUMIFS($BD$7:$BD$1843,$CG$7:$CG$1843,CG136,$BH$7:$BH$1843,BH136,$BX$7:$BX$1843,"&lt;="&amp;BX136),"")</f>
        <v>7931.48946886447</v>
      </c>
      <c r="BJ136" s="70" t="n">
        <f aca="false">IF(BI136="",0,MAX(0,MIN(1,(IF(CG136="L1",Parameter!$H$5,IF(CG136="L23",Parameter!$H$6+Parameter!$H$7,Parameter!$H$5+Parameter!$H$6+Parameter!$H$7))-(BI136-BD136))/BD136)))</f>
        <v>1</v>
      </c>
      <c r="BK136" s="60" t="str">
        <f aca="false">IF(AJ136&lt;=0,"",IF(CG136="Aussen","Aussenlager",IF(CG136="-","Nicht im Lift",IF(AP136&gt;=1,"Lift",IF(AP136&lt;=0,"Aussenlager","teilweise")))))</f>
        <v>Lift</v>
      </c>
      <c r="BL136" s="60" t="str">
        <f aca="false">IF(AT136&lt;=0,"",IF(CG136="Aussen","Aussenlager",IF(CG136="-","Nicht im Lift",IF(AZ136&gt;=1,"Lift",IF(AZ136&lt;=0,"Aussenlager","teilweise")))))</f>
        <v>Lift</v>
      </c>
      <c r="BM136" s="60" t="str">
        <f aca="false">IF(BD136&lt;=0,"",IF(CG136="Aussen","Aussenlager",IF(CG136="-","Nicht im Lift",IF(BJ136&gt;=1,"Lift",IF(BJ136&lt;=0,"Aussenlager","teilweise")))))</f>
        <v>Lift</v>
      </c>
      <c r="BN136" s="60" t="str">
        <f aca="false">IF(A136="","",IF(BW136=1,"Neu; ","")&amp;IF(AND(BW136=0,BR136&lt;0),"negativer Bestand (Export "&amp;BR136&amp;"); ","")&amp;IF(J136&lt;=0,"Kein Verbrauch; ","")&amp;IF(CR136&gt;0,"Lift "&amp;W136&amp;" lt. Liftbericht (Fach "&amp;X136&amp;" Stk); ",IF(CB136=1,"Gebinde geschätzt ("&amp;T136&amp;"); ",IF(CA136=1,"Lose – Tablare geschätzt; ","")))&amp;IF(H136&gt;AW136,"Überbestand "&amp;ROUND(H136-AW136,0)&amp;" Stk / CHF "&amp;ROUND((H136-AW136)*G136,0)&amp;"; ","")&amp;IF(AND(CI136=1,CJ136&lt;CK136),"MAX &lt; MB+LG; ","")&amp;IF(AND(CQ136&gt;0,CP136*10&gt;CQ136),"zu hoch für Tablar; ","")&amp;IF(AND(BW136=0,OR(CI136=1,AB136&lt;&gt;"",U136&lt;&gt;"",V136&lt;&gt;"",AC136&lt;&gt;"")),"manuell übersteuert; ","")&amp;IF(AND(CA136=0,R136=0),"Gebinde unbekannt / Stellmass fehlt; ","")&amp;IF(AND(CA136=0,N(V136)&lt;=0,N(Q136)&lt;=0),"Menge pro Gebinde fehlt (Ist = 1 Gebinde); ","")&amp;BV136)</f>
        <v/>
      </c>
      <c r="BO136" s="60"/>
      <c r="BP136" s="60"/>
      <c r="BQ136" s="67"/>
      <c r="BR136" s="62" t="n">
        <v>19</v>
      </c>
      <c r="BS136" s="62" t="n">
        <v>30</v>
      </c>
      <c r="BT136" s="61" t="n">
        <v>1630.51</v>
      </c>
      <c r="BU136" s="62" t="n">
        <v>151</v>
      </c>
      <c r="BV136" s="60"/>
      <c r="BW136" s="65" t="n">
        <v>0</v>
      </c>
      <c r="BX136" s="65" t="n">
        <v>136</v>
      </c>
      <c r="BY136" s="60" t="str">
        <f aca="false">IF(U136&lt;&gt;"",UPPER(TRIM(U136)),IF(CB136=1,UPPER(VLOOKUP(T136,Parameter!$I$27:$K$29,2,0)),IF(P136="","LOSE",P136)))</f>
        <v>S71</v>
      </c>
      <c r="BZ136" s="62" t="n">
        <f aca="false">IF(BY136="LOSE",1,IF(N(V136)&gt;0,V136,IF(CB136=1,MAX(1,N(VLOOKUP(T136,Parameter!$I$27:$K$29,3,0)),H136,N(N136)),IF(N(Q136)&gt;0,Q136,MAX(1,H136)))))</f>
        <v>12</v>
      </c>
      <c r="CA136" s="65" t="n">
        <f aca="false">IF(BY136="LOSE",1,0)</f>
        <v>0</v>
      </c>
      <c r="CB136" s="65" t="n">
        <f aca="false">IF(AND(U136="",OR(P136="",P136="LOSE"),T136&lt;&gt;"",N(S136)&lt;=0,ISNUMBER(MATCH(T136,Parameter!$I$27:$I$29,0))),1,0)</f>
        <v>0</v>
      </c>
      <c r="CC136" s="65" t="n">
        <f aca="false">IF(CR136&gt;0,INDEX(Parameter!$H$5:$H$7,W136)/INDEX(Parameter!$E$5:$E$7,W136),IF(AND(CA136=0,N(IFERROR(VLOOKUP(BY136,'Gebinde-Kategorie'!$A$5:$N$45,14,0),0))&gt;0),VLOOKUP(BY136,'Gebinde-Kategorie'!$A$5:$N$45,14,0)*10+Parameter!$M$23,Parameter!$M$24))</f>
        <v>235</v>
      </c>
      <c r="CD136" s="60" t="str">
        <f aca="false">IF(AND(Parameter!$B$19="Ja",E136&lt;&gt;"",ISNUMBER(MATCH(E136,Parameter!$I$35:$I$52,0))),VLOOKUP(E136,Parameter!$I$35:$J$52,2,0),IFERROR(VLOOKUP(D136,Parameter!$A$35:$C$64,2,0),"Nein"))</f>
        <v>2+3</v>
      </c>
      <c r="CE136" s="64" t="n">
        <f aca="false">IF(CA136=0,0,IF(N(S136)&gt;0,S136,IFERROR(VLOOKUP(D136,Parameter!$A$35:$C$64,3,0)+0,0)))</f>
        <v>0</v>
      </c>
      <c r="CF136" s="60" t="n">
        <f aca="false">IF(AB136&lt;&gt;"",AB136,AA136)</f>
        <v>2</v>
      </c>
      <c r="CG136" s="60" t="str">
        <f aca="false">IF(OR(CF136=1,CF136=2,CF136=3),IF(Parameter!$E$27="Ja","LIFT",IF(CF136=1,"L1","L23")),IF(CF136="Aussen","Aussen","-"))</f>
        <v>LIFT</v>
      </c>
      <c r="CH136" s="71" t="n">
        <f aca="false">IF(N(AC136)&gt;0,AC136,0)</f>
        <v>0</v>
      </c>
      <c r="CI136" s="65" t="n">
        <f aca="false">IF(ISNUMBER(AF136),1,0)</f>
        <v>0</v>
      </c>
      <c r="CJ136" s="62" t="n">
        <f aca="false">N(AF136)</f>
        <v>0</v>
      </c>
      <c r="CK136" s="62" t="n">
        <f aca="false">N(M136)+N(N136)</f>
        <v>75</v>
      </c>
      <c r="CL136" s="62" t="n">
        <f aca="false">N(M136)</f>
        <v>15</v>
      </c>
      <c r="CM136" s="62" t="n">
        <f aca="false">N(N136)</f>
        <v>60</v>
      </c>
      <c r="CN136" s="62" t="n">
        <f aca="false">ROUNDUP(H136/BZ136,0)</f>
        <v>5</v>
      </c>
      <c r="CO136" s="62" t="n">
        <f aca="false">ROUNDUP(CJ136/BZ136,0)</f>
        <v>0</v>
      </c>
      <c r="CP136" s="65" t="n">
        <f aca="false">IF(CA136=1,0,IFERROR(VLOOKUP(BY136,'Gebinde-Kategorie'!$A$5:$N$45,5,0)+0,0))</f>
        <v>20</v>
      </c>
      <c r="CQ136" s="65" t="n">
        <f aca="false">IFERROR(IF(OR(CF136=1,CF136=2,CF136=3),N(INDEX(Parameter!$I$5:$I$7,CF136)),0),0)</f>
        <v>0</v>
      </c>
      <c r="CR136" s="64" t="n">
        <f aca="false">IF(AND(Parameter!$B$21="Ja",ISNUMBER(W136),N(X136)&gt;0),IFERROR(N(INDEX(Parameter!$L$5:$L$7,W136))*INDEX(Parameter!$E$5:$E$7,W136)*X136/SUMIFS($X$7:$X$1843,$W$7:$W$1843,W136),0),0)</f>
        <v>0</v>
      </c>
      <c r="CS136" s="62" t="n">
        <f aca="false">IF(AND(OR(CG136="L1",CG136="L23",CG136="LIFT"),H136&gt;0),CC136*IF(CR136&gt;0,CR136*MAX(1,H136/X136),IF(CA136=1,CE136,IF(R136&gt;0,CN136/R136,0))/MAX(0.1,N(Parameter!$M$21))),"")</f>
        <v>195.833333333333</v>
      </c>
      <c r="CT136" s="64" t="n">
        <f aca="false">IF(CS136="","",J136/H136)</f>
        <v>3.08163265306122</v>
      </c>
      <c r="CU136" s="62" t="n">
        <f aca="false">IF(CS136="","",H136*G136)</f>
        <v>4728.01</v>
      </c>
      <c r="CV136" s="63" t="n">
        <f aca="false">IF(CS136="","",(CL136+ROUNDUP(CL136+MAX(CM136,2*(J136/MAX(0.1,N(Einkauf!$C$6))-CL136)),0))/2)</f>
        <v>45</v>
      </c>
      <c r="CW136" s="62" t="n">
        <f aca="false">IF(CS136="","",MAX(0,H136-CV136)*G136)</f>
        <v>385.96</v>
      </c>
      <c r="CX136" s="62" t="n">
        <f aca="false">IF(CS136="","",CS136*MAX(0,1-CV136/H136))</f>
        <v>15.9863945578231</v>
      </c>
      <c r="CY136" s="64" t="n">
        <f aca="false">IF(CS136="","",PERCENTRANK($CS$7:$CS$1843,CS136)+PERCENTRANK($CU$7:$CU$1843,CU136)+1-PERCENTRANK($CT$7:$CT$1843,CT136))</f>
        <v>1.987</v>
      </c>
      <c r="CZ136" s="72" t="n">
        <f aca="false">IF(CS136="","",CHOOSE(MATCH(Einkauf!$C$5,Parameter!$G$23:$G$27,0),CY136,CS136,CU136,-CT136,CW136)+ROW()/1000000000)</f>
        <v>1.987000136</v>
      </c>
    </row>
    <row r="137" customFormat="false" ht="15" hidden="false" customHeight="false" outlineLevel="0" collapsed="false">
      <c r="A137" s="60" t="s">
        <v>523</v>
      </c>
      <c r="B137" s="60" t="s">
        <v>332</v>
      </c>
      <c r="C137" s="60" t="s">
        <v>206</v>
      </c>
      <c r="D137" s="60" t="s">
        <v>215</v>
      </c>
      <c r="E137" s="60"/>
      <c r="F137" s="60" t="s">
        <v>260</v>
      </c>
      <c r="G137" s="61" t="n">
        <v>120.56</v>
      </c>
      <c r="H137" s="62" t="n">
        <f aca="false">MAX(0,IF(AND(Parameter!$B$21="Ja",ISNUMBER(Y137)),Y137,IF(Parameter!$B$20="Jahresanfang 2025 + Export",BS137+BR137,BR137)))</f>
        <v>26</v>
      </c>
      <c r="I137" s="62" t="n">
        <f aca="false">H137*G137</f>
        <v>3134.56</v>
      </c>
      <c r="J137" s="62" t="n">
        <f aca="false">BU137*Parameter!$B$18</f>
        <v>0</v>
      </c>
      <c r="K137" s="63" t="n">
        <v>13</v>
      </c>
      <c r="L137" s="64" t="n">
        <v>0</v>
      </c>
      <c r="M137" s="62" t="n">
        <v>0</v>
      </c>
      <c r="N137" s="62" t="n">
        <v>1</v>
      </c>
      <c r="O137" s="65" t="n">
        <v>77</v>
      </c>
      <c r="P137" s="60" t="s">
        <v>335</v>
      </c>
      <c r="Q137" s="62" t="n">
        <v>15</v>
      </c>
      <c r="R137" s="65" t="n">
        <f aca="false">IF(CA137=1,0,IFERROR(VLOOKUP(BY137,'Gebinde-Kategorie'!$A$5:$N$45,13,0)+0,0))</f>
        <v>12</v>
      </c>
      <c r="S137" s="66"/>
      <c r="T137" s="67"/>
      <c r="U137" s="67"/>
      <c r="V137" s="67"/>
      <c r="W137" s="60"/>
      <c r="X137" s="62"/>
      <c r="Y137" s="62"/>
      <c r="Z137" s="60" t="n">
        <v>3</v>
      </c>
      <c r="AA137" s="60" t="n">
        <f aca="false">IF(A137="","",IF(AND(Parameter!$B$21="Ja",ISNUMBER(W137)),W137,IF(AND(Parameter!$E$27="Ja",ISNUMBER(Z137),CD137&lt;&gt;"Nein"),Z137,IF(CD137="2+3",IF(ISNUMBER(SEARCH("grosser Artikel",BV137)),2,IFERROR(VLOOKUP(BY137,Parameter!$F$35:$G$64,2,0),2)),IF(OR(CD137="Nein",CD137=""),"-",CD137)))))</f>
        <v>3</v>
      </c>
      <c r="AB137" s="67"/>
      <c r="AC137" s="68"/>
      <c r="AD137" s="62" t="n">
        <f aca="false">AW137</f>
        <v>1</v>
      </c>
      <c r="AE137" s="62" t="n">
        <f aca="false">MAX(AW137,H137)</f>
        <v>26</v>
      </c>
      <c r="AF137" s="69"/>
      <c r="AG137" s="62" t="n">
        <f aca="false">IF(LEFT(Cockpit!$C$5,1)="A",H137,IF(Parameter!$E$30="MAX-Bestand",IF(CI137=1,CJ137,IF(LEFT(Cockpit!$C$5,1)="B",AM137,MAX(AM137,H137))),ROUNDUP(AK137,0)))</f>
        <v>26</v>
      </c>
      <c r="AH137" s="62" t="n">
        <f aca="false">IF(CA137=1,0,ROUNDUP(AG137/BZ137,0))</f>
        <v>2</v>
      </c>
      <c r="AI137" s="64" t="n">
        <f aca="false">IF(CR137&gt;0,CR137*MAX(1,AG137/X137),IF(CA137=1,IF(AG137&lt;=0,0,CE137*MAX(1,IF(H137&gt;0,AG137/H137,1))),IF(R137&gt;0,AH137/R137,0))/MAX(0.1,N(Parameter!$M$21)))</f>
        <v>0.166666666666667</v>
      </c>
      <c r="AJ137" s="62" t="n">
        <f aca="false">AI137*CC137</f>
        <v>40.8333333333333</v>
      </c>
      <c r="AK137" s="63" t="n">
        <f aca="false">IF(LEFT(Cockpit!$C$5,1)="A",H137,IF(CI137=1,(CL137+CJ137)/2,IF(LEFT(Cockpit!$C$5,1)="B",(CL137+AM137)/2,MAX((CL137+AM137)/2,H137))))</f>
        <v>26</v>
      </c>
      <c r="AL137" s="62" t="n">
        <f aca="false">AK137*G137</f>
        <v>3134.56</v>
      </c>
      <c r="AM137" s="62" t="n">
        <f aca="false">ROUNDUP(CL137+MAX(CM137,2*(J137/IF(CH137&gt;0,CH137,MAX(0.1,N(Cockpit!$C$6)))-CL137)),0)</f>
        <v>1</v>
      </c>
      <c r="AN137" s="63" t="n">
        <f aca="false">IF(AJ137&gt;0,J137/AJ137,-1)</f>
        <v>0</v>
      </c>
      <c r="AO137" s="63" t="n">
        <f aca="false">IF(AND(OR(CG137="L1",CG137="L23",CG137="LIFT"),AJ137&gt;0),SUMIFS($AJ$7:$AJ$1843,$CG$7:$CG$1843,CG137,$AN$7:$AN$1843,"&gt;"&amp;AN137)+SUMIFS($AJ$7:$AJ$1843,$CG$7:$CG$1843,CG137,$AN$7:$AN$1843,AN137,$BX$7:$BX$1843,"&lt;="&amp;BX137),"")</f>
        <v>27199.449801846</v>
      </c>
      <c r="AP137" s="70" t="n">
        <f aca="false">IF(AO137="",0,MAX(0,MIN(1,(IF(CG137="L1",Parameter!$H$5,IF(CG137="L23",Parameter!$H$6+Parameter!$H$7,Parameter!$H$5+Parameter!$H$6+Parameter!$H$7))-(AO137-AJ137))/AJ137)))</f>
        <v>1</v>
      </c>
      <c r="AQ137" s="62" t="n">
        <f aca="false">IF(LEFT(Cockpit!$I$5,1)="A",H137,IF(Parameter!$E$30="MAX-Bestand",IF(CI137=1,CJ137,IF(LEFT(Cockpit!$I$5,1)="B",AW137,MAX(AW137,H137))),ROUNDUP(AU137,0)))</f>
        <v>26</v>
      </c>
      <c r="AR137" s="62" t="n">
        <f aca="false">IF(CA137=1,0,ROUNDUP(AQ137/BZ137,0))</f>
        <v>2</v>
      </c>
      <c r="AS137" s="64" t="n">
        <f aca="false">IF(CR137&gt;0,CR137*MAX(1,AQ137/X137),IF(CA137=1,IF(AQ137&lt;=0,0,CE137*MAX(1,IF(H137&gt;0,AQ137/H137,1))),IF(R137&gt;0,AR137/R137,0))/MAX(0.1,N(Parameter!$M$21)))</f>
        <v>0.166666666666667</v>
      </c>
      <c r="AT137" s="62" t="n">
        <f aca="false">AS137*CC137</f>
        <v>40.8333333333333</v>
      </c>
      <c r="AU137" s="63" t="n">
        <f aca="false">IF(LEFT(Cockpit!$I$5,1)="A",H137,IF(CI137=1,(CL137+CJ137)/2,IF(LEFT(Cockpit!$I$5,1)="B",(CL137+AW137)/2,MAX((CL137+AW137)/2,H137))))</f>
        <v>26</v>
      </c>
      <c r="AV137" s="62" t="n">
        <f aca="false">AU137*G137</f>
        <v>3134.56</v>
      </c>
      <c r="AW137" s="62" t="n">
        <f aca="false">ROUNDUP(CL137+MAX(CM137,2*(J137/IF(CH137&gt;0,CH137,MAX(0.1,N(Cockpit!$I$6)))-CL137)),0)</f>
        <v>1</v>
      </c>
      <c r="AX137" s="63" t="n">
        <f aca="false">IF(AT137&gt;0,J137/AT137,-1)</f>
        <v>0</v>
      </c>
      <c r="AY137" s="63" t="n">
        <f aca="false">IF(AND(OR(CG137="L1",CG137="L23",CG137="LIFT"),AT137&gt;0),SUMIFS($AT$7:$AT$1843,$CG$7:$CG$1843,CG137,$AX$7:$AX$1843,"&gt;"&amp;AX137)+SUMIFS($AT$7:$AT$1843,$CG$7:$CG$1843,CG137,$AX$7:$AX$1843,AX137,$BX$7:$BX$1843,"&lt;="&amp;BX137),"")</f>
        <v>32552.5984432234</v>
      </c>
      <c r="AZ137" s="70" t="n">
        <f aca="false">IF(AY137="",0,MAX(0,MIN(1,(IF(CG137="L1",Parameter!$H$5,IF(CG137="L23",Parameter!$H$6+Parameter!$H$7,Parameter!$H$5+Parameter!$H$6+Parameter!$H$7))-(AY137-AT137))/AT137)))</f>
        <v>1</v>
      </c>
      <c r="BA137" s="62" t="n">
        <f aca="false">IF(LEFT(Cockpit!$O$5,1)="A",H137,IF(Parameter!$E$30="MAX-Bestand",IF(CI137=1,CJ137,IF(LEFT(Cockpit!$O$5,1)="B",BG137,MAX(BG137,H137))),ROUNDUP(BE137,0)))</f>
        <v>1</v>
      </c>
      <c r="BB137" s="62" t="n">
        <f aca="false">IF(CA137=1,0,ROUNDUP(BA137/BZ137,0))</f>
        <v>1</v>
      </c>
      <c r="BC137" s="64" t="n">
        <f aca="false">IF(CR137&gt;0,CR137*MAX(1,BA137/X137),IF(CA137=1,IF(BA137&lt;=0,0,CE137*MAX(1,IF(H137&gt;0,BA137/H137,1))),IF(R137&gt;0,BB137/R137,0))/MAX(0.1,N(Parameter!$M$21)))</f>
        <v>0.0833333333333333</v>
      </c>
      <c r="BD137" s="62" t="n">
        <f aca="false">BC137*CC137</f>
        <v>20.4166666666667</v>
      </c>
      <c r="BE137" s="63" t="n">
        <f aca="false">IF(LEFT(Cockpit!$O$5,1)="A",H137,IF(CI137=1,(CL137+CJ137)/2,IF(LEFT(Cockpit!$O$5,1)="B",(CL137+BG137)/2,MAX((CL137+BG137)/2,H137))))</f>
        <v>0.5</v>
      </c>
      <c r="BF137" s="62" t="n">
        <f aca="false">BE137*G137</f>
        <v>60.28</v>
      </c>
      <c r="BG137" s="62" t="n">
        <f aca="false">ROUNDUP(CL137+MAX(CM137,2*(J137/IF(CH137&gt;0,CH137,MAX(0.1,N(Cockpit!$O$6)))-CL137)),0)</f>
        <v>1</v>
      </c>
      <c r="BH137" s="63" t="n">
        <f aca="false">IF(BD137&gt;0,J137/BD137,-1)</f>
        <v>0</v>
      </c>
      <c r="BI137" s="63" t="n">
        <f aca="false">IF(AND(OR(CG137="L1",CG137="L23",CG137="LIFT"),BD137&gt;0),SUMIFS($BD$7:$BD$1843,$CG$7:$CG$1843,CG137,$BH$7:$BH$1843,"&gt;"&amp;BH137)+SUMIFS($BD$7:$BD$1843,$CG$7:$CG$1843,CG137,$BH$7:$BH$1843,BH137,$BX$7:$BX$1843,"&lt;="&amp;BX137),"")</f>
        <v>26728.7636198547</v>
      </c>
      <c r="BJ137" s="70" t="n">
        <f aca="false">IF(BI137="",0,MAX(0,MIN(1,(IF(CG137="L1",Parameter!$H$5,IF(CG137="L23",Parameter!$H$6+Parameter!$H$7,Parameter!$H$5+Parameter!$H$6+Parameter!$H$7))-(BI137-BD137))/BD137)))</f>
        <v>1</v>
      </c>
      <c r="BK137" s="60" t="str">
        <f aca="false">IF(AJ137&lt;=0,"",IF(CG137="Aussen","Aussenlager",IF(CG137="-","Nicht im Lift",IF(AP137&gt;=1,"Lift",IF(AP137&lt;=0,"Aussenlager","teilweise")))))</f>
        <v>Lift</v>
      </c>
      <c r="BL137" s="60" t="str">
        <f aca="false">IF(AT137&lt;=0,"",IF(CG137="Aussen","Aussenlager",IF(CG137="-","Nicht im Lift",IF(AZ137&gt;=1,"Lift",IF(AZ137&lt;=0,"Aussenlager","teilweise")))))</f>
        <v>Lift</v>
      </c>
      <c r="BM137" s="60" t="str">
        <f aca="false">IF(BD137&lt;=0,"",IF(CG137="Aussen","Aussenlager",IF(CG137="-","Nicht im Lift",IF(BJ137&gt;=1,"Lift",IF(BJ137&lt;=0,"Aussenlager","teilweise")))))</f>
        <v>Lift</v>
      </c>
      <c r="BN137" s="60" t="str">
        <f aca="false">IF(A137="","",IF(BW137=1,"Neu; ","")&amp;IF(AND(BW137=0,BR137&lt;0),"negativer Bestand (Export "&amp;BR137&amp;"); ","")&amp;IF(J137&lt;=0,"Kein Verbrauch; ","")&amp;IF(CR137&gt;0,"Lift "&amp;W137&amp;" lt. Liftbericht (Fach "&amp;X137&amp;" Stk); ",IF(CB137=1,"Gebinde geschätzt ("&amp;T137&amp;"); ",IF(CA137=1,"Lose – Tablare geschätzt; ","")))&amp;IF(H137&gt;AW137,"Überbestand "&amp;ROUND(H137-AW137,0)&amp;" Stk / CHF "&amp;ROUND((H137-AW137)*G137,0)&amp;"; ","")&amp;IF(AND(CI137=1,CJ137&lt;CK137),"MAX &lt; MB+LG; ","")&amp;IF(AND(CQ137&gt;0,CP137*10&gt;CQ137),"zu hoch für Tablar; ","")&amp;IF(AND(BW137=0,OR(CI137=1,AB137&lt;&gt;"",U137&lt;&gt;"",V137&lt;&gt;"",AC137&lt;&gt;"")),"manuell übersteuert; ","")&amp;IF(AND(CA137=0,R137=0),"Gebinde unbekannt / Stellmass fehlt; ","")&amp;IF(AND(CA137=0,N(V137)&lt;=0,N(Q137)&lt;=0),"Menge pro Gebinde fehlt (Ist = 1 Gebinde); ","")&amp;BV137)</f>
        <v>Kein Verbrauch; Überbestand 25 Stk / CHF 3014; </v>
      </c>
      <c r="BO137" s="60"/>
      <c r="BP137" s="60"/>
      <c r="BQ137" s="67"/>
      <c r="BR137" s="62" t="n">
        <v>13</v>
      </c>
      <c r="BS137" s="62" t="n">
        <v>13</v>
      </c>
      <c r="BT137" s="61" t="n">
        <v>1567.28</v>
      </c>
      <c r="BU137" s="62" t="n">
        <v>0</v>
      </c>
      <c r="BV137" s="60"/>
      <c r="BW137" s="65" t="n">
        <v>0</v>
      </c>
      <c r="BX137" s="65" t="n">
        <v>137</v>
      </c>
      <c r="BY137" s="60" t="str">
        <f aca="false">IF(U137&lt;&gt;"",UPPER(TRIM(U137)),IF(CB137=1,UPPER(VLOOKUP(T137,Parameter!$I$27:$K$29,2,0)),IF(P137="","LOSE",P137)))</f>
        <v>S62</v>
      </c>
      <c r="BZ137" s="62" t="n">
        <f aca="false">IF(BY137="LOSE",1,IF(N(V137)&gt;0,V137,IF(CB137=1,MAX(1,N(VLOOKUP(T137,Parameter!$I$27:$K$29,3,0)),H137,N(N137)),IF(N(Q137)&gt;0,Q137,MAX(1,H137)))))</f>
        <v>15</v>
      </c>
      <c r="CA137" s="65" t="n">
        <f aca="false">IF(BY137="LOSE",1,0)</f>
        <v>0</v>
      </c>
      <c r="CB137" s="65" t="n">
        <f aca="false">IF(AND(U137="",OR(P137="",P137="LOSE"),T137&lt;&gt;"",N(S137)&lt;=0,ISNUMBER(MATCH(T137,Parameter!$I$27:$I$29,0))),1,0)</f>
        <v>0</v>
      </c>
      <c r="CC137" s="65" t="n">
        <f aca="false">IF(CR137&gt;0,INDEX(Parameter!$H$5:$H$7,W137)/INDEX(Parameter!$E$5:$E$7,W137),IF(AND(CA137=0,N(IFERROR(VLOOKUP(BY137,'Gebinde-Kategorie'!$A$5:$N$45,14,0),0))&gt;0),VLOOKUP(BY137,'Gebinde-Kategorie'!$A$5:$N$45,14,0)*10+Parameter!$M$23,Parameter!$M$24))</f>
        <v>245</v>
      </c>
      <c r="CD137" s="60" t="str">
        <f aca="false">IF(AND(Parameter!$B$19="Ja",E137&lt;&gt;"",ISNUMBER(MATCH(E137,Parameter!$I$35:$I$52,0))),VLOOKUP(E137,Parameter!$I$35:$J$52,2,0),IFERROR(VLOOKUP(D137,Parameter!$A$35:$C$64,2,0),"Nein"))</f>
        <v>2+3</v>
      </c>
      <c r="CE137" s="64" t="n">
        <f aca="false">IF(CA137=0,0,IF(N(S137)&gt;0,S137,IFERROR(VLOOKUP(D137,Parameter!$A$35:$C$64,3,0)+0,0)))</f>
        <v>0</v>
      </c>
      <c r="CF137" s="60" t="n">
        <f aca="false">IF(AB137&lt;&gt;"",AB137,AA137)</f>
        <v>3</v>
      </c>
      <c r="CG137" s="60" t="str">
        <f aca="false">IF(OR(CF137=1,CF137=2,CF137=3),IF(Parameter!$E$27="Ja","LIFT",IF(CF137=1,"L1","L23")),IF(CF137="Aussen","Aussen","-"))</f>
        <v>LIFT</v>
      </c>
      <c r="CH137" s="71" t="n">
        <f aca="false">IF(N(AC137)&gt;0,AC137,0)</f>
        <v>0</v>
      </c>
      <c r="CI137" s="65" t="n">
        <f aca="false">IF(ISNUMBER(AF137),1,0)</f>
        <v>0</v>
      </c>
      <c r="CJ137" s="62" t="n">
        <f aca="false">N(AF137)</f>
        <v>0</v>
      </c>
      <c r="CK137" s="62" t="n">
        <f aca="false">N(M137)+N(N137)</f>
        <v>1</v>
      </c>
      <c r="CL137" s="62" t="n">
        <f aca="false">N(M137)</f>
        <v>0</v>
      </c>
      <c r="CM137" s="62" t="n">
        <f aca="false">N(N137)</f>
        <v>1</v>
      </c>
      <c r="CN137" s="62" t="n">
        <f aca="false">ROUNDUP(H137/BZ137,0)</f>
        <v>2</v>
      </c>
      <c r="CO137" s="62" t="n">
        <f aca="false">ROUNDUP(CJ137/BZ137,0)</f>
        <v>0</v>
      </c>
      <c r="CP137" s="65" t="n">
        <f aca="false">IF(CA137=1,0,IFERROR(VLOOKUP(BY137,'Gebinde-Kategorie'!$A$5:$N$45,5,0)+0,0))</f>
        <v>21</v>
      </c>
      <c r="CQ137" s="65" t="n">
        <f aca="false">IFERROR(IF(OR(CF137=1,CF137=2,CF137=3),N(INDEX(Parameter!$I$5:$I$7,CF137)),0),0)</f>
        <v>0</v>
      </c>
      <c r="CR137" s="64" t="n">
        <f aca="false">IF(AND(Parameter!$B$21="Ja",ISNUMBER(W137),N(X137)&gt;0),IFERROR(N(INDEX(Parameter!$L$5:$L$7,W137))*INDEX(Parameter!$E$5:$E$7,W137)*X137/SUMIFS($X$7:$X$1843,$W$7:$W$1843,W137),0),0)</f>
        <v>0</v>
      </c>
      <c r="CS137" s="62" t="n">
        <f aca="false">IF(AND(OR(CG137="L1",CG137="L23",CG137="LIFT"),H137&gt;0),CC137*IF(CR137&gt;0,CR137*MAX(1,H137/X137),IF(CA137=1,CE137,IF(R137&gt;0,CN137/R137,0))/MAX(0.1,N(Parameter!$M$21))),"")</f>
        <v>40.8333333333333</v>
      </c>
      <c r="CT137" s="64" t="n">
        <f aca="false">IF(CS137="","",J137/H137)</f>
        <v>0</v>
      </c>
      <c r="CU137" s="62" t="n">
        <f aca="false">IF(CS137="","",H137*G137)</f>
        <v>3134.56</v>
      </c>
      <c r="CV137" s="63" t="n">
        <f aca="false">IF(CS137="","",(CL137+ROUNDUP(CL137+MAX(CM137,2*(J137/MAX(0.1,N(Einkauf!$C$6))-CL137)),0))/2)</f>
        <v>0.5</v>
      </c>
      <c r="CW137" s="62" t="n">
        <f aca="false">IF(CS137="","",MAX(0,H137-CV137)*G137)</f>
        <v>3074.28</v>
      </c>
      <c r="CX137" s="62" t="n">
        <f aca="false">IF(CS137="","",CS137*MAX(0,1-CV137/H137))</f>
        <v>40.0480769230769</v>
      </c>
      <c r="CY137" s="64" t="n">
        <f aca="false">IF(CS137="","",PERCENTRANK($CS$7:$CS$1843,CS137)+PERCENTRANK($CU$7:$CU$1843,CU137)+1-PERCENTRANK($CT$7:$CT$1843,CT137))</f>
        <v>2.735</v>
      </c>
      <c r="CZ137" s="72" t="n">
        <f aca="false">IF(CS137="","",CHOOSE(MATCH(Einkauf!$C$5,Parameter!$G$23:$G$27,0),CY137,CS137,CU137,-CT137,CW137)+ROW()/1000000000)</f>
        <v>2.735000137</v>
      </c>
    </row>
    <row r="138" customFormat="false" ht="15" hidden="false" customHeight="false" outlineLevel="0" collapsed="false">
      <c r="A138" s="60" t="s">
        <v>524</v>
      </c>
      <c r="B138" s="60" t="s">
        <v>525</v>
      </c>
      <c r="C138" s="60" t="s">
        <v>206</v>
      </c>
      <c r="D138" s="60" t="s">
        <v>226</v>
      </c>
      <c r="E138" s="60"/>
      <c r="F138" s="60" t="s">
        <v>260</v>
      </c>
      <c r="G138" s="61" t="n">
        <v>138.33</v>
      </c>
      <c r="H138" s="62" t="n">
        <f aca="false">MAX(0,IF(AND(Parameter!$B$21="Ja",ISNUMBER(Y138)),Y138,IF(Parameter!$B$20="Jahresanfang 2025 + Export",BS138+BR138,BR138)))</f>
        <v>57</v>
      </c>
      <c r="I138" s="62" t="n">
        <f aca="false">H138*G138</f>
        <v>7884.81</v>
      </c>
      <c r="J138" s="62" t="n">
        <f aca="false">BU138*Parameter!$B$18</f>
        <v>25</v>
      </c>
      <c r="K138" s="63" t="n">
        <v>33.5</v>
      </c>
      <c r="L138" s="64" t="n">
        <v>0.746268656716418</v>
      </c>
      <c r="M138" s="62" t="n">
        <v>1</v>
      </c>
      <c r="N138" s="62" t="n">
        <v>25</v>
      </c>
      <c r="O138" s="65" t="n">
        <v>28</v>
      </c>
      <c r="P138" s="60" t="s">
        <v>370</v>
      </c>
      <c r="Q138" s="62" t="n">
        <v>20</v>
      </c>
      <c r="R138" s="65" t="n">
        <f aca="false">IF(CA138=1,0,IFERROR(VLOOKUP(BY138,'Gebinde-Kategorie'!$A$5:$N$45,13,0)+0,0))</f>
        <v>52</v>
      </c>
      <c r="S138" s="66"/>
      <c r="T138" s="67"/>
      <c r="U138" s="67"/>
      <c r="V138" s="67"/>
      <c r="W138" s="60"/>
      <c r="X138" s="62"/>
      <c r="Y138" s="62"/>
      <c r="Z138" s="60" t="n">
        <v>3</v>
      </c>
      <c r="AA138" s="60" t="n">
        <f aca="false">IF(A138="","",IF(AND(Parameter!$B$21="Ja",ISNUMBER(W138)),W138,IF(AND(Parameter!$E$27="Ja",ISNUMBER(Z138),CD138&lt;&gt;"Nein"),Z138,IF(CD138="2+3",IF(ISNUMBER(SEARCH("grosser Artikel",BV138)),2,IFERROR(VLOOKUP(BY138,Parameter!$F$35:$G$64,2,0),2)),IF(OR(CD138="Nein",CD138=""),"-",CD138)))))</f>
        <v>3</v>
      </c>
      <c r="AB138" s="67"/>
      <c r="AC138" s="68"/>
      <c r="AD138" s="62" t="n">
        <f aca="false">AW138</f>
        <v>26</v>
      </c>
      <c r="AE138" s="62" t="n">
        <f aca="false">MAX(AW138,H138)</f>
        <v>57</v>
      </c>
      <c r="AF138" s="69"/>
      <c r="AG138" s="62" t="n">
        <f aca="false">IF(LEFT(Cockpit!$C$5,1)="A",H138,IF(Parameter!$E$30="MAX-Bestand",IF(CI138=1,CJ138,IF(LEFT(Cockpit!$C$5,1)="B",AM138,MAX(AM138,H138))),ROUNDUP(AK138,0)))</f>
        <v>57</v>
      </c>
      <c r="AH138" s="62" t="n">
        <f aca="false">IF(CA138=1,0,ROUNDUP(AG138/BZ138,0))</f>
        <v>3</v>
      </c>
      <c r="AI138" s="64" t="n">
        <f aca="false">IF(CR138&gt;0,CR138*MAX(1,AG138/X138),IF(CA138=1,IF(AG138&lt;=0,0,CE138*MAX(1,IF(H138&gt;0,AG138/H138,1))),IF(R138&gt;0,AH138/R138,0))/MAX(0.1,N(Parameter!$M$21)))</f>
        <v>0.0576923076923077</v>
      </c>
      <c r="AJ138" s="62" t="n">
        <f aca="false">AI138*CC138</f>
        <v>8.94230769230769</v>
      </c>
      <c r="AK138" s="63" t="n">
        <f aca="false">IF(LEFT(Cockpit!$C$5,1)="A",H138,IF(CI138=1,(CL138+CJ138)/2,IF(LEFT(Cockpit!$C$5,1)="B",(CL138+AM138)/2,MAX((CL138+AM138)/2,H138))))</f>
        <v>57</v>
      </c>
      <c r="AL138" s="62" t="n">
        <f aca="false">AK138*G138</f>
        <v>7884.81</v>
      </c>
      <c r="AM138" s="62" t="n">
        <f aca="false">ROUNDUP(CL138+MAX(CM138,2*(J138/IF(CH138&gt;0,CH138,MAX(0.1,N(Cockpit!$C$6)))-CL138)),0)</f>
        <v>26</v>
      </c>
      <c r="AN138" s="63" t="n">
        <f aca="false">IF(AJ138&gt;0,J138/AJ138,-1)</f>
        <v>2.79569892473118</v>
      </c>
      <c r="AO138" s="63" t="n">
        <f aca="false">IF(AND(OR(CG138="L1",CG138="L23",CG138="LIFT"),AJ138&gt;0),SUMIFS($AJ$7:$AJ$1843,$CG$7:$CG$1843,CG138,$AN$7:$AN$1843,"&gt;"&amp;AN138)+SUMIFS($AJ$7:$AJ$1843,$CG$7:$CG$1843,CG138,$AN$7:$AN$1843,AN138,$BX$7:$BX$1843,"&lt;="&amp;BX138),"")</f>
        <v>5259.12957875458</v>
      </c>
      <c r="AP138" s="70" t="n">
        <f aca="false">IF(AO138="",0,MAX(0,MIN(1,(IF(CG138="L1",Parameter!$H$5,IF(CG138="L23",Parameter!$H$6+Parameter!$H$7,Parameter!$H$5+Parameter!$H$6+Parameter!$H$7))-(AO138-AJ138))/AJ138)))</f>
        <v>1</v>
      </c>
      <c r="AQ138" s="62" t="n">
        <f aca="false">IF(LEFT(Cockpit!$I$5,1)="A",H138,IF(Parameter!$E$30="MAX-Bestand",IF(CI138=1,CJ138,IF(LEFT(Cockpit!$I$5,1)="B",AW138,MAX(AW138,H138))),ROUNDUP(AU138,0)))</f>
        <v>57</v>
      </c>
      <c r="AR138" s="62" t="n">
        <f aca="false">IF(CA138=1,0,ROUNDUP(AQ138/BZ138,0))</f>
        <v>3</v>
      </c>
      <c r="AS138" s="64" t="n">
        <f aca="false">IF(CR138&gt;0,CR138*MAX(1,AQ138/X138),IF(CA138=1,IF(AQ138&lt;=0,0,CE138*MAX(1,IF(H138&gt;0,AQ138/H138,1))),IF(R138&gt;0,AR138/R138,0))/MAX(0.1,N(Parameter!$M$21)))</f>
        <v>0.0576923076923077</v>
      </c>
      <c r="AT138" s="62" t="n">
        <f aca="false">AS138*CC138</f>
        <v>8.94230769230769</v>
      </c>
      <c r="AU138" s="63" t="n">
        <f aca="false">IF(LEFT(Cockpit!$I$5,1)="A",H138,IF(CI138=1,(CL138+CJ138)/2,IF(LEFT(Cockpit!$I$5,1)="B",(CL138+AW138)/2,MAX((CL138+AW138)/2,H138))))</f>
        <v>57</v>
      </c>
      <c r="AV138" s="62" t="n">
        <f aca="false">AU138*G138</f>
        <v>7884.81</v>
      </c>
      <c r="AW138" s="62" t="n">
        <f aca="false">ROUNDUP(CL138+MAX(CM138,2*(J138/IF(CH138&gt;0,CH138,MAX(0.1,N(Cockpit!$I$6)))-CL138)),0)</f>
        <v>26</v>
      </c>
      <c r="AX138" s="63" t="n">
        <f aca="false">IF(AT138&gt;0,J138/AT138,-1)</f>
        <v>2.79569892473118</v>
      </c>
      <c r="AY138" s="63" t="n">
        <f aca="false">IF(AND(OR(CG138="L1",CG138="L23",CG138="LIFT"),AT138&gt;0),SUMIFS($AT$7:$AT$1843,$CG$7:$CG$1843,CG138,$AX$7:$AX$1843,"&gt;"&amp;AX138)+SUMIFS($AT$7:$AT$1843,$CG$7:$CG$1843,CG138,$AX$7:$AX$1843,AX138,$BX$7:$BX$1843,"&lt;="&amp;BX138),"")</f>
        <v>6093.6076007326</v>
      </c>
      <c r="AZ138" s="70" t="n">
        <f aca="false">IF(AY138="",0,MAX(0,MIN(1,(IF(CG138="L1",Parameter!$H$5,IF(CG138="L23",Parameter!$H$6+Parameter!$H$7,Parameter!$H$5+Parameter!$H$6+Parameter!$H$7))-(AY138-AT138))/AT138)))</f>
        <v>1</v>
      </c>
      <c r="BA138" s="62" t="n">
        <f aca="false">IF(LEFT(Cockpit!$O$5,1)="A",H138,IF(Parameter!$E$30="MAX-Bestand",IF(CI138=1,CJ138,IF(LEFT(Cockpit!$O$5,1)="B",BG138,MAX(BG138,H138))),ROUNDUP(BE138,0)))</f>
        <v>14</v>
      </c>
      <c r="BB138" s="62" t="n">
        <f aca="false">IF(CA138=1,0,ROUNDUP(BA138/BZ138,0))</f>
        <v>1</v>
      </c>
      <c r="BC138" s="64" t="n">
        <f aca="false">IF(CR138&gt;0,CR138*MAX(1,BA138/X138),IF(CA138=1,IF(BA138&lt;=0,0,CE138*MAX(1,IF(H138&gt;0,BA138/H138,1))),IF(R138&gt;0,BB138/R138,0))/MAX(0.1,N(Parameter!$M$21)))</f>
        <v>0.0192307692307692</v>
      </c>
      <c r="BD138" s="62" t="n">
        <f aca="false">BC138*CC138</f>
        <v>2.98076923076923</v>
      </c>
      <c r="BE138" s="63" t="n">
        <f aca="false">IF(LEFT(Cockpit!$O$5,1)="A",H138,IF(CI138=1,(CL138+CJ138)/2,IF(LEFT(Cockpit!$O$5,1)="B",(CL138+BG138)/2,MAX((CL138+BG138)/2,H138))))</f>
        <v>13.5</v>
      </c>
      <c r="BF138" s="62" t="n">
        <f aca="false">BE138*G138</f>
        <v>1867.455</v>
      </c>
      <c r="BG138" s="62" t="n">
        <f aca="false">ROUNDUP(CL138+MAX(CM138,2*(J138/IF(CH138&gt;0,CH138,MAX(0.1,N(Cockpit!$O$6)))-CL138)),0)</f>
        <v>26</v>
      </c>
      <c r="BH138" s="63" t="n">
        <f aca="false">IF(BD138&gt;0,J138/BD138,-1)</f>
        <v>8.38709677419355</v>
      </c>
      <c r="BI138" s="63" t="n">
        <f aca="false">IF(AND(OR(CG138="L1",CG138="L23",CG138="LIFT"),BD138&gt;0),SUMIFS($BD$7:$BD$1843,$CG$7:$CG$1843,CG138,$BH$7:$BH$1843,"&gt;"&amp;BH138)+SUMIFS($BD$7:$BD$1843,$CG$7:$CG$1843,CG138,$BH$7:$BH$1843,BH138,$BX$7:$BX$1843,"&lt;="&amp;BX138),"")</f>
        <v>2951.69734432234</v>
      </c>
      <c r="BJ138" s="70" t="n">
        <f aca="false">IF(BI138="",0,MAX(0,MIN(1,(IF(CG138="L1",Parameter!$H$5,IF(CG138="L23",Parameter!$H$6+Parameter!$H$7,Parameter!$H$5+Parameter!$H$6+Parameter!$H$7))-(BI138-BD138))/BD138)))</f>
        <v>1</v>
      </c>
      <c r="BK138" s="60" t="str">
        <f aca="false">IF(AJ138&lt;=0,"",IF(CG138="Aussen","Aussenlager",IF(CG138="-","Nicht im Lift",IF(AP138&gt;=1,"Lift",IF(AP138&lt;=0,"Aussenlager","teilweise")))))</f>
        <v>Lift</v>
      </c>
      <c r="BL138" s="60" t="str">
        <f aca="false">IF(AT138&lt;=0,"",IF(CG138="Aussen","Aussenlager",IF(CG138="-","Nicht im Lift",IF(AZ138&gt;=1,"Lift",IF(AZ138&lt;=0,"Aussenlager","teilweise")))))</f>
        <v>Lift</v>
      </c>
      <c r="BM138" s="60" t="str">
        <f aca="false">IF(BD138&lt;=0,"",IF(CG138="Aussen","Aussenlager",IF(CG138="-","Nicht im Lift",IF(BJ138&gt;=1,"Lift",IF(BJ138&lt;=0,"Aussenlager","teilweise")))))</f>
        <v>Lift</v>
      </c>
      <c r="BN138" s="60" t="str">
        <f aca="false">IF(A138="","",IF(BW138=1,"Neu; ","")&amp;IF(AND(BW138=0,BR138&lt;0),"negativer Bestand (Export "&amp;BR138&amp;"); ","")&amp;IF(J138&lt;=0,"Kein Verbrauch; ","")&amp;IF(CR138&gt;0,"Lift "&amp;W138&amp;" lt. Liftbericht (Fach "&amp;X138&amp;" Stk); ",IF(CB138=1,"Gebinde geschätzt ("&amp;T138&amp;"); ",IF(CA138=1,"Lose – Tablare geschätzt; ","")))&amp;IF(H138&gt;AW138,"Überbestand "&amp;ROUND(H138-AW138,0)&amp;" Stk / CHF "&amp;ROUND((H138-AW138)*G138,0)&amp;"; ","")&amp;IF(AND(CI138=1,CJ138&lt;CK138),"MAX &lt; MB+LG; ","")&amp;IF(AND(CQ138&gt;0,CP138*10&gt;CQ138),"zu hoch für Tablar; ","")&amp;IF(AND(BW138=0,OR(CI138=1,AB138&lt;&gt;"",U138&lt;&gt;"",V138&lt;&gt;"",AC138&lt;&gt;"")),"manuell übersteuert; ","")&amp;IF(AND(CA138=0,R138=0),"Gebinde unbekannt / Stellmass fehlt; ","")&amp;IF(AND(CA138=0,N(V138)&lt;=0,N(Q138)&lt;=0),"Menge pro Gebinde fehlt (Ist = 1 Gebinde); ","")&amp;BV138)</f>
        <v>Überbestand 31 Stk / CHF 4288; </v>
      </c>
      <c r="BO138" s="60"/>
      <c r="BP138" s="60"/>
      <c r="BQ138" s="67"/>
      <c r="BR138" s="62" t="n">
        <v>11</v>
      </c>
      <c r="BS138" s="62" t="n">
        <v>46</v>
      </c>
      <c r="BT138" s="61" t="n">
        <v>1567.17</v>
      </c>
      <c r="BU138" s="62" t="n">
        <v>25</v>
      </c>
      <c r="BV138" s="60"/>
      <c r="BW138" s="65" t="n">
        <v>0</v>
      </c>
      <c r="BX138" s="65" t="n">
        <v>138</v>
      </c>
      <c r="BY138" s="60" t="str">
        <f aca="false">IF(U138&lt;&gt;"",UPPER(TRIM(U138)),IF(CB138=1,UPPER(VLOOKUP(T138,Parameter!$I$27:$K$29,2,0)),IF(P138="","LOSE",P138)))</f>
        <v>S41</v>
      </c>
      <c r="BZ138" s="62" t="n">
        <f aca="false">IF(BY138="LOSE",1,IF(N(V138)&gt;0,V138,IF(CB138=1,MAX(1,N(VLOOKUP(T138,Parameter!$I$27:$K$29,3,0)),H138,N(N138)),IF(N(Q138)&gt;0,Q138,MAX(1,H138)))))</f>
        <v>20</v>
      </c>
      <c r="CA138" s="65" t="n">
        <f aca="false">IF(BY138="LOSE",1,0)</f>
        <v>0</v>
      </c>
      <c r="CB138" s="65" t="n">
        <f aca="false">IF(AND(U138="",OR(P138="",P138="LOSE"),T138&lt;&gt;"",N(S138)&lt;=0,ISNUMBER(MATCH(T138,Parameter!$I$27:$I$29,0))),1,0)</f>
        <v>0</v>
      </c>
      <c r="CC138" s="65" t="n">
        <f aca="false">IF(CR138&gt;0,INDEX(Parameter!$H$5:$H$7,W138)/INDEX(Parameter!$E$5:$E$7,W138),IF(AND(CA138=0,N(IFERROR(VLOOKUP(BY138,'Gebinde-Kategorie'!$A$5:$N$45,14,0),0))&gt;0),VLOOKUP(BY138,'Gebinde-Kategorie'!$A$5:$N$45,14,0)*10+Parameter!$M$23,Parameter!$M$24))</f>
        <v>155</v>
      </c>
      <c r="CD138" s="60" t="str">
        <f aca="false">IF(AND(Parameter!$B$19="Ja",E138&lt;&gt;"",ISNUMBER(MATCH(E138,Parameter!$I$35:$I$52,0))),VLOOKUP(E138,Parameter!$I$35:$J$52,2,0),IFERROR(VLOOKUP(D138,Parameter!$A$35:$C$64,2,0),"Nein"))</f>
        <v>2+3</v>
      </c>
      <c r="CE138" s="64" t="n">
        <f aca="false">IF(CA138=0,0,IF(N(S138)&gt;0,S138,IFERROR(VLOOKUP(D138,Parameter!$A$35:$C$64,3,0)+0,0)))</f>
        <v>0</v>
      </c>
      <c r="CF138" s="60" t="n">
        <f aca="false">IF(AB138&lt;&gt;"",AB138,AA138)</f>
        <v>3</v>
      </c>
      <c r="CG138" s="60" t="str">
        <f aca="false">IF(OR(CF138=1,CF138=2,CF138=3),IF(Parameter!$E$27="Ja","LIFT",IF(CF138=1,"L1","L23")),IF(CF138="Aussen","Aussen","-"))</f>
        <v>LIFT</v>
      </c>
      <c r="CH138" s="71" t="n">
        <f aca="false">IF(N(AC138)&gt;0,AC138,0)</f>
        <v>0</v>
      </c>
      <c r="CI138" s="65" t="n">
        <f aca="false">IF(ISNUMBER(AF138),1,0)</f>
        <v>0</v>
      </c>
      <c r="CJ138" s="62" t="n">
        <f aca="false">N(AF138)</f>
        <v>0</v>
      </c>
      <c r="CK138" s="62" t="n">
        <f aca="false">N(M138)+N(N138)</f>
        <v>26</v>
      </c>
      <c r="CL138" s="62" t="n">
        <f aca="false">N(M138)</f>
        <v>1</v>
      </c>
      <c r="CM138" s="62" t="n">
        <f aca="false">N(N138)</f>
        <v>25</v>
      </c>
      <c r="CN138" s="62" t="n">
        <f aca="false">ROUNDUP(H138/BZ138,0)</f>
        <v>3</v>
      </c>
      <c r="CO138" s="62" t="n">
        <f aca="false">ROUNDUP(CJ138/BZ138,0)</f>
        <v>0</v>
      </c>
      <c r="CP138" s="65" t="n">
        <f aca="false">IF(CA138=1,0,IFERROR(VLOOKUP(BY138,'Gebinde-Kategorie'!$A$5:$N$45,5,0)+0,0))</f>
        <v>11</v>
      </c>
      <c r="CQ138" s="65" t="n">
        <f aca="false">IFERROR(IF(OR(CF138=1,CF138=2,CF138=3),N(INDEX(Parameter!$I$5:$I$7,CF138)),0),0)</f>
        <v>0</v>
      </c>
      <c r="CR138" s="64" t="n">
        <f aca="false">IF(AND(Parameter!$B$21="Ja",ISNUMBER(W138),N(X138)&gt;0),IFERROR(N(INDEX(Parameter!$L$5:$L$7,W138))*INDEX(Parameter!$E$5:$E$7,W138)*X138/SUMIFS($X$7:$X$1843,$W$7:$W$1843,W138),0),0)</f>
        <v>0</v>
      </c>
      <c r="CS138" s="62" t="n">
        <f aca="false">IF(AND(OR(CG138="L1",CG138="L23",CG138="LIFT"),H138&gt;0),CC138*IF(CR138&gt;0,CR138*MAX(1,H138/X138),IF(CA138=1,CE138,IF(R138&gt;0,CN138/R138,0))/MAX(0.1,N(Parameter!$M$21))),"")</f>
        <v>8.94230769230769</v>
      </c>
      <c r="CT138" s="64" t="n">
        <f aca="false">IF(CS138="","",J138/H138)</f>
        <v>0.43859649122807</v>
      </c>
      <c r="CU138" s="62" t="n">
        <f aca="false">IF(CS138="","",H138*G138)</f>
        <v>7884.81</v>
      </c>
      <c r="CV138" s="63" t="n">
        <f aca="false">IF(CS138="","",(CL138+ROUNDUP(CL138+MAX(CM138,2*(J138/MAX(0.1,N(Einkauf!$C$6))-CL138)),0))/2)</f>
        <v>13.5</v>
      </c>
      <c r="CW138" s="62" t="n">
        <f aca="false">IF(CS138="","",MAX(0,H138-CV138)*G138)</f>
        <v>6017.355</v>
      </c>
      <c r="CX138" s="62" t="n">
        <f aca="false">IF(CS138="","",CS138*MAX(0,1-CV138/H138))</f>
        <v>6.82439271255061</v>
      </c>
      <c r="CY138" s="64" t="n">
        <f aca="false">IF(CS138="","",PERCENTRANK($CS$7:$CS$1843,CS138)+PERCENTRANK($CU$7:$CU$1843,CU138)+1-PERCENTRANK($CT$7:$CT$1843,CT138))</f>
        <v>1.966</v>
      </c>
      <c r="CZ138" s="72" t="n">
        <f aca="false">IF(CS138="","",CHOOSE(MATCH(Einkauf!$C$5,Parameter!$G$23:$G$27,0),CY138,CS138,CU138,-CT138,CW138)+ROW()/1000000000)</f>
        <v>1.966000138</v>
      </c>
    </row>
    <row r="139" customFormat="false" ht="15" hidden="false" customHeight="false" outlineLevel="0" collapsed="false">
      <c r="A139" s="60" t="s">
        <v>526</v>
      </c>
      <c r="B139" s="60" t="s">
        <v>527</v>
      </c>
      <c r="C139" s="60" t="s">
        <v>206</v>
      </c>
      <c r="D139" s="60" t="s">
        <v>215</v>
      </c>
      <c r="E139" s="60"/>
      <c r="F139" s="60" t="s">
        <v>260</v>
      </c>
      <c r="G139" s="61" t="n">
        <v>116.64</v>
      </c>
      <c r="H139" s="62" t="n">
        <f aca="false">MAX(0,IF(AND(Parameter!$B$21="Ja",ISNUMBER(Y139)),Y139,IF(Parameter!$B$20="Jahresanfang 2025 + Export",BS139+BR139,BR139)))</f>
        <v>31</v>
      </c>
      <c r="I139" s="62" t="n">
        <f aca="false">H139*G139</f>
        <v>3615.84</v>
      </c>
      <c r="J139" s="62" t="n">
        <f aca="false">BU139*Parameter!$B$18</f>
        <v>157</v>
      </c>
      <c r="K139" s="63" t="n">
        <v>37.5</v>
      </c>
      <c r="L139" s="64" t="n">
        <v>4.18666666666667</v>
      </c>
      <c r="M139" s="62" t="n">
        <v>3</v>
      </c>
      <c r="N139" s="62" t="n">
        <v>25</v>
      </c>
      <c r="O139" s="65" t="n">
        <v>7</v>
      </c>
      <c r="P139" s="60" t="s">
        <v>216</v>
      </c>
      <c r="Q139" s="62" t="n">
        <v>60</v>
      </c>
      <c r="R139" s="65" t="n">
        <f aca="false">IF(CA139=1,0,IFERROR(VLOOKUP(BY139,'Gebinde-Kategorie'!$A$5:$N$45,13,0)+0,0))</f>
        <v>6</v>
      </c>
      <c r="S139" s="66"/>
      <c r="T139" s="67"/>
      <c r="U139" s="67"/>
      <c r="V139" s="67"/>
      <c r="W139" s="60"/>
      <c r="X139" s="62"/>
      <c r="Y139" s="62"/>
      <c r="Z139" s="60" t="n">
        <v>2</v>
      </c>
      <c r="AA139" s="60" t="n">
        <f aca="false">IF(A139="","",IF(AND(Parameter!$B$21="Ja",ISNUMBER(W139)),W139,IF(AND(Parameter!$E$27="Ja",ISNUMBER(Z139),CD139&lt;&gt;"Nein"),Z139,IF(CD139="2+3",IF(ISNUMBER(SEARCH("grosser Artikel",BV139)),2,IFERROR(VLOOKUP(BY139,Parameter!$F$35:$G$64,2,0),2)),IF(OR(CD139="Nein",CD139=""),"-",CD139)))))</f>
        <v>2</v>
      </c>
      <c r="AB139" s="67"/>
      <c r="AC139" s="68"/>
      <c r="AD139" s="62" t="n">
        <f aca="false">AW139</f>
        <v>102</v>
      </c>
      <c r="AE139" s="62" t="n">
        <f aca="false">MAX(AW139,H139)</f>
        <v>102</v>
      </c>
      <c r="AF139" s="69"/>
      <c r="AG139" s="62" t="n">
        <f aca="false">IF(LEFT(Cockpit!$C$5,1)="A",H139,IF(Parameter!$E$30="MAX-Bestand",IF(CI139=1,CJ139,IF(LEFT(Cockpit!$C$5,1)="B",AM139,MAX(AM139,H139))),ROUNDUP(AK139,0)))</f>
        <v>31</v>
      </c>
      <c r="AH139" s="62" t="n">
        <f aca="false">IF(CA139=1,0,ROUNDUP(AG139/BZ139,0))</f>
        <v>1</v>
      </c>
      <c r="AI139" s="64" t="n">
        <f aca="false">IF(CR139&gt;0,CR139*MAX(1,AG139/X139),IF(CA139=1,IF(AG139&lt;=0,0,CE139*MAX(1,IF(H139&gt;0,AG139/H139,1))),IF(R139&gt;0,AH139/R139,0))/MAX(0.1,N(Parameter!$M$21)))</f>
        <v>0.166666666666667</v>
      </c>
      <c r="AJ139" s="62" t="n">
        <f aca="false">AI139*CC139</f>
        <v>39.1666666666667</v>
      </c>
      <c r="AK139" s="63" t="n">
        <f aca="false">IF(LEFT(Cockpit!$C$5,1)="A",H139,IF(CI139=1,(CL139+CJ139)/2,IF(LEFT(Cockpit!$C$5,1)="B",(CL139+AM139)/2,MAX((CL139+AM139)/2,H139))))</f>
        <v>31</v>
      </c>
      <c r="AL139" s="62" t="n">
        <f aca="false">AK139*G139</f>
        <v>3615.84</v>
      </c>
      <c r="AM139" s="62" t="n">
        <f aca="false">ROUNDUP(CL139+MAX(CM139,2*(J139/IF(CH139&gt;0,CH139,MAX(0.1,N(Cockpit!$C$6)))-CL139)),0)</f>
        <v>102</v>
      </c>
      <c r="AN139" s="63" t="n">
        <f aca="false">IF(AJ139&gt;0,J139/AJ139,-1)</f>
        <v>4.00851063829787</v>
      </c>
      <c r="AO139" s="63" t="n">
        <f aca="false">IF(AND(OR(CG139="L1",CG139="L23",CG139="LIFT"),AJ139&gt;0),SUMIFS($AJ$7:$AJ$1843,$CG$7:$CG$1843,CG139,$AN$7:$AN$1843,"&gt;"&amp;AN139)+SUMIFS($AJ$7:$AJ$1843,$CG$7:$CG$1843,CG139,$AN$7:$AN$1843,AN139,$BX$7:$BX$1843,"&lt;="&amp;BX139),"")</f>
        <v>4429.15384615385</v>
      </c>
      <c r="AP139" s="70" t="n">
        <f aca="false">IF(AO139="",0,MAX(0,MIN(1,(IF(CG139="L1",Parameter!$H$5,IF(CG139="L23",Parameter!$H$6+Parameter!$H$7,Parameter!$H$5+Parameter!$H$6+Parameter!$H$7))-(AO139-AJ139))/AJ139)))</f>
        <v>1</v>
      </c>
      <c r="AQ139" s="62" t="n">
        <f aca="false">IF(LEFT(Cockpit!$I$5,1)="A",H139,IF(Parameter!$E$30="MAX-Bestand",IF(CI139=1,CJ139,IF(LEFT(Cockpit!$I$5,1)="B",AW139,MAX(AW139,H139))),ROUNDUP(AU139,0)))</f>
        <v>53</v>
      </c>
      <c r="AR139" s="62" t="n">
        <f aca="false">IF(CA139=1,0,ROUNDUP(AQ139/BZ139,0))</f>
        <v>1</v>
      </c>
      <c r="AS139" s="64" t="n">
        <f aca="false">IF(CR139&gt;0,CR139*MAX(1,AQ139/X139),IF(CA139=1,IF(AQ139&lt;=0,0,CE139*MAX(1,IF(H139&gt;0,AQ139/H139,1))),IF(R139&gt;0,AR139/R139,0))/MAX(0.1,N(Parameter!$M$21)))</f>
        <v>0.166666666666667</v>
      </c>
      <c r="AT139" s="62" t="n">
        <f aca="false">AS139*CC139</f>
        <v>39.1666666666667</v>
      </c>
      <c r="AU139" s="63" t="n">
        <f aca="false">IF(LEFT(Cockpit!$I$5,1)="A",H139,IF(CI139=1,(CL139+CJ139)/2,IF(LEFT(Cockpit!$I$5,1)="B",(CL139+AW139)/2,MAX((CL139+AW139)/2,H139))))</f>
        <v>52.5</v>
      </c>
      <c r="AV139" s="62" t="n">
        <f aca="false">AU139*G139</f>
        <v>6123.6</v>
      </c>
      <c r="AW139" s="62" t="n">
        <f aca="false">ROUNDUP(CL139+MAX(CM139,2*(J139/IF(CH139&gt;0,CH139,MAX(0.1,N(Cockpit!$I$6)))-CL139)),0)</f>
        <v>102</v>
      </c>
      <c r="AX139" s="63" t="n">
        <f aca="false">IF(AT139&gt;0,J139/AT139,-1)</f>
        <v>4.00851063829787</v>
      </c>
      <c r="AY139" s="63" t="n">
        <f aca="false">IF(AND(OR(CG139="L1",CG139="L23",CG139="LIFT"),AT139&gt;0),SUMIFS($AT$7:$AT$1843,$CG$7:$CG$1843,CG139,$AX$7:$AX$1843,"&gt;"&amp;AX139)+SUMIFS($AT$7:$AT$1843,$CG$7:$CG$1843,CG139,$AX$7:$AX$1843,AX139,$BX$7:$BX$1843,"&lt;="&amp;BX139),"")</f>
        <v>5020.26648351648</v>
      </c>
      <c r="AZ139" s="70" t="n">
        <f aca="false">IF(AY139="",0,MAX(0,MIN(1,(IF(CG139="L1",Parameter!$H$5,IF(CG139="L23",Parameter!$H$6+Parameter!$H$7,Parameter!$H$5+Parameter!$H$6+Parameter!$H$7))-(AY139-AT139))/AT139)))</f>
        <v>1</v>
      </c>
      <c r="BA139" s="62" t="n">
        <f aca="false">IF(LEFT(Cockpit!$O$5,1)="A",H139,IF(Parameter!$E$30="MAX-Bestand",IF(CI139=1,CJ139,IF(LEFT(Cockpit!$O$5,1)="B",BG139,MAX(BG139,H139))),ROUNDUP(BE139,0)))</f>
        <v>40</v>
      </c>
      <c r="BB139" s="62" t="n">
        <f aca="false">IF(CA139=1,0,ROUNDUP(BA139/BZ139,0))</f>
        <v>1</v>
      </c>
      <c r="BC139" s="64" t="n">
        <f aca="false">IF(CR139&gt;0,CR139*MAX(1,BA139/X139),IF(CA139=1,IF(BA139&lt;=0,0,CE139*MAX(1,IF(H139&gt;0,BA139/H139,1))),IF(R139&gt;0,BB139/R139,0))/MAX(0.1,N(Parameter!$M$21)))</f>
        <v>0.166666666666667</v>
      </c>
      <c r="BD139" s="62" t="n">
        <f aca="false">BC139*CC139</f>
        <v>39.1666666666667</v>
      </c>
      <c r="BE139" s="63" t="n">
        <f aca="false">IF(LEFT(Cockpit!$O$5,1)="A",H139,IF(CI139=1,(CL139+CJ139)/2,IF(LEFT(Cockpit!$O$5,1)="B",(CL139+BG139)/2,MAX((CL139+BG139)/2,H139))))</f>
        <v>39.5</v>
      </c>
      <c r="BF139" s="62" t="n">
        <f aca="false">BE139*G139</f>
        <v>4607.28</v>
      </c>
      <c r="BG139" s="62" t="n">
        <f aca="false">ROUNDUP(CL139+MAX(CM139,2*(J139/IF(CH139&gt;0,CH139,MAX(0.1,N(Cockpit!$O$6)))-CL139)),0)</f>
        <v>76</v>
      </c>
      <c r="BH139" s="63" t="n">
        <f aca="false">IF(BD139&gt;0,J139/BD139,-1)</f>
        <v>4.00851063829787</v>
      </c>
      <c r="BI139" s="63" t="n">
        <f aca="false">IF(AND(OR(CG139="L1",CG139="L23",CG139="LIFT"),BD139&gt;0),SUMIFS($BD$7:$BD$1843,$CG$7:$CG$1843,CG139,$BH$7:$BH$1843,"&gt;"&amp;BH139)+SUMIFS($BD$7:$BD$1843,$CG$7:$CG$1843,CG139,$BH$7:$BH$1843,BH139,$BX$7:$BX$1843,"&lt;="&amp;BX139),"")</f>
        <v>4137.836996337</v>
      </c>
      <c r="BJ139" s="70" t="n">
        <f aca="false">IF(BI139="",0,MAX(0,MIN(1,(IF(CG139="L1",Parameter!$H$5,IF(CG139="L23",Parameter!$H$6+Parameter!$H$7,Parameter!$H$5+Parameter!$H$6+Parameter!$H$7))-(BI139-BD139))/BD139)))</f>
        <v>1</v>
      </c>
      <c r="BK139" s="60" t="str">
        <f aca="false">IF(AJ139&lt;=0,"",IF(CG139="Aussen","Aussenlager",IF(CG139="-","Nicht im Lift",IF(AP139&gt;=1,"Lift",IF(AP139&lt;=0,"Aussenlager","teilweise")))))</f>
        <v>Lift</v>
      </c>
      <c r="BL139" s="60" t="str">
        <f aca="false">IF(AT139&lt;=0,"",IF(CG139="Aussen","Aussenlager",IF(CG139="-","Nicht im Lift",IF(AZ139&gt;=1,"Lift",IF(AZ139&lt;=0,"Aussenlager","teilweise")))))</f>
        <v>Lift</v>
      </c>
      <c r="BM139" s="60" t="str">
        <f aca="false">IF(BD139&lt;=0,"",IF(CG139="Aussen","Aussenlager",IF(CG139="-","Nicht im Lift",IF(BJ139&gt;=1,"Lift",IF(BJ139&lt;=0,"Aussenlager","teilweise")))))</f>
        <v>Lift</v>
      </c>
      <c r="BN139" s="60" t="str">
        <f aca="false">IF(A139="","",IF(BW139=1,"Neu; ","")&amp;IF(AND(BW139=0,BR139&lt;0),"negativer Bestand (Export "&amp;BR139&amp;"); ","")&amp;IF(J139&lt;=0,"Kein Verbrauch; ","")&amp;IF(CR139&gt;0,"Lift "&amp;W139&amp;" lt. Liftbericht (Fach "&amp;X139&amp;" Stk); ",IF(CB139=1,"Gebinde geschätzt ("&amp;T139&amp;"); ",IF(CA139=1,"Lose – Tablare geschätzt; ","")))&amp;IF(H139&gt;AW139,"Überbestand "&amp;ROUND(H139-AW139,0)&amp;" Stk / CHF "&amp;ROUND((H139-AW139)*G139,0)&amp;"; ","")&amp;IF(AND(CI139=1,CJ139&lt;CK139),"MAX &lt; MB+LG; ","")&amp;IF(AND(CQ139&gt;0,CP139*10&gt;CQ139),"zu hoch für Tablar; ","")&amp;IF(AND(BW139=0,OR(CI139=1,AB139&lt;&gt;"",U139&lt;&gt;"",V139&lt;&gt;"",AC139&lt;&gt;"")),"manuell übersteuert; ","")&amp;IF(AND(CA139=0,R139=0),"Gebinde unbekannt / Stellmass fehlt; ","")&amp;IF(AND(CA139=0,N(V139)&lt;=0,N(Q139)&lt;=0),"Menge pro Gebinde fehlt (Ist = 1 Gebinde); ","")&amp;BV139)</f>
        <v/>
      </c>
      <c r="BO139" s="60"/>
      <c r="BP139" s="60"/>
      <c r="BQ139" s="67"/>
      <c r="BR139" s="62" t="n">
        <v>13</v>
      </c>
      <c r="BS139" s="62" t="n">
        <v>18</v>
      </c>
      <c r="BT139" s="61" t="n">
        <v>1547.82</v>
      </c>
      <c r="BU139" s="62" t="n">
        <v>157</v>
      </c>
      <c r="BV139" s="60"/>
      <c r="BW139" s="65" t="n">
        <v>0</v>
      </c>
      <c r="BX139" s="65" t="n">
        <v>139</v>
      </c>
      <c r="BY139" s="60" t="str">
        <f aca="false">IF(U139&lt;&gt;"",UPPER(TRIM(U139)),IF(CB139=1,UPPER(VLOOKUP(T139,Parameter!$I$27:$K$29,2,0)),IF(P139="","LOSE",P139)))</f>
        <v>S71</v>
      </c>
      <c r="BZ139" s="62" t="n">
        <f aca="false">IF(BY139="LOSE",1,IF(N(V139)&gt;0,V139,IF(CB139=1,MAX(1,N(VLOOKUP(T139,Parameter!$I$27:$K$29,3,0)),H139,N(N139)),IF(N(Q139)&gt;0,Q139,MAX(1,H139)))))</f>
        <v>60</v>
      </c>
      <c r="CA139" s="65" t="n">
        <f aca="false">IF(BY139="LOSE",1,0)</f>
        <v>0</v>
      </c>
      <c r="CB139" s="65" t="n">
        <f aca="false">IF(AND(U139="",OR(P139="",P139="LOSE"),T139&lt;&gt;"",N(S139)&lt;=0,ISNUMBER(MATCH(T139,Parameter!$I$27:$I$29,0))),1,0)</f>
        <v>0</v>
      </c>
      <c r="CC139" s="65" t="n">
        <f aca="false">IF(CR139&gt;0,INDEX(Parameter!$H$5:$H$7,W139)/INDEX(Parameter!$E$5:$E$7,W139),IF(AND(CA139=0,N(IFERROR(VLOOKUP(BY139,'Gebinde-Kategorie'!$A$5:$N$45,14,0),0))&gt;0),VLOOKUP(BY139,'Gebinde-Kategorie'!$A$5:$N$45,14,0)*10+Parameter!$M$23,Parameter!$M$24))</f>
        <v>235</v>
      </c>
      <c r="CD139" s="60" t="str">
        <f aca="false">IF(AND(Parameter!$B$19="Ja",E139&lt;&gt;"",ISNUMBER(MATCH(E139,Parameter!$I$35:$I$52,0))),VLOOKUP(E139,Parameter!$I$35:$J$52,2,0),IFERROR(VLOOKUP(D139,Parameter!$A$35:$C$64,2,0),"Nein"))</f>
        <v>2+3</v>
      </c>
      <c r="CE139" s="64" t="n">
        <f aca="false">IF(CA139=0,0,IF(N(S139)&gt;0,S139,IFERROR(VLOOKUP(D139,Parameter!$A$35:$C$64,3,0)+0,0)))</f>
        <v>0</v>
      </c>
      <c r="CF139" s="60" t="n">
        <f aca="false">IF(AB139&lt;&gt;"",AB139,AA139)</f>
        <v>2</v>
      </c>
      <c r="CG139" s="60" t="str">
        <f aca="false">IF(OR(CF139=1,CF139=2,CF139=3),IF(Parameter!$E$27="Ja","LIFT",IF(CF139=1,"L1","L23")),IF(CF139="Aussen","Aussen","-"))</f>
        <v>LIFT</v>
      </c>
      <c r="CH139" s="71" t="n">
        <f aca="false">IF(N(AC139)&gt;0,AC139,0)</f>
        <v>0</v>
      </c>
      <c r="CI139" s="65" t="n">
        <f aca="false">IF(ISNUMBER(AF139),1,0)</f>
        <v>0</v>
      </c>
      <c r="CJ139" s="62" t="n">
        <f aca="false">N(AF139)</f>
        <v>0</v>
      </c>
      <c r="CK139" s="62" t="n">
        <f aca="false">N(M139)+N(N139)</f>
        <v>28</v>
      </c>
      <c r="CL139" s="62" t="n">
        <f aca="false">N(M139)</f>
        <v>3</v>
      </c>
      <c r="CM139" s="62" t="n">
        <f aca="false">N(N139)</f>
        <v>25</v>
      </c>
      <c r="CN139" s="62" t="n">
        <f aca="false">ROUNDUP(H139/BZ139,0)</f>
        <v>1</v>
      </c>
      <c r="CO139" s="62" t="n">
        <f aca="false">ROUNDUP(CJ139/BZ139,0)</f>
        <v>0</v>
      </c>
      <c r="CP139" s="65" t="n">
        <f aca="false">IF(CA139=1,0,IFERROR(VLOOKUP(BY139,'Gebinde-Kategorie'!$A$5:$N$45,5,0)+0,0))</f>
        <v>20</v>
      </c>
      <c r="CQ139" s="65" t="n">
        <f aca="false">IFERROR(IF(OR(CF139=1,CF139=2,CF139=3),N(INDEX(Parameter!$I$5:$I$7,CF139)),0),0)</f>
        <v>0</v>
      </c>
      <c r="CR139" s="64" t="n">
        <f aca="false">IF(AND(Parameter!$B$21="Ja",ISNUMBER(W139),N(X139)&gt;0),IFERROR(N(INDEX(Parameter!$L$5:$L$7,W139))*INDEX(Parameter!$E$5:$E$7,W139)*X139/SUMIFS($X$7:$X$1843,$W$7:$W$1843,W139),0),0)</f>
        <v>0</v>
      </c>
      <c r="CS139" s="62" t="n">
        <f aca="false">IF(AND(OR(CG139="L1",CG139="L23",CG139="LIFT"),H139&gt;0),CC139*IF(CR139&gt;0,CR139*MAX(1,H139/X139),IF(CA139=1,CE139,IF(R139&gt;0,CN139/R139,0))/MAX(0.1,N(Parameter!$M$21))),"")</f>
        <v>39.1666666666667</v>
      </c>
      <c r="CT139" s="64" t="n">
        <f aca="false">IF(CS139="","",J139/H139)</f>
        <v>5.06451612903226</v>
      </c>
      <c r="CU139" s="62" t="n">
        <f aca="false">IF(CS139="","",H139*G139)</f>
        <v>3615.84</v>
      </c>
      <c r="CV139" s="63" t="n">
        <f aca="false">IF(CS139="","",(CL139+ROUNDUP(CL139+MAX(CM139,2*(J139/MAX(0.1,N(Einkauf!$C$6))-CL139)),0))/2)</f>
        <v>39.5</v>
      </c>
      <c r="CW139" s="62" t="n">
        <f aca="false">IF(CS139="","",MAX(0,H139-CV139)*G139)</f>
        <v>0</v>
      </c>
      <c r="CX139" s="62" t="n">
        <f aca="false">IF(CS139="","",CS139*MAX(0,1-CV139/H139))</f>
        <v>0</v>
      </c>
      <c r="CY139" s="64" t="n">
        <f aca="false">IF(CS139="","",PERCENTRANK($CS$7:$CS$1843,CS139)+PERCENTRANK($CU$7:$CU$1843,CU139)+1-PERCENTRANK($CT$7:$CT$1843,CT139))</f>
        <v>1.759</v>
      </c>
      <c r="CZ139" s="72" t="n">
        <f aca="false">IF(CS139="","",CHOOSE(MATCH(Einkauf!$C$5,Parameter!$G$23:$G$27,0),CY139,CS139,CU139,-CT139,CW139)+ROW()/1000000000)</f>
        <v>1.759000139</v>
      </c>
    </row>
    <row r="140" customFormat="false" ht="15" hidden="false" customHeight="false" outlineLevel="0" collapsed="false">
      <c r="A140" s="60" t="s">
        <v>528</v>
      </c>
      <c r="B140" s="60" t="s">
        <v>529</v>
      </c>
      <c r="C140" s="60" t="s">
        <v>206</v>
      </c>
      <c r="D140" s="60" t="s">
        <v>226</v>
      </c>
      <c r="E140" s="60" t="s">
        <v>227</v>
      </c>
      <c r="F140" s="60" t="s">
        <v>260</v>
      </c>
      <c r="G140" s="61" t="n">
        <v>371.25</v>
      </c>
      <c r="H140" s="62" t="n">
        <f aca="false">MAX(0,IF(AND(Parameter!$B$21="Ja",ISNUMBER(Y140)),Y140,IF(Parameter!$B$20="Jahresanfang 2025 + Export",BS140+BR140,BR140)))</f>
        <v>5</v>
      </c>
      <c r="I140" s="62" t="n">
        <f aca="false">H140*G140</f>
        <v>1856.25</v>
      </c>
      <c r="J140" s="62" t="n">
        <f aca="false">BU140*Parameter!$B$18</f>
        <v>0</v>
      </c>
      <c r="K140" s="63" t="n">
        <v>3</v>
      </c>
      <c r="L140" s="64" t="n">
        <v>0</v>
      </c>
      <c r="M140" s="62" t="n">
        <v>0</v>
      </c>
      <c r="N140" s="62" t="n">
        <v>1</v>
      </c>
      <c r="O140" s="65" t="n">
        <v>21</v>
      </c>
      <c r="P140" s="60" t="s">
        <v>370</v>
      </c>
      <c r="Q140" s="62" t="n">
        <v>1</v>
      </c>
      <c r="R140" s="65" t="n">
        <f aca="false">IF(CA140=1,0,IFERROR(VLOOKUP(BY140,'Gebinde-Kategorie'!$A$5:$N$45,13,0)+0,0))</f>
        <v>52</v>
      </c>
      <c r="S140" s="66"/>
      <c r="T140" s="67"/>
      <c r="U140" s="67"/>
      <c r="V140" s="67"/>
      <c r="W140" s="60"/>
      <c r="X140" s="62"/>
      <c r="Y140" s="62"/>
      <c r="Z140" s="60" t="n">
        <v>3</v>
      </c>
      <c r="AA140" s="60" t="n">
        <f aca="false">IF(A140="","",IF(AND(Parameter!$B$21="Ja",ISNUMBER(W140)),W140,IF(AND(Parameter!$E$27="Ja",ISNUMBER(Z140),CD140&lt;&gt;"Nein"),Z140,IF(CD140="2+3",IF(ISNUMBER(SEARCH("grosser Artikel",BV140)),2,IFERROR(VLOOKUP(BY140,Parameter!$F$35:$G$64,2,0),2)),IF(OR(CD140="Nein",CD140=""),"-",CD140)))))</f>
        <v>3</v>
      </c>
      <c r="AB140" s="67"/>
      <c r="AC140" s="68"/>
      <c r="AD140" s="62" t="n">
        <f aca="false">AW140</f>
        <v>1</v>
      </c>
      <c r="AE140" s="62" t="n">
        <f aca="false">MAX(AW140,H140)</f>
        <v>5</v>
      </c>
      <c r="AF140" s="69"/>
      <c r="AG140" s="62" t="n">
        <f aca="false">IF(LEFT(Cockpit!$C$5,1)="A",H140,IF(Parameter!$E$30="MAX-Bestand",IF(CI140=1,CJ140,IF(LEFT(Cockpit!$C$5,1)="B",AM140,MAX(AM140,H140))),ROUNDUP(AK140,0)))</f>
        <v>5</v>
      </c>
      <c r="AH140" s="62" t="n">
        <f aca="false">IF(CA140=1,0,ROUNDUP(AG140/BZ140,0))</f>
        <v>5</v>
      </c>
      <c r="AI140" s="64" t="n">
        <f aca="false">IF(CR140&gt;0,CR140*MAX(1,AG140/X140),IF(CA140=1,IF(AG140&lt;=0,0,CE140*MAX(1,IF(H140&gt;0,AG140/H140,1))),IF(R140&gt;0,AH140/R140,0))/MAX(0.1,N(Parameter!$M$21)))</f>
        <v>0.0961538461538462</v>
      </c>
      <c r="AJ140" s="62" t="n">
        <f aca="false">AI140*CC140</f>
        <v>14.9038461538462</v>
      </c>
      <c r="AK140" s="63" t="n">
        <f aca="false">IF(LEFT(Cockpit!$C$5,1)="A",H140,IF(CI140=1,(CL140+CJ140)/2,IF(LEFT(Cockpit!$C$5,1)="B",(CL140+AM140)/2,MAX((CL140+AM140)/2,H140))))</f>
        <v>5</v>
      </c>
      <c r="AL140" s="62" t="n">
        <f aca="false">AK140*G140</f>
        <v>1856.25</v>
      </c>
      <c r="AM140" s="62" t="n">
        <f aca="false">ROUNDUP(CL140+MAX(CM140,2*(J140/IF(CH140&gt;0,CH140,MAX(0.1,N(Cockpit!$C$6)))-CL140)),0)</f>
        <v>1</v>
      </c>
      <c r="AN140" s="63" t="n">
        <f aca="false">IF(AJ140&gt;0,J140/AJ140,-1)</f>
        <v>0</v>
      </c>
      <c r="AO140" s="63" t="n">
        <f aca="false">IF(AND(OR(CG140="L1",CG140="L23",CG140="LIFT"),AJ140&gt;0),SUMIFS($AJ$7:$AJ$1843,$CG$7:$CG$1843,CG140,$AN$7:$AN$1843,"&gt;"&amp;AN140)+SUMIFS($AJ$7:$AJ$1843,$CG$7:$CG$1843,CG140,$AN$7:$AN$1843,AN140,$BX$7:$BX$1843,"&lt;="&amp;BX140),"")</f>
        <v>27214.3536479998</v>
      </c>
      <c r="AP140" s="70" t="n">
        <f aca="false">IF(AO140="",0,MAX(0,MIN(1,(IF(CG140="L1",Parameter!$H$5,IF(CG140="L23",Parameter!$H$6+Parameter!$H$7,Parameter!$H$5+Parameter!$H$6+Parameter!$H$7))-(AO140-AJ140))/AJ140)))</f>
        <v>1</v>
      </c>
      <c r="AQ140" s="62" t="n">
        <f aca="false">IF(LEFT(Cockpit!$I$5,1)="A",H140,IF(Parameter!$E$30="MAX-Bestand",IF(CI140=1,CJ140,IF(LEFT(Cockpit!$I$5,1)="B",AW140,MAX(AW140,H140))),ROUNDUP(AU140,0)))</f>
        <v>5</v>
      </c>
      <c r="AR140" s="62" t="n">
        <f aca="false">IF(CA140=1,0,ROUNDUP(AQ140/BZ140,0))</f>
        <v>5</v>
      </c>
      <c r="AS140" s="64" t="n">
        <f aca="false">IF(CR140&gt;0,CR140*MAX(1,AQ140/X140),IF(CA140=1,IF(AQ140&lt;=0,0,CE140*MAX(1,IF(H140&gt;0,AQ140/H140,1))),IF(R140&gt;0,AR140/R140,0))/MAX(0.1,N(Parameter!$M$21)))</f>
        <v>0.0961538461538462</v>
      </c>
      <c r="AT140" s="62" t="n">
        <f aca="false">AS140*CC140</f>
        <v>14.9038461538462</v>
      </c>
      <c r="AU140" s="63" t="n">
        <f aca="false">IF(LEFT(Cockpit!$I$5,1)="A",H140,IF(CI140=1,(CL140+CJ140)/2,IF(LEFT(Cockpit!$I$5,1)="B",(CL140+AW140)/2,MAX((CL140+AW140)/2,H140))))</f>
        <v>5</v>
      </c>
      <c r="AV140" s="62" t="n">
        <f aca="false">AU140*G140</f>
        <v>1856.25</v>
      </c>
      <c r="AW140" s="62" t="n">
        <f aca="false">ROUNDUP(CL140+MAX(CM140,2*(J140/IF(CH140&gt;0,CH140,MAX(0.1,N(Cockpit!$I$6)))-CL140)),0)</f>
        <v>1</v>
      </c>
      <c r="AX140" s="63" t="n">
        <f aca="false">IF(AT140&gt;0,J140/AT140,-1)</f>
        <v>0</v>
      </c>
      <c r="AY140" s="63" t="n">
        <f aca="false">IF(AND(OR(CG140="L1",CG140="L23",CG140="LIFT"),AT140&gt;0),SUMIFS($AT$7:$AT$1843,$CG$7:$CG$1843,CG140,$AX$7:$AX$1843,"&gt;"&amp;AX140)+SUMIFS($AT$7:$AT$1843,$CG$7:$CG$1843,CG140,$AX$7:$AX$1843,AX140,$BX$7:$BX$1843,"&lt;="&amp;BX140),"")</f>
        <v>32567.5022893773</v>
      </c>
      <c r="AZ140" s="70" t="n">
        <f aca="false">IF(AY140="",0,MAX(0,MIN(1,(IF(CG140="L1",Parameter!$H$5,IF(CG140="L23",Parameter!$H$6+Parameter!$H$7,Parameter!$H$5+Parameter!$H$6+Parameter!$H$7))-(AY140-AT140))/AT140)))</f>
        <v>1</v>
      </c>
      <c r="BA140" s="62" t="n">
        <f aca="false">IF(LEFT(Cockpit!$O$5,1)="A",H140,IF(Parameter!$E$30="MAX-Bestand",IF(CI140=1,CJ140,IF(LEFT(Cockpit!$O$5,1)="B",BG140,MAX(BG140,H140))),ROUNDUP(BE140,0)))</f>
        <v>1</v>
      </c>
      <c r="BB140" s="62" t="n">
        <f aca="false">IF(CA140=1,0,ROUNDUP(BA140/BZ140,0))</f>
        <v>1</v>
      </c>
      <c r="BC140" s="64" t="n">
        <f aca="false">IF(CR140&gt;0,CR140*MAX(1,BA140/X140),IF(CA140=1,IF(BA140&lt;=0,0,CE140*MAX(1,IF(H140&gt;0,BA140/H140,1))),IF(R140&gt;0,BB140/R140,0))/MAX(0.1,N(Parameter!$M$21)))</f>
        <v>0.0192307692307692</v>
      </c>
      <c r="BD140" s="62" t="n">
        <f aca="false">BC140*CC140</f>
        <v>2.98076923076923</v>
      </c>
      <c r="BE140" s="63" t="n">
        <f aca="false">IF(LEFT(Cockpit!$O$5,1)="A",H140,IF(CI140=1,(CL140+CJ140)/2,IF(LEFT(Cockpit!$O$5,1)="B",(CL140+BG140)/2,MAX((CL140+BG140)/2,H140))))</f>
        <v>0.5</v>
      </c>
      <c r="BF140" s="62" t="n">
        <f aca="false">BE140*G140</f>
        <v>185.625</v>
      </c>
      <c r="BG140" s="62" t="n">
        <f aca="false">ROUNDUP(CL140+MAX(CM140,2*(J140/IF(CH140&gt;0,CH140,MAX(0.1,N(Cockpit!$O$6)))-CL140)),0)</f>
        <v>1</v>
      </c>
      <c r="BH140" s="63" t="n">
        <f aca="false">IF(BD140&gt;0,J140/BD140,-1)</f>
        <v>0</v>
      </c>
      <c r="BI140" s="63" t="n">
        <f aca="false">IF(AND(OR(CG140="L1",CG140="L23",CG140="LIFT"),BD140&gt;0),SUMIFS($BD$7:$BD$1843,$CG$7:$CG$1843,CG140,$BH$7:$BH$1843,"&gt;"&amp;BH140)+SUMIFS($BD$7:$BD$1843,$CG$7:$CG$1843,CG140,$BH$7:$BH$1843,BH140,$BX$7:$BX$1843,"&lt;="&amp;BX140),"")</f>
        <v>26731.7443890855</v>
      </c>
      <c r="BJ140" s="70" t="n">
        <f aca="false">IF(BI140="",0,MAX(0,MIN(1,(IF(CG140="L1",Parameter!$H$5,IF(CG140="L23",Parameter!$H$6+Parameter!$H$7,Parameter!$H$5+Parameter!$H$6+Parameter!$H$7))-(BI140-BD140))/BD140)))</f>
        <v>1</v>
      </c>
      <c r="BK140" s="60" t="str">
        <f aca="false">IF(AJ140&lt;=0,"",IF(CG140="Aussen","Aussenlager",IF(CG140="-","Nicht im Lift",IF(AP140&gt;=1,"Lift",IF(AP140&lt;=0,"Aussenlager","teilweise")))))</f>
        <v>Lift</v>
      </c>
      <c r="BL140" s="60" t="str">
        <f aca="false">IF(AT140&lt;=0,"",IF(CG140="Aussen","Aussenlager",IF(CG140="-","Nicht im Lift",IF(AZ140&gt;=1,"Lift",IF(AZ140&lt;=0,"Aussenlager","teilweise")))))</f>
        <v>Lift</v>
      </c>
      <c r="BM140" s="60" t="str">
        <f aca="false">IF(BD140&lt;=0,"",IF(CG140="Aussen","Aussenlager",IF(CG140="-","Nicht im Lift",IF(BJ140&gt;=1,"Lift",IF(BJ140&lt;=0,"Aussenlager","teilweise")))))</f>
        <v>Lift</v>
      </c>
      <c r="BN140" s="60" t="str">
        <f aca="false">IF(A140="","",IF(BW140=1,"Neu; ","")&amp;IF(AND(BW140=0,BR140&lt;0),"negativer Bestand (Export "&amp;BR140&amp;"); ","")&amp;IF(J140&lt;=0,"Kein Verbrauch; ","")&amp;IF(CR140&gt;0,"Lift "&amp;W140&amp;" lt. Liftbericht (Fach "&amp;X140&amp;" Stk); ",IF(CB140=1,"Gebinde geschätzt ("&amp;T140&amp;"); ",IF(CA140=1,"Lose – Tablare geschätzt; ","")))&amp;IF(H140&gt;AW140,"Überbestand "&amp;ROUND(H140-AW140,0)&amp;" Stk / CHF "&amp;ROUND((H140-AW140)*G140,0)&amp;"; ","")&amp;IF(AND(CI140=1,CJ140&lt;CK140),"MAX &lt; MB+LG; ","")&amp;IF(AND(CQ140&gt;0,CP140*10&gt;CQ140),"zu hoch für Tablar; ","")&amp;IF(AND(BW140=0,OR(CI140=1,AB140&lt;&gt;"",U140&lt;&gt;"",V140&lt;&gt;"",AC140&lt;&gt;"")),"manuell übersteuert; ","")&amp;IF(AND(CA140=0,R140=0),"Gebinde unbekannt / Stellmass fehlt; ","")&amp;IF(AND(CA140=0,N(V140)&lt;=0,N(Q140)&lt;=0),"Menge pro Gebinde fehlt (Ist = 1 Gebinde); ","")&amp;BV140)</f>
        <v>Kein Verbrauch; Überbestand 4 Stk / CHF 1485; </v>
      </c>
      <c r="BO140" s="60"/>
      <c r="BP140" s="60"/>
      <c r="BQ140" s="67"/>
      <c r="BR140" s="62" t="n">
        <v>4</v>
      </c>
      <c r="BS140" s="62" t="n">
        <v>1</v>
      </c>
      <c r="BT140" s="61" t="n">
        <v>1487.25</v>
      </c>
      <c r="BU140" s="62" t="n">
        <v>0</v>
      </c>
      <c r="BV140" s="60"/>
      <c r="BW140" s="65" t="n">
        <v>0</v>
      </c>
      <c r="BX140" s="65" t="n">
        <v>140</v>
      </c>
      <c r="BY140" s="60" t="str">
        <f aca="false">IF(U140&lt;&gt;"",UPPER(TRIM(U140)),IF(CB140=1,UPPER(VLOOKUP(T140,Parameter!$I$27:$K$29,2,0)),IF(P140="","LOSE",P140)))</f>
        <v>S41</v>
      </c>
      <c r="BZ140" s="62" t="n">
        <f aca="false">IF(BY140="LOSE",1,IF(N(V140)&gt;0,V140,IF(CB140=1,MAX(1,N(VLOOKUP(T140,Parameter!$I$27:$K$29,3,0)),H140,N(N140)),IF(N(Q140)&gt;0,Q140,MAX(1,H140)))))</f>
        <v>1</v>
      </c>
      <c r="CA140" s="65" t="n">
        <f aca="false">IF(BY140="LOSE",1,0)</f>
        <v>0</v>
      </c>
      <c r="CB140" s="65" t="n">
        <f aca="false">IF(AND(U140="",OR(P140="",P140="LOSE"),T140&lt;&gt;"",N(S140)&lt;=0,ISNUMBER(MATCH(T140,Parameter!$I$27:$I$29,0))),1,0)</f>
        <v>0</v>
      </c>
      <c r="CC140" s="65" t="n">
        <f aca="false">IF(CR140&gt;0,INDEX(Parameter!$H$5:$H$7,W140)/INDEX(Parameter!$E$5:$E$7,W140),IF(AND(CA140=0,N(IFERROR(VLOOKUP(BY140,'Gebinde-Kategorie'!$A$5:$N$45,14,0),0))&gt;0),VLOOKUP(BY140,'Gebinde-Kategorie'!$A$5:$N$45,14,0)*10+Parameter!$M$23,Parameter!$M$24))</f>
        <v>155</v>
      </c>
      <c r="CD140" s="60" t="str">
        <f aca="false">IF(AND(Parameter!$B$19="Ja",E140&lt;&gt;"",ISNUMBER(MATCH(E140,Parameter!$I$35:$I$52,0))),VLOOKUP(E140,Parameter!$I$35:$J$52,2,0),IFERROR(VLOOKUP(D140,Parameter!$A$35:$C$64,2,0),"Nein"))</f>
        <v>2+3</v>
      </c>
      <c r="CE140" s="64" t="n">
        <f aca="false">IF(CA140=0,0,IF(N(S140)&gt;0,S140,IFERROR(VLOOKUP(D140,Parameter!$A$35:$C$64,3,0)+0,0)))</f>
        <v>0</v>
      </c>
      <c r="CF140" s="60" t="n">
        <f aca="false">IF(AB140&lt;&gt;"",AB140,AA140)</f>
        <v>3</v>
      </c>
      <c r="CG140" s="60" t="str">
        <f aca="false">IF(OR(CF140=1,CF140=2,CF140=3),IF(Parameter!$E$27="Ja","LIFT",IF(CF140=1,"L1","L23")),IF(CF140="Aussen","Aussen","-"))</f>
        <v>LIFT</v>
      </c>
      <c r="CH140" s="71" t="n">
        <f aca="false">IF(N(AC140)&gt;0,AC140,0)</f>
        <v>0</v>
      </c>
      <c r="CI140" s="65" t="n">
        <f aca="false">IF(ISNUMBER(AF140),1,0)</f>
        <v>0</v>
      </c>
      <c r="CJ140" s="62" t="n">
        <f aca="false">N(AF140)</f>
        <v>0</v>
      </c>
      <c r="CK140" s="62" t="n">
        <f aca="false">N(M140)+N(N140)</f>
        <v>1</v>
      </c>
      <c r="CL140" s="62" t="n">
        <f aca="false">N(M140)</f>
        <v>0</v>
      </c>
      <c r="CM140" s="62" t="n">
        <f aca="false">N(N140)</f>
        <v>1</v>
      </c>
      <c r="CN140" s="62" t="n">
        <f aca="false">ROUNDUP(H140/BZ140,0)</f>
        <v>5</v>
      </c>
      <c r="CO140" s="62" t="n">
        <f aca="false">ROUNDUP(CJ140/BZ140,0)</f>
        <v>0</v>
      </c>
      <c r="CP140" s="65" t="n">
        <f aca="false">IF(CA140=1,0,IFERROR(VLOOKUP(BY140,'Gebinde-Kategorie'!$A$5:$N$45,5,0)+0,0))</f>
        <v>11</v>
      </c>
      <c r="CQ140" s="65" t="n">
        <f aca="false">IFERROR(IF(OR(CF140=1,CF140=2,CF140=3),N(INDEX(Parameter!$I$5:$I$7,CF140)),0),0)</f>
        <v>0</v>
      </c>
      <c r="CR140" s="64" t="n">
        <f aca="false">IF(AND(Parameter!$B$21="Ja",ISNUMBER(W140),N(X140)&gt;0),IFERROR(N(INDEX(Parameter!$L$5:$L$7,W140))*INDEX(Parameter!$E$5:$E$7,W140)*X140/SUMIFS($X$7:$X$1843,$W$7:$W$1843,W140),0),0)</f>
        <v>0</v>
      </c>
      <c r="CS140" s="62" t="n">
        <f aca="false">IF(AND(OR(CG140="L1",CG140="L23",CG140="LIFT"),H140&gt;0),CC140*IF(CR140&gt;0,CR140*MAX(1,H140/X140),IF(CA140=1,CE140,IF(R140&gt;0,CN140/R140,0))/MAX(0.1,N(Parameter!$M$21))),"")</f>
        <v>14.9038461538462</v>
      </c>
      <c r="CT140" s="64" t="n">
        <f aca="false">IF(CS140="","",J140/H140)</f>
        <v>0</v>
      </c>
      <c r="CU140" s="62" t="n">
        <f aca="false">IF(CS140="","",H140*G140)</f>
        <v>1856.25</v>
      </c>
      <c r="CV140" s="63" t="n">
        <f aca="false">IF(CS140="","",(CL140+ROUNDUP(CL140+MAX(CM140,2*(J140/MAX(0.1,N(Einkauf!$C$6))-CL140)),0))/2)</f>
        <v>0.5</v>
      </c>
      <c r="CW140" s="62" t="n">
        <f aca="false">IF(CS140="","",MAX(0,H140-CV140)*G140)</f>
        <v>1670.625</v>
      </c>
      <c r="CX140" s="62" t="n">
        <f aca="false">IF(CS140="","",CS140*MAX(0,1-CV140/H140))</f>
        <v>13.4134615384615</v>
      </c>
      <c r="CY140" s="64" t="n">
        <f aca="false">IF(CS140="","",PERCENTRANK($CS$7:$CS$1843,CS140)+PERCENTRANK($CU$7:$CU$1843,CU140)+1-PERCENTRANK($CT$7:$CT$1843,CT140))</f>
        <v>2.511</v>
      </c>
      <c r="CZ140" s="72" t="n">
        <f aca="false">IF(CS140="","",CHOOSE(MATCH(Einkauf!$C$5,Parameter!$G$23:$G$27,0),CY140,CS140,CU140,-CT140,CW140)+ROW()/1000000000)</f>
        <v>2.51100014</v>
      </c>
    </row>
    <row r="141" customFormat="false" ht="15" hidden="false" customHeight="false" outlineLevel="0" collapsed="false">
      <c r="A141" s="60" t="s">
        <v>530</v>
      </c>
      <c r="B141" s="60" t="s">
        <v>531</v>
      </c>
      <c r="C141" s="60" t="s">
        <v>206</v>
      </c>
      <c r="D141" s="60" t="s">
        <v>226</v>
      </c>
      <c r="E141" s="60" t="s">
        <v>227</v>
      </c>
      <c r="F141" s="60" t="s">
        <v>260</v>
      </c>
      <c r="G141" s="61" t="n">
        <v>1.64</v>
      </c>
      <c r="H141" s="62" t="n">
        <f aca="false">MAX(0,IF(AND(Parameter!$B$21="Ja",ISNUMBER(Y141)),Y141,IF(Parameter!$B$20="Jahresanfang 2025 + Export",BS141+BR141,BR141)))</f>
        <v>1539</v>
      </c>
      <c r="I141" s="62" t="n">
        <f aca="false">H141*G141</f>
        <v>2523.96</v>
      </c>
      <c r="J141" s="62" t="n">
        <f aca="false">BU141*Parameter!$B$18</f>
        <v>4228</v>
      </c>
      <c r="K141" s="63" t="n">
        <v>1050.5</v>
      </c>
      <c r="L141" s="64" t="n">
        <v>4.02475011899096</v>
      </c>
      <c r="M141" s="62" t="n">
        <v>83</v>
      </c>
      <c r="N141" s="62" t="n">
        <v>2500</v>
      </c>
      <c r="O141" s="65" t="n">
        <v>7</v>
      </c>
      <c r="P141" s="60" t="s">
        <v>268</v>
      </c>
      <c r="Q141" s="62" t="n">
        <v>3358</v>
      </c>
      <c r="R141" s="65" t="n">
        <f aca="false">IF(CA141=1,0,IFERROR(VLOOKUP(BY141,'Gebinde-Kategorie'!$A$5:$N$45,13,0)+0,0))</f>
        <v>12</v>
      </c>
      <c r="S141" s="66"/>
      <c r="T141" s="67"/>
      <c r="U141" s="67"/>
      <c r="V141" s="67"/>
      <c r="W141" s="60"/>
      <c r="X141" s="62"/>
      <c r="Y141" s="62"/>
      <c r="Z141" s="60" t="n">
        <v>3</v>
      </c>
      <c r="AA141" s="60" t="n">
        <f aca="false">IF(A141="","",IF(AND(Parameter!$B$21="Ja",ISNUMBER(W141)),W141,IF(AND(Parameter!$E$27="Ja",ISNUMBER(Z141),CD141&lt;&gt;"Nein"),Z141,IF(CD141="2+3",IF(ISNUMBER(SEARCH("grosser Artikel",BV141)),2,IFERROR(VLOOKUP(BY141,Parameter!$F$35:$G$64,2,0),2)),IF(OR(CD141="Nein",CD141=""),"-",CD141)))))</f>
        <v>3</v>
      </c>
      <c r="AB141" s="67"/>
      <c r="AC141" s="68"/>
      <c r="AD141" s="62" t="n">
        <f aca="false">AW141</f>
        <v>2736</v>
      </c>
      <c r="AE141" s="62" t="n">
        <f aca="false">MAX(AW141,H141)</f>
        <v>2736</v>
      </c>
      <c r="AF141" s="69"/>
      <c r="AG141" s="62" t="n">
        <f aca="false">IF(LEFT(Cockpit!$C$5,1)="A",H141,IF(Parameter!$E$30="MAX-Bestand",IF(CI141=1,CJ141,IF(LEFT(Cockpit!$C$5,1)="B",AM141,MAX(AM141,H141))),ROUNDUP(AK141,0)))</f>
        <v>1539</v>
      </c>
      <c r="AH141" s="62" t="n">
        <f aca="false">IF(CA141=1,0,ROUNDUP(AG141/BZ141,0))</f>
        <v>1</v>
      </c>
      <c r="AI141" s="64" t="n">
        <f aca="false">IF(CR141&gt;0,CR141*MAX(1,AG141/X141),IF(CA141=1,IF(AG141&lt;=0,0,CE141*MAX(1,IF(H141&gt;0,AG141/H141,1))),IF(R141&gt;0,AH141/R141,0))/MAX(0.1,N(Parameter!$M$21)))</f>
        <v>0.0833333333333333</v>
      </c>
      <c r="AJ141" s="62" t="n">
        <f aca="false">AI141*CC141</f>
        <v>28.75</v>
      </c>
      <c r="AK141" s="63" t="n">
        <f aca="false">IF(LEFT(Cockpit!$C$5,1)="A",H141,IF(CI141=1,(CL141+CJ141)/2,IF(LEFT(Cockpit!$C$5,1)="B",(CL141+AM141)/2,MAX((CL141+AM141)/2,H141))))</f>
        <v>1539</v>
      </c>
      <c r="AL141" s="62" t="n">
        <f aca="false">AK141*G141</f>
        <v>2523.96</v>
      </c>
      <c r="AM141" s="62" t="n">
        <f aca="false">ROUNDUP(CL141+MAX(CM141,2*(J141/IF(CH141&gt;0,CH141,MAX(0.1,N(Cockpit!$C$6)))-CL141)),0)</f>
        <v>2736</v>
      </c>
      <c r="AN141" s="63" t="n">
        <f aca="false">IF(AJ141&gt;0,J141/AJ141,-1)</f>
        <v>147.060869565217</v>
      </c>
      <c r="AO141" s="63" t="n">
        <f aca="false">IF(AND(OR(CG141="L1",CG141="L23",CG141="LIFT"),AJ141&gt;0),SUMIFS($AJ$7:$AJ$1843,$CG$7:$CG$1843,CG141,$AN$7:$AN$1843,"&gt;"&amp;AN141)+SUMIFS($AJ$7:$AJ$1843,$CG$7:$CG$1843,CG141,$AN$7:$AN$1843,AN141,$BX$7:$BX$1843,"&lt;="&amp;BX141),"")</f>
        <v>494.876831501832</v>
      </c>
      <c r="AP141" s="70" t="n">
        <f aca="false">IF(AO141="",0,MAX(0,MIN(1,(IF(CG141="L1",Parameter!$H$5,IF(CG141="L23",Parameter!$H$6+Parameter!$H$7,Parameter!$H$5+Parameter!$H$6+Parameter!$H$7))-(AO141-AJ141))/AJ141)))</f>
        <v>1</v>
      </c>
      <c r="AQ141" s="62" t="n">
        <f aca="false">IF(LEFT(Cockpit!$I$5,1)="A",H141,IF(Parameter!$E$30="MAX-Bestand",IF(CI141=1,CJ141,IF(LEFT(Cockpit!$I$5,1)="B",AW141,MAX(AW141,H141))),ROUNDUP(AU141,0)))</f>
        <v>1539</v>
      </c>
      <c r="AR141" s="62" t="n">
        <f aca="false">IF(CA141=1,0,ROUNDUP(AQ141/BZ141,0))</f>
        <v>1</v>
      </c>
      <c r="AS141" s="64" t="n">
        <f aca="false">IF(CR141&gt;0,CR141*MAX(1,AQ141/X141),IF(CA141=1,IF(AQ141&lt;=0,0,CE141*MAX(1,IF(H141&gt;0,AQ141/H141,1))),IF(R141&gt;0,AR141/R141,0))/MAX(0.1,N(Parameter!$M$21)))</f>
        <v>0.0833333333333333</v>
      </c>
      <c r="AT141" s="62" t="n">
        <f aca="false">AS141*CC141</f>
        <v>28.75</v>
      </c>
      <c r="AU141" s="63" t="n">
        <f aca="false">IF(LEFT(Cockpit!$I$5,1)="A",H141,IF(CI141=1,(CL141+CJ141)/2,IF(LEFT(Cockpit!$I$5,1)="B",(CL141+AW141)/2,MAX((CL141+AW141)/2,H141))))</f>
        <v>1539</v>
      </c>
      <c r="AV141" s="62" t="n">
        <f aca="false">AU141*G141</f>
        <v>2523.96</v>
      </c>
      <c r="AW141" s="62" t="n">
        <f aca="false">ROUNDUP(CL141+MAX(CM141,2*(J141/IF(CH141&gt;0,CH141,MAX(0.1,N(Cockpit!$I$6)))-CL141)),0)</f>
        <v>2736</v>
      </c>
      <c r="AX141" s="63" t="n">
        <f aca="false">IF(AT141&gt;0,J141/AT141,-1)</f>
        <v>147.060869565217</v>
      </c>
      <c r="AY141" s="63" t="n">
        <f aca="false">IF(AND(OR(CG141="L1",CG141="L23",CG141="LIFT"),AT141&gt;0),SUMIFS($AT$7:$AT$1843,$CG$7:$CG$1843,CG141,$AX$7:$AX$1843,"&gt;"&amp;AX141)+SUMIFS($AT$7:$AT$1843,$CG$7:$CG$1843,CG141,$AX$7:$AX$1843,AX141,$BX$7:$BX$1843,"&lt;="&amp;BX141),"")</f>
        <v>612.513736263736</v>
      </c>
      <c r="AZ141" s="70" t="n">
        <f aca="false">IF(AY141="",0,MAX(0,MIN(1,(IF(CG141="L1",Parameter!$H$5,IF(CG141="L23",Parameter!$H$6+Parameter!$H$7,Parameter!$H$5+Parameter!$H$6+Parameter!$H$7))-(AY141-AT141))/AT141)))</f>
        <v>1</v>
      </c>
      <c r="BA141" s="62" t="n">
        <f aca="false">IF(LEFT(Cockpit!$O$5,1)="A",H141,IF(Parameter!$E$30="MAX-Bestand",IF(CI141=1,CJ141,IF(LEFT(Cockpit!$O$5,1)="B",BG141,MAX(BG141,H141))),ROUNDUP(BE141,0)))</f>
        <v>1333</v>
      </c>
      <c r="BB141" s="62" t="n">
        <f aca="false">IF(CA141=1,0,ROUNDUP(BA141/BZ141,0))</f>
        <v>1</v>
      </c>
      <c r="BC141" s="64" t="n">
        <f aca="false">IF(CR141&gt;0,CR141*MAX(1,BA141/X141),IF(CA141=1,IF(BA141&lt;=0,0,CE141*MAX(1,IF(H141&gt;0,BA141/H141,1))),IF(R141&gt;0,BB141/R141,0))/MAX(0.1,N(Parameter!$M$21)))</f>
        <v>0.0833333333333333</v>
      </c>
      <c r="BD141" s="62" t="n">
        <f aca="false">BC141*CC141</f>
        <v>28.75</v>
      </c>
      <c r="BE141" s="63" t="n">
        <f aca="false">IF(LEFT(Cockpit!$O$5,1)="A",H141,IF(CI141=1,(CL141+CJ141)/2,IF(LEFT(Cockpit!$O$5,1)="B",(CL141+BG141)/2,MAX((CL141+BG141)/2,H141))))</f>
        <v>1333</v>
      </c>
      <c r="BF141" s="62" t="n">
        <f aca="false">BE141*G141</f>
        <v>2186.12</v>
      </c>
      <c r="BG141" s="62" t="n">
        <f aca="false">ROUNDUP(CL141+MAX(CM141,2*(J141/IF(CH141&gt;0,CH141,MAX(0.1,N(Cockpit!$O$6)))-CL141)),0)</f>
        <v>2583</v>
      </c>
      <c r="BH141" s="63" t="n">
        <f aca="false">IF(BD141&gt;0,J141/BD141,-1)</f>
        <v>147.060869565217</v>
      </c>
      <c r="BI141" s="63" t="n">
        <f aca="false">IF(AND(OR(CG141="L1",CG141="L23",CG141="LIFT"),BD141&gt;0),SUMIFS($BD$7:$BD$1843,$CG$7:$CG$1843,CG141,$BH$7:$BH$1843,"&gt;"&amp;BH141)+SUMIFS($BD$7:$BD$1843,$CG$7:$CG$1843,CG141,$BH$7:$BH$1843,BH141,$BX$7:$BX$1843,"&lt;="&amp;BX141),"")</f>
        <v>576.673076923077</v>
      </c>
      <c r="BJ141" s="70" t="n">
        <f aca="false">IF(BI141="",0,MAX(0,MIN(1,(IF(CG141="L1",Parameter!$H$5,IF(CG141="L23",Parameter!$H$6+Parameter!$H$7,Parameter!$H$5+Parameter!$H$6+Parameter!$H$7))-(BI141-BD141))/BD141)))</f>
        <v>1</v>
      </c>
      <c r="BK141" s="60" t="str">
        <f aca="false">IF(AJ141&lt;=0,"",IF(CG141="Aussen","Aussenlager",IF(CG141="-","Nicht im Lift",IF(AP141&gt;=1,"Lift",IF(AP141&lt;=0,"Aussenlager","teilweise")))))</f>
        <v>Lift</v>
      </c>
      <c r="BL141" s="60" t="str">
        <f aca="false">IF(AT141&lt;=0,"",IF(CG141="Aussen","Aussenlager",IF(CG141="-","Nicht im Lift",IF(AZ141&gt;=1,"Lift",IF(AZ141&lt;=0,"Aussenlager","teilweise")))))</f>
        <v>Lift</v>
      </c>
      <c r="BM141" s="60" t="str">
        <f aca="false">IF(BD141&lt;=0,"",IF(CG141="Aussen","Aussenlager",IF(CG141="-","Nicht im Lift",IF(BJ141&gt;=1,"Lift",IF(BJ141&lt;=0,"Aussenlager","teilweise")))))</f>
        <v>Lift</v>
      </c>
      <c r="BN141" s="60" t="str">
        <f aca="false">IF(A141="","",IF(BW141=1,"Neu; ","")&amp;IF(AND(BW141=0,BR141&lt;0),"negativer Bestand (Export "&amp;BR141&amp;"); ","")&amp;IF(J141&lt;=0,"Kein Verbrauch; ","")&amp;IF(CR141&gt;0,"Lift "&amp;W141&amp;" lt. Liftbericht (Fach "&amp;X141&amp;" Stk); ",IF(CB141=1,"Gebinde geschätzt ("&amp;T141&amp;"); ",IF(CA141=1,"Lose – Tablare geschätzt; ","")))&amp;IF(H141&gt;AW141,"Überbestand "&amp;ROUND(H141-AW141,0)&amp;" Stk / CHF "&amp;ROUND((H141-AW141)*G141,0)&amp;"; ","")&amp;IF(AND(CI141=1,CJ141&lt;CK141),"MAX &lt; MB+LG; ","")&amp;IF(AND(CQ141&gt;0,CP141*10&gt;CQ141),"zu hoch für Tablar; ","")&amp;IF(AND(BW141=0,OR(CI141=1,AB141&lt;&gt;"",U141&lt;&gt;"",V141&lt;&gt;"",AC141&lt;&gt;"")),"manuell übersteuert; ","")&amp;IF(AND(CA141=0,R141=0),"Gebinde unbekannt / Stellmass fehlt; ","")&amp;IF(AND(CA141=0,N(V141)&lt;=0,N(Q141)&lt;=0),"Menge pro Gebinde fehlt (Ist = 1 Gebinde); ","")&amp;BV141)</f>
        <v/>
      </c>
      <c r="BO141" s="60"/>
      <c r="BP141" s="60"/>
      <c r="BQ141" s="67"/>
      <c r="BR141" s="62" t="n">
        <v>902</v>
      </c>
      <c r="BS141" s="62" t="n">
        <v>637</v>
      </c>
      <c r="BT141" s="61" t="n">
        <v>1466.8</v>
      </c>
      <c r="BU141" s="62" t="n">
        <v>4228</v>
      </c>
      <c r="BV141" s="60"/>
      <c r="BW141" s="65" t="n">
        <v>0</v>
      </c>
      <c r="BX141" s="65" t="n">
        <v>141</v>
      </c>
      <c r="BY141" s="60" t="str">
        <f aca="false">IF(U141&lt;&gt;"",UPPER(TRIM(U141)),IF(CB141=1,UPPER(VLOOKUP(T141,Parameter!$I$27:$K$29,2,0)),IF(P141="","LOSE",P141)))</f>
        <v>S63</v>
      </c>
      <c r="BZ141" s="62" t="n">
        <f aca="false">IF(BY141="LOSE",1,IF(N(V141)&gt;0,V141,IF(CB141=1,MAX(1,N(VLOOKUP(T141,Parameter!$I$27:$K$29,3,0)),H141,N(N141)),IF(N(Q141)&gt;0,Q141,MAX(1,H141)))))</f>
        <v>3358</v>
      </c>
      <c r="CA141" s="65" t="n">
        <f aca="false">IF(BY141="LOSE",1,0)</f>
        <v>0</v>
      </c>
      <c r="CB141" s="65" t="n">
        <f aca="false">IF(AND(U141="",OR(P141="",P141="LOSE"),T141&lt;&gt;"",N(S141)&lt;=0,ISNUMBER(MATCH(T141,Parameter!$I$27:$I$29,0))),1,0)</f>
        <v>0</v>
      </c>
      <c r="CC141" s="65" t="n">
        <f aca="false">IF(CR141&gt;0,INDEX(Parameter!$H$5:$H$7,W141)/INDEX(Parameter!$E$5:$E$7,W141),IF(AND(CA141=0,N(IFERROR(VLOOKUP(BY141,'Gebinde-Kategorie'!$A$5:$N$45,14,0),0))&gt;0),VLOOKUP(BY141,'Gebinde-Kategorie'!$A$5:$N$45,14,0)*10+Parameter!$M$23,Parameter!$M$24))</f>
        <v>345</v>
      </c>
      <c r="CD141" s="60" t="str">
        <f aca="false">IF(AND(Parameter!$B$19="Ja",E141&lt;&gt;"",ISNUMBER(MATCH(E141,Parameter!$I$35:$I$52,0))),VLOOKUP(E141,Parameter!$I$35:$J$52,2,0),IFERROR(VLOOKUP(D141,Parameter!$A$35:$C$64,2,0),"Nein"))</f>
        <v>2+3</v>
      </c>
      <c r="CE141" s="64" t="n">
        <f aca="false">IF(CA141=0,0,IF(N(S141)&gt;0,S141,IFERROR(VLOOKUP(D141,Parameter!$A$35:$C$64,3,0)+0,0)))</f>
        <v>0</v>
      </c>
      <c r="CF141" s="60" t="n">
        <f aca="false">IF(AB141&lt;&gt;"",AB141,AA141)</f>
        <v>3</v>
      </c>
      <c r="CG141" s="60" t="str">
        <f aca="false">IF(OR(CF141=1,CF141=2,CF141=3),IF(Parameter!$E$27="Ja","LIFT",IF(CF141=1,"L1","L23")),IF(CF141="Aussen","Aussen","-"))</f>
        <v>LIFT</v>
      </c>
      <c r="CH141" s="71" t="n">
        <f aca="false">IF(N(AC141)&gt;0,AC141,0)</f>
        <v>0</v>
      </c>
      <c r="CI141" s="65" t="n">
        <f aca="false">IF(ISNUMBER(AF141),1,0)</f>
        <v>0</v>
      </c>
      <c r="CJ141" s="62" t="n">
        <f aca="false">N(AF141)</f>
        <v>0</v>
      </c>
      <c r="CK141" s="62" t="n">
        <f aca="false">N(M141)+N(N141)</f>
        <v>2583</v>
      </c>
      <c r="CL141" s="62" t="n">
        <f aca="false">N(M141)</f>
        <v>83</v>
      </c>
      <c r="CM141" s="62" t="n">
        <f aca="false">N(N141)</f>
        <v>2500</v>
      </c>
      <c r="CN141" s="62" t="n">
        <f aca="false">ROUNDUP(H141/BZ141,0)</f>
        <v>1</v>
      </c>
      <c r="CO141" s="62" t="n">
        <f aca="false">ROUNDUP(CJ141/BZ141,0)</f>
        <v>0</v>
      </c>
      <c r="CP141" s="65" t="n">
        <f aca="false">IF(CA141=1,0,IFERROR(VLOOKUP(BY141,'Gebinde-Kategorie'!$A$5:$N$45,5,0)+0,0))</f>
        <v>31</v>
      </c>
      <c r="CQ141" s="65" t="n">
        <f aca="false">IFERROR(IF(OR(CF141=1,CF141=2,CF141=3),N(INDEX(Parameter!$I$5:$I$7,CF141)),0),0)</f>
        <v>0</v>
      </c>
      <c r="CR141" s="64" t="n">
        <f aca="false">IF(AND(Parameter!$B$21="Ja",ISNUMBER(W141),N(X141)&gt;0),IFERROR(N(INDEX(Parameter!$L$5:$L$7,W141))*INDEX(Parameter!$E$5:$E$7,W141)*X141/SUMIFS($X$7:$X$1843,$W$7:$W$1843,W141),0),0)</f>
        <v>0</v>
      </c>
      <c r="CS141" s="62" t="n">
        <f aca="false">IF(AND(OR(CG141="L1",CG141="L23",CG141="LIFT"),H141&gt;0),CC141*IF(CR141&gt;0,CR141*MAX(1,H141/X141),IF(CA141=1,CE141,IF(R141&gt;0,CN141/R141,0))/MAX(0.1,N(Parameter!$M$21))),"")</f>
        <v>28.75</v>
      </c>
      <c r="CT141" s="64" t="n">
        <f aca="false">IF(CS141="","",J141/H141)</f>
        <v>2.74723846653671</v>
      </c>
      <c r="CU141" s="62" t="n">
        <f aca="false">IF(CS141="","",H141*G141)</f>
        <v>2523.96</v>
      </c>
      <c r="CV141" s="63" t="n">
        <f aca="false">IF(CS141="","",(CL141+ROUNDUP(CL141+MAX(CM141,2*(J141/MAX(0.1,N(Einkauf!$C$6))-CL141)),0))/2)</f>
        <v>1333</v>
      </c>
      <c r="CW141" s="62" t="n">
        <f aca="false">IF(CS141="","",MAX(0,H141-CV141)*G141)</f>
        <v>337.84</v>
      </c>
      <c r="CX141" s="62" t="n">
        <f aca="false">IF(CS141="","",CS141*MAX(0,1-CV141/H141))</f>
        <v>3.84827810266407</v>
      </c>
      <c r="CY141" s="64" t="n">
        <f aca="false">IF(CS141="","",PERCENTRANK($CS$7:$CS$1843,CS141)+PERCENTRANK($CU$7:$CU$1843,CU141)+1-PERCENTRANK($CT$7:$CT$1843,CT141))</f>
        <v>1.749</v>
      </c>
      <c r="CZ141" s="72" t="n">
        <f aca="false">IF(CS141="","",CHOOSE(MATCH(Einkauf!$C$5,Parameter!$G$23:$G$27,0),CY141,CS141,CU141,-CT141,CW141)+ROW()/1000000000)</f>
        <v>1.749000141</v>
      </c>
    </row>
    <row r="142" customFormat="false" ht="15" hidden="false" customHeight="false" outlineLevel="0" collapsed="false">
      <c r="A142" s="60" t="s">
        <v>532</v>
      </c>
      <c r="B142" s="60" t="s">
        <v>533</v>
      </c>
      <c r="C142" s="60" t="s">
        <v>206</v>
      </c>
      <c r="D142" s="60" t="s">
        <v>215</v>
      </c>
      <c r="E142" s="60"/>
      <c r="F142" s="60" t="s">
        <v>260</v>
      </c>
      <c r="G142" s="61" t="n">
        <v>365.35</v>
      </c>
      <c r="H142" s="62" t="n">
        <f aca="false">MAX(0,IF(AND(Parameter!$B$21="Ja",ISNUMBER(Y142)),Y142,IF(Parameter!$B$20="Jahresanfang 2025 + Export",BS142+BR142,BR142)))</f>
        <v>4</v>
      </c>
      <c r="I142" s="62" t="n">
        <f aca="false">H142*G142</f>
        <v>1461.4</v>
      </c>
      <c r="J142" s="62" t="n">
        <f aca="false">BU142*Parameter!$B$18</f>
        <v>0</v>
      </c>
      <c r="K142" s="63" t="n">
        <v>0</v>
      </c>
      <c r="L142" s="64" t="n">
        <v>0</v>
      </c>
      <c r="M142" s="62" t="n">
        <v>0</v>
      </c>
      <c r="N142" s="62" t="n">
        <v>1</v>
      </c>
      <c r="O142" s="65" t="n">
        <v>14</v>
      </c>
      <c r="P142" s="60" t="s">
        <v>210</v>
      </c>
      <c r="Q142" s="62"/>
      <c r="R142" s="65" t="n">
        <f aca="false">IF(CA142=1,0,IFERROR(VLOOKUP(BY142,'Gebinde-Kategorie'!$A$5:$N$45,13,0)+0,0))</f>
        <v>4</v>
      </c>
      <c r="S142" s="66"/>
      <c r="T142" s="67" t="s">
        <v>231</v>
      </c>
      <c r="U142" s="67"/>
      <c r="V142" s="67"/>
      <c r="W142" s="60"/>
      <c r="X142" s="62"/>
      <c r="Y142" s="62"/>
      <c r="Z142" s="60" t="n">
        <v>2</v>
      </c>
      <c r="AA142" s="60" t="n">
        <f aca="false">IF(A142="","",IF(AND(Parameter!$B$21="Ja",ISNUMBER(W142)),W142,IF(AND(Parameter!$E$27="Ja",ISNUMBER(Z142),CD142&lt;&gt;"Nein"),Z142,IF(CD142="2+3",IF(ISNUMBER(SEARCH("grosser Artikel",BV142)),2,IFERROR(VLOOKUP(BY142,Parameter!$F$35:$G$64,2,0),2)),IF(OR(CD142="Nein",CD142=""),"-",CD142)))))</f>
        <v>2</v>
      </c>
      <c r="AB142" s="67"/>
      <c r="AC142" s="68"/>
      <c r="AD142" s="62" t="n">
        <f aca="false">AW142</f>
        <v>1</v>
      </c>
      <c r="AE142" s="62" t="n">
        <f aca="false">MAX(AW142,H142)</f>
        <v>4</v>
      </c>
      <c r="AF142" s="69"/>
      <c r="AG142" s="62" t="n">
        <f aca="false">IF(LEFT(Cockpit!$C$5,1)="A",H142,IF(Parameter!$E$30="MAX-Bestand",IF(CI142=1,CJ142,IF(LEFT(Cockpit!$C$5,1)="B",AM142,MAX(AM142,H142))),ROUNDUP(AK142,0)))</f>
        <v>4</v>
      </c>
      <c r="AH142" s="62" t="n">
        <f aca="false">IF(CA142=1,0,ROUNDUP(AG142/BZ142,0))</f>
        <v>1</v>
      </c>
      <c r="AI142" s="64" t="n">
        <f aca="false">IF(CR142&gt;0,CR142*MAX(1,AG142/X142),IF(CA142=1,IF(AG142&lt;=0,0,CE142*MAX(1,IF(H142&gt;0,AG142/H142,1))),IF(R142&gt;0,AH142/R142,0))/MAX(0.1,N(Parameter!$M$21)))</f>
        <v>0.25</v>
      </c>
      <c r="AJ142" s="62" t="n">
        <f aca="false">AI142*CC142</f>
        <v>58.75</v>
      </c>
      <c r="AK142" s="63" t="n">
        <f aca="false">IF(LEFT(Cockpit!$C$5,1)="A",H142,IF(CI142=1,(CL142+CJ142)/2,IF(LEFT(Cockpit!$C$5,1)="B",(CL142+AM142)/2,MAX((CL142+AM142)/2,H142))))</f>
        <v>4</v>
      </c>
      <c r="AL142" s="62" t="n">
        <f aca="false">AK142*G142</f>
        <v>1461.4</v>
      </c>
      <c r="AM142" s="62" t="n">
        <f aca="false">ROUNDUP(CL142+MAX(CM142,2*(J142/IF(CH142&gt;0,CH142,MAX(0.1,N(Cockpit!$C$6)))-CL142)),0)</f>
        <v>1</v>
      </c>
      <c r="AN142" s="63" t="n">
        <f aca="false">IF(AJ142&gt;0,J142/AJ142,-1)</f>
        <v>0</v>
      </c>
      <c r="AO142" s="63" t="n">
        <f aca="false">IF(AND(OR(CG142="L1",CG142="L23",CG142="LIFT"),AJ142&gt;0),SUMIFS($AJ$7:$AJ$1843,$CG$7:$CG$1843,CG142,$AN$7:$AN$1843,"&gt;"&amp;AN142)+SUMIFS($AJ$7:$AJ$1843,$CG$7:$CG$1843,CG142,$AN$7:$AN$1843,AN142,$BX$7:$BX$1843,"&lt;="&amp;BX142),"")</f>
        <v>27273.1036479998</v>
      </c>
      <c r="AP142" s="70" t="n">
        <f aca="false">IF(AO142="",0,MAX(0,MIN(1,(IF(CG142="L1",Parameter!$H$5,IF(CG142="L23",Parameter!$H$6+Parameter!$H$7,Parameter!$H$5+Parameter!$H$6+Parameter!$H$7))-(AO142-AJ142))/AJ142)))</f>
        <v>1</v>
      </c>
      <c r="AQ142" s="62" t="n">
        <f aca="false">IF(LEFT(Cockpit!$I$5,1)="A",H142,IF(Parameter!$E$30="MAX-Bestand",IF(CI142=1,CJ142,IF(LEFT(Cockpit!$I$5,1)="B",AW142,MAX(AW142,H142))),ROUNDUP(AU142,0)))</f>
        <v>4</v>
      </c>
      <c r="AR142" s="62" t="n">
        <f aca="false">IF(CA142=1,0,ROUNDUP(AQ142/BZ142,0))</f>
        <v>1</v>
      </c>
      <c r="AS142" s="64" t="n">
        <f aca="false">IF(CR142&gt;0,CR142*MAX(1,AQ142/X142),IF(CA142=1,IF(AQ142&lt;=0,0,CE142*MAX(1,IF(H142&gt;0,AQ142/H142,1))),IF(R142&gt;0,AR142/R142,0))/MAX(0.1,N(Parameter!$M$21)))</f>
        <v>0.25</v>
      </c>
      <c r="AT142" s="62" t="n">
        <f aca="false">AS142*CC142</f>
        <v>58.75</v>
      </c>
      <c r="AU142" s="63" t="n">
        <f aca="false">IF(LEFT(Cockpit!$I$5,1)="A",H142,IF(CI142=1,(CL142+CJ142)/2,IF(LEFT(Cockpit!$I$5,1)="B",(CL142+AW142)/2,MAX((CL142+AW142)/2,H142))))</f>
        <v>4</v>
      </c>
      <c r="AV142" s="62" t="n">
        <f aca="false">AU142*G142</f>
        <v>1461.4</v>
      </c>
      <c r="AW142" s="62" t="n">
        <f aca="false">ROUNDUP(CL142+MAX(CM142,2*(J142/IF(CH142&gt;0,CH142,MAX(0.1,N(Cockpit!$I$6)))-CL142)),0)</f>
        <v>1</v>
      </c>
      <c r="AX142" s="63" t="n">
        <f aca="false">IF(AT142&gt;0,J142/AT142,-1)</f>
        <v>0</v>
      </c>
      <c r="AY142" s="63" t="n">
        <f aca="false">IF(AND(OR(CG142="L1",CG142="L23",CG142="LIFT"),AT142&gt;0),SUMIFS($AT$7:$AT$1843,$CG$7:$CG$1843,CG142,$AX$7:$AX$1843,"&gt;"&amp;AX142)+SUMIFS($AT$7:$AT$1843,$CG$7:$CG$1843,CG142,$AX$7:$AX$1843,AX142,$BX$7:$BX$1843,"&lt;="&amp;BX142),"")</f>
        <v>32626.2522893773</v>
      </c>
      <c r="AZ142" s="70" t="n">
        <f aca="false">IF(AY142="",0,MAX(0,MIN(1,(IF(CG142="L1",Parameter!$H$5,IF(CG142="L23",Parameter!$H$6+Parameter!$H$7,Parameter!$H$5+Parameter!$H$6+Parameter!$H$7))-(AY142-AT142))/AT142)))</f>
        <v>1</v>
      </c>
      <c r="BA142" s="62" t="n">
        <f aca="false">IF(LEFT(Cockpit!$O$5,1)="A",H142,IF(Parameter!$E$30="MAX-Bestand",IF(CI142=1,CJ142,IF(LEFT(Cockpit!$O$5,1)="B",BG142,MAX(BG142,H142))),ROUNDUP(BE142,0)))</f>
        <v>1</v>
      </c>
      <c r="BB142" s="62" t="n">
        <f aca="false">IF(CA142=1,0,ROUNDUP(BA142/BZ142,0))</f>
        <v>1</v>
      </c>
      <c r="BC142" s="64" t="n">
        <f aca="false">IF(CR142&gt;0,CR142*MAX(1,BA142/X142),IF(CA142=1,IF(BA142&lt;=0,0,CE142*MAX(1,IF(H142&gt;0,BA142/H142,1))),IF(R142&gt;0,BB142/R142,0))/MAX(0.1,N(Parameter!$M$21)))</f>
        <v>0.25</v>
      </c>
      <c r="BD142" s="62" t="n">
        <f aca="false">BC142*CC142</f>
        <v>58.75</v>
      </c>
      <c r="BE142" s="63" t="n">
        <f aca="false">IF(LEFT(Cockpit!$O$5,1)="A",H142,IF(CI142=1,(CL142+CJ142)/2,IF(LEFT(Cockpit!$O$5,1)="B",(CL142+BG142)/2,MAX((CL142+BG142)/2,H142))))</f>
        <v>0.5</v>
      </c>
      <c r="BF142" s="62" t="n">
        <f aca="false">BE142*G142</f>
        <v>182.675</v>
      </c>
      <c r="BG142" s="62" t="n">
        <f aca="false">ROUNDUP(CL142+MAX(CM142,2*(J142/IF(CH142&gt;0,CH142,MAX(0.1,N(Cockpit!$O$6)))-CL142)),0)</f>
        <v>1</v>
      </c>
      <c r="BH142" s="63" t="n">
        <f aca="false">IF(BD142&gt;0,J142/BD142,-1)</f>
        <v>0</v>
      </c>
      <c r="BI142" s="63" t="n">
        <f aca="false">IF(AND(OR(CG142="L1",CG142="L23",CG142="LIFT"),BD142&gt;0),SUMIFS($BD$7:$BD$1843,$CG$7:$CG$1843,CG142,$BH$7:$BH$1843,"&gt;"&amp;BH142)+SUMIFS($BD$7:$BD$1843,$CG$7:$CG$1843,CG142,$BH$7:$BH$1843,BH142,$BX$7:$BX$1843,"&lt;="&amp;BX142),"")</f>
        <v>26790.4943890855</v>
      </c>
      <c r="BJ142" s="70" t="n">
        <f aca="false">IF(BI142="",0,MAX(0,MIN(1,(IF(CG142="L1",Parameter!$H$5,IF(CG142="L23",Parameter!$H$6+Parameter!$H$7,Parameter!$H$5+Parameter!$H$6+Parameter!$H$7))-(BI142-BD142))/BD142)))</f>
        <v>1</v>
      </c>
      <c r="BK142" s="60" t="str">
        <f aca="false">IF(AJ142&lt;=0,"",IF(CG142="Aussen","Aussenlager",IF(CG142="-","Nicht im Lift",IF(AP142&gt;=1,"Lift",IF(AP142&lt;=0,"Aussenlager","teilweise")))))</f>
        <v>Lift</v>
      </c>
      <c r="BL142" s="60" t="str">
        <f aca="false">IF(AT142&lt;=0,"",IF(CG142="Aussen","Aussenlager",IF(CG142="-","Nicht im Lift",IF(AZ142&gt;=1,"Lift",IF(AZ142&lt;=0,"Aussenlager","teilweise")))))</f>
        <v>Lift</v>
      </c>
      <c r="BM142" s="60" t="str">
        <f aca="false">IF(BD142&lt;=0,"",IF(CG142="Aussen","Aussenlager",IF(CG142="-","Nicht im Lift",IF(BJ142&gt;=1,"Lift",IF(BJ142&lt;=0,"Aussenlager","teilweise")))))</f>
        <v>Lift</v>
      </c>
      <c r="BN142" s="60" t="str">
        <f aca="false">IF(A142="","",IF(BW142=1,"Neu; ","")&amp;IF(AND(BW142=0,BR142&lt;0),"negativer Bestand (Export "&amp;BR142&amp;"); ","")&amp;IF(J142&lt;=0,"Kein Verbrauch; ","")&amp;IF(CR142&gt;0,"Lift "&amp;W142&amp;" lt. Liftbericht (Fach "&amp;X142&amp;" Stk); ",IF(CB142=1,"Gebinde geschätzt ("&amp;T142&amp;"); ",IF(CA142=1,"Lose – Tablare geschätzt; ","")))&amp;IF(H142&gt;AW142,"Überbestand "&amp;ROUND(H142-AW142,0)&amp;" Stk / CHF "&amp;ROUND((H142-AW142)*G142,0)&amp;"; ","")&amp;IF(AND(CI142=1,CJ142&lt;CK142),"MAX &lt; MB+LG; ","")&amp;IF(AND(CQ142&gt;0,CP142*10&gt;CQ142),"zu hoch für Tablar; ","")&amp;IF(AND(BW142=0,OR(CI142=1,AB142&lt;&gt;"",U142&lt;&gt;"",V142&lt;&gt;"",AC142&lt;&gt;"")),"manuell übersteuert; ","")&amp;IF(AND(CA142=0,R142=0),"Gebinde unbekannt / Stellmass fehlt; ","")&amp;IF(AND(CA142=0,N(V142)&lt;=0,N(Q142)&lt;=0),"Menge pro Gebinde fehlt (Ist = 1 Gebinde); ","")&amp;BV142)</f>
        <v>Kein Verbrauch; Gebinde geschätzt (Gross); Überbestand 3 Stk / CHF 1096; Menge pro Gebinde fehlt (Ist = 1 Gebinde); </v>
      </c>
      <c r="BO142" s="60"/>
      <c r="BP142" s="60"/>
      <c r="BQ142" s="67"/>
      <c r="BR142" s="62" t="n">
        <v>4</v>
      </c>
      <c r="BS142" s="62" t="n">
        <v>0</v>
      </c>
      <c r="BT142" s="61" t="n">
        <v>1461.4</v>
      </c>
      <c r="BU142" s="62" t="n">
        <v>0</v>
      </c>
      <c r="BV142" s="60"/>
      <c r="BW142" s="65" t="n">
        <v>0</v>
      </c>
      <c r="BX142" s="65" t="n">
        <v>142</v>
      </c>
      <c r="BY142" s="60" t="str">
        <f aca="false">IF(U142&lt;&gt;"",UPPER(TRIM(U142)),IF(CB142=1,UPPER(VLOOKUP(T142,Parameter!$I$27:$K$29,2,0)),IF(P142="","LOSE",P142)))</f>
        <v>S81</v>
      </c>
      <c r="BZ142" s="62" t="n">
        <f aca="false">IF(BY142="LOSE",1,IF(N(V142)&gt;0,V142,IF(CB142=1,MAX(1,N(VLOOKUP(T142,Parameter!$I$27:$K$29,3,0)),H142,N(N142)),IF(N(Q142)&gt;0,Q142,MAX(1,H142)))))</f>
        <v>4</v>
      </c>
      <c r="CA142" s="65" t="n">
        <f aca="false">IF(BY142="LOSE",1,0)</f>
        <v>0</v>
      </c>
      <c r="CB142" s="65" t="n">
        <f aca="false">IF(AND(U142="",OR(P142="",P142="LOSE"),T142&lt;&gt;"",N(S142)&lt;=0,ISNUMBER(MATCH(T142,Parameter!$I$27:$I$29,0))),1,0)</f>
        <v>1</v>
      </c>
      <c r="CC142" s="65" t="n">
        <f aca="false">IF(CR142&gt;0,INDEX(Parameter!$H$5:$H$7,W142)/INDEX(Parameter!$E$5:$E$7,W142),IF(AND(CA142=0,N(IFERROR(VLOOKUP(BY142,'Gebinde-Kategorie'!$A$5:$N$45,14,0),0))&gt;0),VLOOKUP(BY142,'Gebinde-Kategorie'!$A$5:$N$45,14,0)*10+Parameter!$M$23,Parameter!$M$24))</f>
        <v>235</v>
      </c>
      <c r="CD142" s="60" t="str">
        <f aca="false">IF(AND(Parameter!$B$19="Ja",E142&lt;&gt;"",ISNUMBER(MATCH(E142,Parameter!$I$35:$I$52,0))),VLOOKUP(E142,Parameter!$I$35:$J$52,2,0),IFERROR(VLOOKUP(D142,Parameter!$A$35:$C$64,2,0),"Nein"))</f>
        <v>2+3</v>
      </c>
      <c r="CE142" s="64" t="n">
        <f aca="false">IF(CA142=0,0,IF(N(S142)&gt;0,S142,IFERROR(VLOOKUP(D142,Parameter!$A$35:$C$64,3,0)+0,0)))</f>
        <v>0</v>
      </c>
      <c r="CF142" s="60" t="n">
        <f aca="false">IF(AB142&lt;&gt;"",AB142,AA142)</f>
        <v>2</v>
      </c>
      <c r="CG142" s="60" t="str">
        <f aca="false">IF(OR(CF142=1,CF142=2,CF142=3),IF(Parameter!$E$27="Ja","LIFT",IF(CF142=1,"L1","L23")),IF(CF142="Aussen","Aussen","-"))</f>
        <v>LIFT</v>
      </c>
      <c r="CH142" s="71" t="n">
        <f aca="false">IF(N(AC142)&gt;0,AC142,0)</f>
        <v>0</v>
      </c>
      <c r="CI142" s="65" t="n">
        <f aca="false">IF(ISNUMBER(AF142),1,0)</f>
        <v>0</v>
      </c>
      <c r="CJ142" s="62" t="n">
        <f aca="false">N(AF142)</f>
        <v>0</v>
      </c>
      <c r="CK142" s="62" t="n">
        <f aca="false">N(M142)+N(N142)</f>
        <v>1</v>
      </c>
      <c r="CL142" s="62" t="n">
        <f aca="false">N(M142)</f>
        <v>0</v>
      </c>
      <c r="CM142" s="62" t="n">
        <f aca="false">N(N142)</f>
        <v>1</v>
      </c>
      <c r="CN142" s="62" t="n">
        <f aca="false">ROUNDUP(H142/BZ142,0)</f>
        <v>1</v>
      </c>
      <c r="CO142" s="62" t="n">
        <f aca="false">ROUNDUP(CJ142/BZ142,0)</f>
        <v>0</v>
      </c>
      <c r="CP142" s="65" t="n">
        <f aca="false">IF(CA142=1,0,IFERROR(VLOOKUP(BY142,'Gebinde-Kategorie'!$A$5:$N$45,5,0)+0,0))</f>
        <v>20</v>
      </c>
      <c r="CQ142" s="65" t="n">
        <f aca="false">IFERROR(IF(OR(CF142=1,CF142=2,CF142=3),N(INDEX(Parameter!$I$5:$I$7,CF142)),0),0)</f>
        <v>0</v>
      </c>
      <c r="CR142" s="64" t="n">
        <f aca="false">IF(AND(Parameter!$B$21="Ja",ISNUMBER(W142),N(X142)&gt;0),IFERROR(N(INDEX(Parameter!$L$5:$L$7,W142))*INDEX(Parameter!$E$5:$E$7,W142)*X142/SUMIFS($X$7:$X$1843,$W$7:$W$1843,W142),0),0)</f>
        <v>0</v>
      </c>
      <c r="CS142" s="62" t="n">
        <f aca="false">IF(AND(OR(CG142="L1",CG142="L23",CG142="LIFT"),H142&gt;0),CC142*IF(CR142&gt;0,CR142*MAX(1,H142/X142),IF(CA142=1,CE142,IF(R142&gt;0,CN142/R142,0))/MAX(0.1,N(Parameter!$M$21))),"")</f>
        <v>58.75</v>
      </c>
      <c r="CT142" s="64" t="n">
        <f aca="false">IF(CS142="","",J142/H142)</f>
        <v>0</v>
      </c>
      <c r="CU142" s="62" t="n">
        <f aca="false">IF(CS142="","",H142*G142)</f>
        <v>1461.4</v>
      </c>
      <c r="CV142" s="63" t="n">
        <f aca="false">IF(CS142="","",(CL142+ROUNDUP(CL142+MAX(CM142,2*(J142/MAX(0.1,N(Einkauf!$C$6))-CL142)),0))/2)</f>
        <v>0.5</v>
      </c>
      <c r="CW142" s="62" t="n">
        <f aca="false">IF(CS142="","",MAX(0,H142-CV142)*G142)</f>
        <v>1278.725</v>
      </c>
      <c r="CX142" s="62" t="n">
        <f aca="false">IF(CS142="","",CS142*MAX(0,1-CV142/H142))</f>
        <v>51.40625</v>
      </c>
      <c r="CY142" s="64" t="n">
        <f aca="false">IF(CS142="","",PERCENTRANK($CS$7:$CS$1843,CS142)+PERCENTRANK($CU$7:$CU$1843,CU142)+1-PERCENTRANK($CT$7:$CT$1843,CT142))</f>
        <v>2.629</v>
      </c>
      <c r="CZ142" s="72" t="n">
        <f aca="false">IF(CS142="","",CHOOSE(MATCH(Einkauf!$C$5,Parameter!$G$23:$G$27,0),CY142,CS142,CU142,-CT142,CW142)+ROW()/1000000000)</f>
        <v>2.629000142</v>
      </c>
    </row>
    <row r="143" customFormat="false" ht="15" hidden="false" customHeight="false" outlineLevel="0" collapsed="false">
      <c r="A143" s="60" t="s">
        <v>534</v>
      </c>
      <c r="B143" s="60" t="s">
        <v>535</v>
      </c>
      <c r="C143" s="60" t="s">
        <v>206</v>
      </c>
      <c r="D143" s="60" t="s">
        <v>215</v>
      </c>
      <c r="E143" s="60"/>
      <c r="F143" s="60" t="s">
        <v>260</v>
      </c>
      <c r="G143" s="61" t="n">
        <v>65.52</v>
      </c>
      <c r="H143" s="62" t="n">
        <f aca="false">MAX(0,IF(AND(Parameter!$B$21="Ja",ISNUMBER(Y143)),Y143,IF(Parameter!$B$20="Jahresanfang 2025 + Export",BS143+BR143,BR143)))</f>
        <v>50</v>
      </c>
      <c r="I143" s="62" t="n">
        <f aca="false">H143*G143</f>
        <v>3276</v>
      </c>
      <c r="J143" s="62" t="n">
        <f aca="false">BU143*Parameter!$B$18</f>
        <v>8</v>
      </c>
      <c r="K143" s="63" t="n">
        <v>38</v>
      </c>
      <c r="L143" s="64" t="n">
        <v>0.210526315789474</v>
      </c>
      <c r="M143" s="62" t="n">
        <v>0</v>
      </c>
      <c r="N143" s="62" t="n">
        <v>10</v>
      </c>
      <c r="O143" s="65" t="n">
        <v>28</v>
      </c>
      <c r="P143" s="60" t="s">
        <v>216</v>
      </c>
      <c r="Q143" s="62" t="n">
        <v>50</v>
      </c>
      <c r="R143" s="65" t="n">
        <f aca="false">IF(CA143=1,0,IFERROR(VLOOKUP(BY143,'Gebinde-Kategorie'!$A$5:$N$45,13,0)+0,0))</f>
        <v>6</v>
      </c>
      <c r="S143" s="66"/>
      <c r="T143" s="67"/>
      <c r="U143" s="67"/>
      <c r="V143" s="67"/>
      <c r="W143" s="60"/>
      <c r="X143" s="62"/>
      <c r="Y143" s="62"/>
      <c r="Z143" s="60" t="n">
        <v>2</v>
      </c>
      <c r="AA143" s="60" t="n">
        <f aca="false">IF(A143="","",IF(AND(Parameter!$B$21="Ja",ISNUMBER(W143)),W143,IF(AND(Parameter!$E$27="Ja",ISNUMBER(Z143),CD143&lt;&gt;"Nein"),Z143,IF(CD143="2+3",IF(ISNUMBER(SEARCH("grosser Artikel",BV143)),2,IFERROR(VLOOKUP(BY143,Parameter!$F$35:$G$64,2,0),2)),IF(OR(CD143="Nein",CD143=""),"-",CD143)))))</f>
        <v>2</v>
      </c>
      <c r="AB143" s="67"/>
      <c r="AC143" s="68"/>
      <c r="AD143" s="62" t="n">
        <f aca="false">AW143</f>
        <v>10</v>
      </c>
      <c r="AE143" s="62" t="n">
        <f aca="false">MAX(AW143,H143)</f>
        <v>50</v>
      </c>
      <c r="AF143" s="69"/>
      <c r="AG143" s="62" t="n">
        <f aca="false">IF(LEFT(Cockpit!$C$5,1)="A",H143,IF(Parameter!$E$30="MAX-Bestand",IF(CI143=1,CJ143,IF(LEFT(Cockpit!$C$5,1)="B",AM143,MAX(AM143,H143))),ROUNDUP(AK143,0)))</f>
        <v>50</v>
      </c>
      <c r="AH143" s="62" t="n">
        <f aca="false">IF(CA143=1,0,ROUNDUP(AG143/BZ143,0))</f>
        <v>1</v>
      </c>
      <c r="AI143" s="64" t="n">
        <f aca="false">IF(CR143&gt;0,CR143*MAX(1,AG143/X143),IF(CA143=1,IF(AG143&lt;=0,0,CE143*MAX(1,IF(H143&gt;0,AG143/H143,1))),IF(R143&gt;0,AH143/R143,0))/MAX(0.1,N(Parameter!$M$21)))</f>
        <v>0.166666666666667</v>
      </c>
      <c r="AJ143" s="62" t="n">
        <f aca="false">AI143*CC143</f>
        <v>39.1666666666667</v>
      </c>
      <c r="AK143" s="63" t="n">
        <f aca="false">IF(LEFT(Cockpit!$C$5,1)="A",H143,IF(CI143=1,(CL143+CJ143)/2,IF(LEFT(Cockpit!$C$5,1)="B",(CL143+AM143)/2,MAX((CL143+AM143)/2,H143))))</f>
        <v>50</v>
      </c>
      <c r="AL143" s="62" t="n">
        <f aca="false">AK143*G143</f>
        <v>3276</v>
      </c>
      <c r="AM143" s="62" t="n">
        <f aca="false">ROUNDUP(CL143+MAX(CM143,2*(J143/IF(CH143&gt;0,CH143,MAX(0.1,N(Cockpit!$C$6)))-CL143)),0)</f>
        <v>10</v>
      </c>
      <c r="AN143" s="63" t="n">
        <f aca="false">IF(AJ143&gt;0,J143/AJ143,-1)</f>
        <v>0.204255319148936</v>
      </c>
      <c r="AO143" s="63" t="n">
        <f aca="false">IF(AND(OR(CG143="L1",CG143="L23",CG143="LIFT"),AJ143&gt;0),SUMIFS($AJ$7:$AJ$1843,$CG$7:$CG$1843,CG143,$AN$7:$AN$1843,"&gt;"&amp;AN143)+SUMIFS($AJ$7:$AJ$1843,$CG$7:$CG$1843,CG143,$AN$7:$AN$1843,AN143,$BX$7:$BX$1843,"&lt;="&amp;BX143),"")</f>
        <v>12440.983720846</v>
      </c>
      <c r="AP143" s="70" t="n">
        <f aca="false">IF(AO143="",0,MAX(0,MIN(1,(IF(CG143="L1",Parameter!$H$5,IF(CG143="L23",Parameter!$H$6+Parameter!$H$7,Parameter!$H$5+Parameter!$H$6+Parameter!$H$7))-(AO143-AJ143))/AJ143)))</f>
        <v>1</v>
      </c>
      <c r="AQ143" s="62" t="n">
        <f aca="false">IF(LEFT(Cockpit!$I$5,1)="A",H143,IF(Parameter!$E$30="MAX-Bestand",IF(CI143=1,CJ143,IF(LEFT(Cockpit!$I$5,1)="B",AW143,MAX(AW143,H143))),ROUNDUP(AU143,0)))</f>
        <v>50</v>
      </c>
      <c r="AR143" s="62" t="n">
        <f aca="false">IF(CA143=1,0,ROUNDUP(AQ143/BZ143,0))</f>
        <v>1</v>
      </c>
      <c r="AS143" s="64" t="n">
        <f aca="false">IF(CR143&gt;0,CR143*MAX(1,AQ143/X143),IF(CA143=1,IF(AQ143&lt;=0,0,CE143*MAX(1,IF(H143&gt;0,AQ143/H143,1))),IF(R143&gt;0,AR143/R143,0))/MAX(0.1,N(Parameter!$M$21)))</f>
        <v>0.166666666666667</v>
      </c>
      <c r="AT143" s="62" t="n">
        <f aca="false">AS143*CC143</f>
        <v>39.1666666666667</v>
      </c>
      <c r="AU143" s="63" t="n">
        <f aca="false">IF(LEFT(Cockpit!$I$5,1)="A",H143,IF(CI143=1,(CL143+CJ143)/2,IF(LEFT(Cockpit!$I$5,1)="B",(CL143+AW143)/2,MAX((CL143+AW143)/2,H143))))</f>
        <v>50</v>
      </c>
      <c r="AV143" s="62" t="n">
        <f aca="false">AU143*G143</f>
        <v>3276</v>
      </c>
      <c r="AW143" s="62" t="n">
        <f aca="false">ROUNDUP(CL143+MAX(CM143,2*(J143/IF(CH143&gt;0,CH143,MAX(0.1,N(Cockpit!$I$6)))-CL143)),0)</f>
        <v>10</v>
      </c>
      <c r="AX143" s="63" t="n">
        <f aca="false">IF(AT143&gt;0,J143/AT143,-1)</f>
        <v>0.204255319148936</v>
      </c>
      <c r="AY143" s="63" t="n">
        <f aca="false">IF(AND(OR(CG143="L1",CG143="L23",CG143="LIFT"),AT143&gt;0),SUMIFS($AT$7:$AT$1843,$CG$7:$CG$1843,CG143,$AX$7:$AX$1843,"&gt;"&amp;AX143)+SUMIFS($AT$7:$AT$1843,$CG$7:$CG$1843,CG143,$AX$7:$AX$1843,AX143,$BX$7:$BX$1843,"&lt;="&amp;BX143),"")</f>
        <v>15270.2413003663</v>
      </c>
      <c r="AZ143" s="70" t="n">
        <f aca="false">IF(AY143="",0,MAX(0,MIN(1,(IF(CG143="L1",Parameter!$H$5,IF(CG143="L23",Parameter!$H$6+Parameter!$H$7,Parameter!$H$5+Parameter!$H$6+Parameter!$H$7))-(AY143-AT143))/AT143)))</f>
        <v>1</v>
      </c>
      <c r="BA143" s="62" t="n">
        <f aca="false">IF(LEFT(Cockpit!$O$5,1)="A",H143,IF(Parameter!$E$30="MAX-Bestand",IF(CI143=1,CJ143,IF(LEFT(Cockpit!$O$5,1)="B",BG143,MAX(BG143,H143))),ROUNDUP(BE143,0)))</f>
        <v>5</v>
      </c>
      <c r="BB143" s="62" t="n">
        <f aca="false">IF(CA143=1,0,ROUNDUP(BA143/BZ143,0))</f>
        <v>1</v>
      </c>
      <c r="BC143" s="64" t="n">
        <f aca="false">IF(CR143&gt;0,CR143*MAX(1,BA143/X143),IF(CA143=1,IF(BA143&lt;=0,0,CE143*MAX(1,IF(H143&gt;0,BA143/H143,1))),IF(R143&gt;0,BB143/R143,0))/MAX(0.1,N(Parameter!$M$21)))</f>
        <v>0.166666666666667</v>
      </c>
      <c r="BD143" s="62" t="n">
        <f aca="false">BC143*CC143</f>
        <v>39.1666666666667</v>
      </c>
      <c r="BE143" s="63" t="n">
        <f aca="false">IF(LEFT(Cockpit!$O$5,1)="A",H143,IF(CI143=1,(CL143+CJ143)/2,IF(LEFT(Cockpit!$O$5,1)="B",(CL143+BG143)/2,MAX((CL143+BG143)/2,H143))))</f>
        <v>5</v>
      </c>
      <c r="BF143" s="62" t="n">
        <f aca="false">BE143*G143</f>
        <v>327.6</v>
      </c>
      <c r="BG143" s="62" t="n">
        <f aca="false">ROUNDUP(CL143+MAX(CM143,2*(J143/IF(CH143&gt;0,CH143,MAX(0.1,N(Cockpit!$O$6)))-CL143)),0)</f>
        <v>10</v>
      </c>
      <c r="BH143" s="63" t="n">
        <f aca="false">IF(BD143&gt;0,J143/BD143,-1)</f>
        <v>0.204255319148936</v>
      </c>
      <c r="BI143" s="63" t="n">
        <f aca="false">IF(AND(OR(CG143="L1",CG143="L23",CG143="LIFT"),BD143&gt;0),SUMIFS($BD$7:$BD$1843,$CG$7:$CG$1843,CG143,$BH$7:$BH$1843,"&gt;"&amp;BH143)+SUMIFS($BD$7:$BD$1843,$CG$7:$CG$1843,CG143,$BH$7:$BH$1843,BH143,$BX$7:$BX$1843,"&lt;="&amp;BX143),"")</f>
        <v>13088.6629234701</v>
      </c>
      <c r="BJ143" s="70" t="n">
        <f aca="false">IF(BI143="",0,MAX(0,MIN(1,(IF(CG143="L1",Parameter!$H$5,IF(CG143="L23",Parameter!$H$6+Parameter!$H$7,Parameter!$H$5+Parameter!$H$6+Parameter!$H$7))-(BI143-BD143))/BD143)))</f>
        <v>1</v>
      </c>
      <c r="BK143" s="60" t="str">
        <f aca="false">IF(AJ143&lt;=0,"",IF(CG143="Aussen","Aussenlager",IF(CG143="-","Nicht im Lift",IF(AP143&gt;=1,"Lift",IF(AP143&lt;=0,"Aussenlager","teilweise")))))</f>
        <v>Lift</v>
      </c>
      <c r="BL143" s="60" t="str">
        <f aca="false">IF(AT143&lt;=0,"",IF(CG143="Aussen","Aussenlager",IF(CG143="-","Nicht im Lift",IF(AZ143&gt;=1,"Lift",IF(AZ143&lt;=0,"Aussenlager","teilweise")))))</f>
        <v>Lift</v>
      </c>
      <c r="BM143" s="60" t="str">
        <f aca="false">IF(BD143&lt;=0,"",IF(CG143="Aussen","Aussenlager",IF(CG143="-","Nicht im Lift",IF(BJ143&gt;=1,"Lift",IF(BJ143&lt;=0,"Aussenlager","teilweise")))))</f>
        <v>Lift</v>
      </c>
      <c r="BN143" s="60" t="str">
        <f aca="false">IF(A143="","",IF(BW143=1,"Neu; ","")&amp;IF(AND(BW143=0,BR143&lt;0),"negativer Bestand (Export "&amp;BR143&amp;"); ","")&amp;IF(J143&lt;=0,"Kein Verbrauch; ","")&amp;IF(CR143&gt;0,"Lift "&amp;W143&amp;" lt. Liftbericht (Fach "&amp;X143&amp;" Stk); ",IF(CB143=1,"Gebinde geschätzt ("&amp;T143&amp;"); ",IF(CA143=1,"Lose – Tablare geschätzt; ","")))&amp;IF(H143&gt;AW143,"Überbestand "&amp;ROUND(H143-AW143,0)&amp;" Stk / CHF "&amp;ROUND((H143-AW143)*G143,0)&amp;"; ","")&amp;IF(AND(CI143=1,CJ143&lt;CK143),"MAX &lt; MB+LG; ","")&amp;IF(AND(CQ143&gt;0,CP143*10&gt;CQ143),"zu hoch für Tablar; ","")&amp;IF(AND(BW143=0,OR(CI143=1,AB143&lt;&gt;"",U143&lt;&gt;"",V143&lt;&gt;"",AC143&lt;&gt;"")),"manuell übersteuert; ","")&amp;IF(AND(CA143=0,R143=0),"Gebinde unbekannt / Stellmass fehlt; ","")&amp;IF(AND(CA143=0,N(V143)&lt;=0,N(Q143)&lt;=0),"Menge pro Gebinde fehlt (Ist = 1 Gebinde); ","")&amp;BV143)</f>
        <v>Überbestand 40 Stk / CHF 2621; </v>
      </c>
      <c r="BO143" s="60"/>
      <c r="BP143" s="60"/>
      <c r="BQ143" s="67"/>
      <c r="BR143" s="62" t="n">
        <v>24</v>
      </c>
      <c r="BS143" s="62" t="n">
        <v>26</v>
      </c>
      <c r="BT143" s="61" t="n">
        <v>1431.56</v>
      </c>
      <c r="BU143" s="62" t="n">
        <v>8</v>
      </c>
      <c r="BV143" s="60"/>
      <c r="BW143" s="65" t="n">
        <v>0</v>
      </c>
      <c r="BX143" s="65" t="n">
        <v>143</v>
      </c>
      <c r="BY143" s="60" t="str">
        <f aca="false">IF(U143&lt;&gt;"",UPPER(TRIM(U143)),IF(CB143=1,UPPER(VLOOKUP(T143,Parameter!$I$27:$K$29,2,0)),IF(P143="","LOSE",P143)))</f>
        <v>S71</v>
      </c>
      <c r="BZ143" s="62" t="n">
        <f aca="false">IF(BY143="LOSE",1,IF(N(V143)&gt;0,V143,IF(CB143=1,MAX(1,N(VLOOKUP(T143,Parameter!$I$27:$K$29,3,0)),H143,N(N143)),IF(N(Q143)&gt;0,Q143,MAX(1,H143)))))</f>
        <v>50</v>
      </c>
      <c r="CA143" s="65" t="n">
        <f aca="false">IF(BY143="LOSE",1,0)</f>
        <v>0</v>
      </c>
      <c r="CB143" s="65" t="n">
        <f aca="false">IF(AND(U143="",OR(P143="",P143="LOSE"),T143&lt;&gt;"",N(S143)&lt;=0,ISNUMBER(MATCH(T143,Parameter!$I$27:$I$29,0))),1,0)</f>
        <v>0</v>
      </c>
      <c r="CC143" s="65" t="n">
        <f aca="false">IF(CR143&gt;0,INDEX(Parameter!$H$5:$H$7,W143)/INDEX(Parameter!$E$5:$E$7,W143),IF(AND(CA143=0,N(IFERROR(VLOOKUP(BY143,'Gebinde-Kategorie'!$A$5:$N$45,14,0),0))&gt;0),VLOOKUP(BY143,'Gebinde-Kategorie'!$A$5:$N$45,14,0)*10+Parameter!$M$23,Parameter!$M$24))</f>
        <v>235</v>
      </c>
      <c r="CD143" s="60" t="str">
        <f aca="false">IF(AND(Parameter!$B$19="Ja",E143&lt;&gt;"",ISNUMBER(MATCH(E143,Parameter!$I$35:$I$52,0))),VLOOKUP(E143,Parameter!$I$35:$J$52,2,0),IFERROR(VLOOKUP(D143,Parameter!$A$35:$C$64,2,0),"Nein"))</f>
        <v>2+3</v>
      </c>
      <c r="CE143" s="64" t="n">
        <f aca="false">IF(CA143=0,0,IF(N(S143)&gt;0,S143,IFERROR(VLOOKUP(D143,Parameter!$A$35:$C$64,3,0)+0,0)))</f>
        <v>0</v>
      </c>
      <c r="CF143" s="60" t="n">
        <f aca="false">IF(AB143&lt;&gt;"",AB143,AA143)</f>
        <v>2</v>
      </c>
      <c r="CG143" s="60" t="str">
        <f aca="false">IF(OR(CF143=1,CF143=2,CF143=3),IF(Parameter!$E$27="Ja","LIFT",IF(CF143=1,"L1","L23")),IF(CF143="Aussen","Aussen","-"))</f>
        <v>LIFT</v>
      </c>
      <c r="CH143" s="71" t="n">
        <f aca="false">IF(N(AC143)&gt;0,AC143,0)</f>
        <v>0</v>
      </c>
      <c r="CI143" s="65" t="n">
        <f aca="false">IF(ISNUMBER(AF143),1,0)</f>
        <v>0</v>
      </c>
      <c r="CJ143" s="62" t="n">
        <f aca="false">N(AF143)</f>
        <v>0</v>
      </c>
      <c r="CK143" s="62" t="n">
        <f aca="false">N(M143)+N(N143)</f>
        <v>10</v>
      </c>
      <c r="CL143" s="62" t="n">
        <f aca="false">N(M143)</f>
        <v>0</v>
      </c>
      <c r="CM143" s="62" t="n">
        <f aca="false">N(N143)</f>
        <v>10</v>
      </c>
      <c r="CN143" s="62" t="n">
        <f aca="false">ROUNDUP(H143/BZ143,0)</f>
        <v>1</v>
      </c>
      <c r="CO143" s="62" t="n">
        <f aca="false">ROUNDUP(CJ143/BZ143,0)</f>
        <v>0</v>
      </c>
      <c r="CP143" s="65" t="n">
        <f aca="false">IF(CA143=1,0,IFERROR(VLOOKUP(BY143,'Gebinde-Kategorie'!$A$5:$N$45,5,0)+0,0))</f>
        <v>20</v>
      </c>
      <c r="CQ143" s="65" t="n">
        <f aca="false">IFERROR(IF(OR(CF143=1,CF143=2,CF143=3),N(INDEX(Parameter!$I$5:$I$7,CF143)),0),0)</f>
        <v>0</v>
      </c>
      <c r="CR143" s="64" t="n">
        <f aca="false">IF(AND(Parameter!$B$21="Ja",ISNUMBER(W143),N(X143)&gt;0),IFERROR(N(INDEX(Parameter!$L$5:$L$7,W143))*INDEX(Parameter!$E$5:$E$7,W143)*X143/SUMIFS($X$7:$X$1843,$W$7:$W$1843,W143),0),0)</f>
        <v>0</v>
      </c>
      <c r="CS143" s="62" t="n">
        <f aca="false">IF(AND(OR(CG143="L1",CG143="L23",CG143="LIFT"),H143&gt;0),CC143*IF(CR143&gt;0,CR143*MAX(1,H143/X143),IF(CA143=1,CE143,IF(R143&gt;0,CN143/R143,0))/MAX(0.1,N(Parameter!$M$21))),"")</f>
        <v>39.1666666666667</v>
      </c>
      <c r="CT143" s="64" t="n">
        <f aca="false">IF(CS143="","",J143/H143)</f>
        <v>0.16</v>
      </c>
      <c r="CU143" s="62" t="n">
        <f aca="false">IF(CS143="","",H143*G143)</f>
        <v>3276</v>
      </c>
      <c r="CV143" s="63" t="n">
        <f aca="false">IF(CS143="","",(CL143+ROUNDUP(CL143+MAX(CM143,2*(J143/MAX(0.1,N(Einkauf!$C$6))-CL143)),0))/2)</f>
        <v>5</v>
      </c>
      <c r="CW143" s="62" t="n">
        <f aca="false">IF(CS143="","",MAX(0,H143-CV143)*G143)</f>
        <v>2948.4</v>
      </c>
      <c r="CX143" s="62" t="n">
        <f aca="false">IF(CS143="","",CS143*MAX(0,1-CV143/H143))</f>
        <v>35.25</v>
      </c>
      <c r="CY143" s="64" t="n">
        <f aca="false">IF(CS143="","",PERCENTRANK($CS$7:$CS$1843,CS143)+PERCENTRANK($CU$7:$CU$1843,CU143)+1-PERCENTRANK($CT$7:$CT$1843,CT143))</f>
        <v>2.249</v>
      </c>
      <c r="CZ143" s="72" t="n">
        <f aca="false">IF(CS143="","",CHOOSE(MATCH(Einkauf!$C$5,Parameter!$G$23:$G$27,0),CY143,CS143,CU143,-CT143,CW143)+ROW()/1000000000)</f>
        <v>2.249000143</v>
      </c>
    </row>
    <row r="144" customFormat="false" ht="15" hidden="false" customHeight="false" outlineLevel="0" collapsed="false">
      <c r="A144" s="60" t="s">
        <v>536</v>
      </c>
      <c r="B144" s="60" t="s">
        <v>537</v>
      </c>
      <c r="C144" s="60" t="s">
        <v>206</v>
      </c>
      <c r="D144" s="60" t="s">
        <v>226</v>
      </c>
      <c r="E144" s="60"/>
      <c r="F144" s="60" t="s">
        <v>260</v>
      </c>
      <c r="G144" s="61" t="n">
        <v>6.9</v>
      </c>
      <c r="H144" s="62" t="n">
        <f aca="false">MAX(0,IF(AND(Parameter!$B$21="Ja",ISNUMBER(Y144)),Y144,IF(Parameter!$B$20="Jahresanfang 2025 + Export",BS144+BR144,BR144)))</f>
        <v>207</v>
      </c>
      <c r="I144" s="62" t="n">
        <f aca="false">H144*G144</f>
        <v>1428.3</v>
      </c>
      <c r="J144" s="62" t="n">
        <f aca="false">BU144*Parameter!$B$18</f>
        <v>40</v>
      </c>
      <c r="K144" s="63" t="n">
        <v>8</v>
      </c>
      <c r="L144" s="64" t="n">
        <v>5</v>
      </c>
      <c r="M144" s="62" t="n">
        <v>1</v>
      </c>
      <c r="N144" s="62" t="n">
        <v>40</v>
      </c>
      <c r="O144" s="65" t="n">
        <v>14</v>
      </c>
      <c r="P144" s="60" t="s">
        <v>468</v>
      </c>
      <c r="Q144" s="62" t="n">
        <v>30</v>
      </c>
      <c r="R144" s="65" t="n">
        <f aca="false">IF(CA144=1,0,IFERROR(VLOOKUP(BY144,'Gebinde-Kategorie'!$A$5:$N$45,13,0)+0,0))</f>
        <v>140</v>
      </c>
      <c r="S144" s="66"/>
      <c r="T144" s="67"/>
      <c r="U144" s="67"/>
      <c r="V144" s="67"/>
      <c r="W144" s="60"/>
      <c r="X144" s="62"/>
      <c r="Y144" s="62"/>
      <c r="Z144" s="60" t="n">
        <v>3</v>
      </c>
      <c r="AA144" s="60" t="n">
        <f aca="false">IF(A144="","",IF(AND(Parameter!$B$21="Ja",ISNUMBER(W144)),W144,IF(AND(Parameter!$E$27="Ja",ISNUMBER(Z144),CD144&lt;&gt;"Nein"),Z144,IF(CD144="2+3",IF(ISNUMBER(SEARCH("grosser Artikel",BV144)),2,IFERROR(VLOOKUP(BY144,Parameter!$F$35:$G$64,2,0),2)),IF(OR(CD144="Nein",CD144=""),"-",CD144)))))</f>
        <v>3</v>
      </c>
      <c r="AB144" s="67"/>
      <c r="AC144" s="68"/>
      <c r="AD144" s="62" t="n">
        <f aca="false">AW144</f>
        <v>41</v>
      </c>
      <c r="AE144" s="62" t="n">
        <f aca="false">MAX(AW144,H144)</f>
        <v>207</v>
      </c>
      <c r="AF144" s="69"/>
      <c r="AG144" s="62" t="n">
        <f aca="false">IF(LEFT(Cockpit!$C$5,1)="A",H144,IF(Parameter!$E$30="MAX-Bestand",IF(CI144=1,CJ144,IF(LEFT(Cockpit!$C$5,1)="B",AM144,MAX(AM144,H144))),ROUNDUP(AK144,0)))</f>
        <v>207</v>
      </c>
      <c r="AH144" s="62" t="n">
        <f aca="false">IF(CA144=1,0,ROUNDUP(AG144/BZ144,0))</f>
        <v>7</v>
      </c>
      <c r="AI144" s="64" t="n">
        <f aca="false">IF(CR144&gt;0,CR144*MAX(1,AG144/X144),IF(CA144=1,IF(AG144&lt;=0,0,CE144*MAX(1,IF(H144&gt;0,AG144/H144,1))),IF(R144&gt;0,AH144/R144,0))/MAX(0.1,N(Parameter!$M$21)))</f>
        <v>0.05</v>
      </c>
      <c r="AJ144" s="62" t="n">
        <f aca="false">AI144*CC144</f>
        <v>7.75</v>
      </c>
      <c r="AK144" s="63" t="n">
        <f aca="false">IF(LEFT(Cockpit!$C$5,1)="A",H144,IF(CI144=1,(CL144+CJ144)/2,IF(LEFT(Cockpit!$C$5,1)="B",(CL144+AM144)/2,MAX((CL144+AM144)/2,H144))))</f>
        <v>207</v>
      </c>
      <c r="AL144" s="62" t="n">
        <f aca="false">AK144*G144</f>
        <v>1428.3</v>
      </c>
      <c r="AM144" s="62" t="n">
        <f aca="false">ROUNDUP(CL144+MAX(CM144,2*(J144/IF(CH144&gt;0,CH144,MAX(0.1,N(Cockpit!$C$6)))-CL144)),0)</f>
        <v>41</v>
      </c>
      <c r="AN144" s="63" t="n">
        <f aca="false">IF(AJ144&gt;0,J144/AJ144,-1)</f>
        <v>5.16129032258065</v>
      </c>
      <c r="AO144" s="63" t="n">
        <f aca="false">IF(AND(OR(CG144="L1",CG144="L23",CG144="LIFT"),AJ144&gt;0),SUMIFS($AJ$7:$AJ$1843,$CG$7:$CG$1843,CG144,$AN$7:$AN$1843,"&gt;"&amp;AN144)+SUMIFS($AJ$7:$AJ$1843,$CG$7:$CG$1843,CG144,$AN$7:$AN$1843,AN144,$BX$7:$BX$1843,"&lt;="&amp;BX144),"")</f>
        <v>3885.14331501832</v>
      </c>
      <c r="AP144" s="70" t="n">
        <f aca="false">IF(AO144="",0,MAX(0,MIN(1,(IF(CG144="L1",Parameter!$H$5,IF(CG144="L23",Parameter!$H$6+Parameter!$H$7,Parameter!$H$5+Parameter!$H$6+Parameter!$H$7))-(AO144-AJ144))/AJ144)))</f>
        <v>1</v>
      </c>
      <c r="AQ144" s="62" t="n">
        <f aca="false">IF(LEFT(Cockpit!$I$5,1)="A",H144,IF(Parameter!$E$30="MAX-Bestand",IF(CI144=1,CJ144,IF(LEFT(Cockpit!$I$5,1)="B",AW144,MAX(AW144,H144))),ROUNDUP(AU144,0)))</f>
        <v>207</v>
      </c>
      <c r="AR144" s="62" t="n">
        <f aca="false">IF(CA144=1,0,ROUNDUP(AQ144/BZ144,0))</f>
        <v>7</v>
      </c>
      <c r="AS144" s="64" t="n">
        <f aca="false">IF(CR144&gt;0,CR144*MAX(1,AQ144/X144),IF(CA144=1,IF(AQ144&lt;=0,0,CE144*MAX(1,IF(H144&gt;0,AQ144/H144,1))),IF(R144&gt;0,AR144/R144,0))/MAX(0.1,N(Parameter!$M$21)))</f>
        <v>0.05</v>
      </c>
      <c r="AT144" s="62" t="n">
        <f aca="false">AS144*CC144</f>
        <v>7.75</v>
      </c>
      <c r="AU144" s="63" t="n">
        <f aca="false">IF(LEFT(Cockpit!$I$5,1)="A",H144,IF(CI144=1,(CL144+CJ144)/2,IF(LEFT(Cockpit!$I$5,1)="B",(CL144+AW144)/2,MAX((CL144+AW144)/2,H144))))</f>
        <v>207</v>
      </c>
      <c r="AV144" s="62" t="n">
        <f aca="false">AU144*G144</f>
        <v>1428.3</v>
      </c>
      <c r="AW144" s="62" t="n">
        <f aca="false">ROUNDUP(CL144+MAX(CM144,2*(J144/IF(CH144&gt;0,CH144,MAX(0.1,N(Cockpit!$I$6)))-CL144)),0)</f>
        <v>41</v>
      </c>
      <c r="AX144" s="63" t="n">
        <f aca="false">IF(AT144&gt;0,J144/AT144,-1)</f>
        <v>5.16129032258065</v>
      </c>
      <c r="AY144" s="63" t="n">
        <f aca="false">IF(AND(OR(CG144="L1",CG144="L23",CG144="LIFT"),AT144&gt;0),SUMIFS($AT$7:$AT$1843,$CG$7:$CG$1843,CG144,$AX$7:$AX$1843,"&gt;"&amp;AX144)+SUMIFS($AT$7:$AT$1843,$CG$7:$CG$1843,CG144,$AX$7:$AX$1843,AX144,$BX$7:$BX$1843,"&lt;="&amp;BX144),"")</f>
        <v>4481.38415750916</v>
      </c>
      <c r="AZ144" s="70" t="n">
        <f aca="false">IF(AY144="",0,MAX(0,MIN(1,(IF(CG144="L1",Parameter!$H$5,IF(CG144="L23",Parameter!$H$6+Parameter!$H$7,Parameter!$H$5+Parameter!$H$6+Parameter!$H$7))-(AY144-AT144))/AT144)))</f>
        <v>1</v>
      </c>
      <c r="BA144" s="62" t="n">
        <f aca="false">IF(LEFT(Cockpit!$O$5,1)="A",H144,IF(Parameter!$E$30="MAX-Bestand",IF(CI144=1,CJ144,IF(LEFT(Cockpit!$O$5,1)="B",BG144,MAX(BG144,H144))),ROUNDUP(BE144,0)))</f>
        <v>21</v>
      </c>
      <c r="BB144" s="62" t="n">
        <f aca="false">IF(CA144=1,0,ROUNDUP(BA144/BZ144,0))</f>
        <v>1</v>
      </c>
      <c r="BC144" s="64" t="n">
        <f aca="false">IF(CR144&gt;0,CR144*MAX(1,BA144/X144),IF(CA144=1,IF(BA144&lt;=0,0,CE144*MAX(1,IF(H144&gt;0,BA144/H144,1))),IF(R144&gt;0,BB144/R144,0))/MAX(0.1,N(Parameter!$M$21)))</f>
        <v>0.00714285714285714</v>
      </c>
      <c r="BD144" s="62" t="n">
        <f aca="false">BC144*CC144</f>
        <v>1.10714285714286</v>
      </c>
      <c r="BE144" s="63" t="n">
        <f aca="false">IF(LEFT(Cockpit!$O$5,1)="A",H144,IF(CI144=1,(CL144+CJ144)/2,IF(LEFT(Cockpit!$O$5,1)="B",(CL144+BG144)/2,MAX((CL144+BG144)/2,H144))))</f>
        <v>21</v>
      </c>
      <c r="BF144" s="62" t="n">
        <f aca="false">BE144*G144</f>
        <v>144.9</v>
      </c>
      <c r="BG144" s="62" t="n">
        <f aca="false">ROUNDUP(CL144+MAX(CM144,2*(J144/IF(CH144&gt;0,CH144,MAX(0.1,N(Cockpit!$O$6)))-CL144)),0)</f>
        <v>41</v>
      </c>
      <c r="BH144" s="63" t="n">
        <f aca="false">IF(BD144&gt;0,J144/BD144,-1)</f>
        <v>36.1290322580645</v>
      </c>
      <c r="BI144" s="63" t="n">
        <f aca="false">IF(AND(OR(CG144="L1",CG144="L23",CG144="LIFT"),BD144&gt;0),SUMIFS($BD$7:$BD$1843,$CG$7:$CG$1843,CG144,$BH$7:$BH$1843,"&gt;"&amp;BH144)+SUMIFS($BD$7:$BD$1843,$CG$7:$CG$1843,CG144,$BH$7:$BH$1843,BH144,$BX$7:$BX$1843,"&lt;="&amp;BX144),"")</f>
        <v>1530.05265567766</v>
      </c>
      <c r="BJ144" s="70" t="n">
        <f aca="false">IF(BI144="",0,MAX(0,MIN(1,(IF(CG144="L1",Parameter!$H$5,IF(CG144="L23",Parameter!$H$6+Parameter!$H$7,Parameter!$H$5+Parameter!$H$6+Parameter!$H$7))-(BI144-BD144))/BD144)))</f>
        <v>1</v>
      </c>
      <c r="BK144" s="60" t="str">
        <f aca="false">IF(AJ144&lt;=0,"",IF(CG144="Aussen","Aussenlager",IF(CG144="-","Nicht im Lift",IF(AP144&gt;=1,"Lift",IF(AP144&lt;=0,"Aussenlager","teilweise")))))</f>
        <v>Lift</v>
      </c>
      <c r="BL144" s="60" t="str">
        <f aca="false">IF(AT144&lt;=0,"",IF(CG144="Aussen","Aussenlager",IF(CG144="-","Nicht im Lift",IF(AZ144&gt;=1,"Lift",IF(AZ144&lt;=0,"Aussenlager","teilweise")))))</f>
        <v>Lift</v>
      </c>
      <c r="BM144" s="60" t="str">
        <f aca="false">IF(BD144&lt;=0,"",IF(CG144="Aussen","Aussenlager",IF(CG144="-","Nicht im Lift",IF(BJ144&gt;=1,"Lift",IF(BJ144&lt;=0,"Aussenlager","teilweise")))))</f>
        <v>Lift</v>
      </c>
      <c r="BN144" s="60" t="str">
        <f aca="false">IF(A144="","",IF(BW144=1,"Neu; ","")&amp;IF(AND(BW144=0,BR144&lt;0),"negativer Bestand (Export "&amp;BR144&amp;"); ","")&amp;IF(J144&lt;=0,"Kein Verbrauch; ","")&amp;IF(CR144&gt;0,"Lift "&amp;W144&amp;" lt. Liftbericht (Fach "&amp;X144&amp;" Stk); ",IF(CB144=1,"Gebinde geschätzt ("&amp;T144&amp;"); ",IF(CA144=1,"Lose – Tablare geschätzt; ","")))&amp;IF(H144&gt;AW144,"Überbestand "&amp;ROUND(H144-AW144,0)&amp;" Stk / CHF "&amp;ROUND((H144-AW144)*G144,0)&amp;"; ","")&amp;IF(AND(CI144=1,CJ144&lt;CK144),"MAX &lt; MB+LG; ","")&amp;IF(AND(CQ144&gt;0,CP144*10&gt;CQ144),"zu hoch für Tablar; ","")&amp;IF(AND(BW144=0,OR(CI144=1,AB144&lt;&gt;"",U144&lt;&gt;"",V144&lt;&gt;"",AC144&lt;&gt;"")),"manuell übersteuert; ","")&amp;IF(AND(CA144=0,R144=0),"Gebinde unbekannt / Stellmass fehlt; ","")&amp;IF(AND(CA144=0,N(V144)&lt;=0,N(Q144)&lt;=0),"Menge pro Gebinde fehlt (Ist = 1 Gebinde); ","")&amp;BV144)</f>
        <v>Überbestand 166 Stk / CHF 1145; </v>
      </c>
      <c r="BO144" s="60"/>
      <c r="BP144" s="60"/>
      <c r="BQ144" s="67"/>
      <c r="BR144" s="62" t="n">
        <v>207</v>
      </c>
      <c r="BS144" s="62" t="n">
        <v>0</v>
      </c>
      <c r="BT144" s="61" t="n">
        <v>1428.28</v>
      </c>
      <c r="BU144" s="62" t="n">
        <v>40</v>
      </c>
      <c r="BV144" s="60"/>
      <c r="BW144" s="65" t="n">
        <v>0</v>
      </c>
      <c r="BX144" s="65" t="n">
        <v>144</v>
      </c>
      <c r="BY144" s="60" t="str">
        <f aca="false">IF(U144&lt;&gt;"",UPPER(TRIM(U144)),IF(CB144=1,UPPER(VLOOKUP(T144,Parameter!$I$27:$K$29,2,0)),IF(P144="","LOSE",P144)))</f>
        <v>S22</v>
      </c>
      <c r="BZ144" s="62" t="n">
        <f aca="false">IF(BY144="LOSE",1,IF(N(V144)&gt;0,V144,IF(CB144=1,MAX(1,N(VLOOKUP(T144,Parameter!$I$27:$K$29,3,0)),H144,N(N144)),IF(N(Q144)&gt;0,Q144,MAX(1,H144)))))</f>
        <v>30</v>
      </c>
      <c r="CA144" s="65" t="n">
        <f aca="false">IF(BY144="LOSE",1,0)</f>
        <v>0</v>
      </c>
      <c r="CB144" s="65" t="n">
        <f aca="false">IF(AND(U144="",OR(P144="",P144="LOSE"),T144&lt;&gt;"",N(S144)&lt;=0,ISNUMBER(MATCH(T144,Parameter!$I$27:$I$29,0))),1,0)</f>
        <v>0</v>
      </c>
      <c r="CC144" s="65" t="n">
        <f aca="false">IF(CR144&gt;0,INDEX(Parameter!$H$5:$H$7,W144)/INDEX(Parameter!$E$5:$E$7,W144),IF(AND(CA144=0,N(IFERROR(VLOOKUP(BY144,'Gebinde-Kategorie'!$A$5:$N$45,14,0),0))&gt;0),VLOOKUP(BY144,'Gebinde-Kategorie'!$A$5:$N$45,14,0)*10+Parameter!$M$23,Parameter!$M$24))</f>
        <v>155</v>
      </c>
      <c r="CD144" s="60" t="str">
        <f aca="false">IF(AND(Parameter!$B$19="Ja",E144&lt;&gt;"",ISNUMBER(MATCH(E144,Parameter!$I$35:$I$52,0))),VLOOKUP(E144,Parameter!$I$35:$J$52,2,0),IFERROR(VLOOKUP(D144,Parameter!$A$35:$C$64,2,0),"Nein"))</f>
        <v>2+3</v>
      </c>
      <c r="CE144" s="64" t="n">
        <f aca="false">IF(CA144=0,0,IF(N(S144)&gt;0,S144,IFERROR(VLOOKUP(D144,Parameter!$A$35:$C$64,3,0)+0,0)))</f>
        <v>0</v>
      </c>
      <c r="CF144" s="60" t="n">
        <f aca="false">IF(AB144&lt;&gt;"",AB144,AA144)</f>
        <v>3</v>
      </c>
      <c r="CG144" s="60" t="str">
        <f aca="false">IF(OR(CF144=1,CF144=2,CF144=3),IF(Parameter!$E$27="Ja","LIFT",IF(CF144=1,"L1","L23")),IF(CF144="Aussen","Aussen","-"))</f>
        <v>LIFT</v>
      </c>
      <c r="CH144" s="71" t="n">
        <f aca="false">IF(N(AC144)&gt;0,AC144,0)</f>
        <v>0</v>
      </c>
      <c r="CI144" s="65" t="n">
        <f aca="false">IF(ISNUMBER(AF144),1,0)</f>
        <v>0</v>
      </c>
      <c r="CJ144" s="62" t="n">
        <f aca="false">N(AF144)</f>
        <v>0</v>
      </c>
      <c r="CK144" s="62" t="n">
        <f aca="false">N(M144)+N(N144)</f>
        <v>41</v>
      </c>
      <c r="CL144" s="62" t="n">
        <f aca="false">N(M144)</f>
        <v>1</v>
      </c>
      <c r="CM144" s="62" t="n">
        <f aca="false">N(N144)</f>
        <v>40</v>
      </c>
      <c r="CN144" s="62" t="n">
        <f aca="false">ROUNDUP(H144/BZ144,0)</f>
        <v>7</v>
      </c>
      <c r="CO144" s="62" t="n">
        <f aca="false">ROUNDUP(CJ144/BZ144,0)</f>
        <v>0</v>
      </c>
      <c r="CP144" s="65" t="n">
        <f aca="false">IF(CA144=1,0,IFERROR(VLOOKUP(BY144,'Gebinde-Kategorie'!$A$5:$N$45,5,0)+0,0))</f>
        <v>8</v>
      </c>
      <c r="CQ144" s="65" t="n">
        <f aca="false">IFERROR(IF(OR(CF144=1,CF144=2,CF144=3),N(INDEX(Parameter!$I$5:$I$7,CF144)),0),0)</f>
        <v>0</v>
      </c>
      <c r="CR144" s="64" t="n">
        <f aca="false">IF(AND(Parameter!$B$21="Ja",ISNUMBER(W144),N(X144)&gt;0),IFERROR(N(INDEX(Parameter!$L$5:$L$7,W144))*INDEX(Parameter!$E$5:$E$7,W144)*X144/SUMIFS($X$7:$X$1843,$W$7:$W$1843,W144),0),0)</f>
        <v>0</v>
      </c>
      <c r="CS144" s="62" t="n">
        <f aca="false">IF(AND(OR(CG144="L1",CG144="L23",CG144="LIFT"),H144&gt;0),CC144*IF(CR144&gt;0,CR144*MAX(1,H144/X144),IF(CA144=1,CE144,IF(R144&gt;0,CN144/R144,0))/MAX(0.1,N(Parameter!$M$21))),"")</f>
        <v>7.75</v>
      </c>
      <c r="CT144" s="64" t="n">
        <f aca="false">IF(CS144="","",J144/H144)</f>
        <v>0.193236714975845</v>
      </c>
      <c r="CU144" s="62" t="n">
        <f aca="false">IF(CS144="","",H144*G144)</f>
        <v>1428.3</v>
      </c>
      <c r="CV144" s="63" t="n">
        <f aca="false">IF(CS144="","",(CL144+ROUNDUP(CL144+MAX(CM144,2*(J144/MAX(0.1,N(Einkauf!$C$6))-CL144)),0))/2)</f>
        <v>21</v>
      </c>
      <c r="CW144" s="62" t="n">
        <f aca="false">IF(CS144="","",MAX(0,H144-CV144)*G144)</f>
        <v>1283.4</v>
      </c>
      <c r="CX144" s="62" t="n">
        <f aca="false">IF(CS144="","",CS144*MAX(0,1-CV144/H144))</f>
        <v>6.96376811594203</v>
      </c>
      <c r="CY144" s="64" t="n">
        <f aca="false">IF(CS144="","",PERCENTRANK($CS$7:$CS$1843,CS144)+PERCENTRANK($CU$7:$CU$1843,CU144)+1-PERCENTRANK($CT$7:$CT$1843,CT144))</f>
        <v>1.803</v>
      </c>
      <c r="CZ144" s="72" t="n">
        <f aca="false">IF(CS144="","",CHOOSE(MATCH(Einkauf!$C$5,Parameter!$G$23:$G$27,0),CY144,CS144,CU144,-CT144,CW144)+ROW()/1000000000)</f>
        <v>1.803000144</v>
      </c>
    </row>
    <row r="145" customFormat="false" ht="15" hidden="false" customHeight="false" outlineLevel="0" collapsed="false">
      <c r="A145" s="60" t="s">
        <v>538</v>
      </c>
      <c r="B145" s="60" t="s">
        <v>539</v>
      </c>
      <c r="C145" s="60" t="s">
        <v>206</v>
      </c>
      <c r="D145" s="60" t="s">
        <v>226</v>
      </c>
      <c r="E145" s="60" t="s">
        <v>227</v>
      </c>
      <c r="F145" s="60" t="s">
        <v>260</v>
      </c>
      <c r="G145" s="61" t="n">
        <v>8.71</v>
      </c>
      <c r="H145" s="62" t="n">
        <f aca="false">MAX(0,IF(AND(Parameter!$B$21="Ja",ISNUMBER(Y145)),Y145,IF(Parameter!$B$20="Jahresanfang 2025 + Export",BS145+BR145,BR145)))</f>
        <v>197</v>
      </c>
      <c r="I145" s="62" t="n">
        <f aca="false">H145*G145</f>
        <v>1715.87</v>
      </c>
      <c r="J145" s="62" t="n">
        <f aca="false">BU145*Parameter!$B$18</f>
        <v>134</v>
      </c>
      <c r="K145" s="63" t="n">
        <v>86</v>
      </c>
      <c r="L145" s="64" t="n">
        <v>1.55813953488372</v>
      </c>
      <c r="M145" s="62" t="n">
        <v>20</v>
      </c>
      <c r="N145" s="62" t="n">
        <v>135</v>
      </c>
      <c r="O145" s="65" t="n">
        <v>56</v>
      </c>
      <c r="P145" s="60" t="s">
        <v>463</v>
      </c>
      <c r="Q145" s="62" t="n">
        <v>91</v>
      </c>
      <c r="R145" s="65" t="n">
        <f aca="false">IF(CA145=1,0,IFERROR(VLOOKUP(BY145,'Gebinde-Kategorie'!$A$5:$N$45,13,0)+0,0))</f>
        <v>104</v>
      </c>
      <c r="S145" s="66"/>
      <c r="T145" s="67"/>
      <c r="U145" s="67"/>
      <c r="V145" s="67"/>
      <c r="W145" s="60"/>
      <c r="X145" s="62"/>
      <c r="Y145" s="62"/>
      <c r="Z145" s="60" t="n">
        <v>3</v>
      </c>
      <c r="AA145" s="60" t="n">
        <f aca="false">IF(A145="","",IF(AND(Parameter!$B$21="Ja",ISNUMBER(W145)),W145,IF(AND(Parameter!$E$27="Ja",ISNUMBER(Z145),CD145&lt;&gt;"Nein"),Z145,IF(CD145="2+3",IF(ISNUMBER(SEARCH("grosser Artikel",BV145)),2,IFERROR(VLOOKUP(BY145,Parameter!$F$35:$G$64,2,0),2)),IF(OR(CD145="Nein",CD145=""),"-",CD145)))))</f>
        <v>3</v>
      </c>
      <c r="AB145" s="67"/>
      <c r="AC145" s="68"/>
      <c r="AD145" s="62" t="n">
        <f aca="false">AW145</f>
        <v>155</v>
      </c>
      <c r="AE145" s="62" t="n">
        <f aca="false">MAX(AW145,H145)</f>
        <v>197</v>
      </c>
      <c r="AF145" s="69"/>
      <c r="AG145" s="62" t="n">
        <f aca="false">IF(LEFT(Cockpit!$C$5,1)="A",H145,IF(Parameter!$E$30="MAX-Bestand",IF(CI145=1,CJ145,IF(LEFT(Cockpit!$C$5,1)="B",AM145,MAX(AM145,H145))),ROUNDUP(AK145,0)))</f>
        <v>197</v>
      </c>
      <c r="AH145" s="62" t="n">
        <f aca="false">IF(CA145=1,0,ROUNDUP(AG145/BZ145,0))</f>
        <v>3</v>
      </c>
      <c r="AI145" s="64" t="n">
        <f aca="false">IF(CR145&gt;0,CR145*MAX(1,AG145/X145),IF(CA145=1,IF(AG145&lt;=0,0,CE145*MAX(1,IF(H145&gt;0,AG145/H145,1))),IF(R145&gt;0,AH145/R145,0))/MAX(0.1,N(Parameter!$M$21)))</f>
        <v>0.0288461538461538</v>
      </c>
      <c r="AJ145" s="62" t="n">
        <f aca="false">AI145*CC145</f>
        <v>4.47115384615385</v>
      </c>
      <c r="AK145" s="63" t="n">
        <f aca="false">IF(LEFT(Cockpit!$C$5,1)="A",H145,IF(CI145=1,(CL145+CJ145)/2,IF(LEFT(Cockpit!$C$5,1)="B",(CL145+AM145)/2,MAX((CL145+AM145)/2,H145))))</f>
        <v>197</v>
      </c>
      <c r="AL145" s="62" t="n">
        <f aca="false">AK145*G145</f>
        <v>1715.87</v>
      </c>
      <c r="AM145" s="62" t="n">
        <f aca="false">ROUNDUP(CL145+MAX(CM145,2*(J145/IF(CH145&gt;0,CH145,MAX(0.1,N(Cockpit!$C$6)))-CL145)),0)</f>
        <v>155</v>
      </c>
      <c r="AN145" s="63" t="n">
        <f aca="false">IF(AJ145&gt;0,J145/AJ145,-1)</f>
        <v>29.9698924731183</v>
      </c>
      <c r="AO145" s="63" t="n">
        <f aca="false">IF(AND(OR(CG145="L1",CG145="L23",CG145="LIFT"),AJ145&gt;0),SUMIFS($AJ$7:$AJ$1843,$CG$7:$CG$1843,CG145,$AN$7:$AN$1843,"&gt;"&amp;AN145)+SUMIFS($AJ$7:$AJ$1843,$CG$7:$CG$1843,CG145,$AN$7:$AN$1843,AN145,$BX$7:$BX$1843,"&lt;="&amp;BX145),"")</f>
        <v>1492.11767399267</v>
      </c>
      <c r="AP145" s="70" t="n">
        <f aca="false">IF(AO145="",0,MAX(0,MIN(1,(IF(CG145="L1",Parameter!$H$5,IF(CG145="L23",Parameter!$H$6+Parameter!$H$7,Parameter!$H$5+Parameter!$H$6+Parameter!$H$7))-(AO145-AJ145))/AJ145)))</f>
        <v>1</v>
      </c>
      <c r="AQ145" s="62" t="n">
        <f aca="false">IF(LEFT(Cockpit!$I$5,1)="A",H145,IF(Parameter!$E$30="MAX-Bestand",IF(CI145=1,CJ145,IF(LEFT(Cockpit!$I$5,1)="B",AW145,MAX(AW145,H145))),ROUNDUP(AU145,0)))</f>
        <v>197</v>
      </c>
      <c r="AR145" s="62" t="n">
        <f aca="false">IF(CA145=1,0,ROUNDUP(AQ145/BZ145,0))</f>
        <v>3</v>
      </c>
      <c r="AS145" s="64" t="n">
        <f aca="false">IF(CR145&gt;0,CR145*MAX(1,AQ145/X145),IF(CA145=1,IF(AQ145&lt;=0,0,CE145*MAX(1,IF(H145&gt;0,AQ145/H145,1))),IF(R145&gt;0,AR145/R145,0))/MAX(0.1,N(Parameter!$M$21)))</f>
        <v>0.0288461538461538</v>
      </c>
      <c r="AT145" s="62" t="n">
        <f aca="false">AS145*CC145</f>
        <v>4.47115384615385</v>
      </c>
      <c r="AU145" s="63" t="n">
        <f aca="false">IF(LEFT(Cockpit!$I$5,1)="A",H145,IF(CI145=1,(CL145+CJ145)/2,IF(LEFT(Cockpit!$I$5,1)="B",(CL145+AW145)/2,MAX((CL145+AW145)/2,H145))))</f>
        <v>197</v>
      </c>
      <c r="AV145" s="62" t="n">
        <f aca="false">AU145*G145</f>
        <v>1715.87</v>
      </c>
      <c r="AW145" s="62" t="n">
        <f aca="false">ROUNDUP(CL145+MAX(CM145,2*(J145/IF(CH145&gt;0,CH145,MAX(0.1,N(Cockpit!$I$6)))-CL145)),0)</f>
        <v>155</v>
      </c>
      <c r="AX145" s="63" t="n">
        <f aca="false">IF(AT145&gt;0,J145/AT145,-1)</f>
        <v>29.9698924731183</v>
      </c>
      <c r="AY145" s="63" t="n">
        <f aca="false">IF(AND(OR(CG145="L1",CG145="L23",CG145="LIFT"),AT145&gt;0),SUMIFS($AT$7:$AT$1843,$CG$7:$CG$1843,CG145,$AX$7:$AX$1843,"&gt;"&amp;AX145)+SUMIFS($AT$7:$AT$1843,$CG$7:$CG$1843,CG145,$AX$7:$AX$1843,AX145,$BX$7:$BX$1843,"&lt;="&amp;BX145),"")</f>
        <v>1910.74496336996</v>
      </c>
      <c r="AZ145" s="70" t="n">
        <f aca="false">IF(AY145="",0,MAX(0,MIN(1,(IF(CG145="L1",Parameter!$H$5,IF(CG145="L23",Parameter!$H$6+Parameter!$H$7,Parameter!$H$5+Parameter!$H$6+Parameter!$H$7))-(AY145-AT145))/AT145)))</f>
        <v>1</v>
      </c>
      <c r="BA145" s="62" t="n">
        <f aca="false">IF(LEFT(Cockpit!$O$5,1)="A",H145,IF(Parameter!$E$30="MAX-Bestand",IF(CI145=1,CJ145,IF(LEFT(Cockpit!$O$5,1)="B",BG145,MAX(BG145,H145))),ROUNDUP(BE145,0)))</f>
        <v>88</v>
      </c>
      <c r="BB145" s="62" t="n">
        <f aca="false">IF(CA145=1,0,ROUNDUP(BA145/BZ145,0))</f>
        <v>1</v>
      </c>
      <c r="BC145" s="64" t="n">
        <f aca="false">IF(CR145&gt;0,CR145*MAX(1,BA145/X145),IF(CA145=1,IF(BA145&lt;=0,0,CE145*MAX(1,IF(H145&gt;0,BA145/H145,1))),IF(R145&gt;0,BB145/R145,0))/MAX(0.1,N(Parameter!$M$21)))</f>
        <v>0.00961538461538462</v>
      </c>
      <c r="BD145" s="62" t="n">
        <f aca="false">BC145*CC145</f>
        <v>1.49038461538462</v>
      </c>
      <c r="BE145" s="63" t="n">
        <f aca="false">IF(LEFT(Cockpit!$O$5,1)="A",H145,IF(CI145=1,(CL145+CJ145)/2,IF(LEFT(Cockpit!$O$5,1)="B",(CL145+BG145)/2,MAX((CL145+BG145)/2,H145))))</f>
        <v>87.5</v>
      </c>
      <c r="BF145" s="62" t="n">
        <f aca="false">BE145*G145</f>
        <v>762.125</v>
      </c>
      <c r="BG145" s="62" t="n">
        <f aca="false">ROUNDUP(CL145+MAX(CM145,2*(J145/IF(CH145&gt;0,CH145,MAX(0.1,N(Cockpit!$O$6)))-CL145)),0)</f>
        <v>155</v>
      </c>
      <c r="BH145" s="63" t="n">
        <f aca="false">IF(BD145&gt;0,J145/BD145,-1)</f>
        <v>89.9096774193548</v>
      </c>
      <c r="BI145" s="63" t="n">
        <f aca="false">IF(AND(OR(CG145="L1",CG145="L23",CG145="LIFT"),BD145&gt;0),SUMIFS($BD$7:$BD$1843,$CG$7:$CG$1843,CG145,$BH$7:$BH$1843,"&gt;"&amp;BH145)+SUMIFS($BD$7:$BD$1843,$CG$7:$CG$1843,CG145,$BH$7:$BH$1843,BH145,$BX$7:$BX$1843,"&lt;="&amp;BX145),"")</f>
        <v>970.525641025641</v>
      </c>
      <c r="BJ145" s="70" t="n">
        <f aca="false">IF(BI145="",0,MAX(0,MIN(1,(IF(CG145="L1",Parameter!$H$5,IF(CG145="L23",Parameter!$H$6+Parameter!$H$7,Parameter!$H$5+Parameter!$H$6+Parameter!$H$7))-(BI145-BD145))/BD145)))</f>
        <v>1</v>
      </c>
      <c r="BK145" s="60" t="str">
        <f aca="false">IF(AJ145&lt;=0,"",IF(CG145="Aussen","Aussenlager",IF(CG145="-","Nicht im Lift",IF(AP145&gt;=1,"Lift",IF(AP145&lt;=0,"Aussenlager","teilweise")))))</f>
        <v>Lift</v>
      </c>
      <c r="BL145" s="60" t="str">
        <f aca="false">IF(AT145&lt;=0,"",IF(CG145="Aussen","Aussenlager",IF(CG145="-","Nicht im Lift",IF(AZ145&gt;=1,"Lift",IF(AZ145&lt;=0,"Aussenlager","teilweise")))))</f>
        <v>Lift</v>
      </c>
      <c r="BM145" s="60" t="str">
        <f aca="false">IF(BD145&lt;=0,"",IF(CG145="Aussen","Aussenlager",IF(CG145="-","Nicht im Lift",IF(BJ145&gt;=1,"Lift",IF(BJ145&lt;=0,"Aussenlager","teilweise")))))</f>
        <v>Lift</v>
      </c>
      <c r="BN145" s="60" t="str">
        <f aca="false">IF(A145="","",IF(BW145=1,"Neu; ","")&amp;IF(AND(BW145=0,BR145&lt;0),"negativer Bestand (Export "&amp;BR145&amp;"); ","")&amp;IF(J145&lt;=0,"Kein Verbrauch; ","")&amp;IF(CR145&gt;0,"Lift "&amp;W145&amp;" lt. Liftbericht (Fach "&amp;X145&amp;" Stk); ",IF(CB145=1,"Gebinde geschätzt ("&amp;T145&amp;"); ",IF(CA145=1,"Lose – Tablare geschätzt; ","")))&amp;IF(H145&gt;AW145,"Überbestand "&amp;ROUND(H145-AW145,0)&amp;" Stk / CHF "&amp;ROUND((H145-AW145)*G145,0)&amp;"; ","")&amp;IF(AND(CI145=1,CJ145&lt;CK145),"MAX &lt; MB+LG; ","")&amp;IF(AND(CQ145&gt;0,CP145*10&gt;CQ145),"zu hoch für Tablar; ","")&amp;IF(AND(BW145=0,OR(CI145=1,AB145&lt;&gt;"",U145&lt;&gt;"",V145&lt;&gt;"",AC145&lt;&gt;"")),"manuell übersteuert; ","")&amp;IF(AND(CA145=0,R145=0),"Gebinde unbekannt / Stellmass fehlt; ","")&amp;IF(AND(CA145=0,N(V145)&lt;=0,N(Q145)&lt;=0),"Menge pro Gebinde fehlt (Ist = 1 Gebinde); ","")&amp;BV145)</f>
        <v>Überbestand 42 Stk / CHF 366; </v>
      </c>
      <c r="BO145" s="60"/>
      <c r="BP145" s="60"/>
      <c r="BQ145" s="67"/>
      <c r="BR145" s="62" t="n">
        <v>165</v>
      </c>
      <c r="BS145" s="62" t="n">
        <v>32</v>
      </c>
      <c r="BT145" s="61" t="n">
        <v>1394.19</v>
      </c>
      <c r="BU145" s="62" t="n">
        <v>134</v>
      </c>
      <c r="BV145" s="60"/>
      <c r="BW145" s="65" t="n">
        <v>0</v>
      </c>
      <c r="BX145" s="65" t="n">
        <v>145</v>
      </c>
      <c r="BY145" s="60" t="str">
        <f aca="false">IF(U145&lt;&gt;"",UPPER(TRIM(U145)),IF(CB145=1,UPPER(VLOOKUP(T145,Parameter!$I$27:$K$29,2,0)),IF(P145="","LOSE",P145)))</f>
        <v>S32</v>
      </c>
      <c r="BZ145" s="62" t="n">
        <f aca="false">IF(BY145="LOSE",1,IF(N(V145)&gt;0,V145,IF(CB145=1,MAX(1,N(VLOOKUP(T145,Parameter!$I$27:$K$29,3,0)),H145,N(N145)),IF(N(Q145)&gt;0,Q145,MAX(1,H145)))))</f>
        <v>91</v>
      </c>
      <c r="CA145" s="65" t="n">
        <f aca="false">IF(BY145="LOSE",1,0)</f>
        <v>0</v>
      </c>
      <c r="CB145" s="65" t="n">
        <f aca="false">IF(AND(U145="",OR(P145="",P145="LOSE"),T145&lt;&gt;"",N(S145)&lt;=0,ISNUMBER(MATCH(T145,Parameter!$I$27:$I$29,0))),1,0)</f>
        <v>0</v>
      </c>
      <c r="CC145" s="65" t="n">
        <f aca="false">IF(CR145&gt;0,INDEX(Parameter!$H$5:$H$7,W145)/INDEX(Parameter!$E$5:$E$7,W145),IF(AND(CA145=0,N(IFERROR(VLOOKUP(BY145,'Gebinde-Kategorie'!$A$5:$N$45,14,0),0))&gt;0),VLOOKUP(BY145,'Gebinde-Kategorie'!$A$5:$N$45,14,0)*10+Parameter!$M$23,Parameter!$M$24))</f>
        <v>155</v>
      </c>
      <c r="CD145" s="60" t="str">
        <f aca="false">IF(AND(Parameter!$B$19="Ja",E145&lt;&gt;"",ISNUMBER(MATCH(E145,Parameter!$I$35:$I$52,0))),VLOOKUP(E145,Parameter!$I$35:$J$52,2,0),IFERROR(VLOOKUP(D145,Parameter!$A$35:$C$64,2,0),"Nein"))</f>
        <v>2+3</v>
      </c>
      <c r="CE145" s="64" t="n">
        <f aca="false">IF(CA145=0,0,IF(N(S145)&gt;0,S145,IFERROR(VLOOKUP(D145,Parameter!$A$35:$C$64,3,0)+0,0)))</f>
        <v>0</v>
      </c>
      <c r="CF145" s="60" t="n">
        <f aca="false">IF(AB145&lt;&gt;"",AB145,AA145)</f>
        <v>3</v>
      </c>
      <c r="CG145" s="60" t="str">
        <f aca="false">IF(OR(CF145=1,CF145=2,CF145=3),IF(Parameter!$E$27="Ja","LIFT",IF(CF145=1,"L1","L23")),IF(CF145="Aussen","Aussen","-"))</f>
        <v>LIFT</v>
      </c>
      <c r="CH145" s="71" t="n">
        <f aca="false">IF(N(AC145)&gt;0,AC145,0)</f>
        <v>0</v>
      </c>
      <c r="CI145" s="65" t="n">
        <f aca="false">IF(ISNUMBER(AF145),1,0)</f>
        <v>0</v>
      </c>
      <c r="CJ145" s="62" t="n">
        <f aca="false">N(AF145)</f>
        <v>0</v>
      </c>
      <c r="CK145" s="62" t="n">
        <f aca="false">N(M145)+N(N145)</f>
        <v>155</v>
      </c>
      <c r="CL145" s="62" t="n">
        <f aca="false">N(M145)</f>
        <v>20</v>
      </c>
      <c r="CM145" s="62" t="n">
        <f aca="false">N(N145)</f>
        <v>135</v>
      </c>
      <c r="CN145" s="62" t="n">
        <f aca="false">ROUNDUP(H145/BZ145,0)</f>
        <v>3</v>
      </c>
      <c r="CO145" s="62" t="n">
        <f aca="false">ROUNDUP(CJ145/BZ145,0)</f>
        <v>0</v>
      </c>
      <c r="CP145" s="65" t="n">
        <f aca="false">IF(CA145=1,0,IFERROR(VLOOKUP(BY145,'Gebinde-Kategorie'!$A$5:$N$45,5,0)+0,0))</f>
        <v>8</v>
      </c>
      <c r="CQ145" s="65" t="n">
        <f aca="false">IFERROR(IF(OR(CF145=1,CF145=2,CF145=3),N(INDEX(Parameter!$I$5:$I$7,CF145)),0),0)</f>
        <v>0</v>
      </c>
      <c r="CR145" s="64" t="n">
        <f aca="false">IF(AND(Parameter!$B$21="Ja",ISNUMBER(W145),N(X145)&gt;0),IFERROR(N(INDEX(Parameter!$L$5:$L$7,W145))*INDEX(Parameter!$E$5:$E$7,W145)*X145/SUMIFS($X$7:$X$1843,$W$7:$W$1843,W145),0),0)</f>
        <v>0</v>
      </c>
      <c r="CS145" s="62" t="n">
        <f aca="false">IF(AND(OR(CG145="L1",CG145="L23",CG145="LIFT"),H145&gt;0),CC145*IF(CR145&gt;0,CR145*MAX(1,H145/X145),IF(CA145=1,CE145,IF(R145&gt;0,CN145/R145,0))/MAX(0.1,N(Parameter!$M$21))),"")</f>
        <v>4.47115384615385</v>
      </c>
      <c r="CT145" s="64" t="n">
        <f aca="false">IF(CS145="","",J145/H145)</f>
        <v>0.680203045685279</v>
      </c>
      <c r="CU145" s="62" t="n">
        <f aca="false">IF(CS145="","",H145*G145)</f>
        <v>1715.87</v>
      </c>
      <c r="CV145" s="63" t="n">
        <f aca="false">IF(CS145="","",(CL145+ROUNDUP(CL145+MAX(CM145,2*(J145/MAX(0.1,N(Einkauf!$C$6))-CL145)),0))/2)</f>
        <v>87.5</v>
      </c>
      <c r="CW145" s="62" t="n">
        <f aca="false">IF(CS145="","",MAX(0,H145-CV145)*G145)</f>
        <v>953.745</v>
      </c>
      <c r="CX145" s="62" t="n">
        <f aca="false">IF(CS145="","",CS145*MAX(0,1-CV145/H145))</f>
        <v>2.48523525966419</v>
      </c>
      <c r="CY145" s="64" t="n">
        <f aca="false">IF(CS145="","",PERCENTRANK($CS$7:$CS$1843,CS145)+PERCENTRANK($CU$7:$CU$1843,CU145)+1-PERCENTRANK($CT$7:$CT$1843,CT145))</f>
        <v>1.506</v>
      </c>
      <c r="CZ145" s="72" t="n">
        <f aca="false">IF(CS145="","",CHOOSE(MATCH(Einkauf!$C$5,Parameter!$G$23:$G$27,0),CY145,CS145,CU145,-CT145,CW145)+ROW()/1000000000)</f>
        <v>1.506000145</v>
      </c>
    </row>
    <row r="146" customFormat="false" ht="15" hidden="false" customHeight="false" outlineLevel="0" collapsed="false">
      <c r="A146" s="60" t="s">
        <v>540</v>
      </c>
      <c r="B146" s="60" t="s">
        <v>541</v>
      </c>
      <c r="C146" s="60" t="s">
        <v>206</v>
      </c>
      <c r="D146" s="60" t="s">
        <v>215</v>
      </c>
      <c r="E146" s="60"/>
      <c r="F146" s="60" t="s">
        <v>260</v>
      </c>
      <c r="G146" s="61" t="n">
        <v>1394</v>
      </c>
      <c r="H146" s="62" t="n">
        <f aca="false">MAX(0,IF(AND(Parameter!$B$21="Ja",ISNUMBER(Y146)),Y146,IF(Parameter!$B$20="Jahresanfang 2025 + Export",BS146+BR146,BR146)))</f>
        <v>1</v>
      </c>
      <c r="I146" s="62" t="n">
        <f aca="false">H146*G146</f>
        <v>1394</v>
      </c>
      <c r="J146" s="62" t="n">
        <f aca="false">BU146*Parameter!$B$18</f>
        <v>0</v>
      </c>
      <c r="K146" s="63" t="n">
        <v>1</v>
      </c>
      <c r="L146" s="64" t="n">
        <v>0</v>
      </c>
      <c r="M146" s="62" t="n">
        <v>0</v>
      </c>
      <c r="N146" s="62" t="n">
        <v>1</v>
      </c>
      <c r="O146" s="65" t="n">
        <v>70</v>
      </c>
      <c r="P146" s="60" t="s">
        <v>344</v>
      </c>
      <c r="Q146" s="62" t="n">
        <v>2</v>
      </c>
      <c r="R146" s="65" t="n">
        <f aca="false">IF(CA146=1,0,IFERROR(VLOOKUP(BY146,'Gebinde-Kategorie'!$A$5:$N$45,13,0)+0,0))</f>
        <v>26</v>
      </c>
      <c r="S146" s="66"/>
      <c r="T146" s="67"/>
      <c r="U146" s="67"/>
      <c r="V146" s="67"/>
      <c r="W146" s="60"/>
      <c r="X146" s="62"/>
      <c r="Y146" s="62"/>
      <c r="Z146" s="60" t="n">
        <v>3</v>
      </c>
      <c r="AA146" s="60" t="n">
        <f aca="false">IF(A146="","",IF(AND(Parameter!$B$21="Ja",ISNUMBER(W146)),W146,IF(AND(Parameter!$E$27="Ja",ISNUMBER(Z146),CD146&lt;&gt;"Nein"),Z146,IF(CD146="2+3",IF(ISNUMBER(SEARCH("grosser Artikel",BV146)),2,IFERROR(VLOOKUP(BY146,Parameter!$F$35:$G$64,2,0),2)),IF(OR(CD146="Nein",CD146=""),"-",CD146)))))</f>
        <v>3</v>
      </c>
      <c r="AB146" s="67"/>
      <c r="AC146" s="68"/>
      <c r="AD146" s="62" t="n">
        <f aca="false">AW146</f>
        <v>1</v>
      </c>
      <c r="AE146" s="62" t="n">
        <f aca="false">MAX(AW146,H146)</f>
        <v>1</v>
      </c>
      <c r="AF146" s="69"/>
      <c r="AG146" s="62" t="n">
        <f aca="false">IF(LEFT(Cockpit!$C$5,1)="A",H146,IF(Parameter!$E$30="MAX-Bestand",IF(CI146=1,CJ146,IF(LEFT(Cockpit!$C$5,1)="B",AM146,MAX(AM146,H146))),ROUNDUP(AK146,0)))</f>
        <v>1</v>
      </c>
      <c r="AH146" s="62" t="n">
        <f aca="false">IF(CA146=1,0,ROUNDUP(AG146/BZ146,0))</f>
        <v>1</v>
      </c>
      <c r="AI146" s="64" t="n">
        <f aca="false">IF(CR146&gt;0,CR146*MAX(1,AG146/X146),IF(CA146=1,IF(AG146&lt;=0,0,CE146*MAX(1,IF(H146&gt;0,AG146/H146,1))),IF(R146&gt;0,AH146/R146,0))/MAX(0.1,N(Parameter!$M$21)))</f>
        <v>0.0384615384615385</v>
      </c>
      <c r="AJ146" s="62" t="n">
        <f aca="false">AI146*CC146</f>
        <v>5.96153846153846</v>
      </c>
      <c r="AK146" s="63" t="n">
        <f aca="false">IF(LEFT(Cockpit!$C$5,1)="A",H146,IF(CI146=1,(CL146+CJ146)/2,IF(LEFT(Cockpit!$C$5,1)="B",(CL146+AM146)/2,MAX((CL146+AM146)/2,H146))))</f>
        <v>1</v>
      </c>
      <c r="AL146" s="62" t="n">
        <f aca="false">AK146*G146</f>
        <v>1394</v>
      </c>
      <c r="AM146" s="62" t="n">
        <f aca="false">ROUNDUP(CL146+MAX(CM146,2*(J146/IF(CH146&gt;0,CH146,MAX(0.1,N(Cockpit!$C$6)))-CL146)),0)</f>
        <v>1</v>
      </c>
      <c r="AN146" s="63" t="n">
        <f aca="false">IF(AJ146&gt;0,J146/AJ146,-1)</f>
        <v>0</v>
      </c>
      <c r="AO146" s="63" t="n">
        <f aca="false">IF(AND(OR(CG146="L1",CG146="L23",CG146="LIFT"),AJ146&gt;0),SUMIFS($AJ$7:$AJ$1843,$CG$7:$CG$1843,CG146,$AN$7:$AN$1843,"&gt;"&amp;AN146)+SUMIFS($AJ$7:$AJ$1843,$CG$7:$CG$1843,CG146,$AN$7:$AN$1843,AN146,$BX$7:$BX$1843,"&lt;="&amp;BX146),"")</f>
        <v>27279.0651864614</v>
      </c>
      <c r="AP146" s="70" t="n">
        <f aca="false">IF(AO146="",0,MAX(0,MIN(1,(IF(CG146="L1",Parameter!$H$5,IF(CG146="L23",Parameter!$H$6+Parameter!$H$7,Parameter!$H$5+Parameter!$H$6+Parameter!$H$7))-(AO146-AJ146))/AJ146)))</f>
        <v>1</v>
      </c>
      <c r="AQ146" s="62" t="n">
        <f aca="false">IF(LEFT(Cockpit!$I$5,1)="A",H146,IF(Parameter!$E$30="MAX-Bestand",IF(CI146=1,CJ146,IF(LEFT(Cockpit!$I$5,1)="B",AW146,MAX(AW146,H146))),ROUNDUP(AU146,0)))</f>
        <v>1</v>
      </c>
      <c r="AR146" s="62" t="n">
        <f aca="false">IF(CA146=1,0,ROUNDUP(AQ146/BZ146,0))</f>
        <v>1</v>
      </c>
      <c r="AS146" s="64" t="n">
        <f aca="false">IF(CR146&gt;0,CR146*MAX(1,AQ146/X146),IF(CA146=1,IF(AQ146&lt;=0,0,CE146*MAX(1,IF(H146&gt;0,AQ146/H146,1))),IF(R146&gt;0,AR146/R146,0))/MAX(0.1,N(Parameter!$M$21)))</f>
        <v>0.0384615384615385</v>
      </c>
      <c r="AT146" s="62" t="n">
        <f aca="false">AS146*CC146</f>
        <v>5.96153846153846</v>
      </c>
      <c r="AU146" s="63" t="n">
        <f aca="false">IF(LEFT(Cockpit!$I$5,1)="A",H146,IF(CI146=1,(CL146+CJ146)/2,IF(LEFT(Cockpit!$I$5,1)="B",(CL146+AW146)/2,MAX((CL146+AW146)/2,H146))))</f>
        <v>1</v>
      </c>
      <c r="AV146" s="62" t="n">
        <f aca="false">AU146*G146</f>
        <v>1394</v>
      </c>
      <c r="AW146" s="62" t="n">
        <f aca="false">ROUNDUP(CL146+MAX(CM146,2*(J146/IF(CH146&gt;0,CH146,MAX(0.1,N(Cockpit!$I$6)))-CL146)),0)</f>
        <v>1</v>
      </c>
      <c r="AX146" s="63" t="n">
        <f aca="false">IF(AT146&gt;0,J146/AT146,-1)</f>
        <v>0</v>
      </c>
      <c r="AY146" s="63" t="n">
        <f aca="false">IF(AND(OR(CG146="L1",CG146="L23",CG146="LIFT"),AT146&gt;0),SUMIFS($AT$7:$AT$1843,$CG$7:$CG$1843,CG146,$AX$7:$AX$1843,"&gt;"&amp;AX146)+SUMIFS($AT$7:$AT$1843,$CG$7:$CG$1843,CG146,$AX$7:$AX$1843,AX146,$BX$7:$BX$1843,"&lt;="&amp;BX146),"")</f>
        <v>32632.2138278388</v>
      </c>
      <c r="AZ146" s="70" t="n">
        <f aca="false">IF(AY146="",0,MAX(0,MIN(1,(IF(CG146="L1",Parameter!$H$5,IF(CG146="L23",Parameter!$H$6+Parameter!$H$7,Parameter!$H$5+Parameter!$H$6+Parameter!$H$7))-(AY146-AT146))/AT146)))</f>
        <v>1</v>
      </c>
      <c r="BA146" s="62" t="n">
        <f aca="false">IF(LEFT(Cockpit!$O$5,1)="A",H146,IF(Parameter!$E$30="MAX-Bestand",IF(CI146=1,CJ146,IF(LEFT(Cockpit!$O$5,1)="B",BG146,MAX(BG146,H146))),ROUNDUP(BE146,0)))</f>
        <v>1</v>
      </c>
      <c r="BB146" s="62" t="n">
        <f aca="false">IF(CA146=1,0,ROUNDUP(BA146/BZ146,0))</f>
        <v>1</v>
      </c>
      <c r="BC146" s="64" t="n">
        <f aca="false">IF(CR146&gt;0,CR146*MAX(1,BA146/X146),IF(CA146=1,IF(BA146&lt;=0,0,CE146*MAX(1,IF(H146&gt;0,BA146/H146,1))),IF(R146&gt;0,BB146/R146,0))/MAX(0.1,N(Parameter!$M$21)))</f>
        <v>0.0384615384615385</v>
      </c>
      <c r="BD146" s="62" t="n">
        <f aca="false">BC146*CC146</f>
        <v>5.96153846153846</v>
      </c>
      <c r="BE146" s="63" t="n">
        <f aca="false">IF(LEFT(Cockpit!$O$5,1)="A",H146,IF(CI146=1,(CL146+CJ146)/2,IF(LEFT(Cockpit!$O$5,1)="B",(CL146+BG146)/2,MAX((CL146+BG146)/2,H146))))</f>
        <v>0.5</v>
      </c>
      <c r="BF146" s="62" t="n">
        <f aca="false">BE146*G146</f>
        <v>697</v>
      </c>
      <c r="BG146" s="62" t="n">
        <f aca="false">ROUNDUP(CL146+MAX(CM146,2*(J146/IF(CH146&gt;0,CH146,MAX(0.1,N(Cockpit!$O$6)))-CL146)),0)</f>
        <v>1</v>
      </c>
      <c r="BH146" s="63" t="n">
        <f aca="false">IF(BD146&gt;0,J146/BD146,-1)</f>
        <v>0</v>
      </c>
      <c r="BI146" s="63" t="n">
        <f aca="false">IF(AND(OR(CG146="L1",CG146="L23",CG146="LIFT"),BD146&gt;0),SUMIFS($BD$7:$BD$1843,$CG$7:$CG$1843,CG146,$BH$7:$BH$1843,"&gt;"&amp;BH146)+SUMIFS($BD$7:$BD$1843,$CG$7:$CG$1843,CG146,$BH$7:$BH$1843,BH146,$BX$7:$BX$1843,"&lt;="&amp;BX146),"")</f>
        <v>26796.455927547</v>
      </c>
      <c r="BJ146" s="70" t="n">
        <f aca="false">IF(BI146="",0,MAX(0,MIN(1,(IF(CG146="L1",Parameter!$H$5,IF(CG146="L23",Parameter!$H$6+Parameter!$H$7,Parameter!$H$5+Parameter!$H$6+Parameter!$H$7))-(BI146-BD146))/BD146)))</f>
        <v>1</v>
      </c>
      <c r="BK146" s="60" t="str">
        <f aca="false">IF(AJ146&lt;=0,"",IF(CG146="Aussen","Aussenlager",IF(CG146="-","Nicht im Lift",IF(AP146&gt;=1,"Lift",IF(AP146&lt;=0,"Aussenlager","teilweise")))))</f>
        <v>Lift</v>
      </c>
      <c r="BL146" s="60" t="str">
        <f aca="false">IF(AT146&lt;=0,"",IF(CG146="Aussen","Aussenlager",IF(CG146="-","Nicht im Lift",IF(AZ146&gt;=1,"Lift",IF(AZ146&lt;=0,"Aussenlager","teilweise")))))</f>
        <v>Lift</v>
      </c>
      <c r="BM146" s="60" t="str">
        <f aca="false">IF(BD146&lt;=0,"",IF(CG146="Aussen","Aussenlager",IF(CG146="-","Nicht im Lift",IF(BJ146&gt;=1,"Lift",IF(BJ146&lt;=0,"Aussenlager","teilweise")))))</f>
        <v>Lift</v>
      </c>
      <c r="BN146" s="60" t="str">
        <f aca="false">IF(A146="","",IF(BW146=1,"Neu; ","")&amp;IF(AND(BW146=0,BR146&lt;0),"negativer Bestand (Export "&amp;BR146&amp;"); ","")&amp;IF(J146&lt;=0,"Kein Verbrauch; ","")&amp;IF(CR146&gt;0,"Lift "&amp;W146&amp;" lt. Liftbericht (Fach "&amp;X146&amp;" Stk); ",IF(CB146=1,"Gebinde geschätzt ("&amp;T146&amp;"); ",IF(CA146=1,"Lose – Tablare geschätzt; ","")))&amp;IF(H146&gt;AW146,"Überbestand "&amp;ROUND(H146-AW146,0)&amp;" Stk / CHF "&amp;ROUND((H146-AW146)*G146,0)&amp;"; ","")&amp;IF(AND(CI146=1,CJ146&lt;CK146),"MAX &lt; MB+LG; ","")&amp;IF(AND(CQ146&gt;0,CP146*10&gt;CQ146),"zu hoch für Tablar; ","")&amp;IF(AND(BW146=0,OR(CI146=1,AB146&lt;&gt;"",U146&lt;&gt;"",V146&lt;&gt;"",AC146&lt;&gt;"")),"manuell übersteuert; ","")&amp;IF(AND(CA146=0,R146=0),"Gebinde unbekannt / Stellmass fehlt; ","")&amp;IF(AND(CA146=0,N(V146)&lt;=0,N(Q146)&lt;=0),"Menge pro Gebinde fehlt (Ist = 1 Gebinde); ","")&amp;BV146)</f>
        <v>Kein Verbrauch; </v>
      </c>
      <c r="BO146" s="60"/>
      <c r="BP146" s="60"/>
      <c r="BQ146" s="67"/>
      <c r="BR146" s="62" t="n">
        <v>1</v>
      </c>
      <c r="BS146" s="62" t="n">
        <v>0</v>
      </c>
      <c r="BT146" s="61" t="n">
        <v>1394</v>
      </c>
      <c r="BU146" s="62" t="n">
        <v>0</v>
      </c>
      <c r="BV146" s="60"/>
      <c r="BW146" s="65" t="n">
        <v>0</v>
      </c>
      <c r="BX146" s="65" t="n">
        <v>146</v>
      </c>
      <c r="BY146" s="60" t="str">
        <f aca="false">IF(U146&lt;&gt;"",UPPER(TRIM(U146)),IF(CB146=1,UPPER(VLOOKUP(T146,Parameter!$I$27:$K$29,2,0)),IF(P146="","LOSE",P146)))</f>
        <v>S51</v>
      </c>
      <c r="BZ146" s="62" t="n">
        <f aca="false">IF(BY146="LOSE",1,IF(N(V146)&gt;0,V146,IF(CB146=1,MAX(1,N(VLOOKUP(T146,Parameter!$I$27:$K$29,3,0)),H146,N(N146)),IF(N(Q146)&gt;0,Q146,MAX(1,H146)))))</f>
        <v>2</v>
      </c>
      <c r="CA146" s="65" t="n">
        <f aca="false">IF(BY146="LOSE",1,0)</f>
        <v>0</v>
      </c>
      <c r="CB146" s="65" t="n">
        <f aca="false">IF(AND(U146="",OR(P146="",P146="LOSE"),T146&lt;&gt;"",N(S146)&lt;=0,ISNUMBER(MATCH(T146,Parameter!$I$27:$I$29,0))),1,0)</f>
        <v>0</v>
      </c>
      <c r="CC146" s="65" t="n">
        <f aca="false">IF(CR146&gt;0,INDEX(Parameter!$H$5:$H$7,W146)/INDEX(Parameter!$E$5:$E$7,W146),IF(AND(CA146=0,N(IFERROR(VLOOKUP(BY146,'Gebinde-Kategorie'!$A$5:$N$45,14,0),0))&gt;0),VLOOKUP(BY146,'Gebinde-Kategorie'!$A$5:$N$45,14,0)*10+Parameter!$M$23,Parameter!$M$24))</f>
        <v>155</v>
      </c>
      <c r="CD146" s="60" t="str">
        <f aca="false">IF(AND(Parameter!$B$19="Ja",E146&lt;&gt;"",ISNUMBER(MATCH(E146,Parameter!$I$35:$I$52,0))),VLOOKUP(E146,Parameter!$I$35:$J$52,2,0),IFERROR(VLOOKUP(D146,Parameter!$A$35:$C$64,2,0),"Nein"))</f>
        <v>2+3</v>
      </c>
      <c r="CE146" s="64" t="n">
        <f aca="false">IF(CA146=0,0,IF(N(S146)&gt;0,S146,IFERROR(VLOOKUP(D146,Parameter!$A$35:$C$64,3,0)+0,0)))</f>
        <v>0</v>
      </c>
      <c r="CF146" s="60" t="n">
        <f aca="false">IF(AB146&lt;&gt;"",AB146,AA146)</f>
        <v>3</v>
      </c>
      <c r="CG146" s="60" t="str">
        <f aca="false">IF(OR(CF146=1,CF146=2,CF146=3),IF(Parameter!$E$27="Ja","LIFT",IF(CF146=1,"L1","L23")),IF(CF146="Aussen","Aussen","-"))</f>
        <v>LIFT</v>
      </c>
      <c r="CH146" s="71" t="n">
        <f aca="false">IF(N(AC146)&gt;0,AC146,0)</f>
        <v>0</v>
      </c>
      <c r="CI146" s="65" t="n">
        <f aca="false">IF(ISNUMBER(AF146),1,0)</f>
        <v>0</v>
      </c>
      <c r="CJ146" s="62" t="n">
        <f aca="false">N(AF146)</f>
        <v>0</v>
      </c>
      <c r="CK146" s="62" t="n">
        <f aca="false">N(M146)+N(N146)</f>
        <v>1</v>
      </c>
      <c r="CL146" s="62" t="n">
        <f aca="false">N(M146)</f>
        <v>0</v>
      </c>
      <c r="CM146" s="62" t="n">
        <f aca="false">N(N146)</f>
        <v>1</v>
      </c>
      <c r="CN146" s="62" t="n">
        <f aca="false">ROUNDUP(H146/BZ146,0)</f>
        <v>1</v>
      </c>
      <c r="CO146" s="62" t="n">
        <f aca="false">ROUNDUP(CJ146/BZ146,0)</f>
        <v>0</v>
      </c>
      <c r="CP146" s="65" t="n">
        <f aca="false">IF(CA146=1,0,IFERROR(VLOOKUP(BY146,'Gebinde-Kategorie'!$A$5:$N$45,5,0)+0,0))</f>
        <v>11</v>
      </c>
      <c r="CQ146" s="65" t="n">
        <f aca="false">IFERROR(IF(OR(CF146=1,CF146=2,CF146=3),N(INDEX(Parameter!$I$5:$I$7,CF146)),0),0)</f>
        <v>0</v>
      </c>
      <c r="CR146" s="64" t="n">
        <f aca="false">IF(AND(Parameter!$B$21="Ja",ISNUMBER(W146),N(X146)&gt;0),IFERROR(N(INDEX(Parameter!$L$5:$L$7,W146))*INDEX(Parameter!$E$5:$E$7,W146)*X146/SUMIFS($X$7:$X$1843,$W$7:$W$1843,W146),0),0)</f>
        <v>0</v>
      </c>
      <c r="CS146" s="62" t="n">
        <f aca="false">IF(AND(OR(CG146="L1",CG146="L23",CG146="LIFT"),H146&gt;0),CC146*IF(CR146&gt;0,CR146*MAX(1,H146/X146),IF(CA146=1,CE146,IF(R146&gt;0,CN146/R146,0))/MAX(0.1,N(Parameter!$M$21))),"")</f>
        <v>5.96153846153846</v>
      </c>
      <c r="CT146" s="64" t="n">
        <f aca="false">IF(CS146="","",J146/H146)</f>
        <v>0</v>
      </c>
      <c r="CU146" s="62" t="n">
        <f aca="false">IF(CS146="","",H146*G146)</f>
        <v>1394</v>
      </c>
      <c r="CV146" s="63" t="n">
        <f aca="false">IF(CS146="","",(CL146+ROUNDUP(CL146+MAX(CM146,2*(J146/MAX(0.1,N(Einkauf!$C$6))-CL146)),0))/2)</f>
        <v>0.5</v>
      </c>
      <c r="CW146" s="62" t="n">
        <f aca="false">IF(CS146="","",MAX(0,H146-CV146)*G146)</f>
        <v>697</v>
      </c>
      <c r="CX146" s="62" t="n">
        <f aca="false">IF(CS146="","",CS146*MAX(0,1-CV146/H146))</f>
        <v>2.98076923076923</v>
      </c>
      <c r="CY146" s="64" t="n">
        <f aca="false">IF(CS146="","",PERCENTRANK($CS$7:$CS$1843,CS146)+PERCENTRANK($CU$7:$CU$1843,CU146)+1-PERCENTRANK($CT$7:$CT$1843,CT146))</f>
        <v>2.063</v>
      </c>
      <c r="CZ146" s="72" t="n">
        <f aca="false">IF(CS146="","",CHOOSE(MATCH(Einkauf!$C$5,Parameter!$G$23:$G$27,0),CY146,CS146,CU146,-CT146,CW146)+ROW()/1000000000)</f>
        <v>2.063000146</v>
      </c>
    </row>
    <row r="147" customFormat="false" ht="15" hidden="false" customHeight="false" outlineLevel="0" collapsed="false">
      <c r="A147" s="60" t="s">
        <v>542</v>
      </c>
      <c r="B147" s="60" t="s">
        <v>543</v>
      </c>
      <c r="C147" s="60" t="s">
        <v>206</v>
      </c>
      <c r="D147" s="60" t="s">
        <v>215</v>
      </c>
      <c r="E147" s="60"/>
      <c r="F147" s="60" t="s">
        <v>260</v>
      </c>
      <c r="G147" s="61" t="n">
        <v>23</v>
      </c>
      <c r="H147" s="62" t="n">
        <f aca="false">MAX(0,IF(AND(Parameter!$B$21="Ja",ISNUMBER(Y147)),Y147,IF(Parameter!$B$20="Jahresanfang 2025 + Export",BS147+BR147,BR147)))</f>
        <v>60</v>
      </c>
      <c r="I147" s="62" t="n">
        <f aca="false">H147*G147</f>
        <v>1380</v>
      </c>
      <c r="J147" s="62" t="n">
        <f aca="false">BU147*Parameter!$B$18</f>
        <v>0</v>
      </c>
      <c r="K147" s="63" t="n">
        <v>5</v>
      </c>
      <c r="L147" s="64" t="n">
        <v>0</v>
      </c>
      <c r="M147" s="62" t="n">
        <v>0</v>
      </c>
      <c r="N147" s="62" t="n">
        <v>1</v>
      </c>
      <c r="O147" s="65" t="n">
        <v>28</v>
      </c>
      <c r="P147" s="60" t="s">
        <v>210</v>
      </c>
      <c r="Q147" s="62"/>
      <c r="R147" s="65" t="n">
        <f aca="false">IF(CA147=1,0,IFERROR(VLOOKUP(BY147,'Gebinde-Kategorie'!$A$5:$N$45,13,0)+0,0))</f>
        <v>26</v>
      </c>
      <c r="S147" s="66"/>
      <c r="T147" s="67" t="s">
        <v>317</v>
      </c>
      <c r="U147" s="67"/>
      <c r="V147" s="67"/>
      <c r="W147" s="60"/>
      <c r="X147" s="62"/>
      <c r="Y147" s="62"/>
      <c r="Z147" s="60" t="n">
        <v>3</v>
      </c>
      <c r="AA147" s="60" t="n">
        <f aca="false">IF(A147="","",IF(AND(Parameter!$B$21="Ja",ISNUMBER(W147)),W147,IF(AND(Parameter!$E$27="Ja",ISNUMBER(Z147),CD147&lt;&gt;"Nein"),Z147,IF(CD147="2+3",IF(ISNUMBER(SEARCH("grosser Artikel",BV147)),2,IFERROR(VLOOKUP(BY147,Parameter!$F$35:$G$64,2,0),2)),IF(OR(CD147="Nein",CD147=""),"-",CD147)))))</f>
        <v>3</v>
      </c>
      <c r="AB147" s="67"/>
      <c r="AC147" s="68"/>
      <c r="AD147" s="62" t="n">
        <f aca="false">AW147</f>
        <v>1</v>
      </c>
      <c r="AE147" s="62" t="n">
        <f aca="false">MAX(AW147,H147)</f>
        <v>60</v>
      </c>
      <c r="AF147" s="69"/>
      <c r="AG147" s="62" t="n">
        <f aca="false">IF(LEFT(Cockpit!$C$5,1)="A",H147,IF(Parameter!$E$30="MAX-Bestand",IF(CI147=1,CJ147,IF(LEFT(Cockpit!$C$5,1)="B",AM147,MAX(AM147,H147))),ROUNDUP(AK147,0)))</f>
        <v>60</v>
      </c>
      <c r="AH147" s="62" t="n">
        <f aca="false">IF(CA147=1,0,ROUNDUP(AG147/BZ147,0))</f>
        <v>1</v>
      </c>
      <c r="AI147" s="64" t="n">
        <f aca="false">IF(CR147&gt;0,CR147*MAX(1,AG147/X147),IF(CA147=1,IF(AG147&lt;=0,0,CE147*MAX(1,IF(H147&gt;0,AG147/H147,1))),IF(R147&gt;0,AH147/R147,0))/MAX(0.1,N(Parameter!$M$21)))</f>
        <v>0.0384615384615385</v>
      </c>
      <c r="AJ147" s="62" t="n">
        <f aca="false">AI147*CC147</f>
        <v>5.96153846153846</v>
      </c>
      <c r="AK147" s="63" t="n">
        <f aca="false">IF(LEFT(Cockpit!$C$5,1)="A",H147,IF(CI147=1,(CL147+CJ147)/2,IF(LEFT(Cockpit!$C$5,1)="B",(CL147+AM147)/2,MAX((CL147+AM147)/2,H147))))</f>
        <v>60</v>
      </c>
      <c r="AL147" s="62" t="n">
        <f aca="false">AK147*G147</f>
        <v>1380</v>
      </c>
      <c r="AM147" s="62" t="n">
        <f aca="false">ROUNDUP(CL147+MAX(CM147,2*(J147/IF(CH147&gt;0,CH147,MAX(0.1,N(Cockpit!$C$6)))-CL147)),0)</f>
        <v>1</v>
      </c>
      <c r="AN147" s="63" t="n">
        <f aca="false">IF(AJ147&gt;0,J147/AJ147,-1)</f>
        <v>0</v>
      </c>
      <c r="AO147" s="63" t="n">
        <f aca="false">IF(AND(OR(CG147="L1",CG147="L23",CG147="LIFT"),AJ147&gt;0),SUMIFS($AJ$7:$AJ$1843,$CG$7:$CG$1843,CG147,$AN$7:$AN$1843,"&gt;"&amp;AN147)+SUMIFS($AJ$7:$AJ$1843,$CG$7:$CG$1843,CG147,$AN$7:$AN$1843,AN147,$BX$7:$BX$1843,"&lt;="&amp;BX147),"")</f>
        <v>27285.0267249229</v>
      </c>
      <c r="AP147" s="70" t="n">
        <f aca="false">IF(AO147="",0,MAX(0,MIN(1,(IF(CG147="L1",Parameter!$H$5,IF(CG147="L23",Parameter!$H$6+Parameter!$H$7,Parameter!$H$5+Parameter!$H$6+Parameter!$H$7))-(AO147-AJ147))/AJ147)))</f>
        <v>1</v>
      </c>
      <c r="AQ147" s="62" t="n">
        <f aca="false">IF(LEFT(Cockpit!$I$5,1)="A",H147,IF(Parameter!$E$30="MAX-Bestand",IF(CI147=1,CJ147,IF(LEFT(Cockpit!$I$5,1)="B",AW147,MAX(AW147,H147))),ROUNDUP(AU147,0)))</f>
        <v>60</v>
      </c>
      <c r="AR147" s="62" t="n">
        <f aca="false">IF(CA147=1,0,ROUNDUP(AQ147/BZ147,0))</f>
        <v>1</v>
      </c>
      <c r="AS147" s="64" t="n">
        <f aca="false">IF(CR147&gt;0,CR147*MAX(1,AQ147/X147),IF(CA147=1,IF(AQ147&lt;=0,0,CE147*MAX(1,IF(H147&gt;0,AQ147/H147,1))),IF(R147&gt;0,AR147/R147,0))/MAX(0.1,N(Parameter!$M$21)))</f>
        <v>0.0384615384615385</v>
      </c>
      <c r="AT147" s="62" t="n">
        <f aca="false">AS147*CC147</f>
        <v>5.96153846153846</v>
      </c>
      <c r="AU147" s="63" t="n">
        <f aca="false">IF(LEFT(Cockpit!$I$5,1)="A",H147,IF(CI147=1,(CL147+CJ147)/2,IF(LEFT(Cockpit!$I$5,1)="B",(CL147+AW147)/2,MAX((CL147+AW147)/2,H147))))</f>
        <v>60</v>
      </c>
      <c r="AV147" s="62" t="n">
        <f aca="false">AU147*G147</f>
        <v>1380</v>
      </c>
      <c r="AW147" s="62" t="n">
        <f aca="false">ROUNDUP(CL147+MAX(CM147,2*(J147/IF(CH147&gt;0,CH147,MAX(0.1,N(Cockpit!$I$6)))-CL147)),0)</f>
        <v>1</v>
      </c>
      <c r="AX147" s="63" t="n">
        <f aca="false">IF(AT147&gt;0,J147/AT147,-1)</f>
        <v>0</v>
      </c>
      <c r="AY147" s="63" t="n">
        <f aca="false">IF(AND(OR(CG147="L1",CG147="L23",CG147="LIFT"),AT147&gt;0),SUMIFS($AT$7:$AT$1843,$CG$7:$CG$1843,CG147,$AX$7:$AX$1843,"&gt;"&amp;AX147)+SUMIFS($AT$7:$AT$1843,$CG$7:$CG$1843,CG147,$AX$7:$AX$1843,AX147,$BX$7:$BX$1843,"&lt;="&amp;BX147),"")</f>
        <v>32638.1753663004</v>
      </c>
      <c r="AZ147" s="70" t="n">
        <f aca="false">IF(AY147="",0,MAX(0,MIN(1,(IF(CG147="L1",Parameter!$H$5,IF(CG147="L23",Parameter!$H$6+Parameter!$H$7,Parameter!$H$5+Parameter!$H$6+Parameter!$H$7))-(AY147-AT147))/AT147)))</f>
        <v>1</v>
      </c>
      <c r="BA147" s="62" t="n">
        <f aca="false">IF(LEFT(Cockpit!$O$5,1)="A",H147,IF(Parameter!$E$30="MAX-Bestand",IF(CI147=1,CJ147,IF(LEFT(Cockpit!$O$5,1)="B",BG147,MAX(BG147,H147))),ROUNDUP(BE147,0)))</f>
        <v>1</v>
      </c>
      <c r="BB147" s="62" t="n">
        <f aca="false">IF(CA147=1,0,ROUNDUP(BA147/BZ147,0))</f>
        <v>1</v>
      </c>
      <c r="BC147" s="64" t="n">
        <f aca="false">IF(CR147&gt;0,CR147*MAX(1,BA147/X147),IF(CA147=1,IF(BA147&lt;=0,0,CE147*MAX(1,IF(H147&gt;0,BA147/H147,1))),IF(R147&gt;0,BB147/R147,0))/MAX(0.1,N(Parameter!$M$21)))</f>
        <v>0.0384615384615385</v>
      </c>
      <c r="BD147" s="62" t="n">
        <f aca="false">BC147*CC147</f>
        <v>5.96153846153846</v>
      </c>
      <c r="BE147" s="63" t="n">
        <f aca="false">IF(LEFT(Cockpit!$O$5,1)="A",H147,IF(CI147=1,(CL147+CJ147)/2,IF(LEFT(Cockpit!$O$5,1)="B",(CL147+BG147)/2,MAX((CL147+BG147)/2,H147))))</f>
        <v>0.5</v>
      </c>
      <c r="BF147" s="62" t="n">
        <f aca="false">BE147*G147</f>
        <v>11.5</v>
      </c>
      <c r="BG147" s="62" t="n">
        <f aca="false">ROUNDUP(CL147+MAX(CM147,2*(J147/IF(CH147&gt;0,CH147,MAX(0.1,N(Cockpit!$O$6)))-CL147)),0)</f>
        <v>1</v>
      </c>
      <c r="BH147" s="63" t="n">
        <f aca="false">IF(BD147&gt;0,J147/BD147,-1)</f>
        <v>0</v>
      </c>
      <c r="BI147" s="63" t="n">
        <f aca="false">IF(AND(OR(CG147="L1",CG147="L23",CG147="LIFT"),BD147&gt;0),SUMIFS($BD$7:$BD$1843,$CG$7:$CG$1843,CG147,$BH$7:$BH$1843,"&gt;"&amp;BH147)+SUMIFS($BD$7:$BD$1843,$CG$7:$CG$1843,CG147,$BH$7:$BH$1843,BH147,$BX$7:$BX$1843,"&lt;="&amp;BX147),"")</f>
        <v>26802.4174660086</v>
      </c>
      <c r="BJ147" s="70" t="n">
        <f aca="false">IF(BI147="",0,MAX(0,MIN(1,(IF(CG147="L1",Parameter!$H$5,IF(CG147="L23",Parameter!$H$6+Parameter!$H$7,Parameter!$H$5+Parameter!$H$6+Parameter!$H$7))-(BI147-BD147))/BD147)))</f>
        <v>1</v>
      </c>
      <c r="BK147" s="60" t="str">
        <f aca="false">IF(AJ147&lt;=0,"",IF(CG147="Aussen","Aussenlager",IF(CG147="-","Nicht im Lift",IF(AP147&gt;=1,"Lift",IF(AP147&lt;=0,"Aussenlager","teilweise")))))</f>
        <v>Lift</v>
      </c>
      <c r="BL147" s="60" t="str">
        <f aca="false">IF(AT147&lt;=0,"",IF(CG147="Aussen","Aussenlager",IF(CG147="-","Nicht im Lift",IF(AZ147&gt;=1,"Lift",IF(AZ147&lt;=0,"Aussenlager","teilweise")))))</f>
        <v>Lift</v>
      </c>
      <c r="BM147" s="60" t="str">
        <f aca="false">IF(BD147&lt;=0,"",IF(CG147="Aussen","Aussenlager",IF(CG147="-","Nicht im Lift",IF(BJ147&gt;=1,"Lift",IF(BJ147&lt;=0,"Aussenlager","teilweise")))))</f>
        <v>Lift</v>
      </c>
      <c r="BN147" s="60" t="str">
        <f aca="false">IF(A147="","",IF(BW147=1,"Neu; ","")&amp;IF(AND(BW147=0,BR147&lt;0),"negativer Bestand (Export "&amp;BR147&amp;"); ","")&amp;IF(J147&lt;=0,"Kein Verbrauch; ","")&amp;IF(CR147&gt;0,"Lift "&amp;W147&amp;" lt. Liftbericht (Fach "&amp;X147&amp;" Stk); ",IF(CB147=1,"Gebinde geschätzt ("&amp;T147&amp;"); ",IF(CA147=1,"Lose – Tablare geschätzt; ","")))&amp;IF(H147&gt;AW147,"Überbestand "&amp;ROUND(H147-AW147,0)&amp;" Stk / CHF "&amp;ROUND((H147-AW147)*G147,0)&amp;"; ","")&amp;IF(AND(CI147=1,CJ147&lt;CK147),"MAX &lt; MB+LG; ","")&amp;IF(AND(CQ147&gt;0,CP147*10&gt;CQ147),"zu hoch für Tablar; ","")&amp;IF(AND(BW147=0,OR(CI147=1,AB147&lt;&gt;"",U147&lt;&gt;"",V147&lt;&gt;"",AC147&lt;&gt;"")),"manuell übersteuert; ","")&amp;IF(AND(CA147=0,R147=0),"Gebinde unbekannt / Stellmass fehlt; ","")&amp;IF(AND(CA147=0,N(V147)&lt;=0,N(Q147)&lt;=0),"Menge pro Gebinde fehlt (Ist = 1 Gebinde); ","")&amp;BV147)</f>
        <v>Kein Verbrauch; Gebinde geschätzt (Klein); Überbestand 59 Stk / CHF 1357; Menge pro Gebinde fehlt (Ist = 1 Gebinde); </v>
      </c>
      <c r="BO147" s="60"/>
      <c r="BP147" s="60"/>
      <c r="BQ147" s="67"/>
      <c r="BR147" s="62" t="n">
        <v>60</v>
      </c>
      <c r="BS147" s="62" t="n">
        <v>0</v>
      </c>
      <c r="BT147" s="61" t="n">
        <v>1380</v>
      </c>
      <c r="BU147" s="62" t="n">
        <v>0</v>
      </c>
      <c r="BV147" s="60"/>
      <c r="BW147" s="65" t="n">
        <v>0</v>
      </c>
      <c r="BX147" s="65" t="n">
        <v>147</v>
      </c>
      <c r="BY147" s="60" t="str">
        <f aca="false">IF(U147&lt;&gt;"",UPPER(TRIM(U147)),IF(CB147=1,UPPER(VLOOKUP(T147,Parameter!$I$27:$K$29,2,0)),IF(P147="","LOSE",P147)))</f>
        <v>S51</v>
      </c>
      <c r="BZ147" s="62" t="n">
        <f aca="false">IF(BY147="LOSE",1,IF(N(V147)&gt;0,V147,IF(CB147=1,MAX(1,N(VLOOKUP(T147,Parameter!$I$27:$K$29,3,0)),H147,N(N147)),IF(N(Q147)&gt;0,Q147,MAX(1,H147)))))</f>
        <v>60</v>
      </c>
      <c r="CA147" s="65" t="n">
        <f aca="false">IF(BY147="LOSE",1,0)</f>
        <v>0</v>
      </c>
      <c r="CB147" s="65" t="n">
        <f aca="false">IF(AND(U147="",OR(P147="",P147="LOSE"),T147&lt;&gt;"",N(S147)&lt;=0,ISNUMBER(MATCH(T147,Parameter!$I$27:$I$29,0))),1,0)</f>
        <v>1</v>
      </c>
      <c r="CC147" s="65" t="n">
        <f aca="false">IF(CR147&gt;0,INDEX(Parameter!$H$5:$H$7,W147)/INDEX(Parameter!$E$5:$E$7,W147),IF(AND(CA147=0,N(IFERROR(VLOOKUP(BY147,'Gebinde-Kategorie'!$A$5:$N$45,14,0),0))&gt;0),VLOOKUP(BY147,'Gebinde-Kategorie'!$A$5:$N$45,14,0)*10+Parameter!$M$23,Parameter!$M$24))</f>
        <v>155</v>
      </c>
      <c r="CD147" s="60" t="str">
        <f aca="false">IF(AND(Parameter!$B$19="Ja",E147&lt;&gt;"",ISNUMBER(MATCH(E147,Parameter!$I$35:$I$52,0))),VLOOKUP(E147,Parameter!$I$35:$J$52,2,0),IFERROR(VLOOKUP(D147,Parameter!$A$35:$C$64,2,0),"Nein"))</f>
        <v>2+3</v>
      </c>
      <c r="CE147" s="64" t="n">
        <f aca="false">IF(CA147=0,0,IF(N(S147)&gt;0,S147,IFERROR(VLOOKUP(D147,Parameter!$A$35:$C$64,3,0)+0,0)))</f>
        <v>0</v>
      </c>
      <c r="CF147" s="60" t="n">
        <f aca="false">IF(AB147&lt;&gt;"",AB147,AA147)</f>
        <v>3</v>
      </c>
      <c r="CG147" s="60" t="str">
        <f aca="false">IF(OR(CF147=1,CF147=2,CF147=3),IF(Parameter!$E$27="Ja","LIFT",IF(CF147=1,"L1","L23")),IF(CF147="Aussen","Aussen","-"))</f>
        <v>LIFT</v>
      </c>
      <c r="CH147" s="71" t="n">
        <f aca="false">IF(N(AC147)&gt;0,AC147,0)</f>
        <v>0</v>
      </c>
      <c r="CI147" s="65" t="n">
        <f aca="false">IF(ISNUMBER(AF147),1,0)</f>
        <v>0</v>
      </c>
      <c r="CJ147" s="62" t="n">
        <f aca="false">N(AF147)</f>
        <v>0</v>
      </c>
      <c r="CK147" s="62" t="n">
        <f aca="false">N(M147)+N(N147)</f>
        <v>1</v>
      </c>
      <c r="CL147" s="62" t="n">
        <f aca="false">N(M147)</f>
        <v>0</v>
      </c>
      <c r="CM147" s="62" t="n">
        <f aca="false">N(N147)</f>
        <v>1</v>
      </c>
      <c r="CN147" s="62" t="n">
        <f aca="false">ROUNDUP(H147/BZ147,0)</f>
        <v>1</v>
      </c>
      <c r="CO147" s="62" t="n">
        <f aca="false">ROUNDUP(CJ147/BZ147,0)</f>
        <v>0</v>
      </c>
      <c r="CP147" s="65" t="n">
        <f aca="false">IF(CA147=1,0,IFERROR(VLOOKUP(BY147,'Gebinde-Kategorie'!$A$5:$N$45,5,0)+0,0))</f>
        <v>11</v>
      </c>
      <c r="CQ147" s="65" t="n">
        <f aca="false">IFERROR(IF(OR(CF147=1,CF147=2,CF147=3),N(INDEX(Parameter!$I$5:$I$7,CF147)),0),0)</f>
        <v>0</v>
      </c>
      <c r="CR147" s="64" t="n">
        <f aca="false">IF(AND(Parameter!$B$21="Ja",ISNUMBER(W147),N(X147)&gt;0),IFERROR(N(INDEX(Parameter!$L$5:$L$7,W147))*INDEX(Parameter!$E$5:$E$7,W147)*X147/SUMIFS($X$7:$X$1843,$W$7:$W$1843,W147),0),0)</f>
        <v>0</v>
      </c>
      <c r="CS147" s="62" t="n">
        <f aca="false">IF(AND(OR(CG147="L1",CG147="L23",CG147="LIFT"),H147&gt;0),CC147*IF(CR147&gt;0,CR147*MAX(1,H147/X147),IF(CA147=1,CE147,IF(R147&gt;0,CN147/R147,0))/MAX(0.1,N(Parameter!$M$21))),"")</f>
        <v>5.96153846153846</v>
      </c>
      <c r="CT147" s="64" t="n">
        <f aca="false">IF(CS147="","",J147/H147)</f>
        <v>0</v>
      </c>
      <c r="CU147" s="62" t="n">
        <f aca="false">IF(CS147="","",H147*G147)</f>
        <v>1380</v>
      </c>
      <c r="CV147" s="63" t="n">
        <f aca="false">IF(CS147="","",(CL147+ROUNDUP(CL147+MAX(CM147,2*(J147/MAX(0.1,N(Einkauf!$C$6))-CL147)),0))/2)</f>
        <v>0.5</v>
      </c>
      <c r="CW147" s="62" t="n">
        <f aca="false">IF(CS147="","",MAX(0,H147-CV147)*G147)</f>
        <v>1368.5</v>
      </c>
      <c r="CX147" s="62" t="n">
        <f aca="false">IF(CS147="","",CS147*MAX(0,1-CV147/H147))</f>
        <v>5.91185897435897</v>
      </c>
      <c r="CY147" s="64" t="n">
        <f aca="false">IF(CS147="","",PERCENTRANK($CS$7:$CS$1843,CS147)+PERCENTRANK($CU$7:$CU$1843,CU147)+1-PERCENTRANK($CT$7:$CT$1843,CT147))</f>
        <v>2.06</v>
      </c>
      <c r="CZ147" s="72" t="n">
        <f aca="false">IF(CS147="","",CHOOSE(MATCH(Einkauf!$C$5,Parameter!$G$23:$G$27,0),CY147,CS147,CU147,-CT147,CW147)+ROW()/1000000000)</f>
        <v>2.060000147</v>
      </c>
    </row>
    <row r="148" customFormat="false" ht="15" hidden="false" customHeight="false" outlineLevel="0" collapsed="false">
      <c r="A148" s="60" t="s">
        <v>544</v>
      </c>
      <c r="B148" s="60" t="s">
        <v>545</v>
      </c>
      <c r="C148" s="60" t="s">
        <v>206</v>
      </c>
      <c r="D148" s="60" t="s">
        <v>226</v>
      </c>
      <c r="E148" s="60"/>
      <c r="F148" s="60" t="s">
        <v>260</v>
      </c>
      <c r="G148" s="61" t="n">
        <v>227.16</v>
      </c>
      <c r="H148" s="62" t="n">
        <f aca="false">MAX(0,IF(AND(Parameter!$B$21="Ja",ISNUMBER(Y148)),Y148,IF(Parameter!$B$20="Jahresanfang 2025 + Export",BS148+BR148,BR148)))</f>
        <v>8</v>
      </c>
      <c r="I148" s="62" t="n">
        <f aca="false">H148*G148</f>
        <v>1817.28</v>
      </c>
      <c r="J148" s="62" t="n">
        <f aca="false">BU148*Parameter!$B$18</f>
        <v>0</v>
      </c>
      <c r="K148" s="63" t="n">
        <v>5</v>
      </c>
      <c r="L148" s="64" t="n">
        <v>0</v>
      </c>
      <c r="M148" s="62" t="n">
        <v>0</v>
      </c>
      <c r="N148" s="62" t="n">
        <v>1</v>
      </c>
      <c r="O148" s="65" t="n">
        <v>14</v>
      </c>
      <c r="P148" s="60" t="s">
        <v>335</v>
      </c>
      <c r="Q148" s="62" t="n">
        <v>8</v>
      </c>
      <c r="R148" s="65" t="n">
        <f aca="false">IF(CA148=1,0,IFERROR(VLOOKUP(BY148,'Gebinde-Kategorie'!$A$5:$N$45,13,0)+0,0))</f>
        <v>12</v>
      </c>
      <c r="S148" s="66"/>
      <c r="T148" s="67"/>
      <c r="U148" s="67"/>
      <c r="V148" s="67"/>
      <c r="W148" s="60"/>
      <c r="X148" s="62"/>
      <c r="Y148" s="62"/>
      <c r="Z148" s="60" t="n">
        <v>3</v>
      </c>
      <c r="AA148" s="60" t="n">
        <f aca="false">IF(A148="","",IF(AND(Parameter!$B$21="Ja",ISNUMBER(W148)),W148,IF(AND(Parameter!$E$27="Ja",ISNUMBER(Z148),CD148&lt;&gt;"Nein"),Z148,IF(CD148="2+3",IF(ISNUMBER(SEARCH("grosser Artikel",BV148)),2,IFERROR(VLOOKUP(BY148,Parameter!$F$35:$G$64,2,0),2)),IF(OR(CD148="Nein",CD148=""),"-",CD148)))))</f>
        <v>3</v>
      </c>
      <c r="AB148" s="67"/>
      <c r="AC148" s="68"/>
      <c r="AD148" s="62" t="n">
        <f aca="false">AW148</f>
        <v>1</v>
      </c>
      <c r="AE148" s="62" t="n">
        <f aca="false">MAX(AW148,H148)</f>
        <v>8</v>
      </c>
      <c r="AF148" s="69"/>
      <c r="AG148" s="62" t="n">
        <f aca="false">IF(LEFT(Cockpit!$C$5,1)="A",H148,IF(Parameter!$E$30="MAX-Bestand",IF(CI148=1,CJ148,IF(LEFT(Cockpit!$C$5,1)="B",AM148,MAX(AM148,H148))),ROUNDUP(AK148,0)))</f>
        <v>8</v>
      </c>
      <c r="AH148" s="62" t="n">
        <f aca="false">IF(CA148=1,0,ROUNDUP(AG148/BZ148,0))</f>
        <v>1</v>
      </c>
      <c r="AI148" s="64" t="n">
        <f aca="false">IF(CR148&gt;0,CR148*MAX(1,AG148/X148),IF(CA148=1,IF(AG148&lt;=0,0,CE148*MAX(1,IF(H148&gt;0,AG148/H148,1))),IF(R148&gt;0,AH148/R148,0))/MAX(0.1,N(Parameter!$M$21)))</f>
        <v>0.0833333333333333</v>
      </c>
      <c r="AJ148" s="62" t="n">
        <f aca="false">AI148*CC148</f>
        <v>20.4166666666667</v>
      </c>
      <c r="AK148" s="63" t="n">
        <f aca="false">IF(LEFT(Cockpit!$C$5,1)="A",H148,IF(CI148=1,(CL148+CJ148)/2,IF(LEFT(Cockpit!$C$5,1)="B",(CL148+AM148)/2,MAX((CL148+AM148)/2,H148))))</f>
        <v>8</v>
      </c>
      <c r="AL148" s="62" t="n">
        <f aca="false">AK148*G148</f>
        <v>1817.28</v>
      </c>
      <c r="AM148" s="62" t="n">
        <f aca="false">ROUNDUP(CL148+MAX(CM148,2*(J148/IF(CH148&gt;0,CH148,MAX(0.1,N(Cockpit!$C$6)))-CL148)),0)</f>
        <v>1</v>
      </c>
      <c r="AN148" s="63" t="n">
        <f aca="false">IF(AJ148&gt;0,J148/AJ148,-1)</f>
        <v>0</v>
      </c>
      <c r="AO148" s="63" t="n">
        <f aca="false">IF(AND(OR(CG148="L1",CG148="L23",CG148="LIFT"),AJ148&gt;0),SUMIFS($AJ$7:$AJ$1843,$CG$7:$CG$1843,CG148,$AN$7:$AN$1843,"&gt;"&amp;AN148)+SUMIFS($AJ$7:$AJ$1843,$CG$7:$CG$1843,CG148,$AN$7:$AN$1843,AN148,$BX$7:$BX$1843,"&lt;="&amp;BX148),"")</f>
        <v>27305.4433915896</v>
      </c>
      <c r="AP148" s="70" t="n">
        <f aca="false">IF(AO148="",0,MAX(0,MIN(1,(IF(CG148="L1",Parameter!$H$5,IF(CG148="L23",Parameter!$H$6+Parameter!$H$7,Parameter!$H$5+Parameter!$H$6+Parameter!$H$7))-(AO148-AJ148))/AJ148)))</f>
        <v>1</v>
      </c>
      <c r="AQ148" s="62" t="n">
        <f aca="false">IF(LEFT(Cockpit!$I$5,1)="A",H148,IF(Parameter!$E$30="MAX-Bestand",IF(CI148=1,CJ148,IF(LEFT(Cockpit!$I$5,1)="B",AW148,MAX(AW148,H148))),ROUNDUP(AU148,0)))</f>
        <v>8</v>
      </c>
      <c r="AR148" s="62" t="n">
        <f aca="false">IF(CA148=1,0,ROUNDUP(AQ148/BZ148,0))</f>
        <v>1</v>
      </c>
      <c r="AS148" s="64" t="n">
        <f aca="false">IF(CR148&gt;0,CR148*MAX(1,AQ148/X148),IF(CA148=1,IF(AQ148&lt;=0,0,CE148*MAX(1,IF(H148&gt;0,AQ148/H148,1))),IF(R148&gt;0,AR148/R148,0))/MAX(0.1,N(Parameter!$M$21)))</f>
        <v>0.0833333333333333</v>
      </c>
      <c r="AT148" s="62" t="n">
        <f aca="false">AS148*CC148</f>
        <v>20.4166666666667</v>
      </c>
      <c r="AU148" s="63" t="n">
        <f aca="false">IF(LEFT(Cockpit!$I$5,1)="A",H148,IF(CI148=1,(CL148+CJ148)/2,IF(LEFT(Cockpit!$I$5,1)="B",(CL148+AW148)/2,MAX((CL148+AW148)/2,H148))))</f>
        <v>8</v>
      </c>
      <c r="AV148" s="62" t="n">
        <f aca="false">AU148*G148</f>
        <v>1817.28</v>
      </c>
      <c r="AW148" s="62" t="n">
        <f aca="false">ROUNDUP(CL148+MAX(CM148,2*(J148/IF(CH148&gt;0,CH148,MAX(0.1,N(Cockpit!$I$6)))-CL148)),0)</f>
        <v>1</v>
      </c>
      <c r="AX148" s="63" t="n">
        <f aca="false">IF(AT148&gt;0,J148/AT148,-1)</f>
        <v>0</v>
      </c>
      <c r="AY148" s="63" t="n">
        <f aca="false">IF(AND(OR(CG148="L1",CG148="L23",CG148="LIFT"),AT148&gt;0),SUMIFS($AT$7:$AT$1843,$CG$7:$CG$1843,CG148,$AX$7:$AX$1843,"&gt;"&amp;AX148)+SUMIFS($AT$7:$AT$1843,$CG$7:$CG$1843,CG148,$AX$7:$AX$1843,AX148,$BX$7:$BX$1843,"&lt;="&amp;BX148),"")</f>
        <v>32658.592032967</v>
      </c>
      <c r="AZ148" s="70" t="n">
        <f aca="false">IF(AY148="",0,MAX(0,MIN(1,(IF(CG148="L1",Parameter!$H$5,IF(CG148="L23",Parameter!$H$6+Parameter!$H$7,Parameter!$H$5+Parameter!$H$6+Parameter!$H$7))-(AY148-AT148))/AT148)))</f>
        <v>1</v>
      </c>
      <c r="BA148" s="62" t="n">
        <f aca="false">IF(LEFT(Cockpit!$O$5,1)="A",H148,IF(Parameter!$E$30="MAX-Bestand",IF(CI148=1,CJ148,IF(LEFT(Cockpit!$O$5,1)="B",BG148,MAX(BG148,H148))),ROUNDUP(BE148,0)))</f>
        <v>1</v>
      </c>
      <c r="BB148" s="62" t="n">
        <f aca="false">IF(CA148=1,0,ROUNDUP(BA148/BZ148,0))</f>
        <v>1</v>
      </c>
      <c r="BC148" s="64" t="n">
        <f aca="false">IF(CR148&gt;0,CR148*MAX(1,BA148/X148),IF(CA148=1,IF(BA148&lt;=0,0,CE148*MAX(1,IF(H148&gt;0,BA148/H148,1))),IF(R148&gt;0,BB148/R148,0))/MAX(0.1,N(Parameter!$M$21)))</f>
        <v>0.0833333333333333</v>
      </c>
      <c r="BD148" s="62" t="n">
        <f aca="false">BC148*CC148</f>
        <v>20.4166666666667</v>
      </c>
      <c r="BE148" s="63" t="n">
        <f aca="false">IF(LEFT(Cockpit!$O$5,1)="A",H148,IF(CI148=1,(CL148+CJ148)/2,IF(LEFT(Cockpit!$O$5,1)="B",(CL148+BG148)/2,MAX((CL148+BG148)/2,H148))))</f>
        <v>0.5</v>
      </c>
      <c r="BF148" s="62" t="n">
        <f aca="false">BE148*G148</f>
        <v>113.58</v>
      </c>
      <c r="BG148" s="62" t="n">
        <f aca="false">ROUNDUP(CL148+MAX(CM148,2*(J148/IF(CH148&gt;0,CH148,MAX(0.1,N(Cockpit!$O$6)))-CL148)),0)</f>
        <v>1</v>
      </c>
      <c r="BH148" s="63" t="n">
        <f aca="false">IF(BD148&gt;0,J148/BD148,-1)</f>
        <v>0</v>
      </c>
      <c r="BI148" s="63" t="n">
        <f aca="false">IF(AND(OR(CG148="L1",CG148="L23",CG148="LIFT"),BD148&gt;0),SUMIFS($BD$7:$BD$1843,$CG$7:$CG$1843,CG148,$BH$7:$BH$1843,"&gt;"&amp;BH148)+SUMIFS($BD$7:$BD$1843,$CG$7:$CG$1843,CG148,$BH$7:$BH$1843,BH148,$BX$7:$BX$1843,"&lt;="&amp;BX148),"")</f>
        <v>26822.8341326752</v>
      </c>
      <c r="BJ148" s="70" t="n">
        <f aca="false">IF(BI148="",0,MAX(0,MIN(1,(IF(CG148="L1",Parameter!$H$5,IF(CG148="L23",Parameter!$H$6+Parameter!$H$7,Parameter!$H$5+Parameter!$H$6+Parameter!$H$7))-(BI148-BD148))/BD148)))</f>
        <v>1</v>
      </c>
      <c r="BK148" s="60" t="str">
        <f aca="false">IF(AJ148&lt;=0,"",IF(CG148="Aussen","Aussenlager",IF(CG148="-","Nicht im Lift",IF(AP148&gt;=1,"Lift",IF(AP148&lt;=0,"Aussenlager","teilweise")))))</f>
        <v>Lift</v>
      </c>
      <c r="BL148" s="60" t="str">
        <f aca="false">IF(AT148&lt;=0,"",IF(CG148="Aussen","Aussenlager",IF(CG148="-","Nicht im Lift",IF(AZ148&gt;=1,"Lift",IF(AZ148&lt;=0,"Aussenlager","teilweise")))))</f>
        <v>Lift</v>
      </c>
      <c r="BM148" s="60" t="str">
        <f aca="false">IF(BD148&lt;=0,"",IF(CG148="Aussen","Aussenlager",IF(CG148="-","Nicht im Lift",IF(BJ148&gt;=1,"Lift",IF(BJ148&lt;=0,"Aussenlager","teilweise")))))</f>
        <v>Lift</v>
      </c>
      <c r="BN148" s="60" t="str">
        <f aca="false">IF(A148="","",IF(BW148=1,"Neu; ","")&amp;IF(AND(BW148=0,BR148&lt;0),"negativer Bestand (Export "&amp;BR148&amp;"); ","")&amp;IF(J148&lt;=0,"Kein Verbrauch; ","")&amp;IF(CR148&gt;0,"Lift "&amp;W148&amp;" lt. Liftbericht (Fach "&amp;X148&amp;" Stk); ",IF(CB148=1,"Gebinde geschätzt ("&amp;T148&amp;"); ",IF(CA148=1,"Lose – Tablare geschätzt; ","")))&amp;IF(H148&gt;AW148,"Überbestand "&amp;ROUND(H148-AW148,0)&amp;" Stk / CHF "&amp;ROUND((H148-AW148)*G148,0)&amp;"; ","")&amp;IF(AND(CI148=1,CJ148&lt;CK148),"MAX &lt; MB+LG; ","")&amp;IF(AND(CQ148&gt;0,CP148*10&gt;CQ148),"zu hoch für Tablar; ","")&amp;IF(AND(BW148=0,OR(CI148=1,AB148&lt;&gt;"",U148&lt;&gt;"",V148&lt;&gt;"",AC148&lt;&gt;"")),"manuell übersteuert; ","")&amp;IF(AND(CA148=0,R148=0),"Gebinde unbekannt / Stellmass fehlt; ","")&amp;IF(AND(CA148=0,N(V148)&lt;=0,N(Q148)&lt;=0),"Menge pro Gebinde fehlt (Ist = 1 Gebinde); ","")&amp;BV148)</f>
        <v>Kein Verbrauch; Überbestand 7 Stk / CHF 1590; </v>
      </c>
      <c r="BO148" s="60"/>
      <c r="BP148" s="60"/>
      <c r="BQ148" s="67"/>
      <c r="BR148" s="62" t="n">
        <v>6</v>
      </c>
      <c r="BS148" s="62" t="n">
        <v>2</v>
      </c>
      <c r="BT148" s="61" t="n">
        <v>1362.96</v>
      </c>
      <c r="BU148" s="62" t="n">
        <v>0</v>
      </c>
      <c r="BV148" s="60"/>
      <c r="BW148" s="65" t="n">
        <v>0</v>
      </c>
      <c r="BX148" s="65" t="n">
        <v>148</v>
      </c>
      <c r="BY148" s="60" t="str">
        <f aca="false">IF(U148&lt;&gt;"",UPPER(TRIM(U148)),IF(CB148=1,UPPER(VLOOKUP(T148,Parameter!$I$27:$K$29,2,0)),IF(P148="","LOSE",P148)))</f>
        <v>S62</v>
      </c>
      <c r="BZ148" s="62" t="n">
        <f aca="false">IF(BY148="LOSE",1,IF(N(V148)&gt;0,V148,IF(CB148=1,MAX(1,N(VLOOKUP(T148,Parameter!$I$27:$K$29,3,0)),H148,N(N148)),IF(N(Q148)&gt;0,Q148,MAX(1,H148)))))</f>
        <v>8</v>
      </c>
      <c r="CA148" s="65" t="n">
        <f aca="false">IF(BY148="LOSE",1,0)</f>
        <v>0</v>
      </c>
      <c r="CB148" s="65" t="n">
        <f aca="false">IF(AND(U148="",OR(P148="",P148="LOSE"),T148&lt;&gt;"",N(S148)&lt;=0,ISNUMBER(MATCH(T148,Parameter!$I$27:$I$29,0))),1,0)</f>
        <v>0</v>
      </c>
      <c r="CC148" s="65" t="n">
        <f aca="false">IF(CR148&gt;0,INDEX(Parameter!$H$5:$H$7,W148)/INDEX(Parameter!$E$5:$E$7,W148),IF(AND(CA148=0,N(IFERROR(VLOOKUP(BY148,'Gebinde-Kategorie'!$A$5:$N$45,14,0),0))&gt;0),VLOOKUP(BY148,'Gebinde-Kategorie'!$A$5:$N$45,14,0)*10+Parameter!$M$23,Parameter!$M$24))</f>
        <v>245</v>
      </c>
      <c r="CD148" s="60" t="str">
        <f aca="false">IF(AND(Parameter!$B$19="Ja",E148&lt;&gt;"",ISNUMBER(MATCH(E148,Parameter!$I$35:$I$52,0))),VLOOKUP(E148,Parameter!$I$35:$J$52,2,0),IFERROR(VLOOKUP(D148,Parameter!$A$35:$C$64,2,0),"Nein"))</f>
        <v>2+3</v>
      </c>
      <c r="CE148" s="64" t="n">
        <f aca="false">IF(CA148=0,0,IF(N(S148)&gt;0,S148,IFERROR(VLOOKUP(D148,Parameter!$A$35:$C$64,3,0)+0,0)))</f>
        <v>0</v>
      </c>
      <c r="CF148" s="60" t="n">
        <f aca="false">IF(AB148&lt;&gt;"",AB148,AA148)</f>
        <v>3</v>
      </c>
      <c r="CG148" s="60" t="str">
        <f aca="false">IF(OR(CF148=1,CF148=2,CF148=3),IF(Parameter!$E$27="Ja","LIFT",IF(CF148=1,"L1","L23")),IF(CF148="Aussen","Aussen","-"))</f>
        <v>LIFT</v>
      </c>
      <c r="CH148" s="71" t="n">
        <f aca="false">IF(N(AC148)&gt;0,AC148,0)</f>
        <v>0</v>
      </c>
      <c r="CI148" s="65" t="n">
        <f aca="false">IF(ISNUMBER(AF148),1,0)</f>
        <v>0</v>
      </c>
      <c r="CJ148" s="62" t="n">
        <f aca="false">N(AF148)</f>
        <v>0</v>
      </c>
      <c r="CK148" s="62" t="n">
        <f aca="false">N(M148)+N(N148)</f>
        <v>1</v>
      </c>
      <c r="CL148" s="62" t="n">
        <f aca="false">N(M148)</f>
        <v>0</v>
      </c>
      <c r="CM148" s="62" t="n">
        <f aca="false">N(N148)</f>
        <v>1</v>
      </c>
      <c r="CN148" s="62" t="n">
        <f aca="false">ROUNDUP(H148/BZ148,0)</f>
        <v>1</v>
      </c>
      <c r="CO148" s="62" t="n">
        <f aca="false">ROUNDUP(CJ148/BZ148,0)</f>
        <v>0</v>
      </c>
      <c r="CP148" s="65" t="n">
        <f aca="false">IF(CA148=1,0,IFERROR(VLOOKUP(BY148,'Gebinde-Kategorie'!$A$5:$N$45,5,0)+0,0))</f>
        <v>21</v>
      </c>
      <c r="CQ148" s="65" t="n">
        <f aca="false">IFERROR(IF(OR(CF148=1,CF148=2,CF148=3),N(INDEX(Parameter!$I$5:$I$7,CF148)),0),0)</f>
        <v>0</v>
      </c>
      <c r="CR148" s="64" t="n">
        <f aca="false">IF(AND(Parameter!$B$21="Ja",ISNUMBER(W148),N(X148)&gt;0),IFERROR(N(INDEX(Parameter!$L$5:$L$7,W148))*INDEX(Parameter!$E$5:$E$7,W148)*X148/SUMIFS($X$7:$X$1843,$W$7:$W$1843,W148),0),0)</f>
        <v>0</v>
      </c>
      <c r="CS148" s="62" t="n">
        <f aca="false">IF(AND(OR(CG148="L1",CG148="L23",CG148="LIFT"),H148&gt;0),CC148*IF(CR148&gt;0,CR148*MAX(1,H148/X148),IF(CA148=1,CE148,IF(R148&gt;0,CN148/R148,0))/MAX(0.1,N(Parameter!$M$21))),"")</f>
        <v>20.4166666666667</v>
      </c>
      <c r="CT148" s="64" t="n">
        <f aca="false">IF(CS148="","",J148/H148)</f>
        <v>0</v>
      </c>
      <c r="CU148" s="62" t="n">
        <f aca="false">IF(CS148="","",H148*G148)</f>
        <v>1817.28</v>
      </c>
      <c r="CV148" s="63" t="n">
        <f aca="false">IF(CS148="","",(CL148+ROUNDUP(CL148+MAX(CM148,2*(J148/MAX(0.1,N(Einkauf!$C$6))-CL148)),0))/2)</f>
        <v>0.5</v>
      </c>
      <c r="CW148" s="62" t="n">
        <f aca="false">IF(CS148="","",MAX(0,H148-CV148)*G148)</f>
        <v>1703.7</v>
      </c>
      <c r="CX148" s="62" t="n">
        <f aca="false">IF(CS148="","",CS148*MAX(0,1-CV148/H148))</f>
        <v>19.140625</v>
      </c>
      <c r="CY148" s="64" t="n">
        <f aca="false">IF(CS148="","",PERCENTRANK($CS$7:$CS$1843,CS148)+PERCENTRANK($CU$7:$CU$1843,CU148)+1-PERCENTRANK($CT$7:$CT$1843,CT148))</f>
        <v>2.536</v>
      </c>
      <c r="CZ148" s="72" t="n">
        <f aca="false">IF(CS148="","",CHOOSE(MATCH(Einkauf!$C$5,Parameter!$G$23:$G$27,0),CY148,CS148,CU148,-CT148,CW148)+ROW()/1000000000)</f>
        <v>2.536000148</v>
      </c>
    </row>
    <row r="149" customFormat="false" ht="15" hidden="false" customHeight="false" outlineLevel="0" collapsed="false">
      <c r="A149" s="60" t="s">
        <v>546</v>
      </c>
      <c r="B149" s="60" t="s">
        <v>547</v>
      </c>
      <c r="C149" s="60" t="s">
        <v>206</v>
      </c>
      <c r="D149" s="60" t="s">
        <v>226</v>
      </c>
      <c r="E149" s="60" t="s">
        <v>227</v>
      </c>
      <c r="F149" s="60" t="s">
        <v>260</v>
      </c>
      <c r="G149" s="61" t="n">
        <v>50.41</v>
      </c>
      <c r="H149" s="62" t="n">
        <f aca="false">MAX(0,IF(AND(Parameter!$B$21="Ja",ISNUMBER(Y149)),Y149,IF(Parameter!$B$20="Jahresanfang 2025 + Export",BS149+BR149,BR149)))</f>
        <v>39</v>
      </c>
      <c r="I149" s="62" t="n">
        <f aca="false">H149*G149</f>
        <v>1965.99</v>
      </c>
      <c r="J149" s="62" t="n">
        <f aca="false">BU149*Parameter!$B$18</f>
        <v>59</v>
      </c>
      <c r="K149" s="63" t="n">
        <v>34.5</v>
      </c>
      <c r="L149" s="64" t="n">
        <v>1.71014492753623</v>
      </c>
      <c r="M149" s="62" t="n">
        <v>10</v>
      </c>
      <c r="N149" s="62" t="n">
        <v>60</v>
      </c>
      <c r="O149" s="65" t="n">
        <v>35</v>
      </c>
      <c r="P149" s="60" t="s">
        <v>335</v>
      </c>
      <c r="Q149" s="62" t="n">
        <v>16</v>
      </c>
      <c r="R149" s="65" t="n">
        <f aca="false">IF(CA149=1,0,IFERROR(VLOOKUP(BY149,'Gebinde-Kategorie'!$A$5:$N$45,13,0)+0,0))</f>
        <v>12</v>
      </c>
      <c r="S149" s="66"/>
      <c r="T149" s="67"/>
      <c r="U149" s="67"/>
      <c r="V149" s="67"/>
      <c r="W149" s="60"/>
      <c r="X149" s="62"/>
      <c r="Y149" s="62"/>
      <c r="Z149" s="60" t="n">
        <v>3</v>
      </c>
      <c r="AA149" s="60" t="n">
        <f aca="false">IF(A149="","",IF(AND(Parameter!$B$21="Ja",ISNUMBER(W149)),W149,IF(AND(Parameter!$E$27="Ja",ISNUMBER(Z149),CD149&lt;&gt;"Nein"),Z149,IF(CD149="2+3",IF(ISNUMBER(SEARCH("grosser Artikel",BV149)),2,IFERROR(VLOOKUP(BY149,Parameter!$F$35:$G$64,2,0),2)),IF(OR(CD149="Nein",CD149=""),"-",CD149)))))</f>
        <v>3</v>
      </c>
      <c r="AB149" s="67"/>
      <c r="AC149" s="68"/>
      <c r="AD149" s="62" t="n">
        <f aca="false">AW149</f>
        <v>70</v>
      </c>
      <c r="AE149" s="62" t="n">
        <f aca="false">MAX(AW149,H149)</f>
        <v>70</v>
      </c>
      <c r="AF149" s="69"/>
      <c r="AG149" s="62" t="n">
        <f aca="false">IF(LEFT(Cockpit!$C$5,1)="A",H149,IF(Parameter!$E$30="MAX-Bestand",IF(CI149=1,CJ149,IF(LEFT(Cockpit!$C$5,1)="B",AM149,MAX(AM149,H149))),ROUNDUP(AK149,0)))</f>
        <v>39</v>
      </c>
      <c r="AH149" s="62" t="n">
        <f aca="false">IF(CA149=1,0,ROUNDUP(AG149/BZ149,0))</f>
        <v>3</v>
      </c>
      <c r="AI149" s="64" t="n">
        <f aca="false">IF(CR149&gt;0,CR149*MAX(1,AG149/X149),IF(CA149=1,IF(AG149&lt;=0,0,CE149*MAX(1,IF(H149&gt;0,AG149/H149,1))),IF(R149&gt;0,AH149/R149,0))/MAX(0.1,N(Parameter!$M$21)))</f>
        <v>0.25</v>
      </c>
      <c r="AJ149" s="62" t="n">
        <f aca="false">AI149*CC149</f>
        <v>61.25</v>
      </c>
      <c r="AK149" s="63" t="n">
        <f aca="false">IF(LEFT(Cockpit!$C$5,1)="A",H149,IF(CI149=1,(CL149+CJ149)/2,IF(LEFT(Cockpit!$C$5,1)="B",(CL149+AM149)/2,MAX((CL149+AM149)/2,H149))))</f>
        <v>39</v>
      </c>
      <c r="AL149" s="62" t="n">
        <f aca="false">AK149*G149</f>
        <v>1965.99</v>
      </c>
      <c r="AM149" s="62" t="n">
        <f aca="false">ROUNDUP(CL149+MAX(CM149,2*(J149/IF(CH149&gt;0,CH149,MAX(0.1,N(Cockpit!$C$6)))-CL149)),0)</f>
        <v>70</v>
      </c>
      <c r="AN149" s="63" t="n">
        <f aca="false">IF(AJ149&gt;0,J149/AJ149,-1)</f>
        <v>0.963265306122449</v>
      </c>
      <c r="AO149" s="63" t="n">
        <f aca="false">IF(AND(OR(CG149="L1",CG149="L23",CG149="LIFT"),AJ149&gt;0),SUMIFS($AJ$7:$AJ$1843,$CG$7:$CG$1843,CG149,$AN$7:$AN$1843,"&gt;"&amp;AN149)+SUMIFS($AJ$7:$AJ$1843,$CG$7:$CG$1843,CG149,$AN$7:$AN$1843,AN149,$BX$7:$BX$1843,"&lt;="&amp;BX149),"")</f>
        <v>7226.2760989011</v>
      </c>
      <c r="AP149" s="70" t="n">
        <f aca="false">IF(AO149="",0,MAX(0,MIN(1,(IF(CG149="L1",Parameter!$H$5,IF(CG149="L23",Parameter!$H$6+Parameter!$H$7,Parameter!$H$5+Parameter!$H$6+Parameter!$H$7))-(AO149-AJ149))/AJ149)))</f>
        <v>1</v>
      </c>
      <c r="AQ149" s="62" t="n">
        <f aca="false">IF(LEFT(Cockpit!$I$5,1)="A",H149,IF(Parameter!$E$30="MAX-Bestand",IF(CI149=1,CJ149,IF(LEFT(Cockpit!$I$5,1)="B",AW149,MAX(AW149,H149))),ROUNDUP(AU149,0)))</f>
        <v>40</v>
      </c>
      <c r="AR149" s="62" t="n">
        <f aca="false">IF(CA149=1,0,ROUNDUP(AQ149/BZ149,0))</f>
        <v>3</v>
      </c>
      <c r="AS149" s="64" t="n">
        <f aca="false">IF(CR149&gt;0,CR149*MAX(1,AQ149/X149),IF(CA149=1,IF(AQ149&lt;=0,0,CE149*MAX(1,IF(H149&gt;0,AQ149/H149,1))),IF(R149&gt;0,AR149/R149,0))/MAX(0.1,N(Parameter!$M$21)))</f>
        <v>0.25</v>
      </c>
      <c r="AT149" s="62" t="n">
        <f aca="false">AS149*CC149</f>
        <v>61.25</v>
      </c>
      <c r="AU149" s="63" t="n">
        <f aca="false">IF(LEFT(Cockpit!$I$5,1)="A",H149,IF(CI149=1,(CL149+CJ149)/2,IF(LEFT(Cockpit!$I$5,1)="B",(CL149+AW149)/2,MAX((CL149+AW149)/2,H149))))</f>
        <v>40</v>
      </c>
      <c r="AV149" s="62" t="n">
        <f aca="false">AU149*G149</f>
        <v>2016.4</v>
      </c>
      <c r="AW149" s="62" t="n">
        <f aca="false">ROUNDUP(CL149+MAX(CM149,2*(J149/IF(CH149&gt;0,CH149,MAX(0.1,N(Cockpit!$I$6)))-CL149)),0)</f>
        <v>70</v>
      </c>
      <c r="AX149" s="63" t="n">
        <f aca="false">IF(AT149&gt;0,J149/AT149,-1)</f>
        <v>0.963265306122449</v>
      </c>
      <c r="AY149" s="63" t="n">
        <f aca="false">IF(AND(OR(CG149="L1",CG149="L23",CG149="LIFT"),AT149&gt;0),SUMIFS($AT$7:$AT$1843,$CG$7:$CG$1843,CG149,$AX$7:$AX$1843,"&gt;"&amp;AX149)+SUMIFS($AT$7:$AT$1843,$CG$7:$CG$1843,CG149,$AX$7:$AX$1843,AX149,$BX$7:$BX$1843,"&lt;="&amp;BX149),"")</f>
        <v>8597.95970695971</v>
      </c>
      <c r="AZ149" s="70" t="n">
        <f aca="false">IF(AY149="",0,MAX(0,MIN(1,(IF(CG149="L1",Parameter!$H$5,IF(CG149="L23",Parameter!$H$6+Parameter!$H$7,Parameter!$H$5+Parameter!$H$6+Parameter!$H$7))-(AY149-AT149))/AT149)))</f>
        <v>1</v>
      </c>
      <c r="BA149" s="62" t="n">
        <f aca="false">IF(LEFT(Cockpit!$O$5,1)="A",H149,IF(Parameter!$E$30="MAX-Bestand",IF(CI149=1,CJ149,IF(LEFT(Cockpit!$O$5,1)="B",BG149,MAX(BG149,H149))),ROUNDUP(BE149,0)))</f>
        <v>40</v>
      </c>
      <c r="BB149" s="62" t="n">
        <f aca="false">IF(CA149=1,0,ROUNDUP(BA149/BZ149,0))</f>
        <v>3</v>
      </c>
      <c r="BC149" s="64" t="n">
        <f aca="false">IF(CR149&gt;0,CR149*MAX(1,BA149/X149),IF(CA149=1,IF(BA149&lt;=0,0,CE149*MAX(1,IF(H149&gt;0,BA149/H149,1))),IF(R149&gt;0,BB149/R149,0))/MAX(0.1,N(Parameter!$M$21)))</f>
        <v>0.25</v>
      </c>
      <c r="BD149" s="62" t="n">
        <f aca="false">BC149*CC149</f>
        <v>61.25</v>
      </c>
      <c r="BE149" s="63" t="n">
        <f aca="false">IF(LEFT(Cockpit!$O$5,1)="A",H149,IF(CI149=1,(CL149+CJ149)/2,IF(LEFT(Cockpit!$O$5,1)="B",(CL149+BG149)/2,MAX((CL149+BG149)/2,H149))))</f>
        <v>40</v>
      </c>
      <c r="BF149" s="62" t="n">
        <f aca="false">BE149*G149</f>
        <v>2016.4</v>
      </c>
      <c r="BG149" s="62" t="n">
        <f aca="false">ROUNDUP(CL149+MAX(CM149,2*(J149/IF(CH149&gt;0,CH149,MAX(0.1,N(Cockpit!$O$6)))-CL149)),0)</f>
        <v>70</v>
      </c>
      <c r="BH149" s="63" t="n">
        <f aca="false">IF(BD149&gt;0,J149/BD149,-1)</f>
        <v>0.963265306122449</v>
      </c>
      <c r="BI149" s="63" t="n">
        <f aca="false">IF(AND(OR(CG149="L1",CG149="L23",CG149="LIFT"),BD149&gt;0),SUMIFS($BD$7:$BD$1843,$CG$7:$CG$1843,CG149,$BH$7:$BH$1843,"&gt;"&amp;BH149)+SUMIFS($BD$7:$BD$1843,$CG$7:$CG$1843,CG149,$BH$7:$BH$1843,BH149,$BX$7:$BX$1843,"&lt;="&amp;BX149),"")</f>
        <v>7992.73946886447</v>
      </c>
      <c r="BJ149" s="70" t="n">
        <f aca="false">IF(BI149="",0,MAX(0,MIN(1,(IF(CG149="L1",Parameter!$H$5,IF(CG149="L23",Parameter!$H$6+Parameter!$H$7,Parameter!$H$5+Parameter!$H$6+Parameter!$H$7))-(BI149-BD149))/BD149)))</f>
        <v>1</v>
      </c>
      <c r="BK149" s="60" t="str">
        <f aca="false">IF(AJ149&lt;=0,"",IF(CG149="Aussen","Aussenlager",IF(CG149="-","Nicht im Lift",IF(AP149&gt;=1,"Lift",IF(AP149&lt;=0,"Aussenlager","teilweise")))))</f>
        <v>Lift</v>
      </c>
      <c r="BL149" s="60" t="str">
        <f aca="false">IF(AT149&lt;=0,"",IF(CG149="Aussen","Aussenlager",IF(CG149="-","Nicht im Lift",IF(AZ149&gt;=1,"Lift",IF(AZ149&lt;=0,"Aussenlager","teilweise")))))</f>
        <v>Lift</v>
      </c>
      <c r="BM149" s="60" t="str">
        <f aca="false">IF(BD149&lt;=0,"",IF(CG149="Aussen","Aussenlager",IF(CG149="-","Nicht im Lift",IF(BJ149&gt;=1,"Lift",IF(BJ149&lt;=0,"Aussenlager","teilweise")))))</f>
        <v>Lift</v>
      </c>
      <c r="BN149" s="60" t="str">
        <f aca="false">IF(A149="","",IF(BW149=1,"Neu; ","")&amp;IF(AND(BW149=0,BR149&lt;0),"negativer Bestand (Export "&amp;BR149&amp;"); ","")&amp;IF(J149&lt;=0,"Kein Verbrauch; ","")&amp;IF(CR149&gt;0,"Lift "&amp;W149&amp;" lt. Liftbericht (Fach "&amp;X149&amp;" Stk); ",IF(CB149=1,"Gebinde geschätzt ("&amp;T149&amp;"); ",IF(CA149=1,"Lose – Tablare geschätzt; ","")))&amp;IF(H149&gt;AW149,"Überbestand "&amp;ROUND(H149-AW149,0)&amp;" Stk / CHF "&amp;ROUND((H149-AW149)*G149,0)&amp;"; ","")&amp;IF(AND(CI149=1,CJ149&lt;CK149),"MAX &lt; MB+LG; ","")&amp;IF(AND(CQ149&gt;0,CP149*10&gt;CQ149),"zu hoch für Tablar; ","")&amp;IF(AND(BW149=0,OR(CI149=1,AB149&lt;&gt;"",U149&lt;&gt;"",V149&lt;&gt;"",AC149&lt;&gt;"")),"manuell übersteuert; ","")&amp;IF(AND(CA149=0,R149=0),"Gebinde unbekannt / Stellmass fehlt; ","")&amp;IF(AND(CA149=0,N(V149)&lt;=0,N(Q149)&lt;=0),"Menge pro Gebinde fehlt (Ist = 1 Gebinde); ","")&amp;BV149)</f>
        <v/>
      </c>
      <c r="BO149" s="60"/>
      <c r="BP149" s="60"/>
      <c r="BQ149" s="67"/>
      <c r="BR149" s="62" t="n">
        <v>25</v>
      </c>
      <c r="BS149" s="62" t="n">
        <v>14</v>
      </c>
      <c r="BT149" s="61" t="n">
        <v>1353.35</v>
      </c>
      <c r="BU149" s="62" t="n">
        <v>59</v>
      </c>
      <c r="BV149" s="60"/>
      <c r="BW149" s="65" t="n">
        <v>0</v>
      </c>
      <c r="BX149" s="65" t="n">
        <v>149</v>
      </c>
      <c r="BY149" s="60" t="str">
        <f aca="false">IF(U149&lt;&gt;"",UPPER(TRIM(U149)),IF(CB149=1,UPPER(VLOOKUP(T149,Parameter!$I$27:$K$29,2,0)),IF(P149="","LOSE",P149)))</f>
        <v>S62</v>
      </c>
      <c r="BZ149" s="62" t="n">
        <f aca="false">IF(BY149="LOSE",1,IF(N(V149)&gt;0,V149,IF(CB149=1,MAX(1,N(VLOOKUP(T149,Parameter!$I$27:$K$29,3,0)),H149,N(N149)),IF(N(Q149)&gt;0,Q149,MAX(1,H149)))))</f>
        <v>16</v>
      </c>
      <c r="CA149" s="65" t="n">
        <f aca="false">IF(BY149="LOSE",1,0)</f>
        <v>0</v>
      </c>
      <c r="CB149" s="65" t="n">
        <f aca="false">IF(AND(U149="",OR(P149="",P149="LOSE"),T149&lt;&gt;"",N(S149)&lt;=0,ISNUMBER(MATCH(T149,Parameter!$I$27:$I$29,0))),1,0)</f>
        <v>0</v>
      </c>
      <c r="CC149" s="65" t="n">
        <f aca="false">IF(CR149&gt;0,INDEX(Parameter!$H$5:$H$7,W149)/INDEX(Parameter!$E$5:$E$7,W149),IF(AND(CA149=0,N(IFERROR(VLOOKUP(BY149,'Gebinde-Kategorie'!$A$5:$N$45,14,0),0))&gt;0),VLOOKUP(BY149,'Gebinde-Kategorie'!$A$5:$N$45,14,0)*10+Parameter!$M$23,Parameter!$M$24))</f>
        <v>245</v>
      </c>
      <c r="CD149" s="60" t="str">
        <f aca="false">IF(AND(Parameter!$B$19="Ja",E149&lt;&gt;"",ISNUMBER(MATCH(E149,Parameter!$I$35:$I$52,0))),VLOOKUP(E149,Parameter!$I$35:$J$52,2,0),IFERROR(VLOOKUP(D149,Parameter!$A$35:$C$64,2,0),"Nein"))</f>
        <v>2+3</v>
      </c>
      <c r="CE149" s="64" t="n">
        <f aca="false">IF(CA149=0,0,IF(N(S149)&gt;0,S149,IFERROR(VLOOKUP(D149,Parameter!$A$35:$C$64,3,0)+0,0)))</f>
        <v>0</v>
      </c>
      <c r="CF149" s="60" t="n">
        <f aca="false">IF(AB149&lt;&gt;"",AB149,AA149)</f>
        <v>3</v>
      </c>
      <c r="CG149" s="60" t="str">
        <f aca="false">IF(OR(CF149=1,CF149=2,CF149=3),IF(Parameter!$E$27="Ja","LIFT",IF(CF149=1,"L1","L23")),IF(CF149="Aussen","Aussen","-"))</f>
        <v>LIFT</v>
      </c>
      <c r="CH149" s="71" t="n">
        <f aca="false">IF(N(AC149)&gt;0,AC149,0)</f>
        <v>0</v>
      </c>
      <c r="CI149" s="65" t="n">
        <f aca="false">IF(ISNUMBER(AF149),1,0)</f>
        <v>0</v>
      </c>
      <c r="CJ149" s="62" t="n">
        <f aca="false">N(AF149)</f>
        <v>0</v>
      </c>
      <c r="CK149" s="62" t="n">
        <f aca="false">N(M149)+N(N149)</f>
        <v>70</v>
      </c>
      <c r="CL149" s="62" t="n">
        <f aca="false">N(M149)</f>
        <v>10</v>
      </c>
      <c r="CM149" s="62" t="n">
        <f aca="false">N(N149)</f>
        <v>60</v>
      </c>
      <c r="CN149" s="62" t="n">
        <f aca="false">ROUNDUP(H149/BZ149,0)</f>
        <v>3</v>
      </c>
      <c r="CO149" s="62" t="n">
        <f aca="false">ROUNDUP(CJ149/BZ149,0)</f>
        <v>0</v>
      </c>
      <c r="CP149" s="65" t="n">
        <f aca="false">IF(CA149=1,0,IFERROR(VLOOKUP(BY149,'Gebinde-Kategorie'!$A$5:$N$45,5,0)+0,0))</f>
        <v>21</v>
      </c>
      <c r="CQ149" s="65" t="n">
        <f aca="false">IFERROR(IF(OR(CF149=1,CF149=2,CF149=3),N(INDEX(Parameter!$I$5:$I$7,CF149)),0),0)</f>
        <v>0</v>
      </c>
      <c r="CR149" s="64" t="n">
        <f aca="false">IF(AND(Parameter!$B$21="Ja",ISNUMBER(W149),N(X149)&gt;0),IFERROR(N(INDEX(Parameter!$L$5:$L$7,W149))*INDEX(Parameter!$E$5:$E$7,W149)*X149/SUMIFS($X$7:$X$1843,$W$7:$W$1843,W149),0),0)</f>
        <v>0</v>
      </c>
      <c r="CS149" s="62" t="n">
        <f aca="false">IF(AND(OR(CG149="L1",CG149="L23",CG149="LIFT"),H149&gt;0),CC149*IF(CR149&gt;0,CR149*MAX(1,H149/X149),IF(CA149=1,CE149,IF(R149&gt;0,CN149/R149,0))/MAX(0.1,N(Parameter!$M$21))),"")</f>
        <v>61.25</v>
      </c>
      <c r="CT149" s="64" t="n">
        <f aca="false">IF(CS149="","",J149/H149)</f>
        <v>1.51282051282051</v>
      </c>
      <c r="CU149" s="62" t="n">
        <f aca="false">IF(CS149="","",H149*G149)</f>
        <v>1965.99</v>
      </c>
      <c r="CV149" s="63" t="n">
        <f aca="false">IF(CS149="","",(CL149+ROUNDUP(CL149+MAX(CM149,2*(J149/MAX(0.1,N(Einkauf!$C$6))-CL149)),0))/2)</f>
        <v>40</v>
      </c>
      <c r="CW149" s="62" t="n">
        <f aca="false">IF(CS149="","",MAX(0,H149-CV149)*G149)</f>
        <v>0</v>
      </c>
      <c r="CX149" s="62" t="n">
        <f aca="false">IF(CS149="","",CS149*MAX(0,1-CV149/H149))</f>
        <v>0</v>
      </c>
      <c r="CY149" s="64" t="n">
        <f aca="false">IF(CS149="","",PERCENTRANK($CS$7:$CS$1843,CS149)+PERCENTRANK($CU$7:$CU$1843,CU149)+1-PERCENTRANK($CT$7:$CT$1843,CT149))</f>
        <v>1.942</v>
      </c>
      <c r="CZ149" s="72" t="n">
        <f aca="false">IF(CS149="","",CHOOSE(MATCH(Einkauf!$C$5,Parameter!$G$23:$G$27,0),CY149,CS149,CU149,-CT149,CW149)+ROW()/1000000000)</f>
        <v>1.942000149</v>
      </c>
    </row>
    <row r="150" customFormat="false" ht="15" hidden="false" customHeight="false" outlineLevel="0" collapsed="false">
      <c r="A150" s="60" t="s">
        <v>548</v>
      </c>
      <c r="B150" s="60" t="s">
        <v>549</v>
      </c>
      <c r="C150" s="60" t="s">
        <v>206</v>
      </c>
      <c r="D150" s="60" t="s">
        <v>226</v>
      </c>
      <c r="E150" s="60" t="s">
        <v>227</v>
      </c>
      <c r="F150" s="60" t="s">
        <v>260</v>
      </c>
      <c r="G150" s="61" t="n">
        <v>4.04</v>
      </c>
      <c r="H150" s="62" t="n">
        <f aca="false">MAX(0,IF(AND(Parameter!$B$21="Ja",ISNUMBER(Y150)),Y150,IF(Parameter!$B$20="Jahresanfang 2025 + Export",BS150+BR150,BR150)))</f>
        <v>397</v>
      </c>
      <c r="I150" s="62" t="n">
        <f aca="false">H150*G150</f>
        <v>1603.88</v>
      </c>
      <c r="J150" s="62" t="n">
        <f aca="false">BU150*Parameter!$B$18</f>
        <v>199</v>
      </c>
      <c r="K150" s="63" t="n">
        <v>57</v>
      </c>
      <c r="L150" s="64" t="n">
        <v>3.49122807017544</v>
      </c>
      <c r="M150" s="62" t="n">
        <v>11</v>
      </c>
      <c r="N150" s="62" t="n">
        <v>200</v>
      </c>
      <c r="O150" s="65" t="n">
        <v>21</v>
      </c>
      <c r="P150" s="60" t="s">
        <v>344</v>
      </c>
      <c r="Q150" s="62" t="n">
        <v>71</v>
      </c>
      <c r="R150" s="65" t="n">
        <f aca="false">IF(CA150=1,0,IFERROR(VLOOKUP(BY150,'Gebinde-Kategorie'!$A$5:$N$45,13,0)+0,0))</f>
        <v>26</v>
      </c>
      <c r="S150" s="66"/>
      <c r="T150" s="67"/>
      <c r="U150" s="67"/>
      <c r="V150" s="67"/>
      <c r="W150" s="60"/>
      <c r="X150" s="62"/>
      <c r="Y150" s="62"/>
      <c r="Z150" s="60" t="n">
        <v>3</v>
      </c>
      <c r="AA150" s="60" t="n">
        <f aca="false">IF(A150="","",IF(AND(Parameter!$B$21="Ja",ISNUMBER(W150)),W150,IF(AND(Parameter!$E$27="Ja",ISNUMBER(Z150),CD150&lt;&gt;"Nein"),Z150,IF(CD150="2+3",IF(ISNUMBER(SEARCH("grosser Artikel",BV150)),2,IFERROR(VLOOKUP(BY150,Parameter!$F$35:$G$64,2,0),2)),IF(OR(CD150="Nein",CD150=""),"-",CD150)))))</f>
        <v>3</v>
      </c>
      <c r="AB150" s="67"/>
      <c r="AC150" s="68"/>
      <c r="AD150" s="62" t="n">
        <f aca="false">AW150</f>
        <v>211</v>
      </c>
      <c r="AE150" s="62" t="n">
        <f aca="false">MAX(AW150,H150)</f>
        <v>397</v>
      </c>
      <c r="AF150" s="69"/>
      <c r="AG150" s="62" t="n">
        <f aca="false">IF(LEFT(Cockpit!$C$5,1)="A",H150,IF(Parameter!$E$30="MAX-Bestand",IF(CI150=1,CJ150,IF(LEFT(Cockpit!$C$5,1)="B",AM150,MAX(AM150,H150))),ROUNDUP(AK150,0)))</f>
        <v>397</v>
      </c>
      <c r="AH150" s="62" t="n">
        <f aca="false">IF(CA150=1,0,ROUNDUP(AG150/BZ150,0))</f>
        <v>6</v>
      </c>
      <c r="AI150" s="64" t="n">
        <f aca="false">IF(CR150&gt;0,CR150*MAX(1,AG150/X150),IF(CA150=1,IF(AG150&lt;=0,0,CE150*MAX(1,IF(H150&gt;0,AG150/H150,1))),IF(R150&gt;0,AH150/R150,0))/MAX(0.1,N(Parameter!$M$21)))</f>
        <v>0.230769230769231</v>
      </c>
      <c r="AJ150" s="62" t="n">
        <f aca="false">AI150*CC150</f>
        <v>35.7692307692308</v>
      </c>
      <c r="AK150" s="63" t="n">
        <f aca="false">IF(LEFT(Cockpit!$C$5,1)="A",H150,IF(CI150=1,(CL150+CJ150)/2,IF(LEFT(Cockpit!$C$5,1)="B",(CL150+AM150)/2,MAX((CL150+AM150)/2,H150))))</f>
        <v>397</v>
      </c>
      <c r="AL150" s="62" t="n">
        <f aca="false">AK150*G150</f>
        <v>1603.88</v>
      </c>
      <c r="AM150" s="62" t="n">
        <f aca="false">ROUNDUP(CL150+MAX(CM150,2*(J150/IF(CH150&gt;0,CH150,MAX(0.1,N(Cockpit!$C$6)))-CL150)),0)</f>
        <v>211</v>
      </c>
      <c r="AN150" s="63" t="n">
        <f aca="false">IF(AJ150&gt;0,J150/AJ150,-1)</f>
        <v>5.56344086021505</v>
      </c>
      <c r="AO150" s="63" t="n">
        <f aca="false">IF(AND(OR(CG150="L1",CG150="L23",CG150="LIFT"),AJ150&gt;0),SUMIFS($AJ$7:$AJ$1843,$CG$7:$CG$1843,CG150,$AN$7:$AN$1843,"&gt;"&amp;AN150)+SUMIFS($AJ$7:$AJ$1843,$CG$7:$CG$1843,CG150,$AN$7:$AN$1843,AN150,$BX$7:$BX$1843,"&lt;="&amp;BX150),"")</f>
        <v>3696.59661172161</v>
      </c>
      <c r="AP150" s="70" t="n">
        <f aca="false">IF(AO150="",0,MAX(0,MIN(1,(IF(CG150="L1",Parameter!$H$5,IF(CG150="L23",Parameter!$H$6+Parameter!$H$7,Parameter!$H$5+Parameter!$H$6+Parameter!$H$7))-(AO150-AJ150))/AJ150)))</f>
        <v>1</v>
      </c>
      <c r="AQ150" s="62" t="n">
        <f aca="false">IF(LEFT(Cockpit!$I$5,1)="A",H150,IF(Parameter!$E$30="MAX-Bestand",IF(CI150=1,CJ150,IF(LEFT(Cockpit!$I$5,1)="B",AW150,MAX(AW150,H150))),ROUNDUP(AU150,0)))</f>
        <v>397</v>
      </c>
      <c r="AR150" s="62" t="n">
        <f aca="false">IF(CA150=1,0,ROUNDUP(AQ150/BZ150,0))</f>
        <v>6</v>
      </c>
      <c r="AS150" s="64" t="n">
        <f aca="false">IF(CR150&gt;0,CR150*MAX(1,AQ150/X150),IF(CA150=1,IF(AQ150&lt;=0,0,CE150*MAX(1,IF(H150&gt;0,AQ150/H150,1))),IF(R150&gt;0,AR150/R150,0))/MAX(0.1,N(Parameter!$M$21)))</f>
        <v>0.230769230769231</v>
      </c>
      <c r="AT150" s="62" t="n">
        <f aca="false">AS150*CC150</f>
        <v>35.7692307692308</v>
      </c>
      <c r="AU150" s="63" t="n">
        <f aca="false">IF(LEFT(Cockpit!$I$5,1)="A",H150,IF(CI150=1,(CL150+CJ150)/2,IF(LEFT(Cockpit!$I$5,1)="B",(CL150+AW150)/2,MAX((CL150+AW150)/2,H150))))</f>
        <v>397</v>
      </c>
      <c r="AV150" s="62" t="n">
        <f aca="false">AU150*G150</f>
        <v>1603.88</v>
      </c>
      <c r="AW150" s="62" t="n">
        <f aca="false">ROUNDUP(CL150+MAX(CM150,2*(J150/IF(CH150&gt;0,CH150,MAX(0.1,N(Cockpit!$I$6)))-CL150)),0)</f>
        <v>211</v>
      </c>
      <c r="AX150" s="63" t="n">
        <f aca="false">IF(AT150&gt;0,J150/AT150,-1)</f>
        <v>5.56344086021505</v>
      </c>
      <c r="AY150" s="63" t="n">
        <f aca="false">IF(AND(OR(CG150="L1",CG150="L23",CG150="LIFT"),AT150&gt;0),SUMIFS($AT$7:$AT$1843,$CG$7:$CG$1843,CG150,$AX$7:$AX$1843,"&gt;"&amp;AX150)+SUMIFS($AT$7:$AT$1843,$CG$7:$CG$1843,CG150,$AX$7:$AX$1843,AX150,$BX$7:$BX$1843,"&lt;="&amp;BX150),"")</f>
        <v>4350.33745421245</v>
      </c>
      <c r="AZ150" s="70" t="n">
        <f aca="false">IF(AY150="",0,MAX(0,MIN(1,(IF(CG150="L1",Parameter!$H$5,IF(CG150="L23",Parameter!$H$6+Parameter!$H$7,Parameter!$H$5+Parameter!$H$6+Parameter!$H$7))-(AY150-AT150))/AT150)))</f>
        <v>1</v>
      </c>
      <c r="BA150" s="62" t="n">
        <f aca="false">IF(LEFT(Cockpit!$O$5,1)="A",H150,IF(Parameter!$E$30="MAX-Bestand",IF(CI150=1,CJ150,IF(LEFT(Cockpit!$O$5,1)="B",BG150,MAX(BG150,H150))),ROUNDUP(BE150,0)))</f>
        <v>111</v>
      </c>
      <c r="BB150" s="62" t="n">
        <f aca="false">IF(CA150=1,0,ROUNDUP(BA150/BZ150,0))</f>
        <v>2</v>
      </c>
      <c r="BC150" s="64" t="n">
        <f aca="false">IF(CR150&gt;0,CR150*MAX(1,BA150/X150),IF(CA150=1,IF(BA150&lt;=0,0,CE150*MAX(1,IF(H150&gt;0,BA150/H150,1))),IF(R150&gt;0,BB150/R150,0))/MAX(0.1,N(Parameter!$M$21)))</f>
        <v>0.0769230769230769</v>
      </c>
      <c r="BD150" s="62" t="n">
        <f aca="false">BC150*CC150</f>
        <v>11.9230769230769</v>
      </c>
      <c r="BE150" s="63" t="n">
        <f aca="false">IF(LEFT(Cockpit!$O$5,1)="A",H150,IF(CI150=1,(CL150+CJ150)/2,IF(LEFT(Cockpit!$O$5,1)="B",(CL150+BG150)/2,MAX((CL150+BG150)/2,H150))))</f>
        <v>111</v>
      </c>
      <c r="BF150" s="62" t="n">
        <f aca="false">BE150*G150</f>
        <v>448.44</v>
      </c>
      <c r="BG150" s="62" t="n">
        <f aca="false">ROUNDUP(CL150+MAX(CM150,2*(J150/IF(CH150&gt;0,CH150,MAX(0.1,N(Cockpit!$O$6)))-CL150)),0)</f>
        <v>211</v>
      </c>
      <c r="BH150" s="63" t="n">
        <f aca="false">IF(BD150&gt;0,J150/BD150,-1)</f>
        <v>16.6903225806452</v>
      </c>
      <c r="BI150" s="63" t="n">
        <f aca="false">IF(AND(OR(CG150="L1",CG150="L23",CG150="LIFT"),BD150&gt;0),SUMIFS($BD$7:$BD$1843,$CG$7:$CG$1843,CG150,$BH$7:$BH$1843,"&gt;"&amp;BH150)+SUMIFS($BD$7:$BD$1843,$CG$7:$CG$1843,CG150,$BH$7:$BH$1843,BH150,$BX$7:$BX$1843,"&lt;="&amp;BX150),"")</f>
        <v>2356.71840659341</v>
      </c>
      <c r="BJ150" s="70" t="n">
        <f aca="false">IF(BI150="",0,MAX(0,MIN(1,(IF(CG150="L1",Parameter!$H$5,IF(CG150="L23",Parameter!$H$6+Parameter!$H$7,Parameter!$H$5+Parameter!$H$6+Parameter!$H$7))-(BI150-BD150))/BD150)))</f>
        <v>1</v>
      </c>
      <c r="BK150" s="60" t="str">
        <f aca="false">IF(AJ150&lt;=0,"",IF(CG150="Aussen","Aussenlager",IF(CG150="-","Nicht im Lift",IF(AP150&gt;=1,"Lift",IF(AP150&lt;=0,"Aussenlager","teilweise")))))</f>
        <v>Lift</v>
      </c>
      <c r="BL150" s="60" t="str">
        <f aca="false">IF(AT150&lt;=0,"",IF(CG150="Aussen","Aussenlager",IF(CG150="-","Nicht im Lift",IF(AZ150&gt;=1,"Lift",IF(AZ150&lt;=0,"Aussenlager","teilweise")))))</f>
        <v>Lift</v>
      </c>
      <c r="BM150" s="60" t="str">
        <f aca="false">IF(BD150&lt;=0,"",IF(CG150="Aussen","Aussenlager",IF(CG150="-","Nicht im Lift",IF(BJ150&gt;=1,"Lift",IF(BJ150&lt;=0,"Aussenlager","teilweise")))))</f>
        <v>Lift</v>
      </c>
      <c r="BN150" s="60" t="str">
        <f aca="false">IF(A150="","",IF(BW150=1,"Neu; ","")&amp;IF(AND(BW150=0,BR150&lt;0),"negativer Bestand (Export "&amp;BR150&amp;"); ","")&amp;IF(J150&lt;=0,"Kein Verbrauch; ","")&amp;IF(CR150&gt;0,"Lift "&amp;W150&amp;" lt. Liftbericht (Fach "&amp;X150&amp;" Stk); ",IF(CB150=1,"Gebinde geschätzt ("&amp;T150&amp;"); ",IF(CA150=1,"Lose – Tablare geschätzt; ","")))&amp;IF(H150&gt;AW150,"Überbestand "&amp;ROUND(H150-AW150,0)&amp;" Stk / CHF "&amp;ROUND((H150-AW150)*G150,0)&amp;"; ","")&amp;IF(AND(CI150=1,CJ150&lt;CK150),"MAX &lt; MB+LG; ","")&amp;IF(AND(CQ150&gt;0,CP150*10&gt;CQ150),"zu hoch für Tablar; ","")&amp;IF(AND(BW150=0,OR(CI150=1,AB150&lt;&gt;"",U150&lt;&gt;"",V150&lt;&gt;"",AC150&lt;&gt;"")),"manuell übersteuert; ","")&amp;IF(AND(CA150=0,R150=0),"Gebinde unbekannt / Stellmass fehlt; ","")&amp;IF(AND(CA150=0,N(V150)&lt;=0,N(Q150)&lt;=0),"Menge pro Gebinde fehlt (Ist = 1 Gebinde); ","")&amp;BV150)</f>
        <v>Überbestand 186 Stk / CHF 751; </v>
      </c>
      <c r="BO150" s="60"/>
      <c r="BP150" s="60"/>
      <c r="BQ150" s="67"/>
      <c r="BR150" s="62" t="n">
        <v>340</v>
      </c>
      <c r="BS150" s="62" t="n">
        <v>57</v>
      </c>
      <c r="BT150" s="61" t="n">
        <v>1338.26</v>
      </c>
      <c r="BU150" s="62" t="n">
        <v>199</v>
      </c>
      <c r="BV150" s="60"/>
      <c r="BW150" s="65" t="n">
        <v>0</v>
      </c>
      <c r="BX150" s="65" t="n">
        <v>150</v>
      </c>
      <c r="BY150" s="60" t="str">
        <f aca="false">IF(U150&lt;&gt;"",UPPER(TRIM(U150)),IF(CB150=1,UPPER(VLOOKUP(T150,Parameter!$I$27:$K$29,2,0)),IF(P150="","LOSE",P150)))</f>
        <v>S51</v>
      </c>
      <c r="BZ150" s="62" t="n">
        <f aca="false">IF(BY150="LOSE",1,IF(N(V150)&gt;0,V150,IF(CB150=1,MAX(1,N(VLOOKUP(T150,Parameter!$I$27:$K$29,3,0)),H150,N(N150)),IF(N(Q150)&gt;0,Q150,MAX(1,H150)))))</f>
        <v>71</v>
      </c>
      <c r="CA150" s="65" t="n">
        <f aca="false">IF(BY150="LOSE",1,0)</f>
        <v>0</v>
      </c>
      <c r="CB150" s="65" t="n">
        <f aca="false">IF(AND(U150="",OR(P150="",P150="LOSE"),T150&lt;&gt;"",N(S150)&lt;=0,ISNUMBER(MATCH(T150,Parameter!$I$27:$I$29,0))),1,0)</f>
        <v>0</v>
      </c>
      <c r="CC150" s="65" t="n">
        <f aca="false">IF(CR150&gt;0,INDEX(Parameter!$H$5:$H$7,W150)/INDEX(Parameter!$E$5:$E$7,W150),IF(AND(CA150=0,N(IFERROR(VLOOKUP(BY150,'Gebinde-Kategorie'!$A$5:$N$45,14,0),0))&gt;0),VLOOKUP(BY150,'Gebinde-Kategorie'!$A$5:$N$45,14,0)*10+Parameter!$M$23,Parameter!$M$24))</f>
        <v>155</v>
      </c>
      <c r="CD150" s="60" t="str">
        <f aca="false">IF(AND(Parameter!$B$19="Ja",E150&lt;&gt;"",ISNUMBER(MATCH(E150,Parameter!$I$35:$I$52,0))),VLOOKUP(E150,Parameter!$I$35:$J$52,2,0),IFERROR(VLOOKUP(D150,Parameter!$A$35:$C$64,2,0),"Nein"))</f>
        <v>2+3</v>
      </c>
      <c r="CE150" s="64" t="n">
        <f aca="false">IF(CA150=0,0,IF(N(S150)&gt;0,S150,IFERROR(VLOOKUP(D150,Parameter!$A$35:$C$64,3,0)+0,0)))</f>
        <v>0</v>
      </c>
      <c r="CF150" s="60" t="n">
        <f aca="false">IF(AB150&lt;&gt;"",AB150,AA150)</f>
        <v>3</v>
      </c>
      <c r="CG150" s="60" t="str">
        <f aca="false">IF(OR(CF150=1,CF150=2,CF150=3),IF(Parameter!$E$27="Ja","LIFT",IF(CF150=1,"L1","L23")),IF(CF150="Aussen","Aussen","-"))</f>
        <v>LIFT</v>
      </c>
      <c r="CH150" s="71" t="n">
        <f aca="false">IF(N(AC150)&gt;0,AC150,0)</f>
        <v>0</v>
      </c>
      <c r="CI150" s="65" t="n">
        <f aca="false">IF(ISNUMBER(AF150),1,0)</f>
        <v>0</v>
      </c>
      <c r="CJ150" s="62" t="n">
        <f aca="false">N(AF150)</f>
        <v>0</v>
      </c>
      <c r="CK150" s="62" t="n">
        <f aca="false">N(M150)+N(N150)</f>
        <v>211</v>
      </c>
      <c r="CL150" s="62" t="n">
        <f aca="false">N(M150)</f>
        <v>11</v>
      </c>
      <c r="CM150" s="62" t="n">
        <f aca="false">N(N150)</f>
        <v>200</v>
      </c>
      <c r="CN150" s="62" t="n">
        <f aca="false">ROUNDUP(H150/BZ150,0)</f>
        <v>6</v>
      </c>
      <c r="CO150" s="62" t="n">
        <f aca="false">ROUNDUP(CJ150/BZ150,0)</f>
        <v>0</v>
      </c>
      <c r="CP150" s="65" t="n">
        <f aca="false">IF(CA150=1,0,IFERROR(VLOOKUP(BY150,'Gebinde-Kategorie'!$A$5:$N$45,5,0)+0,0))</f>
        <v>11</v>
      </c>
      <c r="CQ150" s="65" t="n">
        <f aca="false">IFERROR(IF(OR(CF150=1,CF150=2,CF150=3),N(INDEX(Parameter!$I$5:$I$7,CF150)),0),0)</f>
        <v>0</v>
      </c>
      <c r="CR150" s="64" t="n">
        <f aca="false">IF(AND(Parameter!$B$21="Ja",ISNUMBER(W150),N(X150)&gt;0),IFERROR(N(INDEX(Parameter!$L$5:$L$7,W150))*INDEX(Parameter!$E$5:$E$7,W150)*X150/SUMIFS($X$7:$X$1843,$W$7:$W$1843,W150),0),0)</f>
        <v>0</v>
      </c>
      <c r="CS150" s="62" t="n">
        <f aca="false">IF(AND(OR(CG150="L1",CG150="L23",CG150="LIFT"),H150&gt;0),CC150*IF(CR150&gt;0,CR150*MAX(1,H150/X150),IF(CA150=1,CE150,IF(R150&gt;0,CN150/R150,0))/MAX(0.1,N(Parameter!$M$21))),"")</f>
        <v>35.7692307692308</v>
      </c>
      <c r="CT150" s="64" t="n">
        <f aca="false">IF(CS150="","",J150/H150)</f>
        <v>0.501259445843829</v>
      </c>
      <c r="CU150" s="62" t="n">
        <f aca="false">IF(CS150="","",H150*G150)</f>
        <v>1603.88</v>
      </c>
      <c r="CV150" s="63" t="n">
        <f aca="false">IF(CS150="","",(CL150+ROUNDUP(CL150+MAX(CM150,2*(J150/MAX(0.1,N(Einkauf!$C$6))-CL150)),0))/2)</f>
        <v>111</v>
      </c>
      <c r="CW150" s="62" t="n">
        <f aca="false">IF(CS150="","",MAX(0,H150-CV150)*G150)</f>
        <v>1155.44</v>
      </c>
      <c r="CX150" s="62" t="n">
        <f aca="false">IF(CS150="","",CS150*MAX(0,1-CV150/H150))</f>
        <v>25.7682619647355</v>
      </c>
      <c r="CY150" s="64" t="n">
        <f aca="false">IF(CS150="","",PERCENTRANK($CS$7:$CS$1843,CS150)+PERCENTRANK($CU$7:$CU$1843,CU150)+1-PERCENTRANK($CT$7:$CT$1843,CT150))</f>
        <v>2.02</v>
      </c>
      <c r="CZ150" s="72" t="n">
        <f aca="false">IF(CS150="","",CHOOSE(MATCH(Einkauf!$C$5,Parameter!$G$23:$G$27,0),CY150,CS150,CU150,-CT150,CW150)+ROW()/1000000000)</f>
        <v>2.02000015</v>
      </c>
    </row>
    <row r="151" customFormat="false" ht="15" hidden="false" customHeight="false" outlineLevel="0" collapsed="false">
      <c r="A151" s="60" t="s">
        <v>550</v>
      </c>
      <c r="B151" s="60" t="s">
        <v>551</v>
      </c>
      <c r="C151" s="60" t="s">
        <v>206</v>
      </c>
      <c r="D151" s="60" t="s">
        <v>215</v>
      </c>
      <c r="E151" s="60" t="s">
        <v>215</v>
      </c>
      <c r="F151" s="60" t="s">
        <v>260</v>
      </c>
      <c r="G151" s="61" t="n">
        <v>444.6</v>
      </c>
      <c r="H151" s="62" t="n">
        <f aca="false">MAX(0,IF(AND(Parameter!$B$21="Ja",ISNUMBER(Y151)),Y151,IF(Parameter!$B$20="Jahresanfang 2025 + Export",BS151+BR151,BR151)))</f>
        <v>3</v>
      </c>
      <c r="I151" s="62" t="n">
        <f aca="false">H151*G151</f>
        <v>1333.8</v>
      </c>
      <c r="J151" s="62" t="n">
        <f aca="false">BU151*Parameter!$B$18</f>
        <v>3</v>
      </c>
      <c r="K151" s="63" t="n">
        <v>0</v>
      </c>
      <c r="L151" s="64" t="n">
        <v>0</v>
      </c>
      <c r="M151" s="62" t="n">
        <v>0</v>
      </c>
      <c r="N151" s="62" t="n">
        <v>5</v>
      </c>
      <c r="O151" s="65" t="n">
        <v>28</v>
      </c>
      <c r="P151" s="60" t="s">
        <v>210</v>
      </c>
      <c r="Q151" s="62"/>
      <c r="R151" s="65" t="n">
        <f aca="false">IF(CA151=1,0,IFERROR(VLOOKUP(BY151,'Gebinde-Kategorie'!$A$5:$N$45,13,0)+0,0))</f>
        <v>12</v>
      </c>
      <c r="S151" s="66"/>
      <c r="T151" s="67" t="s">
        <v>221</v>
      </c>
      <c r="U151" s="67"/>
      <c r="V151" s="67"/>
      <c r="W151" s="60"/>
      <c r="X151" s="62"/>
      <c r="Y151" s="62"/>
      <c r="Z151" s="60"/>
      <c r="AA151" s="60" t="str">
        <f aca="false">IF(A151="","",IF(AND(Parameter!$B$21="Ja",ISNUMBER(W151)),W151,IF(AND(Parameter!$E$27="Ja",ISNUMBER(Z151),CD151&lt;&gt;"Nein"),Z151,IF(CD151="2+3",IF(ISNUMBER(SEARCH("grosser Artikel",BV151)),2,IFERROR(VLOOKUP(BY151,Parameter!$F$35:$G$64,2,0),2)),IF(OR(CD151="Nein",CD151=""),"-",CD151)))))</f>
        <v>-</v>
      </c>
      <c r="AB151" s="67"/>
      <c r="AC151" s="68"/>
      <c r="AD151" s="62" t="n">
        <f aca="false">AW151</f>
        <v>5</v>
      </c>
      <c r="AE151" s="62" t="n">
        <f aca="false">MAX(AW151,H151)</f>
        <v>5</v>
      </c>
      <c r="AF151" s="69"/>
      <c r="AG151" s="62" t="n">
        <f aca="false">IF(LEFT(Cockpit!$C$5,1)="A",H151,IF(Parameter!$E$30="MAX-Bestand",IF(CI151=1,CJ151,IF(LEFT(Cockpit!$C$5,1)="B",AM151,MAX(AM151,H151))),ROUNDUP(AK151,0)))</f>
        <v>3</v>
      </c>
      <c r="AH151" s="62" t="n">
        <f aca="false">IF(CA151=1,0,ROUNDUP(AG151/BZ151,0))</f>
        <v>1</v>
      </c>
      <c r="AI151" s="64" t="n">
        <f aca="false">IF(CR151&gt;0,CR151*MAX(1,AG151/X151),IF(CA151=1,IF(AG151&lt;=0,0,CE151*MAX(1,IF(H151&gt;0,AG151/H151,1))),IF(R151&gt;0,AH151/R151,0))/MAX(0.1,N(Parameter!$M$21)))</f>
        <v>0.0833333333333333</v>
      </c>
      <c r="AJ151" s="62" t="n">
        <f aca="false">AI151*CC151</f>
        <v>12.0833333333333</v>
      </c>
      <c r="AK151" s="63" t="n">
        <f aca="false">IF(LEFT(Cockpit!$C$5,1)="A",H151,IF(CI151=1,(CL151+CJ151)/2,IF(LEFT(Cockpit!$C$5,1)="B",(CL151+AM151)/2,MAX((CL151+AM151)/2,H151))))</f>
        <v>3</v>
      </c>
      <c r="AL151" s="62" t="n">
        <f aca="false">AK151*G151</f>
        <v>1333.8</v>
      </c>
      <c r="AM151" s="62" t="n">
        <f aca="false">ROUNDUP(CL151+MAX(CM151,2*(J151/IF(CH151&gt;0,CH151,MAX(0.1,N(Cockpit!$C$6)))-CL151)),0)</f>
        <v>5</v>
      </c>
      <c r="AN151" s="63" t="n">
        <f aca="false">IF(AJ151&gt;0,J151/AJ151,-1)</f>
        <v>0.248275862068966</v>
      </c>
      <c r="AO151" s="63" t="str">
        <f aca="false">IF(AND(OR(CG151="L1",CG151="L23",CG151="LIFT"),AJ151&gt;0),SUMIFS($AJ$7:$AJ$1843,$CG$7:$CG$1843,CG151,$AN$7:$AN$1843,"&gt;"&amp;AN151)+SUMIFS($AJ$7:$AJ$1843,$CG$7:$CG$1843,CG151,$AN$7:$AN$1843,AN151,$BX$7:$BX$1843,"&lt;="&amp;BX151),"")</f>
        <v/>
      </c>
      <c r="AP151" s="70" t="n">
        <f aca="false">IF(AO151="",0,MAX(0,MIN(1,(IF(CG151="L1",Parameter!$H$5,IF(CG151="L23",Parameter!$H$6+Parameter!$H$7,Parameter!$H$5+Parameter!$H$6+Parameter!$H$7))-(AO151-AJ151))/AJ151)))</f>
        <v>0</v>
      </c>
      <c r="AQ151" s="62" t="n">
        <f aca="false">IF(LEFT(Cockpit!$I$5,1)="A",H151,IF(Parameter!$E$30="MAX-Bestand",IF(CI151=1,CJ151,IF(LEFT(Cockpit!$I$5,1)="B",AW151,MAX(AW151,H151))),ROUNDUP(AU151,0)))</f>
        <v>3</v>
      </c>
      <c r="AR151" s="62" t="n">
        <f aca="false">IF(CA151=1,0,ROUNDUP(AQ151/BZ151,0))</f>
        <v>1</v>
      </c>
      <c r="AS151" s="64" t="n">
        <f aca="false">IF(CR151&gt;0,CR151*MAX(1,AQ151/X151),IF(CA151=1,IF(AQ151&lt;=0,0,CE151*MAX(1,IF(H151&gt;0,AQ151/H151,1))),IF(R151&gt;0,AR151/R151,0))/MAX(0.1,N(Parameter!$M$21)))</f>
        <v>0.0833333333333333</v>
      </c>
      <c r="AT151" s="62" t="n">
        <f aca="false">AS151*CC151</f>
        <v>12.0833333333333</v>
      </c>
      <c r="AU151" s="63" t="n">
        <f aca="false">IF(LEFT(Cockpit!$I$5,1)="A",H151,IF(CI151=1,(CL151+CJ151)/2,IF(LEFT(Cockpit!$I$5,1)="B",(CL151+AW151)/2,MAX((CL151+AW151)/2,H151))))</f>
        <v>3</v>
      </c>
      <c r="AV151" s="62" t="n">
        <f aca="false">AU151*G151</f>
        <v>1333.8</v>
      </c>
      <c r="AW151" s="62" t="n">
        <f aca="false">ROUNDUP(CL151+MAX(CM151,2*(J151/IF(CH151&gt;0,CH151,MAX(0.1,N(Cockpit!$I$6)))-CL151)),0)</f>
        <v>5</v>
      </c>
      <c r="AX151" s="63" t="n">
        <f aca="false">IF(AT151&gt;0,J151/AT151,-1)</f>
        <v>0.248275862068966</v>
      </c>
      <c r="AY151" s="63" t="str">
        <f aca="false">IF(AND(OR(CG151="L1",CG151="L23",CG151="LIFT"),AT151&gt;0),SUMIFS($AT$7:$AT$1843,$CG$7:$CG$1843,CG151,$AX$7:$AX$1843,"&gt;"&amp;AX151)+SUMIFS($AT$7:$AT$1843,$CG$7:$CG$1843,CG151,$AX$7:$AX$1843,AX151,$BX$7:$BX$1843,"&lt;="&amp;BX151),"")</f>
        <v/>
      </c>
      <c r="AZ151" s="70" t="n">
        <f aca="false">IF(AY151="",0,MAX(0,MIN(1,(IF(CG151="L1",Parameter!$H$5,IF(CG151="L23",Parameter!$H$6+Parameter!$H$7,Parameter!$H$5+Parameter!$H$6+Parameter!$H$7))-(AY151-AT151))/AT151)))</f>
        <v>0</v>
      </c>
      <c r="BA151" s="62" t="n">
        <f aca="false">IF(LEFT(Cockpit!$O$5,1)="A",H151,IF(Parameter!$E$30="MAX-Bestand",IF(CI151=1,CJ151,IF(LEFT(Cockpit!$O$5,1)="B",BG151,MAX(BG151,H151))),ROUNDUP(BE151,0)))</f>
        <v>3</v>
      </c>
      <c r="BB151" s="62" t="n">
        <f aca="false">IF(CA151=1,0,ROUNDUP(BA151/BZ151,0))</f>
        <v>1</v>
      </c>
      <c r="BC151" s="64" t="n">
        <f aca="false">IF(CR151&gt;0,CR151*MAX(1,BA151/X151),IF(CA151=1,IF(BA151&lt;=0,0,CE151*MAX(1,IF(H151&gt;0,BA151/H151,1))),IF(R151&gt;0,BB151/R151,0))/MAX(0.1,N(Parameter!$M$21)))</f>
        <v>0.0833333333333333</v>
      </c>
      <c r="BD151" s="62" t="n">
        <f aca="false">BC151*CC151</f>
        <v>12.0833333333333</v>
      </c>
      <c r="BE151" s="63" t="n">
        <f aca="false">IF(LEFT(Cockpit!$O$5,1)="A",H151,IF(CI151=1,(CL151+CJ151)/2,IF(LEFT(Cockpit!$O$5,1)="B",(CL151+BG151)/2,MAX((CL151+BG151)/2,H151))))</f>
        <v>2.5</v>
      </c>
      <c r="BF151" s="62" t="n">
        <f aca="false">BE151*G151</f>
        <v>1111.5</v>
      </c>
      <c r="BG151" s="62" t="n">
        <f aca="false">ROUNDUP(CL151+MAX(CM151,2*(J151/IF(CH151&gt;0,CH151,MAX(0.1,N(Cockpit!$O$6)))-CL151)),0)</f>
        <v>5</v>
      </c>
      <c r="BH151" s="63" t="n">
        <f aca="false">IF(BD151&gt;0,J151/BD151,-1)</f>
        <v>0.248275862068966</v>
      </c>
      <c r="BI151" s="63" t="str">
        <f aca="false">IF(AND(OR(CG151="L1",CG151="L23",CG151="LIFT"),BD151&gt;0),SUMIFS($BD$7:$BD$1843,$CG$7:$CG$1843,CG151,$BH$7:$BH$1843,"&gt;"&amp;BH151)+SUMIFS($BD$7:$BD$1843,$CG$7:$CG$1843,CG151,$BH$7:$BH$1843,BH151,$BX$7:$BX$1843,"&lt;="&amp;BX151),"")</f>
        <v/>
      </c>
      <c r="BJ151" s="70" t="n">
        <f aca="false">IF(BI151="",0,MAX(0,MIN(1,(IF(CG151="L1",Parameter!$H$5,IF(CG151="L23",Parameter!$H$6+Parameter!$H$7,Parameter!$H$5+Parameter!$H$6+Parameter!$H$7))-(BI151-BD151))/BD151)))</f>
        <v>0</v>
      </c>
      <c r="BK151" s="60" t="str">
        <f aca="false">IF(AJ151&lt;=0,"",IF(CG151="Aussen","Aussenlager",IF(CG151="-","Nicht im Lift",IF(AP151&gt;=1,"Lift",IF(AP151&lt;=0,"Aussenlager","teilweise")))))</f>
        <v>Nicht im Lift</v>
      </c>
      <c r="BL151" s="60" t="str">
        <f aca="false">IF(AT151&lt;=0,"",IF(CG151="Aussen","Aussenlager",IF(CG151="-","Nicht im Lift",IF(AZ151&gt;=1,"Lift",IF(AZ151&lt;=0,"Aussenlager","teilweise")))))</f>
        <v>Nicht im Lift</v>
      </c>
      <c r="BM151" s="60" t="str">
        <f aca="false">IF(BD151&lt;=0,"",IF(CG151="Aussen","Aussenlager",IF(CG151="-","Nicht im Lift",IF(BJ151&gt;=1,"Lift",IF(BJ151&lt;=0,"Aussenlager","teilweise")))))</f>
        <v>Nicht im Lift</v>
      </c>
      <c r="BN151" s="60" t="str">
        <f aca="false">IF(A151="","",IF(BW151=1,"Neu; ","")&amp;IF(AND(BW151=0,BR151&lt;0),"negativer Bestand (Export "&amp;BR151&amp;"); ","")&amp;IF(J151&lt;=0,"Kein Verbrauch; ","")&amp;IF(CR151&gt;0,"Lift "&amp;W151&amp;" lt. Liftbericht (Fach "&amp;X151&amp;" Stk); ",IF(CB151=1,"Gebinde geschätzt ("&amp;T151&amp;"); ",IF(CA151=1,"Lose – Tablare geschätzt; ","")))&amp;IF(H151&gt;AW151,"Überbestand "&amp;ROUND(H151-AW151,0)&amp;" Stk / CHF "&amp;ROUND((H151-AW151)*G151,0)&amp;"; ","")&amp;IF(AND(CI151=1,CJ151&lt;CK151),"MAX &lt; MB+LG; ","")&amp;IF(AND(CQ151&gt;0,CP151*10&gt;CQ151),"zu hoch für Tablar; ","")&amp;IF(AND(BW151=0,OR(CI151=1,AB151&lt;&gt;"",U151&lt;&gt;"",V151&lt;&gt;"",AC151&lt;&gt;"")),"manuell übersteuert; ","")&amp;IF(AND(CA151=0,R151=0),"Gebinde unbekannt / Stellmass fehlt; ","")&amp;IF(AND(CA151=0,N(V151)&lt;=0,N(Q151)&lt;=0),"Menge pro Gebinde fehlt (Ist = 1 Gebinde); ","")&amp;BV151)</f>
        <v>Gebinde geschätzt (Mittel); Menge pro Gebinde fehlt (Ist = 1 Gebinde); </v>
      </c>
      <c r="BO151" s="60"/>
      <c r="BP151" s="60"/>
      <c r="BQ151" s="67"/>
      <c r="BR151" s="62" t="n">
        <v>3</v>
      </c>
      <c r="BS151" s="62" t="n">
        <v>0</v>
      </c>
      <c r="BT151" s="61" t="n">
        <v>1333.8</v>
      </c>
      <c r="BU151" s="62" t="n">
        <v>3</v>
      </c>
      <c r="BV151" s="60"/>
      <c r="BW151" s="65" t="n">
        <v>0</v>
      </c>
      <c r="BX151" s="65" t="n">
        <v>151</v>
      </c>
      <c r="BY151" s="60" t="str">
        <f aca="false">IF(U151&lt;&gt;"",UPPER(TRIM(U151)),IF(CB151=1,UPPER(VLOOKUP(T151,Parameter!$I$27:$K$29,2,0)),IF(P151="","LOSE",P151)))</f>
        <v>S61</v>
      </c>
      <c r="BZ151" s="62" t="n">
        <f aca="false">IF(BY151="LOSE",1,IF(N(V151)&gt;0,V151,IF(CB151=1,MAX(1,N(VLOOKUP(T151,Parameter!$I$27:$K$29,3,0)),H151,N(N151)),IF(N(Q151)&gt;0,Q151,MAX(1,H151)))))</f>
        <v>5</v>
      </c>
      <c r="CA151" s="65" t="n">
        <f aca="false">IF(BY151="LOSE",1,0)</f>
        <v>0</v>
      </c>
      <c r="CB151" s="65" t="n">
        <f aca="false">IF(AND(U151="",OR(P151="",P151="LOSE"),T151&lt;&gt;"",N(S151)&lt;=0,ISNUMBER(MATCH(T151,Parameter!$I$27:$I$29,0))),1,0)</f>
        <v>1</v>
      </c>
      <c r="CC151" s="65" t="n">
        <f aca="false">IF(CR151&gt;0,INDEX(Parameter!$H$5:$H$7,W151)/INDEX(Parameter!$E$5:$E$7,W151),IF(AND(CA151=0,N(IFERROR(VLOOKUP(BY151,'Gebinde-Kategorie'!$A$5:$N$45,14,0),0))&gt;0),VLOOKUP(BY151,'Gebinde-Kategorie'!$A$5:$N$45,14,0)*10+Parameter!$M$23,Parameter!$M$24))</f>
        <v>145</v>
      </c>
      <c r="CD151" s="60" t="str">
        <f aca="false">IF(AND(Parameter!$B$19="Ja",E151&lt;&gt;"",ISNUMBER(MATCH(E151,Parameter!$I$35:$I$52,0))),VLOOKUP(E151,Parameter!$I$35:$J$52,2,0),IFERROR(VLOOKUP(D151,Parameter!$A$35:$C$64,2,0),"Nein"))</f>
        <v>Nein</v>
      </c>
      <c r="CE151" s="64" t="n">
        <f aca="false">IF(CA151=0,0,IF(N(S151)&gt;0,S151,IFERROR(VLOOKUP(D151,Parameter!$A$35:$C$64,3,0)+0,0)))</f>
        <v>0</v>
      </c>
      <c r="CF151" s="60" t="str">
        <f aca="false">IF(AB151&lt;&gt;"",AB151,AA151)</f>
        <v>-</v>
      </c>
      <c r="CG151" s="60" t="str">
        <f aca="false">IF(OR(CF151=1,CF151=2,CF151=3),IF(Parameter!$E$27="Ja","LIFT",IF(CF151=1,"L1","L23")),IF(CF151="Aussen","Aussen","-"))</f>
        <v>-</v>
      </c>
      <c r="CH151" s="71" t="n">
        <f aca="false">IF(N(AC151)&gt;0,AC151,0)</f>
        <v>0</v>
      </c>
      <c r="CI151" s="65" t="n">
        <f aca="false">IF(ISNUMBER(AF151),1,0)</f>
        <v>0</v>
      </c>
      <c r="CJ151" s="62" t="n">
        <f aca="false">N(AF151)</f>
        <v>0</v>
      </c>
      <c r="CK151" s="62" t="n">
        <f aca="false">N(M151)+N(N151)</f>
        <v>5</v>
      </c>
      <c r="CL151" s="62" t="n">
        <f aca="false">N(M151)</f>
        <v>0</v>
      </c>
      <c r="CM151" s="62" t="n">
        <f aca="false">N(N151)</f>
        <v>5</v>
      </c>
      <c r="CN151" s="62" t="n">
        <f aca="false">ROUNDUP(H151/BZ151,0)</f>
        <v>1</v>
      </c>
      <c r="CO151" s="62" t="n">
        <f aca="false">ROUNDUP(CJ151/BZ151,0)</f>
        <v>0</v>
      </c>
      <c r="CP151" s="65" t="n">
        <f aca="false">IF(CA151=1,0,IFERROR(VLOOKUP(BY151,'Gebinde-Kategorie'!$A$5:$N$45,5,0)+0,0))</f>
        <v>11</v>
      </c>
      <c r="CQ151" s="65" t="n">
        <f aca="false">IFERROR(IF(OR(CF151=1,CF151=2,CF151=3),N(INDEX(Parameter!$I$5:$I$7,CF151)),0),0)</f>
        <v>0</v>
      </c>
      <c r="CR151" s="64" t="n">
        <f aca="false">IF(AND(Parameter!$B$21="Ja",ISNUMBER(W151),N(X151)&gt;0),IFERROR(N(INDEX(Parameter!$L$5:$L$7,W151))*INDEX(Parameter!$E$5:$E$7,W151)*X151/SUMIFS($X$7:$X$1843,$W$7:$W$1843,W151),0),0)</f>
        <v>0</v>
      </c>
      <c r="CS151" s="62" t="str">
        <f aca="false">IF(AND(OR(CG151="L1",CG151="L23",CG151="LIFT"),H151&gt;0),CC151*IF(CR151&gt;0,CR151*MAX(1,H151/X151),IF(CA151=1,CE151,IF(R151&gt;0,CN151/R151,0))/MAX(0.1,N(Parameter!$M$21))),"")</f>
        <v/>
      </c>
      <c r="CT151" s="64" t="str">
        <f aca="false">IF(CS151="","",J151/H151)</f>
        <v/>
      </c>
      <c r="CU151" s="62" t="str">
        <f aca="false">IF(CS151="","",H151*G151)</f>
        <v/>
      </c>
      <c r="CV151" s="63" t="str">
        <f aca="false">IF(CS151="","",(CL151+ROUNDUP(CL151+MAX(CM151,2*(J151/MAX(0.1,N(Einkauf!$C$6))-CL151)),0))/2)</f>
        <v/>
      </c>
      <c r="CW151" s="62" t="str">
        <f aca="false">IF(CS151="","",MAX(0,H151-CV151)*G151)</f>
        <v/>
      </c>
      <c r="CX151" s="62" t="str">
        <f aca="false">IF(CS151="","",CS151*MAX(0,1-CV151/H151))</f>
        <v/>
      </c>
      <c r="CY151" s="64" t="str">
        <f aca="false">IF(CS151="","",PERCENTRANK($CS$7:$CS$1843,CS151)+PERCENTRANK($CU$7:$CU$1843,CU151)+1-PERCENTRANK($CT$7:$CT$1843,CT151))</f>
        <v/>
      </c>
      <c r="CZ151" s="72" t="str">
        <f aca="false">IF(CS151="","",CHOOSE(MATCH(Einkauf!$C$5,Parameter!$G$23:$G$27,0),CY151,CS151,CU151,-CT151,CW151)+ROW()/1000000000)</f>
        <v/>
      </c>
    </row>
    <row r="152" customFormat="false" ht="15" hidden="false" customHeight="false" outlineLevel="0" collapsed="false">
      <c r="A152" s="60" t="s">
        <v>552</v>
      </c>
      <c r="B152" s="60" t="s">
        <v>553</v>
      </c>
      <c r="C152" s="60" t="s">
        <v>206</v>
      </c>
      <c r="D152" s="60" t="s">
        <v>226</v>
      </c>
      <c r="E152" s="60"/>
      <c r="F152" s="60" t="s">
        <v>260</v>
      </c>
      <c r="G152" s="61" t="n">
        <v>32.83</v>
      </c>
      <c r="H152" s="62" t="n">
        <f aca="false">MAX(0,IF(AND(Parameter!$B$21="Ja",ISNUMBER(Y152)),Y152,IF(Parameter!$B$20="Jahresanfang 2025 + Export",BS152+BR152,BR152)))</f>
        <v>42</v>
      </c>
      <c r="I152" s="62" t="n">
        <f aca="false">H152*G152</f>
        <v>1378.86</v>
      </c>
      <c r="J152" s="62" t="n">
        <f aca="false">BU152*Parameter!$B$18</f>
        <v>0</v>
      </c>
      <c r="K152" s="63" t="n">
        <v>2</v>
      </c>
      <c r="L152" s="64" t="n">
        <v>0</v>
      </c>
      <c r="M152" s="62" t="n">
        <v>0</v>
      </c>
      <c r="N152" s="62" t="n">
        <v>1</v>
      </c>
      <c r="O152" s="65" t="n">
        <v>28</v>
      </c>
      <c r="P152" s="60" t="s">
        <v>344</v>
      </c>
      <c r="Q152" s="62" t="n">
        <v>50</v>
      </c>
      <c r="R152" s="65" t="n">
        <f aca="false">IF(CA152=1,0,IFERROR(VLOOKUP(BY152,'Gebinde-Kategorie'!$A$5:$N$45,13,0)+0,0))</f>
        <v>26</v>
      </c>
      <c r="S152" s="66"/>
      <c r="T152" s="67"/>
      <c r="U152" s="67"/>
      <c r="V152" s="67"/>
      <c r="W152" s="60"/>
      <c r="X152" s="62"/>
      <c r="Y152" s="62"/>
      <c r="Z152" s="60" t="n">
        <v>3</v>
      </c>
      <c r="AA152" s="60" t="n">
        <f aca="false">IF(A152="","",IF(AND(Parameter!$B$21="Ja",ISNUMBER(W152)),W152,IF(AND(Parameter!$E$27="Ja",ISNUMBER(Z152),CD152&lt;&gt;"Nein"),Z152,IF(CD152="2+3",IF(ISNUMBER(SEARCH("grosser Artikel",BV152)),2,IFERROR(VLOOKUP(BY152,Parameter!$F$35:$G$64,2,0),2)),IF(OR(CD152="Nein",CD152=""),"-",CD152)))))</f>
        <v>3</v>
      </c>
      <c r="AB152" s="67"/>
      <c r="AC152" s="68"/>
      <c r="AD152" s="62" t="n">
        <f aca="false">AW152</f>
        <v>1</v>
      </c>
      <c r="AE152" s="62" t="n">
        <f aca="false">MAX(AW152,H152)</f>
        <v>42</v>
      </c>
      <c r="AF152" s="69"/>
      <c r="AG152" s="62" t="n">
        <f aca="false">IF(LEFT(Cockpit!$C$5,1)="A",H152,IF(Parameter!$E$30="MAX-Bestand",IF(CI152=1,CJ152,IF(LEFT(Cockpit!$C$5,1)="B",AM152,MAX(AM152,H152))),ROUNDUP(AK152,0)))</f>
        <v>42</v>
      </c>
      <c r="AH152" s="62" t="n">
        <f aca="false">IF(CA152=1,0,ROUNDUP(AG152/BZ152,0))</f>
        <v>1</v>
      </c>
      <c r="AI152" s="64" t="n">
        <f aca="false">IF(CR152&gt;0,CR152*MAX(1,AG152/X152),IF(CA152=1,IF(AG152&lt;=0,0,CE152*MAX(1,IF(H152&gt;0,AG152/H152,1))),IF(R152&gt;0,AH152/R152,0))/MAX(0.1,N(Parameter!$M$21)))</f>
        <v>0.0384615384615385</v>
      </c>
      <c r="AJ152" s="62" t="n">
        <f aca="false">AI152*CC152</f>
        <v>5.96153846153846</v>
      </c>
      <c r="AK152" s="63" t="n">
        <f aca="false">IF(LEFT(Cockpit!$C$5,1)="A",H152,IF(CI152=1,(CL152+CJ152)/2,IF(LEFT(Cockpit!$C$5,1)="B",(CL152+AM152)/2,MAX((CL152+AM152)/2,H152))))</f>
        <v>42</v>
      </c>
      <c r="AL152" s="62" t="n">
        <f aca="false">AK152*G152</f>
        <v>1378.86</v>
      </c>
      <c r="AM152" s="62" t="n">
        <f aca="false">ROUNDUP(CL152+MAX(CM152,2*(J152/IF(CH152&gt;0,CH152,MAX(0.1,N(Cockpit!$C$6)))-CL152)),0)</f>
        <v>1</v>
      </c>
      <c r="AN152" s="63" t="n">
        <f aca="false">IF(AJ152&gt;0,J152/AJ152,-1)</f>
        <v>0</v>
      </c>
      <c r="AO152" s="63" t="n">
        <f aca="false">IF(AND(OR(CG152="L1",CG152="L23",CG152="LIFT"),AJ152&gt;0),SUMIFS($AJ$7:$AJ$1843,$CG$7:$CG$1843,CG152,$AN$7:$AN$1843,"&gt;"&amp;AN152)+SUMIFS($AJ$7:$AJ$1843,$CG$7:$CG$1843,CG152,$AN$7:$AN$1843,AN152,$BX$7:$BX$1843,"&lt;="&amp;BX152),"")</f>
        <v>27311.4049300511</v>
      </c>
      <c r="AP152" s="70" t="n">
        <f aca="false">IF(AO152="",0,MAX(0,MIN(1,(IF(CG152="L1",Parameter!$H$5,IF(CG152="L23",Parameter!$H$6+Parameter!$H$7,Parameter!$H$5+Parameter!$H$6+Parameter!$H$7))-(AO152-AJ152))/AJ152)))</f>
        <v>1</v>
      </c>
      <c r="AQ152" s="62" t="n">
        <f aca="false">IF(LEFT(Cockpit!$I$5,1)="A",H152,IF(Parameter!$E$30="MAX-Bestand",IF(CI152=1,CJ152,IF(LEFT(Cockpit!$I$5,1)="B",AW152,MAX(AW152,H152))),ROUNDUP(AU152,0)))</f>
        <v>42</v>
      </c>
      <c r="AR152" s="62" t="n">
        <f aca="false">IF(CA152=1,0,ROUNDUP(AQ152/BZ152,0))</f>
        <v>1</v>
      </c>
      <c r="AS152" s="64" t="n">
        <f aca="false">IF(CR152&gt;0,CR152*MAX(1,AQ152/X152),IF(CA152=1,IF(AQ152&lt;=0,0,CE152*MAX(1,IF(H152&gt;0,AQ152/H152,1))),IF(R152&gt;0,AR152/R152,0))/MAX(0.1,N(Parameter!$M$21)))</f>
        <v>0.0384615384615385</v>
      </c>
      <c r="AT152" s="62" t="n">
        <f aca="false">AS152*CC152</f>
        <v>5.96153846153846</v>
      </c>
      <c r="AU152" s="63" t="n">
        <f aca="false">IF(LEFT(Cockpit!$I$5,1)="A",H152,IF(CI152=1,(CL152+CJ152)/2,IF(LEFT(Cockpit!$I$5,1)="B",(CL152+AW152)/2,MAX((CL152+AW152)/2,H152))))</f>
        <v>42</v>
      </c>
      <c r="AV152" s="62" t="n">
        <f aca="false">AU152*G152</f>
        <v>1378.86</v>
      </c>
      <c r="AW152" s="62" t="n">
        <f aca="false">ROUNDUP(CL152+MAX(CM152,2*(J152/IF(CH152&gt;0,CH152,MAX(0.1,N(Cockpit!$I$6)))-CL152)),0)</f>
        <v>1</v>
      </c>
      <c r="AX152" s="63" t="n">
        <f aca="false">IF(AT152&gt;0,J152/AT152,-1)</f>
        <v>0</v>
      </c>
      <c r="AY152" s="63" t="n">
        <f aca="false">IF(AND(OR(CG152="L1",CG152="L23",CG152="LIFT"),AT152&gt;0),SUMIFS($AT$7:$AT$1843,$CG$7:$CG$1843,CG152,$AX$7:$AX$1843,"&gt;"&amp;AX152)+SUMIFS($AT$7:$AT$1843,$CG$7:$CG$1843,CG152,$AX$7:$AX$1843,AX152,$BX$7:$BX$1843,"&lt;="&amp;BX152),"")</f>
        <v>32664.5535714286</v>
      </c>
      <c r="AZ152" s="70" t="n">
        <f aca="false">IF(AY152="",0,MAX(0,MIN(1,(IF(CG152="L1",Parameter!$H$5,IF(CG152="L23",Parameter!$H$6+Parameter!$H$7,Parameter!$H$5+Parameter!$H$6+Parameter!$H$7))-(AY152-AT152))/AT152)))</f>
        <v>1</v>
      </c>
      <c r="BA152" s="62" t="n">
        <f aca="false">IF(LEFT(Cockpit!$O$5,1)="A",H152,IF(Parameter!$E$30="MAX-Bestand",IF(CI152=1,CJ152,IF(LEFT(Cockpit!$O$5,1)="B",BG152,MAX(BG152,H152))),ROUNDUP(BE152,0)))</f>
        <v>1</v>
      </c>
      <c r="BB152" s="62" t="n">
        <f aca="false">IF(CA152=1,0,ROUNDUP(BA152/BZ152,0))</f>
        <v>1</v>
      </c>
      <c r="BC152" s="64" t="n">
        <f aca="false">IF(CR152&gt;0,CR152*MAX(1,BA152/X152),IF(CA152=1,IF(BA152&lt;=0,0,CE152*MAX(1,IF(H152&gt;0,BA152/H152,1))),IF(R152&gt;0,BB152/R152,0))/MAX(0.1,N(Parameter!$M$21)))</f>
        <v>0.0384615384615385</v>
      </c>
      <c r="BD152" s="62" t="n">
        <f aca="false">BC152*CC152</f>
        <v>5.96153846153846</v>
      </c>
      <c r="BE152" s="63" t="n">
        <f aca="false">IF(LEFT(Cockpit!$O$5,1)="A",H152,IF(CI152=1,(CL152+CJ152)/2,IF(LEFT(Cockpit!$O$5,1)="B",(CL152+BG152)/2,MAX((CL152+BG152)/2,H152))))</f>
        <v>0.5</v>
      </c>
      <c r="BF152" s="62" t="n">
        <f aca="false">BE152*G152</f>
        <v>16.415</v>
      </c>
      <c r="BG152" s="62" t="n">
        <f aca="false">ROUNDUP(CL152+MAX(CM152,2*(J152/IF(CH152&gt;0,CH152,MAX(0.1,N(Cockpit!$O$6)))-CL152)),0)</f>
        <v>1</v>
      </c>
      <c r="BH152" s="63" t="n">
        <f aca="false">IF(BD152&gt;0,J152/BD152,-1)</f>
        <v>0</v>
      </c>
      <c r="BI152" s="63" t="n">
        <f aca="false">IF(AND(OR(CG152="L1",CG152="L23",CG152="LIFT"),BD152&gt;0),SUMIFS($BD$7:$BD$1843,$CG$7:$CG$1843,CG152,$BH$7:$BH$1843,"&gt;"&amp;BH152)+SUMIFS($BD$7:$BD$1843,$CG$7:$CG$1843,CG152,$BH$7:$BH$1843,BH152,$BX$7:$BX$1843,"&lt;="&amp;BX152),"")</f>
        <v>26828.7956711368</v>
      </c>
      <c r="BJ152" s="70" t="n">
        <f aca="false">IF(BI152="",0,MAX(0,MIN(1,(IF(CG152="L1",Parameter!$H$5,IF(CG152="L23",Parameter!$H$6+Parameter!$H$7,Parameter!$H$5+Parameter!$H$6+Parameter!$H$7))-(BI152-BD152))/BD152)))</f>
        <v>1</v>
      </c>
      <c r="BK152" s="60" t="str">
        <f aca="false">IF(AJ152&lt;=0,"",IF(CG152="Aussen","Aussenlager",IF(CG152="-","Nicht im Lift",IF(AP152&gt;=1,"Lift",IF(AP152&lt;=0,"Aussenlager","teilweise")))))</f>
        <v>Lift</v>
      </c>
      <c r="BL152" s="60" t="str">
        <f aca="false">IF(AT152&lt;=0,"",IF(CG152="Aussen","Aussenlager",IF(CG152="-","Nicht im Lift",IF(AZ152&gt;=1,"Lift",IF(AZ152&lt;=0,"Aussenlager","teilweise")))))</f>
        <v>Lift</v>
      </c>
      <c r="BM152" s="60" t="str">
        <f aca="false">IF(BD152&lt;=0,"",IF(CG152="Aussen","Aussenlager",IF(CG152="-","Nicht im Lift",IF(BJ152&gt;=1,"Lift",IF(BJ152&lt;=0,"Aussenlager","teilweise")))))</f>
        <v>Lift</v>
      </c>
      <c r="BN152" s="60" t="str">
        <f aca="false">IF(A152="","",IF(BW152=1,"Neu; ","")&amp;IF(AND(BW152=0,BR152&lt;0),"negativer Bestand (Export "&amp;BR152&amp;"); ","")&amp;IF(J152&lt;=0,"Kein Verbrauch; ","")&amp;IF(CR152&gt;0,"Lift "&amp;W152&amp;" lt. Liftbericht (Fach "&amp;X152&amp;" Stk); ",IF(CB152=1,"Gebinde geschätzt ("&amp;T152&amp;"); ",IF(CA152=1,"Lose – Tablare geschätzt; ","")))&amp;IF(H152&gt;AW152,"Überbestand "&amp;ROUND(H152-AW152,0)&amp;" Stk / CHF "&amp;ROUND((H152-AW152)*G152,0)&amp;"; ","")&amp;IF(AND(CI152=1,CJ152&lt;CK152),"MAX &lt; MB+LG; ","")&amp;IF(AND(CQ152&gt;0,CP152*10&gt;CQ152),"zu hoch für Tablar; ","")&amp;IF(AND(BW152=0,OR(CI152=1,AB152&lt;&gt;"",U152&lt;&gt;"",V152&lt;&gt;"",AC152&lt;&gt;"")),"manuell übersteuert; ","")&amp;IF(AND(CA152=0,R152=0),"Gebinde unbekannt / Stellmass fehlt; ","")&amp;IF(AND(CA152=0,N(V152)&lt;=0,N(Q152)&lt;=0),"Menge pro Gebinde fehlt (Ist = 1 Gebinde); ","")&amp;BV152)</f>
        <v>Kein Verbrauch; Überbestand 41 Stk / CHF 1346; Neuer Art.</v>
      </c>
      <c r="BO152" s="60"/>
      <c r="BP152" s="60"/>
      <c r="BQ152" s="67"/>
      <c r="BR152" s="62" t="n">
        <v>40</v>
      </c>
      <c r="BS152" s="62" t="n">
        <v>2</v>
      </c>
      <c r="BT152" s="61" t="n">
        <v>1322.06</v>
      </c>
      <c r="BU152" s="62" t="n">
        <v>0</v>
      </c>
      <c r="BV152" s="60" t="s">
        <v>554</v>
      </c>
      <c r="BW152" s="65" t="n">
        <v>0</v>
      </c>
      <c r="BX152" s="65" t="n">
        <v>152</v>
      </c>
      <c r="BY152" s="60" t="str">
        <f aca="false">IF(U152&lt;&gt;"",UPPER(TRIM(U152)),IF(CB152=1,UPPER(VLOOKUP(T152,Parameter!$I$27:$K$29,2,0)),IF(P152="","LOSE",P152)))</f>
        <v>S51</v>
      </c>
      <c r="BZ152" s="62" t="n">
        <f aca="false">IF(BY152="LOSE",1,IF(N(V152)&gt;0,V152,IF(CB152=1,MAX(1,N(VLOOKUP(T152,Parameter!$I$27:$K$29,3,0)),H152,N(N152)),IF(N(Q152)&gt;0,Q152,MAX(1,H152)))))</f>
        <v>50</v>
      </c>
      <c r="CA152" s="65" t="n">
        <f aca="false">IF(BY152="LOSE",1,0)</f>
        <v>0</v>
      </c>
      <c r="CB152" s="65" t="n">
        <f aca="false">IF(AND(U152="",OR(P152="",P152="LOSE"),T152&lt;&gt;"",N(S152)&lt;=0,ISNUMBER(MATCH(T152,Parameter!$I$27:$I$29,0))),1,0)</f>
        <v>0</v>
      </c>
      <c r="CC152" s="65" t="n">
        <f aca="false">IF(CR152&gt;0,INDEX(Parameter!$H$5:$H$7,W152)/INDEX(Parameter!$E$5:$E$7,W152),IF(AND(CA152=0,N(IFERROR(VLOOKUP(BY152,'Gebinde-Kategorie'!$A$5:$N$45,14,0),0))&gt;0),VLOOKUP(BY152,'Gebinde-Kategorie'!$A$5:$N$45,14,0)*10+Parameter!$M$23,Parameter!$M$24))</f>
        <v>155</v>
      </c>
      <c r="CD152" s="60" t="str">
        <f aca="false">IF(AND(Parameter!$B$19="Ja",E152&lt;&gt;"",ISNUMBER(MATCH(E152,Parameter!$I$35:$I$52,0))),VLOOKUP(E152,Parameter!$I$35:$J$52,2,0),IFERROR(VLOOKUP(D152,Parameter!$A$35:$C$64,2,0),"Nein"))</f>
        <v>2+3</v>
      </c>
      <c r="CE152" s="64" t="n">
        <f aca="false">IF(CA152=0,0,IF(N(S152)&gt;0,S152,IFERROR(VLOOKUP(D152,Parameter!$A$35:$C$64,3,0)+0,0)))</f>
        <v>0</v>
      </c>
      <c r="CF152" s="60" t="n">
        <f aca="false">IF(AB152&lt;&gt;"",AB152,AA152)</f>
        <v>3</v>
      </c>
      <c r="CG152" s="60" t="str">
        <f aca="false">IF(OR(CF152=1,CF152=2,CF152=3),IF(Parameter!$E$27="Ja","LIFT",IF(CF152=1,"L1","L23")),IF(CF152="Aussen","Aussen","-"))</f>
        <v>LIFT</v>
      </c>
      <c r="CH152" s="71" t="n">
        <f aca="false">IF(N(AC152)&gt;0,AC152,0)</f>
        <v>0</v>
      </c>
      <c r="CI152" s="65" t="n">
        <f aca="false">IF(ISNUMBER(AF152),1,0)</f>
        <v>0</v>
      </c>
      <c r="CJ152" s="62" t="n">
        <f aca="false">N(AF152)</f>
        <v>0</v>
      </c>
      <c r="CK152" s="62" t="n">
        <f aca="false">N(M152)+N(N152)</f>
        <v>1</v>
      </c>
      <c r="CL152" s="62" t="n">
        <f aca="false">N(M152)</f>
        <v>0</v>
      </c>
      <c r="CM152" s="62" t="n">
        <f aca="false">N(N152)</f>
        <v>1</v>
      </c>
      <c r="CN152" s="62" t="n">
        <f aca="false">ROUNDUP(H152/BZ152,0)</f>
        <v>1</v>
      </c>
      <c r="CO152" s="62" t="n">
        <f aca="false">ROUNDUP(CJ152/BZ152,0)</f>
        <v>0</v>
      </c>
      <c r="CP152" s="65" t="n">
        <f aca="false">IF(CA152=1,0,IFERROR(VLOOKUP(BY152,'Gebinde-Kategorie'!$A$5:$N$45,5,0)+0,0))</f>
        <v>11</v>
      </c>
      <c r="CQ152" s="65" t="n">
        <f aca="false">IFERROR(IF(OR(CF152=1,CF152=2,CF152=3),N(INDEX(Parameter!$I$5:$I$7,CF152)),0),0)</f>
        <v>0</v>
      </c>
      <c r="CR152" s="64" t="n">
        <f aca="false">IF(AND(Parameter!$B$21="Ja",ISNUMBER(W152),N(X152)&gt;0),IFERROR(N(INDEX(Parameter!$L$5:$L$7,W152))*INDEX(Parameter!$E$5:$E$7,W152)*X152/SUMIFS($X$7:$X$1843,$W$7:$W$1843,W152),0),0)</f>
        <v>0</v>
      </c>
      <c r="CS152" s="62" t="n">
        <f aca="false">IF(AND(OR(CG152="L1",CG152="L23",CG152="LIFT"),H152&gt;0),CC152*IF(CR152&gt;0,CR152*MAX(1,H152/X152),IF(CA152=1,CE152,IF(R152&gt;0,CN152/R152,0))/MAX(0.1,N(Parameter!$M$21))),"")</f>
        <v>5.96153846153846</v>
      </c>
      <c r="CT152" s="64" t="n">
        <f aca="false">IF(CS152="","",J152/H152)</f>
        <v>0</v>
      </c>
      <c r="CU152" s="62" t="n">
        <f aca="false">IF(CS152="","",H152*G152)</f>
        <v>1378.86</v>
      </c>
      <c r="CV152" s="63" t="n">
        <f aca="false">IF(CS152="","",(CL152+ROUNDUP(CL152+MAX(CM152,2*(J152/MAX(0.1,N(Einkauf!$C$6))-CL152)),0))/2)</f>
        <v>0.5</v>
      </c>
      <c r="CW152" s="62" t="n">
        <f aca="false">IF(CS152="","",MAX(0,H152-CV152)*G152)</f>
        <v>1362.445</v>
      </c>
      <c r="CX152" s="62" t="n">
        <f aca="false">IF(CS152="","",CS152*MAX(0,1-CV152/H152))</f>
        <v>5.89056776556777</v>
      </c>
      <c r="CY152" s="64" t="n">
        <f aca="false">IF(CS152="","",PERCENTRANK($CS$7:$CS$1843,CS152)+PERCENTRANK($CU$7:$CU$1843,CU152)+1-PERCENTRANK($CT$7:$CT$1843,CT152))</f>
        <v>2.059</v>
      </c>
      <c r="CZ152" s="72" t="n">
        <f aca="false">IF(CS152="","",CHOOSE(MATCH(Einkauf!$C$5,Parameter!$G$23:$G$27,0),CY152,CS152,CU152,-CT152,CW152)+ROW()/1000000000)</f>
        <v>2.059000152</v>
      </c>
    </row>
    <row r="153" customFormat="false" ht="15" hidden="false" customHeight="false" outlineLevel="0" collapsed="false">
      <c r="A153" s="60" t="s">
        <v>555</v>
      </c>
      <c r="B153" s="60" t="s">
        <v>556</v>
      </c>
      <c r="C153" s="60" t="s">
        <v>206</v>
      </c>
      <c r="D153" s="60" t="s">
        <v>215</v>
      </c>
      <c r="E153" s="60" t="s">
        <v>208</v>
      </c>
      <c r="F153" s="60" t="s">
        <v>260</v>
      </c>
      <c r="G153" s="61" t="n">
        <v>2753.47</v>
      </c>
      <c r="H153" s="62" t="n">
        <f aca="false">MAX(0,IF(AND(Parameter!$B$21="Ja",ISNUMBER(Y153)),Y153,IF(Parameter!$B$20="Jahresanfang 2025 + Export",BS153+BR153,BR153)))</f>
        <v>2</v>
      </c>
      <c r="I153" s="62" t="n">
        <f aca="false">H153*G153</f>
        <v>5506.94</v>
      </c>
      <c r="J153" s="62" t="n">
        <f aca="false">BU153*Parameter!$B$18</f>
        <v>2</v>
      </c>
      <c r="K153" s="63" t="n">
        <v>2.5</v>
      </c>
      <c r="L153" s="64" t="n">
        <v>0.8</v>
      </c>
      <c r="M153" s="62" t="n">
        <v>1</v>
      </c>
      <c r="N153" s="62" t="n">
        <v>1</v>
      </c>
      <c r="O153" s="65" t="n">
        <v>56</v>
      </c>
      <c r="P153" s="60" t="s">
        <v>210</v>
      </c>
      <c r="Q153" s="62"/>
      <c r="R153" s="65" t="n">
        <f aca="false">IF(CA153=1,0,IFERROR(VLOOKUP(BY153,'Gebinde-Kategorie'!$A$5:$N$45,13,0)+0,0))</f>
        <v>0</v>
      </c>
      <c r="S153" s="66"/>
      <c r="T153" s="67"/>
      <c r="U153" s="67"/>
      <c r="V153" s="67"/>
      <c r="W153" s="60" t="n">
        <v>1</v>
      </c>
      <c r="X153" s="62" t="n">
        <v>4</v>
      </c>
      <c r="Y153" s="62" t="n">
        <v>2</v>
      </c>
      <c r="Z153" s="60" t="n">
        <v>1</v>
      </c>
      <c r="AA153" s="60" t="n">
        <f aca="false">IF(A153="","",IF(AND(Parameter!$B$21="Ja",ISNUMBER(W153)),W153,IF(AND(Parameter!$E$27="Ja",ISNUMBER(Z153),CD153&lt;&gt;"Nein"),Z153,IF(CD153="2+3",IF(ISNUMBER(SEARCH("grosser Artikel",BV153)),2,IFERROR(VLOOKUP(BY153,Parameter!$F$35:$G$64,2,0),2)),IF(OR(CD153="Nein",CD153=""),"-",CD153)))))</f>
        <v>1</v>
      </c>
      <c r="AB153" s="67"/>
      <c r="AC153" s="68"/>
      <c r="AD153" s="62" t="n">
        <f aca="false">AW153</f>
        <v>2</v>
      </c>
      <c r="AE153" s="62" t="n">
        <f aca="false">MAX(AW153,H153)</f>
        <v>2</v>
      </c>
      <c r="AF153" s="69"/>
      <c r="AG153" s="62" t="n">
        <f aca="false">IF(LEFT(Cockpit!$C$5,1)="A",H153,IF(Parameter!$E$30="MAX-Bestand",IF(CI153=1,CJ153,IF(LEFT(Cockpit!$C$5,1)="B",AM153,MAX(AM153,H153))),ROUNDUP(AK153,0)))</f>
        <v>2</v>
      </c>
      <c r="AH153" s="62" t="n">
        <f aca="false">IF(CA153=1,0,ROUNDUP(AG153/BZ153,0))</f>
        <v>0</v>
      </c>
      <c r="AI153" s="64" t="n">
        <f aca="false">IF(CR153&gt;0,CR153*MAX(1,AG153/X153),IF(CA153=1,IF(AG153&lt;=0,0,CE153*MAX(1,IF(H153&gt;0,AG153/H153,1))),IF(R153&gt;0,AH153/R153,0))/MAX(0.1,N(Parameter!$M$21)))</f>
        <v>0.32015065913371</v>
      </c>
      <c r="AJ153" s="62" t="n">
        <f aca="false">AI153*CC153</f>
        <v>76.195856873823</v>
      </c>
      <c r="AK153" s="63" t="n">
        <f aca="false">IF(LEFT(Cockpit!$C$5,1)="A",H153,IF(CI153=1,(CL153+CJ153)/2,IF(LEFT(Cockpit!$C$5,1)="B",(CL153+AM153)/2,MAX((CL153+AM153)/2,H153))))</f>
        <v>2</v>
      </c>
      <c r="AL153" s="62" t="n">
        <f aca="false">AK153*G153</f>
        <v>5506.94</v>
      </c>
      <c r="AM153" s="62" t="n">
        <f aca="false">ROUNDUP(CL153+MAX(CM153,2*(J153/IF(CH153&gt;0,CH153,MAX(0.1,N(Cockpit!$C$6)))-CL153)),0)</f>
        <v>2</v>
      </c>
      <c r="AN153" s="63" t="n">
        <f aca="false">IF(AJ153&gt;0,J153/AJ153,-1)</f>
        <v>0.0262481463173505</v>
      </c>
      <c r="AO153" s="63" t="n">
        <f aca="false">IF(AND(OR(CG153="L1",CG153="L23",CG153="LIFT"),AJ153&gt;0),SUMIFS($AJ$7:$AJ$1843,$CG$7:$CG$1843,CG153,$AN$7:$AN$1843,"&gt;"&amp;AN153)+SUMIFS($AJ$7:$AJ$1843,$CG$7:$CG$1843,CG153,$AN$7:$AN$1843,AN153,$BX$7:$BX$1843,"&lt;="&amp;BX153),"")</f>
        <v>21691.5124764595</v>
      </c>
      <c r="AP153" s="70" t="n">
        <f aca="false">IF(AO153="",0,MAX(0,MIN(1,(IF(CG153="L1",Parameter!$H$5,IF(CG153="L23",Parameter!$H$6+Parameter!$H$7,Parameter!$H$5+Parameter!$H$6+Parameter!$H$7))-(AO153-AJ153))/AJ153)))</f>
        <v>1</v>
      </c>
      <c r="AQ153" s="62" t="n">
        <f aca="false">IF(LEFT(Cockpit!$I$5,1)="A",H153,IF(Parameter!$E$30="MAX-Bestand",IF(CI153=1,CJ153,IF(LEFT(Cockpit!$I$5,1)="B",AW153,MAX(AW153,H153))),ROUNDUP(AU153,0)))</f>
        <v>2</v>
      </c>
      <c r="AR153" s="62" t="n">
        <f aca="false">IF(CA153=1,0,ROUNDUP(AQ153/BZ153,0))</f>
        <v>0</v>
      </c>
      <c r="AS153" s="64" t="n">
        <f aca="false">IF(CR153&gt;0,CR153*MAX(1,AQ153/X153),IF(CA153=1,IF(AQ153&lt;=0,0,CE153*MAX(1,IF(H153&gt;0,AQ153/H153,1))),IF(R153&gt;0,AR153/R153,0))/MAX(0.1,N(Parameter!$M$21)))</f>
        <v>0.32015065913371</v>
      </c>
      <c r="AT153" s="62" t="n">
        <f aca="false">AS153*CC153</f>
        <v>76.195856873823</v>
      </c>
      <c r="AU153" s="63" t="n">
        <f aca="false">IF(LEFT(Cockpit!$I$5,1)="A",H153,IF(CI153=1,(CL153+CJ153)/2,IF(LEFT(Cockpit!$I$5,1)="B",(CL153+AW153)/2,MAX((CL153+AW153)/2,H153))))</f>
        <v>2</v>
      </c>
      <c r="AV153" s="62" t="n">
        <f aca="false">AU153*G153</f>
        <v>5506.94</v>
      </c>
      <c r="AW153" s="62" t="n">
        <f aca="false">ROUNDUP(CL153+MAX(CM153,2*(J153/IF(CH153&gt;0,CH153,MAX(0.1,N(Cockpit!$I$6)))-CL153)),0)</f>
        <v>2</v>
      </c>
      <c r="AX153" s="63" t="n">
        <f aca="false">IF(AT153&gt;0,J153/AT153,-1)</f>
        <v>0.0262481463173505</v>
      </c>
      <c r="AY153" s="63" t="n">
        <f aca="false">IF(AND(OR(CG153="L1",CG153="L23",CG153="LIFT"),AT153&gt;0),SUMIFS($AT$7:$AT$1843,$CG$7:$CG$1843,CG153,$AX$7:$AX$1843,"&gt;"&amp;AX153)+SUMIFS($AT$7:$AT$1843,$CG$7:$CG$1843,CG153,$AX$7:$AX$1843,AX153,$BX$7:$BX$1843,"&lt;="&amp;BX153),"")</f>
        <v>26809.661117837</v>
      </c>
      <c r="AZ153" s="70" t="n">
        <f aca="false">IF(AY153="",0,MAX(0,MIN(1,(IF(CG153="L1",Parameter!$H$5,IF(CG153="L23",Parameter!$H$6+Parameter!$H$7,Parameter!$H$5+Parameter!$H$6+Parameter!$H$7))-(AY153-AT153))/AT153)))</f>
        <v>1</v>
      </c>
      <c r="BA153" s="62" t="n">
        <f aca="false">IF(LEFT(Cockpit!$O$5,1)="A",H153,IF(Parameter!$E$30="MAX-Bestand",IF(CI153=1,CJ153,IF(LEFT(Cockpit!$O$5,1)="B",BG153,MAX(BG153,H153))),ROUNDUP(BE153,0)))</f>
        <v>2</v>
      </c>
      <c r="BB153" s="62" t="n">
        <f aca="false">IF(CA153=1,0,ROUNDUP(BA153/BZ153,0))</f>
        <v>0</v>
      </c>
      <c r="BC153" s="64" t="n">
        <f aca="false">IF(CR153&gt;0,CR153*MAX(1,BA153/X153),IF(CA153=1,IF(BA153&lt;=0,0,CE153*MAX(1,IF(H153&gt;0,BA153/H153,1))),IF(R153&gt;0,BB153/R153,0))/MAX(0.1,N(Parameter!$M$21)))</f>
        <v>0.32015065913371</v>
      </c>
      <c r="BD153" s="62" t="n">
        <f aca="false">BC153*CC153</f>
        <v>76.195856873823</v>
      </c>
      <c r="BE153" s="63" t="n">
        <f aca="false">IF(LEFT(Cockpit!$O$5,1)="A",H153,IF(CI153=1,(CL153+CJ153)/2,IF(LEFT(Cockpit!$O$5,1)="B",(CL153+BG153)/2,MAX((CL153+BG153)/2,H153))))</f>
        <v>1.5</v>
      </c>
      <c r="BF153" s="62" t="n">
        <f aca="false">BE153*G153</f>
        <v>4130.205</v>
      </c>
      <c r="BG153" s="62" t="n">
        <f aca="false">ROUNDUP(CL153+MAX(CM153,2*(J153/IF(CH153&gt;0,CH153,MAX(0.1,N(Cockpit!$O$6)))-CL153)),0)</f>
        <v>2</v>
      </c>
      <c r="BH153" s="63" t="n">
        <f aca="false">IF(BD153&gt;0,J153/BD153,-1)</f>
        <v>0.0262481463173505</v>
      </c>
      <c r="BI153" s="63" t="n">
        <f aca="false">IF(AND(OR(CG153="L1",CG153="L23",CG153="LIFT"),BD153&gt;0),SUMIFS($BD$7:$BD$1843,$CG$7:$CG$1843,CG153,$BH$7:$BH$1843,"&gt;"&amp;BH153)+SUMIFS($BD$7:$BD$1843,$CG$7:$CG$1843,CG153,$BH$7:$BH$1843,BH153,$BX$7:$BX$1843,"&lt;="&amp;BX153),"")</f>
        <v>22473.1019354939</v>
      </c>
      <c r="BJ153" s="70" t="n">
        <f aca="false">IF(BI153="",0,MAX(0,MIN(1,(IF(CG153="L1",Parameter!$H$5,IF(CG153="L23",Parameter!$H$6+Parameter!$H$7,Parameter!$H$5+Parameter!$H$6+Parameter!$H$7))-(BI153-BD153))/BD153)))</f>
        <v>1</v>
      </c>
      <c r="BK153" s="60" t="str">
        <f aca="false">IF(AJ153&lt;=0,"",IF(CG153="Aussen","Aussenlager",IF(CG153="-","Nicht im Lift",IF(AP153&gt;=1,"Lift",IF(AP153&lt;=0,"Aussenlager","teilweise")))))</f>
        <v>Lift</v>
      </c>
      <c r="BL153" s="60" t="str">
        <f aca="false">IF(AT153&lt;=0,"",IF(CG153="Aussen","Aussenlager",IF(CG153="-","Nicht im Lift",IF(AZ153&gt;=1,"Lift",IF(AZ153&lt;=0,"Aussenlager","teilweise")))))</f>
        <v>Lift</v>
      </c>
      <c r="BM153" s="60" t="str">
        <f aca="false">IF(BD153&lt;=0,"",IF(CG153="Aussen","Aussenlager",IF(CG153="-","Nicht im Lift",IF(BJ153&gt;=1,"Lift",IF(BJ153&lt;=0,"Aussenlager","teilweise")))))</f>
        <v>Lift</v>
      </c>
      <c r="BN153" s="60" t="str">
        <f aca="false">IF(A153="","",IF(BW153=1,"Neu; ","")&amp;IF(AND(BW153=0,BR153&lt;0),"negativer Bestand (Export "&amp;BR153&amp;"); ","")&amp;IF(J153&lt;=0,"Kein Verbrauch; ","")&amp;IF(CR153&gt;0,"Lift "&amp;W153&amp;" lt. Liftbericht (Fach "&amp;X153&amp;" Stk); ",IF(CB153=1,"Gebinde geschätzt ("&amp;T153&amp;"); ",IF(CA153=1,"Lose – Tablare geschätzt; ","")))&amp;IF(H153&gt;AW153,"Überbestand "&amp;ROUND(H153-AW153,0)&amp;" Stk / CHF "&amp;ROUND((H153-AW153)*G153,0)&amp;"; ","")&amp;IF(AND(CI153=1,CJ153&lt;CK153),"MAX &lt; MB+LG; ","")&amp;IF(AND(CQ153&gt;0,CP153*10&gt;CQ153),"zu hoch für Tablar; ","")&amp;IF(AND(BW153=0,OR(CI153=1,AB153&lt;&gt;"",U153&lt;&gt;"",V153&lt;&gt;"",AC153&lt;&gt;"")),"manuell übersteuert; ","")&amp;IF(AND(CA153=0,R153=0),"Gebinde unbekannt / Stellmass fehlt; ","")&amp;IF(AND(CA153=0,N(V153)&lt;=0,N(Q153)&lt;=0),"Menge pro Gebinde fehlt (Ist = 1 Gebinde); ","")&amp;BV153)</f>
        <v>Lift 1 lt. Liftbericht (Fach 4 Stk); </v>
      </c>
      <c r="BO153" s="60"/>
      <c r="BP153" s="60"/>
      <c r="BQ153" s="67"/>
      <c r="BR153" s="62" t="n">
        <v>0</v>
      </c>
      <c r="BS153" s="62" t="n">
        <v>3</v>
      </c>
      <c r="BT153" s="61" t="n">
        <v>1295.4</v>
      </c>
      <c r="BU153" s="62" t="n">
        <v>2</v>
      </c>
      <c r="BV153" s="60"/>
      <c r="BW153" s="65" t="n">
        <v>0</v>
      </c>
      <c r="BX153" s="65" t="n">
        <v>153</v>
      </c>
      <c r="BY153" s="60" t="str">
        <f aca="false">IF(U153&lt;&gt;"",UPPER(TRIM(U153)),IF(CB153=1,UPPER(VLOOKUP(T153,Parameter!$I$27:$K$29,2,0)),IF(P153="","LOSE",P153)))</f>
        <v>LOSE</v>
      </c>
      <c r="BZ153" s="62" t="n">
        <f aca="false">IF(BY153="LOSE",1,IF(N(V153)&gt;0,V153,IF(CB153=1,MAX(1,N(VLOOKUP(T153,Parameter!$I$27:$K$29,3,0)),H153,N(N153)),IF(N(Q153)&gt;0,Q153,MAX(1,H153)))))</f>
        <v>1</v>
      </c>
      <c r="CA153" s="65" t="n">
        <f aca="false">IF(BY153="LOSE",1,0)</f>
        <v>1</v>
      </c>
      <c r="CB153" s="65" t="n">
        <f aca="false">IF(AND(U153="",OR(P153="",P153="LOSE"),T153&lt;&gt;"",N(S153)&lt;=0,ISNUMBER(MATCH(T153,Parameter!$I$27:$I$29,0))),1,0)</f>
        <v>0</v>
      </c>
      <c r="CC153" s="65" t="n">
        <f aca="false">IF(CR153&gt;0,INDEX(Parameter!$H$5:$H$7,W153)/INDEX(Parameter!$E$5:$E$7,W153),IF(AND(CA153=0,N(IFERROR(VLOOKUP(BY153,'Gebinde-Kategorie'!$A$5:$N$45,14,0),0))&gt;0),VLOOKUP(BY153,'Gebinde-Kategorie'!$A$5:$N$45,14,0)*10+Parameter!$M$23,Parameter!$M$24))</f>
        <v>238</v>
      </c>
      <c r="CD153" s="60" t="n">
        <f aca="false">IF(AND(Parameter!$B$19="Ja",E153&lt;&gt;"",ISNUMBER(MATCH(E153,Parameter!$I$35:$I$52,0))),VLOOKUP(E153,Parameter!$I$35:$J$52,2,0),IFERROR(VLOOKUP(D153,Parameter!$A$35:$C$64,2,0),"Nein"))</f>
        <v>1</v>
      </c>
      <c r="CE153" s="64" t="n">
        <f aca="false">IF(CA153=0,0,IF(N(S153)&gt;0,S153,IFERROR(VLOOKUP(D153,Parameter!$A$35:$C$64,3,0)+0,0)))</f>
        <v>0.15</v>
      </c>
      <c r="CF153" s="60" t="n">
        <f aca="false">IF(AB153&lt;&gt;"",AB153,AA153)</f>
        <v>1</v>
      </c>
      <c r="CG153" s="60" t="str">
        <f aca="false">IF(OR(CF153=1,CF153=2,CF153=3),IF(Parameter!$E$27="Ja","LIFT",IF(CF153=1,"L1","L23")),IF(CF153="Aussen","Aussen","-"))</f>
        <v>LIFT</v>
      </c>
      <c r="CH153" s="71" t="n">
        <f aca="false">IF(N(AC153)&gt;0,AC153,0)</f>
        <v>0</v>
      </c>
      <c r="CI153" s="65" t="n">
        <f aca="false">IF(ISNUMBER(AF153),1,0)</f>
        <v>0</v>
      </c>
      <c r="CJ153" s="62" t="n">
        <f aca="false">N(AF153)</f>
        <v>0</v>
      </c>
      <c r="CK153" s="62" t="n">
        <f aca="false">N(M153)+N(N153)</f>
        <v>2</v>
      </c>
      <c r="CL153" s="62" t="n">
        <f aca="false">N(M153)</f>
        <v>1</v>
      </c>
      <c r="CM153" s="62" t="n">
        <f aca="false">N(N153)</f>
        <v>1</v>
      </c>
      <c r="CN153" s="62" t="n">
        <f aca="false">ROUNDUP(H153/BZ153,0)</f>
        <v>2</v>
      </c>
      <c r="CO153" s="62" t="n">
        <f aca="false">ROUNDUP(CJ153/BZ153,0)</f>
        <v>0</v>
      </c>
      <c r="CP153" s="65" t="n">
        <f aca="false">IF(CA153=1,0,IFERROR(VLOOKUP(BY153,'Gebinde-Kategorie'!$A$5:$N$45,5,0)+0,0))</f>
        <v>0</v>
      </c>
      <c r="CQ153" s="65" t="n">
        <f aca="false">IFERROR(IF(OR(CF153=1,CF153=2,CF153=3),N(INDEX(Parameter!$I$5:$I$7,CF153)),0),0)</f>
        <v>0</v>
      </c>
      <c r="CR153" s="64" t="n">
        <f aca="false">IF(AND(Parameter!$B$21="Ja",ISNUMBER(W153),N(X153)&gt;0),IFERROR(N(INDEX(Parameter!$L$5:$L$7,W153))*INDEX(Parameter!$E$5:$E$7,W153)*X153/SUMIFS($X$7:$X$1843,$W$7:$W$1843,W153),0),0)</f>
        <v>0.32015065913371</v>
      </c>
      <c r="CS153" s="62" t="n">
        <f aca="false">IF(AND(OR(CG153="L1",CG153="L23",CG153="LIFT"),H153&gt;0),CC153*IF(CR153&gt;0,CR153*MAX(1,H153/X153),IF(CA153=1,CE153,IF(R153&gt;0,CN153/R153,0))/MAX(0.1,N(Parameter!$M$21))),"")</f>
        <v>76.195856873823</v>
      </c>
      <c r="CT153" s="64" t="n">
        <f aca="false">IF(CS153="","",J153/H153)</f>
        <v>1</v>
      </c>
      <c r="CU153" s="62" t="n">
        <f aca="false">IF(CS153="","",H153*G153)</f>
        <v>5506.94</v>
      </c>
      <c r="CV153" s="63" t="n">
        <f aca="false">IF(CS153="","",(CL153+ROUNDUP(CL153+MAX(CM153,2*(J153/MAX(0.1,N(Einkauf!$C$6))-CL153)),0))/2)</f>
        <v>1.5</v>
      </c>
      <c r="CW153" s="62" t="n">
        <f aca="false">IF(CS153="","",MAX(0,H153-CV153)*G153)</f>
        <v>1376.735</v>
      </c>
      <c r="CX153" s="62" t="n">
        <f aca="false">IF(CS153="","",CS153*MAX(0,1-CV153/H153))</f>
        <v>19.0489642184557</v>
      </c>
      <c r="CY153" s="64" t="n">
        <f aca="false">IF(CS153="","",PERCENTRANK($CS$7:$CS$1843,CS153)+PERCENTRANK($CU$7:$CU$1843,CU153)+1-PERCENTRANK($CT$7:$CT$1843,CT153))</f>
        <v>2.226</v>
      </c>
      <c r="CZ153" s="72" t="n">
        <f aca="false">IF(CS153="","",CHOOSE(MATCH(Einkauf!$C$5,Parameter!$G$23:$G$27,0),CY153,CS153,CU153,-CT153,CW153)+ROW()/1000000000)</f>
        <v>2.226000153</v>
      </c>
    </row>
    <row r="154" customFormat="false" ht="15" hidden="false" customHeight="false" outlineLevel="0" collapsed="false">
      <c r="A154" s="60" t="s">
        <v>557</v>
      </c>
      <c r="B154" s="60" t="s">
        <v>558</v>
      </c>
      <c r="C154" s="60" t="s">
        <v>206</v>
      </c>
      <c r="D154" s="60" t="s">
        <v>215</v>
      </c>
      <c r="E154" s="60"/>
      <c r="F154" s="60" t="s">
        <v>260</v>
      </c>
      <c r="G154" s="61" t="n">
        <v>66.47</v>
      </c>
      <c r="H154" s="62" t="n">
        <f aca="false">MAX(0,IF(AND(Parameter!$B$21="Ja",ISNUMBER(Y154)),Y154,IF(Parameter!$B$20="Jahresanfang 2025 + Export",BS154+BR154,BR154)))</f>
        <v>36</v>
      </c>
      <c r="I154" s="62" t="n">
        <f aca="false">H154*G154</f>
        <v>2392.92</v>
      </c>
      <c r="J154" s="62" t="n">
        <f aca="false">BU154*Parameter!$B$18</f>
        <v>1</v>
      </c>
      <c r="K154" s="63" t="n">
        <v>26.5</v>
      </c>
      <c r="L154" s="64" t="n">
        <v>0.0377358490566038</v>
      </c>
      <c r="M154" s="62" t="n">
        <v>0</v>
      </c>
      <c r="N154" s="62" t="n">
        <v>1</v>
      </c>
      <c r="O154" s="65" t="n">
        <v>56</v>
      </c>
      <c r="P154" s="60" t="s">
        <v>210</v>
      </c>
      <c r="Q154" s="62"/>
      <c r="R154" s="65" t="n">
        <f aca="false">IF(CA154=1,0,IFERROR(VLOOKUP(BY154,'Gebinde-Kategorie'!$A$5:$N$45,13,0)+0,0))</f>
        <v>12</v>
      </c>
      <c r="S154" s="66"/>
      <c r="T154" s="67" t="s">
        <v>221</v>
      </c>
      <c r="U154" s="67"/>
      <c r="V154" s="67"/>
      <c r="W154" s="60"/>
      <c r="X154" s="62"/>
      <c r="Y154" s="62"/>
      <c r="Z154" s="60" t="n">
        <v>3</v>
      </c>
      <c r="AA154" s="60" t="n">
        <f aca="false">IF(A154="","",IF(AND(Parameter!$B$21="Ja",ISNUMBER(W154)),W154,IF(AND(Parameter!$E$27="Ja",ISNUMBER(Z154),CD154&lt;&gt;"Nein"),Z154,IF(CD154="2+3",IF(ISNUMBER(SEARCH("grosser Artikel",BV154)),2,IFERROR(VLOOKUP(BY154,Parameter!$F$35:$G$64,2,0),2)),IF(OR(CD154="Nein",CD154=""),"-",CD154)))))</f>
        <v>3</v>
      </c>
      <c r="AB154" s="67"/>
      <c r="AC154" s="68"/>
      <c r="AD154" s="62" t="n">
        <f aca="false">AW154</f>
        <v>1</v>
      </c>
      <c r="AE154" s="62" t="n">
        <f aca="false">MAX(AW154,H154)</f>
        <v>36</v>
      </c>
      <c r="AF154" s="69"/>
      <c r="AG154" s="62" t="n">
        <f aca="false">IF(LEFT(Cockpit!$C$5,1)="A",H154,IF(Parameter!$E$30="MAX-Bestand",IF(CI154=1,CJ154,IF(LEFT(Cockpit!$C$5,1)="B",AM154,MAX(AM154,H154))),ROUNDUP(AK154,0)))</f>
        <v>36</v>
      </c>
      <c r="AH154" s="62" t="n">
        <f aca="false">IF(CA154=1,0,ROUNDUP(AG154/BZ154,0))</f>
        <v>1</v>
      </c>
      <c r="AI154" s="64" t="n">
        <f aca="false">IF(CR154&gt;0,CR154*MAX(1,AG154/X154),IF(CA154=1,IF(AG154&lt;=0,0,CE154*MAX(1,IF(H154&gt;0,AG154/H154,1))),IF(R154&gt;0,AH154/R154,0))/MAX(0.1,N(Parameter!$M$21)))</f>
        <v>0.0833333333333333</v>
      </c>
      <c r="AJ154" s="62" t="n">
        <f aca="false">AI154*CC154</f>
        <v>12.0833333333333</v>
      </c>
      <c r="AK154" s="63" t="n">
        <f aca="false">IF(LEFT(Cockpit!$C$5,1)="A",H154,IF(CI154=1,(CL154+CJ154)/2,IF(LEFT(Cockpit!$C$5,1)="B",(CL154+AM154)/2,MAX((CL154+AM154)/2,H154))))</f>
        <v>36</v>
      </c>
      <c r="AL154" s="62" t="n">
        <f aca="false">AK154*G154</f>
        <v>2392.92</v>
      </c>
      <c r="AM154" s="62" t="n">
        <f aca="false">ROUNDUP(CL154+MAX(CM154,2*(J154/IF(CH154&gt;0,CH154,MAX(0.1,N(Cockpit!$C$6)))-CL154)),0)</f>
        <v>1</v>
      </c>
      <c r="AN154" s="63" t="n">
        <f aca="false">IF(AJ154&gt;0,J154/AJ154,-1)</f>
        <v>0.0827586206896552</v>
      </c>
      <c r="AO154" s="63" t="n">
        <f aca="false">IF(AND(OR(CG154="L1",CG154="L23",CG154="LIFT"),AJ154&gt;0),SUMIFS($AJ$7:$AJ$1843,$CG$7:$CG$1843,CG154,$AN$7:$AN$1843,"&gt;"&amp;AN154)+SUMIFS($AJ$7:$AJ$1843,$CG$7:$CG$1843,CG154,$AN$7:$AN$1843,AN154,$BX$7:$BX$1843,"&lt;="&amp;BX154),"")</f>
        <v>16689.4407322903</v>
      </c>
      <c r="AP154" s="70" t="n">
        <f aca="false">IF(AO154="",0,MAX(0,MIN(1,(IF(CG154="L1",Parameter!$H$5,IF(CG154="L23",Parameter!$H$6+Parameter!$H$7,Parameter!$H$5+Parameter!$H$6+Parameter!$H$7))-(AO154-AJ154))/AJ154)))</f>
        <v>1</v>
      </c>
      <c r="AQ154" s="62" t="n">
        <f aca="false">IF(LEFT(Cockpit!$I$5,1)="A",H154,IF(Parameter!$E$30="MAX-Bestand",IF(CI154=1,CJ154,IF(LEFT(Cockpit!$I$5,1)="B",AW154,MAX(AW154,H154))),ROUNDUP(AU154,0)))</f>
        <v>36</v>
      </c>
      <c r="AR154" s="62" t="n">
        <f aca="false">IF(CA154=1,0,ROUNDUP(AQ154/BZ154,0))</f>
        <v>1</v>
      </c>
      <c r="AS154" s="64" t="n">
        <f aca="false">IF(CR154&gt;0,CR154*MAX(1,AQ154/X154),IF(CA154=1,IF(AQ154&lt;=0,0,CE154*MAX(1,IF(H154&gt;0,AQ154/H154,1))),IF(R154&gt;0,AR154/R154,0))/MAX(0.1,N(Parameter!$M$21)))</f>
        <v>0.0833333333333333</v>
      </c>
      <c r="AT154" s="62" t="n">
        <f aca="false">AS154*CC154</f>
        <v>12.0833333333333</v>
      </c>
      <c r="AU154" s="63" t="n">
        <f aca="false">IF(LEFT(Cockpit!$I$5,1)="A",H154,IF(CI154=1,(CL154+CJ154)/2,IF(LEFT(Cockpit!$I$5,1)="B",(CL154+AW154)/2,MAX((CL154+AW154)/2,H154))))</f>
        <v>36</v>
      </c>
      <c r="AV154" s="62" t="n">
        <f aca="false">AU154*G154</f>
        <v>2392.92</v>
      </c>
      <c r="AW154" s="62" t="n">
        <f aca="false">ROUNDUP(CL154+MAX(CM154,2*(J154/IF(CH154&gt;0,CH154,MAX(0.1,N(Cockpit!$I$6)))-CL154)),0)</f>
        <v>1</v>
      </c>
      <c r="AX154" s="63" t="n">
        <f aca="false">IF(AT154&gt;0,J154/AT154,-1)</f>
        <v>0.0827586206896552</v>
      </c>
      <c r="AY154" s="63" t="n">
        <f aca="false">IF(AND(OR(CG154="L1",CG154="L23",CG154="LIFT"),AT154&gt;0),SUMIFS($AT$7:$AT$1843,$CG$7:$CG$1843,CG154,$AX$7:$AX$1843,"&gt;"&amp;AX154)+SUMIFS($AT$7:$AT$1843,$CG$7:$CG$1843,CG154,$AX$7:$AX$1843,AX154,$BX$7:$BX$1843,"&lt;="&amp;BX154),"")</f>
        <v>21712.5893736678</v>
      </c>
      <c r="AZ154" s="70" t="n">
        <f aca="false">IF(AY154="",0,MAX(0,MIN(1,(IF(CG154="L1",Parameter!$H$5,IF(CG154="L23",Parameter!$H$6+Parameter!$H$7,Parameter!$H$5+Parameter!$H$6+Parameter!$H$7))-(AY154-AT154))/AT154)))</f>
        <v>1</v>
      </c>
      <c r="BA154" s="62" t="n">
        <f aca="false">IF(LEFT(Cockpit!$O$5,1)="A",H154,IF(Parameter!$E$30="MAX-Bestand",IF(CI154=1,CJ154,IF(LEFT(Cockpit!$O$5,1)="B",BG154,MAX(BG154,H154))),ROUNDUP(BE154,0)))</f>
        <v>1</v>
      </c>
      <c r="BB154" s="62" t="n">
        <f aca="false">IF(CA154=1,0,ROUNDUP(BA154/BZ154,0))</f>
        <v>1</v>
      </c>
      <c r="BC154" s="64" t="n">
        <f aca="false">IF(CR154&gt;0,CR154*MAX(1,BA154/X154),IF(CA154=1,IF(BA154&lt;=0,0,CE154*MAX(1,IF(H154&gt;0,BA154/H154,1))),IF(R154&gt;0,BB154/R154,0))/MAX(0.1,N(Parameter!$M$21)))</f>
        <v>0.0833333333333333</v>
      </c>
      <c r="BD154" s="62" t="n">
        <f aca="false">BC154*CC154</f>
        <v>12.0833333333333</v>
      </c>
      <c r="BE154" s="63" t="n">
        <f aca="false">IF(LEFT(Cockpit!$O$5,1)="A",H154,IF(CI154=1,(CL154+CJ154)/2,IF(LEFT(Cockpit!$O$5,1)="B",(CL154+BG154)/2,MAX((CL154+BG154)/2,H154))))</f>
        <v>0.5</v>
      </c>
      <c r="BF154" s="62" t="n">
        <f aca="false">BE154*G154</f>
        <v>33.235</v>
      </c>
      <c r="BG154" s="62" t="n">
        <f aca="false">ROUNDUP(CL154+MAX(CM154,2*(J154/IF(CH154&gt;0,CH154,MAX(0.1,N(Cockpit!$O$6)))-CL154)),0)</f>
        <v>1</v>
      </c>
      <c r="BH154" s="63" t="n">
        <f aca="false">IF(BD154&gt;0,J154/BD154,-1)</f>
        <v>0.0827586206896552</v>
      </c>
      <c r="BI154" s="63" t="n">
        <f aca="false">IF(AND(OR(CG154="L1",CG154="L23",CG154="LIFT"),BD154&gt;0),SUMIFS($BD$7:$BD$1843,$CG$7:$CG$1843,CG154,$BH$7:$BH$1843,"&gt;"&amp;BH154)+SUMIFS($BD$7:$BD$1843,$CG$7:$CG$1843,CG154,$BH$7:$BH$1843,BH154,$BX$7:$BX$1843,"&lt;="&amp;BX154),"")</f>
        <v>18262.7289092734</v>
      </c>
      <c r="BJ154" s="70" t="n">
        <f aca="false">IF(BI154="",0,MAX(0,MIN(1,(IF(CG154="L1",Parameter!$H$5,IF(CG154="L23",Parameter!$H$6+Parameter!$H$7,Parameter!$H$5+Parameter!$H$6+Parameter!$H$7))-(BI154-BD154))/BD154)))</f>
        <v>1</v>
      </c>
      <c r="BK154" s="60" t="str">
        <f aca="false">IF(AJ154&lt;=0,"",IF(CG154="Aussen","Aussenlager",IF(CG154="-","Nicht im Lift",IF(AP154&gt;=1,"Lift",IF(AP154&lt;=0,"Aussenlager","teilweise")))))</f>
        <v>Lift</v>
      </c>
      <c r="BL154" s="60" t="str">
        <f aca="false">IF(AT154&lt;=0,"",IF(CG154="Aussen","Aussenlager",IF(CG154="-","Nicht im Lift",IF(AZ154&gt;=1,"Lift",IF(AZ154&lt;=0,"Aussenlager","teilweise")))))</f>
        <v>Lift</v>
      </c>
      <c r="BM154" s="60" t="str">
        <f aca="false">IF(BD154&lt;=0,"",IF(CG154="Aussen","Aussenlager",IF(CG154="-","Nicht im Lift",IF(BJ154&gt;=1,"Lift",IF(BJ154&lt;=0,"Aussenlager","teilweise")))))</f>
        <v>Lift</v>
      </c>
      <c r="BN154" s="60" t="str">
        <f aca="false">IF(A154="","",IF(BW154=1,"Neu; ","")&amp;IF(AND(BW154=0,BR154&lt;0),"negativer Bestand (Export "&amp;BR154&amp;"); ","")&amp;IF(J154&lt;=0,"Kein Verbrauch; ","")&amp;IF(CR154&gt;0,"Lift "&amp;W154&amp;" lt. Liftbericht (Fach "&amp;X154&amp;" Stk); ",IF(CB154=1,"Gebinde geschätzt ("&amp;T154&amp;"); ",IF(CA154=1,"Lose – Tablare geschätzt; ","")))&amp;IF(H154&gt;AW154,"Überbestand "&amp;ROUND(H154-AW154,0)&amp;" Stk / CHF "&amp;ROUND((H154-AW154)*G154,0)&amp;"; ","")&amp;IF(AND(CI154=1,CJ154&lt;CK154),"MAX &lt; MB+LG; ","")&amp;IF(AND(CQ154&gt;0,CP154*10&gt;CQ154),"zu hoch für Tablar; ","")&amp;IF(AND(BW154=0,OR(CI154=1,AB154&lt;&gt;"",U154&lt;&gt;"",V154&lt;&gt;"",AC154&lt;&gt;"")),"manuell übersteuert; ","")&amp;IF(AND(CA154=0,R154=0),"Gebinde unbekannt / Stellmass fehlt; ","")&amp;IF(AND(CA154=0,N(V154)&lt;=0,N(Q154)&lt;=0),"Menge pro Gebinde fehlt (Ist = 1 Gebinde); ","")&amp;BV154)</f>
        <v>Gebinde geschätzt (Mittel); Überbestand 35 Stk / CHF 2326; Menge pro Gebinde fehlt (Ist = 1 Gebinde); </v>
      </c>
      <c r="BO154" s="60"/>
      <c r="BP154" s="60"/>
      <c r="BQ154" s="67"/>
      <c r="BR154" s="62" t="n">
        <v>19</v>
      </c>
      <c r="BS154" s="62" t="n">
        <v>17</v>
      </c>
      <c r="BT154" s="61" t="n">
        <v>1283.5</v>
      </c>
      <c r="BU154" s="62" t="n">
        <v>1</v>
      </c>
      <c r="BV154" s="60"/>
      <c r="BW154" s="65" t="n">
        <v>0</v>
      </c>
      <c r="BX154" s="65" t="n">
        <v>154</v>
      </c>
      <c r="BY154" s="60" t="str">
        <f aca="false">IF(U154&lt;&gt;"",UPPER(TRIM(U154)),IF(CB154=1,UPPER(VLOOKUP(T154,Parameter!$I$27:$K$29,2,0)),IF(P154="","LOSE",P154)))</f>
        <v>S61</v>
      </c>
      <c r="BZ154" s="62" t="n">
        <f aca="false">IF(BY154="LOSE",1,IF(N(V154)&gt;0,V154,IF(CB154=1,MAX(1,N(VLOOKUP(T154,Parameter!$I$27:$K$29,3,0)),H154,N(N154)),IF(N(Q154)&gt;0,Q154,MAX(1,H154)))))</f>
        <v>36</v>
      </c>
      <c r="CA154" s="65" t="n">
        <f aca="false">IF(BY154="LOSE",1,0)</f>
        <v>0</v>
      </c>
      <c r="CB154" s="65" t="n">
        <f aca="false">IF(AND(U154="",OR(P154="",P154="LOSE"),T154&lt;&gt;"",N(S154)&lt;=0,ISNUMBER(MATCH(T154,Parameter!$I$27:$I$29,0))),1,0)</f>
        <v>1</v>
      </c>
      <c r="CC154" s="65" t="n">
        <f aca="false">IF(CR154&gt;0,INDEX(Parameter!$H$5:$H$7,W154)/INDEX(Parameter!$E$5:$E$7,W154),IF(AND(CA154=0,N(IFERROR(VLOOKUP(BY154,'Gebinde-Kategorie'!$A$5:$N$45,14,0),0))&gt;0),VLOOKUP(BY154,'Gebinde-Kategorie'!$A$5:$N$45,14,0)*10+Parameter!$M$23,Parameter!$M$24))</f>
        <v>145</v>
      </c>
      <c r="CD154" s="60" t="str">
        <f aca="false">IF(AND(Parameter!$B$19="Ja",E154&lt;&gt;"",ISNUMBER(MATCH(E154,Parameter!$I$35:$I$52,0))),VLOOKUP(E154,Parameter!$I$35:$J$52,2,0),IFERROR(VLOOKUP(D154,Parameter!$A$35:$C$64,2,0),"Nein"))</f>
        <v>2+3</v>
      </c>
      <c r="CE154" s="64" t="n">
        <f aca="false">IF(CA154=0,0,IF(N(S154)&gt;0,S154,IFERROR(VLOOKUP(D154,Parameter!$A$35:$C$64,3,0)+0,0)))</f>
        <v>0</v>
      </c>
      <c r="CF154" s="60" t="n">
        <f aca="false">IF(AB154&lt;&gt;"",AB154,AA154)</f>
        <v>3</v>
      </c>
      <c r="CG154" s="60" t="str">
        <f aca="false">IF(OR(CF154=1,CF154=2,CF154=3),IF(Parameter!$E$27="Ja","LIFT",IF(CF154=1,"L1","L23")),IF(CF154="Aussen","Aussen","-"))</f>
        <v>LIFT</v>
      </c>
      <c r="CH154" s="71" t="n">
        <f aca="false">IF(N(AC154)&gt;0,AC154,0)</f>
        <v>0</v>
      </c>
      <c r="CI154" s="65" t="n">
        <f aca="false">IF(ISNUMBER(AF154),1,0)</f>
        <v>0</v>
      </c>
      <c r="CJ154" s="62" t="n">
        <f aca="false">N(AF154)</f>
        <v>0</v>
      </c>
      <c r="CK154" s="62" t="n">
        <f aca="false">N(M154)+N(N154)</f>
        <v>1</v>
      </c>
      <c r="CL154" s="62" t="n">
        <f aca="false">N(M154)</f>
        <v>0</v>
      </c>
      <c r="CM154" s="62" t="n">
        <f aca="false">N(N154)</f>
        <v>1</v>
      </c>
      <c r="CN154" s="62" t="n">
        <f aca="false">ROUNDUP(H154/BZ154,0)</f>
        <v>1</v>
      </c>
      <c r="CO154" s="62" t="n">
        <f aca="false">ROUNDUP(CJ154/BZ154,0)</f>
        <v>0</v>
      </c>
      <c r="CP154" s="65" t="n">
        <f aca="false">IF(CA154=1,0,IFERROR(VLOOKUP(BY154,'Gebinde-Kategorie'!$A$5:$N$45,5,0)+0,0))</f>
        <v>11</v>
      </c>
      <c r="CQ154" s="65" t="n">
        <f aca="false">IFERROR(IF(OR(CF154=1,CF154=2,CF154=3),N(INDEX(Parameter!$I$5:$I$7,CF154)),0),0)</f>
        <v>0</v>
      </c>
      <c r="CR154" s="64" t="n">
        <f aca="false">IF(AND(Parameter!$B$21="Ja",ISNUMBER(W154),N(X154)&gt;0),IFERROR(N(INDEX(Parameter!$L$5:$L$7,W154))*INDEX(Parameter!$E$5:$E$7,W154)*X154/SUMIFS($X$7:$X$1843,$W$7:$W$1843,W154),0),0)</f>
        <v>0</v>
      </c>
      <c r="CS154" s="62" t="n">
        <f aca="false">IF(AND(OR(CG154="L1",CG154="L23",CG154="LIFT"),H154&gt;0),CC154*IF(CR154&gt;0,CR154*MAX(1,H154/X154),IF(CA154=1,CE154,IF(R154&gt;0,CN154/R154,0))/MAX(0.1,N(Parameter!$M$21))),"")</f>
        <v>12.0833333333333</v>
      </c>
      <c r="CT154" s="64" t="n">
        <f aca="false">IF(CS154="","",J154/H154)</f>
        <v>0.0277777777777778</v>
      </c>
      <c r="CU154" s="62" t="n">
        <f aca="false">IF(CS154="","",H154*G154)</f>
        <v>2392.92</v>
      </c>
      <c r="CV154" s="63" t="n">
        <f aca="false">IF(CS154="","",(CL154+ROUNDUP(CL154+MAX(CM154,2*(J154/MAX(0.1,N(Einkauf!$C$6))-CL154)),0))/2)</f>
        <v>0.5</v>
      </c>
      <c r="CW154" s="62" t="n">
        <f aca="false">IF(CS154="","",MAX(0,H154-CV154)*G154)</f>
        <v>2359.685</v>
      </c>
      <c r="CX154" s="62" t="n">
        <f aca="false">IF(CS154="","",CS154*MAX(0,1-CV154/H154))</f>
        <v>11.9155092592593</v>
      </c>
      <c r="CY154" s="64" t="n">
        <f aca="false">IF(CS154="","",PERCENTRANK($CS$7:$CS$1843,CS154)+PERCENTRANK($CU$7:$CU$1843,CU154)+1-PERCENTRANK($CT$7:$CT$1843,CT154))</f>
        <v>2.068</v>
      </c>
      <c r="CZ154" s="72" t="n">
        <f aca="false">IF(CS154="","",CHOOSE(MATCH(Einkauf!$C$5,Parameter!$G$23:$G$27,0),CY154,CS154,CU154,-CT154,CW154)+ROW()/1000000000)</f>
        <v>2.068000154</v>
      </c>
    </row>
    <row r="155" customFormat="false" ht="15" hidden="false" customHeight="false" outlineLevel="0" collapsed="false">
      <c r="A155" s="60" t="s">
        <v>559</v>
      </c>
      <c r="B155" s="60" t="s">
        <v>560</v>
      </c>
      <c r="C155" s="60" t="s">
        <v>206</v>
      </c>
      <c r="D155" s="60" t="s">
        <v>215</v>
      </c>
      <c r="E155" s="60" t="s">
        <v>227</v>
      </c>
      <c r="F155" s="60" t="s">
        <v>260</v>
      </c>
      <c r="G155" s="61" t="n">
        <v>57.07</v>
      </c>
      <c r="H155" s="62" t="n">
        <f aca="false">MAX(0,IF(AND(Parameter!$B$21="Ja",ISNUMBER(Y155)),Y155,IF(Parameter!$B$20="Jahresanfang 2025 + Export",BS155+BR155,BR155)))</f>
        <v>124</v>
      </c>
      <c r="I155" s="62" t="n">
        <f aca="false">H155*G155</f>
        <v>7076.68</v>
      </c>
      <c r="J155" s="62" t="n">
        <f aca="false">BU155*Parameter!$B$18</f>
        <v>388</v>
      </c>
      <c r="K155" s="63" t="n">
        <v>163.5</v>
      </c>
      <c r="L155" s="64" t="n">
        <v>2.37308868501529</v>
      </c>
      <c r="M155" s="62" t="n">
        <v>80</v>
      </c>
      <c r="N155" s="62" t="n">
        <v>135</v>
      </c>
      <c r="O155" s="65" t="n">
        <v>70</v>
      </c>
      <c r="P155" s="60" t="s">
        <v>216</v>
      </c>
      <c r="Q155" s="62" t="n">
        <v>150</v>
      </c>
      <c r="R155" s="65" t="n">
        <f aca="false">IF(CA155=1,0,IFERROR(VLOOKUP(BY155,'Gebinde-Kategorie'!$A$5:$N$45,13,0)+0,0))</f>
        <v>6</v>
      </c>
      <c r="S155" s="66"/>
      <c r="T155" s="67"/>
      <c r="U155" s="67"/>
      <c r="V155" s="67"/>
      <c r="W155" s="60"/>
      <c r="X155" s="62"/>
      <c r="Y155" s="62"/>
      <c r="Z155" s="60" t="n">
        <v>2</v>
      </c>
      <c r="AA155" s="60" t="n">
        <f aca="false">IF(A155="","",IF(AND(Parameter!$B$21="Ja",ISNUMBER(W155)),W155,IF(AND(Parameter!$E$27="Ja",ISNUMBER(Z155),CD155&lt;&gt;"Nein"),Z155,IF(CD155="2+3",IF(ISNUMBER(SEARCH("grosser Artikel",BV155)),2,IFERROR(VLOOKUP(BY155,Parameter!$F$35:$G$64,2,0),2)),IF(OR(CD155="Nein",CD155=""),"-",CD155)))))</f>
        <v>2</v>
      </c>
      <c r="AB155" s="67"/>
      <c r="AC155" s="68"/>
      <c r="AD155" s="62" t="n">
        <f aca="false">AW155</f>
        <v>215</v>
      </c>
      <c r="AE155" s="62" t="n">
        <f aca="false">MAX(AW155,H155)</f>
        <v>215</v>
      </c>
      <c r="AF155" s="69"/>
      <c r="AG155" s="62" t="n">
        <f aca="false">IF(LEFT(Cockpit!$C$5,1)="A",H155,IF(Parameter!$E$30="MAX-Bestand",IF(CI155=1,CJ155,IF(LEFT(Cockpit!$C$5,1)="B",AM155,MAX(AM155,H155))),ROUNDUP(AK155,0)))</f>
        <v>124</v>
      </c>
      <c r="AH155" s="62" t="n">
        <f aca="false">IF(CA155=1,0,ROUNDUP(AG155/BZ155,0))</f>
        <v>1</v>
      </c>
      <c r="AI155" s="64" t="n">
        <f aca="false">IF(CR155&gt;0,CR155*MAX(1,AG155/X155),IF(CA155=1,IF(AG155&lt;=0,0,CE155*MAX(1,IF(H155&gt;0,AG155/H155,1))),IF(R155&gt;0,AH155/R155,0))/MAX(0.1,N(Parameter!$M$21)))</f>
        <v>0.166666666666667</v>
      </c>
      <c r="AJ155" s="62" t="n">
        <f aca="false">AI155*CC155</f>
        <v>39.1666666666667</v>
      </c>
      <c r="AK155" s="63" t="n">
        <f aca="false">IF(LEFT(Cockpit!$C$5,1)="A",H155,IF(CI155=1,(CL155+CJ155)/2,IF(LEFT(Cockpit!$C$5,1)="B",(CL155+AM155)/2,MAX((CL155+AM155)/2,H155))))</f>
        <v>124</v>
      </c>
      <c r="AL155" s="62" t="n">
        <f aca="false">AK155*G155</f>
        <v>7076.68</v>
      </c>
      <c r="AM155" s="62" t="n">
        <f aca="false">ROUNDUP(CL155+MAX(CM155,2*(J155/IF(CH155&gt;0,CH155,MAX(0.1,N(Cockpit!$C$6)))-CL155)),0)</f>
        <v>215</v>
      </c>
      <c r="AN155" s="63" t="n">
        <f aca="false">IF(AJ155&gt;0,J155/AJ155,-1)</f>
        <v>9.90638297872341</v>
      </c>
      <c r="AO155" s="63" t="n">
        <f aca="false">IF(AND(OR(CG155="L1",CG155="L23",CG155="LIFT"),AJ155&gt;0),SUMIFS($AJ$7:$AJ$1843,$CG$7:$CG$1843,CG155,$AN$7:$AN$1843,"&gt;"&amp;AN155)+SUMIFS($AJ$7:$AJ$1843,$CG$7:$CG$1843,CG155,$AN$7:$AN$1843,AN155,$BX$7:$BX$1843,"&lt;="&amp;BX155),"")</f>
        <v>2642.40613553114</v>
      </c>
      <c r="AP155" s="70" t="n">
        <f aca="false">IF(AO155="",0,MAX(0,MIN(1,(IF(CG155="L1",Parameter!$H$5,IF(CG155="L23",Parameter!$H$6+Parameter!$H$7,Parameter!$H$5+Parameter!$H$6+Parameter!$H$7))-(AO155-AJ155))/AJ155)))</f>
        <v>1</v>
      </c>
      <c r="AQ155" s="62" t="n">
        <f aca="false">IF(LEFT(Cockpit!$I$5,1)="A",H155,IF(Parameter!$E$30="MAX-Bestand",IF(CI155=1,CJ155,IF(LEFT(Cockpit!$I$5,1)="B",AW155,MAX(AW155,H155))),ROUNDUP(AU155,0)))</f>
        <v>148</v>
      </c>
      <c r="AR155" s="62" t="n">
        <f aca="false">IF(CA155=1,0,ROUNDUP(AQ155/BZ155,0))</f>
        <v>1</v>
      </c>
      <c r="AS155" s="64" t="n">
        <f aca="false">IF(CR155&gt;0,CR155*MAX(1,AQ155/X155),IF(CA155=1,IF(AQ155&lt;=0,0,CE155*MAX(1,IF(H155&gt;0,AQ155/H155,1))),IF(R155&gt;0,AR155/R155,0))/MAX(0.1,N(Parameter!$M$21)))</f>
        <v>0.166666666666667</v>
      </c>
      <c r="AT155" s="62" t="n">
        <f aca="false">AS155*CC155</f>
        <v>39.1666666666667</v>
      </c>
      <c r="AU155" s="63" t="n">
        <f aca="false">IF(LEFT(Cockpit!$I$5,1)="A",H155,IF(CI155=1,(CL155+CJ155)/2,IF(LEFT(Cockpit!$I$5,1)="B",(CL155+AW155)/2,MAX((CL155+AW155)/2,H155))))</f>
        <v>147.5</v>
      </c>
      <c r="AV155" s="62" t="n">
        <f aca="false">AU155*G155</f>
        <v>8417.825</v>
      </c>
      <c r="AW155" s="62" t="n">
        <f aca="false">ROUNDUP(CL155+MAX(CM155,2*(J155/IF(CH155&gt;0,CH155,MAX(0.1,N(Cockpit!$I$6)))-CL155)),0)</f>
        <v>215</v>
      </c>
      <c r="AX155" s="63" t="n">
        <f aca="false">IF(AT155&gt;0,J155/AT155,-1)</f>
        <v>9.90638297872341</v>
      </c>
      <c r="AY155" s="63" t="n">
        <f aca="false">IF(AND(OR(CG155="L1",CG155="L23",CG155="LIFT"),AT155&gt;0),SUMIFS($AT$7:$AT$1843,$CG$7:$CG$1843,CG155,$AX$7:$AX$1843,"&gt;"&amp;AX155)+SUMIFS($AT$7:$AT$1843,$CG$7:$CG$1843,CG155,$AX$7:$AX$1843,AX155,$BX$7:$BX$1843,"&lt;="&amp;BX155),"")</f>
        <v>3238.54807692308</v>
      </c>
      <c r="AZ155" s="70" t="n">
        <f aca="false">IF(AY155="",0,MAX(0,MIN(1,(IF(CG155="L1",Parameter!$H$5,IF(CG155="L23",Parameter!$H$6+Parameter!$H$7,Parameter!$H$5+Parameter!$H$6+Parameter!$H$7))-(AY155-AT155))/AT155)))</f>
        <v>1</v>
      </c>
      <c r="BA155" s="62" t="n">
        <f aca="false">IF(LEFT(Cockpit!$O$5,1)="A",H155,IF(Parameter!$E$30="MAX-Bestand",IF(CI155=1,CJ155,IF(LEFT(Cockpit!$O$5,1)="B",BG155,MAX(BG155,H155))),ROUNDUP(BE155,0)))</f>
        <v>148</v>
      </c>
      <c r="BB155" s="62" t="n">
        <f aca="false">IF(CA155=1,0,ROUNDUP(BA155/BZ155,0))</f>
        <v>1</v>
      </c>
      <c r="BC155" s="64" t="n">
        <f aca="false">IF(CR155&gt;0,CR155*MAX(1,BA155/X155),IF(CA155=1,IF(BA155&lt;=0,0,CE155*MAX(1,IF(H155&gt;0,BA155/H155,1))),IF(R155&gt;0,BB155/R155,0))/MAX(0.1,N(Parameter!$M$21)))</f>
        <v>0.166666666666667</v>
      </c>
      <c r="BD155" s="62" t="n">
        <f aca="false">BC155*CC155</f>
        <v>39.1666666666667</v>
      </c>
      <c r="BE155" s="63" t="n">
        <f aca="false">IF(LEFT(Cockpit!$O$5,1)="A",H155,IF(CI155=1,(CL155+CJ155)/2,IF(LEFT(Cockpit!$O$5,1)="B",(CL155+BG155)/2,MAX((CL155+BG155)/2,H155))))</f>
        <v>147.5</v>
      </c>
      <c r="BF155" s="62" t="n">
        <f aca="false">BE155*G155</f>
        <v>8417.825</v>
      </c>
      <c r="BG155" s="62" t="n">
        <f aca="false">ROUNDUP(CL155+MAX(CM155,2*(J155/IF(CH155&gt;0,CH155,MAX(0.1,N(Cockpit!$O$6)))-CL155)),0)</f>
        <v>215</v>
      </c>
      <c r="BH155" s="63" t="n">
        <f aca="false">IF(BD155&gt;0,J155/BD155,-1)</f>
        <v>9.90638297872341</v>
      </c>
      <c r="BI155" s="63" t="n">
        <f aca="false">IF(AND(OR(CG155="L1",CG155="L23",CG155="LIFT"),BD155&gt;0),SUMIFS($BD$7:$BD$1843,$CG$7:$CG$1843,CG155,$BH$7:$BH$1843,"&gt;"&amp;BH155)+SUMIFS($BD$7:$BD$1843,$CG$7:$CG$1843,CG155,$BH$7:$BH$1843,BH155,$BX$7:$BX$1843,"&lt;="&amp;BX155),"")</f>
        <v>2711.73397435897</v>
      </c>
      <c r="BJ155" s="70" t="n">
        <f aca="false">IF(BI155="",0,MAX(0,MIN(1,(IF(CG155="L1",Parameter!$H$5,IF(CG155="L23",Parameter!$H$6+Parameter!$H$7,Parameter!$H$5+Parameter!$H$6+Parameter!$H$7))-(BI155-BD155))/BD155)))</f>
        <v>1</v>
      </c>
      <c r="BK155" s="60" t="str">
        <f aca="false">IF(AJ155&lt;=0,"",IF(CG155="Aussen","Aussenlager",IF(CG155="-","Nicht im Lift",IF(AP155&gt;=1,"Lift",IF(AP155&lt;=0,"Aussenlager","teilweise")))))</f>
        <v>Lift</v>
      </c>
      <c r="BL155" s="60" t="str">
        <f aca="false">IF(AT155&lt;=0,"",IF(CG155="Aussen","Aussenlager",IF(CG155="-","Nicht im Lift",IF(AZ155&gt;=1,"Lift",IF(AZ155&lt;=0,"Aussenlager","teilweise")))))</f>
        <v>Lift</v>
      </c>
      <c r="BM155" s="60" t="str">
        <f aca="false">IF(BD155&lt;=0,"",IF(CG155="Aussen","Aussenlager",IF(CG155="-","Nicht im Lift",IF(BJ155&gt;=1,"Lift",IF(BJ155&lt;=0,"Aussenlager","teilweise")))))</f>
        <v>Lift</v>
      </c>
      <c r="BN155" s="60" t="str">
        <f aca="false">IF(A155="","",IF(BW155=1,"Neu; ","")&amp;IF(AND(BW155=0,BR155&lt;0),"negativer Bestand (Export "&amp;BR155&amp;"); ","")&amp;IF(J155&lt;=0,"Kein Verbrauch; ","")&amp;IF(CR155&gt;0,"Lift "&amp;W155&amp;" lt. Liftbericht (Fach "&amp;X155&amp;" Stk); ",IF(CB155=1,"Gebinde geschätzt ("&amp;T155&amp;"); ",IF(CA155=1,"Lose – Tablare geschätzt; ","")))&amp;IF(H155&gt;AW155,"Überbestand "&amp;ROUND(H155-AW155,0)&amp;" Stk / CHF "&amp;ROUND((H155-AW155)*G155,0)&amp;"; ","")&amp;IF(AND(CI155=1,CJ155&lt;CK155),"MAX &lt; MB+LG; ","")&amp;IF(AND(CQ155&gt;0,CP155*10&gt;CQ155),"zu hoch für Tablar; ","")&amp;IF(AND(BW155=0,OR(CI155=1,AB155&lt;&gt;"",U155&lt;&gt;"",V155&lt;&gt;"",AC155&lt;&gt;"")),"manuell übersteuert; ","")&amp;IF(AND(CA155=0,R155=0),"Gebinde unbekannt / Stellmass fehlt; ","")&amp;IF(AND(CA155=0,N(V155)&lt;=0,N(Q155)&lt;=0),"Menge pro Gebinde fehlt (Ist = 1 Gebinde); ","")&amp;BV155)</f>
        <v>grosser Artikel &amp; nicht im KTL</v>
      </c>
      <c r="BO155" s="60"/>
      <c r="BP155" s="60"/>
      <c r="BQ155" s="67"/>
      <c r="BR155" s="62" t="n">
        <v>27</v>
      </c>
      <c r="BS155" s="62" t="n">
        <v>97</v>
      </c>
      <c r="BT155" s="61" t="n">
        <v>1272.2</v>
      </c>
      <c r="BU155" s="62" t="n">
        <v>388</v>
      </c>
      <c r="BV155" s="60" t="s">
        <v>303</v>
      </c>
      <c r="BW155" s="65" t="n">
        <v>0</v>
      </c>
      <c r="BX155" s="65" t="n">
        <v>155</v>
      </c>
      <c r="BY155" s="60" t="str">
        <f aca="false">IF(U155&lt;&gt;"",UPPER(TRIM(U155)),IF(CB155=1,UPPER(VLOOKUP(T155,Parameter!$I$27:$K$29,2,0)),IF(P155="","LOSE",P155)))</f>
        <v>S71</v>
      </c>
      <c r="BZ155" s="62" t="n">
        <f aca="false">IF(BY155="LOSE",1,IF(N(V155)&gt;0,V155,IF(CB155=1,MAX(1,N(VLOOKUP(T155,Parameter!$I$27:$K$29,3,0)),H155,N(N155)),IF(N(Q155)&gt;0,Q155,MAX(1,H155)))))</f>
        <v>150</v>
      </c>
      <c r="CA155" s="65" t="n">
        <f aca="false">IF(BY155="LOSE",1,0)</f>
        <v>0</v>
      </c>
      <c r="CB155" s="65" t="n">
        <f aca="false">IF(AND(U155="",OR(P155="",P155="LOSE"),T155&lt;&gt;"",N(S155)&lt;=0,ISNUMBER(MATCH(T155,Parameter!$I$27:$I$29,0))),1,0)</f>
        <v>0</v>
      </c>
      <c r="CC155" s="65" t="n">
        <f aca="false">IF(CR155&gt;0,INDEX(Parameter!$H$5:$H$7,W155)/INDEX(Parameter!$E$5:$E$7,W155),IF(AND(CA155=0,N(IFERROR(VLOOKUP(BY155,'Gebinde-Kategorie'!$A$5:$N$45,14,0),0))&gt;0),VLOOKUP(BY155,'Gebinde-Kategorie'!$A$5:$N$45,14,0)*10+Parameter!$M$23,Parameter!$M$24))</f>
        <v>235</v>
      </c>
      <c r="CD155" s="60" t="str">
        <f aca="false">IF(AND(Parameter!$B$19="Ja",E155&lt;&gt;"",ISNUMBER(MATCH(E155,Parameter!$I$35:$I$52,0))),VLOOKUP(E155,Parameter!$I$35:$J$52,2,0),IFERROR(VLOOKUP(D155,Parameter!$A$35:$C$64,2,0),"Nein"))</f>
        <v>2+3</v>
      </c>
      <c r="CE155" s="64" t="n">
        <f aca="false">IF(CA155=0,0,IF(N(S155)&gt;0,S155,IFERROR(VLOOKUP(D155,Parameter!$A$35:$C$64,3,0)+0,0)))</f>
        <v>0</v>
      </c>
      <c r="CF155" s="60" t="n">
        <f aca="false">IF(AB155&lt;&gt;"",AB155,AA155)</f>
        <v>2</v>
      </c>
      <c r="CG155" s="60" t="str">
        <f aca="false">IF(OR(CF155=1,CF155=2,CF155=3),IF(Parameter!$E$27="Ja","LIFT",IF(CF155=1,"L1","L23")),IF(CF155="Aussen","Aussen","-"))</f>
        <v>LIFT</v>
      </c>
      <c r="CH155" s="71" t="n">
        <f aca="false">IF(N(AC155)&gt;0,AC155,0)</f>
        <v>0</v>
      </c>
      <c r="CI155" s="65" t="n">
        <f aca="false">IF(ISNUMBER(AF155),1,0)</f>
        <v>0</v>
      </c>
      <c r="CJ155" s="62" t="n">
        <f aca="false">N(AF155)</f>
        <v>0</v>
      </c>
      <c r="CK155" s="62" t="n">
        <f aca="false">N(M155)+N(N155)</f>
        <v>215</v>
      </c>
      <c r="CL155" s="62" t="n">
        <f aca="false">N(M155)</f>
        <v>80</v>
      </c>
      <c r="CM155" s="62" t="n">
        <f aca="false">N(N155)</f>
        <v>135</v>
      </c>
      <c r="CN155" s="62" t="n">
        <f aca="false">ROUNDUP(H155/BZ155,0)</f>
        <v>1</v>
      </c>
      <c r="CO155" s="62" t="n">
        <f aca="false">ROUNDUP(CJ155/BZ155,0)</f>
        <v>0</v>
      </c>
      <c r="CP155" s="65" t="n">
        <f aca="false">IF(CA155=1,0,IFERROR(VLOOKUP(BY155,'Gebinde-Kategorie'!$A$5:$N$45,5,0)+0,0))</f>
        <v>20</v>
      </c>
      <c r="CQ155" s="65" t="n">
        <f aca="false">IFERROR(IF(OR(CF155=1,CF155=2,CF155=3),N(INDEX(Parameter!$I$5:$I$7,CF155)),0),0)</f>
        <v>0</v>
      </c>
      <c r="CR155" s="64" t="n">
        <f aca="false">IF(AND(Parameter!$B$21="Ja",ISNUMBER(W155),N(X155)&gt;0),IFERROR(N(INDEX(Parameter!$L$5:$L$7,W155))*INDEX(Parameter!$E$5:$E$7,W155)*X155/SUMIFS($X$7:$X$1843,$W$7:$W$1843,W155),0),0)</f>
        <v>0</v>
      </c>
      <c r="CS155" s="62" t="n">
        <f aca="false">IF(AND(OR(CG155="L1",CG155="L23",CG155="LIFT"),H155&gt;0),CC155*IF(CR155&gt;0,CR155*MAX(1,H155/X155),IF(CA155=1,CE155,IF(R155&gt;0,CN155/R155,0))/MAX(0.1,N(Parameter!$M$21))),"")</f>
        <v>39.1666666666667</v>
      </c>
      <c r="CT155" s="64" t="n">
        <f aca="false">IF(CS155="","",J155/H155)</f>
        <v>3.12903225806452</v>
      </c>
      <c r="CU155" s="62" t="n">
        <f aca="false">IF(CS155="","",H155*G155)</f>
        <v>7076.68</v>
      </c>
      <c r="CV155" s="63" t="n">
        <f aca="false">IF(CS155="","",(CL155+ROUNDUP(CL155+MAX(CM155,2*(J155/MAX(0.1,N(Einkauf!$C$6))-CL155)),0))/2)</f>
        <v>147.5</v>
      </c>
      <c r="CW155" s="62" t="n">
        <f aca="false">IF(CS155="","",MAX(0,H155-CV155)*G155)</f>
        <v>0</v>
      </c>
      <c r="CX155" s="62" t="n">
        <f aca="false">IF(CS155="","",CS155*MAX(0,1-CV155/H155))</f>
        <v>0</v>
      </c>
      <c r="CY155" s="64" t="n">
        <f aca="false">IF(CS155="","",PERCENTRANK($CS$7:$CS$1843,CS155)+PERCENTRANK($CU$7:$CU$1843,CU155)+1-PERCENTRANK($CT$7:$CT$1843,CT155))</f>
        <v>1.896</v>
      </c>
      <c r="CZ155" s="72" t="n">
        <f aca="false">IF(CS155="","",CHOOSE(MATCH(Einkauf!$C$5,Parameter!$G$23:$G$27,0),CY155,CS155,CU155,-CT155,CW155)+ROW()/1000000000)</f>
        <v>1.896000155</v>
      </c>
    </row>
    <row r="156" customFormat="false" ht="15" hidden="false" customHeight="false" outlineLevel="0" collapsed="false">
      <c r="A156" s="60" t="s">
        <v>561</v>
      </c>
      <c r="B156" s="60" t="s">
        <v>562</v>
      </c>
      <c r="C156" s="60" t="s">
        <v>206</v>
      </c>
      <c r="D156" s="60" t="s">
        <v>226</v>
      </c>
      <c r="E156" s="60" t="s">
        <v>227</v>
      </c>
      <c r="F156" s="60" t="s">
        <v>260</v>
      </c>
      <c r="G156" s="61" t="n">
        <v>45.59</v>
      </c>
      <c r="H156" s="62" t="n">
        <f aca="false">MAX(0,IF(AND(Parameter!$B$21="Ja",ISNUMBER(Y156)),Y156,IF(Parameter!$B$20="Jahresanfang 2025 + Export",BS156+BR156,BR156)))</f>
        <v>64</v>
      </c>
      <c r="I156" s="62" t="n">
        <f aca="false">H156*G156</f>
        <v>2917.76</v>
      </c>
      <c r="J156" s="62" t="n">
        <f aca="false">BU156*Parameter!$B$18</f>
        <v>69</v>
      </c>
      <c r="K156" s="63" t="n">
        <v>33.5</v>
      </c>
      <c r="L156" s="64" t="n">
        <v>2.05970149253731</v>
      </c>
      <c r="M156" s="62" t="n">
        <v>2</v>
      </c>
      <c r="N156" s="62" t="n">
        <v>60</v>
      </c>
      <c r="O156" s="65" t="n">
        <v>10</v>
      </c>
      <c r="P156" s="60" t="s">
        <v>344</v>
      </c>
      <c r="Q156" s="62" t="n">
        <v>107</v>
      </c>
      <c r="R156" s="65" t="n">
        <f aca="false">IF(CA156=1,0,IFERROR(VLOOKUP(BY156,'Gebinde-Kategorie'!$A$5:$N$45,13,0)+0,0))</f>
        <v>26</v>
      </c>
      <c r="S156" s="66"/>
      <c r="T156" s="67"/>
      <c r="U156" s="67"/>
      <c r="V156" s="67"/>
      <c r="W156" s="60"/>
      <c r="X156" s="62"/>
      <c r="Y156" s="62"/>
      <c r="Z156" s="60" t="n">
        <v>3</v>
      </c>
      <c r="AA156" s="60" t="n">
        <f aca="false">IF(A156="","",IF(AND(Parameter!$B$21="Ja",ISNUMBER(W156)),W156,IF(AND(Parameter!$E$27="Ja",ISNUMBER(Z156),CD156&lt;&gt;"Nein"),Z156,IF(CD156="2+3",IF(ISNUMBER(SEARCH("grosser Artikel",BV156)),2,IFERROR(VLOOKUP(BY156,Parameter!$F$35:$G$64,2,0),2)),IF(OR(CD156="Nein",CD156=""),"-",CD156)))))</f>
        <v>3</v>
      </c>
      <c r="AB156" s="67"/>
      <c r="AC156" s="68"/>
      <c r="AD156" s="62" t="n">
        <f aca="false">AW156</f>
        <v>62</v>
      </c>
      <c r="AE156" s="62" t="n">
        <f aca="false">MAX(AW156,H156)</f>
        <v>64</v>
      </c>
      <c r="AF156" s="69"/>
      <c r="AG156" s="62" t="n">
        <f aca="false">IF(LEFT(Cockpit!$C$5,1)="A",H156,IF(Parameter!$E$30="MAX-Bestand",IF(CI156=1,CJ156,IF(LEFT(Cockpit!$C$5,1)="B",AM156,MAX(AM156,H156))),ROUNDUP(AK156,0)))</f>
        <v>64</v>
      </c>
      <c r="AH156" s="62" t="n">
        <f aca="false">IF(CA156=1,0,ROUNDUP(AG156/BZ156,0))</f>
        <v>1</v>
      </c>
      <c r="AI156" s="64" t="n">
        <f aca="false">IF(CR156&gt;0,CR156*MAX(1,AG156/X156),IF(CA156=1,IF(AG156&lt;=0,0,CE156*MAX(1,IF(H156&gt;0,AG156/H156,1))),IF(R156&gt;0,AH156/R156,0))/MAX(0.1,N(Parameter!$M$21)))</f>
        <v>0.0384615384615385</v>
      </c>
      <c r="AJ156" s="62" t="n">
        <f aca="false">AI156*CC156</f>
        <v>5.96153846153846</v>
      </c>
      <c r="AK156" s="63" t="n">
        <f aca="false">IF(LEFT(Cockpit!$C$5,1)="A",H156,IF(CI156=1,(CL156+CJ156)/2,IF(LEFT(Cockpit!$C$5,1)="B",(CL156+AM156)/2,MAX((CL156+AM156)/2,H156))))</f>
        <v>64</v>
      </c>
      <c r="AL156" s="62" t="n">
        <f aca="false">AK156*G156</f>
        <v>2917.76</v>
      </c>
      <c r="AM156" s="62" t="n">
        <f aca="false">ROUNDUP(CL156+MAX(CM156,2*(J156/IF(CH156&gt;0,CH156,MAX(0.1,N(Cockpit!$C$6)))-CL156)),0)</f>
        <v>62</v>
      </c>
      <c r="AN156" s="63" t="n">
        <f aca="false">IF(AJ156&gt;0,J156/AJ156,-1)</f>
        <v>11.5741935483871</v>
      </c>
      <c r="AO156" s="63" t="n">
        <f aca="false">IF(AND(OR(CG156="L1",CG156="L23",CG156="LIFT"),AJ156&gt;0),SUMIFS($AJ$7:$AJ$1843,$CG$7:$CG$1843,CG156,$AN$7:$AN$1843,"&gt;"&amp;AN156)+SUMIFS($AJ$7:$AJ$1843,$CG$7:$CG$1843,CG156,$AN$7:$AN$1843,AN156,$BX$7:$BX$1843,"&lt;="&amp;BX156),"")</f>
        <v>2541.47527472527</v>
      </c>
      <c r="AP156" s="70" t="n">
        <f aca="false">IF(AO156="",0,MAX(0,MIN(1,(IF(CG156="L1",Parameter!$H$5,IF(CG156="L23",Parameter!$H$6+Parameter!$H$7,Parameter!$H$5+Parameter!$H$6+Parameter!$H$7))-(AO156-AJ156))/AJ156)))</f>
        <v>1</v>
      </c>
      <c r="AQ156" s="62" t="n">
        <f aca="false">IF(LEFT(Cockpit!$I$5,1)="A",H156,IF(Parameter!$E$30="MAX-Bestand",IF(CI156=1,CJ156,IF(LEFT(Cockpit!$I$5,1)="B",AW156,MAX(AW156,H156))),ROUNDUP(AU156,0)))</f>
        <v>64</v>
      </c>
      <c r="AR156" s="62" t="n">
        <f aca="false">IF(CA156=1,0,ROUNDUP(AQ156/BZ156,0))</f>
        <v>1</v>
      </c>
      <c r="AS156" s="64" t="n">
        <f aca="false">IF(CR156&gt;0,CR156*MAX(1,AQ156/X156),IF(CA156=1,IF(AQ156&lt;=0,0,CE156*MAX(1,IF(H156&gt;0,AQ156/H156,1))),IF(R156&gt;0,AR156/R156,0))/MAX(0.1,N(Parameter!$M$21)))</f>
        <v>0.0384615384615385</v>
      </c>
      <c r="AT156" s="62" t="n">
        <f aca="false">AS156*CC156</f>
        <v>5.96153846153846</v>
      </c>
      <c r="AU156" s="63" t="n">
        <f aca="false">IF(LEFT(Cockpit!$I$5,1)="A",H156,IF(CI156=1,(CL156+CJ156)/2,IF(LEFT(Cockpit!$I$5,1)="B",(CL156+AW156)/2,MAX((CL156+AW156)/2,H156))))</f>
        <v>64</v>
      </c>
      <c r="AV156" s="62" t="n">
        <f aca="false">AU156*G156</f>
        <v>2917.76</v>
      </c>
      <c r="AW156" s="62" t="n">
        <f aca="false">ROUNDUP(CL156+MAX(CM156,2*(J156/IF(CH156&gt;0,CH156,MAX(0.1,N(Cockpit!$I$6)))-CL156)),0)</f>
        <v>62</v>
      </c>
      <c r="AX156" s="63" t="n">
        <f aca="false">IF(AT156&gt;0,J156/AT156,-1)</f>
        <v>11.5741935483871</v>
      </c>
      <c r="AY156" s="63" t="n">
        <f aca="false">IF(AND(OR(CG156="L1",CG156="L23",CG156="LIFT"),AT156&gt;0),SUMIFS($AT$7:$AT$1843,$CG$7:$CG$1843,CG156,$AX$7:$AX$1843,"&gt;"&amp;AX156)+SUMIFS($AT$7:$AT$1843,$CG$7:$CG$1843,CG156,$AX$7:$AX$1843,AX156,$BX$7:$BX$1843,"&lt;="&amp;BX156),"")</f>
        <v>3118.77106227106</v>
      </c>
      <c r="AZ156" s="70" t="n">
        <f aca="false">IF(AY156="",0,MAX(0,MIN(1,(IF(CG156="L1",Parameter!$H$5,IF(CG156="L23",Parameter!$H$6+Parameter!$H$7,Parameter!$H$5+Parameter!$H$6+Parameter!$H$7))-(AY156-AT156))/AT156)))</f>
        <v>1</v>
      </c>
      <c r="BA156" s="62" t="n">
        <f aca="false">IF(LEFT(Cockpit!$O$5,1)="A",H156,IF(Parameter!$E$30="MAX-Bestand",IF(CI156=1,CJ156,IF(LEFT(Cockpit!$O$5,1)="B",BG156,MAX(BG156,H156))),ROUNDUP(BE156,0)))</f>
        <v>32</v>
      </c>
      <c r="BB156" s="62" t="n">
        <f aca="false">IF(CA156=1,0,ROUNDUP(BA156/BZ156,0))</f>
        <v>1</v>
      </c>
      <c r="BC156" s="64" t="n">
        <f aca="false">IF(CR156&gt;0,CR156*MAX(1,BA156/X156),IF(CA156=1,IF(BA156&lt;=0,0,CE156*MAX(1,IF(H156&gt;0,BA156/H156,1))),IF(R156&gt;0,BB156/R156,0))/MAX(0.1,N(Parameter!$M$21)))</f>
        <v>0.0384615384615385</v>
      </c>
      <c r="BD156" s="62" t="n">
        <f aca="false">BC156*CC156</f>
        <v>5.96153846153846</v>
      </c>
      <c r="BE156" s="63" t="n">
        <f aca="false">IF(LEFT(Cockpit!$O$5,1)="A",H156,IF(CI156=1,(CL156+CJ156)/2,IF(LEFT(Cockpit!$O$5,1)="B",(CL156+BG156)/2,MAX((CL156+BG156)/2,H156))))</f>
        <v>32</v>
      </c>
      <c r="BF156" s="62" t="n">
        <f aca="false">BE156*G156</f>
        <v>1458.88</v>
      </c>
      <c r="BG156" s="62" t="n">
        <f aca="false">ROUNDUP(CL156+MAX(CM156,2*(J156/IF(CH156&gt;0,CH156,MAX(0.1,N(Cockpit!$O$6)))-CL156)),0)</f>
        <v>62</v>
      </c>
      <c r="BH156" s="63" t="n">
        <f aca="false">IF(BD156&gt;0,J156/BD156,-1)</f>
        <v>11.5741935483871</v>
      </c>
      <c r="BI156" s="63" t="n">
        <f aca="false">IF(AND(OR(CG156="L1",CG156="L23",CG156="LIFT"),BD156&gt;0),SUMIFS($BD$7:$BD$1843,$CG$7:$CG$1843,CG156,$BH$7:$BH$1843,"&gt;"&amp;BH156)+SUMIFS($BD$7:$BD$1843,$CG$7:$CG$1843,CG156,$BH$7:$BH$1843,BH156,$BX$7:$BX$1843,"&lt;="&amp;BX156),"")</f>
        <v>2586.63644688645</v>
      </c>
      <c r="BJ156" s="70" t="n">
        <f aca="false">IF(BI156="",0,MAX(0,MIN(1,(IF(CG156="L1",Parameter!$H$5,IF(CG156="L23",Parameter!$H$6+Parameter!$H$7,Parameter!$H$5+Parameter!$H$6+Parameter!$H$7))-(BI156-BD156))/BD156)))</f>
        <v>1</v>
      </c>
      <c r="BK156" s="60" t="str">
        <f aca="false">IF(AJ156&lt;=0,"",IF(CG156="Aussen","Aussenlager",IF(CG156="-","Nicht im Lift",IF(AP156&gt;=1,"Lift",IF(AP156&lt;=0,"Aussenlager","teilweise")))))</f>
        <v>Lift</v>
      </c>
      <c r="BL156" s="60" t="str">
        <f aca="false">IF(AT156&lt;=0,"",IF(CG156="Aussen","Aussenlager",IF(CG156="-","Nicht im Lift",IF(AZ156&gt;=1,"Lift",IF(AZ156&lt;=0,"Aussenlager","teilweise")))))</f>
        <v>Lift</v>
      </c>
      <c r="BM156" s="60" t="str">
        <f aca="false">IF(BD156&lt;=0,"",IF(CG156="Aussen","Aussenlager",IF(CG156="-","Nicht im Lift",IF(BJ156&gt;=1,"Lift",IF(BJ156&lt;=0,"Aussenlager","teilweise")))))</f>
        <v>Lift</v>
      </c>
      <c r="BN156" s="60" t="str">
        <f aca="false">IF(A156="","",IF(BW156=1,"Neu; ","")&amp;IF(AND(BW156=0,BR156&lt;0),"negativer Bestand (Export "&amp;BR156&amp;"); ","")&amp;IF(J156&lt;=0,"Kein Verbrauch; ","")&amp;IF(CR156&gt;0,"Lift "&amp;W156&amp;" lt. Liftbericht (Fach "&amp;X156&amp;" Stk); ",IF(CB156=1,"Gebinde geschätzt ("&amp;T156&amp;"); ",IF(CA156=1,"Lose – Tablare geschätzt; ","")))&amp;IF(H156&gt;AW156,"Überbestand "&amp;ROUND(H156-AW156,0)&amp;" Stk / CHF "&amp;ROUND((H156-AW156)*G156,0)&amp;"; ","")&amp;IF(AND(CI156=1,CJ156&lt;CK156),"MAX &lt; MB+LG; ","")&amp;IF(AND(CQ156&gt;0,CP156*10&gt;CQ156),"zu hoch für Tablar; ","")&amp;IF(AND(BW156=0,OR(CI156=1,AB156&lt;&gt;"",U156&lt;&gt;"",V156&lt;&gt;"",AC156&lt;&gt;"")),"manuell übersteuert; ","")&amp;IF(AND(CA156=0,R156=0),"Gebinde unbekannt / Stellmass fehlt; ","")&amp;IF(AND(CA156=0,N(V156)&lt;=0,N(Q156)&lt;=0),"Menge pro Gebinde fehlt (Ist = 1 Gebinde); ","")&amp;BV156)</f>
        <v>Überbestand 2 Stk / CHF 91; </v>
      </c>
      <c r="BO156" s="60"/>
      <c r="BP156" s="60"/>
      <c r="BQ156" s="67"/>
      <c r="BR156" s="62" t="n">
        <v>26</v>
      </c>
      <c r="BS156" s="62" t="n">
        <v>38</v>
      </c>
      <c r="BT156" s="61" t="n">
        <v>1269.7</v>
      </c>
      <c r="BU156" s="62" t="n">
        <v>69</v>
      </c>
      <c r="BV156" s="60"/>
      <c r="BW156" s="65" t="n">
        <v>0</v>
      </c>
      <c r="BX156" s="65" t="n">
        <v>156</v>
      </c>
      <c r="BY156" s="60" t="str">
        <f aca="false">IF(U156&lt;&gt;"",UPPER(TRIM(U156)),IF(CB156=1,UPPER(VLOOKUP(T156,Parameter!$I$27:$K$29,2,0)),IF(P156="","LOSE",P156)))</f>
        <v>S51</v>
      </c>
      <c r="BZ156" s="62" t="n">
        <f aca="false">IF(BY156="LOSE",1,IF(N(V156)&gt;0,V156,IF(CB156=1,MAX(1,N(VLOOKUP(T156,Parameter!$I$27:$K$29,3,0)),H156,N(N156)),IF(N(Q156)&gt;0,Q156,MAX(1,H156)))))</f>
        <v>107</v>
      </c>
      <c r="CA156" s="65" t="n">
        <f aca="false">IF(BY156="LOSE",1,0)</f>
        <v>0</v>
      </c>
      <c r="CB156" s="65" t="n">
        <f aca="false">IF(AND(U156="",OR(P156="",P156="LOSE"),T156&lt;&gt;"",N(S156)&lt;=0,ISNUMBER(MATCH(T156,Parameter!$I$27:$I$29,0))),1,0)</f>
        <v>0</v>
      </c>
      <c r="CC156" s="65" t="n">
        <f aca="false">IF(CR156&gt;0,INDEX(Parameter!$H$5:$H$7,W156)/INDEX(Parameter!$E$5:$E$7,W156),IF(AND(CA156=0,N(IFERROR(VLOOKUP(BY156,'Gebinde-Kategorie'!$A$5:$N$45,14,0),0))&gt;0),VLOOKUP(BY156,'Gebinde-Kategorie'!$A$5:$N$45,14,0)*10+Parameter!$M$23,Parameter!$M$24))</f>
        <v>155</v>
      </c>
      <c r="CD156" s="60" t="str">
        <f aca="false">IF(AND(Parameter!$B$19="Ja",E156&lt;&gt;"",ISNUMBER(MATCH(E156,Parameter!$I$35:$I$52,0))),VLOOKUP(E156,Parameter!$I$35:$J$52,2,0),IFERROR(VLOOKUP(D156,Parameter!$A$35:$C$64,2,0),"Nein"))</f>
        <v>2+3</v>
      </c>
      <c r="CE156" s="64" t="n">
        <f aca="false">IF(CA156=0,0,IF(N(S156)&gt;0,S156,IFERROR(VLOOKUP(D156,Parameter!$A$35:$C$64,3,0)+0,0)))</f>
        <v>0</v>
      </c>
      <c r="CF156" s="60" t="n">
        <f aca="false">IF(AB156&lt;&gt;"",AB156,AA156)</f>
        <v>3</v>
      </c>
      <c r="CG156" s="60" t="str">
        <f aca="false">IF(OR(CF156=1,CF156=2,CF156=3),IF(Parameter!$E$27="Ja","LIFT",IF(CF156=1,"L1","L23")),IF(CF156="Aussen","Aussen","-"))</f>
        <v>LIFT</v>
      </c>
      <c r="CH156" s="71" t="n">
        <f aca="false">IF(N(AC156)&gt;0,AC156,0)</f>
        <v>0</v>
      </c>
      <c r="CI156" s="65" t="n">
        <f aca="false">IF(ISNUMBER(AF156),1,0)</f>
        <v>0</v>
      </c>
      <c r="CJ156" s="62" t="n">
        <f aca="false">N(AF156)</f>
        <v>0</v>
      </c>
      <c r="CK156" s="62" t="n">
        <f aca="false">N(M156)+N(N156)</f>
        <v>62</v>
      </c>
      <c r="CL156" s="62" t="n">
        <f aca="false">N(M156)</f>
        <v>2</v>
      </c>
      <c r="CM156" s="62" t="n">
        <f aca="false">N(N156)</f>
        <v>60</v>
      </c>
      <c r="CN156" s="62" t="n">
        <f aca="false">ROUNDUP(H156/BZ156,0)</f>
        <v>1</v>
      </c>
      <c r="CO156" s="62" t="n">
        <f aca="false">ROUNDUP(CJ156/BZ156,0)</f>
        <v>0</v>
      </c>
      <c r="CP156" s="65" t="n">
        <f aca="false">IF(CA156=1,0,IFERROR(VLOOKUP(BY156,'Gebinde-Kategorie'!$A$5:$N$45,5,0)+0,0))</f>
        <v>11</v>
      </c>
      <c r="CQ156" s="65" t="n">
        <f aca="false">IFERROR(IF(OR(CF156=1,CF156=2,CF156=3),N(INDEX(Parameter!$I$5:$I$7,CF156)),0),0)</f>
        <v>0</v>
      </c>
      <c r="CR156" s="64" t="n">
        <f aca="false">IF(AND(Parameter!$B$21="Ja",ISNUMBER(W156),N(X156)&gt;0),IFERROR(N(INDEX(Parameter!$L$5:$L$7,W156))*INDEX(Parameter!$E$5:$E$7,W156)*X156/SUMIFS($X$7:$X$1843,$W$7:$W$1843,W156),0),0)</f>
        <v>0</v>
      </c>
      <c r="CS156" s="62" t="n">
        <f aca="false">IF(AND(OR(CG156="L1",CG156="L23",CG156="LIFT"),H156&gt;0),CC156*IF(CR156&gt;0,CR156*MAX(1,H156/X156),IF(CA156=1,CE156,IF(R156&gt;0,CN156/R156,0))/MAX(0.1,N(Parameter!$M$21))),"")</f>
        <v>5.96153846153846</v>
      </c>
      <c r="CT156" s="64" t="n">
        <f aca="false">IF(CS156="","",J156/H156)</f>
        <v>1.078125</v>
      </c>
      <c r="CU156" s="62" t="n">
        <f aca="false">IF(CS156="","",H156*G156)</f>
        <v>2917.76</v>
      </c>
      <c r="CV156" s="63" t="n">
        <f aca="false">IF(CS156="","",(CL156+ROUNDUP(CL156+MAX(CM156,2*(J156/MAX(0.1,N(Einkauf!$C$6))-CL156)),0))/2)</f>
        <v>32</v>
      </c>
      <c r="CW156" s="62" t="n">
        <f aca="false">IF(CS156="","",MAX(0,H156-CV156)*G156)</f>
        <v>1458.88</v>
      </c>
      <c r="CX156" s="62" t="n">
        <f aca="false">IF(CS156="","",CS156*MAX(0,1-CV156/H156))</f>
        <v>2.98076923076923</v>
      </c>
      <c r="CY156" s="64" t="n">
        <f aca="false">IF(CS156="","",PERCENTRANK($CS$7:$CS$1843,CS156)+PERCENTRANK($CU$7:$CU$1843,CU156)+1-PERCENTRANK($CT$7:$CT$1843,CT156))</f>
        <v>1.497</v>
      </c>
      <c r="CZ156" s="72" t="n">
        <f aca="false">IF(CS156="","",CHOOSE(MATCH(Einkauf!$C$5,Parameter!$G$23:$G$27,0),CY156,CS156,CU156,-CT156,CW156)+ROW()/1000000000)</f>
        <v>1.497000156</v>
      </c>
    </row>
    <row r="157" customFormat="false" ht="15" hidden="false" customHeight="false" outlineLevel="0" collapsed="false">
      <c r="A157" s="60" t="s">
        <v>563</v>
      </c>
      <c r="B157" s="60" t="s">
        <v>564</v>
      </c>
      <c r="C157" s="60" t="s">
        <v>206</v>
      </c>
      <c r="D157" s="60" t="s">
        <v>215</v>
      </c>
      <c r="E157" s="60" t="s">
        <v>227</v>
      </c>
      <c r="F157" s="60" t="s">
        <v>260</v>
      </c>
      <c r="G157" s="61" t="n">
        <v>421.59</v>
      </c>
      <c r="H157" s="62" t="n">
        <f aca="false">MAX(0,IF(AND(Parameter!$B$21="Ja",ISNUMBER(Y157)),Y157,IF(Parameter!$B$20="Jahresanfang 2025 + Export",BS157+BR157,BR157)))</f>
        <v>7</v>
      </c>
      <c r="I157" s="62" t="n">
        <f aca="false">H157*G157</f>
        <v>2951.13</v>
      </c>
      <c r="J157" s="62" t="n">
        <f aca="false">BU157*Parameter!$B$18</f>
        <v>0</v>
      </c>
      <c r="K157" s="63" t="n">
        <v>5.5</v>
      </c>
      <c r="L157" s="64" t="n">
        <v>0</v>
      </c>
      <c r="M157" s="62" t="n">
        <v>0</v>
      </c>
      <c r="N157" s="62" t="n">
        <v>1</v>
      </c>
      <c r="O157" s="65" t="n">
        <v>30</v>
      </c>
      <c r="P157" s="60" t="s">
        <v>216</v>
      </c>
      <c r="Q157" s="62" t="n">
        <v>7</v>
      </c>
      <c r="R157" s="65" t="n">
        <f aca="false">IF(CA157=1,0,IFERROR(VLOOKUP(BY157,'Gebinde-Kategorie'!$A$5:$N$45,13,0)+0,0))</f>
        <v>6</v>
      </c>
      <c r="S157" s="66"/>
      <c r="T157" s="67"/>
      <c r="U157" s="67"/>
      <c r="V157" s="67"/>
      <c r="W157" s="60"/>
      <c r="X157" s="62"/>
      <c r="Y157" s="62"/>
      <c r="Z157" s="60" t="n">
        <v>2</v>
      </c>
      <c r="AA157" s="60" t="n">
        <f aca="false">IF(A157="","",IF(AND(Parameter!$B$21="Ja",ISNUMBER(W157)),W157,IF(AND(Parameter!$E$27="Ja",ISNUMBER(Z157),CD157&lt;&gt;"Nein"),Z157,IF(CD157="2+3",IF(ISNUMBER(SEARCH("grosser Artikel",BV157)),2,IFERROR(VLOOKUP(BY157,Parameter!$F$35:$G$64,2,0),2)),IF(OR(CD157="Nein",CD157=""),"-",CD157)))))</f>
        <v>2</v>
      </c>
      <c r="AB157" s="67"/>
      <c r="AC157" s="68"/>
      <c r="AD157" s="62" t="n">
        <f aca="false">AW157</f>
        <v>1</v>
      </c>
      <c r="AE157" s="62" t="n">
        <f aca="false">MAX(AW157,H157)</f>
        <v>7</v>
      </c>
      <c r="AF157" s="69"/>
      <c r="AG157" s="62" t="n">
        <f aca="false">IF(LEFT(Cockpit!$C$5,1)="A",H157,IF(Parameter!$E$30="MAX-Bestand",IF(CI157=1,CJ157,IF(LEFT(Cockpit!$C$5,1)="B",AM157,MAX(AM157,H157))),ROUNDUP(AK157,0)))</f>
        <v>7</v>
      </c>
      <c r="AH157" s="62" t="n">
        <f aca="false">IF(CA157=1,0,ROUNDUP(AG157/BZ157,0))</f>
        <v>1</v>
      </c>
      <c r="AI157" s="64" t="n">
        <f aca="false">IF(CR157&gt;0,CR157*MAX(1,AG157/X157),IF(CA157=1,IF(AG157&lt;=0,0,CE157*MAX(1,IF(H157&gt;0,AG157/H157,1))),IF(R157&gt;0,AH157/R157,0))/MAX(0.1,N(Parameter!$M$21)))</f>
        <v>0.166666666666667</v>
      </c>
      <c r="AJ157" s="62" t="n">
        <f aca="false">AI157*CC157</f>
        <v>39.1666666666667</v>
      </c>
      <c r="AK157" s="63" t="n">
        <f aca="false">IF(LEFT(Cockpit!$C$5,1)="A",H157,IF(CI157=1,(CL157+CJ157)/2,IF(LEFT(Cockpit!$C$5,1)="B",(CL157+AM157)/2,MAX((CL157+AM157)/2,H157))))</f>
        <v>7</v>
      </c>
      <c r="AL157" s="62" t="n">
        <f aca="false">AK157*G157</f>
        <v>2951.13</v>
      </c>
      <c r="AM157" s="62" t="n">
        <f aca="false">ROUNDUP(CL157+MAX(CM157,2*(J157/IF(CH157&gt;0,CH157,MAX(0.1,N(Cockpit!$C$6)))-CL157)),0)</f>
        <v>1</v>
      </c>
      <c r="AN157" s="63" t="n">
        <f aca="false">IF(AJ157&gt;0,J157/AJ157,-1)</f>
        <v>0</v>
      </c>
      <c r="AO157" s="63" t="n">
        <f aca="false">IF(AND(OR(CG157="L1",CG157="L23",CG157="LIFT"),AJ157&gt;0),SUMIFS($AJ$7:$AJ$1843,$CG$7:$CG$1843,CG157,$AN$7:$AN$1843,"&gt;"&amp;AN157)+SUMIFS($AJ$7:$AJ$1843,$CG$7:$CG$1843,CG157,$AN$7:$AN$1843,AN157,$BX$7:$BX$1843,"&lt;="&amp;BX157),"")</f>
        <v>27350.5715967178</v>
      </c>
      <c r="AP157" s="70" t="n">
        <f aca="false">IF(AO157="",0,MAX(0,MIN(1,(IF(CG157="L1",Parameter!$H$5,IF(CG157="L23",Parameter!$H$6+Parameter!$H$7,Parameter!$H$5+Parameter!$H$6+Parameter!$H$7))-(AO157-AJ157))/AJ157)))</f>
        <v>1</v>
      </c>
      <c r="AQ157" s="62" t="n">
        <f aca="false">IF(LEFT(Cockpit!$I$5,1)="A",H157,IF(Parameter!$E$30="MAX-Bestand",IF(CI157=1,CJ157,IF(LEFT(Cockpit!$I$5,1)="B",AW157,MAX(AW157,H157))),ROUNDUP(AU157,0)))</f>
        <v>7</v>
      </c>
      <c r="AR157" s="62" t="n">
        <f aca="false">IF(CA157=1,0,ROUNDUP(AQ157/BZ157,0))</f>
        <v>1</v>
      </c>
      <c r="AS157" s="64" t="n">
        <f aca="false">IF(CR157&gt;0,CR157*MAX(1,AQ157/X157),IF(CA157=1,IF(AQ157&lt;=0,0,CE157*MAX(1,IF(H157&gt;0,AQ157/H157,1))),IF(R157&gt;0,AR157/R157,0))/MAX(0.1,N(Parameter!$M$21)))</f>
        <v>0.166666666666667</v>
      </c>
      <c r="AT157" s="62" t="n">
        <f aca="false">AS157*CC157</f>
        <v>39.1666666666667</v>
      </c>
      <c r="AU157" s="63" t="n">
        <f aca="false">IF(LEFT(Cockpit!$I$5,1)="A",H157,IF(CI157=1,(CL157+CJ157)/2,IF(LEFT(Cockpit!$I$5,1)="B",(CL157+AW157)/2,MAX((CL157+AW157)/2,H157))))</f>
        <v>7</v>
      </c>
      <c r="AV157" s="62" t="n">
        <f aca="false">AU157*G157</f>
        <v>2951.13</v>
      </c>
      <c r="AW157" s="62" t="n">
        <f aca="false">ROUNDUP(CL157+MAX(CM157,2*(J157/IF(CH157&gt;0,CH157,MAX(0.1,N(Cockpit!$I$6)))-CL157)),0)</f>
        <v>1</v>
      </c>
      <c r="AX157" s="63" t="n">
        <f aca="false">IF(AT157&gt;0,J157/AT157,-1)</f>
        <v>0</v>
      </c>
      <c r="AY157" s="63" t="n">
        <f aca="false">IF(AND(OR(CG157="L1",CG157="L23",CG157="LIFT"),AT157&gt;0),SUMIFS($AT$7:$AT$1843,$CG$7:$CG$1843,CG157,$AX$7:$AX$1843,"&gt;"&amp;AX157)+SUMIFS($AT$7:$AT$1843,$CG$7:$CG$1843,CG157,$AX$7:$AX$1843,AX157,$BX$7:$BX$1843,"&lt;="&amp;BX157),"")</f>
        <v>32703.7202380952</v>
      </c>
      <c r="AZ157" s="70" t="n">
        <f aca="false">IF(AY157="",0,MAX(0,MIN(1,(IF(CG157="L1",Parameter!$H$5,IF(CG157="L23",Parameter!$H$6+Parameter!$H$7,Parameter!$H$5+Parameter!$H$6+Parameter!$H$7))-(AY157-AT157))/AT157)))</f>
        <v>1</v>
      </c>
      <c r="BA157" s="62" t="n">
        <f aca="false">IF(LEFT(Cockpit!$O$5,1)="A",H157,IF(Parameter!$E$30="MAX-Bestand",IF(CI157=1,CJ157,IF(LEFT(Cockpit!$O$5,1)="B",BG157,MAX(BG157,H157))),ROUNDUP(BE157,0)))</f>
        <v>1</v>
      </c>
      <c r="BB157" s="62" t="n">
        <f aca="false">IF(CA157=1,0,ROUNDUP(BA157/BZ157,0))</f>
        <v>1</v>
      </c>
      <c r="BC157" s="64" t="n">
        <f aca="false">IF(CR157&gt;0,CR157*MAX(1,BA157/X157),IF(CA157=1,IF(BA157&lt;=0,0,CE157*MAX(1,IF(H157&gt;0,BA157/H157,1))),IF(R157&gt;0,BB157/R157,0))/MAX(0.1,N(Parameter!$M$21)))</f>
        <v>0.166666666666667</v>
      </c>
      <c r="BD157" s="62" t="n">
        <f aca="false">BC157*CC157</f>
        <v>39.1666666666667</v>
      </c>
      <c r="BE157" s="63" t="n">
        <f aca="false">IF(LEFT(Cockpit!$O$5,1)="A",H157,IF(CI157=1,(CL157+CJ157)/2,IF(LEFT(Cockpit!$O$5,1)="B",(CL157+BG157)/2,MAX((CL157+BG157)/2,H157))))</f>
        <v>0.5</v>
      </c>
      <c r="BF157" s="62" t="n">
        <f aca="false">BE157*G157</f>
        <v>210.795</v>
      </c>
      <c r="BG157" s="62" t="n">
        <f aca="false">ROUNDUP(CL157+MAX(CM157,2*(J157/IF(CH157&gt;0,CH157,MAX(0.1,N(Cockpit!$O$6)))-CL157)),0)</f>
        <v>1</v>
      </c>
      <c r="BH157" s="63" t="n">
        <f aca="false">IF(BD157&gt;0,J157/BD157,-1)</f>
        <v>0</v>
      </c>
      <c r="BI157" s="63" t="n">
        <f aca="false">IF(AND(OR(CG157="L1",CG157="L23",CG157="LIFT"),BD157&gt;0),SUMIFS($BD$7:$BD$1843,$CG$7:$CG$1843,CG157,$BH$7:$BH$1843,"&gt;"&amp;BH157)+SUMIFS($BD$7:$BD$1843,$CG$7:$CG$1843,CG157,$BH$7:$BH$1843,BH157,$BX$7:$BX$1843,"&lt;="&amp;BX157),"")</f>
        <v>26867.9623378034</v>
      </c>
      <c r="BJ157" s="70" t="n">
        <f aca="false">IF(BI157="",0,MAX(0,MIN(1,(IF(CG157="L1",Parameter!$H$5,IF(CG157="L23",Parameter!$H$6+Parameter!$H$7,Parameter!$H$5+Parameter!$H$6+Parameter!$H$7))-(BI157-BD157))/BD157)))</f>
        <v>1</v>
      </c>
      <c r="BK157" s="60" t="str">
        <f aca="false">IF(AJ157&lt;=0,"",IF(CG157="Aussen","Aussenlager",IF(CG157="-","Nicht im Lift",IF(AP157&gt;=1,"Lift",IF(AP157&lt;=0,"Aussenlager","teilweise")))))</f>
        <v>Lift</v>
      </c>
      <c r="BL157" s="60" t="str">
        <f aca="false">IF(AT157&lt;=0,"",IF(CG157="Aussen","Aussenlager",IF(CG157="-","Nicht im Lift",IF(AZ157&gt;=1,"Lift",IF(AZ157&lt;=0,"Aussenlager","teilweise")))))</f>
        <v>Lift</v>
      </c>
      <c r="BM157" s="60" t="str">
        <f aca="false">IF(BD157&lt;=0,"",IF(CG157="Aussen","Aussenlager",IF(CG157="-","Nicht im Lift",IF(BJ157&gt;=1,"Lift",IF(BJ157&lt;=0,"Aussenlager","teilweise")))))</f>
        <v>Lift</v>
      </c>
      <c r="BN157" s="60" t="str">
        <f aca="false">IF(A157="","",IF(BW157=1,"Neu; ","")&amp;IF(AND(BW157=0,BR157&lt;0),"negativer Bestand (Export "&amp;BR157&amp;"); ","")&amp;IF(J157&lt;=0,"Kein Verbrauch; ","")&amp;IF(CR157&gt;0,"Lift "&amp;W157&amp;" lt. Liftbericht (Fach "&amp;X157&amp;" Stk); ",IF(CB157=1,"Gebinde geschätzt ("&amp;T157&amp;"); ",IF(CA157=1,"Lose – Tablare geschätzt; ","")))&amp;IF(H157&gt;AW157,"Überbestand "&amp;ROUND(H157-AW157,0)&amp;" Stk / CHF "&amp;ROUND((H157-AW157)*G157,0)&amp;"; ","")&amp;IF(AND(CI157=1,CJ157&lt;CK157),"MAX &lt; MB+LG; ","")&amp;IF(AND(CQ157&gt;0,CP157*10&gt;CQ157),"zu hoch für Tablar; ","")&amp;IF(AND(BW157=0,OR(CI157=1,AB157&lt;&gt;"",U157&lt;&gt;"",V157&lt;&gt;"",AC157&lt;&gt;"")),"manuell übersteuert; ","")&amp;IF(AND(CA157=0,R157=0),"Gebinde unbekannt / Stellmass fehlt; ","")&amp;IF(AND(CA157=0,N(V157)&lt;=0,N(Q157)&lt;=0),"Menge pro Gebinde fehlt (Ist = 1 Gebinde); ","")&amp;BV157)</f>
        <v>Kein Verbrauch; Überbestand 6 Stk / CHF 2530; grosser Artikel &amp; nicht im KTL</v>
      </c>
      <c r="BO157" s="60"/>
      <c r="BP157" s="60"/>
      <c r="BQ157" s="67"/>
      <c r="BR157" s="62" t="n">
        <v>3</v>
      </c>
      <c r="BS157" s="62" t="n">
        <v>4</v>
      </c>
      <c r="BT157" s="61" t="n">
        <v>1264.77</v>
      </c>
      <c r="BU157" s="62" t="n">
        <v>0</v>
      </c>
      <c r="BV157" s="60" t="s">
        <v>303</v>
      </c>
      <c r="BW157" s="65" t="n">
        <v>0</v>
      </c>
      <c r="BX157" s="65" t="n">
        <v>157</v>
      </c>
      <c r="BY157" s="60" t="str">
        <f aca="false">IF(U157&lt;&gt;"",UPPER(TRIM(U157)),IF(CB157=1,UPPER(VLOOKUP(T157,Parameter!$I$27:$K$29,2,0)),IF(P157="","LOSE",P157)))</f>
        <v>S71</v>
      </c>
      <c r="BZ157" s="62" t="n">
        <f aca="false">IF(BY157="LOSE",1,IF(N(V157)&gt;0,V157,IF(CB157=1,MAX(1,N(VLOOKUP(T157,Parameter!$I$27:$K$29,3,0)),H157,N(N157)),IF(N(Q157)&gt;0,Q157,MAX(1,H157)))))</f>
        <v>7</v>
      </c>
      <c r="CA157" s="65" t="n">
        <f aca="false">IF(BY157="LOSE",1,0)</f>
        <v>0</v>
      </c>
      <c r="CB157" s="65" t="n">
        <f aca="false">IF(AND(U157="",OR(P157="",P157="LOSE"),T157&lt;&gt;"",N(S157)&lt;=0,ISNUMBER(MATCH(T157,Parameter!$I$27:$I$29,0))),1,0)</f>
        <v>0</v>
      </c>
      <c r="CC157" s="65" t="n">
        <f aca="false">IF(CR157&gt;0,INDEX(Parameter!$H$5:$H$7,W157)/INDEX(Parameter!$E$5:$E$7,W157),IF(AND(CA157=0,N(IFERROR(VLOOKUP(BY157,'Gebinde-Kategorie'!$A$5:$N$45,14,0),0))&gt;0),VLOOKUP(BY157,'Gebinde-Kategorie'!$A$5:$N$45,14,0)*10+Parameter!$M$23,Parameter!$M$24))</f>
        <v>235</v>
      </c>
      <c r="CD157" s="60" t="str">
        <f aca="false">IF(AND(Parameter!$B$19="Ja",E157&lt;&gt;"",ISNUMBER(MATCH(E157,Parameter!$I$35:$I$52,0))),VLOOKUP(E157,Parameter!$I$35:$J$52,2,0),IFERROR(VLOOKUP(D157,Parameter!$A$35:$C$64,2,0),"Nein"))</f>
        <v>2+3</v>
      </c>
      <c r="CE157" s="64" t="n">
        <f aca="false">IF(CA157=0,0,IF(N(S157)&gt;0,S157,IFERROR(VLOOKUP(D157,Parameter!$A$35:$C$64,3,0)+0,0)))</f>
        <v>0</v>
      </c>
      <c r="CF157" s="60" t="n">
        <f aca="false">IF(AB157&lt;&gt;"",AB157,AA157)</f>
        <v>2</v>
      </c>
      <c r="CG157" s="60" t="str">
        <f aca="false">IF(OR(CF157=1,CF157=2,CF157=3),IF(Parameter!$E$27="Ja","LIFT",IF(CF157=1,"L1","L23")),IF(CF157="Aussen","Aussen","-"))</f>
        <v>LIFT</v>
      </c>
      <c r="CH157" s="71" t="n">
        <f aca="false">IF(N(AC157)&gt;0,AC157,0)</f>
        <v>0</v>
      </c>
      <c r="CI157" s="65" t="n">
        <f aca="false">IF(ISNUMBER(AF157),1,0)</f>
        <v>0</v>
      </c>
      <c r="CJ157" s="62" t="n">
        <f aca="false">N(AF157)</f>
        <v>0</v>
      </c>
      <c r="CK157" s="62" t="n">
        <f aca="false">N(M157)+N(N157)</f>
        <v>1</v>
      </c>
      <c r="CL157" s="62" t="n">
        <f aca="false">N(M157)</f>
        <v>0</v>
      </c>
      <c r="CM157" s="62" t="n">
        <f aca="false">N(N157)</f>
        <v>1</v>
      </c>
      <c r="CN157" s="62" t="n">
        <f aca="false">ROUNDUP(H157/BZ157,0)</f>
        <v>1</v>
      </c>
      <c r="CO157" s="62" t="n">
        <f aca="false">ROUNDUP(CJ157/BZ157,0)</f>
        <v>0</v>
      </c>
      <c r="CP157" s="65" t="n">
        <f aca="false">IF(CA157=1,0,IFERROR(VLOOKUP(BY157,'Gebinde-Kategorie'!$A$5:$N$45,5,0)+0,0))</f>
        <v>20</v>
      </c>
      <c r="CQ157" s="65" t="n">
        <f aca="false">IFERROR(IF(OR(CF157=1,CF157=2,CF157=3),N(INDEX(Parameter!$I$5:$I$7,CF157)),0),0)</f>
        <v>0</v>
      </c>
      <c r="CR157" s="64" t="n">
        <f aca="false">IF(AND(Parameter!$B$21="Ja",ISNUMBER(W157),N(X157)&gt;0),IFERROR(N(INDEX(Parameter!$L$5:$L$7,W157))*INDEX(Parameter!$E$5:$E$7,W157)*X157/SUMIFS($X$7:$X$1843,$W$7:$W$1843,W157),0),0)</f>
        <v>0</v>
      </c>
      <c r="CS157" s="62" t="n">
        <f aca="false">IF(AND(OR(CG157="L1",CG157="L23",CG157="LIFT"),H157&gt;0),CC157*IF(CR157&gt;0,CR157*MAX(1,H157/X157),IF(CA157=1,CE157,IF(R157&gt;0,CN157/R157,0))/MAX(0.1,N(Parameter!$M$21))),"")</f>
        <v>39.1666666666667</v>
      </c>
      <c r="CT157" s="64" t="n">
        <f aca="false">IF(CS157="","",J157/H157)</f>
        <v>0</v>
      </c>
      <c r="CU157" s="62" t="n">
        <f aca="false">IF(CS157="","",H157*G157)</f>
        <v>2951.13</v>
      </c>
      <c r="CV157" s="63" t="n">
        <f aca="false">IF(CS157="","",(CL157+ROUNDUP(CL157+MAX(CM157,2*(J157/MAX(0.1,N(Einkauf!$C$6))-CL157)),0))/2)</f>
        <v>0.5</v>
      </c>
      <c r="CW157" s="62" t="n">
        <f aca="false">IF(CS157="","",MAX(0,H157-CV157)*G157)</f>
        <v>2740.335</v>
      </c>
      <c r="CX157" s="62" t="n">
        <f aca="false">IF(CS157="","",CS157*MAX(0,1-CV157/H157))</f>
        <v>36.3690476190476</v>
      </c>
      <c r="CY157" s="64" t="n">
        <f aca="false">IF(CS157="","",PERCENTRANK($CS$7:$CS$1843,CS157)+PERCENTRANK($CU$7:$CU$1843,CU157)+1-PERCENTRANK($CT$7:$CT$1843,CT157))</f>
        <v>2.686</v>
      </c>
      <c r="CZ157" s="72" t="n">
        <f aca="false">IF(CS157="","",CHOOSE(MATCH(Einkauf!$C$5,Parameter!$G$23:$G$27,0),CY157,CS157,CU157,-CT157,CW157)+ROW()/1000000000)</f>
        <v>2.686000157</v>
      </c>
    </row>
    <row r="158" customFormat="false" ht="15" hidden="false" customHeight="false" outlineLevel="0" collapsed="false">
      <c r="A158" s="60" t="s">
        <v>565</v>
      </c>
      <c r="B158" s="60" t="s">
        <v>566</v>
      </c>
      <c r="C158" s="60" t="s">
        <v>206</v>
      </c>
      <c r="D158" s="60" t="s">
        <v>226</v>
      </c>
      <c r="E158" s="60" t="s">
        <v>227</v>
      </c>
      <c r="F158" s="60" t="s">
        <v>260</v>
      </c>
      <c r="G158" s="61" t="n">
        <v>4.82</v>
      </c>
      <c r="H158" s="62" t="n">
        <f aca="false">MAX(0,IF(AND(Parameter!$B$21="Ja",ISNUMBER(Y158)),Y158,IF(Parameter!$B$20="Jahresanfang 2025 + Export",BS158+BR158,BR158)))</f>
        <v>339</v>
      </c>
      <c r="I158" s="62" t="n">
        <f aca="false">H158*G158</f>
        <v>1633.98</v>
      </c>
      <c r="J158" s="62" t="n">
        <f aca="false">BU158*Parameter!$B$18</f>
        <v>386</v>
      </c>
      <c r="K158" s="63" t="n">
        <v>85.5</v>
      </c>
      <c r="L158" s="64" t="n">
        <v>4.51461988304094</v>
      </c>
      <c r="M158" s="62" t="n">
        <v>15</v>
      </c>
      <c r="N158" s="62" t="n">
        <v>390</v>
      </c>
      <c r="O158" s="65" t="n">
        <v>14</v>
      </c>
      <c r="P158" s="60" t="s">
        <v>275</v>
      </c>
      <c r="Q158" s="62" t="n">
        <v>131</v>
      </c>
      <c r="R158" s="65" t="n">
        <f aca="false">IF(CA158=1,0,IFERROR(VLOOKUP(BY158,'Gebinde-Kategorie'!$A$5:$N$45,13,0)+0,0))</f>
        <v>26</v>
      </c>
      <c r="S158" s="66"/>
      <c r="T158" s="67"/>
      <c r="U158" s="67"/>
      <c r="V158" s="67"/>
      <c r="W158" s="60"/>
      <c r="X158" s="62"/>
      <c r="Y158" s="62"/>
      <c r="Z158" s="60" t="n">
        <v>3</v>
      </c>
      <c r="AA158" s="60" t="n">
        <f aca="false">IF(A158="","",IF(AND(Parameter!$B$21="Ja",ISNUMBER(W158)),W158,IF(AND(Parameter!$E$27="Ja",ISNUMBER(Z158),CD158&lt;&gt;"Nein"),Z158,IF(CD158="2+3",IF(ISNUMBER(SEARCH("grosser Artikel",BV158)),2,IFERROR(VLOOKUP(BY158,Parameter!$F$35:$G$64,2,0),2)),IF(OR(CD158="Nein",CD158=""),"-",CD158)))))</f>
        <v>3</v>
      </c>
      <c r="AB158" s="67"/>
      <c r="AC158" s="68"/>
      <c r="AD158" s="62" t="n">
        <f aca="false">AW158</f>
        <v>405</v>
      </c>
      <c r="AE158" s="62" t="n">
        <f aca="false">MAX(AW158,H158)</f>
        <v>405</v>
      </c>
      <c r="AF158" s="69"/>
      <c r="AG158" s="62" t="n">
        <f aca="false">IF(LEFT(Cockpit!$C$5,1)="A",H158,IF(Parameter!$E$30="MAX-Bestand",IF(CI158=1,CJ158,IF(LEFT(Cockpit!$C$5,1)="B",AM158,MAX(AM158,H158))),ROUNDUP(AK158,0)))</f>
        <v>339</v>
      </c>
      <c r="AH158" s="62" t="n">
        <f aca="false">IF(CA158=1,0,ROUNDUP(AG158/BZ158,0))</f>
        <v>3</v>
      </c>
      <c r="AI158" s="64" t="n">
        <f aca="false">IF(CR158&gt;0,CR158*MAX(1,AG158/X158),IF(CA158=1,IF(AG158&lt;=0,0,CE158*MAX(1,IF(H158&gt;0,AG158/H158,1))),IF(R158&gt;0,AH158/R158,0))/MAX(0.1,N(Parameter!$M$21)))</f>
        <v>0.115384615384615</v>
      </c>
      <c r="AJ158" s="62" t="n">
        <f aca="false">AI158*CC158</f>
        <v>28.2692307692308</v>
      </c>
      <c r="AK158" s="63" t="n">
        <f aca="false">IF(LEFT(Cockpit!$C$5,1)="A",H158,IF(CI158=1,(CL158+CJ158)/2,IF(LEFT(Cockpit!$C$5,1)="B",(CL158+AM158)/2,MAX((CL158+AM158)/2,H158))))</f>
        <v>339</v>
      </c>
      <c r="AL158" s="62" t="n">
        <f aca="false">AK158*G158</f>
        <v>1633.98</v>
      </c>
      <c r="AM158" s="62" t="n">
        <f aca="false">ROUNDUP(CL158+MAX(CM158,2*(J158/IF(CH158&gt;0,CH158,MAX(0.1,N(Cockpit!$C$6)))-CL158)),0)</f>
        <v>405</v>
      </c>
      <c r="AN158" s="63" t="n">
        <f aca="false">IF(AJ158&gt;0,J158/AJ158,-1)</f>
        <v>13.6544217687075</v>
      </c>
      <c r="AO158" s="63" t="n">
        <f aca="false">IF(AND(OR(CG158="L1",CG158="L23",CG158="LIFT"),AJ158&gt;0),SUMIFS($AJ$7:$AJ$1843,$CG$7:$CG$1843,CG158,$AN$7:$AN$1843,"&gt;"&amp;AN158)+SUMIFS($AJ$7:$AJ$1843,$CG$7:$CG$1843,CG158,$AN$7:$AN$1843,AN158,$BX$7:$BX$1843,"&lt;="&amp;BX158),"")</f>
        <v>2338.40750915751</v>
      </c>
      <c r="AP158" s="70" t="n">
        <f aca="false">IF(AO158="",0,MAX(0,MIN(1,(IF(CG158="L1",Parameter!$H$5,IF(CG158="L23",Parameter!$H$6+Parameter!$H$7,Parameter!$H$5+Parameter!$H$6+Parameter!$H$7))-(AO158-AJ158))/AJ158)))</f>
        <v>1</v>
      </c>
      <c r="AQ158" s="62" t="n">
        <f aca="false">IF(LEFT(Cockpit!$I$5,1)="A",H158,IF(Parameter!$E$30="MAX-Bestand",IF(CI158=1,CJ158,IF(LEFT(Cockpit!$I$5,1)="B",AW158,MAX(AW158,H158))),ROUNDUP(AU158,0)))</f>
        <v>339</v>
      </c>
      <c r="AR158" s="62" t="n">
        <f aca="false">IF(CA158=1,0,ROUNDUP(AQ158/BZ158,0))</f>
        <v>3</v>
      </c>
      <c r="AS158" s="64" t="n">
        <f aca="false">IF(CR158&gt;0,CR158*MAX(1,AQ158/X158),IF(CA158=1,IF(AQ158&lt;=0,0,CE158*MAX(1,IF(H158&gt;0,AQ158/H158,1))),IF(R158&gt;0,AR158/R158,0))/MAX(0.1,N(Parameter!$M$21)))</f>
        <v>0.115384615384615</v>
      </c>
      <c r="AT158" s="62" t="n">
        <f aca="false">AS158*CC158</f>
        <v>28.2692307692308</v>
      </c>
      <c r="AU158" s="63" t="n">
        <f aca="false">IF(LEFT(Cockpit!$I$5,1)="A",H158,IF(CI158=1,(CL158+CJ158)/2,IF(LEFT(Cockpit!$I$5,1)="B",(CL158+AW158)/2,MAX((CL158+AW158)/2,H158))))</f>
        <v>339</v>
      </c>
      <c r="AV158" s="62" t="n">
        <f aca="false">AU158*G158</f>
        <v>1633.98</v>
      </c>
      <c r="AW158" s="62" t="n">
        <f aca="false">ROUNDUP(CL158+MAX(CM158,2*(J158/IF(CH158&gt;0,CH158,MAX(0.1,N(Cockpit!$I$6)))-CL158)),0)</f>
        <v>405</v>
      </c>
      <c r="AX158" s="63" t="n">
        <f aca="false">IF(AT158&gt;0,J158/AT158,-1)</f>
        <v>13.6544217687075</v>
      </c>
      <c r="AY158" s="63" t="n">
        <f aca="false">IF(AND(OR(CG158="L1",CG158="L23",CG158="LIFT"),AT158&gt;0),SUMIFS($AT$7:$AT$1843,$CG$7:$CG$1843,CG158,$AX$7:$AX$1843,"&gt;"&amp;AX158)+SUMIFS($AT$7:$AT$1843,$CG$7:$CG$1843,CG158,$AX$7:$AX$1843,AX158,$BX$7:$BX$1843,"&lt;="&amp;BX158),"")</f>
        <v>2957.59432234432</v>
      </c>
      <c r="AZ158" s="70" t="n">
        <f aca="false">IF(AY158="",0,MAX(0,MIN(1,(IF(CG158="L1",Parameter!$H$5,IF(CG158="L23",Parameter!$H$6+Parameter!$H$7,Parameter!$H$5+Parameter!$H$6+Parameter!$H$7))-(AY158-AT158))/AT158)))</f>
        <v>1</v>
      </c>
      <c r="BA158" s="62" t="n">
        <f aca="false">IF(LEFT(Cockpit!$O$5,1)="A",H158,IF(Parameter!$E$30="MAX-Bestand",IF(CI158=1,CJ158,IF(LEFT(Cockpit!$O$5,1)="B",BG158,MAX(BG158,H158))),ROUNDUP(BE158,0)))</f>
        <v>210</v>
      </c>
      <c r="BB158" s="62" t="n">
        <f aca="false">IF(CA158=1,0,ROUNDUP(BA158/BZ158,0))</f>
        <v>2</v>
      </c>
      <c r="BC158" s="64" t="n">
        <f aca="false">IF(CR158&gt;0,CR158*MAX(1,BA158/X158),IF(CA158=1,IF(BA158&lt;=0,0,CE158*MAX(1,IF(H158&gt;0,BA158/H158,1))),IF(R158&gt;0,BB158/R158,0))/MAX(0.1,N(Parameter!$M$21)))</f>
        <v>0.0769230769230769</v>
      </c>
      <c r="BD158" s="62" t="n">
        <f aca="false">BC158*CC158</f>
        <v>18.8461538461538</v>
      </c>
      <c r="BE158" s="63" t="n">
        <f aca="false">IF(LEFT(Cockpit!$O$5,1)="A",H158,IF(CI158=1,(CL158+CJ158)/2,IF(LEFT(Cockpit!$O$5,1)="B",(CL158+BG158)/2,MAX((CL158+BG158)/2,H158))))</f>
        <v>210</v>
      </c>
      <c r="BF158" s="62" t="n">
        <f aca="false">BE158*G158</f>
        <v>1012.2</v>
      </c>
      <c r="BG158" s="62" t="n">
        <f aca="false">ROUNDUP(CL158+MAX(CM158,2*(J158/IF(CH158&gt;0,CH158,MAX(0.1,N(Cockpit!$O$6)))-CL158)),0)</f>
        <v>405</v>
      </c>
      <c r="BH158" s="63" t="n">
        <f aca="false">IF(BD158&gt;0,J158/BD158,-1)</f>
        <v>20.4816326530612</v>
      </c>
      <c r="BI158" s="63" t="n">
        <f aca="false">IF(AND(OR(CG158="L1",CG158="L23",CG158="LIFT"),BD158&gt;0),SUMIFS($BD$7:$BD$1843,$CG$7:$CG$1843,CG158,$BH$7:$BH$1843,"&gt;"&amp;BH158)+SUMIFS($BD$7:$BD$1843,$CG$7:$CG$1843,CG158,$BH$7:$BH$1843,BH158,$BX$7:$BX$1843,"&lt;="&amp;BX158),"")</f>
        <v>2219.04258241758</v>
      </c>
      <c r="BJ158" s="70" t="n">
        <f aca="false">IF(BI158="",0,MAX(0,MIN(1,(IF(CG158="L1",Parameter!$H$5,IF(CG158="L23",Parameter!$H$6+Parameter!$H$7,Parameter!$H$5+Parameter!$H$6+Parameter!$H$7))-(BI158-BD158))/BD158)))</f>
        <v>1</v>
      </c>
      <c r="BK158" s="60" t="str">
        <f aca="false">IF(AJ158&lt;=0,"",IF(CG158="Aussen","Aussenlager",IF(CG158="-","Nicht im Lift",IF(AP158&gt;=1,"Lift",IF(AP158&lt;=0,"Aussenlager","teilweise")))))</f>
        <v>Lift</v>
      </c>
      <c r="BL158" s="60" t="str">
        <f aca="false">IF(AT158&lt;=0,"",IF(CG158="Aussen","Aussenlager",IF(CG158="-","Nicht im Lift",IF(AZ158&gt;=1,"Lift",IF(AZ158&lt;=0,"Aussenlager","teilweise")))))</f>
        <v>Lift</v>
      </c>
      <c r="BM158" s="60" t="str">
        <f aca="false">IF(BD158&lt;=0,"",IF(CG158="Aussen","Aussenlager",IF(CG158="-","Nicht im Lift",IF(BJ158&gt;=1,"Lift",IF(BJ158&lt;=0,"Aussenlager","teilweise")))))</f>
        <v>Lift</v>
      </c>
      <c r="BN158" s="60" t="str">
        <f aca="false">IF(A158="","",IF(BW158=1,"Neu; ","")&amp;IF(AND(BW158=0,BR158&lt;0),"negativer Bestand (Export "&amp;BR158&amp;"); ","")&amp;IF(J158&lt;=0,"Kein Verbrauch; ","")&amp;IF(CR158&gt;0,"Lift "&amp;W158&amp;" lt. Liftbericht (Fach "&amp;X158&amp;" Stk); ",IF(CB158=1,"Gebinde geschätzt ("&amp;T158&amp;"); ",IF(CA158=1,"Lose – Tablare geschätzt; ","")))&amp;IF(H158&gt;AW158,"Überbestand "&amp;ROUND(H158-AW158,0)&amp;" Stk / CHF "&amp;ROUND((H158-AW158)*G158,0)&amp;"; ","")&amp;IF(AND(CI158=1,CJ158&lt;CK158),"MAX &lt; MB+LG; ","")&amp;IF(AND(CQ158&gt;0,CP158*10&gt;CQ158),"zu hoch für Tablar; ","")&amp;IF(AND(BW158=0,OR(CI158=1,AB158&lt;&gt;"",U158&lt;&gt;"",V158&lt;&gt;"",AC158&lt;&gt;"")),"manuell übersteuert; ","")&amp;IF(AND(CA158=0,R158=0),"Gebinde unbekannt / Stellmass fehlt; ","")&amp;IF(AND(CA158=0,N(V158)&lt;=0,N(Q158)&lt;=0),"Menge pro Gebinde fehlt (Ist = 1 Gebinde); ","")&amp;BV158)</f>
        <v/>
      </c>
      <c r="BO158" s="60"/>
      <c r="BP158" s="60"/>
      <c r="BQ158" s="67"/>
      <c r="BR158" s="62" t="n">
        <v>259</v>
      </c>
      <c r="BS158" s="62" t="n">
        <v>80</v>
      </c>
      <c r="BT158" s="61" t="n">
        <v>1249.1</v>
      </c>
      <c r="BU158" s="62" t="n">
        <v>386</v>
      </c>
      <c r="BV158" s="60"/>
      <c r="BW158" s="65" t="n">
        <v>0</v>
      </c>
      <c r="BX158" s="65" t="n">
        <v>158</v>
      </c>
      <c r="BY158" s="60" t="str">
        <f aca="false">IF(U158&lt;&gt;"",UPPER(TRIM(U158)),IF(CB158=1,UPPER(VLOOKUP(T158,Parameter!$I$27:$K$29,2,0)),IF(P158="","LOSE",P158)))</f>
        <v>S52</v>
      </c>
      <c r="BZ158" s="62" t="n">
        <f aca="false">IF(BY158="LOSE",1,IF(N(V158)&gt;0,V158,IF(CB158=1,MAX(1,N(VLOOKUP(T158,Parameter!$I$27:$K$29,3,0)),H158,N(N158)),IF(N(Q158)&gt;0,Q158,MAX(1,H158)))))</f>
        <v>131</v>
      </c>
      <c r="CA158" s="65" t="n">
        <f aca="false">IF(BY158="LOSE",1,0)</f>
        <v>0</v>
      </c>
      <c r="CB158" s="65" t="n">
        <f aca="false">IF(AND(U158="",OR(P158="",P158="LOSE"),T158&lt;&gt;"",N(S158)&lt;=0,ISNUMBER(MATCH(T158,Parameter!$I$27:$I$29,0))),1,0)</f>
        <v>0</v>
      </c>
      <c r="CC158" s="65" t="n">
        <f aca="false">IF(CR158&gt;0,INDEX(Parameter!$H$5:$H$7,W158)/INDEX(Parameter!$E$5:$E$7,W158),IF(AND(CA158=0,N(IFERROR(VLOOKUP(BY158,'Gebinde-Kategorie'!$A$5:$N$45,14,0),0))&gt;0),VLOOKUP(BY158,'Gebinde-Kategorie'!$A$5:$N$45,14,0)*10+Parameter!$M$23,Parameter!$M$24))</f>
        <v>245</v>
      </c>
      <c r="CD158" s="60" t="str">
        <f aca="false">IF(AND(Parameter!$B$19="Ja",E158&lt;&gt;"",ISNUMBER(MATCH(E158,Parameter!$I$35:$I$52,0))),VLOOKUP(E158,Parameter!$I$35:$J$52,2,0),IFERROR(VLOOKUP(D158,Parameter!$A$35:$C$64,2,0),"Nein"))</f>
        <v>2+3</v>
      </c>
      <c r="CE158" s="64" t="n">
        <f aca="false">IF(CA158=0,0,IF(N(S158)&gt;0,S158,IFERROR(VLOOKUP(D158,Parameter!$A$35:$C$64,3,0)+0,0)))</f>
        <v>0</v>
      </c>
      <c r="CF158" s="60" t="n">
        <f aca="false">IF(AB158&lt;&gt;"",AB158,AA158)</f>
        <v>3</v>
      </c>
      <c r="CG158" s="60" t="str">
        <f aca="false">IF(OR(CF158=1,CF158=2,CF158=3),IF(Parameter!$E$27="Ja","LIFT",IF(CF158=1,"L1","L23")),IF(CF158="Aussen","Aussen","-"))</f>
        <v>LIFT</v>
      </c>
      <c r="CH158" s="71" t="n">
        <f aca="false">IF(N(AC158)&gt;0,AC158,0)</f>
        <v>0</v>
      </c>
      <c r="CI158" s="65" t="n">
        <f aca="false">IF(ISNUMBER(AF158),1,0)</f>
        <v>0</v>
      </c>
      <c r="CJ158" s="62" t="n">
        <f aca="false">N(AF158)</f>
        <v>0</v>
      </c>
      <c r="CK158" s="62" t="n">
        <f aca="false">N(M158)+N(N158)</f>
        <v>405</v>
      </c>
      <c r="CL158" s="62" t="n">
        <f aca="false">N(M158)</f>
        <v>15</v>
      </c>
      <c r="CM158" s="62" t="n">
        <f aca="false">N(N158)</f>
        <v>390</v>
      </c>
      <c r="CN158" s="62" t="n">
        <f aca="false">ROUNDUP(H158/BZ158,0)</f>
        <v>3</v>
      </c>
      <c r="CO158" s="62" t="n">
        <f aca="false">ROUNDUP(CJ158/BZ158,0)</f>
        <v>0</v>
      </c>
      <c r="CP158" s="65" t="n">
        <f aca="false">IF(CA158=1,0,IFERROR(VLOOKUP(BY158,'Gebinde-Kategorie'!$A$5:$N$45,5,0)+0,0))</f>
        <v>21</v>
      </c>
      <c r="CQ158" s="65" t="n">
        <f aca="false">IFERROR(IF(OR(CF158=1,CF158=2,CF158=3),N(INDEX(Parameter!$I$5:$I$7,CF158)),0),0)</f>
        <v>0</v>
      </c>
      <c r="CR158" s="64" t="n">
        <f aca="false">IF(AND(Parameter!$B$21="Ja",ISNUMBER(W158),N(X158)&gt;0),IFERROR(N(INDEX(Parameter!$L$5:$L$7,W158))*INDEX(Parameter!$E$5:$E$7,W158)*X158/SUMIFS($X$7:$X$1843,$W$7:$W$1843,W158),0),0)</f>
        <v>0</v>
      </c>
      <c r="CS158" s="62" t="n">
        <f aca="false">IF(AND(OR(CG158="L1",CG158="L23",CG158="LIFT"),H158&gt;0),CC158*IF(CR158&gt;0,CR158*MAX(1,H158/X158),IF(CA158=1,CE158,IF(R158&gt;0,CN158/R158,0))/MAX(0.1,N(Parameter!$M$21))),"")</f>
        <v>28.2692307692308</v>
      </c>
      <c r="CT158" s="64" t="n">
        <f aca="false">IF(CS158="","",J158/H158)</f>
        <v>1.13864306784661</v>
      </c>
      <c r="CU158" s="62" t="n">
        <f aca="false">IF(CS158="","",H158*G158)</f>
        <v>1633.98</v>
      </c>
      <c r="CV158" s="63" t="n">
        <f aca="false">IF(CS158="","",(CL158+ROUNDUP(CL158+MAX(CM158,2*(J158/MAX(0.1,N(Einkauf!$C$6))-CL158)),0))/2)</f>
        <v>210</v>
      </c>
      <c r="CW158" s="62" t="n">
        <f aca="false">IF(CS158="","",MAX(0,H158-CV158)*G158)</f>
        <v>621.78</v>
      </c>
      <c r="CX158" s="62" t="n">
        <f aca="false">IF(CS158="","",CS158*MAX(0,1-CV158/H158))</f>
        <v>10.7573179033356</v>
      </c>
      <c r="CY158" s="64" t="n">
        <f aca="false">IF(CS158="","",PERCENTRANK($CS$7:$CS$1843,CS158)+PERCENTRANK($CU$7:$CU$1843,CU158)+1-PERCENTRANK($CT$7:$CT$1843,CT158))</f>
        <v>1.855</v>
      </c>
      <c r="CZ158" s="72" t="n">
        <f aca="false">IF(CS158="","",CHOOSE(MATCH(Einkauf!$C$5,Parameter!$G$23:$G$27,0),CY158,CS158,CU158,-CT158,CW158)+ROW()/1000000000)</f>
        <v>1.855000158</v>
      </c>
    </row>
    <row r="159" customFormat="false" ht="15" hidden="false" customHeight="false" outlineLevel="0" collapsed="false">
      <c r="A159" s="60" t="s">
        <v>567</v>
      </c>
      <c r="B159" s="60" t="s">
        <v>568</v>
      </c>
      <c r="C159" s="60" t="s">
        <v>206</v>
      </c>
      <c r="D159" s="60" t="s">
        <v>215</v>
      </c>
      <c r="E159" s="60"/>
      <c r="F159" s="60" t="s">
        <v>260</v>
      </c>
      <c r="G159" s="61" t="n">
        <v>103.6</v>
      </c>
      <c r="H159" s="62" t="n">
        <f aca="false">MAX(0,IF(AND(Parameter!$B$21="Ja",ISNUMBER(Y159)),Y159,IF(Parameter!$B$20="Jahresanfang 2025 + Export",BS159+BR159,BR159)))</f>
        <v>45</v>
      </c>
      <c r="I159" s="62" t="n">
        <f aca="false">H159*G159</f>
        <v>4662</v>
      </c>
      <c r="J159" s="62" t="n">
        <f aca="false">BU159*Parameter!$B$18</f>
        <v>151</v>
      </c>
      <c r="K159" s="63" t="n">
        <v>35.5</v>
      </c>
      <c r="L159" s="64" t="n">
        <v>4.25352112676056</v>
      </c>
      <c r="M159" s="62" t="n">
        <v>15</v>
      </c>
      <c r="N159" s="62" t="n">
        <v>55</v>
      </c>
      <c r="O159" s="65" t="n">
        <v>28</v>
      </c>
      <c r="P159" s="60" t="s">
        <v>210</v>
      </c>
      <c r="Q159" s="62"/>
      <c r="R159" s="65" t="n">
        <f aca="false">IF(CA159=1,0,IFERROR(VLOOKUP(BY159,'Gebinde-Kategorie'!$A$5:$N$45,13,0)+0,0))</f>
        <v>12</v>
      </c>
      <c r="S159" s="66"/>
      <c r="T159" s="67" t="s">
        <v>221</v>
      </c>
      <c r="U159" s="67"/>
      <c r="V159" s="67"/>
      <c r="W159" s="60"/>
      <c r="X159" s="62"/>
      <c r="Y159" s="62"/>
      <c r="Z159" s="60" t="n">
        <v>3</v>
      </c>
      <c r="AA159" s="60" t="n">
        <f aca="false">IF(A159="","",IF(AND(Parameter!$B$21="Ja",ISNUMBER(W159)),W159,IF(AND(Parameter!$E$27="Ja",ISNUMBER(Z159),CD159&lt;&gt;"Nein"),Z159,IF(CD159="2+3",IF(ISNUMBER(SEARCH("grosser Artikel",BV159)),2,IFERROR(VLOOKUP(BY159,Parameter!$F$35:$G$64,2,0),2)),IF(OR(CD159="Nein",CD159=""),"-",CD159)))))</f>
        <v>3</v>
      </c>
      <c r="AB159" s="67"/>
      <c r="AC159" s="68"/>
      <c r="AD159" s="62" t="n">
        <f aca="false">AW159</f>
        <v>86</v>
      </c>
      <c r="AE159" s="62" t="n">
        <f aca="false">MAX(AW159,H159)</f>
        <v>86</v>
      </c>
      <c r="AF159" s="69"/>
      <c r="AG159" s="62" t="n">
        <f aca="false">IF(LEFT(Cockpit!$C$5,1)="A",H159,IF(Parameter!$E$30="MAX-Bestand",IF(CI159=1,CJ159,IF(LEFT(Cockpit!$C$5,1)="B",AM159,MAX(AM159,H159))),ROUNDUP(AK159,0)))</f>
        <v>45</v>
      </c>
      <c r="AH159" s="62" t="n">
        <f aca="false">IF(CA159=1,0,ROUNDUP(AG159/BZ159,0))</f>
        <v>1</v>
      </c>
      <c r="AI159" s="64" t="n">
        <f aca="false">IF(CR159&gt;0,CR159*MAX(1,AG159/X159),IF(CA159=1,IF(AG159&lt;=0,0,CE159*MAX(1,IF(H159&gt;0,AG159/H159,1))),IF(R159&gt;0,AH159/R159,0))/MAX(0.1,N(Parameter!$M$21)))</f>
        <v>0.0833333333333333</v>
      </c>
      <c r="AJ159" s="62" t="n">
        <f aca="false">AI159*CC159</f>
        <v>12.0833333333333</v>
      </c>
      <c r="AK159" s="63" t="n">
        <f aca="false">IF(LEFT(Cockpit!$C$5,1)="A",H159,IF(CI159=1,(CL159+CJ159)/2,IF(LEFT(Cockpit!$C$5,1)="B",(CL159+AM159)/2,MAX((CL159+AM159)/2,H159))))</f>
        <v>45</v>
      </c>
      <c r="AL159" s="62" t="n">
        <f aca="false">AK159*G159</f>
        <v>4662</v>
      </c>
      <c r="AM159" s="62" t="n">
        <f aca="false">ROUNDUP(CL159+MAX(CM159,2*(J159/IF(CH159&gt;0,CH159,MAX(0.1,N(Cockpit!$C$6)))-CL159)),0)</f>
        <v>86</v>
      </c>
      <c r="AN159" s="63" t="n">
        <f aca="false">IF(AJ159&gt;0,J159/AJ159,-1)</f>
        <v>12.4965517241379</v>
      </c>
      <c r="AO159" s="63" t="n">
        <f aca="false">IF(AND(OR(CG159="L1",CG159="L23",CG159="LIFT"),AJ159&gt;0),SUMIFS($AJ$7:$AJ$1843,$CG$7:$CG$1843,CG159,$AN$7:$AN$1843,"&gt;"&amp;AN159)+SUMIFS($AJ$7:$AJ$1843,$CG$7:$CG$1843,CG159,$AN$7:$AN$1843,AN159,$BX$7:$BX$1843,"&lt;="&amp;BX159),"")</f>
        <v>2450.46428571429</v>
      </c>
      <c r="AP159" s="70" t="n">
        <f aca="false">IF(AO159="",0,MAX(0,MIN(1,(IF(CG159="L1",Parameter!$H$5,IF(CG159="L23",Parameter!$H$6+Parameter!$H$7,Parameter!$H$5+Parameter!$H$6+Parameter!$H$7))-(AO159-AJ159))/AJ159)))</f>
        <v>1</v>
      </c>
      <c r="AQ159" s="62" t="n">
        <f aca="false">IF(LEFT(Cockpit!$I$5,1)="A",H159,IF(Parameter!$E$30="MAX-Bestand",IF(CI159=1,CJ159,IF(LEFT(Cockpit!$I$5,1)="B",AW159,MAX(AW159,H159))),ROUNDUP(AU159,0)))</f>
        <v>51</v>
      </c>
      <c r="AR159" s="62" t="n">
        <f aca="false">IF(CA159=1,0,ROUNDUP(AQ159/BZ159,0))</f>
        <v>1</v>
      </c>
      <c r="AS159" s="64" t="n">
        <f aca="false">IF(CR159&gt;0,CR159*MAX(1,AQ159/X159),IF(CA159=1,IF(AQ159&lt;=0,0,CE159*MAX(1,IF(H159&gt;0,AQ159/H159,1))),IF(R159&gt;0,AR159/R159,0))/MAX(0.1,N(Parameter!$M$21)))</f>
        <v>0.0833333333333333</v>
      </c>
      <c r="AT159" s="62" t="n">
        <f aca="false">AS159*CC159</f>
        <v>12.0833333333333</v>
      </c>
      <c r="AU159" s="63" t="n">
        <f aca="false">IF(LEFT(Cockpit!$I$5,1)="A",H159,IF(CI159=1,(CL159+CJ159)/2,IF(LEFT(Cockpit!$I$5,1)="B",(CL159+AW159)/2,MAX((CL159+AW159)/2,H159))))</f>
        <v>50.5</v>
      </c>
      <c r="AV159" s="62" t="n">
        <f aca="false">AU159*G159</f>
        <v>5231.8</v>
      </c>
      <c r="AW159" s="62" t="n">
        <f aca="false">ROUNDUP(CL159+MAX(CM159,2*(J159/IF(CH159&gt;0,CH159,MAX(0.1,N(Cockpit!$I$6)))-CL159)),0)</f>
        <v>86</v>
      </c>
      <c r="AX159" s="63" t="n">
        <f aca="false">IF(AT159&gt;0,J159/AT159,-1)</f>
        <v>12.4965517241379</v>
      </c>
      <c r="AY159" s="63" t="n">
        <f aca="false">IF(AND(OR(CG159="L1",CG159="L23",CG159="LIFT"),AT159&gt;0),SUMIFS($AT$7:$AT$1843,$CG$7:$CG$1843,CG159,$AX$7:$AX$1843,"&gt;"&amp;AX159)+SUMIFS($AT$7:$AT$1843,$CG$7:$CG$1843,CG159,$AX$7:$AX$1843,AX159,$BX$7:$BX$1843,"&lt;="&amp;BX159),"")</f>
        <v>3039.84340659341</v>
      </c>
      <c r="AZ159" s="70" t="n">
        <f aca="false">IF(AY159="",0,MAX(0,MIN(1,(IF(CG159="L1",Parameter!$H$5,IF(CG159="L23",Parameter!$H$6+Parameter!$H$7,Parameter!$H$5+Parameter!$H$6+Parameter!$H$7))-(AY159-AT159))/AT159)))</f>
        <v>1</v>
      </c>
      <c r="BA159" s="62" t="n">
        <f aca="false">IF(LEFT(Cockpit!$O$5,1)="A",H159,IF(Parameter!$E$30="MAX-Bestand",IF(CI159=1,CJ159,IF(LEFT(Cockpit!$O$5,1)="B",BG159,MAX(BG159,H159))),ROUNDUP(BE159,0)))</f>
        <v>43</v>
      </c>
      <c r="BB159" s="62" t="n">
        <f aca="false">IF(CA159=1,0,ROUNDUP(BA159/BZ159,0))</f>
        <v>1</v>
      </c>
      <c r="BC159" s="64" t="n">
        <f aca="false">IF(CR159&gt;0,CR159*MAX(1,BA159/X159),IF(CA159=1,IF(BA159&lt;=0,0,CE159*MAX(1,IF(H159&gt;0,BA159/H159,1))),IF(R159&gt;0,BB159/R159,0))/MAX(0.1,N(Parameter!$M$21)))</f>
        <v>0.0833333333333333</v>
      </c>
      <c r="BD159" s="62" t="n">
        <f aca="false">BC159*CC159</f>
        <v>12.0833333333333</v>
      </c>
      <c r="BE159" s="63" t="n">
        <f aca="false">IF(LEFT(Cockpit!$O$5,1)="A",H159,IF(CI159=1,(CL159+CJ159)/2,IF(LEFT(Cockpit!$O$5,1)="B",(CL159+BG159)/2,MAX((CL159+BG159)/2,H159))))</f>
        <v>42.5</v>
      </c>
      <c r="BF159" s="62" t="n">
        <f aca="false">BE159*G159</f>
        <v>4403</v>
      </c>
      <c r="BG159" s="62" t="n">
        <f aca="false">ROUNDUP(CL159+MAX(CM159,2*(J159/IF(CH159&gt;0,CH159,MAX(0.1,N(Cockpit!$O$6)))-CL159)),0)</f>
        <v>70</v>
      </c>
      <c r="BH159" s="63" t="n">
        <f aca="false">IF(BD159&gt;0,J159/BD159,-1)</f>
        <v>12.4965517241379</v>
      </c>
      <c r="BI159" s="63" t="n">
        <f aca="false">IF(AND(OR(CG159="L1",CG159="L23",CG159="LIFT"),BD159&gt;0),SUMIFS($BD$7:$BD$1843,$CG$7:$CG$1843,CG159,$BH$7:$BH$1843,"&gt;"&amp;BH159)+SUMIFS($BD$7:$BD$1843,$CG$7:$CG$1843,CG159,$BH$7:$BH$1843,BH159,$BX$7:$BX$1843,"&lt;="&amp;BX159),"")</f>
        <v>2556.82875457876</v>
      </c>
      <c r="BJ159" s="70" t="n">
        <f aca="false">IF(BI159="",0,MAX(0,MIN(1,(IF(CG159="L1",Parameter!$H$5,IF(CG159="L23",Parameter!$H$6+Parameter!$H$7,Parameter!$H$5+Parameter!$H$6+Parameter!$H$7))-(BI159-BD159))/BD159)))</f>
        <v>1</v>
      </c>
      <c r="BK159" s="60" t="str">
        <f aca="false">IF(AJ159&lt;=0,"",IF(CG159="Aussen","Aussenlager",IF(CG159="-","Nicht im Lift",IF(AP159&gt;=1,"Lift",IF(AP159&lt;=0,"Aussenlager","teilweise")))))</f>
        <v>Lift</v>
      </c>
      <c r="BL159" s="60" t="str">
        <f aca="false">IF(AT159&lt;=0,"",IF(CG159="Aussen","Aussenlager",IF(CG159="-","Nicht im Lift",IF(AZ159&gt;=1,"Lift",IF(AZ159&lt;=0,"Aussenlager","teilweise")))))</f>
        <v>Lift</v>
      </c>
      <c r="BM159" s="60" t="str">
        <f aca="false">IF(BD159&lt;=0,"",IF(CG159="Aussen","Aussenlager",IF(CG159="-","Nicht im Lift",IF(BJ159&gt;=1,"Lift",IF(BJ159&lt;=0,"Aussenlager","teilweise")))))</f>
        <v>Lift</v>
      </c>
      <c r="BN159" s="60" t="str">
        <f aca="false">IF(A159="","",IF(BW159=1,"Neu; ","")&amp;IF(AND(BW159=0,BR159&lt;0),"negativer Bestand (Export "&amp;BR159&amp;"); ","")&amp;IF(J159&lt;=0,"Kein Verbrauch; ","")&amp;IF(CR159&gt;0,"Lift "&amp;W159&amp;" lt. Liftbericht (Fach "&amp;X159&amp;" Stk); ",IF(CB159=1,"Gebinde geschätzt ("&amp;T159&amp;"); ",IF(CA159=1,"Lose – Tablare geschätzt; ","")))&amp;IF(H159&gt;AW159,"Überbestand "&amp;ROUND(H159-AW159,0)&amp;" Stk / CHF "&amp;ROUND((H159-AW159)*G159,0)&amp;"; ","")&amp;IF(AND(CI159=1,CJ159&lt;CK159),"MAX &lt; MB+LG; ","")&amp;IF(AND(CQ159&gt;0,CP159*10&gt;CQ159),"zu hoch für Tablar; ","")&amp;IF(AND(BW159=0,OR(CI159=1,AB159&lt;&gt;"",U159&lt;&gt;"",V159&lt;&gt;"",AC159&lt;&gt;"")),"manuell übersteuert; ","")&amp;IF(AND(CA159=0,R159=0),"Gebinde unbekannt / Stellmass fehlt; ","")&amp;IF(AND(CA159=0,N(V159)&lt;=0,N(Q159)&lt;=0),"Menge pro Gebinde fehlt (Ist = 1 Gebinde); ","")&amp;BV159)</f>
        <v>Gebinde geschätzt (Mittel); Menge pro Gebinde fehlt (Ist = 1 Gebinde); </v>
      </c>
      <c r="BO159" s="60"/>
      <c r="BP159" s="60"/>
      <c r="BQ159" s="67"/>
      <c r="BR159" s="62" t="n">
        <v>14</v>
      </c>
      <c r="BS159" s="62" t="n">
        <v>31</v>
      </c>
      <c r="BT159" s="61" t="n">
        <v>1244.25</v>
      </c>
      <c r="BU159" s="62" t="n">
        <v>151</v>
      </c>
      <c r="BV159" s="60"/>
      <c r="BW159" s="65" t="n">
        <v>0</v>
      </c>
      <c r="BX159" s="65" t="n">
        <v>159</v>
      </c>
      <c r="BY159" s="60" t="str">
        <f aca="false">IF(U159&lt;&gt;"",UPPER(TRIM(U159)),IF(CB159=1,UPPER(VLOOKUP(T159,Parameter!$I$27:$K$29,2,0)),IF(P159="","LOSE",P159)))</f>
        <v>S61</v>
      </c>
      <c r="BZ159" s="62" t="n">
        <f aca="false">IF(BY159="LOSE",1,IF(N(V159)&gt;0,V159,IF(CB159=1,MAX(1,N(VLOOKUP(T159,Parameter!$I$27:$K$29,3,0)),H159,N(N159)),IF(N(Q159)&gt;0,Q159,MAX(1,H159)))))</f>
        <v>55</v>
      </c>
      <c r="CA159" s="65" t="n">
        <f aca="false">IF(BY159="LOSE",1,0)</f>
        <v>0</v>
      </c>
      <c r="CB159" s="65" t="n">
        <f aca="false">IF(AND(U159="",OR(P159="",P159="LOSE"),T159&lt;&gt;"",N(S159)&lt;=0,ISNUMBER(MATCH(T159,Parameter!$I$27:$I$29,0))),1,0)</f>
        <v>1</v>
      </c>
      <c r="CC159" s="65" t="n">
        <f aca="false">IF(CR159&gt;0,INDEX(Parameter!$H$5:$H$7,W159)/INDEX(Parameter!$E$5:$E$7,W159),IF(AND(CA159=0,N(IFERROR(VLOOKUP(BY159,'Gebinde-Kategorie'!$A$5:$N$45,14,0),0))&gt;0),VLOOKUP(BY159,'Gebinde-Kategorie'!$A$5:$N$45,14,0)*10+Parameter!$M$23,Parameter!$M$24))</f>
        <v>145</v>
      </c>
      <c r="CD159" s="60" t="str">
        <f aca="false">IF(AND(Parameter!$B$19="Ja",E159&lt;&gt;"",ISNUMBER(MATCH(E159,Parameter!$I$35:$I$52,0))),VLOOKUP(E159,Parameter!$I$35:$J$52,2,0),IFERROR(VLOOKUP(D159,Parameter!$A$35:$C$64,2,0),"Nein"))</f>
        <v>2+3</v>
      </c>
      <c r="CE159" s="64" t="n">
        <f aca="false">IF(CA159=0,0,IF(N(S159)&gt;0,S159,IFERROR(VLOOKUP(D159,Parameter!$A$35:$C$64,3,0)+0,0)))</f>
        <v>0</v>
      </c>
      <c r="CF159" s="60" t="n">
        <f aca="false">IF(AB159&lt;&gt;"",AB159,AA159)</f>
        <v>3</v>
      </c>
      <c r="CG159" s="60" t="str">
        <f aca="false">IF(OR(CF159=1,CF159=2,CF159=3),IF(Parameter!$E$27="Ja","LIFT",IF(CF159=1,"L1","L23")),IF(CF159="Aussen","Aussen","-"))</f>
        <v>LIFT</v>
      </c>
      <c r="CH159" s="71" t="n">
        <f aca="false">IF(N(AC159)&gt;0,AC159,0)</f>
        <v>0</v>
      </c>
      <c r="CI159" s="65" t="n">
        <f aca="false">IF(ISNUMBER(AF159),1,0)</f>
        <v>0</v>
      </c>
      <c r="CJ159" s="62" t="n">
        <f aca="false">N(AF159)</f>
        <v>0</v>
      </c>
      <c r="CK159" s="62" t="n">
        <f aca="false">N(M159)+N(N159)</f>
        <v>70</v>
      </c>
      <c r="CL159" s="62" t="n">
        <f aca="false">N(M159)</f>
        <v>15</v>
      </c>
      <c r="CM159" s="62" t="n">
        <f aca="false">N(N159)</f>
        <v>55</v>
      </c>
      <c r="CN159" s="62" t="n">
        <f aca="false">ROUNDUP(H159/BZ159,0)</f>
        <v>1</v>
      </c>
      <c r="CO159" s="62" t="n">
        <f aca="false">ROUNDUP(CJ159/BZ159,0)</f>
        <v>0</v>
      </c>
      <c r="CP159" s="65" t="n">
        <f aca="false">IF(CA159=1,0,IFERROR(VLOOKUP(BY159,'Gebinde-Kategorie'!$A$5:$N$45,5,0)+0,0))</f>
        <v>11</v>
      </c>
      <c r="CQ159" s="65" t="n">
        <f aca="false">IFERROR(IF(OR(CF159=1,CF159=2,CF159=3),N(INDEX(Parameter!$I$5:$I$7,CF159)),0),0)</f>
        <v>0</v>
      </c>
      <c r="CR159" s="64" t="n">
        <f aca="false">IF(AND(Parameter!$B$21="Ja",ISNUMBER(W159),N(X159)&gt;0),IFERROR(N(INDEX(Parameter!$L$5:$L$7,W159))*INDEX(Parameter!$E$5:$E$7,W159)*X159/SUMIFS($X$7:$X$1843,$W$7:$W$1843,W159),0),0)</f>
        <v>0</v>
      </c>
      <c r="CS159" s="62" t="n">
        <f aca="false">IF(AND(OR(CG159="L1",CG159="L23",CG159="LIFT"),H159&gt;0),CC159*IF(CR159&gt;0,CR159*MAX(1,H159/X159),IF(CA159=1,CE159,IF(R159&gt;0,CN159/R159,0))/MAX(0.1,N(Parameter!$M$21))),"")</f>
        <v>12.0833333333333</v>
      </c>
      <c r="CT159" s="64" t="n">
        <f aca="false">IF(CS159="","",J159/H159)</f>
        <v>3.35555555555556</v>
      </c>
      <c r="CU159" s="62" t="n">
        <f aca="false">IF(CS159="","",H159*G159)</f>
        <v>4662</v>
      </c>
      <c r="CV159" s="63" t="n">
        <f aca="false">IF(CS159="","",(CL159+ROUNDUP(CL159+MAX(CM159,2*(J159/MAX(0.1,N(Einkauf!$C$6))-CL159)),0))/2)</f>
        <v>42.5</v>
      </c>
      <c r="CW159" s="62" t="n">
        <f aca="false">IF(CS159="","",MAX(0,H159-CV159)*G159)</f>
        <v>259</v>
      </c>
      <c r="CX159" s="62" t="n">
        <f aca="false">IF(CS159="","",CS159*MAX(0,1-CV159/H159))</f>
        <v>0.671296296296297</v>
      </c>
      <c r="CY159" s="64" t="n">
        <f aca="false">IF(CS159="","",PERCENTRANK($CS$7:$CS$1843,CS159)+PERCENTRANK($CU$7:$CU$1843,CU159)+1-PERCENTRANK($CT$7:$CT$1843,CT159))</f>
        <v>1.647</v>
      </c>
      <c r="CZ159" s="72" t="n">
        <f aca="false">IF(CS159="","",CHOOSE(MATCH(Einkauf!$C$5,Parameter!$G$23:$G$27,0),CY159,CS159,CU159,-CT159,CW159)+ROW()/1000000000)</f>
        <v>1.647000159</v>
      </c>
    </row>
    <row r="160" customFormat="false" ht="15" hidden="false" customHeight="false" outlineLevel="0" collapsed="false">
      <c r="A160" s="60" t="s">
        <v>569</v>
      </c>
      <c r="B160" s="60" t="s">
        <v>425</v>
      </c>
      <c r="C160" s="60" t="s">
        <v>206</v>
      </c>
      <c r="D160" s="60" t="s">
        <v>226</v>
      </c>
      <c r="E160" s="60" t="s">
        <v>227</v>
      </c>
      <c r="F160" s="60" t="s">
        <v>260</v>
      </c>
      <c r="G160" s="61" t="n">
        <v>598.49</v>
      </c>
      <c r="H160" s="62" t="n">
        <f aca="false">MAX(0,IF(AND(Parameter!$B$21="Ja",ISNUMBER(Y160)),Y160,IF(Parameter!$B$20="Jahresanfang 2025 + Export",BS160+BR160,BR160)))</f>
        <v>7</v>
      </c>
      <c r="I160" s="62" t="n">
        <f aca="false">H160*G160</f>
        <v>4189.43</v>
      </c>
      <c r="J160" s="62" t="n">
        <f aca="false">BU160*Parameter!$B$18</f>
        <v>21</v>
      </c>
      <c r="K160" s="63" t="n">
        <v>6.5</v>
      </c>
      <c r="L160" s="64" t="n">
        <v>3.23076923076923</v>
      </c>
      <c r="M160" s="62" t="n">
        <v>1</v>
      </c>
      <c r="N160" s="62" t="n">
        <v>1</v>
      </c>
      <c r="O160" s="65" t="n">
        <v>14</v>
      </c>
      <c r="P160" s="60" t="s">
        <v>216</v>
      </c>
      <c r="Q160" s="62" t="n">
        <v>12</v>
      </c>
      <c r="R160" s="65" t="n">
        <f aca="false">IF(CA160=1,0,IFERROR(VLOOKUP(BY160,'Gebinde-Kategorie'!$A$5:$N$45,13,0)+0,0))</f>
        <v>6</v>
      </c>
      <c r="S160" s="66"/>
      <c r="T160" s="67"/>
      <c r="U160" s="67"/>
      <c r="V160" s="67"/>
      <c r="W160" s="60"/>
      <c r="X160" s="62"/>
      <c r="Y160" s="62"/>
      <c r="Z160" s="60" t="n">
        <v>2</v>
      </c>
      <c r="AA160" s="60" t="n">
        <f aca="false">IF(A160="","",IF(AND(Parameter!$B$21="Ja",ISNUMBER(W160)),W160,IF(AND(Parameter!$E$27="Ja",ISNUMBER(Z160),CD160&lt;&gt;"Nein"),Z160,IF(CD160="2+3",IF(ISNUMBER(SEARCH("grosser Artikel",BV160)),2,IFERROR(VLOOKUP(BY160,Parameter!$F$35:$G$64,2,0),2)),IF(OR(CD160="Nein",CD160=""),"-",CD160)))))</f>
        <v>2</v>
      </c>
      <c r="AB160" s="67"/>
      <c r="AC160" s="68"/>
      <c r="AD160" s="62" t="n">
        <f aca="false">AW160</f>
        <v>13</v>
      </c>
      <c r="AE160" s="62" t="n">
        <f aca="false">MAX(AW160,H160)</f>
        <v>13</v>
      </c>
      <c r="AF160" s="69"/>
      <c r="AG160" s="62" t="n">
        <f aca="false">IF(LEFT(Cockpit!$C$5,1)="A",H160,IF(Parameter!$E$30="MAX-Bestand",IF(CI160=1,CJ160,IF(LEFT(Cockpit!$C$5,1)="B",AM160,MAX(AM160,H160))),ROUNDUP(AK160,0)))</f>
        <v>7</v>
      </c>
      <c r="AH160" s="62" t="n">
        <f aca="false">IF(CA160=1,0,ROUNDUP(AG160/BZ160,0))</f>
        <v>1</v>
      </c>
      <c r="AI160" s="64" t="n">
        <f aca="false">IF(CR160&gt;0,CR160*MAX(1,AG160/X160),IF(CA160=1,IF(AG160&lt;=0,0,CE160*MAX(1,IF(H160&gt;0,AG160/H160,1))),IF(R160&gt;0,AH160/R160,0))/MAX(0.1,N(Parameter!$M$21)))</f>
        <v>0.166666666666667</v>
      </c>
      <c r="AJ160" s="62" t="n">
        <f aca="false">AI160*CC160</f>
        <v>39.1666666666667</v>
      </c>
      <c r="AK160" s="63" t="n">
        <f aca="false">IF(LEFT(Cockpit!$C$5,1)="A",H160,IF(CI160=1,(CL160+CJ160)/2,IF(LEFT(Cockpit!$C$5,1)="B",(CL160+AM160)/2,MAX((CL160+AM160)/2,H160))))</f>
        <v>7</v>
      </c>
      <c r="AL160" s="62" t="n">
        <f aca="false">AK160*G160</f>
        <v>4189.43</v>
      </c>
      <c r="AM160" s="62" t="n">
        <f aca="false">ROUNDUP(CL160+MAX(CM160,2*(J160/IF(CH160&gt;0,CH160,MAX(0.1,N(Cockpit!$C$6)))-CL160)),0)</f>
        <v>13</v>
      </c>
      <c r="AN160" s="63" t="n">
        <f aca="false">IF(AJ160&gt;0,J160/AJ160,-1)</f>
        <v>0.536170212765957</v>
      </c>
      <c r="AO160" s="63" t="n">
        <f aca="false">IF(AND(OR(CG160="L1",CG160="L23",CG160="LIFT"),AJ160&gt;0),SUMIFS($AJ$7:$AJ$1843,$CG$7:$CG$1843,CG160,$AN$7:$AN$1843,"&gt;"&amp;AN160)+SUMIFS($AJ$7:$AJ$1843,$CG$7:$CG$1843,CG160,$AN$7:$AN$1843,AN160,$BX$7:$BX$1843,"&lt;="&amp;BX160),"")</f>
        <v>9500.20922062871</v>
      </c>
      <c r="AP160" s="70" t="n">
        <f aca="false">IF(AO160="",0,MAX(0,MIN(1,(IF(CG160="L1",Parameter!$H$5,IF(CG160="L23",Parameter!$H$6+Parameter!$H$7,Parameter!$H$5+Parameter!$H$6+Parameter!$H$7))-(AO160-AJ160))/AJ160)))</f>
        <v>1</v>
      </c>
      <c r="AQ160" s="62" t="n">
        <f aca="false">IF(LEFT(Cockpit!$I$5,1)="A",H160,IF(Parameter!$E$30="MAX-Bestand",IF(CI160=1,CJ160,IF(LEFT(Cockpit!$I$5,1)="B",AW160,MAX(AW160,H160))),ROUNDUP(AU160,0)))</f>
        <v>7</v>
      </c>
      <c r="AR160" s="62" t="n">
        <f aca="false">IF(CA160=1,0,ROUNDUP(AQ160/BZ160,0))</f>
        <v>1</v>
      </c>
      <c r="AS160" s="64" t="n">
        <f aca="false">IF(CR160&gt;0,CR160*MAX(1,AQ160/X160),IF(CA160=1,IF(AQ160&lt;=0,0,CE160*MAX(1,IF(H160&gt;0,AQ160/H160,1))),IF(R160&gt;0,AR160/R160,0))/MAX(0.1,N(Parameter!$M$21)))</f>
        <v>0.166666666666667</v>
      </c>
      <c r="AT160" s="62" t="n">
        <f aca="false">AS160*CC160</f>
        <v>39.1666666666667</v>
      </c>
      <c r="AU160" s="63" t="n">
        <f aca="false">IF(LEFT(Cockpit!$I$5,1)="A",H160,IF(CI160=1,(CL160+CJ160)/2,IF(LEFT(Cockpit!$I$5,1)="B",(CL160+AW160)/2,MAX((CL160+AW160)/2,H160))))</f>
        <v>7</v>
      </c>
      <c r="AV160" s="62" t="n">
        <f aca="false">AU160*G160</f>
        <v>4189.43</v>
      </c>
      <c r="AW160" s="62" t="n">
        <f aca="false">ROUNDUP(CL160+MAX(CM160,2*(J160/IF(CH160&gt;0,CH160,MAX(0.1,N(Cockpit!$I$6)))-CL160)),0)</f>
        <v>13</v>
      </c>
      <c r="AX160" s="63" t="n">
        <f aca="false">IF(AT160&gt;0,J160/AT160,-1)</f>
        <v>0.536170212765957</v>
      </c>
      <c r="AY160" s="63" t="n">
        <f aca="false">IF(AND(OR(CG160="L1",CG160="L23",CG160="LIFT"),AT160&gt;0),SUMIFS($AT$7:$AT$1843,$CG$7:$CG$1843,CG160,$AX$7:$AX$1843,"&gt;"&amp;AX160)+SUMIFS($AT$7:$AT$1843,$CG$7:$CG$1843,CG160,$AX$7:$AX$1843,AX160,$BX$7:$BX$1843,"&lt;="&amp;BX160),"")</f>
        <v>11902.1227106227</v>
      </c>
      <c r="AZ160" s="70" t="n">
        <f aca="false">IF(AY160="",0,MAX(0,MIN(1,(IF(CG160="L1",Parameter!$H$5,IF(CG160="L23",Parameter!$H$6+Parameter!$H$7,Parameter!$H$5+Parameter!$H$6+Parameter!$H$7))-(AY160-AT160))/AT160)))</f>
        <v>1</v>
      </c>
      <c r="BA160" s="62" t="n">
        <f aca="false">IF(LEFT(Cockpit!$O$5,1)="A",H160,IF(Parameter!$E$30="MAX-Bestand",IF(CI160=1,CJ160,IF(LEFT(Cockpit!$O$5,1)="B",BG160,MAX(BG160,H160))),ROUNDUP(BE160,0)))</f>
        <v>6</v>
      </c>
      <c r="BB160" s="62" t="n">
        <f aca="false">IF(CA160=1,0,ROUNDUP(BA160/BZ160,0))</f>
        <v>1</v>
      </c>
      <c r="BC160" s="64" t="n">
        <f aca="false">IF(CR160&gt;0,CR160*MAX(1,BA160/X160),IF(CA160=1,IF(BA160&lt;=0,0,CE160*MAX(1,IF(H160&gt;0,BA160/H160,1))),IF(R160&gt;0,BB160/R160,0))/MAX(0.1,N(Parameter!$M$21)))</f>
        <v>0.166666666666667</v>
      </c>
      <c r="BD160" s="62" t="n">
        <f aca="false">BC160*CC160</f>
        <v>39.1666666666667</v>
      </c>
      <c r="BE160" s="63" t="n">
        <f aca="false">IF(LEFT(Cockpit!$O$5,1)="A",H160,IF(CI160=1,(CL160+CJ160)/2,IF(LEFT(Cockpit!$O$5,1)="B",(CL160+BG160)/2,MAX((CL160+BG160)/2,H160))))</f>
        <v>5.5</v>
      </c>
      <c r="BF160" s="62" t="n">
        <f aca="false">BE160*G160</f>
        <v>3291.695</v>
      </c>
      <c r="BG160" s="62" t="n">
        <f aca="false">ROUNDUP(CL160+MAX(CM160,2*(J160/IF(CH160&gt;0,CH160,MAX(0.1,N(Cockpit!$O$6)))-CL160)),0)</f>
        <v>10</v>
      </c>
      <c r="BH160" s="63" t="n">
        <f aca="false">IF(BD160&gt;0,J160/BD160,-1)</f>
        <v>0.536170212765957</v>
      </c>
      <c r="BI160" s="63" t="n">
        <f aca="false">IF(AND(OR(CG160="L1",CG160="L23",CG160="LIFT"),BD160&gt;0),SUMIFS($BD$7:$BD$1843,$CG$7:$CG$1843,CG160,$BH$7:$BH$1843,"&gt;"&amp;BH160)+SUMIFS($BD$7:$BD$1843,$CG$7:$CG$1843,CG160,$BH$7:$BH$1843,BH160,$BX$7:$BX$1843,"&lt;="&amp;BX160),"")</f>
        <v>10265.5389194139</v>
      </c>
      <c r="BJ160" s="70" t="n">
        <f aca="false">IF(BI160="",0,MAX(0,MIN(1,(IF(CG160="L1",Parameter!$H$5,IF(CG160="L23",Parameter!$H$6+Parameter!$H$7,Parameter!$H$5+Parameter!$H$6+Parameter!$H$7))-(BI160-BD160))/BD160)))</f>
        <v>1</v>
      </c>
      <c r="BK160" s="60" t="str">
        <f aca="false">IF(AJ160&lt;=0,"",IF(CG160="Aussen","Aussenlager",IF(CG160="-","Nicht im Lift",IF(AP160&gt;=1,"Lift",IF(AP160&lt;=0,"Aussenlager","teilweise")))))</f>
        <v>Lift</v>
      </c>
      <c r="BL160" s="60" t="str">
        <f aca="false">IF(AT160&lt;=0,"",IF(CG160="Aussen","Aussenlager",IF(CG160="-","Nicht im Lift",IF(AZ160&gt;=1,"Lift",IF(AZ160&lt;=0,"Aussenlager","teilweise")))))</f>
        <v>Lift</v>
      </c>
      <c r="BM160" s="60" t="str">
        <f aca="false">IF(BD160&lt;=0,"",IF(CG160="Aussen","Aussenlager",IF(CG160="-","Nicht im Lift",IF(BJ160&gt;=1,"Lift",IF(BJ160&lt;=0,"Aussenlager","teilweise")))))</f>
        <v>Lift</v>
      </c>
      <c r="BN160" s="60" t="str">
        <f aca="false">IF(A160="","",IF(BW160=1,"Neu; ","")&amp;IF(AND(BW160=0,BR160&lt;0),"negativer Bestand (Export "&amp;BR160&amp;"); ","")&amp;IF(J160&lt;=0,"Kein Verbrauch; ","")&amp;IF(CR160&gt;0,"Lift "&amp;W160&amp;" lt. Liftbericht (Fach "&amp;X160&amp;" Stk); ",IF(CB160=1,"Gebinde geschätzt ("&amp;T160&amp;"); ",IF(CA160=1,"Lose – Tablare geschätzt; ","")))&amp;IF(H160&gt;AW160,"Überbestand "&amp;ROUND(H160-AW160,0)&amp;" Stk / CHF "&amp;ROUND((H160-AW160)*G160,0)&amp;"; ","")&amp;IF(AND(CI160=1,CJ160&lt;CK160),"MAX &lt; MB+LG; ","")&amp;IF(AND(CQ160&gt;0,CP160*10&gt;CQ160),"zu hoch für Tablar; ","")&amp;IF(AND(BW160=0,OR(CI160=1,AB160&lt;&gt;"",U160&lt;&gt;"",V160&lt;&gt;"",AC160&lt;&gt;"")),"manuell übersteuert; ","")&amp;IF(AND(CA160=0,R160=0),"Gebinde unbekannt / Stellmass fehlt; ","")&amp;IF(AND(CA160=0,N(V160)&lt;=0,N(Q160)&lt;=0),"Menge pro Gebinde fehlt (Ist = 1 Gebinde); ","")&amp;BV160)</f>
        <v>länger als die Kisten</v>
      </c>
      <c r="BO160" s="60"/>
      <c r="BP160" s="60"/>
      <c r="BQ160" s="67"/>
      <c r="BR160" s="62" t="n">
        <v>2</v>
      </c>
      <c r="BS160" s="62" t="n">
        <v>5</v>
      </c>
      <c r="BT160" s="61" t="n">
        <v>1225.11</v>
      </c>
      <c r="BU160" s="62" t="n">
        <v>21</v>
      </c>
      <c r="BV160" s="60" t="s">
        <v>570</v>
      </c>
      <c r="BW160" s="65" t="n">
        <v>0</v>
      </c>
      <c r="BX160" s="65" t="n">
        <v>160</v>
      </c>
      <c r="BY160" s="60" t="str">
        <f aca="false">IF(U160&lt;&gt;"",UPPER(TRIM(U160)),IF(CB160=1,UPPER(VLOOKUP(T160,Parameter!$I$27:$K$29,2,0)),IF(P160="","LOSE",P160)))</f>
        <v>S71</v>
      </c>
      <c r="BZ160" s="62" t="n">
        <f aca="false">IF(BY160="LOSE",1,IF(N(V160)&gt;0,V160,IF(CB160=1,MAX(1,N(VLOOKUP(T160,Parameter!$I$27:$K$29,3,0)),H160,N(N160)),IF(N(Q160)&gt;0,Q160,MAX(1,H160)))))</f>
        <v>12</v>
      </c>
      <c r="CA160" s="65" t="n">
        <f aca="false">IF(BY160="LOSE",1,0)</f>
        <v>0</v>
      </c>
      <c r="CB160" s="65" t="n">
        <f aca="false">IF(AND(U160="",OR(P160="",P160="LOSE"),T160&lt;&gt;"",N(S160)&lt;=0,ISNUMBER(MATCH(T160,Parameter!$I$27:$I$29,0))),1,0)</f>
        <v>0</v>
      </c>
      <c r="CC160" s="65" t="n">
        <f aca="false">IF(CR160&gt;0,INDEX(Parameter!$H$5:$H$7,W160)/INDEX(Parameter!$E$5:$E$7,W160),IF(AND(CA160=0,N(IFERROR(VLOOKUP(BY160,'Gebinde-Kategorie'!$A$5:$N$45,14,0),0))&gt;0),VLOOKUP(BY160,'Gebinde-Kategorie'!$A$5:$N$45,14,0)*10+Parameter!$M$23,Parameter!$M$24))</f>
        <v>235</v>
      </c>
      <c r="CD160" s="60" t="str">
        <f aca="false">IF(AND(Parameter!$B$19="Ja",E160&lt;&gt;"",ISNUMBER(MATCH(E160,Parameter!$I$35:$I$52,0))),VLOOKUP(E160,Parameter!$I$35:$J$52,2,0),IFERROR(VLOOKUP(D160,Parameter!$A$35:$C$64,2,0),"Nein"))</f>
        <v>2+3</v>
      </c>
      <c r="CE160" s="64" t="n">
        <f aca="false">IF(CA160=0,0,IF(N(S160)&gt;0,S160,IFERROR(VLOOKUP(D160,Parameter!$A$35:$C$64,3,0)+0,0)))</f>
        <v>0</v>
      </c>
      <c r="CF160" s="60" t="n">
        <f aca="false">IF(AB160&lt;&gt;"",AB160,AA160)</f>
        <v>2</v>
      </c>
      <c r="CG160" s="60" t="str">
        <f aca="false">IF(OR(CF160=1,CF160=2,CF160=3),IF(Parameter!$E$27="Ja","LIFT",IF(CF160=1,"L1","L23")),IF(CF160="Aussen","Aussen","-"))</f>
        <v>LIFT</v>
      </c>
      <c r="CH160" s="71" t="n">
        <f aca="false">IF(N(AC160)&gt;0,AC160,0)</f>
        <v>0</v>
      </c>
      <c r="CI160" s="65" t="n">
        <f aca="false">IF(ISNUMBER(AF160),1,0)</f>
        <v>0</v>
      </c>
      <c r="CJ160" s="62" t="n">
        <f aca="false">N(AF160)</f>
        <v>0</v>
      </c>
      <c r="CK160" s="62" t="n">
        <f aca="false">N(M160)+N(N160)</f>
        <v>2</v>
      </c>
      <c r="CL160" s="62" t="n">
        <f aca="false">N(M160)</f>
        <v>1</v>
      </c>
      <c r="CM160" s="62" t="n">
        <f aca="false">N(N160)</f>
        <v>1</v>
      </c>
      <c r="CN160" s="62" t="n">
        <f aca="false">ROUNDUP(H160/BZ160,0)</f>
        <v>1</v>
      </c>
      <c r="CO160" s="62" t="n">
        <f aca="false">ROUNDUP(CJ160/BZ160,0)</f>
        <v>0</v>
      </c>
      <c r="CP160" s="65" t="n">
        <f aca="false">IF(CA160=1,0,IFERROR(VLOOKUP(BY160,'Gebinde-Kategorie'!$A$5:$N$45,5,0)+0,0))</f>
        <v>20</v>
      </c>
      <c r="CQ160" s="65" t="n">
        <f aca="false">IFERROR(IF(OR(CF160=1,CF160=2,CF160=3),N(INDEX(Parameter!$I$5:$I$7,CF160)),0),0)</f>
        <v>0</v>
      </c>
      <c r="CR160" s="64" t="n">
        <f aca="false">IF(AND(Parameter!$B$21="Ja",ISNUMBER(W160),N(X160)&gt;0),IFERROR(N(INDEX(Parameter!$L$5:$L$7,W160))*INDEX(Parameter!$E$5:$E$7,W160)*X160/SUMIFS($X$7:$X$1843,$W$7:$W$1843,W160),0),0)</f>
        <v>0</v>
      </c>
      <c r="CS160" s="62" t="n">
        <f aca="false">IF(AND(OR(CG160="L1",CG160="L23",CG160="LIFT"),H160&gt;0),CC160*IF(CR160&gt;0,CR160*MAX(1,H160/X160),IF(CA160=1,CE160,IF(R160&gt;0,CN160/R160,0))/MAX(0.1,N(Parameter!$M$21))),"")</f>
        <v>39.1666666666667</v>
      </c>
      <c r="CT160" s="64" t="n">
        <f aca="false">IF(CS160="","",J160/H160)</f>
        <v>3</v>
      </c>
      <c r="CU160" s="62" t="n">
        <f aca="false">IF(CS160="","",H160*G160)</f>
        <v>4189.43</v>
      </c>
      <c r="CV160" s="63" t="n">
        <f aca="false">IF(CS160="","",(CL160+ROUNDUP(CL160+MAX(CM160,2*(J160/MAX(0.1,N(Einkauf!$C$6))-CL160)),0))/2)</f>
        <v>5.5</v>
      </c>
      <c r="CW160" s="62" t="n">
        <f aca="false">IF(CS160="","",MAX(0,H160-CV160)*G160)</f>
        <v>897.735</v>
      </c>
      <c r="CX160" s="62" t="n">
        <f aca="false">IF(CS160="","",CS160*MAX(0,1-CV160/H160))</f>
        <v>8.39285714285714</v>
      </c>
      <c r="CY160" s="64" t="n">
        <f aca="false">IF(CS160="","",PERCENTRANK($CS$7:$CS$1843,CS160)+PERCENTRANK($CU$7:$CU$1843,CU160)+1-PERCENTRANK($CT$7:$CT$1843,CT160))</f>
        <v>1.86</v>
      </c>
      <c r="CZ160" s="72" t="n">
        <f aca="false">IF(CS160="","",CHOOSE(MATCH(Einkauf!$C$5,Parameter!$G$23:$G$27,0),CY160,CS160,CU160,-CT160,CW160)+ROW()/1000000000)</f>
        <v>1.86000016</v>
      </c>
    </row>
    <row r="161" customFormat="false" ht="15" hidden="false" customHeight="false" outlineLevel="0" collapsed="false">
      <c r="A161" s="60" t="s">
        <v>571</v>
      </c>
      <c r="B161" s="60" t="s">
        <v>572</v>
      </c>
      <c r="C161" s="60" t="s">
        <v>206</v>
      </c>
      <c r="D161" s="60" t="s">
        <v>226</v>
      </c>
      <c r="E161" s="60"/>
      <c r="F161" s="60" t="s">
        <v>260</v>
      </c>
      <c r="G161" s="61" t="n">
        <v>51</v>
      </c>
      <c r="H161" s="62" t="n">
        <f aca="false">MAX(0,IF(AND(Parameter!$B$21="Ja",ISNUMBER(Y161)),Y161,IF(Parameter!$B$20="Jahresanfang 2025 + Export",BS161+BR161,BR161)))</f>
        <v>24</v>
      </c>
      <c r="I161" s="62" t="n">
        <f aca="false">H161*G161</f>
        <v>1224</v>
      </c>
      <c r="J161" s="62" t="n">
        <f aca="false">BU161*Parameter!$B$18</f>
        <v>0</v>
      </c>
      <c r="K161" s="63" t="n">
        <v>0</v>
      </c>
      <c r="L161" s="64" t="n">
        <v>0</v>
      </c>
      <c r="M161" s="62" t="n">
        <v>0</v>
      </c>
      <c r="N161" s="62" t="n">
        <v>1</v>
      </c>
      <c r="O161" s="65" t="n">
        <v>9999</v>
      </c>
      <c r="P161" s="60" t="s">
        <v>210</v>
      </c>
      <c r="Q161" s="62"/>
      <c r="R161" s="65" t="n">
        <f aca="false">IF(CA161=1,0,IFERROR(VLOOKUP(BY161,'Gebinde-Kategorie'!$A$5:$N$45,13,0)+0,0))</f>
        <v>4</v>
      </c>
      <c r="S161" s="66"/>
      <c r="T161" s="67" t="s">
        <v>231</v>
      </c>
      <c r="U161" s="67"/>
      <c r="V161" s="67"/>
      <c r="W161" s="60"/>
      <c r="X161" s="62"/>
      <c r="Y161" s="62"/>
      <c r="Z161" s="60" t="n">
        <v>2</v>
      </c>
      <c r="AA161" s="60" t="n">
        <f aca="false">IF(A161="","",IF(AND(Parameter!$B$21="Ja",ISNUMBER(W161)),W161,IF(AND(Parameter!$E$27="Ja",ISNUMBER(Z161),CD161&lt;&gt;"Nein"),Z161,IF(CD161="2+3",IF(ISNUMBER(SEARCH("grosser Artikel",BV161)),2,IFERROR(VLOOKUP(BY161,Parameter!$F$35:$G$64,2,0),2)),IF(OR(CD161="Nein",CD161=""),"-",CD161)))))</f>
        <v>2</v>
      </c>
      <c r="AB161" s="67"/>
      <c r="AC161" s="68"/>
      <c r="AD161" s="62" t="n">
        <f aca="false">AW161</f>
        <v>1</v>
      </c>
      <c r="AE161" s="62" t="n">
        <f aca="false">MAX(AW161,H161)</f>
        <v>24</v>
      </c>
      <c r="AF161" s="69"/>
      <c r="AG161" s="62" t="n">
        <f aca="false">IF(LEFT(Cockpit!$C$5,1)="A",H161,IF(Parameter!$E$30="MAX-Bestand",IF(CI161=1,CJ161,IF(LEFT(Cockpit!$C$5,1)="B",AM161,MAX(AM161,H161))),ROUNDUP(AK161,0)))</f>
        <v>24</v>
      </c>
      <c r="AH161" s="62" t="n">
        <f aca="false">IF(CA161=1,0,ROUNDUP(AG161/BZ161,0))</f>
        <v>1</v>
      </c>
      <c r="AI161" s="64" t="n">
        <f aca="false">IF(CR161&gt;0,CR161*MAX(1,AG161/X161),IF(CA161=1,IF(AG161&lt;=0,0,CE161*MAX(1,IF(H161&gt;0,AG161/H161,1))),IF(R161&gt;0,AH161/R161,0))/MAX(0.1,N(Parameter!$M$21)))</f>
        <v>0.25</v>
      </c>
      <c r="AJ161" s="62" t="n">
        <f aca="false">AI161*CC161</f>
        <v>58.75</v>
      </c>
      <c r="AK161" s="63" t="n">
        <f aca="false">IF(LEFT(Cockpit!$C$5,1)="A",H161,IF(CI161=1,(CL161+CJ161)/2,IF(LEFT(Cockpit!$C$5,1)="B",(CL161+AM161)/2,MAX((CL161+AM161)/2,H161))))</f>
        <v>24</v>
      </c>
      <c r="AL161" s="62" t="n">
        <f aca="false">AK161*G161</f>
        <v>1224</v>
      </c>
      <c r="AM161" s="62" t="n">
        <f aca="false">ROUNDUP(CL161+MAX(CM161,2*(J161/IF(CH161&gt;0,CH161,MAX(0.1,N(Cockpit!$C$6)))-CL161)),0)</f>
        <v>1</v>
      </c>
      <c r="AN161" s="63" t="n">
        <f aca="false">IF(AJ161&gt;0,J161/AJ161,-1)</f>
        <v>0</v>
      </c>
      <c r="AO161" s="63" t="n">
        <f aca="false">IF(AND(OR(CG161="L1",CG161="L23",CG161="LIFT"),AJ161&gt;0),SUMIFS($AJ$7:$AJ$1843,$CG$7:$CG$1843,CG161,$AN$7:$AN$1843,"&gt;"&amp;AN161)+SUMIFS($AJ$7:$AJ$1843,$CG$7:$CG$1843,CG161,$AN$7:$AN$1843,AN161,$BX$7:$BX$1843,"&lt;="&amp;BX161),"")</f>
        <v>27409.3215967178</v>
      </c>
      <c r="AP161" s="70" t="n">
        <f aca="false">IF(AO161="",0,MAX(0,MIN(1,(IF(CG161="L1",Parameter!$H$5,IF(CG161="L23",Parameter!$H$6+Parameter!$H$7,Parameter!$H$5+Parameter!$H$6+Parameter!$H$7))-(AO161-AJ161))/AJ161)))</f>
        <v>1</v>
      </c>
      <c r="AQ161" s="62" t="n">
        <f aca="false">IF(LEFT(Cockpit!$I$5,1)="A",H161,IF(Parameter!$E$30="MAX-Bestand",IF(CI161=1,CJ161,IF(LEFT(Cockpit!$I$5,1)="B",AW161,MAX(AW161,H161))),ROUNDUP(AU161,0)))</f>
        <v>24</v>
      </c>
      <c r="AR161" s="62" t="n">
        <f aca="false">IF(CA161=1,0,ROUNDUP(AQ161/BZ161,0))</f>
        <v>1</v>
      </c>
      <c r="AS161" s="64" t="n">
        <f aca="false">IF(CR161&gt;0,CR161*MAX(1,AQ161/X161),IF(CA161=1,IF(AQ161&lt;=0,0,CE161*MAX(1,IF(H161&gt;0,AQ161/H161,1))),IF(R161&gt;0,AR161/R161,0))/MAX(0.1,N(Parameter!$M$21)))</f>
        <v>0.25</v>
      </c>
      <c r="AT161" s="62" t="n">
        <f aca="false">AS161*CC161</f>
        <v>58.75</v>
      </c>
      <c r="AU161" s="63" t="n">
        <f aca="false">IF(LEFT(Cockpit!$I$5,1)="A",H161,IF(CI161=1,(CL161+CJ161)/2,IF(LEFT(Cockpit!$I$5,1)="B",(CL161+AW161)/2,MAX((CL161+AW161)/2,H161))))</f>
        <v>24</v>
      </c>
      <c r="AV161" s="62" t="n">
        <f aca="false">AU161*G161</f>
        <v>1224</v>
      </c>
      <c r="AW161" s="62" t="n">
        <f aca="false">ROUNDUP(CL161+MAX(CM161,2*(J161/IF(CH161&gt;0,CH161,MAX(0.1,N(Cockpit!$I$6)))-CL161)),0)</f>
        <v>1</v>
      </c>
      <c r="AX161" s="63" t="n">
        <f aca="false">IF(AT161&gt;0,J161/AT161,-1)</f>
        <v>0</v>
      </c>
      <c r="AY161" s="63" t="n">
        <f aca="false">IF(AND(OR(CG161="L1",CG161="L23",CG161="LIFT"),AT161&gt;0),SUMIFS($AT$7:$AT$1843,$CG$7:$CG$1843,CG161,$AX$7:$AX$1843,"&gt;"&amp;AX161)+SUMIFS($AT$7:$AT$1843,$CG$7:$CG$1843,CG161,$AX$7:$AX$1843,AX161,$BX$7:$BX$1843,"&lt;="&amp;BX161),"")</f>
        <v>32762.4702380952</v>
      </c>
      <c r="AZ161" s="70" t="n">
        <f aca="false">IF(AY161="",0,MAX(0,MIN(1,(IF(CG161="L1",Parameter!$H$5,IF(CG161="L23",Parameter!$H$6+Parameter!$H$7,Parameter!$H$5+Parameter!$H$6+Parameter!$H$7))-(AY161-AT161))/AT161)))</f>
        <v>1</v>
      </c>
      <c r="BA161" s="62" t="n">
        <f aca="false">IF(LEFT(Cockpit!$O$5,1)="A",H161,IF(Parameter!$E$30="MAX-Bestand",IF(CI161=1,CJ161,IF(LEFT(Cockpit!$O$5,1)="B",BG161,MAX(BG161,H161))),ROUNDUP(BE161,0)))</f>
        <v>1</v>
      </c>
      <c r="BB161" s="62" t="n">
        <f aca="false">IF(CA161=1,0,ROUNDUP(BA161/BZ161,0))</f>
        <v>1</v>
      </c>
      <c r="BC161" s="64" t="n">
        <f aca="false">IF(CR161&gt;0,CR161*MAX(1,BA161/X161),IF(CA161=1,IF(BA161&lt;=0,0,CE161*MAX(1,IF(H161&gt;0,BA161/H161,1))),IF(R161&gt;0,BB161/R161,0))/MAX(0.1,N(Parameter!$M$21)))</f>
        <v>0.25</v>
      </c>
      <c r="BD161" s="62" t="n">
        <f aca="false">BC161*CC161</f>
        <v>58.75</v>
      </c>
      <c r="BE161" s="63" t="n">
        <f aca="false">IF(LEFT(Cockpit!$O$5,1)="A",H161,IF(CI161=1,(CL161+CJ161)/2,IF(LEFT(Cockpit!$O$5,1)="B",(CL161+BG161)/2,MAX((CL161+BG161)/2,H161))))</f>
        <v>0.5</v>
      </c>
      <c r="BF161" s="62" t="n">
        <f aca="false">BE161*G161</f>
        <v>25.5</v>
      </c>
      <c r="BG161" s="62" t="n">
        <f aca="false">ROUNDUP(CL161+MAX(CM161,2*(J161/IF(CH161&gt;0,CH161,MAX(0.1,N(Cockpit!$O$6)))-CL161)),0)</f>
        <v>1</v>
      </c>
      <c r="BH161" s="63" t="n">
        <f aca="false">IF(BD161&gt;0,J161/BD161,-1)</f>
        <v>0</v>
      </c>
      <c r="BI161" s="63" t="n">
        <f aca="false">IF(AND(OR(CG161="L1",CG161="L23",CG161="LIFT"),BD161&gt;0),SUMIFS($BD$7:$BD$1843,$CG$7:$CG$1843,CG161,$BH$7:$BH$1843,"&gt;"&amp;BH161)+SUMIFS($BD$7:$BD$1843,$CG$7:$CG$1843,CG161,$BH$7:$BH$1843,BH161,$BX$7:$BX$1843,"&lt;="&amp;BX161),"")</f>
        <v>26926.7123378034</v>
      </c>
      <c r="BJ161" s="70" t="n">
        <f aca="false">IF(BI161="",0,MAX(0,MIN(1,(IF(CG161="L1",Parameter!$H$5,IF(CG161="L23",Parameter!$H$6+Parameter!$H$7,Parameter!$H$5+Parameter!$H$6+Parameter!$H$7))-(BI161-BD161))/BD161)))</f>
        <v>1</v>
      </c>
      <c r="BK161" s="60" t="str">
        <f aca="false">IF(AJ161&lt;=0,"",IF(CG161="Aussen","Aussenlager",IF(CG161="-","Nicht im Lift",IF(AP161&gt;=1,"Lift",IF(AP161&lt;=0,"Aussenlager","teilweise")))))</f>
        <v>Lift</v>
      </c>
      <c r="BL161" s="60" t="str">
        <f aca="false">IF(AT161&lt;=0,"",IF(CG161="Aussen","Aussenlager",IF(CG161="-","Nicht im Lift",IF(AZ161&gt;=1,"Lift",IF(AZ161&lt;=0,"Aussenlager","teilweise")))))</f>
        <v>Lift</v>
      </c>
      <c r="BM161" s="60" t="str">
        <f aca="false">IF(BD161&lt;=0,"",IF(CG161="Aussen","Aussenlager",IF(CG161="-","Nicht im Lift",IF(BJ161&gt;=1,"Lift",IF(BJ161&lt;=0,"Aussenlager","teilweise")))))</f>
        <v>Lift</v>
      </c>
      <c r="BN161" s="60" t="str">
        <f aca="false">IF(A161="","",IF(BW161=1,"Neu; ","")&amp;IF(AND(BW161=0,BR161&lt;0),"negativer Bestand (Export "&amp;BR161&amp;"); ","")&amp;IF(J161&lt;=0,"Kein Verbrauch; ","")&amp;IF(CR161&gt;0,"Lift "&amp;W161&amp;" lt. Liftbericht (Fach "&amp;X161&amp;" Stk); ",IF(CB161=1,"Gebinde geschätzt ("&amp;T161&amp;"); ",IF(CA161=1,"Lose – Tablare geschätzt; ","")))&amp;IF(H161&gt;AW161,"Überbestand "&amp;ROUND(H161-AW161,0)&amp;" Stk / CHF "&amp;ROUND((H161-AW161)*G161,0)&amp;"; ","")&amp;IF(AND(CI161=1,CJ161&lt;CK161),"MAX &lt; MB+LG; ","")&amp;IF(AND(CQ161&gt;0,CP161*10&gt;CQ161),"zu hoch für Tablar; ","")&amp;IF(AND(BW161=0,OR(CI161=1,AB161&lt;&gt;"",U161&lt;&gt;"",V161&lt;&gt;"",AC161&lt;&gt;"")),"manuell übersteuert; ","")&amp;IF(AND(CA161=0,R161=0),"Gebinde unbekannt / Stellmass fehlt; ","")&amp;IF(AND(CA161=0,N(V161)&lt;=0,N(Q161)&lt;=0),"Menge pro Gebinde fehlt (Ist = 1 Gebinde); ","")&amp;BV161)</f>
        <v>Kein Verbrauch; Gebinde geschätzt (Gross); Überbestand 23 Stk / CHF 1173; Menge pro Gebinde fehlt (Ist = 1 Gebinde); </v>
      </c>
      <c r="BO161" s="60"/>
      <c r="BP161" s="60"/>
      <c r="BQ161" s="67"/>
      <c r="BR161" s="62" t="n">
        <v>24</v>
      </c>
      <c r="BS161" s="62" t="n">
        <v>0</v>
      </c>
      <c r="BT161" s="61" t="n">
        <v>1224</v>
      </c>
      <c r="BU161" s="62" t="n">
        <v>0</v>
      </c>
      <c r="BV161" s="60"/>
      <c r="BW161" s="65" t="n">
        <v>0</v>
      </c>
      <c r="BX161" s="65" t="n">
        <v>161</v>
      </c>
      <c r="BY161" s="60" t="str">
        <f aca="false">IF(U161&lt;&gt;"",UPPER(TRIM(U161)),IF(CB161=1,UPPER(VLOOKUP(T161,Parameter!$I$27:$K$29,2,0)),IF(P161="","LOSE",P161)))</f>
        <v>S81</v>
      </c>
      <c r="BZ161" s="62" t="n">
        <f aca="false">IF(BY161="LOSE",1,IF(N(V161)&gt;0,V161,IF(CB161=1,MAX(1,N(VLOOKUP(T161,Parameter!$I$27:$K$29,3,0)),H161,N(N161)),IF(N(Q161)&gt;0,Q161,MAX(1,H161)))))</f>
        <v>24</v>
      </c>
      <c r="CA161" s="65" t="n">
        <f aca="false">IF(BY161="LOSE",1,0)</f>
        <v>0</v>
      </c>
      <c r="CB161" s="65" t="n">
        <f aca="false">IF(AND(U161="",OR(P161="",P161="LOSE"),T161&lt;&gt;"",N(S161)&lt;=0,ISNUMBER(MATCH(T161,Parameter!$I$27:$I$29,0))),1,0)</f>
        <v>1</v>
      </c>
      <c r="CC161" s="65" t="n">
        <f aca="false">IF(CR161&gt;0,INDEX(Parameter!$H$5:$H$7,W161)/INDEX(Parameter!$E$5:$E$7,W161),IF(AND(CA161=0,N(IFERROR(VLOOKUP(BY161,'Gebinde-Kategorie'!$A$5:$N$45,14,0),0))&gt;0),VLOOKUP(BY161,'Gebinde-Kategorie'!$A$5:$N$45,14,0)*10+Parameter!$M$23,Parameter!$M$24))</f>
        <v>235</v>
      </c>
      <c r="CD161" s="60" t="str">
        <f aca="false">IF(AND(Parameter!$B$19="Ja",E161&lt;&gt;"",ISNUMBER(MATCH(E161,Parameter!$I$35:$I$52,0))),VLOOKUP(E161,Parameter!$I$35:$J$52,2,0),IFERROR(VLOOKUP(D161,Parameter!$A$35:$C$64,2,0),"Nein"))</f>
        <v>2+3</v>
      </c>
      <c r="CE161" s="64" t="n">
        <f aca="false">IF(CA161=0,0,IF(N(S161)&gt;0,S161,IFERROR(VLOOKUP(D161,Parameter!$A$35:$C$64,3,0)+0,0)))</f>
        <v>0</v>
      </c>
      <c r="CF161" s="60" t="n">
        <f aca="false">IF(AB161&lt;&gt;"",AB161,AA161)</f>
        <v>2</v>
      </c>
      <c r="CG161" s="60" t="str">
        <f aca="false">IF(OR(CF161=1,CF161=2,CF161=3),IF(Parameter!$E$27="Ja","LIFT",IF(CF161=1,"L1","L23")),IF(CF161="Aussen","Aussen","-"))</f>
        <v>LIFT</v>
      </c>
      <c r="CH161" s="71" t="n">
        <f aca="false">IF(N(AC161)&gt;0,AC161,0)</f>
        <v>0</v>
      </c>
      <c r="CI161" s="65" t="n">
        <f aca="false">IF(ISNUMBER(AF161),1,0)</f>
        <v>0</v>
      </c>
      <c r="CJ161" s="62" t="n">
        <f aca="false">N(AF161)</f>
        <v>0</v>
      </c>
      <c r="CK161" s="62" t="n">
        <f aca="false">N(M161)+N(N161)</f>
        <v>1</v>
      </c>
      <c r="CL161" s="62" t="n">
        <f aca="false">N(M161)</f>
        <v>0</v>
      </c>
      <c r="CM161" s="62" t="n">
        <f aca="false">N(N161)</f>
        <v>1</v>
      </c>
      <c r="CN161" s="62" t="n">
        <f aca="false">ROUNDUP(H161/BZ161,0)</f>
        <v>1</v>
      </c>
      <c r="CO161" s="62" t="n">
        <f aca="false">ROUNDUP(CJ161/BZ161,0)</f>
        <v>0</v>
      </c>
      <c r="CP161" s="65" t="n">
        <f aca="false">IF(CA161=1,0,IFERROR(VLOOKUP(BY161,'Gebinde-Kategorie'!$A$5:$N$45,5,0)+0,0))</f>
        <v>20</v>
      </c>
      <c r="CQ161" s="65" t="n">
        <f aca="false">IFERROR(IF(OR(CF161=1,CF161=2,CF161=3),N(INDEX(Parameter!$I$5:$I$7,CF161)),0),0)</f>
        <v>0</v>
      </c>
      <c r="CR161" s="64" t="n">
        <f aca="false">IF(AND(Parameter!$B$21="Ja",ISNUMBER(W161),N(X161)&gt;0),IFERROR(N(INDEX(Parameter!$L$5:$L$7,W161))*INDEX(Parameter!$E$5:$E$7,W161)*X161/SUMIFS($X$7:$X$1843,$W$7:$W$1843,W161),0),0)</f>
        <v>0</v>
      </c>
      <c r="CS161" s="62" t="n">
        <f aca="false">IF(AND(OR(CG161="L1",CG161="L23",CG161="LIFT"),H161&gt;0),CC161*IF(CR161&gt;0,CR161*MAX(1,H161/X161),IF(CA161=1,CE161,IF(R161&gt;0,CN161/R161,0))/MAX(0.1,N(Parameter!$M$21))),"")</f>
        <v>58.75</v>
      </c>
      <c r="CT161" s="64" t="n">
        <f aca="false">IF(CS161="","",J161/H161)</f>
        <v>0</v>
      </c>
      <c r="CU161" s="62" t="n">
        <f aca="false">IF(CS161="","",H161*G161)</f>
        <v>1224</v>
      </c>
      <c r="CV161" s="63" t="n">
        <f aca="false">IF(CS161="","",(CL161+ROUNDUP(CL161+MAX(CM161,2*(J161/MAX(0.1,N(Einkauf!$C$6))-CL161)),0))/2)</f>
        <v>0.5</v>
      </c>
      <c r="CW161" s="62" t="n">
        <f aca="false">IF(CS161="","",MAX(0,H161-CV161)*G161)</f>
        <v>1198.5</v>
      </c>
      <c r="CX161" s="62" t="n">
        <f aca="false">IF(CS161="","",CS161*MAX(0,1-CV161/H161))</f>
        <v>57.5260416666667</v>
      </c>
      <c r="CY161" s="64" t="n">
        <f aca="false">IF(CS161="","",PERCENTRANK($CS$7:$CS$1843,CS161)+PERCENTRANK($CU$7:$CU$1843,CU161)+1-PERCENTRANK($CT$7:$CT$1843,CT161))</f>
        <v>2.598</v>
      </c>
      <c r="CZ161" s="72" t="n">
        <f aca="false">IF(CS161="","",CHOOSE(MATCH(Einkauf!$C$5,Parameter!$G$23:$G$27,0),CY161,CS161,CU161,-CT161,CW161)+ROW()/1000000000)</f>
        <v>2.598000161</v>
      </c>
    </row>
    <row r="162" customFormat="false" ht="15" hidden="false" customHeight="false" outlineLevel="0" collapsed="false">
      <c r="A162" s="60" t="s">
        <v>573</v>
      </c>
      <c r="B162" s="60" t="s">
        <v>574</v>
      </c>
      <c r="C162" s="60" t="s">
        <v>206</v>
      </c>
      <c r="D162" s="60" t="s">
        <v>226</v>
      </c>
      <c r="E162" s="60"/>
      <c r="F162" s="60" t="s">
        <v>260</v>
      </c>
      <c r="G162" s="61" t="n">
        <v>10.02</v>
      </c>
      <c r="H162" s="62" t="n">
        <f aca="false">MAX(0,IF(AND(Parameter!$B$21="Ja",ISNUMBER(Y162)),Y162,IF(Parameter!$B$20="Jahresanfang 2025 + Export",BS162+BR162,BR162)))</f>
        <v>173</v>
      </c>
      <c r="I162" s="62" t="n">
        <f aca="false">H162*G162</f>
        <v>1733.46</v>
      </c>
      <c r="J162" s="62" t="n">
        <f aca="false">BU162*Parameter!$B$18</f>
        <v>153</v>
      </c>
      <c r="K162" s="63" t="n">
        <v>52</v>
      </c>
      <c r="L162" s="64" t="n">
        <v>2.94230769230769</v>
      </c>
      <c r="M162" s="62" t="n">
        <v>26</v>
      </c>
      <c r="N162" s="62" t="n">
        <v>155</v>
      </c>
      <c r="O162" s="65" t="n">
        <v>63</v>
      </c>
      <c r="P162" s="60" t="s">
        <v>370</v>
      </c>
      <c r="Q162" s="62" t="n">
        <v>40</v>
      </c>
      <c r="R162" s="65" t="n">
        <f aca="false">IF(CA162=1,0,IFERROR(VLOOKUP(BY162,'Gebinde-Kategorie'!$A$5:$N$45,13,0)+0,0))</f>
        <v>52</v>
      </c>
      <c r="S162" s="66"/>
      <c r="T162" s="67"/>
      <c r="U162" s="67"/>
      <c r="V162" s="67"/>
      <c r="W162" s="60"/>
      <c r="X162" s="62"/>
      <c r="Y162" s="62"/>
      <c r="Z162" s="60" t="n">
        <v>3</v>
      </c>
      <c r="AA162" s="60" t="n">
        <f aca="false">IF(A162="","",IF(AND(Parameter!$B$21="Ja",ISNUMBER(W162)),W162,IF(AND(Parameter!$E$27="Ja",ISNUMBER(Z162),CD162&lt;&gt;"Nein"),Z162,IF(CD162="2+3",IF(ISNUMBER(SEARCH("grosser Artikel",BV162)),2,IFERROR(VLOOKUP(BY162,Parameter!$F$35:$G$64,2,0),2)),IF(OR(CD162="Nein",CD162=""),"-",CD162)))))</f>
        <v>3</v>
      </c>
      <c r="AB162" s="67"/>
      <c r="AC162" s="68"/>
      <c r="AD162" s="62" t="n">
        <f aca="false">AW162</f>
        <v>181</v>
      </c>
      <c r="AE162" s="62" t="n">
        <f aca="false">MAX(AW162,H162)</f>
        <v>181</v>
      </c>
      <c r="AF162" s="69"/>
      <c r="AG162" s="62" t="n">
        <f aca="false">IF(LEFT(Cockpit!$C$5,1)="A",H162,IF(Parameter!$E$30="MAX-Bestand",IF(CI162=1,CJ162,IF(LEFT(Cockpit!$C$5,1)="B",AM162,MAX(AM162,H162))),ROUNDUP(AK162,0)))</f>
        <v>173</v>
      </c>
      <c r="AH162" s="62" t="n">
        <f aca="false">IF(CA162=1,0,ROUNDUP(AG162/BZ162,0))</f>
        <v>5</v>
      </c>
      <c r="AI162" s="64" t="n">
        <f aca="false">IF(CR162&gt;0,CR162*MAX(1,AG162/X162),IF(CA162=1,IF(AG162&lt;=0,0,CE162*MAX(1,IF(H162&gt;0,AG162/H162,1))),IF(R162&gt;0,AH162/R162,0))/MAX(0.1,N(Parameter!$M$21)))</f>
        <v>0.0961538461538462</v>
      </c>
      <c r="AJ162" s="62" t="n">
        <f aca="false">AI162*CC162</f>
        <v>14.9038461538462</v>
      </c>
      <c r="AK162" s="63" t="n">
        <f aca="false">IF(LEFT(Cockpit!$C$5,1)="A",H162,IF(CI162=1,(CL162+CJ162)/2,IF(LEFT(Cockpit!$C$5,1)="B",(CL162+AM162)/2,MAX((CL162+AM162)/2,H162))))</f>
        <v>173</v>
      </c>
      <c r="AL162" s="62" t="n">
        <f aca="false">AK162*G162</f>
        <v>1733.46</v>
      </c>
      <c r="AM162" s="62" t="n">
        <f aca="false">ROUNDUP(CL162+MAX(CM162,2*(J162/IF(CH162&gt;0,CH162,MAX(0.1,N(Cockpit!$C$6)))-CL162)),0)</f>
        <v>181</v>
      </c>
      <c r="AN162" s="63" t="n">
        <f aca="false">IF(AJ162&gt;0,J162/AJ162,-1)</f>
        <v>10.2658064516129</v>
      </c>
      <c r="AO162" s="63" t="n">
        <f aca="false">IF(AND(OR(CG162="L1",CG162="L23",CG162="LIFT"),AJ162&gt;0),SUMIFS($AJ$7:$AJ$1843,$CG$7:$CG$1843,CG162,$AN$7:$AN$1843,"&gt;"&amp;AN162)+SUMIFS($AJ$7:$AJ$1843,$CG$7:$CG$1843,CG162,$AN$7:$AN$1843,AN162,$BX$7:$BX$1843,"&lt;="&amp;BX162),"")</f>
        <v>2597.66117216117</v>
      </c>
      <c r="AP162" s="70" t="n">
        <f aca="false">IF(AO162="",0,MAX(0,MIN(1,(IF(CG162="L1",Parameter!$H$5,IF(CG162="L23",Parameter!$H$6+Parameter!$H$7,Parameter!$H$5+Parameter!$H$6+Parameter!$H$7))-(AO162-AJ162))/AJ162)))</f>
        <v>1</v>
      </c>
      <c r="AQ162" s="62" t="n">
        <f aca="false">IF(LEFT(Cockpit!$I$5,1)="A",H162,IF(Parameter!$E$30="MAX-Bestand",IF(CI162=1,CJ162,IF(LEFT(Cockpit!$I$5,1)="B",AW162,MAX(AW162,H162))),ROUNDUP(AU162,0)))</f>
        <v>173</v>
      </c>
      <c r="AR162" s="62" t="n">
        <f aca="false">IF(CA162=1,0,ROUNDUP(AQ162/BZ162,0))</f>
        <v>5</v>
      </c>
      <c r="AS162" s="64" t="n">
        <f aca="false">IF(CR162&gt;0,CR162*MAX(1,AQ162/X162),IF(CA162=1,IF(AQ162&lt;=0,0,CE162*MAX(1,IF(H162&gt;0,AQ162/H162,1))),IF(R162&gt;0,AR162/R162,0))/MAX(0.1,N(Parameter!$M$21)))</f>
        <v>0.0961538461538462</v>
      </c>
      <c r="AT162" s="62" t="n">
        <f aca="false">AS162*CC162</f>
        <v>14.9038461538462</v>
      </c>
      <c r="AU162" s="63" t="n">
        <f aca="false">IF(LEFT(Cockpit!$I$5,1)="A",H162,IF(CI162=1,(CL162+CJ162)/2,IF(LEFT(Cockpit!$I$5,1)="B",(CL162+AW162)/2,MAX((CL162+AW162)/2,H162))))</f>
        <v>173</v>
      </c>
      <c r="AV162" s="62" t="n">
        <f aca="false">AU162*G162</f>
        <v>1733.46</v>
      </c>
      <c r="AW162" s="62" t="n">
        <f aca="false">ROUNDUP(CL162+MAX(CM162,2*(J162/IF(CH162&gt;0,CH162,MAX(0.1,N(Cockpit!$I$6)))-CL162)),0)</f>
        <v>181</v>
      </c>
      <c r="AX162" s="63" t="n">
        <f aca="false">IF(AT162&gt;0,J162/AT162,-1)</f>
        <v>10.2658064516129</v>
      </c>
      <c r="AY162" s="63" t="n">
        <f aca="false">IF(AND(OR(CG162="L1",CG162="L23",CG162="LIFT"),AT162&gt;0),SUMIFS($AT$7:$AT$1843,$CG$7:$CG$1843,CG162,$AX$7:$AX$1843,"&gt;"&amp;AX162)+SUMIFS($AT$7:$AT$1843,$CG$7:$CG$1843,CG162,$AX$7:$AX$1843,AX162,$BX$7:$BX$1843,"&lt;="&amp;BX162),"")</f>
        <v>3193.80311355311</v>
      </c>
      <c r="AZ162" s="70" t="n">
        <f aca="false">IF(AY162="",0,MAX(0,MIN(1,(IF(CG162="L1",Parameter!$H$5,IF(CG162="L23",Parameter!$H$6+Parameter!$H$7,Parameter!$H$5+Parameter!$H$6+Parameter!$H$7))-(AY162-AT162))/AT162)))</f>
        <v>1</v>
      </c>
      <c r="BA162" s="62" t="n">
        <f aca="false">IF(LEFT(Cockpit!$O$5,1)="A",H162,IF(Parameter!$E$30="MAX-Bestand",IF(CI162=1,CJ162,IF(LEFT(Cockpit!$O$5,1)="B",BG162,MAX(BG162,H162))),ROUNDUP(BE162,0)))</f>
        <v>104</v>
      </c>
      <c r="BB162" s="62" t="n">
        <f aca="false">IF(CA162=1,0,ROUNDUP(BA162/BZ162,0))</f>
        <v>3</v>
      </c>
      <c r="BC162" s="64" t="n">
        <f aca="false">IF(CR162&gt;0,CR162*MAX(1,BA162/X162),IF(CA162=1,IF(BA162&lt;=0,0,CE162*MAX(1,IF(H162&gt;0,BA162/H162,1))),IF(R162&gt;0,BB162/R162,0))/MAX(0.1,N(Parameter!$M$21)))</f>
        <v>0.0576923076923077</v>
      </c>
      <c r="BD162" s="62" t="n">
        <f aca="false">BC162*CC162</f>
        <v>8.94230769230769</v>
      </c>
      <c r="BE162" s="63" t="n">
        <f aca="false">IF(LEFT(Cockpit!$O$5,1)="A",H162,IF(CI162=1,(CL162+CJ162)/2,IF(LEFT(Cockpit!$O$5,1)="B",(CL162+BG162)/2,MAX((CL162+BG162)/2,H162))))</f>
        <v>103.5</v>
      </c>
      <c r="BF162" s="62" t="n">
        <f aca="false">BE162*G162</f>
        <v>1037.07</v>
      </c>
      <c r="BG162" s="62" t="n">
        <f aca="false">ROUNDUP(CL162+MAX(CM162,2*(J162/IF(CH162&gt;0,CH162,MAX(0.1,N(Cockpit!$O$6)))-CL162)),0)</f>
        <v>181</v>
      </c>
      <c r="BH162" s="63" t="n">
        <f aca="false">IF(BD162&gt;0,J162/BD162,-1)</f>
        <v>17.1096774193548</v>
      </c>
      <c r="BI162" s="63" t="n">
        <f aca="false">IF(AND(OR(CG162="L1",CG162="L23",CG162="LIFT"),BD162&gt;0),SUMIFS($BD$7:$BD$1843,$CG$7:$CG$1843,CG162,$BH$7:$BH$1843,"&gt;"&amp;BH162)+SUMIFS($BD$7:$BD$1843,$CG$7:$CG$1843,CG162,$BH$7:$BH$1843,BH162,$BX$7:$BX$1843,"&lt;="&amp;BX162),"")</f>
        <v>2331.38186813187</v>
      </c>
      <c r="BJ162" s="70" t="n">
        <f aca="false">IF(BI162="",0,MAX(0,MIN(1,(IF(CG162="L1",Parameter!$H$5,IF(CG162="L23",Parameter!$H$6+Parameter!$H$7,Parameter!$H$5+Parameter!$H$6+Parameter!$H$7))-(BI162-BD162))/BD162)))</f>
        <v>1</v>
      </c>
      <c r="BK162" s="60" t="str">
        <f aca="false">IF(AJ162&lt;=0,"",IF(CG162="Aussen","Aussenlager",IF(CG162="-","Nicht im Lift",IF(AP162&gt;=1,"Lift",IF(AP162&lt;=0,"Aussenlager","teilweise")))))</f>
        <v>Lift</v>
      </c>
      <c r="BL162" s="60" t="str">
        <f aca="false">IF(AT162&lt;=0,"",IF(CG162="Aussen","Aussenlager",IF(CG162="-","Nicht im Lift",IF(AZ162&gt;=1,"Lift",IF(AZ162&lt;=0,"Aussenlager","teilweise")))))</f>
        <v>Lift</v>
      </c>
      <c r="BM162" s="60" t="str">
        <f aca="false">IF(BD162&lt;=0,"",IF(CG162="Aussen","Aussenlager",IF(CG162="-","Nicht im Lift",IF(BJ162&gt;=1,"Lift",IF(BJ162&lt;=0,"Aussenlager","teilweise")))))</f>
        <v>Lift</v>
      </c>
      <c r="BN162" s="60" t="str">
        <f aca="false">IF(A162="","",IF(BW162=1,"Neu; ","")&amp;IF(AND(BW162=0,BR162&lt;0),"negativer Bestand (Export "&amp;BR162&amp;"); ","")&amp;IF(J162&lt;=0,"Kein Verbrauch; ","")&amp;IF(CR162&gt;0,"Lift "&amp;W162&amp;" lt. Liftbericht (Fach "&amp;X162&amp;" Stk); ",IF(CB162=1,"Gebinde geschätzt ("&amp;T162&amp;"); ",IF(CA162=1,"Lose – Tablare geschätzt; ","")))&amp;IF(H162&gt;AW162,"Überbestand "&amp;ROUND(H162-AW162,0)&amp;" Stk / CHF "&amp;ROUND((H162-AW162)*G162,0)&amp;"; ","")&amp;IF(AND(CI162=1,CJ162&lt;CK162),"MAX &lt; MB+LG; ","")&amp;IF(AND(CQ162&gt;0,CP162*10&gt;CQ162),"zu hoch für Tablar; ","")&amp;IF(AND(BW162=0,OR(CI162=1,AB162&lt;&gt;"",U162&lt;&gt;"",V162&lt;&gt;"",AC162&lt;&gt;"")),"manuell übersteuert; ","")&amp;IF(AND(CA162=0,R162=0),"Gebinde unbekannt / Stellmass fehlt; ","")&amp;IF(AND(CA162=0,N(V162)&lt;=0,N(Q162)&lt;=0),"Menge pro Gebinde fehlt (Ist = 1 Gebinde); ","")&amp;BV162)</f>
        <v/>
      </c>
      <c r="BO162" s="60"/>
      <c r="BP162" s="60"/>
      <c r="BQ162" s="67"/>
      <c r="BR162" s="62" t="n">
        <v>122</v>
      </c>
      <c r="BS162" s="62" t="n">
        <v>51</v>
      </c>
      <c r="BT162" s="61" t="n">
        <v>1214.28</v>
      </c>
      <c r="BU162" s="62" t="n">
        <v>153</v>
      </c>
      <c r="BV162" s="60"/>
      <c r="BW162" s="65" t="n">
        <v>0</v>
      </c>
      <c r="BX162" s="65" t="n">
        <v>162</v>
      </c>
      <c r="BY162" s="60" t="str">
        <f aca="false">IF(U162&lt;&gt;"",UPPER(TRIM(U162)),IF(CB162=1,UPPER(VLOOKUP(T162,Parameter!$I$27:$K$29,2,0)),IF(P162="","LOSE",P162)))</f>
        <v>S41</v>
      </c>
      <c r="BZ162" s="62" t="n">
        <f aca="false">IF(BY162="LOSE",1,IF(N(V162)&gt;0,V162,IF(CB162=1,MAX(1,N(VLOOKUP(T162,Parameter!$I$27:$K$29,3,0)),H162,N(N162)),IF(N(Q162)&gt;0,Q162,MAX(1,H162)))))</f>
        <v>40</v>
      </c>
      <c r="CA162" s="65" t="n">
        <f aca="false">IF(BY162="LOSE",1,0)</f>
        <v>0</v>
      </c>
      <c r="CB162" s="65" t="n">
        <f aca="false">IF(AND(U162="",OR(P162="",P162="LOSE"),T162&lt;&gt;"",N(S162)&lt;=0,ISNUMBER(MATCH(T162,Parameter!$I$27:$I$29,0))),1,0)</f>
        <v>0</v>
      </c>
      <c r="CC162" s="65" t="n">
        <f aca="false">IF(CR162&gt;0,INDEX(Parameter!$H$5:$H$7,W162)/INDEX(Parameter!$E$5:$E$7,W162),IF(AND(CA162=0,N(IFERROR(VLOOKUP(BY162,'Gebinde-Kategorie'!$A$5:$N$45,14,0),0))&gt;0),VLOOKUP(BY162,'Gebinde-Kategorie'!$A$5:$N$45,14,0)*10+Parameter!$M$23,Parameter!$M$24))</f>
        <v>155</v>
      </c>
      <c r="CD162" s="60" t="str">
        <f aca="false">IF(AND(Parameter!$B$19="Ja",E162&lt;&gt;"",ISNUMBER(MATCH(E162,Parameter!$I$35:$I$52,0))),VLOOKUP(E162,Parameter!$I$35:$J$52,2,0),IFERROR(VLOOKUP(D162,Parameter!$A$35:$C$64,2,0),"Nein"))</f>
        <v>2+3</v>
      </c>
      <c r="CE162" s="64" t="n">
        <f aca="false">IF(CA162=0,0,IF(N(S162)&gt;0,S162,IFERROR(VLOOKUP(D162,Parameter!$A$35:$C$64,3,0)+0,0)))</f>
        <v>0</v>
      </c>
      <c r="CF162" s="60" t="n">
        <f aca="false">IF(AB162&lt;&gt;"",AB162,AA162)</f>
        <v>3</v>
      </c>
      <c r="CG162" s="60" t="str">
        <f aca="false">IF(OR(CF162=1,CF162=2,CF162=3),IF(Parameter!$E$27="Ja","LIFT",IF(CF162=1,"L1","L23")),IF(CF162="Aussen","Aussen","-"))</f>
        <v>LIFT</v>
      </c>
      <c r="CH162" s="71" t="n">
        <f aca="false">IF(N(AC162)&gt;0,AC162,0)</f>
        <v>0</v>
      </c>
      <c r="CI162" s="65" t="n">
        <f aca="false">IF(ISNUMBER(AF162),1,0)</f>
        <v>0</v>
      </c>
      <c r="CJ162" s="62" t="n">
        <f aca="false">N(AF162)</f>
        <v>0</v>
      </c>
      <c r="CK162" s="62" t="n">
        <f aca="false">N(M162)+N(N162)</f>
        <v>181</v>
      </c>
      <c r="CL162" s="62" t="n">
        <f aca="false">N(M162)</f>
        <v>26</v>
      </c>
      <c r="CM162" s="62" t="n">
        <f aca="false">N(N162)</f>
        <v>155</v>
      </c>
      <c r="CN162" s="62" t="n">
        <f aca="false">ROUNDUP(H162/BZ162,0)</f>
        <v>5</v>
      </c>
      <c r="CO162" s="62" t="n">
        <f aca="false">ROUNDUP(CJ162/BZ162,0)</f>
        <v>0</v>
      </c>
      <c r="CP162" s="65" t="n">
        <f aca="false">IF(CA162=1,0,IFERROR(VLOOKUP(BY162,'Gebinde-Kategorie'!$A$5:$N$45,5,0)+0,0))</f>
        <v>11</v>
      </c>
      <c r="CQ162" s="65" t="n">
        <f aca="false">IFERROR(IF(OR(CF162=1,CF162=2,CF162=3),N(INDEX(Parameter!$I$5:$I$7,CF162)),0),0)</f>
        <v>0</v>
      </c>
      <c r="CR162" s="64" t="n">
        <f aca="false">IF(AND(Parameter!$B$21="Ja",ISNUMBER(W162),N(X162)&gt;0),IFERROR(N(INDEX(Parameter!$L$5:$L$7,W162))*INDEX(Parameter!$E$5:$E$7,W162)*X162/SUMIFS($X$7:$X$1843,$W$7:$W$1843,W162),0),0)</f>
        <v>0</v>
      </c>
      <c r="CS162" s="62" t="n">
        <f aca="false">IF(AND(OR(CG162="L1",CG162="L23",CG162="LIFT"),H162&gt;0),CC162*IF(CR162&gt;0,CR162*MAX(1,H162/X162),IF(CA162=1,CE162,IF(R162&gt;0,CN162/R162,0))/MAX(0.1,N(Parameter!$M$21))),"")</f>
        <v>14.9038461538462</v>
      </c>
      <c r="CT162" s="64" t="n">
        <f aca="false">IF(CS162="","",J162/H162)</f>
        <v>0.884393063583815</v>
      </c>
      <c r="CU162" s="62" t="n">
        <f aca="false">IF(CS162="","",H162*G162)</f>
        <v>1733.46</v>
      </c>
      <c r="CV162" s="63" t="n">
        <f aca="false">IF(CS162="","",(CL162+ROUNDUP(CL162+MAX(CM162,2*(J162/MAX(0.1,N(Einkauf!$C$6))-CL162)),0))/2)</f>
        <v>103.5</v>
      </c>
      <c r="CW162" s="62" t="n">
        <f aca="false">IF(CS162="","",MAX(0,H162-CV162)*G162)</f>
        <v>696.39</v>
      </c>
      <c r="CX162" s="62" t="n">
        <f aca="false">IF(CS162="","",CS162*MAX(0,1-CV162/H162))</f>
        <v>5.98738328145843</v>
      </c>
      <c r="CY162" s="64" t="n">
        <f aca="false">IF(CS162="","",PERCENTRANK($CS$7:$CS$1843,CS162)+PERCENTRANK($CU$7:$CU$1843,CU162)+1-PERCENTRANK($CT$7:$CT$1843,CT162))</f>
        <v>1.879</v>
      </c>
      <c r="CZ162" s="72" t="n">
        <f aca="false">IF(CS162="","",CHOOSE(MATCH(Einkauf!$C$5,Parameter!$G$23:$G$27,0),CY162,CS162,CU162,-CT162,CW162)+ROW()/1000000000)</f>
        <v>1.879000162</v>
      </c>
    </row>
    <row r="163" customFormat="false" ht="15" hidden="false" customHeight="false" outlineLevel="0" collapsed="false">
      <c r="A163" s="60" t="s">
        <v>575</v>
      </c>
      <c r="B163" s="60" t="s">
        <v>531</v>
      </c>
      <c r="C163" s="60" t="s">
        <v>206</v>
      </c>
      <c r="D163" s="60" t="s">
        <v>226</v>
      </c>
      <c r="E163" s="60" t="s">
        <v>227</v>
      </c>
      <c r="F163" s="60" t="s">
        <v>260</v>
      </c>
      <c r="G163" s="61" t="n">
        <v>1.8</v>
      </c>
      <c r="H163" s="62" t="n">
        <f aca="false">MAX(0,IF(AND(Parameter!$B$21="Ja",ISNUMBER(Y163)),Y163,IF(Parameter!$B$20="Jahresanfang 2025 + Export",BS163+BR163,BR163)))</f>
        <v>776</v>
      </c>
      <c r="I163" s="62" t="n">
        <f aca="false">H163*G163</f>
        <v>1396.8</v>
      </c>
      <c r="J163" s="62" t="n">
        <f aca="false">BU163*Parameter!$B$18</f>
        <v>985</v>
      </c>
      <c r="K163" s="63" t="n">
        <v>215</v>
      </c>
      <c r="L163" s="64" t="n">
        <v>4.58139534883721</v>
      </c>
      <c r="M163" s="62" t="n">
        <v>38</v>
      </c>
      <c r="N163" s="62" t="n">
        <v>985</v>
      </c>
      <c r="O163" s="65" t="n">
        <v>14</v>
      </c>
      <c r="P163" s="60" t="s">
        <v>370</v>
      </c>
      <c r="Q163" s="62" t="n">
        <v>388</v>
      </c>
      <c r="R163" s="65" t="n">
        <f aca="false">IF(CA163=1,0,IFERROR(VLOOKUP(BY163,'Gebinde-Kategorie'!$A$5:$N$45,13,0)+0,0))</f>
        <v>52</v>
      </c>
      <c r="S163" s="66"/>
      <c r="T163" s="67"/>
      <c r="U163" s="67"/>
      <c r="V163" s="67"/>
      <c r="W163" s="60"/>
      <c r="X163" s="62"/>
      <c r="Y163" s="62"/>
      <c r="Z163" s="60" t="n">
        <v>3</v>
      </c>
      <c r="AA163" s="60" t="n">
        <f aca="false">IF(A163="","",IF(AND(Parameter!$B$21="Ja",ISNUMBER(W163)),W163,IF(AND(Parameter!$E$27="Ja",ISNUMBER(Z163),CD163&lt;&gt;"Nein"),Z163,IF(CD163="2+3",IF(ISNUMBER(SEARCH("grosser Artikel",BV163)),2,IFERROR(VLOOKUP(BY163,Parameter!$F$35:$G$64,2,0),2)),IF(OR(CD163="Nein",CD163=""),"-",CD163)))))</f>
        <v>3</v>
      </c>
      <c r="AB163" s="67"/>
      <c r="AC163" s="68"/>
      <c r="AD163" s="62" t="n">
        <f aca="false">AW163</f>
        <v>1023</v>
      </c>
      <c r="AE163" s="62" t="n">
        <f aca="false">MAX(AW163,H163)</f>
        <v>1023</v>
      </c>
      <c r="AF163" s="69"/>
      <c r="AG163" s="62" t="n">
        <f aca="false">IF(LEFT(Cockpit!$C$5,1)="A",H163,IF(Parameter!$E$30="MAX-Bestand",IF(CI163=1,CJ163,IF(LEFT(Cockpit!$C$5,1)="B",AM163,MAX(AM163,H163))),ROUNDUP(AK163,0)))</f>
        <v>776</v>
      </c>
      <c r="AH163" s="62" t="n">
        <f aca="false">IF(CA163=1,0,ROUNDUP(AG163/BZ163,0))</f>
        <v>2</v>
      </c>
      <c r="AI163" s="64" t="n">
        <f aca="false">IF(CR163&gt;0,CR163*MAX(1,AG163/X163),IF(CA163=1,IF(AG163&lt;=0,0,CE163*MAX(1,IF(H163&gt;0,AG163/H163,1))),IF(R163&gt;0,AH163/R163,0))/MAX(0.1,N(Parameter!$M$21)))</f>
        <v>0.0384615384615385</v>
      </c>
      <c r="AJ163" s="62" t="n">
        <f aca="false">AI163*CC163</f>
        <v>5.96153846153846</v>
      </c>
      <c r="AK163" s="63" t="n">
        <f aca="false">IF(LEFT(Cockpit!$C$5,1)="A",H163,IF(CI163=1,(CL163+CJ163)/2,IF(LEFT(Cockpit!$C$5,1)="B",(CL163+AM163)/2,MAX((CL163+AM163)/2,H163))))</f>
        <v>776</v>
      </c>
      <c r="AL163" s="62" t="n">
        <f aca="false">AK163*G163</f>
        <v>1396.8</v>
      </c>
      <c r="AM163" s="62" t="n">
        <f aca="false">ROUNDUP(CL163+MAX(CM163,2*(J163/IF(CH163&gt;0,CH163,MAX(0.1,N(Cockpit!$C$6)))-CL163)),0)</f>
        <v>1023</v>
      </c>
      <c r="AN163" s="63" t="n">
        <f aca="false">IF(AJ163&gt;0,J163/AJ163,-1)</f>
        <v>165.225806451613</v>
      </c>
      <c r="AO163" s="63" t="n">
        <f aca="false">IF(AND(OR(CG163="L1",CG163="L23",CG163="LIFT"),AJ163&gt;0),SUMIFS($AJ$7:$AJ$1843,$CG$7:$CG$1843,CG163,$AN$7:$AN$1843,"&gt;"&amp;AN163)+SUMIFS($AJ$7:$AJ$1843,$CG$7:$CG$1843,CG163,$AN$7:$AN$1843,AN163,$BX$7:$BX$1843,"&lt;="&amp;BX163),"")</f>
        <v>414.346611721612</v>
      </c>
      <c r="AP163" s="70" t="n">
        <f aca="false">IF(AO163="",0,MAX(0,MIN(1,(IF(CG163="L1",Parameter!$H$5,IF(CG163="L23",Parameter!$H$6+Parameter!$H$7,Parameter!$H$5+Parameter!$H$6+Parameter!$H$7))-(AO163-AJ163))/AJ163)))</f>
        <v>1</v>
      </c>
      <c r="AQ163" s="62" t="n">
        <f aca="false">IF(LEFT(Cockpit!$I$5,1)="A",H163,IF(Parameter!$E$30="MAX-Bestand",IF(CI163=1,CJ163,IF(LEFT(Cockpit!$I$5,1)="B",AW163,MAX(AW163,H163))),ROUNDUP(AU163,0)))</f>
        <v>776</v>
      </c>
      <c r="AR163" s="62" t="n">
        <f aca="false">IF(CA163=1,0,ROUNDUP(AQ163/BZ163,0))</f>
        <v>2</v>
      </c>
      <c r="AS163" s="64" t="n">
        <f aca="false">IF(CR163&gt;0,CR163*MAX(1,AQ163/X163),IF(CA163=1,IF(AQ163&lt;=0,0,CE163*MAX(1,IF(H163&gt;0,AQ163/H163,1))),IF(R163&gt;0,AR163/R163,0))/MAX(0.1,N(Parameter!$M$21)))</f>
        <v>0.0384615384615385</v>
      </c>
      <c r="AT163" s="62" t="n">
        <f aca="false">AS163*CC163</f>
        <v>5.96153846153846</v>
      </c>
      <c r="AU163" s="63" t="n">
        <f aca="false">IF(LEFT(Cockpit!$I$5,1)="A",H163,IF(CI163=1,(CL163+CJ163)/2,IF(LEFT(Cockpit!$I$5,1)="B",(CL163+AW163)/2,MAX((CL163+AW163)/2,H163))))</f>
        <v>776</v>
      </c>
      <c r="AV163" s="62" t="n">
        <f aca="false">AU163*G163</f>
        <v>1396.8</v>
      </c>
      <c r="AW163" s="62" t="n">
        <f aca="false">ROUNDUP(CL163+MAX(CM163,2*(J163/IF(CH163&gt;0,CH163,MAX(0.1,N(Cockpit!$I$6)))-CL163)),0)</f>
        <v>1023</v>
      </c>
      <c r="AX163" s="63" t="n">
        <f aca="false">IF(AT163&gt;0,J163/AT163,-1)</f>
        <v>165.225806451613</v>
      </c>
      <c r="AY163" s="63" t="n">
        <f aca="false">IF(AND(OR(CG163="L1",CG163="L23",CG163="LIFT"),AT163&gt;0),SUMIFS($AT$7:$AT$1843,$CG$7:$CG$1843,CG163,$AX$7:$AX$1843,"&gt;"&amp;AX163)+SUMIFS($AT$7:$AT$1843,$CG$7:$CG$1843,CG163,$AX$7:$AX$1843,AX163,$BX$7:$BX$1843,"&lt;="&amp;BX163),"")</f>
        <v>531.983516483517</v>
      </c>
      <c r="AZ163" s="70" t="n">
        <f aca="false">IF(AY163="",0,MAX(0,MIN(1,(IF(CG163="L1",Parameter!$H$5,IF(CG163="L23",Parameter!$H$6+Parameter!$H$7,Parameter!$H$5+Parameter!$H$6+Parameter!$H$7))-(AY163-AT163))/AT163)))</f>
        <v>1</v>
      </c>
      <c r="BA163" s="62" t="n">
        <f aca="false">IF(LEFT(Cockpit!$O$5,1)="A",H163,IF(Parameter!$E$30="MAX-Bestand",IF(CI163=1,CJ163,IF(LEFT(Cockpit!$O$5,1)="B",BG163,MAX(BG163,H163))),ROUNDUP(BE163,0)))</f>
        <v>531</v>
      </c>
      <c r="BB163" s="62" t="n">
        <f aca="false">IF(CA163=1,0,ROUNDUP(BA163/BZ163,0))</f>
        <v>2</v>
      </c>
      <c r="BC163" s="64" t="n">
        <f aca="false">IF(CR163&gt;0,CR163*MAX(1,BA163/X163),IF(CA163=1,IF(BA163&lt;=0,0,CE163*MAX(1,IF(H163&gt;0,BA163/H163,1))),IF(R163&gt;0,BB163/R163,0))/MAX(0.1,N(Parameter!$M$21)))</f>
        <v>0.0384615384615385</v>
      </c>
      <c r="BD163" s="62" t="n">
        <f aca="false">BC163*CC163</f>
        <v>5.96153846153846</v>
      </c>
      <c r="BE163" s="63" t="n">
        <f aca="false">IF(LEFT(Cockpit!$O$5,1)="A",H163,IF(CI163=1,(CL163+CJ163)/2,IF(LEFT(Cockpit!$O$5,1)="B",(CL163+BG163)/2,MAX((CL163+BG163)/2,H163))))</f>
        <v>530.5</v>
      </c>
      <c r="BF163" s="62" t="n">
        <f aca="false">BE163*G163</f>
        <v>954.9</v>
      </c>
      <c r="BG163" s="62" t="n">
        <f aca="false">ROUNDUP(CL163+MAX(CM163,2*(J163/IF(CH163&gt;0,CH163,MAX(0.1,N(Cockpit!$O$6)))-CL163)),0)</f>
        <v>1023</v>
      </c>
      <c r="BH163" s="63" t="n">
        <f aca="false">IF(BD163&gt;0,J163/BD163,-1)</f>
        <v>165.225806451613</v>
      </c>
      <c r="BI163" s="63" t="n">
        <f aca="false">IF(AND(OR(CG163="L1",CG163="L23",CG163="LIFT"),BD163&gt;0),SUMIFS($BD$7:$BD$1843,$CG$7:$CG$1843,CG163,$BH$7:$BH$1843,"&gt;"&amp;BH163)+SUMIFS($BD$7:$BD$1843,$CG$7:$CG$1843,CG163,$BH$7:$BH$1843,BH163,$BX$7:$BX$1843,"&lt;="&amp;BX163),"")</f>
        <v>526.163461538462</v>
      </c>
      <c r="BJ163" s="70" t="n">
        <f aca="false">IF(BI163="",0,MAX(0,MIN(1,(IF(CG163="L1",Parameter!$H$5,IF(CG163="L23",Parameter!$H$6+Parameter!$H$7,Parameter!$H$5+Parameter!$H$6+Parameter!$H$7))-(BI163-BD163))/BD163)))</f>
        <v>1</v>
      </c>
      <c r="BK163" s="60" t="str">
        <f aca="false">IF(AJ163&lt;=0,"",IF(CG163="Aussen","Aussenlager",IF(CG163="-","Nicht im Lift",IF(AP163&gt;=1,"Lift",IF(AP163&lt;=0,"Aussenlager","teilweise")))))</f>
        <v>Lift</v>
      </c>
      <c r="BL163" s="60" t="str">
        <f aca="false">IF(AT163&lt;=0,"",IF(CG163="Aussen","Aussenlager",IF(CG163="-","Nicht im Lift",IF(AZ163&gt;=1,"Lift",IF(AZ163&lt;=0,"Aussenlager","teilweise")))))</f>
        <v>Lift</v>
      </c>
      <c r="BM163" s="60" t="str">
        <f aca="false">IF(BD163&lt;=0,"",IF(CG163="Aussen","Aussenlager",IF(CG163="-","Nicht im Lift",IF(BJ163&gt;=1,"Lift",IF(BJ163&lt;=0,"Aussenlager","teilweise")))))</f>
        <v>Lift</v>
      </c>
      <c r="BN163" s="60" t="str">
        <f aca="false">IF(A163="","",IF(BW163=1,"Neu; ","")&amp;IF(AND(BW163=0,BR163&lt;0),"negativer Bestand (Export "&amp;BR163&amp;"); ","")&amp;IF(J163&lt;=0,"Kein Verbrauch; ","")&amp;IF(CR163&gt;0,"Lift "&amp;W163&amp;" lt. Liftbericht (Fach "&amp;X163&amp;" Stk); ",IF(CB163=1,"Gebinde geschätzt ("&amp;T163&amp;"); ",IF(CA163=1,"Lose – Tablare geschätzt; ","")))&amp;IF(H163&gt;AW163,"Überbestand "&amp;ROUND(H163-AW163,0)&amp;" Stk / CHF "&amp;ROUND((H163-AW163)*G163,0)&amp;"; ","")&amp;IF(AND(CI163=1,CJ163&lt;CK163),"MAX &lt; MB+LG; ","")&amp;IF(AND(CQ163&gt;0,CP163*10&gt;CQ163),"zu hoch für Tablar; ","")&amp;IF(AND(BW163=0,OR(CI163=1,AB163&lt;&gt;"",U163&lt;&gt;"",V163&lt;&gt;"",AC163&lt;&gt;"")),"manuell übersteuert; ","")&amp;IF(AND(CA163=0,R163=0),"Gebinde unbekannt / Stellmass fehlt; ","")&amp;IF(AND(CA163=0,N(V163)&lt;=0,N(Q163)&lt;=0),"Menge pro Gebinde fehlt (Ist = 1 Gebinde); ","")&amp;BV163)</f>
        <v/>
      </c>
      <c r="BO163" s="60"/>
      <c r="BP163" s="60"/>
      <c r="BQ163" s="67"/>
      <c r="BR163" s="62" t="n">
        <v>665</v>
      </c>
      <c r="BS163" s="62" t="n">
        <v>111</v>
      </c>
      <c r="BT163" s="61" t="n">
        <v>1197</v>
      </c>
      <c r="BU163" s="62" t="n">
        <v>985</v>
      </c>
      <c r="BV163" s="60"/>
      <c r="BW163" s="65" t="n">
        <v>0</v>
      </c>
      <c r="BX163" s="65" t="n">
        <v>163</v>
      </c>
      <c r="BY163" s="60" t="str">
        <f aca="false">IF(U163&lt;&gt;"",UPPER(TRIM(U163)),IF(CB163=1,UPPER(VLOOKUP(T163,Parameter!$I$27:$K$29,2,0)),IF(P163="","LOSE",P163)))</f>
        <v>S41</v>
      </c>
      <c r="BZ163" s="62" t="n">
        <f aca="false">IF(BY163="LOSE",1,IF(N(V163)&gt;0,V163,IF(CB163=1,MAX(1,N(VLOOKUP(T163,Parameter!$I$27:$K$29,3,0)),H163,N(N163)),IF(N(Q163)&gt;0,Q163,MAX(1,H163)))))</f>
        <v>388</v>
      </c>
      <c r="CA163" s="65" t="n">
        <f aca="false">IF(BY163="LOSE",1,0)</f>
        <v>0</v>
      </c>
      <c r="CB163" s="65" t="n">
        <f aca="false">IF(AND(U163="",OR(P163="",P163="LOSE"),T163&lt;&gt;"",N(S163)&lt;=0,ISNUMBER(MATCH(T163,Parameter!$I$27:$I$29,0))),1,0)</f>
        <v>0</v>
      </c>
      <c r="CC163" s="65" t="n">
        <f aca="false">IF(CR163&gt;0,INDEX(Parameter!$H$5:$H$7,W163)/INDEX(Parameter!$E$5:$E$7,W163),IF(AND(CA163=0,N(IFERROR(VLOOKUP(BY163,'Gebinde-Kategorie'!$A$5:$N$45,14,0),0))&gt;0),VLOOKUP(BY163,'Gebinde-Kategorie'!$A$5:$N$45,14,0)*10+Parameter!$M$23,Parameter!$M$24))</f>
        <v>155</v>
      </c>
      <c r="CD163" s="60" t="str">
        <f aca="false">IF(AND(Parameter!$B$19="Ja",E163&lt;&gt;"",ISNUMBER(MATCH(E163,Parameter!$I$35:$I$52,0))),VLOOKUP(E163,Parameter!$I$35:$J$52,2,0),IFERROR(VLOOKUP(D163,Parameter!$A$35:$C$64,2,0),"Nein"))</f>
        <v>2+3</v>
      </c>
      <c r="CE163" s="64" t="n">
        <f aca="false">IF(CA163=0,0,IF(N(S163)&gt;0,S163,IFERROR(VLOOKUP(D163,Parameter!$A$35:$C$64,3,0)+0,0)))</f>
        <v>0</v>
      </c>
      <c r="CF163" s="60" t="n">
        <f aca="false">IF(AB163&lt;&gt;"",AB163,AA163)</f>
        <v>3</v>
      </c>
      <c r="CG163" s="60" t="str">
        <f aca="false">IF(OR(CF163=1,CF163=2,CF163=3),IF(Parameter!$E$27="Ja","LIFT",IF(CF163=1,"L1","L23")),IF(CF163="Aussen","Aussen","-"))</f>
        <v>LIFT</v>
      </c>
      <c r="CH163" s="71" t="n">
        <f aca="false">IF(N(AC163)&gt;0,AC163,0)</f>
        <v>0</v>
      </c>
      <c r="CI163" s="65" t="n">
        <f aca="false">IF(ISNUMBER(AF163),1,0)</f>
        <v>0</v>
      </c>
      <c r="CJ163" s="62" t="n">
        <f aca="false">N(AF163)</f>
        <v>0</v>
      </c>
      <c r="CK163" s="62" t="n">
        <f aca="false">N(M163)+N(N163)</f>
        <v>1023</v>
      </c>
      <c r="CL163" s="62" t="n">
        <f aca="false">N(M163)</f>
        <v>38</v>
      </c>
      <c r="CM163" s="62" t="n">
        <f aca="false">N(N163)</f>
        <v>985</v>
      </c>
      <c r="CN163" s="62" t="n">
        <f aca="false">ROUNDUP(H163/BZ163,0)</f>
        <v>2</v>
      </c>
      <c r="CO163" s="62" t="n">
        <f aca="false">ROUNDUP(CJ163/BZ163,0)</f>
        <v>0</v>
      </c>
      <c r="CP163" s="65" t="n">
        <f aca="false">IF(CA163=1,0,IFERROR(VLOOKUP(BY163,'Gebinde-Kategorie'!$A$5:$N$45,5,0)+0,0))</f>
        <v>11</v>
      </c>
      <c r="CQ163" s="65" t="n">
        <f aca="false">IFERROR(IF(OR(CF163=1,CF163=2,CF163=3),N(INDEX(Parameter!$I$5:$I$7,CF163)),0),0)</f>
        <v>0</v>
      </c>
      <c r="CR163" s="64" t="n">
        <f aca="false">IF(AND(Parameter!$B$21="Ja",ISNUMBER(W163),N(X163)&gt;0),IFERROR(N(INDEX(Parameter!$L$5:$L$7,W163))*INDEX(Parameter!$E$5:$E$7,W163)*X163/SUMIFS($X$7:$X$1843,$W$7:$W$1843,W163),0),0)</f>
        <v>0</v>
      </c>
      <c r="CS163" s="62" t="n">
        <f aca="false">IF(AND(OR(CG163="L1",CG163="L23",CG163="LIFT"),H163&gt;0),CC163*IF(CR163&gt;0,CR163*MAX(1,H163/X163),IF(CA163=1,CE163,IF(R163&gt;0,CN163/R163,0))/MAX(0.1,N(Parameter!$M$21))),"")</f>
        <v>5.96153846153846</v>
      </c>
      <c r="CT163" s="64" t="n">
        <f aca="false">IF(CS163="","",J163/H163)</f>
        <v>1.26932989690722</v>
      </c>
      <c r="CU163" s="62" t="n">
        <f aca="false">IF(CS163="","",H163*G163)</f>
        <v>1396.8</v>
      </c>
      <c r="CV163" s="63" t="n">
        <f aca="false">IF(CS163="","",(CL163+ROUNDUP(CL163+MAX(CM163,2*(J163/MAX(0.1,N(Einkauf!$C$6))-CL163)),0))/2)</f>
        <v>530.5</v>
      </c>
      <c r="CW163" s="62" t="n">
        <f aca="false">IF(CS163="","",MAX(0,H163-CV163)*G163)</f>
        <v>441.9</v>
      </c>
      <c r="CX163" s="62" t="n">
        <f aca="false">IF(CS163="","",CS163*MAX(0,1-CV163/H163))</f>
        <v>1.88602795400476</v>
      </c>
      <c r="CY163" s="64" t="n">
        <f aca="false">IF(CS163="","",PERCENTRANK($CS$7:$CS$1843,CS163)+PERCENTRANK($CU$7:$CU$1843,CU163)+1-PERCENTRANK($CT$7:$CT$1843,CT163))</f>
        <v>1.332</v>
      </c>
      <c r="CZ163" s="72" t="n">
        <f aca="false">IF(CS163="","",CHOOSE(MATCH(Einkauf!$C$5,Parameter!$G$23:$G$27,0),CY163,CS163,CU163,-CT163,CW163)+ROW()/1000000000)</f>
        <v>1.332000163</v>
      </c>
    </row>
    <row r="164" customFormat="false" ht="15" hidden="false" customHeight="false" outlineLevel="0" collapsed="false">
      <c r="A164" s="60" t="s">
        <v>576</v>
      </c>
      <c r="B164" s="60" t="s">
        <v>577</v>
      </c>
      <c r="C164" s="60" t="s">
        <v>206</v>
      </c>
      <c r="D164" s="60" t="s">
        <v>226</v>
      </c>
      <c r="E164" s="60"/>
      <c r="F164" s="60" t="s">
        <v>260</v>
      </c>
      <c r="G164" s="61" t="n">
        <v>22.14</v>
      </c>
      <c r="H164" s="62" t="n">
        <f aca="false">MAX(0,IF(AND(Parameter!$B$21="Ja",ISNUMBER(Y164)),Y164,IF(Parameter!$B$20="Jahresanfang 2025 + Export",BS164+BR164,BR164)))</f>
        <v>123</v>
      </c>
      <c r="I164" s="62" t="n">
        <f aca="false">H164*G164</f>
        <v>2723.22</v>
      </c>
      <c r="J164" s="62" t="n">
        <f aca="false">BU164*Parameter!$B$18</f>
        <v>2</v>
      </c>
      <c r="K164" s="63" t="n">
        <v>75</v>
      </c>
      <c r="L164" s="64" t="n">
        <v>0.0266666666666667</v>
      </c>
      <c r="M164" s="62" t="n">
        <v>0</v>
      </c>
      <c r="N164" s="62" t="n">
        <v>1</v>
      </c>
      <c r="O164" s="65" t="n">
        <v>70</v>
      </c>
      <c r="P164" s="60" t="s">
        <v>228</v>
      </c>
      <c r="Q164" s="62" t="n">
        <v>100</v>
      </c>
      <c r="R164" s="65" t="n">
        <f aca="false">IF(CA164=1,0,IFERROR(VLOOKUP(BY164,'Gebinde-Kategorie'!$A$5:$N$45,13,0)+0,0))</f>
        <v>12</v>
      </c>
      <c r="S164" s="66"/>
      <c r="T164" s="67"/>
      <c r="U164" s="67"/>
      <c r="V164" s="67"/>
      <c r="W164" s="60"/>
      <c r="X164" s="62"/>
      <c r="Y164" s="62"/>
      <c r="Z164" s="60" t="n">
        <v>3</v>
      </c>
      <c r="AA164" s="60" t="n">
        <f aca="false">IF(A164="","",IF(AND(Parameter!$B$21="Ja",ISNUMBER(W164)),W164,IF(AND(Parameter!$E$27="Ja",ISNUMBER(Z164),CD164&lt;&gt;"Nein"),Z164,IF(CD164="2+3",IF(ISNUMBER(SEARCH("grosser Artikel",BV164)),2,IFERROR(VLOOKUP(BY164,Parameter!$F$35:$G$64,2,0),2)),IF(OR(CD164="Nein",CD164=""),"-",CD164)))))</f>
        <v>3</v>
      </c>
      <c r="AB164" s="67"/>
      <c r="AC164" s="68"/>
      <c r="AD164" s="62" t="n">
        <f aca="false">AW164</f>
        <v>2</v>
      </c>
      <c r="AE164" s="62" t="n">
        <f aca="false">MAX(AW164,H164)</f>
        <v>123</v>
      </c>
      <c r="AF164" s="69"/>
      <c r="AG164" s="62" t="n">
        <f aca="false">IF(LEFT(Cockpit!$C$5,1)="A",H164,IF(Parameter!$E$30="MAX-Bestand",IF(CI164=1,CJ164,IF(LEFT(Cockpit!$C$5,1)="B",AM164,MAX(AM164,H164))),ROUNDUP(AK164,0)))</f>
        <v>123</v>
      </c>
      <c r="AH164" s="62" t="n">
        <f aca="false">IF(CA164=1,0,ROUNDUP(AG164/BZ164,0))</f>
        <v>2</v>
      </c>
      <c r="AI164" s="64" t="n">
        <f aca="false">IF(CR164&gt;0,CR164*MAX(1,AG164/X164),IF(CA164=1,IF(AG164&lt;=0,0,CE164*MAX(1,IF(H164&gt;0,AG164/H164,1))),IF(R164&gt;0,AH164/R164,0))/MAX(0.1,N(Parameter!$M$21)))</f>
        <v>0.166666666666667</v>
      </c>
      <c r="AJ164" s="62" t="n">
        <f aca="false">AI164*CC164</f>
        <v>24.1666666666667</v>
      </c>
      <c r="AK164" s="63" t="n">
        <f aca="false">IF(LEFT(Cockpit!$C$5,1)="A",H164,IF(CI164=1,(CL164+CJ164)/2,IF(LEFT(Cockpit!$C$5,1)="B",(CL164+AM164)/2,MAX((CL164+AM164)/2,H164))))</f>
        <v>123</v>
      </c>
      <c r="AL164" s="62" t="n">
        <f aca="false">AK164*G164</f>
        <v>2723.22</v>
      </c>
      <c r="AM164" s="62" t="n">
        <f aca="false">ROUNDUP(CL164+MAX(CM164,2*(J164/IF(CH164&gt;0,CH164,MAX(0.1,N(Cockpit!$C$6)))-CL164)),0)</f>
        <v>2</v>
      </c>
      <c r="AN164" s="63" t="n">
        <f aca="false">IF(AJ164&gt;0,J164/AJ164,-1)</f>
        <v>0.0827586206896552</v>
      </c>
      <c r="AO164" s="63" t="n">
        <f aca="false">IF(AND(OR(CG164="L1",CG164="L23",CG164="LIFT"),AJ164&gt;0),SUMIFS($AJ$7:$AJ$1843,$CG$7:$CG$1843,CG164,$AN$7:$AN$1843,"&gt;"&amp;AN164)+SUMIFS($AJ$7:$AJ$1843,$CG$7:$CG$1843,CG164,$AN$7:$AN$1843,AN164,$BX$7:$BX$1843,"&lt;="&amp;BX164),"")</f>
        <v>16713.607398957</v>
      </c>
      <c r="AP164" s="70" t="n">
        <f aca="false">IF(AO164="",0,MAX(0,MIN(1,(IF(CG164="L1",Parameter!$H$5,IF(CG164="L23",Parameter!$H$6+Parameter!$H$7,Parameter!$H$5+Parameter!$H$6+Parameter!$H$7))-(AO164-AJ164))/AJ164)))</f>
        <v>1</v>
      </c>
      <c r="AQ164" s="62" t="n">
        <f aca="false">IF(LEFT(Cockpit!$I$5,1)="A",H164,IF(Parameter!$E$30="MAX-Bestand",IF(CI164=1,CJ164,IF(LEFT(Cockpit!$I$5,1)="B",AW164,MAX(AW164,H164))),ROUNDUP(AU164,0)))</f>
        <v>123</v>
      </c>
      <c r="AR164" s="62" t="n">
        <f aca="false">IF(CA164=1,0,ROUNDUP(AQ164/BZ164,0))</f>
        <v>2</v>
      </c>
      <c r="AS164" s="64" t="n">
        <f aca="false">IF(CR164&gt;0,CR164*MAX(1,AQ164/X164),IF(CA164=1,IF(AQ164&lt;=0,0,CE164*MAX(1,IF(H164&gt;0,AQ164/H164,1))),IF(R164&gt;0,AR164/R164,0))/MAX(0.1,N(Parameter!$M$21)))</f>
        <v>0.166666666666667</v>
      </c>
      <c r="AT164" s="62" t="n">
        <f aca="false">AS164*CC164</f>
        <v>24.1666666666667</v>
      </c>
      <c r="AU164" s="63" t="n">
        <f aca="false">IF(LEFT(Cockpit!$I$5,1)="A",H164,IF(CI164=1,(CL164+CJ164)/2,IF(LEFT(Cockpit!$I$5,1)="B",(CL164+AW164)/2,MAX((CL164+AW164)/2,H164))))</f>
        <v>123</v>
      </c>
      <c r="AV164" s="62" t="n">
        <f aca="false">AU164*G164</f>
        <v>2723.22</v>
      </c>
      <c r="AW164" s="62" t="n">
        <f aca="false">ROUNDUP(CL164+MAX(CM164,2*(J164/IF(CH164&gt;0,CH164,MAX(0.1,N(Cockpit!$I$6)))-CL164)),0)</f>
        <v>2</v>
      </c>
      <c r="AX164" s="63" t="n">
        <f aca="false">IF(AT164&gt;0,J164/AT164,-1)</f>
        <v>0.0827586206896552</v>
      </c>
      <c r="AY164" s="63" t="n">
        <f aca="false">IF(AND(OR(CG164="L1",CG164="L23",CG164="LIFT"),AT164&gt;0),SUMIFS($AT$7:$AT$1843,$CG$7:$CG$1843,CG164,$AX$7:$AX$1843,"&gt;"&amp;AX164)+SUMIFS($AT$7:$AT$1843,$CG$7:$CG$1843,CG164,$AX$7:$AX$1843,AX164,$BX$7:$BX$1843,"&lt;="&amp;BX164),"")</f>
        <v>21736.7560403344</v>
      </c>
      <c r="AZ164" s="70" t="n">
        <f aca="false">IF(AY164="",0,MAX(0,MIN(1,(IF(CG164="L1",Parameter!$H$5,IF(CG164="L23",Parameter!$H$6+Parameter!$H$7,Parameter!$H$5+Parameter!$H$6+Parameter!$H$7))-(AY164-AT164))/AT164)))</f>
        <v>1</v>
      </c>
      <c r="BA164" s="62" t="n">
        <f aca="false">IF(LEFT(Cockpit!$O$5,1)="A",H164,IF(Parameter!$E$30="MAX-Bestand",IF(CI164=1,CJ164,IF(LEFT(Cockpit!$O$5,1)="B",BG164,MAX(BG164,H164))),ROUNDUP(BE164,0)))</f>
        <v>1</v>
      </c>
      <c r="BB164" s="62" t="n">
        <f aca="false">IF(CA164=1,0,ROUNDUP(BA164/BZ164,0))</f>
        <v>1</v>
      </c>
      <c r="BC164" s="64" t="n">
        <f aca="false">IF(CR164&gt;0,CR164*MAX(1,BA164/X164),IF(CA164=1,IF(BA164&lt;=0,0,CE164*MAX(1,IF(H164&gt;0,BA164/H164,1))),IF(R164&gt;0,BB164/R164,0))/MAX(0.1,N(Parameter!$M$21)))</f>
        <v>0.0833333333333333</v>
      </c>
      <c r="BD164" s="62" t="n">
        <f aca="false">BC164*CC164</f>
        <v>12.0833333333333</v>
      </c>
      <c r="BE164" s="63" t="n">
        <f aca="false">IF(LEFT(Cockpit!$O$5,1)="A",H164,IF(CI164=1,(CL164+CJ164)/2,IF(LEFT(Cockpit!$O$5,1)="B",(CL164+BG164)/2,MAX((CL164+BG164)/2,H164))))</f>
        <v>0.5</v>
      </c>
      <c r="BF164" s="62" t="n">
        <f aca="false">BE164*G164</f>
        <v>11.07</v>
      </c>
      <c r="BG164" s="62" t="n">
        <f aca="false">ROUNDUP(CL164+MAX(CM164,2*(J164/IF(CH164&gt;0,CH164,MAX(0.1,N(Cockpit!$O$6)))-CL164)),0)</f>
        <v>1</v>
      </c>
      <c r="BH164" s="63" t="n">
        <f aca="false">IF(BD164&gt;0,J164/BD164,-1)</f>
        <v>0.16551724137931</v>
      </c>
      <c r="BI164" s="63" t="n">
        <f aca="false">IF(AND(OR(CG164="L1",CG164="L23",CG164="LIFT"),BD164&gt;0),SUMIFS($BD$7:$BD$1843,$CG$7:$CG$1843,CG164,$BH$7:$BH$1843,"&gt;"&amp;BH164)+SUMIFS($BD$7:$BD$1843,$CG$7:$CG$1843,CG164,$BH$7:$BH$1843,BH164,$BX$7:$BX$1843,"&lt;="&amp;BX164),"")</f>
        <v>13524.3039491112</v>
      </c>
      <c r="BJ164" s="70" t="n">
        <f aca="false">IF(BI164="",0,MAX(0,MIN(1,(IF(CG164="L1",Parameter!$H$5,IF(CG164="L23",Parameter!$H$6+Parameter!$H$7,Parameter!$H$5+Parameter!$H$6+Parameter!$H$7))-(BI164-BD164))/BD164)))</f>
        <v>1</v>
      </c>
      <c r="BK164" s="60" t="str">
        <f aca="false">IF(AJ164&lt;=0,"",IF(CG164="Aussen","Aussenlager",IF(CG164="-","Nicht im Lift",IF(AP164&gt;=1,"Lift",IF(AP164&lt;=0,"Aussenlager","teilweise")))))</f>
        <v>Lift</v>
      </c>
      <c r="BL164" s="60" t="str">
        <f aca="false">IF(AT164&lt;=0,"",IF(CG164="Aussen","Aussenlager",IF(CG164="-","Nicht im Lift",IF(AZ164&gt;=1,"Lift",IF(AZ164&lt;=0,"Aussenlager","teilweise")))))</f>
        <v>Lift</v>
      </c>
      <c r="BM164" s="60" t="str">
        <f aca="false">IF(BD164&lt;=0,"",IF(CG164="Aussen","Aussenlager",IF(CG164="-","Nicht im Lift",IF(BJ164&gt;=1,"Lift",IF(BJ164&lt;=0,"Aussenlager","teilweise")))))</f>
        <v>Lift</v>
      </c>
      <c r="BN164" s="60" t="str">
        <f aca="false">IF(A164="","",IF(BW164=1,"Neu; ","")&amp;IF(AND(BW164=0,BR164&lt;0),"negativer Bestand (Export "&amp;BR164&amp;"); ","")&amp;IF(J164&lt;=0,"Kein Verbrauch; ","")&amp;IF(CR164&gt;0,"Lift "&amp;W164&amp;" lt. Liftbericht (Fach "&amp;X164&amp;" Stk); ",IF(CB164=1,"Gebinde geschätzt ("&amp;T164&amp;"); ",IF(CA164=1,"Lose – Tablare geschätzt; ","")))&amp;IF(H164&gt;AW164,"Überbestand "&amp;ROUND(H164-AW164,0)&amp;" Stk / CHF "&amp;ROUND((H164-AW164)*G164,0)&amp;"; ","")&amp;IF(AND(CI164=1,CJ164&lt;CK164),"MAX &lt; MB+LG; ","")&amp;IF(AND(CQ164&gt;0,CP164*10&gt;CQ164),"zu hoch für Tablar; ","")&amp;IF(AND(BW164=0,OR(CI164=1,AB164&lt;&gt;"",U164&lt;&gt;"",V164&lt;&gt;"",AC164&lt;&gt;"")),"manuell übersteuert; ","")&amp;IF(AND(CA164=0,R164=0),"Gebinde unbekannt / Stellmass fehlt; ","")&amp;IF(AND(CA164=0,N(V164)&lt;=0,N(Q164)&lt;=0),"Menge pro Gebinde fehlt (Ist = 1 Gebinde); ","")&amp;BV164)</f>
        <v>Überbestand 121 Stk / CHF 2679; i.o</v>
      </c>
      <c r="BO164" s="60"/>
      <c r="BP164" s="60"/>
      <c r="BQ164" s="67"/>
      <c r="BR164" s="62" t="n">
        <v>48</v>
      </c>
      <c r="BS164" s="62" t="n">
        <v>75</v>
      </c>
      <c r="BT164" s="61" t="n">
        <v>1171.2</v>
      </c>
      <c r="BU164" s="62" t="n">
        <v>2</v>
      </c>
      <c r="BV164" s="60" t="s">
        <v>578</v>
      </c>
      <c r="BW164" s="65" t="n">
        <v>0</v>
      </c>
      <c r="BX164" s="65" t="n">
        <v>164</v>
      </c>
      <c r="BY164" s="60" t="str">
        <f aca="false">IF(U164&lt;&gt;"",UPPER(TRIM(U164)),IF(CB164=1,UPPER(VLOOKUP(T164,Parameter!$I$27:$K$29,2,0)),IF(P164="","LOSE",P164)))</f>
        <v>S61</v>
      </c>
      <c r="BZ164" s="62" t="n">
        <f aca="false">IF(BY164="LOSE",1,IF(N(V164)&gt;0,V164,IF(CB164=1,MAX(1,N(VLOOKUP(T164,Parameter!$I$27:$K$29,3,0)),H164,N(N164)),IF(N(Q164)&gt;0,Q164,MAX(1,H164)))))</f>
        <v>100</v>
      </c>
      <c r="CA164" s="65" t="n">
        <f aca="false">IF(BY164="LOSE",1,0)</f>
        <v>0</v>
      </c>
      <c r="CB164" s="65" t="n">
        <f aca="false">IF(AND(U164="",OR(P164="",P164="LOSE"),T164&lt;&gt;"",N(S164)&lt;=0,ISNUMBER(MATCH(T164,Parameter!$I$27:$I$29,0))),1,0)</f>
        <v>0</v>
      </c>
      <c r="CC164" s="65" t="n">
        <f aca="false">IF(CR164&gt;0,INDEX(Parameter!$H$5:$H$7,W164)/INDEX(Parameter!$E$5:$E$7,W164),IF(AND(CA164=0,N(IFERROR(VLOOKUP(BY164,'Gebinde-Kategorie'!$A$5:$N$45,14,0),0))&gt;0),VLOOKUP(BY164,'Gebinde-Kategorie'!$A$5:$N$45,14,0)*10+Parameter!$M$23,Parameter!$M$24))</f>
        <v>145</v>
      </c>
      <c r="CD164" s="60" t="str">
        <f aca="false">IF(AND(Parameter!$B$19="Ja",E164&lt;&gt;"",ISNUMBER(MATCH(E164,Parameter!$I$35:$I$52,0))),VLOOKUP(E164,Parameter!$I$35:$J$52,2,0),IFERROR(VLOOKUP(D164,Parameter!$A$35:$C$64,2,0),"Nein"))</f>
        <v>2+3</v>
      </c>
      <c r="CE164" s="64" t="n">
        <f aca="false">IF(CA164=0,0,IF(N(S164)&gt;0,S164,IFERROR(VLOOKUP(D164,Parameter!$A$35:$C$64,3,0)+0,0)))</f>
        <v>0</v>
      </c>
      <c r="CF164" s="60" t="n">
        <f aca="false">IF(AB164&lt;&gt;"",AB164,AA164)</f>
        <v>3</v>
      </c>
      <c r="CG164" s="60" t="str">
        <f aca="false">IF(OR(CF164=1,CF164=2,CF164=3),IF(Parameter!$E$27="Ja","LIFT",IF(CF164=1,"L1","L23")),IF(CF164="Aussen","Aussen","-"))</f>
        <v>LIFT</v>
      </c>
      <c r="CH164" s="71" t="n">
        <f aca="false">IF(N(AC164)&gt;0,AC164,0)</f>
        <v>0</v>
      </c>
      <c r="CI164" s="65" t="n">
        <f aca="false">IF(ISNUMBER(AF164),1,0)</f>
        <v>0</v>
      </c>
      <c r="CJ164" s="62" t="n">
        <f aca="false">N(AF164)</f>
        <v>0</v>
      </c>
      <c r="CK164" s="62" t="n">
        <f aca="false">N(M164)+N(N164)</f>
        <v>1</v>
      </c>
      <c r="CL164" s="62" t="n">
        <f aca="false">N(M164)</f>
        <v>0</v>
      </c>
      <c r="CM164" s="62" t="n">
        <f aca="false">N(N164)</f>
        <v>1</v>
      </c>
      <c r="CN164" s="62" t="n">
        <f aca="false">ROUNDUP(H164/BZ164,0)</f>
        <v>2</v>
      </c>
      <c r="CO164" s="62" t="n">
        <f aca="false">ROUNDUP(CJ164/BZ164,0)</f>
        <v>0</v>
      </c>
      <c r="CP164" s="65" t="n">
        <f aca="false">IF(CA164=1,0,IFERROR(VLOOKUP(BY164,'Gebinde-Kategorie'!$A$5:$N$45,5,0)+0,0))</f>
        <v>11</v>
      </c>
      <c r="CQ164" s="65" t="n">
        <f aca="false">IFERROR(IF(OR(CF164=1,CF164=2,CF164=3),N(INDEX(Parameter!$I$5:$I$7,CF164)),0),0)</f>
        <v>0</v>
      </c>
      <c r="CR164" s="64" t="n">
        <f aca="false">IF(AND(Parameter!$B$21="Ja",ISNUMBER(W164),N(X164)&gt;0),IFERROR(N(INDEX(Parameter!$L$5:$L$7,W164))*INDEX(Parameter!$E$5:$E$7,W164)*X164/SUMIFS($X$7:$X$1843,$W$7:$W$1843,W164),0),0)</f>
        <v>0</v>
      </c>
      <c r="CS164" s="62" t="n">
        <f aca="false">IF(AND(OR(CG164="L1",CG164="L23",CG164="LIFT"),H164&gt;0),CC164*IF(CR164&gt;0,CR164*MAX(1,H164/X164),IF(CA164=1,CE164,IF(R164&gt;0,CN164/R164,0))/MAX(0.1,N(Parameter!$M$21))),"")</f>
        <v>24.1666666666667</v>
      </c>
      <c r="CT164" s="64" t="n">
        <f aca="false">IF(CS164="","",J164/H164)</f>
        <v>0.016260162601626</v>
      </c>
      <c r="CU164" s="62" t="n">
        <f aca="false">IF(CS164="","",H164*G164)</f>
        <v>2723.22</v>
      </c>
      <c r="CV164" s="63" t="n">
        <f aca="false">IF(CS164="","",(CL164+ROUNDUP(CL164+MAX(CM164,2*(J164/MAX(0.1,N(Einkauf!$C$6))-CL164)),0))/2)</f>
        <v>0.5</v>
      </c>
      <c r="CW164" s="62" t="n">
        <f aca="false">IF(CS164="","",MAX(0,H164-CV164)*G164)</f>
        <v>2712.15</v>
      </c>
      <c r="CX164" s="62" t="n">
        <f aca="false">IF(CS164="","",CS164*MAX(0,1-CV164/H164))</f>
        <v>24.0684281842818</v>
      </c>
      <c r="CY164" s="64" t="n">
        <f aca="false">IF(CS164="","",PERCENTRANK($CS$7:$CS$1843,CS164)+PERCENTRANK($CU$7:$CU$1843,CU164)+1-PERCENTRANK($CT$7:$CT$1843,CT164))</f>
        <v>2.252</v>
      </c>
      <c r="CZ164" s="72" t="n">
        <f aca="false">IF(CS164="","",CHOOSE(MATCH(Einkauf!$C$5,Parameter!$G$23:$G$27,0),CY164,CS164,CU164,-CT164,CW164)+ROW()/1000000000)</f>
        <v>2.252000164</v>
      </c>
    </row>
    <row r="165" customFormat="false" ht="15" hidden="false" customHeight="false" outlineLevel="0" collapsed="false">
      <c r="A165" s="60" t="s">
        <v>579</v>
      </c>
      <c r="B165" s="60" t="s">
        <v>580</v>
      </c>
      <c r="C165" s="60" t="s">
        <v>206</v>
      </c>
      <c r="D165" s="60" t="s">
        <v>215</v>
      </c>
      <c r="E165" s="60"/>
      <c r="F165" s="60" t="s">
        <v>260</v>
      </c>
      <c r="G165" s="61" t="n">
        <v>145.13</v>
      </c>
      <c r="H165" s="62" t="n">
        <f aca="false">MAX(0,IF(AND(Parameter!$B$21="Ja",ISNUMBER(Y165)),Y165,IF(Parameter!$B$20="Jahresanfang 2025 + Export",BS165+BR165,BR165)))</f>
        <v>18</v>
      </c>
      <c r="I165" s="62" t="n">
        <f aca="false">H165*G165</f>
        <v>2612.34</v>
      </c>
      <c r="J165" s="62" t="n">
        <f aca="false">BU165*Parameter!$B$18</f>
        <v>28</v>
      </c>
      <c r="K165" s="63" t="n">
        <v>11.5</v>
      </c>
      <c r="L165" s="64" t="n">
        <v>2.43478260869565</v>
      </c>
      <c r="M165" s="62" t="n">
        <v>4</v>
      </c>
      <c r="N165" s="62" t="n">
        <v>20</v>
      </c>
      <c r="O165" s="65" t="n">
        <v>50</v>
      </c>
      <c r="P165" s="60" t="s">
        <v>216</v>
      </c>
      <c r="Q165" s="62" t="n">
        <v>15</v>
      </c>
      <c r="R165" s="65" t="n">
        <f aca="false">IF(CA165=1,0,IFERROR(VLOOKUP(BY165,'Gebinde-Kategorie'!$A$5:$N$45,13,0)+0,0))</f>
        <v>6</v>
      </c>
      <c r="S165" s="66"/>
      <c r="T165" s="67"/>
      <c r="U165" s="67"/>
      <c r="V165" s="67"/>
      <c r="W165" s="60"/>
      <c r="X165" s="62"/>
      <c r="Y165" s="62"/>
      <c r="Z165" s="60" t="n">
        <v>2</v>
      </c>
      <c r="AA165" s="60" t="n">
        <f aca="false">IF(A165="","",IF(AND(Parameter!$B$21="Ja",ISNUMBER(W165)),W165,IF(AND(Parameter!$E$27="Ja",ISNUMBER(Z165),CD165&lt;&gt;"Nein"),Z165,IF(CD165="2+3",IF(ISNUMBER(SEARCH("grosser Artikel",BV165)),2,IFERROR(VLOOKUP(BY165,Parameter!$F$35:$G$64,2,0),2)),IF(OR(CD165="Nein",CD165=""),"-",CD165)))))</f>
        <v>2</v>
      </c>
      <c r="AB165" s="67"/>
      <c r="AC165" s="68"/>
      <c r="AD165" s="62" t="n">
        <f aca="false">AW165</f>
        <v>24</v>
      </c>
      <c r="AE165" s="62" t="n">
        <f aca="false">MAX(AW165,H165)</f>
        <v>24</v>
      </c>
      <c r="AF165" s="69"/>
      <c r="AG165" s="62" t="n">
        <f aca="false">IF(LEFT(Cockpit!$C$5,1)="A",H165,IF(Parameter!$E$30="MAX-Bestand",IF(CI165=1,CJ165,IF(LEFT(Cockpit!$C$5,1)="B",AM165,MAX(AM165,H165))),ROUNDUP(AK165,0)))</f>
        <v>18</v>
      </c>
      <c r="AH165" s="62" t="n">
        <f aca="false">IF(CA165=1,0,ROUNDUP(AG165/BZ165,0))</f>
        <v>2</v>
      </c>
      <c r="AI165" s="64" t="n">
        <f aca="false">IF(CR165&gt;0,CR165*MAX(1,AG165/X165),IF(CA165=1,IF(AG165&lt;=0,0,CE165*MAX(1,IF(H165&gt;0,AG165/H165,1))),IF(R165&gt;0,AH165/R165,0))/MAX(0.1,N(Parameter!$M$21)))</f>
        <v>0.333333333333333</v>
      </c>
      <c r="AJ165" s="62" t="n">
        <f aca="false">AI165*CC165</f>
        <v>78.3333333333333</v>
      </c>
      <c r="AK165" s="63" t="n">
        <f aca="false">IF(LEFT(Cockpit!$C$5,1)="A",H165,IF(CI165=1,(CL165+CJ165)/2,IF(LEFT(Cockpit!$C$5,1)="B",(CL165+AM165)/2,MAX((CL165+AM165)/2,H165))))</f>
        <v>18</v>
      </c>
      <c r="AL165" s="62" t="n">
        <f aca="false">AK165*G165</f>
        <v>2612.34</v>
      </c>
      <c r="AM165" s="62" t="n">
        <f aca="false">ROUNDUP(CL165+MAX(CM165,2*(J165/IF(CH165&gt;0,CH165,MAX(0.1,N(Cockpit!$C$6)))-CL165)),0)</f>
        <v>24</v>
      </c>
      <c r="AN165" s="63" t="n">
        <f aca="false">IF(AJ165&gt;0,J165/AJ165,-1)</f>
        <v>0.357446808510638</v>
      </c>
      <c r="AO165" s="63" t="n">
        <f aca="false">IF(AND(OR(CG165="L1",CG165="L23",CG165="LIFT"),AJ165&gt;0),SUMIFS($AJ$7:$AJ$1843,$CG$7:$CG$1843,CG165,$AN$7:$AN$1843,"&gt;"&amp;AN165)+SUMIFS($AJ$7:$AJ$1843,$CG$7:$CG$1843,CG165,$AN$7:$AN$1843,AN165,$BX$7:$BX$1843,"&lt;="&amp;BX165),"")</f>
        <v>10619.3333048778</v>
      </c>
      <c r="AP165" s="70" t="n">
        <f aca="false">IF(AO165="",0,MAX(0,MIN(1,(IF(CG165="L1",Parameter!$H$5,IF(CG165="L23",Parameter!$H$6+Parameter!$H$7,Parameter!$H$5+Parameter!$H$6+Parameter!$H$7))-(AO165-AJ165))/AJ165)))</f>
        <v>1</v>
      </c>
      <c r="AQ165" s="62" t="n">
        <f aca="false">IF(LEFT(Cockpit!$I$5,1)="A",H165,IF(Parameter!$E$30="MAX-Bestand",IF(CI165=1,CJ165,IF(LEFT(Cockpit!$I$5,1)="B",AW165,MAX(AW165,H165))),ROUNDUP(AU165,0)))</f>
        <v>18</v>
      </c>
      <c r="AR165" s="62" t="n">
        <f aca="false">IF(CA165=1,0,ROUNDUP(AQ165/BZ165,0))</f>
        <v>2</v>
      </c>
      <c r="AS165" s="64" t="n">
        <f aca="false">IF(CR165&gt;0,CR165*MAX(1,AQ165/X165),IF(CA165=1,IF(AQ165&lt;=0,0,CE165*MAX(1,IF(H165&gt;0,AQ165/H165,1))),IF(R165&gt;0,AR165/R165,0))/MAX(0.1,N(Parameter!$M$21)))</f>
        <v>0.333333333333333</v>
      </c>
      <c r="AT165" s="62" t="n">
        <f aca="false">AS165*CC165</f>
        <v>78.3333333333333</v>
      </c>
      <c r="AU165" s="63" t="n">
        <f aca="false">IF(LEFT(Cockpit!$I$5,1)="A",H165,IF(CI165=1,(CL165+CJ165)/2,IF(LEFT(Cockpit!$I$5,1)="B",(CL165+AW165)/2,MAX((CL165+AW165)/2,H165))))</f>
        <v>18</v>
      </c>
      <c r="AV165" s="62" t="n">
        <f aca="false">AU165*G165</f>
        <v>2612.34</v>
      </c>
      <c r="AW165" s="62" t="n">
        <f aca="false">ROUNDUP(CL165+MAX(CM165,2*(J165/IF(CH165&gt;0,CH165,MAX(0.1,N(Cockpit!$I$6)))-CL165)),0)</f>
        <v>24</v>
      </c>
      <c r="AX165" s="63" t="n">
        <f aca="false">IF(AT165&gt;0,J165/AT165,-1)</f>
        <v>0.357446808510638</v>
      </c>
      <c r="AY165" s="63" t="n">
        <f aca="false">IF(AND(OR(CG165="L1",CG165="L23",CG165="LIFT"),AT165&gt;0),SUMIFS($AT$7:$AT$1843,$CG$7:$CG$1843,CG165,$AX$7:$AX$1843,"&gt;"&amp;AX165)+SUMIFS($AT$7:$AT$1843,$CG$7:$CG$1843,CG165,$AX$7:$AX$1843,AX165,$BX$7:$BX$1843,"&lt;="&amp;BX165),"")</f>
        <v>13351.0865384615</v>
      </c>
      <c r="AZ165" s="70" t="n">
        <f aca="false">IF(AY165="",0,MAX(0,MIN(1,(IF(CG165="L1",Parameter!$H$5,IF(CG165="L23",Parameter!$H$6+Parameter!$H$7,Parameter!$H$5+Parameter!$H$6+Parameter!$H$7))-(AY165-AT165))/AT165)))</f>
        <v>1</v>
      </c>
      <c r="BA165" s="62" t="n">
        <f aca="false">IF(LEFT(Cockpit!$O$5,1)="A",H165,IF(Parameter!$E$30="MAX-Bestand",IF(CI165=1,CJ165,IF(LEFT(Cockpit!$O$5,1)="B",BG165,MAX(BG165,H165))),ROUNDUP(BE165,0)))</f>
        <v>14</v>
      </c>
      <c r="BB165" s="62" t="n">
        <f aca="false">IF(CA165=1,0,ROUNDUP(BA165/BZ165,0))</f>
        <v>1</v>
      </c>
      <c r="BC165" s="64" t="n">
        <f aca="false">IF(CR165&gt;0,CR165*MAX(1,BA165/X165),IF(CA165=1,IF(BA165&lt;=0,0,CE165*MAX(1,IF(H165&gt;0,BA165/H165,1))),IF(R165&gt;0,BB165/R165,0))/MAX(0.1,N(Parameter!$M$21)))</f>
        <v>0.166666666666667</v>
      </c>
      <c r="BD165" s="62" t="n">
        <f aca="false">BC165*CC165</f>
        <v>39.1666666666667</v>
      </c>
      <c r="BE165" s="63" t="n">
        <f aca="false">IF(LEFT(Cockpit!$O$5,1)="A",H165,IF(CI165=1,(CL165+CJ165)/2,IF(LEFT(Cockpit!$O$5,1)="B",(CL165+BG165)/2,MAX((CL165+BG165)/2,H165))))</f>
        <v>14</v>
      </c>
      <c r="BF165" s="62" t="n">
        <f aca="false">BE165*G165</f>
        <v>2031.82</v>
      </c>
      <c r="BG165" s="62" t="n">
        <f aca="false">ROUNDUP(CL165+MAX(CM165,2*(J165/IF(CH165&gt;0,CH165,MAX(0.1,N(Cockpit!$O$6)))-CL165)),0)</f>
        <v>24</v>
      </c>
      <c r="BH165" s="63" t="n">
        <f aca="false">IF(BD165&gt;0,J165/BD165,-1)</f>
        <v>0.714893617021277</v>
      </c>
      <c r="BI165" s="63" t="n">
        <f aca="false">IF(AND(OR(CG165="L1",CG165="L23",CG165="LIFT"),BD165&gt;0),SUMIFS($BD$7:$BD$1843,$CG$7:$CG$1843,CG165,$BH$7:$BH$1843,"&gt;"&amp;BH165)+SUMIFS($BD$7:$BD$1843,$CG$7:$CG$1843,CG165,$BH$7:$BH$1843,BH165,$BX$7:$BX$1843,"&lt;="&amp;BX165),"")</f>
        <v>9358.03891941392</v>
      </c>
      <c r="BJ165" s="70" t="n">
        <f aca="false">IF(BI165="",0,MAX(0,MIN(1,(IF(CG165="L1",Parameter!$H$5,IF(CG165="L23",Parameter!$H$6+Parameter!$H$7,Parameter!$H$5+Parameter!$H$6+Parameter!$H$7))-(BI165-BD165))/BD165)))</f>
        <v>1</v>
      </c>
      <c r="BK165" s="60" t="str">
        <f aca="false">IF(AJ165&lt;=0,"",IF(CG165="Aussen","Aussenlager",IF(CG165="-","Nicht im Lift",IF(AP165&gt;=1,"Lift",IF(AP165&lt;=0,"Aussenlager","teilweise")))))</f>
        <v>Lift</v>
      </c>
      <c r="BL165" s="60" t="str">
        <f aca="false">IF(AT165&lt;=0,"",IF(CG165="Aussen","Aussenlager",IF(CG165="-","Nicht im Lift",IF(AZ165&gt;=1,"Lift",IF(AZ165&lt;=0,"Aussenlager","teilweise")))))</f>
        <v>Lift</v>
      </c>
      <c r="BM165" s="60" t="str">
        <f aca="false">IF(BD165&lt;=0,"",IF(CG165="Aussen","Aussenlager",IF(CG165="-","Nicht im Lift",IF(BJ165&gt;=1,"Lift",IF(BJ165&lt;=0,"Aussenlager","teilweise")))))</f>
        <v>Lift</v>
      </c>
      <c r="BN165" s="60" t="str">
        <f aca="false">IF(A165="","",IF(BW165=1,"Neu; ","")&amp;IF(AND(BW165=0,BR165&lt;0),"negativer Bestand (Export "&amp;BR165&amp;"); ","")&amp;IF(J165&lt;=0,"Kein Verbrauch; ","")&amp;IF(CR165&gt;0,"Lift "&amp;W165&amp;" lt. Liftbericht (Fach "&amp;X165&amp;" Stk); ",IF(CB165=1,"Gebinde geschätzt ("&amp;T165&amp;"); ",IF(CA165=1,"Lose – Tablare geschätzt; ","")))&amp;IF(H165&gt;AW165,"Überbestand "&amp;ROUND(H165-AW165,0)&amp;" Stk / CHF "&amp;ROUND((H165-AW165)*G165,0)&amp;"; ","")&amp;IF(AND(CI165=1,CJ165&lt;CK165),"MAX &lt; MB+LG; ","")&amp;IF(AND(CQ165&gt;0,CP165*10&gt;CQ165),"zu hoch für Tablar; ","")&amp;IF(AND(BW165=0,OR(CI165=1,AB165&lt;&gt;"",U165&lt;&gt;"",V165&lt;&gt;"",AC165&lt;&gt;"")),"manuell übersteuert; ","")&amp;IF(AND(CA165=0,R165=0),"Gebinde unbekannt / Stellmass fehlt; ","")&amp;IF(AND(CA165=0,N(V165)&lt;=0,N(Q165)&lt;=0),"Menge pro Gebinde fehlt (Ist = 1 Gebinde); ","")&amp;BV165)</f>
        <v/>
      </c>
      <c r="BO165" s="60"/>
      <c r="BP165" s="60"/>
      <c r="BQ165" s="67"/>
      <c r="BR165" s="62" t="n">
        <v>7</v>
      </c>
      <c r="BS165" s="62" t="n">
        <v>11</v>
      </c>
      <c r="BT165" s="61" t="n">
        <v>1134.27</v>
      </c>
      <c r="BU165" s="62" t="n">
        <v>28</v>
      </c>
      <c r="BV165" s="60"/>
      <c r="BW165" s="65" t="n">
        <v>0</v>
      </c>
      <c r="BX165" s="65" t="n">
        <v>165</v>
      </c>
      <c r="BY165" s="60" t="str">
        <f aca="false">IF(U165&lt;&gt;"",UPPER(TRIM(U165)),IF(CB165=1,UPPER(VLOOKUP(T165,Parameter!$I$27:$K$29,2,0)),IF(P165="","LOSE",P165)))</f>
        <v>S71</v>
      </c>
      <c r="BZ165" s="62" t="n">
        <f aca="false">IF(BY165="LOSE",1,IF(N(V165)&gt;0,V165,IF(CB165=1,MAX(1,N(VLOOKUP(T165,Parameter!$I$27:$K$29,3,0)),H165,N(N165)),IF(N(Q165)&gt;0,Q165,MAX(1,H165)))))</f>
        <v>15</v>
      </c>
      <c r="CA165" s="65" t="n">
        <f aca="false">IF(BY165="LOSE",1,0)</f>
        <v>0</v>
      </c>
      <c r="CB165" s="65" t="n">
        <f aca="false">IF(AND(U165="",OR(P165="",P165="LOSE"),T165&lt;&gt;"",N(S165)&lt;=0,ISNUMBER(MATCH(T165,Parameter!$I$27:$I$29,0))),1,0)</f>
        <v>0</v>
      </c>
      <c r="CC165" s="65" t="n">
        <f aca="false">IF(CR165&gt;0,INDEX(Parameter!$H$5:$H$7,W165)/INDEX(Parameter!$E$5:$E$7,W165),IF(AND(CA165=0,N(IFERROR(VLOOKUP(BY165,'Gebinde-Kategorie'!$A$5:$N$45,14,0),0))&gt;0),VLOOKUP(BY165,'Gebinde-Kategorie'!$A$5:$N$45,14,0)*10+Parameter!$M$23,Parameter!$M$24))</f>
        <v>235</v>
      </c>
      <c r="CD165" s="60" t="str">
        <f aca="false">IF(AND(Parameter!$B$19="Ja",E165&lt;&gt;"",ISNUMBER(MATCH(E165,Parameter!$I$35:$I$52,0))),VLOOKUP(E165,Parameter!$I$35:$J$52,2,0),IFERROR(VLOOKUP(D165,Parameter!$A$35:$C$64,2,0),"Nein"))</f>
        <v>2+3</v>
      </c>
      <c r="CE165" s="64" t="n">
        <f aca="false">IF(CA165=0,0,IF(N(S165)&gt;0,S165,IFERROR(VLOOKUP(D165,Parameter!$A$35:$C$64,3,0)+0,0)))</f>
        <v>0</v>
      </c>
      <c r="CF165" s="60" t="n">
        <f aca="false">IF(AB165&lt;&gt;"",AB165,AA165)</f>
        <v>2</v>
      </c>
      <c r="CG165" s="60" t="str">
        <f aca="false">IF(OR(CF165=1,CF165=2,CF165=3),IF(Parameter!$E$27="Ja","LIFT",IF(CF165=1,"L1","L23")),IF(CF165="Aussen","Aussen","-"))</f>
        <v>LIFT</v>
      </c>
      <c r="CH165" s="71" t="n">
        <f aca="false">IF(N(AC165)&gt;0,AC165,0)</f>
        <v>0</v>
      </c>
      <c r="CI165" s="65" t="n">
        <f aca="false">IF(ISNUMBER(AF165),1,0)</f>
        <v>0</v>
      </c>
      <c r="CJ165" s="62" t="n">
        <f aca="false">N(AF165)</f>
        <v>0</v>
      </c>
      <c r="CK165" s="62" t="n">
        <f aca="false">N(M165)+N(N165)</f>
        <v>24</v>
      </c>
      <c r="CL165" s="62" t="n">
        <f aca="false">N(M165)</f>
        <v>4</v>
      </c>
      <c r="CM165" s="62" t="n">
        <f aca="false">N(N165)</f>
        <v>20</v>
      </c>
      <c r="CN165" s="62" t="n">
        <f aca="false">ROUNDUP(H165/BZ165,0)</f>
        <v>2</v>
      </c>
      <c r="CO165" s="62" t="n">
        <f aca="false">ROUNDUP(CJ165/BZ165,0)</f>
        <v>0</v>
      </c>
      <c r="CP165" s="65" t="n">
        <f aca="false">IF(CA165=1,0,IFERROR(VLOOKUP(BY165,'Gebinde-Kategorie'!$A$5:$N$45,5,0)+0,0))</f>
        <v>20</v>
      </c>
      <c r="CQ165" s="65" t="n">
        <f aca="false">IFERROR(IF(OR(CF165=1,CF165=2,CF165=3),N(INDEX(Parameter!$I$5:$I$7,CF165)),0),0)</f>
        <v>0</v>
      </c>
      <c r="CR165" s="64" t="n">
        <f aca="false">IF(AND(Parameter!$B$21="Ja",ISNUMBER(W165),N(X165)&gt;0),IFERROR(N(INDEX(Parameter!$L$5:$L$7,W165))*INDEX(Parameter!$E$5:$E$7,W165)*X165/SUMIFS($X$7:$X$1843,$W$7:$W$1843,W165),0),0)</f>
        <v>0</v>
      </c>
      <c r="CS165" s="62" t="n">
        <f aca="false">IF(AND(OR(CG165="L1",CG165="L23",CG165="LIFT"),H165&gt;0),CC165*IF(CR165&gt;0,CR165*MAX(1,H165/X165),IF(CA165=1,CE165,IF(R165&gt;0,CN165/R165,0))/MAX(0.1,N(Parameter!$M$21))),"")</f>
        <v>78.3333333333333</v>
      </c>
      <c r="CT165" s="64" t="n">
        <f aca="false">IF(CS165="","",J165/H165)</f>
        <v>1.55555555555556</v>
      </c>
      <c r="CU165" s="62" t="n">
        <f aca="false">IF(CS165="","",H165*G165)</f>
        <v>2612.34</v>
      </c>
      <c r="CV165" s="63" t="n">
        <f aca="false">IF(CS165="","",(CL165+ROUNDUP(CL165+MAX(CM165,2*(J165/MAX(0.1,N(Einkauf!$C$6))-CL165)),0))/2)</f>
        <v>14</v>
      </c>
      <c r="CW165" s="62" t="n">
        <f aca="false">IF(CS165="","",MAX(0,H165-CV165)*G165)</f>
        <v>580.52</v>
      </c>
      <c r="CX165" s="62" t="n">
        <f aca="false">IF(CS165="","",CS165*MAX(0,1-CV165/H165))</f>
        <v>17.4074074074074</v>
      </c>
      <c r="CY165" s="64" t="n">
        <f aca="false">IF(CS165="","",PERCENTRANK($CS$7:$CS$1843,CS165)+PERCENTRANK($CU$7:$CU$1843,CU165)+1-PERCENTRANK($CT$7:$CT$1843,CT165))</f>
        <v>1.985</v>
      </c>
      <c r="CZ165" s="72" t="n">
        <f aca="false">IF(CS165="","",CHOOSE(MATCH(Einkauf!$C$5,Parameter!$G$23:$G$27,0),CY165,CS165,CU165,-CT165,CW165)+ROW()/1000000000)</f>
        <v>1.985000165</v>
      </c>
    </row>
    <row r="166" customFormat="false" ht="15" hidden="false" customHeight="false" outlineLevel="0" collapsed="false">
      <c r="A166" s="60" t="s">
        <v>581</v>
      </c>
      <c r="B166" s="60" t="s">
        <v>582</v>
      </c>
      <c r="C166" s="60" t="s">
        <v>206</v>
      </c>
      <c r="D166" s="60" t="s">
        <v>215</v>
      </c>
      <c r="E166" s="60" t="s">
        <v>412</v>
      </c>
      <c r="F166" s="60" t="s">
        <v>260</v>
      </c>
      <c r="G166" s="61" t="n">
        <v>314.61</v>
      </c>
      <c r="H166" s="62" t="n">
        <f aca="false">MAX(0,IF(AND(Parameter!$B$21="Ja",ISNUMBER(Y166)),Y166,IF(Parameter!$B$20="Jahresanfang 2025 + Export",BS166+BR166,BR166)))</f>
        <v>5</v>
      </c>
      <c r="I166" s="62" t="n">
        <f aca="false">H166*G166</f>
        <v>1573.05</v>
      </c>
      <c r="J166" s="62" t="n">
        <f aca="false">BU166*Parameter!$B$18</f>
        <v>17</v>
      </c>
      <c r="K166" s="63" t="n">
        <v>1.5</v>
      </c>
      <c r="L166" s="64" t="n">
        <v>11.3333333333333</v>
      </c>
      <c r="M166" s="62" t="n">
        <v>1</v>
      </c>
      <c r="N166" s="62" t="n">
        <v>2</v>
      </c>
      <c r="O166" s="65" t="n">
        <v>14</v>
      </c>
      <c r="P166" s="60" t="s">
        <v>210</v>
      </c>
      <c r="Q166" s="62"/>
      <c r="R166" s="65" t="n">
        <f aca="false">IF(CA166=1,0,IFERROR(VLOOKUP(BY166,'Gebinde-Kategorie'!$A$5:$N$45,13,0)+0,0))</f>
        <v>4</v>
      </c>
      <c r="S166" s="66"/>
      <c r="T166" s="67" t="s">
        <v>231</v>
      </c>
      <c r="U166" s="67"/>
      <c r="V166" s="67"/>
      <c r="W166" s="60"/>
      <c r="X166" s="62"/>
      <c r="Y166" s="62"/>
      <c r="Z166" s="60"/>
      <c r="AA166" s="60" t="str">
        <f aca="false">IF(A166="","",IF(AND(Parameter!$B$21="Ja",ISNUMBER(W166)),W166,IF(AND(Parameter!$E$27="Ja",ISNUMBER(Z166),CD166&lt;&gt;"Nein"),Z166,IF(CD166="2+3",IF(ISNUMBER(SEARCH("grosser Artikel",BV166)),2,IFERROR(VLOOKUP(BY166,Parameter!$F$35:$G$64,2,0),2)),IF(OR(CD166="Nein",CD166=""),"-",CD166)))))</f>
        <v>-</v>
      </c>
      <c r="AB166" s="67"/>
      <c r="AC166" s="68"/>
      <c r="AD166" s="62" t="n">
        <f aca="false">AW166</f>
        <v>11</v>
      </c>
      <c r="AE166" s="62" t="n">
        <f aca="false">MAX(AW166,H166)</f>
        <v>11</v>
      </c>
      <c r="AF166" s="69"/>
      <c r="AG166" s="62" t="n">
        <f aca="false">IF(LEFT(Cockpit!$C$5,1)="A",H166,IF(Parameter!$E$30="MAX-Bestand",IF(CI166=1,CJ166,IF(LEFT(Cockpit!$C$5,1)="B",AM166,MAX(AM166,H166))),ROUNDUP(AK166,0)))</f>
        <v>5</v>
      </c>
      <c r="AH166" s="62" t="n">
        <f aca="false">IF(CA166=1,0,ROUNDUP(AG166/BZ166,0))</f>
        <v>1</v>
      </c>
      <c r="AI166" s="64" t="n">
        <f aca="false">IF(CR166&gt;0,CR166*MAX(1,AG166/X166),IF(CA166=1,IF(AG166&lt;=0,0,CE166*MAX(1,IF(H166&gt;0,AG166/H166,1))),IF(R166&gt;0,AH166/R166,0))/MAX(0.1,N(Parameter!$M$21)))</f>
        <v>0.25</v>
      </c>
      <c r="AJ166" s="62" t="n">
        <f aca="false">AI166*CC166</f>
        <v>58.75</v>
      </c>
      <c r="AK166" s="63" t="n">
        <f aca="false">IF(LEFT(Cockpit!$C$5,1)="A",H166,IF(CI166=1,(CL166+CJ166)/2,IF(LEFT(Cockpit!$C$5,1)="B",(CL166+AM166)/2,MAX((CL166+AM166)/2,H166))))</f>
        <v>5</v>
      </c>
      <c r="AL166" s="62" t="n">
        <f aca="false">AK166*G166</f>
        <v>1573.05</v>
      </c>
      <c r="AM166" s="62" t="n">
        <f aca="false">ROUNDUP(CL166+MAX(CM166,2*(J166/IF(CH166&gt;0,CH166,MAX(0.1,N(Cockpit!$C$6)))-CL166)),0)</f>
        <v>11</v>
      </c>
      <c r="AN166" s="63" t="n">
        <f aca="false">IF(AJ166&gt;0,J166/AJ166,-1)</f>
        <v>0.28936170212766</v>
      </c>
      <c r="AO166" s="63" t="str">
        <f aca="false">IF(AND(OR(CG166="L1",CG166="L23",CG166="LIFT"),AJ166&gt;0),SUMIFS($AJ$7:$AJ$1843,$CG$7:$CG$1843,CG166,$AN$7:$AN$1843,"&gt;"&amp;AN166)+SUMIFS($AJ$7:$AJ$1843,$CG$7:$CG$1843,CG166,$AN$7:$AN$1843,AN166,$BX$7:$BX$1843,"&lt;="&amp;BX166),"")</f>
        <v/>
      </c>
      <c r="AP166" s="70" t="n">
        <f aca="false">IF(AO166="",0,MAX(0,MIN(1,(IF(CG166="L1",Parameter!$H$5,IF(CG166="L23",Parameter!$H$6+Parameter!$H$7,Parameter!$H$5+Parameter!$H$6+Parameter!$H$7))-(AO166-AJ166))/AJ166)))</f>
        <v>0</v>
      </c>
      <c r="AQ166" s="62" t="n">
        <f aca="false">IF(LEFT(Cockpit!$I$5,1)="A",H166,IF(Parameter!$E$30="MAX-Bestand",IF(CI166=1,CJ166,IF(LEFT(Cockpit!$I$5,1)="B",AW166,MAX(AW166,H166))),ROUNDUP(AU166,0)))</f>
        <v>6</v>
      </c>
      <c r="AR166" s="62" t="n">
        <f aca="false">IF(CA166=1,0,ROUNDUP(AQ166/BZ166,0))</f>
        <v>2</v>
      </c>
      <c r="AS166" s="64" t="n">
        <f aca="false">IF(CR166&gt;0,CR166*MAX(1,AQ166/X166),IF(CA166=1,IF(AQ166&lt;=0,0,CE166*MAX(1,IF(H166&gt;0,AQ166/H166,1))),IF(R166&gt;0,AR166/R166,0))/MAX(0.1,N(Parameter!$M$21)))</f>
        <v>0.5</v>
      </c>
      <c r="AT166" s="62" t="n">
        <f aca="false">AS166*CC166</f>
        <v>117.5</v>
      </c>
      <c r="AU166" s="63" t="n">
        <f aca="false">IF(LEFT(Cockpit!$I$5,1)="A",H166,IF(CI166=1,(CL166+CJ166)/2,IF(LEFT(Cockpit!$I$5,1)="B",(CL166+AW166)/2,MAX((CL166+AW166)/2,H166))))</f>
        <v>6</v>
      </c>
      <c r="AV166" s="62" t="n">
        <f aca="false">AU166*G166</f>
        <v>1887.66</v>
      </c>
      <c r="AW166" s="62" t="n">
        <f aca="false">ROUNDUP(CL166+MAX(CM166,2*(J166/IF(CH166&gt;0,CH166,MAX(0.1,N(Cockpit!$I$6)))-CL166)),0)</f>
        <v>11</v>
      </c>
      <c r="AX166" s="63" t="n">
        <f aca="false">IF(AT166&gt;0,J166/AT166,-1)</f>
        <v>0.14468085106383</v>
      </c>
      <c r="AY166" s="63" t="str">
        <f aca="false">IF(AND(OR(CG166="L1",CG166="L23",CG166="LIFT"),AT166&gt;0),SUMIFS($AT$7:$AT$1843,$CG$7:$CG$1843,CG166,$AX$7:$AX$1843,"&gt;"&amp;AX166)+SUMIFS($AT$7:$AT$1843,$CG$7:$CG$1843,CG166,$AX$7:$AX$1843,AX166,$BX$7:$BX$1843,"&lt;="&amp;BX166),"")</f>
        <v/>
      </c>
      <c r="AZ166" s="70" t="n">
        <f aca="false">IF(AY166="",0,MAX(0,MIN(1,(IF(CG166="L1",Parameter!$H$5,IF(CG166="L23",Parameter!$H$6+Parameter!$H$7,Parameter!$H$5+Parameter!$H$6+Parameter!$H$7))-(AY166-AT166))/AT166)))</f>
        <v>0</v>
      </c>
      <c r="BA166" s="62" t="n">
        <f aca="false">IF(LEFT(Cockpit!$O$5,1)="A",H166,IF(Parameter!$E$30="MAX-Bestand",IF(CI166=1,CJ166,IF(LEFT(Cockpit!$O$5,1)="B",BG166,MAX(BG166,H166))),ROUNDUP(BE166,0)))</f>
        <v>5</v>
      </c>
      <c r="BB166" s="62" t="n">
        <f aca="false">IF(CA166=1,0,ROUNDUP(BA166/BZ166,0))</f>
        <v>1</v>
      </c>
      <c r="BC166" s="64" t="n">
        <f aca="false">IF(CR166&gt;0,CR166*MAX(1,BA166/X166),IF(CA166=1,IF(BA166&lt;=0,0,CE166*MAX(1,IF(H166&gt;0,BA166/H166,1))),IF(R166&gt;0,BB166/R166,0))/MAX(0.1,N(Parameter!$M$21)))</f>
        <v>0.25</v>
      </c>
      <c r="BD166" s="62" t="n">
        <f aca="false">BC166*CC166</f>
        <v>58.75</v>
      </c>
      <c r="BE166" s="63" t="n">
        <f aca="false">IF(LEFT(Cockpit!$O$5,1)="A",H166,IF(CI166=1,(CL166+CJ166)/2,IF(LEFT(Cockpit!$O$5,1)="B",(CL166+BG166)/2,MAX((CL166+BG166)/2,H166))))</f>
        <v>4.5</v>
      </c>
      <c r="BF166" s="62" t="n">
        <f aca="false">BE166*G166</f>
        <v>1415.745</v>
      </c>
      <c r="BG166" s="62" t="n">
        <f aca="false">ROUNDUP(CL166+MAX(CM166,2*(J166/IF(CH166&gt;0,CH166,MAX(0.1,N(Cockpit!$O$6)))-CL166)),0)</f>
        <v>8</v>
      </c>
      <c r="BH166" s="63" t="n">
        <f aca="false">IF(BD166&gt;0,J166/BD166,-1)</f>
        <v>0.28936170212766</v>
      </c>
      <c r="BI166" s="63" t="str">
        <f aca="false">IF(AND(OR(CG166="L1",CG166="L23",CG166="LIFT"),BD166&gt;0),SUMIFS($BD$7:$BD$1843,$CG$7:$CG$1843,CG166,$BH$7:$BH$1843,"&gt;"&amp;BH166)+SUMIFS($BD$7:$BD$1843,$CG$7:$CG$1843,CG166,$BH$7:$BH$1843,BH166,$BX$7:$BX$1843,"&lt;="&amp;BX166),"")</f>
        <v/>
      </c>
      <c r="BJ166" s="70" t="n">
        <f aca="false">IF(BI166="",0,MAX(0,MIN(1,(IF(CG166="L1",Parameter!$H$5,IF(CG166="L23",Parameter!$H$6+Parameter!$H$7,Parameter!$H$5+Parameter!$H$6+Parameter!$H$7))-(BI166-BD166))/BD166)))</f>
        <v>0</v>
      </c>
      <c r="BK166" s="60" t="str">
        <f aca="false">IF(AJ166&lt;=0,"",IF(CG166="Aussen","Aussenlager",IF(CG166="-","Nicht im Lift",IF(AP166&gt;=1,"Lift",IF(AP166&lt;=0,"Aussenlager","teilweise")))))</f>
        <v>Nicht im Lift</v>
      </c>
      <c r="BL166" s="60" t="str">
        <f aca="false">IF(AT166&lt;=0,"",IF(CG166="Aussen","Aussenlager",IF(CG166="-","Nicht im Lift",IF(AZ166&gt;=1,"Lift",IF(AZ166&lt;=0,"Aussenlager","teilweise")))))</f>
        <v>Nicht im Lift</v>
      </c>
      <c r="BM166" s="60" t="str">
        <f aca="false">IF(BD166&lt;=0,"",IF(CG166="Aussen","Aussenlager",IF(CG166="-","Nicht im Lift",IF(BJ166&gt;=1,"Lift",IF(BJ166&lt;=0,"Aussenlager","teilweise")))))</f>
        <v>Nicht im Lift</v>
      </c>
      <c r="BN166" s="60" t="str">
        <f aca="false">IF(A166="","",IF(BW166=1,"Neu; ","")&amp;IF(AND(BW166=0,BR166&lt;0),"negativer Bestand (Export "&amp;BR166&amp;"); ","")&amp;IF(J166&lt;=0,"Kein Verbrauch; ","")&amp;IF(CR166&gt;0,"Lift "&amp;W166&amp;" lt. Liftbericht (Fach "&amp;X166&amp;" Stk); ",IF(CB166=1,"Gebinde geschätzt ("&amp;T166&amp;"); ",IF(CA166=1,"Lose – Tablare geschätzt; ","")))&amp;IF(H166&gt;AW166,"Überbestand "&amp;ROUND(H166-AW166,0)&amp;" Stk / CHF "&amp;ROUND((H166-AW166)*G166,0)&amp;"; ","")&amp;IF(AND(CI166=1,CJ166&lt;CK166),"MAX &lt; MB+LG; ","")&amp;IF(AND(CQ166&gt;0,CP166*10&gt;CQ166),"zu hoch für Tablar; ","")&amp;IF(AND(BW166=0,OR(CI166=1,AB166&lt;&gt;"",U166&lt;&gt;"",V166&lt;&gt;"",AC166&lt;&gt;"")),"manuell übersteuert; ","")&amp;IF(AND(CA166=0,R166=0),"Gebinde unbekannt / Stellmass fehlt; ","")&amp;IF(AND(CA166=0,N(V166)&lt;=0,N(Q166)&lt;=0),"Menge pro Gebinde fehlt (Ist = 1 Gebinde); ","")&amp;BV166)</f>
        <v>Gebinde geschätzt (Gross); Menge pro Gebinde fehlt (Ist = 1 Gebinde); </v>
      </c>
      <c r="BO166" s="60"/>
      <c r="BP166" s="60"/>
      <c r="BQ166" s="67"/>
      <c r="BR166" s="62" t="n">
        <v>3</v>
      </c>
      <c r="BS166" s="62" t="n">
        <v>2</v>
      </c>
      <c r="BT166" s="61" t="n">
        <v>1123.95</v>
      </c>
      <c r="BU166" s="62" t="n">
        <v>17</v>
      </c>
      <c r="BV166" s="60"/>
      <c r="BW166" s="65" t="n">
        <v>0</v>
      </c>
      <c r="BX166" s="65" t="n">
        <v>166</v>
      </c>
      <c r="BY166" s="60" t="str">
        <f aca="false">IF(U166&lt;&gt;"",UPPER(TRIM(U166)),IF(CB166=1,UPPER(VLOOKUP(T166,Parameter!$I$27:$K$29,2,0)),IF(P166="","LOSE",P166)))</f>
        <v>S81</v>
      </c>
      <c r="BZ166" s="62" t="n">
        <f aca="false">IF(BY166="LOSE",1,IF(N(V166)&gt;0,V166,IF(CB166=1,MAX(1,N(VLOOKUP(T166,Parameter!$I$27:$K$29,3,0)),H166,N(N166)),IF(N(Q166)&gt;0,Q166,MAX(1,H166)))))</f>
        <v>5</v>
      </c>
      <c r="CA166" s="65" t="n">
        <f aca="false">IF(BY166="LOSE",1,0)</f>
        <v>0</v>
      </c>
      <c r="CB166" s="65" t="n">
        <f aca="false">IF(AND(U166="",OR(P166="",P166="LOSE"),T166&lt;&gt;"",N(S166)&lt;=0,ISNUMBER(MATCH(T166,Parameter!$I$27:$I$29,0))),1,0)</f>
        <v>1</v>
      </c>
      <c r="CC166" s="65" t="n">
        <f aca="false">IF(CR166&gt;0,INDEX(Parameter!$H$5:$H$7,W166)/INDEX(Parameter!$E$5:$E$7,W166),IF(AND(CA166=0,N(IFERROR(VLOOKUP(BY166,'Gebinde-Kategorie'!$A$5:$N$45,14,0),0))&gt;0),VLOOKUP(BY166,'Gebinde-Kategorie'!$A$5:$N$45,14,0)*10+Parameter!$M$23,Parameter!$M$24))</f>
        <v>235</v>
      </c>
      <c r="CD166" s="60" t="str">
        <f aca="false">IF(AND(Parameter!$B$19="Ja",E166&lt;&gt;"",ISNUMBER(MATCH(E166,Parameter!$I$35:$I$52,0))),VLOOKUP(E166,Parameter!$I$35:$J$52,2,0),IFERROR(VLOOKUP(D166,Parameter!$A$35:$C$64,2,0),"Nein"))</f>
        <v>Nein</v>
      </c>
      <c r="CE166" s="64" t="n">
        <f aca="false">IF(CA166=0,0,IF(N(S166)&gt;0,S166,IFERROR(VLOOKUP(D166,Parameter!$A$35:$C$64,3,0)+0,0)))</f>
        <v>0</v>
      </c>
      <c r="CF166" s="60" t="str">
        <f aca="false">IF(AB166&lt;&gt;"",AB166,AA166)</f>
        <v>-</v>
      </c>
      <c r="CG166" s="60" t="str">
        <f aca="false">IF(OR(CF166=1,CF166=2,CF166=3),IF(Parameter!$E$27="Ja","LIFT",IF(CF166=1,"L1","L23")),IF(CF166="Aussen","Aussen","-"))</f>
        <v>-</v>
      </c>
      <c r="CH166" s="71" t="n">
        <f aca="false">IF(N(AC166)&gt;0,AC166,0)</f>
        <v>0</v>
      </c>
      <c r="CI166" s="65" t="n">
        <f aca="false">IF(ISNUMBER(AF166),1,0)</f>
        <v>0</v>
      </c>
      <c r="CJ166" s="62" t="n">
        <f aca="false">N(AF166)</f>
        <v>0</v>
      </c>
      <c r="CK166" s="62" t="n">
        <f aca="false">N(M166)+N(N166)</f>
        <v>3</v>
      </c>
      <c r="CL166" s="62" t="n">
        <f aca="false">N(M166)</f>
        <v>1</v>
      </c>
      <c r="CM166" s="62" t="n">
        <f aca="false">N(N166)</f>
        <v>2</v>
      </c>
      <c r="CN166" s="62" t="n">
        <f aca="false">ROUNDUP(H166/BZ166,0)</f>
        <v>1</v>
      </c>
      <c r="CO166" s="62" t="n">
        <f aca="false">ROUNDUP(CJ166/BZ166,0)</f>
        <v>0</v>
      </c>
      <c r="CP166" s="65" t="n">
        <f aca="false">IF(CA166=1,0,IFERROR(VLOOKUP(BY166,'Gebinde-Kategorie'!$A$5:$N$45,5,0)+0,0))</f>
        <v>20</v>
      </c>
      <c r="CQ166" s="65" t="n">
        <f aca="false">IFERROR(IF(OR(CF166=1,CF166=2,CF166=3),N(INDEX(Parameter!$I$5:$I$7,CF166)),0),0)</f>
        <v>0</v>
      </c>
      <c r="CR166" s="64" t="n">
        <f aca="false">IF(AND(Parameter!$B$21="Ja",ISNUMBER(W166),N(X166)&gt;0),IFERROR(N(INDEX(Parameter!$L$5:$L$7,W166))*INDEX(Parameter!$E$5:$E$7,W166)*X166/SUMIFS($X$7:$X$1843,$W$7:$W$1843,W166),0),0)</f>
        <v>0</v>
      </c>
      <c r="CS166" s="62" t="str">
        <f aca="false">IF(AND(OR(CG166="L1",CG166="L23",CG166="LIFT"),H166&gt;0),CC166*IF(CR166&gt;0,CR166*MAX(1,H166/X166),IF(CA166=1,CE166,IF(R166&gt;0,CN166/R166,0))/MAX(0.1,N(Parameter!$M$21))),"")</f>
        <v/>
      </c>
      <c r="CT166" s="64" t="str">
        <f aca="false">IF(CS166="","",J166/H166)</f>
        <v/>
      </c>
      <c r="CU166" s="62" t="str">
        <f aca="false">IF(CS166="","",H166*G166)</f>
        <v/>
      </c>
      <c r="CV166" s="63" t="str">
        <f aca="false">IF(CS166="","",(CL166+ROUNDUP(CL166+MAX(CM166,2*(J166/MAX(0.1,N(Einkauf!$C$6))-CL166)),0))/2)</f>
        <v/>
      </c>
      <c r="CW166" s="62" t="str">
        <f aca="false">IF(CS166="","",MAX(0,H166-CV166)*G166)</f>
        <v/>
      </c>
      <c r="CX166" s="62" t="str">
        <f aca="false">IF(CS166="","",CS166*MAX(0,1-CV166/H166))</f>
        <v/>
      </c>
      <c r="CY166" s="64" t="str">
        <f aca="false">IF(CS166="","",PERCENTRANK($CS$7:$CS$1843,CS166)+PERCENTRANK($CU$7:$CU$1843,CU166)+1-PERCENTRANK($CT$7:$CT$1843,CT166))</f>
        <v/>
      </c>
      <c r="CZ166" s="72" t="str">
        <f aca="false">IF(CS166="","",CHOOSE(MATCH(Einkauf!$C$5,Parameter!$G$23:$G$27,0),CY166,CS166,CU166,-CT166,CW166)+ROW()/1000000000)</f>
        <v/>
      </c>
    </row>
    <row r="167" customFormat="false" ht="15" hidden="false" customHeight="false" outlineLevel="0" collapsed="false">
      <c r="A167" s="60" t="s">
        <v>583</v>
      </c>
      <c r="B167" s="60" t="s">
        <v>584</v>
      </c>
      <c r="C167" s="60" t="s">
        <v>206</v>
      </c>
      <c r="D167" s="60" t="s">
        <v>226</v>
      </c>
      <c r="E167" s="60" t="s">
        <v>227</v>
      </c>
      <c r="F167" s="60" t="s">
        <v>260</v>
      </c>
      <c r="G167" s="61" t="n">
        <v>102.3</v>
      </c>
      <c r="H167" s="62" t="n">
        <f aca="false">MAX(0,IF(AND(Parameter!$B$21="Ja",ISNUMBER(Y167)),Y167,IF(Parameter!$B$20="Jahresanfang 2025 + Export",BS167+BR167,BR167)))</f>
        <v>18</v>
      </c>
      <c r="I167" s="62" t="n">
        <f aca="false">H167*G167</f>
        <v>1841.4</v>
      </c>
      <c r="J167" s="62" t="n">
        <f aca="false">BU167*Parameter!$B$18</f>
        <v>28</v>
      </c>
      <c r="K167" s="63" t="n">
        <v>13</v>
      </c>
      <c r="L167" s="64" t="n">
        <v>2.15384615384615</v>
      </c>
      <c r="M167" s="62" t="n">
        <v>1</v>
      </c>
      <c r="N167" s="62" t="n">
        <v>30</v>
      </c>
      <c r="O167" s="65" t="n">
        <v>21</v>
      </c>
      <c r="P167" s="60" t="s">
        <v>344</v>
      </c>
      <c r="Q167" s="62" t="n">
        <v>7</v>
      </c>
      <c r="R167" s="65" t="n">
        <f aca="false">IF(CA167=1,0,IFERROR(VLOOKUP(BY167,'Gebinde-Kategorie'!$A$5:$N$45,13,0)+0,0))</f>
        <v>26</v>
      </c>
      <c r="S167" s="66"/>
      <c r="T167" s="67"/>
      <c r="U167" s="67"/>
      <c r="V167" s="67"/>
      <c r="W167" s="60"/>
      <c r="X167" s="62"/>
      <c r="Y167" s="62"/>
      <c r="Z167" s="60" t="n">
        <v>3</v>
      </c>
      <c r="AA167" s="60" t="n">
        <f aca="false">IF(A167="","",IF(AND(Parameter!$B$21="Ja",ISNUMBER(W167)),W167,IF(AND(Parameter!$E$27="Ja",ISNUMBER(Z167),CD167&lt;&gt;"Nein"),Z167,IF(CD167="2+3",IF(ISNUMBER(SEARCH("grosser Artikel",BV167)),2,IFERROR(VLOOKUP(BY167,Parameter!$F$35:$G$64,2,0),2)),IF(OR(CD167="Nein",CD167=""),"-",CD167)))))</f>
        <v>3</v>
      </c>
      <c r="AB167" s="67"/>
      <c r="AC167" s="68"/>
      <c r="AD167" s="62" t="n">
        <f aca="false">AW167</f>
        <v>31</v>
      </c>
      <c r="AE167" s="62" t="n">
        <f aca="false">MAX(AW167,H167)</f>
        <v>31</v>
      </c>
      <c r="AF167" s="69"/>
      <c r="AG167" s="62" t="n">
        <f aca="false">IF(LEFT(Cockpit!$C$5,1)="A",H167,IF(Parameter!$E$30="MAX-Bestand",IF(CI167=1,CJ167,IF(LEFT(Cockpit!$C$5,1)="B",AM167,MAX(AM167,H167))),ROUNDUP(AK167,0)))</f>
        <v>18</v>
      </c>
      <c r="AH167" s="62" t="n">
        <f aca="false">IF(CA167=1,0,ROUNDUP(AG167/BZ167,0))</f>
        <v>3</v>
      </c>
      <c r="AI167" s="64" t="n">
        <f aca="false">IF(CR167&gt;0,CR167*MAX(1,AG167/X167),IF(CA167=1,IF(AG167&lt;=0,0,CE167*MAX(1,IF(H167&gt;0,AG167/H167,1))),IF(R167&gt;0,AH167/R167,0))/MAX(0.1,N(Parameter!$M$21)))</f>
        <v>0.115384615384615</v>
      </c>
      <c r="AJ167" s="62" t="n">
        <f aca="false">AI167*CC167</f>
        <v>17.8846153846154</v>
      </c>
      <c r="AK167" s="63" t="n">
        <f aca="false">IF(LEFT(Cockpit!$C$5,1)="A",H167,IF(CI167=1,(CL167+CJ167)/2,IF(LEFT(Cockpit!$C$5,1)="B",(CL167+AM167)/2,MAX((CL167+AM167)/2,H167))))</f>
        <v>18</v>
      </c>
      <c r="AL167" s="62" t="n">
        <f aca="false">AK167*G167</f>
        <v>1841.4</v>
      </c>
      <c r="AM167" s="62" t="n">
        <f aca="false">ROUNDUP(CL167+MAX(CM167,2*(J167/IF(CH167&gt;0,CH167,MAX(0.1,N(Cockpit!$C$6)))-CL167)),0)</f>
        <v>31</v>
      </c>
      <c r="AN167" s="63" t="n">
        <f aca="false">IF(AJ167&gt;0,J167/AJ167,-1)</f>
        <v>1.56559139784946</v>
      </c>
      <c r="AO167" s="63" t="n">
        <f aca="false">IF(AND(OR(CG167="L1",CG167="L23",CG167="LIFT"),AJ167&gt;0),SUMIFS($AJ$7:$AJ$1843,$CG$7:$CG$1843,CG167,$AN$7:$AN$1843,"&gt;"&amp;AN167)+SUMIFS($AJ$7:$AJ$1843,$CG$7:$CG$1843,CG167,$AN$7:$AN$1843,AN167,$BX$7:$BX$1843,"&lt;="&amp;BX167),"")</f>
        <v>6198.00686813187</v>
      </c>
      <c r="AP167" s="70" t="n">
        <f aca="false">IF(AO167="",0,MAX(0,MIN(1,(IF(CG167="L1",Parameter!$H$5,IF(CG167="L23",Parameter!$H$6+Parameter!$H$7,Parameter!$H$5+Parameter!$H$6+Parameter!$H$7))-(AO167-AJ167))/AJ167)))</f>
        <v>1</v>
      </c>
      <c r="AQ167" s="62" t="n">
        <f aca="false">IF(LEFT(Cockpit!$I$5,1)="A",H167,IF(Parameter!$E$30="MAX-Bestand",IF(CI167=1,CJ167,IF(LEFT(Cockpit!$I$5,1)="B",AW167,MAX(AW167,H167))),ROUNDUP(AU167,0)))</f>
        <v>18</v>
      </c>
      <c r="AR167" s="62" t="n">
        <f aca="false">IF(CA167=1,0,ROUNDUP(AQ167/BZ167,0))</f>
        <v>3</v>
      </c>
      <c r="AS167" s="64" t="n">
        <f aca="false">IF(CR167&gt;0,CR167*MAX(1,AQ167/X167),IF(CA167=1,IF(AQ167&lt;=0,0,CE167*MAX(1,IF(H167&gt;0,AQ167/H167,1))),IF(R167&gt;0,AR167/R167,0))/MAX(0.1,N(Parameter!$M$21)))</f>
        <v>0.115384615384615</v>
      </c>
      <c r="AT167" s="62" t="n">
        <f aca="false">AS167*CC167</f>
        <v>17.8846153846154</v>
      </c>
      <c r="AU167" s="63" t="n">
        <f aca="false">IF(LEFT(Cockpit!$I$5,1)="A",H167,IF(CI167=1,(CL167+CJ167)/2,IF(LEFT(Cockpit!$I$5,1)="B",(CL167+AW167)/2,MAX((CL167+AW167)/2,H167))))</f>
        <v>18</v>
      </c>
      <c r="AV167" s="62" t="n">
        <f aca="false">AU167*G167</f>
        <v>1841.4</v>
      </c>
      <c r="AW167" s="62" t="n">
        <f aca="false">ROUNDUP(CL167+MAX(CM167,2*(J167/IF(CH167&gt;0,CH167,MAX(0.1,N(Cockpit!$I$6)))-CL167)),0)</f>
        <v>31</v>
      </c>
      <c r="AX167" s="63" t="n">
        <f aca="false">IF(AT167&gt;0,J167/AT167,-1)</f>
        <v>1.56559139784946</v>
      </c>
      <c r="AY167" s="63" t="n">
        <f aca="false">IF(AND(OR(CG167="L1",CG167="L23",CG167="LIFT"),AT167&gt;0),SUMIFS($AT$7:$AT$1843,$CG$7:$CG$1843,CG167,$AX$7:$AX$1843,"&gt;"&amp;AX167)+SUMIFS($AT$7:$AT$1843,$CG$7:$CG$1843,CG167,$AX$7:$AX$1843,AX167,$BX$7:$BX$1843,"&lt;="&amp;BX167),"")</f>
        <v>7637.8956043956</v>
      </c>
      <c r="AZ167" s="70" t="n">
        <f aca="false">IF(AY167="",0,MAX(0,MIN(1,(IF(CG167="L1",Parameter!$H$5,IF(CG167="L23",Parameter!$H$6+Parameter!$H$7,Parameter!$H$5+Parameter!$H$6+Parameter!$H$7))-(AY167-AT167))/AT167)))</f>
        <v>1</v>
      </c>
      <c r="BA167" s="62" t="n">
        <f aca="false">IF(LEFT(Cockpit!$O$5,1)="A",H167,IF(Parameter!$E$30="MAX-Bestand",IF(CI167=1,CJ167,IF(LEFT(Cockpit!$O$5,1)="B",BG167,MAX(BG167,H167))),ROUNDUP(BE167,0)))</f>
        <v>16</v>
      </c>
      <c r="BB167" s="62" t="n">
        <f aca="false">IF(CA167=1,0,ROUNDUP(BA167/BZ167,0))</f>
        <v>3</v>
      </c>
      <c r="BC167" s="64" t="n">
        <f aca="false">IF(CR167&gt;0,CR167*MAX(1,BA167/X167),IF(CA167=1,IF(BA167&lt;=0,0,CE167*MAX(1,IF(H167&gt;0,BA167/H167,1))),IF(R167&gt;0,BB167/R167,0))/MAX(0.1,N(Parameter!$M$21)))</f>
        <v>0.115384615384615</v>
      </c>
      <c r="BD167" s="62" t="n">
        <f aca="false">BC167*CC167</f>
        <v>17.8846153846154</v>
      </c>
      <c r="BE167" s="63" t="n">
        <f aca="false">IF(LEFT(Cockpit!$O$5,1)="A",H167,IF(CI167=1,(CL167+CJ167)/2,IF(LEFT(Cockpit!$O$5,1)="B",(CL167+BG167)/2,MAX((CL167+BG167)/2,H167))))</f>
        <v>16</v>
      </c>
      <c r="BF167" s="62" t="n">
        <f aca="false">BE167*G167</f>
        <v>1636.8</v>
      </c>
      <c r="BG167" s="62" t="n">
        <f aca="false">ROUNDUP(CL167+MAX(CM167,2*(J167/IF(CH167&gt;0,CH167,MAX(0.1,N(Cockpit!$O$6)))-CL167)),0)</f>
        <v>31</v>
      </c>
      <c r="BH167" s="63" t="n">
        <f aca="false">IF(BD167&gt;0,J167/BD167,-1)</f>
        <v>1.56559139784946</v>
      </c>
      <c r="BI167" s="63" t="n">
        <f aca="false">IF(AND(OR(CG167="L1",CG167="L23",CG167="LIFT"),BD167&gt;0),SUMIFS($BD$7:$BD$1843,$CG$7:$CG$1843,CG167,$BH$7:$BH$1843,"&gt;"&amp;BH167)+SUMIFS($BD$7:$BD$1843,$CG$7:$CG$1843,CG167,$BH$7:$BH$1843,BH167,$BX$7:$BX$1843,"&lt;="&amp;BX167),"")</f>
        <v>6450.55998168498</v>
      </c>
      <c r="BJ167" s="70" t="n">
        <f aca="false">IF(BI167="",0,MAX(0,MIN(1,(IF(CG167="L1",Parameter!$H$5,IF(CG167="L23",Parameter!$H$6+Parameter!$H$7,Parameter!$H$5+Parameter!$H$6+Parameter!$H$7))-(BI167-BD167))/BD167)))</f>
        <v>1</v>
      </c>
      <c r="BK167" s="60" t="str">
        <f aca="false">IF(AJ167&lt;=0,"",IF(CG167="Aussen","Aussenlager",IF(CG167="-","Nicht im Lift",IF(AP167&gt;=1,"Lift",IF(AP167&lt;=0,"Aussenlager","teilweise")))))</f>
        <v>Lift</v>
      </c>
      <c r="BL167" s="60" t="str">
        <f aca="false">IF(AT167&lt;=0,"",IF(CG167="Aussen","Aussenlager",IF(CG167="-","Nicht im Lift",IF(AZ167&gt;=1,"Lift",IF(AZ167&lt;=0,"Aussenlager","teilweise")))))</f>
        <v>Lift</v>
      </c>
      <c r="BM167" s="60" t="str">
        <f aca="false">IF(BD167&lt;=0,"",IF(CG167="Aussen","Aussenlager",IF(CG167="-","Nicht im Lift",IF(BJ167&gt;=1,"Lift",IF(BJ167&lt;=0,"Aussenlager","teilweise")))))</f>
        <v>Lift</v>
      </c>
      <c r="BN167" s="60" t="str">
        <f aca="false">IF(A167="","",IF(BW167=1,"Neu; ","")&amp;IF(AND(BW167=0,BR167&lt;0),"negativer Bestand (Export "&amp;BR167&amp;"); ","")&amp;IF(J167&lt;=0,"Kein Verbrauch; ","")&amp;IF(CR167&gt;0,"Lift "&amp;W167&amp;" lt. Liftbericht (Fach "&amp;X167&amp;" Stk); ",IF(CB167=1,"Gebinde geschätzt ("&amp;T167&amp;"); ",IF(CA167=1,"Lose – Tablare geschätzt; ","")))&amp;IF(H167&gt;AW167,"Überbestand "&amp;ROUND(H167-AW167,0)&amp;" Stk / CHF "&amp;ROUND((H167-AW167)*G167,0)&amp;"; ","")&amp;IF(AND(CI167=1,CJ167&lt;CK167),"MAX &lt; MB+LG; ","")&amp;IF(AND(CQ167&gt;0,CP167*10&gt;CQ167),"zu hoch für Tablar; ","")&amp;IF(AND(BW167=0,OR(CI167=1,AB167&lt;&gt;"",U167&lt;&gt;"",V167&lt;&gt;"",AC167&lt;&gt;"")),"manuell übersteuert; ","")&amp;IF(AND(CA167=0,R167=0),"Gebinde unbekannt / Stellmass fehlt; ","")&amp;IF(AND(CA167=0,N(V167)&lt;=0,N(Q167)&lt;=0),"Menge pro Gebinde fehlt (Ist = 1 Gebinde); ","")&amp;BV167)</f>
        <v/>
      </c>
      <c r="BO167" s="60"/>
      <c r="BP167" s="60"/>
      <c r="BQ167" s="67"/>
      <c r="BR167" s="62" t="n">
        <v>10</v>
      </c>
      <c r="BS167" s="62" t="n">
        <v>8</v>
      </c>
      <c r="BT167" s="61" t="n">
        <v>1120.12</v>
      </c>
      <c r="BU167" s="62" t="n">
        <v>28</v>
      </c>
      <c r="BV167" s="60"/>
      <c r="BW167" s="65" t="n">
        <v>0</v>
      </c>
      <c r="BX167" s="65" t="n">
        <v>167</v>
      </c>
      <c r="BY167" s="60" t="str">
        <f aca="false">IF(U167&lt;&gt;"",UPPER(TRIM(U167)),IF(CB167=1,UPPER(VLOOKUP(T167,Parameter!$I$27:$K$29,2,0)),IF(P167="","LOSE",P167)))</f>
        <v>S51</v>
      </c>
      <c r="BZ167" s="62" t="n">
        <f aca="false">IF(BY167="LOSE",1,IF(N(V167)&gt;0,V167,IF(CB167=1,MAX(1,N(VLOOKUP(T167,Parameter!$I$27:$K$29,3,0)),H167,N(N167)),IF(N(Q167)&gt;0,Q167,MAX(1,H167)))))</f>
        <v>7</v>
      </c>
      <c r="CA167" s="65" t="n">
        <f aca="false">IF(BY167="LOSE",1,0)</f>
        <v>0</v>
      </c>
      <c r="CB167" s="65" t="n">
        <f aca="false">IF(AND(U167="",OR(P167="",P167="LOSE"),T167&lt;&gt;"",N(S167)&lt;=0,ISNUMBER(MATCH(T167,Parameter!$I$27:$I$29,0))),1,0)</f>
        <v>0</v>
      </c>
      <c r="CC167" s="65" t="n">
        <f aca="false">IF(CR167&gt;0,INDEX(Parameter!$H$5:$H$7,W167)/INDEX(Parameter!$E$5:$E$7,W167),IF(AND(CA167=0,N(IFERROR(VLOOKUP(BY167,'Gebinde-Kategorie'!$A$5:$N$45,14,0),0))&gt;0),VLOOKUP(BY167,'Gebinde-Kategorie'!$A$5:$N$45,14,0)*10+Parameter!$M$23,Parameter!$M$24))</f>
        <v>155</v>
      </c>
      <c r="CD167" s="60" t="str">
        <f aca="false">IF(AND(Parameter!$B$19="Ja",E167&lt;&gt;"",ISNUMBER(MATCH(E167,Parameter!$I$35:$I$52,0))),VLOOKUP(E167,Parameter!$I$35:$J$52,2,0),IFERROR(VLOOKUP(D167,Parameter!$A$35:$C$64,2,0),"Nein"))</f>
        <v>2+3</v>
      </c>
      <c r="CE167" s="64" t="n">
        <f aca="false">IF(CA167=0,0,IF(N(S167)&gt;0,S167,IFERROR(VLOOKUP(D167,Parameter!$A$35:$C$64,3,0)+0,0)))</f>
        <v>0</v>
      </c>
      <c r="CF167" s="60" t="n">
        <f aca="false">IF(AB167&lt;&gt;"",AB167,AA167)</f>
        <v>3</v>
      </c>
      <c r="CG167" s="60" t="str">
        <f aca="false">IF(OR(CF167=1,CF167=2,CF167=3),IF(Parameter!$E$27="Ja","LIFT",IF(CF167=1,"L1","L23")),IF(CF167="Aussen","Aussen","-"))</f>
        <v>LIFT</v>
      </c>
      <c r="CH167" s="71" t="n">
        <f aca="false">IF(N(AC167)&gt;0,AC167,0)</f>
        <v>0</v>
      </c>
      <c r="CI167" s="65" t="n">
        <f aca="false">IF(ISNUMBER(AF167),1,0)</f>
        <v>0</v>
      </c>
      <c r="CJ167" s="62" t="n">
        <f aca="false">N(AF167)</f>
        <v>0</v>
      </c>
      <c r="CK167" s="62" t="n">
        <f aca="false">N(M167)+N(N167)</f>
        <v>31</v>
      </c>
      <c r="CL167" s="62" t="n">
        <f aca="false">N(M167)</f>
        <v>1</v>
      </c>
      <c r="CM167" s="62" t="n">
        <f aca="false">N(N167)</f>
        <v>30</v>
      </c>
      <c r="CN167" s="62" t="n">
        <f aca="false">ROUNDUP(H167/BZ167,0)</f>
        <v>3</v>
      </c>
      <c r="CO167" s="62" t="n">
        <f aca="false">ROUNDUP(CJ167/BZ167,0)</f>
        <v>0</v>
      </c>
      <c r="CP167" s="65" t="n">
        <f aca="false">IF(CA167=1,0,IFERROR(VLOOKUP(BY167,'Gebinde-Kategorie'!$A$5:$N$45,5,0)+0,0))</f>
        <v>11</v>
      </c>
      <c r="CQ167" s="65" t="n">
        <f aca="false">IFERROR(IF(OR(CF167=1,CF167=2,CF167=3),N(INDEX(Parameter!$I$5:$I$7,CF167)),0),0)</f>
        <v>0</v>
      </c>
      <c r="CR167" s="64" t="n">
        <f aca="false">IF(AND(Parameter!$B$21="Ja",ISNUMBER(W167),N(X167)&gt;0),IFERROR(N(INDEX(Parameter!$L$5:$L$7,W167))*INDEX(Parameter!$E$5:$E$7,W167)*X167/SUMIFS($X$7:$X$1843,$W$7:$W$1843,W167),0),0)</f>
        <v>0</v>
      </c>
      <c r="CS167" s="62" t="n">
        <f aca="false">IF(AND(OR(CG167="L1",CG167="L23",CG167="LIFT"),H167&gt;0),CC167*IF(CR167&gt;0,CR167*MAX(1,H167/X167),IF(CA167=1,CE167,IF(R167&gt;0,CN167/R167,0))/MAX(0.1,N(Parameter!$M$21))),"")</f>
        <v>17.8846153846154</v>
      </c>
      <c r="CT167" s="64" t="n">
        <f aca="false">IF(CS167="","",J167/H167)</f>
        <v>1.55555555555556</v>
      </c>
      <c r="CU167" s="62" t="n">
        <f aca="false">IF(CS167="","",H167*G167)</f>
        <v>1841.4</v>
      </c>
      <c r="CV167" s="63" t="n">
        <f aca="false">IF(CS167="","",(CL167+ROUNDUP(CL167+MAX(CM167,2*(J167/MAX(0.1,N(Einkauf!$C$6))-CL167)),0))/2)</f>
        <v>16</v>
      </c>
      <c r="CW167" s="62" t="n">
        <f aca="false">IF(CS167="","",MAX(0,H167-CV167)*G167)</f>
        <v>204.6</v>
      </c>
      <c r="CX167" s="62" t="n">
        <f aca="false">IF(CS167="","",CS167*MAX(0,1-CV167/H167))</f>
        <v>1.98717948717949</v>
      </c>
      <c r="CY167" s="64" t="n">
        <f aca="false">IF(CS167="","",PERCENTRANK($CS$7:$CS$1843,CS167)+PERCENTRANK($CU$7:$CU$1843,CU167)+1-PERCENTRANK($CT$7:$CT$1843,CT167))</f>
        <v>1.742</v>
      </c>
      <c r="CZ167" s="72" t="n">
        <f aca="false">IF(CS167="","",CHOOSE(MATCH(Einkauf!$C$5,Parameter!$G$23:$G$27,0),CY167,CS167,CU167,-CT167,CW167)+ROW()/1000000000)</f>
        <v>1.742000167</v>
      </c>
    </row>
    <row r="168" customFormat="false" ht="15" hidden="false" customHeight="false" outlineLevel="0" collapsed="false">
      <c r="A168" s="60" t="s">
        <v>585</v>
      </c>
      <c r="B168" s="60" t="s">
        <v>586</v>
      </c>
      <c r="C168" s="60" t="s">
        <v>206</v>
      </c>
      <c r="D168" s="60" t="s">
        <v>226</v>
      </c>
      <c r="E168" s="60" t="s">
        <v>227</v>
      </c>
      <c r="F168" s="60" t="s">
        <v>260</v>
      </c>
      <c r="G168" s="61" t="n">
        <v>14.58</v>
      </c>
      <c r="H168" s="62" t="n">
        <f aca="false">MAX(0,IF(AND(Parameter!$B$21="Ja",ISNUMBER(Y168)),Y168,IF(Parameter!$B$20="Jahresanfang 2025 + Export",BS168+BR168,BR168)))</f>
        <v>130</v>
      </c>
      <c r="I168" s="62" t="n">
        <f aca="false">H168*G168</f>
        <v>1895.4</v>
      </c>
      <c r="J168" s="62" t="n">
        <f aca="false">BU168*Parameter!$B$18</f>
        <v>151</v>
      </c>
      <c r="K168" s="63" t="n">
        <v>44</v>
      </c>
      <c r="L168" s="64" t="n">
        <v>3.43181818181818</v>
      </c>
      <c r="M168" s="62" t="n">
        <v>8</v>
      </c>
      <c r="N168" s="62" t="n">
        <v>150</v>
      </c>
      <c r="O168" s="65" t="n">
        <v>28</v>
      </c>
      <c r="P168" s="60" t="s">
        <v>463</v>
      </c>
      <c r="Q168" s="62" t="n">
        <v>76</v>
      </c>
      <c r="R168" s="65" t="n">
        <f aca="false">IF(CA168=1,0,IFERROR(VLOOKUP(BY168,'Gebinde-Kategorie'!$A$5:$N$45,13,0)+0,0))</f>
        <v>104</v>
      </c>
      <c r="S168" s="66"/>
      <c r="T168" s="67"/>
      <c r="U168" s="67"/>
      <c r="V168" s="67"/>
      <c r="W168" s="60"/>
      <c r="X168" s="62"/>
      <c r="Y168" s="62"/>
      <c r="Z168" s="60" t="n">
        <v>3</v>
      </c>
      <c r="AA168" s="60" t="n">
        <f aca="false">IF(A168="","",IF(AND(Parameter!$B$21="Ja",ISNUMBER(W168)),W168,IF(AND(Parameter!$E$27="Ja",ISNUMBER(Z168),CD168&lt;&gt;"Nein"),Z168,IF(CD168="2+3",IF(ISNUMBER(SEARCH("grosser Artikel",BV168)),2,IFERROR(VLOOKUP(BY168,Parameter!$F$35:$G$64,2,0),2)),IF(OR(CD168="Nein",CD168=""),"-",CD168)))))</f>
        <v>3</v>
      </c>
      <c r="AB168" s="67"/>
      <c r="AC168" s="68"/>
      <c r="AD168" s="62" t="n">
        <f aca="false">AW168</f>
        <v>158</v>
      </c>
      <c r="AE168" s="62" t="n">
        <f aca="false">MAX(AW168,H168)</f>
        <v>158</v>
      </c>
      <c r="AF168" s="69"/>
      <c r="AG168" s="62" t="n">
        <f aca="false">IF(LEFT(Cockpit!$C$5,1)="A",H168,IF(Parameter!$E$30="MAX-Bestand",IF(CI168=1,CJ168,IF(LEFT(Cockpit!$C$5,1)="B",AM168,MAX(AM168,H168))),ROUNDUP(AK168,0)))</f>
        <v>130</v>
      </c>
      <c r="AH168" s="62" t="n">
        <f aca="false">IF(CA168=1,0,ROUNDUP(AG168/BZ168,0))</f>
        <v>2</v>
      </c>
      <c r="AI168" s="64" t="n">
        <f aca="false">IF(CR168&gt;0,CR168*MAX(1,AG168/X168),IF(CA168=1,IF(AG168&lt;=0,0,CE168*MAX(1,IF(H168&gt;0,AG168/H168,1))),IF(R168&gt;0,AH168/R168,0))/MAX(0.1,N(Parameter!$M$21)))</f>
        <v>0.0192307692307692</v>
      </c>
      <c r="AJ168" s="62" t="n">
        <f aca="false">AI168*CC168</f>
        <v>2.98076923076923</v>
      </c>
      <c r="AK168" s="63" t="n">
        <f aca="false">IF(LEFT(Cockpit!$C$5,1)="A",H168,IF(CI168=1,(CL168+CJ168)/2,IF(LEFT(Cockpit!$C$5,1)="B",(CL168+AM168)/2,MAX((CL168+AM168)/2,H168))))</f>
        <v>130</v>
      </c>
      <c r="AL168" s="62" t="n">
        <f aca="false">AK168*G168</f>
        <v>1895.4</v>
      </c>
      <c r="AM168" s="62" t="n">
        <f aca="false">ROUNDUP(CL168+MAX(CM168,2*(J168/IF(CH168&gt;0,CH168,MAX(0.1,N(Cockpit!$C$6)))-CL168)),0)</f>
        <v>158</v>
      </c>
      <c r="AN168" s="63" t="n">
        <f aca="false">IF(AJ168&gt;0,J168/AJ168,-1)</f>
        <v>50.658064516129</v>
      </c>
      <c r="AO168" s="63" t="n">
        <f aca="false">IF(AND(OR(CG168="L1",CG168="L23",CG168="LIFT"),AJ168&gt;0),SUMIFS($AJ$7:$AJ$1843,$CG$7:$CG$1843,CG168,$AN$7:$AN$1843,"&gt;"&amp;AN168)+SUMIFS($AJ$7:$AJ$1843,$CG$7:$CG$1843,CG168,$AN$7:$AN$1843,AN168,$BX$7:$BX$1843,"&lt;="&amp;BX168),"")</f>
        <v>1020.91346153846</v>
      </c>
      <c r="AP168" s="70" t="n">
        <f aca="false">IF(AO168="",0,MAX(0,MIN(1,(IF(CG168="L1",Parameter!$H$5,IF(CG168="L23",Parameter!$H$6+Parameter!$H$7,Parameter!$H$5+Parameter!$H$6+Parameter!$H$7))-(AO168-AJ168))/AJ168)))</f>
        <v>1</v>
      </c>
      <c r="AQ168" s="62" t="n">
        <f aca="false">IF(LEFT(Cockpit!$I$5,1)="A",H168,IF(Parameter!$E$30="MAX-Bestand",IF(CI168=1,CJ168,IF(LEFT(Cockpit!$I$5,1)="B",AW168,MAX(AW168,H168))),ROUNDUP(AU168,0)))</f>
        <v>130</v>
      </c>
      <c r="AR168" s="62" t="n">
        <f aca="false">IF(CA168=1,0,ROUNDUP(AQ168/BZ168,0))</f>
        <v>2</v>
      </c>
      <c r="AS168" s="64" t="n">
        <f aca="false">IF(CR168&gt;0,CR168*MAX(1,AQ168/X168),IF(CA168=1,IF(AQ168&lt;=0,0,CE168*MAX(1,IF(H168&gt;0,AQ168/H168,1))),IF(R168&gt;0,AR168/R168,0))/MAX(0.1,N(Parameter!$M$21)))</f>
        <v>0.0192307692307692</v>
      </c>
      <c r="AT168" s="62" t="n">
        <f aca="false">AS168*CC168</f>
        <v>2.98076923076923</v>
      </c>
      <c r="AU168" s="63" t="n">
        <f aca="false">IF(LEFT(Cockpit!$I$5,1)="A",H168,IF(CI168=1,(CL168+CJ168)/2,IF(LEFT(Cockpit!$I$5,1)="B",(CL168+AW168)/2,MAX((CL168+AW168)/2,H168))))</f>
        <v>130</v>
      </c>
      <c r="AV168" s="62" t="n">
        <f aca="false">AU168*G168</f>
        <v>1895.4</v>
      </c>
      <c r="AW168" s="62" t="n">
        <f aca="false">ROUNDUP(CL168+MAX(CM168,2*(J168/IF(CH168&gt;0,CH168,MAX(0.1,N(Cockpit!$I$6)))-CL168)),0)</f>
        <v>158</v>
      </c>
      <c r="AX168" s="63" t="n">
        <f aca="false">IF(AT168&gt;0,J168/AT168,-1)</f>
        <v>50.658064516129</v>
      </c>
      <c r="AY168" s="63" t="n">
        <f aca="false">IF(AND(OR(CG168="L1",CG168="L23",CG168="LIFT"),AT168&gt;0),SUMIFS($AT$7:$AT$1843,$CG$7:$CG$1843,CG168,$AX$7:$AX$1843,"&gt;"&amp;AX168)+SUMIFS($AT$7:$AT$1843,$CG$7:$CG$1843,CG168,$AX$7:$AX$1843,AX168,$BX$7:$BX$1843,"&lt;="&amp;BX168),"")</f>
        <v>1304.60943223443</v>
      </c>
      <c r="AZ168" s="70" t="n">
        <f aca="false">IF(AY168="",0,MAX(0,MIN(1,(IF(CG168="L1",Parameter!$H$5,IF(CG168="L23",Parameter!$H$6+Parameter!$H$7,Parameter!$H$5+Parameter!$H$6+Parameter!$H$7))-(AY168-AT168))/AT168)))</f>
        <v>1</v>
      </c>
      <c r="BA168" s="62" t="n">
        <f aca="false">IF(LEFT(Cockpit!$O$5,1)="A",H168,IF(Parameter!$E$30="MAX-Bestand",IF(CI168=1,CJ168,IF(LEFT(Cockpit!$O$5,1)="B",BG168,MAX(BG168,H168))),ROUNDUP(BE168,0)))</f>
        <v>83</v>
      </c>
      <c r="BB168" s="62" t="n">
        <f aca="false">IF(CA168=1,0,ROUNDUP(BA168/BZ168,0))</f>
        <v>2</v>
      </c>
      <c r="BC168" s="64" t="n">
        <f aca="false">IF(CR168&gt;0,CR168*MAX(1,BA168/X168),IF(CA168=1,IF(BA168&lt;=0,0,CE168*MAX(1,IF(H168&gt;0,BA168/H168,1))),IF(R168&gt;0,BB168/R168,0))/MAX(0.1,N(Parameter!$M$21)))</f>
        <v>0.0192307692307692</v>
      </c>
      <c r="BD168" s="62" t="n">
        <f aca="false">BC168*CC168</f>
        <v>2.98076923076923</v>
      </c>
      <c r="BE168" s="63" t="n">
        <f aca="false">IF(LEFT(Cockpit!$O$5,1)="A",H168,IF(CI168=1,(CL168+CJ168)/2,IF(LEFT(Cockpit!$O$5,1)="B",(CL168+BG168)/2,MAX((CL168+BG168)/2,H168))))</f>
        <v>83</v>
      </c>
      <c r="BF168" s="62" t="n">
        <f aca="false">BE168*G168</f>
        <v>1210.14</v>
      </c>
      <c r="BG168" s="62" t="n">
        <f aca="false">ROUNDUP(CL168+MAX(CM168,2*(J168/IF(CH168&gt;0,CH168,MAX(0.1,N(Cockpit!$O$6)))-CL168)),0)</f>
        <v>158</v>
      </c>
      <c r="BH168" s="63" t="n">
        <f aca="false">IF(BD168&gt;0,J168/BD168,-1)</f>
        <v>50.658064516129</v>
      </c>
      <c r="BI168" s="63" t="n">
        <f aca="false">IF(AND(OR(CG168="L1",CG168="L23",CG168="LIFT"),BD168&gt;0),SUMIFS($BD$7:$BD$1843,$CG$7:$CG$1843,CG168,$BH$7:$BH$1843,"&gt;"&amp;BH168)+SUMIFS($BD$7:$BD$1843,$CG$7:$CG$1843,CG168,$BH$7:$BH$1843,BH168,$BX$7:$BX$1843,"&lt;="&amp;BX168),"")</f>
        <v>1201.0467032967</v>
      </c>
      <c r="BJ168" s="70" t="n">
        <f aca="false">IF(BI168="",0,MAX(0,MIN(1,(IF(CG168="L1",Parameter!$H$5,IF(CG168="L23",Parameter!$H$6+Parameter!$H$7,Parameter!$H$5+Parameter!$H$6+Parameter!$H$7))-(BI168-BD168))/BD168)))</f>
        <v>1</v>
      </c>
      <c r="BK168" s="60" t="str">
        <f aca="false">IF(AJ168&lt;=0,"",IF(CG168="Aussen","Aussenlager",IF(CG168="-","Nicht im Lift",IF(AP168&gt;=1,"Lift",IF(AP168&lt;=0,"Aussenlager","teilweise")))))</f>
        <v>Lift</v>
      </c>
      <c r="BL168" s="60" t="str">
        <f aca="false">IF(AT168&lt;=0,"",IF(CG168="Aussen","Aussenlager",IF(CG168="-","Nicht im Lift",IF(AZ168&gt;=1,"Lift",IF(AZ168&lt;=0,"Aussenlager","teilweise")))))</f>
        <v>Lift</v>
      </c>
      <c r="BM168" s="60" t="str">
        <f aca="false">IF(BD168&lt;=0,"",IF(CG168="Aussen","Aussenlager",IF(CG168="-","Nicht im Lift",IF(BJ168&gt;=1,"Lift",IF(BJ168&lt;=0,"Aussenlager","teilweise")))))</f>
        <v>Lift</v>
      </c>
      <c r="BN168" s="60" t="str">
        <f aca="false">IF(A168="","",IF(BW168=1,"Neu; ","")&amp;IF(AND(BW168=0,BR168&lt;0),"negativer Bestand (Export "&amp;BR168&amp;"); ","")&amp;IF(J168&lt;=0,"Kein Verbrauch; ","")&amp;IF(CR168&gt;0,"Lift "&amp;W168&amp;" lt. Liftbericht (Fach "&amp;X168&amp;" Stk); ",IF(CB168=1,"Gebinde geschätzt ("&amp;T168&amp;"); ",IF(CA168=1,"Lose – Tablare geschätzt; ","")))&amp;IF(H168&gt;AW168,"Überbestand "&amp;ROUND(H168-AW168,0)&amp;" Stk / CHF "&amp;ROUND((H168-AW168)*G168,0)&amp;"; ","")&amp;IF(AND(CI168=1,CJ168&lt;CK168),"MAX &lt; MB+LG; ","")&amp;IF(AND(CQ168&gt;0,CP168*10&gt;CQ168),"zu hoch für Tablar; ","")&amp;IF(AND(BW168=0,OR(CI168=1,AB168&lt;&gt;"",U168&lt;&gt;"",V168&lt;&gt;"",AC168&lt;&gt;"")),"manuell übersteuert; ","")&amp;IF(AND(CA168=0,R168=0),"Gebinde unbekannt / Stellmass fehlt; ","")&amp;IF(AND(CA168=0,N(V168)&lt;=0,N(Q168)&lt;=0),"Menge pro Gebinde fehlt (Ist = 1 Gebinde); ","")&amp;BV168)</f>
        <v/>
      </c>
      <c r="BO168" s="60"/>
      <c r="BP168" s="60"/>
      <c r="BQ168" s="67"/>
      <c r="BR168" s="62" t="n">
        <v>82</v>
      </c>
      <c r="BS168" s="62" t="n">
        <v>48</v>
      </c>
      <c r="BT168" s="61" t="n">
        <v>1112.04</v>
      </c>
      <c r="BU168" s="62" t="n">
        <v>151</v>
      </c>
      <c r="BV168" s="60"/>
      <c r="BW168" s="65" t="n">
        <v>0</v>
      </c>
      <c r="BX168" s="65" t="n">
        <v>168</v>
      </c>
      <c r="BY168" s="60" t="str">
        <f aca="false">IF(U168&lt;&gt;"",UPPER(TRIM(U168)),IF(CB168=1,UPPER(VLOOKUP(T168,Parameter!$I$27:$K$29,2,0)),IF(P168="","LOSE",P168)))</f>
        <v>S32</v>
      </c>
      <c r="BZ168" s="62" t="n">
        <f aca="false">IF(BY168="LOSE",1,IF(N(V168)&gt;0,V168,IF(CB168=1,MAX(1,N(VLOOKUP(T168,Parameter!$I$27:$K$29,3,0)),H168,N(N168)),IF(N(Q168)&gt;0,Q168,MAX(1,H168)))))</f>
        <v>76</v>
      </c>
      <c r="CA168" s="65" t="n">
        <f aca="false">IF(BY168="LOSE",1,0)</f>
        <v>0</v>
      </c>
      <c r="CB168" s="65" t="n">
        <f aca="false">IF(AND(U168="",OR(P168="",P168="LOSE"),T168&lt;&gt;"",N(S168)&lt;=0,ISNUMBER(MATCH(T168,Parameter!$I$27:$I$29,0))),1,0)</f>
        <v>0</v>
      </c>
      <c r="CC168" s="65" t="n">
        <f aca="false">IF(CR168&gt;0,INDEX(Parameter!$H$5:$H$7,W168)/INDEX(Parameter!$E$5:$E$7,W168),IF(AND(CA168=0,N(IFERROR(VLOOKUP(BY168,'Gebinde-Kategorie'!$A$5:$N$45,14,0),0))&gt;0),VLOOKUP(BY168,'Gebinde-Kategorie'!$A$5:$N$45,14,0)*10+Parameter!$M$23,Parameter!$M$24))</f>
        <v>155</v>
      </c>
      <c r="CD168" s="60" t="str">
        <f aca="false">IF(AND(Parameter!$B$19="Ja",E168&lt;&gt;"",ISNUMBER(MATCH(E168,Parameter!$I$35:$I$52,0))),VLOOKUP(E168,Parameter!$I$35:$J$52,2,0),IFERROR(VLOOKUP(D168,Parameter!$A$35:$C$64,2,0),"Nein"))</f>
        <v>2+3</v>
      </c>
      <c r="CE168" s="64" t="n">
        <f aca="false">IF(CA168=0,0,IF(N(S168)&gt;0,S168,IFERROR(VLOOKUP(D168,Parameter!$A$35:$C$64,3,0)+0,0)))</f>
        <v>0</v>
      </c>
      <c r="CF168" s="60" t="n">
        <f aca="false">IF(AB168&lt;&gt;"",AB168,AA168)</f>
        <v>3</v>
      </c>
      <c r="CG168" s="60" t="str">
        <f aca="false">IF(OR(CF168=1,CF168=2,CF168=3),IF(Parameter!$E$27="Ja","LIFT",IF(CF168=1,"L1","L23")),IF(CF168="Aussen","Aussen","-"))</f>
        <v>LIFT</v>
      </c>
      <c r="CH168" s="71" t="n">
        <f aca="false">IF(N(AC168)&gt;0,AC168,0)</f>
        <v>0</v>
      </c>
      <c r="CI168" s="65" t="n">
        <f aca="false">IF(ISNUMBER(AF168),1,0)</f>
        <v>0</v>
      </c>
      <c r="CJ168" s="62" t="n">
        <f aca="false">N(AF168)</f>
        <v>0</v>
      </c>
      <c r="CK168" s="62" t="n">
        <f aca="false">N(M168)+N(N168)</f>
        <v>158</v>
      </c>
      <c r="CL168" s="62" t="n">
        <f aca="false">N(M168)</f>
        <v>8</v>
      </c>
      <c r="CM168" s="62" t="n">
        <f aca="false">N(N168)</f>
        <v>150</v>
      </c>
      <c r="CN168" s="62" t="n">
        <f aca="false">ROUNDUP(H168/BZ168,0)</f>
        <v>2</v>
      </c>
      <c r="CO168" s="62" t="n">
        <f aca="false">ROUNDUP(CJ168/BZ168,0)</f>
        <v>0</v>
      </c>
      <c r="CP168" s="65" t="n">
        <f aca="false">IF(CA168=1,0,IFERROR(VLOOKUP(BY168,'Gebinde-Kategorie'!$A$5:$N$45,5,0)+0,0))</f>
        <v>8</v>
      </c>
      <c r="CQ168" s="65" t="n">
        <f aca="false">IFERROR(IF(OR(CF168=1,CF168=2,CF168=3),N(INDEX(Parameter!$I$5:$I$7,CF168)),0),0)</f>
        <v>0</v>
      </c>
      <c r="CR168" s="64" t="n">
        <f aca="false">IF(AND(Parameter!$B$21="Ja",ISNUMBER(W168),N(X168)&gt;0),IFERROR(N(INDEX(Parameter!$L$5:$L$7,W168))*INDEX(Parameter!$E$5:$E$7,W168)*X168/SUMIFS($X$7:$X$1843,$W$7:$W$1843,W168),0),0)</f>
        <v>0</v>
      </c>
      <c r="CS168" s="62" t="n">
        <f aca="false">IF(AND(OR(CG168="L1",CG168="L23",CG168="LIFT"),H168&gt;0),CC168*IF(CR168&gt;0,CR168*MAX(1,H168/X168),IF(CA168=1,CE168,IF(R168&gt;0,CN168/R168,0))/MAX(0.1,N(Parameter!$M$21))),"")</f>
        <v>2.98076923076923</v>
      </c>
      <c r="CT168" s="64" t="n">
        <f aca="false">IF(CS168="","",J168/H168)</f>
        <v>1.16153846153846</v>
      </c>
      <c r="CU168" s="62" t="n">
        <f aca="false">IF(CS168="","",H168*G168)</f>
        <v>1895.4</v>
      </c>
      <c r="CV168" s="63" t="n">
        <f aca="false">IF(CS168="","",(CL168+ROUNDUP(CL168+MAX(CM168,2*(J168/MAX(0.1,N(Einkauf!$C$6))-CL168)),0))/2)</f>
        <v>83</v>
      </c>
      <c r="CW168" s="62" t="n">
        <f aca="false">IF(CS168="","",MAX(0,H168-CV168)*G168)</f>
        <v>685.26</v>
      </c>
      <c r="CX168" s="62" t="n">
        <f aca="false">IF(CS168="","",CS168*MAX(0,1-CV168/H168))</f>
        <v>1.07766272189349</v>
      </c>
      <c r="CY168" s="64" t="n">
        <f aca="false">IF(CS168="","",PERCENTRANK($CS$7:$CS$1843,CS168)+PERCENTRANK($CU$7:$CU$1843,CU168)+1-PERCENTRANK($CT$7:$CT$1843,CT168))</f>
        <v>1.27</v>
      </c>
      <c r="CZ168" s="72" t="n">
        <f aca="false">IF(CS168="","",CHOOSE(MATCH(Einkauf!$C$5,Parameter!$G$23:$G$27,0),CY168,CS168,CU168,-CT168,CW168)+ROW()/1000000000)</f>
        <v>1.270000168</v>
      </c>
    </row>
    <row r="169" customFormat="false" ht="15" hidden="false" customHeight="false" outlineLevel="0" collapsed="false">
      <c r="A169" s="60" t="s">
        <v>587</v>
      </c>
      <c r="B169" s="60" t="s">
        <v>588</v>
      </c>
      <c r="C169" s="60" t="s">
        <v>206</v>
      </c>
      <c r="D169" s="60" t="s">
        <v>226</v>
      </c>
      <c r="E169" s="60"/>
      <c r="F169" s="60" t="s">
        <v>260</v>
      </c>
      <c r="G169" s="61" t="n">
        <v>11.02</v>
      </c>
      <c r="H169" s="62" t="n">
        <f aca="false">MAX(0,IF(AND(Parameter!$B$21="Ja",ISNUMBER(Y169)),Y169,IF(Parameter!$B$20="Jahresanfang 2025 + Export",BS169+BR169,BR169)))</f>
        <v>100</v>
      </c>
      <c r="I169" s="62" t="n">
        <f aca="false">H169*G169</f>
        <v>1102</v>
      </c>
      <c r="J169" s="62" t="n">
        <f aca="false">BU169*Parameter!$B$18</f>
        <v>0</v>
      </c>
      <c r="K169" s="63" t="n">
        <v>0</v>
      </c>
      <c r="L169" s="64" t="n">
        <v>0</v>
      </c>
      <c r="M169" s="62" t="n">
        <v>0</v>
      </c>
      <c r="N169" s="62" t="n">
        <v>1</v>
      </c>
      <c r="O169" s="65" t="n">
        <v>9999</v>
      </c>
      <c r="P169" s="60" t="s">
        <v>210</v>
      </c>
      <c r="Q169" s="62"/>
      <c r="R169" s="65" t="n">
        <f aca="false">IF(CA169=1,0,IFERROR(VLOOKUP(BY169,'Gebinde-Kategorie'!$A$5:$N$45,13,0)+0,0))</f>
        <v>26</v>
      </c>
      <c r="S169" s="66"/>
      <c r="T169" s="67" t="s">
        <v>317</v>
      </c>
      <c r="U169" s="67"/>
      <c r="V169" s="67"/>
      <c r="W169" s="60"/>
      <c r="X169" s="62"/>
      <c r="Y169" s="62"/>
      <c r="Z169" s="60" t="n">
        <v>3</v>
      </c>
      <c r="AA169" s="60" t="n">
        <f aca="false">IF(A169="","",IF(AND(Parameter!$B$21="Ja",ISNUMBER(W169)),W169,IF(AND(Parameter!$E$27="Ja",ISNUMBER(Z169),CD169&lt;&gt;"Nein"),Z169,IF(CD169="2+3",IF(ISNUMBER(SEARCH("grosser Artikel",BV169)),2,IFERROR(VLOOKUP(BY169,Parameter!$F$35:$G$64,2,0),2)),IF(OR(CD169="Nein",CD169=""),"-",CD169)))))</f>
        <v>3</v>
      </c>
      <c r="AB169" s="67"/>
      <c r="AC169" s="68"/>
      <c r="AD169" s="62" t="n">
        <f aca="false">AW169</f>
        <v>1</v>
      </c>
      <c r="AE169" s="62" t="n">
        <f aca="false">MAX(AW169,H169)</f>
        <v>100</v>
      </c>
      <c r="AF169" s="69"/>
      <c r="AG169" s="62" t="n">
        <f aca="false">IF(LEFT(Cockpit!$C$5,1)="A",H169,IF(Parameter!$E$30="MAX-Bestand",IF(CI169=1,CJ169,IF(LEFT(Cockpit!$C$5,1)="B",AM169,MAX(AM169,H169))),ROUNDUP(AK169,0)))</f>
        <v>100</v>
      </c>
      <c r="AH169" s="62" t="n">
        <f aca="false">IF(CA169=1,0,ROUNDUP(AG169/BZ169,0))</f>
        <v>1</v>
      </c>
      <c r="AI169" s="64" t="n">
        <f aca="false">IF(CR169&gt;0,CR169*MAX(1,AG169/X169),IF(CA169=1,IF(AG169&lt;=0,0,CE169*MAX(1,IF(H169&gt;0,AG169/H169,1))),IF(R169&gt;0,AH169/R169,0))/MAX(0.1,N(Parameter!$M$21)))</f>
        <v>0.0384615384615385</v>
      </c>
      <c r="AJ169" s="62" t="n">
        <f aca="false">AI169*CC169</f>
        <v>5.96153846153846</v>
      </c>
      <c r="AK169" s="63" t="n">
        <f aca="false">IF(LEFT(Cockpit!$C$5,1)="A",H169,IF(CI169=1,(CL169+CJ169)/2,IF(LEFT(Cockpit!$C$5,1)="B",(CL169+AM169)/2,MAX((CL169+AM169)/2,H169))))</f>
        <v>100</v>
      </c>
      <c r="AL169" s="62" t="n">
        <f aca="false">AK169*G169</f>
        <v>1102</v>
      </c>
      <c r="AM169" s="62" t="n">
        <f aca="false">ROUNDUP(CL169+MAX(CM169,2*(J169/IF(CH169&gt;0,CH169,MAX(0.1,N(Cockpit!$C$6)))-CL169)),0)</f>
        <v>1</v>
      </c>
      <c r="AN169" s="63" t="n">
        <f aca="false">IF(AJ169&gt;0,J169/AJ169,-1)</f>
        <v>0</v>
      </c>
      <c r="AO169" s="63" t="n">
        <f aca="false">IF(AND(OR(CG169="L1",CG169="L23",CG169="LIFT"),AJ169&gt;0),SUMIFS($AJ$7:$AJ$1843,$CG$7:$CG$1843,CG169,$AN$7:$AN$1843,"&gt;"&amp;AN169)+SUMIFS($AJ$7:$AJ$1843,$CG$7:$CG$1843,CG169,$AN$7:$AN$1843,AN169,$BX$7:$BX$1843,"&lt;="&amp;BX169),"")</f>
        <v>27415.2831351793</v>
      </c>
      <c r="AP169" s="70" t="n">
        <f aca="false">IF(AO169="",0,MAX(0,MIN(1,(IF(CG169="L1",Parameter!$H$5,IF(CG169="L23",Parameter!$H$6+Parameter!$H$7,Parameter!$H$5+Parameter!$H$6+Parameter!$H$7))-(AO169-AJ169))/AJ169)))</f>
        <v>1</v>
      </c>
      <c r="AQ169" s="62" t="n">
        <f aca="false">IF(LEFT(Cockpit!$I$5,1)="A",H169,IF(Parameter!$E$30="MAX-Bestand",IF(CI169=1,CJ169,IF(LEFT(Cockpit!$I$5,1)="B",AW169,MAX(AW169,H169))),ROUNDUP(AU169,0)))</f>
        <v>100</v>
      </c>
      <c r="AR169" s="62" t="n">
        <f aca="false">IF(CA169=1,0,ROUNDUP(AQ169/BZ169,0))</f>
        <v>1</v>
      </c>
      <c r="AS169" s="64" t="n">
        <f aca="false">IF(CR169&gt;0,CR169*MAX(1,AQ169/X169),IF(CA169=1,IF(AQ169&lt;=0,0,CE169*MAX(1,IF(H169&gt;0,AQ169/H169,1))),IF(R169&gt;0,AR169/R169,0))/MAX(0.1,N(Parameter!$M$21)))</f>
        <v>0.0384615384615385</v>
      </c>
      <c r="AT169" s="62" t="n">
        <f aca="false">AS169*CC169</f>
        <v>5.96153846153846</v>
      </c>
      <c r="AU169" s="63" t="n">
        <f aca="false">IF(LEFT(Cockpit!$I$5,1)="A",H169,IF(CI169=1,(CL169+CJ169)/2,IF(LEFT(Cockpit!$I$5,1)="B",(CL169+AW169)/2,MAX((CL169+AW169)/2,H169))))</f>
        <v>100</v>
      </c>
      <c r="AV169" s="62" t="n">
        <f aca="false">AU169*G169</f>
        <v>1102</v>
      </c>
      <c r="AW169" s="62" t="n">
        <f aca="false">ROUNDUP(CL169+MAX(CM169,2*(J169/IF(CH169&gt;0,CH169,MAX(0.1,N(Cockpit!$I$6)))-CL169)),0)</f>
        <v>1</v>
      </c>
      <c r="AX169" s="63" t="n">
        <f aca="false">IF(AT169&gt;0,J169/AT169,-1)</f>
        <v>0</v>
      </c>
      <c r="AY169" s="63" t="n">
        <f aca="false">IF(AND(OR(CG169="L1",CG169="L23",CG169="LIFT"),AT169&gt;0),SUMIFS($AT$7:$AT$1843,$CG$7:$CG$1843,CG169,$AX$7:$AX$1843,"&gt;"&amp;AX169)+SUMIFS($AT$7:$AT$1843,$CG$7:$CG$1843,CG169,$AX$7:$AX$1843,AX169,$BX$7:$BX$1843,"&lt;="&amp;BX169),"")</f>
        <v>32768.4317765568</v>
      </c>
      <c r="AZ169" s="70" t="n">
        <f aca="false">IF(AY169="",0,MAX(0,MIN(1,(IF(CG169="L1",Parameter!$H$5,IF(CG169="L23",Parameter!$H$6+Parameter!$H$7,Parameter!$H$5+Parameter!$H$6+Parameter!$H$7))-(AY169-AT169))/AT169)))</f>
        <v>1</v>
      </c>
      <c r="BA169" s="62" t="n">
        <f aca="false">IF(LEFT(Cockpit!$O$5,1)="A",H169,IF(Parameter!$E$30="MAX-Bestand",IF(CI169=1,CJ169,IF(LEFT(Cockpit!$O$5,1)="B",BG169,MAX(BG169,H169))),ROUNDUP(BE169,0)))</f>
        <v>1</v>
      </c>
      <c r="BB169" s="62" t="n">
        <f aca="false">IF(CA169=1,0,ROUNDUP(BA169/BZ169,0))</f>
        <v>1</v>
      </c>
      <c r="BC169" s="64" t="n">
        <f aca="false">IF(CR169&gt;0,CR169*MAX(1,BA169/X169),IF(CA169=1,IF(BA169&lt;=0,0,CE169*MAX(1,IF(H169&gt;0,BA169/H169,1))),IF(R169&gt;0,BB169/R169,0))/MAX(0.1,N(Parameter!$M$21)))</f>
        <v>0.0384615384615385</v>
      </c>
      <c r="BD169" s="62" t="n">
        <f aca="false">BC169*CC169</f>
        <v>5.96153846153846</v>
      </c>
      <c r="BE169" s="63" t="n">
        <f aca="false">IF(LEFT(Cockpit!$O$5,1)="A",H169,IF(CI169=1,(CL169+CJ169)/2,IF(LEFT(Cockpit!$O$5,1)="B",(CL169+BG169)/2,MAX((CL169+BG169)/2,H169))))</f>
        <v>0.5</v>
      </c>
      <c r="BF169" s="62" t="n">
        <f aca="false">BE169*G169</f>
        <v>5.51</v>
      </c>
      <c r="BG169" s="62" t="n">
        <f aca="false">ROUNDUP(CL169+MAX(CM169,2*(J169/IF(CH169&gt;0,CH169,MAX(0.1,N(Cockpit!$O$6)))-CL169)),0)</f>
        <v>1</v>
      </c>
      <c r="BH169" s="63" t="n">
        <f aca="false">IF(BD169&gt;0,J169/BD169,-1)</f>
        <v>0</v>
      </c>
      <c r="BI169" s="63" t="n">
        <f aca="false">IF(AND(OR(CG169="L1",CG169="L23",CG169="LIFT"),BD169&gt;0),SUMIFS($BD$7:$BD$1843,$CG$7:$CG$1843,CG169,$BH$7:$BH$1843,"&gt;"&amp;BH169)+SUMIFS($BD$7:$BD$1843,$CG$7:$CG$1843,CG169,$BH$7:$BH$1843,BH169,$BX$7:$BX$1843,"&lt;="&amp;BX169),"")</f>
        <v>26932.673876265</v>
      </c>
      <c r="BJ169" s="70" t="n">
        <f aca="false">IF(BI169="",0,MAX(0,MIN(1,(IF(CG169="L1",Parameter!$H$5,IF(CG169="L23",Parameter!$H$6+Parameter!$H$7,Parameter!$H$5+Parameter!$H$6+Parameter!$H$7))-(BI169-BD169))/BD169)))</f>
        <v>1</v>
      </c>
      <c r="BK169" s="60" t="str">
        <f aca="false">IF(AJ169&lt;=0,"",IF(CG169="Aussen","Aussenlager",IF(CG169="-","Nicht im Lift",IF(AP169&gt;=1,"Lift",IF(AP169&lt;=0,"Aussenlager","teilweise")))))</f>
        <v>Lift</v>
      </c>
      <c r="BL169" s="60" t="str">
        <f aca="false">IF(AT169&lt;=0,"",IF(CG169="Aussen","Aussenlager",IF(CG169="-","Nicht im Lift",IF(AZ169&gt;=1,"Lift",IF(AZ169&lt;=0,"Aussenlager","teilweise")))))</f>
        <v>Lift</v>
      </c>
      <c r="BM169" s="60" t="str">
        <f aca="false">IF(BD169&lt;=0,"",IF(CG169="Aussen","Aussenlager",IF(CG169="-","Nicht im Lift",IF(BJ169&gt;=1,"Lift",IF(BJ169&lt;=0,"Aussenlager","teilweise")))))</f>
        <v>Lift</v>
      </c>
      <c r="BN169" s="60" t="str">
        <f aca="false">IF(A169="","",IF(BW169=1,"Neu; ","")&amp;IF(AND(BW169=0,BR169&lt;0),"negativer Bestand (Export "&amp;BR169&amp;"); ","")&amp;IF(J169&lt;=0,"Kein Verbrauch; ","")&amp;IF(CR169&gt;0,"Lift "&amp;W169&amp;" lt. Liftbericht (Fach "&amp;X169&amp;" Stk); ",IF(CB169=1,"Gebinde geschätzt ("&amp;T169&amp;"); ",IF(CA169=1,"Lose – Tablare geschätzt; ","")))&amp;IF(H169&gt;AW169,"Überbestand "&amp;ROUND(H169-AW169,0)&amp;" Stk / CHF "&amp;ROUND((H169-AW169)*G169,0)&amp;"; ","")&amp;IF(AND(CI169=1,CJ169&lt;CK169),"MAX &lt; MB+LG; ","")&amp;IF(AND(CQ169&gt;0,CP169*10&gt;CQ169),"zu hoch für Tablar; ","")&amp;IF(AND(BW169=0,OR(CI169=1,AB169&lt;&gt;"",U169&lt;&gt;"",V169&lt;&gt;"",AC169&lt;&gt;"")),"manuell übersteuert; ","")&amp;IF(AND(CA169=0,R169=0),"Gebinde unbekannt / Stellmass fehlt; ","")&amp;IF(AND(CA169=0,N(V169)&lt;=0,N(Q169)&lt;=0),"Menge pro Gebinde fehlt (Ist = 1 Gebinde); ","")&amp;BV169)</f>
        <v>Kein Verbrauch; Gebinde geschätzt (Klein); Überbestand 99 Stk / CHF 1091; Menge pro Gebinde fehlt (Ist = 1 Gebinde); </v>
      </c>
      <c r="BO169" s="60"/>
      <c r="BP169" s="60"/>
      <c r="BQ169" s="67"/>
      <c r="BR169" s="62" t="n">
        <v>100</v>
      </c>
      <c r="BS169" s="62" t="n">
        <v>0</v>
      </c>
      <c r="BT169" s="61" t="n">
        <v>1102</v>
      </c>
      <c r="BU169" s="62" t="n">
        <v>0</v>
      </c>
      <c r="BV169" s="60"/>
      <c r="BW169" s="65" t="n">
        <v>0</v>
      </c>
      <c r="BX169" s="65" t="n">
        <v>169</v>
      </c>
      <c r="BY169" s="60" t="str">
        <f aca="false">IF(U169&lt;&gt;"",UPPER(TRIM(U169)),IF(CB169=1,UPPER(VLOOKUP(T169,Parameter!$I$27:$K$29,2,0)),IF(P169="","LOSE",P169)))</f>
        <v>S51</v>
      </c>
      <c r="BZ169" s="62" t="n">
        <f aca="false">IF(BY169="LOSE",1,IF(N(V169)&gt;0,V169,IF(CB169=1,MAX(1,N(VLOOKUP(T169,Parameter!$I$27:$K$29,3,0)),H169,N(N169)),IF(N(Q169)&gt;0,Q169,MAX(1,H169)))))</f>
        <v>100</v>
      </c>
      <c r="CA169" s="65" t="n">
        <f aca="false">IF(BY169="LOSE",1,0)</f>
        <v>0</v>
      </c>
      <c r="CB169" s="65" t="n">
        <f aca="false">IF(AND(U169="",OR(P169="",P169="LOSE"),T169&lt;&gt;"",N(S169)&lt;=0,ISNUMBER(MATCH(T169,Parameter!$I$27:$I$29,0))),1,0)</f>
        <v>1</v>
      </c>
      <c r="CC169" s="65" t="n">
        <f aca="false">IF(CR169&gt;0,INDEX(Parameter!$H$5:$H$7,W169)/INDEX(Parameter!$E$5:$E$7,W169),IF(AND(CA169=0,N(IFERROR(VLOOKUP(BY169,'Gebinde-Kategorie'!$A$5:$N$45,14,0),0))&gt;0),VLOOKUP(BY169,'Gebinde-Kategorie'!$A$5:$N$45,14,0)*10+Parameter!$M$23,Parameter!$M$24))</f>
        <v>155</v>
      </c>
      <c r="CD169" s="60" t="str">
        <f aca="false">IF(AND(Parameter!$B$19="Ja",E169&lt;&gt;"",ISNUMBER(MATCH(E169,Parameter!$I$35:$I$52,0))),VLOOKUP(E169,Parameter!$I$35:$J$52,2,0),IFERROR(VLOOKUP(D169,Parameter!$A$35:$C$64,2,0),"Nein"))</f>
        <v>2+3</v>
      </c>
      <c r="CE169" s="64" t="n">
        <f aca="false">IF(CA169=0,0,IF(N(S169)&gt;0,S169,IFERROR(VLOOKUP(D169,Parameter!$A$35:$C$64,3,0)+0,0)))</f>
        <v>0</v>
      </c>
      <c r="CF169" s="60" t="n">
        <f aca="false">IF(AB169&lt;&gt;"",AB169,AA169)</f>
        <v>3</v>
      </c>
      <c r="CG169" s="60" t="str">
        <f aca="false">IF(OR(CF169=1,CF169=2,CF169=3),IF(Parameter!$E$27="Ja","LIFT",IF(CF169=1,"L1","L23")),IF(CF169="Aussen","Aussen","-"))</f>
        <v>LIFT</v>
      </c>
      <c r="CH169" s="71" t="n">
        <f aca="false">IF(N(AC169)&gt;0,AC169,0)</f>
        <v>0</v>
      </c>
      <c r="CI169" s="65" t="n">
        <f aca="false">IF(ISNUMBER(AF169),1,0)</f>
        <v>0</v>
      </c>
      <c r="CJ169" s="62" t="n">
        <f aca="false">N(AF169)</f>
        <v>0</v>
      </c>
      <c r="CK169" s="62" t="n">
        <f aca="false">N(M169)+N(N169)</f>
        <v>1</v>
      </c>
      <c r="CL169" s="62" t="n">
        <f aca="false">N(M169)</f>
        <v>0</v>
      </c>
      <c r="CM169" s="62" t="n">
        <f aca="false">N(N169)</f>
        <v>1</v>
      </c>
      <c r="CN169" s="62" t="n">
        <f aca="false">ROUNDUP(H169/BZ169,0)</f>
        <v>1</v>
      </c>
      <c r="CO169" s="62" t="n">
        <f aca="false">ROUNDUP(CJ169/BZ169,0)</f>
        <v>0</v>
      </c>
      <c r="CP169" s="65" t="n">
        <f aca="false">IF(CA169=1,0,IFERROR(VLOOKUP(BY169,'Gebinde-Kategorie'!$A$5:$N$45,5,0)+0,0))</f>
        <v>11</v>
      </c>
      <c r="CQ169" s="65" t="n">
        <f aca="false">IFERROR(IF(OR(CF169=1,CF169=2,CF169=3),N(INDEX(Parameter!$I$5:$I$7,CF169)),0),0)</f>
        <v>0</v>
      </c>
      <c r="CR169" s="64" t="n">
        <f aca="false">IF(AND(Parameter!$B$21="Ja",ISNUMBER(W169),N(X169)&gt;0),IFERROR(N(INDEX(Parameter!$L$5:$L$7,W169))*INDEX(Parameter!$E$5:$E$7,W169)*X169/SUMIFS($X$7:$X$1843,$W$7:$W$1843,W169),0),0)</f>
        <v>0</v>
      </c>
      <c r="CS169" s="62" t="n">
        <f aca="false">IF(AND(OR(CG169="L1",CG169="L23",CG169="LIFT"),H169&gt;0),CC169*IF(CR169&gt;0,CR169*MAX(1,H169/X169),IF(CA169=1,CE169,IF(R169&gt;0,CN169/R169,0))/MAX(0.1,N(Parameter!$M$21))),"")</f>
        <v>5.96153846153846</v>
      </c>
      <c r="CT169" s="64" t="n">
        <f aca="false">IF(CS169="","",J169/H169)</f>
        <v>0</v>
      </c>
      <c r="CU169" s="62" t="n">
        <f aca="false">IF(CS169="","",H169*G169)</f>
        <v>1102</v>
      </c>
      <c r="CV169" s="63" t="n">
        <f aca="false">IF(CS169="","",(CL169+ROUNDUP(CL169+MAX(CM169,2*(J169/MAX(0.1,N(Einkauf!$C$6))-CL169)),0))/2)</f>
        <v>0.5</v>
      </c>
      <c r="CW169" s="62" t="n">
        <f aca="false">IF(CS169="","",MAX(0,H169-CV169)*G169)</f>
        <v>1096.49</v>
      </c>
      <c r="CX169" s="62" t="n">
        <f aca="false">IF(CS169="","",CS169*MAX(0,1-CV169/H169))</f>
        <v>5.93173076923077</v>
      </c>
      <c r="CY169" s="64" t="n">
        <f aca="false">IF(CS169="","",PERCENTRANK($CS$7:$CS$1843,CS169)+PERCENTRANK($CU$7:$CU$1843,CU169)+1-PERCENTRANK($CT$7:$CT$1843,CT169))</f>
        <v>2.024</v>
      </c>
      <c r="CZ169" s="72" t="n">
        <f aca="false">IF(CS169="","",CHOOSE(MATCH(Einkauf!$C$5,Parameter!$G$23:$G$27,0),CY169,CS169,CU169,-CT169,CW169)+ROW()/1000000000)</f>
        <v>2.024000169</v>
      </c>
    </row>
    <row r="170" customFormat="false" ht="15" hidden="false" customHeight="false" outlineLevel="0" collapsed="false">
      <c r="A170" s="60" t="s">
        <v>589</v>
      </c>
      <c r="B170" s="60" t="s">
        <v>590</v>
      </c>
      <c r="C170" s="60" t="s">
        <v>206</v>
      </c>
      <c r="D170" s="60" t="s">
        <v>226</v>
      </c>
      <c r="E170" s="60"/>
      <c r="F170" s="60" t="s">
        <v>260</v>
      </c>
      <c r="G170" s="61" t="n">
        <v>45.71</v>
      </c>
      <c r="H170" s="62" t="n">
        <f aca="false">MAX(0,IF(AND(Parameter!$B$21="Ja",ISNUMBER(Y170)),Y170,IF(Parameter!$B$20="Jahresanfang 2025 + Export",BS170+BR170,BR170)))</f>
        <v>24</v>
      </c>
      <c r="I170" s="62" t="n">
        <f aca="false">H170*G170</f>
        <v>1097.04</v>
      </c>
      <c r="J170" s="62" t="n">
        <f aca="false">BU170*Parameter!$B$18</f>
        <v>0</v>
      </c>
      <c r="K170" s="63" t="n">
        <v>0</v>
      </c>
      <c r="L170" s="64" t="n">
        <v>0</v>
      </c>
      <c r="M170" s="62" t="n">
        <v>0</v>
      </c>
      <c r="N170" s="62" t="n">
        <v>1</v>
      </c>
      <c r="O170" s="65" t="n">
        <v>9999</v>
      </c>
      <c r="P170" s="60" t="s">
        <v>210</v>
      </c>
      <c r="Q170" s="62"/>
      <c r="R170" s="65" t="n">
        <f aca="false">IF(CA170=1,0,IFERROR(VLOOKUP(BY170,'Gebinde-Kategorie'!$A$5:$N$45,13,0)+0,0))</f>
        <v>26</v>
      </c>
      <c r="S170" s="66"/>
      <c r="T170" s="67" t="s">
        <v>317</v>
      </c>
      <c r="U170" s="67"/>
      <c r="V170" s="67"/>
      <c r="W170" s="60"/>
      <c r="X170" s="62"/>
      <c r="Y170" s="62"/>
      <c r="Z170" s="60" t="n">
        <v>3</v>
      </c>
      <c r="AA170" s="60" t="n">
        <f aca="false">IF(A170="","",IF(AND(Parameter!$B$21="Ja",ISNUMBER(W170)),W170,IF(AND(Parameter!$E$27="Ja",ISNUMBER(Z170),CD170&lt;&gt;"Nein"),Z170,IF(CD170="2+3",IF(ISNUMBER(SEARCH("grosser Artikel",BV170)),2,IFERROR(VLOOKUP(BY170,Parameter!$F$35:$G$64,2,0),2)),IF(OR(CD170="Nein",CD170=""),"-",CD170)))))</f>
        <v>3</v>
      </c>
      <c r="AB170" s="67"/>
      <c r="AC170" s="68"/>
      <c r="AD170" s="62" t="n">
        <f aca="false">AW170</f>
        <v>1</v>
      </c>
      <c r="AE170" s="62" t="n">
        <f aca="false">MAX(AW170,H170)</f>
        <v>24</v>
      </c>
      <c r="AF170" s="69"/>
      <c r="AG170" s="62" t="n">
        <f aca="false">IF(LEFT(Cockpit!$C$5,1)="A",H170,IF(Parameter!$E$30="MAX-Bestand",IF(CI170=1,CJ170,IF(LEFT(Cockpit!$C$5,1)="B",AM170,MAX(AM170,H170))),ROUNDUP(AK170,0)))</f>
        <v>24</v>
      </c>
      <c r="AH170" s="62" t="n">
        <f aca="false">IF(CA170=1,0,ROUNDUP(AG170/BZ170,0))</f>
        <v>1</v>
      </c>
      <c r="AI170" s="64" t="n">
        <f aca="false">IF(CR170&gt;0,CR170*MAX(1,AG170/X170),IF(CA170=1,IF(AG170&lt;=0,0,CE170*MAX(1,IF(H170&gt;0,AG170/H170,1))),IF(R170&gt;0,AH170/R170,0))/MAX(0.1,N(Parameter!$M$21)))</f>
        <v>0.0384615384615385</v>
      </c>
      <c r="AJ170" s="62" t="n">
        <f aca="false">AI170*CC170</f>
        <v>5.96153846153846</v>
      </c>
      <c r="AK170" s="63" t="n">
        <f aca="false">IF(LEFT(Cockpit!$C$5,1)="A",H170,IF(CI170=1,(CL170+CJ170)/2,IF(LEFT(Cockpit!$C$5,1)="B",(CL170+AM170)/2,MAX((CL170+AM170)/2,H170))))</f>
        <v>24</v>
      </c>
      <c r="AL170" s="62" t="n">
        <f aca="false">AK170*G170</f>
        <v>1097.04</v>
      </c>
      <c r="AM170" s="62" t="n">
        <f aca="false">ROUNDUP(CL170+MAX(CM170,2*(J170/IF(CH170&gt;0,CH170,MAX(0.1,N(Cockpit!$C$6)))-CL170)),0)</f>
        <v>1</v>
      </c>
      <c r="AN170" s="63" t="n">
        <f aca="false">IF(AJ170&gt;0,J170/AJ170,-1)</f>
        <v>0</v>
      </c>
      <c r="AO170" s="63" t="n">
        <f aca="false">IF(AND(OR(CG170="L1",CG170="L23",CG170="LIFT"),AJ170&gt;0),SUMIFS($AJ$7:$AJ$1843,$CG$7:$CG$1843,CG170,$AN$7:$AN$1843,"&gt;"&amp;AN170)+SUMIFS($AJ$7:$AJ$1843,$CG$7:$CG$1843,CG170,$AN$7:$AN$1843,AN170,$BX$7:$BX$1843,"&lt;="&amp;BX170),"")</f>
        <v>27421.2446736409</v>
      </c>
      <c r="AP170" s="70" t="n">
        <f aca="false">IF(AO170="",0,MAX(0,MIN(1,(IF(CG170="L1",Parameter!$H$5,IF(CG170="L23",Parameter!$H$6+Parameter!$H$7,Parameter!$H$5+Parameter!$H$6+Parameter!$H$7))-(AO170-AJ170))/AJ170)))</f>
        <v>1</v>
      </c>
      <c r="AQ170" s="62" t="n">
        <f aca="false">IF(LEFT(Cockpit!$I$5,1)="A",H170,IF(Parameter!$E$30="MAX-Bestand",IF(CI170=1,CJ170,IF(LEFT(Cockpit!$I$5,1)="B",AW170,MAX(AW170,H170))),ROUNDUP(AU170,0)))</f>
        <v>24</v>
      </c>
      <c r="AR170" s="62" t="n">
        <f aca="false">IF(CA170=1,0,ROUNDUP(AQ170/BZ170,0))</f>
        <v>1</v>
      </c>
      <c r="AS170" s="64" t="n">
        <f aca="false">IF(CR170&gt;0,CR170*MAX(1,AQ170/X170),IF(CA170=1,IF(AQ170&lt;=0,0,CE170*MAX(1,IF(H170&gt;0,AQ170/H170,1))),IF(R170&gt;0,AR170/R170,0))/MAX(0.1,N(Parameter!$M$21)))</f>
        <v>0.0384615384615385</v>
      </c>
      <c r="AT170" s="62" t="n">
        <f aca="false">AS170*CC170</f>
        <v>5.96153846153846</v>
      </c>
      <c r="AU170" s="63" t="n">
        <f aca="false">IF(LEFT(Cockpit!$I$5,1)="A",H170,IF(CI170=1,(CL170+CJ170)/2,IF(LEFT(Cockpit!$I$5,1)="B",(CL170+AW170)/2,MAX((CL170+AW170)/2,H170))))</f>
        <v>24</v>
      </c>
      <c r="AV170" s="62" t="n">
        <f aca="false">AU170*G170</f>
        <v>1097.04</v>
      </c>
      <c r="AW170" s="62" t="n">
        <f aca="false">ROUNDUP(CL170+MAX(CM170,2*(J170/IF(CH170&gt;0,CH170,MAX(0.1,N(Cockpit!$I$6)))-CL170)),0)</f>
        <v>1</v>
      </c>
      <c r="AX170" s="63" t="n">
        <f aca="false">IF(AT170&gt;0,J170/AT170,-1)</f>
        <v>0</v>
      </c>
      <c r="AY170" s="63" t="n">
        <f aca="false">IF(AND(OR(CG170="L1",CG170="L23",CG170="LIFT"),AT170&gt;0),SUMIFS($AT$7:$AT$1843,$CG$7:$CG$1843,CG170,$AX$7:$AX$1843,"&gt;"&amp;AX170)+SUMIFS($AT$7:$AT$1843,$CG$7:$CG$1843,CG170,$AX$7:$AX$1843,AX170,$BX$7:$BX$1843,"&lt;="&amp;BX170),"")</f>
        <v>32774.3933150183</v>
      </c>
      <c r="AZ170" s="70" t="n">
        <f aca="false">IF(AY170="",0,MAX(0,MIN(1,(IF(CG170="L1",Parameter!$H$5,IF(CG170="L23",Parameter!$H$6+Parameter!$H$7,Parameter!$H$5+Parameter!$H$6+Parameter!$H$7))-(AY170-AT170))/AT170)))</f>
        <v>1</v>
      </c>
      <c r="BA170" s="62" t="n">
        <f aca="false">IF(LEFT(Cockpit!$O$5,1)="A",H170,IF(Parameter!$E$30="MAX-Bestand",IF(CI170=1,CJ170,IF(LEFT(Cockpit!$O$5,1)="B",BG170,MAX(BG170,H170))),ROUNDUP(BE170,0)))</f>
        <v>1</v>
      </c>
      <c r="BB170" s="62" t="n">
        <f aca="false">IF(CA170=1,0,ROUNDUP(BA170/BZ170,0))</f>
        <v>1</v>
      </c>
      <c r="BC170" s="64" t="n">
        <f aca="false">IF(CR170&gt;0,CR170*MAX(1,BA170/X170),IF(CA170=1,IF(BA170&lt;=0,0,CE170*MAX(1,IF(H170&gt;0,BA170/H170,1))),IF(R170&gt;0,BB170/R170,0))/MAX(0.1,N(Parameter!$M$21)))</f>
        <v>0.0384615384615385</v>
      </c>
      <c r="BD170" s="62" t="n">
        <f aca="false">BC170*CC170</f>
        <v>5.96153846153846</v>
      </c>
      <c r="BE170" s="63" t="n">
        <f aca="false">IF(LEFT(Cockpit!$O$5,1)="A",H170,IF(CI170=1,(CL170+CJ170)/2,IF(LEFT(Cockpit!$O$5,1)="B",(CL170+BG170)/2,MAX((CL170+BG170)/2,H170))))</f>
        <v>0.5</v>
      </c>
      <c r="BF170" s="62" t="n">
        <f aca="false">BE170*G170</f>
        <v>22.855</v>
      </c>
      <c r="BG170" s="62" t="n">
        <f aca="false">ROUNDUP(CL170+MAX(CM170,2*(J170/IF(CH170&gt;0,CH170,MAX(0.1,N(Cockpit!$O$6)))-CL170)),0)</f>
        <v>1</v>
      </c>
      <c r="BH170" s="63" t="n">
        <f aca="false">IF(BD170&gt;0,J170/BD170,-1)</f>
        <v>0</v>
      </c>
      <c r="BI170" s="63" t="n">
        <f aca="false">IF(AND(OR(CG170="L1",CG170="L23",CG170="LIFT"),BD170&gt;0),SUMIFS($BD$7:$BD$1843,$CG$7:$CG$1843,CG170,$BH$7:$BH$1843,"&gt;"&amp;BH170)+SUMIFS($BD$7:$BD$1843,$CG$7:$CG$1843,CG170,$BH$7:$BH$1843,BH170,$BX$7:$BX$1843,"&lt;="&amp;BX170),"")</f>
        <v>26938.6354147265</v>
      </c>
      <c r="BJ170" s="70" t="n">
        <f aca="false">IF(BI170="",0,MAX(0,MIN(1,(IF(CG170="L1",Parameter!$H$5,IF(CG170="L23",Parameter!$H$6+Parameter!$H$7,Parameter!$H$5+Parameter!$H$6+Parameter!$H$7))-(BI170-BD170))/BD170)))</f>
        <v>1</v>
      </c>
      <c r="BK170" s="60" t="str">
        <f aca="false">IF(AJ170&lt;=0,"",IF(CG170="Aussen","Aussenlager",IF(CG170="-","Nicht im Lift",IF(AP170&gt;=1,"Lift",IF(AP170&lt;=0,"Aussenlager","teilweise")))))</f>
        <v>Lift</v>
      </c>
      <c r="BL170" s="60" t="str">
        <f aca="false">IF(AT170&lt;=0,"",IF(CG170="Aussen","Aussenlager",IF(CG170="-","Nicht im Lift",IF(AZ170&gt;=1,"Lift",IF(AZ170&lt;=0,"Aussenlager","teilweise")))))</f>
        <v>Lift</v>
      </c>
      <c r="BM170" s="60" t="str">
        <f aca="false">IF(BD170&lt;=0,"",IF(CG170="Aussen","Aussenlager",IF(CG170="-","Nicht im Lift",IF(BJ170&gt;=1,"Lift",IF(BJ170&lt;=0,"Aussenlager","teilweise")))))</f>
        <v>Lift</v>
      </c>
      <c r="BN170" s="60" t="str">
        <f aca="false">IF(A170="","",IF(BW170=1,"Neu; ","")&amp;IF(AND(BW170=0,BR170&lt;0),"negativer Bestand (Export "&amp;BR170&amp;"); ","")&amp;IF(J170&lt;=0,"Kein Verbrauch; ","")&amp;IF(CR170&gt;0,"Lift "&amp;W170&amp;" lt. Liftbericht (Fach "&amp;X170&amp;" Stk); ",IF(CB170=1,"Gebinde geschätzt ("&amp;T170&amp;"); ",IF(CA170=1,"Lose – Tablare geschätzt; ","")))&amp;IF(H170&gt;AW170,"Überbestand "&amp;ROUND(H170-AW170,0)&amp;" Stk / CHF "&amp;ROUND((H170-AW170)*G170,0)&amp;"; ","")&amp;IF(AND(CI170=1,CJ170&lt;CK170),"MAX &lt; MB+LG; ","")&amp;IF(AND(CQ170&gt;0,CP170*10&gt;CQ170),"zu hoch für Tablar; ","")&amp;IF(AND(BW170=0,OR(CI170=1,AB170&lt;&gt;"",U170&lt;&gt;"",V170&lt;&gt;"",AC170&lt;&gt;"")),"manuell übersteuert; ","")&amp;IF(AND(CA170=0,R170=0),"Gebinde unbekannt / Stellmass fehlt; ","")&amp;IF(AND(CA170=0,N(V170)&lt;=0,N(Q170)&lt;=0),"Menge pro Gebinde fehlt (Ist = 1 Gebinde); ","")&amp;BV170)</f>
        <v>Kein Verbrauch; Gebinde geschätzt (Klein); Überbestand 23 Stk / CHF 1051; Menge pro Gebinde fehlt (Ist = 1 Gebinde); </v>
      </c>
      <c r="BO170" s="60"/>
      <c r="BP170" s="60"/>
      <c r="BQ170" s="67"/>
      <c r="BR170" s="62" t="n">
        <v>24</v>
      </c>
      <c r="BS170" s="62" t="n">
        <v>0</v>
      </c>
      <c r="BT170" s="61" t="n">
        <v>1097.04</v>
      </c>
      <c r="BU170" s="62" t="n">
        <v>0</v>
      </c>
      <c r="BV170" s="60"/>
      <c r="BW170" s="65" t="n">
        <v>0</v>
      </c>
      <c r="BX170" s="65" t="n">
        <v>170</v>
      </c>
      <c r="BY170" s="60" t="str">
        <f aca="false">IF(U170&lt;&gt;"",UPPER(TRIM(U170)),IF(CB170=1,UPPER(VLOOKUP(T170,Parameter!$I$27:$K$29,2,0)),IF(P170="","LOSE",P170)))</f>
        <v>S51</v>
      </c>
      <c r="BZ170" s="62" t="n">
        <f aca="false">IF(BY170="LOSE",1,IF(N(V170)&gt;0,V170,IF(CB170=1,MAX(1,N(VLOOKUP(T170,Parameter!$I$27:$K$29,3,0)),H170,N(N170)),IF(N(Q170)&gt;0,Q170,MAX(1,H170)))))</f>
        <v>24</v>
      </c>
      <c r="CA170" s="65" t="n">
        <f aca="false">IF(BY170="LOSE",1,0)</f>
        <v>0</v>
      </c>
      <c r="CB170" s="65" t="n">
        <f aca="false">IF(AND(U170="",OR(P170="",P170="LOSE"),T170&lt;&gt;"",N(S170)&lt;=0,ISNUMBER(MATCH(T170,Parameter!$I$27:$I$29,0))),1,0)</f>
        <v>1</v>
      </c>
      <c r="CC170" s="65" t="n">
        <f aca="false">IF(CR170&gt;0,INDEX(Parameter!$H$5:$H$7,W170)/INDEX(Parameter!$E$5:$E$7,W170),IF(AND(CA170=0,N(IFERROR(VLOOKUP(BY170,'Gebinde-Kategorie'!$A$5:$N$45,14,0),0))&gt;0),VLOOKUP(BY170,'Gebinde-Kategorie'!$A$5:$N$45,14,0)*10+Parameter!$M$23,Parameter!$M$24))</f>
        <v>155</v>
      </c>
      <c r="CD170" s="60" t="str">
        <f aca="false">IF(AND(Parameter!$B$19="Ja",E170&lt;&gt;"",ISNUMBER(MATCH(E170,Parameter!$I$35:$I$52,0))),VLOOKUP(E170,Parameter!$I$35:$J$52,2,0),IFERROR(VLOOKUP(D170,Parameter!$A$35:$C$64,2,0),"Nein"))</f>
        <v>2+3</v>
      </c>
      <c r="CE170" s="64" t="n">
        <f aca="false">IF(CA170=0,0,IF(N(S170)&gt;0,S170,IFERROR(VLOOKUP(D170,Parameter!$A$35:$C$64,3,0)+0,0)))</f>
        <v>0</v>
      </c>
      <c r="CF170" s="60" t="n">
        <f aca="false">IF(AB170&lt;&gt;"",AB170,AA170)</f>
        <v>3</v>
      </c>
      <c r="CG170" s="60" t="str">
        <f aca="false">IF(OR(CF170=1,CF170=2,CF170=3),IF(Parameter!$E$27="Ja","LIFT",IF(CF170=1,"L1","L23")),IF(CF170="Aussen","Aussen","-"))</f>
        <v>LIFT</v>
      </c>
      <c r="CH170" s="71" t="n">
        <f aca="false">IF(N(AC170)&gt;0,AC170,0)</f>
        <v>0</v>
      </c>
      <c r="CI170" s="65" t="n">
        <f aca="false">IF(ISNUMBER(AF170),1,0)</f>
        <v>0</v>
      </c>
      <c r="CJ170" s="62" t="n">
        <f aca="false">N(AF170)</f>
        <v>0</v>
      </c>
      <c r="CK170" s="62" t="n">
        <f aca="false">N(M170)+N(N170)</f>
        <v>1</v>
      </c>
      <c r="CL170" s="62" t="n">
        <f aca="false">N(M170)</f>
        <v>0</v>
      </c>
      <c r="CM170" s="62" t="n">
        <f aca="false">N(N170)</f>
        <v>1</v>
      </c>
      <c r="CN170" s="62" t="n">
        <f aca="false">ROUNDUP(H170/BZ170,0)</f>
        <v>1</v>
      </c>
      <c r="CO170" s="62" t="n">
        <f aca="false">ROUNDUP(CJ170/BZ170,0)</f>
        <v>0</v>
      </c>
      <c r="CP170" s="65" t="n">
        <f aca="false">IF(CA170=1,0,IFERROR(VLOOKUP(BY170,'Gebinde-Kategorie'!$A$5:$N$45,5,0)+0,0))</f>
        <v>11</v>
      </c>
      <c r="CQ170" s="65" t="n">
        <f aca="false">IFERROR(IF(OR(CF170=1,CF170=2,CF170=3),N(INDEX(Parameter!$I$5:$I$7,CF170)),0),0)</f>
        <v>0</v>
      </c>
      <c r="CR170" s="64" t="n">
        <f aca="false">IF(AND(Parameter!$B$21="Ja",ISNUMBER(W170),N(X170)&gt;0),IFERROR(N(INDEX(Parameter!$L$5:$L$7,W170))*INDEX(Parameter!$E$5:$E$7,W170)*X170/SUMIFS($X$7:$X$1843,$W$7:$W$1843,W170),0),0)</f>
        <v>0</v>
      </c>
      <c r="CS170" s="62" t="n">
        <f aca="false">IF(AND(OR(CG170="L1",CG170="L23",CG170="LIFT"),H170&gt;0),CC170*IF(CR170&gt;0,CR170*MAX(1,H170/X170),IF(CA170=1,CE170,IF(R170&gt;0,CN170/R170,0))/MAX(0.1,N(Parameter!$M$21))),"")</f>
        <v>5.96153846153846</v>
      </c>
      <c r="CT170" s="64" t="n">
        <f aca="false">IF(CS170="","",J170/H170)</f>
        <v>0</v>
      </c>
      <c r="CU170" s="62" t="n">
        <f aca="false">IF(CS170="","",H170*G170)</f>
        <v>1097.04</v>
      </c>
      <c r="CV170" s="63" t="n">
        <f aca="false">IF(CS170="","",(CL170+ROUNDUP(CL170+MAX(CM170,2*(J170/MAX(0.1,N(Einkauf!$C$6))-CL170)),0))/2)</f>
        <v>0.5</v>
      </c>
      <c r="CW170" s="62" t="n">
        <f aca="false">IF(CS170="","",MAX(0,H170-CV170)*G170)</f>
        <v>1074.185</v>
      </c>
      <c r="CX170" s="62" t="n">
        <f aca="false">IF(CS170="","",CS170*MAX(0,1-CV170/H170))</f>
        <v>5.83733974358974</v>
      </c>
      <c r="CY170" s="64" t="n">
        <f aca="false">IF(CS170="","",PERCENTRANK($CS$7:$CS$1843,CS170)+PERCENTRANK($CU$7:$CU$1843,CU170)+1-PERCENTRANK($CT$7:$CT$1843,CT170))</f>
        <v>2.022</v>
      </c>
      <c r="CZ170" s="72" t="n">
        <f aca="false">IF(CS170="","",CHOOSE(MATCH(Einkauf!$C$5,Parameter!$G$23:$G$27,0),CY170,CS170,CU170,-CT170,CW170)+ROW()/1000000000)</f>
        <v>2.02200017</v>
      </c>
    </row>
    <row r="171" customFormat="false" ht="15" hidden="false" customHeight="false" outlineLevel="0" collapsed="false">
      <c r="A171" s="60" t="s">
        <v>591</v>
      </c>
      <c r="B171" s="60" t="s">
        <v>590</v>
      </c>
      <c r="C171" s="60" t="s">
        <v>206</v>
      </c>
      <c r="D171" s="60" t="s">
        <v>226</v>
      </c>
      <c r="E171" s="60"/>
      <c r="F171" s="60" t="s">
        <v>260</v>
      </c>
      <c r="G171" s="61" t="n">
        <v>45.71</v>
      </c>
      <c r="H171" s="62" t="n">
        <f aca="false">MAX(0,IF(AND(Parameter!$B$21="Ja",ISNUMBER(Y171)),Y171,IF(Parameter!$B$20="Jahresanfang 2025 + Export",BS171+BR171,BR171)))</f>
        <v>24</v>
      </c>
      <c r="I171" s="62" t="n">
        <f aca="false">H171*G171</f>
        <v>1097.04</v>
      </c>
      <c r="J171" s="62" t="n">
        <f aca="false">BU171*Parameter!$B$18</f>
        <v>0</v>
      </c>
      <c r="K171" s="63" t="n">
        <v>0</v>
      </c>
      <c r="L171" s="64" t="n">
        <v>0</v>
      </c>
      <c r="M171" s="62" t="n">
        <v>0</v>
      </c>
      <c r="N171" s="62" t="n">
        <v>1</v>
      </c>
      <c r="O171" s="65" t="n">
        <v>9999</v>
      </c>
      <c r="P171" s="60" t="s">
        <v>210</v>
      </c>
      <c r="Q171" s="62"/>
      <c r="R171" s="65" t="n">
        <f aca="false">IF(CA171=1,0,IFERROR(VLOOKUP(BY171,'Gebinde-Kategorie'!$A$5:$N$45,13,0)+0,0))</f>
        <v>26</v>
      </c>
      <c r="S171" s="66"/>
      <c r="T171" s="67" t="s">
        <v>317</v>
      </c>
      <c r="U171" s="67"/>
      <c r="V171" s="67"/>
      <c r="W171" s="60"/>
      <c r="X171" s="62"/>
      <c r="Y171" s="62"/>
      <c r="Z171" s="60" t="n">
        <v>3</v>
      </c>
      <c r="AA171" s="60" t="n">
        <f aca="false">IF(A171="","",IF(AND(Parameter!$B$21="Ja",ISNUMBER(W171)),W171,IF(AND(Parameter!$E$27="Ja",ISNUMBER(Z171),CD171&lt;&gt;"Nein"),Z171,IF(CD171="2+3",IF(ISNUMBER(SEARCH("grosser Artikel",BV171)),2,IFERROR(VLOOKUP(BY171,Parameter!$F$35:$G$64,2,0),2)),IF(OR(CD171="Nein",CD171=""),"-",CD171)))))</f>
        <v>3</v>
      </c>
      <c r="AB171" s="67"/>
      <c r="AC171" s="68"/>
      <c r="AD171" s="62" t="n">
        <f aca="false">AW171</f>
        <v>1</v>
      </c>
      <c r="AE171" s="62" t="n">
        <f aca="false">MAX(AW171,H171)</f>
        <v>24</v>
      </c>
      <c r="AF171" s="69"/>
      <c r="AG171" s="62" t="n">
        <f aca="false">IF(LEFT(Cockpit!$C$5,1)="A",H171,IF(Parameter!$E$30="MAX-Bestand",IF(CI171=1,CJ171,IF(LEFT(Cockpit!$C$5,1)="B",AM171,MAX(AM171,H171))),ROUNDUP(AK171,0)))</f>
        <v>24</v>
      </c>
      <c r="AH171" s="62" t="n">
        <f aca="false">IF(CA171=1,0,ROUNDUP(AG171/BZ171,0))</f>
        <v>1</v>
      </c>
      <c r="AI171" s="64" t="n">
        <f aca="false">IF(CR171&gt;0,CR171*MAX(1,AG171/X171),IF(CA171=1,IF(AG171&lt;=0,0,CE171*MAX(1,IF(H171&gt;0,AG171/H171,1))),IF(R171&gt;0,AH171/R171,0))/MAX(0.1,N(Parameter!$M$21)))</f>
        <v>0.0384615384615385</v>
      </c>
      <c r="AJ171" s="62" t="n">
        <f aca="false">AI171*CC171</f>
        <v>5.96153846153846</v>
      </c>
      <c r="AK171" s="63" t="n">
        <f aca="false">IF(LEFT(Cockpit!$C$5,1)="A",H171,IF(CI171=1,(CL171+CJ171)/2,IF(LEFT(Cockpit!$C$5,1)="B",(CL171+AM171)/2,MAX((CL171+AM171)/2,H171))))</f>
        <v>24</v>
      </c>
      <c r="AL171" s="62" t="n">
        <f aca="false">AK171*G171</f>
        <v>1097.04</v>
      </c>
      <c r="AM171" s="62" t="n">
        <f aca="false">ROUNDUP(CL171+MAX(CM171,2*(J171/IF(CH171&gt;0,CH171,MAX(0.1,N(Cockpit!$C$6)))-CL171)),0)</f>
        <v>1</v>
      </c>
      <c r="AN171" s="63" t="n">
        <f aca="false">IF(AJ171&gt;0,J171/AJ171,-1)</f>
        <v>0</v>
      </c>
      <c r="AO171" s="63" t="n">
        <f aca="false">IF(AND(OR(CG171="L1",CG171="L23",CG171="LIFT"),AJ171&gt;0),SUMIFS($AJ$7:$AJ$1843,$CG$7:$CG$1843,CG171,$AN$7:$AN$1843,"&gt;"&amp;AN171)+SUMIFS($AJ$7:$AJ$1843,$CG$7:$CG$1843,CG171,$AN$7:$AN$1843,AN171,$BX$7:$BX$1843,"&lt;="&amp;BX171),"")</f>
        <v>27427.2062121024</v>
      </c>
      <c r="AP171" s="70" t="n">
        <f aca="false">IF(AO171="",0,MAX(0,MIN(1,(IF(CG171="L1",Parameter!$H$5,IF(CG171="L23",Parameter!$H$6+Parameter!$H$7,Parameter!$H$5+Parameter!$H$6+Parameter!$H$7))-(AO171-AJ171))/AJ171)))</f>
        <v>1</v>
      </c>
      <c r="AQ171" s="62" t="n">
        <f aca="false">IF(LEFT(Cockpit!$I$5,1)="A",H171,IF(Parameter!$E$30="MAX-Bestand",IF(CI171=1,CJ171,IF(LEFT(Cockpit!$I$5,1)="B",AW171,MAX(AW171,H171))),ROUNDUP(AU171,0)))</f>
        <v>24</v>
      </c>
      <c r="AR171" s="62" t="n">
        <f aca="false">IF(CA171=1,0,ROUNDUP(AQ171/BZ171,0))</f>
        <v>1</v>
      </c>
      <c r="AS171" s="64" t="n">
        <f aca="false">IF(CR171&gt;0,CR171*MAX(1,AQ171/X171),IF(CA171=1,IF(AQ171&lt;=0,0,CE171*MAX(1,IF(H171&gt;0,AQ171/H171,1))),IF(R171&gt;0,AR171/R171,0))/MAX(0.1,N(Parameter!$M$21)))</f>
        <v>0.0384615384615385</v>
      </c>
      <c r="AT171" s="62" t="n">
        <f aca="false">AS171*CC171</f>
        <v>5.96153846153846</v>
      </c>
      <c r="AU171" s="63" t="n">
        <f aca="false">IF(LEFT(Cockpit!$I$5,1)="A",H171,IF(CI171=1,(CL171+CJ171)/2,IF(LEFT(Cockpit!$I$5,1)="B",(CL171+AW171)/2,MAX((CL171+AW171)/2,H171))))</f>
        <v>24</v>
      </c>
      <c r="AV171" s="62" t="n">
        <f aca="false">AU171*G171</f>
        <v>1097.04</v>
      </c>
      <c r="AW171" s="62" t="n">
        <f aca="false">ROUNDUP(CL171+MAX(CM171,2*(J171/IF(CH171&gt;0,CH171,MAX(0.1,N(Cockpit!$I$6)))-CL171)),0)</f>
        <v>1</v>
      </c>
      <c r="AX171" s="63" t="n">
        <f aca="false">IF(AT171&gt;0,J171/AT171,-1)</f>
        <v>0</v>
      </c>
      <c r="AY171" s="63" t="n">
        <f aca="false">IF(AND(OR(CG171="L1",CG171="L23",CG171="LIFT"),AT171&gt;0),SUMIFS($AT$7:$AT$1843,$CG$7:$CG$1843,CG171,$AX$7:$AX$1843,"&gt;"&amp;AX171)+SUMIFS($AT$7:$AT$1843,$CG$7:$CG$1843,CG171,$AX$7:$AX$1843,AX171,$BX$7:$BX$1843,"&lt;="&amp;BX171),"")</f>
        <v>32780.3548534799</v>
      </c>
      <c r="AZ171" s="70" t="n">
        <f aca="false">IF(AY171="",0,MAX(0,MIN(1,(IF(CG171="L1",Parameter!$H$5,IF(CG171="L23",Parameter!$H$6+Parameter!$H$7,Parameter!$H$5+Parameter!$H$6+Parameter!$H$7))-(AY171-AT171))/AT171)))</f>
        <v>1</v>
      </c>
      <c r="BA171" s="62" t="n">
        <f aca="false">IF(LEFT(Cockpit!$O$5,1)="A",H171,IF(Parameter!$E$30="MAX-Bestand",IF(CI171=1,CJ171,IF(LEFT(Cockpit!$O$5,1)="B",BG171,MAX(BG171,H171))),ROUNDUP(BE171,0)))</f>
        <v>1</v>
      </c>
      <c r="BB171" s="62" t="n">
        <f aca="false">IF(CA171=1,0,ROUNDUP(BA171/BZ171,0))</f>
        <v>1</v>
      </c>
      <c r="BC171" s="64" t="n">
        <f aca="false">IF(CR171&gt;0,CR171*MAX(1,BA171/X171),IF(CA171=1,IF(BA171&lt;=0,0,CE171*MAX(1,IF(H171&gt;0,BA171/H171,1))),IF(R171&gt;0,BB171/R171,0))/MAX(0.1,N(Parameter!$M$21)))</f>
        <v>0.0384615384615385</v>
      </c>
      <c r="BD171" s="62" t="n">
        <f aca="false">BC171*CC171</f>
        <v>5.96153846153846</v>
      </c>
      <c r="BE171" s="63" t="n">
        <f aca="false">IF(LEFT(Cockpit!$O$5,1)="A",H171,IF(CI171=1,(CL171+CJ171)/2,IF(LEFT(Cockpit!$O$5,1)="B",(CL171+BG171)/2,MAX((CL171+BG171)/2,H171))))</f>
        <v>0.5</v>
      </c>
      <c r="BF171" s="62" t="n">
        <f aca="false">BE171*G171</f>
        <v>22.855</v>
      </c>
      <c r="BG171" s="62" t="n">
        <f aca="false">ROUNDUP(CL171+MAX(CM171,2*(J171/IF(CH171&gt;0,CH171,MAX(0.1,N(Cockpit!$O$6)))-CL171)),0)</f>
        <v>1</v>
      </c>
      <c r="BH171" s="63" t="n">
        <f aca="false">IF(BD171&gt;0,J171/BD171,-1)</f>
        <v>0</v>
      </c>
      <c r="BI171" s="63" t="n">
        <f aca="false">IF(AND(OR(CG171="L1",CG171="L23",CG171="LIFT"),BD171&gt;0),SUMIFS($BD$7:$BD$1843,$CG$7:$CG$1843,CG171,$BH$7:$BH$1843,"&gt;"&amp;BH171)+SUMIFS($BD$7:$BD$1843,$CG$7:$CG$1843,CG171,$BH$7:$BH$1843,BH171,$BX$7:$BX$1843,"&lt;="&amp;BX171),"")</f>
        <v>26944.5969531881</v>
      </c>
      <c r="BJ171" s="70" t="n">
        <f aca="false">IF(BI171="",0,MAX(0,MIN(1,(IF(CG171="L1",Parameter!$H$5,IF(CG171="L23",Parameter!$H$6+Parameter!$H$7,Parameter!$H$5+Parameter!$H$6+Parameter!$H$7))-(BI171-BD171))/BD171)))</f>
        <v>1</v>
      </c>
      <c r="BK171" s="60" t="str">
        <f aca="false">IF(AJ171&lt;=0,"",IF(CG171="Aussen","Aussenlager",IF(CG171="-","Nicht im Lift",IF(AP171&gt;=1,"Lift",IF(AP171&lt;=0,"Aussenlager","teilweise")))))</f>
        <v>Lift</v>
      </c>
      <c r="BL171" s="60" t="str">
        <f aca="false">IF(AT171&lt;=0,"",IF(CG171="Aussen","Aussenlager",IF(CG171="-","Nicht im Lift",IF(AZ171&gt;=1,"Lift",IF(AZ171&lt;=0,"Aussenlager","teilweise")))))</f>
        <v>Lift</v>
      </c>
      <c r="BM171" s="60" t="str">
        <f aca="false">IF(BD171&lt;=0,"",IF(CG171="Aussen","Aussenlager",IF(CG171="-","Nicht im Lift",IF(BJ171&gt;=1,"Lift",IF(BJ171&lt;=0,"Aussenlager","teilweise")))))</f>
        <v>Lift</v>
      </c>
      <c r="BN171" s="60" t="str">
        <f aca="false">IF(A171="","",IF(BW171=1,"Neu; ","")&amp;IF(AND(BW171=0,BR171&lt;0),"negativer Bestand (Export "&amp;BR171&amp;"); ","")&amp;IF(J171&lt;=0,"Kein Verbrauch; ","")&amp;IF(CR171&gt;0,"Lift "&amp;W171&amp;" lt. Liftbericht (Fach "&amp;X171&amp;" Stk); ",IF(CB171=1,"Gebinde geschätzt ("&amp;T171&amp;"); ",IF(CA171=1,"Lose – Tablare geschätzt; ","")))&amp;IF(H171&gt;AW171,"Überbestand "&amp;ROUND(H171-AW171,0)&amp;" Stk / CHF "&amp;ROUND((H171-AW171)*G171,0)&amp;"; ","")&amp;IF(AND(CI171=1,CJ171&lt;CK171),"MAX &lt; MB+LG; ","")&amp;IF(AND(CQ171&gt;0,CP171*10&gt;CQ171),"zu hoch für Tablar; ","")&amp;IF(AND(BW171=0,OR(CI171=1,AB171&lt;&gt;"",U171&lt;&gt;"",V171&lt;&gt;"",AC171&lt;&gt;"")),"manuell übersteuert; ","")&amp;IF(AND(CA171=0,R171=0),"Gebinde unbekannt / Stellmass fehlt; ","")&amp;IF(AND(CA171=0,N(V171)&lt;=0,N(Q171)&lt;=0),"Menge pro Gebinde fehlt (Ist = 1 Gebinde); ","")&amp;BV171)</f>
        <v>Kein Verbrauch; Gebinde geschätzt (Klein); Überbestand 23 Stk / CHF 1051; Menge pro Gebinde fehlt (Ist = 1 Gebinde); </v>
      </c>
      <c r="BO171" s="60"/>
      <c r="BP171" s="60"/>
      <c r="BQ171" s="67"/>
      <c r="BR171" s="62" t="n">
        <v>24</v>
      </c>
      <c r="BS171" s="62" t="n">
        <v>0</v>
      </c>
      <c r="BT171" s="61" t="n">
        <v>1097.04</v>
      </c>
      <c r="BU171" s="62" t="n">
        <v>0</v>
      </c>
      <c r="BV171" s="60"/>
      <c r="BW171" s="65" t="n">
        <v>0</v>
      </c>
      <c r="BX171" s="65" t="n">
        <v>171</v>
      </c>
      <c r="BY171" s="60" t="str">
        <f aca="false">IF(U171&lt;&gt;"",UPPER(TRIM(U171)),IF(CB171=1,UPPER(VLOOKUP(T171,Parameter!$I$27:$K$29,2,0)),IF(P171="","LOSE",P171)))</f>
        <v>S51</v>
      </c>
      <c r="BZ171" s="62" t="n">
        <f aca="false">IF(BY171="LOSE",1,IF(N(V171)&gt;0,V171,IF(CB171=1,MAX(1,N(VLOOKUP(T171,Parameter!$I$27:$K$29,3,0)),H171,N(N171)),IF(N(Q171)&gt;0,Q171,MAX(1,H171)))))</f>
        <v>24</v>
      </c>
      <c r="CA171" s="65" t="n">
        <f aca="false">IF(BY171="LOSE",1,0)</f>
        <v>0</v>
      </c>
      <c r="CB171" s="65" t="n">
        <f aca="false">IF(AND(U171="",OR(P171="",P171="LOSE"),T171&lt;&gt;"",N(S171)&lt;=0,ISNUMBER(MATCH(T171,Parameter!$I$27:$I$29,0))),1,0)</f>
        <v>1</v>
      </c>
      <c r="CC171" s="65" t="n">
        <f aca="false">IF(CR171&gt;0,INDEX(Parameter!$H$5:$H$7,W171)/INDEX(Parameter!$E$5:$E$7,W171),IF(AND(CA171=0,N(IFERROR(VLOOKUP(BY171,'Gebinde-Kategorie'!$A$5:$N$45,14,0),0))&gt;0),VLOOKUP(BY171,'Gebinde-Kategorie'!$A$5:$N$45,14,0)*10+Parameter!$M$23,Parameter!$M$24))</f>
        <v>155</v>
      </c>
      <c r="CD171" s="60" t="str">
        <f aca="false">IF(AND(Parameter!$B$19="Ja",E171&lt;&gt;"",ISNUMBER(MATCH(E171,Parameter!$I$35:$I$52,0))),VLOOKUP(E171,Parameter!$I$35:$J$52,2,0),IFERROR(VLOOKUP(D171,Parameter!$A$35:$C$64,2,0),"Nein"))</f>
        <v>2+3</v>
      </c>
      <c r="CE171" s="64" t="n">
        <f aca="false">IF(CA171=0,0,IF(N(S171)&gt;0,S171,IFERROR(VLOOKUP(D171,Parameter!$A$35:$C$64,3,0)+0,0)))</f>
        <v>0</v>
      </c>
      <c r="CF171" s="60" t="n">
        <f aca="false">IF(AB171&lt;&gt;"",AB171,AA171)</f>
        <v>3</v>
      </c>
      <c r="CG171" s="60" t="str">
        <f aca="false">IF(OR(CF171=1,CF171=2,CF171=3),IF(Parameter!$E$27="Ja","LIFT",IF(CF171=1,"L1","L23")),IF(CF171="Aussen","Aussen","-"))</f>
        <v>LIFT</v>
      </c>
      <c r="CH171" s="71" t="n">
        <f aca="false">IF(N(AC171)&gt;0,AC171,0)</f>
        <v>0</v>
      </c>
      <c r="CI171" s="65" t="n">
        <f aca="false">IF(ISNUMBER(AF171),1,0)</f>
        <v>0</v>
      </c>
      <c r="CJ171" s="62" t="n">
        <f aca="false">N(AF171)</f>
        <v>0</v>
      </c>
      <c r="CK171" s="62" t="n">
        <f aca="false">N(M171)+N(N171)</f>
        <v>1</v>
      </c>
      <c r="CL171" s="62" t="n">
        <f aca="false">N(M171)</f>
        <v>0</v>
      </c>
      <c r="CM171" s="62" t="n">
        <f aca="false">N(N171)</f>
        <v>1</v>
      </c>
      <c r="CN171" s="62" t="n">
        <f aca="false">ROUNDUP(H171/BZ171,0)</f>
        <v>1</v>
      </c>
      <c r="CO171" s="62" t="n">
        <f aca="false">ROUNDUP(CJ171/BZ171,0)</f>
        <v>0</v>
      </c>
      <c r="CP171" s="65" t="n">
        <f aca="false">IF(CA171=1,0,IFERROR(VLOOKUP(BY171,'Gebinde-Kategorie'!$A$5:$N$45,5,0)+0,0))</f>
        <v>11</v>
      </c>
      <c r="CQ171" s="65" t="n">
        <f aca="false">IFERROR(IF(OR(CF171=1,CF171=2,CF171=3),N(INDEX(Parameter!$I$5:$I$7,CF171)),0),0)</f>
        <v>0</v>
      </c>
      <c r="CR171" s="64" t="n">
        <f aca="false">IF(AND(Parameter!$B$21="Ja",ISNUMBER(W171),N(X171)&gt;0),IFERROR(N(INDEX(Parameter!$L$5:$L$7,W171))*INDEX(Parameter!$E$5:$E$7,W171)*X171/SUMIFS($X$7:$X$1843,$W$7:$W$1843,W171),0),0)</f>
        <v>0</v>
      </c>
      <c r="CS171" s="62" t="n">
        <f aca="false">IF(AND(OR(CG171="L1",CG171="L23",CG171="LIFT"),H171&gt;0),CC171*IF(CR171&gt;0,CR171*MAX(1,H171/X171),IF(CA171=1,CE171,IF(R171&gt;0,CN171/R171,0))/MAX(0.1,N(Parameter!$M$21))),"")</f>
        <v>5.96153846153846</v>
      </c>
      <c r="CT171" s="64" t="n">
        <f aca="false">IF(CS171="","",J171/H171)</f>
        <v>0</v>
      </c>
      <c r="CU171" s="62" t="n">
        <f aca="false">IF(CS171="","",H171*G171)</f>
        <v>1097.04</v>
      </c>
      <c r="CV171" s="63" t="n">
        <f aca="false">IF(CS171="","",(CL171+ROUNDUP(CL171+MAX(CM171,2*(J171/MAX(0.1,N(Einkauf!$C$6))-CL171)),0))/2)</f>
        <v>0.5</v>
      </c>
      <c r="CW171" s="62" t="n">
        <f aca="false">IF(CS171="","",MAX(0,H171-CV171)*G171)</f>
        <v>1074.185</v>
      </c>
      <c r="CX171" s="62" t="n">
        <f aca="false">IF(CS171="","",CS171*MAX(0,1-CV171/H171))</f>
        <v>5.83733974358974</v>
      </c>
      <c r="CY171" s="64" t="n">
        <f aca="false">IF(CS171="","",PERCENTRANK($CS$7:$CS$1843,CS171)+PERCENTRANK($CU$7:$CU$1843,CU171)+1-PERCENTRANK($CT$7:$CT$1843,CT171))</f>
        <v>2.022</v>
      </c>
      <c r="CZ171" s="72" t="n">
        <f aca="false">IF(CS171="","",CHOOSE(MATCH(Einkauf!$C$5,Parameter!$G$23:$G$27,0),CY171,CS171,CU171,-CT171,CW171)+ROW()/1000000000)</f>
        <v>2.022000171</v>
      </c>
    </row>
    <row r="172" customFormat="false" ht="15" hidden="false" customHeight="false" outlineLevel="0" collapsed="false">
      <c r="A172" s="60" t="s">
        <v>592</v>
      </c>
      <c r="B172" s="60" t="s">
        <v>593</v>
      </c>
      <c r="C172" s="60" t="s">
        <v>206</v>
      </c>
      <c r="D172" s="60" t="s">
        <v>226</v>
      </c>
      <c r="E172" s="60" t="s">
        <v>227</v>
      </c>
      <c r="F172" s="60" t="s">
        <v>260</v>
      </c>
      <c r="G172" s="61" t="n">
        <v>10.48</v>
      </c>
      <c r="H172" s="62" t="n">
        <f aca="false">MAX(0,IF(AND(Parameter!$B$21="Ja",ISNUMBER(Y172)),Y172,IF(Parameter!$B$20="Jahresanfang 2025 + Export",BS172+BR172,BR172)))</f>
        <v>206</v>
      </c>
      <c r="I172" s="62" t="n">
        <f aca="false">H172*G172</f>
        <v>2158.88</v>
      </c>
      <c r="J172" s="62" t="n">
        <f aca="false">BU172*Parameter!$B$18</f>
        <v>378</v>
      </c>
      <c r="K172" s="63" t="n">
        <v>102.5</v>
      </c>
      <c r="L172" s="64" t="n">
        <v>3.68780487804878</v>
      </c>
      <c r="M172" s="62" t="n">
        <v>25</v>
      </c>
      <c r="N172" s="62" t="n">
        <v>280</v>
      </c>
      <c r="O172" s="65" t="n">
        <v>21</v>
      </c>
      <c r="P172" s="60" t="s">
        <v>344</v>
      </c>
      <c r="Q172" s="62" t="n">
        <v>155</v>
      </c>
      <c r="R172" s="65" t="n">
        <f aca="false">IF(CA172=1,0,IFERROR(VLOOKUP(BY172,'Gebinde-Kategorie'!$A$5:$N$45,13,0)+0,0))</f>
        <v>26</v>
      </c>
      <c r="S172" s="66"/>
      <c r="T172" s="67"/>
      <c r="U172" s="67"/>
      <c r="V172" s="67"/>
      <c r="W172" s="60"/>
      <c r="X172" s="62"/>
      <c r="Y172" s="62"/>
      <c r="Z172" s="60" t="n">
        <v>3</v>
      </c>
      <c r="AA172" s="60" t="n">
        <f aca="false">IF(A172="","",IF(AND(Parameter!$B$21="Ja",ISNUMBER(W172)),W172,IF(AND(Parameter!$E$27="Ja",ISNUMBER(Z172),CD172&lt;&gt;"Nein"),Z172,IF(CD172="2+3",IF(ISNUMBER(SEARCH("grosser Artikel",BV172)),2,IFERROR(VLOOKUP(BY172,Parameter!$F$35:$G$64,2,0),2)),IF(OR(CD172="Nein",CD172=""),"-",CD172)))))</f>
        <v>3</v>
      </c>
      <c r="AB172" s="67"/>
      <c r="AC172" s="68"/>
      <c r="AD172" s="62" t="n">
        <f aca="false">AW172</f>
        <v>305</v>
      </c>
      <c r="AE172" s="62" t="n">
        <f aca="false">MAX(AW172,H172)</f>
        <v>305</v>
      </c>
      <c r="AF172" s="69"/>
      <c r="AG172" s="62" t="n">
        <f aca="false">IF(LEFT(Cockpit!$C$5,1)="A",H172,IF(Parameter!$E$30="MAX-Bestand",IF(CI172=1,CJ172,IF(LEFT(Cockpit!$C$5,1)="B",AM172,MAX(AM172,H172))),ROUNDUP(AK172,0)))</f>
        <v>206</v>
      </c>
      <c r="AH172" s="62" t="n">
        <f aca="false">IF(CA172=1,0,ROUNDUP(AG172/BZ172,0))</f>
        <v>2</v>
      </c>
      <c r="AI172" s="64" t="n">
        <f aca="false">IF(CR172&gt;0,CR172*MAX(1,AG172/X172),IF(CA172=1,IF(AG172&lt;=0,0,CE172*MAX(1,IF(H172&gt;0,AG172/H172,1))),IF(R172&gt;0,AH172/R172,0))/MAX(0.1,N(Parameter!$M$21)))</f>
        <v>0.0769230769230769</v>
      </c>
      <c r="AJ172" s="62" t="n">
        <f aca="false">AI172*CC172</f>
        <v>11.9230769230769</v>
      </c>
      <c r="AK172" s="63" t="n">
        <f aca="false">IF(LEFT(Cockpit!$C$5,1)="A",H172,IF(CI172=1,(CL172+CJ172)/2,IF(LEFT(Cockpit!$C$5,1)="B",(CL172+AM172)/2,MAX((CL172+AM172)/2,H172))))</f>
        <v>206</v>
      </c>
      <c r="AL172" s="62" t="n">
        <f aca="false">AK172*G172</f>
        <v>2158.88</v>
      </c>
      <c r="AM172" s="62" t="n">
        <f aca="false">ROUNDUP(CL172+MAX(CM172,2*(J172/IF(CH172&gt;0,CH172,MAX(0.1,N(Cockpit!$C$6)))-CL172)),0)</f>
        <v>305</v>
      </c>
      <c r="AN172" s="63" t="n">
        <f aca="false">IF(AJ172&gt;0,J172/AJ172,-1)</f>
        <v>31.7032258064516</v>
      </c>
      <c r="AO172" s="63" t="n">
        <f aca="false">IF(AND(OR(CG172="L1",CG172="L23",CG172="LIFT"),AJ172&gt;0),SUMIFS($AJ$7:$AJ$1843,$CG$7:$CG$1843,CG172,$AN$7:$AN$1843,"&gt;"&amp;AN172)+SUMIFS($AJ$7:$AJ$1843,$CG$7:$CG$1843,CG172,$AN$7:$AN$1843,AN172,$BX$7:$BX$1843,"&lt;="&amp;BX172),"")</f>
        <v>1379.02472527473</v>
      </c>
      <c r="AP172" s="70" t="n">
        <f aca="false">IF(AO172="",0,MAX(0,MIN(1,(IF(CG172="L1",Parameter!$H$5,IF(CG172="L23",Parameter!$H$6+Parameter!$H$7,Parameter!$H$5+Parameter!$H$6+Parameter!$H$7))-(AO172-AJ172))/AJ172)))</f>
        <v>1</v>
      </c>
      <c r="AQ172" s="62" t="n">
        <f aca="false">IF(LEFT(Cockpit!$I$5,1)="A",H172,IF(Parameter!$E$30="MAX-Bestand",IF(CI172=1,CJ172,IF(LEFT(Cockpit!$I$5,1)="B",AW172,MAX(AW172,H172))),ROUNDUP(AU172,0)))</f>
        <v>206</v>
      </c>
      <c r="AR172" s="62" t="n">
        <f aca="false">IF(CA172=1,0,ROUNDUP(AQ172/BZ172,0))</f>
        <v>2</v>
      </c>
      <c r="AS172" s="64" t="n">
        <f aca="false">IF(CR172&gt;0,CR172*MAX(1,AQ172/X172),IF(CA172=1,IF(AQ172&lt;=0,0,CE172*MAX(1,IF(H172&gt;0,AQ172/H172,1))),IF(R172&gt;0,AR172/R172,0))/MAX(0.1,N(Parameter!$M$21)))</f>
        <v>0.0769230769230769</v>
      </c>
      <c r="AT172" s="62" t="n">
        <f aca="false">AS172*CC172</f>
        <v>11.9230769230769</v>
      </c>
      <c r="AU172" s="63" t="n">
        <f aca="false">IF(LEFT(Cockpit!$I$5,1)="A",H172,IF(CI172=1,(CL172+CJ172)/2,IF(LEFT(Cockpit!$I$5,1)="B",(CL172+AW172)/2,MAX((CL172+AW172)/2,H172))))</f>
        <v>206</v>
      </c>
      <c r="AV172" s="62" t="n">
        <f aca="false">AU172*G172</f>
        <v>2158.88</v>
      </c>
      <c r="AW172" s="62" t="n">
        <f aca="false">ROUNDUP(CL172+MAX(CM172,2*(J172/IF(CH172&gt;0,CH172,MAX(0.1,N(Cockpit!$I$6)))-CL172)),0)</f>
        <v>305</v>
      </c>
      <c r="AX172" s="63" t="n">
        <f aca="false">IF(AT172&gt;0,J172/AT172,-1)</f>
        <v>31.7032258064516</v>
      </c>
      <c r="AY172" s="63" t="n">
        <f aca="false">IF(AND(OR(CG172="L1",CG172="L23",CG172="LIFT"),AT172&gt;0),SUMIFS($AT$7:$AT$1843,$CG$7:$CG$1843,CG172,$AX$7:$AX$1843,"&gt;"&amp;AX172)+SUMIFS($AT$7:$AT$1843,$CG$7:$CG$1843,CG172,$AX$7:$AX$1843,AX172,$BX$7:$BX$1843,"&lt;="&amp;BX172),"")</f>
        <v>1772.29075091575</v>
      </c>
      <c r="AZ172" s="70" t="n">
        <f aca="false">IF(AY172="",0,MAX(0,MIN(1,(IF(CG172="L1",Parameter!$H$5,IF(CG172="L23",Parameter!$H$6+Parameter!$H$7,Parameter!$H$5+Parameter!$H$6+Parameter!$H$7))-(AY172-AT172))/AT172)))</f>
        <v>1</v>
      </c>
      <c r="BA172" s="62" t="n">
        <f aca="false">IF(LEFT(Cockpit!$O$5,1)="A",H172,IF(Parameter!$E$30="MAX-Bestand",IF(CI172=1,CJ172,IF(LEFT(Cockpit!$O$5,1)="B",BG172,MAX(BG172,H172))),ROUNDUP(BE172,0)))</f>
        <v>165</v>
      </c>
      <c r="BB172" s="62" t="n">
        <f aca="false">IF(CA172=1,0,ROUNDUP(BA172/BZ172,0))</f>
        <v>2</v>
      </c>
      <c r="BC172" s="64" t="n">
        <f aca="false">IF(CR172&gt;0,CR172*MAX(1,BA172/X172),IF(CA172=1,IF(BA172&lt;=0,0,CE172*MAX(1,IF(H172&gt;0,BA172/H172,1))),IF(R172&gt;0,BB172/R172,0))/MAX(0.1,N(Parameter!$M$21)))</f>
        <v>0.0769230769230769</v>
      </c>
      <c r="BD172" s="62" t="n">
        <f aca="false">BC172*CC172</f>
        <v>11.9230769230769</v>
      </c>
      <c r="BE172" s="63" t="n">
        <f aca="false">IF(LEFT(Cockpit!$O$5,1)="A",H172,IF(CI172=1,(CL172+CJ172)/2,IF(LEFT(Cockpit!$O$5,1)="B",(CL172+BG172)/2,MAX((CL172+BG172)/2,H172))))</f>
        <v>165</v>
      </c>
      <c r="BF172" s="62" t="n">
        <f aca="false">BE172*G172</f>
        <v>1729.2</v>
      </c>
      <c r="BG172" s="62" t="n">
        <f aca="false">ROUNDUP(CL172+MAX(CM172,2*(J172/IF(CH172&gt;0,CH172,MAX(0.1,N(Cockpit!$O$6)))-CL172)),0)</f>
        <v>305</v>
      </c>
      <c r="BH172" s="63" t="n">
        <f aca="false">IF(BD172&gt;0,J172/BD172,-1)</f>
        <v>31.7032258064516</v>
      </c>
      <c r="BI172" s="63" t="n">
        <f aca="false">IF(AND(OR(CG172="L1",CG172="L23",CG172="LIFT"),BD172&gt;0),SUMIFS($BD$7:$BD$1843,$CG$7:$CG$1843,CG172,$BH$7:$BH$1843,"&gt;"&amp;BH172)+SUMIFS($BD$7:$BD$1843,$CG$7:$CG$1843,CG172,$BH$7:$BH$1843,BH172,$BX$7:$BX$1843,"&lt;="&amp;BX172),"")</f>
        <v>1709.75228937729</v>
      </c>
      <c r="BJ172" s="70" t="n">
        <f aca="false">IF(BI172="",0,MAX(0,MIN(1,(IF(CG172="L1",Parameter!$H$5,IF(CG172="L23",Parameter!$H$6+Parameter!$H$7,Parameter!$H$5+Parameter!$H$6+Parameter!$H$7))-(BI172-BD172))/BD172)))</f>
        <v>1</v>
      </c>
      <c r="BK172" s="60" t="str">
        <f aca="false">IF(AJ172&lt;=0,"",IF(CG172="Aussen","Aussenlager",IF(CG172="-","Nicht im Lift",IF(AP172&gt;=1,"Lift",IF(AP172&lt;=0,"Aussenlager","teilweise")))))</f>
        <v>Lift</v>
      </c>
      <c r="BL172" s="60" t="str">
        <f aca="false">IF(AT172&lt;=0,"",IF(CG172="Aussen","Aussenlager",IF(CG172="-","Nicht im Lift",IF(AZ172&gt;=1,"Lift",IF(AZ172&lt;=0,"Aussenlager","teilweise")))))</f>
        <v>Lift</v>
      </c>
      <c r="BM172" s="60" t="str">
        <f aca="false">IF(BD172&lt;=0,"",IF(CG172="Aussen","Aussenlager",IF(CG172="-","Nicht im Lift",IF(BJ172&gt;=1,"Lift",IF(BJ172&lt;=0,"Aussenlager","teilweise")))))</f>
        <v>Lift</v>
      </c>
      <c r="BN172" s="60" t="str">
        <f aca="false">IF(A172="","",IF(BW172=1,"Neu; ","")&amp;IF(AND(BW172=0,BR172&lt;0),"negativer Bestand (Export "&amp;BR172&amp;"); ","")&amp;IF(J172&lt;=0,"Kein Verbrauch; ","")&amp;IF(CR172&gt;0,"Lift "&amp;W172&amp;" lt. Liftbericht (Fach "&amp;X172&amp;" Stk); ",IF(CB172=1,"Gebinde geschätzt ("&amp;T172&amp;"); ",IF(CA172=1,"Lose – Tablare geschätzt; ","")))&amp;IF(H172&gt;AW172,"Überbestand "&amp;ROUND(H172-AW172,0)&amp;" Stk / CHF "&amp;ROUND((H172-AW172)*G172,0)&amp;"; ","")&amp;IF(AND(CI172=1,CJ172&lt;CK172),"MAX &lt; MB+LG; ","")&amp;IF(AND(CQ172&gt;0,CP172*10&gt;CQ172),"zu hoch für Tablar; ","")&amp;IF(AND(BW172=0,OR(CI172=1,AB172&lt;&gt;"",U172&lt;&gt;"",V172&lt;&gt;"",AC172&lt;&gt;"")),"manuell übersteuert; ","")&amp;IF(AND(CA172=0,R172=0),"Gebinde unbekannt / Stellmass fehlt; ","")&amp;IF(AND(CA172=0,N(V172)&lt;=0,N(Q172)&lt;=0),"Menge pro Gebinde fehlt (Ist = 1 Gebinde); ","")&amp;BV172)</f>
        <v/>
      </c>
      <c r="BO172" s="60"/>
      <c r="BP172" s="60"/>
      <c r="BQ172" s="67"/>
      <c r="BR172" s="62" t="n">
        <v>119</v>
      </c>
      <c r="BS172" s="62" t="n">
        <v>87</v>
      </c>
      <c r="BT172" s="61" t="n">
        <v>1093.13</v>
      </c>
      <c r="BU172" s="62" t="n">
        <v>378</v>
      </c>
      <c r="BV172" s="60"/>
      <c r="BW172" s="65" t="n">
        <v>0</v>
      </c>
      <c r="BX172" s="65" t="n">
        <v>172</v>
      </c>
      <c r="BY172" s="60" t="str">
        <f aca="false">IF(U172&lt;&gt;"",UPPER(TRIM(U172)),IF(CB172=1,UPPER(VLOOKUP(T172,Parameter!$I$27:$K$29,2,0)),IF(P172="","LOSE",P172)))</f>
        <v>S51</v>
      </c>
      <c r="BZ172" s="62" t="n">
        <f aca="false">IF(BY172="LOSE",1,IF(N(V172)&gt;0,V172,IF(CB172=1,MAX(1,N(VLOOKUP(T172,Parameter!$I$27:$K$29,3,0)),H172,N(N172)),IF(N(Q172)&gt;0,Q172,MAX(1,H172)))))</f>
        <v>155</v>
      </c>
      <c r="CA172" s="65" t="n">
        <f aca="false">IF(BY172="LOSE",1,0)</f>
        <v>0</v>
      </c>
      <c r="CB172" s="65" t="n">
        <f aca="false">IF(AND(U172="",OR(P172="",P172="LOSE"),T172&lt;&gt;"",N(S172)&lt;=0,ISNUMBER(MATCH(T172,Parameter!$I$27:$I$29,0))),1,0)</f>
        <v>0</v>
      </c>
      <c r="CC172" s="65" t="n">
        <f aca="false">IF(CR172&gt;0,INDEX(Parameter!$H$5:$H$7,W172)/INDEX(Parameter!$E$5:$E$7,W172),IF(AND(CA172=0,N(IFERROR(VLOOKUP(BY172,'Gebinde-Kategorie'!$A$5:$N$45,14,0),0))&gt;0),VLOOKUP(BY172,'Gebinde-Kategorie'!$A$5:$N$45,14,0)*10+Parameter!$M$23,Parameter!$M$24))</f>
        <v>155</v>
      </c>
      <c r="CD172" s="60" t="str">
        <f aca="false">IF(AND(Parameter!$B$19="Ja",E172&lt;&gt;"",ISNUMBER(MATCH(E172,Parameter!$I$35:$I$52,0))),VLOOKUP(E172,Parameter!$I$35:$J$52,2,0),IFERROR(VLOOKUP(D172,Parameter!$A$35:$C$64,2,0),"Nein"))</f>
        <v>2+3</v>
      </c>
      <c r="CE172" s="64" t="n">
        <f aca="false">IF(CA172=0,0,IF(N(S172)&gt;0,S172,IFERROR(VLOOKUP(D172,Parameter!$A$35:$C$64,3,0)+0,0)))</f>
        <v>0</v>
      </c>
      <c r="CF172" s="60" t="n">
        <f aca="false">IF(AB172&lt;&gt;"",AB172,AA172)</f>
        <v>3</v>
      </c>
      <c r="CG172" s="60" t="str">
        <f aca="false">IF(OR(CF172=1,CF172=2,CF172=3),IF(Parameter!$E$27="Ja","LIFT",IF(CF172=1,"L1","L23")),IF(CF172="Aussen","Aussen","-"))</f>
        <v>LIFT</v>
      </c>
      <c r="CH172" s="71" t="n">
        <f aca="false">IF(N(AC172)&gt;0,AC172,0)</f>
        <v>0</v>
      </c>
      <c r="CI172" s="65" t="n">
        <f aca="false">IF(ISNUMBER(AF172),1,0)</f>
        <v>0</v>
      </c>
      <c r="CJ172" s="62" t="n">
        <f aca="false">N(AF172)</f>
        <v>0</v>
      </c>
      <c r="CK172" s="62" t="n">
        <f aca="false">N(M172)+N(N172)</f>
        <v>305</v>
      </c>
      <c r="CL172" s="62" t="n">
        <f aca="false">N(M172)</f>
        <v>25</v>
      </c>
      <c r="CM172" s="62" t="n">
        <f aca="false">N(N172)</f>
        <v>280</v>
      </c>
      <c r="CN172" s="62" t="n">
        <f aca="false">ROUNDUP(H172/BZ172,0)</f>
        <v>2</v>
      </c>
      <c r="CO172" s="62" t="n">
        <f aca="false">ROUNDUP(CJ172/BZ172,0)</f>
        <v>0</v>
      </c>
      <c r="CP172" s="65" t="n">
        <f aca="false">IF(CA172=1,0,IFERROR(VLOOKUP(BY172,'Gebinde-Kategorie'!$A$5:$N$45,5,0)+0,0))</f>
        <v>11</v>
      </c>
      <c r="CQ172" s="65" t="n">
        <f aca="false">IFERROR(IF(OR(CF172=1,CF172=2,CF172=3),N(INDEX(Parameter!$I$5:$I$7,CF172)),0),0)</f>
        <v>0</v>
      </c>
      <c r="CR172" s="64" t="n">
        <f aca="false">IF(AND(Parameter!$B$21="Ja",ISNUMBER(W172),N(X172)&gt;0),IFERROR(N(INDEX(Parameter!$L$5:$L$7,W172))*INDEX(Parameter!$E$5:$E$7,W172)*X172/SUMIFS($X$7:$X$1843,$W$7:$W$1843,W172),0),0)</f>
        <v>0</v>
      </c>
      <c r="CS172" s="62" t="n">
        <f aca="false">IF(AND(OR(CG172="L1",CG172="L23",CG172="LIFT"),H172&gt;0),CC172*IF(CR172&gt;0,CR172*MAX(1,H172/X172),IF(CA172=1,CE172,IF(R172&gt;0,CN172/R172,0))/MAX(0.1,N(Parameter!$M$21))),"")</f>
        <v>11.9230769230769</v>
      </c>
      <c r="CT172" s="64" t="n">
        <f aca="false">IF(CS172="","",J172/H172)</f>
        <v>1.83495145631068</v>
      </c>
      <c r="CU172" s="62" t="n">
        <f aca="false">IF(CS172="","",H172*G172)</f>
        <v>2158.88</v>
      </c>
      <c r="CV172" s="63" t="n">
        <f aca="false">IF(CS172="","",(CL172+ROUNDUP(CL172+MAX(CM172,2*(J172/MAX(0.1,N(Einkauf!$C$6))-CL172)),0))/2)</f>
        <v>165</v>
      </c>
      <c r="CW172" s="62" t="n">
        <f aca="false">IF(CS172="","",MAX(0,H172-CV172)*G172)</f>
        <v>429.68</v>
      </c>
      <c r="CX172" s="62" t="n">
        <f aca="false">IF(CS172="","",CS172*MAX(0,1-CV172/H172))</f>
        <v>2.37303958177745</v>
      </c>
      <c r="CY172" s="64" t="n">
        <f aca="false">IF(CS172="","",PERCENTRANK($CS$7:$CS$1843,CS172)+PERCENTRANK($CU$7:$CU$1843,CU172)+1-PERCENTRANK($CT$7:$CT$1843,CT172))</f>
        <v>1.617</v>
      </c>
      <c r="CZ172" s="72" t="n">
        <f aca="false">IF(CS172="","",CHOOSE(MATCH(Einkauf!$C$5,Parameter!$G$23:$G$27,0),CY172,CS172,CU172,-CT172,CW172)+ROW()/1000000000)</f>
        <v>1.617000172</v>
      </c>
    </row>
    <row r="173" customFormat="false" ht="15" hidden="false" customHeight="false" outlineLevel="0" collapsed="false">
      <c r="A173" s="60" t="s">
        <v>594</v>
      </c>
      <c r="B173" s="60" t="s">
        <v>595</v>
      </c>
      <c r="C173" s="60" t="s">
        <v>206</v>
      </c>
      <c r="D173" s="60" t="s">
        <v>226</v>
      </c>
      <c r="E173" s="60" t="s">
        <v>227</v>
      </c>
      <c r="F173" s="60" t="s">
        <v>260</v>
      </c>
      <c r="G173" s="61" t="n">
        <v>11.46</v>
      </c>
      <c r="H173" s="62" t="n">
        <f aca="false">MAX(0,IF(AND(Parameter!$B$21="Ja",ISNUMBER(Y173)),Y173,IF(Parameter!$B$20="Jahresanfang 2025 + Export",BS173+BR173,BR173)))</f>
        <v>172</v>
      </c>
      <c r="I173" s="62" t="n">
        <f aca="false">H173*G173</f>
        <v>1971.12</v>
      </c>
      <c r="J173" s="62" t="n">
        <f aca="false">BU173*Parameter!$B$18</f>
        <v>152</v>
      </c>
      <c r="K173" s="63" t="n">
        <v>110</v>
      </c>
      <c r="L173" s="64" t="n">
        <v>1.38181818181818</v>
      </c>
      <c r="M173" s="62" t="n">
        <v>17</v>
      </c>
      <c r="N173" s="62" t="n">
        <v>150</v>
      </c>
      <c r="O173" s="65" t="n">
        <v>42</v>
      </c>
      <c r="P173" s="60" t="s">
        <v>344</v>
      </c>
      <c r="Q173" s="62" t="n">
        <v>122</v>
      </c>
      <c r="R173" s="65" t="n">
        <f aca="false">IF(CA173=1,0,IFERROR(VLOOKUP(BY173,'Gebinde-Kategorie'!$A$5:$N$45,13,0)+0,0))</f>
        <v>26</v>
      </c>
      <c r="S173" s="66"/>
      <c r="T173" s="67"/>
      <c r="U173" s="67"/>
      <c r="V173" s="67"/>
      <c r="W173" s="60"/>
      <c r="X173" s="62"/>
      <c r="Y173" s="62"/>
      <c r="Z173" s="60" t="n">
        <v>3</v>
      </c>
      <c r="AA173" s="60" t="n">
        <f aca="false">IF(A173="","",IF(AND(Parameter!$B$21="Ja",ISNUMBER(W173)),W173,IF(AND(Parameter!$E$27="Ja",ISNUMBER(Z173),CD173&lt;&gt;"Nein"),Z173,IF(CD173="2+3",IF(ISNUMBER(SEARCH("grosser Artikel",BV173)),2,IFERROR(VLOOKUP(BY173,Parameter!$F$35:$G$64,2,0),2)),IF(OR(CD173="Nein",CD173=""),"-",CD173)))))</f>
        <v>3</v>
      </c>
      <c r="AB173" s="67"/>
      <c r="AC173" s="68"/>
      <c r="AD173" s="62" t="n">
        <f aca="false">AW173</f>
        <v>167</v>
      </c>
      <c r="AE173" s="62" t="n">
        <f aca="false">MAX(AW173,H173)</f>
        <v>172</v>
      </c>
      <c r="AF173" s="69"/>
      <c r="AG173" s="62" t="n">
        <f aca="false">IF(LEFT(Cockpit!$C$5,1)="A",H173,IF(Parameter!$E$30="MAX-Bestand",IF(CI173=1,CJ173,IF(LEFT(Cockpit!$C$5,1)="B",AM173,MAX(AM173,H173))),ROUNDUP(AK173,0)))</f>
        <v>172</v>
      </c>
      <c r="AH173" s="62" t="n">
        <f aca="false">IF(CA173=1,0,ROUNDUP(AG173/BZ173,0))</f>
        <v>2</v>
      </c>
      <c r="AI173" s="64" t="n">
        <f aca="false">IF(CR173&gt;0,CR173*MAX(1,AG173/X173),IF(CA173=1,IF(AG173&lt;=0,0,CE173*MAX(1,IF(H173&gt;0,AG173/H173,1))),IF(R173&gt;0,AH173/R173,0))/MAX(0.1,N(Parameter!$M$21)))</f>
        <v>0.0769230769230769</v>
      </c>
      <c r="AJ173" s="62" t="n">
        <f aca="false">AI173*CC173</f>
        <v>11.9230769230769</v>
      </c>
      <c r="AK173" s="63" t="n">
        <f aca="false">IF(LEFT(Cockpit!$C$5,1)="A",H173,IF(CI173=1,(CL173+CJ173)/2,IF(LEFT(Cockpit!$C$5,1)="B",(CL173+AM173)/2,MAX((CL173+AM173)/2,H173))))</f>
        <v>172</v>
      </c>
      <c r="AL173" s="62" t="n">
        <f aca="false">AK173*G173</f>
        <v>1971.12</v>
      </c>
      <c r="AM173" s="62" t="n">
        <f aca="false">ROUNDUP(CL173+MAX(CM173,2*(J173/IF(CH173&gt;0,CH173,MAX(0.1,N(Cockpit!$C$6)))-CL173)),0)</f>
        <v>167</v>
      </c>
      <c r="AN173" s="63" t="n">
        <f aca="false">IF(AJ173&gt;0,J173/AJ173,-1)</f>
        <v>12.7483870967742</v>
      </c>
      <c r="AO173" s="63" t="n">
        <f aca="false">IF(AND(OR(CG173="L1",CG173="L23",CG173="LIFT"),AJ173&gt;0),SUMIFS($AJ$7:$AJ$1843,$CG$7:$CG$1843,CG173,$AN$7:$AN$1843,"&gt;"&amp;AN173)+SUMIFS($AJ$7:$AJ$1843,$CG$7:$CG$1843,CG173,$AN$7:$AN$1843,AN173,$BX$7:$BX$1843,"&lt;="&amp;BX173),"")</f>
        <v>2393.50915750916</v>
      </c>
      <c r="AP173" s="70" t="n">
        <f aca="false">IF(AO173="",0,MAX(0,MIN(1,(IF(CG173="L1",Parameter!$H$5,IF(CG173="L23",Parameter!$H$6+Parameter!$H$7,Parameter!$H$5+Parameter!$H$6+Parameter!$H$7))-(AO173-AJ173))/AJ173)))</f>
        <v>1</v>
      </c>
      <c r="AQ173" s="62" t="n">
        <f aca="false">IF(LEFT(Cockpit!$I$5,1)="A",H173,IF(Parameter!$E$30="MAX-Bestand",IF(CI173=1,CJ173,IF(LEFT(Cockpit!$I$5,1)="B",AW173,MAX(AW173,H173))),ROUNDUP(AU173,0)))</f>
        <v>172</v>
      </c>
      <c r="AR173" s="62" t="n">
        <f aca="false">IF(CA173=1,0,ROUNDUP(AQ173/BZ173,0))</f>
        <v>2</v>
      </c>
      <c r="AS173" s="64" t="n">
        <f aca="false">IF(CR173&gt;0,CR173*MAX(1,AQ173/X173),IF(CA173=1,IF(AQ173&lt;=0,0,CE173*MAX(1,IF(H173&gt;0,AQ173/H173,1))),IF(R173&gt;0,AR173/R173,0))/MAX(0.1,N(Parameter!$M$21)))</f>
        <v>0.0769230769230769</v>
      </c>
      <c r="AT173" s="62" t="n">
        <f aca="false">AS173*CC173</f>
        <v>11.9230769230769</v>
      </c>
      <c r="AU173" s="63" t="n">
        <f aca="false">IF(LEFT(Cockpit!$I$5,1)="A",H173,IF(CI173=1,(CL173+CJ173)/2,IF(LEFT(Cockpit!$I$5,1)="B",(CL173+AW173)/2,MAX((CL173+AW173)/2,H173))))</f>
        <v>172</v>
      </c>
      <c r="AV173" s="62" t="n">
        <f aca="false">AU173*G173</f>
        <v>1971.12</v>
      </c>
      <c r="AW173" s="62" t="n">
        <f aca="false">ROUNDUP(CL173+MAX(CM173,2*(J173/IF(CH173&gt;0,CH173,MAX(0.1,N(Cockpit!$I$6)))-CL173)),0)</f>
        <v>167</v>
      </c>
      <c r="AX173" s="63" t="n">
        <f aca="false">IF(AT173&gt;0,J173/AT173,-1)</f>
        <v>12.7483870967742</v>
      </c>
      <c r="AY173" s="63" t="n">
        <f aca="false">IF(AND(OR(CG173="L1",CG173="L23",CG173="LIFT"),AT173&gt;0),SUMIFS($AT$7:$AT$1843,$CG$7:$CG$1843,CG173,$AX$7:$AX$1843,"&gt;"&amp;AX173)+SUMIFS($AT$7:$AT$1843,$CG$7:$CG$1843,CG173,$AX$7:$AX$1843,AX173,$BX$7:$BX$1843,"&lt;="&amp;BX173),"")</f>
        <v>2982.88827838828</v>
      </c>
      <c r="AZ173" s="70" t="n">
        <f aca="false">IF(AY173="",0,MAX(0,MIN(1,(IF(CG173="L1",Parameter!$H$5,IF(CG173="L23",Parameter!$H$6+Parameter!$H$7,Parameter!$H$5+Parameter!$H$6+Parameter!$H$7))-(AY173-AT173))/AT173)))</f>
        <v>1</v>
      </c>
      <c r="BA173" s="62" t="n">
        <f aca="false">IF(LEFT(Cockpit!$O$5,1)="A",H173,IF(Parameter!$E$30="MAX-Bestand",IF(CI173=1,CJ173,IF(LEFT(Cockpit!$O$5,1)="B",BG173,MAX(BG173,H173))),ROUNDUP(BE173,0)))</f>
        <v>92</v>
      </c>
      <c r="BB173" s="62" t="n">
        <f aca="false">IF(CA173=1,0,ROUNDUP(BA173/BZ173,0))</f>
        <v>1</v>
      </c>
      <c r="BC173" s="64" t="n">
        <f aca="false">IF(CR173&gt;0,CR173*MAX(1,BA173/X173),IF(CA173=1,IF(BA173&lt;=0,0,CE173*MAX(1,IF(H173&gt;0,BA173/H173,1))),IF(R173&gt;0,BB173/R173,0))/MAX(0.1,N(Parameter!$M$21)))</f>
        <v>0.0384615384615385</v>
      </c>
      <c r="BD173" s="62" t="n">
        <f aca="false">BC173*CC173</f>
        <v>5.96153846153846</v>
      </c>
      <c r="BE173" s="63" t="n">
        <f aca="false">IF(LEFT(Cockpit!$O$5,1)="A",H173,IF(CI173=1,(CL173+CJ173)/2,IF(LEFT(Cockpit!$O$5,1)="B",(CL173+BG173)/2,MAX((CL173+BG173)/2,H173))))</f>
        <v>92</v>
      </c>
      <c r="BF173" s="62" t="n">
        <f aca="false">BE173*G173</f>
        <v>1054.32</v>
      </c>
      <c r="BG173" s="62" t="n">
        <f aca="false">ROUNDUP(CL173+MAX(CM173,2*(J173/IF(CH173&gt;0,CH173,MAX(0.1,N(Cockpit!$O$6)))-CL173)),0)</f>
        <v>167</v>
      </c>
      <c r="BH173" s="63" t="n">
        <f aca="false">IF(BD173&gt;0,J173/BD173,-1)</f>
        <v>25.4967741935484</v>
      </c>
      <c r="BI173" s="63" t="n">
        <f aca="false">IF(AND(OR(CG173="L1",CG173="L23",CG173="LIFT"),BD173&gt;0),SUMIFS($BD$7:$BD$1843,$CG$7:$CG$1843,CG173,$BH$7:$BH$1843,"&gt;"&amp;BH173)+SUMIFS($BD$7:$BD$1843,$CG$7:$CG$1843,CG173,$BH$7:$BH$1843,BH173,$BX$7:$BX$1843,"&lt;="&amp;BX173),"")</f>
        <v>2060.37133699634</v>
      </c>
      <c r="BJ173" s="70" t="n">
        <f aca="false">IF(BI173="",0,MAX(0,MIN(1,(IF(CG173="L1",Parameter!$H$5,IF(CG173="L23",Parameter!$H$6+Parameter!$H$7,Parameter!$H$5+Parameter!$H$6+Parameter!$H$7))-(BI173-BD173))/BD173)))</f>
        <v>1</v>
      </c>
      <c r="BK173" s="60" t="str">
        <f aca="false">IF(AJ173&lt;=0,"",IF(CG173="Aussen","Aussenlager",IF(CG173="-","Nicht im Lift",IF(AP173&gt;=1,"Lift",IF(AP173&lt;=0,"Aussenlager","teilweise")))))</f>
        <v>Lift</v>
      </c>
      <c r="BL173" s="60" t="str">
        <f aca="false">IF(AT173&lt;=0,"",IF(CG173="Aussen","Aussenlager",IF(CG173="-","Nicht im Lift",IF(AZ173&gt;=1,"Lift",IF(AZ173&lt;=0,"Aussenlager","teilweise")))))</f>
        <v>Lift</v>
      </c>
      <c r="BM173" s="60" t="str">
        <f aca="false">IF(BD173&lt;=0,"",IF(CG173="Aussen","Aussenlager",IF(CG173="-","Nicht im Lift",IF(BJ173&gt;=1,"Lift",IF(BJ173&lt;=0,"Aussenlager","teilweise")))))</f>
        <v>Lift</v>
      </c>
      <c r="BN173" s="60" t="str">
        <f aca="false">IF(A173="","",IF(BW173=1,"Neu; ","")&amp;IF(AND(BW173=0,BR173&lt;0),"negativer Bestand (Export "&amp;BR173&amp;"); ","")&amp;IF(J173&lt;=0,"Kein Verbrauch; ","")&amp;IF(CR173&gt;0,"Lift "&amp;W173&amp;" lt. Liftbericht (Fach "&amp;X173&amp;" Stk); ",IF(CB173=1,"Gebinde geschätzt ("&amp;T173&amp;"); ",IF(CA173=1,"Lose – Tablare geschätzt; ","")))&amp;IF(H173&gt;AW173,"Überbestand "&amp;ROUND(H173-AW173,0)&amp;" Stk / CHF "&amp;ROUND((H173-AW173)*G173,0)&amp;"; ","")&amp;IF(AND(CI173=1,CJ173&lt;CK173),"MAX &lt; MB+LG; ","")&amp;IF(AND(CQ173&gt;0,CP173*10&gt;CQ173),"zu hoch für Tablar; ","")&amp;IF(AND(BW173=0,OR(CI173=1,AB173&lt;&gt;"",U173&lt;&gt;"",V173&lt;&gt;"",AC173&lt;&gt;"")),"manuell übersteuert; ","")&amp;IF(AND(CA173=0,R173=0),"Gebinde unbekannt / Stellmass fehlt; ","")&amp;IF(AND(CA173=0,N(V173)&lt;=0,N(Q173)&lt;=0),"Menge pro Gebinde fehlt (Ist = 1 Gebinde); ","")&amp;BV173)</f>
        <v>Überbestand 5 Stk / CHF 57; </v>
      </c>
      <c r="BO173" s="60"/>
      <c r="BP173" s="60"/>
      <c r="BQ173" s="67"/>
      <c r="BR173" s="62" t="n">
        <v>84</v>
      </c>
      <c r="BS173" s="62" t="n">
        <v>88</v>
      </c>
      <c r="BT173" s="61" t="n">
        <v>1092</v>
      </c>
      <c r="BU173" s="62" t="n">
        <v>152</v>
      </c>
      <c r="BV173" s="60"/>
      <c r="BW173" s="65" t="n">
        <v>0</v>
      </c>
      <c r="BX173" s="65" t="n">
        <v>173</v>
      </c>
      <c r="BY173" s="60" t="str">
        <f aca="false">IF(U173&lt;&gt;"",UPPER(TRIM(U173)),IF(CB173=1,UPPER(VLOOKUP(T173,Parameter!$I$27:$K$29,2,0)),IF(P173="","LOSE",P173)))</f>
        <v>S51</v>
      </c>
      <c r="BZ173" s="62" t="n">
        <f aca="false">IF(BY173="LOSE",1,IF(N(V173)&gt;0,V173,IF(CB173=1,MAX(1,N(VLOOKUP(T173,Parameter!$I$27:$K$29,3,0)),H173,N(N173)),IF(N(Q173)&gt;0,Q173,MAX(1,H173)))))</f>
        <v>122</v>
      </c>
      <c r="CA173" s="65" t="n">
        <f aca="false">IF(BY173="LOSE",1,0)</f>
        <v>0</v>
      </c>
      <c r="CB173" s="65" t="n">
        <f aca="false">IF(AND(U173="",OR(P173="",P173="LOSE"),T173&lt;&gt;"",N(S173)&lt;=0,ISNUMBER(MATCH(T173,Parameter!$I$27:$I$29,0))),1,0)</f>
        <v>0</v>
      </c>
      <c r="CC173" s="65" t="n">
        <f aca="false">IF(CR173&gt;0,INDEX(Parameter!$H$5:$H$7,W173)/INDEX(Parameter!$E$5:$E$7,W173),IF(AND(CA173=0,N(IFERROR(VLOOKUP(BY173,'Gebinde-Kategorie'!$A$5:$N$45,14,0),0))&gt;0),VLOOKUP(BY173,'Gebinde-Kategorie'!$A$5:$N$45,14,0)*10+Parameter!$M$23,Parameter!$M$24))</f>
        <v>155</v>
      </c>
      <c r="CD173" s="60" t="str">
        <f aca="false">IF(AND(Parameter!$B$19="Ja",E173&lt;&gt;"",ISNUMBER(MATCH(E173,Parameter!$I$35:$I$52,0))),VLOOKUP(E173,Parameter!$I$35:$J$52,2,0),IFERROR(VLOOKUP(D173,Parameter!$A$35:$C$64,2,0),"Nein"))</f>
        <v>2+3</v>
      </c>
      <c r="CE173" s="64" t="n">
        <f aca="false">IF(CA173=0,0,IF(N(S173)&gt;0,S173,IFERROR(VLOOKUP(D173,Parameter!$A$35:$C$64,3,0)+0,0)))</f>
        <v>0</v>
      </c>
      <c r="CF173" s="60" t="n">
        <f aca="false">IF(AB173&lt;&gt;"",AB173,AA173)</f>
        <v>3</v>
      </c>
      <c r="CG173" s="60" t="str">
        <f aca="false">IF(OR(CF173=1,CF173=2,CF173=3),IF(Parameter!$E$27="Ja","LIFT",IF(CF173=1,"L1","L23")),IF(CF173="Aussen","Aussen","-"))</f>
        <v>LIFT</v>
      </c>
      <c r="CH173" s="71" t="n">
        <f aca="false">IF(N(AC173)&gt;0,AC173,0)</f>
        <v>0</v>
      </c>
      <c r="CI173" s="65" t="n">
        <f aca="false">IF(ISNUMBER(AF173),1,0)</f>
        <v>0</v>
      </c>
      <c r="CJ173" s="62" t="n">
        <f aca="false">N(AF173)</f>
        <v>0</v>
      </c>
      <c r="CK173" s="62" t="n">
        <f aca="false">N(M173)+N(N173)</f>
        <v>167</v>
      </c>
      <c r="CL173" s="62" t="n">
        <f aca="false">N(M173)</f>
        <v>17</v>
      </c>
      <c r="CM173" s="62" t="n">
        <f aca="false">N(N173)</f>
        <v>150</v>
      </c>
      <c r="CN173" s="62" t="n">
        <f aca="false">ROUNDUP(H173/BZ173,0)</f>
        <v>2</v>
      </c>
      <c r="CO173" s="62" t="n">
        <f aca="false">ROUNDUP(CJ173/BZ173,0)</f>
        <v>0</v>
      </c>
      <c r="CP173" s="65" t="n">
        <f aca="false">IF(CA173=1,0,IFERROR(VLOOKUP(BY173,'Gebinde-Kategorie'!$A$5:$N$45,5,0)+0,0))</f>
        <v>11</v>
      </c>
      <c r="CQ173" s="65" t="n">
        <f aca="false">IFERROR(IF(OR(CF173=1,CF173=2,CF173=3),N(INDEX(Parameter!$I$5:$I$7,CF173)),0),0)</f>
        <v>0</v>
      </c>
      <c r="CR173" s="64" t="n">
        <f aca="false">IF(AND(Parameter!$B$21="Ja",ISNUMBER(W173),N(X173)&gt;0),IFERROR(N(INDEX(Parameter!$L$5:$L$7,W173))*INDEX(Parameter!$E$5:$E$7,W173)*X173/SUMIFS($X$7:$X$1843,$W$7:$W$1843,W173),0),0)</f>
        <v>0</v>
      </c>
      <c r="CS173" s="62" t="n">
        <f aca="false">IF(AND(OR(CG173="L1",CG173="L23",CG173="LIFT"),H173&gt;0),CC173*IF(CR173&gt;0,CR173*MAX(1,H173/X173),IF(CA173=1,CE173,IF(R173&gt;0,CN173/R173,0))/MAX(0.1,N(Parameter!$M$21))),"")</f>
        <v>11.9230769230769</v>
      </c>
      <c r="CT173" s="64" t="n">
        <f aca="false">IF(CS173="","",J173/H173)</f>
        <v>0.883720930232558</v>
      </c>
      <c r="CU173" s="62" t="n">
        <f aca="false">IF(CS173="","",H173*G173)</f>
        <v>1971.12</v>
      </c>
      <c r="CV173" s="63" t="n">
        <f aca="false">IF(CS173="","",(CL173+ROUNDUP(CL173+MAX(CM173,2*(J173/MAX(0.1,N(Einkauf!$C$6))-CL173)),0))/2)</f>
        <v>92</v>
      </c>
      <c r="CW173" s="62" t="n">
        <f aca="false">IF(CS173="","",MAX(0,H173-CV173)*G173)</f>
        <v>916.8</v>
      </c>
      <c r="CX173" s="62" t="n">
        <f aca="false">IF(CS173="","",CS173*MAX(0,1-CV173/H173))</f>
        <v>5.54561717352415</v>
      </c>
      <c r="CY173" s="64" t="n">
        <f aca="false">IF(CS173="","",PERCENTRANK($CS$7:$CS$1843,CS173)+PERCENTRANK($CU$7:$CU$1843,CU173)+1-PERCENTRANK($CT$7:$CT$1843,CT173))</f>
        <v>1.79</v>
      </c>
      <c r="CZ173" s="72" t="n">
        <f aca="false">IF(CS173="","",CHOOSE(MATCH(Einkauf!$C$5,Parameter!$G$23:$G$27,0),CY173,CS173,CU173,-CT173,CW173)+ROW()/1000000000)</f>
        <v>1.790000173</v>
      </c>
    </row>
    <row r="174" customFormat="false" ht="15" hidden="false" customHeight="false" outlineLevel="0" collapsed="false">
      <c r="A174" s="60" t="s">
        <v>596</v>
      </c>
      <c r="B174" s="60" t="s">
        <v>597</v>
      </c>
      <c r="C174" s="60" t="s">
        <v>206</v>
      </c>
      <c r="D174" s="60" t="s">
        <v>215</v>
      </c>
      <c r="E174" s="60"/>
      <c r="F174" s="60" t="s">
        <v>260</v>
      </c>
      <c r="G174" s="61" t="n">
        <v>533.7</v>
      </c>
      <c r="H174" s="62" t="n">
        <f aca="false">MAX(0,IF(AND(Parameter!$B$21="Ja",ISNUMBER(Y174)),Y174,IF(Parameter!$B$20="Jahresanfang 2025 + Export",BS174+BR174,BR174)))</f>
        <v>2</v>
      </c>
      <c r="I174" s="62" t="n">
        <f aca="false">H174*G174</f>
        <v>1067.4</v>
      </c>
      <c r="J174" s="62" t="n">
        <f aca="false">BU174*Parameter!$B$18</f>
        <v>0</v>
      </c>
      <c r="K174" s="63" t="n">
        <v>0</v>
      </c>
      <c r="L174" s="64" t="n">
        <v>0</v>
      </c>
      <c r="M174" s="62" t="n">
        <v>0</v>
      </c>
      <c r="N174" s="62" t="n">
        <v>1</v>
      </c>
      <c r="O174" s="65" t="n">
        <v>28</v>
      </c>
      <c r="P174" s="60" t="s">
        <v>210</v>
      </c>
      <c r="Q174" s="62"/>
      <c r="R174" s="65" t="n">
        <f aca="false">IF(CA174=1,0,IFERROR(VLOOKUP(BY174,'Gebinde-Kategorie'!$A$5:$N$45,13,0)+0,0))</f>
        <v>12</v>
      </c>
      <c r="S174" s="66"/>
      <c r="T174" s="67" t="s">
        <v>221</v>
      </c>
      <c r="U174" s="67"/>
      <c r="V174" s="67"/>
      <c r="W174" s="60"/>
      <c r="X174" s="62"/>
      <c r="Y174" s="62"/>
      <c r="Z174" s="60" t="n">
        <v>3</v>
      </c>
      <c r="AA174" s="60" t="n">
        <f aca="false">IF(A174="","",IF(AND(Parameter!$B$21="Ja",ISNUMBER(W174)),W174,IF(AND(Parameter!$E$27="Ja",ISNUMBER(Z174),CD174&lt;&gt;"Nein"),Z174,IF(CD174="2+3",IF(ISNUMBER(SEARCH("grosser Artikel",BV174)),2,IFERROR(VLOOKUP(BY174,Parameter!$F$35:$G$64,2,0),2)),IF(OR(CD174="Nein",CD174=""),"-",CD174)))))</f>
        <v>3</v>
      </c>
      <c r="AB174" s="67"/>
      <c r="AC174" s="68"/>
      <c r="AD174" s="62" t="n">
        <f aca="false">AW174</f>
        <v>1</v>
      </c>
      <c r="AE174" s="62" t="n">
        <f aca="false">MAX(AW174,H174)</f>
        <v>2</v>
      </c>
      <c r="AF174" s="69"/>
      <c r="AG174" s="62" t="n">
        <f aca="false">IF(LEFT(Cockpit!$C$5,1)="A",H174,IF(Parameter!$E$30="MAX-Bestand",IF(CI174=1,CJ174,IF(LEFT(Cockpit!$C$5,1)="B",AM174,MAX(AM174,H174))),ROUNDUP(AK174,0)))</f>
        <v>2</v>
      </c>
      <c r="AH174" s="62" t="n">
        <f aca="false">IF(CA174=1,0,ROUNDUP(AG174/BZ174,0))</f>
        <v>1</v>
      </c>
      <c r="AI174" s="64" t="n">
        <f aca="false">IF(CR174&gt;0,CR174*MAX(1,AG174/X174),IF(CA174=1,IF(AG174&lt;=0,0,CE174*MAX(1,IF(H174&gt;0,AG174/H174,1))),IF(R174&gt;0,AH174/R174,0))/MAX(0.1,N(Parameter!$M$21)))</f>
        <v>0.0833333333333333</v>
      </c>
      <c r="AJ174" s="62" t="n">
        <f aca="false">AI174*CC174</f>
        <v>12.0833333333333</v>
      </c>
      <c r="AK174" s="63" t="n">
        <f aca="false">IF(LEFT(Cockpit!$C$5,1)="A",H174,IF(CI174=1,(CL174+CJ174)/2,IF(LEFT(Cockpit!$C$5,1)="B",(CL174+AM174)/2,MAX((CL174+AM174)/2,H174))))</f>
        <v>2</v>
      </c>
      <c r="AL174" s="62" t="n">
        <f aca="false">AK174*G174</f>
        <v>1067.4</v>
      </c>
      <c r="AM174" s="62" t="n">
        <f aca="false">ROUNDUP(CL174+MAX(CM174,2*(J174/IF(CH174&gt;0,CH174,MAX(0.1,N(Cockpit!$C$6)))-CL174)),0)</f>
        <v>1</v>
      </c>
      <c r="AN174" s="63" t="n">
        <f aca="false">IF(AJ174&gt;0,J174/AJ174,-1)</f>
        <v>0</v>
      </c>
      <c r="AO174" s="63" t="n">
        <f aca="false">IF(AND(OR(CG174="L1",CG174="L23",CG174="LIFT"),AJ174&gt;0),SUMIFS($AJ$7:$AJ$1843,$CG$7:$CG$1843,CG174,$AN$7:$AN$1843,"&gt;"&amp;AN174)+SUMIFS($AJ$7:$AJ$1843,$CG$7:$CG$1843,CG174,$AN$7:$AN$1843,AN174,$BX$7:$BX$1843,"&lt;="&amp;BX174),"")</f>
        <v>27439.2895454357</v>
      </c>
      <c r="AP174" s="70" t="n">
        <f aca="false">IF(AO174="",0,MAX(0,MIN(1,(IF(CG174="L1",Parameter!$H$5,IF(CG174="L23",Parameter!$H$6+Parameter!$H$7,Parameter!$H$5+Parameter!$H$6+Parameter!$H$7))-(AO174-AJ174))/AJ174)))</f>
        <v>1</v>
      </c>
      <c r="AQ174" s="62" t="n">
        <f aca="false">IF(LEFT(Cockpit!$I$5,1)="A",H174,IF(Parameter!$E$30="MAX-Bestand",IF(CI174=1,CJ174,IF(LEFT(Cockpit!$I$5,1)="B",AW174,MAX(AW174,H174))),ROUNDUP(AU174,0)))</f>
        <v>2</v>
      </c>
      <c r="AR174" s="62" t="n">
        <f aca="false">IF(CA174=1,0,ROUNDUP(AQ174/BZ174,0))</f>
        <v>1</v>
      </c>
      <c r="AS174" s="64" t="n">
        <f aca="false">IF(CR174&gt;0,CR174*MAX(1,AQ174/X174),IF(CA174=1,IF(AQ174&lt;=0,0,CE174*MAX(1,IF(H174&gt;0,AQ174/H174,1))),IF(R174&gt;0,AR174/R174,0))/MAX(0.1,N(Parameter!$M$21)))</f>
        <v>0.0833333333333333</v>
      </c>
      <c r="AT174" s="62" t="n">
        <f aca="false">AS174*CC174</f>
        <v>12.0833333333333</v>
      </c>
      <c r="AU174" s="63" t="n">
        <f aca="false">IF(LEFT(Cockpit!$I$5,1)="A",H174,IF(CI174=1,(CL174+CJ174)/2,IF(LEFT(Cockpit!$I$5,1)="B",(CL174+AW174)/2,MAX((CL174+AW174)/2,H174))))</f>
        <v>2</v>
      </c>
      <c r="AV174" s="62" t="n">
        <f aca="false">AU174*G174</f>
        <v>1067.4</v>
      </c>
      <c r="AW174" s="62" t="n">
        <f aca="false">ROUNDUP(CL174+MAX(CM174,2*(J174/IF(CH174&gt;0,CH174,MAX(0.1,N(Cockpit!$I$6)))-CL174)),0)</f>
        <v>1</v>
      </c>
      <c r="AX174" s="63" t="n">
        <f aca="false">IF(AT174&gt;0,J174/AT174,-1)</f>
        <v>0</v>
      </c>
      <c r="AY174" s="63" t="n">
        <f aca="false">IF(AND(OR(CG174="L1",CG174="L23",CG174="LIFT"),AT174&gt;0),SUMIFS($AT$7:$AT$1843,$CG$7:$CG$1843,CG174,$AX$7:$AX$1843,"&gt;"&amp;AX174)+SUMIFS($AT$7:$AT$1843,$CG$7:$CG$1843,CG174,$AX$7:$AX$1843,AX174,$BX$7:$BX$1843,"&lt;="&amp;BX174),"")</f>
        <v>32792.4381868132</v>
      </c>
      <c r="AZ174" s="70" t="n">
        <f aca="false">IF(AY174="",0,MAX(0,MIN(1,(IF(CG174="L1",Parameter!$H$5,IF(CG174="L23",Parameter!$H$6+Parameter!$H$7,Parameter!$H$5+Parameter!$H$6+Parameter!$H$7))-(AY174-AT174))/AT174)))</f>
        <v>1</v>
      </c>
      <c r="BA174" s="62" t="n">
        <f aca="false">IF(LEFT(Cockpit!$O$5,1)="A",H174,IF(Parameter!$E$30="MAX-Bestand",IF(CI174=1,CJ174,IF(LEFT(Cockpit!$O$5,1)="B",BG174,MAX(BG174,H174))),ROUNDUP(BE174,0)))</f>
        <v>1</v>
      </c>
      <c r="BB174" s="62" t="n">
        <f aca="false">IF(CA174=1,0,ROUNDUP(BA174/BZ174,0))</f>
        <v>1</v>
      </c>
      <c r="BC174" s="64" t="n">
        <f aca="false">IF(CR174&gt;0,CR174*MAX(1,BA174/X174),IF(CA174=1,IF(BA174&lt;=0,0,CE174*MAX(1,IF(H174&gt;0,BA174/H174,1))),IF(R174&gt;0,BB174/R174,0))/MAX(0.1,N(Parameter!$M$21)))</f>
        <v>0.0833333333333333</v>
      </c>
      <c r="BD174" s="62" t="n">
        <f aca="false">BC174*CC174</f>
        <v>12.0833333333333</v>
      </c>
      <c r="BE174" s="63" t="n">
        <f aca="false">IF(LEFT(Cockpit!$O$5,1)="A",H174,IF(CI174=1,(CL174+CJ174)/2,IF(LEFT(Cockpit!$O$5,1)="B",(CL174+BG174)/2,MAX((CL174+BG174)/2,H174))))</f>
        <v>0.5</v>
      </c>
      <c r="BF174" s="62" t="n">
        <f aca="false">BE174*G174</f>
        <v>266.85</v>
      </c>
      <c r="BG174" s="62" t="n">
        <f aca="false">ROUNDUP(CL174+MAX(CM174,2*(J174/IF(CH174&gt;0,CH174,MAX(0.1,N(Cockpit!$O$6)))-CL174)),0)</f>
        <v>1</v>
      </c>
      <c r="BH174" s="63" t="n">
        <f aca="false">IF(BD174&gt;0,J174/BD174,-1)</f>
        <v>0</v>
      </c>
      <c r="BI174" s="63" t="n">
        <f aca="false">IF(AND(OR(CG174="L1",CG174="L23",CG174="LIFT"),BD174&gt;0),SUMIFS($BD$7:$BD$1843,$CG$7:$CG$1843,CG174,$BH$7:$BH$1843,"&gt;"&amp;BH174)+SUMIFS($BD$7:$BD$1843,$CG$7:$CG$1843,CG174,$BH$7:$BH$1843,BH174,$BX$7:$BX$1843,"&lt;="&amp;BX174),"")</f>
        <v>26956.6802865214</v>
      </c>
      <c r="BJ174" s="70" t="n">
        <f aca="false">IF(BI174="",0,MAX(0,MIN(1,(IF(CG174="L1",Parameter!$H$5,IF(CG174="L23",Parameter!$H$6+Parameter!$H$7,Parameter!$H$5+Parameter!$H$6+Parameter!$H$7))-(BI174-BD174))/BD174)))</f>
        <v>1</v>
      </c>
      <c r="BK174" s="60" t="str">
        <f aca="false">IF(AJ174&lt;=0,"",IF(CG174="Aussen","Aussenlager",IF(CG174="-","Nicht im Lift",IF(AP174&gt;=1,"Lift",IF(AP174&lt;=0,"Aussenlager","teilweise")))))</f>
        <v>Lift</v>
      </c>
      <c r="BL174" s="60" t="str">
        <f aca="false">IF(AT174&lt;=0,"",IF(CG174="Aussen","Aussenlager",IF(CG174="-","Nicht im Lift",IF(AZ174&gt;=1,"Lift",IF(AZ174&lt;=0,"Aussenlager","teilweise")))))</f>
        <v>Lift</v>
      </c>
      <c r="BM174" s="60" t="str">
        <f aca="false">IF(BD174&lt;=0,"",IF(CG174="Aussen","Aussenlager",IF(CG174="-","Nicht im Lift",IF(BJ174&gt;=1,"Lift",IF(BJ174&lt;=0,"Aussenlager","teilweise")))))</f>
        <v>Lift</v>
      </c>
      <c r="BN174" s="60" t="str">
        <f aca="false">IF(A174="","",IF(BW174=1,"Neu; ","")&amp;IF(AND(BW174=0,BR174&lt;0),"negativer Bestand (Export "&amp;BR174&amp;"); ","")&amp;IF(J174&lt;=0,"Kein Verbrauch; ","")&amp;IF(CR174&gt;0,"Lift "&amp;W174&amp;" lt. Liftbericht (Fach "&amp;X174&amp;" Stk); ",IF(CB174=1,"Gebinde geschätzt ("&amp;T174&amp;"); ",IF(CA174=1,"Lose – Tablare geschätzt; ","")))&amp;IF(H174&gt;AW174,"Überbestand "&amp;ROUND(H174-AW174,0)&amp;" Stk / CHF "&amp;ROUND((H174-AW174)*G174,0)&amp;"; ","")&amp;IF(AND(CI174=1,CJ174&lt;CK174),"MAX &lt; MB+LG; ","")&amp;IF(AND(CQ174&gt;0,CP174*10&gt;CQ174),"zu hoch für Tablar; ","")&amp;IF(AND(BW174=0,OR(CI174=1,AB174&lt;&gt;"",U174&lt;&gt;"",V174&lt;&gt;"",AC174&lt;&gt;"")),"manuell übersteuert; ","")&amp;IF(AND(CA174=0,R174=0),"Gebinde unbekannt / Stellmass fehlt; ","")&amp;IF(AND(CA174=0,N(V174)&lt;=0,N(Q174)&lt;=0),"Menge pro Gebinde fehlt (Ist = 1 Gebinde); ","")&amp;BV174)</f>
        <v>Kein Verbrauch; Gebinde geschätzt (Mittel); Überbestand 1 Stk / CHF 534; Menge pro Gebinde fehlt (Ist = 1 Gebinde); </v>
      </c>
      <c r="BO174" s="60"/>
      <c r="BP174" s="60"/>
      <c r="BQ174" s="67"/>
      <c r="BR174" s="62" t="n">
        <v>2</v>
      </c>
      <c r="BS174" s="62" t="n">
        <v>0</v>
      </c>
      <c r="BT174" s="61" t="n">
        <v>1067.4</v>
      </c>
      <c r="BU174" s="62" t="n">
        <v>0</v>
      </c>
      <c r="BV174" s="60"/>
      <c r="BW174" s="65" t="n">
        <v>0</v>
      </c>
      <c r="BX174" s="65" t="n">
        <v>174</v>
      </c>
      <c r="BY174" s="60" t="str">
        <f aca="false">IF(U174&lt;&gt;"",UPPER(TRIM(U174)),IF(CB174=1,UPPER(VLOOKUP(T174,Parameter!$I$27:$K$29,2,0)),IF(P174="","LOSE",P174)))</f>
        <v>S61</v>
      </c>
      <c r="BZ174" s="62" t="n">
        <f aca="false">IF(BY174="LOSE",1,IF(N(V174)&gt;0,V174,IF(CB174=1,MAX(1,N(VLOOKUP(T174,Parameter!$I$27:$K$29,3,0)),H174,N(N174)),IF(N(Q174)&gt;0,Q174,MAX(1,H174)))))</f>
        <v>4</v>
      </c>
      <c r="CA174" s="65" t="n">
        <f aca="false">IF(BY174="LOSE",1,0)</f>
        <v>0</v>
      </c>
      <c r="CB174" s="65" t="n">
        <f aca="false">IF(AND(U174="",OR(P174="",P174="LOSE"),T174&lt;&gt;"",N(S174)&lt;=0,ISNUMBER(MATCH(T174,Parameter!$I$27:$I$29,0))),1,0)</f>
        <v>1</v>
      </c>
      <c r="CC174" s="65" t="n">
        <f aca="false">IF(CR174&gt;0,INDEX(Parameter!$H$5:$H$7,W174)/INDEX(Parameter!$E$5:$E$7,W174),IF(AND(CA174=0,N(IFERROR(VLOOKUP(BY174,'Gebinde-Kategorie'!$A$5:$N$45,14,0),0))&gt;0),VLOOKUP(BY174,'Gebinde-Kategorie'!$A$5:$N$45,14,0)*10+Parameter!$M$23,Parameter!$M$24))</f>
        <v>145</v>
      </c>
      <c r="CD174" s="60" t="str">
        <f aca="false">IF(AND(Parameter!$B$19="Ja",E174&lt;&gt;"",ISNUMBER(MATCH(E174,Parameter!$I$35:$I$52,0))),VLOOKUP(E174,Parameter!$I$35:$J$52,2,0),IFERROR(VLOOKUP(D174,Parameter!$A$35:$C$64,2,0),"Nein"))</f>
        <v>2+3</v>
      </c>
      <c r="CE174" s="64" t="n">
        <f aca="false">IF(CA174=0,0,IF(N(S174)&gt;0,S174,IFERROR(VLOOKUP(D174,Parameter!$A$35:$C$64,3,0)+0,0)))</f>
        <v>0</v>
      </c>
      <c r="CF174" s="60" t="n">
        <f aca="false">IF(AB174&lt;&gt;"",AB174,AA174)</f>
        <v>3</v>
      </c>
      <c r="CG174" s="60" t="str">
        <f aca="false">IF(OR(CF174=1,CF174=2,CF174=3),IF(Parameter!$E$27="Ja","LIFT",IF(CF174=1,"L1","L23")),IF(CF174="Aussen","Aussen","-"))</f>
        <v>LIFT</v>
      </c>
      <c r="CH174" s="71" t="n">
        <f aca="false">IF(N(AC174)&gt;0,AC174,0)</f>
        <v>0</v>
      </c>
      <c r="CI174" s="65" t="n">
        <f aca="false">IF(ISNUMBER(AF174),1,0)</f>
        <v>0</v>
      </c>
      <c r="CJ174" s="62" t="n">
        <f aca="false">N(AF174)</f>
        <v>0</v>
      </c>
      <c r="CK174" s="62" t="n">
        <f aca="false">N(M174)+N(N174)</f>
        <v>1</v>
      </c>
      <c r="CL174" s="62" t="n">
        <f aca="false">N(M174)</f>
        <v>0</v>
      </c>
      <c r="CM174" s="62" t="n">
        <f aca="false">N(N174)</f>
        <v>1</v>
      </c>
      <c r="CN174" s="62" t="n">
        <f aca="false">ROUNDUP(H174/BZ174,0)</f>
        <v>1</v>
      </c>
      <c r="CO174" s="62" t="n">
        <f aca="false">ROUNDUP(CJ174/BZ174,0)</f>
        <v>0</v>
      </c>
      <c r="CP174" s="65" t="n">
        <f aca="false">IF(CA174=1,0,IFERROR(VLOOKUP(BY174,'Gebinde-Kategorie'!$A$5:$N$45,5,0)+0,0))</f>
        <v>11</v>
      </c>
      <c r="CQ174" s="65" t="n">
        <f aca="false">IFERROR(IF(OR(CF174=1,CF174=2,CF174=3),N(INDEX(Parameter!$I$5:$I$7,CF174)),0),0)</f>
        <v>0</v>
      </c>
      <c r="CR174" s="64" t="n">
        <f aca="false">IF(AND(Parameter!$B$21="Ja",ISNUMBER(W174),N(X174)&gt;0),IFERROR(N(INDEX(Parameter!$L$5:$L$7,W174))*INDEX(Parameter!$E$5:$E$7,W174)*X174/SUMIFS($X$7:$X$1843,$W$7:$W$1843,W174),0),0)</f>
        <v>0</v>
      </c>
      <c r="CS174" s="62" t="n">
        <f aca="false">IF(AND(OR(CG174="L1",CG174="L23",CG174="LIFT"),H174&gt;0),CC174*IF(CR174&gt;0,CR174*MAX(1,H174/X174),IF(CA174=1,CE174,IF(R174&gt;0,CN174/R174,0))/MAX(0.1,N(Parameter!$M$21))),"")</f>
        <v>12.0833333333333</v>
      </c>
      <c r="CT174" s="64" t="n">
        <f aca="false">IF(CS174="","",J174/H174)</f>
        <v>0</v>
      </c>
      <c r="CU174" s="62" t="n">
        <f aca="false">IF(CS174="","",H174*G174)</f>
        <v>1067.4</v>
      </c>
      <c r="CV174" s="63" t="n">
        <f aca="false">IF(CS174="","",(CL174+ROUNDUP(CL174+MAX(CM174,2*(J174/MAX(0.1,N(Einkauf!$C$6))-CL174)),0))/2)</f>
        <v>0.5</v>
      </c>
      <c r="CW174" s="62" t="n">
        <f aca="false">IF(CS174="","",MAX(0,H174-CV174)*G174)</f>
        <v>800.55</v>
      </c>
      <c r="CX174" s="62" t="n">
        <f aca="false">IF(CS174="","",CS174*MAX(0,1-CV174/H174))</f>
        <v>9.0625</v>
      </c>
      <c r="CY174" s="64" t="n">
        <f aca="false">IF(CS174="","",PERCENTRANK($CS$7:$CS$1843,CS174)+PERCENTRANK($CU$7:$CU$1843,CU174)+1-PERCENTRANK($CT$7:$CT$1843,CT174))</f>
        <v>2.32</v>
      </c>
      <c r="CZ174" s="72" t="n">
        <f aca="false">IF(CS174="","",CHOOSE(MATCH(Einkauf!$C$5,Parameter!$G$23:$G$27,0),CY174,CS174,CU174,-CT174,CW174)+ROW()/1000000000)</f>
        <v>2.320000174</v>
      </c>
    </row>
    <row r="175" customFormat="false" ht="15" hidden="false" customHeight="false" outlineLevel="0" collapsed="false">
      <c r="A175" s="60" t="s">
        <v>598</v>
      </c>
      <c r="B175" s="60" t="s">
        <v>599</v>
      </c>
      <c r="C175" s="60" t="s">
        <v>206</v>
      </c>
      <c r="D175" s="60" t="s">
        <v>226</v>
      </c>
      <c r="E175" s="60" t="s">
        <v>227</v>
      </c>
      <c r="F175" s="60" t="s">
        <v>260</v>
      </c>
      <c r="G175" s="61" t="n">
        <v>9.07</v>
      </c>
      <c r="H175" s="62" t="n">
        <f aca="false">MAX(0,IF(AND(Parameter!$B$21="Ja",ISNUMBER(Y175)),Y175,IF(Parameter!$B$20="Jahresanfang 2025 + Export",BS175+BR175,BR175)))</f>
        <v>207</v>
      </c>
      <c r="I175" s="62" t="n">
        <f aca="false">H175*G175</f>
        <v>1877.49</v>
      </c>
      <c r="J175" s="62" t="n">
        <f aca="false">BU175*Parameter!$B$18</f>
        <v>178</v>
      </c>
      <c r="K175" s="63" t="n">
        <v>76.5</v>
      </c>
      <c r="L175" s="64" t="n">
        <v>2.32679738562092</v>
      </c>
      <c r="M175" s="62" t="n">
        <v>13</v>
      </c>
      <c r="N175" s="62" t="n">
        <v>180</v>
      </c>
      <c r="O175" s="65" t="n">
        <v>28</v>
      </c>
      <c r="P175" s="60" t="s">
        <v>228</v>
      </c>
      <c r="Q175" s="62" t="n">
        <v>90</v>
      </c>
      <c r="R175" s="65" t="n">
        <f aca="false">IF(CA175=1,0,IFERROR(VLOOKUP(BY175,'Gebinde-Kategorie'!$A$5:$N$45,13,0)+0,0))</f>
        <v>12</v>
      </c>
      <c r="S175" s="66"/>
      <c r="T175" s="67"/>
      <c r="U175" s="67"/>
      <c r="V175" s="67"/>
      <c r="W175" s="60"/>
      <c r="X175" s="62"/>
      <c r="Y175" s="62"/>
      <c r="Z175" s="60" t="n">
        <v>3</v>
      </c>
      <c r="AA175" s="60" t="n">
        <f aca="false">IF(A175="","",IF(AND(Parameter!$B$21="Ja",ISNUMBER(W175)),W175,IF(AND(Parameter!$E$27="Ja",ISNUMBER(Z175),CD175&lt;&gt;"Nein"),Z175,IF(CD175="2+3",IF(ISNUMBER(SEARCH("grosser Artikel",BV175)),2,IFERROR(VLOOKUP(BY175,Parameter!$F$35:$G$64,2,0),2)),IF(OR(CD175="Nein",CD175=""),"-",CD175)))))</f>
        <v>3</v>
      </c>
      <c r="AB175" s="67"/>
      <c r="AC175" s="68"/>
      <c r="AD175" s="62" t="n">
        <f aca="false">AW175</f>
        <v>193</v>
      </c>
      <c r="AE175" s="62" t="n">
        <f aca="false">MAX(AW175,H175)</f>
        <v>207</v>
      </c>
      <c r="AF175" s="69"/>
      <c r="AG175" s="62" t="n">
        <f aca="false">IF(LEFT(Cockpit!$C$5,1)="A",H175,IF(Parameter!$E$30="MAX-Bestand",IF(CI175=1,CJ175,IF(LEFT(Cockpit!$C$5,1)="B",AM175,MAX(AM175,H175))),ROUNDUP(AK175,0)))</f>
        <v>207</v>
      </c>
      <c r="AH175" s="62" t="n">
        <f aca="false">IF(CA175=1,0,ROUNDUP(AG175/BZ175,0))</f>
        <v>3</v>
      </c>
      <c r="AI175" s="64" t="n">
        <f aca="false">IF(CR175&gt;0,CR175*MAX(1,AG175/X175),IF(CA175=1,IF(AG175&lt;=0,0,CE175*MAX(1,IF(H175&gt;0,AG175/H175,1))),IF(R175&gt;0,AH175/R175,0))/MAX(0.1,N(Parameter!$M$21)))</f>
        <v>0.25</v>
      </c>
      <c r="AJ175" s="62" t="n">
        <f aca="false">AI175*CC175</f>
        <v>36.25</v>
      </c>
      <c r="AK175" s="63" t="n">
        <f aca="false">IF(LEFT(Cockpit!$C$5,1)="A",H175,IF(CI175=1,(CL175+CJ175)/2,IF(LEFT(Cockpit!$C$5,1)="B",(CL175+AM175)/2,MAX((CL175+AM175)/2,H175))))</f>
        <v>207</v>
      </c>
      <c r="AL175" s="62" t="n">
        <f aca="false">AK175*G175</f>
        <v>1877.49</v>
      </c>
      <c r="AM175" s="62" t="n">
        <f aca="false">ROUNDUP(CL175+MAX(CM175,2*(J175/IF(CH175&gt;0,CH175,MAX(0.1,N(Cockpit!$C$6)))-CL175)),0)</f>
        <v>193</v>
      </c>
      <c r="AN175" s="63" t="n">
        <f aca="false">IF(AJ175&gt;0,J175/AJ175,-1)</f>
        <v>4.91034482758621</v>
      </c>
      <c r="AO175" s="63" t="n">
        <f aca="false">IF(AND(OR(CG175="L1",CG175="L23",CG175="LIFT"),AJ175&gt;0),SUMIFS($AJ$7:$AJ$1843,$CG$7:$CG$1843,CG175,$AN$7:$AN$1843,"&gt;"&amp;AN175)+SUMIFS($AJ$7:$AJ$1843,$CG$7:$CG$1843,CG175,$AN$7:$AN$1843,AN175,$BX$7:$BX$1843,"&lt;="&amp;BX175),"")</f>
        <v>4029.21657509158</v>
      </c>
      <c r="AP175" s="70" t="n">
        <f aca="false">IF(AO175="",0,MAX(0,MIN(1,(IF(CG175="L1",Parameter!$H$5,IF(CG175="L23",Parameter!$H$6+Parameter!$H$7,Parameter!$H$5+Parameter!$H$6+Parameter!$H$7))-(AO175-AJ175))/AJ175)))</f>
        <v>1</v>
      </c>
      <c r="AQ175" s="62" t="n">
        <f aca="false">IF(LEFT(Cockpit!$I$5,1)="A",H175,IF(Parameter!$E$30="MAX-Bestand",IF(CI175=1,CJ175,IF(LEFT(Cockpit!$I$5,1)="B",AW175,MAX(AW175,H175))),ROUNDUP(AU175,0)))</f>
        <v>207</v>
      </c>
      <c r="AR175" s="62" t="n">
        <f aca="false">IF(CA175=1,0,ROUNDUP(AQ175/BZ175,0))</f>
        <v>3</v>
      </c>
      <c r="AS175" s="64" t="n">
        <f aca="false">IF(CR175&gt;0,CR175*MAX(1,AQ175/X175),IF(CA175=1,IF(AQ175&lt;=0,0,CE175*MAX(1,IF(H175&gt;0,AQ175/H175,1))),IF(R175&gt;0,AR175/R175,0))/MAX(0.1,N(Parameter!$M$21)))</f>
        <v>0.25</v>
      </c>
      <c r="AT175" s="62" t="n">
        <f aca="false">AS175*CC175</f>
        <v>36.25</v>
      </c>
      <c r="AU175" s="63" t="n">
        <f aca="false">IF(LEFT(Cockpit!$I$5,1)="A",H175,IF(CI175=1,(CL175+CJ175)/2,IF(LEFT(Cockpit!$I$5,1)="B",(CL175+AW175)/2,MAX((CL175+AW175)/2,H175))))</f>
        <v>207</v>
      </c>
      <c r="AV175" s="62" t="n">
        <f aca="false">AU175*G175</f>
        <v>1877.49</v>
      </c>
      <c r="AW175" s="62" t="n">
        <f aca="false">ROUNDUP(CL175+MAX(CM175,2*(J175/IF(CH175&gt;0,CH175,MAX(0.1,N(Cockpit!$I$6)))-CL175)),0)</f>
        <v>193</v>
      </c>
      <c r="AX175" s="63" t="n">
        <f aca="false">IF(AT175&gt;0,J175/AT175,-1)</f>
        <v>4.91034482758621</v>
      </c>
      <c r="AY175" s="63" t="n">
        <f aca="false">IF(AND(OR(CG175="L1",CG175="L23",CG175="LIFT"),AT175&gt;0),SUMIFS($AT$7:$AT$1843,$CG$7:$CG$1843,CG175,$AX$7:$AX$1843,"&gt;"&amp;AX175)+SUMIFS($AT$7:$AT$1843,$CG$7:$CG$1843,CG175,$AX$7:$AX$1843,AX175,$BX$7:$BX$1843,"&lt;="&amp;BX175),"")</f>
        <v>4625.45741758242</v>
      </c>
      <c r="AZ175" s="70" t="n">
        <f aca="false">IF(AY175="",0,MAX(0,MIN(1,(IF(CG175="L1",Parameter!$H$5,IF(CG175="L23",Parameter!$H$6+Parameter!$H$7,Parameter!$H$5+Parameter!$H$6+Parameter!$H$7))-(AY175-AT175))/AT175)))</f>
        <v>1</v>
      </c>
      <c r="BA175" s="62" t="n">
        <f aca="false">IF(LEFT(Cockpit!$O$5,1)="A",H175,IF(Parameter!$E$30="MAX-Bestand",IF(CI175=1,CJ175,IF(LEFT(Cockpit!$O$5,1)="B",BG175,MAX(BG175,H175))),ROUNDUP(BE175,0)))</f>
        <v>103</v>
      </c>
      <c r="BB175" s="62" t="n">
        <f aca="false">IF(CA175=1,0,ROUNDUP(BA175/BZ175,0))</f>
        <v>2</v>
      </c>
      <c r="BC175" s="64" t="n">
        <f aca="false">IF(CR175&gt;0,CR175*MAX(1,BA175/X175),IF(CA175=1,IF(BA175&lt;=0,0,CE175*MAX(1,IF(H175&gt;0,BA175/H175,1))),IF(R175&gt;0,BB175/R175,0))/MAX(0.1,N(Parameter!$M$21)))</f>
        <v>0.166666666666667</v>
      </c>
      <c r="BD175" s="62" t="n">
        <f aca="false">BC175*CC175</f>
        <v>24.1666666666667</v>
      </c>
      <c r="BE175" s="63" t="n">
        <f aca="false">IF(LEFT(Cockpit!$O$5,1)="A",H175,IF(CI175=1,(CL175+CJ175)/2,IF(LEFT(Cockpit!$O$5,1)="B",(CL175+BG175)/2,MAX((CL175+BG175)/2,H175))))</f>
        <v>103</v>
      </c>
      <c r="BF175" s="62" t="n">
        <f aca="false">BE175*G175</f>
        <v>934.21</v>
      </c>
      <c r="BG175" s="62" t="n">
        <f aca="false">ROUNDUP(CL175+MAX(CM175,2*(J175/IF(CH175&gt;0,CH175,MAX(0.1,N(Cockpit!$O$6)))-CL175)),0)</f>
        <v>193</v>
      </c>
      <c r="BH175" s="63" t="n">
        <f aca="false">IF(BD175&gt;0,J175/BD175,-1)</f>
        <v>7.36551724137931</v>
      </c>
      <c r="BI175" s="63" t="n">
        <f aca="false">IF(AND(OR(CG175="L1",CG175="L23",CG175="LIFT"),BD175&gt;0),SUMIFS($BD$7:$BD$1843,$CG$7:$CG$1843,CG175,$BH$7:$BH$1843,"&gt;"&amp;BH175)+SUMIFS($BD$7:$BD$1843,$CG$7:$CG$1843,CG175,$BH$7:$BH$1843,BH175,$BX$7:$BX$1843,"&lt;="&amp;BX175),"")</f>
        <v>3235.36996336996</v>
      </c>
      <c r="BJ175" s="70" t="n">
        <f aca="false">IF(BI175="",0,MAX(0,MIN(1,(IF(CG175="L1",Parameter!$H$5,IF(CG175="L23",Parameter!$H$6+Parameter!$H$7,Parameter!$H$5+Parameter!$H$6+Parameter!$H$7))-(BI175-BD175))/BD175)))</f>
        <v>1</v>
      </c>
      <c r="BK175" s="60" t="str">
        <f aca="false">IF(AJ175&lt;=0,"",IF(CG175="Aussen","Aussenlager",IF(CG175="-","Nicht im Lift",IF(AP175&gt;=1,"Lift",IF(AP175&lt;=0,"Aussenlager","teilweise")))))</f>
        <v>Lift</v>
      </c>
      <c r="BL175" s="60" t="str">
        <f aca="false">IF(AT175&lt;=0,"",IF(CG175="Aussen","Aussenlager",IF(CG175="-","Nicht im Lift",IF(AZ175&gt;=1,"Lift",IF(AZ175&lt;=0,"Aussenlager","teilweise")))))</f>
        <v>Lift</v>
      </c>
      <c r="BM175" s="60" t="str">
        <f aca="false">IF(BD175&lt;=0,"",IF(CG175="Aussen","Aussenlager",IF(CG175="-","Nicht im Lift",IF(BJ175&gt;=1,"Lift",IF(BJ175&lt;=0,"Aussenlager","teilweise")))))</f>
        <v>Lift</v>
      </c>
      <c r="BN175" s="60" t="str">
        <f aca="false">IF(A175="","",IF(BW175=1,"Neu; ","")&amp;IF(AND(BW175=0,BR175&lt;0),"negativer Bestand (Export "&amp;BR175&amp;"); ","")&amp;IF(J175&lt;=0,"Kein Verbrauch; ","")&amp;IF(CR175&gt;0,"Lift "&amp;W175&amp;" lt. Liftbericht (Fach "&amp;X175&amp;" Stk); ",IF(CB175=1,"Gebinde geschätzt ("&amp;T175&amp;"); ",IF(CA175=1,"Lose – Tablare geschätzt; ","")))&amp;IF(H175&gt;AW175,"Überbestand "&amp;ROUND(H175-AW175,0)&amp;" Stk / CHF "&amp;ROUND((H175-AW175)*G175,0)&amp;"; ","")&amp;IF(AND(CI175=1,CJ175&lt;CK175),"MAX &lt; MB+LG; ","")&amp;IF(AND(CQ175&gt;0,CP175*10&gt;CQ175),"zu hoch für Tablar; ","")&amp;IF(AND(BW175=0,OR(CI175=1,AB175&lt;&gt;"",U175&lt;&gt;"",V175&lt;&gt;"",AC175&lt;&gt;"")),"manuell übersteuert; ","")&amp;IF(AND(CA175=0,R175=0),"Gebinde unbekannt / Stellmass fehlt; ","")&amp;IF(AND(CA175=0,N(V175)&lt;=0,N(Q175)&lt;=0),"Menge pro Gebinde fehlt (Ist = 1 Gebinde); ","")&amp;BV175)</f>
        <v>Überbestand 14 Stk / CHF 127; nicht im KTL vorhanden</v>
      </c>
      <c r="BO175" s="60"/>
      <c r="BP175" s="60"/>
      <c r="BQ175" s="67"/>
      <c r="BR175" s="62" t="n">
        <v>116</v>
      </c>
      <c r="BS175" s="62" t="n">
        <v>91</v>
      </c>
      <c r="BT175" s="61" t="n">
        <v>1053.94</v>
      </c>
      <c r="BU175" s="62" t="n">
        <v>178</v>
      </c>
      <c r="BV175" s="60" t="s">
        <v>272</v>
      </c>
      <c r="BW175" s="65" t="n">
        <v>0</v>
      </c>
      <c r="BX175" s="65" t="n">
        <v>175</v>
      </c>
      <c r="BY175" s="60" t="str">
        <f aca="false">IF(U175&lt;&gt;"",UPPER(TRIM(U175)),IF(CB175=1,UPPER(VLOOKUP(T175,Parameter!$I$27:$K$29,2,0)),IF(P175="","LOSE",P175)))</f>
        <v>S61</v>
      </c>
      <c r="BZ175" s="62" t="n">
        <f aca="false">IF(BY175="LOSE",1,IF(N(V175)&gt;0,V175,IF(CB175=1,MAX(1,N(VLOOKUP(T175,Parameter!$I$27:$K$29,3,0)),H175,N(N175)),IF(N(Q175)&gt;0,Q175,MAX(1,H175)))))</f>
        <v>90</v>
      </c>
      <c r="CA175" s="65" t="n">
        <f aca="false">IF(BY175="LOSE",1,0)</f>
        <v>0</v>
      </c>
      <c r="CB175" s="65" t="n">
        <f aca="false">IF(AND(U175="",OR(P175="",P175="LOSE"),T175&lt;&gt;"",N(S175)&lt;=0,ISNUMBER(MATCH(T175,Parameter!$I$27:$I$29,0))),1,0)</f>
        <v>0</v>
      </c>
      <c r="CC175" s="65" t="n">
        <f aca="false">IF(CR175&gt;0,INDEX(Parameter!$H$5:$H$7,W175)/INDEX(Parameter!$E$5:$E$7,W175),IF(AND(CA175=0,N(IFERROR(VLOOKUP(BY175,'Gebinde-Kategorie'!$A$5:$N$45,14,0),0))&gt;0),VLOOKUP(BY175,'Gebinde-Kategorie'!$A$5:$N$45,14,0)*10+Parameter!$M$23,Parameter!$M$24))</f>
        <v>145</v>
      </c>
      <c r="CD175" s="60" t="str">
        <f aca="false">IF(AND(Parameter!$B$19="Ja",E175&lt;&gt;"",ISNUMBER(MATCH(E175,Parameter!$I$35:$I$52,0))),VLOOKUP(E175,Parameter!$I$35:$J$52,2,0),IFERROR(VLOOKUP(D175,Parameter!$A$35:$C$64,2,0),"Nein"))</f>
        <v>2+3</v>
      </c>
      <c r="CE175" s="64" t="n">
        <f aca="false">IF(CA175=0,0,IF(N(S175)&gt;0,S175,IFERROR(VLOOKUP(D175,Parameter!$A$35:$C$64,3,0)+0,0)))</f>
        <v>0</v>
      </c>
      <c r="CF175" s="60" t="n">
        <f aca="false">IF(AB175&lt;&gt;"",AB175,AA175)</f>
        <v>3</v>
      </c>
      <c r="CG175" s="60" t="str">
        <f aca="false">IF(OR(CF175=1,CF175=2,CF175=3),IF(Parameter!$E$27="Ja","LIFT",IF(CF175=1,"L1","L23")),IF(CF175="Aussen","Aussen","-"))</f>
        <v>LIFT</v>
      </c>
      <c r="CH175" s="71" t="n">
        <f aca="false">IF(N(AC175)&gt;0,AC175,0)</f>
        <v>0</v>
      </c>
      <c r="CI175" s="65" t="n">
        <f aca="false">IF(ISNUMBER(AF175),1,0)</f>
        <v>0</v>
      </c>
      <c r="CJ175" s="62" t="n">
        <f aca="false">N(AF175)</f>
        <v>0</v>
      </c>
      <c r="CK175" s="62" t="n">
        <f aca="false">N(M175)+N(N175)</f>
        <v>193</v>
      </c>
      <c r="CL175" s="62" t="n">
        <f aca="false">N(M175)</f>
        <v>13</v>
      </c>
      <c r="CM175" s="62" t="n">
        <f aca="false">N(N175)</f>
        <v>180</v>
      </c>
      <c r="CN175" s="62" t="n">
        <f aca="false">ROUNDUP(H175/BZ175,0)</f>
        <v>3</v>
      </c>
      <c r="CO175" s="62" t="n">
        <f aca="false">ROUNDUP(CJ175/BZ175,0)</f>
        <v>0</v>
      </c>
      <c r="CP175" s="65" t="n">
        <f aca="false">IF(CA175=1,0,IFERROR(VLOOKUP(BY175,'Gebinde-Kategorie'!$A$5:$N$45,5,0)+0,0))</f>
        <v>11</v>
      </c>
      <c r="CQ175" s="65" t="n">
        <f aca="false">IFERROR(IF(OR(CF175=1,CF175=2,CF175=3),N(INDEX(Parameter!$I$5:$I$7,CF175)),0),0)</f>
        <v>0</v>
      </c>
      <c r="CR175" s="64" t="n">
        <f aca="false">IF(AND(Parameter!$B$21="Ja",ISNUMBER(W175),N(X175)&gt;0),IFERROR(N(INDEX(Parameter!$L$5:$L$7,W175))*INDEX(Parameter!$E$5:$E$7,W175)*X175/SUMIFS($X$7:$X$1843,$W$7:$W$1843,W175),0),0)</f>
        <v>0</v>
      </c>
      <c r="CS175" s="62" t="n">
        <f aca="false">IF(AND(OR(CG175="L1",CG175="L23",CG175="LIFT"),H175&gt;0),CC175*IF(CR175&gt;0,CR175*MAX(1,H175/X175),IF(CA175=1,CE175,IF(R175&gt;0,CN175/R175,0))/MAX(0.1,N(Parameter!$M$21))),"")</f>
        <v>36.25</v>
      </c>
      <c r="CT175" s="64" t="n">
        <f aca="false">IF(CS175="","",J175/H175)</f>
        <v>0.859903381642512</v>
      </c>
      <c r="CU175" s="62" t="n">
        <f aca="false">IF(CS175="","",H175*G175)</f>
        <v>1877.49</v>
      </c>
      <c r="CV175" s="63" t="n">
        <f aca="false">IF(CS175="","",(CL175+ROUNDUP(CL175+MAX(CM175,2*(J175/MAX(0.1,N(Einkauf!$C$6))-CL175)),0))/2)</f>
        <v>103</v>
      </c>
      <c r="CW175" s="62" t="n">
        <f aca="false">IF(CS175="","",MAX(0,H175-CV175)*G175)</f>
        <v>943.28</v>
      </c>
      <c r="CX175" s="62" t="n">
        <f aca="false">IF(CS175="","",CS175*MAX(0,1-CV175/H175))</f>
        <v>18.2125603864734</v>
      </c>
      <c r="CY175" s="64" t="n">
        <f aca="false">IF(CS175="","",PERCENTRANK($CS$7:$CS$1843,CS175)+PERCENTRANK($CU$7:$CU$1843,CU175)+1-PERCENTRANK($CT$7:$CT$1843,CT175))</f>
        <v>2.004</v>
      </c>
      <c r="CZ175" s="72" t="n">
        <f aca="false">IF(CS175="","",CHOOSE(MATCH(Einkauf!$C$5,Parameter!$G$23:$G$27,0),CY175,CS175,CU175,-CT175,CW175)+ROW()/1000000000)</f>
        <v>2.004000175</v>
      </c>
    </row>
    <row r="176" customFormat="false" ht="15" hidden="false" customHeight="false" outlineLevel="0" collapsed="false">
      <c r="A176" s="60" t="s">
        <v>600</v>
      </c>
      <c r="B176" s="60" t="s">
        <v>601</v>
      </c>
      <c r="C176" s="60" t="s">
        <v>206</v>
      </c>
      <c r="D176" s="60" t="s">
        <v>226</v>
      </c>
      <c r="E176" s="60" t="s">
        <v>227</v>
      </c>
      <c r="F176" s="60" t="s">
        <v>260</v>
      </c>
      <c r="G176" s="61" t="n">
        <v>11.84</v>
      </c>
      <c r="H176" s="62" t="n">
        <f aca="false">MAX(0,IF(AND(Parameter!$B$21="Ja",ISNUMBER(Y176)),Y176,IF(Parameter!$B$20="Jahresanfang 2025 + Export",BS176+BR176,BR176)))</f>
        <v>149</v>
      </c>
      <c r="I176" s="62" t="n">
        <f aca="false">H176*G176</f>
        <v>1764.16</v>
      </c>
      <c r="J176" s="62" t="n">
        <f aca="false">BU176*Parameter!$B$18</f>
        <v>161</v>
      </c>
      <c r="K176" s="63" t="n">
        <v>60.5</v>
      </c>
      <c r="L176" s="64" t="n">
        <v>2.66115702479339</v>
      </c>
      <c r="M176" s="62" t="n">
        <v>12</v>
      </c>
      <c r="N176" s="62" t="n">
        <v>160</v>
      </c>
      <c r="O176" s="65" t="n">
        <v>28</v>
      </c>
      <c r="P176" s="60" t="s">
        <v>275</v>
      </c>
      <c r="Q176" s="62" t="n">
        <v>67</v>
      </c>
      <c r="R176" s="65" t="n">
        <f aca="false">IF(CA176=1,0,IFERROR(VLOOKUP(BY176,'Gebinde-Kategorie'!$A$5:$N$45,13,0)+0,0))</f>
        <v>26</v>
      </c>
      <c r="S176" s="66"/>
      <c r="T176" s="67"/>
      <c r="U176" s="67"/>
      <c r="V176" s="67"/>
      <c r="W176" s="60"/>
      <c r="X176" s="62"/>
      <c r="Y176" s="62"/>
      <c r="Z176" s="60" t="n">
        <v>3</v>
      </c>
      <c r="AA176" s="60" t="n">
        <f aca="false">IF(A176="","",IF(AND(Parameter!$B$21="Ja",ISNUMBER(W176)),W176,IF(AND(Parameter!$E$27="Ja",ISNUMBER(Z176),CD176&lt;&gt;"Nein"),Z176,IF(CD176="2+3",IF(ISNUMBER(SEARCH("grosser Artikel",BV176)),2,IFERROR(VLOOKUP(BY176,Parameter!$F$35:$G$64,2,0),2)),IF(OR(CD176="Nein",CD176=""),"-",CD176)))))</f>
        <v>3</v>
      </c>
      <c r="AB176" s="67"/>
      <c r="AC176" s="68"/>
      <c r="AD176" s="62" t="n">
        <f aca="false">AW176</f>
        <v>172</v>
      </c>
      <c r="AE176" s="62" t="n">
        <f aca="false">MAX(AW176,H176)</f>
        <v>172</v>
      </c>
      <c r="AF176" s="69"/>
      <c r="AG176" s="62" t="n">
        <f aca="false">IF(LEFT(Cockpit!$C$5,1)="A",H176,IF(Parameter!$E$30="MAX-Bestand",IF(CI176=1,CJ176,IF(LEFT(Cockpit!$C$5,1)="B",AM176,MAX(AM176,H176))),ROUNDUP(AK176,0)))</f>
        <v>149</v>
      </c>
      <c r="AH176" s="62" t="n">
        <f aca="false">IF(CA176=1,0,ROUNDUP(AG176/BZ176,0))</f>
        <v>3</v>
      </c>
      <c r="AI176" s="64" t="n">
        <f aca="false">IF(CR176&gt;0,CR176*MAX(1,AG176/X176),IF(CA176=1,IF(AG176&lt;=0,0,CE176*MAX(1,IF(H176&gt;0,AG176/H176,1))),IF(R176&gt;0,AH176/R176,0))/MAX(0.1,N(Parameter!$M$21)))</f>
        <v>0.115384615384615</v>
      </c>
      <c r="AJ176" s="62" t="n">
        <f aca="false">AI176*CC176</f>
        <v>28.2692307692308</v>
      </c>
      <c r="AK176" s="63" t="n">
        <f aca="false">IF(LEFT(Cockpit!$C$5,1)="A",H176,IF(CI176=1,(CL176+CJ176)/2,IF(LEFT(Cockpit!$C$5,1)="B",(CL176+AM176)/2,MAX((CL176+AM176)/2,H176))))</f>
        <v>149</v>
      </c>
      <c r="AL176" s="62" t="n">
        <f aca="false">AK176*G176</f>
        <v>1764.16</v>
      </c>
      <c r="AM176" s="62" t="n">
        <f aca="false">ROUNDUP(CL176+MAX(CM176,2*(J176/IF(CH176&gt;0,CH176,MAX(0.1,N(Cockpit!$C$6)))-CL176)),0)</f>
        <v>172</v>
      </c>
      <c r="AN176" s="63" t="n">
        <f aca="false">IF(AJ176&gt;0,J176/AJ176,-1)</f>
        <v>5.6952380952381</v>
      </c>
      <c r="AO176" s="63" t="n">
        <f aca="false">IF(AND(OR(CG176="L1",CG176="L23",CG176="LIFT"),AJ176&gt;0),SUMIFS($AJ$7:$AJ$1843,$CG$7:$CG$1843,CG176,$AN$7:$AN$1843,"&gt;"&amp;AN176)+SUMIFS($AJ$7:$AJ$1843,$CG$7:$CG$1843,CG176,$AN$7:$AN$1843,AN176,$BX$7:$BX$1843,"&lt;="&amp;BX176),"")</f>
        <v>3621.66071428571</v>
      </c>
      <c r="AP176" s="70" t="n">
        <f aca="false">IF(AO176="",0,MAX(0,MIN(1,(IF(CG176="L1",Parameter!$H$5,IF(CG176="L23",Parameter!$H$6+Parameter!$H$7,Parameter!$H$5+Parameter!$H$6+Parameter!$H$7))-(AO176-AJ176))/AJ176)))</f>
        <v>1</v>
      </c>
      <c r="AQ176" s="62" t="n">
        <f aca="false">IF(LEFT(Cockpit!$I$5,1)="A",H176,IF(Parameter!$E$30="MAX-Bestand",IF(CI176=1,CJ176,IF(LEFT(Cockpit!$I$5,1)="B",AW176,MAX(AW176,H176))),ROUNDUP(AU176,0)))</f>
        <v>149</v>
      </c>
      <c r="AR176" s="62" t="n">
        <f aca="false">IF(CA176=1,0,ROUNDUP(AQ176/BZ176,0))</f>
        <v>3</v>
      </c>
      <c r="AS176" s="64" t="n">
        <f aca="false">IF(CR176&gt;0,CR176*MAX(1,AQ176/X176),IF(CA176=1,IF(AQ176&lt;=0,0,CE176*MAX(1,IF(H176&gt;0,AQ176/H176,1))),IF(R176&gt;0,AR176/R176,0))/MAX(0.1,N(Parameter!$M$21)))</f>
        <v>0.115384615384615</v>
      </c>
      <c r="AT176" s="62" t="n">
        <f aca="false">AS176*CC176</f>
        <v>28.2692307692308</v>
      </c>
      <c r="AU176" s="63" t="n">
        <f aca="false">IF(LEFT(Cockpit!$I$5,1)="A",H176,IF(CI176=1,(CL176+CJ176)/2,IF(LEFT(Cockpit!$I$5,1)="B",(CL176+AW176)/2,MAX((CL176+AW176)/2,H176))))</f>
        <v>149</v>
      </c>
      <c r="AV176" s="62" t="n">
        <f aca="false">AU176*G176</f>
        <v>1764.16</v>
      </c>
      <c r="AW176" s="62" t="n">
        <f aca="false">ROUNDUP(CL176+MAX(CM176,2*(J176/IF(CH176&gt;0,CH176,MAX(0.1,N(Cockpit!$I$6)))-CL176)),0)</f>
        <v>172</v>
      </c>
      <c r="AX176" s="63" t="n">
        <f aca="false">IF(AT176&gt;0,J176/AT176,-1)</f>
        <v>5.6952380952381</v>
      </c>
      <c r="AY176" s="63" t="n">
        <f aca="false">IF(AND(OR(CG176="L1",CG176="L23",CG176="LIFT"),AT176&gt;0),SUMIFS($AT$7:$AT$1843,$CG$7:$CG$1843,CG176,$AX$7:$AX$1843,"&gt;"&amp;AX176)+SUMIFS($AT$7:$AT$1843,$CG$7:$CG$1843,CG176,$AX$7:$AX$1843,AX176,$BX$7:$BX$1843,"&lt;="&amp;BX176),"")</f>
        <v>4275.40155677656</v>
      </c>
      <c r="AZ176" s="70" t="n">
        <f aca="false">IF(AY176="",0,MAX(0,MIN(1,(IF(CG176="L1",Parameter!$H$5,IF(CG176="L23",Parameter!$H$6+Parameter!$H$7,Parameter!$H$5+Parameter!$H$6+Parameter!$H$7))-(AY176-AT176))/AT176)))</f>
        <v>1</v>
      </c>
      <c r="BA176" s="62" t="n">
        <f aca="false">IF(LEFT(Cockpit!$O$5,1)="A",H176,IF(Parameter!$E$30="MAX-Bestand",IF(CI176=1,CJ176,IF(LEFT(Cockpit!$O$5,1)="B",BG176,MAX(BG176,H176))),ROUNDUP(BE176,0)))</f>
        <v>92</v>
      </c>
      <c r="BB176" s="62" t="n">
        <f aca="false">IF(CA176=1,0,ROUNDUP(BA176/BZ176,0))</f>
        <v>2</v>
      </c>
      <c r="BC176" s="64" t="n">
        <f aca="false">IF(CR176&gt;0,CR176*MAX(1,BA176/X176),IF(CA176=1,IF(BA176&lt;=0,0,CE176*MAX(1,IF(H176&gt;0,BA176/H176,1))),IF(R176&gt;0,BB176/R176,0))/MAX(0.1,N(Parameter!$M$21)))</f>
        <v>0.0769230769230769</v>
      </c>
      <c r="BD176" s="62" t="n">
        <f aca="false">BC176*CC176</f>
        <v>18.8461538461538</v>
      </c>
      <c r="BE176" s="63" t="n">
        <f aca="false">IF(LEFT(Cockpit!$O$5,1)="A",H176,IF(CI176=1,(CL176+CJ176)/2,IF(LEFT(Cockpit!$O$5,1)="B",(CL176+BG176)/2,MAX((CL176+BG176)/2,H176))))</f>
        <v>92</v>
      </c>
      <c r="BF176" s="62" t="n">
        <f aca="false">BE176*G176</f>
        <v>1089.28</v>
      </c>
      <c r="BG176" s="62" t="n">
        <f aca="false">ROUNDUP(CL176+MAX(CM176,2*(J176/IF(CH176&gt;0,CH176,MAX(0.1,N(Cockpit!$O$6)))-CL176)),0)</f>
        <v>172</v>
      </c>
      <c r="BH176" s="63" t="n">
        <f aca="false">IF(BD176&gt;0,J176/BD176,-1)</f>
        <v>8.54285714285714</v>
      </c>
      <c r="BI176" s="63" t="n">
        <f aca="false">IF(AND(OR(CG176="L1",CG176="L23",CG176="LIFT"),BD176&gt;0),SUMIFS($BD$7:$BD$1843,$CG$7:$CG$1843,CG176,$BH$7:$BH$1843,"&gt;"&amp;BH176)+SUMIFS($BD$7:$BD$1843,$CG$7:$CG$1843,CG176,$BH$7:$BH$1843,BH176,$BX$7:$BX$1843,"&lt;="&amp;BX176),"")</f>
        <v>2948.71657509158</v>
      </c>
      <c r="BJ176" s="70" t="n">
        <f aca="false">IF(BI176="",0,MAX(0,MIN(1,(IF(CG176="L1",Parameter!$H$5,IF(CG176="L23",Parameter!$H$6+Parameter!$H$7,Parameter!$H$5+Parameter!$H$6+Parameter!$H$7))-(BI176-BD176))/BD176)))</f>
        <v>1</v>
      </c>
      <c r="BK176" s="60" t="str">
        <f aca="false">IF(AJ176&lt;=0,"",IF(CG176="Aussen","Aussenlager",IF(CG176="-","Nicht im Lift",IF(AP176&gt;=1,"Lift",IF(AP176&lt;=0,"Aussenlager","teilweise")))))</f>
        <v>Lift</v>
      </c>
      <c r="BL176" s="60" t="str">
        <f aca="false">IF(AT176&lt;=0,"",IF(CG176="Aussen","Aussenlager",IF(CG176="-","Nicht im Lift",IF(AZ176&gt;=1,"Lift",IF(AZ176&lt;=0,"Aussenlager","teilweise")))))</f>
        <v>Lift</v>
      </c>
      <c r="BM176" s="60" t="str">
        <f aca="false">IF(BD176&lt;=0,"",IF(CG176="Aussen","Aussenlager",IF(CG176="-","Nicht im Lift",IF(BJ176&gt;=1,"Lift",IF(BJ176&lt;=0,"Aussenlager","teilweise")))))</f>
        <v>Lift</v>
      </c>
      <c r="BN176" s="60" t="str">
        <f aca="false">IF(A176="","",IF(BW176=1,"Neu; ","")&amp;IF(AND(BW176=0,BR176&lt;0),"negativer Bestand (Export "&amp;BR176&amp;"); ","")&amp;IF(J176&lt;=0,"Kein Verbrauch; ","")&amp;IF(CR176&gt;0,"Lift "&amp;W176&amp;" lt. Liftbericht (Fach "&amp;X176&amp;" Stk); ",IF(CB176=1,"Gebinde geschätzt ("&amp;T176&amp;"); ",IF(CA176=1,"Lose – Tablare geschätzt; ","")))&amp;IF(H176&gt;AW176,"Überbestand "&amp;ROUND(H176-AW176,0)&amp;" Stk / CHF "&amp;ROUND((H176-AW176)*G176,0)&amp;"; ","")&amp;IF(AND(CI176=1,CJ176&lt;CK176),"MAX &lt; MB+LG; ","")&amp;IF(AND(CQ176&gt;0,CP176*10&gt;CQ176),"zu hoch für Tablar; ","")&amp;IF(AND(BW176=0,OR(CI176=1,AB176&lt;&gt;"",U176&lt;&gt;"",V176&lt;&gt;"",AC176&lt;&gt;"")),"manuell übersteuert; ","")&amp;IF(AND(CA176=0,R176=0),"Gebinde unbekannt / Stellmass fehlt; ","")&amp;IF(AND(CA176=0,N(V176)&lt;=0,N(Q176)&lt;=0),"Menge pro Gebinde fehlt (Ist = 1 Gebinde); ","")&amp;BV176)</f>
        <v/>
      </c>
      <c r="BO176" s="60"/>
      <c r="BP176" s="60"/>
      <c r="BQ176" s="67"/>
      <c r="BR176" s="62" t="n">
        <v>88</v>
      </c>
      <c r="BS176" s="62" t="n">
        <v>61</v>
      </c>
      <c r="BT176" s="61" t="n">
        <v>1041.92</v>
      </c>
      <c r="BU176" s="62" t="n">
        <v>161</v>
      </c>
      <c r="BV176" s="60"/>
      <c r="BW176" s="65" t="n">
        <v>0</v>
      </c>
      <c r="BX176" s="65" t="n">
        <v>176</v>
      </c>
      <c r="BY176" s="60" t="str">
        <f aca="false">IF(U176&lt;&gt;"",UPPER(TRIM(U176)),IF(CB176=1,UPPER(VLOOKUP(T176,Parameter!$I$27:$K$29,2,0)),IF(P176="","LOSE",P176)))</f>
        <v>S52</v>
      </c>
      <c r="BZ176" s="62" t="n">
        <f aca="false">IF(BY176="LOSE",1,IF(N(V176)&gt;0,V176,IF(CB176=1,MAX(1,N(VLOOKUP(T176,Parameter!$I$27:$K$29,3,0)),H176,N(N176)),IF(N(Q176)&gt;0,Q176,MAX(1,H176)))))</f>
        <v>67</v>
      </c>
      <c r="CA176" s="65" t="n">
        <f aca="false">IF(BY176="LOSE",1,0)</f>
        <v>0</v>
      </c>
      <c r="CB176" s="65" t="n">
        <f aca="false">IF(AND(U176="",OR(P176="",P176="LOSE"),T176&lt;&gt;"",N(S176)&lt;=0,ISNUMBER(MATCH(T176,Parameter!$I$27:$I$29,0))),1,0)</f>
        <v>0</v>
      </c>
      <c r="CC176" s="65" t="n">
        <f aca="false">IF(CR176&gt;0,INDEX(Parameter!$H$5:$H$7,W176)/INDEX(Parameter!$E$5:$E$7,W176),IF(AND(CA176=0,N(IFERROR(VLOOKUP(BY176,'Gebinde-Kategorie'!$A$5:$N$45,14,0),0))&gt;0),VLOOKUP(BY176,'Gebinde-Kategorie'!$A$5:$N$45,14,0)*10+Parameter!$M$23,Parameter!$M$24))</f>
        <v>245</v>
      </c>
      <c r="CD176" s="60" t="str">
        <f aca="false">IF(AND(Parameter!$B$19="Ja",E176&lt;&gt;"",ISNUMBER(MATCH(E176,Parameter!$I$35:$I$52,0))),VLOOKUP(E176,Parameter!$I$35:$J$52,2,0),IFERROR(VLOOKUP(D176,Parameter!$A$35:$C$64,2,0),"Nein"))</f>
        <v>2+3</v>
      </c>
      <c r="CE176" s="64" t="n">
        <f aca="false">IF(CA176=0,0,IF(N(S176)&gt;0,S176,IFERROR(VLOOKUP(D176,Parameter!$A$35:$C$64,3,0)+0,0)))</f>
        <v>0</v>
      </c>
      <c r="CF176" s="60" t="n">
        <f aca="false">IF(AB176&lt;&gt;"",AB176,AA176)</f>
        <v>3</v>
      </c>
      <c r="CG176" s="60" t="str">
        <f aca="false">IF(OR(CF176=1,CF176=2,CF176=3),IF(Parameter!$E$27="Ja","LIFT",IF(CF176=1,"L1","L23")),IF(CF176="Aussen","Aussen","-"))</f>
        <v>LIFT</v>
      </c>
      <c r="CH176" s="71" t="n">
        <f aca="false">IF(N(AC176)&gt;0,AC176,0)</f>
        <v>0</v>
      </c>
      <c r="CI176" s="65" t="n">
        <f aca="false">IF(ISNUMBER(AF176),1,0)</f>
        <v>0</v>
      </c>
      <c r="CJ176" s="62" t="n">
        <f aca="false">N(AF176)</f>
        <v>0</v>
      </c>
      <c r="CK176" s="62" t="n">
        <f aca="false">N(M176)+N(N176)</f>
        <v>172</v>
      </c>
      <c r="CL176" s="62" t="n">
        <f aca="false">N(M176)</f>
        <v>12</v>
      </c>
      <c r="CM176" s="62" t="n">
        <f aca="false">N(N176)</f>
        <v>160</v>
      </c>
      <c r="CN176" s="62" t="n">
        <f aca="false">ROUNDUP(H176/BZ176,0)</f>
        <v>3</v>
      </c>
      <c r="CO176" s="62" t="n">
        <f aca="false">ROUNDUP(CJ176/BZ176,0)</f>
        <v>0</v>
      </c>
      <c r="CP176" s="65" t="n">
        <f aca="false">IF(CA176=1,0,IFERROR(VLOOKUP(BY176,'Gebinde-Kategorie'!$A$5:$N$45,5,0)+0,0))</f>
        <v>21</v>
      </c>
      <c r="CQ176" s="65" t="n">
        <f aca="false">IFERROR(IF(OR(CF176=1,CF176=2,CF176=3),N(INDEX(Parameter!$I$5:$I$7,CF176)),0),0)</f>
        <v>0</v>
      </c>
      <c r="CR176" s="64" t="n">
        <f aca="false">IF(AND(Parameter!$B$21="Ja",ISNUMBER(W176),N(X176)&gt;0),IFERROR(N(INDEX(Parameter!$L$5:$L$7,W176))*INDEX(Parameter!$E$5:$E$7,W176)*X176/SUMIFS($X$7:$X$1843,$W$7:$W$1843,W176),0),0)</f>
        <v>0</v>
      </c>
      <c r="CS176" s="62" t="n">
        <f aca="false">IF(AND(OR(CG176="L1",CG176="L23",CG176="LIFT"),H176&gt;0),CC176*IF(CR176&gt;0,CR176*MAX(1,H176/X176),IF(CA176=1,CE176,IF(R176&gt;0,CN176/R176,0))/MAX(0.1,N(Parameter!$M$21))),"")</f>
        <v>28.2692307692308</v>
      </c>
      <c r="CT176" s="64" t="n">
        <f aca="false">IF(CS176="","",J176/H176)</f>
        <v>1.08053691275168</v>
      </c>
      <c r="CU176" s="62" t="n">
        <f aca="false">IF(CS176="","",H176*G176)</f>
        <v>1764.16</v>
      </c>
      <c r="CV176" s="63" t="n">
        <f aca="false">IF(CS176="","",(CL176+ROUNDUP(CL176+MAX(CM176,2*(J176/MAX(0.1,N(Einkauf!$C$6))-CL176)),0))/2)</f>
        <v>92</v>
      </c>
      <c r="CW176" s="62" t="n">
        <f aca="false">IF(CS176="","",MAX(0,H176-CV176)*G176)</f>
        <v>674.88</v>
      </c>
      <c r="CX176" s="62" t="n">
        <f aca="false">IF(CS176="","",CS176*MAX(0,1-CV176/H176))</f>
        <v>10.8144037170883</v>
      </c>
      <c r="CY176" s="64" t="n">
        <f aca="false">IF(CS176="","",PERCENTRANK($CS$7:$CS$1843,CS176)+PERCENTRANK($CU$7:$CU$1843,CU176)+1-PERCENTRANK($CT$7:$CT$1843,CT176))</f>
        <v>1.882</v>
      </c>
      <c r="CZ176" s="72" t="n">
        <f aca="false">IF(CS176="","",CHOOSE(MATCH(Einkauf!$C$5,Parameter!$G$23:$G$27,0),CY176,CS176,CU176,-CT176,CW176)+ROW()/1000000000)</f>
        <v>1.882000176</v>
      </c>
    </row>
    <row r="177" customFormat="false" ht="15" hidden="false" customHeight="false" outlineLevel="0" collapsed="false">
      <c r="A177" s="60" t="s">
        <v>602</v>
      </c>
      <c r="B177" s="60" t="s">
        <v>531</v>
      </c>
      <c r="C177" s="60" t="s">
        <v>206</v>
      </c>
      <c r="D177" s="60" t="s">
        <v>226</v>
      </c>
      <c r="E177" s="60" t="s">
        <v>227</v>
      </c>
      <c r="F177" s="60" t="s">
        <v>260</v>
      </c>
      <c r="G177" s="61" t="n">
        <v>1.51</v>
      </c>
      <c r="H177" s="62" t="n">
        <f aca="false">MAX(0,IF(AND(Parameter!$B$21="Ja",ISNUMBER(Y177)),Y177,IF(Parameter!$B$20="Jahresanfang 2025 + Export",BS177+BR177,BR177)))</f>
        <v>1155</v>
      </c>
      <c r="I177" s="62" t="n">
        <f aca="false">H177*G177</f>
        <v>1744.05</v>
      </c>
      <c r="J177" s="62" t="n">
        <f aca="false">BU177*Parameter!$B$18</f>
        <v>2212</v>
      </c>
      <c r="K177" s="63" t="n">
        <v>594.5</v>
      </c>
      <c r="L177" s="64" t="n">
        <v>3.72077375946173</v>
      </c>
      <c r="M177" s="62" t="n">
        <v>45</v>
      </c>
      <c r="N177" s="62" t="n">
        <v>1870</v>
      </c>
      <c r="O177" s="65" t="n">
        <v>7</v>
      </c>
      <c r="P177" s="60" t="s">
        <v>344</v>
      </c>
      <c r="Q177" s="62" t="n">
        <v>1322</v>
      </c>
      <c r="R177" s="65" t="n">
        <f aca="false">IF(CA177=1,0,IFERROR(VLOOKUP(BY177,'Gebinde-Kategorie'!$A$5:$N$45,13,0)+0,0))</f>
        <v>26</v>
      </c>
      <c r="S177" s="66"/>
      <c r="T177" s="67"/>
      <c r="U177" s="67"/>
      <c r="V177" s="67"/>
      <c r="W177" s="60"/>
      <c r="X177" s="62"/>
      <c r="Y177" s="62"/>
      <c r="Z177" s="60" t="n">
        <v>3</v>
      </c>
      <c r="AA177" s="60" t="n">
        <f aca="false">IF(A177="","",IF(AND(Parameter!$B$21="Ja",ISNUMBER(W177)),W177,IF(AND(Parameter!$E$27="Ja",ISNUMBER(Z177),CD177&lt;&gt;"Nein"),Z177,IF(CD177="2+3",IF(ISNUMBER(SEARCH("grosser Artikel",BV177)),2,IFERROR(VLOOKUP(BY177,Parameter!$F$35:$G$64,2,0),2)),IF(OR(CD177="Nein",CD177=""),"-",CD177)))))</f>
        <v>3</v>
      </c>
      <c r="AB177" s="67"/>
      <c r="AC177" s="68"/>
      <c r="AD177" s="62" t="n">
        <f aca="false">AW177</f>
        <v>1915</v>
      </c>
      <c r="AE177" s="62" t="n">
        <f aca="false">MAX(AW177,H177)</f>
        <v>1915</v>
      </c>
      <c r="AF177" s="69"/>
      <c r="AG177" s="62" t="n">
        <f aca="false">IF(LEFT(Cockpit!$C$5,1)="A",H177,IF(Parameter!$E$30="MAX-Bestand",IF(CI177=1,CJ177,IF(LEFT(Cockpit!$C$5,1)="B",AM177,MAX(AM177,H177))),ROUNDUP(AK177,0)))</f>
        <v>1155</v>
      </c>
      <c r="AH177" s="62" t="n">
        <f aca="false">IF(CA177=1,0,ROUNDUP(AG177/BZ177,0))</f>
        <v>1</v>
      </c>
      <c r="AI177" s="64" t="n">
        <f aca="false">IF(CR177&gt;0,CR177*MAX(1,AG177/X177),IF(CA177=1,IF(AG177&lt;=0,0,CE177*MAX(1,IF(H177&gt;0,AG177/H177,1))),IF(R177&gt;0,AH177/R177,0))/MAX(0.1,N(Parameter!$M$21)))</f>
        <v>0.0384615384615385</v>
      </c>
      <c r="AJ177" s="62" t="n">
        <f aca="false">AI177*CC177</f>
        <v>5.96153846153846</v>
      </c>
      <c r="AK177" s="63" t="n">
        <f aca="false">IF(LEFT(Cockpit!$C$5,1)="A",H177,IF(CI177=1,(CL177+CJ177)/2,IF(LEFT(Cockpit!$C$5,1)="B",(CL177+AM177)/2,MAX((CL177+AM177)/2,H177))))</f>
        <v>1155</v>
      </c>
      <c r="AL177" s="62" t="n">
        <f aca="false">AK177*G177</f>
        <v>1744.05</v>
      </c>
      <c r="AM177" s="62" t="n">
        <f aca="false">ROUNDUP(CL177+MAX(CM177,2*(J177/IF(CH177&gt;0,CH177,MAX(0.1,N(Cockpit!$C$6)))-CL177)),0)</f>
        <v>1915</v>
      </c>
      <c r="AN177" s="63" t="n">
        <f aca="false">IF(AJ177&gt;0,J177/AJ177,-1)</f>
        <v>371.045161290323</v>
      </c>
      <c r="AO177" s="63" t="n">
        <f aca="false">IF(AND(OR(CG177="L1",CG177="L23",CG177="LIFT"),AJ177&gt;0),SUMIFS($AJ$7:$AJ$1843,$CG$7:$CG$1843,CG177,$AN$7:$AN$1843,"&gt;"&amp;AN177)+SUMIFS($AJ$7:$AJ$1843,$CG$7:$CG$1843,CG177,$AN$7:$AN$1843,AN177,$BX$7:$BX$1843,"&lt;="&amp;BX177),"")</f>
        <v>211.910714285714</v>
      </c>
      <c r="AP177" s="70" t="n">
        <f aca="false">IF(AO177="",0,MAX(0,MIN(1,(IF(CG177="L1",Parameter!$H$5,IF(CG177="L23",Parameter!$H$6+Parameter!$H$7,Parameter!$H$5+Parameter!$H$6+Parameter!$H$7))-(AO177-AJ177))/AJ177)))</f>
        <v>1</v>
      </c>
      <c r="AQ177" s="62" t="n">
        <f aca="false">IF(LEFT(Cockpit!$I$5,1)="A",H177,IF(Parameter!$E$30="MAX-Bestand",IF(CI177=1,CJ177,IF(LEFT(Cockpit!$I$5,1)="B",AW177,MAX(AW177,H177))),ROUNDUP(AU177,0)))</f>
        <v>1155</v>
      </c>
      <c r="AR177" s="62" t="n">
        <f aca="false">IF(CA177=1,0,ROUNDUP(AQ177/BZ177,0))</f>
        <v>1</v>
      </c>
      <c r="AS177" s="64" t="n">
        <f aca="false">IF(CR177&gt;0,CR177*MAX(1,AQ177/X177),IF(CA177=1,IF(AQ177&lt;=0,0,CE177*MAX(1,IF(H177&gt;0,AQ177/H177,1))),IF(R177&gt;0,AR177/R177,0))/MAX(0.1,N(Parameter!$M$21)))</f>
        <v>0.0384615384615385</v>
      </c>
      <c r="AT177" s="62" t="n">
        <f aca="false">AS177*CC177</f>
        <v>5.96153846153846</v>
      </c>
      <c r="AU177" s="63" t="n">
        <f aca="false">IF(LEFT(Cockpit!$I$5,1)="A",H177,IF(CI177=1,(CL177+CJ177)/2,IF(LEFT(Cockpit!$I$5,1)="B",(CL177+AW177)/2,MAX((CL177+AW177)/2,H177))))</f>
        <v>1155</v>
      </c>
      <c r="AV177" s="62" t="n">
        <f aca="false">AU177*G177</f>
        <v>1744.05</v>
      </c>
      <c r="AW177" s="62" t="n">
        <f aca="false">ROUNDUP(CL177+MAX(CM177,2*(J177/IF(CH177&gt;0,CH177,MAX(0.1,N(Cockpit!$I$6)))-CL177)),0)</f>
        <v>1915</v>
      </c>
      <c r="AX177" s="63" t="n">
        <f aca="false">IF(AT177&gt;0,J177/AT177,-1)</f>
        <v>371.045161290323</v>
      </c>
      <c r="AY177" s="63" t="n">
        <f aca="false">IF(AND(OR(CG177="L1",CG177="L23",CG177="LIFT"),AT177&gt;0),SUMIFS($AT$7:$AT$1843,$CG$7:$CG$1843,CG177,$AX$7:$AX$1843,"&gt;"&amp;AX177)+SUMIFS($AT$7:$AT$1843,$CG$7:$CG$1843,CG177,$AX$7:$AX$1843,AX177,$BX$7:$BX$1843,"&lt;="&amp;BX177),"")</f>
        <v>146.126831501832</v>
      </c>
      <c r="AZ177" s="70" t="n">
        <f aca="false">IF(AY177="",0,MAX(0,MIN(1,(IF(CG177="L1",Parameter!$H$5,IF(CG177="L23",Parameter!$H$6+Parameter!$H$7,Parameter!$H$5+Parameter!$H$6+Parameter!$H$7))-(AY177-AT177))/AT177)))</f>
        <v>1</v>
      </c>
      <c r="BA177" s="62" t="n">
        <f aca="false">IF(LEFT(Cockpit!$O$5,1)="A",H177,IF(Parameter!$E$30="MAX-Bestand",IF(CI177=1,CJ177,IF(LEFT(Cockpit!$O$5,1)="B",BG177,MAX(BG177,H177))),ROUNDUP(BE177,0)))</f>
        <v>980</v>
      </c>
      <c r="BB177" s="62" t="n">
        <f aca="false">IF(CA177=1,0,ROUNDUP(BA177/BZ177,0))</f>
        <v>1</v>
      </c>
      <c r="BC177" s="64" t="n">
        <f aca="false">IF(CR177&gt;0,CR177*MAX(1,BA177/X177),IF(CA177=1,IF(BA177&lt;=0,0,CE177*MAX(1,IF(H177&gt;0,BA177/H177,1))),IF(R177&gt;0,BB177/R177,0))/MAX(0.1,N(Parameter!$M$21)))</f>
        <v>0.0384615384615385</v>
      </c>
      <c r="BD177" s="62" t="n">
        <f aca="false">BC177*CC177</f>
        <v>5.96153846153846</v>
      </c>
      <c r="BE177" s="63" t="n">
        <f aca="false">IF(LEFT(Cockpit!$O$5,1)="A",H177,IF(CI177=1,(CL177+CJ177)/2,IF(LEFT(Cockpit!$O$5,1)="B",(CL177+BG177)/2,MAX((CL177+BG177)/2,H177))))</f>
        <v>980</v>
      </c>
      <c r="BF177" s="62" t="n">
        <f aca="false">BE177*G177</f>
        <v>1479.8</v>
      </c>
      <c r="BG177" s="62" t="n">
        <f aca="false">ROUNDUP(CL177+MAX(CM177,2*(J177/IF(CH177&gt;0,CH177,MAX(0.1,N(Cockpit!$O$6)))-CL177)),0)</f>
        <v>1915</v>
      </c>
      <c r="BH177" s="63" t="n">
        <f aca="false">IF(BD177&gt;0,J177/BD177,-1)</f>
        <v>371.045161290323</v>
      </c>
      <c r="BI177" s="63" t="n">
        <f aca="false">IF(AND(OR(CG177="L1",CG177="L23",CG177="LIFT"),BD177&gt;0),SUMIFS($BD$7:$BD$1843,$CG$7:$CG$1843,CG177,$BH$7:$BH$1843,"&gt;"&amp;BH177)+SUMIFS($BD$7:$BD$1843,$CG$7:$CG$1843,CG177,$BH$7:$BH$1843,BH177,$BX$7:$BX$1843,"&lt;="&amp;BX177),"")</f>
        <v>221.320512820513</v>
      </c>
      <c r="BJ177" s="70" t="n">
        <f aca="false">IF(BI177="",0,MAX(0,MIN(1,(IF(CG177="L1",Parameter!$H$5,IF(CG177="L23",Parameter!$H$6+Parameter!$H$7,Parameter!$H$5+Parameter!$H$6+Parameter!$H$7))-(BI177-BD177))/BD177)))</f>
        <v>1</v>
      </c>
      <c r="BK177" s="60" t="str">
        <f aca="false">IF(AJ177&lt;=0,"",IF(CG177="Aussen","Aussenlager",IF(CG177="-","Nicht im Lift",IF(AP177&gt;=1,"Lift",IF(AP177&lt;=0,"Aussenlager","teilweise")))))</f>
        <v>Lift</v>
      </c>
      <c r="BL177" s="60" t="str">
        <f aca="false">IF(AT177&lt;=0,"",IF(CG177="Aussen","Aussenlager",IF(CG177="-","Nicht im Lift",IF(AZ177&gt;=1,"Lift",IF(AZ177&lt;=0,"Aussenlager","teilweise")))))</f>
        <v>Lift</v>
      </c>
      <c r="BM177" s="60" t="str">
        <f aca="false">IF(BD177&lt;=0,"",IF(CG177="Aussen","Aussenlager",IF(CG177="-","Nicht im Lift",IF(BJ177&gt;=1,"Lift",IF(BJ177&lt;=0,"Aussenlager","teilweise")))))</f>
        <v>Lift</v>
      </c>
      <c r="BN177" s="60" t="str">
        <f aca="false">IF(A177="","",IF(BW177=1,"Neu; ","")&amp;IF(AND(BW177=0,BR177&lt;0),"negativer Bestand (Export "&amp;BR177&amp;"); ","")&amp;IF(J177&lt;=0,"Kein Verbrauch; ","")&amp;IF(CR177&gt;0,"Lift "&amp;W177&amp;" lt. Liftbericht (Fach "&amp;X177&amp;" Stk); ",IF(CB177=1,"Gebinde geschätzt ("&amp;T177&amp;"); ",IF(CA177=1,"Lose – Tablare geschätzt; ","")))&amp;IF(H177&gt;AW177,"Überbestand "&amp;ROUND(H177-AW177,0)&amp;" Stk / CHF "&amp;ROUND((H177-AW177)*G177,0)&amp;"; ","")&amp;IF(AND(CI177=1,CJ177&lt;CK177),"MAX &lt; MB+LG; ","")&amp;IF(AND(CQ177&gt;0,CP177*10&gt;CQ177),"zu hoch für Tablar; ","")&amp;IF(AND(BW177=0,OR(CI177=1,AB177&lt;&gt;"",U177&lt;&gt;"",V177&lt;&gt;"",AC177&lt;&gt;"")),"manuell übersteuert; ","")&amp;IF(AND(CA177=0,R177=0),"Gebinde unbekannt / Stellmass fehlt; ","")&amp;IF(AND(CA177=0,N(V177)&lt;=0,N(Q177)&lt;=0),"Menge pro Gebinde fehlt (Ist = 1 Gebinde); ","")&amp;BV177)</f>
        <v/>
      </c>
      <c r="BO177" s="60"/>
      <c r="BP177" s="60"/>
      <c r="BQ177" s="67"/>
      <c r="BR177" s="62" t="n">
        <v>744</v>
      </c>
      <c r="BS177" s="62" t="n">
        <v>411</v>
      </c>
      <c r="BT177" s="61" t="n">
        <v>1039.86</v>
      </c>
      <c r="BU177" s="62" t="n">
        <v>2212</v>
      </c>
      <c r="BV177" s="60"/>
      <c r="BW177" s="65" t="n">
        <v>0</v>
      </c>
      <c r="BX177" s="65" t="n">
        <v>177</v>
      </c>
      <c r="BY177" s="60" t="str">
        <f aca="false">IF(U177&lt;&gt;"",UPPER(TRIM(U177)),IF(CB177=1,UPPER(VLOOKUP(T177,Parameter!$I$27:$K$29,2,0)),IF(P177="","LOSE",P177)))</f>
        <v>S51</v>
      </c>
      <c r="BZ177" s="62" t="n">
        <f aca="false">IF(BY177="LOSE",1,IF(N(V177)&gt;0,V177,IF(CB177=1,MAX(1,N(VLOOKUP(T177,Parameter!$I$27:$K$29,3,0)),H177,N(N177)),IF(N(Q177)&gt;0,Q177,MAX(1,H177)))))</f>
        <v>1322</v>
      </c>
      <c r="CA177" s="65" t="n">
        <f aca="false">IF(BY177="LOSE",1,0)</f>
        <v>0</v>
      </c>
      <c r="CB177" s="65" t="n">
        <f aca="false">IF(AND(U177="",OR(P177="",P177="LOSE"),T177&lt;&gt;"",N(S177)&lt;=0,ISNUMBER(MATCH(T177,Parameter!$I$27:$I$29,0))),1,0)</f>
        <v>0</v>
      </c>
      <c r="CC177" s="65" t="n">
        <f aca="false">IF(CR177&gt;0,INDEX(Parameter!$H$5:$H$7,W177)/INDEX(Parameter!$E$5:$E$7,W177),IF(AND(CA177=0,N(IFERROR(VLOOKUP(BY177,'Gebinde-Kategorie'!$A$5:$N$45,14,0),0))&gt;0),VLOOKUP(BY177,'Gebinde-Kategorie'!$A$5:$N$45,14,0)*10+Parameter!$M$23,Parameter!$M$24))</f>
        <v>155</v>
      </c>
      <c r="CD177" s="60" t="str">
        <f aca="false">IF(AND(Parameter!$B$19="Ja",E177&lt;&gt;"",ISNUMBER(MATCH(E177,Parameter!$I$35:$I$52,0))),VLOOKUP(E177,Parameter!$I$35:$J$52,2,0),IFERROR(VLOOKUP(D177,Parameter!$A$35:$C$64,2,0),"Nein"))</f>
        <v>2+3</v>
      </c>
      <c r="CE177" s="64" t="n">
        <f aca="false">IF(CA177=0,0,IF(N(S177)&gt;0,S177,IFERROR(VLOOKUP(D177,Parameter!$A$35:$C$64,3,0)+0,0)))</f>
        <v>0</v>
      </c>
      <c r="CF177" s="60" t="n">
        <f aca="false">IF(AB177&lt;&gt;"",AB177,AA177)</f>
        <v>3</v>
      </c>
      <c r="CG177" s="60" t="str">
        <f aca="false">IF(OR(CF177=1,CF177=2,CF177=3),IF(Parameter!$E$27="Ja","LIFT",IF(CF177=1,"L1","L23")),IF(CF177="Aussen","Aussen","-"))</f>
        <v>LIFT</v>
      </c>
      <c r="CH177" s="71" t="n">
        <f aca="false">IF(N(AC177)&gt;0,AC177,0)</f>
        <v>0</v>
      </c>
      <c r="CI177" s="65" t="n">
        <f aca="false">IF(ISNUMBER(AF177),1,0)</f>
        <v>0</v>
      </c>
      <c r="CJ177" s="62" t="n">
        <f aca="false">N(AF177)</f>
        <v>0</v>
      </c>
      <c r="CK177" s="62" t="n">
        <f aca="false">N(M177)+N(N177)</f>
        <v>1915</v>
      </c>
      <c r="CL177" s="62" t="n">
        <f aca="false">N(M177)</f>
        <v>45</v>
      </c>
      <c r="CM177" s="62" t="n">
        <f aca="false">N(N177)</f>
        <v>1870</v>
      </c>
      <c r="CN177" s="62" t="n">
        <f aca="false">ROUNDUP(H177/BZ177,0)</f>
        <v>1</v>
      </c>
      <c r="CO177" s="62" t="n">
        <f aca="false">ROUNDUP(CJ177/BZ177,0)</f>
        <v>0</v>
      </c>
      <c r="CP177" s="65" t="n">
        <f aca="false">IF(CA177=1,0,IFERROR(VLOOKUP(BY177,'Gebinde-Kategorie'!$A$5:$N$45,5,0)+0,0))</f>
        <v>11</v>
      </c>
      <c r="CQ177" s="65" t="n">
        <f aca="false">IFERROR(IF(OR(CF177=1,CF177=2,CF177=3),N(INDEX(Parameter!$I$5:$I$7,CF177)),0),0)</f>
        <v>0</v>
      </c>
      <c r="CR177" s="64" t="n">
        <f aca="false">IF(AND(Parameter!$B$21="Ja",ISNUMBER(W177),N(X177)&gt;0),IFERROR(N(INDEX(Parameter!$L$5:$L$7,W177))*INDEX(Parameter!$E$5:$E$7,W177)*X177/SUMIFS($X$7:$X$1843,$W$7:$W$1843,W177),0),0)</f>
        <v>0</v>
      </c>
      <c r="CS177" s="62" t="n">
        <f aca="false">IF(AND(OR(CG177="L1",CG177="L23",CG177="LIFT"),H177&gt;0),CC177*IF(CR177&gt;0,CR177*MAX(1,H177/X177),IF(CA177=1,CE177,IF(R177&gt;0,CN177/R177,0))/MAX(0.1,N(Parameter!$M$21))),"")</f>
        <v>5.96153846153846</v>
      </c>
      <c r="CT177" s="64" t="n">
        <f aca="false">IF(CS177="","",J177/H177)</f>
        <v>1.91515151515152</v>
      </c>
      <c r="CU177" s="62" t="n">
        <f aca="false">IF(CS177="","",H177*G177)</f>
        <v>1744.05</v>
      </c>
      <c r="CV177" s="63" t="n">
        <f aca="false">IF(CS177="","",(CL177+ROUNDUP(CL177+MAX(CM177,2*(J177/MAX(0.1,N(Einkauf!$C$6))-CL177)),0))/2)</f>
        <v>980</v>
      </c>
      <c r="CW177" s="62" t="n">
        <f aca="false">IF(CS177="","",MAX(0,H177-CV177)*G177)</f>
        <v>264.25</v>
      </c>
      <c r="CX177" s="62" t="n">
        <f aca="false">IF(CS177="","",CS177*MAX(0,1-CV177/H177))</f>
        <v>0.903263403263403</v>
      </c>
      <c r="CY177" s="64" t="n">
        <f aca="false">IF(CS177="","",PERCENTRANK($CS$7:$CS$1843,CS177)+PERCENTRANK($CU$7:$CU$1843,CU177)+1-PERCENTRANK($CT$7:$CT$1843,CT177))</f>
        <v>1.296</v>
      </c>
      <c r="CZ177" s="72" t="n">
        <f aca="false">IF(CS177="","",CHOOSE(MATCH(Einkauf!$C$5,Parameter!$G$23:$G$27,0),CY177,CS177,CU177,-CT177,CW177)+ROW()/1000000000)</f>
        <v>1.296000177</v>
      </c>
    </row>
    <row r="178" customFormat="false" ht="15" hidden="false" customHeight="false" outlineLevel="0" collapsed="false">
      <c r="A178" s="60" t="s">
        <v>603</v>
      </c>
      <c r="B178" s="60" t="s">
        <v>604</v>
      </c>
      <c r="C178" s="60" t="s">
        <v>206</v>
      </c>
      <c r="D178" s="60" t="s">
        <v>226</v>
      </c>
      <c r="E178" s="60" t="s">
        <v>227</v>
      </c>
      <c r="F178" s="60" t="s">
        <v>260</v>
      </c>
      <c r="G178" s="61" t="n">
        <v>62.49</v>
      </c>
      <c r="H178" s="62" t="n">
        <f aca="false">MAX(0,IF(AND(Parameter!$B$21="Ja",ISNUMBER(Y178)),Y178,IF(Parameter!$B$20="Jahresanfang 2025 + Export",BS178+BR178,BR178)))</f>
        <v>39</v>
      </c>
      <c r="I178" s="62" t="n">
        <f aca="false">H178*G178</f>
        <v>2437.11</v>
      </c>
      <c r="J178" s="62" t="n">
        <f aca="false">BU178*Parameter!$B$18</f>
        <v>69</v>
      </c>
      <c r="K178" s="63" t="n">
        <v>46</v>
      </c>
      <c r="L178" s="64" t="n">
        <v>1.5</v>
      </c>
      <c r="M178" s="62" t="n">
        <v>15</v>
      </c>
      <c r="N178" s="62" t="n">
        <v>50</v>
      </c>
      <c r="O178" s="65" t="n">
        <v>56</v>
      </c>
      <c r="P178" s="60" t="s">
        <v>344</v>
      </c>
      <c r="Q178" s="62" t="n">
        <v>43</v>
      </c>
      <c r="R178" s="65" t="n">
        <f aca="false">IF(CA178=1,0,IFERROR(VLOOKUP(BY178,'Gebinde-Kategorie'!$A$5:$N$45,13,0)+0,0))</f>
        <v>26</v>
      </c>
      <c r="S178" s="66"/>
      <c r="T178" s="67"/>
      <c r="U178" s="67"/>
      <c r="V178" s="67"/>
      <c r="W178" s="60"/>
      <c r="X178" s="62"/>
      <c r="Y178" s="62"/>
      <c r="Z178" s="60" t="n">
        <v>3</v>
      </c>
      <c r="AA178" s="60" t="n">
        <f aca="false">IF(A178="","",IF(AND(Parameter!$B$21="Ja",ISNUMBER(W178)),W178,IF(AND(Parameter!$E$27="Ja",ISNUMBER(Z178),CD178&lt;&gt;"Nein"),Z178,IF(CD178="2+3",IF(ISNUMBER(SEARCH("grosser Artikel",BV178)),2,IFERROR(VLOOKUP(BY178,Parameter!$F$35:$G$64,2,0),2)),IF(OR(CD178="Nein",CD178=""),"-",CD178)))))</f>
        <v>3</v>
      </c>
      <c r="AB178" s="67"/>
      <c r="AC178" s="68"/>
      <c r="AD178" s="62" t="n">
        <f aca="false">AW178</f>
        <v>65</v>
      </c>
      <c r="AE178" s="62" t="n">
        <f aca="false">MAX(AW178,H178)</f>
        <v>65</v>
      </c>
      <c r="AF178" s="69"/>
      <c r="AG178" s="62" t="n">
        <f aca="false">IF(LEFT(Cockpit!$C$5,1)="A",H178,IF(Parameter!$E$30="MAX-Bestand",IF(CI178=1,CJ178,IF(LEFT(Cockpit!$C$5,1)="B",AM178,MAX(AM178,H178))),ROUNDUP(AK178,0)))</f>
        <v>39</v>
      </c>
      <c r="AH178" s="62" t="n">
        <f aca="false">IF(CA178=1,0,ROUNDUP(AG178/BZ178,0))</f>
        <v>1</v>
      </c>
      <c r="AI178" s="64" t="n">
        <f aca="false">IF(CR178&gt;0,CR178*MAX(1,AG178/X178),IF(CA178=1,IF(AG178&lt;=0,0,CE178*MAX(1,IF(H178&gt;0,AG178/H178,1))),IF(R178&gt;0,AH178/R178,0))/MAX(0.1,N(Parameter!$M$21)))</f>
        <v>0.0384615384615385</v>
      </c>
      <c r="AJ178" s="62" t="n">
        <f aca="false">AI178*CC178</f>
        <v>5.96153846153846</v>
      </c>
      <c r="AK178" s="63" t="n">
        <f aca="false">IF(LEFT(Cockpit!$C$5,1)="A",H178,IF(CI178=1,(CL178+CJ178)/2,IF(LEFT(Cockpit!$C$5,1)="B",(CL178+AM178)/2,MAX((CL178+AM178)/2,H178))))</f>
        <v>39</v>
      </c>
      <c r="AL178" s="62" t="n">
        <f aca="false">AK178*G178</f>
        <v>2437.11</v>
      </c>
      <c r="AM178" s="62" t="n">
        <f aca="false">ROUNDUP(CL178+MAX(CM178,2*(J178/IF(CH178&gt;0,CH178,MAX(0.1,N(Cockpit!$C$6)))-CL178)),0)</f>
        <v>65</v>
      </c>
      <c r="AN178" s="63" t="n">
        <f aca="false">IF(AJ178&gt;0,J178/AJ178,-1)</f>
        <v>11.5741935483871</v>
      </c>
      <c r="AO178" s="63" t="n">
        <f aca="false">IF(AND(OR(CG178="L1",CG178="L23",CG178="LIFT"),AJ178&gt;0),SUMIFS($AJ$7:$AJ$1843,$CG$7:$CG$1843,CG178,$AN$7:$AN$1843,"&gt;"&amp;AN178)+SUMIFS($AJ$7:$AJ$1843,$CG$7:$CG$1843,CG178,$AN$7:$AN$1843,AN178,$BX$7:$BX$1843,"&lt;="&amp;BX178),"")</f>
        <v>2547.43681318681</v>
      </c>
      <c r="AP178" s="70" t="n">
        <f aca="false">IF(AO178="",0,MAX(0,MIN(1,(IF(CG178="L1",Parameter!$H$5,IF(CG178="L23",Parameter!$H$6+Parameter!$H$7,Parameter!$H$5+Parameter!$H$6+Parameter!$H$7))-(AO178-AJ178))/AJ178)))</f>
        <v>1</v>
      </c>
      <c r="AQ178" s="62" t="n">
        <f aca="false">IF(LEFT(Cockpit!$I$5,1)="A",H178,IF(Parameter!$E$30="MAX-Bestand",IF(CI178=1,CJ178,IF(LEFT(Cockpit!$I$5,1)="B",AW178,MAX(AW178,H178))),ROUNDUP(AU178,0)))</f>
        <v>40</v>
      </c>
      <c r="AR178" s="62" t="n">
        <f aca="false">IF(CA178=1,0,ROUNDUP(AQ178/BZ178,0))</f>
        <v>1</v>
      </c>
      <c r="AS178" s="64" t="n">
        <f aca="false">IF(CR178&gt;0,CR178*MAX(1,AQ178/X178),IF(CA178=1,IF(AQ178&lt;=0,0,CE178*MAX(1,IF(H178&gt;0,AQ178/H178,1))),IF(R178&gt;0,AR178/R178,0))/MAX(0.1,N(Parameter!$M$21)))</f>
        <v>0.0384615384615385</v>
      </c>
      <c r="AT178" s="62" t="n">
        <f aca="false">AS178*CC178</f>
        <v>5.96153846153846</v>
      </c>
      <c r="AU178" s="63" t="n">
        <f aca="false">IF(LEFT(Cockpit!$I$5,1)="A",H178,IF(CI178=1,(CL178+CJ178)/2,IF(LEFT(Cockpit!$I$5,1)="B",(CL178+AW178)/2,MAX((CL178+AW178)/2,H178))))</f>
        <v>40</v>
      </c>
      <c r="AV178" s="62" t="n">
        <f aca="false">AU178*G178</f>
        <v>2499.6</v>
      </c>
      <c r="AW178" s="62" t="n">
        <f aca="false">ROUNDUP(CL178+MAX(CM178,2*(J178/IF(CH178&gt;0,CH178,MAX(0.1,N(Cockpit!$I$6)))-CL178)),0)</f>
        <v>65</v>
      </c>
      <c r="AX178" s="63" t="n">
        <f aca="false">IF(AT178&gt;0,J178/AT178,-1)</f>
        <v>11.5741935483871</v>
      </c>
      <c r="AY178" s="63" t="n">
        <f aca="false">IF(AND(OR(CG178="L1",CG178="L23",CG178="LIFT"),AT178&gt;0),SUMIFS($AT$7:$AT$1843,$CG$7:$CG$1843,CG178,$AX$7:$AX$1843,"&gt;"&amp;AX178)+SUMIFS($AT$7:$AT$1843,$CG$7:$CG$1843,CG178,$AX$7:$AX$1843,AX178,$BX$7:$BX$1843,"&lt;="&amp;BX178),"")</f>
        <v>3124.7326007326</v>
      </c>
      <c r="AZ178" s="70" t="n">
        <f aca="false">IF(AY178="",0,MAX(0,MIN(1,(IF(CG178="L1",Parameter!$H$5,IF(CG178="L23",Parameter!$H$6+Parameter!$H$7,Parameter!$H$5+Parameter!$H$6+Parameter!$H$7))-(AY178-AT178))/AT178)))</f>
        <v>1</v>
      </c>
      <c r="BA178" s="62" t="n">
        <f aca="false">IF(LEFT(Cockpit!$O$5,1)="A",H178,IF(Parameter!$E$30="MAX-Bestand",IF(CI178=1,CJ178,IF(LEFT(Cockpit!$O$5,1)="B",BG178,MAX(BG178,H178))),ROUNDUP(BE178,0)))</f>
        <v>40</v>
      </c>
      <c r="BB178" s="62" t="n">
        <f aca="false">IF(CA178=1,0,ROUNDUP(BA178/BZ178,0))</f>
        <v>1</v>
      </c>
      <c r="BC178" s="64" t="n">
        <f aca="false">IF(CR178&gt;0,CR178*MAX(1,BA178/X178),IF(CA178=1,IF(BA178&lt;=0,0,CE178*MAX(1,IF(H178&gt;0,BA178/H178,1))),IF(R178&gt;0,BB178/R178,0))/MAX(0.1,N(Parameter!$M$21)))</f>
        <v>0.0384615384615385</v>
      </c>
      <c r="BD178" s="62" t="n">
        <f aca="false">BC178*CC178</f>
        <v>5.96153846153846</v>
      </c>
      <c r="BE178" s="63" t="n">
        <f aca="false">IF(LEFT(Cockpit!$O$5,1)="A",H178,IF(CI178=1,(CL178+CJ178)/2,IF(LEFT(Cockpit!$O$5,1)="B",(CL178+BG178)/2,MAX((CL178+BG178)/2,H178))))</f>
        <v>40</v>
      </c>
      <c r="BF178" s="62" t="n">
        <f aca="false">BE178*G178</f>
        <v>2499.6</v>
      </c>
      <c r="BG178" s="62" t="n">
        <f aca="false">ROUNDUP(CL178+MAX(CM178,2*(J178/IF(CH178&gt;0,CH178,MAX(0.1,N(Cockpit!$O$6)))-CL178)),0)</f>
        <v>65</v>
      </c>
      <c r="BH178" s="63" t="n">
        <f aca="false">IF(BD178&gt;0,J178/BD178,-1)</f>
        <v>11.5741935483871</v>
      </c>
      <c r="BI178" s="63" t="n">
        <f aca="false">IF(AND(OR(CG178="L1",CG178="L23",CG178="LIFT"),BD178&gt;0),SUMIFS($BD$7:$BD$1843,$CG$7:$CG$1843,CG178,$BH$7:$BH$1843,"&gt;"&amp;BH178)+SUMIFS($BD$7:$BD$1843,$CG$7:$CG$1843,CG178,$BH$7:$BH$1843,BH178,$BX$7:$BX$1843,"&lt;="&amp;BX178),"")</f>
        <v>2592.59798534799</v>
      </c>
      <c r="BJ178" s="70" t="n">
        <f aca="false">IF(BI178="",0,MAX(0,MIN(1,(IF(CG178="L1",Parameter!$H$5,IF(CG178="L23",Parameter!$H$6+Parameter!$H$7,Parameter!$H$5+Parameter!$H$6+Parameter!$H$7))-(BI178-BD178))/BD178)))</f>
        <v>1</v>
      </c>
      <c r="BK178" s="60" t="str">
        <f aca="false">IF(AJ178&lt;=0,"",IF(CG178="Aussen","Aussenlager",IF(CG178="-","Nicht im Lift",IF(AP178&gt;=1,"Lift",IF(AP178&lt;=0,"Aussenlager","teilweise")))))</f>
        <v>Lift</v>
      </c>
      <c r="BL178" s="60" t="str">
        <f aca="false">IF(AT178&lt;=0,"",IF(CG178="Aussen","Aussenlager",IF(CG178="-","Nicht im Lift",IF(AZ178&gt;=1,"Lift",IF(AZ178&lt;=0,"Aussenlager","teilweise")))))</f>
        <v>Lift</v>
      </c>
      <c r="BM178" s="60" t="str">
        <f aca="false">IF(BD178&lt;=0,"",IF(CG178="Aussen","Aussenlager",IF(CG178="-","Nicht im Lift",IF(BJ178&gt;=1,"Lift",IF(BJ178&lt;=0,"Aussenlager","teilweise")))))</f>
        <v>Lift</v>
      </c>
      <c r="BN178" s="60" t="str">
        <f aca="false">IF(A178="","",IF(BW178=1,"Neu; ","")&amp;IF(AND(BW178=0,BR178&lt;0),"negativer Bestand (Export "&amp;BR178&amp;"); ","")&amp;IF(J178&lt;=0,"Kein Verbrauch; ","")&amp;IF(CR178&gt;0,"Lift "&amp;W178&amp;" lt. Liftbericht (Fach "&amp;X178&amp;" Stk); ",IF(CB178=1,"Gebinde geschätzt ("&amp;T178&amp;"); ",IF(CA178=1,"Lose – Tablare geschätzt; ","")))&amp;IF(H178&gt;AW178,"Überbestand "&amp;ROUND(H178-AW178,0)&amp;" Stk / CHF "&amp;ROUND((H178-AW178)*G178,0)&amp;"; ","")&amp;IF(AND(CI178=1,CJ178&lt;CK178),"MAX &lt; MB+LG; ","")&amp;IF(AND(CQ178&gt;0,CP178*10&gt;CQ178),"zu hoch für Tablar; ","")&amp;IF(AND(BW178=0,OR(CI178=1,AB178&lt;&gt;"",U178&lt;&gt;"",V178&lt;&gt;"",AC178&lt;&gt;"")),"manuell übersteuert; ","")&amp;IF(AND(CA178=0,R178=0),"Gebinde unbekannt / Stellmass fehlt; ","")&amp;IF(AND(CA178=0,N(V178)&lt;=0,N(Q178)&lt;=0),"Menge pro Gebinde fehlt (Ist = 1 Gebinde); ","")&amp;BV178)</f>
        <v/>
      </c>
      <c r="BO178" s="60"/>
      <c r="BP178" s="60"/>
      <c r="BQ178" s="67"/>
      <c r="BR178" s="62" t="n">
        <v>23</v>
      </c>
      <c r="BS178" s="62" t="n">
        <v>16</v>
      </c>
      <c r="BT178" s="61" t="n">
        <v>1027.83</v>
      </c>
      <c r="BU178" s="62" t="n">
        <v>69</v>
      </c>
      <c r="BV178" s="60"/>
      <c r="BW178" s="65" t="n">
        <v>0</v>
      </c>
      <c r="BX178" s="65" t="n">
        <v>178</v>
      </c>
      <c r="BY178" s="60" t="str">
        <f aca="false">IF(U178&lt;&gt;"",UPPER(TRIM(U178)),IF(CB178=1,UPPER(VLOOKUP(T178,Parameter!$I$27:$K$29,2,0)),IF(P178="","LOSE",P178)))</f>
        <v>S51</v>
      </c>
      <c r="BZ178" s="62" t="n">
        <f aca="false">IF(BY178="LOSE",1,IF(N(V178)&gt;0,V178,IF(CB178=1,MAX(1,N(VLOOKUP(T178,Parameter!$I$27:$K$29,3,0)),H178,N(N178)),IF(N(Q178)&gt;0,Q178,MAX(1,H178)))))</f>
        <v>43</v>
      </c>
      <c r="CA178" s="65" t="n">
        <f aca="false">IF(BY178="LOSE",1,0)</f>
        <v>0</v>
      </c>
      <c r="CB178" s="65" t="n">
        <f aca="false">IF(AND(U178="",OR(P178="",P178="LOSE"),T178&lt;&gt;"",N(S178)&lt;=0,ISNUMBER(MATCH(T178,Parameter!$I$27:$I$29,0))),1,0)</f>
        <v>0</v>
      </c>
      <c r="CC178" s="65" t="n">
        <f aca="false">IF(CR178&gt;0,INDEX(Parameter!$H$5:$H$7,W178)/INDEX(Parameter!$E$5:$E$7,W178),IF(AND(CA178=0,N(IFERROR(VLOOKUP(BY178,'Gebinde-Kategorie'!$A$5:$N$45,14,0),0))&gt;0),VLOOKUP(BY178,'Gebinde-Kategorie'!$A$5:$N$45,14,0)*10+Parameter!$M$23,Parameter!$M$24))</f>
        <v>155</v>
      </c>
      <c r="CD178" s="60" t="str">
        <f aca="false">IF(AND(Parameter!$B$19="Ja",E178&lt;&gt;"",ISNUMBER(MATCH(E178,Parameter!$I$35:$I$52,0))),VLOOKUP(E178,Parameter!$I$35:$J$52,2,0),IFERROR(VLOOKUP(D178,Parameter!$A$35:$C$64,2,0),"Nein"))</f>
        <v>2+3</v>
      </c>
      <c r="CE178" s="64" t="n">
        <f aca="false">IF(CA178=0,0,IF(N(S178)&gt;0,S178,IFERROR(VLOOKUP(D178,Parameter!$A$35:$C$64,3,0)+0,0)))</f>
        <v>0</v>
      </c>
      <c r="CF178" s="60" t="n">
        <f aca="false">IF(AB178&lt;&gt;"",AB178,AA178)</f>
        <v>3</v>
      </c>
      <c r="CG178" s="60" t="str">
        <f aca="false">IF(OR(CF178=1,CF178=2,CF178=3),IF(Parameter!$E$27="Ja","LIFT",IF(CF178=1,"L1","L23")),IF(CF178="Aussen","Aussen","-"))</f>
        <v>LIFT</v>
      </c>
      <c r="CH178" s="71" t="n">
        <f aca="false">IF(N(AC178)&gt;0,AC178,0)</f>
        <v>0</v>
      </c>
      <c r="CI178" s="65" t="n">
        <f aca="false">IF(ISNUMBER(AF178),1,0)</f>
        <v>0</v>
      </c>
      <c r="CJ178" s="62" t="n">
        <f aca="false">N(AF178)</f>
        <v>0</v>
      </c>
      <c r="CK178" s="62" t="n">
        <f aca="false">N(M178)+N(N178)</f>
        <v>65</v>
      </c>
      <c r="CL178" s="62" t="n">
        <f aca="false">N(M178)</f>
        <v>15</v>
      </c>
      <c r="CM178" s="62" t="n">
        <f aca="false">N(N178)</f>
        <v>50</v>
      </c>
      <c r="CN178" s="62" t="n">
        <f aca="false">ROUNDUP(H178/BZ178,0)</f>
        <v>1</v>
      </c>
      <c r="CO178" s="62" t="n">
        <f aca="false">ROUNDUP(CJ178/BZ178,0)</f>
        <v>0</v>
      </c>
      <c r="CP178" s="65" t="n">
        <f aca="false">IF(CA178=1,0,IFERROR(VLOOKUP(BY178,'Gebinde-Kategorie'!$A$5:$N$45,5,0)+0,0))</f>
        <v>11</v>
      </c>
      <c r="CQ178" s="65" t="n">
        <f aca="false">IFERROR(IF(OR(CF178=1,CF178=2,CF178=3),N(INDEX(Parameter!$I$5:$I$7,CF178)),0),0)</f>
        <v>0</v>
      </c>
      <c r="CR178" s="64" t="n">
        <f aca="false">IF(AND(Parameter!$B$21="Ja",ISNUMBER(W178),N(X178)&gt;0),IFERROR(N(INDEX(Parameter!$L$5:$L$7,W178))*INDEX(Parameter!$E$5:$E$7,W178)*X178/SUMIFS($X$7:$X$1843,$W$7:$W$1843,W178),0),0)</f>
        <v>0</v>
      </c>
      <c r="CS178" s="62" t="n">
        <f aca="false">IF(AND(OR(CG178="L1",CG178="L23",CG178="LIFT"),H178&gt;0),CC178*IF(CR178&gt;0,CR178*MAX(1,H178/X178),IF(CA178=1,CE178,IF(R178&gt;0,CN178/R178,0))/MAX(0.1,N(Parameter!$M$21))),"")</f>
        <v>5.96153846153846</v>
      </c>
      <c r="CT178" s="64" t="n">
        <f aca="false">IF(CS178="","",J178/H178)</f>
        <v>1.76923076923077</v>
      </c>
      <c r="CU178" s="62" t="n">
        <f aca="false">IF(CS178="","",H178*G178)</f>
        <v>2437.11</v>
      </c>
      <c r="CV178" s="63" t="n">
        <f aca="false">IF(CS178="","",(CL178+ROUNDUP(CL178+MAX(CM178,2*(J178/MAX(0.1,N(Einkauf!$C$6))-CL178)),0))/2)</f>
        <v>40</v>
      </c>
      <c r="CW178" s="62" t="n">
        <f aca="false">IF(CS178="","",MAX(0,H178-CV178)*G178)</f>
        <v>0</v>
      </c>
      <c r="CX178" s="62" t="n">
        <f aca="false">IF(CS178="","",CS178*MAX(0,1-CV178/H178))</f>
        <v>0</v>
      </c>
      <c r="CY178" s="64" t="n">
        <f aca="false">IF(CS178="","",PERCENTRANK($CS$7:$CS$1843,CS178)+PERCENTRANK($CU$7:$CU$1843,CU178)+1-PERCENTRANK($CT$7:$CT$1843,CT178))</f>
        <v>1.365</v>
      </c>
      <c r="CZ178" s="72" t="n">
        <f aca="false">IF(CS178="","",CHOOSE(MATCH(Einkauf!$C$5,Parameter!$G$23:$G$27,0),CY178,CS178,CU178,-CT178,CW178)+ROW()/1000000000)</f>
        <v>1.365000178</v>
      </c>
    </row>
    <row r="179" customFormat="false" ht="15" hidden="false" customHeight="false" outlineLevel="0" collapsed="false">
      <c r="A179" s="60" t="s">
        <v>605</v>
      </c>
      <c r="B179" s="60" t="s">
        <v>606</v>
      </c>
      <c r="C179" s="60" t="s">
        <v>206</v>
      </c>
      <c r="D179" s="60" t="s">
        <v>226</v>
      </c>
      <c r="E179" s="60" t="s">
        <v>227</v>
      </c>
      <c r="F179" s="60" t="s">
        <v>260</v>
      </c>
      <c r="G179" s="61" t="n">
        <v>17.82</v>
      </c>
      <c r="H179" s="62" t="n">
        <f aca="false">MAX(0,IF(AND(Parameter!$B$21="Ja",ISNUMBER(Y179)),Y179,IF(Parameter!$B$20="Jahresanfang 2025 + Export",BS179+BR179,BR179)))</f>
        <v>71</v>
      </c>
      <c r="I179" s="62" t="n">
        <f aca="false">H179*G179</f>
        <v>1265.22</v>
      </c>
      <c r="J179" s="62" t="n">
        <f aca="false">BU179*Parameter!$B$18</f>
        <v>10</v>
      </c>
      <c r="K179" s="63" t="n">
        <v>9.5</v>
      </c>
      <c r="L179" s="64" t="n">
        <v>1.05263157894737</v>
      </c>
      <c r="M179" s="62" t="n">
        <v>0</v>
      </c>
      <c r="N179" s="62" t="n">
        <v>10</v>
      </c>
      <c r="O179" s="65" t="n">
        <v>28</v>
      </c>
      <c r="P179" s="60" t="s">
        <v>518</v>
      </c>
      <c r="Q179" s="62" t="n">
        <v>27</v>
      </c>
      <c r="R179" s="65" t="n">
        <f aca="false">IF(CA179=1,0,IFERROR(VLOOKUP(BY179,'Gebinde-Kategorie'!$A$5:$N$45,13,0)+0,0))</f>
        <v>52</v>
      </c>
      <c r="S179" s="66"/>
      <c r="T179" s="67"/>
      <c r="U179" s="67"/>
      <c r="V179" s="67"/>
      <c r="W179" s="60"/>
      <c r="X179" s="62"/>
      <c r="Y179" s="62"/>
      <c r="Z179" s="60" t="n">
        <v>3</v>
      </c>
      <c r="AA179" s="60" t="n">
        <f aca="false">IF(A179="","",IF(AND(Parameter!$B$21="Ja",ISNUMBER(W179)),W179,IF(AND(Parameter!$E$27="Ja",ISNUMBER(Z179),CD179&lt;&gt;"Nein"),Z179,IF(CD179="2+3",IF(ISNUMBER(SEARCH("grosser Artikel",BV179)),2,IFERROR(VLOOKUP(BY179,Parameter!$F$35:$G$64,2,0),2)),IF(OR(CD179="Nein",CD179=""),"-",CD179)))))</f>
        <v>3</v>
      </c>
      <c r="AB179" s="67"/>
      <c r="AC179" s="68"/>
      <c r="AD179" s="62" t="n">
        <f aca="false">AW179</f>
        <v>10</v>
      </c>
      <c r="AE179" s="62" t="n">
        <f aca="false">MAX(AW179,H179)</f>
        <v>71</v>
      </c>
      <c r="AF179" s="69"/>
      <c r="AG179" s="62" t="n">
        <f aca="false">IF(LEFT(Cockpit!$C$5,1)="A",H179,IF(Parameter!$E$30="MAX-Bestand",IF(CI179=1,CJ179,IF(LEFT(Cockpit!$C$5,1)="B",AM179,MAX(AM179,H179))),ROUNDUP(AK179,0)))</f>
        <v>71</v>
      </c>
      <c r="AH179" s="62" t="n">
        <f aca="false">IF(CA179=1,0,ROUNDUP(AG179/BZ179,0))</f>
        <v>3</v>
      </c>
      <c r="AI179" s="64" t="n">
        <f aca="false">IF(CR179&gt;0,CR179*MAX(1,AG179/X179),IF(CA179=1,IF(AG179&lt;=0,0,CE179*MAX(1,IF(H179&gt;0,AG179/H179,1))),IF(R179&gt;0,AH179/R179,0))/MAX(0.1,N(Parameter!$M$21)))</f>
        <v>0.0576923076923077</v>
      </c>
      <c r="AJ179" s="62" t="n">
        <f aca="false">AI179*CC179</f>
        <v>8.94230769230769</v>
      </c>
      <c r="AK179" s="63" t="n">
        <f aca="false">IF(LEFT(Cockpit!$C$5,1)="A",H179,IF(CI179=1,(CL179+CJ179)/2,IF(LEFT(Cockpit!$C$5,1)="B",(CL179+AM179)/2,MAX((CL179+AM179)/2,H179))))</f>
        <v>71</v>
      </c>
      <c r="AL179" s="62" t="n">
        <f aca="false">AK179*G179</f>
        <v>1265.22</v>
      </c>
      <c r="AM179" s="62" t="n">
        <f aca="false">ROUNDUP(CL179+MAX(CM179,2*(J179/IF(CH179&gt;0,CH179,MAX(0.1,N(Cockpit!$C$6)))-CL179)),0)</f>
        <v>10</v>
      </c>
      <c r="AN179" s="63" t="n">
        <f aca="false">IF(AJ179&gt;0,J179/AJ179,-1)</f>
        <v>1.11827956989247</v>
      </c>
      <c r="AO179" s="63" t="n">
        <f aca="false">IF(AND(OR(CG179="L1",CG179="L23",CG179="LIFT"),AJ179&gt;0),SUMIFS($AJ$7:$AJ$1843,$CG$7:$CG$1843,CG179,$AN$7:$AN$1843,"&gt;"&amp;AN179)+SUMIFS($AJ$7:$AJ$1843,$CG$7:$CG$1843,CG179,$AN$7:$AN$1843,AN179,$BX$7:$BX$1843,"&lt;="&amp;BX179),"")</f>
        <v>6763.711996337</v>
      </c>
      <c r="AP179" s="70" t="n">
        <f aca="false">IF(AO179="",0,MAX(0,MIN(1,(IF(CG179="L1",Parameter!$H$5,IF(CG179="L23",Parameter!$H$6+Parameter!$H$7,Parameter!$H$5+Parameter!$H$6+Parameter!$H$7))-(AO179-AJ179))/AJ179)))</f>
        <v>1</v>
      </c>
      <c r="AQ179" s="62" t="n">
        <f aca="false">IF(LEFT(Cockpit!$I$5,1)="A",H179,IF(Parameter!$E$30="MAX-Bestand",IF(CI179=1,CJ179,IF(LEFT(Cockpit!$I$5,1)="B",AW179,MAX(AW179,H179))),ROUNDUP(AU179,0)))</f>
        <v>71</v>
      </c>
      <c r="AR179" s="62" t="n">
        <f aca="false">IF(CA179=1,0,ROUNDUP(AQ179/BZ179,0))</f>
        <v>3</v>
      </c>
      <c r="AS179" s="64" t="n">
        <f aca="false">IF(CR179&gt;0,CR179*MAX(1,AQ179/X179),IF(CA179=1,IF(AQ179&lt;=0,0,CE179*MAX(1,IF(H179&gt;0,AQ179/H179,1))),IF(R179&gt;0,AR179/R179,0))/MAX(0.1,N(Parameter!$M$21)))</f>
        <v>0.0576923076923077</v>
      </c>
      <c r="AT179" s="62" t="n">
        <f aca="false">AS179*CC179</f>
        <v>8.94230769230769</v>
      </c>
      <c r="AU179" s="63" t="n">
        <f aca="false">IF(LEFT(Cockpit!$I$5,1)="A",H179,IF(CI179=1,(CL179+CJ179)/2,IF(LEFT(Cockpit!$I$5,1)="B",(CL179+AW179)/2,MAX((CL179+AW179)/2,H179))))</f>
        <v>71</v>
      </c>
      <c r="AV179" s="62" t="n">
        <f aca="false">AU179*G179</f>
        <v>1265.22</v>
      </c>
      <c r="AW179" s="62" t="n">
        <f aca="false">ROUNDUP(CL179+MAX(CM179,2*(J179/IF(CH179&gt;0,CH179,MAX(0.1,N(Cockpit!$I$6)))-CL179)),0)</f>
        <v>10</v>
      </c>
      <c r="AX179" s="63" t="n">
        <f aca="false">IF(AT179&gt;0,J179/AT179,-1)</f>
        <v>1.11827956989247</v>
      </c>
      <c r="AY179" s="63" t="n">
        <f aca="false">IF(AND(OR(CG179="L1",CG179="L23",CG179="LIFT"),AT179&gt;0),SUMIFS($AT$7:$AT$1843,$CG$7:$CG$1843,CG179,$AX$7:$AX$1843,"&gt;"&amp;AX179)+SUMIFS($AT$7:$AT$1843,$CG$7:$CG$1843,CG179,$AX$7:$AX$1843,AX179,$BX$7:$BX$1843,"&lt;="&amp;BX179),"")</f>
        <v>8221.29304029304</v>
      </c>
      <c r="AZ179" s="70" t="n">
        <f aca="false">IF(AY179="",0,MAX(0,MIN(1,(IF(CG179="L1",Parameter!$H$5,IF(CG179="L23",Parameter!$H$6+Parameter!$H$7,Parameter!$H$5+Parameter!$H$6+Parameter!$H$7))-(AY179-AT179))/AT179)))</f>
        <v>1</v>
      </c>
      <c r="BA179" s="62" t="n">
        <f aca="false">IF(LEFT(Cockpit!$O$5,1)="A",H179,IF(Parameter!$E$30="MAX-Bestand",IF(CI179=1,CJ179,IF(LEFT(Cockpit!$O$5,1)="B",BG179,MAX(BG179,H179))),ROUNDUP(BE179,0)))</f>
        <v>5</v>
      </c>
      <c r="BB179" s="62" t="n">
        <f aca="false">IF(CA179=1,0,ROUNDUP(BA179/BZ179,0))</f>
        <v>1</v>
      </c>
      <c r="BC179" s="64" t="n">
        <f aca="false">IF(CR179&gt;0,CR179*MAX(1,BA179/X179),IF(CA179=1,IF(BA179&lt;=0,0,CE179*MAX(1,IF(H179&gt;0,BA179/H179,1))),IF(R179&gt;0,BB179/R179,0))/MAX(0.1,N(Parameter!$M$21)))</f>
        <v>0.0192307692307692</v>
      </c>
      <c r="BD179" s="62" t="n">
        <f aca="false">BC179*CC179</f>
        <v>2.98076923076923</v>
      </c>
      <c r="BE179" s="63" t="n">
        <f aca="false">IF(LEFT(Cockpit!$O$5,1)="A",H179,IF(CI179=1,(CL179+CJ179)/2,IF(LEFT(Cockpit!$O$5,1)="B",(CL179+BG179)/2,MAX((CL179+BG179)/2,H179))))</f>
        <v>5</v>
      </c>
      <c r="BF179" s="62" t="n">
        <f aca="false">BE179*G179</f>
        <v>89.1</v>
      </c>
      <c r="BG179" s="62" t="n">
        <f aca="false">ROUNDUP(CL179+MAX(CM179,2*(J179/IF(CH179&gt;0,CH179,MAX(0.1,N(Cockpit!$O$6)))-CL179)),0)</f>
        <v>10</v>
      </c>
      <c r="BH179" s="63" t="n">
        <f aca="false">IF(BD179&gt;0,J179/BD179,-1)</f>
        <v>3.35483870967742</v>
      </c>
      <c r="BI179" s="63" t="n">
        <f aca="false">IF(AND(OR(CG179="L1",CG179="L23",CG179="LIFT"),BD179&gt;0),SUMIFS($BD$7:$BD$1843,$CG$7:$CG$1843,CG179,$BH$7:$BH$1843,"&gt;"&amp;BH179)+SUMIFS($BD$7:$BD$1843,$CG$7:$CG$1843,CG179,$BH$7:$BH$1843,BH179,$BX$7:$BX$1843,"&lt;="&amp;BX179),"")</f>
        <v>4563.87362637363</v>
      </c>
      <c r="BJ179" s="70" t="n">
        <f aca="false">IF(BI179="",0,MAX(0,MIN(1,(IF(CG179="L1",Parameter!$H$5,IF(CG179="L23",Parameter!$H$6+Parameter!$H$7,Parameter!$H$5+Parameter!$H$6+Parameter!$H$7))-(BI179-BD179))/BD179)))</f>
        <v>1</v>
      </c>
      <c r="BK179" s="60" t="str">
        <f aca="false">IF(AJ179&lt;=0,"",IF(CG179="Aussen","Aussenlager",IF(CG179="-","Nicht im Lift",IF(AP179&gt;=1,"Lift",IF(AP179&lt;=0,"Aussenlager","teilweise")))))</f>
        <v>Lift</v>
      </c>
      <c r="BL179" s="60" t="str">
        <f aca="false">IF(AT179&lt;=0,"",IF(CG179="Aussen","Aussenlager",IF(CG179="-","Nicht im Lift",IF(AZ179&gt;=1,"Lift",IF(AZ179&lt;=0,"Aussenlager","teilweise")))))</f>
        <v>Lift</v>
      </c>
      <c r="BM179" s="60" t="str">
        <f aca="false">IF(BD179&lt;=0,"",IF(CG179="Aussen","Aussenlager",IF(CG179="-","Nicht im Lift",IF(BJ179&gt;=1,"Lift",IF(BJ179&lt;=0,"Aussenlager","teilweise")))))</f>
        <v>Lift</v>
      </c>
      <c r="BN179" s="60" t="str">
        <f aca="false">IF(A179="","",IF(BW179=1,"Neu; ","")&amp;IF(AND(BW179=0,BR179&lt;0),"negativer Bestand (Export "&amp;BR179&amp;"); ","")&amp;IF(J179&lt;=0,"Kein Verbrauch; ","")&amp;IF(CR179&gt;0,"Lift "&amp;W179&amp;" lt. Liftbericht (Fach "&amp;X179&amp;" Stk); ",IF(CB179=1,"Gebinde geschätzt ("&amp;T179&amp;"); ",IF(CA179=1,"Lose – Tablare geschätzt; ","")))&amp;IF(H179&gt;AW179,"Überbestand "&amp;ROUND(H179-AW179,0)&amp;" Stk / CHF "&amp;ROUND((H179-AW179)*G179,0)&amp;"; ","")&amp;IF(AND(CI179=1,CJ179&lt;CK179),"MAX &lt; MB+LG; ","")&amp;IF(AND(CQ179&gt;0,CP179*10&gt;CQ179),"zu hoch für Tablar; ","")&amp;IF(AND(BW179=0,OR(CI179=1,AB179&lt;&gt;"",U179&lt;&gt;"",V179&lt;&gt;"",AC179&lt;&gt;"")),"manuell übersteuert; ","")&amp;IF(AND(CA179=0,R179=0),"Gebinde unbekannt / Stellmass fehlt; ","")&amp;IF(AND(CA179=0,N(V179)&lt;=0,N(Q179)&lt;=0),"Menge pro Gebinde fehlt (Ist = 1 Gebinde); ","")&amp;BV179)</f>
        <v>Überbestand 61 Stk / CHF 1087; </v>
      </c>
      <c r="BO179" s="60"/>
      <c r="BP179" s="60"/>
      <c r="BQ179" s="67"/>
      <c r="BR179" s="62" t="n">
        <v>66</v>
      </c>
      <c r="BS179" s="62" t="n">
        <v>5</v>
      </c>
      <c r="BT179" s="61" t="n">
        <v>1025.77</v>
      </c>
      <c r="BU179" s="62" t="n">
        <v>10</v>
      </c>
      <c r="BV179" s="60"/>
      <c r="BW179" s="65" t="n">
        <v>0</v>
      </c>
      <c r="BX179" s="65" t="n">
        <v>179</v>
      </c>
      <c r="BY179" s="60" t="str">
        <f aca="false">IF(U179&lt;&gt;"",UPPER(TRIM(U179)),IF(CB179=1,UPPER(VLOOKUP(T179,Parameter!$I$27:$K$29,2,0)),IF(P179="","LOSE",P179)))</f>
        <v>S33</v>
      </c>
      <c r="BZ179" s="62" t="n">
        <f aca="false">IF(BY179="LOSE",1,IF(N(V179)&gt;0,V179,IF(CB179=1,MAX(1,N(VLOOKUP(T179,Parameter!$I$27:$K$29,3,0)),H179,N(N179)),IF(N(Q179)&gt;0,Q179,MAX(1,H179)))))</f>
        <v>27</v>
      </c>
      <c r="CA179" s="65" t="n">
        <f aca="false">IF(BY179="LOSE",1,0)</f>
        <v>0</v>
      </c>
      <c r="CB179" s="65" t="n">
        <f aca="false">IF(AND(U179="",OR(P179="",P179="LOSE"),T179&lt;&gt;"",N(S179)&lt;=0,ISNUMBER(MATCH(T179,Parameter!$I$27:$I$29,0))),1,0)</f>
        <v>0</v>
      </c>
      <c r="CC179" s="65" t="n">
        <f aca="false">IF(CR179&gt;0,INDEX(Parameter!$H$5:$H$7,W179)/INDEX(Parameter!$E$5:$E$7,W179),IF(AND(CA179=0,N(IFERROR(VLOOKUP(BY179,'Gebinde-Kategorie'!$A$5:$N$45,14,0),0))&gt;0),VLOOKUP(BY179,'Gebinde-Kategorie'!$A$5:$N$45,14,0)*10+Parameter!$M$23,Parameter!$M$24))</f>
        <v>155</v>
      </c>
      <c r="CD179" s="60" t="str">
        <f aca="false">IF(AND(Parameter!$B$19="Ja",E179&lt;&gt;"",ISNUMBER(MATCH(E179,Parameter!$I$35:$I$52,0))),VLOOKUP(E179,Parameter!$I$35:$J$52,2,0),IFERROR(VLOOKUP(D179,Parameter!$A$35:$C$64,2,0),"Nein"))</f>
        <v>2+3</v>
      </c>
      <c r="CE179" s="64" t="n">
        <f aca="false">IF(CA179=0,0,IF(N(S179)&gt;0,S179,IFERROR(VLOOKUP(D179,Parameter!$A$35:$C$64,3,0)+0,0)))</f>
        <v>0</v>
      </c>
      <c r="CF179" s="60" t="n">
        <f aca="false">IF(AB179&lt;&gt;"",AB179,AA179)</f>
        <v>3</v>
      </c>
      <c r="CG179" s="60" t="str">
        <f aca="false">IF(OR(CF179=1,CF179=2,CF179=3),IF(Parameter!$E$27="Ja","LIFT",IF(CF179=1,"L1","L23")),IF(CF179="Aussen","Aussen","-"))</f>
        <v>LIFT</v>
      </c>
      <c r="CH179" s="71" t="n">
        <f aca="false">IF(N(AC179)&gt;0,AC179,0)</f>
        <v>0</v>
      </c>
      <c r="CI179" s="65" t="n">
        <f aca="false">IF(ISNUMBER(AF179),1,0)</f>
        <v>0</v>
      </c>
      <c r="CJ179" s="62" t="n">
        <f aca="false">N(AF179)</f>
        <v>0</v>
      </c>
      <c r="CK179" s="62" t="n">
        <f aca="false">N(M179)+N(N179)</f>
        <v>10</v>
      </c>
      <c r="CL179" s="62" t="n">
        <f aca="false">N(M179)</f>
        <v>0</v>
      </c>
      <c r="CM179" s="62" t="n">
        <f aca="false">N(N179)</f>
        <v>10</v>
      </c>
      <c r="CN179" s="62" t="n">
        <f aca="false">ROUNDUP(H179/BZ179,0)</f>
        <v>3</v>
      </c>
      <c r="CO179" s="62" t="n">
        <f aca="false">ROUNDUP(CJ179/BZ179,0)</f>
        <v>0</v>
      </c>
      <c r="CP179" s="65" t="n">
        <f aca="false">IF(CA179=1,0,IFERROR(VLOOKUP(BY179,'Gebinde-Kategorie'!$A$5:$N$45,5,0)+0,0))</f>
        <v>8</v>
      </c>
      <c r="CQ179" s="65" t="n">
        <f aca="false">IFERROR(IF(OR(CF179=1,CF179=2,CF179=3),N(INDEX(Parameter!$I$5:$I$7,CF179)),0),0)</f>
        <v>0</v>
      </c>
      <c r="CR179" s="64" t="n">
        <f aca="false">IF(AND(Parameter!$B$21="Ja",ISNUMBER(W179),N(X179)&gt;0),IFERROR(N(INDEX(Parameter!$L$5:$L$7,W179))*INDEX(Parameter!$E$5:$E$7,W179)*X179/SUMIFS($X$7:$X$1843,$W$7:$W$1843,W179),0),0)</f>
        <v>0</v>
      </c>
      <c r="CS179" s="62" t="n">
        <f aca="false">IF(AND(OR(CG179="L1",CG179="L23",CG179="LIFT"),H179&gt;0),CC179*IF(CR179&gt;0,CR179*MAX(1,H179/X179),IF(CA179=1,CE179,IF(R179&gt;0,CN179/R179,0))/MAX(0.1,N(Parameter!$M$21))),"")</f>
        <v>8.94230769230769</v>
      </c>
      <c r="CT179" s="64" t="n">
        <f aca="false">IF(CS179="","",J179/H179)</f>
        <v>0.140845070422535</v>
      </c>
      <c r="CU179" s="62" t="n">
        <f aca="false">IF(CS179="","",H179*G179)</f>
        <v>1265.22</v>
      </c>
      <c r="CV179" s="63" t="n">
        <f aca="false">IF(CS179="","",(CL179+ROUNDUP(CL179+MAX(CM179,2*(J179/MAX(0.1,N(Einkauf!$C$6))-CL179)),0))/2)</f>
        <v>5</v>
      </c>
      <c r="CW179" s="62" t="n">
        <f aca="false">IF(CS179="","",MAX(0,H179-CV179)*G179)</f>
        <v>1176.12</v>
      </c>
      <c r="CX179" s="62" t="n">
        <f aca="false">IF(CS179="","",CS179*MAX(0,1-CV179/H179))</f>
        <v>8.31256771397617</v>
      </c>
      <c r="CY179" s="64" t="n">
        <f aca="false">IF(CS179="","",PERCENTRANK($CS$7:$CS$1843,CS179)+PERCENTRANK($CU$7:$CU$1843,CU179)+1-PERCENTRANK($CT$7:$CT$1843,CT179))</f>
        <v>1.809</v>
      </c>
      <c r="CZ179" s="72" t="n">
        <f aca="false">IF(CS179="","",CHOOSE(MATCH(Einkauf!$C$5,Parameter!$G$23:$G$27,0),CY179,CS179,CU179,-CT179,CW179)+ROW()/1000000000)</f>
        <v>1.809000179</v>
      </c>
    </row>
    <row r="180" customFormat="false" ht="15" hidden="false" customHeight="false" outlineLevel="0" collapsed="false">
      <c r="A180" s="60" t="s">
        <v>607</v>
      </c>
      <c r="B180" s="60" t="s">
        <v>608</v>
      </c>
      <c r="C180" s="60" t="s">
        <v>206</v>
      </c>
      <c r="D180" s="60" t="s">
        <v>226</v>
      </c>
      <c r="E180" s="60" t="s">
        <v>227</v>
      </c>
      <c r="F180" s="60" t="s">
        <v>260</v>
      </c>
      <c r="G180" s="61" t="n">
        <v>134.64</v>
      </c>
      <c r="H180" s="62" t="n">
        <f aca="false">MAX(0,IF(AND(Parameter!$B$21="Ja",ISNUMBER(Y180)),Y180,IF(Parameter!$B$20="Jahresanfang 2025 + Export",BS180+BR180,BR180)))</f>
        <v>13</v>
      </c>
      <c r="I180" s="62" t="n">
        <f aca="false">H180*G180</f>
        <v>1750.32</v>
      </c>
      <c r="J180" s="62" t="n">
        <f aca="false">BU180*Parameter!$B$18</f>
        <v>13</v>
      </c>
      <c r="K180" s="63" t="n">
        <v>6</v>
      </c>
      <c r="L180" s="64" t="n">
        <v>2.16666666666667</v>
      </c>
      <c r="M180" s="62" t="n">
        <v>0</v>
      </c>
      <c r="N180" s="62" t="n">
        <v>15</v>
      </c>
      <c r="O180" s="65" t="n">
        <v>14</v>
      </c>
      <c r="P180" s="60" t="s">
        <v>518</v>
      </c>
      <c r="Q180" s="62" t="n">
        <v>29</v>
      </c>
      <c r="R180" s="65" t="n">
        <f aca="false">IF(CA180=1,0,IFERROR(VLOOKUP(BY180,'Gebinde-Kategorie'!$A$5:$N$45,13,0)+0,0))</f>
        <v>52</v>
      </c>
      <c r="S180" s="66"/>
      <c r="T180" s="67"/>
      <c r="U180" s="67"/>
      <c r="V180" s="67"/>
      <c r="W180" s="60"/>
      <c r="X180" s="62"/>
      <c r="Y180" s="62"/>
      <c r="Z180" s="60" t="n">
        <v>3</v>
      </c>
      <c r="AA180" s="60" t="n">
        <f aca="false">IF(A180="","",IF(AND(Parameter!$B$21="Ja",ISNUMBER(W180)),W180,IF(AND(Parameter!$E$27="Ja",ISNUMBER(Z180),CD180&lt;&gt;"Nein"),Z180,IF(CD180="2+3",IF(ISNUMBER(SEARCH("grosser Artikel",BV180)),2,IFERROR(VLOOKUP(BY180,Parameter!$F$35:$G$64,2,0),2)),IF(OR(CD180="Nein",CD180=""),"-",CD180)))))</f>
        <v>3</v>
      </c>
      <c r="AB180" s="67"/>
      <c r="AC180" s="68"/>
      <c r="AD180" s="62" t="n">
        <f aca="false">AW180</f>
        <v>15</v>
      </c>
      <c r="AE180" s="62" t="n">
        <f aca="false">MAX(AW180,H180)</f>
        <v>15</v>
      </c>
      <c r="AF180" s="69"/>
      <c r="AG180" s="62" t="n">
        <f aca="false">IF(LEFT(Cockpit!$C$5,1)="A",H180,IF(Parameter!$E$30="MAX-Bestand",IF(CI180=1,CJ180,IF(LEFT(Cockpit!$C$5,1)="B",AM180,MAX(AM180,H180))),ROUNDUP(AK180,0)))</f>
        <v>13</v>
      </c>
      <c r="AH180" s="62" t="n">
        <f aca="false">IF(CA180=1,0,ROUNDUP(AG180/BZ180,0))</f>
        <v>1</v>
      </c>
      <c r="AI180" s="64" t="n">
        <f aca="false">IF(CR180&gt;0,CR180*MAX(1,AG180/X180),IF(CA180=1,IF(AG180&lt;=0,0,CE180*MAX(1,IF(H180&gt;0,AG180/H180,1))),IF(R180&gt;0,AH180/R180,0))/MAX(0.1,N(Parameter!$M$21)))</f>
        <v>0.0192307692307692</v>
      </c>
      <c r="AJ180" s="62" t="n">
        <f aca="false">AI180*CC180</f>
        <v>2.98076923076923</v>
      </c>
      <c r="AK180" s="63" t="n">
        <f aca="false">IF(LEFT(Cockpit!$C$5,1)="A",H180,IF(CI180=1,(CL180+CJ180)/2,IF(LEFT(Cockpit!$C$5,1)="B",(CL180+AM180)/2,MAX((CL180+AM180)/2,H180))))</f>
        <v>13</v>
      </c>
      <c r="AL180" s="62" t="n">
        <f aca="false">AK180*G180</f>
        <v>1750.32</v>
      </c>
      <c r="AM180" s="62" t="n">
        <f aca="false">ROUNDUP(CL180+MAX(CM180,2*(J180/IF(CH180&gt;0,CH180,MAX(0.1,N(Cockpit!$C$6)))-CL180)),0)</f>
        <v>15</v>
      </c>
      <c r="AN180" s="63" t="n">
        <f aca="false">IF(AJ180&gt;0,J180/AJ180,-1)</f>
        <v>4.36129032258065</v>
      </c>
      <c r="AO180" s="63" t="n">
        <f aca="false">IF(AND(OR(CG180="L1",CG180="L23",CG180="LIFT"),AJ180&gt;0),SUMIFS($AJ$7:$AJ$1843,$CG$7:$CG$1843,CG180,$AN$7:$AN$1843,"&gt;"&amp;AN180)+SUMIFS($AJ$7:$AJ$1843,$CG$7:$CG$1843,CG180,$AN$7:$AN$1843,AN180,$BX$7:$BX$1843,"&lt;="&amp;BX180),"")</f>
        <v>4180.61217948718</v>
      </c>
      <c r="AP180" s="70" t="n">
        <f aca="false">IF(AO180="",0,MAX(0,MIN(1,(IF(CG180="L1",Parameter!$H$5,IF(CG180="L23",Parameter!$H$6+Parameter!$H$7,Parameter!$H$5+Parameter!$H$6+Parameter!$H$7))-(AO180-AJ180))/AJ180)))</f>
        <v>1</v>
      </c>
      <c r="AQ180" s="62" t="n">
        <f aca="false">IF(LEFT(Cockpit!$I$5,1)="A",H180,IF(Parameter!$E$30="MAX-Bestand",IF(CI180=1,CJ180,IF(LEFT(Cockpit!$I$5,1)="B",AW180,MAX(AW180,H180))),ROUNDUP(AU180,0)))</f>
        <v>13</v>
      </c>
      <c r="AR180" s="62" t="n">
        <f aca="false">IF(CA180=1,0,ROUNDUP(AQ180/BZ180,0))</f>
        <v>1</v>
      </c>
      <c r="AS180" s="64" t="n">
        <f aca="false">IF(CR180&gt;0,CR180*MAX(1,AQ180/X180),IF(CA180=1,IF(AQ180&lt;=0,0,CE180*MAX(1,IF(H180&gt;0,AQ180/H180,1))),IF(R180&gt;0,AR180/R180,0))/MAX(0.1,N(Parameter!$M$21)))</f>
        <v>0.0192307692307692</v>
      </c>
      <c r="AT180" s="62" t="n">
        <f aca="false">AS180*CC180</f>
        <v>2.98076923076923</v>
      </c>
      <c r="AU180" s="63" t="n">
        <f aca="false">IF(LEFT(Cockpit!$I$5,1)="A",H180,IF(CI180=1,(CL180+CJ180)/2,IF(LEFT(Cockpit!$I$5,1)="B",(CL180+AW180)/2,MAX((CL180+AW180)/2,H180))))</f>
        <v>13</v>
      </c>
      <c r="AV180" s="62" t="n">
        <f aca="false">AU180*G180</f>
        <v>1750.32</v>
      </c>
      <c r="AW180" s="62" t="n">
        <f aca="false">ROUNDUP(CL180+MAX(CM180,2*(J180/IF(CH180&gt;0,CH180,MAX(0.1,N(Cockpit!$I$6)))-CL180)),0)</f>
        <v>15</v>
      </c>
      <c r="AX180" s="63" t="n">
        <f aca="false">IF(AT180&gt;0,J180/AT180,-1)</f>
        <v>4.36129032258065</v>
      </c>
      <c r="AY180" s="63" t="n">
        <f aca="false">IF(AND(OR(CG180="L1",CG180="L23",CG180="LIFT"),AT180&gt;0),SUMIFS($AT$7:$AT$1843,$CG$7:$CG$1843,CG180,$AX$7:$AX$1843,"&gt;"&amp;AX180)+SUMIFS($AT$7:$AT$1843,$CG$7:$CG$1843,CG180,$AX$7:$AX$1843,AX180,$BX$7:$BX$1843,"&lt;="&amp;BX180),"")</f>
        <v>4748.10302197802</v>
      </c>
      <c r="AZ180" s="70" t="n">
        <f aca="false">IF(AY180="",0,MAX(0,MIN(1,(IF(CG180="L1",Parameter!$H$5,IF(CG180="L23",Parameter!$H$6+Parameter!$H$7,Parameter!$H$5+Parameter!$H$6+Parameter!$H$7))-(AY180-AT180))/AT180)))</f>
        <v>1</v>
      </c>
      <c r="BA180" s="62" t="n">
        <f aca="false">IF(LEFT(Cockpit!$O$5,1)="A",H180,IF(Parameter!$E$30="MAX-Bestand",IF(CI180=1,CJ180,IF(LEFT(Cockpit!$O$5,1)="B",BG180,MAX(BG180,H180))),ROUNDUP(BE180,0)))</f>
        <v>8</v>
      </c>
      <c r="BB180" s="62" t="n">
        <f aca="false">IF(CA180=1,0,ROUNDUP(BA180/BZ180,0))</f>
        <v>1</v>
      </c>
      <c r="BC180" s="64" t="n">
        <f aca="false">IF(CR180&gt;0,CR180*MAX(1,BA180/X180),IF(CA180=1,IF(BA180&lt;=0,0,CE180*MAX(1,IF(H180&gt;0,BA180/H180,1))),IF(R180&gt;0,BB180/R180,0))/MAX(0.1,N(Parameter!$M$21)))</f>
        <v>0.0192307692307692</v>
      </c>
      <c r="BD180" s="62" t="n">
        <f aca="false">BC180*CC180</f>
        <v>2.98076923076923</v>
      </c>
      <c r="BE180" s="63" t="n">
        <f aca="false">IF(LEFT(Cockpit!$O$5,1)="A",H180,IF(CI180=1,(CL180+CJ180)/2,IF(LEFT(Cockpit!$O$5,1)="B",(CL180+BG180)/2,MAX((CL180+BG180)/2,H180))))</f>
        <v>7.5</v>
      </c>
      <c r="BF180" s="62" t="n">
        <f aca="false">BE180*G180</f>
        <v>1009.8</v>
      </c>
      <c r="BG180" s="62" t="n">
        <f aca="false">ROUNDUP(CL180+MAX(CM180,2*(J180/IF(CH180&gt;0,CH180,MAX(0.1,N(Cockpit!$O$6)))-CL180)),0)</f>
        <v>15</v>
      </c>
      <c r="BH180" s="63" t="n">
        <f aca="false">IF(BD180&gt;0,J180/BD180,-1)</f>
        <v>4.36129032258065</v>
      </c>
      <c r="BI180" s="63" t="n">
        <f aca="false">IF(AND(OR(CG180="L1",CG180="L23",CG180="LIFT"),BD180&gt;0),SUMIFS($BD$7:$BD$1843,$CG$7:$CG$1843,CG180,$BH$7:$BH$1843,"&gt;"&amp;BH180)+SUMIFS($BD$7:$BD$1843,$CG$7:$CG$1843,CG180,$BH$7:$BH$1843,BH180,$BX$7:$BX$1843,"&lt;="&amp;BX180),"")</f>
        <v>3944.69597069597</v>
      </c>
      <c r="BJ180" s="70" t="n">
        <f aca="false">IF(BI180="",0,MAX(0,MIN(1,(IF(CG180="L1",Parameter!$H$5,IF(CG180="L23",Parameter!$H$6+Parameter!$H$7,Parameter!$H$5+Parameter!$H$6+Parameter!$H$7))-(BI180-BD180))/BD180)))</f>
        <v>1</v>
      </c>
      <c r="BK180" s="60" t="str">
        <f aca="false">IF(AJ180&lt;=0,"",IF(CG180="Aussen","Aussenlager",IF(CG180="-","Nicht im Lift",IF(AP180&gt;=1,"Lift",IF(AP180&lt;=0,"Aussenlager","teilweise")))))</f>
        <v>Lift</v>
      </c>
      <c r="BL180" s="60" t="str">
        <f aca="false">IF(AT180&lt;=0,"",IF(CG180="Aussen","Aussenlager",IF(CG180="-","Nicht im Lift",IF(AZ180&gt;=1,"Lift",IF(AZ180&lt;=0,"Aussenlager","teilweise")))))</f>
        <v>Lift</v>
      </c>
      <c r="BM180" s="60" t="str">
        <f aca="false">IF(BD180&lt;=0,"",IF(CG180="Aussen","Aussenlager",IF(CG180="-","Nicht im Lift",IF(BJ180&gt;=1,"Lift",IF(BJ180&lt;=0,"Aussenlager","teilweise")))))</f>
        <v>Lift</v>
      </c>
      <c r="BN180" s="60" t="str">
        <f aca="false">IF(A180="","",IF(BW180=1,"Neu; ","")&amp;IF(AND(BW180=0,BR180&lt;0),"negativer Bestand (Export "&amp;BR180&amp;"); ","")&amp;IF(J180&lt;=0,"Kein Verbrauch; ","")&amp;IF(CR180&gt;0,"Lift "&amp;W180&amp;" lt. Liftbericht (Fach "&amp;X180&amp;" Stk); ",IF(CB180=1,"Gebinde geschätzt ("&amp;T180&amp;"); ",IF(CA180=1,"Lose – Tablare geschätzt; ","")))&amp;IF(H180&gt;AW180,"Überbestand "&amp;ROUND(H180-AW180,0)&amp;" Stk / CHF "&amp;ROUND((H180-AW180)*G180,0)&amp;"; ","")&amp;IF(AND(CI180=1,CJ180&lt;CK180),"MAX &lt; MB+LG; ","")&amp;IF(AND(CQ180&gt;0,CP180*10&gt;CQ180),"zu hoch für Tablar; ","")&amp;IF(AND(BW180=0,OR(CI180=1,AB180&lt;&gt;"",U180&lt;&gt;"",V180&lt;&gt;"",AC180&lt;&gt;"")),"manuell übersteuert; ","")&amp;IF(AND(CA180=0,R180=0),"Gebinde unbekannt / Stellmass fehlt; ","")&amp;IF(AND(CA180=0,N(V180)&lt;=0,N(Q180)&lt;=0),"Menge pro Gebinde fehlt (Ist = 1 Gebinde); ","")&amp;BV180)</f>
        <v/>
      </c>
      <c r="BO180" s="60"/>
      <c r="BP180" s="60"/>
      <c r="BQ180" s="67"/>
      <c r="BR180" s="62" t="n">
        <v>5</v>
      </c>
      <c r="BS180" s="62" t="n">
        <v>8</v>
      </c>
      <c r="BT180" s="61" t="n">
        <v>1016.24</v>
      </c>
      <c r="BU180" s="62" t="n">
        <v>13</v>
      </c>
      <c r="BV180" s="60"/>
      <c r="BW180" s="65" t="n">
        <v>0</v>
      </c>
      <c r="BX180" s="65" t="n">
        <v>180</v>
      </c>
      <c r="BY180" s="60" t="str">
        <f aca="false">IF(U180&lt;&gt;"",UPPER(TRIM(U180)),IF(CB180=1,UPPER(VLOOKUP(T180,Parameter!$I$27:$K$29,2,0)),IF(P180="","LOSE",P180)))</f>
        <v>S33</v>
      </c>
      <c r="BZ180" s="62" t="n">
        <f aca="false">IF(BY180="LOSE",1,IF(N(V180)&gt;0,V180,IF(CB180=1,MAX(1,N(VLOOKUP(T180,Parameter!$I$27:$K$29,3,0)),H180,N(N180)),IF(N(Q180)&gt;0,Q180,MAX(1,H180)))))</f>
        <v>29</v>
      </c>
      <c r="CA180" s="65" t="n">
        <f aca="false">IF(BY180="LOSE",1,0)</f>
        <v>0</v>
      </c>
      <c r="CB180" s="65" t="n">
        <f aca="false">IF(AND(U180="",OR(P180="",P180="LOSE"),T180&lt;&gt;"",N(S180)&lt;=0,ISNUMBER(MATCH(T180,Parameter!$I$27:$I$29,0))),1,0)</f>
        <v>0</v>
      </c>
      <c r="CC180" s="65" t="n">
        <f aca="false">IF(CR180&gt;0,INDEX(Parameter!$H$5:$H$7,W180)/INDEX(Parameter!$E$5:$E$7,W180),IF(AND(CA180=0,N(IFERROR(VLOOKUP(BY180,'Gebinde-Kategorie'!$A$5:$N$45,14,0),0))&gt;0),VLOOKUP(BY180,'Gebinde-Kategorie'!$A$5:$N$45,14,0)*10+Parameter!$M$23,Parameter!$M$24))</f>
        <v>155</v>
      </c>
      <c r="CD180" s="60" t="str">
        <f aca="false">IF(AND(Parameter!$B$19="Ja",E180&lt;&gt;"",ISNUMBER(MATCH(E180,Parameter!$I$35:$I$52,0))),VLOOKUP(E180,Parameter!$I$35:$J$52,2,0),IFERROR(VLOOKUP(D180,Parameter!$A$35:$C$64,2,0),"Nein"))</f>
        <v>2+3</v>
      </c>
      <c r="CE180" s="64" t="n">
        <f aca="false">IF(CA180=0,0,IF(N(S180)&gt;0,S180,IFERROR(VLOOKUP(D180,Parameter!$A$35:$C$64,3,0)+0,0)))</f>
        <v>0</v>
      </c>
      <c r="CF180" s="60" t="n">
        <f aca="false">IF(AB180&lt;&gt;"",AB180,AA180)</f>
        <v>3</v>
      </c>
      <c r="CG180" s="60" t="str">
        <f aca="false">IF(OR(CF180=1,CF180=2,CF180=3),IF(Parameter!$E$27="Ja","LIFT",IF(CF180=1,"L1","L23")),IF(CF180="Aussen","Aussen","-"))</f>
        <v>LIFT</v>
      </c>
      <c r="CH180" s="71" t="n">
        <f aca="false">IF(N(AC180)&gt;0,AC180,0)</f>
        <v>0</v>
      </c>
      <c r="CI180" s="65" t="n">
        <f aca="false">IF(ISNUMBER(AF180),1,0)</f>
        <v>0</v>
      </c>
      <c r="CJ180" s="62" t="n">
        <f aca="false">N(AF180)</f>
        <v>0</v>
      </c>
      <c r="CK180" s="62" t="n">
        <f aca="false">N(M180)+N(N180)</f>
        <v>15</v>
      </c>
      <c r="CL180" s="62" t="n">
        <f aca="false">N(M180)</f>
        <v>0</v>
      </c>
      <c r="CM180" s="62" t="n">
        <f aca="false">N(N180)</f>
        <v>15</v>
      </c>
      <c r="CN180" s="62" t="n">
        <f aca="false">ROUNDUP(H180/BZ180,0)</f>
        <v>1</v>
      </c>
      <c r="CO180" s="62" t="n">
        <f aca="false">ROUNDUP(CJ180/BZ180,0)</f>
        <v>0</v>
      </c>
      <c r="CP180" s="65" t="n">
        <f aca="false">IF(CA180=1,0,IFERROR(VLOOKUP(BY180,'Gebinde-Kategorie'!$A$5:$N$45,5,0)+0,0))</f>
        <v>8</v>
      </c>
      <c r="CQ180" s="65" t="n">
        <f aca="false">IFERROR(IF(OR(CF180=1,CF180=2,CF180=3),N(INDEX(Parameter!$I$5:$I$7,CF180)),0),0)</f>
        <v>0</v>
      </c>
      <c r="CR180" s="64" t="n">
        <f aca="false">IF(AND(Parameter!$B$21="Ja",ISNUMBER(W180),N(X180)&gt;0),IFERROR(N(INDEX(Parameter!$L$5:$L$7,W180))*INDEX(Parameter!$E$5:$E$7,W180)*X180/SUMIFS($X$7:$X$1843,$W$7:$W$1843,W180),0),0)</f>
        <v>0</v>
      </c>
      <c r="CS180" s="62" t="n">
        <f aca="false">IF(AND(OR(CG180="L1",CG180="L23",CG180="LIFT"),H180&gt;0),CC180*IF(CR180&gt;0,CR180*MAX(1,H180/X180),IF(CA180=1,CE180,IF(R180&gt;0,CN180/R180,0))/MAX(0.1,N(Parameter!$M$21))),"")</f>
        <v>2.98076923076923</v>
      </c>
      <c r="CT180" s="64" t="n">
        <f aca="false">IF(CS180="","",J180/H180)</f>
        <v>1</v>
      </c>
      <c r="CU180" s="62" t="n">
        <f aca="false">IF(CS180="","",H180*G180)</f>
        <v>1750.32</v>
      </c>
      <c r="CV180" s="63" t="n">
        <f aca="false">IF(CS180="","",(CL180+ROUNDUP(CL180+MAX(CM180,2*(J180/MAX(0.1,N(Einkauf!$C$6))-CL180)),0))/2)</f>
        <v>7.5</v>
      </c>
      <c r="CW180" s="62" t="n">
        <f aca="false">IF(CS180="","",MAX(0,H180-CV180)*G180)</f>
        <v>740.52</v>
      </c>
      <c r="CX180" s="62" t="n">
        <f aca="false">IF(CS180="","",CS180*MAX(0,1-CV180/H180))</f>
        <v>1.26109467455621</v>
      </c>
      <c r="CY180" s="64" t="n">
        <f aca="false">IF(CS180="","",PERCENTRANK($CS$7:$CS$1843,CS180)+PERCENTRANK($CU$7:$CU$1843,CU180)+1-PERCENTRANK($CT$7:$CT$1843,CT180))</f>
        <v>1.323</v>
      </c>
      <c r="CZ180" s="72" t="n">
        <f aca="false">IF(CS180="","",CHOOSE(MATCH(Einkauf!$C$5,Parameter!$G$23:$G$27,0),CY180,CS180,CU180,-CT180,CW180)+ROW()/1000000000)</f>
        <v>1.32300018</v>
      </c>
    </row>
    <row r="181" customFormat="false" ht="15" hidden="false" customHeight="false" outlineLevel="0" collapsed="false">
      <c r="A181" s="60" t="s">
        <v>609</v>
      </c>
      <c r="B181" s="60" t="s">
        <v>586</v>
      </c>
      <c r="C181" s="60" t="s">
        <v>206</v>
      </c>
      <c r="D181" s="60" t="s">
        <v>226</v>
      </c>
      <c r="E181" s="60" t="s">
        <v>227</v>
      </c>
      <c r="F181" s="60" t="s">
        <v>260</v>
      </c>
      <c r="G181" s="61" t="n">
        <v>14.91</v>
      </c>
      <c r="H181" s="62" t="n">
        <f aca="false">MAX(0,IF(AND(Parameter!$B$21="Ja",ISNUMBER(Y181)),Y181,IF(Parameter!$B$20="Jahresanfang 2025 + Export",BS181+BR181,BR181)))</f>
        <v>83</v>
      </c>
      <c r="I181" s="62" t="n">
        <f aca="false">H181*G181</f>
        <v>1237.53</v>
      </c>
      <c r="J181" s="62" t="n">
        <f aca="false">BU181*Parameter!$B$18</f>
        <v>83</v>
      </c>
      <c r="K181" s="63" t="n">
        <v>13.5</v>
      </c>
      <c r="L181" s="64" t="n">
        <v>6.14814814814815</v>
      </c>
      <c r="M181" s="62" t="n">
        <v>4</v>
      </c>
      <c r="N181" s="62" t="n">
        <v>85</v>
      </c>
      <c r="O181" s="65" t="n">
        <v>21</v>
      </c>
      <c r="P181" s="60" t="s">
        <v>468</v>
      </c>
      <c r="Q181" s="62" t="n">
        <v>36</v>
      </c>
      <c r="R181" s="65" t="n">
        <f aca="false">IF(CA181=1,0,IFERROR(VLOOKUP(BY181,'Gebinde-Kategorie'!$A$5:$N$45,13,0)+0,0))</f>
        <v>140</v>
      </c>
      <c r="S181" s="66"/>
      <c r="T181" s="67"/>
      <c r="U181" s="67"/>
      <c r="V181" s="67"/>
      <c r="W181" s="60"/>
      <c r="X181" s="62"/>
      <c r="Y181" s="62"/>
      <c r="Z181" s="60" t="n">
        <v>3</v>
      </c>
      <c r="AA181" s="60" t="n">
        <f aca="false">IF(A181="","",IF(AND(Parameter!$B$21="Ja",ISNUMBER(W181)),W181,IF(AND(Parameter!$E$27="Ja",ISNUMBER(Z181),CD181&lt;&gt;"Nein"),Z181,IF(CD181="2+3",IF(ISNUMBER(SEARCH("grosser Artikel",BV181)),2,IFERROR(VLOOKUP(BY181,Parameter!$F$35:$G$64,2,0),2)),IF(OR(CD181="Nein",CD181=""),"-",CD181)))))</f>
        <v>3</v>
      </c>
      <c r="AB181" s="67"/>
      <c r="AC181" s="68"/>
      <c r="AD181" s="62" t="n">
        <f aca="false">AW181</f>
        <v>89</v>
      </c>
      <c r="AE181" s="62" t="n">
        <f aca="false">MAX(AW181,H181)</f>
        <v>89</v>
      </c>
      <c r="AF181" s="69"/>
      <c r="AG181" s="62" t="n">
        <f aca="false">IF(LEFT(Cockpit!$C$5,1)="A",H181,IF(Parameter!$E$30="MAX-Bestand",IF(CI181=1,CJ181,IF(LEFT(Cockpit!$C$5,1)="B",AM181,MAX(AM181,H181))),ROUNDUP(AK181,0)))</f>
        <v>83</v>
      </c>
      <c r="AH181" s="62" t="n">
        <f aca="false">IF(CA181=1,0,ROUNDUP(AG181/BZ181,0))</f>
        <v>3</v>
      </c>
      <c r="AI181" s="64" t="n">
        <f aca="false">IF(CR181&gt;0,CR181*MAX(1,AG181/X181),IF(CA181=1,IF(AG181&lt;=0,0,CE181*MAX(1,IF(H181&gt;0,AG181/H181,1))),IF(R181&gt;0,AH181/R181,0))/MAX(0.1,N(Parameter!$M$21)))</f>
        <v>0.0214285714285714</v>
      </c>
      <c r="AJ181" s="62" t="n">
        <f aca="false">AI181*CC181</f>
        <v>3.32142857142857</v>
      </c>
      <c r="AK181" s="63" t="n">
        <f aca="false">IF(LEFT(Cockpit!$C$5,1)="A",H181,IF(CI181=1,(CL181+CJ181)/2,IF(LEFT(Cockpit!$C$5,1)="B",(CL181+AM181)/2,MAX((CL181+AM181)/2,H181))))</f>
        <v>83</v>
      </c>
      <c r="AL181" s="62" t="n">
        <f aca="false">AK181*G181</f>
        <v>1237.53</v>
      </c>
      <c r="AM181" s="62" t="n">
        <f aca="false">ROUNDUP(CL181+MAX(CM181,2*(J181/IF(CH181&gt;0,CH181,MAX(0.1,N(Cockpit!$C$6)))-CL181)),0)</f>
        <v>89</v>
      </c>
      <c r="AN181" s="63" t="n">
        <f aca="false">IF(AJ181&gt;0,J181/AJ181,-1)</f>
        <v>24.989247311828</v>
      </c>
      <c r="AO181" s="63" t="n">
        <f aca="false">IF(AND(OR(CG181="L1",CG181="L23",CG181="LIFT"),AJ181&gt;0),SUMIFS($AJ$7:$AJ$1843,$CG$7:$CG$1843,CG181,$AN$7:$AN$1843,"&gt;"&amp;AN181)+SUMIFS($AJ$7:$AJ$1843,$CG$7:$CG$1843,CG181,$AN$7:$AN$1843,AN181,$BX$7:$BX$1843,"&lt;="&amp;BX181),"")</f>
        <v>1542.62728937729</v>
      </c>
      <c r="AP181" s="70" t="n">
        <f aca="false">IF(AO181="",0,MAX(0,MIN(1,(IF(CG181="L1",Parameter!$H$5,IF(CG181="L23",Parameter!$H$6+Parameter!$H$7,Parameter!$H$5+Parameter!$H$6+Parameter!$H$7))-(AO181-AJ181))/AJ181)))</f>
        <v>1</v>
      </c>
      <c r="AQ181" s="62" t="n">
        <f aca="false">IF(LEFT(Cockpit!$I$5,1)="A",H181,IF(Parameter!$E$30="MAX-Bestand",IF(CI181=1,CJ181,IF(LEFT(Cockpit!$I$5,1)="B",AW181,MAX(AW181,H181))),ROUNDUP(AU181,0)))</f>
        <v>83</v>
      </c>
      <c r="AR181" s="62" t="n">
        <f aca="false">IF(CA181=1,0,ROUNDUP(AQ181/BZ181,0))</f>
        <v>3</v>
      </c>
      <c r="AS181" s="64" t="n">
        <f aca="false">IF(CR181&gt;0,CR181*MAX(1,AQ181/X181),IF(CA181=1,IF(AQ181&lt;=0,0,CE181*MAX(1,IF(H181&gt;0,AQ181/H181,1))),IF(R181&gt;0,AR181/R181,0))/MAX(0.1,N(Parameter!$M$21)))</f>
        <v>0.0214285714285714</v>
      </c>
      <c r="AT181" s="62" t="n">
        <f aca="false">AS181*CC181</f>
        <v>3.32142857142857</v>
      </c>
      <c r="AU181" s="63" t="n">
        <f aca="false">IF(LEFT(Cockpit!$I$5,1)="A",H181,IF(CI181=1,(CL181+CJ181)/2,IF(LEFT(Cockpit!$I$5,1)="B",(CL181+AW181)/2,MAX((CL181+AW181)/2,H181))))</f>
        <v>83</v>
      </c>
      <c r="AV181" s="62" t="n">
        <f aca="false">AU181*G181</f>
        <v>1237.53</v>
      </c>
      <c r="AW181" s="62" t="n">
        <f aca="false">ROUNDUP(CL181+MAX(CM181,2*(J181/IF(CH181&gt;0,CH181,MAX(0.1,N(Cockpit!$I$6)))-CL181)),0)</f>
        <v>89</v>
      </c>
      <c r="AX181" s="63" t="n">
        <f aca="false">IF(AT181&gt;0,J181/AT181,-1)</f>
        <v>24.989247311828</v>
      </c>
      <c r="AY181" s="63" t="n">
        <f aca="false">IF(AND(OR(CG181="L1",CG181="L23",CG181="LIFT"),AT181&gt;0),SUMIFS($AT$7:$AT$1843,$CG$7:$CG$1843,CG181,$AX$7:$AX$1843,"&gt;"&amp;AX181)+SUMIFS($AT$7:$AT$1843,$CG$7:$CG$1843,CG181,$AX$7:$AX$1843,AX181,$BX$7:$BX$1843,"&lt;="&amp;BX181),"")</f>
        <v>2168.46611721612</v>
      </c>
      <c r="AZ181" s="70" t="n">
        <f aca="false">IF(AY181="",0,MAX(0,MIN(1,(IF(CG181="L1",Parameter!$H$5,IF(CG181="L23",Parameter!$H$6+Parameter!$H$7,Parameter!$H$5+Parameter!$H$6+Parameter!$H$7))-(AY181-AT181))/AT181)))</f>
        <v>1</v>
      </c>
      <c r="BA181" s="62" t="n">
        <f aca="false">IF(LEFT(Cockpit!$O$5,1)="A",H181,IF(Parameter!$E$30="MAX-Bestand",IF(CI181=1,CJ181,IF(LEFT(Cockpit!$O$5,1)="B",BG181,MAX(BG181,H181))),ROUNDUP(BE181,0)))</f>
        <v>47</v>
      </c>
      <c r="BB181" s="62" t="n">
        <f aca="false">IF(CA181=1,0,ROUNDUP(BA181/BZ181,0))</f>
        <v>2</v>
      </c>
      <c r="BC181" s="64" t="n">
        <f aca="false">IF(CR181&gt;0,CR181*MAX(1,BA181/X181),IF(CA181=1,IF(BA181&lt;=0,0,CE181*MAX(1,IF(H181&gt;0,BA181/H181,1))),IF(R181&gt;0,BB181/R181,0))/MAX(0.1,N(Parameter!$M$21)))</f>
        <v>0.0142857142857143</v>
      </c>
      <c r="BD181" s="62" t="n">
        <f aca="false">BC181*CC181</f>
        <v>2.21428571428571</v>
      </c>
      <c r="BE181" s="63" t="n">
        <f aca="false">IF(LEFT(Cockpit!$O$5,1)="A",H181,IF(CI181=1,(CL181+CJ181)/2,IF(LEFT(Cockpit!$O$5,1)="B",(CL181+BG181)/2,MAX((CL181+BG181)/2,H181))))</f>
        <v>46.5</v>
      </c>
      <c r="BF181" s="62" t="n">
        <f aca="false">BE181*G181</f>
        <v>693.315</v>
      </c>
      <c r="BG181" s="62" t="n">
        <f aca="false">ROUNDUP(CL181+MAX(CM181,2*(J181/IF(CH181&gt;0,CH181,MAX(0.1,N(Cockpit!$O$6)))-CL181)),0)</f>
        <v>89</v>
      </c>
      <c r="BH181" s="63" t="n">
        <f aca="false">IF(BD181&gt;0,J181/BD181,-1)</f>
        <v>37.4838709677419</v>
      </c>
      <c r="BI181" s="63" t="n">
        <f aca="false">IF(AND(OR(CG181="L1",CG181="L23",CG181="LIFT"),BD181&gt;0),SUMIFS($BD$7:$BD$1843,$CG$7:$CG$1843,CG181,$BH$7:$BH$1843,"&gt;"&amp;BH181)+SUMIFS($BD$7:$BD$1843,$CG$7:$CG$1843,CG181,$BH$7:$BH$1843,BH181,$BX$7:$BX$1843,"&lt;="&amp;BX181),"")</f>
        <v>1504.13782051282</v>
      </c>
      <c r="BJ181" s="70" t="n">
        <f aca="false">IF(BI181="",0,MAX(0,MIN(1,(IF(CG181="L1",Parameter!$H$5,IF(CG181="L23",Parameter!$H$6+Parameter!$H$7,Parameter!$H$5+Parameter!$H$6+Parameter!$H$7))-(BI181-BD181))/BD181)))</f>
        <v>1</v>
      </c>
      <c r="BK181" s="60" t="str">
        <f aca="false">IF(AJ181&lt;=0,"",IF(CG181="Aussen","Aussenlager",IF(CG181="-","Nicht im Lift",IF(AP181&gt;=1,"Lift",IF(AP181&lt;=0,"Aussenlager","teilweise")))))</f>
        <v>Lift</v>
      </c>
      <c r="BL181" s="60" t="str">
        <f aca="false">IF(AT181&lt;=0,"",IF(CG181="Aussen","Aussenlager",IF(CG181="-","Nicht im Lift",IF(AZ181&gt;=1,"Lift",IF(AZ181&lt;=0,"Aussenlager","teilweise")))))</f>
        <v>Lift</v>
      </c>
      <c r="BM181" s="60" t="str">
        <f aca="false">IF(BD181&lt;=0,"",IF(CG181="Aussen","Aussenlager",IF(CG181="-","Nicht im Lift",IF(BJ181&gt;=1,"Lift",IF(BJ181&lt;=0,"Aussenlager","teilweise")))))</f>
        <v>Lift</v>
      </c>
      <c r="BN181" s="60" t="str">
        <f aca="false">IF(A181="","",IF(BW181=1,"Neu; ","")&amp;IF(AND(BW181=0,BR181&lt;0),"negativer Bestand (Export "&amp;BR181&amp;"); ","")&amp;IF(J181&lt;=0,"Kein Verbrauch; ","")&amp;IF(CR181&gt;0,"Lift "&amp;W181&amp;" lt. Liftbericht (Fach "&amp;X181&amp;" Stk); ",IF(CB181=1,"Gebinde geschätzt ("&amp;T181&amp;"); ",IF(CA181=1,"Lose – Tablare geschätzt; ","")))&amp;IF(H181&gt;AW181,"Überbestand "&amp;ROUND(H181-AW181,0)&amp;" Stk / CHF "&amp;ROUND((H181-AW181)*G181,0)&amp;"; ","")&amp;IF(AND(CI181=1,CJ181&lt;CK181),"MAX &lt; MB+LG; ","")&amp;IF(AND(CQ181&gt;0,CP181*10&gt;CQ181),"zu hoch für Tablar; ","")&amp;IF(AND(BW181=0,OR(CI181=1,AB181&lt;&gt;"",U181&lt;&gt;"",V181&lt;&gt;"",AC181&lt;&gt;"")),"manuell übersteuert; ","")&amp;IF(AND(CA181=0,R181=0),"Gebinde unbekannt / Stellmass fehlt; ","")&amp;IF(AND(CA181=0,N(V181)&lt;=0,N(Q181)&lt;=0),"Menge pro Gebinde fehlt (Ist = 1 Gebinde); ","")&amp;BV181)</f>
        <v/>
      </c>
      <c r="BO181" s="60"/>
      <c r="BP181" s="60"/>
      <c r="BQ181" s="67"/>
      <c r="BR181" s="62" t="n">
        <v>71</v>
      </c>
      <c r="BS181" s="62" t="n">
        <v>12</v>
      </c>
      <c r="BT181" s="61" t="n">
        <v>1001.61</v>
      </c>
      <c r="BU181" s="62" t="n">
        <v>83</v>
      </c>
      <c r="BV181" s="60"/>
      <c r="BW181" s="65" t="n">
        <v>0</v>
      </c>
      <c r="BX181" s="65" t="n">
        <v>181</v>
      </c>
      <c r="BY181" s="60" t="str">
        <f aca="false">IF(U181&lt;&gt;"",UPPER(TRIM(U181)),IF(CB181=1,UPPER(VLOOKUP(T181,Parameter!$I$27:$K$29,2,0)),IF(P181="","LOSE",P181)))</f>
        <v>S22</v>
      </c>
      <c r="BZ181" s="62" t="n">
        <f aca="false">IF(BY181="LOSE",1,IF(N(V181)&gt;0,V181,IF(CB181=1,MAX(1,N(VLOOKUP(T181,Parameter!$I$27:$K$29,3,0)),H181,N(N181)),IF(N(Q181)&gt;0,Q181,MAX(1,H181)))))</f>
        <v>36</v>
      </c>
      <c r="CA181" s="65" t="n">
        <f aca="false">IF(BY181="LOSE",1,0)</f>
        <v>0</v>
      </c>
      <c r="CB181" s="65" t="n">
        <f aca="false">IF(AND(U181="",OR(P181="",P181="LOSE"),T181&lt;&gt;"",N(S181)&lt;=0,ISNUMBER(MATCH(T181,Parameter!$I$27:$I$29,0))),1,0)</f>
        <v>0</v>
      </c>
      <c r="CC181" s="65" t="n">
        <f aca="false">IF(CR181&gt;0,INDEX(Parameter!$H$5:$H$7,W181)/INDEX(Parameter!$E$5:$E$7,W181),IF(AND(CA181=0,N(IFERROR(VLOOKUP(BY181,'Gebinde-Kategorie'!$A$5:$N$45,14,0),0))&gt;0),VLOOKUP(BY181,'Gebinde-Kategorie'!$A$5:$N$45,14,0)*10+Parameter!$M$23,Parameter!$M$24))</f>
        <v>155</v>
      </c>
      <c r="CD181" s="60" t="str">
        <f aca="false">IF(AND(Parameter!$B$19="Ja",E181&lt;&gt;"",ISNUMBER(MATCH(E181,Parameter!$I$35:$I$52,0))),VLOOKUP(E181,Parameter!$I$35:$J$52,2,0),IFERROR(VLOOKUP(D181,Parameter!$A$35:$C$64,2,0),"Nein"))</f>
        <v>2+3</v>
      </c>
      <c r="CE181" s="64" t="n">
        <f aca="false">IF(CA181=0,0,IF(N(S181)&gt;0,S181,IFERROR(VLOOKUP(D181,Parameter!$A$35:$C$64,3,0)+0,0)))</f>
        <v>0</v>
      </c>
      <c r="CF181" s="60" t="n">
        <f aca="false">IF(AB181&lt;&gt;"",AB181,AA181)</f>
        <v>3</v>
      </c>
      <c r="CG181" s="60" t="str">
        <f aca="false">IF(OR(CF181=1,CF181=2,CF181=3),IF(Parameter!$E$27="Ja","LIFT",IF(CF181=1,"L1","L23")),IF(CF181="Aussen","Aussen","-"))</f>
        <v>LIFT</v>
      </c>
      <c r="CH181" s="71" t="n">
        <f aca="false">IF(N(AC181)&gt;0,AC181,0)</f>
        <v>0</v>
      </c>
      <c r="CI181" s="65" t="n">
        <f aca="false">IF(ISNUMBER(AF181),1,0)</f>
        <v>0</v>
      </c>
      <c r="CJ181" s="62" t="n">
        <f aca="false">N(AF181)</f>
        <v>0</v>
      </c>
      <c r="CK181" s="62" t="n">
        <f aca="false">N(M181)+N(N181)</f>
        <v>89</v>
      </c>
      <c r="CL181" s="62" t="n">
        <f aca="false">N(M181)</f>
        <v>4</v>
      </c>
      <c r="CM181" s="62" t="n">
        <f aca="false">N(N181)</f>
        <v>85</v>
      </c>
      <c r="CN181" s="62" t="n">
        <f aca="false">ROUNDUP(H181/BZ181,0)</f>
        <v>3</v>
      </c>
      <c r="CO181" s="62" t="n">
        <f aca="false">ROUNDUP(CJ181/BZ181,0)</f>
        <v>0</v>
      </c>
      <c r="CP181" s="65" t="n">
        <f aca="false">IF(CA181=1,0,IFERROR(VLOOKUP(BY181,'Gebinde-Kategorie'!$A$5:$N$45,5,0)+0,0))</f>
        <v>8</v>
      </c>
      <c r="CQ181" s="65" t="n">
        <f aca="false">IFERROR(IF(OR(CF181=1,CF181=2,CF181=3),N(INDEX(Parameter!$I$5:$I$7,CF181)),0),0)</f>
        <v>0</v>
      </c>
      <c r="CR181" s="64" t="n">
        <f aca="false">IF(AND(Parameter!$B$21="Ja",ISNUMBER(W181),N(X181)&gt;0),IFERROR(N(INDEX(Parameter!$L$5:$L$7,W181))*INDEX(Parameter!$E$5:$E$7,W181)*X181/SUMIFS($X$7:$X$1843,$W$7:$W$1843,W181),0),0)</f>
        <v>0</v>
      </c>
      <c r="CS181" s="62" t="n">
        <f aca="false">IF(AND(OR(CG181="L1",CG181="L23",CG181="LIFT"),H181&gt;0),CC181*IF(CR181&gt;0,CR181*MAX(1,H181/X181),IF(CA181=1,CE181,IF(R181&gt;0,CN181/R181,0))/MAX(0.1,N(Parameter!$M$21))),"")</f>
        <v>3.32142857142857</v>
      </c>
      <c r="CT181" s="64" t="n">
        <f aca="false">IF(CS181="","",J181/H181)</f>
        <v>1</v>
      </c>
      <c r="CU181" s="62" t="n">
        <f aca="false">IF(CS181="","",H181*G181)</f>
        <v>1237.53</v>
      </c>
      <c r="CV181" s="63" t="n">
        <f aca="false">IF(CS181="","",(CL181+ROUNDUP(CL181+MAX(CM181,2*(J181/MAX(0.1,N(Einkauf!$C$6))-CL181)),0))/2)</f>
        <v>46.5</v>
      </c>
      <c r="CW181" s="62" t="n">
        <f aca="false">IF(CS181="","",MAX(0,H181-CV181)*G181)</f>
        <v>544.215</v>
      </c>
      <c r="CX181" s="62" t="n">
        <f aca="false">IF(CS181="","",CS181*MAX(0,1-CV181/H181))</f>
        <v>1.46062822719449</v>
      </c>
      <c r="CY181" s="64" t="n">
        <f aca="false">IF(CS181="","",PERCENTRANK($CS$7:$CS$1843,CS181)+PERCENTRANK($CU$7:$CU$1843,CU181)+1-PERCENTRANK($CT$7:$CT$1843,CT181))</f>
        <v>1.392</v>
      </c>
      <c r="CZ181" s="72" t="n">
        <f aca="false">IF(CS181="","",CHOOSE(MATCH(Einkauf!$C$5,Parameter!$G$23:$G$27,0),CY181,CS181,CU181,-CT181,CW181)+ROW()/1000000000)</f>
        <v>1.392000181</v>
      </c>
    </row>
    <row r="182" customFormat="false" ht="15" hidden="false" customHeight="false" outlineLevel="0" collapsed="false">
      <c r="A182" s="60" t="s">
        <v>610</v>
      </c>
      <c r="B182" s="60" t="s">
        <v>611</v>
      </c>
      <c r="C182" s="60" t="s">
        <v>206</v>
      </c>
      <c r="D182" s="60" t="s">
        <v>226</v>
      </c>
      <c r="E182" s="60"/>
      <c r="F182" s="60" t="s">
        <v>260</v>
      </c>
      <c r="G182" s="61" t="n">
        <v>66.53</v>
      </c>
      <c r="H182" s="62" t="n">
        <f aca="false">MAX(0,IF(AND(Parameter!$B$21="Ja",ISNUMBER(Y182)),Y182,IF(Parameter!$B$20="Jahresanfang 2025 + Export",BS182+BR182,BR182)))</f>
        <v>15</v>
      </c>
      <c r="I182" s="62" t="n">
        <f aca="false">H182*G182</f>
        <v>997.95</v>
      </c>
      <c r="J182" s="62" t="n">
        <f aca="false">BU182*Parameter!$B$18</f>
        <v>0</v>
      </c>
      <c r="K182" s="63" t="n">
        <v>0</v>
      </c>
      <c r="L182" s="64" t="n">
        <v>0</v>
      </c>
      <c r="M182" s="62" t="n">
        <v>0</v>
      </c>
      <c r="N182" s="62" t="n">
        <v>1</v>
      </c>
      <c r="O182" s="65" t="n">
        <v>9999</v>
      </c>
      <c r="P182" s="60" t="s">
        <v>210</v>
      </c>
      <c r="Q182" s="62"/>
      <c r="R182" s="65" t="n">
        <f aca="false">IF(CA182=1,0,IFERROR(VLOOKUP(BY182,'Gebinde-Kategorie'!$A$5:$N$45,13,0)+0,0))</f>
        <v>4</v>
      </c>
      <c r="S182" s="66"/>
      <c r="T182" s="67" t="s">
        <v>231</v>
      </c>
      <c r="U182" s="67"/>
      <c r="V182" s="67"/>
      <c r="W182" s="60"/>
      <c r="X182" s="62"/>
      <c r="Y182" s="62"/>
      <c r="Z182" s="60" t="n">
        <v>2</v>
      </c>
      <c r="AA182" s="60" t="n">
        <f aca="false">IF(A182="","",IF(AND(Parameter!$B$21="Ja",ISNUMBER(W182)),W182,IF(AND(Parameter!$E$27="Ja",ISNUMBER(Z182),CD182&lt;&gt;"Nein"),Z182,IF(CD182="2+3",IF(ISNUMBER(SEARCH("grosser Artikel",BV182)),2,IFERROR(VLOOKUP(BY182,Parameter!$F$35:$G$64,2,0),2)),IF(OR(CD182="Nein",CD182=""),"-",CD182)))))</f>
        <v>2</v>
      </c>
      <c r="AB182" s="67"/>
      <c r="AC182" s="68"/>
      <c r="AD182" s="62" t="n">
        <f aca="false">AW182</f>
        <v>1</v>
      </c>
      <c r="AE182" s="62" t="n">
        <f aca="false">MAX(AW182,H182)</f>
        <v>15</v>
      </c>
      <c r="AF182" s="69"/>
      <c r="AG182" s="62" t="n">
        <f aca="false">IF(LEFT(Cockpit!$C$5,1)="A",H182,IF(Parameter!$E$30="MAX-Bestand",IF(CI182=1,CJ182,IF(LEFT(Cockpit!$C$5,1)="B",AM182,MAX(AM182,H182))),ROUNDUP(AK182,0)))</f>
        <v>15</v>
      </c>
      <c r="AH182" s="62" t="n">
        <f aca="false">IF(CA182=1,0,ROUNDUP(AG182/BZ182,0))</f>
        <v>1</v>
      </c>
      <c r="AI182" s="64" t="n">
        <f aca="false">IF(CR182&gt;0,CR182*MAX(1,AG182/X182),IF(CA182=1,IF(AG182&lt;=0,0,CE182*MAX(1,IF(H182&gt;0,AG182/H182,1))),IF(R182&gt;0,AH182/R182,0))/MAX(0.1,N(Parameter!$M$21)))</f>
        <v>0.25</v>
      </c>
      <c r="AJ182" s="62" t="n">
        <f aca="false">AI182*CC182</f>
        <v>58.75</v>
      </c>
      <c r="AK182" s="63" t="n">
        <f aca="false">IF(LEFT(Cockpit!$C$5,1)="A",H182,IF(CI182=1,(CL182+CJ182)/2,IF(LEFT(Cockpit!$C$5,1)="B",(CL182+AM182)/2,MAX((CL182+AM182)/2,H182))))</f>
        <v>15</v>
      </c>
      <c r="AL182" s="62" t="n">
        <f aca="false">AK182*G182</f>
        <v>997.95</v>
      </c>
      <c r="AM182" s="62" t="n">
        <f aca="false">ROUNDUP(CL182+MAX(CM182,2*(J182/IF(CH182&gt;0,CH182,MAX(0.1,N(Cockpit!$C$6)))-CL182)),0)</f>
        <v>1</v>
      </c>
      <c r="AN182" s="63" t="n">
        <f aca="false">IF(AJ182&gt;0,J182/AJ182,-1)</f>
        <v>0</v>
      </c>
      <c r="AO182" s="63" t="n">
        <f aca="false">IF(AND(OR(CG182="L1",CG182="L23",CG182="LIFT"),AJ182&gt;0),SUMIFS($AJ$7:$AJ$1843,$CG$7:$CG$1843,CG182,$AN$7:$AN$1843,"&gt;"&amp;AN182)+SUMIFS($AJ$7:$AJ$1843,$CG$7:$CG$1843,CG182,$AN$7:$AN$1843,AN182,$BX$7:$BX$1843,"&lt;="&amp;BX182),"")</f>
        <v>27498.0395454357</v>
      </c>
      <c r="AP182" s="70" t="n">
        <f aca="false">IF(AO182="",0,MAX(0,MIN(1,(IF(CG182="L1",Parameter!$H$5,IF(CG182="L23",Parameter!$H$6+Parameter!$H$7,Parameter!$H$5+Parameter!$H$6+Parameter!$H$7))-(AO182-AJ182))/AJ182)))</f>
        <v>1</v>
      </c>
      <c r="AQ182" s="62" t="n">
        <f aca="false">IF(LEFT(Cockpit!$I$5,1)="A",H182,IF(Parameter!$E$30="MAX-Bestand",IF(CI182=1,CJ182,IF(LEFT(Cockpit!$I$5,1)="B",AW182,MAX(AW182,H182))),ROUNDUP(AU182,0)))</f>
        <v>15</v>
      </c>
      <c r="AR182" s="62" t="n">
        <f aca="false">IF(CA182=1,0,ROUNDUP(AQ182/BZ182,0))</f>
        <v>1</v>
      </c>
      <c r="AS182" s="64" t="n">
        <f aca="false">IF(CR182&gt;0,CR182*MAX(1,AQ182/X182),IF(CA182=1,IF(AQ182&lt;=0,0,CE182*MAX(1,IF(H182&gt;0,AQ182/H182,1))),IF(R182&gt;0,AR182/R182,0))/MAX(0.1,N(Parameter!$M$21)))</f>
        <v>0.25</v>
      </c>
      <c r="AT182" s="62" t="n">
        <f aca="false">AS182*CC182</f>
        <v>58.75</v>
      </c>
      <c r="AU182" s="63" t="n">
        <f aca="false">IF(LEFT(Cockpit!$I$5,1)="A",H182,IF(CI182=1,(CL182+CJ182)/2,IF(LEFT(Cockpit!$I$5,1)="B",(CL182+AW182)/2,MAX((CL182+AW182)/2,H182))))</f>
        <v>15</v>
      </c>
      <c r="AV182" s="62" t="n">
        <f aca="false">AU182*G182</f>
        <v>997.95</v>
      </c>
      <c r="AW182" s="62" t="n">
        <f aca="false">ROUNDUP(CL182+MAX(CM182,2*(J182/IF(CH182&gt;0,CH182,MAX(0.1,N(Cockpit!$I$6)))-CL182)),0)</f>
        <v>1</v>
      </c>
      <c r="AX182" s="63" t="n">
        <f aca="false">IF(AT182&gt;0,J182/AT182,-1)</f>
        <v>0</v>
      </c>
      <c r="AY182" s="63" t="n">
        <f aca="false">IF(AND(OR(CG182="L1",CG182="L23",CG182="LIFT"),AT182&gt;0),SUMIFS($AT$7:$AT$1843,$CG$7:$CG$1843,CG182,$AX$7:$AX$1843,"&gt;"&amp;AX182)+SUMIFS($AT$7:$AT$1843,$CG$7:$CG$1843,CG182,$AX$7:$AX$1843,AX182,$BX$7:$BX$1843,"&lt;="&amp;BX182),"")</f>
        <v>32851.1881868132</v>
      </c>
      <c r="AZ182" s="70" t="n">
        <f aca="false">IF(AY182="",0,MAX(0,MIN(1,(IF(CG182="L1",Parameter!$H$5,IF(CG182="L23",Parameter!$H$6+Parameter!$H$7,Parameter!$H$5+Parameter!$H$6+Parameter!$H$7))-(AY182-AT182))/AT182)))</f>
        <v>1</v>
      </c>
      <c r="BA182" s="62" t="n">
        <f aca="false">IF(LEFT(Cockpit!$O$5,1)="A",H182,IF(Parameter!$E$30="MAX-Bestand",IF(CI182=1,CJ182,IF(LEFT(Cockpit!$O$5,1)="B",BG182,MAX(BG182,H182))),ROUNDUP(BE182,0)))</f>
        <v>1</v>
      </c>
      <c r="BB182" s="62" t="n">
        <f aca="false">IF(CA182=1,0,ROUNDUP(BA182/BZ182,0))</f>
        <v>1</v>
      </c>
      <c r="BC182" s="64" t="n">
        <f aca="false">IF(CR182&gt;0,CR182*MAX(1,BA182/X182),IF(CA182=1,IF(BA182&lt;=0,0,CE182*MAX(1,IF(H182&gt;0,BA182/H182,1))),IF(R182&gt;0,BB182/R182,0))/MAX(0.1,N(Parameter!$M$21)))</f>
        <v>0.25</v>
      </c>
      <c r="BD182" s="62" t="n">
        <f aca="false">BC182*CC182</f>
        <v>58.75</v>
      </c>
      <c r="BE182" s="63" t="n">
        <f aca="false">IF(LEFT(Cockpit!$O$5,1)="A",H182,IF(CI182=1,(CL182+CJ182)/2,IF(LEFT(Cockpit!$O$5,1)="B",(CL182+BG182)/2,MAX((CL182+BG182)/2,H182))))</f>
        <v>0.5</v>
      </c>
      <c r="BF182" s="62" t="n">
        <f aca="false">BE182*G182</f>
        <v>33.265</v>
      </c>
      <c r="BG182" s="62" t="n">
        <f aca="false">ROUNDUP(CL182+MAX(CM182,2*(J182/IF(CH182&gt;0,CH182,MAX(0.1,N(Cockpit!$O$6)))-CL182)),0)</f>
        <v>1</v>
      </c>
      <c r="BH182" s="63" t="n">
        <f aca="false">IF(BD182&gt;0,J182/BD182,-1)</f>
        <v>0</v>
      </c>
      <c r="BI182" s="63" t="n">
        <f aca="false">IF(AND(OR(CG182="L1",CG182="L23",CG182="LIFT"),BD182&gt;0),SUMIFS($BD$7:$BD$1843,$CG$7:$CG$1843,CG182,$BH$7:$BH$1843,"&gt;"&amp;BH182)+SUMIFS($BD$7:$BD$1843,$CG$7:$CG$1843,CG182,$BH$7:$BH$1843,BH182,$BX$7:$BX$1843,"&lt;="&amp;BX182),"")</f>
        <v>27015.4302865214</v>
      </c>
      <c r="BJ182" s="70" t="n">
        <f aca="false">IF(BI182="",0,MAX(0,MIN(1,(IF(CG182="L1",Parameter!$H$5,IF(CG182="L23",Parameter!$H$6+Parameter!$H$7,Parameter!$H$5+Parameter!$H$6+Parameter!$H$7))-(BI182-BD182))/BD182)))</f>
        <v>1</v>
      </c>
      <c r="BK182" s="60" t="str">
        <f aca="false">IF(AJ182&lt;=0,"",IF(CG182="Aussen","Aussenlager",IF(CG182="-","Nicht im Lift",IF(AP182&gt;=1,"Lift",IF(AP182&lt;=0,"Aussenlager","teilweise")))))</f>
        <v>Lift</v>
      </c>
      <c r="BL182" s="60" t="str">
        <f aca="false">IF(AT182&lt;=0,"",IF(CG182="Aussen","Aussenlager",IF(CG182="-","Nicht im Lift",IF(AZ182&gt;=1,"Lift",IF(AZ182&lt;=0,"Aussenlager","teilweise")))))</f>
        <v>Lift</v>
      </c>
      <c r="BM182" s="60" t="str">
        <f aca="false">IF(BD182&lt;=0,"",IF(CG182="Aussen","Aussenlager",IF(CG182="-","Nicht im Lift",IF(BJ182&gt;=1,"Lift",IF(BJ182&lt;=0,"Aussenlager","teilweise")))))</f>
        <v>Lift</v>
      </c>
      <c r="BN182" s="60" t="str">
        <f aca="false">IF(A182="","",IF(BW182=1,"Neu; ","")&amp;IF(AND(BW182=0,BR182&lt;0),"negativer Bestand (Export "&amp;BR182&amp;"); ","")&amp;IF(J182&lt;=0,"Kein Verbrauch; ","")&amp;IF(CR182&gt;0,"Lift "&amp;W182&amp;" lt. Liftbericht (Fach "&amp;X182&amp;" Stk); ",IF(CB182=1,"Gebinde geschätzt ("&amp;T182&amp;"); ",IF(CA182=1,"Lose – Tablare geschätzt; ","")))&amp;IF(H182&gt;AW182,"Überbestand "&amp;ROUND(H182-AW182,0)&amp;" Stk / CHF "&amp;ROUND((H182-AW182)*G182,0)&amp;"; ","")&amp;IF(AND(CI182=1,CJ182&lt;CK182),"MAX &lt; MB+LG; ","")&amp;IF(AND(CQ182&gt;0,CP182*10&gt;CQ182),"zu hoch für Tablar; ","")&amp;IF(AND(BW182=0,OR(CI182=1,AB182&lt;&gt;"",U182&lt;&gt;"",V182&lt;&gt;"",AC182&lt;&gt;"")),"manuell übersteuert; ","")&amp;IF(AND(CA182=0,R182=0),"Gebinde unbekannt / Stellmass fehlt; ","")&amp;IF(AND(CA182=0,N(V182)&lt;=0,N(Q182)&lt;=0),"Menge pro Gebinde fehlt (Ist = 1 Gebinde); ","")&amp;BV182)</f>
        <v>Kein Verbrauch; Gebinde geschätzt (Gross); Überbestand 14 Stk / CHF 931; Menge pro Gebinde fehlt (Ist = 1 Gebinde); </v>
      </c>
      <c r="BO182" s="60"/>
      <c r="BP182" s="60"/>
      <c r="BQ182" s="67"/>
      <c r="BR182" s="62" t="n">
        <v>15</v>
      </c>
      <c r="BS182" s="62" t="n">
        <v>0</v>
      </c>
      <c r="BT182" s="61" t="n">
        <v>997.95</v>
      </c>
      <c r="BU182" s="62" t="n">
        <v>0</v>
      </c>
      <c r="BV182" s="60"/>
      <c r="BW182" s="65" t="n">
        <v>0</v>
      </c>
      <c r="BX182" s="65" t="n">
        <v>182</v>
      </c>
      <c r="BY182" s="60" t="str">
        <f aca="false">IF(U182&lt;&gt;"",UPPER(TRIM(U182)),IF(CB182=1,UPPER(VLOOKUP(T182,Parameter!$I$27:$K$29,2,0)),IF(P182="","LOSE",P182)))</f>
        <v>S81</v>
      </c>
      <c r="BZ182" s="62" t="n">
        <f aca="false">IF(BY182="LOSE",1,IF(N(V182)&gt;0,V182,IF(CB182=1,MAX(1,N(VLOOKUP(T182,Parameter!$I$27:$K$29,3,0)),H182,N(N182)),IF(N(Q182)&gt;0,Q182,MAX(1,H182)))))</f>
        <v>15</v>
      </c>
      <c r="CA182" s="65" t="n">
        <f aca="false">IF(BY182="LOSE",1,0)</f>
        <v>0</v>
      </c>
      <c r="CB182" s="65" t="n">
        <f aca="false">IF(AND(U182="",OR(P182="",P182="LOSE"),T182&lt;&gt;"",N(S182)&lt;=0,ISNUMBER(MATCH(T182,Parameter!$I$27:$I$29,0))),1,0)</f>
        <v>1</v>
      </c>
      <c r="CC182" s="65" t="n">
        <f aca="false">IF(CR182&gt;0,INDEX(Parameter!$H$5:$H$7,W182)/INDEX(Parameter!$E$5:$E$7,W182),IF(AND(CA182=0,N(IFERROR(VLOOKUP(BY182,'Gebinde-Kategorie'!$A$5:$N$45,14,0),0))&gt;0),VLOOKUP(BY182,'Gebinde-Kategorie'!$A$5:$N$45,14,0)*10+Parameter!$M$23,Parameter!$M$24))</f>
        <v>235</v>
      </c>
      <c r="CD182" s="60" t="str">
        <f aca="false">IF(AND(Parameter!$B$19="Ja",E182&lt;&gt;"",ISNUMBER(MATCH(E182,Parameter!$I$35:$I$52,0))),VLOOKUP(E182,Parameter!$I$35:$J$52,2,0),IFERROR(VLOOKUP(D182,Parameter!$A$35:$C$64,2,0),"Nein"))</f>
        <v>2+3</v>
      </c>
      <c r="CE182" s="64" t="n">
        <f aca="false">IF(CA182=0,0,IF(N(S182)&gt;0,S182,IFERROR(VLOOKUP(D182,Parameter!$A$35:$C$64,3,0)+0,0)))</f>
        <v>0</v>
      </c>
      <c r="CF182" s="60" t="n">
        <f aca="false">IF(AB182&lt;&gt;"",AB182,AA182)</f>
        <v>2</v>
      </c>
      <c r="CG182" s="60" t="str">
        <f aca="false">IF(OR(CF182=1,CF182=2,CF182=3),IF(Parameter!$E$27="Ja","LIFT",IF(CF182=1,"L1","L23")),IF(CF182="Aussen","Aussen","-"))</f>
        <v>LIFT</v>
      </c>
      <c r="CH182" s="71" t="n">
        <f aca="false">IF(N(AC182)&gt;0,AC182,0)</f>
        <v>0</v>
      </c>
      <c r="CI182" s="65" t="n">
        <f aca="false">IF(ISNUMBER(AF182),1,0)</f>
        <v>0</v>
      </c>
      <c r="CJ182" s="62" t="n">
        <f aca="false">N(AF182)</f>
        <v>0</v>
      </c>
      <c r="CK182" s="62" t="n">
        <f aca="false">N(M182)+N(N182)</f>
        <v>1</v>
      </c>
      <c r="CL182" s="62" t="n">
        <f aca="false">N(M182)</f>
        <v>0</v>
      </c>
      <c r="CM182" s="62" t="n">
        <f aca="false">N(N182)</f>
        <v>1</v>
      </c>
      <c r="CN182" s="62" t="n">
        <f aca="false">ROUNDUP(H182/BZ182,0)</f>
        <v>1</v>
      </c>
      <c r="CO182" s="62" t="n">
        <f aca="false">ROUNDUP(CJ182/BZ182,0)</f>
        <v>0</v>
      </c>
      <c r="CP182" s="65" t="n">
        <f aca="false">IF(CA182=1,0,IFERROR(VLOOKUP(BY182,'Gebinde-Kategorie'!$A$5:$N$45,5,0)+0,0))</f>
        <v>20</v>
      </c>
      <c r="CQ182" s="65" t="n">
        <f aca="false">IFERROR(IF(OR(CF182=1,CF182=2,CF182=3),N(INDEX(Parameter!$I$5:$I$7,CF182)),0),0)</f>
        <v>0</v>
      </c>
      <c r="CR182" s="64" t="n">
        <f aca="false">IF(AND(Parameter!$B$21="Ja",ISNUMBER(W182),N(X182)&gt;0),IFERROR(N(INDEX(Parameter!$L$5:$L$7,W182))*INDEX(Parameter!$E$5:$E$7,W182)*X182/SUMIFS($X$7:$X$1843,$W$7:$W$1843,W182),0),0)</f>
        <v>0</v>
      </c>
      <c r="CS182" s="62" t="n">
        <f aca="false">IF(AND(OR(CG182="L1",CG182="L23",CG182="LIFT"),H182&gt;0),CC182*IF(CR182&gt;0,CR182*MAX(1,H182/X182),IF(CA182=1,CE182,IF(R182&gt;0,CN182/R182,0))/MAX(0.1,N(Parameter!$M$21))),"")</f>
        <v>58.75</v>
      </c>
      <c r="CT182" s="64" t="n">
        <f aca="false">IF(CS182="","",J182/H182)</f>
        <v>0</v>
      </c>
      <c r="CU182" s="62" t="n">
        <f aca="false">IF(CS182="","",H182*G182)</f>
        <v>997.95</v>
      </c>
      <c r="CV182" s="63" t="n">
        <f aca="false">IF(CS182="","",(CL182+ROUNDUP(CL182+MAX(CM182,2*(J182/MAX(0.1,N(Einkauf!$C$6))-CL182)),0))/2)</f>
        <v>0.5</v>
      </c>
      <c r="CW182" s="62" t="n">
        <f aca="false">IF(CS182="","",MAX(0,H182-CV182)*G182)</f>
        <v>964.685</v>
      </c>
      <c r="CX182" s="62" t="n">
        <f aca="false">IF(CS182="","",CS182*MAX(0,1-CV182/H182))</f>
        <v>56.7916666666667</v>
      </c>
      <c r="CY182" s="64" t="n">
        <f aca="false">IF(CS182="","",PERCENTRANK($CS$7:$CS$1843,CS182)+PERCENTRANK($CU$7:$CU$1843,CU182)+1-PERCENTRANK($CT$7:$CT$1843,CT182))</f>
        <v>2.565</v>
      </c>
      <c r="CZ182" s="72" t="n">
        <f aca="false">IF(CS182="","",CHOOSE(MATCH(Einkauf!$C$5,Parameter!$G$23:$G$27,0),CY182,CS182,CU182,-CT182,CW182)+ROW()/1000000000)</f>
        <v>2.565000182</v>
      </c>
    </row>
    <row r="183" customFormat="false" ht="15" hidden="false" customHeight="false" outlineLevel="0" collapsed="false">
      <c r="A183" s="60" t="s">
        <v>612</v>
      </c>
      <c r="B183" s="60" t="s">
        <v>613</v>
      </c>
      <c r="C183" s="60" t="s">
        <v>206</v>
      </c>
      <c r="D183" s="60" t="s">
        <v>226</v>
      </c>
      <c r="E183" s="60" t="s">
        <v>227</v>
      </c>
      <c r="F183" s="60" t="s">
        <v>260</v>
      </c>
      <c r="G183" s="61" t="n">
        <v>16.3</v>
      </c>
      <c r="H183" s="62" t="n">
        <f aca="false">MAX(0,IF(AND(Parameter!$B$21="Ja",ISNUMBER(Y183)),Y183,IF(Parameter!$B$20="Jahresanfang 2025 + Export",BS183+BR183,BR183)))</f>
        <v>122</v>
      </c>
      <c r="I183" s="62" t="n">
        <f aca="false">H183*G183</f>
        <v>1988.6</v>
      </c>
      <c r="J183" s="62" t="n">
        <f aca="false">BU183*Parameter!$B$18</f>
        <v>280</v>
      </c>
      <c r="K183" s="63" t="n">
        <v>55.5</v>
      </c>
      <c r="L183" s="64" t="n">
        <v>5.04504504504505</v>
      </c>
      <c r="M183" s="62" t="n">
        <v>16</v>
      </c>
      <c r="N183" s="62" t="n">
        <v>100</v>
      </c>
      <c r="O183" s="65" t="n">
        <v>21</v>
      </c>
      <c r="P183" s="60" t="s">
        <v>344</v>
      </c>
      <c r="Q183" s="62" t="n">
        <v>112</v>
      </c>
      <c r="R183" s="65" t="n">
        <f aca="false">IF(CA183=1,0,IFERROR(VLOOKUP(BY183,'Gebinde-Kategorie'!$A$5:$N$45,13,0)+0,0))</f>
        <v>26</v>
      </c>
      <c r="S183" s="66"/>
      <c r="T183" s="67"/>
      <c r="U183" s="67"/>
      <c r="V183" s="67"/>
      <c r="W183" s="60"/>
      <c r="X183" s="62"/>
      <c r="Y183" s="62"/>
      <c r="Z183" s="60" t="n">
        <v>3</v>
      </c>
      <c r="AA183" s="60" t="n">
        <f aca="false">IF(A183="","",IF(AND(Parameter!$B$21="Ja",ISNUMBER(W183)),W183,IF(AND(Parameter!$E$27="Ja",ISNUMBER(Z183),CD183&lt;&gt;"Nein"),Z183,IF(CD183="2+3",IF(ISNUMBER(SEARCH("grosser Artikel",BV183)),2,IFERROR(VLOOKUP(BY183,Parameter!$F$35:$G$64,2,0),2)),IF(OR(CD183="Nein",CD183=""),"-",CD183)))))</f>
        <v>3</v>
      </c>
      <c r="AB183" s="67"/>
      <c r="AC183" s="68"/>
      <c r="AD183" s="62" t="n">
        <f aca="false">AW183</f>
        <v>171</v>
      </c>
      <c r="AE183" s="62" t="n">
        <f aca="false">MAX(AW183,H183)</f>
        <v>171</v>
      </c>
      <c r="AF183" s="69"/>
      <c r="AG183" s="62" t="n">
        <f aca="false">IF(LEFT(Cockpit!$C$5,1)="A",H183,IF(Parameter!$E$30="MAX-Bestand",IF(CI183=1,CJ183,IF(LEFT(Cockpit!$C$5,1)="B",AM183,MAX(AM183,H183))),ROUNDUP(AK183,0)))</f>
        <v>122</v>
      </c>
      <c r="AH183" s="62" t="n">
        <f aca="false">IF(CA183=1,0,ROUNDUP(AG183/BZ183,0))</f>
        <v>2</v>
      </c>
      <c r="AI183" s="64" t="n">
        <f aca="false">IF(CR183&gt;0,CR183*MAX(1,AG183/X183),IF(CA183=1,IF(AG183&lt;=0,0,CE183*MAX(1,IF(H183&gt;0,AG183/H183,1))),IF(R183&gt;0,AH183/R183,0))/MAX(0.1,N(Parameter!$M$21)))</f>
        <v>0.0769230769230769</v>
      </c>
      <c r="AJ183" s="62" t="n">
        <f aca="false">AI183*CC183</f>
        <v>11.9230769230769</v>
      </c>
      <c r="AK183" s="63" t="n">
        <f aca="false">IF(LEFT(Cockpit!$C$5,1)="A",H183,IF(CI183=1,(CL183+CJ183)/2,IF(LEFT(Cockpit!$C$5,1)="B",(CL183+AM183)/2,MAX((CL183+AM183)/2,H183))))</f>
        <v>122</v>
      </c>
      <c r="AL183" s="62" t="n">
        <f aca="false">AK183*G183</f>
        <v>1988.6</v>
      </c>
      <c r="AM183" s="62" t="n">
        <f aca="false">ROUNDUP(CL183+MAX(CM183,2*(J183/IF(CH183&gt;0,CH183,MAX(0.1,N(Cockpit!$C$6)))-CL183)),0)</f>
        <v>171</v>
      </c>
      <c r="AN183" s="63" t="n">
        <f aca="false">IF(AJ183&gt;0,J183/AJ183,-1)</f>
        <v>23.4838709677419</v>
      </c>
      <c r="AO183" s="63" t="n">
        <f aca="false">IF(AND(OR(CG183="L1",CG183="L23",CG183="LIFT"),AJ183&gt;0),SUMIFS($AJ$7:$AJ$1843,$CG$7:$CG$1843,CG183,$AN$7:$AN$1843,"&gt;"&amp;AN183)+SUMIFS($AJ$7:$AJ$1843,$CG$7:$CG$1843,CG183,$AN$7:$AN$1843,AN183,$BX$7:$BX$1843,"&lt;="&amp;BX183),"")</f>
        <v>1575.89652014652</v>
      </c>
      <c r="AP183" s="70" t="n">
        <f aca="false">IF(AO183="",0,MAX(0,MIN(1,(IF(CG183="L1",Parameter!$H$5,IF(CG183="L23",Parameter!$H$6+Parameter!$H$7,Parameter!$H$5+Parameter!$H$6+Parameter!$H$7))-(AO183-AJ183))/AJ183)))</f>
        <v>1</v>
      </c>
      <c r="AQ183" s="62" t="n">
        <f aca="false">IF(LEFT(Cockpit!$I$5,1)="A",H183,IF(Parameter!$E$30="MAX-Bestand",IF(CI183=1,CJ183,IF(LEFT(Cockpit!$I$5,1)="B",AW183,MAX(AW183,H183))),ROUNDUP(AU183,0)))</f>
        <v>122</v>
      </c>
      <c r="AR183" s="62" t="n">
        <f aca="false">IF(CA183=1,0,ROUNDUP(AQ183/BZ183,0))</f>
        <v>2</v>
      </c>
      <c r="AS183" s="64" t="n">
        <f aca="false">IF(CR183&gt;0,CR183*MAX(1,AQ183/X183),IF(CA183=1,IF(AQ183&lt;=0,0,CE183*MAX(1,IF(H183&gt;0,AQ183/H183,1))),IF(R183&gt;0,AR183/R183,0))/MAX(0.1,N(Parameter!$M$21)))</f>
        <v>0.0769230769230769</v>
      </c>
      <c r="AT183" s="62" t="n">
        <f aca="false">AS183*CC183</f>
        <v>11.9230769230769</v>
      </c>
      <c r="AU183" s="63" t="n">
        <f aca="false">IF(LEFT(Cockpit!$I$5,1)="A",H183,IF(CI183=1,(CL183+CJ183)/2,IF(LEFT(Cockpit!$I$5,1)="B",(CL183+AW183)/2,MAX((CL183+AW183)/2,H183))))</f>
        <v>122</v>
      </c>
      <c r="AV183" s="62" t="n">
        <f aca="false">AU183*G183</f>
        <v>1988.6</v>
      </c>
      <c r="AW183" s="62" t="n">
        <f aca="false">ROUNDUP(CL183+MAX(CM183,2*(J183/IF(CH183&gt;0,CH183,MAX(0.1,N(Cockpit!$I$6)))-CL183)),0)</f>
        <v>171</v>
      </c>
      <c r="AX183" s="63" t="n">
        <f aca="false">IF(AT183&gt;0,J183/AT183,-1)</f>
        <v>23.4838709677419</v>
      </c>
      <c r="AY183" s="63" t="n">
        <f aca="false">IF(AND(OR(CG183="L1",CG183="L23",CG183="LIFT"),AT183&gt;0),SUMIFS($AT$7:$AT$1843,$CG$7:$CG$1843,CG183,$AX$7:$AX$1843,"&gt;"&amp;AX183)+SUMIFS($AT$7:$AT$1843,$CG$7:$CG$1843,CG183,$AX$7:$AX$1843,AX183,$BX$7:$BX$1843,"&lt;="&amp;BX183),"")</f>
        <v>2201.73534798535</v>
      </c>
      <c r="AZ183" s="70" t="n">
        <f aca="false">IF(AY183="",0,MAX(0,MIN(1,(IF(CG183="L1",Parameter!$H$5,IF(CG183="L23",Parameter!$H$6+Parameter!$H$7,Parameter!$H$5+Parameter!$H$6+Parameter!$H$7))-(AY183-AT183))/AT183)))</f>
        <v>1</v>
      </c>
      <c r="BA183" s="62" t="n">
        <f aca="false">IF(LEFT(Cockpit!$O$5,1)="A",H183,IF(Parameter!$E$30="MAX-Bestand",IF(CI183=1,CJ183,IF(LEFT(Cockpit!$O$5,1)="B",BG183,MAX(BG183,H183))),ROUNDUP(BE183,0)))</f>
        <v>70</v>
      </c>
      <c r="BB183" s="62" t="n">
        <f aca="false">IF(CA183=1,0,ROUNDUP(BA183/BZ183,0))</f>
        <v>1</v>
      </c>
      <c r="BC183" s="64" t="n">
        <f aca="false">IF(CR183&gt;0,CR183*MAX(1,BA183/X183),IF(CA183=1,IF(BA183&lt;=0,0,CE183*MAX(1,IF(H183&gt;0,BA183/H183,1))),IF(R183&gt;0,BB183/R183,0))/MAX(0.1,N(Parameter!$M$21)))</f>
        <v>0.0384615384615385</v>
      </c>
      <c r="BD183" s="62" t="n">
        <f aca="false">BC183*CC183</f>
        <v>5.96153846153846</v>
      </c>
      <c r="BE183" s="63" t="n">
        <f aca="false">IF(LEFT(Cockpit!$O$5,1)="A",H183,IF(CI183=1,(CL183+CJ183)/2,IF(LEFT(Cockpit!$O$5,1)="B",(CL183+BG183)/2,MAX((CL183+BG183)/2,H183))))</f>
        <v>70</v>
      </c>
      <c r="BF183" s="62" t="n">
        <f aca="false">BE183*G183</f>
        <v>1141</v>
      </c>
      <c r="BG183" s="62" t="n">
        <f aca="false">ROUNDUP(CL183+MAX(CM183,2*(J183/IF(CH183&gt;0,CH183,MAX(0.1,N(Cockpit!$O$6)))-CL183)),0)</f>
        <v>124</v>
      </c>
      <c r="BH183" s="63" t="n">
        <f aca="false">IF(BD183&gt;0,J183/BD183,-1)</f>
        <v>46.9677419354839</v>
      </c>
      <c r="BI183" s="63" t="n">
        <f aca="false">IF(AND(OR(CG183="L1",CG183="L23",CG183="LIFT"),BD183&gt;0),SUMIFS($BD$7:$BD$1843,$CG$7:$CG$1843,CG183,$BH$7:$BH$1843,"&gt;"&amp;BH183)+SUMIFS($BD$7:$BD$1843,$CG$7:$CG$1843,CG183,$BH$7:$BH$1843,BH183,$BX$7:$BX$1843,"&lt;="&amp;BX183),"")</f>
        <v>1220.03846153846</v>
      </c>
      <c r="BJ183" s="70" t="n">
        <f aca="false">IF(BI183="",0,MAX(0,MIN(1,(IF(CG183="L1",Parameter!$H$5,IF(CG183="L23",Parameter!$H$6+Parameter!$H$7,Parameter!$H$5+Parameter!$H$6+Parameter!$H$7))-(BI183-BD183))/BD183)))</f>
        <v>1</v>
      </c>
      <c r="BK183" s="60" t="str">
        <f aca="false">IF(AJ183&lt;=0,"",IF(CG183="Aussen","Aussenlager",IF(CG183="-","Nicht im Lift",IF(AP183&gt;=1,"Lift",IF(AP183&lt;=0,"Aussenlager","teilweise")))))</f>
        <v>Lift</v>
      </c>
      <c r="BL183" s="60" t="str">
        <f aca="false">IF(AT183&lt;=0,"",IF(CG183="Aussen","Aussenlager",IF(CG183="-","Nicht im Lift",IF(AZ183&gt;=1,"Lift",IF(AZ183&lt;=0,"Aussenlager","teilweise")))))</f>
        <v>Lift</v>
      </c>
      <c r="BM183" s="60" t="str">
        <f aca="false">IF(BD183&lt;=0,"",IF(CG183="Aussen","Aussenlager",IF(CG183="-","Nicht im Lift",IF(BJ183&gt;=1,"Lift",IF(BJ183&lt;=0,"Aussenlager","teilweise")))))</f>
        <v>Lift</v>
      </c>
      <c r="BN183" s="60" t="str">
        <f aca="false">IF(A183="","",IF(BW183=1,"Neu; ","")&amp;IF(AND(BW183=0,BR183&lt;0),"negativer Bestand (Export "&amp;BR183&amp;"); ","")&amp;IF(J183&lt;=0,"Kein Verbrauch; ","")&amp;IF(CR183&gt;0,"Lift "&amp;W183&amp;" lt. Liftbericht (Fach "&amp;X183&amp;" Stk); ",IF(CB183=1,"Gebinde geschätzt ("&amp;T183&amp;"); ",IF(CA183=1,"Lose – Tablare geschätzt; ","")))&amp;IF(H183&gt;AW183,"Überbestand "&amp;ROUND(H183-AW183,0)&amp;" Stk / CHF "&amp;ROUND((H183-AW183)*G183,0)&amp;"; ","")&amp;IF(AND(CI183=1,CJ183&lt;CK183),"MAX &lt; MB+LG; ","")&amp;IF(AND(CQ183&gt;0,CP183*10&gt;CQ183),"zu hoch für Tablar; ","")&amp;IF(AND(BW183=0,OR(CI183=1,AB183&lt;&gt;"",U183&lt;&gt;"",V183&lt;&gt;"",AC183&lt;&gt;"")),"manuell übersteuert; ","")&amp;IF(AND(CA183=0,R183=0),"Gebinde unbekannt / Stellmass fehlt; ","")&amp;IF(AND(CA183=0,N(V183)&lt;=0,N(Q183)&lt;=0),"Menge pro Gebinde fehlt (Ist = 1 Gebinde); ","")&amp;BV183)</f>
        <v/>
      </c>
      <c r="BO183" s="60"/>
      <c r="BP183" s="60"/>
      <c r="BQ183" s="67"/>
      <c r="BR183" s="62" t="n">
        <v>77</v>
      </c>
      <c r="BS183" s="62" t="n">
        <v>45</v>
      </c>
      <c r="BT183" s="61" t="n">
        <v>995.94</v>
      </c>
      <c r="BU183" s="62" t="n">
        <v>280</v>
      </c>
      <c r="BV183" s="60"/>
      <c r="BW183" s="65" t="n">
        <v>0</v>
      </c>
      <c r="BX183" s="65" t="n">
        <v>183</v>
      </c>
      <c r="BY183" s="60" t="str">
        <f aca="false">IF(U183&lt;&gt;"",UPPER(TRIM(U183)),IF(CB183=1,UPPER(VLOOKUP(T183,Parameter!$I$27:$K$29,2,0)),IF(P183="","LOSE",P183)))</f>
        <v>S51</v>
      </c>
      <c r="BZ183" s="62" t="n">
        <f aca="false">IF(BY183="LOSE",1,IF(N(V183)&gt;0,V183,IF(CB183=1,MAX(1,N(VLOOKUP(T183,Parameter!$I$27:$K$29,3,0)),H183,N(N183)),IF(N(Q183)&gt;0,Q183,MAX(1,H183)))))</f>
        <v>112</v>
      </c>
      <c r="CA183" s="65" t="n">
        <f aca="false">IF(BY183="LOSE",1,0)</f>
        <v>0</v>
      </c>
      <c r="CB183" s="65" t="n">
        <f aca="false">IF(AND(U183="",OR(P183="",P183="LOSE"),T183&lt;&gt;"",N(S183)&lt;=0,ISNUMBER(MATCH(T183,Parameter!$I$27:$I$29,0))),1,0)</f>
        <v>0</v>
      </c>
      <c r="CC183" s="65" t="n">
        <f aca="false">IF(CR183&gt;0,INDEX(Parameter!$H$5:$H$7,W183)/INDEX(Parameter!$E$5:$E$7,W183),IF(AND(CA183=0,N(IFERROR(VLOOKUP(BY183,'Gebinde-Kategorie'!$A$5:$N$45,14,0),0))&gt;0),VLOOKUP(BY183,'Gebinde-Kategorie'!$A$5:$N$45,14,0)*10+Parameter!$M$23,Parameter!$M$24))</f>
        <v>155</v>
      </c>
      <c r="CD183" s="60" t="str">
        <f aca="false">IF(AND(Parameter!$B$19="Ja",E183&lt;&gt;"",ISNUMBER(MATCH(E183,Parameter!$I$35:$I$52,0))),VLOOKUP(E183,Parameter!$I$35:$J$52,2,0),IFERROR(VLOOKUP(D183,Parameter!$A$35:$C$64,2,0),"Nein"))</f>
        <v>2+3</v>
      </c>
      <c r="CE183" s="64" t="n">
        <f aca="false">IF(CA183=0,0,IF(N(S183)&gt;0,S183,IFERROR(VLOOKUP(D183,Parameter!$A$35:$C$64,3,0)+0,0)))</f>
        <v>0</v>
      </c>
      <c r="CF183" s="60" t="n">
        <f aca="false">IF(AB183&lt;&gt;"",AB183,AA183)</f>
        <v>3</v>
      </c>
      <c r="CG183" s="60" t="str">
        <f aca="false">IF(OR(CF183=1,CF183=2,CF183=3),IF(Parameter!$E$27="Ja","LIFT",IF(CF183=1,"L1","L23")),IF(CF183="Aussen","Aussen","-"))</f>
        <v>LIFT</v>
      </c>
      <c r="CH183" s="71" t="n">
        <f aca="false">IF(N(AC183)&gt;0,AC183,0)</f>
        <v>0</v>
      </c>
      <c r="CI183" s="65" t="n">
        <f aca="false">IF(ISNUMBER(AF183),1,0)</f>
        <v>0</v>
      </c>
      <c r="CJ183" s="62" t="n">
        <f aca="false">N(AF183)</f>
        <v>0</v>
      </c>
      <c r="CK183" s="62" t="n">
        <f aca="false">N(M183)+N(N183)</f>
        <v>116</v>
      </c>
      <c r="CL183" s="62" t="n">
        <f aca="false">N(M183)</f>
        <v>16</v>
      </c>
      <c r="CM183" s="62" t="n">
        <f aca="false">N(N183)</f>
        <v>100</v>
      </c>
      <c r="CN183" s="62" t="n">
        <f aca="false">ROUNDUP(H183/BZ183,0)</f>
        <v>2</v>
      </c>
      <c r="CO183" s="62" t="n">
        <f aca="false">ROUNDUP(CJ183/BZ183,0)</f>
        <v>0</v>
      </c>
      <c r="CP183" s="65" t="n">
        <f aca="false">IF(CA183=1,0,IFERROR(VLOOKUP(BY183,'Gebinde-Kategorie'!$A$5:$N$45,5,0)+0,0))</f>
        <v>11</v>
      </c>
      <c r="CQ183" s="65" t="n">
        <f aca="false">IFERROR(IF(OR(CF183=1,CF183=2,CF183=3),N(INDEX(Parameter!$I$5:$I$7,CF183)),0),0)</f>
        <v>0</v>
      </c>
      <c r="CR183" s="64" t="n">
        <f aca="false">IF(AND(Parameter!$B$21="Ja",ISNUMBER(W183),N(X183)&gt;0),IFERROR(N(INDEX(Parameter!$L$5:$L$7,W183))*INDEX(Parameter!$E$5:$E$7,W183)*X183/SUMIFS($X$7:$X$1843,$W$7:$W$1843,W183),0),0)</f>
        <v>0</v>
      </c>
      <c r="CS183" s="62" t="n">
        <f aca="false">IF(AND(OR(CG183="L1",CG183="L23",CG183="LIFT"),H183&gt;0),CC183*IF(CR183&gt;0,CR183*MAX(1,H183/X183),IF(CA183=1,CE183,IF(R183&gt;0,CN183/R183,0))/MAX(0.1,N(Parameter!$M$21))),"")</f>
        <v>11.9230769230769</v>
      </c>
      <c r="CT183" s="64" t="n">
        <f aca="false">IF(CS183="","",J183/H183)</f>
        <v>2.29508196721311</v>
      </c>
      <c r="CU183" s="62" t="n">
        <f aca="false">IF(CS183="","",H183*G183)</f>
        <v>1988.6</v>
      </c>
      <c r="CV183" s="63" t="n">
        <f aca="false">IF(CS183="","",(CL183+ROUNDUP(CL183+MAX(CM183,2*(J183/MAX(0.1,N(Einkauf!$C$6))-CL183)),0))/2)</f>
        <v>70</v>
      </c>
      <c r="CW183" s="62" t="n">
        <f aca="false">IF(CS183="","",MAX(0,H183-CV183)*G183)</f>
        <v>847.6</v>
      </c>
      <c r="CX183" s="62" t="n">
        <f aca="false">IF(CS183="","",CS183*MAX(0,1-CV183/H183))</f>
        <v>5.08196721311476</v>
      </c>
      <c r="CY183" s="64" t="n">
        <f aca="false">IF(CS183="","",PERCENTRANK($CS$7:$CS$1843,CS183)+PERCENTRANK($CU$7:$CU$1843,CU183)+1-PERCENTRANK($CT$7:$CT$1843,CT183))</f>
        <v>1.565</v>
      </c>
      <c r="CZ183" s="72" t="n">
        <f aca="false">IF(CS183="","",CHOOSE(MATCH(Einkauf!$C$5,Parameter!$G$23:$G$27,0),CY183,CS183,CU183,-CT183,CW183)+ROW()/1000000000)</f>
        <v>1.565000183</v>
      </c>
    </row>
    <row r="184" customFormat="false" ht="15" hidden="false" customHeight="false" outlineLevel="0" collapsed="false">
      <c r="A184" s="60" t="s">
        <v>614</v>
      </c>
      <c r="B184" s="60" t="s">
        <v>615</v>
      </c>
      <c r="C184" s="60" t="s">
        <v>206</v>
      </c>
      <c r="D184" s="60" t="s">
        <v>215</v>
      </c>
      <c r="E184" s="60" t="s">
        <v>227</v>
      </c>
      <c r="F184" s="60" t="s">
        <v>260</v>
      </c>
      <c r="G184" s="61" t="n">
        <v>159.24</v>
      </c>
      <c r="H184" s="62" t="n">
        <f aca="false">MAX(0,IF(AND(Parameter!$B$21="Ja",ISNUMBER(Y184)),Y184,IF(Parameter!$B$20="Jahresanfang 2025 + Export",BS184+BR184,BR184)))</f>
        <v>8</v>
      </c>
      <c r="I184" s="62" t="n">
        <f aca="false">H184*G184</f>
        <v>1273.92</v>
      </c>
      <c r="J184" s="62" t="n">
        <f aca="false">BU184*Parameter!$B$18</f>
        <v>0</v>
      </c>
      <c r="K184" s="63" t="n">
        <v>6.5</v>
      </c>
      <c r="L184" s="64" t="n">
        <v>0</v>
      </c>
      <c r="M184" s="62" t="n">
        <v>0</v>
      </c>
      <c r="N184" s="62" t="n">
        <v>1</v>
      </c>
      <c r="O184" s="65" t="n">
        <v>70</v>
      </c>
      <c r="P184" s="60" t="s">
        <v>335</v>
      </c>
      <c r="Q184" s="62" t="n">
        <v>12</v>
      </c>
      <c r="R184" s="65" t="n">
        <f aca="false">IF(CA184=1,0,IFERROR(VLOOKUP(BY184,'Gebinde-Kategorie'!$A$5:$N$45,13,0)+0,0))</f>
        <v>12</v>
      </c>
      <c r="S184" s="66"/>
      <c r="T184" s="67"/>
      <c r="U184" s="67"/>
      <c r="V184" s="67"/>
      <c r="W184" s="60"/>
      <c r="X184" s="62"/>
      <c r="Y184" s="62"/>
      <c r="Z184" s="60" t="n">
        <v>3</v>
      </c>
      <c r="AA184" s="60" t="n">
        <f aca="false">IF(A184="","",IF(AND(Parameter!$B$21="Ja",ISNUMBER(W184)),W184,IF(AND(Parameter!$E$27="Ja",ISNUMBER(Z184),CD184&lt;&gt;"Nein"),Z184,IF(CD184="2+3",IF(ISNUMBER(SEARCH("grosser Artikel",BV184)),2,IFERROR(VLOOKUP(BY184,Parameter!$F$35:$G$64,2,0),2)),IF(OR(CD184="Nein",CD184=""),"-",CD184)))))</f>
        <v>3</v>
      </c>
      <c r="AB184" s="67"/>
      <c r="AC184" s="68"/>
      <c r="AD184" s="62" t="n">
        <f aca="false">AW184</f>
        <v>1</v>
      </c>
      <c r="AE184" s="62" t="n">
        <f aca="false">MAX(AW184,H184)</f>
        <v>8</v>
      </c>
      <c r="AF184" s="69"/>
      <c r="AG184" s="62" t="n">
        <f aca="false">IF(LEFT(Cockpit!$C$5,1)="A",H184,IF(Parameter!$E$30="MAX-Bestand",IF(CI184=1,CJ184,IF(LEFT(Cockpit!$C$5,1)="B",AM184,MAX(AM184,H184))),ROUNDUP(AK184,0)))</f>
        <v>8</v>
      </c>
      <c r="AH184" s="62" t="n">
        <f aca="false">IF(CA184=1,0,ROUNDUP(AG184/BZ184,0))</f>
        <v>1</v>
      </c>
      <c r="AI184" s="64" t="n">
        <f aca="false">IF(CR184&gt;0,CR184*MAX(1,AG184/X184),IF(CA184=1,IF(AG184&lt;=0,0,CE184*MAX(1,IF(H184&gt;0,AG184/H184,1))),IF(R184&gt;0,AH184/R184,0))/MAX(0.1,N(Parameter!$M$21)))</f>
        <v>0.0833333333333333</v>
      </c>
      <c r="AJ184" s="62" t="n">
        <f aca="false">AI184*CC184</f>
        <v>20.4166666666667</v>
      </c>
      <c r="AK184" s="63" t="n">
        <f aca="false">IF(LEFT(Cockpit!$C$5,1)="A",H184,IF(CI184=1,(CL184+CJ184)/2,IF(LEFT(Cockpit!$C$5,1)="B",(CL184+AM184)/2,MAX((CL184+AM184)/2,H184))))</f>
        <v>8</v>
      </c>
      <c r="AL184" s="62" t="n">
        <f aca="false">AK184*G184</f>
        <v>1273.92</v>
      </c>
      <c r="AM184" s="62" t="n">
        <f aca="false">ROUNDUP(CL184+MAX(CM184,2*(J184/IF(CH184&gt;0,CH184,MAX(0.1,N(Cockpit!$C$6)))-CL184)),0)</f>
        <v>1</v>
      </c>
      <c r="AN184" s="63" t="n">
        <f aca="false">IF(AJ184&gt;0,J184/AJ184,-1)</f>
        <v>0</v>
      </c>
      <c r="AO184" s="63" t="n">
        <f aca="false">IF(AND(OR(CG184="L1",CG184="L23",CG184="LIFT"),AJ184&gt;0),SUMIFS($AJ$7:$AJ$1843,$CG$7:$CG$1843,CG184,$AN$7:$AN$1843,"&gt;"&amp;AN184)+SUMIFS($AJ$7:$AJ$1843,$CG$7:$CG$1843,CG184,$AN$7:$AN$1843,AN184,$BX$7:$BX$1843,"&lt;="&amp;BX184),"")</f>
        <v>27518.4562121024</v>
      </c>
      <c r="AP184" s="70" t="n">
        <f aca="false">IF(AO184="",0,MAX(0,MIN(1,(IF(CG184="L1",Parameter!$H$5,IF(CG184="L23",Parameter!$H$6+Parameter!$H$7,Parameter!$H$5+Parameter!$H$6+Parameter!$H$7))-(AO184-AJ184))/AJ184)))</f>
        <v>1</v>
      </c>
      <c r="AQ184" s="62" t="n">
        <f aca="false">IF(LEFT(Cockpit!$I$5,1)="A",H184,IF(Parameter!$E$30="MAX-Bestand",IF(CI184=1,CJ184,IF(LEFT(Cockpit!$I$5,1)="B",AW184,MAX(AW184,H184))),ROUNDUP(AU184,0)))</f>
        <v>8</v>
      </c>
      <c r="AR184" s="62" t="n">
        <f aca="false">IF(CA184=1,0,ROUNDUP(AQ184/BZ184,0))</f>
        <v>1</v>
      </c>
      <c r="AS184" s="64" t="n">
        <f aca="false">IF(CR184&gt;0,CR184*MAX(1,AQ184/X184),IF(CA184=1,IF(AQ184&lt;=0,0,CE184*MAX(1,IF(H184&gt;0,AQ184/H184,1))),IF(R184&gt;0,AR184/R184,0))/MAX(0.1,N(Parameter!$M$21)))</f>
        <v>0.0833333333333333</v>
      </c>
      <c r="AT184" s="62" t="n">
        <f aca="false">AS184*CC184</f>
        <v>20.4166666666667</v>
      </c>
      <c r="AU184" s="63" t="n">
        <f aca="false">IF(LEFT(Cockpit!$I$5,1)="A",H184,IF(CI184=1,(CL184+CJ184)/2,IF(LEFT(Cockpit!$I$5,1)="B",(CL184+AW184)/2,MAX((CL184+AW184)/2,H184))))</f>
        <v>8</v>
      </c>
      <c r="AV184" s="62" t="n">
        <f aca="false">AU184*G184</f>
        <v>1273.92</v>
      </c>
      <c r="AW184" s="62" t="n">
        <f aca="false">ROUNDUP(CL184+MAX(CM184,2*(J184/IF(CH184&gt;0,CH184,MAX(0.1,N(Cockpit!$I$6)))-CL184)),0)</f>
        <v>1</v>
      </c>
      <c r="AX184" s="63" t="n">
        <f aca="false">IF(AT184&gt;0,J184/AT184,-1)</f>
        <v>0</v>
      </c>
      <c r="AY184" s="63" t="n">
        <f aca="false">IF(AND(OR(CG184="L1",CG184="L23",CG184="LIFT"),AT184&gt;0),SUMIFS($AT$7:$AT$1843,$CG$7:$CG$1843,CG184,$AX$7:$AX$1843,"&gt;"&amp;AX184)+SUMIFS($AT$7:$AT$1843,$CG$7:$CG$1843,CG184,$AX$7:$AX$1843,AX184,$BX$7:$BX$1843,"&lt;="&amp;BX184),"")</f>
        <v>32871.6048534799</v>
      </c>
      <c r="AZ184" s="70" t="n">
        <f aca="false">IF(AY184="",0,MAX(0,MIN(1,(IF(CG184="L1",Parameter!$H$5,IF(CG184="L23",Parameter!$H$6+Parameter!$H$7,Parameter!$H$5+Parameter!$H$6+Parameter!$H$7))-(AY184-AT184))/AT184)))</f>
        <v>1</v>
      </c>
      <c r="BA184" s="62" t="n">
        <f aca="false">IF(LEFT(Cockpit!$O$5,1)="A",H184,IF(Parameter!$E$30="MAX-Bestand",IF(CI184=1,CJ184,IF(LEFT(Cockpit!$O$5,1)="B",BG184,MAX(BG184,H184))),ROUNDUP(BE184,0)))</f>
        <v>1</v>
      </c>
      <c r="BB184" s="62" t="n">
        <f aca="false">IF(CA184=1,0,ROUNDUP(BA184/BZ184,0))</f>
        <v>1</v>
      </c>
      <c r="BC184" s="64" t="n">
        <f aca="false">IF(CR184&gt;0,CR184*MAX(1,BA184/X184),IF(CA184=1,IF(BA184&lt;=0,0,CE184*MAX(1,IF(H184&gt;0,BA184/H184,1))),IF(R184&gt;0,BB184/R184,0))/MAX(0.1,N(Parameter!$M$21)))</f>
        <v>0.0833333333333333</v>
      </c>
      <c r="BD184" s="62" t="n">
        <f aca="false">BC184*CC184</f>
        <v>20.4166666666667</v>
      </c>
      <c r="BE184" s="63" t="n">
        <f aca="false">IF(LEFT(Cockpit!$O$5,1)="A",H184,IF(CI184=1,(CL184+CJ184)/2,IF(LEFT(Cockpit!$O$5,1)="B",(CL184+BG184)/2,MAX((CL184+BG184)/2,H184))))</f>
        <v>0.5</v>
      </c>
      <c r="BF184" s="62" t="n">
        <f aca="false">BE184*G184</f>
        <v>79.62</v>
      </c>
      <c r="BG184" s="62" t="n">
        <f aca="false">ROUNDUP(CL184+MAX(CM184,2*(J184/IF(CH184&gt;0,CH184,MAX(0.1,N(Cockpit!$O$6)))-CL184)),0)</f>
        <v>1</v>
      </c>
      <c r="BH184" s="63" t="n">
        <f aca="false">IF(BD184&gt;0,J184/BD184,-1)</f>
        <v>0</v>
      </c>
      <c r="BI184" s="63" t="n">
        <f aca="false">IF(AND(OR(CG184="L1",CG184="L23",CG184="LIFT"),BD184&gt;0),SUMIFS($BD$7:$BD$1843,$CG$7:$CG$1843,CG184,$BH$7:$BH$1843,"&gt;"&amp;BH184)+SUMIFS($BD$7:$BD$1843,$CG$7:$CG$1843,CG184,$BH$7:$BH$1843,BH184,$BX$7:$BX$1843,"&lt;="&amp;BX184),"")</f>
        <v>27035.8469531881</v>
      </c>
      <c r="BJ184" s="70" t="n">
        <f aca="false">IF(BI184="",0,MAX(0,MIN(1,(IF(CG184="L1",Parameter!$H$5,IF(CG184="L23",Parameter!$H$6+Parameter!$H$7,Parameter!$H$5+Parameter!$H$6+Parameter!$H$7))-(BI184-BD184))/BD184)))</f>
        <v>1</v>
      </c>
      <c r="BK184" s="60" t="str">
        <f aca="false">IF(AJ184&lt;=0,"",IF(CG184="Aussen","Aussenlager",IF(CG184="-","Nicht im Lift",IF(AP184&gt;=1,"Lift",IF(AP184&lt;=0,"Aussenlager","teilweise")))))</f>
        <v>Lift</v>
      </c>
      <c r="BL184" s="60" t="str">
        <f aca="false">IF(AT184&lt;=0,"",IF(CG184="Aussen","Aussenlager",IF(CG184="-","Nicht im Lift",IF(AZ184&gt;=1,"Lift",IF(AZ184&lt;=0,"Aussenlager","teilweise")))))</f>
        <v>Lift</v>
      </c>
      <c r="BM184" s="60" t="str">
        <f aca="false">IF(BD184&lt;=0,"",IF(CG184="Aussen","Aussenlager",IF(CG184="-","Nicht im Lift",IF(BJ184&gt;=1,"Lift",IF(BJ184&lt;=0,"Aussenlager","teilweise")))))</f>
        <v>Lift</v>
      </c>
      <c r="BN184" s="60" t="str">
        <f aca="false">IF(A184="","",IF(BW184=1,"Neu; ","")&amp;IF(AND(BW184=0,BR184&lt;0),"negativer Bestand (Export "&amp;BR184&amp;"); ","")&amp;IF(J184&lt;=0,"Kein Verbrauch; ","")&amp;IF(CR184&gt;0,"Lift "&amp;W184&amp;" lt. Liftbericht (Fach "&amp;X184&amp;" Stk); ",IF(CB184=1,"Gebinde geschätzt ("&amp;T184&amp;"); ",IF(CA184=1,"Lose – Tablare geschätzt; ","")))&amp;IF(H184&gt;AW184,"Überbestand "&amp;ROUND(H184-AW184,0)&amp;" Stk / CHF "&amp;ROUND((H184-AW184)*G184,0)&amp;"; ","")&amp;IF(AND(CI184=1,CJ184&lt;CK184),"MAX &lt; MB+LG; ","")&amp;IF(AND(CQ184&gt;0,CP184*10&gt;CQ184),"zu hoch für Tablar; ","")&amp;IF(AND(BW184=0,OR(CI184=1,AB184&lt;&gt;"",U184&lt;&gt;"",V184&lt;&gt;"",AC184&lt;&gt;"")),"manuell übersteuert; ","")&amp;IF(AND(CA184=0,R184=0),"Gebinde unbekannt / Stellmass fehlt; ","")&amp;IF(AND(CA184=0,N(V184)&lt;=0,N(Q184)&lt;=0),"Menge pro Gebinde fehlt (Ist = 1 Gebinde); ","")&amp;BV184)</f>
        <v>Kein Verbrauch; Überbestand 7 Stk / CHF 1115; Überbestand</v>
      </c>
      <c r="BO184" s="60"/>
      <c r="BP184" s="60"/>
      <c r="BQ184" s="67"/>
      <c r="BR184" s="62" t="n">
        <v>6</v>
      </c>
      <c r="BS184" s="62" t="n">
        <v>2</v>
      </c>
      <c r="BT184" s="61" t="n">
        <v>964.86</v>
      </c>
      <c r="BU184" s="62" t="n">
        <v>0</v>
      </c>
      <c r="BV184" s="60" t="s">
        <v>434</v>
      </c>
      <c r="BW184" s="65" t="n">
        <v>0</v>
      </c>
      <c r="BX184" s="65" t="n">
        <v>184</v>
      </c>
      <c r="BY184" s="60" t="str">
        <f aca="false">IF(U184&lt;&gt;"",UPPER(TRIM(U184)),IF(CB184=1,UPPER(VLOOKUP(T184,Parameter!$I$27:$K$29,2,0)),IF(P184="","LOSE",P184)))</f>
        <v>S62</v>
      </c>
      <c r="BZ184" s="62" t="n">
        <f aca="false">IF(BY184="LOSE",1,IF(N(V184)&gt;0,V184,IF(CB184=1,MAX(1,N(VLOOKUP(T184,Parameter!$I$27:$K$29,3,0)),H184,N(N184)),IF(N(Q184)&gt;0,Q184,MAX(1,H184)))))</f>
        <v>12</v>
      </c>
      <c r="CA184" s="65" t="n">
        <f aca="false">IF(BY184="LOSE",1,0)</f>
        <v>0</v>
      </c>
      <c r="CB184" s="65" t="n">
        <f aca="false">IF(AND(U184="",OR(P184="",P184="LOSE"),T184&lt;&gt;"",N(S184)&lt;=0,ISNUMBER(MATCH(T184,Parameter!$I$27:$I$29,0))),1,0)</f>
        <v>0</v>
      </c>
      <c r="CC184" s="65" t="n">
        <f aca="false">IF(CR184&gt;0,INDEX(Parameter!$H$5:$H$7,W184)/INDEX(Parameter!$E$5:$E$7,W184),IF(AND(CA184=0,N(IFERROR(VLOOKUP(BY184,'Gebinde-Kategorie'!$A$5:$N$45,14,0),0))&gt;0),VLOOKUP(BY184,'Gebinde-Kategorie'!$A$5:$N$45,14,0)*10+Parameter!$M$23,Parameter!$M$24))</f>
        <v>245</v>
      </c>
      <c r="CD184" s="60" t="str">
        <f aca="false">IF(AND(Parameter!$B$19="Ja",E184&lt;&gt;"",ISNUMBER(MATCH(E184,Parameter!$I$35:$I$52,0))),VLOOKUP(E184,Parameter!$I$35:$J$52,2,0),IFERROR(VLOOKUP(D184,Parameter!$A$35:$C$64,2,0),"Nein"))</f>
        <v>2+3</v>
      </c>
      <c r="CE184" s="64" t="n">
        <f aca="false">IF(CA184=0,0,IF(N(S184)&gt;0,S184,IFERROR(VLOOKUP(D184,Parameter!$A$35:$C$64,3,0)+0,0)))</f>
        <v>0</v>
      </c>
      <c r="CF184" s="60" t="n">
        <f aca="false">IF(AB184&lt;&gt;"",AB184,AA184)</f>
        <v>3</v>
      </c>
      <c r="CG184" s="60" t="str">
        <f aca="false">IF(OR(CF184=1,CF184=2,CF184=3),IF(Parameter!$E$27="Ja","LIFT",IF(CF184=1,"L1","L23")),IF(CF184="Aussen","Aussen","-"))</f>
        <v>LIFT</v>
      </c>
      <c r="CH184" s="71" t="n">
        <f aca="false">IF(N(AC184)&gt;0,AC184,0)</f>
        <v>0</v>
      </c>
      <c r="CI184" s="65" t="n">
        <f aca="false">IF(ISNUMBER(AF184),1,0)</f>
        <v>0</v>
      </c>
      <c r="CJ184" s="62" t="n">
        <f aca="false">N(AF184)</f>
        <v>0</v>
      </c>
      <c r="CK184" s="62" t="n">
        <f aca="false">N(M184)+N(N184)</f>
        <v>1</v>
      </c>
      <c r="CL184" s="62" t="n">
        <f aca="false">N(M184)</f>
        <v>0</v>
      </c>
      <c r="CM184" s="62" t="n">
        <f aca="false">N(N184)</f>
        <v>1</v>
      </c>
      <c r="CN184" s="62" t="n">
        <f aca="false">ROUNDUP(H184/BZ184,0)</f>
        <v>1</v>
      </c>
      <c r="CO184" s="62" t="n">
        <f aca="false">ROUNDUP(CJ184/BZ184,0)</f>
        <v>0</v>
      </c>
      <c r="CP184" s="65" t="n">
        <f aca="false">IF(CA184=1,0,IFERROR(VLOOKUP(BY184,'Gebinde-Kategorie'!$A$5:$N$45,5,0)+0,0))</f>
        <v>21</v>
      </c>
      <c r="CQ184" s="65" t="n">
        <f aca="false">IFERROR(IF(OR(CF184=1,CF184=2,CF184=3),N(INDEX(Parameter!$I$5:$I$7,CF184)),0),0)</f>
        <v>0</v>
      </c>
      <c r="CR184" s="64" t="n">
        <f aca="false">IF(AND(Parameter!$B$21="Ja",ISNUMBER(W184),N(X184)&gt;0),IFERROR(N(INDEX(Parameter!$L$5:$L$7,W184))*INDEX(Parameter!$E$5:$E$7,W184)*X184/SUMIFS($X$7:$X$1843,$W$7:$W$1843,W184),0),0)</f>
        <v>0</v>
      </c>
      <c r="CS184" s="62" t="n">
        <f aca="false">IF(AND(OR(CG184="L1",CG184="L23",CG184="LIFT"),H184&gt;0),CC184*IF(CR184&gt;0,CR184*MAX(1,H184/X184),IF(CA184=1,CE184,IF(R184&gt;0,CN184/R184,0))/MAX(0.1,N(Parameter!$M$21))),"")</f>
        <v>20.4166666666667</v>
      </c>
      <c r="CT184" s="64" t="n">
        <f aca="false">IF(CS184="","",J184/H184)</f>
        <v>0</v>
      </c>
      <c r="CU184" s="62" t="n">
        <f aca="false">IF(CS184="","",H184*G184)</f>
        <v>1273.92</v>
      </c>
      <c r="CV184" s="63" t="n">
        <f aca="false">IF(CS184="","",(CL184+ROUNDUP(CL184+MAX(CM184,2*(J184/MAX(0.1,N(Einkauf!$C$6))-CL184)),0))/2)</f>
        <v>0.5</v>
      </c>
      <c r="CW184" s="62" t="n">
        <f aca="false">IF(CS184="","",MAX(0,H184-CV184)*G184)</f>
        <v>1194.3</v>
      </c>
      <c r="CX184" s="62" t="n">
        <f aca="false">IF(CS184="","",CS184*MAX(0,1-CV184/H184))</f>
        <v>19.140625</v>
      </c>
      <c r="CY184" s="64" t="n">
        <f aca="false">IF(CS184="","",PERCENTRANK($CS$7:$CS$1843,CS184)+PERCENTRANK($CU$7:$CU$1843,CU184)+1-PERCENTRANK($CT$7:$CT$1843,CT184))</f>
        <v>2.473</v>
      </c>
      <c r="CZ184" s="72" t="n">
        <f aca="false">IF(CS184="","",CHOOSE(MATCH(Einkauf!$C$5,Parameter!$G$23:$G$27,0),CY184,CS184,CU184,-CT184,CW184)+ROW()/1000000000)</f>
        <v>2.473000184</v>
      </c>
    </row>
    <row r="185" customFormat="false" ht="15" hidden="false" customHeight="false" outlineLevel="0" collapsed="false">
      <c r="A185" s="60" t="s">
        <v>616</v>
      </c>
      <c r="B185" s="60" t="s">
        <v>381</v>
      </c>
      <c r="C185" s="60" t="s">
        <v>206</v>
      </c>
      <c r="D185" s="60" t="s">
        <v>215</v>
      </c>
      <c r="E185" s="60"/>
      <c r="F185" s="60" t="s">
        <v>260</v>
      </c>
      <c r="G185" s="61" t="n">
        <v>388.14</v>
      </c>
      <c r="H185" s="62" t="n">
        <f aca="false">MAX(0,IF(AND(Parameter!$B$21="Ja",ISNUMBER(Y185)),Y185,IF(Parameter!$B$20="Jahresanfang 2025 + Export",BS185+BR185,BR185)))</f>
        <v>5</v>
      </c>
      <c r="I185" s="62" t="n">
        <f aca="false">H185*G185</f>
        <v>1940.7</v>
      </c>
      <c r="J185" s="62" t="n">
        <f aca="false">BU185*Parameter!$B$18</f>
        <v>2</v>
      </c>
      <c r="K185" s="63" t="n">
        <v>3.5</v>
      </c>
      <c r="L185" s="64" t="n">
        <v>0.571428571428571</v>
      </c>
      <c r="M185" s="62" t="n">
        <v>0</v>
      </c>
      <c r="N185" s="62" t="n">
        <v>1</v>
      </c>
      <c r="O185" s="65" t="n">
        <v>28</v>
      </c>
      <c r="P185" s="60" t="s">
        <v>216</v>
      </c>
      <c r="Q185" s="62" t="n">
        <v>5</v>
      </c>
      <c r="R185" s="65" t="n">
        <f aca="false">IF(CA185=1,0,IFERROR(VLOOKUP(BY185,'Gebinde-Kategorie'!$A$5:$N$45,13,0)+0,0))</f>
        <v>6</v>
      </c>
      <c r="S185" s="66"/>
      <c r="T185" s="67"/>
      <c r="U185" s="67"/>
      <c r="V185" s="67"/>
      <c r="W185" s="60"/>
      <c r="X185" s="62"/>
      <c r="Y185" s="62"/>
      <c r="Z185" s="60" t="n">
        <v>2</v>
      </c>
      <c r="AA185" s="60" t="n">
        <f aca="false">IF(A185="","",IF(AND(Parameter!$B$21="Ja",ISNUMBER(W185)),W185,IF(AND(Parameter!$E$27="Ja",ISNUMBER(Z185),CD185&lt;&gt;"Nein"),Z185,IF(CD185="2+3",IF(ISNUMBER(SEARCH("grosser Artikel",BV185)),2,IFERROR(VLOOKUP(BY185,Parameter!$F$35:$G$64,2,0),2)),IF(OR(CD185="Nein",CD185=""),"-",CD185)))))</f>
        <v>2</v>
      </c>
      <c r="AB185" s="67"/>
      <c r="AC185" s="68"/>
      <c r="AD185" s="62" t="n">
        <f aca="false">AW185</f>
        <v>2</v>
      </c>
      <c r="AE185" s="62" t="n">
        <f aca="false">MAX(AW185,H185)</f>
        <v>5</v>
      </c>
      <c r="AF185" s="69"/>
      <c r="AG185" s="62" t="n">
        <f aca="false">IF(LEFT(Cockpit!$C$5,1)="A",H185,IF(Parameter!$E$30="MAX-Bestand",IF(CI185=1,CJ185,IF(LEFT(Cockpit!$C$5,1)="B",AM185,MAX(AM185,H185))),ROUNDUP(AK185,0)))</f>
        <v>5</v>
      </c>
      <c r="AH185" s="62" t="n">
        <f aca="false">IF(CA185=1,0,ROUNDUP(AG185/BZ185,0))</f>
        <v>1</v>
      </c>
      <c r="AI185" s="64" t="n">
        <f aca="false">IF(CR185&gt;0,CR185*MAX(1,AG185/X185),IF(CA185=1,IF(AG185&lt;=0,0,CE185*MAX(1,IF(H185&gt;0,AG185/H185,1))),IF(R185&gt;0,AH185/R185,0))/MAX(0.1,N(Parameter!$M$21)))</f>
        <v>0.166666666666667</v>
      </c>
      <c r="AJ185" s="62" t="n">
        <f aca="false">AI185*CC185</f>
        <v>39.1666666666667</v>
      </c>
      <c r="AK185" s="63" t="n">
        <f aca="false">IF(LEFT(Cockpit!$C$5,1)="A",H185,IF(CI185=1,(CL185+CJ185)/2,IF(LEFT(Cockpit!$C$5,1)="B",(CL185+AM185)/2,MAX((CL185+AM185)/2,H185))))</f>
        <v>5</v>
      </c>
      <c r="AL185" s="62" t="n">
        <f aca="false">AK185*G185</f>
        <v>1940.7</v>
      </c>
      <c r="AM185" s="62" t="n">
        <f aca="false">ROUNDUP(CL185+MAX(CM185,2*(J185/IF(CH185&gt;0,CH185,MAX(0.1,N(Cockpit!$C$6)))-CL185)),0)</f>
        <v>2</v>
      </c>
      <c r="AN185" s="63" t="n">
        <f aca="false">IF(AJ185&gt;0,J185/AJ185,-1)</f>
        <v>0.0510638297872341</v>
      </c>
      <c r="AO185" s="63" t="n">
        <f aca="false">IF(AND(OR(CG185="L1",CG185="L23",CG185="LIFT"),AJ185&gt;0),SUMIFS($AJ$7:$AJ$1843,$CG$7:$CG$1843,CG185,$AN$7:$AN$1843,"&gt;"&amp;AN185)+SUMIFS($AJ$7:$AJ$1843,$CG$7:$CG$1843,CG185,$AN$7:$AN$1843,AN185,$BX$7:$BX$1843,"&lt;="&amp;BX185),"")</f>
        <v>19180.7291213965</v>
      </c>
      <c r="AP185" s="70" t="n">
        <f aca="false">IF(AO185="",0,MAX(0,MIN(1,(IF(CG185="L1",Parameter!$H$5,IF(CG185="L23",Parameter!$H$6+Parameter!$H$7,Parameter!$H$5+Parameter!$H$6+Parameter!$H$7))-(AO185-AJ185))/AJ185)))</f>
        <v>1</v>
      </c>
      <c r="AQ185" s="62" t="n">
        <f aca="false">IF(LEFT(Cockpit!$I$5,1)="A",H185,IF(Parameter!$E$30="MAX-Bestand",IF(CI185=1,CJ185,IF(LEFT(Cockpit!$I$5,1)="B",AW185,MAX(AW185,H185))),ROUNDUP(AU185,0)))</f>
        <v>5</v>
      </c>
      <c r="AR185" s="62" t="n">
        <f aca="false">IF(CA185=1,0,ROUNDUP(AQ185/BZ185,0))</f>
        <v>1</v>
      </c>
      <c r="AS185" s="64" t="n">
        <f aca="false">IF(CR185&gt;0,CR185*MAX(1,AQ185/X185),IF(CA185=1,IF(AQ185&lt;=0,0,CE185*MAX(1,IF(H185&gt;0,AQ185/H185,1))),IF(R185&gt;0,AR185/R185,0))/MAX(0.1,N(Parameter!$M$21)))</f>
        <v>0.166666666666667</v>
      </c>
      <c r="AT185" s="62" t="n">
        <f aca="false">AS185*CC185</f>
        <v>39.1666666666667</v>
      </c>
      <c r="AU185" s="63" t="n">
        <f aca="false">IF(LEFT(Cockpit!$I$5,1)="A",H185,IF(CI185=1,(CL185+CJ185)/2,IF(LEFT(Cockpit!$I$5,1)="B",(CL185+AW185)/2,MAX((CL185+AW185)/2,H185))))</f>
        <v>5</v>
      </c>
      <c r="AV185" s="62" t="n">
        <f aca="false">AU185*G185</f>
        <v>1940.7</v>
      </c>
      <c r="AW185" s="62" t="n">
        <f aca="false">ROUNDUP(CL185+MAX(CM185,2*(J185/IF(CH185&gt;0,CH185,MAX(0.1,N(Cockpit!$I$6)))-CL185)),0)</f>
        <v>2</v>
      </c>
      <c r="AX185" s="63" t="n">
        <f aca="false">IF(AT185&gt;0,J185/AT185,-1)</f>
        <v>0.0510638297872341</v>
      </c>
      <c r="AY185" s="63" t="n">
        <f aca="false">IF(AND(OR(CG185="L1",CG185="L23",CG185="LIFT"),AT185&gt;0),SUMIFS($AT$7:$AT$1843,$CG$7:$CG$1843,CG185,$AX$7:$AX$1843,"&gt;"&amp;AX185)+SUMIFS($AT$7:$AT$1843,$CG$7:$CG$1843,CG185,$AX$7:$AX$1843,AX185,$BX$7:$BX$1843,"&lt;="&amp;BX185),"")</f>
        <v>24298.877762774</v>
      </c>
      <c r="AZ185" s="70" t="n">
        <f aca="false">IF(AY185="",0,MAX(0,MIN(1,(IF(CG185="L1",Parameter!$H$5,IF(CG185="L23",Parameter!$H$6+Parameter!$H$7,Parameter!$H$5+Parameter!$H$6+Parameter!$H$7))-(AY185-AT185))/AT185)))</f>
        <v>1</v>
      </c>
      <c r="BA185" s="62" t="n">
        <f aca="false">IF(LEFT(Cockpit!$O$5,1)="A",H185,IF(Parameter!$E$30="MAX-Bestand",IF(CI185=1,CJ185,IF(LEFT(Cockpit!$O$5,1)="B",BG185,MAX(BG185,H185))),ROUNDUP(BE185,0)))</f>
        <v>1</v>
      </c>
      <c r="BB185" s="62" t="n">
        <f aca="false">IF(CA185=1,0,ROUNDUP(BA185/BZ185,0))</f>
        <v>1</v>
      </c>
      <c r="BC185" s="64" t="n">
        <f aca="false">IF(CR185&gt;0,CR185*MAX(1,BA185/X185),IF(CA185=1,IF(BA185&lt;=0,0,CE185*MAX(1,IF(H185&gt;0,BA185/H185,1))),IF(R185&gt;0,BB185/R185,0))/MAX(0.1,N(Parameter!$M$21)))</f>
        <v>0.166666666666667</v>
      </c>
      <c r="BD185" s="62" t="n">
        <f aca="false">BC185*CC185</f>
        <v>39.1666666666667</v>
      </c>
      <c r="BE185" s="63" t="n">
        <f aca="false">IF(LEFT(Cockpit!$O$5,1)="A",H185,IF(CI185=1,(CL185+CJ185)/2,IF(LEFT(Cockpit!$O$5,1)="B",(CL185+BG185)/2,MAX((CL185+BG185)/2,H185))))</f>
        <v>0.5</v>
      </c>
      <c r="BF185" s="62" t="n">
        <f aca="false">BE185*G185</f>
        <v>194.07</v>
      </c>
      <c r="BG185" s="62" t="n">
        <f aca="false">ROUNDUP(CL185+MAX(CM185,2*(J185/IF(CH185&gt;0,CH185,MAX(0.1,N(Cockpit!$O$6)))-CL185)),0)</f>
        <v>1</v>
      </c>
      <c r="BH185" s="63" t="n">
        <f aca="false">IF(BD185&gt;0,J185/BD185,-1)</f>
        <v>0.0510638297872341</v>
      </c>
      <c r="BI185" s="63" t="n">
        <f aca="false">IF(AND(OR(CG185="L1",CG185="L23",CG185="LIFT"),BD185&gt;0),SUMIFS($BD$7:$BD$1843,$CG$7:$CG$1843,CG185,$BH$7:$BH$1843,"&gt;"&amp;BH185)+SUMIFS($BD$7:$BD$1843,$CG$7:$CG$1843,CG185,$BH$7:$BH$1843,BH185,$BX$7:$BX$1843,"&lt;="&amp;BX185),"")</f>
        <v>20189.2096060719</v>
      </c>
      <c r="BJ185" s="70" t="n">
        <f aca="false">IF(BI185="",0,MAX(0,MIN(1,(IF(CG185="L1",Parameter!$H$5,IF(CG185="L23",Parameter!$H$6+Parameter!$H$7,Parameter!$H$5+Parameter!$H$6+Parameter!$H$7))-(BI185-BD185))/BD185)))</f>
        <v>1</v>
      </c>
      <c r="BK185" s="60" t="str">
        <f aca="false">IF(AJ185&lt;=0,"",IF(CG185="Aussen","Aussenlager",IF(CG185="-","Nicht im Lift",IF(AP185&gt;=1,"Lift",IF(AP185&lt;=0,"Aussenlager","teilweise")))))</f>
        <v>Lift</v>
      </c>
      <c r="BL185" s="60" t="str">
        <f aca="false">IF(AT185&lt;=0,"",IF(CG185="Aussen","Aussenlager",IF(CG185="-","Nicht im Lift",IF(AZ185&gt;=1,"Lift",IF(AZ185&lt;=0,"Aussenlager","teilweise")))))</f>
        <v>Lift</v>
      </c>
      <c r="BM185" s="60" t="str">
        <f aca="false">IF(BD185&lt;=0,"",IF(CG185="Aussen","Aussenlager",IF(CG185="-","Nicht im Lift",IF(BJ185&gt;=1,"Lift",IF(BJ185&lt;=0,"Aussenlager","teilweise")))))</f>
        <v>Lift</v>
      </c>
      <c r="BN185" s="60" t="str">
        <f aca="false">IF(A185="","",IF(BW185=1,"Neu; ","")&amp;IF(AND(BW185=0,BR185&lt;0),"negativer Bestand (Export "&amp;BR185&amp;"); ","")&amp;IF(J185&lt;=0,"Kein Verbrauch; ","")&amp;IF(CR185&gt;0,"Lift "&amp;W185&amp;" lt. Liftbericht (Fach "&amp;X185&amp;" Stk); ",IF(CB185=1,"Gebinde geschätzt ("&amp;T185&amp;"); ",IF(CA185=1,"Lose – Tablare geschätzt; ","")))&amp;IF(H185&gt;AW185,"Überbestand "&amp;ROUND(H185-AW185,0)&amp;" Stk / CHF "&amp;ROUND((H185-AW185)*G185,0)&amp;"; ","")&amp;IF(AND(CI185=1,CJ185&lt;CK185),"MAX &lt; MB+LG; ","")&amp;IF(AND(CQ185&gt;0,CP185*10&gt;CQ185),"zu hoch für Tablar; ","")&amp;IF(AND(BW185=0,OR(CI185=1,AB185&lt;&gt;"",U185&lt;&gt;"",V185&lt;&gt;"",AC185&lt;&gt;"")),"manuell übersteuert; ","")&amp;IF(AND(CA185=0,R185=0),"Gebinde unbekannt / Stellmass fehlt; ","")&amp;IF(AND(CA185=0,N(V185)&lt;=0,N(Q185)&lt;=0),"Menge pro Gebinde fehlt (Ist = 1 Gebinde); ","")&amp;BV185)</f>
        <v>Überbestand 3 Stk / CHF 1164; </v>
      </c>
      <c r="BO185" s="60"/>
      <c r="BP185" s="60"/>
      <c r="BQ185" s="67"/>
      <c r="BR185" s="62" t="n">
        <v>3</v>
      </c>
      <c r="BS185" s="62" t="n">
        <v>2</v>
      </c>
      <c r="BT185" s="61" t="n">
        <v>958.700000000001</v>
      </c>
      <c r="BU185" s="62" t="n">
        <v>2</v>
      </c>
      <c r="BV185" s="60"/>
      <c r="BW185" s="65" t="n">
        <v>0</v>
      </c>
      <c r="BX185" s="65" t="n">
        <v>185</v>
      </c>
      <c r="BY185" s="60" t="str">
        <f aca="false">IF(U185&lt;&gt;"",UPPER(TRIM(U185)),IF(CB185=1,UPPER(VLOOKUP(T185,Parameter!$I$27:$K$29,2,0)),IF(P185="","LOSE",P185)))</f>
        <v>S71</v>
      </c>
      <c r="BZ185" s="62" t="n">
        <f aca="false">IF(BY185="LOSE",1,IF(N(V185)&gt;0,V185,IF(CB185=1,MAX(1,N(VLOOKUP(T185,Parameter!$I$27:$K$29,3,0)),H185,N(N185)),IF(N(Q185)&gt;0,Q185,MAX(1,H185)))))</f>
        <v>5</v>
      </c>
      <c r="CA185" s="65" t="n">
        <f aca="false">IF(BY185="LOSE",1,0)</f>
        <v>0</v>
      </c>
      <c r="CB185" s="65" t="n">
        <f aca="false">IF(AND(U185="",OR(P185="",P185="LOSE"),T185&lt;&gt;"",N(S185)&lt;=0,ISNUMBER(MATCH(T185,Parameter!$I$27:$I$29,0))),1,0)</f>
        <v>0</v>
      </c>
      <c r="CC185" s="65" t="n">
        <f aca="false">IF(CR185&gt;0,INDEX(Parameter!$H$5:$H$7,W185)/INDEX(Parameter!$E$5:$E$7,W185),IF(AND(CA185=0,N(IFERROR(VLOOKUP(BY185,'Gebinde-Kategorie'!$A$5:$N$45,14,0),0))&gt;0),VLOOKUP(BY185,'Gebinde-Kategorie'!$A$5:$N$45,14,0)*10+Parameter!$M$23,Parameter!$M$24))</f>
        <v>235</v>
      </c>
      <c r="CD185" s="60" t="str">
        <f aca="false">IF(AND(Parameter!$B$19="Ja",E185&lt;&gt;"",ISNUMBER(MATCH(E185,Parameter!$I$35:$I$52,0))),VLOOKUP(E185,Parameter!$I$35:$J$52,2,0),IFERROR(VLOOKUP(D185,Parameter!$A$35:$C$64,2,0),"Nein"))</f>
        <v>2+3</v>
      </c>
      <c r="CE185" s="64" t="n">
        <f aca="false">IF(CA185=0,0,IF(N(S185)&gt;0,S185,IFERROR(VLOOKUP(D185,Parameter!$A$35:$C$64,3,0)+0,0)))</f>
        <v>0</v>
      </c>
      <c r="CF185" s="60" t="n">
        <f aca="false">IF(AB185&lt;&gt;"",AB185,AA185)</f>
        <v>2</v>
      </c>
      <c r="CG185" s="60" t="str">
        <f aca="false">IF(OR(CF185=1,CF185=2,CF185=3),IF(Parameter!$E$27="Ja","LIFT",IF(CF185=1,"L1","L23")),IF(CF185="Aussen","Aussen","-"))</f>
        <v>LIFT</v>
      </c>
      <c r="CH185" s="71" t="n">
        <f aca="false">IF(N(AC185)&gt;0,AC185,0)</f>
        <v>0</v>
      </c>
      <c r="CI185" s="65" t="n">
        <f aca="false">IF(ISNUMBER(AF185),1,0)</f>
        <v>0</v>
      </c>
      <c r="CJ185" s="62" t="n">
        <f aca="false">N(AF185)</f>
        <v>0</v>
      </c>
      <c r="CK185" s="62" t="n">
        <f aca="false">N(M185)+N(N185)</f>
        <v>1</v>
      </c>
      <c r="CL185" s="62" t="n">
        <f aca="false">N(M185)</f>
        <v>0</v>
      </c>
      <c r="CM185" s="62" t="n">
        <f aca="false">N(N185)</f>
        <v>1</v>
      </c>
      <c r="CN185" s="62" t="n">
        <f aca="false">ROUNDUP(H185/BZ185,0)</f>
        <v>1</v>
      </c>
      <c r="CO185" s="62" t="n">
        <f aca="false">ROUNDUP(CJ185/BZ185,0)</f>
        <v>0</v>
      </c>
      <c r="CP185" s="65" t="n">
        <f aca="false">IF(CA185=1,0,IFERROR(VLOOKUP(BY185,'Gebinde-Kategorie'!$A$5:$N$45,5,0)+0,0))</f>
        <v>20</v>
      </c>
      <c r="CQ185" s="65" t="n">
        <f aca="false">IFERROR(IF(OR(CF185=1,CF185=2,CF185=3),N(INDEX(Parameter!$I$5:$I$7,CF185)),0),0)</f>
        <v>0</v>
      </c>
      <c r="CR185" s="64" t="n">
        <f aca="false">IF(AND(Parameter!$B$21="Ja",ISNUMBER(W185),N(X185)&gt;0),IFERROR(N(INDEX(Parameter!$L$5:$L$7,W185))*INDEX(Parameter!$E$5:$E$7,W185)*X185/SUMIFS($X$7:$X$1843,$W$7:$W$1843,W185),0),0)</f>
        <v>0</v>
      </c>
      <c r="CS185" s="62" t="n">
        <f aca="false">IF(AND(OR(CG185="L1",CG185="L23",CG185="LIFT"),H185&gt;0),CC185*IF(CR185&gt;0,CR185*MAX(1,H185/X185),IF(CA185=1,CE185,IF(R185&gt;0,CN185/R185,0))/MAX(0.1,N(Parameter!$M$21))),"")</f>
        <v>39.1666666666667</v>
      </c>
      <c r="CT185" s="64" t="n">
        <f aca="false">IF(CS185="","",J185/H185)</f>
        <v>0.4</v>
      </c>
      <c r="CU185" s="62" t="n">
        <f aca="false">IF(CS185="","",H185*G185)</f>
        <v>1940.7</v>
      </c>
      <c r="CV185" s="63" t="n">
        <f aca="false">IF(CS185="","",(CL185+ROUNDUP(CL185+MAX(CM185,2*(J185/MAX(0.1,N(Einkauf!$C$6))-CL185)),0))/2)</f>
        <v>0.5</v>
      </c>
      <c r="CW185" s="62" t="n">
        <f aca="false">IF(CS185="","",MAX(0,H185-CV185)*G185)</f>
        <v>1746.63</v>
      </c>
      <c r="CX185" s="62" t="n">
        <f aca="false">IF(CS185="","",CS185*MAX(0,1-CV185/H185))</f>
        <v>35.25</v>
      </c>
      <c r="CY185" s="64" t="n">
        <f aca="false">IF(CS185="","",PERCENTRANK($CS$7:$CS$1843,CS185)+PERCENTRANK($CU$7:$CU$1843,CU185)+1-PERCENTRANK($CT$7:$CT$1843,CT185))</f>
        <v>2.102</v>
      </c>
      <c r="CZ185" s="72" t="n">
        <f aca="false">IF(CS185="","",CHOOSE(MATCH(Einkauf!$C$5,Parameter!$G$23:$G$27,0),CY185,CS185,CU185,-CT185,CW185)+ROW()/1000000000)</f>
        <v>2.102000185</v>
      </c>
    </row>
    <row r="186" customFormat="false" ht="15" hidden="false" customHeight="false" outlineLevel="0" collapsed="false">
      <c r="A186" s="60" t="s">
        <v>617</v>
      </c>
      <c r="B186" s="60" t="s">
        <v>618</v>
      </c>
      <c r="C186" s="60" t="s">
        <v>206</v>
      </c>
      <c r="D186" s="60" t="s">
        <v>226</v>
      </c>
      <c r="E186" s="60"/>
      <c r="F186" s="60" t="s">
        <v>260</v>
      </c>
      <c r="G186" s="61" t="n">
        <v>428.28</v>
      </c>
      <c r="H186" s="62" t="n">
        <f aca="false">MAX(0,IF(AND(Parameter!$B$21="Ja",ISNUMBER(Y186)),Y186,IF(Parameter!$B$20="Jahresanfang 2025 + Export",BS186+BR186,BR186)))</f>
        <v>9</v>
      </c>
      <c r="I186" s="62" t="n">
        <f aca="false">H186*G186</f>
        <v>3854.52</v>
      </c>
      <c r="J186" s="62" t="n">
        <f aca="false">BU186*Parameter!$B$18</f>
        <v>8</v>
      </c>
      <c r="K186" s="63" t="n">
        <v>5</v>
      </c>
      <c r="L186" s="64" t="n">
        <v>1.6</v>
      </c>
      <c r="M186" s="62" t="n">
        <v>10</v>
      </c>
      <c r="N186" s="62" t="n">
        <v>5</v>
      </c>
      <c r="O186" s="65" t="n">
        <v>35</v>
      </c>
      <c r="P186" s="60" t="s">
        <v>210</v>
      </c>
      <c r="Q186" s="62"/>
      <c r="R186" s="65" t="n">
        <f aca="false">IF(CA186=1,0,IFERROR(VLOOKUP(BY186,'Gebinde-Kategorie'!$A$5:$N$45,13,0)+0,0))</f>
        <v>26</v>
      </c>
      <c r="S186" s="66"/>
      <c r="T186" s="67" t="s">
        <v>317</v>
      </c>
      <c r="U186" s="67"/>
      <c r="V186" s="67"/>
      <c r="W186" s="60"/>
      <c r="X186" s="62"/>
      <c r="Y186" s="62"/>
      <c r="Z186" s="60" t="n">
        <v>3</v>
      </c>
      <c r="AA186" s="60" t="n">
        <f aca="false">IF(A186="","",IF(AND(Parameter!$B$21="Ja",ISNUMBER(W186)),W186,IF(AND(Parameter!$E$27="Ja",ISNUMBER(Z186),CD186&lt;&gt;"Nein"),Z186,IF(CD186="2+3",IF(ISNUMBER(SEARCH("grosser Artikel",BV186)),2,IFERROR(VLOOKUP(BY186,Parameter!$F$35:$G$64,2,0),2)),IF(OR(CD186="Nein",CD186=""),"-",CD186)))))</f>
        <v>3</v>
      </c>
      <c r="AB186" s="67"/>
      <c r="AC186" s="68"/>
      <c r="AD186" s="62" t="n">
        <f aca="false">AW186</f>
        <v>15</v>
      </c>
      <c r="AE186" s="62" t="n">
        <f aca="false">MAX(AW186,H186)</f>
        <v>15</v>
      </c>
      <c r="AF186" s="69"/>
      <c r="AG186" s="62" t="n">
        <f aca="false">IF(LEFT(Cockpit!$C$5,1)="A",H186,IF(Parameter!$E$30="MAX-Bestand",IF(CI186=1,CJ186,IF(LEFT(Cockpit!$C$5,1)="B",AM186,MAX(AM186,H186))),ROUNDUP(AK186,0)))</f>
        <v>9</v>
      </c>
      <c r="AH186" s="62" t="n">
        <f aca="false">IF(CA186=1,0,ROUNDUP(AG186/BZ186,0))</f>
        <v>1</v>
      </c>
      <c r="AI186" s="64" t="n">
        <f aca="false">IF(CR186&gt;0,CR186*MAX(1,AG186/X186),IF(CA186=1,IF(AG186&lt;=0,0,CE186*MAX(1,IF(H186&gt;0,AG186/H186,1))),IF(R186&gt;0,AH186/R186,0))/MAX(0.1,N(Parameter!$M$21)))</f>
        <v>0.0384615384615385</v>
      </c>
      <c r="AJ186" s="62" t="n">
        <f aca="false">AI186*CC186</f>
        <v>5.96153846153846</v>
      </c>
      <c r="AK186" s="63" t="n">
        <f aca="false">IF(LEFT(Cockpit!$C$5,1)="A",H186,IF(CI186=1,(CL186+CJ186)/2,IF(LEFT(Cockpit!$C$5,1)="B",(CL186+AM186)/2,MAX((CL186+AM186)/2,H186))))</f>
        <v>9</v>
      </c>
      <c r="AL186" s="62" t="n">
        <f aca="false">AK186*G186</f>
        <v>3854.52</v>
      </c>
      <c r="AM186" s="62" t="n">
        <f aca="false">ROUNDUP(CL186+MAX(CM186,2*(J186/IF(CH186&gt;0,CH186,MAX(0.1,N(Cockpit!$C$6)))-CL186)),0)</f>
        <v>15</v>
      </c>
      <c r="AN186" s="63" t="n">
        <f aca="false">IF(AJ186&gt;0,J186/AJ186,-1)</f>
        <v>1.34193548387097</v>
      </c>
      <c r="AO186" s="63" t="n">
        <f aca="false">IF(AND(OR(CG186="L1",CG186="L23",CG186="LIFT"),AJ186&gt;0),SUMIFS($AJ$7:$AJ$1843,$CG$7:$CG$1843,CG186,$AN$7:$AN$1843,"&gt;"&amp;AN186)+SUMIFS($AJ$7:$AJ$1843,$CG$7:$CG$1843,CG186,$AN$7:$AN$1843,AN186,$BX$7:$BX$1843,"&lt;="&amp;BX186),"")</f>
        <v>6325.18635531136</v>
      </c>
      <c r="AP186" s="70" t="n">
        <f aca="false">IF(AO186="",0,MAX(0,MIN(1,(IF(CG186="L1",Parameter!$H$5,IF(CG186="L23",Parameter!$H$6+Parameter!$H$7,Parameter!$H$5+Parameter!$H$6+Parameter!$H$7))-(AO186-AJ186))/AJ186)))</f>
        <v>1</v>
      </c>
      <c r="AQ186" s="62" t="n">
        <f aca="false">IF(LEFT(Cockpit!$I$5,1)="A",H186,IF(Parameter!$E$30="MAX-Bestand",IF(CI186=1,CJ186,IF(LEFT(Cockpit!$I$5,1)="B",AW186,MAX(AW186,H186))),ROUNDUP(AU186,0)))</f>
        <v>13</v>
      </c>
      <c r="AR186" s="62" t="n">
        <f aca="false">IF(CA186=1,0,ROUNDUP(AQ186/BZ186,0))</f>
        <v>1</v>
      </c>
      <c r="AS186" s="64" t="n">
        <f aca="false">IF(CR186&gt;0,CR186*MAX(1,AQ186/X186),IF(CA186=1,IF(AQ186&lt;=0,0,CE186*MAX(1,IF(H186&gt;0,AQ186/H186,1))),IF(R186&gt;0,AR186/R186,0))/MAX(0.1,N(Parameter!$M$21)))</f>
        <v>0.0384615384615385</v>
      </c>
      <c r="AT186" s="62" t="n">
        <f aca="false">AS186*CC186</f>
        <v>5.96153846153846</v>
      </c>
      <c r="AU186" s="63" t="n">
        <f aca="false">IF(LEFT(Cockpit!$I$5,1)="A",H186,IF(CI186=1,(CL186+CJ186)/2,IF(LEFT(Cockpit!$I$5,1)="B",(CL186+AW186)/2,MAX((CL186+AW186)/2,H186))))</f>
        <v>12.5</v>
      </c>
      <c r="AV186" s="62" t="n">
        <f aca="false">AU186*G186</f>
        <v>5353.5</v>
      </c>
      <c r="AW186" s="62" t="n">
        <f aca="false">ROUNDUP(CL186+MAX(CM186,2*(J186/IF(CH186&gt;0,CH186,MAX(0.1,N(Cockpit!$I$6)))-CL186)),0)</f>
        <v>15</v>
      </c>
      <c r="AX186" s="63" t="n">
        <f aca="false">IF(AT186&gt;0,J186/AT186,-1)</f>
        <v>1.34193548387097</v>
      </c>
      <c r="AY186" s="63" t="n">
        <f aca="false">IF(AND(OR(CG186="L1",CG186="L23",CG186="LIFT"),AT186&gt;0),SUMIFS($AT$7:$AT$1843,$CG$7:$CG$1843,CG186,$AX$7:$AX$1843,"&gt;"&amp;AX186)+SUMIFS($AT$7:$AT$1843,$CG$7:$CG$1843,CG186,$AX$7:$AX$1843,AX186,$BX$7:$BX$1843,"&lt;="&amp;BX186),"")</f>
        <v>7843.40842490842</v>
      </c>
      <c r="AZ186" s="70" t="n">
        <f aca="false">IF(AY186="",0,MAX(0,MIN(1,(IF(CG186="L1",Parameter!$H$5,IF(CG186="L23",Parameter!$H$6+Parameter!$H$7,Parameter!$H$5+Parameter!$H$6+Parameter!$H$7))-(AY186-AT186))/AT186)))</f>
        <v>1</v>
      </c>
      <c r="BA186" s="62" t="n">
        <f aca="false">IF(LEFT(Cockpit!$O$5,1)="A",H186,IF(Parameter!$E$30="MAX-Bestand",IF(CI186=1,CJ186,IF(LEFT(Cockpit!$O$5,1)="B",BG186,MAX(BG186,H186))),ROUNDUP(BE186,0)))</f>
        <v>13</v>
      </c>
      <c r="BB186" s="62" t="n">
        <f aca="false">IF(CA186=1,0,ROUNDUP(BA186/BZ186,0))</f>
        <v>1</v>
      </c>
      <c r="BC186" s="64" t="n">
        <f aca="false">IF(CR186&gt;0,CR186*MAX(1,BA186/X186),IF(CA186=1,IF(BA186&lt;=0,0,CE186*MAX(1,IF(H186&gt;0,BA186/H186,1))),IF(R186&gt;0,BB186/R186,0))/MAX(0.1,N(Parameter!$M$21)))</f>
        <v>0.0384615384615385</v>
      </c>
      <c r="BD186" s="62" t="n">
        <f aca="false">BC186*CC186</f>
        <v>5.96153846153846</v>
      </c>
      <c r="BE186" s="63" t="n">
        <f aca="false">IF(LEFT(Cockpit!$O$5,1)="A",H186,IF(CI186=1,(CL186+CJ186)/2,IF(LEFT(Cockpit!$O$5,1)="B",(CL186+BG186)/2,MAX((CL186+BG186)/2,H186))))</f>
        <v>12.5</v>
      </c>
      <c r="BF186" s="62" t="n">
        <f aca="false">BE186*G186</f>
        <v>5353.5</v>
      </c>
      <c r="BG186" s="62" t="n">
        <f aca="false">ROUNDUP(CL186+MAX(CM186,2*(J186/IF(CH186&gt;0,CH186,MAX(0.1,N(Cockpit!$O$6)))-CL186)),0)</f>
        <v>15</v>
      </c>
      <c r="BH186" s="63" t="n">
        <f aca="false">IF(BD186&gt;0,J186/BD186,-1)</f>
        <v>1.34193548387097</v>
      </c>
      <c r="BI186" s="63" t="n">
        <f aca="false">IF(AND(OR(CG186="L1",CG186="L23",CG186="LIFT"),BD186&gt;0),SUMIFS($BD$7:$BD$1843,$CG$7:$CG$1843,CG186,$BH$7:$BH$1843,"&gt;"&amp;BH186)+SUMIFS($BD$7:$BD$1843,$CG$7:$CG$1843,CG186,$BH$7:$BH$1843,BH186,$BX$7:$BX$1843,"&lt;="&amp;BX186),"")</f>
        <v>6777.64331501832</v>
      </c>
      <c r="BJ186" s="70" t="n">
        <f aca="false">IF(BI186="",0,MAX(0,MIN(1,(IF(CG186="L1",Parameter!$H$5,IF(CG186="L23",Parameter!$H$6+Parameter!$H$7,Parameter!$H$5+Parameter!$H$6+Parameter!$H$7))-(BI186-BD186))/BD186)))</f>
        <v>1</v>
      </c>
      <c r="BK186" s="60" t="str">
        <f aca="false">IF(AJ186&lt;=0,"",IF(CG186="Aussen","Aussenlager",IF(CG186="-","Nicht im Lift",IF(AP186&gt;=1,"Lift",IF(AP186&lt;=0,"Aussenlager","teilweise")))))</f>
        <v>Lift</v>
      </c>
      <c r="BL186" s="60" t="str">
        <f aca="false">IF(AT186&lt;=0,"",IF(CG186="Aussen","Aussenlager",IF(CG186="-","Nicht im Lift",IF(AZ186&gt;=1,"Lift",IF(AZ186&lt;=0,"Aussenlager","teilweise")))))</f>
        <v>Lift</v>
      </c>
      <c r="BM186" s="60" t="str">
        <f aca="false">IF(BD186&lt;=0,"",IF(CG186="Aussen","Aussenlager",IF(CG186="-","Nicht im Lift",IF(BJ186&gt;=1,"Lift",IF(BJ186&lt;=0,"Aussenlager","teilweise")))))</f>
        <v>Lift</v>
      </c>
      <c r="BN186" s="60" t="str">
        <f aca="false">IF(A186="","",IF(BW186=1,"Neu; ","")&amp;IF(AND(BW186=0,BR186&lt;0),"negativer Bestand (Export "&amp;BR186&amp;"); ","")&amp;IF(J186&lt;=0,"Kein Verbrauch; ","")&amp;IF(CR186&gt;0,"Lift "&amp;W186&amp;" lt. Liftbericht (Fach "&amp;X186&amp;" Stk); ",IF(CB186=1,"Gebinde geschätzt ("&amp;T186&amp;"); ",IF(CA186=1,"Lose – Tablare geschätzt; ","")))&amp;IF(H186&gt;AW186,"Überbestand "&amp;ROUND(H186-AW186,0)&amp;" Stk / CHF "&amp;ROUND((H186-AW186)*G186,0)&amp;"; ","")&amp;IF(AND(CI186=1,CJ186&lt;CK186),"MAX &lt; MB+LG; ","")&amp;IF(AND(CQ186&gt;0,CP186*10&gt;CQ186),"zu hoch für Tablar; ","")&amp;IF(AND(BW186=0,OR(CI186=1,AB186&lt;&gt;"",U186&lt;&gt;"",V186&lt;&gt;"",AC186&lt;&gt;"")),"manuell übersteuert; ","")&amp;IF(AND(CA186=0,R186=0),"Gebinde unbekannt / Stellmass fehlt; ","")&amp;IF(AND(CA186=0,N(V186)&lt;=0,N(Q186)&lt;=0),"Menge pro Gebinde fehlt (Ist = 1 Gebinde); ","")&amp;BV186)</f>
        <v>Gebinde geschätzt (Klein); Menge pro Gebinde fehlt (Ist = 1 Gebinde); </v>
      </c>
      <c r="BO186" s="60"/>
      <c r="BP186" s="60"/>
      <c r="BQ186" s="67"/>
      <c r="BR186" s="62" t="n">
        <v>2</v>
      </c>
      <c r="BS186" s="62" t="n">
        <v>7</v>
      </c>
      <c r="BT186" s="61" t="n">
        <v>957.990000000001</v>
      </c>
      <c r="BU186" s="62" t="n">
        <v>8</v>
      </c>
      <c r="BV186" s="60"/>
      <c r="BW186" s="65" t="n">
        <v>0</v>
      </c>
      <c r="BX186" s="65" t="n">
        <v>186</v>
      </c>
      <c r="BY186" s="60" t="str">
        <f aca="false">IF(U186&lt;&gt;"",UPPER(TRIM(U186)),IF(CB186=1,UPPER(VLOOKUP(T186,Parameter!$I$27:$K$29,2,0)),IF(P186="","LOSE",P186)))</f>
        <v>S51</v>
      </c>
      <c r="BZ186" s="62" t="n">
        <f aca="false">IF(BY186="LOSE",1,IF(N(V186)&gt;0,V186,IF(CB186=1,MAX(1,N(VLOOKUP(T186,Parameter!$I$27:$K$29,3,0)),H186,N(N186)),IF(N(Q186)&gt;0,Q186,MAX(1,H186)))))</f>
        <v>20</v>
      </c>
      <c r="CA186" s="65" t="n">
        <f aca="false">IF(BY186="LOSE",1,0)</f>
        <v>0</v>
      </c>
      <c r="CB186" s="65" t="n">
        <f aca="false">IF(AND(U186="",OR(P186="",P186="LOSE"),T186&lt;&gt;"",N(S186)&lt;=0,ISNUMBER(MATCH(T186,Parameter!$I$27:$I$29,0))),1,0)</f>
        <v>1</v>
      </c>
      <c r="CC186" s="65" t="n">
        <f aca="false">IF(CR186&gt;0,INDEX(Parameter!$H$5:$H$7,W186)/INDEX(Parameter!$E$5:$E$7,W186),IF(AND(CA186=0,N(IFERROR(VLOOKUP(BY186,'Gebinde-Kategorie'!$A$5:$N$45,14,0),0))&gt;0),VLOOKUP(BY186,'Gebinde-Kategorie'!$A$5:$N$45,14,0)*10+Parameter!$M$23,Parameter!$M$24))</f>
        <v>155</v>
      </c>
      <c r="CD186" s="60" t="str">
        <f aca="false">IF(AND(Parameter!$B$19="Ja",E186&lt;&gt;"",ISNUMBER(MATCH(E186,Parameter!$I$35:$I$52,0))),VLOOKUP(E186,Parameter!$I$35:$J$52,2,0),IFERROR(VLOOKUP(D186,Parameter!$A$35:$C$64,2,0),"Nein"))</f>
        <v>2+3</v>
      </c>
      <c r="CE186" s="64" t="n">
        <f aca="false">IF(CA186=0,0,IF(N(S186)&gt;0,S186,IFERROR(VLOOKUP(D186,Parameter!$A$35:$C$64,3,0)+0,0)))</f>
        <v>0</v>
      </c>
      <c r="CF186" s="60" t="n">
        <f aca="false">IF(AB186&lt;&gt;"",AB186,AA186)</f>
        <v>3</v>
      </c>
      <c r="CG186" s="60" t="str">
        <f aca="false">IF(OR(CF186=1,CF186=2,CF186=3),IF(Parameter!$E$27="Ja","LIFT",IF(CF186=1,"L1","L23")),IF(CF186="Aussen","Aussen","-"))</f>
        <v>LIFT</v>
      </c>
      <c r="CH186" s="71" t="n">
        <f aca="false">IF(N(AC186)&gt;0,AC186,0)</f>
        <v>0</v>
      </c>
      <c r="CI186" s="65" t="n">
        <f aca="false">IF(ISNUMBER(AF186),1,0)</f>
        <v>0</v>
      </c>
      <c r="CJ186" s="62" t="n">
        <f aca="false">N(AF186)</f>
        <v>0</v>
      </c>
      <c r="CK186" s="62" t="n">
        <f aca="false">N(M186)+N(N186)</f>
        <v>15</v>
      </c>
      <c r="CL186" s="62" t="n">
        <f aca="false">N(M186)</f>
        <v>10</v>
      </c>
      <c r="CM186" s="62" t="n">
        <f aca="false">N(N186)</f>
        <v>5</v>
      </c>
      <c r="CN186" s="62" t="n">
        <f aca="false">ROUNDUP(H186/BZ186,0)</f>
        <v>1</v>
      </c>
      <c r="CO186" s="62" t="n">
        <f aca="false">ROUNDUP(CJ186/BZ186,0)</f>
        <v>0</v>
      </c>
      <c r="CP186" s="65" t="n">
        <f aca="false">IF(CA186=1,0,IFERROR(VLOOKUP(BY186,'Gebinde-Kategorie'!$A$5:$N$45,5,0)+0,0))</f>
        <v>11</v>
      </c>
      <c r="CQ186" s="65" t="n">
        <f aca="false">IFERROR(IF(OR(CF186=1,CF186=2,CF186=3),N(INDEX(Parameter!$I$5:$I$7,CF186)),0),0)</f>
        <v>0</v>
      </c>
      <c r="CR186" s="64" t="n">
        <f aca="false">IF(AND(Parameter!$B$21="Ja",ISNUMBER(W186),N(X186)&gt;0),IFERROR(N(INDEX(Parameter!$L$5:$L$7,W186))*INDEX(Parameter!$E$5:$E$7,W186)*X186/SUMIFS($X$7:$X$1843,$W$7:$W$1843,W186),0),0)</f>
        <v>0</v>
      </c>
      <c r="CS186" s="62" t="n">
        <f aca="false">IF(AND(OR(CG186="L1",CG186="L23",CG186="LIFT"),H186&gt;0),CC186*IF(CR186&gt;0,CR186*MAX(1,H186/X186),IF(CA186=1,CE186,IF(R186&gt;0,CN186/R186,0))/MAX(0.1,N(Parameter!$M$21))),"")</f>
        <v>5.96153846153846</v>
      </c>
      <c r="CT186" s="64" t="n">
        <f aca="false">IF(CS186="","",J186/H186)</f>
        <v>0.888888888888889</v>
      </c>
      <c r="CU186" s="62" t="n">
        <f aca="false">IF(CS186="","",H186*G186)</f>
        <v>3854.52</v>
      </c>
      <c r="CV186" s="63" t="n">
        <f aca="false">IF(CS186="","",(CL186+ROUNDUP(CL186+MAX(CM186,2*(J186/MAX(0.1,N(Einkauf!$C$6))-CL186)),0))/2)</f>
        <v>12.5</v>
      </c>
      <c r="CW186" s="62" t="n">
        <f aca="false">IF(CS186="","",MAX(0,H186-CV186)*G186)</f>
        <v>0</v>
      </c>
      <c r="CX186" s="62" t="n">
        <f aca="false">IF(CS186="","",CS186*MAX(0,1-CV186/H186))</f>
        <v>0</v>
      </c>
      <c r="CY186" s="64" t="n">
        <f aca="false">IF(CS186="","",PERCENTRANK($CS$7:$CS$1843,CS186)+PERCENTRANK($CU$7:$CU$1843,CU186)+1-PERCENTRANK($CT$7:$CT$1843,CT186))</f>
        <v>1.616</v>
      </c>
      <c r="CZ186" s="72" t="n">
        <f aca="false">IF(CS186="","",CHOOSE(MATCH(Einkauf!$C$5,Parameter!$G$23:$G$27,0),CY186,CS186,CU186,-CT186,CW186)+ROW()/1000000000)</f>
        <v>1.616000186</v>
      </c>
    </row>
    <row r="187" customFormat="false" ht="15" hidden="false" customHeight="false" outlineLevel="0" collapsed="false">
      <c r="A187" s="60" t="s">
        <v>619</v>
      </c>
      <c r="B187" s="60" t="s">
        <v>620</v>
      </c>
      <c r="C187" s="60" t="s">
        <v>206</v>
      </c>
      <c r="D187" s="60" t="s">
        <v>215</v>
      </c>
      <c r="E187" s="60" t="s">
        <v>227</v>
      </c>
      <c r="F187" s="60" t="s">
        <v>260</v>
      </c>
      <c r="G187" s="61" t="n">
        <v>227.72</v>
      </c>
      <c r="H187" s="62" t="n">
        <f aca="false">MAX(0,IF(AND(Parameter!$B$21="Ja",ISNUMBER(Y187)),Y187,IF(Parameter!$B$20="Jahresanfang 2025 + Export",BS187+BR187,BR187)))</f>
        <v>15</v>
      </c>
      <c r="I187" s="62" t="n">
        <f aca="false">H187*G187</f>
        <v>3415.8</v>
      </c>
      <c r="J187" s="62" t="n">
        <f aca="false">BU187*Parameter!$B$18</f>
        <v>29</v>
      </c>
      <c r="K187" s="63" t="n">
        <v>19</v>
      </c>
      <c r="L187" s="64" t="n">
        <v>1.52631578947368</v>
      </c>
      <c r="M187" s="62" t="n">
        <v>3</v>
      </c>
      <c r="N187" s="62" t="n">
        <v>20</v>
      </c>
      <c r="O187" s="65" t="n">
        <v>35</v>
      </c>
      <c r="P187" s="60" t="s">
        <v>344</v>
      </c>
      <c r="Q187" s="62" t="n">
        <v>15</v>
      </c>
      <c r="R187" s="65" t="n">
        <f aca="false">IF(CA187=1,0,IFERROR(VLOOKUP(BY187,'Gebinde-Kategorie'!$A$5:$N$45,13,0)+0,0))</f>
        <v>26</v>
      </c>
      <c r="S187" s="66"/>
      <c r="T187" s="67"/>
      <c r="U187" s="67"/>
      <c r="V187" s="67"/>
      <c r="W187" s="60"/>
      <c r="X187" s="62"/>
      <c r="Y187" s="62"/>
      <c r="Z187" s="60" t="n">
        <v>3</v>
      </c>
      <c r="AA187" s="60" t="n">
        <f aca="false">IF(A187="","",IF(AND(Parameter!$B$21="Ja",ISNUMBER(W187)),W187,IF(AND(Parameter!$E$27="Ja",ISNUMBER(Z187),CD187&lt;&gt;"Nein"),Z187,IF(CD187="2+3",IF(ISNUMBER(SEARCH("grosser Artikel",BV187)),2,IFERROR(VLOOKUP(BY187,Parameter!$F$35:$G$64,2,0),2)),IF(OR(CD187="Nein",CD187=""),"-",CD187)))))</f>
        <v>3</v>
      </c>
      <c r="AB187" s="67"/>
      <c r="AC187" s="68"/>
      <c r="AD187" s="62" t="n">
        <f aca="false">AW187</f>
        <v>23</v>
      </c>
      <c r="AE187" s="62" t="n">
        <f aca="false">MAX(AW187,H187)</f>
        <v>23</v>
      </c>
      <c r="AF187" s="69"/>
      <c r="AG187" s="62" t="n">
        <f aca="false">IF(LEFT(Cockpit!$C$5,1)="A",H187,IF(Parameter!$E$30="MAX-Bestand",IF(CI187=1,CJ187,IF(LEFT(Cockpit!$C$5,1)="B",AM187,MAX(AM187,H187))),ROUNDUP(AK187,0)))</f>
        <v>15</v>
      </c>
      <c r="AH187" s="62" t="n">
        <f aca="false">IF(CA187=1,0,ROUNDUP(AG187/BZ187,0))</f>
        <v>1</v>
      </c>
      <c r="AI187" s="64" t="n">
        <f aca="false">IF(CR187&gt;0,CR187*MAX(1,AG187/X187),IF(CA187=1,IF(AG187&lt;=0,0,CE187*MAX(1,IF(H187&gt;0,AG187/H187,1))),IF(R187&gt;0,AH187/R187,0))/MAX(0.1,N(Parameter!$M$21)))</f>
        <v>0.0384615384615385</v>
      </c>
      <c r="AJ187" s="62" t="n">
        <f aca="false">AI187*CC187</f>
        <v>5.96153846153846</v>
      </c>
      <c r="AK187" s="63" t="n">
        <f aca="false">IF(LEFT(Cockpit!$C$5,1)="A",H187,IF(CI187=1,(CL187+CJ187)/2,IF(LEFT(Cockpit!$C$5,1)="B",(CL187+AM187)/2,MAX((CL187+AM187)/2,H187))))</f>
        <v>15</v>
      </c>
      <c r="AL187" s="62" t="n">
        <f aca="false">AK187*G187</f>
        <v>3415.8</v>
      </c>
      <c r="AM187" s="62" t="n">
        <f aca="false">ROUNDUP(CL187+MAX(CM187,2*(J187/IF(CH187&gt;0,CH187,MAX(0.1,N(Cockpit!$C$6)))-CL187)),0)</f>
        <v>23</v>
      </c>
      <c r="AN187" s="63" t="n">
        <f aca="false">IF(AJ187&gt;0,J187/AJ187,-1)</f>
        <v>4.86451612903226</v>
      </c>
      <c r="AO187" s="63" t="n">
        <f aca="false">IF(AND(OR(CG187="L1",CG187="L23",CG187="LIFT"),AJ187&gt;0),SUMIFS($AJ$7:$AJ$1843,$CG$7:$CG$1843,CG187,$AN$7:$AN$1843,"&gt;"&amp;AN187)+SUMIFS($AJ$7:$AJ$1843,$CG$7:$CG$1843,CG187,$AN$7:$AN$1843,AN187,$BX$7:$BX$1843,"&lt;="&amp;BX187),"")</f>
        <v>4092.67811355311</v>
      </c>
      <c r="AP187" s="70" t="n">
        <f aca="false">IF(AO187="",0,MAX(0,MIN(1,(IF(CG187="L1",Parameter!$H$5,IF(CG187="L23",Parameter!$H$6+Parameter!$H$7,Parameter!$H$5+Parameter!$H$6+Parameter!$H$7))-(AO187-AJ187))/AJ187)))</f>
        <v>1</v>
      </c>
      <c r="AQ187" s="62" t="n">
        <f aca="false">IF(LEFT(Cockpit!$I$5,1)="A",H187,IF(Parameter!$E$30="MAX-Bestand",IF(CI187=1,CJ187,IF(LEFT(Cockpit!$I$5,1)="B",AW187,MAX(AW187,H187))),ROUNDUP(AU187,0)))</f>
        <v>15</v>
      </c>
      <c r="AR187" s="62" t="n">
        <f aca="false">IF(CA187=1,0,ROUNDUP(AQ187/BZ187,0))</f>
        <v>1</v>
      </c>
      <c r="AS187" s="64" t="n">
        <f aca="false">IF(CR187&gt;0,CR187*MAX(1,AQ187/X187),IF(CA187=1,IF(AQ187&lt;=0,0,CE187*MAX(1,IF(H187&gt;0,AQ187/H187,1))),IF(R187&gt;0,AR187/R187,0))/MAX(0.1,N(Parameter!$M$21)))</f>
        <v>0.0384615384615385</v>
      </c>
      <c r="AT187" s="62" t="n">
        <f aca="false">AS187*CC187</f>
        <v>5.96153846153846</v>
      </c>
      <c r="AU187" s="63" t="n">
        <f aca="false">IF(LEFT(Cockpit!$I$5,1)="A",H187,IF(CI187=1,(CL187+CJ187)/2,IF(LEFT(Cockpit!$I$5,1)="B",(CL187+AW187)/2,MAX((CL187+AW187)/2,H187))))</f>
        <v>15</v>
      </c>
      <c r="AV187" s="62" t="n">
        <f aca="false">AU187*G187</f>
        <v>3415.8</v>
      </c>
      <c r="AW187" s="62" t="n">
        <f aca="false">ROUNDUP(CL187+MAX(CM187,2*(J187/IF(CH187&gt;0,CH187,MAX(0.1,N(Cockpit!$I$6)))-CL187)),0)</f>
        <v>23</v>
      </c>
      <c r="AX187" s="63" t="n">
        <f aca="false">IF(AT187&gt;0,J187/AT187,-1)</f>
        <v>4.86451612903226</v>
      </c>
      <c r="AY187" s="63" t="n">
        <f aca="false">IF(AND(OR(CG187="L1",CG187="L23",CG187="LIFT"),AT187&gt;0),SUMIFS($AT$7:$AT$1843,$CG$7:$CG$1843,CG187,$AX$7:$AX$1843,"&gt;"&amp;AX187)+SUMIFS($AT$7:$AT$1843,$CG$7:$CG$1843,CG187,$AX$7:$AX$1843,AX187,$BX$7:$BX$1843,"&lt;="&amp;BX187),"")</f>
        <v>4688.91895604396</v>
      </c>
      <c r="AZ187" s="70" t="n">
        <f aca="false">IF(AY187="",0,MAX(0,MIN(1,(IF(CG187="L1",Parameter!$H$5,IF(CG187="L23",Parameter!$H$6+Parameter!$H$7,Parameter!$H$5+Parameter!$H$6+Parameter!$H$7))-(AY187-AT187))/AT187)))</f>
        <v>1</v>
      </c>
      <c r="BA187" s="62" t="n">
        <f aca="false">IF(LEFT(Cockpit!$O$5,1)="A",H187,IF(Parameter!$E$30="MAX-Bestand",IF(CI187=1,CJ187,IF(LEFT(Cockpit!$O$5,1)="B",BG187,MAX(BG187,H187))),ROUNDUP(BE187,0)))</f>
        <v>13</v>
      </c>
      <c r="BB187" s="62" t="n">
        <f aca="false">IF(CA187=1,0,ROUNDUP(BA187/BZ187,0))</f>
        <v>1</v>
      </c>
      <c r="BC187" s="64" t="n">
        <f aca="false">IF(CR187&gt;0,CR187*MAX(1,BA187/X187),IF(CA187=1,IF(BA187&lt;=0,0,CE187*MAX(1,IF(H187&gt;0,BA187/H187,1))),IF(R187&gt;0,BB187/R187,0))/MAX(0.1,N(Parameter!$M$21)))</f>
        <v>0.0384615384615385</v>
      </c>
      <c r="BD187" s="62" t="n">
        <f aca="false">BC187*CC187</f>
        <v>5.96153846153846</v>
      </c>
      <c r="BE187" s="63" t="n">
        <f aca="false">IF(LEFT(Cockpit!$O$5,1)="A",H187,IF(CI187=1,(CL187+CJ187)/2,IF(LEFT(Cockpit!$O$5,1)="B",(CL187+BG187)/2,MAX((CL187+BG187)/2,H187))))</f>
        <v>13</v>
      </c>
      <c r="BF187" s="62" t="n">
        <f aca="false">BE187*G187</f>
        <v>2960.36</v>
      </c>
      <c r="BG187" s="62" t="n">
        <f aca="false">ROUNDUP(CL187+MAX(CM187,2*(J187/IF(CH187&gt;0,CH187,MAX(0.1,N(Cockpit!$O$6)))-CL187)),0)</f>
        <v>23</v>
      </c>
      <c r="BH187" s="63" t="n">
        <f aca="false">IF(BD187&gt;0,J187/BD187,-1)</f>
        <v>4.86451612903226</v>
      </c>
      <c r="BI187" s="63" t="n">
        <f aca="false">IF(AND(OR(CG187="L1",CG187="L23",CG187="LIFT"),BD187&gt;0),SUMIFS($BD$7:$BD$1843,$CG$7:$CG$1843,CG187,$BH$7:$BH$1843,"&gt;"&amp;BH187)+SUMIFS($BD$7:$BD$1843,$CG$7:$CG$1843,CG187,$BH$7:$BH$1843,BH187,$BX$7:$BX$1843,"&lt;="&amp;BX187),"")</f>
        <v>3872.46703296703</v>
      </c>
      <c r="BJ187" s="70" t="n">
        <f aca="false">IF(BI187="",0,MAX(0,MIN(1,(IF(CG187="L1",Parameter!$H$5,IF(CG187="L23",Parameter!$H$6+Parameter!$H$7,Parameter!$H$5+Parameter!$H$6+Parameter!$H$7))-(BI187-BD187))/BD187)))</f>
        <v>1</v>
      </c>
      <c r="BK187" s="60" t="str">
        <f aca="false">IF(AJ187&lt;=0,"",IF(CG187="Aussen","Aussenlager",IF(CG187="-","Nicht im Lift",IF(AP187&gt;=1,"Lift",IF(AP187&lt;=0,"Aussenlager","teilweise")))))</f>
        <v>Lift</v>
      </c>
      <c r="BL187" s="60" t="str">
        <f aca="false">IF(AT187&lt;=0,"",IF(CG187="Aussen","Aussenlager",IF(CG187="-","Nicht im Lift",IF(AZ187&gt;=1,"Lift",IF(AZ187&lt;=0,"Aussenlager","teilweise")))))</f>
        <v>Lift</v>
      </c>
      <c r="BM187" s="60" t="str">
        <f aca="false">IF(BD187&lt;=0,"",IF(CG187="Aussen","Aussenlager",IF(CG187="-","Nicht im Lift",IF(BJ187&gt;=1,"Lift",IF(BJ187&lt;=0,"Aussenlager","teilweise")))))</f>
        <v>Lift</v>
      </c>
      <c r="BN187" s="60" t="str">
        <f aca="false">IF(A187="","",IF(BW187=1,"Neu; ","")&amp;IF(AND(BW187=0,BR187&lt;0),"negativer Bestand (Export "&amp;BR187&amp;"); ","")&amp;IF(J187&lt;=0,"Kein Verbrauch; ","")&amp;IF(CR187&gt;0,"Lift "&amp;W187&amp;" lt. Liftbericht (Fach "&amp;X187&amp;" Stk); ",IF(CB187=1,"Gebinde geschätzt ("&amp;T187&amp;"); ",IF(CA187=1,"Lose – Tablare geschätzt; ","")))&amp;IF(H187&gt;AW187,"Überbestand "&amp;ROUND(H187-AW187,0)&amp;" Stk / CHF "&amp;ROUND((H187-AW187)*G187,0)&amp;"; ","")&amp;IF(AND(CI187=1,CJ187&lt;CK187),"MAX &lt; MB+LG; ","")&amp;IF(AND(CQ187&gt;0,CP187*10&gt;CQ187),"zu hoch für Tablar; ","")&amp;IF(AND(BW187=0,OR(CI187=1,AB187&lt;&gt;"",U187&lt;&gt;"",V187&lt;&gt;"",AC187&lt;&gt;"")),"manuell übersteuert; ","")&amp;IF(AND(CA187=0,R187=0),"Gebinde unbekannt / Stellmass fehlt; ","")&amp;IF(AND(CA187=0,N(V187)&lt;=0,N(Q187)&lt;=0),"Menge pro Gebinde fehlt (Ist = 1 Gebinde); ","")&amp;BV187)</f>
        <v/>
      </c>
      <c r="BO187" s="60"/>
      <c r="BP187" s="60"/>
      <c r="BQ187" s="67"/>
      <c r="BR187" s="62" t="n">
        <v>2</v>
      </c>
      <c r="BS187" s="62" t="n">
        <v>13</v>
      </c>
      <c r="BT187" s="61" t="n">
        <v>952.169999999999</v>
      </c>
      <c r="BU187" s="62" t="n">
        <v>29</v>
      </c>
      <c r="BV187" s="60"/>
      <c r="BW187" s="65" t="n">
        <v>0</v>
      </c>
      <c r="BX187" s="65" t="n">
        <v>187</v>
      </c>
      <c r="BY187" s="60" t="str">
        <f aca="false">IF(U187&lt;&gt;"",UPPER(TRIM(U187)),IF(CB187=1,UPPER(VLOOKUP(T187,Parameter!$I$27:$K$29,2,0)),IF(P187="","LOSE",P187)))</f>
        <v>S51</v>
      </c>
      <c r="BZ187" s="62" t="n">
        <f aca="false">IF(BY187="LOSE",1,IF(N(V187)&gt;0,V187,IF(CB187=1,MAX(1,N(VLOOKUP(T187,Parameter!$I$27:$K$29,3,0)),H187,N(N187)),IF(N(Q187)&gt;0,Q187,MAX(1,H187)))))</f>
        <v>15</v>
      </c>
      <c r="CA187" s="65" t="n">
        <f aca="false">IF(BY187="LOSE",1,0)</f>
        <v>0</v>
      </c>
      <c r="CB187" s="65" t="n">
        <f aca="false">IF(AND(U187="",OR(P187="",P187="LOSE"),T187&lt;&gt;"",N(S187)&lt;=0,ISNUMBER(MATCH(T187,Parameter!$I$27:$I$29,0))),1,0)</f>
        <v>0</v>
      </c>
      <c r="CC187" s="65" t="n">
        <f aca="false">IF(CR187&gt;0,INDEX(Parameter!$H$5:$H$7,W187)/INDEX(Parameter!$E$5:$E$7,W187),IF(AND(CA187=0,N(IFERROR(VLOOKUP(BY187,'Gebinde-Kategorie'!$A$5:$N$45,14,0),0))&gt;0),VLOOKUP(BY187,'Gebinde-Kategorie'!$A$5:$N$45,14,0)*10+Parameter!$M$23,Parameter!$M$24))</f>
        <v>155</v>
      </c>
      <c r="CD187" s="60" t="str">
        <f aca="false">IF(AND(Parameter!$B$19="Ja",E187&lt;&gt;"",ISNUMBER(MATCH(E187,Parameter!$I$35:$I$52,0))),VLOOKUP(E187,Parameter!$I$35:$J$52,2,0),IFERROR(VLOOKUP(D187,Parameter!$A$35:$C$64,2,0),"Nein"))</f>
        <v>2+3</v>
      </c>
      <c r="CE187" s="64" t="n">
        <f aca="false">IF(CA187=0,0,IF(N(S187)&gt;0,S187,IFERROR(VLOOKUP(D187,Parameter!$A$35:$C$64,3,0)+0,0)))</f>
        <v>0</v>
      </c>
      <c r="CF187" s="60" t="n">
        <f aca="false">IF(AB187&lt;&gt;"",AB187,AA187)</f>
        <v>3</v>
      </c>
      <c r="CG187" s="60" t="str">
        <f aca="false">IF(OR(CF187=1,CF187=2,CF187=3),IF(Parameter!$E$27="Ja","LIFT",IF(CF187=1,"L1","L23")),IF(CF187="Aussen","Aussen","-"))</f>
        <v>LIFT</v>
      </c>
      <c r="CH187" s="71" t="n">
        <f aca="false">IF(N(AC187)&gt;0,AC187,0)</f>
        <v>0</v>
      </c>
      <c r="CI187" s="65" t="n">
        <f aca="false">IF(ISNUMBER(AF187),1,0)</f>
        <v>0</v>
      </c>
      <c r="CJ187" s="62" t="n">
        <f aca="false">N(AF187)</f>
        <v>0</v>
      </c>
      <c r="CK187" s="62" t="n">
        <f aca="false">N(M187)+N(N187)</f>
        <v>23</v>
      </c>
      <c r="CL187" s="62" t="n">
        <f aca="false">N(M187)</f>
        <v>3</v>
      </c>
      <c r="CM187" s="62" t="n">
        <f aca="false">N(N187)</f>
        <v>20</v>
      </c>
      <c r="CN187" s="62" t="n">
        <f aca="false">ROUNDUP(H187/BZ187,0)</f>
        <v>1</v>
      </c>
      <c r="CO187" s="62" t="n">
        <f aca="false">ROUNDUP(CJ187/BZ187,0)</f>
        <v>0</v>
      </c>
      <c r="CP187" s="65" t="n">
        <f aca="false">IF(CA187=1,0,IFERROR(VLOOKUP(BY187,'Gebinde-Kategorie'!$A$5:$N$45,5,0)+0,0))</f>
        <v>11</v>
      </c>
      <c r="CQ187" s="65" t="n">
        <f aca="false">IFERROR(IF(OR(CF187=1,CF187=2,CF187=3),N(INDEX(Parameter!$I$5:$I$7,CF187)),0),0)</f>
        <v>0</v>
      </c>
      <c r="CR187" s="64" t="n">
        <f aca="false">IF(AND(Parameter!$B$21="Ja",ISNUMBER(W187),N(X187)&gt;0),IFERROR(N(INDEX(Parameter!$L$5:$L$7,W187))*INDEX(Parameter!$E$5:$E$7,W187)*X187/SUMIFS($X$7:$X$1843,$W$7:$W$1843,W187),0),0)</f>
        <v>0</v>
      </c>
      <c r="CS187" s="62" t="n">
        <f aca="false">IF(AND(OR(CG187="L1",CG187="L23",CG187="LIFT"),H187&gt;0),CC187*IF(CR187&gt;0,CR187*MAX(1,H187/X187),IF(CA187=1,CE187,IF(R187&gt;0,CN187/R187,0))/MAX(0.1,N(Parameter!$M$21))),"")</f>
        <v>5.96153846153846</v>
      </c>
      <c r="CT187" s="64" t="n">
        <f aca="false">IF(CS187="","",J187/H187)</f>
        <v>1.93333333333333</v>
      </c>
      <c r="CU187" s="62" t="n">
        <f aca="false">IF(CS187="","",H187*G187)</f>
        <v>3415.8</v>
      </c>
      <c r="CV187" s="63" t="n">
        <f aca="false">IF(CS187="","",(CL187+ROUNDUP(CL187+MAX(CM187,2*(J187/MAX(0.1,N(Einkauf!$C$6))-CL187)),0))/2)</f>
        <v>13</v>
      </c>
      <c r="CW187" s="62" t="n">
        <f aca="false">IF(CS187="","",MAX(0,H187-CV187)*G187)</f>
        <v>455.44</v>
      </c>
      <c r="CX187" s="62" t="n">
        <f aca="false">IF(CS187="","",CS187*MAX(0,1-CV187/H187))</f>
        <v>0.794871794871795</v>
      </c>
      <c r="CY187" s="64" t="n">
        <f aca="false">IF(CS187="","",PERCENTRANK($CS$7:$CS$1843,CS187)+PERCENTRANK($CU$7:$CU$1843,CU187)+1-PERCENTRANK($CT$7:$CT$1843,CT187))</f>
        <v>1.404</v>
      </c>
      <c r="CZ187" s="72" t="n">
        <f aca="false">IF(CS187="","",CHOOSE(MATCH(Einkauf!$C$5,Parameter!$G$23:$G$27,0),CY187,CS187,CU187,-CT187,CW187)+ROW()/1000000000)</f>
        <v>1.404000187</v>
      </c>
    </row>
    <row r="188" customFormat="false" ht="15" hidden="false" customHeight="false" outlineLevel="0" collapsed="false">
      <c r="A188" s="60" t="s">
        <v>621</v>
      </c>
      <c r="B188" s="60" t="s">
        <v>622</v>
      </c>
      <c r="C188" s="60" t="s">
        <v>206</v>
      </c>
      <c r="D188" s="60" t="s">
        <v>215</v>
      </c>
      <c r="E188" s="60" t="s">
        <v>208</v>
      </c>
      <c r="F188" s="60" t="s">
        <v>260</v>
      </c>
      <c r="G188" s="61" t="n">
        <v>150.01</v>
      </c>
      <c r="H188" s="62" t="n">
        <f aca="false">MAX(0,IF(AND(Parameter!$B$21="Ja",ISNUMBER(Y188)),Y188,IF(Parameter!$B$20="Jahresanfang 2025 + Export",BS188+BR188,BR188)))</f>
        <v>11</v>
      </c>
      <c r="I188" s="62" t="n">
        <f aca="false">H188*G188</f>
        <v>1650.11</v>
      </c>
      <c r="J188" s="62" t="n">
        <f aca="false">BU188*Parameter!$B$18</f>
        <v>30</v>
      </c>
      <c r="K188" s="63" t="n">
        <v>10</v>
      </c>
      <c r="L188" s="64" t="n">
        <v>3</v>
      </c>
      <c r="M188" s="62" t="n">
        <v>1</v>
      </c>
      <c r="N188" s="62" t="n">
        <v>15</v>
      </c>
      <c r="O188" s="65" t="n">
        <v>21</v>
      </c>
      <c r="P188" s="60" t="s">
        <v>216</v>
      </c>
      <c r="Q188" s="62" t="n">
        <v>15</v>
      </c>
      <c r="R188" s="65" t="n">
        <f aca="false">IF(CA188=1,0,IFERROR(VLOOKUP(BY188,'Gebinde-Kategorie'!$A$5:$N$45,13,0)+0,0))</f>
        <v>6</v>
      </c>
      <c r="S188" s="66"/>
      <c r="T188" s="67"/>
      <c r="U188" s="67"/>
      <c r="V188" s="67"/>
      <c r="W188" s="60"/>
      <c r="X188" s="62"/>
      <c r="Y188" s="62"/>
      <c r="Z188" s="60" t="n">
        <v>2</v>
      </c>
      <c r="AA188" s="60" t="n">
        <f aca="false">IF(A188="","",IF(AND(Parameter!$B$21="Ja",ISNUMBER(W188)),W188,IF(AND(Parameter!$E$27="Ja",ISNUMBER(Z188),CD188&lt;&gt;"Nein"),Z188,IF(CD188="2+3",IF(ISNUMBER(SEARCH("grosser Artikel",BV188)),2,IFERROR(VLOOKUP(BY188,Parameter!$F$35:$G$64,2,0),2)),IF(OR(CD188="Nein",CD188=""),"-",CD188)))))</f>
        <v>2</v>
      </c>
      <c r="AB188" s="67"/>
      <c r="AC188" s="68"/>
      <c r="AD188" s="62" t="n">
        <f aca="false">AW188</f>
        <v>19</v>
      </c>
      <c r="AE188" s="62" t="n">
        <f aca="false">MAX(AW188,H188)</f>
        <v>19</v>
      </c>
      <c r="AF188" s="69"/>
      <c r="AG188" s="62" t="n">
        <f aca="false">IF(LEFT(Cockpit!$C$5,1)="A",H188,IF(Parameter!$E$30="MAX-Bestand",IF(CI188=1,CJ188,IF(LEFT(Cockpit!$C$5,1)="B",AM188,MAX(AM188,H188))),ROUNDUP(AK188,0)))</f>
        <v>11</v>
      </c>
      <c r="AH188" s="62" t="n">
        <f aca="false">IF(CA188=1,0,ROUNDUP(AG188/BZ188,0))</f>
        <v>1</v>
      </c>
      <c r="AI188" s="64" t="n">
        <f aca="false">IF(CR188&gt;0,CR188*MAX(1,AG188/X188),IF(CA188=1,IF(AG188&lt;=0,0,CE188*MAX(1,IF(H188&gt;0,AG188/H188,1))),IF(R188&gt;0,AH188/R188,0))/MAX(0.1,N(Parameter!$M$21)))</f>
        <v>0.166666666666667</v>
      </c>
      <c r="AJ188" s="62" t="n">
        <f aca="false">AI188*CC188</f>
        <v>39.1666666666667</v>
      </c>
      <c r="AK188" s="63" t="n">
        <f aca="false">IF(LEFT(Cockpit!$C$5,1)="A",H188,IF(CI188=1,(CL188+CJ188)/2,IF(LEFT(Cockpit!$C$5,1)="B",(CL188+AM188)/2,MAX((CL188+AM188)/2,H188))))</f>
        <v>11</v>
      </c>
      <c r="AL188" s="62" t="n">
        <f aca="false">AK188*G188</f>
        <v>1650.11</v>
      </c>
      <c r="AM188" s="62" t="n">
        <f aca="false">ROUNDUP(CL188+MAX(CM188,2*(J188/IF(CH188&gt;0,CH188,MAX(0.1,N(Cockpit!$C$6)))-CL188)),0)</f>
        <v>19</v>
      </c>
      <c r="AN188" s="63" t="n">
        <f aca="false">IF(AJ188&gt;0,J188/AJ188,-1)</f>
        <v>0.765957446808511</v>
      </c>
      <c r="AO188" s="63" t="n">
        <f aca="false">IF(AND(OR(CG188="L1",CG188="L23",CG188="LIFT"),AJ188&gt;0),SUMIFS($AJ$7:$AJ$1843,$CG$7:$CG$1843,CG188,$AN$7:$AN$1843,"&gt;"&amp;AN188)+SUMIFS($AJ$7:$AJ$1843,$CG$7:$CG$1843,CG188,$AN$7:$AN$1843,AN188,$BX$7:$BX$1843,"&lt;="&amp;BX188),"")</f>
        <v>8329.31730769231</v>
      </c>
      <c r="AP188" s="70" t="n">
        <f aca="false">IF(AO188="",0,MAX(0,MIN(1,(IF(CG188="L1",Parameter!$H$5,IF(CG188="L23",Parameter!$H$6+Parameter!$H$7,Parameter!$H$5+Parameter!$H$6+Parameter!$H$7))-(AO188-AJ188))/AJ188)))</f>
        <v>1</v>
      </c>
      <c r="AQ188" s="62" t="n">
        <f aca="false">IF(LEFT(Cockpit!$I$5,1)="A",H188,IF(Parameter!$E$30="MAX-Bestand",IF(CI188=1,CJ188,IF(LEFT(Cockpit!$I$5,1)="B",AW188,MAX(AW188,H188))),ROUNDUP(AU188,0)))</f>
        <v>11</v>
      </c>
      <c r="AR188" s="62" t="n">
        <f aca="false">IF(CA188=1,0,ROUNDUP(AQ188/BZ188,0))</f>
        <v>1</v>
      </c>
      <c r="AS188" s="64" t="n">
        <f aca="false">IF(CR188&gt;0,CR188*MAX(1,AQ188/X188),IF(CA188=1,IF(AQ188&lt;=0,0,CE188*MAX(1,IF(H188&gt;0,AQ188/H188,1))),IF(R188&gt;0,AR188/R188,0))/MAX(0.1,N(Parameter!$M$21)))</f>
        <v>0.166666666666667</v>
      </c>
      <c r="AT188" s="62" t="n">
        <f aca="false">AS188*CC188</f>
        <v>39.1666666666667</v>
      </c>
      <c r="AU188" s="63" t="n">
        <f aca="false">IF(LEFT(Cockpit!$I$5,1)="A",H188,IF(CI188=1,(CL188+CJ188)/2,IF(LEFT(Cockpit!$I$5,1)="B",(CL188+AW188)/2,MAX((CL188+AW188)/2,H188))))</f>
        <v>11</v>
      </c>
      <c r="AV188" s="62" t="n">
        <f aca="false">AU188*G188</f>
        <v>1650.11</v>
      </c>
      <c r="AW188" s="62" t="n">
        <f aca="false">ROUNDUP(CL188+MAX(CM188,2*(J188/IF(CH188&gt;0,CH188,MAX(0.1,N(Cockpit!$I$6)))-CL188)),0)</f>
        <v>19</v>
      </c>
      <c r="AX188" s="63" t="n">
        <f aca="false">IF(AT188&gt;0,J188/AT188,-1)</f>
        <v>0.765957446808511</v>
      </c>
      <c r="AY188" s="63" t="n">
        <f aca="false">IF(AND(OR(CG188="L1",CG188="L23",CG188="LIFT"),AT188&gt;0),SUMIFS($AT$7:$AT$1843,$CG$7:$CG$1843,CG188,$AX$7:$AX$1843,"&gt;"&amp;AX188)+SUMIFS($AT$7:$AT$1843,$CG$7:$CG$1843,CG188,$AX$7:$AX$1843,AX188,$BX$7:$BX$1843,"&lt;="&amp;BX188),"")</f>
        <v>10588.8855311355</v>
      </c>
      <c r="AZ188" s="70" t="n">
        <f aca="false">IF(AY188="",0,MAX(0,MIN(1,(IF(CG188="L1",Parameter!$H$5,IF(CG188="L23",Parameter!$H$6+Parameter!$H$7,Parameter!$H$5+Parameter!$H$6+Parameter!$H$7))-(AY188-AT188))/AT188)))</f>
        <v>1</v>
      </c>
      <c r="BA188" s="62" t="n">
        <f aca="false">IF(LEFT(Cockpit!$O$5,1)="A",H188,IF(Parameter!$E$30="MAX-Bestand",IF(CI188=1,CJ188,IF(LEFT(Cockpit!$O$5,1)="B",BG188,MAX(BG188,H188))),ROUNDUP(BE188,0)))</f>
        <v>9</v>
      </c>
      <c r="BB188" s="62" t="n">
        <f aca="false">IF(CA188=1,0,ROUNDUP(BA188/BZ188,0))</f>
        <v>1</v>
      </c>
      <c r="BC188" s="64" t="n">
        <f aca="false">IF(CR188&gt;0,CR188*MAX(1,BA188/X188),IF(CA188=1,IF(BA188&lt;=0,0,CE188*MAX(1,IF(H188&gt;0,BA188/H188,1))),IF(R188&gt;0,BB188/R188,0))/MAX(0.1,N(Parameter!$M$21)))</f>
        <v>0.166666666666667</v>
      </c>
      <c r="BD188" s="62" t="n">
        <f aca="false">BC188*CC188</f>
        <v>39.1666666666667</v>
      </c>
      <c r="BE188" s="63" t="n">
        <f aca="false">IF(LEFT(Cockpit!$O$5,1)="A",H188,IF(CI188=1,(CL188+CJ188)/2,IF(LEFT(Cockpit!$O$5,1)="B",(CL188+BG188)/2,MAX((CL188+BG188)/2,H188))))</f>
        <v>8.5</v>
      </c>
      <c r="BF188" s="62" t="n">
        <f aca="false">BE188*G188</f>
        <v>1275.085</v>
      </c>
      <c r="BG188" s="62" t="n">
        <f aca="false">ROUNDUP(CL188+MAX(CM188,2*(J188/IF(CH188&gt;0,CH188,MAX(0.1,N(Cockpit!$O$6)))-CL188)),0)</f>
        <v>16</v>
      </c>
      <c r="BH188" s="63" t="n">
        <f aca="false">IF(BD188&gt;0,J188/BD188,-1)</f>
        <v>0.765957446808511</v>
      </c>
      <c r="BI188" s="63" t="n">
        <f aca="false">IF(AND(OR(CG188="L1",CG188="L23",CG188="LIFT"),BD188&gt;0),SUMIFS($BD$7:$BD$1843,$CG$7:$CG$1843,CG188,$BH$7:$BH$1843,"&gt;"&amp;BH188)+SUMIFS($BD$7:$BD$1843,$CG$7:$CG$1843,CG188,$BH$7:$BH$1843,BH188,$BX$7:$BX$1843,"&lt;="&amp;BX188),"")</f>
        <v>9040.18635531135</v>
      </c>
      <c r="BJ188" s="70" t="n">
        <f aca="false">IF(BI188="",0,MAX(0,MIN(1,(IF(CG188="L1",Parameter!$H$5,IF(CG188="L23",Parameter!$H$6+Parameter!$H$7,Parameter!$H$5+Parameter!$H$6+Parameter!$H$7))-(BI188-BD188))/BD188)))</f>
        <v>1</v>
      </c>
      <c r="BK188" s="60" t="str">
        <f aca="false">IF(AJ188&lt;=0,"",IF(CG188="Aussen","Aussenlager",IF(CG188="-","Nicht im Lift",IF(AP188&gt;=1,"Lift",IF(AP188&lt;=0,"Aussenlager","teilweise")))))</f>
        <v>Lift</v>
      </c>
      <c r="BL188" s="60" t="str">
        <f aca="false">IF(AT188&lt;=0,"",IF(CG188="Aussen","Aussenlager",IF(CG188="-","Nicht im Lift",IF(AZ188&gt;=1,"Lift",IF(AZ188&lt;=0,"Aussenlager","teilweise")))))</f>
        <v>Lift</v>
      </c>
      <c r="BM188" s="60" t="str">
        <f aca="false">IF(BD188&lt;=0,"",IF(CG188="Aussen","Aussenlager",IF(CG188="-","Nicht im Lift",IF(BJ188&gt;=1,"Lift",IF(BJ188&lt;=0,"Aussenlager","teilweise")))))</f>
        <v>Lift</v>
      </c>
      <c r="BN188" s="60" t="str">
        <f aca="false">IF(A188="","",IF(BW188=1,"Neu; ","")&amp;IF(AND(BW188=0,BR188&lt;0),"negativer Bestand (Export "&amp;BR188&amp;"); ","")&amp;IF(J188&lt;=0,"Kein Verbrauch; ","")&amp;IF(CR188&gt;0,"Lift "&amp;W188&amp;" lt. Liftbericht (Fach "&amp;X188&amp;" Stk); ",IF(CB188=1,"Gebinde geschätzt ("&amp;T188&amp;"); ",IF(CA188=1,"Lose – Tablare geschätzt; ","")))&amp;IF(H188&gt;AW188,"Überbestand "&amp;ROUND(H188-AW188,0)&amp;" Stk / CHF "&amp;ROUND((H188-AW188)*G188,0)&amp;"; ","")&amp;IF(AND(CI188=1,CJ188&lt;CK188),"MAX &lt; MB+LG; ","")&amp;IF(AND(CQ188&gt;0,CP188*10&gt;CQ188),"zu hoch für Tablar; ","")&amp;IF(AND(BW188=0,OR(CI188=1,AB188&lt;&gt;"",U188&lt;&gt;"",V188&lt;&gt;"",AC188&lt;&gt;"")),"manuell übersteuert; ","")&amp;IF(AND(CA188=0,R188=0),"Gebinde unbekannt / Stellmass fehlt; ","")&amp;IF(AND(CA188=0,N(V188)&lt;=0,N(Q188)&lt;=0),"Menge pro Gebinde fehlt (Ist = 1 Gebinde); ","")&amp;BV188)</f>
        <v/>
      </c>
      <c r="BO188" s="60"/>
      <c r="BP188" s="60"/>
      <c r="BQ188" s="67"/>
      <c r="BR188" s="62" t="n">
        <v>6</v>
      </c>
      <c r="BS188" s="62" t="n">
        <v>5</v>
      </c>
      <c r="BT188" s="61" t="n">
        <v>951.909999999999</v>
      </c>
      <c r="BU188" s="62" t="n">
        <v>30</v>
      </c>
      <c r="BV188" s="60"/>
      <c r="BW188" s="65" t="n">
        <v>0</v>
      </c>
      <c r="BX188" s="65" t="n">
        <v>188</v>
      </c>
      <c r="BY188" s="60" t="str">
        <f aca="false">IF(U188&lt;&gt;"",UPPER(TRIM(U188)),IF(CB188=1,UPPER(VLOOKUP(T188,Parameter!$I$27:$K$29,2,0)),IF(P188="","LOSE",P188)))</f>
        <v>S71</v>
      </c>
      <c r="BZ188" s="62" t="n">
        <f aca="false">IF(BY188="LOSE",1,IF(N(V188)&gt;0,V188,IF(CB188=1,MAX(1,N(VLOOKUP(T188,Parameter!$I$27:$K$29,3,0)),H188,N(N188)),IF(N(Q188)&gt;0,Q188,MAX(1,H188)))))</f>
        <v>15</v>
      </c>
      <c r="CA188" s="65" t="n">
        <f aca="false">IF(BY188="LOSE",1,0)</f>
        <v>0</v>
      </c>
      <c r="CB188" s="65" t="n">
        <f aca="false">IF(AND(U188="",OR(P188="",P188="LOSE"),T188&lt;&gt;"",N(S188)&lt;=0,ISNUMBER(MATCH(T188,Parameter!$I$27:$I$29,0))),1,0)</f>
        <v>0</v>
      </c>
      <c r="CC188" s="65" t="n">
        <f aca="false">IF(CR188&gt;0,INDEX(Parameter!$H$5:$H$7,W188)/INDEX(Parameter!$E$5:$E$7,W188),IF(AND(CA188=0,N(IFERROR(VLOOKUP(BY188,'Gebinde-Kategorie'!$A$5:$N$45,14,0),0))&gt;0),VLOOKUP(BY188,'Gebinde-Kategorie'!$A$5:$N$45,14,0)*10+Parameter!$M$23,Parameter!$M$24))</f>
        <v>235</v>
      </c>
      <c r="CD188" s="60" t="n">
        <f aca="false">IF(AND(Parameter!$B$19="Ja",E188&lt;&gt;"",ISNUMBER(MATCH(E188,Parameter!$I$35:$I$52,0))),VLOOKUP(E188,Parameter!$I$35:$J$52,2,0),IFERROR(VLOOKUP(D188,Parameter!$A$35:$C$64,2,0),"Nein"))</f>
        <v>1</v>
      </c>
      <c r="CE188" s="64" t="n">
        <f aca="false">IF(CA188=0,0,IF(N(S188)&gt;0,S188,IFERROR(VLOOKUP(D188,Parameter!$A$35:$C$64,3,0)+0,0)))</f>
        <v>0</v>
      </c>
      <c r="CF188" s="60" t="n">
        <f aca="false">IF(AB188&lt;&gt;"",AB188,AA188)</f>
        <v>2</v>
      </c>
      <c r="CG188" s="60" t="str">
        <f aca="false">IF(OR(CF188=1,CF188=2,CF188=3),IF(Parameter!$E$27="Ja","LIFT",IF(CF188=1,"L1","L23")),IF(CF188="Aussen","Aussen","-"))</f>
        <v>LIFT</v>
      </c>
      <c r="CH188" s="71" t="n">
        <f aca="false">IF(N(AC188)&gt;0,AC188,0)</f>
        <v>0</v>
      </c>
      <c r="CI188" s="65" t="n">
        <f aca="false">IF(ISNUMBER(AF188),1,0)</f>
        <v>0</v>
      </c>
      <c r="CJ188" s="62" t="n">
        <f aca="false">N(AF188)</f>
        <v>0</v>
      </c>
      <c r="CK188" s="62" t="n">
        <f aca="false">N(M188)+N(N188)</f>
        <v>16</v>
      </c>
      <c r="CL188" s="62" t="n">
        <f aca="false">N(M188)</f>
        <v>1</v>
      </c>
      <c r="CM188" s="62" t="n">
        <f aca="false">N(N188)</f>
        <v>15</v>
      </c>
      <c r="CN188" s="62" t="n">
        <f aca="false">ROUNDUP(H188/BZ188,0)</f>
        <v>1</v>
      </c>
      <c r="CO188" s="62" t="n">
        <f aca="false">ROUNDUP(CJ188/BZ188,0)</f>
        <v>0</v>
      </c>
      <c r="CP188" s="65" t="n">
        <f aca="false">IF(CA188=1,0,IFERROR(VLOOKUP(BY188,'Gebinde-Kategorie'!$A$5:$N$45,5,0)+0,0))</f>
        <v>20</v>
      </c>
      <c r="CQ188" s="65" t="n">
        <f aca="false">IFERROR(IF(OR(CF188=1,CF188=2,CF188=3),N(INDEX(Parameter!$I$5:$I$7,CF188)),0),0)</f>
        <v>0</v>
      </c>
      <c r="CR188" s="64" t="n">
        <f aca="false">IF(AND(Parameter!$B$21="Ja",ISNUMBER(W188),N(X188)&gt;0),IFERROR(N(INDEX(Parameter!$L$5:$L$7,W188))*INDEX(Parameter!$E$5:$E$7,W188)*X188/SUMIFS($X$7:$X$1843,$W$7:$W$1843,W188),0),0)</f>
        <v>0</v>
      </c>
      <c r="CS188" s="62" t="n">
        <f aca="false">IF(AND(OR(CG188="L1",CG188="L23",CG188="LIFT"),H188&gt;0),CC188*IF(CR188&gt;0,CR188*MAX(1,H188/X188),IF(CA188=1,CE188,IF(R188&gt;0,CN188/R188,0))/MAX(0.1,N(Parameter!$M$21))),"")</f>
        <v>39.1666666666667</v>
      </c>
      <c r="CT188" s="64" t="n">
        <f aca="false">IF(CS188="","",J188/H188)</f>
        <v>2.72727272727273</v>
      </c>
      <c r="CU188" s="62" t="n">
        <f aca="false">IF(CS188="","",H188*G188)</f>
        <v>1650.11</v>
      </c>
      <c r="CV188" s="63" t="n">
        <f aca="false">IF(CS188="","",(CL188+ROUNDUP(CL188+MAX(CM188,2*(J188/MAX(0.1,N(Einkauf!$C$6))-CL188)),0))/2)</f>
        <v>8.5</v>
      </c>
      <c r="CW188" s="62" t="n">
        <f aca="false">IF(CS188="","",MAX(0,H188-CV188)*G188)</f>
        <v>375.025</v>
      </c>
      <c r="CX188" s="62" t="n">
        <f aca="false">IF(CS188="","",CS188*MAX(0,1-CV188/H188))</f>
        <v>8.90151515151515</v>
      </c>
      <c r="CY188" s="64" t="n">
        <f aca="false">IF(CS188="","",PERCENTRANK($CS$7:$CS$1843,CS188)+PERCENTRANK($CU$7:$CU$1843,CU188)+1-PERCENTRANK($CT$7:$CT$1843,CT188))</f>
        <v>1.72</v>
      </c>
      <c r="CZ188" s="72" t="n">
        <f aca="false">IF(CS188="","",CHOOSE(MATCH(Einkauf!$C$5,Parameter!$G$23:$G$27,0),CY188,CS188,CU188,-CT188,CW188)+ROW()/1000000000)</f>
        <v>1.720000188</v>
      </c>
    </row>
    <row r="189" customFormat="false" ht="15" hidden="false" customHeight="false" outlineLevel="0" collapsed="false">
      <c r="A189" s="60" t="s">
        <v>623</v>
      </c>
      <c r="B189" s="60" t="s">
        <v>624</v>
      </c>
      <c r="C189" s="60" t="s">
        <v>206</v>
      </c>
      <c r="D189" s="60" t="s">
        <v>226</v>
      </c>
      <c r="E189" s="60" t="s">
        <v>227</v>
      </c>
      <c r="F189" s="60" t="s">
        <v>260</v>
      </c>
      <c r="G189" s="61" t="n">
        <v>33.18</v>
      </c>
      <c r="H189" s="62" t="n">
        <f aca="false">MAX(0,IF(AND(Parameter!$B$21="Ja",ISNUMBER(Y189)),Y189,IF(Parameter!$B$20="Jahresanfang 2025 + Export",BS189+BR189,BR189)))</f>
        <v>81</v>
      </c>
      <c r="I189" s="62" t="n">
        <f aca="false">H189*G189</f>
        <v>2687.58</v>
      </c>
      <c r="J189" s="62" t="n">
        <f aca="false">BU189*Parameter!$B$18</f>
        <v>35</v>
      </c>
      <c r="K189" s="63" t="n">
        <v>77</v>
      </c>
      <c r="L189" s="64" t="n">
        <v>0.454545454545455</v>
      </c>
      <c r="M189" s="62" t="n">
        <v>8</v>
      </c>
      <c r="N189" s="62" t="n">
        <v>35</v>
      </c>
      <c r="O189" s="65" t="n">
        <v>84</v>
      </c>
      <c r="P189" s="60" t="s">
        <v>344</v>
      </c>
      <c r="Q189" s="62" t="n">
        <v>99</v>
      </c>
      <c r="R189" s="65" t="n">
        <f aca="false">IF(CA189=1,0,IFERROR(VLOOKUP(BY189,'Gebinde-Kategorie'!$A$5:$N$45,13,0)+0,0))</f>
        <v>26</v>
      </c>
      <c r="S189" s="66"/>
      <c r="T189" s="67"/>
      <c r="U189" s="67"/>
      <c r="V189" s="67"/>
      <c r="W189" s="60"/>
      <c r="X189" s="62"/>
      <c r="Y189" s="62"/>
      <c r="Z189" s="60" t="n">
        <v>3</v>
      </c>
      <c r="AA189" s="60" t="n">
        <f aca="false">IF(A189="","",IF(AND(Parameter!$B$21="Ja",ISNUMBER(W189)),W189,IF(AND(Parameter!$E$27="Ja",ISNUMBER(Z189),CD189&lt;&gt;"Nein"),Z189,IF(CD189="2+3",IF(ISNUMBER(SEARCH("grosser Artikel",BV189)),2,IFERROR(VLOOKUP(BY189,Parameter!$F$35:$G$64,2,0),2)),IF(OR(CD189="Nein",CD189=""),"-",CD189)))))</f>
        <v>3</v>
      </c>
      <c r="AB189" s="67"/>
      <c r="AC189" s="68"/>
      <c r="AD189" s="62" t="n">
        <f aca="false">AW189</f>
        <v>43</v>
      </c>
      <c r="AE189" s="62" t="n">
        <f aca="false">MAX(AW189,H189)</f>
        <v>81</v>
      </c>
      <c r="AF189" s="69"/>
      <c r="AG189" s="62" t="n">
        <f aca="false">IF(LEFT(Cockpit!$C$5,1)="A",H189,IF(Parameter!$E$30="MAX-Bestand",IF(CI189=1,CJ189,IF(LEFT(Cockpit!$C$5,1)="B",AM189,MAX(AM189,H189))),ROUNDUP(AK189,0)))</f>
        <v>81</v>
      </c>
      <c r="AH189" s="62" t="n">
        <f aca="false">IF(CA189=1,0,ROUNDUP(AG189/BZ189,0))</f>
        <v>1</v>
      </c>
      <c r="AI189" s="64" t="n">
        <f aca="false">IF(CR189&gt;0,CR189*MAX(1,AG189/X189),IF(CA189=1,IF(AG189&lt;=0,0,CE189*MAX(1,IF(H189&gt;0,AG189/H189,1))),IF(R189&gt;0,AH189/R189,0))/MAX(0.1,N(Parameter!$M$21)))</f>
        <v>0.0384615384615385</v>
      </c>
      <c r="AJ189" s="62" t="n">
        <f aca="false">AI189*CC189</f>
        <v>5.96153846153846</v>
      </c>
      <c r="AK189" s="63" t="n">
        <f aca="false">IF(LEFT(Cockpit!$C$5,1)="A",H189,IF(CI189=1,(CL189+CJ189)/2,IF(LEFT(Cockpit!$C$5,1)="B",(CL189+AM189)/2,MAX((CL189+AM189)/2,H189))))</f>
        <v>81</v>
      </c>
      <c r="AL189" s="62" t="n">
        <f aca="false">AK189*G189</f>
        <v>2687.58</v>
      </c>
      <c r="AM189" s="62" t="n">
        <f aca="false">ROUNDUP(CL189+MAX(CM189,2*(J189/IF(CH189&gt;0,CH189,MAX(0.1,N(Cockpit!$C$6)))-CL189)),0)</f>
        <v>43</v>
      </c>
      <c r="AN189" s="63" t="n">
        <f aca="false">IF(AJ189&gt;0,J189/AJ189,-1)</f>
        <v>5.87096774193548</v>
      </c>
      <c r="AO189" s="63" t="n">
        <f aca="false">IF(AND(OR(CG189="L1",CG189="L23",CG189="LIFT"),AJ189&gt;0),SUMIFS($AJ$7:$AJ$1843,$CG$7:$CG$1843,CG189,$AN$7:$AN$1843,"&gt;"&amp;AN189)+SUMIFS($AJ$7:$AJ$1843,$CG$7:$CG$1843,CG189,$AN$7:$AN$1843,AN189,$BX$7:$BX$1843,"&lt;="&amp;BX189),"")</f>
        <v>3528.87225274725</v>
      </c>
      <c r="AP189" s="70" t="n">
        <f aca="false">IF(AO189="",0,MAX(0,MIN(1,(IF(CG189="L1",Parameter!$H$5,IF(CG189="L23",Parameter!$H$6+Parameter!$H$7,Parameter!$H$5+Parameter!$H$6+Parameter!$H$7))-(AO189-AJ189))/AJ189)))</f>
        <v>1</v>
      </c>
      <c r="AQ189" s="62" t="n">
        <f aca="false">IF(LEFT(Cockpit!$I$5,1)="A",H189,IF(Parameter!$E$30="MAX-Bestand",IF(CI189=1,CJ189,IF(LEFT(Cockpit!$I$5,1)="B",AW189,MAX(AW189,H189))),ROUNDUP(AU189,0)))</f>
        <v>81</v>
      </c>
      <c r="AR189" s="62" t="n">
        <f aca="false">IF(CA189=1,0,ROUNDUP(AQ189/BZ189,0))</f>
        <v>1</v>
      </c>
      <c r="AS189" s="64" t="n">
        <f aca="false">IF(CR189&gt;0,CR189*MAX(1,AQ189/X189),IF(CA189=1,IF(AQ189&lt;=0,0,CE189*MAX(1,IF(H189&gt;0,AQ189/H189,1))),IF(R189&gt;0,AR189/R189,0))/MAX(0.1,N(Parameter!$M$21)))</f>
        <v>0.0384615384615385</v>
      </c>
      <c r="AT189" s="62" t="n">
        <f aca="false">AS189*CC189</f>
        <v>5.96153846153846</v>
      </c>
      <c r="AU189" s="63" t="n">
        <f aca="false">IF(LEFT(Cockpit!$I$5,1)="A",H189,IF(CI189=1,(CL189+CJ189)/2,IF(LEFT(Cockpit!$I$5,1)="B",(CL189+AW189)/2,MAX((CL189+AW189)/2,H189))))</f>
        <v>81</v>
      </c>
      <c r="AV189" s="62" t="n">
        <f aca="false">AU189*G189</f>
        <v>2687.58</v>
      </c>
      <c r="AW189" s="62" t="n">
        <f aca="false">ROUNDUP(CL189+MAX(CM189,2*(J189/IF(CH189&gt;0,CH189,MAX(0.1,N(Cockpit!$I$6)))-CL189)),0)</f>
        <v>43</v>
      </c>
      <c r="AX189" s="63" t="n">
        <f aca="false">IF(AT189&gt;0,J189/AT189,-1)</f>
        <v>5.87096774193548</v>
      </c>
      <c r="AY189" s="63" t="n">
        <f aca="false">IF(AND(OR(CG189="L1",CG189="L23",CG189="LIFT"),AT189&gt;0),SUMIFS($AT$7:$AT$1843,$CG$7:$CG$1843,CG189,$AX$7:$AX$1843,"&gt;"&amp;AX189)+SUMIFS($AT$7:$AT$1843,$CG$7:$CG$1843,CG189,$AX$7:$AX$1843,AX189,$BX$7:$BX$1843,"&lt;="&amp;BX189),"")</f>
        <v>4194.53617216117</v>
      </c>
      <c r="AZ189" s="70" t="n">
        <f aca="false">IF(AY189="",0,MAX(0,MIN(1,(IF(CG189="L1",Parameter!$H$5,IF(CG189="L23",Parameter!$H$6+Parameter!$H$7,Parameter!$H$5+Parameter!$H$6+Parameter!$H$7))-(AY189-AT189))/AT189)))</f>
        <v>1</v>
      </c>
      <c r="BA189" s="62" t="n">
        <f aca="false">IF(LEFT(Cockpit!$O$5,1)="A",H189,IF(Parameter!$E$30="MAX-Bestand",IF(CI189=1,CJ189,IF(LEFT(Cockpit!$O$5,1)="B",BG189,MAX(BG189,H189))),ROUNDUP(BE189,0)))</f>
        <v>26</v>
      </c>
      <c r="BB189" s="62" t="n">
        <f aca="false">IF(CA189=1,0,ROUNDUP(BA189/BZ189,0))</f>
        <v>1</v>
      </c>
      <c r="BC189" s="64" t="n">
        <f aca="false">IF(CR189&gt;0,CR189*MAX(1,BA189/X189),IF(CA189=1,IF(BA189&lt;=0,0,CE189*MAX(1,IF(H189&gt;0,BA189/H189,1))),IF(R189&gt;0,BB189/R189,0))/MAX(0.1,N(Parameter!$M$21)))</f>
        <v>0.0384615384615385</v>
      </c>
      <c r="BD189" s="62" t="n">
        <f aca="false">BC189*CC189</f>
        <v>5.96153846153846</v>
      </c>
      <c r="BE189" s="63" t="n">
        <f aca="false">IF(LEFT(Cockpit!$O$5,1)="A",H189,IF(CI189=1,(CL189+CJ189)/2,IF(LEFT(Cockpit!$O$5,1)="B",(CL189+BG189)/2,MAX((CL189+BG189)/2,H189))))</f>
        <v>25.5</v>
      </c>
      <c r="BF189" s="62" t="n">
        <f aca="false">BE189*G189</f>
        <v>846.09</v>
      </c>
      <c r="BG189" s="62" t="n">
        <f aca="false">ROUNDUP(CL189+MAX(CM189,2*(J189/IF(CH189&gt;0,CH189,MAX(0.1,N(Cockpit!$O$6)))-CL189)),0)</f>
        <v>43</v>
      </c>
      <c r="BH189" s="63" t="n">
        <f aca="false">IF(BD189&gt;0,J189/BD189,-1)</f>
        <v>5.87096774193548</v>
      </c>
      <c r="BI189" s="63" t="n">
        <f aca="false">IF(AND(OR(CG189="L1",CG189="L23",CG189="LIFT"),BD189&gt;0),SUMIFS($BD$7:$BD$1843,$CG$7:$CG$1843,CG189,$BH$7:$BH$1843,"&gt;"&amp;BH189)+SUMIFS($BD$7:$BD$1843,$CG$7:$CG$1843,CG189,$BH$7:$BH$1843,BH189,$BX$7:$BX$1843,"&lt;="&amp;BX189),"")</f>
        <v>3518.60943223443</v>
      </c>
      <c r="BJ189" s="70" t="n">
        <f aca="false">IF(BI189="",0,MAX(0,MIN(1,(IF(CG189="L1",Parameter!$H$5,IF(CG189="L23",Parameter!$H$6+Parameter!$H$7,Parameter!$H$5+Parameter!$H$6+Parameter!$H$7))-(BI189-BD189))/BD189)))</f>
        <v>1</v>
      </c>
      <c r="BK189" s="60" t="str">
        <f aca="false">IF(AJ189&lt;=0,"",IF(CG189="Aussen","Aussenlager",IF(CG189="-","Nicht im Lift",IF(AP189&gt;=1,"Lift",IF(AP189&lt;=0,"Aussenlager","teilweise")))))</f>
        <v>Lift</v>
      </c>
      <c r="BL189" s="60" t="str">
        <f aca="false">IF(AT189&lt;=0,"",IF(CG189="Aussen","Aussenlager",IF(CG189="-","Nicht im Lift",IF(AZ189&gt;=1,"Lift",IF(AZ189&lt;=0,"Aussenlager","teilweise")))))</f>
        <v>Lift</v>
      </c>
      <c r="BM189" s="60" t="str">
        <f aca="false">IF(BD189&lt;=0,"",IF(CG189="Aussen","Aussenlager",IF(CG189="-","Nicht im Lift",IF(BJ189&gt;=1,"Lift",IF(BJ189&lt;=0,"Aussenlager","teilweise")))))</f>
        <v>Lift</v>
      </c>
      <c r="BN189" s="60" t="str">
        <f aca="false">IF(A189="","",IF(BW189=1,"Neu; ","")&amp;IF(AND(BW189=0,BR189&lt;0),"negativer Bestand (Export "&amp;BR189&amp;"); ","")&amp;IF(J189&lt;=0,"Kein Verbrauch; ","")&amp;IF(CR189&gt;0,"Lift "&amp;W189&amp;" lt. Liftbericht (Fach "&amp;X189&amp;" Stk); ",IF(CB189=1,"Gebinde geschätzt ("&amp;T189&amp;"); ",IF(CA189=1,"Lose – Tablare geschätzt; ","")))&amp;IF(H189&gt;AW189,"Überbestand "&amp;ROUND(H189-AW189,0)&amp;" Stk / CHF "&amp;ROUND((H189-AW189)*G189,0)&amp;"; ","")&amp;IF(AND(CI189=1,CJ189&lt;CK189),"MAX &lt; MB+LG; ","")&amp;IF(AND(CQ189&gt;0,CP189*10&gt;CQ189),"zu hoch für Tablar; ","")&amp;IF(AND(BW189=0,OR(CI189=1,AB189&lt;&gt;"",U189&lt;&gt;"",V189&lt;&gt;"",AC189&lt;&gt;"")),"manuell übersteuert; ","")&amp;IF(AND(CA189=0,R189=0),"Gebinde unbekannt / Stellmass fehlt; ","")&amp;IF(AND(CA189=0,N(V189)&lt;=0,N(Q189)&lt;=0),"Menge pro Gebinde fehlt (Ist = 1 Gebinde); ","")&amp;BV189)</f>
        <v>Überbestand 38 Stk / CHF 1261; </v>
      </c>
      <c r="BO189" s="60"/>
      <c r="BP189" s="60"/>
      <c r="BQ189" s="67"/>
      <c r="BR189" s="62" t="n">
        <v>33</v>
      </c>
      <c r="BS189" s="62" t="n">
        <v>48</v>
      </c>
      <c r="BT189" s="61" t="n">
        <v>948.66</v>
      </c>
      <c r="BU189" s="62" t="n">
        <v>35</v>
      </c>
      <c r="BV189" s="60"/>
      <c r="BW189" s="65" t="n">
        <v>0</v>
      </c>
      <c r="BX189" s="65" t="n">
        <v>189</v>
      </c>
      <c r="BY189" s="60" t="str">
        <f aca="false">IF(U189&lt;&gt;"",UPPER(TRIM(U189)),IF(CB189=1,UPPER(VLOOKUP(T189,Parameter!$I$27:$K$29,2,0)),IF(P189="","LOSE",P189)))</f>
        <v>S51</v>
      </c>
      <c r="BZ189" s="62" t="n">
        <f aca="false">IF(BY189="LOSE",1,IF(N(V189)&gt;0,V189,IF(CB189=1,MAX(1,N(VLOOKUP(T189,Parameter!$I$27:$K$29,3,0)),H189,N(N189)),IF(N(Q189)&gt;0,Q189,MAX(1,H189)))))</f>
        <v>99</v>
      </c>
      <c r="CA189" s="65" t="n">
        <f aca="false">IF(BY189="LOSE",1,0)</f>
        <v>0</v>
      </c>
      <c r="CB189" s="65" t="n">
        <f aca="false">IF(AND(U189="",OR(P189="",P189="LOSE"),T189&lt;&gt;"",N(S189)&lt;=0,ISNUMBER(MATCH(T189,Parameter!$I$27:$I$29,0))),1,0)</f>
        <v>0</v>
      </c>
      <c r="CC189" s="65" t="n">
        <f aca="false">IF(CR189&gt;0,INDEX(Parameter!$H$5:$H$7,W189)/INDEX(Parameter!$E$5:$E$7,W189),IF(AND(CA189=0,N(IFERROR(VLOOKUP(BY189,'Gebinde-Kategorie'!$A$5:$N$45,14,0),0))&gt;0),VLOOKUP(BY189,'Gebinde-Kategorie'!$A$5:$N$45,14,0)*10+Parameter!$M$23,Parameter!$M$24))</f>
        <v>155</v>
      </c>
      <c r="CD189" s="60" t="str">
        <f aca="false">IF(AND(Parameter!$B$19="Ja",E189&lt;&gt;"",ISNUMBER(MATCH(E189,Parameter!$I$35:$I$52,0))),VLOOKUP(E189,Parameter!$I$35:$J$52,2,0),IFERROR(VLOOKUP(D189,Parameter!$A$35:$C$64,2,0),"Nein"))</f>
        <v>2+3</v>
      </c>
      <c r="CE189" s="64" t="n">
        <f aca="false">IF(CA189=0,0,IF(N(S189)&gt;0,S189,IFERROR(VLOOKUP(D189,Parameter!$A$35:$C$64,3,0)+0,0)))</f>
        <v>0</v>
      </c>
      <c r="CF189" s="60" t="n">
        <f aca="false">IF(AB189&lt;&gt;"",AB189,AA189)</f>
        <v>3</v>
      </c>
      <c r="CG189" s="60" t="str">
        <f aca="false">IF(OR(CF189=1,CF189=2,CF189=3),IF(Parameter!$E$27="Ja","LIFT",IF(CF189=1,"L1","L23")),IF(CF189="Aussen","Aussen","-"))</f>
        <v>LIFT</v>
      </c>
      <c r="CH189" s="71" t="n">
        <f aca="false">IF(N(AC189)&gt;0,AC189,0)</f>
        <v>0</v>
      </c>
      <c r="CI189" s="65" t="n">
        <f aca="false">IF(ISNUMBER(AF189),1,0)</f>
        <v>0</v>
      </c>
      <c r="CJ189" s="62" t="n">
        <f aca="false">N(AF189)</f>
        <v>0</v>
      </c>
      <c r="CK189" s="62" t="n">
        <f aca="false">N(M189)+N(N189)</f>
        <v>43</v>
      </c>
      <c r="CL189" s="62" t="n">
        <f aca="false">N(M189)</f>
        <v>8</v>
      </c>
      <c r="CM189" s="62" t="n">
        <f aca="false">N(N189)</f>
        <v>35</v>
      </c>
      <c r="CN189" s="62" t="n">
        <f aca="false">ROUNDUP(H189/BZ189,0)</f>
        <v>1</v>
      </c>
      <c r="CO189" s="62" t="n">
        <f aca="false">ROUNDUP(CJ189/BZ189,0)</f>
        <v>0</v>
      </c>
      <c r="CP189" s="65" t="n">
        <f aca="false">IF(CA189=1,0,IFERROR(VLOOKUP(BY189,'Gebinde-Kategorie'!$A$5:$N$45,5,0)+0,0))</f>
        <v>11</v>
      </c>
      <c r="CQ189" s="65" t="n">
        <f aca="false">IFERROR(IF(OR(CF189=1,CF189=2,CF189=3),N(INDEX(Parameter!$I$5:$I$7,CF189)),0),0)</f>
        <v>0</v>
      </c>
      <c r="CR189" s="64" t="n">
        <f aca="false">IF(AND(Parameter!$B$21="Ja",ISNUMBER(W189),N(X189)&gt;0),IFERROR(N(INDEX(Parameter!$L$5:$L$7,W189))*INDEX(Parameter!$E$5:$E$7,W189)*X189/SUMIFS($X$7:$X$1843,$W$7:$W$1843,W189),0),0)</f>
        <v>0</v>
      </c>
      <c r="CS189" s="62" t="n">
        <f aca="false">IF(AND(OR(CG189="L1",CG189="L23",CG189="LIFT"),H189&gt;0),CC189*IF(CR189&gt;0,CR189*MAX(1,H189/X189),IF(CA189=1,CE189,IF(R189&gt;0,CN189/R189,0))/MAX(0.1,N(Parameter!$M$21))),"")</f>
        <v>5.96153846153846</v>
      </c>
      <c r="CT189" s="64" t="n">
        <f aca="false">IF(CS189="","",J189/H189)</f>
        <v>0.432098765432099</v>
      </c>
      <c r="CU189" s="62" t="n">
        <f aca="false">IF(CS189="","",H189*G189)</f>
        <v>2687.58</v>
      </c>
      <c r="CV189" s="63" t="n">
        <f aca="false">IF(CS189="","",(CL189+ROUNDUP(CL189+MAX(CM189,2*(J189/MAX(0.1,N(Einkauf!$C$6))-CL189)),0))/2)</f>
        <v>25.5</v>
      </c>
      <c r="CW189" s="62" t="n">
        <f aca="false">IF(CS189="","",MAX(0,H189-CV189)*G189)</f>
        <v>1841.49</v>
      </c>
      <c r="CX189" s="62" t="n">
        <f aca="false">IF(CS189="","",CS189*MAX(0,1-CV189/H189))</f>
        <v>4.08475783475783</v>
      </c>
      <c r="CY189" s="64" t="n">
        <f aca="false">IF(CS189="","",PERCENTRANK($CS$7:$CS$1843,CS189)+PERCENTRANK($CU$7:$CU$1843,CU189)+1-PERCENTRANK($CT$7:$CT$1843,CT189))</f>
        <v>1.63</v>
      </c>
      <c r="CZ189" s="72" t="n">
        <f aca="false">IF(CS189="","",CHOOSE(MATCH(Einkauf!$C$5,Parameter!$G$23:$G$27,0),CY189,CS189,CU189,-CT189,CW189)+ROW()/1000000000)</f>
        <v>1.630000189</v>
      </c>
    </row>
    <row r="190" customFormat="false" ht="15" hidden="false" customHeight="false" outlineLevel="0" collapsed="false">
      <c r="A190" s="60" t="s">
        <v>625</v>
      </c>
      <c r="B190" s="60" t="s">
        <v>467</v>
      </c>
      <c r="C190" s="60" t="s">
        <v>206</v>
      </c>
      <c r="D190" s="60" t="s">
        <v>226</v>
      </c>
      <c r="E190" s="60" t="s">
        <v>227</v>
      </c>
      <c r="F190" s="60" t="s">
        <v>260</v>
      </c>
      <c r="G190" s="61" t="n">
        <v>10.96</v>
      </c>
      <c r="H190" s="62" t="n">
        <f aca="false">MAX(0,IF(AND(Parameter!$B$21="Ja",ISNUMBER(Y190)),Y190,IF(Parameter!$B$20="Jahresanfang 2025 + Export",BS190+BR190,BR190)))</f>
        <v>134</v>
      </c>
      <c r="I190" s="62" t="n">
        <f aca="false">H190*G190</f>
        <v>1468.64</v>
      </c>
      <c r="J190" s="62" t="n">
        <f aca="false">BU190*Parameter!$B$18</f>
        <v>156</v>
      </c>
      <c r="K190" s="63" t="n">
        <v>33</v>
      </c>
      <c r="L190" s="64" t="n">
        <v>4.72727272727273</v>
      </c>
      <c r="M190" s="62" t="n">
        <v>10</v>
      </c>
      <c r="N190" s="62" t="n">
        <v>50</v>
      </c>
      <c r="O190" s="65" t="n">
        <v>21</v>
      </c>
      <c r="P190" s="60" t="s">
        <v>344</v>
      </c>
      <c r="Q190" s="62" t="n">
        <v>61</v>
      </c>
      <c r="R190" s="65" t="n">
        <f aca="false">IF(CA190=1,0,IFERROR(VLOOKUP(BY190,'Gebinde-Kategorie'!$A$5:$N$45,13,0)+0,0))</f>
        <v>26</v>
      </c>
      <c r="S190" s="66"/>
      <c r="T190" s="67"/>
      <c r="U190" s="67"/>
      <c r="V190" s="67"/>
      <c r="W190" s="60"/>
      <c r="X190" s="62"/>
      <c r="Y190" s="62"/>
      <c r="Z190" s="60" t="n">
        <v>3</v>
      </c>
      <c r="AA190" s="60" t="n">
        <f aca="false">IF(A190="","",IF(AND(Parameter!$B$21="Ja",ISNUMBER(W190)),W190,IF(AND(Parameter!$E$27="Ja",ISNUMBER(Z190),CD190&lt;&gt;"Nein"),Z190,IF(CD190="2+3",IF(ISNUMBER(SEARCH("grosser Artikel",BV190)),2,IFERROR(VLOOKUP(BY190,Parameter!$F$35:$G$64,2,0),2)),IF(OR(CD190="Nein",CD190=""),"-",CD190)))))</f>
        <v>3</v>
      </c>
      <c r="AB190" s="67"/>
      <c r="AC190" s="68"/>
      <c r="AD190" s="62" t="n">
        <f aca="false">AW190</f>
        <v>94</v>
      </c>
      <c r="AE190" s="62" t="n">
        <f aca="false">MAX(AW190,H190)</f>
        <v>134</v>
      </c>
      <c r="AF190" s="69"/>
      <c r="AG190" s="62" t="n">
        <f aca="false">IF(LEFT(Cockpit!$C$5,1)="A",H190,IF(Parameter!$E$30="MAX-Bestand",IF(CI190=1,CJ190,IF(LEFT(Cockpit!$C$5,1)="B",AM190,MAX(AM190,H190))),ROUNDUP(AK190,0)))</f>
        <v>134</v>
      </c>
      <c r="AH190" s="62" t="n">
        <f aca="false">IF(CA190=1,0,ROUNDUP(AG190/BZ190,0))</f>
        <v>3</v>
      </c>
      <c r="AI190" s="64" t="n">
        <f aca="false">IF(CR190&gt;0,CR190*MAX(1,AG190/X190),IF(CA190=1,IF(AG190&lt;=0,0,CE190*MAX(1,IF(H190&gt;0,AG190/H190,1))),IF(R190&gt;0,AH190/R190,0))/MAX(0.1,N(Parameter!$M$21)))</f>
        <v>0.115384615384615</v>
      </c>
      <c r="AJ190" s="62" t="n">
        <f aca="false">AI190*CC190</f>
        <v>17.8846153846154</v>
      </c>
      <c r="AK190" s="63" t="n">
        <f aca="false">IF(LEFT(Cockpit!$C$5,1)="A",H190,IF(CI190=1,(CL190+CJ190)/2,IF(LEFT(Cockpit!$C$5,1)="B",(CL190+AM190)/2,MAX((CL190+AM190)/2,H190))))</f>
        <v>134</v>
      </c>
      <c r="AL190" s="62" t="n">
        <f aca="false">AK190*G190</f>
        <v>1468.64</v>
      </c>
      <c r="AM190" s="62" t="n">
        <f aca="false">ROUNDUP(CL190+MAX(CM190,2*(J190/IF(CH190&gt;0,CH190,MAX(0.1,N(Cockpit!$C$6)))-CL190)),0)</f>
        <v>94</v>
      </c>
      <c r="AN190" s="63" t="n">
        <f aca="false">IF(AJ190&gt;0,J190/AJ190,-1)</f>
        <v>8.72258064516129</v>
      </c>
      <c r="AO190" s="63" t="n">
        <f aca="false">IF(AND(OR(CG190="L1",CG190="L23",CG190="LIFT"),AJ190&gt;0),SUMIFS($AJ$7:$AJ$1843,$CG$7:$CG$1843,CG190,$AN$7:$AN$1843,"&gt;"&amp;AN190)+SUMIFS($AJ$7:$AJ$1843,$CG$7:$CG$1843,CG190,$AN$7:$AN$1843,AN190,$BX$7:$BX$1843,"&lt;="&amp;BX190),"")</f>
        <v>2947.94917582418</v>
      </c>
      <c r="AP190" s="70" t="n">
        <f aca="false">IF(AO190="",0,MAX(0,MIN(1,(IF(CG190="L1",Parameter!$H$5,IF(CG190="L23",Parameter!$H$6+Parameter!$H$7,Parameter!$H$5+Parameter!$H$6+Parameter!$H$7))-(AO190-AJ190))/AJ190)))</f>
        <v>1</v>
      </c>
      <c r="AQ190" s="62" t="n">
        <f aca="false">IF(LEFT(Cockpit!$I$5,1)="A",H190,IF(Parameter!$E$30="MAX-Bestand",IF(CI190=1,CJ190,IF(LEFT(Cockpit!$I$5,1)="B",AW190,MAX(AW190,H190))),ROUNDUP(AU190,0)))</f>
        <v>134</v>
      </c>
      <c r="AR190" s="62" t="n">
        <f aca="false">IF(CA190=1,0,ROUNDUP(AQ190/BZ190,0))</f>
        <v>3</v>
      </c>
      <c r="AS190" s="64" t="n">
        <f aca="false">IF(CR190&gt;0,CR190*MAX(1,AQ190/X190),IF(CA190=1,IF(AQ190&lt;=0,0,CE190*MAX(1,IF(H190&gt;0,AQ190/H190,1))),IF(R190&gt;0,AR190/R190,0))/MAX(0.1,N(Parameter!$M$21)))</f>
        <v>0.115384615384615</v>
      </c>
      <c r="AT190" s="62" t="n">
        <f aca="false">AS190*CC190</f>
        <v>17.8846153846154</v>
      </c>
      <c r="AU190" s="63" t="n">
        <f aca="false">IF(LEFT(Cockpit!$I$5,1)="A",H190,IF(CI190=1,(CL190+CJ190)/2,IF(LEFT(Cockpit!$I$5,1)="B",(CL190+AW190)/2,MAX((CL190+AW190)/2,H190))))</f>
        <v>134</v>
      </c>
      <c r="AV190" s="62" t="n">
        <f aca="false">AU190*G190</f>
        <v>1468.64</v>
      </c>
      <c r="AW190" s="62" t="n">
        <f aca="false">ROUNDUP(CL190+MAX(CM190,2*(J190/IF(CH190&gt;0,CH190,MAX(0.1,N(Cockpit!$I$6)))-CL190)),0)</f>
        <v>94</v>
      </c>
      <c r="AX190" s="63" t="n">
        <f aca="false">IF(AT190&gt;0,J190/AT190,-1)</f>
        <v>8.72258064516129</v>
      </c>
      <c r="AY190" s="63" t="n">
        <f aca="false">IF(AND(OR(CG190="L1",CG190="L23",CG190="LIFT"),AT190&gt;0),SUMIFS($AT$7:$AT$1843,$CG$7:$CG$1843,CG190,$AX$7:$AX$1843,"&gt;"&amp;AX190)+SUMIFS($AT$7:$AT$1843,$CG$7:$CG$1843,CG190,$AX$7:$AX$1843,AX190,$BX$7:$BX$1843,"&lt;="&amp;BX190),"")</f>
        <v>3562.93727106227</v>
      </c>
      <c r="AZ190" s="70" t="n">
        <f aca="false">IF(AY190="",0,MAX(0,MIN(1,(IF(CG190="L1",Parameter!$H$5,IF(CG190="L23",Parameter!$H$6+Parameter!$H$7,Parameter!$H$5+Parameter!$H$6+Parameter!$H$7))-(AY190-AT190))/AT190)))</f>
        <v>1</v>
      </c>
      <c r="BA190" s="62" t="n">
        <f aca="false">IF(LEFT(Cockpit!$O$5,1)="A",H190,IF(Parameter!$E$30="MAX-Bestand",IF(CI190=1,CJ190,IF(LEFT(Cockpit!$O$5,1)="B",BG190,MAX(BG190,H190))),ROUNDUP(BE190,0)))</f>
        <v>39</v>
      </c>
      <c r="BB190" s="62" t="n">
        <f aca="false">IF(CA190=1,0,ROUNDUP(BA190/BZ190,0))</f>
        <v>1</v>
      </c>
      <c r="BC190" s="64" t="n">
        <f aca="false">IF(CR190&gt;0,CR190*MAX(1,BA190/X190),IF(CA190=1,IF(BA190&lt;=0,0,CE190*MAX(1,IF(H190&gt;0,BA190/H190,1))),IF(R190&gt;0,BB190/R190,0))/MAX(0.1,N(Parameter!$M$21)))</f>
        <v>0.0384615384615385</v>
      </c>
      <c r="BD190" s="62" t="n">
        <f aca="false">BC190*CC190</f>
        <v>5.96153846153846</v>
      </c>
      <c r="BE190" s="63" t="n">
        <f aca="false">IF(LEFT(Cockpit!$O$5,1)="A",H190,IF(CI190=1,(CL190+CJ190)/2,IF(LEFT(Cockpit!$O$5,1)="B",(CL190+BG190)/2,MAX((CL190+BG190)/2,H190))))</f>
        <v>39</v>
      </c>
      <c r="BF190" s="62" t="n">
        <f aca="false">BE190*G190</f>
        <v>427.44</v>
      </c>
      <c r="BG190" s="62" t="n">
        <f aca="false">ROUNDUP(CL190+MAX(CM190,2*(J190/IF(CH190&gt;0,CH190,MAX(0.1,N(Cockpit!$O$6)))-CL190)),0)</f>
        <v>68</v>
      </c>
      <c r="BH190" s="63" t="n">
        <f aca="false">IF(BD190&gt;0,J190/BD190,-1)</f>
        <v>26.1677419354839</v>
      </c>
      <c r="BI190" s="63" t="n">
        <f aca="false">IF(AND(OR(CG190="L1",CG190="L23",CG190="LIFT"),BD190&gt;0),SUMIFS($BD$7:$BD$1843,$CG$7:$CG$1843,CG190,$BH$7:$BH$1843,"&gt;"&amp;BH190)+SUMIFS($BD$7:$BD$1843,$CG$7:$CG$1843,CG190,$BH$7:$BH$1843,BH190,$BX$7:$BX$1843,"&lt;="&amp;BX190),"")</f>
        <v>2042.48672161172</v>
      </c>
      <c r="BJ190" s="70" t="n">
        <f aca="false">IF(BI190="",0,MAX(0,MIN(1,(IF(CG190="L1",Parameter!$H$5,IF(CG190="L23",Parameter!$H$6+Parameter!$H$7,Parameter!$H$5+Parameter!$H$6+Parameter!$H$7))-(BI190-BD190))/BD190)))</f>
        <v>1</v>
      </c>
      <c r="BK190" s="60" t="str">
        <f aca="false">IF(AJ190&lt;=0,"",IF(CG190="Aussen","Aussenlager",IF(CG190="-","Nicht im Lift",IF(AP190&gt;=1,"Lift",IF(AP190&lt;=0,"Aussenlager","teilweise")))))</f>
        <v>Lift</v>
      </c>
      <c r="BL190" s="60" t="str">
        <f aca="false">IF(AT190&lt;=0,"",IF(CG190="Aussen","Aussenlager",IF(CG190="-","Nicht im Lift",IF(AZ190&gt;=1,"Lift",IF(AZ190&lt;=0,"Aussenlager","teilweise")))))</f>
        <v>Lift</v>
      </c>
      <c r="BM190" s="60" t="str">
        <f aca="false">IF(BD190&lt;=0,"",IF(CG190="Aussen","Aussenlager",IF(CG190="-","Nicht im Lift",IF(BJ190&gt;=1,"Lift",IF(BJ190&lt;=0,"Aussenlager","teilweise")))))</f>
        <v>Lift</v>
      </c>
      <c r="BN190" s="60" t="str">
        <f aca="false">IF(A190="","",IF(BW190=1,"Neu; ","")&amp;IF(AND(BW190=0,BR190&lt;0),"negativer Bestand (Export "&amp;BR190&amp;"); ","")&amp;IF(J190&lt;=0,"Kein Verbrauch; ","")&amp;IF(CR190&gt;0,"Lift "&amp;W190&amp;" lt. Liftbericht (Fach "&amp;X190&amp;" Stk); ",IF(CB190=1,"Gebinde geschätzt ("&amp;T190&amp;"); ",IF(CA190=1,"Lose – Tablare geschätzt; ","")))&amp;IF(H190&gt;AW190,"Überbestand "&amp;ROUND(H190-AW190,0)&amp;" Stk / CHF "&amp;ROUND((H190-AW190)*G190,0)&amp;"; ","")&amp;IF(AND(CI190=1,CJ190&lt;CK190),"MAX &lt; MB+LG; ","")&amp;IF(AND(CQ190&gt;0,CP190*10&gt;CQ190),"zu hoch für Tablar; ","")&amp;IF(AND(BW190=0,OR(CI190=1,AB190&lt;&gt;"",U190&lt;&gt;"",V190&lt;&gt;"",AC190&lt;&gt;"")),"manuell übersteuert; ","")&amp;IF(AND(CA190=0,R190=0),"Gebinde unbekannt / Stellmass fehlt; ","")&amp;IF(AND(CA190=0,N(V190)&lt;=0,N(Q190)&lt;=0),"Menge pro Gebinde fehlt (Ist = 1 Gebinde); ","")&amp;BV190)</f>
        <v>Überbestand 40 Stk / CHF 438; </v>
      </c>
      <c r="BO190" s="60"/>
      <c r="BP190" s="60"/>
      <c r="BQ190" s="67"/>
      <c r="BR190" s="62" t="n">
        <v>98</v>
      </c>
      <c r="BS190" s="62" t="n">
        <v>36</v>
      </c>
      <c r="BT190" s="61" t="n">
        <v>926.84</v>
      </c>
      <c r="BU190" s="62" t="n">
        <v>156</v>
      </c>
      <c r="BV190" s="60"/>
      <c r="BW190" s="65" t="n">
        <v>0</v>
      </c>
      <c r="BX190" s="65" t="n">
        <v>190</v>
      </c>
      <c r="BY190" s="60" t="str">
        <f aca="false">IF(U190&lt;&gt;"",UPPER(TRIM(U190)),IF(CB190=1,UPPER(VLOOKUP(T190,Parameter!$I$27:$K$29,2,0)),IF(P190="","LOSE",P190)))</f>
        <v>S51</v>
      </c>
      <c r="BZ190" s="62" t="n">
        <f aca="false">IF(BY190="LOSE",1,IF(N(V190)&gt;0,V190,IF(CB190=1,MAX(1,N(VLOOKUP(T190,Parameter!$I$27:$K$29,3,0)),H190,N(N190)),IF(N(Q190)&gt;0,Q190,MAX(1,H190)))))</f>
        <v>61</v>
      </c>
      <c r="CA190" s="65" t="n">
        <f aca="false">IF(BY190="LOSE",1,0)</f>
        <v>0</v>
      </c>
      <c r="CB190" s="65" t="n">
        <f aca="false">IF(AND(U190="",OR(P190="",P190="LOSE"),T190&lt;&gt;"",N(S190)&lt;=0,ISNUMBER(MATCH(T190,Parameter!$I$27:$I$29,0))),1,0)</f>
        <v>0</v>
      </c>
      <c r="CC190" s="65" t="n">
        <f aca="false">IF(CR190&gt;0,INDEX(Parameter!$H$5:$H$7,W190)/INDEX(Parameter!$E$5:$E$7,W190),IF(AND(CA190=0,N(IFERROR(VLOOKUP(BY190,'Gebinde-Kategorie'!$A$5:$N$45,14,0),0))&gt;0),VLOOKUP(BY190,'Gebinde-Kategorie'!$A$5:$N$45,14,0)*10+Parameter!$M$23,Parameter!$M$24))</f>
        <v>155</v>
      </c>
      <c r="CD190" s="60" t="str">
        <f aca="false">IF(AND(Parameter!$B$19="Ja",E190&lt;&gt;"",ISNUMBER(MATCH(E190,Parameter!$I$35:$I$52,0))),VLOOKUP(E190,Parameter!$I$35:$J$52,2,0),IFERROR(VLOOKUP(D190,Parameter!$A$35:$C$64,2,0),"Nein"))</f>
        <v>2+3</v>
      </c>
      <c r="CE190" s="64" t="n">
        <f aca="false">IF(CA190=0,0,IF(N(S190)&gt;0,S190,IFERROR(VLOOKUP(D190,Parameter!$A$35:$C$64,3,0)+0,0)))</f>
        <v>0</v>
      </c>
      <c r="CF190" s="60" t="n">
        <f aca="false">IF(AB190&lt;&gt;"",AB190,AA190)</f>
        <v>3</v>
      </c>
      <c r="CG190" s="60" t="str">
        <f aca="false">IF(OR(CF190=1,CF190=2,CF190=3),IF(Parameter!$E$27="Ja","LIFT",IF(CF190=1,"L1","L23")),IF(CF190="Aussen","Aussen","-"))</f>
        <v>LIFT</v>
      </c>
      <c r="CH190" s="71" t="n">
        <f aca="false">IF(N(AC190)&gt;0,AC190,0)</f>
        <v>0</v>
      </c>
      <c r="CI190" s="65" t="n">
        <f aca="false">IF(ISNUMBER(AF190),1,0)</f>
        <v>0</v>
      </c>
      <c r="CJ190" s="62" t="n">
        <f aca="false">N(AF190)</f>
        <v>0</v>
      </c>
      <c r="CK190" s="62" t="n">
        <f aca="false">N(M190)+N(N190)</f>
        <v>60</v>
      </c>
      <c r="CL190" s="62" t="n">
        <f aca="false">N(M190)</f>
        <v>10</v>
      </c>
      <c r="CM190" s="62" t="n">
        <f aca="false">N(N190)</f>
        <v>50</v>
      </c>
      <c r="CN190" s="62" t="n">
        <f aca="false">ROUNDUP(H190/BZ190,0)</f>
        <v>3</v>
      </c>
      <c r="CO190" s="62" t="n">
        <f aca="false">ROUNDUP(CJ190/BZ190,0)</f>
        <v>0</v>
      </c>
      <c r="CP190" s="65" t="n">
        <f aca="false">IF(CA190=1,0,IFERROR(VLOOKUP(BY190,'Gebinde-Kategorie'!$A$5:$N$45,5,0)+0,0))</f>
        <v>11</v>
      </c>
      <c r="CQ190" s="65" t="n">
        <f aca="false">IFERROR(IF(OR(CF190=1,CF190=2,CF190=3),N(INDEX(Parameter!$I$5:$I$7,CF190)),0),0)</f>
        <v>0</v>
      </c>
      <c r="CR190" s="64" t="n">
        <f aca="false">IF(AND(Parameter!$B$21="Ja",ISNUMBER(W190),N(X190)&gt;0),IFERROR(N(INDEX(Parameter!$L$5:$L$7,W190))*INDEX(Parameter!$E$5:$E$7,W190)*X190/SUMIFS($X$7:$X$1843,$W$7:$W$1843,W190),0),0)</f>
        <v>0</v>
      </c>
      <c r="CS190" s="62" t="n">
        <f aca="false">IF(AND(OR(CG190="L1",CG190="L23",CG190="LIFT"),H190&gt;0),CC190*IF(CR190&gt;0,CR190*MAX(1,H190/X190),IF(CA190=1,CE190,IF(R190&gt;0,CN190/R190,0))/MAX(0.1,N(Parameter!$M$21))),"")</f>
        <v>17.8846153846154</v>
      </c>
      <c r="CT190" s="64" t="n">
        <f aca="false">IF(CS190="","",J190/H190)</f>
        <v>1.16417910447761</v>
      </c>
      <c r="CU190" s="62" t="n">
        <f aca="false">IF(CS190="","",H190*G190)</f>
        <v>1468.64</v>
      </c>
      <c r="CV190" s="63" t="n">
        <f aca="false">IF(CS190="","",(CL190+ROUNDUP(CL190+MAX(CM190,2*(J190/MAX(0.1,N(Einkauf!$C$6))-CL190)),0))/2)</f>
        <v>39</v>
      </c>
      <c r="CW190" s="62" t="n">
        <f aca="false">IF(CS190="","",MAX(0,H190-CV190)*G190)</f>
        <v>1041.2</v>
      </c>
      <c r="CX190" s="62" t="n">
        <f aca="false">IF(CS190="","",CS190*MAX(0,1-CV190/H190))</f>
        <v>12.6793915040184</v>
      </c>
      <c r="CY190" s="64" t="n">
        <f aca="false">IF(CS190="","",PERCENTRANK($CS$7:$CS$1843,CS190)+PERCENTRANK($CU$7:$CU$1843,CU190)+1-PERCENTRANK($CT$7:$CT$1843,CT190))</f>
        <v>1.765</v>
      </c>
      <c r="CZ190" s="72" t="n">
        <f aca="false">IF(CS190="","",CHOOSE(MATCH(Einkauf!$C$5,Parameter!$G$23:$G$27,0),CY190,CS190,CU190,-CT190,CW190)+ROW()/1000000000)</f>
        <v>1.76500019</v>
      </c>
    </row>
    <row r="191" customFormat="false" ht="15" hidden="false" customHeight="false" outlineLevel="0" collapsed="false">
      <c r="A191" s="60" t="s">
        <v>626</v>
      </c>
      <c r="B191" s="60" t="s">
        <v>627</v>
      </c>
      <c r="C191" s="60" t="s">
        <v>206</v>
      </c>
      <c r="D191" s="60" t="s">
        <v>215</v>
      </c>
      <c r="E191" s="60"/>
      <c r="F191" s="60" t="s">
        <v>260</v>
      </c>
      <c r="G191" s="61" t="n">
        <v>185.13</v>
      </c>
      <c r="H191" s="62" t="n">
        <f aca="false">MAX(0,IF(AND(Parameter!$B$21="Ja",ISNUMBER(Y191)),Y191,IF(Parameter!$B$20="Jahresanfang 2025 + Export",BS191+BR191,BR191)))</f>
        <v>5</v>
      </c>
      <c r="I191" s="62" t="n">
        <f aca="false">H191*G191</f>
        <v>925.65</v>
      </c>
      <c r="J191" s="62" t="n">
        <f aca="false">BU191*Parameter!$B$18</f>
        <v>2</v>
      </c>
      <c r="K191" s="63" t="n">
        <v>1.5</v>
      </c>
      <c r="L191" s="64" t="n">
        <v>1.33333333333333</v>
      </c>
      <c r="M191" s="62" t="n">
        <v>0</v>
      </c>
      <c r="N191" s="62" t="n">
        <v>1</v>
      </c>
      <c r="O191" s="65" t="n">
        <v>31</v>
      </c>
      <c r="P191" s="60" t="s">
        <v>210</v>
      </c>
      <c r="Q191" s="62"/>
      <c r="R191" s="65" t="n">
        <f aca="false">IF(CA191=1,0,IFERROR(VLOOKUP(BY191,'Gebinde-Kategorie'!$A$5:$N$45,13,0)+0,0))</f>
        <v>26</v>
      </c>
      <c r="S191" s="66"/>
      <c r="T191" s="67" t="s">
        <v>317</v>
      </c>
      <c r="U191" s="67"/>
      <c r="V191" s="67"/>
      <c r="W191" s="60"/>
      <c r="X191" s="62"/>
      <c r="Y191" s="62"/>
      <c r="Z191" s="60" t="n">
        <v>3</v>
      </c>
      <c r="AA191" s="60" t="n">
        <f aca="false">IF(A191="","",IF(AND(Parameter!$B$21="Ja",ISNUMBER(W191)),W191,IF(AND(Parameter!$E$27="Ja",ISNUMBER(Z191),CD191&lt;&gt;"Nein"),Z191,IF(CD191="2+3",IF(ISNUMBER(SEARCH("grosser Artikel",BV191)),2,IFERROR(VLOOKUP(BY191,Parameter!$F$35:$G$64,2,0),2)),IF(OR(CD191="Nein",CD191=""),"-",CD191)))))</f>
        <v>3</v>
      </c>
      <c r="AB191" s="67"/>
      <c r="AC191" s="68"/>
      <c r="AD191" s="62" t="n">
        <f aca="false">AW191</f>
        <v>2</v>
      </c>
      <c r="AE191" s="62" t="n">
        <f aca="false">MAX(AW191,H191)</f>
        <v>5</v>
      </c>
      <c r="AF191" s="69"/>
      <c r="AG191" s="62" t="n">
        <f aca="false">IF(LEFT(Cockpit!$C$5,1)="A",H191,IF(Parameter!$E$30="MAX-Bestand",IF(CI191=1,CJ191,IF(LEFT(Cockpit!$C$5,1)="B",AM191,MAX(AM191,H191))),ROUNDUP(AK191,0)))</f>
        <v>5</v>
      </c>
      <c r="AH191" s="62" t="n">
        <f aca="false">IF(CA191=1,0,ROUNDUP(AG191/BZ191,0))</f>
        <v>1</v>
      </c>
      <c r="AI191" s="64" t="n">
        <f aca="false">IF(CR191&gt;0,CR191*MAX(1,AG191/X191),IF(CA191=1,IF(AG191&lt;=0,0,CE191*MAX(1,IF(H191&gt;0,AG191/H191,1))),IF(R191&gt;0,AH191/R191,0))/MAX(0.1,N(Parameter!$M$21)))</f>
        <v>0.0384615384615385</v>
      </c>
      <c r="AJ191" s="62" t="n">
        <f aca="false">AI191*CC191</f>
        <v>5.96153846153846</v>
      </c>
      <c r="AK191" s="63" t="n">
        <f aca="false">IF(LEFT(Cockpit!$C$5,1)="A",H191,IF(CI191=1,(CL191+CJ191)/2,IF(LEFT(Cockpit!$C$5,1)="B",(CL191+AM191)/2,MAX((CL191+AM191)/2,H191))))</f>
        <v>5</v>
      </c>
      <c r="AL191" s="62" t="n">
        <f aca="false">AK191*G191</f>
        <v>925.65</v>
      </c>
      <c r="AM191" s="62" t="n">
        <f aca="false">ROUNDUP(CL191+MAX(CM191,2*(J191/IF(CH191&gt;0,CH191,MAX(0.1,N(Cockpit!$C$6)))-CL191)),0)</f>
        <v>2</v>
      </c>
      <c r="AN191" s="63" t="n">
        <f aca="false">IF(AJ191&gt;0,J191/AJ191,-1)</f>
        <v>0.335483870967742</v>
      </c>
      <c r="AO191" s="63" t="n">
        <f aca="false">IF(AND(OR(CG191="L1",CG191="L23",CG191="LIFT"),AJ191&gt;0),SUMIFS($AJ$7:$AJ$1843,$CG$7:$CG$1843,CG191,$AN$7:$AN$1843,"&gt;"&amp;AN191)+SUMIFS($AJ$7:$AJ$1843,$CG$7:$CG$1843,CG191,$AN$7:$AN$1843,AN191,$BX$7:$BX$1843,"&lt;="&amp;BX191),"")</f>
        <v>11168.1347317936</v>
      </c>
      <c r="AP191" s="70" t="n">
        <f aca="false">IF(AO191="",0,MAX(0,MIN(1,(IF(CG191="L1",Parameter!$H$5,IF(CG191="L23",Parameter!$H$6+Parameter!$H$7,Parameter!$H$5+Parameter!$H$6+Parameter!$H$7))-(AO191-AJ191))/AJ191)))</f>
        <v>1</v>
      </c>
      <c r="AQ191" s="62" t="n">
        <f aca="false">IF(LEFT(Cockpit!$I$5,1)="A",H191,IF(Parameter!$E$30="MAX-Bestand",IF(CI191=1,CJ191,IF(LEFT(Cockpit!$I$5,1)="B",AW191,MAX(AW191,H191))),ROUNDUP(AU191,0)))</f>
        <v>5</v>
      </c>
      <c r="AR191" s="62" t="n">
        <f aca="false">IF(CA191=1,0,ROUNDUP(AQ191/BZ191,0))</f>
        <v>1</v>
      </c>
      <c r="AS191" s="64" t="n">
        <f aca="false">IF(CR191&gt;0,CR191*MAX(1,AQ191/X191),IF(CA191=1,IF(AQ191&lt;=0,0,CE191*MAX(1,IF(H191&gt;0,AQ191/H191,1))),IF(R191&gt;0,AR191/R191,0))/MAX(0.1,N(Parameter!$M$21)))</f>
        <v>0.0384615384615385</v>
      </c>
      <c r="AT191" s="62" t="n">
        <f aca="false">AS191*CC191</f>
        <v>5.96153846153846</v>
      </c>
      <c r="AU191" s="63" t="n">
        <f aca="false">IF(LEFT(Cockpit!$I$5,1)="A",H191,IF(CI191=1,(CL191+CJ191)/2,IF(LEFT(Cockpit!$I$5,1)="B",(CL191+AW191)/2,MAX((CL191+AW191)/2,H191))))</f>
        <v>5</v>
      </c>
      <c r="AV191" s="62" t="n">
        <f aca="false">AU191*G191</f>
        <v>925.65</v>
      </c>
      <c r="AW191" s="62" t="n">
        <f aca="false">ROUNDUP(CL191+MAX(CM191,2*(J191/IF(CH191&gt;0,CH191,MAX(0.1,N(Cockpit!$I$6)))-CL191)),0)</f>
        <v>2</v>
      </c>
      <c r="AX191" s="63" t="n">
        <f aca="false">IF(AT191&gt;0,J191/AT191,-1)</f>
        <v>0.335483870967742</v>
      </c>
      <c r="AY191" s="63" t="n">
        <f aca="false">IF(AND(OR(CG191="L1",CG191="L23",CG191="LIFT"),AT191&gt;0),SUMIFS($AT$7:$AT$1843,$CG$7:$CG$1843,CG191,$AX$7:$AX$1843,"&gt;"&amp;AX191)+SUMIFS($AT$7:$AT$1843,$CG$7:$CG$1843,CG191,$AX$7:$AX$1843,AX191,$BX$7:$BX$1843,"&lt;="&amp;BX191),"")</f>
        <v>13690.3493589744</v>
      </c>
      <c r="AZ191" s="70" t="n">
        <f aca="false">IF(AY191="",0,MAX(0,MIN(1,(IF(CG191="L1",Parameter!$H$5,IF(CG191="L23",Parameter!$H$6+Parameter!$H$7,Parameter!$H$5+Parameter!$H$6+Parameter!$H$7))-(AY191-AT191))/AT191)))</f>
        <v>1</v>
      </c>
      <c r="BA191" s="62" t="n">
        <f aca="false">IF(LEFT(Cockpit!$O$5,1)="A",H191,IF(Parameter!$E$30="MAX-Bestand",IF(CI191=1,CJ191,IF(LEFT(Cockpit!$O$5,1)="B",BG191,MAX(BG191,H191))),ROUNDUP(BE191,0)))</f>
        <v>1</v>
      </c>
      <c r="BB191" s="62" t="n">
        <f aca="false">IF(CA191=1,0,ROUNDUP(BA191/BZ191,0))</f>
        <v>1</v>
      </c>
      <c r="BC191" s="64" t="n">
        <f aca="false">IF(CR191&gt;0,CR191*MAX(1,BA191/X191),IF(CA191=1,IF(BA191&lt;=0,0,CE191*MAX(1,IF(H191&gt;0,BA191/H191,1))),IF(R191&gt;0,BB191/R191,0))/MAX(0.1,N(Parameter!$M$21)))</f>
        <v>0.0384615384615385</v>
      </c>
      <c r="BD191" s="62" t="n">
        <f aca="false">BC191*CC191</f>
        <v>5.96153846153846</v>
      </c>
      <c r="BE191" s="63" t="n">
        <f aca="false">IF(LEFT(Cockpit!$O$5,1)="A",H191,IF(CI191=1,(CL191+CJ191)/2,IF(LEFT(Cockpit!$O$5,1)="B",(CL191+BG191)/2,MAX((CL191+BG191)/2,H191))))</f>
        <v>0.5</v>
      </c>
      <c r="BF191" s="62" t="n">
        <f aca="false">BE191*G191</f>
        <v>92.565</v>
      </c>
      <c r="BG191" s="62" t="n">
        <f aca="false">ROUNDUP(CL191+MAX(CM191,2*(J191/IF(CH191&gt;0,CH191,MAX(0.1,N(Cockpit!$O$6)))-CL191)),0)</f>
        <v>1</v>
      </c>
      <c r="BH191" s="63" t="n">
        <f aca="false">IF(BD191&gt;0,J191/BD191,-1)</f>
        <v>0.335483870967742</v>
      </c>
      <c r="BI191" s="63" t="n">
        <f aca="false">IF(AND(OR(CG191="L1",CG191="L23",CG191="LIFT"),BD191&gt;0),SUMIFS($BD$7:$BD$1843,$CG$7:$CG$1843,CG191,$BH$7:$BH$1843,"&gt;"&amp;BH191)+SUMIFS($BD$7:$BD$1843,$CG$7:$CG$1843,CG191,$BH$7:$BH$1843,BH191,$BX$7:$BX$1843,"&lt;="&amp;BX191),"")</f>
        <v>11553.2312271062</v>
      </c>
      <c r="BJ191" s="70" t="n">
        <f aca="false">IF(BI191="",0,MAX(0,MIN(1,(IF(CG191="L1",Parameter!$H$5,IF(CG191="L23",Parameter!$H$6+Parameter!$H$7,Parameter!$H$5+Parameter!$H$6+Parameter!$H$7))-(BI191-BD191))/BD191)))</f>
        <v>1</v>
      </c>
      <c r="BK191" s="60" t="str">
        <f aca="false">IF(AJ191&lt;=0,"",IF(CG191="Aussen","Aussenlager",IF(CG191="-","Nicht im Lift",IF(AP191&gt;=1,"Lift",IF(AP191&lt;=0,"Aussenlager","teilweise")))))</f>
        <v>Lift</v>
      </c>
      <c r="BL191" s="60" t="str">
        <f aca="false">IF(AT191&lt;=0,"",IF(CG191="Aussen","Aussenlager",IF(CG191="-","Nicht im Lift",IF(AZ191&gt;=1,"Lift",IF(AZ191&lt;=0,"Aussenlager","teilweise")))))</f>
        <v>Lift</v>
      </c>
      <c r="BM191" s="60" t="str">
        <f aca="false">IF(BD191&lt;=0,"",IF(CG191="Aussen","Aussenlager",IF(CG191="-","Nicht im Lift",IF(BJ191&gt;=1,"Lift",IF(BJ191&lt;=0,"Aussenlager","teilweise")))))</f>
        <v>Lift</v>
      </c>
      <c r="BN191" s="60" t="str">
        <f aca="false">IF(A191="","",IF(BW191=1,"Neu; ","")&amp;IF(AND(BW191=0,BR191&lt;0),"negativer Bestand (Export "&amp;BR191&amp;"); ","")&amp;IF(J191&lt;=0,"Kein Verbrauch; ","")&amp;IF(CR191&gt;0,"Lift "&amp;W191&amp;" lt. Liftbericht (Fach "&amp;X191&amp;" Stk); ",IF(CB191=1,"Gebinde geschätzt ("&amp;T191&amp;"); ",IF(CA191=1,"Lose – Tablare geschätzt; ","")))&amp;IF(H191&gt;AW191,"Überbestand "&amp;ROUND(H191-AW191,0)&amp;" Stk / CHF "&amp;ROUND((H191-AW191)*G191,0)&amp;"; ","")&amp;IF(AND(CI191=1,CJ191&lt;CK191),"MAX &lt; MB+LG; ","")&amp;IF(AND(CQ191&gt;0,CP191*10&gt;CQ191),"zu hoch für Tablar; ","")&amp;IF(AND(BW191=0,OR(CI191=1,AB191&lt;&gt;"",U191&lt;&gt;"",V191&lt;&gt;"",AC191&lt;&gt;"")),"manuell übersteuert; ","")&amp;IF(AND(CA191=0,R191=0),"Gebinde unbekannt / Stellmass fehlt; ","")&amp;IF(AND(CA191=0,N(V191)&lt;=0,N(Q191)&lt;=0),"Menge pro Gebinde fehlt (Ist = 1 Gebinde); ","")&amp;BV191)</f>
        <v>Gebinde geschätzt (Klein); Überbestand 3 Stk / CHF 555; Menge pro Gebinde fehlt (Ist = 1 Gebinde); </v>
      </c>
      <c r="BO191" s="60"/>
      <c r="BP191" s="60"/>
      <c r="BQ191" s="67"/>
      <c r="BR191" s="62" t="n">
        <v>5</v>
      </c>
      <c r="BS191" s="62" t="n">
        <v>0</v>
      </c>
      <c r="BT191" s="61" t="n">
        <v>925.65</v>
      </c>
      <c r="BU191" s="62" t="n">
        <v>2</v>
      </c>
      <c r="BV191" s="60"/>
      <c r="BW191" s="65" t="n">
        <v>0</v>
      </c>
      <c r="BX191" s="65" t="n">
        <v>191</v>
      </c>
      <c r="BY191" s="60" t="str">
        <f aca="false">IF(U191&lt;&gt;"",UPPER(TRIM(U191)),IF(CB191=1,UPPER(VLOOKUP(T191,Parameter!$I$27:$K$29,2,0)),IF(P191="","LOSE",P191)))</f>
        <v>S51</v>
      </c>
      <c r="BZ191" s="62" t="n">
        <f aca="false">IF(BY191="LOSE",1,IF(N(V191)&gt;0,V191,IF(CB191=1,MAX(1,N(VLOOKUP(T191,Parameter!$I$27:$K$29,3,0)),H191,N(N191)),IF(N(Q191)&gt;0,Q191,MAX(1,H191)))))</f>
        <v>20</v>
      </c>
      <c r="CA191" s="65" t="n">
        <f aca="false">IF(BY191="LOSE",1,0)</f>
        <v>0</v>
      </c>
      <c r="CB191" s="65" t="n">
        <f aca="false">IF(AND(U191="",OR(P191="",P191="LOSE"),T191&lt;&gt;"",N(S191)&lt;=0,ISNUMBER(MATCH(T191,Parameter!$I$27:$I$29,0))),1,0)</f>
        <v>1</v>
      </c>
      <c r="CC191" s="65" t="n">
        <f aca="false">IF(CR191&gt;0,INDEX(Parameter!$H$5:$H$7,W191)/INDEX(Parameter!$E$5:$E$7,W191),IF(AND(CA191=0,N(IFERROR(VLOOKUP(BY191,'Gebinde-Kategorie'!$A$5:$N$45,14,0),0))&gt;0),VLOOKUP(BY191,'Gebinde-Kategorie'!$A$5:$N$45,14,0)*10+Parameter!$M$23,Parameter!$M$24))</f>
        <v>155</v>
      </c>
      <c r="CD191" s="60" t="str">
        <f aca="false">IF(AND(Parameter!$B$19="Ja",E191&lt;&gt;"",ISNUMBER(MATCH(E191,Parameter!$I$35:$I$52,0))),VLOOKUP(E191,Parameter!$I$35:$J$52,2,0),IFERROR(VLOOKUP(D191,Parameter!$A$35:$C$64,2,0),"Nein"))</f>
        <v>2+3</v>
      </c>
      <c r="CE191" s="64" t="n">
        <f aca="false">IF(CA191=0,0,IF(N(S191)&gt;0,S191,IFERROR(VLOOKUP(D191,Parameter!$A$35:$C$64,3,0)+0,0)))</f>
        <v>0</v>
      </c>
      <c r="CF191" s="60" t="n">
        <f aca="false">IF(AB191&lt;&gt;"",AB191,AA191)</f>
        <v>3</v>
      </c>
      <c r="CG191" s="60" t="str">
        <f aca="false">IF(OR(CF191=1,CF191=2,CF191=3),IF(Parameter!$E$27="Ja","LIFT",IF(CF191=1,"L1","L23")),IF(CF191="Aussen","Aussen","-"))</f>
        <v>LIFT</v>
      </c>
      <c r="CH191" s="71" t="n">
        <f aca="false">IF(N(AC191)&gt;0,AC191,0)</f>
        <v>0</v>
      </c>
      <c r="CI191" s="65" t="n">
        <f aca="false">IF(ISNUMBER(AF191),1,0)</f>
        <v>0</v>
      </c>
      <c r="CJ191" s="62" t="n">
        <f aca="false">N(AF191)</f>
        <v>0</v>
      </c>
      <c r="CK191" s="62" t="n">
        <f aca="false">N(M191)+N(N191)</f>
        <v>1</v>
      </c>
      <c r="CL191" s="62" t="n">
        <f aca="false">N(M191)</f>
        <v>0</v>
      </c>
      <c r="CM191" s="62" t="n">
        <f aca="false">N(N191)</f>
        <v>1</v>
      </c>
      <c r="CN191" s="62" t="n">
        <f aca="false">ROUNDUP(H191/BZ191,0)</f>
        <v>1</v>
      </c>
      <c r="CO191" s="62" t="n">
        <f aca="false">ROUNDUP(CJ191/BZ191,0)</f>
        <v>0</v>
      </c>
      <c r="CP191" s="65" t="n">
        <f aca="false">IF(CA191=1,0,IFERROR(VLOOKUP(BY191,'Gebinde-Kategorie'!$A$5:$N$45,5,0)+0,0))</f>
        <v>11</v>
      </c>
      <c r="CQ191" s="65" t="n">
        <f aca="false">IFERROR(IF(OR(CF191=1,CF191=2,CF191=3),N(INDEX(Parameter!$I$5:$I$7,CF191)),0),0)</f>
        <v>0</v>
      </c>
      <c r="CR191" s="64" t="n">
        <f aca="false">IF(AND(Parameter!$B$21="Ja",ISNUMBER(W191),N(X191)&gt;0),IFERROR(N(INDEX(Parameter!$L$5:$L$7,W191))*INDEX(Parameter!$E$5:$E$7,W191)*X191/SUMIFS($X$7:$X$1843,$W$7:$W$1843,W191),0),0)</f>
        <v>0</v>
      </c>
      <c r="CS191" s="62" t="n">
        <f aca="false">IF(AND(OR(CG191="L1",CG191="L23",CG191="LIFT"),H191&gt;0),CC191*IF(CR191&gt;0,CR191*MAX(1,H191/X191),IF(CA191=1,CE191,IF(R191&gt;0,CN191/R191,0))/MAX(0.1,N(Parameter!$M$21))),"")</f>
        <v>5.96153846153846</v>
      </c>
      <c r="CT191" s="64" t="n">
        <f aca="false">IF(CS191="","",J191/H191)</f>
        <v>0.4</v>
      </c>
      <c r="CU191" s="62" t="n">
        <f aca="false">IF(CS191="","",H191*G191)</f>
        <v>925.65</v>
      </c>
      <c r="CV191" s="63" t="n">
        <f aca="false">IF(CS191="","",(CL191+ROUNDUP(CL191+MAX(CM191,2*(J191/MAX(0.1,N(Einkauf!$C$6))-CL191)),0))/2)</f>
        <v>0.5</v>
      </c>
      <c r="CW191" s="62" t="n">
        <f aca="false">IF(CS191="","",MAX(0,H191-CV191)*G191)</f>
        <v>833.085</v>
      </c>
      <c r="CX191" s="62" t="n">
        <f aca="false">IF(CS191="","",CS191*MAX(0,1-CV191/H191))</f>
        <v>5.36538461538462</v>
      </c>
      <c r="CY191" s="64" t="n">
        <f aca="false">IF(CS191="","",PERCENTRANK($CS$7:$CS$1843,CS191)+PERCENTRANK($CU$7:$CU$1843,CU191)+1-PERCENTRANK($CT$7:$CT$1843,CT191))</f>
        <v>1.467</v>
      </c>
      <c r="CZ191" s="72" t="n">
        <f aca="false">IF(CS191="","",CHOOSE(MATCH(Einkauf!$C$5,Parameter!$G$23:$G$27,0),CY191,CS191,CU191,-CT191,CW191)+ROW()/1000000000)</f>
        <v>1.467000191</v>
      </c>
    </row>
    <row r="192" customFormat="false" ht="15" hidden="false" customHeight="false" outlineLevel="0" collapsed="false">
      <c r="A192" s="60" t="s">
        <v>628</v>
      </c>
      <c r="B192" s="60" t="s">
        <v>629</v>
      </c>
      <c r="C192" s="60" t="s">
        <v>206</v>
      </c>
      <c r="D192" s="60" t="s">
        <v>226</v>
      </c>
      <c r="E192" s="60" t="s">
        <v>227</v>
      </c>
      <c r="F192" s="60" t="s">
        <v>260</v>
      </c>
      <c r="G192" s="61" t="n">
        <v>4.88</v>
      </c>
      <c r="H192" s="62" t="n">
        <f aca="false">MAX(0,IF(AND(Parameter!$B$21="Ja",ISNUMBER(Y192)),Y192,IF(Parameter!$B$20="Jahresanfang 2025 + Export",BS192+BR192,BR192)))</f>
        <v>335</v>
      </c>
      <c r="I192" s="62" t="n">
        <f aca="false">H192*G192</f>
        <v>1634.8</v>
      </c>
      <c r="J192" s="62" t="n">
        <f aca="false">BU192*Parameter!$B$18</f>
        <v>354</v>
      </c>
      <c r="K192" s="63" t="n">
        <v>175</v>
      </c>
      <c r="L192" s="64" t="n">
        <v>2.02285714285714</v>
      </c>
      <c r="M192" s="62" t="n">
        <v>20</v>
      </c>
      <c r="N192" s="62" t="n">
        <v>355</v>
      </c>
      <c r="O192" s="65" t="n">
        <v>21</v>
      </c>
      <c r="P192" s="60" t="s">
        <v>463</v>
      </c>
      <c r="Q192" s="62" t="n">
        <v>241</v>
      </c>
      <c r="R192" s="65" t="n">
        <f aca="false">IF(CA192=1,0,IFERROR(VLOOKUP(BY192,'Gebinde-Kategorie'!$A$5:$N$45,13,0)+0,0))</f>
        <v>104</v>
      </c>
      <c r="S192" s="66"/>
      <c r="T192" s="67"/>
      <c r="U192" s="67"/>
      <c r="V192" s="67"/>
      <c r="W192" s="60"/>
      <c r="X192" s="62"/>
      <c r="Y192" s="62"/>
      <c r="Z192" s="60" t="n">
        <v>3</v>
      </c>
      <c r="AA192" s="60" t="n">
        <f aca="false">IF(A192="","",IF(AND(Parameter!$B$21="Ja",ISNUMBER(W192)),W192,IF(AND(Parameter!$E$27="Ja",ISNUMBER(Z192),CD192&lt;&gt;"Nein"),Z192,IF(CD192="2+3",IF(ISNUMBER(SEARCH("grosser Artikel",BV192)),2,IFERROR(VLOOKUP(BY192,Parameter!$F$35:$G$64,2,0),2)),IF(OR(CD192="Nein",CD192=""),"-",CD192)))))</f>
        <v>3</v>
      </c>
      <c r="AB192" s="67"/>
      <c r="AC192" s="68"/>
      <c r="AD192" s="62" t="n">
        <f aca="false">AW192</f>
        <v>375</v>
      </c>
      <c r="AE192" s="62" t="n">
        <f aca="false">MAX(AW192,H192)</f>
        <v>375</v>
      </c>
      <c r="AF192" s="69"/>
      <c r="AG192" s="62" t="n">
        <f aca="false">IF(LEFT(Cockpit!$C$5,1)="A",H192,IF(Parameter!$E$30="MAX-Bestand",IF(CI192=1,CJ192,IF(LEFT(Cockpit!$C$5,1)="B",AM192,MAX(AM192,H192))),ROUNDUP(AK192,0)))</f>
        <v>335</v>
      </c>
      <c r="AH192" s="62" t="n">
        <f aca="false">IF(CA192=1,0,ROUNDUP(AG192/BZ192,0))</f>
        <v>2</v>
      </c>
      <c r="AI192" s="64" t="n">
        <f aca="false">IF(CR192&gt;0,CR192*MAX(1,AG192/X192),IF(CA192=1,IF(AG192&lt;=0,0,CE192*MAX(1,IF(H192&gt;0,AG192/H192,1))),IF(R192&gt;0,AH192/R192,0))/MAX(0.1,N(Parameter!$M$21)))</f>
        <v>0.0192307692307692</v>
      </c>
      <c r="AJ192" s="62" t="n">
        <f aca="false">AI192*CC192</f>
        <v>2.98076923076923</v>
      </c>
      <c r="AK192" s="63" t="n">
        <f aca="false">IF(LEFT(Cockpit!$C$5,1)="A",H192,IF(CI192=1,(CL192+CJ192)/2,IF(LEFT(Cockpit!$C$5,1)="B",(CL192+AM192)/2,MAX((CL192+AM192)/2,H192))))</f>
        <v>335</v>
      </c>
      <c r="AL192" s="62" t="n">
        <f aca="false">AK192*G192</f>
        <v>1634.8</v>
      </c>
      <c r="AM192" s="62" t="n">
        <f aca="false">ROUNDUP(CL192+MAX(CM192,2*(J192/IF(CH192&gt;0,CH192,MAX(0.1,N(Cockpit!$C$6)))-CL192)),0)</f>
        <v>375</v>
      </c>
      <c r="AN192" s="63" t="n">
        <f aca="false">IF(AJ192&gt;0,J192/AJ192,-1)</f>
        <v>118.761290322581</v>
      </c>
      <c r="AO192" s="63" t="n">
        <f aca="false">IF(AND(OR(CG192="L1",CG192="L23",CG192="LIFT"),AJ192&gt;0),SUMIFS($AJ$7:$AJ$1843,$CG$7:$CG$1843,CG192,$AN$7:$AN$1843,"&gt;"&amp;AN192)+SUMIFS($AJ$7:$AJ$1843,$CG$7:$CG$1843,CG192,$AN$7:$AN$1843,AN192,$BX$7:$BX$1843,"&lt;="&amp;BX192),"")</f>
        <v>681.202380952381</v>
      </c>
      <c r="AP192" s="70" t="n">
        <f aca="false">IF(AO192="",0,MAX(0,MIN(1,(IF(CG192="L1",Parameter!$H$5,IF(CG192="L23",Parameter!$H$6+Parameter!$H$7,Parameter!$H$5+Parameter!$H$6+Parameter!$H$7))-(AO192-AJ192))/AJ192)))</f>
        <v>1</v>
      </c>
      <c r="AQ192" s="62" t="n">
        <f aca="false">IF(LEFT(Cockpit!$I$5,1)="A",H192,IF(Parameter!$E$30="MAX-Bestand",IF(CI192=1,CJ192,IF(LEFT(Cockpit!$I$5,1)="B",AW192,MAX(AW192,H192))),ROUNDUP(AU192,0)))</f>
        <v>335</v>
      </c>
      <c r="AR192" s="62" t="n">
        <f aca="false">IF(CA192=1,0,ROUNDUP(AQ192/BZ192,0))</f>
        <v>2</v>
      </c>
      <c r="AS192" s="64" t="n">
        <f aca="false">IF(CR192&gt;0,CR192*MAX(1,AQ192/X192),IF(CA192=1,IF(AQ192&lt;=0,0,CE192*MAX(1,IF(H192&gt;0,AQ192/H192,1))),IF(R192&gt;0,AR192/R192,0))/MAX(0.1,N(Parameter!$M$21)))</f>
        <v>0.0192307692307692</v>
      </c>
      <c r="AT192" s="62" t="n">
        <f aca="false">AS192*CC192</f>
        <v>2.98076923076923</v>
      </c>
      <c r="AU192" s="63" t="n">
        <f aca="false">IF(LEFT(Cockpit!$I$5,1)="A",H192,IF(CI192=1,(CL192+CJ192)/2,IF(LEFT(Cockpit!$I$5,1)="B",(CL192+AW192)/2,MAX((CL192+AW192)/2,H192))))</f>
        <v>335</v>
      </c>
      <c r="AV192" s="62" t="n">
        <f aca="false">AU192*G192</f>
        <v>1634.8</v>
      </c>
      <c r="AW192" s="62" t="n">
        <f aca="false">ROUNDUP(CL192+MAX(CM192,2*(J192/IF(CH192&gt;0,CH192,MAX(0.1,N(Cockpit!$I$6)))-CL192)),0)</f>
        <v>375</v>
      </c>
      <c r="AX192" s="63" t="n">
        <f aca="false">IF(AT192&gt;0,J192/AT192,-1)</f>
        <v>118.761290322581</v>
      </c>
      <c r="AY192" s="63" t="n">
        <f aca="false">IF(AND(OR(CG192="L1",CG192="L23",CG192="LIFT"),AT192&gt;0),SUMIFS($AT$7:$AT$1843,$CG$7:$CG$1843,CG192,$AX$7:$AX$1843,"&gt;"&amp;AX192)+SUMIFS($AT$7:$AT$1843,$CG$7:$CG$1843,CG192,$AX$7:$AX$1843,AX192,$BX$7:$BX$1843,"&lt;="&amp;BX192),"")</f>
        <v>795.092032967033</v>
      </c>
      <c r="AZ192" s="70" t="n">
        <f aca="false">IF(AY192="",0,MAX(0,MIN(1,(IF(CG192="L1",Parameter!$H$5,IF(CG192="L23",Parameter!$H$6+Parameter!$H$7,Parameter!$H$5+Parameter!$H$6+Parameter!$H$7))-(AY192-AT192))/AT192)))</f>
        <v>1</v>
      </c>
      <c r="BA192" s="62" t="n">
        <f aca="false">IF(LEFT(Cockpit!$O$5,1)="A",H192,IF(Parameter!$E$30="MAX-Bestand",IF(CI192=1,CJ192,IF(LEFT(Cockpit!$O$5,1)="B",BG192,MAX(BG192,H192))),ROUNDUP(BE192,0)))</f>
        <v>198</v>
      </c>
      <c r="BB192" s="62" t="n">
        <f aca="false">IF(CA192=1,0,ROUNDUP(BA192/BZ192,0))</f>
        <v>1</v>
      </c>
      <c r="BC192" s="64" t="n">
        <f aca="false">IF(CR192&gt;0,CR192*MAX(1,BA192/X192),IF(CA192=1,IF(BA192&lt;=0,0,CE192*MAX(1,IF(H192&gt;0,BA192/H192,1))),IF(R192&gt;0,BB192/R192,0))/MAX(0.1,N(Parameter!$M$21)))</f>
        <v>0.00961538461538462</v>
      </c>
      <c r="BD192" s="62" t="n">
        <f aca="false">BC192*CC192</f>
        <v>1.49038461538462</v>
      </c>
      <c r="BE192" s="63" t="n">
        <f aca="false">IF(LEFT(Cockpit!$O$5,1)="A",H192,IF(CI192=1,(CL192+CJ192)/2,IF(LEFT(Cockpit!$O$5,1)="B",(CL192+BG192)/2,MAX((CL192+BG192)/2,H192))))</f>
        <v>197.5</v>
      </c>
      <c r="BF192" s="62" t="n">
        <f aca="false">BE192*G192</f>
        <v>963.8</v>
      </c>
      <c r="BG192" s="62" t="n">
        <f aca="false">ROUNDUP(CL192+MAX(CM192,2*(J192/IF(CH192&gt;0,CH192,MAX(0.1,N(Cockpit!$O$6)))-CL192)),0)</f>
        <v>375</v>
      </c>
      <c r="BH192" s="63" t="n">
        <f aca="false">IF(BD192&gt;0,J192/BD192,-1)</f>
        <v>237.522580645161</v>
      </c>
      <c r="BI192" s="63" t="n">
        <f aca="false">IF(AND(OR(CG192="L1",CG192="L23",CG192="LIFT"),BD192&gt;0),SUMIFS($BD$7:$BD$1843,$CG$7:$CG$1843,CG192,$BH$7:$BH$1843,"&gt;"&amp;BH192)+SUMIFS($BD$7:$BD$1843,$CG$7:$CG$1843,CG192,$BH$7:$BH$1843,BH192,$BX$7:$BX$1843,"&lt;="&amp;BX192),"")</f>
        <v>315.799908424908</v>
      </c>
      <c r="BJ192" s="70" t="n">
        <f aca="false">IF(BI192="",0,MAX(0,MIN(1,(IF(CG192="L1",Parameter!$H$5,IF(CG192="L23",Parameter!$H$6+Parameter!$H$7,Parameter!$H$5+Parameter!$H$6+Parameter!$H$7))-(BI192-BD192))/BD192)))</f>
        <v>1</v>
      </c>
      <c r="BK192" s="60" t="str">
        <f aca="false">IF(AJ192&lt;=0,"",IF(CG192="Aussen","Aussenlager",IF(CG192="-","Nicht im Lift",IF(AP192&gt;=1,"Lift",IF(AP192&lt;=0,"Aussenlager","teilweise")))))</f>
        <v>Lift</v>
      </c>
      <c r="BL192" s="60" t="str">
        <f aca="false">IF(AT192&lt;=0,"",IF(CG192="Aussen","Aussenlager",IF(CG192="-","Nicht im Lift",IF(AZ192&gt;=1,"Lift",IF(AZ192&lt;=0,"Aussenlager","teilweise")))))</f>
        <v>Lift</v>
      </c>
      <c r="BM192" s="60" t="str">
        <f aca="false">IF(BD192&lt;=0,"",IF(CG192="Aussen","Aussenlager",IF(CG192="-","Nicht im Lift",IF(BJ192&gt;=1,"Lift",IF(BJ192&lt;=0,"Aussenlager","teilweise")))))</f>
        <v>Lift</v>
      </c>
      <c r="BN192" s="60" t="str">
        <f aca="false">IF(A192="","",IF(BW192=1,"Neu; ","")&amp;IF(AND(BW192=0,BR192&lt;0),"negativer Bestand (Export "&amp;BR192&amp;"); ","")&amp;IF(J192&lt;=0,"Kein Verbrauch; ","")&amp;IF(CR192&gt;0,"Lift "&amp;W192&amp;" lt. Liftbericht (Fach "&amp;X192&amp;" Stk); ",IF(CB192=1,"Gebinde geschätzt ("&amp;T192&amp;"); ",IF(CA192=1,"Lose – Tablare geschätzt; ","")))&amp;IF(H192&gt;AW192,"Überbestand "&amp;ROUND(H192-AW192,0)&amp;" Stk / CHF "&amp;ROUND((H192-AW192)*G192,0)&amp;"; ","")&amp;IF(AND(CI192=1,CJ192&lt;CK192),"MAX &lt; MB+LG; ","")&amp;IF(AND(CQ192&gt;0,CP192*10&gt;CQ192),"zu hoch für Tablar; ","")&amp;IF(AND(BW192=0,OR(CI192=1,AB192&lt;&gt;"",U192&lt;&gt;"",V192&lt;&gt;"",AC192&lt;&gt;"")),"manuell übersteuert; ","")&amp;IF(AND(CA192=0,R192=0),"Gebinde unbekannt / Stellmass fehlt; ","")&amp;IF(AND(CA192=0,N(V192)&lt;=0,N(Q192)&lt;=0),"Menge pro Gebinde fehlt (Ist = 1 Gebinde); ","")&amp;BV192)</f>
        <v/>
      </c>
      <c r="BO192" s="60"/>
      <c r="BP192" s="60"/>
      <c r="BQ192" s="67"/>
      <c r="BR192" s="62" t="n">
        <v>216</v>
      </c>
      <c r="BS192" s="62" t="n">
        <v>119</v>
      </c>
      <c r="BT192" s="61" t="n">
        <v>900.630000000002</v>
      </c>
      <c r="BU192" s="62" t="n">
        <v>354</v>
      </c>
      <c r="BV192" s="60"/>
      <c r="BW192" s="65" t="n">
        <v>0</v>
      </c>
      <c r="BX192" s="65" t="n">
        <v>192</v>
      </c>
      <c r="BY192" s="60" t="str">
        <f aca="false">IF(U192&lt;&gt;"",UPPER(TRIM(U192)),IF(CB192=1,UPPER(VLOOKUP(T192,Parameter!$I$27:$K$29,2,0)),IF(P192="","LOSE",P192)))</f>
        <v>S32</v>
      </c>
      <c r="BZ192" s="62" t="n">
        <f aca="false">IF(BY192="LOSE",1,IF(N(V192)&gt;0,V192,IF(CB192=1,MAX(1,N(VLOOKUP(T192,Parameter!$I$27:$K$29,3,0)),H192,N(N192)),IF(N(Q192)&gt;0,Q192,MAX(1,H192)))))</f>
        <v>241</v>
      </c>
      <c r="CA192" s="65" t="n">
        <f aca="false">IF(BY192="LOSE",1,0)</f>
        <v>0</v>
      </c>
      <c r="CB192" s="65" t="n">
        <f aca="false">IF(AND(U192="",OR(P192="",P192="LOSE"),T192&lt;&gt;"",N(S192)&lt;=0,ISNUMBER(MATCH(T192,Parameter!$I$27:$I$29,0))),1,0)</f>
        <v>0</v>
      </c>
      <c r="CC192" s="65" t="n">
        <f aca="false">IF(CR192&gt;0,INDEX(Parameter!$H$5:$H$7,W192)/INDEX(Parameter!$E$5:$E$7,W192),IF(AND(CA192=0,N(IFERROR(VLOOKUP(BY192,'Gebinde-Kategorie'!$A$5:$N$45,14,0),0))&gt;0),VLOOKUP(BY192,'Gebinde-Kategorie'!$A$5:$N$45,14,0)*10+Parameter!$M$23,Parameter!$M$24))</f>
        <v>155</v>
      </c>
      <c r="CD192" s="60" t="str">
        <f aca="false">IF(AND(Parameter!$B$19="Ja",E192&lt;&gt;"",ISNUMBER(MATCH(E192,Parameter!$I$35:$I$52,0))),VLOOKUP(E192,Parameter!$I$35:$J$52,2,0),IFERROR(VLOOKUP(D192,Parameter!$A$35:$C$64,2,0),"Nein"))</f>
        <v>2+3</v>
      </c>
      <c r="CE192" s="64" t="n">
        <f aca="false">IF(CA192=0,0,IF(N(S192)&gt;0,S192,IFERROR(VLOOKUP(D192,Parameter!$A$35:$C$64,3,0)+0,0)))</f>
        <v>0</v>
      </c>
      <c r="CF192" s="60" t="n">
        <f aca="false">IF(AB192&lt;&gt;"",AB192,AA192)</f>
        <v>3</v>
      </c>
      <c r="CG192" s="60" t="str">
        <f aca="false">IF(OR(CF192=1,CF192=2,CF192=3),IF(Parameter!$E$27="Ja","LIFT",IF(CF192=1,"L1","L23")),IF(CF192="Aussen","Aussen","-"))</f>
        <v>LIFT</v>
      </c>
      <c r="CH192" s="71" t="n">
        <f aca="false">IF(N(AC192)&gt;0,AC192,0)</f>
        <v>0</v>
      </c>
      <c r="CI192" s="65" t="n">
        <f aca="false">IF(ISNUMBER(AF192),1,0)</f>
        <v>0</v>
      </c>
      <c r="CJ192" s="62" t="n">
        <f aca="false">N(AF192)</f>
        <v>0</v>
      </c>
      <c r="CK192" s="62" t="n">
        <f aca="false">N(M192)+N(N192)</f>
        <v>375</v>
      </c>
      <c r="CL192" s="62" t="n">
        <f aca="false">N(M192)</f>
        <v>20</v>
      </c>
      <c r="CM192" s="62" t="n">
        <f aca="false">N(N192)</f>
        <v>355</v>
      </c>
      <c r="CN192" s="62" t="n">
        <f aca="false">ROUNDUP(H192/BZ192,0)</f>
        <v>2</v>
      </c>
      <c r="CO192" s="62" t="n">
        <f aca="false">ROUNDUP(CJ192/BZ192,0)</f>
        <v>0</v>
      </c>
      <c r="CP192" s="65" t="n">
        <f aca="false">IF(CA192=1,0,IFERROR(VLOOKUP(BY192,'Gebinde-Kategorie'!$A$5:$N$45,5,0)+0,0))</f>
        <v>8</v>
      </c>
      <c r="CQ192" s="65" t="n">
        <f aca="false">IFERROR(IF(OR(CF192=1,CF192=2,CF192=3),N(INDEX(Parameter!$I$5:$I$7,CF192)),0),0)</f>
        <v>0</v>
      </c>
      <c r="CR192" s="64" t="n">
        <f aca="false">IF(AND(Parameter!$B$21="Ja",ISNUMBER(W192),N(X192)&gt;0),IFERROR(N(INDEX(Parameter!$L$5:$L$7,W192))*INDEX(Parameter!$E$5:$E$7,W192)*X192/SUMIFS($X$7:$X$1843,$W$7:$W$1843,W192),0),0)</f>
        <v>0</v>
      </c>
      <c r="CS192" s="62" t="n">
        <f aca="false">IF(AND(OR(CG192="L1",CG192="L23",CG192="LIFT"),H192&gt;0),CC192*IF(CR192&gt;0,CR192*MAX(1,H192/X192),IF(CA192=1,CE192,IF(R192&gt;0,CN192/R192,0))/MAX(0.1,N(Parameter!$M$21))),"")</f>
        <v>2.98076923076923</v>
      </c>
      <c r="CT192" s="64" t="n">
        <f aca="false">IF(CS192="","",J192/H192)</f>
        <v>1.05671641791045</v>
      </c>
      <c r="CU192" s="62" t="n">
        <f aca="false">IF(CS192="","",H192*G192)</f>
        <v>1634.8</v>
      </c>
      <c r="CV192" s="63" t="n">
        <f aca="false">IF(CS192="","",(CL192+ROUNDUP(CL192+MAX(CM192,2*(J192/MAX(0.1,N(Einkauf!$C$6))-CL192)),0))/2)</f>
        <v>197.5</v>
      </c>
      <c r="CW192" s="62" t="n">
        <f aca="false">IF(CS192="","",MAX(0,H192-CV192)*G192)</f>
        <v>671</v>
      </c>
      <c r="CX192" s="62" t="n">
        <f aca="false">IF(CS192="","",CS192*MAX(0,1-CV192/H192))</f>
        <v>1.22345005740528</v>
      </c>
      <c r="CY192" s="64" t="n">
        <f aca="false">IF(CS192="","",PERCENTRANK($CS$7:$CS$1843,CS192)+PERCENTRANK($CU$7:$CU$1843,CU192)+1-PERCENTRANK($CT$7:$CT$1843,CT192))</f>
        <v>1.268</v>
      </c>
      <c r="CZ192" s="72" t="n">
        <f aca="false">IF(CS192="","",CHOOSE(MATCH(Einkauf!$C$5,Parameter!$G$23:$G$27,0),CY192,CS192,CU192,-CT192,CW192)+ROW()/1000000000)</f>
        <v>1.268000192</v>
      </c>
    </row>
    <row r="193" customFormat="false" ht="15" hidden="false" customHeight="false" outlineLevel="0" collapsed="false">
      <c r="A193" s="60" t="s">
        <v>630</v>
      </c>
      <c r="B193" s="60" t="s">
        <v>631</v>
      </c>
      <c r="C193" s="60" t="s">
        <v>206</v>
      </c>
      <c r="D193" s="60" t="s">
        <v>226</v>
      </c>
      <c r="E193" s="60"/>
      <c r="F193" s="60" t="s">
        <v>260</v>
      </c>
      <c r="G193" s="61" t="n">
        <v>54.41</v>
      </c>
      <c r="H193" s="62" t="n">
        <f aca="false">MAX(0,IF(AND(Parameter!$B$21="Ja",ISNUMBER(Y193)),Y193,IF(Parameter!$B$20="Jahresanfang 2025 + Export",BS193+BR193,BR193)))</f>
        <v>16</v>
      </c>
      <c r="I193" s="62" t="n">
        <f aca="false">H193*G193</f>
        <v>870.56</v>
      </c>
      <c r="J193" s="62" t="n">
        <f aca="false">BU193*Parameter!$B$18</f>
        <v>40</v>
      </c>
      <c r="K193" s="63" t="n">
        <v>8</v>
      </c>
      <c r="L193" s="64" t="n">
        <v>5</v>
      </c>
      <c r="M193" s="62" t="n">
        <v>3</v>
      </c>
      <c r="N193" s="62" t="n">
        <v>40</v>
      </c>
      <c r="O193" s="65" t="n">
        <v>35</v>
      </c>
      <c r="P193" s="60" t="s">
        <v>463</v>
      </c>
      <c r="Q193" s="62" t="n">
        <v>40</v>
      </c>
      <c r="R193" s="65" t="n">
        <f aca="false">IF(CA193=1,0,IFERROR(VLOOKUP(BY193,'Gebinde-Kategorie'!$A$5:$N$45,13,0)+0,0))</f>
        <v>104</v>
      </c>
      <c r="S193" s="66"/>
      <c r="T193" s="67"/>
      <c r="U193" s="67"/>
      <c r="V193" s="67"/>
      <c r="W193" s="60"/>
      <c r="X193" s="62"/>
      <c r="Y193" s="62"/>
      <c r="Z193" s="60" t="n">
        <v>1</v>
      </c>
      <c r="AA193" s="60" t="n">
        <f aca="false">IF(A193="","",IF(AND(Parameter!$B$21="Ja",ISNUMBER(W193)),W193,IF(AND(Parameter!$E$27="Ja",ISNUMBER(Z193),CD193&lt;&gt;"Nein"),Z193,IF(CD193="2+3",IF(ISNUMBER(SEARCH("grosser Artikel",BV193)),2,IFERROR(VLOOKUP(BY193,Parameter!$F$35:$G$64,2,0),2)),IF(OR(CD193="Nein",CD193=""),"-",CD193)))))</f>
        <v>1</v>
      </c>
      <c r="AB193" s="67"/>
      <c r="AC193" s="68"/>
      <c r="AD193" s="62" t="n">
        <f aca="false">AW193</f>
        <v>43</v>
      </c>
      <c r="AE193" s="62" t="n">
        <f aca="false">MAX(AW193,H193)</f>
        <v>43</v>
      </c>
      <c r="AF193" s="69"/>
      <c r="AG193" s="62" t="n">
        <f aca="false">IF(LEFT(Cockpit!$C$5,1)="A",H193,IF(Parameter!$E$30="MAX-Bestand",IF(CI193=1,CJ193,IF(LEFT(Cockpit!$C$5,1)="B",AM193,MAX(AM193,H193))),ROUNDUP(AK193,0)))</f>
        <v>16</v>
      </c>
      <c r="AH193" s="62" t="n">
        <f aca="false">IF(CA193=1,0,ROUNDUP(AG193/BZ193,0))</f>
        <v>1</v>
      </c>
      <c r="AI193" s="64" t="n">
        <f aca="false">IF(CR193&gt;0,CR193*MAX(1,AG193/X193),IF(CA193=1,IF(AG193&lt;=0,0,CE193*MAX(1,IF(H193&gt;0,AG193/H193,1))),IF(R193&gt;0,AH193/R193,0))/MAX(0.1,N(Parameter!$M$21)))</f>
        <v>0.00961538461538462</v>
      </c>
      <c r="AJ193" s="62" t="n">
        <f aca="false">AI193*CC193</f>
        <v>1.49038461538462</v>
      </c>
      <c r="AK193" s="63" t="n">
        <f aca="false">IF(LEFT(Cockpit!$C$5,1)="A",H193,IF(CI193=1,(CL193+CJ193)/2,IF(LEFT(Cockpit!$C$5,1)="B",(CL193+AM193)/2,MAX((CL193+AM193)/2,H193))))</f>
        <v>16</v>
      </c>
      <c r="AL193" s="62" t="n">
        <f aca="false">AK193*G193</f>
        <v>870.56</v>
      </c>
      <c r="AM193" s="62" t="n">
        <f aca="false">ROUNDUP(CL193+MAX(CM193,2*(J193/IF(CH193&gt;0,CH193,MAX(0.1,N(Cockpit!$C$6)))-CL193)),0)</f>
        <v>43</v>
      </c>
      <c r="AN193" s="63" t="n">
        <f aca="false">IF(AJ193&gt;0,J193/AJ193,-1)</f>
        <v>26.8387096774194</v>
      </c>
      <c r="AO193" s="63" t="n">
        <f aca="false">IF(AND(OR(CG193="L1",CG193="L23",CG193="LIFT"),AJ193&gt;0),SUMIFS($AJ$7:$AJ$1843,$CG$7:$CG$1843,CG193,$AN$7:$AN$1843,"&gt;"&amp;AN193)+SUMIFS($AJ$7:$AJ$1843,$CG$7:$CG$1843,CG193,$AN$7:$AN$1843,AN193,$BX$7:$BX$1843,"&lt;="&amp;BX193),"")</f>
        <v>1503.03113553114</v>
      </c>
      <c r="AP193" s="70" t="n">
        <f aca="false">IF(AO193="",0,MAX(0,MIN(1,(IF(CG193="L1",Parameter!$H$5,IF(CG193="L23",Parameter!$H$6+Parameter!$H$7,Parameter!$H$5+Parameter!$H$6+Parameter!$H$7))-(AO193-AJ193))/AJ193)))</f>
        <v>1</v>
      </c>
      <c r="AQ193" s="62" t="n">
        <f aca="false">IF(LEFT(Cockpit!$I$5,1)="A",H193,IF(Parameter!$E$30="MAX-Bestand",IF(CI193=1,CJ193,IF(LEFT(Cockpit!$I$5,1)="B",AW193,MAX(AW193,H193))),ROUNDUP(AU193,0)))</f>
        <v>23</v>
      </c>
      <c r="AR193" s="62" t="n">
        <f aca="false">IF(CA193=1,0,ROUNDUP(AQ193/BZ193,0))</f>
        <v>1</v>
      </c>
      <c r="AS193" s="64" t="n">
        <f aca="false">IF(CR193&gt;0,CR193*MAX(1,AQ193/X193),IF(CA193=1,IF(AQ193&lt;=0,0,CE193*MAX(1,IF(H193&gt;0,AQ193/H193,1))),IF(R193&gt;0,AR193/R193,0))/MAX(0.1,N(Parameter!$M$21)))</f>
        <v>0.00961538461538462</v>
      </c>
      <c r="AT193" s="62" t="n">
        <f aca="false">AS193*CC193</f>
        <v>1.49038461538462</v>
      </c>
      <c r="AU193" s="63" t="n">
        <f aca="false">IF(LEFT(Cockpit!$I$5,1)="A",H193,IF(CI193=1,(CL193+CJ193)/2,IF(LEFT(Cockpit!$I$5,1)="B",(CL193+AW193)/2,MAX((CL193+AW193)/2,H193))))</f>
        <v>23</v>
      </c>
      <c r="AV193" s="62" t="n">
        <f aca="false">AU193*G193</f>
        <v>1251.43</v>
      </c>
      <c r="AW193" s="62" t="n">
        <f aca="false">ROUNDUP(CL193+MAX(CM193,2*(J193/IF(CH193&gt;0,CH193,MAX(0.1,N(Cockpit!$I$6)))-CL193)),0)</f>
        <v>43</v>
      </c>
      <c r="AX193" s="63" t="n">
        <f aca="false">IF(AT193&gt;0,J193/AT193,-1)</f>
        <v>26.8387096774194</v>
      </c>
      <c r="AY193" s="63" t="n">
        <f aca="false">IF(AND(OR(CG193="L1",CG193="L23",CG193="LIFT"),AT193&gt;0),SUMIFS($AT$7:$AT$1843,$CG$7:$CG$1843,CG193,$AX$7:$AX$1843,"&gt;"&amp;AX193)+SUMIFS($AT$7:$AT$1843,$CG$7:$CG$1843,CG193,$AX$7:$AX$1843,AX193,$BX$7:$BX$1843,"&lt;="&amp;BX193),"")</f>
        <v>2128.86996336996</v>
      </c>
      <c r="AZ193" s="70" t="n">
        <f aca="false">IF(AY193="",0,MAX(0,MIN(1,(IF(CG193="L1",Parameter!$H$5,IF(CG193="L23",Parameter!$H$6+Parameter!$H$7,Parameter!$H$5+Parameter!$H$6+Parameter!$H$7))-(AY193-AT193))/AT193)))</f>
        <v>1</v>
      </c>
      <c r="BA193" s="62" t="n">
        <f aca="false">IF(LEFT(Cockpit!$O$5,1)="A",H193,IF(Parameter!$E$30="MAX-Bestand",IF(CI193=1,CJ193,IF(LEFT(Cockpit!$O$5,1)="B",BG193,MAX(BG193,H193))),ROUNDUP(BE193,0)))</f>
        <v>23</v>
      </c>
      <c r="BB193" s="62" t="n">
        <f aca="false">IF(CA193=1,0,ROUNDUP(BA193/BZ193,0))</f>
        <v>1</v>
      </c>
      <c r="BC193" s="64" t="n">
        <f aca="false">IF(CR193&gt;0,CR193*MAX(1,BA193/X193),IF(CA193=1,IF(BA193&lt;=0,0,CE193*MAX(1,IF(H193&gt;0,BA193/H193,1))),IF(R193&gt;0,BB193/R193,0))/MAX(0.1,N(Parameter!$M$21)))</f>
        <v>0.00961538461538462</v>
      </c>
      <c r="BD193" s="62" t="n">
        <f aca="false">BC193*CC193</f>
        <v>1.49038461538462</v>
      </c>
      <c r="BE193" s="63" t="n">
        <f aca="false">IF(LEFT(Cockpit!$O$5,1)="A",H193,IF(CI193=1,(CL193+CJ193)/2,IF(LEFT(Cockpit!$O$5,1)="B",(CL193+BG193)/2,MAX((CL193+BG193)/2,H193))))</f>
        <v>23</v>
      </c>
      <c r="BF193" s="62" t="n">
        <f aca="false">BE193*G193</f>
        <v>1251.43</v>
      </c>
      <c r="BG193" s="62" t="n">
        <f aca="false">ROUNDUP(CL193+MAX(CM193,2*(J193/IF(CH193&gt;0,CH193,MAX(0.1,N(Cockpit!$O$6)))-CL193)),0)</f>
        <v>43</v>
      </c>
      <c r="BH193" s="63" t="n">
        <f aca="false">IF(BD193&gt;0,J193/BD193,-1)</f>
        <v>26.8387096774194</v>
      </c>
      <c r="BI193" s="63" t="n">
        <f aca="false">IF(AND(OR(CG193="L1",CG193="L23",CG193="LIFT"),BD193&gt;0),SUMIFS($BD$7:$BD$1843,$CG$7:$CG$1843,CG193,$BH$7:$BH$1843,"&gt;"&amp;BH193)+SUMIFS($BD$7:$BD$1843,$CG$7:$CG$1843,CG193,$BH$7:$BH$1843,BH193,$BX$7:$BX$1843,"&lt;="&amp;BX193),"")</f>
        <v>1947.29441391941</v>
      </c>
      <c r="BJ193" s="70" t="n">
        <f aca="false">IF(BI193="",0,MAX(0,MIN(1,(IF(CG193="L1",Parameter!$H$5,IF(CG193="L23",Parameter!$H$6+Parameter!$H$7,Parameter!$H$5+Parameter!$H$6+Parameter!$H$7))-(BI193-BD193))/BD193)))</f>
        <v>1</v>
      </c>
      <c r="BK193" s="60" t="str">
        <f aca="false">IF(AJ193&lt;=0,"",IF(CG193="Aussen","Aussenlager",IF(CG193="-","Nicht im Lift",IF(AP193&gt;=1,"Lift",IF(AP193&lt;=0,"Aussenlager","teilweise")))))</f>
        <v>Lift</v>
      </c>
      <c r="BL193" s="60" t="str">
        <f aca="false">IF(AT193&lt;=0,"",IF(CG193="Aussen","Aussenlager",IF(CG193="-","Nicht im Lift",IF(AZ193&gt;=1,"Lift",IF(AZ193&lt;=0,"Aussenlager","teilweise")))))</f>
        <v>Lift</v>
      </c>
      <c r="BM193" s="60" t="str">
        <f aca="false">IF(BD193&lt;=0,"",IF(CG193="Aussen","Aussenlager",IF(CG193="-","Nicht im Lift",IF(BJ193&gt;=1,"Lift",IF(BJ193&lt;=0,"Aussenlager","teilweise")))))</f>
        <v>Lift</v>
      </c>
      <c r="BN193" s="60" t="str">
        <f aca="false">IF(A193="","",IF(BW193=1,"Neu; ","")&amp;IF(AND(BW193=0,BR193&lt;0),"negativer Bestand (Export "&amp;BR193&amp;"); ","")&amp;IF(J193&lt;=0,"Kein Verbrauch; ","")&amp;IF(CR193&gt;0,"Lift "&amp;W193&amp;" lt. Liftbericht (Fach "&amp;X193&amp;" Stk); ",IF(CB193=1,"Gebinde geschätzt ("&amp;T193&amp;"); ",IF(CA193=1,"Lose – Tablare geschätzt; ","")))&amp;IF(H193&gt;AW193,"Überbestand "&amp;ROUND(H193-AW193,0)&amp;" Stk / CHF "&amp;ROUND((H193-AW193)*G193,0)&amp;"; ","")&amp;IF(AND(CI193=1,CJ193&lt;CK193),"MAX &lt; MB+LG; ","")&amp;IF(AND(CQ193&gt;0,CP193*10&gt;CQ193),"zu hoch für Tablar; ","")&amp;IF(AND(BW193=0,OR(CI193=1,AB193&lt;&gt;"",U193&lt;&gt;"",V193&lt;&gt;"",AC193&lt;&gt;"")),"manuell übersteuert; ","")&amp;IF(AND(CA193=0,R193=0),"Gebinde unbekannt / Stellmass fehlt; ","")&amp;IF(AND(CA193=0,N(V193)&lt;=0,N(Q193)&lt;=0),"Menge pro Gebinde fehlt (Ist = 1 Gebinde); ","")&amp;BV193)</f>
        <v/>
      </c>
      <c r="BO193" s="60"/>
      <c r="BP193" s="60"/>
      <c r="BQ193" s="67"/>
      <c r="BR193" s="62" t="n">
        <v>16</v>
      </c>
      <c r="BS193" s="62" t="n">
        <v>0</v>
      </c>
      <c r="BT193" s="61" t="n">
        <v>870.56</v>
      </c>
      <c r="BU193" s="62" t="n">
        <v>40</v>
      </c>
      <c r="BV193" s="60"/>
      <c r="BW193" s="65" t="n">
        <v>0</v>
      </c>
      <c r="BX193" s="65" t="n">
        <v>193</v>
      </c>
      <c r="BY193" s="60" t="str">
        <f aca="false">IF(U193&lt;&gt;"",UPPER(TRIM(U193)),IF(CB193=1,UPPER(VLOOKUP(T193,Parameter!$I$27:$K$29,2,0)),IF(P193="","LOSE",P193)))</f>
        <v>S32</v>
      </c>
      <c r="BZ193" s="62" t="n">
        <f aca="false">IF(BY193="LOSE",1,IF(N(V193)&gt;0,V193,IF(CB193=1,MAX(1,N(VLOOKUP(T193,Parameter!$I$27:$K$29,3,0)),H193,N(N193)),IF(N(Q193)&gt;0,Q193,MAX(1,H193)))))</f>
        <v>40</v>
      </c>
      <c r="CA193" s="65" t="n">
        <f aca="false">IF(BY193="LOSE",1,0)</f>
        <v>0</v>
      </c>
      <c r="CB193" s="65" t="n">
        <f aca="false">IF(AND(U193="",OR(P193="",P193="LOSE"),T193&lt;&gt;"",N(S193)&lt;=0,ISNUMBER(MATCH(T193,Parameter!$I$27:$I$29,0))),1,0)</f>
        <v>0</v>
      </c>
      <c r="CC193" s="65" t="n">
        <f aca="false">IF(CR193&gt;0,INDEX(Parameter!$H$5:$H$7,W193)/INDEX(Parameter!$E$5:$E$7,W193),IF(AND(CA193=0,N(IFERROR(VLOOKUP(BY193,'Gebinde-Kategorie'!$A$5:$N$45,14,0),0))&gt;0),VLOOKUP(BY193,'Gebinde-Kategorie'!$A$5:$N$45,14,0)*10+Parameter!$M$23,Parameter!$M$24))</f>
        <v>155</v>
      </c>
      <c r="CD193" s="60" t="str">
        <f aca="false">IF(AND(Parameter!$B$19="Ja",E193&lt;&gt;"",ISNUMBER(MATCH(E193,Parameter!$I$35:$I$52,0))),VLOOKUP(E193,Parameter!$I$35:$J$52,2,0),IFERROR(VLOOKUP(D193,Parameter!$A$35:$C$64,2,0),"Nein"))</f>
        <v>2+3</v>
      </c>
      <c r="CE193" s="64" t="n">
        <f aca="false">IF(CA193=0,0,IF(N(S193)&gt;0,S193,IFERROR(VLOOKUP(D193,Parameter!$A$35:$C$64,3,0)+0,0)))</f>
        <v>0</v>
      </c>
      <c r="CF193" s="60" t="n">
        <f aca="false">IF(AB193&lt;&gt;"",AB193,AA193)</f>
        <v>1</v>
      </c>
      <c r="CG193" s="60" t="str">
        <f aca="false">IF(OR(CF193=1,CF193=2,CF193=3),IF(Parameter!$E$27="Ja","LIFT",IF(CF193=1,"L1","L23")),IF(CF193="Aussen","Aussen","-"))</f>
        <v>LIFT</v>
      </c>
      <c r="CH193" s="71" t="n">
        <f aca="false">IF(N(AC193)&gt;0,AC193,0)</f>
        <v>0</v>
      </c>
      <c r="CI193" s="65" t="n">
        <f aca="false">IF(ISNUMBER(AF193),1,0)</f>
        <v>0</v>
      </c>
      <c r="CJ193" s="62" t="n">
        <f aca="false">N(AF193)</f>
        <v>0</v>
      </c>
      <c r="CK193" s="62" t="n">
        <f aca="false">N(M193)+N(N193)</f>
        <v>43</v>
      </c>
      <c r="CL193" s="62" t="n">
        <f aca="false">N(M193)</f>
        <v>3</v>
      </c>
      <c r="CM193" s="62" t="n">
        <f aca="false">N(N193)</f>
        <v>40</v>
      </c>
      <c r="CN193" s="62" t="n">
        <f aca="false">ROUNDUP(H193/BZ193,0)</f>
        <v>1</v>
      </c>
      <c r="CO193" s="62" t="n">
        <f aca="false">ROUNDUP(CJ193/BZ193,0)</f>
        <v>0</v>
      </c>
      <c r="CP193" s="65" t="n">
        <f aca="false">IF(CA193=1,0,IFERROR(VLOOKUP(BY193,'Gebinde-Kategorie'!$A$5:$N$45,5,0)+0,0))</f>
        <v>8</v>
      </c>
      <c r="CQ193" s="65" t="n">
        <f aca="false">IFERROR(IF(OR(CF193=1,CF193=2,CF193=3),N(INDEX(Parameter!$I$5:$I$7,CF193)),0),0)</f>
        <v>0</v>
      </c>
      <c r="CR193" s="64" t="n">
        <f aca="false">IF(AND(Parameter!$B$21="Ja",ISNUMBER(W193),N(X193)&gt;0),IFERROR(N(INDEX(Parameter!$L$5:$L$7,W193))*INDEX(Parameter!$E$5:$E$7,W193)*X193/SUMIFS($X$7:$X$1843,$W$7:$W$1843,W193),0),0)</f>
        <v>0</v>
      </c>
      <c r="CS193" s="62" t="n">
        <f aca="false">IF(AND(OR(CG193="L1",CG193="L23",CG193="LIFT"),H193&gt;0),CC193*IF(CR193&gt;0,CR193*MAX(1,H193/X193),IF(CA193=1,CE193,IF(R193&gt;0,CN193/R193,0))/MAX(0.1,N(Parameter!$M$21))),"")</f>
        <v>1.49038461538462</v>
      </c>
      <c r="CT193" s="64" t="n">
        <f aca="false">IF(CS193="","",J193/H193)</f>
        <v>2.5</v>
      </c>
      <c r="CU193" s="62" t="n">
        <f aca="false">IF(CS193="","",H193*G193)</f>
        <v>870.56</v>
      </c>
      <c r="CV193" s="63" t="n">
        <f aca="false">IF(CS193="","",(CL193+ROUNDUP(CL193+MAX(CM193,2*(J193/MAX(0.1,N(Einkauf!$C$6))-CL193)),0))/2)</f>
        <v>23</v>
      </c>
      <c r="CW193" s="62" t="n">
        <f aca="false">IF(CS193="","",MAX(0,H193-CV193)*G193)</f>
        <v>0</v>
      </c>
      <c r="CX193" s="62" t="n">
        <f aca="false">IF(CS193="","",CS193*MAX(0,1-CV193/H193))</f>
        <v>0</v>
      </c>
      <c r="CY193" s="64" t="n">
        <f aca="false">IF(CS193="","",PERCENTRANK($CS$7:$CS$1843,CS193)+PERCENTRANK($CU$7:$CU$1843,CU193)+1-PERCENTRANK($CT$7:$CT$1843,CT193))</f>
        <v>0.887</v>
      </c>
      <c r="CZ193" s="72" t="n">
        <f aca="false">IF(CS193="","",CHOOSE(MATCH(Einkauf!$C$5,Parameter!$G$23:$G$27,0),CY193,CS193,CU193,-CT193,CW193)+ROW()/1000000000)</f>
        <v>0.887000193</v>
      </c>
    </row>
    <row r="194" customFormat="false" ht="15" hidden="false" customHeight="false" outlineLevel="0" collapsed="false">
      <c r="A194" s="60" t="s">
        <v>632</v>
      </c>
      <c r="B194" s="60" t="s">
        <v>633</v>
      </c>
      <c r="C194" s="60" t="s">
        <v>206</v>
      </c>
      <c r="D194" s="60" t="s">
        <v>226</v>
      </c>
      <c r="E194" s="60" t="s">
        <v>227</v>
      </c>
      <c r="F194" s="60" t="s">
        <v>260</v>
      </c>
      <c r="G194" s="61" t="n">
        <v>10.46</v>
      </c>
      <c r="H194" s="62" t="n">
        <f aca="false">MAX(0,IF(AND(Parameter!$B$21="Ja",ISNUMBER(Y194)),Y194,IF(Parameter!$B$20="Jahresanfang 2025 + Export",BS194+BR194,BR194)))</f>
        <v>130</v>
      </c>
      <c r="I194" s="62" t="n">
        <f aca="false">H194*G194</f>
        <v>1359.8</v>
      </c>
      <c r="J194" s="62" t="n">
        <f aca="false">BU194*Parameter!$B$18</f>
        <v>153</v>
      </c>
      <c r="K194" s="63" t="n">
        <v>41</v>
      </c>
      <c r="L194" s="64" t="n">
        <v>3.73170731707317</v>
      </c>
      <c r="M194" s="62" t="n">
        <v>8</v>
      </c>
      <c r="N194" s="62" t="n">
        <v>150</v>
      </c>
      <c r="O194" s="65" t="n">
        <v>21</v>
      </c>
      <c r="P194" s="60" t="s">
        <v>463</v>
      </c>
      <c r="Q194" s="62" t="n">
        <v>75</v>
      </c>
      <c r="R194" s="65" t="n">
        <f aca="false">IF(CA194=1,0,IFERROR(VLOOKUP(BY194,'Gebinde-Kategorie'!$A$5:$N$45,13,0)+0,0))</f>
        <v>104</v>
      </c>
      <c r="S194" s="66"/>
      <c r="T194" s="67"/>
      <c r="U194" s="67"/>
      <c r="V194" s="67"/>
      <c r="W194" s="60"/>
      <c r="X194" s="62"/>
      <c r="Y194" s="62"/>
      <c r="Z194" s="60" t="n">
        <v>3</v>
      </c>
      <c r="AA194" s="60" t="n">
        <f aca="false">IF(A194="","",IF(AND(Parameter!$B$21="Ja",ISNUMBER(W194)),W194,IF(AND(Parameter!$E$27="Ja",ISNUMBER(Z194),CD194&lt;&gt;"Nein"),Z194,IF(CD194="2+3",IF(ISNUMBER(SEARCH("grosser Artikel",BV194)),2,IFERROR(VLOOKUP(BY194,Parameter!$F$35:$G$64,2,0),2)),IF(OR(CD194="Nein",CD194=""),"-",CD194)))))</f>
        <v>3</v>
      </c>
      <c r="AB194" s="67"/>
      <c r="AC194" s="68"/>
      <c r="AD194" s="62" t="n">
        <f aca="false">AW194</f>
        <v>158</v>
      </c>
      <c r="AE194" s="62" t="n">
        <f aca="false">MAX(AW194,H194)</f>
        <v>158</v>
      </c>
      <c r="AF194" s="69"/>
      <c r="AG194" s="62" t="n">
        <f aca="false">IF(LEFT(Cockpit!$C$5,1)="A",H194,IF(Parameter!$E$30="MAX-Bestand",IF(CI194=1,CJ194,IF(LEFT(Cockpit!$C$5,1)="B",AM194,MAX(AM194,H194))),ROUNDUP(AK194,0)))</f>
        <v>130</v>
      </c>
      <c r="AH194" s="62" t="n">
        <f aca="false">IF(CA194=1,0,ROUNDUP(AG194/BZ194,0))</f>
        <v>2</v>
      </c>
      <c r="AI194" s="64" t="n">
        <f aca="false">IF(CR194&gt;0,CR194*MAX(1,AG194/X194),IF(CA194=1,IF(AG194&lt;=0,0,CE194*MAX(1,IF(H194&gt;0,AG194/H194,1))),IF(R194&gt;0,AH194/R194,0))/MAX(0.1,N(Parameter!$M$21)))</f>
        <v>0.0192307692307692</v>
      </c>
      <c r="AJ194" s="62" t="n">
        <f aca="false">AI194*CC194</f>
        <v>2.98076923076923</v>
      </c>
      <c r="AK194" s="63" t="n">
        <f aca="false">IF(LEFT(Cockpit!$C$5,1)="A",H194,IF(CI194=1,(CL194+CJ194)/2,IF(LEFT(Cockpit!$C$5,1)="B",(CL194+AM194)/2,MAX((CL194+AM194)/2,H194))))</f>
        <v>130</v>
      </c>
      <c r="AL194" s="62" t="n">
        <f aca="false">AK194*G194</f>
        <v>1359.8</v>
      </c>
      <c r="AM194" s="62" t="n">
        <f aca="false">ROUNDUP(CL194+MAX(CM194,2*(J194/IF(CH194&gt;0,CH194,MAX(0.1,N(Cockpit!$C$6)))-CL194)),0)</f>
        <v>158</v>
      </c>
      <c r="AN194" s="63" t="n">
        <f aca="false">IF(AJ194&gt;0,J194/AJ194,-1)</f>
        <v>51.3290322580645</v>
      </c>
      <c r="AO194" s="63" t="n">
        <f aca="false">IF(AND(OR(CG194="L1",CG194="L23",CG194="LIFT"),AJ194&gt;0),SUMIFS($AJ$7:$AJ$1843,$CG$7:$CG$1843,CG194,$AN$7:$AN$1843,"&gt;"&amp;AN194)+SUMIFS($AJ$7:$AJ$1843,$CG$7:$CG$1843,CG194,$AN$7:$AN$1843,AN194,$BX$7:$BX$1843,"&lt;="&amp;BX194),"")</f>
        <v>1017.93269230769</v>
      </c>
      <c r="AP194" s="70" t="n">
        <f aca="false">IF(AO194="",0,MAX(0,MIN(1,(IF(CG194="L1",Parameter!$H$5,IF(CG194="L23",Parameter!$H$6+Parameter!$H$7,Parameter!$H$5+Parameter!$H$6+Parameter!$H$7))-(AO194-AJ194))/AJ194)))</f>
        <v>1</v>
      </c>
      <c r="AQ194" s="62" t="n">
        <f aca="false">IF(LEFT(Cockpit!$I$5,1)="A",H194,IF(Parameter!$E$30="MAX-Bestand",IF(CI194=1,CJ194,IF(LEFT(Cockpit!$I$5,1)="B",AW194,MAX(AW194,H194))),ROUNDUP(AU194,0)))</f>
        <v>130</v>
      </c>
      <c r="AR194" s="62" t="n">
        <f aca="false">IF(CA194=1,0,ROUNDUP(AQ194/BZ194,0))</f>
        <v>2</v>
      </c>
      <c r="AS194" s="64" t="n">
        <f aca="false">IF(CR194&gt;0,CR194*MAX(1,AQ194/X194),IF(CA194=1,IF(AQ194&lt;=0,0,CE194*MAX(1,IF(H194&gt;0,AQ194/H194,1))),IF(R194&gt;0,AR194/R194,0))/MAX(0.1,N(Parameter!$M$21)))</f>
        <v>0.0192307692307692</v>
      </c>
      <c r="AT194" s="62" t="n">
        <f aca="false">AS194*CC194</f>
        <v>2.98076923076923</v>
      </c>
      <c r="AU194" s="63" t="n">
        <f aca="false">IF(LEFT(Cockpit!$I$5,1)="A",H194,IF(CI194=1,(CL194+CJ194)/2,IF(LEFT(Cockpit!$I$5,1)="B",(CL194+AW194)/2,MAX((CL194+AW194)/2,H194))))</f>
        <v>130</v>
      </c>
      <c r="AV194" s="62" t="n">
        <f aca="false">AU194*G194</f>
        <v>1359.8</v>
      </c>
      <c r="AW194" s="62" t="n">
        <f aca="false">ROUNDUP(CL194+MAX(CM194,2*(J194/IF(CH194&gt;0,CH194,MAX(0.1,N(Cockpit!$I$6)))-CL194)),0)</f>
        <v>158</v>
      </c>
      <c r="AX194" s="63" t="n">
        <f aca="false">IF(AT194&gt;0,J194/AT194,-1)</f>
        <v>51.3290322580645</v>
      </c>
      <c r="AY194" s="63" t="n">
        <f aca="false">IF(AND(OR(CG194="L1",CG194="L23",CG194="LIFT"),AT194&gt;0),SUMIFS($AT$7:$AT$1843,$CG$7:$CG$1843,CG194,$AX$7:$AX$1843,"&gt;"&amp;AX194)+SUMIFS($AT$7:$AT$1843,$CG$7:$CG$1843,CG194,$AX$7:$AX$1843,AX194,$BX$7:$BX$1843,"&lt;="&amp;BX194),"")</f>
        <v>1301.62866300366</v>
      </c>
      <c r="AZ194" s="70" t="n">
        <f aca="false">IF(AY194="",0,MAX(0,MIN(1,(IF(CG194="L1",Parameter!$H$5,IF(CG194="L23",Parameter!$H$6+Parameter!$H$7,Parameter!$H$5+Parameter!$H$6+Parameter!$H$7))-(AY194-AT194))/AT194)))</f>
        <v>1</v>
      </c>
      <c r="BA194" s="62" t="n">
        <f aca="false">IF(LEFT(Cockpit!$O$5,1)="A",H194,IF(Parameter!$E$30="MAX-Bestand",IF(CI194=1,CJ194,IF(LEFT(Cockpit!$O$5,1)="B",BG194,MAX(BG194,H194))),ROUNDUP(BE194,0)))</f>
        <v>83</v>
      </c>
      <c r="BB194" s="62" t="n">
        <f aca="false">IF(CA194=1,0,ROUNDUP(BA194/BZ194,0))</f>
        <v>2</v>
      </c>
      <c r="BC194" s="64" t="n">
        <f aca="false">IF(CR194&gt;0,CR194*MAX(1,BA194/X194),IF(CA194=1,IF(BA194&lt;=0,0,CE194*MAX(1,IF(H194&gt;0,BA194/H194,1))),IF(R194&gt;0,BB194/R194,0))/MAX(0.1,N(Parameter!$M$21)))</f>
        <v>0.0192307692307692</v>
      </c>
      <c r="BD194" s="62" t="n">
        <f aca="false">BC194*CC194</f>
        <v>2.98076923076923</v>
      </c>
      <c r="BE194" s="63" t="n">
        <f aca="false">IF(LEFT(Cockpit!$O$5,1)="A",H194,IF(CI194=1,(CL194+CJ194)/2,IF(LEFT(Cockpit!$O$5,1)="B",(CL194+BG194)/2,MAX((CL194+BG194)/2,H194))))</f>
        <v>83</v>
      </c>
      <c r="BF194" s="62" t="n">
        <f aca="false">BE194*G194</f>
        <v>868.18</v>
      </c>
      <c r="BG194" s="62" t="n">
        <f aca="false">ROUNDUP(CL194+MAX(CM194,2*(J194/IF(CH194&gt;0,CH194,MAX(0.1,N(Cockpit!$O$6)))-CL194)),0)</f>
        <v>158</v>
      </c>
      <c r="BH194" s="63" t="n">
        <f aca="false">IF(BD194&gt;0,J194/BD194,-1)</f>
        <v>51.3290322580645</v>
      </c>
      <c r="BI194" s="63" t="n">
        <f aca="false">IF(AND(OR(CG194="L1",CG194="L23",CG194="LIFT"),BD194&gt;0),SUMIFS($BD$7:$BD$1843,$CG$7:$CG$1843,CG194,$BH$7:$BH$1843,"&gt;"&amp;BH194)+SUMIFS($BD$7:$BD$1843,$CG$7:$CG$1843,CG194,$BH$7:$BH$1843,BH194,$BX$7:$BX$1843,"&lt;="&amp;BX194),"")</f>
        <v>1198.06593406593</v>
      </c>
      <c r="BJ194" s="70" t="n">
        <f aca="false">IF(BI194="",0,MAX(0,MIN(1,(IF(CG194="L1",Parameter!$H$5,IF(CG194="L23",Parameter!$H$6+Parameter!$H$7,Parameter!$H$5+Parameter!$H$6+Parameter!$H$7))-(BI194-BD194))/BD194)))</f>
        <v>1</v>
      </c>
      <c r="BK194" s="60" t="str">
        <f aca="false">IF(AJ194&lt;=0,"",IF(CG194="Aussen","Aussenlager",IF(CG194="-","Nicht im Lift",IF(AP194&gt;=1,"Lift",IF(AP194&lt;=0,"Aussenlager","teilweise")))))</f>
        <v>Lift</v>
      </c>
      <c r="BL194" s="60" t="str">
        <f aca="false">IF(AT194&lt;=0,"",IF(CG194="Aussen","Aussenlager",IF(CG194="-","Nicht im Lift",IF(AZ194&gt;=1,"Lift",IF(AZ194&lt;=0,"Aussenlager","teilweise")))))</f>
        <v>Lift</v>
      </c>
      <c r="BM194" s="60" t="str">
        <f aca="false">IF(BD194&lt;=0,"",IF(CG194="Aussen","Aussenlager",IF(CG194="-","Nicht im Lift",IF(BJ194&gt;=1,"Lift",IF(BJ194&lt;=0,"Aussenlager","teilweise")))))</f>
        <v>Lift</v>
      </c>
      <c r="BN194" s="60" t="str">
        <f aca="false">IF(A194="","",IF(BW194=1,"Neu; ","")&amp;IF(AND(BW194=0,BR194&lt;0),"negativer Bestand (Export "&amp;BR194&amp;"); ","")&amp;IF(J194&lt;=0,"Kein Verbrauch; ","")&amp;IF(CR194&gt;0,"Lift "&amp;W194&amp;" lt. Liftbericht (Fach "&amp;X194&amp;" Stk); ",IF(CB194=1,"Gebinde geschätzt ("&amp;T194&amp;"); ",IF(CA194=1,"Lose – Tablare geschätzt; ","")))&amp;IF(H194&gt;AW194,"Überbestand "&amp;ROUND(H194-AW194,0)&amp;" Stk / CHF "&amp;ROUND((H194-AW194)*G194,0)&amp;"; ","")&amp;IF(AND(CI194=1,CJ194&lt;CK194),"MAX &lt; MB+LG; ","")&amp;IF(AND(CQ194&gt;0,CP194*10&gt;CQ194),"zu hoch für Tablar; ","")&amp;IF(AND(BW194=0,OR(CI194=1,AB194&lt;&gt;"",U194&lt;&gt;"",V194&lt;&gt;"",AC194&lt;&gt;"")),"manuell übersteuert; ","")&amp;IF(AND(CA194=0,R194=0),"Gebinde unbekannt / Stellmass fehlt; ","")&amp;IF(AND(CA194=0,N(V194)&lt;=0,N(Q194)&lt;=0),"Menge pro Gebinde fehlt (Ist = 1 Gebinde); ","")&amp;BV194)</f>
        <v/>
      </c>
      <c r="BO194" s="60"/>
      <c r="BP194" s="60"/>
      <c r="BQ194" s="67"/>
      <c r="BR194" s="62" t="n">
        <v>86</v>
      </c>
      <c r="BS194" s="62" t="n">
        <v>44</v>
      </c>
      <c r="BT194" s="61" t="n">
        <v>842.36</v>
      </c>
      <c r="BU194" s="62" t="n">
        <v>153</v>
      </c>
      <c r="BV194" s="60"/>
      <c r="BW194" s="65" t="n">
        <v>0</v>
      </c>
      <c r="BX194" s="65" t="n">
        <v>194</v>
      </c>
      <c r="BY194" s="60" t="str">
        <f aca="false">IF(U194&lt;&gt;"",UPPER(TRIM(U194)),IF(CB194=1,UPPER(VLOOKUP(T194,Parameter!$I$27:$K$29,2,0)),IF(P194="","LOSE",P194)))</f>
        <v>S32</v>
      </c>
      <c r="BZ194" s="62" t="n">
        <f aca="false">IF(BY194="LOSE",1,IF(N(V194)&gt;0,V194,IF(CB194=1,MAX(1,N(VLOOKUP(T194,Parameter!$I$27:$K$29,3,0)),H194,N(N194)),IF(N(Q194)&gt;0,Q194,MAX(1,H194)))))</f>
        <v>75</v>
      </c>
      <c r="CA194" s="65" t="n">
        <f aca="false">IF(BY194="LOSE",1,0)</f>
        <v>0</v>
      </c>
      <c r="CB194" s="65" t="n">
        <f aca="false">IF(AND(U194="",OR(P194="",P194="LOSE"),T194&lt;&gt;"",N(S194)&lt;=0,ISNUMBER(MATCH(T194,Parameter!$I$27:$I$29,0))),1,0)</f>
        <v>0</v>
      </c>
      <c r="CC194" s="65" t="n">
        <f aca="false">IF(CR194&gt;0,INDEX(Parameter!$H$5:$H$7,W194)/INDEX(Parameter!$E$5:$E$7,W194),IF(AND(CA194=0,N(IFERROR(VLOOKUP(BY194,'Gebinde-Kategorie'!$A$5:$N$45,14,0),0))&gt;0),VLOOKUP(BY194,'Gebinde-Kategorie'!$A$5:$N$45,14,0)*10+Parameter!$M$23,Parameter!$M$24))</f>
        <v>155</v>
      </c>
      <c r="CD194" s="60" t="str">
        <f aca="false">IF(AND(Parameter!$B$19="Ja",E194&lt;&gt;"",ISNUMBER(MATCH(E194,Parameter!$I$35:$I$52,0))),VLOOKUP(E194,Parameter!$I$35:$J$52,2,0),IFERROR(VLOOKUP(D194,Parameter!$A$35:$C$64,2,0),"Nein"))</f>
        <v>2+3</v>
      </c>
      <c r="CE194" s="64" t="n">
        <f aca="false">IF(CA194=0,0,IF(N(S194)&gt;0,S194,IFERROR(VLOOKUP(D194,Parameter!$A$35:$C$64,3,0)+0,0)))</f>
        <v>0</v>
      </c>
      <c r="CF194" s="60" t="n">
        <f aca="false">IF(AB194&lt;&gt;"",AB194,AA194)</f>
        <v>3</v>
      </c>
      <c r="CG194" s="60" t="str">
        <f aca="false">IF(OR(CF194=1,CF194=2,CF194=3),IF(Parameter!$E$27="Ja","LIFT",IF(CF194=1,"L1","L23")),IF(CF194="Aussen","Aussen","-"))</f>
        <v>LIFT</v>
      </c>
      <c r="CH194" s="71" t="n">
        <f aca="false">IF(N(AC194)&gt;0,AC194,0)</f>
        <v>0</v>
      </c>
      <c r="CI194" s="65" t="n">
        <f aca="false">IF(ISNUMBER(AF194),1,0)</f>
        <v>0</v>
      </c>
      <c r="CJ194" s="62" t="n">
        <f aca="false">N(AF194)</f>
        <v>0</v>
      </c>
      <c r="CK194" s="62" t="n">
        <f aca="false">N(M194)+N(N194)</f>
        <v>158</v>
      </c>
      <c r="CL194" s="62" t="n">
        <f aca="false">N(M194)</f>
        <v>8</v>
      </c>
      <c r="CM194" s="62" t="n">
        <f aca="false">N(N194)</f>
        <v>150</v>
      </c>
      <c r="CN194" s="62" t="n">
        <f aca="false">ROUNDUP(H194/BZ194,0)</f>
        <v>2</v>
      </c>
      <c r="CO194" s="62" t="n">
        <f aca="false">ROUNDUP(CJ194/BZ194,0)</f>
        <v>0</v>
      </c>
      <c r="CP194" s="65" t="n">
        <f aca="false">IF(CA194=1,0,IFERROR(VLOOKUP(BY194,'Gebinde-Kategorie'!$A$5:$N$45,5,0)+0,0))</f>
        <v>8</v>
      </c>
      <c r="CQ194" s="65" t="n">
        <f aca="false">IFERROR(IF(OR(CF194=1,CF194=2,CF194=3),N(INDEX(Parameter!$I$5:$I$7,CF194)),0),0)</f>
        <v>0</v>
      </c>
      <c r="CR194" s="64" t="n">
        <f aca="false">IF(AND(Parameter!$B$21="Ja",ISNUMBER(W194),N(X194)&gt;0),IFERROR(N(INDEX(Parameter!$L$5:$L$7,W194))*INDEX(Parameter!$E$5:$E$7,W194)*X194/SUMIFS($X$7:$X$1843,$W$7:$W$1843,W194),0),0)</f>
        <v>0</v>
      </c>
      <c r="CS194" s="62" t="n">
        <f aca="false">IF(AND(OR(CG194="L1",CG194="L23",CG194="LIFT"),H194&gt;0),CC194*IF(CR194&gt;0,CR194*MAX(1,H194/X194),IF(CA194=1,CE194,IF(R194&gt;0,CN194/R194,0))/MAX(0.1,N(Parameter!$M$21))),"")</f>
        <v>2.98076923076923</v>
      </c>
      <c r="CT194" s="64" t="n">
        <f aca="false">IF(CS194="","",J194/H194)</f>
        <v>1.17692307692308</v>
      </c>
      <c r="CU194" s="62" t="n">
        <f aca="false">IF(CS194="","",H194*G194)</f>
        <v>1359.8</v>
      </c>
      <c r="CV194" s="63" t="n">
        <f aca="false">IF(CS194="","",(CL194+ROUNDUP(CL194+MAX(CM194,2*(J194/MAX(0.1,N(Einkauf!$C$6))-CL194)),0))/2)</f>
        <v>83</v>
      </c>
      <c r="CW194" s="62" t="n">
        <f aca="false">IF(CS194="","",MAX(0,H194-CV194)*G194)</f>
        <v>491.62</v>
      </c>
      <c r="CX194" s="62" t="n">
        <f aca="false">IF(CS194="","",CS194*MAX(0,1-CV194/H194))</f>
        <v>1.07766272189349</v>
      </c>
      <c r="CY194" s="64" t="n">
        <f aca="false">IF(CS194="","",PERCENTRANK($CS$7:$CS$1843,CS194)+PERCENTRANK($CU$7:$CU$1843,CU194)+1-PERCENTRANK($CT$7:$CT$1843,CT194))</f>
        <v>1.199</v>
      </c>
      <c r="CZ194" s="72" t="n">
        <f aca="false">IF(CS194="","",CHOOSE(MATCH(Einkauf!$C$5,Parameter!$G$23:$G$27,0),CY194,CS194,CU194,-CT194,CW194)+ROW()/1000000000)</f>
        <v>1.199000194</v>
      </c>
    </row>
    <row r="195" customFormat="false" ht="15" hidden="false" customHeight="false" outlineLevel="0" collapsed="false">
      <c r="A195" s="60" t="s">
        <v>634</v>
      </c>
      <c r="B195" s="60" t="s">
        <v>531</v>
      </c>
      <c r="C195" s="60" t="s">
        <v>206</v>
      </c>
      <c r="D195" s="60" t="s">
        <v>226</v>
      </c>
      <c r="E195" s="60" t="s">
        <v>227</v>
      </c>
      <c r="F195" s="60" t="s">
        <v>260</v>
      </c>
      <c r="G195" s="61" t="n">
        <v>1.2</v>
      </c>
      <c r="H195" s="62" t="n">
        <f aca="false">MAX(0,IF(AND(Parameter!$B$21="Ja",ISNUMBER(Y195)),Y195,IF(Parameter!$B$20="Jahresanfang 2025 + Export",BS195+BR195,BR195)))</f>
        <v>1006</v>
      </c>
      <c r="I195" s="62" t="n">
        <f aca="false">H195*G195</f>
        <v>1207.2</v>
      </c>
      <c r="J195" s="62" t="n">
        <f aca="false">BU195*Parameter!$B$18</f>
        <v>1270</v>
      </c>
      <c r="K195" s="63" t="n">
        <v>400</v>
      </c>
      <c r="L195" s="64" t="n">
        <v>3.175</v>
      </c>
      <c r="M195" s="62" t="n">
        <v>49</v>
      </c>
      <c r="N195" s="62" t="n">
        <v>1270</v>
      </c>
      <c r="O195" s="65" t="n">
        <v>14</v>
      </c>
      <c r="P195" s="60" t="s">
        <v>518</v>
      </c>
      <c r="Q195" s="62" t="n">
        <v>666</v>
      </c>
      <c r="R195" s="65" t="n">
        <f aca="false">IF(CA195=1,0,IFERROR(VLOOKUP(BY195,'Gebinde-Kategorie'!$A$5:$N$45,13,0)+0,0))</f>
        <v>52</v>
      </c>
      <c r="S195" s="66"/>
      <c r="T195" s="67"/>
      <c r="U195" s="67"/>
      <c r="V195" s="67"/>
      <c r="W195" s="60"/>
      <c r="X195" s="62"/>
      <c r="Y195" s="62"/>
      <c r="Z195" s="60" t="n">
        <v>3</v>
      </c>
      <c r="AA195" s="60" t="n">
        <f aca="false">IF(A195="","",IF(AND(Parameter!$B$21="Ja",ISNUMBER(W195)),W195,IF(AND(Parameter!$E$27="Ja",ISNUMBER(Z195),CD195&lt;&gt;"Nein"),Z195,IF(CD195="2+3",IF(ISNUMBER(SEARCH("grosser Artikel",BV195)),2,IFERROR(VLOOKUP(BY195,Parameter!$F$35:$G$64,2,0),2)),IF(OR(CD195="Nein",CD195=""),"-",CD195)))))</f>
        <v>3</v>
      </c>
      <c r="AB195" s="67"/>
      <c r="AC195" s="68"/>
      <c r="AD195" s="62" t="n">
        <f aca="false">AW195</f>
        <v>1319</v>
      </c>
      <c r="AE195" s="62" t="n">
        <f aca="false">MAX(AW195,H195)</f>
        <v>1319</v>
      </c>
      <c r="AF195" s="69"/>
      <c r="AG195" s="62" t="n">
        <f aca="false">IF(LEFT(Cockpit!$C$5,1)="A",H195,IF(Parameter!$E$30="MAX-Bestand",IF(CI195=1,CJ195,IF(LEFT(Cockpit!$C$5,1)="B",AM195,MAX(AM195,H195))),ROUNDUP(AK195,0)))</f>
        <v>1006</v>
      </c>
      <c r="AH195" s="62" t="n">
        <f aca="false">IF(CA195=1,0,ROUNDUP(AG195/BZ195,0))</f>
        <v>2</v>
      </c>
      <c r="AI195" s="64" t="n">
        <f aca="false">IF(CR195&gt;0,CR195*MAX(1,AG195/X195),IF(CA195=1,IF(AG195&lt;=0,0,CE195*MAX(1,IF(H195&gt;0,AG195/H195,1))),IF(R195&gt;0,AH195/R195,0))/MAX(0.1,N(Parameter!$M$21)))</f>
        <v>0.0384615384615385</v>
      </c>
      <c r="AJ195" s="62" t="n">
        <f aca="false">AI195*CC195</f>
        <v>5.96153846153846</v>
      </c>
      <c r="AK195" s="63" t="n">
        <f aca="false">IF(LEFT(Cockpit!$C$5,1)="A",H195,IF(CI195=1,(CL195+CJ195)/2,IF(LEFT(Cockpit!$C$5,1)="B",(CL195+AM195)/2,MAX((CL195+AM195)/2,H195))))</f>
        <v>1006</v>
      </c>
      <c r="AL195" s="62" t="n">
        <f aca="false">AK195*G195</f>
        <v>1207.2</v>
      </c>
      <c r="AM195" s="62" t="n">
        <f aca="false">ROUNDUP(CL195+MAX(CM195,2*(J195/IF(CH195&gt;0,CH195,MAX(0.1,N(Cockpit!$C$6)))-CL195)),0)</f>
        <v>1319</v>
      </c>
      <c r="AN195" s="63" t="n">
        <f aca="false">IF(AJ195&gt;0,J195/AJ195,-1)</f>
        <v>213.032258064516</v>
      </c>
      <c r="AO195" s="63" t="n">
        <f aca="false">IF(AND(OR(CG195="L1",CG195="L23",CG195="LIFT"),AJ195&gt;0),SUMIFS($AJ$7:$AJ$1843,$CG$7:$CG$1843,CG195,$AN$7:$AN$1843,"&gt;"&amp;AN195)+SUMIFS($AJ$7:$AJ$1843,$CG$7:$CG$1843,CG195,$AN$7:$AN$1843,AN195,$BX$7:$BX$1843,"&lt;="&amp;BX195),"")</f>
        <v>328.974358974359</v>
      </c>
      <c r="AP195" s="70" t="n">
        <f aca="false">IF(AO195="",0,MAX(0,MIN(1,(IF(CG195="L1",Parameter!$H$5,IF(CG195="L23",Parameter!$H$6+Parameter!$H$7,Parameter!$H$5+Parameter!$H$6+Parameter!$H$7))-(AO195-AJ195))/AJ195)))</f>
        <v>1</v>
      </c>
      <c r="AQ195" s="62" t="n">
        <f aca="false">IF(LEFT(Cockpit!$I$5,1)="A",H195,IF(Parameter!$E$30="MAX-Bestand",IF(CI195=1,CJ195,IF(LEFT(Cockpit!$I$5,1)="B",AW195,MAX(AW195,H195))),ROUNDUP(AU195,0)))</f>
        <v>1006</v>
      </c>
      <c r="AR195" s="62" t="n">
        <f aca="false">IF(CA195=1,0,ROUNDUP(AQ195/BZ195,0))</f>
        <v>2</v>
      </c>
      <c r="AS195" s="64" t="n">
        <f aca="false">IF(CR195&gt;0,CR195*MAX(1,AQ195/X195),IF(CA195=1,IF(AQ195&lt;=0,0,CE195*MAX(1,IF(H195&gt;0,AQ195/H195,1))),IF(R195&gt;0,AR195/R195,0))/MAX(0.1,N(Parameter!$M$21)))</f>
        <v>0.0384615384615385</v>
      </c>
      <c r="AT195" s="62" t="n">
        <f aca="false">AS195*CC195</f>
        <v>5.96153846153846</v>
      </c>
      <c r="AU195" s="63" t="n">
        <f aca="false">IF(LEFT(Cockpit!$I$5,1)="A",H195,IF(CI195=1,(CL195+CJ195)/2,IF(LEFT(Cockpit!$I$5,1)="B",(CL195+AW195)/2,MAX((CL195+AW195)/2,H195))))</f>
        <v>1006</v>
      </c>
      <c r="AV195" s="62" t="n">
        <f aca="false">AU195*G195</f>
        <v>1207.2</v>
      </c>
      <c r="AW195" s="62" t="n">
        <f aca="false">ROUNDUP(CL195+MAX(CM195,2*(J195/IF(CH195&gt;0,CH195,MAX(0.1,N(Cockpit!$I$6)))-CL195)),0)</f>
        <v>1319</v>
      </c>
      <c r="AX195" s="63" t="n">
        <f aca="false">IF(AT195&gt;0,J195/AT195,-1)</f>
        <v>213.032258064516</v>
      </c>
      <c r="AY195" s="63" t="n">
        <f aca="false">IF(AND(OR(CG195="L1",CG195="L23",CG195="LIFT"),AT195&gt;0),SUMIFS($AT$7:$AT$1843,$CG$7:$CG$1843,CG195,$AX$7:$AX$1843,"&gt;"&amp;AX195)+SUMIFS($AT$7:$AT$1843,$CG$7:$CG$1843,CG195,$AX$7:$AX$1843,AX195,$BX$7:$BX$1843,"&lt;="&amp;BX195),"")</f>
        <v>438.149725274725</v>
      </c>
      <c r="AZ195" s="70" t="n">
        <f aca="false">IF(AY195="",0,MAX(0,MIN(1,(IF(CG195="L1",Parameter!$H$5,IF(CG195="L23",Parameter!$H$6+Parameter!$H$7,Parameter!$H$5+Parameter!$H$6+Parameter!$H$7))-(AY195-AT195))/AT195)))</f>
        <v>1</v>
      </c>
      <c r="BA195" s="62" t="n">
        <f aca="false">IF(LEFT(Cockpit!$O$5,1)="A",H195,IF(Parameter!$E$30="MAX-Bestand",IF(CI195=1,CJ195,IF(LEFT(Cockpit!$O$5,1)="B",BG195,MAX(BG195,H195))),ROUNDUP(BE195,0)))</f>
        <v>684</v>
      </c>
      <c r="BB195" s="62" t="n">
        <f aca="false">IF(CA195=1,0,ROUNDUP(BA195/BZ195,0))</f>
        <v>2</v>
      </c>
      <c r="BC195" s="64" t="n">
        <f aca="false">IF(CR195&gt;0,CR195*MAX(1,BA195/X195),IF(CA195=1,IF(BA195&lt;=0,0,CE195*MAX(1,IF(H195&gt;0,BA195/H195,1))),IF(R195&gt;0,BB195/R195,0))/MAX(0.1,N(Parameter!$M$21)))</f>
        <v>0.0384615384615385</v>
      </c>
      <c r="BD195" s="62" t="n">
        <f aca="false">BC195*CC195</f>
        <v>5.96153846153846</v>
      </c>
      <c r="BE195" s="63" t="n">
        <f aca="false">IF(LEFT(Cockpit!$O$5,1)="A",H195,IF(CI195=1,(CL195+CJ195)/2,IF(LEFT(Cockpit!$O$5,1)="B",(CL195+BG195)/2,MAX((CL195+BG195)/2,H195))))</f>
        <v>684</v>
      </c>
      <c r="BF195" s="62" t="n">
        <f aca="false">BE195*G195</f>
        <v>820.8</v>
      </c>
      <c r="BG195" s="62" t="n">
        <f aca="false">ROUNDUP(CL195+MAX(CM195,2*(J195/IF(CH195&gt;0,CH195,MAX(0.1,N(Cockpit!$O$6)))-CL195)),0)</f>
        <v>1319</v>
      </c>
      <c r="BH195" s="63" t="n">
        <f aca="false">IF(BD195&gt;0,J195/BD195,-1)</f>
        <v>213.032258064516</v>
      </c>
      <c r="BI195" s="63" t="n">
        <f aca="false">IF(AND(OR(CG195="L1",CG195="L23",CG195="LIFT"),BD195&gt;0),SUMIFS($BD$7:$BD$1843,$CG$7:$CG$1843,CG195,$BH$7:$BH$1843,"&gt;"&amp;BH195)+SUMIFS($BD$7:$BD$1843,$CG$7:$CG$1843,CG195,$BH$7:$BH$1843,BH195,$BX$7:$BX$1843,"&lt;="&amp;BX195),"")</f>
        <v>414.061813186813</v>
      </c>
      <c r="BJ195" s="70" t="n">
        <f aca="false">IF(BI195="",0,MAX(0,MIN(1,(IF(CG195="L1",Parameter!$H$5,IF(CG195="L23",Parameter!$H$6+Parameter!$H$7,Parameter!$H$5+Parameter!$H$6+Parameter!$H$7))-(BI195-BD195))/BD195)))</f>
        <v>1</v>
      </c>
      <c r="BK195" s="60" t="str">
        <f aca="false">IF(AJ195&lt;=0,"",IF(CG195="Aussen","Aussenlager",IF(CG195="-","Nicht im Lift",IF(AP195&gt;=1,"Lift",IF(AP195&lt;=0,"Aussenlager","teilweise")))))</f>
        <v>Lift</v>
      </c>
      <c r="BL195" s="60" t="str">
        <f aca="false">IF(AT195&lt;=0,"",IF(CG195="Aussen","Aussenlager",IF(CG195="-","Nicht im Lift",IF(AZ195&gt;=1,"Lift",IF(AZ195&lt;=0,"Aussenlager","teilweise")))))</f>
        <v>Lift</v>
      </c>
      <c r="BM195" s="60" t="str">
        <f aca="false">IF(BD195&lt;=0,"",IF(CG195="Aussen","Aussenlager",IF(CG195="-","Nicht im Lift",IF(BJ195&gt;=1,"Lift",IF(BJ195&lt;=0,"Aussenlager","teilweise")))))</f>
        <v>Lift</v>
      </c>
      <c r="BN195" s="60" t="str">
        <f aca="false">IF(A195="","",IF(BW195=1,"Neu; ","")&amp;IF(AND(BW195=0,BR195&lt;0),"negativer Bestand (Export "&amp;BR195&amp;"); ","")&amp;IF(J195&lt;=0,"Kein Verbrauch; ","")&amp;IF(CR195&gt;0,"Lift "&amp;W195&amp;" lt. Liftbericht (Fach "&amp;X195&amp;" Stk); ",IF(CB195=1,"Gebinde geschätzt ("&amp;T195&amp;"); ",IF(CA195=1,"Lose – Tablare geschätzt; ","")))&amp;IF(H195&gt;AW195,"Überbestand "&amp;ROUND(H195-AW195,0)&amp;" Stk / CHF "&amp;ROUND((H195-AW195)*G195,0)&amp;"; ","")&amp;IF(AND(CI195=1,CJ195&lt;CK195),"MAX &lt; MB+LG; ","")&amp;IF(AND(CQ195&gt;0,CP195*10&gt;CQ195),"zu hoch für Tablar; ","")&amp;IF(AND(BW195=0,OR(CI195=1,AB195&lt;&gt;"",U195&lt;&gt;"",V195&lt;&gt;"",AC195&lt;&gt;"")),"manuell übersteuert; ","")&amp;IF(AND(CA195=0,R195=0),"Gebinde unbekannt / Stellmass fehlt; ","")&amp;IF(AND(CA195=0,N(V195)&lt;=0,N(Q195)&lt;=0),"Menge pro Gebinde fehlt (Ist = 1 Gebinde); ","")&amp;BV195)</f>
        <v/>
      </c>
      <c r="BO195" s="60"/>
      <c r="BP195" s="60"/>
      <c r="BQ195" s="67"/>
      <c r="BR195" s="62" t="n">
        <v>746</v>
      </c>
      <c r="BS195" s="62" t="n">
        <v>260</v>
      </c>
      <c r="BT195" s="61" t="n">
        <v>830.199999999999</v>
      </c>
      <c r="BU195" s="62" t="n">
        <v>1270</v>
      </c>
      <c r="BV195" s="60"/>
      <c r="BW195" s="65" t="n">
        <v>0</v>
      </c>
      <c r="BX195" s="65" t="n">
        <v>195</v>
      </c>
      <c r="BY195" s="60" t="str">
        <f aca="false">IF(U195&lt;&gt;"",UPPER(TRIM(U195)),IF(CB195=1,UPPER(VLOOKUP(T195,Parameter!$I$27:$K$29,2,0)),IF(P195="","LOSE",P195)))</f>
        <v>S33</v>
      </c>
      <c r="BZ195" s="62" t="n">
        <f aca="false">IF(BY195="LOSE",1,IF(N(V195)&gt;0,V195,IF(CB195=1,MAX(1,N(VLOOKUP(T195,Parameter!$I$27:$K$29,3,0)),H195,N(N195)),IF(N(Q195)&gt;0,Q195,MAX(1,H195)))))</f>
        <v>666</v>
      </c>
      <c r="CA195" s="65" t="n">
        <f aca="false">IF(BY195="LOSE",1,0)</f>
        <v>0</v>
      </c>
      <c r="CB195" s="65" t="n">
        <f aca="false">IF(AND(U195="",OR(P195="",P195="LOSE"),T195&lt;&gt;"",N(S195)&lt;=0,ISNUMBER(MATCH(T195,Parameter!$I$27:$I$29,0))),1,0)</f>
        <v>0</v>
      </c>
      <c r="CC195" s="65" t="n">
        <f aca="false">IF(CR195&gt;0,INDEX(Parameter!$H$5:$H$7,W195)/INDEX(Parameter!$E$5:$E$7,W195),IF(AND(CA195=0,N(IFERROR(VLOOKUP(BY195,'Gebinde-Kategorie'!$A$5:$N$45,14,0),0))&gt;0),VLOOKUP(BY195,'Gebinde-Kategorie'!$A$5:$N$45,14,0)*10+Parameter!$M$23,Parameter!$M$24))</f>
        <v>155</v>
      </c>
      <c r="CD195" s="60" t="str">
        <f aca="false">IF(AND(Parameter!$B$19="Ja",E195&lt;&gt;"",ISNUMBER(MATCH(E195,Parameter!$I$35:$I$52,0))),VLOOKUP(E195,Parameter!$I$35:$J$52,2,0),IFERROR(VLOOKUP(D195,Parameter!$A$35:$C$64,2,0),"Nein"))</f>
        <v>2+3</v>
      </c>
      <c r="CE195" s="64" t="n">
        <f aca="false">IF(CA195=0,0,IF(N(S195)&gt;0,S195,IFERROR(VLOOKUP(D195,Parameter!$A$35:$C$64,3,0)+0,0)))</f>
        <v>0</v>
      </c>
      <c r="CF195" s="60" t="n">
        <f aca="false">IF(AB195&lt;&gt;"",AB195,AA195)</f>
        <v>3</v>
      </c>
      <c r="CG195" s="60" t="str">
        <f aca="false">IF(OR(CF195=1,CF195=2,CF195=3),IF(Parameter!$E$27="Ja","LIFT",IF(CF195=1,"L1","L23")),IF(CF195="Aussen","Aussen","-"))</f>
        <v>LIFT</v>
      </c>
      <c r="CH195" s="71" t="n">
        <f aca="false">IF(N(AC195)&gt;0,AC195,0)</f>
        <v>0</v>
      </c>
      <c r="CI195" s="65" t="n">
        <f aca="false">IF(ISNUMBER(AF195),1,0)</f>
        <v>0</v>
      </c>
      <c r="CJ195" s="62" t="n">
        <f aca="false">N(AF195)</f>
        <v>0</v>
      </c>
      <c r="CK195" s="62" t="n">
        <f aca="false">N(M195)+N(N195)</f>
        <v>1319</v>
      </c>
      <c r="CL195" s="62" t="n">
        <f aca="false">N(M195)</f>
        <v>49</v>
      </c>
      <c r="CM195" s="62" t="n">
        <f aca="false">N(N195)</f>
        <v>1270</v>
      </c>
      <c r="CN195" s="62" t="n">
        <f aca="false">ROUNDUP(H195/BZ195,0)</f>
        <v>2</v>
      </c>
      <c r="CO195" s="62" t="n">
        <f aca="false">ROUNDUP(CJ195/BZ195,0)</f>
        <v>0</v>
      </c>
      <c r="CP195" s="65" t="n">
        <f aca="false">IF(CA195=1,0,IFERROR(VLOOKUP(BY195,'Gebinde-Kategorie'!$A$5:$N$45,5,0)+0,0))</f>
        <v>8</v>
      </c>
      <c r="CQ195" s="65" t="n">
        <f aca="false">IFERROR(IF(OR(CF195=1,CF195=2,CF195=3),N(INDEX(Parameter!$I$5:$I$7,CF195)),0),0)</f>
        <v>0</v>
      </c>
      <c r="CR195" s="64" t="n">
        <f aca="false">IF(AND(Parameter!$B$21="Ja",ISNUMBER(W195),N(X195)&gt;0),IFERROR(N(INDEX(Parameter!$L$5:$L$7,W195))*INDEX(Parameter!$E$5:$E$7,W195)*X195/SUMIFS($X$7:$X$1843,$W$7:$W$1843,W195),0),0)</f>
        <v>0</v>
      </c>
      <c r="CS195" s="62" t="n">
        <f aca="false">IF(AND(OR(CG195="L1",CG195="L23",CG195="LIFT"),H195&gt;0),CC195*IF(CR195&gt;0,CR195*MAX(1,H195/X195),IF(CA195=1,CE195,IF(R195&gt;0,CN195/R195,0))/MAX(0.1,N(Parameter!$M$21))),"")</f>
        <v>5.96153846153846</v>
      </c>
      <c r="CT195" s="64" t="n">
        <f aca="false">IF(CS195="","",J195/H195)</f>
        <v>1.2624254473161</v>
      </c>
      <c r="CU195" s="62" t="n">
        <f aca="false">IF(CS195="","",H195*G195)</f>
        <v>1207.2</v>
      </c>
      <c r="CV195" s="63" t="n">
        <f aca="false">IF(CS195="","",(CL195+ROUNDUP(CL195+MAX(CM195,2*(J195/MAX(0.1,N(Einkauf!$C$6))-CL195)),0))/2)</f>
        <v>684</v>
      </c>
      <c r="CW195" s="62" t="n">
        <f aca="false">IF(CS195="","",MAX(0,H195-CV195)*G195)</f>
        <v>386.4</v>
      </c>
      <c r="CX195" s="62" t="n">
        <f aca="false">IF(CS195="","",CS195*MAX(0,1-CV195/H195))</f>
        <v>1.9081663862976</v>
      </c>
      <c r="CY195" s="64" t="n">
        <f aca="false">IF(CS195="","",PERCENTRANK($CS$7:$CS$1843,CS195)+PERCENTRANK($CU$7:$CU$1843,CU195)+1-PERCENTRANK($CT$7:$CT$1843,CT195))</f>
        <v>1.307</v>
      </c>
      <c r="CZ195" s="72" t="n">
        <f aca="false">IF(CS195="","",CHOOSE(MATCH(Einkauf!$C$5,Parameter!$G$23:$G$27,0),CY195,CS195,CU195,-CT195,CW195)+ROW()/1000000000)</f>
        <v>1.307000195</v>
      </c>
    </row>
    <row r="196" customFormat="false" ht="15" hidden="false" customHeight="false" outlineLevel="0" collapsed="false">
      <c r="A196" s="60" t="s">
        <v>635</v>
      </c>
      <c r="B196" s="60" t="s">
        <v>636</v>
      </c>
      <c r="C196" s="60" t="s">
        <v>206</v>
      </c>
      <c r="D196" s="60" t="s">
        <v>226</v>
      </c>
      <c r="E196" s="60"/>
      <c r="F196" s="60" t="s">
        <v>260</v>
      </c>
      <c r="G196" s="61" t="n">
        <v>34.52</v>
      </c>
      <c r="H196" s="62" t="n">
        <f aca="false">MAX(0,IF(AND(Parameter!$B$21="Ja",ISNUMBER(Y196)),Y196,IF(Parameter!$B$20="Jahresanfang 2025 + Export",BS196+BR196,BR196)))</f>
        <v>24</v>
      </c>
      <c r="I196" s="62" t="n">
        <f aca="false">H196*G196</f>
        <v>828.48</v>
      </c>
      <c r="J196" s="62" t="n">
        <f aca="false">BU196*Parameter!$B$18</f>
        <v>0</v>
      </c>
      <c r="K196" s="63" t="n">
        <v>0</v>
      </c>
      <c r="L196" s="64" t="n">
        <v>0</v>
      </c>
      <c r="M196" s="62" t="n">
        <v>0</v>
      </c>
      <c r="N196" s="62" t="n">
        <v>1</v>
      </c>
      <c r="O196" s="65" t="n">
        <v>9999</v>
      </c>
      <c r="P196" s="60" t="s">
        <v>210</v>
      </c>
      <c r="Q196" s="62"/>
      <c r="R196" s="65" t="n">
        <f aca="false">IF(CA196=1,0,IFERROR(VLOOKUP(BY196,'Gebinde-Kategorie'!$A$5:$N$45,13,0)+0,0))</f>
        <v>26</v>
      </c>
      <c r="S196" s="66"/>
      <c r="T196" s="67" t="s">
        <v>317</v>
      </c>
      <c r="U196" s="67"/>
      <c r="V196" s="67"/>
      <c r="W196" s="60"/>
      <c r="X196" s="62"/>
      <c r="Y196" s="62"/>
      <c r="Z196" s="60" t="n">
        <v>3</v>
      </c>
      <c r="AA196" s="60" t="n">
        <f aca="false">IF(A196="","",IF(AND(Parameter!$B$21="Ja",ISNUMBER(W196)),W196,IF(AND(Parameter!$E$27="Ja",ISNUMBER(Z196),CD196&lt;&gt;"Nein"),Z196,IF(CD196="2+3",IF(ISNUMBER(SEARCH("grosser Artikel",BV196)),2,IFERROR(VLOOKUP(BY196,Parameter!$F$35:$G$64,2,0),2)),IF(OR(CD196="Nein",CD196=""),"-",CD196)))))</f>
        <v>3</v>
      </c>
      <c r="AB196" s="67"/>
      <c r="AC196" s="68"/>
      <c r="AD196" s="62" t="n">
        <f aca="false">AW196</f>
        <v>1</v>
      </c>
      <c r="AE196" s="62" t="n">
        <f aca="false">MAX(AW196,H196)</f>
        <v>24</v>
      </c>
      <c r="AF196" s="69"/>
      <c r="AG196" s="62" t="n">
        <f aca="false">IF(LEFT(Cockpit!$C$5,1)="A",H196,IF(Parameter!$E$30="MAX-Bestand",IF(CI196=1,CJ196,IF(LEFT(Cockpit!$C$5,1)="B",AM196,MAX(AM196,H196))),ROUNDUP(AK196,0)))</f>
        <v>24</v>
      </c>
      <c r="AH196" s="62" t="n">
        <f aca="false">IF(CA196=1,0,ROUNDUP(AG196/BZ196,0))</f>
        <v>1</v>
      </c>
      <c r="AI196" s="64" t="n">
        <f aca="false">IF(CR196&gt;0,CR196*MAX(1,AG196/X196),IF(CA196=1,IF(AG196&lt;=0,0,CE196*MAX(1,IF(H196&gt;0,AG196/H196,1))),IF(R196&gt;0,AH196/R196,0))/MAX(0.1,N(Parameter!$M$21)))</f>
        <v>0.0384615384615385</v>
      </c>
      <c r="AJ196" s="62" t="n">
        <f aca="false">AI196*CC196</f>
        <v>5.96153846153846</v>
      </c>
      <c r="AK196" s="63" t="n">
        <f aca="false">IF(LEFT(Cockpit!$C$5,1)="A",H196,IF(CI196=1,(CL196+CJ196)/2,IF(LEFT(Cockpit!$C$5,1)="B",(CL196+AM196)/2,MAX((CL196+AM196)/2,H196))))</f>
        <v>24</v>
      </c>
      <c r="AL196" s="62" t="n">
        <f aca="false">AK196*G196</f>
        <v>828.48</v>
      </c>
      <c r="AM196" s="62" t="n">
        <f aca="false">ROUNDUP(CL196+MAX(CM196,2*(J196/IF(CH196&gt;0,CH196,MAX(0.1,N(Cockpit!$C$6)))-CL196)),0)</f>
        <v>1</v>
      </c>
      <c r="AN196" s="63" t="n">
        <f aca="false">IF(AJ196&gt;0,J196/AJ196,-1)</f>
        <v>0</v>
      </c>
      <c r="AO196" s="63" t="n">
        <f aca="false">IF(AND(OR(CG196="L1",CG196="L23",CG196="LIFT"),AJ196&gt;0),SUMIFS($AJ$7:$AJ$1843,$CG$7:$CG$1843,CG196,$AN$7:$AN$1843,"&gt;"&amp;AN196)+SUMIFS($AJ$7:$AJ$1843,$CG$7:$CG$1843,CG196,$AN$7:$AN$1843,AN196,$BX$7:$BX$1843,"&lt;="&amp;BX196),"")</f>
        <v>27524.4177505639</v>
      </c>
      <c r="AP196" s="70" t="n">
        <f aca="false">IF(AO196="",0,MAX(0,MIN(1,(IF(CG196="L1",Parameter!$H$5,IF(CG196="L23",Parameter!$H$6+Parameter!$H$7,Parameter!$H$5+Parameter!$H$6+Parameter!$H$7))-(AO196-AJ196))/AJ196)))</f>
        <v>1</v>
      </c>
      <c r="AQ196" s="62" t="n">
        <f aca="false">IF(LEFT(Cockpit!$I$5,1)="A",H196,IF(Parameter!$E$30="MAX-Bestand",IF(CI196=1,CJ196,IF(LEFT(Cockpit!$I$5,1)="B",AW196,MAX(AW196,H196))),ROUNDUP(AU196,0)))</f>
        <v>24</v>
      </c>
      <c r="AR196" s="62" t="n">
        <f aca="false">IF(CA196=1,0,ROUNDUP(AQ196/BZ196,0))</f>
        <v>1</v>
      </c>
      <c r="AS196" s="64" t="n">
        <f aca="false">IF(CR196&gt;0,CR196*MAX(1,AQ196/X196),IF(CA196=1,IF(AQ196&lt;=0,0,CE196*MAX(1,IF(H196&gt;0,AQ196/H196,1))),IF(R196&gt;0,AR196/R196,0))/MAX(0.1,N(Parameter!$M$21)))</f>
        <v>0.0384615384615385</v>
      </c>
      <c r="AT196" s="62" t="n">
        <f aca="false">AS196*CC196</f>
        <v>5.96153846153846</v>
      </c>
      <c r="AU196" s="63" t="n">
        <f aca="false">IF(LEFT(Cockpit!$I$5,1)="A",H196,IF(CI196=1,(CL196+CJ196)/2,IF(LEFT(Cockpit!$I$5,1)="B",(CL196+AW196)/2,MAX((CL196+AW196)/2,H196))))</f>
        <v>24</v>
      </c>
      <c r="AV196" s="62" t="n">
        <f aca="false">AU196*G196</f>
        <v>828.48</v>
      </c>
      <c r="AW196" s="62" t="n">
        <f aca="false">ROUNDUP(CL196+MAX(CM196,2*(J196/IF(CH196&gt;0,CH196,MAX(0.1,N(Cockpit!$I$6)))-CL196)),0)</f>
        <v>1</v>
      </c>
      <c r="AX196" s="63" t="n">
        <f aca="false">IF(AT196&gt;0,J196/AT196,-1)</f>
        <v>0</v>
      </c>
      <c r="AY196" s="63" t="n">
        <f aca="false">IF(AND(OR(CG196="L1",CG196="L23",CG196="LIFT"),AT196&gt;0),SUMIFS($AT$7:$AT$1843,$CG$7:$CG$1843,CG196,$AX$7:$AX$1843,"&gt;"&amp;AX196)+SUMIFS($AT$7:$AT$1843,$CG$7:$CG$1843,CG196,$AX$7:$AX$1843,AX196,$BX$7:$BX$1843,"&lt;="&amp;BX196),"")</f>
        <v>32877.5663919414</v>
      </c>
      <c r="AZ196" s="70" t="n">
        <f aca="false">IF(AY196="",0,MAX(0,MIN(1,(IF(CG196="L1",Parameter!$H$5,IF(CG196="L23",Parameter!$H$6+Parameter!$H$7,Parameter!$H$5+Parameter!$H$6+Parameter!$H$7))-(AY196-AT196))/AT196)))</f>
        <v>1</v>
      </c>
      <c r="BA196" s="62" t="n">
        <f aca="false">IF(LEFT(Cockpit!$O$5,1)="A",H196,IF(Parameter!$E$30="MAX-Bestand",IF(CI196=1,CJ196,IF(LEFT(Cockpit!$O$5,1)="B",BG196,MAX(BG196,H196))),ROUNDUP(BE196,0)))</f>
        <v>1</v>
      </c>
      <c r="BB196" s="62" t="n">
        <f aca="false">IF(CA196=1,0,ROUNDUP(BA196/BZ196,0))</f>
        <v>1</v>
      </c>
      <c r="BC196" s="64" t="n">
        <f aca="false">IF(CR196&gt;0,CR196*MAX(1,BA196/X196),IF(CA196=1,IF(BA196&lt;=0,0,CE196*MAX(1,IF(H196&gt;0,BA196/H196,1))),IF(R196&gt;0,BB196/R196,0))/MAX(0.1,N(Parameter!$M$21)))</f>
        <v>0.0384615384615385</v>
      </c>
      <c r="BD196" s="62" t="n">
        <f aca="false">BC196*CC196</f>
        <v>5.96153846153846</v>
      </c>
      <c r="BE196" s="63" t="n">
        <f aca="false">IF(LEFT(Cockpit!$O$5,1)="A",H196,IF(CI196=1,(CL196+CJ196)/2,IF(LEFT(Cockpit!$O$5,1)="B",(CL196+BG196)/2,MAX((CL196+BG196)/2,H196))))</f>
        <v>0.5</v>
      </c>
      <c r="BF196" s="62" t="n">
        <f aca="false">BE196*G196</f>
        <v>17.26</v>
      </c>
      <c r="BG196" s="62" t="n">
        <f aca="false">ROUNDUP(CL196+MAX(CM196,2*(J196/IF(CH196&gt;0,CH196,MAX(0.1,N(Cockpit!$O$6)))-CL196)),0)</f>
        <v>1</v>
      </c>
      <c r="BH196" s="63" t="n">
        <f aca="false">IF(BD196&gt;0,J196/BD196,-1)</f>
        <v>0</v>
      </c>
      <c r="BI196" s="63" t="n">
        <f aca="false">IF(AND(OR(CG196="L1",CG196="L23",CG196="LIFT"),BD196&gt;0),SUMIFS($BD$7:$BD$1843,$CG$7:$CG$1843,CG196,$BH$7:$BH$1843,"&gt;"&amp;BH196)+SUMIFS($BD$7:$BD$1843,$CG$7:$CG$1843,CG196,$BH$7:$BH$1843,BH196,$BX$7:$BX$1843,"&lt;="&amp;BX196),"")</f>
        <v>27041.8084916496</v>
      </c>
      <c r="BJ196" s="70" t="n">
        <f aca="false">IF(BI196="",0,MAX(0,MIN(1,(IF(CG196="L1",Parameter!$H$5,IF(CG196="L23",Parameter!$H$6+Parameter!$H$7,Parameter!$H$5+Parameter!$H$6+Parameter!$H$7))-(BI196-BD196))/BD196)))</f>
        <v>1</v>
      </c>
      <c r="BK196" s="60" t="str">
        <f aca="false">IF(AJ196&lt;=0,"",IF(CG196="Aussen","Aussenlager",IF(CG196="-","Nicht im Lift",IF(AP196&gt;=1,"Lift",IF(AP196&lt;=0,"Aussenlager","teilweise")))))</f>
        <v>Lift</v>
      </c>
      <c r="BL196" s="60" t="str">
        <f aca="false">IF(AT196&lt;=0,"",IF(CG196="Aussen","Aussenlager",IF(CG196="-","Nicht im Lift",IF(AZ196&gt;=1,"Lift",IF(AZ196&lt;=0,"Aussenlager","teilweise")))))</f>
        <v>Lift</v>
      </c>
      <c r="BM196" s="60" t="str">
        <f aca="false">IF(BD196&lt;=0,"",IF(CG196="Aussen","Aussenlager",IF(CG196="-","Nicht im Lift",IF(BJ196&gt;=1,"Lift",IF(BJ196&lt;=0,"Aussenlager","teilweise")))))</f>
        <v>Lift</v>
      </c>
      <c r="BN196" s="60" t="str">
        <f aca="false">IF(A196="","",IF(BW196=1,"Neu; ","")&amp;IF(AND(BW196=0,BR196&lt;0),"negativer Bestand (Export "&amp;BR196&amp;"); ","")&amp;IF(J196&lt;=0,"Kein Verbrauch; ","")&amp;IF(CR196&gt;0,"Lift "&amp;W196&amp;" lt. Liftbericht (Fach "&amp;X196&amp;" Stk); ",IF(CB196=1,"Gebinde geschätzt ("&amp;T196&amp;"); ",IF(CA196=1,"Lose – Tablare geschätzt; ","")))&amp;IF(H196&gt;AW196,"Überbestand "&amp;ROUND(H196-AW196,0)&amp;" Stk / CHF "&amp;ROUND((H196-AW196)*G196,0)&amp;"; ","")&amp;IF(AND(CI196=1,CJ196&lt;CK196),"MAX &lt; MB+LG; ","")&amp;IF(AND(CQ196&gt;0,CP196*10&gt;CQ196),"zu hoch für Tablar; ","")&amp;IF(AND(BW196=0,OR(CI196=1,AB196&lt;&gt;"",U196&lt;&gt;"",V196&lt;&gt;"",AC196&lt;&gt;"")),"manuell übersteuert; ","")&amp;IF(AND(CA196=0,R196=0),"Gebinde unbekannt / Stellmass fehlt; ","")&amp;IF(AND(CA196=0,N(V196)&lt;=0,N(Q196)&lt;=0),"Menge pro Gebinde fehlt (Ist = 1 Gebinde); ","")&amp;BV196)</f>
        <v>Kein Verbrauch; Gebinde geschätzt (Klein); Überbestand 23 Stk / CHF 794; Menge pro Gebinde fehlt (Ist = 1 Gebinde); </v>
      </c>
      <c r="BO196" s="60"/>
      <c r="BP196" s="60"/>
      <c r="BQ196" s="67"/>
      <c r="BR196" s="62" t="n">
        <v>24</v>
      </c>
      <c r="BS196" s="62" t="n">
        <v>0</v>
      </c>
      <c r="BT196" s="61" t="n">
        <v>828.48</v>
      </c>
      <c r="BU196" s="62" t="n">
        <v>0</v>
      </c>
      <c r="BV196" s="60"/>
      <c r="BW196" s="65" t="n">
        <v>0</v>
      </c>
      <c r="BX196" s="65" t="n">
        <v>196</v>
      </c>
      <c r="BY196" s="60" t="str">
        <f aca="false">IF(U196&lt;&gt;"",UPPER(TRIM(U196)),IF(CB196=1,UPPER(VLOOKUP(T196,Parameter!$I$27:$K$29,2,0)),IF(P196="","LOSE",P196)))</f>
        <v>S51</v>
      </c>
      <c r="BZ196" s="62" t="n">
        <f aca="false">IF(BY196="LOSE",1,IF(N(V196)&gt;0,V196,IF(CB196=1,MAX(1,N(VLOOKUP(T196,Parameter!$I$27:$K$29,3,0)),H196,N(N196)),IF(N(Q196)&gt;0,Q196,MAX(1,H196)))))</f>
        <v>24</v>
      </c>
      <c r="CA196" s="65" t="n">
        <f aca="false">IF(BY196="LOSE",1,0)</f>
        <v>0</v>
      </c>
      <c r="CB196" s="65" t="n">
        <f aca="false">IF(AND(U196="",OR(P196="",P196="LOSE"),T196&lt;&gt;"",N(S196)&lt;=0,ISNUMBER(MATCH(T196,Parameter!$I$27:$I$29,0))),1,0)</f>
        <v>1</v>
      </c>
      <c r="CC196" s="65" t="n">
        <f aca="false">IF(CR196&gt;0,INDEX(Parameter!$H$5:$H$7,W196)/INDEX(Parameter!$E$5:$E$7,W196),IF(AND(CA196=0,N(IFERROR(VLOOKUP(BY196,'Gebinde-Kategorie'!$A$5:$N$45,14,0),0))&gt;0),VLOOKUP(BY196,'Gebinde-Kategorie'!$A$5:$N$45,14,0)*10+Parameter!$M$23,Parameter!$M$24))</f>
        <v>155</v>
      </c>
      <c r="CD196" s="60" t="str">
        <f aca="false">IF(AND(Parameter!$B$19="Ja",E196&lt;&gt;"",ISNUMBER(MATCH(E196,Parameter!$I$35:$I$52,0))),VLOOKUP(E196,Parameter!$I$35:$J$52,2,0),IFERROR(VLOOKUP(D196,Parameter!$A$35:$C$64,2,0),"Nein"))</f>
        <v>2+3</v>
      </c>
      <c r="CE196" s="64" t="n">
        <f aca="false">IF(CA196=0,0,IF(N(S196)&gt;0,S196,IFERROR(VLOOKUP(D196,Parameter!$A$35:$C$64,3,0)+0,0)))</f>
        <v>0</v>
      </c>
      <c r="CF196" s="60" t="n">
        <f aca="false">IF(AB196&lt;&gt;"",AB196,AA196)</f>
        <v>3</v>
      </c>
      <c r="CG196" s="60" t="str">
        <f aca="false">IF(OR(CF196=1,CF196=2,CF196=3),IF(Parameter!$E$27="Ja","LIFT",IF(CF196=1,"L1","L23")),IF(CF196="Aussen","Aussen","-"))</f>
        <v>LIFT</v>
      </c>
      <c r="CH196" s="71" t="n">
        <f aca="false">IF(N(AC196)&gt;0,AC196,0)</f>
        <v>0</v>
      </c>
      <c r="CI196" s="65" t="n">
        <f aca="false">IF(ISNUMBER(AF196),1,0)</f>
        <v>0</v>
      </c>
      <c r="CJ196" s="62" t="n">
        <f aca="false">N(AF196)</f>
        <v>0</v>
      </c>
      <c r="CK196" s="62" t="n">
        <f aca="false">N(M196)+N(N196)</f>
        <v>1</v>
      </c>
      <c r="CL196" s="62" t="n">
        <f aca="false">N(M196)</f>
        <v>0</v>
      </c>
      <c r="CM196" s="62" t="n">
        <f aca="false">N(N196)</f>
        <v>1</v>
      </c>
      <c r="CN196" s="62" t="n">
        <f aca="false">ROUNDUP(H196/BZ196,0)</f>
        <v>1</v>
      </c>
      <c r="CO196" s="62" t="n">
        <f aca="false">ROUNDUP(CJ196/BZ196,0)</f>
        <v>0</v>
      </c>
      <c r="CP196" s="65" t="n">
        <f aca="false">IF(CA196=1,0,IFERROR(VLOOKUP(BY196,'Gebinde-Kategorie'!$A$5:$N$45,5,0)+0,0))</f>
        <v>11</v>
      </c>
      <c r="CQ196" s="65" t="n">
        <f aca="false">IFERROR(IF(OR(CF196=1,CF196=2,CF196=3),N(INDEX(Parameter!$I$5:$I$7,CF196)),0),0)</f>
        <v>0</v>
      </c>
      <c r="CR196" s="64" t="n">
        <f aca="false">IF(AND(Parameter!$B$21="Ja",ISNUMBER(W196),N(X196)&gt;0),IFERROR(N(INDEX(Parameter!$L$5:$L$7,W196))*INDEX(Parameter!$E$5:$E$7,W196)*X196/SUMIFS($X$7:$X$1843,$W$7:$W$1843,W196),0),0)</f>
        <v>0</v>
      </c>
      <c r="CS196" s="62" t="n">
        <f aca="false">IF(AND(OR(CG196="L1",CG196="L23",CG196="LIFT"),H196&gt;0),CC196*IF(CR196&gt;0,CR196*MAX(1,H196/X196),IF(CA196=1,CE196,IF(R196&gt;0,CN196/R196,0))/MAX(0.1,N(Parameter!$M$21))),"")</f>
        <v>5.96153846153846</v>
      </c>
      <c r="CT196" s="64" t="n">
        <f aca="false">IF(CS196="","",J196/H196)</f>
        <v>0</v>
      </c>
      <c r="CU196" s="62" t="n">
        <f aca="false">IF(CS196="","",H196*G196)</f>
        <v>828.48</v>
      </c>
      <c r="CV196" s="63" t="n">
        <f aca="false">IF(CS196="","",(CL196+ROUNDUP(CL196+MAX(CM196,2*(J196/MAX(0.1,N(Einkauf!$C$6))-CL196)),0))/2)</f>
        <v>0.5</v>
      </c>
      <c r="CW196" s="62" t="n">
        <f aca="false">IF(CS196="","",MAX(0,H196-CV196)*G196)</f>
        <v>811.22</v>
      </c>
      <c r="CX196" s="62" t="n">
        <f aca="false">IF(CS196="","",CS196*MAX(0,1-CV196/H196))</f>
        <v>5.83733974358974</v>
      </c>
      <c r="CY196" s="64" t="n">
        <f aca="false">IF(CS196="","",PERCENTRANK($CS$7:$CS$1843,CS196)+PERCENTRANK($CU$7:$CU$1843,CU196)+1-PERCENTRANK($CT$7:$CT$1843,CT196))</f>
        <v>1.97</v>
      </c>
      <c r="CZ196" s="72" t="n">
        <f aca="false">IF(CS196="","",CHOOSE(MATCH(Einkauf!$C$5,Parameter!$G$23:$G$27,0),CY196,CS196,CU196,-CT196,CW196)+ROW()/1000000000)</f>
        <v>1.970000196</v>
      </c>
    </row>
    <row r="197" customFormat="false" ht="15" hidden="false" customHeight="false" outlineLevel="0" collapsed="false">
      <c r="A197" s="60" t="s">
        <v>637</v>
      </c>
      <c r="B197" s="60" t="s">
        <v>638</v>
      </c>
      <c r="C197" s="60" t="s">
        <v>206</v>
      </c>
      <c r="D197" s="60" t="s">
        <v>226</v>
      </c>
      <c r="E197" s="60" t="s">
        <v>227</v>
      </c>
      <c r="F197" s="60" t="s">
        <v>260</v>
      </c>
      <c r="G197" s="61" t="n">
        <v>25.14</v>
      </c>
      <c r="H197" s="62" t="n">
        <f aca="false">MAX(0,IF(AND(Parameter!$B$21="Ja",ISNUMBER(Y197)),Y197,IF(Parameter!$B$20="Jahresanfang 2025 + Export",BS197+BR197,BR197)))</f>
        <v>112</v>
      </c>
      <c r="I197" s="62" t="n">
        <f aca="false">H197*G197</f>
        <v>2815.68</v>
      </c>
      <c r="J197" s="62" t="n">
        <f aca="false">BU197*Parameter!$B$18</f>
        <v>112</v>
      </c>
      <c r="K197" s="63" t="n">
        <v>123</v>
      </c>
      <c r="L197" s="64" t="n">
        <v>0.910569105691057</v>
      </c>
      <c r="M197" s="62" t="n">
        <v>26</v>
      </c>
      <c r="N197" s="62" t="n">
        <v>110</v>
      </c>
      <c r="O197" s="65" t="n">
        <v>84</v>
      </c>
      <c r="P197" s="60" t="s">
        <v>370</v>
      </c>
      <c r="Q197" s="62" t="n">
        <v>19</v>
      </c>
      <c r="R197" s="65" t="n">
        <f aca="false">IF(CA197=1,0,IFERROR(VLOOKUP(BY197,'Gebinde-Kategorie'!$A$5:$N$45,13,0)+0,0))</f>
        <v>52</v>
      </c>
      <c r="S197" s="66"/>
      <c r="T197" s="67"/>
      <c r="U197" s="67"/>
      <c r="V197" s="67"/>
      <c r="W197" s="60"/>
      <c r="X197" s="62"/>
      <c r="Y197" s="62"/>
      <c r="Z197" s="60" t="n">
        <v>3</v>
      </c>
      <c r="AA197" s="60" t="n">
        <f aca="false">IF(A197="","",IF(AND(Parameter!$B$21="Ja",ISNUMBER(W197)),W197,IF(AND(Parameter!$E$27="Ja",ISNUMBER(Z197),CD197&lt;&gt;"Nein"),Z197,IF(CD197="2+3",IF(ISNUMBER(SEARCH("grosser Artikel",BV197)),2,IFERROR(VLOOKUP(BY197,Parameter!$F$35:$G$64,2,0),2)),IF(OR(CD197="Nein",CD197=""),"-",CD197)))))</f>
        <v>3</v>
      </c>
      <c r="AB197" s="67"/>
      <c r="AC197" s="68"/>
      <c r="AD197" s="62" t="n">
        <f aca="false">AW197</f>
        <v>136</v>
      </c>
      <c r="AE197" s="62" t="n">
        <f aca="false">MAX(AW197,H197)</f>
        <v>136</v>
      </c>
      <c r="AF197" s="69"/>
      <c r="AG197" s="62" t="n">
        <f aca="false">IF(LEFT(Cockpit!$C$5,1)="A",H197,IF(Parameter!$E$30="MAX-Bestand",IF(CI197=1,CJ197,IF(LEFT(Cockpit!$C$5,1)="B",AM197,MAX(AM197,H197))),ROUNDUP(AK197,0)))</f>
        <v>112</v>
      </c>
      <c r="AH197" s="62" t="n">
        <f aca="false">IF(CA197=1,0,ROUNDUP(AG197/BZ197,0))</f>
        <v>6</v>
      </c>
      <c r="AI197" s="64" t="n">
        <f aca="false">IF(CR197&gt;0,CR197*MAX(1,AG197/X197),IF(CA197=1,IF(AG197&lt;=0,0,CE197*MAX(1,IF(H197&gt;0,AG197/H197,1))),IF(R197&gt;0,AH197/R197,0))/MAX(0.1,N(Parameter!$M$21)))</f>
        <v>0.115384615384615</v>
      </c>
      <c r="AJ197" s="62" t="n">
        <f aca="false">AI197*CC197</f>
        <v>17.8846153846154</v>
      </c>
      <c r="AK197" s="63" t="n">
        <f aca="false">IF(LEFT(Cockpit!$C$5,1)="A",H197,IF(CI197=1,(CL197+CJ197)/2,IF(LEFT(Cockpit!$C$5,1)="B",(CL197+AM197)/2,MAX((CL197+AM197)/2,H197))))</f>
        <v>112</v>
      </c>
      <c r="AL197" s="62" t="n">
        <f aca="false">AK197*G197</f>
        <v>2815.68</v>
      </c>
      <c r="AM197" s="62" t="n">
        <f aca="false">ROUNDUP(CL197+MAX(CM197,2*(J197/IF(CH197&gt;0,CH197,MAX(0.1,N(Cockpit!$C$6)))-CL197)),0)</f>
        <v>136</v>
      </c>
      <c r="AN197" s="63" t="n">
        <f aca="false">IF(AJ197&gt;0,J197/AJ197,-1)</f>
        <v>6.26236559139785</v>
      </c>
      <c r="AO197" s="63" t="n">
        <f aca="false">IF(AND(OR(CG197="L1",CG197="L23",CG197="LIFT"),AJ197&gt;0),SUMIFS($AJ$7:$AJ$1843,$CG$7:$CG$1843,CG197,$AN$7:$AN$1843,"&gt;"&amp;AN197)+SUMIFS($AJ$7:$AJ$1843,$CG$7:$CG$1843,CG197,$AN$7:$AN$1843,AN197,$BX$7:$BX$1843,"&lt;="&amp;BX197),"")</f>
        <v>3490.0902014652</v>
      </c>
      <c r="AP197" s="70" t="n">
        <f aca="false">IF(AO197="",0,MAX(0,MIN(1,(IF(CG197="L1",Parameter!$H$5,IF(CG197="L23",Parameter!$H$6+Parameter!$H$7,Parameter!$H$5+Parameter!$H$6+Parameter!$H$7))-(AO197-AJ197))/AJ197)))</f>
        <v>1</v>
      </c>
      <c r="AQ197" s="62" t="n">
        <f aca="false">IF(LEFT(Cockpit!$I$5,1)="A",H197,IF(Parameter!$E$30="MAX-Bestand",IF(CI197=1,CJ197,IF(LEFT(Cockpit!$I$5,1)="B",AW197,MAX(AW197,H197))),ROUNDUP(AU197,0)))</f>
        <v>112</v>
      </c>
      <c r="AR197" s="62" t="n">
        <f aca="false">IF(CA197=1,0,ROUNDUP(AQ197/BZ197,0))</f>
        <v>6</v>
      </c>
      <c r="AS197" s="64" t="n">
        <f aca="false">IF(CR197&gt;0,CR197*MAX(1,AQ197/X197),IF(CA197=1,IF(AQ197&lt;=0,0,CE197*MAX(1,IF(H197&gt;0,AQ197/H197,1))),IF(R197&gt;0,AR197/R197,0))/MAX(0.1,N(Parameter!$M$21)))</f>
        <v>0.115384615384615</v>
      </c>
      <c r="AT197" s="62" t="n">
        <f aca="false">AS197*CC197</f>
        <v>17.8846153846154</v>
      </c>
      <c r="AU197" s="63" t="n">
        <f aca="false">IF(LEFT(Cockpit!$I$5,1)="A",H197,IF(CI197=1,(CL197+CJ197)/2,IF(LEFT(Cockpit!$I$5,1)="B",(CL197+AW197)/2,MAX((CL197+AW197)/2,H197))))</f>
        <v>112</v>
      </c>
      <c r="AV197" s="62" t="n">
        <f aca="false">AU197*G197</f>
        <v>2815.68</v>
      </c>
      <c r="AW197" s="62" t="n">
        <f aca="false">ROUNDUP(CL197+MAX(CM197,2*(J197/IF(CH197&gt;0,CH197,MAX(0.1,N(Cockpit!$I$6)))-CL197)),0)</f>
        <v>136</v>
      </c>
      <c r="AX197" s="63" t="n">
        <f aca="false">IF(AT197&gt;0,J197/AT197,-1)</f>
        <v>6.26236559139785</v>
      </c>
      <c r="AY197" s="63" t="n">
        <f aca="false">IF(AND(OR(CG197="L1",CG197="L23",CG197="LIFT"),AT197&gt;0),SUMIFS($AT$7:$AT$1843,$CG$7:$CG$1843,CG197,$AX$7:$AX$1843,"&gt;"&amp;AX197)+SUMIFS($AT$7:$AT$1843,$CG$7:$CG$1843,CG197,$AX$7:$AX$1843,AX197,$BX$7:$BX$1843,"&lt;="&amp;BX197),"")</f>
        <v>4155.75412087912</v>
      </c>
      <c r="AZ197" s="70" t="n">
        <f aca="false">IF(AY197="",0,MAX(0,MIN(1,(IF(CG197="L1",Parameter!$H$5,IF(CG197="L23",Parameter!$H$6+Parameter!$H$7,Parameter!$H$5+Parameter!$H$6+Parameter!$H$7))-(AY197-AT197))/AT197)))</f>
        <v>1</v>
      </c>
      <c r="BA197" s="62" t="n">
        <f aca="false">IF(LEFT(Cockpit!$O$5,1)="A",H197,IF(Parameter!$E$30="MAX-Bestand",IF(CI197=1,CJ197,IF(LEFT(Cockpit!$O$5,1)="B",BG197,MAX(BG197,H197))),ROUNDUP(BE197,0)))</f>
        <v>81</v>
      </c>
      <c r="BB197" s="62" t="n">
        <f aca="false">IF(CA197=1,0,ROUNDUP(BA197/BZ197,0))</f>
        <v>5</v>
      </c>
      <c r="BC197" s="64" t="n">
        <f aca="false">IF(CR197&gt;0,CR197*MAX(1,BA197/X197),IF(CA197=1,IF(BA197&lt;=0,0,CE197*MAX(1,IF(H197&gt;0,BA197/H197,1))),IF(R197&gt;0,BB197/R197,0))/MAX(0.1,N(Parameter!$M$21)))</f>
        <v>0.0961538461538462</v>
      </c>
      <c r="BD197" s="62" t="n">
        <f aca="false">BC197*CC197</f>
        <v>14.9038461538462</v>
      </c>
      <c r="BE197" s="63" t="n">
        <f aca="false">IF(LEFT(Cockpit!$O$5,1)="A",H197,IF(CI197=1,(CL197+CJ197)/2,IF(LEFT(Cockpit!$O$5,1)="B",(CL197+BG197)/2,MAX((CL197+BG197)/2,H197))))</f>
        <v>81</v>
      </c>
      <c r="BF197" s="62" t="n">
        <f aca="false">BE197*G197</f>
        <v>2036.34</v>
      </c>
      <c r="BG197" s="62" t="n">
        <f aca="false">ROUNDUP(CL197+MAX(CM197,2*(J197/IF(CH197&gt;0,CH197,MAX(0.1,N(Cockpit!$O$6)))-CL197)),0)</f>
        <v>136</v>
      </c>
      <c r="BH197" s="63" t="n">
        <f aca="false">IF(BD197&gt;0,J197/BD197,-1)</f>
        <v>7.51483870967742</v>
      </c>
      <c r="BI197" s="63" t="n">
        <f aca="false">IF(AND(OR(CG197="L1",CG197="L23",CG197="LIFT"),BD197&gt;0),SUMIFS($BD$7:$BD$1843,$CG$7:$CG$1843,CG197,$BH$7:$BH$1843,"&gt;"&amp;BH197)+SUMIFS($BD$7:$BD$1843,$CG$7:$CG$1843,CG197,$BH$7:$BH$1843,BH197,$BX$7:$BX$1843,"&lt;="&amp;BX197),"")</f>
        <v>3186.31547619048</v>
      </c>
      <c r="BJ197" s="70" t="n">
        <f aca="false">IF(BI197="",0,MAX(0,MIN(1,(IF(CG197="L1",Parameter!$H$5,IF(CG197="L23",Parameter!$H$6+Parameter!$H$7,Parameter!$H$5+Parameter!$H$6+Parameter!$H$7))-(BI197-BD197))/BD197)))</f>
        <v>1</v>
      </c>
      <c r="BK197" s="60" t="str">
        <f aca="false">IF(AJ197&lt;=0,"",IF(CG197="Aussen","Aussenlager",IF(CG197="-","Nicht im Lift",IF(AP197&gt;=1,"Lift",IF(AP197&lt;=0,"Aussenlager","teilweise")))))</f>
        <v>Lift</v>
      </c>
      <c r="BL197" s="60" t="str">
        <f aca="false">IF(AT197&lt;=0,"",IF(CG197="Aussen","Aussenlager",IF(CG197="-","Nicht im Lift",IF(AZ197&gt;=1,"Lift",IF(AZ197&lt;=0,"Aussenlager","teilweise")))))</f>
        <v>Lift</v>
      </c>
      <c r="BM197" s="60" t="str">
        <f aca="false">IF(BD197&lt;=0,"",IF(CG197="Aussen","Aussenlager",IF(CG197="-","Nicht im Lift",IF(BJ197&gt;=1,"Lift",IF(BJ197&lt;=0,"Aussenlager","teilweise")))))</f>
        <v>Lift</v>
      </c>
      <c r="BN197" s="60" t="str">
        <f aca="false">IF(A197="","",IF(BW197=1,"Neu; ","")&amp;IF(AND(BW197=0,BR197&lt;0),"negativer Bestand (Export "&amp;BR197&amp;"); ","")&amp;IF(J197&lt;=0,"Kein Verbrauch; ","")&amp;IF(CR197&gt;0,"Lift "&amp;W197&amp;" lt. Liftbericht (Fach "&amp;X197&amp;" Stk); ",IF(CB197=1,"Gebinde geschätzt ("&amp;T197&amp;"); ",IF(CA197=1,"Lose – Tablare geschätzt; ","")))&amp;IF(H197&gt;AW197,"Überbestand "&amp;ROUND(H197-AW197,0)&amp;" Stk / CHF "&amp;ROUND((H197-AW197)*G197,0)&amp;"; ","")&amp;IF(AND(CI197=1,CJ197&lt;CK197),"MAX &lt; MB+LG; ","")&amp;IF(AND(CQ197&gt;0,CP197*10&gt;CQ197),"zu hoch für Tablar; ","")&amp;IF(AND(BW197=0,OR(CI197=1,AB197&lt;&gt;"",U197&lt;&gt;"",V197&lt;&gt;"",AC197&lt;&gt;"")),"manuell übersteuert; ","")&amp;IF(AND(CA197=0,R197=0),"Gebinde unbekannt / Stellmass fehlt; ","")&amp;IF(AND(CA197=0,N(V197)&lt;=0,N(Q197)&lt;=0),"Menge pro Gebinde fehlt (Ist = 1 Gebinde); ","")&amp;BV197)</f>
        <v/>
      </c>
      <c r="BO197" s="60"/>
      <c r="BP197" s="60"/>
      <c r="BQ197" s="67"/>
      <c r="BR197" s="62" t="n">
        <v>52</v>
      </c>
      <c r="BS197" s="62" t="n">
        <v>60</v>
      </c>
      <c r="BT197" s="61" t="n">
        <v>819.519999999994</v>
      </c>
      <c r="BU197" s="62" t="n">
        <v>112</v>
      </c>
      <c r="BV197" s="60"/>
      <c r="BW197" s="65" t="n">
        <v>0</v>
      </c>
      <c r="BX197" s="65" t="n">
        <v>197</v>
      </c>
      <c r="BY197" s="60" t="str">
        <f aca="false">IF(U197&lt;&gt;"",UPPER(TRIM(U197)),IF(CB197=1,UPPER(VLOOKUP(T197,Parameter!$I$27:$K$29,2,0)),IF(P197="","LOSE",P197)))</f>
        <v>S41</v>
      </c>
      <c r="BZ197" s="62" t="n">
        <f aca="false">IF(BY197="LOSE",1,IF(N(V197)&gt;0,V197,IF(CB197=1,MAX(1,N(VLOOKUP(T197,Parameter!$I$27:$K$29,3,0)),H197,N(N197)),IF(N(Q197)&gt;0,Q197,MAX(1,H197)))))</f>
        <v>19</v>
      </c>
      <c r="CA197" s="65" t="n">
        <f aca="false">IF(BY197="LOSE",1,0)</f>
        <v>0</v>
      </c>
      <c r="CB197" s="65" t="n">
        <f aca="false">IF(AND(U197="",OR(P197="",P197="LOSE"),T197&lt;&gt;"",N(S197)&lt;=0,ISNUMBER(MATCH(T197,Parameter!$I$27:$I$29,0))),1,0)</f>
        <v>0</v>
      </c>
      <c r="CC197" s="65" t="n">
        <f aca="false">IF(CR197&gt;0,INDEX(Parameter!$H$5:$H$7,W197)/INDEX(Parameter!$E$5:$E$7,W197),IF(AND(CA197=0,N(IFERROR(VLOOKUP(BY197,'Gebinde-Kategorie'!$A$5:$N$45,14,0),0))&gt;0),VLOOKUP(BY197,'Gebinde-Kategorie'!$A$5:$N$45,14,0)*10+Parameter!$M$23,Parameter!$M$24))</f>
        <v>155</v>
      </c>
      <c r="CD197" s="60" t="str">
        <f aca="false">IF(AND(Parameter!$B$19="Ja",E197&lt;&gt;"",ISNUMBER(MATCH(E197,Parameter!$I$35:$I$52,0))),VLOOKUP(E197,Parameter!$I$35:$J$52,2,0),IFERROR(VLOOKUP(D197,Parameter!$A$35:$C$64,2,0),"Nein"))</f>
        <v>2+3</v>
      </c>
      <c r="CE197" s="64" t="n">
        <f aca="false">IF(CA197=0,0,IF(N(S197)&gt;0,S197,IFERROR(VLOOKUP(D197,Parameter!$A$35:$C$64,3,0)+0,0)))</f>
        <v>0</v>
      </c>
      <c r="CF197" s="60" t="n">
        <f aca="false">IF(AB197&lt;&gt;"",AB197,AA197)</f>
        <v>3</v>
      </c>
      <c r="CG197" s="60" t="str">
        <f aca="false">IF(OR(CF197=1,CF197=2,CF197=3),IF(Parameter!$E$27="Ja","LIFT",IF(CF197=1,"L1","L23")),IF(CF197="Aussen","Aussen","-"))</f>
        <v>LIFT</v>
      </c>
      <c r="CH197" s="71" t="n">
        <f aca="false">IF(N(AC197)&gt;0,AC197,0)</f>
        <v>0</v>
      </c>
      <c r="CI197" s="65" t="n">
        <f aca="false">IF(ISNUMBER(AF197),1,0)</f>
        <v>0</v>
      </c>
      <c r="CJ197" s="62" t="n">
        <f aca="false">N(AF197)</f>
        <v>0</v>
      </c>
      <c r="CK197" s="62" t="n">
        <f aca="false">N(M197)+N(N197)</f>
        <v>136</v>
      </c>
      <c r="CL197" s="62" t="n">
        <f aca="false">N(M197)</f>
        <v>26</v>
      </c>
      <c r="CM197" s="62" t="n">
        <f aca="false">N(N197)</f>
        <v>110</v>
      </c>
      <c r="CN197" s="62" t="n">
        <f aca="false">ROUNDUP(H197/BZ197,0)</f>
        <v>6</v>
      </c>
      <c r="CO197" s="62" t="n">
        <f aca="false">ROUNDUP(CJ197/BZ197,0)</f>
        <v>0</v>
      </c>
      <c r="CP197" s="65" t="n">
        <f aca="false">IF(CA197=1,0,IFERROR(VLOOKUP(BY197,'Gebinde-Kategorie'!$A$5:$N$45,5,0)+0,0))</f>
        <v>11</v>
      </c>
      <c r="CQ197" s="65" t="n">
        <f aca="false">IFERROR(IF(OR(CF197=1,CF197=2,CF197=3),N(INDEX(Parameter!$I$5:$I$7,CF197)),0),0)</f>
        <v>0</v>
      </c>
      <c r="CR197" s="64" t="n">
        <f aca="false">IF(AND(Parameter!$B$21="Ja",ISNUMBER(W197),N(X197)&gt;0),IFERROR(N(INDEX(Parameter!$L$5:$L$7,W197))*INDEX(Parameter!$E$5:$E$7,W197)*X197/SUMIFS($X$7:$X$1843,$W$7:$W$1843,W197),0),0)</f>
        <v>0</v>
      </c>
      <c r="CS197" s="62" t="n">
        <f aca="false">IF(AND(OR(CG197="L1",CG197="L23",CG197="LIFT"),H197&gt;0),CC197*IF(CR197&gt;0,CR197*MAX(1,H197/X197),IF(CA197=1,CE197,IF(R197&gt;0,CN197/R197,0))/MAX(0.1,N(Parameter!$M$21))),"")</f>
        <v>17.8846153846154</v>
      </c>
      <c r="CT197" s="64" t="n">
        <f aca="false">IF(CS197="","",J197/H197)</f>
        <v>1</v>
      </c>
      <c r="CU197" s="62" t="n">
        <f aca="false">IF(CS197="","",H197*G197)</f>
        <v>2815.68</v>
      </c>
      <c r="CV197" s="63" t="n">
        <f aca="false">IF(CS197="","",(CL197+ROUNDUP(CL197+MAX(CM197,2*(J197/MAX(0.1,N(Einkauf!$C$6))-CL197)),0))/2)</f>
        <v>81</v>
      </c>
      <c r="CW197" s="62" t="n">
        <f aca="false">IF(CS197="","",MAX(0,H197-CV197)*G197)</f>
        <v>779.34</v>
      </c>
      <c r="CX197" s="62" t="n">
        <f aca="false">IF(CS197="","",CS197*MAX(0,1-CV197/H197))</f>
        <v>4.95020604395605</v>
      </c>
      <c r="CY197" s="64" t="n">
        <f aca="false">IF(CS197="","",PERCENTRANK($CS$7:$CS$1843,CS197)+PERCENTRANK($CU$7:$CU$1843,CU197)+1-PERCENTRANK($CT$7:$CT$1843,CT197))</f>
        <v>1.941</v>
      </c>
      <c r="CZ197" s="72" t="n">
        <f aca="false">IF(CS197="","",CHOOSE(MATCH(Einkauf!$C$5,Parameter!$G$23:$G$27,0),CY197,CS197,CU197,-CT197,CW197)+ROW()/1000000000)</f>
        <v>1.941000197</v>
      </c>
    </row>
    <row r="198" customFormat="false" ht="15" hidden="false" customHeight="false" outlineLevel="0" collapsed="false">
      <c r="A198" s="60" t="s">
        <v>639</v>
      </c>
      <c r="B198" s="60" t="s">
        <v>640</v>
      </c>
      <c r="C198" s="60" t="s">
        <v>206</v>
      </c>
      <c r="D198" s="60" t="s">
        <v>226</v>
      </c>
      <c r="E198" s="60" t="s">
        <v>227</v>
      </c>
      <c r="F198" s="60" t="s">
        <v>260</v>
      </c>
      <c r="G198" s="61" t="n">
        <v>6.37</v>
      </c>
      <c r="H198" s="62" t="n">
        <f aca="false">MAX(0,IF(AND(Parameter!$B$21="Ja",ISNUMBER(Y198)),Y198,IF(Parameter!$B$20="Jahresanfang 2025 + Export",BS198+BR198,BR198)))</f>
        <v>341</v>
      </c>
      <c r="I198" s="62" t="n">
        <f aca="false">H198*G198</f>
        <v>2172.17</v>
      </c>
      <c r="J198" s="62" t="n">
        <f aca="false">BU198*Parameter!$B$18</f>
        <v>869</v>
      </c>
      <c r="K198" s="63" t="n">
        <v>225.5</v>
      </c>
      <c r="L198" s="64" t="n">
        <v>3.85365853658537</v>
      </c>
      <c r="M198" s="62" t="n">
        <v>25</v>
      </c>
      <c r="N198" s="62" t="n">
        <v>585</v>
      </c>
      <c r="O198" s="65" t="n">
        <v>10</v>
      </c>
      <c r="P198" s="60" t="s">
        <v>344</v>
      </c>
      <c r="Q198" s="62" t="n">
        <v>895</v>
      </c>
      <c r="R198" s="65" t="n">
        <f aca="false">IF(CA198=1,0,IFERROR(VLOOKUP(BY198,'Gebinde-Kategorie'!$A$5:$N$45,13,0)+0,0))</f>
        <v>26</v>
      </c>
      <c r="S198" s="66"/>
      <c r="T198" s="67"/>
      <c r="U198" s="67"/>
      <c r="V198" s="67"/>
      <c r="W198" s="60"/>
      <c r="X198" s="62"/>
      <c r="Y198" s="62"/>
      <c r="Z198" s="60" t="n">
        <v>3</v>
      </c>
      <c r="AA198" s="60" t="n">
        <f aca="false">IF(A198="","",IF(AND(Parameter!$B$21="Ja",ISNUMBER(W198)),W198,IF(AND(Parameter!$E$27="Ja",ISNUMBER(Z198),CD198&lt;&gt;"Nein"),Z198,IF(CD198="2+3",IF(ISNUMBER(SEARCH("grosser Artikel",BV198)),2,IFERROR(VLOOKUP(BY198,Parameter!$F$35:$G$64,2,0),2)),IF(OR(CD198="Nein",CD198=""),"-",CD198)))))</f>
        <v>3</v>
      </c>
      <c r="AB198" s="67"/>
      <c r="AC198" s="68"/>
      <c r="AD198" s="62" t="n">
        <f aca="false">AW198</f>
        <v>610</v>
      </c>
      <c r="AE198" s="62" t="n">
        <f aca="false">MAX(AW198,H198)</f>
        <v>610</v>
      </c>
      <c r="AF198" s="69"/>
      <c r="AG198" s="62" t="n">
        <f aca="false">IF(LEFT(Cockpit!$C$5,1)="A",H198,IF(Parameter!$E$30="MAX-Bestand",IF(CI198=1,CJ198,IF(LEFT(Cockpit!$C$5,1)="B",AM198,MAX(AM198,H198))),ROUNDUP(AK198,0)))</f>
        <v>341</v>
      </c>
      <c r="AH198" s="62" t="n">
        <f aca="false">IF(CA198=1,0,ROUNDUP(AG198/BZ198,0))</f>
        <v>1</v>
      </c>
      <c r="AI198" s="64" t="n">
        <f aca="false">IF(CR198&gt;0,CR198*MAX(1,AG198/X198),IF(CA198=1,IF(AG198&lt;=0,0,CE198*MAX(1,IF(H198&gt;0,AG198/H198,1))),IF(R198&gt;0,AH198/R198,0))/MAX(0.1,N(Parameter!$M$21)))</f>
        <v>0.0384615384615385</v>
      </c>
      <c r="AJ198" s="62" t="n">
        <f aca="false">AI198*CC198</f>
        <v>5.96153846153846</v>
      </c>
      <c r="AK198" s="63" t="n">
        <f aca="false">IF(LEFT(Cockpit!$C$5,1)="A",H198,IF(CI198=1,(CL198+CJ198)/2,IF(LEFT(Cockpit!$C$5,1)="B",(CL198+AM198)/2,MAX((CL198+AM198)/2,H198))))</f>
        <v>341</v>
      </c>
      <c r="AL198" s="62" t="n">
        <f aca="false">AK198*G198</f>
        <v>2172.17</v>
      </c>
      <c r="AM198" s="62" t="n">
        <f aca="false">ROUNDUP(CL198+MAX(CM198,2*(J198/IF(CH198&gt;0,CH198,MAX(0.1,N(Cockpit!$C$6)))-CL198)),0)</f>
        <v>610</v>
      </c>
      <c r="AN198" s="63" t="n">
        <f aca="false">IF(AJ198&gt;0,J198/AJ198,-1)</f>
        <v>145.767741935484</v>
      </c>
      <c r="AO198" s="63" t="n">
        <f aca="false">IF(AND(OR(CG198="L1",CG198="L23",CG198="LIFT"),AJ198&gt;0),SUMIFS($AJ$7:$AJ$1843,$CG$7:$CG$1843,CG198,$AN$7:$AN$1843,"&gt;"&amp;AN198)+SUMIFS($AJ$7:$AJ$1843,$CG$7:$CG$1843,CG198,$AN$7:$AN$1843,AN198,$BX$7:$BX$1843,"&lt;="&amp;BX198),"")</f>
        <v>502.328754578755</v>
      </c>
      <c r="AP198" s="70" t="n">
        <f aca="false">IF(AO198="",0,MAX(0,MIN(1,(IF(CG198="L1",Parameter!$H$5,IF(CG198="L23",Parameter!$H$6+Parameter!$H$7,Parameter!$H$5+Parameter!$H$6+Parameter!$H$7))-(AO198-AJ198))/AJ198)))</f>
        <v>1</v>
      </c>
      <c r="AQ198" s="62" t="n">
        <f aca="false">IF(LEFT(Cockpit!$I$5,1)="A",H198,IF(Parameter!$E$30="MAX-Bestand",IF(CI198=1,CJ198,IF(LEFT(Cockpit!$I$5,1)="B",AW198,MAX(AW198,H198))),ROUNDUP(AU198,0)))</f>
        <v>341</v>
      </c>
      <c r="AR198" s="62" t="n">
        <f aca="false">IF(CA198=1,0,ROUNDUP(AQ198/BZ198,0))</f>
        <v>1</v>
      </c>
      <c r="AS198" s="64" t="n">
        <f aca="false">IF(CR198&gt;0,CR198*MAX(1,AQ198/X198),IF(CA198=1,IF(AQ198&lt;=0,0,CE198*MAX(1,IF(H198&gt;0,AQ198/H198,1))),IF(R198&gt;0,AR198/R198,0))/MAX(0.1,N(Parameter!$M$21)))</f>
        <v>0.0384615384615385</v>
      </c>
      <c r="AT198" s="62" t="n">
        <f aca="false">AS198*CC198</f>
        <v>5.96153846153846</v>
      </c>
      <c r="AU198" s="63" t="n">
        <f aca="false">IF(LEFT(Cockpit!$I$5,1)="A",H198,IF(CI198=1,(CL198+CJ198)/2,IF(LEFT(Cockpit!$I$5,1)="B",(CL198+AW198)/2,MAX((CL198+AW198)/2,H198))))</f>
        <v>341</v>
      </c>
      <c r="AV198" s="62" t="n">
        <f aca="false">AU198*G198</f>
        <v>2172.17</v>
      </c>
      <c r="AW198" s="62" t="n">
        <f aca="false">ROUNDUP(CL198+MAX(CM198,2*(J198/IF(CH198&gt;0,CH198,MAX(0.1,N(Cockpit!$I$6)))-CL198)),0)</f>
        <v>610</v>
      </c>
      <c r="AX198" s="63" t="n">
        <f aca="false">IF(AT198&gt;0,J198/AT198,-1)</f>
        <v>145.767741935484</v>
      </c>
      <c r="AY198" s="63" t="n">
        <f aca="false">IF(AND(OR(CG198="L1",CG198="L23",CG198="LIFT"),AT198&gt;0),SUMIFS($AT$7:$AT$1843,$CG$7:$CG$1843,CG198,$AX$7:$AX$1843,"&gt;"&amp;AX198)+SUMIFS($AT$7:$AT$1843,$CG$7:$CG$1843,CG198,$AX$7:$AX$1843,AX198,$BX$7:$BX$1843,"&lt;="&amp;BX198),"")</f>
        <v>619.965659340659</v>
      </c>
      <c r="AZ198" s="70" t="n">
        <f aca="false">IF(AY198="",0,MAX(0,MIN(1,(IF(CG198="L1",Parameter!$H$5,IF(CG198="L23",Parameter!$H$6+Parameter!$H$7,Parameter!$H$5+Parameter!$H$6+Parameter!$H$7))-(AY198-AT198))/AT198)))</f>
        <v>1</v>
      </c>
      <c r="BA198" s="62" t="n">
        <f aca="false">IF(LEFT(Cockpit!$O$5,1)="A",H198,IF(Parameter!$E$30="MAX-Bestand",IF(CI198=1,CJ198,IF(LEFT(Cockpit!$O$5,1)="B",BG198,MAX(BG198,H198))),ROUNDUP(BE198,0)))</f>
        <v>318</v>
      </c>
      <c r="BB198" s="62" t="n">
        <f aca="false">IF(CA198=1,0,ROUNDUP(BA198/BZ198,0))</f>
        <v>1</v>
      </c>
      <c r="BC198" s="64" t="n">
        <f aca="false">IF(CR198&gt;0,CR198*MAX(1,BA198/X198),IF(CA198=1,IF(BA198&lt;=0,0,CE198*MAX(1,IF(H198&gt;0,BA198/H198,1))),IF(R198&gt;0,BB198/R198,0))/MAX(0.1,N(Parameter!$M$21)))</f>
        <v>0.0384615384615385</v>
      </c>
      <c r="BD198" s="62" t="n">
        <f aca="false">BC198*CC198</f>
        <v>5.96153846153846</v>
      </c>
      <c r="BE198" s="63" t="n">
        <f aca="false">IF(LEFT(Cockpit!$O$5,1)="A",H198,IF(CI198=1,(CL198+CJ198)/2,IF(LEFT(Cockpit!$O$5,1)="B",(CL198+BG198)/2,MAX((CL198+BG198)/2,H198))))</f>
        <v>317.5</v>
      </c>
      <c r="BF198" s="62" t="n">
        <f aca="false">BE198*G198</f>
        <v>2022.475</v>
      </c>
      <c r="BG198" s="62" t="n">
        <f aca="false">ROUNDUP(CL198+MAX(CM198,2*(J198/IF(CH198&gt;0,CH198,MAX(0.1,N(Cockpit!$O$6)))-CL198)),0)</f>
        <v>610</v>
      </c>
      <c r="BH198" s="63" t="n">
        <f aca="false">IF(BD198&gt;0,J198/BD198,-1)</f>
        <v>145.767741935484</v>
      </c>
      <c r="BI198" s="63" t="n">
        <f aca="false">IF(AND(OR(CG198="L1",CG198="L23",CG198="LIFT"),BD198&gt;0),SUMIFS($BD$7:$BD$1843,$CG$7:$CG$1843,CG198,$BH$7:$BH$1843,"&gt;"&amp;BH198)+SUMIFS($BD$7:$BD$1843,$CG$7:$CG$1843,CG198,$BH$7:$BH$1843,BH198,$BX$7:$BX$1843,"&lt;="&amp;BX198),"")</f>
        <v>584.125</v>
      </c>
      <c r="BJ198" s="70" t="n">
        <f aca="false">IF(BI198="",0,MAX(0,MIN(1,(IF(CG198="L1",Parameter!$H$5,IF(CG198="L23",Parameter!$H$6+Parameter!$H$7,Parameter!$H$5+Parameter!$H$6+Parameter!$H$7))-(BI198-BD198))/BD198)))</f>
        <v>1</v>
      </c>
      <c r="BK198" s="60" t="str">
        <f aca="false">IF(AJ198&lt;=0,"",IF(CG198="Aussen","Aussenlager",IF(CG198="-","Nicht im Lift",IF(AP198&gt;=1,"Lift",IF(AP198&lt;=0,"Aussenlager","teilweise")))))</f>
        <v>Lift</v>
      </c>
      <c r="BL198" s="60" t="str">
        <f aca="false">IF(AT198&lt;=0,"",IF(CG198="Aussen","Aussenlager",IF(CG198="-","Nicht im Lift",IF(AZ198&gt;=1,"Lift",IF(AZ198&lt;=0,"Aussenlager","teilweise")))))</f>
        <v>Lift</v>
      </c>
      <c r="BM198" s="60" t="str">
        <f aca="false">IF(BD198&lt;=0,"",IF(CG198="Aussen","Aussenlager",IF(CG198="-","Nicht im Lift",IF(BJ198&gt;=1,"Lift",IF(BJ198&lt;=0,"Aussenlager","teilweise")))))</f>
        <v>Lift</v>
      </c>
      <c r="BN198" s="60" t="str">
        <f aca="false">IF(A198="","",IF(BW198=1,"Neu; ","")&amp;IF(AND(BW198=0,BR198&lt;0),"negativer Bestand (Export "&amp;BR198&amp;"); ","")&amp;IF(J198&lt;=0,"Kein Verbrauch; ","")&amp;IF(CR198&gt;0,"Lift "&amp;W198&amp;" lt. Liftbericht (Fach "&amp;X198&amp;" Stk); ",IF(CB198=1,"Gebinde geschätzt ("&amp;T198&amp;"); ",IF(CA198=1,"Lose – Tablare geschätzt; ","")))&amp;IF(H198&gt;AW198,"Überbestand "&amp;ROUND(H198-AW198,0)&amp;" Stk / CHF "&amp;ROUND((H198-AW198)*G198,0)&amp;"; ","")&amp;IF(AND(CI198=1,CJ198&lt;CK198),"MAX &lt; MB+LG; ","")&amp;IF(AND(CQ198&gt;0,CP198*10&gt;CQ198),"zu hoch für Tablar; ","")&amp;IF(AND(BW198=0,OR(CI198=1,AB198&lt;&gt;"",U198&lt;&gt;"",V198&lt;&gt;"",AC198&lt;&gt;"")),"manuell übersteuert; ","")&amp;IF(AND(CA198=0,R198=0),"Gebinde unbekannt / Stellmass fehlt; ","")&amp;IF(AND(CA198=0,N(V198)&lt;=0,N(Q198)&lt;=0),"Menge pro Gebinde fehlt (Ist = 1 Gebinde); ","")&amp;BV198)</f>
        <v/>
      </c>
      <c r="BO198" s="60"/>
      <c r="BP198" s="60"/>
      <c r="BQ198" s="67"/>
      <c r="BR198" s="62" t="n">
        <v>131</v>
      </c>
      <c r="BS198" s="62" t="n">
        <v>210</v>
      </c>
      <c r="BT198" s="61" t="n">
        <v>818.950000000001</v>
      </c>
      <c r="BU198" s="62" t="n">
        <v>869</v>
      </c>
      <c r="BV198" s="60"/>
      <c r="BW198" s="65" t="n">
        <v>0</v>
      </c>
      <c r="BX198" s="65" t="n">
        <v>198</v>
      </c>
      <c r="BY198" s="60" t="str">
        <f aca="false">IF(U198&lt;&gt;"",UPPER(TRIM(U198)),IF(CB198=1,UPPER(VLOOKUP(T198,Parameter!$I$27:$K$29,2,0)),IF(P198="","LOSE",P198)))</f>
        <v>S51</v>
      </c>
      <c r="BZ198" s="62" t="n">
        <f aca="false">IF(BY198="LOSE",1,IF(N(V198)&gt;0,V198,IF(CB198=1,MAX(1,N(VLOOKUP(T198,Parameter!$I$27:$K$29,3,0)),H198,N(N198)),IF(N(Q198)&gt;0,Q198,MAX(1,H198)))))</f>
        <v>895</v>
      </c>
      <c r="CA198" s="65" t="n">
        <f aca="false">IF(BY198="LOSE",1,0)</f>
        <v>0</v>
      </c>
      <c r="CB198" s="65" t="n">
        <f aca="false">IF(AND(U198="",OR(P198="",P198="LOSE"),T198&lt;&gt;"",N(S198)&lt;=0,ISNUMBER(MATCH(T198,Parameter!$I$27:$I$29,0))),1,0)</f>
        <v>0</v>
      </c>
      <c r="CC198" s="65" t="n">
        <f aca="false">IF(CR198&gt;0,INDEX(Parameter!$H$5:$H$7,W198)/INDEX(Parameter!$E$5:$E$7,W198),IF(AND(CA198=0,N(IFERROR(VLOOKUP(BY198,'Gebinde-Kategorie'!$A$5:$N$45,14,0),0))&gt;0),VLOOKUP(BY198,'Gebinde-Kategorie'!$A$5:$N$45,14,0)*10+Parameter!$M$23,Parameter!$M$24))</f>
        <v>155</v>
      </c>
      <c r="CD198" s="60" t="str">
        <f aca="false">IF(AND(Parameter!$B$19="Ja",E198&lt;&gt;"",ISNUMBER(MATCH(E198,Parameter!$I$35:$I$52,0))),VLOOKUP(E198,Parameter!$I$35:$J$52,2,0),IFERROR(VLOOKUP(D198,Parameter!$A$35:$C$64,2,0),"Nein"))</f>
        <v>2+3</v>
      </c>
      <c r="CE198" s="64" t="n">
        <f aca="false">IF(CA198=0,0,IF(N(S198)&gt;0,S198,IFERROR(VLOOKUP(D198,Parameter!$A$35:$C$64,3,0)+0,0)))</f>
        <v>0</v>
      </c>
      <c r="CF198" s="60" t="n">
        <f aca="false">IF(AB198&lt;&gt;"",AB198,AA198)</f>
        <v>3</v>
      </c>
      <c r="CG198" s="60" t="str">
        <f aca="false">IF(OR(CF198=1,CF198=2,CF198=3),IF(Parameter!$E$27="Ja","LIFT",IF(CF198=1,"L1","L23")),IF(CF198="Aussen","Aussen","-"))</f>
        <v>LIFT</v>
      </c>
      <c r="CH198" s="71" t="n">
        <f aca="false">IF(N(AC198)&gt;0,AC198,0)</f>
        <v>0</v>
      </c>
      <c r="CI198" s="65" t="n">
        <f aca="false">IF(ISNUMBER(AF198),1,0)</f>
        <v>0</v>
      </c>
      <c r="CJ198" s="62" t="n">
        <f aca="false">N(AF198)</f>
        <v>0</v>
      </c>
      <c r="CK198" s="62" t="n">
        <f aca="false">N(M198)+N(N198)</f>
        <v>610</v>
      </c>
      <c r="CL198" s="62" t="n">
        <f aca="false">N(M198)</f>
        <v>25</v>
      </c>
      <c r="CM198" s="62" t="n">
        <f aca="false">N(N198)</f>
        <v>585</v>
      </c>
      <c r="CN198" s="62" t="n">
        <f aca="false">ROUNDUP(H198/BZ198,0)</f>
        <v>1</v>
      </c>
      <c r="CO198" s="62" t="n">
        <f aca="false">ROUNDUP(CJ198/BZ198,0)</f>
        <v>0</v>
      </c>
      <c r="CP198" s="65" t="n">
        <f aca="false">IF(CA198=1,0,IFERROR(VLOOKUP(BY198,'Gebinde-Kategorie'!$A$5:$N$45,5,0)+0,0))</f>
        <v>11</v>
      </c>
      <c r="CQ198" s="65" t="n">
        <f aca="false">IFERROR(IF(OR(CF198=1,CF198=2,CF198=3),N(INDEX(Parameter!$I$5:$I$7,CF198)),0),0)</f>
        <v>0</v>
      </c>
      <c r="CR198" s="64" t="n">
        <f aca="false">IF(AND(Parameter!$B$21="Ja",ISNUMBER(W198),N(X198)&gt;0),IFERROR(N(INDEX(Parameter!$L$5:$L$7,W198))*INDEX(Parameter!$E$5:$E$7,W198)*X198/SUMIFS($X$7:$X$1843,$W$7:$W$1843,W198),0),0)</f>
        <v>0</v>
      </c>
      <c r="CS198" s="62" t="n">
        <f aca="false">IF(AND(OR(CG198="L1",CG198="L23",CG198="LIFT"),H198&gt;0),CC198*IF(CR198&gt;0,CR198*MAX(1,H198/X198),IF(CA198=1,CE198,IF(R198&gt;0,CN198/R198,0))/MAX(0.1,N(Parameter!$M$21))),"")</f>
        <v>5.96153846153846</v>
      </c>
      <c r="CT198" s="64" t="n">
        <f aca="false">IF(CS198="","",J198/H198)</f>
        <v>2.54838709677419</v>
      </c>
      <c r="CU198" s="62" t="n">
        <f aca="false">IF(CS198="","",H198*G198)</f>
        <v>2172.17</v>
      </c>
      <c r="CV198" s="63" t="n">
        <f aca="false">IF(CS198="","",(CL198+ROUNDUP(CL198+MAX(CM198,2*(J198/MAX(0.1,N(Einkauf!$C$6))-CL198)),0))/2)</f>
        <v>317.5</v>
      </c>
      <c r="CW198" s="62" t="n">
        <f aca="false">IF(CS198="","",MAX(0,H198-CV198)*G198)</f>
        <v>149.695</v>
      </c>
      <c r="CX198" s="62" t="n">
        <f aca="false">IF(CS198="","",CS198*MAX(0,1-CV198/H198))</f>
        <v>0.410839160839161</v>
      </c>
      <c r="CY198" s="64" t="n">
        <f aca="false">IF(CS198="","",PERCENTRANK($CS$7:$CS$1843,CS198)+PERCENTRANK($CU$7:$CU$1843,CU198)+1-PERCENTRANK($CT$7:$CT$1843,CT198))</f>
        <v>1.281</v>
      </c>
      <c r="CZ198" s="72" t="n">
        <f aca="false">IF(CS198="","",CHOOSE(MATCH(Einkauf!$C$5,Parameter!$G$23:$G$27,0),CY198,CS198,CU198,-CT198,CW198)+ROW()/1000000000)</f>
        <v>1.281000198</v>
      </c>
    </row>
    <row r="199" customFormat="false" ht="15" hidden="false" customHeight="false" outlineLevel="0" collapsed="false">
      <c r="A199" s="60" t="s">
        <v>641</v>
      </c>
      <c r="B199" s="60" t="s">
        <v>642</v>
      </c>
      <c r="C199" s="60" t="s">
        <v>206</v>
      </c>
      <c r="D199" s="60" t="s">
        <v>226</v>
      </c>
      <c r="E199" s="60" t="s">
        <v>227</v>
      </c>
      <c r="F199" s="60" t="s">
        <v>260</v>
      </c>
      <c r="G199" s="61" t="n">
        <v>15.65</v>
      </c>
      <c r="H199" s="62" t="n">
        <f aca="false">MAX(0,IF(AND(Parameter!$B$21="Ja",ISNUMBER(Y199)),Y199,IF(Parameter!$B$20="Jahresanfang 2025 + Export",BS199+BR199,BR199)))</f>
        <v>78</v>
      </c>
      <c r="I199" s="62" t="n">
        <f aca="false">H199*G199</f>
        <v>1220.7</v>
      </c>
      <c r="J199" s="62" t="n">
        <f aca="false">BU199*Parameter!$B$18</f>
        <v>54</v>
      </c>
      <c r="K199" s="63" t="n">
        <v>24</v>
      </c>
      <c r="L199" s="64" t="n">
        <v>2.25</v>
      </c>
      <c r="M199" s="62" t="n">
        <v>6</v>
      </c>
      <c r="N199" s="62" t="n">
        <v>55</v>
      </c>
      <c r="O199" s="65" t="n">
        <v>42</v>
      </c>
      <c r="P199" s="60" t="s">
        <v>344</v>
      </c>
      <c r="Q199" s="62" t="n">
        <v>62</v>
      </c>
      <c r="R199" s="65" t="n">
        <f aca="false">IF(CA199=1,0,IFERROR(VLOOKUP(BY199,'Gebinde-Kategorie'!$A$5:$N$45,13,0)+0,0))</f>
        <v>26</v>
      </c>
      <c r="S199" s="66"/>
      <c r="T199" s="67"/>
      <c r="U199" s="67"/>
      <c r="V199" s="67"/>
      <c r="W199" s="60"/>
      <c r="X199" s="62"/>
      <c r="Y199" s="62"/>
      <c r="Z199" s="60" t="n">
        <v>3</v>
      </c>
      <c r="AA199" s="60" t="n">
        <f aca="false">IF(A199="","",IF(AND(Parameter!$B$21="Ja",ISNUMBER(W199)),W199,IF(AND(Parameter!$E$27="Ja",ISNUMBER(Z199),CD199&lt;&gt;"Nein"),Z199,IF(CD199="2+3",IF(ISNUMBER(SEARCH("grosser Artikel",BV199)),2,IFERROR(VLOOKUP(BY199,Parameter!$F$35:$G$64,2,0),2)),IF(OR(CD199="Nein",CD199=""),"-",CD199)))))</f>
        <v>3</v>
      </c>
      <c r="AB199" s="67"/>
      <c r="AC199" s="68"/>
      <c r="AD199" s="62" t="n">
        <f aca="false">AW199</f>
        <v>61</v>
      </c>
      <c r="AE199" s="62" t="n">
        <f aca="false">MAX(AW199,H199)</f>
        <v>78</v>
      </c>
      <c r="AF199" s="69"/>
      <c r="AG199" s="62" t="n">
        <f aca="false">IF(LEFT(Cockpit!$C$5,1)="A",H199,IF(Parameter!$E$30="MAX-Bestand",IF(CI199=1,CJ199,IF(LEFT(Cockpit!$C$5,1)="B",AM199,MAX(AM199,H199))),ROUNDUP(AK199,0)))</f>
        <v>78</v>
      </c>
      <c r="AH199" s="62" t="n">
        <f aca="false">IF(CA199=1,0,ROUNDUP(AG199/BZ199,0))</f>
        <v>2</v>
      </c>
      <c r="AI199" s="64" t="n">
        <f aca="false">IF(CR199&gt;0,CR199*MAX(1,AG199/X199),IF(CA199=1,IF(AG199&lt;=0,0,CE199*MAX(1,IF(H199&gt;0,AG199/H199,1))),IF(R199&gt;0,AH199/R199,0))/MAX(0.1,N(Parameter!$M$21)))</f>
        <v>0.0769230769230769</v>
      </c>
      <c r="AJ199" s="62" t="n">
        <f aca="false">AI199*CC199</f>
        <v>11.9230769230769</v>
      </c>
      <c r="AK199" s="63" t="n">
        <f aca="false">IF(LEFT(Cockpit!$C$5,1)="A",H199,IF(CI199=1,(CL199+CJ199)/2,IF(LEFT(Cockpit!$C$5,1)="B",(CL199+AM199)/2,MAX((CL199+AM199)/2,H199))))</f>
        <v>78</v>
      </c>
      <c r="AL199" s="62" t="n">
        <f aca="false">AK199*G199</f>
        <v>1220.7</v>
      </c>
      <c r="AM199" s="62" t="n">
        <f aca="false">ROUNDUP(CL199+MAX(CM199,2*(J199/IF(CH199&gt;0,CH199,MAX(0.1,N(Cockpit!$C$6)))-CL199)),0)</f>
        <v>61</v>
      </c>
      <c r="AN199" s="63" t="n">
        <f aca="false">IF(AJ199&gt;0,J199/AJ199,-1)</f>
        <v>4.52903225806452</v>
      </c>
      <c r="AO199" s="63" t="n">
        <f aca="false">IF(AND(OR(CG199="L1",CG199="L23",CG199="LIFT"),AJ199&gt;0),SUMIFS($AJ$7:$AJ$1843,$CG$7:$CG$1843,CG199,$AN$7:$AN$1843,"&gt;"&amp;AN199)+SUMIFS($AJ$7:$AJ$1843,$CG$7:$CG$1843,CG199,$AN$7:$AN$1843,AN199,$BX$7:$BX$1843,"&lt;="&amp;BX199),"")</f>
        <v>4141.81272893773</v>
      </c>
      <c r="AP199" s="70" t="n">
        <f aca="false">IF(AO199="",0,MAX(0,MIN(1,(IF(CG199="L1",Parameter!$H$5,IF(CG199="L23",Parameter!$H$6+Parameter!$H$7,Parameter!$H$5+Parameter!$H$6+Parameter!$H$7))-(AO199-AJ199))/AJ199)))</f>
        <v>1</v>
      </c>
      <c r="AQ199" s="62" t="n">
        <f aca="false">IF(LEFT(Cockpit!$I$5,1)="A",H199,IF(Parameter!$E$30="MAX-Bestand",IF(CI199=1,CJ199,IF(LEFT(Cockpit!$I$5,1)="B",AW199,MAX(AW199,H199))),ROUNDUP(AU199,0)))</f>
        <v>78</v>
      </c>
      <c r="AR199" s="62" t="n">
        <f aca="false">IF(CA199=1,0,ROUNDUP(AQ199/BZ199,0))</f>
        <v>2</v>
      </c>
      <c r="AS199" s="64" t="n">
        <f aca="false">IF(CR199&gt;0,CR199*MAX(1,AQ199/X199),IF(CA199=1,IF(AQ199&lt;=0,0,CE199*MAX(1,IF(H199&gt;0,AQ199/H199,1))),IF(R199&gt;0,AR199/R199,0))/MAX(0.1,N(Parameter!$M$21)))</f>
        <v>0.0769230769230769</v>
      </c>
      <c r="AT199" s="62" t="n">
        <f aca="false">AS199*CC199</f>
        <v>11.9230769230769</v>
      </c>
      <c r="AU199" s="63" t="n">
        <f aca="false">IF(LEFT(Cockpit!$I$5,1)="A",H199,IF(CI199=1,(CL199+CJ199)/2,IF(LEFT(Cockpit!$I$5,1)="B",(CL199+AW199)/2,MAX((CL199+AW199)/2,H199))))</f>
        <v>78</v>
      </c>
      <c r="AV199" s="62" t="n">
        <f aca="false">AU199*G199</f>
        <v>1220.7</v>
      </c>
      <c r="AW199" s="62" t="n">
        <f aca="false">ROUNDUP(CL199+MAX(CM199,2*(J199/IF(CH199&gt;0,CH199,MAX(0.1,N(Cockpit!$I$6)))-CL199)),0)</f>
        <v>61</v>
      </c>
      <c r="AX199" s="63" t="n">
        <f aca="false">IF(AT199&gt;0,J199/AT199,-1)</f>
        <v>4.52903225806452</v>
      </c>
      <c r="AY199" s="63" t="n">
        <f aca="false">IF(AND(OR(CG199="L1",CG199="L23",CG199="LIFT"),AT199&gt;0),SUMIFS($AT$7:$AT$1843,$CG$7:$CG$1843,CG199,$AX$7:$AX$1843,"&gt;"&amp;AX199)+SUMIFS($AT$7:$AT$1843,$CG$7:$CG$1843,CG199,$AX$7:$AX$1843,AX199,$BX$7:$BX$1843,"&lt;="&amp;BX199),"")</f>
        <v>4738.05357142857</v>
      </c>
      <c r="AZ199" s="70" t="n">
        <f aca="false">IF(AY199="",0,MAX(0,MIN(1,(IF(CG199="L1",Parameter!$H$5,IF(CG199="L23",Parameter!$H$6+Parameter!$H$7,Parameter!$H$5+Parameter!$H$6+Parameter!$H$7))-(AY199-AT199))/AT199)))</f>
        <v>1</v>
      </c>
      <c r="BA199" s="62" t="n">
        <f aca="false">IF(LEFT(Cockpit!$O$5,1)="A",H199,IF(Parameter!$E$30="MAX-Bestand",IF(CI199=1,CJ199,IF(LEFT(Cockpit!$O$5,1)="B",BG199,MAX(BG199,H199))),ROUNDUP(BE199,0)))</f>
        <v>34</v>
      </c>
      <c r="BB199" s="62" t="n">
        <f aca="false">IF(CA199=1,0,ROUNDUP(BA199/BZ199,0))</f>
        <v>1</v>
      </c>
      <c r="BC199" s="64" t="n">
        <f aca="false">IF(CR199&gt;0,CR199*MAX(1,BA199/X199),IF(CA199=1,IF(BA199&lt;=0,0,CE199*MAX(1,IF(H199&gt;0,BA199/H199,1))),IF(R199&gt;0,BB199/R199,0))/MAX(0.1,N(Parameter!$M$21)))</f>
        <v>0.0384615384615385</v>
      </c>
      <c r="BD199" s="62" t="n">
        <f aca="false">BC199*CC199</f>
        <v>5.96153846153846</v>
      </c>
      <c r="BE199" s="63" t="n">
        <f aca="false">IF(LEFT(Cockpit!$O$5,1)="A",H199,IF(CI199=1,(CL199+CJ199)/2,IF(LEFT(Cockpit!$O$5,1)="B",(CL199+BG199)/2,MAX((CL199+BG199)/2,H199))))</f>
        <v>33.5</v>
      </c>
      <c r="BF199" s="62" t="n">
        <f aca="false">BE199*G199</f>
        <v>524.275</v>
      </c>
      <c r="BG199" s="62" t="n">
        <f aca="false">ROUNDUP(CL199+MAX(CM199,2*(J199/IF(CH199&gt;0,CH199,MAX(0.1,N(Cockpit!$O$6)))-CL199)),0)</f>
        <v>61</v>
      </c>
      <c r="BH199" s="63" t="n">
        <f aca="false">IF(BD199&gt;0,J199/BD199,-1)</f>
        <v>9.05806451612903</v>
      </c>
      <c r="BI199" s="63" t="n">
        <f aca="false">IF(AND(OR(CG199="L1",CG199="L23",CG199="LIFT"),BD199&gt;0),SUMIFS($BD$7:$BD$1843,$CG$7:$CG$1843,CG199,$BH$7:$BH$1843,"&gt;"&amp;BH199)+SUMIFS($BD$7:$BD$1843,$CG$7:$CG$1843,CG199,$BH$7:$BH$1843,BH199,$BX$7:$BX$1843,"&lt;="&amp;BX199),"")</f>
        <v>2877.48717948718</v>
      </c>
      <c r="BJ199" s="70" t="n">
        <f aca="false">IF(BI199="",0,MAX(0,MIN(1,(IF(CG199="L1",Parameter!$H$5,IF(CG199="L23",Parameter!$H$6+Parameter!$H$7,Parameter!$H$5+Parameter!$H$6+Parameter!$H$7))-(BI199-BD199))/BD199)))</f>
        <v>1</v>
      </c>
      <c r="BK199" s="60" t="str">
        <f aca="false">IF(AJ199&lt;=0,"",IF(CG199="Aussen","Aussenlager",IF(CG199="-","Nicht im Lift",IF(AP199&gt;=1,"Lift",IF(AP199&lt;=0,"Aussenlager","teilweise")))))</f>
        <v>Lift</v>
      </c>
      <c r="BL199" s="60" t="str">
        <f aca="false">IF(AT199&lt;=0,"",IF(CG199="Aussen","Aussenlager",IF(CG199="-","Nicht im Lift",IF(AZ199&gt;=1,"Lift",IF(AZ199&lt;=0,"Aussenlager","teilweise")))))</f>
        <v>Lift</v>
      </c>
      <c r="BM199" s="60" t="str">
        <f aca="false">IF(BD199&lt;=0,"",IF(CG199="Aussen","Aussenlager",IF(CG199="-","Nicht im Lift",IF(BJ199&gt;=1,"Lift",IF(BJ199&lt;=0,"Aussenlager","teilweise")))))</f>
        <v>Lift</v>
      </c>
      <c r="BN199" s="60" t="str">
        <f aca="false">IF(A199="","",IF(BW199=1,"Neu; ","")&amp;IF(AND(BW199=0,BR199&lt;0),"negativer Bestand (Export "&amp;BR199&amp;"); ","")&amp;IF(J199&lt;=0,"Kein Verbrauch; ","")&amp;IF(CR199&gt;0,"Lift "&amp;W199&amp;" lt. Liftbericht (Fach "&amp;X199&amp;" Stk); ",IF(CB199=1,"Gebinde geschätzt ("&amp;T199&amp;"); ",IF(CA199=1,"Lose – Tablare geschätzt; ","")))&amp;IF(H199&gt;AW199,"Überbestand "&amp;ROUND(H199-AW199,0)&amp;" Stk / CHF "&amp;ROUND((H199-AW199)*G199,0)&amp;"; ","")&amp;IF(AND(CI199=1,CJ199&lt;CK199),"MAX &lt; MB+LG; ","")&amp;IF(AND(CQ199&gt;0,CP199*10&gt;CQ199),"zu hoch für Tablar; ","")&amp;IF(AND(BW199=0,OR(CI199=1,AB199&lt;&gt;"",U199&lt;&gt;"",V199&lt;&gt;"",AC199&lt;&gt;"")),"manuell übersteuert; ","")&amp;IF(AND(CA199=0,R199=0),"Gebinde unbekannt / Stellmass fehlt; ","")&amp;IF(AND(CA199=0,N(V199)&lt;=0,N(Q199)&lt;=0),"Menge pro Gebinde fehlt (Ist = 1 Gebinde); ","")&amp;BV199)</f>
        <v>Überbestand 17 Stk / CHF 266; </v>
      </c>
      <c r="BO199" s="60"/>
      <c r="BP199" s="60"/>
      <c r="BQ199" s="67"/>
      <c r="BR199" s="62" t="n">
        <v>52</v>
      </c>
      <c r="BS199" s="62" t="n">
        <v>26</v>
      </c>
      <c r="BT199" s="61" t="n">
        <v>815.88</v>
      </c>
      <c r="BU199" s="62" t="n">
        <v>54</v>
      </c>
      <c r="BV199" s="60"/>
      <c r="BW199" s="65" t="n">
        <v>0</v>
      </c>
      <c r="BX199" s="65" t="n">
        <v>199</v>
      </c>
      <c r="BY199" s="60" t="str">
        <f aca="false">IF(U199&lt;&gt;"",UPPER(TRIM(U199)),IF(CB199=1,UPPER(VLOOKUP(T199,Parameter!$I$27:$K$29,2,0)),IF(P199="","LOSE",P199)))</f>
        <v>S51</v>
      </c>
      <c r="BZ199" s="62" t="n">
        <f aca="false">IF(BY199="LOSE",1,IF(N(V199)&gt;0,V199,IF(CB199=1,MAX(1,N(VLOOKUP(T199,Parameter!$I$27:$K$29,3,0)),H199,N(N199)),IF(N(Q199)&gt;0,Q199,MAX(1,H199)))))</f>
        <v>62</v>
      </c>
      <c r="CA199" s="65" t="n">
        <f aca="false">IF(BY199="LOSE",1,0)</f>
        <v>0</v>
      </c>
      <c r="CB199" s="65" t="n">
        <f aca="false">IF(AND(U199="",OR(P199="",P199="LOSE"),T199&lt;&gt;"",N(S199)&lt;=0,ISNUMBER(MATCH(T199,Parameter!$I$27:$I$29,0))),1,0)</f>
        <v>0</v>
      </c>
      <c r="CC199" s="65" t="n">
        <f aca="false">IF(CR199&gt;0,INDEX(Parameter!$H$5:$H$7,W199)/INDEX(Parameter!$E$5:$E$7,W199),IF(AND(CA199=0,N(IFERROR(VLOOKUP(BY199,'Gebinde-Kategorie'!$A$5:$N$45,14,0),0))&gt;0),VLOOKUP(BY199,'Gebinde-Kategorie'!$A$5:$N$45,14,0)*10+Parameter!$M$23,Parameter!$M$24))</f>
        <v>155</v>
      </c>
      <c r="CD199" s="60" t="str">
        <f aca="false">IF(AND(Parameter!$B$19="Ja",E199&lt;&gt;"",ISNUMBER(MATCH(E199,Parameter!$I$35:$I$52,0))),VLOOKUP(E199,Parameter!$I$35:$J$52,2,0),IFERROR(VLOOKUP(D199,Parameter!$A$35:$C$64,2,0),"Nein"))</f>
        <v>2+3</v>
      </c>
      <c r="CE199" s="64" t="n">
        <f aca="false">IF(CA199=0,0,IF(N(S199)&gt;0,S199,IFERROR(VLOOKUP(D199,Parameter!$A$35:$C$64,3,0)+0,0)))</f>
        <v>0</v>
      </c>
      <c r="CF199" s="60" t="n">
        <f aca="false">IF(AB199&lt;&gt;"",AB199,AA199)</f>
        <v>3</v>
      </c>
      <c r="CG199" s="60" t="str">
        <f aca="false">IF(OR(CF199=1,CF199=2,CF199=3),IF(Parameter!$E$27="Ja","LIFT",IF(CF199=1,"L1","L23")),IF(CF199="Aussen","Aussen","-"))</f>
        <v>LIFT</v>
      </c>
      <c r="CH199" s="71" t="n">
        <f aca="false">IF(N(AC199)&gt;0,AC199,0)</f>
        <v>0</v>
      </c>
      <c r="CI199" s="65" t="n">
        <f aca="false">IF(ISNUMBER(AF199),1,0)</f>
        <v>0</v>
      </c>
      <c r="CJ199" s="62" t="n">
        <f aca="false">N(AF199)</f>
        <v>0</v>
      </c>
      <c r="CK199" s="62" t="n">
        <f aca="false">N(M199)+N(N199)</f>
        <v>61</v>
      </c>
      <c r="CL199" s="62" t="n">
        <f aca="false">N(M199)</f>
        <v>6</v>
      </c>
      <c r="CM199" s="62" t="n">
        <f aca="false">N(N199)</f>
        <v>55</v>
      </c>
      <c r="CN199" s="62" t="n">
        <f aca="false">ROUNDUP(H199/BZ199,0)</f>
        <v>2</v>
      </c>
      <c r="CO199" s="62" t="n">
        <f aca="false">ROUNDUP(CJ199/BZ199,0)</f>
        <v>0</v>
      </c>
      <c r="CP199" s="65" t="n">
        <f aca="false">IF(CA199=1,0,IFERROR(VLOOKUP(BY199,'Gebinde-Kategorie'!$A$5:$N$45,5,0)+0,0))</f>
        <v>11</v>
      </c>
      <c r="CQ199" s="65" t="n">
        <f aca="false">IFERROR(IF(OR(CF199=1,CF199=2,CF199=3),N(INDEX(Parameter!$I$5:$I$7,CF199)),0),0)</f>
        <v>0</v>
      </c>
      <c r="CR199" s="64" t="n">
        <f aca="false">IF(AND(Parameter!$B$21="Ja",ISNUMBER(W199),N(X199)&gt;0),IFERROR(N(INDEX(Parameter!$L$5:$L$7,W199))*INDEX(Parameter!$E$5:$E$7,W199)*X199/SUMIFS($X$7:$X$1843,$W$7:$W$1843,W199),0),0)</f>
        <v>0</v>
      </c>
      <c r="CS199" s="62" t="n">
        <f aca="false">IF(AND(OR(CG199="L1",CG199="L23",CG199="LIFT"),H199&gt;0),CC199*IF(CR199&gt;0,CR199*MAX(1,H199/X199),IF(CA199=1,CE199,IF(R199&gt;0,CN199/R199,0))/MAX(0.1,N(Parameter!$M$21))),"")</f>
        <v>11.9230769230769</v>
      </c>
      <c r="CT199" s="64" t="n">
        <f aca="false">IF(CS199="","",J199/H199)</f>
        <v>0.692307692307692</v>
      </c>
      <c r="CU199" s="62" t="n">
        <f aca="false">IF(CS199="","",H199*G199)</f>
        <v>1220.7</v>
      </c>
      <c r="CV199" s="63" t="n">
        <f aca="false">IF(CS199="","",(CL199+ROUNDUP(CL199+MAX(CM199,2*(J199/MAX(0.1,N(Einkauf!$C$6))-CL199)),0))/2)</f>
        <v>33.5</v>
      </c>
      <c r="CW199" s="62" t="n">
        <f aca="false">IF(CS199="","",MAX(0,H199-CV199)*G199)</f>
        <v>696.425</v>
      </c>
      <c r="CX199" s="62" t="n">
        <f aca="false">IF(CS199="","",CS199*MAX(0,1-CV199/H199))</f>
        <v>6.80226824457594</v>
      </c>
      <c r="CY199" s="64" t="n">
        <f aca="false">IF(CS199="","",PERCENTRANK($CS$7:$CS$1843,CS199)+PERCENTRANK($CU$7:$CU$1843,CU199)+1-PERCENTRANK($CT$7:$CT$1843,CT199))</f>
        <v>1.729</v>
      </c>
      <c r="CZ199" s="72" t="n">
        <f aca="false">IF(CS199="","",CHOOSE(MATCH(Einkauf!$C$5,Parameter!$G$23:$G$27,0),CY199,CS199,CU199,-CT199,CW199)+ROW()/1000000000)</f>
        <v>1.729000199</v>
      </c>
    </row>
    <row r="200" customFormat="false" ht="15" hidden="false" customHeight="false" outlineLevel="0" collapsed="false">
      <c r="A200" s="60" t="s">
        <v>643</v>
      </c>
      <c r="B200" s="60" t="s">
        <v>644</v>
      </c>
      <c r="C200" s="60" t="s">
        <v>206</v>
      </c>
      <c r="D200" s="60" t="s">
        <v>215</v>
      </c>
      <c r="E200" s="60" t="s">
        <v>227</v>
      </c>
      <c r="F200" s="60" t="s">
        <v>260</v>
      </c>
      <c r="G200" s="61" t="n">
        <v>39.92</v>
      </c>
      <c r="H200" s="62" t="n">
        <f aca="false">MAX(0,IF(AND(Parameter!$B$21="Ja",ISNUMBER(Y200)),Y200,IF(Parameter!$B$20="Jahresanfang 2025 + Export",BS200+BR200,BR200)))</f>
        <v>78</v>
      </c>
      <c r="I200" s="62" t="n">
        <f aca="false">H200*G200</f>
        <v>3113.76</v>
      </c>
      <c r="J200" s="62" t="n">
        <f aca="false">BU200*Parameter!$B$18</f>
        <v>281</v>
      </c>
      <c r="K200" s="63" t="n">
        <v>49</v>
      </c>
      <c r="L200" s="64" t="n">
        <v>5.73469387755102</v>
      </c>
      <c r="M200" s="62" t="n">
        <v>5</v>
      </c>
      <c r="N200" s="62" t="n">
        <v>135</v>
      </c>
      <c r="O200" s="65" t="n">
        <v>7</v>
      </c>
      <c r="P200" s="60" t="s">
        <v>268</v>
      </c>
      <c r="Q200" s="62" t="n">
        <v>50</v>
      </c>
      <c r="R200" s="65" t="n">
        <f aca="false">IF(CA200=1,0,IFERROR(VLOOKUP(BY200,'Gebinde-Kategorie'!$A$5:$N$45,13,0)+0,0))</f>
        <v>12</v>
      </c>
      <c r="S200" s="66"/>
      <c r="T200" s="67"/>
      <c r="U200" s="67"/>
      <c r="V200" s="67"/>
      <c r="W200" s="60"/>
      <c r="X200" s="62"/>
      <c r="Y200" s="62"/>
      <c r="Z200" s="60" t="n">
        <v>3</v>
      </c>
      <c r="AA200" s="60" t="n">
        <f aca="false">IF(A200="","",IF(AND(Parameter!$B$21="Ja",ISNUMBER(W200)),W200,IF(AND(Parameter!$E$27="Ja",ISNUMBER(Z200),CD200&lt;&gt;"Nein"),Z200,IF(CD200="2+3",IF(ISNUMBER(SEARCH("grosser Artikel",BV200)),2,IFERROR(VLOOKUP(BY200,Parameter!$F$35:$G$64,2,0),2)),IF(OR(CD200="Nein",CD200=""),"-",CD200)))))</f>
        <v>3</v>
      </c>
      <c r="AB200" s="67"/>
      <c r="AC200" s="68"/>
      <c r="AD200" s="62" t="n">
        <f aca="false">AW200</f>
        <v>183</v>
      </c>
      <c r="AE200" s="62" t="n">
        <f aca="false">MAX(AW200,H200)</f>
        <v>183</v>
      </c>
      <c r="AF200" s="69"/>
      <c r="AG200" s="62" t="n">
        <f aca="false">IF(LEFT(Cockpit!$C$5,1)="A",H200,IF(Parameter!$E$30="MAX-Bestand",IF(CI200=1,CJ200,IF(LEFT(Cockpit!$C$5,1)="B",AM200,MAX(AM200,H200))),ROUNDUP(AK200,0)))</f>
        <v>78</v>
      </c>
      <c r="AH200" s="62" t="n">
        <f aca="false">IF(CA200=1,0,ROUNDUP(AG200/BZ200,0))</f>
        <v>2</v>
      </c>
      <c r="AI200" s="64" t="n">
        <f aca="false">IF(CR200&gt;0,CR200*MAX(1,AG200/X200),IF(CA200=1,IF(AG200&lt;=0,0,CE200*MAX(1,IF(H200&gt;0,AG200/H200,1))),IF(R200&gt;0,AH200/R200,0))/MAX(0.1,N(Parameter!$M$21)))</f>
        <v>0.166666666666667</v>
      </c>
      <c r="AJ200" s="62" t="n">
        <f aca="false">AI200*CC200</f>
        <v>57.5</v>
      </c>
      <c r="AK200" s="63" t="n">
        <f aca="false">IF(LEFT(Cockpit!$C$5,1)="A",H200,IF(CI200=1,(CL200+CJ200)/2,IF(LEFT(Cockpit!$C$5,1)="B",(CL200+AM200)/2,MAX((CL200+AM200)/2,H200))))</f>
        <v>78</v>
      </c>
      <c r="AL200" s="62" t="n">
        <f aca="false">AK200*G200</f>
        <v>3113.76</v>
      </c>
      <c r="AM200" s="62" t="n">
        <f aca="false">ROUNDUP(CL200+MAX(CM200,2*(J200/IF(CH200&gt;0,CH200,MAX(0.1,N(Cockpit!$C$6)))-CL200)),0)</f>
        <v>183</v>
      </c>
      <c r="AN200" s="63" t="n">
        <f aca="false">IF(AJ200&gt;0,J200/AJ200,-1)</f>
        <v>4.88695652173913</v>
      </c>
      <c r="AO200" s="63" t="n">
        <f aca="false">IF(AND(OR(CG200="L1",CG200="L23",CG200="LIFT"),AJ200&gt;0),SUMIFS($AJ$7:$AJ$1843,$CG$7:$CG$1843,CG200,$AN$7:$AN$1843,"&gt;"&amp;AN200)+SUMIFS($AJ$7:$AJ$1843,$CG$7:$CG$1843,CG200,$AN$7:$AN$1843,AN200,$BX$7:$BX$1843,"&lt;="&amp;BX200),"")</f>
        <v>4086.71657509158</v>
      </c>
      <c r="AP200" s="70" t="n">
        <f aca="false">IF(AO200="",0,MAX(0,MIN(1,(IF(CG200="L1",Parameter!$H$5,IF(CG200="L23",Parameter!$H$6+Parameter!$H$7,Parameter!$H$5+Parameter!$H$6+Parameter!$H$7))-(AO200-AJ200))/AJ200)))</f>
        <v>1</v>
      </c>
      <c r="AQ200" s="62" t="n">
        <f aca="false">IF(LEFT(Cockpit!$I$5,1)="A",H200,IF(Parameter!$E$30="MAX-Bestand",IF(CI200=1,CJ200,IF(LEFT(Cockpit!$I$5,1)="B",AW200,MAX(AW200,H200))),ROUNDUP(AU200,0)))</f>
        <v>94</v>
      </c>
      <c r="AR200" s="62" t="n">
        <f aca="false">IF(CA200=1,0,ROUNDUP(AQ200/BZ200,0))</f>
        <v>2</v>
      </c>
      <c r="AS200" s="64" t="n">
        <f aca="false">IF(CR200&gt;0,CR200*MAX(1,AQ200/X200),IF(CA200=1,IF(AQ200&lt;=0,0,CE200*MAX(1,IF(H200&gt;0,AQ200/H200,1))),IF(R200&gt;0,AR200/R200,0))/MAX(0.1,N(Parameter!$M$21)))</f>
        <v>0.166666666666667</v>
      </c>
      <c r="AT200" s="62" t="n">
        <f aca="false">AS200*CC200</f>
        <v>57.5</v>
      </c>
      <c r="AU200" s="63" t="n">
        <f aca="false">IF(LEFT(Cockpit!$I$5,1)="A",H200,IF(CI200=1,(CL200+CJ200)/2,IF(LEFT(Cockpit!$I$5,1)="B",(CL200+AW200)/2,MAX((CL200+AW200)/2,H200))))</f>
        <v>94</v>
      </c>
      <c r="AV200" s="62" t="n">
        <f aca="false">AU200*G200</f>
        <v>3752.48</v>
      </c>
      <c r="AW200" s="62" t="n">
        <f aca="false">ROUNDUP(CL200+MAX(CM200,2*(J200/IF(CH200&gt;0,CH200,MAX(0.1,N(Cockpit!$I$6)))-CL200)),0)</f>
        <v>183</v>
      </c>
      <c r="AX200" s="63" t="n">
        <f aca="false">IF(AT200&gt;0,J200/AT200,-1)</f>
        <v>4.88695652173913</v>
      </c>
      <c r="AY200" s="63" t="n">
        <f aca="false">IF(AND(OR(CG200="L1",CG200="L23",CG200="LIFT"),AT200&gt;0),SUMIFS($AT$7:$AT$1843,$CG$7:$CG$1843,CG200,$AX$7:$AX$1843,"&gt;"&amp;AX200)+SUMIFS($AT$7:$AT$1843,$CG$7:$CG$1843,CG200,$AX$7:$AX$1843,AX200,$BX$7:$BX$1843,"&lt;="&amp;BX200),"")</f>
        <v>4682.95741758242</v>
      </c>
      <c r="AZ200" s="70" t="n">
        <f aca="false">IF(AY200="",0,MAX(0,MIN(1,(IF(CG200="L1",Parameter!$H$5,IF(CG200="L23",Parameter!$H$6+Parameter!$H$7,Parameter!$H$5+Parameter!$H$6+Parameter!$H$7))-(AY200-AT200))/AT200)))</f>
        <v>1</v>
      </c>
      <c r="BA200" s="62" t="n">
        <f aca="false">IF(LEFT(Cockpit!$O$5,1)="A",H200,IF(Parameter!$E$30="MAX-Bestand",IF(CI200=1,CJ200,IF(LEFT(Cockpit!$O$5,1)="B",BG200,MAX(BG200,H200))),ROUNDUP(BE200,0)))</f>
        <v>73</v>
      </c>
      <c r="BB200" s="62" t="n">
        <f aca="false">IF(CA200=1,0,ROUNDUP(BA200/BZ200,0))</f>
        <v>2</v>
      </c>
      <c r="BC200" s="64" t="n">
        <f aca="false">IF(CR200&gt;0,CR200*MAX(1,BA200/X200),IF(CA200=1,IF(BA200&lt;=0,0,CE200*MAX(1,IF(H200&gt;0,BA200/H200,1))),IF(R200&gt;0,BB200/R200,0))/MAX(0.1,N(Parameter!$M$21)))</f>
        <v>0.166666666666667</v>
      </c>
      <c r="BD200" s="62" t="n">
        <f aca="false">BC200*CC200</f>
        <v>57.5</v>
      </c>
      <c r="BE200" s="63" t="n">
        <f aca="false">IF(LEFT(Cockpit!$O$5,1)="A",H200,IF(CI200=1,(CL200+CJ200)/2,IF(LEFT(Cockpit!$O$5,1)="B",(CL200+BG200)/2,MAX((CL200+BG200)/2,H200))))</f>
        <v>72.5</v>
      </c>
      <c r="BF200" s="62" t="n">
        <f aca="false">BE200*G200</f>
        <v>2894.2</v>
      </c>
      <c r="BG200" s="62" t="n">
        <f aca="false">ROUNDUP(CL200+MAX(CM200,2*(J200/IF(CH200&gt;0,CH200,MAX(0.1,N(Cockpit!$O$6)))-CL200)),0)</f>
        <v>140</v>
      </c>
      <c r="BH200" s="63" t="n">
        <f aca="false">IF(BD200&gt;0,J200/BD200,-1)</f>
        <v>4.88695652173913</v>
      </c>
      <c r="BI200" s="63" t="n">
        <f aca="false">IF(AND(OR(CG200="L1",CG200="L23",CG200="LIFT"),BD200&gt;0),SUMIFS($BD$7:$BD$1843,$CG$7:$CG$1843,CG200,$BH$7:$BH$1843,"&gt;"&amp;BH200)+SUMIFS($BD$7:$BD$1843,$CG$7:$CG$1843,CG200,$BH$7:$BH$1843,BH200,$BX$7:$BX$1843,"&lt;="&amp;BX200),"")</f>
        <v>3866.50549450549</v>
      </c>
      <c r="BJ200" s="70" t="n">
        <f aca="false">IF(BI200="",0,MAX(0,MIN(1,(IF(CG200="L1",Parameter!$H$5,IF(CG200="L23",Parameter!$H$6+Parameter!$H$7,Parameter!$H$5+Parameter!$H$6+Parameter!$H$7))-(BI200-BD200))/BD200)))</f>
        <v>1</v>
      </c>
      <c r="BK200" s="60" t="str">
        <f aca="false">IF(AJ200&lt;=0,"",IF(CG200="Aussen","Aussenlager",IF(CG200="-","Nicht im Lift",IF(AP200&gt;=1,"Lift",IF(AP200&lt;=0,"Aussenlager","teilweise")))))</f>
        <v>Lift</v>
      </c>
      <c r="BL200" s="60" t="str">
        <f aca="false">IF(AT200&lt;=0,"",IF(CG200="Aussen","Aussenlager",IF(CG200="-","Nicht im Lift",IF(AZ200&gt;=1,"Lift",IF(AZ200&lt;=0,"Aussenlager","teilweise")))))</f>
        <v>Lift</v>
      </c>
      <c r="BM200" s="60" t="str">
        <f aca="false">IF(BD200&lt;=0,"",IF(CG200="Aussen","Aussenlager",IF(CG200="-","Nicht im Lift",IF(BJ200&gt;=1,"Lift",IF(BJ200&lt;=0,"Aussenlager","teilweise")))))</f>
        <v>Lift</v>
      </c>
      <c r="BN200" s="60" t="str">
        <f aca="false">IF(A200="","",IF(BW200=1,"Neu; ","")&amp;IF(AND(BW200=0,BR200&lt;0),"negativer Bestand (Export "&amp;BR200&amp;"); ","")&amp;IF(J200&lt;=0,"Kein Verbrauch; ","")&amp;IF(CR200&gt;0,"Lift "&amp;W200&amp;" lt. Liftbericht (Fach "&amp;X200&amp;" Stk); ",IF(CB200=1,"Gebinde geschätzt ("&amp;T200&amp;"); ",IF(CA200=1,"Lose – Tablare geschätzt; ","")))&amp;IF(H200&gt;AW200,"Überbestand "&amp;ROUND(H200-AW200,0)&amp;" Stk / CHF "&amp;ROUND((H200-AW200)*G200,0)&amp;"; ","")&amp;IF(AND(CI200=1,CJ200&lt;CK200),"MAX &lt; MB+LG; ","")&amp;IF(AND(CQ200&gt;0,CP200*10&gt;CQ200),"zu hoch für Tablar; ","")&amp;IF(AND(BW200=0,OR(CI200=1,AB200&lt;&gt;"",U200&lt;&gt;"",V200&lt;&gt;"",AC200&lt;&gt;"")),"manuell übersteuert; ","")&amp;IF(AND(CA200=0,R200=0),"Gebinde unbekannt / Stellmass fehlt; ","")&amp;IF(AND(CA200=0,N(V200)&lt;=0,N(Q200)&lt;=0),"Menge pro Gebinde fehlt (Ist = 1 Gebinde); ","")&amp;BV200)</f>
        <v/>
      </c>
      <c r="BO200" s="60"/>
      <c r="BP200" s="60"/>
      <c r="BQ200" s="67"/>
      <c r="BR200" s="62" t="n">
        <v>21</v>
      </c>
      <c r="BS200" s="62" t="n">
        <v>57</v>
      </c>
      <c r="BT200" s="61" t="n">
        <v>810.96</v>
      </c>
      <c r="BU200" s="62" t="n">
        <v>281</v>
      </c>
      <c r="BV200" s="60"/>
      <c r="BW200" s="65" t="n">
        <v>0</v>
      </c>
      <c r="BX200" s="65" t="n">
        <v>200</v>
      </c>
      <c r="BY200" s="60" t="str">
        <f aca="false">IF(U200&lt;&gt;"",UPPER(TRIM(U200)),IF(CB200=1,UPPER(VLOOKUP(T200,Parameter!$I$27:$K$29,2,0)),IF(P200="","LOSE",P200)))</f>
        <v>S63</v>
      </c>
      <c r="BZ200" s="62" t="n">
        <f aca="false">IF(BY200="LOSE",1,IF(N(V200)&gt;0,V200,IF(CB200=1,MAX(1,N(VLOOKUP(T200,Parameter!$I$27:$K$29,3,0)),H200,N(N200)),IF(N(Q200)&gt;0,Q200,MAX(1,H200)))))</f>
        <v>50</v>
      </c>
      <c r="CA200" s="65" t="n">
        <f aca="false">IF(BY200="LOSE",1,0)</f>
        <v>0</v>
      </c>
      <c r="CB200" s="65" t="n">
        <f aca="false">IF(AND(U200="",OR(P200="",P200="LOSE"),T200&lt;&gt;"",N(S200)&lt;=0,ISNUMBER(MATCH(T200,Parameter!$I$27:$I$29,0))),1,0)</f>
        <v>0</v>
      </c>
      <c r="CC200" s="65" t="n">
        <f aca="false">IF(CR200&gt;0,INDEX(Parameter!$H$5:$H$7,W200)/INDEX(Parameter!$E$5:$E$7,W200),IF(AND(CA200=0,N(IFERROR(VLOOKUP(BY200,'Gebinde-Kategorie'!$A$5:$N$45,14,0),0))&gt;0),VLOOKUP(BY200,'Gebinde-Kategorie'!$A$5:$N$45,14,0)*10+Parameter!$M$23,Parameter!$M$24))</f>
        <v>345</v>
      </c>
      <c r="CD200" s="60" t="str">
        <f aca="false">IF(AND(Parameter!$B$19="Ja",E200&lt;&gt;"",ISNUMBER(MATCH(E200,Parameter!$I$35:$I$52,0))),VLOOKUP(E200,Parameter!$I$35:$J$52,2,0),IFERROR(VLOOKUP(D200,Parameter!$A$35:$C$64,2,0),"Nein"))</f>
        <v>2+3</v>
      </c>
      <c r="CE200" s="64" t="n">
        <f aca="false">IF(CA200=0,0,IF(N(S200)&gt;0,S200,IFERROR(VLOOKUP(D200,Parameter!$A$35:$C$64,3,0)+0,0)))</f>
        <v>0</v>
      </c>
      <c r="CF200" s="60" t="n">
        <f aca="false">IF(AB200&lt;&gt;"",AB200,AA200)</f>
        <v>3</v>
      </c>
      <c r="CG200" s="60" t="str">
        <f aca="false">IF(OR(CF200=1,CF200=2,CF200=3),IF(Parameter!$E$27="Ja","LIFT",IF(CF200=1,"L1","L23")),IF(CF200="Aussen","Aussen","-"))</f>
        <v>LIFT</v>
      </c>
      <c r="CH200" s="71" t="n">
        <f aca="false">IF(N(AC200)&gt;0,AC200,0)</f>
        <v>0</v>
      </c>
      <c r="CI200" s="65" t="n">
        <f aca="false">IF(ISNUMBER(AF200),1,0)</f>
        <v>0</v>
      </c>
      <c r="CJ200" s="62" t="n">
        <f aca="false">N(AF200)</f>
        <v>0</v>
      </c>
      <c r="CK200" s="62" t="n">
        <f aca="false">N(M200)+N(N200)</f>
        <v>140</v>
      </c>
      <c r="CL200" s="62" t="n">
        <f aca="false">N(M200)</f>
        <v>5</v>
      </c>
      <c r="CM200" s="62" t="n">
        <f aca="false">N(N200)</f>
        <v>135</v>
      </c>
      <c r="CN200" s="62" t="n">
        <f aca="false">ROUNDUP(H200/BZ200,0)</f>
        <v>2</v>
      </c>
      <c r="CO200" s="62" t="n">
        <f aca="false">ROUNDUP(CJ200/BZ200,0)</f>
        <v>0</v>
      </c>
      <c r="CP200" s="65" t="n">
        <f aca="false">IF(CA200=1,0,IFERROR(VLOOKUP(BY200,'Gebinde-Kategorie'!$A$5:$N$45,5,0)+0,0))</f>
        <v>31</v>
      </c>
      <c r="CQ200" s="65" t="n">
        <f aca="false">IFERROR(IF(OR(CF200=1,CF200=2,CF200=3),N(INDEX(Parameter!$I$5:$I$7,CF200)),0),0)</f>
        <v>0</v>
      </c>
      <c r="CR200" s="64" t="n">
        <f aca="false">IF(AND(Parameter!$B$21="Ja",ISNUMBER(W200),N(X200)&gt;0),IFERROR(N(INDEX(Parameter!$L$5:$L$7,W200))*INDEX(Parameter!$E$5:$E$7,W200)*X200/SUMIFS($X$7:$X$1843,$W$7:$W$1843,W200),0),0)</f>
        <v>0</v>
      </c>
      <c r="CS200" s="62" t="n">
        <f aca="false">IF(AND(OR(CG200="L1",CG200="L23",CG200="LIFT"),H200&gt;0),CC200*IF(CR200&gt;0,CR200*MAX(1,H200/X200),IF(CA200=1,CE200,IF(R200&gt;0,CN200/R200,0))/MAX(0.1,N(Parameter!$M$21))),"")</f>
        <v>57.5</v>
      </c>
      <c r="CT200" s="64" t="n">
        <f aca="false">IF(CS200="","",J200/H200)</f>
        <v>3.6025641025641</v>
      </c>
      <c r="CU200" s="62" t="n">
        <f aca="false">IF(CS200="","",H200*G200)</f>
        <v>3113.76</v>
      </c>
      <c r="CV200" s="63" t="n">
        <f aca="false">IF(CS200="","",(CL200+ROUNDUP(CL200+MAX(CM200,2*(J200/MAX(0.1,N(Einkauf!$C$6))-CL200)),0))/2)</f>
        <v>72.5</v>
      </c>
      <c r="CW200" s="62" t="n">
        <f aca="false">IF(CS200="","",MAX(0,H200-CV200)*G200)</f>
        <v>219.56</v>
      </c>
      <c r="CX200" s="62" t="n">
        <f aca="false">IF(CS200="","",CS200*MAX(0,1-CV200/H200))</f>
        <v>4.05448717948718</v>
      </c>
      <c r="CY200" s="64" t="n">
        <f aca="false">IF(CS200="","",PERCENTRANK($CS$7:$CS$1843,CS200)+PERCENTRANK($CU$7:$CU$1843,CU200)+1-PERCENTRANK($CT$7:$CT$1843,CT200))</f>
        <v>1.824</v>
      </c>
      <c r="CZ200" s="72" t="n">
        <f aca="false">IF(CS200="","",CHOOSE(MATCH(Einkauf!$C$5,Parameter!$G$23:$G$27,0),CY200,CS200,CU200,-CT200,CW200)+ROW()/1000000000)</f>
        <v>1.8240002</v>
      </c>
    </row>
    <row r="201" customFormat="false" ht="15" hidden="false" customHeight="false" outlineLevel="0" collapsed="false">
      <c r="A201" s="60" t="s">
        <v>645</v>
      </c>
      <c r="B201" s="60" t="s">
        <v>646</v>
      </c>
      <c r="C201" s="60" t="s">
        <v>206</v>
      </c>
      <c r="D201" s="60" t="s">
        <v>215</v>
      </c>
      <c r="E201" s="60" t="s">
        <v>227</v>
      </c>
      <c r="F201" s="60" t="s">
        <v>260</v>
      </c>
      <c r="G201" s="61" t="n">
        <v>98.69</v>
      </c>
      <c r="H201" s="62" t="n">
        <f aca="false">MAX(0,IF(AND(Parameter!$B$21="Ja",ISNUMBER(Y201)),Y201,IF(Parameter!$B$20="Jahresanfang 2025 + Export",BS201+BR201,BR201)))</f>
        <v>33</v>
      </c>
      <c r="I201" s="62" t="n">
        <f aca="false">H201*G201</f>
        <v>3256.77</v>
      </c>
      <c r="J201" s="62" t="n">
        <f aca="false">BU201*Parameter!$B$18</f>
        <v>77</v>
      </c>
      <c r="K201" s="63" t="n">
        <v>30</v>
      </c>
      <c r="L201" s="64" t="n">
        <v>2.56666666666667</v>
      </c>
      <c r="M201" s="62" t="n">
        <v>10</v>
      </c>
      <c r="N201" s="62" t="n">
        <v>45</v>
      </c>
      <c r="O201" s="65" t="n">
        <v>49</v>
      </c>
      <c r="P201" s="60" t="s">
        <v>216</v>
      </c>
      <c r="Q201" s="62" t="n">
        <v>18</v>
      </c>
      <c r="R201" s="65" t="n">
        <f aca="false">IF(CA201=1,0,IFERROR(VLOOKUP(BY201,'Gebinde-Kategorie'!$A$5:$N$45,13,0)+0,0))</f>
        <v>6</v>
      </c>
      <c r="S201" s="66"/>
      <c r="T201" s="67"/>
      <c r="U201" s="67"/>
      <c r="V201" s="67"/>
      <c r="W201" s="60"/>
      <c r="X201" s="62"/>
      <c r="Y201" s="62"/>
      <c r="Z201" s="60" t="n">
        <v>2</v>
      </c>
      <c r="AA201" s="60" t="n">
        <f aca="false">IF(A201="","",IF(AND(Parameter!$B$21="Ja",ISNUMBER(W201)),W201,IF(AND(Parameter!$E$27="Ja",ISNUMBER(Z201),CD201&lt;&gt;"Nein"),Z201,IF(CD201="2+3",IF(ISNUMBER(SEARCH("grosser Artikel",BV201)),2,IFERROR(VLOOKUP(BY201,Parameter!$F$35:$G$64,2,0),2)),IF(OR(CD201="Nein",CD201=""),"-",CD201)))))</f>
        <v>2</v>
      </c>
      <c r="AB201" s="67"/>
      <c r="AC201" s="68"/>
      <c r="AD201" s="62" t="n">
        <f aca="false">AW201</f>
        <v>55</v>
      </c>
      <c r="AE201" s="62" t="n">
        <f aca="false">MAX(AW201,H201)</f>
        <v>55</v>
      </c>
      <c r="AF201" s="69"/>
      <c r="AG201" s="62" t="n">
        <f aca="false">IF(LEFT(Cockpit!$C$5,1)="A",H201,IF(Parameter!$E$30="MAX-Bestand",IF(CI201=1,CJ201,IF(LEFT(Cockpit!$C$5,1)="B",AM201,MAX(AM201,H201))),ROUNDUP(AK201,0)))</f>
        <v>33</v>
      </c>
      <c r="AH201" s="62" t="n">
        <f aca="false">IF(CA201=1,0,ROUNDUP(AG201/BZ201,0))</f>
        <v>2</v>
      </c>
      <c r="AI201" s="64" t="n">
        <f aca="false">IF(CR201&gt;0,CR201*MAX(1,AG201/X201),IF(CA201=1,IF(AG201&lt;=0,0,CE201*MAX(1,IF(H201&gt;0,AG201/H201,1))),IF(R201&gt;0,AH201/R201,0))/MAX(0.1,N(Parameter!$M$21)))</f>
        <v>0.333333333333333</v>
      </c>
      <c r="AJ201" s="62" t="n">
        <f aca="false">AI201*CC201</f>
        <v>78.3333333333333</v>
      </c>
      <c r="AK201" s="63" t="n">
        <f aca="false">IF(LEFT(Cockpit!$C$5,1)="A",H201,IF(CI201=1,(CL201+CJ201)/2,IF(LEFT(Cockpit!$C$5,1)="B",(CL201+AM201)/2,MAX((CL201+AM201)/2,H201))))</f>
        <v>33</v>
      </c>
      <c r="AL201" s="62" t="n">
        <f aca="false">AK201*G201</f>
        <v>3256.77</v>
      </c>
      <c r="AM201" s="62" t="n">
        <f aca="false">ROUNDUP(CL201+MAX(CM201,2*(J201/IF(CH201&gt;0,CH201,MAX(0.1,N(Cockpit!$C$6)))-CL201)),0)</f>
        <v>55</v>
      </c>
      <c r="AN201" s="63" t="n">
        <f aca="false">IF(AJ201&gt;0,J201/AJ201,-1)</f>
        <v>0.982978723404255</v>
      </c>
      <c r="AO201" s="63" t="n">
        <f aca="false">IF(AND(OR(CG201="L1",CG201="L23",CG201="LIFT"),AJ201&gt;0),SUMIFS($AJ$7:$AJ$1843,$CG$7:$CG$1843,CG201,$AN$7:$AN$1843,"&gt;"&amp;AN201)+SUMIFS($AJ$7:$AJ$1843,$CG$7:$CG$1843,CG201,$AN$7:$AN$1843,AN201,$BX$7:$BX$1843,"&lt;="&amp;BX201),"")</f>
        <v>7165.0260989011</v>
      </c>
      <c r="AP201" s="70" t="n">
        <f aca="false">IF(AO201="",0,MAX(0,MIN(1,(IF(CG201="L1",Parameter!$H$5,IF(CG201="L23",Parameter!$H$6+Parameter!$H$7,Parameter!$H$5+Parameter!$H$6+Parameter!$H$7))-(AO201-AJ201))/AJ201)))</f>
        <v>1</v>
      </c>
      <c r="AQ201" s="62" t="n">
        <f aca="false">IF(LEFT(Cockpit!$I$5,1)="A",H201,IF(Parameter!$E$30="MAX-Bestand",IF(CI201=1,CJ201,IF(LEFT(Cockpit!$I$5,1)="B",AW201,MAX(AW201,H201))),ROUNDUP(AU201,0)))</f>
        <v>33</v>
      </c>
      <c r="AR201" s="62" t="n">
        <f aca="false">IF(CA201=1,0,ROUNDUP(AQ201/BZ201,0))</f>
        <v>2</v>
      </c>
      <c r="AS201" s="64" t="n">
        <f aca="false">IF(CR201&gt;0,CR201*MAX(1,AQ201/X201),IF(CA201=1,IF(AQ201&lt;=0,0,CE201*MAX(1,IF(H201&gt;0,AQ201/H201,1))),IF(R201&gt;0,AR201/R201,0))/MAX(0.1,N(Parameter!$M$21)))</f>
        <v>0.333333333333333</v>
      </c>
      <c r="AT201" s="62" t="n">
        <f aca="false">AS201*CC201</f>
        <v>78.3333333333333</v>
      </c>
      <c r="AU201" s="63" t="n">
        <f aca="false">IF(LEFT(Cockpit!$I$5,1)="A",H201,IF(CI201=1,(CL201+CJ201)/2,IF(LEFT(Cockpit!$I$5,1)="B",(CL201+AW201)/2,MAX((CL201+AW201)/2,H201))))</f>
        <v>33</v>
      </c>
      <c r="AV201" s="62" t="n">
        <f aca="false">AU201*G201</f>
        <v>3256.77</v>
      </c>
      <c r="AW201" s="62" t="n">
        <f aca="false">ROUNDUP(CL201+MAX(CM201,2*(J201/IF(CH201&gt;0,CH201,MAX(0.1,N(Cockpit!$I$6)))-CL201)),0)</f>
        <v>55</v>
      </c>
      <c r="AX201" s="63" t="n">
        <f aca="false">IF(AT201&gt;0,J201/AT201,-1)</f>
        <v>0.982978723404255</v>
      </c>
      <c r="AY201" s="63" t="n">
        <f aca="false">IF(AND(OR(CG201="L1",CG201="L23",CG201="LIFT"),AT201&gt;0),SUMIFS($AT$7:$AT$1843,$CG$7:$CG$1843,CG201,$AX$7:$AX$1843,"&gt;"&amp;AX201)+SUMIFS($AT$7:$AT$1843,$CG$7:$CG$1843,CG201,$AX$7:$AX$1843,AX201,$BX$7:$BX$1843,"&lt;="&amp;BX201),"")</f>
        <v>8536.70970695971</v>
      </c>
      <c r="AZ201" s="70" t="n">
        <f aca="false">IF(AY201="",0,MAX(0,MIN(1,(IF(CG201="L1",Parameter!$H$5,IF(CG201="L23",Parameter!$H$6+Parameter!$H$7,Parameter!$H$5+Parameter!$H$6+Parameter!$H$7))-(AY201-AT201))/AT201)))</f>
        <v>1</v>
      </c>
      <c r="BA201" s="62" t="n">
        <f aca="false">IF(LEFT(Cockpit!$O$5,1)="A",H201,IF(Parameter!$E$30="MAX-Bestand",IF(CI201=1,CJ201,IF(LEFT(Cockpit!$O$5,1)="B",BG201,MAX(BG201,H201))),ROUNDUP(BE201,0)))</f>
        <v>33</v>
      </c>
      <c r="BB201" s="62" t="n">
        <f aca="false">IF(CA201=1,0,ROUNDUP(BA201/BZ201,0))</f>
        <v>2</v>
      </c>
      <c r="BC201" s="64" t="n">
        <f aca="false">IF(CR201&gt;0,CR201*MAX(1,BA201/X201),IF(CA201=1,IF(BA201&lt;=0,0,CE201*MAX(1,IF(H201&gt;0,BA201/H201,1))),IF(R201&gt;0,BB201/R201,0))/MAX(0.1,N(Parameter!$M$21)))</f>
        <v>0.333333333333333</v>
      </c>
      <c r="BD201" s="62" t="n">
        <f aca="false">BC201*CC201</f>
        <v>78.3333333333333</v>
      </c>
      <c r="BE201" s="63" t="n">
        <f aca="false">IF(LEFT(Cockpit!$O$5,1)="A",H201,IF(CI201=1,(CL201+CJ201)/2,IF(LEFT(Cockpit!$O$5,1)="B",(CL201+BG201)/2,MAX((CL201+BG201)/2,H201))))</f>
        <v>32.5</v>
      </c>
      <c r="BF201" s="62" t="n">
        <f aca="false">BE201*G201</f>
        <v>3207.425</v>
      </c>
      <c r="BG201" s="62" t="n">
        <f aca="false">ROUNDUP(CL201+MAX(CM201,2*(J201/IF(CH201&gt;0,CH201,MAX(0.1,N(Cockpit!$O$6)))-CL201)),0)</f>
        <v>55</v>
      </c>
      <c r="BH201" s="63" t="n">
        <f aca="false">IF(BD201&gt;0,J201/BD201,-1)</f>
        <v>0.982978723404255</v>
      </c>
      <c r="BI201" s="63" t="n">
        <f aca="false">IF(AND(OR(CG201="L1",CG201="L23",CG201="LIFT"),BD201&gt;0),SUMIFS($BD$7:$BD$1843,$CG$7:$CG$1843,CG201,$BH$7:$BH$1843,"&gt;"&amp;BH201)+SUMIFS($BD$7:$BD$1843,$CG$7:$CG$1843,CG201,$BH$7:$BH$1843,BH201,$BX$7:$BX$1843,"&lt;="&amp;BX201),"")</f>
        <v>7774.8228021978</v>
      </c>
      <c r="BJ201" s="70" t="n">
        <f aca="false">IF(BI201="",0,MAX(0,MIN(1,(IF(CG201="L1",Parameter!$H$5,IF(CG201="L23",Parameter!$H$6+Parameter!$H$7,Parameter!$H$5+Parameter!$H$6+Parameter!$H$7))-(BI201-BD201))/BD201)))</f>
        <v>1</v>
      </c>
      <c r="BK201" s="60" t="str">
        <f aca="false">IF(AJ201&lt;=0,"",IF(CG201="Aussen","Aussenlager",IF(CG201="-","Nicht im Lift",IF(AP201&gt;=1,"Lift",IF(AP201&lt;=0,"Aussenlager","teilweise")))))</f>
        <v>Lift</v>
      </c>
      <c r="BL201" s="60" t="str">
        <f aca="false">IF(AT201&lt;=0,"",IF(CG201="Aussen","Aussenlager",IF(CG201="-","Nicht im Lift",IF(AZ201&gt;=1,"Lift",IF(AZ201&lt;=0,"Aussenlager","teilweise")))))</f>
        <v>Lift</v>
      </c>
      <c r="BM201" s="60" t="str">
        <f aca="false">IF(BD201&lt;=0,"",IF(CG201="Aussen","Aussenlager",IF(CG201="-","Nicht im Lift",IF(BJ201&gt;=1,"Lift",IF(BJ201&lt;=0,"Aussenlager","teilweise")))))</f>
        <v>Lift</v>
      </c>
      <c r="BN201" s="60" t="str">
        <f aca="false">IF(A201="","",IF(BW201=1,"Neu; ","")&amp;IF(AND(BW201=0,BR201&lt;0),"negativer Bestand (Export "&amp;BR201&amp;"); ","")&amp;IF(J201&lt;=0,"Kein Verbrauch; ","")&amp;IF(CR201&gt;0,"Lift "&amp;W201&amp;" lt. Liftbericht (Fach "&amp;X201&amp;" Stk); ",IF(CB201=1,"Gebinde geschätzt ("&amp;T201&amp;"); ",IF(CA201=1,"Lose – Tablare geschätzt; ","")))&amp;IF(H201&gt;AW201,"Überbestand "&amp;ROUND(H201-AW201,0)&amp;" Stk / CHF "&amp;ROUND((H201-AW201)*G201,0)&amp;"; ","")&amp;IF(AND(CI201=1,CJ201&lt;CK201),"MAX &lt; MB+LG; ","")&amp;IF(AND(CQ201&gt;0,CP201*10&gt;CQ201),"zu hoch für Tablar; ","")&amp;IF(AND(BW201=0,OR(CI201=1,AB201&lt;&gt;"",U201&lt;&gt;"",V201&lt;&gt;"",AC201&lt;&gt;"")),"manuell übersteuert; ","")&amp;IF(AND(CA201=0,R201=0),"Gebinde unbekannt / Stellmass fehlt; ","")&amp;IF(AND(CA201=0,N(V201)&lt;=0,N(Q201)&lt;=0),"Menge pro Gebinde fehlt (Ist = 1 Gebinde); ","")&amp;BV201)</f>
        <v>grosser Artikel &amp; nicht im KTL</v>
      </c>
      <c r="BO201" s="60"/>
      <c r="BP201" s="60"/>
      <c r="BQ201" s="67"/>
      <c r="BR201" s="62" t="n">
        <v>8</v>
      </c>
      <c r="BS201" s="62" t="n">
        <v>25</v>
      </c>
      <c r="BT201" s="61" t="n">
        <v>801.770000000001</v>
      </c>
      <c r="BU201" s="62" t="n">
        <v>77</v>
      </c>
      <c r="BV201" s="60" t="s">
        <v>303</v>
      </c>
      <c r="BW201" s="65" t="n">
        <v>0</v>
      </c>
      <c r="BX201" s="65" t="n">
        <v>201</v>
      </c>
      <c r="BY201" s="60" t="str">
        <f aca="false">IF(U201&lt;&gt;"",UPPER(TRIM(U201)),IF(CB201=1,UPPER(VLOOKUP(T201,Parameter!$I$27:$K$29,2,0)),IF(P201="","LOSE",P201)))</f>
        <v>S71</v>
      </c>
      <c r="BZ201" s="62" t="n">
        <f aca="false">IF(BY201="LOSE",1,IF(N(V201)&gt;0,V201,IF(CB201=1,MAX(1,N(VLOOKUP(T201,Parameter!$I$27:$K$29,3,0)),H201,N(N201)),IF(N(Q201)&gt;0,Q201,MAX(1,H201)))))</f>
        <v>18</v>
      </c>
      <c r="CA201" s="65" t="n">
        <f aca="false">IF(BY201="LOSE",1,0)</f>
        <v>0</v>
      </c>
      <c r="CB201" s="65" t="n">
        <f aca="false">IF(AND(U201="",OR(P201="",P201="LOSE"),T201&lt;&gt;"",N(S201)&lt;=0,ISNUMBER(MATCH(T201,Parameter!$I$27:$I$29,0))),1,0)</f>
        <v>0</v>
      </c>
      <c r="CC201" s="65" t="n">
        <f aca="false">IF(CR201&gt;0,INDEX(Parameter!$H$5:$H$7,W201)/INDEX(Parameter!$E$5:$E$7,W201),IF(AND(CA201=0,N(IFERROR(VLOOKUP(BY201,'Gebinde-Kategorie'!$A$5:$N$45,14,0),0))&gt;0),VLOOKUP(BY201,'Gebinde-Kategorie'!$A$5:$N$45,14,0)*10+Parameter!$M$23,Parameter!$M$24))</f>
        <v>235</v>
      </c>
      <c r="CD201" s="60" t="str">
        <f aca="false">IF(AND(Parameter!$B$19="Ja",E201&lt;&gt;"",ISNUMBER(MATCH(E201,Parameter!$I$35:$I$52,0))),VLOOKUP(E201,Parameter!$I$35:$J$52,2,0),IFERROR(VLOOKUP(D201,Parameter!$A$35:$C$64,2,0),"Nein"))</f>
        <v>2+3</v>
      </c>
      <c r="CE201" s="64" t="n">
        <f aca="false">IF(CA201=0,0,IF(N(S201)&gt;0,S201,IFERROR(VLOOKUP(D201,Parameter!$A$35:$C$64,3,0)+0,0)))</f>
        <v>0</v>
      </c>
      <c r="CF201" s="60" t="n">
        <f aca="false">IF(AB201&lt;&gt;"",AB201,AA201)</f>
        <v>2</v>
      </c>
      <c r="CG201" s="60" t="str">
        <f aca="false">IF(OR(CF201=1,CF201=2,CF201=3),IF(Parameter!$E$27="Ja","LIFT",IF(CF201=1,"L1","L23")),IF(CF201="Aussen","Aussen","-"))</f>
        <v>LIFT</v>
      </c>
      <c r="CH201" s="71" t="n">
        <f aca="false">IF(N(AC201)&gt;0,AC201,0)</f>
        <v>0</v>
      </c>
      <c r="CI201" s="65" t="n">
        <f aca="false">IF(ISNUMBER(AF201),1,0)</f>
        <v>0</v>
      </c>
      <c r="CJ201" s="62" t="n">
        <f aca="false">N(AF201)</f>
        <v>0</v>
      </c>
      <c r="CK201" s="62" t="n">
        <f aca="false">N(M201)+N(N201)</f>
        <v>55</v>
      </c>
      <c r="CL201" s="62" t="n">
        <f aca="false">N(M201)</f>
        <v>10</v>
      </c>
      <c r="CM201" s="62" t="n">
        <f aca="false">N(N201)</f>
        <v>45</v>
      </c>
      <c r="CN201" s="62" t="n">
        <f aca="false">ROUNDUP(H201/BZ201,0)</f>
        <v>2</v>
      </c>
      <c r="CO201" s="62" t="n">
        <f aca="false">ROUNDUP(CJ201/BZ201,0)</f>
        <v>0</v>
      </c>
      <c r="CP201" s="65" t="n">
        <f aca="false">IF(CA201=1,0,IFERROR(VLOOKUP(BY201,'Gebinde-Kategorie'!$A$5:$N$45,5,0)+0,0))</f>
        <v>20</v>
      </c>
      <c r="CQ201" s="65" t="n">
        <f aca="false">IFERROR(IF(OR(CF201=1,CF201=2,CF201=3),N(INDEX(Parameter!$I$5:$I$7,CF201)),0),0)</f>
        <v>0</v>
      </c>
      <c r="CR201" s="64" t="n">
        <f aca="false">IF(AND(Parameter!$B$21="Ja",ISNUMBER(W201),N(X201)&gt;0),IFERROR(N(INDEX(Parameter!$L$5:$L$7,W201))*INDEX(Parameter!$E$5:$E$7,W201)*X201/SUMIFS($X$7:$X$1843,$W$7:$W$1843,W201),0),0)</f>
        <v>0</v>
      </c>
      <c r="CS201" s="62" t="n">
        <f aca="false">IF(AND(OR(CG201="L1",CG201="L23",CG201="LIFT"),H201&gt;0),CC201*IF(CR201&gt;0,CR201*MAX(1,H201/X201),IF(CA201=1,CE201,IF(R201&gt;0,CN201/R201,0))/MAX(0.1,N(Parameter!$M$21))),"")</f>
        <v>78.3333333333333</v>
      </c>
      <c r="CT201" s="64" t="n">
        <f aca="false">IF(CS201="","",J201/H201)</f>
        <v>2.33333333333333</v>
      </c>
      <c r="CU201" s="62" t="n">
        <f aca="false">IF(CS201="","",H201*G201)</f>
        <v>3256.77</v>
      </c>
      <c r="CV201" s="63" t="n">
        <f aca="false">IF(CS201="","",(CL201+ROUNDUP(CL201+MAX(CM201,2*(J201/MAX(0.1,N(Einkauf!$C$6))-CL201)),0))/2)</f>
        <v>32.5</v>
      </c>
      <c r="CW201" s="62" t="n">
        <f aca="false">IF(CS201="","",MAX(0,H201-CV201)*G201)</f>
        <v>49.345</v>
      </c>
      <c r="CX201" s="62" t="n">
        <f aca="false">IF(CS201="","",CS201*MAX(0,1-CV201/H201))</f>
        <v>1.18686868686869</v>
      </c>
      <c r="CY201" s="64" t="n">
        <f aca="false">IF(CS201="","",PERCENTRANK($CS$7:$CS$1843,CS201)+PERCENTRANK($CU$7:$CU$1843,CU201)+1-PERCENTRANK($CT$7:$CT$1843,CT201))</f>
        <v>1.954</v>
      </c>
      <c r="CZ201" s="72" t="n">
        <f aca="false">IF(CS201="","",CHOOSE(MATCH(Einkauf!$C$5,Parameter!$G$23:$G$27,0),CY201,CS201,CU201,-CT201,CW201)+ROW()/1000000000)</f>
        <v>1.954000201</v>
      </c>
    </row>
    <row r="202" customFormat="false" ht="15" hidden="false" customHeight="false" outlineLevel="0" collapsed="false">
      <c r="A202" s="60" t="s">
        <v>647</v>
      </c>
      <c r="B202" s="60" t="s">
        <v>473</v>
      </c>
      <c r="C202" s="60" t="s">
        <v>206</v>
      </c>
      <c r="D202" s="60" t="s">
        <v>226</v>
      </c>
      <c r="E202" s="60" t="s">
        <v>227</v>
      </c>
      <c r="F202" s="60" t="s">
        <v>260</v>
      </c>
      <c r="G202" s="61" t="n">
        <v>66.73</v>
      </c>
      <c r="H202" s="62" t="n">
        <f aca="false">MAX(0,IF(AND(Parameter!$B$21="Ja",ISNUMBER(Y202)),Y202,IF(Parameter!$B$20="Jahresanfang 2025 + Export",BS202+BR202,BR202)))</f>
        <v>39</v>
      </c>
      <c r="I202" s="62" t="n">
        <f aca="false">H202*G202</f>
        <v>2602.47</v>
      </c>
      <c r="J202" s="62" t="n">
        <f aca="false">BU202*Parameter!$B$18</f>
        <v>7</v>
      </c>
      <c r="K202" s="63" t="n">
        <v>35</v>
      </c>
      <c r="L202" s="64" t="n">
        <v>0.2</v>
      </c>
      <c r="M202" s="62" t="n">
        <v>1</v>
      </c>
      <c r="N202" s="62" t="n">
        <v>5</v>
      </c>
      <c r="O202" s="65" t="n">
        <v>70</v>
      </c>
      <c r="P202" s="60" t="s">
        <v>275</v>
      </c>
      <c r="Q202" s="62" t="n">
        <v>45</v>
      </c>
      <c r="R202" s="65" t="n">
        <f aca="false">IF(CA202=1,0,IFERROR(VLOOKUP(BY202,'Gebinde-Kategorie'!$A$5:$N$45,13,0)+0,0))</f>
        <v>26</v>
      </c>
      <c r="S202" s="66"/>
      <c r="T202" s="67"/>
      <c r="U202" s="67"/>
      <c r="V202" s="67"/>
      <c r="W202" s="60"/>
      <c r="X202" s="62"/>
      <c r="Y202" s="62"/>
      <c r="Z202" s="60" t="n">
        <v>3</v>
      </c>
      <c r="AA202" s="60" t="n">
        <f aca="false">IF(A202="","",IF(AND(Parameter!$B$21="Ja",ISNUMBER(W202)),W202,IF(AND(Parameter!$E$27="Ja",ISNUMBER(Z202),CD202&lt;&gt;"Nein"),Z202,IF(CD202="2+3",IF(ISNUMBER(SEARCH("grosser Artikel",BV202)),2,IFERROR(VLOOKUP(BY202,Parameter!$F$35:$G$64,2,0),2)),IF(OR(CD202="Nein",CD202=""),"-",CD202)))))</f>
        <v>3</v>
      </c>
      <c r="AB202" s="67"/>
      <c r="AC202" s="68"/>
      <c r="AD202" s="62" t="n">
        <f aca="false">AW202</f>
        <v>6</v>
      </c>
      <c r="AE202" s="62" t="n">
        <f aca="false">MAX(AW202,H202)</f>
        <v>39</v>
      </c>
      <c r="AF202" s="69"/>
      <c r="AG202" s="62" t="n">
        <f aca="false">IF(LEFT(Cockpit!$C$5,1)="A",H202,IF(Parameter!$E$30="MAX-Bestand",IF(CI202=1,CJ202,IF(LEFT(Cockpit!$C$5,1)="B",AM202,MAX(AM202,H202))),ROUNDUP(AK202,0)))</f>
        <v>39</v>
      </c>
      <c r="AH202" s="62" t="n">
        <f aca="false">IF(CA202=1,0,ROUNDUP(AG202/BZ202,0))</f>
        <v>1</v>
      </c>
      <c r="AI202" s="64" t="n">
        <f aca="false">IF(CR202&gt;0,CR202*MAX(1,AG202/X202),IF(CA202=1,IF(AG202&lt;=0,0,CE202*MAX(1,IF(H202&gt;0,AG202/H202,1))),IF(R202&gt;0,AH202/R202,0))/MAX(0.1,N(Parameter!$M$21)))</f>
        <v>0.0384615384615385</v>
      </c>
      <c r="AJ202" s="62" t="n">
        <f aca="false">AI202*CC202</f>
        <v>9.42307692307692</v>
      </c>
      <c r="AK202" s="63" t="n">
        <f aca="false">IF(LEFT(Cockpit!$C$5,1)="A",H202,IF(CI202=1,(CL202+CJ202)/2,IF(LEFT(Cockpit!$C$5,1)="B",(CL202+AM202)/2,MAX((CL202+AM202)/2,H202))))</f>
        <v>39</v>
      </c>
      <c r="AL202" s="62" t="n">
        <f aca="false">AK202*G202</f>
        <v>2602.47</v>
      </c>
      <c r="AM202" s="62" t="n">
        <f aca="false">ROUNDUP(CL202+MAX(CM202,2*(J202/IF(CH202&gt;0,CH202,MAX(0.1,N(Cockpit!$C$6)))-CL202)),0)</f>
        <v>6</v>
      </c>
      <c r="AN202" s="63" t="n">
        <f aca="false">IF(AJ202&gt;0,J202/AJ202,-1)</f>
        <v>0.742857142857143</v>
      </c>
      <c r="AO202" s="63" t="n">
        <f aca="false">IF(AND(OR(CG202="L1",CG202="L23",CG202="LIFT"),AJ202&gt;0),SUMIFS($AJ$7:$AJ$1843,$CG$7:$CG$1843,CG202,$AN$7:$AN$1843,"&gt;"&amp;AN202)+SUMIFS($AJ$7:$AJ$1843,$CG$7:$CG$1843,CG202,$AN$7:$AN$1843,AN202,$BX$7:$BX$1843,"&lt;="&amp;BX202),"")</f>
        <v>8379.57371794872</v>
      </c>
      <c r="AP202" s="70" t="n">
        <f aca="false">IF(AO202="",0,MAX(0,MIN(1,(IF(CG202="L1",Parameter!$H$5,IF(CG202="L23",Parameter!$H$6+Parameter!$H$7,Parameter!$H$5+Parameter!$H$6+Parameter!$H$7))-(AO202-AJ202))/AJ202)))</f>
        <v>1</v>
      </c>
      <c r="AQ202" s="62" t="n">
        <f aca="false">IF(LEFT(Cockpit!$I$5,1)="A",H202,IF(Parameter!$E$30="MAX-Bestand",IF(CI202=1,CJ202,IF(LEFT(Cockpit!$I$5,1)="B",AW202,MAX(AW202,H202))),ROUNDUP(AU202,0)))</f>
        <v>39</v>
      </c>
      <c r="AR202" s="62" t="n">
        <f aca="false">IF(CA202=1,0,ROUNDUP(AQ202/BZ202,0))</f>
        <v>1</v>
      </c>
      <c r="AS202" s="64" t="n">
        <f aca="false">IF(CR202&gt;0,CR202*MAX(1,AQ202/X202),IF(CA202=1,IF(AQ202&lt;=0,0,CE202*MAX(1,IF(H202&gt;0,AQ202/H202,1))),IF(R202&gt;0,AR202/R202,0))/MAX(0.1,N(Parameter!$M$21)))</f>
        <v>0.0384615384615385</v>
      </c>
      <c r="AT202" s="62" t="n">
        <f aca="false">AS202*CC202</f>
        <v>9.42307692307692</v>
      </c>
      <c r="AU202" s="63" t="n">
        <f aca="false">IF(LEFT(Cockpit!$I$5,1)="A",H202,IF(CI202=1,(CL202+CJ202)/2,IF(LEFT(Cockpit!$I$5,1)="B",(CL202+AW202)/2,MAX((CL202+AW202)/2,H202))))</f>
        <v>39</v>
      </c>
      <c r="AV202" s="62" t="n">
        <f aca="false">AU202*G202</f>
        <v>2602.47</v>
      </c>
      <c r="AW202" s="62" t="n">
        <f aca="false">ROUNDUP(CL202+MAX(CM202,2*(J202/IF(CH202&gt;0,CH202,MAX(0.1,N(Cockpit!$I$6)))-CL202)),0)</f>
        <v>6</v>
      </c>
      <c r="AX202" s="63" t="n">
        <f aca="false">IF(AT202&gt;0,J202/AT202,-1)</f>
        <v>0.742857142857143</v>
      </c>
      <c r="AY202" s="63" t="n">
        <f aca="false">IF(AND(OR(CG202="L1",CG202="L23",CG202="LIFT"),AT202&gt;0),SUMIFS($AT$7:$AT$1843,$CG$7:$CG$1843,CG202,$AX$7:$AX$1843,"&gt;"&amp;AX202)+SUMIFS($AT$7:$AT$1843,$CG$7:$CG$1843,CG202,$AX$7:$AX$1843,AX202,$BX$7:$BX$1843,"&lt;="&amp;BX202),"")</f>
        <v>10639.1419413919</v>
      </c>
      <c r="AZ202" s="70" t="n">
        <f aca="false">IF(AY202="",0,MAX(0,MIN(1,(IF(CG202="L1",Parameter!$H$5,IF(CG202="L23",Parameter!$H$6+Parameter!$H$7,Parameter!$H$5+Parameter!$H$6+Parameter!$H$7))-(AY202-AT202))/AT202)))</f>
        <v>1</v>
      </c>
      <c r="BA202" s="62" t="n">
        <f aca="false">IF(LEFT(Cockpit!$O$5,1)="A",H202,IF(Parameter!$E$30="MAX-Bestand",IF(CI202=1,CJ202,IF(LEFT(Cockpit!$O$5,1)="B",BG202,MAX(BG202,H202))),ROUNDUP(BE202,0)))</f>
        <v>4</v>
      </c>
      <c r="BB202" s="62" t="n">
        <f aca="false">IF(CA202=1,0,ROUNDUP(BA202/BZ202,0))</f>
        <v>1</v>
      </c>
      <c r="BC202" s="64" t="n">
        <f aca="false">IF(CR202&gt;0,CR202*MAX(1,BA202/X202),IF(CA202=1,IF(BA202&lt;=0,0,CE202*MAX(1,IF(H202&gt;0,BA202/H202,1))),IF(R202&gt;0,BB202/R202,0))/MAX(0.1,N(Parameter!$M$21)))</f>
        <v>0.0384615384615385</v>
      </c>
      <c r="BD202" s="62" t="n">
        <f aca="false">BC202*CC202</f>
        <v>9.42307692307692</v>
      </c>
      <c r="BE202" s="63" t="n">
        <f aca="false">IF(LEFT(Cockpit!$O$5,1)="A",H202,IF(CI202=1,(CL202+CJ202)/2,IF(LEFT(Cockpit!$O$5,1)="B",(CL202+BG202)/2,MAX((CL202+BG202)/2,H202))))</f>
        <v>3.5</v>
      </c>
      <c r="BF202" s="62" t="n">
        <f aca="false">BE202*G202</f>
        <v>233.555</v>
      </c>
      <c r="BG202" s="62" t="n">
        <f aca="false">ROUNDUP(CL202+MAX(CM202,2*(J202/IF(CH202&gt;0,CH202,MAX(0.1,N(Cockpit!$O$6)))-CL202)),0)</f>
        <v>6</v>
      </c>
      <c r="BH202" s="63" t="n">
        <f aca="false">IF(BD202&gt;0,J202/BD202,-1)</f>
        <v>0.742857142857143</v>
      </c>
      <c r="BI202" s="63" t="n">
        <f aca="false">IF(AND(OR(CG202="L1",CG202="L23",CG202="LIFT"),BD202&gt;0),SUMIFS($BD$7:$BD$1843,$CG$7:$CG$1843,CG202,$BH$7:$BH$1843,"&gt;"&amp;BH202)+SUMIFS($BD$7:$BD$1843,$CG$7:$CG$1843,CG202,$BH$7:$BH$1843,BH202,$BX$7:$BX$1843,"&lt;="&amp;BX202),"")</f>
        <v>9102.5260989011</v>
      </c>
      <c r="BJ202" s="70" t="n">
        <f aca="false">IF(BI202="",0,MAX(0,MIN(1,(IF(CG202="L1",Parameter!$H$5,IF(CG202="L23",Parameter!$H$6+Parameter!$H$7,Parameter!$H$5+Parameter!$H$6+Parameter!$H$7))-(BI202-BD202))/BD202)))</f>
        <v>1</v>
      </c>
      <c r="BK202" s="60" t="str">
        <f aca="false">IF(AJ202&lt;=0,"",IF(CG202="Aussen","Aussenlager",IF(CG202="-","Nicht im Lift",IF(AP202&gt;=1,"Lift",IF(AP202&lt;=0,"Aussenlager","teilweise")))))</f>
        <v>Lift</v>
      </c>
      <c r="BL202" s="60" t="str">
        <f aca="false">IF(AT202&lt;=0,"",IF(CG202="Aussen","Aussenlager",IF(CG202="-","Nicht im Lift",IF(AZ202&gt;=1,"Lift",IF(AZ202&lt;=0,"Aussenlager","teilweise")))))</f>
        <v>Lift</v>
      </c>
      <c r="BM202" s="60" t="str">
        <f aca="false">IF(BD202&lt;=0,"",IF(CG202="Aussen","Aussenlager",IF(CG202="-","Nicht im Lift",IF(BJ202&gt;=1,"Lift",IF(BJ202&lt;=0,"Aussenlager","teilweise")))))</f>
        <v>Lift</v>
      </c>
      <c r="BN202" s="60" t="str">
        <f aca="false">IF(A202="","",IF(BW202=1,"Neu; ","")&amp;IF(AND(BW202=0,BR202&lt;0),"negativer Bestand (Export "&amp;BR202&amp;"); ","")&amp;IF(J202&lt;=0,"Kein Verbrauch; ","")&amp;IF(CR202&gt;0,"Lift "&amp;W202&amp;" lt. Liftbericht (Fach "&amp;X202&amp;" Stk); ",IF(CB202=1,"Gebinde geschätzt ("&amp;T202&amp;"); ",IF(CA202=1,"Lose – Tablare geschätzt; ","")))&amp;IF(H202&gt;AW202,"Überbestand "&amp;ROUND(H202-AW202,0)&amp;" Stk / CHF "&amp;ROUND((H202-AW202)*G202,0)&amp;"; ","")&amp;IF(AND(CI202=1,CJ202&lt;CK202),"MAX &lt; MB+LG; ","")&amp;IF(AND(CQ202&gt;0,CP202*10&gt;CQ202),"zu hoch für Tablar; ","")&amp;IF(AND(BW202=0,OR(CI202=1,AB202&lt;&gt;"",U202&lt;&gt;"",V202&lt;&gt;"",AC202&lt;&gt;"")),"manuell übersteuert; ","")&amp;IF(AND(CA202=0,R202=0),"Gebinde unbekannt / Stellmass fehlt; ","")&amp;IF(AND(CA202=0,N(V202)&lt;=0,N(Q202)&lt;=0),"Menge pro Gebinde fehlt (Ist = 1 Gebinde); ","")&amp;BV202)</f>
        <v>Überbestand 33 Stk / CHF 2202; </v>
      </c>
      <c r="BO202" s="60"/>
      <c r="BP202" s="60"/>
      <c r="BQ202" s="67"/>
      <c r="BR202" s="62" t="n">
        <v>12</v>
      </c>
      <c r="BS202" s="62" t="n">
        <v>27</v>
      </c>
      <c r="BT202" s="61" t="n">
        <v>800.76</v>
      </c>
      <c r="BU202" s="62" t="n">
        <v>7</v>
      </c>
      <c r="BV202" s="60"/>
      <c r="BW202" s="65" t="n">
        <v>0</v>
      </c>
      <c r="BX202" s="65" t="n">
        <v>202</v>
      </c>
      <c r="BY202" s="60" t="str">
        <f aca="false">IF(U202&lt;&gt;"",UPPER(TRIM(U202)),IF(CB202=1,UPPER(VLOOKUP(T202,Parameter!$I$27:$K$29,2,0)),IF(P202="","LOSE",P202)))</f>
        <v>S52</v>
      </c>
      <c r="BZ202" s="62" t="n">
        <f aca="false">IF(BY202="LOSE",1,IF(N(V202)&gt;0,V202,IF(CB202=1,MAX(1,N(VLOOKUP(T202,Parameter!$I$27:$K$29,3,0)),H202,N(N202)),IF(N(Q202)&gt;0,Q202,MAX(1,H202)))))</f>
        <v>45</v>
      </c>
      <c r="CA202" s="65" t="n">
        <f aca="false">IF(BY202="LOSE",1,0)</f>
        <v>0</v>
      </c>
      <c r="CB202" s="65" t="n">
        <f aca="false">IF(AND(U202="",OR(P202="",P202="LOSE"),T202&lt;&gt;"",N(S202)&lt;=0,ISNUMBER(MATCH(T202,Parameter!$I$27:$I$29,0))),1,0)</f>
        <v>0</v>
      </c>
      <c r="CC202" s="65" t="n">
        <f aca="false">IF(CR202&gt;0,INDEX(Parameter!$H$5:$H$7,W202)/INDEX(Parameter!$E$5:$E$7,W202),IF(AND(CA202=0,N(IFERROR(VLOOKUP(BY202,'Gebinde-Kategorie'!$A$5:$N$45,14,0),0))&gt;0),VLOOKUP(BY202,'Gebinde-Kategorie'!$A$5:$N$45,14,0)*10+Parameter!$M$23,Parameter!$M$24))</f>
        <v>245</v>
      </c>
      <c r="CD202" s="60" t="str">
        <f aca="false">IF(AND(Parameter!$B$19="Ja",E202&lt;&gt;"",ISNUMBER(MATCH(E202,Parameter!$I$35:$I$52,0))),VLOOKUP(E202,Parameter!$I$35:$J$52,2,0),IFERROR(VLOOKUP(D202,Parameter!$A$35:$C$64,2,0),"Nein"))</f>
        <v>2+3</v>
      </c>
      <c r="CE202" s="64" t="n">
        <f aca="false">IF(CA202=0,0,IF(N(S202)&gt;0,S202,IFERROR(VLOOKUP(D202,Parameter!$A$35:$C$64,3,0)+0,0)))</f>
        <v>0</v>
      </c>
      <c r="CF202" s="60" t="n">
        <f aca="false">IF(AB202&lt;&gt;"",AB202,AA202)</f>
        <v>3</v>
      </c>
      <c r="CG202" s="60" t="str">
        <f aca="false">IF(OR(CF202=1,CF202=2,CF202=3),IF(Parameter!$E$27="Ja","LIFT",IF(CF202=1,"L1","L23")),IF(CF202="Aussen","Aussen","-"))</f>
        <v>LIFT</v>
      </c>
      <c r="CH202" s="71" t="n">
        <f aca="false">IF(N(AC202)&gt;0,AC202,0)</f>
        <v>0</v>
      </c>
      <c r="CI202" s="65" t="n">
        <f aca="false">IF(ISNUMBER(AF202),1,0)</f>
        <v>0</v>
      </c>
      <c r="CJ202" s="62" t="n">
        <f aca="false">N(AF202)</f>
        <v>0</v>
      </c>
      <c r="CK202" s="62" t="n">
        <f aca="false">N(M202)+N(N202)</f>
        <v>6</v>
      </c>
      <c r="CL202" s="62" t="n">
        <f aca="false">N(M202)</f>
        <v>1</v>
      </c>
      <c r="CM202" s="62" t="n">
        <f aca="false">N(N202)</f>
        <v>5</v>
      </c>
      <c r="CN202" s="62" t="n">
        <f aca="false">ROUNDUP(H202/BZ202,0)</f>
        <v>1</v>
      </c>
      <c r="CO202" s="62" t="n">
        <f aca="false">ROUNDUP(CJ202/BZ202,0)</f>
        <v>0</v>
      </c>
      <c r="CP202" s="65" t="n">
        <f aca="false">IF(CA202=1,0,IFERROR(VLOOKUP(BY202,'Gebinde-Kategorie'!$A$5:$N$45,5,0)+0,0))</f>
        <v>21</v>
      </c>
      <c r="CQ202" s="65" t="n">
        <f aca="false">IFERROR(IF(OR(CF202=1,CF202=2,CF202=3),N(INDEX(Parameter!$I$5:$I$7,CF202)),0),0)</f>
        <v>0</v>
      </c>
      <c r="CR202" s="64" t="n">
        <f aca="false">IF(AND(Parameter!$B$21="Ja",ISNUMBER(W202),N(X202)&gt;0),IFERROR(N(INDEX(Parameter!$L$5:$L$7,W202))*INDEX(Parameter!$E$5:$E$7,W202)*X202/SUMIFS($X$7:$X$1843,$W$7:$W$1843,W202),0),0)</f>
        <v>0</v>
      </c>
      <c r="CS202" s="62" t="n">
        <f aca="false">IF(AND(OR(CG202="L1",CG202="L23",CG202="LIFT"),H202&gt;0),CC202*IF(CR202&gt;0,CR202*MAX(1,H202/X202),IF(CA202=1,CE202,IF(R202&gt;0,CN202/R202,0))/MAX(0.1,N(Parameter!$M$21))),"")</f>
        <v>9.42307692307692</v>
      </c>
      <c r="CT202" s="64" t="n">
        <f aca="false">IF(CS202="","",J202/H202)</f>
        <v>0.17948717948718</v>
      </c>
      <c r="CU202" s="62" t="n">
        <f aca="false">IF(CS202="","",H202*G202)</f>
        <v>2602.47</v>
      </c>
      <c r="CV202" s="63" t="n">
        <f aca="false">IF(CS202="","",(CL202+ROUNDUP(CL202+MAX(CM202,2*(J202/MAX(0.1,N(Einkauf!$C$6))-CL202)),0))/2)</f>
        <v>3.5</v>
      </c>
      <c r="CW202" s="62" t="n">
        <f aca="false">IF(CS202="","",MAX(0,H202-CV202)*G202)</f>
        <v>2368.915</v>
      </c>
      <c r="CX202" s="62" t="n">
        <f aca="false">IF(CS202="","",CS202*MAX(0,1-CV202/H202))</f>
        <v>8.57741617357002</v>
      </c>
      <c r="CY202" s="64" t="n">
        <f aca="false">IF(CS202="","",PERCENTRANK($CS$7:$CS$1843,CS202)+PERCENTRANK($CU$7:$CU$1843,CU202)+1-PERCENTRANK($CT$7:$CT$1843,CT202))</f>
        <v>1.916</v>
      </c>
      <c r="CZ202" s="72" t="n">
        <f aca="false">IF(CS202="","",CHOOSE(MATCH(Einkauf!$C$5,Parameter!$G$23:$G$27,0),CY202,CS202,CU202,-CT202,CW202)+ROW()/1000000000)</f>
        <v>1.916000202</v>
      </c>
    </row>
    <row r="203" customFormat="false" ht="15" hidden="false" customHeight="false" outlineLevel="0" collapsed="false">
      <c r="A203" s="60" t="s">
        <v>648</v>
      </c>
      <c r="B203" s="60" t="s">
        <v>649</v>
      </c>
      <c r="C203" s="60" t="s">
        <v>206</v>
      </c>
      <c r="D203" s="60" t="s">
        <v>226</v>
      </c>
      <c r="E203" s="60"/>
      <c r="F203" s="60" t="s">
        <v>260</v>
      </c>
      <c r="G203" s="61" t="n">
        <v>44.47</v>
      </c>
      <c r="H203" s="62" t="n">
        <f aca="false">MAX(0,IF(AND(Parameter!$B$21="Ja",ISNUMBER(Y203)),Y203,IF(Parameter!$B$20="Jahresanfang 2025 + Export",BS203+BR203,BR203)))</f>
        <v>18</v>
      </c>
      <c r="I203" s="62" t="n">
        <f aca="false">H203*G203</f>
        <v>800.46</v>
      </c>
      <c r="J203" s="62" t="n">
        <f aca="false">BU203*Parameter!$B$18</f>
        <v>25</v>
      </c>
      <c r="K203" s="63" t="n">
        <v>2.5</v>
      </c>
      <c r="L203" s="64" t="n">
        <v>10</v>
      </c>
      <c r="M203" s="62" t="n">
        <v>1</v>
      </c>
      <c r="N203" s="62" t="n">
        <v>25</v>
      </c>
      <c r="O203" s="65" t="n">
        <v>28</v>
      </c>
      <c r="P203" s="60" t="s">
        <v>463</v>
      </c>
      <c r="Q203" s="62" t="n">
        <v>25</v>
      </c>
      <c r="R203" s="65" t="n">
        <f aca="false">IF(CA203=1,0,IFERROR(VLOOKUP(BY203,'Gebinde-Kategorie'!$A$5:$N$45,13,0)+0,0))</f>
        <v>104</v>
      </c>
      <c r="S203" s="66"/>
      <c r="T203" s="67"/>
      <c r="U203" s="67"/>
      <c r="V203" s="67"/>
      <c r="W203" s="60"/>
      <c r="X203" s="62"/>
      <c r="Y203" s="62"/>
      <c r="Z203" s="60" t="n">
        <v>1</v>
      </c>
      <c r="AA203" s="60" t="n">
        <f aca="false">IF(A203="","",IF(AND(Parameter!$B$21="Ja",ISNUMBER(W203)),W203,IF(AND(Parameter!$E$27="Ja",ISNUMBER(Z203),CD203&lt;&gt;"Nein"),Z203,IF(CD203="2+3",IF(ISNUMBER(SEARCH("grosser Artikel",BV203)),2,IFERROR(VLOOKUP(BY203,Parameter!$F$35:$G$64,2,0),2)),IF(OR(CD203="Nein",CD203=""),"-",CD203)))))</f>
        <v>1</v>
      </c>
      <c r="AB203" s="67"/>
      <c r="AC203" s="68"/>
      <c r="AD203" s="62" t="n">
        <f aca="false">AW203</f>
        <v>26</v>
      </c>
      <c r="AE203" s="62" t="n">
        <f aca="false">MAX(AW203,H203)</f>
        <v>26</v>
      </c>
      <c r="AF203" s="69"/>
      <c r="AG203" s="62" t="n">
        <f aca="false">IF(LEFT(Cockpit!$C$5,1)="A",H203,IF(Parameter!$E$30="MAX-Bestand",IF(CI203=1,CJ203,IF(LEFT(Cockpit!$C$5,1)="B",AM203,MAX(AM203,H203))),ROUNDUP(AK203,0)))</f>
        <v>18</v>
      </c>
      <c r="AH203" s="62" t="n">
        <f aca="false">IF(CA203=1,0,ROUNDUP(AG203/BZ203,0))</f>
        <v>1</v>
      </c>
      <c r="AI203" s="64" t="n">
        <f aca="false">IF(CR203&gt;0,CR203*MAX(1,AG203/X203),IF(CA203=1,IF(AG203&lt;=0,0,CE203*MAX(1,IF(H203&gt;0,AG203/H203,1))),IF(R203&gt;0,AH203/R203,0))/MAX(0.1,N(Parameter!$M$21)))</f>
        <v>0.00961538461538462</v>
      </c>
      <c r="AJ203" s="62" t="n">
        <f aca="false">AI203*CC203</f>
        <v>1.49038461538462</v>
      </c>
      <c r="AK203" s="63" t="n">
        <f aca="false">IF(LEFT(Cockpit!$C$5,1)="A",H203,IF(CI203=1,(CL203+CJ203)/2,IF(LEFT(Cockpit!$C$5,1)="B",(CL203+AM203)/2,MAX((CL203+AM203)/2,H203))))</f>
        <v>18</v>
      </c>
      <c r="AL203" s="62" t="n">
        <f aca="false">AK203*G203</f>
        <v>800.46</v>
      </c>
      <c r="AM203" s="62" t="n">
        <f aca="false">ROUNDUP(CL203+MAX(CM203,2*(J203/IF(CH203&gt;0,CH203,MAX(0.1,N(Cockpit!$C$6)))-CL203)),0)</f>
        <v>26</v>
      </c>
      <c r="AN203" s="63" t="n">
        <f aca="false">IF(AJ203&gt;0,J203/AJ203,-1)</f>
        <v>16.7741935483871</v>
      </c>
      <c r="AO203" s="63" t="n">
        <f aca="false">IF(AND(OR(CG203="L1",CG203="L23",CG203="LIFT"),AJ203&gt;0),SUMIFS($AJ$7:$AJ$1843,$CG$7:$CG$1843,CG203,$AN$7:$AN$1843,"&gt;"&amp;AN203)+SUMIFS($AJ$7:$AJ$1843,$CG$7:$CG$1843,CG203,$AN$7:$AN$1843,AN203,$BX$7:$BX$1843,"&lt;="&amp;BX203),"")</f>
        <v>2009.73351648352</v>
      </c>
      <c r="AP203" s="70" t="n">
        <f aca="false">IF(AO203="",0,MAX(0,MIN(1,(IF(CG203="L1",Parameter!$H$5,IF(CG203="L23",Parameter!$H$6+Parameter!$H$7,Parameter!$H$5+Parameter!$H$6+Parameter!$H$7))-(AO203-AJ203))/AJ203)))</f>
        <v>1</v>
      </c>
      <c r="AQ203" s="62" t="n">
        <f aca="false">IF(LEFT(Cockpit!$I$5,1)="A",H203,IF(Parameter!$E$30="MAX-Bestand",IF(CI203=1,CJ203,IF(LEFT(Cockpit!$I$5,1)="B",AW203,MAX(AW203,H203))),ROUNDUP(AU203,0)))</f>
        <v>18</v>
      </c>
      <c r="AR203" s="62" t="n">
        <f aca="false">IF(CA203=1,0,ROUNDUP(AQ203/BZ203,0))</f>
        <v>1</v>
      </c>
      <c r="AS203" s="64" t="n">
        <f aca="false">IF(CR203&gt;0,CR203*MAX(1,AQ203/X203),IF(CA203=1,IF(AQ203&lt;=0,0,CE203*MAX(1,IF(H203&gt;0,AQ203/H203,1))),IF(R203&gt;0,AR203/R203,0))/MAX(0.1,N(Parameter!$M$21)))</f>
        <v>0.00961538461538462</v>
      </c>
      <c r="AT203" s="62" t="n">
        <f aca="false">AS203*CC203</f>
        <v>1.49038461538462</v>
      </c>
      <c r="AU203" s="63" t="n">
        <f aca="false">IF(LEFT(Cockpit!$I$5,1)="A",H203,IF(CI203=1,(CL203+CJ203)/2,IF(LEFT(Cockpit!$I$5,1)="B",(CL203+AW203)/2,MAX((CL203+AW203)/2,H203))))</f>
        <v>18</v>
      </c>
      <c r="AV203" s="62" t="n">
        <f aca="false">AU203*G203</f>
        <v>800.46</v>
      </c>
      <c r="AW203" s="62" t="n">
        <f aca="false">ROUNDUP(CL203+MAX(CM203,2*(J203/IF(CH203&gt;0,CH203,MAX(0.1,N(Cockpit!$I$6)))-CL203)),0)</f>
        <v>26</v>
      </c>
      <c r="AX203" s="63" t="n">
        <f aca="false">IF(AT203&gt;0,J203/AT203,-1)</f>
        <v>16.7741935483871</v>
      </c>
      <c r="AY203" s="63" t="n">
        <f aca="false">IF(AND(OR(CG203="L1",CG203="L23",CG203="LIFT"),AT203&gt;0),SUMIFS($AT$7:$AT$1843,$CG$7:$CG$1843,CG203,$AX$7:$AX$1843,"&gt;"&amp;AX203)+SUMIFS($AT$7:$AT$1843,$CG$7:$CG$1843,CG203,$AX$7:$AX$1843,AX203,$BX$7:$BX$1843,"&lt;="&amp;BX203),"")</f>
        <v>2646.8543956044</v>
      </c>
      <c r="AZ203" s="70" t="n">
        <f aca="false">IF(AY203="",0,MAX(0,MIN(1,(IF(CG203="L1",Parameter!$H$5,IF(CG203="L23",Parameter!$H$6+Parameter!$H$7,Parameter!$H$5+Parameter!$H$6+Parameter!$H$7))-(AY203-AT203))/AT203)))</f>
        <v>1</v>
      </c>
      <c r="BA203" s="62" t="n">
        <f aca="false">IF(LEFT(Cockpit!$O$5,1)="A",H203,IF(Parameter!$E$30="MAX-Bestand",IF(CI203=1,CJ203,IF(LEFT(Cockpit!$O$5,1)="B",BG203,MAX(BG203,H203))),ROUNDUP(BE203,0)))</f>
        <v>14</v>
      </c>
      <c r="BB203" s="62" t="n">
        <f aca="false">IF(CA203=1,0,ROUNDUP(BA203/BZ203,0))</f>
        <v>1</v>
      </c>
      <c r="BC203" s="64" t="n">
        <f aca="false">IF(CR203&gt;0,CR203*MAX(1,BA203/X203),IF(CA203=1,IF(BA203&lt;=0,0,CE203*MAX(1,IF(H203&gt;0,BA203/H203,1))),IF(R203&gt;0,BB203/R203,0))/MAX(0.1,N(Parameter!$M$21)))</f>
        <v>0.00961538461538462</v>
      </c>
      <c r="BD203" s="62" t="n">
        <f aca="false">BC203*CC203</f>
        <v>1.49038461538462</v>
      </c>
      <c r="BE203" s="63" t="n">
        <f aca="false">IF(LEFT(Cockpit!$O$5,1)="A",H203,IF(CI203=1,(CL203+CJ203)/2,IF(LEFT(Cockpit!$O$5,1)="B",(CL203+BG203)/2,MAX((CL203+BG203)/2,H203))))</f>
        <v>13.5</v>
      </c>
      <c r="BF203" s="62" t="n">
        <f aca="false">BE203*G203</f>
        <v>600.345</v>
      </c>
      <c r="BG203" s="62" t="n">
        <f aca="false">ROUNDUP(CL203+MAX(CM203,2*(J203/IF(CH203&gt;0,CH203,MAX(0.1,N(Cockpit!$O$6)))-CL203)),0)</f>
        <v>26</v>
      </c>
      <c r="BH203" s="63" t="n">
        <f aca="false">IF(BD203&gt;0,J203/BD203,-1)</f>
        <v>16.7741935483871</v>
      </c>
      <c r="BI203" s="63" t="n">
        <f aca="false">IF(AND(OR(CG203="L1",CG203="L23",CG203="LIFT"),BD203&gt;0),SUMIFS($BD$7:$BD$1843,$CG$7:$CG$1843,CG203,$BH$7:$BH$1843,"&gt;"&amp;BH203)+SUMIFS($BD$7:$BD$1843,$CG$7:$CG$1843,CG203,$BH$7:$BH$1843,BH203,$BX$7:$BX$1843,"&lt;="&amp;BX203),"")</f>
        <v>2332.87225274725</v>
      </c>
      <c r="BJ203" s="70" t="n">
        <f aca="false">IF(BI203="",0,MAX(0,MIN(1,(IF(CG203="L1",Parameter!$H$5,IF(CG203="L23",Parameter!$H$6+Parameter!$H$7,Parameter!$H$5+Parameter!$H$6+Parameter!$H$7))-(BI203-BD203))/BD203)))</f>
        <v>1</v>
      </c>
      <c r="BK203" s="60" t="str">
        <f aca="false">IF(AJ203&lt;=0,"",IF(CG203="Aussen","Aussenlager",IF(CG203="-","Nicht im Lift",IF(AP203&gt;=1,"Lift",IF(AP203&lt;=0,"Aussenlager","teilweise")))))</f>
        <v>Lift</v>
      </c>
      <c r="BL203" s="60" t="str">
        <f aca="false">IF(AT203&lt;=0,"",IF(CG203="Aussen","Aussenlager",IF(CG203="-","Nicht im Lift",IF(AZ203&gt;=1,"Lift",IF(AZ203&lt;=0,"Aussenlager","teilweise")))))</f>
        <v>Lift</v>
      </c>
      <c r="BM203" s="60" t="str">
        <f aca="false">IF(BD203&lt;=0,"",IF(CG203="Aussen","Aussenlager",IF(CG203="-","Nicht im Lift",IF(BJ203&gt;=1,"Lift",IF(BJ203&lt;=0,"Aussenlager","teilweise")))))</f>
        <v>Lift</v>
      </c>
      <c r="BN203" s="60" t="str">
        <f aca="false">IF(A203="","",IF(BW203=1,"Neu; ","")&amp;IF(AND(BW203=0,BR203&lt;0),"negativer Bestand (Export "&amp;BR203&amp;"); ","")&amp;IF(J203&lt;=0,"Kein Verbrauch; ","")&amp;IF(CR203&gt;0,"Lift "&amp;W203&amp;" lt. Liftbericht (Fach "&amp;X203&amp;" Stk); ",IF(CB203=1,"Gebinde geschätzt ("&amp;T203&amp;"); ",IF(CA203=1,"Lose – Tablare geschätzt; ","")))&amp;IF(H203&gt;AW203,"Überbestand "&amp;ROUND(H203-AW203,0)&amp;" Stk / CHF "&amp;ROUND((H203-AW203)*G203,0)&amp;"; ","")&amp;IF(AND(CI203=1,CJ203&lt;CK203),"MAX &lt; MB+LG; ","")&amp;IF(AND(CQ203&gt;0,CP203*10&gt;CQ203),"zu hoch für Tablar; ","")&amp;IF(AND(BW203=0,OR(CI203=1,AB203&lt;&gt;"",U203&lt;&gt;"",V203&lt;&gt;"",AC203&lt;&gt;"")),"manuell übersteuert; ","")&amp;IF(AND(CA203=0,R203=0),"Gebinde unbekannt / Stellmass fehlt; ","")&amp;IF(AND(CA203=0,N(V203)&lt;=0,N(Q203)&lt;=0),"Menge pro Gebinde fehlt (Ist = 1 Gebinde); ","")&amp;BV203)</f>
        <v/>
      </c>
      <c r="BO203" s="60"/>
      <c r="BP203" s="60"/>
      <c r="BQ203" s="67"/>
      <c r="BR203" s="62" t="n">
        <v>18</v>
      </c>
      <c r="BS203" s="62" t="n">
        <v>0</v>
      </c>
      <c r="BT203" s="61" t="n">
        <v>800.46</v>
      </c>
      <c r="BU203" s="62" t="n">
        <v>25</v>
      </c>
      <c r="BV203" s="60"/>
      <c r="BW203" s="65" t="n">
        <v>0</v>
      </c>
      <c r="BX203" s="65" t="n">
        <v>203</v>
      </c>
      <c r="BY203" s="60" t="str">
        <f aca="false">IF(U203&lt;&gt;"",UPPER(TRIM(U203)),IF(CB203=1,UPPER(VLOOKUP(T203,Parameter!$I$27:$K$29,2,0)),IF(P203="","LOSE",P203)))</f>
        <v>S32</v>
      </c>
      <c r="BZ203" s="62" t="n">
        <f aca="false">IF(BY203="LOSE",1,IF(N(V203)&gt;0,V203,IF(CB203=1,MAX(1,N(VLOOKUP(T203,Parameter!$I$27:$K$29,3,0)),H203,N(N203)),IF(N(Q203)&gt;0,Q203,MAX(1,H203)))))</f>
        <v>25</v>
      </c>
      <c r="CA203" s="65" t="n">
        <f aca="false">IF(BY203="LOSE",1,0)</f>
        <v>0</v>
      </c>
      <c r="CB203" s="65" t="n">
        <f aca="false">IF(AND(U203="",OR(P203="",P203="LOSE"),T203&lt;&gt;"",N(S203)&lt;=0,ISNUMBER(MATCH(T203,Parameter!$I$27:$I$29,0))),1,0)</f>
        <v>0</v>
      </c>
      <c r="CC203" s="65" t="n">
        <f aca="false">IF(CR203&gt;0,INDEX(Parameter!$H$5:$H$7,W203)/INDEX(Parameter!$E$5:$E$7,W203),IF(AND(CA203=0,N(IFERROR(VLOOKUP(BY203,'Gebinde-Kategorie'!$A$5:$N$45,14,0),0))&gt;0),VLOOKUP(BY203,'Gebinde-Kategorie'!$A$5:$N$45,14,0)*10+Parameter!$M$23,Parameter!$M$24))</f>
        <v>155</v>
      </c>
      <c r="CD203" s="60" t="str">
        <f aca="false">IF(AND(Parameter!$B$19="Ja",E203&lt;&gt;"",ISNUMBER(MATCH(E203,Parameter!$I$35:$I$52,0))),VLOOKUP(E203,Parameter!$I$35:$J$52,2,0),IFERROR(VLOOKUP(D203,Parameter!$A$35:$C$64,2,0),"Nein"))</f>
        <v>2+3</v>
      </c>
      <c r="CE203" s="64" t="n">
        <f aca="false">IF(CA203=0,0,IF(N(S203)&gt;0,S203,IFERROR(VLOOKUP(D203,Parameter!$A$35:$C$64,3,0)+0,0)))</f>
        <v>0</v>
      </c>
      <c r="CF203" s="60" t="n">
        <f aca="false">IF(AB203&lt;&gt;"",AB203,AA203)</f>
        <v>1</v>
      </c>
      <c r="CG203" s="60" t="str">
        <f aca="false">IF(OR(CF203=1,CF203=2,CF203=3),IF(Parameter!$E$27="Ja","LIFT",IF(CF203=1,"L1","L23")),IF(CF203="Aussen","Aussen","-"))</f>
        <v>LIFT</v>
      </c>
      <c r="CH203" s="71" t="n">
        <f aca="false">IF(N(AC203)&gt;0,AC203,0)</f>
        <v>0</v>
      </c>
      <c r="CI203" s="65" t="n">
        <f aca="false">IF(ISNUMBER(AF203),1,0)</f>
        <v>0</v>
      </c>
      <c r="CJ203" s="62" t="n">
        <f aca="false">N(AF203)</f>
        <v>0</v>
      </c>
      <c r="CK203" s="62" t="n">
        <f aca="false">N(M203)+N(N203)</f>
        <v>26</v>
      </c>
      <c r="CL203" s="62" t="n">
        <f aca="false">N(M203)</f>
        <v>1</v>
      </c>
      <c r="CM203" s="62" t="n">
        <f aca="false">N(N203)</f>
        <v>25</v>
      </c>
      <c r="CN203" s="62" t="n">
        <f aca="false">ROUNDUP(H203/BZ203,0)</f>
        <v>1</v>
      </c>
      <c r="CO203" s="62" t="n">
        <f aca="false">ROUNDUP(CJ203/BZ203,0)</f>
        <v>0</v>
      </c>
      <c r="CP203" s="65" t="n">
        <f aca="false">IF(CA203=1,0,IFERROR(VLOOKUP(BY203,'Gebinde-Kategorie'!$A$5:$N$45,5,0)+0,0))</f>
        <v>8</v>
      </c>
      <c r="CQ203" s="65" t="n">
        <f aca="false">IFERROR(IF(OR(CF203=1,CF203=2,CF203=3),N(INDEX(Parameter!$I$5:$I$7,CF203)),0),0)</f>
        <v>0</v>
      </c>
      <c r="CR203" s="64" t="n">
        <f aca="false">IF(AND(Parameter!$B$21="Ja",ISNUMBER(W203),N(X203)&gt;0),IFERROR(N(INDEX(Parameter!$L$5:$L$7,W203))*INDEX(Parameter!$E$5:$E$7,W203)*X203/SUMIFS($X$7:$X$1843,$W$7:$W$1843,W203),0),0)</f>
        <v>0</v>
      </c>
      <c r="CS203" s="62" t="n">
        <f aca="false">IF(AND(OR(CG203="L1",CG203="L23",CG203="LIFT"),H203&gt;0),CC203*IF(CR203&gt;0,CR203*MAX(1,H203/X203),IF(CA203=1,CE203,IF(R203&gt;0,CN203/R203,0))/MAX(0.1,N(Parameter!$M$21))),"")</f>
        <v>1.49038461538462</v>
      </c>
      <c r="CT203" s="64" t="n">
        <f aca="false">IF(CS203="","",J203/H203)</f>
        <v>1.38888888888889</v>
      </c>
      <c r="CU203" s="62" t="n">
        <f aca="false">IF(CS203="","",H203*G203)</f>
        <v>800.46</v>
      </c>
      <c r="CV203" s="63" t="n">
        <f aca="false">IF(CS203="","",(CL203+ROUNDUP(CL203+MAX(CM203,2*(J203/MAX(0.1,N(Einkauf!$C$6))-CL203)),0))/2)</f>
        <v>13.5</v>
      </c>
      <c r="CW203" s="62" t="n">
        <f aca="false">IF(CS203="","",MAX(0,H203-CV203)*G203)</f>
        <v>200.115</v>
      </c>
      <c r="CX203" s="62" t="n">
        <f aca="false">IF(CS203="","",CS203*MAX(0,1-CV203/H203))</f>
        <v>0.372596153846154</v>
      </c>
      <c r="CY203" s="64" t="n">
        <f aca="false">IF(CS203="","",PERCENTRANK($CS$7:$CS$1843,CS203)+PERCENTRANK($CU$7:$CU$1843,CU203)+1-PERCENTRANK($CT$7:$CT$1843,CT203))</f>
        <v>0.975</v>
      </c>
      <c r="CZ203" s="72" t="n">
        <f aca="false">IF(CS203="","",CHOOSE(MATCH(Einkauf!$C$5,Parameter!$G$23:$G$27,0),CY203,CS203,CU203,-CT203,CW203)+ROW()/1000000000)</f>
        <v>0.975000203</v>
      </c>
    </row>
    <row r="204" customFormat="false" ht="15" hidden="false" customHeight="false" outlineLevel="0" collapsed="false">
      <c r="A204" s="60" t="s">
        <v>650</v>
      </c>
      <c r="B204" s="60" t="s">
        <v>651</v>
      </c>
      <c r="C204" s="60" t="s">
        <v>206</v>
      </c>
      <c r="D204" s="60" t="s">
        <v>226</v>
      </c>
      <c r="E204" s="60"/>
      <c r="F204" s="60" t="s">
        <v>260</v>
      </c>
      <c r="G204" s="61" t="n">
        <v>31.77</v>
      </c>
      <c r="H204" s="62" t="n">
        <f aca="false">MAX(0,IF(AND(Parameter!$B$21="Ja",ISNUMBER(Y204)),Y204,IF(Parameter!$B$20="Jahresanfang 2025 + Export",BS204+BR204,BR204)))</f>
        <v>25</v>
      </c>
      <c r="I204" s="62" t="n">
        <f aca="false">H204*G204</f>
        <v>794.25</v>
      </c>
      <c r="J204" s="62" t="n">
        <f aca="false">BU204*Parameter!$B$18</f>
        <v>0</v>
      </c>
      <c r="K204" s="63" t="n">
        <v>0</v>
      </c>
      <c r="L204" s="64" t="n">
        <v>0</v>
      </c>
      <c r="M204" s="62" t="n">
        <v>0</v>
      </c>
      <c r="N204" s="62" t="n">
        <v>1</v>
      </c>
      <c r="O204" s="65" t="n">
        <v>9999</v>
      </c>
      <c r="P204" s="60" t="s">
        <v>210</v>
      </c>
      <c r="Q204" s="62"/>
      <c r="R204" s="65" t="n">
        <f aca="false">IF(CA204=1,0,IFERROR(VLOOKUP(BY204,'Gebinde-Kategorie'!$A$5:$N$45,13,0)+0,0))</f>
        <v>26</v>
      </c>
      <c r="S204" s="66"/>
      <c r="T204" s="67" t="s">
        <v>317</v>
      </c>
      <c r="U204" s="67"/>
      <c r="V204" s="67"/>
      <c r="W204" s="60"/>
      <c r="X204" s="62"/>
      <c r="Y204" s="62"/>
      <c r="Z204" s="60" t="n">
        <v>3</v>
      </c>
      <c r="AA204" s="60" t="n">
        <f aca="false">IF(A204="","",IF(AND(Parameter!$B$21="Ja",ISNUMBER(W204)),W204,IF(AND(Parameter!$E$27="Ja",ISNUMBER(Z204),CD204&lt;&gt;"Nein"),Z204,IF(CD204="2+3",IF(ISNUMBER(SEARCH("grosser Artikel",BV204)),2,IFERROR(VLOOKUP(BY204,Parameter!$F$35:$G$64,2,0),2)),IF(OR(CD204="Nein",CD204=""),"-",CD204)))))</f>
        <v>3</v>
      </c>
      <c r="AB204" s="67"/>
      <c r="AC204" s="68"/>
      <c r="AD204" s="62" t="n">
        <f aca="false">AW204</f>
        <v>1</v>
      </c>
      <c r="AE204" s="62" t="n">
        <f aca="false">MAX(AW204,H204)</f>
        <v>25</v>
      </c>
      <c r="AF204" s="69"/>
      <c r="AG204" s="62" t="n">
        <f aca="false">IF(LEFT(Cockpit!$C$5,1)="A",H204,IF(Parameter!$E$30="MAX-Bestand",IF(CI204=1,CJ204,IF(LEFT(Cockpit!$C$5,1)="B",AM204,MAX(AM204,H204))),ROUNDUP(AK204,0)))</f>
        <v>25</v>
      </c>
      <c r="AH204" s="62" t="n">
        <f aca="false">IF(CA204=1,0,ROUNDUP(AG204/BZ204,0))</f>
        <v>1</v>
      </c>
      <c r="AI204" s="64" t="n">
        <f aca="false">IF(CR204&gt;0,CR204*MAX(1,AG204/X204),IF(CA204=1,IF(AG204&lt;=0,0,CE204*MAX(1,IF(H204&gt;0,AG204/H204,1))),IF(R204&gt;0,AH204/R204,0))/MAX(0.1,N(Parameter!$M$21)))</f>
        <v>0.0384615384615385</v>
      </c>
      <c r="AJ204" s="62" t="n">
        <f aca="false">AI204*CC204</f>
        <v>5.96153846153846</v>
      </c>
      <c r="AK204" s="63" t="n">
        <f aca="false">IF(LEFT(Cockpit!$C$5,1)="A",H204,IF(CI204=1,(CL204+CJ204)/2,IF(LEFT(Cockpit!$C$5,1)="B",(CL204+AM204)/2,MAX((CL204+AM204)/2,H204))))</f>
        <v>25</v>
      </c>
      <c r="AL204" s="62" t="n">
        <f aca="false">AK204*G204</f>
        <v>794.25</v>
      </c>
      <c r="AM204" s="62" t="n">
        <f aca="false">ROUNDUP(CL204+MAX(CM204,2*(J204/IF(CH204&gt;0,CH204,MAX(0.1,N(Cockpit!$C$6)))-CL204)),0)</f>
        <v>1</v>
      </c>
      <c r="AN204" s="63" t="n">
        <f aca="false">IF(AJ204&gt;0,J204/AJ204,-1)</f>
        <v>0</v>
      </c>
      <c r="AO204" s="63" t="n">
        <f aca="false">IF(AND(OR(CG204="L1",CG204="L23",CG204="LIFT"),AJ204&gt;0),SUMIFS($AJ$7:$AJ$1843,$CG$7:$CG$1843,CG204,$AN$7:$AN$1843,"&gt;"&amp;AN204)+SUMIFS($AJ$7:$AJ$1843,$CG$7:$CG$1843,CG204,$AN$7:$AN$1843,AN204,$BX$7:$BX$1843,"&lt;="&amp;BX204),"")</f>
        <v>27530.3792890255</v>
      </c>
      <c r="AP204" s="70" t="n">
        <f aca="false">IF(AO204="",0,MAX(0,MIN(1,(IF(CG204="L1",Parameter!$H$5,IF(CG204="L23",Parameter!$H$6+Parameter!$H$7,Parameter!$H$5+Parameter!$H$6+Parameter!$H$7))-(AO204-AJ204))/AJ204)))</f>
        <v>1</v>
      </c>
      <c r="AQ204" s="62" t="n">
        <f aca="false">IF(LEFT(Cockpit!$I$5,1)="A",H204,IF(Parameter!$E$30="MAX-Bestand",IF(CI204=1,CJ204,IF(LEFT(Cockpit!$I$5,1)="B",AW204,MAX(AW204,H204))),ROUNDUP(AU204,0)))</f>
        <v>25</v>
      </c>
      <c r="AR204" s="62" t="n">
        <f aca="false">IF(CA204=1,0,ROUNDUP(AQ204/BZ204,0))</f>
        <v>1</v>
      </c>
      <c r="AS204" s="64" t="n">
        <f aca="false">IF(CR204&gt;0,CR204*MAX(1,AQ204/X204),IF(CA204=1,IF(AQ204&lt;=0,0,CE204*MAX(1,IF(H204&gt;0,AQ204/H204,1))),IF(R204&gt;0,AR204/R204,0))/MAX(0.1,N(Parameter!$M$21)))</f>
        <v>0.0384615384615385</v>
      </c>
      <c r="AT204" s="62" t="n">
        <f aca="false">AS204*CC204</f>
        <v>5.96153846153846</v>
      </c>
      <c r="AU204" s="63" t="n">
        <f aca="false">IF(LEFT(Cockpit!$I$5,1)="A",H204,IF(CI204=1,(CL204+CJ204)/2,IF(LEFT(Cockpit!$I$5,1)="B",(CL204+AW204)/2,MAX((CL204+AW204)/2,H204))))</f>
        <v>25</v>
      </c>
      <c r="AV204" s="62" t="n">
        <f aca="false">AU204*G204</f>
        <v>794.25</v>
      </c>
      <c r="AW204" s="62" t="n">
        <f aca="false">ROUNDUP(CL204+MAX(CM204,2*(J204/IF(CH204&gt;0,CH204,MAX(0.1,N(Cockpit!$I$6)))-CL204)),0)</f>
        <v>1</v>
      </c>
      <c r="AX204" s="63" t="n">
        <f aca="false">IF(AT204&gt;0,J204/AT204,-1)</f>
        <v>0</v>
      </c>
      <c r="AY204" s="63" t="n">
        <f aca="false">IF(AND(OR(CG204="L1",CG204="L23",CG204="LIFT"),AT204&gt;0),SUMIFS($AT$7:$AT$1843,$CG$7:$CG$1843,CG204,$AX$7:$AX$1843,"&gt;"&amp;AX204)+SUMIFS($AT$7:$AT$1843,$CG$7:$CG$1843,CG204,$AX$7:$AX$1843,AX204,$BX$7:$BX$1843,"&lt;="&amp;BX204),"")</f>
        <v>32883.5279304029</v>
      </c>
      <c r="AZ204" s="70" t="n">
        <f aca="false">IF(AY204="",0,MAX(0,MIN(1,(IF(CG204="L1",Parameter!$H$5,IF(CG204="L23",Parameter!$H$6+Parameter!$H$7,Parameter!$H$5+Parameter!$H$6+Parameter!$H$7))-(AY204-AT204))/AT204)))</f>
        <v>1</v>
      </c>
      <c r="BA204" s="62" t="n">
        <f aca="false">IF(LEFT(Cockpit!$O$5,1)="A",H204,IF(Parameter!$E$30="MAX-Bestand",IF(CI204=1,CJ204,IF(LEFT(Cockpit!$O$5,1)="B",BG204,MAX(BG204,H204))),ROUNDUP(BE204,0)))</f>
        <v>1</v>
      </c>
      <c r="BB204" s="62" t="n">
        <f aca="false">IF(CA204=1,0,ROUNDUP(BA204/BZ204,0))</f>
        <v>1</v>
      </c>
      <c r="BC204" s="64" t="n">
        <f aca="false">IF(CR204&gt;0,CR204*MAX(1,BA204/X204),IF(CA204=1,IF(BA204&lt;=0,0,CE204*MAX(1,IF(H204&gt;0,BA204/H204,1))),IF(R204&gt;0,BB204/R204,0))/MAX(0.1,N(Parameter!$M$21)))</f>
        <v>0.0384615384615385</v>
      </c>
      <c r="BD204" s="62" t="n">
        <f aca="false">BC204*CC204</f>
        <v>5.96153846153846</v>
      </c>
      <c r="BE204" s="63" t="n">
        <f aca="false">IF(LEFT(Cockpit!$O$5,1)="A",H204,IF(CI204=1,(CL204+CJ204)/2,IF(LEFT(Cockpit!$O$5,1)="B",(CL204+BG204)/2,MAX((CL204+BG204)/2,H204))))</f>
        <v>0.5</v>
      </c>
      <c r="BF204" s="62" t="n">
        <f aca="false">BE204*G204</f>
        <v>15.885</v>
      </c>
      <c r="BG204" s="62" t="n">
        <f aca="false">ROUNDUP(CL204+MAX(CM204,2*(J204/IF(CH204&gt;0,CH204,MAX(0.1,N(Cockpit!$O$6)))-CL204)),0)</f>
        <v>1</v>
      </c>
      <c r="BH204" s="63" t="n">
        <f aca="false">IF(BD204&gt;0,J204/BD204,-1)</f>
        <v>0</v>
      </c>
      <c r="BI204" s="63" t="n">
        <f aca="false">IF(AND(OR(CG204="L1",CG204="L23",CG204="LIFT"),BD204&gt;0),SUMIFS($BD$7:$BD$1843,$CG$7:$CG$1843,CG204,$BH$7:$BH$1843,"&gt;"&amp;BH204)+SUMIFS($BD$7:$BD$1843,$CG$7:$CG$1843,CG204,$BH$7:$BH$1843,BH204,$BX$7:$BX$1843,"&lt;="&amp;BX204),"")</f>
        <v>27047.7700301111</v>
      </c>
      <c r="BJ204" s="70" t="n">
        <f aca="false">IF(BI204="",0,MAX(0,MIN(1,(IF(CG204="L1",Parameter!$H$5,IF(CG204="L23",Parameter!$H$6+Parameter!$H$7,Parameter!$H$5+Parameter!$H$6+Parameter!$H$7))-(BI204-BD204))/BD204)))</f>
        <v>1</v>
      </c>
      <c r="BK204" s="60" t="str">
        <f aca="false">IF(AJ204&lt;=0,"",IF(CG204="Aussen","Aussenlager",IF(CG204="-","Nicht im Lift",IF(AP204&gt;=1,"Lift",IF(AP204&lt;=0,"Aussenlager","teilweise")))))</f>
        <v>Lift</v>
      </c>
      <c r="BL204" s="60" t="str">
        <f aca="false">IF(AT204&lt;=0,"",IF(CG204="Aussen","Aussenlager",IF(CG204="-","Nicht im Lift",IF(AZ204&gt;=1,"Lift",IF(AZ204&lt;=0,"Aussenlager","teilweise")))))</f>
        <v>Lift</v>
      </c>
      <c r="BM204" s="60" t="str">
        <f aca="false">IF(BD204&lt;=0,"",IF(CG204="Aussen","Aussenlager",IF(CG204="-","Nicht im Lift",IF(BJ204&gt;=1,"Lift",IF(BJ204&lt;=0,"Aussenlager","teilweise")))))</f>
        <v>Lift</v>
      </c>
      <c r="BN204" s="60" t="str">
        <f aca="false">IF(A204="","",IF(BW204=1,"Neu; ","")&amp;IF(AND(BW204=0,BR204&lt;0),"negativer Bestand (Export "&amp;BR204&amp;"); ","")&amp;IF(J204&lt;=0,"Kein Verbrauch; ","")&amp;IF(CR204&gt;0,"Lift "&amp;W204&amp;" lt. Liftbericht (Fach "&amp;X204&amp;" Stk); ",IF(CB204=1,"Gebinde geschätzt ("&amp;T204&amp;"); ",IF(CA204=1,"Lose – Tablare geschätzt; ","")))&amp;IF(H204&gt;AW204,"Überbestand "&amp;ROUND(H204-AW204,0)&amp;" Stk / CHF "&amp;ROUND((H204-AW204)*G204,0)&amp;"; ","")&amp;IF(AND(CI204=1,CJ204&lt;CK204),"MAX &lt; MB+LG; ","")&amp;IF(AND(CQ204&gt;0,CP204*10&gt;CQ204),"zu hoch für Tablar; ","")&amp;IF(AND(BW204=0,OR(CI204=1,AB204&lt;&gt;"",U204&lt;&gt;"",V204&lt;&gt;"",AC204&lt;&gt;"")),"manuell übersteuert; ","")&amp;IF(AND(CA204=0,R204=0),"Gebinde unbekannt / Stellmass fehlt; ","")&amp;IF(AND(CA204=0,N(V204)&lt;=0,N(Q204)&lt;=0),"Menge pro Gebinde fehlt (Ist = 1 Gebinde); ","")&amp;BV204)</f>
        <v>Kein Verbrauch; Gebinde geschätzt (Klein); Überbestand 24 Stk / CHF 762; Menge pro Gebinde fehlt (Ist = 1 Gebinde); </v>
      </c>
      <c r="BO204" s="60"/>
      <c r="BP204" s="60"/>
      <c r="BQ204" s="67"/>
      <c r="BR204" s="62" t="n">
        <v>25</v>
      </c>
      <c r="BS204" s="62" t="n">
        <v>0</v>
      </c>
      <c r="BT204" s="61" t="n">
        <v>794.25</v>
      </c>
      <c r="BU204" s="62" t="n">
        <v>0</v>
      </c>
      <c r="BV204" s="60"/>
      <c r="BW204" s="65" t="n">
        <v>0</v>
      </c>
      <c r="BX204" s="65" t="n">
        <v>204</v>
      </c>
      <c r="BY204" s="60" t="str">
        <f aca="false">IF(U204&lt;&gt;"",UPPER(TRIM(U204)),IF(CB204=1,UPPER(VLOOKUP(T204,Parameter!$I$27:$K$29,2,0)),IF(P204="","LOSE",P204)))</f>
        <v>S51</v>
      </c>
      <c r="BZ204" s="62" t="n">
        <f aca="false">IF(BY204="LOSE",1,IF(N(V204)&gt;0,V204,IF(CB204=1,MAX(1,N(VLOOKUP(T204,Parameter!$I$27:$K$29,3,0)),H204,N(N204)),IF(N(Q204)&gt;0,Q204,MAX(1,H204)))))</f>
        <v>25</v>
      </c>
      <c r="CA204" s="65" t="n">
        <f aca="false">IF(BY204="LOSE",1,0)</f>
        <v>0</v>
      </c>
      <c r="CB204" s="65" t="n">
        <f aca="false">IF(AND(U204="",OR(P204="",P204="LOSE"),T204&lt;&gt;"",N(S204)&lt;=0,ISNUMBER(MATCH(T204,Parameter!$I$27:$I$29,0))),1,0)</f>
        <v>1</v>
      </c>
      <c r="CC204" s="65" t="n">
        <f aca="false">IF(CR204&gt;0,INDEX(Parameter!$H$5:$H$7,W204)/INDEX(Parameter!$E$5:$E$7,W204),IF(AND(CA204=0,N(IFERROR(VLOOKUP(BY204,'Gebinde-Kategorie'!$A$5:$N$45,14,0),0))&gt;0),VLOOKUP(BY204,'Gebinde-Kategorie'!$A$5:$N$45,14,0)*10+Parameter!$M$23,Parameter!$M$24))</f>
        <v>155</v>
      </c>
      <c r="CD204" s="60" t="str">
        <f aca="false">IF(AND(Parameter!$B$19="Ja",E204&lt;&gt;"",ISNUMBER(MATCH(E204,Parameter!$I$35:$I$52,0))),VLOOKUP(E204,Parameter!$I$35:$J$52,2,0),IFERROR(VLOOKUP(D204,Parameter!$A$35:$C$64,2,0),"Nein"))</f>
        <v>2+3</v>
      </c>
      <c r="CE204" s="64" t="n">
        <f aca="false">IF(CA204=0,0,IF(N(S204)&gt;0,S204,IFERROR(VLOOKUP(D204,Parameter!$A$35:$C$64,3,0)+0,0)))</f>
        <v>0</v>
      </c>
      <c r="CF204" s="60" t="n">
        <f aca="false">IF(AB204&lt;&gt;"",AB204,AA204)</f>
        <v>3</v>
      </c>
      <c r="CG204" s="60" t="str">
        <f aca="false">IF(OR(CF204=1,CF204=2,CF204=3),IF(Parameter!$E$27="Ja","LIFT",IF(CF204=1,"L1","L23")),IF(CF204="Aussen","Aussen","-"))</f>
        <v>LIFT</v>
      </c>
      <c r="CH204" s="71" t="n">
        <f aca="false">IF(N(AC204)&gt;0,AC204,0)</f>
        <v>0</v>
      </c>
      <c r="CI204" s="65" t="n">
        <f aca="false">IF(ISNUMBER(AF204),1,0)</f>
        <v>0</v>
      </c>
      <c r="CJ204" s="62" t="n">
        <f aca="false">N(AF204)</f>
        <v>0</v>
      </c>
      <c r="CK204" s="62" t="n">
        <f aca="false">N(M204)+N(N204)</f>
        <v>1</v>
      </c>
      <c r="CL204" s="62" t="n">
        <f aca="false">N(M204)</f>
        <v>0</v>
      </c>
      <c r="CM204" s="62" t="n">
        <f aca="false">N(N204)</f>
        <v>1</v>
      </c>
      <c r="CN204" s="62" t="n">
        <f aca="false">ROUNDUP(H204/BZ204,0)</f>
        <v>1</v>
      </c>
      <c r="CO204" s="62" t="n">
        <f aca="false">ROUNDUP(CJ204/BZ204,0)</f>
        <v>0</v>
      </c>
      <c r="CP204" s="65" t="n">
        <f aca="false">IF(CA204=1,0,IFERROR(VLOOKUP(BY204,'Gebinde-Kategorie'!$A$5:$N$45,5,0)+0,0))</f>
        <v>11</v>
      </c>
      <c r="CQ204" s="65" t="n">
        <f aca="false">IFERROR(IF(OR(CF204=1,CF204=2,CF204=3),N(INDEX(Parameter!$I$5:$I$7,CF204)),0),0)</f>
        <v>0</v>
      </c>
      <c r="CR204" s="64" t="n">
        <f aca="false">IF(AND(Parameter!$B$21="Ja",ISNUMBER(W204),N(X204)&gt;0),IFERROR(N(INDEX(Parameter!$L$5:$L$7,W204))*INDEX(Parameter!$E$5:$E$7,W204)*X204/SUMIFS($X$7:$X$1843,$W$7:$W$1843,W204),0),0)</f>
        <v>0</v>
      </c>
      <c r="CS204" s="62" t="n">
        <f aca="false">IF(AND(OR(CG204="L1",CG204="L23",CG204="LIFT"),H204&gt;0),CC204*IF(CR204&gt;0,CR204*MAX(1,H204/X204),IF(CA204=1,CE204,IF(R204&gt;0,CN204/R204,0))/MAX(0.1,N(Parameter!$M$21))),"")</f>
        <v>5.96153846153846</v>
      </c>
      <c r="CT204" s="64" t="n">
        <f aca="false">IF(CS204="","",J204/H204)</f>
        <v>0</v>
      </c>
      <c r="CU204" s="62" t="n">
        <f aca="false">IF(CS204="","",H204*G204)</f>
        <v>794.25</v>
      </c>
      <c r="CV204" s="63" t="n">
        <f aca="false">IF(CS204="","",(CL204+ROUNDUP(CL204+MAX(CM204,2*(J204/MAX(0.1,N(Einkauf!$C$6))-CL204)),0))/2)</f>
        <v>0.5</v>
      </c>
      <c r="CW204" s="62" t="n">
        <f aca="false">IF(CS204="","",MAX(0,H204-CV204)*G204)</f>
        <v>778.365</v>
      </c>
      <c r="CX204" s="62" t="n">
        <f aca="false">IF(CS204="","",CS204*MAX(0,1-CV204/H204))</f>
        <v>5.84230769230769</v>
      </c>
      <c r="CY204" s="64" t="n">
        <f aca="false">IF(CS204="","",PERCENTRANK($CS$7:$CS$1843,CS204)+PERCENTRANK($CU$7:$CU$1843,CU204)+1-PERCENTRANK($CT$7:$CT$1843,CT204))</f>
        <v>1.961</v>
      </c>
      <c r="CZ204" s="72" t="n">
        <f aca="false">IF(CS204="","",CHOOSE(MATCH(Einkauf!$C$5,Parameter!$G$23:$G$27,0),CY204,CS204,CU204,-CT204,CW204)+ROW()/1000000000)</f>
        <v>1.961000204</v>
      </c>
    </row>
    <row r="205" customFormat="false" ht="15" hidden="false" customHeight="false" outlineLevel="0" collapsed="false">
      <c r="A205" s="60" t="s">
        <v>652</v>
      </c>
      <c r="B205" s="60" t="s">
        <v>343</v>
      </c>
      <c r="C205" s="60" t="s">
        <v>206</v>
      </c>
      <c r="D205" s="60" t="s">
        <v>226</v>
      </c>
      <c r="E205" s="60"/>
      <c r="F205" s="60" t="s">
        <v>260</v>
      </c>
      <c r="G205" s="61" t="n">
        <v>539</v>
      </c>
      <c r="H205" s="62" t="n">
        <f aca="false">MAX(0,IF(AND(Parameter!$B$21="Ja",ISNUMBER(Y205)),Y205,IF(Parameter!$B$20="Jahresanfang 2025 + Export",BS205+BR205,BR205)))</f>
        <v>5</v>
      </c>
      <c r="I205" s="62" t="n">
        <f aca="false">H205*G205</f>
        <v>2695</v>
      </c>
      <c r="J205" s="62" t="n">
        <f aca="false">BU205*Parameter!$B$18</f>
        <v>4</v>
      </c>
      <c r="K205" s="63" t="n">
        <v>4.5</v>
      </c>
      <c r="L205" s="64" t="n">
        <v>0.888888888888889</v>
      </c>
      <c r="M205" s="62" t="n">
        <v>0</v>
      </c>
      <c r="N205" s="62" t="n">
        <v>5</v>
      </c>
      <c r="O205" s="65" t="n">
        <v>35</v>
      </c>
      <c r="P205" s="60" t="s">
        <v>370</v>
      </c>
      <c r="Q205" s="62" t="n">
        <v>4</v>
      </c>
      <c r="R205" s="65" t="n">
        <f aca="false">IF(CA205=1,0,IFERROR(VLOOKUP(BY205,'Gebinde-Kategorie'!$A$5:$N$45,13,0)+0,0))</f>
        <v>52</v>
      </c>
      <c r="S205" s="66"/>
      <c r="T205" s="67"/>
      <c r="U205" s="67"/>
      <c r="V205" s="67"/>
      <c r="W205" s="60"/>
      <c r="X205" s="62"/>
      <c r="Y205" s="62"/>
      <c r="Z205" s="60" t="n">
        <v>3</v>
      </c>
      <c r="AA205" s="60" t="n">
        <f aca="false">IF(A205="","",IF(AND(Parameter!$B$21="Ja",ISNUMBER(W205)),W205,IF(AND(Parameter!$E$27="Ja",ISNUMBER(Z205),CD205&lt;&gt;"Nein"),Z205,IF(CD205="2+3",IF(ISNUMBER(SEARCH("grosser Artikel",BV205)),2,IFERROR(VLOOKUP(BY205,Parameter!$F$35:$G$64,2,0),2)),IF(OR(CD205="Nein",CD205=""),"-",CD205)))))</f>
        <v>3</v>
      </c>
      <c r="AB205" s="67"/>
      <c r="AC205" s="68"/>
      <c r="AD205" s="62" t="n">
        <f aca="false">AW205</f>
        <v>5</v>
      </c>
      <c r="AE205" s="62" t="n">
        <f aca="false">MAX(AW205,H205)</f>
        <v>5</v>
      </c>
      <c r="AF205" s="69"/>
      <c r="AG205" s="62" t="n">
        <f aca="false">IF(LEFT(Cockpit!$C$5,1)="A",H205,IF(Parameter!$E$30="MAX-Bestand",IF(CI205=1,CJ205,IF(LEFT(Cockpit!$C$5,1)="B",AM205,MAX(AM205,H205))),ROUNDUP(AK205,0)))</f>
        <v>5</v>
      </c>
      <c r="AH205" s="62" t="n">
        <f aca="false">IF(CA205=1,0,ROUNDUP(AG205/BZ205,0))</f>
        <v>2</v>
      </c>
      <c r="AI205" s="64" t="n">
        <f aca="false">IF(CR205&gt;0,CR205*MAX(1,AG205/X205),IF(CA205=1,IF(AG205&lt;=0,0,CE205*MAX(1,IF(H205&gt;0,AG205/H205,1))),IF(R205&gt;0,AH205/R205,0))/MAX(0.1,N(Parameter!$M$21)))</f>
        <v>0.0384615384615385</v>
      </c>
      <c r="AJ205" s="62" t="n">
        <f aca="false">AI205*CC205</f>
        <v>5.96153846153846</v>
      </c>
      <c r="AK205" s="63" t="n">
        <f aca="false">IF(LEFT(Cockpit!$C$5,1)="A",H205,IF(CI205=1,(CL205+CJ205)/2,IF(LEFT(Cockpit!$C$5,1)="B",(CL205+AM205)/2,MAX((CL205+AM205)/2,H205))))</f>
        <v>5</v>
      </c>
      <c r="AL205" s="62" t="n">
        <f aca="false">AK205*G205</f>
        <v>2695</v>
      </c>
      <c r="AM205" s="62" t="n">
        <f aca="false">ROUNDUP(CL205+MAX(CM205,2*(J205/IF(CH205&gt;0,CH205,MAX(0.1,N(Cockpit!$C$6)))-CL205)),0)</f>
        <v>5</v>
      </c>
      <c r="AN205" s="63" t="n">
        <f aca="false">IF(AJ205&gt;0,J205/AJ205,-1)</f>
        <v>0.670967741935484</v>
      </c>
      <c r="AO205" s="63" t="n">
        <f aca="false">IF(AND(OR(CG205="L1",CG205="L23",CG205="LIFT"),AJ205&gt;0),SUMIFS($AJ$7:$AJ$1843,$CG$7:$CG$1843,CG205,$AN$7:$AN$1843,"&gt;"&amp;AN205)+SUMIFS($AJ$7:$AJ$1843,$CG$7:$CG$1843,CG205,$AN$7:$AN$1843,AN205,$BX$7:$BX$1843,"&lt;="&amp;BX205),"")</f>
        <v>8601.20833333333</v>
      </c>
      <c r="AP205" s="70" t="n">
        <f aca="false">IF(AO205="",0,MAX(0,MIN(1,(IF(CG205="L1",Parameter!$H$5,IF(CG205="L23",Parameter!$H$6+Parameter!$H$7,Parameter!$H$5+Parameter!$H$6+Parameter!$H$7))-(AO205-AJ205))/AJ205)))</f>
        <v>1</v>
      </c>
      <c r="AQ205" s="62" t="n">
        <f aca="false">IF(LEFT(Cockpit!$I$5,1)="A",H205,IF(Parameter!$E$30="MAX-Bestand",IF(CI205=1,CJ205,IF(LEFT(Cockpit!$I$5,1)="B",AW205,MAX(AW205,H205))),ROUNDUP(AU205,0)))</f>
        <v>5</v>
      </c>
      <c r="AR205" s="62" t="n">
        <f aca="false">IF(CA205=1,0,ROUNDUP(AQ205/BZ205,0))</f>
        <v>2</v>
      </c>
      <c r="AS205" s="64" t="n">
        <f aca="false">IF(CR205&gt;0,CR205*MAX(1,AQ205/X205),IF(CA205=1,IF(AQ205&lt;=0,0,CE205*MAX(1,IF(H205&gt;0,AQ205/H205,1))),IF(R205&gt;0,AR205/R205,0))/MAX(0.1,N(Parameter!$M$21)))</f>
        <v>0.0384615384615385</v>
      </c>
      <c r="AT205" s="62" t="n">
        <f aca="false">AS205*CC205</f>
        <v>5.96153846153846</v>
      </c>
      <c r="AU205" s="63" t="n">
        <f aca="false">IF(LEFT(Cockpit!$I$5,1)="A",H205,IF(CI205=1,(CL205+CJ205)/2,IF(LEFT(Cockpit!$I$5,1)="B",(CL205+AW205)/2,MAX((CL205+AW205)/2,H205))))</f>
        <v>5</v>
      </c>
      <c r="AV205" s="62" t="n">
        <f aca="false">AU205*G205</f>
        <v>2695</v>
      </c>
      <c r="AW205" s="62" t="n">
        <f aca="false">ROUNDUP(CL205+MAX(CM205,2*(J205/IF(CH205&gt;0,CH205,MAX(0.1,N(Cockpit!$I$6)))-CL205)),0)</f>
        <v>5</v>
      </c>
      <c r="AX205" s="63" t="n">
        <f aca="false">IF(AT205&gt;0,J205/AT205,-1)</f>
        <v>0.670967741935484</v>
      </c>
      <c r="AY205" s="63" t="n">
        <f aca="false">IF(AND(OR(CG205="L1",CG205="L23",CG205="LIFT"),AT205&gt;0),SUMIFS($AT$7:$AT$1843,$CG$7:$CG$1843,CG205,$AX$7:$AX$1843,"&gt;"&amp;AX205)+SUMIFS($AT$7:$AT$1843,$CG$7:$CG$1843,CG205,$AX$7:$AX$1843,AX205,$BX$7:$BX$1843,"&lt;="&amp;BX205),"")</f>
        <v>10884.9432234432</v>
      </c>
      <c r="AZ205" s="70" t="n">
        <f aca="false">IF(AY205="",0,MAX(0,MIN(1,(IF(CG205="L1",Parameter!$H$5,IF(CG205="L23",Parameter!$H$6+Parameter!$H$7,Parameter!$H$5+Parameter!$H$6+Parameter!$H$7))-(AY205-AT205))/AT205)))</f>
        <v>1</v>
      </c>
      <c r="BA205" s="62" t="n">
        <f aca="false">IF(LEFT(Cockpit!$O$5,1)="A",H205,IF(Parameter!$E$30="MAX-Bestand",IF(CI205=1,CJ205,IF(LEFT(Cockpit!$O$5,1)="B",BG205,MAX(BG205,H205))),ROUNDUP(BE205,0)))</f>
        <v>3</v>
      </c>
      <c r="BB205" s="62" t="n">
        <f aca="false">IF(CA205=1,0,ROUNDUP(BA205/BZ205,0))</f>
        <v>1</v>
      </c>
      <c r="BC205" s="64" t="n">
        <f aca="false">IF(CR205&gt;0,CR205*MAX(1,BA205/X205),IF(CA205=1,IF(BA205&lt;=0,0,CE205*MAX(1,IF(H205&gt;0,BA205/H205,1))),IF(R205&gt;0,BB205/R205,0))/MAX(0.1,N(Parameter!$M$21)))</f>
        <v>0.0192307692307692</v>
      </c>
      <c r="BD205" s="62" t="n">
        <f aca="false">BC205*CC205</f>
        <v>2.98076923076923</v>
      </c>
      <c r="BE205" s="63" t="n">
        <f aca="false">IF(LEFT(Cockpit!$O$5,1)="A",H205,IF(CI205=1,(CL205+CJ205)/2,IF(LEFT(Cockpit!$O$5,1)="B",(CL205+BG205)/2,MAX((CL205+BG205)/2,H205))))</f>
        <v>2.5</v>
      </c>
      <c r="BF205" s="62" t="n">
        <f aca="false">BE205*G205</f>
        <v>1347.5</v>
      </c>
      <c r="BG205" s="62" t="n">
        <f aca="false">ROUNDUP(CL205+MAX(CM205,2*(J205/IF(CH205&gt;0,CH205,MAX(0.1,N(Cockpit!$O$6)))-CL205)),0)</f>
        <v>5</v>
      </c>
      <c r="BH205" s="63" t="n">
        <f aca="false">IF(BD205&gt;0,J205/BD205,-1)</f>
        <v>1.34193548387097</v>
      </c>
      <c r="BI205" s="63" t="n">
        <f aca="false">IF(AND(OR(CG205="L1",CG205="L23",CG205="LIFT"),BD205&gt;0),SUMIFS($BD$7:$BD$1843,$CG$7:$CG$1843,CG205,$BH$7:$BH$1843,"&gt;"&amp;BH205)+SUMIFS($BD$7:$BD$1843,$CG$7:$CG$1843,CG205,$BH$7:$BH$1843,BH205,$BX$7:$BX$1843,"&lt;="&amp;BX205),"")</f>
        <v>6780.62408424908</v>
      </c>
      <c r="BJ205" s="70" t="n">
        <f aca="false">IF(BI205="",0,MAX(0,MIN(1,(IF(CG205="L1",Parameter!$H$5,IF(CG205="L23",Parameter!$H$6+Parameter!$H$7,Parameter!$H$5+Parameter!$H$6+Parameter!$H$7))-(BI205-BD205))/BD205)))</f>
        <v>1</v>
      </c>
      <c r="BK205" s="60" t="str">
        <f aca="false">IF(AJ205&lt;=0,"",IF(CG205="Aussen","Aussenlager",IF(CG205="-","Nicht im Lift",IF(AP205&gt;=1,"Lift",IF(AP205&lt;=0,"Aussenlager","teilweise")))))</f>
        <v>Lift</v>
      </c>
      <c r="BL205" s="60" t="str">
        <f aca="false">IF(AT205&lt;=0,"",IF(CG205="Aussen","Aussenlager",IF(CG205="-","Nicht im Lift",IF(AZ205&gt;=1,"Lift",IF(AZ205&lt;=0,"Aussenlager","teilweise")))))</f>
        <v>Lift</v>
      </c>
      <c r="BM205" s="60" t="str">
        <f aca="false">IF(BD205&lt;=0,"",IF(CG205="Aussen","Aussenlager",IF(CG205="-","Nicht im Lift",IF(BJ205&gt;=1,"Lift",IF(BJ205&lt;=0,"Aussenlager","teilweise")))))</f>
        <v>Lift</v>
      </c>
      <c r="BN205" s="60" t="str">
        <f aca="false">IF(A205="","",IF(BW205=1,"Neu; ","")&amp;IF(AND(BW205=0,BR205&lt;0),"negativer Bestand (Export "&amp;BR205&amp;"); ","")&amp;IF(J205&lt;=0,"Kein Verbrauch; ","")&amp;IF(CR205&gt;0,"Lift "&amp;W205&amp;" lt. Liftbericht (Fach "&amp;X205&amp;" Stk); ",IF(CB205=1,"Gebinde geschätzt ("&amp;T205&amp;"); ",IF(CA205=1,"Lose – Tablare geschätzt; ","")))&amp;IF(H205&gt;AW205,"Überbestand "&amp;ROUND(H205-AW205,0)&amp;" Stk / CHF "&amp;ROUND((H205-AW205)*G205,0)&amp;"; ","")&amp;IF(AND(CI205=1,CJ205&lt;CK205),"MAX &lt; MB+LG; ","")&amp;IF(AND(CQ205&gt;0,CP205*10&gt;CQ205),"zu hoch für Tablar; ","")&amp;IF(AND(BW205=0,OR(CI205=1,AB205&lt;&gt;"",U205&lt;&gt;"",V205&lt;&gt;"",AC205&lt;&gt;"")),"manuell übersteuert; ","")&amp;IF(AND(CA205=0,R205=0),"Gebinde unbekannt / Stellmass fehlt; ","")&amp;IF(AND(CA205=0,N(V205)&lt;=0,N(Q205)&lt;=0),"Menge pro Gebinde fehlt (Ist = 1 Gebinde); ","")&amp;BV205)</f>
        <v/>
      </c>
      <c r="BO205" s="60"/>
      <c r="BP205" s="60"/>
      <c r="BQ205" s="67"/>
      <c r="BR205" s="62" t="n">
        <v>1</v>
      </c>
      <c r="BS205" s="62" t="n">
        <v>4</v>
      </c>
      <c r="BT205" s="61" t="n">
        <v>780.479999999999</v>
      </c>
      <c r="BU205" s="62" t="n">
        <v>4</v>
      </c>
      <c r="BV205" s="60"/>
      <c r="BW205" s="65" t="n">
        <v>0</v>
      </c>
      <c r="BX205" s="65" t="n">
        <v>205</v>
      </c>
      <c r="BY205" s="60" t="str">
        <f aca="false">IF(U205&lt;&gt;"",UPPER(TRIM(U205)),IF(CB205=1,UPPER(VLOOKUP(T205,Parameter!$I$27:$K$29,2,0)),IF(P205="","LOSE",P205)))</f>
        <v>S41</v>
      </c>
      <c r="BZ205" s="62" t="n">
        <f aca="false">IF(BY205="LOSE",1,IF(N(V205)&gt;0,V205,IF(CB205=1,MAX(1,N(VLOOKUP(T205,Parameter!$I$27:$K$29,3,0)),H205,N(N205)),IF(N(Q205)&gt;0,Q205,MAX(1,H205)))))</f>
        <v>4</v>
      </c>
      <c r="CA205" s="65" t="n">
        <f aca="false">IF(BY205="LOSE",1,0)</f>
        <v>0</v>
      </c>
      <c r="CB205" s="65" t="n">
        <f aca="false">IF(AND(U205="",OR(P205="",P205="LOSE"),T205&lt;&gt;"",N(S205)&lt;=0,ISNUMBER(MATCH(T205,Parameter!$I$27:$I$29,0))),1,0)</f>
        <v>0</v>
      </c>
      <c r="CC205" s="65" t="n">
        <f aca="false">IF(CR205&gt;0,INDEX(Parameter!$H$5:$H$7,W205)/INDEX(Parameter!$E$5:$E$7,W205),IF(AND(CA205=0,N(IFERROR(VLOOKUP(BY205,'Gebinde-Kategorie'!$A$5:$N$45,14,0),0))&gt;0),VLOOKUP(BY205,'Gebinde-Kategorie'!$A$5:$N$45,14,0)*10+Parameter!$M$23,Parameter!$M$24))</f>
        <v>155</v>
      </c>
      <c r="CD205" s="60" t="str">
        <f aca="false">IF(AND(Parameter!$B$19="Ja",E205&lt;&gt;"",ISNUMBER(MATCH(E205,Parameter!$I$35:$I$52,0))),VLOOKUP(E205,Parameter!$I$35:$J$52,2,0),IFERROR(VLOOKUP(D205,Parameter!$A$35:$C$64,2,0),"Nein"))</f>
        <v>2+3</v>
      </c>
      <c r="CE205" s="64" t="n">
        <f aca="false">IF(CA205=0,0,IF(N(S205)&gt;0,S205,IFERROR(VLOOKUP(D205,Parameter!$A$35:$C$64,3,0)+0,0)))</f>
        <v>0</v>
      </c>
      <c r="CF205" s="60" t="n">
        <f aca="false">IF(AB205&lt;&gt;"",AB205,AA205)</f>
        <v>3</v>
      </c>
      <c r="CG205" s="60" t="str">
        <f aca="false">IF(OR(CF205=1,CF205=2,CF205=3),IF(Parameter!$E$27="Ja","LIFT",IF(CF205=1,"L1","L23")),IF(CF205="Aussen","Aussen","-"))</f>
        <v>LIFT</v>
      </c>
      <c r="CH205" s="71" t="n">
        <f aca="false">IF(N(AC205)&gt;0,AC205,0)</f>
        <v>0</v>
      </c>
      <c r="CI205" s="65" t="n">
        <f aca="false">IF(ISNUMBER(AF205),1,0)</f>
        <v>0</v>
      </c>
      <c r="CJ205" s="62" t="n">
        <f aca="false">N(AF205)</f>
        <v>0</v>
      </c>
      <c r="CK205" s="62" t="n">
        <f aca="false">N(M205)+N(N205)</f>
        <v>5</v>
      </c>
      <c r="CL205" s="62" t="n">
        <f aca="false">N(M205)</f>
        <v>0</v>
      </c>
      <c r="CM205" s="62" t="n">
        <f aca="false">N(N205)</f>
        <v>5</v>
      </c>
      <c r="CN205" s="62" t="n">
        <f aca="false">ROUNDUP(H205/BZ205,0)</f>
        <v>2</v>
      </c>
      <c r="CO205" s="62" t="n">
        <f aca="false">ROUNDUP(CJ205/BZ205,0)</f>
        <v>0</v>
      </c>
      <c r="CP205" s="65" t="n">
        <f aca="false">IF(CA205=1,0,IFERROR(VLOOKUP(BY205,'Gebinde-Kategorie'!$A$5:$N$45,5,0)+0,0))</f>
        <v>11</v>
      </c>
      <c r="CQ205" s="65" t="n">
        <f aca="false">IFERROR(IF(OR(CF205=1,CF205=2,CF205=3),N(INDEX(Parameter!$I$5:$I$7,CF205)),0),0)</f>
        <v>0</v>
      </c>
      <c r="CR205" s="64" t="n">
        <f aca="false">IF(AND(Parameter!$B$21="Ja",ISNUMBER(W205),N(X205)&gt;0),IFERROR(N(INDEX(Parameter!$L$5:$L$7,W205))*INDEX(Parameter!$E$5:$E$7,W205)*X205/SUMIFS($X$7:$X$1843,$W$7:$W$1843,W205),0),0)</f>
        <v>0</v>
      </c>
      <c r="CS205" s="62" t="n">
        <f aca="false">IF(AND(OR(CG205="L1",CG205="L23",CG205="LIFT"),H205&gt;0),CC205*IF(CR205&gt;0,CR205*MAX(1,H205/X205),IF(CA205=1,CE205,IF(R205&gt;0,CN205/R205,0))/MAX(0.1,N(Parameter!$M$21))),"")</f>
        <v>5.96153846153846</v>
      </c>
      <c r="CT205" s="64" t="n">
        <f aca="false">IF(CS205="","",J205/H205)</f>
        <v>0.8</v>
      </c>
      <c r="CU205" s="62" t="n">
        <f aca="false">IF(CS205="","",H205*G205)</f>
        <v>2695</v>
      </c>
      <c r="CV205" s="63" t="n">
        <f aca="false">IF(CS205="","",(CL205+ROUNDUP(CL205+MAX(CM205,2*(J205/MAX(0.1,N(Einkauf!$C$6))-CL205)),0))/2)</f>
        <v>2.5</v>
      </c>
      <c r="CW205" s="62" t="n">
        <f aca="false">IF(CS205="","",MAX(0,H205-CV205)*G205)</f>
        <v>1347.5</v>
      </c>
      <c r="CX205" s="62" t="n">
        <f aca="false">IF(CS205="","",CS205*MAX(0,1-CV205/H205))</f>
        <v>2.98076923076923</v>
      </c>
      <c r="CY205" s="64" t="n">
        <f aca="false">IF(CS205="","",PERCENTRANK($CS$7:$CS$1843,CS205)+PERCENTRANK($CU$7:$CU$1843,CU205)+1-PERCENTRANK($CT$7:$CT$1843,CT205))</f>
        <v>1.568</v>
      </c>
      <c r="CZ205" s="72" t="n">
        <f aca="false">IF(CS205="","",CHOOSE(MATCH(Einkauf!$C$5,Parameter!$G$23:$G$27,0),CY205,CS205,CU205,-CT205,CW205)+ROW()/1000000000)</f>
        <v>1.568000205</v>
      </c>
    </row>
    <row r="206" customFormat="false" ht="15" hidden="false" customHeight="false" outlineLevel="0" collapsed="false">
      <c r="A206" s="60" t="s">
        <v>653</v>
      </c>
      <c r="B206" s="60" t="s">
        <v>654</v>
      </c>
      <c r="C206" s="60" t="s">
        <v>206</v>
      </c>
      <c r="D206" s="60" t="s">
        <v>226</v>
      </c>
      <c r="E206" s="60" t="s">
        <v>227</v>
      </c>
      <c r="F206" s="60" t="s">
        <v>260</v>
      </c>
      <c r="G206" s="61" t="n">
        <v>8.16</v>
      </c>
      <c r="H206" s="62" t="n">
        <f aca="false">MAX(0,IF(AND(Parameter!$B$21="Ja",ISNUMBER(Y206)),Y206,IF(Parameter!$B$20="Jahresanfang 2025 + Export",BS206+BR206,BR206)))</f>
        <v>137</v>
      </c>
      <c r="I206" s="62" t="n">
        <f aca="false">H206*G206</f>
        <v>1117.92</v>
      </c>
      <c r="J206" s="62" t="n">
        <f aca="false">BU206*Parameter!$B$18</f>
        <v>151</v>
      </c>
      <c r="K206" s="63" t="n">
        <v>72</v>
      </c>
      <c r="L206" s="64" t="n">
        <v>2.09722222222222</v>
      </c>
      <c r="M206" s="62" t="n">
        <v>5</v>
      </c>
      <c r="N206" s="62" t="n">
        <v>150</v>
      </c>
      <c r="O206" s="65" t="n">
        <v>14</v>
      </c>
      <c r="P206" s="60" t="s">
        <v>518</v>
      </c>
      <c r="Q206" s="62" t="n">
        <v>71</v>
      </c>
      <c r="R206" s="65" t="n">
        <f aca="false">IF(CA206=1,0,IFERROR(VLOOKUP(BY206,'Gebinde-Kategorie'!$A$5:$N$45,13,0)+0,0))</f>
        <v>52</v>
      </c>
      <c r="S206" s="66"/>
      <c r="T206" s="67"/>
      <c r="U206" s="67"/>
      <c r="V206" s="67"/>
      <c r="W206" s="60"/>
      <c r="X206" s="62"/>
      <c r="Y206" s="62"/>
      <c r="Z206" s="60" t="n">
        <v>3</v>
      </c>
      <c r="AA206" s="60" t="n">
        <f aca="false">IF(A206="","",IF(AND(Parameter!$B$21="Ja",ISNUMBER(W206)),W206,IF(AND(Parameter!$E$27="Ja",ISNUMBER(Z206),CD206&lt;&gt;"Nein"),Z206,IF(CD206="2+3",IF(ISNUMBER(SEARCH("grosser Artikel",BV206)),2,IFERROR(VLOOKUP(BY206,Parameter!$F$35:$G$64,2,0),2)),IF(OR(CD206="Nein",CD206=""),"-",CD206)))))</f>
        <v>3</v>
      </c>
      <c r="AB206" s="67"/>
      <c r="AC206" s="68"/>
      <c r="AD206" s="62" t="n">
        <f aca="false">AW206</f>
        <v>155</v>
      </c>
      <c r="AE206" s="62" t="n">
        <f aca="false">MAX(AW206,H206)</f>
        <v>155</v>
      </c>
      <c r="AF206" s="69"/>
      <c r="AG206" s="62" t="n">
        <f aca="false">IF(LEFT(Cockpit!$C$5,1)="A",H206,IF(Parameter!$E$30="MAX-Bestand",IF(CI206=1,CJ206,IF(LEFT(Cockpit!$C$5,1)="B",AM206,MAX(AM206,H206))),ROUNDUP(AK206,0)))</f>
        <v>137</v>
      </c>
      <c r="AH206" s="62" t="n">
        <f aca="false">IF(CA206=1,0,ROUNDUP(AG206/BZ206,0))</f>
        <v>2</v>
      </c>
      <c r="AI206" s="64" t="n">
        <f aca="false">IF(CR206&gt;0,CR206*MAX(1,AG206/X206),IF(CA206=1,IF(AG206&lt;=0,0,CE206*MAX(1,IF(H206&gt;0,AG206/H206,1))),IF(R206&gt;0,AH206/R206,0))/MAX(0.1,N(Parameter!$M$21)))</f>
        <v>0.0384615384615385</v>
      </c>
      <c r="AJ206" s="62" t="n">
        <f aca="false">AI206*CC206</f>
        <v>5.96153846153846</v>
      </c>
      <c r="AK206" s="63" t="n">
        <f aca="false">IF(LEFT(Cockpit!$C$5,1)="A",H206,IF(CI206=1,(CL206+CJ206)/2,IF(LEFT(Cockpit!$C$5,1)="B",(CL206+AM206)/2,MAX((CL206+AM206)/2,H206))))</f>
        <v>137</v>
      </c>
      <c r="AL206" s="62" t="n">
        <f aca="false">AK206*G206</f>
        <v>1117.92</v>
      </c>
      <c r="AM206" s="62" t="n">
        <f aca="false">ROUNDUP(CL206+MAX(CM206,2*(J206/IF(CH206&gt;0,CH206,MAX(0.1,N(Cockpit!$C$6)))-CL206)),0)</f>
        <v>155</v>
      </c>
      <c r="AN206" s="63" t="n">
        <f aca="false">IF(AJ206&gt;0,J206/AJ206,-1)</f>
        <v>25.3290322580645</v>
      </c>
      <c r="AO206" s="63" t="n">
        <f aca="false">IF(AND(OR(CG206="L1",CG206="L23",CG206="LIFT"),AJ206&gt;0),SUMIFS($AJ$7:$AJ$1843,$CG$7:$CG$1843,CG206,$AN$7:$AN$1843,"&gt;"&amp;AN206)+SUMIFS($AJ$7:$AJ$1843,$CG$7:$CG$1843,CG206,$AN$7:$AN$1843,AN206,$BX$7:$BX$1843,"&lt;="&amp;BX206),"")</f>
        <v>1510.48305860806</v>
      </c>
      <c r="AP206" s="70" t="n">
        <f aca="false">IF(AO206="",0,MAX(0,MIN(1,(IF(CG206="L1",Parameter!$H$5,IF(CG206="L23",Parameter!$H$6+Parameter!$H$7,Parameter!$H$5+Parameter!$H$6+Parameter!$H$7))-(AO206-AJ206))/AJ206)))</f>
        <v>1</v>
      </c>
      <c r="AQ206" s="62" t="n">
        <f aca="false">IF(LEFT(Cockpit!$I$5,1)="A",H206,IF(Parameter!$E$30="MAX-Bestand",IF(CI206=1,CJ206,IF(LEFT(Cockpit!$I$5,1)="B",AW206,MAX(AW206,H206))),ROUNDUP(AU206,0)))</f>
        <v>137</v>
      </c>
      <c r="AR206" s="62" t="n">
        <f aca="false">IF(CA206=1,0,ROUNDUP(AQ206/BZ206,0))</f>
        <v>2</v>
      </c>
      <c r="AS206" s="64" t="n">
        <f aca="false">IF(CR206&gt;0,CR206*MAX(1,AQ206/X206),IF(CA206=1,IF(AQ206&lt;=0,0,CE206*MAX(1,IF(H206&gt;0,AQ206/H206,1))),IF(R206&gt;0,AR206/R206,0))/MAX(0.1,N(Parameter!$M$21)))</f>
        <v>0.0384615384615385</v>
      </c>
      <c r="AT206" s="62" t="n">
        <f aca="false">AS206*CC206</f>
        <v>5.96153846153846</v>
      </c>
      <c r="AU206" s="63" t="n">
        <f aca="false">IF(LEFT(Cockpit!$I$5,1)="A",H206,IF(CI206=1,(CL206+CJ206)/2,IF(LEFT(Cockpit!$I$5,1)="B",(CL206+AW206)/2,MAX((CL206+AW206)/2,H206))))</f>
        <v>137</v>
      </c>
      <c r="AV206" s="62" t="n">
        <f aca="false">AU206*G206</f>
        <v>1117.92</v>
      </c>
      <c r="AW206" s="62" t="n">
        <f aca="false">ROUNDUP(CL206+MAX(CM206,2*(J206/IF(CH206&gt;0,CH206,MAX(0.1,N(Cockpit!$I$6)))-CL206)),0)</f>
        <v>155</v>
      </c>
      <c r="AX206" s="63" t="n">
        <f aca="false">IF(AT206&gt;0,J206/AT206,-1)</f>
        <v>25.3290322580645</v>
      </c>
      <c r="AY206" s="63" t="n">
        <f aca="false">IF(AND(OR(CG206="L1",CG206="L23",CG206="LIFT"),AT206&gt;0),SUMIFS($AT$7:$AT$1843,$CG$7:$CG$1843,CG206,$AX$7:$AX$1843,"&gt;"&amp;AX206)+SUMIFS($AT$7:$AT$1843,$CG$7:$CG$1843,CG206,$AX$7:$AX$1843,AX206,$BX$7:$BX$1843,"&lt;="&amp;BX206),"")</f>
        <v>2136.32188644689</v>
      </c>
      <c r="AZ206" s="70" t="n">
        <f aca="false">IF(AY206="",0,MAX(0,MIN(1,(IF(CG206="L1",Parameter!$H$5,IF(CG206="L23",Parameter!$H$6+Parameter!$H$7,Parameter!$H$5+Parameter!$H$6+Parameter!$H$7))-(AY206-AT206))/AT206)))</f>
        <v>1</v>
      </c>
      <c r="BA206" s="62" t="n">
        <f aca="false">IF(LEFT(Cockpit!$O$5,1)="A",H206,IF(Parameter!$E$30="MAX-Bestand",IF(CI206=1,CJ206,IF(LEFT(Cockpit!$O$5,1)="B",BG206,MAX(BG206,H206))),ROUNDUP(BE206,0)))</f>
        <v>80</v>
      </c>
      <c r="BB206" s="62" t="n">
        <f aca="false">IF(CA206=1,0,ROUNDUP(BA206/BZ206,0))</f>
        <v>2</v>
      </c>
      <c r="BC206" s="64" t="n">
        <f aca="false">IF(CR206&gt;0,CR206*MAX(1,BA206/X206),IF(CA206=1,IF(BA206&lt;=0,0,CE206*MAX(1,IF(H206&gt;0,BA206/H206,1))),IF(R206&gt;0,BB206/R206,0))/MAX(0.1,N(Parameter!$M$21)))</f>
        <v>0.0384615384615385</v>
      </c>
      <c r="BD206" s="62" t="n">
        <f aca="false">BC206*CC206</f>
        <v>5.96153846153846</v>
      </c>
      <c r="BE206" s="63" t="n">
        <f aca="false">IF(LEFT(Cockpit!$O$5,1)="A",H206,IF(CI206=1,(CL206+CJ206)/2,IF(LEFT(Cockpit!$O$5,1)="B",(CL206+BG206)/2,MAX((CL206+BG206)/2,H206))))</f>
        <v>80</v>
      </c>
      <c r="BF206" s="62" t="n">
        <f aca="false">BE206*G206</f>
        <v>652.8</v>
      </c>
      <c r="BG206" s="62" t="n">
        <f aca="false">ROUNDUP(CL206+MAX(CM206,2*(J206/IF(CH206&gt;0,CH206,MAX(0.1,N(Cockpit!$O$6)))-CL206)),0)</f>
        <v>155</v>
      </c>
      <c r="BH206" s="63" t="n">
        <f aca="false">IF(BD206&gt;0,J206/BD206,-1)</f>
        <v>25.3290322580645</v>
      </c>
      <c r="BI206" s="63" t="n">
        <f aca="false">IF(AND(OR(CG206="L1",CG206="L23",CG206="LIFT"),BD206&gt;0),SUMIFS($BD$7:$BD$1843,$CG$7:$CG$1843,CG206,$BH$7:$BH$1843,"&gt;"&amp;BH206)+SUMIFS($BD$7:$BD$1843,$CG$7:$CG$1843,CG206,$BH$7:$BH$1843,BH206,$BX$7:$BX$1843,"&lt;="&amp;BX206),"")</f>
        <v>2066.33287545788</v>
      </c>
      <c r="BJ206" s="70" t="n">
        <f aca="false">IF(BI206="",0,MAX(0,MIN(1,(IF(CG206="L1",Parameter!$H$5,IF(CG206="L23",Parameter!$H$6+Parameter!$H$7,Parameter!$H$5+Parameter!$H$6+Parameter!$H$7))-(BI206-BD206))/BD206)))</f>
        <v>1</v>
      </c>
      <c r="BK206" s="60" t="str">
        <f aca="false">IF(AJ206&lt;=0,"",IF(CG206="Aussen","Aussenlager",IF(CG206="-","Nicht im Lift",IF(AP206&gt;=1,"Lift",IF(AP206&lt;=0,"Aussenlager","teilweise")))))</f>
        <v>Lift</v>
      </c>
      <c r="BL206" s="60" t="str">
        <f aca="false">IF(AT206&lt;=0,"",IF(CG206="Aussen","Aussenlager",IF(CG206="-","Nicht im Lift",IF(AZ206&gt;=1,"Lift",IF(AZ206&lt;=0,"Aussenlager","teilweise")))))</f>
        <v>Lift</v>
      </c>
      <c r="BM206" s="60" t="str">
        <f aca="false">IF(BD206&lt;=0,"",IF(CG206="Aussen","Aussenlager",IF(CG206="-","Nicht im Lift",IF(BJ206&gt;=1,"Lift",IF(BJ206&lt;=0,"Aussenlager","teilweise")))))</f>
        <v>Lift</v>
      </c>
      <c r="BN206" s="60" t="str">
        <f aca="false">IF(A206="","",IF(BW206=1,"Neu; ","")&amp;IF(AND(BW206=0,BR206&lt;0),"negativer Bestand (Export "&amp;BR206&amp;"); ","")&amp;IF(J206&lt;=0,"Kein Verbrauch; ","")&amp;IF(CR206&gt;0,"Lift "&amp;W206&amp;" lt. Liftbericht (Fach "&amp;X206&amp;" Stk); ",IF(CB206=1,"Gebinde geschätzt ("&amp;T206&amp;"); ",IF(CA206=1,"Lose – Tablare geschätzt; ","")))&amp;IF(H206&gt;AW206,"Überbestand "&amp;ROUND(H206-AW206,0)&amp;" Stk / CHF "&amp;ROUND((H206-AW206)*G206,0)&amp;"; ","")&amp;IF(AND(CI206=1,CJ206&lt;CK206),"MAX &lt; MB+LG; ","")&amp;IF(AND(CQ206&gt;0,CP206*10&gt;CQ206),"zu hoch für Tablar; ","")&amp;IF(AND(BW206=0,OR(CI206=1,AB206&lt;&gt;"",U206&lt;&gt;"",V206&lt;&gt;"",AC206&lt;&gt;"")),"manuell übersteuert; ","")&amp;IF(AND(CA206=0,R206=0),"Gebinde unbekannt / Stellmass fehlt; ","")&amp;IF(AND(CA206=0,N(V206)&lt;=0,N(Q206)&lt;=0),"Menge pro Gebinde fehlt (Ist = 1 Gebinde); ","")&amp;BV206)</f>
        <v/>
      </c>
      <c r="BO206" s="60"/>
      <c r="BP206" s="60"/>
      <c r="BQ206" s="67"/>
      <c r="BR206" s="62" t="n">
        <v>90</v>
      </c>
      <c r="BS206" s="62" t="n">
        <v>47</v>
      </c>
      <c r="BT206" s="61" t="n">
        <v>744.27</v>
      </c>
      <c r="BU206" s="62" t="n">
        <v>151</v>
      </c>
      <c r="BV206" s="60"/>
      <c r="BW206" s="65" t="n">
        <v>0</v>
      </c>
      <c r="BX206" s="65" t="n">
        <v>206</v>
      </c>
      <c r="BY206" s="60" t="str">
        <f aca="false">IF(U206&lt;&gt;"",UPPER(TRIM(U206)),IF(CB206=1,UPPER(VLOOKUP(T206,Parameter!$I$27:$K$29,2,0)),IF(P206="","LOSE",P206)))</f>
        <v>S33</v>
      </c>
      <c r="BZ206" s="62" t="n">
        <f aca="false">IF(BY206="LOSE",1,IF(N(V206)&gt;0,V206,IF(CB206=1,MAX(1,N(VLOOKUP(T206,Parameter!$I$27:$K$29,3,0)),H206,N(N206)),IF(N(Q206)&gt;0,Q206,MAX(1,H206)))))</f>
        <v>71</v>
      </c>
      <c r="CA206" s="65" t="n">
        <f aca="false">IF(BY206="LOSE",1,0)</f>
        <v>0</v>
      </c>
      <c r="CB206" s="65" t="n">
        <f aca="false">IF(AND(U206="",OR(P206="",P206="LOSE"),T206&lt;&gt;"",N(S206)&lt;=0,ISNUMBER(MATCH(T206,Parameter!$I$27:$I$29,0))),1,0)</f>
        <v>0</v>
      </c>
      <c r="CC206" s="65" t="n">
        <f aca="false">IF(CR206&gt;0,INDEX(Parameter!$H$5:$H$7,W206)/INDEX(Parameter!$E$5:$E$7,W206),IF(AND(CA206=0,N(IFERROR(VLOOKUP(BY206,'Gebinde-Kategorie'!$A$5:$N$45,14,0),0))&gt;0),VLOOKUP(BY206,'Gebinde-Kategorie'!$A$5:$N$45,14,0)*10+Parameter!$M$23,Parameter!$M$24))</f>
        <v>155</v>
      </c>
      <c r="CD206" s="60" t="str">
        <f aca="false">IF(AND(Parameter!$B$19="Ja",E206&lt;&gt;"",ISNUMBER(MATCH(E206,Parameter!$I$35:$I$52,0))),VLOOKUP(E206,Parameter!$I$35:$J$52,2,0),IFERROR(VLOOKUP(D206,Parameter!$A$35:$C$64,2,0),"Nein"))</f>
        <v>2+3</v>
      </c>
      <c r="CE206" s="64" t="n">
        <f aca="false">IF(CA206=0,0,IF(N(S206)&gt;0,S206,IFERROR(VLOOKUP(D206,Parameter!$A$35:$C$64,3,0)+0,0)))</f>
        <v>0</v>
      </c>
      <c r="CF206" s="60" t="n">
        <f aca="false">IF(AB206&lt;&gt;"",AB206,AA206)</f>
        <v>3</v>
      </c>
      <c r="CG206" s="60" t="str">
        <f aca="false">IF(OR(CF206=1,CF206=2,CF206=3),IF(Parameter!$E$27="Ja","LIFT",IF(CF206=1,"L1","L23")),IF(CF206="Aussen","Aussen","-"))</f>
        <v>LIFT</v>
      </c>
      <c r="CH206" s="71" t="n">
        <f aca="false">IF(N(AC206)&gt;0,AC206,0)</f>
        <v>0</v>
      </c>
      <c r="CI206" s="65" t="n">
        <f aca="false">IF(ISNUMBER(AF206),1,0)</f>
        <v>0</v>
      </c>
      <c r="CJ206" s="62" t="n">
        <f aca="false">N(AF206)</f>
        <v>0</v>
      </c>
      <c r="CK206" s="62" t="n">
        <f aca="false">N(M206)+N(N206)</f>
        <v>155</v>
      </c>
      <c r="CL206" s="62" t="n">
        <f aca="false">N(M206)</f>
        <v>5</v>
      </c>
      <c r="CM206" s="62" t="n">
        <f aca="false">N(N206)</f>
        <v>150</v>
      </c>
      <c r="CN206" s="62" t="n">
        <f aca="false">ROUNDUP(H206/BZ206,0)</f>
        <v>2</v>
      </c>
      <c r="CO206" s="62" t="n">
        <f aca="false">ROUNDUP(CJ206/BZ206,0)</f>
        <v>0</v>
      </c>
      <c r="CP206" s="65" t="n">
        <f aca="false">IF(CA206=1,0,IFERROR(VLOOKUP(BY206,'Gebinde-Kategorie'!$A$5:$N$45,5,0)+0,0))</f>
        <v>8</v>
      </c>
      <c r="CQ206" s="65" t="n">
        <f aca="false">IFERROR(IF(OR(CF206=1,CF206=2,CF206=3),N(INDEX(Parameter!$I$5:$I$7,CF206)),0),0)</f>
        <v>0</v>
      </c>
      <c r="CR206" s="64" t="n">
        <f aca="false">IF(AND(Parameter!$B$21="Ja",ISNUMBER(W206),N(X206)&gt;0),IFERROR(N(INDEX(Parameter!$L$5:$L$7,W206))*INDEX(Parameter!$E$5:$E$7,W206)*X206/SUMIFS($X$7:$X$1843,$W$7:$W$1843,W206),0),0)</f>
        <v>0</v>
      </c>
      <c r="CS206" s="62" t="n">
        <f aca="false">IF(AND(OR(CG206="L1",CG206="L23",CG206="LIFT"),H206&gt;0),CC206*IF(CR206&gt;0,CR206*MAX(1,H206/X206),IF(CA206=1,CE206,IF(R206&gt;0,CN206/R206,0))/MAX(0.1,N(Parameter!$M$21))),"")</f>
        <v>5.96153846153846</v>
      </c>
      <c r="CT206" s="64" t="n">
        <f aca="false">IF(CS206="","",J206/H206)</f>
        <v>1.1021897810219</v>
      </c>
      <c r="CU206" s="62" t="n">
        <f aca="false">IF(CS206="","",H206*G206)</f>
        <v>1117.92</v>
      </c>
      <c r="CV206" s="63" t="n">
        <f aca="false">IF(CS206="","",(CL206+ROUNDUP(CL206+MAX(CM206,2*(J206/MAX(0.1,N(Einkauf!$C$6))-CL206)),0))/2)</f>
        <v>80</v>
      </c>
      <c r="CW206" s="62" t="n">
        <f aca="false">IF(CS206="","",MAX(0,H206-CV206)*G206)</f>
        <v>465.12</v>
      </c>
      <c r="CX206" s="62" t="n">
        <f aca="false">IF(CS206="","",CS206*MAX(0,1-CV206/H206))</f>
        <v>2.48034811903425</v>
      </c>
      <c r="CY206" s="64" t="n">
        <f aca="false">IF(CS206="","",PERCENTRANK($CS$7:$CS$1843,CS206)+PERCENTRANK($CU$7:$CU$1843,CU206)+1-PERCENTRANK($CT$7:$CT$1843,CT206))</f>
        <v>1.337</v>
      </c>
      <c r="CZ206" s="72" t="n">
        <f aca="false">IF(CS206="","",CHOOSE(MATCH(Einkauf!$C$5,Parameter!$G$23:$G$27,0),CY206,CS206,CU206,-CT206,CW206)+ROW()/1000000000)</f>
        <v>1.337000206</v>
      </c>
    </row>
    <row r="207" customFormat="false" ht="15" hidden="false" customHeight="false" outlineLevel="0" collapsed="false">
      <c r="A207" s="60" t="s">
        <v>655</v>
      </c>
      <c r="B207" s="60" t="s">
        <v>656</v>
      </c>
      <c r="C207" s="60" t="s">
        <v>206</v>
      </c>
      <c r="D207" s="60" t="s">
        <v>226</v>
      </c>
      <c r="E207" s="60" t="s">
        <v>227</v>
      </c>
      <c r="F207" s="60" t="s">
        <v>260</v>
      </c>
      <c r="G207" s="61" t="n">
        <v>11.13</v>
      </c>
      <c r="H207" s="62" t="n">
        <f aca="false">MAX(0,IF(AND(Parameter!$B$21="Ja",ISNUMBER(Y207)),Y207,IF(Parameter!$B$20="Jahresanfang 2025 + Export",BS207+BR207,BR207)))</f>
        <v>395</v>
      </c>
      <c r="I207" s="62" t="n">
        <f aca="false">H207*G207</f>
        <v>4396.35</v>
      </c>
      <c r="J207" s="62" t="n">
        <f aca="false">BU207*Parameter!$B$18</f>
        <v>1125</v>
      </c>
      <c r="K207" s="63" t="n">
        <v>471.5</v>
      </c>
      <c r="L207" s="64" t="n">
        <v>2.38600212089077</v>
      </c>
      <c r="M207" s="62" t="n">
        <v>65</v>
      </c>
      <c r="N207" s="62" t="n">
        <v>500</v>
      </c>
      <c r="O207" s="65" t="n">
        <v>21</v>
      </c>
      <c r="P207" s="60" t="s">
        <v>275</v>
      </c>
      <c r="Q207" s="62" t="n">
        <v>951</v>
      </c>
      <c r="R207" s="65" t="n">
        <f aca="false">IF(CA207=1,0,IFERROR(VLOOKUP(BY207,'Gebinde-Kategorie'!$A$5:$N$45,13,0)+0,0))</f>
        <v>26</v>
      </c>
      <c r="S207" s="66"/>
      <c r="T207" s="67"/>
      <c r="U207" s="67"/>
      <c r="V207" s="67"/>
      <c r="W207" s="60"/>
      <c r="X207" s="62"/>
      <c r="Y207" s="62"/>
      <c r="Z207" s="60" t="n">
        <v>3</v>
      </c>
      <c r="AA207" s="60" t="n">
        <f aca="false">IF(A207="","",IF(AND(Parameter!$B$21="Ja",ISNUMBER(W207)),W207,IF(AND(Parameter!$E$27="Ja",ISNUMBER(Z207),CD207&lt;&gt;"Nein"),Z207,IF(CD207="2+3",IF(ISNUMBER(SEARCH("grosser Artikel",BV207)),2,IFERROR(VLOOKUP(BY207,Parameter!$F$35:$G$64,2,0),2)),IF(OR(CD207="Nein",CD207=""),"-",CD207)))))</f>
        <v>3</v>
      </c>
      <c r="AB207" s="67"/>
      <c r="AC207" s="68"/>
      <c r="AD207" s="62" t="n">
        <f aca="false">AW207</f>
        <v>685</v>
      </c>
      <c r="AE207" s="62" t="n">
        <f aca="false">MAX(AW207,H207)</f>
        <v>685</v>
      </c>
      <c r="AF207" s="69"/>
      <c r="AG207" s="62" t="n">
        <f aca="false">IF(LEFT(Cockpit!$C$5,1)="A",H207,IF(Parameter!$E$30="MAX-Bestand",IF(CI207=1,CJ207,IF(LEFT(Cockpit!$C$5,1)="B",AM207,MAX(AM207,H207))),ROUNDUP(AK207,0)))</f>
        <v>395</v>
      </c>
      <c r="AH207" s="62" t="n">
        <f aca="false">IF(CA207=1,0,ROUNDUP(AG207/BZ207,0))</f>
        <v>1</v>
      </c>
      <c r="AI207" s="64" t="n">
        <f aca="false">IF(CR207&gt;0,CR207*MAX(1,AG207/X207),IF(CA207=1,IF(AG207&lt;=0,0,CE207*MAX(1,IF(H207&gt;0,AG207/H207,1))),IF(R207&gt;0,AH207/R207,0))/MAX(0.1,N(Parameter!$M$21)))</f>
        <v>0.0384615384615385</v>
      </c>
      <c r="AJ207" s="62" t="n">
        <f aca="false">AI207*CC207</f>
        <v>9.42307692307692</v>
      </c>
      <c r="AK207" s="63" t="n">
        <f aca="false">IF(LEFT(Cockpit!$C$5,1)="A",H207,IF(CI207=1,(CL207+CJ207)/2,IF(LEFT(Cockpit!$C$5,1)="B",(CL207+AM207)/2,MAX((CL207+AM207)/2,H207))))</f>
        <v>395</v>
      </c>
      <c r="AL207" s="62" t="n">
        <f aca="false">AK207*G207</f>
        <v>4396.35</v>
      </c>
      <c r="AM207" s="62" t="n">
        <f aca="false">ROUNDUP(CL207+MAX(CM207,2*(J207/IF(CH207&gt;0,CH207,MAX(0.1,N(Cockpit!$C$6)))-CL207)),0)</f>
        <v>685</v>
      </c>
      <c r="AN207" s="63" t="n">
        <f aca="false">IF(AJ207&gt;0,J207/AJ207,-1)</f>
        <v>119.387755102041</v>
      </c>
      <c r="AO207" s="63" t="n">
        <f aca="false">IF(AND(OR(CG207="L1",CG207="L23",CG207="LIFT"),AJ207&gt;0),SUMIFS($AJ$7:$AJ$1843,$CG$7:$CG$1843,CG207,$AN$7:$AN$1843,"&gt;"&amp;AN207)+SUMIFS($AJ$7:$AJ$1843,$CG$7:$CG$1843,CG207,$AN$7:$AN$1843,AN207,$BX$7:$BX$1843,"&lt;="&amp;BX207),"")</f>
        <v>678.221611721612</v>
      </c>
      <c r="AP207" s="70" t="n">
        <f aca="false">IF(AO207="",0,MAX(0,MIN(1,(IF(CG207="L1",Parameter!$H$5,IF(CG207="L23",Parameter!$H$6+Parameter!$H$7,Parameter!$H$5+Parameter!$H$6+Parameter!$H$7))-(AO207-AJ207))/AJ207)))</f>
        <v>1</v>
      </c>
      <c r="AQ207" s="62" t="n">
        <f aca="false">IF(LEFT(Cockpit!$I$5,1)="A",H207,IF(Parameter!$E$30="MAX-Bestand",IF(CI207=1,CJ207,IF(LEFT(Cockpit!$I$5,1)="B",AW207,MAX(AW207,H207))),ROUNDUP(AU207,0)))</f>
        <v>395</v>
      </c>
      <c r="AR207" s="62" t="n">
        <f aca="false">IF(CA207=1,0,ROUNDUP(AQ207/BZ207,0))</f>
        <v>1</v>
      </c>
      <c r="AS207" s="64" t="n">
        <f aca="false">IF(CR207&gt;0,CR207*MAX(1,AQ207/X207),IF(CA207=1,IF(AQ207&lt;=0,0,CE207*MAX(1,IF(H207&gt;0,AQ207/H207,1))),IF(R207&gt;0,AR207/R207,0))/MAX(0.1,N(Parameter!$M$21)))</f>
        <v>0.0384615384615385</v>
      </c>
      <c r="AT207" s="62" t="n">
        <f aca="false">AS207*CC207</f>
        <v>9.42307692307692</v>
      </c>
      <c r="AU207" s="63" t="n">
        <f aca="false">IF(LEFT(Cockpit!$I$5,1)="A",H207,IF(CI207=1,(CL207+CJ207)/2,IF(LEFT(Cockpit!$I$5,1)="B",(CL207+AW207)/2,MAX((CL207+AW207)/2,H207))))</f>
        <v>395</v>
      </c>
      <c r="AV207" s="62" t="n">
        <f aca="false">AU207*G207</f>
        <v>4396.35</v>
      </c>
      <c r="AW207" s="62" t="n">
        <f aca="false">ROUNDUP(CL207+MAX(CM207,2*(J207/IF(CH207&gt;0,CH207,MAX(0.1,N(Cockpit!$I$6)))-CL207)),0)</f>
        <v>685</v>
      </c>
      <c r="AX207" s="63" t="n">
        <f aca="false">IF(AT207&gt;0,J207/AT207,-1)</f>
        <v>119.387755102041</v>
      </c>
      <c r="AY207" s="63" t="n">
        <f aca="false">IF(AND(OR(CG207="L1",CG207="L23",CG207="LIFT"),AT207&gt;0),SUMIFS($AT$7:$AT$1843,$CG$7:$CG$1843,CG207,$AX$7:$AX$1843,"&gt;"&amp;AX207)+SUMIFS($AT$7:$AT$1843,$CG$7:$CG$1843,CG207,$AX$7:$AX$1843,AX207,$BX$7:$BX$1843,"&lt;="&amp;BX207),"")</f>
        <v>791.004120879121</v>
      </c>
      <c r="AZ207" s="70" t="n">
        <f aca="false">IF(AY207="",0,MAX(0,MIN(1,(IF(CG207="L1",Parameter!$H$5,IF(CG207="L23",Parameter!$H$6+Parameter!$H$7,Parameter!$H$5+Parameter!$H$6+Parameter!$H$7))-(AY207-AT207))/AT207)))</f>
        <v>1</v>
      </c>
      <c r="BA207" s="62" t="n">
        <f aca="false">IF(LEFT(Cockpit!$O$5,1)="A",H207,IF(Parameter!$E$30="MAX-Bestand",IF(CI207=1,CJ207,IF(LEFT(Cockpit!$O$5,1)="B",BG207,MAX(BG207,H207))),ROUNDUP(BE207,0)))</f>
        <v>315</v>
      </c>
      <c r="BB207" s="62" t="n">
        <f aca="false">IF(CA207=1,0,ROUNDUP(BA207/BZ207,0))</f>
        <v>1</v>
      </c>
      <c r="BC207" s="64" t="n">
        <f aca="false">IF(CR207&gt;0,CR207*MAX(1,BA207/X207),IF(CA207=1,IF(BA207&lt;=0,0,CE207*MAX(1,IF(H207&gt;0,BA207/H207,1))),IF(R207&gt;0,BB207/R207,0))/MAX(0.1,N(Parameter!$M$21)))</f>
        <v>0.0384615384615385</v>
      </c>
      <c r="BD207" s="62" t="n">
        <f aca="false">BC207*CC207</f>
        <v>9.42307692307692</v>
      </c>
      <c r="BE207" s="63" t="n">
        <f aca="false">IF(LEFT(Cockpit!$O$5,1)="A",H207,IF(CI207=1,(CL207+CJ207)/2,IF(LEFT(Cockpit!$O$5,1)="B",(CL207+BG207)/2,MAX((CL207+BG207)/2,H207))))</f>
        <v>315</v>
      </c>
      <c r="BF207" s="62" t="n">
        <f aca="false">BE207*G207</f>
        <v>3505.95</v>
      </c>
      <c r="BG207" s="62" t="n">
        <f aca="false">ROUNDUP(CL207+MAX(CM207,2*(J207/IF(CH207&gt;0,CH207,MAX(0.1,N(Cockpit!$O$6)))-CL207)),0)</f>
        <v>565</v>
      </c>
      <c r="BH207" s="63" t="n">
        <f aca="false">IF(BD207&gt;0,J207/BD207,-1)</f>
        <v>119.387755102041</v>
      </c>
      <c r="BI207" s="63" t="n">
        <f aca="false">IF(AND(OR(CG207="L1",CG207="L23",CG207="LIFT"),BD207&gt;0),SUMIFS($BD$7:$BD$1843,$CG$7:$CG$1843,CG207,$BH$7:$BH$1843,"&gt;"&amp;BH207)+SUMIFS($BD$7:$BD$1843,$CG$7:$CG$1843,CG207,$BH$7:$BH$1843,BH207,$BX$7:$BX$1843,"&lt;="&amp;BX207),"")</f>
        <v>816.894230769231</v>
      </c>
      <c r="BJ207" s="70" t="n">
        <f aca="false">IF(BI207="",0,MAX(0,MIN(1,(IF(CG207="L1",Parameter!$H$5,IF(CG207="L23",Parameter!$H$6+Parameter!$H$7,Parameter!$H$5+Parameter!$H$6+Parameter!$H$7))-(BI207-BD207))/BD207)))</f>
        <v>1</v>
      </c>
      <c r="BK207" s="60" t="str">
        <f aca="false">IF(AJ207&lt;=0,"",IF(CG207="Aussen","Aussenlager",IF(CG207="-","Nicht im Lift",IF(AP207&gt;=1,"Lift",IF(AP207&lt;=0,"Aussenlager","teilweise")))))</f>
        <v>Lift</v>
      </c>
      <c r="BL207" s="60" t="str">
        <f aca="false">IF(AT207&lt;=0,"",IF(CG207="Aussen","Aussenlager",IF(CG207="-","Nicht im Lift",IF(AZ207&gt;=1,"Lift",IF(AZ207&lt;=0,"Aussenlager","teilweise")))))</f>
        <v>Lift</v>
      </c>
      <c r="BM207" s="60" t="str">
        <f aca="false">IF(BD207&lt;=0,"",IF(CG207="Aussen","Aussenlager",IF(CG207="-","Nicht im Lift",IF(BJ207&gt;=1,"Lift",IF(BJ207&lt;=0,"Aussenlager","teilweise")))))</f>
        <v>Lift</v>
      </c>
      <c r="BN207" s="60" t="str">
        <f aca="false">IF(A207="","",IF(BW207=1,"Neu; ","")&amp;IF(AND(BW207=0,BR207&lt;0),"negativer Bestand (Export "&amp;BR207&amp;"); ","")&amp;IF(J207&lt;=0,"Kein Verbrauch; ","")&amp;IF(CR207&gt;0,"Lift "&amp;W207&amp;" lt. Liftbericht (Fach "&amp;X207&amp;" Stk); ",IF(CB207=1,"Gebinde geschätzt ("&amp;T207&amp;"); ",IF(CA207=1,"Lose – Tablare geschätzt; ","")))&amp;IF(H207&gt;AW207,"Überbestand "&amp;ROUND(H207-AW207,0)&amp;" Stk / CHF "&amp;ROUND((H207-AW207)*G207,0)&amp;"; ","")&amp;IF(AND(CI207=1,CJ207&lt;CK207),"MAX &lt; MB+LG; ","")&amp;IF(AND(CQ207&gt;0,CP207*10&gt;CQ207),"zu hoch für Tablar; ","")&amp;IF(AND(BW207=0,OR(CI207=1,AB207&lt;&gt;"",U207&lt;&gt;"",V207&lt;&gt;"",AC207&lt;&gt;"")),"manuell übersteuert; ","")&amp;IF(AND(CA207=0,R207=0),"Gebinde unbekannt / Stellmass fehlt; ","")&amp;IF(AND(CA207=0,N(V207)&lt;=0,N(Q207)&lt;=0),"Menge pro Gebinde fehlt (Ist = 1 Gebinde); ","")&amp;BV207)</f>
        <v/>
      </c>
      <c r="BO207" s="60"/>
      <c r="BP207" s="60"/>
      <c r="BQ207" s="67"/>
      <c r="BR207" s="62" t="n">
        <v>106</v>
      </c>
      <c r="BS207" s="62" t="n">
        <v>289</v>
      </c>
      <c r="BT207" s="61" t="n">
        <v>741.420000000001</v>
      </c>
      <c r="BU207" s="62" t="n">
        <v>1125</v>
      </c>
      <c r="BV207" s="60"/>
      <c r="BW207" s="65" t="n">
        <v>0</v>
      </c>
      <c r="BX207" s="65" t="n">
        <v>207</v>
      </c>
      <c r="BY207" s="60" t="str">
        <f aca="false">IF(U207&lt;&gt;"",UPPER(TRIM(U207)),IF(CB207=1,UPPER(VLOOKUP(T207,Parameter!$I$27:$K$29,2,0)),IF(P207="","LOSE",P207)))</f>
        <v>S52</v>
      </c>
      <c r="BZ207" s="62" t="n">
        <f aca="false">IF(BY207="LOSE",1,IF(N(V207)&gt;0,V207,IF(CB207=1,MAX(1,N(VLOOKUP(T207,Parameter!$I$27:$K$29,3,0)),H207,N(N207)),IF(N(Q207)&gt;0,Q207,MAX(1,H207)))))</f>
        <v>951</v>
      </c>
      <c r="CA207" s="65" t="n">
        <f aca="false">IF(BY207="LOSE",1,0)</f>
        <v>0</v>
      </c>
      <c r="CB207" s="65" t="n">
        <f aca="false">IF(AND(U207="",OR(P207="",P207="LOSE"),T207&lt;&gt;"",N(S207)&lt;=0,ISNUMBER(MATCH(T207,Parameter!$I$27:$I$29,0))),1,0)</f>
        <v>0</v>
      </c>
      <c r="CC207" s="65" t="n">
        <f aca="false">IF(CR207&gt;0,INDEX(Parameter!$H$5:$H$7,W207)/INDEX(Parameter!$E$5:$E$7,W207),IF(AND(CA207=0,N(IFERROR(VLOOKUP(BY207,'Gebinde-Kategorie'!$A$5:$N$45,14,0),0))&gt;0),VLOOKUP(BY207,'Gebinde-Kategorie'!$A$5:$N$45,14,0)*10+Parameter!$M$23,Parameter!$M$24))</f>
        <v>245</v>
      </c>
      <c r="CD207" s="60" t="str">
        <f aca="false">IF(AND(Parameter!$B$19="Ja",E207&lt;&gt;"",ISNUMBER(MATCH(E207,Parameter!$I$35:$I$52,0))),VLOOKUP(E207,Parameter!$I$35:$J$52,2,0),IFERROR(VLOOKUP(D207,Parameter!$A$35:$C$64,2,0),"Nein"))</f>
        <v>2+3</v>
      </c>
      <c r="CE207" s="64" t="n">
        <f aca="false">IF(CA207=0,0,IF(N(S207)&gt;0,S207,IFERROR(VLOOKUP(D207,Parameter!$A$35:$C$64,3,0)+0,0)))</f>
        <v>0</v>
      </c>
      <c r="CF207" s="60" t="n">
        <f aca="false">IF(AB207&lt;&gt;"",AB207,AA207)</f>
        <v>3</v>
      </c>
      <c r="CG207" s="60" t="str">
        <f aca="false">IF(OR(CF207=1,CF207=2,CF207=3),IF(Parameter!$E$27="Ja","LIFT",IF(CF207=1,"L1","L23")),IF(CF207="Aussen","Aussen","-"))</f>
        <v>LIFT</v>
      </c>
      <c r="CH207" s="71" t="n">
        <f aca="false">IF(N(AC207)&gt;0,AC207,0)</f>
        <v>0</v>
      </c>
      <c r="CI207" s="65" t="n">
        <f aca="false">IF(ISNUMBER(AF207),1,0)</f>
        <v>0</v>
      </c>
      <c r="CJ207" s="62" t="n">
        <f aca="false">N(AF207)</f>
        <v>0</v>
      </c>
      <c r="CK207" s="62" t="n">
        <f aca="false">N(M207)+N(N207)</f>
        <v>565</v>
      </c>
      <c r="CL207" s="62" t="n">
        <f aca="false">N(M207)</f>
        <v>65</v>
      </c>
      <c r="CM207" s="62" t="n">
        <f aca="false">N(N207)</f>
        <v>500</v>
      </c>
      <c r="CN207" s="62" t="n">
        <f aca="false">ROUNDUP(H207/BZ207,0)</f>
        <v>1</v>
      </c>
      <c r="CO207" s="62" t="n">
        <f aca="false">ROUNDUP(CJ207/BZ207,0)</f>
        <v>0</v>
      </c>
      <c r="CP207" s="65" t="n">
        <f aca="false">IF(CA207=1,0,IFERROR(VLOOKUP(BY207,'Gebinde-Kategorie'!$A$5:$N$45,5,0)+0,0))</f>
        <v>21</v>
      </c>
      <c r="CQ207" s="65" t="n">
        <f aca="false">IFERROR(IF(OR(CF207=1,CF207=2,CF207=3),N(INDEX(Parameter!$I$5:$I$7,CF207)),0),0)</f>
        <v>0</v>
      </c>
      <c r="CR207" s="64" t="n">
        <f aca="false">IF(AND(Parameter!$B$21="Ja",ISNUMBER(W207),N(X207)&gt;0),IFERROR(N(INDEX(Parameter!$L$5:$L$7,W207))*INDEX(Parameter!$E$5:$E$7,W207)*X207/SUMIFS($X$7:$X$1843,$W$7:$W$1843,W207),0),0)</f>
        <v>0</v>
      </c>
      <c r="CS207" s="62" t="n">
        <f aca="false">IF(AND(OR(CG207="L1",CG207="L23",CG207="LIFT"),H207&gt;0),CC207*IF(CR207&gt;0,CR207*MAX(1,H207/X207),IF(CA207=1,CE207,IF(R207&gt;0,CN207/R207,0))/MAX(0.1,N(Parameter!$M$21))),"")</f>
        <v>9.42307692307692</v>
      </c>
      <c r="CT207" s="64" t="n">
        <f aca="false">IF(CS207="","",J207/H207)</f>
        <v>2.84810126582279</v>
      </c>
      <c r="CU207" s="62" t="n">
        <f aca="false">IF(CS207="","",H207*G207)</f>
        <v>4396.35</v>
      </c>
      <c r="CV207" s="63" t="n">
        <f aca="false">IF(CS207="","",(CL207+ROUNDUP(CL207+MAX(CM207,2*(J207/MAX(0.1,N(Einkauf!$C$6))-CL207)),0))/2)</f>
        <v>315</v>
      </c>
      <c r="CW207" s="62" t="n">
        <f aca="false">IF(CS207="","",MAX(0,H207-CV207)*G207)</f>
        <v>890.4</v>
      </c>
      <c r="CX207" s="62" t="n">
        <f aca="false">IF(CS207="","",CS207*MAX(0,1-CV207/H207))</f>
        <v>1.90847127555988</v>
      </c>
      <c r="CY207" s="64" t="n">
        <f aca="false">IF(CS207="","",PERCENTRANK($CS$7:$CS$1843,CS207)+PERCENTRANK($CU$7:$CU$1843,CU207)+1-PERCENTRANK($CT$7:$CT$1843,CT207))</f>
        <v>1.585</v>
      </c>
      <c r="CZ207" s="72" t="n">
        <f aca="false">IF(CS207="","",CHOOSE(MATCH(Einkauf!$C$5,Parameter!$G$23:$G$27,0),CY207,CS207,CU207,-CT207,CW207)+ROW()/1000000000)</f>
        <v>1.585000207</v>
      </c>
    </row>
    <row r="208" customFormat="false" ht="15" hidden="false" customHeight="false" outlineLevel="0" collapsed="false">
      <c r="A208" s="60" t="s">
        <v>657</v>
      </c>
      <c r="B208" s="60" t="s">
        <v>473</v>
      </c>
      <c r="C208" s="60" t="s">
        <v>206</v>
      </c>
      <c r="D208" s="60" t="s">
        <v>226</v>
      </c>
      <c r="E208" s="60" t="s">
        <v>227</v>
      </c>
      <c r="F208" s="60" t="s">
        <v>260</v>
      </c>
      <c r="G208" s="61" t="n">
        <v>67.09</v>
      </c>
      <c r="H208" s="62" t="n">
        <f aca="false">MAX(0,IF(AND(Parameter!$B$21="Ja",ISNUMBER(Y208)),Y208,IF(Parameter!$B$20="Jahresanfang 2025 + Export",BS208+BR208,BR208)))</f>
        <v>34</v>
      </c>
      <c r="I208" s="62" t="n">
        <f aca="false">H208*G208</f>
        <v>2281.06</v>
      </c>
      <c r="J208" s="62" t="n">
        <f aca="false">BU208*Parameter!$B$18</f>
        <v>4</v>
      </c>
      <c r="K208" s="63" t="n">
        <v>21</v>
      </c>
      <c r="L208" s="64" t="n">
        <v>0.190476190476191</v>
      </c>
      <c r="M208" s="62" t="n">
        <v>0</v>
      </c>
      <c r="N208" s="62" t="n">
        <v>5</v>
      </c>
      <c r="O208" s="65" t="n">
        <v>70</v>
      </c>
      <c r="P208" s="60" t="s">
        <v>275</v>
      </c>
      <c r="Q208" s="62" t="n">
        <v>15</v>
      </c>
      <c r="R208" s="65" t="n">
        <f aca="false">IF(CA208=1,0,IFERROR(VLOOKUP(BY208,'Gebinde-Kategorie'!$A$5:$N$45,13,0)+0,0))</f>
        <v>26</v>
      </c>
      <c r="S208" s="66"/>
      <c r="T208" s="67"/>
      <c r="U208" s="67"/>
      <c r="V208" s="67"/>
      <c r="W208" s="60"/>
      <c r="X208" s="62"/>
      <c r="Y208" s="62"/>
      <c r="Z208" s="60" t="n">
        <v>3</v>
      </c>
      <c r="AA208" s="60" t="n">
        <f aca="false">IF(A208="","",IF(AND(Parameter!$B$21="Ja",ISNUMBER(W208)),W208,IF(AND(Parameter!$E$27="Ja",ISNUMBER(Z208),CD208&lt;&gt;"Nein"),Z208,IF(CD208="2+3",IF(ISNUMBER(SEARCH("grosser Artikel",BV208)),2,IFERROR(VLOOKUP(BY208,Parameter!$F$35:$G$64,2,0),2)),IF(OR(CD208="Nein",CD208=""),"-",CD208)))))</f>
        <v>3</v>
      </c>
      <c r="AB208" s="67"/>
      <c r="AC208" s="68"/>
      <c r="AD208" s="62" t="n">
        <f aca="false">AW208</f>
        <v>5</v>
      </c>
      <c r="AE208" s="62" t="n">
        <f aca="false">MAX(AW208,H208)</f>
        <v>34</v>
      </c>
      <c r="AF208" s="69"/>
      <c r="AG208" s="62" t="n">
        <f aca="false">IF(LEFT(Cockpit!$C$5,1)="A",H208,IF(Parameter!$E$30="MAX-Bestand",IF(CI208=1,CJ208,IF(LEFT(Cockpit!$C$5,1)="B",AM208,MAX(AM208,H208))),ROUNDUP(AK208,0)))</f>
        <v>34</v>
      </c>
      <c r="AH208" s="62" t="n">
        <f aca="false">IF(CA208=1,0,ROUNDUP(AG208/BZ208,0))</f>
        <v>3</v>
      </c>
      <c r="AI208" s="64" t="n">
        <f aca="false">IF(CR208&gt;0,CR208*MAX(1,AG208/X208),IF(CA208=1,IF(AG208&lt;=0,0,CE208*MAX(1,IF(H208&gt;0,AG208/H208,1))),IF(R208&gt;0,AH208/R208,0))/MAX(0.1,N(Parameter!$M$21)))</f>
        <v>0.115384615384615</v>
      </c>
      <c r="AJ208" s="62" t="n">
        <f aca="false">AI208*CC208</f>
        <v>28.2692307692308</v>
      </c>
      <c r="AK208" s="63" t="n">
        <f aca="false">IF(LEFT(Cockpit!$C$5,1)="A",H208,IF(CI208=1,(CL208+CJ208)/2,IF(LEFT(Cockpit!$C$5,1)="B",(CL208+AM208)/2,MAX((CL208+AM208)/2,H208))))</f>
        <v>34</v>
      </c>
      <c r="AL208" s="62" t="n">
        <f aca="false">AK208*G208</f>
        <v>2281.06</v>
      </c>
      <c r="AM208" s="62" t="n">
        <f aca="false">ROUNDUP(CL208+MAX(CM208,2*(J208/IF(CH208&gt;0,CH208,MAX(0.1,N(Cockpit!$C$6)))-CL208)),0)</f>
        <v>5</v>
      </c>
      <c r="AN208" s="63" t="n">
        <f aca="false">IF(AJ208&gt;0,J208/AJ208,-1)</f>
        <v>0.141496598639456</v>
      </c>
      <c r="AO208" s="63" t="n">
        <f aca="false">IF(AND(OR(CG208="L1",CG208="L23",CG208="LIFT"),AJ208&gt;0),SUMIFS($AJ$7:$AJ$1843,$CG$7:$CG$1843,CG208,$AN$7:$AN$1843,"&gt;"&amp;AN208)+SUMIFS($AJ$7:$AJ$1843,$CG$7:$CG$1843,CG208,$AN$7:$AN$1843,AN208,$BX$7:$BX$1843,"&lt;="&amp;BX208),"")</f>
        <v>13152.842695205</v>
      </c>
      <c r="AP208" s="70" t="n">
        <f aca="false">IF(AO208="",0,MAX(0,MIN(1,(IF(CG208="L1",Parameter!$H$5,IF(CG208="L23",Parameter!$H$6+Parameter!$H$7,Parameter!$H$5+Parameter!$H$6+Parameter!$H$7))-(AO208-AJ208))/AJ208)))</f>
        <v>1</v>
      </c>
      <c r="AQ208" s="62" t="n">
        <f aca="false">IF(LEFT(Cockpit!$I$5,1)="A",H208,IF(Parameter!$E$30="MAX-Bestand",IF(CI208=1,CJ208,IF(LEFT(Cockpit!$I$5,1)="B",AW208,MAX(AW208,H208))),ROUNDUP(AU208,0)))</f>
        <v>34</v>
      </c>
      <c r="AR208" s="62" t="n">
        <f aca="false">IF(CA208=1,0,ROUNDUP(AQ208/BZ208,0))</f>
        <v>3</v>
      </c>
      <c r="AS208" s="64" t="n">
        <f aca="false">IF(CR208&gt;0,CR208*MAX(1,AQ208/X208),IF(CA208=1,IF(AQ208&lt;=0,0,CE208*MAX(1,IF(H208&gt;0,AQ208/H208,1))),IF(R208&gt;0,AR208/R208,0))/MAX(0.1,N(Parameter!$M$21)))</f>
        <v>0.115384615384615</v>
      </c>
      <c r="AT208" s="62" t="n">
        <f aca="false">AS208*CC208</f>
        <v>28.2692307692308</v>
      </c>
      <c r="AU208" s="63" t="n">
        <f aca="false">IF(LEFT(Cockpit!$I$5,1)="A",H208,IF(CI208=1,(CL208+CJ208)/2,IF(LEFT(Cockpit!$I$5,1)="B",(CL208+AW208)/2,MAX((CL208+AW208)/2,H208))))</f>
        <v>34</v>
      </c>
      <c r="AV208" s="62" t="n">
        <f aca="false">AU208*G208</f>
        <v>2281.06</v>
      </c>
      <c r="AW208" s="62" t="n">
        <f aca="false">ROUNDUP(CL208+MAX(CM208,2*(J208/IF(CH208&gt;0,CH208,MAX(0.1,N(Cockpit!$I$6)))-CL208)),0)</f>
        <v>5</v>
      </c>
      <c r="AX208" s="63" t="n">
        <f aca="false">IF(AT208&gt;0,J208/AT208,-1)</f>
        <v>0.141496598639456</v>
      </c>
      <c r="AY208" s="63" t="n">
        <f aca="false">IF(AND(OR(CG208="L1",CG208="L23",CG208="LIFT"),AT208&gt;0),SUMIFS($AT$7:$AT$1843,$CG$7:$CG$1843,CG208,$AX$7:$AX$1843,"&gt;"&amp;AX208)+SUMIFS($AT$7:$AT$1843,$CG$7:$CG$1843,CG208,$AX$7:$AX$1843,AX208,$BX$7:$BX$1843,"&lt;="&amp;BX208),"")</f>
        <v>17177.2413365824</v>
      </c>
      <c r="AZ208" s="70" t="n">
        <f aca="false">IF(AY208="",0,MAX(0,MIN(1,(IF(CG208="L1",Parameter!$H$5,IF(CG208="L23",Parameter!$H$6+Parameter!$H$7,Parameter!$H$5+Parameter!$H$6+Parameter!$H$7))-(AY208-AT208))/AT208)))</f>
        <v>1</v>
      </c>
      <c r="BA208" s="62" t="n">
        <f aca="false">IF(LEFT(Cockpit!$O$5,1)="A",H208,IF(Parameter!$E$30="MAX-Bestand",IF(CI208=1,CJ208,IF(LEFT(Cockpit!$O$5,1)="B",BG208,MAX(BG208,H208))),ROUNDUP(BE208,0)))</f>
        <v>3</v>
      </c>
      <c r="BB208" s="62" t="n">
        <f aca="false">IF(CA208=1,0,ROUNDUP(BA208/BZ208,0))</f>
        <v>1</v>
      </c>
      <c r="BC208" s="64" t="n">
        <f aca="false">IF(CR208&gt;0,CR208*MAX(1,BA208/X208),IF(CA208=1,IF(BA208&lt;=0,0,CE208*MAX(1,IF(H208&gt;0,BA208/H208,1))),IF(R208&gt;0,BB208/R208,0))/MAX(0.1,N(Parameter!$M$21)))</f>
        <v>0.0384615384615385</v>
      </c>
      <c r="BD208" s="62" t="n">
        <f aca="false">BC208*CC208</f>
        <v>9.42307692307692</v>
      </c>
      <c r="BE208" s="63" t="n">
        <f aca="false">IF(LEFT(Cockpit!$O$5,1)="A",H208,IF(CI208=1,(CL208+CJ208)/2,IF(LEFT(Cockpit!$O$5,1)="B",(CL208+BG208)/2,MAX((CL208+BG208)/2,H208))))</f>
        <v>2.5</v>
      </c>
      <c r="BF208" s="62" t="n">
        <f aca="false">BE208*G208</f>
        <v>167.725</v>
      </c>
      <c r="BG208" s="62" t="n">
        <f aca="false">ROUNDUP(CL208+MAX(CM208,2*(J208/IF(CH208&gt;0,CH208,MAX(0.1,N(Cockpit!$O$6)))-CL208)),0)</f>
        <v>5</v>
      </c>
      <c r="BH208" s="63" t="n">
        <f aca="false">IF(BD208&gt;0,J208/BD208,-1)</f>
        <v>0.424489795918367</v>
      </c>
      <c r="BI208" s="63" t="n">
        <f aca="false">IF(AND(OR(CG208="L1",CG208="L23",CG208="LIFT"),BD208&gt;0),SUMIFS($BD$7:$BD$1843,$CG$7:$CG$1843,CG208,$BH$7:$BH$1843,"&gt;"&amp;BH208)+SUMIFS($BD$7:$BD$1843,$CG$7:$CG$1843,CG208,$BH$7:$BH$1843,BH208,$BX$7:$BX$1843,"&lt;="&amp;BX208),"")</f>
        <v>10606.4363553114</v>
      </c>
      <c r="BJ208" s="70" t="n">
        <f aca="false">IF(BI208="",0,MAX(0,MIN(1,(IF(CG208="L1",Parameter!$H$5,IF(CG208="L23",Parameter!$H$6+Parameter!$H$7,Parameter!$H$5+Parameter!$H$6+Parameter!$H$7))-(BI208-BD208))/BD208)))</f>
        <v>1</v>
      </c>
      <c r="BK208" s="60" t="str">
        <f aca="false">IF(AJ208&lt;=0,"",IF(CG208="Aussen","Aussenlager",IF(CG208="-","Nicht im Lift",IF(AP208&gt;=1,"Lift",IF(AP208&lt;=0,"Aussenlager","teilweise")))))</f>
        <v>Lift</v>
      </c>
      <c r="BL208" s="60" t="str">
        <f aca="false">IF(AT208&lt;=0,"",IF(CG208="Aussen","Aussenlager",IF(CG208="-","Nicht im Lift",IF(AZ208&gt;=1,"Lift",IF(AZ208&lt;=0,"Aussenlager","teilweise")))))</f>
        <v>Lift</v>
      </c>
      <c r="BM208" s="60" t="str">
        <f aca="false">IF(BD208&lt;=0,"",IF(CG208="Aussen","Aussenlager",IF(CG208="-","Nicht im Lift",IF(BJ208&gt;=1,"Lift",IF(BJ208&lt;=0,"Aussenlager","teilweise")))))</f>
        <v>Lift</v>
      </c>
      <c r="BN208" s="60" t="str">
        <f aca="false">IF(A208="","",IF(BW208=1,"Neu; ","")&amp;IF(AND(BW208=0,BR208&lt;0),"negativer Bestand (Export "&amp;BR208&amp;"); ","")&amp;IF(J208&lt;=0,"Kein Verbrauch; ","")&amp;IF(CR208&gt;0,"Lift "&amp;W208&amp;" lt. Liftbericht (Fach "&amp;X208&amp;" Stk); ",IF(CB208=1,"Gebinde geschätzt ("&amp;T208&amp;"); ",IF(CA208=1,"Lose – Tablare geschätzt; ","")))&amp;IF(H208&gt;AW208,"Überbestand "&amp;ROUND(H208-AW208,0)&amp;" Stk / CHF "&amp;ROUND((H208-AW208)*G208,0)&amp;"; ","")&amp;IF(AND(CI208=1,CJ208&lt;CK208),"MAX &lt; MB+LG; ","")&amp;IF(AND(CQ208&gt;0,CP208*10&gt;CQ208),"zu hoch für Tablar; ","")&amp;IF(AND(BW208=0,OR(CI208=1,AB208&lt;&gt;"",U208&lt;&gt;"",V208&lt;&gt;"",AC208&lt;&gt;"")),"manuell übersteuert; ","")&amp;IF(AND(CA208=0,R208=0),"Gebinde unbekannt / Stellmass fehlt; ","")&amp;IF(AND(CA208=0,N(V208)&lt;=0,N(Q208)&lt;=0),"Menge pro Gebinde fehlt (Ist = 1 Gebinde); ","")&amp;BV208)</f>
        <v>Überbestand 29 Stk / CHF 1946; </v>
      </c>
      <c r="BO208" s="60"/>
      <c r="BP208" s="60"/>
      <c r="BQ208" s="67"/>
      <c r="BR208" s="62" t="n">
        <v>11</v>
      </c>
      <c r="BS208" s="62" t="n">
        <v>23</v>
      </c>
      <c r="BT208" s="61" t="n">
        <v>740.99</v>
      </c>
      <c r="BU208" s="62" t="n">
        <v>4</v>
      </c>
      <c r="BV208" s="60"/>
      <c r="BW208" s="65" t="n">
        <v>0</v>
      </c>
      <c r="BX208" s="65" t="n">
        <v>208</v>
      </c>
      <c r="BY208" s="60" t="str">
        <f aca="false">IF(U208&lt;&gt;"",UPPER(TRIM(U208)),IF(CB208=1,UPPER(VLOOKUP(T208,Parameter!$I$27:$K$29,2,0)),IF(P208="","LOSE",P208)))</f>
        <v>S52</v>
      </c>
      <c r="BZ208" s="62" t="n">
        <f aca="false">IF(BY208="LOSE",1,IF(N(V208)&gt;0,V208,IF(CB208=1,MAX(1,N(VLOOKUP(T208,Parameter!$I$27:$K$29,3,0)),H208,N(N208)),IF(N(Q208)&gt;0,Q208,MAX(1,H208)))))</f>
        <v>15</v>
      </c>
      <c r="CA208" s="65" t="n">
        <f aca="false">IF(BY208="LOSE",1,0)</f>
        <v>0</v>
      </c>
      <c r="CB208" s="65" t="n">
        <f aca="false">IF(AND(U208="",OR(P208="",P208="LOSE"),T208&lt;&gt;"",N(S208)&lt;=0,ISNUMBER(MATCH(T208,Parameter!$I$27:$I$29,0))),1,0)</f>
        <v>0</v>
      </c>
      <c r="CC208" s="65" t="n">
        <f aca="false">IF(CR208&gt;0,INDEX(Parameter!$H$5:$H$7,W208)/INDEX(Parameter!$E$5:$E$7,W208),IF(AND(CA208=0,N(IFERROR(VLOOKUP(BY208,'Gebinde-Kategorie'!$A$5:$N$45,14,0),0))&gt;0),VLOOKUP(BY208,'Gebinde-Kategorie'!$A$5:$N$45,14,0)*10+Parameter!$M$23,Parameter!$M$24))</f>
        <v>245</v>
      </c>
      <c r="CD208" s="60" t="str">
        <f aca="false">IF(AND(Parameter!$B$19="Ja",E208&lt;&gt;"",ISNUMBER(MATCH(E208,Parameter!$I$35:$I$52,0))),VLOOKUP(E208,Parameter!$I$35:$J$52,2,0),IFERROR(VLOOKUP(D208,Parameter!$A$35:$C$64,2,0),"Nein"))</f>
        <v>2+3</v>
      </c>
      <c r="CE208" s="64" t="n">
        <f aca="false">IF(CA208=0,0,IF(N(S208)&gt;0,S208,IFERROR(VLOOKUP(D208,Parameter!$A$35:$C$64,3,0)+0,0)))</f>
        <v>0</v>
      </c>
      <c r="CF208" s="60" t="n">
        <f aca="false">IF(AB208&lt;&gt;"",AB208,AA208)</f>
        <v>3</v>
      </c>
      <c r="CG208" s="60" t="str">
        <f aca="false">IF(OR(CF208=1,CF208=2,CF208=3),IF(Parameter!$E$27="Ja","LIFT",IF(CF208=1,"L1","L23")),IF(CF208="Aussen","Aussen","-"))</f>
        <v>LIFT</v>
      </c>
      <c r="CH208" s="71" t="n">
        <f aca="false">IF(N(AC208)&gt;0,AC208,0)</f>
        <v>0</v>
      </c>
      <c r="CI208" s="65" t="n">
        <f aca="false">IF(ISNUMBER(AF208),1,0)</f>
        <v>0</v>
      </c>
      <c r="CJ208" s="62" t="n">
        <f aca="false">N(AF208)</f>
        <v>0</v>
      </c>
      <c r="CK208" s="62" t="n">
        <f aca="false">N(M208)+N(N208)</f>
        <v>5</v>
      </c>
      <c r="CL208" s="62" t="n">
        <f aca="false">N(M208)</f>
        <v>0</v>
      </c>
      <c r="CM208" s="62" t="n">
        <f aca="false">N(N208)</f>
        <v>5</v>
      </c>
      <c r="CN208" s="62" t="n">
        <f aca="false">ROUNDUP(H208/BZ208,0)</f>
        <v>3</v>
      </c>
      <c r="CO208" s="62" t="n">
        <f aca="false">ROUNDUP(CJ208/BZ208,0)</f>
        <v>0</v>
      </c>
      <c r="CP208" s="65" t="n">
        <f aca="false">IF(CA208=1,0,IFERROR(VLOOKUP(BY208,'Gebinde-Kategorie'!$A$5:$N$45,5,0)+0,0))</f>
        <v>21</v>
      </c>
      <c r="CQ208" s="65" t="n">
        <f aca="false">IFERROR(IF(OR(CF208=1,CF208=2,CF208=3),N(INDEX(Parameter!$I$5:$I$7,CF208)),0),0)</f>
        <v>0</v>
      </c>
      <c r="CR208" s="64" t="n">
        <f aca="false">IF(AND(Parameter!$B$21="Ja",ISNUMBER(W208),N(X208)&gt;0),IFERROR(N(INDEX(Parameter!$L$5:$L$7,W208))*INDEX(Parameter!$E$5:$E$7,W208)*X208/SUMIFS($X$7:$X$1843,$W$7:$W$1843,W208),0),0)</f>
        <v>0</v>
      </c>
      <c r="CS208" s="62" t="n">
        <f aca="false">IF(AND(OR(CG208="L1",CG208="L23",CG208="LIFT"),H208&gt;0),CC208*IF(CR208&gt;0,CR208*MAX(1,H208/X208),IF(CA208=1,CE208,IF(R208&gt;0,CN208/R208,0))/MAX(0.1,N(Parameter!$M$21))),"")</f>
        <v>28.2692307692308</v>
      </c>
      <c r="CT208" s="64" t="n">
        <f aca="false">IF(CS208="","",J208/H208)</f>
        <v>0.117647058823529</v>
      </c>
      <c r="CU208" s="62" t="n">
        <f aca="false">IF(CS208="","",H208*G208)</f>
        <v>2281.06</v>
      </c>
      <c r="CV208" s="63" t="n">
        <f aca="false">IF(CS208="","",(CL208+ROUNDUP(CL208+MAX(CM208,2*(J208/MAX(0.1,N(Einkauf!$C$6))-CL208)),0))/2)</f>
        <v>2.5</v>
      </c>
      <c r="CW208" s="62" t="n">
        <f aca="false">IF(CS208="","",MAX(0,H208-CV208)*G208)</f>
        <v>2113.335</v>
      </c>
      <c r="CX208" s="62" t="n">
        <f aca="false">IF(CS208="","",CS208*MAX(0,1-CV208/H208))</f>
        <v>26.1906108597285</v>
      </c>
      <c r="CY208" s="64" t="n">
        <f aca="false">IF(CS208="","",PERCENTRANK($CS$7:$CS$1843,CS208)+PERCENTRANK($CU$7:$CU$1843,CU208)+1-PERCENTRANK($CT$7:$CT$1843,CT208))</f>
        <v>2.177</v>
      </c>
      <c r="CZ208" s="72" t="n">
        <f aca="false">IF(CS208="","",CHOOSE(MATCH(Einkauf!$C$5,Parameter!$G$23:$G$27,0),CY208,CS208,CU208,-CT208,CW208)+ROW()/1000000000)</f>
        <v>2.177000208</v>
      </c>
    </row>
    <row r="209" customFormat="false" ht="15" hidden="false" customHeight="false" outlineLevel="0" collapsed="false">
      <c r="A209" s="60" t="s">
        <v>658</v>
      </c>
      <c r="B209" s="60" t="s">
        <v>531</v>
      </c>
      <c r="C209" s="60" t="s">
        <v>206</v>
      </c>
      <c r="D209" s="60" t="s">
        <v>226</v>
      </c>
      <c r="E209" s="60" t="s">
        <v>227</v>
      </c>
      <c r="F209" s="60" t="s">
        <v>260</v>
      </c>
      <c r="G209" s="61" t="n">
        <v>14.7</v>
      </c>
      <c r="H209" s="62" t="n">
        <f aca="false">MAX(0,IF(AND(Parameter!$B$21="Ja",ISNUMBER(Y209)),Y209,IF(Parameter!$B$20="Jahresanfang 2025 + Export",BS209+BR209,BR209)))</f>
        <v>136</v>
      </c>
      <c r="I209" s="62" t="n">
        <f aca="false">H209*G209</f>
        <v>1999.2</v>
      </c>
      <c r="J209" s="62" t="n">
        <f aca="false">BU209*Parameter!$B$18</f>
        <v>318</v>
      </c>
      <c r="K209" s="63" t="n">
        <v>76</v>
      </c>
      <c r="L209" s="64" t="n">
        <v>4.18421052631579</v>
      </c>
      <c r="M209" s="62" t="n">
        <v>10</v>
      </c>
      <c r="N209" s="62" t="n">
        <v>225</v>
      </c>
      <c r="O209" s="65" t="n">
        <v>7</v>
      </c>
      <c r="P209" s="60" t="s">
        <v>344</v>
      </c>
      <c r="Q209" s="62" t="n">
        <v>60</v>
      </c>
      <c r="R209" s="65" t="n">
        <f aca="false">IF(CA209=1,0,IFERROR(VLOOKUP(BY209,'Gebinde-Kategorie'!$A$5:$N$45,13,0)+0,0))</f>
        <v>26</v>
      </c>
      <c r="S209" s="66"/>
      <c r="T209" s="67"/>
      <c r="U209" s="67"/>
      <c r="V209" s="67"/>
      <c r="W209" s="60"/>
      <c r="X209" s="62"/>
      <c r="Y209" s="62"/>
      <c r="Z209" s="60" t="n">
        <v>3</v>
      </c>
      <c r="AA209" s="60" t="n">
        <f aca="false">IF(A209="","",IF(AND(Parameter!$B$21="Ja",ISNUMBER(W209)),W209,IF(AND(Parameter!$E$27="Ja",ISNUMBER(Z209),CD209&lt;&gt;"Nein"),Z209,IF(CD209="2+3",IF(ISNUMBER(SEARCH("grosser Artikel",BV209)),2,IFERROR(VLOOKUP(BY209,Parameter!$F$35:$G$64,2,0),2)),IF(OR(CD209="Nein",CD209=""),"-",CD209)))))</f>
        <v>3</v>
      </c>
      <c r="AB209" s="67"/>
      <c r="AC209" s="68"/>
      <c r="AD209" s="62" t="n">
        <f aca="false">AW209</f>
        <v>235</v>
      </c>
      <c r="AE209" s="62" t="n">
        <f aca="false">MAX(AW209,H209)</f>
        <v>235</v>
      </c>
      <c r="AF209" s="69"/>
      <c r="AG209" s="62" t="n">
        <f aca="false">IF(LEFT(Cockpit!$C$5,1)="A",H209,IF(Parameter!$E$30="MAX-Bestand",IF(CI209=1,CJ209,IF(LEFT(Cockpit!$C$5,1)="B",AM209,MAX(AM209,H209))),ROUNDUP(AK209,0)))</f>
        <v>136</v>
      </c>
      <c r="AH209" s="62" t="n">
        <f aca="false">IF(CA209=1,0,ROUNDUP(AG209/BZ209,0))</f>
        <v>3</v>
      </c>
      <c r="AI209" s="64" t="n">
        <f aca="false">IF(CR209&gt;0,CR209*MAX(1,AG209/X209),IF(CA209=1,IF(AG209&lt;=0,0,CE209*MAX(1,IF(H209&gt;0,AG209/H209,1))),IF(R209&gt;0,AH209/R209,0))/MAX(0.1,N(Parameter!$M$21)))</f>
        <v>0.115384615384615</v>
      </c>
      <c r="AJ209" s="62" t="n">
        <f aca="false">AI209*CC209</f>
        <v>17.8846153846154</v>
      </c>
      <c r="AK209" s="63" t="n">
        <f aca="false">IF(LEFT(Cockpit!$C$5,1)="A",H209,IF(CI209=1,(CL209+CJ209)/2,IF(LEFT(Cockpit!$C$5,1)="B",(CL209+AM209)/2,MAX((CL209+AM209)/2,H209))))</f>
        <v>136</v>
      </c>
      <c r="AL209" s="62" t="n">
        <f aca="false">AK209*G209</f>
        <v>1999.2</v>
      </c>
      <c r="AM209" s="62" t="n">
        <f aca="false">ROUNDUP(CL209+MAX(CM209,2*(J209/IF(CH209&gt;0,CH209,MAX(0.1,N(Cockpit!$C$6)))-CL209)),0)</f>
        <v>235</v>
      </c>
      <c r="AN209" s="63" t="n">
        <f aca="false">IF(AJ209&gt;0,J209/AJ209,-1)</f>
        <v>17.7806451612903</v>
      </c>
      <c r="AO209" s="63" t="n">
        <f aca="false">IF(AND(OR(CG209="L1",CG209="L23",CG209="LIFT"),AJ209&gt;0),SUMIFS($AJ$7:$AJ$1843,$CG$7:$CG$1843,CG209,$AN$7:$AN$1843,"&gt;"&amp;AN209)+SUMIFS($AJ$7:$AJ$1843,$CG$7:$CG$1843,CG209,$AN$7:$AN$1843,AN209,$BX$7:$BX$1843,"&lt;="&amp;BX209),"")</f>
        <v>1916.73672161172</v>
      </c>
      <c r="AP209" s="70" t="n">
        <f aca="false">IF(AO209="",0,MAX(0,MIN(1,(IF(CG209="L1",Parameter!$H$5,IF(CG209="L23",Parameter!$H$6+Parameter!$H$7,Parameter!$H$5+Parameter!$H$6+Parameter!$H$7))-(AO209-AJ209))/AJ209)))</f>
        <v>1</v>
      </c>
      <c r="AQ209" s="62" t="n">
        <f aca="false">IF(LEFT(Cockpit!$I$5,1)="A",H209,IF(Parameter!$E$30="MAX-Bestand",IF(CI209=1,CJ209,IF(LEFT(Cockpit!$I$5,1)="B",AW209,MAX(AW209,H209))),ROUNDUP(AU209,0)))</f>
        <v>136</v>
      </c>
      <c r="AR209" s="62" t="n">
        <f aca="false">IF(CA209=1,0,ROUNDUP(AQ209/BZ209,0))</f>
        <v>3</v>
      </c>
      <c r="AS209" s="64" t="n">
        <f aca="false">IF(CR209&gt;0,CR209*MAX(1,AQ209/X209),IF(CA209=1,IF(AQ209&lt;=0,0,CE209*MAX(1,IF(H209&gt;0,AQ209/H209,1))),IF(R209&gt;0,AR209/R209,0))/MAX(0.1,N(Parameter!$M$21)))</f>
        <v>0.115384615384615</v>
      </c>
      <c r="AT209" s="62" t="n">
        <f aca="false">AS209*CC209</f>
        <v>17.8846153846154</v>
      </c>
      <c r="AU209" s="63" t="n">
        <f aca="false">IF(LEFT(Cockpit!$I$5,1)="A",H209,IF(CI209=1,(CL209+CJ209)/2,IF(LEFT(Cockpit!$I$5,1)="B",(CL209+AW209)/2,MAX((CL209+AW209)/2,H209))))</f>
        <v>136</v>
      </c>
      <c r="AV209" s="62" t="n">
        <f aca="false">AU209*G209</f>
        <v>1999.2</v>
      </c>
      <c r="AW209" s="62" t="n">
        <f aca="false">ROUNDUP(CL209+MAX(CM209,2*(J209/IF(CH209&gt;0,CH209,MAX(0.1,N(Cockpit!$I$6)))-CL209)),0)</f>
        <v>235</v>
      </c>
      <c r="AX209" s="63" t="n">
        <f aca="false">IF(AT209&gt;0,J209/AT209,-1)</f>
        <v>17.7806451612903</v>
      </c>
      <c r="AY209" s="63" t="n">
        <f aca="false">IF(AND(OR(CG209="L1",CG209="L23",CG209="LIFT"),AT209&gt;0),SUMIFS($AT$7:$AT$1843,$CG$7:$CG$1843,CG209,$AX$7:$AX$1843,"&gt;"&amp;AX209)+SUMIFS($AT$7:$AT$1843,$CG$7:$CG$1843,CG209,$AX$7:$AX$1843,AX209,$BX$7:$BX$1843,"&lt;="&amp;BX209),"")</f>
        <v>2553.8576007326</v>
      </c>
      <c r="AZ209" s="70" t="n">
        <f aca="false">IF(AY209="",0,MAX(0,MIN(1,(IF(CG209="L1",Parameter!$H$5,IF(CG209="L23",Parameter!$H$6+Parameter!$H$7,Parameter!$H$5+Parameter!$H$6+Parameter!$H$7))-(AY209-AT209))/AT209)))</f>
        <v>1</v>
      </c>
      <c r="BA209" s="62" t="n">
        <f aca="false">IF(LEFT(Cockpit!$O$5,1)="A",H209,IF(Parameter!$E$30="MAX-Bestand",IF(CI209=1,CJ209,IF(LEFT(Cockpit!$O$5,1)="B",BG209,MAX(BG209,H209))),ROUNDUP(BE209,0)))</f>
        <v>123</v>
      </c>
      <c r="BB209" s="62" t="n">
        <f aca="false">IF(CA209=1,0,ROUNDUP(BA209/BZ209,0))</f>
        <v>3</v>
      </c>
      <c r="BC209" s="64" t="n">
        <f aca="false">IF(CR209&gt;0,CR209*MAX(1,BA209/X209),IF(CA209=1,IF(BA209&lt;=0,0,CE209*MAX(1,IF(H209&gt;0,BA209/H209,1))),IF(R209&gt;0,BB209/R209,0))/MAX(0.1,N(Parameter!$M$21)))</f>
        <v>0.115384615384615</v>
      </c>
      <c r="BD209" s="62" t="n">
        <f aca="false">BC209*CC209</f>
        <v>17.8846153846154</v>
      </c>
      <c r="BE209" s="63" t="n">
        <f aca="false">IF(LEFT(Cockpit!$O$5,1)="A",H209,IF(CI209=1,(CL209+CJ209)/2,IF(LEFT(Cockpit!$O$5,1)="B",(CL209+BG209)/2,MAX((CL209+BG209)/2,H209))))</f>
        <v>122.5</v>
      </c>
      <c r="BF209" s="62" t="n">
        <f aca="false">BE209*G209</f>
        <v>1800.75</v>
      </c>
      <c r="BG209" s="62" t="n">
        <f aca="false">ROUNDUP(CL209+MAX(CM209,2*(J209/IF(CH209&gt;0,CH209,MAX(0.1,N(Cockpit!$O$6)))-CL209)),0)</f>
        <v>235</v>
      </c>
      <c r="BH209" s="63" t="n">
        <f aca="false">IF(BD209&gt;0,J209/BD209,-1)</f>
        <v>17.7806451612903</v>
      </c>
      <c r="BI209" s="63" t="n">
        <f aca="false">IF(AND(OR(CG209="L1",CG209="L23",CG209="LIFT"),BD209&gt;0),SUMIFS($BD$7:$BD$1843,$CG$7:$CG$1843,CG209,$BH$7:$BH$1843,"&gt;"&amp;BH209)+SUMIFS($BD$7:$BD$1843,$CG$7:$CG$1843,CG209,$BH$7:$BH$1843,BH209,$BX$7:$BX$1843,"&lt;="&amp;BX209),"")</f>
        <v>2318.35164835165</v>
      </c>
      <c r="BJ209" s="70" t="n">
        <f aca="false">IF(BI209="",0,MAX(0,MIN(1,(IF(CG209="L1",Parameter!$H$5,IF(CG209="L23",Parameter!$H$6+Parameter!$H$7,Parameter!$H$5+Parameter!$H$6+Parameter!$H$7))-(BI209-BD209))/BD209)))</f>
        <v>1</v>
      </c>
      <c r="BK209" s="60" t="str">
        <f aca="false">IF(AJ209&lt;=0,"",IF(CG209="Aussen","Aussenlager",IF(CG209="-","Nicht im Lift",IF(AP209&gt;=1,"Lift",IF(AP209&lt;=0,"Aussenlager","teilweise")))))</f>
        <v>Lift</v>
      </c>
      <c r="BL209" s="60" t="str">
        <f aca="false">IF(AT209&lt;=0,"",IF(CG209="Aussen","Aussenlager",IF(CG209="-","Nicht im Lift",IF(AZ209&gt;=1,"Lift",IF(AZ209&lt;=0,"Aussenlager","teilweise")))))</f>
        <v>Lift</v>
      </c>
      <c r="BM209" s="60" t="str">
        <f aca="false">IF(BD209&lt;=0,"",IF(CG209="Aussen","Aussenlager",IF(CG209="-","Nicht im Lift",IF(BJ209&gt;=1,"Lift",IF(BJ209&lt;=0,"Aussenlager","teilweise")))))</f>
        <v>Lift</v>
      </c>
      <c r="BN209" s="60" t="str">
        <f aca="false">IF(A209="","",IF(BW209=1,"Neu; ","")&amp;IF(AND(BW209=0,BR209&lt;0),"negativer Bestand (Export "&amp;BR209&amp;"); ","")&amp;IF(J209&lt;=0,"Kein Verbrauch; ","")&amp;IF(CR209&gt;0,"Lift "&amp;W209&amp;" lt. Liftbericht (Fach "&amp;X209&amp;" Stk); ",IF(CB209=1,"Gebinde geschätzt ("&amp;T209&amp;"); ",IF(CA209=1,"Lose – Tablare geschätzt; ","")))&amp;IF(H209&gt;AW209,"Überbestand "&amp;ROUND(H209-AW209,0)&amp;" Stk / CHF "&amp;ROUND((H209-AW209)*G209,0)&amp;"; ","")&amp;IF(AND(CI209=1,CJ209&lt;CK209),"MAX &lt; MB+LG; ","")&amp;IF(AND(CQ209&gt;0,CP209*10&gt;CQ209),"zu hoch für Tablar; ","")&amp;IF(AND(BW209=0,OR(CI209=1,AB209&lt;&gt;"",U209&lt;&gt;"",V209&lt;&gt;"",AC209&lt;&gt;"")),"manuell übersteuert; ","")&amp;IF(AND(CA209=0,R209=0),"Gebinde unbekannt / Stellmass fehlt; ","")&amp;IF(AND(CA209=0,N(V209)&lt;=0,N(Q209)&lt;=0),"Menge pro Gebinde fehlt (Ist = 1 Gebinde); ","")&amp;BV209)</f>
        <v/>
      </c>
      <c r="BO209" s="60"/>
      <c r="BP209" s="60"/>
      <c r="BQ209" s="67"/>
      <c r="BR209" s="62" t="n">
        <v>52</v>
      </c>
      <c r="BS209" s="62" t="n">
        <v>84</v>
      </c>
      <c r="BT209" s="61" t="n">
        <v>740.079999999999</v>
      </c>
      <c r="BU209" s="62" t="n">
        <v>318</v>
      </c>
      <c r="BV209" s="60"/>
      <c r="BW209" s="65" t="n">
        <v>0</v>
      </c>
      <c r="BX209" s="65" t="n">
        <v>209</v>
      </c>
      <c r="BY209" s="60" t="str">
        <f aca="false">IF(U209&lt;&gt;"",UPPER(TRIM(U209)),IF(CB209=1,UPPER(VLOOKUP(T209,Parameter!$I$27:$K$29,2,0)),IF(P209="","LOSE",P209)))</f>
        <v>S51</v>
      </c>
      <c r="BZ209" s="62" t="n">
        <f aca="false">IF(BY209="LOSE",1,IF(N(V209)&gt;0,V209,IF(CB209=1,MAX(1,N(VLOOKUP(T209,Parameter!$I$27:$K$29,3,0)),H209,N(N209)),IF(N(Q209)&gt;0,Q209,MAX(1,H209)))))</f>
        <v>60</v>
      </c>
      <c r="CA209" s="65" t="n">
        <f aca="false">IF(BY209="LOSE",1,0)</f>
        <v>0</v>
      </c>
      <c r="CB209" s="65" t="n">
        <f aca="false">IF(AND(U209="",OR(P209="",P209="LOSE"),T209&lt;&gt;"",N(S209)&lt;=0,ISNUMBER(MATCH(T209,Parameter!$I$27:$I$29,0))),1,0)</f>
        <v>0</v>
      </c>
      <c r="CC209" s="65" t="n">
        <f aca="false">IF(CR209&gt;0,INDEX(Parameter!$H$5:$H$7,W209)/INDEX(Parameter!$E$5:$E$7,W209),IF(AND(CA209=0,N(IFERROR(VLOOKUP(BY209,'Gebinde-Kategorie'!$A$5:$N$45,14,0),0))&gt;0),VLOOKUP(BY209,'Gebinde-Kategorie'!$A$5:$N$45,14,0)*10+Parameter!$M$23,Parameter!$M$24))</f>
        <v>155</v>
      </c>
      <c r="CD209" s="60" t="str">
        <f aca="false">IF(AND(Parameter!$B$19="Ja",E209&lt;&gt;"",ISNUMBER(MATCH(E209,Parameter!$I$35:$I$52,0))),VLOOKUP(E209,Parameter!$I$35:$J$52,2,0),IFERROR(VLOOKUP(D209,Parameter!$A$35:$C$64,2,0),"Nein"))</f>
        <v>2+3</v>
      </c>
      <c r="CE209" s="64" t="n">
        <f aca="false">IF(CA209=0,0,IF(N(S209)&gt;0,S209,IFERROR(VLOOKUP(D209,Parameter!$A$35:$C$64,3,0)+0,0)))</f>
        <v>0</v>
      </c>
      <c r="CF209" s="60" t="n">
        <f aca="false">IF(AB209&lt;&gt;"",AB209,AA209)</f>
        <v>3</v>
      </c>
      <c r="CG209" s="60" t="str">
        <f aca="false">IF(OR(CF209=1,CF209=2,CF209=3),IF(Parameter!$E$27="Ja","LIFT",IF(CF209=1,"L1","L23")),IF(CF209="Aussen","Aussen","-"))</f>
        <v>LIFT</v>
      </c>
      <c r="CH209" s="71" t="n">
        <f aca="false">IF(N(AC209)&gt;0,AC209,0)</f>
        <v>0</v>
      </c>
      <c r="CI209" s="65" t="n">
        <f aca="false">IF(ISNUMBER(AF209),1,0)</f>
        <v>0</v>
      </c>
      <c r="CJ209" s="62" t="n">
        <f aca="false">N(AF209)</f>
        <v>0</v>
      </c>
      <c r="CK209" s="62" t="n">
        <f aca="false">N(M209)+N(N209)</f>
        <v>235</v>
      </c>
      <c r="CL209" s="62" t="n">
        <f aca="false">N(M209)</f>
        <v>10</v>
      </c>
      <c r="CM209" s="62" t="n">
        <f aca="false">N(N209)</f>
        <v>225</v>
      </c>
      <c r="CN209" s="62" t="n">
        <f aca="false">ROUNDUP(H209/BZ209,0)</f>
        <v>3</v>
      </c>
      <c r="CO209" s="62" t="n">
        <f aca="false">ROUNDUP(CJ209/BZ209,0)</f>
        <v>0</v>
      </c>
      <c r="CP209" s="65" t="n">
        <f aca="false">IF(CA209=1,0,IFERROR(VLOOKUP(BY209,'Gebinde-Kategorie'!$A$5:$N$45,5,0)+0,0))</f>
        <v>11</v>
      </c>
      <c r="CQ209" s="65" t="n">
        <f aca="false">IFERROR(IF(OR(CF209=1,CF209=2,CF209=3),N(INDEX(Parameter!$I$5:$I$7,CF209)),0),0)</f>
        <v>0</v>
      </c>
      <c r="CR209" s="64" t="n">
        <f aca="false">IF(AND(Parameter!$B$21="Ja",ISNUMBER(W209),N(X209)&gt;0),IFERROR(N(INDEX(Parameter!$L$5:$L$7,W209))*INDEX(Parameter!$E$5:$E$7,W209)*X209/SUMIFS($X$7:$X$1843,$W$7:$W$1843,W209),0),0)</f>
        <v>0</v>
      </c>
      <c r="CS209" s="62" t="n">
        <f aca="false">IF(AND(OR(CG209="L1",CG209="L23",CG209="LIFT"),H209&gt;0),CC209*IF(CR209&gt;0,CR209*MAX(1,H209/X209),IF(CA209=1,CE209,IF(R209&gt;0,CN209/R209,0))/MAX(0.1,N(Parameter!$M$21))),"")</f>
        <v>17.8846153846154</v>
      </c>
      <c r="CT209" s="64" t="n">
        <f aca="false">IF(CS209="","",J209/H209)</f>
        <v>2.33823529411765</v>
      </c>
      <c r="CU209" s="62" t="n">
        <f aca="false">IF(CS209="","",H209*G209)</f>
        <v>1999.2</v>
      </c>
      <c r="CV209" s="63" t="n">
        <f aca="false">IF(CS209="","",(CL209+ROUNDUP(CL209+MAX(CM209,2*(J209/MAX(0.1,N(Einkauf!$C$6))-CL209)),0))/2)</f>
        <v>122.5</v>
      </c>
      <c r="CW209" s="62" t="n">
        <f aca="false">IF(CS209="","",MAX(0,H209-CV209)*G209)</f>
        <v>198.45</v>
      </c>
      <c r="CX209" s="62" t="n">
        <f aca="false">IF(CS209="","",CS209*MAX(0,1-CV209/H209))</f>
        <v>1.77531108597285</v>
      </c>
      <c r="CY209" s="64" t="n">
        <f aca="false">IF(CS209="","",PERCENTRANK($CS$7:$CS$1843,CS209)+PERCENTRANK($CU$7:$CU$1843,CU209)+1-PERCENTRANK($CT$7:$CT$1843,CT209))</f>
        <v>1.689</v>
      </c>
      <c r="CZ209" s="72" t="n">
        <f aca="false">IF(CS209="","",CHOOSE(MATCH(Einkauf!$C$5,Parameter!$G$23:$G$27,0),CY209,CS209,CU209,-CT209,CW209)+ROW()/1000000000)</f>
        <v>1.689000209</v>
      </c>
    </row>
    <row r="210" customFormat="false" ht="15" hidden="false" customHeight="false" outlineLevel="0" collapsed="false">
      <c r="A210" s="60" t="s">
        <v>659</v>
      </c>
      <c r="B210" s="60" t="s">
        <v>473</v>
      </c>
      <c r="C210" s="60" t="s">
        <v>206</v>
      </c>
      <c r="D210" s="60" t="s">
        <v>226</v>
      </c>
      <c r="E210" s="60"/>
      <c r="F210" s="60" t="s">
        <v>260</v>
      </c>
      <c r="G210" s="61" t="n">
        <v>244.93</v>
      </c>
      <c r="H210" s="62" t="n">
        <f aca="false">MAX(0,IF(AND(Parameter!$B$21="Ja",ISNUMBER(Y210)),Y210,IF(Parameter!$B$20="Jahresanfang 2025 + Export",BS210+BR210,BR210)))</f>
        <v>3</v>
      </c>
      <c r="I210" s="62" t="n">
        <f aca="false">H210*G210</f>
        <v>734.79</v>
      </c>
      <c r="J210" s="62" t="n">
        <f aca="false">BU210*Parameter!$B$18</f>
        <v>248</v>
      </c>
      <c r="K210" s="63" t="n">
        <v>1.5</v>
      </c>
      <c r="L210" s="64" t="n">
        <v>165.333333333333</v>
      </c>
      <c r="M210" s="62" t="n">
        <v>0</v>
      </c>
      <c r="N210" s="62" t="n">
        <v>0</v>
      </c>
      <c r="O210" s="65" t="n">
        <v>42</v>
      </c>
      <c r="P210" s="60" t="s">
        <v>268</v>
      </c>
      <c r="Q210" s="62" t="n">
        <v>80</v>
      </c>
      <c r="R210" s="65" t="n">
        <f aca="false">IF(CA210=1,0,IFERROR(VLOOKUP(BY210,'Gebinde-Kategorie'!$A$5:$N$45,13,0)+0,0))</f>
        <v>12</v>
      </c>
      <c r="S210" s="66"/>
      <c r="T210" s="67"/>
      <c r="U210" s="67"/>
      <c r="V210" s="67"/>
      <c r="W210" s="60"/>
      <c r="X210" s="62"/>
      <c r="Y210" s="62"/>
      <c r="Z210" s="60" t="n">
        <v>3</v>
      </c>
      <c r="AA210" s="60" t="n">
        <f aca="false">IF(A210="","",IF(AND(Parameter!$B$21="Ja",ISNUMBER(W210)),W210,IF(AND(Parameter!$E$27="Ja",ISNUMBER(Z210),CD210&lt;&gt;"Nein"),Z210,IF(CD210="2+3",IF(ISNUMBER(SEARCH("grosser Artikel",BV210)),2,IFERROR(VLOOKUP(BY210,Parameter!$F$35:$G$64,2,0),2)),IF(OR(CD210="Nein",CD210=""),"-",CD210)))))</f>
        <v>3</v>
      </c>
      <c r="AB210" s="67"/>
      <c r="AC210" s="68"/>
      <c r="AD210" s="62" t="n">
        <f aca="false">AW210</f>
        <v>166</v>
      </c>
      <c r="AE210" s="62" t="n">
        <f aca="false">MAX(AW210,H210)</f>
        <v>166</v>
      </c>
      <c r="AF210" s="69"/>
      <c r="AG210" s="62" t="n">
        <f aca="false">IF(LEFT(Cockpit!$C$5,1)="A",H210,IF(Parameter!$E$30="MAX-Bestand",IF(CI210=1,CJ210,IF(LEFT(Cockpit!$C$5,1)="B",AM210,MAX(AM210,H210))),ROUNDUP(AK210,0)))</f>
        <v>3</v>
      </c>
      <c r="AH210" s="62" t="n">
        <f aca="false">IF(CA210=1,0,ROUNDUP(AG210/BZ210,0))</f>
        <v>1</v>
      </c>
      <c r="AI210" s="64" t="n">
        <f aca="false">IF(CR210&gt;0,CR210*MAX(1,AG210/X210),IF(CA210=1,IF(AG210&lt;=0,0,CE210*MAX(1,IF(H210&gt;0,AG210/H210,1))),IF(R210&gt;0,AH210/R210,0))/MAX(0.1,N(Parameter!$M$21)))</f>
        <v>0.0833333333333333</v>
      </c>
      <c r="AJ210" s="62" t="n">
        <f aca="false">AI210*CC210</f>
        <v>28.75</v>
      </c>
      <c r="AK210" s="63" t="n">
        <f aca="false">IF(LEFT(Cockpit!$C$5,1)="A",H210,IF(CI210=1,(CL210+CJ210)/2,IF(LEFT(Cockpit!$C$5,1)="B",(CL210+AM210)/2,MAX((CL210+AM210)/2,H210))))</f>
        <v>3</v>
      </c>
      <c r="AL210" s="62" t="n">
        <f aca="false">AK210*G210</f>
        <v>734.79</v>
      </c>
      <c r="AM210" s="62" t="n">
        <f aca="false">ROUNDUP(CL210+MAX(CM210,2*(J210/IF(CH210&gt;0,CH210,MAX(0.1,N(Cockpit!$C$6)))-CL210)),0)</f>
        <v>166</v>
      </c>
      <c r="AN210" s="63" t="n">
        <f aca="false">IF(AJ210&gt;0,J210/AJ210,-1)</f>
        <v>8.62608695652174</v>
      </c>
      <c r="AO210" s="63" t="n">
        <f aca="false">IF(AND(OR(CG210="L1",CG210="L23",CG210="LIFT"),AJ210&gt;0),SUMIFS($AJ$7:$AJ$1843,$CG$7:$CG$1843,CG210,$AN$7:$AN$1843,"&gt;"&amp;AN210)+SUMIFS($AJ$7:$AJ$1843,$CG$7:$CG$1843,CG210,$AN$7:$AN$1843,AN210,$BX$7:$BX$1843,"&lt;="&amp;BX210),"")</f>
        <v>2982.66071428571</v>
      </c>
      <c r="AP210" s="70" t="n">
        <f aca="false">IF(AO210="",0,MAX(0,MIN(1,(IF(CG210="L1",Parameter!$H$5,IF(CG210="L23",Parameter!$H$6+Parameter!$H$7,Parameter!$H$5+Parameter!$H$6+Parameter!$H$7))-(AO210-AJ210))/AJ210)))</f>
        <v>1</v>
      </c>
      <c r="AQ210" s="62" t="n">
        <f aca="false">IF(LEFT(Cockpit!$I$5,1)="A",H210,IF(Parameter!$E$30="MAX-Bestand",IF(CI210=1,CJ210,IF(LEFT(Cockpit!$I$5,1)="B",AW210,MAX(AW210,H210))),ROUNDUP(AU210,0)))</f>
        <v>83</v>
      </c>
      <c r="AR210" s="62" t="n">
        <f aca="false">IF(CA210=1,0,ROUNDUP(AQ210/BZ210,0))</f>
        <v>2</v>
      </c>
      <c r="AS210" s="64" t="n">
        <f aca="false">IF(CR210&gt;0,CR210*MAX(1,AQ210/X210),IF(CA210=1,IF(AQ210&lt;=0,0,CE210*MAX(1,IF(H210&gt;0,AQ210/H210,1))),IF(R210&gt;0,AR210/R210,0))/MAX(0.1,N(Parameter!$M$21)))</f>
        <v>0.166666666666667</v>
      </c>
      <c r="AT210" s="62" t="n">
        <f aca="false">AS210*CC210</f>
        <v>57.5</v>
      </c>
      <c r="AU210" s="63" t="n">
        <f aca="false">IF(LEFT(Cockpit!$I$5,1)="A",H210,IF(CI210=1,(CL210+CJ210)/2,IF(LEFT(Cockpit!$I$5,1)="B",(CL210+AW210)/2,MAX((CL210+AW210)/2,H210))))</f>
        <v>83</v>
      </c>
      <c r="AV210" s="62" t="n">
        <f aca="false">AU210*G210</f>
        <v>20329.19</v>
      </c>
      <c r="AW210" s="62" t="n">
        <f aca="false">ROUNDUP(CL210+MAX(CM210,2*(J210/IF(CH210&gt;0,CH210,MAX(0.1,N(Cockpit!$I$6)))-CL210)),0)</f>
        <v>166</v>
      </c>
      <c r="AX210" s="63" t="n">
        <f aca="false">IF(AT210&gt;0,J210/AT210,-1)</f>
        <v>4.31304347826087</v>
      </c>
      <c r="AY210" s="63" t="n">
        <f aca="false">IF(AND(OR(CG210="L1",CG210="L23",CG210="LIFT"),AT210&gt;0),SUMIFS($AT$7:$AT$1843,$CG$7:$CG$1843,CG210,$AX$7:$AX$1843,"&gt;"&amp;AX210)+SUMIFS($AT$7:$AT$1843,$CG$7:$CG$1843,CG210,$AX$7:$AX$1843,AX210,$BX$7:$BX$1843,"&lt;="&amp;BX210),"")</f>
        <v>4811.56456043956</v>
      </c>
      <c r="AZ210" s="70" t="n">
        <f aca="false">IF(AY210="",0,MAX(0,MIN(1,(IF(CG210="L1",Parameter!$H$5,IF(CG210="L23",Parameter!$H$6+Parameter!$H$7,Parameter!$H$5+Parameter!$H$6+Parameter!$H$7))-(AY210-AT210))/AT210)))</f>
        <v>1</v>
      </c>
      <c r="BA210" s="62" t="n">
        <f aca="false">IF(LEFT(Cockpit!$O$5,1)="A",H210,IF(Parameter!$E$30="MAX-Bestand",IF(CI210=1,CJ210,IF(LEFT(Cockpit!$O$5,1)="B",BG210,MAX(BG210,H210))),ROUNDUP(BE210,0)))</f>
        <v>62</v>
      </c>
      <c r="BB210" s="62" t="n">
        <f aca="false">IF(CA210=1,0,ROUNDUP(BA210/BZ210,0))</f>
        <v>1</v>
      </c>
      <c r="BC210" s="64" t="n">
        <f aca="false">IF(CR210&gt;0,CR210*MAX(1,BA210/X210),IF(CA210=1,IF(BA210&lt;=0,0,CE210*MAX(1,IF(H210&gt;0,BA210/H210,1))),IF(R210&gt;0,BB210/R210,0))/MAX(0.1,N(Parameter!$M$21)))</f>
        <v>0.0833333333333333</v>
      </c>
      <c r="BD210" s="62" t="n">
        <f aca="false">BC210*CC210</f>
        <v>28.75</v>
      </c>
      <c r="BE210" s="63" t="n">
        <f aca="false">IF(LEFT(Cockpit!$O$5,1)="A",H210,IF(CI210=1,(CL210+CJ210)/2,IF(LEFT(Cockpit!$O$5,1)="B",(CL210+BG210)/2,MAX((CL210+BG210)/2,H210))))</f>
        <v>62</v>
      </c>
      <c r="BF210" s="62" t="n">
        <f aca="false">BE210*G210</f>
        <v>15185.66</v>
      </c>
      <c r="BG210" s="62" t="n">
        <f aca="false">ROUNDUP(CL210+MAX(CM210,2*(J210/IF(CH210&gt;0,CH210,MAX(0.1,N(Cockpit!$O$6)))-CL210)),0)</f>
        <v>124</v>
      </c>
      <c r="BH210" s="63" t="n">
        <f aca="false">IF(BD210&gt;0,J210/BD210,-1)</f>
        <v>8.62608695652174</v>
      </c>
      <c r="BI210" s="63" t="n">
        <f aca="false">IF(AND(OR(CG210="L1",CG210="L23",CG210="LIFT"),BD210&gt;0),SUMIFS($BD$7:$BD$1843,$CG$7:$CG$1843,CG210,$BH$7:$BH$1843,"&gt;"&amp;BH210)+SUMIFS($BD$7:$BD$1843,$CG$7:$CG$1843,CG210,$BH$7:$BH$1843,BH210,$BX$7:$BX$1843,"&lt;="&amp;BX210),"")</f>
        <v>2923.90888278388</v>
      </c>
      <c r="BJ210" s="70" t="n">
        <f aca="false">IF(BI210="",0,MAX(0,MIN(1,(IF(CG210="L1",Parameter!$H$5,IF(CG210="L23",Parameter!$H$6+Parameter!$H$7,Parameter!$H$5+Parameter!$H$6+Parameter!$H$7))-(BI210-BD210))/BD210)))</f>
        <v>1</v>
      </c>
      <c r="BK210" s="60" t="str">
        <f aca="false">IF(AJ210&lt;=0,"",IF(CG210="Aussen","Aussenlager",IF(CG210="-","Nicht im Lift",IF(AP210&gt;=1,"Lift",IF(AP210&lt;=0,"Aussenlager","teilweise")))))</f>
        <v>Lift</v>
      </c>
      <c r="BL210" s="60" t="str">
        <f aca="false">IF(AT210&lt;=0,"",IF(CG210="Aussen","Aussenlager",IF(CG210="-","Nicht im Lift",IF(AZ210&gt;=1,"Lift",IF(AZ210&lt;=0,"Aussenlager","teilweise")))))</f>
        <v>Lift</v>
      </c>
      <c r="BM210" s="60" t="str">
        <f aca="false">IF(BD210&lt;=0,"",IF(CG210="Aussen","Aussenlager",IF(CG210="-","Nicht im Lift",IF(BJ210&gt;=1,"Lift",IF(BJ210&lt;=0,"Aussenlager","teilweise")))))</f>
        <v>Lift</v>
      </c>
      <c r="BN210" s="60" t="str">
        <f aca="false">IF(A210="","",IF(BW210=1,"Neu; ","")&amp;IF(AND(BW210=0,BR210&lt;0),"negativer Bestand (Export "&amp;BR210&amp;"); ","")&amp;IF(J210&lt;=0,"Kein Verbrauch; ","")&amp;IF(CR210&gt;0,"Lift "&amp;W210&amp;" lt. Liftbericht (Fach "&amp;X210&amp;" Stk); ",IF(CB210=1,"Gebinde geschätzt ("&amp;T210&amp;"); ",IF(CA210=1,"Lose – Tablare geschätzt; ","")))&amp;IF(H210&gt;AW210,"Überbestand "&amp;ROUND(H210-AW210,0)&amp;" Stk / CHF "&amp;ROUND((H210-AW210)*G210,0)&amp;"; ","")&amp;IF(AND(CI210=1,CJ210&lt;CK210),"MAX &lt; MB+LG; ","")&amp;IF(AND(CQ210&gt;0,CP210*10&gt;CQ210),"zu hoch für Tablar; ","")&amp;IF(AND(BW210=0,OR(CI210=1,AB210&lt;&gt;"",U210&lt;&gt;"",V210&lt;&gt;"",AC210&lt;&gt;"")),"manuell übersteuert; ","")&amp;IF(AND(CA210=0,R210=0),"Gebinde unbekannt / Stellmass fehlt; ","")&amp;IF(AND(CA210=0,N(V210)&lt;=0,N(Q210)&lt;=0),"Menge pro Gebinde fehlt (Ist = 1 Gebinde); ","")&amp;BV210)</f>
        <v/>
      </c>
      <c r="BO210" s="60"/>
      <c r="BP210" s="60"/>
      <c r="BQ210" s="67"/>
      <c r="BR210" s="62" t="n">
        <v>3</v>
      </c>
      <c r="BS210" s="62" t="n">
        <v>0</v>
      </c>
      <c r="BT210" s="61" t="n">
        <v>734.79</v>
      </c>
      <c r="BU210" s="62" t="n">
        <v>248</v>
      </c>
      <c r="BV210" s="60"/>
      <c r="BW210" s="65" t="n">
        <v>0</v>
      </c>
      <c r="BX210" s="65" t="n">
        <v>210</v>
      </c>
      <c r="BY210" s="60" t="str">
        <f aca="false">IF(U210&lt;&gt;"",UPPER(TRIM(U210)),IF(CB210=1,UPPER(VLOOKUP(T210,Parameter!$I$27:$K$29,2,0)),IF(P210="","LOSE",P210)))</f>
        <v>S63</v>
      </c>
      <c r="BZ210" s="62" t="n">
        <f aca="false">IF(BY210="LOSE",1,IF(N(V210)&gt;0,V210,IF(CB210=1,MAX(1,N(VLOOKUP(T210,Parameter!$I$27:$K$29,3,0)),H210,N(N210)),IF(N(Q210)&gt;0,Q210,MAX(1,H210)))))</f>
        <v>80</v>
      </c>
      <c r="CA210" s="65" t="n">
        <f aca="false">IF(BY210="LOSE",1,0)</f>
        <v>0</v>
      </c>
      <c r="CB210" s="65" t="n">
        <f aca="false">IF(AND(U210="",OR(P210="",P210="LOSE"),T210&lt;&gt;"",N(S210)&lt;=0,ISNUMBER(MATCH(T210,Parameter!$I$27:$I$29,0))),1,0)</f>
        <v>0</v>
      </c>
      <c r="CC210" s="65" t="n">
        <f aca="false">IF(CR210&gt;0,INDEX(Parameter!$H$5:$H$7,W210)/INDEX(Parameter!$E$5:$E$7,W210),IF(AND(CA210=0,N(IFERROR(VLOOKUP(BY210,'Gebinde-Kategorie'!$A$5:$N$45,14,0),0))&gt;0),VLOOKUP(BY210,'Gebinde-Kategorie'!$A$5:$N$45,14,0)*10+Parameter!$M$23,Parameter!$M$24))</f>
        <v>345</v>
      </c>
      <c r="CD210" s="60" t="str">
        <f aca="false">IF(AND(Parameter!$B$19="Ja",E210&lt;&gt;"",ISNUMBER(MATCH(E210,Parameter!$I$35:$I$52,0))),VLOOKUP(E210,Parameter!$I$35:$J$52,2,0),IFERROR(VLOOKUP(D210,Parameter!$A$35:$C$64,2,0),"Nein"))</f>
        <v>2+3</v>
      </c>
      <c r="CE210" s="64" t="n">
        <f aca="false">IF(CA210=0,0,IF(N(S210)&gt;0,S210,IFERROR(VLOOKUP(D210,Parameter!$A$35:$C$64,3,0)+0,0)))</f>
        <v>0</v>
      </c>
      <c r="CF210" s="60" t="n">
        <f aca="false">IF(AB210&lt;&gt;"",AB210,AA210)</f>
        <v>3</v>
      </c>
      <c r="CG210" s="60" t="str">
        <f aca="false">IF(OR(CF210=1,CF210=2,CF210=3),IF(Parameter!$E$27="Ja","LIFT",IF(CF210=1,"L1","L23")),IF(CF210="Aussen","Aussen","-"))</f>
        <v>LIFT</v>
      </c>
      <c r="CH210" s="71" t="n">
        <f aca="false">IF(N(AC210)&gt;0,AC210,0)</f>
        <v>0</v>
      </c>
      <c r="CI210" s="65" t="n">
        <f aca="false">IF(ISNUMBER(AF210),1,0)</f>
        <v>0</v>
      </c>
      <c r="CJ210" s="62" t="n">
        <f aca="false">N(AF210)</f>
        <v>0</v>
      </c>
      <c r="CK210" s="62" t="n">
        <f aca="false">N(M210)+N(N210)</f>
        <v>0</v>
      </c>
      <c r="CL210" s="62" t="n">
        <f aca="false">N(M210)</f>
        <v>0</v>
      </c>
      <c r="CM210" s="62" t="n">
        <f aca="false">N(N210)</f>
        <v>0</v>
      </c>
      <c r="CN210" s="62" t="n">
        <f aca="false">ROUNDUP(H210/BZ210,0)</f>
        <v>1</v>
      </c>
      <c r="CO210" s="62" t="n">
        <f aca="false">ROUNDUP(CJ210/BZ210,0)</f>
        <v>0</v>
      </c>
      <c r="CP210" s="65" t="n">
        <f aca="false">IF(CA210=1,0,IFERROR(VLOOKUP(BY210,'Gebinde-Kategorie'!$A$5:$N$45,5,0)+0,0))</f>
        <v>31</v>
      </c>
      <c r="CQ210" s="65" t="n">
        <f aca="false">IFERROR(IF(OR(CF210=1,CF210=2,CF210=3),N(INDEX(Parameter!$I$5:$I$7,CF210)),0),0)</f>
        <v>0</v>
      </c>
      <c r="CR210" s="64" t="n">
        <f aca="false">IF(AND(Parameter!$B$21="Ja",ISNUMBER(W210),N(X210)&gt;0),IFERROR(N(INDEX(Parameter!$L$5:$L$7,W210))*INDEX(Parameter!$E$5:$E$7,W210)*X210/SUMIFS($X$7:$X$1843,$W$7:$W$1843,W210),0),0)</f>
        <v>0</v>
      </c>
      <c r="CS210" s="62" t="n">
        <f aca="false">IF(AND(OR(CG210="L1",CG210="L23",CG210="LIFT"),H210&gt;0),CC210*IF(CR210&gt;0,CR210*MAX(1,H210/X210),IF(CA210=1,CE210,IF(R210&gt;0,CN210/R210,0))/MAX(0.1,N(Parameter!$M$21))),"")</f>
        <v>28.75</v>
      </c>
      <c r="CT210" s="64" t="n">
        <f aca="false">IF(CS210="","",J210/H210)</f>
        <v>82.6666666666667</v>
      </c>
      <c r="CU210" s="62" t="n">
        <f aca="false">IF(CS210="","",H210*G210)</f>
        <v>734.79</v>
      </c>
      <c r="CV210" s="63" t="n">
        <f aca="false">IF(CS210="","",(CL210+ROUNDUP(CL210+MAX(CM210,2*(J210/MAX(0.1,N(Einkauf!$C$6))-CL210)),0))/2)</f>
        <v>62</v>
      </c>
      <c r="CW210" s="62" t="n">
        <f aca="false">IF(CS210="","",MAX(0,H210-CV210)*G210)</f>
        <v>0</v>
      </c>
      <c r="CX210" s="62" t="n">
        <f aca="false">IF(CS210="","",CS210*MAX(0,1-CV210/H210))</f>
        <v>0</v>
      </c>
      <c r="CY210" s="64" t="n">
        <f aca="false">IF(CS210="","",PERCENTRANK($CS$7:$CS$1843,CS210)+PERCENTRANK($CU$7:$CU$1843,CU210)+1-PERCENTRANK($CT$7:$CT$1843,CT210))</f>
        <v>1.411</v>
      </c>
      <c r="CZ210" s="72" t="n">
        <f aca="false">IF(CS210="","",CHOOSE(MATCH(Einkauf!$C$5,Parameter!$G$23:$G$27,0),CY210,CS210,CU210,-CT210,CW210)+ROW()/1000000000)</f>
        <v>1.41100021</v>
      </c>
    </row>
    <row r="211" customFormat="false" ht="15" hidden="false" customHeight="false" outlineLevel="0" collapsed="false">
      <c r="A211" s="60" t="s">
        <v>660</v>
      </c>
      <c r="B211" s="60" t="s">
        <v>661</v>
      </c>
      <c r="C211" s="60" t="s">
        <v>206</v>
      </c>
      <c r="D211" s="60" t="s">
        <v>226</v>
      </c>
      <c r="E211" s="60" t="s">
        <v>227</v>
      </c>
      <c r="F211" s="60" t="s">
        <v>260</v>
      </c>
      <c r="G211" s="61" t="n">
        <v>26.21</v>
      </c>
      <c r="H211" s="62" t="n">
        <f aca="false">MAX(0,IF(AND(Parameter!$B$21="Ja",ISNUMBER(Y211)),Y211,IF(Parameter!$B$20="Jahresanfang 2025 + Export",BS211+BR211,BR211)))</f>
        <v>257</v>
      </c>
      <c r="I211" s="62" t="n">
        <f aca="false">H211*G211</f>
        <v>6735.97</v>
      </c>
      <c r="J211" s="62" t="n">
        <f aca="false">BU211*Parameter!$B$18</f>
        <v>685</v>
      </c>
      <c r="K211" s="63" t="n">
        <v>242.5</v>
      </c>
      <c r="L211" s="64" t="n">
        <v>2.82474226804124</v>
      </c>
      <c r="M211" s="62" t="n">
        <v>39</v>
      </c>
      <c r="N211" s="62" t="n">
        <v>200</v>
      </c>
      <c r="O211" s="65" t="n">
        <v>21</v>
      </c>
      <c r="P211" s="60" t="s">
        <v>335</v>
      </c>
      <c r="Q211" s="62" t="n">
        <v>178</v>
      </c>
      <c r="R211" s="65" t="n">
        <f aca="false">IF(CA211=1,0,IFERROR(VLOOKUP(BY211,'Gebinde-Kategorie'!$A$5:$N$45,13,0)+0,0))</f>
        <v>12</v>
      </c>
      <c r="S211" s="66"/>
      <c r="T211" s="67"/>
      <c r="U211" s="67"/>
      <c r="V211" s="67"/>
      <c r="W211" s="60"/>
      <c r="X211" s="62"/>
      <c r="Y211" s="62"/>
      <c r="Z211" s="60" t="n">
        <v>3</v>
      </c>
      <c r="AA211" s="60" t="n">
        <f aca="false">IF(A211="","",IF(AND(Parameter!$B$21="Ja",ISNUMBER(W211)),W211,IF(AND(Parameter!$E$27="Ja",ISNUMBER(Z211),CD211&lt;&gt;"Nein"),Z211,IF(CD211="2+3",IF(ISNUMBER(SEARCH("grosser Artikel",BV211)),2,IFERROR(VLOOKUP(BY211,Parameter!$F$35:$G$64,2,0),2)),IF(OR(CD211="Nein",CD211=""),"-",CD211)))))</f>
        <v>3</v>
      </c>
      <c r="AB211" s="67"/>
      <c r="AC211" s="68"/>
      <c r="AD211" s="62" t="n">
        <f aca="false">AW211</f>
        <v>418</v>
      </c>
      <c r="AE211" s="62" t="n">
        <f aca="false">MAX(AW211,H211)</f>
        <v>418</v>
      </c>
      <c r="AF211" s="69"/>
      <c r="AG211" s="62" t="n">
        <f aca="false">IF(LEFT(Cockpit!$C$5,1)="A",H211,IF(Parameter!$E$30="MAX-Bestand",IF(CI211=1,CJ211,IF(LEFT(Cockpit!$C$5,1)="B",AM211,MAX(AM211,H211))),ROUNDUP(AK211,0)))</f>
        <v>257</v>
      </c>
      <c r="AH211" s="62" t="n">
        <f aca="false">IF(CA211=1,0,ROUNDUP(AG211/BZ211,0))</f>
        <v>2</v>
      </c>
      <c r="AI211" s="64" t="n">
        <f aca="false">IF(CR211&gt;0,CR211*MAX(1,AG211/X211),IF(CA211=1,IF(AG211&lt;=0,0,CE211*MAX(1,IF(H211&gt;0,AG211/H211,1))),IF(R211&gt;0,AH211/R211,0))/MAX(0.1,N(Parameter!$M$21)))</f>
        <v>0.166666666666667</v>
      </c>
      <c r="AJ211" s="62" t="n">
        <f aca="false">AI211*CC211</f>
        <v>40.8333333333333</v>
      </c>
      <c r="AK211" s="63" t="n">
        <f aca="false">IF(LEFT(Cockpit!$C$5,1)="A",H211,IF(CI211=1,(CL211+CJ211)/2,IF(LEFT(Cockpit!$C$5,1)="B",(CL211+AM211)/2,MAX((CL211+AM211)/2,H211))))</f>
        <v>257</v>
      </c>
      <c r="AL211" s="62" t="n">
        <f aca="false">AK211*G211</f>
        <v>6735.97</v>
      </c>
      <c r="AM211" s="62" t="n">
        <f aca="false">ROUNDUP(CL211+MAX(CM211,2*(J211/IF(CH211&gt;0,CH211,MAX(0.1,N(Cockpit!$C$6)))-CL211)),0)</f>
        <v>418</v>
      </c>
      <c r="AN211" s="63" t="n">
        <f aca="false">IF(AJ211&gt;0,J211/AJ211,-1)</f>
        <v>16.7755102040816</v>
      </c>
      <c r="AO211" s="63" t="n">
        <f aca="false">IF(AND(OR(CG211="L1",CG211="L23",CG211="LIFT"),AJ211&gt;0),SUMIFS($AJ$7:$AJ$1843,$CG$7:$CG$1843,CG211,$AN$7:$AN$1843,"&gt;"&amp;AN211)+SUMIFS($AJ$7:$AJ$1843,$CG$7:$CG$1843,CG211,$AN$7:$AN$1843,AN211,$BX$7:$BX$1843,"&lt;="&amp;BX211),"")</f>
        <v>2008.24313186813</v>
      </c>
      <c r="AP211" s="70" t="n">
        <f aca="false">IF(AO211="",0,MAX(0,MIN(1,(IF(CG211="L1",Parameter!$H$5,IF(CG211="L23",Parameter!$H$6+Parameter!$H$7,Parameter!$H$5+Parameter!$H$6+Parameter!$H$7))-(AO211-AJ211))/AJ211)))</f>
        <v>1</v>
      </c>
      <c r="AQ211" s="62" t="n">
        <f aca="false">IF(LEFT(Cockpit!$I$5,1)="A",H211,IF(Parameter!$E$30="MAX-Bestand",IF(CI211=1,CJ211,IF(LEFT(Cockpit!$I$5,1)="B",AW211,MAX(AW211,H211))),ROUNDUP(AU211,0)))</f>
        <v>257</v>
      </c>
      <c r="AR211" s="62" t="n">
        <f aca="false">IF(CA211=1,0,ROUNDUP(AQ211/BZ211,0))</f>
        <v>2</v>
      </c>
      <c r="AS211" s="64" t="n">
        <f aca="false">IF(CR211&gt;0,CR211*MAX(1,AQ211/X211),IF(CA211=1,IF(AQ211&lt;=0,0,CE211*MAX(1,IF(H211&gt;0,AQ211/H211,1))),IF(R211&gt;0,AR211/R211,0))/MAX(0.1,N(Parameter!$M$21)))</f>
        <v>0.166666666666667</v>
      </c>
      <c r="AT211" s="62" t="n">
        <f aca="false">AS211*CC211</f>
        <v>40.8333333333333</v>
      </c>
      <c r="AU211" s="63" t="n">
        <f aca="false">IF(LEFT(Cockpit!$I$5,1)="A",H211,IF(CI211=1,(CL211+CJ211)/2,IF(LEFT(Cockpit!$I$5,1)="B",(CL211+AW211)/2,MAX((CL211+AW211)/2,H211))))</f>
        <v>257</v>
      </c>
      <c r="AV211" s="62" t="n">
        <f aca="false">AU211*G211</f>
        <v>6735.97</v>
      </c>
      <c r="AW211" s="62" t="n">
        <f aca="false">ROUNDUP(CL211+MAX(CM211,2*(J211/IF(CH211&gt;0,CH211,MAX(0.1,N(Cockpit!$I$6)))-CL211)),0)</f>
        <v>418</v>
      </c>
      <c r="AX211" s="63" t="n">
        <f aca="false">IF(AT211&gt;0,J211/AT211,-1)</f>
        <v>16.7755102040816</v>
      </c>
      <c r="AY211" s="63" t="n">
        <f aca="false">IF(AND(OR(CG211="L1",CG211="L23",CG211="LIFT"),AT211&gt;0),SUMIFS($AT$7:$AT$1843,$CG$7:$CG$1843,CG211,$AX$7:$AX$1843,"&gt;"&amp;AX211)+SUMIFS($AT$7:$AT$1843,$CG$7:$CG$1843,CG211,$AX$7:$AX$1843,AX211,$BX$7:$BX$1843,"&lt;="&amp;BX211),"")</f>
        <v>2645.36401098901</v>
      </c>
      <c r="AZ211" s="70" t="n">
        <f aca="false">IF(AY211="",0,MAX(0,MIN(1,(IF(CG211="L1",Parameter!$H$5,IF(CG211="L23",Parameter!$H$6+Parameter!$H$7,Parameter!$H$5+Parameter!$H$6+Parameter!$H$7))-(AY211-AT211))/AT211)))</f>
        <v>1</v>
      </c>
      <c r="BA211" s="62" t="n">
        <f aca="false">IF(LEFT(Cockpit!$O$5,1)="A",H211,IF(Parameter!$E$30="MAX-Bestand",IF(CI211=1,CJ211,IF(LEFT(Cockpit!$O$5,1)="B",BG211,MAX(BG211,H211))),ROUNDUP(BE211,0)))</f>
        <v>172</v>
      </c>
      <c r="BB211" s="62" t="n">
        <f aca="false">IF(CA211=1,0,ROUNDUP(BA211/BZ211,0))</f>
        <v>1</v>
      </c>
      <c r="BC211" s="64" t="n">
        <f aca="false">IF(CR211&gt;0,CR211*MAX(1,BA211/X211),IF(CA211=1,IF(BA211&lt;=0,0,CE211*MAX(1,IF(H211&gt;0,BA211/H211,1))),IF(R211&gt;0,BB211/R211,0))/MAX(0.1,N(Parameter!$M$21)))</f>
        <v>0.0833333333333333</v>
      </c>
      <c r="BD211" s="62" t="n">
        <f aca="false">BC211*CC211</f>
        <v>20.4166666666667</v>
      </c>
      <c r="BE211" s="63" t="n">
        <f aca="false">IF(LEFT(Cockpit!$O$5,1)="A",H211,IF(CI211=1,(CL211+CJ211)/2,IF(LEFT(Cockpit!$O$5,1)="B",(CL211+BG211)/2,MAX((CL211+BG211)/2,H211))))</f>
        <v>171.5</v>
      </c>
      <c r="BF211" s="62" t="n">
        <f aca="false">BE211*G211</f>
        <v>4495.015</v>
      </c>
      <c r="BG211" s="62" t="n">
        <f aca="false">ROUNDUP(CL211+MAX(CM211,2*(J211/IF(CH211&gt;0,CH211,MAX(0.1,N(Cockpit!$O$6)))-CL211)),0)</f>
        <v>304</v>
      </c>
      <c r="BH211" s="63" t="n">
        <f aca="false">IF(BD211&gt;0,J211/BD211,-1)</f>
        <v>33.5510204081633</v>
      </c>
      <c r="BI211" s="63" t="n">
        <f aca="false">IF(AND(OR(CG211="L1",CG211="L23",CG211="LIFT"),BD211&gt;0),SUMIFS($BD$7:$BD$1843,$CG$7:$CG$1843,CG211,$BH$7:$BH$1843,"&gt;"&amp;BH211)+SUMIFS($BD$7:$BD$1843,$CG$7:$CG$1843,CG211,$BH$7:$BH$1843,BH211,$BX$7:$BX$1843,"&lt;="&amp;BX211),"")</f>
        <v>1571.1217948718</v>
      </c>
      <c r="BJ211" s="70" t="n">
        <f aca="false">IF(BI211="",0,MAX(0,MIN(1,(IF(CG211="L1",Parameter!$H$5,IF(CG211="L23",Parameter!$H$6+Parameter!$H$7,Parameter!$H$5+Parameter!$H$6+Parameter!$H$7))-(BI211-BD211))/BD211)))</f>
        <v>1</v>
      </c>
      <c r="BK211" s="60" t="str">
        <f aca="false">IF(AJ211&lt;=0,"",IF(CG211="Aussen","Aussenlager",IF(CG211="-","Nicht im Lift",IF(AP211&gt;=1,"Lift",IF(AP211&lt;=0,"Aussenlager","teilweise")))))</f>
        <v>Lift</v>
      </c>
      <c r="BL211" s="60" t="str">
        <f aca="false">IF(AT211&lt;=0,"",IF(CG211="Aussen","Aussenlager",IF(CG211="-","Nicht im Lift",IF(AZ211&gt;=1,"Lift",IF(AZ211&lt;=0,"Aussenlager","teilweise")))))</f>
        <v>Lift</v>
      </c>
      <c r="BM211" s="60" t="str">
        <f aca="false">IF(BD211&lt;=0,"",IF(CG211="Aussen","Aussenlager",IF(CG211="-","Nicht im Lift",IF(BJ211&gt;=1,"Lift",IF(BJ211&lt;=0,"Aussenlager","teilweise")))))</f>
        <v>Lift</v>
      </c>
      <c r="BN211" s="60" t="str">
        <f aca="false">IF(A211="","",IF(BW211=1,"Neu; ","")&amp;IF(AND(BW211=0,BR211&lt;0),"negativer Bestand (Export "&amp;BR211&amp;"); ","")&amp;IF(J211&lt;=0,"Kein Verbrauch; ","")&amp;IF(CR211&gt;0,"Lift "&amp;W211&amp;" lt. Liftbericht (Fach "&amp;X211&amp;" Stk); ",IF(CB211=1,"Gebinde geschätzt ("&amp;T211&amp;"); ",IF(CA211=1,"Lose – Tablare geschätzt; ","")))&amp;IF(H211&gt;AW211,"Überbestand "&amp;ROUND(H211-AW211,0)&amp;" Stk / CHF "&amp;ROUND((H211-AW211)*G211,0)&amp;"; ","")&amp;IF(AND(CI211=1,CJ211&lt;CK211),"MAX &lt; MB+LG; ","")&amp;IF(AND(CQ211&gt;0,CP211*10&gt;CQ211),"zu hoch für Tablar; ","")&amp;IF(AND(BW211=0,OR(CI211=1,AB211&lt;&gt;"",U211&lt;&gt;"",V211&lt;&gt;"",AC211&lt;&gt;"")),"manuell übersteuert; ","")&amp;IF(AND(CA211=0,R211=0),"Gebinde unbekannt / Stellmass fehlt; ","")&amp;IF(AND(CA211=0,N(V211)&lt;=0,N(Q211)&lt;=0),"Menge pro Gebinde fehlt (Ist = 1 Gebinde); ","")&amp;BV211)</f>
        <v/>
      </c>
      <c r="BO211" s="60"/>
      <c r="BP211" s="60"/>
      <c r="BQ211" s="67"/>
      <c r="BR211" s="62" t="n">
        <v>77</v>
      </c>
      <c r="BS211" s="62" t="n">
        <v>180</v>
      </c>
      <c r="BT211" s="61" t="n">
        <v>729.890000000004</v>
      </c>
      <c r="BU211" s="62" t="n">
        <v>685</v>
      </c>
      <c r="BV211" s="60"/>
      <c r="BW211" s="65" t="n">
        <v>0</v>
      </c>
      <c r="BX211" s="65" t="n">
        <v>211</v>
      </c>
      <c r="BY211" s="60" t="str">
        <f aca="false">IF(U211&lt;&gt;"",UPPER(TRIM(U211)),IF(CB211=1,UPPER(VLOOKUP(T211,Parameter!$I$27:$K$29,2,0)),IF(P211="","LOSE",P211)))</f>
        <v>S62</v>
      </c>
      <c r="BZ211" s="62" t="n">
        <f aca="false">IF(BY211="LOSE",1,IF(N(V211)&gt;0,V211,IF(CB211=1,MAX(1,N(VLOOKUP(T211,Parameter!$I$27:$K$29,3,0)),H211,N(N211)),IF(N(Q211)&gt;0,Q211,MAX(1,H211)))))</f>
        <v>178</v>
      </c>
      <c r="CA211" s="65" t="n">
        <f aca="false">IF(BY211="LOSE",1,0)</f>
        <v>0</v>
      </c>
      <c r="CB211" s="65" t="n">
        <f aca="false">IF(AND(U211="",OR(P211="",P211="LOSE"),T211&lt;&gt;"",N(S211)&lt;=0,ISNUMBER(MATCH(T211,Parameter!$I$27:$I$29,0))),1,0)</f>
        <v>0</v>
      </c>
      <c r="CC211" s="65" t="n">
        <f aca="false">IF(CR211&gt;0,INDEX(Parameter!$H$5:$H$7,W211)/INDEX(Parameter!$E$5:$E$7,W211),IF(AND(CA211=0,N(IFERROR(VLOOKUP(BY211,'Gebinde-Kategorie'!$A$5:$N$45,14,0),0))&gt;0),VLOOKUP(BY211,'Gebinde-Kategorie'!$A$5:$N$45,14,0)*10+Parameter!$M$23,Parameter!$M$24))</f>
        <v>245</v>
      </c>
      <c r="CD211" s="60" t="str">
        <f aca="false">IF(AND(Parameter!$B$19="Ja",E211&lt;&gt;"",ISNUMBER(MATCH(E211,Parameter!$I$35:$I$52,0))),VLOOKUP(E211,Parameter!$I$35:$J$52,2,0),IFERROR(VLOOKUP(D211,Parameter!$A$35:$C$64,2,0),"Nein"))</f>
        <v>2+3</v>
      </c>
      <c r="CE211" s="64" t="n">
        <f aca="false">IF(CA211=0,0,IF(N(S211)&gt;0,S211,IFERROR(VLOOKUP(D211,Parameter!$A$35:$C$64,3,0)+0,0)))</f>
        <v>0</v>
      </c>
      <c r="CF211" s="60" t="n">
        <f aca="false">IF(AB211&lt;&gt;"",AB211,AA211)</f>
        <v>3</v>
      </c>
      <c r="CG211" s="60" t="str">
        <f aca="false">IF(OR(CF211=1,CF211=2,CF211=3),IF(Parameter!$E$27="Ja","LIFT",IF(CF211=1,"L1","L23")),IF(CF211="Aussen","Aussen","-"))</f>
        <v>LIFT</v>
      </c>
      <c r="CH211" s="71" t="n">
        <f aca="false">IF(N(AC211)&gt;0,AC211,0)</f>
        <v>0</v>
      </c>
      <c r="CI211" s="65" t="n">
        <f aca="false">IF(ISNUMBER(AF211),1,0)</f>
        <v>0</v>
      </c>
      <c r="CJ211" s="62" t="n">
        <f aca="false">N(AF211)</f>
        <v>0</v>
      </c>
      <c r="CK211" s="62" t="n">
        <f aca="false">N(M211)+N(N211)</f>
        <v>239</v>
      </c>
      <c r="CL211" s="62" t="n">
        <f aca="false">N(M211)</f>
        <v>39</v>
      </c>
      <c r="CM211" s="62" t="n">
        <f aca="false">N(N211)</f>
        <v>200</v>
      </c>
      <c r="CN211" s="62" t="n">
        <f aca="false">ROUNDUP(H211/BZ211,0)</f>
        <v>2</v>
      </c>
      <c r="CO211" s="62" t="n">
        <f aca="false">ROUNDUP(CJ211/BZ211,0)</f>
        <v>0</v>
      </c>
      <c r="CP211" s="65" t="n">
        <f aca="false">IF(CA211=1,0,IFERROR(VLOOKUP(BY211,'Gebinde-Kategorie'!$A$5:$N$45,5,0)+0,0))</f>
        <v>21</v>
      </c>
      <c r="CQ211" s="65" t="n">
        <f aca="false">IFERROR(IF(OR(CF211=1,CF211=2,CF211=3),N(INDEX(Parameter!$I$5:$I$7,CF211)),0),0)</f>
        <v>0</v>
      </c>
      <c r="CR211" s="64" t="n">
        <f aca="false">IF(AND(Parameter!$B$21="Ja",ISNUMBER(W211),N(X211)&gt;0),IFERROR(N(INDEX(Parameter!$L$5:$L$7,W211))*INDEX(Parameter!$E$5:$E$7,W211)*X211/SUMIFS($X$7:$X$1843,$W$7:$W$1843,W211),0),0)</f>
        <v>0</v>
      </c>
      <c r="CS211" s="62" t="n">
        <f aca="false">IF(AND(OR(CG211="L1",CG211="L23",CG211="LIFT"),H211&gt;0),CC211*IF(CR211&gt;0,CR211*MAX(1,H211/X211),IF(CA211=1,CE211,IF(R211&gt;0,CN211/R211,0))/MAX(0.1,N(Parameter!$M$21))),"")</f>
        <v>40.8333333333333</v>
      </c>
      <c r="CT211" s="64" t="n">
        <f aca="false">IF(CS211="","",J211/H211)</f>
        <v>2.66536964980545</v>
      </c>
      <c r="CU211" s="62" t="n">
        <f aca="false">IF(CS211="","",H211*G211)</f>
        <v>6735.97</v>
      </c>
      <c r="CV211" s="63" t="n">
        <f aca="false">IF(CS211="","",(CL211+ROUNDUP(CL211+MAX(CM211,2*(J211/MAX(0.1,N(Einkauf!$C$6))-CL211)),0))/2)</f>
        <v>171.5</v>
      </c>
      <c r="CW211" s="62" t="n">
        <f aca="false">IF(CS211="","",MAX(0,H211-CV211)*G211)</f>
        <v>2240.955</v>
      </c>
      <c r="CX211" s="62" t="n">
        <f aca="false">IF(CS211="","",CS211*MAX(0,1-CV211/H211))</f>
        <v>13.5846303501946</v>
      </c>
      <c r="CY211" s="64" t="n">
        <f aca="false">IF(CS211="","",PERCENTRANK($CS$7:$CS$1843,CS211)+PERCENTRANK($CU$7:$CU$1843,CU211)+1-PERCENTRANK($CT$7:$CT$1843,CT211))</f>
        <v>1.961</v>
      </c>
      <c r="CZ211" s="72" t="n">
        <f aca="false">IF(CS211="","",CHOOSE(MATCH(Einkauf!$C$5,Parameter!$G$23:$G$27,0),CY211,CS211,CU211,-CT211,CW211)+ROW()/1000000000)</f>
        <v>1.961000211</v>
      </c>
    </row>
    <row r="212" customFormat="false" ht="15" hidden="false" customHeight="false" outlineLevel="0" collapsed="false">
      <c r="A212" s="60" t="s">
        <v>662</v>
      </c>
      <c r="B212" s="60" t="s">
        <v>663</v>
      </c>
      <c r="C212" s="60" t="s">
        <v>206</v>
      </c>
      <c r="D212" s="60" t="s">
        <v>226</v>
      </c>
      <c r="E212" s="60" t="s">
        <v>227</v>
      </c>
      <c r="F212" s="60" t="s">
        <v>260</v>
      </c>
      <c r="G212" s="61" t="n">
        <v>19.3</v>
      </c>
      <c r="H212" s="62" t="n">
        <f aca="false">MAX(0,IF(AND(Parameter!$B$21="Ja",ISNUMBER(Y212)),Y212,IF(Parameter!$B$20="Jahresanfang 2025 + Export",BS212+BR212,BR212)))</f>
        <v>65</v>
      </c>
      <c r="I212" s="62" t="n">
        <f aca="false">H212*G212</f>
        <v>1254.5</v>
      </c>
      <c r="J212" s="62" t="n">
        <f aca="false">BU212*Parameter!$B$18</f>
        <v>56</v>
      </c>
      <c r="K212" s="63" t="n">
        <v>80</v>
      </c>
      <c r="L212" s="64" t="n">
        <v>0.7</v>
      </c>
      <c r="M212" s="62" t="n">
        <v>9</v>
      </c>
      <c r="N212" s="62" t="n">
        <v>55</v>
      </c>
      <c r="O212" s="65" t="n">
        <v>63</v>
      </c>
      <c r="P212" s="60" t="s">
        <v>370</v>
      </c>
      <c r="Q212" s="62" t="n">
        <v>66</v>
      </c>
      <c r="R212" s="65" t="n">
        <f aca="false">IF(CA212=1,0,IFERROR(VLOOKUP(BY212,'Gebinde-Kategorie'!$A$5:$N$45,13,0)+0,0))</f>
        <v>52</v>
      </c>
      <c r="S212" s="66"/>
      <c r="T212" s="67"/>
      <c r="U212" s="67"/>
      <c r="V212" s="67"/>
      <c r="W212" s="60"/>
      <c r="X212" s="62"/>
      <c r="Y212" s="62"/>
      <c r="Z212" s="60" t="n">
        <v>3</v>
      </c>
      <c r="AA212" s="60" t="n">
        <f aca="false">IF(A212="","",IF(AND(Parameter!$B$21="Ja",ISNUMBER(W212)),W212,IF(AND(Parameter!$E$27="Ja",ISNUMBER(Z212),CD212&lt;&gt;"Nein"),Z212,IF(CD212="2+3",IF(ISNUMBER(SEARCH("grosser Artikel",BV212)),2,IFERROR(VLOOKUP(BY212,Parameter!$F$35:$G$64,2,0),2)),IF(OR(CD212="Nein",CD212=""),"-",CD212)))))</f>
        <v>3</v>
      </c>
      <c r="AB212" s="67"/>
      <c r="AC212" s="68"/>
      <c r="AD212" s="62" t="n">
        <f aca="false">AW212</f>
        <v>64</v>
      </c>
      <c r="AE212" s="62" t="n">
        <f aca="false">MAX(AW212,H212)</f>
        <v>65</v>
      </c>
      <c r="AF212" s="69"/>
      <c r="AG212" s="62" t="n">
        <f aca="false">IF(LEFT(Cockpit!$C$5,1)="A",H212,IF(Parameter!$E$30="MAX-Bestand",IF(CI212=1,CJ212,IF(LEFT(Cockpit!$C$5,1)="B",AM212,MAX(AM212,H212))),ROUNDUP(AK212,0)))</f>
        <v>65</v>
      </c>
      <c r="AH212" s="62" t="n">
        <f aca="false">IF(CA212=1,0,ROUNDUP(AG212/BZ212,0))</f>
        <v>1</v>
      </c>
      <c r="AI212" s="64" t="n">
        <f aca="false">IF(CR212&gt;0,CR212*MAX(1,AG212/X212),IF(CA212=1,IF(AG212&lt;=0,0,CE212*MAX(1,IF(H212&gt;0,AG212/H212,1))),IF(R212&gt;0,AH212/R212,0))/MAX(0.1,N(Parameter!$M$21)))</f>
        <v>0.0192307692307692</v>
      </c>
      <c r="AJ212" s="62" t="n">
        <f aca="false">AI212*CC212</f>
        <v>2.98076923076923</v>
      </c>
      <c r="AK212" s="63" t="n">
        <f aca="false">IF(LEFT(Cockpit!$C$5,1)="A",H212,IF(CI212=1,(CL212+CJ212)/2,IF(LEFT(Cockpit!$C$5,1)="B",(CL212+AM212)/2,MAX((CL212+AM212)/2,H212))))</f>
        <v>65</v>
      </c>
      <c r="AL212" s="62" t="n">
        <f aca="false">AK212*G212</f>
        <v>1254.5</v>
      </c>
      <c r="AM212" s="62" t="n">
        <f aca="false">ROUNDUP(CL212+MAX(CM212,2*(J212/IF(CH212&gt;0,CH212,MAX(0.1,N(Cockpit!$C$6)))-CL212)),0)</f>
        <v>64</v>
      </c>
      <c r="AN212" s="63" t="n">
        <f aca="false">IF(AJ212&gt;0,J212/AJ212,-1)</f>
        <v>18.7870967741935</v>
      </c>
      <c r="AO212" s="63" t="n">
        <f aca="false">IF(AND(OR(CG212="L1",CG212="L23",CG212="LIFT"),AJ212&gt;0),SUMIFS($AJ$7:$AJ$1843,$CG$7:$CG$1843,CG212,$AN$7:$AN$1843,"&gt;"&amp;AN212)+SUMIFS($AJ$7:$AJ$1843,$CG$7:$CG$1843,CG212,$AN$7:$AN$1843,AN212,$BX$7:$BX$1843,"&lt;="&amp;BX212),"")</f>
        <v>1769.3315018315</v>
      </c>
      <c r="AP212" s="70" t="n">
        <f aca="false">IF(AO212="",0,MAX(0,MIN(1,(IF(CG212="L1",Parameter!$H$5,IF(CG212="L23",Parameter!$H$6+Parameter!$H$7,Parameter!$H$5+Parameter!$H$6+Parameter!$H$7))-(AO212-AJ212))/AJ212)))</f>
        <v>1</v>
      </c>
      <c r="AQ212" s="62" t="n">
        <f aca="false">IF(LEFT(Cockpit!$I$5,1)="A",H212,IF(Parameter!$E$30="MAX-Bestand",IF(CI212=1,CJ212,IF(LEFT(Cockpit!$I$5,1)="B",AW212,MAX(AW212,H212))),ROUNDUP(AU212,0)))</f>
        <v>65</v>
      </c>
      <c r="AR212" s="62" t="n">
        <f aca="false">IF(CA212=1,0,ROUNDUP(AQ212/BZ212,0))</f>
        <v>1</v>
      </c>
      <c r="AS212" s="64" t="n">
        <f aca="false">IF(CR212&gt;0,CR212*MAX(1,AQ212/X212),IF(CA212=1,IF(AQ212&lt;=0,0,CE212*MAX(1,IF(H212&gt;0,AQ212/H212,1))),IF(R212&gt;0,AR212/R212,0))/MAX(0.1,N(Parameter!$M$21)))</f>
        <v>0.0192307692307692</v>
      </c>
      <c r="AT212" s="62" t="n">
        <f aca="false">AS212*CC212</f>
        <v>2.98076923076923</v>
      </c>
      <c r="AU212" s="63" t="n">
        <f aca="false">IF(LEFT(Cockpit!$I$5,1)="A",H212,IF(CI212=1,(CL212+CJ212)/2,IF(LEFT(Cockpit!$I$5,1)="B",(CL212+AW212)/2,MAX((CL212+AW212)/2,H212))))</f>
        <v>65</v>
      </c>
      <c r="AV212" s="62" t="n">
        <f aca="false">AU212*G212</f>
        <v>1254.5</v>
      </c>
      <c r="AW212" s="62" t="n">
        <f aca="false">ROUNDUP(CL212+MAX(CM212,2*(J212/IF(CH212&gt;0,CH212,MAX(0.1,N(Cockpit!$I$6)))-CL212)),0)</f>
        <v>64</v>
      </c>
      <c r="AX212" s="63" t="n">
        <f aca="false">IF(AT212&gt;0,J212/AT212,-1)</f>
        <v>18.7870967741935</v>
      </c>
      <c r="AY212" s="63" t="n">
        <f aca="false">IF(AND(OR(CG212="L1",CG212="L23",CG212="LIFT"),AT212&gt;0),SUMIFS($AT$7:$AT$1843,$CG$7:$CG$1843,CG212,$AX$7:$AX$1843,"&gt;"&amp;AX212)+SUMIFS($AT$7:$AT$1843,$CG$7:$CG$1843,CG212,$AX$7:$AX$1843,AX212,$BX$7:$BX$1843,"&lt;="&amp;BX212),"")</f>
        <v>2406.45238095238</v>
      </c>
      <c r="AZ212" s="70" t="n">
        <f aca="false">IF(AY212="",0,MAX(0,MIN(1,(IF(CG212="L1",Parameter!$H$5,IF(CG212="L23",Parameter!$H$6+Parameter!$H$7,Parameter!$H$5+Parameter!$H$6+Parameter!$H$7))-(AY212-AT212))/AT212)))</f>
        <v>1</v>
      </c>
      <c r="BA212" s="62" t="n">
        <f aca="false">IF(LEFT(Cockpit!$O$5,1)="A",H212,IF(Parameter!$E$30="MAX-Bestand",IF(CI212=1,CJ212,IF(LEFT(Cockpit!$O$5,1)="B",BG212,MAX(BG212,H212))),ROUNDUP(BE212,0)))</f>
        <v>37</v>
      </c>
      <c r="BB212" s="62" t="n">
        <f aca="false">IF(CA212=1,0,ROUNDUP(BA212/BZ212,0))</f>
        <v>1</v>
      </c>
      <c r="BC212" s="64" t="n">
        <f aca="false">IF(CR212&gt;0,CR212*MAX(1,BA212/X212),IF(CA212=1,IF(BA212&lt;=0,0,CE212*MAX(1,IF(H212&gt;0,BA212/H212,1))),IF(R212&gt;0,BB212/R212,0))/MAX(0.1,N(Parameter!$M$21)))</f>
        <v>0.0192307692307692</v>
      </c>
      <c r="BD212" s="62" t="n">
        <f aca="false">BC212*CC212</f>
        <v>2.98076923076923</v>
      </c>
      <c r="BE212" s="63" t="n">
        <f aca="false">IF(LEFT(Cockpit!$O$5,1)="A",H212,IF(CI212=1,(CL212+CJ212)/2,IF(LEFT(Cockpit!$O$5,1)="B",(CL212+BG212)/2,MAX((CL212+BG212)/2,H212))))</f>
        <v>36.5</v>
      </c>
      <c r="BF212" s="62" t="n">
        <f aca="false">BE212*G212</f>
        <v>704.45</v>
      </c>
      <c r="BG212" s="62" t="n">
        <f aca="false">ROUNDUP(CL212+MAX(CM212,2*(J212/IF(CH212&gt;0,CH212,MAX(0.1,N(Cockpit!$O$6)))-CL212)),0)</f>
        <v>64</v>
      </c>
      <c r="BH212" s="63" t="n">
        <f aca="false">IF(BD212&gt;0,J212/BD212,-1)</f>
        <v>18.7870967741935</v>
      </c>
      <c r="BI212" s="63" t="n">
        <f aca="false">IF(AND(OR(CG212="L1",CG212="L23",CG212="LIFT"),BD212&gt;0),SUMIFS($BD$7:$BD$1843,$CG$7:$CG$1843,CG212,$BH$7:$BH$1843,"&gt;"&amp;BH212)+SUMIFS($BD$7:$BD$1843,$CG$7:$CG$1843,CG212,$BH$7:$BH$1843,BH212,$BX$7:$BX$1843,"&lt;="&amp;BX212),"")</f>
        <v>2275.41620879121</v>
      </c>
      <c r="BJ212" s="70" t="n">
        <f aca="false">IF(BI212="",0,MAX(0,MIN(1,(IF(CG212="L1",Parameter!$H$5,IF(CG212="L23",Parameter!$H$6+Parameter!$H$7,Parameter!$H$5+Parameter!$H$6+Parameter!$H$7))-(BI212-BD212))/BD212)))</f>
        <v>1</v>
      </c>
      <c r="BK212" s="60" t="str">
        <f aca="false">IF(AJ212&lt;=0,"",IF(CG212="Aussen","Aussenlager",IF(CG212="-","Nicht im Lift",IF(AP212&gt;=1,"Lift",IF(AP212&lt;=0,"Aussenlager","teilweise")))))</f>
        <v>Lift</v>
      </c>
      <c r="BL212" s="60" t="str">
        <f aca="false">IF(AT212&lt;=0,"",IF(CG212="Aussen","Aussenlager",IF(CG212="-","Nicht im Lift",IF(AZ212&gt;=1,"Lift",IF(AZ212&lt;=0,"Aussenlager","teilweise")))))</f>
        <v>Lift</v>
      </c>
      <c r="BM212" s="60" t="str">
        <f aca="false">IF(BD212&lt;=0,"",IF(CG212="Aussen","Aussenlager",IF(CG212="-","Nicht im Lift",IF(BJ212&gt;=1,"Lift",IF(BJ212&lt;=0,"Aussenlager","teilweise")))))</f>
        <v>Lift</v>
      </c>
      <c r="BN212" s="60" t="str">
        <f aca="false">IF(A212="","",IF(BW212=1,"Neu; ","")&amp;IF(AND(BW212=0,BR212&lt;0),"negativer Bestand (Export "&amp;BR212&amp;"); ","")&amp;IF(J212&lt;=0,"Kein Verbrauch; ","")&amp;IF(CR212&gt;0,"Lift "&amp;W212&amp;" lt. Liftbericht (Fach "&amp;X212&amp;" Stk); ",IF(CB212=1,"Gebinde geschätzt ("&amp;T212&amp;"); ",IF(CA212=1,"Lose – Tablare geschätzt; ","")))&amp;IF(H212&gt;AW212,"Überbestand "&amp;ROUND(H212-AW212,0)&amp;" Stk / CHF "&amp;ROUND((H212-AW212)*G212,0)&amp;"; ","")&amp;IF(AND(CI212=1,CJ212&lt;CK212),"MAX &lt; MB+LG; ","")&amp;IF(AND(CQ212&gt;0,CP212*10&gt;CQ212),"zu hoch für Tablar; ","")&amp;IF(AND(BW212=0,OR(CI212=1,AB212&lt;&gt;"",U212&lt;&gt;"",V212&lt;&gt;"",AC212&lt;&gt;"")),"manuell übersteuert; ","")&amp;IF(AND(CA212=0,R212=0),"Gebinde unbekannt / Stellmass fehlt; ","")&amp;IF(AND(CA212=0,N(V212)&lt;=0,N(Q212)&lt;=0),"Menge pro Gebinde fehlt (Ist = 1 Gebinde); ","")&amp;BV212)</f>
        <v>Überbestand 1 Stk / CHF 19; </v>
      </c>
      <c r="BO212" s="60"/>
      <c r="BP212" s="60"/>
      <c r="BQ212" s="67"/>
      <c r="BR212" s="62" t="n">
        <v>37</v>
      </c>
      <c r="BS212" s="62" t="n">
        <v>28</v>
      </c>
      <c r="BT212" s="61" t="n">
        <v>720.26</v>
      </c>
      <c r="BU212" s="62" t="n">
        <v>56</v>
      </c>
      <c r="BV212" s="60"/>
      <c r="BW212" s="65" t="n">
        <v>0</v>
      </c>
      <c r="BX212" s="65" t="n">
        <v>212</v>
      </c>
      <c r="BY212" s="60" t="str">
        <f aca="false">IF(U212&lt;&gt;"",UPPER(TRIM(U212)),IF(CB212=1,UPPER(VLOOKUP(T212,Parameter!$I$27:$K$29,2,0)),IF(P212="","LOSE",P212)))</f>
        <v>S41</v>
      </c>
      <c r="BZ212" s="62" t="n">
        <f aca="false">IF(BY212="LOSE",1,IF(N(V212)&gt;0,V212,IF(CB212=1,MAX(1,N(VLOOKUP(T212,Parameter!$I$27:$K$29,3,0)),H212,N(N212)),IF(N(Q212)&gt;0,Q212,MAX(1,H212)))))</f>
        <v>66</v>
      </c>
      <c r="CA212" s="65" t="n">
        <f aca="false">IF(BY212="LOSE",1,0)</f>
        <v>0</v>
      </c>
      <c r="CB212" s="65" t="n">
        <f aca="false">IF(AND(U212="",OR(P212="",P212="LOSE"),T212&lt;&gt;"",N(S212)&lt;=0,ISNUMBER(MATCH(T212,Parameter!$I$27:$I$29,0))),1,0)</f>
        <v>0</v>
      </c>
      <c r="CC212" s="65" t="n">
        <f aca="false">IF(CR212&gt;0,INDEX(Parameter!$H$5:$H$7,W212)/INDEX(Parameter!$E$5:$E$7,W212),IF(AND(CA212=0,N(IFERROR(VLOOKUP(BY212,'Gebinde-Kategorie'!$A$5:$N$45,14,0),0))&gt;0),VLOOKUP(BY212,'Gebinde-Kategorie'!$A$5:$N$45,14,0)*10+Parameter!$M$23,Parameter!$M$24))</f>
        <v>155</v>
      </c>
      <c r="CD212" s="60" t="str">
        <f aca="false">IF(AND(Parameter!$B$19="Ja",E212&lt;&gt;"",ISNUMBER(MATCH(E212,Parameter!$I$35:$I$52,0))),VLOOKUP(E212,Parameter!$I$35:$J$52,2,0),IFERROR(VLOOKUP(D212,Parameter!$A$35:$C$64,2,0),"Nein"))</f>
        <v>2+3</v>
      </c>
      <c r="CE212" s="64" t="n">
        <f aca="false">IF(CA212=0,0,IF(N(S212)&gt;0,S212,IFERROR(VLOOKUP(D212,Parameter!$A$35:$C$64,3,0)+0,0)))</f>
        <v>0</v>
      </c>
      <c r="CF212" s="60" t="n">
        <f aca="false">IF(AB212&lt;&gt;"",AB212,AA212)</f>
        <v>3</v>
      </c>
      <c r="CG212" s="60" t="str">
        <f aca="false">IF(OR(CF212=1,CF212=2,CF212=3),IF(Parameter!$E$27="Ja","LIFT",IF(CF212=1,"L1","L23")),IF(CF212="Aussen","Aussen","-"))</f>
        <v>LIFT</v>
      </c>
      <c r="CH212" s="71" t="n">
        <f aca="false">IF(N(AC212)&gt;0,AC212,0)</f>
        <v>0</v>
      </c>
      <c r="CI212" s="65" t="n">
        <f aca="false">IF(ISNUMBER(AF212),1,0)</f>
        <v>0</v>
      </c>
      <c r="CJ212" s="62" t="n">
        <f aca="false">N(AF212)</f>
        <v>0</v>
      </c>
      <c r="CK212" s="62" t="n">
        <f aca="false">N(M212)+N(N212)</f>
        <v>64</v>
      </c>
      <c r="CL212" s="62" t="n">
        <f aca="false">N(M212)</f>
        <v>9</v>
      </c>
      <c r="CM212" s="62" t="n">
        <f aca="false">N(N212)</f>
        <v>55</v>
      </c>
      <c r="CN212" s="62" t="n">
        <f aca="false">ROUNDUP(H212/BZ212,0)</f>
        <v>1</v>
      </c>
      <c r="CO212" s="62" t="n">
        <f aca="false">ROUNDUP(CJ212/BZ212,0)</f>
        <v>0</v>
      </c>
      <c r="CP212" s="65" t="n">
        <f aca="false">IF(CA212=1,0,IFERROR(VLOOKUP(BY212,'Gebinde-Kategorie'!$A$5:$N$45,5,0)+0,0))</f>
        <v>11</v>
      </c>
      <c r="CQ212" s="65" t="n">
        <f aca="false">IFERROR(IF(OR(CF212=1,CF212=2,CF212=3),N(INDEX(Parameter!$I$5:$I$7,CF212)),0),0)</f>
        <v>0</v>
      </c>
      <c r="CR212" s="64" t="n">
        <f aca="false">IF(AND(Parameter!$B$21="Ja",ISNUMBER(W212),N(X212)&gt;0),IFERROR(N(INDEX(Parameter!$L$5:$L$7,W212))*INDEX(Parameter!$E$5:$E$7,W212)*X212/SUMIFS($X$7:$X$1843,$W$7:$W$1843,W212),0),0)</f>
        <v>0</v>
      </c>
      <c r="CS212" s="62" t="n">
        <f aca="false">IF(AND(OR(CG212="L1",CG212="L23",CG212="LIFT"),H212&gt;0),CC212*IF(CR212&gt;0,CR212*MAX(1,H212/X212),IF(CA212=1,CE212,IF(R212&gt;0,CN212/R212,0))/MAX(0.1,N(Parameter!$M$21))),"")</f>
        <v>2.98076923076923</v>
      </c>
      <c r="CT212" s="64" t="n">
        <f aca="false">IF(CS212="","",J212/H212)</f>
        <v>0.861538461538462</v>
      </c>
      <c r="CU212" s="62" t="n">
        <f aca="false">IF(CS212="","",H212*G212)</f>
        <v>1254.5</v>
      </c>
      <c r="CV212" s="63" t="n">
        <f aca="false">IF(CS212="","",(CL212+ROUNDUP(CL212+MAX(CM212,2*(J212/MAX(0.1,N(Einkauf!$C$6))-CL212)),0))/2)</f>
        <v>36.5</v>
      </c>
      <c r="CW212" s="62" t="n">
        <f aca="false">IF(CS212="","",MAX(0,H212-CV212)*G212)</f>
        <v>550.05</v>
      </c>
      <c r="CX212" s="62" t="n">
        <f aca="false">IF(CS212="","",CS212*MAX(0,1-CV212/H212))</f>
        <v>1.30695266272189</v>
      </c>
      <c r="CY212" s="64" t="n">
        <f aca="false">IF(CS212="","",PERCENTRANK($CS$7:$CS$1843,CS212)+PERCENTRANK($CU$7:$CU$1843,CU212)+1-PERCENTRANK($CT$7:$CT$1843,CT212))</f>
        <v>1.287</v>
      </c>
      <c r="CZ212" s="72" t="n">
        <f aca="false">IF(CS212="","",CHOOSE(MATCH(Einkauf!$C$5,Parameter!$G$23:$G$27,0),CY212,CS212,CU212,-CT212,CW212)+ROW()/1000000000)</f>
        <v>1.287000212</v>
      </c>
    </row>
    <row r="213" customFormat="false" ht="15" hidden="false" customHeight="false" outlineLevel="0" collapsed="false">
      <c r="A213" s="60" t="s">
        <v>664</v>
      </c>
      <c r="B213" s="60" t="s">
        <v>264</v>
      </c>
      <c r="C213" s="60" t="s">
        <v>206</v>
      </c>
      <c r="D213" s="60" t="s">
        <v>215</v>
      </c>
      <c r="E213" s="60" t="s">
        <v>215</v>
      </c>
      <c r="F213" s="60" t="s">
        <v>260</v>
      </c>
      <c r="G213" s="61" t="n">
        <v>165.25</v>
      </c>
      <c r="H213" s="62" t="n">
        <f aca="false">MAX(0,IF(AND(Parameter!$B$21="Ja",ISNUMBER(Y213)),Y213,IF(Parameter!$B$20="Jahresanfang 2025 + Export",BS213+BR213,BR213)))</f>
        <v>39</v>
      </c>
      <c r="I213" s="62" t="n">
        <f aca="false">H213*G213</f>
        <v>6444.75</v>
      </c>
      <c r="J213" s="62" t="n">
        <f aca="false">BU213*Parameter!$B$18</f>
        <v>122</v>
      </c>
      <c r="K213" s="63" t="n">
        <v>35</v>
      </c>
      <c r="L213" s="64" t="n">
        <v>3.48571428571429</v>
      </c>
      <c r="M213" s="62" t="n">
        <v>10</v>
      </c>
      <c r="N213" s="62" t="n">
        <v>40</v>
      </c>
      <c r="O213" s="65" t="n">
        <v>21</v>
      </c>
      <c r="P213" s="60" t="s">
        <v>301</v>
      </c>
      <c r="Q213" s="62" t="n">
        <v>22</v>
      </c>
      <c r="R213" s="65" t="n">
        <f aca="false">IF(CA213=1,0,IFERROR(VLOOKUP(BY213,'Gebinde-Kategorie'!$A$5:$N$45,13,0)+0,0))</f>
        <v>6</v>
      </c>
      <c r="S213" s="66"/>
      <c r="T213" s="67"/>
      <c r="U213" s="67"/>
      <c r="V213" s="67"/>
      <c r="W213" s="60"/>
      <c r="X213" s="62"/>
      <c r="Y213" s="62"/>
      <c r="Z213" s="60"/>
      <c r="AA213" s="60" t="str">
        <f aca="false">IF(A213="","",IF(AND(Parameter!$B$21="Ja",ISNUMBER(W213)),W213,IF(AND(Parameter!$E$27="Ja",ISNUMBER(Z213),CD213&lt;&gt;"Nein"),Z213,IF(CD213="2+3",IF(ISNUMBER(SEARCH("grosser Artikel",BV213)),2,IFERROR(VLOOKUP(BY213,Parameter!$F$35:$G$64,2,0),2)),IF(OR(CD213="Nein",CD213=""),"-",CD213)))))</f>
        <v>-</v>
      </c>
      <c r="AB213" s="67"/>
      <c r="AC213" s="68"/>
      <c r="AD213" s="62" t="n">
        <f aca="false">AW213</f>
        <v>72</v>
      </c>
      <c r="AE213" s="62" t="n">
        <f aca="false">MAX(AW213,H213)</f>
        <v>72</v>
      </c>
      <c r="AF213" s="69"/>
      <c r="AG213" s="62" t="n">
        <f aca="false">IF(LEFT(Cockpit!$C$5,1)="A",H213,IF(Parameter!$E$30="MAX-Bestand",IF(CI213=1,CJ213,IF(LEFT(Cockpit!$C$5,1)="B",AM213,MAX(AM213,H213))),ROUNDUP(AK213,0)))</f>
        <v>39</v>
      </c>
      <c r="AH213" s="62" t="n">
        <f aca="false">IF(CA213=1,0,ROUNDUP(AG213/BZ213,0))</f>
        <v>2</v>
      </c>
      <c r="AI213" s="64" t="n">
        <f aca="false">IF(CR213&gt;0,CR213*MAX(1,AG213/X213),IF(CA213=1,IF(AG213&lt;=0,0,CE213*MAX(1,IF(H213&gt;0,AG213/H213,1))),IF(R213&gt;0,AH213/R213,0))/MAX(0.1,N(Parameter!$M$21)))</f>
        <v>0.333333333333333</v>
      </c>
      <c r="AJ213" s="62" t="n">
        <f aca="false">AI213*CC213</f>
        <v>145</v>
      </c>
      <c r="AK213" s="63" t="n">
        <f aca="false">IF(LEFT(Cockpit!$C$5,1)="A",H213,IF(CI213=1,(CL213+CJ213)/2,IF(LEFT(Cockpit!$C$5,1)="B",(CL213+AM213)/2,MAX((CL213+AM213)/2,H213))))</f>
        <v>39</v>
      </c>
      <c r="AL213" s="62" t="n">
        <f aca="false">AK213*G213</f>
        <v>6444.75</v>
      </c>
      <c r="AM213" s="62" t="n">
        <f aca="false">ROUNDUP(CL213+MAX(CM213,2*(J213/IF(CH213&gt;0,CH213,MAX(0.1,N(Cockpit!$C$6)))-CL213)),0)</f>
        <v>72</v>
      </c>
      <c r="AN213" s="63" t="n">
        <f aca="false">IF(AJ213&gt;0,J213/AJ213,-1)</f>
        <v>0.841379310344828</v>
      </c>
      <c r="AO213" s="63" t="str">
        <f aca="false">IF(AND(OR(CG213="L1",CG213="L23",CG213="LIFT"),AJ213&gt;0),SUMIFS($AJ$7:$AJ$1843,$CG$7:$CG$1843,CG213,$AN$7:$AN$1843,"&gt;"&amp;AN213)+SUMIFS($AJ$7:$AJ$1843,$CG$7:$CG$1843,CG213,$AN$7:$AN$1843,AN213,$BX$7:$BX$1843,"&lt;="&amp;BX213),"")</f>
        <v/>
      </c>
      <c r="AP213" s="70" t="n">
        <f aca="false">IF(AO213="",0,MAX(0,MIN(1,(IF(CG213="L1",Parameter!$H$5,IF(CG213="L23",Parameter!$H$6+Parameter!$H$7,Parameter!$H$5+Parameter!$H$6+Parameter!$H$7))-(AO213-AJ213))/AJ213)))</f>
        <v>0</v>
      </c>
      <c r="AQ213" s="62" t="n">
        <f aca="false">IF(LEFT(Cockpit!$I$5,1)="A",H213,IF(Parameter!$E$30="MAX-Bestand",IF(CI213=1,CJ213,IF(LEFT(Cockpit!$I$5,1)="B",AW213,MAX(AW213,H213))),ROUNDUP(AU213,0)))</f>
        <v>41</v>
      </c>
      <c r="AR213" s="62" t="n">
        <f aca="false">IF(CA213=1,0,ROUNDUP(AQ213/BZ213,0))</f>
        <v>2</v>
      </c>
      <c r="AS213" s="64" t="n">
        <f aca="false">IF(CR213&gt;0,CR213*MAX(1,AQ213/X213),IF(CA213=1,IF(AQ213&lt;=0,0,CE213*MAX(1,IF(H213&gt;0,AQ213/H213,1))),IF(R213&gt;0,AR213/R213,0))/MAX(0.1,N(Parameter!$M$21)))</f>
        <v>0.333333333333333</v>
      </c>
      <c r="AT213" s="62" t="n">
        <f aca="false">AS213*CC213</f>
        <v>145</v>
      </c>
      <c r="AU213" s="63" t="n">
        <f aca="false">IF(LEFT(Cockpit!$I$5,1)="A",H213,IF(CI213=1,(CL213+CJ213)/2,IF(LEFT(Cockpit!$I$5,1)="B",(CL213+AW213)/2,MAX((CL213+AW213)/2,H213))))</f>
        <v>41</v>
      </c>
      <c r="AV213" s="62" t="n">
        <f aca="false">AU213*G213</f>
        <v>6775.25</v>
      </c>
      <c r="AW213" s="62" t="n">
        <f aca="false">ROUNDUP(CL213+MAX(CM213,2*(J213/IF(CH213&gt;0,CH213,MAX(0.1,N(Cockpit!$I$6)))-CL213)),0)</f>
        <v>72</v>
      </c>
      <c r="AX213" s="63" t="n">
        <f aca="false">IF(AT213&gt;0,J213/AT213,-1)</f>
        <v>0.841379310344828</v>
      </c>
      <c r="AY213" s="63" t="str">
        <f aca="false">IF(AND(OR(CG213="L1",CG213="L23",CG213="LIFT"),AT213&gt;0),SUMIFS($AT$7:$AT$1843,$CG$7:$CG$1843,CG213,$AX$7:$AX$1843,"&gt;"&amp;AX213)+SUMIFS($AT$7:$AT$1843,$CG$7:$CG$1843,CG213,$AX$7:$AX$1843,AX213,$BX$7:$BX$1843,"&lt;="&amp;BX213),"")</f>
        <v/>
      </c>
      <c r="AZ213" s="70" t="n">
        <f aca="false">IF(AY213="",0,MAX(0,MIN(1,(IF(CG213="L1",Parameter!$H$5,IF(CG213="L23",Parameter!$H$6+Parameter!$H$7,Parameter!$H$5+Parameter!$H$6+Parameter!$H$7))-(AY213-AT213))/AT213)))</f>
        <v>0</v>
      </c>
      <c r="BA213" s="62" t="n">
        <f aca="false">IF(LEFT(Cockpit!$O$5,1)="A",H213,IF(Parameter!$E$30="MAX-Bestand",IF(CI213=1,CJ213,IF(LEFT(Cockpit!$O$5,1)="B",BG213,MAX(BG213,H213))),ROUNDUP(BE213,0)))</f>
        <v>31</v>
      </c>
      <c r="BB213" s="62" t="n">
        <f aca="false">IF(CA213=1,0,ROUNDUP(BA213/BZ213,0))</f>
        <v>2</v>
      </c>
      <c r="BC213" s="64" t="n">
        <f aca="false">IF(CR213&gt;0,CR213*MAX(1,BA213/X213),IF(CA213=1,IF(BA213&lt;=0,0,CE213*MAX(1,IF(H213&gt;0,BA213/H213,1))),IF(R213&gt;0,BB213/R213,0))/MAX(0.1,N(Parameter!$M$21)))</f>
        <v>0.333333333333333</v>
      </c>
      <c r="BD213" s="62" t="n">
        <f aca="false">BC213*CC213</f>
        <v>145</v>
      </c>
      <c r="BE213" s="63" t="n">
        <f aca="false">IF(LEFT(Cockpit!$O$5,1)="A",H213,IF(CI213=1,(CL213+CJ213)/2,IF(LEFT(Cockpit!$O$5,1)="B",(CL213+BG213)/2,MAX((CL213+BG213)/2,H213))))</f>
        <v>30.5</v>
      </c>
      <c r="BF213" s="62" t="n">
        <f aca="false">BE213*G213</f>
        <v>5040.125</v>
      </c>
      <c r="BG213" s="62" t="n">
        <f aca="false">ROUNDUP(CL213+MAX(CM213,2*(J213/IF(CH213&gt;0,CH213,MAX(0.1,N(Cockpit!$O$6)))-CL213)),0)</f>
        <v>51</v>
      </c>
      <c r="BH213" s="63" t="n">
        <f aca="false">IF(BD213&gt;0,J213/BD213,-1)</f>
        <v>0.841379310344828</v>
      </c>
      <c r="BI213" s="63" t="str">
        <f aca="false">IF(AND(OR(CG213="L1",CG213="L23",CG213="LIFT"),BD213&gt;0),SUMIFS($BD$7:$BD$1843,$CG$7:$CG$1843,CG213,$BH$7:$BH$1843,"&gt;"&amp;BH213)+SUMIFS($BD$7:$BD$1843,$CG$7:$CG$1843,CG213,$BH$7:$BH$1843,BH213,$BX$7:$BX$1843,"&lt;="&amp;BX213),"")</f>
        <v/>
      </c>
      <c r="BJ213" s="70" t="n">
        <f aca="false">IF(BI213="",0,MAX(0,MIN(1,(IF(CG213="L1",Parameter!$H$5,IF(CG213="L23",Parameter!$H$6+Parameter!$H$7,Parameter!$H$5+Parameter!$H$6+Parameter!$H$7))-(BI213-BD213))/BD213)))</f>
        <v>0</v>
      </c>
      <c r="BK213" s="60" t="str">
        <f aca="false">IF(AJ213&lt;=0,"",IF(CG213="Aussen","Aussenlager",IF(CG213="-","Nicht im Lift",IF(AP213&gt;=1,"Lift",IF(AP213&lt;=0,"Aussenlager","teilweise")))))</f>
        <v>Nicht im Lift</v>
      </c>
      <c r="BL213" s="60" t="str">
        <f aca="false">IF(AT213&lt;=0,"",IF(CG213="Aussen","Aussenlager",IF(CG213="-","Nicht im Lift",IF(AZ213&gt;=1,"Lift",IF(AZ213&lt;=0,"Aussenlager","teilweise")))))</f>
        <v>Nicht im Lift</v>
      </c>
      <c r="BM213" s="60" t="str">
        <f aca="false">IF(BD213&lt;=0,"",IF(CG213="Aussen","Aussenlager",IF(CG213="-","Nicht im Lift",IF(BJ213&gt;=1,"Lift",IF(BJ213&lt;=0,"Aussenlager","teilweise")))))</f>
        <v>Nicht im Lift</v>
      </c>
      <c r="BN213" s="60" t="str">
        <f aca="false">IF(A213="","",IF(BW213=1,"Neu; ","")&amp;IF(AND(BW213=0,BR213&lt;0),"negativer Bestand (Export "&amp;BR213&amp;"); ","")&amp;IF(J213&lt;=0,"Kein Verbrauch; ","")&amp;IF(CR213&gt;0,"Lift "&amp;W213&amp;" lt. Liftbericht (Fach "&amp;X213&amp;" Stk); ",IF(CB213=1,"Gebinde geschätzt ("&amp;T213&amp;"); ",IF(CA213=1,"Lose – Tablare geschätzt; ","")))&amp;IF(H213&gt;AW213,"Überbestand "&amp;ROUND(H213-AW213,0)&amp;" Stk / CHF "&amp;ROUND((H213-AW213)*G213,0)&amp;"; ","")&amp;IF(AND(CI213=1,CJ213&lt;CK213),"MAX &lt; MB+LG; ","")&amp;IF(AND(CQ213&gt;0,CP213*10&gt;CQ213),"zu hoch für Tablar; ","")&amp;IF(AND(BW213=0,OR(CI213=1,AB213&lt;&gt;"",U213&lt;&gt;"",V213&lt;&gt;"",AC213&lt;&gt;"")),"manuell übersteuert; ","")&amp;IF(AND(CA213=0,R213=0),"Gebinde unbekannt / Stellmass fehlt; ","")&amp;IF(AND(CA213=0,N(V213)&lt;=0,N(Q213)&lt;=0),"Menge pro Gebinde fehlt (Ist = 1 Gebinde); ","")&amp;BV213)</f>
        <v/>
      </c>
      <c r="BO213" s="60"/>
      <c r="BP213" s="60"/>
      <c r="BQ213" s="67"/>
      <c r="BR213" s="62" t="n">
        <v>8</v>
      </c>
      <c r="BS213" s="62" t="n">
        <v>31</v>
      </c>
      <c r="BT213" s="61" t="n">
        <v>719.980000000002</v>
      </c>
      <c r="BU213" s="62" t="n">
        <v>122</v>
      </c>
      <c r="BV213" s="60"/>
      <c r="BW213" s="65" t="n">
        <v>0</v>
      </c>
      <c r="BX213" s="65" t="n">
        <v>213</v>
      </c>
      <c r="BY213" s="60" t="str">
        <f aca="false">IF(U213&lt;&gt;"",UPPER(TRIM(U213)),IF(CB213=1,UPPER(VLOOKUP(T213,Parameter!$I$27:$K$29,2,0)),IF(P213="","LOSE",P213)))</f>
        <v>S72</v>
      </c>
      <c r="BZ213" s="62" t="n">
        <f aca="false">IF(BY213="LOSE",1,IF(N(V213)&gt;0,V213,IF(CB213=1,MAX(1,N(VLOOKUP(T213,Parameter!$I$27:$K$29,3,0)),H213,N(N213)),IF(N(Q213)&gt;0,Q213,MAX(1,H213)))))</f>
        <v>22</v>
      </c>
      <c r="CA213" s="65" t="n">
        <f aca="false">IF(BY213="LOSE",1,0)</f>
        <v>0</v>
      </c>
      <c r="CB213" s="65" t="n">
        <f aca="false">IF(AND(U213="",OR(P213="",P213="LOSE"),T213&lt;&gt;"",N(S213)&lt;=0,ISNUMBER(MATCH(T213,Parameter!$I$27:$I$29,0))),1,0)</f>
        <v>0</v>
      </c>
      <c r="CC213" s="65" t="n">
        <f aca="false">IF(CR213&gt;0,INDEX(Parameter!$H$5:$H$7,W213)/INDEX(Parameter!$E$5:$E$7,W213),IF(AND(CA213=0,N(IFERROR(VLOOKUP(BY213,'Gebinde-Kategorie'!$A$5:$N$45,14,0),0))&gt;0),VLOOKUP(BY213,'Gebinde-Kategorie'!$A$5:$N$45,14,0)*10+Parameter!$M$23,Parameter!$M$24))</f>
        <v>435</v>
      </c>
      <c r="CD213" s="60" t="str">
        <f aca="false">IF(AND(Parameter!$B$19="Ja",E213&lt;&gt;"",ISNUMBER(MATCH(E213,Parameter!$I$35:$I$52,0))),VLOOKUP(E213,Parameter!$I$35:$J$52,2,0),IFERROR(VLOOKUP(D213,Parameter!$A$35:$C$64,2,0),"Nein"))</f>
        <v>Nein</v>
      </c>
      <c r="CE213" s="64" t="n">
        <f aca="false">IF(CA213=0,0,IF(N(S213)&gt;0,S213,IFERROR(VLOOKUP(D213,Parameter!$A$35:$C$64,3,0)+0,0)))</f>
        <v>0</v>
      </c>
      <c r="CF213" s="60" t="str">
        <f aca="false">IF(AB213&lt;&gt;"",AB213,AA213)</f>
        <v>-</v>
      </c>
      <c r="CG213" s="60" t="str">
        <f aca="false">IF(OR(CF213=1,CF213=2,CF213=3),IF(Parameter!$E$27="Ja","LIFT",IF(CF213=1,"L1","L23")),IF(CF213="Aussen","Aussen","-"))</f>
        <v>-</v>
      </c>
      <c r="CH213" s="71" t="n">
        <f aca="false">IF(N(AC213)&gt;0,AC213,0)</f>
        <v>0</v>
      </c>
      <c r="CI213" s="65" t="n">
        <f aca="false">IF(ISNUMBER(AF213),1,0)</f>
        <v>0</v>
      </c>
      <c r="CJ213" s="62" t="n">
        <f aca="false">N(AF213)</f>
        <v>0</v>
      </c>
      <c r="CK213" s="62" t="n">
        <f aca="false">N(M213)+N(N213)</f>
        <v>50</v>
      </c>
      <c r="CL213" s="62" t="n">
        <f aca="false">N(M213)</f>
        <v>10</v>
      </c>
      <c r="CM213" s="62" t="n">
        <f aca="false">N(N213)</f>
        <v>40</v>
      </c>
      <c r="CN213" s="62" t="n">
        <f aca="false">ROUNDUP(H213/BZ213,0)</f>
        <v>2</v>
      </c>
      <c r="CO213" s="62" t="n">
        <f aca="false">ROUNDUP(CJ213/BZ213,0)</f>
        <v>0</v>
      </c>
      <c r="CP213" s="65" t="n">
        <f aca="false">IF(CA213=1,0,IFERROR(VLOOKUP(BY213,'Gebinde-Kategorie'!$A$5:$N$45,5,0)+0,0))</f>
        <v>40</v>
      </c>
      <c r="CQ213" s="65" t="n">
        <f aca="false">IFERROR(IF(OR(CF213=1,CF213=2,CF213=3),N(INDEX(Parameter!$I$5:$I$7,CF213)),0),0)</f>
        <v>0</v>
      </c>
      <c r="CR213" s="64" t="n">
        <f aca="false">IF(AND(Parameter!$B$21="Ja",ISNUMBER(W213),N(X213)&gt;0),IFERROR(N(INDEX(Parameter!$L$5:$L$7,W213))*INDEX(Parameter!$E$5:$E$7,W213)*X213/SUMIFS($X$7:$X$1843,$W$7:$W$1843,W213),0),0)</f>
        <v>0</v>
      </c>
      <c r="CS213" s="62" t="str">
        <f aca="false">IF(AND(OR(CG213="L1",CG213="L23",CG213="LIFT"),H213&gt;0),CC213*IF(CR213&gt;0,CR213*MAX(1,H213/X213),IF(CA213=1,CE213,IF(R213&gt;0,CN213/R213,0))/MAX(0.1,N(Parameter!$M$21))),"")</f>
        <v/>
      </c>
      <c r="CT213" s="64" t="str">
        <f aca="false">IF(CS213="","",J213/H213)</f>
        <v/>
      </c>
      <c r="CU213" s="62" t="str">
        <f aca="false">IF(CS213="","",H213*G213)</f>
        <v/>
      </c>
      <c r="CV213" s="63" t="str">
        <f aca="false">IF(CS213="","",(CL213+ROUNDUP(CL213+MAX(CM213,2*(J213/MAX(0.1,N(Einkauf!$C$6))-CL213)),0))/2)</f>
        <v/>
      </c>
      <c r="CW213" s="62" t="str">
        <f aca="false">IF(CS213="","",MAX(0,H213-CV213)*G213)</f>
        <v/>
      </c>
      <c r="CX213" s="62" t="str">
        <f aca="false">IF(CS213="","",CS213*MAX(0,1-CV213/H213))</f>
        <v/>
      </c>
      <c r="CY213" s="64" t="str">
        <f aca="false">IF(CS213="","",PERCENTRANK($CS$7:$CS$1843,CS213)+PERCENTRANK($CU$7:$CU$1843,CU213)+1-PERCENTRANK($CT$7:$CT$1843,CT213))</f>
        <v/>
      </c>
      <c r="CZ213" s="72" t="str">
        <f aca="false">IF(CS213="","",CHOOSE(MATCH(Einkauf!$C$5,Parameter!$G$23:$G$27,0),CY213,CS213,CU213,-CT213,CW213)+ROW()/1000000000)</f>
        <v/>
      </c>
    </row>
    <row r="214" customFormat="false" ht="15" hidden="false" customHeight="false" outlineLevel="0" collapsed="false">
      <c r="A214" s="60" t="s">
        <v>665</v>
      </c>
      <c r="B214" s="60" t="s">
        <v>588</v>
      </c>
      <c r="C214" s="60" t="s">
        <v>206</v>
      </c>
      <c r="D214" s="60" t="s">
        <v>226</v>
      </c>
      <c r="E214" s="60"/>
      <c r="F214" s="60" t="s">
        <v>260</v>
      </c>
      <c r="G214" s="61" t="n">
        <v>14.2</v>
      </c>
      <c r="H214" s="62" t="n">
        <f aca="false">MAX(0,IF(AND(Parameter!$B$21="Ja",ISNUMBER(Y214)),Y214,IF(Parameter!$B$20="Jahresanfang 2025 + Export",BS214+BR214,BR214)))</f>
        <v>50</v>
      </c>
      <c r="I214" s="62" t="n">
        <f aca="false">H214*G214</f>
        <v>710</v>
      </c>
      <c r="J214" s="62" t="n">
        <f aca="false">BU214*Parameter!$B$18</f>
        <v>0</v>
      </c>
      <c r="K214" s="63" t="n">
        <v>0</v>
      </c>
      <c r="L214" s="64" t="n">
        <v>0</v>
      </c>
      <c r="M214" s="62" t="n">
        <v>0</v>
      </c>
      <c r="N214" s="62" t="n">
        <v>1</v>
      </c>
      <c r="O214" s="65" t="n">
        <v>9999</v>
      </c>
      <c r="P214" s="60" t="s">
        <v>210</v>
      </c>
      <c r="Q214" s="62"/>
      <c r="R214" s="65" t="n">
        <f aca="false">IF(CA214=1,0,IFERROR(VLOOKUP(BY214,'Gebinde-Kategorie'!$A$5:$N$45,13,0)+0,0))</f>
        <v>26</v>
      </c>
      <c r="S214" s="66"/>
      <c r="T214" s="67" t="s">
        <v>317</v>
      </c>
      <c r="U214" s="67"/>
      <c r="V214" s="67"/>
      <c r="W214" s="60"/>
      <c r="X214" s="62"/>
      <c r="Y214" s="62"/>
      <c r="Z214" s="60" t="n">
        <v>3</v>
      </c>
      <c r="AA214" s="60" t="n">
        <f aca="false">IF(A214="","",IF(AND(Parameter!$B$21="Ja",ISNUMBER(W214)),W214,IF(AND(Parameter!$E$27="Ja",ISNUMBER(Z214),CD214&lt;&gt;"Nein"),Z214,IF(CD214="2+3",IF(ISNUMBER(SEARCH("grosser Artikel",BV214)),2,IFERROR(VLOOKUP(BY214,Parameter!$F$35:$G$64,2,0),2)),IF(OR(CD214="Nein",CD214=""),"-",CD214)))))</f>
        <v>3</v>
      </c>
      <c r="AB214" s="67"/>
      <c r="AC214" s="68"/>
      <c r="AD214" s="62" t="n">
        <f aca="false">AW214</f>
        <v>1</v>
      </c>
      <c r="AE214" s="62" t="n">
        <f aca="false">MAX(AW214,H214)</f>
        <v>50</v>
      </c>
      <c r="AF214" s="69"/>
      <c r="AG214" s="62" t="n">
        <f aca="false">IF(LEFT(Cockpit!$C$5,1)="A",H214,IF(Parameter!$E$30="MAX-Bestand",IF(CI214=1,CJ214,IF(LEFT(Cockpit!$C$5,1)="B",AM214,MAX(AM214,H214))),ROUNDUP(AK214,0)))</f>
        <v>50</v>
      </c>
      <c r="AH214" s="62" t="n">
        <f aca="false">IF(CA214=1,0,ROUNDUP(AG214/BZ214,0))</f>
        <v>1</v>
      </c>
      <c r="AI214" s="64" t="n">
        <f aca="false">IF(CR214&gt;0,CR214*MAX(1,AG214/X214),IF(CA214=1,IF(AG214&lt;=0,0,CE214*MAX(1,IF(H214&gt;0,AG214/H214,1))),IF(R214&gt;0,AH214/R214,0))/MAX(0.1,N(Parameter!$M$21)))</f>
        <v>0.0384615384615385</v>
      </c>
      <c r="AJ214" s="62" t="n">
        <f aca="false">AI214*CC214</f>
        <v>5.96153846153846</v>
      </c>
      <c r="AK214" s="63" t="n">
        <f aca="false">IF(LEFT(Cockpit!$C$5,1)="A",H214,IF(CI214=1,(CL214+CJ214)/2,IF(LEFT(Cockpit!$C$5,1)="B",(CL214+AM214)/2,MAX((CL214+AM214)/2,H214))))</f>
        <v>50</v>
      </c>
      <c r="AL214" s="62" t="n">
        <f aca="false">AK214*G214</f>
        <v>710</v>
      </c>
      <c r="AM214" s="62" t="n">
        <f aca="false">ROUNDUP(CL214+MAX(CM214,2*(J214/IF(CH214&gt;0,CH214,MAX(0.1,N(Cockpit!$C$6)))-CL214)),0)</f>
        <v>1</v>
      </c>
      <c r="AN214" s="63" t="n">
        <f aca="false">IF(AJ214&gt;0,J214/AJ214,-1)</f>
        <v>0</v>
      </c>
      <c r="AO214" s="63" t="n">
        <f aca="false">IF(AND(OR(CG214="L1",CG214="L23",CG214="LIFT"),AJ214&gt;0),SUMIFS($AJ$7:$AJ$1843,$CG$7:$CG$1843,CG214,$AN$7:$AN$1843,"&gt;"&amp;AN214)+SUMIFS($AJ$7:$AJ$1843,$CG$7:$CG$1843,CG214,$AN$7:$AN$1843,AN214,$BX$7:$BX$1843,"&lt;="&amp;BX214),"")</f>
        <v>27536.340827487</v>
      </c>
      <c r="AP214" s="70" t="n">
        <f aca="false">IF(AO214="",0,MAX(0,MIN(1,(IF(CG214="L1",Parameter!$H$5,IF(CG214="L23",Parameter!$H$6+Parameter!$H$7,Parameter!$H$5+Parameter!$H$6+Parameter!$H$7))-(AO214-AJ214))/AJ214)))</f>
        <v>1</v>
      </c>
      <c r="AQ214" s="62" t="n">
        <f aca="false">IF(LEFT(Cockpit!$I$5,1)="A",H214,IF(Parameter!$E$30="MAX-Bestand",IF(CI214=1,CJ214,IF(LEFT(Cockpit!$I$5,1)="B",AW214,MAX(AW214,H214))),ROUNDUP(AU214,0)))</f>
        <v>50</v>
      </c>
      <c r="AR214" s="62" t="n">
        <f aca="false">IF(CA214=1,0,ROUNDUP(AQ214/BZ214,0))</f>
        <v>1</v>
      </c>
      <c r="AS214" s="64" t="n">
        <f aca="false">IF(CR214&gt;0,CR214*MAX(1,AQ214/X214),IF(CA214=1,IF(AQ214&lt;=0,0,CE214*MAX(1,IF(H214&gt;0,AQ214/H214,1))),IF(R214&gt;0,AR214/R214,0))/MAX(0.1,N(Parameter!$M$21)))</f>
        <v>0.0384615384615385</v>
      </c>
      <c r="AT214" s="62" t="n">
        <f aca="false">AS214*CC214</f>
        <v>5.96153846153846</v>
      </c>
      <c r="AU214" s="63" t="n">
        <f aca="false">IF(LEFT(Cockpit!$I$5,1)="A",H214,IF(CI214=1,(CL214+CJ214)/2,IF(LEFT(Cockpit!$I$5,1)="B",(CL214+AW214)/2,MAX((CL214+AW214)/2,H214))))</f>
        <v>50</v>
      </c>
      <c r="AV214" s="62" t="n">
        <f aca="false">AU214*G214</f>
        <v>710</v>
      </c>
      <c r="AW214" s="62" t="n">
        <f aca="false">ROUNDUP(CL214+MAX(CM214,2*(J214/IF(CH214&gt;0,CH214,MAX(0.1,N(Cockpit!$I$6)))-CL214)),0)</f>
        <v>1</v>
      </c>
      <c r="AX214" s="63" t="n">
        <f aca="false">IF(AT214&gt;0,J214/AT214,-1)</f>
        <v>0</v>
      </c>
      <c r="AY214" s="63" t="n">
        <f aca="false">IF(AND(OR(CG214="L1",CG214="L23",CG214="LIFT"),AT214&gt;0),SUMIFS($AT$7:$AT$1843,$CG$7:$CG$1843,CG214,$AX$7:$AX$1843,"&gt;"&amp;AX214)+SUMIFS($AT$7:$AT$1843,$CG$7:$CG$1843,CG214,$AX$7:$AX$1843,AX214,$BX$7:$BX$1843,"&lt;="&amp;BX214),"")</f>
        <v>32889.4894688645</v>
      </c>
      <c r="AZ214" s="70" t="n">
        <f aca="false">IF(AY214="",0,MAX(0,MIN(1,(IF(CG214="L1",Parameter!$H$5,IF(CG214="L23",Parameter!$H$6+Parameter!$H$7,Parameter!$H$5+Parameter!$H$6+Parameter!$H$7))-(AY214-AT214))/AT214)))</f>
        <v>1</v>
      </c>
      <c r="BA214" s="62" t="n">
        <f aca="false">IF(LEFT(Cockpit!$O$5,1)="A",H214,IF(Parameter!$E$30="MAX-Bestand",IF(CI214=1,CJ214,IF(LEFT(Cockpit!$O$5,1)="B",BG214,MAX(BG214,H214))),ROUNDUP(BE214,0)))</f>
        <v>1</v>
      </c>
      <c r="BB214" s="62" t="n">
        <f aca="false">IF(CA214=1,0,ROUNDUP(BA214/BZ214,0))</f>
        <v>1</v>
      </c>
      <c r="BC214" s="64" t="n">
        <f aca="false">IF(CR214&gt;0,CR214*MAX(1,BA214/X214),IF(CA214=1,IF(BA214&lt;=0,0,CE214*MAX(1,IF(H214&gt;0,BA214/H214,1))),IF(R214&gt;0,BB214/R214,0))/MAX(0.1,N(Parameter!$M$21)))</f>
        <v>0.0384615384615385</v>
      </c>
      <c r="BD214" s="62" t="n">
        <f aca="false">BC214*CC214</f>
        <v>5.96153846153846</v>
      </c>
      <c r="BE214" s="63" t="n">
        <f aca="false">IF(LEFT(Cockpit!$O$5,1)="A",H214,IF(CI214=1,(CL214+CJ214)/2,IF(LEFT(Cockpit!$O$5,1)="B",(CL214+BG214)/2,MAX((CL214+BG214)/2,H214))))</f>
        <v>0.5</v>
      </c>
      <c r="BF214" s="62" t="n">
        <f aca="false">BE214*G214</f>
        <v>7.1</v>
      </c>
      <c r="BG214" s="62" t="n">
        <f aca="false">ROUNDUP(CL214+MAX(CM214,2*(J214/IF(CH214&gt;0,CH214,MAX(0.1,N(Cockpit!$O$6)))-CL214)),0)</f>
        <v>1</v>
      </c>
      <c r="BH214" s="63" t="n">
        <f aca="false">IF(BD214&gt;0,J214/BD214,-1)</f>
        <v>0</v>
      </c>
      <c r="BI214" s="63" t="n">
        <f aca="false">IF(AND(OR(CG214="L1",CG214="L23",CG214="LIFT"),BD214&gt;0),SUMIFS($BD$7:$BD$1843,$CG$7:$CG$1843,CG214,$BH$7:$BH$1843,"&gt;"&amp;BH214)+SUMIFS($BD$7:$BD$1843,$CG$7:$CG$1843,CG214,$BH$7:$BH$1843,BH214,$BX$7:$BX$1843,"&lt;="&amp;BX214),"")</f>
        <v>27053.7315685727</v>
      </c>
      <c r="BJ214" s="70" t="n">
        <f aca="false">IF(BI214="",0,MAX(0,MIN(1,(IF(CG214="L1",Parameter!$H$5,IF(CG214="L23",Parameter!$H$6+Parameter!$H$7,Parameter!$H$5+Parameter!$H$6+Parameter!$H$7))-(BI214-BD214))/BD214)))</f>
        <v>1</v>
      </c>
      <c r="BK214" s="60" t="str">
        <f aca="false">IF(AJ214&lt;=0,"",IF(CG214="Aussen","Aussenlager",IF(CG214="-","Nicht im Lift",IF(AP214&gt;=1,"Lift",IF(AP214&lt;=0,"Aussenlager","teilweise")))))</f>
        <v>Lift</v>
      </c>
      <c r="BL214" s="60" t="str">
        <f aca="false">IF(AT214&lt;=0,"",IF(CG214="Aussen","Aussenlager",IF(CG214="-","Nicht im Lift",IF(AZ214&gt;=1,"Lift",IF(AZ214&lt;=0,"Aussenlager","teilweise")))))</f>
        <v>Lift</v>
      </c>
      <c r="BM214" s="60" t="str">
        <f aca="false">IF(BD214&lt;=0,"",IF(CG214="Aussen","Aussenlager",IF(CG214="-","Nicht im Lift",IF(BJ214&gt;=1,"Lift",IF(BJ214&lt;=0,"Aussenlager","teilweise")))))</f>
        <v>Lift</v>
      </c>
      <c r="BN214" s="60" t="str">
        <f aca="false">IF(A214="","",IF(BW214=1,"Neu; ","")&amp;IF(AND(BW214=0,BR214&lt;0),"negativer Bestand (Export "&amp;BR214&amp;"); ","")&amp;IF(J214&lt;=0,"Kein Verbrauch; ","")&amp;IF(CR214&gt;0,"Lift "&amp;W214&amp;" lt. Liftbericht (Fach "&amp;X214&amp;" Stk); ",IF(CB214=1,"Gebinde geschätzt ("&amp;T214&amp;"); ",IF(CA214=1,"Lose – Tablare geschätzt; ","")))&amp;IF(H214&gt;AW214,"Überbestand "&amp;ROUND(H214-AW214,0)&amp;" Stk / CHF "&amp;ROUND((H214-AW214)*G214,0)&amp;"; ","")&amp;IF(AND(CI214=1,CJ214&lt;CK214),"MAX &lt; MB+LG; ","")&amp;IF(AND(CQ214&gt;0,CP214*10&gt;CQ214),"zu hoch für Tablar; ","")&amp;IF(AND(BW214=0,OR(CI214=1,AB214&lt;&gt;"",U214&lt;&gt;"",V214&lt;&gt;"",AC214&lt;&gt;"")),"manuell übersteuert; ","")&amp;IF(AND(CA214=0,R214=0),"Gebinde unbekannt / Stellmass fehlt; ","")&amp;IF(AND(CA214=0,N(V214)&lt;=0,N(Q214)&lt;=0),"Menge pro Gebinde fehlt (Ist = 1 Gebinde); ","")&amp;BV214)</f>
        <v>Kein Verbrauch; Gebinde geschätzt (Klein); Überbestand 49 Stk / CHF 696; Menge pro Gebinde fehlt (Ist = 1 Gebinde); </v>
      </c>
      <c r="BO214" s="60"/>
      <c r="BP214" s="60"/>
      <c r="BQ214" s="67"/>
      <c r="BR214" s="62" t="n">
        <v>50</v>
      </c>
      <c r="BS214" s="62" t="n">
        <v>0</v>
      </c>
      <c r="BT214" s="61" t="n">
        <v>710</v>
      </c>
      <c r="BU214" s="62" t="n">
        <v>0</v>
      </c>
      <c r="BV214" s="60"/>
      <c r="BW214" s="65" t="n">
        <v>0</v>
      </c>
      <c r="BX214" s="65" t="n">
        <v>214</v>
      </c>
      <c r="BY214" s="60" t="str">
        <f aca="false">IF(U214&lt;&gt;"",UPPER(TRIM(U214)),IF(CB214=1,UPPER(VLOOKUP(T214,Parameter!$I$27:$K$29,2,0)),IF(P214="","LOSE",P214)))</f>
        <v>S51</v>
      </c>
      <c r="BZ214" s="62" t="n">
        <f aca="false">IF(BY214="LOSE",1,IF(N(V214)&gt;0,V214,IF(CB214=1,MAX(1,N(VLOOKUP(T214,Parameter!$I$27:$K$29,3,0)),H214,N(N214)),IF(N(Q214)&gt;0,Q214,MAX(1,H214)))))</f>
        <v>50</v>
      </c>
      <c r="CA214" s="65" t="n">
        <f aca="false">IF(BY214="LOSE",1,0)</f>
        <v>0</v>
      </c>
      <c r="CB214" s="65" t="n">
        <f aca="false">IF(AND(U214="",OR(P214="",P214="LOSE"),T214&lt;&gt;"",N(S214)&lt;=0,ISNUMBER(MATCH(T214,Parameter!$I$27:$I$29,0))),1,0)</f>
        <v>1</v>
      </c>
      <c r="CC214" s="65" t="n">
        <f aca="false">IF(CR214&gt;0,INDEX(Parameter!$H$5:$H$7,W214)/INDEX(Parameter!$E$5:$E$7,W214),IF(AND(CA214=0,N(IFERROR(VLOOKUP(BY214,'Gebinde-Kategorie'!$A$5:$N$45,14,0),0))&gt;0),VLOOKUP(BY214,'Gebinde-Kategorie'!$A$5:$N$45,14,0)*10+Parameter!$M$23,Parameter!$M$24))</f>
        <v>155</v>
      </c>
      <c r="CD214" s="60" t="str">
        <f aca="false">IF(AND(Parameter!$B$19="Ja",E214&lt;&gt;"",ISNUMBER(MATCH(E214,Parameter!$I$35:$I$52,0))),VLOOKUP(E214,Parameter!$I$35:$J$52,2,0),IFERROR(VLOOKUP(D214,Parameter!$A$35:$C$64,2,0),"Nein"))</f>
        <v>2+3</v>
      </c>
      <c r="CE214" s="64" t="n">
        <f aca="false">IF(CA214=0,0,IF(N(S214)&gt;0,S214,IFERROR(VLOOKUP(D214,Parameter!$A$35:$C$64,3,0)+0,0)))</f>
        <v>0</v>
      </c>
      <c r="CF214" s="60" t="n">
        <f aca="false">IF(AB214&lt;&gt;"",AB214,AA214)</f>
        <v>3</v>
      </c>
      <c r="CG214" s="60" t="str">
        <f aca="false">IF(OR(CF214=1,CF214=2,CF214=3),IF(Parameter!$E$27="Ja","LIFT",IF(CF214=1,"L1","L23")),IF(CF214="Aussen","Aussen","-"))</f>
        <v>LIFT</v>
      </c>
      <c r="CH214" s="71" t="n">
        <f aca="false">IF(N(AC214)&gt;0,AC214,0)</f>
        <v>0</v>
      </c>
      <c r="CI214" s="65" t="n">
        <f aca="false">IF(ISNUMBER(AF214),1,0)</f>
        <v>0</v>
      </c>
      <c r="CJ214" s="62" t="n">
        <f aca="false">N(AF214)</f>
        <v>0</v>
      </c>
      <c r="CK214" s="62" t="n">
        <f aca="false">N(M214)+N(N214)</f>
        <v>1</v>
      </c>
      <c r="CL214" s="62" t="n">
        <f aca="false">N(M214)</f>
        <v>0</v>
      </c>
      <c r="CM214" s="62" t="n">
        <f aca="false">N(N214)</f>
        <v>1</v>
      </c>
      <c r="CN214" s="62" t="n">
        <f aca="false">ROUNDUP(H214/BZ214,0)</f>
        <v>1</v>
      </c>
      <c r="CO214" s="62" t="n">
        <f aca="false">ROUNDUP(CJ214/BZ214,0)</f>
        <v>0</v>
      </c>
      <c r="CP214" s="65" t="n">
        <f aca="false">IF(CA214=1,0,IFERROR(VLOOKUP(BY214,'Gebinde-Kategorie'!$A$5:$N$45,5,0)+0,0))</f>
        <v>11</v>
      </c>
      <c r="CQ214" s="65" t="n">
        <f aca="false">IFERROR(IF(OR(CF214=1,CF214=2,CF214=3),N(INDEX(Parameter!$I$5:$I$7,CF214)),0),0)</f>
        <v>0</v>
      </c>
      <c r="CR214" s="64" t="n">
        <f aca="false">IF(AND(Parameter!$B$21="Ja",ISNUMBER(W214),N(X214)&gt;0),IFERROR(N(INDEX(Parameter!$L$5:$L$7,W214))*INDEX(Parameter!$E$5:$E$7,W214)*X214/SUMIFS($X$7:$X$1843,$W$7:$W$1843,W214),0),0)</f>
        <v>0</v>
      </c>
      <c r="CS214" s="62" t="n">
        <f aca="false">IF(AND(OR(CG214="L1",CG214="L23",CG214="LIFT"),H214&gt;0),CC214*IF(CR214&gt;0,CR214*MAX(1,H214/X214),IF(CA214=1,CE214,IF(R214&gt;0,CN214/R214,0))/MAX(0.1,N(Parameter!$M$21))),"")</f>
        <v>5.96153846153846</v>
      </c>
      <c r="CT214" s="64" t="n">
        <f aca="false">IF(CS214="","",J214/H214)</f>
        <v>0</v>
      </c>
      <c r="CU214" s="62" t="n">
        <f aca="false">IF(CS214="","",H214*G214)</f>
        <v>710</v>
      </c>
      <c r="CV214" s="63" t="n">
        <f aca="false">IF(CS214="","",(CL214+ROUNDUP(CL214+MAX(CM214,2*(J214/MAX(0.1,N(Einkauf!$C$6))-CL214)),0))/2)</f>
        <v>0.5</v>
      </c>
      <c r="CW214" s="62" t="n">
        <f aca="false">IF(CS214="","",MAX(0,H214-CV214)*G214)</f>
        <v>702.9</v>
      </c>
      <c r="CX214" s="62" t="n">
        <f aca="false">IF(CS214="","",CS214*MAX(0,1-CV214/H214))</f>
        <v>5.90192307692308</v>
      </c>
      <c r="CY214" s="64" t="n">
        <f aca="false">IF(CS214="","",PERCENTRANK($CS$7:$CS$1843,CS214)+PERCENTRANK($CU$7:$CU$1843,CU214)+1-PERCENTRANK($CT$7:$CT$1843,CT214))</f>
        <v>1.937</v>
      </c>
      <c r="CZ214" s="72" t="n">
        <f aca="false">IF(CS214="","",CHOOSE(MATCH(Einkauf!$C$5,Parameter!$G$23:$G$27,0),CY214,CS214,CU214,-CT214,CW214)+ROW()/1000000000)</f>
        <v>1.937000214</v>
      </c>
    </row>
    <row r="215" customFormat="false" ht="15" hidden="false" customHeight="false" outlineLevel="0" collapsed="false">
      <c r="A215" s="60" t="s">
        <v>666</v>
      </c>
      <c r="B215" s="60" t="s">
        <v>425</v>
      </c>
      <c r="C215" s="60" t="s">
        <v>206</v>
      </c>
      <c r="D215" s="60" t="s">
        <v>226</v>
      </c>
      <c r="E215" s="60" t="s">
        <v>227</v>
      </c>
      <c r="F215" s="60" t="s">
        <v>260</v>
      </c>
      <c r="G215" s="61" t="n">
        <v>223.2</v>
      </c>
      <c r="H215" s="62" t="n">
        <f aca="false">MAX(0,IF(AND(Parameter!$B$21="Ja",ISNUMBER(Y215)),Y215,IF(Parameter!$B$20="Jahresanfang 2025 + Export",BS215+BR215,BR215)))</f>
        <v>10</v>
      </c>
      <c r="I215" s="62" t="n">
        <f aca="false">H215*G215</f>
        <v>2232</v>
      </c>
      <c r="J215" s="62" t="n">
        <f aca="false">BU215*Parameter!$B$18</f>
        <v>22</v>
      </c>
      <c r="K215" s="63" t="n">
        <v>6.5</v>
      </c>
      <c r="L215" s="64" t="n">
        <v>3.38461538461539</v>
      </c>
      <c r="M215" s="62" t="n">
        <v>1</v>
      </c>
      <c r="N215" s="62" t="n">
        <v>5</v>
      </c>
      <c r="O215" s="65" t="n">
        <v>21</v>
      </c>
      <c r="P215" s="60" t="s">
        <v>335</v>
      </c>
      <c r="Q215" s="62" t="n">
        <v>18</v>
      </c>
      <c r="R215" s="65" t="n">
        <f aca="false">IF(CA215=1,0,IFERROR(VLOOKUP(BY215,'Gebinde-Kategorie'!$A$5:$N$45,13,0)+0,0))</f>
        <v>12</v>
      </c>
      <c r="S215" s="66"/>
      <c r="T215" s="67"/>
      <c r="U215" s="67"/>
      <c r="V215" s="67"/>
      <c r="W215" s="60"/>
      <c r="X215" s="62"/>
      <c r="Y215" s="62"/>
      <c r="Z215" s="60" t="n">
        <v>3</v>
      </c>
      <c r="AA215" s="60" t="n">
        <f aca="false">IF(A215="","",IF(AND(Parameter!$B$21="Ja",ISNUMBER(W215)),W215,IF(AND(Parameter!$E$27="Ja",ISNUMBER(Z215),CD215&lt;&gt;"Nein"),Z215,IF(CD215="2+3",IF(ISNUMBER(SEARCH("grosser Artikel",BV215)),2,IFERROR(VLOOKUP(BY215,Parameter!$F$35:$G$64,2,0),2)),IF(OR(CD215="Nein",CD215=""),"-",CD215)))))</f>
        <v>3</v>
      </c>
      <c r="AB215" s="67"/>
      <c r="AC215" s="68"/>
      <c r="AD215" s="62" t="n">
        <f aca="false">AW215</f>
        <v>14</v>
      </c>
      <c r="AE215" s="62" t="n">
        <f aca="false">MAX(AW215,H215)</f>
        <v>14</v>
      </c>
      <c r="AF215" s="69"/>
      <c r="AG215" s="62" t="n">
        <f aca="false">IF(LEFT(Cockpit!$C$5,1)="A",H215,IF(Parameter!$E$30="MAX-Bestand",IF(CI215=1,CJ215,IF(LEFT(Cockpit!$C$5,1)="B",AM215,MAX(AM215,H215))),ROUNDUP(AK215,0)))</f>
        <v>10</v>
      </c>
      <c r="AH215" s="62" t="n">
        <f aca="false">IF(CA215=1,0,ROUNDUP(AG215/BZ215,0))</f>
        <v>1</v>
      </c>
      <c r="AI215" s="64" t="n">
        <f aca="false">IF(CR215&gt;0,CR215*MAX(1,AG215/X215),IF(CA215=1,IF(AG215&lt;=0,0,CE215*MAX(1,IF(H215&gt;0,AG215/H215,1))),IF(R215&gt;0,AH215/R215,0))/MAX(0.1,N(Parameter!$M$21)))</f>
        <v>0.0833333333333333</v>
      </c>
      <c r="AJ215" s="62" t="n">
        <f aca="false">AI215*CC215</f>
        <v>20.4166666666667</v>
      </c>
      <c r="AK215" s="63" t="n">
        <f aca="false">IF(LEFT(Cockpit!$C$5,1)="A",H215,IF(CI215=1,(CL215+CJ215)/2,IF(LEFT(Cockpit!$C$5,1)="B",(CL215+AM215)/2,MAX((CL215+AM215)/2,H215))))</f>
        <v>10</v>
      </c>
      <c r="AL215" s="62" t="n">
        <f aca="false">AK215*G215</f>
        <v>2232</v>
      </c>
      <c r="AM215" s="62" t="n">
        <f aca="false">ROUNDUP(CL215+MAX(CM215,2*(J215/IF(CH215&gt;0,CH215,MAX(0.1,N(Cockpit!$C$6)))-CL215)),0)</f>
        <v>14</v>
      </c>
      <c r="AN215" s="63" t="n">
        <f aca="false">IF(AJ215&gt;0,J215/AJ215,-1)</f>
        <v>1.07755102040816</v>
      </c>
      <c r="AO215" s="63" t="n">
        <f aca="false">IF(AND(OR(CG215="L1",CG215="L23",CG215="LIFT"),AJ215&gt;0),SUMIFS($AJ$7:$AJ$1843,$CG$7:$CG$1843,CG215,$AN$7:$AN$1843,"&gt;"&amp;AN215)+SUMIFS($AJ$7:$AJ$1843,$CG$7:$CG$1843,CG215,$AN$7:$AN$1843,AN215,$BX$7:$BX$1843,"&lt;="&amp;BX215),"")</f>
        <v>6903.13507326007</v>
      </c>
      <c r="AP215" s="70" t="n">
        <f aca="false">IF(AO215="",0,MAX(0,MIN(1,(IF(CG215="L1",Parameter!$H$5,IF(CG215="L23",Parameter!$H$6+Parameter!$H$7,Parameter!$H$5+Parameter!$H$6+Parameter!$H$7))-(AO215-AJ215))/AJ215)))</f>
        <v>1</v>
      </c>
      <c r="AQ215" s="62" t="n">
        <f aca="false">IF(LEFT(Cockpit!$I$5,1)="A",H215,IF(Parameter!$E$30="MAX-Bestand",IF(CI215=1,CJ215,IF(LEFT(Cockpit!$I$5,1)="B",AW215,MAX(AW215,H215))),ROUNDUP(AU215,0)))</f>
        <v>10</v>
      </c>
      <c r="AR215" s="62" t="n">
        <f aca="false">IF(CA215=1,0,ROUNDUP(AQ215/BZ215,0))</f>
        <v>1</v>
      </c>
      <c r="AS215" s="64" t="n">
        <f aca="false">IF(CR215&gt;0,CR215*MAX(1,AQ215/X215),IF(CA215=1,IF(AQ215&lt;=0,0,CE215*MAX(1,IF(H215&gt;0,AQ215/H215,1))),IF(R215&gt;0,AR215/R215,0))/MAX(0.1,N(Parameter!$M$21)))</f>
        <v>0.0833333333333333</v>
      </c>
      <c r="AT215" s="62" t="n">
        <f aca="false">AS215*CC215</f>
        <v>20.4166666666667</v>
      </c>
      <c r="AU215" s="63" t="n">
        <f aca="false">IF(LEFT(Cockpit!$I$5,1)="A",H215,IF(CI215=1,(CL215+CJ215)/2,IF(LEFT(Cockpit!$I$5,1)="B",(CL215+AW215)/2,MAX((CL215+AW215)/2,H215))))</f>
        <v>10</v>
      </c>
      <c r="AV215" s="62" t="n">
        <f aca="false">AU215*G215</f>
        <v>2232</v>
      </c>
      <c r="AW215" s="62" t="n">
        <f aca="false">ROUNDUP(CL215+MAX(CM215,2*(J215/IF(CH215&gt;0,CH215,MAX(0.1,N(Cockpit!$I$6)))-CL215)),0)</f>
        <v>14</v>
      </c>
      <c r="AX215" s="63" t="n">
        <f aca="false">IF(AT215&gt;0,J215/AT215,-1)</f>
        <v>1.07755102040816</v>
      </c>
      <c r="AY215" s="63" t="n">
        <f aca="false">IF(AND(OR(CG215="L1",CG215="L23",CG215="LIFT"),AT215&gt;0),SUMIFS($AT$7:$AT$1843,$CG$7:$CG$1843,CG215,$AX$7:$AX$1843,"&gt;"&amp;AX215)+SUMIFS($AT$7:$AT$1843,$CG$7:$CG$1843,CG215,$AX$7:$AX$1843,AX215,$BX$7:$BX$1843,"&lt;="&amp;BX215),"")</f>
        <v>8253.63278388278</v>
      </c>
      <c r="AZ215" s="70" t="n">
        <f aca="false">IF(AY215="",0,MAX(0,MIN(1,(IF(CG215="L1",Parameter!$H$5,IF(CG215="L23",Parameter!$H$6+Parameter!$H$7,Parameter!$H$5+Parameter!$H$6+Parameter!$H$7))-(AY215-AT215))/AT215)))</f>
        <v>1</v>
      </c>
      <c r="BA215" s="62" t="n">
        <f aca="false">IF(LEFT(Cockpit!$O$5,1)="A",H215,IF(Parameter!$E$30="MAX-Bestand",IF(CI215=1,CJ215,IF(LEFT(Cockpit!$O$5,1)="B",BG215,MAX(BG215,H215))),ROUNDUP(BE215,0)))</f>
        <v>6</v>
      </c>
      <c r="BB215" s="62" t="n">
        <f aca="false">IF(CA215=1,0,ROUNDUP(BA215/BZ215,0))</f>
        <v>1</v>
      </c>
      <c r="BC215" s="64" t="n">
        <f aca="false">IF(CR215&gt;0,CR215*MAX(1,BA215/X215),IF(CA215=1,IF(BA215&lt;=0,0,CE215*MAX(1,IF(H215&gt;0,BA215/H215,1))),IF(R215&gt;0,BB215/R215,0))/MAX(0.1,N(Parameter!$M$21)))</f>
        <v>0.0833333333333333</v>
      </c>
      <c r="BD215" s="62" t="n">
        <f aca="false">BC215*CC215</f>
        <v>20.4166666666667</v>
      </c>
      <c r="BE215" s="63" t="n">
        <f aca="false">IF(LEFT(Cockpit!$O$5,1)="A",H215,IF(CI215=1,(CL215+CJ215)/2,IF(LEFT(Cockpit!$O$5,1)="B",(CL215+BG215)/2,MAX((CL215+BG215)/2,H215))))</f>
        <v>5.5</v>
      </c>
      <c r="BF215" s="62" t="n">
        <f aca="false">BE215*G215</f>
        <v>1227.6</v>
      </c>
      <c r="BG215" s="62" t="n">
        <f aca="false">ROUNDUP(CL215+MAX(CM215,2*(J215/IF(CH215&gt;0,CH215,MAX(0.1,N(Cockpit!$O$6)))-CL215)),0)</f>
        <v>10</v>
      </c>
      <c r="BH215" s="63" t="n">
        <f aca="false">IF(BD215&gt;0,J215/BD215,-1)</f>
        <v>1.07755102040816</v>
      </c>
      <c r="BI215" s="63" t="n">
        <f aca="false">IF(AND(OR(CG215="L1",CG215="L23",CG215="LIFT"),BD215&gt;0),SUMIFS($BD$7:$BD$1843,$CG$7:$CG$1843,CG215,$BH$7:$BH$1843,"&gt;"&amp;BH215)+SUMIFS($BD$7:$BD$1843,$CG$7:$CG$1843,CG215,$BH$7:$BH$1843,BH215,$BX$7:$BX$1843,"&lt;="&amp;BX215),"")</f>
        <v>7407.80357142857</v>
      </c>
      <c r="BJ215" s="70" t="n">
        <f aca="false">IF(BI215="",0,MAX(0,MIN(1,(IF(CG215="L1",Parameter!$H$5,IF(CG215="L23",Parameter!$H$6+Parameter!$H$7,Parameter!$H$5+Parameter!$H$6+Parameter!$H$7))-(BI215-BD215))/BD215)))</f>
        <v>1</v>
      </c>
      <c r="BK215" s="60" t="str">
        <f aca="false">IF(AJ215&lt;=0,"",IF(CG215="Aussen","Aussenlager",IF(CG215="-","Nicht im Lift",IF(AP215&gt;=1,"Lift",IF(AP215&lt;=0,"Aussenlager","teilweise")))))</f>
        <v>Lift</v>
      </c>
      <c r="BL215" s="60" t="str">
        <f aca="false">IF(AT215&lt;=0,"",IF(CG215="Aussen","Aussenlager",IF(CG215="-","Nicht im Lift",IF(AZ215&gt;=1,"Lift",IF(AZ215&lt;=0,"Aussenlager","teilweise")))))</f>
        <v>Lift</v>
      </c>
      <c r="BM215" s="60" t="str">
        <f aca="false">IF(BD215&lt;=0,"",IF(CG215="Aussen","Aussenlager",IF(CG215="-","Nicht im Lift",IF(BJ215&gt;=1,"Lift",IF(BJ215&lt;=0,"Aussenlager","teilweise")))))</f>
        <v>Lift</v>
      </c>
      <c r="BN215" s="60" t="str">
        <f aca="false">IF(A215="","",IF(BW215=1,"Neu; ","")&amp;IF(AND(BW215=0,BR215&lt;0),"negativer Bestand (Export "&amp;BR215&amp;"); ","")&amp;IF(J215&lt;=0,"Kein Verbrauch; ","")&amp;IF(CR215&gt;0,"Lift "&amp;W215&amp;" lt. Liftbericht (Fach "&amp;X215&amp;" Stk); ",IF(CB215=1,"Gebinde geschätzt ("&amp;T215&amp;"); ",IF(CA215=1,"Lose – Tablare geschätzt; ","")))&amp;IF(H215&gt;AW215,"Überbestand "&amp;ROUND(H215-AW215,0)&amp;" Stk / CHF "&amp;ROUND((H215-AW215)*G215,0)&amp;"; ","")&amp;IF(AND(CI215=1,CJ215&lt;CK215),"MAX &lt; MB+LG; ","")&amp;IF(AND(CQ215&gt;0,CP215*10&gt;CQ215),"zu hoch für Tablar; ","")&amp;IF(AND(BW215=0,OR(CI215=1,AB215&lt;&gt;"",U215&lt;&gt;"",V215&lt;&gt;"",AC215&lt;&gt;"")),"manuell übersteuert; ","")&amp;IF(AND(CA215=0,R215=0),"Gebinde unbekannt / Stellmass fehlt; ","")&amp;IF(AND(CA215=0,N(V215)&lt;=0,N(Q215)&lt;=0),"Menge pro Gebinde fehlt (Ist = 1 Gebinde); ","")&amp;BV215)</f>
        <v/>
      </c>
      <c r="BO215" s="60"/>
      <c r="BP215" s="60"/>
      <c r="BQ215" s="67"/>
      <c r="BR215" s="62" t="n">
        <v>3</v>
      </c>
      <c r="BS215" s="62" t="n">
        <v>7</v>
      </c>
      <c r="BT215" s="61" t="n">
        <v>705.600000000001</v>
      </c>
      <c r="BU215" s="62" t="n">
        <v>22</v>
      </c>
      <c r="BV215" s="60"/>
      <c r="BW215" s="65" t="n">
        <v>0</v>
      </c>
      <c r="BX215" s="65" t="n">
        <v>215</v>
      </c>
      <c r="BY215" s="60" t="str">
        <f aca="false">IF(U215&lt;&gt;"",UPPER(TRIM(U215)),IF(CB215=1,UPPER(VLOOKUP(T215,Parameter!$I$27:$K$29,2,0)),IF(P215="","LOSE",P215)))</f>
        <v>S62</v>
      </c>
      <c r="BZ215" s="62" t="n">
        <f aca="false">IF(BY215="LOSE",1,IF(N(V215)&gt;0,V215,IF(CB215=1,MAX(1,N(VLOOKUP(T215,Parameter!$I$27:$K$29,3,0)),H215,N(N215)),IF(N(Q215)&gt;0,Q215,MAX(1,H215)))))</f>
        <v>18</v>
      </c>
      <c r="CA215" s="65" t="n">
        <f aca="false">IF(BY215="LOSE",1,0)</f>
        <v>0</v>
      </c>
      <c r="CB215" s="65" t="n">
        <f aca="false">IF(AND(U215="",OR(P215="",P215="LOSE"),T215&lt;&gt;"",N(S215)&lt;=0,ISNUMBER(MATCH(T215,Parameter!$I$27:$I$29,0))),1,0)</f>
        <v>0</v>
      </c>
      <c r="CC215" s="65" t="n">
        <f aca="false">IF(CR215&gt;0,INDEX(Parameter!$H$5:$H$7,W215)/INDEX(Parameter!$E$5:$E$7,W215),IF(AND(CA215=0,N(IFERROR(VLOOKUP(BY215,'Gebinde-Kategorie'!$A$5:$N$45,14,0),0))&gt;0),VLOOKUP(BY215,'Gebinde-Kategorie'!$A$5:$N$45,14,0)*10+Parameter!$M$23,Parameter!$M$24))</f>
        <v>245</v>
      </c>
      <c r="CD215" s="60" t="str">
        <f aca="false">IF(AND(Parameter!$B$19="Ja",E215&lt;&gt;"",ISNUMBER(MATCH(E215,Parameter!$I$35:$I$52,0))),VLOOKUP(E215,Parameter!$I$35:$J$52,2,0),IFERROR(VLOOKUP(D215,Parameter!$A$35:$C$64,2,0),"Nein"))</f>
        <v>2+3</v>
      </c>
      <c r="CE215" s="64" t="n">
        <f aca="false">IF(CA215=0,0,IF(N(S215)&gt;0,S215,IFERROR(VLOOKUP(D215,Parameter!$A$35:$C$64,3,0)+0,0)))</f>
        <v>0</v>
      </c>
      <c r="CF215" s="60" t="n">
        <f aca="false">IF(AB215&lt;&gt;"",AB215,AA215)</f>
        <v>3</v>
      </c>
      <c r="CG215" s="60" t="str">
        <f aca="false">IF(OR(CF215=1,CF215=2,CF215=3),IF(Parameter!$E$27="Ja","LIFT",IF(CF215=1,"L1","L23")),IF(CF215="Aussen","Aussen","-"))</f>
        <v>LIFT</v>
      </c>
      <c r="CH215" s="71" t="n">
        <f aca="false">IF(N(AC215)&gt;0,AC215,0)</f>
        <v>0</v>
      </c>
      <c r="CI215" s="65" t="n">
        <f aca="false">IF(ISNUMBER(AF215),1,0)</f>
        <v>0</v>
      </c>
      <c r="CJ215" s="62" t="n">
        <f aca="false">N(AF215)</f>
        <v>0</v>
      </c>
      <c r="CK215" s="62" t="n">
        <f aca="false">N(M215)+N(N215)</f>
        <v>6</v>
      </c>
      <c r="CL215" s="62" t="n">
        <f aca="false">N(M215)</f>
        <v>1</v>
      </c>
      <c r="CM215" s="62" t="n">
        <f aca="false">N(N215)</f>
        <v>5</v>
      </c>
      <c r="CN215" s="62" t="n">
        <f aca="false">ROUNDUP(H215/BZ215,0)</f>
        <v>1</v>
      </c>
      <c r="CO215" s="62" t="n">
        <f aca="false">ROUNDUP(CJ215/BZ215,0)</f>
        <v>0</v>
      </c>
      <c r="CP215" s="65" t="n">
        <f aca="false">IF(CA215=1,0,IFERROR(VLOOKUP(BY215,'Gebinde-Kategorie'!$A$5:$N$45,5,0)+0,0))</f>
        <v>21</v>
      </c>
      <c r="CQ215" s="65" t="n">
        <f aca="false">IFERROR(IF(OR(CF215=1,CF215=2,CF215=3),N(INDEX(Parameter!$I$5:$I$7,CF215)),0),0)</f>
        <v>0</v>
      </c>
      <c r="CR215" s="64" t="n">
        <f aca="false">IF(AND(Parameter!$B$21="Ja",ISNUMBER(W215),N(X215)&gt;0),IFERROR(N(INDEX(Parameter!$L$5:$L$7,W215))*INDEX(Parameter!$E$5:$E$7,W215)*X215/SUMIFS($X$7:$X$1843,$W$7:$W$1843,W215),0),0)</f>
        <v>0</v>
      </c>
      <c r="CS215" s="62" t="n">
        <f aca="false">IF(AND(OR(CG215="L1",CG215="L23",CG215="LIFT"),H215&gt;0),CC215*IF(CR215&gt;0,CR215*MAX(1,H215/X215),IF(CA215=1,CE215,IF(R215&gt;0,CN215/R215,0))/MAX(0.1,N(Parameter!$M$21))),"")</f>
        <v>20.4166666666667</v>
      </c>
      <c r="CT215" s="64" t="n">
        <f aca="false">IF(CS215="","",J215/H215)</f>
        <v>2.2</v>
      </c>
      <c r="CU215" s="62" t="n">
        <f aca="false">IF(CS215="","",H215*G215)</f>
        <v>2232</v>
      </c>
      <c r="CV215" s="63" t="n">
        <f aca="false">IF(CS215="","",(CL215+ROUNDUP(CL215+MAX(CM215,2*(J215/MAX(0.1,N(Einkauf!$C$6))-CL215)),0))/2)</f>
        <v>5.5</v>
      </c>
      <c r="CW215" s="62" t="n">
        <f aca="false">IF(CS215="","",MAX(0,H215-CV215)*G215)</f>
        <v>1004.4</v>
      </c>
      <c r="CX215" s="62" t="n">
        <f aca="false">IF(CS215="","",CS215*MAX(0,1-CV215/H215))</f>
        <v>9.1875</v>
      </c>
      <c r="CY215" s="64" t="n">
        <f aca="false">IF(CS215="","",PERCENTRANK($CS$7:$CS$1843,CS215)+PERCENTRANK($CU$7:$CU$1843,CU215)+1-PERCENTRANK($CT$7:$CT$1843,CT215))</f>
        <v>1.749</v>
      </c>
      <c r="CZ215" s="72" t="n">
        <f aca="false">IF(CS215="","",CHOOSE(MATCH(Einkauf!$C$5,Parameter!$G$23:$G$27,0),CY215,CS215,CU215,-CT215,CW215)+ROW()/1000000000)</f>
        <v>1.749000215</v>
      </c>
    </row>
    <row r="216" customFormat="false" ht="15" hidden="false" customHeight="false" outlineLevel="0" collapsed="false">
      <c r="A216" s="60" t="s">
        <v>667</v>
      </c>
      <c r="B216" s="60" t="s">
        <v>549</v>
      </c>
      <c r="C216" s="60" t="s">
        <v>206</v>
      </c>
      <c r="D216" s="60" t="s">
        <v>226</v>
      </c>
      <c r="E216" s="60" t="s">
        <v>227</v>
      </c>
      <c r="F216" s="60" t="s">
        <v>260</v>
      </c>
      <c r="G216" s="61" t="n">
        <v>29.19</v>
      </c>
      <c r="H216" s="62" t="n">
        <f aca="false">MAX(0,IF(AND(Parameter!$B$21="Ja",ISNUMBER(Y216)),Y216,IF(Parameter!$B$20="Jahresanfang 2025 + Export",BS216+BR216,BR216)))</f>
        <v>39</v>
      </c>
      <c r="I216" s="62" t="n">
        <f aca="false">H216*G216</f>
        <v>1138.41</v>
      </c>
      <c r="J216" s="62" t="n">
        <f aca="false">BU216*Parameter!$B$18</f>
        <v>0</v>
      </c>
      <c r="K216" s="63" t="n">
        <v>27</v>
      </c>
      <c r="L216" s="64" t="n">
        <v>0</v>
      </c>
      <c r="M216" s="62" t="n">
        <v>0</v>
      </c>
      <c r="N216" s="62" t="n">
        <v>1</v>
      </c>
      <c r="O216" s="65" t="n">
        <v>21</v>
      </c>
      <c r="P216" s="60" t="s">
        <v>275</v>
      </c>
      <c r="Q216" s="62" t="n">
        <v>24</v>
      </c>
      <c r="R216" s="65" t="n">
        <f aca="false">IF(CA216=1,0,IFERROR(VLOOKUP(BY216,'Gebinde-Kategorie'!$A$5:$N$45,13,0)+0,0))</f>
        <v>26</v>
      </c>
      <c r="S216" s="66"/>
      <c r="T216" s="67"/>
      <c r="U216" s="67"/>
      <c r="V216" s="67"/>
      <c r="W216" s="60"/>
      <c r="X216" s="62"/>
      <c r="Y216" s="62"/>
      <c r="Z216" s="60" t="n">
        <v>3</v>
      </c>
      <c r="AA216" s="60" t="n">
        <f aca="false">IF(A216="","",IF(AND(Parameter!$B$21="Ja",ISNUMBER(W216)),W216,IF(AND(Parameter!$E$27="Ja",ISNUMBER(Z216),CD216&lt;&gt;"Nein"),Z216,IF(CD216="2+3",IF(ISNUMBER(SEARCH("grosser Artikel",BV216)),2,IFERROR(VLOOKUP(BY216,Parameter!$F$35:$G$64,2,0),2)),IF(OR(CD216="Nein",CD216=""),"-",CD216)))))</f>
        <v>3</v>
      </c>
      <c r="AB216" s="67"/>
      <c r="AC216" s="68"/>
      <c r="AD216" s="62" t="n">
        <f aca="false">AW216</f>
        <v>1</v>
      </c>
      <c r="AE216" s="62" t="n">
        <f aca="false">MAX(AW216,H216)</f>
        <v>39</v>
      </c>
      <c r="AF216" s="69"/>
      <c r="AG216" s="62" t="n">
        <f aca="false">IF(LEFT(Cockpit!$C$5,1)="A",H216,IF(Parameter!$E$30="MAX-Bestand",IF(CI216=1,CJ216,IF(LEFT(Cockpit!$C$5,1)="B",AM216,MAX(AM216,H216))),ROUNDUP(AK216,0)))</f>
        <v>39</v>
      </c>
      <c r="AH216" s="62" t="n">
        <f aca="false">IF(CA216=1,0,ROUNDUP(AG216/BZ216,0))</f>
        <v>2</v>
      </c>
      <c r="AI216" s="64" t="n">
        <f aca="false">IF(CR216&gt;0,CR216*MAX(1,AG216/X216),IF(CA216=1,IF(AG216&lt;=0,0,CE216*MAX(1,IF(H216&gt;0,AG216/H216,1))),IF(R216&gt;0,AH216/R216,0))/MAX(0.1,N(Parameter!$M$21)))</f>
        <v>0.0769230769230769</v>
      </c>
      <c r="AJ216" s="62" t="n">
        <f aca="false">AI216*CC216</f>
        <v>18.8461538461538</v>
      </c>
      <c r="AK216" s="63" t="n">
        <f aca="false">IF(LEFT(Cockpit!$C$5,1)="A",H216,IF(CI216=1,(CL216+CJ216)/2,IF(LEFT(Cockpit!$C$5,1)="B",(CL216+AM216)/2,MAX((CL216+AM216)/2,H216))))</f>
        <v>39</v>
      </c>
      <c r="AL216" s="62" t="n">
        <f aca="false">AK216*G216</f>
        <v>1138.41</v>
      </c>
      <c r="AM216" s="62" t="n">
        <f aca="false">ROUNDUP(CL216+MAX(CM216,2*(J216/IF(CH216&gt;0,CH216,MAX(0.1,N(Cockpit!$C$6)))-CL216)),0)</f>
        <v>1</v>
      </c>
      <c r="AN216" s="63" t="n">
        <f aca="false">IF(AJ216&gt;0,J216/AJ216,-1)</f>
        <v>0</v>
      </c>
      <c r="AO216" s="63" t="n">
        <f aca="false">IF(AND(OR(CG216="L1",CG216="L23",CG216="LIFT"),AJ216&gt;0),SUMIFS($AJ$7:$AJ$1843,$CG$7:$CG$1843,CG216,$AN$7:$AN$1843,"&gt;"&amp;AN216)+SUMIFS($AJ$7:$AJ$1843,$CG$7:$CG$1843,CG216,$AN$7:$AN$1843,AN216,$BX$7:$BX$1843,"&lt;="&amp;BX216),"")</f>
        <v>27555.1869813332</v>
      </c>
      <c r="AP216" s="70" t="n">
        <f aca="false">IF(AO216="",0,MAX(0,MIN(1,(IF(CG216="L1",Parameter!$H$5,IF(CG216="L23",Parameter!$H$6+Parameter!$H$7,Parameter!$H$5+Parameter!$H$6+Parameter!$H$7))-(AO216-AJ216))/AJ216)))</f>
        <v>1</v>
      </c>
      <c r="AQ216" s="62" t="n">
        <f aca="false">IF(LEFT(Cockpit!$I$5,1)="A",H216,IF(Parameter!$E$30="MAX-Bestand",IF(CI216=1,CJ216,IF(LEFT(Cockpit!$I$5,1)="B",AW216,MAX(AW216,H216))),ROUNDUP(AU216,0)))</f>
        <v>39</v>
      </c>
      <c r="AR216" s="62" t="n">
        <f aca="false">IF(CA216=1,0,ROUNDUP(AQ216/BZ216,0))</f>
        <v>2</v>
      </c>
      <c r="AS216" s="64" t="n">
        <f aca="false">IF(CR216&gt;0,CR216*MAX(1,AQ216/X216),IF(CA216=1,IF(AQ216&lt;=0,0,CE216*MAX(1,IF(H216&gt;0,AQ216/H216,1))),IF(R216&gt;0,AR216/R216,0))/MAX(0.1,N(Parameter!$M$21)))</f>
        <v>0.0769230769230769</v>
      </c>
      <c r="AT216" s="62" t="n">
        <f aca="false">AS216*CC216</f>
        <v>18.8461538461538</v>
      </c>
      <c r="AU216" s="63" t="n">
        <f aca="false">IF(LEFT(Cockpit!$I$5,1)="A",H216,IF(CI216=1,(CL216+CJ216)/2,IF(LEFT(Cockpit!$I$5,1)="B",(CL216+AW216)/2,MAX((CL216+AW216)/2,H216))))</f>
        <v>39</v>
      </c>
      <c r="AV216" s="62" t="n">
        <f aca="false">AU216*G216</f>
        <v>1138.41</v>
      </c>
      <c r="AW216" s="62" t="n">
        <f aca="false">ROUNDUP(CL216+MAX(CM216,2*(J216/IF(CH216&gt;0,CH216,MAX(0.1,N(Cockpit!$I$6)))-CL216)),0)</f>
        <v>1</v>
      </c>
      <c r="AX216" s="63" t="n">
        <f aca="false">IF(AT216&gt;0,J216/AT216,-1)</f>
        <v>0</v>
      </c>
      <c r="AY216" s="63" t="n">
        <f aca="false">IF(AND(OR(CG216="L1",CG216="L23",CG216="LIFT"),AT216&gt;0),SUMIFS($AT$7:$AT$1843,$CG$7:$CG$1843,CG216,$AX$7:$AX$1843,"&gt;"&amp;AX216)+SUMIFS($AT$7:$AT$1843,$CG$7:$CG$1843,CG216,$AX$7:$AX$1843,AX216,$BX$7:$BX$1843,"&lt;="&amp;BX216),"")</f>
        <v>32908.3356227106</v>
      </c>
      <c r="AZ216" s="70" t="n">
        <f aca="false">IF(AY216="",0,MAX(0,MIN(1,(IF(CG216="L1",Parameter!$H$5,IF(CG216="L23",Parameter!$H$6+Parameter!$H$7,Parameter!$H$5+Parameter!$H$6+Parameter!$H$7))-(AY216-AT216))/AT216)))</f>
        <v>1</v>
      </c>
      <c r="BA216" s="62" t="n">
        <f aca="false">IF(LEFT(Cockpit!$O$5,1)="A",H216,IF(Parameter!$E$30="MAX-Bestand",IF(CI216=1,CJ216,IF(LEFT(Cockpit!$O$5,1)="B",BG216,MAX(BG216,H216))),ROUNDUP(BE216,0)))</f>
        <v>1</v>
      </c>
      <c r="BB216" s="62" t="n">
        <f aca="false">IF(CA216=1,0,ROUNDUP(BA216/BZ216,0))</f>
        <v>1</v>
      </c>
      <c r="BC216" s="64" t="n">
        <f aca="false">IF(CR216&gt;0,CR216*MAX(1,BA216/X216),IF(CA216=1,IF(BA216&lt;=0,0,CE216*MAX(1,IF(H216&gt;0,BA216/H216,1))),IF(R216&gt;0,BB216/R216,0))/MAX(0.1,N(Parameter!$M$21)))</f>
        <v>0.0384615384615385</v>
      </c>
      <c r="BD216" s="62" t="n">
        <f aca="false">BC216*CC216</f>
        <v>9.42307692307692</v>
      </c>
      <c r="BE216" s="63" t="n">
        <f aca="false">IF(LEFT(Cockpit!$O$5,1)="A",H216,IF(CI216=1,(CL216+CJ216)/2,IF(LEFT(Cockpit!$O$5,1)="B",(CL216+BG216)/2,MAX((CL216+BG216)/2,H216))))</f>
        <v>0.5</v>
      </c>
      <c r="BF216" s="62" t="n">
        <f aca="false">BE216*G216</f>
        <v>14.595</v>
      </c>
      <c r="BG216" s="62" t="n">
        <f aca="false">ROUNDUP(CL216+MAX(CM216,2*(J216/IF(CH216&gt;0,CH216,MAX(0.1,N(Cockpit!$O$6)))-CL216)),0)</f>
        <v>1</v>
      </c>
      <c r="BH216" s="63" t="n">
        <f aca="false">IF(BD216&gt;0,J216/BD216,-1)</f>
        <v>0</v>
      </c>
      <c r="BI216" s="63" t="n">
        <f aca="false">IF(AND(OR(CG216="L1",CG216="L23",CG216="LIFT"),BD216&gt;0),SUMIFS($BD$7:$BD$1843,$CG$7:$CG$1843,CG216,$BH$7:$BH$1843,"&gt;"&amp;BH216)+SUMIFS($BD$7:$BD$1843,$CG$7:$CG$1843,CG216,$BH$7:$BH$1843,BH216,$BX$7:$BX$1843,"&lt;="&amp;BX216),"")</f>
        <v>27063.1546454957</v>
      </c>
      <c r="BJ216" s="70" t="n">
        <f aca="false">IF(BI216="",0,MAX(0,MIN(1,(IF(CG216="L1",Parameter!$H$5,IF(CG216="L23",Parameter!$H$6+Parameter!$H$7,Parameter!$H$5+Parameter!$H$6+Parameter!$H$7))-(BI216-BD216))/BD216)))</f>
        <v>1</v>
      </c>
      <c r="BK216" s="60" t="str">
        <f aca="false">IF(AJ216&lt;=0,"",IF(CG216="Aussen","Aussenlager",IF(CG216="-","Nicht im Lift",IF(AP216&gt;=1,"Lift",IF(AP216&lt;=0,"Aussenlager","teilweise")))))</f>
        <v>Lift</v>
      </c>
      <c r="BL216" s="60" t="str">
        <f aca="false">IF(AT216&lt;=0,"",IF(CG216="Aussen","Aussenlager",IF(CG216="-","Nicht im Lift",IF(AZ216&gt;=1,"Lift",IF(AZ216&lt;=0,"Aussenlager","teilweise")))))</f>
        <v>Lift</v>
      </c>
      <c r="BM216" s="60" t="str">
        <f aca="false">IF(BD216&lt;=0,"",IF(CG216="Aussen","Aussenlager",IF(CG216="-","Nicht im Lift",IF(BJ216&gt;=1,"Lift",IF(BJ216&lt;=0,"Aussenlager","teilweise")))))</f>
        <v>Lift</v>
      </c>
      <c r="BN216" s="60" t="str">
        <f aca="false">IF(A216="","",IF(BW216=1,"Neu; ","")&amp;IF(AND(BW216=0,BR216&lt;0),"negativer Bestand (Export "&amp;BR216&amp;"); ","")&amp;IF(J216&lt;=0,"Kein Verbrauch; ","")&amp;IF(CR216&gt;0,"Lift "&amp;W216&amp;" lt. Liftbericht (Fach "&amp;X216&amp;" Stk); ",IF(CB216=1,"Gebinde geschätzt ("&amp;T216&amp;"); ",IF(CA216=1,"Lose – Tablare geschätzt; ","")))&amp;IF(H216&gt;AW216,"Überbestand "&amp;ROUND(H216-AW216,0)&amp;" Stk / CHF "&amp;ROUND((H216-AW216)*G216,0)&amp;"; ","")&amp;IF(AND(CI216=1,CJ216&lt;CK216),"MAX &lt; MB+LG; ","")&amp;IF(AND(CQ216&gt;0,CP216*10&gt;CQ216),"zu hoch für Tablar; ","")&amp;IF(AND(BW216=0,OR(CI216=1,AB216&lt;&gt;"",U216&lt;&gt;"",V216&lt;&gt;"",AC216&lt;&gt;"")),"manuell übersteuert; ","")&amp;IF(AND(CA216=0,R216=0),"Gebinde unbekannt / Stellmass fehlt; ","")&amp;IF(AND(CA216=0,N(V216)&lt;=0,N(Q216)&lt;=0),"Menge pro Gebinde fehlt (Ist = 1 Gebinde); ","")&amp;BV216)</f>
        <v>Kein Verbrauch; Überbestand 38 Stk / CHF 1109; Neu</v>
      </c>
      <c r="BO216" s="60"/>
      <c r="BP216" s="60"/>
      <c r="BQ216" s="67"/>
      <c r="BR216" s="62" t="n">
        <v>24</v>
      </c>
      <c r="BS216" s="62" t="n">
        <v>15</v>
      </c>
      <c r="BT216" s="61" t="n">
        <v>700.56</v>
      </c>
      <c r="BU216" s="62" t="n">
        <v>0</v>
      </c>
      <c r="BV216" s="60" t="s">
        <v>668</v>
      </c>
      <c r="BW216" s="65" t="n">
        <v>0</v>
      </c>
      <c r="BX216" s="65" t="n">
        <v>216</v>
      </c>
      <c r="BY216" s="60" t="str">
        <f aca="false">IF(U216&lt;&gt;"",UPPER(TRIM(U216)),IF(CB216=1,UPPER(VLOOKUP(T216,Parameter!$I$27:$K$29,2,0)),IF(P216="","LOSE",P216)))</f>
        <v>S52</v>
      </c>
      <c r="BZ216" s="62" t="n">
        <f aca="false">IF(BY216="LOSE",1,IF(N(V216)&gt;0,V216,IF(CB216=1,MAX(1,N(VLOOKUP(T216,Parameter!$I$27:$K$29,3,0)),H216,N(N216)),IF(N(Q216)&gt;0,Q216,MAX(1,H216)))))</f>
        <v>24</v>
      </c>
      <c r="CA216" s="65" t="n">
        <f aca="false">IF(BY216="LOSE",1,0)</f>
        <v>0</v>
      </c>
      <c r="CB216" s="65" t="n">
        <f aca="false">IF(AND(U216="",OR(P216="",P216="LOSE"),T216&lt;&gt;"",N(S216)&lt;=0,ISNUMBER(MATCH(T216,Parameter!$I$27:$I$29,0))),1,0)</f>
        <v>0</v>
      </c>
      <c r="CC216" s="65" t="n">
        <f aca="false">IF(CR216&gt;0,INDEX(Parameter!$H$5:$H$7,W216)/INDEX(Parameter!$E$5:$E$7,W216),IF(AND(CA216=0,N(IFERROR(VLOOKUP(BY216,'Gebinde-Kategorie'!$A$5:$N$45,14,0),0))&gt;0),VLOOKUP(BY216,'Gebinde-Kategorie'!$A$5:$N$45,14,0)*10+Parameter!$M$23,Parameter!$M$24))</f>
        <v>245</v>
      </c>
      <c r="CD216" s="60" t="str">
        <f aca="false">IF(AND(Parameter!$B$19="Ja",E216&lt;&gt;"",ISNUMBER(MATCH(E216,Parameter!$I$35:$I$52,0))),VLOOKUP(E216,Parameter!$I$35:$J$52,2,0),IFERROR(VLOOKUP(D216,Parameter!$A$35:$C$64,2,0),"Nein"))</f>
        <v>2+3</v>
      </c>
      <c r="CE216" s="64" t="n">
        <f aca="false">IF(CA216=0,0,IF(N(S216)&gt;0,S216,IFERROR(VLOOKUP(D216,Parameter!$A$35:$C$64,3,0)+0,0)))</f>
        <v>0</v>
      </c>
      <c r="CF216" s="60" t="n">
        <f aca="false">IF(AB216&lt;&gt;"",AB216,AA216)</f>
        <v>3</v>
      </c>
      <c r="CG216" s="60" t="str">
        <f aca="false">IF(OR(CF216=1,CF216=2,CF216=3),IF(Parameter!$E$27="Ja","LIFT",IF(CF216=1,"L1","L23")),IF(CF216="Aussen","Aussen","-"))</f>
        <v>LIFT</v>
      </c>
      <c r="CH216" s="71" t="n">
        <f aca="false">IF(N(AC216)&gt;0,AC216,0)</f>
        <v>0</v>
      </c>
      <c r="CI216" s="65" t="n">
        <f aca="false">IF(ISNUMBER(AF216),1,0)</f>
        <v>0</v>
      </c>
      <c r="CJ216" s="62" t="n">
        <f aca="false">N(AF216)</f>
        <v>0</v>
      </c>
      <c r="CK216" s="62" t="n">
        <f aca="false">N(M216)+N(N216)</f>
        <v>1</v>
      </c>
      <c r="CL216" s="62" t="n">
        <f aca="false">N(M216)</f>
        <v>0</v>
      </c>
      <c r="CM216" s="62" t="n">
        <f aca="false">N(N216)</f>
        <v>1</v>
      </c>
      <c r="CN216" s="62" t="n">
        <f aca="false">ROUNDUP(H216/BZ216,0)</f>
        <v>2</v>
      </c>
      <c r="CO216" s="62" t="n">
        <f aca="false">ROUNDUP(CJ216/BZ216,0)</f>
        <v>0</v>
      </c>
      <c r="CP216" s="65" t="n">
        <f aca="false">IF(CA216=1,0,IFERROR(VLOOKUP(BY216,'Gebinde-Kategorie'!$A$5:$N$45,5,0)+0,0))</f>
        <v>21</v>
      </c>
      <c r="CQ216" s="65" t="n">
        <f aca="false">IFERROR(IF(OR(CF216=1,CF216=2,CF216=3),N(INDEX(Parameter!$I$5:$I$7,CF216)),0),0)</f>
        <v>0</v>
      </c>
      <c r="CR216" s="64" t="n">
        <f aca="false">IF(AND(Parameter!$B$21="Ja",ISNUMBER(W216),N(X216)&gt;0),IFERROR(N(INDEX(Parameter!$L$5:$L$7,W216))*INDEX(Parameter!$E$5:$E$7,W216)*X216/SUMIFS($X$7:$X$1843,$W$7:$W$1843,W216),0),0)</f>
        <v>0</v>
      </c>
      <c r="CS216" s="62" t="n">
        <f aca="false">IF(AND(OR(CG216="L1",CG216="L23",CG216="LIFT"),H216&gt;0),CC216*IF(CR216&gt;0,CR216*MAX(1,H216/X216),IF(CA216=1,CE216,IF(R216&gt;0,CN216/R216,0))/MAX(0.1,N(Parameter!$M$21))),"")</f>
        <v>18.8461538461538</v>
      </c>
      <c r="CT216" s="64" t="n">
        <f aca="false">IF(CS216="","",J216/H216)</f>
        <v>0</v>
      </c>
      <c r="CU216" s="62" t="n">
        <f aca="false">IF(CS216="","",H216*G216)</f>
        <v>1138.41</v>
      </c>
      <c r="CV216" s="63" t="n">
        <f aca="false">IF(CS216="","",(CL216+ROUNDUP(CL216+MAX(CM216,2*(J216/MAX(0.1,N(Einkauf!$C$6))-CL216)),0))/2)</f>
        <v>0.5</v>
      </c>
      <c r="CW216" s="62" t="n">
        <f aca="false">IF(CS216="","",MAX(0,H216-CV216)*G216)</f>
        <v>1123.815</v>
      </c>
      <c r="CX216" s="62" t="n">
        <f aca="false">IF(CS216="","",CS216*MAX(0,1-CV216/H216))</f>
        <v>18.6045364891519</v>
      </c>
      <c r="CY216" s="64" t="n">
        <f aca="false">IF(CS216="","",PERCENTRANK($CS$7:$CS$1843,CS216)+PERCENTRANK($CU$7:$CU$1843,CU216)+1-PERCENTRANK($CT$7:$CT$1843,CT216))</f>
        <v>2.438</v>
      </c>
      <c r="CZ216" s="72" t="n">
        <f aca="false">IF(CS216="","",CHOOSE(MATCH(Einkauf!$C$5,Parameter!$G$23:$G$27,0),CY216,CS216,CU216,-CT216,CW216)+ROW()/1000000000)</f>
        <v>2.438000216</v>
      </c>
    </row>
    <row r="217" customFormat="false" ht="15" hidden="false" customHeight="false" outlineLevel="0" collapsed="false">
      <c r="A217" s="60" t="s">
        <v>669</v>
      </c>
      <c r="B217" s="60" t="s">
        <v>670</v>
      </c>
      <c r="C217" s="60" t="s">
        <v>206</v>
      </c>
      <c r="D217" s="60" t="s">
        <v>226</v>
      </c>
      <c r="E217" s="60" t="s">
        <v>227</v>
      </c>
      <c r="F217" s="60" t="s">
        <v>260</v>
      </c>
      <c r="G217" s="61" t="n">
        <v>23.17</v>
      </c>
      <c r="H217" s="62" t="n">
        <f aca="false">MAX(0,IF(AND(Parameter!$B$21="Ja",ISNUMBER(Y217)),Y217,IF(Parameter!$B$20="Jahresanfang 2025 + Export",BS217+BR217,BR217)))</f>
        <v>33</v>
      </c>
      <c r="I217" s="62" t="n">
        <f aca="false">H217*G217</f>
        <v>764.61</v>
      </c>
      <c r="J217" s="62" t="n">
        <f aca="false">BU217*Parameter!$B$18</f>
        <v>9</v>
      </c>
      <c r="K217" s="63" t="n">
        <v>2</v>
      </c>
      <c r="L217" s="64" t="n">
        <v>4.5</v>
      </c>
      <c r="M217" s="62" t="n">
        <v>0</v>
      </c>
      <c r="N217" s="62" t="n">
        <v>10</v>
      </c>
      <c r="O217" s="65" t="n">
        <v>19</v>
      </c>
      <c r="P217" s="60" t="s">
        <v>463</v>
      </c>
      <c r="Q217" s="62" t="n">
        <v>16</v>
      </c>
      <c r="R217" s="65" t="n">
        <f aca="false">IF(CA217=1,0,IFERROR(VLOOKUP(BY217,'Gebinde-Kategorie'!$A$5:$N$45,13,0)+0,0))</f>
        <v>104</v>
      </c>
      <c r="S217" s="66"/>
      <c r="T217" s="67"/>
      <c r="U217" s="67"/>
      <c r="V217" s="67"/>
      <c r="W217" s="60"/>
      <c r="X217" s="62"/>
      <c r="Y217" s="62"/>
      <c r="Z217" s="60" t="n">
        <v>3</v>
      </c>
      <c r="AA217" s="60" t="n">
        <f aca="false">IF(A217="","",IF(AND(Parameter!$B$21="Ja",ISNUMBER(W217)),W217,IF(AND(Parameter!$E$27="Ja",ISNUMBER(Z217),CD217&lt;&gt;"Nein"),Z217,IF(CD217="2+3",IF(ISNUMBER(SEARCH("grosser Artikel",BV217)),2,IFERROR(VLOOKUP(BY217,Parameter!$F$35:$G$64,2,0),2)),IF(OR(CD217="Nein",CD217=""),"-",CD217)))))</f>
        <v>3</v>
      </c>
      <c r="AB217" s="67"/>
      <c r="AC217" s="68"/>
      <c r="AD217" s="62" t="n">
        <f aca="false">AW217</f>
        <v>10</v>
      </c>
      <c r="AE217" s="62" t="n">
        <f aca="false">MAX(AW217,H217)</f>
        <v>33</v>
      </c>
      <c r="AF217" s="69"/>
      <c r="AG217" s="62" t="n">
        <f aca="false">IF(LEFT(Cockpit!$C$5,1)="A",H217,IF(Parameter!$E$30="MAX-Bestand",IF(CI217=1,CJ217,IF(LEFT(Cockpit!$C$5,1)="B",AM217,MAX(AM217,H217))),ROUNDUP(AK217,0)))</f>
        <v>33</v>
      </c>
      <c r="AH217" s="62" t="n">
        <f aca="false">IF(CA217=1,0,ROUNDUP(AG217/BZ217,0))</f>
        <v>3</v>
      </c>
      <c r="AI217" s="64" t="n">
        <f aca="false">IF(CR217&gt;0,CR217*MAX(1,AG217/X217),IF(CA217=1,IF(AG217&lt;=0,0,CE217*MAX(1,IF(H217&gt;0,AG217/H217,1))),IF(R217&gt;0,AH217/R217,0))/MAX(0.1,N(Parameter!$M$21)))</f>
        <v>0.0288461538461538</v>
      </c>
      <c r="AJ217" s="62" t="n">
        <f aca="false">AI217*CC217</f>
        <v>4.47115384615385</v>
      </c>
      <c r="AK217" s="63" t="n">
        <f aca="false">IF(LEFT(Cockpit!$C$5,1)="A",H217,IF(CI217=1,(CL217+CJ217)/2,IF(LEFT(Cockpit!$C$5,1)="B",(CL217+AM217)/2,MAX((CL217+AM217)/2,H217))))</f>
        <v>33</v>
      </c>
      <c r="AL217" s="62" t="n">
        <f aca="false">AK217*G217</f>
        <v>764.61</v>
      </c>
      <c r="AM217" s="62" t="n">
        <f aca="false">ROUNDUP(CL217+MAX(CM217,2*(J217/IF(CH217&gt;0,CH217,MAX(0.1,N(Cockpit!$C$6)))-CL217)),0)</f>
        <v>10</v>
      </c>
      <c r="AN217" s="63" t="n">
        <f aca="false">IF(AJ217&gt;0,J217/AJ217,-1)</f>
        <v>2.01290322580645</v>
      </c>
      <c r="AO217" s="63" t="n">
        <f aca="false">IF(AND(OR(CG217="L1",CG217="L23",CG217="LIFT"),AJ217&gt;0),SUMIFS($AJ$7:$AJ$1843,$CG$7:$CG$1843,CG217,$AN$7:$AN$1843,"&gt;"&amp;AN217)+SUMIFS($AJ$7:$AJ$1843,$CG$7:$CG$1843,CG217,$AN$7:$AN$1843,AN217,$BX$7:$BX$1843,"&lt;="&amp;BX217),"")</f>
        <v>5772.9652014652</v>
      </c>
      <c r="AP217" s="70" t="n">
        <f aca="false">IF(AO217="",0,MAX(0,MIN(1,(IF(CG217="L1",Parameter!$H$5,IF(CG217="L23",Parameter!$H$6+Parameter!$H$7,Parameter!$H$5+Parameter!$H$6+Parameter!$H$7))-(AO217-AJ217))/AJ217)))</f>
        <v>1</v>
      </c>
      <c r="AQ217" s="62" t="n">
        <f aca="false">IF(LEFT(Cockpit!$I$5,1)="A",H217,IF(Parameter!$E$30="MAX-Bestand",IF(CI217=1,CJ217,IF(LEFT(Cockpit!$I$5,1)="B",AW217,MAX(AW217,H217))),ROUNDUP(AU217,0)))</f>
        <v>33</v>
      </c>
      <c r="AR217" s="62" t="n">
        <f aca="false">IF(CA217=1,0,ROUNDUP(AQ217/BZ217,0))</f>
        <v>3</v>
      </c>
      <c r="AS217" s="64" t="n">
        <f aca="false">IF(CR217&gt;0,CR217*MAX(1,AQ217/X217),IF(CA217=1,IF(AQ217&lt;=0,0,CE217*MAX(1,IF(H217&gt;0,AQ217/H217,1))),IF(R217&gt;0,AR217/R217,0))/MAX(0.1,N(Parameter!$M$21)))</f>
        <v>0.0288461538461538</v>
      </c>
      <c r="AT217" s="62" t="n">
        <f aca="false">AS217*CC217</f>
        <v>4.47115384615385</v>
      </c>
      <c r="AU217" s="63" t="n">
        <f aca="false">IF(LEFT(Cockpit!$I$5,1)="A",H217,IF(CI217=1,(CL217+CJ217)/2,IF(LEFT(Cockpit!$I$5,1)="B",(CL217+AW217)/2,MAX((CL217+AW217)/2,H217))))</f>
        <v>33</v>
      </c>
      <c r="AV217" s="62" t="n">
        <f aca="false">AU217*G217</f>
        <v>764.61</v>
      </c>
      <c r="AW217" s="62" t="n">
        <f aca="false">ROUNDUP(CL217+MAX(CM217,2*(J217/IF(CH217&gt;0,CH217,MAX(0.1,N(Cockpit!$I$6)))-CL217)),0)</f>
        <v>10</v>
      </c>
      <c r="AX217" s="63" t="n">
        <f aca="false">IF(AT217&gt;0,J217/AT217,-1)</f>
        <v>2.01290322580645</v>
      </c>
      <c r="AY217" s="63" t="n">
        <f aca="false">IF(AND(OR(CG217="L1",CG217="L23",CG217="LIFT"),AT217&gt;0),SUMIFS($AT$7:$AT$1843,$CG$7:$CG$1843,CG217,$AX$7:$AX$1843,"&gt;"&amp;AX217)+SUMIFS($AT$7:$AT$1843,$CG$7:$CG$1843,CG217,$AX$7:$AX$1843,AX217,$BX$7:$BX$1843,"&lt;="&amp;BX217),"")</f>
        <v>7140.90476190476</v>
      </c>
      <c r="AZ217" s="70" t="n">
        <f aca="false">IF(AY217="",0,MAX(0,MIN(1,(IF(CG217="L1",Parameter!$H$5,IF(CG217="L23",Parameter!$H$6+Parameter!$H$7,Parameter!$H$5+Parameter!$H$6+Parameter!$H$7))-(AY217-AT217))/AT217)))</f>
        <v>1</v>
      </c>
      <c r="BA217" s="62" t="n">
        <f aca="false">IF(LEFT(Cockpit!$O$5,1)="A",H217,IF(Parameter!$E$30="MAX-Bestand",IF(CI217=1,CJ217,IF(LEFT(Cockpit!$O$5,1)="B",BG217,MAX(BG217,H217))),ROUNDUP(BE217,0)))</f>
        <v>5</v>
      </c>
      <c r="BB217" s="62" t="n">
        <f aca="false">IF(CA217=1,0,ROUNDUP(BA217/BZ217,0))</f>
        <v>1</v>
      </c>
      <c r="BC217" s="64" t="n">
        <f aca="false">IF(CR217&gt;0,CR217*MAX(1,BA217/X217),IF(CA217=1,IF(BA217&lt;=0,0,CE217*MAX(1,IF(H217&gt;0,BA217/H217,1))),IF(R217&gt;0,BB217/R217,0))/MAX(0.1,N(Parameter!$M$21)))</f>
        <v>0.00961538461538462</v>
      </c>
      <c r="BD217" s="62" t="n">
        <f aca="false">BC217*CC217</f>
        <v>1.49038461538462</v>
      </c>
      <c r="BE217" s="63" t="n">
        <f aca="false">IF(LEFT(Cockpit!$O$5,1)="A",H217,IF(CI217=1,(CL217+CJ217)/2,IF(LEFT(Cockpit!$O$5,1)="B",(CL217+BG217)/2,MAX((CL217+BG217)/2,H217))))</f>
        <v>5</v>
      </c>
      <c r="BF217" s="62" t="n">
        <f aca="false">BE217*G217</f>
        <v>115.85</v>
      </c>
      <c r="BG217" s="62" t="n">
        <f aca="false">ROUNDUP(CL217+MAX(CM217,2*(J217/IF(CH217&gt;0,CH217,MAX(0.1,N(Cockpit!$O$6)))-CL217)),0)</f>
        <v>10</v>
      </c>
      <c r="BH217" s="63" t="n">
        <f aca="false">IF(BD217&gt;0,J217/BD217,-1)</f>
        <v>6.03870967741935</v>
      </c>
      <c r="BI217" s="63" t="n">
        <f aca="false">IF(AND(OR(CG217="L1",CG217="L23",CG217="LIFT"),BD217&gt;0),SUMIFS($BD$7:$BD$1843,$CG$7:$CG$1843,CG217,$BH$7:$BH$1843,"&gt;"&amp;BH217)+SUMIFS($BD$7:$BD$1843,$CG$7:$CG$1843,CG217,$BH$7:$BH$1843,BH217,$BX$7:$BX$1843,"&lt;="&amp;BX217),"")</f>
        <v>3486.83058608059</v>
      </c>
      <c r="BJ217" s="70" t="n">
        <f aca="false">IF(BI217="",0,MAX(0,MIN(1,(IF(CG217="L1",Parameter!$H$5,IF(CG217="L23",Parameter!$H$6+Parameter!$H$7,Parameter!$H$5+Parameter!$H$6+Parameter!$H$7))-(BI217-BD217))/BD217)))</f>
        <v>1</v>
      </c>
      <c r="BK217" s="60" t="str">
        <f aca="false">IF(AJ217&lt;=0,"",IF(CG217="Aussen","Aussenlager",IF(CG217="-","Nicht im Lift",IF(AP217&gt;=1,"Lift",IF(AP217&lt;=0,"Aussenlager","teilweise")))))</f>
        <v>Lift</v>
      </c>
      <c r="BL217" s="60" t="str">
        <f aca="false">IF(AT217&lt;=0,"",IF(CG217="Aussen","Aussenlager",IF(CG217="-","Nicht im Lift",IF(AZ217&gt;=1,"Lift",IF(AZ217&lt;=0,"Aussenlager","teilweise")))))</f>
        <v>Lift</v>
      </c>
      <c r="BM217" s="60" t="str">
        <f aca="false">IF(BD217&lt;=0,"",IF(CG217="Aussen","Aussenlager",IF(CG217="-","Nicht im Lift",IF(BJ217&gt;=1,"Lift",IF(BJ217&lt;=0,"Aussenlager","teilweise")))))</f>
        <v>Lift</v>
      </c>
      <c r="BN217" s="60" t="str">
        <f aca="false">IF(A217="","",IF(BW217=1,"Neu; ","")&amp;IF(AND(BW217=0,BR217&lt;0),"negativer Bestand (Export "&amp;BR217&amp;"); ","")&amp;IF(J217&lt;=0,"Kein Verbrauch; ","")&amp;IF(CR217&gt;0,"Lift "&amp;W217&amp;" lt. Liftbericht (Fach "&amp;X217&amp;" Stk); ",IF(CB217=1,"Gebinde geschätzt ("&amp;T217&amp;"); ",IF(CA217=1,"Lose – Tablare geschätzt; ","")))&amp;IF(H217&gt;AW217,"Überbestand "&amp;ROUND(H217-AW217,0)&amp;" Stk / CHF "&amp;ROUND((H217-AW217)*G217,0)&amp;"; ","")&amp;IF(AND(CI217=1,CJ217&lt;CK217),"MAX &lt; MB+LG; ","")&amp;IF(AND(CQ217&gt;0,CP217*10&gt;CQ217),"zu hoch für Tablar; ","")&amp;IF(AND(BW217=0,OR(CI217=1,AB217&lt;&gt;"",U217&lt;&gt;"",V217&lt;&gt;"",AC217&lt;&gt;"")),"manuell übersteuert; ","")&amp;IF(AND(CA217=0,R217=0),"Gebinde unbekannt / Stellmass fehlt; ","")&amp;IF(AND(CA217=0,N(V217)&lt;=0,N(Q217)&lt;=0),"Menge pro Gebinde fehlt (Ist = 1 Gebinde); ","")&amp;BV217)</f>
        <v>Überbestand 23 Stk / CHF 533; Neu</v>
      </c>
      <c r="BO217" s="60"/>
      <c r="BP217" s="60"/>
      <c r="BQ217" s="67"/>
      <c r="BR217" s="62" t="n">
        <v>31</v>
      </c>
      <c r="BS217" s="62" t="n">
        <v>2</v>
      </c>
      <c r="BT217" s="61" t="n">
        <v>698.21</v>
      </c>
      <c r="BU217" s="62" t="n">
        <v>9</v>
      </c>
      <c r="BV217" s="60" t="s">
        <v>668</v>
      </c>
      <c r="BW217" s="65" t="n">
        <v>0</v>
      </c>
      <c r="BX217" s="65" t="n">
        <v>217</v>
      </c>
      <c r="BY217" s="60" t="str">
        <f aca="false">IF(U217&lt;&gt;"",UPPER(TRIM(U217)),IF(CB217=1,UPPER(VLOOKUP(T217,Parameter!$I$27:$K$29,2,0)),IF(P217="","LOSE",P217)))</f>
        <v>S32</v>
      </c>
      <c r="BZ217" s="62" t="n">
        <f aca="false">IF(BY217="LOSE",1,IF(N(V217)&gt;0,V217,IF(CB217=1,MAX(1,N(VLOOKUP(T217,Parameter!$I$27:$K$29,3,0)),H217,N(N217)),IF(N(Q217)&gt;0,Q217,MAX(1,H217)))))</f>
        <v>16</v>
      </c>
      <c r="CA217" s="65" t="n">
        <f aca="false">IF(BY217="LOSE",1,0)</f>
        <v>0</v>
      </c>
      <c r="CB217" s="65" t="n">
        <f aca="false">IF(AND(U217="",OR(P217="",P217="LOSE"),T217&lt;&gt;"",N(S217)&lt;=0,ISNUMBER(MATCH(T217,Parameter!$I$27:$I$29,0))),1,0)</f>
        <v>0</v>
      </c>
      <c r="CC217" s="65" t="n">
        <f aca="false">IF(CR217&gt;0,INDEX(Parameter!$H$5:$H$7,W217)/INDEX(Parameter!$E$5:$E$7,W217),IF(AND(CA217=0,N(IFERROR(VLOOKUP(BY217,'Gebinde-Kategorie'!$A$5:$N$45,14,0),0))&gt;0),VLOOKUP(BY217,'Gebinde-Kategorie'!$A$5:$N$45,14,0)*10+Parameter!$M$23,Parameter!$M$24))</f>
        <v>155</v>
      </c>
      <c r="CD217" s="60" t="str">
        <f aca="false">IF(AND(Parameter!$B$19="Ja",E217&lt;&gt;"",ISNUMBER(MATCH(E217,Parameter!$I$35:$I$52,0))),VLOOKUP(E217,Parameter!$I$35:$J$52,2,0),IFERROR(VLOOKUP(D217,Parameter!$A$35:$C$64,2,0),"Nein"))</f>
        <v>2+3</v>
      </c>
      <c r="CE217" s="64" t="n">
        <f aca="false">IF(CA217=0,0,IF(N(S217)&gt;0,S217,IFERROR(VLOOKUP(D217,Parameter!$A$35:$C$64,3,0)+0,0)))</f>
        <v>0</v>
      </c>
      <c r="CF217" s="60" t="n">
        <f aca="false">IF(AB217&lt;&gt;"",AB217,AA217)</f>
        <v>3</v>
      </c>
      <c r="CG217" s="60" t="str">
        <f aca="false">IF(OR(CF217=1,CF217=2,CF217=3),IF(Parameter!$E$27="Ja","LIFT",IF(CF217=1,"L1","L23")),IF(CF217="Aussen","Aussen","-"))</f>
        <v>LIFT</v>
      </c>
      <c r="CH217" s="71" t="n">
        <f aca="false">IF(N(AC217)&gt;0,AC217,0)</f>
        <v>0</v>
      </c>
      <c r="CI217" s="65" t="n">
        <f aca="false">IF(ISNUMBER(AF217),1,0)</f>
        <v>0</v>
      </c>
      <c r="CJ217" s="62" t="n">
        <f aca="false">N(AF217)</f>
        <v>0</v>
      </c>
      <c r="CK217" s="62" t="n">
        <f aca="false">N(M217)+N(N217)</f>
        <v>10</v>
      </c>
      <c r="CL217" s="62" t="n">
        <f aca="false">N(M217)</f>
        <v>0</v>
      </c>
      <c r="CM217" s="62" t="n">
        <f aca="false">N(N217)</f>
        <v>10</v>
      </c>
      <c r="CN217" s="62" t="n">
        <f aca="false">ROUNDUP(H217/BZ217,0)</f>
        <v>3</v>
      </c>
      <c r="CO217" s="62" t="n">
        <f aca="false">ROUNDUP(CJ217/BZ217,0)</f>
        <v>0</v>
      </c>
      <c r="CP217" s="65" t="n">
        <f aca="false">IF(CA217=1,0,IFERROR(VLOOKUP(BY217,'Gebinde-Kategorie'!$A$5:$N$45,5,0)+0,0))</f>
        <v>8</v>
      </c>
      <c r="CQ217" s="65" t="n">
        <f aca="false">IFERROR(IF(OR(CF217=1,CF217=2,CF217=3),N(INDEX(Parameter!$I$5:$I$7,CF217)),0),0)</f>
        <v>0</v>
      </c>
      <c r="CR217" s="64" t="n">
        <f aca="false">IF(AND(Parameter!$B$21="Ja",ISNUMBER(W217),N(X217)&gt;0),IFERROR(N(INDEX(Parameter!$L$5:$L$7,W217))*INDEX(Parameter!$E$5:$E$7,W217)*X217/SUMIFS($X$7:$X$1843,$W$7:$W$1843,W217),0),0)</f>
        <v>0</v>
      </c>
      <c r="CS217" s="62" t="n">
        <f aca="false">IF(AND(OR(CG217="L1",CG217="L23",CG217="LIFT"),H217&gt;0),CC217*IF(CR217&gt;0,CR217*MAX(1,H217/X217),IF(CA217=1,CE217,IF(R217&gt;0,CN217/R217,0))/MAX(0.1,N(Parameter!$M$21))),"")</f>
        <v>4.47115384615385</v>
      </c>
      <c r="CT217" s="64" t="n">
        <f aca="false">IF(CS217="","",J217/H217)</f>
        <v>0.272727272727273</v>
      </c>
      <c r="CU217" s="62" t="n">
        <f aca="false">IF(CS217="","",H217*G217)</f>
        <v>764.61</v>
      </c>
      <c r="CV217" s="63" t="n">
        <f aca="false">IF(CS217="","",(CL217+ROUNDUP(CL217+MAX(CM217,2*(J217/MAX(0.1,N(Einkauf!$C$6))-CL217)),0))/2)</f>
        <v>5</v>
      </c>
      <c r="CW217" s="62" t="n">
        <f aca="false">IF(CS217="","",MAX(0,H217-CV217)*G217)</f>
        <v>648.76</v>
      </c>
      <c r="CX217" s="62" t="n">
        <f aca="false">IF(CS217="","",CS217*MAX(0,1-CV217/H217))</f>
        <v>3.79370629370629</v>
      </c>
      <c r="CY217" s="64" t="n">
        <f aca="false">IF(CS217="","",PERCENTRANK($CS$7:$CS$1843,CS217)+PERCENTRANK($CU$7:$CU$1843,CU217)+1-PERCENTRANK($CT$7:$CT$1843,CT217))</f>
        <v>1.451</v>
      </c>
      <c r="CZ217" s="72" t="n">
        <f aca="false">IF(CS217="","",CHOOSE(MATCH(Einkauf!$C$5,Parameter!$G$23:$G$27,0),CY217,CS217,CU217,-CT217,CW217)+ROW()/1000000000)</f>
        <v>1.451000217</v>
      </c>
    </row>
    <row r="218" customFormat="false" ht="15" hidden="false" customHeight="false" outlineLevel="0" collapsed="false">
      <c r="A218" s="60" t="s">
        <v>671</v>
      </c>
      <c r="B218" s="60" t="s">
        <v>381</v>
      </c>
      <c r="C218" s="60" t="s">
        <v>206</v>
      </c>
      <c r="D218" s="60" t="s">
        <v>215</v>
      </c>
      <c r="E218" s="60" t="s">
        <v>208</v>
      </c>
      <c r="F218" s="60" t="s">
        <v>260</v>
      </c>
      <c r="G218" s="61" t="n">
        <v>301.38</v>
      </c>
      <c r="H218" s="62" t="n">
        <f aca="false">MAX(0,IF(AND(Parameter!$B$21="Ja",ISNUMBER(Y218)),Y218,IF(Parameter!$B$20="Jahresanfang 2025 + Export",BS218+BR218,BR218)))</f>
        <v>10</v>
      </c>
      <c r="I218" s="62" t="n">
        <f aca="false">H218*G218</f>
        <v>3013.8</v>
      </c>
      <c r="J218" s="62" t="n">
        <f aca="false">BU218*Parameter!$B$18</f>
        <v>24</v>
      </c>
      <c r="K218" s="63" t="n">
        <v>9</v>
      </c>
      <c r="L218" s="64" t="n">
        <v>2.66666666666667</v>
      </c>
      <c r="M218" s="62" t="n">
        <v>3</v>
      </c>
      <c r="N218" s="62" t="n">
        <v>15</v>
      </c>
      <c r="O218" s="65" t="n">
        <v>35</v>
      </c>
      <c r="P218" s="60" t="s">
        <v>216</v>
      </c>
      <c r="Q218" s="62" t="n">
        <v>22</v>
      </c>
      <c r="R218" s="65" t="n">
        <f aca="false">IF(CA218=1,0,IFERROR(VLOOKUP(BY218,'Gebinde-Kategorie'!$A$5:$N$45,13,0)+0,0))</f>
        <v>6</v>
      </c>
      <c r="S218" s="66"/>
      <c r="T218" s="67"/>
      <c r="U218" s="67"/>
      <c r="V218" s="67"/>
      <c r="W218" s="60"/>
      <c r="X218" s="62"/>
      <c r="Y218" s="62"/>
      <c r="Z218" s="60" t="n">
        <v>2</v>
      </c>
      <c r="AA218" s="60" t="n">
        <f aca="false">IF(A218="","",IF(AND(Parameter!$B$21="Ja",ISNUMBER(W218)),W218,IF(AND(Parameter!$E$27="Ja",ISNUMBER(Z218),CD218&lt;&gt;"Nein"),Z218,IF(CD218="2+3",IF(ISNUMBER(SEARCH("grosser Artikel",BV218)),2,IFERROR(VLOOKUP(BY218,Parameter!$F$35:$G$64,2,0),2)),IF(OR(CD218="Nein",CD218=""),"-",CD218)))))</f>
        <v>2</v>
      </c>
      <c r="AB218" s="67"/>
      <c r="AC218" s="68"/>
      <c r="AD218" s="62" t="n">
        <f aca="false">AW218</f>
        <v>18</v>
      </c>
      <c r="AE218" s="62" t="n">
        <f aca="false">MAX(AW218,H218)</f>
        <v>18</v>
      </c>
      <c r="AF218" s="69"/>
      <c r="AG218" s="62" t="n">
        <f aca="false">IF(LEFT(Cockpit!$C$5,1)="A",H218,IF(Parameter!$E$30="MAX-Bestand",IF(CI218=1,CJ218,IF(LEFT(Cockpit!$C$5,1)="B",AM218,MAX(AM218,H218))),ROUNDUP(AK218,0)))</f>
        <v>10</v>
      </c>
      <c r="AH218" s="62" t="n">
        <f aca="false">IF(CA218=1,0,ROUNDUP(AG218/BZ218,0))</f>
        <v>1</v>
      </c>
      <c r="AI218" s="64" t="n">
        <f aca="false">IF(CR218&gt;0,CR218*MAX(1,AG218/X218),IF(CA218=1,IF(AG218&lt;=0,0,CE218*MAX(1,IF(H218&gt;0,AG218/H218,1))),IF(R218&gt;0,AH218/R218,0))/MAX(0.1,N(Parameter!$M$21)))</f>
        <v>0.166666666666667</v>
      </c>
      <c r="AJ218" s="62" t="n">
        <f aca="false">AI218*CC218</f>
        <v>39.1666666666667</v>
      </c>
      <c r="AK218" s="63" t="n">
        <f aca="false">IF(LEFT(Cockpit!$C$5,1)="A",H218,IF(CI218=1,(CL218+CJ218)/2,IF(LEFT(Cockpit!$C$5,1)="B",(CL218+AM218)/2,MAX((CL218+AM218)/2,H218))))</f>
        <v>10</v>
      </c>
      <c r="AL218" s="62" t="n">
        <f aca="false">AK218*G218</f>
        <v>3013.8</v>
      </c>
      <c r="AM218" s="62" t="n">
        <f aca="false">ROUNDUP(CL218+MAX(CM218,2*(J218/IF(CH218&gt;0,CH218,MAX(0.1,N(Cockpit!$C$6)))-CL218)),0)</f>
        <v>18</v>
      </c>
      <c r="AN218" s="63" t="n">
        <f aca="false">IF(AJ218&gt;0,J218/AJ218,-1)</f>
        <v>0.612765957446809</v>
      </c>
      <c r="AO218" s="63" t="n">
        <f aca="false">IF(AND(OR(CG218="L1",CG218="L23",CG218="LIFT"),AJ218&gt;0),SUMIFS($AJ$7:$AJ$1843,$CG$7:$CG$1843,CG218,$AN$7:$AN$1843,"&gt;"&amp;AN218)+SUMIFS($AJ$7:$AJ$1843,$CG$7:$CG$1843,CG218,$AN$7:$AN$1843,AN218,$BX$7:$BX$1843,"&lt;="&amp;BX218),"")</f>
        <v>9152.03614370563</v>
      </c>
      <c r="AP218" s="70" t="n">
        <f aca="false">IF(AO218="",0,MAX(0,MIN(1,(IF(CG218="L1",Parameter!$H$5,IF(CG218="L23",Parameter!$H$6+Parameter!$H$7,Parameter!$H$5+Parameter!$H$6+Parameter!$H$7))-(AO218-AJ218))/AJ218)))</f>
        <v>1</v>
      </c>
      <c r="AQ218" s="62" t="n">
        <f aca="false">IF(LEFT(Cockpit!$I$5,1)="A",H218,IF(Parameter!$E$30="MAX-Bestand",IF(CI218=1,CJ218,IF(LEFT(Cockpit!$I$5,1)="B",AW218,MAX(AW218,H218))),ROUNDUP(AU218,0)))</f>
        <v>11</v>
      </c>
      <c r="AR218" s="62" t="n">
        <f aca="false">IF(CA218=1,0,ROUNDUP(AQ218/BZ218,0))</f>
        <v>1</v>
      </c>
      <c r="AS218" s="64" t="n">
        <f aca="false">IF(CR218&gt;0,CR218*MAX(1,AQ218/X218),IF(CA218=1,IF(AQ218&lt;=0,0,CE218*MAX(1,IF(H218&gt;0,AQ218/H218,1))),IF(R218&gt;0,AR218/R218,0))/MAX(0.1,N(Parameter!$M$21)))</f>
        <v>0.166666666666667</v>
      </c>
      <c r="AT218" s="62" t="n">
        <f aca="false">AS218*CC218</f>
        <v>39.1666666666667</v>
      </c>
      <c r="AU218" s="63" t="n">
        <f aca="false">IF(LEFT(Cockpit!$I$5,1)="A",H218,IF(CI218=1,(CL218+CJ218)/2,IF(LEFT(Cockpit!$I$5,1)="B",(CL218+AW218)/2,MAX((CL218+AW218)/2,H218))))</f>
        <v>10.5</v>
      </c>
      <c r="AV218" s="62" t="n">
        <f aca="false">AU218*G218</f>
        <v>3164.49</v>
      </c>
      <c r="AW218" s="62" t="n">
        <f aca="false">ROUNDUP(CL218+MAX(CM218,2*(J218/IF(CH218&gt;0,CH218,MAX(0.1,N(Cockpit!$I$6)))-CL218)),0)</f>
        <v>18</v>
      </c>
      <c r="AX218" s="63" t="n">
        <f aca="false">IF(AT218&gt;0,J218/AT218,-1)</f>
        <v>0.612765957446809</v>
      </c>
      <c r="AY218" s="63" t="n">
        <f aca="false">IF(AND(OR(CG218="L1",CG218="L23",CG218="LIFT"),AT218&gt;0),SUMIFS($AT$7:$AT$1843,$CG$7:$CG$1843,CG218,$AX$7:$AX$1843,"&gt;"&amp;AX218)+SUMIFS($AT$7:$AT$1843,$CG$7:$CG$1843,CG218,$AX$7:$AX$1843,AX218,$BX$7:$BX$1843,"&lt;="&amp;BX218),"")</f>
        <v>11198.1163003663</v>
      </c>
      <c r="AZ218" s="70" t="n">
        <f aca="false">IF(AY218="",0,MAX(0,MIN(1,(IF(CG218="L1",Parameter!$H$5,IF(CG218="L23",Parameter!$H$6+Parameter!$H$7,Parameter!$H$5+Parameter!$H$6+Parameter!$H$7))-(AY218-AT218))/AT218)))</f>
        <v>1</v>
      </c>
      <c r="BA218" s="62" t="n">
        <f aca="false">IF(LEFT(Cockpit!$O$5,1)="A",H218,IF(Parameter!$E$30="MAX-Bestand",IF(CI218=1,CJ218,IF(LEFT(Cockpit!$O$5,1)="B",BG218,MAX(BG218,H218))),ROUNDUP(BE218,0)))</f>
        <v>11</v>
      </c>
      <c r="BB218" s="62" t="n">
        <f aca="false">IF(CA218=1,0,ROUNDUP(BA218/BZ218,0))</f>
        <v>1</v>
      </c>
      <c r="BC218" s="64" t="n">
        <f aca="false">IF(CR218&gt;0,CR218*MAX(1,BA218/X218),IF(CA218=1,IF(BA218&lt;=0,0,CE218*MAX(1,IF(H218&gt;0,BA218/H218,1))),IF(R218&gt;0,BB218/R218,0))/MAX(0.1,N(Parameter!$M$21)))</f>
        <v>0.166666666666667</v>
      </c>
      <c r="BD218" s="62" t="n">
        <f aca="false">BC218*CC218</f>
        <v>39.1666666666667</v>
      </c>
      <c r="BE218" s="63" t="n">
        <f aca="false">IF(LEFT(Cockpit!$O$5,1)="A",H218,IF(CI218=1,(CL218+CJ218)/2,IF(LEFT(Cockpit!$O$5,1)="B",(CL218+BG218)/2,MAX((CL218+BG218)/2,H218))))</f>
        <v>10.5</v>
      </c>
      <c r="BF218" s="62" t="n">
        <f aca="false">BE218*G218</f>
        <v>3164.49</v>
      </c>
      <c r="BG218" s="62" t="n">
        <f aca="false">ROUNDUP(CL218+MAX(CM218,2*(J218/IF(CH218&gt;0,CH218,MAX(0.1,N(Cockpit!$O$6)))-CL218)),0)</f>
        <v>18</v>
      </c>
      <c r="BH218" s="63" t="n">
        <f aca="false">IF(BD218&gt;0,J218/BD218,-1)</f>
        <v>0.612765957446809</v>
      </c>
      <c r="BI218" s="63" t="n">
        <f aca="false">IF(AND(OR(CG218="L1",CG218="L23",CG218="LIFT"),BD218&gt;0),SUMIFS($BD$7:$BD$1843,$CG$7:$CG$1843,CG218,$BH$7:$BH$1843,"&gt;"&amp;BH218)+SUMIFS($BD$7:$BD$1843,$CG$7:$CG$1843,CG218,$BH$7:$BH$1843,BH218,$BX$7:$BX$1843,"&lt;="&amp;BX218),"")</f>
        <v>9890.53891941392</v>
      </c>
      <c r="BJ218" s="70" t="n">
        <f aca="false">IF(BI218="",0,MAX(0,MIN(1,(IF(CG218="L1",Parameter!$H$5,IF(CG218="L23",Parameter!$H$6+Parameter!$H$7,Parameter!$H$5+Parameter!$H$6+Parameter!$H$7))-(BI218-BD218))/BD218)))</f>
        <v>1</v>
      </c>
      <c r="BK218" s="60" t="str">
        <f aca="false">IF(AJ218&lt;=0,"",IF(CG218="Aussen","Aussenlager",IF(CG218="-","Nicht im Lift",IF(AP218&gt;=1,"Lift",IF(AP218&lt;=0,"Aussenlager","teilweise")))))</f>
        <v>Lift</v>
      </c>
      <c r="BL218" s="60" t="str">
        <f aca="false">IF(AT218&lt;=0,"",IF(CG218="Aussen","Aussenlager",IF(CG218="-","Nicht im Lift",IF(AZ218&gt;=1,"Lift",IF(AZ218&lt;=0,"Aussenlager","teilweise")))))</f>
        <v>Lift</v>
      </c>
      <c r="BM218" s="60" t="str">
        <f aca="false">IF(BD218&lt;=0,"",IF(CG218="Aussen","Aussenlager",IF(CG218="-","Nicht im Lift",IF(BJ218&gt;=1,"Lift",IF(BJ218&lt;=0,"Aussenlager","teilweise")))))</f>
        <v>Lift</v>
      </c>
      <c r="BN218" s="60" t="str">
        <f aca="false">IF(A218="","",IF(BW218=1,"Neu; ","")&amp;IF(AND(BW218=0,BR218&lt;0),"negativer Bestand (Export "&amp;BR218&amp;"); ","")&amp;IF(J218&lt;=0,"Kein Verbrauch; ","")&amp;IF(CR218&gt;0,"Lift "&amp;W218&amp;" lt. Liftbericht (Fach "&amp;X218&amp;" Stk); ",IF(CB218=1,"Gebinde geschätzt ("&amp;T218&amp;"); ",IF(CA218=1,"Lose – Tablare geschätzt; ","")))&amp;IF(H218&gt;AW218,"Überbestand "&amp;ROUND(H218-AW218,0)&amp;" Stk / CHF "&amp;ROUND((H218-AW218)*G218,0)&amp;"; ","")&amp;IF(AND(CI218=1,CJ218&lt;CK218),"MAX &lt; MB+LG; ","")&amp;IF(AND(CQ218&gt;0,CP218*10&gt;CQ218),"zu hoch für Tablar; ","")&amp;IF(AND(BW218=0,OR(CI218=1,AB218&lt;&gt;"",U218&lt;&gt;"",V218&lt;&gt;"",AC218&lt;&gt;"")),"manuell übersteuert; ","")&amp;IF(AND(CA218=0,R218=0),"Gebinde unbekannt / Stellmass fehlt; ","")&amp;IF(AND(CA218=0,N(V218)&lt;=0,N(Q218)&lt;=0),"Menge pro Gebinde fehlt (Ist = 1 Gebinde); ","")&amp;BV218)</f>
        <v/>
      </c>
      <c r="BO218" s="60"/>
      <c r="BP218" s="60"/>
      <c r="BQ218" s="67"/>
      <c r="BR218" s="62" t="n">
        <v>3</v>
      </c>
      <c r="BS218" s="62" t="n">
        <v>7</v>
      </c>
      <c r="BT218" s="61" t="n">
        <v>696.450000000001</v>
      </c>
      <c r="BU218" s="62" t="n">
        <v>24</v>
      </c>
      <c r="BV218" s="60"/>
      <c r="BW218" s="65" t="n">
        <v>0</v>
      </c>
      <c r="BX218" s="65" t="n">
        <v>218</v>
      </c>
      <c r="BY218" s="60" t="str">
        <f aca="false">IF(U218&lt;&gt;"",UPPER(TRIM(U218)),IF(CB218=1,UPPER(VLOOKUP(T218,Parameter!$I$27:$K$29,2,0)),IF(P218="","LOSE",P218)))</f>
        <v>S71</v>
      </c>
      <c r="BZ218" s="62" t="n">
        <f aca="false">IF(BY218="LOSE",1,IF(N(V218)&gt;0,V218,IF(CB218=1,MAX(1,N(VLOOKUP(T218,Parameter!$I$27:$K$29,3,0)),H218,N(N218)),IF(N(Q218)&gt;0,Q218,MAX(1,H218)))))</f>
        <v>22</v>
      </c>
      <c r="CA218" s="65" t="n">
        <f aca="false">IF(BY218="LOSE",1,0)</f>
        <v>0</v>
      </c>
      <c r="CB218" s="65" t="n">
        <f aca="false">IF(AND(U218="",OR(P218="",P218="LOSE"),T218&lt;&gt;"",N(S218)&lt;=0,ISNUMBER(MATCH(T218,Parameter!$I$27:$I$29,0))),1,0)</f>
        <v>0</v>
      </c>
      <c r="CC218" s="65" t="n">
        <f aca="false">IF(CR218&gt;0,INDEX(Parameter!$H$5:$H$7,W218)/INDEX(Parameter!$E$5:$E$7,W218),IF(AND(CA218=0,N(IFERROR(VLOOKUP(BY218,'Gebinde-Kategorie'!$A$5:$N$45,14,0),0))&gt;0),VLOOKUP(BY218,'Gebinde-Kategorie'!$A$5:$N$45,14,0)*10+Parameter!$M$23,Parameter!$M$24))</f>
        <v>235</v>
      </c>
      <c r="CD218" s="60" t="n">
        <f aca="false">IF(AND(Parameter!$B$19="Ja",E218&lt;&gt;"",ISNUMBER(MATCH(E218,Parameter!$I$35:$I$52,0))),VLOOKUP(E218,Parameter!$I$35:$J$52,2,0),IFERROR(VLOOKUP(D218,Parameter!$A$35:$C$64,2,0),"Nein"))</f>
        <v>1</v>
      </c>
      <c r="CE218" s="64" t="n">
        <f aca="false">IF(CA218=0,0,IF(N(S218)&gt;0,S218,IFERROR(VLOOKUP(D218,Parameter!$A$35:$C$64,3,0)+0,0)))</f>
        <v>0</v>
      </c>
      <c r="CF218" s="60" t="n">
        <f aca="false">IF(AB218&lt;&gt;"",AB218,AA218)</f>
        <v>2</v>
      </c>
      <c r="CG218" s="60" t="str">
        <f aca="false">IF(OR(CF218=1,CF218=2,CF218=3),IF(Parameter!$E$27="Ja","LIFT",IF(CF218=1,"L1","L23")),IF(CF218="Aussen","Aussen","-"))</f>
        <v>LIFT</v>
      </c>
      <c r="CH218" s="71" t="n">
        <f aca="false">IF(N(AC218)&gt;0,AC218,0)</f>
        <v>0</v>
      </c>
      <c r="CI218" s="65" t="n">
        <f aca="false">IF(ISNUMBER(AF218),1,0)</f>
        <v>0</v>
      </c>
      <c r="CJ218" s="62" t="n">
        <f aca="false">N(AF218)</f>
        <v>0</v>
      </c>
      <c r="CK218" s="62" t="n">
        <f aca="false">N(M218)+N(N218)</f>
        <v>18</v>
      </c>
      <c r="CL218" s="62" t="n">
        <f aca="false">N(M218)</f>
        <v>3</v>
      </c>
      <c r="CM218" s="62" t="n">
        <f aca="false">N(N218)</f>
        <v>15</v>
      </c>
      <c r="CN218" s="62" t="n">
        <f aca="false">ROUNDUP(H218/BZ218,0)</f>
        <v>1</v>
      </c>
      <c r="CO218" s="62" t="n">
        <f aca="false">ROUNDUP(CJ218/BZ218,0)</f>
        <v>0</v>
      </c>
      <c r="CP218" s="65" t="n">
        <f aca="false">IF(CA218=1,0,IFERROR(VLOOKUP(BY218,'Gebinde-Kategorie'!$A$5:$N$45,5,0)+0,0))</f>
        <v>20</v>
      </c>
      <c r="CQ218" s="65" t="n">
        <f aca="false">IFERROR(IF(OR(CF218=1,CF218=2,CF218=3),N(INDEX(Parameter!$I$5:$I$7,CF218)),0),0)</f>
        <v>0</v>
      </c>
      <c r="CR218" s="64" t="n">
        <f aca="false">IF(AND(Parameter!$B$21="Ja",ISNUMBER(W218),N(X218)&gt;0),IFERROR(N(INDEX(Parameter!$L$5:$L$7,W218))*INDEX(Parameter!$E$5:$E$7,W218)*X218/SUMIFS($X$7:$X$1843,$W$7:$W$1843,W218),0),0)</f>
        <v>0</v>
      </c>
      <c r="CS218" s="62" t="n">
        <f aca="false">IF(AND(OR(CG218="L1",CG218="L23",CG218="LIFT"),H218&gt;0),CC218*IF(CR218&gt;0,CR218*MAX(1,H218/X218),IF(CA218=1,CE218,IF(R218&gt;0,CN218/R218,0))/MAX(0.1,N(Parameter!$M$21))),"")</f>
        <v>39.1666666666667</v>
      </c>
      <c r="CT218" s="64" t="n">
        <f aca="false">IF(CS218="","",J218/H218)</f>
        <v>2.4</v>
      </c>
      <c r="CU218" s="62" t="n">
        <f aca="false">IF(CS218="","",H218*G218)</f>
        <v>3013.8</v>
      </c>
      <c r="CV218" s="63" t="n">
        <f aca="false">IF(CS218="","",(CL218+ROUNDUP(CL218+MAX(CM218,2*(J218/MAX(0.1,N(Einkauf!$C$6))-CL218)),0))/2)</f>
        <v>10.5</v>
      </c>
      <c r="CW218" s="62" t="n">
        <f aca="false">IF(CS218="","",MAX(0,H218-CV218)*G218)</f>
        <v>0</v>
      </c>
      <c r="CX218" s="62" t="n">
        <f aca="false">IF(CS218="","",CS218*MAX(0,1-CV218/H218))</f>
        <v>0</v>
      </c>
      <c r="CY218" s="64" t="n">
        <f aca="false">IF(CS218="","",PERCENTRANK($CS$7:$CS$1843,CS218)+PERCENTRANK($CU$7:$CU$1843,CU218)+1-PERCENTRANK($CT$7:$CT$1843,CT218))</f>
        <v>1.843</v>
      </c>
      <c r="CZ218" s="72" t="n">
        <f aca="false">IF(CS218="","",CHOOSE(MATCH(Einkauf!$C$5,Parameter!$G$23:$G$27,0),CY218,CS218,CU218,-CT218,CW218)+ROW()/1000000000)</f>
        <v>1.843000218</v>
      </c>
    </row>
    <row r="219" customFormat="false" ht="15" hidden="false" customHeight="false" outlineLevel="0" collapsed="false">
      <c r="A219" s="60" t="s">
        <v>672</v>
      </c>
      <c r="B219" s="60" t="s">
        <v>673</v>
      </c>
      <c r="C219" s="60" t="s">
        <v>206</v>
      </c>
      <c r="D219" s="60" t="s">
        <v>226</v>
      </c>
      <c r="E219" s="60"/>
      <c r="F219" s="60" t="s">
        <v>260</v>
      </c>
      <c r="G219" s="61" t="n">
        <v>14</v>
      </c>
      <c r="H219" s="62" t="n">
        <f aca="false">MAX(0,IF(AND(Parameter!$B$21="Ja",ISNUMBER(Y219)),Y219,IF(Parameter!$B$20="Jahresanfang 2025 + Export",BS219+BR219,BR219)))</f>
        <v>53</v>
      </c>
      <c r="I219" s="62" t="n">
        <f aca="false">H219*G219</f>
        <v>742</v>
      </c>
      <c r="J219" s="62" t="n">
        <f aca="false">BU219*Parameter!$B$18</f>
        <v>0</v>
      </c>
      <c r="K219" s="63" t="n">
        <v>4</v>
      </c>
      <c r="L219" s="64" t="n">
        <v>0</v>
      </c>
      <c r="M219" s="62" t="n">
        <v>0</v>
      </c>
      <c r="N219" s="62" t="n">
        <v>1</v>
      </c>
      <c r="O219" s="65" t="n">
        <v>28</v>
      </c>
      <c r="P219" s="60" t="s">
        <v>463</v>
      </c>
      <c r="Q219" s="62" t="n">
        <v>55</v>
      </c>
      <c r="R219" s="65" t="n">
        <f aca="false">IF(CA219=1,0,IFERROR(VLOOKUP(BY219,'Gebinde-Kategorie'!$A$5:$N$45,13,0)+0,0))</f>
        <v>104</v>
      </c>
      <c r="S219" s="66"/>
      <c r="T219" s="67"/>
      <c r="U219" s="67"/>
      <c r="V219" s="67"/>
      <c r="W219" s="60"/>
      <c r="X219" s="62"/>
      <c r="Y219" s="62"/>
      <c r="Z219" s="60" t="n">
        <v>1</v>
      </c>
      <c r="AA219" s="60" t="n">
        <f aca="false">IF(A219="","",IF(AND(Parameter!$B$21="Ja",ISNUMBER(W219)),W219,IF(AND(Parameter!$E$27="Ja",ISNUMBER(Z219),CD219&lt;&gt;"Nein"),Z219,IF(CD219="2+3",IF(ISNUMBER(SEARCH("grosser Artikel",BV219)),2,IFERROR(VLOOKUP(BY219,Parameter!$F$35:$G$64,2,0),2)),IF(OR(CD219="Nein",CD219=""),"-",CD219)))))</f>
        <v>1</v>
      </c>
      <c r="AB219" s="67"/>
      <c r="AC219" s="68"/>
      <c r="AD219" s="62" t="n">
        <f aca="false">AW219</f>
        <v>1</v>
      </c>
      <c r="AE219" s="62" t="n">
        <f aca="false">MAX(AW219,H219)</f>
        <v>53</v>
      </c>
      <c r="AF219" s="69"/>
      <c r="AG219" s="62" t="n">
        <f aca="false">IF(LEFT(Cockpit!$C$5,1)="A",H219,IF(Parameter!$E$30="MAX-Bestand",IF(CI219=1,CJ219,IF(LEFT(Cockpit!$C$5,1)="B",AM219,MAX(AM219,H219))),ROUNDUP(AK219,0)))</f>
        <v>53</v>
      </c>
      <c r="AH219" s="62" t="n">
        <f aca="false">IF(CA219=1,0,ROUNDUP(AG219/BZ219,0))</f>
        <v>1</v>
      </c>
      <c r="AI219" s="64" t="n">
        <f aca="false">IF(CR219&gt;0,CR219*MAX(1,AG219/X219),IF(CA219=1,IF(AG219&lt;=0,0,CE219*MAX(1,IF(H219&gt;0,AG219/H219,1))),IF(R219&gt;0,AH219/R219,0))/MAX(0.1,N(Parameter!$M$21)))</f>
        <v>0.00961538461538462</v>
      </c>
      <c r="AJ219" s="62" t="n">
        <f aca="false">AI219*CC219</f>
        <v>1.49038461538462</v>
      </c>
      <c r="AK219" s="63" t="n">
        <f aca="false">IF(LEFT(Cockpit!$C$5,1)="A",H219,IF(CI219=1,(CL219+CJ219)/2,IF(LEFT(Cockpit!$C$5,1)="B",(CL219+AM219)/2,MAX((CL219+AM219)/2,H219))))</f>
        <v>53</v>
      </c>
      <c r="AL219" s="62" t="n">
        <f aca="false">AK219*G219</f>
        <v>742</v>
      </c>
      <c r="AM219" s="62" t="n">
        <f aca="false">ROUNDUP(CL219+MAX(CM219,2*(J219/IF(CH219&gt;0,CH219,MAX(0.1,N(Cockpit!$C$6)))-CL219)),0)</f>
        <v>1</v>
      </c>
      <c r="AN219" s="63" t="n">
        <f aca="false">IF(AJ219&gt;0,J219/AJ219,-1)</f>
        <v>0</v>
      </c>
      <c r="AO219" s="63" t="n">
        <f aca="false">IF(AND(OR(CG219="L1",CG219="L23",CG219="LIFT"),AJ219&gt;0),SUMIFS($AJ$7:$AJ$1843,$CG$7:$CG$1843,CG219,$AN$7:$AN$1843,"&gt;"&amp;AN219)+SUMIFS($AJ$7:$AJ$1843,$CG$7:$CG$1843,CG219,$AN$7:$AN$1843,AN219,$BX$7:$BX$1843,"&lt;="&amp;BX219),"")</f>
        <v>27556.6773659486</v>
      </c>
      <c r="AP219" s="70" t="n">
        <f aca="false">IF(AO219="",0,MAX(0,MIN(1,(IF(CG219="L1",Parameter!$H$5,IF(CG219="L23",Parameter!$H$6+Parameter!$H$7,Parameter!$H$5+Parameter!$H$6+Parameter!$H$7))-(AO219-AJ219))/AJ219)))</f>
        <v>1</v>
      </c>
      <c r="AQ219" s="62" t="n">
        <f aca="false">IF(LEFT(Cockpit!$I$5,1)="A",H219,IF(Parameter!$E$30="MAX-Bestand",IF(CI219=1,CJ219,IF(LEFT(Cockpit!$I$5,1)="B",AW219,MAX(AW219,H219))),ROUNDUP(AU219,0)))</f>
        <v>53</v>
      </c>
      <c r="AR219" s="62" t="n">
        <f aca="false">IF(CA219=1,0,ROUNDUP(AQ219/BZ219,0))</f>
        <v>1</v>
      </c>
      <c r="AS219" s="64" t="n">
        <f aca="false">IF(CR219&gt;0,CR219*MAX(1,AQ219/X219),IF(CA219=1,IF(AQ219&lt;=0,0,CE219*MAX(1,IF(H219&gt;0,AQ219/H219,1))),IF(R219&gt;0,AR219/R219,0))/MAX(0.1,N(Parameter!$M$21)))</f>
        <v>0.00961538461538462</v>
      </c>
      <c r="AT219" s="62" t="n">
        <f aca="false">AS219*CC219</f>
        <v>1.49038461538462</v>
      </c>
      <c r="AU219" s="63" t="n">
        <f aca="false">IF(LEFT(Cockpit!$I$5,1)="A",H219,IF(CI219=1,(CL219+CJ219)/2,IF(LEFT(Cockpit!$I$5,1)="B",(CL219+AW219)/2,MAX((CL219+AW219)/2,H219))))</f>
        <v>53</v>
      </c>
      <c r="AV219" s="62" t="n">
        <f aca="false">AU219*G219</f>
        <v>742</v>
      </c>
      <c r="AW219" s="62" t="n">
        <f aca="false">ROUNDUP(CL219+MAX(CM219,2*(J219/IF(CH219&gt;0,CH219,MAX(0.1,N(Cockpit!$I$6)))-CL219)),0)</f>
        <v>1</v>
      </c>
      <c r="AX219" s="63" t="n">
        <f aca="false">IF(AT219&gt;0,J219/AT219,-1)</f>
        <v>0</v>
      </c>
      <c r="AY219" s="63" t="n">
        <f aca="false">IF(AND(OR(CG219="L1",CG219="L23",CG219="LIFT"),AT219&gt;0),SUMIFS($AT$7:$AT$1843,$CG$7:$CG$1843,CG219,$AX$7:$AX$1843,"&gt;"&amp;AX219)+SUMIFS($AT$7:$AT$1843,$CG$7:$CG$1843,CG219,$AX$7:$AX$1843,AX219,$BX$7:$BX$1843,"&lt;="&amp;BX219),"")</f>
        <v>32909.826007326</v>
      </c>
      <c r="AZ219" s="70" t="n">
        <f aca="false">IF(AY219="",0,MAX(0,MIN(1,(IF(CG219="L1",Parameter!$H$5,IF(CG219="L23",Parameter!$H$6+Parameter!$H$7,Parameter!$H$5+Parameter!$H$6+Parameter!$H$7))-(AY219-AT219))/AT219)))</f>
        <v>1</v>
      </c>
      <c r="BA219" s="62" t="n">
        <f aca="false">IF(LEFT(Cockpit!$O$5,1)="A",H219,IF(Parameter!$E$30="MAX-Bestand",IF(CI219=1,CJ219,IF(LEFT(Cockpit!$O$5,1)="B",BG219,MAX(BG219,H219))),ROUNDUP(BE219,0)))</f>
        <v>1</v>
      </c>
      <c r="BB219" s="62" t="n">
        <f aca="false">IF(CA219=1,0,ROUNDUP(BA219/BZ219,0))</f>
        <v>1</v>
      </c>
      <c r="BC219" s="64" t="n">
        <f aca="false">IF(CR219&gt;0,CR219*MAX(1,BA219/X219),IF(CA219=1,IF(BA219&lt;=0,0,CE219*MAX(1,IF(H219&gt;0,BA219/H219,1))),IF(R219&gt;0,BB219/R219,0))/MAX(0.1,N(Parameter!$M$21)))</f>
        <v>0.00961538461538462</v>
      </c>
      <c r="BD219" s="62" t="n">
        <f aca="false">BC219*CC219</f>
        <v>1.49038461538462</v>
      </c>
      <c r="BE219" s="63" t="n">
        <f aca="false">IF(LEFT(Cockpit!$O$5,1)="A",H219,IF(CI219=1,(CL219+CJ219)/2,IF(LEFT(Cockpit!$O$5,1)="B",(CL219+BG219)/2,MAX((CL219+BG219)/2,H219))))</f>
        <v>0.5</v>
      </c>
      <c r="BF219" s="62" t="n">
        <f aca="false">BE219*G219</f>
        <v>7</v>
      </c>
      <c r="BG219" s="62" t="n">
        <f aca="false">ROUNDUP(CL219+MAX(CM219,2*(J219/IF(CH219&gt;0,CH219,MAX(0.1,N(Cockpit!$O$6)))-CL219)),0)</f>
        <v>1</v>
      </c>
      <c r="BH219" s="63" t="n">
        <f aca="false">IF(BD219&gt;0,J219/BD219,-1)</f>
        <v>0</v>
      </c>
      <c r="BI219" s="63" t="n">
        <f aca="false">IF(AND(OR(CG219="L1",CG219="L23",CG219="LIFT"),BD219&gt;0),SUMIFS($BD$7:$BD$1843,$CG$7:$CG$1843,CG219,$BH$7:$BH$1843,"&gt;"&amp;BH219)+SUMIFS($BD$7:$BD$1843,$CG$7:$CG$1843,CG219,$BH$7:$BH$1843,BH219,$BX$7:$BX$1843,"&lt;="&amp;BX219),"")</f>
        <v>27064.6450301111</v>
      </c>
      <c r="BJ219" s="70" t="n">
        <f aca="false">IF(BI219="",0,MAX(0,MIN(1,(IF(CG219="L1",Parameter!$H$5,IF(CG219="L23",Parameter!$H$6+Parameter!$H$7,Parameter!$H$5+Parameter!$H$6+Parameter!$H$7))-(BI219-BD219))/BD219)))</f>
        <v>1</v>
      </c>
      <c r="BK219" s="60" t="str">
        <f aca="false">IF(AJ219&lt;=0,"",IF(CG219="Aussen","Aussenlager",IF(CG219="-","Nicht im Lift",IF(AP219&gt;=1,"Lift",IF(AP219&lt;=0,"Aussenlager","teilweise")))))</f>
        <v>Lift</v>
      </c>
      <c r="BL219" s="60" t="str">
        <f aca="false">IF(AT219&lt;=0,"",IF(CG219="Aussen","Aussenlager",IF(CG219="-","Nicht im Lift",IF(AZ219&gt;=1,"Lift",IF(AZ219&lt;=0,"Aussenlager","teilweise")))))</f>
        <v>Lift</v>
      </c>
      <c r="BM219" s="60" t="str">
        <f aca="false">IF(BD219&lt;=0,"",IF(CG219="Aussen","Aussenlager",IF(CG219="-","Nicht im Lift",IF(BJ219&gt;=1,"Lift",IF(BJ219&lt;=0,"Aussenlager","teilweise")))))</f>
        <v>Lift</v>
      </c>
      <c r="BN219" s="60" t="str">
        <f aca="false">IF(A219="","",IF(BW219=1,"Neu; ","")&amp;IF(AND(BW219=0,BR219&lt;0),"negativer Bestand (Export "&amp;BR219&amp;"); ","")&amp;IF(J219&lt;=0,"Kein Verbrauch; ","")&amp;IF(CR219&gt;0,"Lift "&amp;W219&amp;" lt. Liftbericht (Fach "&amp;X219&amp;" Stk); ",IF(CB219=1,"Gebinde geschätzt ("&amp;T219&amp;"); ",IF(CA219=1,"Lose – Tablare geschätzt; ","")))&amp;IF(H219&gt;AW219,"Überbestand "&amp;ROUND(H219-AW219,0)&amp;" Stk / CHF "&amp;ROUND((H219-AW219)*G219,0)&amp;"; ","")&amp;IF(AND(CI219=1,CJ219&lt;CK219),"MAX &lt; MB+LG; ","")&amp;IF(AND(CQ219&gt;0,CP219*10&gt;CQ219),"zu hoch für Tablar; ","")&amp;IF(AND(BW219=0,OR(CI219=1,AB219&lt;&gt;"",U219&lt;&gt;"",V219&lt;&gt;"",AC219&lt;&gt;"")),"manuell übersteuert; ","")&amp;IF(AND(CA219=0,R219=0),"Gebinde unbekannt / Stellmass fehlt; ","")&amp;IF(AND(CA219=0,N(V219)&lt;=0,N(Q219)&lt;=0),"Menge pro Gebinde fehlt (Ist = 1 Gebinde); ","")&amp;BV219)</f>
        <v>Kein Verbrauch; Überbestand 52 Stk / CHF 728; </v>
      </c>
      <c r="BO219" s="60"/>
      <c r="BP219" s="60"/>
      <c r="BQ219" s="67"/>
      <c r="BR219" s="62" t="n">
        <v>49</v>
      </c>
      <c r="BS219" s="62" t="n">
        <v>4</v>
      </c>
      <c r="BT219" s="61" t="n">
        <v>688.92</v>
      </c>
      <c r="BU219" s="62" t="n">
        <v>0</v>
      </c>
      <c r="BV219" s="60"/>
      <c r="BW219" s="65" t="n">
        <v>0</v>
      </c>
      <c r="BX219" s="65" t="n">
        <v>219</v>
      </c>
      <c r="BY219" s="60" t="str">
        <f aca="false">IF(U219&lt;&gt;"",UPPER(TRIM(U219)),IF(CB219=1,UPPER(VLOOKUP(T219,Parameter!$I$27:$K$29,2,0)),IF(P219="","LOSE",P219)))</f>
        <v>S32</v>
      </c>
      <c r="BZ219" s="62" t="n">
        <f aca="false">IF(BY219="LOSE",1,IF(N(V219)&gt;0,V219,IF(CB219=1,MAX(1,N(VLOOKUP(T219,Parameter!$I$27:$K$29,3,0)),H219,N(N219)),IF(N(Q219)&gt;0,Q219,MAX(1,H219)))))</f>
        <v>55</v>
      </c>
      <c r="CA219" s="65" t="n">
        <f aca="false">IF(BY219="LOSE",1,0)</f>
        <v>0</v>
      </c>
      <c r="CB219" s="65" t="n">
        <f aca="false">IF(AND(U219="",OR(P219="",P219="LOSE"),T219&lt;&gt;"",N(S219)&lt;=0,ISNUMBER(MATCH(T219,Parameter!$I$27:$I$29,0))),1,0)</f>
        <v>0</v>
      </c>
      <c r="CC219" s="65" t="n">
        <f aca="false">IF(CR219&gt;0,INDEX(Parameter!$H$5:$H$7,W219)/INDEX(Parameter!$E$5:$E$7,W219),IF(AND(CA219=0,N(IFERROR(VLOOKUP(BY219,'Gebinde-Kategorie'!$A$5:$N$45,14,0),0))&gt;0),VLOOKUP(BY219,'Gebinde-Kategorie'!$A$5:$N$45,14,0)*10+Parameter!$M$23,Parameter!$M$24))</f>
        <v>155</v>
      </c>
      <c r="CD219" s="60" t="str">
        <f aca="false">IF(AND(Parameter!$B$19="Ja",E219&lt;&gt;"",ISNUMBER(MATCH(E219,Parameter!$I$35:$I$52,0))),VLOOKUP(E219,Parameter!$I$35:$J$52,2,0),IFERROR(VLOOKUP(D219,Parameter!$A$35:$C$64,2,0),"Nein"))</f>
        <v>2+3</v>
      </c>
      <c r="CE219" s="64" t="n">
        <f aca="false">IF(CA219=0,0,IF(N(S219)&gt;0,S219,IFERROR(VLOOKUP(D219,Parameter!$A$35:$C$64,3,0)+0,0)))</f>
        <v>0</v>
      </c>
      <c r="CF219" s="60" t="n">
        <f aca="false">IF(AB219&lt;&gt;"",AB219,AA219)</f>
        <v>1</v>
      </c>
      <c r="CG219" s="60" t="str">
        <f aca="false">IF(OR(CF219=1,CF219=2,CF219=3),IF(Parameter!$E$27="Ja","LIFT",IF(CF219=1,"L1","L23")),IF(CF219="Aussen","Aussen","-"))</f>
        <v>LIFT</v>
      </c>
      <c r="CH219" s="71" t="n">
        <f aca="false">IF(N(AC219)&gt;0,AC219,0)</f>
        <v>0</v>
      </c>
      <c r="CI219" s="65" t="n">
        <f aca="false">IF(ISNUMBER(AF219),1,0)</f>
        <v>0</v>
      </c>
      <c r="CJ219" s="62" t="n">
        <f aca="false">N(AF219)</f>
        <v>0</v>
      </c>
      <c r="CK219" s="62" t="n">
        <f aca="false">N(M219)+N(N219)</f>
        <v>1</v>
      </c>
      <c r="CL219" s="62" t="n">
        <f aca="false">N(M219)</f>
        <v>0</v>
      </c>
      <c r="CM219" s="62" t="n">
        <f aca="false">N(N219)</f>
        <v>1</v>
      </c>
      <c r="CN219" s="62" t="n">
        <f aca="false">ROUNDUP(H219/BZ219,0)</f>
        <v>1</v>
      </c>
      <c r="CO219" s="62" t="n">
        <f aca="false">ROUNDUP(CJ219/BZ219,0)</f>
        <v>0</v>
      </c>
      <c r="CP219" s="65" t="n">
        <f aca="false">IF(CA219=1,0,IFERROR(VLOOKUP(BY219,'Gebinde-Kategorie'!$A$5:$N$45,5,0)+0,0))</f>
        <v>8</v>
      </c>
      <c r="CQ219" s="65" t="n">
        <f aca="false">IFERROR(IF(OR(CF219=1,CF219=2,CF219=3),N(INDEX(Parameter!$I$5:$I$7,CF219)),0),0)</f>
        <v>0</v>
      </c>
      <c r="CR219" s="64" t="n">
        <f aca="false">IF(AND(Parameter!$B$21="Ja",ISNUMBER(W219),N(X219)&gt;0),IFERROR(N(INDEX(Parameter!$L$5:$L$7,W219))*INDEX(Parameter!$E$5:$E$7,W219)*X219/SUMIFS($X$7:$X$1843,$W$7:$W$1843,W219),0),0)</f>
        <v>0</v>
      </c>
      <c r="CS219" s="62" t="n">
        <f aca="false">IF(AND(OR(CG219="L1",CG219="L23",CG219="LIFT"),H219&gt;0),CC219*IF(CR219&gt;0,CR219*MAX(1,H219/X219),IF(CA219=1,CE219,IF(R219&gt;0,CN219/R219,0))/MAX(0.1,N(Parameter!$M$21))),"")</f>
        <v>1.49038461538462</v>
      </c>
      <c r="CT219" s="64" t="n">
        <f aca="false">IF(CS219="","",J219/H219)</f>
        <v>0</v>
      </c>
      <c r="CU219" s="62" t="n">
        <f aca="false">IF(CS219="","",H219*G219)</f>
        <v>742</v>
      </c>
      <c r="CV219" s="63" t="n">
        <f aca="false">IF(CS219="","",(CL219+ROUNDUP(CL219+MAX(CM219,2*(J219/MAX(0.1,N(Einkauf!$C$6))-CL219)),0))/2)</f>
        <v>0.5</v>
      </c>
      <c r="CW219" s="62" t="n">
        <f aca="false">IF(CS219="","",MAX(0,H219-CV219)*G219)</f>
        <v>735</v>
      </c>
      <c r="CX219" s="62" t="n">
        <f aca="false">IF(CS219="","",CS219*MAX(0,1-CV219/H219))</f>
        <v>1.47632438316401</v>
      </c>
      <c r="CY219" s="64" t="n">
        <f aca="false">IF(CS219="","",PERCENTRANK($CS$7:$CS$1843,CS219)+PERCENTRANK($CU$7:$CU$1843,CU219)+1-PERCENTRANK($CT$7:$CT$1843,CT219))</f>
        <v>1.706</v>
      </c>
      <c r="CZ219" s="72" t="n">
        <f aca="false">IF(CS219="","",CHOOSE(MATCH(Einkauf!$C$5,Parameter!$G$23:$G$27,0),CY219,CS219,CU219,-CT219,CW219)+ROW()/1000000000)</f>
        <v>1.706000219</v>
      </c>
    </row>
    <row r="220" customFormat="false" ht="15" hidden="false" customHeight="false" outlineLevel="0" collapsed="false">
      <c r="A220" s="60" t="s">
        <v>674</v>
      </c>
      <c r="B220" s="60" t="s">
        <v>675</v>
      </c>
      <c r="C220" s="60" t="s">
        <v>206</v>
      </c>
      <c r="D220" s="60" t="s">
        <v>215</v>
      </c>
      <c r="E220" s="60"/>
      <c r="F220" s="60" t="s">
        <v>260</v>
      </c>
      <c r="G220" s="61" t="n">
        <v>678.65</v>
      </c>
      <c r="H220" s="62" t="n">
        <f aca="false">MAX(0,IF(AND(Parameter!$B$21="Ja",ISNUMBER(Y220)),Y220,IF(Parameter!$B$20="Jahresanfang 2025 + Export",BS220+BR220,BR220)))</f>
        <v>1</v>
      </c>
      <c r="I220" s="62" t="n">
        <f aca="false">H220*G220</f>
        <v>678.65</v>
      </c>
      <c r="J220" s="62" t="n">
        <f aca="false">BU220*Parameter!$B$18</f>
        <v>0</v>
      </c>
      <c r="K220" s="63" t="n">
        <v>0.5</v>
      </c>
      <c r="L220" s="64" t="n">
        <v>0</v>
      </c>
      <c r="M220" s="62" t="n">
        <v>0</v>
      </c>
      <c r="N220" s="62" t="n">
        <v>1</v>
      </c>
      <c r="O220" s="65" t="n">
        <v>14</v>
      </c>
      <c r="P220" s="60" t="s">
        <v>210</v>
      </c>
      <c r="Q220" s="62"/>
      <c r="R220" s="65" t="n">
        <f aca="false">IF(CA220=1,0,IFERROR(VLOOKUP(BY220,'Gebinde-Kategorie'!$A$5:$N$45,13,0)+0,0))</f>
        <v>4</v>
      </c>
      <c r="S220" s="66"/>
      <c r="T220" s="67" t="s">
        <v>231</v>
      </c>
      <c r="U220" s="67"/>
      <c r="V220" s="67"/>
      <c r="W220" s="60"/>
      <c r="X220" s="62"/>
      <c r="Y220" s="62"/>
      <c r="Z220" s="60" t="n">
        <v>2</v>
      </c>
      <c r="AA220" s="60" t="n">
        <f aca="false">IF(A220="","",IF(AND(Parameter!$B$21="Ja",ISNUMBER(W220)),W220,IF(AND(Parameter!$E$27="Ja",ISNUMBER(Z220),CD220&lt;&gt;"Nein"),Z220,IF(CD220="2+3",IF(ISNUMBER(SEARCH("grosser Artikel",BV220)),2,IFERROR(VLOOKUP(BY220,Parameter!$F$35:$G$64,2,0),2)),IF(OR(CD220="Nein",CD220=""),"-",CD220)))))</f>
        <v>2</v>
      </c>
      <c r="AB220" s="67"/>
      <c r="AC220" s="68"/>
      <c r="AD220" s="62" t="n">
        <f aca="false">AW220</f>
        <v>1</v>
      </c>
      <c r="AE220" s="62" t="n">
        <f aca="false">MAX(AW220,H220)</f>
        <v>1</v>
      </c>
      <c r="AF220" s="69"/>
      <c r="AG220" s="62" t="n">
        <f aca="false">IF(LEFT(Cockpit!$C$5,1)="A",H220,IF(Parameter!$E$30="MAX-Bestand",IF(CI220=1,CJ220,IF(LEFT(Cockpit!$C$5,1)="B",AM220,MAX(AM220,H220))),ROUNDUP(AK220,0)))</f>
        <v>1</v>
      </c>
      <c r="AH220" s="62" t="n">
        <f aca="false">IF(CA220=1,0,ROUNDUP(AG220/BZ220,0))</f>
        <v>1</v>
      </c>
      <c r="AI220" s="64" t="n">
        <f aca="false">IF(CR220&gt;0,CR220*MAX(1,AG220/X220),IF(CA220=1,IF(AG220&lt;=0,0,CE220*MAX(1,IF(H220&gt;0,AG220/H220,1))),IF(R220&gt;0,AH220/R220,0))/MAX(0.1,N(Parameter!$M$21)))</f>
        <v>0.25</v>
      </c>
      <c r="AJ220" s="62" t="n">
        <f aca="false">AI220*CC220</f>
        <v>58.75</v>
      </c>
      <c r="AK220" s="63" t="n">
        <f aca="false">IF(LEFT(Cockpit!$C$5,1)="A",H220,IF(CI220=1,(CL220+CJ220)/2,IF(LEFT(Cockpit!$C$5,1)="B",(CL220+AM220)/2,MAX((CL220+AM220)/2,H220))))</f>
        <v>1</v>
      </c>
      <c r="AL220" s="62" t="n">
        <f aca="false">AK220*G220</f>
        <v>678.65</v>
      </c>
      <c r="AM220" s="62" t="n">
        <f aca="false">ROUNDUP(CL220+MAX(CM220,2*(J220/IF(CH220&gt;0,CH220,MAX(0.1,N(Cockpit!$C$6)))-CL220)),0)</f>
        <v>1</v>
      </c>
      <c r="AN220" s="63" t="n">
        <f aca="false">IF(AJ220&gt;0,J220/AJ220,-1)</f>
        <v>0</v>
      </c>
      <c r="AO220" s="63" t="n">
        <f aca="false">IF(AND(OR(CG220="L1",CG220="L23",CG220="LIFT"),AJ220&gt;0),SUMIFS($AJ$7:$AJ$1843,$CG$7:$CG$1843,CG220,$AN$7:$AN$1843,"&gt;"&amp;AN220)+SUMIFS($AJ$7:$AJ$1843,$CG$7:$CG$1843,CG220,$AN$7:$AN$1843,AN220,$BX$7:$BX$1843,"&lt;="&amp;BX220),"")</f>
        <v>27615.4273659486</v>
      </c>
      <c r="AP220" s="70" t="n">
        <f aca="false">IF(AO220="",0,MAX(0,MIN(1,(IF(CG220="L1",Parameter!$H$5,IF(CG220="L23",Parameter!$H$6+Parameter!$H$7,Parameter!$H$5+Parameter!$H$6+Parameter!$H$7))-(AO220-AJ220))/AJ220)))</f>
        <v>1</v>
      </c>
      <c r="AQ220" s="62" t="n">
        <f aca="false">IF(LEFT(Cockpit!$I$5,1)="A",H220,IF(Parameter!$E$30="MAX-Bestand",IF(CI220=1,CJ220,IF(LEFT(Cockpit!$I$5,1)="B",AW220,MAX(AW220,H220))),ROUNDUP(AU220,0)))</f>
        <v>1</v>
      </c>
      <c r="AR220" s="62" t="n">
        <f aca="false">IF(CA220=1,0,ROUNDUP(AQ220/BZ220,0))</f>
        <v>1</v>
      </c>
      <c r="AS220" s="64" t="n">
        <f aca="false">IF(CR220&gt;0,CR220*MAX(1,AQ220/X220),IF(CA220=1,IF(AQ220&lt;=0,0,CE220*MAX(1,IF(H220&gt;0,AQ220/H220,1))),IF(R220&gt;0,AR220/R220,0))/MAX(0.1,N(Parameter!$M$21)))</f>
        <v>0.25</v>
      </c>
      <c r="AT220" s="62" t="n">
        <f aca="false">AS220*CC220</f>
        <v>58.75</v>
      </c>
      <c r="AU220" s="63" t="n">
        <f aca="false">IF(LEFT(Cockpit!$I$5,1)="A",H220,IF(CI220=1,(CL220+CJ220)/2,IF(LEFT(Cockpit!$I$5,1)="B",(CL220+AW220)/2,MAX((CL220+AW220)/2,H220))))</f>
        <v>1</v>
      </c>
      <c r="AV220" s="62" t="n">
        <f aca="false">AU220*G220</f>
        <v>678.65</v>
      </c>
      <c r="AW220" s="62" t="n">
        <f aca="false">ROUNDUP(CL220+MAX(CM220,2*(J220/IF(CH220&gt;0,CH220,MAX(0.1,N(Cockpit!$I$6)))-CL220)),0)</f>
        <v>1</v>
      </c>
      <c r="AX220" s="63" t="n">
        <f aca="false">IF(AT220&gt;0,J220/AT220,-1)</f>
        <v>0</v>
      </c>
      <c r="AY220" s="63" t="n">
        <f aca="false">IF(AND(OR(CG220="L1",CG220="L23",CG220="LIFT"),AT220&gt;0),SUMIFS($AT$7:$AT$1843,$CG$7:$CG$1843,CG220,$AX$7:$AX$1843,"&gt;"&amp;AX220)+SUMIFS($AT$7:$AT$1843,$CG$7:$CG$1843,CG220,$AX$7:$AX$1843,AX220,$BX$7:$BX$1843,"&lt;="&amp;BX220),"")</f>
        <v>32968.576007326</v>
      </c>
      <c r="AZ220" s="70" t="n">
        <f aca="false">IF(AY220="",0,MAX(0,MIN(1,(IF(CG220="L1",Parameter!$H$5,IF(CG220="L23",Parameter!$H$6+Parameter!$H$7,Parameter!$H$5+Parameter!$H$6+Parameter!$H$7))-(AY220-AT220))/AT220)))</f>
        <v>1</v>
      </c>
      <c r="BA220" s="62" t="n">
        <f aca="false">IF(LEFT(Cockpit!$O$5,1)="A",H220,IF(Parameter!$E$30="MAX-Bestand",IF(CI220=1,CJ220,IF(LEFT(Cockpit!$O$5,1)="B",BG220,MAX(BG220,H220))),ROUNDUP(BE220,0)))</f>
        <v>1</v>
      </c>
      <c r="BB220" s="62" t="n">
        <f aca="false">IF(CA220=1,0,ROUNDUP(BA220/BZ220,0))</f>
        <v>1</v>
      </c>
      <c r="BC220" s="64" t="n">
        <f aca="false">IF(CR220&gt;0,CR220*MAX(1,BA220/X220),IF(CA220=1,IF(BA220&lt;=0,0,CE220*MAX(1,IF(H220&gt;0,BA220/H220,1))),IF(R220&gt;0,BB220/R220,0))/MAX(0.1,N(Parameter!$M$21)))</f>
        <v>0.25</v>
      </c>
      <c r="BD220" s="62" t="n">
        <f aca="false">BC220*CC220</f>
        <v>58.75</v>
      </c>
      <c r="BE220" s="63" t="n">
        <f aca="false">IF(LEFT(Cockpit!$O$5,1)="A",H220,IF(CI220=1,(CL220+CJ220)/2,IF(LEFT(Cockpit!$O$5,1)="B",(CL220+BG220)/2,MAX((CL220+BG220)/2,H220))))</f>
        <v>0.5</v>
      </c>
      <c r="BF220" s="62" t="n">
        <f aca="false">BE220*G220</f>
        <v>339.325</v>
      </c>
      <c r="BG220" s="62" t="n">
        <f aca="false">ROUNDUP(CL220+MAX(CM220,2*(J220/IF(CH220&gt;0,CH220,MAX(0.1,N(Cockpit!$O$6)))-CL220)),0)</f>
        <v>1</v>
      </c>
      <c r="BH220" s="63" t="n">
        <f aca="false">IF(BD220&gt;0,J220/BD220,-1)</f>
        <v>0</v>
      </c>
      <c r="BI220" s="63" t="n">
        <f aca="false">IF(AND(OR(CG220="L1",CG220="L23",CG220="LIFT"),BD220&gt;0),SUMIFS($BD$7:$BD$1843,$CG$7:$CG$1843,CG220,$BH$7:$BH$1843,"&gt;"&amp;BH220)+SUMIFS($BD$7:$BD$1843,$CG$7:$CG$1843,CG220,$BH$7:$BH$1843,BH220,$BX$7:$BX$1843,"&lt;="&amp;BX220),"")</f>
        <v>27123.3950301111</v>
      </c>
      <c r="BJ220" s="70" t="n">
        <f aca="false">IF(BI220="",0,MAX(0,MIN(1,(IF(CG220="L1",Parameter!$H$5,IF(CG220="L23",Parameter!$H$6+Parameter!$H$7,Parameter!$H$5+Parameter!$H$6+Parameter!$H$7))-(BI220-BD220))/BD220)))</f>
        <v>1</v>
      </c>
      <c r="BK220" s="60" t="str">
        <f aca="false">IF(AJ220&lt;=0,"",IF(CG220="Aussen","Aussenlager",IF(CG220="-","Nicht im Lift",IF(AP220&gt;=1,"Lift",IF(AP220&lt;=0,"Aussenlager","teilweise")))))</f>
        <v>Lift</v>
      </c>
      <c r="BL220" s="60" t="str">
        <f aca="false">IF(AT220&lt;=0,"",IF(CG220="Aussen","Aussenlager",IF(CG220="-","Nicht im Lift",IF(AZ220&gt;=1,"Lift",IF(AZ220&lt;=0,"Aussenlager","teilweise")))))</f>
        <v>Lift</v>
      </c>
      <c r="BM220" s="60" t="str">
        <f aca="false">IF(BD220&lt;=0,"",IF(CG220="Aussen","Aussenlager",IF(CG220="-","Nicht im Lift",IF(BJ220&gt;=1,"Lift",IF(BJ220&lt;=0,"Aussenlager","teilweise")))))</f>
        <v>Lift</v>
      </c>
      <c r="BN220" s="60" t="str">
        <f aca="false">IF(A220="","",IF(BW220=1,"Neu; ","")&amp;IF(AND(BW220=0,BR220&lt;0),"negativer Bestand (Export "&amp;BR220&amp;"); ","")&amp;IF(J220&lt;=0,"Kein Verbrauch; ","")&amp;IF(CR220&gt;0,"Lift "&amp;W220&amp;" lt. Liftbericht (Fach "&amp;X220&amp;" Stk); ",IF(CB220=1,"Gebinde geschätzt ("&amp;T220&amp;"); ",IF(CA220=1,"Lose – Tablare geschätzt; ","")))&amp;IF(H220&gt;AW220,"Überbestand "&amp;ROUND(H220-AW220,0)&amp;" Stk / CHF "&amp;ROUND((H220-AW220)*G220,0)&amp;"; ","")&amp;IF(AND(CI220=1,CJ220&lt;CK220),"MAX &lt; MB+LG; ","")&amp;IF(AND(CQ220&gt;0,CP220*10&gt;CQ220),"zu hoch für Tablar; ","")&amp;IF(AND(BW220=0,OR(CI220=1,AB220&lt;&gt;"",U220&lt;&gt;"",V220&lt;&gt;"",AC220&lt;&gt;"")),"manuell übersteuert; ","")&amp;IF(AND(CA220=0,R220=0),"Gebinde unbekannt / Stellmass fehlt; ","")&amp;IF(AND(CA220=0,N(V220)&lt;=0,N(Q220)&lt;=0),"Menge pro Gebinde fehlt (Ist = 1 Gebinde); ","")&amp;BV220)</f>
        <v>Kein Verbrauch; Gebinde geschätzt (Gross); Menge pro Gebinde fehlt (Ist = 1 Gebinde); </v>
      </c>
      <c r="BO220" s="60"/>
      <c r="BP220" s="60"/>
      <c r="BQ220" s="67"/>
      <c r="BR220" s="62" t="n">
        <v>1</v>
      </c>
      <c r="BS220" s="62" t="n">
        <v>0</v>
      </c>
      <c r="BT220" s="61" t="n">
        <v>678.65</v>
      </c>
      <c r="BU220" s="62" t="n">
        <v>0</v>
      </c>
      <c r="BV220" s="60"/>
      <c r="BW220" s="65" t="n">
        <v>0</v>
      </c>
      <c r="BX220" s="65" t="n">
        <v>220</v>
      </c>
      <c r="BY220" s="60" t="str">
        <f aca="false">IF(U220&lt;&gt;"",UPPER(TRIM(U220)),IF(CB220=1,UPPER(VLOOKUP(T220,Parameter!$I$27:$K$29,2,0)),IF(P220="","LOSE",P220)))</f>
        <v>S81</v>
      </c>
      <c r="BZ220" s="62" t="n">
        <f aca="false">IF(BY220="LOSE",1,IF(N(V220)&gt;0,V220,IF(CB220=1,MAX(1,N(VLOOKUP(T220,Parameter!$I$27:$K$29,3,0)),H220,N(N220)),IF(N(Q220)&gt;0,Q220,MAX(1,H220)))))</f>
        <v>2</v>
      </c>
      <c r="CA220" s="65" t="n">
        <f aca="false">IF(BY220="LOSE",1,0)</f>
        <v>0</v>
      </c>
      <c r="CB220" s="65" t="n">
        <f aca="false">IF(AND(U220="",OR(P220="",P220="LOSE"),T220&lt;&gt;"",N(S220)&lt;=0,ISNUMBER(MATCH(T220,Parameter!$I$27:$I$29,0))),1,0)</f>
        <v>1</v>
      </c>
      <c r="CC220" s="65" t="n">
        <f aca="false">IF(CR220&gt;0,INDEX(Parameter!$H$5:$H$7,W220)/INDEX(Parameter!$E$5:$E$7,W220),IF(AND(CA220=0,N(IFERROR(VLOOKUP(BY220,'Gebinde-Kategorie'!$A$5:$N$45,14,0),0))&gt;0),VLOOKUP(BY220,'Gebinde-Kategorie'!$A$5:$N$45,14,0)*10+Parameter!$M$23,Parameter!$M$24))</f>
        <v>235</v>
      </c>
      <c r="CD220" s="60" t="str">
        <f aca="false">IF(AND(Parameter!$B$19="Ja",E220&lt;&gt;"",ISNUMBER(MATCH(E220,Parameter!$I$35:$I$52,0))),VLOOKUP(E220,Parameter!$I$35:$J$52,2,0),IFERROR(VLOOKUP(D220,Parameter!$A$35:$C$64,2,0),"Nein"))</f>
        <v>2+3</v>
      </c>
      <c r="CE220" s="64" t="n">
        <f aca="false">IF(CA220=0,0,IF(N(S220)&gt;0,S220,IFERROR(VLOOKUP(D220,Parameter!$A$35:$C$64,3,0)+0,0)))</f>
        <v>0</v>
      </c>
      <c r="CF220" s="60" t="n">
        <f aca="false">IF(AB220&lt;&gt;"",AB220,AA220)</f>
        <v>2</v>
      </c>
      <c r="CG220" s="60" t="str">
        <f aca="false">IF(OR(CF220=1,CF220=2,CF220=3),IF(Parameter!$E$27="Ja","LIFT",IF(CF220=1,"L1","L23")),IF(CF220="Aussen","Aussen","-"))</f>
        <v>LIFT</v>
      </c>
      <c r="CH220" s="71" t="n">
        <f aca="false">IF(N(AC220)&gt;0,AC220,0)</f>
        <v>0</v>
      </c>
      <c r="CI220" s="65" t="n">
        <f aca="false">IF(ISNUMBER(AF220),1,0)</f>
        <v>0</v>
      </c>
      <c r="CJ220" s="62" t="n">
        <f aca="false">N(AF220)</f>
        <v>0</v>
      </c>
      <c r="CK220" s="62" t="n">
        <f aca="false">N(M220)+N(N220)</f>
        <v>1</v>
      </c>
      <c r="CL220" s="62" t="n">
        <f aca="false">N(M220)</f>
        <v>0</v>
      </c>
      <c r="CM220" s="62" t="n">
        <f aca="false">N(N220)</f>
        <v>1</v>
      </c>
      <c r="CN220" s="62" t="n">
        <f aca="false">ROUNDUP(H220/BZ220,0)</f>
        <v>1</v>
      </c>
      <c r="CO220" s="62" t="n">
        <f aca="false">ROUNDUP(CJ220/BZ220,0)</f>
        <v>0</v>
      </c>
      <c r="CP220" s="65" t="n">
        <f aca="false">IF(CA220=1,0,IFERROR(VLOOKUP(BY220,'Gebinde-Kategorie'!$A$5:$N$45,5,0)+0,0))</f>
        <v>20</v>
      </c>
      <c r="CQ220" s="65" t="n">
        <f aca="false">IFERROR(IF(OR(CF220=1,CF220=2,CF220=3),N(INDEX(Parameter!$I$5:$I$7,CF220)),0),0)</f>
        <v>0</v>
      </c>
      <c r="CR220" s="64" t="n">
        <f aca="false">IF(AND(Parameter!$B$21="Ja",ISNUMBER(W220),N(X220)&gt;0),IFERROR(N(INDEX(Parameter!$L$5:$L$7,W220))*INDEX(Parameter!$E$5:$E$7,W220)*X220/SUMIFS($X$7:$X$1843,$W$7:$W$1843,W220),0),0)</f>
        <v>0</v>
      </c>
      <c r="CS220" s="62" t="n">
        <f aca="false">IF(AND(OR(CG220="L1",CG220="L23",CG220="LIFT"),H220&gt;0),CC220*IF(CR220&gt;0,CR220*MAX(1,H220/X220),IF(CA220=1,CE220,IF(R220&gt;0,CN220/R220,0))/MAX(0.1,N(Parameter!$M$21))),"")</f>
        <v>58.75</v>
      </c>
      <c r="CT220" s="64" t="n">
        <f aca="false">IF(CS220="","",J220/H220)</f>
        <v>0</v>
      </c>
      <c r="CU220" s="62" t="n">
        <f aca="false">IF(CS220="","",H220*G220)</f>
        <v>678.65</v>
      </c>
      <c r="CV220" s="63" t="n">
        <f aca="false">IF(CS220="","",(CL220+ROUNDUP(CL220+MAX(CM220,2*(J220/MAX(0.1,N(Einkauf!$C$6))-CL220)),0))/2)</f>
        <v>0.5</v>
      </c>
      <c r="CW220" s="62" t="n">
        <f aca="false">IF(CS220="","",MAX(0,H220-CV220)*G220)</f>
        <v>339.325</v>
      </c>
      <c r="CX220" s="62" t="n">
        <f aca="false">IF(CS220="","",CS220*MAX(0,1-CV220/H220))</f>
        <v>29.375</v>
      </c>
      <c r="CY220" s="64" t="n">
        <f aca="false">IF(CS220="","",PERCENTRANK($CS$7:$CS$1843,CS220)+PERCENTRANK($CU$7:$CU$1843,CU220)+1-PERCENTRANK($CT$7:$CT$1843,CT220))</f>
        <v>2.491</v>
      </c>
      <c r="CZ220" s="72" t="n">
        <f aca="false">IF(CS220="","",CHOOSE(MATCH(Einkauf!$C$5,Parameter!$G$23:$G$27,0),CY220,CS220,CU220,-CT220,CW220)+ROW()/1000000000)</f>
        <v>2.49100022</v>
      </c>
    </row>
    <row r="221" customFormat="false" ht="15" hidden="false" customHeight="false" outlineLevel="0" collapsed="false">
      <c r="A221" s="60" t="s">
        <v>676</v>
      </c>
      <c r="B221" s="60" t="s">
        <v>677</v>
      </c>
      <c r="C221" s="60" t="s">
        <v>206</v>
      </c>
      <c r="D221" s="60" t="s">
        <v>226</v>
      </c>
      <c r="E221" s="60"/>
      <c r="F221" s="60" t="s">
        <v>260</v>
      </c>
      <c r="G221" s="61" t="n">
        <v>36.84</v>
      </c>
      <c r="H221" s="62" t="n">
        <f aca="false">MAX(0,IF(AND(Parameter!$B$21="Ja",ISNUMBER(Y221)),Y221,IF(Parameter!$B$20="Jahresanfang 2025 + Export",BS221+BR221,BR221)))</f>
        <v>36</v>
      </c>
      <c r="I221" s="62" t="n">
        <f aca="false">H221*G221</f>
        <v>1326.24</v>
      </c>
      <c r="J221" s="62" t="n">
        <f aca="false">BU221*Parameter!$B$18</f>
        <v>49</v>
      </c>
      <c r="K221" s="63" t="n">
        <v>23</v>
      </c>
      <c r="L221" s="64" t="n">
        <v>2.1304347826087</v>
      </c>
      <c r="M221" s="62" t="n">
        <v>3</v>
      </c>
      <c r="N221" s="62" t="n">
        <v>50</v>
      </c>
      <c r="O221" s="65" t="n">
        <v>28</v>
      </c>
      <c r="P221" s="60" t="s">
        <v>228</v>
      </c>
      <c r="Q221" s="62" t="n">
        <v>40</v>
      </c>
      <c r="R221" s="65" t="n">
        <f aca="false">IF(CA221=1,0,IFERROR(VLOOKUP(BY221,'Gebinde-Kategorie'!$A$5:$N$45,13,0)+0,0))</f>
        <v>12</v>
      </c>
      <c r="S221" s="66"/>
      <c r="T221" s="67"/>
      <c r="U221" s="67"/>
      <c r="V221" s="67"/>
      <c r="W221" s="60"/>
      <c r="X221" s="62"/>
      <c r="Y221" s="62"/>
      <c r="Z221" s="60" t="n">
        <v>3</v>
      </c>
      <c r="AA221" s="60" t="n">
        <f aca="false">IF(A221="","",IF(AND(Parameter!$B$21="Ja",ISNUMBER(W221)),W221,IF(AND(Parameter!$E$27="Ja",ISNUMBER(Z221),CD221&lt;&gt;"Nein"),Z221,IF(CD221="2+3",IF(ISNUMBER(SEARCH("grosser Artikel",BV221)),2,IFERROR(VLOOKUP(BY221,Parameter!$F$35:$G$64,2,0),2)),IF(OR(CD221="Nein",CD221=""),"-",CD221)))))</f>
        <v>3</v>
      </c>
      <c r="AB221" s="67"/>
      <c r="AC221" s="68"/>
      <c r="AD221" s="62" t="n">
        <f aca="false">AW221</f>
        <v>53</v>
      </c>
      <c r="AE221" s="62" t="n">
        <f aca="false">MAX(AW221,H221)</f>
        <v>53</v>
      </c>
      <c r="AF221" s="69"/>
      <c r="AG221" s="62" t="n">
        <f aca="false">IF(LEFT(Cockpit!$C$5,1)="A",H221,IF(Parameter!$E$30="MAX-Bestand",IF(CI221=1,CJ221,IF(LEFT(Cockpit!$C$5,1)="B",AM221,MAX(AM221,H221))),ROUNDUP(AK221,0)))</f>
        <v>36</v>
      </c>
      <c r="AH221" s="62" t="n">
        <f aca="false">IF(CA221=1,0,ROUNDUP(AG221/BZ221,0))</f>
        <v>1</v>
      </c>
      <c r="AI221" s="64" t="n">
        <f aca="false">IF(CR221&gt;0,CR221*MAX(1,AG221/X221),IF(CA221=1,IF(AG221&lt;=0,0,CE221*MAX(1,IF(H221&gt;0,AG221/H221,1))),IF(R221&gt;0,AH221/R221,0))/MAX(0.1,N(Parameter!$M$21)))</f>
        <v>0.0833333333333333</v>
      </c>
      <c r="AJ221" s="62" t="n">
        <f aca="false">AI221*CC221</f>
        <v>12.0833333333333</v>
      </c>
      <c r="AK221" s="63" t="n">
        <f aca="false">IF(LEFT(Cockpit!$C$5,1)="A",H221,IF(CI221=1,(CL221+CJ221)/2,IF(LEFT(Cockpit!$C$5,1)="B",(CL221+AM221)/2,MAX((CL221+AM221)/2,H221))))</f>
        <v>36</v>
      </c>
      <c r="AL221" s="62" t="n">
        <f aca="false">AK221*G221</f>
        <v>1326.24</v>
      </c>
      <c r="AM221" s="62" t="n">
        <f aca="false">ROUNDUP(CL221+MAX(CM221,2*(J221/IF(CH221&gt;0,CH221,MAX(0.1,N(Cockpit!$C$6)))-CL221)),0)</f>
        <v>53</v>
      </c>
      <c r="AN221" s="63" t="n">
        <f aca="false">IF(AJ221&gt;0,J221/AJ221,-1)</f>
        <v>4.0551724137931</v>
      </c>
      <c r="AO221" s="63" t="n">
        <f aca="false">IF(AND(OR(CG221="L1",CG221="L23",CG221="LIFT"),AJ221&gt;0),SUMIFS($AJ$7:$AJ$1843,$CG$7:$CG$1843,CG221,$AN$7:$AN$1843,"&gt;"&amp;AN221)+SUMIFS($AJ$7:$AJ$1843,$CG$7:$CG$1843,CG221,$AN$7:$AN$1843,AN221,$BX$7:$BX$1843,"&lt;="&amp;BX221),"")</f>
        <v>4249.7467948718</v>
      </c>
      <c r="AP221" s="70" t="n">
        <f aca="false">IF(AO221="",0,MAX(0,MIN(1,(IF(CG221="L1",Parameter!$H$5,IF(CG221="L23",Parameter!$H$6+Parameter!$H$7,Parameter!$H$5+Parameter!$H$6+Parameter!$H$7))-(AO221-AJ221))/AJ221)))</f>
        <v>1</v>
      </c>
      <c r="AQ221" s="62" t="n">
        <f aca="false">IF(LEFT(Cockpit!$I$5,1)="A",H221,IF(Parameter!$E$30="MAX-Bestand",IF(CI221=1,CJ221,IF(LEFT(Cockpit!$I$5,1)="B",AW221,MAX(AW221,H221))),ROUNDUP(AU221,0)))</f>
        <v>36</v>
      </c>
      <c r="AR221" s="62" t="n">
        <f aca="false">IF(CA221=1,0,ROUNDUP(AQ221/BZ221,0))</f>
        <v>1</v>
      </c>
      <c r="AS221" s="64" t="n">
        <f aca="false">IF(CR221&gt;0,CR221*MAX(1,AQ221/X221),IF(CA221=1,IF(AQ221&lt;=0,0,CE221*MAX(1,IF(H221&gt;0,AQ221/H221,1))),IF(R221&gt;0,AR221/R221,0))/MAX(0.1,N(Parameter!$M$21)))</f>
        <v>0.0833333333333333</v>
      </c>
      <c r="AT221" s="62" t="n">
        <f aca="false">AS221*CC221</f>
        <v>12.0833333333333</v>
      </c>
      <c r="AU221" s="63" t="n">
        <f aca="false">IF(LEFT(Cockpit!$I$5,1)="A",H221,IF(CI221=1,(CL221+CJ221)/2,IF(LEFT(Cockpit!$I$5,1)="B",(CL221+AW221)/2,MAX((CL221+AW221)/2,H221))))</f>
        <v>36</v>
      </c>
      <c r="AV221" s="62" t="n">
        <f aca="false">AU221*G221</f>
        <v>1326.24</v>
      </c>
      <c r="AW221" s="62" t="n">
        <f aca="false">ROUNDUP(CL221+MAX(CM221,2*(J221/IF(CH221&gt;0,CH221,MAX(0.1,N(Cockpit!$I$6)))-CL221)),0)</f>
        <v>53</v>
      </c>
      <c r="AX221" s="63" t="n">
        <f aca="false">IF(AT221&gt;0,J221/AT221,-1)</f>
        <v>4.0551724137931</v>
      </c>
      <c r="AY221" s="63" t="n">
        <f aca="false">IF(AND(OR(CG221="L1",CG221="L23",CG221="LIFT"),AT221&gt;0),SUMIFS($AT$7:$AT$1843,$CG$7:$CG$1843,CG221,$AX$7:$AX$1843,"&gt;"&amp;AX221)+SUMIFS($AT$7:$AT$1843,$CG$7:$CG$1843,CG221,$AX$7:$AX$1843,AX221,$BX$7:$BX$1843,"&lt;="&amp;BX221),"")</f>
        <v>4883.9043040293</v>
      </c>
      <c r="AZ221" s="70" t="n">
        <f aca="false">IF(AY221="",0,MAX(0,MIN(1,(IF(CG221="L1",Parameter!$H$5,IF(CG221="L23",Parameter!$H$6+Parameter!$H$7,Parameter!$H$5+Parameter!$H$6+Parameter!$H$7))-(AY221-AT221))/AT221)))</f>
        <v>1</v>
      </c>
      <c r="BA221" s="62" t="n">
        <f aca="false">IF(LEFT(Cockpit!$O$5,1)="A",H221,IF(Parameter!$E$30="MAX-Bestand",IF(CI221=1,CJ221,IF(LEFT(Cockpit!$O$5,1)="B",BG221,MAX(BG221,H221))),ROUNDUP(BE221,0)))</f>
        <v>28</v>
      </c>
      <c r="BB221" s="62" t="n">
        <f aca="false">IF(CA221=1,0,ROUNDUP(BA221/BZ221,0))</f>
        <v>1</v>
      </c>
      <c r="BC221" s="64" t="n">
        <f aca="false">IF(CR221&gt;0,CR221*MAX(1,BA221/X221),IF(CA221=1,IF(BA221&lt;=0,0,CE221*MAX(1,IF(H221&gt;0,BA221/H221,1))),IF(R221&gt;0,BB221/R221,0))/MAX(0.1,N(Parameter!$M$21)))</f>
        <v>0.0833333333333333</v>
      </c>
      <c r="BD221" s="62" t="n">
        <f aca="false">BC221*CC221</f>
        <v>12.0833333333333</v>
      </c>
      <c r="BE221" s="63" t="n">
        <f aca="false">IF(LEFT(Cockpit!$O$5,1)="A",H221,IF(CI221=1,(CL221+CJ221)/2,IF(LEFT(Cockpit!$O$5,1)="B",(CL221+BG221)/2,MAX((CL221+BG221)/2,H221))))</f>
        <v>28</v>
      </c>
      <c r="BF221" s="62" t="n">
        <f aca="false">BE221*G221</f>
        <v>1031.52</v>
      </c>
      <c r="BG221" s="62" t="n">
        <f aca="false">ROUNDUP(CL221+MAX(CM221,2*(J221/IF(CH221&gt;0,CH221,MAX(0.1,N(Cockpit!$O$6)))-CL221)),0)</f>
        <v>53</v>
      </c>
      <c r="BH221" s="63" t="n">
        <f aca="false">IF(BD221&gt;0,J221/BD221,-1)</f>
        <v>4.0551724137931</v>
      </c>
      <c r="BI221" s="63" t="n">
        <f aca="false">IF(AND(OR(CG221="L1",CG221="L23",CG221="LIFT"),BD221&gt;0),SUMIFS($BD$7:$BD$1843,$CG$7:$CG$1843,CG221,$BH$7:$BH$1843,"&gt;"&amp;BH221)+SUMIFS($BD$7:$BD$1843,$CG$7:$CG$1843,CG221,$BH$7:$BH$1843,BH221,$BX$7:$BX$1843,"&lt;="&amp;BX221),"")</f>
        <v>3968.86263736264</v>
      </c>
      <c r="BJ221" s="70" t="n">
        <f aca="false">IF(BI221="",0,MAX(0,MIN(1,(IF(CG221="L1",Parameter!$H$5,IF(CG221="L23",Parameter!$H$6+Parameter!$H$7,Parameter!$H$5+Parameter!$H$6+Parameter!$H$7))-(BI221-BD221))/BD221)))</f>
        <v>1</v>
      </c>
      <c r="BK221" s="60" t="str">
        <f aca="false">IF(AJ221&lt;=0,"",IF(CG221="Aussen","Aussenlager",IF(CG221="-","Nicht im Lift",IF(AP221&gt;=1,"Lift",IF(AP221&lt;=0,"Aussenlager","teilweise")))))</f>
        <v>Lift</v>
      </c>
      <c r="BL221" s="60" t="str">
        <f aca="false">IF(AT221&lt;=0,"",IF(CG221="Aussen","Aussenlager",IF(CG221="-","Nicht im Lift",IF(AZ221&gt;=1,"Lift",IF(AZ221&lt;=0,"Aussenlager","teilweise")))))</f>
        <v>Lift</v>
      </c>
      <c r="BM221" s="60" t="str">
        <f aca="false">IF(BD221&lt;=0,"",IF(CG221="Aussen","Aussenlager",IF(CG221="-","Nicht im Lift",IF(BJ221&gt;=1,"Lift",IF(BJ221&lt;=0,"Aussenlager","teilweise")))))</f>
        <v>Lift</v>
      </c>
      <c r="BN221" s="60" t="str">
        <f aca="false">IF(A221="","",IF(BW221=1,"Neu; ","")&amp;IF(AND(BW221=0,BR221&lt;0),"negativer Bestand (Export "&amp;BR221&amp;"); ","")&amp;IF(J221&lt;=0,"Kein Verbrauch; ","")&amp;IF(CR221&gt;0,"Lift "&amp;W221&amp;" lt. Liftbericht (Fach "&amp;X221&amp;" Stk); ",IF(CB221=1,"Gebinde geschätzt ("&amp;T221&amp;"); ",IF(CA221=1,"Lose – Tablare geschätzt; ","")))&amp;IF(H221&gt;AW221,"Überbestand "&amp;ROUND(H221-AW221,0)&amp;" Stk / CHF "&amp;ROUND((H221-AW221)*G221,0)&amp;"; ","")&amp;IF(AND(CI221=1,CJ221&lt;CK221),"MAX &lt; MB+LG; ","")&amp;IF(AND(CQ221&gt;0,CP221*10&gt;CQ221),"zu hoch für Tablar; ","")&amp;IF(AND(BW221=0,OR(CI221=1,AB221&lt;&gt;"",U221&lt;&gt;"",V221&lt;&gt;"",AC221&lt;&gt;"")),"manuell übersteuert; ","")&amp;IF(AND(CA221=0,R221=0),"Gebinde unbekannt / Stellmass fehlt; ","")&amp;IF(AND(CA221=0,N(V221)&lt;=0,N(Q221)&lt;=0),"Menge pro Gebinde fehlt (Ist = 1 Gebinde); ","")&amp;BV221)</f>
        <v/>
      </c>
      <c r="BO221" s="60"/>
      <c r="BP221" s="60"/>
      <c r="BQ221" s="67"/>
      <c r="BR221" s="62" t="n">
        <v>18</v>
      </c>
      <c r="BS221" s="62" t="n">
        <v>18</v>
      </c>
      <c r="BT221" s="61" t="n">
        <v>675.72</v>
      </c>
      <c r="BU221" s="62" t="n">
        <v>49</v>
      </c>
      <c r="BV221" s="60"/>
      <c r="BW221" s="65" t="n">
        <v>0</v>
      </c>
      <c r="BX221" s="65" t="n">
        <v>221</v>
      </c>
      <c r="BY221" s="60" t="str">
        <f aca="false">IF(U221&lt;&gt;"",UPPER(TRIM(U221)),IF(CB221=1,UPPER(VLOOKUP(T221,Parameter!$I$27:$K$29,2,0)),IF(P221="","LOSE",P221)))</f>
        <v>S61</v>
      </c>
      <c r="BZ221" s="62" t="n">
        <f aca="false">IF(BY221="LOSE",1,IF(N(V221)&gt;0,V221,IF(CB221=1,MAX(1,N(VLOOKUP(T221,Parameter!$I$27:$K$29,3,0)),H221,N(N221)),IF(N(Q221)&gt;0,Q221,MAX(1,H221)))))</f>
        <v>40</v>
      </c>
      <c r="CA221" s="65" t="n">
        <f aca="false">IF(BY221="LOSE",1,0)</f>
        <v>0</v>
      </c>
      <c r="CB221" s="65" t="n">
        <f aca="false">IF(AND(U221="",OR(P221="",P221="LOSE"),T221&lt;&gt;"",N(S221)&lt;=0,ISNUMBER(MATCH(T221,Parameter!$I$27:$I$29,0))),1,0)</f>
        <v>0</v>
      </c>
      <c r="CC221" s="65" t="n">
        <f aca="false">IF(CR221&gt;0,INDEX(Parameter!$H$5:$H$7,W221)/INDEX(Parameter!$E$5:$E$7,W221),IF(AND(CA221=0,N(IFERROR(VLOOKUP(BY221,'Gebinde-Kategorie'!$A$5:$N$45,14,0),0))&gt;0),VLOOKUP(BY221,'Gebinde-Kategorie'!$A$5:$N$45,14,0)*10+Parameter!$M$23,Parameter!$M$24))</f>
        <v>145</v>
      </c>
      <c r="CD221" s="60" t="str">
        <f aca="false">IF(AND(Parameter!$B$19="Ja",E221&lt;&gt;"",ISNUMBER(MATCH(E221,Parameter!$I$35:$I$52,0))),VLOOKUP(E221,Parameter!$I$35:$J$52,2,0),IFERROR(VLOOKUP(D221,Parameter!$A$35:$C$64,2,0),"Nein"))</f>
        <v>2+3</v>
      </c>
      <c r="CE221" s="64" t="n">
        <f aca="false">IF(CA221=0,0,IF(N(S221)&gt;0,S221,IFERROR(VLOOKUP(D221,Parameter!$A$35:$C$64,3,0)+0,0)))</f>
        <v>0</v>
      </c>
      <c r="CF221" s="60" t="n">
        <f aca="false">IF(AB221&lt;&gt;"",AB221,AA221)</f>
        <v>3</v>
      </c>
      <c r="CG221" s="60" t="str">
        <f aca="false">IF(OR(CF221=1,CF221=2,CF221=3),IF(Parameter!$E$27="Ja","LIFT",IF(CF221=1,"L1","L23")),IF(CF221="Aussen","Aussen","-"))</f>
        <v>LIFT</v>
      </c>
      <c r="CH221" s="71" t="n">
        <f aca="false">IF(N(AC221)&gt;0,AC221,0)</f>
        <v>0</v>
      </c>
      <c r="CI221" s="65" t="n">
        <f aca="false">IF(ISNUMBER(AF221),1,0)</f>
        <v>0</v>
      </c>
      <c r="CJ221" s="62" t="n">
        <f aca="false">N(AF221)</f>
        <v>0</v>
      </c>
      <c r="CK221" s="62" t="n">
        <f aca="false">N(M221)+N(N221)</f>
        <v>53</v>
      </c>
      <c r="CL221" s="62" t="n">
        <f aca="false">N(M221)</f>
        <v>3</v>
      </c>
      <c r="CM221" s="62" t="n">
        <f aca="false">N(N221)</f>
        <v>50</v>
      </c>
      <c r="CN221" s="62" t="n">
        <f aca="false">ROUNDUP(H221/BZ221,0)</f>
        <v>1</v>
      </c>
      <c r="CO221" s="62" t="n">
        <f aca="false">ROUNDUP(CJ221/BZ221,0)</f>
        <v>0</v>
      </c>
      <c r="CP221" s="65" t="n">
        <f aca="false">IF(CA221=1,0,IFERROR(VLOOKUP(BY221,'Gebinde-Kategorie'!$A$5:$N$45,5,0)+0,0))</f>
        <v>11</v>
      </c>
      <c r="CQ221" s="65" t="n">
        <f aca="false">IFERROR(IF(OR(CF221=1,CF221=2,CF221=3),N(INDEX(Parameter!$I$5:$I$7,CF221)),0),0)</f>
        <v>0</v>
      </c>
      <c r="CR221" s="64" t="n">
        <f aca="false">IF(AND(Parameter!$B$21="Ja",ISNUMBER(W221),N(X221)&gt;0),IFERROR(N(INDEX(Parameter!$L$5:$L$7,W221))*INDEX(Parameter!$E$5:$E$7,W221)*X221/SUMIFS($X$7:$X$1843,$W$7:$W$1843,W221),0),0)</f>
        <v>0</v>
      </c>
      <c r="CS221" s="62" t="n">
        <f aca="false">IF(AND(OR(CG221="L1",CG221="L23",CG221="LIFT"),H221&gt;0),CC221*IF(CR221&gt;0,CR221*MAX(1,H221/X221),IF(CA221=1,CE221,IF(R221&gt;0,CN221/R221,0))/MAX(0.1,N(Parameter!$M$21))),"")</f>
        <v>12.0833333333333</v>
      </c>
      <c r="CT221" s="64" t="n">
        <f aca="false">IF(CS221="","",J221/H221)</f>
        <v>1.36111111111111</v>
      </c>
      <c r="CU221" s="62" t="n">
        <f aca="false">IF(CS221="","",H221*G221)</f>
        <v>1326.24</v>
      </c>
      <c r="CV221" s="63" t="n">
        <f aca="false">IF(CS221="","",(CL221+ROUNDUP(CL221+MAX(CM221,2*(J221/MAX(0.1,N(Einkauf!$C$6))-CL221)),0))/2)</f>
        <v>28</v>
      </c>
      <c r="CW221" s="62" t="n">
        <f aca="false">IF(CS221="","",MAX(0,H221-CV221)*G221)</f>
        <v>294.72</v>
      </c>
      <c r="CX221" s="62" t="n">
        <f aca="false">IF(CS221="","",CS221*MAX(0,1-CV221/H221))</f>
        <v>2.68518518518518</v>
      </c>
      <c r="CY221" s="64" t="n">
        <f aca="false">IF(CS221="","",PERCENTRANK($CS$7:$CS$1843,CS221)+PERCENTRANK($CU$7:$CU$1843,CU221)+1-PERCENTRANK($CT$7:$CT$1843,CT221))</f>
        <v>1.608</v>
      </c>
      <c r="CZ221" s="72" t="n">
        <f aca="false">IF(CS221="","",CHOOSE(MATCH(Einkauf!$C$5,Parameter!$G$23:$G$27,0),CY221,CS221,CU221,-CT221,CW221)+ROW()/1000000000)</f>
        <v>1.608000221</v>
      </c>
    </row>
    <row r="222" customFormat="false" ht="15" hidden="false" customHeight="false" outlineLevel="0" collapsed="false">
      <c r="A222" s="60" t="s">
        <v>678</v>
      </c>
      <c r="B222" s="60" t="s">
        <v>679</v>
      </c>
      <c r="C222" s="60" t="s">
        <v>206</v>
      </c>
      <c r="D222" s="60" t="s">
        <v>226</v>
      </c>
      <c r="E222" s="60" t="s">
        <v>227</v>
      </c>
      <c r="F222" s="60" t="s">
        <v>260</v>
      </c>
      <c r="G222" s="61" t="n">
        <v>5.56</v>
      </c>
      <c r="H222" s="62" t="n">
        <f aca="false">MAX(0,IF(AND(Parameter!$B$21="Ja",ISNUMBER(Y222)),Y222,IF(Parameter!$B$20="Jahresanfang 2025 + Export",BS222+BR222,BR222)))</f>
        <v>162</v>
      </c>
      <c r="I222" s="62" t="n">
        <f aca="false">H222*G222</f>
        <v>900.72</v>
      </c>
      <c r="J222" s="62" t="n">
        <f aca="false">BU222*Parameter!$B$18</f>
        <v>150</v>
      </c>
      <c r="K222" s="63" t="n">
        <v>47.5</v>
      </c>
      <c r="L222" s="64" t="n">
        <v>3.15789473684211</v>
      </c>
      <c r="M222" s="62" t="n">
        <v>11</v>
      </c>
      <c r="N222" s="62" t="n">
        <v>150</v>
      </c>
      <c r="O222" s="65" t="n">
        <v>28</v>
      </c>
      <c r="P222" s="60" t="s">
        <v>344</v>
      </c>
      <c r="Q222" s="62" t="n">
        <v>89</v>
      </c>
      <c r="R222" s="65" t="n">
        <f aca="false">IF(CA222=1,0,IFERROR(VLOOKUP(BY222,'Gebinde-Kategorie'!$A$5:$N$45,13,0)+0,0))</f>
        <v>26</v>
      </c>
      <c r="S222" s="66"/>
      <c r="T222" s="67"/>
      <c r="U222" s="67"/>
      <c r="V222" s="67"/>
      <c r="W222" s="60"/>
      <c r="X222" s="62"/>
      <c r="Y222" s="62"/>
      <c r="Z222" s="60" t="n">
        <v>3</v>
      </c>
      <c r="AA222" s="60" t="n">
        <f aca="false">IF(A222="","",IF(AND(Parameter!$B$21="Ja",ISNUMBER(W222)),W222,IF(AND(Parameter!$E$27="Ja",ISNUMBER(Z222),CD222&lt;&gt;"Nein"),Z222,IF(CD222="2+3",IF(ISNUMBER(SEARCH("grosser Artikel",BV222)),2,IFERROR(VLOOKUP(BY222,Parameter!$F$35:$G$64,2,0),2)),IF(OR(CD222="Nein",CD222=""),"-",CD222)))))</f>
        <v>3</v>
      </c>
      <c r="AB222" s="67"/>
      <c r="AC222" s="68"/>
      <c r="AD222" s="62" t="n">
        <f aca="false">AW222</f>
        <v>161</v>
      </c>
      <c r="AE222" s="62" t="n">
        <f aca="false">MAX(AW222,H222)</f>
        <v>162</v>
      </c>
      <c r="AF222" s="69"/>
      <c r="AG222" s="62" t="n">
        <f aca="false">IF(LEFT(Cockpit!$C$5,1)="A",H222,IF(Parameter!$E$30="MAX-Bestand",IF(CI222=1,CJ222,IF(LEFT(Cockpit!$C$5,1)="B",AM222,MAX(AM222,H222))),ROUNDUP(AK222,0)))</f>
        <v>162</v>
      </c>
      <c r="AH222" s="62" t="n">
        <f aca="false">IF(CA222=1,0,ROUNDUP(AG222/BZ222,0))</f>
        <v>2</v>
      </c>
      <c r="AI222" s="64" t="n">
        <f aca="false">IF(CR222&gt;0,CR222*MAX(1,AG222/X222),IF(CA222=1,IF(AG222&lt;=0,0,CE222*MAX(1,IF(H222&gt;0,AG222/H222,1))),IF(R222&gt;0,AH222/R222,0))/MAX(0.1,N(Parameter!$M$21)))</f>
        <v>0.0769230769230769</v>
      </c>
      <c r="AJ222" s="62" t="n">
        <f aca="false">AI222*CC222</f>
        <v>11.9230769230769</v>
      </c>
      <c r="AK222" s="63" t="n">
        <f aca="false">IF(LEFT(Cockpit!$C$5,1)="A",H222,IF(CI222=1,(CL222+CJ222)/2,IF(LEFT(Cockpit!$C$5,1)="B",(CL222+AM222)/2,MAX((CL222+AM222)/2,H222))))</f>
        <v>162</v>
      </c>
      <c r="AL222" s="62" t="n">
        <f aca="false">AK222*G222</f>
        <v>900.72</v>
      </c>
      <c r="AM222" s="62" t="n">
        <f aca="false">ROUNDUP(CL222+MAX(CM222,2*(J222/IF(CH222&gt;0,CH222,MAX(0.1,N(Cockpit!$C$6)))-CL222)),0)</f>
        <v>161</v>
      </c>
      <c r="AN222" s="63" t="n">
        <f aca="false">IF(AJ222&gt;0,J222/AJ222,-1)</f>
        <v>12.5806451612903</v>
      </c>
      <c r="AO222" s="63" t="n">
        <f aca="false">IF(AND(OR(CG222="L1",CG222="L23",CG222="LIFT"),AJ222&gt;0),SUMIFS($AJ$7:$AJ$1843,$CG$7:$CG$1843,CG222,$AN$7:$AN$1843,"&gt;"&amp;AN222)+SUMIFS($AJ$7:$AJ$1843,$CG$7:$CG$1843,CG222,$AN$7:$AN$1843,AN222,$BX$7:$BX$1843,"&lt;="&amp;BX222),"")</f>
        <v>2408.413003663</v>
      </c>
      <c r="AP222" s="70" t="n">
        <f aca="false">IF(AO222="",0,MAX(0,MIN(1,(IF(CG222="L1",Parameter!$H$5,IF(CG222="L23",Parameter!$H$6+Parameter!$H$7,Parameter!$H$5+Parameter!$H$6+Parameter!$H$7))-(AO222-AJ222))/AJ222)))</f>
        <v>1</v>
      </c>
      <c r="AQ222" s="62" t="n">
        <f aca="false">IF(LEFT(Cockpit!$I$5,1)="A",H222,IF(Parameter!$E$30="MAX-Bestand",IF(CI222=1,CJ222,IF(LEFT(Cockpit!$I$5,1)="B",AW222,MAX(AW222,H222))),ROUNDUP(AU222,0)))</f>
        <v>162</v>
      </c>
      <c r="AR222" s="62" t="n">
        <f aca="false">IF(CA222=1,0,ROUNDUP(AQ222/BZ222,0))</f>
        <v>2</v>
      </c>
      <c r="AS222" s="64" t="n">
        <f aca="false">IF(CR222&gt;0,CR222*MAX(1,AQ222/X222),IF(CA222=1,IF(AQ222&lt;=0,0,CE222*MAX(1,IF(H222&gt;0,AQ222/H222,1))),IF(R222&gt;0,AR222/R222,0))/MAX(0.1,N(Parameter!$M$21)))</f>
        <v>0.0769230769230769</v>
      </c>
      <c r="AT222" s="62" t="n">
        <f aca="false">AS222*CC222</f>
        <v>11.9230769230769</v>
      </c>
      <c r="AU222" s="63" t="n">
        <f aca="false">IF(LEFT(Cockpit!$I$5,1)="A",H222,IF(CI222=1,(CL222+CJ222)/2,IF(LEFT(Cockpit!$I$5,1)="B",(CL222+AW222)/2,MAX((CL222+AW222)/2,H222))))</f>
        <v>162</v>
      </c>
      <c r="AV222" s="62" t="n">
        <f aca="false">AU222*G222</f>
        <v>900.72</v>
      </c>
      <c r="AW222" s="62" t="n">
        <f aca="false">ROUNDUP(CL222+MAX(CM222,2*(J222/IF(CH222&gt;0,CH222,MAX(0.1,N(Cockpit!$I$6)))-CL222)),0)</f>
        <v>161</v>
      </c>
      <c r="AX222" s="63" t="n">
        <f aca="false">IF(AT222&gt;0,J222/AT222,-1)</f>
        <v>12.5806451612903</v>
      </c>
      <c r="AY222" s="63" t="n">
        <f aca="false">IF(AND(OR(CG222="L1",CG222="L23",CG222="LIFT"),AT222&gt;0),SUMIFS($AT$7:$AT$1843,$CG$7:$CG$1843,CG222,$AX$7:$AX$1843,"&gt;"&amp;AX222)+SUMIFS($AT$7:$AT$1843,$CG$7:$CG$1843,CG222,$AX$7:$AX$1843,AX222,$BX$7:$BX$1843,"&lt;="&amp;BX222),"")</f>
        <v>2997.79212454213</v>
      </c>
      <c r="AZ222" s="70" t="n">
        <f aca="false">IF(AY222="",0,MAX(0,MIN(1,(IF(CG222="L1",Parameter!$H$5,IF(CG222="L23",Parameter!$H$6+Parameter!$H$7,Parameter!$H$5+Parameter!$H$6+Parameter!$H$7))-(AY222-AT222))/AT222)))</f>
        <v>1</v>
      </c>
      <c r="BA222" s="62" t="n">
        <f aca="false">IF(LEFT(Cockpit!$O$5,1)="A",H222,IF(Parameter!$E$30="MAX-Bestand",IF(CI222=1,CJ222,IF(LEFT(Cockpit!$O$5,1)="B",BG222,MAX(BG222,H222))),ROUNDUP(BE222,0)))</f>
        <v>86</v>
      </c>
      <c r="BB222" s="62" t="n">
        <f aca="false">IF(CA222=1,0,ROUNDUP(BA222/BZ222,0))</f>
        <v>1</v>
      </c>
      <c r="BC222" s="64" t="n">
        <f aca="false">IF(CR222&gt;0,CR222*MAX(1,BA222/X222),IF(CA222=1,IF(BA222&lt;=0,0,CE222*MAX(1,IF(H222&gt;0,BA222/H222,1))),IF(R222&gt;0,BB222/R222,0))/MAX(0.1,N(Parameter!$M$21)))</f>
        <v>0.0384615384615385</v>
      </c>
      <c r="BD222" s="62" t="n">
        <f aca="false">BC222*CC222</f>
        <v>5.96153846153846</v>
      </c>
      <c r="BE222" s="63" t="n">
        <f aca="false">IF(LEFT(Cockpit!$O$5,1)="A",H222,IF(CI222=1,(CL222+CJ222)/2,IF(LEFT(Cockpit!$O$5,1)="B",(CL222+BG222)/2,MAX((CL222+BG222)/2,H222))))</f>
        <v>86</v>
      </c>
      <c r="BF222" s="62" t="n">
        <f aca="false">BE222*G222</f>
        <v>478.16</v>
      </c>
      <c r="BG222" s="62" t="n">
        <f aca="false">ROUNDUP(CL222+MAX(CM222,2*(J222/IF(CH222&gt;0,CH222,MAX(0.1,N(Cockpit!$O$6)))-CL222)),0)</f>
        <v>161</v>
      </c>
      <c r="BH222" s="63" t="n">
        <f aca="false">IF(BD222&gt;0,J222/BD222,-1)</f>
        <v>25.1612903225806</v>
      </c>
      <c r="BI222" s="63" t="n">
        <f aca="false">IF(AND(OR(CG222="L1",CG222="L23",CG222="LIFT"),BD222&gt;0),SUMIFS($BD$7:$BD$1843,$CG$7:$CG$1843,CG222,$BH$7:$BH$1843,"&gt;"&amp;BH222)+SUMIFS($BD$7:$BD$1843,$CG$7:$CG$1843,CG222,$BH$7:$BH$1843,BH222,$BX$7:$BX$1843,"&lt;="&amp;BX222),"")</f>
        <v>2072.84798534799</v>
      </c>
      <c r="BJ222" s="70" t="n">
        <f aca="false">IF(BI222="",0,MAX(0,MIN(1,(IF(CG222="L1",Parameter!$H$5,IF(CG222="L23",Parameter!$H$6+Parameter!$H$7,Parameter!$H$5+Parameter!$H$6+Parameter!$H$7))-(BI222-BD222))/BD222)))</f>
        <v>1</v>
      </c>
      <c r="BK222" s="60" t="str">
        <f aca="false">IF(AJ222&lt;=0,"",IF(CG222="Aussen","Aussenlager",IF(CG222="-","Nicht im Lift",IF(AP222&gt;=1,"Lift",IF(AP222&lt;=0,"Aussenlager","teilweise")))))</f>
        <v>Lift</v>
      </c>
      <c r="BL222" s="60" t="str">
        <f aca="false">IF(AT222&lt;=0,"",IF(CG222="Aussen","Aussenlager",IF(CG222="-","Nicht im Lift",IF(AZ222&gt;=1,"Lift",IF(AZ222&lt;=0,"Aussenlager","teilweise")))))</f>
        <v>Lift</v>
      </c>
      <c r="BM222" s="60" t="str">
        <f aca="false">IF(BD222&lt;=0,"",IF(CG222="Aussen","Aussenlager",IF(CG222="-","Nicht im Lift",IF(BJ222&gt;=1,"Lift",IF(BJ222&lt;=0,"Aussenlager","teilweise")))))</f>
        <v>Lift</v>
      </c>
      <c r="BN222" s="60" t="str">
        <f aca="false">IF(A222="","",IF(BW222=1,"Neu; ","")&amp;IF(AND(BW222=0,BR222&lt;0),"negativer Bestand (Export "&amp;BR222&amp;"); ","")&amp;IF(J222&lt;=0,"Kein Verbrauch; ","")&amp;IF(CR222&gt;0,"Lift "&amp;W222&amp;" lt. Liftbericht (Fach "&amp;X222&amp;" Stk); ",IF(CB222=1,"Gebinde geschätzt ("&amp;T222&amp;"); ",IF(CA222=1,"Lose – Tablare geschätzt; ","")))&amp;IF(H222&gt;AW222,"Überbestand "&amp;ROUND(H222-AW222,0)&amp;" Stk / CHF "&amp;ROUND((H222-AW222)*G222,0)&amp;"; ","")&amp;IF(AND(CI222=1,CJ222&lt;CK222),"MAX &lt; MB+LG; ","")&amp;IF(AND(CQ222&gt;0,CP222*10&gt;CQ222),"zu hoch für Tablar; ","")&amp;IF(AND(BW222=0,OR(CI222=1,AB222&lt;&gt;"",U222&lt;&gt;"",V222&lt;&gt;"",AC222&lt;&gt;"")),"manuell übersteuert; ","")&amp;IF(AND(CA222=0,R222=0),"Gebinde unbekannt / Stellmass fehlt; ","")&amp;IF(AND(CA222=0,N(V222)&lt;=0,N(Q222)&lt;=0),"Menge pro Gebinde fehlt (Ist = 1 Gebinde); ","")&amp;BV222)</f>
        <v>Überbestand 1 Stk / CHF 6; </v>
      </c>
      <c r="BO222" s="60"/>
      <c r="BP222" s="60"/>
      <c r="BQ222" s="67"/>
      <c r="BR222" s="62" t="n">
        <v>119</v>
      </c>
      <c r="BS222" s="62" t="n">
        <v>43</v>
      </c>
      <c r="BT222" s="61" t="n">
        <v>671.96</v>
      </c>
      <c r="BU222" s="62" t="n">
        <v>150</v>
      </c>
      <c r="BV222" s="60"/>
      <c r="BW222" s="65" t="n">
        <v>0</v>
      </c>
      <c r="BX222" s="65" t="n">
        <v>222</v>
      </c>
      <c r="BY222" s="60" t="str">
        <f aca="false">IF(U222&lt;&gt;"",UPPER(TRIM(U222)),IF(CB222=1,UPPER(VLOOKUP(T222,Parameter!$I$27:$K$29,2,0)),IF(P222="","LOSE",P222)))</f>
        <v>S51</v>
      </c>
      <c r="BZ222" s="62" t="n">
        <f aca="false">IF(BY222="LOSE",1,IF(N(V222)&gt;0,V222,IF(CB222=1,MAX(1,N(VLOOKUP(T222,Parameter!$I$27:$K$29,3,0)),H222,N(N222)),IF(N(Q222)&gt;0,Q222,MAX(1,H222)))))</f>
        <v>89</v>
      </c>
      <c r="CA222" s="65" t="n">
        <f aca="false">IF(BY222="LOSE",1,0)</f>
        <v>0</v>
      </c>
      <c r="CB222" s="65" t="n">
        <f aca="false">IF(AND(U222="",OR(P222="",P222="LOSE"),T222&lt;&gt;"",N(S222)&lt;=0,ISNUMBER(MATCH(T222,Parameter!$I$27:$I$29,0))),1,0)</f>
        <v>0</v>
      </c>
      <c r="CC222" s="65" t="n">
        <f aca="false">IF(CR222&gt;0,INDEX(Parameter!$H$5:$H$7,W222)/INDEX(Parameter!$E$5:$E$7,W222),IF(AND(CA222=0,N(IFERROR(VLOOKUP(BY222,'Gebinde-Kategorie'!$A$5:$N$45,14,0),0))&gt;0),VLOOKUP(BY222,'Gebinde-Kategorie'!$A$5:$N$45,14,0)*10+Parameter!$M$23,Parameter!$M$24))</f>
        <v>155</v>
      </c>
      <c r="CD222" s="60" t="str">
        <f aca="false">IF(AND(Parameter!$B$19="Ja",E222&lt;&gt;"",ISNUMBER(MATCH(E222,Parameter!$I$35:$I$52,0))),VLOOKUP(E222,Parameter!$I$35:$J$52,2,0),IFERROR(VLOOKUP(D222,Parameter!$A$35:$C$64,2,0),"Nein"))</f>
        <v>2+3</v>
      </c>
      <c r="CE222" s="64" t="n">
        <f aca="false">IF(CA222=0,0,IF(N(S222)&gt;0,S222,IFERROR(VLOOKUP(D222,Parameter!$A$35:$C$64,3,0)+0,0)))</f>
        <v>0</v>
      </c>
      <c r="CF222" s="60" t="n">
        <f aca="false">IF(AB222&lt;&gt;"",AB222,AA222)</f>
        <v>3</v>
      </c>
      <c r="CG222" s="60" t="str">
        <f aca="false">IF(OR(CF222=1,CF222=2,CF222=3),IF(Parameter!$E$27="Ja","LIFT",IF(CF222=1,"L1","L23")),IF(CF222="Aussen","Aussen","-"))</f>
        <v>LIFT</v>
      </c>
      <c r="CH222" s="71" t="n">
        <f aca="false">IF(N(AC222)&gt;0,AC222,0)</f>
        <v>0</v>
      </c>
      <c r="CI222" s="65" t="n">
        <f aca="false">IF(ISNUMBER(AF222),1,0)</f>
        <v>0</v>
      </c>
      <c r="CJ222" s="62" t="n">
        <f aca="false">N(AF222)</f>
        <v>0</v>
      </c>
      <c r="CK222" s="62" t="n">
        <f aca="false">N(M222)+N(N222)</f>
        <v>161</v>
      </c>
      <c r="CL222" s="62" t="n">
        <f aca="false">N(M222)</f>
        <v>11</v>
      </c>
      <c r="CM222" s="62" t="n">
        <f aca="false">N(N222)</f>
        <v>150</v>
      </c>
      <c r="CN222" s="62" t="n">
        <f aca="false">ROUNDUP(H222/BZ222,0)</f>
        <v>2</v>
      </c>
      <c r="CO222" s="62" t="n">
        <f aca="false">ROUNDUP(CJ222/BZ222,0)</f>
        <v>0</v>
      </c>
      <c r="CP222" s="65" t="n">
        <f aca="false">IF(CA222=1,0,IFERROR(VLOOKUP(BY222,'Gebinde-Kategorie'!$A$5:$N$45,5,0)+0,0))</f>
        <v>11</v>
      </c>
      <c r="CQ222" s="65" t="n">
        <f aca="false">IFERROR(IF(OR(CF222=1,CF222=2,CF222=3),N(INDEX(Parameter!$I$5:$I$7,CF222)),0),0)</f>
        <v>0</v>
      </c>
      <c r="CR222" s="64" t="n">
        <f aca="false">IF(AND(Parameter!$B$21="Ja",ISNUMBER(W222),N(X222)&gt;0),IFERROR(N(INDEX(Parameter!$L$5:$L$7,W222))*INDEX(Parameter!$E$5:$E$7,W222)*X222/SUMIFS($X$7:$X$1843,$W$7:$W$1843,W222),0),0)</f>
        <v>0</v>
      </c>
      <c r="CS222" s="62" t="n">
        <f aca="false">IF(AND(OR(CG222="L1",CG222="L23",CG222="LIFT"),H222&gt;0),CC222*IF(CR222&gt;0,CR222*MAX(1,H222/X222),IF(CA222=1,CE222,IF(R222&gt;0,CN222/R222,0))/MAX(0.1,N(Parameter!$M$21))),"")</f>
        <v>11.9230769230769</v>
      </c>
      <c r="CT222" s="64" t="n">
        <f aca="false">IF(CS222="","",J222/H222)</f>
        <v>0.925925925925926</v>
      </c>
      <c r="CU222" s="62" t="n">
        <f aca="false">IF(CS222="","",H222*G222)</f>
        <v>900.72</v>
      </c>
      <c r="CV222" s="63" t="n">
        <f aca="false">IF(CS222="","",(CL222+ROUNDUP(CL222+MAX(CM222,2*(J222/MAX(0.1,N(Einkauf!$C$6))-CL222)),0))/2)</f>
        <v>86</v>
      </c>
      <c r="CW222" s="62" t="n">
        <f aca="false">IF(CS222="","",MAX(0,H222-CV222)*G222)</f>
        <v>422.56</v>
      </c>
      <c r="CX222" s="62" t="n">
        <f aca="false">IF(CS222="","",CS222*MAX(0,1-CV222/H222))</f>
        <v>5.59354226020893</v>
      </c>
      <c r="CY222" s="64" t="n">
        <f aca="false">IF(CS222="","",PERCENTRANK($CS$7:$CS$1843,CS222)+PERCENTRANK($CU$7:$CU$1843,CU222)+1-PERCENTRANK($CT$7:$CT$1843,CT222))</f>
        <v>1.639</v>
      </c>
      <c r="CZ222" s="72" t="n">
        <f aca="false">IF(CS222="","",CHOOSE(MATCH(Einkauf!$C$5,Parameter!$G$23:$G$27,0),CY222,CS222,CU222,-CT222,CW222)+ROW()/1000000000)</f>
        <v>1.639000222</v>
      </c>
    </row>
    <row r="223" customFormat="false" ht="15" hidden="false" customHeight="false" outlineLevel="0" collapsed="false">
      <c r="A223" s="60" t="s">
        <v>680</v>
      </c>
      <c r="B223" s="60" t="s">
        <v>681</v>
      </c>
      <c r="C223" s="60" t="s">
        <v>206</v>
      </c>
      <c r="D223" s="60" t="s">
        <v>226</v>
      </c>
      <c r="E223" s="60" t="s">
        <v>227</v>
      </c>
      <c r="F223" s="60" t="s">
        <v>260</v>
      </c>
      <c r="G223" s="61" t="n">
        <v>13.8</v>
      </c>
      <c r="H223" s="62" t="n">
        <f aca="false">MAX(0,IF(AND(Parameter!$B$21="Ja",ISNUMBER(Y223)),Y223,IF(Parameter!$B$20="Jahresanfang 2025 + Export",BS223+BR223,BR223)))</f>
        <v>55</v>
      </c>
      <c r="I223" s="62" t="n">
        <f aca="false">H223*G223</f>
        <v>759</v>
      </c>
      <c r="J223" s="62" t="n">
        <f aca="false">BU223*Parameter!$B$18</f>
        <v>6</v>
      </c>
      <c r="K223" s="63" t="n">
        <v>8.5</v>
      </c>
      <c r="L223" s="64" t="n">
        <v>0.705882352941177</v>
      </c>
      <c r="M223" s="62" t="n">
        <v>0</v>
      </c>
      <c r="N223" s="62" t="n">
        <v>5</v>
      </c>
      <c r="O223" s="65" t="n">
        <v>14</v>
      </c>
      <c r="P223" s="60" t="s">
        <v>370</v>
      </c>
      <c r="Q223" s="62" t="n">
        <v>11</v>
      </c>
      <c r="R223" s="65" t="n">
        <f aca="false">IF(CA223=1,0,IFERROR(VLOOKUP(BY223,'Gebinde-Kategorie'!$A$5:$N$45,13,0)+0,0))</f>
        <v>52</v>
      </c>
      <c r="S223" s="66"/>
      <c r="T223" s="67"/>
      <c r="U223" s="67"/>
      <c r="V223" s="67"/>
      <c r="W223" s="60"/>
      <c r="X223" s="62"/>
      <c r="Y223" s="62"/>
      <c r="Z223" s="60" t="n">
        <v>3</v>
      </c>
      <c r="AA223" s="60" t="n">
        <f aca="false">IF(A223="","",IF(AND(Parameter!$B$21="Ja",ISNUMBER(W223)),W223,IF(AND(Parameter!$E$27="Ja",ISNUMBER(Z223),CD223&lt;&gt;"Nein"),Z223,IF(CD223="2+3",IF(ISNUMBER(SEARCH("grosser Artikel",BV223)),2,IFERROR(VLOOKUP(BY223,Parameter!$F$35:$G$64,2,0),2)),IF(OR(CD223="Nein",CD223=""),"-",CD223)))))</f>
        <v>3</v>
      </c>
      <c r="AB223" s="67"/>
      <c r="AC223" s="68"/>
      <c r="AD223" s="62" t="n">
        <f aca="false">AW223</f>
        <v>5</v>
      </c>
      <c r="AE223" s="62" t="n">
        <f aca="false">MAX(AW223,H223)</f>
        <v>55</v>
      </c>
      <c r="AF223" s="69"/>
      <c r="AG223" s="62" t="n">
        <f aca="false">IF(LEFT(Cockpit!$C$5,1)="A",H223,IF(Parameter!$E$30="MAX-Bestand",IF(CI223=1,CJ223,IF(LEFT(Cockpit!$C$5,1)="B",AM223,MAX(AM223,H223))),ROUNDUP(AK223,0)))</f>
        <v>55</v>
      </c>
      <c r="AH223" s="62" t="n">
        <f aca="false">IF(CA223=1,0,ROUNDUP(AG223/BZ223,0))</f>
        <v>5</v>
      </c>
      <c r="AI223" s="64" t="n">
        <f aca="false">IF(CR223&gt;0,CR223*MAX(1,AG223/X223),IF(CA223=1,IF(AG223&lt;=0,0,CE223*MAX(1,IF(H223&gt;0,AG223/H223,1))),IF(R223&gt;0,AH223/R223,0))/MAX(0.1,N(Parameter!$M$21)))</f>
        <v>0.0961538461538462</v>
      </c>
      <c r="AJ223" s="62" t="n">
        <f aca="false">AI223*CC223</f>
        <v>14.9038461538462</v>
      </c>
      <c r="AK223" s="63" t="n">
        <f aca="false">IF(LEFT(Cockpit!$C$5,1)="A",H223,IF(CI223=1,(CL223+CJ223)/2,IF(LEFT(Cockpit!$C$5,1)="B",(CL223+AM223)/2,MAX((CL223+AM223)/2,H223))))</f>
        <v>55</v>
      </c>
      <c r="AL223" s="62" t="n">
        <f aca="false">AK223*G223</f>
        <v>759</v>
      </c>
      <c r="AM223" s="62" t="n">
        <f aca="false">ROUNDUP(CL223+MAX(CM223,2*(J223/IF(CH223&gt;0,CH223,MAX(0.1,N(Cockpit!$C$6)))-CL223)),0)</f>
        <v>5</v>
      </c>
      <c r="AN223" s="63" t="n">
        <f aca="false">IF(AJ223&gt;0,J223/AJ223,-1)</f>
        <v>0.40258064516129</v>
      </c>
      <c r="AO223" s="63" t="n">
        <f aca="false">IF(AND(OR(CG223="L1",CG223="L23",CG223="LIFT"),AJ223&gt;0),SUMIFS($AJ$7:$AJ$1843,$CG$7:$CG$1843,CG223,$AN$7:$AN$1843,"&gt;"&amp;AN223)+SUMIFS($AJ$7:$AJ$1843,$CG$7:$CG$1843,CG223,$AN$7:$AN$1843,AN223,$BX$7:$BX$1843,"&lt;="&amp;BX223),"")</f>
        <v>10157.6666382111</v>
      </c>
      <c r="AP223" s="70" t="n">
        <f aca="false">IF(AO223="",0,MAX(0,MIN(1,(IF(CG223="L1",Parameter!$H$5,IF(CG223="L23",Parameter!$H$6+Parameter!$H$7,Parameter!$H$5+Parameter!$H$6+Parameter!$H$7))-(AO223-AJ223))/AJ223)))</f>
        <v>1</v>
      </c>
      <c r="AQ223" s="62" t="n">
        <f aca="false">IF(LEFT(Cockpit!$I$5,1)="A",H223,IF(Parameter!$E$30="MAX-Bestand",IF(CI223=1,CJ223,IF(LEFT(Cockpit!$I$5,1)="B",AW223,MAX(AW223,H223))),ROUNDUP(AU223,0)))</f>
        <v>55</v>
      </c>
      <c r="AR223" s="62" t="n">
        <f aca="false">IF(CA223=1,0,ROUNDUP(AQ223/BZ223,0))</f>
        <v>5</v>
      </c>
      <c r="AS223" s="64" t="n">
        <f aca="false">IF(CR223&gt;0,CR223*MAX(1,AQ223/X223),IF(CA223=1,IF(AQ223&lt;=0,0,CE223*MAX(1,IF(H223&gt;0,AQ223/H223,1))),IF(R223&gt;0,AR223/R223,0))/MAX(0.1,N(Parameter!$M$21)))</f>
        <v>0.0961538461538462</v>
      </c>
      <c r="AT223" s="62" t="n">
        <f aca="false">AS223*CC223</f>
        <v>14.9038461538462</v>
      </c>
      <c r="AU223" s="63" t="n">
        <f aca="false">IF(LEFT(Cockpit!$I$5,1)="A",H223,IF(CI223=1,(CL223+CJ223)/2,IF(LEFT(Cockpit!$I$5,1)="B",(CL223+AW223)/2,MAX((CL223+AW223)/2,H223))))</f>
        <v>55</v>
      </c>
      <c r="AV223" s="62" t="n">
        <f aca="false">AU223*G223</f>
        <v>759</v>
      </c>
      <c r="AW223" s="62" t="n">
        <f aca="false">ROUNDUP(CL223+MAX(CM223,2*(J223/IF(CH223&gt;0,CH223,MAX(0.1,N(Cockpit!$I$6)))-CL223)),0)</f>
        <v>5</v>
      </c>
      <c r="AX223" s="63" t="n">
        <f aca="false">IF(AT223&gt;0,J223/AT223,-1)</f>
        <v>0.40258064516129</v>
      </c>
      <c r="AY223" s="63" t="n">
        <f aca="false">IF(AND(OR(CG223="L1",CG223="L23",CG223="LIFT"),AT223&gt;0),SUMIFS($AT$7:$AT$1843,$CG$7:$CG$1843,CG223,$AX$7:$AX$1843,"&gt;"&amp;AX223)+SUMIFS($AT$7:$AT$1843,$CG$7:$CG$1843,CG223,$AX$7:$AX$1843,AX223,$BX$7:$BX$1843,"&lt;="&amp;BX223),"")</f>
        <v>12889.4198717949</v>
      </c>
      <c r="AZ223" s="70" t="n">
        <f aca="false">IF(AY223="",0,MAX(0,MIN(1,(IF(CG223="L1",Parameter!$H$5,IF(CG223="L23",Parameter!$H$6+Parameter!$H$7,Parameter!$H$5+Parameter!$H$6+Parameter!$H$7))-(AY223-AT223))/AT223)))</f>
        <v>1</v>
      </c>
      <c r="BA223" s="62" t="n">
        <f aca="false">IF(LEFT(Cockpit!$O$5,1)="A",H223,IF(Parameter!$E$30="MAX-Bestand",IF(CI223=1,CJ223,IF(LEFT(Cockpit!$O$5,1)="B",BG223,MAX(BG223,H223))),ROUNDUP(BE223,0)))</f>
        <v>3</v>
      </c>
      <c r="BB223" s="62" t="n">
        <f aca="false">IF(CA223=1,0,ROUNDUP(BA223/BZ223,0))</f>
        <v>1</v>
      </c>
      <c r="BC223" s="64" t="n">
        <f aca="false">IF(CR223&gt;0,CR223*MAX(1,BA223/X223),IF(CA223=1,IF(BA223&lt;=0,0,CE223*MAX(1,IF(H223&gt;0,BA223/H223,1))),IF(R223&gt;0,BB223/R223,0))/MAX(0.1,N(Parameter!$M$21)))</f>
        <v>0.0192307692307692</v>
      </c>
      <c r="BD223" s="62" t="n">
        <f aca="false">BC223*CC223</f>
        <v>2.98076923076923</v>
      </c>
      <c r="BE223" s="63" t="n">
        <f aca="false">IF(LEFT(Cockpit!$O$5,1)="A",H223,IF(CI223=1,(CL223+CJ223)/2,IF(LEFT(Cockpit!$O$5,1)="B",(CL223+BG223)/2,MAX((CL223+BG223)/2,H223))))</f>
        <v>2.5</v>
      </c>
      <c r="BF223" s="62" t="n">
        <f aca="false">BE223*G223</f>
        <v>34.5</v>
      </c>
      <c r="BG223" s="62" t="n">
        <f aca="false">ROUNDUP(CL223+MAX(CM223,2*(J223/IF(CH223&gt;0,CH223,MAX(0.1,N(Cockpit!$O$6)))-CL223)),0)</f>
        <v>5</v>
      </c>
      <c r="BH223" s="63" t="n">
        <f aca="false">IF(BD223&gt;0,J223/BD223,-1)</f>
        <v>2.01290322580645</v>
      </c>
      <c r="BI223" s="63" t="n">
        <f aca="false">IF(AND(OR(CG223="L1",CG223="L23",CG223="LIFT"),BD223&gt;0),SUMIFS($BD$7:$BD$1843,$CG$7:$CG$1843,CG223,$BH$7:$BH$1843,"&gt;"&amp;BH223)+SUMIFS($BD$7:$BD$1843,$CG$7:$CG$1843,CG223,$BH$7:$BH$1843,BH223,$BX$7:$BX$1843,"&lt;="&amp;BX223),"")</f>
        <v>5851.67948717949</v>
      </c>
      <c r="BJ223" s="70" t="n">
        <f aca="false">IF(BI223="",0,MAX(0,MIN(1,(IF(CG223="L1",Parameter!$H$5,IF(CG223="L23",Parameter!$H$6+Parameter!$H$7,Parameter!$H$5+Parameter!$H$6+Parameter!$H$7))-(BI223-BD223))/BD223)))</f>
        <v>1</v>
      </c>
      <c r="BK223" s="60" t="str">
        <f aca="false">IF(AJ223&lt;=0,"",IF(CG223="Aussen","Aussenlager",IF(CG223="-","Nicht im Lift",IF(AP223&gt;=1,"Lift",IF(AP223&lt;=0,"Aussenlager","teilweise")))))</f>
        <v>Lift</v>
      </c>
      <c r="BL223" s="60" t="str">
        <f aca="false">IF(AT223&lt;=0,"",IF(CG223="Aussen","Aussenlager",IF(CG223="-","Nicht im Lift",IF(AZ223&gt;=1,"Lift",IF(AZ223&lt;=0,"Aussenlager","teilweise")))))</f>
        <v>Lift</v>
      </c>
      <c r="BM223" s="60" t="str">
        <f aca="false">IF(BD223&lt;=0,"",IF(CG223="Aussen","Aussenlager",IF(CG223="-","Nicht im Lift",IF(BJ223&gt;=1,"Lift",IF(BJ223&lt;=0,"Aussenlager","teilweise")))))</f>
        <v>Lift</v>
      </c>
      <c r="BN223" s="60" t="str">
        <f aca="false">IF(A223="","",IF(BW223=1,"Neu; ","")&amp;IF(AND(BW223=0,BR223&lt;0),"negativer Bestand (Export "&amp;BR223&amp;"); ","")&amp;IF(J223&lt;=0,"Kein Verbrauch; ","")&amp;IF(CR223&gt;0,"Lift "&amp;W223&amp;" lt. Liftbericht (Fach "&amp;X223&amp;" Stk); ",IF(CB223=1,"Gebinde geschätzt ("&amp;T223&amp;"); ",IF(CA223=1,"Lose – Tablare geschätzt; ","")))&amp;IF(H223&gt;AW223,"Überbestand "&amp;ROUND(H223-AW223,0)&amp;" Stk / CHF "&amp;ROUND((H223-AW223)*G223,0)&amp;"; ","")&amp;IF(AND(CI223=1,CJ223&lt;CK223),"MAX &lt; MB+LG; ","")&amp;IF(AND(CQ223&gt;0,CP223*10&gt;CQ223),"zu hoch für Tablar; ","")&amp;IF(AND(BW223=0,OR(CI223=1,AB223&lt;&gt;"",U223&lt;&gt;"",V223&lt;&gt;"",AC223&lt;&gt;"")),"manuell übersteuert; ","")&amp;IF(AND(CA223=0,R223=0),"Gebinde unbekannt / Stellmass fehlt; ","")&amp;IF(AND(CA223=0,N(V223)&lt;=0,N(Q223)&lt;=0),"Menge pro Gebinde fehlt (Ist = 1 Gebinde); ","")&amp;BV223)</f>
        <v>Überbestand 50 Stk / CHF 690; </v>
      </c>
      <c r="BO223" s="60"/>
      <c r="BP223" s="60"/>
      <c r="BQ223" s="67"/>
      <c r="BR223" s="62" t="n">
        <v>48</v>
      </c>
      <c r="BS223" s="62" t="n">
        <v>7</v>
      </c>
      <c r="BT223" s="61" t="n">
        <v>656.1</v>
      </c>
      <c r="BU223" s="62" t="n">
        <v>6</v>
      </c>
      <c r="BV223" s="60"/>
      <c r="BW223" s="65" t="n">
        <v>0</v>
      </c>
      <c r="BX223" s="65" t="n">
        <v>223</v>
      </c>
      <c r="BY223" s="60" t="str">
        <f aca="false">IF(U223&lt;&gt;"",UPPER(TRIM(U223)),IF(CB223=1,UPPER(VLOOKUP(T223,Parameter!$I$27:$K$29,2,0)),IF(P223="","LOSE",P223)))</f>
        <v>S41</v>
      </c>
      <c r="BZ223" s="62" t="n">
        <f aca="false">IF(BY223="LOSE",1,IF(N(V223)&gt;0,V223,IF(CB223=1,MAX(1,N(VLOOKUP(T223,Parameter!$I$27:$K$29,3,0)),H223,N(N223)),IF(N(Q223)&gt;0,Q223,MAX(1,H223)))))</f>
        <v>11</v>
      </c>
      <c r="CA223" s="65" t="n">
        <f aca="false">IF(BY223="LOSE",1,0)</f>
        <v>0</v>
      </c>
      <c r="CB223" s="65" t="n">
        <f aca="false">IF(AND(U223="",OR(P223="",P223="LOSE"),T223&lt;&gt;"",N(S223)&lt;=0,ISNUMBER(MATCH(T223,Parameter!$I$27:$I$29,0))),1,0)</f>
        <v>0</v>
      </c>
      <c r="CC223" s="65" t="n">
        <f aca="false">IF(CR223&gt;0,INDEX(Parameter!$H$5:$H$7,W223)/INDEX(Parameter!$E$5:$E$7,W223),IF(AND(CA223=0,N(IFERROR(VLOOKUP(BY223,'Gebinde-Kategorie'!$A$5:$N$45,14,0),0))&gt;0),VLOOKUP(BY223,'Gebinde-Kategorie'!$A$5:$N$45,14,0)*10+Parameter!$M$23,Parameter!$M$24))</f>
        <v>155</v>
      </c>
      <c r="CD223" s="60" t="str">
        <f aca="false">IF(AND(Parameter!$B$19="Ja",E223&lt;&gt;"",ISNUMBER(MATCH(E223,Parameter!$I$35:$I$52,0))),VLOOKUP(E223,Parameter!$I$35:$J$52,2,0),IFERROR(VLOOKUP(D223,Parameter!$A$35:$C$64,2,0),"Nein"))</f>
        <v>2+3</v>
      </c>
      <c r="CE223" s="64" t="n">
        <f aca="false">IF(CA223=0,0,IF(N(S223)&gt;0,S223,IFERROR(VLOOKUP(D223,Parameter!$A$35:$C$64,3,0)+0,0)))</f>
        <v>0</v>
      </c>
      <c r="CF223" s="60" t="n">
        <f aca="false">IF(AB223&lt;&gt;"",AB223,AA223)</f>
        <v>3</v>
      </c>
      <c r="CG223" s="60" t="str">
        <f aca="false">IF(OR(CF223=1,CF223=2,CF223=3),IF(Parameter!$E$27="Ja","LIFT",IF(CF223=1,"L1","L23")),IF(CF223="Aussen","Aussen","-"))</f>
        <v>LIFT</v>
      </c>
      <c r="CH223" s="71" t="n">
        <f aca="false">IF(N(AC223)&gt;0,AC223,0)</f>
        <v>0</v>
      </c>
      <c r="CI223" s="65" t="n">
        <f aca="false">IF(ISNUMBER(AF223),1,0)</f>
        <v>0</v>
      </c>
      <c r="CJ223" s="62" t="n">
        <f aca="false">N(AF223)</f>
        <v>0</v>
      </c>
      <c r="CK223" s="62" t="n">
        <f aca="false">N(M223)+N(N223)</f>
        <v>5</v>
      </c>
      <c r="CL223" s="62" t="n">
        <f aca="false">N(M223)</f>
        <v>0</v>
      </c>
      <c r="CM223" s="62" t="n">
        <f aca="false">N(N223)</f>
        <v>5</v>
      </c>
      <c r="CN223" s="62" t="n">
        <f aca="false">ROUNDUP(H223/BZ223,0)</f>
        <v>5</v>
      </c>
      <c r="CO223" s="62" t="n">
        <f aca="false">ROUNDUP(CJ223/BZ223,0)</f>
        <v>0</v>
      </c>
      <c r="CP223" s="65" t="n">
        <f aca="false">IF(CA223=1,0,IFERROR(VLOOKUP(BY223,'Gebinde-Kategorie'!$A$5:$N$45,5,0)+0,0))</f>
        <v>11</v>
      </c>
      <c r="CQ223" s="65" t="n">
        <f aca="false">IFERROR(IF(OR(CF223=1,CF223=2,CF223=3),N(INDEX(Parameter!$I$5:$I$7,CF223)),0),0)</f>
        <v>0</v>
      </c>
      <c r="CR223" s="64" t="n">
        <f aca="false">IF(AND(Parameter!$B$21="Ja",ISNUMBER(W223),N(X223)&gt;0),IFERROR(N(INDEX(Parameter!$L$5:$L$7,W223))*INDEX(Parameter!$E$5:$E$7,W223)*X223/SUMIFS($X$7:$X$1843,$W$7:$W$1843,W223),0),0)</f>
        <v>0</v>
      </c>
      <c r="CS223" s="62" t="n">
        <f aca="false">IF(AND(OR(CG223="L1",CG223="L23",CG223="LIFT"),H223&gt;0),CC223*IF(CR223&gt;0,CR223*MAX(1,H223/X223),IF(CA223=1,CE223,IF(R223&gt;0,CN223/R223,0))/MAX(0.1,N(Parameter!$M$21))),"")</f>
        <v>14.9038461538462</v>
      </c>
      <c r="CT223" s="64" t="n">
        <f aca="false">IF(CS223="","",J223/H223)</f>
        <v>0.109090909090909</v>
      </c>
      <c r="CU223" s="62" t="n">
        <f aca="false">IF(CS223="","",H223*G223)</f>
        <v>759</v>
      </c>
      <c r="CV223" s="63" t="n">
        <f aca="false">IF(CS223="","",(CL223+ROUNDUP(CL223+MAX(CM223,2*(J223/MAX(0.1,N(Einkauf!$C$6))-CL223)),0))/2)</f>
        <v>2.5</v>
      </c>
      <c r="CW223" s="62" t="n">
        <f aca="false">IF(CS223="","",MAX(0,H223-CV223)*G223)</f>
        <v>724.5</v>
      </c>
      <c r="CX223" s="62" t="n">
        <f aca="false">IF(CS223="","",CS223*MAX(0,1-CV223/H223))</f>
        <v>14.2263986013986</v>
      </c>
      <c r="CY223" s="64" t="n">
        <f aca="false">IF(CS223="","",PERCENTRANK($CS$7:$CS$1843,CS223)+PERCENTRANK($CU$7:$CU$1843,CU223)+1-PERCENTRANK($CT$7:$CT$1843,CT223))</f>
        <v>1.915</v>
      </c>
      <c r="CZ223" s="72" t="n">
        <f aca="false">IF(CS223="","",CHOOSE(MATCH(Einkauf!$C$5,Parameter!$G$23:$G$27,0),CY223,CS223,CU223,-CT223,CW223)+ROW()/1000000000)</f>
        <v>1.915000223</v>
      </c>
    </row>
    <row r="224" customFormat="false" ht="15" hidden="false" customHeight="false" outlineLevel="0" collapsed="false">
      <c r="A224" s="60" t="s">
        <v>682</v>
      </c>
      <c r="B224" s="60" t="s">
        <v>613</v>
      </c>
      <c r="C224" s="60" t="s">
        <v>206</v>
      </c>
      <c r="D224" s="60" t="s">
        <v>226</v>
      </c>
      <c r="E224" s="60" t="s">
        <v>227</v>
      </c>
      <c r="F224" s="60" t="s">
        <v>260</v>
      </c>
      <c r="G224" s="61" t="n">
        <v>6.91</v>
      </c>
      <c r="H224" s="62" t="n">
        <f aca="false">MAX(0,IF(AND(Parameter!$B$21="Ja",ISNUMBER(Y224)),Y224,IF(Parameter!$B$20="Jahresanfang 2025 + Export",BS224+BR224,BR224)))</f>
        <v>152</v>
      </c>
      <c r="I224" s="62" t="n">
        <f aca="false">H224*G224</f>
        <v>1050.32</v>
      </c>
      <c r="J224" s="62" t="n">
        <f aca="false">BU224*Parameter!$B$18</f>
        <v>428</v>
      </c>
      <c r="K224" s="63" t="n">
        <v>137</v>
      </c>
      <c r="L224" s="64" t="n">
        <v>3.12408759124088</v>
      </c>
      <c r="M224" s="62" t="n">
        <v>32</v>
      </c>
      <c r="N224" s="62" t="n">
        <v>200</v>
      </c>
      <c r="O224" s="65" t="n">
        <v>70</v>
      </c>
      <c r="P224" s="60" t="s">
        <v>344</v>
      </c>
      <c r="Q224" s="62" t="n">
        <v>179</v>
      </c>
      <c r="R224" s="65" t="n">
        <f aca="false">IF(CA224=1,0,IFERROR(VLOOKUP(BY224,'Gebinde-Kategorie'!$A$5:$N$45,13,0)+0,0))</f>
        <v>26</v>
      </c>
      <c r="S224" s="66"/>
      <c r="T224" s="67"/>
      <c r="U224" s="67"/>
      <c r="V224" s="67"/>
      <c r="W224" s="60"/>
      <c r="X224" s="62"/>
      <c r="Y224" s="62"/>
      <c r="Z224" s="60" t="n">
        <v>3</v>
      </c>
      <c r="AA224" s="60" t="n">
        <f aca="false">IF(A224="","",IF(AND(Parameter!$B$21="Ja",ISNUMBER(W224)),W224,IF(AND(Parameter!$E$27="Ja",ISNUMBER(Z224),CD224&lt;&gt;"Nein"),Z224,IF(CD224="2+3",IF(ISNUMBER(SEARCH("grosser Artikel",BV224)),2,IFERROR(VLOOKUP(BY224,Parameter!$F$35:$G$64,2,0),2)),IF(OR(CD224="Nein",CD224=""),"-",CD224)))))</f>
        <v>3</v>
      </c>
      <c r="AB224" s="67"/>
      <c r="AC224" s="68"/>
      <c r="AD224" s="62" t="n">
        <f aca="false">AW224</f>
        <v>254</v>
      </c>
      <c r="AE224" s="62" t="n">
        <f aca="false">MAX(AW224,H224)</f>
        <v>254</v>
      </c>
      <c r="AF224" s="69"/>
      <c r="AG224" s="62" t="n">
        <f aca="false">IF(LEFT(Cockpit!$C$5,1)="A",H224,IF(Parameter!$E$30="MAX-Bestand",IF(CI224=1,CJ224,IF(LEFT(Cockpit!$C$5,1)="B",AM224,MAX(AM224,H224))),ROUNDUP(AK224,0)))</f>
        <v>152</v>
      </c>
      <c r="AH224" s="62" t="n">
        <f aca="false">IF(CA224=1,0,ROUNDUP(AG224/BZ224,0))</f>
        <v>1</v>
      </c>
      <c r="AI224" s="64" t="n">
        <f aca="false">IF(CR224&gt;0,CR224*MAX(1,AG224/X224),IF(CA224=1,IF(AG224&lt;=0,0,CE224*MAX(1,IF(H224&gt;0,AG224/H224,1))),IF(R224&gt;0,AH224/R224,0))/MAX(0.1,N(Parameter!$M$21)))</f>
        <v>0.0384615384615385</v>
      </c>
      <c r="AJ224" s="62" t="n">
        <f aca="false">AI224*CC224</f>
        <v>5.96153846153846</v>
      </c>
      <c r="AK224" s="63" t="n">
        <f aca="false">IF(LEFT(Cockpit!$C$5,1)="A",H224,IF(CI224=1,(CL224+CJ224)/2,IF(LEFT(Cockpit!$C$5,1)="B",(CL224+AM224)/2,MAX((CL224+AM224)/2,H224))))</f>
        <v>152</v>
      </c>
      <c r="AL224" s="62" t="n">
        <f aca="false">AK224*G224</f>
        <v>1050.32</v>
      </c>
      <c r="AM224" s="62" t="n">
        <f aca="false">ROUNDUP(CL224+MAX(CM224,2*(J224/IF(CH224&gt;0,CH224,MAX(0.1,N(Cockpit!$C$6)))-CL224)),0)</f>
        <v>254</v>
      </c>
      <c r="AN224" s="63" t="n">
        <f aca="false">IF(AJ224&gt;0,J224/AJ224,-1)</f>
        <v>71.7935483870968</v>
      </c>
      <c r="AO224" s="63" t="n">
        <f aca="false">IF(AND(OR(CG224="L1",CG224="L23",CG224="LIFT"),AJ224&gt;0),SUMIFS($AJ$7:$AJ$1843,$CG$7:$CG$1843,CG224,$AN$7:$AN$1843,"&gt;"&amp;AN224)+SUMIFS($AJ$7:$AJ$1843,$CG$7:$CG$1843,CG224,$AN$7:$AN$1843,AN224,$BX$7:$BX$1843,"&lt;="&amp;BX224),"")</f>
        <v>886.498626373626</v>
      </c>
      <c r="AP224" s="70" t="n">
        <f aca="false">IF(AO224="",0,MAX(0,MIN(1,(IF(CG224="L1",Parameter!$H$5,IF(CG224="L23",Parameter!$H$6+Parameter!$H$7,Parameter!$H$5+Parameter!$H$6+Parameter!$H$7))-(AO224-AJ224))/AJ224)))</f>
        <v>1</v>
      </c>
      <c r="AQ224" s="62" t="n">
        <f aca="false">IF(LEFT(Cockpit!$I$5,1)="A",H224,IF(Parameter!$E$30="MAX-Bestand",IF(CI224=1,CJ224,IF(LEFT(Cockpit!$I$5,1)="B",AW224,MAX(AW224,H224))),ROUNDUP(AU224,0)))</f>
        <v>152</v>
      </c>
      <c r="AR224" s="62" t="n">
        <f aca="false">IF(CA224=1,0,ROUNDUP(AQ224/BZ224,0))</f>
        <v>1</v>
      </c>
      <c r="AS224" s="64" t="n">
        <f aca="false">IF(CR224&gt;0,CR224*MAX(1,AQ224/X224),IF(CA224=1,IF(AQ224&lt;=0,0,CE224*MAX(1,IF(H224&gt;0,AQ224/H224,1))),IF(R224&gt;0,AR224/R224,0))/MAX(0.1,N(Parameter!$M$21)))</f>
        <v>0.0384615384615385</v>
      </c>
      <c r="AT224" s="62" t="n">
        <f aca="false">AS224*CC224</f>
        <v>5.96153846153846</v>
      </c>
      <c r="AU224" s="63" t="n">
        <f aca="false">IF(LEFT(Cockpit!$I$5,1)="A",H224,IF(CI224=1,(CL224+CJ224)/2,IF(LEFT(Cockpit!$I$5,1)="B",(CL224+AW224)/2,MAX((CL224+AW224)/2,H224))))</f>
        <v>152</v>
      </c>
      <c r="AV224" s="62" t="n">
        <f aca="false">AU224*G224</f>
        <v>1050.32</v>
      </c>
      <c r="AW224" s="62" t="n">
        <f aca="false">ROUNDUP(CL224+MAX(CM224,2*(J224/IF(CH224&gt;0,CH224,MAX(0.1,N(Cockpit!$I$6)))-CL224)),0)</f>
        <v>254</v>
      </c>
      <c r="AX224" s="63" t="n">
        <f aca="false">IF(AT224&gt;0,J224/AT224,-1)</f>
        <v>71.7935483870968</v>
      </c>
      <c r="AY224" s="63" t="n">
        <f aca="false">IF(AND(OR(CG224="L1",CG224="L23",CG224="LIFT"),AT224&gt;0),SUMIFS($AT$7:$AT$1843,$CG$7:$CG$1843,CG224,$AX$7:$AX$1843,"&gt;"&amp;AX224)+SUMIFS($AT$7:$AT$1843,$CG$7:$CG$1843,CG224,$AX$7:$AX$1843,AX224,$BX$7:$BX$1843,"&lt;="&amp;BX224),"")</f>
        <v>1098.30357142857</v>
      </c>
      <c r="AZ224" s="70" t="n">
        <f aca="false">IF(AY224="",0,MAX(0,MIN(1,(IF(CG224="L1",Parameter!$H$5,IF(CG224="L23",Parameter!$H$6+Parameter!$H$7,Parameter!$H$5+Parameter!$H$6+Parameter!$H$7))-(AY224-AT224))/AT224)))</f>
        <v>1</v>
      </c>
      <c r="BA224" s="62" t="n">
        <f aca="false">IF(LEFT(Cockpit!$O$5,1)="A",H224,IF(Parameter!$E$30="MAX-Bestand",IF(CI224=1,CJ224,IF(LEFT(Cockpit!$O$5,1)="B",BG224,MAX(BG224,H224))),ROUNDUP(BE224,0)))</f>
        <v>132</v>
      </c>
      <c r="BB224" s="62" t="n">
        <f aca="false">IF(CA224=1,0,ROUNDUP(BA224/BZ224,0))</f>
        <v>1</v>
      </c>
      <c r="BC224" s="64" t="n">
        <f aca="false">IF(CR224&gt;0,CR224*MAX(1,BA224/X224),IF(CA224=1,IF(BA224&lt;=0,0,CE224*MAX(1,IF(H224&gt;0,BA224/H224,1))),IF(R224&gt;0,BB224/R224,0))/MAX(0.1,N(Parameter!$M$21)))</f>
        <v>0.0384615384615385</v>
      </c>
      <c r="BD224" s="62" t="n">
        <f aca="false">BC224*CC224</f>
        <v>5.96153846153846</v>
      </c>
      <c r="BE224" s="63" t="n">
        <f aca="false">IF(LEFT(Cockpit!$O$5,1)="A",H224,IF(CI224=1,(CL224+CJ224)/2,IF(LEFT(Cockpit!$O$5,1)="B",(CL224+BG224)/2,MAX((CL224+BG224)/2,H224))))</f>
        <v>132</v>
      </c>
      <c r="BF224" s="62" t="n">
        <f aca="false">BE224*G224</f>
        <v>912.12</v>
      </c>
      <c r="BG224" s="62" t="n">
        <f aca="false">ROUNDUP(CL224+MAX(CM224,2*(J224/IF(CH224&gt;0,CH224,MAX(0.1,N(Cockpit!$O$6)))-CL224)),0)</f>
        <v>232</v>
      </c>
      <c r="BH224" s="63" t="n">
        <f aca="false">IF(BD224&gt;0,J224/BD224,-1)</f>
        <v>71.7935483870968</v>
      </c>
      <c r="BI224" s="63" t="n">
        <f aca="false">IF(AND(OR(CG224="L1",CG224="L23",CG224="LIFT"),BD224&gt;0),SUMIFS($BD$7:$BD$1843,$CG$7:$CG$1843,CG224,$BH$7:$BH$1843,"&gt;"&amp;BH224)+SUMIFS($BD$7:$BD$1843,$CG$7:$CG$1843,CG224,$BH$7:$BH$1843,BH224,$BX$7:$BX$1843,"&lt;="&amp;BX224),"")</f>
        <v>1016.99542124542</v>
      </c>
      <c r="BJ224" s="70" t="n">
        <f aca="false">IF(BI224="",0,MAX(0,MIN(1,(IF(CG224="L1",Parameter!$H$5,IF(CG224="L23",Parameter!$H$6+Parameter!$H$7,Parameter!$H$5+Parameter!$H$6+Parameter!$H$7))-(BI224-BD224))/BD224)))</f>
        <v>1</v>
      </c>
      <c r="BK224" s="60" t="str">
        <f aca="false">IF(AJ224&lt;=0,"",IF(CG224="Aussen","Aussenlager",IF(CG224="-","Nicht im Lift",IF(AP224&gt;=1,"Lift",IF(AP224&lt;=0,"Aussenlager","teilweise")))))</f>
        <v>Lift</v>
      </c>
      <c r="BL224" s="60" t="str">
        <f aca="false">IF(AT224&lt;=0,"",IF(CG224="Aussen","Aussenlager",IF(CG224="-","Nicht im Lift",IF(AZ224&gt;=1,"Lift",IF(AZ224&lt;=0,"Aussenlager","teilweise")))))</f>
        <v>Lift</v>
      </c>
      <c r="BM224" s="60" t="str">
        <f aca="false">IF(BD224&lt;=0,"",IF(CG224="Aussen","Aussenlager",IF(CG224="-","Nicht im Lift",IF(BJ224&gt;=1,"Lift",IF(BJ224&lt;=0,"Aussenlager","teilweise")))))</f>
        <v>Lift</v>
      </c>
      <c r="BN224" s="60" t="str">
        <f aca="false">IF(A224="","",IF(BW224=1,"Neu; ","")&amp;IF(AND(BW224=0,BR224&lt;0),"negativer Bestand (Export "&amp;BR224&amp;"); ","")&amp;IF(J224&lt;=0,"Kein Verbrauch; ","")&amp;IF(CR224&gt;0,"Lift "&amp;W224&amp;" lt. Liftbericht (Fach "&amp;X224&amp;" Stk); ",IF(CB224=1,"Gebinde geschätzt ("&amp;T224&amp;"); ",IF(CA224=1,"Lose – Tablare geschätzt; ","")))&amp;IF(H224&gt;AW224,"Überbestand "&amp;ROUND(H224-AW224,0)&amp;" Stk / CHF "&amp;ROUND((H224-AW224)*G224,0)&amp;"; ","")&amp;IF(AND(CI224=1,CJ224&lt;CK224),"MAX &lt; MB+LG; ","")&amp;IF(AND(CQ224&gt;0,CP224*10&gt;CQ224),"zu hoch für Tablar; ","")&amp;IF(AND(BW224=0,OR(CI224=1,AB224&lt;&gt;"",U224&lt;&gt;"",V224&lt;&gt;"",AC224&lt;&gt;"")),"manuell übersteuert; ","")&amp;IF(AND(CA224=0,R224=0),"Gebinde unbekannt / Stellmass fehlt; ","")&amp;IF(AND(CA224=0,N(V224)&lt;=0,N(Q224)&lt;=0),"Menge pro Gebinde fehlt (Ist = 1 Gebinde); ","")&amp;BV224)</f>
        <v/>
      </c>
      <c r="BO224" s="60"/>
      <c r="BP224" s="60"/>
      <c r="BQ224" s="67"/>
      <c r="BR224" s="62" t="n">
        <v>81</v>
      </c>
      <c r="BS224" s="62" t="n">
        <v>71</v>
      </c>
      <c r="BT224" s="61" t="n">
        <v>642.240000000004</v>
      </c>
      <c r="BU224" s="62" t="n">
        <v>428</v>
      </c>
      <c r="BV224" s="60"/>
      <c r="BW224" s="65" t="n">
        <v>0</v>
      </c>
      <c r="BX224" s="65" t="n">
        <v>224</v>
      </c>
      <c r="BY224" s="60" t="str">
        <f aca="false">IF(U224&lt;&gt;"",UPPER(TRIM(U224)),IF(CB224=1,UPPER(VLOOKUP(T224,Parameter!$I$27:$K$29,2,0)),IF(P224="","LOSE",P224)))</f>
        <v>S51</v>
      </c>
      <c r="BZ224" s="62" t="n">
        <f aca="false">IF(BY224="LOSE",1,IF(N(V224)&gt;0,V224,IF(CB224=1,MAX(1,N(VLOOKUP(T224,Parameter!$I$27:$K$29,3,0)),H224,N(N224)),IF(N(Q224)&gt;0,Q224,MAX(1,H224)))))</f>
        <v>179</v>
      </c>
      <c r="CA224" s="65" t="n">
        <f aca="false">IF(BY224="LOSE",1,0)</f>
        <v>0</v>
      </c>
      <c r="CB224" s="65" t="n">
        <f aca="false">IF(AND(U224="",OR(P224="",P224="LOSE"),T224&lt;&gt;"",N(S224)&lt;=0,ISNUMBER(MATCH(T224,Parameter!$I$27:$I$29,0))),1,0)</f>
        <v>0</v>
      </c>
      <c r="CC224" s="65" t="n">
        <f aca="false">IF(CR224&gt;0,INDEX(Parameter!$H$5:$H$7,W224)/INDEX(Parameter!$E$5:$E$7,W224),IF(AND(CA224=0,N(IFERROR(VLOOKUP(BY224,'Gebinde-Kategorie'!$A$5:$N$45,14,0),0))&gt;0),VLOOKUP(BY224,'Gebinde-Kategorie'!$A$5:$N$45,14,0)*10+Parameter!$M$23,Parameter!$M$24))</f>
        <v>155</v>
      </c>
      <c r="CD224" s="60" t="str">
        <f aca="false">IF(AND(Parameter!$B$19="Ja",E224&lt;&gt;"",ISNUMBER(MATCH(E224,Parameter!$I$35:$I$52,0))),VLOOKUP(E224,Parameter!$I$35:$J$52,2,0),IFERROR(VLOOKUP(D224,Parameter!$A$35:$C$64,2,0),"Nein"))</f>
        <v>2+3</v>
      </c>
      <c r="CE224" s="64" t="n">
        <f aca="false">IF(CA224=0,0,IF(N(S224)&gt;0,S224,IFERROR(VLOOKUP(D224,Parameter!$A$35:$C$64,3,0)+0,0)))</f>
        <v>0</v>
      </c>
      <c r="CF224" s="60" t="n">
        <f aca="false">IF(AB224&lt;&gt;"",AB224,AA224)</f>
        <v>3</v>
      </c>
      <c r="CG224" s="60" t="str">
        <f aca="false">IF(OR(CF224=1,CF224=2,CF224=3),IF(Parameter!$E$27="Ja","LIFT",IF(CF224=1,"L1","L23")),IF(CF224="Aussen","Aussen","-"))</f>
        <v>LIFT</v>
      </c>
      <c r="CH224" s="71" t="n">
        <f aca="false">IF(N(AC224)&gt;0,AC224,0)</f>
        <v>0</v>
      </c>
      <c r="CI224" s="65" t="n">
        <f aca="false">IF(ISNUMBER(AF224),1,0)</f>
        <v>0</v>
      </c>
      <c r="CJ224" s="62" t="n">
        <f aca="false">N(AF224)</f>
        <v>0</v>
      </c>
      <c r="CK224" s="62" t="n">
        <f aca="false">N(M224)+N(N224)</f>
        <v>232</v>
      </c>
      <c r="CL224" s="62" t="n">
        <f aca="false">N(M224)</f>
        <v>32</v>
      </c>
      <c r="CM224" s="62" t="n">
        <f aca="false">N(N224)</f>
        <v>200</v>
      </c>
      <c r="CN224" s="62" t="n">
        <f aca="false">ROUNDUP(H224/BZ224,0)</f>
        <v>1</v>
      </c>
      <c r="CO224" s="62" t="n">
        <f aca="false">ROUNDUP(CJ224/BZ224,0)</f>
        <v>0</v>
      </c>
      <c r="CP224" s="65" t="n">
        <f aca="false">IF(CA224=1,0,IFERROR(VLOOKUP(BY224,'Gebinde-Kategorie'!$A$5:$N$45,5,0)+0,0))</f>
        <v>11</v>
      </c>
      <c r="CQ224" s="65" t="n">
        <f aca="false">IFERROR(IF(OR(CF224=1,CF224=2,CF224=3),N(INDEX(Parameter!$I$5:$I$7,CF224)),0),0)</f>
        <v>0</v>
      </c>
      <c r="CR224" s="64" t="n">
        <f aca="false">IF(AND(Parameter!$B$21="Ja",ISNUMBER(W224),N(X224)&gt;0),IFERROR(N(INDEX(Parameter!$L$5:$L$7,W224))*INDEX(Parameter!$E$5:$E$7,W224)*X224/SUMIFS($X$7:$X$1843,$W$7:$W$1843,W224),0),0)</f>
        <v>0</v>
      </c>
      <c r="CS224" s="62" t="n">
        <f aca="false">IF(AND(OR(CG224="L1",CG224="L23",CG224="LIFT"),H224&gt;0),CC224*IF(CR224&gt;0,CR224*MAX(1,H224/X224),IF(CA224=1,CE224,IF(R224&gt;0,CN224/R224,0))/MAX(0.1,N(Parameter!$M$21))),"")</f>
        <v>5.96153846153846</v>
      </c>
      <c r="CT224" s="64" t="n">
        <f aca="false">IF(CS224="","",J224/H224)</f>
        <v>2.81578947368421</v>
      </c>
      <c r="CU224" s="62" t="n">
        <f aca="false">IF(CS224="","",H224*G224)</f>
        <v>1050.32</v>
      </c>
      <c r="CV224" s="63" t="n">
        <f aca="false">IF(CS224="","",(CL224+ROUNDUP(CL224+MAX(CM224,2*(J224/MAX(0.1,N(Einkauf!$C$6))-CL224)),0))/2)</f>
        <v>132</v>
      </c>
      <c r="CW224" s="62" t="n">
        <f aca="false">IF(CS224="","",MAX(0,H224-CV224)*G224)</f>
        <v>138.2</v>
      </c>
      <c r="CX224" s="62" t="n">
        <f aca="false">IF(CS224="","",CS224*MAX(0,1-CV224/H224))</f>
        <v>0.784412955465587</v>
      </c>
      <c r="CY224" s="64" t="n">
        <f aca="false">IF(CS224="","",PERCENTRANK($CS$7:$CS$1843,CS224)+PERCENTRANK($CU$7:$CU$1843,CU224)+1-PERCENTRANK($CT$7:$CT$1843,CT224))</f>
        <v>1.136</v>
      </c>
      <c r="CZ224" s="72" t="n">
        <f aca="false">IF(CS224="","",CHOOSE(MATCH(Einkauf!$C$5,Parameter!$G$23:$G$27,0),CY224,CS224,CU224,-CT224,CW224)+ROW()/1000000000)</f>
        <v>1.136000224</v>
      </c>
    </row>
    <row r="225" customFormat="false" ht="15" hidden="false" customHeight="false" outlineLevel="0" collapsed="false">
      <c r="A225" s="60" t="s">
        <v>683</v>
      </c>
      <c r="B225" s="60" t="s">
        <v>684</v>
      </c>
      <c r="C225" s="60" t="s">
        <v>206</v>
      </c>
      <c r="D225" s="60" t="s">
        <v>215</v>
      </c>
      <c r="E225" s="60"/>
      <c r="F225" s="60" t="s">
        <v>260</v>
      </c>
      <c r="G225" s="61" t="n">
        <v>640</v>
      </c>
      <c r="H225" s="62" t="n">
        <f aca="false">MAX(0,IF(AND(Parameter!$B$21="Ja",ISNUMBER(Y225)),Y225,IF(Parameter!$B$20="Jahresanfang 2025 + Export",BS225+BR225,BR225)))</f>
        <v>1</v>
      </c>
      <c r="I225" s="62" t="n">
        <f aca="false">H225*G225</f>
        <v>640</v>
      </c>
      <c r="J225" s="62" t="n">
        <f aca="false">BU225*Parameter!$B$18</f>
        <v>11</v>
      </c>
      <c r="K225" s="63" t="n">
        <v>0.5</v>
      </c>
      <c r="L225" s="64" t="n">
        <v>22</v>
      </c>
      <c r="M225" s="62" t="n">
        <v>1</v>
      </c>
      <c r="N225" s="62" t="n">
        <v>5</v>
      </c>
      <c r="O225" s="65" t="n">
        <v>35</v>
      </c>
      <c r="P225" s="60" t="s">
        <v>228</v>
      </c>
      <c r="Q225" s="62" t="n">
        <v>6</v>
      </c>
      <c r="R225" s="65" t="n">
        <f aca="false">IF(CA225=1,0,IFERROR(VLOOKUP(BY225,'Gebinde-Kategorie'!$A$5:$N$45,13,0)+0,0))</f>
        <v>12</v>
      </c>
      <c r="S225" s="66"/>
      <c r="T225" s="67"/>
      <c r="U225" s="67"/>
      <c r="V225" s="67"/>
      <c r="W225" s="60"/>
      <c r="X225" s="62"/>
      <c r="Y225" s="62"/>
      <c r="Z225" s="60" t="n">
        <v>3</v>
      </c>
      <c r="AA225" s="60" t="n">
        <f aca="false">IF(A225="","",IF(AND(Parameter!$B$21="Ja",ISNUMBER(W225)),W225,IF(AND(Parameter!$E$27="Ja",ISNUMBER(Z225),CD225&lt;&gt;"Nein"),Z225,IF(CD225="2+3",IF(ISNUMBER(SEARCH("grosser Artikel",BV225)),2,IFERROR(VLOOKUP(BY225,Parameter!$F$35:$G$64,2,0),2)),IF(OR(CD225="Nein",CD225=""),"-",CD225)))))</f>
        <v>3</v>
      </c>
      <c r="AB225" s="67"/>
      <c r="AC225" s="68"/>
      <c r="AD225" s="62" t="n">
        <f aca="false">AW225</f>
        <v>7</v>
      </c>
      <c r="AE225" s="62" t="n">
        <f aca="false">MAX(AW225,H225)</f>
        <v>7</v>
      </c>
      <c r="AF225" s="69"/>
      <c r="AG225" s="62" t="n">
        <f aca="false">IF(LEFT(Cockpit!$C$5,1)="A",H225,IF(Parameter!$E$30="MAX-Bestand",IF(CI225=1,CJ225,IF(LEFT(Cockpit!$C$5,1)="B",AM225,MAX(AM225,H225))),ROUNDUP(AK225,0)))</f>
        <v>1</v>
      </c>
      <c r="AH225" s="62" t="n">
        <f aca="false">IF(CA225=1,0,ROUNDUP(AG225/BZ225,0))</f>
        <v>1</v>
      </c>
      <c r="AI225" s="64" t="n">
        <f aca="false">IF(CR225&gt;0,CR225*MAX(1,AG225/X225),IF(CA225=1,IF(AG225&lt;=0,0,CE225*MAX(1,IF(H225&gt;0,AG225/H225,1))),IF(R225&gt;0,AH225/R225,0))/MAX(0.1,N(Parameter!$M$21)))</f>
        <v>0.0833333333333333</v>
      </c>
      <c r="AJ225" s="62" t="n">
        <f aca="false">AI225*CC225</f>
        <v>12.0833333333333</v>
      </c>
      <c r="AK225" s="63" t="n">
        <f aca="false">IF(LEFT(Cockpit!$C$5,1)="A",H225,IF(CI225=1,(CL225+CJ225)/2,IF(LEFT(Cockpit!$C$5,1)="B",(CL225+AM225)/2,MAX((CL225+AM225)/2,H225))))</f>
        <v>1</v>
      </c>
      <c r="AL225" s="62" t="n">
        <f aca="false">AK225*G225</f>
        <v>640</v>
      </c>
      <c r="AM225" s="62" t="n">
        <f aca="false">ROUNDUP(CL225+MAX(CM225,2*(J225/IF(CH225&gt;0,CH225,MAX(0.1,N(Cockpit!$C$6)))-CL225)),0)</f>
        <v>7</v>
      </c>
      <c r="AN225" s="63" t="n">
        <f aca="false">IF(AJ225&gt;0,J225/AJ225,-1)</f>
        <v>0.910344827586207</v>
      </c>
      <c r="AO225" s="63" t="n">
        <f aca="false">IF(AND(OR(CG225="L1",CG225="L23",CG225="LIFT"),AJ225&gt;0),SUMIFS($AJ$7:$AJ$1843,$CG$7:$CG$1843,CG225,$AN$7:$AN$1843,"&gt;"&amp;AN225)+SUMIFS($AJ$7:$AJ$1843,$CG$7:$CG$1843,CG225,$AN$7:$AN$1843,AN225,$BX$7:$BX$1843,"&lt;="&amp;BX225),"")</f>
        <v>7418.87225274725</v>
      </c>
      <c r="AP225" s="70" t="n">
        <f aca="false">IF(AO225="",0,MAX(0,MIN(1,(IF(CG225="L1",Parameter!$H$5,IF(CG225="L23",Parameter!$H$6+Parameter!$H$7,Parameter!$H$5+Parameter!$H$6+Parameter!$H$7))-(AO225-AJ225))/AJ225)))</f>
        <v>1</v>
      </c>
      <c r="AQ225" s="62" t="n">
        <f aca="false">IF(LEFT(Cockpit!$I$5,1)="A",H225,IF(Parameter!$E$30="MAX-Bestand",IF(CI225=1,CJ225,IF(LEFT(Cockpit!$I$5,1)="B",AW225,MAX(AW225,H225))),ROUNDUP(AU225,0)))</f>
        <v>4</v>
      </c>
      <c r="AR225" s="62" t="n">
        <f aca="false">IF(CA225=1,0,ROUNDUP(AQ225/BZ225,0))</f>
        <v>1</v>
      </c>
      <c r="AS225" s="64" t="n">
        <f aca="false">IF(CR225&gt;0,CR225*MAX(1,AQ225/X225),IF(CA225=1,IF(AQ225&lt;=0,0,CE225*MAX(1,IF(H225&gt;0,AQ225/H225,1))),IF(R225&gt;0,AR225/R225,0))/MAX(0.1,N(Parameter!$M$21)))</f>
        <v>0.0833333333333333</v>
      </c>
      <c r="AT225" s="62" t="n">
        <f aca="false">AS225*CC225</f>
        <v>12.0833333333333</v>
      </c>
      <c r="AU225" s="63" t="n">
        <f aca="false">IF(LEFT(Cockpit!$I$5,1)="A",H225,IF(CI225=1,(CL225+CJ225)/2,IF(LEFT(Cockpit!$I$5,1)="B",(CL225+AW225)/2,MAX((CL225+AW225)/2,H225))))</f>
        <v>4</v>
      </c>
      <c r="AV225" s="62" t="n">
        <f aca="false">AU225*G225</f>
        <v>2560</v>
      </c>
      <c r="AW225" s="62" t="n">
        <f aca="false">ROUNDUP(CL225+MAX(CM225,2*(J225/IF(CH225&gt;0,CH225,MAX(0.1,N(Cockpit!$I$6)))-CL225)),0)</f>
        <v>7</v>
      </c>
      <c r="AX225" s="63" t="n">
        <f aca="false">IF(AT225&gt;0,J225/AT225,-1)</f>
        <v>0.910344827586207</v>
      </c>
      <c r="AY225" s="63" t="n">
        <f aca="false">IF(AND(OR(CG225="L1",CG225="L23",CG225="LIFT"),AT225&gt;0),SUMIFS($AT$7:$AT$1843,$CG$7:$CG$1843,CG225,$AX$7:$AX$1843,"&gt;"&amp;AX225)+SUMIFS($AT$7:$AT$1843,$CG$7:$CG$1843,CG225,$AX$7:$AX$1843,AX225,$BX$7:$BX$1843,"&lt;="&amp;BX225),"")</f>
        <v>8993.31227106227</v>
      </c>
      <c r="AZ225" s="70" t="n">
        <f aca="false">IF(AY225="",0,MAX(0,MIN(1,(IF(CG225="L1",Parameter!$H$5,IF(CG225="L23",Parameter!$H$6+Parameter!$H$7,Parameter!$H$5+Parameter!$H$6+Parameter!$H$7))-(AY225-AT225))/AT225)))</f>
        <v>1</v>
      </c>
      <c r="BA225" s="62" t="n">
        <f aca="false">IF(LEFT(Cockpit!$O$5,1)="A",H225,IF(Parameter!$E$30="MAX-Bestand",IF(CI225=1,CJ225,IF(LEFT(Cockpit!$O$5,1)="B",BG225,MAX(BG225,H225))),ROUNDUP(BE225,0)))</f>
        <v>4</v>
      </c>
      <c r="BB225" s="62" t="n">
        <f aca="false">IF(CA225=1,0,ROUNDUP(BA225/BZ225,0))</f>
        <v>1</v>
      </c>
      <c r="BC225" s="64" t="n">
        <f aca="false">IF(CR225&gt;0,CR225*MAX(1,BA225/X225),IF(CA225=1,IF(BA225&lt;=0,0,CE225*MAX(1,IF(H225&gt;0,BA225/H225,1))),IF(R225&gt;0,BB225/R225,0))/MAX(0.1,N(Parameter!$M$21)))</f>
        <v>0.0833333333333333</v>
      </c>
      <c r="BD225" s="62" t="n">
        <f aca="false">BC225*CC225</f>
        <v>12.0833333333333</v>
      </c>
      <c r="BE225" s="63" t="n">
        <f aca="false">IF(LEFT(Cockpit!$O$5,1)="A",H225,IF(CI225=1,(CL225+CJ225)/2,IF(LEFT(Cockpit!$O$5,1)="B",(CL225+BG225)/2,MAX((CL225+BG225)/2,H225))))</f>
        <v>3.5</v>
      </c>
      <c r="BF225" s="62" t="n">
        <f aca="false">BE225*G225</f>
        <v>2240</v>
      </c>
      <c r="BG225" s="62" t="n">
        <f aca="false">ROUNDUP(CL225+MAX(CM225,2*(J225/IF(CH225&gt;0,CH225,MAX(0.1,N(Cockpit!$O$6)))-CL225)),0)</f>
        <v>6</v>
      </c>
      <c r="BH225" s="63" t="n">
        <f aca="false">IF(BD225&gt;0,J225/BD225,-1)</f>
        <v>0.910344827586207</v>
      </c>
      <c r="BI225" s="63" t="n">
        <f aca="false">IF(AND(OR(CG225="L1",CG225="L23",CG225="LIFT"),BD225&gt;0),SUMIFS($BD$7:$BD$1843,$CG$7:$CG$1843,CG225,$BH$7:$BH$1843,"&gt;"&amp;BH225)+SUMIFS($BD$7:$BD$1843,$CG$7:$CG$1843,CG225,$BH$7:$BH$1843,BH225,$BX$7:$BX$1843,"&lt;="&amp;BX225),"")</f>
        <v>8191.74587912088</v>
      </c>
      <c r="BJ225" s="70" t="n">
        <f aca="false">IF(BI225="",0,MAX(0,MIN(1,(IF(CG225="L1",Parameter!$H$5,IF(CG225="L23",Parameter!$H$6+Parameter!$H$7,Parameter!$H$5+Parameter!$H$6+Parameter!$H$7))-(BI225-BD225))/BD225)))</f>
        <v>1</v>
      </c>
      <c r="BK225" s="60" t="str">
        <f aca="false">IF(AJ225&lt;=0,"",IF(CG225="Aussen","Aussenlager",IF(CG225="-","Nicht im Lift",IF(AP225&gt;=1,"Lift",IF(AP225&lt;=0,"Aussenlager","teilweise")))))</f>
        <v>Lift</v>
      </c>
      <c r="BL225" s="60" t="str">
        <f aca="false">IF(AT225&lt;=0,"",IF(CG225="Aussen","Aussenlager",IF(CG225="-","Nicht im Lift",IF(AZ225&gt;=1,"Lift",IF(AZ225&lt;=0,"Aussenlager","teilweise")))))</f>
        <v>Lift</v>
      </c>
      <c r="BM225" s="60" t="str">
        <f aca="false">IF(BD225&lt;=0,"",IF(CG225="Aussen","Aussenlager",IF(CG225="-","Nicht im Lift",IF(BJ225&gt;=1,"Lift",IF(BJ225&lt;=0,"Aussenlager","teilweise")))))</f>
        <v>Lift</v>
      </c>
      <c r="BN225" s="60" t="str">
        <f aca="false">IF(A225="","",IF(BW225=1,"Neu; ","")&amp;IF(AND(BW225=0,BR225&lt;0),"negativer Bestand (Export "&amp;BR225&amp;"); ","")&amp;IF(J225&lt;=0,"Kein Verbrauch; ","")&amp;IF(CR225&gt;0,"Lift "&amp;W225&amp;" lt. Liftbericht (Fach "&amp;X225&amp;" Stk); ",IF(CB225=1,"Gebinde geschätzt ("&amp;T225&amp;"); ",IF(CA225=1,"Lose – Tablare geschätzt; ","")))&amp;IF(H225&gt;AW225,"Überbestand "&amp;ROUND(H225-AW225,0)&amp;" Stk / CHF "&amp;ROUND((H225-AW225)*G225,0)&amp;"; ","")&amp;IF(AND(CI225=1,CJ225&lt;CK225),"MAX &lt; MB+LG; ","")&amp;IF(AND(CQ225&gt;0,CP225*10&gt;CQ225),"zu hoch für Tablar; ","")&amp;IF(AND(BW225=0,OR(CI225=1,AB225&lt;&gt;"",U225&lt;&gt;"",V225&lt;&gt;"",AC225&lt;&gt;"")),"manuell übersteuert; ","")&amp;IF(AND(CA225=0,R225=0),"Gebinde unbekannt / Stellmass fehlt; ","")&amp;IF(AND(CA225=0,N(V225)&lt;=0,N(Q225)&lt;=0),"Menge pro Gebinde fehlt (Ist = 1 Gebinde); ","")&amp;BV225)</f>
        <v/>
      </c>
      <c r="BO225" s="60"/>
      <c r="BP225" s="60"/>
      <c r="BQ225" s="67"/>
      <c r="BR225" s="62" t="n">
        <v>1</v>
      </c>
      <c r="BS225" s="62" t="n">
        <v>0</v>
      </c>
      <c r="BT225" s="61" t="n">
        <v>640</v>
      </c>
      <c r="BU225" s="62" t="n">
        <v>11</v>
      </c>
      <c r="BV225" s="60"/>
      <c r="BW225" s="65" t="n">
        <v>0</v>
      </c>
      <c r="BX225" s="65" t="n">
        <v>225</v>
      </c>
      <c r="BY225" s="60" t="str">
        <f aca="false">IF(U225&lt;&gt;"",UPPER(TRIM(U225)),IF(CB225=1,UPPER(VLOOKUP(T225,Parameter!$I$27:$K$29,2,0)),IF(P225="","LOSE",P225)))</f>
        <v>S61</v>
      </c>
      <c r="BZ225" s="62" t="n">
        <f aca="false">IF(BY225="LOSE",1,IF(N(V225)&gt;0,V225,IF(CB225=1,MAX(1,N(VLOOKUP(T225,Parameter!$I$27:$K$29,3,0)),H225,N(N225)),IF(N(Q225)&gt;0,Q225,MAX(1,H225)))))</f>
        <v>6</v>
      </c>
      <c r="CA225" s="65" t="n">
        <f aca="false">IF(BY225="LOSE",1,0)</f>
        <v>0</v>
      </c>
      <c r="CB225" s="65" t="n">
        <f aca="false">IF(AND(U225="",OR(P225="",P225="LOSE"),T225&lt;&gt;"",N(S225)&lt;=0,ISNUMBER(MATCH(T225,Parameter!$I$27:$I$29,0))),1,0)</f>
        <v>0</v>
      </c>
      <c r="CC225" s="65" t="n">
        <f aca="false">IF(CR225&gt;0,INDEX(Parameter!$H$5:$H$7,W225)/INDEX(Parameter!$E$5:$E$7,W225),IF(AND(CA225=0,N(IFERROR(VLOOKUP(BY225,'Gebinde-Kategorie'!$A$5:$N$45,14,0),0))&gt;0),VLOOKUP(BY225,'Gebinde-Kategorie'!$A$5:$N$45,14,0)*10+Parameter!$M$23,Parameter!$M$24))</f>
        <v>145</v>
      </c>
      <c r="CD225" s="60" t="str">
        <f aca="false">IF(AND(Parameter!$B$19="Ja",E225&lt;&gt;"",ISNUMBER(MATCH(E225,Parameter!$I$35:$I$52,0))),VLOOKUP(E225,Parameter!$I$35:$J$52,2,0),IFERROR(VLOOKUP(D225,Parameter!$A$35:$C$64,2,0),"Nein"))</f>
        <v>2+3</v>
      </c>
      <c r="CE225" s="64" t="n">
        <f aca="false">IF(CA225=0,0,IF(N(S225)&gt;0,S225,IFERROR(VLOOKUP(D225,Parameter!$A$35:$C$64,3,0)+0,0)))</f>
        <v>0</v>
      </c>
      <c r="CF225" s="60" t="n">
        <f aca="false">IF(AB225&lt;&gt;"",AB225,AA225)</f>
        <v>3</v>
      </c>
      <c r="CG225" s="60" t="str">
        <f aca="false">IF(OR(CF225=1,CF225=2,CF225=3),IF(Parameter!$E$27="Ja","LIFT",IF(CF225=1,"L1","L23")),IF(CF225="Aussen","Aussen","-"))</f>
        <v>LIFT</v>
      </c>
      <c r="CH225" s="71" t="n">
        <f aca="false">IF(N(AC225)&gt;0,AC225,0)</f>
        <v>0</v>
      </c>
      <c r="CI225" s="65" t="n">
        <f aca="false">IF(ISNUMBER(AF225),1,0)</f>
        <v>0</v>
      </c>
      <c r="CJ225" s="62" t="n">
        <f aca="false">N(AF225)</f>
        <v>0</v>
      </c>
      <c r="CK225" s="62" t="n">
        <f aca="false">N(M225)+N(N225)</f>
        <v>6</v>
      </c>
      <c r="CL225" s="62" t="n">
        <f aca="false">N(M225)</f>
        <v>1</v>
      </c>
      <c r="CM225" s="62" t="n">
        <f aca="false">N(N225)</f>
        <v>5</v>
      </c>
      <c r="CN225" s="62" t="n">
        <f aca="false">ROUNDUP(H225/BZ225,0)</f>
        <v>1</v>
      </c>
      <c r="CO225" s="62" t="n">
        <f aca="false">ROUNDUP(CJ225/BZ225,0)</f>
        <v>0</v>
      </c>
      <c r="CP225" s="65" t="n">
        <f aca="false">IF(CA225=1,0,IFERROR(VLOOKUP(BY225,'Gebinde-Kategorie'!$A$5:$N$45,5,0)+0,0))</f>
        <v>11</v>
      </c>
      <c r="CQ225" s="65" t="n">
        <f aca="false">IFERROR(IF(OR(CF225=1,CF225=2,CF225=3),N(INDEX(Parameter!$I$5:$I$7,CF225)),0),0)</f>
        <v>0</v>
      </c>
      <c r="CR225" s="64" t="n">
        <f aca="false">IF(AND(Parameter!$B$21="Ja",ISNUMBER(W225),N(X225)&gt;0),IFERROR(N(INDEX(Parameter!$L$5:$L$7,W225))*INDEX(Parameter!$E$5:$E$7,W225)*X225/SUMIFS($X$7:$X$1843,$W$7:$W$1843,W225),0),0)</f>
        <v>0</v>
      </c>
      <c r="CS225" s="62" t="n">
        <f aca="false">IF(AND(OR(CG225="L1",CG225="L23",CG225="LIFT"),H225&gt;0),CC225*IF(CR225&gt;0,CR225*MAX(1,H225/X225),IF(CA225=1,CE225,IF(R225&gt;0,CN225/R225,0))/MAX(0.1,N(Parameter!$M$21))),"")</f>
        <v>12.0833333333333</v>
      </c>
      <c r="CT225" s="64" t="n">
        <f aca="false">IF(CS225="","",J225/H225)</f>
        <v>11</v>
      </c>
      <c r="CU225" s="62" t="n">
        <f aca="false">IF(CS225="","",H225*G225)</f>
        <v>640</v>
      </c>
      <c r="CV225" s="63" t="n">
        <f aca="false">IF(CS225="","",(CL225+ROUNDUP(CL225+MAX(CM225,2*(J225/MAX(0.1,N(Einkauf!$C$6))-CL225)),0))/2)</f>
        <v>3.5</v>
      </c>
      <c r="CW225" s="62" t="n">
        <f aca="false">IF(CS225="","",MAX(0,H225-CV225)*G225)</f>
        <v>0</v>
      </c>
      <c r="CX225" s="62" t="n">
        <f aca="false">IF(CS225="","",CS225*MAX(0,1-CV225/H225))</f>
        <v>0</v>
      </c>
      <c r="CY225" s="64" t="n">
        <f aca="false">IF(CS225="","",PERCENTRANK($CS$7:$CS$1843,CS225)+PERCENTRANK($CU$7:$CU$1843,CU225)+1-PERCENTRANK($CT$7:$CT$1843,CT225))</f>
        <v>1.225</v>
      </c>
      <c r="CZ225" s="72" t="n">
        <f aca="false">IF(CS225="","",CHOOSE(MATCH(Einkauf!$C$5,Parameter!$G$23:$G$27,0),CY225,CS225,CU225,-CT225,CW225)+ROW()/1000000000)</f>
        <v>1.225000225</v>
      </c>
    </row>
    <row r="226" customFormat="false" ht="15" hidden="false" customHeight="false" outlineLevel="0" collapsed="false">
      <c r="A226" s="60" t="s">
        <v>685</v>
      </c>
      <c r="B226" s="60" t="s">
        <v>686</v>
      </c>
      <c r="C226" s="60" t="s">
        <v>206</v>
      </c>
      <c r="D226" s="60" t="s">
        <v>226</v>
      </c>
      <c r="E226" s="60" t="s">
        <v>227</v>
      </c>
      <c r="F226" s="60" t="s">
        <v>260</v>
      </c>
      <c r="G226" s="61" t="n">
        <v>7.7</v>
      </c>
      <c r="H226" s="62" t="n">
        <f aca="false">MAX(0,IF(AND(Parameter!$B$21="Ja",ISNUMBER(Y226)),Y226,IF(Parameter!$B$20="Jahresanfang 2025 + Export",BS226+BR226,BR226)))</f>
        <v>119</v>
      </c>
      <c r="I226" s="62" t="n">
        <f aca="false">H226*G226</f>
        <v>916.3</v>
      </c>
      <c r="J226" s="62" t="n">
        <f aca="false">BU226*Parameter!$B$18</f>
        <v>129</v>
      </c>
      <c r="K226" s="63" t="n">
        <v>37</v>
      </c>
      <c r="L226" s="64" t="n">
        <v>3.48648648648649</v>
      </c>
      <c r="M226" s="62" t="n">
        <v>7</v>
      </c>
      <c r="N226" s="62" t="n">
        <v>130</v>
      </c>
      <c r="O226" s="65" t="n">
        <v>21</v>
      </c>
      <c r="P226" s="60" t="s">
        <v>344</v>
      </c>
      <c r="Q226" s="62" t="n">
        <v>131</v>
      </c>
      <c r="R226" s="65" t="n">
        <f aca="false">IF(CA226=1,0,IFERROR(VLOOKUP(BY226,'Gebinde-Kategorie'!$A$5:$N$45,13,0)+0,0))</f>
        <v>26</v>
      </c>
      <c r="S226" s="66"/>
      <c r="T226" s="67"/>
      <c r="U226" s="67"/>
      <c r="V226" s="67"/>
      <c r="W226" s="60"/>
      <c r="X226" s="62"/>
      <c r="Y226" s="62"/>
      <c r="Z226" s="60" t="n">
        <v>3</v>
      </c>
      <c r="AA226" s="60" t="n">
        <f aca="false">IF(A226="","",IF(AND(Parameter!$B$21="Ja",ISNUMBER(W226)),W226,IF(AND(Parameter!$E$27="Ja",ISNUMBER(Z226),CD226&lt;&gt;"Nein"),Z226,IF(CD226="2+3",IF(ISNUMBER(SEARCH("grosser Artikel",BV226)),2,IFERROR(VLOOKUP(BY226,Parameter!$F$35:$G$64,2,0),2)),IF(OR(CD226="Nein",CD226=""),"-",CD226)))))</f>
        <v>3</v>
      </c>
      <c r="AB226" s="67"/>
      <c r="AC226" s="68"/>
      <c r="AD226" s="62" t="n">
        <f aca="false">AW226</f>
        <v>137</v>
      </c>
      <c r="AE226" s="62" t="n">
        <f aca="false">MAX(AW226,H226)</f>
        <v>137</v>
      </c>
      <c r="AF226" s="69"/>
      <c r="AG226" s="62" t="n">
        <f aca="false">IF(LEFT(Cockpit!$C$5,1)="A",H226,IF(Parameter!$E$30="MAX-Bestand",IF(CI226=1,CJ226,IF(LEFT(Cockpit!$C$5,1)="B",AM226,MAX(AM226,H226))),ROUNDUP(AK226,0)))</f>
        <v>119</v>
      </c>
      <c r="AH226" s="62" t="n">
        <f aca="false">IF(CA226=1,0,ROUNDUP(AG226/BZ226,0))</f>
        <v>1</v>
      </c>
      <c r="AI226" s="64" t="n">
        <f aca="false">IF(CR226&gt;0,CR226*MAX(1,AG226/X226),IF(CA226=1,IF(AG226&lt;=0,0,CE226*MAX(1,IF(H226&gt;0,AG226/H226,1))),IF(R226&gt;0,AH226/R226,0))/MAX(0.1,N(Parameter!$M$21)))</f>
        <v>0.0384615384615385</v>
      </c>
      <c r="AJ226" s="62" t="n">
        <f aca="false">AI226*CC226</f>
        <v>5.96153846153846</v>
      </c>
      <c r="AK226" s="63" t="n">
        <f aca="false">IF(LEFT(Cockpit!$C$5,1)="A",H226,IF(CI226=1,(CL226+CJ226)/2,IF(LEFT(Cockpit!$C$5,1)="B",(CL226+AM226)/2,MAX((CL226+AM226)/2,H226))))</f>
        <v>119</v>
      </c>
      <c r="AL226" s="62" t="n">
        <f aca="false">AK226*G226</f>
        <v>916.3</v>
      </c>
      <c r="AM226" s="62" t="n">
        <f aca="false">ROUNDUP(CL226+MAX(CM226,2*(J226/IF(CH226&gt;0,CH226,MAX(0.1,N(Cockpit!$C$6)))-CL226)),0)</f>
        <v>137</v>
      </c>
      <c r="AN226" s="63" t="n">
        <f aca="false">IF(AJ226&gt;0,J226/AJ226,-1)</f>
        <v>21.6387096774194</v>
      </c>
      <c r="AO226" s="63" t="n">
        <f aca="false">IF(AND(OR(CG226="L1",CG226="L23",CG226="LIFT"),AJ226&gt;0),SUMIFS($AJ$7:$AJ$1843,$CG$7:$CG$1843,CG226,$AN$7:$AN$1843,"&gt;"&amp;AN226)+SUMIFS($AJ$7:$AJ$1843,$CG$7:$CG$1843,CG226,$AN$7:$AN$1843,AN226,$BX$7:$BX$1843,"&lt;="&amp;BX226),"")</f>
        <v>1619.37545787546</v>
      </c>
      <c r="AP226" s="70" t="n">
        <f aca="false">IF(AO226="",0,MAX(0,MIN(1,(IF(CG226="L1",Parameter!$H$5,IF(CG226="L23",Parameter!$H$6+Parameter!$H$7,Parameter!$H$5+Parameter!$H$6+Parameter!$H$7))-(AO226-AJ226))/AJ226)))</f>
        <v>1</v>
      </c>
      <c r="AQ226" s="62" t="n">
        <f aca="false">IF(LEFT(Cockpit!$I$5,1)="A",H226,IF(Parameter!$E$30="MAX-Bestand",IF(CI226=1,CJ226,IF(LEFT(Cockpit!$I$5,1)="B",AW226,MAX(AW226,H226))),ROUNDUP(AU226,0)))</f>
        <v>119</v>
      </c>
      <c r="AR226" s="62" t="n">
        <f aca="false">IF(CA226=1,0,ROUNDUP(AQ226/BZ226,0))</f>
        <v>1</v>
      </c>
      <c r="AS226" s="64" t="n">
        <f aca="false">IF(CR226&gt;0,CR226*MAX(1,AQ226/X226),IF(CA226=1,IF(AQ226&lt;=0,0,CE226*MAX(1,IF(H226&gt;0,AQ226/H226,1))),IF(R226&gt;0,AR226/R226,0))/MAX(0.1,N(Parameter!$M$21)))</f>
        <v>0.0384615384615385</v>
      </c>
      <c r="AT226" s="62" t="n">
        <f aca="false">AS226*CC226</f>
        <v>5.96153846153846</v>
      </c>
      <c r="AU226" s="63" t="n">
        <f aca="false">IF(LEFT(Cockpit!$I$5,1)="A",H226,IF(CI226=1,(CL226+CJ226)/2,IF(LEFT(Cockpit!$I$5,1)="B",(CL226+AW226)/2,MAX((CL226+AW226)/2,H226))))</f>
        <v>119</v>
      </c>
      <c r="AV226" s="62" t="n">
        <f aca="false">AU226*G226</f>
        <v>916.3</v>
      </c>
      <c r="AW226" s="62" t="n">
        <f aca="false">ROUNDUP(CL226+MAX(CM226,2*(J226/IF(CH226&gt;0,CH226,MAX(0.1,N(Cockpit!$I$6)))-CL226)),0)</f>
        <v>137</v>
      </c>
      <c r="AX226" s="63" t="n">
        <f aca="false">IF(AT226&gt;0,J226/AT226,-1)</f>
        <v>21.6387096774194</v>
      </c>
      <c r="AY226" s="63" t="n">
        <f aca="false">IF(AND(OR(CG226="L1",CG226="L23",CG226="LIFT"),AT226&gt;0),SUMIFS($AT$7:$AT$1843,$CG$7:$CG$1843,CG226,$AX$7:$AX$1843,"&gt;"&amp;AX226)+SUMIFS($AT$7:$AT$1843,$CG$7:$CG$1843,CG226,$AX$7:$AX$1843,AX226,$BX$7:$BX$1843,"&lt;="&amp;BX226),"")</f>
        <v>2226.68864468864</v>
      </c>
      <c r="AZ226" s="70" t="n">
        <f aca="false">IF(AY226="",0,MAX(0,MIN(1,(IF(CG226="L1",Parameter!$H$5,IF(CG226="L23",Parameter!$H$6+Parameter!$H$7,Parameter!$H$5+Parameter!$H$6+Parameter!$H$7))-(AY226-AT226))/AT226)))</f>
        <v>1</v>
      </c>
      <c r="BA226" s="62" t="n">
        <f aca="false">IF(LEFT(Cockpit!$O$5,1)="A",H226,IF(Parameter!$E$30="MAX-Bestand",IF(CI226=1,CJ226,IF(LEFT(Cockpit!$O$5,1)="B",BG226,MAX(BG226,H226))),ROUNDUP(BE226,0)))</f>
        <v>72</v>
      </c>
      <c r="BB226" s="62" t="n">
        <f aca="false">IF(CA226=1,0,ROUNDUP(BA226/BZ226,0))</f>
        <v>1</v>
      </c>
      <c r="BC226" s="64" t="n">
        <f aca="false">IF(CR226&gt;0,CR226*MAX(1,BA226/X226),IF(CA226=1,IF(BA226&lt;=0,0,CE226*MAX(1,IF(H226&gt;0,BA226/H226,1))),IF(R226&gt;0,BB226/R226,0))/MAX(0.1,N(Parameter!$M$21)))</f>
        <v>0.0384615384615385</v>
      </c>
      <c r="BD226" s="62" t="n">
        <f aca="false">BC226*CC226</f>
        <v>5.96153846153846</v>
      </c>
      <c r="BE226" s="63" t="n">
        <f aca="false">IF(LEFT(Cockpit!$O$5,1)="A",H226,IF(CI226=1,(CL226+CJ226)/2,IF(LEFT(Cockpit!$O$5,1)="B",(CL226+BG226)/2,MAX((CL226+BG226)/2,H226))))</f>
        <v>72</v>
      </c>
      <c r="BF226" s="62" t="n">
        <f aca="false">BE226*G226</f>
        <v>554.4</v>
      </c>
      <c r="BG226" s="62" t="n">
        <f aca="false">ROUNDUP(CL226+MAX(CM226,2*(J226/IF(CH226&gt;0,CH226,MAX(0.1,N(Cockpit!$O$6)))-CL226)),0)</f>
        <v>137</v>
      </c>
      <c r="BH226" s="63" t="n">
        <f aca="false">IF(BD226&gt;0,J226/BD226,-1)</f>
        <v>21.6387096774194</v>
      </c>
      <c r="BI226" s="63" t="n">
        <f aca="false">IF(AND(OR(CG226="L1",CG226="L23",CG226="LIFT"),BD226&gt;0),SUMIFS($BD$7:$BD$1843,$CG$7:$CG$1843,CG226,$BH$7:$BH$1843,"&gt;"&amp;BH226)+SUMIFS($BD$7:$BD$1843,$CG$7:$CG$1843,CG226,$BH$7:$BH$1843,BH226,$BX$7:$BX$1843,"&lt;="&amp;BX226),"")</f>
        <v>2157.98489010989</v>
      </c>
      <c r="BJ226" s="70" t="n">
        <f aca="false">IF(BI226="",0,MAX(0,MIN(1,(IF(CG226="L1",Parameter!$H$5,IF(CG226="L23",Parameter!$H$6+Parameter!$H$7,Parameter!$H$5+Parameter!$H$6+Parameter!$H$7))-(BI226-BD226))/BD226)))</f>
        <v>1</v>
      </c>
      <c r="BK226" s="60" t="str">
        <f aca="false">IF(AJ226&lt;=0,"",IF(CG226="Aussen","Aussenlager",IF(CG226="-","Nicht im Lift",IF(AP226&gt;=1,"Lift",IF(AP226&lt;=0,"Aussenlager","teilweise")))))</f>
        <v>Lift</v>
      </c>
      <c r="BL226" s="60" t="str">
        <f aca="false">IF(AT226&lt;=0,"",IF(CG226="Aussen","Aussenlager",IF(CG226="-","Nicht im Lift",IF(AZ226&gt;=1,"Lift",IF(AZ226&lt;=0,"Aussenlager","teilweise")))))</f>
        <v>Lift</v>
      </c>
      <c r="BM226" s="60" t="str">
        <f aca="false">IF(BD226&lt;=0,"",IF(CG226="Aussen","Aussenlager",IF(CG226="-","Nicht im Lift",IF(BJ226&gt;=1,"Lift",IF(BJ226&lt;=0,"Aussenlager","teilweise")))))</f>
        <v>Lift</v>
      </c>
      <c r="BN226" s="60" t="str">
        <f aca="false">IF(A226="","",IF(BW226=1,"Neu; ","")&amp;IF(AND(BW226=0,BR226&lt;0),"negativer Bestand (Export "&amp;BR226&amp;"); ","")&amp;IF(J226&lt;=0,"Kein Verbrauch; ","")&amp;IF(CR226&gt;0,"Lift "&amp;W226&amp;" lt. Liftbericht (Fach "&amp;X226&amp;" Stk); ",IF(CB226=1,"Gebinde geschätzt ("&amp;T226&amp;"); ",IF(CA226=1,"Lose – Tablare geschätzt; ","")))&amp;IF(H226&gt;AW226,"Überbestand "&amp;ROUND(H226-AW226,0)&amp;" Stk / CHF "&amp;ROUND((H226-AW226)*G226,0)&amp;"; ","")&amp;IF(AND(CI226=1,CJ226&lt;CK226),"MAX &lt; MB+LG; ","")&amp;IF(AND(CQ226&gt;0,CP226*10&gt;CQ226),"zu hoch für Tablar; ","")&amp;IF(AND(BW226=0,OR(CI226=1,AB226&lt;&gt;"",U226&lt;&gt;"",V226&lt;&gt;"",AC226&lt;&gt;"")),"manuell übersteuert; ","")&amp;IF(AND(CA226=0,R226=0),"Gebinde unbekannt / Stellmass fehlt; ","")&amp;IF(AND(CA226=0,N(V226)&lt;=0,N(Q226)&lt;=0),"Menge pro Gebinde fehlt (Ist = 1 Gebinde); ","")&amp;BV226)</f>
        <v/>
      </c>
      <c r="BO226" s="60"/>
      <c r="BP226" s="60"/>
      <c r="BQ226" s="67"/>
      <c r="BR226" s="62" t="n">
        <v>83</v>
      </c>
      <c r="BS226" s="62" t="n">
        <v>36</v>
      </c>
      <c r="BT226" s="61" t="n">
        <v>638.739999999999</v>
      </c>
      <c r="BU226" s="62" t="n">
        <v>129</v>
      </c>
      <c r="BV226" s="60"/>
      <c r="BW226" s="65" t="n">
        <v>0</v>
      </c>
      <c r="BX226" s="65" t="n">
        <v>226</v>
      </c>
      <c r="BY226" s="60" t="str">
        <f aca="false">IF(U226&lt;&gt;"",UPPER(TRIM(U226)),IF(CB226=1,UPPER(VLOOKUP(T226,Parameter!$I$27:$K$29,2,0)),IF(P226="","LOSE",P226)))</f>
        <v>S51</v>
      </c>
      <c r="BZ226" s="62" t="n">
        <f aca="false">IF(BY226="LOSE",1,IF(N(V226)&gt;0,V226,IF(CB226=1,MAX(1,N(VLOOKUP(T226,Parameter!$I$27:$K$29,3,0)),H226,N(N226)),IF(N(Q226)&gt;0,Q226,MAX(1,H226)))))</f>
        <v>131</v>
      </c>
      <c r="CA226" s="65" t="n">
        <f aca="false">IF(BY226="LOSE",1,0)</f>
        <v>0</v>
      </c>
      <c r="CB226" s="65" t="n">
        <f aca="false">IF(AND(U226="",OR(P226="",P226="LOSE"),T226&lt;&gt;"",N(S226)&lt;=0,ISNUMBER(MATCH(T226,Parameter!$I$27:$I$29,0))),1,0)</f>
        <v>0</v>
      </c>
      <c r="CC226" s="65" t="n">
        <f aca="false">IF(CR226&gt;0,INDEX(Parameter!$H$5:$H$7,W226)/INDEX(Parameter!$E$5:$E$7,W226),IF(AND(CA226=0,N(IFERROR(VLOOKUP(BY226,'Gebinde-Kategorie'!$A$5:$N$45,14,0),0))&gt;0),VLOOKUP(BY226,'Gebinde-Kategorie'!$A$5:$N$45,14,0)*10+Parameter!$M$23,Parameter!$M$24))</f>
        <v>155</v>
      </c>
      <c r="CD226" s="60" t="str">
        <f aca="false">IF(AND(Parameter!$B$19="Ja",E226&lt;&gt;"",ISNUMBER(MATCH(E226,Parameter!$I$35:$I$52,0))),VLOOKUP(E226,Parameter!$I$35:$J$52,2,0),IFERROR(VLOOKUP(D226,Parameter!$A$35:$C$64,2,0),"Nein"))</f>
        <v>2+3</v>
      </c>
      <c r="CE226" s="64" t="n">
        <f aca="false">IF(CA226=0,0,IF(N(S226)&gt;0,S226,IFERROR(VLOOKUP(D226,Parameter!$A$35:$C$64,3,0)+0,0)))</f>
        <v>0</v>
      </c>
      <c r="CF226" s="60" t="n">
        <f aca="false">IF(AB226&lt;&gt;"",AB226,AA226)</f>
        <v>3</v>
      </c>
      <c r="CG226" s="60" t="str">
        <f aca="false">IF(OR(CF226=1,CF226=2,CF226=3),IF(Parameter!$E$27="Ja","LIFT",IF(CF226=1,"L1","L23")),IF(CF226="Aussen","Aussen","-"))</f>
        <v>LIFT</v>
      </c>
      <c r="CH226" s="71" t="n">
        <f aca="false">IF(N(AC226)&gt;0,AC226,0)</f>
        <v>0</v>
      </c>
      <c r="CI226" s="65" t="n">
        <f aca="false">IF(ISNUMBER(AF226),1,0)</f>
        <v>0</v>
      </c>
      <c r="CJ226" s="62" t="n">
        <f aca="false">N(AF226)</f>
        <v>0</v>
      </c>
      <c r="CK226" s="62" t="n">
        <f aca="false">N(M226)+N(N226)</f>
        <v>137</v>
      </c>
      <c r="CL226" s="62" t="n">
        <f aca="false">N(M226)</f>
        <v>7</v>
      </c>
      <c r="CM226" s="62" t="n">
        <f aca="false">N(N226)</f>
        <v>130</v>
      </c>
      <c r="CN226" s="62" t="n">
        <f aca="false">ROUNDUP(H226/BZ226,0)</f>
        <v>1</v>
      </c>
      <c r="CO226" s="62" t="n">
        <f aca="false">ROUNDUP(CJ226/BZ226,0)</f>
        <v>0</v>
      </c>
      <c r="CP226" s="65" t="n">
        <f aca="false">IF(CA226=1,0,IFERROR(VLOOKUP(BY226,'Gebinde-Kategorie'!$A$5:$N$45,5,0)+0,0))</f>
        <v>11</v>
      </c>
      <c r="CQ226" s="65" t="n">
        <f aca="false">IFERROR(IF(OR(CF226=1,CF226=2,CF226=3),N(INDEX(Parameter!$I$5:$I$7,CF226)),0),0)</f>
        <v>0</v>
      </c>
      <c r="CR226" s="64" t="n">
        <f aca="false">IF(AND(Parameter!$B$21="Ja",ISNUMBER(W226),N(X226)&gt;0),IFERROR(N(INDEX(Parameter!$L$5:$L$7,W226))*INDEX(Parameter!$E$5:$E$7,W226)*X226/SUMIFS($X$7:$X$1843,$W$7:$W$1843,W226),0),0)</f>
        <v>0</v>
      </c>
      <c r="CS226" s="62" t="n">
        <f aca="false">IF(AND(OR(CG226="L1",CG226="L23",CG226="LIFT"),H226&gt;0),CC226*IF(CR226&gt;0,CR226*MAX(1,H226/X226),IF(CA226=1,CE226,IF(R226&gt;0,CN226/R226,0))/MAX(0.1,N(Parameter!$M$21))),"")</f>
        <v>5.96153846153846</v>
      </c>
      <c r="CT226" s="64" t="n">
        <f aca="false">IF(CS226="","",J226/H226)</f>
        <v>1.08403361344538</v>
      </c>
      <c r="CU226" s="62" t="n">
        <f aca="false">IF(CS226="","",H226*G226)</f>
        <v>916.3</v>
      </c>
      <c r="CV226" s="63" t="n">
        <f aca="false">IF(CS226="","",(CL226+ROUNDUP(CL226+MAX(CM226,2*(J226/MAX(0.1,N(Einkauf!$C$6))-CL226)),0))/2)</f>
        <v>72</v>
      </c>
      <c r="CW226" s="62" t="n">
        <f aca="false">IF(CS226="","",MAX(0,H226-CV226)*G226)</f>
        <v>361.9</v>
      </c>
      <c r="CX226" s="62" t="n">
        <f aca="false">IF(CS226="","",CS226*MAX(0,1-CV226/H226))</f>
        <v>2.35455720749838</v>
      </c>
      <c r="CY226" s="64" t="n">
        <f aca="false">IF(CS226="","",PERCENTRANK($CS$7:$CS$1843,CS226)+PERCENTRANK($CU$7:$CU$1843,CU226)+1-PERCENTRANK($CT$7:$CT$1843,CT226))</f>
        <v>1.305</v>
      </c>
      <c r="CZ226" s="72" t="n">
        <f aca="false">IF(CS226="","",CHOOSE(MATCH(Einkauf!$C$5,Parameter!$G$23:$G$27,0),CY226,CS226,CU226,-CT226,CW226)+ROW()/1000000000)</f>
        <v>1.305000226</v>
      </c>
    </row>
    <row r="227" customFormat="false" ht="15" hidden="false" customHeight="false" outlineLevel="0" collapsed="false">
      <c r="A227" s="60" t="s">
        <v>687</v>
      </c>
      <c r="B227" s="60" t="s">
        <v>688</v>
      </c>
      <c r="C227" s="60" t="s">
        <v>206</v>
      </c>
      <c r="D227" s="60" t="s">
        <v>215</v>
      </c>
      <c r="E227" s="60" t="s">
        <v>412</v>
      </c>
      <c r="F227" s="60" t="s">
        <v>260</v>
      </c>
      <c r="G227" s="61" t="n">
        <v>245.45</v>
      </c>
      <c r="H227" s="62" t="n">
        <f aca="false">MAX(0,IF(AND(Parameter!$B$21="Ja",ISNUMBER(Y227)),Y227,IF(Parameter!$B$20="Jahresanfang 2025 + Export",BS227+BR227,BR227)))</f>
        <v>4</v>
      </c>
      <c r="I227" s="62" t="n">
        <f aca="false">H227*G227</f>
        <v>981.8</v>
      </c>
      <c r="J227" s="62" t="n">
        <f aca="false">BU227*Parameter!$B$18</f>
        <v>20</v>
      </c>
      <c r="K227" s="63" t="n">
        <v>1</v>
      </c>
      <c r="L227" s="64" t="n">
        <v>20</v>
      </c>
      <c r="M227" s="62" t="n">
        <v>1</v>
      </c>
      <c r="N227" s="62" t="n">
        <v>2</v>
      </c>
      <c r="O227" s="65" t="n">
        <v>14</v>
      </c>
      <c r="P227" s="60" t="s">
        <v>210</v>
      </c>
      <c r="Q227" s="62"/>
      <c r="R227" s="65" t="n">
        <f aca="false">IF(CA227=1,0,IFERROR(VLOOKUP(BY227,'Gebinde-Kategorie'!$A$5:$N$45,13,0)+0,0))</f>
        <v>4</v>
      </c>
      <c r="S227" s="66"/>
      <c r="T227" s="67" t="s">
        <v>231</v>
      </c>
      <c r="U227" s="67"/>
      <c r="V227" s="67"/>
      <c r="W227" s="60"/>
      <c r="X227" s="62"/>
      <c r="Y227" s="62"/>
      <c r="Z227" s="60"/>
      <c r="AA227" s="60" t="str">
        <f aca="false">IF(A227="","",IF(AND(Parameter!$B$21="Ja",ISNUMBER(W227)),W227,IF(AND(Parameter!$E$27="Ja",ISNUMBER(Z227),CD227&lt;&gt;"Nein"),Z227,IF(CD227="2+3",IF(ISNUMBER(SEARCH("grosser Artikel",BV227)),2,IFERROR(VLOOKUP(BY227,Parameter!$F$35:$G$64,2,0),2)),IF(OR(CD227="Nein",CD227=""),"-",CD227)))))</f>
        <v>-</v>
      </c>
      <c r="AB227" s="67"/>
      <c r="AC227" s="68"/>
      <c r="AD227" s="62" t="n">
        <f aca="false">AW227</f>
        <v>13</v>
      </c>
      <c r="AE227" s="62" t="n">
        <f aca="false">MAX(AW227,H227)</f>
        <v>13</v>
      </c>
      <c r="AF227" s="69"/>
      <c r="AG227" s="62" t="n">
        <f aca="false">IF(LEFT(Cockpit!$C$5,1)="A",H227,IF(Parameter!$E$30="MAX-Bestand",IF(CI227=1,CJ227,IF(LEFT(Cockpit!$C$5,1)="B",AM227,MAX(AM227,H227))),ROUNDUP(AK227,0)))</f>
        <v>4</v>
      </c>
      <c r="AH227" s="62" t="n">
        <f aca="false">IF(CA227=1,0,ROUNDUP(AG227/BZ227,0))</f>
        <v>1</v>
      </c>
      <c r="AI227" s="64" t="n">
        <f aca="false">IF(CR227&gt;0,CR227*MAX(1,AG227/X227),IF(CA227=1,IF(AG227&lt;=0,0,CE227*MAX(1,IF(H227&gt;0,AG227/H227,1))),IF(R227&gt;0,AH227/R227,0))/MAX(0.1,N(Parameter!$M$21)))</f>
        <v>0.25</v>
      </c>
      <c r="AJ227" s="62" t="n">
        <f aca="false">AI227*CC227</f>
        <v>58.75</v>
      </c>
      <c r="AK227" s="63" t="n">
        <f aca="false">IF(LEFT(Cockpit!$C$5,1)="A",H227,IF(CI227=1,(CL227+CJ227)/2,IF(LEFT(Cockpit!$C$5,1)="B",(CL227+AM227)/2,MAX((CL227+AM227)/2,H227))))</f>
        <v>4</v>
      </c>
      <c r="AL227" s="62" t="n">
        <f aca="false">AK227*G227</f>
        <v>981.8</v>
      </c>
      <c r="AM227" s="62" t="n">
        <f aca="false">ROUNDUP(CL227+MAX(CM227,2*(J227/IF(CH227&gt;0,CH227,MAX(0.1,N(Cockpit!$C$6)))-CL227)),0)</f>
        <v>13</v>
      </c>
      <c r="AN227" s="63" t="n">
        <f aca="false">IF(AJ227&gt;0,J227/AJ227,-1)</f>
        <v>0.340425531914894</v>
      </c>
      <c r="AO227" s="63" t="str">
        <f aca="false">IF(AND(OR(CG227="L1",CG227="L23",CG227="LIFT"),AJ227&gt;0),SUMIFS($AJ$7:$AJ$1843,$CG$7:$CG$1843,CG227,$AN$7:$AN$1843,"&gt;"&amp;AN227)+SUMIFS($AJ$7:$AJ$1843,$CG$7:$CG$1843,CG227,$AN$7:$AN$1843,AN227,$BX$7:$BX$1843,"&lt;="&amp;BX227),"")</f>
        <v/>
      </c>
      <c r="AP227" s="70" t="n">
        <f aca="false">IF(AO227="",0,MAX(0,MIN(1,(IF(CG227="L1",Parameter!$H$5,IF(CG227="L23",Parameter!$H$6+Parameter!$H$7,Parameter!$H$5+Parameter!$H$6+Parameter!$H$7))-(AO227-AJ227))/AJ227)))</f>
        <v>0</v>
      </c>
      <c r="AQ227" s="62" t="n">
        <f aca="false">IF(LEFT(Cockpit!$I$5,1)="A",H227,IF(Parameter!$E$30="MAX-Bestand",IF(CI227=1,CJ227,IF(LEFT(Cockpit!$I$5,1)="B",AW227,MAX(AW227,H227))),ROUNDUP(AU227,0)))</f>
        <v>7</v>
      </c>
      <c r="AR227" s="62" t="n">
        <f aca="false">IF(CA227=1,0,ROUNDUP(AQ227/BZ227,0))</f>
        <v>2</v>
      </c>
      <c r="AS227" s="64" t="n">
        <f aca="false">IF(CR227&gt;0,CR227*MAX(1,AQ227/X227),IF(CA227=1,IF(AQ227&lt;=0,0,CE227*MAX(1,IF(H227&gt;0,AQ227/H227,1))),IF(R227&gt;0,AR227/R227,0))/MAX(0.1,N(Parameter!$M$21)))</f>
        <v>0.5</v>
      </c>
      <c r="AT227" s="62" t="n">
        <f aca="false">AS227*CC227</f>
        <v>117.5</v>
      </c>
      <c r="AU227" s="63" t="n">
        <f aca="false">IF(LEFT(Cockpit!$I$5,1)="A",H227,IF(CI227=1,(CL227+CJ227)/2,IF(LEFT(Cockpit!$I$5,1)="B",(CL227+AW227)/2,MAX((CL227+AW227)/2,H227))))</f>
        <v>7</v>
      </c>
      <c r="AV227" s="62" t="n">
        <f aca="false">AU227*G227</f>
        <v>1718.15</v>
      </c>
      <c r="AW227" s="62" t="n">
        <f aca="false">ROUNDUP(CL227+MAX(CM227,2*(J227/IF(CH227&gt;0,CH227,MAX(0.1,N(Cockpit!$I$6)))-CL227)),0)</f>
        <v>13</v>
      </c>
      <c r="AX227" s="63" t="n">
        <f aca="false">IF(AT227&gt;0,J227/AT227,-1)</f>
        <v>0.170212765957447</v>
      </c>
      <c r="AY227" s="63" t="str">
        <f aca="false">IF(AND(OR(CG227="L1",CG227="L23",CG227="LIFT"),AT227&gt;0),SUMIFS($AT$7:$AT$1843,$CG$7:$CG$1843,CG227,$AX$7:$AX$1843,"&gt;"&amp;AX227)+SUMIFS($AT$7:$AT$1843,$CG$7:$CG$1843,CG227,$AX$7:$AX$1843,AX227,$BX$7:$BX$1843,"&lt;="&amp;BX227),"")</f>
        <v/>
      </c>
      <c r="AZ227" s="70" t="n">
        <f aca="false">IF(AY227="",0,MAX(0,MIN(1,(IF(CG227="L1",Parameter!$H$5,IF(CG227="L23",Parameter!$H$6+Parameter!$H$7,Parameter!$H$5+Parameter!$H$6+Parameter!$H$7))-(AY227-AT227))/AT227)))</f>
        <v>0</v>
      </c>
      <c r="BA227" s="62" t="n">
        <f aca="false">IF(LEFT(Cockpit!$O$5,1)="A",H227,IF(Parameter!$E$30="MAX-Bestand",IF(CI227=1,CJ227,IF(LEFT(Cockpit!$O$5,1)="B",BG227,MAX(BG227,H227))),ROUNDUP(BE227,0)))</f>
        <v>5</v>
      </c>
      <c r="BB227" s="62" t="n">
        <f aca="false">IF(CA227=1,0,ROUNDUP(BA227/BZ227,0))</f>
        <v>2</v>
      </c>
      <c r="BC227" s="64" t="n">
        <f aca="false">IF(CR227&gt;0,CR227*MAX(1,BA227/X227),IF(CA227=1,IF(BA227&lt;=0,0,CE227*MAX(1,IF(H227&gt;0,BA227/H227,1))),IF(R227&gt;0,BB227/R227,0))/MAX(0.1,N(Parameter!$M$21)))</f>
        <v>0.5</v>
      </c>
      <c r="BD227" s="62" t="n">
        <f aca="false">BC227*CC227</f>
        <v>117.5</v>
      </c>
      <c r="BE227" s="63" t="n">
        <f aca="false">IF(LEFT(Cockpit!$O$5,1)="A",H227,IF(CI227=1,(CL227+CJ227)/2,IF(LEFT(Cockpit!$O$5,1)="B",(CL227+BG227)/2,MAX((CL227+BG227)/2,H227))))</f>
        <v>5</v>
      </c>
      <c r="BF227" s="62" t="n">
        <f aca="false">BE227*G227</f>
        <v>1227.25</v>
      </c>
      <c r="BG227" s="62" t="n">
        <f aca="false">ROUNDUP(CL227+MAX(CM227,2*(J227/IF(CH227&gt;0,CH227,MAX(0.1,N(Cockpit!$O$6)))-CL227)),0)</f>
        <v>9</v>
      </c>
      <c r="BH227" s="63" t="n">
        <f aca="false">IF(BD227&gt;0,J227/BD227,-1)</f>
        <v>0.170212765957447</v>
      </c>
      <c r="BI227" s="63" t="str">
        <f aca="false">IF(AND(OR(CG227="L1",CG227="L23",CG227="LIFT"),BD227&gt;0),SUMIFS($BD$7:$BD$1843,$CG$7:$CG$1843,CG227,$BH$7:$BH$1843,"&gt;"&amp;BH227)+SUMIFS($BD$7:$BD$1843,$CG$7:$CG$1843,CG227,$BH$7:$BH$1843,BH227,$BX$7:$BX$1843,"&lt;="&amp;BX227),"")</f>
        <v/>
      </c>
      <c r="BJ227" s="70" t="n">
        <f aca="false">IF(BI227="",0,MAX(0,MIN(1,(IF(CG227="L1",Parameter!$H$5,IF(CG227="L23",Parameter!$H$6+Parameter!$H$7,Parameter!$H$5+Parameter!$H$6+Parameter!$H$7))-(BI227-BD227))/BD227)))</f>
        <v>0</v>
      </c>
      <c r="BK227" s="60" t="str">
        <f aca="false">IF(AJ227&lt;=0,"",IF(CG227="Aussen","Aussenlager",IF(CG227="-","Nicht im Lift",IF(AP227&gt;=1,"Lift",IF(AP227&lt;=0,"Aussenlager","teilweise")))))</f>
        <v>Nicht im Lift</v>
      </c>
      <c r="BL227" s="60" t="str">
        <f aca="false">IF(AT227&lt;=0,"",IF(CG227="Aussen","Aussenlager",IF(CG227="-","Nicht im Lift",IF(AZ227&gt;=1,"Lift",IF(AZ227&lt;=0,"Aussenlager","teilweise")))))</f>
        <v>Nicht im Lift</v>
      </c>
      <c r="BM227" s="60" t="str">
        <f aca="false">IF(BD227&lt;=0,"",IF(CG227="Aussen","Aussenlager",IF(CG227="-","Nicht im Lift",IF(BJ227&gt;=1,"Lift",IF(BJ227&lt;=0,"Aussenlager","teilweise")))))</f>
        <v>Nicht im Lift</v>
      </c>
      <c r="BN227" s="60" t="str">
        <f aca="false">IF(A227="","",IF(BW227=1,"Neu; ","")&amp;IF(AND(BW227=0,BR227&lt;0),"negativer Bestand (Export "&amp;BR227&amp;"); ","")&amp;IF(J227&lt;=0,"Kein Verbrauch; ","")&amp;IF(CR227&gt;0,"Lift "&amp;W227&amp;" lt. Liftbericht (Fach "&amp;X227&amp;" Stk); ",IF(CB227=1,"Gebinde geschätzt ("&amp;T227&amp;"); ",IF(CA227=1,"Lose – Tablare geschätzt; ","")))&amp;IF(H227&gt;AW227,"Überbestand "&amp;ROUND(H227-AW227,0)&amp;" Stk / CHF "&amp;ROUND((H227-AW227)*G227,0)&amp;"; ","")&amp;IF(AND(CI227=1,CJ227&lt;CK227),"MAX &lt; MB+LG; ","")&amp;IF(AND(CQ227&gt;0,CP227*10&gt;CQ227),"zu hoch für Tablar; ","")&amp;IF(AND(BW227=0,OR(CI227=1,AB227&lt;&gt;"",U227&lt;&gt;"",V227&lt;&gt;"",AC227&lt;&gt;"")),"manuell übersteuert; ","")&amp;IF(AND(CA227=0,R227=0),"Gebinde unbekannt / Stellmass fehlt; ","")&amp;IF(AND(CA227=0,N(V227)&lt;=0,N(Q227)&lt;=0),"Menge pro Gebinde fehlt (Ist = 1 Gebinde); ","")&amp;BV227)</f>
        <v>Gebinde geschätzt (Gross); Menge pro Gebinde fehlt (Ist = 1 Gebinde); </v>
      </c>
      <c r="BO227" s="60"/>
      <c r="BP227" s="60"/>
      <c r="BQ227" s="67"/>
      <c r="BR227" s="62" t="n">
        <v>2</v>
      </c>
      <c r="BS227" s="62" t="n">
        <v>2</v>
      </c>
      <c r="BT227" s="61" t="n">
        <v>636.5</v>
      </c>
      <c r="BU227" s="62" t="n">
        <v>20</v>
      </c>
      <c r="BV227" s="60"/>
      <c r="BW227" s="65" t="n">
        <v>0</v>
      </c>
      <c r="BX227" s="65" t="n">
        <v>227</v>
      </c>
      <c r="BY227" s="60" t="str">
        <f aca="false">IF(U227&lt;&gt;"",UPPER(TRIM(U227)),IF(CB227=1,UPPER(VLOOKUP(T227,Parameter!$I$27:$K$29,2,0)),IF(P227="","LOSE",P227)))</f>
        <v>S81</v>
      </c>
      <c r="BZ227" s="62" t="n">
        <f aca="false">IF(BY227="LOSE",1,IF(N(V227)&gt;0,V227,IF(CB227=1,MAX(1,N(VLOOKUP(T227,Parameter!$I$27:$K$29,3,0)),H227,N(N227)),IF(N(Q227)&gt;0,Q227,MAX(1,H227)))))</f>
        <v>4</v>
      </c>
      <c r="CA227" s="65" t="n">
        <f aca="false">IF(BY227="LOSE",1,0)</f>
        <v>0</v>
      </c>
      <c r="CB227" s="65" t="n">
        <f aca="false">IF(AND(U227="",OR(P227="",P227="LOSE"),T227&lt;&gt;"",N(S227)&lt;=0,ISNUMBER(MATCH(T227,Parameter!$I$27:$I$29,0))),1,0)</f>
        <v>1</v>
      </c>
      <c r="CC227" s="65" t="n">
        <f aca="false">IF(CR227&gt;0,INDEX(Parameter!$H$5:$H$7,W227)/INDEX(Parameter!$E$5:$E$7,W227),IF(AND(CA227=0,N(IFERROR(VLOOKUP(BY227,'Gebinde-Kategorie'!$A$5:$N$45,14,0),0))&gt;0),VLOOKUP(BY227,'Gebinde-Kategorie'!$A$5:$N$45,14,0)*10+Parameter!$M$23,Parameter!$M$24))</f>
        <v>235</v>
      </c>
      <c r="CD227" s="60" t="str">
        <f aca="false">IF(AND(Parameter!$B$19="Ja",E227&lt;&gt;"",ISNUMBER(MATCH(E227,Parameter!$I$35:$I$52,0))),VLOOKUP(E227,Parameter!$I$35:$J$52,2,0),IFERROR(VLOOKUP(D227,Parameter!$A$35:$C$64,2,0),"Nein"))</f>
        <v>Nein</v>
      </c>
      <c r="CE227" s="64" t="n">
        <f aca="false">IF(CA227=0,0,IF(N(S227)&gt;0,S227,IFERROR(VLOOKUP(D227,Parameter!$A$35:$C$64,3,0)+0,0)))</f>
        <v>0</v>
      </c>
      <c r="CF227" s="60" t="str">
        <f aca="false">IF(AB227&lt;&gt;"",AB227,AA227)</f>
        <v>-</v>
      </c>
      <c r="CG227" s="60" t="str">
        <f aca="false">IF(OR(CF227=1,CF227=2,CF227=3),IF(Parameter!$E$27="Ja","LIFT",IF(CF227=1,"L1","L23")),IF(CF227="Aussen","Aussen","-"))</f>
        <v>-</v>
      </c>
      <c r="CH227" s="71" t="n">
        <f aca="false">IF(N(AC227)&gt;0,AC227,0)</f>
        <v>0</v>
      </c>
      <c r="CI227" s="65" t="n">
        <f aca="false">IF(ISNUMBER(AF227),1,0)</f>
        <v>0</v>
      </c>
      <c r="CJ227" s="62" t="n">
        <f aca="false">N(AF227)</f>
        <v>0</v>
      </c>
      <c r="CK227" s="62" t="n">
        <f aca="false">N(M227)+N(N227)</f>
        <v>3</v>
      </c>
      <c r="CL227" s="62" t="n">
        <f aca="false">N(M227)</f>
        <v>1</v>
      </c>
      <c r="CM227" s="62" t="n">
        <f aca="false">N(N227)</f>
        <v>2</v>
      </c>
      <c r="CN227" s="62" t="n">
        <f aca="false">ROUNDUP(H227/BZ227,0)</f>
        <v>1</v>
      </c>
      <c r="CO227" s="62" t="n">
        <f aca="false">ROUNDUP(CJ227/BZ227,0)</f>
        <v>0</v>
      </c>
      <c r="CP227" s="65" t="n">
        <f aca="false">IF(CA227=1,0,IFERROR(VLOOKUP(BY227,'Gebinde-Kategorie'!$A$5:$N$45,5,0)+0,0))</f>
        <v>20</v>
      </c>
      <c r="CQ227" s="65" t="n">
        <f aca="false">IFERROR(IF(OR(CF227=1,CF227=2,CF227=3),N(INDEX(Parameter!$I$5:$I$7,CF227)),0),0)</f>
        <v>0</v>
      </c>
      <c r="CR227" s="64" t="n">
        <f aca="false">IF(AND(Parameter!$B$21="Ja",ISNUMBER(W227),N(X227)&gt;0),IFERROR(N(INDEX(Parameter!$L$5:$L$7,W227))*INDEX(Parameter!$E$5:$E$7,W227)*X227/SUMIFS($X$7:$X$1843,$W$7:$W$1843,W227),0),0)</f>
        <v>0</v>
      </c>
      <c r="CS227" s="62" t="str">
        <f aca="false">IF(AND(OR(CG227="L1",CG227="L23",CG227="LIFT"),H227&gt;0),CC227*IF(CR227&gt;0,CR227*MAX(1,H227/X227),IF(CA227=1,CE227,IF(R227&gt;0,CN227/R227,0))/MAX(0.1,N(Parameter!$M$21))),"")</f>
        <v/>
      </c>
      <c r="CT227" s="64" t="str">
        <f aca="false">IF(CS227="","",J227/H227)</f>
        <v/>
      </c>
      <c r="CU227" s="62" t="str">
        <f aca="false">IF(CS227="","",H227*G227)</f>
        <v/>
      </c>
      <c r="CV227" s="63" t="str">
        <f aca="false">IF(CS227="","",(CL227+ROUNDUP(CL227+MAX(CM227,2*(J227/MAX(0.1,N(Einkauf!$C$6))-CL227)),0))/2)</f>
        <v/>
      </c>
      <c r="CW227" s="62" t="str">
        <f aca="false">IF(CS227="","",MAX(0,H227-CV227)*G227)</f>
        <v/>
      </c>
      <c r="CX227" s="62" t="str">
        <f aca="false">IF(CS227="","",CS227*MAX(0,1-CV227/H227))</f>
        <v/>
      </c>
      <c r="CY227" s="64" t="str">
        <f aca="false">IF(CS227="","",PERCENTRANK($CS$7:$CS$1843,CS227)+PERCENTRANK($CU$7:$CU$1843,CU227)+1-PERCENTRANK($CT$7:$CT$1843,CT227))</f>
        <v/>
      </c>
      <c r="CZ227" s="72" t="str">
        <f aca="false">IF(CS227="","",CHOOSE(MATCH(Einkauf!$C$5,Parameter!$G$23:$G$27,0),CY227,CS227,CU227,-CT227,CW227)+ROW()/1000000000)</f>
        <v/>
      </c>
    </row>
    <row r="228" customFormat="false" ht="15" hidden="false" customHeight="false" outlineLevel="0" collapsed="false">
      <c r="A228" s="60" t="s">
        <v>689</v>
      </c>
      <c r="B228" s="60" t="s">
        <v>588</v>
      </c>
      <c r="C228" s="60" t="s">
        <v>206</v>
      </c>
      <c r="D228" s="60" t="s">
        <v>226</v>
      </c>
      <c r="E228" s="60"/>
      <c r="F228" s="60" t="s">
        <v>260</v>
      </c>
      <c r="G228" s="61" t="n">
        <v>15.33</v>
      </c>
      <c r="H228" s="62" t="n">
        <f aca="false">MAX(0,IF(AND(Parameter!$B$21="Ja",ISNUMBER(Y228)),Y228,IF(Parameter!$B$20="Jahresanfang 2025 + Export",BS228+BR228,BR228)))</f>
        <v>40</v>
      </c>
      <c r="I228" s="62" t="n">
        <f aca="false">H228*G228</f>
        <v>613.2</v>
      </c>
      <c r="J228" s="62" t="n">
        <f aca="false">BU228*Parameter!$B$18</f>
        <v>0</v>
      </c>
      <c r="K228" s="63" t="n">
        <v>0</v>
      </c>
      <c r="L228" s="64" t="n">
        <v>0</v>
      </c>
      <c r="M228" s="62" t="n">
        <v>0</v>
      </c>
      <c r="N228" s="62" t="n">
        <v>1</v>
      </c>
      <c r="O228" s="65" t="n">
        <v>9999</v>
      </c>
      <c r="P228" s="60" t="s">
        <v>210</v>
      </c>
      <c r="Q228" s="62"/>
      <c r="R228" s="65" t="n">
        <f aca="false">IF(CA228=1,0,IFERROR(VLOOKUP(BY228,'Gebinde-Kategorie'!$A$5:$N$45,13,0)+0,0))</f>
        <v>26</v>
      </c>
      <c r="S228" s="66"/>
      <c r="T228" s="67" t="s">
        <v>317</v>
      </c>
      <c r="U228" s="67"/>
      <c r="V228" s="67"/>
      <c r="W228" s="60"/>
      <c r="X228" s="62"/>
      <c r="Y228" s="62"/>
      <c r="Z228" s="60" t="n">
        <v>3</v>
      </c>
      <c r="AA228" s="60" t="n">
        <f aca="false">IF(A228="","",IF(AND(Parameter!$B$21="Ja",ISNUMBER(W228)),W228,IF(AND(Parameter!$E$27="Ja",ISNUMBER(Z228),CD228&lt;&gt;"Nein"),Z228,IF(CD228="2+3",IF(ISNUMBER(SEARCH("grosser Artikel",BV228)),2,IFERROR(VLOOKUP(BY228,Parameter!$F$35:$G$64,2,0),2)),IF(OR(CD228="Nein",CD228=""),"-",CD228)))))</f>
        <v>3</v>
      </c>
      <c r="AB228" s="67"/>
      <c r="AC228" s="68"/>
      <c r="AD228" s="62" t="n">
        <f aca="false">AW228</f>
        <v>1</v>
      </c>
      <c r="AE228" s="62" t="n">
        <f aca="false">MAX(AW228,H228)</f>
        <v>40</v>
      </c>
      <c r="AF228" s="69"/>
      <c r="AG228" s="62" t="n">
        <f aca="false">IF(LEFT(Cockpit!$C$5,1)="A",H228,IF(Parameter!$E$30="MAX-Bestand",IF(CI228=1,CJ228,IF(LEFT(Cockpit!$C$5,1)="B",AM228,MAX(AM228,H228))),ROUNDUP(AK228,0)))</f>
        <v>40</v>
      </c>
      <c r="AH228" s="62" t="n">
        <f aca="false">IF(CA228=1,0,ROUNDUP(AG228/BZ228,0))</f>
        <v>1</v>
      </c>
      <c r="AI228" s="64" t="n">
        <f aca="false">IF(CR228&gt;0,CR228*MAX(1,AG228/X228),IF(CA228=1,IF(AG228&lt;=0,0,CE228*MAX(1,IF(H228&gt;0,AG228/H228,1))),IF(R228&gt;0,AH228/R228,0))/MAX(0.1,N(Parameter!$M$21)))</f>
        <v>0.0384615384615385</v>
      </c>
      <c r="AJ228" s="62" t="n">
        <f aca="false">AI228*CC228</f>
        <v>5.96153846153846</v>
      </c>
      <c r="AK228" s="63" t="n">
        <f aca="false">IF(LEFT(Cockpit!$C$5,1)="A",H228,IF(CI228=1,(CL228+CJ228)/2,IF(LEFT(Cockpit!$C$5,1)="B",(CL228+AM228)/2,MAX((CL228+AM228)/2,H228))))</f>
        <v>40</v>
      </c>
      <c r="AL228" s="62" t="n">
        <f aca="false">AK228*G228</f>
        <v>613.2</v>
      </c>
      <c r="AM228" s="62" t="n">
        <f aca="false">ROUNDUP(CL228+MAX(CM228,2*(J228/IF(CH228&gt;0,CH228,MAX(0.1,N(Cockpit!$C$6)))-CL228)),0)</f>
        <v>1</v>
      </c>
      <c r="AN228" s="63" t="n">
        <f aca="false">IF(AJ228&gt;0,J228/AJ228,-1)</f>
        <v>0</v>
      </c>
      <c r="AO228" s="63" t="n">
        <f aca="false">IF(AND(OR(CG228="L1",CG228="L23",CG228="LIFT"),AJ228&gt;0),SUMIFS($AJ$7:$AJ$1843,$CG$7:$CG$1843,CG228,$AN$7:$AN$1843,"&gt;"&amp;AN228)+SUMIFS($AJ$7:$AJ$1843,$CG$7:$CG$1843,CG228,$AN$7:$AN$1843,AN228,$BX$7:$BX$1843,"&lt;="&amp;BX228),"")</f>
        <v>27621.3889044101</v>
      </c>
      <c r="AP228" s="70" t="n">
        <f aca="false">IF(AO228="",0,MAX(0,MIN(1,(IF(CG228="L1",Parameter!$H$5,IF(CG228="L23",Parameter!$H$6+Parameter!$H$7,Parameter!$H$5+Parameter!$H$6+Parameter!$H$7))-(AO228-AJ228))/AJ228)))</f>
        <v>1</v>
      </c>
      <c r="AQ228" s="62" t="n">
        <f aca="false">IF(LEFT(Cockpit!$I$5,1)="A",H228,IF(Parameter!$E$30="MAX-Bestand",IF(CI228=1,CJ228,IF(LEFT(Cockpit!$I$5,1)="B",AW228,MAX(AW228,H228))),ROUNDUP(AU228,0)))</f>
        <v>40</v>
      </c>
      <c r="AR228" s="62" t="n">
        <f aca="false">IF(CA228=1,0,ROUNDUP(AQ228/BZ228,0))</f>
        <v>1</v>
      </c>
      <c r="AS228" s="64" t="n">
        <f aca="false">IF(CR228&gt;0,CR228*MAX(1,AQ228/X228),IF(CA228=1,IF(AQ228&lt;=0,0,CE228*MAX(1,IF(H228&gt;0,AQ228/H228,1))),IF(R228&gt;0,AR228/R228,0))/MAX(0.1,N(Parameter!$M$21)))</f>
        <v>0.0384615384615385</v>
      </c>
      <c r="AT228" s="62" t="n">
        <f aca="false">AS228*CC228</f>
        <v>5.96153846153846</v>
      </c>
      <c r="AU228" s="63" t="n">
        <f aca="false">IF(LEFT(Cockpit!$I$5,1)="A",H228,IF(CI228=1,(CL228+CJ228)/2,IF(LEFT(Cockpit!$I$5,1)="B",(CL228+AW228)/2,MAX((CL228+AW228)/2,H228))))</f>
        <v>40</v>
      </c>
      <c r="AV228" s="62" t="n">
        <f aca="false">AU228*G228</f>
        <v>613.2</v>
      </c>
      <c r="AW228" s="62" t="n">
        <f aca="false">ROUNDUP(CL228+MAX(CM228,2*(J228/IF(CH228&gt;0,CH228,MAX(0.1,N(Cockpit!$I$6)))-CL228)),0)</f>
        <v>1</v>
      </c>
      <c r="AX228" s="63" t="n">
        <f aca="false">IF(AT228&gt;0,J228/AT228,-1)</f>
        <v>0</v>
      </c>
      <c r="AY228" s="63" t="n">
        <f aca="false">IF(AND(OR(CG228="L1",CG228="L23",CG228="LIFT"),AT228&gt;0),SUMIFS($AT$7:$AT$1843,$CG$7:$CG$1843,CG228,$AX$7:$AX$1843,"&gt;"&amp;AX228)+SUMIFS($AT$7:$AT$1843,$CG$7:$CG$1843,CG228,$AX$7:$AX$1843,AX228,$BX$7:$BX$1843,"&lt;="&amp;BX228),"")</f>
        <v>32974.5375457875</v>
      </c>
      <c r="AZ228" s="70" t="n">
        <f aca="false">IF(AY228="",0,MAX(0,MIN(1,(IF(CG228="L1",Parameter!$H$5,IF(CG228="L23",Parameter!$H$6+Parameter!$H$7,Parameter!$H$5+Parameter!$H$6+Parameter!$H$7))-(AY228-AT228))/AT228)))</f>
        <v>1</v>
      </c>
      <c r="BA228" s="62" t="n">
        <f aca="false">IF(LEFT(Cockpit!$O$5,1)="A",H228,IF(Parameter!$E$30="MAX-Bestand",IF(CI228=1,CJ228,IF(LEFT(Cockpit!$O$5,1)="B",BG228,MAX(BG228,H228))),ROUNDUP(BE228,0)))</f>
        <v>1</v>
      </c>
      <c r="BB228" s="62" t="n">
        <f aca="false">IF(CA228=1,0,ROUNDUP(BA228/BZ228,0))</f>
        <v>1</v>
      </c>
      <c r="BC228" s="64" t="n">
        <f aca="false">IF(CR228&gt;0,CR228*MAX(1,BA228/X228),IF(CA228=1,IF(BA228&lt;=0,0,CE228*MAX(1,IF(H228&gt;0,BA228/H228,1))),IF(R228&gt;0,BB228/R228,0))/MAX(0.1,N(Parameter!$M$21)))</f>
        <v>0.0384615384615385</v>
      </c>
      <c r="BD228" s="62" t="n">
        <f aca="false">BC228*CC228</f>
        <v>5.96153846153846</v>
      </c>
      <c r="BE228" s="63" t="n">
        <f aca="false">IF(LEFT(Cockpit!$O$5,1)="A",H228,IF(CI228=1,(CL228+CJ228)/2,IF(LEFT(Cockpit!$O$5,1)="B",(CL228+BG228)/2,MAX((CL228+BG228)/2,H228))))</f>
        <v>0.5</v>
      </c>
      <c r="BF228" s="62" t="n">
        <f aca="false">BE228*G228</f>
        <v>7.665</v>
      </c>
      <c r="BG228" s="62" t="n">
        <f aca="false">ROUNDUP(CL228+MAX(CM228,2*(J228/IF(CH228&gt;0,CH228,MAX(0.1,N(Cockpit!$O$6)))-CL228)),0)</f>
        <v>1</v>
      </c>
      <c r="BH228" s="63" t="n">
        <f aca="false">IF(BD228&gt;0,J228/BD228,-1)</f>
        <v>0</v>
      </c>
      <c r="BI228" s="63" t="n">
        <f aca="false">IF(AND(OR(CG228="L1",CG228="L23",CG228="LIFT"),BD228&gt;0),SUMIFS($BD$7:$BD$1843,$CG$7:$CG$1843,CG228,$BH$7:$BH$1843,"&gt;"&amp;BH228)+SUMIFS($BD$7:$BD$1843,$CG$7:$CG$1843,CG228,$BH$7:$BH$1843,BH228,$BX$7:$BX$1843,"&lt;="&amp;BX228),"")</f>
        <v>27129.3565685727</v>
      </c>
      <c r="BJ228" s="70" t="n">
        <f aca="false">IF(BI228="",0,MAX(0,MIN(1,(IF(CG228="L1",Parameter!$H$5,IF(CG228="L23",Parameter!$H$6+Parameter!$H$7,Parameter!$H$5+Parameter!$H$6+Parameter!$H$7))-(BI228-BD228))/BD228)))</f>
        <v>1</v>
      </c>
      <c r="BK228" s="60" t="str">
        <f aca="false">IF(AJ228&lt;=0,"",IF(CG228="Aussen","Aussenlager",IF(CG228="-","Nicht im Lift",IF(AP228&gt;=1,"Lift",IF(AP228&lt;=0,"Aussenlager","teilweise")))))</f>
        <v>Lift</v>
      </c>
      <c r="BL228" s="60" t="str">
        <f aca="false">IF(AT228&lt;=0,"",IF(CG228="Aussen","Aussenlager",IF(CG228="-","Nicht im Lift",IF(AZ228&gt;=1,"Lift",IF(AZ228&lt;=0,"Aussenlager","teilweise")))))</f>
        <v>Lift</v>
      </c>
      <c r="BM228" s="60" t="str">
        <f aca="false">IF(BD228&lt;=0,"",IF(CG228="Aussen","Aussenlager",IF(CG228="-","Nicht im Lift",IF(BJ228&gt;=1,"Lift",IF(BJ228&lt;=0,"Aussenlager","teilweise")))))</f>
        <v>Lift</v>
      </c>
      <c r="BN228" s="60" t="str">
        <f aca="false">IF(A228="","",IF(BW228=1,"Neu; ","")&amp;IF(AND(BW228=0,BR228&lt;0),"negativer Bestand (Export "&amp;BR228&amp;"); ","")&amp;IF(J228&lt;=0,"Kein Verbrauch; ","")&amp;IF(CR228&gt;0,"Lift "&amp;W228&amp;" lt. Liftbericht (Fach "&amp;X228&amp;" Stk); ",IF(CB228=1,"Gebinde geschätzt ("&amp;T228&amp;"); ",IF(CA228=1,"Lose – Tablare geschätzt; ","")))&amp;IF(H228&gt;AW228,"Überbestand "&amp;ROUND(H228-AW228,0)&amp;" Stk / CHF "&amp;ROUND((H228-AW228)*G228,0)&amp;"; ","")&amp;IF(AND(CI228=1,CJ228&lt;CK228),"MAX &lt; MB+LG; ","")&amp;IF(AND(CQ228&gt;0,CP228*10&gt;CQ228),"zu hoch für Tablar; ","")&amp;IF(AND(BW228=0,OR(CI228=1,AB228&lt;&gt;"",U228&lt;&gt;"",V228&lt;&gt;"",AC228&lt;&gt;"")),"manuell übersteuert; ","")&amp;IF(AND(CA228=0,R228=0),"Gebinde unbekannt / Stellmass fehlt; ","")&amp;IF(AND(CA228=0,N(V228)&lt;=0,N(Q228)&lt;=0),"Menge pro Gebinde fehlt (Ist = 1 Gebinde); ","")&amp;BV228)</f>
        <v>Kein Verbrauch; Gebinde geschätzt (Klein); Überbestand 39 Stk / CHF 598; Menge pro Gebinde fehlt (Ist = 1 Gebinde); </v>
      </c>
      <c r="BO228" s="60"/>
      <c r="BP228" s="60"/>
      <c r="BQ228" s="67"/>
      <c r="BR228" s="62" t="n">
        <v>40</v>
      </c>
      <c r="BS228" s="62" t="n">
        <v>0</v>
      </c>
      <c r="BT228" s="61" t="n">
        <v>613.2</v>
      </c>
      <c r="BU228" s="62" t="n">
        <v>0</v>
      </c>
      <c r="BV228" s="60"/>
      <c r="BW228" s="65" t="n">
        <v>0</v>
      </c>
      <c r="BX228" s="65" t="n">
        <v>228</v>
      </c>
      <c r="BY228" s="60" t="str">
        <f aca="false">IF(U228&lt;&gt;"",UPPER(TRIM(U228)),IF(CB228=1,UPPER(VLOOKUP(T228,Parameter!$I$27:$K$29,2,0)),IF(P228="","LOSE",P228)))</f>
        <v>S51</v>
      </c>
      <c r="BZ228" s="62" t="n">
        <f aca="false">IF(BY228="LOSE",1,IF(N(V228)&gt;0,V228,IF(CB228=1,MAX(1,N(VLOOKUP(T228,Parameter!$I$27:$K$29,3,0)),H228,N(N228)),IF(N(Q228)&gt;0,Q228,MAX(1,H228)))))</f>
        <v>40</v>
      </c>
      <c r="CA228" s="65" t="n">
        <f aca="false">IF(BY228="LOSE",1,0)</f>
        <v>0</v>
      </c>
      <c r="CB228" s="65" t="n">
        <f aca="false">IF(AND(U228="",OR(P228="",P228="LOSE"),T228&lt;&gt;"",N(S228)&lt;=0,ISNUMBER(MATCH(T228,Parameter!$I$27:$I$29,0))),1,0)</f>
        <v>1</v>
      </c>
      <c r="CC228" s="65" t="n">
        <f aca="false">IF(CR228&gt;0,INDEX(Parameter!$H$5:$H$7,W228)/INDEX(Parameter!$E$5:$E$7,W228),IF(AND(CA228=0,N(IFERROR(VLOOKUP(BY228,'Gebinde-Kategorie'!$A$5:$N$45,14,0),0))&gt;0),VLOOKUP(BY228,'Gebinde-Kategorie'!$A$5:$N$45,14,0)*10+Parameter!$M$23,Parameter!$M$24))</f>
        <v>155</v>
      </c>
      <c r="CD228" s="60" t="str">
        <f aca="false">IF(AND(Parameter!$B$19="Ja",E228&lt;&gt;"",ISNUMBER(MATCH(E228,Parameter!$I$35:$I$52,0))),VLOOKUP(E228,Parameter!$I$35:$J$52,2,0),IFERROR(VLOOKUP(D228,Parameter!$A$35:$C$64,2,0),"Nein"))</f>
        <v>2+3</v>
      </c>
      <c r="CE228" s="64" t="n">
        <f aca="false">IF(CA228=0,0,IF(N(S228)&gt;0,S228,IFERROR(VLOOKUP(D228,Parameter!$A$35:$C$64,3,0)+0,0)))</f>
        <v>0</v>
      </c>
      <c r="CF228" s="60" t="n">
        <f aca="false">IF(AB228&lt;&gt;"",AB228,AA228)</f>
        <v>3</v>
      </c>
      <c r="CG228" s="60" t="str">
        <f aca="false">IF(OR(CF228=1,CF228=2,CF228=3),IF(Parameter!$E$27="Ja","LIFT",IF(CF228=1,"L1","L23")),IF(CF228="Aussen","Aussen","-"))</f>
        <v>LIFT</v>
      </c>
      <c r="CH228" s="71" t="n">
        <f aca="false">IF(N(AC228)&gt;0,AC228,0)</f>
        <v>0</v>
      </c>
      <c r="CI228" s="65" t="n">
        <f aca="false">IF(ISNUMBER(AF228),1,0)</f>
        <v>0</v>
      </c>
      <c r="CJ228" s="62" t="n">
        <f aca="false">N(AF228)</f>
        <v>0</v>
      </c>
      <c r="CK228" s="62" t="n">
        <f aca="false">N(M228)+N(N228)</f>
        <v>1</v>
      </c>
      <c r="CL228" s="62" t="n">
        <f aca="false">N(M228)</f>
        <v>0</v>
      </c>
      <c r="CM228" s="62" t="n">
        <f aca="false">N(N228)</f>
        <v>1</v>
      </c>
      <c r="CN228" s="62" t="n">
        <f aca="false">ROUNDUP(H228/BZ228,0)</f>
        <v>1</v>
      </c>
      <c r="CO228" s="62" t="n">
        <f aca="false">ROUNDUP(CJ228/BZ228,0)</f>
        <v>0</v>
      </c>
      <c r="CP228" s="65" t="n">
        <f aca="false">IF(CA228=1,0,IFERROR(VLOOKUP(BY228,'Gebinde-Kategorie'!$A$5:$N$45,5,0)+0,0))</f>
        <v>11</v>
      </c>
      <c r="CQ228" s="65" t="n">
        <f aca="false">IFERROR(IF(OR(CF228=1,CF228=2,CF228=3),N(INDEX(Parameter!$I$5:$I$7,CF228)),0),0)</f>
        <v>0</v>
      </c>
      <c r="CR228" s="64" t="n">
        <f aca="false">IF(AND(Parameter!$B$21="Ja",ISNUMBER(W228),N(X228)&gt;0),IFERROR(N(INDEX(Parameter!$L$5:$L$7,W228))*INDEX(Parameter!$E$5:$E$7,W228)*X228/SUMIFS($X$7:$X$1843,$W$7:$W$1843,W228),0),0)</f>
        <v>0</v>
      </c>
      <c r="CS228" s="62" t="n">
        <f aca="false">IF(AND(OR(CG228="L1",CG228="L23",CG228="LIFT"),H228&gt;0),CC228*IF(CR228&gt;0,CR228*MAX(1,H228/X228),IF(CA228=1,CE228,IF(R228&gt;0,CN228/R228,0))/MAX(0.1,N(Parameter!$M$21))),"")</f>
        <v>5.96153846153846</v>
      </c>
      <c r="CT228" s="64" t="n">
        <f aca="false">IF(CS228="","",J228/H228)</f>
        <v>0</v>
      </c>
      <c r="CU228" s="62" t="n">
        <f aca="false">IF(CS228="","",H228*G228)</f>
        <v>613.2</v>
      </c>
      <c r="CV228" s="63" t="n">
        <f aca="false">IF(CS228="","",(CL228+ROUNDUP(CL228+MAX(CM228,2*(J228/MAX(0.1,N(Einkauf!$C$6))-CL228)),0))/2)</f>
        <v>0.5</v>
      </c>
      <c r="CW228" s="62" t="n">
        <f aca="false">IF(CS228="","",MAX(0,H228-CV228)*G228)</f>
        <v>605.535</v>
      </c>
      <c r="CX228" s="62" t="n">
        <f aca="false">IF(CS228="","",CS228*MAX(0,1-CV228/H228))</f>
        <v>5.88701923076923</v>
      </c>
      <c r="CY228" s="64" t="n">
        <f aca="false">IF(CS228="","",PERCENTRANK($CS$7:$CS$1843,CS228)+PERCENTRANK($CU$7:$CU$1843,CU228)+1-PERCENTRANK($CT$7:$CT$1843,CT228))</f>
        <v>1.911</v>
      </c>
      <c r="CZ228" s="72" t="n">
        <f aca="false">IF(CS228="","",CHOOSE(MATCH(Einkauf!$C$5,Parameter!$G$23:$G$27,0),CY228,CS228,CU228,-CT228,CW228)+ROW()/1000000000)</f>
        <v>1.911000228</v>
      </c>
    </row>
    <row r="229" customFormat="false" ht="15" hidden="false" customHeight="false" outlineLevel="0" collapsed="false">
      <c r="A229" s="60" t="s">
        <v>690</v>
      </c>
      <c r="B229" s="60" t="s">
        <v>339</v>
      </c>
      <c r="C229" s="60" t="s">
        <v>206</v>
      </c>
      <c r="D229" s="60" t="s">
        <v>207</v>
      </c>
      <c r="E229" s="60" t="s">
        <v>208</v>
      </c>
      <c r="F229" s="60" t="s">
        <v>260</v>
      </c>
      <c r="G229" s="61" t="n">
        <v>229.54</v>
      </c>
      <c r="H229" s="62" t="n">
        <f aca="false">MAX(0,IF(AND(Parameter!$B$21="Ja",ISNUMBER(Y229)),Y229,IF(Parameter!$B$20="Jahresanfang 2025 + Export",BS229+BR229,BR229)))</f>
        <v>9</v>
      </c>
      <c r="I229" s="62" t="n">
        <f aca="false">H229*G229</f>
        <v>2065.86</v>
      </c>
      <c r="J229" s="62" t="n">
        <f aca="false">BU229*Parameter!$B$18</f>
        <v>14</v>
      </c>
      <c r="K229" s="63" t="n">
        <v>10.5</v>
      </c>
      <c r="L229" s="64" t="n">
        <v>1.33333333333333</v>
      </c>
      <c r="M229" s="62" t="n">
        <v>3</v>
      </c>
      <c r="N229" s="62" t="n">
        <v>10</v>
      </c>
      <c r="O229" s="65" t="n">
        <v>70</v>
      </c>
      <c r="P229" s="60" t="s">
        <v>210</v>
      </c>
      <c r="Q229" s="62"/>
      <c r="R229" s="65" t="n">
        <f aca="false">IF(CA229=1,0,IFERROR(VLOOKUP(BY229,'Gebinde-Kategorie'!$A$5:$N$45,13,0)+0,0))</f>
        <v>0</v>
      </c>
      <c r="S229" s="66"/>
      <c r="T229" s="67"/>
      <c r="U229" s="67"/>
      <c r="V229" s="67"/>
      <c r="W229" s="60" t="n">
        <v>1</v>
      </c>
      <c r="X229" s="62" t="n">
        <v>16</v>
      </c>
      <c r="Y229" s="62" t="n">
        <v>9</v>
      </c>
      <c r="Z229" s="60" t="n">
        <v>1</v>
      </c>
      <c r="AA229" s="60" t="n">
        <f aca="false">IF(A229="","",IF(AND(Parameter!$B$21="Ja",ISNUMBER(W229)),W229,IF(AND(Parameter!$E$27="Ja",ISNUMBER(Z229),CD229&lt;&gt;"Nein"),Z229,IF(CD229="2+3",IF(ISNUMBER(SEARCH("grosser Artikel",BV229)),2,IFERROR(VLOOKUP(BY229,Parameter!$F$35:$G$64,2,0),2)),IF(OR(CD229="Nein",CD229=""),"-",CD229)))))</f>
        <v>1</v>
      </c>
      <c r="AB229" s="67"/>
      <c r="AC229" s="68"/>
      <c r="AD229" s="62" t="n">
        <f aca="false">AW229</f>
        <v>13</v>
      </c>
      <c r="AE229" s="62" t="n">
        <f aca="false">MAX(AW229,H229)</f>
        <v>13</v>
      </c>
      <c r="AF229" s="69"/>
      <c r="AG229" s="62" t="n">
        <f aca="false">IF(LEFT(Cockpit!$C$5,1)="A",H229,IF(Parameter!$E$30="MAX-Bestand",IF(CI229=1,CJ229,IF(LEFT(Cockpit!$C$5,1)="B",AM229,MAX(AM229,H229))),ROUNDUP(AK229,0)))</f>
        <v>9</v>
      </c>
      <c r="AH229" s="62" t="n">
        <f aca="false">IF(CA229=1,0,ROUNDUP(AG229/BZ229,0))</f>
        <v>0</v>
      </c>
      <c r="AI229" s="64" t="n">
        <f aca="false">IF(CR229&gt;0,CR229*MAX(1,AG229/X229),IF(CA229=1,IF(AG229&lt;=0,0,CE229*MAX(1,IF(H229&gt;0,AG229/H229,1))),IF(R229&gt;0,AH229/R229,0))/MAX(0.1,N(Parameter!$M$21)))</f>
        <v>1.28060263653484</v>
      </c>
      <c r="AJ229" s="62" t="n">
        <f aca="false">AI229*CC229</f>
        <v>304.783427495292</v>
      </c>
      <c r="AK229" s="63" t="n">
        <f aca="false">IF(LEFT(Cockpit!$C$5,1)="A",H229,IF(CI229=1,(CL229+CJ229)/2,IF(LEFT(Cockpit!$C$5,1)="B",(CL229+AM229)/2,MAX((CL229+AM229)/2,H229))))</f>
        <v>9</v>
      </c>
      <c r="AL229" s="62" t="n">
        <f aca="false">AK229*G229</f>
        <v>2065.86</v>
      </c>
      <c r="AM229" s="62" t="n">
        <f aca="false">ROUNDUP(CL229+MAX(CM229,2*(J229/IF(CH229&gt;0,CH229,MAX(0.1,N(Cockpit!$C$6)))-CL229)),0)</f>
        <v>13</v>
      </c>
      <c r="AN229" s="63" t="n">
        <f aca="false">IF(AJ229&gt;0,J229/AJ229,-1)</f>
        <v>0.0459342560553633</v>
      </c>
      <c r="AO229" s="63" t="n">
        <f aca="false">IF(AND(OR(CG229="L1",CG229="L23",CG229="LIFT"),AJ229&gt;0),SUMIFS($AJ$7:$AJ$1843,$CG$7:$CG$1843,CG229,$AN$7:$AN$1843,"&gt;"&amp;AN229)+SUMIFS($AJ$7:$AJ$1843,$CG$7:$CG$1843,CG229,$AN$7:$AN$1843,AN229,$BX$7:$BX$1843,"&lt;="&amp;BX229),"")</f>
        <v>19648.9740873533</v>
      </c>
      <c r="AP229" s="70" t="n">
        <f aca="false">IF(AO229="",0,MAX(0,MIN(1,(IF(CG229="L1",Parameter!$H$5,IF(CG229="L23",Parameter!$H$6+Parameter!$H$7,Parameter!$H$5+Parameter!$H$6+Parameter!$H$7))-(AO229-AJ229))/AJ229)))</f>
        <v>1</v>
      </c>
      <c r="AQ229" s="62" t="n">
        <f aca="false">IF(LEFT(Cockpit!$I$5,1)="A",H229,IF(Parameter!$E$30="MAX-Bestand",IF(CI229=1,CJ229,IF(LEFT(Cockpit!$I$5,1)="B",AW229,MAX(AW229,H229))),ROUNDUP(AU229,0)))</f>
        <v>9</v>
      </c>
      <c r="AR229" s="62" t="n">
        <f aca="false">IF(CA229=1,0,ROUNDUP(AQ229/BZ229,0))</f>
        <v>0</v>
      </c>
      <c r="AS229" s="64" t="n">
        <f aca="false">IF(CR229&gt;0,CR229*MAX(1,AQ229/X229),IF(CA229=1,IF(AQ229&lt;=0,0,CE229*MAX(1,IF(H229&gt;0,AQ229/H229,1))),IF(R229&gt;0,AR229/R229,0))/MAX(0.1,N(Parameter!$M$21)))</f>
        <v>1.28060263653484</v>
      </c>
      <c r="AT229" s="62" t="n">
        <f aca="false">AS229*CC229</f>
        <v>304.783427495292</v>
      </c>
      <c r="AU229" s="63" t="n">
        <f aca="false">IF(LEFT(Cockpit!$I$5,1)="A",H229,IF(CI229=1,(CL229+CJ229)/2,IF(LEFT(Cockpit!$I$5,1)="B",(CL229+AW229)/2,MAX((CL229+AW229)/2,H229))))</f>
        <v>9</v>
      </c>
      <c r="AV229" s="62" t="n">
        <f aca="false">AU229*G229</f>
        <v>2065.86</v>
      </c>
      <c r="AW229" s="62" t="n">
        <f aca="false">ROUNDUP(CL229+MAX(CM229,2*(J229/IF(CH229&gt;0,CH229,MAX(0.1,N(Cockpit!$I$6)))-CL229)),0)</f>
        <v>13</v>
      </c>
      <c r="AX229" s="63" t="n">
        <f aca="false">IF(AT229&gt;0,J229/AT229,-1)</f>
        <v>0.0459342560553633</v>
      </c>
      <c r="AY229" s="63" t="n">
        <f aca="false">IF(AND(OR(CG229="L1",CG229="L23",CG229="LIFT"),AT229&gt;0),SUMIFS($AT$7:$AT$1843,$CG$7:$CG$1843,CG229,$AX$7:$AX$1843,"&gt;"&amp;AX229)+SUMIFS($AT$7:$AT$1843,$CG$7:$CG$1843,CG229,$AX$7:$AX$1843,AX229,$BX$7:$BX$1843,"&lt;="&amp;BX229),"")</f>
        <v>24708.3727287308</v>
      </c>
      <c r="AZ229" s="70" t="n">
        <f aca="false">IF(AY229="",0,MAX(0,MIN(1,(IF(CG229="L1",Parameter!$H$5,IF(CG229="L23",Parameter!$H$6+Parameter!$H$7,Parameter!$H$5+Parameter!$H$6+Parameter!$H$7))-(AY229-AT229))/AT229)))</f>
        <v>1</v>
      </c>
      <c r="BA229" s="62" t="n">
        <f aca="false">IF(LEFT(Cockpit!$O$5,1)="A",H229,IF(Parameter!$E$30="MAX-Bestand",IF(CI229=1,CJ229,IF(LEFT(Cockpit!$O$5,1)="B",BG229,MAX(BG229,H229))),ROUNDUP(BE229,0)))</f>
        <v>8</v>
      </c>
      <c r="BB229" s="62" t="n">
        <f aca="false">IF(CA229=1,0,ROUNDUP(BA229/BZ229,0))</f>
        <v>0</v>
      </c>
      <c r="BC229" s="64" t="n">
        <f aca="false">IF(CR229&gt;0,CR229*MAX(1,BA229/X229),IF(CA229=1,IF(BA229&lt;=0,0,CE229*MAX(1,IF(H229&gt;0,BA229/H229,1))),IF(R229&gt;0,BB229/R229,0))/MAX(0.1,N(Parameter!$M$21)))</f>
        <v>1.28060263653484</v>
      </c>
      <c r="BD229" s="62" t="n">
        <f aca="false">BC229*CC229</f>
        <v>304.783427495292</v>
      </c>
      <c r="BE229" s="63" t="n">
        <f aca="false">IF(LEFT(Cockpit!$O$5,1)="A",H229,IF(CI229=1,(CL229+CJ229)/2,IF(LEFT(Cockpit!$O$5,1)="B",(CL229+BG229)/2,MAX((CL229+BG229)/2,H229))))</f>
        <v>8</v>
      </c>
      <c r="BF229" s="62" t="n">
        <f aca="false">BE229*G229</f>
        <v>1836.32</v>
      </c>
      <c r="BG229" s="62" t="n">
        <f aca="false">ROUNDUP(CL229+MAX(CM229,2*(J229/IF(CH229&gt;0,CH229,MAX(0.1,N(Cockpit!$O$6)))-CL229)),0)</f>
        <v>13</v>
      </c>
      <c r="BH229" s="63" t="n">
        <f aca="false">IF(BD229&gt;0,J229/BD229,-1)</f>
        <v>0.0459342560553633</v>
      </c>
      <c r="BI229" s="63" t="n">
        <f aca="false">IF(AND(OR(CG229="L1",CG229="L23",CG229="LIFT"),BD229&gt;0),SUMIFS($BD$7:$BD$1843,$CG$7:$CG$1843,CG229,$BH$7:$BH$1843,"&gt;"&amp;BH229)+SUMIFS($BD$7:$BD$1843,$CG$7:$CG$1843,CG229,$BH$7:$BH$1843,BH229,$BX$7:$BX$1843,"&lt;="&amp;BX229),"")</f>
        <v>20658.2879053621</v>
      </c>
      <c r="BJ229" s="70" t="n">
        <f aca="false">IF(BI229="",0,MAX(0,MIN(1,(IF(CG229="L1",Parameter!$H$5,IF(CG229="L23",Parameter!$H$6+Parameter!$H$7,Parameter!$H$5+Parameter!$H$6+Parameter!$H$7))-(BI229-BD229))/BD229)))</f>
        <v>1</v>
      </c>
      <c r="BK229" s="60" t="str">
        <f aca="false">IF(AJ229&lt;=0,"",IF(CG229="Aussen","Aussenlager",IF(CG229="-","Nicht im Lift",IF(AP229&gt;=1,"Lift",IF(AP229&lt;=0,"Aussenlager","teilweise")))))</f>
        <v>Lift</v>
      </c>
      <c r="BL229" s="60" t="str">
        <f aca="false">IF(AT229&lt;=0,"",IF(CG229="Aussen","Aussenlager",IF(CG229="-","Nicht im Lift",IF(AZ229&gt;=1,"Lift",IF(AZ229&lt;=0,"Aussenlager","teilweise")))))</f>
        <v>Lift</v>
      </c>
      <c r="BM229" s="60" t="str">
        <f aca="false">IF(BD229&lt;=0,"",IF(CG229="Aussen","Aussenlager",IF(CG229="-","Nicht im Lift",IF(BJ229&gt;=1,"Lift",IF(BJ229&lt;=0,"Aussenlager","teilweise")))))</f>
        <v>Lift</v>
      </c>
      <c r="BN229" s="60" t="str">
        <f aca="false">IF(A229="","",IF(BW229=1,"Neu; ","")&amp;IF(AND(BW229=0,BR229&lt;0),"negativer Bestand (Export "&amp;BR229&amp;"); ","")&amp;IF(J229&lt;=0,"Kein Verbrauch; ","")&amp;IF(CR229&gt;0,"Lift "&amp;W229&amp;" lt. Liftbericht (Fach "&amp;X229&amp;" Stk); ",IF(CB229=1,"Gebinde geschätzt ("&amp;T229&amp;"); ",IF(CA229=1,"Lose – Tablare geschätzt; ","")))&amp;IF(H229&gt;AW229,"Überbestand "&amp;ROUND(H229-AW229,0)&amp;" Stk / CHF "&amp;ROUND((H229-AW229)*G229,0)&amp;"; ","")&amp;IF(AND(CI229=1,CJ229&lt;CK229),"MAX &lt; MB+LG; ","")&amp;IF(AND(CQ229&gt;0,CP229*10&gt;CQ229),"zu hoch für Tablar; ","")&amp;IF(AND(BW229=0,OR(CI229=1,AB229&lt;&gt;"",U229&lt;&gt;"",V229&lt;&gt;"",AC229&lt;&gt;"")),"manuell übersteuert; ","")&amp;IF(AND(CA229=0,R229=0),"Gebinde unbekannt / Stellmass fehlt; ","")&amp;IF(AND(CA229=0,N(V229)&lt;=0,N(Q229)&lt;=0),"Menge pro Gebinde fehlt (Ist = 1 Gebinde); ","")&amp;BV229)</f>
        <v>Lift 1 lt. Liftbericht (Fach 16 Stk); </v>
      </c>
      <c r="BO229" s="60"/>
      <c r="BP229" s="60"/>
      <c r="BQ229" s="67"/>
      <c r="BR229" s="62" t="n">
        <v>3</v>
      </c>
      <c r="BS229" s="62" t="n">
        <v>6</v>
      </c>
      <c r="BT229" s="61" t="n">
        <v>598.979999999999</v>
      </c>
      <c r="BU229" s="62" t="n">
        <v>14</v>
      </c>
      <c r="BV229" s="60"/>
      <c r="BW229" s="65" t="n">
        <v>0</v>
      </c>
      <c r="BX229" s="65" t="n">
        <v>229</v>
      </c>
      <c r="BY229" s="60" t="str">
        <f aca="false">IF(U229&lt;&gt;"",UPPER(TRIM(U229)),IF(CB229=1,UPPER(VLOOKUP(T229,Parameter!$I$27:$K$29,2,0)),IF(P229="","LOSE",P229)))</f>
        <v>LOSE</v>
      </c>
      <c r="BZ229" s="62" t="n">
        <f aca="false">IF(BY229="LOSE",1,IF(N(V229)&gt;0,V229,IF(CB229=1,MAX(1,N(VLOOKUP(T229,Parameter!$I$27:$K$29,3,0)),H229,N(N229)),IF(N(Q229)&gt;0,Q229,MAX(1,H229)))))</f>
        <v>1</v>
      </c>
      <c r="CA229" s="65" t="n">
        <f aca="false">IF(BY229="LOSE",1,0)</f>
        <v>1</v>
      </c>
      <c r="CB229" s="65" t="n">
        <f aca="false">IF(AND(U229="",OR(P229="",P229="LOSE"),T229&lt;&gt;"",N(S229)&lt;=0,ISNUMBER(MATCH(T229,Parameter!$I$27:$I$29,0))),1,0)</f>
        <v>0</v>
      </c>
      <c r="CC229" s="65" t="n">
        <f aca="false">IF(CR229&gt;0,INDEX(Parameter!$H$5:$H$7,W229)/INDEX(Parameter!$E$5:$E$7,W229),IF(AND(CA229=0,N(IFERROR(VLOOKUP(BY229,'Gebinde-Kategorie'!$A$5:$N$45,14,0),0))&gt;0),VLOOKUP(BY229,'Gebinde-Kategorie'!$A$5:$N$45,14,0)*10+Parameter!$M$23,Parameter!$M$24))</f>
        <v>238</v>
      </c>
      <c r="CD229" s="60" t="n">
        <f aca="false">IF(AND(Parameter!$B$19="Ja",E229&lt;&gt;"",ISNUMBER(MATCH(E229,Parameter!$I$35:$I$52,0))),VLOOKUP(E229,Parameter!$I$35:$J$52,2,0),IFERROR(VLOOKUP(D229,Parameter!$A$35:$C$64,2,0),"Nein"))</f>
        <v>1</v>
      </c>
      <c r="CE229" s="64" t="n">
        <f aca="false">IF(CA229=0,0,IF(N(S229)&gt;0,S229,IFERROR(VLOOKUP(D229,Parameter!$A$35:$C$64,3,0)+0,0)))</f>
        <v>1</v>
      </c>
      <c r="CF229" s="60" t="n">
        <f aca="false">IF(AB229&lt;&gt;"",AB229,AA229)</f>
        <v>1</v>
      </c>
      <c r="CG229" s="60" t="str">
        <f aca="false">IF(OR(CF229=1,CF229=2,CF229=3),IF(Parameter!$E$27="Ja","LIFT",IF(CF229=1,"L1","L23")),IF(CF229="Aussen","Aussen","-"))</f>
        <v>LIFT</v>
      </c>
      <c r="CH229" s="71" t="n">
        <f aca="false">IF(N(AC229)&gt;0,AC229,0)</f>
        <v>0</v>
      </c>
      <c r="CI229" s="65" t="n">
        <f aca="false">IF(ISNUMBER(AF229),1,0)</f>
        <v>0</v>
      </c>
      <c r="CJ229" s="62" t="n">
        <f aca="false">N(AF229)</f>
        <v>0</v>
      </c>
      <c r="CK229" s="62" t="n">
        <f aca="false">N(M229)+N(N229)</f>
        <v>13</v>
      </c>
      <c r="CL229" s="62" t="n">
        <f aca="false">N(M229)</f>
        <v>3</v>
      </c>
      <c r="CM229" s="62" t="n">
        <f aca="false">N(N229)</f>
        <v>10</v>
      </c>
      <c r="CN229" s="62" t="n">
        <f aca="false">ROUNDUP(H229/BZ229,0)</f>
        <v>9</v>
      </c>
      <c r="CO229" s="62" t="n">
        <f aca="false">ROUNDUP(CJ229/BZ229,0)</f>
        <v>0</v>
      </c>
      <c r="CP229" s="65" t="n">
        <f aca="false">IF(CA229=1,0,IFERROR(VLOOKUP(BY229,'Gebinde-Kategorie'!$A$5:$N$45,5,0)+0,0))</f>
        <v>0</v>
      </c>
      <c r="CQ229" s="65" t="n">
        <f aca="false">IFERROR(IF(OR(CF229=1,CF229=2,CF229=3),N(INDEX(Parameter!$I$5:$I$7,CF229)),0),0)</f>
        <v>0</v>
      </c>
      <c r="CR229" s="64" t="n">
        <f aca="false">IF(AND(Parameter!$B$21="Ja",ISNUMBER(W229),N(X229)&gt;0),IFERROR(N(INDEX(Parameter!$L$5:$L$7,W229))*INDEX(Parameter!$E$5:$E$7,W229)*X229/SUMIFS($X$7:$X$1843,$W$7:$W$1843,W229),0),0)</f>
        <v>1.28060263653484</v>
      </c>
      <c r="CS229" s="62" t="n">
        <f aca="false">IF(AND(OR(CG229="L1",CG229="L23",CG229="LIFT"),H229&gt;0),CC229*IF(CR229&gt;0,CR229*MAX(1,H229/X229),IF(CA229=1,CE229,IF(R229&gt;0,CN229/R229,0))/MAX(0.1,N(Parameter!$M$21))),"")</f>
        <v>304.783427495292</v>
      </c>
      <c r="CT229" s="64" t="n">
        <f aca="false">IF(CS229="","",J229/H229)</f>
        <v>1.55555555555556</v>
      </c>
      <c r="CU229" s="62" t="n">
        <f aca="false">IF(CS229="","",H229*G229)</f>
        <v>2065.86</v>
      </c>
      <c r="CV229" s="63" t="n">
        <f aca="false">IF(CS229="","",(CL229+ROUNDUP(CL229+MAX(CM229,2*(J229/MAX(0.1,N(Einkauf!$C$6))-CL229)),0))/2)</f>
        <v>8</v>
      </c>
      <c r="CW229" s="62" t="n">
        <f aca="false">IF(CS229="","",MAX(0,H229-CV229)*G229)</f>
        <v>229.54</v>
      </c>
      <c r="CX229" s="62" t="n">
        <f aca="false">IF(CS229="","",CS229*MAX(0,1-CV229/H229))</f>
        <v>33.8648252772547</v>
      </c>
      <c r="CY229" s="64" t="n">
        <f aca="false">IF(CS229="","",PERCENTRANK($CS$7:$CS$1843,CS229)+PERCENTRANK($CU$7:$CU$1843,CU229)+1-PERCENTRANK($CT$7:$CT$1843,CT229))</f>
        <v>1.996</v>
      </c>
      <c r="CZ229" s="72" t="n">
        <f aca="false">IF(CS229="","",CHOOSE(MATCH(Einkauf!$C$5,Parameter!$G$23:$G$27,0),CY229,CS229,CU229,-CT229,CW229)+ROW()/1000000000)</f>
        <v>1.996000229</v>
      </c>
    </row>
    <row r="230" customFormat="false" ht="15" hidden="false" customHeight="false" outlineLevel="0" collapsed="false">
      <c r="A230" s="60" t="s">
        <v>691</v>
      </c>
      <c r="B230" s="60" t="s">
        <v>692</v>
      </c>
      <c r="C230" s="60" t="s">
        <v>206</v>
      </c>
      <c r="D230" s="60" t="s">
        <v>226</v>
      </c>
      <c r="E230" s="60" t="s">
        <v>227</v>
      </c>
      <c r="F230" s="60" t="s">
        <v>260</v>
      </c>
      <c r="G230" s="61" t="n">
        <v>9.98</v>
      </c>
      <c r="H230" s="62" t="n">
        <f aca="false">MAX(0,IF(AND(Parameter!$B$21="Ja",ISNUMBER(Y230)),Y230,IF(Parameter!$B$20="Jahresanfang 2025 + Export",BS230+BR230,BR230)))</f>
        <v>148</v>
      </c>
      <c r="I230" s="62" t="n">
        <f aca="false">H230*G230</f>
        <v>1477.04</v>
      </c>
      <c r="J230" s="62" t="n">
        <f aca="false">BU230*Parameter!$B$18</f>
        <v>168</v>
      </c>
      <c r="K230" s="63" t="n">
        <v>82.5</v>
      </c>
      <c r="L230" s="64" t="n">
        <v>2.03636363636364</v>
      </c>
      <c r="M230" s="62" t="n">
        <v>10</v>
      </c>
      <c r="N230" s="62" t="n">
        <v>170</v>
      </c>
      <c r="O230" s="65" t="n">
        <v>28</v>
      </c>
      <c r="P230" s="60" t="s">
        <v>275</v>
      </c>
      <c r="Q230" s="62" t="n">
        <v>150</v>
      </c>
      <c r="R230" s="65" t="n">
        <f aca="false">IF(CA230=1,0,IFERROR(VLOOKUP(BY230,'Gebinde-Kategorie'!$A$5:$N$45,13,0)+0,0))</f>
        <v>26</v>
      </c>
      <c r="S230" s="66"/>
      <c r="T230" s="67"/>
      <c r="U230" s="67"/>
      <c r="V230" s="67"/>
      <c r="W230" s="60"/>
      <c r="X230" s="62"/>
      <c r="Y230" s="62"/>
      <c r="Z230" s="60" t="n">
        <v>3</v>
      </c>
      <c r="AA230" s="60" t="n">
        <f aca="false">IF(A230="","",IF(AND(Parameter!$B$21="Ja",ISNUMBER(W230)),W230,IF(AND(Parameter!$E$27="Ja",ISNUMBER(Z230),CD230&lt;&gt;"Nein"),Z230,IF(CD230="2+3",IF(ISNUMBER(SEARCH("grosser Artikel",BV230)),2,IFERROR(VLOOKUP(BY230,Parameter!$F$35:$G$64,2,0),2)),IF(OR(CD230="Nein",CD230=""),"-",CD230)))))</f>
        <v>3</v>
      </c>
      <c r="AB230" s="67"/>
      <c r="AC230" s="68"/>
      <c r="AD230" s="62" t="n">
        <f aca="false">AW230</f>
        <v>180</v>
      </c>
      <c r="AE230" s="62" t="n">
        <f aca="false">MAX(AW230,H230)</f>
        <v>180</v>
      </c>
      <c r="AF230" s="69"/>
      <c r="AG230" s="62" t="n">
        <f aca="false">IF(LEFT(Cockpit!$C$5,1)="A",H230,IF(Parameter!$E$30="MAX-Bestand",IF(CI230=1,CJ230,IF(LEFT(Cockpit!$C$5,1)="B",AM230,MAX(AM230,H230))),ROUNDUP(AK230,0)))</f>
        <v>148</v>
      </c>
      <c r="AH230" s="62" t="n">
        <f aca="false">IF(CA230=1,0,ROUNDUP(AG230/BZ230,0))</f>
        <v>1</v>
      </c>
      <c r="AI230" s="64" t="n">
        <f aca="false">IF(CR230&gt;0,CR230*MAX(1,AG230/X230),IF(CA230=1,IF(AG230&lt;=0,0,CE230*MAX(1,IF(H230&gt;0,AG230/H230,1))),IF(R230&gt;0,AH230/R230,0))/MAX(0.1,N(Parameter!$M$21)))</f>
        <v>0.0384615384615385</v>
      </c>
      <c r="AJ230" s="62" t="n">
        <f aca="false">AI230*CC230</f>
        <v>9.42307692307692</v>
      </c>
      <c r="AK230" s="63" t="n">
        <f aca="false">IF(LEFT(Cockpit!$C$5,1)="A",H230,IF(CI230=1,(CL230+CJ230)/2,IF(LEFT(Cockpit!$C$5,1)="B",(CL230+AM230)/2,MAX((CL230+AM230)/2,H230))))</f>
        <v>148</v>
      </c>
      <c r="AL230" s="62" t="n">
        <f aca="false">AK230*G230</f>
        <v>1477.04</v>
      </c>
      <c r="AM230" s="62" t="n">
        <f aca="false">ROUNDUP(CL230+MAX(CM230,2*(J230/IF(CH230&gt;0,CH230,MAX(0.1,N(Cockpit!$C$6)))-CL230)),0)</f>
        <v>180</v>
      </c>
      <c r="AN230" s="63" t="n">
        <f aca="false">IF(AJ230&gt;0,J230/AJ230,-1)</f>
        <v>17.8285714285714</v>
      </c>
      <c r="AO230" s="63" t="n">
        <f aca="false">IF(AND(OR(CG230="L1",CG230="L23",CG230="LIFT"),AJ230&gt;0),SUMIFS($AJ$7:$AJ$1843,$CG$7:$CG$1843,CG230,$AN$7:$AN$1843,"&gt;"&amp;AN230)+SUMIFS($AJ$7:$AJ$1843,$CG$7:$CG$1843,CG230,$AN$7:$AN$1843,AN230,$BX$7:$BX$1843,"&lt;="&amp;BX230),"")</f>
        <v>1898.85210622711</v>
      </c>
      <c r="AP230" s="70" t="n">
        <f aca="false">IF(AO230="",0,MAX(0,MIN(1,(IF(CG230="L1",Parameter!$H$5,IF(CG230="L23",Parameter!$H$6+Parameter!$H$7,Parameter!$H$5+Parameter!$H$6+Parameter!$H$7))-(AO230-AJ230))/AJ230)))</f>
        <v>1</v>
      </c>
      <c r="AQ230" s="62" t="n">
        <f aca="false">IF(LEFT(Cockpit!$I$5,1)="A",H230,IF(Parameter!$E$30="MAX-Bestand",IF(CI230=1,CJ230,IF(LEFT(Cockpit!$I$5,1)="B",AW230,MAX(AW230,H230))),ROUNDUP(AU230,0)))</f>
        <v>148</v>
      </c>
      <c r="AR230" s="62" t="n">
        <f aca="false">IF(CA230=1,0,ROUNDUP(AQ230/BZ230,0))</f>
        <v>1</v>
      </c>
      <c r="AS230" s="64" t="n">
        <f aca="false">IF(CR230&gt;0,CR230*MAX(1,AQ230/X230),IF(CA230=1,IF(AQ230&lt;=0,0,CE230*MAX(1,IF(H230&gt;0,AQ230/H230,1))),IF(R230&gt;0,AR230/R230,0))/MAX(0.1,N(Parameter!$M$21)))</f>
        <v>0.0384615384615385</v>
      </c>
      <c r="AT230" s="62" t="n">
        <f aca="false">AS230*CC230</f>
        <v>9.42307692307692</v>
      </c>
      <c r="AU230" s="63" t="n">
        <f aca="false">IF(LEFT(Cockpit!$I$5,1)="A",H230,IF(CI230=1,(CL230+CJ230)/2,IF(LEFT(Cockpit!$I$5,1)="B",(CL230+AW230)/2,MAX((CL230+AW230)/2,H230))))</f>
        <v>148</v>
      </c>
      <c r="AV230" s="62" t="n">
        <f aca="false">AU230*G230</f>
        <v>1477.04</v>
      </c>
      <c r="AW230" s="62" t="n">
        <f aca="false">ROUNDUP(CL230+MAX(CM230,2*(J230/IF(CH230&gt;0,CH230,MAX(0.1,N(Cockpit!$I$6)))-CL230)),0)</f>
        <v>180</v>
      </c>
      <c r="AX230" s="63" t="n">
        <f aca="false">IF(AT230&gt;0,J230/AT230,-1)</f>
        <v>17.8285714285714</v>
      </c>
      <c r="AY230" s="63" t="n">
        <f aca="false">IF(AND(OR(CG230="L1",CG230="L23",CG230="LIFT"),AT230&gt;0),SUMIFS($AT$7:$AT$1843,$CG$7:$CG$1843,CG230,$AX$7:$AX$1843,"&gt;"&amp;AX230)+SUMIFS($AT$7:$AT$1843,$CG$7:$CG$1843,CG230,$AX$7:$AX$1843,AX230,$BX$7:$BX$1843,"&lt;="&amp;BX230),"")</f>
        <v>2535.97298534799</v>
      </c>
      <c r="AZ230" s="70" t="n">
        <f aca="false">IF(AY230="",0,MAX(0,MIN(1,(IF(CG230="L1",Parameter!$H$5,IF(CG230="L23",Parameter!$H$6+Parameter!$H$7,Parameter!$H$5+Parameter!$H$6+Parameter!$H$7))-(AY230-AT230))/AT230)))</f>
        <v>1</v>
      </c>
      <c r="BA230" s="62" t="n">
        <f aca="false">IF(LEFT(Cockpit!$O$5,1)="A",H230,IF(Parameter!$E$30="MAX-Bestand",IF(CI230=1,CJ230,IF(LEFT(Cockpit!$O$5,1)="B",BG230,MAX(BG230,H230))),ROUNDUP(BE230,0)))</f>
        <v>95</v>
      </c>
      <c r="BB230" s="62" t="n">
        <f aca="false">IF(CA230=1,0,ROUNDUP(BA230/BZ230,0))</f>
        <v>1</v>
      </c>
      <c r="BC230" s="64" t="n">
        <f aca="false">IF(CR230&gt;0,CR230*MAX(1,BA230/X230),IF(CA230=1,IF(BA230&lt;=0,0,CE230*MAX(1,IF(H230&gt;0,BA230/H230,1))),IF(R230&gt;0,BB230/R230,0))/MAX(0.1,N(Parameter!$M$21)))</f>
        <v>0.0384615384615385</v>
      </c>
      <c r="BD230" s="62" t="n">
        <f aca="false">BC230*CC230</f>
        <v>9.42307692307692</v>
      </c>
      <c r="BE230" s="63" t="n">
        <f aca="false">IF(LEFT(Cockpit!$O$5,1)="A",H230,IF(CI230=1,(CL230+CJ230)/2,IF(LEFT(Cockpit!$O$5,1)="B",(CL230+BG230)/2,MAX((CL230+BG230)/2,H230))))</f>
        <v>95</v>
      </c>
      <c r="BF230" s="62" t="n">
        <f aca="false">BE230*G230</f>
        <v>948.1</v>
      </c>
      <c r="BG230" s="62" t="n">
        <f aca="false">ROUNDUP(CL230+MAX(CM230,2*(J230/IF(CH230&gt;0,CH230,MAX(0.1,N(Cockpit!$O$6)))-CL230)),0)</f>
        <v>180</v>
      </c>
      <c r="BH230" s="63" t="n">
        <f aca="false">IF(BD230&gt;0,J230/BD230,-1)</f>
        <v>17.8285714285714</v>
      </c>
      <c r="BI230" s="63" t="n">
        <f aca="false">IF(AND(OR(CG230="L1",CG230="L23",CG230="LIFT"),BD230&gt;0),SUMIFS($BD$7:$BD$1843,$CG$7:$CG$1843,CG230,$BH$7:$BH$1843,"&gt;"&amp;BH230)+SUMIFS($BD$7:$BD$1843,$CG$7:$CG$1843,CG230,$BH$7:$BH$1843,BH230,$BX$7:$BX$1843,"&lt;="&amp;BX230),"")</f>
        <v>2300.46703296703</v>
      </c>
      <c r="BJ230" s="70" t="n">
        <f aca="false">IF(BI230="",0,MAX(0,MIN(1,(IF(CG230="L1",Parameter!$H$5,IF(CG230="L23",Parameter!$H$6+Parameter!$H$7,Parameter!$H$5+Parameter!$H$6+Parameter!$H$7))-(BI230-BD230))/BD230)))</f>
        <v>1</v>
      </c>
      <c r="BK230" s="60" t="str">
        <f aca="false">IF(AJ230&lt;=0,"",IF(CG230="Aussen","Aussenlager",IF(CG230="-","Nicht im Lift",IF(AP230&gt;=1,"Lift",IF(AP230&lt;=0,"Aussenlager","teilweise")))))</f>
        <v>Lift</v>
      </c>
      <c r="BL230" s="60" t="str">
        <f aca="false">IF(AT230&lt;=0,"",IF(CG230="Aussen","Aussenlager",IF(CG230="-","Nicht im Lift",IF(AZ230&gt;=1,"Lift",IF(AZ230&lt;=0,"Aussenlager","teilweise")))))</f>
        <v>Lift</v>
      </c>
      <c r="BM230" s="60" t="str">
        <f aca="false">IF(BD230&lt;=0,"",IF(CG230="Aussen","Aussenlager",IF(CG230="-","Nicht im Lift",IF(BJ230&gt;=1,"Lift",IF(BJ230&lt;=0,"Aussenlager","teilweise")))))</f>
        <v>Lift</v>
      </c>
      <c r="BN230" s="60" t="str">
        <f aca="false">IF(A230="","",IF(BW230=1,"Neu; ","")&amp;IF(AND(BW230=0,BR230&lt;0),"negativer Bestand (Export "&amp;BR230&amp;"); ","")&amp;IF(J230&lt;=0,"Kein Verbrauch; ","")&amp;IF(CR230&gt;0,"Lift "&amp;W230&amp;" lt. Liftbericht (Fach "&amp;X230&amp;" Stk); ",IF(CB230=1,"Gebinde geschätzt ("&amp;T230&amp;"); ",IF(CA230=1,"Lose – Tablare geschätzt; ","")))&amp;IF(H230&gt;AW230,"Überbestand "&amp;ROUND(H230-AW230,0)&amp;" Stk / CHF "&amp;ROUND((H230-AW230)*G230,0)&amp;"; ","")&amp;IF(AND(CI230=1,CJ230&lt;CK230),"MAX &lt; MB+LG; ","")&amp;IF(AND(CQ230&gt;0,CP230*10&gt;CQ230),"zu hoch für Tablar; ","")&amp;IF(AND(BW230=0,OR(CI230=1,AB230&lt;&gt;"",U230&lt;&gt;"",V230&lt;&gt;"",AC230&lt;&gt;"")),"manuell übersteuert; ","")&amp;IF(AND(CA230=0,R230=0),"Gebinde unbekannt / Stellmass fehlt; ","")&amp;IF(AND(CA230=0,N(V230)&lt;=0,N(Q230)&lt;=0),"Menge pro Gebinde fehlt (Ist = 1 Gebinde); ","")&amp;BV230)</f>
        <v/>
      </c>
      <c r="BO230" s="60"/>
      <c r="BP230" s="60"/>
      <c r="BQ230" s="67"/>
      <c r="BR230" s="62" t="n">
        <v>59</v>
      </c>
      <c r="BS230" s="62" t="n">
        <v>89</v>
      </c>
      <c r="BT230" s="61" t="n">
        <v>591.49</v>
      </c>
      <c r="BU230" s="62" t="n">
        <v>168</v>
      </c>
      <c r="BV230" s="60"/>
      <c r="BW230" s="65" t="n">
        <v>0</v>
      </c>
      <c r="BX230" s="65" t="n">
        <v>230</v>
      </c>
      <c r="BY230" s="60" t="str">
        <f aca="false">IF(U230&lt;&gt;"",UPPER(TRIM(U230)),IF(CB230=1,UPPER(VLOOKUP(T230,Parameter!$I$27:$K$29,2,0)),IF(P230="","LOSE",P230)))</f>
        <v>S52</v>
      </c>
      <c r="BZ230" s="62" t="n">
        <f aca="false">IF(BY230="LOSE",1,IF(N(V230)&gt;0,V230,IF(CB230=1,MAX(1,N(VLOOKUP(T230,Parameter!$I$27:$K$29,3,0)),H230,N(N230)),IF(N(Q230)&gt;0,Q230,MAX(1,H230)))))</f>
        <v>150</v>
      </c>
      <c r="CA230" s="65" t="n">
        <f aca="false">IF(BY230="LOSE",1,0)</f>
        <v>0</v>
      </c>
      <c r="CB230" s="65" t="n">
        <f aca="false">IF(AND(U230="",OR(P230="",P230="LOSE"),T230&lt;&gt;"",N(S230)&lt;=0,ISNUMBER(MATCH(T230,Parameter!$I$27:$I$29,0))),1,0)</f>
        <v>0</v>
      </c>
      <c r="CC230" s="65" t="n">
        <f aca="false">IF(CR230&gt;0,INDEX(Parameter!$H$5:$H$7,W230)/INDEX(Parameter!$E$5:$E$7,W230),IF(AND(CA230=0,N(IFERROR(VLOOKUP(BY230,'Gebinde-Kategorie'!$A$5:$N$45,14,0),0))&gt;0),VLOOKUP(BY230,'Gebinde-Kategorie'!$A$5:$N$45,14,0)*10+Parameter!$M$23,Parameter!$M$24))</f>
        <v>245</v>
      </c>
      <c r="CD230" s="60" t="str">
        <f aca="false">IF(AND(Parameter!$B$19="Ja",E230&lt;&gt;"",ISNUMBER(MATCH(E230,Parameter!$I$35:$I$52,0))),VLOOKUP(E230,Parameter!$I$35:$J$52,2,0),IFERROR(VLOOKUP(D230,Parameter!$A$35:$C$64,2,0),"Nein"))</f>
        <v>2+3</v>
      </c>
      <c r="CE230" s="64" t="n">
        <f aca="false">IF(CA230=0,0,IF(N(S230)&gt;0,S230,IFERROR(VLOOKUP(D230,Parameter!$A$35:$C$64,3,0)+0,0)))</f>
        <v>0</v>
      </c>
      <c r="CF230" s="60" t="n">
        <f aca="false">IF(AB230&lt;&gt;"",AB230,AA230)</f>
        <v>3</v>
      </c>
      <c r="CG230" s="60" t="str">
        <f aca="false">IF(OR(CF230=1,CF230=2,CF230=3),IF(Parameter!$E$27="Ja","LIFT",IF(CF230=1,"L1","L23")),IF(CF230="Aussen","Aussen","-"))</f>
        <v>LIFT</v>
      </c>
      <c r="CH230" s="71" t="n">
        <f aca="false">IF(N(AC230)&gt;0,AC230,0)</f>
        <v>0</v>
      </c>
      <c r="CI230" s="65" t="n">
        <f aca="false">IF(ISNUMBER(AF230),1,0)</f>
        <v>0</v>
      </c>
      <c r="CJ230" s="62" t="n">
        <f aca="false">N(AF230)</f>
        <v>0</v>
      </c>
      <c r="CK230" s="62" t="n">
        <f aca="false">N(M230)+N(N230)</f>
        <v>180</v>
      </c>
      <c r="CL230" s="62" t="n">
        <f aca="false">N(M230)</f>
        <v>10</v>
      </c>
      <c r="CM230" s="62" t="n">
        <f aca="false">N(N230)</f>
        <v>170</v>
      </c>
      <c r="CN230" s="62" t="n">
        <f aca="false">ROUNDUP(H230/BZ230,0)</f>
        <v>1</v>
      </c>
      <c r="CO230" s="62" t="n">
        <f aca="false">ROUNDUP(CJ230/BZ230,0)</f>
        <v>0</v>
      </c>
      <c r="CP230" s="65" t="n">
        <f aca="false">IF(CA230=1,0,IFERROR(VLOOKUP(BY230,'Gebinde-Kategorie'!$A$5:$N$45,5,0)+0,0))</f>
        <v>21</v>
      </c>
      <c r="CQ230" s="65" t="n">
        <f aca="false">IFERROR(IF(OR(CF230=1,CF230=2,CF230=3),N(INDEX(Parameter!$I$5:$I$7,CF230)),0),0)</f>
        <v>0</v>
      </c>
      <c r="CR230" s="64" t="n">
        <f aca="false">IF(AND(Parameter!$B$21="Ja",ISNUMBER(W230),N(X230)&gt;0),IFERROR(N(INDEX(Parameter!$L$5:$L$7,W230))*INDEX(Parameter!$E$5:$E$7,W230)*X230/SUMIFS($X$7:$X$1843,$W$7:$W$1843,W230),0),0)</f>
        <v>0</v>
      </c>
      <c r="CS230" s="62" t="n">
        <f aca="false">IF(AND(OR(CG230="L1",CG230="L23",CG230="LIFT"),H230&gt;0),CC230*IF(CR230&gt;0,CR230*MAX(1,H230/X230),IF(CA230=1,CE230,IF(R230&gt;0,CN230/R230,0))/MAX(0.1,N(Parameter!$M$21))),"")</f>
        <v>9.42307692307692</v>
      </c>
      <c r="CT230" s="64" t="n">
        <f aca="false">IF(CS230="","",J230/H230)</f>
        <v>1.13513513513514</v>
      </c>
      <c r="CU230" s="62" t="n">
        <f aca="false">IF(CS230="","",H230*G230)</f>
        <v>1477.04</v>
      </c>
      <c r="CV230" s="63" t="n">
        <f aca="false">IF(CS230="","",(CL230+ROUNDUP(CL230+MAX(CM230,2*(J230/MAX(0.1,N(Einkauf!$C$6))-CL230)),0))/2)</f>
        <v>95</v>
      </c>
      <c r="CW230" s="62" t="n">
        <f aca="false">IF(CS230="","",MAX(0,H230-CV230)*G230)</f>
        <v>528.94</v>
      </c>
      <c r="CX230" s="62" t="n">
        <f aca="false">IF(CS230="","",CS230*MAX(0,1-CV230/H230))</f>
        <v>3.37448024948025</v>
      </c>
      <c r="CY230" s="64" t="n">
        <f aca="false">IF(CS230="","",PERCENTRANK($CS$7:$CS$1843,CS230)+PERCENTRANK($CU$7:$CU$1843,CU230)+1-PERCENTRANK($CT$7:$CT$1843,CT230))</f>
        <v>1.598</v>
      </c>
      <c r="CZ230" s="72" t="n">
        <f aca="false">IF(CS230="","",CHOOSE(MATCH(Einkauf!$C$5,Parameter!$G$23:$G$27,0),CY230,CS230,CU230,-CT230,CW230)+ROW()/1000000000)</f>
        <v>1.59800023</v>
      </c>
    </row>
    <row r="231" customFormat="false" ht="15" hidden="false" customHeight="false" outlineLevel="0" collapsed="false">
      <c r="A231" s="60" t="s">
        <v>693</v>
      </c>
      <c r="B231" s="60" t="s">
        <v>694</v>
      </c>
      <c r="C231" s="60" t="s">
        <v>206</v>
      </c>
      <c r="D231" s="60" t="s">
        <v>215</v>
      </c>
      <c r="E231" s="60" t="s">
        <v>208</v>
      </c>
      <c r="F231" s="60" t="s">
        <v>260</v>
      </c>
      <c r="G231" s="61" t="n">
        <v>579</v>
      </c>
      <c r="H231" s="62" t="n">
        <f aca="false">MAX(0,IF(AND(Parameter!$B$21="Ja",ISNUMBER(Y231)),Y231,IF(Parameter!$B$20="Jahresanfang 2025 + Export",BS231+BR231,BR231)))</f>
        <v>1</v>
      </c>
      <c r="I231" s="62" t="n">
        <f aca="false">H231*G231</f>
        <v>579</v>
      </c>
      <c r="J231" s="62" t="n">
        <f aca="false">BU231*Parameter!$B$18</f>
        <v>1</v>
      </c>
      <c r="K231" s="63" t="n">
        <v>0.5</v>
      </c>
      <c r="L231" s="64" t="n">
        <v>2</v>
      </c>
      <c r="M231" s="62" t="n">
        <v>0</v>
      </c>
      <c r="N231" s="62" t="n">
        <v>1</v>
      </c>
      <c r="O231" s="65" t="n">
        <v>14</v>
      </c>
      <c r="P231" s="60" t="s">
        <v>210</v>
      </c>
      <c r="Q231" s="62"/>
      <c r="R231" s="65" t="n">
        <f aca="false">IF(CA231=1,0,IFERROR(VLOOKUP(BY231,'Gebinde-Kategorie'!$A$5:$N$45,13,0)+0,0))</f>
        <v>0</v>
      </c>
      <c r="S231" s="66"/>
      <c r="T231" s="67"/>
      <c r="U231" s="67"/>
      <c r="V231" s="67"/>
      <c r="W231" s="60" t="n">
        <v>1</v>
      </c>
      <c r="X231" s="62" t="n">
        <v>1</v>
      </c>
      <c r="Y231" s="62" t="n">
        <v>1</v>
      </c>
      <c r="Z231" s="60" t="n">
        <v>1</v>
      </c>
      <c r="AA231" s="60" t="n">
        <f aca="false">IF(A231="","",IF(AND(Parameter!$B$21="Ja",ISNUMBER(W231)),W231,IF(AND(Parameter!$E$27="Ja",ISNUMBER(Z231),CD231&lt;&gt;"Nein"),Z231,IF(CD231="2+3",IF(ISNUMBER(SEARCH("grosser Artikel",BV231)),2,IFERROR(VLOOKUP(BY231,Parameter!$F$35:$G$64,2,0),2)),IF(OR(CD231="Nein",CD231=""),"-",CD231)))))</f>
        <v>1</v>
      </c>
      <c r="AB231" s="67"/>
      <c r="AC231" s="68"/>
      <c r="AD231" s="62" t="n">
        <f aca="false">AW231</f>
        <v>1</v>
      </c>
      <c r="AE231" s="62" t="n">
        <f aca="false">MAX(AW231,H231)</f>
        <v>1</v>
      </c>
      <c r="AF231" s="69"/>
      <c r="AG231" s="62" t="n">
        <f aca="false">IF(LEFT(Cockpit!$C$5,1)="A",H231,IF(Parameter!$E$30="MAX-Bestand",IF(CI231=1,CJ231,IF(LEFT(Cockpit!$C$5,1)="B",AM231,MAX(AM231,H231))),ROUNDUP(AK231,0)))</f>
        <v>1</v>
      </c>
      <c r="AH231" s="62" t="n">
        <f aca="false">IF(CA231=1,0,ROUNDUP(AG231/BZ231,0))</f>
        <v>0</v>
      </c>
      <c r="AI231" s="64" t="n">
        <f aca="false">IF(CR231&gt;0,CR231*MAX(1,AG231/X231),IF(CA231=1,IF(AG231&lt;=0,0,CE231*MAX(1,IF(H231&gt;0,AG231/H231,1))),IF(R231&gt;0,AH231/R231,0))/MAX(0.1,N(Parameter!$M$21)))</f>
        <v>0.0800376647834275</v>
      </c>
      <c r="AJ231" s="62" t="n">
        <f aca="false">AI231*CC231</f>
        <v>19.0489642184557</v>
      </c>
      <c r="AK231" s="63" t="n">
        <f aca="false">IF(LEFT(Cockpit!$C$5,1)="A",H231,IF(CI231=1,(CL231+CJ231)/2,IF(LEFT(Cockpit!$C$5,1)="B",(CL231+AM231)/2,MAX((CL231+AM231)/2,H231))))</f>
        <v>1</v>
      </c>
      <c r="AL231" s="62" t="n">
        <f aca="false">AK231*G231</f>
        <v>579</v>
      </c>
      <c r="AM231" s="62" t="n">
        <f aca="false">ROUNDUP(CL231+MAX(CM231,2*(J231/IF(CH231&gt;0,CH231,MAX(0.1,N(Cockpit!$C$6)))-CL231)),0)</f>
        <v>1</v>
      </c>
      <c r="AN231" s="63" t="n">
        <f aca="false">IF(AJ231&gt;0,J231/AJ231,-1)</f>
        <v>0.0524962926347009</v>
      </c>
      <c r="AO231" s="63" t="n">
        <f aca="false">IF(AND(OR(CG231="L1",CG231="L23",CG231="LIFT"),AJ231&gt;0),SUMIFS($AJ$7:$AJ$1843,$CG$7:$CG$1843,CG231,$AN$7:$AN$1843,"&gt;"&amp;AN231)+SUMIFS($AJ$7:$AJ$1843,$CG$7:$CG$1843,CG231,$AN$7:$AN$1843,AN231,$BX$7:$BX$1843,"&lt;="&amp;BX231),"")</f>
        <v>19045.9645262929</v>
      </c>
      <c r="AP231" s="70" t="n">
        <f aca="false">IF(AO231="",0,MAX(0,MIN(1,(IF(CG231="L1",Parameter!$H$5,IF(CG231="L23",Parameter!$H$6+Parameter!$H$7,Parameter!$H$5+Parameter!$H$6+Parameter!$H$7))-(AO231-AJ231))/AJ231)))</f>
        <v>1</v>
      </c>
      <c r="AQ231" s="62" t="n">
        <f aca="false">IF(LEFT(Cockpit!$I$5,1)="A",H231,IF(Parameter!$E$30="MAX-Bestand",IF(CI231=1,CJ231,IF(LEFT(Cockpit!$I$5,1)="B",AW231,MAX(AW231,H231))),ROUNDUP(AU231,0)))</f>
        <v>1</v>
      </c>
      <c r="AR231" s="62" t="n">
        <f aca="false">IF(CA231=1,0,ROUNDUP(AQ231/BZ231,0))</f>
        <v>0</v>
      </c>
      <c r="AS231" s="64" t="n">
        <f aca="false">IF(CR231&gt;0,CR231*MAX(1,AQ231/X231),IF(CA231=1,IF(AQ231&lt;=0,0,CE231*MAX(1,IF(H231&gt;0,AQ231/H231,1))),IF(R231&gt;0,AR231/R231,0))/MAX(0.1,N(Parameter!$M$21)))</f>
        <v>0.0800376647834275</v>
      </c>
      <c r="AT231" s="62" t="n">
        <f aca="false">AS231*CC231</f>
        <v>19.0489642184557</v>
      </c>
      <c r="AU231" s="63" t="n">
        <f aca="false">IF(LEFT(Cockpit!$I$5,1)="A",H231,IF(CI231=1,(CL231+CJ231)/2,IF(LEFT(Cockpit!$I$5,1)="B",(CL231+AW231)/2,MAX((CL231+AW231)/2,H231))))</f>
        <v>1</v>
      </c>
      <c r="AV231" s="62" t="n">
        <f aca="false">AU231*G231</f>
        <v>579</v>
      </c>
      <c r="AW231" s="62" t="n">
        <f aca="false">ROUNDUP(CL231+MAX(CM231,2*(J231/IF(CH231&gt;0,CH231,MAX(0.1,N(Cockpit!$I$6)))-CL231)),0)</f>
        <v>1</v>
      </c>
      <c r="AX231" s="63" t="n">
        <f aca="false">IF(AT231&gt;0,J231/AT231,-1)</f>
        <v>0.0524962926347009</v>
      </c>
      <c r="AY231" s="63" t="n">
        <f aca="false">IF(AND(OR(CG231="L1",CG231="L23",CG231="LIFT"),AT231&gt;0),SUMIFS($AT$7:$AT$1843,$CG$7:$CG$1843,CG231,$AX$7:$AX$1843,"&gt;"&amp;AX231)+SUMIFS($AT$7:$AT$1843,$CG$7:$CG$1843,CG231,$AX$7:$AX$1843,AX231,$BX$7:$BX$1843,"&lt;="&amp;BX231),"")</f>
        <v>24164.1131676704</v>
      </c>
      <c r="AZ231" s="70" t="n">
        <f aca="false">IF(AY231="",0,MAX(0,MIN(1,(IF(CG231="L1",Parameter!$H$5,IF(CG231="L23",Parameter!$H$6+Parameter!$H$7,Parameter!$H$5+Parameter!$H$6+Parameter!$H$7))-(AY231-AT231))/AT231)))</f>
        <v>1</v>
      </c>
      <c r="BA231" s="62" t="n">
        <f aca="false">IF(LEFT(Cockpit!$O$5,1)="A",H231,IF(Parameter!$E$30="MAX-Bestand",IF(CI231=1,CJ231,IF(LEFT(Cockpit!$O$5,1)="B",BG231,MAX(BG231,H231))),ROUNDUP(BE231,0)))</f>
        <v>1</v>
      </c>
      <c r="BB231" s="62" t="n">
        <f aca="false">IF(CA231=1,0,ROUNDUP(BA231/BZ231,0))</f>
        <v>0</v>
      </c>
      <c r="BC231" s="64" t="n">
        <f aca="false">IF(CR231&gt;0,CR231*MAX(1,BA231/X231),IF(CA231=1,IF(BA231&lt;=0,0,CE231*MAX(1,IF(H231&gt;0,BA231/H231,1))),IF(R231&gt;0,BB231/R231,0))/MAX(0.1,N(Parameter!$M$21)))</f>
        <v>0.0800376647834275</v>
      </c>
      <c r="BD231" s="62" t="n">
        <f aca="false">BC231*CC231</f>
        <v>19.0489642184557</v>
      </c>
      <c r="BE231" s="63" t="n">
        <f aca="false">IF(LEFT(Cockpit!$O$5,1)="A",H231,IF(CI231=1,(CL231+CJ231)/2,IF(LEFT(Cockpit!$O$5,1)="B",(CL231+BG231)/2,MAX((CL231+BG231)/2,H231))))</f>
        <v>0.5</v>
      </c>
      <c r="BF231" s="62" t="n">
        <f aca="false">BE231*G231</f>
        <v>289.5</v>
      </c>
      <c r="BG231" s="62" t="n">
        <f aca="false">ROUNDUP(CL231+MAX(CM231,2*(J231/IF(CH231&gt;0,CH231,MAX(0.1,N(Cockpit!$O$6)))-CL231)),0)</f>
        <v>1</v>
      </c>
      <c r="BH231" s="63" t="n">
        <f aca="false">IF(BD231&gt;0,J231/BD231,-1)</f>
        <v>0.0524962926347009</v>
      </c>
      <c r="BI231" s="63" t="n">
        <f aca="false">IF(AND(OR(CG231="L1",CG231="L23",CG231="LIFT"),BD231&gt;0),SUMIFS($BD$7:$BD$1843,$CG$7:$CG$1843,CG231,$BH$7:$BH$1843,"&gt;"&amp;BH231)+SUMIFS($BD$7:$BD$1843,$CG$7:$CG$1843,CG231,$BH$7:$BH$1843,BH231,$BX$7:$BX$1843,"&lt;="&amp;BX231),"")</f>
        <v>20072.7783443017</v>
      </c>
      <c r="BJ231" s="70" t="n">
        <f aca="false">IF(BI231="",0,MAX(0,MIN(1,(IF(CG231="L1",Parameter!$H$5,IF(CG231="L23",Parameter!$H$6+Parameter!$H$7,Parameter!$H$5+Parameter!$H$6+Parameter!$H$7))-(BI231-BD231))/BD231)))</f>
        <v>1</v>
      </c>
      <c r="BK231" s="60" t="str">
        <f aca="false">IF(AJ231&lt;=0,"",IF(CG231="Aussen","Aussenlager",IF(CG231="-","Nicht im Lift",IF(AP231&gt;=1,"Lift",IF(AP231&lt;=0,"Aussenlager","teilweise")))))</f>
        <v>Lift</v>
      </c>
      <c r="BL231" s="60" t="str">
        <f aca="false">IF(AT231&lt;=0,"",IF(CG231="Aussen","Aussenlager",IF(CG231="-","Nicht im Lift",IF(AZ231&gt;=1,"Lift",IF(AZ231&lt;=0,"Aussenlager","teilweise")))))</f>
        <v>Lift</v>
      </c>
      <c r="BM231" s="60" t="str">
        <f aca="false">IF(BD231&lt;=0,"",IF(CG231="Aussen","Aussenlager",IF(CG231="-","Nicht im Lift",IF(BJ231&gt;=1,"Lift",IF(BJ231&lt;=0,"Aussenlager","teilweise")))))</f>
        <v>Lift</v>
      </c>
      <c r="BN231" s="60" t="str">
        <f aca="false">IF(A231="","",IF(BW231=1,"Neu; ","")&amp;IF(AND(BW231=0,BR231&lt;0),"negativer Bestand (Export "&amp;BR231&amp;"); ","")&amp;IF(J231&lt;=0,"Kein Verbrauch; ","")&amp;IF(CR231&gt;0,"Lift "&amp;W231&amp;" lt. Liftbericht (Fach "&amp;X231&amp;" Stk); ",IF(CB231=1,"Gebinde geschätzt ("&amp;T231&amp;"); ",IF(CA231=1,"Lose – Tablare geschätzt; ","")))&amp;IF(H231&gt;AW231,"Überbestand "&amp;ROUND(H231-AW231,0)&amp;" Stk / CHF "&amp;ROUND((H231-AW231)*G231,0)&amp;"; ","")&amp;IF(AND(CI231=1,CJ231&lt;CK231),"MAX &lt; MB+LG; ","")&amp;IF(AND(CQ231&gt;0,CP231*10&gt;CQ231),"zu hoch für Tablar; ","")&amp;IF(AND(BW231=0,OR(CI231=1,AB231&lt;&gt;"",U231&lt;&gt;"",V231&lt;&gt;"",AC231&lt;&gt;"")),"manuell übersteuert; ","")&amp;IF(AND(CA231=0,R231=0),"Gebinde unbekannt / Stellmass fehlt; ","")&amp;IF(AND(CA231=0,N(V231)&lt;=0,N(Q231)&lt;=0),"Menge pro Gebinde fehlt (Ist = 1 Gebinde); ","")&amp;BV231)</f>
        <v>Lift 1 lt. Liftbericht (Fach 1 Stk); </v>
      </c>
      <c r="BO231" s="60"/>
      <c r="BP231" s="60"/>
      <c r="BQ231" s="67"/>
      <c r="BR231" s="62" t="n">
        <v>1</v>
      </c>
      <c r="BS231" s="62" t="n">
        <v>0</v>
      </c>
      <c r="BT231" s="61" t="n">
        <v>579</v>
      </c>
      <c r="BU231" s="62" t="n">
        <v>1</v>
      </c>
      <c r="BV231" s="60"/>
      <c r="BW231" s="65" t="n">
        <v>0</v>
      </c>
      <c r="BX231" s="65" t="n">
        <v>231</v>
      </c>
      <c r="BY231" s="60" t="str">
        <f aca="false">IF(U231&lt;&gt;"",UPPER(TRIM(U231)),IF(CB231=1,UPPER(VLOOKUP(T231,Parameter!$I$27:$K$29,2,0)),IF(P231="","LOSE",P231)))</f>
        <v>LOSE</v>
      </c>
      <c r="BZ231" s="62" t="n">
        <f aca="false">IF(BY231="LOSE",1,IF(N(V231)&gt;0,V231,IF(CB231=1,MAX(1,N(VLOOKUP(T231,Parameter!$I$27:$K$29,3,0)),H231,N(N231)),IF(N(Q231)&gt;0,Q231,MAX(1,H231)))))</f>
        <v>1</v>
      </c>
      <c r="CA231" s="65" t="n">
        <f aca="false">IF(BY231="LOSE",1,0)</f>
        <v>1</v>
      </c>
      <c r="CB231" s="65" t="n">
        <f aca="false">IF(AND(U231="",OR(P231="",P231="LOSE"),T231&lt;&gt;"",N(S231)&lt;=0,ISNUMBER(MATCH(T231,Parameter!$I$27:$I$29,0))),1,0)</f>
        <v>0</v>
      </c>
      <c r="CC231" s="65" t="n">
        <f aca="false">IF(CR231&gt;0,INDEX(Parameter!$H$5:$H$7,W231)/INDEX(Parameter!$E$5:$E$7,W231),IF(AND(CA231=0,N(IFERROR(VLOOKUP(BY231,'Gebinde-Kategorie'!$A$5:$N$45,14,0),0))&gt;0),VLOOKUP(BY231,'Gebinde-Kategorie'!$A$5:$N$45,14,0)*10+Parameter!$M$23,Parameter!$M$24))</f>
        <v>238</v>
      </c>
      <c r="CD231" s="60" t="n">
        <f aca="false">IF(AND(Parameter!$B$19="Ja",E231&lt;&gt;"",ISNUMBER(MATCH(E231,Parameter!$I$35:$I$52,0))),VLOOKUP(E231,Parameter!$I$35:$J$52,2,0),IFERROR(VLOOKUP(D231,Parameter!$A$35:$C$64,2,0),"Nein"))</f>
        <v>1</v>
      </c>
      <c r="CE231" s="64" t="n">
        <f aca="false">IF(CA231=0,0,IF(N(S231)&gt;0,S231,IFERROR(VLOOKUP(D231,Parameter!$A$35:$C$64,3,0)+0,0)))</f>
        <v>0.15</v>
      </c>
      <c r="CF231" s="60" t="n">
        <f aca="false">IF(AB231&lt;&gt;"",AB231,AA231)</f>
        <v>1</v>
      </c>
      <c r="CG231" s="60" t="str">
        <f aca="false">IF(OR(CF231=1,CF231=2,CF231=3),IF(Parameter!$E$27="Ja","LIFT",IF(CF231=1,"L1","L23")),IF(CF231="Aussen","Aussen","-"))</f>
        <v>LIFT</v>
      </c>
      <c r="CH231" s="71" t="n">
        <f aca="false">IF(N(AC231)&gt;0,AC231,0)</f>
        <v>0</v>
      </c>
      <c r="CI231" s="65" t="n">
        <f aca="false">IF(ISNUMBER(AF231),1,0)</f>
        <v>0</v>
      </c>
      <c r="CJ231" s="62" t="n">
        <f aca="false">N(AF231)</f>
        <v>0</v>
      </c>
      <c r="CK231" s="62" t="n">
        <f aca="false">N(M231)+N(N231)</f>
        <v>1</v>
      </c>
      <c r="CL231" s="62" t="n">
        <f aca="false">N(M231)</f>
        <v>0</v>
      </c>
      <c r="CM231" s="62" t="n">
        <f aca="false">N(N231)</f>
        <v>1</v>
      </c>
      <c r="CN231" s="62" t="n">
        <f aca="false">ROUNDUP(H231/BZ231,0)</f>
        <v>1</v>
      </c>
      <c r="CO231" s="62" t="n">
        <f aca="false">ROUNDUP(CJ231/BZ231,0)</f>
        <v>0</v>
      </c>
      <c r="CP231" s="65" t="n">
        <f aca="false">IF(CA231=1,0,IFERROR(VLOOKUP(BY231,'Gebinde-Kategorie'!$A$5:$N$45,5,0)+0,0))</f>
        <v>0</v>
      </c>
      <c r="CQ231" s="65" t="n">
        <f aca="false">IFERROR(IF(OR(CF231=1,CF231=2,CF231=3),N(INDEX(Parameter!$I$5:$I$7,CF231)),0),0)</f>
        <v>0</v>
      </c>
      <c r="CR231" s="64" t="n">
        <f aca="false">IF(AND(Parameter!$B$21="Ja",ISNUMBER(W231),N(X231)&gt;0),IFERROR(N(INDEX(Parameter!$L$5:$L$7,W231))*INDEX(Parameter!$E$5:$E$7,W231)*X231/SUMIFS($X$7:$X$1843,$W$7:$W$1843,W231),0),0)</f>
        <v>0.0800376647834275</v>
      </c>
      <c r="CS231" s="62" t="n">
        <f aca="false">IF(AND(OR(CG231="L1",CG231="L23",CG231="LIFT"),H231&gt;0),CC231*IF(CR231&gt;0,CR231*MAX(1,H231/X231),IF(CA231=1,CE231,IF(R231&gt;0,CN231/R231,0))/MAX(0.1,N(Parameter!$M$21))),"")</f>
        <v>19.0489642184557</v>
      </c>
      <c r="CT231" s="64" t="n">
        <f aca="false">IF(CS231="","",J231/H231)</f>
        <v>1</v>
      </c>
      <c r="CU231" s="62" t="n">
        <f aca="false">IF(CS231="","",H231*G231)</f>
        <v>579</v>
      </c>
      <c r="CV231" s="63" t="n">
        <f aca="false">IF(CS231="","",(CL231+ROUNDUP(CL231+MAX(CM231,2*(J231/MAX(0.1,N(Einkauf!$C$6))-CL231)),0))/2)</f>
        <v>0.5</v>
      </c>
      <c r="CW231" s="62" t="n">
        <f aca="false">IF(CS231="","",MAX(0,H231-CV231)*G231)</f>
        <v>289.5</v>
      </c>
      <c r="CX231" s="62" t="n">
        <f aca="false">IF(CS231="","",CS231*MAX(0,1-CV231/H231))</f>
        <v>9.52448210922787</v>
      </c>
      <c r="CY231" s="64" t="n">
        <f aca="false">IF(CS231="","",PERCENTRANK($CS$7:$CS$1843,CS231)+PERCENTRANK($CU$7:$CU$1843,CU231)+1-PERCENTRANK($CT$7:$CT$1843,CT231))</f>
        <v>1.688</v>
      </c>
      <c r="CZ231" s="72" t="n">
        <f aca="false">IF(CS231="","",CHOOSE(MATCH(Einkauf!$C$5,Parameter!$G$23:$G$27,0),CY231,CS231,CU231,-CT231,CW231)+ROW()/1000000000)</f>
        <v>1.688000231</v>
      </c>
    </row>
    <row r="232" customFormat="false" ht="15" hidden="false" customHeight="false" outlineLevel="0" collapsed="false">
      <c r="A232" s="60" t="s">
        <v>695</v>
      </c>
      <c r="B232" s="60" t="s">
        <v>696</v>
      </c>
      <c r="C232" s="60" t="s">
        <v>206</v>
      </c>
      <c r="D232" s="60" t="s">
        <v>226</v>
      </c>
      <c r="E232" s="60" t="s">
        <v>227</v>
      </c>
      <c r="F232" s="60" t="s">
        <v>260</v>
      </c>
      <c r="G232" s="61" t="n">
        <v>41.32</v>
      </c>
      <c r="H232" s="62" t="n">
        <f aca="false">MAX(0,IF(AND(Parameter!$B$21="Ja",ISNUMBER(Y232)),Y232,IF(Parameter!$B$20="Jahresanfang 2025 + Export",BS232+BR232,BR232)))</f>
        <v>21</v>
      </c>
      <c r="I232" s="62" t="n">
        <f aca="false">H232*G232</f>
        <v>867.72</v>
      </c>
      <c r="J232" s="62" t="n">
        <f aca="false">BU232*Parameter!$B$18</f>
        <v>10</v>
      </c>
      <c r="K232" s="63" t="n">
        <v>4</v>
      </c>
      <c r="L232" s="64" t="n">
        <v>2.5</v>
      </c>
      <c r="M232" s="62" t="n">
        <v>0</v>
      </c>
      <c r="N232" s="62" t="n">
        <v>10</v>
      </c>
      <c r="O232" s="65" t="n">
        <v>35</v>
      </c>
      <c r="P232" s="60" t="s">
        <v>463</v>
      </c>
      <c r="Q232" s="62" t="n">
        <v>13</v>
      </c>
      <c r="R232" s="65" t="n">
        <f aca="false">IF(CA232=1,0,IFERROR(VLOOKUP(BY232,'Gebinde-Kategorie'!$A$5:$N$45,13,0)+0,0))</f>
        <v>104</v>
      </c>
      <c r="S232" s="66"/>
      <c r="T232" s="67"/>
      <c r="U232" s="67"/>
      <c r="V232" s="67"/>
      <c r="W232" s="60"/>
      <c r="X232" s="62"/>
      <c r="Y232" s="62"/>
      <c r="Z232" s="60" t="n">
        <v>3</v>
      </c>
      <c r="AA232" s="60" t="n">
        <f aca="false">IF(A232="","",IF(AND(Parameter!$B$21="Ja",ISNUMBER(W232)),W232,IF(AND(Parameter!$E$27="Ja",ISNUMBER(Z232),CD232&lt;&gt;"Nein"),Z232,IF(CD232="2+3",IF(ISNUMBER(SEARCH("grosser Artikel",BV232)),2,IFERROR(VLOOKUP(BY232,Parameter!$F$35:$G$64,2,0),2)),IF(OR(CD232="Nein",CD232=""),"-",CD232)))))</f>
        <v>3</v>
      </c>
      <c r="AB232" s="67"/>
      <c r="AC232" s="68"/>
      <c r="AD232" s="62" t="n">
        <f aca="false">AW232</f>
        <v>10</v>
      </c>
      <c r="AE232" s="62" t="n">
        <f aca="false">MAX(AW232,H232)</f>
        <v>21</v>
      </c>
      <c r="AF232" s="69"/>
      <c r="AG232" s="62" t="n">
        <f aca="false">IF(LEFT(Cockpit!$C$5,1)="A",H232,IF(Parameter!$E$30="MAX-Bestand",IF(CI232=1,CJ232,IF(LEFT(Cockpit!$C$5,1)="B",AM232,MAX(AM232,H232))),ROUNDUP(AK232,0)))</f>
        <v>21</v>
      </c>
      <c r="AH232" s="62" t="n">
        <f aca="false">IF(CA232=1,0,ROUNDUP(AG232/BZ232,0))</f>
        <v>2</v>
      </c>
      <c r="AI232" s="64" t="n">
        <f aca="false">IF(CR232&gt;0,CR232*MAX(1,AG232/X232),IF(CA232=1,IF(AG232&lt;=0,0,CE232*MAX(1,IF(H232&gt;0,AG232/H232,1))),IF(R232&gt;0,AH232/R232,0))/MAX(0.1,N(Parameter!$M$21)))</f>
        <v>0.0192307692307692</v>
      </c>
      <c r="AJ232" s="62" t="n">
        <f aca="false">AI232*CC232</f>
        <v>2.98076923076923</v>
      </c>
      <c r="AK232" s="63" t="n">
        <f aca="false">IF(LEFT(Cockpit!$C$5,1)="A",H232,IF(CI232=1,(CL232+CJ232)/2,IF(LEFT(Cockpit!$C$5,1)="B",(CL232+AM232)/2,MAX((CL232+AM232)/2,H232))))</f>
        <v>21</v>
      </c>
      <c r="AL232" s="62" t="n">
        <f aca="false">AK232*G232</f>
        <v>867.72</v>
      </c>
      <c r="AM232" s="62" t="n">
        <f aca="false">ROUNDUP(CL232+MAX(CM232,2*(J232/IF(CH232&gt;0,CH232,MAX(0.1,N(Cockpit!$C$6)))-CL232)),0)</f>
        <v>10</v>
      </c>
      <c r="AN232" s="63" t="n">
        <f aca="false">IF(AJ232&gt;0,J232/AJ232,-1)</f>
        <v>3.35483870967742</v>
      </c>
      <c r="AO232" s="63" t="n">
        <f aca="false">IF(AND(OR(CG232="L1",CG232="L23",CG232="LIFT"),AJ232&gt;0),SUMIFS($AJ$7:$AJ$1843,$CG$7:$CG$1843,CG232,$AN$7:$AN$1843,"&gt;"&amp;AN232)+SUMIFS($AJ$7:$AJ$1843,$CG$7:$CG$1843,CG232,$AN$7:$AN$1843,AN232,$BX$7:$BX$1843,"&lt;="&amp;BX232),"")</f>
        <v>4903.42445054945</v>
      </c>
      <c r="AP232" s="70" t="n">
        <f aca="false">IF(AO232="",0,MAX(0,MIN(1,(IF(CG232="L1",Parameter!$H$5,IF(CG232="L23",Parameter!$H$6+Parameter!$H$7,Parameter!$H$5+Parameter!$H$6+Parameter!$H$7))-(AO232-AJ232))/AJ232)))</f>
        <v>1</v>
      </c>
      <c r="AQ232" s="62" t="n">
        <f aca="false">IF(LEFT(Cockpit!$I$5,1)="A",H232,IF(Parameter!$E$30="MAX-Bestand",IF(CI232=1,CJ232,IF(LEFT(Cockpit!$I$5,1)="B",AW232,MAX(AW232,H232))),ROUNDUP(AU232,0)))</f>
        <v>21</v>
      </c>
      <c r="AR232" s="62" t="n">
        <f aca="false">IF(CA232=1,0,ROUNDUP(AQ232/BZ232,0))</f>
        <v>2</v>
      </c>
      <c r="AS232" s="64" t="n">
        <f aca="false">IF(CR232&gt;0,CR232*MAX(1,AQ232/X232),IF(CA232=1,IF(AQ232&lt;=0,0,CE232*MAX(1,IF(H232&gt;0,AQ232/H232,1))),IF(R232&gt;0,AR232/R232,0))/MAX(0.1,N(Parameter!$M$21)))</f>
        <v>0.0192307692307692</v>
      </c>
      <c r="AT232" s="62" t="n">
        <f aca="false">AS232*CC232</f>
        <v>2.98076923076923</v>
      </c>
      <c r="AU232" s="63" t="n">
        <f aca="false">IF(LEFT(Cockpit!$I$5,1)="A",H232,IF(CI232=1,(CL232+CJ232)/2,IF(LEFT(Cockpit!$I$5,1)="B",(CL232+AW232)/2,MAX((CL232+AW232)/2,H232))))</f>
        <v>21</v>
      </c>
      <c r="AV232" s="62" t="n">
        <f aca="false">AU232*G232</f>
        <v>867.72</v>
      </c>
      <c r="AW232" s="62" t="n">
        <f aca="false">ROUNDUP(CL232+MAX(CM232,2*(J232/IF(CH232&gt;0,CH232,MAX(0.1,N(Cockpit!$I$6)))-CL232)),0)</f>
        <v>10</v>
      </c>
      <c r="AX232" s="63" t="n">
        <f aca="false">IF(AT232&gt;0,J232/AT232,-1)</f>
        <v>3.35483870967742</v>
      </c>
      <c r="AY232" s="63" t="n">
        <f aca="false">IF(AND(OR(CG232="L1",CG232="L23",CG232="LIFT"),AT232&gt;0),SUMIFS($AT$7:$AT$1843,$CG$7:$CG$1843,CG232,$AX$7:$AX$1843,"&gt;"&amp;AX232)+SUMIFS($AT$7:$AT$1843,$CG$7:$CG$1843,CG232,$AX$7:$AX$1843,AX232,$BX$7:$BX$1843,"&lt;="&amp;BX232),"")</f>
        <v>5567.26144688645</v>
      </c>
      <c r="AZ232" s="70" t="n">
        <f aca="false">IF(AY232="",0,MAX(0,MIN(1,(IF(CG232="L1",Parameter!$H$5,IF(CG232="L23",Parameter!$H$6+Parameter!$H$7,Parameter!$H$5+Parameter!$H$6+Parameter!$H$7))-(AY232-AT232))/AT232)))</f>
        <v>1</v>
      </c>
      <c r="BA232" s="62" t="n">
        <f aca="false">IF(LEFT(Cockpit!$O$5,1)="A",H232,IF(Parameter!$E$30="MAX-Bestand",IF(CI232=1,CJ232,IF(LEFT(Cockpit!$O$5,1)="B",BG232,MAX(BG232,H232))),ROUNDUP(BE232,0)))</f>
        <v>5</v>
      </c>
      <c r="BB232" s="62" t="n">
        <f aca="false">IF(CA232=1,0,ROUNDUP(BA232/BZ232,0))</f>
        <v>1</v>
      </c>
      <c r="BC232" s="64" t="n">
        <f aca="false">IF(CR232&gt;0,CR232*MAX(1,BA232/X232),IF(CA232=1,IF(BA232&lt;=0,0,CE232*MAX(1,IF(H232&gt;0,BA232/H232,1))),IF(R232&gt;0,BB232/R232,0))/MAX(0.1,N(Parameter!$M$21)))</f>
        <v>0.00961538461538462</v>
      </c>
      <c r="BD232" s="62" t="n">
        <f aca="false">BC232*CC232</f>
        <v>1.49038461538462</v>
      </c>
      <c r="BE232" s="63" t="n">
        <f aca="false">IF(LEFT(Cockpit!$O$5,1)="A",H232,IF(CI232=1,(CL232+CJ232)/2,IF(LEFT(Cockpit!$O$5,1)="B",(CL232+BG232)/2,MAX((CL232+BG232)/2,H232))))</f>
        <v>5</v>
      </c>
      <c r="BF232" s="62" t="n">
        <f aca="false">BE232*G232</f>
        <v>206.6</v>
      </c>
      <c r="BG232" s="62" t="n">
        <f aca="false">ROUNDUP(CL232+MAX(CM232,2*(J232/IF(CH232&gt;0,CH232,MAX(0.1,N(Cockpit!$O$6)))-CL232)),0)</f>
        <v>10</v>
      </c>
      <c r="BH232" s="63" t="n">
        <f aca="false">IF(BD232&gt;0,J232/BD232,-1)</f>
        <v>6.70967741935484</v>
      </c>
      <c r="BI232" s="63" t="n">
        <f aca="false">IF(AND(OR(CG232="L1",CG232="L23",CG232="LIFT"),BD232&gt;0),SUMIFS($BD$7:$BD$1843,$CG$7:$CG$1843,CG232,$BH$7:$BH$1843,"&gt;"&amp;BH232)+SUMIFS($BD$7:$BD$1843,$CG$7:$CG$1843,CG232,$BH$7:$BH$1843,BH232,$BX$7:$BX$1843,"&lt;="&amp;BX232),"")</f>
        <v>3371.58882783883</v>
      </c>
      <c r="BJ232" s="70" t="n">
        <f aca="false">IF(BI232="",0,MAX(0,MIN(1,(IF(CG232="L1",Parameter!$H$5,IF(CG232="L23",Parameter!$H$6+Parameter!$H$7,Parameter!$H$5+Parameter!$H$6+Parameter!$H$7))-(BI232-BD232))/BD232)))</f>
        <v>1</v>
      </c>
      <c r="BK232" s="60" t="str">
        <f aca="false">IF(AJ232&lt;=0,"",IF(CG232="Aussen","Aussenlager",IF(CG232="-","Nicht im Lift",IF(AP232&gt;=1,"Lift",IF(AP232&lt;=0,"Aussenlager","teilweise")))))</f>
        <v>Lift</v>
      </c>
      <c r="BL232" s="60" t="str">
        <f aca="false">IF(AT232&lt;=0,"",IF(CG232="Aussen","Aussenlager",IF(CG232="-","Nicht im Lift",IF(AZ232&gt;=1,"Lift",IF(AZ232&lt;=0,"Aussenlager","teilweise")))))</f>
        <v>Lift</v>
      </c>
      <c r="BM232" s="60" t="str">
        <f aca="false">IF(BD232&lt;=0,"",IF(CG232="Aussen","Aussenlager",IF(CG232="-","Nicht im Lift",IF(BJ232&gt;=1,"Lift",IF(BJ232&lt;=0,"Aussenlager","teilweise")))))</f>
        <v>Lift</v>
      </c>
      <c r="BN232" s="60" t="str">
        <f aca="false">IF(A232="","",IF(BW232=1,"Neu; ","")&amp;IF(AND(BW232=0,BR232&lt;0),"negativer Bestand (Export "&amp;BR232&amp;"); ","")&amp;IF(J232&lt;=0,"Kein Verbrauch; ","")&amp;IF(CR232&gt;0,"Lift "&amp;W232&amp;" lt. Liftbericht (Fach "&amp;X232&amp;" Stk); ",IF(CB232=1,"Gebinde geschätzt ("&amp;T232&amp;"); ",IF(CA232=1,"Lose – Tablare geschätzt; ","")))&amp;IF(H232&gt;AW232,"Überbestand "&amp;ROUND(H232-AW232,0)&amp;" Stk / CHF "&amp;ROUND((H232-AW232)*G232,0)&amp;"; ","")&amp;IF(AND(CI232=1,CJ232&lt;CK232),"MAX &lt; MB+LG; ","")&amp;IF(AND(CQ232&gt;0,CP232*10&gt;CQ232),"zu hoch für Tablar; ","")&amp;IF(AND(BW232=0,OR(CI232=1,AB232&lt;&gt;"",U232&lt;&gt;"",V232&lt;&gt;"",AC232&lt;&gt;"")),"manuell übersteuert; ","")&amp;IF(AND(CA232=0,R232=0),"Gebinde unbekannt / Stellmass fehlt; ","")&amp;IF(AND(CA232=0,N(V232)&lt;=0,N(Q232)&lt;=0),"Menge pro Gebinde fehlt (Ist = 1 Gebinde); ","")&amp;BV232)</f>
        <v>Überbestand 11 Stk / CHF 455; </v>
      </c>
      <c r="BO232" s="60"/>
      <c r="BP232" s="60"/>
      <c r="BQ232" s="67"/>
      <c r="BR232" s="62" t="n">
        <v>17</v>
      </c>
      <c r="BS232" s="62" t="n">
        <v>4</v>
      </c>
      <c r="BT232" s="61" t="n">
        <v>578.4</v>
      </c>
      <c r="BU232" s="62" t="n">
        <v>10</v>
      </c>
      <c r="BV232" s="60"/>
      <c r="BW232" s="65" t="n">
        <v>0</v>
      </c>
      <c r="BX232" s="65" t="n">
        <v>232</v>
      </c>
      <c r="BY232" s="60" t="str">
        <f aca="false">IF(U232&lt;&gt;"",UPPER(TRIM(U232)),IF(CB232=1,UPPER(VLOOKUP(T232,Parameter!$I$27:$K$29,2,0)),IF(P232="","LOSE",P232)))</f>
        <v>S32</v>
      </c>
      <c r="BZ232" s="62" t="n">
        <f aca="false">IF(BY232="LOSE",1,IF(N(V232)&gt;0,V232,IF(CB232=1,MAX(1,N(VLOOKUP(T232,Parameter!$I$27:$K$29,3,0)),H232,N(N232)),IF(N(Q232)&gt;0,Q232,MAX(1,H232)))))</f>
        <v>13</v>
      </c>
      <c r="CA232" s="65" t="n">
        <f aca="false">IF(BY232="LOSE",1,0)</f>
        <v>0</v>
      </c>
      <c r="CB232" s="65" t="n">
        <f aca="false">IF(AND(U232="",OR(P232="",P232="LOSE"),T232&lt;&gt;"",N(S232)&lt;=0,ISNUMBER(MATCH(T232,Parameter!$I$27:$I$29,0))),1,0)</f>
        <v>0</v>
      </c>
      <c r="CC232" s="65" t="n">
        <f aca="false">IF(CR232&gt;0,INDEX(Parameter!$H$5:$H$7,W232)/INDEX(Parameter!$E$5:$E$7,W232),IF(AND(CA232=0,N(IFERROR(VLOOKUP(BY232,'Gebinde-Kategorie'!$A$5:$N$45,14,0),0))&gt;0),VLOOKUP(BY232,'Gebinde-Kategorie'!$A$5:$N$45,14,0)*10+Parameter!$M$23,Parameter!$M$24))</f>
        <v>155</v>
      </c>
      <c r="CD232" s="60" t="str">
        <f aca="false">IF(AND(Parameter!$B$19="Ja",E232&lt;&gt;"",ISNUMBER(MATCH(E232,Parameter!$I$35:$I$52,0))),VLOOKUP(E232,Parameter!$I$35:$J$52,2,0),IFERROR(VLOOKUP(D232,Parameter!$A$35:$C$64,2,0),"Nein"))</f>
        <v>2+3</v>
      </c>
      <c r="CE232" s="64" t="n">
        <f aca="false">IF(CA232=0,0,IF(N(S232)&gt;0,S232,IFERROR(VLOOKUP(D232,Parameter!$A$35:$C$64,3,0)+0,0)))</f>
        <v>0</v>
      </c>
      <c r="CF232" s="60" t="n">
        <f aca="false">IF(AB232&lt;&gt;"",AB232,AA232)</f>
        <v>3</v>
      </c>
      <c r="CG232" s="60" t="str">
        <f aca="false">IF(OR(CF232=1,CF232=2,CF232=3),IF(Parameter!$E$27="Ja","LIFT",IF(CF232=1,"L1","L23")),IF(CF232="Aussen","Aussen","-"))</f>
        <v>LIFT</v>
      </c>
      <c r="CH232" s="71" t="n">
        <f aca="false">IF(N(AC232)&gt;0,AC232,0)</f>
        <v>0</v>
      </c>
      <c r="CI232" s="65" t="n">
        <f aca="false">IF(ISNUMBER(AF232),1,0)</f>
        <v>0</v>
      </c>
      <c r="CJ232" s="62" t="n">
        <f aca="false">N(AF232)</f>
        <v>0</v>
      </c>
      <c r="CK232" s="62" t="n">
        <f aca="false">N(M232)+N(N232)</f>
        <v>10</v>
      </c>
      <c r="CL232" s="62" t="n">
        <f aca="false">N(M232)</f>
        <v>0</v>
      </c>
      <c r="CM232" s="62" t="n">
        <f aca="false">N(N232)</f>
        <v>10</v>
      </c>
      <c r="CN232" s="62" t="n">
        <f aca="false">ROUNDUP(H232/BZ232,0)</f>
        <v>2</v>
      </c>
      <c r="CO232" s="62" t="n">
        <f aca="false">ROUNDUP(CJ232/BZ232,0)</f>
        <v>0</v>
      </c>
      <c r="CP232" s="65" t="n">
        <f aca="false">IF(CA232=1,0,IFERROR(VLOOKUP(BY232,'Gebinde-Kategorie'!$A$5:$N$45,5,0)+0,0))</f>
        <v>8</v>
      </c>
      <c r="CQ232" s="65" t="n">
        <f aca="false">IFERROR(IF(OR(CF232=1,CF232=2,CF232=3),N(INDEX(Parameter!$I$5:$I$7,CF232)),0),0)</f>
        <v>0</v>
      </c>
      <c r="CR232" s="64" t="n">
        <f aca="false">IF(AND(Parameter!$B$21="Ja",ISNUMBER(W232),N(X232)&gt;0),IFERROR(N(INDEX(Parameter!$L$5:$L$7,W232))*INDEX(Parameter!$E$5:$E$7,W232)*X232/SUMIFS($X$7:$X$1843,$W$7:$W$1843,W232),0),0)</f>
        <v>0</v>
      </c>
      <c r="CS232" s="62" t="n">
        <f aca="false">IF(AND(OR(CG232="L1",CG232="L23",CG232="LIFT"),H232&gt;0),CC232*IF(CR232&gt;0,CR232*MAX(1,H232/X232),IF(CA232=1,CE232,IF(R232&gt;0,CN232/R232,0))/MAX(0.1,N(Parameter!$M$21))),"")</f>
        <v>2.98076923076923</v>
      </c>
      <c r="CT232" s="64" t="n">
        <f aca="false">IF(CS232="","",J232/H232)</f>
        <v>0.476190476190476</v>
      </c>
      <c r="CU232" s="62" t="n">
        <f aca="false">IF(CS232="","",H232*G232)</f>
        <v>867.72</v>
      </c>
      <c r="CV232" s="63" t="n">
        <f aca="false">IF(CS232="","",(CL232+ROUNDUP(CL232+MAX(CM232,2*(J232/MAX(0.1,N(Einkauf!$C$6))-CL232)),0))/2)</f>
        <v>5</v>
      </c>
      <c r="CW232" s="62" t="n">
        <f aca="false">IF(CS232="","",MAX(0,H232-CV232)*G232)</f>
        <v>661.12</v>
      </c>
      <c r="CX232" s="62" t="n">
        <f aca="false">IF(CS232="","",CS232*MAX(0,1-CV232/H232))</f>
        <v>2.27106227106227</v>
      </c>
      <c r="CY232" s="64" t="n">
        <f aca="false">IF(CS232="","",PERCENTRANK($CS$7:$CS$1843,CS232)+PERCENTRANK($CU$7:$CU$1843,CU232)+1-PERCENTRANK($CT$7:$CT$1843,CT232))</f>
        <v>1.287</v>
      </c>
      <c r="CZ232" s="72" t="n">
        <f aca="false">IF(CS232="","",CHOOSE(MATCH(Einkauf!$C$5,Parameter!$G$23:$G$27,0),CY232,CS232,CU232,-CT232,CW232)+ROW()/1000000000)</f>
        <v>1.287000232</v>
      </c>
    </row>
    <row r="233" customFormat="false" ht="15" hidden="false" customHeight="false" outlineLevel="0" collapsed="false">
      <c r="A233" s="60" t="s">
        <v>697</v>
      </c>
      <c r="B233" s="60" t="s">
        <v>698</v>
      </c>
      <c r="C233" s="60" t="s">
        <v>206</v>
      </c>
      <c r="D233" s="60" t="s">
        <v>215</v>
      </c>
      <c r="E233" s="60"/>
      <c r="F233" s="60" t="s">
        <v>260</v>
      </c>
      <c r="G233" s="61" t="n">
        <v>533.7</v>
      </c>
      <c r="H233" s="62" t="n">
        <f aca="false">MAX(0,IF(AND(Parameter!$B$21="Ja",ISNUMBER(Y233)),Y233,IF(Parameter!$B$20="Jahresanfang 2025 + Export",BS233+BR233,BR233)))</f>
        <v>2</v>
      </c>
      <c r="I233" s="62" t="n">
        <f aca="false">H233*G233</f>
        <v>1067.4</v>
      </c>
      <c r="J233" s="62" t="n">
        <f aca="false">BU233*Parameter!$B$18</f>
        <v>0</v>
      </c>
      <c r="K233" s="63" t="n">
        <v>1</v>
      </c>
      <c r="L233" s="64" t="n">
        <v>0</v>
      </c>
      <c r="M233" s="62" t="n">
        <v>0</v>
      </c>
      <c r="N233" s="62" t="n">
        <v>1</v>
      </c>
      <c r="O233" s="65" t="n">
        <v>28</v>
      </c>
      <c r="P233" s="60" t="s">
        <v>210</v>
      </c>
      <c r="Q233" s="62"/>
      <c r="R233" s="65" t="n">
        <f aca="false">IF(CA233=1,0,IFERROR(VLOOKUP(BY233,'Gebinde-Kategorie'!$A$5:$N$45,13,0)+0,0))</f>
        <v>12</v>
      </c>
      <c r="S233" s="66"/>
      <c r="T233" s="67" t="s">
        <v>221</v>
      </c>
      <c r="U233" s="67"/>
      <c r="V233" s="67"/>
      <c r="W233" s="60"/>
      <c r="X233" s="62"/>
      <c r="Y233" s="62"/>
      <c r="Z233" s="60" t="n">
        <v>3</v>
      </c>
      <c r="AA233" s="60" t="n">
        <f aca="false">IF(A233="","",IF(AND(Parameter!$B$21="Ja",ISNUMBER(W233)),W233,IF(AND(Parameter!$E$27="Ja",ISNUMBER(Z233),CD233&lt;&gt;"Nein"),Z233,IF(CD233="2+3",IF(ISNUMBER(SEARCH("grosser Artikel",BV233)),2,IFERROR(VLOOKUP(BY233,Parameter!$F$35:$G$64,2,0),2)),IF(OR(CD233="Nein",CD233=""),"-",CD233)))))</f>
        <v>3</v>
      </c>
      <c r="AB233" s="67"/>
      <c r="AC233" s="68"/>
      <c r="AD233" s="62" t="n">
        <f aca="false">AW233</f>
        <v>1</v>
      </c>
      <c r="AE233" s="62" t="n">
        <f aca="false">MAX(AW233,H233)</f>
        <v>2</v>
      </c>
      <c r="AF233" s="69"/>
      <c r="AG233" s="62" t="n">
        <f aca="false">IF(LEFT(Cockpit!$C$5,1)="A",H233,IF(Parameter!$E$30="MAX-Bestand",IF(CI233=1,CJ233,IF(LEFT(Cockpit!$C$5,1)="B",AM233,MAX(AM233,H233))),ROUNDUP(AK233,0)))</f>
        <v>2</v>
      </c>
      <c r="AH233" s="62" t="n">
        <f aca="false">IF(CA233=1,0,ROUNDUP(AG233/BZ233,0))</f>
        <v>1</v>
      </c>
      <c r="AI233" s="64" t="n">
        <f aca="false">IF(CR233&gt;0,CR233*MAX(1,AG233/X233),IF(CA233=1,IF(AG233&lt;=0,0,CE233*MAX(1,IF(H233&gt;0,AG233/H233,1))),IF(R233&gt;0,AH233/R233,0))/MAX(0.1,N(Parameter!$M$21)))</f>
        <v>0.0833333333333333</v>
      </c>
      <c r="AJ233" s="62" t="n">
        <f aca="false">AI233*CC233</f>
        <v>12.0833333333333</v>
      </c>
      <c r="AK233" s="63" t="n">
        <f aca="false">IF(LEFT(Cockpit!$C$5,1)="A",H233,IF(CI233=1,(CL233+CJ233)/2,IF(LEFT(Cockpit!$C$5,1)="B",(CL233+AM233)/2,MAX((CL233+AM233)/2,H233))))</f>
        <v>2</v>
      </c>
      <c r="AL233" s="62" t="n">
        <f aca="false">AK233*G233</f>
        <v>1067.4</v>
      </c>
      <c r="AM233" s="62" t="n">
        <f aca="false">ROUNDUP(CL233+MAX(CM233,2*(J233/IF(CH233&gt;0,CH233,MAX(0.1,N(Cockpit!$C$6)))-CL233)),0)</f>
        <v>1</v>
      </c>
      <c r="AN233" s="63" t="n">
        <f aca="false">IF(AJ233&gt;0,J233/AJ233,-1)</f>
        <v>0</v>
      </c>
      <c r="AO233" s="63" t="n">
        <f aca="false">IF(AND(OR(CG233="L1",CG233="L23",CG233="LIFT"),AJ233&gt;0),SUMIFS($AJ$7:$AJ$1843,$CG$7:$CG$1843,CG233,$AN$7:$AN$1843,"&gt;"&amp;AN233)+SUMIFS($AJ$7:$AJ$1843,$CG$7:$CG$1843,CG233,$AN$7:$AN$1843,AN233,$BX$7:$BX$1843,"&lt;="&amp;BX233),"")</f>
        <v>27633.4722377434</v>
      </c>
      <c r="AP233" s="70" t="n">
        <f aca="false">IF(AO233="",0,MAX(0,MIN(1,(IF(CG233="L1",Parameter!$H$5,IF(CG233="L23",Parameter!$H$6+Parameter!$H$7,Parameter!$H$5+Parameter!$H$6+Parameter!$H$7))-(AO233-AJ233))/AJ233)))</f>
        <v>1</v>
      </c>
      <c r="AQ233" s="62" t="n">
        <f aca="false">IF(LEFT(Cockpit!$I$5,1)="A",H233,IF(Parameter!$E$30="MAX-Bestand",IF(CI233=1,CJ233,IF(LEFT(Cockpit!$I$5,1)="B",AW233,MAX(AW233,H233))),ROUNDUP(AU233,0)))</f>
        <v>2</v>
      </c>
      <c r="AR233" s="62" t="n">
        <f aca="false">IF(CA233=1,0,ROUNDUP(AQ233/BZ233,0))</f>
        <v>1</v>
      </c>
      <c r="AS233" s="64" t="n">
        <f aca="false">IF(CR233&gt;0,CR233*MAX(1,AQ233/X233),IF(CA233=1,IF(AQ233&lt;=0,0,CE233*MAX(1,IF(H233&gt;0,AQ233/H233,1))),IF(R233&gt;0,AR233/R233,0))/MAX(0.1,N(Parameter!$M$21)))</f>
        <v>0.0833333333333333</v>
      </c>
      <c r="AT233" s="62" t="n">
        <f aca="false">AS233*CC233</f>
        <v>12.0833333333333</v>
      </c>
      <c r="AU233" s="63" t="n">
        <f aca="false">IF(LEFT(Cockpit!$I$5,1)="A",H233,IF(CI233=1,(CL233+CJ233)/2,IF(LEFT(Cockpit!$I$5,1)="B",(CL233+AW233)/2,MAX((CL233+AW233)/2,H233))))</f>
        <v>2</v>
      </c>
      <c r="AV233" s="62" t="n">
        <f aca="false">AU233*G233</f>
        <v>1067.4</v>
      </c>
      <c r="AW233" s="62" t="n">
        <f aca="false">ROUNDUP(CL233+MAX(CM233,2*(J233/IF(CH233&gt;0,CH233,MAX(0.1,N(Cockpit!$I$6)))-CL233)),0)</f>
        <v>1</v>
      </c>
      <c r="AX233" s="63" t="n">
        <f aca="false">IF(AT233&gt;0,J233/AT233,-1)</f>
        <v>0</v>
      </c>
      <c r="AY233" s="63" t="n">
        <f aca="false">IF(AND(OR(CG233="L1",CG233="L23",CG233="LIFT"),AT233&gt;0),SUMIFS($AT$7:$AT$1843,$CG$7:$CG$1843,CG233,$AX$7:$AX$1843,"&gt;"&amp;AX233)+SUMIFS($AT$7:$AT$1843,$CG$7:$CG$1843,CG233,$AX$7:$AX$1843,AX233,$BX$7:$BX$1843,"&lt;="&amp;BX233),"")</f>
        <v>32986.6208791209</v>
      </c>
      <c r="AZ233" s="70" t="n">
        <f aca="false">IF(AY233="",0,MAX(0,MIN(1,(IF(CG233="L1",Parameter!$H$5,IF(CG233="L23",Parameter!$H$6+Parameter!$H$7,Parameter!$H$5+Parameter!$H$6+Parameter!$H$7))-(AY233-AT233))/AT233)))</f>
        <v>1</v>
      </c>
      <c r="BA233" s="62" t="n">
        <f aca="false">IF(LEFT(Cockpit!$O$5,1)="A",H233,IF(Parameter!$E$30="MAX-Bestand",IF(CI233=1,CJ233,IF(LEFT(Cockpit!$O$5,1)="B",BG233,MAX(BG233,H233))),ROUNDUP(BE233,0)))</f>
        <v>1</v>
      </c>
      <c r="BB233" s="62" t="n">
        <f aca="false">IF(CA233=1,0,ROUNDUP(BA233/BZ233,0))</f>
        <v>1</v>
      </c>
      <c r="BC233" s="64" t="n">
        <f aca="false">IF(CR233&gt;0,CR233*MAX(1,BA233/X233),IF(CA233=1,IF(BA233&lt;=0,0,CE233*MAX(1,IF(H233&gt;0,BA233/H233,1))),IF(R233&gt;0,BB233/R233,0))/MAX(0.1,N(Parameter!$M$21)))</f>
        <v>0.0833333333333333</v>
      </c>
      <c r="BD233" s="62" t="n">
        <f aca="false">BC233*CC233</f>
        <v>12.0833333333333</v>
      </c>
      <c r="BE233" s="63" t="n">
        <f aca="false">IF(LEFT(Cockpit!$O$5,1)="A",H233,IF(CI233=1,(CL233+CJ233)/2,IF(LEFT(Cockpit!$O$5,1)="B",(CL233+BG233)/2,MAX((CL233+BG233)/2,H233))))</f>
        <v>0.5</v>
      </c>
      <c r="BF233" s="62" t="n">
        <f aca="false">BE233*G233</f>
        <v>266.85</v>
      </c>
      <c r="BG233" s="62" t="n">
        <f aca="false">ROUNDUP(CL233+MAX(CM233,2*(J233/IF(CH233&gt;0,CH233,MAX(0.1,N(Cockpit!$O$6)))-CL233)),0)</f>
        <v>1</v>
      </c>
      <c r="BH233" s="63" t="n">
        <f aca="false">IF(BD233&gt;0,J233/BD233,-1)</f>
        <v>0</v>
      </c>
      <c r="BI233" s="63" t="n">
        <f aca="false">IF(AND(OR(CG233="L1",CG233="L23",CG233="LIFT"),BD233&gt;0),SUMIFS($BD$7:$BD$1843,$CG$7:$CG$1843,CG233,$BH$7:$BH$1843,"&gt;"&amp;BH233)+SUMIFS($BD$7:$BD$1843,$CG$7:$CG$1843,CG233,$BH$7:$BH$1843,BH233,$BX$7:$BX$1843,"&lt;="&amp;BX233),"")</f>
        <v>27141.439901906</v>
      </c>
      <c r="BJ233" s="70" t="n">
        <f aca="false">IF(BI233="",0,MAX(0,MIN(1,(IF(CG233="L1",Parameter!$H$5,IF(CG233="L23",Parameter!$H$6+Parameter!$H$7,Parameter!$H$5+Parameter!$H$6+Parameter!$H$7))-(BI233-BD233))/BD233)))</f>
        <v>1</v>
      </c>
      <c r="BK233" s="60" t="str">
        <f aca="false">IF(AJ233&lt;=0,"",IF(CG233="Aussen","Aussenlager",IF(CG233="-","Nicht im Lift",IF(AP233&gt;=1,"Lift",IF(AP233&lt;=0,"Aussenlager","teilweise")))))</f>
        <v>Lift</v>
      </c>
      <c r="BL233" s="60" t="str">
        <f aca="false">IF(AT233&lt;=0,"",IF(CG233="Aussen","Aussenlager",IF(CG233="-","Nicht im Lift",IF(AZ233&gt;=1,"Lift",IF(AZ233&lt;=0,"Aussenlager","teilweise")))))</f>
        <v>Lift</v>
      </c>
      <c r="BM233" s="60" t="str">
        <f aca="false">IF(BD233&lt;=0,"",IF(CG233="Aussen","Aussenlager",IF(CG233="-","Nicht im Lift",IF(BJ233&gt;=1,"Lift",IF(BJ233&lt;=0,"Aussenlager","teilweise")))))</f>
        <v>Lift</v>
      </c>
      <c r="BN233" s="60" t="str">
        <f aca="false">IF(A233="","",IF(BW233=1,"Neu; ","")&amp;IF(AND(BW233=0,BR233&lt;0),"negativer Bestand (Export "&amp;BR233&amp;"); ","")&amp;IF(J233&lt;=0,"Kein Verbrauch; ","")&amp;IF(CR233&gt;0,"Lift "&amp;W233&amp;" lt. Liftbericht (Fach "&amp;X233&amp;" Stk); ",IF(CB233=1,"Gebinde geschätzt ("&amp;T233&amp;"); ",IF(CA233=1,"Lose – Tablare geschätzt; ","")))&amp;IF(H233&gt;AW233,"Überbestand "&amp;ROUND(H233-AW233,0)&amp;" Stk / CHF "&amp;ROUND((H233-AW233)*G233,0)&amp;"; ","")&amp;IF(AND(CI233=1,CJ233&lt;CK233),"MAX &lt; MB+LG; ","")&amp;IF(AND(CQ233&gt;0,CP233*10&gt;CQ233),"zu hoch für Tablar; ","")&amp;IF(AND(BW233=0,OR(CI233=1,AB233&lt;&gt;"",U233&lt;&gt;"",V233&lt;&gt;"",AC233&lt;&gt;"")),"manuell übersteuert; ","")&amp;IF(AND(CA233=0,R233=0),"Gebinde unbekannt / Stellmass fehlt; ","")&amp;IF(AND(CA233=0,N(V233)&lt;=0,N(Q233)&lt;=0),"Menge pro Gebinde fehlt (Ist = 1 Gebinde); ","")&amp;BV233)</f>
        <v>Kein Verbrauch; Gebinde geschätzt (Mittel); Überbestand 1 Stk / CHF 534; Menge pro Gebinde fehlt (Ist = 1 Gebinde); </v>
      </c>
      <c r="BO233" s="60"/>
      <c r="BP233" s="60"/>
      <c r="BQ233" s="67"/>
      <c r="BR233" s="62" t="n">
        <v>1</v>
      </c>
      <c r="BS233" s="62" t="n">
        <v>1</v>
      </c>
      <c r="BT233" s="61" t="n">
        <v>576.9</v>
      </c>
      <c r="BU233" s="62" t="n">
        <v>0</v>
      </c>
      <c r="BV233" s="60"/>
      <c r="BW233" s="65" t="n">
        <v>0</v>
      </c>
      <c r="BX233" s="65" t="n">
        <v>233</v>
      </c>
      <c r="BY233" s="60" t="str">
        <f aca="false">IF(U233&lt;&gt;"",UPPER(TRIM(U233)),IF(CB233=1,UPPER(VLOOKUP(T233,Parameter!$I$27:$K$29,2,0)),IF(P233="","LOSE",P233)))</f>
        <v>S61</v>
      </c>
      <c r="BZ233" s="62" t="n">
        <f aca="false">IF(BY233="LOSE",1,IF(N(V233)&gt;0,V233,IF(CB233=1,MAX(1,N(VLOOKUP(T233,Parameter!$I$27:$K$29,3,0)),H233,N(N233)),IF(N(Q233)&gt;0,Q233,MAX(1,H233)))))</f>
        <v>4</v>
      </c>
      <c r="CA233" s="65" t="n">
        <f aca="false">IF(BY233="LOSE",1,0)</f>
        <v>0</v>
      </c>
      <c r="CB233" s="65" t="n">
        <f aca="false">IF(AND(U233="",OR(P233="",P233="LOSE"),T233&lt;&gt;"",N(S233)&lt;=0,ISNUMBER(MATCH(T233,Parameter!$I$27:$I$29,0))),1,0)</f>
        <v>1</v>
      </c>
      <c r="CC233" s="65" t="n">
        <f aca="false">IF(CR233&gt;0,INDEX(Parameter!$H$5:$H$7,W233)/INDEX(Parameter!$E$5:$E$7,W233),IF(AND(CA233=0,N(IFERROR(VLOOKUP(BY233,'Gebinde-Kategorie'!$A$5:$N$45,14,0),0))&gt;0),VLOOKUP(BY233,'Gebinde-Kategorie'!$A$5:$N$45,14,0)*10+Parameter!$M$23,Parameter!$M$24))</f>
        <v>145</v>
      </c>
      <c r="CD233" s="60" t="str">
        <f aca="false">IF(AND(Parameter!$B$19="Ja",E233&lt;&gt;"",ISNUMBER(MATCH(E233,Parameter!$I$35:$I$52,0))),VLOOKUP(E233,Parameter!$I$35:$J$52,2,0),IFERROR(VLOOKUP(D233,Parameter!$A$35:$C$64,2,0),"Nein"))</f>
        <v>2+3</v>
      </c>
      <c r="CE233" s="64" t="n">
        <f aca="false">IF(CA233=0,0,IF(N(S233)&gt;0,S233,IFERROR(VLOOKUP(D233,Parameter!$A$35:$C$64,3,0)+0,0)))</f>
        <v>0</v>
      </c>
      <c r="CF233" s="60" t="n">
        <f aca="false">IF(AB233&lt;&gt;"",AB233,AA233)</f>
        <v>3</v>
      </c>
      <c r="CG233" s="60" t="str">
        <f aca="false">IF(OR(CF233=1,CF233=2,CF233=3),IF(Parameter!$E$27="Ja","LIFT",IF(CF233=1,"L1","L23")),IF(CF233="Aussen","Aussen","-"))</f>
        <v>LIFT</v>
      </c>
      <c r="CH233" s="71" t="n">
        <f aca="false">IF(N(AC233)&gt;0,AC233,0)</f>
        <v>0</v>
      </c>
      <c r="CI233" s="65" t="n">
        <f aca="false">IF(ISNUMBER(AF233),1,0)</f>
        <v>0</v>
      </c>
      <c r="CJ233" s="62" t="n">
        <f aca="false">N(AF233)</f>
        <v>0</v>
      </c>
      <c r="CK233" s="62" t="n">
        <f aca="false">N(M233)+N(N233)</f>
        <v>1</v>
      </c>
      <c r="CL233" s="62" t="n">
        <f aca="false">N(M233)</f>
        <v>0</v>
      </c>
      <c r="CM233" s="62" t="n">
        <f aca="false">N(N233)</f>
        <v>1</v>
      </c>
      <c r="CN233" s="62" t="n">
        <f aca="false">ROUNDUP(H233/BZ233,0)</f>
        <v>1</v>
      </c>
      <c r="CO233" s="62" t="n">
        <f aca="false">ROUNDUP(CJ233/BZ233,0)</f>
        <v>0</v>
      </c>
      <c r="CP233" s="65" t="n">
        <f aca="false">IF(CA233=1,0,IFERROR(VLOOKUP(BY233,'Gebinde-Kategorie'!$A$5:$N$45,5,0)+0,0))</f>
        <v>11</v>
      </c>
      <c r="CQ233" s="65" t="n">
        <f aca="false">IFERROR(IF(OR(CF233=1,CF233=2,CF233=3),N(INDEX(Parameter!$I$5:$I$7,CF233)),0),0)</f>
        <v>0</v>
      </c>
      <c r="CR233" s="64" t="n">
        <f aca="false">IF(AND(Parameter!$B$21="Ja",ISNUMBER(W233),N(X233)&gt;0),IFERROR(N(INDEX(Parameter!$L$5:$L$7,W233))*INDEX(Parameter!$E$5:$E$7,W233)*X233/SUMIFS($X$7:$X$1843,$W$7:$W$1843,W233),0),0)</f>
        <v>0</v>
      </c>
      <c r="CS233" s="62" t="n">
        <f aca="false">IF(AND(OR(CG233="L1",CG233="L23",CG233="LIFT"),H233&gt;0),CC233*IF(CR233&gt;0,CR233*MAX(1,H233/X233),IF(CA233=1,CE233,IF(R233&gt;0,CN233/R233,0))/MAX(0.1,N(Parameter!$M$21))),"")</f>
        <v>12.0833333333333</v>
      </c>
      <c r="CT233" s="64" t="n">
        <f aca="false">IF(CS233="","",J233/H233)</f>
        <v>0</v>
      </c>
      <c r="CU233" s="62" t="n">
        <f aca="false">IF(CS233="","",H233*G233)</f>
        <v>1067.4</v>
      </c>
      <c r="CV233" s="63" t="n">
        <f aca="false">IF(CS233="","",(CL233+ROUNDUP(CL233+MAX(CM233,2*(J233/MAX(0.1,N(Einkauf!$C$6))-CL233)),0))/2)</f>
        <v>0.5</v>
      </c>
      <c r="CW233" s="62" t="n">
        <f aca="false">IF(CS233="","",MAX(0,H233-CV233)*G233)</f>
        <v>800.55</v>
      </c>
      <c r="CX233" s="62" t="n">
        <f aca="false">IF(CS233="","",CS233*MAX(0,1-CV233/H233))</f>
        <v>9.0625</v>
      </c>
      <c r="CY233" s="64" t="n">
        <f aca="false">IF(CS233="","",PERCENTRANK($CS$7:$CS$1843,CS233)+PERCENTRANK($CU$7:$CU$1843,CU233)+1-PERCENTRANK($CT$7:$CT$1843,CT233))</f>
        <v>2.32</v>
      </c>
      <c r="CZ233" s="72" t="n">
        <f aca="false">IF(CS233="","",CHOOSE(MATCH(Einkauf!$C$5,Parameter!$G$23:$G$27,0),CY233,CS233,CU233,-CT233,CW233)+ROW()/1000000000)</f>
        <v>2.320000233</v>
      </c>
    </row>
    <row r="234" customFormat="false" ht="15" hidden="false" customHeight="false" outlineLevel="0" collapsed="false">
      <c r="A234" s="60" t="s">
        <v>699</v>
      </c>
      <c r="B234" s="60" t="s">
        <v>700</v>
      </c>
      <c r="C234" s="60" t="s">
        <v>206</v>
      </c>
      <c r="D234" s="60" t="s">
        <v>215</v>
      </c>
      <c r="E234" s="60"/>
      <c r="F234" s="60" t="s">
        <v>260</v>
      </c>
      <c r="G234" s="61" t="n">
        <v>533.7</v>
      </c>
      <c r="H234" s="62" t="n">
        <f aca="false">MAX(0,IF(AND(Parameter!$B$21="Ja",ISNUMBER(Y234)),Y234,IF(Parameter!$B$20="Jahresanfang 2025 + Export",BS234+BR234,BR234)))</f>
        <v>2</v>
      </c>
      <c r="I234" s="62" t="n">
        <f aca="false">H234*G234</f>
        <v>1067.4</v>
      </c>
      <c r="J234" s="62" t="n">
        <f aca="false">BU234*Parameter!$B$18</f>
        <v>0</v>
      </c>
      <c r="K234" s="63" t="n">
        <v>1</v>
      </c>
      <c r="L234" s="64" t="n">
        <v>0</v>
      </c>
      <c r="M234" s="62" t="n">
        <v>0</v>
      </c>
      <c r="N234" s="62" t="n">
        <v>1</v>
      </c>
      <c r="O234" s="65" t="n">
        <v>28</v>
      </c>
      <c r="P234" s="60" t="s">
        <v>210</v>
      </c>
      <c r="Q234" s="62"/>
      <c r="R234" s="65" t="n">
        <f aca="false">IF(CA234=1,0,IFERROR(VLOOKUP(BY234,'Gebinde-Kategorie'!$A$5:$N$45,13,0)+0,0))</f>
        <v>12</v>
      </c>
      <c r="S234" s="66"/>
      <c r="T234" s="67" t="s">
        <v>221</v>
      </c>
      <c r="U234" s="67"/>
      <c r="V234" s="67"/>
      <c r="W234" s="60"/>
      <c r="X234" s="62"/>
      <c r="Y234" s="62"/>
      <c r="Z234" s="60" t="n">
        <v>3</v>
      </c>
      <c r="AA234" s="60" t="n">
        <f aca="false">IF(A234="","",IF(AND(Parameter!$B$21="Ja",ISNUMBER(W234)),W234,IF(AND(Parameter!$E$27="Ja",ISNUMBER(Z234),CD234&lt;&gt;"Nein"),Z234,IF(CD234="2+3",IF(ISNUMBER(SEARCH("grosser Artikel",BV234)),2,IFERROR(VLOOKUP(BY234,Parameter!$F$35:$G$64,2,0),2)),IF(OR(CD234="Nein",CD234=""),"-",CD234)))))</f>
        <v>3</v>
      </c>
      <c r="AB234" s="67"/>
      <c r="AC234" s="68"/>
      <c r="AD234" s="62" t="n">
        <f aca="false">AW234</f>
        <v>1</v>
      </c>
      <c r="AE234" s="62" t="n">
        <f aca="false">MAX(AW234,H234)</f>
        <v>2</v>
      </c>
      <c r="AF234" s="69"/>
      <c r="AG234" s="62" t="n">
        <f aca="false">IF(LEFT(Cockpit!$C$5,1)="A",H234,IF(Parameter!$E$30="MAX-Bestand",IF(CI234=1,CJ234,IF(LEFT(Cockpit!$C$5,1)="B",AM234,MAX(AM234,H234))),ROUNDUP(AK234,0)))</f>
        <v>2</v>
      </c>
      <c r="AH234" s="62" t="n">
        <f aca="false">IF(CA234=1,0,ROUNDUP(AG234/BZ234,0))</f>
        <v>1</v>
      </c>
      <c r="AI234" s="64" t="n">
        <f aca="false">IF(CR234&gt;0,CR234*MAX(1,AG234/X234),IF(CA234=1,IF(AG234&lt;=0,0,CE234*MAX(1,IF(H234&gt;0,AG234/H234,1))),IF(R234&gt;0,AH234/R234,0))/MAX(0.1,N(Parameter!$M$21)))</f>
        <v>0.0833333333333333</v>
      </c>
      <c r="AJ234" s="62" t="n">
        <f aca="false">AI234*CC234</f>
        <v>12.0833333333333</v>
      </c>
      <c r="AK234" s="63" t="n">
        <f aca="false">IF(LEFT(Cockpit!$C$5,1)="A",H234,IF(CI234=1,(CL234+CJ234)/2,IF(LEFT(Cockpit!$C$5,1)="B",(CL234+AM234)/2,MAX((CL234+AM234)/2,H234))))</f>
        <v>2</v>
      </c>
      <c r="AL234" s="62" t="n">
        <f aca="false">AK234*G234</f>
        <v>1067.4</v>
      </c>
      <c r="AM234" s="62" t="n">
        <f aca="false">ROUNDUP(CL234+MAX(CM234,2*(J234/IF(CH234&gt;0,CH234,MAX(0.1,N(Cockpit!$C$6)))-CL234)),0)</f>
        <v>1</v>
      </c>
      <c r="AN234" s="63" t="n">
        <f aca="false">IF(AJ234&gt;0,J234/AJ234,-1)</f>
        <v>0</v>
      </c>
      <c r="AO234" s="63" t="n">
        <f aca="false">IF(AND(OR(CG234="L1",CG234="L23",CG234="LIFT"),AJ234&gt;0),SUMIFS($AJ$7:$AJ$1843,$CG$7:$CG$1843,CG234,$AN$7:$AN$1843,"&gt;"&amp;AN234)+SUMIFS($AJ$7:$AJ$1843,$CG$7:$CG$1843,CG234,$AN$7:$AN$1843,AN234,$BX$7:$BX$1843,"&lt;="&amp;BX234),"")</f>
        <v>27645.5555710768</v>
      </c>
      <c r="AP234" s="70" t="n">
        <f aca="false">IF(AO234="",0,MAX(0,MIN(1,(IF(CG234="L1",Parameter!$H$5,IF(CG234="L23",Parameter!$H$6+Parameter!$H$7,Parameter!$H$5+Parameter!$H$6+Parameter!$H$7))-(AO234-AJ234))/AJ234)))</f>
        <v>1</v>
      </c>
      <c r="AQ234" s="62" t="n">
        <f aca="false">IF(LEFT(Cockpit!$I$5,1)="A",H234,IF(Parameter!$E$30="MAX-Bestand",IF(CI234=1,CJ234,IF(LEFT(Cockpit!$I$5,1)="B",AW234,MAX(AW234,H234))),ROUNDUP(AU234,0)))</f>
        <v>2</v>
      </c>
      <c r="AR234" s="62" t="n">
        <f aca="false">IF(CA234=1,0,ROUNDUP(AQ234/BZ234,0))</f>
        <v>1</v>
      </c>
      <c r="AS234" s="64" t="n">
        <f aca="false">IF(CR234&gt;0,CR234*MAX(1,AQ234/X234),IF(CA234=1,IF(AQ234&lt;=0,0,CE234*MAX(1,IF(H234&gt;0,AQ234/H234,1))),IF(R234&gt;0,AR234/R234,0))/MAX(0.1,N(Parameter!$M$21)))</f>
        <v>0.0833333333333333</v>
      </c>
      <c r="AT234" s="62" t="n">
        <f aca="false">AS234*CC234</f>
        <v>12.0833333333333</v>
      </c>
      <c r="AU234" s="63" t="n">
        <f aca="false">IF(LEFT(Cockpit!$I$5,1)="A",H234,IF(CI234=1,(CL234+CJ234)/2,IF(LEFT(Cockpit!$I$5,1)="B",(CL234+AW234)/2,MAX((CL234+AW234)/2,H234))))</f>
        <v>2</v>
      </c>
      <c r="AV234" s="62" t="n">
        <f aca="false">AU234*G234</f>
        <v>1067.4</v>
      </c>
      <c r="AW234" s="62" t="n">
        <f aca="false">ROUNDUP(CL234+MAX(CM234,2*(J234/IF(CH234&gt;0,CH234,MAX(0.1,N(Cockpit!$I$6)))-CL234)),0)</f>
        <v>1</v>
      </c>
      <c r="AX234" s="63" t="n">
        <f aca="false">IF(AT234&gt;0,J234/AT234,-1)</f>
        <v>0</v>
      </c>
      <c r="AY234" s="63" t="n">
        <f aca="false">IF(AND(OR(CG234="L1",CG234="L23",CG234="LIFT"),AT234&gt;0),SUMIFS($AT$7:$AT$1843,$CG$7:$CG$1843,CG234,$AX$7:$AX$1843,"&gt;"&amp;AX234)+SUMIFS($AT$7:$AT$1843,$CG$7:$CG$1843,CG234,$AX$7:$AX$1843,AX234,$BX$7:$BX$1843,"&lt;="&amp;BX234),"")</f>
        <v>32998.7042124542</v>
      </c>
      <c r="AZ234" s="70" t="n">
        <f aca="false">IF(AY234="",0,MAX(0,MIN(1,(IF(CG234="L1",Parameter!$H$5,IF(CG234="L23",Parameter!$H$6+Parameter!$H$7,Parameter!$H$5+Parameter!$H$6+Parameter!$H$7))-(AY234-AT234))/AT234)))</f>
        <v>1</v>
      </c>
      <c r="BA234" s="62" t="n">
        <f aca="false">IF(LEFT(Cockpit!$O$5,1)="A",H234,IF(Parameter!$E$30="MAX-Bestand",IF(CI234=1,CJ234,IF(LEFT(Cockpit!$O$5,1)="B",BG234,MAX(BG234,H234))),ROUNDUP(BE234,0)))</f>
        <v>1</v>
      </c>
      <c r="BB234" s="62" t="n">
        <f aca="false">IF(CA234=1,0,ROUNDUP(BA234/BZ234,0))</f>
        <v>1</v>
      </c>
      <c r="BC234" s="64" t="n">
        <f aca="false">IF(CR234&gt;0,CR234*MAX(1,BA234/X234),IF(CA234=1,IF(BA234&lt;=0,0,CE234*MAX(1,IF(H234&gt;0,BA234/H234,1))),IF(R234&gt;0,BB234/R234,0))/MAX(0.1,N(Parameter!$M$21)))</f>
        <v>0.0833333333333333</v>
      </c>
      <c r="BD234" s="62" t="n">
        <f aca="false">BC234*CC234</f>
        <v>12.0833333333333</v>
      </c>
      <c r="BE234" s="63" t="n">
        <f aca="false">IF(LEFT(Cockpit!$O$5,1)="A",H234,IF(CI234=1,(CL234+CJ234)/2,IF(LEFT(Cockpit!$O$5,1)="B",(CL234+BG234)/2,MAX((CL234+BG234)/2,H234))))</f>
        <v>0.5</v>
      </c>
      <c r="BF234" s="62" t="n">
        <f aca="false">BE234*G234</f>
        <v>266.85</v>
      </c>
      <c r="BG234" s="62" t="n">
        <f aca="false">ROUNDUP(CL234+MAX(CM234,2*(J234/IF(CH234&gt;0,CH234,MAX(0.1,N(Cockpit!$O$6)))-CL234)),0)</f>
        <v>1</v>
      </c>
      <c r="BH234" s="63" t="n">
        <f aca="false">IF(BD234&gt;0,J234/BD234,-1)</f>
        <v>0</v>
      </c>
      <c r="BI234" s="63" t="n">
        <f aca="false">IF(AND(OR(CG234="L1",CG234="L23",CG234="LIFT"),BD234&gt;0),SUMIFS($BD$7:$BD$1843,$CG$7:$CG$1843,CG234,$BH$7:$BH$1843,"&gt;"&amp;BH234)+SUMIFS($BD$7:$BD$1843,$CG$7:$CG$1843,CG234,$BH$7:$BH$1843,BH234,$BX$7:$BX$1843,"&lt;="&amp;BX234),"")</f>
        <v>27153.5232352393</v>
      </c>
      <c r="BJ234" s="70" t="n">
        <f aca="false">IF(BI234="",0,MAX(0,MIN(1,(IF(CG234="L1",Parameter!$H$5,IF(CG234="L23",Parameter!$H$6+Parameter!$H$7,Parameter!$H$5+Parameter!$H$6+Parameter!$H$7))-(BI234-BD234))/BD234)))</f>
        <v>1</v>
      </c>
      <c r="BK234" s="60" t="str">
        <f aca="false">IF(AJ234&lt;=0,"",IF(CG234="Aussen","Aussenlager",IF(CG234="-","Nicht im Lift",IF(AP234&gt;=1,"Lift",IF(AP234&lt;=0,"Aussenlager","teilweise")))))</f>
        <v>Lift</v>
      </c>
      <c r="BL234" s="60" t="str">
        <f aca="false">IF(AT234&lt;=0,"",IF(CG234="Aussen","Aussenlager",IF(CG234="-","Nicht im Lift",IF(AZ234&gt;=1,"Lift",IF(AZ234&lt;=0,"Aussenlager","teilweise")))))</f>
        <v>Lift</v>
      </c>
      <c r="BM234" s="60" t="str">
        <f aca="false">IF(BD234&lt;=0,"",IF(CG234="Aussen","Aussenlager",IF(CG234="-","Nicht im Lift",IF(BJ234&gt;=1,"Lift",IF(BJ234&lt;=0,"Aussenlager","teilweise")))))</f>
        <v>Lift</v>
      </c>
      <c r="BN234" s="60" t="str">
        <f aca="false">IF(A234="","",IF(BW234=1,"Neu; ","")&amp;IF(AND(BW234=0,BR234&lt;0),"negativer Bestand (Export "&amp;BR234&amp;"); ","")&amp;IF(J234&lt;=0,"Kein Verbrauch; ","")&amp;IF(CR234&gt;0,"Lift "&amp;W234&amp;" lt. Liftbericht (Fach "&amp;X234&amp;" Stk); ",IF(CB234=1,"Gebinde geschätzt ("&amp;T234&amp;"); ",IF(CA234=1,"Lose – Tablare geschätzt; ","")))&amp;IF(H234&gt;AW234,"Überbestand "&amp;ROUND(H234-AW234,0)&amp;" Stk / CHF "&amp;ROUND((H234-AW234)*G234,0)&amp;"; ","")&amp;IF(AND(CI234=1,CJ234&lt;CK234),"MAX &lt; MB+LG; ","")&amp;IF(AND(CQ234&gt;0,CP234*10&gt;CQ234),"zu hoch für Tablar; ","")&amp;IF(AND(BW234=0,OR(CI234=1,AB234&lt;&gt;"",U234&lt;&gt;"",V234&lt;&gt;"",AC234&lt;&gt;"")),"manuell übersteuert; ","")&amp;IF(AND(CA234=0,R234=0),"Gebinde unbekannt / Stellmass fehlt; ","")&amp;IF(AND(CA234=0,N(V234)&lt;=0,N(Q234)&lt;=0),"Menge pro Gebinde fehlt (Ist = 1 Gebinde); ","")&amp;BV234)</f>
        <v>Kein Verbrauch; Gebinde geschätzt (Mittel); Überbestand 1 Stk / CHF 534; Menge pro Gebinde fehlt (Ist = 1 Gebinde); </v>
      </c>
      <c r="BO234" s="60"/>
      <c r="BP234" s="60"/>
      <c r="BQ234" s="67"/>
      <c r="BR234" s="62" t="n">
        <v>1</v>
      </c>
      <c r="BS234" s="62" t="n">
        <v>1</v>
      </c>
      <c r="BT234" s="61" t="n">
        <v>576.9</v>
      </c>
      <c r="BU234" s="62" t="n">
        <v>0</v>
      </c>
      <c r="BV234" s="60"/>
      <c r="BW234" s="65" t="n">
        <v>0</v>
      </c>
      <c r="BX234" s="65" t="n">
        <v>234</v>
      </c>
      <c r="BY234" s="60" t="str">
        <f aca="false">IF(U234&lt;&gt;"",UPPER(TRIM(U234)),IF(CB234=1,UPPER(VLOOKUP(T234,Parameter!$I$27:$K$29,2,0)),IF(P234="","LOSE",P234)))</f>
        <v>S61</v>
      </c>
      <c r="BZ234" s="62" t="n">
        <f aca="false">IF(BY234="LOSE",1,IF(N(V234)&gt;0,V234,IF(CB234=1,MAX(1,N(VLOOKUP(T234,Parameter!$I$27:$K$29,3,0)),H234,N(N234)),IF(N(Q234)&gt;0,Q234,MAX(1,H234)))))</f>
        <v>4</v>
      </c>
      <c r="CA234" s="65" t="n">
        <f aca="false">IF(BY234="LOSE",1,0)</f>
        <v>0</v>
      </c>
      <c r="CB234" s="65" t="n">
        <f aca="false">IF(AND(U234="",OR(P234="",P234="LOSE"),T234&lt;&gt;"",N(S234)&lt;=0,ISNUMBER(MATCH(T234,Parameter!$I$27:$I$29,0))),1,0)</f>
        <v>1</v>
      </c>
      <c r="CC234" s="65" t="n">
        <f aca="false">IF(CR234&gt;0,INDEX(Parameter!$H$5:$H$7,W234)/INDEX(Parameter!$E$5:$E$7,W234),IF(AND(CA234=0,N(IFERROR(VLOOKUP(BY234,'Gebinde-Kategorie'!$A$5:$N$45,14,0),0))&gt;0),VLOOKUP(BY234,'Gebinde-Kategorie'!$A$5:$N$45,14,0)*10+Parameter!$M$23,Parameter!$M$24))</f>
        <v>145</v>
      </c>
      <c r="CD234" s="60" t="str">
        <f aca="false">IF(AND(Parameter!$B$19="Ja",E234&lt;&gt;"",ISNUMBER(MATCH(E234,Parameter!$I$35:$I$52,0))),VLOOKUP(E234,Parameter!$I$35:$J$52,2,0),IFERROR(VLOOKUP(D234,Parameter!$A$35:$C$64,2,0),"Nein"))</f>
        <v>2+3</v>
      </c>
      <c r="CE234" s="64" t="n">
        <f aca="false">IF(CA234=0,0,IF(N(S234)&gt;0,S234,IFERROR(VLOOKUP(D234,Parameter!$A$35:$C$64,3,0)+0,0)))</f>
        <v>0</v>
      </c>
      <c r="CF234" s="60" t="n">
        <f aca="false">IF(AB234&lt;&gt;"",AB234,AA234)</f>
        <v>3</v>
      </c>
      <c r="CG234" s="60" t="str">
        <f aca="false">IF(OR(CF234=1,CF234=2,CF234=3),IF(Parameter!$E$27="Ja","LIFT",IF(CF234=1,"L1","L23")),IF(CF234="Aussen","Aussen","-"))</f>
        <v>LIFT</v>
      </c>
      <c r="CH234" s="71" t="n">
        <f aca="false">IF(N(AC234)&gt;0,AC234,0)</f>
        <v>0</v>
      </c>
      <c r="CI234" s="65" t="n">
        <f aca="false">IF(ISNUMBER(AF234),1,0)</f>
        <v>0</v>
      </c>
      <c r="CJ234" s="62" t="n">
        <f aca="false">N(AF234)</f>
        <v>0</v>
      </c>
      <c r="CK234" s="62" t="n">
        <f aca="false">N(M234)+N(N234)</f>
        <v>1</v>
      </c>
      <c r="CL234" s="62" t="n">
        <f aca="false">N(M234)</f>
        <v>0</v>
      </c>
      <c r="CM234" s="62" t="n">
        <f aca="false">N(N234)</f>
        <v>1</v>
      </c>
      <c r="CN234" s="62" t="n">
        <f aca="false">ROUNDUP(H234/BZ234,0)</f>
        <v>1</v>
      </c>
      <c r="CO234" s="62" t="n">
        <f aca="false">ROUNDUP(CJ234/BZ234,0)</f>
        <v>0</v>
      </c>
      <c r="CP234" s="65" t="n">
        <f aca="false">IF(CA234=1,0,IFERROR(VLOOKUP(BY234,'Gebinde-Kategorie'!$A$5:$N$45,5,0)+0,0))</f>
        <v>11</v>
      </c>
      <c r="CQ234" s="65" t="n">
        <f aca="false">IFERROR(IF(OR(CF234=1,CF234=2,CF234=3),N(INDEX(Parameter!$I$5:$I$7,CF234)),0),0)</f>
        <v>0</v>
      </c>
      <c r="CR234" s="64" t="n">
        <f aca="false">IF(AND(Parameter!$B$21="Ja",ISNUMBER(W234),N(X234)&gt;0),IFERROR(N(INDEX(Parameter!$L$5:$L$7,W234))*INDEX(Parameter!$E$5:$E$7,W234)*X234/SUMIFS($X$7:$X$1843,$W$7:$W$1843,W234),0),0)</f>
        <v>0</v>
      </c>
      <c r="CS234" s="62" t="n">
        <f aca="false">IF(AND(OR(CG234="L1",CG234="L23",CG234="LIFT"),H234&gt;0),CC234*IF(CR234&gt;0,CR234*MAX(1,H234/X234),IF(CA234=1,CE234,IF(R234&gt;0,CN234/R234,0))/MAX(0.1,N(Parameter!$M$21))),"")</f>
        <v>12.0833333333333</v>
      </c>
      <c r="CT234" s="64" t="n">
        <f aca="false">IF(CS234="","",J234/H234)</f>
        <v>0</v>
      </c>
      <c r="CU234" s="62" t="n">
        <f aca="false">IF(CS234="","",H234*G234)</f>
        <v>1067.4</v>
      </c>
      <c r="CV234" s="63" t="n">
        <f aca="false">IF(CS234="","",(CL234+ROUNDUP(CL234+MAX(CM234,2*(J234/MAX(0.1,N(Einkauf!$C$6))-CL234)),0))/2)</f>
        <v>0.5</v>
      </c>
      <c r="CW234" s="62" t="n">
        <f aca="false">IF(CS234="","",MAX(0,H234-CV234)*G234)</f>
        <v>800.55</v>
      </c>
      <c r="CX234" s="62" t="n">
        <f aca="false">IF(CS234="","",CS234*MAX(0,1-CV234/H234))</f>
        <v>9.0625</v>
      </c>
      <c r="CY234" s="64" t="n">
        <f aca="false">IF(CS234="","",PERCENTRANK($CS$7:$CS$1843,CS234)+PERCENTRANK($CU$7:$CU$1843,CU234)+1-PERCENTRANK($CT$7:$CT$1843,CT234))</f>
        <v>2.32</v>
      </c>
      <c r="CZ234" s="72" t="n">
        <f aca="false">IF(CS234="","",CHOOSE(MATCH(Einkauf!$C$5,Parameter!$G$23:$G$27,0),CY234,CS234,CU234,-CT234,CW234)+ROW()/1000000000)</f>
        <v>2.320000234</v>
      </c>
    </row>
    <row r="235" customFormat="false" ht="15" hidden="false" customHeight="false" outlineLevel="0" collapsed="false">
      <c r="A235" s="60" t="s">
        <v>701</v>
      </c>
      <c r="B235" s="60" t="s">
        <v>588</v>
      </c>
      <c r="C235" s="60" t="s">
        <v>206</v>
      </c>
      <c r="D235" s="60" t="s">
        <v>226</v>
      </c>
      <c r="E235" s="60"/>
      <c r="F235" s="60" t="s">
        <v>260</v>
      </c>
      <c r="G235" s="61" t="n">
        <v>11.5</v>
      </c>
      <c r="H235" s="62" t="n">
        <f aca="false">MAX(0,IF(AND(Parameter!$B$21="Ja",ISNUMBER(Y235)),Y235,IF(Parameter!$B$20="Jahresanfang 2025 + Export",BS235+BR235,BR235)))</f>
        <v>50</v>
      </c>
      <c r="I235" s="62" t="n">
        <f aca="false">H235*G235</f>
        <v>575</v>
      </c>
      <c r="J235" s="62" t="n">
        <f aca="false">BU235*Parameter!$B$18</f>
        <v>0</v>
      </c>
      <c r="K235" s="63" t="n">
        <v>0</v>
      </c>
      <c r="L235" s="64" t="n">
        <v>0</v>
      </c>
      <c r="M235" s="62" t="n">
        <v>0</v>
      </c>
      <c r="N235" s="62" t="n">
        <v>1</v>
      </c>
      <c r="O235" s="65" t="n">
        <v>9999</v>
      </c>
      <c r="P235" s="60" t="s">
        <v>210</v>
      </c>
      <c r="Q235" s="62"/>
      <c r="R235" s="65" t="n">
        <f aca="false">IF(CA235=1,0,IFERROR(VLOOKUP(BY235,'Gebinde-Kategorie'!$A$5:$N$45,13,0)+0,0))</f>
        <v>26</v>
      </c>
      <c r="S235" s="66"/>
      <c r="T235" s="67" t="s">
        <v>317</v>
      </c>
      <c r="U235" s="67"/>
      <c r="V235" s="67"/>
      <c r="W235" s="60"/>
      <c r="X235" s="62"/>
      <c r="Y235" s="62"/>
      <c r="Z235" s="60" t="n">
        <v>3</v>
      </c>
      <c r="AA235" s="60" t="n">
        <f aca="false">IF(A235="","",IF(AND(Parameter!$B$21="Ja",ISNUMBER(W235)),W235,IF(AND(Parameter!$E$27="Ja",ISNUMBER(Z235),CD235&lt;&gt;"Nein"),Z235,IF(CD235="2+3",IF(ISNUMBER(SEARCH("grosser Artikel",BV235)),2,IFERROR(VLOOKUP(BY235,Parameter!$F$35:$G$64,2,0),2)),IF(OR(CD235="Nein",CD235=""),"-",CD235)))))</f>
        <v>3</v>
      </c>
      <c r="AB235" s="67"/>
      <c r="AC235" s="68"/>
      <c r="AD235" s="62" t="n">
        <f aca="false">AW235</f>
        <v>1</v>
      </c>
      <c r="AE235" s="62" t="n">
        <f aca="false">MAX(AW235,H235)</f>
        <v>50</v>
      </c>
      <c r="AF235" s="69"/>
      <c r="AG235" s="62" t="n">
        <f aca="false">IF(LEFT(Cockpit!$C$5,1)="A",H235,IF(Parameter!$E$30="MAX-Bestand",IF(CI235=1,CJ235,IF(LEFT(Cockpit!$C$5,1)="B",AM235,MAX(AM235,H235))),ROUNDUP(AK235,0)))</f>
        <v>50</v>
      </c>
      <c r="AH235" s="62" t="n">
        <f aca="false">IF(CA235=1,0,ROUNDUP(AG235/BZ235,0))</f>
        <v>1</v>
      </c>
      <c r="AI235" s="64" t="n">
        <f aca="false">IF(CR235&gt;0,CR235*MAX(1,AG235/X235),IF(CA235=1,IF(AG235&lt;=0,0,CE235*MAX(1,IF(H235&gt;0,AG235/H235,1))),IF(R235&gt;0,AH235/R235,0))/MAX(0.1,N(Parameter!$M$21)))</f>
        <v>0.0384615384615385</v>
      </c>
      <c r="AJ235" s="62" t="n">
        <f aca="false">AI235*CC235</f>
        <v>5.96153846153846</v>
      </c>
      <c r="AK235" s="63" t="n">
        <f aca="false">IF(LEFT(Cockpit!$C$5,1)="A",H235,IF(CI235=1,(CL235+CJ235)/2,IF(LEFT(Cockpit!$C$5,1)="B",(CL235+AM235)/2,MAX((CL235+AM235)/2,H235))))</f>
        <v>50</v>
      </c>
      <c r="AL235" s="62" t="n">
        <f aca="false">AK235*G235</f>
        <v>575</v>
      </c>
      <c r="AM235" s="62" t="n">
        <f aca="false">ROUNDUP(CL235+MAX(CM235,2*(J235/IF(CH235&gt;0,CH235,MAX(0.1,N(Cockpit!$C$6)))-CL235)),0)</f>
        <v>1</v>
      </c>
      <c r="AN235" s="63" t="n">
        <f aca="false">IF(AJ235&gt;0,J235/AJ235,-1)</f>
        <v>0</v>
      </c>
      <c r="AO235" s="63" t="n">
        <f aca="false">IF(AND(OR(CG235="L1",CG235="L23",CG235="LIFT"),AJ235&gt;0),SUMIFS($AJ$7:$AJ$1843,$CG$7:$CG$1843,CG235,$AN$7:$AN$1843,"&gt;"&amp;AN235)+SUMIFS($AJ$7:$AJ$1843,$CG$7:$CG$1843,CG235,$AN$7:$AN$1843,AN235,$BX$7:$BX$1843,"&lt;="&amp;BX235),"")</f>
        <v>27651.5171095383</v>
      </c>
      <c r="AP235" s="70" t="n">
        <f aca="false">IF(AO235="",0,MAX(0,MIN(1,(IF(CG235="L1",Parameter!$H$5,IF(CG235="L23",Parameter!$H$6+Parameter!$H$7,Parameter!$H$5+Parameter!$H$6+Parameter!$H$7))-(AO235-AJ235))/AJ235)))</f>
        <v>1</v>
      </c>
      <c r="AQ235" s="62" t="n">
        <f aca="false">IF(LEFT(Cockpit!$I$5,1)="A",H235,IF(Parameter!$E$30="MAX-Bestand",IF(CI235=1,CJ235,IF(LEFT(Cockpit!$I$5,1)="B",AW235,MAX(AW235,H235))),ROUNDUP(AU235,0)))</f>
        <v>50</v>
      </c>
      <c r="AR235" s="62" t="n">
        <f aca="false">IF(CA235=1,0,ROUNDUP(AQ235/BZ235,0))</f>
        <v>1</v>
      </c>
      <c r="AS235" s="64" t="n">
        <f aca="false">IF(CR235&gt;0,CR235*MAX(1,AQ235/X235),IF(CA235=1,IF(AQ235&lt;=0,0,CE235*MAX(1,IF(H235&gt;0,AQ235/H235,1))),IF(R235&gt;0,AR235/R235,0))/MAX(0.1,N(Parameter!$M$21)))</f>
        <v>0.0384615384615385</v>
      </c>
      <c r="AT235" s="62" t="n">
        <f aca="false">AS235*CC235</f>
        <v>5.96153846153846</v>
      </c>
      <c r="AU235" s="63" t="n">
        <f aca="false">IF(LEFT(Cockpit!$I$5,1)="A",H235,IF(CI235=1,(CL235+CJ235)/2,IF(LEFT(Cockpit!$I$5,1)="B",(CL235+AW235)/2,MAX((CL235+AW235)/2,H235))))</f>
        <v>50</v>
      </c>
      <c r="AV235" s="62" t="n">
        <f aca="false">AU235*G235</f>
        <v>575</v>
      </c>
      <c r="AW235" s="62" t="n">
        <f aca="false">ROUNDUP(CL235+MAX(CM235,2*(J235/IF(CH235&gt;0,CH235,MAX(0.1,N(Cockpit!$I$6)))-CL235)),0)</f>
        <v>1</v>
      </c>
      <c r="AX235" s="63" t="n">
        <f aca="false">IF(AT235&gt;0,J235/AT235,-1)</f>
        <v>0</v>
      </c>
      <c r="AY235" s="63" t="n">
        <f aca="false">IF(AND(OR(CG235="L1",CG235="L23",CG235="LIFT"),AT235&gt;0),SUMIFS($AT$7:$AT$1843,$CG$7:$CG$1843,CG235,$AX$7:$AX$1843,"&gt;"&amp;AX235)+SUMIFS($AT$7:$AT$1843,$CG$7:$CG$1843,CG235,$AX$7:$AX$1843,AX235,$BX$7:$BX$1843,"&lt;="&amp;BX235),"")</f>
        <v>33004.6657509158</v>
      </c>
      <c r="AZ235" s="70" t="n">
        <f aca="false">IF(AY235="",0,MAX(0,MIN(1,(IF(CG235="L1",Parameter!$H$5,IF(CG235="L23",Parameter!$H$6+Parameter!$H$7,Parameter!$H$5+Parameter!$H$6+Parameter!$H$7))-(AY235-AT235))/AT235)))</f>
        <v>1</v>
      </c>
      <c r="BA235" s="62" t="n">
        <f aca="false">IF(LEFT(Cockpit!$O$5,1)="A",H235,IF(Parameter!$E$30="MAX-Bestand",IF(CI235=1,CJ235,IF(LEFT(Cockpit!$O$5,1)="B",BG235,MAX(BG235,H235))),ROUNDUP(BE235,0)))</f>
        <v>1</v>
      </c>
      <c r="BB235" s="62" t="n">
        <f aca="false">IF(CA235=1,0,ROUNDUP(BA235/BZ235,0))</f>
        <v>1</v>
      </c>
      <c r="BC235" s="64" t="n">
        <f aca="false">IF(CR235&gt;0,CR235*MAX(1,BA235/X235),IF(CA235=1,IF(BA235&lt;=0,0,CE235*MAX(1,IF(H235&gt;0,BA235/H235,1))),IF(R235&gt;0,BB235/R235,0))/MAX(0.1,N(Parameter!$M$21)))</f>
        <v>0.0384615384615385</v>
      </c>
      <c r="BD235" s="62" t="n">
        <f aca="false">BC235*CC235</f>
        <v>5.96153846153846</v>
      </c>
      <c r="BE235" s="63" t="n">
        <f aca="false">IF(LEFT(Cockpit!$O$5,1)="A",H235,IF(CI235=1,(CL235+CJ235)/2,IF(LEFT(Cockpit!$O$5,1)="B",(CL235+BG235)/2,MAX((CL235+BG235)/2,H235))))</f>
        <v>0.5</v>
      </c>
      <c r="BF235" s="62" t="n">
        <f aca="false">BE235*G235</f>
        <v>5.75</v>
      </c>
      <c r="BG235" s="62" t="n">
        <f aca="false">ROUNDUP(CL235+MAX(CM235,2*(J235/IF(CH235&gt;0,CH235,MAX(0.1,N(Cockpit!$O$6)))-CL235)),0)</f>
        <v>1</v>
      </c>
      <c r="BH235" s="63" t="n">
        <f aca="false">IF(BD235&gt;0,J235/BD235,-1)</f>
        <v>0</v>
      </c>
      <c r="BI235" s="63" t="n">
        <f aca="false">IF(AND(OR(CG235="L1",CG235="L23",CG235="LIFT"),BD235&gt;0),SUMIFS($BD$7:$BD$1843,$CG$7:$CG$1843,CG235,$BH$7:$BH$1843,"&gt;"&amp;BH235)+SUMIFS($BD$7:$BD$1843,$CG$7:$CG$1843,CG235,$BH$7:$BH$1843,BH235,$BX$7:$BX$1843,"&lt;="&amp;BX235),"")</f>
        <v>27159.4847737009</v>
      </c>
      <c r="BJ235" s="70" t="n">
        <f aca="false">IF(BI235="",0,MAX(0,MIN(1,(IF(CG235="L1",Parameter!$H$5,IF(CG235="L23",Parameter!$H$6+Parameter!$H$7,Parameter!$H$5+Parameter!$H$6+Parameter!$H$7))-(BI235-BD235))/BD235)))</f>
        <v>1</v>
      </c>
      <c r="BK235" s="60" t="str">
        <f aca="false">IF(AJ235&lt;=0,"",IF(CG235="Aussen","Aussenlager",IF(CG235="-","Nicht im Lift",IF(AP235&gt;=1,"Lift",IF(AP235&lt;=0,"Aussenlager","teilweise")))))</f>
        <v>Lift</v>
      </c>
      <c r="BL235" s="60" t="str">
        <f aca="false">IF(AT235&lt;=0,"",IF(CG235="Aussen","Aussenlager",IF(CG235="-","Nicht im Lift",IF(AZ235&gt;=1,"Lift",IF(AZ235&lt;=0,"Aussenlager","teilweise")))))</f>
        <v>Lift</v>
      </c>
      <c r="BM235" s="60" t="str">
        <f aca="false">IF(BD235&lt;=0,"",IF(CG235="Aussen","Aussenlager",IF(CG235="-","Nicht im Lift",IF(BJ235&gt;=1,"Lift",IF(BJ235&lt;=0,"Aussenlager","teilweise")))))</f>
        <v>Lift</v>
      </c>
      <c r="BN235" s="60" t="str">
        <f aca="false">IF(A235="","",IF(BW235=1,"Neu; ","")&amp;IF(AND(BW235=0,BR235&lt;0),"negativer Bestand (Export "&amp;BR235&amp;"); ","")&amp;IF(J235&lt;=0,"Kein Verbrauch; ","")&amp;IF(CR235&gt;0,"Lift "&amp;W235&amp;" lt. Liftbericht (Fach "&amp;X235&amp;" Stk); ",IF(CB235=1,"Gebinde geschätzt ("&amp;T235&amp;"); ",IF(CA235=1,"Lose – Tablare geschätzt; ","")))&amp;IF(H235&gt;AW235,"Überbestand "&amp;ROUND(H235-AW235,0)&amp;" Stk / CHF "&amp;ROUND((H235-AW235)*G235,0)&amp;"; ","")&amp;IF(AND(CI235=1,CJ235&lt;CK235),"MAX &lt; MB+LG; ","")&amp;IF(AND(CQ235&gt;0,CP235*10&gt;CQ235),"zu hoch für Tablar; ","")&amp;IF(AND(BW235=0,OR(CI235=1,AB235&lt;&gt;"",U235&lt;&gt;"",V235&lt;&gt;"",AC235&lt;&gt;"")),"manuell übersteuert; ","")&amp;IF(AND(CA235=0,R235=0),"Gebinde unbekannt / Stellmass fehlt; ","")&amp;IF(AND(CA235=0,N(V235)&lt;=0,N(Q235)&lt;=0),"Menge pro Gebinde fehlt (Ist = 1 Gebinde); ","")&amp;BV235)</f>
        <v>Kein Verbrauch; Gebinde geschätzt (Klein); Überbestand 49 Stk / CHF 564; Menge pro Gebinde fehlt (Ist = 1 Gebinde); </v>
      </c>
      <c r="BO235" s="60"/>
      <c r="BP235" s="60"/>
      <c r="BQ235" s="67"/>
      <c r="BR235" s="62" t="n">
        <v>50</v>
      </c>
      <c r="BS235" s="62" t="n">
        <v>0</v>
      </c>
      <c r="BT235" s="61" t="n">
        <v>575</v>
      </c>
      <c r="BU235" s="62" t="n">
        <v>0</v>
      </c>
      <c r="BV235" s="60"/>
      <c r="BW235" s="65" t="n">
        <v>0</v>
      </c>
      <c r="BX235" s="65" t="n">
        <v>235</v>
      </c>
      <c r="BY235" s="60" t="str">
        <f aca="false">IF(U235&lt;&gt;"",UPPER(TRIM(U235)),IF(CB235=1,UPPER(VLOOKUP(T235,Parameter!$I$27:$K$29,2,0)),IF(P235="","LOSE",P235)))</f>
        <v>S51</v>
      </c>
      <c r="BZ235" s="62" t="n">
        <f aca="false">IF(BY235="LOSE",1,IF(N(V235)&gt;0,V235,IF(CB235=1,MAX(1,N(VLOOKUP(T235,Parameter!$I$27:$K$29,3,0)),H235,N(N235)),IF(N(Q235)&gt;0,Q235,MAX(1,H235)))))</f>
        <v>50</v>
      </c>
      <c r="CA235" s="65" t="n">
        <f aca="false">IF(BY235="LOSE",1,0)</f>
        <v>0</v>
      </c>
      <c r="CB235" s="65" t="n">
        <f aca="false">IF(AND(U235="",OR(P235="",P235="LOSE"),T235&lt;&gt;"",N(S235)&lt;=0,ISNUMBER(MATCH(T235,Parameter!$I$27:$I$29,0))),1,0)</f>
        <v>1</v>
      </c>
      <c r="CC235" s="65" t="n">
        <f aca="false">IF(CR235&gt;0,INDEX(Parameter!$H$5:$H$7,W235)/INDEX(Parameter!$E$5:$E$7,W235),IF(AND(CA235=0,N(IFERROR(VLOOKUP(BY235,'Gebinde-Kategorie'!$A$5:$N$45,14,0),0))&gt;0),VLOOKUP(BY235,'Gebinde-Kategorie'!$A$5:$N$45,14,0)*10+Parameter!$M$23,Parameter!$M$24))</f>
        <v>155</v>
      </c>
      <c r="CD235" s="60" t="str">
        <f aca="false">IF(AND(Parameter!$B$19="Ja",E235&lt;&gt;"",ISNUMBER(MATCH(E235,Parameter!$I$35:$I$52,0))),VLOOKUP(E235,Parameter!$I$35:$J$52,2,0),IFERROR(VLOOKUP(D235,Parameter!$A$35:$C$64,2,0),"Nein"))</f>
        <v>2+3</v>
      </c>
      <c r="CE235" s="64" t="n">
        <f aca="false">IF(CA235=0,0,IF(N(S235)&gt;0,S235,IFERROR(VLOOKUP(D235,Parameter!$A$35:$C$64,3,0)+0,0)))</f>
        <v>0</v>
      </c>
      <c r="CF235" s="60" t="n">
        <f aca="false">IF(AB235&lt;&gt;"",AB235,AA235)</f>
        <v>3</v>
      </c>
      <c r="CG235" s="60" t="str">
        <f aca="false">IF(OR(CF235=1,CF235=2,CF235=3),IF(Parameter!$E$27="Ja","LIFT",IF(CF235=1,"L1","L23")),IF(CF235="Aussen","Aussen","-"))</f>
        <v>LIFT</v>
      </c>
      <c r="CH235" s="71" t="n">
        <f aca="false">IF(N(AC235)&gt;0,AC235,0)</f>
        <v>0</v>
      </c>
      <c r="CI235" s="65" t="n">
        <f aca="false">IF(ISNUMBER(AF235),1,0)</f>
        <v>0</v>
      </c>
      <c r="CJ235" s="62" t="n">
        <f aca="false">N(AF235)</f>
        <v>0</v>
      </c>
      <c r="CK235" s="62" t="n">
        <f aca="false">N(M235)+N(N235)</f>
        <v>1</v>
      </c>
      <c r="CL235" s="62" t="n">
        <f aca="false">N(M235)</f>
        <v>0</v>
      </c>
      <c r="CM235" s="62" t="n">
        <f aca="false">N(N235)</f>
        <v>1</v>
      </c>
      <c r="CN235" s="62" t="n">
        <f aca="false">ROUNDUP(H235/BZ235,0)</f>
        <v>1</v>
      </c>
      <c r="CO235" s="62" t="n">
        <f aca="false">ROUNDUP(CJ235/BZ235,0)</f>
        <v>0</v>
      </c>
      <c r="CP235" s="65" t="n">
        <f aca="false">IF(CA235=1,0,IFERROR(VLOOKUP(BY235,'Gebinde-Kategorie'!$A$5:$N$45,5,0)+0,0))</f>
        <v>11</v>
      </c>
      <c r="CQ235" s="65" t="n">
        <f aca="false">IFERROR(IF(OR(CF235=1,CF235=2,CF235=3),N(INDEX(Parameter!$I$5:$I$7,CF235)),0),0)</f>
        <v>0</v>
      </c>
      <c r="CR235" s="64" t="n">
        <f aca="false">IF(AND(Parameter!$B$21="Ja",ISNUMBER(W235),N(X235)&gt;0),IFERROR(N(INDEX(Parameter!$L$5:$L$7,W235))*INDEX(Parameter!$E$5:$E$7,W235)*X235/SUMIFS($X$7:$X$1843,$W$7:$W$1843,W235),0),0)</f>
        <v>0</v>
      </c>
      <c r="CS235" s="62" t="n">
        <f aca="false">IF(AND(OR(CG235="L1",CG235="L23",CG235="LIFT"),H235&gt;0),CC235*IF(CR235&gt;0,CR235*MAX(1,H235/X235),IF(CA235=1,CE235,IF(R235&gt;0,CN235/R235,0))/MAX(0.1,N(Parameter!$M$21))),"")</f>
        <v>5.96153846153846</v>
      </c>
      <c r="CT235" s="64" t="n">
        <f aca="false">IF(CS235="","",J235/H235)</f>
        <v>0</v>
      </c>
      <c r="CU235" s="62" t="n">
        <f aca="false">IF(CS235="","",H235*G235)</f>
        <v>575</v>
      </c>
      <c r="CV235" s="63" t="n">
        <f aca="false">IF(CS235="","",(CL235+ROUNDUP(CL235+MAX(CM235,2*(J235/MAX(0.1,N(Einkauf!$C$6))-CL235)),0))/2)</f>
        <v>0.5</v>
      </c>
      <c r="CW235" s="62" t="n">
        <f aca="false">IF(CS235="","",MAX(0,H235-CV235)*G235)</f>
        <v>569.25</v>
      </c>
      <c r="CX235" s="62" t="n">
        <f aca="false">IF(CS235="","",CS235*MAX(0,1-CV235/H235))</f>
        <v>5.90192307692308</v>
      </c>
      <c r="CY235" s="64" t="n">
        <f aca="false">IF(CS235="","",PERCENTRANK($CS$7:$CS$1843,CS235)+PERCENTRANK($CU$7:$CU$1843,CU235)+1-PERCENTRANK($CT$7:$CT$1843,CT235))</f>
        <v>1.898</v>
      </c>
      <c r="CZ235" s="72" t="n">
        <f aca="false">IF(CS235="","",CHOOSE(MATCH(Einkauf!$C$5,Parameter!$G$23:$G$27,0),CY235,CS235,CU235,-CT235,CW235)+ROW()/1000000000)</f>
        <v>1.898000235</v>
      </c>
    </row>
    <row r="236" customFormat="false" ht="15" hidden="false" customHeight="false" outlineLevel="0" collapsed="false">
      <c r="A236" s="60" t="s">
        <v>702</v>
      </c>
      <c r="B236" s="60" t="s">
        <v>703</v>
      </c>
      <c r="C236" s="60" t="s">
        <v>206</v>
      </c>
      <c r="D236" s="60" t="s">
        <v>226</v>
      </c>
      <c r="E236" s="60" t="s">
        <v>227</v>
      </c>
      <c r="F236" s="60" t="s">
        <v>260</v>
      </c>
      <c r="G236" s="61" t="n">
        <v>114.02</v>
      </c>
      <c r="H236" s="62" t="n">
        <f aca="false">MAX(0,IF(AND(Parameter!$B$21="Ja",ISNUMBER(Y236)),Y236,IF(Parameter!$B$20="Jahresanfang 2025 + Export",BS236+BR236,BR236)))</f>
        <v>61</v>
      </c>
      <c r="I236" s="62" t="n">
        <f aca="false">H236*G236</f>
        <v>6955.22</v>
      </c>
      <c r="J236" s="62" t="n">
        <f aca="false">BU236*Parameter!$B$18</f>
        <v>2</v>
      </c>
      <c r="K236" s="63" t="n">
        <v>60.5</v>
      </c>
      <c r="L236" s="64" t="n">
        <v>0.0330578512396694</v>
      </c>
      <c r="M236" s="62" t="n">
        <v>0</v>
      </c>
      <c r="N236" s="62" t="n">
        <v>5</v>
      </c>
      <c r="O236" s="65" t="n">
        <v>42</v>
      </c>
      <c r="P236" s="60" t="s">
        <v>275</v>
      </c>
      <c r="Q236" s="62" t="n">
        <v>146</v>
      </c>
      <c r="R236" s="65" t="n">
        <f aca="false">IF(CA236=1,0,IFERROR(VLOOKUP(BY236,'Gebinde-Kategorie'!$A$5:$N$45,13,0)+0,0))</f>
        <v>26</v>
      </c>
      <c r="S236" s="66"/>
      <c r="T236" s="67"/>
      <c r="U236" s="67"/>
      <c r="V236" s="67"/>
      <c r="W236" s="60"/>
      <c r="X236" s="62"/>
      <c r="Y236" s="62"/>
      <c r="Z236" s="60" t="n">
        <v>3</v>
      </c>
      <c r="AA236" s="60" t="n">
        <f aca="false">IF(A236="","",IF(AND(Parameter!$B$21="Ja",ISNUMBER(W236)),W236,IF(AND(Parameter!$E$27="Ja",ISNUMBER(Z236),CD236&lt;&gt;"Nein"),Z236,IF(CD236="2+3",IF(ISNUMBER(SEARCH("grosser Artikel",BV236)),2,IFERROR(VLOOKUP(BY236,Parameter!$F$35:$G$64,2,0),2)),IF(OR(CD236="Nein",CD236=""),"-",CD236)))))</f>
        <v>3</v>
      </c>
      <c r="AB236" s="67"/>
      <c r="AC236" s="68"/>
      <c r="AD236" s="62" t="n">
        <f aca="false">AW236</f>
        <v>5</v>
      </c>
      <c r="AE236" s="62" t="n">
        <f aca="false">MAX(AW236,H236)</f>
        <v>61</v>
      </c>
      <c r="AF236" s="69"/>
      <c r="AG236" s="62" t="n">
        <f aca="false">IF(LEFT(Cockpit!$C$5,1)="A",H236,IF(Parameter!$E$30="MAX-Bestand",IF(CI236=1,CJ236,IF(LEFT(Cockpit!$C$5,1)="B",AM236,MAX(AM236,H236))),ROUNDUP(AK236,0)))</f>
        <v>61</v>
      </c>
      <c r="AH236" s="62" t="n">
        <f aca="false">IF(CA236=1,0,ROUNDUP(AG236/BZ236,0))</f>
        <v>1</v>
      </c>
      <c r="AI236" s="64" t="n">
        <f aca="false">IF(CR236&gt;0,CR236*MAX(1,AG236/X236),IF(CA236=1,IF(AG236&lt;=0,0,CE236*MAX(1,IF(H236&gt;0,AG236/H236,1))),IF(R236&gt;0,AH236/R236,0))/MAX(0.1,N(Parameter!$M$21)))</f>
        <v>0.0384615384615385</v>
      </c>
      <c r="AJ236" s="62" t="n">
        <f aca="false">AI236*CC236</f>
        <v>9.42307692307692</v>
      </c>
      <c r="AK236" s="63" t="n">
        <f aca="false">IF(LEFT(Cockpit!$C$5,1)="A",H236,IF(CI236=1,(CL236+CJ236)/2,IF(LEFT(Cockpit!$C$5,1)="B",(CL236+AM236)/2,MAX((CL236+AM236)/2,H236))))</f>
        <v>61</v>
      </c>
      <c r="AL236" s="62" t="n">
        <f aca="false">AK236*G236</f>
        <v>6955.22</v>
      </c>
      <c r="AM236" s="62" t="n">
        <f aca="false">ROUNDUP(CL236+MAX(CM236,2*(J236/IF(CH236&gt;0,CH236,MAX(0.1,N(Cockpit!$C$6)))-CL236)),0)</f>
        <v>5</v>
      </c>
      <c r="AN236" s="63" t="n">
        <f aca="false">IF(AJ236&gt;0,J236/AJ236,-1)</f>
        <v>0.212244897959184</v>
      </c>
      <c r="AO236" s="63" t="n">
        <f aca="false">IF(AND(OR(CG236="L1",CG236="L23",CG236="LIFT"),AJ236&gt;0),SUMIFS($AJ$7:$AJ$1843,$CG$7:$CG$1843,CG236,$AN$7:$AN$1843,"&gt;"&amp;AN236)+SUMIFS($AJ$7:$AJ$1843,$CG$7:$CG$1843,CG236,$AN$7:$AN$1843,AN236,$BX$7:$BX$1843,"&lt;="&amp;BX236),"")</f>
        <v>12354.701669564</v>
      </c>
      <c r="AP236" s="70" t="n">
        <f aca="false">IF(AO236="",0,MAX(0,MIN(1,(IF(CG236="L1",Parameter!$H$5,IF(CG236="L23",Parameter!$H$6+Parameter!$H$7,Parameter!$H$5+Parameter!$H$6+Parameter!$H$7))-(AO236-AJ236))/AJ236)))</f>
        <v>1</v>
      </c>
      <c r="AQ236" s="62" t="n">
        <f aca="false">IF(LEFT(Cockpit!$I$5,1)="A",H236,IF(Parameter!$E$30="MAX-Bestand",IF(CI236=1,CJ236,IF(LEFT(Cockpit!$I$5,1)="B",AW236,MAX(AW236,H236))),ROUNDUP(AU236,0)))</f>
        <v>61</v>
      </c>
      <c r="AR236" s="62" t="n">
        <f aca="false">IF(CA236=1,0,ROUNDUP(AQ236/BZ236,0))</f>
        <v>1</v>
      </c>
      <c r="AS236" s="64" t="n">
        <f aca="false">IF(CR236&gt;0,CR236*MAX(1,AQ236/X236),IF(CA236=1,IF(AQ236&lt;=0,0,CE236*MAX(1,IF(H236&gt;0,AQ236/H236,1))),IF(R236&gt;0,AR236/R236,0))/MAX(0.1,N(Parameter!$M$21)))</f>
        <v>0.0384615384615385</v>
      </c>
      <c r="AT236" s="62" t="n">
        <f aca="false">AS236*CC236</f>
        <v>9.42307692307692</v>
      </c>
      <c r="AU236" s="63" t="n">
        <f aca="false">IF(LEFT(Cockpit!$I$5,1)="A",H236,IF(CI236=1,(CL236+CJ236)/2,IF(LEFT(Cockpit!$I$5,1)="B",(CL236+AW236)/2,MAX((CL236+AW236)/2,H236))))</f>
        <v>61</v>
      </c>
      <c r="AV236" s="62" t="n">
        <f aca="false">AU236*G236</f>
        <v>6955.22</v>
      </c>
      <c r="AW236" s="62" t="n">
        <f aca="false">ROUNDUP(CL236+MAX(CM236,2*(J236/IF(CH236&gt;0,CH236,MAX(0.1,N(Cockpit!$I$6)))-CL236)),0)</f>
        <v>5</v>
      </c>
      <c r="AX236" s="63" t="n">
        <f aca="false">IF(AT236&gt;0,J236/AT236,-1)</f>
        <v>0.212244897959184</v>
      </c>
      <c r="AY236" s="63" t="n">
        <f aca="false">IF(AND(OR(CG236="L1",CG236="L23",CG236="LIFT"),AT236&gt;0),SUMIFS($AT$7:$AT$1843,$CG$7:$CG$1843,CG236,$AX$7:$AX$1843,"&gt;"&amp;AX236)+SUMIFS($AT$7:$AT$1843,$CG$7:$CG$1843,CG236,$AX$7:$AX$1843,AX236,$BX$7:$BX$1843,"&lt;="&amp;BX236),"")</f>
        <v>15183.9592490842</v>
      </c>
      <c r="AZ236" s="70" t="n">
        <f aca="false">IF(AY236="",0,MAX(0,MIN(1,(IF(CG236="L1",Parameter!$H$5,IF(CG236="L23",Parameter!$H$6+Parameter!$H$7,Parameter!$H$5+Parameter!$H$6+Parameter!$H$7))-(AY236-AT236))/AT236)))</f>
        <v>1</v>
      </c>
      <c r="BA236" s="62" t="n">
        <f aca="false">IF(LEFT(Cockpit!$O$5,1)="A",H236,IF(Parameter!$E$30="MAX-Bestand",IF(CI236=1,CJ236,IF(LEFT(Cockpit!$O$5,1)="B",BG236,MAX(BG236,H236))),ROUNDUP(BE236,0)))</f>
        <v>3</v>
      </c>
      <c r="BB236" s="62" t="n">
        <f aca="false">IF(CA236=1,0,ROUNDUP(BA236/BZ236,0))</f>
        <v>1</v>
      </c>
      <c r="BC236" s="64" t="n">
        <f aca="false">IF(CR236&gt;0,CR236*MAX(1,BA236/X236),IF(CA236=1,IF(BA236&lt;=0,0,CE236*MAX(1,IF(H236&gt;0,BA236/H236,1))),IF(R236&gt;0,BB236/R236,0))/MAX(0.1,N(Parameter!$M$21)))</f>
        <v>0.0384615384615385</v>
      </c>
      <c r="BD236" s="62" t="n">
        <f aca="false">BC236*CC236</f>
        <v>9.42307692307692</v>
      </c>
      <c r="BE236" s="63" t="n">
        <f aca="false">IF(LEFT(Cockpit!$O$5,1)="A",H236,IF(CI236=1,(CL236+CJ236)/2,IF(LEFT(Cockpit!$O$5,1)="B",(CL236+BG236)/2,MAX((CL236+BG236)/2,H236))))</f>
        <v>2.5</v>
      </c>
      <c r="BF236" s="62" t="n">
        <f aca="false">BE236*G236</f>
        <v>285.05</v>
      </c>
      <c r="BG236" s="62" t="n">
        <f aca="false">ROUNDUP(CL236+MAX(CM236,2*(J236/IF(CH236&gt;0,CH236,MAX(0.1,N(Cockpit!$O$6)))-CL236)),0)</f>
        <v>5</v>
      </c>
      <c r="BH236" s="63" t="n">
        <f aca="false">IF(BD236&gt;0,J236/BD236,-1)</f>
        <v>0.212244897959184</v>
      </c>
      <c r="BI236" s="63" t="n">
        <f aca="false">IF(AND(OR(CG236="L1",CG236="L23",CG236="LIFT"),BD236&gt;0),SUMIFS($BD$7:$BD$1843,$CG$7:$CG$1843,CG236,$BH$7:$BH$1843,"&gt;"&amp;BH236)+SUMIFS($BD$7:$BD$1843,$CG$7:$CG$1843,CG236,$BH$7:$BH$1843,BH236,$BX$7:$BX$1843,"&lt;="&amp;BX236),"")</f>
        <v>12326.244047619</v>
      </c>
      <c r="BJ236" s="70" t="n">
        <f aca="false">IF(BI236="",0,MAX(0,MIN(1,(IF(CG236="L1",Parameter!$H$5,IF(CG236="L23",Parameter!$H$6+Parameter!$H$7,Parameter!$H$5+Parameter!$H$6+Parameter!$H$7))-(BI236-BD236))/BD236)))</f>
        <v>1</v>
      </c>
      <c r="BK236" s="60" t="str">
        <f aca="false">IF(AJ236&lt;=0,"",IF(CG236="Aussen","Aussenlager",IF(CG236="-","Nicht im Lift",IF(AP236&gt;=1,"Lift",IF(AP236&lt;=0,"Aussenlager","teilweise")))))</f>
        <v>Lift</v>
      </c>
      <c r="BL236" s="60" t="str">
        <f aca="false">IF(AT236&lt;=0,"",IF(CG236="Aussen","Aussenlager",IF(CG236="-","Nicht im Lift",IF(AZ236&gt;=1,"Lift",IF(AZ236&lt;=0,"Aussenlager","teilweise")))))</f>
        <v>Lift</v>
      </c>
      <c r="BM236" s="60" t="str">
        <f aca="false">IF(BD236&lt;=0,"",IF(CG236="Aussen","Aussenlager",IF(CG236="-","Nicht im Lift",IF(BJ236&gt;=1,"Lift",IF(BJ236&lt;=0,"Aussenlager","teilweise")))))</f>
        <v>Lift</v>
      </c>
      <c r="BN236" s="60" t="str">
        <f aca="false">IF(A236="","",IF(BW236=1,"Neu; ","")&amp;IF(AND(BW236=0,BR236&lt;0),"negativer Bestand (Export "&amp;BR236&amp;"); ","")&amp;IF(J236&lt;=0,"Kein Verbrauch; ","")&amp;IF(CR236&gt;0,"Lift "&amp;W236&amp;" lt. Liftbericht (Fach "&amp;X236&amp;" Stk); ",IF(CB236=1,"Gebinde geschätzt ("&amp;T236&amp;"); ",IF(CA236=1,"Lose – Tablare geschätzt; ","")))&amp;IF(H236&gt;AW236,"Überbestand "&amp;ROUND(H236-AW236,0)&amp;" Stk / CHF "&amp;ROUND((H236-AW236)*G236,0)&amp;"; ","")&amp;IF(AND(CI236=1,CJ236&lt;CK236),"MAX &lt; MB+LG; ","")&amp;IF(AND(CQ236&gt;0,CP236*10&gt;CQ236),"zu hoch für Tablar; ","")&amp;IF(AND(BW236=0,OR(CI236=1,AB236&lt;&gt;"",U236&lt;&gt;"",V236&lt;&gt;"",AC236&lt;&gt;"")),"manuell übersteuert; ","")&amp;IF(AND(CA236=0,R236=0),"Gebinde unbekannt / Stellmass fehlt; ","")&amp;IF(AND(CA236=0,N(V236)&lt;=0,N(Q236)&lt;=0),"Menge pro Gebinde fehlt (Ist = 1 Gebinde); ","")&amp;BV236)</f>
        <v>Überbestand 56 Stk / CHF 6385; Überbestand</v>
      </c>
      <c r="BO236" s="60"/>
      <c r="BP236" s="60"/>
      <c r="BQ236" s="67"/>
      <c r="BR236" s="62" t="n">
        <v>5</v>
      </c>
      <c r="BS236" s="62" t="n">
        <v>56</v>
      </c>
      <c r="BT236" s="61" t="n">
        <v>570.1</v>
      </c>
      <c r="BU236" s="62" t="n">
        <v>2</v>
      </c>
      <c r="BV236" s="60" t="s">
        <v>434</v>
      </c>
      <c r="BW236" s="65" t="n">
        <v>0</v>
      </c>
      <c r="BX236" s="65" t="n">
        <v>236</v>
      </c>
      <c r="BY236" s="60" t="str">
        <f aca="false">IF(U236&lt;&gt;"",UPPER(TRIM(U236)),IF(CB236=1,UPPER(VLOOKUP(T236,Parameter!$I$27:$K$29,2,0)),IF(P236="","LOSE",P236)))</f>
        <v>S52</v>
      </c>
      <c r="BZ236" s="62" t="n">
        <f aca="false">IF(BY236="LOSE",1,IF(N(V236)&gt;0,V236,IF(CB236=1,MAX(1,N(VLOOKUP(T236,Parameter!$I$27:$K$29,3,0)),H236,N(N236)),IF(N(Q236)&gt;0,Q236,MAX(1,H236)))))</f>
        <v>146</v>
      </c>
      <c r="CA236" s="65" t="n">
        <f aca="false">IF(BY236="LOSE",1,0)</f>
        <v>0</v>
      </c>
      <c r="CB236" s="65" t="n">
        <f aca="false">IF(AND(U236="",OR(P236="",P236="LOSE"),T236&lt;&gt;"",N(S236)&lt;=0,ISNUMBER(MATCH(T236,Parameter!$I$27:$I$29,0))),1,0)</f>
        <v>0</v>
      </c>
      <c r="CC236" s="65" t="n">
        <f aca="false">IF(CR236&gt;0,INDEX(Parameter!$H$5:$H$7,W236)/INDEX(Parameter!$E$5:$E$7,W236),IF(AND(CA236=0,N(IFERROR(VLOOKUP(BY236,'Gebinde-Kategorie'!$A$5:$N$45,14,0),0))&gt;0),VLOOKUP(BY236,'Gebinde-Kategorie'!$A$5:$N$45,14,0)*10+Parameter!$M$23,Parameter!$M$24))</f>
        <v>245</v>
      </c>
      <c r="CD236" s="60" t="str">
        <f aca="false">IF(AND(Parameter!$B$19="Ja",E236&lt;&gt;"",ISNUMBER(MATCH(E236,Parameter!$I$35:$I$52,0))),VLOOKUP(E236,Parameter!$I$35:$J$52,2,0),IFERROR(VLOOKUP(D236,Parameter!$A$35:$C$64,2,0),"Nein"))</f>
        <v>2+3</v>
      </c>
      <c r="CE236" s="64" t="n">
        <f aca="false">IF(CA236=0,0,IF(N(S236)&gt;0,S236,IFERROR(VLOOKUP(D236,Parameter!$A$35:$C$64,3,0)+0,0)))</f>
        <v>0</v>
      </c>
      <c r="CF236" s="60" t="n">
        <f aca="false">IF(AB236&lt;&gt;"",AB236,AA236)</f>
        <v>3</v>
      </c>
      <c r="CG236" s="60" t="str">
        <f aca="false">IF(OR(CF236=1,CF236=2,CF236=3),IF(Parameter!$E$27="Ja","LIFT",IF(CF236=1,"L1","L23")),IF(CF236="Aussen","Aussen","-"))</f>
        <v>LIFT</v>
      </c>
      <c r="CH236" s="71" t="n">
        <f aca="false">IF(N(AC236)&gt;0,AC236,0)</f>
        <v>0</v>
      </c>
      <c r="CI236" s="65" t="n">
        <f aca="false">IF(ISNUMBER(AF236),1,0)</f>
        <v>0</v>
      </c>
      <c r="CJ236" s="62" t="n">
        <f aca="false">N(AF236)</f>
        <v>0</v>
      </c>
      <c r="CK236" s="62" t="n">
        <f aca="false">N(M236)+N(N236)</f>
        <v>5</v>
      </c>
      <c r="CL236" s="62" t="n">
        <f aca="false">N(M236)</f>
        <v>0</v>
      </c>
      <c r="CM236" s="62" t="n">
        <f aca="false">N(N236)</f>
        <v>5</v>
      </c>
      <c r="CN236" s="62" t="n">
        <f aca="false">ROUNDUP(H236/BZ236,0)</f>
        <v>1</v>
      </c>
      <c r="CO236" s="62" t="n">
        <f aca="false">ROUNDUP(CJ236/BZ236,0)</f>
        <v>0</v>
      </c>
      <c r="CP236" s="65" t="n">
        <f aca="false">IF(CA236=1,0,IFERROR(VLOOKUP(BY236,'Gebinde-Kategorie'!$A$5:$N$45,5,0)+0,0))</f>
        <v>21</v>
      </c>
      <c r="CQ236" s="65" t="n">
        <f aca="false">IFERROR(IF(OR(CF236=1,CF236=2,CF236=3),N(INDEX(Parameter!$I$5:$I$7,CF236)),0),0)</f>
        <v>0</v>
      </c>
      <c r="CR236" s="64" t="n">
        <f aca="false">IF(AND(Parameter!$B$21="Ja",ISNUMBER(W236),N(X236)&gt;0),IFERROR(N(INDEX(Parameter!$L$5:$L$7,W236))*INDEX(Parameter!$E$5:$E$7,W236)*X236/SUMIFS($X$7:$X$1843,$W$7:$W$1843,W236),0),0)</f>
        <v>0</v>
      </c>
      <c r="CS236" s="62" t="n">
        <f aca="false">IF(AND(OR(CG236="L1",CG236="L23",CG236="LIFT"),H236&gt;0),CC236*IF(CR236&gt;0,CR236*MAX(1,H236/X236),IF(CA236=1,CE236,IF(R236&gt;0,CN236/R236,0))/MAX(0.1,N(Parameter!$M$21))),"")</f>
        <v>9.42307692307692</v>
      </c>
      <c r="CT236" s="64" t="n">
        <f aca="false">IF(CS236="","",J236/H236)</f>
        <v>0.0327868852459016</v>
      </c>
      <c r="CU236" s="62" t="n">
        <f aca="false">IF(CS236="","",H236*G236)</f>
        <v>6955.22</v>
      </c>
      <c r="CV236" s="63" t="n">
        <f aca="false">IF(CS236="","",(CL236+ROUNDUP(CL236+MAX(CM236,2*(J236/MAX(0.1,N(Einkauf!$C$6))-CL236)),0))/2)</f>
        <v>2.5</v>
      </c>
      <c r="CW236" s="62" t="n">
        <f aca="false">IF(CS236="","",MAX(0,H236-CV236)*G236)</f>
        <v>6670.17</v>
      </c>
      <c r="CX236" s="62" t="n">
        <f aca="false">IF(CS236="","",CS236*MAX(0,1-CV236/H236))</f>
        <v>9.03688524590164</v>
      </c>
      <c r="CY236" s="64" t="n">
        <f aca="false">IF(CS236="","",PERCENTRANK($CS$7:$CS$1843,CS236)+PERCENTRANK($CU$7:$CU$1843,CU236)+1-PERCENTRANK($CT$7:$CT$1843,CT236))</f>
        <v>2.117</v>
      </c>
      <c r="CZ236" s="72" t="n">
        <f aca="false">IF(CS236="","",CHOOSE(MATCH(Einkauf!$C$5,Parameter!$G$23:$G$27,0),CY236,CS236,CU236,-CT236,CW236)+ROW()/1000000000)</f>
        <v>2.117000236</v>
      </c>
    </row>
    <row r="237" customFormat="false" ht="15" hidden="false" customHeight="false" outlineLevel="0" collapsed="false">
      <c r="A237" s="60" t="s">
        <v>704</v>
      </c>
      <c r="B237" s="60" t="s">
        <v>510</v>
      </c>
      <c r="C237" s="60" t="s">
        <v>206</v>
      </c>
      <c r="D237" s="60" t="s">
        <v>226</v>
      </c>
      <c r="E237" s="60" t="s">
        <v>227</v>
      </c>
      <c r="F237" s="60" t="s">
        <v>260</v>
      </c>
      <c r="G237" s="61" t="n">
        <v>4.28</v>
      </c>
      <c r="H237" s="62" t="n">
        <f aca="false">MAX(0,IF(AND(Parameter!$B$21="Ja",ISNUMBER(Y237)),Y237,IF(Parameter!$B$20="Jahresanfang 2025 + Export",BS237+BR237,BR237)))</f>
        <v>187</v>
      </c>
      <c r="I237" s="62" t="n">
        <f aca="false">H237*G237</f>
        <v>800.36</v>
      </c>
      <c r="J237" s="62" t="n">
        <f aca="false">BU237*Parameter!$B$18</f>
        <v>30</v>
      </c>
      <c r="K237" s="63" t="n">
        <v>144.5</v>
      </c>
      <c r="L237" s="64" t="n">
        <v>0.207612456747405</v>
      </c>
      <c r="M237" s="62" t="n">
        <v>1</v>
      </c>
      <c r="N237" s="62" t="n">
        <v>30</v>
      </c>
      <c r="O237" s="65" t="n">
        <v>14</v>
      </c>
      <c r="P237" s="60" t="s">
        <v>275</v>
      </c>
      <c r="Q237" s="62" t="n">
        <v>139</v>
      </c>
      <c r="R237" s="65" t="n">
        <f aca="false">IF(CA237=1,0,IFERROR(VLOOKUP(BY237,'Gebinde-Kategorie'!$A$5:$N$45,13,0)+0,0))</f>
        <v>26</v>
      </c>
      <c r="S237" s="66"/>
      <c r="T237" s="67"/>
      <c r="U237" s="67"/>
      <c r="V237" s="67"/>
      <c r="W237" s="60"/>
      <c r="X237" s="62"/>
      <c r="Y237" s="62"/>
      <c r="Z237" s="60" t="n">
        <v>3</v>
      </c>
      <c r="AA237" s="60" t="n">
        <f aca="false">IF(A237="","",IF(AND(Parameter!$B$21="Ja",ISNUMBER(W237)),W237,IF(AND(Parameter!$E$27="Ja",ISNUMBER(Z237),CD237&lt;&gt;"Nein"),Z237,IF(CD237="2+3",IF(ISNUMBER(SEARCH("grosser Artikel",BV237)),2,IFERROR(VLOOKUP(BY237,Parameter!$F$35:$G$64,2,0),2)),IF(OR(CD237="Nein",CD237=""),"-",CD237)))))</f>
        <v>3</v>
      </c>
      <c r="AB237" s="67"/>
      <c r="AC237" s="68"/>
      <c r="AD237" s="62" t="n">
        <f aca="false">AW237</f>
        <v>31</v>
      </c>
      <c r="AE237" s="62" t="n">
        <f aca="false">MAX(AW237,H237)</f>
        <v>187</v>
      </c>
      <c r="AF237" s="69"/>
      <c r="AG237" s="62" t="n">
        <f aca="false">IF(LEFT(Cockpit!$C$5,1)="A",H237,IF(Parameter!$E$30="MAX-Bestand",IF(CI237=1,CJ237,IF(LEFT(Cockpit!$C$5,1)="B",AM237,MAX(AM237,H237))),ROUNDUP(AK237,0)))</f>
        <v>187</v>
      </c>
      <c r="AH237" s="62" t="n">
        <f aca="false">IF(CA237=1,0,ROUNDUP(AG237/BZ237,0))</f>
        <v>2</v>
      </c>
      <c r="AI237" s="64" t="n">
        <f aca="false">IF(CR237&gt;0,CR237*MAX(1,AG237/X237),IF(CA237=1,IF(AG237&lt;=0,0,CE237*MAX(1,IF(H237&gt;0,AG237/H237,1))),IF(R237&gt;0,AH237/R237,0))/MAX(0.1,N(Parameter!$M$21)))</f>
        <v>0.0769230769230769</v>
      </c>
      <c r="AJ237" s="62" t="n">
        <f aca="false">AI237*CC237</f>
        <v>18.8461538461538</v>
      </c>
      <c r="AK237" s="63" t="n">
        <f aca="false">IF(LEFT(Cockpit!$C$5,1)="A",H237,IF(CI237=1,(CL237+CJ237)/2,IF(LEFT(Cockpit!$C$5,1)="B",(CL237+AM237)/2,MAX((CL237+AM237)/2,H237))))</f>
        <v>187</v>
      </c>
      <c r="AL237" s="62" t="n">
        <f aca="false">AK237*G237</f>
        <v>800.36</v>
      </c>
      <c r="AM237" s="62" t="n">
        <f aca="false">ROUNDUP(CL237+MAX(CM237,2*(J237/IF(CH237&gt;0,CH237,MAX(0.1,N(Cockpit!$C$6)))-CL237)),0)</f>
        <v>31</v>
      </c>
      <c r="AN237" s="63" t="n">
        <f aca="false">IF(AJ237&gt;0,J237/AJ237,-1)</f>
        <v>1.59183673469388</v>
      </c>
      <c r="AO237" s="63" t="n">
        <f aca="false">IF(AND(OR(CG237="L1",CG237="L23",CG237="LIFT"),AJ237&gt;0),SUMIFS($AJ$7:$AJ$1843,$CG$7:$CG$1843,CG237,$AN$7:$AN$1843,"&gt;"&amp;AN237)+SUMIFS($AJ$7:$AJ$1843,$CG$7:$CG$1843,CG237,$AN$7:$AN$1843,AN237,$BX$7:$BX$1843,"&lt;="&amp;BX237),"")</f>
        <v>6180.12225274725</v>
      </c>
      <c r="AP237" s="70" t="n">
        <f aca="false">IF(AO237="",0,MAX(0,MIN(1,(IF(CG237="L1",Parameter!$H$5,IF(CG237="L23",Parameter!$H$6+Parameter!$H$7,Parameter!$H$5+Parameter!$H$6+Parameter!$H$7))-(AO237-AJ237))/AJ237)))</f>
        <v>1</v>
      </c>
      <c r="AQ237" s="62" t="n">
        <f aca="false">IF(LEFT(Cockpit!$I$5,1)="A",H237,IF(Parameter!$E$30="MAX-Bestand",IF(CI237=1,CJ237,IF(LEFT(Cockpit!$I$5,1)="B",AW237,MAX(AW237,H237))),ROUNDUP(AU237,0)))</f>
        <v>187</v>
      </c>
      <c r="AR237" s="62" t="n">
        <f aca="false">IF(CA237=1,0,ROUNDUP(AQ237/BZ237,0))</f>
        <v>2</v>
      </c>
      <c r="AS237" s="64" t="n">
        <f aca="false">IF(CR237&gt;0,CR237*MAX(1,AQ237/X237),IF(CA237=1,IF(AQ237&lt;=0,0,CE237*MAX(1,IF(H237&gt;0,AQ237/H237,1))),IF(R237&gt;0,AR237/R237,0))/MAX(0.1,N(Parameter!$M$21)))</f>
        <v>0.0769230769230769</v>
      </c>
      <c r="AT237" s="62" t="n">
        <f aca="false">AS237*CC237</f>
        <v>18.8461538461538</v>
      </c>
      <c r="AU237" s="63" t="n">
        <f aca="false">IF(LEFT(Cockpit!$I$5,1)="A",H237,IF(CI237=1,(CL237+CJ237)/2,IF(LEFT(Cockpit!$I$5,1)="B",(CL237+AW237)/2,MAX((CL237+AW237)/2,H237))))</f>
        <v>187</v>
      </c>
      <c r="AV237" s="62" t="n">
        <f aca="false">AU237*G237</f>
        <v>800.36</v>
      </c>
      <c r="AW237" s="62" t="n">
        <f aca="false">ROUNDUP(CL237+MAX(CM237,2*(J237/IF(CH237&gt;0,CH237,MAX(0.1,N(Cockpit!$I$6)))-CL237)),0)</f>
        <v>31</v>
      </c>
      <c r="AX237" s="63" t="n">
        <f aca="false">IF(AT237&gt;0,J237/AT237,-1)</f>
        <v>1.59183673469388</v>
      </c>
      <c r="AY237" s="63" t="n">
        <f aca="false">IF(AND(OR(CG237="L1",CG237="L23",CG237="LIFT"),AT237&gt;0),SUMIFS($AT$7:$AT$1843,$CG$7:$CG$1843,CG237,$AX$7:$AX$1843,"&gt;"&amp;AX237)+SUMIFS($AT$7:$AT$1843,$CG$7:$CG$1843,CG237,$AX$7:$AX$1843,AX237,$BX$7:$BX$1843,"&lt;="&amp;BX237),"")</f>
        <v>7620.01098901099</v>
      </c>
      <c r="AZ237" s="70" t="n">
        <f aca="false">IF(AY237="",0,MAX(0,MIN(1,(IF(CG237="L1",Parameter!$H$5,IF(CG237="L23",Parameter!$H$6+Parameter!$H$7,Parameter!$H$5+Parameter!$H$6+Parameter!$H$7))-(AY237-AT237))/AT237)))</f>
        <v>1</v>
      </c>
      <c r="BA237" s="62" t="n">
        <f aca="false">IF(LEFT(Cockpit!$O$5,1)="A",H237,IF(Parameter!$E$30="MAX-Bestand",IF(CI237=1,CJ237,IF(LEFT(Cockpit!$O$5,1)="B",BG237,MAX(BG237,H237))),ROUNDUP(BE237,0)))</f>
        <v>16</v>
      </c>
      <c r="BB237" s="62" t="n">
        <f aca="false">IF(CA237=1,0,ROUNDUP(BA237/BZ237,0))</f>
        <v>1</v>
      </c>
      <c r="BC237" s="64" t="n">
        <f aca="false">IF(CR237&gt;0,CR237*MAX(1,BA237/X237),IF(CA237=1,IF(BA237&lt;=0,0,CE237*MAX(1,IF(H237&gt;0,BA237/H237,1))),IF(R237&gt;0,BB237/R237,0))/MAX(0.1,N(Parameter!$M$21)))</f>
        <v>0.0384615384615385</v>
      </c>
      <c r="BD237" s="62" t="n">
        <f aca="false">BC237*CC237</f>
        <v>9.42307692307692</v>
      </c>
      <c r="BE237" s="63" t="n">
        <f aca="false">IF(LEFT(Cockpit!$O$5,1)="A",H237,IF(CI237=1,(CL237+CJ237)/2,IF(LEFT(Cockpit!$O$5,1)="B",(CL237+BG237)/2,MAX((CL237+BG237)/2,H237))))</f>
        <v>16</v>
      </c>
      <c r="BF237" s="62" t="n">
        <f aca="false">BE237*G237</f>
        <v>68.48</v>
      </c>
      <c r="BG237" s="62" t="n">
        <f aca="false">ROUNDUP(CL237+MAX(CM237,2*(J237/IF(CH237&gt;0,CH237,MAX(0.1,N(Cockpit!$O$6)))-CL237)),0)</f>
        <v>31</v>
      </c>
      <c r="BH237" s="63" t="n">
        <f aca="false">IF(BD237&gt;0,J237/BD237,-1)</f>
        <v>3.18367346938776</v>
      </c>
      <c r="BI237" s="63" t="n">
        <f aca="false">IF(AND(OR(CG237="L1",CG237="L23",CG237="LIFT"),BD237&gt;0),SUMIFS($BD$7:$BD$1843,$CG$7:$CG$1843,CG237,$BH$7:$BH$1843,"&gt;"&amp;BH237)+SUMIFS($BD$7:$BD$1843,$CG$7:$CG$1843,CG237,$BH$7:$BH$1843,BH237,$BX$7:$BX$1843,"&lt;="&amp;BX237),"")</f>
        <v>4694.43452380952</v>
      </c>
      <c r="BJ237" s="70" t="n">
        <f aca="false">IF(BI237="",0,MAX(0,MIN(1,(IF(CG237="L1",Parameter!$H$5,IF(CG237="L23",Parameter!$H$6+Parameter!$H$7,Parameter!$H$5+Parameter!$H$6+Parameter!$H$7))-(BI237-BD237))/BD237)))</f>
        <v>1</v>
      </c>
      <c r="BK237" s="60" t="str">
        <f aca="false">IF(AJ237&lt;=0,"",IF(CG237="Aussen","Aussenlager",IF(CG237="-","Nicht im Lift",IF(AP237&gt;=1,"Lift",IF(AP237&lt;=0,"Aussenlager","teilweise")))))</f>
        <v>Lift</v>
      </c>
      <c r="BL237" s="60" t="str">
        <f aca="false">IF(AT237&lt;=0,"",IF(CG237="Aussen","Aussenlager",IF(CG237="-","Nicht im Lift",IF(AZ237&gt;=1,"Lift",IF(AZ237&lt;=0,"Aussenlager","teilweise")))))</f>
        <v>Lift</v>
      </c>
      <c r="BM237" s="60" t="str">
        <f aca="false">IF(BD237&lt;=0,"",IF(CG237="Aussen","Aussenlager",IF(CG237="-","Nicht im Lift",IF(BJ237&gt;=1,"Lift",IF(BJ237&lt;=0,"Aussenlager","teilweise")))))</f>
        <v>Lift</v>
      </c>
      <c r="BN237" s="60" t="str">
        <f aca="false">IF(A237="","",IF(BW237=1,"Neu; ","")&amp;IF(AND(BW237=0,BR237&lt;0),"negativer Bestand (Export "&amp;BR237&amp;"); ","")&amp;IF(J237&lt;=0,"Kein Verbrauch; ","")&amp;IF(CR237&gt;0,"Lift "&amp;W237&amp;" lt. Liftbericht (Fach "&amp;X237&amp;" Stk); ",IF(CB237=1,"Gebinde geschätzt ("&amp;T237&amp;"); ",IF(CA237=1,"Lose – Tablare geschätzt; ","")))&amp;IF(H237&gt;AW237,"Überbestand "&amp;ROUND(H237-AW237,0)&amp;" Stk / CHF "&amp;ROUND((H237-AW237)*G237,0)&amp;"; ","")&amp;IF(AND(CI237=1,CJ237&lt;CK237),"MAX &lt; MB+LG; ","")&amp;IF(AND(CQ237&gt;0,CP237*10&gt;CQ237),"zu hoch für Tablar; ","")&amp;IF(AND(BW237=0,OR(CI237=1,AB237&lt;&gt;"",U237&lt;&gt;"",V237&lt;&gt;"",AC237&lt;&gt;"")),"manuell übersteuert; ","")&amp;IF(AND(CA237=0,R237=0),"Gebinde unbekannt / Stellmass fehlt; ","")&amp;IF(AND(CA237=0,N(V237)&lt;=0,N(Q237)&lt;=0),"Menge pro Gebinde fehlt (Ist = 1 Gebinde); ","")&amp;BV237)</f>
        <v>Überbestand 156 Stk / CHF 668; </v>
      </c>
      <c r="BO237" s="60"/>
      <c r="BP237" s="60"/>
      <c r="BQ237" s="67"/>
      <c r="BR237" s="62" t="n">
        <v>135</v>
      </c>
      <c r="BS237" s="62" t="n">
        <v>52</v>
      </c>
      <c r="BT237" s="61" t="n">
        <v>570.000000000001</v>
      </c>
      <c r="BU237" s="62" t="n">
        <v>30</v>
      </c>
      <c r="BV237" s="60"/>
      <c r="BW237" s="65" t="n">
        <v>0</v>
      </c>
      <c r="BX237" s="65" t="n">
        <v>237</v>
      </c>
      <c r="BY237" s="60" t="str">
        <f aca="false">IF(U237&lt;&gt;"",UPPER(TRIM(U237)),IF(CB237=1,UPPER(VLOOKUP(T237,Parameter!$I$27:$K$29,2,0)),IF(P237="","LOSE",P237)))</f>
        <v>S52</v>
      </c>
      <c r="BZ237" s="62" t="n">
        <f aca="false">IF(BY237="LOSE",1,IF(N(V237)&gt;0,V237,IF(CB237=1,MAX(1,N(VLOOKUP(T237,Parameter!$I$27:$K$29,3,0)),H237,N(N237)),IF(N(Q237)&gt;0,Q237,MAX(1,H237)))))</f>
        <v>139</v>
      </c>
      <c r="CA237" s="65" t="n">
        <f aca="false">IF(BY237="LOSE",1,0)</f>
        <v>0</v>
      </c>
      <c r="CB237" s="65" t="n">
        <f aca="false">IF(AND(U237="",OR(P237="",P237="LOSE"),T237&lt;&gt;"",N(S237)&lt;=0,ISNUMBER(MATCH(T237,Parameter!$I$27:$I$29,0))),1,0)</f>
        <v>0</v>
      </c>
      <c r="CC237" s="65" t="n">
        <f aca="false">IF(CR237&gt;0,INDEX(Parameter!$H$5:$H$7,W237)/INDEX(Parameter!$E$5:$E$7,W237),IF(AND(CA237=0,N(IFERROR(VLOOKUP(BY237,'Gebinde-Kategorie'!$A$5:$N$45,14,0),0))&gt;0),VLOOKUP(BY237,'Gebinde-Kategorie'!$A$5:$N$45,14,0)*10+Parameter!$M$23,Parameter!$M$24))</f>
        <v>245</v>
      </c>
      <c r="CD237" s="60" t="str">
        <f aca="false">IF(AND(Parameter!$B$19="Ja",E237&lt;&gt;"",ISNUMBER(MATCH(E237,Parameter!$I$35:$I$52,0))),VLOOKUP(E237,Parameter!$I$35:$J$52,2,0),IFERROR(VLOOKUP(D237,Parameter!$A$35:$C$64,2,0),"Nein"))</f>
        <v>2+3</v>
      </c>
      <c r="CE237" s="64" t="n">
        <f aca="false">IF(CA237=0,0,IF(N(S237)&gt;0,S237,IFERROR(VLOOKUP(D237,Parameter!$A$35:$C$64,3,0)+0,0)))</f>
        <v>0</v>
      </c>
      <c r="CF237" s="60" t="n">
        <f aca="false">IF(AB237&lt;&gt;"",AB237,AA237)</f>
        <v>3</v>
      </c>
      <c r="CG237" s="60" t="str">
        <f aca="false">IF(OR(CF237=1,CF237=2,CF237=3),IF(Parameter!$E$27="Ja","LIFT",IF(CF237=1,"L1","L23")),IF(CF237="Aussen","Aussen","-"))</f>
        <v>LIFT</v>
      </c>
      <c r="CH237" s="71" t="n">
        <f aca="false">IF(N(AC237)&gt;0,AC237,0)</f>
        <v>0</v>
      </c>
      <c r="CI237" s="65" t="n">
        <f aca="false">IF(ISNUMBER(AF237),1,0)</f>
        <v>0</v>
      </c>
      <c r="CJ237" s="62" t="n">
        <f aca="false">N(AF237)</f>
        <v>0</v>
      </c>
      <c r="CK237" s="62" t="n">
        <f aca="false">N(M237)+N(N237)</f>
        <v>31</v>
      </c>
      <c r="CL237" s="62" t="n">
        <f aca="false">N(M237)</f>
        <v>1</v>
      </c>
      <c r="CM237" s="62" t="n">
        <f aca="false">N(N237)</f>
        <v>30</v>
      </c>
      <c r="CN237" s="62" t="n">
        <f aca="false">ROUNDUP(H237/BZ237,0)</f>
        <v>2</v>
      </c>
      <c r="CO237" s="62" t="n">
        <f aca="false">ROUNDUP(CJ237/BZ237,0)</f>
        <v>0</v>
      </c>
      <c r="CP237" s="65" t="n">
        <f aca="false">IF(CA237=1,0,IFERROR(VLOOKUP(BY237,'Gebinde-Kategorie'!$A$5:$N$45,5,0)+0,0))</f>
        <v>21</v>
      </c>
      <c r="CQ237" s="65" t="n">
        <f aca="false">IFERROR(IF(OR(CF237=1,CF237=2,CF237=3),N(INDEX(Parameter!$I$5:$I$7,CF237)),0),0)</f>
        <v>0</v>
      </c>
      <c r="CR237" s="64" t="n">
        <f aca="false">IF(AND(Parameter!$B$21="Ja",ISNUMBER(W237),N(X237)&gt;0),IFERROR(N(INDEX(Parameter!$L$5:$L$7,W237))*INDEX(Parameter!$E$5:$E$7,W237)*X237/SUMIFS($X$7:$X$1843,$W$7:$W$1843,W237),0),0)</f>
        <v>0</v>
      </c>
      <c r="CS237" s="62" t="n">
        <f aca="false">IF(AND(OR(CG237="L1",CG237="L23",CG237="LIFT"),H237&gt;0),CC237*IF(CR237&gt;0,CR237*MAX(1,H237/X237),IF(CA237=1,CE237,IF(R237&gt;0,CN237/R237,0))/MAX(0.1,N(Parameter!$M$21))),"")</f>
        <v>18.8461538461538</v>
      </c>
      <c r="CT237" s="64" t="n">
        <f aca="false">IF(CS237="","",J237/H237)</f>
        <v>0.160427807486631</v>
      </c>
      <c r="CU237" s="62" t="n">
        <f aca="false">IF(CS237="","",H237*G237)</f>
        <v>800.36</v>
      </c>
      <c r="CV237" s="63" t="n">
        <f aca="false">IF(CS237="","",(CL237+ROUNDUP(CL237+MAX(CM237,2*(J237/MAX(0.1,N(Einkauf!$C$6))-CL237)),0))/2)</f>
        <v>16</v>
      </c>
      <c r="CW237" s="62" t="n">
        <f aca="false">IF(CS237="","",MAX(0,H237-CV237)*G237)</f>
        <v>731.88</v>
      </c>
      <c r="CX237" s="62" t="n">
        <f aca="false">IF(CS237="","",CS237*MAX(0,1-CV237/H237))</f>
        <v>17.2336487042369</v>
      </c>
      <c r="CY237" s="64" t="n">
        <f aca="false">IF(CS237="","",PERCENTRANK($CS$7:$CS$1843,CS237)+PERCENTRANK($CU$7:$CU$1843,CU237)+1-PERCENTRANK($CT$7:$CT$1843,CT237))</f>
        <v>1.912</v>
      </c>
      <c r="CZ237" s="72" t="n">
        <f aca="false">IF(CS237="","",CHOOSE(MATCH(Einkauf!$C$5,Parameter!$G$23:$G$27,0),CY237,CS237,CU237,-CT237,CW237)+ROW()/1000000000)</f>
        <v>1.912000237</v>
      </c>
    </row>
    <row r="238" customFormat="false" ht="15" hidden="false" customHeight="false" outlineLevel="0" collapsed="false">
      <c r="A238" s="60" t="s">
        <v>705</v>
      </c>
      <c r="B238" s="60" t="s">
        <v>706</v>
      </c>
      <c r="C238" s="60" t="s">
        <v>206</v>
      </c>
      <c r="D238" s="60" t="s">
        <v>215</v>
      </c>
      <c r="E238" s="60" t="s">
        <v>227</v>
      </c>
      <c r="F238" s="60" t="s">
        <v>260</v>
      </c>
      <c r="G238" s="61" t="n">
        <v>142</v>
      </c>
      <c r="H238" s="62" t="n">
        <f aca="false">MAX(0,IF(AND(Parameter!$B$21="Ja",ISNUMBER(Y238)),Y238,IF(Parameter!$B$20="Jahresanfang 2025 + Export",BS238+BR238,BR238)))</f>
        <v>5</v>
      </c>
      <c r="I238" s="62" t="n">
        <f aca="false">H238*G238</f>
        <v>710</v>
      </c>
      <c r="J238" s="62" t="n">
        <f aca="false">BU238*Parameter!$B$18</f>
        <v>12</v>
      </c>
      <c r="K238" s="63" t="n">
        <v>4.5</v>
      </c>
      <c r="L238" s="64" t="n">
        <v>2.66666666666667</v>
      </c>
      <c r="M238" s="62" t="n">
        <v>1</v>
      </c>
      <c r="N238" s="62" t="n">
        <v>10</v>
      </c>
      <c r="O238" s="65" t="n">
        <v>35</v>
      </c>
      <c r="P238" s="60" t="s">
        <v>216</v>
      </c>
      <c r="Q238" s="62" t="n">
        <v>10</v>
      </c>
      <c r="R238" s="65" t="n">
        <f aca="false">IF(CA238=1,0,IFERROR(VLOOKUP(BY238,'Gebinde-Kategorie'!$A$5:$N$45,13,0)+0,0))</f>
        <v>6</v>
      </c>
      <c r="S238" s="66"/>
      <c r="T238" s="67"/>
      <c r="U238" s="67"/>
      <c r="V238" s="67"/>
      <c r="W238" s="60"/>
      <c r="X238" s="62"/>
      <c r="Y238" s="62"/>
      <c r="Z238" s="60" t="n">
        <v>2</v>
      </c>
      <c r="AA238" s="60" t="n">
        <f aca="false">IF(A238="","",IF(AND(Parameter!$B$21="Ja",ISNUMBER(W238)),W238,IF(AND(Parameter!$E$27="Ja",ISNUMBER(Z238),CD238&lt;&gt;"Nein"),Z238,IF(CD238="2+3",IF(ISNUMBER(SEARCH("grosser Artikel",BV238)),2,IFERROR(VLOOKUP(BY238,Parameter!$F$35:$G$64,2,0),2)),IF(OR(CD238="Nein",CD238=""),"-",CD238)))))</f>
        <v>2</v>
      </c>
      <c r="AB238" s="67"/>
      <c r="AC238" s="68"/>
      <c r="AD238" s="62" t="n">
        <f aca="false">AW238</f>
        <v>11</v>
      </c>
      <c r="AE238" s="62" t="n">
        <f aca="false">MAX(AW238,H238)</f>
        <v>11</v>
      </c>
      <c r="AF238" s="69"/>
      <c r="AG238" s="62" t="n">
        <f aca="false">IF(LEFT(Cockpit!$C$5,1)="A",H238,IF(Parameter!$E$30="MAX-Bestand",IF(CI238=1,CJ238,IF(LEFT(Cockpit!$C$5,1)="B",AM238,MAX(AM238,H238))),ROUNDUP(AK238,0)))</f>
        <v>5</v>
      </c>
      <c r="AH238" s="62" t="n">
        <f aca="false">IF(CA238=1,0,ROUNDUP(AG238/BZ238,0))</f>
        <v>1</v>
      </c>
      <c r="AI238" s="64" t="n">
        <f aca="false">IF(CR238&gt;0,CR238*MAX(1,AG238/X238),IF(CA238=1,IF(AG238&lt;=0,0,CE238*MAX(1,IF(H238&gt;0,AG238/H238,1))),IF(R238&gt;0,AH238/R238,0))/MAX(0.1,N(Parameter!$M$21)))</f>
        <v>0.166666666666667</v>
      </c>
      <c r="AJ238" s="62" t="n">
        <f aca="false">AI238*CC238</f>
        <v>39.1666666666667</v>
      </c>
      <c r="AK238" s="63" t="n">
        <f aca="false">IF(LEFT(Cockpit!$C$5,1)="A",H238,IF(CI238=1,(CL238+CJ238)/2,IF(LEFT(Cockpit!$C$5,1)="B",(CL238+AM238)/2,MAX((CL238+AM238)/2,H238))))</f>
        <v>5</v>
      </c>
      <c r="AL238" s="62" t="n">
        <f aca="false">AK238*G238</f>
        <v>710</v>
      </c>
      <c r="AM238" s="62" t="n">
        <f aca="false">ROUNDUP(CL238+MAX(CM238,2*(J238/IF(CH238&gt;0,CH238,MAX(0.1,N(Cockpit!$C$6)))-CL238)),0)</f>
        <v>11</v>
      </c>
      <c r="AN238" s="63" t="n">
        <f aca="false">IF(AJ238&gt;0,J238/AJ238,-1)</f>
        <v>0.306382978723404</v>
      </c>
      <c r="AO238" s="63" t="n">
        <f aca="false">IF(AND(OR(CG238="L1",CG238="L23",CG238="LIFT"),AJ238&gt;0),SUMIFS($AJ$7:$AJ$1843,$CG$7:$CG$1843,CG238,$AN$7:$AN$1843,"&gt;"&amp;AN238)+SUMIFS($AJ$7:$AJ$1843,$CG$7:$CG$1843,CG238,$AN$7:$AN$1843,AN238,$BX$7:$BX$1843,"&lt;="&amp;BX238),"")</f>
        <v>11287.7821676911</v>
      </c>
      <c r="AP238" s="70" t="n">
        <f aca="false">IF(AO238="",0,MAX(0,MIN(1,(IF(CG238="L1",Parameter!$H$5,IF(CG238="L23",Parameter!$H$6+Parameter!$H$7,Parameter!$H$5+Parameter!$H$6+Parameter!$H$7))-(AO238-AJ238))/AJ238)))</f>
        <v>1</v>
      </c>
      <c r="AQ238" s="62" t="n">
        <f aca="false">IF(LEFT(Cockpit!$I$5,1)="A",H238,IF(Parameter!$E$30="MAX-Bestand",IF(CI238=1,CJ238,IF(LEFT(Cockpit!$I$5,1)="B",AW238,MAX(AW238,H238))),ROUNDUP(AU238,0)))</f>
        <v>6</v>
      </c>
      <c r="AR238" s="62" t="n">
        <f aca="false">IF(CA238=1,0,ROUNDUP(AQ238/BZ238,0))</f>
        <v>1</v>
      </c>
      <c r="AS238" s="64" t="n">
        <f aca="false">IF(CR238&gt;0,CR238*MAX(1,AQ238/X238),IF(CA238=1,IF(AQ238&lt;=0,0,CE238*MAX(1,IF(H238&gt;0,AQ238/H238,1))),IF(R238&gt;0,AR238/R238,0))/MAX(0.1,N(Parameter!$M$21)))</f>
        <v>0.166666666666667</v>
      </c>
      <c r="AT238" s="62" t="n">
        <f aca="false">AS238*CC238</f>
        <v>39.1666666666667</v>
      </c>
      <c r="AU238" s="63" t="n">
        <f aca="false">IF(LEFT(Cockpit!$I$5,1)="A",H238,IF(CI238=1,(CL238+CJ238)/2,IF(LEFT(Cockpit!$I$5,1)="B",(CL238+AW238)/2,MAX((CL238+AW238)/2,H238))))</f>
        <v>6</v>
      </c>
      <c r="AV238" s="62" t="n">
        <f aca="false">AU238*G238</f>
        <v>852</v>
      </c>
      <c r="AW238" s="62" t="n">
        <f aca="false">ROUNDUP(CL238+MAX(CM238,2*(J238/IF(CH238&gt;0,CH238,MAX(0.1,N(Cockpit!$I$6)))-CL238)),0)</f>
        <v>11</v>
      </c>
      <c r="AX238" s="63" t="n">
        <f aca="false">IF(AT238&gt;0,J238/AT238,-1)</f>
        <v>0.306382978723404</v>
      </c>
      <c r="AY238" s="63" t="n">
        <f aca="false">IF(AND(OR(CG238="L1",CG238="L23",CG238="LIFT"),AT238&gt;0),SUMIFS($AT$7:$AT$1843,$CG$7:$CG$1843,CG238,$AX$7:$AX$1843,"&gt;"&amp;AX238)+SUMIFS($AT$7:$AT$1843,$CG$7:$CG$1843,CG238,$AX$7:$AX$1843,AX238,$BX$7:$BX$1843,"&lt;="&amp;BX238),"")</f>
        <v>13855.5096153846</v>
      </c>
      <c r="AZ238" s="70" t="n">
        <f aca="false">IF(AY238="",0,MAX(0,MIN(1,(IF(CG238="L1",Parameter!$H$5,IF(CG238="L23",Parameter!$H$6+Parameter!$H$7,Parameter!$H$5+Parameter!$H$6+Parameter!$H$7))-(AY238-AT238))/AT238)))</f>
        <v>1</v>
      </c>
      <c r="BA238" s="62" t="n">
        <f aca="false">IF(LEFT(Cockpit!$O$5,1)="A",H238,IF(Parameter!$E$30="MAX-Bestand",IF(CI238=1,CJ238,IF(LEFT(Cockpit!$O$5,1)="B",BG238,MAX(BG238,H238))),ROUNDUP(BE238,0)))</f>
        <v>6</v>
      </c>
      <c r="BB238" s="62" t="n">
        <f aca="false">IF(CA238=1,0,ROUNDUP(BA238/BZ238,0))</f>
        <v>1</v>
      </c>
      <c r="BC238" s="64" t="n">
        <f aca="false">IF(CR238&gt;0,CR238*MAX(1,BA238/X238),IF(CA238=1,IF(BA238&lt;=0,0,CE238*MAX(1,IF(H238&gt;0,BA238/H238,1))),IF(R238&gt;0,BB238/R238,0))/MAX(0.1,N(Parameter!$M$21)))</f>
        <v>0.166666666666667</v>
      </c>
      <c r="BD238" s="62" t="n">
        <f aca="false">BC238*CC238</f>
        <v>39.1666666666667</v>
      </c>
      <c r="BE238" s="63" t="n">
        <f aca="false">IF(LEFT(Cockpit!$O$5,1)="A",H238,IF(CI238=1,(CL238+CJ238)/2,IF(LEFT(Cockpit!$O$5,1)="B",(CL238+BG238)/2,MAX((CL238+BG238)/2,H238))))</f>
        <v>6</v>
      </c>
      <c r="BF238" s="62" t="n">
        <f aca="false">BE238*G238</f>
        <v>852</v>
      </c>
      <c r="BG238" s="62" t="n">
        <f aca="false">ROUNDUP(CL238+MAX(CM238,2*(J238/IF(CH238&gt;0,CH238,MAX(0.1,N(Cockpit!$O$6)))-CL238)),0)</f>
        <v>11</v>
      </c>
      <c r="BH238" s="63" t="n">
        <f aca="false">IF(BD238&gt;0,J238/BD238,-1)</f>
        <v>0.306382978723404</v>
      </c>
      <c r="BI238" s="63" t="n">
        <f aca="false">IF(AND(OR(CG238="L1",CG238="L23",CG238="LIFT"),BD238&gt;0),SUMIFS($BD$7:$BD$1843,$CG$7:$CG$1843,CG238,$BH$7:$BH$1843,"&gt;"&amp;BH238)+SUMIFS($BD$7:$BD$1843,$CG$7:$CG$1843,CG238,$BH$7:$BH$1843,BH238,$BX$7:$BX$1843,"&lt;="&amp;BX238),"")</f>
        <v>11794.2248168498</v>
      </c>
      <c r="BJ238" s="70" t="n">
        <f aca="false">IF(BI238="",0,MAX(0,MIN(1,(IF(CG238="L1",Parameter!$H$5,IF(CG238="L23",Parameter!$H$6+Parameter!$H$7,Parameter!$H$5+Parameter!$H$6+Parameter!$H$7))-(BI238-BD238))/BD238)))</f>
        <v>1</v>
      </c>
      <c r="BK238" s="60" t="str">
        <f aca="false">IF(AJ238&lt;=0,"",IF(CG238="Aussen","Aussenlager",IF(CG238="-","Nicht im Lift",IF(AP238&gt;=1,"Lift",IF(AP238&lt;=0,"Aussenlager","teilweise")))))</f>
        <v>Lift</v>
      </c>
      <c r="BL238" s="60" t="str">
        <f aca="false">IF(AT238&lt;=0,"",IF(CG238="Aussen","Aussenlager",IF(CG238="-","Nicht im Lift",IF(AZ238&gt;=1,"Lift",IF(AZ238&lt;=0,"Aussenlager","teilweise")))))</f>
        <v>Lift</v>
      </c>
      <c r="BM238" s="60" t="str">
        <f aca="false">IF(BD238&lt;=0,"",IF(CG238="Aussen","Aussenlager",IF(CG238="-","Nicht im Lift",IF(BJ238&gt;=1,"Lift",IF(BJ238&lt;=0,"Aussenlager","teilweise")))))</f>
        <v>Lift</v>
      </c>
      <c r="BN238" s="60" t="str">
        <f aca="false">IF(A238="","",IF(BW238=1,"Neu; ","")&amp;IF(AND(BW238=0,BR238&lt;0),"negativer Bestand (Export "&amp;BR238&amp;"); ","")&amp;IF(J238&lt;=0,"Kein Verbrauch; ","")&amp;IF(CR238&gt;0,"Lift "&amp;W238&amp;" lt. Liftbericht (Fach "&amp;X238&amp;" Stk); ",IF(CB238=1,"Gebinde geschätzt ("&amp;T238&amp;"); ",IF(CA238=1,"Lose – Tablare geschätzt; ","")))&amp;IF(H238&gt;AW238,"Überbestand "&amp;ROUND(H238-AW238,0)&amp;" Stk / CHF "&amp;ROUND((H238-AW238)*G238,0)&amp;"; ","")&amp;IF(AND(CI238=1,CJ238&lt;CK238),"MAX &lt; MB+LG; ","")&amp;IF(AND(CQ238&gt;0,CP238*10&gt;CQ238),"zu hoch für Tablar; ","")&amp;IF(AND(BW238=0,OR(CI238=1,AB238&lt;&gt;"",U238&lt;&gt;"",V238&lt;&gt;"",AC238&lt;&gt;"")),"manuell übersteuert; ","")&amp;IF(AND(CA238=0,R238=0),"Gebinde unbekannt / Stellmass fehlt; ","")&amp;IF(AND(CA238=0,N(V238)&lt;=0,N(Q238)&lt;=0),"Menge pro Gebinde fehlt (Ist = 1 Gebinde); ","")&amp;BV238)</f>
        <v>grosser Artikel &amp; nicht im KTL</v>
      </c>
      <c r="BO238" s="60"/>
      <c r="BP238" s="60"/>
      <c r="BQ238" s="67"/>
      <c r="BR238" s="62" t="n">
        <v>4</v>
      </c>
      <c r="BS238" s="62" t="n">
        <v>1</v>
      </c>
      <c r="BT238" s="61" t="n">
        <v>567.95</v>
      </c>
      <c r="BU238" s="62" t="n">
        <v>12</v>
      </c>
      <c r="BV238" s="60" t="s">
        <v>303</v>
      </c>
      <c r="BW238" s="65" t="n">
        <v>0</v>
      </c>
      <c r="BX238" s="65" t="n">
        <v>238</v>
      </c>
      <c r="BY238" s="60" t="str">
        <f aca="false">IF(U238&lt;&gt;"",UPPER(TRIM(U238)),IF(CB238=1,UPPER(VLOOKUP(T238,Parameter!$I$27:$K$29,2,0)),IF(P238="","LOSE",P238)))</f>
        <v>S71</v>
      </c>
      <c r="BZ238" s="62" t="n">
        <f aca="false">IF(BY238="LOSE",1,IF(N(V238)&gt;0,V238,IF(CB238=1,MAX(1,N(VLOOKUP(T238,Parameter!$I$27:$K$29,3,0)),H238,N(N238)),IF(N(Q238)&gt;0,Q238,MAX(1,H238)))))</f>
        <v>10</v>
      </c>
      <c r="CA238" s="65" t="n">
        <f aca="false">IF(BY238="LOSE",1,0)</f>
        <v>0</v>
      </c>
      <c r="CB238" s="65" t="n">
        <f aca="false">IF(AND(U238="",OR(P238="",P238="LOSE"),T238&lt;&gt;"",N(S238)&lt;=0,ISNUMBER(MATCH(T238,Parameter!$I$27:$I$29,0))),1,0)</f>
        <v>0</v>
      </c>
      <c r="CC238" s="65" t="n">
        <f aca="false">IF(CR238&gt;0,INDEX(Parameter!$H$5:$H$7,W238)/INDEX(Parameter!$E$5:$E$7,W238),IF(AND(CA238=0,N(IFERROR(VLOOKUP(BY238,'Gebinde-Kategorie'!$A$5:$N$45,14,0),0))&gt;0),VLOOKUP(BY238,'Gebinde-Kategorie'!$A$5:$N$45,14,0)*10+Parameter!$M$23,Parameter!$M$24))</f>
        <v>235</v>
      </c>
      <c r="CD238" s="60" t="str">
        <f aca="false">IF(AND(Parameter!$B$19="Ja",E238&lt;&gt;"",ISNUMBER(MATCH(E238,Parameter!$I$35:$I$52,0))),VLOOKUP(E238,Parameter!$I$35:$J$52,2,0),IFERROR(VLOOKUP(D238,Parameter!$A$35:$C$64,2,0),"Nein"))</f>
        <v>2+3</v>
      </c>
      <c r="CE238" s="64" t="n">
        <f aca="false">IF(CA238=0,0,IF(N(S238)&gt;0,S238,IFERROR(VLOOKUP(D238,Parameter!$A$35:$C$64,3,0)+0,0)))</f>
        <v>0</v>
      </c>
      <c r="CF238" s="60" t="n">
        <f aca="false">IF(AB238&lt;&gt;"",AB238,AA238)</f>
        <v>2</v>
      </c>
      <c r="CG238" s="60" t="str">
        <f aca="false">IF(OR(CF238=1,CF238=2,CF238=3),IF(Parameter!$E$27="Ja","LIFT",IF(CF238=1,"L1","L23")),IF(CF238="Aussen","Aussen","-"))</f>
        <v>LIFT</v>
      </c>
      <c r="CH238" s="71" t="n">
        <f aca="false">IF(N(AC238)&gt;0,AC238,0)</f>
        <v>0</v>
      </c>
      <c r="CI238" s="65" t="n">
        <f aca="false">IF(ISNUMBER(AF238),1,0)</f>
        <v>0</v>
      </c>
      <c r="CJ238" s="62" t="n">
        <f aca="false">N(AF238)</f>
        <v>0</v>
      </c>
      <c r="CK238" s="62" t="n">
        <f aca="false">N(M238)+N(N238)</f>
        <v>11</v>
      </c>
      <c r="CL238" s="62" t="n">
        <f aca="false">N(M238)</f>
        <v>1</v>
      </c>
      <c r="CM238" s="62" t="n">
        <f aca="false">N(N238)</f>
        <v>10</v>
      </c>
      <c r="CN238" s="62" t="n">
        <f aca="false">ROUNDUP(H238/BZ238,0)</f>
        <v>1</v>
      </c>
      <c r="CO238" s="62" t="n">
        <f aca="false">ROUNDUP(CJ238/BZ238,0)</f>
        <v>0</v>
      </c>
      <c r="CP238" s="65" t="n">
        <f aca="false">IF(CA238=1,0,IFERROR(VLOOKUP(BY238,'Gebinde-Kategorie'!$A$5:$N$45,5,0)+0,0))</f>
        <v>20</v>
      </c>
      <c r="CQ238" s="65" t="n">
        <f aca="false">IFERROR(IF(OR(CF238=1,CF238=2,CF238=3),N(INDEX(Parameter!$I$5:$I$7,CF238)),0),0)</f>
        <v>0</v>
      </c>
      <c r="CR238" s="64" t="n">
        <f aca="false">IF(AND(Parameter!$B$21="Ja",ISNUMBER(W238),N(X238)&gt;0),IFERROR(N(INDEX(Parameter!$L$5:$L$7,W238))*INDEX(Parameter!$E$5:$E$7,W238)*X238/SUMIFS($X$7:$X$1843,$W$7:$W$1843,W238),0),0)</f>
        <v>0</v>
      </c>
      <c r="CS238" s="62" t="n">
        <f aca="false">IF(AND(OR(CG238="L1",CG238="L23",CG238="LIFT"),H238&gt;0),CC238*IF(CR238&gt;0,CR238*MAX(1,H238/X238),IF(CA238=1,CE238,IF(R238&gt;0,CN238/R238,0))/MAX(0.1,N(Parameter!$M$21))),"")</f>
        <v>39.1666666666667</v>
      </c>
      <c r="CT238" s="64" t="n">
        <f aca="false">IF(CS238="","",J238/H238)</f>
        <v>2.4</v>
      </c>
      <c r="CU238" s="62" t="n">
        <f aca="false">IF(CS238="","",H238*G238)</f>
        <v>710</v>
      </c>
      <c r="CV238" s="63" t="n">
        <f aca="false">IF(CS238="","",(CL238+ROUNDUP(CL238+MAX(CM238,2*(J238/MAX(0.1,N(Einkauf!$C$6))-CL238)),0))/2)</f>
        <v>6</v>
      </c>
      <c r="CW238" s="62" t="n">
        <f aca="false">IF(CS238="","",MAX(0,H238-CV238)*G238)</f>
        <v>0</v>
      </c>
      <c r="CX238" s="62" t="n">
        <f aca="false">IF(CS238="","",CS238*MAX(0,1-CV238/H238))</f>
        <v>0</v>
      </c>
      <c r="CY238" s="64" t="n">
        <f aca="false">IF(CS238="","",PERCENTRANK($CS$7:$CS$1843,CS238)+PERCENTRANK($CU$7:$CU$1843,CU238)+1-PERCENTRANK($CT$7:$CT$1843,CT238))</f>
        <v>1.593</v>
      </c>
      <c r="CZ238" s="72" t="n">
        <f aca="false">IF(CS238="","",CHOOSE(MATCH(Einkauf!$C$5,Parameter!$G$23:$G$27,0),CY238,CS238,CU238,-CT238,CW238)+ROW()/1000000000)</f>
        <v>1.593000238</v>
      </c>
    </row>
    <row r="239" customFormat="false" ht="15" hidden="false" customHeight="false" outlineLevel="0" collapsed="false">
      <c r="A239" s="60" t="s">
        <v>707</v>
      </c>
      <c r="B239" s="60" t="s">
        <v>708</v>
      </c>
      <c r="C239" s="60" t="s">
        <v>206</v>
      </c>
      <c r="D239" s="60" t="s">
        <v>226</v>
      </c>
      <c r="E239" s="60" t="s">
        <v>227</v>
      </c>
      <c r="F239" s="60" t="s">
        <v>260</v>
      </c>
      <c r="G239" s="61" t="n">
        <v>10.59</v>
      </c>
      <c r="H239" s="62" t="n">
        <f aca="false">MAX(0,IF(AND(Parameter!$B$21="Ja",ISNUMBER(Y239)),Y239,IF(Parameter!$B$20="Jahresanfang 2025 + Export",BS239+BR239,BR239)))</f>
        <v>102</v>
      </c>
      <c r="I239" s="62" t="n">
        <f aca="false">H239*G239</f>
        <v>1080.18</v>
      </c>
      <c r="J239" s="62" t="n">
        <f aca="false">BU239*Parameter!$B$18</f>
        <v>108</v>
      </c>
      <c r="K239" s="63" t="n">
        <v>80</v>
      </c>
      <c r="L239" s="64" t="n">
        <v>1.35</v>
      </c>
      <c r="M239" s="62" t="n">
        <v>12</v>
      </c>
      <c r="N239" s="62" t="n">
        <v>110</v>
      </c>
      <c r="O239" s="65" t="n">
        <v>42</v>
      </c>
      <c r="P239" s="60" t="s">
        <v>463</v>
      </c>
      <c r="Q239" s="62" t="n">
        <v>311</v>
      </c>
      <c r="R239" s="65" t="n">
        <f aca="false">IF(CA239=1,0,IFERROR(VLOOKUP(BY239,'Gebinde-Kategorie'!$A$5:$N$45,13,0)+0,0))</f>
        <v>104</v>
      </c>
      <c r="S239" s="66"/>
      <c r="T239" s="67"/>
      <c r="U239" s="67"/>
      <c r="V239" s="67"/>
      <c r="W239" s="60"/>
      <c r="X239" s="62"/>
      <c r="Y239" s="62"/>
      <c r="Z239" s="60" t="n">
        <v>1</v>
      </c>
      <c r="AA239" s="60" t="n">
        <f aca="false">IF(A239="","",IF(AND(Parameter!$B$21="Ja",ISNUMBER(W239)),W239,IF(AND(Parameter!$E$27="Ja",ISNUMBER(Z239),CD239&lt;&gt;"Nein"),Z239,IF(CD239="2+3",IF(ISNUMBER(SEARCH("grosser Artikel",BV239)),2,IFERROR(VLOOKUP(BY239,Parameter!$F$35:$G$64,2,0),2)),IF(OR(CD239="Nein",CD239=""),"-",CD239)))))</f>
        <v>1</v>
      </c>
      <c r="AB239" s="67"/>
      <c r="AC239" s="68"/>
      <c r="AD239" s="62" t="n">
        <f aca="false">AW239</f>
        <v>122</v>
      </c>
      <c r="AE239" s="62" t="n">
        <f aca="false">MAX(AW239,H239)</f>
        <v>122</v>
      </c>
      <c r="AF239" s="69"/>
      <c r="AG239" s="62" t="n">
        <f aca="false">IF(LEFT(Cockpit!$C$5,1)="A",H239,IF(Parameter!$E$30="MAX-Bestand",IF(CI239=1,CJ239,IF(LEFT(Cockpit!$C$5,1)="B",AM239,MAX(AM239,H239))),ROUNDUP(AK239,0)))</f>
        <v>102</v>
      </c>
      <c r="AH239" s="62" t="n">
        <f aca="false">IF(CA239=1,0,ROUNDUP(AG239/BZ239,0))</f>
        <v>1</v>
      </c>
      <c r="AI239" s="64" t="n">
        <f aca="false">IF(CR239&gt;0,CR239*MAX(1,AG239/X239),IF(CA239=1,IF(AG239&lt;=0,0,CE239*MAX(1,IF(H239&gt;0,AG239/H239,1))),IF(R239&gt;0,AH239/R239,0))/MAX(0.1,N(Parameter!$M$21)))</f>
        <v>0.00961538461538462</v>
      </c>
      <c r="AJ239" s="62" t="n">
        <f aca="false">AI239*CC239</f>
        <v>1.49038461538462</v>
      </c>
      <c r="AK239" s="63" t="n">
        <f aca="false">IF(LEFT(Cockpit!$C$5,1)="A",H239,IF(CI239=1,(CL239+CJ239)/2,IF(LEFT(Cockpit!$C$5,1)="B",(CL239+AM239)/2,MAX((CL239+AM239)/2,H239))))</f>
        <v>102</v>
      </c>
      <c r="AL239" s="62" t="n">
        <f aca="false">AK239*G239</f>
        <v>1080.18</v>
      </c>
      <c r="AM239" s="62" t="n">
        <f aca="false">ROUNDUP(CL239+MAX(CM239,2*(J239/IF(CH239&gt;0,CH239,MAX(0.1,N(Cockpit!$C$6)))-CL239)),0)</f>
        <v>122</v>
      </c>
      <c r="AN239" s="63" t="n">
        <f aca="false">IF(AJ239&gt;0,J239/AJ239,-1)</f>
        <v>72.4645161290323</v>
      </c>
      <c r="AO239" s="63" t="n">
        <f aca="false">IF(AND(OR(CG239="L1",CG239="L23",CG239="LIFT"),AJ239&gt;0),SUMIFS($AJ$7:$AJ$1843,$CG$7:$CG$1843,CG239,$AN$7:$AN$1843,"&gt;"&amp;AN239)+SUMIFS($AJ$7:$AJ$1843,$CG$7:$CG$1843,CG239,$AN$7:$AN$1843,AN239,$BX$7:$BX$1843,"&lt;="&amp;BX239),"")</f>
        <v>878.322802197802</v>
      </c>
      <c r="AP239" s="70" t="n">
        <f aca="false">IF(AO239="",0,MAX(0,MIN(1,(IF(CG239="L1",Parameter!$H$5,IF(CG239="L23",Parameter!$H$6+Parameter!$H$7,Parameter!$H$5+Parameter!$H$6+Parameter!$H$7))-(AO239-AJ239))/AJ239)))</f>
        <v>1</v>
      </c>
      <c r="AQ239" s="62" t="n">
        <f aca="false">IF(LEFT(Cockpit!$I$5,1)="A",H239,IF(Parameter!$E$30="MAX-Bestand",IF(CI239=1,CJ239,IF(LEFT(Cockpit!$I$5,1)="B",AW239,MAX(AW239,H239))),ROUNDUP(AU239,0)))</f>
        <v>102</v>
      </c>
      <c r="AR239" s="62" t="n">
        <f aca="false">IF(CA239=1,0,ROUNDUP(AQ239/BZ239,0))</f>
        <v>1</v>
      </c>
      <c r="AS239" s="64" t="n">
        <f aca="false">IF(CR239&gt;0,CR239*MAX(1,AQ239/X239),IF(CA239=1,IF(AQ239&lt;=0,0,CE239*MAX(1,IF(H239&gt;0,AQ239/H239,1))),IF(R239&gt;0,AR239/R239,0))/MAX(0.1,N(Parameter!$M$21)))</f>
        <v>0.00961538461538462</v>
      </c>
      <c r="AT239" s="62" t="n">
        <f aca="false">AS239*CC239</f>
        <v>1.49038461538462</v>
      </c>
      <c r="AU239" s="63" t="n">
        <f aca="false">IF(LEFT(Cockpit!$I$5,1)="A",H239,IF(CI239=1,(CL239+CJ239)/2,IF(LEFT(Cockpit!$I$5,1)="B",(CL239+AW239)/2,MAX((CL239+AW239)/2,H239))))</f>
        <v>102</v>
      </c>
      <c r="AV239" s="62" t="n">
        <f aca="false">AU239*G239</f>
        <v>1080.18</v>
      </c>
      <c r="AW239" s="62" t="n">
        <f aca="false">ROUNDUP(CL239+MAX(CM239,2*(J239/IF(CH239&gt;0,CH239,MAX(0.1,N(Cockpit!$I$6)))-CL239)),0)</f>
        <v>122</v>
      </c>
      <c r="AX239" s="63" t="n">
        <f aca="false">IF(AT239&gt;0,J239/AT239,-1)</f>
        <v>72.4645161290323</v>
      </c>
      <c r="AY239" s="63" t="n">
        <f aca="false">IF(AND(OR(CG239="L1",CG239="L23",CG239="LIFT"),AT239&gt;0),SUMIFS($AT$7:$AT$1843,$CG$7:$CG$1843,CG239,$AX$7:$AX$1843,"&gt;"&amp;AX239)+SUMIFS($AT$7:$AT$1843,$CG$7:$CG$1843,CG239,$AX$7:$AX$1843,AX239,$BX$7:$BX$1843,"&lt;="&amp;BX239),"")</f>
        <v>1091.23489010989</v>
      </c>
      <c r="AZ239" s="70" t="n">
        <f aca="false">IF(AY239="",0,MAX(0,MIN(1,(IF(CG239="L1",Parameter!$H$5,IF(CG239="L23",Parameter!$H$6+Parameter!$H$7,Parameter!$H$5+Parameter!$H$6+Parameter!$H$7))-(AY239-AT239))/AT239)))</f>
        <v>1</v>
      </c>
      <c r="BA239" s="62" t="n">
        <f aca="false">IF(LEFT(Cockpit!$O$5,1)="A",H239,IF(Parameter!$E$30="MAX-Bestand",IF(CI239=1,CJ239,IF(LEFT(Cockpit!$O$5,1)="B",BG239,MAX(BG239,H239))),ROUNDUP(BE239,0)))</f>
        <v>67</v>
      </c>
      <c r="BB239" s="62" t="n">
        <f aca="false">IF(CA239=1,0,ROUNDUP(BA239/BZ239,0))</f>
        <v>1</v>
      </c>
      <c r="BC239" s="64" t="n">
        <f aca="false">IF(CR239&gt;0,CR239*MAX(1,BA239/X239),IF(CA239=1,IF(BA239&lt;=0,0,CE239*MAX(1,IF(H239&gt;0,BA239/H239,1))),IF(R239&gt;0,BB239/R239,0))/MAX(0.1,N(Parameter!$M$21)))</f>
        <v>0.00961538461538462</v>
      </c>
      <c r="BD239" s="62" t="n">
        <f aca="false">BC239*CC239</f>
        <v>1.49038461538462</v>
      </c>
      <c r="BE239" s="63" t="n">
        <f aca="false">IF(LEFT(Cockpit!$O$5,1)="A",H239,IF(CI239=1,(CL239+CJ239)/2,IF(LEFT(Cockpit!$O$5,1)="B",(CL239+BG239)/2,MAX((CL239+BG239)/2,H239))))</f>
        <v>67</v>
      </c>
      <c r="BF239" s="62" t="n">
        <f aca="false">BE239*G239</f>
        <v>709.53</v>
      </c>
      <c r="BG239" s="62" t="n">
        <f aca="false">ROUNDUP(CL239+MAX(CM239,2*(J239/IF(CH239&gt;0,CH239,MAX(0.1,N(Cockpit!$O$6)))-CL239)),0)</f>
        <v>122</v>
      </c>
      <c r="BH239" s="63" t="n">
        <f aca="false">IF(BD239&gt;0,J239/BD239,-1)</f>
        <v>72.4645161290323</v>
      </c>
      <c r="BI239" s="63" t="n">
        <f aca="false">IF(AND(OR(CG239="L1",CG239="L23",CG239="LIFT"),BD239&gt;0),SUMIFS($BD$7:$BD$1843,$CG$7:$CG$1843,CG239,$BH$7:$BH$1843,"&gt;"&amp;BH239)+SUMIFS($BD$7:$BD$1843,$CG$7:$CG$1843,CG239,$BH$7:$BH$1843,BH239,$BX$7:$BX$1843,"&lt;="&amp;BX239),"")</f>
        <v>1009.37316849817</v>
      </c>
      <c r="BJ239" s="70" t="n">
        <f aca="false">IF(BI239="",0,MAX(0,MIN(1,(IF(CG239="L1",Parameter!$H$5,IF(CG239="L23",Parameter!$H$6+Parameter!$H$7,Parameter!$H$5+Parameter!$H$6+Parameter!$H$7))-(BI239-BD239))/BD239)))</f>
        <v>1</v>
      </c>
      <c r="BK239" s="60" t="str">
        <f aca="false">IF(AJ239&lt;=0,"",IF(CG239="Aussen","Aussenlager",IF(CG239="-","Nicht im Lift",IF(AP239&gt;=1,"Lift",IF(AP239&lt;=0,"Aussenlager","teilweise")))))</f>
        <v>Lift</v>
      </c>
      <c r="BL239" s="60" t="str">
        <f aca="false">IF(AT239&lt;=0,"",IF(CG239="Aussen","Aussenlager",IF(CG239="-","Nicht im Lift",IF(AZ239&gt;=1,"Lift",IF(AZ239&lt;=0,"Aussenlager","teilweise")))))</f>
        <v>Lift</v>
      </c>
      <c r="BM239" s="60" t="str">
        <f aca="false">IF(BD239&lt;=0,"",IF(CG239="Aussen","Aussenlager",IF(CG239="-","Nicht im Lift",IF(BJ239&gt;=1,"Lift",IF(BJ239&lt;=0,"Aussenlager","teilweise")))))</f>
        <v>Lift</v>
      </c>
      <c r="BN239" s="60" t="str">
        <f aca="false">IF(A239="","",IF(BW239=1,"Neu; ","")&amp;IF(AND(BW239=0,BR239&lt;0),"negativer Bestand (Export "&amp;BR239&amp;"); ","")&amp;IF(J239&lt;=0,"Kein Verbrauch; ","")&amp;IF(CR239&gt;0,"Lift "&amp;W239&amp;" lt. Liftbericht (Fach "&amp;X239&amp;" Stk); ",IF(CB239=1,"Gebinde geschätzt ("&amp;T239&amp;"); ",IF(CA239=1,"Lose – Tablare geschätzt; ","")))&amp;IF(H239&gt;AW239,"Überbestand "&amp;ROUND(H239-AW239,0)&amp;" Stk / CHF "&amp;ROUND((H239-AW239)*G239,0)&amp;"; ","")&amp;IF(AND(CI239=1,CJ239&lt;CK239),"MAX &lt; MB+LG; ","")&amp;IF(AND(CQ239&gt;0,CP239*10&gt;CQ239),"zu hoch für Tablar; ","")&amp;IF(AND(BW239=0,OR(CI239=1,AB239&lt;&gt;"",U239&lt;&gt;"",V239&lt;&gt;"",AC239&lt;&gt;"")),"manuell übersteuert; ","")&amp;IF(AND(CA239=0,R239=0),"Gebinde unbekannt / Stellmass fehlt; ","")&amp;IF(AND(CA239=0,N(V239)&lt;=0,N(Q239)&lt;=0),"Menge pro Gebinde fehlt (Ist = 1 Gebinde); ","")&amp;BV239)</f>
        <v/>
      </c>
      <c r="BO239" s="60"/>
      <c r="BP239" s="60"/>
      <c r="BQ239" s="67"/>
      <c r="BR239" s="62" t="n">
        <v>46</v>
      </c>
      <c r="BS239" s="62" t="n">
        <v>56</v>
      </c>
      <c r="BT239" s="61" t="n">
        <v>564.67</v>
      </c>
      <c r="BU239" s="62" t="n">
        <v>108</v>
      </c>
      <c r="BV239" s="60"/>
      <c r="BW239" s="65" t="n">
        <v>0</v>
      </c>
      <c r="BX239" s="65" t="n">
        <v>239</v>
      </c>
      <c r="BY239" s="60" t="str">
        <f aca="false">IF(U239&lt;&gt;"",UPPER(TRIM(U239)),IF(CB239=1,UPPER(VLOOKUP(T239,Parameter!$I$27:$K$29,2,0)),IF(P239="","LOSE",P239)))</f>
        <v>S32</v>
      </c>
      <c r="BZ239" s="62" t="n">
        <f aca="false">IF(BY239="LOSE",1,IF(N(V239)&gt;0,V239,IF(CB239=1,MAX(1,N(VLOOKUP(T239,Parameter!$I$27:$K$29,3,0)),H239,N(N239)),IF(N(Q239)&gt;0,Q239,MAX(1,H239)))))</f>
        <v>311</v>
      </c>
      <c r="CA239" s="65" t="n">
        <f aca="false">IF(BY239="LOSE",1,0)</f>
        <v>0</v>
      </c>
      <c r="CB239" s="65" t="n">
        <f aca="false">IF(AND(U239="",OR(P239="",P239="LOSE"),T239&lt;&gt;"",N(S239)&lt;=0,ISNUMBER(MATCH(T239,Parameter!$I$27:$I$29,0))),1,0)</f>
        <v>0</v>
      </c>
      <c r="CC239" s="65" t="n">
        <f aca="false">IF(CR239&gt;0,INDEX(Parameter!$H$5:$H$7,W239)/INDEX(Parameter!$E$5:$E$7,W239),IF(AND(CA239=0,N(IFERROR(VLOOKUP(BY239,'Gebinde-Kategorie'!$A$5:$N$45,14,0),0))&gt;0),VLOOKUP(BY239,'Gebinde-Kategorie'!$A$5:$N$45,14,0)*10+Parameter!$M$23,Parameter!$M$24))</f>
        <v>155</v>
      </c>
      <c r="CD239" s="60" t="str">
        <f aca="false">IF(AND(Parameter!$B$19="Ja",E239&lt;&gt;"",ISNUMBER(MATCH(E239,Parameter!$I$35:$I$52,0))),VLOOKUP(E239,Parameter!$I$35:$J$52,2,0),IFERROR(VLOOKUP(D239,Parameter!$A$35:$C$64,2,0),"Nein"))</f>
        <v>2+3</v>
      </c>
      <c r="CE239" s="64" t="n">
        <f aca="false">IF(CA239=0,0,IF(N(S239)&gt;0,S239,IFERROR(VLOOKUP(D239,Parameter!$A$35:$C$64,3,0)+0,0)))</f>
        <v>0</v>
      </c>
      <c r="CF239" s="60" t="n">
        <f aca="false">IF(AB239&lt;&gt;"",AB239,AA239)</f>
        <v>1</v>
      </c>
      <c r="CG239" s="60" t="str">
        <f aca="false">IF(OR(CF239=1,CF239=2,CF239=3),IF(Parameter!$E$27="Ja","LIFT",IF(CF239=1,"L1","L23")),IF(CF239="Aussen","Aussen","-"))</f>
        <v>LIFT</v>
      </c>
      <c r="CH239" s="71" t="n">
        <f aca="false">IF(N(AC239)&gt;0,AC239,0)</f>
        <v>0</v>
      </c>
      <c r="CI239" s="65" t="n">
        <f aca="false">IF(ISNUMBER(AF239),1,0)</f>
        <v>0</v>
      </c>
      <c r="CJ239" s="62" t="n">
        <f aca="false">N(AF239)</f>
        <v>0</v>
      </c>
      <c r="CK239" s="62" t="n">
        <f aca="false">N(M239)+N(N239)</f>
        <v>122</v>
      </c>
      <c r="CL239" s="62" t="n">
        <f aca="false">N(M239)</f>
        <v>12</v>
      </c>
      <c r="CM239" s="62" t="n">
        <f aca="false">N(N239)</f>
        <v>110</v>
      </c>
      <c r="CN239" s="62" t="n">
        <f aca="false">ROUNDUP(H239/BZ239,0)</f>
        <v>1</v>
      </c>
      <c r="CO239" s="62" t="n">
        <f aca="false">ROUNDUP(CJ239/BZ239,0)</f>
        <v>0</v>
      </c>
      <c r="CP239" s="65" t="n">
        <f aca="false">IF(CA239=1,0,IFERROR(VLOOKUP(BY239,'Gebinde-Kategorie'!$A$5:$N$45,5,0)+0,0))</f>
        <v>8</v>
      </c>
      <c r="CQ239" s="65" t="n">
        <f aca="false">IFERROR(IF(OR(CF239=1,CF239=2,CF239=3),N(INDEX(Parameter!$I$5:$I$7,CF239)),0),0)</f>
        <v>0</v>
      </c>
      <c r="CR239" s="64" t="n">
        <f aca="false">IF(AND(Parameter!$B$21="Ja",ISNUMBER(W239),N(X239)&gt;0),IFERROR(N(INDEX(Parameter!$L$5:$L$7,W239))*INDEX(Parameter!$E$5:$E$7,W239)*X239/SUMIFS($X$7:$X$1843,$W$7:$W$1843,W239),0),0)</f>
        <v>0</v>
      </c>
      <c r="CS239" s="62" t="n">
        <f aca="false">IF(AND(OR(CG239="L1",CG239="L23",CG239="LIFT"),H239&gt;0),CC239*IF(CR239&gt;0,CR239*MAX(1,H239/X239),IF(CA239=1,CE239,IF(R239&gt;0,CN239/R239,0))/MAX(0.1,N(Parameter!$M$21))),"")</f>
        <v>1.49038461538462</v>
      </c>
      <c r="CT239" s="64" t="n">
        <f aca="false">IF(CS239="","",J239/H239)</f>
        <v>1.05882352941176</v>
      </c>
      <c r="CU239" s="62" t="n">
        <f aca="false">IF(CS239="","",H239*G239)</f>
        <v>1080.18</v>
      </c>
      <c r="CV239" s="63" t="n">
        <f aca="false">IF(CS239="","",(CL239+ROUNDUP(CL239+MAX(CM239,2*(J239/MAX(0.1,N(Einkauf!$C$6))-CL239)),0))/2)</f>
        <v>67</v>
      </c>
      <c r="CW239" s="62" t="n">
        <f aca="false">IF(CS239="","",MAX(0,H239-CV239)*G239)</f>
        <v>370.65</v>
      </c>
      <c r="CX239" s="62" t="n">
        <f aca="false">IF(CS239="","",CS239*MAX(0,1-CV239/H239))</f>
        <v>0.511406485671192</v>
      </c>
      <c r="CY239" s="64" t="n">
        <f aca="false">IF(CS239="","",PERCENTRANK($CS$7:$CS$1843,CS239)+PERCENTRANK($CU$7:$CU$1843,CU239)+1-PERCENTRANK($CT$7:$CT$1843,CT239))</f>
        <v>1.102</v>
      </c>
      <c r="CZ239" s="72" t="n">
        <f aca="false">IF(CS239="","",CHOOSE(MATCH(Einkauf!$C$5,Parameter!$G$23:$G$27,0),CY239,CS239,CU239,-CT239,CW239)+ROW()/1000000000)</f>
        <v>1.102000239</v>
      </c>
    </row>
    <row r="240" customFormat="false" ht="15" hidden="false" customHeight="false" outlineLevel="0" collapsed="false">
      <c r="A240" s="60" t="s">
        <v>709</v>
      </c>
      <c r="B240" s="60" t="s">
        <v>710</v>
      </c>
      <c r="C240" s="60" t="s">
        <v>206</v>
      </c>
      <c r="D240" s="60" t="s">
        <v>207</v>
      </c>
      <c r="E240" s="60"/>
      <c r="F240" s="60" t="s">
        <v>260</v>
      </c>
      <c r="G240" s="61" t="n">
        <v>284.49</v>
      </c>
      <c r="H240" s="62" t="n">
        <f aca="false">MAX(0,IF(AND(Parameter!$B$21="Ja",ISNUMBER(Y240)),Y240,IF(Parameter!$B$20="Jahresanfang 2025 + Export",BS240+BR240,BR240)))</f>
        <v>13</v>
      </c>
      <c r="I240" s="62" t="n">
        <f aca="false">H240*G240</f>
        <v>3698.37</v>
      </c>
      <c r="J240" s="62" t="n">
        <f aca="false">BU240*Parameter!$B$18</f>
        <v>14</v>
      </c>
      <c r="K240" s="63" t="n">
        <v>9</v>
      </c>
      <c r="L240" s="64" t="n">
        <v>1.55555555555556</v>
      </c>
      <c r="M240" s="62" t="n">
        <v>1</v>
      </c>
      <c r="N240" s="62" t="n">
        <v>10</v>
      </c>
      <c r="O240" s="65" t="n">
        <v>28</v>
      </c>
      <c r="P240" s="60" t="s">
        <v>210</v>
      </c>
      <c r="Q240" s="62"/>
      <c r="R240" s="65" t="n">
        <f aca="false">IF(CA240=1,0,IFERROR(VLOOKUP(BY240,'Gebinde-Kategorie'!$A$5:$N$45,13,0)+0,0))</f>
        <v>0</v>
      </c>
      <c r="S240" s="66"/>
      <c r="T240" s="67"/>
      <c r="U240" s="67"/>
      <c r="V240" s="67"/>
      <c r="W240" s="60" t="n">
        <v>1</v>
      </c>
      <c r="X240" s="62" t="n">
        <v>22</v>
      </c>
      <c r="Y240" s="62" t="n">
        <v>13</v>
      </c>
      <c r="Z240" s="60" t="n">
        <v>1</v>
      </c>
      <c r="AA240" s="60" t="n">
        <f aca="false">IF(A240="","",IF(AND(Parameter!$B$21="Ja",ISNUMBER(W240)),W240,IF(AND(Parameter!$E$27="Ja",ISNUMBER(Z240),CD240&lt;&gt;"Nein"),Z240,IF(CD240="2+3",IF(ISNUMBER(SEARCH("grosser Artikel",BV240)),2,IFERROR(VLOOKUP(BY240,Parameter!$F$35:$G$64,2,0),2)),IF(OR(CD240="Nein",CD240=""),"-",CD240)))))</f>
        <v>1</v>
      </c>
      <c r="AB240" s="67"/>
      <c r="AC240" s="68"/>
      <c r="AD240" s="62" t="n">
        <f aca="false">AW240</f>
        <v>11</v>
      </c>
      <c r="AE240" s="62" t="n">
        <f aca="false">MAX(AW240,H240)</f>
        <v>13</v>
      </c>
      <c r="AF240" s="69"/>
      <c r="AG240" s="62" t="n">
        <f aca="false">IF(LEFT(Cockpit!$C$5,1)="A",H240,IF(Parameter!$E$30="MAX-Bestand",IF(CI240=1,CJ240,IF(LEFT(Cockpit!$C$5,1)="B",AM240,MAX(AM240,H240))),ROUNDUP(AK240,0)))</f>
        <v>13</v>
      </c>
      <c r="AH240" s="62" t="n">
        <f aca="false">IF(CA240=1,0,ROUNDUP(AG240/BZ240,0))</f>
        <v>0</v>
      </c>
      <c r="AI240" s="64" t="n">
        <f aca="false">IF(CR240&gt;0,CR240*MAX(1,AG240/X240),IF(CA240=1,IF(AG240&lt;=0,0,CE240*MAX(1,IF(H240&gt;0,AG240/H240,1))),IF(R240&gt;0,AH240/R240,0))/MAX(0.1,N(Parameter!$M$21)))</f>
        <v>1.7608286252354</v>
      </c>
      <c r="AJ240" s="62" t="n">
        <f aca="false">AI240*CC240</f>
        <v>419.077212806026</v>
      </c>
      <c r="AK240" s="63" t="n">
        <f aca="false">IF(LEFT(Cockpit!$C$5,1)="A",H240,IF(CI240=1,(CL240+CJ240)/2,IF(LEFT(Cockpit!$C$5,1)="B",(CL240+AM240)/2,MAX((CL240+AM240)/2,H240))))</f>
        <v>13</v>
      </c>
      <c r="AL240" s="62" t="n">
        <f aca="false">AK240*G240</f>
        <v>3698.37</v>
      </c>
      <c r="AM240" s="62" t="n">
        <f aca="false">ROUNDUP(CL240+MAX(CM240,2*(J240/IF(CH240&gt;0,CH240,MAX(0.1,N(Cockpit!$C$6)))-CL240)),0)</f>
        <v>11</v>
      </c>
      <c r="AN240" s="63" t="n">
        <f aca="false">IF(AJ240&gt;0,J240/AJ240,-1)</f>
        <v>0.0334067316766279</v>
      </c>
      <c r="AO240" s="63" t="n">
        <f aca="false">IF(AND(OR(CG240="L1",CG240="L23",CG240="LIFT"),AJ240&gt;0),SUMIFS($AJ$7:$AJ$1843,$CG$7:$CG$1843,CG240,$AN$7:$AN$1843,"&gt;"&amp;AN240)+SUMIFS($AJ$7:$AJ$1843,$CG$7:$CG$1843,CG240,$AN$7:$AN$1843,AN240,$BX$7:$BX$1843,"&lt;="&amp;BX240),"")</f>
        <v>20810.9851694915</v>
      </c>
      <c r="AP240" s="70" t="n">
        <f aca="false">IF(AO240="",0,MAX(0,MIN(1,(IF(CG240="L1",Parameter!$H$5,IF(CG240="L23",Parameter!$H$6+Parameter!$H$7,Parameter!$H$5+Parameter!$H$6+Parameter!$H$7))-(AO240-AJ240))/AJ240)))</f>
        <v>1</v>
      </c>
      <c r="AQ240" s="62" t="n">
        <f aca="false">IF(LEFT(Cockpit!$I$5,1)="A",H240,IF(Parameter!$E$30="MAX-Bestand",IF(CI240=1,CJ240,IF(LEFT(Cockpit!$I$5,1)="B",AW240,MAX(AW240,H240))),ROUNDUP(AU240,0)))</f>
        <v>13</v>
      </c>
      <c r="AR240" s="62" t="n">
        <f aca="false">IF(CA240=1,0,ROUNDUP(AQ240/BZ240,0))</f>
        <v>0</v>
      </c>
      <c r="AS240" s="64" t="n">
        <f aca="false">IF(CR240&gt;0,CR240*MAX(1,AQ240/X240),IF(CA240=1,IF(AQ240&lt;=0,0,CE240*MAX(1,IF(H240&gt;0,AQ240/H240,1))),IF(R240&gt;0,AR240/R240,0))/MAX(0.1,N(Parameter!$M$21)))</f>
        <v>1.7608286252354</v>
      </c>
      <c r="AT240" s="62" t="n">
        <f aca="false">AS240*CC240</f>
        <v>419.077212806026</v>
      </c>
      <c r="AU240" s="63" t="n">
        <f aca="false">IF(LEFT(Cockpit!$I$5,1)="A",H240,IF(CI240=1,(CL240+CJ240)/2,IF(LEFT(Cockpit!$I$5,1)="B",(CL240+AW240)/2,MAX((CL240+AW240)/2,H240))))</f>
        <v>13</v>
      </c>
      <c r="AV240" s="62" t="n">
        <f aca="false">AU240*G240</f>
        <v>3698.37</v>
      </c>
      <c r="AW240" s="62" t="n">
        <f aca="false">ROUNDUP(CL240+MAX(CM240,2*(J240/IF(CH240&gt;0,CH240,MAX(0.1,N(Cockpit!$I$6)))-CL240)),0)</f>
        <v>11</v>
      </c>
      <c r="AX240" s="63" t="n">
        <f aca="false">IF(AT240&gt;0,J240/AT240,-1)</f>
        <v>0.0334067316766279</v>
      </c>
      <c r="AY240" s="63" t="n">
        <f aca="false">IF(AND(OR(CG240="L1",CG240="L23",CG240="LIFT"),AT240&gt;0),SUMIFS($AT$7:$AT$1843,$CG$7:$CG$1843,CG240,$AX$7:$AX$1843,"&gt;"&amp;AX240)+SUMIFS($AT$7:$AT$1843,$CG$7:$CG$1843,CG240,$AX$7:$AX$1843,AX240,$BX$7:$BX$1843,"&lt;="&amp;BX240),"")</f>
        <v>25929.133810869</v>
      </c>
      <c r="AZ240" s="70" t="n">
        <f aca="false">IF(AY240="",0,MAX(0,MIN(1,(IF(CG240="L1",Parameter!$H$5,IF(CG240="L23",Parameter!$H$6+Parameter!$H$7,Parameter!$H$5+Parameter!$H$6+Parameter!$H$7))-(AY240-AT240))/AT240)))</f>
        <v>1</v>
      </c>
      <c r="BA240" s="62" t="n">
        <f aca="false">IF(LEFT(Cockpit!$O$5,1)="A",H240,IF(Parameter!$E$30="MAX-Bestand",IF(CI240=1,CJ240,IF(LEFT(Cockpit!$O$5,1)="B",BG240,MAX(BG240,H240))),ROUNDUP(BE240,0)))</f>
        <v>6</v>
      </c>
      <c r="BB240" s="62" t="n">
        <f aca="false">IF(CA240=1,0,ROUNDUP(BA240/BZ240,0))</f>
        <v>0</v>
      </c>
      <c r="BC240" s="64" t="n">
        <f aca="false">IF(CR240&gt;0,CR240*MAX(1,BA240/X240),IF(CA240=1,IF(BA240&lt;=0,0,CE240*MAX(1,IF(H240&gt;0,BA240/H240,1))),IF(R240&gt;0,BB240/R240,0))/MAX(0.1,N(Parameter!$M$21)))</f>
        <v>1.7608286252354</v>
      </c>
      <c r="BD240" s="62" t="n">
        <f aca="false">BC240*CC240</f>
        <v>419.077212806026</v>
      </c>
      <c r="BE240" s="63" t="n">
        <f aca="false">IF(LEFT(Cockpit!$O$5,1)="A",H240,IF(CI240=1,(CL240+CJ240)/2,IF(LEFT(Cockpit!$O$5,1)="B",(CL240+BG240)/2,MAX((CL240+BG240)/2,H240))))</f>
        <v>6</v>
      </c>
      <c r="BF240" s="62" t="n">
        <f aca="false">BE240*G240</f>
        <v>1706.94</v>
      </c>
      <c r="BG240" s="62" t="n">
        <f aca="false">ROUNDUP(CL240+MAX(CM240,2*(J240/IF(CH240&gt;0,CH240,MAX(0.1,N(Cockpit!$O$6)))-CL240)),0)</f>
        <v>11</v>
      </c>
      <c r="BH240" s="63" t="n">
        <f aca="false">IF(BD240&gt;0,J240/BD240,-1)</f>
        <v>0.0334067316766279</v>
      </c>
      <c r="BI240" s="63" t="n">
        <f aca="false">IF(AND(OR(CG240="L1",CG240="L23",CG240="LIFT"),BD240&gt;0),SUMIFS($BD$7:$BD$1843,$CG$7:$CG$1843,CG240,$BH$7:$BH$1843,"&gt;"&amp;BH240)+SUMIFS($BD$7:$BD$1843,$CG$7:$CG$1843,CG240,$BH$7:$BH$1843,BH240,$BX$7:$BX$1843,"&lt;="&amp;BX240),"")</f>
        <v>21749.2412951926</v>
      </c>
      <c r="BJ240" s="70" t="n">
        <f aca="false">IF(BI240="",0,MAX(0,MIN(1,(IF(CG240="L1",Parameter!$H$5,IF(CG240="L23",Parameter!$H$6+Parameter!$H$7,Parameter!$H$5+Parameter!$H$6+Parameter!$H$7))-(BI240-BD240))/BD240)))</f>
        <v>1</v>
      </c>
      <c r="BK240" s="60" t="str">
        <f aca="false">IF(AJ240&lt;=0,"",IF(CG240="Aussen","Aussenlager",IF(CG240="-","Nicht im Lift",IF(AP240&gt;=1,"Lift",IF(AP240&lt;=0,"Aussenlager","teilweise")))))</f>
        <v>Lift</v>
      </c>
      <c r="BL240" s="60" t="str">
        <f aca="false">IF(AT240&lt;=0,"",IF(CG240="Aussen","Aussenlager",IF(CG240="-","Nicht im Lift",IF(AZ240&gt;=1,"Lift",IF(AZ240&lt;=0,"Aussenlager","teilweise")))))</f>
        <v>Lift</v>
      </c>
      <c r="BM240" s="60" t="str">
        <f aca="false">IF(BD240&lt;=0,"",IF(CG240="Aussen","Aussenlager",IF(CG240="-","Nicht im Lift",IF(BJ240&gt;=1,"Lift",IF(BJ240&lt;=0,"Aussenlager","teilweise")))))</f>
        <v>Lift</v>
      </c>
      <c r="BN240" s="60" t="str">
        <f aca="false">IF(A240="","",IF(BW240=1,"Neu; ","")&amp;IF(AND(BW240=0,BR240&lt;0),"negativer Bestand (Export "&amp;BR240&amp;"); ","")&amp;IF(J240&lt;=0,"Kein Verbrauch; ","")&amp;IF(CR240&gt;0,"Lift "&amp;W240&amp;" lt. Liftbericht (Fach "&amp;X240&amp;" Stk); ",IF(CB240=1,"Gebinde geschätzt ("&amp;T240&amp;"); ",IF(CA240=1,"Lose – Tablare geschätzt; ","")))&amp;IF(H240&gt;AW240,"Überbestand "&amp;ROUND(H240-AW240,0)&amp;" Stk / CHF "&amp;ROUND((H240-AW240)*G240,0)&amp;"; ","")&amp;IF(AND(CI240=1,CJ240&lt;CK240),"MAX &lt; MB+LG; ","")&amp;IF(AND(CQ240&gt;0,CP240*10&gt;CQ240),"zu hoch für Tablar; ","")&amp;IF(AND(BW240=0,OR(CI240=1,AB240&lt;&gt;"",U240&lt;&gt;"",V240&lt;&gt;"",AC240&lt;&gt;"")),"manuell übersteuert; ","")&amp;IF(AND(CA240=0,R240=0),"Gebinde unbekannt / Stellmass fehlt; ","")&amp;IF(AND(CA240=0,N(V240)&lt;=0,N(Q240)&lt;=0),"Menge pro Gebinde fehlt (Ist = 1 Gebinde); ","")&amp;BV240)</f>
        <v>Lift 1 lt. Liftbericht (Fach 22 Stk); Überbestand 2 Stk / CHF 569; </v>
      </c>
      <c r="BO240" s="60"/>
      <c r="BP240" s="60"/>
      <c r="BQ240" s="67"/>
      <c r="BR240" s="62" t="n">
        <v>2</v>
      </c>
      <c r="BS240" s="62" t="n">
        <v>11</v>
      </c>
      <c r="BT240" s="61" t="n">
        <v>558.200000000001</v>
      </c>
      <c r="BU240" s="62" t="n">
        <v>14</v>
      </c>
      <c r="BV240" s="60"/>
      <c r="BW240" s="65" t="n">
        <v>0</v>
      </c>
      <c r="BX240" s="65" t="n">
        <v>240</v>
      </c>
      <c r="BY240" s="60" t="str">
        <f aca="false">IF(U240&lt;&gt;"",UPPER(TRIM(U240)),IF(CB240=1,UPPER(VLOOKUP(T240,Parameter!$I$27:$K$29,2,0)),IF(P240="","LOSE",P240)))</f>
        <v>LOSE</v>
      </c>
      <c r="BZ240" s="62" t="n">
        <f aca="false">IF(BY240="LOSE",1,IF(N(V240)&gt;0,V240,IF(CB240=1,MAX(1,N(VLOOKUP(T240,Parameter!$I$27:$K$29,3,0)),H240,N(N240)),IF(N(Q240)&gt;0,Q240,MAX(1,H240)))))</f>
        <v>1</v>
      </c>
      <c r="CA240" s="65" t="n">
        <f aca="false">IF(BY240="LOSE",1,0)</f>
        <v>1</v>
      </c>
      <c r="CB240" s="65" t="n">
        <f aca="false">IF(AND(U240="",OR(P240="",P240="LOSE"),T240&lt;&gt;"",N(S240)&lt;=0,ISNUMBER(MATCH(T240,Parameter!$I$27:$I$29,0))),1,0)</f>
        <v>0</v>
      </c>
      <c r="CC240" s="65" t="n">
        <f aca="false">IF(CR240&gt;0,INDEX(Parameter!$H$5:$H$7,W240)/INDEX(Parameter!$E$5:$E$7,W240),IF(AND(CA240=0,N(IFERROR(VLOOKUP(BY240,'Gebinde-Kategorie'!$A$5:$N$45,14,0),0))&gt;0),VLOOKUP(BY240,'Gebinde-Kategorie'!$A$5:$N$45,14,0)*10+Parameter!$M$23,Parameter!$M$24))</f>
        <v>238</v>
      </c>
      <c r="CD240" s="60" t="n">
        <f aca="false">IF(AND(Parameter!$B$19="Ja",E240&lt;&gt;"",ISNUMBER(MATCH(E240,Parameter!$I$35:$I$52,0))),VLOOKUP(E240,Parameter!$I$35:$J$52,2,0),IFERROR(VLOOKUP(D240,Parameter!$A$35:$C$64,2,0),"Nein"))</f>
        <v>1</v>
      </c>
      <c r="CE240" s="64" t="n">
        <f aca="false">IF(CA240=0,0,IF(N(S240)&gt;0,S240,IFERROR(VLOOKUP(D240,Parameter!$A$35:$C$64,3,0)+0,0)))</f>
        <v>1</v>
      </c>
      <c r="CF240" s="60" t="n">
        <f aca="false">IF(AB240&lt;&gt;"",AB240,AA240)</f>
        <v>1</v>
      </c>
      <c r="CG240" s="60" t="str">
        <f aca="false">IF(OR(CF240=1,CF240=2,CF240=3),IF(Parameter!$E$27="Ja","LIFT",IF(CF240=1,"L1","L23")),IF(CF240="Aussen","Aussen","-"))</f>
        <v>LIFT</v>
      </c>
      <c r="CH240" s="71" t="n">
        <f aca="false">IF(N(AC240)&gt;0,AC240,0)</f>
        <v>0</v>
      </c>
      <c r="CI240" s="65" t="n">
        <f aca="false">IF(ISNUMBER(AF240),1,0)</f>
        <v>0</v>
      </c>
      <c r="CJ240" s="62" t="n">
        <f aca="false">N(AF240)</f>
        <v>0</v>
      </c>
      <c r="CK240" s="62" t="n">
        <f aca="false">N(M240)+N(N240)</f>
        <v>11</v>
      </c>
      <c r="CL240" s="62" t="n">
        <f aca="false">N(M240)</f>
        <v>1</v>
      </c>
      <c r="CM240" s="62" t="n">
        <f aca="false">N(N240)</f>
        <v>10</v>
      </c>
      <c r="CN240" s="62" t="n">
        <f aca="false">ROUNDUP(H240/BZ240,0)</f>
        <v>13</v>
      </c>
      <c r="CO240" s="62" t="n">
        <f aca="false">ROUNDUP(CJ240/BZ240,0)</f>
        <v>0</v>
      </c>
      <c r="CP240" s="65" t="n">
        <f aca="false">IF(CA240=1,0,IFERROR(VLOOKUP(BY240,'Gebinde-Kategorie'!$A$5:$N$45,5,0)+0,0))</f>
        <v>0</v>
      </c>
      <c r="CQ240" s="65" t="n">
        <f aca="false">IFERROR(IF(OR(CF240=1,CF240=2,CF240=3),N(INDEX(Parameter!$I$5:$I$7,CF240)),0),0)</f>
        <v>0</v>
      </c>
      <c r="CR240" s="64" t="n">
        <f aca="false">IF(AND(Parameter!$B$21="Ja",ISNUMBER(W240),N(X240)&gt;0),IFERROR(N(INDEX(Parameter!$L$5:$L$7,W240))*INDEX(Parameter!$E$5:$E$7,W240)*X240/SUMIFS($X$7:$X$1843,$W$7:$W$1843,W240),0),0)</f>
        <v>1.7608286252354</v>
      </c>
      <c r="CS240" s="62" t="n">
        <f aca="false">IF(AND(OR(CG240="L1",CG240="L23",CG240="LIFT"),H240&gt;0),CC240*IF(CR240&gt;0,CR240*MAX(1,H240/X240),IF(CA240=1,CE240,IF(R240&gt;0,CN240/R240,0))/MAX(0.1,N(Parameter!$M$21))),"")</f>
        <v>419.077212806026</v>
      </c>
      <c r="CT240" s="64" t="n">
        <f aca="false">IF(CS240="","",J240/H240)</f>
        <v>1.07692307692308</v>
      </c>
      <c r="CU240" s="62" t="n">
        <f aca="false">IF(CS240="","",H240*G240)</f>
        <v>3698.37</v>
      </c>
      <c r="CV240" s="63" t="n">
        <f aca="false">IF(CS240="","",(CL240+ROUNDUP(CL240+MAX(CM240,2*(J240/MAX(0.1,N(Einkauf!$C$6))-CL240)),0))/2)</f>
        <v>6</v>
      </c>
      <c r="CW240" s="62" t="n">
        <f aca="false">IF(CS240="","",MAX(0,H240-CV240)*G240)</f>
        <v>1991.43</v>
      </c>
      <c r="CX240" s="62" t="n">
        <f aca="false">IF(CS240="","",CS240*MAX(0,1-CV240/H240))</f>
        <v>225.656960741706</v>
      </c>
      <c r="CY240" s="64" t="n">
        <f aca="false">IF(CS240="","",PERCENTRANK($CS$7:$CS$1843,CS240)+PERCENTRANK($CU$7:$CU$1843,CU240)+1-PERCENTRANK($CT$7:$CT$1843,CT240))</f>
        <v>2.18</v>
      </c>
      <c r="CZ240" s="72" t="n">
        <f aca="false">IF(CS240="","",CHOOSE(MATCH(Einkauf!$C$5,Parameter!$G$23:$G$27,0),CY240,CS240,CU240,-CT240,CW240)+ROW()/1000000000)</f>
        <v>2.18000024</v>
      </c>
    </row>
    <row r="241" customFormat="false" ht="15" hidden="false" customHeight="false" outlineLevel="0" collapsed="false">
      <c r="A241" s="60" t="s">
        <v>711</v>
      </c>
      <c r="B241" s="60" t="s">
        <v>712</v>
      </c>
      <c r="C241" s="60" t="s">
        <v>206</v>
      </c>
      <c r="D241" s="60" t="s">
        <v>215</v>
      </c>
      <c r="E241" s="60" t="s">
        <v>215</v>
      </c>
      <c r="F241" s="60" t="s">
        <v>260</v>
      </c>
      <c r="G241" s="61" t="n">
        <v>35.2</v>
      </c>
      <c r="H241" s="62" t="n">
        <f aca="false">MAX(0,IF(AND(Parameter!$B$21="Ja",ISNUMBER(Y241)),Y241,IF(Parameter!$B$20="Jahresanfang 2025 + Export",BS241+BR241,BR241)))</f>
        <v>26</v>
      </c>
      <c r="I241" s="62" t="n">
        <f aca="false">H241*G241</f>
        <v>915.2</v>
      </c>
      <c r="J241" s="62" t="n">
        <f aca="false">BU241*Parameter!$B$18</f>
        <v>52</v>
      </c>
      <c r="K241" s="63" t="n">
        <v>34</v>
      </c>
      <c r="L241" s="64" t="n">
        <v>1.52941176470588</v>
      </c>
      <c r="M241" s="62" t="n">
        <v>5</v>
      </c>
      <c r="N241" s="62" t="n">
        <v>50</v>
      </c>
      <c r="O241" s="65" t="n">
        <v>35</v>
      </c>
      <c r="P241" s="60" t="s">
        <v>216</v>
      </c>
      <c r="Q241" s="62" t="n">
        <v>35</v>
      </c>
      <c r="R241" s="65" t="n">
        <f aca="false">IF(CA241=1,0,IFERROR(VLOOKUP(BY241,'Gebinde-Kategorie'!$A$5:$N$45,13,0)+0,0))</f>
        <v>6</v>
      </c>
      <c r="S241" s="66"/>
      <c r="T241" s="67"/>
      <c r="U241" s="67"/>
      <c r="V241" s="67"/>
      <c r="W241" s="60"/>
      <c r="X241" s="62"/>
      <c r="Y241" s="62"/>
      <c r="Z241" s="60"/>
      <c r="AA241" s="60" t="str">
        <f aca="false">IF(A241="","",IF(AND(Parameter!$B$21="Ja",ISNUMBER(W241)),W241,IF(AND(Parameter!$E$27="Ja",ISNUMBER(Z241),CD241&lt;&gt;"Nein"),Z241,IF(CD241="2+3",IF(ISNUMBER(SEARCH("grosser Artikel",BV241)),2,IFERROR(VLOOKUP(BY241,Parameter!$F$35:$G$64,2,0),2)),IF(OR(CD241="Nein",CD241=""),"-",CD241)))))</f>
        <v>-</v>
      </c>
      <c r="AB241" s="67"/>
      <c r="AC241" s="68"/>
      <c r="AD241" s="62" t="n">
        <f aca="false">AW241</f>
        <v>55</v>
      </c>
      <c r="AE241" s="62" t="n">
        <f aca="false">MAX(AW241,H241)</f>
        <v>55</v>
      </c>
      <c r="AF241" s="69"/>
      <c r="AG241" s="62" t="n">
        <f aca="false">IF(LEFT(Cockpit!$C$5,1)="A",H241,IF(Parameter!$E$30="MAX-Bestand",IF(CI241=1,CJ241,IF(LEFT(Cockpit!$C$5,1)="B",AM241,MAX(AM241,H241))),ROUNDUP(AK241,0)))</f>
        <v>26</v>
      </c>
      <c r="AH241" s="62" t="n">
        <f aca="false">IF(CA241=1,0,ROUNDUP(AG241/BZ241,0))</f>
        <v>1</v>
      </c>
      <c r="AI241" s="64" t="n">
        <f aca="false">IF(CR241&gt;0,CR241*MAX(1,AG241/X241),IF(CA241=1,IF(AG241&lt;=0,0,CE241*MAX(1,IF(H241&gt;0,AG241/H241,1))),IF(R241&gt;0,AH241/R241,0))/MAX(0.1,N(Parameter!$M$21)))</f>
        <v>0.166666666666667</v>
      </c>
      <c r="AJ241" s="62" t="n">
        <f aca="false">AI241*CC241</f>
        <v>39.1666666666667</v>
      </c>
      <c r="AK241" s="63" t="n">
        <f aca="false">IF(LEFT(Cockpit!$C$5,1)="A",H241,IF(CI241=1,(CL241+CJ241)/2,IF(LEFT(Cockpit!$C$5,1)="B",(CL241+AM241)/2,MAX((CL241+AM241)/2,H241))))</f>
        <v>26</v>
      </c>
      <c r="AL241" s="62" t="n">
        <f aca="false">AK241*G241</f>
        <v>915.2</v>
      </c>
      <c r="AM241" s="62" t="n">
        <f aca="false">ROUNDUP(CL241+MAX(CM241,2*(J241/IF(CH241&gt;0,CH241,MAX(0.1,N(Cockpit!$C$6)))-CL241)),0)</f>
        <v>55</v>
      </c>
      <c r="AN241" s="63" t="n">
        <f aca="false">IF(AJ241&gt;0,J241/AJ241,-1)</f>
        <v>1.32765957446809</v>
      </c>
      <c r="AO241" s="63" t="str">
        <f aca="false">IF(AND(OR(CG241="L1",CG241="L23",CG241="LIFT"),AJ241&gt;0),SUMIFS($AJ$7:$AJ$1843,$CG$7:$CG$1843,CG241,$AN$7:$AN$1843,"&gt;"&amp;AN241)+SUMIFS($AJ$7:$AJ$1843,$CG$7:$CG$1843,CG241,$AN$7:$AN$1843,AN241,$BX$7:$BX$1843,"&lt;="&amp;BX241),"")</f>
        <v/>
      </c>
      <c r="AP241" s="70" t="n">
        <f aca="false">IF(AO241="",0,MAX(0,MIN(1,(IF(CG241="L1",Parameter!$H$5,IF(CG241="L23",Parameter!$H$6+Parameter!$H$7,Parameter!$H$5+Parameter!$H$6+Parameter!$H$7))-(AO241-AJ241))/AJ241)))</f>
        <v>0</v>
      </c>
      <c r="AQ241" s="62" t="n">
        <f aca="false">IF(LEFT(Cockpit!$I$5,1)="A",H241,IF(Parameter!$E$30="MAX-Bestand",IF(CI241=1,CJ241,IF(LEFT(Cockpit!$I$5,1)="B",AW241,MAX(AW241,H241))),ROUNDUP(AU241,0)))</f>
        <v>30</v>
      </c>
      <c r="AR241" s="62" t="n">
        <f aca="false">IF(CA241=1,0,ROUNDUP(AQ241/BZ241,0))</f>
        <v>1</v>
      </c>
      <c r="AS241" s="64" t="n">
        <f aca="false">IF(CR241&gt;0,CR241*MAX(1,AQ241/X241),IF(CA241=1,IF(AQ241&lt;=0,0,CE241*MAX(1,IF(H241&gt;0,AQ241/H241,1))),IF(R241&gt;0,AR241/R241,0))/MAX(0.1,N(Parameter!$M$21)))</f>
        <v>0.166666666666667</v>
      </c>
      <c r="AT241" s="62" t="n">
        <f aca="false">AS241*CC241</f>
        <v>39.1666666666667</v>
      </c>
      <c r="AU241" s="63" t="n">
        <f aca="false">IF(LEFT(Cockpit!$I$5,1)="A",H241,IF(CI241=1,(CL241+CJ241)/2,IF(LEFT(Cockpit!$I$5,1)="B",(CL241+AW241)/2,MAX((CL241+AW241)/2,H241))))</f>
        <v>30</v>
      </c>
      <c r="AV241" s="62" t="n">
        <f aca="false">AU241*G241</f>
        <v>1056</v>
      </c>
      <c r="AW241" s="62" t="n">
        <f aca="false">ROUNDUP(CL241+MAX(CM241,2*(J241/IF(CH241&gt;0,CH241,MAX(0.1,N(Cockpit!$I$6)))-CL241)),0)</f>
        <v>55</v>
      </c>
      <c r="AX241" s="63" t="n">
        <f aca="false">IF(AT241&gt;0,J241/AT241,-1)</f>
        <v>1.32765957446809</v>
      </c>
      <c r="AY241" s="63" t="str">
        <f aca="false">IF(AND(OR(CG241="L1",CG241="L23",CG241="LIFT"),AT241&gt;0),SUMIFS($AT$7:$AT$1843,$CG$7:$CG$1843,CG241,$AX$7:$AX$1843,"&gt;"&amp;AX241)+SUMIFS($AT$7:$AT$1843,$CG$7:$CG$1843,CG241,$AX$7:$AX$1843,AX241,$BX$7:$BX$1843,"&lt;="&amp;BX241),"")</f>
        <v/>
      </c>
      <c r="AZ241" s="70" t="n">
        <f aca="false">IF(AY241="",0,MAX(0,MIN(1,(IF(CG241="L1",Parameter!$H$5,IF(CG241="L23",Parameter!$H$6+Parameter!$H$7,Parameter!$H$5+Parameter!$H$6+Parameter!$H$7))-(AY241-AT241))/AT241)))</f>
        <v>0</v>
      </c>
      <c r="BA241" s="62" t="n">
        <f aca="false">IF(LEFT(Cockpit!$O$5,1)="A",H241,IF(Parameter!$E$30="MAX-Bestand",IF(CI241=1,CJ241,IF(LEFT(Cockpit!$O$5,1)="B",BG241,MAX(BG241,H241))),ROUNDUP(BE241,0)))</f>
        <v>30</v>
      </c>
      <c r="BB241" s="62" t="n">
        <f aca="false">IF(CA241=1,0,ROUNDUP(BA241/BZ241,0))</f>
        <v>1</v>
      </c>
      <c r="BC241" s="64" t="n">
        <f aca="false">IF(CR241&gt;0,CR241*MAX(1,BA241/X241),IF(CA241=1,IF(BA241&lt;=0,0,CE241*MAX(1,IF(H241&gt;0,BA241/H241,1))),IF(R241&gt;0,BB241/R241,0))/MAX(0.1,N(Parameter!$M$21)))</f>
        <v>0.166666666666667</v>
      </c>
      <c r="BD241" s="62" t="n">
        <f aca="false">BC241*CC241</f>
        <v>39.1666666666667</v>
      </c>
      <c r="BE241" s="63" t="n">
        <f aca="false">IF(LEFT(Cockpit!$O$5,1)="A",H241,IF(CI241=1,(CL241+CJ241)/2,IF(LEFT(Cockpit!$O$5,1)="B",(CL241+BG241)/2,MAX((CL241+BG241)/2,H241))))</f>
        <v>30</v>
      </c>
      <c r="BF241" s="62" t="n">
        <f aca="false">BE241*G241</f>
        <v>1056</v>
      </c>
      <c r="BG241" s="62" t="n">
        <f aca="false">ROUNDUP(CL241+MAX(CM241,2*(J241/IF(CH241&gt;0,CH241,MAX(0.1,N(Cockpit!$O$6)))-CL241)),0)</f>
        <v>55</v>
      </c>
      <c r="BH241" s="63" t="n">
        <f aca="false">IF(BD241&gt;0,J241/BD241,-1)</f>
        <v>1.32765957446809</v>
      </c>
      <c r="BI241" s="63" t="str">
        <f aca="false">IF(AND(OR(CG241="L1",CG241="L23",CG241="LIFT"),BD241&gt;0),SUMIFS($BD$7:$BD$1843,$CG$7:$CG$1843,CG241,$BH$7:$BH$1843,"&gt;"&amp;BH241)+SUMIFS($BD$7:$BD$1843,$CG$7:$CG$1843,CG241,$BH$7:$BH$1843,BH241,$BX$7:$BX$1843,"&lt;="&amp;BX241),"")</f>
        <v/>
      </c>
      <c r="BJ241" s="70" t="n">
        <f aca="false">IF(BI241="",0,MAX(0,MIN(1,(IF(CG241="L1",Parameter!$H$5,IF(CG241="L23",Parameter!$H$6+Parameter!$H$7,Parameter!$H$5+Parameter!$H$6+Parameter!$H$7))-(BI241-BD241))/BD241)))</f>
        <v>0</v>
      </c>
      <c r="BK241" s="60" t="str">
        <f aca="false">IF(AJ241&lt;=0,"",IF(CG241="Aussen","Aussenlager",IF(CG241="-","Nicht im Lift",IF(AP241&gt;=1,"Lift",IF(AP241&lt;=0,"Aussenlager","teilweise")))))</f>
        <v>Nicht im Lift</v>
      </c>
      <c r="BL241" s="60" t="str">
        <f aca="false">IF(AT241&lt;=0,"",IF(CG241="Aussen","Aussenlager",IF(CG241="-","Nicht im Lift",IF(AZ241&gt;=1,"Lift",IF(AZ241&lt;=0,"Aussenlager","teilweise")))))</f>
        <v>Nicht im Lift</v>
      </c>
      <c r="BM241" s="60" t="str">
        <f aca="false">IF(BD241&lt;=0,"",IF(CG241="Aussen","Aussenlager",IF(CG241="-","Nicht im Lift",IF(BJ241&gt;=1,"Lift",IF(BJ241&lt;=0,"Aussenlager","teilweise")))))</f>
        <v>Nicht im Lift</v>
      </c>
      <c r="BN241" s="60" t="str">
        <f aca="false">IF(A241="","",IF(BW241=1,"Neu; ","")&amp;IF(AND(BW241=0,BR241&lt;0),"negativer Bestand (Export "&amp;BR241&amp;"); ","")&amp;IF(J241&lt;=0,"Kein Verbrauch; ","")&amp;IF(CR241&gt;0,"Lift "&amp;W241&amp;" lt. Liftbericht (Fach "&amp;X241&amp;" Stk); ",IF(CB241=1,"Gebinde geschätzt ("&amp;T241&amp;"); ",IF(CA241=1,"Lose – Tablare geschätzt; ","")))&amp;IF(H241&gt;AW241,"Überbestand "&amp;ROUND(H241-AW241,0)&amp;" Stk / CHF "&amp;ROUND((H241-AW241)*G241,0)&amp;"; ","")&amp;IF(AND(CI241=1,CJ241&lt;CK241),"MAX &lt; MB+LG; ","")&amp;IF(AND(CQ241&gt;0,CP241*10&gt;CQ241),"zu hoch für Tablar; ","")&amp;IF(AND(BW241=0,OR(CI241=1,AB241&lt;&gt;"",U241&lt;&gt;"",V241&lt;&gt;"",AC241&lt;&gt;"")),"manuell übersteuert; ","")&amp;IF(AND(CA241=0,R241=0),"Gebinde unbekannt / Stellmass fehlt; ","")&amp;IF(AND(CA241=0,N(V241)&lt;=0,N(Q241)&lt;=0),"Menge pro Gebinde fehlt (Ist = 1 Gebinde); ","")&amp;BV241)</f>
        <v/>
      </c>
      <c r="BO241" s="60"/>
      <c r="BP241" s="60"/>
      <c r="BQ241" s="67"/>
      <c r="BR241" s="62" t="n">
        <v>17</v>
      </c>
      <c r="BS241" s="62" t="n">
        <v>9</v>
      </c>
      <c r="BT241" s="61" t="n">
        <v>553.130000000005</v>
      </c>
      <c r="BU241" s="62" t="n">
        <v>52</v>
      </c>
      <c r="BV241" s="60"/>
      <c r="BW241" s="65" t="n">
        <v>0</v>
      </c>
      <c r="BX241" s="65" t="n">
        <v>241</v>
      </c>
      <c r="BY241" s="60" t="str">
        <f aca="false">IF(U241&lt;&gt;"",UPPER(TRIM(U241)),IF(CB241=1,UPPER(VLOOKUP(T241,Parameter!$I$27:$K$29,2,0)),IF(P241="","LOSE",P241)))</f>
        <v>S71</v>
      </c>
      <c r="BZ241" s="62" t="n">
        <f aca="false">IF(BY241="LOSE",1,IF(N(V241)&gt;0,V241,IF(CB241=1,MAX(1,N(VLOOKUP(T241,Parameter!$I$27:$K$29,3,0)),H241,N(N241)),IF(N(Q241)&gt;0,Q241,MAX(1,H241)))))</f>
        <v>35</v>
      </c>
      <c r="CA241" s="65" t="n">
        <f aca="false">IF(BY241="LOSE",1,0)</f>
        <v>0</v>
      </c>
      <c r="CB241" s="65" t="n">
        <f aca="false">IF(AND(U241="",OR(P241="",P241="LOSE"),T241&lt;&gt;"",N(S241)&lt;=0,ISNUMBER(MATCH(T241,Parameter!$I$27:$I$29,0))),1,0)</f>
        <v>0</v>
      </c>
      <c r="CC241" s="65" t="n">
        <f aca="false">IF(CR241&gt;0,INDEX(Parameter!$H$5:$H$7,W241)/INDEX(Parameter!$E$5:$E$7,W241),IF(AND(CA241=0,N(IFERROR(VLOOKUP(BY241,'Gebinde-Kategorie'!$A$5:$N$45,14,0),0))&gt;0),VLOOKUP(BY241,'Gebinde-Kategorie'!$A$5:$N$45,14,0)*10+Parameter!$M$23,Parameter!$M$24))</f>
        <v>235</v>
      </c>
      <c r="CD241" s="60" t="str">
        <f aca="false">IF(AND(Parameter!$B$19="Ja",E241&lt;&gt;"",ISNUMBER(MATCH(E241,Parameter!$I$35:$I$52,0))),VLOOKUP(E241,Parameter!$I$35:$J$52,2,0),IFERROR(VLOOKUP(D241,Parameter!$A$35:$C$64,2,0),"Nein"))</f>
        <v>Nein</v>
      </c>
      <c r="CE241" s="64" t="n">
        <f aca="false">IF(CA241=0,0,IF(N(S241)&gt;0,S241,IFERROR(VLOOKUP(D241,Parameter!$A$35:$C$64,3,0)+0,0)))</f>
        <v>0</v>
      </c>
      <c r="CF241" s="60" t="str">
        <f aca="false">IF(AB241&lt;&gt;"",AB241,AA241)</f>
        <v>-</v>
      </c>
      <c r="CG241" s="60" t="str">
        <f aca="false">IF(OR(CF241=1,CF241=2,CF241=3),IF(Parameter!$E$27="Ja","LIFT",IF(CF241=1,"L1","L23")),IF(CF241="Aussen","Aussen","-"))</f>
        <v>-</v>
      </c>
      <c r="CH241" s="71" t="n">
        <f aca="false">IF(N(AC241)&gt;0,AC241,0)</f>
        <v>0</v>
      </c>
      <c r="CI241" s="65" t="n">
        <f aca="false">IF(ISNUMBER(AF241),1,0)</f>
        <v>0</v>
      </c>
      <c r="CJ241" s="62" t="n">
        <f aca="false">N(AF241)</f>
        <v>0</v>
      </c>
      <c r="CK241" s="62" t="n">
        <f aca="false">N(M241)+N(N241)</f>
        <v>55</v>
      </c>
      <c r="CL241" s="62" t="n">
        <f aca="false">N(M241)</f>
        <v>5</v>
      </c>
      <c r="CM241" s="62" t="n">
        <f aca="false">N(N241)</f>
        <v>50</v>
      </c>
      <c r="CN241" s="62" t="n">
        <f aca="false">ROUNDUP(H241/BZ241,0)</f>
        <v>1</v>
      </c>
      <c r="CO241" s="62" t="n">
        <f aca="false">ROUNDUP(CJ241/BZ241,0)</f>
        <v>0</v>
      </c>
      <c r="CP241" s="65" t="n">
        <f aca="false">IF(CA241=1,0,IFERROR(VLOOKUP(BY241,'Gebinde-Kategorie'!$A$5:$N$45,5,0)+0,0))</f>
        <v>20</v>
      </c>
      <c r="CQ241" s="65" t="n">
        <f aca="false">IFERROR(IF(OR(CF241=1,CF241=2,CF241=3),N(INDEX(Parameter!$I$5:$I$7,CF241)),0),0)</f>
        <v>0</v>
      </c>
      <c r="CR241" s="64" t="n">
        <f aca="false">IF(AND(Parameter!$B$21="Ja",ISNUMBER(W241),N(X241)&gt;0),IFERROR(N(INDEX(Parameter!$L$5:$L$7,W241))*INDEX(Parameter!$E$5:$E$7,W241)*X241/SUMIFS($X$7:$X$1843,$W$7:$W$1843,W241),0),0)</f>
        <v>0</v>
      </c>
      <c r="CS241" s="62" t="str">
        <f aca="false">IF(AND(OR(CG241="L1",CG241="L23",CG241="LIFT"),H241&gt;0),CC241*IF(CR241&gt;0,CR241*MAX(1,H241/X241),IF(CA241=1,CE241,IF(R241&gt;0,CN241/R241,0))/MAX(0.1,N(Parameter!$M$21))),"")</f>
        <v/>
      </c>
      <c r="CT241" s="64" t="str">
        <f aca="false">IF(CS241="","",J241/H241)</f>
        <v/>
      </c>
      <c r="CU241" s="62" t="str">
        <f aca="false">IF(CS241="","",H241*G241)</f>
        <v/>
      </c>
      <c r="CV241" s="63" t="str">
        <f aca="false">IF(CS241="","",(CL241+ROUNDUP(CL241+MAX(CM241,2*(J241/MAX(0.1,N(Einkauf!$C$6))-CL241)),0))/2)</f>
        <v/>
      </c>
      <c r="CW241" s="62" t="str">
        <f aca="false">IF(CS241="","",MAX(0,H241-CV241)*G241)</f>
        <v/>
      </c>
      <c r="CX241" s="62" t="str">
        <f aca="false">IF(CS241="","",CS241*MAX(0,1-CV241/H241))</f>
        <v/>
      </c>
      <c r="CY241" s="64" t="str">
        <f aca="false">IF(CS241="","",PERCENTRANK($CS$7:$CS$1843,CS241)+PERCENTRANK($CU$7:$CU$1843,CU241)+1-PERCENTRANK($CT$7:$CT$1843,CT241))</f>
        <v/>
      </c>
      <c r="CZ241" s="72" t="str">
        <f aca="false">IF(CS241="","",CHOOSE(MATCH(Einkauf!$C$5,Parameter!$G$23:$G$27,0),CY241,CS241,CU241,-CT241,CW241)+ROW()/1000000000)</f>
        <v/>
      </c>
    </row>
    <row r="242" customFormat="false" ht="15" hidden="false" customHeight="false" outlineLevel="0" collapsed="false">
      <c r="A242" s="60" t="s">
        <v>713</v>
      </c>
      <c r="B242" s="60" t="s">
        <v>436</v>
      </c>
      <c r="C242" s="60" t="s">
        <v>206</v>
      </c>
      <c r="D242" s="60" t="s">
        <v>215</v>
      </c>
      <c r="E242" s="60" t="s">
        <v>227</v>
      </c>
      <c r="F242" s="60" t="s">
        <v>260</v>
      </c>
      <c r="G242" s="61" t="n">
        <v>423.49</v>
      </c>
      <c r="H242" s="62" t="n">
        <f aca="false">MAX(0,IF(AND(Parameter!$B$21="Ja",ISNUMBER(Y242)),Y242,IF(Parameter!$B$20="Jahresanfang 2025 + Export",BS242+BR242,BR242)))</f>
        <v>11</v>
      </c>
      <c r="I242" s="62" t="n">
        <f aca="false">H242*G242</f>
        <v>4658.39</v>
      </c>
      <c r="J242" s="62" t="n">
        <f aca="false">BU242*Parameter!$B$18</f>
        <v>26</v>
      </c>
      <c r="K242" s="63" t="n">
        <v>11</v>
      </c>
      <c r="L242" s="64" t="n">
        <v>2.36363636363636</v>
      </c>
      <c r="M242" s="62" t="n">
        <v>1</v>
      </c>
      <c r="N242" s="62" t="n">
        <v>10</v>
      </c>
      <c r="O242" s="65" t="n">
        <v>21</v>
      </c>
      <c r="P242" s="60" t="s">
        <v>216</v>
      </c>
      <c r="Q242" s="62" t="n">
        <v>13</v>
      </c>
      <c r="R242" s="65" t="n">
        <f aca="false">IF(CA242=1,0,IFERROR(VLOOKUP(BY242,'Gebinde-Kategorie'!$A$5:$N$45,13,0)+0,0))</f>
        <v>6</v>
      </c>
      <c r="S242" s="66"/>
      <c r="T242" s="67"/>
      <c r="U242" s="67"/>
      <c r="V242" s="67"/>
      <c r="W242" s="60"/>
      <c r="X242" s="62"/>
      <c r="Y242" s="62"/>
      <c r="Z242" s="60" t="n">
        <v>2</v>
      </c>
      <c r="AA242" s="60" t="n">
        <f aca="false">IF(A242="","",IF(AND(Parameter!$B$21="Ja",ISNUMBER(W242)),W242,IF(AND(Parameter!$E$27="Ja",ISNUMBER(Z242),CD242&lt;&gt;"Nein"),Z242,IF(CD242="2+3",IF(ISNUMBER(SEARCH("grosser Artikel",BV242)),2,IFERROR(VLOOKUP(BY242,Parameter!$F$35:$G$64,2,0),2)),IF(OR(CD242="Nein",CD242=""),"-",CD242)))))</f>
        <v>2</v>
      </c>
      <c r="AB242" s="67"/>
      <c r="AC242" s="68"/>
      <c r="AD242" s="62" t="n">
        <f aca="false">AW242</f>
        <v>17</v>
      </c>
      <c r="AE242" s="62" t="n">
        <f aca="false">MAX(AW242,H242)</f>
        <v>17</v>
      </c>
      <c r="AF242" s="69"/>
      <c r="AG242" s="62" t="n">
        <f aca="false">IF(LEFT(Cockpit!$C$5,1)="A",H242,IF(Parameter!$E$30="MAX-Bestand",IF(CI242=1,CJ242,IF(LEFT(Cockpit!$C$5,1)="B",AM242,MAX(AM242,H242))),ROUNDUP(AK242,0)))</f>
        <v>11</v>
      </c>
      <c r="AH242" s="62" t="n">
        <f aca="false">IF(CA242=1,0,ROUNDUP(AG242/BZ242,0))</f>
        <v>1</v>
      </c>
      <c r="AI242" s="64" t="n">
        <f aca="false">IF(CR242&gt;0,CR242*MAX(1,AG242/X242),IF(CA242=1,IF(AG242&lt;=0,0,CE242*MAX(1,IF(H242&gt;0,AG242/H242,1))),IF(R242&gt;0,AH242/R242,0))/MAX(0.1,N(Parameter!$M$21)))</f>
        <v>0.166666666666667</v>
      </c>
      <c r="AJ242" s="62" t="n">
        <f aca="false">AI242*CC242</f>
        <v>39.1666666666667</v>
      </c>
      <c r="AK242" s="63" t="n">
        <f aca="false">IF(LEFT(Cockpit!$C$5,1)="A",H242,IF(CI242=1,(CL242+CJ242)/2,IF(LEFT(Cockpit!$C$5,1)="B",(CL242+AM242)/2,MAX((CL242+AM242)/2,H242))))</f>
        <v>11</v>
      </c>
      <c r="AL242" s="62" t="n">
        <f aca="false">AK242*G242</f>
        <v>4658.39</v>
      </c>
      <c r="AM242" s="62" t="n">
        <f aca="false">ROUNDUP(CL242+MAX(CM242,2*(J242/IF(CH242&gt;0,CH242,MAX(0.1,N(Cockpit!$C$6)))-CL242)),0)</f>
        <v>17</v>
      </c>
      <c r="AN242" s="63" t="n">
        <f aca="false">IF(AJ242&gt;0,J242/AJ242,-1)</f>
        <v>0.663829787234043</v>
      </c>
      <c r="AO242" s="63" t="n">
        <f aca="false">IF(AND(OR(CG242="L1",CG242="L23",CG242="LIFT"),AJ242&gt;0),SUMIFS($AJ$7:$AJ$1843,$CG$7:$CG$1843,CG242,$AN$7:$AN$1843,"&gt;"&amp;AN242)+SUMIFS($AJ$7:$AJ$1843,$CG$7:$CG$1843,CG242,$AN$7:$AN$1843,AN242,$BX$7:$BX$1843,"&lt;="&amp;BX242),"")</f>
        <v>8692.53846153846</v>
      </c>
      <c r="AP242" s="70" t="n">
        <f aca="false">IF(AO242="",0,MAX(0,MIN(1,(IF(CG242="L1",Parameter!$H$5,IF(CG242="L23",Parameter!$H$6+Parameter!$H$7,Parameter!$H$5+Parameter!$H$6+Parameter!$H$7))-(AO242-AJ242))/AJ242)))</f>
        <v>1</v>
      </c>
      <c r="AQ242" s="62" t="n">
        <f aca="false">IF(LEFT(Cockpit!$I$5,1)="A",H242,IF(Parameter!$E$30="MAX-Bestand",IF(CI242=1,CJ242,IF(LEFT(Cockpit!$I$5,1)="B",AW242,MAX(AW242,H242))),ROUNDUP(AU242,0)))</f>
        <v>11</v>
      </c>
      <c r="AR242" s="62" t="n">
        <f aca="false">IF(CA242=1,0,ROUNDUP(AQ242/BZ242,0))</f>
        <v>1</v>
      </c>
      <c r="AS242" s="64" t="n">
        <f aca="false">IF(CR242&gt;0,CR242*MAX(1,AQ242/X242),IF(CA242=1,IF(AQ242&lt;=0,0,CE242*MAX(1,IF(H242&gt;0,AQ242/H242,1))),IF(R242&gt;0,AR242/R242,0))/MAX(0.1,N(Parameter!$M$21)))</f>
        <v>0.166666666666667</v>
      </c>
      <c r="AT242" s="62" t="n">
        <f aca="false">AS242*CC242</f>
        <v>39.1666666666667</v>
      </c>
      <c r="AU242" s="63" t="n">
        <f aca="false">IF(LEFT(Cockpit!$I$5,1)="A",H242,IF(CI242=1,(CL242+CJ242)/2,IF(LEFT(Cockpit!$I$5,1)="B",(CL242+AW242)/2,MAX((CL242+AW242)/2,H242))))</f>
        <v>11</v>
      </c>
      <c r="AV242" s="62" t="n">
        <f aca="false">AU242*G242</f>
        <v>4658.39</v>
      </c>
      <c r="AW242" s="62" t="n">
        <f aca="false">ROUNDUP(CL242+MAX(CM242,2*(J242/IF(CH242&gt;0,CH242,MAX(0.1,N(Cockpit!$I$6)))-CL242)),0)</f>
        <v>17</v>
      </c>
      <c r="AX242" s="63" t="n">
        <f aca="false">IF(AT242&gt;0,J242/AT242,-1)</f>
        <v>0.663829787234043</v>
      </c>
      <c r="AY242" s="63" t="n">
        <f aca="false">IF(AND(OR(CG242="L1",CG242="L23",CG242="LIFT"),AT242&gt;0),SUMIFS($AT$7:$AT$1843,$CG$7:$CG$1843,CG242,$AX$7:$AX$1843,"&gt;"&amp;AX242)+SUMIFS($AT$7:$AT$1843,$CG$7:$CG$1843,CG242,$AX$7:$AX$1843,AX242,$BX$7:$BX$1843,"&lt;="&amp;BX242),"")</f>
        <v>10992.6675824176</v>
      </c>
      <c r="AZ242" s="70" t="n">
        <f aca="false">IF(AY242="",0,MAX(0,MIN(1,(IF(CG242="L1",Parameter!$H$5,IF(CG242="L23",Parameter!$H$6+Parameter!$H$7,Parameter!$H$5+Parameter!$H$6+Parameter!$H$7))-(AY242-AT242))/AT242)))</f>
        <v>1</v>
      </c>
      <c r="BA242" s="62" t="n">
        <f aca="false">IF(LEFT(Cockpit!$O$5,1)="A",H242,IF(Parameter!$E$30="MAX-Bestand",IF(CI242=1,CJ242,IF(LEFT(Cockpit!$O$5,1)="B",BG242,MAX(BG242,H242))),ROUNDUP(BE242,0)))</f>
        <v>7</v>
      </c>
      <c r="BB242" s="62" t="n">
        <f aca="false">IF(CA242=1,0,ROUNDUP(BA242/BZ242,0))</f>
        <v>1</v>
      </c>
      <c r="BC242" s="64" t="n">
        <f aca="false">IF(CR242&gt;0,CR242*MAX(1,BA242/X242),IF(CA242=1,IF(BA242&lt;=0,0,CE242*MAX(1,IF(H242&gt;0,BA242/H242,1))),IF(R242&gt;0,BB242/R242,0))/MAX(0.1,N(Parameter!$M$21)))</f>
        <v>0.166666666666667</v>
      </c>
      <c r="BD242" s="62" t="n">
        <f aca="false">BC242*CC242</f>
        <v>39.1666666666667</v>
      </c>
      <c r="BE242" s="63" t="n">
        <f aca="false">IF(LEFT(Cockpit!$O$5,1)="A",H242,IF(CI242=1,(CL242+CJ242)/2,IF(LEFT(Cockpit!$O$5,1)="B",(CL242+BG242)/2,MAX((CL242+BG242)/2,H242))))</f>
        <v>6.5</v>
      </c>
      <c r="BF242" s="62" t="n">
        <f aca="false">BE242*G242</f>
        <v>2752.685</v>
      </c>
      <c r="BG242" s="62" t="n">
        <f aca="false">ROUNDUP(CL242+MAX(CM242,2*(J242/IF(CH242&gt;0,CH242,MAX(0.1,N(Cockpit!$O$6)))-CL242)),0)</f>
        <v>12</v>
      </c>
      <c r="BH242" s="63" t="n">
        <f aca="false">IF(BD242&gt;0,J242/BD242,-1)</f>
        <v>0.663829787234043</v>
      </c>
      <c r="BI242" s="63" t="n">
        <f aca="false">IF(AND(OR(CG242="L1",CG242="L23",CG242="LIFT"),BD242&gt;0),SUMIFS($BD$7:$BD$1843,$CG$7:$CG$1843,CG242,$BH$7:$BH$1843,"&gt;"&amp;BH242)+SUMIFS($BD$7:$BD$1843,$CG$7:$CG$1843,CG242,$BH$7:$BH$1843,BH242,$BX$7:$BX$1843,"&lt;="&amp;BX242),"")</f>
        <v>9605.28250915751</v>
      </c>
      <c r="BJ242" s="70" t="n">
        <f aca="false">IF(BI242="",0,MAX(0,MIN(1,(IF(CG242="L1",Parameter!$H$5,IF(CG242="L23",Parameter!$H$6+Parameter!$H$7,Parameter!$H$5+Parameter!$H$6+Parameter!$H$7))-(BI242-BD242))/BD242)))</f>
        <v>1</v>
      </c>
      <c r="BK242" s="60" t="str">
        <f aca="false">IF(AJ242&lt;=0,"",IF(CG242="Aussen","Aussenlager",IF(CG242="-","Nicht im Lift",IF(AP242&gt;=1,"Lift",IF(AP242&lt;=0,"Aussenlager","teilweise")))))</f>
        <v>Lift</v>
      </c>
      <c r="BL242" s="60" t="str">
        <f aca="false">IF(AT242&lt;=0,"",IF(CG242="Aussen","Aussenlager",IF(CG242="-","Nicht im Lift",IF(AZ242&gt;=1,"Lift",IF(AZ242&lt;=0,"Aussenlager","teilweise")))))</f>
        <v>Lift</v>
      </c>
      <c r="BM242" s="60" t="str">
        <f aca="false">IF(BD242&lt;=0,"",IF(CG242="Aussen","Aussenlager",IF(CG242="-","Nicht im Lift",IF(BJ242&gt;=1,"Lift",IF(BJ242&lt;=0,"Aussenlager","teilweise")))))</f>
        <v>Lift</v>
      </c>
      <c r="BN242" s="60" t="str">
        <f aca="false">IF(A242="","",IF(BW242=1,"Neu; ","")&amp;IF(AND(BW242=0,BR242&lt;0),"negativer Bestand (Export "&amp;BR242&amp;"); ","")&amp;IF(J242&lt;=0,"Kein Verbrauch; ","")&amp;IF(CR242&gt;0,"Lift "&amp;W242&amp;" lt. Liftbericht (Fach "&amp;X242&amp;" Stk); ",IF(CB242=1,"Gebinde geschätzt ("&amp;T242&amp;"); ",IF(CA242=1,"Lose – Tablare geschätzt; ","")))&amp;IF(H242&gt;AW242,"Überbestand "&amp;ROUND(H242-AW242,0)&amp;" Stk / CHF "&amp;ROUND((H242-AW242)*G242,0)&amp;"; ","")&amp;IF(AND(CI242=1,CJ242&lt;CK242),"MAX &lt; MB+LG; ","")&amp;IF(AND(CQ242&gt;0,CP242*10&gt;CQ242),"zu hoch für Tablar; ","")&amp;IF(AND(BW242=0,OR(CI242=1,AB242&lt;&gt;"",U242&lt;&gt;"",V242&lt;&gt;"",AC242&lt;&gt;"")),"manuell übersteuert; ","")&amp;IF(AND(CA242=0,R242=0),"Gebinde unbekannt / Stellmass fehlt; ","")&amp;IF(AND(CA242=0,N(V242)&lt;=0,N(Q242)&lt;=0),"Menge pro Gebinde fehlt (Ist = 1 Gebinde); ","")&amp;BV242)</f>
        <v>grosser Artikel &amp; nicht im KTL</v>
      </c>
      <c r="BO242" s="60"/>
      <c r="BP242" s="60"/>
      <c r="BQ242" s="67"/>
      <c r="BR242" s="62" t="n">
        <v>1</v>
      </c>
      <c r="BS242" s="62" t="n">
        <v>10</v>
      </c>
      <c r="BT242" s="61" t="n">
        <v>545.890000000001</v>
      </c>
      <c r="BU242" s="62" t="n">
        <v>26</v>
      </c>
      <c r="BV242" s="60" t="s">
        <v>303</v>
      </c>
      <c r="BW242" s="65" t="n">
        <v>0</v>
      </c>
      <c r="BX242" s="65" t="n">
        <v>242</v>
      </c>
      <c r="BY242" s="60" t="str">
        <f aca="false">IF(U242&lt;&gt;"",UPPER(TRIM(U242)),IF(CB242=1,UPPER(VLOOKUP(T242,Parameter!$I$27:$K$29,2,0)),IF(P242="","LOSE",P242)))</f>
        <v>S71</v>
      </c>
      <c r="BZ242" s="62" t="n">
        <f aca="false">IF(BY242="LOSE",1,IF(N(V242)&gt;0,V242,IF(CB242=1,MAX(1,N(VLOOKUP(T242,Parameter!$I$27:$K$29,3,0)),H242,N(N242)),IF(N(Q242)&gt;0,Q242,MAX(1,H242)))))</f>
        <v>13</v>
      </c>
      <c r="CA242" s="65" t="n">
        <f aca="false">IF(BY242="LOSE",1,0)</f>
        <v>0</v>
      </c>
      <c r="CB242" s="65" t="n">
        <f aca="false">IF(AND(U242="",OR(P242="",P242="LOSE"),T242&lt;&gt;"",N(S242)&lt;=0,ISNUMBER(MATCH(T242,Parameter!$I$27:$I$29,0))),1,0)</f>
        <v>0</v>
      </c>
      <c r="CC242" s="65" t="n">
        <f aca="false">IF(CR242&gt;0,INDEX(Parameter!$H$5:$H$7,W242)/INDEX(Parameter!$E$5:$E$7,W242),IF(AND(CA242=0,N(IFERROR(VLOOKUP(BY242,'Gebinde-Kategorie'!$A$5:$N$45,14,0),0))&gt;0),VLOOKUP(BY242,'Gebinde-Kategorie'!$A$5:$N$45,14,0)*10+Parameter!$M$23,Parameter!$M$24))</f>
        <v>235</v>
      </c>
      <c r="CD242" s="60" t="str">
        <f aca="false">IF(AND(Parameter!$B$19="Ja",E242&lt;&gt;"",ISNUMBER(MATCH(E242,Parameter!$I$35:$I$52,0))),VLOOKUP(E242,Parameter!$I$35:$J$52,2,0),IFERROR(VLOOKUP(D242,Parameter!$A$35:$C$64,2,0),"Nein"))</f>
        <v>2+3</v>
      </c>
      <c r="CE242" s="64" t="n">
        <f aca="false">IF(CA242=0,0,IF(N(S242)&gt;0,S242,IFERROR(VLOOKUP(D242,Parameter!$A$35:$C$64,3,0)+0,0)))</f>
        <v>0</v>
      </c>
      <c r="CF242" s="60" t="n">
        <f aca="false">IF(AB242&lt;&gt;"",AB242,AA242)</f>
        <v>2</v>
      </c>
      <c r="CG242" s="60" t="str">
        <f aca="false">IF(OR(CF242=1,CF242=2,CF242=3),IF(Parameter!$E$27="Ja","LIFT",IF(CF242=1,"L1","L23")),IF(CF242="Aussen","Aussen","-"))</f>
        <v>LIFT</v>
      </c>
      <c r="CH242" s="71" t="n">
        <f aca="false">IF(N(AC242)&gt;0,AC242,0)</f>
        <v>0</v>
      </c>
      <c r="CI242" s="65" t="n">
        <f aca="false">IF(ISNUMBER(AF242),1,0)</f>
        <v>0</v>
      </c>
      <c r="CJ242" s="62" t="n">
        <f aca="false">N(AF242)</f>
        <v>0</v>
      </c>
      <c r="CK242" s="62" t="n">
        <f aca="false">N(M242)+N(N242)</f>
        <v>11</v>
      </c>
      <c r="CL242" s="62" t="n">
        <f aca="false">N(M242)</f>
        <v>1</v>
      </c>
      <c r="CM242" s="62" t="n">
        <f aca="false">N(N242)</f>
        <v>10</v>
      </c>
      <c r="CN242" s="62" t="n">
        <f aca="false">ROUNDUP(H242/BZ242,0)</f>
        <v>1</v>
      </c>
      <c r="CO242" s="62" t="n">
        <f aca="false">ROUNDUP(CJ242/BZ242,0)</f>
        <v>0</v>
      </c>
      <c r="CP242" s="65" t="n">
        <f aca="false">IF(CA242=1,0,IFERROR(VLOOKUP(BY242,'Gebinde-Kategorie'!$A$5:$N$45,5,0)+0,0))</f>
        <v>20</v>
      </c>
      <c r="CQ242" s="65" t="n">
        <f aca="false">IFERROR(IF(OR(CF242=1,CF242=2,CF242=3),N(INDEX(Parameter!$I$5:$I$7,CF242)),0),0)</f>
        <v>0</v>
      </c>
      <c r="CR242" s="64" t="n">
        <f aca="false">IF(AND(Parameter!$B$21="Ja",ISNUMBER(W242),N(X242)&gt;0),IFERROR(N(INDEX(Parameter!$L$5:$L$7,W242))*INDEX(Parameter!$E$5:$E$7,W242)*X242/SUMIFS($X$7:$X$1843,$W$7:$W$1843,W242),0),0)</f>
        <v>0</v>
      </c>
      <c r="CS242" s="62" t="n">
        <f aca="false">IF(AND(OR(CG242="L1",CG242="L23",CG242="LIFT"),H242&gt;0),CC242*IF(CR242&gt;0,CR242*MAX(1,H242/X242),IF(CA242=1,CE242,IF(R242&gt;0,CN242/R242,0))/MAX(0.1,N(Parameter!$M$21))),"")</f>
        <v>39.1666666666667</v>
      </c>
      <c r="CT242" s="64" t="n">
        <f aca="false">IF(CS242="","",J242/H242)</f>
        <v>2.36363636363636</v>
      </c>
      <c r="CU242" s="62" t="n">
        <f aca="false">IF(CS242="","",H242*G242)</f>
        <v>4658.39</v>
      </c>
      <c r="CV242" s="63" t="n">
        <f aca="false">IF(CS242="","",(CL242+ROUNDUP(CL242+MAX(CM242,2*(J242/MAX(0.1,N(Einkauf!$C$6))-CL242)),0))/2)</f>
        <v>6.5</v>
      </c>
      <c r="CW242" s="62" t="n">
        <f aca="false">IF(CS242="","",MAX(0,H242-CV242)*G242)</f>
        <v>1905.705</v>
      </c>
      <c r="CX242" s="62" t="n">
        <f aca="false">IF(CS242="","",CS242*MAX(0,1-CV242/H242))</f>
        <v>16.0227272727273</v>
      </c>
      <c r="CY242" s="64" t="n">
        <f aca="false">IF(CS242="","",PERCENTRANK($CS$7:$CS$1843,CS242)+PERCENTRANK($CU$7:$CU$1843,CU242)+1-PERCENTRANK($CT$7:$CT$1843,CT242))</f>
        <v>1.91</v>
      </c>
      <c r="CZ242" s="72" t="n">
        <f aca="false">IF(CS242="","",CHOOSE(MATCH(Einkauf!$C$5,Parameter!$G$23:$G$27,0),CY242,CS242,CU242,-CT242,CW242)+ROW()/1000000000)</f>
        <v>1.910000242</v>
      </c>
    </row>
    <row r="243" customFormat="false" ht="15" hidden="false" customHeight="false" outlineLevel="0" collapsed="false">
      <c r="A243" s="60" t="s">
        <v>714</v>
      </c>
      <c r="B243" s="60" t="s">
        <v>715</v>
      </c>
      <c r="C243" s="60" t="s">
        <v>206</v>
      </c>
      <c r="D243" s="60" t="s">
        <v>226</v>
      </c>
      <c r="E243" s="60"/>
      <c r="F243" s="60" t="s">
        <v>260</v>
      </c>
      <c r="G243" s="61" t="n">
        <v>108.25</v>
      </c>
      <c r="H243" s="62" t="n">
        <f aca="false">MAX(0,IF(AND(Parameter!$B$21="Ja",ISNUMBER(Y243)),Y243,IF(Parameter!$B$20="Jahresanfang 2025 + Export",BS243+BR243,BR243)))</f>
        <v>28</v>
      </c>
      <c r="I243" s="62" t="n">
        <f aca="false">H243*G243</f>
        <v>3031</v>
      </c>
      <c r="J243" s="62" t="n">
        <f aca="false">BU243*Parameter!$B$18</f>
        <v>0</v>
      </c>
      <c r="K243" s="63" t="n">
        <v>25.5</v>
      </c>
      <c r="L243" s="64" t="n">
        <v>0</v>
      </c>
      <c r="M243" s="62" t="n">
        <v>0</v>
      </c>
      <c r="N243" s="62" t="n">
        <v>1</v>
      </c>
      <c r="O243" s="65" t="n">
        <v>49</v>
      </c>
      <c r="P243" s="60" t="s">
        <v>268</v>
      </c>
      <c r="Q243" s="62" t="n">
        <v>30</v>
      </c>
      <c r="R243" s="65" t="n">
        <f aca="false">IF(CA243=1,0,IFERROR(VLOOKUP(BY243,'Gebinde-Kategorie'!$A$5:$N$45,13,0)+0,0))</f>
        <v>12</v>
      </c>
      <c r="S243" s="66"/>
      <c r="T243" s="67"/>
      <c r="U243" s="67"/>
      <c r="V243" s="67"/>
      <c r="W243" s="60"/>
      <c r="X243" s="62"/>
      <c r="Y243" s="62"/>
      <c r="Z243" s="60" t="n">
        <v>3</v>
      </c>
      <c r="AA243" s="60" t="n">
        <f aca="false">IF(A243="","",IF(AND(Parameter!$B$21="Ja",ISNUMBER(W243)),W243,IF(AND(Parameter!$E$27="Ja",ISNUMBER(Z243),CD243&lt;&gt;"Nein"),Z243,IF(CD243="2+3",IF(ISNUMBER(SEARCH("grosser Artikel",BV243)),2,IFERROR(VLOOKUP(BY243,Parameter!$F$35:$G$64,2,0),2)),IF(OR(CD243="Nein",CD243=""),"-",CD243)))))</f>
        <v>3</v>
      </c>
      <c r="AB243" s="67"/>
      <c r="AC243" s="68"/>
      <c r="AD243" s="62" t="n">
        <f aca="false">AW243</f>
        <v>1</v>
      </c>
      <c r="AE243" s="62" t="n">
        <f aca="false">MAX(AW243,H243)</f>
        <v>28</v>
      </c>
      <c r="AF243" s="69"/>
      <c r="AG243" s="62" t="n">
        <f aca="false">IF(LEFT(Cockpit!$C$5,1)="A",H243,IF(Parameter!$E$30="MAX-Bestand",IF(CI243=1,CJ243,IF(LEFT(Cockpit!$C$5,1)="B",AM243,MAX(AM243,H243))),ROUNDUP(AK243,0)))</f>
        <v>28</v>
      </c>
      <c r="AH243" s="62" t="n">
        <f aca="false">IF(CA243=1,0,ROUNDUP(AG243/BZ243,0))</f>
        <v>1</v>
      </c>
      <c r="AI243" s="64" t="n">
        <f aca="false">IF(CR243&gt;0,CR243*MAX(1,AG243/X243),IF(CA243=1,IF(AG243&lt;=0,0,CE243*MAX(1,IF(H243&gt;0,AG243/H243,1))),IF(R243&gt;0,AH243/R243,0))/MAX(0.1,N(Parameter!$M$21)))</f>
        <v>0.0833333333333333</v>
      </c>
      <c r="AJ243" s="62" t="n">
        <f aca="false">AI243*CC243</f>
        <v>28.75</v>
      </c>
      <c r="AK243" s="63" t="n">
        <f aca="false">IF(LEFT(Cockpit!$C$5,1)="A",H243,IF(CI243=1,(CL243+CJ243)/2,IF(LEFT(Cockpit!$C$5,1)="B",(CL243+AM243)/2,MAX((CL243+AM243)/2,H243))))</f>
        <v>28</v>
      </c>
      <c r="AL243" s="62" t="n">
        <f aca="false">AK243*G243</f>
        <v>3031</v>
      </c>
      <c r="AM243" s="62" t="n">
        <f aca="false">ROUNDUP(CL243+MAX(CM243,2*(J243/IF(CH243&gt;0,CH243,MAX(0.1,N(Cockpit!$C$6)))-CL243)),0)</f>
        <v>1</v>
      </c>
      <c r="AN243" s="63" t="n">
        <f aca="false">IF(AJ243&gt;0,J243/AJ243,-1)</f>
        <v>0</v>
      </c>
      <c r="AO243" s="63" t="n">
        <f aca="false">IF(AND(OR(CG243="L1",CG243="L23",CG243="LIFT"),AJ243&gt;0),SUMIFS($AJ$7:$AJ$1843,$CG$7:$CG$1843,CG243,$AN$7:$AN$1843,"&gt;"&amp;AN243)+SUMIFS($AJ$7:$AJ$1843,$CG$7:$CG$1843,CG243,$AN$7:$AN$1843,AN243,$BX$7:$BX$1843,"&lt;="&amp;BX243),"")</f>
        <v>27680.2671095383</v>
      </c>
      <c r="AP243" s="70" t="n">
        <f aca="false">IF(AO243="",0,MAX(0,MIN(1,(IF(CG243="L1",Parameter!$H$5,IF(CG243="L23",Parameter!$H$6+Parameter!$H$7,Parameter!$H$5+Parameter!$H$6+Parameter!$H$7))-(AO243-AJ243))/AJ243)))</f>
        <v>1</v>
      </c>
      <c r="AQ243" s="62" t="n">
        <f aca="false">IF(LEFT(Cockpit!$I$5,1)="A",H243,IF(Parameter!$E$30="MAX-Bestand",IF(CI243=1,CJ243,IF(LEFT(Cockpit!$I$5,1)="B",AW243,MAX(AW243,H243))),ROUNDUP(AU243,0)))</f>
        <v>28</v>
      </c>
      <c r="AR243" s="62" t="n">
        <f aca="false">IF(CA243=1,0,ROUNDUP(AQ243/BZ243,0))</f>
        <v>1</v>
      </c>
      <c r="AS243" s="64" t="n">
        <f aca="false">IF(CR243&gt;0,CR243*MAX(1,AQ243/X243),IF(CA243=1,IF(AQ243&lt;=0,0,CE243*MAX(1,IF(H243&gt;0,AQ243/H243,1))),IF(R243&gt;0,AR243/R243,0))/MAX(0.1,N(Parameter!$M$21)))</f>
        <v>0.0833333333333333</v>
      </c>
      <c r="AT243" s="62" t="n">
        <f aca="false">AS243*CC243</f>
        <v>28.75</v>
      </c>
      <c r="AU243" s="63" t="n">
        <f aca="false">IF(LEFT(Cockpit!$I$5,1)="A",H243,IF(CI243=1,(CL243+CJ243)/2,IF(LEFT(Cockpit!$I$5,1)="B",(CL243+AW243)/2,MAX((CL243+AW243)/2,H243))))</f>
        <v>28</v>
      </c>
      <c r="AV243" s="62" t="n">
        <f aca="false">AU243*G243</f>
        <v>3031</v>
      </c>
      <c r="AW243" s="62" t="n">
        <f aca="false">ROUNDUP(CL243+MAX(CM243,2*(J243/IF(CH243&gt;0,CH243,MAX(0.1,N(Cockpit!$I$6)))-CL243)),0)</f>
        <v>1</v>
      </c>
      <c r="AX243" s="63" t="n">
        <f aca="false">IF(AT243&gt;0,J243/AT243,-1)</f>
        <v>0</v>
      </c>
      <c r="AY243" s="63" t="n">
        <f aca="false">IF(AND(OR(CG243="L1",CG243="L23",CG243="LIFT"),AT243&gt;0),SUMIFS($AT$7:$AT$1843,$CG$7:$CG$1843,CG243,$AX$7:$AX$1843,"&gt;"&amp;AX243)+SUMIFS($AT$7:$AT$1843,$CG$7:$CG$1843,CG243,$AX$7:$AX$1843,AX243,$BX$7:$BX$1843,"&lt;="&amp;BX243),"")</f>
        <v>33033.4157509158</v>
      </c>
      <c r="AZ243" s="70" t="n">
        <f aca="false">IF(AY243="",0,MAX(0,MIN(1,(IF(CG243="L1",Parameter!$H$5,IF(CG243="L23",Parameter!$H$6+Parameter!$H$7,Parameter!$H$5+Parameter!$H$6+Parameter!$H$7))-(AY243-AT243))/AT243)))</f>
        <v>1</v>
      </c>
      <c r="BA243" s="62" t="n">
        <f aca="false">IF(LEFT(Cockpit!$O$5,1)="A",H243,IF(Parameter!$E$30="MAX-Bestand",IF(CI243=1,CJ243,IF(LEFT(Cockpit!$O$5,1)="B",BG243,MAX(BG243,H243))),ROUNDUP(BE243,0)))</f>
        <v>1</v>
      </c>
      <c r="BB243" s="62" t="n">
        <f aca="false">IF(CA243=1,0,ROUNDUP(BA243/BZ243,0))</f>
        <v>1</v>
      </c>
      <c r="BC243" s="64" t="n">
        <f aca="false">IF(CR243&gt;0,CR243*MAX(1,BA243/X243),IF(CA243=1,IF(BA243&lt;=0,0,CE243*MAX(1,IF(H243&gt;0,BA243/H243,1))),IF(R243&gt;0,BB243/R243,0))/MAX(0.1,N(Parameter!$M$21)))</f>
        <v>0.0833333333333333</v>
      </c>
      <c r="BD243" s="62" t="n">
        <f aca="false">BC243*CC243</f>
        <v>28.75</v>
      </c>
      <c r="BE243" s="63" t="n">
        <f aca="false">IF(LEFT(Cockpit!$O$5,1)="A",H243,IF(CI243=1,(CL243+CJ243)/2,IF(LEFT(Cockpit!$O$5,1)="B",(CL243+BG243)/2,MAX((CL243+BG243)/2,H243))))</f>
        <v>0.5</v>
      </c>
      <c r="BF243" s="62" t="n">
        <f aca="false">BE243*G243</f>
        <v>54.125</v>
      </c>
      <c r="BG243" s="62" t="n">
        <f aca="false">ROUNDUP(CL243+MAX(CM243,2*(J243/IF(CH243&gt;0,CH243,MAX(0.1,N(Cockpit!$O$6)))-CL243)),0)</f>
        <v>1</v>
      </c>
      <c r="BH243" s="63" t="n">
        <f aca="false">IF(BD243&gt;0,J243/BD243,-1)</f>
        <v>0</v>
      </c>
      <c r="BI243" s="63" t="n">
        <f aca="false">IF(AND(OR(CG243="L1",CG243="L23",CG243="LIFT"),BD243&gt;0),SUMIFS($BD$7:$BD$1843,$CG$7:$CG$1843,CG243,$BH$7:$BH$1843,"&gt;"&amp;BH243)+SUMIFS($BD$7:$BD$1843,$CG$7:$CG$1843,CG243,$BH$7:$BH$1843,BH243,$BX$7:$BX$1843,"&lt;="&amp;BX243),"")</f>
        <v>27188.2347737009</v>
      </c>
      <c r="BJ243" s="70" t="n">
        <f aca="false">IF(BI243="",0,MAX(0,MIN(1,(IF(CG243="L1",Parameter!$H$5,IF(CG243="L23",Parameter!$H$6+Parameter!$H$7,Parameter!$H$5+Parameter!$H$6+Parameter!$H$7))-(BI243-BD243))/BD243)))</f>
        <v>1</v>
      </c>
      <c r="BK243" s="60" t="str">
        <f aca="false">IF(AJ243&lt;=0,"",IF(CG243="Aussen","Aussenlager",IF(CG243="-","Nicht im Lift",IF(AP243&gt;=1,"Lift",IF(AP243&lt;=0,"Aussenlager","teilweise")))))</f>
        <v>Lift</v>
      </c>
      <c r="BL243" s="60" t="str">
        <f aca="false">IF(AT243&lt;=0,"",IF(CG243="Aussen","Aussenlager",IF(CG243="-","Nicht im Lift",IF(AZ243&gt;=1,"Lift",IF(AZ243&lt;=0,"Aussenlager","teilweise")))))</f>
        <v>Lift</v>
      </c>
      <c r="BM243" s="60" t="str">
        <f aca="false">IF(BD243&lt;=0,"",IF(CG243="Aussen","Aussenlager",IF(CG243="-","Nicht im Lift",IF(BJ243&gt;=1,"Lift",IF(BJ243&lt;=0,"Aussenlager","teilweise")))))</f>
        <v>Lift</v>
      </c>
      <c r="BN243" s="60" t="str">
        <f aca="false">IF(A243="","",IF(BW243=1,"Neu; ","")&amp;IF(AND(BW243=0,BR243&lt;0),"negativer Bestand (Export "&amp;BR243&amp;"); ","")&amp;IF(J243&lt;=0,"Kein Verbrauch; ","")&amp;IF(CR243&gt;0,"Lift "&amp;W243&amp;" lt. Liftbericht (Fach "&amp;X243&amp;" Stk); ",IF(CB243=1,"Gebinde geschätzt ("&amp;T243&amp;"); ",IF(CA243=1,"Lose – Tablare geschätzt; ","")))&amp;IF(H243&gt;AW243,"Überbestand "&amp;ROUND(H243-AW243,0)&amp;" Stk / CHF "&amp;ROUND((H243-AW243)*G243,0)&amp;"; ","")&amp;IF(AND(CI243=1,CJ243&lt;CK243),"MAX &lt; MB+LG; ","")&amp;IF(AND(CQ243&gt;0,CP243*10&gt;CQ243),"zu hoch für Tablar; ","")&amp;IF(AND(BW243=0,OR(CI243=1,AB243&lt;&gt;"",U243&lt;&gt;"",V243&lt;&gt;"",AC243&lt;&gt;"")),"manuell übersteuert; ","")&amp;IF(AND(CA243=0,R243=0),"Gebinde unbekannt / Stellmass fehlt; ","")&amp;IF(AND(CA243=0,N(V243)&lt;=0,N(Q243)&lt;=0),"Menge pro Gebinde fehlt (Ist = 1 Gebinde); ","")&amp;BV243)</f>
        <v>Kein Verbrauch; Überbestand 27 Stk / CHF 2923; </v>
      </c>
      <c r="BO243" s="60"/>
      <c r="BP243" s="60"/>
      <c r="BQ243" s="67"/>
      <c r="BR243" s="62" t="n">
        <v>5</v>
      </c>
      <c r="BS243" s="62" t="n">
        <v>23</v>
      </c>
      <c r="BT243" s="61" t="n">
        <v>541.25</v>
      </c>
      <c r="BU243" s="62" t="n">
        <v>0</v>
      </c>
      <c r="BV243" s="60"/>
      <c r="BW243" s="65" t="n">
        <v>0</v>
      </c>
      <c r="BX243" s="65" t="n">
        <v>243</v>
      </c>
      <c r="BY243" s="60" t="str">
        <f aca="false">IF(U243&lt;&gt;"",UPPER(TRIM(U243)),IF(CB243=1,UPPER(VLOOKUP(T243,Parameter!$I$27:$K$29,2,0)),IF(P243="","LOSE",P243)))</f>
        <v>S63</v>
      </c>
      <c r="BZ243" s="62" t="n">
        <f aca="false">IF(BY243="LOSE",1,IF(N(V243)&gt;0,V243,IF(CB243=1,MAX(1,N(VLOOKUP(T243,Parameter!$I$27:$K$29,3,0)),H243,N(N243)),IF(N(Q243)&gt;0,Q243,MAX(1,H243)))))</f>
        <v>30</v>
      </c>
      <c r="CA243" s="65" t="n">
        <f aca="false">IF(BY243="LOSE",1,0)</f>
        <v>0</v>
      </c>
      <c r="CB243" s="65" t="n">
        <f aca="false">IF(AND(U243="",OR(P243="",P243="LOSE"),T243&lt;&gt;"",N(S243)&lt;=0,ISNUMBER(MATCH(T243,Parameter!$I$27:$I$29,0))),1,0)</f>
        <v>0</v>
      </c>
      <c r="CC243" s="65" t="n">
        <f aca="false">IF(CR243&gt;0,INDEX(Parameter!$H$5:$H$7,W243)/INDEX(Parameter!$E$5:$E$7,W243),IF(AND(CA243=0,N(IFERROR(VLOOKUP(BY243,'Gebinde-Kategorie'!$A$5:$N$45,14,0),0))&gt;0),VLOOKUP(BY243,'Gebinde-Kategorie'!$A$5:$N$45,14,0)*10+Parameter!$M$23,Parameter!$M$24))</f>
        <v>345</v>
      </c>
      <c r="CD243" s="60" t="str">
        <f aca="false">IF(AND(Parameter!$B$19="Ja",E243&lt;&gt;"",ISNUMBER(MATCH(E243,Parameter!$I$35:$I$52,0))),VLOOKUP(E243,Parameter!$I$35:$J$52,2,0),IFERROR(VLOOKUP(D243,Parameter!$A$35:$C$64,2,0),"Nein"))</f>
        <v>2+3</v>
      </c>
      <c r="CE243" s="64" t="n">
        <f aca="false">IF(CA243=0,0,IF(N(S243)&gt;0,S243,IFERROR(VLOOKUP(D243,Parameter!$A$35:$C$64,3,0)+0,0)))</f>
        <v>0</v>
      </c>
      <c r="CF243" s="60" t="n">
        <f aca="false">IF(AB243&lt;&gt;"",AB243,AA243)</f>
        <v>3</v>
      </c>
      <c r="CG243" s="60" t="str">
        <f aca="false">IF(OR(CF243=1,CF243=2,CF243=3),IF(Parameter!$E$27="Ja","LIFT",IF(CF243=1,"L1","L23")),IF(CF243="Aussen","Aussen","-"))</f>
        <v>LIFT</v>
      </c>
      <c r="CH243" s="71" t="n">
        <f aca="false">IF(N(AC243)&gt;0,AC243,0)</f>
        <v>0</v>
      </c>
      <c r="CI243" s="65" t="n">
        <f aca="false">IF(ISNUMBER(AF243),1,0)</f>
        <v>0</v>
      </c>
      <c r="CJ243" s="62" t="n">
        <f aca="false">N(AF243)</f>
        <v>0</v>
      </c>
      <c r="CK243" s="62" t="n">
        <f aca="false">N(M243)+N(N243)</f>
        <v>1</v>
      </c>
      <c r="CL243" s="62" t="n">
        <f aca="false">N(M243)</f>
        <v>0</v>
      </c>
      <c r="CM243" s="62" t="n">
        <f aca="false">N(N243)</f>
        <v>1</v>
      </c>
      <c r="CN243" s="62" t="n">
        <f aca="false">ROUNDUP(H243/BZ243,0)</f>
        <v>1</v>
      </c>
      <c r="CO243" s="62" t="n">
        <f aca="false">ROUNDUP(CJ243/BZ243,0)</f>
        <v>0</v>
      </c>
      <c r="CP243" s="65" t="n">
        <f aca="false">IF(CA243=1,0,IFERROR(VLOOKUP(BY243,'Gebinde-Kategorie'!$A$5:$N$45,5,0)+0,0))</f>
        <v>31</v>
      </c>
      <c r="CQ243" s="65" t="n">
        <f aca="false">IFERROR(IF(OR(CF243=1,CF243=2,CF243=3),N(INDEX(Parameter!$I$5:$I$7,CF243)),0),0)</f>
        <v>0</v>
      </c>
      <c r="CR243" s="64" t="n">
        <f aca="false">IF(AND(Parameter!$B$21="Ja",ISNUMBER(W243),N(X243)&gt;0),IFERROR(N(INDEX(Parameter!$L$5:$L$7,W243))*INDEX(Parameter!$E$5:$E$7,W243)*X243/SUMIFS($X$7:$X$1843,$W$7:$W$1843,W243),0),0)</f>
        <v>0</v>
      </c>
      <c r="CS243" s="62" t="n">
        <f aca="false">IF(AND(OR(CG243="L1",CG243="L23",CG243="LIFT"),H243&gt;0),CC243*IF(CR243&gt;0,CR243*MAX(1,H243/X243),IF(CA243=1,CE243,IF(R243&gt;0,CN243/R243,0))/MAX(0.1,N(Parameter!$M$21))),"")</f>
        <v>28.75</v>
      </c>
      <c r="CT243" s="64" t="n">
        <f aca="false">IF(CS243="","",J243/H243)</f>
        <v>0</v>
      </c>
      <c r="CU243" s="62" t="n">
        <f aca="false">IF(CS243="","",H243*G243)</f>
        <v>3031</v>
      </c>
      <c r="CV243" s="63" t="n">
        <f aca="false">IF(CS243="","",(CL243+ROUNDUP(CL243+MAX(CM243,2*(J243/MAX(0.1,N(Einkauf!$C$6))-CL243)),0))/2)</f>
        <v>0.5</v>
      </c>
      <c r="CW243" s="62" t="n">
        <f aca="false">IF(CS243="","",MAX(0,H243-CV243)*G243)</f>
        <v>2976.875</v>
      </c>
      <c r="CX243" s="62" t="n">
        <f aca="false">IF(CS243="","",CS243*MAX(0,1-CV243/H243))</f>
        <v>28.2366071428571</v>
      </c>
      <c r="CY243" s="64" t="n">
        <f aca="false">IF(CS243="","",PERCENTRANK($CS$7:$CS$1843,CS243)+PERCENTRANK($CU$7:$CU$1843,CU243)+1-PERCENTRANK($CT$7:$CT$1843,CT243))</f>
        <v>2.654</v>
      </c>
      <c r="CZ243" s="72" t="n">
        <f aca="false">IF(CS243="","",CHOOSE(MATCH(Einkauf!$C$5,Parameter!$G$23:$G$27,0),CY243,CS243,CU243,-CT243,CW243)+ROW()/1000000000)</f>
        <v>2.654000243</v>
      </c>
    </row>
    <row r="244" customFormat="false" ht="15" hidden="false" customHeight="false" outlineLevel="0" collapsed="false">
      <c r="A244" s="60" t="s">
        <v>716</v>
      </c>
      <c r="B244" s="60" t="s">
        <v>510</v>
      </c>
      <c r="C244" s="60" t="s">
        <v>206</v>
      </c>
      <c r="D244" s="60" t="s">
        <v>226</v>
      </c>
      <c r="E244" s="60" t="s">
        <v>227</v>
      </c>
      <c r="F244" s="60" t="s">
        <v>260</v>
      </c>
      <c r="G244" s="61" t="n">
        <v>0.81</v>
      </c>
      <c r="H244" s="62" t="n">
        <f aca="false">MAX(0,IF(AND(Parameter!$B$21="Ja",ISNUMBER(Y244)),Y244,IF(Parameter!$B$20="Jahresanfang 2025 + Export",BS244+BR244,BR244)))</f>
        <v>1034</v>
      </c>
      <c r="I244" s="62" t="n">
        <f aca="false">H244*G244</f>
        <v>837.54</v>
      </c>
      <c r="J244" s="62" t="n">
        <f aca="false">BU244*Parameter!$B$18</f>
        <v>1638</v>
      </c>
      <c r="K244" s="63" t="n">
        <v>432.5</v>
      </c>
      <c r="L244" s="64" t="n">
        <v>3.78728323699422</v>
      </c>
      <c r="M244" s="62" t="n">
        <v>63</v>
      </c>
      <c r="N244" s="62" t="n">
        <v>1640</v>
      </c>
      <c r="O244" s="65" t="n">
        <v>14</v>
      </c>
      <c r="P244" s="60" t="s">
        <v>344</v>
      </c>
      <c r="Q244" s="62" t="n">
        <v>961</v>
      </c>
      <c r="R244" s="65" t="n">
        <f aca="false">IF(CA244=1,0,IFERROR(VLOOKUP(BY244,'Gebinde-Kategorie'!$A$5:$N$45,13,0)+0,0))</f>
        <v>26</v>
      </c>
      <c r="S244" s="66"/>
      <c r="T244" s="67"/>
      <c r="U244" s="67"/>
      <c r="V244" s="67"/>
      <c r="W244" s="60"/>
      <c r="X244" s="62"/>
      <c r="Y244" s="62"/>
      <c r="Z244" s="60" t="n">
        <v>3</v>
      </c>
      <c r="AA244" s="60" t="n">
        <f aca="false">IF(A244="","",IF(AND(Parameter!$B$21="Ja",ISNUMBER(W244)),W244,IF(AND(Parameter!$E$27="Ja",ISNUMBER(Z244),CD244&lt;&gt;"Nein"),Z244,IF(CD244="2+3",IF(ISNUMBER(SEARCH("grosser Artikel",BV244)),2,IFERROR(VLOOKUP(BY244,Parameter!$F$35:$G$64,2,0),2)),IF(OR(CD244="Nein",CD244=""),"-",CD244)))))</f>
        <v>3</v>
      </c>
      <c r="AB244" s="67"/>
      <c r="AC244" s="68"/>
      <c r="AD244" s="62" t="n">
        <f aca="false">AW244</f>
        <v>1703</v>
      </c>
      <c r="AE244" s="62" t="n">
        <f aca="false">MAX(AW244,H244)</f>
        <v>1703</v>
      </c>
      <c r="AF244" s="69"/>
      <c r="AG244" s="62" t="n">
        <f aca="false">IF(LEFT(Cockpit!$C$5,1)="A",H244,IF(Parameter!$E$30="MAX-Bestand",IF(CI244=1,CJ244,IF(LEFT(Cockpit!$C$5,1)="B",AM244,MAX(AM244,H244))),ROUNDUP(AK244,0)))</f>
        <v>1034</v>
      </c>
      <c r="AH244" s="62" t="n">
        <f aca="false">IF(CA244=1,0,ROUNDUP(AG244/BZ244,0))</f>
        <v>2</v>
      </c>
      <c r="AI244" s="64" t="n">
        <f aca="false">IF(CR244&gt;0,CR244*MAX(1,AG244/X244),IF(CA244=1,IF(AG244&lt;=0,0,CE244*MAX(1,IF(H244&gt;0,AG244/H244,1))),IF(R244&gt;0,AH244/R244,0))/MAX(0.1,N(Parameter!$M$21)))</f>
        <v>0.0769230769230769</v>
      </c>
      <c r="AJ244" s="62" t="n">
        <f aca="false">AI244*CC244</f>
        <v>11.9230769230769</v>
      </c>
      <c r="AK244" s="63" t="n">
        <f aca="false">IF(LEFT(Cockpit!$C$5,1)="A",H244,IF(CI244=1,(CL244+CJ244)/2,IF(LEFT(Cockpit!$C$5,1)="B",(CL244+AM244)/2,MAX((CL244+AM244)/2,H244))))</f>
        <v>1034</v>
      </c>
      <c r="AL244" s="62" t="n">
        <f aca="false">AK244*G244</f>
        <v>837.54</v>
      </c>
      <c r="AM244" s="62" t="n">
        <f aca="false">ROUNDUP(CL244+MAX(CM244,2*(J244/IF(CH244&gt;0,CH244,MAX(0.1,N(Cockpit!$C$6)))-CL244)),0)</f>
        <v>1703</v>
      </c>
      <c r="AN244" s="63" t="n">
        <f aca="false">IF(AJ244&gt;0,J244/AJ244,-1)</f>
        <v>137.38064516129</v>
      </c>
      <c r="AO244" s="63" t="n">
        <f aca="false">IF(AND(OR(CG244="L1",CG244="L23",CG244="LIFT"),AJ244&gt;0),SUMIFS($AJ$7:$AJ$1843,$CG$7:$CG$1843,CG244,$AN$7:$AN$1843,"&gt;"&amp;AN244)+SUMIFS($AJ$7:$AJ$1843,$CG$7:$CG$1843,CG244,$AN$7:$AN$1843,AN244,$BX$7:$BX$1843,"&lt;="&amp;BX244),"")</f>
        <v>533.170787545788</v>
      </c>
      <c r="AP244" s="70" t="n">
        <f aca="false">IF(AO244="",0,MAX(0,MIN(1,(IF(CG244="L1",Parameter!$H$5,IF(CG244="L23",Parameter!$H$6+Parameter!$H$7,Parameter!$H$5+Parameter!$H$6+Parameter!$H$7))-(AO244-AJ244))/AJ244)))</f>
        <v>1</v>
      </c>
      <c r="AQ244" s="62" t="n">
        <f aca="false">IF(LEFT(Cockpit!$I$5,1)="A",H244,IF(Parameter!$E$30="MAX-Bestand",IF(CI244=1,CJ244,IF(LEFT(Cockpit!$I$5,1)="B",AW244,MAX(AW244,H244))),ROUNDUP(AU244,0)))</f>
        <v>1034</v>
      </c>
      <c r="AR244" s="62" t="n">
        <f aca="false">IF(CA244=1,0,ROUNDUP(AQ244/BZ244,0))</f>
        <v>2</v>
      </c>
      <c r="AS244" s="64" t="n">
        <f aca="false">IF(CR244&gt;0,CR244*MAX(1,AQ244/X244),IF(CA244=1,IF(AQ244&lt;=0,0,CE244*MAX(1,IF(H244&gt;0,AQ244/H244,1))),IF(R244&gt;0,AR244/R244,0))/MAX(0.1,N(Parameter!$M$21)))</f>
        <v>0.0769230769230769</v>
      </c>
      <c r="AT244" s="62" t="n">
        <f aca="false">AS244*CC244</f>
        <v>11.9230769230769</v>
      </c>
      <c r="AU244" s="63" t="n">
        <f aca="false">IF(LEFT(Cockpit!$I$5,1)="A",H244,IF(CI244=1,(CL244+CJ244)/2,IF(LEFT(Cockpit!$I$5,1)="B",(CL244+AW244)/2,MAX((CL244+AW244)/2,H244))))</f>
        <v>1034</v>
      </c>
      <c r="AV244" s="62" t="n">
        <f aca="false">AU244*G244</f>
        <v>837.54</v>
      </c>
      <c r="AW244" s="62" t="n">
        <f aca="false">ROUNDUP(CL244+MAX(CM244,2*(J244/IF(CH244&gt;0,CH244,MAX(0.1,N(Cockpit!$I$6)))-CL244)),0)</f>
        <v>1703</v>
      </c>
      <c r="AX244" s="63" t="n">
        <f aca="false">IF(AT244&gt;0,J244/AT244,-1)</f>
        <v>137.38064516129</v>
      </c>
      <c r="AY244" s="63" t="n">
        <f aca="false">IF(AND(OR(CG244="L1",CG244="L23",CG244="LIFT"),AT244&gt;0),SUMIFS($AT$7:$AT$1843,$CG$7:$CG$1843,CG244,$AX$7:$AX$1843,"&gt;"&amp;AX244)+SUMIFS($AT$7:$AT$1843,$CG$7:$CG$1843,CG244,$AX$7:$AX$1843,AX244,$BX$7:$BX$1843,"&lt;="&amp;BX244),"")</f>
        <v>650.807692307692</v>
      </c>
      <c r="AZ244" s="70" t="n">
        <f aca="false">IF(AY244="",0,MAX(0,MIN(1,(IF(CG244="L1",Parameter!$H$5,IF(CG244="L23",Parameter!$H$6+Parameter!$H$7,Parameter!$H$5+Parameter!$H$6+Parameter!$H$7))-(AY244-AT244))/AT244)))</f>
        <v>1</v>
      </c>
      <c r="BA244" s="62" t="n">
        <f aca="false">IF(LEFT(Cockpit!$O$5,1)="A",H244,IF(Parameter!$E$30="MAX-Bestand",IF(CI244=1,CJ244,IF(LEFT(Cockpit!$O$5,1)="B",BG244,MAX(BG244,H244))),ROUNDUP(BE244,0)))</f>
        <v>883</v>
      </c>
      <c r="BB244" s="62" t="n">
        <f aca="false">IF(CA244=1,0,ROUNDUP(BA244/BZ244,0))</f>
        <v>1</v>
      </c>
      <c r="BC244" s="64" t="n">
        <f aca="false">IF(CR244&gt;0,CR244*MAX(1,BA244/X244),IF(CA244=1,IF(BA244&lt;=0,0,CE244*MAX(1,IF(H244&gt;0,BA244/H244,1))),IF(R244&gt;0,BB244/R244,0))/MAX(0.1,N(Parameter!$M$21)))</f>
        <v>0.0384615384615385</v>
      </c>
      <c r="BD244" s="62" t="n">
        <f aca="false">BC244*CC244</f>
        <v>5.96153846153846</v>
      </c>
      <c r="BE244" s="63" t="n">
        <f aca="false">IF(LEFT(Cockpit!$O$5,1)="A",H244,IF(CI244=1,(CL244+CJ244)/2,IF(LEFT(Cockpit!$O$5,1)="B",(CL244+BG244)/2,MAX((CL244+BG244)/2,H244))))</f>
        <v>883</v>
      </c>
      <c r="BF244" s="62" t="n">
        <f aca="false">BE244*G244</f>
        <v>715.23</v>
      </c>
      <c r="BG244" s="62" t="n">
        <f aca="false">ROUNDUP(CL244+MAX(CM244,2*(J244/IF(CH244&gt;0,CH244,MAX(0.1,N(Cockpit!$O$6)))-CL244)),0)</f>
        <v>1703</v>
      </c>
      <c r="BH244" s="63" t="n">
        <f aca="false">IF(BD244&gt;0,J244/BD244,-1)</f>
        <v>274.761290322581</v>
      </c>
      <c r="BI244" s="63" t="n">
        <f aca="false">IF(AND(OR(CG244="L1",CG244="L23",CG244="LIFT"),BD244&gt;0),SUMIFS($BD$7:$BD$1843,$CG$7:$CG$1843,CG244,$BH$7:$BH$1843,"&gt;"&amp;BH244)+SUMIFS($BD$7:$BD$1843,$CG$7:$CG$1843,CG244,$BH$7:$BH$1843,BH244,$BX$7:$BX$1843,"&lt;="&amp;BX244),"")</f>
        <v>269.931776556777</v>
      </c>
      <c r="BJ244" s="70" t="n">
        <f aca="false">IF(BI244="",0,MAX(0,MIN(1,(IF(CG244="L1",Parameter!$H$5,IF(CG244="L23",Parameter!$H$6+Parameter!$H$7,Parameter!$H$5+Parameter!$H$6+Parameter!$H$7))-(BI244-BD244))/BD244)))</f>
        <v>1</v>
      </c>
      <c r="BK244" s="60" t="str">
        <f aca="false">IF(AJ244&lt;=0,"",IF(CG244="Aussen","Aussenlager",IF(CG244="-","Nicht im Lift",IF(AP244&gt;=1,"Lift",IF(AP244&lt;=0,"Aussenlager","teilweise")))))</f>
        <v>Lift</v>
      </c>
      <c r="BL244" s="60" t="str">
        <f aca="false">IF(AT244&lt;=0,"",IF(CG244="Aussen","Aussenlager",IF(CG244="-","Nicht im Lift",IF(AZ244&gt;=1,"Lift",IF(AZ244&lt;=0,"Aussenlager","teilweise")))))</f>
        <v>Lift</v>
      </c>
      <c r="BM244" s="60" t="str">
        <f aca="false">IF(BD244&lt;=0,"",IF(CG244="Aussen","Aussenlager",IF(CG244="-","Nicht im Lift",IF(BJ244&gt;=1,"Lift",IF(BJ244&lt;=0,"Aussenlager","teilweise")))))</f>
        <v>Lift</v>
      </c>
      <c r="BN244" s="60" t="str">
        <f aca="false">IF(A244="","",IF(BW244=1,"Neu; ","")&amp;IF(AND(BW244=0,BR244&lt;0),"negativer Bestand (Export "&amp;BR244&amp;"); ","")&amp;IF(J244&lt;=0,"Kein Verbrauch; ","")&amp;IF(CR244&gt;0,"Lift "&amp;W244&amp;" lt. Liftbericht (Fach "&amp;X244&amp;" Stk); ",IF(CB244=1,"Gebinde geschätzt ("&amp;T244&amp;"); ",IF(CA244=1,"Lose – Tablare geschätzt; ","")))&amp;IF(H244&gt;AW244,"Überbestand "&amp;ROUND(H244-AW244,0)&amp;" Stk / CHF "&amp;ROUND((H244-AW244)*G244,0)&amp;"; ","")&amp;IF(AND(CI244=1,CJ244&lt;CK244),"MAX &lt; MB+LG; ","")&amp;IF(AND(CQ244&gt;0,CP244*10&gt;CQ244),"zu hoch für Tablar; ","")&amp;IF(AND(BW244=0,OR(CI244=1,AB244&lt;&gt;"",U244&lt;&gt;"",V244&lt;&gt;"",AC244&lt;&gt;"")),"manuell übersteuert; ","")&amp;IF(AND(CA244=0,R244=0),"Gebinde unbekannt / Stellmass fehlt; ","")&amp;IF(AND(CA244=0,N(V244)&lt;=0,N(Q244)&lt;=0),"Menge pro Gebinde fehlt (Ist = 1 Gebinde); ","")&amp;BV244)</f>
        <v/>
      </c>
      <c r="BO244" s="60"/>
      <c r="BP244" s="60"/>
      <c r="BQ244" s="67"/>
      <c r="BR244" s="62" t="n">
        <v>663</v>
      </c>
      <c r="BS244" s="62" t="n">
        <v>371</v>
      </c>
      <c r="BT244" s="61" t="n">
        <v>540.659999999999</v>
      </c>
      <c r="BU244" s="62" t="n">
        <v>1638</v>
      </c>
      <c r="BV244" s="60"/>
      <c r="BW244" s="65" t="n">
        <v>0</v>
      </c>
      <c r="BX244" s="65" t="n">
        <v>244</v>
      </c>
      <c r="BY244" s="60" t="str">
        <f aca="false">IF(U244&lt;&gt;"",UPPER(TRIM(U244)),IF(CB244=1,UPPER(VLOOKUP(T244,Parameter!$I$27:$K$29,2,0)),IF(P244="","LOSE",P244)))</f>
        <v>S51</v>
      </c>
      <c r="BZ244" s="62" t="n">
        <f aca="false">IF(BY244="LOSE",1,IF(N(V244)&gt;0,V244,IF(CB244=1,MAX(1,N(VLOOKUP(T244,Parameter!$I$27:$K$29,3,0)),H244,N(N244)),IF(N(Q244)&gt;0,Q244,MAX(1,H244)))))</f>
        <v>961</v>
      </c>
      <c r="CA244" s="65" t="n">
        <f aca="false">IF(BY244="LOSE",1,0)</f>
        <v>0</v>
      </c>
      <c r="CB244" s="65" t="n">
        <f aca="false">IF(AND(U244="",OR(P244="",P244="LOSE"),T244&lt;&gt;"",N(S244)&lt;=0,ISNUMBER(MATCH(T244,Parameter!$I$27:$I$29,0))),1,0)</f>
        <v>0</v>
      </c>
      <c r="CC244" s="65" t="n">
        <f aca="false">IF(CR244&gt;0,INDEX(Parameter!$H$5:$H$7,W244)/INDEX(Parameter!$E$5:$E$7,W244),IF(AND(CA244=0,N(IFERROR(VLOOKUP(BY244,'Gebinde-Kategorie'!$A$5:$N$45,14,0),0))&gt;0),VLOOKUP(BY244,'Gebinde-Kategorie'!$A$5:$N$45,14,0)*10+Parameter!$M$23,Parameter!$M$24))</f>
        <v>155</v>
      </c>
      <c r="CD244" s="60" t="str">
        <f aca="false">IF(AND(Parameter!$B$19="Ja",E244&lt;&gt;"",ISNUMBER(MATCH(E244,Parameter!$I$35:$I$52,0))),VLOOKUP(E244,Parameter!$I$35:$J$52,2,0),IFERROR(VLOOKUP(D244,Parameter!$A$35:$C$64,2,0),"Nein"))</f>
        <v>2+3</v>
      </c>
      <c r="CE244" s="64" t="n">
        <f aca="false">IF(CA244=0,0,IF(N(S244)&gt;0,S244,IFERROR(VLOOKUP(D244,Parameter!$A$35:$C$64,3,0)+0,0)))</f>
        <v>0</v>
      </c>
      <c r="CF244" s="60" t="n">
        <f aca="false">IF(AB244&lt;&gt;"",AB244,AA244)</f>
        <v>3</v>
      </c>
      <c r="CG244" s="60" t="str">
        <f aca="false">IF(OR(CF244=1,CF244=2,CF244=3),IF(Parameter!$E$27="Ja","LIFT",IF(CF244=1,"L1","L23")),IF(CF244="Aussen","Aussen","-"))</f>
        <v>LIFT</v>
      </c>
      <c r="CH244" s="71" t="n">
        <f aca="false">IF(N(AC244)&gt;0,AC244,0)</f>
        <v>0</v>
      </c>
      <c r="CI244" s="65" t="n">
        <f aca="false">IF(ISNUMBER(AF244),1,0)</f>
        <v>0</v>
      </c>
      <c r="CJ244" s="62" t="n">
        <f aca="false">N(AF244)</f>
        <v>0</v>
      </c>
      <c r="CK244" s="62" t="n">
        <f aca="false">N(M244)+N(N244)</f>
        <v>1703</v>
      </c>
      <c r="CL244" s="62" t="n">
        <f aca="false">N(M244)</f>
        <v>63</v>
      </c>
      <c r="CM244" s="62" t="n">
        <f aca="false">N(N244)</f>
        <v>1640</v>
      </c>
      <c r="CN244" s="62" t="n">
        <f aca="false">ROUNDUP(H244/BZ244,0)</f>
        <v>2</v>
      </c>
      <c r="CO244" s="62" t="n">
        <f aca="false">ROUNDUP(CJ244/BZ244,0)</f>
        <v>0</v>
      </c>
      <c r="CP244" s="65" t="n">
        <f aca="false">IF(CA244=1,0,IFERROR(VLOOKUP(BY244,'Gebinde-Kategorie'!$A$5:$N$45,5,0)+0,0))</f>
        <v>11</v>
      </c>
      <c r="CQ244" s="65" t="n">
        <f aca="false">IFERROR(IF(OR(CF244=1,CF244=2,CF244=3),N(INDEX(Parameter!$I$5:$I$7,CF244)),0),0)</f>
        <v>0</v>
      </c>
      <c r="CR244" s="64" t="n">
        <f aca="false">IF(AND(Parameter!$B$21="Ja",ISNUMBER(W244),N(X244)&gt;0),IFERROR(N(INDEX(Parameter!$L$5:$L$7,W244))*INDEX(Parameter!$E$5:$E$7,W244)*X244/SUMIFS($X$7:$X$1843,$W$7:$W$1843,W244),0),0)</f>
        <v>0</v>
      </c>
      <c r="CS244" s="62" t="n">
        <f aca="false">IF(AND(OR(CG244="L1",CG244="L23",CG244="LIFT"),H244&gt;0),CC244*IF(CR244&gt;0,CR244*MAX(1,H244/X244),IF(CA244=1,CE244,IF(R244&gt;0,CN244/R244,0))/MAX(0.1,N(Parameter!$M$21))),"")</f>
        <v>11.9230769230769</v>
      </c>
      <c r="CT244" s="64" t="n">
        <f aca="false">IF(CS244="","",J244/H244)</f>
        <v>1.58413926499033</v>
      </c>
      <c r="CU244" s="62" t="n">
        <f aca="false">IF(CS244="","",H244*G244)</f>
        <v>837.54</v>
      </c>
      <c r="CV244" s="63" t="n">
        <f aca="false">IF(CS244="","",(CL244+ROUNDUP(CL244+MAX(CM244,2*(J244/MAX(0.1,N(Einkauf!$C$6))-CL244)),0))/2)</f>
        <v>883</v>
      </c>
      <c r="CW244" s="62" t="n">
        <f aca="false">IF(CS244="","",MAX(0,H244-CV244)*G244)</f>
        <v>122.31</v>
      </c>
      <c r="CX244" s="62" t="n">
        <f aca="false">IF(CS244="","",CS244*MAX(0,1-CV244/H244))</f>
        <v>1.74118434756733</v>
      </c>
      <c r="CY244" s="64" t="n">
        <f aca="false">IF(CS244="","",PERCENTRANK($CS$7:$CS$1843,CS244)+PERCENTRANK($CU$7:$CU$1843,CU244)+1-PERCENTRANK($CT$7:$CT$1843,CT244))</f>
        <v>1.472</v>
      </c>
      <c r="CZ244" s="72" t="n">
        <f aca="false">IF(CS244="","",CHOOSE(MATCH(Einkauf!$C$5,Parameter!$G$23:$G$27,0),CY244,CS244,CU244,-CT244,CW244)+ROW()/1000000000)</f>
        <v>1.472000244</v>
      </c>
    </row>
    <row r="245" customFormat="false" ht="15" hidden="false" customHeight="false" outlineLevel="0" collapsed="false">
      <c r="A245" s="60" t="s">
        <v>717</v>
      </c>
      <c r="B245" s="60" t="s">
        <v>718</v>
      </c>
      <c r="C245" s="60" t="s">
        <v>206</v>
      </c>
      <c r="D245" s="60" t="s">
        <v>226</v>
      </c>
      <c r="E245" s="60"/>
      <c r="F245" s="60" t="s">
        <v>260</v>
      </c>
      <c r="G245" s="61" t="n">
        <v>44.7</v>
      </c>
      <c r="H245" s="62" t="n">
        <f aca="false">MAX(0,IF(AND(Parameter!$B$21="Ja",ISNUMBER(Y245)),Y245,IF(Parameter!$B$20="Jahresanfang 2025 + Export",BS245+BR245,BR245)))</f>
        <v>65</v>
      </c>
      <c r="I245" s="62" t="n">
        <f aca="false">H245*G245</f>
        <v>2905.5</v>
      </c>
      <c r="J245" s="62" t="n">
        <f aca="false">BU245*Parameter!$B$18</f>
        <v>1</v>
      </c>
      <c r="K245" s="63" t="n">
        <v>49</v>
      </c>
      <c r="L245" s="64" t="n">
        <v>0.0204081632653061</v>
      </c>
      <c r="M245" s="62" t="n">
        <v>0</v>
      </c>
      <c r="N245" s="62" t="n">
        <v>1</v>
      </c>
      <c r="O245" s="65" t="n">
        <v>63</v>
      </c>
      <c r="P245" s="60" t="s">
        <v>335</v>
      </c>
      <c r="Q245" s="62" t="n">
        <v>50</v>
      </c>
      <c r="R245" s="65" t="n">
        <f aca="false">IF(CA245=1,0,IFERROR(VLOOKUP(BY245,'Gebinde-Kategorie'!$A$5:$N$45,13,0)+0,0))</f>
        <v>12</v>
      </c>
      <c r="S245" s="66"/>
      <c r="T245" s="67"/>
      <c r="U245" s="67"/>
      <c r="V245" s="67"/>
      <c r="W245" s="60"/>
      <c r="X245" s="62"/>
      <c r="Y245" s="62"/>
      <c r="Z245" s="60" t="n">
        <v>3</v>
      </c>
      <c r="AA245" s="60" t="n">
        <f aca="false">IF(A245="","",IF(AND(Parameter!$B$21="Ja",ISNUMBER(W245)),W245,IF(AND(Parameter!$E$27="Ja",ISNUMBER(Z245),CD245&lt;&gt;"Nein"),Z245,IF(CD245="2+3",IF(ISNUMBER(SEARCH("grosser Artikel",BV245)),2,IFERROR(VLOOKUP(BY245,Parameter!$F$35:$G$64,2,0),2)),IF(OR(CD245="Nein",CD245=""),"-",CD245)))))</f>
        <v>3</v>
      </c>
      <c r="AB245" s="67"/>
      <c r="AC245" s="68"/>
      <c r="AD245" s="62" t="n">
        <f aca="false">AW245</f>
        <v>1</v>
      </c>
      <c r="AE245" s="62" t="n">
        <f aca="false">MAX(AW245,H245)</f>
        <v>65</v>
      </c>
      <c r="AF245" s="69"/>
      <c r="AG245" s="62" t="n">
        <f aca="false">IF(LEFT(Cockpit!$C$5,1)="A",H245,IF(Parameter!$E$30="MAX-Bestand",IF(CI245=1,CJ245,IF(LEFT(Cockpit!$C$5,1)="B",AM245,MAX(AM245,H245))),ROUNDUP(AK245,0)))</f>
        <v>65</v>
      </c>
      <c r="AH245" s="62" t="n">
        <f aca="false">IF(CA245=1,0,ROUNDUP(AG245/BZ245,0))</f>
        <v>2</v>
      </c>
      <c r="AI245" s="64" t="n">
        <f aca="false">IF(CR245&gt;0,CR245*MAX(1,AG245/X245),IF(CA245=1,IF(AG245&lt;=0,0,CE245*MAX(1,IF(H245&gt;0,AG245/H245,1))),IF(R245&gt;0,AH245/R245,0))/MAX(0.1,N(Parameter!$M$21)))</f>
        <v>0.166666666666667</v>
      </c>
      <c r="AJ245" s="62" t="n">
        <f aca="false">AI245*CC245</f>
        <v>40.8333333333333</v>
      </c>
      <c r="AK245" s="63" t="n">
        <f aca="false">IF(LEFT(Cockpit!$C$5,1)="A",H245,IF(CI245=1,(CL245+CJ245)/2,IF(LEFT(Cockpit!$C$5,1)="B",(CL245+AM245)/2,MAX((CL245+AM245)/2,H245))))</f>
        <v>65</v>
      </c>
      <c r="AL245" s="62" t="n">
        <f aca="false">AK245*G245</f>
        <v>2905.5</v>
      </c>
      <c r="AM245" s="62" t="n">
        <f aca="false">ROUNDUP(CL245+MAX(CM245,2*(J245/IF(CH245&gt;0,CH245,MAX(0.1,N(Cockpit!$C$6)))-CL245)),0)</f>
        <v>1</v>
      </c>
      <c r="AN245" s="63" t="n">
        <f aca="false">IF(AJ245&gt;0,J245/AJ245,-1)</f>
        <v>0.0244897959183674</v>
      </c>
      <c r="AO245" s="63" t="n">
        <f aca="false">IF(AND(OR(CG245="L1",CG245="L23",CG245="LIFT"),AJ245&gt;0),SUMIFS($AJ$7:$AJ$1843,$CG$7:$CG$1843,CG245,$AN$7:$AN$1843,"&gt;"&amp;AN245)+SUMIFS($AJ$7:$AJ$1843,$CG$7:$CG$1843,CG245,$AN$7:$AN$1843,AN245,$BX$7:$BX$1843,"&lt;="&amp;BX245),"")</f>
        <v>22044.6104048964</v>
      </c>
      <c r="AP245" s="70" t="n">
        <f aca="false">IF(AO245="",0,MAX(0,MIN(1,(IF(CG245="L1",Parameter!$H$5,IF(CG245="L23",Parameter!$H$6+Parameter!$H$7,Parameter!$H$5+Parameter!$H$6+Parameter!$H$7))-(AO245-AJ245))/AJ245)))</f>
        <v>1</v>
      </c>
      <c r="AQ245" s="62" t="n">
        <f aca="false">IF(LEFT(Cockpit!$I$5,1)="A",H245,IF(Parameter!$E$30="MAX-Bestand",IF(CI245=1,CJ245,IF(LEFT(Cockpit!$I$5,1)="B",AW245,MAX(AW245,H245))),ROUNDUP(AU245,0)))</f>
        <v>65</v>
      </c>
      <c r="AR245" s="62" t="n">
        <f aca="false">IF(CA245=1,0,ROUNDUP(AQ245/BZ245,0))</f>
        <v>2</v>
      </c>
      <c r="AS245" s="64" t="n">
        <f aca="false">IF(CR245&gt;0,CR245*MAX(1,AQ245/X245),IF(CA245=1,IF(AQ245&lt;=0,0,CE245*MAX(1,IF(H245&gt;0,AQ245/H245,1))),IF(R245&gt;0,AR245/R245,0))/MAX(0.1,N(Parameter!$M$21)))</f>
        <v>0.166666666666667</v>
      </c>
      <c r="AT245" s="62" t="n">
        <f aca="false">AS245*CC245</f>
        <v>40.8333333333333</v>
      </c>
      <c r="AU245" s="63" t="n">
        <f aca="false">IF(LEFT(Cockpit!$I$5,1)="A",H245,IF(CI245=1,(CL245+CJ245)/2,IF(LEFT(Cockpit!$I$5,1)="B",(CL245+AW245)/2,MAX((CL245+AW245)/2,H245))))</f>
        <v>65</v>
      </c>
      <c r="AV245" s="62" t="n">
        <f aca="false">AU245*G245</f>
        <v>2905.5</v>
      </c>
      <c r="AW245" s="62" t="n">
        <f aca="false">ROUNDUP(CL245+MAX(CM245,2*(J245/IF(CH245&gt;0,CH245,MAX(0.1,N(Cockpit!$I$6)))-CL245)),0)</f>
        <v>1</v>
      </c>
      <c r="AX245" s="63" t="n">
        <f aca="false">IF(AT245&gt;0,J245/AT245,-1)</f>
        <v>0.0244897959183674</v>
      </c>
      <c r="AY245" s="63" t="n">
        <f aca="false">IF(AND(OR(CG245="L1",CG245="L23",CG245="LIFT"),AT245&gt;0),SUMIFS($AT$7:$AT$1843,$CG$7:$CG$1843,CG245,$AX$7:$AX$1843,"&gt;"&amp;AX245)+SUMIFS($AT$7:$AT$1843,$CG$7:$CG$1843,CG245,$AX$7:$AX$1843,AX245,$BX$7:$BX$1843,"&lt;="&amp;BX245),"")</f>
        <v>27280.2590462739</v>
      </c>
      <c r="AZ245" s="70" t="n">
        <f aca="false">IF(AY245="",0,MAX(0,MIN(1,(IF(CG245="L1",Parameter!$H$5,IF(CG245="L23",Parameter!$H$6+Parameter!$H$7,Parameter!$H$5+Parameter!$H$6+Parameter!$H$7))-(AY245-AT245))/AT245)))</f>
        <v>1</v>
      </c>
      <c r="BA245" s="62" t="n">
        <f aca="false">IF(LEFT(Cockpit!$O$5,1)="A",H245,IF(Parameter!$E$30="MAX-Bestand",IF(CI245=1,CJ245,IF(LEFT(Cockpit!$O$5,1)="B",BG245,MAX(BG245,H245))),ROUNDUP(BE245,0)))</f>
        <v>1</v>
      </c>
      <c r="BB245" s="62" t="n">
        <f aca="false">IF(CA245=1,0,ROUNDUP(BA245/BZ245,0))</f>
        <v>1</v>
      </c>
      <c r="BC245" s="64" t="n">
        <f aca="false">IF(CR245&gt;0,CR245*MAX(1,BA245/X245),IF(CA245=1,IF(BA245&lt;=0,0,CE245*MAX(1,IF(H245&gt;0,BA245/H245,1))),IF(R245&gt;0,BB245/R245,0))/MAX(0.1,N(Parameter!$M$21)))</f>
        <v>0.0833333333333333</v>
      </c>
      <c r="BD245" s="62" t="n">
        <f aca="false">BC245*CC245</f>
        <v>20.4166666666667</v>
      </c>
      <c r="BE245" s="63" t="n">
        <f aca="false">IF(LEFT(Cockpit!$O$5,1)="A",H245,IF(CI245=1,(CL245+CJ245)/2,IF(LEFT(Cockpit!$O$5,1)="B",(CL245+BG245)/2,MAX((CL245+BG245)/2,H245))))</f>
        <v>0.5</v>
      </c>
      <c r="BF245" s="62" t="n">
        <f aca="false">BE245*G245</f>
        <v>22.35</v>
      </c>
      <c r="BG245" s="62" t="n">
        <f aca="false">ROUNDUP(CL245+MAX(CM245,2*(J245/IF(CH245&gt;0,CH245,MAX(0.1,N(Cockpit!$O$6)))-CL245)),0)</f>
        <v>1</v>
      </c>
      <c r="BH245" s="63" t="n">
        <f aca="false">IF(BD245&gt;0,J245/BD245,-1)</f>
        <v>0.0489795918367347</v>
      </c>
      <c r="BI245" s="63" t="n">
        <f aca="false">IF(AND(OR(CG245="L1",CG245="L23",CG245="LIFT"),BD245&gt;0),SUMIFS($BD$7:$BD$1843,$CG$7:$CG$1843,CG245,$BH$7:$BH$1843,"&gt;"&amp;BH245)+SUMIFS($BD$7:$BD$1843,$CG$7:$CG$1843,CG245,$BH$7:$BH$1843,BH245,$BX$7:$BX$1843,"&lt;="&amp;BX245),"")</f>
        <v>20353.5044778668</v>
      </c>
      <c r="BJ245" s="70" t="n">
        <f aca="false">IF(BI245="",0,MAX(0,MIN(1,(IF(CG245="L1",Parameter!$H$5,IF(CG245="L23",Parameter!$H$6+Parameter!$H$7,Parameter!$H$5+Parameter!$H$6+Parameter!$H$7))-(BI245-BD245))/BD245)))</f>
        <v>1</v>
      </c>
      <c r="BK245" s="60" t="str">
        <f aca="false">IF(AJ245&lt;=0,"",IF(CG245="Aussen","Aussenlager",IF(CG245="-","Nicht im Lift",IF(AP245&gt;=1,"Lift",IF(AP245&lt;=0,"Aussenlager","teilweise")))))</f>
        <v>Lift</v>
      </c>
      <c r="BL245" s="60" t="str">
        <f aca="false">IF(AT245&lt;=0,"",IF(CG245="Aussen","Aussenlager",IF(CG245="-","Nicht im Lift",IF(AZ245&gt;=1,"Lift",IF(AZ245&lt;=0,"Aussenlager","teilweise")))))</f>
        <v>Lift</v>
      </c>
      <c r="BM245" s="60" t="str">
        <f aca="false">IF(BD245&lt;=0,"",IF(CG245="Aussen","Aussenlager",IF(CG245="-","Nicht im Lift",IF(BJ245&gt;=1,"Lift",IF(BJ245&lt;=0,"Aussenlager","teilweise")))))</f>
        <v>Lift</v>
      </c>
      <c r="BN245" s="60" t="str">
        <f aca="false">IF(A245="","",IF(BW245=1,"Neu; ","")&amp;IF(AND(BW245=0,BR245&lt;0),"negativer Bestand (Export "&amp;BR245&amp;"); ","")&amp;IF(J245&lt;=0,"Kein Verbrauch; ","")&amp;IF(CR245&gt;0,"Lift "&amp;W245&amp;" lt. Liftbericht (Fach "&amp;X245&amp;" Stk); ",IF(CB245=1,"Gebinde geschätzt ("&amp;T245&amp;"); ",IF(CA245=1,"Lose – Tablare geschätzt; ","")))&amp;IF(H245&gt;AW245,"Überbestand "&amp;ROUND(H245-AW245,0)&amp;" Stk / CHF "&amp;ROUND((H245-AW245)*G245,0)&amp;"; ","")&amp;IF(AND(CI245=1,CJ245&lt;CK245),"MAX &lt; MB+LG; ","")&amp;IF(AND(CQ245&gt;0,CP245*10&gt;CQ245),"zu hoch für Tablar; ","")&amp;IF(AND(BW245=0,OR(CI245=1,AB245&lt;&gt;"",U245&lt;&gt;"",V245&lt;&gt;"",AC245&lt;&gt;"")),"manuell übersteuert; ","")&amp;IF(AND(CA245=0,R245=0),"Gebinde unbekannt / Stellmass fehlt; ","")&amp;IF(AND(CA245=0,N(V245)&lt;=0,N(Q245)&lt;=0),"Menge pro Gebinde fehlt (Ist = 1 Gebinde); ","")&amp;BV245)</f>
        <v>Überbestand 64 Stk / CHF 2861; </v>
      </c>
      <c r="BO245" s="60"/>
      <c r="BP245" s="60"/>
      <c r="BQ245" s="67"/>
      <c r="BR245" s="62" t="n">
        <v>16</v>
      </c>
      <c r="BS245" s="62" t="n">
        <v>49</v>
      </c>
      <c r="BT245" s="61" t="n">
        <v>529.74</v>
      </c>
      <c r="BU245" s="62" t="n">
        <v>1</v>
      </c>
      <c r="BV245" s="60"/>
      <c r="BW245" s="65" t="n">
        <v>0</v>
      </c>
      <c r="BX245" s="65" t="n">
        <v>245</v>
      </c>
      <c r="BY245" s="60" t="str">
        <f aca="false">IF(U245&lt;&gt;"",UPPER(TRIM(U245)),IF(CB245=1,UPPER(VLOOKUP(T245,Parameter!$I$27:$K$29,2,0)),IF(P245="","LOSE",P245)))</f>
        <v>S62</v>
      </c>
      <c r="BZ245" s="62" t="n">
        <f aca="false">IF(BY245="LOSE",1,IF(N(V245)&gt;0,V245,IF(CB245=1,MAX(1,N(VLOOKUP(T245,Parameter!$I$27:$K$29,3,0)),H245,N(N245)),IF(N(Q245)&gt;0,Q245,MAX(1,H245)))))</f>
        <v>50</v>
      </c>
      <c r="CA245" s="65" t="n">
        <f aca="false">IF(BY245="LOSE",1,0)</f>
        <v>0</v>
      </c>
      <c r="CB245" s="65" t="n">
        <f aca="false">IF(AND(U245="",OR(P245="",P245="LOSE"),T245&lt;&gt;"",N(S245)&lt;=0,ISNUMBER(MATCH(T245,Parameter!$I$27:$I$29,0))),1,0)</f>
        <v>0</v>
      </c>
      <c r="CC245" s="65" t="n">
        <f aca="false">IF(CR245&gt;0,INDEX(Parameter!$H$5:$H$7,W245)/INDEX(Parameter!$E$5:$E$7,W245),IF(AND(CA245=0,N(IFERROR(VLOOKUP(BY245,'Gebinde-Kategorie'!$A$5:$N$45,14,0),0))&gt;0),VLOOKUP(BY245,'Gebinde-Kategorie'!$A$5:$N$45,14,0)*10+Parameter!$M$23,Parameter!$M$24))</f>
        <v>245</v>
      </c>
      <c r="CD245" s="60" t="str">
        <f aca="false">IF(AND(Parameter!$B$19="Ja",E245&lt;&gt;"",ISNUMBER(MATCH(E245,Parameter!$I$35:$I$52,0))),VLOOKUP(E245,Parameter!$I$35:$J$52,2,0),IFERROR(VLOOKUP(D245,Parameter!$A$35:$C$64,2,0),"Nein"))</f>
        <v>2+3</v>
      </c>
      <c r="CE245" s="64" t="n">
        <f aca="false">IF(CA245=0,0,IF(N(S245)&gt;0,S245,IFERROR(VLOOKUP(D245,Parameter!$A$35:$C$64,3,0)+0,0)))</f>
        <v>0</v>
      </c>
      <c r="CF245" s="60" t="n">
        <f aca="false">IF(AB245&lt;&gt;"",AB245,AA245)</f>
        <v>3</v>
      </c>
      <c r="CG245" s="60" t="str">
        <f aca="false">IF(OR(CF245=1,CF245=2,CF245=3),IF(Parameter!$E$27="Ja","LIFT",IF(CF245=1,"L1","L23")),IF(CF245="Aussen","Aussen","-"))</f>
        <v>LIFT</v>
      </c>
      <c r="CH245" s="71" t="n">
        <f aca="false">IF(N(AC245)&gt;0,AC245,0)</f>
        <v>0</v>
      </c>
      <c r="CI245" s="65" t="n">
        <f aca="false">IF(ISNUMBER(AF245),1,0)</f>
        <v>0</v>
      </c>
      <c r="CJ245" s="62" t="n">
        <f aca="false">N(AF245)</f>
        <v>0</v>
      </c>
      <c r="CK245" s="62" t="n">
        <f aca="false">N(M245)+N(N245)</f>
        <v>1</v>
      </c>
      <c r="CL245" s="62" t="n">
        <f aca="false">N(M245)</f>
        <v>0</v>
      </c>
      <c r="CM245" s="62" t="n">
        <f aca="false">N(N245)</f>
        <v>1</v>
      </c>
      <c r="CN245" s="62" t="n">
        <f aca="false">ROUNDUP(H245/BZ245,0)</f>
        <v>2</v>
      </c>
      <c r="CO245" s="62" t="n">
        <f aca="false">ROUNDUP(CJ245/BZ245,0)</f>
        <v>0</v>
      </c>
      <c r="CP245" s="65" t="n">
        <f aca="false">IF(CA245=1,0,IFERROR(VLOOKUP(BY245,'Gebinde-Kategorie'!$A$5:$N$45,5,0)+0,0))</f>
        <v>21</v>
      </c>
      <c r="CQ245" s="65" t="n">
        <f aca="false">IFERROR(IF(OR(CF245=1,CF245=2,CF245=3),N(INDEX(Parameter!$I$5:$I$7,CF245)),0),0)</f>
        <v>0</v>
      </c>
      <c r="CR245" s="64" t="n">
        <f aca="false">IF(AND(Parameter!$B$21="Ja",ISNUMBER(W245),N(X245)&gt;0),IFERROR(N(INDEX(Parameter!$L$5:$L$7,W245))*INDEX(Parameter!$E$5:$E$7,W245)*X245/SUMIFS($X$7:$X$1843,$W$7:$W$1843,W245),0),0)</f>
        <v>0</v>
      </c>
      <c r="CS245" s="62" t="n">
        <f aca="false">IF(AND(OR(CG245="L1",CG245="L23",CG245="LIFT"),H245&gt;0),CC245*IF(CR245&gt;0,CR245*MAX(1,H245/X245),IF(CA245=1,CE245,IF(R245&gt;0,CN245/R245,0))/MAX(0.1,N(Parameter!$M$21))),"")</f>
        <v>40.8333333333333</v>
      </c>
      <c r="CT245" s="64" t="n">
        <f aca="false">IF(CS245="","",J245/H245)</f>
        <v>0.0153846153846154</v>
      </c>
      <c r="CU245" s="62" t="n">
        <f aca="false">IF(CS245="","",H245*G245)</f>
        <v>2905.5</v>
      </c>
      <c r="CV245" s="63" t="n">
        <f aca="false">IF(CS245="","",(CL245+ROUNDUP(CL245+MAX(CM245,2*(J245/MAX(0.1,N(Einkauf!$C$6))-CL245)),0))/2)</f>
        <v>0.5</v>
      </c>
      <c r="CW245" s="62" t="n">
        <f aca="false">IF(CS245="","",MAX(0,H245-CV245)*G245)</f>
        <v>2883.15</v>
      </c>
      <c r="CX245" s="62" t="n">
        <f aca="false">IF(CS245="","",CS245*MAX(0,1-CV245/H245))</f>
        <v>40.5192307692308</v>
      </c>
      <c r="CY245" s="64" t="n">
        <f aca="false">IF(CS245="","",PERCENTRANK($CS$7:$CS$1843,CS245)+PERCENTRANK($CU$7:$CU$1843,CU245)+1-PERCENTRANK($CT$7:$CT$1843,CT245))</f>
        <v>2.345</v>
      </c>
      <c r="CZ245" s="72" t="n">
        <f aca="false">IF(CS245="","",CHOOSE(MATCH(Einkauf!$C$5,Parameter!$G$23:$G$27,0),CY245,CS245,CU245,-CT245,CW245)+ROW()/1000000000)</f>
        <v>2.345000245</v>
      </c>
    </row>
    <row r="246" customFormat="false" ht="15" hidden="false" customHeight="false" outlineLevel="0" collapsed="false">
      <c r="A246" s="60" t="s">
        <v>719</v>
      </c>
      <c r="B246" s="60" t="s">
        <v>409</v>
      </c>
      <c r="C246" s="60" t="s">
        <v>206</v>
      </c>
      <c r="D246" s="60" t="s">
        <v>215</v>
      </c>
      <c r="E246" s="60" t="s">
        <v>208</v>
      </c>
      <c r="F246" s="60" t="s">
        <v>260</v>
      </c>
      <c r="G246" s="61" t="n">
        <v>520</v>
      </c>
      <c r="H246" s="62" t="n">
        <f aca="false">MAX(0,IF(AND(Parameter!$B$21="Ja",ISNUMBER(Y246)),Y246,IF(Parameter!$B$20="Jahresanfang 2025 + Export",BS246+BR246,BR246)))</f>
        <v>1</v>
      </c>
      <c r="I246" s="62" t="n">
        <f aca="false">H246*G246</f>
        <v>520</v>
      </c>
      <c r="J246" s="62" t="n">
        <f aca="false">BU246*Parameter!$B$18</f>
        <v>1</v>
      </c>
      <c r="K246" s="63" t="n">
        <v>0.5</v>
      </c>
      <c r="L246" s="64" t="n">
        <v>2</v>
      </c>
      <c r="M246" s="62" t="n">
        <v>0</v>
      </c>
      <c r="N246" s="62" t="n">
        <v>1</v>
      </c>
      <c r="O246" s="65" t="n">
        <v>28</v>
      </c>
      <c r="P246" s="60" t="s">
        <v>210</v>
      </c>
      <c r="Q246" s="62"/>
      <c r="R246" s="65" t="n">
        <f aca="false">IF(CA246=1,0,IFERROR(VLOOKUP(BY246,'Gebinde-Kategorie'!$A$5:$N$45,13,0)+0,0))</f>
        <v>0</v>
      </c>
      <c r="S246" s="66"/>
      <c r="T246" s="67"/>
      <c r="U246" s="67"/>
      <c r="V246" s="67"/>
      <c r="W246" s="60" t="n">
        <v>1</v>
      </c>
      <c r="X246" s="62" t="n">
        <v>1</v>
      </c>
      <c r="Y246" s="62" t="n">
        <v>1</v>
      </c>
      <c r="Z246" s="60" t="n">
        <v>1</v>
      </c>
      <c r="AA246" s="60" t="n">
        <f aca="false">IF(A246="","",IF(AND(Parameter!$B$21="Ja",ISNUMBER(W246)),W246,IF(AND(Parameter!$E$27="Ja",ISNUMBER(Z246),CD246&lt;&gt;"Nein"),Z246,IF(CD246="2+3",IF(ISNUMBER(SEARCH("grosser Artikel",BV246)),2,IFERROR(VLOOKUP(BY246,Parameter!$F$35:$G$64,2,0),2)),IF(OR(CD246="Nein",CD246=""),"-",CD246)))))</f>
        <v>1</v>
      </c>
      <c r="AB246" s="67"/>
      <c r="AC246" s="68"/>
      <c r="AD246" s="62" t="n">
        <f aca="false">AW246</f>
        <v>1</v>
      </c>
      <c r="AE246" s="62" t="n">
        <f aca="false">MAX(AW246,H246)</f>
        <v>1</v>
      </c>
      <c r="AF246" s="69"/>
      <c r="AG246" s="62" t="n">
        <f aca="false">IF(LEFT(Cockpit!$C$5,1)="A",H246,IF(Parameter!$E$30="MAX-Bestand",IF(CI246=1,CJ246,IF(LEFT(Cockpit!$C$5,1)="B",AM246,MAX(AM246,H246))),ROUNDUP(AK246,0)))</f>
        <v>1</v>
      </c>
      <c r="AH246" s="62" t="n">
        <f aca="false">IF(CA246=1,0,ROUNDUP(AG246/BZ246,0))</f>
        <v>0</v>
      </c>
      <c r="AI246" s="64" t="n">
        <f aca="false">IF(CR246&gt;0,CR246*MAX(1,AG246/X246),IF(CA246=1,IF(AG246&lt;=0,0,CE246*MAX(1,IF(H246&gt;0,AG246/H246,1))),IF(R246&gt;0,AH246/R246,0))/MAX(0.1,N(Parameter!$M$21)))</f>
        <v>0.0800376647834275</v>
      </c>
      <c r="AJ246" s="62" t="n">
        <f aca="false">AI246*CC246</f>
        <v>19.0489642184557</v>
      </c>
      <c r="AK246" s="63" t="n">
        <f aca="false">IF(LEFT(Cockpit!$C$5,1)="A",H246,IF(CI246=1,(CL246+CJ246)/2,IF(LEFT(Cockpit!$C$5,1)="B",(CL246+AM246)/2,MAX((CL246+AM246)/2,H246))))</f>
        <v>1</v>
      </c>
      <c r="AL246" s="62" t="n">
        <f aca="false">AK246*G246</f>
        <v>520</v>
      </c>
      <c r="AM246" s="62" t="n">
        <f aca="false">ROUNDUP(CL246+MAX(CM246,2*(J246/IF(CH246&gt;0,CH246,MAX(0.1,N(Cockpit!$C$6)))-CL246)),0)</f>
        <v>1</v>
      </c>
      <c r="AN246" s="63" t="n">
        <f aca="false">IF(AJ246&gt;0,J246/AJ246,-1)</f>
        <v>0.0524962926347009</v>
      </c>
      <c r="AO246" s="63" t="n">
        <f aca="false">IF(AND(OR(CG246="L1",CG246="L23",CG246="LIFT"),AJ246&gt;0),SUMIFS($AJ$7:$AJ$1843,$CG$7:$CG$1843,CG246,$AN$7:$AN$1843,"&gt;"&amp;AN246)+SUMIFS($AJ$7:$AJ$1843,$CG$7:$CG$1843,CG246,$AN$7:$AN$1843,AN246,$BX$7:$BX$1843,"&lt;="&amp;BX246),"")</f>
        <v>19065.0134905114</v>
      </c>
      <c r="AP246" s="70" t="n">
        <f aca="false">IF(AO246="",0,MAX(0,MIN(1,(IF(CG246="L1",Parameter!$H$5,IF(CG246="L23",Parameter!$H$6+Parameter!$H$7,Parameter!$H$5+Parameter!$H$6+Parameter!$H$7))-(AO246-AJ246))/AJ246)))</f>
        <v>1</v>
      </c>
      <c r="AQ246" s="62" t="n">
        <f aca="false">IF(LEFT(Cockpit!$I$5,1)="A",H246,IF(Parameter!$E$30="MAX-Bestand",IF(CI246=1,CJ246,IF(LEFT(Cockpit!$I$5,1)="B",AW246,MAX(AW246,H246))),ROUNDUP(AU246,0)))</f>
        <v>1</v>
      </c>
      <c r="AR246" s="62" t="n">
        <f aca="false">IF(CA246=1,0,ROUNDUP(AQ246/BZ246,0))</f>
        <v>0</v>
      </c>
      <c r="AS246" s="64" t="n">
        <f aca="false">IF(CR246&gt;0,CR246*MAX(1,AQ246/X246),IF(CA246=1,IF(AQ246&lt;=0,0,CE246*MAX(1,IF(H246&gt;0,AQ246/H246,1))),IF(R246&gt;0,AR246/R246,0))/MAX(0.1,N(Parameter!$M$21)))</f>
        <v>0.0800376647834275</v>
      </c>
      <c r="AT246" s="62" t="n">
        <f aca="false">AS246*CC246</f>
        <v>19.0489642184557</v>
      </c>
      <c r="AU246" s="63" t="n">
        <f aca="false">IF(LEFT(Cockpit!$I$5,1)="A",H246,IF(CI246=1,(CL246+CJ246)/2,IF(LEFT(Cockpit!$I$5,1)="B",(CL246+AW246)/2,MAX((CL246+AW246)/2,H246))))</f>
        <v>1</v>
      </c>
      <c r="AV246" s="62" t="n">
        <f aca="false">AU246*G246</f>
        <v>520</v>
      </c>
      <c r="AW246" s="62" t="n">
        <f aca="false">ROUNDUP(CL246+MAX(CM246,2*(J246/IF(CH246&gt;0,CH246,MAX(0.1,N(Cockpit!$I$6)))-CL246)),0)</f>
        <v>1</v>
      </c>
      <c r="AX246" s="63" t="n">
        <f aca="false">IF(AT246&gt;0,J246/AT246,-1)</f>
        <v>0.0524962926347009</v>
      </c>
      <c r="AY246" s="63" t="n">
        <f aca="false">IF(AND(OR(CG246="L1",CG246="L23",CG246="LIFT"),AT246&gt;0),SUMIFS($AT$7:$AT$1843,$CG$7:$CG$1843,CG246,$AX$7:$AX$1843,"&gt;"&amp;AX246)+SUMIFS($AT$7:$AT$1843,$CG$7:$CG$1843,CG246,$AX$7:$AX$1843,AX246,$BX$7:$BX$1843,"&lt;="&amp;BX246),"")</f>
        <v>24183.1621318888</v>
      </c>
      <c r="AZ246" s="70" t="n">
        <f aca="false">IF(AY246="",0,MAX(0,MIN(1,(IF(CG246="L1",Parameter!$H$5,IF(CG246="L23",Parameter!$H$6+Parameter!$H$7,Parameter!$H$5+Parameter!$H$6+Parameter!$H$7))-(AY246-AT246))/AT246)))</f>
        <v>1</v>
      </c>
      <c r="BA246" s="62" t="n">
        <f aca="false">IF(LEFT(Cockpit!$O$5,1)="A",H246,IF(Parameter!$E$30="MAX-Bestand",IF(CI246=1,CJ246,IF(LEFT(Cockpit!$O$5,1)="B",BG246,MAX(BG246,H246))),ROUNDUP(BE246,0)))</f>
        <v>1</v>
      </c>
      <c r="BB246" s="62" t="n">
        <f aca="false">IF(CA246=1,0,ROUNDUP(BA246/BZ246,0))</f>
        <v>0</v>
      </c>
      <c r="BC246" s="64" t="n">
        <f aca="false">IF(CR246&gt;0,CR246*MAX(1,BA246/X246),IF(CA246=1,IF(BA246&lt;=0,0,CE246*MAX(1,IF(H246&gt;0,BA246/H246,1))),IF(R246&gt;0,BB246/R246,0))/MAX(0.1,N(Parameter!$M$21)))</f>
        <v>0.0800376647834275</v>
      </c>
      <c r="BD246" s="62" t="n">
        <f aca="false">BC246*CC246</f>
        <v>19.0489642184557</v>
      </c>
      <c r="BE246" s="63" t="n">
        <f aca="false">IF(LEFT(Cockpit!$O$5,1)="A",H246,IF(CI246=1,(CL246+CJ246)/2,IF(LEFT(Cockpit!$O$5,1)="B",(CL246+BG246)/2,MAX((CL246+BG246)/2,H246))))</f>
        <v>0.5</v>
      </c>
      <c r="BF246" s="62" t="n">
        <f aca="false">BE246*G246</f>
        <v>260</v>
      </c>
      <c r="BG246" s="62" t="n">
        <f aca="false">ROUNDUP(CL246+MAX(CM246,2*(J246/IF(CH246&gt;0,CH246,MAX(0.1,N(Cockpit!$O$6)))-CL246)),0)</f>
        <v>1</v>
      </c>
      <c r="BH246" s="63" t="n">
        <f aca="false">IF(BD246&gt;0,J246/BD246,-1)</f>
        <v>0.0524962926347009</v>
      </c>
      <c r="BI246" s="63" t="n">
        <f aca="false">IF(AND(OR(CG246="L1",CG246="L23",CG246="LIFT"),BD246&gt;0),SUMIFS($BD$7:$BD$1843,$CG$7:$CG$1843,CG246,$BH$7:$BH$1843,"&gt;"&amp;BH246)+SUMIFS($BD$7:$BD$1843,$CG$7:$CG$1843,CG246,$BH$7:$BH$1843,BH246,$BX$7:$BX$1843,"&lt;="&amp;BX246),"")</f>
        <v>20091.8273085201</v>
      </c>
      <c r="BJ246" s="70" t="n">
        <f aca="false">IF(BI246="",0,MAX(0,MIN(1,(IF(CG246="L1",Parameter!$H$5,IF(CG246="L23",Parameter!$H$6+Parameter!$H$7,Parameter!$H$5+Parameter!$H$6+Parameter!$H$7))-(BI246-BD246))/BD246)))</f>
        <v>1</v>
      </c>
      <c r="BK246" s="60" t="str">
        <f aca="false">IF(AJ246&lt;=0,"",IF(CG246="Aussen","Aussenlager",IF(CG246="-","Nicht im Lift",IF(AP246&gt;=1,"Lift",IF(AP246&lt;=0,"Aussenlager","teilweise")))))</f>
        <v>Lift</v>
      </c>
      <c r="BL246" s="60" t="str">
        <f aca="false">IF(AT246&lt;=0,"",IF(CG246="Aussen","Aussenlager",IF(CG246="-","Nicht im Lift",IF(AZ246&gt;=1,"Lift",IF(AZ246&lt;=0,"Aussenlager","teilweise")))))</f>
        <v>Lift</v>
      </c>
      <c r="BM246" s="60" t="str">
        <f aca="false">IF(BD246&lt;=0,"",IF(CG246="Aussen","Aussenlager",IF(CG246="-","Nicht im Lift",IF(BJ246&gt;=1,"Lift",IF(BJ246&lt;=0,"Aussenlager","teilweise")))))</f>
        <v>Lift</v>
      </c>
      <c r="BN246" s="60" t="str">
        <f aca="false">IF(A246="","",IF(BW246=1,"Neu; ","")&amp;IF(AND(BW246=0,BR246&lt;0),"negativer Bestand (Export "&amp;BR246&amp;"); ","")&amp;IF(J246&lt;=0,"Kein Verbrauch; ","")&amp;IF(CR246&gt;0,"Lift "&amp;W246&amp;" lt. Liftbericht (Fach "&amp;X246&amp;" Stk); ",IF(CB246=1,"Gebinde geschätzt ("&amp;T246&amp;"); ",IF(CA246=1,"Lose – Tablare geschätzt; ","")))&amp;IF(H246&gt;AW246,"Überbestand "&amp;ROUND(H246-AW246,0)&amp;" Stk / CHF "&amp;ROUND((H246-AW246)*G246,0)&amp;"; ","")&amp;IF(AND(CI246=1,CJ246&lt;CK246),"MAX &lt; MB+LG; ","")&amp;IF(AND(CQ246&gt;0,CP246*10&gt;CQ246),"zu hoch für Tablar; ","")&amp;IF(AND(BW246=0,OR(CI246=1,AB246&lt;&gt;"",U246&lt;&gt;"",V246&lt;&gt;"",AC246&lt;&gt;"")),"manuell übersteuert; ","")&amp;IF(AND(CA246=0,R246=0),"Gebinde unbekannt / Stellmass fehlt; ","")&amp;IF(AND(CA246=0,N(V246)&lt;=0,N(Q246)&lt;=0),"Menge pro Gebinde fehlt (Ist = 1 Gebinde); ","")&amp;BV246)</f>
        <v>Lift 1 lt. Liftbericht (Fach 1 Stk); </v>
      </c>
      <c r="BO246" s="60"/>
      <c r="BP246" s="60"/>
      <c r="BQ246" s="67"/>
      <c r="BR246" s="62" t="n">
        <v>1</v>
      </c>
      <c r="BS246" s="62" t="n">
        <v>0</v>
      </c>
      <c r="BT246" s="61" t="n">
        <v>520</v>
      </c>
      <c r="BU246" s="62" t="n">
        <v>1</v>
      </c>
      <c r="BV246" s="60"/>
      <c r="BW246" s="65" t="n">
        <v>0</v>
      </c>
      <c r="BX246" s="65" t="n">
        <v>246</v>
      </c>
      <c r="BY246" s="60" t="str">
        <f aca="false">IF(U246&lt;&gt;"",UPPER(TRIM(U246)),IF(CB246=1,UPPER(VLOOKUP(T246,Parameter!$I$27:$K$29,2,0)),IF(P246="","LOSE",P246)))</f>
        <v>LOSE</v>
      </c>
      <c r="BZ246" s="62" t="n">
        <f aca="false">IF(BY246="LOSE",1,IF(N(V246)&gt;0,V246,IF(CB246=1,MAX(1,N(VLOOKUP(T246,Parameter!$I$27:$K$29,3,0)),H246,N(N246)),IF(N(Q246)&gt;0,Q246,MAX(1,H246)))))</f>
        <v>1</v>
      </c>
      <c r="CA246" s="65" t="n">
        <f aca="false">IF(BY246="LOSE",1,0)</f>
        <v>1</v>
      </c>
      <c r="CB246" s="65" t="n">
        <f aca="false">IF(AND(U246="",OR(P246="",P246="LOSE"),T246&lt;&gt;"",N(S246)&lt;=0,ISNUMBER(MATCH(T246,Parameter!$I$27:$I$29,0))),1,0)</f>
        <v>0</v>
      </c>
      <c r="CC246" s="65" t="n">
        <f aca="false">IF(CR246&gt;0,INDEX(Parameter!$H$5:$H$7,W246)/INDEX(Parameter!$E$5:$E$7,W246),IF(AND(CA246=0,N(IFERROR(VLOOKUP(BY246,'Gebinde-Kategorie'!$A$5:$N$45,14,0),0))&gt;0),VLOOKUP(BY246,'Gebinde-Kategorie'!$A$5:$N$45,14,0)*10+Parameter!$M$23,Parameter!$M$24))</f>
        <v>238</v>
      </c>
      <c r="CD246" s="60" t="n">
        <f aca="false">IF(AND(Parameter!$B$19="Ja",E246&lt;&gt;"",ISNUMBER(MATCH(E246,Parameter!$I$35:$I$52,0))),VLOOKUP(E246,Parameter!$I$35:$J$52,2,0),IFERROR(VLOOKUP(D246,Parameter!$A$35:$C$64,2,0),"Nein"))</f>
        <v>1</v>
      </c>
      <c r="CE246" s="64" t="n">
        <f aca="false">IF(CA246=0,0,IF(N(S246)&gt;0,S246,IFERROR(VLOOKUP(D246,Parameter!$A$35:$C$64,3,0)+0,0)))</f>
        <v>0.15</v>
      </c>
      <c r="CF246" s="60" t="n">
        <f aca="false">IF(AB246&lt;&gt;"",AB246,AA246)</f>
        <v>1</v>
      </c>
      <c r="CG246" s="60" t="str">
        <f aca="false">IF(OR(CF246=1,CF246=2,CF246=3),IF(Parameter!$E$27="Ja","LIFT",IF(CF246=1,"L1","L23")),IF(CF246="Aussen","Aussen","-"))</f>
        <v>LIFT</v>
      </c>
      <c r="CH246" s="71" t="n">
        <f aca="false">IF(N(AC246)&gt;0,AC246,0)</f>
        <v>0</v>
      </c>
      <c r="CI246" s="65" t="n">
        <f aca="false">IF(ISNUMBER(AF246),1,0)</f>
        <v>0</v>
      </c>
      <c r="CJ246" s="62" t="n">
        <f aca="false">N(AF246)</f>
        <v>0</v>
      </c>
      <c r="CK246" s="62" t="n">
        <f aca="false">N(M246)+N(N246)</f>
        <v>1</v>
      </c>
      <c r="CL246" s="62" t="n">
        <f aca="false">N(M246)</f>
        <v>0</v>
      </c>
      <c r="CM246" s="62" t="n">
        <f aca="false">N(N246)</f>
        <v>1</v>
      </c>
      <c r="CN246" s="62" t="n">
        <f aca="false">ROUNDUP(H246/BZ246,0)</f>
        <v>1</v>
      </c>
      <c r="CO246" s="62" t="n">
        <f aca="false">ROUNDUP(CJ246/BZ246,0)</f>
        <v>0</v>
      </c>
      <c r="CP246" s="65" t="n">
        <f aca="false">IF(CA246=1,0,IFERROR(VLOOKUP(BY246,'Gebinde-Kategorie'!$A$5:$N$45,5,0)+0,0))</f>
        <v>0</v>
      </c>
      <c r="CQ246" s="65" t="n">
        <f aca="false">IFERROR(IF(OR(CF246=1,CF246=2,CF246=3),N(INDEX(Parameter!$I$5:$I$7,CF246)),0),0)</f>
        <v>0</v>
      </c>
      <c r="CR246" s="64" t="n">
        <f aca="false">IF(AND(Parameter!$B$21="Ja",ISNUMBER(W246),N(X246)&gt;0),IFERROR(N(INDEX(Parameter!$L$5:$L$7,W246))*INDEX(Parameter!$E$5:$E$7,W246)*X246/SUMIFS($X$7:$X$1843,$W$7:$W$1843,W246),0),0)</f>
        <v>0.0800376647834275</v>
      </c>
      <c r="CS246" s="62" t="n">
        <f aca="false">IF(AND(OR(CG246="L1",CG246="L23",CG246="LIFT"),H246&gt;0),CC246*IF(CR246&gt;0,CR246*MAX(1,H246/X246),IF(CA246=1,CE246,IF(R246&gt;0,CN246/R246,0))/MAX(0.1,N(Parameter!$M$21))),"")</f>
        <v>19.0489642184557</v>
      </c>
      <c r="CT246" s="64" t="n">
        <f aca="false">IF(CS246="","",J246/H246)</f>
        <v>1</v>
      </c>
      <c r="CU246" s="62" t="n">
        <f aca="false">IF(CS246="","",H246*G246)</f>
        <v>520</v>
      </c>
      <c r="CV246" s="63" t="n">
        <f aca="false">IF(CS246="","",(CL246+ROUNDUP(CL246+MAX(CM246,2*(J246/MAX(0.1,N(Einkauf!$C$6))-CL246)),0))/2)</f>
        <v>0.5</v>
      </c>
      <c r="CW246" s="62" t="n">
        <f aca="false">IF(CS246="","",MAX(0,H246-CV246)*G246)</f>
        <v>260</v>
      </c>
      <c r="CX246" s="62" t="n">
        <f aca="false">IF(CS246="","",CS246*MAX(0,1-CV246/H246))</f>
        <v>9.52448210922787</v>
      </c>
      <c r="CY246" s="64" t="n">
        <f aca="false">IF(CS246="","",PERCENTRANK($CS$7:$CS$1843,CS246)+PERCENTRANK($CU$7:$CU$1843,CU246)+1-PERCENTRANK($CT$7:$CT$1843,CT246))</f>
        <v>1.665</v>
      </c>
      <c r="CZ246" s="72" t="n">
        <f aca="false">IF(CS246="","",CHOOSE(MATCH(Einkauf!$C$5,Parameter!$G$23:$G$27,0),CY246,CS246,CU246,-CT246,CW246)+ROW()/1000000000)</f>
        <v>1.665000246</v>
      </c>
    </row>
    <row r="247" customFormat="false" ht="15" hidden="false" customHeight="false" outlineLevel="0" collapsed="false">
      <c r="A247" s="60" t="s">
        <v>720</v>
      </c>
      <c r="B247" s="60" t="s">
        <v>721</v>
      </c>
      <c r="C247" s="60" t="s">
        <v>206</v>
      </c>
      <c r="D247" s="60" t="s">
        <v>226</v>
      </c>
      <c r="E247" s="60" t="s">
        <v>227</v>
      </c>
      <c r="F247" s="60" t="s">
        <v>260</v>
      </c>
      <c r="G247" s="61" t="n">
        <v>37</v>
      </c>
      <c r="H247" s="62" t="n">
        <f aca="false">MAX(0,IF(AND(Parameter!$B$21="Ja",ISNUMBER(Y247)),Y247,IF(Parameter!$B$20="Jahresanfang 2025 + Export",BS247+BR247,BR247)))</f>
        <v>14</v>
      </c>
      <c r="I247" s="62" t="n">
        <f aca="false">H247*G247</f>
        <v>518</v>
      </c>
      <c r="J247" s="62" t="n">
        <f aca="false">BU247*Parameter!$B$18</f>
        <v>1</v>
      </c>
      <c r="K247" s="63" t="n">
        <v>7</v>
      </c>
      <c r="L247" s="64" t="n">
        <v>0.142857142857143</v>
      </c>
      <c r="M247" s="62" t="n">
        <v>0</v>
      </c>
      <c r="N247" s="62" t="n">
        <v>1</v>
      </c>
      <c r="O247" s="65" t="n">
        <v>35</v>
      </c>
      <c r="P247" s="60" t="s">
        <v>468</v>
      </c>
      <c r="Q247" s="62" t="n">
        <v>8</v>
      </c>
      <c r="R247" s="65" t="n">
        <f aca="false">IF(CA247=1,0,IFERROR(VLOOKUP(BY247,'Gebinde-Kategorie'!$A$5:$N$45,13,0)+0,0))</f>
        <v>140</v>
      </c>
      <c r="S247" s="66"/>
      <c r="T247" s="67"/>
      <c r="U247" s="67"/>
      <c r="V247" s="67"/>
      <c r="W247" s="60"/>
      <c r="X247" s="62"/>
      <c r="Y247" s="62"/>
      <c r="Z247" s="60" t="n">
        <v>1</v>
      </c>
      <c r="AA247" s="60" t="n">
        <f aca="false">IF(A247="","",IF(AND(Parameter!$B$21="Ja",ISNUMBER(W247)),W247,IF(AND(Parameter!$E$27="Ja",ISNUMBER(Z247),CD247&lt;&gt;"Nein"),Z247,IF(CD247="2+3",IF(ISNUMBER(SEARCH("grosser Artikel",BV247)),2,IFERROR(VLOOKUP(BY247,Parameter!$F$35:$G$64,2,0),2)),IF(OR(CD247="Nein",CD247=""),"-",CD247)))))</f>
        <v>1</v>
      </c>
      <c r="AB247" s="67"/>
      <c r="AC247" s="68"/>
      <c r="AD247" s="62" t="n">
        <f aca="false">AW247</f>
        <v>1</v>
      </c>
      <c r="AE247" s="62" t="n">
        <f aca="false">MAX(AW247,H247)</f>
        <v>14</v>
      </c>
      <c r="AF247" s="69"/>
      <c r="AG247" s="62" t="n">
        <f aca="false">IF(LEFT(Cockpit!$C$5,1)="A",H247,IF(Parameter!$E$30="MAX-Bestand",IF(CI247=1,CJ247,IF(LEFT(Cockpit!$C$5,1)="B",AM247,MAX(AM247,H247))),ROUNDUP(AK247,0)))</f>
        <v>14</v>
      </c>
      <c r="AH247" s="62" t="n">
        <f aca="false">IF(CA247=1,0,ROUNDUP(AG247/BZ247,0))</f>
        <v>2</v>
      </c>
      <c r="AI247" s="64" t="n">
        <f aca="false">IF(CR247&gt;0,CR247*MAX(1,AG247/X247),IF(CA247=1,IF(AG247&lt;=0,0,CE247*MAX(1,IF(H247&gt;0,AG247/H247,1))),IF(R247&gt;0,AH247/R247,0))/MAX(0.1,N(Parameter!$M$21)))</f>
        <v>0.0142857142857143</v>
      </c>
      <c r="AJ247" s="62" t="n">
        <f aca="false">AI247*CC247</f>
        <v>2.21428571428571</v>
      </c>
      <c r="AK247" s="63" t="n">
        <f aca="false">IF(LEFT(Cockpit!$C$5,1)="A",H247,IF(CI247=1,(CL247+CJ247)/2,IF(LEFT(Cockpit!$C$5,1)="B",(CL247+AM247)/2,MAX((CL247+AM247)/2,H247))))</f>
        <v>14</v>
      </c>
      <c r="AL247" s="62" t="n">
        <f aca="false">AK247*G247</f>
        <v>518</v>
      </c>
      <c r="AM247" s="62" t="n">
        <f aca="false">ROUNDUP(CL247+MAX(CM247,2*(J247/IF(CH247&gt;0,CH247,MAX(0.1,N(Cockpit!$C$6)))-CL247)),0)</f>
        <v>1</v>
      </c>
      <c r="AN247" s="63" t="n">
        <f aca="false">IF(AJ247&gt;0,J247/AJ247,-1)</f>
        <v>0.451612903225806</v>
      </c>
      <c r="AO247" s="63" t="n">
        <f aca="false">IF(AND(OR(CG247="L1",CG247="L23",CG247="LIFT"),AJ247&gt;0),SUMIFS($AJ$7:$AJ$1843,$CG$7:$CG$1843,CG247,$AN$7:$AN$1843,"&gt;"&amp;AN247)+SUMIFS($AJ$7:$AJ$1843,$CG$7:$CG$1843,CG247,$AN$7:$AN$1843,AN247,$BX$7:$BX$1843,"&lt;="&amp;BX247),"")</f>
        <v>9859.05812172761</v>
      </c>
      <c r="AP247" s="70" t="n">
        <f aca="false">IF(AO247="",0,MAX(0,MIN(1,(IF(CG247="L1",Parameter!$H$5,IF(CG247="L23",Parameter!$H$6+Parameter!$H$7,Parameter!$H$5+Parameter!$H$6+Parameter!$H$7))-(AO247-AJ247))/AJ247)))</f>
        <v>1</v>
      </c>
      <c r="AQ247" s="62" t="n">
        <f aca="false">IF(LEFT(Cockpit!$I$5,1)="A",H247,IF(Parameter!$E$30="MAX-Bestand",IF(CI247=1,CJ247,IF(LEFT(Cockpit!$I$5,1)="B",AW247,MAX(AW247,H247))),ROUNDUP(AU247,0)))</f>
        <v>14</v>
      </c>
      <c r="AR247" s="62" t="n">
        <f aca="false">IF(CA247=1,0,ROUNDUP(AQ247/BZ247,0))</f>
        <v>2</v>
      </c>
      <c r="AS247" s="64" t="n">
        <f aca="false">IF(CR247&gt;0,CR247*MAX(1,AQ247/X247),IF(CA247=1,IF(AQ247&lt;=0,0,CE247*MAX(1,IF(H247&gt;0,AQ247/H247,1))),IF(R247&gt;0,AR247/R247,0))/MAX(0.1,N(Parameter!$M$21)))</f>
        <v>0.0142857142857143</v>
      </c>
      <c r="AT247" s="62" t="n">
        <f aca="false">AS247*CC247</f>
        <v>2.21428571428571</v>
      </c>
      <c r="AU247" s="63" t="n">
        <f aca="false">IF(LEFT(Cockpit!$I$5,1)="A",H247,IF(CI247=1,(CL247+CJ247)/2,IF(LEFT(Cockpit!$I$5,1)="B",(CL247+AW247)/2,MAX((CL247+AW247)/2,H247))))</f>
        <v>14</v>
      </c>
      <c r="AV247" s="62" t="n">
        <f aca="false">AU247*G247</f>
        <v>518</v>
      </c>
      <c r="AW247" s="62" t="n">
        <f aca="false">ROUNDUP(CL247+MAX(CM247,2*(J247/IF(CH247&gt;0,CH247,MAX(0.1,N(Cockpit!$I$6)))-CL247)),0)</f>
        <v>1</v>
      </c>
      <c r="AX247" s="63" t="n">
        <f aca="false">IF(AT247&gt;0,J247/AT247,-1)</f>
        <v>0.451612903225806</v>
      </c>
      <c r="AY247" s="63" t="n">
        <f aca="false">IF(AND(OR(CG247="L1",CG247="L23",CG247="LIFT"),AT247&gt;0),SUMIFS($AT$7:$AT$1843,$CG$7:$CG$1843,CG247,$AX$7:$AX$1843,"&gt;"&amp;AX247)+SUMIFS($AT$7:$AT$1843,$CG$7:$CG$1843,CG247,$AX$7:$AX$1843,AX247,$BX$7:$BX$1843,"&lt;="&amp;BX247),"")</f>
        <v>12272.8946886447</v>
      </c>
      <c r="AZ247" s="70" t="n">
        <f aca="false">IF(AY247="",0,MAX(0,MIN(1,(IF(CG247="L1",Parameter!$H$5,IF(CG247="L23",Parameter!$H$6+Parameter!$H$7,Parameter!$H$5+Parameter!$H$6+Parameter!$H$7))-(AY247-AT247))/AT247)))</f>
        <v>1</v>
      </c>
      <c r="BA247" s="62" t="n">
        <f aca="false">IF(LEFT(Cockpit!$O$5,1)="A",H247,IF(Parameter!$E$30="MAX-Bestand",IF(CI247=1,CJ247,IF(LEFT(Cockpit!$O$5,1)="B",BG247,MAX(BG247,H247))),ROUNDUP(BE247,0)))</f>
        <v>1</v>
      </c>
      <c r="BB247" s="62" t="n">
        <f aca="false">IF(CA247=1,0,ROUNDUP(BA247/BZ247,0))</f>
        <v>1</v>
      </c>
      <c r="BC247" s="64" t="n">
        <f aca="false">IF(CR247&gt;0,CR247*MAX(1,BA247/X247),IF(CA247=1,IF(BA247&lt;=0,0,CE247*MAX(1,IF(H247&gt;0,BA247/H247,1))),IF(R247&gt;0,BB247/R247,0))/MAX(0.1,N(Parameter!$M$21)))</f>
        <v>0.00714285714285714</v>
      </c>
      <c r="BD247" s="62" t="n">
        <f aca="false">BC247*CC247</f>
        <v>1.10714285714286</v>
      </c>
      <c r="BE247" s="63" t="n">
        <f aca="false">IF(LEFT(Cockpit!$O$5,1)="A",H247,IF(CI247=1,(CL247+CJ247)/2,IF(LEFT(Cockpit!$O$5,1)="B",(CL247+BG247)/2,MAX((CL247+BG247)/2,H247))))</f>
        <v>0.5</v>
      </c>
      <c r="BF247" s="62" t="n">
        <f aca="false">BE247*G247</f>
        <v>18.5</v>
      </c>
      <c r="BG247" s="62" t="n">
        <f aca="false">ROUNDUP(CL247+MAX(CM247,2*(J247/IF(CH247&gt;0,CH247,MAX(0.1,N(Cockpit!$O$6)))-CL247)),0)</f>
        <v>1</v>
      </c>
      <c r="BH247" s="63" t="n">
        <f aca="false">IF(BD247&gt;0,J247/BD247,-1)</f>
        <v>0.903225806451613</v>
      </c>
      <c r="BI247" s="63" t="n">
        <f aca="false">IF(AND(OR(CG247="L1",CG247="L23",CG247="LIFT"),BD247&gt;0),SUMIFS($BD$7:$BD$1843,$CG$7:$CG$1843,CG247,$BH$7:$BH$1843,"&gt;"&amp;BH247)+SUMIFS($BD$7:$BD$1843,$CG$7:$CG$1843,CG247,$BH$7:$BH$1843,BH247,$BX$7:$BX$1843,"&lt;="&amp;BX247),"")</f>
        <v>8241.18635531136</v>
      </c>
      <c r="BJ247" s="70" t="n">
        <f aca="false">IF(BI247="",0,MAX(0,MIN(1,(IF(CG247="L1",Parameter!$H$5,IF(CG247="L23",Parameter!$H$6+Parameter!$H$7,Parameter!$H$5+Parameter!$H$6+Parameter!$H$7))-(BI247-BD247))/BD247)))</f>
        <v>1</v>
      </c>
      <c r="BK247" s="60" t="str">
        <f aca="false">IF(AJ247&lt;=0,"",IF(CG247="Aussen","Aussenlager",IF(CG247="-","Nicht im Lift",IF(AP247&gt;=1,"Lift",IF(AP247&lt;=0,"Aussenlager","teilweise")))))</f>
        <v>Lift</v>
      </c>
      <c r="BL247" s="60" t="str">
        <f aca="false">IF(AT247&lt;=0,"",IF(CG247="Aussen","Aussenlager",IF(CG247="-","Nicht im Lift",IF(AZ247&gt;=1,"Lift",IF(AZ247&lt;=0,"Aussenlager","teilweise")))))</f>
        <v>Lift</v>
      </c>
      <c r="BM247" s="60" t="str">
        <f aca="false">IF(BD247&lt;=0,"",IF(CG247="Aussen","Aussenlager",IF(CG247="-","Nicht im Lift",IF(BJ247&gt;=1,"Lift",IF(BJ247&lt;=0,"Aussenlager","teilweise")))))</f>
        <v>Lift</v>
      </c>
      <c r="BN247" s="60" t="str">
        <f aca="false">IF(A247="","",IF(BW247=1,"Neu; ","")&amp;IF(AND(BW247=0,BR247&lt;0),"negativer Bestand (Export "&amp;BR247&amp;"); ","")&amp;IF(J247&lt;=0,"Kein Verbrauch; ","")&amp;IF(CR247&gt;0,"Lift "&amp;W247&amp;" lt. Liftbericht (Fach "&amp;X247&amp;" Stk); ",IF(CB247=1,"Gebinde geschätzt ("&amp;T247&amp;"); ",IF(CA247=1,"Lose – Tablare geschätzt; ","")))&amp;IF(H247&gt;AW247,"Überbestand "&amp;ROUND(H247-AW247,0)&amp;" Stk / CHF "&amp;ROUND((H247-AW247)*G247,0)&amp;"; ","")&amp;IF(AND(CI247=1,CJ247&lt;CK247),"MAX &lt; MB+LG; ","")&amp;IF(AND(CQ247&gt;0,CP247*10&gt;CQ247),"zu hoch für Tablar; ","")&amp;IF(AND(BW247=0,OR(CI247=1,AB247&lt;&gt;"",U247&lt;&gt;"",V247&lt;&gt;"",AC247&lt;&gt;"")),"manuell übersteuert; ","")&amp;IF(AND(CA247=0,R247=0),"Gebinde unbekannt / Stellmass fehlt; ","")&amp;IF(AND(CA247=0,N(V247)&lt;=0,N(Q247)&lt;=0),"Menge pro Gebinde fehlt (Ist = 1 Gebinde); ","")&amp;BV247)</f>
        <v>Überbestand 13 Stk / CHF 481; </v>
      </c>
      <c r="BO247" s="60"/>
      <c r="BP247" s="60"/>
      <c r="BQ247" s="67"/>
      <c r="BR247" s="62" t="n">
        <v>14</v>
      </c>
      <c r="BS247" s="62" t="n">
        <v>0</v>
      </c>
      <c r="BT247" s="61" t="n">
        <v>518</v>
      </c>
      <c r="BU247" s="62" t="n">
        <v>1</v>
      </c>
      <c r="BV247" s="60"/>
      <c r="BW247" s="65" t="n">
        <v>0</v>
      </c>
      <c r="BX247" s="65" t="n">
        <v>247</v>
      </c>
      <c r="BY247" s="60" t="str">
        <f aca="false">IF(U247&lt;&gt;"",UPPER(TRIM(U247)),IF(CB247=1,UPPER(VLOOKUP(T247,Parameter!$I$27:$K$29,2,0)),IF(P247="","LOSE",P247)))</f>
        <v>S22</v>
      </c>
      <c r="BZ247" s="62" t="n">
        <f aca="false">IF(BY247="LOSE",1,IF(N(V247)&gt;0,V247,IF(CB247=1,MAX(1,N(VLOOKUP(T247,Parameter!$I$27:$K$29,3,0)),H247,N(N247)),IF(N(Q247)&gt;0,Q247,MAX(1,H247)))))</f>
        <v>8</v>
      </c>
      <c r="CA247" s="65" t="n">
        <f aca="false">IF(BY247="LOSE",1,0)</f>
        <v>0</v>
      </c>
      <c r="CB247" s="65" t="n">
        <f aca="false">IF(AND(U247="",OR(P247="",P247="LOSE"),T247&lt;&gt;"",N(S247)&lt;=0,ISNUMBER(MATCH(T247,Parameter!$I$27:$I$29,0))),1,0)</f>
        <v>0</v>
      </c>
      <c r="CC247" s="65" t="n">
        <f aca="false">IF(CR247&gt;0,INDEX(Parameter!$H$5:$H$7,W247)/INDEX(Parameter!$E$5:$E$7,W247),IF(AND(CA247=0,N(IFERROR(VLOOKUP(BY247,'Gebinde-Kategorie'!$A$5:$N$45,14,0),0))&gt;0),VLOOKUP(BY247,'Gebinde-Kategorie'!$A$5:$N$45,14,0)*10+Parameter!$M$23,Parameter!$M$24))</f>
        <v>155</v>
      </c>
      <c r="CD247" s="60" t="str">
        <f aca="false">IF(AND(Parameter!$B$19="Ja",E247&lt;&gt;"",ISNUMBER(MATCH(E247,Parameter!$I$35:$I$52,0))),VLOOKUP(E247,Parameter!$I$35:$J$52,2,0),IFERROR(VLOOKUP(D247,Parameter!$A$35:$C$64,2,0),"Nein"))</f>
        <v>2+3</v>
      </c>
      <c r="CE247" s="64" t="n">
        <f aca="false">IF(CA247=0,0,IF(N(S247)&gt;0,S247,IFERROR(VLOOKUP(D247,Parameter!$A$35:$C$64,3,0)+0,0)))</f>
        <v>0</v>
      </c>
      <c r="CF247" s="60" t="n">
        <f aca="false">IF(AB247&lt;&gt;"",AB247,AA247)</f>
        <v>1</v>
      </c>
      <c r="CG247" s="60" t="str">
        <f aca="false">IF(OR(CF247=1,CF247=2,CF247=3),IF(Parameter!$E$27="Ja","LIFT",IF(CF247=1,"L1","L23")),IF(CF247="Aussen","Aussen","-"))</f>
        <v>LIFT</v>
      </c>
      <c r="CH247" s="71" t="n">
        <f aca="false">IF(N(AC247)&gt;0,AC247,0)</f>
        <v>0</v>
      </c>
      <c r="CI247" s="65" t="n">
        <f aca="false">IF(ISNUMBER(AF247),1,0)</f>
        <v>0</v>
      </c>
      <c r="CJ247" s="62" t="n">
        <f aca="false">N(AF247)</f>
        <v>0</v>
      </c>
      <c r="CK247" s="62" t="n">
        <f aca="false">N(M247)+N(N247)</f>
        <v>1</v>
      </c>
      <c r="CL247" s="62" t="n">
        <f aca="false">N(M247)</f>
        <v>0</v>
      </c>
      <c r="CM247" s="62" t="n">
        <f aca="false">N(N247)</f>
        <v>1</v>
      </c>
      <c r="CN247" s="62" t="n">
        <f aca="false">ROUNDUP(H247/BZ247,0)</f>
        <v>2</v>
      </c>
      <c r="CO247" s="62" t="n">
        <f aca="false">ROUNDUP(CJ247/BZ247,0)</f>
        <v>0</v>
      </c>
      <c r="CP247" s="65" t="n">
        <f aca="false">IF(CA247=1,0,IFERROR(VLOOKUP(BY247,'Gebinde-Kategorie'!$A$5:$N$45,5,0)+0,0))</f>
        <v>8</v>
      </c>
      <c r="CQ247" s="65" t="n">
        <f aca="false">IFERROR(IF(OR(CF247=1,CF247=2,CF247=3),N(INDEX(Parameter!$I$5:$I$7,CF247)),0),0)</f>
        <v>0</v>
      </c>
      <c r="CR247" s="64" t="n">
        <f aca="false">IF(AND(Parameter!$B$21="Ja",ISNUMBER(W247),N(X247)&gt;0),IFERROR(N(INDEX(Parameter!$L$5:$L$7,W247))*INDEX(Parameter!$E$5:$E$7,W247)*X247/SUMIFS($X$7:$X$1843,$W$7:$W$1843,W247),0),0)</f>
        <v>0</v>
      </c>
      <c r="CS247" s="62" t="n">
        <f aca="false">IF(AND(OR(CG247="L1",CG247="L23",CG247="LIFT"),H247&gt;0),CC247*IF(CR247&gt;0,CR247*MAX(1,H247/X247),IF(CA247=1,CE247,IF(R247&gt;0,CN247/R247,0))/MAX(0.1,N(Parameter!$M$21))),"")</f>
        <v>2.21428571428571</v>
      </c>
      <c r="CT247" s="64" t="n">
        <f aca="false">IF(CS247="","",J247/H247)</f>
        <v>0.0714285714285714</v>
      </c>
      <c r="CU247" s="62" t="n">
        <f aca="false">IF(CS247="","",H247*G247)</f>
        <v>518</v>
      </c>
      <c r="CV247" s="63" t="n">
        <f aca="false">IF(CS247="","",(CL247+ROUNDUP(CL247+MAX(CM247,2*(J247/MAX(0.1,N(Einkauf!$C$6))-CL247)),0))/2)</f>
        <v>0.5</v>
      </c>
      <c r="CW247" s="62" t="n">
        <f aca="false">IF(CS247="","",MAX(0,H247-CV247)*G247)</f>
        <v>499.5</v>
      </c>
      <c r="CX247" s="62" t="n">
        <f aca="false">IF(CS247="","",CS247*MAX(0,1-CV247/H247))</f>
        <v>2.13520408163265</v>
      </c>
      <c r="CY247" s="64" t="n">
        <f aca="false">IF(CS247="","",PERCENTRANK($CS$7:$CS$1843,CS247)+PERCENTRANK($CU$7:$CU$1843,CU247)+1-PERCENTRANK($CT$7:$CT$1843,CT247))</f>
        <v>1.304</v>
      </c>
      <c r="CZ247" s="72" t="n">
        <f aca="false">IF(CS247="","",CHOOSE(MATCH(Einkauf!$C$5,Parameter!$G$23:$G$27,0),CY247,CS247,CU247,-CT247,CW247)+ROW()/1000000000)</f>
        <v>1.304000247</v>
      </c>
    </row>
    <row r="248" customFormat="false" ht="15" hidden="false" customHeight="false" outlineLevel="0" collapsed="false">
      <c r="A248" s="60" t="s">
        <v>722</v>
      </c>
      <c r="B248" s="60" t="s">
        <v>723</v>
      </c>
      <c r="C248" s="60" t="s">
        <v>206</v>
      </c>
      <c r="D248" s="60" t="s">
        <v>226</v>
      </c>
      <c r="E248" s="60" t="s">
        <v>227</v>
      </c>
      <c r="F248" s="60" t="s">
        <v>260</v>
      </c>
      <c r="G248" s="61" t="n">
        <v>2.83</v>
      </c>
      <c r="H248" s="62" t="n">
        <f aca="false">MAX(0,IF(AND(Parameter!$B$21="Ja",ISNUMBER(Y248)),Y248,IF(Parameter!$B$20="Jahresanfang 2025 + Export",BS248+BR248,BR248)))</f>
        <v>337</v>
      </c>
      <c r="I248" s="62" t="n">
        <f aca="false">H248*G248</f>
        <v>953.71</v>
      </c>
      <c r="J248" s="62" t="n">
        <f aca="false">BU248*Parameter!$B$18</f>
        <v>300</v>
      </c>
      <c r="K248" s="63" t="n">
        <v>155</v>
      </c>
      <c r="L248" s="64" t="n">
        <v>1.93548387096774</v>
      </c>
      <c r="M248" s="62" t="n">
        <v>35</v>
      </c>
      <c r="N248" s="62" t="n">
        <v>300</v>
      </c>
      <c r="O248" s="65" t="n">
        <v>42</v>
      </c>
      <c r="P248" s="60" t="s">
        <v>518</v>
      </c>
      <c r="Q248" s="62" t="n">
        <v>150</v>
      </c>
      <c r="R248" s="65" t="n">
        <f aca="false">IF(CA248=1,0,IFERROR(VLOOKUP(BY248,'Gebinde-Kategorie'!$A$5:$N$45,13,0)+0,0))</f>
        <v>52</v>
      </c>
      <c r="S248" s="66"/>
      <c r="T248" s="67"/>
      <c r="U248" s="67"/>
      <c r="V248" s="67"/>
      <c r="W248" s="60"/>
      <c r="X248" s="62"/>
      <c r="Y248" s="62"/>
      <c r="Z248" s="60" t="n">
        <v>3</v>
      </c>
      <c r="AA248" s="60" t="n">
        <f aca="false">IF(A248="","",IF(AND(Parameter!$B$21="Ja",ISNUMBER(W248)),W248,IF(AND(Parameter!$E$27="Ja",ISNUMBER(Z248),CD248&lt;&gt;"Nein"),Z248,IF(CD248="2+3",IF(ISNUMBER(SEARCH("grosser Artikel",BV248)),2,IFERROR(VLOOKUP(BY248,Parameter!$F$35:$G$64,2,0),2)),IF(OR(CD248="Nein",CD248=""),"-",CD248)))))</f>
        <v>3</v>
      </c>
      <c r="AB248" s="67"/>
      <c r="AC248" s="68"/>
      <c r="AD248" s="62" t="n">
        <f aca="false">AW248</f>
        <v>335</v>
      </c>
      <c r="AE248" s="62" t="n">
        <f aca="false">MAX(AW248,H248)</f>
        <v>337</v>
      </c>
      <c r="AF248" s="69"/>
      <c r="AG248" s="62" t="n">
        <f aca="false">IF(LEFT(Cockpit!$C$5,1)="A",H248,IF(Parameter!$E$30="MAX-Bestand",IF(CI248=1,CJ248,IF(LEFT(Cockpit!$C$5,1)="B",AM248,MAX(AM248,H248))),ROUNDUP(AK248,0)))</f>
        <v>337</v>
      </c>
      <c r="AH248" s="62" t="n">
        <f aca="false">IF(CA248=1,0,ROUNDUP(AG248/BZ248,0))</f>
        <v>3</v>
      </c>
      <c r="AI248" s="64" t="n">
        <f aca="false">IF(CR248&gt;0,CR248*MAX(1,AG248/X248),IF(CA248=1,IF(AG248&lt;=0,0,CE248*MAX(1,IF(H248&gt;0,AG248/H248,1))),IF(R248&gt;0,AH248/R248,0))/MAX(0.1,N(Parameter!$M$21)))</f>
        <v>0.0576923076923077</v>
      </c>
      <c r="AJ248" s="62" t="n">
        <f aca="false">AI248*CC248</f>
        <v>8.94230769230769</v>
      </c>
      <c r="AK248" s="63" t="n">
        <f aca="false">IF(LEFT(Cockpit!$C$5,1)="A",H248,IF(CI248=1,(CL248+CJ248)/2,IF(LEFT(Cockpit!$C$5,1)="B",(CL248+AM248)/2,MAX((CL248+AM248)/2,H248))))</f>
        <v>337</v>
      </c>
      <c r="AL248" s="62" t="n">
        <f aca="false">AK248*G248</f>
        <v>953.71</v>
      </c>
      <c r="AM248" s="62" t="n">
        <f aca="false">ROUNDUP(CL248+MAX(CM248,2*(J248/IF(CH248&gt;0,CH248,MAX(0.1,N(Cockpit!$C$6)))-CL248)),0)</f>
        <v>335</v>
      </c>
      <c r="AN248" s="63" t="n">
        <f aca="false">IF(AJ248&gt;0,J248/AJ248,-1)</f>
        <v>33.5483870967742</v>
      </c>
      <c r="AO248" s="63" t="n">
        <f aca="false">IF(AND(OR(CG248="L1",CG248="L23",CG248="LIFT"),AJ248&gt;0),SUMIFS($AJ$7:$AJ$1843,$CG$7:$CG$1843,CG248,$AN$7:$AN$1843,"&gt;"&amp;AN248)+SUMIFS($AJ$7:$AJ$1843,$CG$7:$CG$1843,CG248,$AN$7:$AN$1843,AN248,$BX$7:$BX$1843,"&lt;="&amp;BX248),"")</f>
        <v>1316.64148351648</v>
      </c>
      <c r="AP248" s="70" t="n">
        <f aca="false">IF(AO248="",0,MAX(0,MIN(1,(IF(CG248="L1",Parameter!$H$5,IF(CG248="L23",Parameter!$H$6+Parameter!$H$7,Parameter!$H$5+Parameter!$H$6+Parameter!$H$7))-(AO248-AJ248))/AJ248)))</f>
        <v>1</v>
      </c>
      <c r="AQ248" s="62" t="n">
        <f aca="false">IF(LEFT(Cockpit!$I$5,1)="A",H248,IF(Parameter!$E$30="MAX-Bestand",IF(CI248=1,CJ248,IF(LEFT(Cockpit!$I$5,1)="B",AW248,MAX(AW248,H248))),ROUNDUP(AU248,0)))</f>
        <v>337</v>
      </c>
      <c r="AR248" s="62" t="n">
        <f aca="false">IF(CA248=1,0,ROUNDUP(AQ248/BZ248,0))</f>
        <v>3</v>
      </c>
      <c r="AS248" s="64" t="n">
        <f aca="false">IF(CR248&gt;0,CR248*MAX(1,AQ248/X248),IF(CA248=1,IF(AQ248&lt;=0,0,CE248*MAX(1,IF(H248&gt;0,AQ248/H248,1))),IF(R248&gt;0,AR248/R248,0))/MAX(0.1,N(Parameter!$M$21)))</f>
        <v>0.0576923076923077</v>
      </c>
      <c r="AT248" s="62" t="n">
        <f aca="false">AS248*CC248</f>
        <v>8.94230769230769</v>
      </c>
      <c r="AU248" s="63" t="n">
        <f aca="false">IF(LEFT(Cockpit!$I$5,1)="A",H248,IF(CI248=1,(CL248+CJ248)/2,IF(LEFT(Cockpit!$I$5,1)="B",(CL248+AW248)/2,MAX((CL248+AW248)/2,H248))))</f>
        <v>337</v>
      </c>
      <c r="AV248" s="62" t="n">
        <f aca="false">AU248*G248</f>
        <v>953.71</v>
      </c>
      <c r="AW248" s="62" t="n">
        <f aca="false">ROUNDUP(CL248+MAX(CM248,2*(J248/IF(CH248&gt;0,CH248,MAX(0.1,N(Cockpit!$I$6)))-CL248)),0)</f>
        <v>335</v>
      </c>
      <c r="AX248" s="63" t="n">
        <f aca="false">IF(AT248&gt;0,J248/AT248,-1)</f>
        <v>33.5483870967742</v>
      </c>
      <c r="AY248" s="63" t="n">
        <f aca="false">IF(AND(OR(CG248="L1",CG248="L23",CG248="LIFT"),AT248&gt;0),SUMIFS($AT$7:$AT$1843,$CG$7:$CG$1843,CG248,$AX$7:$AX$1843,"&gt;"&amp;AX248)+SUMIFS($AT$7:$AT$1843,$CG$7:$CG$1843,CG248,$AX$7:$AX$1843,AX248,$BX$7:$BX$1843,"&lt;="&amp;BX248),"")</f>
        <v>1637.40750915751</v>
      </c>
      <c r="AZ248" s="70" t="n">
        <f aca="false">IF(AY248="",0,MAX(0,MIN(1,(IF(CG248="L1",Parameter!$H$5,IF(CG248="L23",Parameter!$H$6+Parameter!$H$7,Parameter!$H$5+Parameter!$H$6+Parameter!$H$7))-(AY248-AT248))/AT248)))</f>
        <v>1</v>
      </c>
      <c r="BA248" s="62" t="n">
        <f aca="false">IF(LEFT(Cockpit!$O$5,1)="A",H248,IF(Parameter!$E$30="MAX-Bestand",IF(CI248=1,CJ248,IF(LEFT(Cockpit!$O$5,1)="B",BG248,MAX(BG248,H248))),ROUNDUP(BE248,0)))</f>
        <v>185</v>
      </c>
      <c r="BB248" s="62" t="n">
        <f aca="false">IF(CA248=1,0,ROUNDUP(BA248/BZ248,0))</f>
        <v>2</v>
      </c>
      <c r="BC248" s="64" t="n">
        <f aca="false">IF(CR248&gt;0,CR248*MAX(1,BA248/X248),IF(CA248=1,IF(BA248&lt;=0,0,CE248*MAX(1,IF(H248&gt;0,BA248/H248,1))),IF(R248&gt;0,BB248/R248,0))/MAX(0.1,N(Parameter!$M$21)))</f>
        <v>0.0384615384615385</v>
      </c>
      <c r="BD248" s="62" t="n">
        <f aca="false">BC248*CC248</f>
        <v>5.96153846153846</v>
      </c>
      <c r="BE248" s="63" t="n">
        <f aca="false">IF(LEFT(Cockpit!$O$5,1)="A",H248,IF(CI248=1,(CL248+CJ248)/2,IF(LEFT(Cockpit!$O$5,1)="B",(CL248+BG248)/2,MAX((CL248+BG248)/2,H248))))</f>
        <v>185</v>
      </c>
      <c r="BF248" s="62" t="n">
        <f aca="false">BE248*G248</f>
        <v>523.55</v>
      </c>
      <c r="BG248" s="62" t="n">
        <f aca="false">ROUNDUP(CL248+MAX(CM248,2*(J248/IF(CH248&gt;0,CH248,MAX(0.1,N(Cockpit!$O$6)))-CL248)),0)</f>
        <v>335</v>
      </c>
      <c r="BH248" s="63" t="n">
        <f aca="false">IF(BD248&gt;0,J248/BD248,-1)</f>
        <v>50.3225806451613</v>
      </c>
      <c r="BI248" s="63" t="n">
        <f aca="false">IF(AND(OR(CG248="L1",CG248="L23",CG248="LIFT"),BD248&gt;0),SUMIFS($BD$7:$BD$1843,$CG$7:$CG$1843,CG248,$BH$7:$BH$1843,"&gt;"&amp;BH248)+SUMIFS($BD$7:$BD$1843,$CG$7:$CG$1843,CG248,$BH$7:$BH$1843,BH248,$BX$7:$BX$1843,"&lt;="&amp;BX248),"")</f>
        <v>1208.11538461538</v>
      </c>
      <c r="BJ248" s="70" t="n">
        <f aca="false">IF(BI248="",0,MAX(0,MIN(1,(IF(CG248="L1",Parameter!$H$5,IF(CG248="L23",Parameter!$H$6+Parameter!$H$7,Parameter!$H$5+Parameter!$H$6+Parameter!$H$7))-(BI248-BD248))/BD248)))</f>
        <v>1</v>
      </c>
      <c r="BK248" s="60" t="str">
        <f aca="false">IF(AJ248&lt;=0,"",IF(CG248="Aussen","Aussenlager",IF(CG248="-","Nicht im Lift",IF(AP248&gt;=1,"Lift",IF(AP248&lt;=0,"Aussenlager","teilweise")))))</f>
        <v>Lift</v>
      </c>
      <c r="BL248" s="60" t="str">
        <f aca="false">IF(AT248&lt;=0,"",IF(CG248="Aussen","Aussenlager",IF(CG248="-","Nicht im Lift",IF(AZ248&gt;=1,"Lift",IF(AZ248&lt;=0,"Aussenlager","teilweise")))))</f>
        <v>Lift</v>
      </c>
      <c r="BM248" s="60" t="str">
        <f aca="false">IF(BD248&lt;=0,"",IF(CG248="Aussen","Aussenlager",IF(CG248="-","Nicht im Lift",IF(BJ248&gt;=1,"Lift",IF(BJ248&lt;=0,"Aussenlager","teilweise")))))</f>
        <v>Lift</v>
      </c>
      <c r="BN248" s="60" t="str">
        <f aca="false">IF(A248="","",IF(BW248=1,"Neu; ","")&amp;IF(AND(BW248=0,BR248&lt;0),"negativer Bestand (Export "&amp;BR248&amp;"); ","")&amp;IF(J248&lt;=0,"Kein Verbrauch; ","")&amp;IF(CR248&gt;0,"Lift "&amp;W248&amp;" lt. Liftbericht (Fach "&amp;X248&amp;" Stk); ",IF(CB248=1,"Gebinde geschätzt ("&amp;T248&amp;"); ",IF(CA248=1,"Lose – Tablare geschätzt; ","")))&amp;IF(H248&gt;AW248,"Überbestand "&amp;ROUND(H248-AW248,0)&amp;" Stk / CHF "&amp;ROUND((H248-AW248)*G248,0)&amp;"; ","")&amp;IF(AND(CI248=1,CJ248&lt;CK248),"MAX &lt; MB+LG; ","")&amp;IF(AND(CQ248&gt;0,CP248*10&gt;CQ248),"zu hoch für Tablar; ","")&amp;IF(AND(BW248=0,OR(CI248=1,AB248&lt;&gt;"",U248&lt;&gt;"",V248&lt;&gt;"",AC248&lt;&gt;"")),"manuell übersteuert; ","")&amp;IF(AND(CA248=0,R248=0),"Gebinde unbekannt / Stellmass fehlt; ","")&amp;IF(AND(CA248=0,N(V248)&lt;=0,N(Q248)&lt;=0),"Menge pro Gebinde fehlt (Ist = 1 Gebinde); ","")&amp;BV248)</f>
        <v>Überbestand 2 Stk / CHF 6; nicht im KTL vorhanden</v>
      </c>
      <c r="BO248" s="60"/>
      <c r="BP248" s="60"/>
      <c r="BQ248" s="67"/>
      <c r="BR248" s="62" t="n">
        <v>184</v>
      </c>
      <c r="BS248" s="62" t="n">
        <v>153</v>
      </c>
      <c r="BT248" s="61" t="n">
        <v>517.66</v>
      </c>
      <c r="BU248" s="62" t="n">
        <v>300</v>
      </c>
      <c r="BV248" s="60" t="s">
        <v>272</v>
      </c>
      <c r="BW248" s="65" t="n">
        <v>0</v>
      </c>
      <c r="BX248" s="65" t="n">
        <v>248</v>
      </c>
      <c r="BY248" s="60" t="str">
        <f aca="false">IF(U248&lt;&gt;"",UPPER(TRIM(U248)),IF(CB248=1,UPPER(VLOOKUP(T248,Parameter!$I$27:$K$29,2,0)),IF(P248="","LOSE",P248)))</f>
        <v>S33</v>
      </c>
      <c r="BZ248" s="62" t="n">
        <f aca="false">IF(BY248="LOSE",1,IF(N(V248)&gt;0,V248,IF(CB248=1,MAX(1,N(VLOOKUP(T248,Parameter!$I$27:$K$29,3,0)),H248,N(N248)),IF(N(Q248)&gt;0,Q248,MAX(1,H248)))))</f>
        <v>150</v>
      </c>
      <c r="CA248" s="65" t="n">
        <f aca="false">IF(BY248="LOSE",1,0)</f>
        <v>0</v>
      </c>
      <c r="CB248" s="65" t="n">
        <f aca="false">IF(AND(U248="",OR(P248="",P248="LOSE"),T248&lt;&gt;"",N(S248)&lt;=0,ISNUMBER(MATCH(T248,Parameter!$I$27:$I$29,0))),1,0)</f>
        <v>0</v>
      </c>
      <c r="CC248" s="65" t="n">
        <f aca="false">IF(CR248&gt;0,INDEX(Parameter!$H$5:$H$7,W248)/INDEX(Parameter!$E$5:$E$7,W248),IF(AND(CA248=0,N(IFERROR(VLOOKUP(BY248,'Gebinde-Kategorie'!$A$5:$N$45,14,0),0))&gt;0),VLOOKUP(BY248,'Gebinde-Kategorie'!$A$5:$N$45,14,0)*10+Parameter!$M$23,Parameter!$M$24))</f>
        <v>155</v>
      </c>
      <c r="CD248" s="60" t="str">
        <f aca="false">IF(AND(Parameter!$B$19="Ja",E248&lt;&gt;"",ISNUMBER(MATCH(E248,Parameter!$I$35:$I$52,0))),VLOOKUP(E248,Parameter!$I$35:$J$52,2,0),IFERROR(VLOOKUP(D248,Parameter!$A$35:$C$64,2,0),"Nein"))</f>
        <v>2+3</v>
      </c>
      <c r="CE248" s="64" t="n">
        <f aca="false">IF(CA248=0,0,IF(N(S248)&gt;0,S248,IFERROR(VLOOKUP(D248,Parameter!$A$35:$C$64,3,0)+0,0)))</f>
        <v>0</v>
      </c>
      <c r="CF248" s="60" t="n">
        <f aca="false">IF(AB248&lt;&gt;"",AB248,AA248)</f>
        <v>3</v>
      </c>
      <c r="CG248" s="60" t="str">
        <f aca="false">IF(OR(CF248=1,CF248=2,CF248=3),IF(Parameter!$E$27="Ja","LIFT",IF(CF248=1,"L1","L23")),IF(CF248="Aussen","Aussen","-"))</f>
        <v>LIFT</v>
      </c>
      <c r="CH248" s="71" t="n">
        <f aca="false">IF(N(AC248)&gt;0,AC248,0)</f>
        <v>0</v>
      </c>
      <c r="CI248" s="65" t="n">
        <f aca="false">IF(ISNUMBER(AF248),1,0)</f>
        <v>0</v>
      </c>
      <c r="CJ248" s="62" t="n">
        <f aca="false">N(AF248)</f>
        <v>0</v>
      </c>
      <c r="CK248" s="62" t="n">
        <f aca="false">N(M248)+N(N248)</f>
        <v>335</v>
      </c>
      <c r="CL248" s="62" t="n">
        <f aca="false">N(M248)</f>
        <v>35</v>
      </c>
      <c r="CM248" s="62" t="n">
        <f aca="false">N(N248)</f>
        <v>300</v>
      </c>
      <c r="CN248" s="62" t="n">
        <f aca="false">ROUNDUP(H248/BZ248,0)</f>
        <v>3</v>
      </c>
      <c r="CO248" s="62" t="n">
        <f aca="false">ROUNDUP(CJ248/BZ248,0)</f>
        <v>0</v>
      </c>
      <c r="CP248" s="65" t="n">
        <f aca="false">IF(CA248=1,0,IFERROR(VLOOKUP(BY248,'Gebinde-Kategorie'!$A$5:$N$45,5,0)+0,0))</f>
        <v>8</v>
      </c>
      <c r="CQ248" s="65" t="n">
        <f aca="false">IFERROR(IF(OR(CF248=1,CF248=2,CF248=3),N(INDEX(Parameter!$I$5:$I$7,CF248)),0),0)</f>
        <v>0</v>
      </c>
      <c r="CR248" s="64" t="n">
        <f aca="false">IF(AND(Parameter!$B$21="Ja",ISNUMBER(W248),N(X248)&gt;0),IFERROR(N(INDEX(Parameter!$L$5:$L$7,W248))*INDEX(Parameter!$E$5:$E$7,W248)*X248/SUMIFS($X$7:$X$1843,$W$7:$W$1843,W248),0),0)</f>
        <v>0</v>
      </c>
      <c r="CS248" s="62" t="n">
        <f aca="false">IF(AND(OR(CG248="L1",CG248="L23",CG248="LIFT"),H248&gt;0),CC248*IF(CR248&gt;0,CR248*MAX(1,H248/X248),IF(CA248=1,CE248,IF(R248&gt;0,CN248/R248,0))/MAX(0.1,N(Parameter!$M$21))),"")</f>
        <v>8.94230769230769</v>
      </c>
      <c r="CT248" s="64" t="n">
        <f aca="false">IF(CS248="","",J248/H248)</f>
        <v>0.890207715133531</v>
      </c>
      <c r="CU248" s="62" t="n">
        <f aca="false">IF(CS248="","",H248*G248)</f>
        <v>953.71</v>
      </c>
      <c r="CV248" s="63" t="n">
        <f aca="false">IF(CS248="","",(CL248+ROUNDUP(CL248+MAX(CM248,2*(J248/MAX(0.1,N(Einkauf!$C$6))-CL248)),0))/2)</f>
        <v>185</v>
      </c>
      <c r="CW248" s="62" t="n">
        <f aca="false">IF(CS248="","",MAX(0,H248-CV248)*G248)</f>
        <v>430.16</v>
      </c>
      <c r="CX248" s="62" t="n">
        <f aca="false">IF(CS248="","",CS248*MAX(0,1-CV248/H248))</f>
        <v>4.03332572472039</v>
      </c>
      <c r="CY248" s="64" t="n">
        <f aca="false">IF(CS248="","",PERCENTRANK($CS$7:$CS$1843,CS248)+PERCENTRANK($CU$7:$CU$1843,CU248)+1-PERCENTRANK($CT$7:$CT$1843,CT248))</f>
        <v>1.593</v>
      </c>
      <c r="CZ248" s="72" t="n">
        <f aca="false">IF(CS248="","",CHOOSE(MATCH(Einkauf!$C$5,Parameter!$G$23:$G$27,0),CY248,CS248,CU248,-CT248,CW248)+ROW()/1000000000)</f>
        <v>1.593000248</v>
      </c>
    </row>
    <row r="249" customFormat="false" ht="15" hidden="false" customHeight="false" outlineLevel="0" collapsed="false">
      <c r="A249" s="60" t="s">
        <v>724</v>
      </c>
      <c r="B249" s="60" t="s">
        <v>465</v>
      </c>
      <c r="C249" s="60" t="s">
        <v>206</v>
      </c>
      <c r="D249" s="60" t="s">
        <v>215</v>
      </c>
      <c r="E249" s="60" t="s">
        <v>215</v>
      </c>
      <c r="F249" s="60" t="s">
        <v>260</v>
      </c>
      <c r="G249" s="61" t="n">
        <v>126.31</v>
      </c>
      <c r="H249" s="62" t="n">
        <f aca="false">MAX(0,IF(AND(Parameter!$B$21="Ja",ISNUMBER(Y249)),Y249,IF(Parameter!$B$20="Jahresanfang 2025 + Export",BS249+BR249,BR249)))</f>
        <v>13</v>
      </c>
      <c r="I249" s="62" t="n">
        <f aca="false">H249*G249</f>
        <v>1642.03</v>
      </c>
      <c r="J249" s="62" t="n">
        <f aca="false">BU249*Parameter!$B$18</f>
        <v>43</v>
      </c>
      <c r="K249" s="63" t="n">
        <v>12.5</v>
      </c>
      <c r="L249" s="64" t="n">
        <v>3.44</v>
      </c>
      <c r="M249" s="62" t="n">
        <v>2</v>
      </c>
      <c r="N249" s="62" t="n">
        <v>6</v>
      </c>
      <c r="O249" s="65" t="n">
        <v>21</v>
      </c>
      <c r="P249" s="60" t="s">
        <v>301</v>
      </c>
      <c r="Q249" s="62" t="n">
        <v>12</v>
      </c>
      <c r="R249" s="65" t="n">
        <f aca="false">IF(CA249=1,0,IFERROR(VLOOKUP(BY249,'Gebinde-Kategorie'!$A$5:$N$45,13,0)+0,0))</f>
        <v>6</v>
      </c>
      <c r="S249" s="66"/>
      <c r="T249" s="67"/>
      <c r="U249" s="67"/>
      <c r="V249" s="67"/>
      <c r="W249" s="60"/>
      <c r="X249" s="62"/>
      <c r="Y249" s="62"/>
      <c r="Z249" s="60"/>
      <c r="AA249" s="60" t="str">
        <f aca="false">IF(A249="","",IF(AND(Parameter!$B$21="Ja",ISNUMBER(W249)),W249,IF(AND(Parameter!$E$27="Ja",ISNUMBER(Z249),CD249&lt;&gt;"Nein"),Z249,IF(CD249="2+3",IF(ISNUMBER(SEARCH("grosser Artikel",BV249)),2,IFERROR(VLOOKUP(BY249,Parameter!$F$35:$G$64,2,0),2)),IF(OR(CD249="Nein",CD249=""),"-",CD249)))))</f>
        <v>-</v>
      </c>
      <c r="AB249" s="67"/>
      <c r="AC249" s="68"/>
      <c r="AD249" s="62" t="n">
        <f aca="false">AW249</f>
        <v>27</v>
      </c>
      <c r="AE249" s="62" t="n">
        <f aca="false">MAX(AW249,H249)</f>
        <v>27</v>
      </c>
      <c r="AF249" s="69"/>
      <c r="AG249" s="62" t="n">
        <f aca="false">IF(LEFT(Cockpit!$C$5,1)="A",H249,IF(Parameter!$E$30="MAX-Bestand",IF(CI249=1,CJ249,IF(LEFT(Cockpit!$C$5,1)="B",AM249,MAX(AM249,H249))),ROUNDUP(AK249,0)))</f>
        <v>13</v>
      </c>
      <c r="AH249" s="62" t="n">
        <f aca="false">IF(CA249=1,0,ROUNDUP(AG249/BZ249,0))</f>
        <v>2</v>
      </c>
      <c r="AI249" s="64" t="n">
        <f aca="false">IF(CR249&gt;0,CR249*MAX(1,AG249/X249),IF(CA249=1,IF(AG249&lt;=0,0,CE249*MAX(1,IF(H249&gt;0,AG249/H249,1))),IF(R249&gt;0,AH249/R249,0))/MAX(0.1,N(Parameter!$M$21)))</f>
        <v>0.333333333333333</v>
      </c>
      <c r="AJ249" s="62" t="n">
        <f aca="false">AI249*CC249</f>
        <v>145</v>
      </c>
      <c r="AK249" s="63" t="n">
        <f aca="false">IF(LEFT(Cockpit!$C$5,1)="A",H249,IF(CI249=1,(CL249+CJ249)/2,IF(LEFT(Cockpit!$C$5,1)="B",(CL249+AM249)/2,MAX((CL249+AM249)/2,H249))))</f>
        <v>13</v>
      </c>
      <c r="AL249" s="62" t="n">
        <f aca="false">AK249*G249</f>
        <v>1642.03</v>
      </c>
      <c r="AM249" s="62" t="n">
        <f aca="false">ROUNDUP(CL249+MAX(CM249,2*(J249/IF(CH249&gt;0,CH249,MAX(0.1,N(Cockpit!$C$6)))-CL249)),0)</f>
        <v>27</v>
      </c>
      <c r="AN249" s="63" t="n">
        <f aca="false">IF(AJ249&gt;0,J249/AJ249,-1)</f>
        <v>0.296551724137931</v>
      </c>
      <c r="AO249" s="63" t="str">
        <f aca="false">IF(AND(OR(CG249="L1",CG249="L23",CG249="LIFT"),AJ249&gt;0),SUMIFS($AJ$7:$AJ$1843,$CG$7:$CG$1843,CG249,$AN$7:$AN$1843,"&gt;"&amp;AN249)+SUMIFS($AJ$7:$AJ$1843,$CG$7:$CG$1843,CG249,$AN$7:$AN$1843,AN249,$BX$7:$BX$1843,"&lt;="&amp;BX249),"")</f>
        <v/>
      </c>
      <c r="AP249" s="70" t="n">
        <f aca="false">IF(AO249="",0,MAX(0,MIN(1,(IF(CG249="L1",Parameter!$H$5,IF(CG249="L23",Parameter!$H$6+Parameter!$H$7,Parameter!$H$5+Parameter!$H$6+Parameter!$H$7))-(AO249-AJ249))/AJ249)))</f>
        <v>0</v>
      </c>
      <c r="AQ249" s="62" t="n">
        <f aca="false">IF(LEFT(Cockpit!$I$5,1)="A",H249,IF(Parameter!$E$30="MAX-Bestand",IF(CI249=1,CJ249,IF(LEFT(Cockpit!$I$5,1)="B",AW249,MAX(AW249,H249))),ROUNDUP(AU249,0)))</f>
        <v>15</v>
      </c>
      <c r="AR249" s="62" t="n">
        <f aca="false">IF(CA249=1,0,ROUNDUP(AQ249/BZ249,0))</f>
        <v>2</v>
      </c>
      <c r="AS249" s="64" t="n">
        <f aca="false">IF(CR249&gt;0,CR249*MAX(1,AQ249/X249),IF(CA249=1,IF(AQ249&lt;=0,0,CE249*MAX(1,IF(H249&gt;0,AQ249/H249,1))),IF(R249&gt;0,AR249/R249,0))/MAX(0.1,N(Parameter!$M$21)))</f>
        <v>0.333333333333333</v>
      </c>
      <c r="AT249" s="62" t="n">
        <f aca="false">AS249*CC249</f>
        <v>145</v>
      </c>
      <c r="AU249" s="63" t="n">
        <f aca="false">IF(LEFT(Cockpit!$I$5,1)="A",H249,IF(CI249=1,(CL249+CJ249)/2,IF(LEFT(Cockpit!$I$5,1)="B",(CL249+AW249)/2,MAX((CL249+AW249)/2,H249))))</f>
        <v>14.5</v>
      </c>
      <c r="AV249" s="62" t="n">
        <f aca="false">AU249*G249</f>
        <v>1831.495</v>
      </c>
      <c r="AW249" s="62" t="n">
        <f aca="false">ROUNDUP(CL249+MAX(CM249,2*(J249/IF(CH249&gt;0,CH249,MAX(0.1,N(Cockpit!$I$6)))-CL249)),0)</f>
        <v>27</v>
      </c>
      <c r="AX249" s="63" t="n">
        <f aca="false">IF(AT249&gt;0,J249/AT249,-1)</f>
        <v>0.296551724137931</v>
      </c>
      <c r="AY249" s="63" t="str">
        <f aca="false">IF(AND(OR(CG249="L1",CG249="L23",CG249="LIFT"),AT249&gt;0),SUMIFS($AT$7:$AT$1843,$CG$7:$CG$1843,CG249,$AX$7:$AX$1843,"&gt;"&amp;AX249)+SUMIFS($AT$7:$AT$1843,$CG$7:$CG$1843,CG249,$AX$7:$AX$1843,AX249,$BX$7:$BX$1843,"&lt;="&amp;BX249),"")</f>
        <v/>
      </c>
      <c r="AZ249" s="70" t="n">
        <f aca="false">IF(AY249="",0,MAX(0,MIN(1,(IF(CG249="L1",Parameter!$H$5,IF(CG249="L23",Parameter!$H$6+Parameter!$H$7,Parameter!$H$5+Parameter!$H$6+Parameter!$H$7))-(AY249-AT249))/AT249)))</f>
        <v>0</v>
      </c>
      <c r="BA249" s="62" t="n">
        <f aca="false">IF(LEFT(Cockpit!$O$5,1)="A",H249,IF(Parameter!$E$30="MAX-Bestand",IF(CI249=1,CJ249,IF(LEFT(Cockpit!$O$5,1)="B",BG249,MAX(BG249,H249))),ROUNDUP(BE249,0)))</f>
        <v>11</v>
      </c>
      <c r="BB249" s="62" t="n">
        <f aca="false">IF(CA249=1,0,ROUNDUP(BA249/BZ249,0))</f>
        <v>1</v>
      </c>
      <c r="BC249" s="64" t="n">
        <f aca="false">IF(CR249&gt;0,CR249*MAX(1,BA249/X249),IF(CA249=1,IF(BA249&lt;=0,0,CE249*MAX(1,IF(H249&gt;0,BA249/H249,1))),IF(R249&gt;0,BB249/R249,0))/MAX(0.1,N(Parameter!$M$21)))</f>
        <v>0.166666666666667</v>
      </c>
      <c r="BD249" s="62" t="n">
        <f aca="false">BC249*CC249</f>
        <v>72.5</v>
      </c>
      <c r="BE249" s="63" t="n">
        <f aca="false">IF(LEFT(Cockpit!$O$5,1)="A",H249,IF(CI249=1,(CL249+CJ249)/2,IF(LEFT(Cockpit!$O$5,1)="B",(CL249+BG249)/2,MAX((CL249+BG249)/2,H249))))</f>
        <v>11</v>
      </c>
      <c r="BF249" s="62" t="n">
        <f aca="false">BE249*G249</f>
        <v>1389.41</v>
      </c>
      <c r="BG249" s="62" t="n">
        <f aca="false">ROUNDUP(CL249+MAX(CM249,2*(J249/IF(CH249&gt;0,CH249,MAX(0.1,N(Cockpit!$O$6)))-CL249)),0)</f>
        <v>20</v>
      </c>
      <c r="BH249" s="63" t="n">
        <f aca="false">IF(BD249&gt;0,J249/BD249,-1)</f>
        <v>0.593103448275862</v>
      </c>
      <c r="BI249" s="63" t="str">
        <f aca="false">IF(AND(OR(CG249="L1",CG249="L23",CG249="LIFT"),BD249&gt;0),SUMIFS($BD$7:$BD$1843,$CG$7:$CG$1843,CG249,$BH$7:$BH$1843,"&gt;"&amp;BH249)+SUMIFS($BD$7:$BD$1843,$CG$7:$CG$1843,CG249,$BH$7:$BH$1843,BH249,$BX$7:$BX$1843,"&lt;="&amp;BX249),"")</f>
        <v/>
      </c>
      <c r="BJ249" s="70" t="n">
        <f aca="false">IF(BI249="",0,MAX(0,MIN(1,(IF(CG249="L1",Parameter!$H$5,IF(CG249="L23",Parameter!$H$6+Parameter!$H$7,Parameter!$H$5+Parameter!$H$6+Parameter!$H$7))-(BI249-BD249))/BD249)))</f>
        <v>0</v>
      </c>
      <c r="BK249" s="60" t="str">
        <f aca="false">IF(AJ249&lt;=0,"",IF(CG249="Aussen","Aussenlager",IF(CG249="-","Nicht im Lift",IF(AP249&gt;=1,"Lift",IF(AP249&lt;=0,"Aussenlager","teilweise")))))</f>
        <v>Nicht im Lift</v>
      </c>
      <c r="BL249" s="60" t="str">
        <f aca="false">IF(AT249&lt;=0,"",IF(CG249="Aussen","Aussenlager",IF(CG249="-","Nicht im Lift",IF(AZ249&gt;=1,"Lift",IF(AZ249&lt;=0,"Aussenlager","teilweise")))))</f>
        <v>Nicht im Lift</v>
      </c>
      <c r="BM249" s="60" t="str">
        <f aca="false">IF(BD249&lt;=0,"",IF(CG249="Aussen","Aussenlager",IF(CG249="-","Nicht im Lift",IF(BJ249&gt;=1,"Lift",IF(BJ249&lt;=0,"Aussenlager","teilweise")))))</f>
        <v>Nicht im Lift</v>
      </c>
      <c r="BN249" s="60" t="str">
        <f aca="false">IF(A249="","",IF(BW249=1,"Neu; ","")&amp;IF(AND(BW249=0,BR249&lt;0),"negativer Bestand (Export "&amp;BR249&amp;"); ","")&amp;IF(J249&lt;=0,"Kein Verbrauch; ","")&amp;IF(CR249&gt;0,"Lift "&amp;W249&amp;" lt. Liftbericht (Fach "&amp;X249&amp;" Stk); ",IF(CB249=1,"Gebinde geschätzt ("&amp;T249&amp;"); ",IF(CA249=1,"Lose – Tablare geschätzt; ","")))&amp;IF(H249&gt;AW249,"Überbestand "&amp;ROUND(H249-AW249,0)&amp;" Stk / CHF "&amp;ROUND((H249-AW249)*G249,0)&amp;"; ","")&amp;IF(AND(CI249=1,CJ249&lt;CK249),"MAX &lt; MB+LG; ","")&amp;IF(AND(CQ249&gt;0,CP249*10&gt;CQ249),"zu hoch für Tablar; ","")&amp;IF(AND(BW249=0,OR(CI249=1,AB249&lt;&gt;"",U249&lt;&gt;"",V249&lt;&gt;"",AC249&lt;&gt;"")),"manuell übersteuert; ","")&amp;IF(AND(CA249=0,R249=0),"Gebinde unbekannt / Stellmass fehlt; ","")&amp;IF(AND(CA249=0,N(V249)&lt;=0,N(Q249)&lt;=0),"Menge pro Gebinde fehlt (Ist = 1 Gebinde); ","")&amp;BV249)</f>
        <v/>
      </c>
      <c r="BO249" s="60"/>
      <c r="BP249" s="60"/>
      <c r="BQ249" s="67"/>
      <c r="BR249" s="62" t="n">
        <v>3</v>
      </c>
      <c r="BS249" s="62" t="n">
        <v>10</v>
      </c>
      <c r="BT249" s="61" t="n">
        <v>515.759999999998</v>
      </c>
      <c r="BU249" s="62" t="n">
        <v>43</v>
      </c>
      <c r="BV249" s="60"/>
      <c r="BW249" s="65" t="n">
        <v>0</v>
      </c>
      <c r="BX249" s="65" t="n">
        <v>249</v>
      </c>
      <c r="BY249" s="60" t="str">
        <f aca="false">IF(U249&lt;&gt;"",UPPER(TRIM(U249)),IF(CB249=1,UPPER(VLOOKUP(T249,Parameter!$I$27:$K$29,2,0)),IF(P249="","LOSE",P249)))</f>
        <v>S72</v>
      </c>
      <c r="BZ249" s="62" t="n">
        <f aca="false">IF(BY249="LOSE",1,IF(N(V249)&gt;0,V249,IF(CB249=1,MAX(1,N(VLOOKUP(T249,Parameter!$I$27:$K$29,3,0)),H249,N(N249)),IF(N(Q249)&gt;0,Q249,MAX(1,H249)))))</f>
        <v>12</v>
      </c>
      <c r="CA249" s="65" t="n">
        <f aca="false">IF(BY249="LOSE",1,0)</f>
        <v>0</v>
      </c>
      <c r="CB249" s="65" t="n">
        <f aca="false">IF(AND(U249="",OR(P249="",P249="LOSE"),T249&lt;&gt;"",N(S249)&lt;=0,ISNUMBER(MATCH(T249,Parameter!$I$27:$I$29,0))),1,0)</f>
        <v>0</v>
      </c>
      <c r="CC249" s="65" t="n">
        <f aca="false">IF(CR249&gt;0,INDEX(Parameter!$H$5:$H$7,W249)/INDEX(Parameter!$E$5:$E$7,W249),IF(AND(CA249=0,N(IFERROR(VLOOKUP(BY249,'Gebinde-Kategorie'!$A$5:$N$45,14,0),0))&gt;0),VLOOKUP(BY249,'Gebinde-Kategorie'!$A$5:$N$45,14,0)*10+Parameter!$M$23,Parameter!$M$24))</f>
        <v>435</v>
      </c>
      <c r="CD249" s="60" t="str">
        <f aca="false">IF(AND(Parameter!$B$19="Ja",E249&lt;&gt;"",ISNUMBER(MATCH(E249,Parameter!$I$35:$I$52,0))),VLOOKUP(E249,Parameter!$I$35:$J$52,2,0),IFERROR(VLOOKUP(D249,Parameter!$A$35:$C$64,2,0),"Nein"))</f>
        <v>Nein</v>
      </c>
      <c r="CE249" s="64" t="n">
        <f aca="false">IF(CA249=0,0,IF(N(S249)&gt;0,S249,IFERROR(VLOOKUP(D249,Parameter!$A$35:$C$64,3,0)+0,0)))</f>
        <v>0</v>
      </c>
      <c r="CF249" s="60" t="str">
        <f aca="false">IF(AB249&lt;&gt;"",AB249,AA249)</f>
        <v>-</v>
      </c>
      <c r="CG249" s="60" t="str">
        <f aca="false">IF(OR(CF249=1,CF249=2,CF249=3),IF(Parameter!$E$27="Ja","LIFT",IF(CF249=1,"L1","L23")),IF(CF249="Aussen","Aussen","-"))</f>
        <v>-</v>
      </c>
      <c r="CH249" s="71" t="n">
        <f aca="false">IF(N(AC249)&gt;0,AC249,0)</f>
        <v>0</v>
      </c>
      <c r="CI249" s="65" t="n">
        <f aca="false">IF(ISNUMBER(AF249),1,0)</f>
        <v>0</v>
      </c>
      <c r="CJ249" s="62" t="n">
        <f aca="false">N(AF249)</f>
        <v>0</v>
      </c>
      <c r="CK249" s="62" t="n">
        <f aca="false">N(M249)+N(N249)</f>
        <v>8</v>
      </c>
      <c r="CL249" s="62" t="n">
        <f aca="false">N(M249)</f>
        <v>2</v>
      </c>
      <c r="CM249" s="62" t="n">
        <f aca="false">N(N249)</f>
        <v>6</v>
      </c>
      <c r="CN249" s="62" t="n">
        <f aca="false">ROUNDUP(H249/BZ249,0)</f>
        <v>2</v>
      </c>
      <c r="CO249" s="62" t="n">
        <f aca="false">ROUNDUP(CJ249/BZ249,0)</f>
        <v>0</v>
      </c>
      <c r="CP249" s="65" t="n">
        <f aca="false">IF(CA249=1,0,IFERROR(VLOOKUP(BY249,'Gebinde-Kategorie'!$A$5:$N$45,5,0)+0,0))</f>
        <v>40</v>
      </c>
      <c r="CQ249" s="65" t="n">
        <f aca="false">IFERROR(IF(OR(CF249=1,CF249=2,CF249=3),N(INDEX(Parameter!$I$5:$I$7,CF249)),0),0)</f>
        <v>0</v>
      </c>
      <c r="CR249" s="64" t="n">
        <f aca="false">IF(AND(Parameter!$B$21="Ja",ISNUMBER(W249),N(X249)&gt;0),IFERROR(N(INDEX(Parameter!$L$5:$L$7,W249))*INDEX(Parameter!$E$5:$E$7,W249)*X249/SUMIFS($X$7:$X$1843,$W$7:$W$1843,W249),0),0)</f>
        <v>0</v>
      </c>
      <c r="CS249" s="62" t="str">
        <f aca="false">IF(AND(OR(CG249="L1",CG249="L23",CG249="LIFT"),H249&gt;0),CC249*IF(CR249&gt;0,CR249*MAX(1,H249/X249),IF(CA249=1,CE249,IF(R249&gt;0,CN249/R249,0))/MAX(0.1,N(Parameter!$M$21))),"")</f>
        <v/>
      </c>
      <c r="CT249" s="64" t="str">
        <f aca="false">IF(CS249="","",J249/H249)</f>
        <v/>
      </c>
      <c r="CU249" s="62" t="str">
        <f aca="false">IF(CS249="","",H249*G249)</f>
        <v/>
      </c>
      <c r="CV249" s="63" t="str">
        <f aca="false">IF(CS249="","",(CL249+ROUNDUP(CL249+MAX(CM249,2*(J249/MAX(0.1,N(Einkauf!$C$6))-CL249)),0))/2)</f>
        <v/>
      </c>
      <c r="CW249" s="62" t="str">
        <f aca="false">IF(CS249="","",MAX(0,H249-CV249)*G249)</f>
        <v/>
      </c>
      <c r="CX249" s="62" t="str">
        <f aca="false">IF(CS249="","",CS249*MAX(0,1-CV249/H249))</f>
        <v/>
      </c>
      <c r="CY249" s="64" t="str">
        <f aca="false">IF(CS249="","",PERCENTRANK($CS$7:$CS$1843,CS249)+PERCENTRANK($CU$7:$CU$1843,CU249)+1-PERCENTRANK($CT$7:$CT$1843,CT249))</f>
        <v/>
      </c>
      <c r="CZ249" s="72" t="str">
        <f aca="false">IF(CS249="","",CHOOSE(MATCH(Einkauf!$C$5,Parameter!$G$23:$G$27,0),CY249,CS249,CU249,-CT249,CW249)+ROW()/1000000000)</f>
        <v/>
      </c>
    </row>
    <row r="250" customFormat="false" ht="15" hidden="false" customHeight="false" outlineLevel="0" collapsed="false">
      <c r="A250" s="60" t="s">
        <v>725</v>
      </c>
      <c r="B250" s="60" t="s">
        <v>726</v>
      </c>
      <c r="C250" s="60" t="s">
        <v>206</v>
      </c>
      <c r="D250" s="60" t="s">
        <v>226</v>
      </c>
      <c r="E250" s="60" t="s">
        <v>227</v>
      </c>
      <c r="F250" s="60" t="s">
        <v>260</v>
      </c>
      <c r="G250" s="61" t="n">
        <v>1.23</v>
      </c>
      <c r="H250" s="62" t="n">
        <f aca="false">MAX(0,IF(AND(Parameter!$B$21="Ja",ISNUMBER(Y250)),Y250,IF(Parameter!$B$20="Jahresanfang 2025 + Export",BS250+BR250,BR250)))</f>
        <v>549</v>
      </c>
      <c r="I250" s="62" t="n">
        <f aca="false">H250*G250</f>
        <v>675.27</v>
      </c>
      <c r="J250" s="62" t="n">
        <f aca="false">BU250*Parameter!$B$18</f>
        <v>602</v>
      </c>
      <c r="K250" s="63" t="n">
        <v>211.5</v>
      </c>
      <c r="L250" s="64" t="n">
        <v>2.84633569739953</v>
      </c>
      <c r="M250" s="62" t="n">
        <v>35</v>
      </c>
      <c r="N250" s="62" t="n">
        <v>250</v>
      </c>
      <c r="O250" s="65" t="n">
        <v>21</v>
      </c>
      <c r="P250" s="60" t="s">
        <v>344</v>
      </c>
      <c r="Q250" s="62" t="n">
        <v>559</v>
      </c>
      <c r="R250" s="65" t="n">
        <f aca="false">IF(CA250=1,0,IFERROR(VLOOKUP(BY250,'Gebinde-Kategorie'!$A$5:$N$45,13,0)+0,0))</f>
        <v>26</v>
      </c>
      <c r="S250" s="66"/>
      <c r="T250" s="67"/>
      <c r="U250" s="67"/>
      <c r="V250" s="67"/>
      <c r="W250" s="60"/>
      <c r="X250" s="62"/>
      <c r="Y250" s="62"/>
      <c r="Z250" s="60" t="n">
        <v>3</v>
      </c>
      <c r="AA250" s="60" t="n">
        <f aca="false">IF(A250="","",IF(AND(Parameter!$B$21="Ja",ISNUMBER(W250)),W250,IF(AND(Parameter!$E$27="Ja",ISNUMBER(Z250),CD250&lt;&gt;"Nein"),Z250,IF(CD250="2+3",IF(ISNUMBER(SEARCH("grosser Artikel",BV250)),2,IFERROR(VLOOKUP(BY250,Parameter!$F$35:$G$64,2,0),2)),IF(OR(CD250="Nein",CD250=""),"-",CD250)))))</f>
        <v>3</v>
      </c>
      <c r="AB250" s="67"/>
      <c r="AC250" s="68"/>
      <c r="AD250" s="62" t="n">
        <f aca="false">AW250</f>
        <v>367</v>
      </c>
      <c r="AE250" s="62" t="n">
        <f aca="false">MAX(AW250,H250)</f>
        <v>549</v>
      </c>
      <c r="AF250" s="69"/>
      <c r="AG250" s="62" t="n">
        <f aca="false">IF(LEFT(Cockpit!$C$5,1)="A",H250,IF(Parameter!$E$30="MAX-Bestand",IF(CI250=1,CJ250,IF(LEFT(Cockpit!$C$5,1)="B",AM250,MAX(AM250,H250))),ROUNDUP(AK250,0)))</f>
        <v>549</v>
      </c>
      <c r="AH250" s="62" t="n">
        <f aca="false">IF(CA250=1,0,ROUNDUP(AG250/BZ250,0))</f>
        <v>1</v>
      </c>
      <c r="AI250" s="64" t="n">
        <f aca="false">IF(CR250&gt;0,CR250*MAX(1,AG250/X250),IF(CA250=1,IF(AG250&lt;=0,0,CE250*MAX(1,IF(H250&gt;0,AG250/H250,1))),IF(R250&gt;0,AH250/R250,0))/MAX(0.1,N(Parameter!$M$21)))</f>
        <v>0.0384615384615385</v>
      </c>
      <c r="AJ250" s="62" t="n">
        <f aca="false">AI250*CC250</f>
        <v>5.96153846153846</v>
      </c>
      <c r="AK250" s="63" t="n">
        <f aca="false">IF(LEFT(Cockpit!$C$5,1)="A",H250,IF(CI250=1,(CL250+CJ250)/2,IF(LEFT(Cockpit!$C$5,1)="B",(CL250+AM250)/2,MAX((CL250+AM250)/2,H250))))</f>
        <v>549</v>
      </c>
      <c r="AL250" s="62" t="n">
        <f aca="false">AK250*G250</f>
        <v>675.27</v>
      </c>
      <c r="AM250" s="62" t="n">
        <f aca="false">ROUNDUP(CL250+MAX(CM250,2*(J250/IF(CH250&gt;0,CH250,MAX(0.1,N(Cockpit!$C$6)))-CL250)),0)</f>
        <v>367</v>
      </c>
      <c r="AN250" s="63" t="n">
        <f aca="false">IF(AJ250&gt;0,J250/AJ250,-1)</f>
        <v>100.98064516129</v>
      </c>
      <c r="AO250" s="63" t="n">
        <f aca="false">IF(AND(OR(CG250="L1",CG250="L23",CG250="LIFT"),AJ250&gt;0),SUMIFS($AJ$7:$AJ$1843,$CG$7:$CG$1843,CG250,$AN$7:$AN$1843,"&gt;"&amp;AN250)+SUMIFS($AJ$7:$AJ$1843,$CG$7:$CG$1843,CG250,$AN$7:$AN$1843,AN250,$BX$7:$BX$1843,"&lt;="&amp;BX250),"")</f>
        <v>764.44184981685</v>
      </c>
      <c r="AP250" s="70" t="n">
        <f aca="false">IF(AO250="",0,MAX(0,MIN(1,(IF(CG250="L1",Parameter!$H$5,IF(CG250="L23",Parameter!$H$6+Parameter!$H$7,Parameter!$H$5+Parameter!$H$6+Parameter!$H$7))-(AO250-AJ250))/AJ250)))</f>
        <v>1</v>
      </c>
      <c r="AQ250" s="62" t="n">
        <f aca="false">IF(LEFT(Cockpit!$I$5,1)="A",H250,IF(Parameter!$E$30="MAX-Bestand",IF(CI250=1,CJ250,IF(LEFT(Cockpit!$I$5,1)="B",AW250,MAX(AW250,H250))),ROUNDUP(AU250,0)))</f>
        <v>549</v>
      </c>
      <c r="AR250" s="62" t="n">
        <f aca="false">IF(CA250=1,0,ROUNDUP(AQ250/BZ250,0))</f>
        <v>1</v>
      </c>
      <c r="AS250" s="64" t="n">
        <f aca="false">IF(CR250&gt;0,CR250*MAX(1,AQ250/X250),IF(CA250=1,IF(AQ250&lt;=0,0,CE250*MAX(1,IF(H250&gt;0,AQ250/H250,1))),IF(R250&gt;0,AR250/R250,0))/MAX(0.1,N(Parameter!$M$21)))</f>
        <v>0.0384615384615385</v>
      </c>
      <c r="AT250" s="62" t="n">
        <f aca="false">AS250*CC250</f>
        <v>5.96153846153846</v>
      </c>
      <c r="AU250" s="63" t="n">
        <f aca="false">IF(LEFT(Cockpit!$I$5,1)="A",H250,IF(CI250=1,(CL250+CJ250)/2,IF(LEFT(Cockpit!$I$5,1)="B",(CL250+AW250)/2,MAX((CL250+AW250)/2,H250))))</f>
        <v>549</v>
      </c>
      <c r="AV250" s="62" t="n">
        <f aca="false">AU250*G250</f>
        <v>675.27</v>
      </c>
      <c r="AW250" s="62" t="n">
        <f aca="false">ROUNDUP(CL250+MAX(CM250,2*(J250/IF(CH250&gt;0,CH250,MAX(0.1,N(Cockpit!$I$6)))-CL250)),0)</f>
        <v>367</v>
      </c>
      <c r="AX250" s="63" t="n">
        <f aca="false">IF(AT250&gt;0,J250/AT250,-1)</f>
        <v>100.98064516129</v>
      </c>
      <c r="AY250" s="63" t="n">
        <f aca="false">IF(AND(OR(CG250="L1",CG250="L23",CG250="LIFT"),AT250&gt;0),SUMIFS($AT$7:$AT$1843,$CG$7:$CG$1843,CG250,$AX$7:$AX$1843,"&gt;"&amp;AX250)+SUMIFS($AT$7:$AT$1843,$CG$7:$CG$1843,CG250,$AX$7:$AX$1843,AX250,$BX$7:$BX$1843,"&lt;="&amp;BX250),"")</f>
        <v>839.164835164835</v>
      </c>
      <c r="AZ250" s="70" t="n">
        <f aca="false">IF(AY250="",0,MAX(0,MIN(1,(IF(CG250="L1",Parameter!$H$5,IF(CG250="L23",Parameter!$H$6+Parameter!$H$7,Parameter!$H$5+Parameter!$H$6+Parameter!$H$7))-(AY250-AT250))/AT250)))</f>
        <v>1</v>
      </c>
      <c r="BA250" s="62" t="n">
        <f aca="false">IF(LEFT(Cockpit!$O$5,1)="A",H250,IF(Parameter!$E$30="MAX-Bestand",IF(CI250=1,CJ250,IF(LEFT(Cockpit!$O$5,1)="B",BG250,MAX(BG250,H250))),ROUNDUP(BE250,0)))</f>
        <v>160</v>
      </c>
      <c r="BB250" s="62" t="n">
        <f aca="false">IF(CA250=1,0,ROUNDUP(BA250/BZ250,0))</f>
        <v>1</v>
      </c>
      <c r="BC250" s="64" t="n">
        <f aca="false">IF(CR250&gt;0,CR250*MAX(1,BA250/X250),IF(CA250=1,IF(BA250&lt;=0,0,CE250*MAX(1,IF(H250&gt;0,BA250/H250,1))),IF(R250&gt;0,BB250/R250,0))/MAX(0.1,N(Parameter!$M$21)))</f>
        <v>0.0384615384615385</v>
      </c>
      <c r="BD250" s="62" t="n">
        <f aca="false">BC250*CC250</f>
        <v>5.96153846153846</v>
      </c>
      <c r="BE250" s="63" t="n">
        <f aca="false">IF(LEFT(Cockpit!$O$5,1)="A",H250,IF(CI250=1,(CL250+CJ250)/2,IF(LEFT(Cockpit!$O$5,1)="B",(CL250+BG250)/2,MAX((CL250+BG250)/2,H250))))</f>
        <v>160</v>
      </c>
      <c r="BF250" s="62" t="n">
        <f aca="false">BE250*G250</f>
        <v>196.8</v>
      </c>
      <c r="BG250" s="62" t="n">
        <f aca="false">ROUNDUP(CL250+MAX(CM250,2*(J250/IF(CH250&gt;0,CH250,MAX(0.1,N(Cockpit!$O$6)))-CL250)),0)</f>
        <v>285</v>
      </c>
      <c r="BH250" s="63" t="n">
        <f aca="false">IF(BD250&gt;0,J250/BD250,-1)</f>
        <v>100.98064516129</v>
      </c>
      <c r="BI250" s="63" t="n">
        <f aca="false">IF(AND(OR(CG250="L1",CG250="L23",CG250="LIFT"),BD250&gt;0),SUMIFS($BD$7:$BD$1843,$CG$7:$CG$1843,CG250,$BH$7:$BH$1843,"&gt;"&amp;BH250)+SUMIFS($BD$7:$BD$1843,$CG$7:$CG$1843,CG250,$BH$7:$BH$1843,BH250,$BX$7:$BX$1843,"&lt;="&amp;BX250),"")</f>
        <v>908.905677655678</v>
      </c>
      <c r="BJ250" s="70" t="n">
        <f aca="false">IF(BI250="",0,MAX(0,MIN(1,(IF(CG250="L1",Parameter!$H$5,IF(CG250="L23",Parameter!$H$6+Parameter!$H$7,Parameter!$H$5+Parameter!$H$6+Parameter!$H$7))-(BI250-BD250))/BD250)))</f>
        <v>1</v>
      </c>
      <c r="BK250" s="60" t="str">
        <f aca="false">IF(AJ250&lt;=0,"",IF(CG250="Aussen","Aussenlager",IF(CG250="-","Nicht im Lift",IF(AP250&gt;=1,"Lift",IF(AP250&lt;=0,"Aussenlager","teilweise")))))</f>
        <v>Lift</v>
      </c>
      <c r="BL250" s="60" t="str">
        <f aca="false">IF(AT250&lt;=0,"",IF(CG250="Aussen","Aussenlager",IF(CG250="-","Nicht im Lift",IF(AZ250&gt;=1,"Lift",IF(AZ250&lt;=0,"Aussenlager","teilweise")))))</f>
        <v>Lift</v>
      </c>
      <c r="BM250" s="60" t="str">
        <f aca="false">IF(BD250&lt;=0,"",IF(CG250="Aussen","Aussenlager",IF(CG250="-","Nicht im Lift",IF(BJ250&gt;=1,"Lift",IF(BJ250&lt;=0,"Aussenlager","teilweise")))))</f>
        <v>Lift</v>
      </c>
      <c r="BN250" s="60" t="str">
        <f aca="false">IF(A250="","",IF(BW250=1,"Neu; ","")&amp;IF(AND(BW250=0,BR250&lt;0),"negativer Bestand (Export "&amp;BR250&amp;"); ","")&amp;IF(J250&lt;=0,"Kein Verbrauch; ","")&amp;IF(CR250&gt;0,"Lift "&amp;W250&amp;" lt. Liftbericht (Fach "&amp;X250&amp;" Stk); ",IF(CB250=1,"Gebinde geschätzt ("&amp;T250&amp;"); ",IF(CA250=1,"Lose – Tablare geschätzt; ","")))&amp;IF(H250&gt;AW250,"Überbestand "&amp;ROUND(H250-AW250,0)&amp;" Stk / CHF "&amp;ROUND((H250-AW250)*G250,0)&amp;"; ","")&amp;IF(AND(CI250=1,CJ250&lt;CK250),"MAX &lt; MB+LG; ","")&amp;IF(AND(CQ250&gt;0,CP250*10&gt;CQ250),"zu hoch für Tablar; ","")&amp;IF(AND(BW250=0,OR(CI250=1,AB250&lt;&gt;"",U250&lt;&gt;"",V250&lt;&gt;"",AC250&lt;&gt;"")),"manuell übersteuert; ","")&amp;IF(AND(CA250=0,R250=0),"Gebinde unbekannt / Stellmass fehlt; ","")&amp;IF(AND(CA250=0,N(V250)&lt;=0,N(Q250)&lt;=0),"Menge pro Gebinde fehlt (Ist = 1 Gebinde); ","")&amp;BV250)</f>
        <v>Überbestand 182 Stk / CHF 224; </v>
      </c>
      <c r="BO250" s="60"/>
      <c r="BP250" s="60"/>
      <c r="BQ250" s="67"/>
      <c r="BR250" s="62" t="n">
        <v>380</v>
      </c>
      <c r="BS250" s="62" t="n">
        <v>169</v>
      </c>
      <c r="BT250" s="61" t="n">
        <v>495.66</v>
      </c>
      <c r="BU250" s="62" t="n">
        <v>602</v>
      </c>
      <c r="BV250" s="60"/>
      <c r="BW250" s="65" t="n">
        <v>0</v>
      </c>
      <c r="BX250" s="65" t="n">
        <v>250</v>
      </c>
      <c r="BY250" s="60" t="str">
        <f aca="false">IF(U250&lt;&gt;"",UPPER(TRIM(U250)),IF(CB250=1,UPPER(VLOOKUP(T250,Parameter!$I$27:$K$29,2,0)),IF(P250="","LOSE",P250)))</f>
        <v>S51</v>
      </c>
      <c r="BZ250" s="62" t="n">
        <f aca="false">IF(BY250="LOSE",1,IF(N(V250)&gt;0,V250,IF(CB250=1,MAX(1,N(VLOOKUP(T250,Parameter!$I$27:$K$29,3,0)),H250,N(N250)),IF(N(Q250)&gt;0,Q250,MAX(1,H250)))))</f>
        <v>559</v>
      </c>
      <c r="CA250" s="65" t="n">
        <f aca="false">IF(BY250="LOSE",1,0)</f>
        <v>0</v>
      </c>
      <c r="CB250" s="65" t="n">
        <f aca="false">IF(AND(U250="",OR(P250="",P250="LOSE"),T250&lt;&gt;"",N(S250)&lt;=0,ISNUMBER(MATCH(T250,Parameter!$I$27:$I$29,0))),1,0)</f>
        <v>0</v>
      </c>
      <c r="CC250" s="65" t="n">
        <f aca="false">IF(CR250&gt;0,INDEX(Parameter!$H$5:$H$7,W250)/INDEX(Parameter!$E$5:$E$7,W250),IF(AND(CA250=0,N(IFERROR(VLOOKUP(BY250,'Gebinde-Kategorie'!$A$5:$N$45,14,0),0))&gt;0),VLOOKUP(BY250,'Gebinde-Kategorie'!$A$5:$N$45,14,0)*10+Parameter!$M$23,Parameter!$M$24))</f>
        <v>155</v>
      </c>
      <c r="CD250" s="60" t="str">
        <f aca="false">IF(AND(Parameter!$B$19="Ja",E250&lt;&gt;"",ISNUMBER(MATCH(E250,Parameter!$I$35:$I$52,0))),VLOOKUP(E250,Parameter!$I$35:$J$52,2,0),IFERROR(VLOOKUP(D250,Parameter!$A$35:$C$64,2,0),"Nein"))</f>
        <v>2+3</v>
      </c>
      <c r="CE250" s="64" t="n">
        <f aca="false">IF(CA250=0,0,IF(N(S250)&gt;0,S250,IFERROR(VLOOKUP(D250,Parameter!$A$35:$C$64,3,0)+0,0)))</f>
        <v>0</v>
      </c>
      <c r="CF250" s="60" t="n">
        <f aca="false">IF(AB250&lt;&gt;"",AB250,AA250)</f>
        <v>3</v>
      </c>
      <c r="CG250" s="60" t="str">
        <f aca="false">IF(OR(CF250=1,CF250=2,CF250=3),IF(Parameter!$E$27="Ja","LIFT",IF(CF250=1,"L1","L23")),IF(CF250="Aussen","Aussen","-"))</f>
        <v>LIFT</v>
      </c>
      <c r="CH250" s="71" t="n">
        <f aca="false">IF(N(AC250)&gt;0,AC250,0)</f>
        <v>0</v>
      </c>
      <c r="CI250" s="65" t="n">
        <f aca="false">IF(ISNUMBER(AF250),1,0)</f>
        <v>0</v>
      </c>
      <c r="CJ250" s="62" t="n">
        <f aca="false">N(AF250)</f>
        <v>0</v>
      </c>
      <c r="CK250" s="62" t="n">
        <f aca="false">N(M250)+N(N250)</f>
        <v>285</v>
      </c>
      <c r="CL250" s="62" t="n">
        <f aca="false">N(M250)</f>
        <v>35</v>
      </c>
      <c r="CM250" s="62" t="n">
        <f aca="false">N(N250)</f>
        <v>250</v>
      </c>
      <c r="CN250" s="62" t="n">
        <f aca="false">ROUNDUP(H250/BZ250,0)</f>
        <v>1</v>
      </c>
      <c r="CO250" s="62" t="n">
        <f aca="false">ROUNDUP(CJ250/BZ250,0)</f>
        <v>0</v>
      </c>
      <c r="CP250" s="65" t="n">
        <f aca="false">IF(CA250=1,0,IFERROR(VLOOKUP(BY250,'Gebinde-Kategorie'!$A$5:$N$45,5,0)+0,0))</f>
        <v>11</v>
      </c>
      <c r="CQ250" s="65" t="n">
        <f aca="false">IFERROR(IF(OR(CF250=1,CF250=2,CF250=3),N(INDEX(Parameter!$I$5:$I$7,CF250)),0),0)</f>
        <v>0</v>
      </c>
      <c r="CR250" s="64" t="n">
        <f aca="false">IF(AND(Parameter!$B$21="Ja",ISNUMBER(W250),N(X250)&gt;0),IFERROR(N(INDEX(Parameter!$L$5:$L$7,W250))*INDEX(Parameter!$E$5:$E$7,W250)*X250/SUMIFS($X$7:$X$1843,$W$7:$W$1843,W250),0),0)</f>
        <v>0</v>
      </c>
      <c r="CS250" s="62" t="n">
        <f aca="false">IF(AND(OR(CG250="L1",CG250="L23",CG250="LIFT"),H250&gt;0),CC250*IF(CR250&gt;0,CR250*MAX(1,H250/X250),IF(CA250=1,CE250,IF(R250&gt;0,CN250/R250,0))/MAX(0.1,N(Parameter!$M$21))),"")</f>
        <v>5.96153846153846</v>
      </c>
      <c r="CT250" s="64" t="n">
        <f aca="false">IF(CS250="","",J250/H250)</f>
        <v>1.09653916211293</v>
      </c>
      <c r="CU250" s="62" t="n">
        <f aca="false">IF(CS250="","",H250*G250)</f>
        <v>675.27</v>
      </c>
      <c r="CV250" s="63" t="n">
        <f aca="false">IF(CS250="","",(CL250+ROUNDUP(CL250+MAX(CM250,2*(J250/MAX(0.1,N(Einkauf!$C$6))-CL250)),0))/2)</f>
        <v>160</v>
      </c>
      <c r="CW250" s="62" t="n">
        <f aca="false">IF(CS250="","",MAX(0,H250-CV250)*G250)</f>
        <v>478.47</v>
      </c>
      <c r="CX250" s="62" t="n">
        <f aca="false">IF(CS250="","",CS250*MAX(0,1-CV250/H250))</f>
        <v>4.2241137732941</v>
      </c>
      <c r="CY250" s="64" t="n">
        <f aca="false">IF(CS250="","",PERCENTRANK($CS$7:$CS$1843,CS250)+PERCENTRANK($CU$7:$CU$1843,CU250)+1-PERCENTRANK($CT$7:$CT$1843,CT250))</f>
        <v>1.243</v>
      </c>
      <c r="CZ250" s="72" t="n">
        <f aca="false">IF(CS250="","",CHOOSE(MATCH(Einkauf!$C$5,Parameter!$G$23:$G$27,0),CY250,CS250,CU250,-CT250,CW250)+ROW()/1000000000)</f>
        <v>1.24300025</v>
      </c>
    </row>
    <row r="251" customFormat="false" ht="15" hidden="false" customHeight="false" outlineLevel="0" collapsed="false">
      <c r="A251" s="60" t="s">
        <v>727</v>
      </c>
      <c r="B251" s="60" t="s">
        <v>728</v>
      </c>
      <c r="C251" s="60" t="s">
        <v>206</v>
      </c>
      <c r="D251" s="60" t="s">
        <v>226</v>
      </c>
      <c r="E251" s="60"/>
      <c r="F251" s="60" t="s">
        <v>260</v>
      </c>
      <c r="G251" s="61" t="n">
        <v>32.98</v>
      </c>
      <c r="H251" s="62" t="n">
        <f aca="false">MAX(0,IF(AND(Parameter!$B$21="Ja",ISNUMBER(Y251)),Y251,IF(Parameter!$B$20="Jahresanfang 2025 + Export",BS251+BR251,BR251)))</f>
        <v>15</v>
      </c>
      <c r="I251" s="62" t="n">
        <f aca="false">H251*G251</f>
        <v>494.7</v>
      </c>
      <c r="J251" s="62" t="n">
        <f aca="false">BU251*Parameter!$B$18</f>
        <v>0</v>
      </c>
      <c r="K251" s="63" t="n">
        <v>0</v>
      </c>
      <c r="L251" s="64" t="n">
        <v>0</v>
      </c>
      <c r="M251" s="62" t="n">
        <v>0</v>
      </c>
      <c r="N251" s="62" t="n">
        <v>1</v>
      </c>
      <c r="O251" s="65" t="n">
        <v>9999</v>
      </c>
      <c r="P251" s="60" t="s">
        <v>210</v>
      </c>
      <c r="Q251" s="62"/>
      <c r="R251" s="65" t="n">
        <f aca="false">IF(CA251=1,0,IFERROR(VLOOKUP(BY251,'Gebinde-Kategorie'!$A$5:$N$45,13,0)+0,0))</f>
        <v>4</v>
      </c>
      <c r="S251" s="66"/>
      <c r="T251" s="67" t="s">
        <v>231</v>
      </c>
      <c r="U251" s="67"/>
      <c r="V251" s="67"/>
      <c r="W251" s="60"/>
      <c r="X251" s="62"/>
      <c r="Y251" s="62"/>
      <c r="Z251" s="60" t="n">
        <v>2</v>
      </c>
      <c r="AA251" s="60" t="n">
        <f aca="false">IF(A251="","",IF(AND(Parameter!$B$21="Ja",ISNUMBER(W251)),W251,IF(AND(Parameter!$E$27="Ja",ISNUMBER(Z251),CD251&lt;&gt;"Nein"),Z251,IF(CD251="2+3",IF(ISNUMBER(SEARCH("grosser Artikel",BV251)),2,IFERROR(VLOOKUP(BY251,Parameter!$F$35:$G$64,2,0),2)),IF(OR(CD251="Nein",CD251=""),"-",CD251)))))</f>
        <v>2</v>
      </c>
      <c r="AB251" s="67"/>
      <c r="AC251" s="68"/>
      <c r="AD251" s="62" t="n">
        <f aca="false">AW251</f>
        <v>1</v>
      </c>
      <c r="AE251" s="62" t="n">
        <f aca="false">MAX(AW251,H251)</f>
        <v>15</v>
      </c>
      <c r="AF251" s="69"/>
      <c r="AG251" s="62" t="n">
        <f aca="false">IF(LEFT(Cockpit!$C$5,1)="A",H251,IF(Parameter!$E$30="MAX-Bestand",IF(CI251=1,CJ251,IF(LEFT(Cockpit!$C$5,1)="B",AM251,MAX(AM251,H251))),ROUNDUP(AK251,0)))</f>
        <v>15</v>
      </c>
      <c r="AH251" s="62" t="n">
        <f aca="false">IF(CA251=1,0,ROUNDUP(AG251/BZ251,0))</f>
        <v>1</v>
      </c>
      <c r="AI251" s="64" t="n">
        <f aca="false">IF(CR251&gt;0,CR251*MAX(1,AG251/X251),IF(CA251=1,IF(AG251&lt;=0,0,CE251*MAX(1,IF(H251&gt;0,AG251/H251,1))),IF(R251&gt;0,AH251/R251,0))/MAX(0.1,N(Parameter!$M$21)))</f>
        <v>0.25</v>
      </c>
      <c r="AJ251" s="62" t="n">
        <f aca="false">AI251*CC251</f>
        <v>58.75</v>
      </c>
      <c r="AK251" s="63" t="n">
        <f aca="false">IF(LEFT(Cockpit!$C$5,1)="A",H251,IF(CI251=1,(CL251+CJ251)/2,IF(LEFT(Cockpit!$C$5,1)="B",(CL251+AM251)/2,MAX((CL251+AM251)/2,H251))))</f>
        <v>15</v>
      </c>
      <c r="AL251" s="62" t="n">
        <f aca="false">AK251*G251</f>
        <v>494.7</v>
      </c>
      <c r="AM251" s="62" t="n">
        <f aca="false">ROUNDUP(CL251+MAX(CM251,2*(J251/IF(CH251&gt;0,CH251,MAX(0.1,N(Cockpit!$C$6)))-CL251)),0)</f>
        <v>1</v>
      </c>
      <c r="AN251" s="63" t="n">
        <f aca="false">IF(AJ251&gt;0,J251/AJ251,-1)</f>
        <v>0</v>
      </c>
      <c r="AO251" s="63" t="n">
        <f aca="false">IF(AND(OR(CG251="L1",CG251="L23",CG251="LIFT"),AJ251&gt;0),SUMIFS($AJ$7:$AJ$1843,$CG$7:$CG$1843,CG251,$AN$7:$AN$1843,"&gt;"&amp;AN251)+SUMIFS($AJ$7:$AJ$1843,$CG$7:$CG$1843,CG251,$AN$7:$AN$1843,AN251,$BX$7:$BX$1843,"&lt;="&amp;BX251),"")</f>
        <v>27739.0171095383</v>
      </c>
      <c r="AP251" s="70" t="n">
        <f aca="false">IF(AO251="",0,MAX(0,MIN(1,(IF(CG251="L1",Parameter!$H$5,IF(CG251="L23",Parameter!$H$6+Parameter!$H$7,Parameter!$H$5+Parameter!$H$6+Parameter!$H$7))-(AO251-AJ251))/AJ251)))</f>
        <v>1</v>
      </c>
      <c r="AQ251" s="62" t="n">
        <f aca="false">IF(LEFT(Cockpit!$I$5,1)="A",H251,IF(Parameter!$E$30="MAX-Bestand",IF(CI251=1,CJ251,IF(LEFT(Cockpit!$I$5,1)="B",AW251,MAX(AW251,H251))),ROUNDUP(AU251,0)))</f>
        <v>15</v>
      </c>
      <c r="AR251" s="62" t="n">
        <f aca="false">IF(CA251=1,0,ROUNDUP(AQ251/BZ251,0))</f>
        <v>1</v>
      </c>
      <c r="AS251" s="64" t="n">
        <f aca="false">IF(CR251&gt;0,CR251*MAX(1,AQ251/X251),IF(CA251=1,IF(AQ251&lt;=0,0,CE251*MAX(1,IF(H251&gt;0,AQ251/H251,1))),IF(R251&gt;0,AR251/R251,0))/MAX(0.1,N(Parameter!$M$21)))</f>
        <v>0.25</v>
      </c>
      <c r="AT251" s="62" t="n">
        <f aca="false">AS251*CC251</f>
        <v>58.75</v>
      </c>
      <c r="AU251" s="63" t="n">
        <f aca="false">IF(LEFT(Cockpit!$I$5,1)="A",H251,IF(CI251=1,(CL251+CJ251)/2,IF(LEFT(Cockpit!$I$5,1)="B",(CL251+AW251)/2,MAX((CL251+AW251)/2,H251))))</f>
        <v>15</v>
      </c>
      <c r="AV251" s="62" t="n">
        <f aca="false">AU251*G251</f>
        <v>494.7</v>
      </c>
      <c r="AW251" s="62" t="n">
        <f aca="false">ROUNDUP(CL251+MAX(CM251,2*(J251/IF(CH251&gt;0,CH251,MAX(0.1,N(Cockpit!$I$6)))-CL251)),0)</f>
        <v>1</v>
      </c>
      <c r="AX251" s="63" t="n">
        <f aca="false">IF(AT251&gt;0,J251/AT251,-1)</f>
        <v>0</v>
      </c>
      <c r="AY251" s="63" t="n">
        <f aca="false">IF(AND(OR(CG251="L1",CG251="L23",CG251="LIFT"),AT251&gt;0),SUMIFS($AT$7:$AT$1843,$CG$7:$CG$1843,CG251,$AX$7:$AX$1843,"&gt;"&amp;AX251)+SUMIFS($AT$7:$AT$1843,$CG$7:$CG$1843,CG251,$AX$7:$AX$1843,AX251,$BX$7:$BX$1843,"&lt;="&amp;BX251),"")</f>
        <v>33092.1657509158</v>
      </c>
      <c r="AZ251" s="70" t="n">
        <f aca="false">IF(AY251="",0,MAX(0,MIN(1,(IF(CG251="L1",Parameter!$H$5,IF(CG251="L23",Parameter!$H$6+Parameter!$H$7,Parameter!$H$5+Parameter!$H$6+Parameter!$H$7))-(AY251-AT251))/AT251)))</f>
        <v>1</v>
      </c>
      <c r="BA251" s="62" t="n">
        <f aca="false">IF(LEFT(Cockpit!$O$5,1)="A",H251,IF(Parameter!$E$30="MAX-Bestand",IF(CI251=1,CJ251,IF(LEFT(Cockpit!$O$5,1)="B",BG251,MAX(BG251,H251))),ROUNDUP(BE251,0)))</f>
        <v>1</v>
      </c>
      <c r="BB251" s="62" t="n">
        <f aca="false">IF(CA251=1,0,ROUNDUP(BA251/BZ251,0))</f>
        <v>1</v>
      </c>
      <c r="BC251" s="64" t="n">
        <f aca="false">IF(CR251&gt;0,CR251*MAX(1,BA251/X251),IF(CA251=1,IF(BA251&lt;=0,0,CE251*MAX(1,IF(H251&gt;0,BA251/H251,1))),IF(R251&gt;0,BB251/R251,0))/MAX(0.1,N(Parameter!$M$21)))</f>
        <v>0.25</v>
      </c>
      <c r="BD251" s="62" t="n">
        <f aca="false">BC251*CC251</f>
        <v>58.75</v>
      </c>
      <c r="BE251" s="63" t="n">
        <f aca="false">IF(LEFT(Cockpit!$O$5,1)="A",H251,IF(CI251=1,(CL251+CJ251)/2,IF(LEFT(Cockpit!$O$5,1)="B",(CL251+BG251)/2,MAX((CL251+BG251)/2,H251))))</f>
        <v>0.5</v>
      </c>
      <c r="BF251" s="62" t="n">
        <f aca="false">BE251*G251</f>
        <v>16.49</v>
      </c>
      <c r="BG251" s="62" t="n">
        <f aca="false">ROUNDUP(CL251+MAX(CM251,2*(J251/IF(CH251&gt;0,CH251,MAX(0.1,N(Cockpit!$O$6)))-CL251)),0)</f>
        <v>1</v>
      </c>
      <c r="BH251" s="63" t="n">
        <f aca="false">IF(BD251&gt;0,J251/BD251,-1)</f>
        <v>0</v>
      </c>
      <c r="BI251" s="63" t="n">
        <f aca="false">IF(AND(OR(CG251="L1",CG251="L23",CG251="LIFT"),BD251&gt;0),SUMIFS($BD$7:$BD$1843,$CG$7:$CG$1843,CG251,$BH$7:$BH$1843,"&gt;"&amp;BH251)+SUMIFS($BD$7:$BD$1843,$CG$7:$CG$1843,CG251,$BH$7:$BH$1843,BH251,$BX$7:$BX$1843,"&lt;="&amp;BX251),"")</f>
        <v>27246.9847737009</v>
      </c>
      <c r="BJ251" s="70" t="n">
        <f aca="false">IF(BI251="",0,MAX(0,MIN(1,(IF(CG251="L1",Parameter!$H$5,IF(CG251="L23",Parameter!$H$6+Parameter!$H$7,Parameter!$H$5+Parameter!$H$6+Parameter!$H$7))-(BI251-BD251))/BD251)))</f>
        <v>1</v>
      </c>
      <c r="BK251" s="60" t="str">
        <f aca="false">IF(AJ251&lt;=0,"",IF(CG251="Aussen","Aussenlager",IF(CG251="-","Nicht im Lift",IF(AP251&gt;=1,"Lift",IF(AP251&lt;=0,"Aussenlager","teilweise")))))</f>
        <v>Lift</v>
      </c>
      <c r="BL251" s="60" t="str">
        <f aca="false">IF(AT251&lt;=0,"",IF(CG251="Aussen","Aussenlager",IF(CG251="-","Nicht im Lift",IF(AZ251&gt;=1,"Lift",IF(AZ251&lt;=0,"Aussenlager","teilweise")))))</f>
        <v>Lift</v>
      </c>
      <c r="BM251" s="60" t="str">
        <f aca="false">IF(BD251&lt;=0,"",IF(CG251="Aussen","Aussenlager",IF(CG251="-","Nicht im Lift",IF(BJ251&gt;=1,"Lift",IF(BJ251&lt;=0,"Aussenlager","teilweise")))))</f>
        <v>Lift</v>
      </c>
      <c r="BN251" s="60" t="str">
        <f aca="false">IF(A251="","",IF(BW251=1,"Neu; ","")&amp;IF(AND(BW251=0,BR251&lt;0),"negativer Bestand (Export "&amp;BR251&amp;"); ","")&amp;IF(J251&lt;=0,"Kein Verbrauch; ","")&amp;IF(CR251&gt;0,"Lift "&amp;W251&amp;" lt. Liftbericht (Fach "&amp;X251&amp;" Stk); ",IF(CB251=1,"Gebinde geschätzt ("&amp;T251&amp;"); ",IF(CA251=1,"Lose – Tablare geschätzt; ","")))&amp;IF(H251&gt;AW251,"Überbestand "&amp;ROUND(H251-AW251,0)&amp;" Stk / CHF "&amp;ROUND((H251-AW251)*G251,0)&amp;"; ","")&amp;IF(AND(CI251=1,CJ251&lt;CK251),"MAX &lt; MB+LG; ","")&amp;IF(AND(CQ251&gt;0,CP251*10&gt;CQ251),"zu hoch für Tablar; ","")&amp;IF(AND(BW251=0,OR(CI251=1,AB251&lt;&gt;"",U251&lt;&gt;"",V251&lt;&gt;"",AC251&lt;&gt;"")),"manuell übersteuert; ","")&amp;IF(AND(CA251=0,R251=0),"Gebinde unbekannt / Stellmass fehlt; ","")&amp;IF(AND(CA251=0,N(V251)&lt;=0,N(Q251)&lt;=0),"Menge pro Gebinde fehlt (Ist = 1 Gebinde); ","")&amp;BV251)</f>
        <v>Kein Verbrauch; Gebinde geschätzt (Gross); Überbestand 14 Stk / CHF 462; Menge pro Gebinde fehlt (Ist = 1 Gebinde); </v>
      </c>
      <c r="BO251" s="60"/>
      <c r="BP251" s="60"/>
      <c r="BQ251" s="67"/>
      <c r="BR251" s="62" t="n">
        <v>15</v>
      </c>
      <c r="BS251" s="62" t="n">
        <v>0</v>
      </c>
      <c r="BT251" s="61" t="n">
        <v>494.7</v>
      </c>
      <c r="BU251" s="62" t="n">
        <v>0</v>
      </c>
      <c r="BV251" s="60"/>
      <c r="BW251" s="65" t="n">
        <v>0</v>
      </c>
      <c r="BX251" s="65" t="n">
        <v>251</v>
      </c>
      <c r="BY251" s="60" t="str">
        <f aca="false">IF(U251&lt;&gt;"",UPPER(TRIM(U251)),IF(CB251=1,UPPER(VLOOKUP(T251,Parameter!$I$27:$K$29,2,0)),IF(P251="","LOSE",P251)))</f>
        <v>S81</v>
      </c>
      <c r="BZ251" s="62" t="n">
        <f aca="false">IF(BY251="LOSE",1,IF(N(V251)&gt;0,V251,IF(CB251=1,MAX(1,N(VLOOKUP(T251,Parameter!$I$27:$K$29,3,0)),H251,N(N251)),IF(N(Q251)&gt;0,Q251,MAX(1,H251)))))</f>
        <v>15</v>
      </c>
      <c r="CA251" s="65" t="n">
        <f aca="false">IF(BY251="LOSE",1,0)</f>
        <v>0</v>
      </c>
      <c r="CB251" s="65" t="n">
        <f aca="false">IF(AND(U251="",OR(P251="",P251="LOSE"),T251&lt;&gt;"",N(S251)&lt;=0,ISNUMBER(MATCH(T251,Parameter!$I$27:$I$29,0))),1,0)</f>
        <v>1</v>
      </c>
      <c r="CC251" s="65" t="n">
        <f aca="false">IF(CR251&gt;0,INDEX(Parameter!$H$5:$H$7,W251)/INDEX(Parameter!$E$5:$E$7,W251),IF(AND(CA251=0,N(IFERROR(VLOOKUP(BY251,'Gebinde-Kategorie'!$A$5:$N$45,14,0),0))&gt;0),VLOOKUP(BY251,'Gebinde-Kategorie'!$A$5:$N$45,14,0)*10+Parameter!$M$23,Parameter!$M$24))</f>
        <v>235</v>
      </c>
      <c r="CD251" s="60" t="str">
        <f aca="false">IF(AND(Parameter!$B$19="Ja",E251&lt;&gt;"",ISNUMBER(MATCH(E251,Parameter!$I$35:$I$52,0))),VLOOKUP(E251,Parameter!$I$35:$J$52,2,0),IFERROR(VLOOKUP(D251,Parameter!$A$35:$C$64,2,0),"Nein"))</f>
        <v>2+3</v>
      </c>
      <c r="CE251" s="64" t="n">
        <f aca="false">IF(CA251=0,0,IF(N(S251)&gt;0,S251,IFERROR(VLOOKUP(D251,Parameter!$A$35:$C$64,3,0)+0,0)))</f>
        <v>0</v>
      </c>
      <c r="CF251" s="60" t="n">
        <f aca="false">IF(AB251&lt;&gt;"",AB251,AA251)</f>
        <v>2</v>
      </c>
      <c r="CG251" s="60" t="str">
        <f aca="false">IF(OR(CF251=1,CF251=2,CF251=3),IF(Parameter!$E$27="Ja","LIFT",IF(CF251=1,"L1","L23")),IF(CF251="Aussen","Aussen","-"))</f>
        <v>LIFT</v>
      </c>
      <c r="CH251" s="71" t="n">
        <f aca="false">IF(N(AC251)&gt;0,AC251,0)</f>
        <v>0</v>
      </c>
      <c r="CI251" s="65" t="n">
        <f aca="false">IF(ISNUMBER(AF251),1,0)</f>
        <v>0</v>
      </c>
      <c r="CJ251" s="62" t="n">
        <f aca="false">N(AF251)</f>
        <v>0</v>
      </c>
      <c r="CK251" s="62" t="n">
        <f aca="false">N(M251)+N(N251)</f>
        <v>1</v>
      </c>
      <c r="CL251" s="62" t="n">
        <f aca="false">N(M251)</f>
        <v>0</v>
      </c>
      <c r="CM251" s="62" t="n">
        <f aca="false">N(N251)</f>
        <v>1</v>
      </c>
      <c r="CN251" s="62" t="n">
        <f aca="false">ROUNDUP(H251/BZ251,0)</f>
        <v>1</v>
      </c>
      <c r="CO251" s="62" t="n">
        <f aca="false">ROUNDUP(CJ251/BZ251,0)</f>
        <v>0</v>
      </c>
      <c r="CP251" s="65" t="n">
        <f aca="false">IF(CA251=1,0,IFERROR(VLOOKUP(BY251,'Gebinde-Kategorie'!$A$5:$N$45,5,0)+0,0))</f>
        <v>20</v>
      </c>
      <c r="CQ251" s="65" t="n">
        <f aca="false">IFERROR(IF(OR(CF251=1,CF251=2,CF251=3),N(INDEX(Parameter!$I$5:$I$7,CF251)),0),0)</f>
        <v>0</v>
      </c>
      <c r="CR251" s="64" t="n">
        <f aca="false">IF(AND(Parameter!$B$21="Ja",ISNUMBER(W251),N(X251)&gt;0),IFERROR(N(INDEX(Parameter!$L$5:$L$7,W251))*INDEX(Parameter!$E$5:$E$7,W251)*X251/SUMIFS($X$7:$X$1843,$W$7:$W$1843,W251),0),0)</f>
        <v>0</v>
      </c>
      <c r="CS251" s="62" t="n">
        <f aca="false">IF(AND(OR(CG251="L1",CG251="L23",CG251="LIFT"),H251&gt;0),CC251*IF(CR251&gt;0,CR251*MAX(1,H251/X251),IF(CA251=1,CE251,IF(R251&gt;0,CN251/R251,0))/MAX(0.1,N(Parameter!$M$21))),"")</f>
        <v>58.75</v>
      </c>
      <c r="CT251" s="64" t="n">
        <f aca="false">IF(CS251="","",J251/H251)</f>
        <v>0</v>
      </c>
      <c r="CU251" s="62" t="n">
        <f aca="false">IF(CS251="","",H251*G251)</f>
        <v>494.7</v>
      </c>
      <c r="CV251" s="63" t="n">
        <f aca="false">IF(CS251="","",(CL251+ROUNDUP(CL251+MAX(CM251,2*(J251/MAX(0.1,N(Einkauf!$C$6))-CL251)),0))/2)</f>
        <v>0.5</v>
      </c>
      <c r="CW251" s="62" t="n">
        <f aca="false">IF(CS251="","",MAX(0,H251-CV251)*G251)</f>
        <v>478.21</v>
      </c>
      <c r="CX251" s="62" t="n">
        <f aca="false">IF(CS251="","",CS251*MAX(0,1-CV251/H251))</f>
        <v>56.7916666666667</v>
      </c>
      <c r="CY251" s="64" t="n">
        <f aca="false">IF(CS251="","",PERCENTRANK($CS$7:$CS$1843,CS251)+PERCENTRANK($CU$7:$CU$1843,CU251)+1-PERCENTRANK($CT$7:$CT$1843,CT251))</f>
        <v>2.428</v>
      </c>
      <c r="CZ251" s="72" t="n">
        <f aca="false">IF(CS251="","",CHOOSE(MATCH(Einkauf!$C$5,Parameter!$G$23:$G$27,0),CY251,CS251,CU251,-CT251,CW251)+ROW()/1000000000)</f>
        <v>2.428000251</v>
      </c>
    </row>
    <row r="252" customFormat="false" ht="15" hidden="false" customHeight="false" outlineLevel="0" collapsed="false">
      <c r="A252" s="60" t="s">
        <v>729</v>
      </c>
      <c r="B252" s="60" t="s">
        <v>730</v>
      </c>
      <c r="C252" s="60" t="s">
        <v>206</v>
      </c>
      <c r="D252" s="60" t="s">
        <v>226</v>
      </c>
      <c r="E252" s="60" t="s">
        <v>227</v>
      </c>
      <c r="F252" s="60" t="s">
        <v>260</v>
      </c>
      <c r="G252" s="61" t="n">
        <v>11.85</v>
      </c>
      <c r="H252" s="62" t="n">
        <f aca="false">MAX(0,IF(AND(Parameter!$B$21="Ja",ISNUMBER(Y252)),Y252,IF(Parameter!$B$20="Jahresanfang 2025 + Export",BS252+BR252,BR252)))</f>
        <v>69</v>
      </c>
      <c r="I252" s="62" t="n">
        <f aca="false">H252*G252</f>
        <v>817.65</v>
      </c>
      <c r="J252" s="62" t="n">
        <f aca="false">BU252*Parameter!$B$18</f>
        <v>72</v>
      </c>
      <c r="K252" s="63" t="n">
        <v>28</v>
      </c>
      <c r="L252" s="64" t="n">
        <v>2.57142857142857</v>
      </c>
      <c r="M252" s="62" t="n">
        <v>5</v>
      </c>
      <c r="N252" s="62" t="n">
        <v>70</v>
      </c>
      <c r="O252" s="65" t="n">
        <v>28</v>
      </c>
      <c r="P252" s="60" t="s">
        <v>344</v>
      </c>
      <c r="Q252" s="62" t="n">
        <v>25</v>
      </c>
      <c r="R252" s="65" t="n">
        <f aca="false">IF(CA252=1,0,IFERROR(VLOOKUP(BY252,'Gebinde-Kategorie'!$A$5:$N$45,13,0)+0,0))</f>
        <v>26</v>
      </c>
      <c r="S252" s="66"/>
      <c r="T252" s="67"/>
      <c r="U252" s="67"/>
      <c r="V252" s="67"/>
      <c r="W252" s="60"/>
      <c r="X252" s="62"/>
      <c r="Y252" s="62"/>
      <c r="Z252" s="60" t="n">
        <v>3</v>
      </c>
      <c r="AA252" s="60" t="n">
        <f aca="false">IF(A252="","",IF(AND(Parameter!$B$21="Ja",ISNUMBER(W252)),W252,IF(AND(Parameter!$E$27="Ja",ISNUMBER(Z252),CD252&lt;&gt;"Nein"),Z252,IF(CD252="2+3",IF(ISNUMBER(SEARCH("grosser Artikel",BV252)),2,IFERROR(VLOOKUP(BY252,Parameter!$F$35:$G$64,2,0),2)),IF(OR(CD252="Nein",CD252=""),"-",CD252)))))</f>
        <v>3</v>
      </c>
      <c r="AB252" s="67"/>
      <c r="AC252" s="68"/>
      <c r="AD252" s="62" t="n">
        <f aca="false">AW252</f>
        <v>75</v>
      </c>
      <c r="AE252" s="62" t="n">
        <f aca="false">MAX(AW252,H252)</f>
        <v>75</v>
      </c>
      <c r="AF252" s="69"/>
      <c r="AG252" s="62" t="n">
        <f aca="false">IF(LEFT(Cockpit!$C$5,1)="A",H252,IF(Parameter!$E$30="MAX-Bestand",IF(CI252=1,CJ252,IF(LEFT(Cockpit!$C$5,1)="B",AM252,MAX(AM252,H252))),ROUNDUP(AK252,0)))</f>
        <v>69</v>
      </c>
      <c r="AH252" s="62" t="n">
        <f aca="false">IF(CA252=1,0,ROUNDUP(AG252/BZ252,0))</f>
        <v>3</v>
      </c>
      <c r="AI252" s="64" t="n">
        <f aca="false">IF(CR252&gt;0,CR252*MAX(1,AG252/X252),IF(CA252=1,IF(AG252&lt;=0,0,CE252*MAX(1,IF(H252&gt;0,AG252/H252,1))),IF(R252&gt;0,AH252/R252,0))/MAX(0.1,N(Parameter!$M$21)))</f>
        <v>0.115384615384615</v>
      </c>
      <c r="AJ252" s="62" t="n">
        <f aca="false">AI252*CC252</f>
        <v>17.8846153846154</v>
      </c>
      <c r="AK252" s="63" t="n">
        <f aca="false">IF(LEFT(Cockpit!$C$5,1)="A",H252,IF(CI252=1,(CL252+CJ252)/2,IF(LEFT(Cockpit!$C$5,1)="B",(CL252+AM252)/2,MAX((CL252+AM252)/2,H252))))</f>
        <v>69</v>
      </c>
      <c r="AL252" s="62" t="n">
        <f aca="false">AK252*G252</f>
        <v>817.65</v>
      </c>
      <c r="AM252" s="62" t="n">
        <f aca="false">ROUNDUP(CL252+MAX(CM252,2*(J252/IF(CH252&gt;0,CH252,MAX(0.1,N(Cockpit!$C$6)))-CL252)),0)</f>
        <v>75</v>
      </c>
      <c r="AN252" s="63" t="n">
        <f aca="false">IF(AJ252&gt;0,J252/AJ252,-1)</f>
        <v>4.0258064516129</v>
      </c>
      <c r="AO252" s="63" t="n">
        <f aca="false">IF(AND(OR(CG252="L1",CG252="L23",CG252="LIFT"),AJ252&gt;0),SUMIFS($AJ$7:$AJ$1843,$CG$7:$CG$1843,CG252,$AN$7:$AN$1843,"&gt;"&amp;AN252)+SUMIFS($AJ$7:$AJ$1843,$CG$7:$CG$1843,CG252,$AN$7:$AN$1843,AN252,$BX$7:$BX$1843,"&lt;="&amp;BX252),"")</f>
        <v>4334.84294871795</v>
      </c>
      <c r="AP252" s="70" t="n">
        <f aca="false">IF(AO252="",0,MAX(0,MIN(1,(IF(CG252="L1",Parameter!$H$5,IF(CG252="L23",Parameter!$H$6+Parameter!$H$7,Parameter!$H$5+Parameter!$H$6+Parameter!$H$7))-(AO252-AJ252))/AJ252)))</f>
        <v>1</v>
      </c>
      <c r="AQ252" s="62" t="n">
        <f aca="false">IF(LEFT(Cockpit!$I$5,1)="A",H252,IF(Parameter!$E$30="MAX-Bestand",IF(CI252=1,CJ252,IF(LEFT(Cockpit!$I$5,1)="B",AW252,MAX(AW252,H252))),ROUNDUP(AU252,0)))</f>
        <v>69</v>
      </c>
      <c r="AR252" s="62" t="n">
        <f aca="false">IF(CA252=1,0,ROUNDUP(AQ252/BZ252,0))</f>
        <v>3</v>
      </c>
      <c r="AS252" s="64" t="n">
        <f aca="false">IF(CR252&gt;0,CR252*MAX(1,AQ252/X252),IF(CA252=1,IF(AQ252&lt;=0,0,CE252*MAX(1,IF(H252&gt;0,AQ252/H252,1))),IF(R252&gt;0,AR252/R252,0))/MAX(0.1,N(Parameter!$M$21)))</f>
        <v>0.115384615384615</v>
      </c>
      <c r="AT252" s="62" t="n">
        <f aca="false">AS252*CC252</f>
        <v>17.8846153846154</v>
      </c>
      <c r="AU252" s="63" t="n">
        <f aca="false">IF(LEFT(Cockpit!$I$5,1)="A",H252,IF(CI252=1,(CL252+CJ252)/2,IF(LEFT(Cockpit!$I$5,1)="B",(CL252+AW252)/2,MAX((CL252+AW252)/2,H252))))</f>
        <v>69</v>
      </c>
      <c r="AV252" s="62" t="n">
        <f aca="false">AU252*G252</f>
        <v>817.65</v>
      </c>
      <c r="AW252" s="62" t="n">
        <f aca="false">ROUNDUP(CL252+MAX(CM252,2*(J252/IF(CH252&gt;0,CH252,MAX(0.1,N(Cockpit!$I$6)))-CL252)),0)</f>
        <v>75</v>
      </c>
      <c r="AX252" s="63" t="n">
        <f aca="false">IF(AT252&gt;0,J252/AT252,-1)</f>
        <v>4.0258064516129</v>
      </c>
      <c r="AY252" s="63" t="n">
        <f aca="false">IF(AND(OR(CG252="L1",CG252="L23",CG252="LIFT"),AT252&gt;0),SUMIFS($AT$7:$AT$1843,$CG$7:$CG$1843,CG252,$AX$7:$AX$1843,"&gt;"&amp;AX252)+SUMIFS($AT$7:$AT$1843,$CG$7:$CG$1843,CG252,$AX$7:$AX$1843,AX252,$BX$7:$BX$1843,"&lt;="&amp;BX252),"")</f>
        <v>4931.91712454213</v>
      </c>
      <c r="AZ252" s="70" t="n">
        <f aca="false">IF(AY252="",0,MAX(0,MIN(1,(IF(CG252="L1",Parameter!$H$5,IF(CG252="L23",Parameter!$H$6+Parameter!$H$7,Parameter!$H$5+Parameter!$H$6+Parameter!$H$7))-(AY252-AT252))/AT252)))</f>
        <v>1</v>
      </c>
      <c r="BA252" s="62" t="n">
        <f aca="false">IF(LEFT(Cockpit!$O$5,1)="A",H252,IF(Parameter!$E$30="MAX-Bestand",IF(CI252=1,CJ252,IF(LEFT(Cockpit!$O$5,1)="B",BG252,MAX(BG252,H252))),ROUNDUP(BE252,0)))</f>
        <v>40</v>
      </c>
      <c r="BB252" s="62" t="n">
        <f aca="false">IF(CA252=1,0,ROUNDUP(BA252/BZ252,0))</f>
        <v>2</v>
      </c>
      <c r="BC252" s="64" t="n">
        <f aca="false">IF(CR252&gt;0,CR252*MAX(1,BA252/X252),IF(CA252=1,IF(BA252&lt;=0,0,CE252*MAX(1,IF(H252&gt;0,BA252/H252,1))),IF(R252&gt;0,BB252/R252,0))/MAX(0.1,N(Parameter!$M$21)))</f>
        <v>0.0769230769230769</v>
      </c>
      <c r="BD252" s="62" t="n">
        <f aca="false">BC252*CC252</f>
        <v>11.9230769230769</v>
      </c>
      <c r="BE252" s="63" t="n">
        <f aca="false">IF(LEFT(Cockpit!$O$5,1)="A",H252,IF(CI252=1,(CL252+CJ252)/2,IF(LEFT(Cockpit!$O$5,1)="B",(CL252+BG252)/2,MAX((CL252+BG252)/2,H252))))</f>
        <v>40</v>
      </c>
      <c r="BF252" s="62" t="n">
        <f aca="false">BE252*G252</f>
        <v>474</v>
      </c>
      <c r="BG252" s="62" t="n">
        <f aca="false">ROUNDUP(CL252+MAX(CM252,2*(J252/IF(CH252&gt;0,CH252,MAX(0.1,N(Cockpit!$O$6)))-CL252)),0)</f>
        <v>75</v>
      </c>
      <c r="BH252" s="63" t="n">
        <f aca="false">IF(BD252&gt;0,J252/BD252,-1)</f>
        <v>6.03870967741935</v>
      </c>
      <c r="BI252" s="63" t="n">
        <f aca="false">IF(AND(OR(CG252="L1",CG252="L23",CG252="LIFT"),BD252&gt;0),SUMIFS($BD$7:$BD$1843,$CG$7:$CG$1843,CG252,$BH$7:$BH$1843,"&gt;"&amp;BH252)+SUMIFS($BD$7:$BD$1843,$CG$7:$CG$1843,CG252,$BH$7:$BH$1843,BH252,$BX$7:$BX$1843,"&lt;="&amp;BX252),"")</f>
        <v>3498.75366300366</v>
      </c>
      <c r="BJ252" s="70" t="n">
        <f aca="false">IF(BI252="",0,MAX(0,MIN(1,(IF(CG252="L1",Parameter!$H$5,IF(CG252="L23",Parameter!$H$6+Parameter!$H$7,Parameter!$H$5+Parameter!$H$6+Parameter!$H$7))-(BI252-BD252))/BD252)))</f>
        <v>1</v>
      </c>
      <c r="BK252" s="60" t="str">
        <f aca="false">IF(AJ252&lt;=0,"",IF(CG252="Aussen","Aussenlager",IF(CG252="-","Nicht im Lift",IF(AP252&gt;=1,"Lift",IF(AP252&lt;=0,"Aussenlager","teilweise")))))</f>
        <v>Lift</v>
      </c>
      <c r="BL252" s="60" t="str">
        <f aca="false">IF(AT252&lt;=0,"",IF(CG252="Aussen","Aussenlager",IF(CG252="-","Nicht im Lift",IF(AZ252&gt;=1,"Lift",IF(AZ252&lt;=0,"Aussenlager","teilweise")))))</f>
        <v>Lift</v>
      </c>
      <c r="BM252" s="60" t="str">
        <f aca="false">IF(BD252&lt;=0,"",IF(CG252="Aussen","Aussenlager",IF(CG252="-","Nicht im Lift",IF(BJ252&gt;=1,"Lift",IF(BJ252&lt;=0,"Aussenlager","teilweise")))))</f>
        <v>Lift</v>
      </c>
      <c r="BN252" s="60" t="str">
        <f aca="false">IF(A252="","",IF(BW252=1,"Neu; ","")&amp;IF(AND(BW252=0,BR252&lt;0),"negativer Bestand (Export "&amp;BR252&amp;"); ","")&amp;IF(J252&lt;=0,"Kein Verbrauch; ","")&amp;IF(CR252&gt;0,"Lift "&amp;W252&amp;" lt. Liftbericht (Fach "&amp;X252&amp;" Stk); ",IF(CB252=1,"Gebinde geschätzt ("&amp;T252&amp;"); ",IF(CA252=1,"Lose – Tablare geschätzt; ","")))&amp;IF(H252&gt;AW252,"Überbestand "&amp;ROUND(H252-AW252,0)&amp;" Stk / CHF "&amp;ROUND((H252-AW252)*G252,0)&amp;"; ","")&amp;IF(AND(CI252=1,CJ252&lt;CK252),"MAX &lt; MB+LG; ","")&amp;IF(AND(CQ252&gt;0,CP252*10&gt;CQ252),"zu hoch für Tablar; ","")&amp;IF(AND(BW252=0,OR(CI252=1,AB252&lt;&gt;"",U252&lt;&gt;"",V252&lt;&gt;"",AC252&lt;&gt;"")),"manuell übersteuert; ","")&amp;IF(AND(CA252=0,R252=0),"Gebinde unbekannt / Stellmass fehlt; ","")&amp;IF(AND(CA252=0,N(V252)&lt;=0,N(Q252)&lt;=0),"Menge pro Gebinde fehlt (Ist = 1 Gebinde); ","")&amp;BV252)</f>
        <v/>
      </c>
      <c r="BO252" s="60"/>
      <c r="BP252" s="60"/>
      <c r="BQ252" s="67"/>
      <c r="BR252" s="62" t="n">
        <v>45</v>
      </c>
      <c r="BS252" s="62" t="n">
        <v>24</v>
      </c>
      <c r="BT252" s="61" t="n">
        <v>492.929999999998</v>
      </c>
      <c r="BU252" s="62" t="n">
        <v>72</v>
      </c>
      <c r="BV252" s="60"/>
      <c r="BW252" s="65" t="n">
        <v>0</v>
      </c>
      <c r="BX252" s="65" t="n">
        <v>252</v>
      </c>
      <c r="BY252" s="60" t="str">
        <f aca="false">IF(U252&lt;&gt;"",UPPER(TRIM(U252)),IF(CB252=1,UPPER(VLOOKUP(T252,Parameter!$I$27:$K$29,2,0)),IF(P252="","LOSE",P252)))</f>
        <v>S51</v>
      </c>
      <c r="BZ252" s="62" t="n">
        <f aca="false">IF(BY252="LOSE",1,IF(N(V252)&gt;0,V252,IF(CB252=1,MAX(1,N(VLOOKUP(T252,Parameter!$I$27:$K$29,3,0)),H252,N(N252)),IF(N(Q252)&gt;0,Q252,MAX(1,H252)))))</f>
        <v>25</v>
      </c>
      <c r="CA252" s="65" t="n">
        <f aca="false">IF(BY252="LOSE",1,0)</f>
        <v>0</v>
      </c>
      <c r="CB252" s="65" t="n">
        <f aca="false">IF(AND(U252="",OR(P252="",P252="LOSE"),T252&lt;&gt;"",N(S252)&lt;=0,ISNUMBER(MATCH(T252,Parameter!$I$27:$I$29,0))),1,0)</f>
        <v>0</v>
      </c>
      <c r="CC252" s="65" t="n">
        <f aca="false">IF(CR252&gt;0,INDEX(Parameter!$H$5:$H$7,W252)/INDEX(Parameter!$E$5:$E$7,W252),IF(AND(CA252=0,N(IFERROR(VLOOKUP(BY252,'Gebinde-Kategorie'!$A$5:$N$45,14,0),0))&gt;0),VLOOKUP(BY252,'Gebinde-Kategorie'!$A$5:$N$45,14,0)*10+Parameter!$M$23,Parameter!$M$24))</f>
        <v>155</v>
      </c>
      <c r="CD252" s="60" t="str">
        <f aca="false">IF(AND(Parameter!$B$19="Ja",E252&lt;&gt;"",ISNUMBER(MATCH(E252,Parameter!$I$35:$I$52,0))),VLOOKUP(E252,Parameter!$I$35:$J$52,2,0),IFERROR(VLOOKUP(D252,Parameter!$A$35:$C$64,2,0),"Nein"))</f>
        <v>2+3</v>
      </c>
      <c r="CE252" s="64" t="n">
        <f aca="false">IF(CA252=0,0,IF(N(S252)&gt;0,S252,IFERROR(VLOOKUP(D252,Parameter!$A$35:$C$64,3,0)+0,0)))</f>
        <v>0</v>
      </c>
      <c r="CF252" s="60" t="n">
        <f aca="false">IF(AB252&lt;&gt;"",AB252,AA252)</f>
        <v>3</v>
      </c>
      <c r="CG252" s="60" t="str">
        <f aca="false">IF(OR(CF252=1,CF252=2,CF252=3),IF(Parameter!$E$27="Ja","LIFT",IF(CF252=1,"L1","L23")),IF(CF252="Aussen","Aussen","-"))</f>
        <v>LIFT</v>
      </c>
      <c r="CH252" s="71" t="n">
        <f aca="false">IF(N(AC252)&gt;0,AC252,0)</f>
        <v>0</v>
      </c>
      <c r="CI252" s="65" t="n">
        <f aca="false">IF(ISNUMBER(AF252),1,0)</f>
        <v>0</v>
      </c>
      <c r="CJ252" s="62" t="n">
        <f aca="false">N(AF252)</f>
        <v>0</v>
      </c>
      <c r="CK252" s="62" t="n">
        <f aca="false">N(M252)+N(N252)</f>
        <v>75</v>
      </c>
      <c r="CL252" s="62" t="n">
        <f aca="false">N(M252)</f>
        <v>5</v>
      </c>
      <c r="CM252" s="62" t="n">
        <f aca="false">N(N252)</f>
        <v>70</v>
      </c>
      <c r="CN252" s="62" t="n">
        <f aca="false">ROUNDUP(H252/BZ252,0)</f>
        <v>3</v>
      </c>
      <c r="CO252" s="62" t="n">
        <f aca="false">ROUNDUP(CJ252/BZ252,0)</f>
        <v>0</v>
      </c>
      <c r="CP252" s="65" t="n">
        <f aca="false">IF(CA252=1,0,IFERROR(VLOOKUP(BY252,'Gebinde-Kategorie'!$A$5:$N$45,5,0)+0,0))</f>
        <v>11</v>
      </c>
      <c r="CQ252" s="65" t="n">
        <f aca="false">IFERROR(IF(OR(CF252=1,CF252=2,CF252=3),N(INDEX(Parameter!$I$5:$I$7,CF252)),0),0)</f>
        <v>0</v>
      </c>
      <c r="CR252" s="64" t="n">
        <f aca="false">IF(AND(Parameter!$B$21="Ja",ISNUMBER(W252),N(X252)&gt;0),IFERROR(N(INDEX(Parameter!$L$5:$L$7,W252))*INDEX(Parameter!$E$5:$E$7,W252)*X252/SUMIFS($X$7:$X$1843,$W$7:$W$1843,W252),0),0)</f>
        <v>0</v>
      </c>
      <c r="CS252" s="62" t="n">
        <f aca="false">IF(AND(OR(CG252="L1",CG252="L23",CG252="LIFT"),H252&gt;0),CC252*IF(CR252&gt;0,CR252*MAX(1,H252/X252),IF(CA252=1,CE252,IF(R252&gt;0,CN252/R252,0))/MAX(0.1,N(Parameter!$M$21))),"")</f>
        <v>17.8846153846154</v>
      </c>
      <c r="CT252" s="64" t="n">
        <f aca="false">IF(CS252="","",J252/H252)</f>
        <v>1.04347826086957</v>
      </c>
      <c r="CU252" s="62" t="n">
        <f aca="false">IF(CS252="","",H252*G252)</f>
        <v>817.65</v>
      </c>
      <c r="CV252" s="63" t="n">
        <f aca="false">IF(CS252="","",(CL252+ROUNDUP(CL252+MAX(CM252,2*(J252/MAX(0.1,N(Einkauf!$C$6))-CL252)),0))/2)</f>
        <v>40</v>
      </c>
      <c r="CW252" s="62" t="n">
        <f aca="false">IF(CS252="","",MAX(0,H252-CV252)*G252)</f>
        <v>343.65</v>
      </c>
      <c r="CX252" s="62" t="n">
        <f aca="false">IF(CS252="","",CS252*MAX(0,1-CV252/H252))</f>
        <v>7.51672240802676</v>
      </c>
      <c r="CY252" s="64" t="n">
        <f aca="false">IF(CS252="","",PERCENTRANK($CS$7:$CS$1843,CS252)+PERCENTRANK($CU$7:$CU$1843,CU252)+1-PERCENTRANK($CT$7:$CT$1843,CT252))</f>
        <v>1.693</v>
      </c>
      <c r="CZ252" s="72" t="n">
        <f aca="false">IF(CS252="","",CHOOSE(MATCH(Einkauf!$C$5,Parameter!$G$23:$G$27,0),CY252,CS252,CU252,-CT252,CW252)+ROW()/1000000000)</f>
        <v>1.693000252</v>
      </c>
    </row>
    <row r="253" customFormat="false" ht="15" hidden="false" customHeight="false" outlineLevel="0" collapsed="false">
      <c r="A253" s="60" t="s">
        <v>731</v>
      </c>
      <c r="B253" s="60" t="s">
        <v>732</v>
      </c>
      <c r="C253" s="60" t="s">
        <v>206</v>
      </c>
      <c r="D253" s="60" t="s">
        <v>215</v>
      </c>
      <c r="E253" s="60"/>
      <c r="F253" s="60" t="s">
        <v>260</v>
      </c>
      <c r="G253" s="61" t="n">
        <v>32.33</v>
      </c>
      <c r="H253" s="62" t="n">
        <f aca="false">MAX(0,IF(AND(Parameter!$B$21="Ja",ISNUMBER(Y253)),Y253,IF(Parameter!$B$20="Jahresanfang 2025 + Export",BS253+BR253,BR253)))</f>
        <v>15</v>
      </c>
      <c r="I253" s="62" t="n">
        <f aca="false">H253*G253</f>
        <v>484.95</v>
      </c>
      <c r="J253" s="62" t="n">
        <f aca="false">BU253*Parameter!$B$18</f>
        <v>0</v>
      </c>
      <c r="K253" s="63" t="n">
        <v>0</v>
      </c>
      <c r="L253" s="64" t="n">
        <v>0</v>
      </c>
      <c r="M253" s="62" t="n">
        <v>0</v>
      </c>
      <c r="N253" s="62" t="n">
        <v>1</v>
      </c>
      <c r="O253" s="65" t="n">
        <v>9999</v>
      </c>
      <c r="P253" s="60" t="s">
        <v>210</v>
      </c>
      <c r="Q253" s="62"/>
      <c r="R253" s="65" t="n">
        <f aca="false">IF(CA253=1,0,IFERROR(VLOOKUP(BY253,'Gebinde-Kategorie'!$A$5:$N$45,13,0)+0,0))</f>
        <v>12</v>
      </c>
      <c r="S253" s="66"/>
      <c r="T253" s="67" t="s">
        <v>221</v>
      </c>
      <c r="U253" s="67"/>
      <c r="V253" s="67"/>
      <c r="W253" s="60"/>
      <c r="X253" s="62"/>
      <c r="Y253" s="62"/>
      <c r="Z253" s="60" t="n">
        <v>3</v>
      </c>
      <c r="AA253" s="60" t="n">
        <f aca="false">IF(A253="","",IF(AND(Parameter!$B$21="Ja",ISNUMBER(W253)),W253,IF(AND(Parameter!$E$27="Ja",ISNUMBER(Z253),CD253&lt;&gt;"Nein"),Z253,IF(CD253="2+3",IF(ISNUMBER(SEARCH("grosser Artikel",BV253)),2,IFERROR(VLOOKUP(BY253,Parameter!$F$35:$G$64,2,0),2)),IF(OR(CD253="Nein",CD253=""),"-",CD253)))))</f>
        <v>3</v>
      </c>
      <c r="AB253" s="67"/>
      <c r="AC253" s="68"/>
      <c r="AD253" s="62" t="n">
        <f aca="false">AW253</f>
        <v>1</v>
      </c>
      <c r="AE253" s="62" t="n">
        <f aca="false">MAX(AW253,H253)</f>
        <v>15</v>
      </c>
      <c r="AF253" s="69"/>
      <c r="AG253" s="62" t="n">
        <f aca="false">IF(LEFT(Cockpit!$C$5,1)="A",H253,IF(Parameter!$E$30="MAX-Bestand",IF(CI253=1,CJ253,IF(LEFT(Cockpit!$C$5,1)="B",AM253,MAX(AM253,H253))),ROUNDUP(AK253,0)))</f>
        <v>15</v>
      </c>
      <c r="AH253" s="62" t="n">
        <f aca="false">IF(CA253=1,0,ROUNDUP(AG253/BZ253,0))</f>
        <v>1</v>
      </c>
      <c r="AI253" s="64" t="n">
        <f aca="false">IF(CR253&gt;0,CR253*MAX(1,AG253/X253),IF(CA253=1,IF(AG253&lt;=0,0,CE253*MAX(1,IF(H253&gt;0,AG253/H253,1))),IF(R253&gt;0,AH253/R253,0))/MAX(0.1,N(Parameter!$M$21)))</f>
        <v>0.0833333333333333</v>
      </c>
      <c r="AJ253" s="62" t="n">
        <f aca="false">AI253*CC253</f>
        <v>12.0833333333333</v>
      </c>
      <c r="AK253" s="63" t="n">
        <f aca="false">IF(LEFT(Cockpit!$C$5,1)="A",H253,IF(CI253=1,(CL253+CJ253)/2,IF(LEFT(Cockpit!$C$5,1)="B",(CL253+AM253)/2,MAX((CL253+AM253)/2,H253))))</f>
        <v>15</v>
      </c>
      <c r="AL253" s="62" t="n">
        <f aca="false">AK253*G253</f>
        <v>484.95</v>
      </c>
      <c r="AM253" s="62" t="n">
        <f aca="false">ROUNDUP(CL253+MAX(CM253,2*(J253/IF(CH253&gt;0,CH253,MAX(0.1,N(Cockpit!$C$6)))-CL253)),0)</f>
        <v>1</v>
      </c>
      <c r="AN253" s="63" t="n">
        <f aca="false">IF(AJ253&gt;0,J253/AJ253,-1)</f>
        <v>0</v>
      </c>
      <c r="AO253" s="63" t="n">
        <f aca="false">IF(AND(OR(CG253="L1",CG253="L23",CG253="LIFT"),AJ253&gt;0),SUMIFS($AJ$7:$AJ$1843,$CG$7:$CG$1843,CG253,$AN$7:$AN$1843,"&gt;"&amp;AN253)+SUMIFS($AJ$7:$AJ$1843,$CG$7:$CG$1843,CG253,$AN$7:$AN$1843,AN253,$BX$7:$BX$1843,"&lt;="&amp;BX253),"")</f>
        <v>27751.1004428716</v>
      </c>
      <c r="AP253" s="70" t="n">
        <f aca="false">IF(AO253="",0,MAX(0,MIN(1,(IF(CG253="L1",Parameter!$H$5,IF(CG253="L23",Parameter!$H$6+Parameter!$H$7,Parameter!$H$5+Parameter!$H$6+Parameter!$H$7))-(AO253-AJ253))/AJ253)))</f>
        <v>1</v>
      </c>
      <c r="AQ253" s="62" t="n">
        <f aca="false">IF(LEFT(Cockpit!$I$5,1)="A",H253,IF(Parameter!$E$30="MAX-Bestand",IF(CI253=1,CJ253,IF(LEFT(Cockpit!$I$5,1)="B",AW253,MAX(AW253,H253))),ROUNDUP(AU253,0)))</f>
        <v>15</v>
      </c>
      <c r="AR253" s="62" t="n">
        <f aca="false">IF(CA253=1,0,ROUNDUP(AQ253/BZ253,0))</f>
        <v>1</v>
      </c>
      <c r="AS253" s="64" t="n">
        <f aca="false">IF(CR253&gt;0,CR253*MAX(1,AQ253/X253),IF(CA253=1,IF(AQ253&lt;=0,0,CE253*MAX(1,IF(H253&gt;0,AQ253/H253,1))),IF(R253&gt;0,AR253/R253,0))/MAX(0.1,N(Parameter!$M$21)))</f>
        <v>0.0833333333333333</v>
      </c>
      <c r="AT253" s="62" t="n">
        <f aca="false">AS253*CC253</f>
        <v>12.0833333333333</v>
      </c>
      <c r="AU253" s="63" t="n">
        <f aca="false">IF(LEFT(Cockpit!$I$5,1)="A",H253,IF(CI253=1,(CL253+CJ253)/2,IF(LEFT(Cockpit!$I$5,1)="B",(CL253+AW253)/2,MAX((CL253+AW253)/2,H253))))</f>
        <v>15</v>
      </c>
      <c r="AV253" s="62" t="n">
        <f aca="false">AU253*G253</f>
        <v>484.95</v>
      </c>
      <c r="AW253" s="62" t="n">
        <f aca="false">ROUNDUP(CL253+MAX(CM253,2*(J253/IF(CH253&gt;0,CH253,MAX(0.1,N(Cockpit!$I$6)))-CL253)),0)</f>
        <v>1</v>
      </c>
      <c r="AX253" s="63" t="n">
        <f aca="false">IF(AT253&gt;0,J253/AT253,-1)</f>
        <v>0</v>
      </c>
      <c r="AY253" s="63" t="n">
        <f aca="false">IF(AND(OR(CG253="L1",CG253="L23",CG253="LIFT"),AT253&gt;0),SUMIFS($AT$7:$AT$1843,$CG$7:$CG$1843,CG253,$AX$7:$AX$1843,"&gt;"&amp;AX253)+SUMIFS($AT$7:$AT$1843,$CG$7:$CG$1843,CG253,$AX$7:$AX$1843,AX253,$BX$7:$BX$1843,"&lt;="&amp;BX253),"")</f>
        <v>33104.2490842491</v>
      </c>
      <c r="AZ253" s="70" t="n">
        <f aca="false">IF(AY253="",0,MAX(0,MIN(1,(IF(CG253="L1",Parameter!$H$5,IF(CG253="L23",Parameter!$H$6+Parameter!$H$7,Parameter!$H$5+Parameter!$H$6+Parameter!$H$7))-(AY253-AT253))/AT253)))</f>
        <v>1</v>
      </c>
      <c r="BA253" s="62" t="n">
        <f aca="false">IF(LEFT(Cockpit!$O$5,1)="A",H253,IF(Parameter!$E$30="MAX-Bestand",IF(CI253=1,CJ253,IF(LEFT(Cockpit!$O$5,1)="B",BG253,MAX(BG253,H253))),ROUNDUP(BE253,0)))</f>
        <v>1</v>
      </c>
      <c r="BB253" s="62" t="n">
        <f aca="false">IF(CA253=1,0,ROUNDUP(BA253/BZ253,0))</f>
        <v>1</v>
      </c>
      <c r="BC253" s="64" t="n">
        <f aca="false">IF(CR253&gt;0,CR253*MAX(1,BA253/X253),IF(CA253=1,IF(BA253&lt;=0,0,CE253*MAX(1,IF(H253&gt;0,BA253/H253,1))),IF(R253&gt;0,BB253/R253,0))/MAX(0.1,N(Parameter!$M$21)))</f>
        <v>0.0833333333333333</v>
      </c>
      <c r="BD253" s="62" t="n">
        <f aca="false">BC253*CC253</f>
        <v>12.0833333333333</v>
      </c>
      <c r="BE253" s="63" t="n">
        <f aca="false">IF(LEFT(Cockpit!$O$5,1)="A",H253,IF(CI253=1,(CL253+CJ253)/2,IF(LEFT(Cockpit!$O$5,1)="B",(CL253+BG253)/2,MAX((CL253+BG253)/2,H253))))</f>
        <v>0.5</v>
      </c>
      <c r="BF253" s="62" t="n">
        <f aca="false">BE253*G253</f>
        <v>16.165</v>
      </c>
      <c r="BG253" s="62" t="n">
        <f aca="false">ROUNDUP(CL253+MAX(CM253,2*(J253/IF(CH253&gt;0,CH253,MAX(0.1,N(Cockpit!$O$6)))-CL253)),0)</f>
        <v>1</v>
      </c>
      <c r="BH253" s="63" t="n">
        <f aca="false">IF(BD253&gt;0,J253/BD253,-1)</f>
        <v>0</v>
      </c>
      <c r="BI253" s="63" t="n">
        <f aca="false">IF(AND(OR(CG253="L1",CG253="L23",CG253="LIFT"),BD253&gt;0),SUMIFS($BD$7:$BD$1843,$CG$7:$CG$1843,CG253,$BH$7:$BH$1843,"&gt;"&amp;BH253)+SUMIFS($BD$7:$BD$1843,$CG$7:$CG$1843,CG253,$BH$7:$BH$1843,BH253,$BX$7:$BX$1843,"&lt;="&amp;BX253),"")</f>
        <v>27259.0681070342</v>
      </c>
      <c r="BJ253" s="70" t="n">
        <f aca="false">IF(BI253="",0,MAX(0,MIN(1,(IF(CG253="L1",Parameter!$H$5,IF(CG253="L23",Parameter!$H$6+Parameter!$H$7,Parameter!$H$5+Parameter!$H$6+Parameter!$H$7))-(BI253-BD253))/BD253)))</f>
        <v>1</v>
      </c>
      <c r="BK253" s="60" t="str">
        <f aca="false">IF(AJ253&lt;=0,"",IF(CG253="Aussen","Aussenlager",IF(CG253="-","Nicht im Lift",IF(AP253&gt;=1,"Lift",IF(AP253&lt;=0,"Aussenlager","teilweise")))))</f>
        <v>Lift</v>
      </c>
      <c r="BL253" s="60" t="str">
        <f aca="false">IF(AT253&lt;=0,"",IF(CG253="Aussen","Aussenlager",IF(CG253="-","Nicht im Lift",IF(AZ253&gt;=1,"Lift",IF(AZ253&lt;=0,"Aussenlager","teilweise")))))</f>
        <v>Lift</v>
      </c>
      <c r="BM253" s="60" t="str">
        <f aca="false">IF(BD253&lt;=0,"",IF(CG253="Aussen","Aussenlager",IF(CG253="-","Nicht im Lift",IF(BJ253&gt;=1,"Lift",IF(BJ253&lt;=0,"Aussenlager","teilweise")))))</f>
        <v>Lift</v>
      </c>
      <c r="BN253" s="60" t="str">
        <f aca="false">IF(A253="","",IF(BW253=1,"Neu; ","")&amp;IF(AND(BW253=0,BR253&lt;0),"negativer Bestand (Export "&amp;BR253&amp;"); ","")&amp;IF(J253&lt;=0,"Kein Verbrauch; ","")&amp;IF(CR253&gt;0,"Lift "&amp;W253&amp;" lt. Liftbericht (Fach "&amp;X253&amp;" Stk); ",IF(CB253=1,"Gebinde geschätzt ("&amp;T253&amp;"); ",IF(CA253=1,"Lose – Tablare geschätzt; ","")))&amp;IF(H253&gt;AW253,"Überbestand "&amp;ROUND(H253-AW253,0)&amp;" Stk / CHF "&amp;ROUND((H253-AW253)*G253,0)&amp;"; ","")&amp;IF(AND(CI253=1,CJ253&lt;CK253),"MAX &lt; MB+LG; ","")&amp;IF(AND(CQ253&gt;0,CP253*10&gt;CQ253),"zu hoch für Tablar; ","")&amp;IF(AND(BW253=0,OR(CI253=1,AB253&lt;&gt;"",U253&lt;&gt;"",V253&lt;&gt;"",AC253&lt;&gt;"")),"manuell übersteuert; ","")&amp;IF(AND(CA253=0,R253=0),"Gebinde unbekannt / Stellmass fehlt; ","")&amp;IF(AND(CA253=0,N(V253)&lt;=0,N(Q253)&lt;=0),"Menge pro Gebinde fehlt (Ist = 1 Gebinde); ","")&amp;BV253)</f>
        <v>Kein Verbrauch; Gebinde geschätzt (Mittel); Überbestand 14 Stk / CHF 453; Menge pro Gebinde fehlt (Ist = 1 Gebinde); </v>
      </c>
      <c r="BO253" s="60"/>
      <c r="BP253" s="60"/>
      <c r="BQ253" s="67"/>
      <c r="BR253" s="62" t="n">
        <v>15</v>
      </c>
      <c r="BS253" s="62" t="n">
        <v>0</v>
      </c>
      <c r="BT253" s="61" t="n">
        <v>484.95</v>
      </c>
      <c r="BU253" s="62" t="n">
        <v>0</v>
      </c>
      <c r="BV253" s="60"/>
      <c r="BW253" s="65" t="n">
        <v>0</v>
      </c>
      <c r="BX253" s="65" t="n">
        <v>253</v>
      </c>
      <c r="BY253" s="60" t="str">
        <f aca="false">IF(U253&lt;&gt;"",UPPER(TRIM(U253)),IF(CB253=1,UPPER(VLOOKUP(T253,Parameter!$I$27:$K$29,2,0)),IF(P253="","LOSE",P253)))</f>
        <v>S61</v>
      </c>
      <c r="BZ253" s="62" t="n">
        <f aca="false">IF(BY253="LOSE",1,IF(N(V253)&gt;0,V253,IF(CB253=1,MAX(1,N(VLOOKUP(T253,Parameter!$I$27:$K$29,3,0)),H253,N(N253)),IF(N(Q253)&gt;0,Q253,MAX(1,H253)))))</f>
        <v>15</v>
      </c>
      <c r="CA253" s="65" t="n">
        <f aca="false">IF(BY253="LOSE",1,0)</f>
        <v>0</v>
      </c>
      <c r="CB253" s="65" t="n">
        <f aca="false">IF(AND(U253="",OR(P253="",P253="LOSE"),T253&lt;&gt;"",N(S253)&lt;=0,ISNUMBER(MATCH(T253,Parameter!$I$27:$I$29,0))),1,0)</f>
        <v>1</v>
      </c>
      <c r="CC253" s="65" t="n">
        <f aca="false">IF(CR253&gt;0,INDEX(Parameter!$H$5:$H$7,W253)/INDEX(Parameter!$E$5:$E$7,W253),IF(AND(CA253=0,N(IFERROR(VLOOKUP(BY253,'Gebinde-Kategorie'!$A$5:$N$45,14,0),0))&gt;0),VLOOKUP(BY253,'Gebinde-Kategorie'!$A$5:$N$45,14,0)*10+Parameter!$M$23,Parameter!$M$24))</f>
        <v>145</v>
      </c>
      <c r="CD253" s="60" t="str">
        <f aca="false">IF(AND(Parameter!$B$19="Ja",E253&lt;&gt;"",ISNUMBER(MATCH(E253,Parameter!$I$35:$I$52,0))),VLOOKUP(E253,Parameter!$I$35:$J$52,2,0),IFERROR(VLOOKUP(D253,Parameter!$A$35:$C$64,2,0),"Nein"))</f>
        <v>2+3</v>
      </c>
      <c r="CE253" s="64" t="n">
        <f aca="false">IF(CA253=0,0,IF(N(S253)&gt;0,S253,IFERROR(VLOOKUP(D253,Parameter!$A$35:$C$64,3,0)+0,0)))</f>
        <v>0</v>
      </c>
      <c r="CF253" s="60" t="n">
        <f aca="false">IF(AB253&lt;&gt;"",AB253,AA253)</f>
        <v>3</v>
      </c>
      <c r="CG253" s="60" t="str">
        <f aca="false">IF(OR(CF253=1,CF253=2,CF253=3),IF(Parameter!$E$27="Ja","LIFT",IF(CF253=1,"L1","L23")),IF(CF253="Aussen","Aussen","-"))</f>
        <v>LIFT</v>
      </c>
      <c r="CH253" s="71" t="n">
        <f aca="false">IF(N(AC253)&gt;0,AC253,0)</f>
        <v>0</v>
      </c>
      <c r="CI253" s="65" t="n">
        <f aca="false">IF(ISNUMBER(AF253),1,0)</f>
        <v>0</v>
      </c>
      <c r="CJ253" s="62" t="n">
        <f aca="false">N(AF253)</f>
        <v>0</v>
      </c>
      <c r="CK253" s="62" t="n">
        <f aca="false">N(M253)+N(N253)</f>
        <v>1</v>
      </c>
      <c r="CL253" s="62" t="n">
        <f aca="false">N(M253)</f>
        <v>0</v>
      </c>
      <c r="CM253" s="62" t="n">
        <f aca="false">N(N253)</f>
        <v>1</v>
      </c>
      <c r="CN253" s="62" t="n">
        <f aca="false">ROUNDUP(H253/BZ253,0)</f>
        <v>1</v>
      </c>
      <c r="CO253" s="62" t="n">
        <f aca="false">ROUNDUP(CJ253/BZ253,0)</f>
        <v>0</v>
      </c>
      <c r="CP253" s="65" t="n">
        <f aca="false">IF(CA253=1,0,IFERROR(VLOOKUP(BY253,'Gebinde-Kategorie'!$A$5:$N$45,5,0)+0,0))</f>
        <v>11</v>
      </c>
      <c r="CQ253" s="65" t="n">
        <f aca="false">IFERROR(IF(OR(CF253=1,CF253=2,CF253=3),N(INDEX(Parameter!$I$5:$I$7,CF253)),0),0)</f>
        <v>0</v>
      </c>
      <c r="CR253" s="64" t="n">
        <f aca="false">IF(AND(Parameter!$B$21="Ja",ISNUMBER(W253),N(X253)&gt;0),IFERROR(N(INDEX(Parameter!$L$5:$L$7,W253))*INDEX(Parameter!$E$5:$E$7,W253)*X253/SUMIFS($X$7:$X$1843,$W$7:$W$1843,W253),0),0)</f>
        <v>0</v>
      </c>
      <c r="CS253" s="62" t="n">
        <f aca="false">IF(AND(OR(CG253="L1",CG253="L23",CG253="LIFT"),H253&gt;0),CC253*IF(CR253&gt;0,CR253*MAX(1,H253/X253),IF(CA253=1,CE253,IF(R253&gt;0,CN253/R253,0))/MAX(0.1,N(Parameter!$M$21))),"")</f>
        <v>12.0833333333333</v>
      </c>
      <c r="CT253" s="64" t="n">
        <f aca="false">IF(CS253="","",J253/H253)</f>
        <v>0</v>
      </c>
      <c r="CU253" s="62" t="n">
        <f aca="false">IF(CS253="","",H253*G253)</f>
        <v>484.95</v>
      </c>
      <c r="CV253" s="63" t="n">
        <f aca="false">IF(CS253="","",(CL253+ROUNDUP(CL253+MAX(CM253,2*(J253/MAX(0.1,N(Einkauf!$C$6))-CL253)),0))/2)</f>
        <v>0.5</v>
      </c>
      <c r="CW253" s="62" t="n">
        <f aca="false">IF(CS253="","",MAX(0,H253-CV253)*G253)</f>
        <v>468.785</v>
      </c>
      <c r="CX253" s="62" t="n">
        <f aca="false">IF(CS253="","",CS253*MAX(0,1-CV253/H253))</f>
        <v>11.6805555555556</v>
      </c>
      <c r="CY253" s="64" t="n">
        <f aca="false">IF(CS253="","",PERCENTRANK($CS$7:$CS$1843,CS253)+PERCENTRANK($CU$7:$CU$1843,CU253)+1-PERCENTRANK($CT$7:$CT$1843,CT253))</f>
        <v>2.167</v>
      </c>
      <c r="CZ253" s="72" t="n">
        <f aca="false">IF(CS253="","",CHOOSE(MATCH(Einkauf!$C$5,Parameter!$G$23:$G$27,0),CY253,CS253,CU253,-CT253,CW253)+ROW()/1000000000)</f>
        <v>2.167000253</v>
      </c>
    </row>
    <row r="254" customFormat="false" ht="15" hidden="false" customHeight="false" outlineLevel="0" collapsed="false">
      <c r="A254" s="60" t="s">
        <v>733</v>
      </c>
      <c r="B254" s="60" t="s">
        <v>734</v>
      </c>
      <c r="C254" s="60" t="s">
        <v>206</v>
      </c>
      <c r="D254" s="60" t="s">
        <v>215</v>
      </c>
      <c r="E254" s="60"/>
      <c r="F254" s="60" t="s">
        <v>260</v>
      </c>
      <c r="G254" s="61" t="n">
        <v>118.62</v>
      </c>
      <c r="H254" s="62" t="n">
        <f aca="false">MAX(0,IF(AND(Parameter!$B$21="Ja",ISNUMBER(Y254)),Y254,IF(Parameter!$B$20="Jahresanfang 2025 + Export",BS254+BR254,BR254)))</f>
        <v>4</v>
      </c>
      <c r="I254" s="62" t="n">
        <f aca="false">H254*G254</f>
        <v>474.48</v>
      </c>
      <c r="J254" s="62" t="n">
        <f aca="false">BU254*Parameter!$B$18</f>
        <v>2</v>
      </c>
      <c r="K254" s="63" t="n">
        <v>1.5</v>
      </c>
      <c r="L254" s="64" t="n">
        <v>1.33333333333333</v>
      </c>
      <c r="M254" s="62" t="n">
        <v>0</v>
      </c>
      <c r="N254" s="62" t="n">
        <v>1</v>
      </c>
      <c r="O254" s="65" t="n">
        <v>31</v>
      </c>
      <c r="P254" s="60" t="s">
        <v>210</v>
      </c>
      <c r="Q254" s="62"/>
      <c r="R254" s="65" t="n">
        <f aca="false">IF(CA254=1,0,IFERROR(VLOOKUP(BY254,'Gebinde-Kategorie'!$A$5:$N$45,13,0)+0,0))</f>
        <v>12</v>
      </c>
      <c r="S254" s="66"/>
      <c r="T254" s="67" t="s">
        <v>221</v>
      </c>
      <c r="U254" s="67"/>
      <c r="V254" s="67"/>
      <c r="W254" s="60"/>
      <c r="X254" s="62"/>
      <c r="Y254" s="62"/>
      <c r="Z254" s="60" t="n">
        <v>3</v>
      </c>
      <c r="AA254" s="60" t="n">
        <f aca="false">IF(A254="","",IF(AND(Parameter!$B$21="Ja",ISNUMBER(W254)),W254,IF(AND(Parameter!$E$27="Ja",ISNUMBER(Z254),CD254&lt;&gt;"Nein"),Z254,IF(CD254="2+3",IF(ISNUMBER(SEARCH("grosser Artikel",BV254)),2,IFERROR(VLOOKUP(BY254,Parameter!$F$35:$G$64,2,0),2)),IF(OR(CD254="Nein",CD254=""),"-",CD254)))))</f>
        <v>3</v>
      </c>
      <c r="AB254" s="67"/>
      <c r="AC254" s="68"/>
      <c r="AD254" s="62" t="n">
        <f aca="false">AW254</f>
        <v>2</v>
      </c>
      <c r="AE254" s="62" t="n">
        <f aca="false">MAX(AW254,H254)</f>
        <v>4</v>
      </c>
      <c r="AF254" s="69"/>
      <c r="AG254" s="62" t="n">
        <f aca="false">IF(LEFT(Cockpit!$C$5,1)="A",H254,IF(Parameter!$E$30="MAX-Bestand",IF(CI254=1,CJ254,IF(LEFT(Cockpit!$C$5,1)="B",AM254,MAX(AM254,H254))),ROUNDUP(AK254,0)))</f>
        <v>4</v>
      </c>
      <c r="AH254" s="62" t="n">
        <f aca="false">IF(CA254=1,0,ROUNDUP(AG254/BZ254,0))</f>
        <v>1</v>
      </c>
      <c r="AI254" s="64" t="n">
        <f aca="false">IF(CR254&gt;0,CR254*MAX(1,AG254/X254),IF(CA254=1,IF(AG254&lt;=0,0,CE254*MAX(1,IF(H254&gt;0,AG254/H254,1))),IF(R254&gt;0,AH254/R254,0))/MAX(0.1,N(Parameter!$M$21)))</f>
        <v>0.0833333333333333</v>
      </c>
      <c r="AJ254" s="62" t="n">
        <f aca="false">AI254*CC254</f>
        <v>12.0833333333333</v>
      </c>
      <c r="AK254" s="63" t="n">
        <f aca="false">IF(LEFT(Cockpit!$C$5,1)="A",H254,IF(CI254=1,(CL254+CJ254)/2,IF(LEFT(Cockpit!$C$5,1)="B",(CL254+AM254)/2,MAX((CL254+AM254)/2,H254))))</f>
        <v>4</v>
      </c>
      <c r="AL254" s="62" t="n">
        <f aca="false">AK254*G254</f>
        <v>474.48</v>
      </c>
      <c r="AM254" s="62" t="n">
        <f aca="false">ROUNDUP(CL254+MAX(CM254,2*(J254/IF(CH254&gt;0,CH254,MAX(0.1,N(Cockpit!$C$6)))-CL254)),0)</f>
        <v>2</v>
      </c>
      <c r="AN254" s="63" t="n">
        <f aca="false">IF(AJ254&gt;0,J254/AJ254,-1)</f>
        <v>0.16551724137931</v>
      </c>
      <c r="AO254" s="63" t="n">
        <f aca="false">IF(AND(OR(CG254="L1",CG254="L23",CG254="LIFT"),AJ254&gt;0),SUMIFS($AJ$7:$AJ$1843,$CG$7:$CG$1843,CG254,$AN$7:$AN$1843,"&gt;"&amp;AN254)+SUMIFS($AJ$7:$AJ$1843,$CG$7:$CG$1843,CG254,$AN$7:$AN$1843,AN254,$BX$7:$BX$1843,"&lt;="&amp;BX254),"")</f>
        <v>12793.3234644358</v>
      </c>
      <c r="AP254" s="70" t="n">
        <f aca="false">IF(AO254="",0,MAX(0,MIN(1,(IF(CG254="L1",Parameter!$H$5,IF(CG254="L23",Parameter!$H$6+Parameter!$H$7,Parameter!$H$5+Parameter!$H$6+Parameter!$H$7))-(AO254-AJ254))/AJ254)))</f>
        <v>1</v>
      </c>
      <c r="AQ254" s="62" t="n">
        <f aca="false">IF(LEFT(Cockpit!$I$5,1)="A",H254,IF(Parameter!$E$30="MAX-Bestand",IF(CI254=1,CJ254,IF(LEFT(Cockpit!$I$5,1)="B",AW254,MAX(AW254,H254))),ROUNDUP(AU254,0)))</f>
        <v>4</v>
      </c>
      <c r="AR254" s="62" t="n">
        <f aca="false">IF(CA254=1,0,ROUNDUP(AQ254/BZ254,0))</f>
        <v>1</v>
      </c>
      <c r="AS254" s="64" t="n">
        <f aca="false">IF(CR254&gt;0,CR254*MAX(1,AQ254/X254),IF(CA254=1,IF(AQ254&lt;=0,0,CE254*MAX(1,IF(H254&gt;0,AQ254/H254,1))),IF(R254&gt;0,AR254/R254,0))/MAX(0.1,N(Parameter!$M$21)))</f>
        <v>0.0833333333333333</v>
      </c>
      <c r="AT254" s="62" t="n">
        <f aca="false">AS254*CC254</f>
        <v>12.0833333333333</v>
      </c>
      <c r="AU254" s="63" t="n">
        <f aca="false">IF(LEFT(Cockpit!$I$5,1)="A",H254,IF(CI254=1,(CL254+CJ254)/2,IF(LEFT(Cockpit!$I$5,1)="B",(CL254+AW254)/2,MAX((CL254+AW254)/2,H254))))</f>
        <v>4</v>
      </c>
      <c r="AV254" s="62" t="n">
        <f aca="false">AU254*G254</f>
        <v>474.48</v>
      </c>
      <c r="AW254" s="62" t="n">
        <f aca="false">ROUNDUP(CL254+MAX(CM254,2*(J254/IF(CH254&gt;0,CH254,MAX(0.1,N(Cockpit!$I$6)))-CL254)),0)</f>
        <v>2</v>
      </c>
      <c r="AX254" s="63" t="n">
        <f aca="false">IF(AT254&gt;0,J254/AT254,-1)</f>
        <v>0.16551724137931</v>
      </c>
      <c r="AY254" s="63" t="n">
        <f aca="false">IF(AND(OR(CG254="L1",CG254="L23",CG254="LIFT"),AT254&gt;0),SUMIFS($AT$7:$AT$1843,$CG$7:$CG$1843,CG254,$AX$7:$AX$1843,"&gt;"&amp;AX254)+SUMIFS($AT$7:$AT$1843,$CG$7:$CG$1843,CG254,$AX$7:$AX$1843,AX254,$BX$7:$BX$1843,"&lt;="&amp;BX254),"")</f>
        <v>15722.0041208791</v>
      </c>
      <c r="AZ254" s="70" t="n">
        <f aca="false">IF(AY254="",0,MAX(0,MIN(1,(IF(CG254="L1",Parameter!$H$5,IF(CG254="L23",Parameter!$H$6+Parameter!$H$7,Parameter!$H$5+Parameter!$H$6+Parameter!$H$7))-(AY254-AT254))/AT254)))</f>
        <v>1</v>
      </c>
      <c r="BA254" s="62" t="n">
        <f aca="false">IF(LEFT(Cockpit!$O$5,1)="A",H254,IF(Parameter!$E$30="MAX-Bestand",IF(CI254=1,CJ254,IF(LEFT(Cockpit!$O$5,1)="B",BG254,MAX(BG254,H254))),ROUNDUP(BE254,0)))</f>
        <v>1</v>
      </c>
      <c r="BB254" s="62" t="n">
        <f aca="false">IF(CA254=1,0,ROUNDUP(BA254/BZ254,0))</f>
        <v>1</v>
      </c>
      <c r="BC254" s="64" t="n">
        <f aca="false">IF(CR254&gt;0,CR254*MAX(1,BA254/X254),IF(CA254=1,IF(BA254&lt;=0,0,CE254*MAX(1,IF(H254&gt;0,BA254/H254,1))),IF(R254&gt;0,BB254/R254,0))/MAX(0.1,N(Parameter!$M$21)))</f>
        <v>0.0833333333333333</v>
      </c>
      <c r="BD254" s="62" t="n">
        <f aca="false">BC254*CC254</f>
        <v>12.0833333333333</v>
      </c>
      <c r="BE254" s="63" t="n">
        <f aca="false">IF(LEFT(Cockpit!$O$5,1)="A",H254,IF(CI254=1,(CL254+CJ254)/2,IF(LEFT(Cockpit!$O$5,1)="B",(CL254+BG254)/2,MAX((CL254+BG254)/2,H254))))</f>
        <v>0.5</v>
      </c>
      <c r="BF254" s="62" t="n">
        <f aca="false">BE254*G254</f>
        <v>59.31</v>
      </c>
      <c r="BG254" s="62" t="n">
        <f aca="false">ROUNDUP(CL254+MAX(CM254,2*(J254/IF(CH254&gt;0,CH254,MAX(0.1,N(Cockpit!$O$6)))-CL254)),0)</f>
        <v>1</v>
      </c>
      <c r="BH254" s="63" t="n">
        <f aca="false">IF(BD254&gt;0,J254/BD254,-1)</f>
        <v>0.16551724137931</v>
      </c>
      <c r="BI254" s="63" t="n">
        <f aca="false">IF(AND(OR(CG254="L1",CG254="L23",CG254="LIFT"),BD254&gt;0),SUMIFS($BD$7:$BD$1843,$CG$7:$CG$1843,CG254,$BH$7:$BH$1843,"&gt;"&amp;BH254)+SUMIFS($BD$7:$BD$1843,$CG$7:$CG$1843,CG254,$BH$7:$BH$1843,BH254,$BX$7:$BX$1843,"&lt;="&amp;BX254),"")</f>
        <v>13536.3872824445</v>
      </c>
      <c r="BJ254" s="70" t="n">
        <f aca="false">IF(BI254="",0,MAX(0,MIN(1,(IF(CG254="L1",Parameter!$H$5,IF(CG254="L23",Parameter!$H$6+Parameter!$H$7,Parameter!$H$5+Parameter!$H$6+Parameter!$H$7))-(BI254-BD254))/BD254)))</f>
        <v>1</v>
      </c>
      <c r="BK254" s="60" t="str">
        <f aca="false">IF(AJ254&lt;=0,"",IF(CG254="Aussen","Aussenlager",IF(CG254="-","Nicht im Lift",IF(AP254&gt;=1,"Lift",IF(AP254&lt;=0,"Aussenlager","teilweise")))))</f>
        <v>Lift</v>
      </c>
      <c r="BL254" s="60" t="str">
        <f aca="false">IF(AT254&lt;=0,"",IF(CG254="Aussen","Aussenlager",IF(CG254="-","Nicht im Lift",IF(AZ254&gt;=1,"Lift",IF(AZ254&lt;=0,"Aussenlager","teilweise")))))</f>
        <v>Lift</v>
      </c>
      <c r="BM254" s="60" t="str">
        <f aca="false">IF(BD254&lt;=0,"",IF(CG254="Aussen","Aussenlager",IF(CG254="-","Nicht im Lift",IF(BJ254&gt;=1,"Lift",IF(BJ254&lt;=0,"Aussenlager","teilweise")))))</f>
        <v>Lift</v>
      </c>
      <c r="BN254" s="60" t="str">
        <f aca="false">IF(A254="","",IF(BW254=1,"Neu; ","")&amp;IF(AND(BW254=0,BR254&lt;0),"negativer Bestand (Export "&amp;BR254&amp;"); ","")&amp;IF(J254&lt;=0,"Kein Verbrauch; ","")&amp;IF(CR254&gt;0,"Lift "&amp;W254&amp;" lt. Liftbericht (Fach "&amp;X254&amp;" Stk); ",IF(CB254=1,"Gebinde geschätzt ("&amp;T254&amp;"); ",IF(CA254=1,"Lose – Tablare geschätzt; ","")))&amp;IF(H254&gt;AW254,"Überbestand "&amp;ROUND(H254-AW254,0)&amp;" Stk / CHF "&amp;ROUND((H254-AW254)*G254,0)&amp;"; ","")&amp;IF(AND(CI254=1,CJ254&lt;CK254),"MAX &lt; MB+LG; ","")&amp;IF(AND(CQ254&gt;0,CP254*10&gt;CQ254),"zu hoch für Tablar; ","")&amp;IF(AND(BW254=0,OR(CI254=1,AB254&lt;&gt;"",U254&lt;&gt;"",V254&lt;&gt;"",AC254&lt;&gt;"")),"manuell übersteuert; ","")&amp;IF(AND(CA254=0,R254=0),"Gebinde unbekannt / Stellmass fehlt; ","")&amp;IF(AND(CA254=0,N(V254)&lt;=0,N(Q254)&lt;=0),"Menge pro Gebinde fehlt (Ist = 1 Gebinde); ","")&amp;BV254)</f>
        <v>Gebinde geschätzt (Mittel); Überbestand 2 Stk / CHF 237; Menge pro Gebinde fehlt (Ist = 1 Gebinde); </v>
      </c>
      <c r="BO254" s="60"/>
      <c r="BP254" s="60"/>
      <c r="BQ254" s="67"/>
      <c r="BR254" s="62" t="n">
        <v>4</v>
      </c>
      <c r="BS254" s="62" t="n">
        <v>0</v>
      </c>
      <c r="BT254" s="61" t="n">
        <v>474.48</v>
      </c>
      <c r="BU254" s="62" t="n">
        <v>2</v>
      </c>
      <c r="BV254" s="60"/>
      <c r="BW254" s="65" t="n">
        <v>0</v>
      </c>
      <c r="BX254" s="65" t="n">
        <v>254</v>
      </c>
      <c r="BY254" s="60" t="str">
        <f aca="false">IF(U254&lt;&gt;"",UPPER(TRIM(U254)),IF(CB254=1,UPPER(VLOOKUP(T254,Parameter!$I$27:$K$29,2,0)),IF(P254="","LOSE",P254)))</f>
        <v>S61</v>
      </c>
      <c r="BZ254" s="62" t="n">
        <f aca="false">IF(BY254="LOSE",1,IF(N(V254)&gt;0,V254,IF(CB254=1,MAX(1,N(VLOOKUP(T254,Parameter!$I$27:$K$29,3,0)),H254,N(N254)),IF(N(Q254)&gt;0,Q254,MAX(1,H254)))))</f>
        <v>4</v>
      </c>
      <c r="CA254" s="65" t="n">
        <f aca="false">IF(BY254="LOSE",1,0)</f>
        <v>0</v>
      </c>
      <c r="CB254" s="65" t="n">
        <f aca="false">IF(AND(U254="",OR(P254="",P254="LOSE"),T254&lt;&gt;"",N(S254)&lt;=0,ISNUMBER(MATCH(T254,Parameter!$I$27:$I$29,0))),1,0)</f>
        <v>1</v>
      </c>
      <c r="CC254" s="65" t="n">
        <f aca="false">IF(CR254&gt;0,INDEX(Parameter!$H$5:$H$7,W254)/INDEX(Parameter!$E$5:$E$7,W254),IF(AND(CA254=0,N(IFERROR(VLOOKUP(BY254,'Gebinde-Kategorie'!$A$5:$N$45,14,0),0))&gt;0),VLOOKUP(BY254,'Gebinde-Kategorie'!$A$5:$N$45,14,0)*10+Parameter!$M$23,Parameter!$M$24))</f>
        <v>145</v>
      </c>
      <c r="CD254" s="60" t="str">
        <f aca="false">IF(AND(Parameter!$B$19="Ja",E254&lt;&gt;"",ISNUMBER(MATCH(E254,Parameter!$I$35:$I$52,0))),VLOOKUP(E254,Parameter!$I$35:$J$52,2,0),IFERROR(VLOOKUP(D254,Parameter!$A$35:$C$64,2,0),"Nein"))</f>
        <v>2+3</v>
      </c>
      <c r="CE254" s="64" t="n">
        <f aca="false">IF(CA254=0,0,IF(N(S254)&gt;0,S254,IFERROR(VLOOKUP(D254,Parameter!$A$35:$C$64,3,0)+0,0)))</f>
        <v>0</v>
      </c>
      <c r="CF254" s="60" t="n">
        <f aca="false">IF(AB254&lt;&gt;"",AB254,AA254)</f>
        <v>3</v>
      </c>
      <c r="CG254" s="60" t="str">
        <f aca="false">IF(OR(CF254=1,CF254=2,CF254=3),IF(Parameter!$E$27="Ja","LIFT",IF(CF254=1,"L1","L23")),IF(CF254="Aussen","Aussen","-"))</f>
        <v>LIFT</v>
      </c>
      <c r="CH254" s="71" t="n">
        <f aca="false">IF(N(AC254)&gt;0,AC254,0)</f>
        <v>0</v>
      </c>
      <c r="CI254" s="65" t="n">
        <f aca="false">IF(ISNUMBER(AF254),1,0)</f>
        <v>0</v>
      </c>
      <c r="CJ254" s="62" t="n">
        <f aca="false">N(AF254)</f>
        <v>0</v>
      </c>
      <c r="CK254" s="62" t="n">
        <f aca="false">N(M254)+N(N254)</f>
        <v>1</v>
      </c>
      <c r="CL254" s="62" t="n">
        <f aca="false">N(M254)</f>
        <v>0</v>
      </c>
      <c r="CM254" s="62" t="n">
        <f aca="false">N(N254)</f>
        <v>1</v>
      </c>
      <c r="CN254" s="62" t="n">
        <f aca="false">ROUNDUP(H254/BZ254,0)</f>
        <v>1</v>
      </c>
      <c r="CO254" s="62" t="n">
        <f aca="false">ROUNDUP(CJ254/BZ254,0)</f>
        <v>0</v>
      </c>
      <c r="CP254" s="65" t="n">
        <f aca="false">IF(CA254=1,0,IFERROR(VLOOKUP(BY254,'Gebinde-Kategorie'!$A$5:$N$45,5,0)+0,0))</f>
        <v>11</v>
      </c>
      <c r="CQ254" s="65" t="n">
        <f aca="false">IFERROR(IF(OR(CF254=1,CF254=2,CF254=3),N(INDEX(Parameter!$I$5:$I$7,CF254)),0),0)</f>
        <v>0</v>
      </c>
      <c r="CR254" s="64" t="n">
        <f aca="false">IF(AND(Parameter!$B$21="Ja",ISNUMBER(W254),N(X254)&gt;0),IFERROR(N(INDEX(Parameter!$L$5:$L$7,W254))*INDEX(Parameter!$E$5:$E$7,W254)*X254/SUMIFS($X$7:$X$1843,$W$7:$W$1843,W254),0),0)</f>
        <v>0</v>
      </c>
      <c r="CS254" s="62" t="n">
        <f aca="false">IF(AND(OR(CG254="L1",CG254="L23",CG254="LIFT"),H254&gt;0),CC254*IF(CR254&gt;0,CR254*MAX(1,H254/X254),IF(CA254=1,CE254,IF(R254&gt;0,CN254/R254,0))/MAX(0.1,N(Parameter!$M$21))),"")</f>
        <v>12.0833333333333</v>
      </c>
      <c r="CT254" s="64" t="n">
        <f aca="false">IF(CS254="","",J254/H254)</f>
        <v>0.5</v>
      </c>
      <c r="CU254" s="62" t="n">
        <f aca="false">IF(CS254="","",H254*G254)</f>
        <v>474.48</v>
      </c>
      <c r="CV254" s="63" t="n">
        <f aca="false">IF(CS254="","",(CL254+ROUNDUP(CL254+MAX(CM254,2*(J254/MAX(0.1,N(Einkauf!$C$6))-CL254)),0))/2)</f>
        <v>0.5</v>
      </c>
      <c r="CW254" s="62" t="n">
        <f aca="false">IF(CS254="","",MAX(0,H254-CV254)*G254)</f>
        <v>415.17</v>
      </c>
      <c r="CX254" s="62" t="n">
        <f aca="false">IF(CS254="","",CS254*MAX(0,1-CV254/H254))</f>
        <v>10.5729166666667</v>
      </c>
      <c r="CY254" s="64" t="n">
        <f aca="false">IF(CS254="","",PERCENTRANK($CS$7:$CS$1843,CS254)+PERCENTRANK($CU$7:$CU$1843,CU254)+1-PERCENTRANK($CT$7:$CT$1843,CT254))</f>
        <v>1.613</v>
      </c>
      <c r="CZ254" s="72" t="n">
        <f aca="false">IF(CS254="","",CHOOSE(MATCH(Einkauf!$C$5,Parameter!$G$23:$G$27,0),CY254,CS254,CU254,-CT254,CW254)+ROW()/1000000000)</f>
        <v>1.613000254</v>
      </c>
    </row>
    <row r="255" customFormat="false" ht="15" hidden="false" customHeight="false" outlineLevel="0" collapsed="false">
      <c r="A255" s="60" t="s">
        <v>735</v>
      </c>
      <c r="B255" s="60" t="s">
        <v>736</v>
      </c>
      <c r="C255" s="60" t="s">
        <v>206</v>
      </c>
      <c r="D255" s="60" t="s">
        <v>226</v>
      </c>
      <c r="E255" s="60"/>
      <c r="F255" s="60" t="s">
        <v>260</v>
      </c>
      <c r="G255" s="61" t="n">
        <v>5.93</v>
      </c>
      <c r="H255" s="62" t="n">
        <f aca="false">MAX(0,IF(AND(Parameter!$B$21="Ja",ISNUMBER(Y255)),Y255,IF(Parameter!$B$20="Jahresanfang 2025 + Export",BS255+BR255,BR255)))</f>
        <v>176</v>
      </c>
      <c r="I255" s="62" t="n">
        <f aca="false">H255*G255</f>
        <v>1043.68</v>
      </c>
      <c r="J255" s="62" t="n">
        <f aca="false">BU255*Parameter!$B$18</f>
        <v>193</v>
      </c>
      <c r="K255" s="63" t="n">
        <v>79</v>
      </c>
      <c r="L255" s="64" t="n">
        <v>2.44303797468354</v>
      </c>
      <c r="M255" s="62" t="n">
        <v>7</v>
      </c>
      <c r="N255" s="62" t="n">
        <v>195</v>
      </c>
      <c r="O255" s="65" t="n">
        <v>14</v>
      </c>
      <c r="P255" s="60" t="s">
        <v>210</v>
      </c>
      <c r="Q255" s="62"/>
      <c r="R255" s="65" t="n">
        <f aca="false">IF(CA255=1,0,IFERROR(VLOOKUP(BY255,'Gebinde-Kategorie'!$A$5:$N$45,13,0)+0,0))</f>
        <v>26</v>
      </c>
      <c r="S255" s="66"/>
      <c r="T255" s="67" t="s">
        <v>317</v>
      </c>
      <c r="U255" s="67"/>
      <c r="V255" s="67"/>
      <c r="W255" s="60"/>
      <c r="X255" s="62"/>
      <c r="Y255" s="62"/>
      <c r="Z255" s="60" t="n">
        <v>3</v>
      </c>
      <c r="AA255" s="60" t="n">
        <f aca="false">IF(A255="","",IF(AND(Parameter!$B$21="Ja",ISNUMBER(W255)),W255,IF(AND(Parameter!$E$27="Ja",ISNUMBER(Z255),CD255&lt;&gt;"Nein"),Z255,IF(CD255="2+3",IF(ISNUMBER(SEARCH("grosser Artikel",BV255)),2,IFERROR(VLOOKUP(BY255,Parameter!$F$35:$G$64,2,0),2)),IF(OR(CD255="Nein",CD255=""),"-",CD255)))))</f>
        <v>3</v>
      </c>
      <c r="AB255" s="67"/>
      <c r="AC255" s="68"/>
      <c r="AD255" s="62" t="n">
        <f aca="false">AW255</f>
        <v>202</v>
      </c>
      <c r="AE255" s="62" t="n">
        <f aca="false">MAX(AW255,H255)</f>
        <v>202</v>
      </c>
      <c r="AF255" s="69"/>
      <c r="AG255" s="62" t="n">
        <f aca="false">IF(LEFT(Cockpit!$C$5,1)="A",H255,IF(Parameter!$E$30="MAX-Bestand",IF(CI255=1,CJ255,IF(LEFT(Cockpit!$C$5,1)="B",AM255,MAX(AM255,H255))),ROUNDUP(AK255,0)))</f>
        <v>176</v>
      </c>
      <c r="AH255" s="62" t="n">
        <f aca="false">IF(CA255=1,0,ROUNDUP(AG255/BZ255,0))</f>
        <v>1</v>
      </c>
      <c r="AI255" s="64" t="n">
        <f aca="false">IF(CR255&gt;0,CR255*MAX(1,AG255/X255),IF(CA255=1,IF(AG255&lt;=0,0,CE255*MAX(1,IF(H255&gt;0,AG255/H255,1))),IF(R255&gt;0,AH255/R255,0))/MAX(0.1,N(Parameter!$M$21)))</f>
        <v>0.0384615384615385</v>
      </c>
      <c r="AJ255" s="62" t="n">
        <f aca="false">AI255*CC255</f>
        <v>5.96153846153846</v>
      </c>
      <c r="AK255" s="63" t="n">
        <f aca="false">IF(LEFT(Cockpit!$C$5,1)="A",H255,IF(CI255=1,(CL255+CJ255)/2,IF(LEFT(Cockpit!$C$5,1)="B",(CL255+AM255)/2,MAX((CL255+AM255)/2,H255))))</f>
        <v>176</v>
      </c>
      <c r="AL255" s="62" t="n">
        <f aca="false">AK255*G255</f>
        <v>1043.68</v>
      </c>
      <c r="AM255" s="62" t="n">
        <f aca="false">ROUNDUP(CL255+MAX(CM255,2*(J255/IF(CH255&gt;0,CH255,MAX(0.1,N(Cockpit!$C$6)))-CL255)),0)</f>
        <v>202</v>
      </c>
      <c r="AN255" s="63" t="n">
        <f aca="false">IF(AJ255&gt;0,J255/AJ255,-1)</f>
        <v>32.3741935483871</v>
      </c>
      <c r="AO255" s="63" t="n">
        <f aca="false">IF(AND(OR(CG255="L1",CG255="L23",CG255="LIFT"),AJ255&gt;0),SUMIFS($AJ$7:$AJ$1843,$CG$7:$CG$1843,CG255,$AN$7:$AN$1843,"&gt;"&amp;AN255)+SUMIFS($AJ$7:$AJ$1843,$CG$7:$CG$1843,CG255,$AN$7:$AN$1843,AN255,$BX$7:$BX$1843,"&lt;="&amp;BX255),"")</f>
        <v>1352.96428571429</v>
      </c>
      <c r="AP255" s="70" t="n">
        <f aca="false">IF(AO255="",0,MAX(0,MIN(1,(IF(CG255="L1",Parameter!$H$5,IF(CG255="L23",Parameter!$H$6+Parameter!$H$7,Parameter!$H$5+Parameter!$H$6+Parameter!$H$7))-(AO255-AJ255))/AJ255)))</f>
        <v>1</v>
      </c>
      <c r="AQ255" s="62" t="n">
        <f aca="false">IF(LEFT(Cockpit!$I$5,1)="A",H255,IF(Parameter!$E$30="MAX-Bestand",IF(CI255=1,CJ255,IF(LEFT(Cockpit!$I$5,1)="B",AW255,MAX(AW255,H255))),ROUNDUP(AU255,0)))</f>
        <v>176</v>
      </c>
      <c r="AR255" s="62" t="n">
        <f aca="false">IF(CA255=1,0,ROUNDUP(AQ255/BZ255,0))</f>
        <v>1</v>
      </c>
      <c r="AS255" s="64" t="n">
        <f aca="false">IF(CR255&gt;0,CR255*MAX(1,AQ255/X255),IF(CA255=1,IF(AQ255&lt;=0,0,CE255*MAX(1,IF(H255&gt;0,AQ255/H255,1))),IF(R255&gt;0,AR255/R255,0))/MAX(0.1,N(Parameter!$M$21)))</f>
        <v>0.0384615384615385</v>
      </c>
      <c r="AT255" s="62" t="n">
        <f aca="false">AS255*CC255</f>
        <v>5.96153846153846</v>
      </c>
      <c r="AU255" s="63" t="n">
        <f aca="false">IF(LEFT(Cockpit!$I$5,1)="A",H255,IF(CI255=1,(CL255+CJ255)/2,IF(LEFT(Cockpit!$I$5,1)="B",(CL255+AW255)/2,MAX((CL255+AW255)/2,H255))))</f>
        <v>176</v>
      </c>
      <c r="AV255" s="62" t="n">
        <f aca="false">AU255*G255</f>
        <v>1043.68</v>
      </c>
      <c r="AW255" s="62" t="n">
        <f aca="false">ROUNDUP(CL255+MAX(CM255,2*(J255/IF(CH255&gt;0,CH255,MAX(0.1,N(Cockpit!$I$6)))-CL255)),0)</f>
        <v>202</v>
      </c>
      <c r="AX255" s="63" t="n">
        <f aca="false">IF(AT255&gt;0,J255/AT255,-1)</f>
        <v>32.3741935483871</v>
      </c>
      <c r="AY255" s="63" t="n">
        <f aca="false">IF(AND(OR(CG255="L1",CG255="L23",CG255="LIFT"),AT255&gt;0),SUMIFS($AT$7:$AT$1843,$CG$7:$CG$1843,CG255,$AX$7:$AX$1843,"&gt;"&amp;AX255)+SUMIFS($AT$7:$AT$1843,$CG$7:$CG$1843,CG255,$AX$7:$AX$1843,AX255,$BX$7:$BX$1843,"&lt;="&amp;BX255),"")</f>
        <v>1746.23031135531</v>
      </c>
      <c r="AZ255" s="70" t="n">
        <f aca="false">IF(AY255="",0,MAX(0,MIN(1,(IF(CG255="L1",Parameter!$H$5,IF(CG255="L23",Parameter!$H$6+Parameter!$H$7,Parameter!$H$5+Parameter!$H$6+Parameter!$H$7))-(AY255-AT255))/AT255)))</f>
        <v>1</v>
      </c>
      <c r="BA255" s="62" t="n">
        <f aca="false">IF(LEFT(Cockpit!$O$5,1)="A",H255,IF(Parameter!$E$30="MAX-Bestand",IF(CI255=1,CJ255,IF(LEFT(Cockpit!$O$5,1)="B",BG255,MAX(BG255,H255))),ROUNDUP(BE255,0)))</f>
        <v>105</v>
      </c>
      <c r="BB255" s="62" t="n">
        <f aca="false">IF(CA255=1,0,ROUNDUP(BA255/BZ255,0))</f>
        <v>1</v>
      </c>
      <c r="BC255" s="64" t="n">
        <f aca="false">IF(CR255&gt;0,CR255*MAX(1,BA255/X255),IF(CA255=1,IF(BA255&lt;=0,0,CE255*MAX(1,IF(H255&gt;0,BA255/H255,1))),IF(R255&gt;0,BB255/R255,0))/MAX(0.1,N(Parameter!$M$21)))</f>
        <v>0.0384615384615385</v>
      </c>
      <c r="BD255" s="62" t="n">
        <f aca="false">BC255*CC255</f>
        <v>5.96153846153846</v>
      </c>
      <c r="BE255" s="63" t="n">
        <f aca="false">IF(LEFT(Cockpit!$O$5,1)="A",H255,IF(CI255=1,(CL255+CJ255)/2,IF(LEFT(Cockpit!$O$5,1)="B",(CL255+BG255)/2,MAX((CL255+BG255)/2,H255))))</f>
        <v>104.5</v>
      </c>
      <c r="BF255" s="62" t="n">
        <f aca="false">BE255*G255</f>
        <v>619.685</v>
      </c>
      <c r="BG255" s="62" t="n">
        <f aca="false">ROUNDUP(CL255+MAX(CM255,2*(J255/IF(CH255&gt;0,CH255,MAX(0.1,N(Cockpit!$O$6)))-CL255)),0)</f>
        <v>202</v>
      </c>
      <c r="BH255" s="63" t="n">
        <f aca="false">IF(BD255&gt;0,J255/BD255,-1)</f>
        <v>32.3741935483871</v>
      </c>
      <c r="BI255" s="63" t="n">
        <f aca="false">IF(AND(OR(CG255="L1",CG255="L23",CG255="LIFT"),BD255&gt;0),SUMIFS($BD$7:$BD$1843,$CG$7:$CG$1843,CG255,$BH$7:$BH$1843,"&gt;"&amp;BH255)+SUMIFS($BD$7:$BD$1843,$CG$7:$CG$1843,CG255,$BH$7:$BH$1843,BH255,$BX$7:$BX$1843,"&lt;="&amp;BX255),"")</f>
        <v>1685.90613553114</v>
      </c>
      <c r="BJ255" s="70" t="n">
        <f aca="false">IF(BI255="",0,MAX(0,MIN(1,(IF(CG255="L1",Parameter!$H$5,IF(CG255="L23",Parameter!$H$6+Parameter!$H$7,Parameter!$H$5+Parameter!$H$6+Parameter!$H$7))-(BI255-BD255))/BD255)))</f>
        <v>1</v>
      </c>
      <c r="BK255" s="60" t="str">
        <f aca="false">IF(AJ255&lt;=0,"",IF(CG255="Aussen","Aussenlager",IF(CG255="-","Nicht im Lift",IF(AP255&gt;=1,"Lift",IF(AP255&lt;=0,"Aussenlager","teilweise")))))</f>
        <v>Lift</v>
      </c>
      <c r="BL255" s="60" t="str">
        <f aca="false">IF(AT255&lt;=0,"",IF(CG255="Aussen","Aussenlager",IF(CG255="-","Nicht im Lift",IF(AZ255&gt;=1,"Lift",IF(AZ255&lt;=0,"Aussenlager","teilweise")))))</f>
        <v>Lift</v>
      </c>
      <c r="BM255" s="60" t="str">
        <f aca="false">IF(BD255&lt;=0,"",IF(CG255="Aussen","Aussenlager",IF(CG255="-","Nicht im Lift",IF(BJ255&gt;=1,"Lift",IF(BJ255&lt;=0,"Aussenlager","teilweise")))))</f>
        <v>Lift</v>
      </c>
      <c r="BN255" s="60" t="str">
        <f aca="false">IF(A255="","",IF(BW255=1,"Neu; ","")&amp;IF(AND(BW255=0,BR255&lt;0),"negativer Bestand (Export "&amp;BR255&amp;"); ","")&amp;IF(J255&lt;=0,"Kein Verbrauch; ","")&amp;IF(CR255&gt;0,"Lift "&amp;W255&amp;" lt. Liftbericht (Fach "&amp;X255&amp;" Stk); ",IF(CB255=1,"Gebinde geschätzt ("&amp;T255&amp;"); ",IF(CA255=1,"Lose – Tablare geschätzt; ","")))&amp;IF(H255&gt;AW255,"Überbestand "&amp;ROUND(H255-AW255,0)&amp;" Stk / CHF "&amp;ROUND((H255-AW255)*G255,0)&amp;"; ","")&amp;IF(AND(CI255=1,CJ255&lt;CK255),"MAX &lt; MB+LG; ","")&amp;IF(AND(CQ255&gt;0,CP255*10&gt;CQ255),"zu hoch für Tablar; ","")&amp;IF(AND(BW255=0,OR(CI255=1,AB255&lt;&gt;"",U255&lt;&gt;"",V255&lt;&gt;"",AC255&lt;&gt;"")),"manuell übersteuert; ","")&amp;IF(AND(CA255=0,R255=0),"Gebinde unbekannt / Stellmass fehlt; ","")&amp;IF(AND(CA255=0,N(V255)&lt;=0,N(Q255)&lt;=0),"Menge pro Gebinde fehlt (Ist = 1 Gebinde); ","")&amp;BV255)</f>
        <v>Gebinde geschätzt (Klein); Menge pro Gebinde fehlt (Ist = 1 Gebinde); </v>
      </c>
      <c r="BO255" s="60"/>
      <c r="BP255" s="60"/>
      <c r="BQ255" s="67"/>
      <c r="BR255" s="62" t="n">
        <v>83</v>
      </c>
      <c r="BS255" s="62" t="n">
        <v>93</v>
      </c>
      <c r="BT255" s="61" t="n">
        <v>470.8</v>
      </c>
      <c r="BU255" s="62" t="n">
        <v>193</v>
      </c>
      <c r="BV255" s="60"/>
      <c r="BW255" s="65" t="n">
        <v>0</v>
      </c>
      <c r="BX255" s="65" t="n">
        <v>255</v>
      </c>
      <c r="BY255" s="60" t="str">
        <f aca="false">IF(U255&lt;&gt;"",UPPER(TRIM(U255)),IF(CB255=1,UPPER(VLOOKUP(T255,Parameter!$I$27:$K$29,2,0)),IF(P255="","LOSE",P255)))</f>
        <v>S51</v>
      </c>
      <c r="BZ255" s="62" t="n">
        <f aca="false">IF(BY255="LOSE",1,IF(N(V255)&gt;0,V255,IF(CB255=1,MAX(1,N(VLOOKUP(T255,Parameter!$I$27:$K$29,3,0)),H255,N(N255)),IF(N(Q255)&gt;0,Q255,MAX(1,H255)))))</f>
        <v>195</v>
      </c>
      <c r="CA255" s="65" t="n">
        <f aca="false">IF(BY255="LOSE",1,0)</f>
        <v>0</v>
      </c>
      <c r="CB255" s="65" t="n">
        <f aca="false">IF(AND(U255="",OR(P255="",P255="LOSE"),T255&lt;&gt;"",N(S255)&lt;=0,ISNUMBER(MATCH(T255,Parameter!$I$27:$I$29,0))),1,0)</f>
        <v>1</v>
      </c>
      <c r="CC255" s="65" t="n">
        <f aca="false">IF(CR255&gt;0,INDEX(Parameter!$H$5:$H$7,W255)/INDEX(Parameter!$E$5:$E$7,W255),IF(AND(CA255=0,N(IFERROR(VLOOKUP(BY255,'Gebinde-Kategorie'!$A$5:$N$45,14,0),0))&gt;0),VLOOKUP(BY255,'Gebinde-Kategorie'!$A$5:$N$45,14,0)*10+Parameter!$M$23,Parameter!$M$24))</f>
        <v>155</v>
      </c>
      <c r="CD255" s="60" t="str">
        <f aca="false">IF(AND(Parameter!$B$19="Ja",E255&lt;&gt;"",ISNUMBER(MATCH(E255,Parameter!$I$35:$I$52,0))),VLOOKUP(E255,Parameter!$I$35:$J$52,2,0),IFERROR(VLOOKUP(D255,Parameter!$A$35:$C$64,2,0),"Nein"))</f>
        <v>2+3</v>
      </c>
      <c r="CE255" s="64" t="n">
        <f aca="false">IF(CA255=0,0,IF(N(S255)&gt;0,S255,IFERROR(VLOOKUP(D255,Parameter!$A$35:$C$64,3,0)+0,0)))</f>
        <v>0</v>
      </c>
      <c r="CF255" s="60" t="n">
        <f aca="false">IF(AB255&lt;&gt;"",AB255,AA255)</f>
        <v>3</v>
      </c>
      <c r="CG255" s="60" t="str">
        <f aca="false">IF(OR(CF255=1,CF255=2,CF255=3),IF(Parameter!$E$27="Ja","LIFT",IF(CF255=1,"L1","L23")),IF(CF255="Aussen","Aussen","-"))</f>
        <v>LIFT</v>
      </c>
      <c r="CH255" s="71" t="n">
        <f aca="false">IF(N(AC255)&gt;0,AC255,0)</f>
        <v>0</v>
      </c>
      <c r="CI255" s="65" t="n">
        <f aca="false">IF(ISNUMBER(AF255),1,0)</f>
        <v>0</v>
      </c>
      <c r="CJ255" s="62" t="n">
        <f aca="false">N(AF255)</f>
        <v>0</v>
      </c>
      <c r="CK255" s="62" t="n">
        <f aca="false">N(M255)+N(N255)</f>
        <v>202</v>
      </c>
      <c r="CL255" s="62" t="n">
        <f aca="false">N(M255)</f>
        <v>7</v>
      </c>
      <c r="CM255" s="62" t="n">
        <f aca="false">N(N255)</f>
        <v>195</v>
      </c>
      <c r="CN255" s="62" t="n">
        <f aca="false">ROUNDUP(H255/BZ255,0)</f>
        <v>1</v>
      </c>
      <c r="CO255" s="62" t="n">
        <f aca="false">ROUNDUP(CJ255/BZ255,0)</f>
        <v>0</v>
      </c>
      <c r="CP255" s="65" t="n">
        <f aca="false">IF(CA255=1,0,IFERROR(VLOOKUP(BY255,'Gebinde-Kategorie'!$A$5:$N$45,5,0)+0,0))</f>
        <v>11</v>
      </c>
      <c r="CQ255" s="65" t="n">
        <f aca="false">IFERROR(IF(OR(CF255=1,CF255=2,CF255=3),N(INDEX(Parameter!$I$5:$I$7,CF255)),0),0)</f>
        <v>0</v>
      </c>
      <c r="CR255" s="64" t="n">
        <f aca="false">IF(AND(Parameter!$B$21="Ja",ISNUMBER(W255),N(X255)&gt;0),IFERROR(N(INDEX(Parameter!$L$5:$L$7,W255))*INDEX(Parameter!$E$5:$E$7,W255)*X255/SUMIFS($X$7:$X$1843,$W$7:$W$1843,W255),0),0)</f>
        <v>0</v>
      </c>
      <c r="CS255" s="62" t="n">
        <f aca="false">IF(AND(OR(CG255="L1",CG255="L23",CG255="LIFT"),H255&gt;0),CC255*IF(CR255&gt;0,CR255*MAX(1,H255/X255),IF(CA255=1,CE255,IF(R255&gt;0,CN255/R255,0))/MAX(0.1,N(Parameter!$M$21))),"")</f>
        <v>5.96153846153846</v>
      </c>
      <c r="CT255" s="64" t="n">
        <f aca="false">IF(CS255="","",J255/H255)</f>
        <v>1.09659090909091</v>
      </c>
      <c r="CU255" s="62" t="n">
        <f aca="false">IF(CS255="","",H255*G255)</f>
        <v>1043.68</v>
      </c>
      <c r="CV255" s="63" t="n">
        <f aca="false">IF(CS255="","",(CL255+ROUNDUP(CL255+MAX(CM255,2*(J255/MAX(0.1,N(Einkauf!$C$6))-CL255)),0))/2)</f>
        <v>104.5</v>
      </c>
      <c r="CW255" s="62" t="n">
        <f aca="false">IF(CS255="","",MAX(0,H255-CV255)*G255)</f>
        <v>423.995</v>
      </c>
      <c r="CX255" s="62" t="n">
        <f aca="false">IF(CS255="","",CS255*MAX(0,1-CV255/H255))</f>
        <v>2.421875</v>
      </c>
      <c r="CY255" s="64" t="n">
        <f aca="false">IF(CS255="","",PERCENTRANK($CS$7:$CS$1843,CS255)+PERCENTRANK($CU$7:$CU$1843,CU255)+1-PERCENTRANK($CT$7:$CT$1843,CT255))</f>
        <v>1.326</v>
      </c>
      <c r="CZ255" s="72" t="n">
        <f aca="false">IF(CS255="","",CHOOSE(MATCH(Einkauf!$C$5,Parameter!$G$23:$G$27,0),CY255,CS255,CU255,-CT255,CW255)+ROW()/1000000000)</f>
        <v>1.326000255</v>
      </c>
    </row>
    <row r="256" customFormat="false" ht="15" hidden="false" customHeight="false" outlineLevel="0" collapsed="false">
      <c r="A256" s="60" t="s">
        <v>737</v>
      </c>
      <c r="B256" s="60" t="s">
        <v>738</v>
      </c>
      <c r="C256" s="60" t="s">
        <v>206</v>
      </c>
      <c r="D256" s="60" t="s">
        <v>226</v>
      </c>
      <c r="E256" s="60" t="s">
        <v>227</v>
      </c>
      <c r="F256" s="60" t="s">
        <v>260</v>
      </c>
      <c r="G256" s="61" t="n">
        <v>116.9</v>
      </c>
      <c r="H256" s="62" t="n">
        <f aca="false">MAX(0,IF(AND(Parameter!$B$21="Ja",ISNUMBER(Y256)),Y256,IF(Parameter!$B$20="Jahresanfang 2025 + Export",BS256+BR256,BR256)))</f>
        <v>4</v>
      </c>
      <c r="I256" s="62" t="n">
        <f aca="false">H256*G256</f>
        <v>467.6</v>
      </c>
      <c r="J256" s="62" t="n">
        <f aca="false">BU256*Parameter!$B$18</f>
        <v>0</v>
      </c>
      <c r="K256" s="63" t="n">
        <v>2.5</v>
      </c>
      <c r="L256" s="64" t="n">
        <v>0</v>
      </c>
      <c r="M256" s="62" t="n">
        <v>0</v>
      </c>
      <c r="N256" s="62" t="n">
        <v>1</v>
      </c>
      <c r="O256" s="65" t="n">
        <v>21</v>
      </c>
      <c r="P256" s="60" t="s">
        <v>275</v>
      </c>
      <c r="Q256" s="62" t="n">
        <v>9</v>
      </c>
      <c r="R256" s="65" t="n">
        <f aca="false">IF(CA256=1,0,IFERROR(VLOOKUP(BY256,'Gebinde-Kategorie'!$A$5:$N$45,13,0)+0,0))</f>
        <v>26</v>
      </c>
      <c r="S256" s="66"/>
      <c r="T256" s="67"/>
      <c r="U256" s="67"/>
      <c r="V256" s="67"/>
      <c r="W256" s="60"/>
      <c r="X256" s="62"/>
      <c r="Y256" s="62"/>
      <c r="Z256" s="60" t="n">
        <v>3</v>
      </c>
      <c r="AA256" s="60" t="n">
        <f aca="false">IF(A256="","",IF(AND(Parameter!$B$21="Ja",ISNUMBER(W256)),W256,IF(AND(Parameter!$E$27="Ja",ISNUMBER(Z256),CD256&lt;&gt;"Nein"),Z256,IF(CD256="2+3",IF(ISNUMBER(SEARCH("grosser Artikel",BV256)),2,IFERROR(VLOOKUP(BY256,Parameter!$F$35:$G$64,2,0),2)),IF(OR(CD256="Nein",CD256=""),"-",CD256)))))</f>
        <v>3</v>
      </c>
      <c r="AB256" s="67"/>
      <c r="AC256" s="68"/>
      <c r="AD256" s="62" t="n">
        <f aca="false">AW256</f>
        <v>1</v>
      </c>
      <c r="AE256" s="62" t="n">
        <f aca="false">MAX(AW256,H256)</f>
        <v>4</v>
      </c>
      <c r="AF256" s="69"/>
      <c r="AG256" s="62" t="n">
        <f aca="false">IF(LEFT(Cockpit!$C$5,1)="A",H256,IF(Parameter!$E$30="MAX-Bestand",IF(CI256=1,CJ256,IF(LEFT(Cockpit!$C$5,1)="B",AM256,MAX(AM256,H256))),ROUNDUP(AK256,0)))</f>
        <v>4</v>
      </c>
      <c r="AH256" s="62" t="n">
        <f aca="false">IF(CA256=1,0,ROUNDUP(AG256/BZ256,0))</f>
        <v>1</v>
      </c>
      <c r="AI256" s="64" t="n">
        <f aca="false">IF(CR256&gt;0,CR256*MAX(1,AG256/X256),IF(CA256=1,IF(AG256&lt;=0,0,CE256*MAX(1,IF(H256&gt;0,AG256/H256,1))),IF(R256&gt;0,AH256/R256,0))/MAX(0.1,N(Parameter!$M$21)))</f>
        <v>0.0384615384615385</v>
      </c>
      <c r="AJ256" s="62" t="n">
        <f aca="false">AI256*CC256</f>
        <v>9.42307692307692</v>
      </c>
      <c r="AK256" s="63" t="n">
        <f aca="false">IF(LEFT(Cockpit!$C$5,1)="A",H256,IF(CI256=1,(CL256+CJ256)/2,IF(LEFT(Cockpit!$C$5,1)="B",(CL256+AM256)/2,MAX((CL256+AM256)/2,H256))))</f>
        <v>4</v>
      </c>
      <c r="AL256" s="62" t="n">
        <f aca="false">AK256*G256</f>
        <v>467.6</v>
      </c>
      <c r="AM256" s="62" t="n">
        <f aca="false">ROUNDUP(CL256+MAX(CM256,2*(J256/IF(CH256&gt;0,CH256,MAX(0.1,N(Cockpit!$C$6)))-CL256)),0)</f>
        <v>1</v>
      </c>
      <c r="AN256" s="63" t="n">
        <f aca="false">IF(AJ256&gt;0,J256/AJ256,-1)</f>
        <v>0</v>
      </c>
      <c r="AO256" s="63" t="n">
        <f aca="false">IF(AND(OR(CG256="L1",CG256="L23",CG256="LIFT"),AJ256&gt;0),SUMIFS($AJ$7:$AJ$1843,$CG$7:$CG$1843,CG256,$AN$7:$AN$1843,"&gt;"&amp;AN256)+SUMIFS($AJ$7:$AJ$1843,$CG$7:$CG$1843,CG256,$AN$7:$AN$1843,AN256,$BX$7:$BX$1843,"&lt;="&amp;BX256),"")</f>
        <v>27760.5235197947</v>
      </c>
      <c r="AP256" s="70" t="n">
        <f aca="false">IF(AO256="",0,MAX(0,MIN(1,(IF(CG256="L1",Parameter!$H$5,IF(CG256="L23",Parameter!$H$6+Parameter!$H$7,Parameter!$H$5+Parameter!$H$6+Parameter!$H$7))-(AO256-AJ256))/AJ256)))</f>
        <v>1</v>
      </c>
      <c r="AQ256" s="62" t="n">
        <f aca="false">IF(LEFT(Cockpit!$I$5,1)="A",H256,IF(Parameter!$E$30="MAX-Bestand",IF(CI256=1,CJ256,IF(LEFT(Cockpit!$I$5,1)="B",AW256,MAX(AW256,H256))),ROUNDUP(AU256,0)))</f>
        <v>4</v>
      </c>
      <c r="AR256" s="62" t="n">
        <f aca="false">IF(CA256=1,0,ROUNDUP(AQ256/BZ256,0))</f>
        <v>1</v>
      </c>
      <c r="AS256" s="64" t="n">
        <f aca="false">IF(CR256&gt;0,CR256*MAX(1,AQ256/X256),IF(CA256=1,IF(AQ256&lt;=0,0,CE256*MAX(1,IF(H256&gt;0,AQ256/H256,1))),IF(R256&gt;0,AR256/R256,0))/MAX(0.1,N(Parameter!$M$21)))</f>
        <v>0.0384615384615385</v>
      </c>
      <c r="AT256" s="62" t="n">
        <f aca="false">AS256*CC256</f>
        <v>9.42307692307692</v>
      </c>
      <c r="AU256" s="63" t="n">
        <f aca="false">IF(LEFT(Cockpit!$I$5,1)="A",H256,IF(CI256=1,(CL256+CJ256)/2,IF(LEFT(Cockpit!$I$5,1)="B",(CL256+AW256)/2,MAX((CL256+AW256)/2,H256))))</f>
        <v>4</v>
      </c>
      <c r="AV256" s="62" t="n">
        <f aca="false">AU256*G256</f>
        <v>467.6</v>
      </c>
      <c r="AW256" s="62" t="n">
        <f aca="false">ROUNDUP(CL256+MAX(CM256,2*(J256/IF(CH256&gt;0,CH256,MAX(0.1,N(Cockpit!$I$6)))-CL256)),0)</f>
        <v>1</v>
      </c>
      <c r="AX256" s="63" t="n">
        <f aca="false">IF(AT256&gt;0,J256/AT256,-1)</f>
        <v>0</v>
      </c>
      <c r="AY256" s="63" t="n">
        <f aca="false">IF(AND(OR(CG256="L1",CG256="L23",CG256="LIFT"),AT256&gt;0),SUMIFS($AT$7:$AT$1843,$CG$7:$CG$1843,CG256,$AX$7:$AX$1843,"&gt;"&amp;AX256)+SUMIFS($AT$7:$AT$1843,$CG$7:$CG$1843,CG256,$AX$7:$AX$1843,AX256,$BX$7:$BX$1843,"&lt;="&amp;BX256),"")</f>
        <v>33113.6721611722</v>
      </c>
      <c r="AZ256" s="70" t="n">
        <f aca="false">IF(AY256="",0,MAX(0,MIN(1,(IF(CG256="L1",Parameter!$H$5,IF(CG256="L23",Parameter!$H$6+Parameter!$H$7,Parameter!$H$5+Parameter!$H$6+Parameter!$H$7))-(AY256-AT256))/AT256)))</f>
        <v>1</v>
      </c>
      <c r="BA256" s="62" t="n">
        <f aca="false">IF(LEFT(Cockpit!$O$5,1)="A",H256,IF(Parameter!$E$30="MAX-Bestand",IF(CI256=1,CJ256,IF(LEFT(Cockpit!$O$5,1)="B",BG256,MAX(BG256,H256))),ROUNDUP(BE256,0)))</f>
        <v>1</v>
      </c>
      <c r="BB256" s="62" t="n">
        <f aca="false">IF(CA256=1,0,ROUNDUP(BA256/BZ256,0))</f>
        <v>1</v>
      </c>
      <c r="BC256" s="64" t="n">
        <f aca="false">IF(CR256&gt;0,CR256*MAX(1,BA256/X256),IF(CA256=1,IF(BA256&lt;=0,0,CE256*MAX(1,IF(H256&gt;0,BA256/H256,1))),IF(R256&gt;0,BB256/R256,0))/MAX(0.1,N(Parameter!$M$21)))</f>
        <v>0.0384615384615385</v>
      </c>
      <c r="BD256" s="62" t="n">
        <f aca="false">BC256*CC256</f>
        <v>9.42307692307692</v>
      </c>
      <c r="BE256" s="63" t="n">
        <f aca="false">IF(LEFT(Cockpit!$O$5,1)="A",H256,IF(CI256=1,(CL256+CJ256)/2,IF(LEFT(Cockpit!$O$5,1)="B",(CL256+BG256)/2,MAX((CL256+BG256)/2,H256))))</f>
        <v>0.5</v>
      </c>
      <c r="BF256" s="62" t="n">
        <f aca="false">BE256*G256</f>
        <v>58.45</v>
      </c>
      <c r="BG256" s="62" t="n">
        <f aca="false">ROUNDUP(CL256+MAX(CM256,2*(J256/IF(CH256&gt;0,CH256,MAX(0.1,N(Cockpit!$O$6)))-CL256)),0)</f>
        <v>1</v>
      </c>
      <c r="BH256" s="63" t="n">
        <f aca="false">IF(BD256&gt;0,J256/BD256,-1)</f>
        <v>0</v>
      </c>
      <c r="BI256" s="63" t="n">
        <f aca="false">IF(AND(OR(CG256="L1",CG256="L23",CG256="LIFT"),BD256&gt;0),SUMIFS($BD$7:$BD$1843,$CG$7:$CG$1843,CG256,$BH$7:$BH$1843,"&gt;"&amp;BH256)+SUMIFS($BD$7:$BD$1843,$CG$7:$CG$1843,CG256,$BH$7:$BH$1843,BH256,$BX$7:$BX$1843,"&lt;="&amp;BX256),"")</f>
        <v>27268.4911839573</v>
      </c>
      <c r="BJ256" s="70" t="n">
        <f aca="false">IF(BI256="",0,MAX(0,MIN(1,(IF(CG256="L1",Parameter!$H$5,IF(CG256="L23",Parameter!$H$6+Parameter!$H$7,Parameter!$H$5+Parameter!$H$6+Parameter!$H$7))-(BI256-BD256))/BD256)))</f>
        <v>1</v>
      </c>
      <c r="BK256" s="60" t="str">
        <f aca="false">IF(AJ256&lt;=0,"",IF(CG256="Aussen","Aussenlager",IF(CG256="-","Nicht im Lift",IF(AP256&gt;=1,"Lift",IF(AP256&lt;=0,"Aussenlager","teilweise")))))</f>
        <v>Lift</v>
      </c>
      <c r="BL256" s="60" t="str">
        <f aca="false">IF(AT256&lt;=0,"",IF(CG256="Aussen","Aussenlager",IF(CG256="-","Nicht im Lift",IF(AZ256&gt;=1,"Lift",IF(AZ256&lt;=0,"Aussenlager","teilweise")))))</f>
        <v>Lift</v>
      </c>
      <c r="BM256" s="60" t="str">
        <f aca="false">IF(BD256&lt;=0,"",IF(CG256="Aussen","Aussenlager",IF(CG256="-","Nicht im Lift",IF(BJ256&gt;=1,"Lift",IF(BJ256&lt;=0,"Aussenlager","teilweise")))))</f>
        <v>Lift</v>
      </c>
      <c r="BN256" s="60" t="str">
        <f aca="false">IF(A256="","",IF(BW256=1,"Neu; ","")&amp;IF(AND(BW256=0,BR256&lt;0),"negativer Bestand (Export "&amp;BR256&amp;"); ","")&amp;IF(J256&lt;=0,"Kein Verbrauch; ","")&amp;IF(CR256&gt;0,"Lift "&amp;W256&amp;" lt. Liftbericht (Fach "&amp;X256&amp;" Stk); ",IF(CB256=1,"Gebinde geschätzt ("&amp;T256&amp;"); ",IF(CA256=1,"Lose – Tablare geschätzt; ","")))&amp;IF(H256&gt;AW256,"Überbestand "&amp;ROUND(H256-AW256,0)&amp;" Stk / CHF "&amp;ROUND((H256-AW256)*G256,0)&amp;"; ","")&amp;IF(AND(CI256=1,CJ256&lt;CK256),"MAX &lt; MB+LG; ","")&amp;IF(AND(CQ256&gt;0,CP256*10&gt;CQ256),"zu hoch für Tablar; ","")&amp;IF(AND(BW256=0,OR(CI256=1,AB256&lt;&gt;"",U256&lt;&gt;"",V256&lt;&gt;"",AC256&lt;&gt;"")),"manuell übersteuert; ","")&amp;IF(AND(CA256=0,R256=0),"Gebinde unbekannt / Stellmass fehlt; ","")&amp;IF(AND(CA256=0,N(V256)&lt;=0,N(Q256)&lt;=0),"Menge pro Gebinde fehlt (Ist = 1 Gebinde); ","")&amp;BV256)</f>
        <v>Kein Verbrauch; Überbestand 3 Stk / CHF 351; </v>
      </c>
      <c r="BO256" s="60"/>
      <c r="BP256" s="60"/>
      <c r="BQ256" s="67"/>
      <c r="BR256" s="62" t="n">
        <v>4</v>
      </c>
      <c r="BS256" s="62" t="n">
        <v>0</v>
      </c>
      <c r="BT256" s="61" t="n">
        <v>467.6</v>
      </c>
      <c r="BU256" s="62" t="n">
        <v>0</v>
      </c>
      <c r="BV256" s="60"/>
      <c r="BW256" s="65" t="n">
        <v>0</v>
      </c>
      <c r="BX256" s="65" t="n">
        <v>256</v>
      </c>
      <c r="BY256" s="60" t="str">
        <f aca="false">IF(U256&lt;&gt;"",UPPER(TRIM(U256)),IF(CB256=1,UPPER(VLOOKUP(T256,Parameter!$I$27:$K$29,2,0)),IF(P256="","LOSE",P256)))</f>
        <v>S52</v>
      </c>
      <c r="BZ256" s="62" t="n">
        <f aca="false">IF(BY256="LOSE",1,IF(N(V256)&gt;0,V256,IF(CB256=1,MAX(1,N(VLOOKUP(T256,Parameter!$I$27:$K$29,3,0)),H256,N(N256)),IF(N(Q256)&gt;0,Q256,MAX(1,H256)))))</f>
        <v>9</v>
      </c>
      <c r="CA256" s="65" t="n">
        <f aca="false">IF(BY256="LOSE",1,0)</f>
        <v>0</v>
      </c>
      <c r="CB256" s="65" t="n">
        <f aca="false">IF(AND(U256="",OR(P256="",P256="LOSE"),T256&lt;&gt;"",N(S256)&lt;=0,ISNUMBER(MATCH(T256,Parameter!$I$27:$I$29,0))),1,0)</f>
        <v>0</v>
      </c>
      <c r="CC256" s="65" t="n">
        <f aca="false">IF(CR256&gt;0,INDEX(Parameter!$H$5:$H$7,W256)/INDEX(Parameter!$E$5:$E$7,W256),IF(AND(CA256=0,N(IFERROR(VLOOKUP(BY256,'Gebinde-Kategorie'!$A$5:$N$45,14,0),0))&gt;0),VLOOKUP(BY256,'Gebinde-Kategorie'!$A$5:$N$45,14,0)*10+Parameter!$M$23,Parameter!$M$24))</f>
        <v>245</v>
      </c>
      <c r="CD256" s="60" t="str">
        <f aca="false">IF(AND(Parameter!$B$19="Ja",E256&lt;&gt;"",ISNUMBER(MATCH(E256,Parameter!$I$35:$I$52,0))),VLOOKUP(E256,Parameter!$I$35:$J$52,2,0),IFERROR(VLOOKUP(D256,Parameter!$A$35:$C$64,2,0),"Nein"))</f>
        <v>2+3</v>
      </c>
      <c r="CE256" s="64" t="n">
        <f aca="false">IF(CA256=0,0,IF(N(S256)&gt;0,S256,IFERROR(VLOOKUP(D256,Parameter!$A$35:$C$64,3,0)+0,0)))</f>
        <v>0</v>
      </c>
      <c r="CF256" s="60" t="n">
        <f aca="false">IF(AB256&lt;&gt;"",AB256,AA256)</f>
        <v>3</v>
      </c>
      <c r="CG256" s="60" t="str">
        <f aca="false">IF(OR(CF256=1,CF256=2,CF256=3),IF(Parameter!$E$27="Ja","LIFT",IF(CF256=1,"L1","L23")),IF(CF256="Aussen","Aussen","-"))</f>
        <v>LIFT</v>
      </c>
      <c r="CH256" s="71" t="n">
        <f aca="false">IF(N(AC256)&gt;0,AC256,0)</f>
        <v>0</v>
      </c>
      <c r="CI256" s="65" t="n">
        <f aca="false">IF(ISNUMBER(AF256),1,0)</f>
        <v>0</v>
      </c>
      <c r="CJ256" s="62" t="n">
        <f aca="false">N(AF256)</f>
        <v>0</v>
      </c>
      <c r="CK256" s="62" t="n">
        <f aca="false">N(M256)+N(N256)</f>
        <v>1</v>
      </c>
      <c r="CL256" s="62" t="n">
        <f aca="false">N(M256)</f>
        <v>0</v>
      </c>
      <c r="CM256" s="62" t="n">
        <f aca="false">N(N256)</f>
        <v>1</v>
      </c>
      <c r="CN256" s="62" t="n">
        <f aca="false">ROUNDUP(H256/BZ256,0)</f>
        <v>1</v>
      </c>
      <c r="CO256" s="62" t="n">
        <f aca="false">ROUNDUP(CJ256/BZ256,0)</f>
        <v>0</v>
      </c>
      <c r="CP256" s="65" t="n">
        <f aca="false">IF(CA256=1,0,IFERROR(VLOOKUP(BY256,'Gebinde-Kategorie'!$A$5:$N$45,5,0)+0,0))</f>
        <v>21</v>
      </c>
      <c r="CQ256" s="65" t="n">
        <f aca="false">IFERROR(IF(OR(CF256=1,CF256=2,CF256=3),N(INDEX(Parameter!$I$5:$I$7,CF256)),0),0)</f>
        <v>0</v>
      </c>
      <c r="CR256" s="64" t="n">
        <f aca="false">IF(AND(Parameter!$B$21="Ja",ISNUMBER(W256),N(X256)&gt;0),IFERROR(N(INDEX(Parameter!$L$5:$L$7,W256))*INDEX(Parameter!$E$5:$E$7,W256)*X256/SUMIFS($X$7:$X$1843,$W$7:$W$1843,W256),0),0)</f>
        <v>0</v>
      </c>
      <c r="CS256" s="62" t="n">
        <f aca="false">IF(AND(OR(CG256="L1",CG256="L23",CG256="LIFT"),H256&gt;0),CC256*IF(CR256&gt;0,CR256*MAX(1,H256/X256),IF(CA256=1,CE256,IF(R256&gt;0,CN256/R256,0))/MAX(0.1,N(Parameter!$M$21))),"")</f>
        <v>9.42307692307692</v>
      </c>
      <c r="CT256" s="64" t="n">
        <f aca="false">IF(CS256="","",J256/H256)</f>
        <v>0</v>
      </c>
      <c r="CU256" s="62" t="n">
        <f aca="false">IF(CS256="","",H256*G256)</f>
        <v>467.6</v>
      </c>
      <c r="CV256" s="63" t="n">
        <f aca="false">IF(CS256="","",(CL256+ROUNDUP(CL256+MAX(CM256,2*(J256/MAX(0.1,N(Einkauf!$C$6))-CL256)),0))/2)</f>
        <v>0.5</v>
      </c>
      <c r="CW256" s="62" t="n">
        <f aca="false">IF(CS256="","",MAX(0,H256-CV256)*G256)</f>
        <v>409.15</v>
      </c>
      <c r="CX256" s="62" t="n">
        <f aca="false">IF(CS256="","",CS256*MAX(0,1-CV256/H256))</f>
        <v>8.24519230769231</v>
      </c>
      <c r="CY256" s="64" t="n">
        <f aca="false">IF(CS256="","",PERCENTRANK($CS$7:$CS$1843,CS256)+PERCENTRANK($CU$7:$CU$1843,CU256)+1-PERCENTRANK($CT$7:$CT$1843,CT256))</f>
        <v>2.078</v>
      </c>
      <c r="CZ256" s="72" t="n">
        <f aca="false">IF(CS256="","",CHOOSE(MATCH(Einkauf!$C$5,Parameter!$G$23:$G$27,0),CY256,CS256,CU256,-CT256,CW256)+ROW()/1000000000)</f>
        <v>2.078000256</v>
      </c>
    </row>
    <row r="257" customFormat="false" ht="15" hidden="false" customHeight="false" outlineLevel="0" collapsed="false">
      <c r="A257" s="60" t="s">
        <v>739</v>
      </c>
      <c r="B257" s="60" t="s">
        <v>740</v>
      </c>
      <c r="C257" s="60" t="s">
        <v>206</v>
      </c>
      <c r="D257" s="60" t="s">
        <v>215</v>
      </c>
      <c r="E257" s="60" t="s">
        <v>215</v>
      </c>
      <c r="F257" s="60" t="s">
        <v>260</v>
      </c>
      <c r="G257" s="61" t="n">
        <v>467.1</v>
      </c>
      <c r="H257" s="62" t="n">
        <f aca="false">MAX(0,IF(AND(Parameter!$B$21="Ja",ISNUMBER(Y257)),Y257,IF(Parameter!$B$20="Jahresanfang 2025 + Export",BS257+BR257,BR257)))</f>
        <v>1</v>
      </c>
      <c r="I257" s="62" t="n">
        <f aca="false">H257*G257</f>
        <v>467.1</v>
      </c>
      <c r="J257" s="62" t="n">
        <f aca="false">BU257*Parameter!$B$18</f>
        <v>1</v>
      </c>
      <c r="K257" s="63" t="n">
        <v>0.5</v>
      </c>
      <c r="L257" s="64" t="n">
        <v>2</v>
      </c>
      <c r="M257" s="62" t="n">
        <v>0</v>
      </c>
      <c r="N257" s="62" t="n">
        <v>1</v>
      </c>
      <c r="O257" s="65" t="n">
        <v>28</v>
      </c>
      <c r="P257" s="60" t="s">
        <v>210</v>
      </c>
      <c r="Q257" s="62"/>
      <c r="R257" s="65" t="n">
        <f aca="false">IF(CA257=1,0,IFERROR(VLOOKUP(BY257,'Gebinde-Kategorie'!$A$5:$N$45,13,0)+0,0))</f>
        <v>12</v>
      </c>
      <c r="S257" s="66"/>
      <c r="T257" s="67" t="s">
        <v>221</v>
      </c>
      <c r="U257" s="67"/>
      <c r="V257" s="67"/>
      <c r="W257" s="60"/>
      <c r="X257" s="62"/>
      <c r="Y257" s="62"/>
      <c r="Z257" s="60"/>
      <c r="AA257" s="60" t="str">
        <f aca="false">IF(A257="","",IF(AND(Parameter!$B$21="Ja",ISNUMBER(W257)),W257,IF(AND(Parameter!$E$27="Ja",ISNUMBER(Z257),CD257&lt;&gt;"Nein"),Z257,IF(CD257="2+3",IF(ISNUMBER(SEARCH("grosser Artikel",BV257)),2,IFERROR(VLOOKUP(BY257,Parameter!$F$35:$G$64,2,0),2)),IF(OR(CD257="Nein",CD257=""),"-",CD257)))))</f>
        <v>-</v>
      </c>
      <c r="AB257" s="67"/>
      <c r="AC257" s="68"/>
      <c r="AD257" s="62" t="n">
        <f aca="false">AW257</f>
        <v>1</v>
      </c>
      <c r="AE257" s="62" t="n">
        <f aca="false">MAX(AW257,H257)</f>
        <v>1</v>
      </c>
      <c r="AF257" s="69"/>
      <c r="AG257" s="62" t="n">
        <f aca="false">IF(LEFT(Cockpit!$C$5,1)="A",H257,IF(Parameter!$E$30="MAX-Bestand",IF(CI257=1,CJ257,IF(LEFT(Cockpit!$C$5,1)="B",AM257,MAX(AM257,H257))),ROUNDUP(AK257,0)))</f>
        <v>1</v>
      </c>
      <c r="AH257" s="62" t="n">
        <f aca="false">IF(CA257=1,0,ROUNDUP(AG257/BZ257,0))</f>
        <v>1</v>
      </c>
      <c r="AI257" s="64" t="n">
        <f aca="false">IF(CR257&gt;0,CR257*MAX(1,AG257/X257),IF(CA257=1,IF(AG257&lt;=0,0,CE257*MAX(1,IF(H257&gt;0,AG257/H257,1))),IF(R257&gt;0,AH257/R257,0))/MAX(0.1,N(Parameter!$M$21)))</f>
        <v>0.0833333333333333</v>
      </c>
      <c r="AJ257" s="62" t="n">
        <f aca="false">AI257*CC257</f>
        <v>12.0833333333333</v>
      </c>
      <c r="AK257" s="63" t="n">
        <f aca="false">IF(LEFT(Cockpit!$C$5,1)="A",H257,IF(CI257=1,(CL257+CJ257)/2,IF(LEFT(Cockpit!$C$5,1)="B",(CL257+AM257)/2,MAX((CL257+AM257)/2,H257))))</f>
        <v>1</v>
      </c>
      <c r="AL257" s="62" t="n">
        <f aca="false">AK257*G257</f>
        <v>467.1</v>
      </c>
      <c r="AM257" s="62" t="n">
        <f aca="false">ROUNDUP(CL257+MAX(CM257,2*(J257/IF(CH257&gt;0,CH257,MAX(0.1,N(Cockpit!$C$6)))-CL257)),0)</f>
        <v>1</v>
      </c>
      <c r="AN257" s="63" t="n">
        <f aca="false">IF(AJ257&gt;0,J257/AJ257,-1)</f>
        <v>0.0827586206896552</v>
      </c>
      <c r="AO257" s="63" t="str">
        <f aca="false">IF(AND(OR(CG257="L1",CG257="L23",CG257="LIFT"),AJ257&gt;0),SUMIFS($AJ$7:$AJ$1843,$CG$7:$CG$1843,CG257,$AN$7:$AN$1843,"&gt;"&amp;AN257)+SUMIFS($AJ$7:$AJ$1843,$CG$7:$CG$1843,CG257,$AN$7:$AN$1843,AN257,$BX$7:$BX$1843,"&lt;="&amp;BX257),"")</f>
        <v/>
      </c>
      <c r="AP257" s="70" t="n">
        <f aca="false">IF(AO257="",0,MAX(0,MIN(1,(IF(CG257="L1",Parameter!$H$5,IF(CG257="L23",Parameter!$H$6+Parameter!$H$7,Parameter!$H$5+Parameter!$H$6+Parameter!$H$7))-(AO257-AJ257))/AJ257)))</f>
        <v>0</v>
      </c>
      <c r="AQ257" s="62" t="n">
        <f aca="false">IF(LEFT(Cockpit!$I$5,1)="A",H257,IF(Parameter!$E$30="MAX-Bestand",IF(CI257=1,CJ257,IF(LEFT(Cockpit!$I$5,1)="B",AW257,MAX(AW257,H257))),ROUNDUP(AU257,0)))</f>
        <v>1</v>
      </c>
      <c r="AR257" s="62" t="n">
        <f aca="false">IF(CA257=1,0,ROUNDUP(AQ257/BZ257,0))</f>
        <v>1</v>
      </c>
      <c r="AS257" s="64" t="n">
        <f aca="false">IF(CR257&gt;0,CR257*MAX(1,AQ257/X257),IF(CA257=1,IF(AQ257&lt;=0,0,CE257*MAX(1,IF(H257&gt;0,AQ257/H257,1))),IF(R257&gt;0,AR257/R257,0))/MAX(0.1,N(Parameter!$M$21)))</f>
        <v>0.0833333333333333</v>
      </c>
      <c r="AT257" s="62" t="n">
        <f aca="false">AS257*CC257</f>
        <v>12.0833333333333</v>
      </c>
      <c r="AU257" s="63" t="n">
        <f aca="false">IF(LEFT(Cockpit!$I$5,1)="A",H257,IF(CI257=1,(CL257+CJ257)/2,IF(LEFT(Cockpit!$I$5,1)="B",(CL257+AW257)/2,MAX((CL257+AW257)/2,H257))))</f>
        <v>1</v>
      </c>
      <c r="AV257" s="62" t="n">
        <f aca="false">AU257*G257</f>
        <v>467.1</v>
      </c>
      <c r="AW257" s="62" t="n">
        <f aca="false">ROUNDUP(CL257+MAX(CM257,2*(J257/IF(CH257&gt;0,CH257,MAX(0.1,N(Cockpit!$I$6)))-CL257)),0)</f>
        <v>1</v>
      </c>
      <c r="AX257" s="63" t="n">
        <f aca="false">IF(AT257&gt;0,J257/AT257,-1)</f>
        <v>0.0827586206896552</v>
      </c>
      <c r="AY257" s="63" t="str">
        <f aca="false">IF(AND(OR(CG257="L1",CG257="L23",CG257="LIFT"),AT257&gt;0),SUMIFS($AT$7:$AT$1843,$CG$7:$CG$1843,CG257,$AX$7:$AX$1843,"&gt;"&amp;AX257)+SUMIFS($AT$7:$AT$1843,$CG$7:$CG$1843,CG257,$AX$7:$AX$1843,AX257,$BX$7:$BX$1843,"&lt;="&amp;BX257),"")</f>
        <v/>
      </c>
      <c r="AZ257" s="70" t="n">
        <f aca="false">IF(AY257="",0,MAX(0,MIN(1,(IF(CG257="L1",Parameter!$H$5,IF(CG257="L23",Parameter!$H$6+Parameter!$H$7,Parameter!$H$5+Parameter!$H$6+Parameter!$H$7))-(AY257-AT257))/AT257)))</f>
        <v>0</v>
      </c>
      <c r="BA257" s="62" t="n">
        <f aca="false">IF(LEFT(Cockpit!$O$5,1)="A",H257,IF(Parameter!$E$30="MAX-Bestand",IF(CI257=1,CJ257,IF(LEFT(Cockpit!$O$5,1)="B",BG257,MAX(BG257,H257))),ROUNDUP(BE257,0)))</f>
        <v>1</v>
      </c>
      <c r="BB257" s="62" t="n">
        <f aca="false">IF(CA257=1,0,ROUNDUP(BA257/BZ257,0))</f>
        <v>1</v>
      </c>
      <c r="BC257" s="64" t="n">
        <f aca="false">IF(CR257&gt;0,CR257*MAX(1,BA257/X257),IF(CA257=1,IF(BA257&lt;=0,0,CE257*MAX(1,IF(H257&gt;0,BA257/H257,1))),IF(R257&gt;0,BB257/R257,0))/MAX(0.1,N(Parameter!$M$21)))</f>
        <v>0.0833333333333333</v>
      </c>
      <c r="BD257" s="62" t="n">
        <f aca="false">BC257*CC257</f>
        <v>12.0833333333333</v>
      </c>
      <c r="BE257" s="63" t="n">
        <f aca="false">IF(LEFT(Cockpit!$O$5,1)="A",H257,IF(CI257=1,(CL257+CJ257)/2,IF(LEFT(Cockpit!$O$5,1)="B",(CL257+BG257)/2,MAX((CL257+BG257)/2,H257))))</f>
        <v>0.5</v>
      </c>
      <c r="BF257" s="62" t="n">
        <f aca="false">BE257*G257</f>
        <v>233.55</v>
      </c>
      <c r="BG257" s="62" t="n">
        <f aca="false">ROUNDUP(CL257+MAX(CM257,2*(J257/IF(CH257&gt;0,CH257,MAX(0.1,N(Cockpit!$O$6)))-CL257)),0)</f>
        <v>1</v>
      </c>
      <c r="BH257" s="63" t="n">
        <f aca="false">IF(BD257&gt;0,J257/BD257,-1)</f>
        <v>0.0827586206896552</v>
      </c>
      <c r="BI257" s="63" t="str">
        <f aca="false">IF(AND(OR(CG257="L1",CG257="L23",CG257="LIFT"),BD257&gt;0),SUMIFS($BD$7:$BD$1843,$CG$7:$CG$1843,CG257,$BH$7:$BH$1843,"&gt;"&amp;BH257)+SUMIFS($BD$7:$BD$1843,$CG$7:$CG$1843,CG257,$BH$7:$BH$1843,BH257,$BX$7:$BX$1843,"&lt;="&amp;BX257),"")</f>
        <v/>
      </c>
      <c r="BJ257" s="70" t="n">
        <f aca="false">IF(BI257="",0,MAX(0,MIN(1,(IF(CG257="L1",Parameter!$H$5,IF(CG257="L23",Parameter!$H$6+Parameter!$H$7,Parameter!$H$5+Parameter!$H$6+Parameter!$H$7))-(BI257-BD257))/BD257)))</f>
        <v>0</v>
      </c>
      <c r="BK257" s="60" t="str">
        <f aca="false">IF(AJ257&lt;=0,"",IF(CG257="Aussen","Aussenlager",IF(CG257="-","Nicht im Lift",IF(AP257&gt;=1,"Lift",IF(AP257&lt;=0,"Aussenlager","teilweise")))))</f>
        <v>Nicht im Lift</v>
      </c>
      <c r="BL257" s="60" t="str">
        <f aca="false">IF(AT257&lt;=0,"",IF(CG257="Aussen","Aussenlager",IF(CG257="-","Nicht im Lift",IF(AZ257&gt;=1,"Lift",IF(AZ257&lt;=0,"Aussenlager","teilweise")))))</f>
        <v>Nicht im Lift</v>
      </c>
      <c r="BM257" s="60" t="str">
        <f aca="false">IF(BD257&lt;=0,"",IF(CG257="Aussen","Aussenlager",IF(CG257="-","Nicht im Lift",IF(BJ257&gt;=1,"Lift",IF(BJ257&lt;=0,"Aussenlager","teilweise")))))</f>
        <v>Nicht im Lift</v>
      </c>
      <c r="BN257" s="60" t="str">
        <f aca="false">IF(A257="","",IF(BW257=1,"Neu; ","")&amp;IF(AND(BW257=0,BR257&lt;0),"negativer Bestand (Export "&amp;BR257&amp;"); ","")&amp;IF(J257&lt;=0,"Kein Verbrauch; ","")&amp;IF(CR257&gt;0,"Lift "&amp;W257&amp;" lt. Liftbericht (Fach "&amp;X257&amp;" Stk); ",IF(CB257=1,"Gebinde geschätzt ("&amp;T257&amp;"); ",IF(CA257=1,"Lose – Tablare geschätzt; ","")))&amp;IF(H257&gt;AW257,"Überbestand "&amp;ROUND(H257-AW257,0)&amp;" Stk / CHF "&amp;ROUND((H257-AW257)*G257,0)&amp;"; ","")&amp;IF(AND(CI257=1,CJ257&lt;CK257),"MAX &lt; MB+LG; ","")&amp;IF(AND(CQ257&gt;0,CP257*10&gt;CQ257),"zu hoch für Tablar; ","")&amp;IF(AND(BW257=0,OR(CI257=1,AB257&lt;&gt;"",U257&lt;&gt;"",V257&lt;&gt;"",AC257&lt;&gt;"")),"manuell übersteuert; ","")&amp;IF(AND(CA257=0,R257=0),"Gebinde unbekannt / Stellmass fehlt; ","")&amp;IF(AND(CA257=0,N(V257)&lt;=0,N(Q257)&lt;=0),"Menge pro Gebinde fehlt (Ist = 1 Gebinde); ","")&amp;BV257)</f>
        <v>Gebinde geschätzt (Mittel); Menge pro Gebinde fehlt (Ist = 1 Gebinde); </v>
      </c>
      <c r="BO257" s="60"/>
      <c r="BP257" s="60"/>
      <c r="BQ257" s="67"/>
      <c r="BR257" s="62" t="n">
        <v>1</v>
      </c>
      <c r="BS257" s="62" t="n">
        <v>0</v>
      </c>
      <c r="BT257" s="61" t="n">
        <v>467.1</v>
      </c>
      <c r="BU257" s="62" t="n">
        <v>1</v>
      </c>
      <c r="BV257" s="60"/>
      <c r="BW257" s="65" t="n">
        <v>0</v>
      </c>
      <c r="BX257" s="65" t="n">
        <v>257</v>
      </c>
      <c r="BY257" s="60" t="str">
        <f aca="false">IF(U257&lt;&gt;"",UPPER(TRIM(U257)),IF(CB257=1,UPPER(VLOOKUP(T257,Parameter!$I$27:$K$29,2,0)),IF(P257="","LOSE",P257)))</f>
        <v>S61</v>
      </c>
      <c r="BZ257" s="62" t="n">
        <f aca="false">IF(BY257="LOSE",1,IF(N(V257)&gt;0,V257,IF(CB257=1,MAX(1,N(VLOOKUP(T257,Parameter!$I$27:$K$29,3,0)),H257,N(N257)),IF(N(Q257)&gt;0,Q257,MAX(1,H257)))))</f>
        <v>4</v>
      </c>
      <c r="CA257" s="65" t="n">
        <f aca="false">IF(BY257="LOSE",1,0)</f>
        <v>0</v>
      </c>
      <c r="CB257" s="65" t="n">
        <f aca="false">IF(AND(U257="",OR(P257="",P257="LOSE"),T257&lt;&gt;"",N(S257)&lt;=0,ISNUMBER(MATCH(T257,Parameter!$I$27:$I$29,0))),1,0)</f>
        <v>1</v>
      </c>
      <c r="CC257" s="65" t="n">
        <f aca="false">IF(CR257&gt;0,INDEX(Parameter!$H$5:$H$7,W257)/INDEX(Parameter!$E$5:$E$7,W257),IF(AND(CA257=0,N(IFERROR(VLOOKUP(BY257,'Gebinde-Kategorie'!$A$5:$N$45,14,0),0))&gt;0),VLOOKUP(BY257,'Gebinde-Kategorie'!$A$5:$N$45,14,0)*10+Parameter!$M$23,Parameter!$M$24))</f>
        <v>145</v>
      </c>
      <c r="CD257" s="60" t="str">
        <f aca="false">IF(AND(Parameter!$B$19="Ja",E257&lt;&gt;"",ISNUMBER(MATCH(E257,Parameter!$I$35:$I$52,0))),VLOOKUP(E257,Parameter!$I$35:$J$52,2,0),IFERROR(VLOOKUP(D257,Parameter!$A$35:$C$64,2,0),"Nein"))</f>
        <v>Nein</v>
      </c>
      <c r="CE257" s="64" t="n">
        <f aca="false">IF(CA257=0,0,IF(N(S257)&gt;0,S257,IFERROR(VLOOKUP(D257,Parameter!$A$35:$C$64,3,0)+0,0)))</f>
        <v>0</v>
      </c>
      <c r="CF257" s="60" t="str">
        <f aca="false">IF(AB257&lt;&gt;"",AB257,AA257)</f>
        <v>-</v>
      </c>
      <c r="CG257" s="60" t="str">
        <f aca="false">IF(OR(CF257=1,CF257=2,CF257=3),IF(Parameter!$E$27="Ja","LIFT",IF(CF257=1,"L1","L23")),IF(CF257="Aussen","Aussen","-"))</f>
        <v>-</v>
      </c>
      <c r="CH257" s="71" t="n">
        <f aca="false">IF(N(AC257)&gt;0,AC257,0)</f>
        <v>0</v>
      </c>
      <c r="CI257" s="65" t="n">
        <f aca="false">IF(ISNUMBER(AF257),1,0)</f>
        <v>0</v>
      </c>
      <c r="CJ257" s="62" t="n">
        <f aca="false">N(AF257)</f>
        <v>0</v>
      </c>
      <c r="CK257" s="62" t="n">
        <f aca="false">N(M257)+N(N257)</f>
        <v>1</v>
      </c>
      <c r="CL257" s="62" t="n">
        <f aca="false">N(M257)</f>
        <v>0</v>
      </c>
      <c r="CM257" s="62" t="n">
        <f aca="false">N(N257)</f>
        <v>1</v>
      </c>
      <c r="CN257" s="62" t="n">
        <f aca="false">ROUNDUP(H257/BZ257,0)</f>
        <v>1</v>
      </c>
      <c r="CO257" s="62" t="n">
        <f aca="false">ROUNDUP(CJ257/BZ257,0)</f>
        <v>0</v>
      </c>
      <c r="CP257" s="65" t="n">
        <f aca="false">IF(CA257=1,0,IFERROR(VLOOKUP(BY257,'Gebinde-Kategorie'!$A$5:$N$45,5,0)+0,0))</f>
        <v>11</v>
      </c>
      <c r="CQ257" s="65" t="n">
        <f aca="false">IFERROR(IF(OR(CF257=1,CF257=2,CF257=3),N(INDEX(Parameter!$I$5:$I$7,CF257)),0),0)</f>
        <v>0</v>
      </c>
      <c r="CR257" s="64" t="n">
        <f aca="false">IF(AND(Parameter!$B$21="Ja",ISNUMBER(W257),N(X257)&gt;0),IFERROR(N(INDEX(Parameter!$L$5:$L$7,W257))*INDEX(Parameter!$E$5:$E$7,W257)*X257/SUMIFS($X$7:$X$1843,$W$7:$W$1843,W257),0),0)</f>
        <v>0</v>
      </c>
      <c r="CS257" s="62" t="str">
        <f aca="false">IF(AND(OR(CG257="L1",CG257="L23",CG257="LIFT"),H257&gt;0),CC257*IF(CR257&gt;0,CR257*MAX(1,H257/X257),IF(CA257=1,CE257,IF(R257&gt;0,CN257/R257,0))/MAX(0.1,N(Parameter!$M$21))),"")</f>
        <v/>
      </c>
      <c r="CT257" s="64" t="str">
        <f aca="false">IF(CS257="","",J257/H257)</f>
        <v/>
      </c>
      <c r="CU257" s="62" t="str">
        <f aca="false">IF(CS257="","",H257*G257)</f>
        <v/>
      </c>
      <c r="CV257" s="63" t="str">
        <f aca="false">IF(CS257="","",(CL257+ROUNDUP(CL257+MAX(CM257,2*(J257/MAX(0.1,N(Einkauf!$C$6))-CL257)),0))/2)</f>
        <v/>
      </c>
      <c r="CW257" s="62" t="str">
        <f aca="false">IF(CS257="","",MAX(0,H257-CV257)*G257)</f>
        <v/>
      </c>
      <c r="CX257" s="62" t="str">
        <f aca="false">IF(CS257="","",CS257*MAX(0,1-CV257/H257))</f>
        <v/>
      </c>
      <c r="CY257" s="64" t="str">
        <f aca="false">IF(CS257="","",PERCENTRANK($CS$7:$CS$1843,CS257)+PERCENTRANK($CU$7:$CU$1843,CU257)+1-PERCENTRANK($CT$7:$CT$1843,CT257))</f>
        <v/>
      </c>
      <c r="CZ257" s="72" t="str">
        <f aca="false">IF(CS257="","",CHOOSE(MATCH(Einkauf!$C$5,Parameter!$G$23:$G$27,0),CY257,CS257,CU257,-CT257,CW257)+ROW()/1000000000)</f>
        <v/>
      </c>
    </row>
    <row r="258" customFormat="false" ht="15" hidden="false" customHeight="false" outlineLevel="0" collapsed="false">
      <c r="A258" s="60" t="s">
        <v>741</v>
      </c>
      <c r="B258" s="60" t="s">
        <v>742</v>
      </c>
      <c r="C258" s="60" t="s">
        <v>206</v>
      </c>
      <c r="D258" s="60" t="s">
        <v>215</v>
      </c>
      <c r="E258" s="60" t="s">
        <v>227</v>
      </c>
      <c r="F258" s="60" t="s">
        <v>260</v>
      </c>
      <c r="G258" s="61" t="n">
        <v>84.68</v>
      </c>
      <c r="H258" s="62" t="n">
        <f aca="false">MAX(0,IF(AND(Parameter!$B$21="Ja",ISNUMBER(Y258)),Y258,IF(Parameter!$B$20="Jahresanfang 2025 + Export",BS258+BR258,BR258)))</f>
        <v>25</v>
      </c>
      <c r="I258" s="62" t="n">
        <f aca="false">H258*G258</f>
        <v>2117</v>
      </c>
      <c r="J258" s="62" t="n">
        <f aca="false">BU258*Parameter!$B$18</f>
        <v>83</v>
      </c>
      <c r="K258" s="63" t="n">
        <v>17</v>
      </c>
      <c r="L258" s="64" t="n">
        <v>4.88235294117647</v>
      </c>
      <c r="M258" s="62" t="n">
        <v>2</v>
      </c>
      <c r="N258" s="62" t="n">
        <v>20</v>
      </c>
      <c r="O258" s="65" t="n">
        <v>7</v>
      </c>
      <c r="P258" s="60" t="s">
        <v>268</v>
      </c>
      <c r="Q258" s="62" t="n">
        <v>45</v>
      </c>
      <c r="R258" s="65" t="n">
        <f aca="false">IF(CA258=1,0,IFERROR(VLOOKUP(BY258,'Gebinde-Kategorie'!$A$5:$N$45,13,0)+0,0))</f>
        <v>12</v>
      </c>
      <c r="S258" s="66"/>
      <c r="T258" s="67"/>
      <c r="U258" s="67"/>
      <c r="V258" s="67"/>
      <c r="W258" s="60"/>
      <c r="X258" s="62"/>
      <c r="Y258" s="62"/>
      <c r="Z258" s="60" t="n">
        <v>3</v>
      </c>
      <c r="AA258" s="60" t="n">
        <f aca="false">IF(A258="","",IF(AND(Parameter!$B$21="Ja",ISNUMBER(W258)),W258,IF(AND(Parameter!$E$27="Ja",ISNUMBER(Z258),CD258&lt;&gt;"Nein"),Z258,IF(CD258="2+3",IF(ISNUMBER(SEARCH("grosser Artikel",BV258)),2,IFERROR(VLOOKUP(BY258,Parameter!$F$35:$G$64,2,0),2)),IF(OR(CD258="Nein",CD258=""),"-",CD258)))))</f>
        <v>3</v>
      </c>
      <c r="AB258" s="67"/>
      <c r="AC258" s="68"/>
      <c r="AD258" s="62" t="n">
        <f aca="false">AW258</f>
        <v>54</v>
      </c>
      <c r="AE258" s="62" t="n">
        <f aca="false">MAX(AW258,H258)</f>
        <v>54</v>
      </c>
      <c r="AF258" s="69"/>
      <c r="AG258" s="62" t="n">
        <f aca="false">IF(LEFT(Cockpit!$C$5,1)="A",H258,IF(Parameter!$E$30="MAX-Bestand",IF(CI258=1,CJ258,IF(LEFT(Cockpit!$C$5,1)="B",AM258,MAX(AM258,H258))),ROUNDUP(AK258,0)))</f>
        <v>25</v>
      </c>
      <c r="AH258" s="62" t="n">
        <f aca="false">IF(CA258=1,0,ROUNDUP(AG258/BZ258,0))</f>
        <v>1</v>
      </c>
      <c r="AI258" s="64" t="n">
        <f aca="false">IF(CR258&gt;0,CR258*MAX(1,AG258/X258),IF(CA258=1,IF(AG258&lt;=0,0,CE258*MAX(1,IF(H258&gt;0,AG258/H258,1))),IF(R258&gt;0,AH258/R258,0))/MAX(0.1,N(Parameter!$M$21)))</f>
        <v>0.0833333333333333</v>
      </c>
      <c r="AJ258" s="62" t="n">
        <f aca="false">AI258*CC258</f>
        <v>28.75</v>
      </c>
      <c r="AK258" s="63" t="n">
        <f aca="false">IF(LEFT(Cockpit!$C$5,1)="A",H258,IF(CI258=1,(CL258+CJ258)/2,IF(LEFT(Cockpit!$C$5,1)="B",(CL258+AM258)/2,MAX((CL258+AM258)/2,H258))))</f>
        <v>25</v>
      </c>
      <c r="AL258" s="62" t="n">
        <f aca="false">AK258*G258</f>
        <v>2117</v>
      </c>
      <c r="AM258" s="62" t="n">
        <f aca="false">ROUNDUP(CL258+MAX(CM258,2*(J258/IF(CH258&gt;0,CH258,MAX(0.1,N(Cockpit!$C$6)))-CL258)),0)</f>
        <v>54</v>
      </c>
      <c r="AN258" s="63" t="n">
        <f aca="false">IF(AJ258&gt;0,J258/AJ258,-1)</f>
        <v>2.88695652173913</v>
      </c>
      <c r="AO258" s="63" t="n">
        <f aca="false">IF(AND(OR(CG258="L1",CG258="L23",CG258="LIFT"),AJ258&gt;0),SUMIFS($AJ$7:$AJ$1843,$CG$7:$CG$1843,CG258,$AN$7:$AN$1843,"&gt;"&amp;AN258)+SUMIFS($AJ$7:$AJ$1843,$CG$7:$CG$1843,CG258,$AN$7:$AN$1843,AN258,$BX$7:$BX$1843,"&lt;="&amp;BX258),"")</f>
        <v>5168.5206043956</v>
      </c>
      <c r="AP258" s="70" t="n">
        <f aca="false">IF(AO258="",0,MAX(0,MIN(1,(IF(CG258="L1",Parameter!$H$5,IF(CG258="L23",Parameter!$H$6+Parameter!$H$7,Parameter!$H$5+Parameter!$H$6+Parameter!$H$7))-(AO258-AJ258))/AJ258)))</f>
        <v>1</v>
      </c>
      <c r="AQ258" s="62" t="n">
        <f aca="false">IF(LEFT(Cockpit!$I$5,1)="A",H258,IF(Parameter!$E$30="MAX-Bestand",IF(CI258=1,CJ258,IF(LEFT(Cockpit!$I$5,1)="B",AW258,MAX(AW258,H258))),ROUNDUP(AU258,0)))</f>
        <v>28</v>
      </c>
      <c r="AR258" s="62" t="n">
        <f aca="false">IF(CA258=1,0,ROUNDUP(AQ258/BZ258,0))</f>
        <v>1</v>
      </c>
      <c r="AS258" s="64" t="n">
        <f aca="false">IF(CR258&gt;0,CR258*MAX(1,AQ258/X258),IF(CA258=1,IF(AQ258&lt;=0,0,CE258*MAX(1,IF(H258&gt;0,AQ258/H258,1))),IF(R258&gt;0,AR258/R258,0))/MAX(0.1,N(Parameter!$M$21)))</f>
        <v>0.0833333333333333</v>
      </c>
      <c r="AT258" s="62" t="n">
        <f aca="false">AS258*CC258</f>
        <v>28.75</v>
      </c>
      <c r="AU258" s="63" t="n">
        <f aca="false">IF(LEFT(Cockpit!$I$5,1)="A",H258,IF(CI258=1,(CL258+CJ258)/2,IF(LEFT(Cockpit!$I$5,1)="B",(CL258+AW258)/2,MAX((CL258+AW258)/2,H258))))</f>
        <v>28</v>
      </c>
      <c r="AV258" s="62" t="n">
        <f aca="false">AU258*G258</f>
        <v>2371.04</v>
      </c>
      <c r="AW258" s="62" t="n">
        <f aca="false">ROUNDUP(CL258+MAX(CM258,2*(J258/IF(CH258&gt;0,CH258,MAX(0.1,N(Cockpit!$I$6)))-CL258)),0)</f>
        <v>54</v>
      </c>
      <c r="AX258" s="63" t="n">
        <f aca="false">IF(AT258&gt;0,J258/AT258,-1)</f>
        <v>2.88695652173913</v>
      </c>
      <c r="AY258" s="63" t="n">
        <f aca="false">IF(AND(OR(CG258="L1",CG258="L23",CG258="LIFT"),AT258&gt;0),SUMIFS($AT$7:$AT$1843,$CG$7:$CG$1843,CG258,$AX$7:$AX$1843,"&gt;"&amp;AX258)+SUMIFS($AT$7:$AT$1843,$CG$7:$CG$1843,CG258,$AX$7:$AX$1843,AX258,$BX$7:$BX$1843,"&lt;="&amp;BX258),"")</f>
        <v>6002.99862637363</v>
      </c>
      <c r="AZ258" s="70" t="n">
        <f aca="false">IF(AY258="",0,MAX(0,MIN(1,(IF(CG258="L1",Parameter!$H$5,IF(CG258="L23",Parameter!$H$6+Parameter!$H$7,Parameter!$H$5+Parameter!$H$6+Parameter!$H$7))-(AY258-AT258))/AT258)))</f>
        <v>1</v>
      </c>
      <c r="BA258" s="62" t="n">
        <f aca="false">IF(LEFT(Cockpit!$O$5,1)="A",H258,IF(Parameter!$E$30="MAX-Bestand",IF(CI258=1,CJ258,IF(LEFT(Cockpit!$O$5,1)="B",BG258,MAX(BG258,H258))),ROUNDUP(BE258,0)))</f>
        <v>21</v>
      </c>
      <c r="BB258" s="62" t="n">
        <f aca="false">IF(CA258=1,0,ROUNDUP(BA258/BZ258,0))</f>
        <v>1</v>
      </c>
      <c r="BC258" s="64" t="n">
        <f aca="false">IF(CR258&gt;0,CR258*MAX(1,BA258/X258),IF(CA258=1,IF(BA258&lt;=0,0,CE258*MAX(1,IF(H258&gt;0,BA258/H258,1))),IF(R258&gt;0,BB258/R258,0))/MAX(0.1,N(Parameter!$M$21)))</f>
        <v>0.0833333333333333</v>
      </c>
      <c r="BD258" s="62" t="n">
        <f aca="false">BC258*CC258</f>
        <v>28.75</v>
      </c>
      <c r="BE258" s="63" t="n">
        <f aca="false">IF(LEFT(Cockpit!$O$5,1)="A",H258,IF(CI258=1,(CL258+CJ258)/2,IF(LEFT(Cockpit!$O$5,1)="B",(CL258+BG258)/2,MAX((CL258+BG258)/2,H258))))</f>
        <v>21</v>
      </c>
      <c r="BF258" s="62" t="n">
        <f aca="false">BE258*G258</f>
        <v>1778.28</v>
      </c>
      <c r="BG258" s="62" t="n">
        <f aca="false">ROUNDUP(CL258+MAX(CM258,2*(J258/IF(CH258&gt;0,CH258,MAX(0.1,N(Cockpit!$O$6)))-CL258)),0)</f>
        <v>40</v>
      </c>
      <c r="BH258" s="63" t="n">
        <f aca="false">IF(BD258&gt;0,J258/BD258,-1)</f>
        <v>2.88695652173913</v>
      </c>
      <c r="BI258" s="63" t="n">
        <f aca="false">IF(AND(OR(CG258="L1",CG258="L23",CG258="LIFT"),BD258&gt;0),SUMIFS($BD$7:$BD$1843,$CG$7:$CG$1843,CG258,$BH$7:$BH$1843,"&gt;"&amp;BH258)+SUMIFS($BD$7:$BD$1843,$CG$7:$CG$1843,CG258,$BH$7:$BH$1843,BH258,$BX$7:$BX$1843,"&lt;="&amp;BX258),"")</f>
        <v>4865.74862637363</v>
      </c>
      <c r="BJ258" s="70" t="n">
        <f aca="false">IF(BI258="",0,MAX(0,MIN(1,(IF(CG258="L1",Parameter!$H$5,IF(CG258="L23",Parameter!$H$6+Parameter!$H$7,Parameter!$H$5+Parameter!$H$6+Parameter!$H$7))-(BI258-BD258))/BD258)))</f>
        <v>1</v>
      </c>
      <c r="BK258" s="60" t="str">
        <f aca="false">IF(AJ258&lt;=0,"",IF(CG258="Aussen","Aussenlager",IF(CG258="-","Nicht im Lift",IF(AP258&gt;=1,"Lift",IF(AP258&lt;=0,"Aussenlager","teilweise")))))</f>
        <v>Lift</v>
      </c>
      <c r="BL258" s="60" t="str">
        <f aca="false">IF(AT258&lt;=0,"",IF(CG258="Aussen","Aussenlager",IF(CG258="-","Nicht im Lift",IF(AZ258&gt;=1,"Lift",IF(AZ258&lt;=0,"Aussenlager","teilweise")))))</f>
        <v>Lift</v>
      </c>
      <c r="BM258" s="60" t="str">
        <f aca="false">IF(BD258&lt;=0,"",IF(CG258="Aussen","Aussenlager",IF(CG258="-","Nicht im Lift",IF(BJ258&gt;=1,"Lift",IF(BJ258&lt;=0,"Aussenlager","teilweise")))))</f>
        <v>Lift</v>
      </c>
      <c r="BN258" s="60" t="str">
        <f aca="false">IF(A258="","",IF(BW258=1,"Neu; ","")&amp;IF(AND(BW258=0,BR258&lt;0),"negativer Bestand (Export "&amp;BR258&amp;"); ","")&amp;IF(J258&lt;=0,"Kein Verbrauch; ","")&amp;IF(CR258&gt;0,"Lift "&amp;W258&amp;" lt. Liftbericht (Fach "&amp;X258&amp;" Stk); ",IF(CB258=1,"Gebinde geschätzt ("&amp;T258&amp;"); ",IF(CA258=1,"Lose – Tablare geschätzt; ","")))&amp;IF(H258&gt;AW258,"Überbestand "&amp;ROUND(H258-AW258,0)&amp;" Stk / CHF "&amp;ROUND((H258-AW258)*G258,0)&amp;"; ","")&amp;IF(AND(CI258=1,CJ258&lt;CK258),"MAX &lt; MB+LG; ","")&amp;IF(AND(CQ258&gt;0,CP258*10&gt;CQ258),"zu hoch für Tablar; ","")&amp;IF(AND(BW258=0,OR(CI258=1,AB258&lt;&gt;"",U258&lt;&gt;"",V258&lt;&gt;"",AC258&lt;&gt;"")),"manuell übersteuert; ","")&amp;IF(AND(CA258=0,R258=0),"Gebinde unbekannt / Stellmass fehlt; ","")&amp;IF(AND(CA258=0,N(V258)&lt;=0,N(Q258)&lt;=0),"Menge pro Gebinde fehlt (Ist = 1 Gebinde); ","")&amp;BV258)</f>
        <v/>
      </c>
      <c r="BO258" s="60"/>
      <c r="BP258" s="60"/>
      <c r="BQ258" s="67"/>
      <c r="BR258" s="62" t="n">
        <v>5</v>
      </c>
      <c r="BS258" s="62" t="n">
        <v>20</v>
      </c>
      <c r="BT258" s="61" t="n">
        <v>459.799999999999</v>
      </c>
      <c r="BU258" s="62" t="n">
        <v>83</v>
      </c>
      <c r="BV258" s="60"/>
      <c r="BW258" s="65" t="n">
        <v>0</v>
      </c>
      <c r="BX258" s="65" t="n">
        <v>258</v>
      </c>
      <c r="BY258" s="60" t="str">
        <f aca="false">IF(U258&lt;&gt;"",UPPER(TRIM(U258)),IF(CB258=1,UPPER(VLOOKUP(T258,Parameter!$I$27:$K$29,2,0)),IF(P258="","LOSE",P258)))</f>
        <v>S63</v>
      </c>
      <c r="BZ258" s="62" t="n">
        <f aca="false">IF(BY258="LOSE",1,IF(N(V258)&gt;0,V258,IF(CB258=1,MAX(1,N(VLOOKUP(T258,Parameter!$I$27:$K$29,3,0)),H258,N(N258)),IF(N(Q258)&gt;0,Q258,MAX(1,H258)))))</f>
        <v>45</v>
      </c>
      <c r="CA258" s="65" t="n">
        <f aca="false">IF(BY258="LOSE",1,0)</f>
        <v>0</v>
      </c>
      <c r="CB258" s="65" t="n">
        <f aca="false">IF(AND(U258="",OR(P258="",P258="LOSE"),T258&lt;&gt;"",N(S258)&lt;=0,ISNUMBER(MATCH(T258,Parameter!$I$27:$I$29,0))),1,0)</f>
        <v>0</v>
      </c>
      <c r="CC258" s="65" t="n">
        <f aca="false">IF(CR258&gt;0,INDEX(Parameter!$H$5:$H$7,W258)/INDEX(Parameter!$E$5:$E$7,W258),IF(AND(CA258=0,N(IFERROR(VLOOKUP(BY258,'Gebinde-Kategorie'!$A$5:$N$45,14,0),0))&gt;0),VLOOKUP(BY258,'Gebinde-Kategorie'!$A$5:$N$45,14,0)*10+Parameter!$M$23,Parameter!$M$24))</f>
        <v>345</v>
      </c>
      <c r="CD258" s="60" t="str">
        <f aca="false">IF(AND(Parameter!$B$19="Ja",E258&lt;&gt;"",ISNUMBER(MATCH(E258,Parameter!$I$35:$I$52,0))),VLOOKUP(E258,Parameter!$I$35:$J$52,2,0),IFERROR(VLOOKUP(D258,Parameter!$A$35:$C$64,2,0),"Nein"))</f>
        <v>2+3</v>
      </c>
      <c r="CE258" s="64" t="n">
        <f aca="false">IF(CA258=0,0,IF(N(S258)&gt;0,S258,IFERROR(VLOOKUP(D258,Parameter!$A$35:$C$64,3,0)+0,0)))</f>
        <v>0</v>
      </c>
      <c r="CF258" s="60" t="n">
        <f aca="false">IF(AB258&lt;&gt;"",AB258,AA258)</f>
        <v>3</v>
      </c>
      <c r="CG258" s="60" t="str">
        <f aca="false">IF(OR(CF258=1,CF258=2,CF258=3),IF(Parameter!$E$27="Ja","LIFT",IF(CF258=1,"L1","L23")),IF(CF258="Aussen","Aussen","-"))</f>
        <v>LIFT</v>
      </c>
      <c r="CH258" s="71" t="n">
        <f aca="false">IF(N(AC258)&gt;0,AC258,0)</f>
        <v>0</v>
      </c>
      <c r="CI258" s="65" t="n">
        <f aca="false">IF(ISNUMBER(AF258),1,0)</f>
        <v>0</v>
      </c>
      <c r="CJ258" s="62" t="n">
        <f aca="false">N(AF258)</f>
        <v>0</v>
      </c>
      <c r="CK258" s="62" t="n">
        <f aca="false">N(M258)+N(N258)</f>
        <v>22</v>
      </c>
      <c r="CL258" s="62" t="n">
        <f aca="false">N(M258)</f>
        <v>2</v>
      </c>
      <c r="CM258" s="62" t="n">
        <f aca="false">N(N258)</f>
        <v>20</v>
      </c>
      <c r="CN258" s="62" t="n">
        <f aca="false">ROUNDUP(H258/BZ258,0)</f>
        <v>1</v>
      </c>
      <c r="CO258" s="62" t="n">
        <f aca="false">ROUNDUP(CJ258/BZ258,0)</f>
        <v>0</v>
      </c>
      <c r="CP258" s="65" t="n">
        <f aca="false">IF(CA258=1,0,IFERROR(VLOOKUP(BY258,'Gebinde-Kategorie'!$A$5:$N$45,5,0)+0,0))</f>
        <v>31</v>
      </c>
      <c r="CQ258" s="65" t="n">
        <f aca="false">IFERROR(IF(OR(CF258=1,CF258=2,CF258=3),N(INDEX(Parameter!$I$5:$I$7,CF258)),0),0)</f>
        <v>0</v>
      </c>
      <c r="CR258" s="64" t="n">
        <f aca="false">IF(AND(Parameter!$B$21="Ja",ISNUMBER(W258),N(X258)&gt;0),IFERROR(N(INDEX(Parameter!$L$5:$L$7,W258))*INDEX(Parameter!$E$5:$E$7,W258)*X258/SUMIFS($X$7:$X$1843,$W$7:$W$1843,W258),0),0)</f>
        <v>0</v>
      </c>
      <c r="CS258" s="62" t="n">
        <f aca="false">IF(AND(OR(CG258="L1",CG258="L23",CG258="LIFT"),H258&gt;0),CC258*IF(CR258&gt;0,CR258*MAX(1,H258/X258),IF(CA258=1,CE258,IF(R258&gt;0,CN258/R258,0))/MAX(0.1,N(Parameter!$M$21))),"")</f>
        <v>28.75</v>
      </c>
      <c r="CT258" s="64" t="n">
        <f aca="false">IF(CS258="","",J258/H258)</f>
        <v>3.32</v>
      </c>
      <c r="CU258" s="62" t="n">
        <f aca="false">IF(CS258="","",H258*G258)</f>
        <v>2117</v>
      </c>
      <c r="CV258" s="63" t="n">
        <f aca="false">IF(CS258="","",(CL258+ROUNDUP(CL258+MAX(CM258,2*(J258/MAX(0.1,N(Einkauf!$C$6))-CL258)),0))/2)</f>
        <v>21</v>
      </c>
      <c r="CW258" s="62" t="n">
        <f aca="false">IF(CS258="","",MAX(0,H258-CV258)*G258)</f>
        <v>338.72</v>
      </c>
      <c r="CX258" s="62" t="n">
        <f aca="false">IF(CS258="","",CS258*MAX(0,1-CV258/H258))</f>
        <v>4.6</v>
      </c>
      <c r="CY258" s="64" t="n">
        <f aca="false">IF(CS258="","",PERCENTRANK($CS$7:$CS$1843,CS258)+PERCENTRANK($CU$7:$CU$1843,CU258)+1-PERCENTRANK($CT$7:$CT$1843,CT258))</f>
        <v>1.699</v>
      </c>
      <c r="CZ258" s="72" t="n">
        <f aca="false">IF(CS258="","",CHOOSE(MATCH(Einkauf!$C$5,Parameter!$G$23:$G$27,0),CY258,CS258,CU258,-CT258,CW258)+ROW()/1000000000)</f>
        <v>1.699000258</v>
      </c>
    </row>
    <row r="259" customFormat="false" ht="15" hidden="false" customHeight="false" outlineLevel="0" collapsed="false">
      <c r="A259" s="60" t="s">
        <v>743</v>
      </c>
      <c r="B259" s="60" t="s">
        <v>449</v>
      </c>
      <c r="C259" s="60" t="s">
        <v>206</v>
      </c>
      <c r="D259" s="60" t="s">
        <v>226</v>
      </c>
      <c r="E259" s="60" t="s">
        <v>227</v>
      </c>
      <c r="F259" s="60" t="s">
        <v>260</v>
      </c>
      <c r="G259" s="61" t="n">
        <v>0.35</v>
      </c>
      <c r="H259" s="62" t="n">
        <f aca="false">MAX(0,IF(AND(Parameter!$B$21="Ja",ISNUMBER(Y259)),Y259,IF(Parameter!$B$20="Jahresanfang 2025 + Export",BS259+BR259,BR259)))</f>
        <v>2447</v>
      </c>
      <c r="I259" s="62" t="n">
        <f aca="false">H259*G259</f>
        <v>856.45</v>
      </c>
      <c r="J259" s="62" t="n">
        <f aca="false">BU259*Parameter!$B$18</f>
        <v>4586</v>
      </c>
      <c r="K259" s="63" t="n">
        <v>1287</v>
      </c>
      <c r="L259" s="64" t="n">
        <v>3.56332556332556</v>
      </c>
      <c r="M259" s="62" t="n">
        <v>267</v>
      </c>
      <c r="N259" s="62" t="n">
        <v>2000</v>
      </c>
      <c r="O259" s="65" t="n">
        <v>21</v>
      </c>
      <c r="P259" s="60" t="s">
        <v>275</v>
      </c>
      <c r="Q259" s="62" t="n">
        <v>1949</v>
      </c>
      <c r="R259" s="65" t="n">
        <f aca="false">IF(CA259=1,0,IFERROR(VLOOKUP(BY259,'Gebinde-Kategorie'!$A$5:$N$45,13,0)+0,0))</f>
        <v>26</v>
      </c>
      <c r="S259" s="66"/>
      <c r="T259" s="67"/>
      <c r="U259" s="67"/>
      <c r="V259" s="67"/>
      <c r="W259" s="60"/>
      <c r="X259" s="62"/>
      <c r="Y259" s="62"/>
      <c r="Z259" s="60" t="n">
        <v>3</v>
      </c>
      <c r="AA259" s="60" t="n">
        <f aca="false">IF(A259="","",IF(AND(Parameter!$B$21="Ja",ISNUMBER(W259)),W259,IF(AND(Parameter!$E$27="Ja",ISNUMBER(Z259),CD259&lt;&gt;"Nein"),Z259,IF(CD259="2+3",IF(ISNUMBER(SEARCH("grosser Artikel",BV259)),2,IFERROR(VLOOKUP(BY259,Parameter!$F$35:$G$64,2,0),2)),IF(OR(CD259="Nein",CD259=""),"-",CD259)))))</f>
        <v>3</v>
      </c>
      <c r="AB259" s="67"/>
      <c r="AC259" s="68"/>
      <c r="AD259" s="62" t="n">
        <f aca="false">AW259</f>
        <v>2791</v>
      </c>
      <c r="AE259" s="62" t="n">
        <f aca="false">MAX(AW259,H259)</f>
        <v>2791</v>
      </c>
      <c r="AF259" s="69"/>
      <c r="AG259" s="62" t="n">
        <f aca="false">IF(LEFT(Cockpit!$C$5,1)="A",H259,IF(Parameter!$E$30="MAX-Bestand",IF(CI259=1,CJ259,IF(LEFT(Cockpit!$C$5,1)="B",AM259,MAX(AM259,H259))),ROUNDUP(AK259,0)))</f>
        <v>2447</v>
      </c>
      <c r="AH259" s="62" t="n">
        <f aca="false">IF(CA259=1,0,ROUNDUP(AG259/BZ259,0))</f>
        <v>2</v>
      </c>
      <c r="AI259" s="64" t="n">
        <f aca="false">IF(CR259&gt;0,CR259*MAX(1,AG259/X259),IF(CA259=1,IF(AG259&lt;=0,0,CE259*MAX(1,IF(H259&gt;0,AG259/H259,1))),IF(R259&gt;0,AH259/R259,0))/MAX(0.1,N(Parameter!$M$21)))</f>
        <v>0.0769230769230769</v>
      </c>
      <c r="AJ259" s="62" t="n">
        <f aca="false">AI259*CC259</f>
        <v>18.8461538461538</v>
      </c>
      <c r="AK259" s="63" t="n">
        <f aca="false">IF(LEFT(Cockpit!$C$5,1)="A",H259,IF(CI259=1,(CL259+CJ259)/2,IF(LEFT(Cockpit!$C$5,1)="B",(CL259+AM259)/2,MAX((CL259+AM259)/2,H259))))</f>
        <v>2447</v>
      </c>
      <c r="AL259" s="62" t="n">
        <f aca="false">AK259*G259</f>
        <v>856.45</v>
      </c>
      <c r="AM259" s="62" t="n">
        <f aca="false">ROUNDUP(CL259+MAX(CM259,2*(J259/IF(CH259&gt;0,CH259,MAX(0.1,N(Cockpit!$C$6)))-CL259)),0)</f>
        <v>2791</v>
      </c>
      <c r="AN259" s="63" t="n">
        <f aca="false">IF(AJ259&gt;0,J259/AJ259,-1)</f>
        <v>243.338775510204</v>
      </c>
      <c r="AO259" s="63" t="n">
        <f aca="false">IF(AND(OR(CG259="L1",CG259="L23",CG259="LIFT"),AJ259&gt;0),SUMIFS($AJ$7:$AJ$1843,$CG$7:$CG$1843,CG259,$AN$7:$AN$1843,"&gt;"&amp;AN259)+SUMIFS($AJ$7:$AJ$1843,$CG$7:$CG$1843,CG259,$AN$7:$AN$1843,AN259,$BX$7:$BX$1843,"&lt;="&amp;BX259),"")</f>
        <v>304.446886446887</v>
      </c>
      <c r="AP259" s="70" t="n">
        <f aca="false">IF(AO259="",0,MAX(0,MIN(1,(IF(CG259="L1",Parameter!$H$5,IF(CG259="L23",Parameter!$H$6+Parameter!$H$7,Parameter!$H$5+Parameter!$H$6+Parameter!$H$7))-(AO259-AJ259))/AJ259)))</f>
        <v>1</v>
      </c>
      <c r="AQ259" s="62" t="n">
        <f aca="false">IF(LEFT(Cockpit!$I$5,1)="A",H259,IF(Parameter!$E$30="MAX-Bestand",IF(CI259=1,CJ259,IF(LEFT(Cockpit!$I$5,1)="B",AW259,MAX(AW259,H259))),ROUNDUP(AU259,0)))</f>
        <v>2447</v>
      </c>
      <c r="AR259" s="62" t="n">
        <f aca="false">IF(CA259=1,0,ROUNDUP(AQ259/BZ259,0))</f>
        <v>2</v>
      </c>
      <c r="AS259" s="64" t="n">
        <f aca="false">IF(CR259&gt;0,CR259*MAX(1,AQ259/X259),IF(CA259=1,IF(AQ259&lt;=0,0,CE259*MAX(1,IF(H259&gt;0,AQ259/H259,1))),IF(R259&gt;0,AR259/R259,0))/MAX(0.1,N(Parameter!$M$21)))</f>
        <v>0.0769230769230769</v>
      </c>
      <c r="AT259" s="62" t="n">
        <f aca="false">AS259*CC259</f>
        <v>18.8461538461538</v>
      </c>
      <c r="AU259" s="63" t="n">
        <f aca="false">IF(LEFT(Cockpit!$I$5,1)="A",H259,IF(CI259=1,(CL259+CJ259)/2,IF(LEFT(Cockpit!$I$5,1)="B",(CL259+AW259)/2,MAX((CL259+AW259)/2,H259))))</f>
        <v>2447</v>
      </c>
      <c r="AV259" s="62" t="n">
        <f aca="false">AU259*G259</f>
        <v>856.45</v>
      </c>
      <c r="AW259" s="62" t="n">
        <f aca="false">ROUNDUP(CL259+MAX(CM259,2*(J259/IF(CH259&gt;0,CH259,MAX(0.1,N(Cockpit!$I$6)))-CL259)),0)</f>
        <v>2791</v>
      </c>
      <c r="AX259" s="63" t="n">
        <f aca="false">IF(AT259&gt;0,J259/AT259,-1)</f>
        <v>243.338775510204</v>
      </c>
      <c r="AY259" s="63" t="n">
        <f aca="false">IF(AND(OR(CG259="L1",CG259="L23",CG259="LIFT"),AT259&gt;0),SUMIFS($AT$7:$AT$1843,$CG$7:$CG$1843,CG259,$AX$7:$AX$1843,"&gt;"&amp;AX259)+SUMIFS($AT$7:$AT$1843,$CG$7:$CG$1843,CG259,$AX$7:$AX$1843,AX259,$BX$7:$BX$1843,"&lt;="&amp;BX259),"")</f>
        <v>257.509157509158</v>
      </c>
      <c r="AZ259" s="70" t="n">
        <f aca="false">IF(AY259="",0,MAX(0,MIN(1,(IF(CG259="L1",Parameter!$H$5,IF(CG259="L23",Parameter!$H$6+Parameter!$H$7,Parameter!$H$5+Parameter!$H$6+Parameter!$H$7))-(AY259-AT259))/AT259)))</f>
        <v>1</v>
      </c>
      <c r="BA259" s="62" t="n">
        <f aca="false">IF(LEFT(Cockpit!$O$5,1)="A",H259,IF(Parameter!$E$30="MAX-Bestand",IF(CI259=1,CJ259,IF(LEFT(Cockpit!$O$5,1)="B",BG259,MAX(BG259,H259))),ROUNDUP(BE259,0)))</f>
        <v>1267</v>
      </c>
      <c r="BB259" s="62" t="n">
        <f aca="false">IF(CA259=1,0,ROUNDUP(BA259/BZ259,0))</f>
        <v>1</v>
      </c>
      <c r="BC259" s="64" t="n">
        <f aca="false">IF(CR259&gt;0,CR259*MAX(1,BA259/X259),IF(CA259=1,IF(BA259&lt;=0,0,CE259*MAX(1,IF(H259&gt;0,BA259/H259,1))),IF(R259&gt;0,BB259/R259,0))/MAX(0.1,N(Parameter!$M$21)))</f>
        <v>0.0384615384615385</v>
      </c>
      <c r="BD259" s="62" t="n">
        <f aca="false">BC259*CC259</f>
        <v>9.42307692307692</v>
      </c>
      <c r="BE259" s="63" t="n">
        <f aca="false">IF(LEFT(Cockpit!$O$5,1)="A",H259,IF(CI259=1,(CL259+CJ259)/2,IF(LEFT(Cockpit!$O$5,1)="B",(CL259+BG259)/2,MAX((CL259+BG259)/2,H259))))</f>
        <v>1267</v>
      </c>
      <c r="BF259" s="62" t="n">
        <f aca="false">BE259*G259</f>
        <v>443.45</v>
      </c>
      <c r="BG259" s="62" t="n">
        <f aca="false">ROUNDUP(CL259+MAX(CM259,2*(J259/IF(CH259&gt;0,CH259,MAX(0.1,N(Cockpit!$O$6)))-CL259)),0)</f>
        <v>2267</v>
      </c>
      <c r="BH259" s="63" t="n">
        <f aca="false">IF(BD259&gt;0,J259/BD259,-1)</f>
        <v>486.677551020408</v>
      </c>
      <c r="BI259" s="63" t="n">
        <f aca="false">IF(AND(OR(CG259="L1",CG259="L23",CG259="LIFT"),BD259&gt;0),SUMIFS($BD$7:$BD$1843,$CG$7:$CG$1843,CG259,$BH$7:$BH$1843,"&gt;"&amp;BH259)+SUMIFS($BD$7:$BD$1843,$CG$7:$CG$1843,CG259,$BH$7:$BH$1843,BH259,$BX$7:$BX$1843,"&lt;="&amp;BX259),"")</f>
        <v>116.514652014652</v>
      </c>
      <c r="BJ259" s="70" t="n">
        <f aca="false">IF(BI259="",0,MAX(0,MIN(1,(IF(CG259="L1",Parameter!$H$5,IF(CG259="L23",Parameter!$H$6+Parameter!$H$7,Parameter!$H$5+Parameter!$H$6+Parameter!$H$7))-(BI259-BD259))/BD259)))</f>
        <v>1</v>
      </c>
      <c r="BK259" s="60" t="str">
        <f aca="false">IF(AJ259&lt;=0,"",IF(CG259="Aussen","Aussenlager",IF(CG259="-","Nicht im Lift",IF(AP259&gt;=1,"Lift",IF(AP259&lt;=0,"Aussenlager","teilweise")))))</f>
        <v>Lift</v>
      </c>
      <c r="BL259" s="60" t="str">
        <f aca="false">IF(AT259&lt;=0,"",IF(CG259="Aussen","Aussenlager",IF(CG259="-","Nicht im Lift",IF(AZ259&gt;=1,"Lift",IF(AZ259&lt;=0,"Aussenlager","teilweise")))))</f>
        <v>Lift</v>
      </c>
      <c r="BM259" s="60" t="str">
        <f aca="false">IF(BD259&lt;=0,"",IF(CG259="Aussen","Aussenlager",IF(CG259="-","Nicht im Lift",IF(BJ259&gt;=1,"Lift",IF(BJ259&lt;=0,"Aussenlager","teilweise")))))</f>
        <v>Lift</v>
      </c>
      <c r="BN259" s="60" t="str">
        <f aca="false">IF(A259="","",IF(BW259=1,"Neu; ","")&amp;IF(AND(BW259=0,BR259&lt;0),"negativer Bestand (Export "&amp;BR259&amp;"); ","")&amp;IF(J259&lt;=0,"Kein Verbrauch; ","")&amp;IF(CR259&gt;0,"Lift "&amp;W259&amp;" lt. Liftbericht (Fach "&amp;X259&amp;" Stk); ",IF(CB259=1,"Gebinde geschätzt ("&amp;T259&amp;"); ",IF(CA259=1,"Lose – Tablare geschätzt; ","")))&amp;IF(H259&gt;AW259,"Überbestand "&amp;ROUND(H259-AW259,0)&amp;" Stk / CHF "&amp;ROUND((H259-AW259)*G259,0)&amp;"; ","")&amp;IF(AND(CI259=1,CJ259&lt;CK259),"MAX &lt; MB+LG; ","")&amp;IF(AND(CQ259&gt;0,CP259*10&gt;CQ259),"zu hoch für Tablar; ","")&amp;IF(AND(BW259=0,OR(CI259=1,AB259&lt;&gt;"",U259&lt;&gt;"",V259&lt;&gt;"",AC259&lt;&gt;"")),"manuell übersteuert; ","")&amp;IF(AND(CA259=0,R259=0),"Gebinde unbekannt / Stellmass fehlt; ","")&amp;IF(AND(CA259=0,N(V259)&lt;=0,N(Q259)&lt;=0),"Menge pro Gebinde fehlt (Ist = 1 Gebinde); ","")&amp;BV259)</f>
        <v/>
      </c>
      <c r="BO259" s="60"/>
      <c r="BP259" s="60"/>
      <c r="BQ259" s="67"/>
      <c r="BR259" s="62" t="n">
        <v>1293</v>
      </c>
      <c r="BS259" s="62" t="n">
        <v>1154</v>
      </c>
      <c r="BT259" s="61" t="n">
        <v>452.55</v>
      </c>
      <c r="BU259" s="62" t="n">
        <v>4586</v>
      </c>
      <c r="BV259" s="60"/>
      <c r="BW259" s="65" t="n">
        <v>0</v>
      </c>
      <c r="BX259" s="65" t="n">
        <v>259</v>
      </c>
      <c r="BY259" s="60" t="str">
        <f aca="false">IF(U259&lt;&gt;"",UPPER(TRIM(U259)),IF(CB259=1,UPPER(VLOOKUP(T259,Parameter!$I$27:$K$29,2,0)),IF(P259="","LOSE",P259)))</f>
        <v>S52</v>
      </c>
      <c r="BZ259" s="62" t="n">
        <f aca="false">IF(BY259="LOSE",1,IF(N(V259)&gt;0,V259,IF(CB259=1,MAX(1,N(VLOOKUP(T259,Parameter!$I$27:$K$29,3,0)),H259,N(N259)),IF(N(Q259)&gt;0,Q259,MAX(1,H259)))))</f>
        <v>1949</v>
      </c>
      <c r="CA259" s="65" t="n">
        <f aca="false">IF(BY259="LOSE",1,0)</f>
        <v>0</v>
      </c>
      <c r="CB259" s="65" t="n">
        <f aca="false">IF(AND(U259="",OR(P259="",P259="LOSE"),T259&lt;&gt;"",N(S259)&lt;=0,ISNUMBER(MATCH(T259,Parameter!$I$27:$I$29,0))),1,0)</f>
        <v>0</v>
      </c>
      <c r="CC259" s="65" t="n">
        <f aca="false">IF(CR259&gt;0,INDEX(Parameter!$H$5:$H$7,W259)/INDEX(Parameter!$E$5:$E$7,W259),IF(AND(CA259=0,N(IFERROR(VLOOKUP(BY259,'Gebinde-Kategorie'!$A$5:$N$45,14,0),0))&gt;0),VLOOKUP(BY259,'Gebinde-Kategorie'!$A$5:$N$45,14,0)*10+Parameter!$M$23,Parameter!$M$24))</f>
        <v>245</v>
      </c>
      <c r="CD259" s="60" t="str">
        <f aca="false">IF(AND(Parameter!$B$19="Ja",E259&lt;&gt;"",ISNUMBER(MATCH(E259,Parameter!$I$35:$I$52,0))),VLOOKUP(E259,Parameter!$I$35:$J$52,2,0),IFERROR(VLOOKUP(D259,Parameter!$A$35:$C$64,2,0),"Nein"))</f>
        <v>2+3</v>
      </c>
      <c r="CE259" s="64" t="n">
        <f aca="false">IF(CA259=0,0,IF(N(S259)&gt;0,S259,IFERROR(VLOOKUP(D259,Parameter!$A$35:$C$64,3,0)+0,0)))</f>
        <v>0</v>
      </c>
      <c r="CF259" s="60" t="n">
        <f aca="false">IF(AB259&lt;&gt;"",AB259,AA259)</f>
        <v>3</v>
      </c>
      <c r="CG259" s="60" t="str">
        <f aca="false">IF(OR(CF259=1,CF259=2,CF259=3),IF(Parameter!$E$27="Ja","LIFT",IF(CF259=1,"L1","L23")),IF(CF259="Aussen","Aussen","-"))</f>
        <v>LIFT</v>
      </c>
      <c r="CH259" s="71" t="n">
        <f aca="false">IF(N(AC259)&gt;0,AC259,0)</f>
        <v>0</v>
      </c>
      <c r="CI259" s="65" t="n">
        <f aca="false">IF(ISNUMBER(AF259),1,0)</f>
        <v>0</v>
      </c>
      <c r="CJ259" s="62" t="n">
        <f aca="false">N(AF259)</f>
        <v>0</v>
      </c>
      <c r="CK259" s="62" t="n">
        <f aca="false">N(M259)+N(N259)</f>
        <v>2267</v>
      </c>
      <c r="CL259" s="62" t="n">
        <f aca="false">N(M259)</f>
        <v>267</v>
      </c>
      <c r="CM259" s="62" t="n">
        <f aca="false">N(N259)</f>
        <v>2000</v>
      </c>
      <c r="CN259" s="62" t="n">
        <f aca="false">ROUNDUP(H259/BZ259,0)</f>
        <v>2</v>
      </c>
      <c r="CO259" s="62" t="n">
        <f aca="false">ROUNDUP(CJ259/BZ259,0)</f>
        <v>0</v>
      </c>
      <c r="CP259" s="65" t="n">
        <f aca="false">IF(CA259=1,0,IFERROR(VLOOKUP(BY259,'Gebinde-Kategorie'!$A$5:$N$45,5,0)+0,0))</f>
        <v>21</v>
      </c>
      <c r="CQ259" s="65" t="n">
        <f aca="false">IFERROR(IF(OR(CF259=1,CF259=2,CF259=3),N(INDEX(Parameter!$I$5:$I$7,CF259)),0),0)</f>
        <v>0</v>
      </c>
      <c r="CR259" s="64" t="n">
        <f aca="false">IF(AND(Parameter!$B$21="Ja",ISNUMBER(W259),N(X259)&gt;0),IFERROR(N(INDEX(Parameter!$L$5:$L$7,W259))*INDEX(Parameter!$E$5:$E$7,W259)*X259/SUMIFS($X$7:$X$1843,$W$7:$W$1843,W259),0),0)</f>
        <v>0</v>
      </c>
      <c r="CS259" s="62" t="n">
        <f aca="false">IF(AND(OR(CG259="L1",CG259="L23",CG259="LIFT"),H259&gt;0),CC259*IF(CR259&gt;0,CR259*MAX(1,H259/X259),IF(CA259=1,CE259,IF(R259&gt;0,CN259/R259,0))/MAX(0.1,N(Parameter!$M$21))),"")</f>
        <v>18.8461538461538</v>
      </c>
      <c r="CT259" s="64" t="n">
        <f aca="false">IF(CS259="","",J259/H259)</f>
        <v>1.87413158970168</v>
      </c>
      <c r="CU259" s="62" t="n">
        <f aca="false">IF(CS259="","",H259*G259)</f>
        <v>856.45</v>
      </c>
      <c r="CV259" s="63" t="n">
        <f aca="false">IF(CS259="","",(CL259+ROUNDUP(CL259+MAX(CM259,2*(J259/MAX(0.1,N(Einkauf!$C$6))-CL259)),0))/2)</f>
        <v>1267</v>
      </c>
      <c r="CW259" s="62" t="n">
        <f aca="false">IF(CS259="","",MAX(0,H259-CV259)*G259)</f>
        <v>413</v>
      </c>
      <c r="CX259" s="62" t="n">
        <f aca="false">IF(CS259="","",CS259*MAX(0,1-CV259/H259))</f>
        <v>9.08805130300839</v>
      </c>
      <c r="CY259" s="64" t="n">
        <f aca="false">IF(CS259="","",PERCENTRANK($CS$7:$CS$1843,CS259)+PERCENTRANK($CU$7:$CU$1843,CU259)+1-PERCENTRANK($CT$7:$CT$1843,CT259))</f>
        <v>1.585</v>
      </c>
      <c r="CZ259" s="72" t="n">
        <f aca="false">IF(CS259="","",CHOOSE(MATCH(Einkauf!$C$5,Parameter!$G$23:$G$27,0),CY259,CS259,CU259,-CT259,CW259)+ROW()/1000000000)</f>
        <v>1.585000259</v>
      </c>
    </row>
    <row r="260" customFormat="false" ht="15" hidden="false" customHeight="false" outlineLevel="0" collapsed="false">
      <c r="A260" s="60" t="s">
        <v>744</v>
      </c>
      <c r="B260" s="60" t="s">
        <v>745</v>
      </c>
      <c r="C260" s="60" t="s">
        <v>206</v>
      </c>
      <c r="D260" s="60" t="s">
        <v>215</v>
      </c>
      <c r="E260" s="60" t="s">
        <v>208</v>
      </c>
      <c r="F260" s="60" t="s">
        <v>260</v>
      </c>
      <c r="G260" s="61" t="n">
        <v>428.4</v>
      </c>
      <c r="H260" s="62" t="n">
        <f aca="false">MAX(0,IF(AND(Parameter!$B$21="Ja",ISNUMBER(Y260)),Y260,IF(Parameter!$B$20="Jahresanfang 2025 + Export",BS260+BR260,BR260)))</f>
        <v>14</v>
      </c>
      <c r="I260" s="62" t="n">
        <f aca="false">H260*G260</f>
        <v>5997.6</v>
      </c>
      <c r="J260" s="62" t="n">
        <f aca="false">BU260*Parameter!$B$18</f>
        <v>58</v>
      </c>
      <c r="K260" s="63" t="n">
        <v>9</v>
      </c>
      <c r="L260" s="64" t="n">
        <v>6.44444444444445</v>
      </c>
      <c r="M260" s="62" t="n">
        <v>5</v>
      </c>
      <c r="N260" s="62" t="n">
        <v>20</v>
      </c>
      <c r="O260" s="65" t="n">
        <v>35</v>
      </c>
      <c r="P260" s="60" t="s">
        <v>301</v>
      </c>
      <c r="Q260" s="62" t="n">
        <v>10</v>
      </c>
      <c r="R260" s="65" t="n">
        <f aca="false">IF(CA260=1,0,IFERROR(VLOOKUP(BY260,'Gebinde-Kategorie'!$A$5:$N$45,13,0)+0,0))</f>
        <v>6</v>
      </c>
      <c r="S260" s="66"/>
      <c r="T260" s="67"/>
      <c r="U260" s="67"/>
      <c r="V260" s="67"/>
      <c r="W260" s="60"/>
      <c r="X260" s="62"/>
      <c r="Y260" s="62"/>
      <c r="Z260" s="60" t="n">
        <v>2</v>
      </c>
      <c r="AA260" s="60" t="n">
        <f aca="false">IF(A260="","",IF(AND(Parameter!$B$21="Ja",ISNUMBER(W260)),W260,IF(AND(Parameter!$E$27="Ja",ISNUMBER(Z260),CD260&lt;&gt;"Nein"),Z260,IF(CD260="2+3",IF(ISNUMBER(SEARCH("grosser Artikel",BV260)),2,IFERROR(VLOOKUP(BY260,Parameter!$F$35:$G$64,2,0),2)),IF(OR(CD260="Nein",CD260=""),"-",CD260)))))</f>
        <v>2</v>
      </c>
      <c r="AB260" s="67"/>
      <c r="AC260" s="68"/>
      <c r="AD260" s="62" t="n">
        <f aca="false">AW260</f>
        <v>34</v>
      </c>
      <c r="AE260" s="62" t="n">
        <f aca="false">MAX(AW260,H260)</f>
        <v>34</v>
      </c>
      <c r="AF260" s="69"/>
      <c r="AG260" s="62" t="n">
        <f aca="false">IF(LEFT(Cockpit!$C$5,1)="A",H260,IF(Parameter!$E$30="MAX-Bestand",IF(CI260=1,CJ260,IF(LEFT(Cockpit!$C$5,1)="B",AM260,MAX(AM260,H260))),ROUNDUP(AK260,0)))</f>
        <v>14</v>
      </c>
      <c r="AH260" s="62" t="n">
        <f aca="false">IF(CA260=1,0,ROUNDUP(AG260/BZ260,0))</f>
        <v>2</v>
      </c>
      <c r="AI260" s="64" t="n">
        <f aca="false">IF(CR260&gt;0,CR260*MAX(1,AG260/X260),IF(CA260=1,IF(AG260&lt;=0,0,CE260*MAX(1,IF(H260&gt;0,AG260/H260,1))),IF(R260&gt;0,AH260/R260,0))/MAX(0.1,N(Parameter!$M$21)))</f>
        <v>0.333333333333333</v>
      </c>
      <c r="AJ260" s="62" t="n">
        <f aca="false">AI260*CC260</f>
        <v>145</v>
      </c>
      <c r="AK260" s="63" t="n">
        <f aca="false">IF(LEFT(Cockpit!$C$5,1)="A",H260,IF(CI260=1,(CL260+CJ260)/2,IF(LEFT(Cockpit!$C$5,1)="B",(CL260+AM260)/2,MAX((CL260+AM260)/2,H260))))</f>
        <v>14</v>
      </c>
      <c r="AL260" s="62" t="n">
        <f aca="false">AK260*G260</f>
        <v>5997.6</v>
      </c>
      <c r="AM260" s="62" t="n">
        <f aca="false">ROUNDUP(CL260+MAX(CM260,2*(J260/IF(CH260&gt;0,CH260,MAX(0.1,N(Cockpit!$C$6)))-CL260)),0)</f>
        <v>34</v>
      </c>
      <c r="AN260" s="63" t="n">
        <f aca="false">IF(AJ260&gt;0,J260/AJ260,-1)</f>
        <v>0.4</v>
      </c>
      <c r="AO260" s="63" t="n">
        <f aca="false">IF(AND(OR(CG260="L1",CG260="L23",CG260="LIFT"),AJ260&gt;0),SUMIFS($AJ$7:$AJ$1843,$CG$7:$CG$1843,CG260,$AN$7:$AN$1843,"&gt;"&amp;AN260)+SUMIFS($AJ$7:$AJ$1843,$CG$7:$CG$1843,CG260,$AN$7:$AN$1843,AN260,$BX$7:$BX$1843,"&lt;="&amp;BX260),"")</f>
        <v>10302.6666382111</v>
      </c>
      <c r="AP260" s="70" t="n">
        <f aca="false">IF(AO260="",0,MAX(0,MIN(1,(IF(CG260="L1",Parameter!$H$5,IF(CG260="L23",Parameter!$H$6+Parameter!$H$7,Parameter!$H$5+Parameter!$H$6+Parameter!$H$7))-(AO260-AJ260))/AJ260)))</f>
        <v>1</v>
      </c>
      <c r="AQ260" s="62" t="n">
        <f aca="false">IF(LEFT(Cockpit!$I$5,1)="A",H260,IF(Parameter!$E$30="MAX-Bestand",IF(CI260=1,CJ260,IF(LEFT(Cockpit!$I$5,1)="B",AW260,MAX(AW260,H260))),ROUNDUP(AU260,0)))</f>
        <v>20</v>
      </c>
      <c r="AR260" s="62" t="n">
        <f aca="false">IF(CA260=1,0,ROUNDUP(AQ260/BZ260,0))</f>
        <v>2</v>
      </c>
      <c r="AS260" s="64" t="n">
        <f aca="false">IF(CR260&gt;0,CR260*MAX(1,AQ260/X260),IF(CA260=1,IF(AQ260&lt;=0,0,CE260*MAX(1,IF(H260&gt;0,AQ260/H260,1))),IF(R260&gt;0,AR260/R260,0))/MAX(0.1,N(Parameter!$M$21)))</f>
        <v>0.333333333333333</v>
      </c>
      <c r="AT260" s="62" t="n">
        <f aca="false">AS260*CC260</f>
        <v>145</v>
      </c>
      <c r="AU260" s="63" t="n">
        <f aca="false">IF(LEFT(Cockpit!$I$5,1)="A",H260,IF(CI260=1,(CL260+CJ260)/2,IF(LEFT(Cockpit!$I$5,1)="B",(CL260+AW260)/2,MAX((CL260+AW260)/2,H260))))</f>
        <v>19.5</v>
      </c>
      <c r="AV260" s="62" t="n">
        <f aca="false">AU260*G260</f>
        <v>8353.8</v>
      </c>
      <c r="AW260" s="62" t="n">
        <f aca="false">ROUNDUP(CL260+MAX(CM260,2*(J260/IF(CH260&gt;0,CH260,MAX(0.1,N(Cockpit!$I$6)))-CL260)),0)</f>
        <v>34</v>
      </c>
      <c r="AX260" s="63" t="n">
        <f aca="false">IF(AT260&gt;0,J260/AT260,-1)</f>
        <v>0.4</v>
      </c>
      <c r="AY260" s="63" t="n">
        <f aca="false">IF(AND(OR(CG260="L1",CG260="L23",CG260="LIFT"),AT260&gt;0),SUMIFS($AT$7:$AT$1843,$CG$7:$CG$1843,CG260,$AX$7:$AX$1843,"&gt;"&amp;AX260)+SUMIFS($AT$7:$AT$1843,$CG$7:$CG$1843,CG260,$AX$7:$AX$1843,AX260,$BX$7:$BX$1843,"&lt;="&amp;BX260),"")</f>
        <v>13034.4198717949</v>
      </c>
      <c r="AZ260" s="70" t="n">
        <f aca="false">IF(AY260="",0,MAX(0,MIN(1,(IF(CG260="L1",Parameter!$H$5,IF(CG260="L23",Parameter!$H$6+Parameter!$H$7,Parameter!$H$5+Parameter!$H$6+Parameter!$H$7))-(AY260-AT260))/AT260)))</f>
        <v>1</v>
      </c>
      <c r="BA260" s="62" t="n">
        <f aca="false">IF(LEFT(Cockpit!$O$5,1)="A",H260,IF(Parameter!$E$30="MAX-Bestand",IF(CI260=1,CJ260,IF(LEFT(Cockpit!$O$5,1)="B",BG260,MAX(BG260,H260))),ROUNDUP(BE260,0)))</f>
        <v>15</v>
      </c>
      <c r="BB260" s="62" t="n">
        <f aca="false">IF(CA260=1,0,ROUNDUP(BA260/BZ260,0))</f>
        <v>2</v>
      </c>
      <c r="BC260" s="64" t="n">
        <f aca="false">IF(CR260&gt;0,CR260*MAX(1,BA260/X260),IF(CA260=1,IF(BA260&lt;=0,0,CE260*MAX(1,IF(H260&gt;0,BA260/H260,1))),IF(R260&gt;0,BB260/R260,0))/MAX(0.1,N(Parameter!$M$21)))</f>
        <v>0.333333333333333</v>
      </c>
      <c r="BD260" s="62" t="n">
        <f aca="false">BC260*CC260</f>
        <v>145</v>
      </c>
      <c r="BE260" s="63" t="n">
        <f aca="false">IF(LEFT(Cockpit!$O$5,1)="A",H260,IF(CI260=1,(CL260+CJ260)/2,IF(LEFT(Cockpit!$O$5,1)="B",(CL260+BG260)/2,MAX((CL260+BG260)/2,H260))))</f>
        <v>15</v>
      </c>
      <c r="BF260" s="62" t="n">
        <f aca="false">BE260*G260</f>
        <v>6426</v>
      </c>
      <c r="BG260" s="62" t="n">
        <f aca="false">ROUNDUP(CL260+MAX(CM260,2*(J260/IF(CH260&gt;0,CH260,MAX(0.1,N(Cockpit!$O$6)))-CL260)),0)</f>
        <v>25</v>
      </c>
      <c r="BH260" s="63" t="n">
        <f aca="false">IF(BD260&gt;0,J260/BD260,-1)</f>
        <v>0.4</v>
      </c>
      <c r="BI260" s="63" t="n">
        <f aca="false">IF(AND(OR(CG260="L1",CG260="L23",CG260="LIFT"),BD260&gt;0),SUMIFS($BD$7:$BD$1843,$CG$7:$CG$1843,CG260,$BH$7:$BH$1843,"&gt;"&amp;BH260)+SUMIFS($BD$7:$BD$1843,$CG$7:$CG$1843,CG260,$BH$7:$BH$1843,BH260,$BX$7:$BX$1843,"&lt;="&amp;BX260),"")</f>
        <v>11063.5196886447</v>
      </c>
      <c r="BJ260" s="70" t="n">
        <f aca="false">IF(BI260="",0,MAX(0,MIN(1,(IF(CG260="L1",Parameter!$H$5,IF(CG260="L23",Parameter!$H$6+Parameter!$H$7,Parameter!$H$5+Parameter!$H$6+Parameter!$H$7))-(BI260-BD260))/BD260)))</f>
        <v>1</v>
      </c>
      <c r="BK260" s="60" t="str">
        <f aca="false">IF(AJ260&lt;=0,"",IF(CG260="Aussen","Aussenlager",IF(CG260="-","Nicht im Lift",IF(AP260&gt;=1,"Lift",IF(AP260&lt;=0,"Aussenlager","teilweise")))))</f>
        <v>Lift</v>
      </c>
      <c r="BL260" s="60" t="str">
        <f aca="false">IF(AT260&lt;=0,"",IF(CG260="Aussen","Aussenlager",IF(CG260="-","Nicht im Lift",IF(AZ260&gt;=1,"Lift",IF(AZ260&lt;=0,"Aussenlager","teilweise")))))</f>
        <v>Lift</v>
      </c>
      <c r="BM260" s="60" t="str">
        <f aca="false">IF(BD260&lt;=0,"",IF(CG260="Aussen","Aussenlager",IF(CG260="-","Nicht im Lift",IF(BJ260&gt;=1,"Lift",IF(BJ260&lt;=0,"Aussenlager","teilweise")))))</f>
        <v>Lift</v>
      </c>
      <c r="BN260" s="60" t="str">
        <f aca="false">IF(A260="","",IF(BW260=1,"Neu; ","")&amp;IF(AND(BW260=0,BR260&lt;0),"negativer Bestand (Export "&amp;BR260&amp;"); ","")&amp;IF(J260&lt;=0,"Kein Verbrauch; ","")&amp;IF(CR260&gt;0,"Lift "&amp;W260&amp;" lt. Liftbericht (Fach "&amp;X260&amp;" Stk); ",IF(CB260=1,"Gebinde geschätzt ("&amp;T260&amp;"); ",IF(CA260=1,"Lose – Tablare geschätzt; ","")))&amp;IF(H260&gt;AW260,"Überbestand "&amp;ROUND(H260-AW260,0)&amp;" Stk / CHF "&amp;ROUND((H260-AW260)*G260,0)&amp;"; ","")&amp;IF(AND(CI260=1,CJ260&lt;CK260),"MAX &lt; MB+LG; ","")&amp;IF(AND(CQ260&gt;0,CP260*10&gt;CQ260),"zu hoch für Tablar; ","")&amp;IF(AND(BW260=0,OR(CI260=1,AB260&lt;&gt;"",U260&lt;&gt;"",V260&lt;&gt;"",AC260&lt;&gt;"")),"manuell übersteuert; ","")&amp;IF(AND(CA260=0,R260=0),"Gebinde unbekannt / Stellmass fehlt; ","")&amp;IF(AND(CA260=0,N(V260)&lt;=0,N(Q260)&lt;=0),"Menge pro Gebinde fehlt (Ist = 1 Gebinde); ","")&amp;BV260)</f>
        <v/>
      </c>
      <c r="BO260" s="60"/>
      <c r="BP260" s="60"/>
      <c r="BQ260" s="67"/>
      <c r="BR260" s="62" t="n">
        <v>1</v>
      </c>
      <c r="BS260" s="62" t="n">
        <v>13</v>
      </c>
      <c r="BT260" s="61" t="n">
        <v>449.2</v>
      </c>
      <c r="BU260" s="62" t="n">
        <v>58</v>
      </c>
      <c r="BV260" s="60"/>
      <c r="BW260" s="65" t="n">
        <v>0</v>
      </c>
      <c r="BX260" s="65" t="n">
        <v>260</v>
      </c>
      <c r="BY260" s="60" t="str">
        <f aca="false">IF(U260&lt;&gt;"",UPPER(TRIM(U260)),IF(CB260=1,UPPER(VLOOKUP(T260,Parameter!$I$27:$K$29,2,0)),IF(P260="","LOSE",P260)))</f>
        <v>S72</v>
      </c>
      <c r="BZ260" s="62" t="n">
        <f aca="false">IF(BY260="LOSE",1,IF(N(V260)&gt;0,V260,IF(CB260=1,MAX(1,N(VLOOKUP(T260,Parameter!$I$27:$K$29,3,0)),H260,N(N260)),IF(N(Q260)&gt;0,Q260,MAX(1,H260)))))</f>
        <v>10</v>
      </c>
      <c r="CA260" s="65" t="n">
        <f aca="false">IF(BY260="LOSE",1,0)</f>
        <v>0</v>
      </c>
      <c r="CB260" s="65" t="n">
        <f aca="false">IF(AND(U260="",OR(P260="",P260="LOSE"),T260&lt;&gt;"",N(S260)&lt;=0,ISNUMBER(MATCH(T260,Parameter!$I$27:$I$29,0))),1,0)</f>
        <v>0</v>
      </c>
      <c r="CC260" s="65" t="n">
        <f aca="false">IF(CR260&gt;0,INDEX(Parameter!$H$5:$H$7,W260)/INDEX(Parameter!$E$5:$E$7,W260),IF(AND(CA260=0,N(IFERROR(VLOOKUP(BY260,'Gebinde-Kategorie'!$A$5:$N$45,14,0),0))&gt;0),VLOOKUP(BY260,'Gebinde-Kategorie'!$A$5:$N$45,14,0)*10+Parameter!$M$23,Parameter!$M$24))</f>
        <v>435</v>
      </c>
      <c r="CD260" s="60" t="n">
        <f aca="false">IF(AND(Parameter!$B$19="Ja",E260&lt;&gt;"",ISNUMBER(MATCH(E260,Parameter!$I$35:$I$52,0))),VLOOKUP(E260,Parameter!$I$35:$J$52,2,0),IFERROR(VLOOKUP(D260,Parameter!$A$35:$C$64,2,0),"Nein"))</f>
        <v>1</v>
      </c>
      <c r="CE260" s="64" t="n">
        <f aca="false">IF(CA260=0,0,IF(N(S260)&gt;0,S260,IFERROR(VLOOKUP(D260,Parameter!$A$35:$C$64,3,0)+0,0)))</f>
        <v>0</v>
      </c>
      <c r="CF260" s="60" t="n">
        <f aca="false">IF(AB260&lt;&gt;"",AB260,AA260)</f>
        <v>2</v>
      </c>
      <c r="CG260" s="60" t="str">
        <f aca="false">IF(OR(CF260=1,CF260=2,CF260=3),IF(Parameter!$E$27="Ja","LIFT",IF(CF260=1,"L1","L23")),IF(CF260="Aussen","Aussen","-"))</f>
        <v>LIFT</v>
      </c>
      <c r="CH260" s="71" t="n">
        <f aca="false">IF(N(AC260)&gt;0,AC260,0)</f>
        <v>0</v>
      </c>
      <c r="CI260" s="65" t="n">
        <f aca="false">IF(ISNUMBER(AF260),1,0)</f>
        <v>0</v>
      </c>
      <c r="CJ260" s="62" t="n">
        <f aca="false">N(AF260)</f>
        <v>0</v>
      </c>
      <c r="CK260" s="62" t="n">
        <f aca="false">N(M260)+N(N260)</f>
        <v>25</v>
      </c>
      <c r="CL260" s="62" t="n">
        <f aca="false">N(M260)</f>
        <v>5</v>
      </c>
      <c r="CM260" s="62" t="n">
        <f aca="false">N(N260)</f>
        <v>20</v>
      </c>
      <c r="CN260" s="62" t="n">
        <f aca="false">ROUNDUP(H260/BZ260,0)</f>
        <v>2</v>
      </c>
      <c r="CO260" s="62" t="n">
        <f aca="false">ROUNDUP(CJ260/BZ260,0)</f>
        <v>0</v>
      </c>
      <c r="CP260" s="65" t="n">
        <f aca="false">IF(CA260=1,0,IFERROR(VLOOKUP(BY260,'Gebinde-Kategorie'!$A$5:$N$45,5,0)+0,0))</f>
        <v>40</v>
      </c>
      <c r="CQ260" s="65" t="n">
        <f aca="false">IFERROR(IF(OR(CF260=1,CF260=2,CF260=3),N(INDEX(Parameter!$I$5:$I$7,CF260)),0),0)</f>
        <v>0</v>
      </c>
      <c r="CR260" s="64" t="n">
        <f aca="false">IF(AND(Parameter!$B$21="Ja",ISNUMBER(W260),N(X260)&gt;0),IFERROR(N(INDEX(Parameter!$L$5:$L$7,W260))*INDEX(Parameter!$E$5:$E$7,W260)*X260/SUMIFS($X$7:$X$1843,$W$7:$W$1843,W260),0),0)</f>
        <v>0</v>
      </c>
      <c r="CS260" s="62" t="n">
        <f aca="false">IF(AND(OR(CG260="L1",CG260="L23",CG260="LIFT"),H260&gt;0),CC260*IF(CR260&gt;0,CR260*MAX(1,H260/X260),IF(CA260=1,CE260,IF(R260&gt;0,CN260/R260,0))/MAX(0.1,N(Parameter!$M$21))),"")</f>
        <v>145</v>
      </c>
      <c r="CT260" s="64" t="n">
        <f aca="false">IF(CS260="","",J260/H260)</f>
        <v>4.14285714285714</v>
      </c>
      <c r="CU260" s="62" t="n">
        <f aca="false">IF(CS260="","",H260*G260)</f>
        <v>5997.6</v>
      </c>
      <c r="CV260" s="63" t="n">
        <f aca="false">IF(CS260="","",(CL260+ROUNDUP(CL260+MAX(CM260,2*(J260/MAX(0.1,N(Einkauf!$C$6))-CL260)),0))/2)</f>
        <v>15</v>
      </c>
      <c r="CW260" s="62" t="n">
        <f aca="false">IF(CS260="","",MAX(0,H260-CV260)*G260)</f>
        <v>0</v>
      </c>
      <c r="CX260" s="62" t="n">
        <f aca="false">IF(CS260="","",CS260*MAX(0,1-CV260/H260))</f>
        <v>0</v>
      </c>
      <c r="CY260" s="64" t="n">
        <f aca="false">IF(CS260="","",PERCENTRANK($CS$7:$CS$1843,CS260)+PERCENTRANK($CU$7:$CU$1843,CU260)+1-PERCENTRANK($CT$7:$CT$1843,CT260))</f>
        <v>1.951</v>
      </c>
      <c r="CZ260" s="72" t="n">
        <f aca="false">IF(CS260="","",CHOOSE(MATCH(Einkauf!$C$5,Parameter!$G$23:$G$27,0),CY260,CS260,CU260,-CT260,CW260)+ROW()/1000000000)</f>
        <v>1.95100026</v>
      </c>
    </row>
    <row r="261" customFormat="false" ht="15" hidden="false" customHeight="false" outlineLevel="0" collapsed="false">
      <c r="A261" s="60" t="s">
        <v>746</v>
      </c>
      <c r="B261" s="60" t="s">
        <v>747</v>
      </c>
      <c r="C261" s="60" t="s">
        <v>206</v>
      </c>
      <c r="D261" s="60" t="s">
        <v>226</v>
      </c>
      <c r="E261" s="60" t="s">
        <v>227</v>
      </c>
      <c r="F261" s="60" t="s">
        <v>260</v>
      </c>
      <c r="G261" s="61" t="n">
        <v>5.29</v>
      </c>
      <c r="H261" s="62" t="n">
        <f aca="false">MAX(0,IF(AND(Parameter!$B$21="Ja",ISNUMBER(Y261)),Y261,IF(Parameter!$B$20="Jahresanfang 2025 + Export",BS261+BR261,BR261)))</f>
        <v>188</v>
      </c>
      <c r="I261" s="62" t="n">
        <f aca="false">H261*G261</f>
        <v>994.52</v>
      </c>
      <c r="J261" s="62" t="n">
        <f aca="false">BU261*Parameter!$B$18</f>
        <v>198</v>
      </c>
      <c r="K261" s="63" t="n">
        <v>110</v>
      </c>
      <c r="L261" s="64" t="n">
        <v>1.8</v>
      </c>
      <c r="M261" s="62" t="n">
        <v>7</v>
      </c>
      <c r="N261" s="62" t="n">
        <v>200</v>
      </c>
      <c r="O261" s="65" t="n">
        <v>14</v>
      </c>
      <c r="P261" s="60" t="s">
        <v>344</v>
      </c>
      <c r="Q261" s="62" t="n">
        <v>150</v>
      </c>
      <c r="R261" s="65" t="n">
        <f aca="false">IF(CA261=1,0,IFERROR(VLOOKUP(BY261,'Gebinde-Kategorie'!$A$5:$N$45,13,0)+0,0))</f>
        <v>26</v>
      </c>
      <c r="S261" s="66"/>
      <c r="T261" s="67"/>
      <c r="U261" s="67"/>
      <c r="V261" s="67"/>
      <c r="W261" s="60"/>
      <c r="X261" s="62"/>
      <c r="Y261" s="62"/>
      <c r="Z261" s="60" t="n">
        <v>3</v>
      </c>
      <c r="AA261" s="60" t="n">
        <f aca="false">IF(A261="","",IF(AND(Parameter!$B$21="Ja",ISNUMBER(W261)),W261,IF(AND(Parameter!$E$27="Ja",ISNUMBER(Z261),CD261&lt;&gt;"Nein"),Z261,IF(CD261="2+3",IF(ISNUMBER(SEARCH("grosser Artikel",BV261)),2,IFERROR(VLOOKUP(BY261,Parameter!$F$35:$G$64,2,0),2)),IF(OR(CD261="Nein",CD261=""),"-",CD261)))))</f>
        <v>3</v>
      </c>
      <c r="AB261" s="67"/>
      <c r="AC261" s="68"/>
      <c r="AD261" s="62" t="n">
        <f aca="false">AW261</f>
        <v>207</v>
      </c>
      <c r="AE261" s="62" t="n">
        <f aca="false">MAX(AW261,H261)</f>
        <v>207</v>
      </c>
      <c r="AF261" s="69"/>
      <c r="AG261" s="62" t="n">
        <f aca="false">IF(LEFT(Cockpit!$C$5,1)="A",H261,IF(Parameter!$E$30="MAX-Bestand",IF(CI261=1,CJ261,IF(LEFT(Cockpit!$C$5,1)="B",AM261,MAX(AM261,H261))),ROUNDUP(AK261,0)))</f>
        <v>188</v>
      </c>
      <c r="AH261" s="62" t="n">
        <f aca="false">IF(CA261=1,0,ROUNDUP(AG261/BZ261,0))</f>
        <v>2</v>
      </c>
      <c r="AI261" s="64" t="n">
        <f aca="false">IF(CR261&gt;0,CR261*MAX(1,AG261/X261),IF(CA261=1,IF(AG261&lt;=0,0,CE261*MAX(1,IF(H261&gt;0,AG261/H261,1))),IF(R261&gt;0,AH261/R261,0))/MAX(0.1,N(Parameter!$M$21)))</f>
        <v>0.0769230769230769</v>
      </c>
      <c r="AJ261" s="62" t="n">
        <f aca="false">AI261*CC261</f>
        <v>11.9230769230769</v>
      </c>
      <c r="AK261" s="63" t="n">
        <f aca="false">IF(LEFT(Cockpit!$C$5,1)="A",H261,IF(CI261=1,(CL261+CJ261)/2,IF(LEFT(Cockpit!$C$5,1)="B",(CL261+AM261)/2,MAX((CL261+AM261)/2,H261))))</f>
        <v>188</v>
      </c>
      <c r="AL261" s="62" t="n">
        <f aca="false">AK261*G261</f>
        <v>994.52</v>
      </c>
      <c r="AM261" s="62" t="n">
        <f aca="false">ROUNDUP(CL261+MAX(CM261,2*(J261/IF(CH261&gt;0,CH261,MAX(0.1,N(Cockpit!$C$6)))-CL261)),0)</f>
        <v>207</v>
      </c>
      <c r="AN261" s="63" t="n">
        <f aca="false">IF(AJ261&gt;0,J261/AJ261,-1)</f>
        <v>16.6064516129032</v>
      </c>
      <c r="AO261" s="63" t="n">
        <f aca="false">IF(AND(OR(CG261="L1",CG261="L23",CG261="LIFT"),AJ261&gt;0),SUMIFS($AJ$7:$AJ$1843,$CG$7:$CG$1843,CG261,$AN$7:$AN$1843,"&gt;"&amp;AN261)+SUMIFS($AJ$7:$AJ$1843,$CG$7:$CG$1843,CG261,$AN$7:$AN$1843,AN261,$BX$7:$BX$1843,"&lt;="&amp;BX261),"")</f>
        <v>2033.57967032967</v>
      </c>
      <c r="AP261" s="70" t="n">
        <f aca="false">IF(AO261="",0,MAX(0,MIN(1,(IF(CG261="L1",Parameter!$H$5,IF(CG261="L23",Parameter!$H$6+Parameter!$H$7,Parameter!$H$5+Parameter!$H$6+Parameter!$H$7))-(AO261-AJ261))/AJ261)))</f>
        <v>1</v>
      </c>
      <c r="AQ261" s="62" t="n">
        <f aca="false">IF(LEFT(Cockpit!$I$5,1)="A",H261,IF(Parameter!$E$30="MAX-Bestand",IF(CI261=1,CJ261,IF(LEFT(Cockpit!$I$5,1)="B",AW261,MAX(AW261,H261))),ROUNDUP(AU261,0)))</f>
        <v>188</v>
      </c>
      <c r="AR261" s="62" t="n">
        <f aca="false">IF(CA261=1,0,ROUNDUP(AQ261/BZ261,0))</f>
        <v>2</v>
      </c>
      <c r="AS261" s="64" t="n">
        <f aca="false">IF(CR261&gt;0,CR261*MAX(1,AQ261/X261),IF(CA261=1,IF(AQ261&lt;=0,0,CE261*MAX(1,IF(H261&gt;0,AQ261/H261,1))),IF(R261&gt;0,AR261/R261,0))/MAX(0.1,N(Parameter!$M$21)))</f>
        <v>0.0769230769230769</v>
      </c>
      <c r="AT261" s="62" t="n">
        <f aca="false">AS261*CC261</f>
        <v>11.9230769230769</v>
      </c>
      <c r="AU261" s="63" t="n">
        <f aca="false">IF(LEFT(Cockpit!$I$5,1)="A",H261,IF(CI261=1,(CL261+CJ261)/2,IF(LEFT(Cockpit!$I$5,1)="B",(CL261+AW261)/2,MAX((CL261+AW261)/2,H261))))</f>
        <v>188</v>
      </c>
      <c r="AV261" s="62" t="n">
        <f aca="false">AU261*G261</f>
        <v>994.52</v>
      </c>
      <c r="AW261" s="62" t="n">
        <f aca="false">ROUNDUP(CL261+MAX(CM261,2*(J261/IF(CH261&gt;0,CH261,MAX(0.1,N(Cockpit!$I$6)))-CL261)),0)</f>
        <v>207</v>
      </c>
      <c r="AX261" s="63" t="n">
        <f aca="false">IF(AT261&gt;0,J261/AT261,-1)</f>
        <v>16.6064516129032</v>
      </c>
      <c r="AY261" s="63" t="n">
        <f aca="false">IF(AND(OR(CG261="L1",CG261="L23",CG261="LIFT"),AT261&gt;0),SUMIFS($AT$7:$AT$1843,$CG$7:$CG$1843,CG261,$AX$7:$AX$1843,"&gt;"&amp;AX261)+SUMIFS($AT$7:$AT$1843,$CG$7:$CG$1843,CG261,$AX$7:$AX$1843,AX261,$BX$7:$BX$1843,"&lt;="&amp;BX261),"")</f>
        <v>2670.70054945055</v>
      </c>
      <c r="AZ261" s="70" t="n">
        <f aca="false">IF(AY261="",0,MAX(0,MIN(1,(IF(CG261="L1",Parameter!$H$5,IF(CG261="L23",Parameter!$H$6+Parameter!$H$7,Parameter!$H$5+Parameter!$H$6+Parameter!$H$7))-(AY261-AT261))/AT261)))</f>
        <v>1</v>
      </c>
      <c r="BA261" s="62" t="n">
        <f aca="false">IF(LEFT(Cockpit!$O$5,1)="A",H261,IF(Parameter!$E$30="MAX-Bestand",IF(CI261=1,CJ261,IF(LEFT(Cockpit!$O$5,1)="B",BG261,MAX(BG261,H261))),ROUNDUP(BE261,0)))</f>
        <v>107</v>
      </c>
      <c r="BB261" s="62" t="n">
        <f aca="false">IF(CA261=1,0,ROUNDUP(BA261/BZ261,0))</f>
        <v>1</v>
      </c>
      <c r="BC261" s="64" t="n">
        <f aca="false">IF(CR261&gt;0,CR261*MAX(1,BA261/X261),IF(CA261=1,IF(BA261&lt;=0,0,CE261*MAX(1,IF(H261&gt;0,BA261/H261,1))),IF(R261&gt;0,BB261/R261,0))/MAX(0.1,N(Parameter!$M$21)))</f>
        <v>0.0384615384615385</v>
      </c>
      <c r="BD261" s="62" t="n">
        <f aca="false">BC261*CC261</f>
        <v>5.96153846153846</v>
      </c>
      <c r="BE261" s="63" t="n">
        <f aca="false">IF(LEFT(Cockpit!$O$5,1)="A",H261,IF(CI261=1,(CL261+CJ261)/2,IF(LEFT(Cockpit!$O$5,1)="B",(CL261+BG261)/2,MAX((CL261+BG261)/2,H261))))</f>
        <v>107</v>
      </c>
      <c r="BF261" s="62" t="n">
        <f aca="false">BE261*G261</f>
        <v>566.03</v>
      </c>
      <c r="BG261" s="62" t="n">
        <f aca="false">ROUNDUP(CL261+MAX(CM261,2*(J261/IF(CH261&gt;0,CH261,MAX(0.1,N(Cockpit!$O$6)))-CL261)),0)</f>
        <v>207</v>
      </c>
      <c r="BH261" s="63" t="n">
        <f aca="false">IF(BD261&gt;0,J261/BD261,-1)</f>
        <v>33.2129032258065</v>
      </c>
      <c r="BI261" s="63" t="n">
        <f aca="false">IF(AND(OR(CG261="L1",CG261="L23",CG261="LIFT"),BD261&gt;0),SUMIFS($BD$7:$BD$1843,$CG$7:$CG$1843,CG261,$BH$7:$BH$1843,"&gt;"&amp;BH261)+SUMIFS($BD$7:$BD$1843,$CG$7:$CG$1843,CG261,$BH$7:$BH$1843,BH261,$BX$7:$BX$1843,"&lt;="&amp;BX261),"")</f>
        <v>1655.54487179487</v>
      </c>
      <c r="BJ261" s="70" t="n">
        <f aca="false">IF(BI261="",0,MAX(0,MIN(1,(IF(CG261="L1",Parameter!$H$5,IF(CG261="L23",Parameter!$H$6+Parameter!$H$7,Parameter!$H$5+Parameter!$H$6+Parameter!$H$7))-(BI261-BD261))/BD261)))</f>
        <v>1</v>
      </c>
      <c r="BK261" s="60" t="str">
        <f aca="false">IF(AJ261&lt;=0,"",IF(CG261="Aussen","Aussenlager",IF(CG261="-","Nicht im Lift",IF(AP261&gt;=1,"Lift",IF(AP261&lt;=0,"Aussenlager","teilweise")))))</f>
        <v>Lift</v>
      </c>
      <c r="BL261" s="60" t="str">
        <f aca="false">IF(AT261&lt;=0,"",IF(CG261="Aussen","Aussenlager",IF(CG261="-","Nicht im Lift",IF(AZ261&gt;=1,"Lift",IF(AZ261&lt;=0,"Aussenlager","teilweise")))))</f>
        <v>Lift</v>
      </c>
      <c r="BM261" s="60" t="str">
        <f aca="false">IF(BD261&lt;=0,"",IF(CG261="Aussen","Aussenlager",IF(CG261="-","Nicht im Lift",IF(BJ261&gt;=1,"Lift",IF(BJ261&lt;=0,"Aussenlager","teilweise")))))</f>
        <v>Lift</v>
      </c>
      <c r="BN261" s="60" t="str">
        <f aca="false">IF(A261="","",IF(BW261=1,"Neu; ","")&amp;IF(AND(BW261=0,BR261&lt;0),"negativer Bestand (Export "&amp;BR261&amp;"); ","")&amp;IF(J261&lt;=0,"Kein Verbrauch; ","")&amp;IF(CR261&gt;0,"Lift "&amp;W261&amp;" lt. Liftbericht (Fach "&amp;X261&amp;" Stk); ",IF(CB261=1,"Gebinde geschätzt ("&amp;T261&amp;"); ",IF(CA261=1,"Lose – Tablare geschätzt; ","")))&amp;IF(H261&gt;AW261,"Überbestand "&amp;ROUND(H261-AW261,0)&amp;" Stk / CHF "&amp;ROUND((H261-AW261)*G261,0)&amp;"; ","")&amp;IF(AND(CI261=1,CJ261&lt;CK261),"MAX &lt; MB+LG; ","")&amp;IF(AND(CQ261&gt;0,CP261*10&gt;CQ261),"zu hoch für Tablar; ","")&amp;IF(AND(BW261=0,OR(CI261=1,AB261&lt;&gt;"",U261&lt;&gt;"",V261&lt;&gt;"",AC261&lt;&gt;"")),"manuell übersteuert; ","")&amp;IF(AND(CA261=0,R261=0),"Gebinde unbekannt / Stellmass fehlt; ","")&amp;IF(AND(CA261=0,N(V261)&lt;=0,N(Q261)&lt;=0),"Menge pro Gebinde fehlt (Ist = 1 Gebinde); ","")&amp;BV261)</f>
        <v/>
      </c>
      <c r="BO261" s="60"/>
      <c r="BP261" s="60"/>
      <c r="BQ261" s="67"/>
      <c r="BR261" s="62" t="n">
        <v>80</v>
      </c>
      <c r="BS261" s="62" t="n">
        <v>108</v>
      </c>
      <c r="BT261" s="61" t="n">
        <v>448.04</v>
      </c>
      <c r="BU261" s="62" t="n">
        <v>198</v>
      </c>
      <c r="BV261" s="60"/>
      <c r="BW261" s="65" t="n">
        <v>0</v>
      </c>
      <c r="BX261" s="65" t="n">
        <v>261</v>
      </c>
      <c r="BY261" s="60" t="str">
        <f aca="false">IF(U261&lt;&gt;"",UPPER(TRIM(U261)),IF(CB261=1,UPPER(VLOOKUP(T261,Parameter!$I$27:$K$29,2,0)),IF(P261="","LOSE",P261)))</f>
        <v>S51</v>
      </c>
      <c r="BZ261" s="62" t="n">
        <f aca="false">IF(BY261="LOSE",1,IF(N(V261)&gt;0,V261,IF(CB261=1,MAX(1,N(VLOOKUP(T261,Parameter!$I$27:$K$29,3,0)),H261,N(N261)),IF(N(Q261)&gt;0,Q261,MAX(1,H261)))))</f>
        <v>150</v>
      </c>
      <c r="CA261" s="65" t="n">
        <f aca="false">IF(BY261="LOSE",1,0)</f>
        <v>0</v>
      </c>
      <c r="CB261" s="65" t="n">
        <f aca="false">IF(AND(U261="",OR(P261="",P261="LOSE"),T261&lt;&gt;"",N(S261)&lt;=0,ISNUMBER(MATCH(T261,Parameter!$I$27:$I$29,0))),1,0)</f>
        <v>0</v>
      </c>
      <c r="CC261" s="65" t="n">
        <f aca="false">IF(CR261&gt;0,INDEX(Parameter!$H$5:$H$7,W261)/INDEX(Parameter!$E$5:$E$7,W261),IF(AND(CA261=0,N(IFERROR(VLOOKUP(BY261,'Gebinde-Kategorie'!$A$5:$N$45,14,0),0))&gt;0),VLOOKUP(BY261,'Gebinde-Kategorie'!$A$5:$N$45,14,0)*10+Parameter!$M$23,Parameter!$M$24))</f>
        <v>155</v>
      </c>
      <c r="CD261" s="60" t="str">
        <f aca="false">IF(AND(Parameter!$B$19="Ja",E261&lt;&gt;"",ISNUMBER(MATCH(E261,Parameter!$I$35:$I$52,0))),VLOOKUP(E261,Parameter!$I$35:$J$52,2,0),IFERROR(VLOOKUP(D261,Parameter!$A$35:$C$64,2,0),"Nein"))</f>
        <v>2+3</v>
      </c>
      <c r="CE261" s="64" t="n">
        <f aca="false">IF(CA261=0,0,IF(N(S261)&gt;0,S261,IFERROR(VLOOKUP(D261,Parameter!$A$35:$C$64,3,0)+0,0)))</f>
        <v>0</v>
      </c>
      <c r="CF261" s="60" t="n">
        <f aca="false">IF(AB261&lt;&gt;"",AB261,AA261)</f>
        <v>3</v>
      </c>
      <c r="CG261" s="60" t="str">
        <f aca="false">IF(OR(CF261=1,CF261=2,CF261=3),IF(Parameter!$E$27="Ja","LIFT",IF(CF261=1,"L1","L23")),IF(CF261="Aussen","Aussen","-"))</f>
        <v>LIFT</v>
      </c>
      <c r="CH261" s="71" t="n">
        <f aca="false">IF(N(AC261)&gt;0,AC261,0)</f>
        <v>0</v>
      </c>
      <c r="CI261" s="65" t="n">
        <f aca="false">IF(ISNUMBER(AF261),1,0)</f>
        <v>0</v>
      </c>
      <c r="CJ261" s="62" t="n">
        <f aca="false">N(AF261)</f>
        <v>0</v>
      </c>
      <c r="CK261" s="62" t="n">
        <f aca="false">N(M261)+N(N261)</f>
        <v>207</v>
      </c>
      <c r="CL261" s="62" t="n">
        <f aca="false">N(M261)</f>
        <v>7</v>
      </c>
      <c r="CM261" s="62" t="n">
        <f aca="false">N(N261)</f>
        <v>200</v>
      </c>
      <c r="CN261" s="62" t="n">
        <f aca="false">ROUNDUP(H261/BZ261,0)</f>
        <v>2</v>
      </c>
      <c r="CO261" s="62" t="n">
        <f aca="false">ROUNDUP(CJ261/BZ261,0)</f>
        <v>0</v>
      </c>
      <c r="CP261" s="65" t="n">
        <f aca="false">IF(CA261=1,0,IFERROR(VLOOKUP(BY261,'Gebinde-Kategorie'!$A$5:$N$45,5,0)+0,0))</f>
        <v>11</v>
      </c>
      <c r="CQ261" s="65" t="n">
        <f aca="false">IFERROR(IF(OR(CF261=1,CF261=2,CF261=3),N(INDEX(Parameter!$I$5:$I$7,CF261)),0),0)</f>
        <v>0</v>
      </c>
      <c r="CR261" s="64" t="n">
        <f aca="false">IF(AND(Parameter!$B$21="Ja",ISNUMBER(W261),N(X261)&gt;0),IFERROR(N(INDEX(Parameter!$L$5:$L$7,W261))*INDEX(Parameter!$E$5:$E$7,W261)*X261/SUMIFS($X$7:$X$1843,$W$7:$W$1843,W261),0),0)</f>
        <v>0</v>
      </c>
      <c r="CS261" s="62" t="n">
        <f aca="false">IF(AND(OR(CG261="L1",CG261="L23",CG261="LIFT"),H261&gt;0),CC261*IF(CR261&gt;0,CR261*MAX(1,H261/X261),IF(CA261=1,CE261,IF(R261&gt;0,CN261/R261,0))/MAX(0.1,N(Parameter!$M$21))),"")</f>
        <v>11.9230769230769</v>
      </c>
      <c r="CT261" s="64" t="n">
        <f aca="false">IF(CS261="","",J261/H261)</f>
        <v>1.0531914893617</v>
      </c>
      <c r="CU261" s="62" t="n">
        <f aca="false">IF(CS261="","",H261*G261)</f>
        <v>994.52</v>
      </c>
      <c r="CV261" s="63" t="n">
        <f aca="false">IF(CS261="","",(CL261+ROUNDUP(CL261+MAX(CM261,2*(J261/MAX(0.1,N(Einkauf!$C$6))-CL261)),0))/2)</f>
        <v>107</v>
      </c>
      <c r="CW261" s="62" t="n">
        <f aca="false">IF(CS261="","",MAX(0,H261-CV261)*G261)</f>
        <v>428.49</v>
      </c>
      <c r="CX261" s="62" t="n">
        <f aca="false">IF(CS261="","",CS261*MAX(0,1-CV261/H261))</f>
        <v>5.13707037643208</v>
      </c>
      <c r="CY261" s="64" t="n">
        <f aca="false">IF(CS261="","",PERCENTRANK($CS$7:$CS$1843,CS261)+PERCENTRANK($CU$7:$CU$1843,CU261)+1-PERCENTRANK($CT$7:$CT$1843,CT261))</f>
        <v>1.603</v>
      </c>
      <c r="CZ261" s="72" t="n">
        <f aca="false">IF(CS261="","",CHOOSE(MATCH(Einkauf!$C$5,Parameter!$G$23:$G$27,0),CY261,CS261,CU261,-CT261,CW261)+ROW()/1000000000)</f>
        <v>1.603000261</v>
      </c>
    </row>
    <row r="262" customFormat="false" ht="15" hidden="false" customHeight="false" outlineLevel="0" collapsed="false">
      <c r="A262" s="60" t="s">
        <v>748</v>
      </c>
      <c r="B262" s="60" t="s">
        <v>271</v>
      </c>
      <c r="C262" s="60" t="s">
        <v>206</v>
      </c>
      <c r="D262" s="60" t="s">
        <v>215</v>
      </c>
      <c r="E262" s="60"/>
      <c r="F262" s="60" t="s">
        <v>260</v>
      </c>
      <c r="G262" s="61" t="n">
        <v>146.96</v>
      </c>
      <c r="H262" s="62" t="n">
        <f aca="false">MAX(0,IF(AND(Parameter!$B$21="Ja",ISNUMBER(Y262)),Y262,IF(Parameter!$B$20="Jahresanfang 2025 + Export",BS262+BR262,BR262)))</f>
        <v>3</v>
      </c>
      <c r="I262" s="62" t="n">
        <f aca="false">H262*G262</f>
        <v>440.88</v>
      </c>
      <c r="J262" s="62" t="n">
        <f aca="false">BU262*Parameter!$B$18</f>
        <v>11</v>
      </c>
      <c r="K262" s="63" t="n">
        <v>2.5</v>
      </c>
      <c r="L262" s="64" t="n">
        <v>4.4</v>
      </c>
      <c r="M262" s="62" t="n">
        <v>0</v>
      </c>
      <c r="N262" s="62" t="n">
        <v>10</v>
      </c>
      <c r="O262" s="65" t="n">
        <v>14</v>
      </c>
      <c r="P262" s="60" t="s">
        <v>210</v>
      </c>
      <c r="Q262" s="62"/>
      <c r="R262" s="65" t="n">
        <f aca="false">IF(CA262=1,0,IFERROR(VLOOKUP(BY262,'Gebinde-Kategorie'!$A$5:$N$45,13,0)+0,0))</f>
        <v>12</v>
      </c>
      <c r="S262" s="66"/>
      <c r="T262" s="67" t="s">
        <v>221</v>
      </c>
      <c r="U262" s="67"/>
      <c r="V262" s="67"/>
      <c r="W262" s="60"/>
      <c r="X262" s="62"/>
      <c r="Y262" s="62"/>
      <c r="Z262" s="60" t="n">
        <v>3</v>
      </c>
      <c r="AA262" s="60" t="n">
        <f aca="false">IF(A262="","",IF(AND(Parameter!$B$21="Ja",ISNUMBER(W262)),W262,IF(AND(Parameter!$E$27="Ja",ISNUMBER(Z262),CD262&lt;&gt;"Nein"),Z262,IF(CD262="2+3",IF(ISNUMBER(SEARCH("grosser Artikel",BV262)),2,IFERROR(VLOOKUP(BY262,Parameter!$F$35:$G$64,2,0),2)),IF(OR(CD262="Nein",CD262=""),"-",CD262)))))</f>
        <v>3</v>
      </c>
      <c r="AB262" s="67"/>
      <c r="AC262" s="68"/>
      <c r="AD262" s="62" t="n">
        <f aca="false">AW262</f>
        <v>10</v>
      </c>
      <c r="AE262" s="62" t="n">
        <f aca="false">MAX(AW262,H262)</f>
        <v>10</v>
      </c>
      <c r="AF262" s="69"/>
      <c r="AG262" s="62" t="n">
        <f aca="false">IF(LEFT(Cockpit!$C$5,1)="A",H262,IF(Parameter!$E$30="MAX-Bestand",IF(CI262=1,CJ262,IF(LEFT(Cockpit!$C$5,1)="B",AM262,MAX(AM262,H262))),ROUNDUP(AK262,0)))</f>
        <v>3</v>
      </c>
      <c r="AH262" s="62" t="n">
        <f aca="false">IF(CA262=1,0,ROUNDUP(AG262/BZ262,0))</f>
        <v>1</v>
      </c>
      <c r="AI262" s="64" t="n">
        <f aca="false">IF(CR262&gt;0,CR262*MAX(1,AG262/X262),IF(CA262=1,IF(AG262&lt;=0,0,CE262*MAX(1,IF(H262&gt;0,AG262/H262,1))),IF(R262&gt;0,AH262/R262,0))/MAX(0.1,N(Parameter!$M$21)))</f>
        <v>0.0833333333333333</v>
      </c>
      <c r="AJ262" s="62" t="n">
        <f aca="false">AI262*CC262</f>
        <v>12.0833333333333</v>
      </c>
      <c r="AK262" s="63" t="n">
        <f aca="false">IF(LEFT(Cockpit!$C$5,1)="A",H262,IF(CI262=1,(CL262+CJ262)/2,IF(LEFT(Cockpit!$C$5,1)="B",(CL262+AM262)/2,MAX((CL262+AM262)/2,H262))))</f>
        <v>3</v>
      </c>
      <c r="AL262" s="62" t="n">
        <f aca="false">AK262*G262</f>
        <v>440.88</v>
      </c>
      <c r="AM262" s="62" t="n">
        <f aca="false">ROUNDUP(CL262+MAX(CM262,2*(J262/IF(CH262&gt;0,CH262,MAX(0.1,N(Cockpit!$C$6)))-CL262)),0)</f>
        <v>10</v>
      </c>
      <c r="AN262" s="63" t="n">
        <f aca="false">IF(AJ262&gt;0,J262/AJ262,-1)</f>
        <v>0.910344827586207</v>
      </c>
      <c r="AO262" s="63" t="n">
        <f aca="false">IF(AND(OR(CG262="L1",CG262="L23",CG262="LIFT"),AJ262&gt;0),SUMIFS($AJ$7:$AJ$1843,$CG$7:$CG$1843,CG262,$AN$7:$AN$1843,"&gt;"&amp;AN262)+SUMIFS($AJ$7:$AJ$1843,$CG$7:$CG$1843,CG262,$AN$7:$AN$1843,AN262,$BX$7:$BX$1843,"&lt;="&amp;BX262),"")</f>
        <v>7430.95558608059</v>
      </c>
      <c r="AP262" s="70" t="n">
        <f aca="false">IF(AO262="",0,MAX(0,MIN(1,(IF(CG262="L1",Parameter!$H$5,IF(CG262="L23",Parameter!$H$6+Parameter!$H$7,Parameter!$H$5+Parameter!$H$6+Parameter!$H$7))-(AO262-AJ262))/AJ262)))</f>
        <v>1</v>
      </c>
      <c r="AQ262" s="62" t="n">
        <f aca="false">IF(LEFT(Cockpit!$I$5,1)="A",H262,IF(Parameter!$E$30="MAX-Bestand",IF(CI262=1,CJ262,IF(LEFT(Cockpit!$I$5,1)="B",AW262,MAX(AW262,H262))),ROUNDUP(AU262,0)))</f>
        <v>5</v>
      </c>
      <c r="AR262" s="62" t="n">
        <f aca="false">IF(CA262=1,0,ROUNDUP(AQ262/BZ262,0))</f>
        <v>1</v>
      </c>
      <c r="AS262" s="64" t="n">
        <f aca="false">IF(CR262&gt;0,CR262*MAX(1,AQ262/X262),IF(CA262=1,IF(AQ262&lt;=0,0,CE262*MAX(1,IF(H262&gt;0,AQ262/H262,1))),IF(R262&gt;0,AR262/R262,0))/MAX(0.1,N(Parameter!$M$21)))</f>
        <v>0.0833333333333333</v>
      </c>
      <c r="AT262" s="62" t="n">
        <f aca="false">AS262*CC262</f>
        <v>12.0833333333333</v>
      </c>
      <c r="AU262" s="63" t="n">
        <f aca="false">IF(LEFT(Cockpit!$I$5,1)="A",H262,IF(CI262=1,(CL262+CJ262)/2,IF(LEFT(Cockpit!$I$5,1)="B",(CL262+AW262)/2,MAX((CL262+AW262)/2,H262))))</f>
        <v>5</v>
      </c>
      <c r="AV262" s="62" t="n">
        <f aca="false">AU262*G262</f>
        <v>734.8</v>
      </c>
      <c r="AW262" s="62" t="n">
        <f aca="false">ROUNDUP(CL262+MAX(CM262,2*(J262/IF(CH262&gt;0,CH262,MAX(0.1,N(Cockpit!$I$6)))-CL262)),0)</f>
        <v>10</v>
      </c>
      <c r="AX262" s="63" t="n">
        <f aca="false">IF(AT262&gt;0,J262/AT262,-1)</f>
        <v>0.910344827586207</v>
      </c>
      <c r="AY262" s="63" t="n">
        <f aca="false">IF(AND(OR(CG262="L1",CG262="L23",CG262="LIFT"),AT262&gt;0),SUMIFS($AT$7:$AT$1843,$CG$7:$CG$1843,CG262,$AX$7:$AX$1843,"&gt;"&amp;AX262)+SUMIFS($AT$7:$AT$1843,$CG$7:$CG$1843,CG262,$AX$7:$AX$1843,AX262,$BX$7:$BX$1843,"&lt;="&amp;BX262),"")</f>
        <v>9005.3956043956</v>
      </c>
      <c r="AZ262" s="70" t="n">
        <f aca="false">IF(AY262="",0,MAX(0,MIN(1,(IF(CG262="L1",Parameter!$H$5,IF(CG262="L23",Parameter!$H$6+Parameter!$H$7,Parameter!$H$5+Parameter!$H$6+Parameter!$H$7))-(AY262-AT262))/AT262)))</f>
        <v>1</v>
      </c>
      <c r="BA262" s="62" t="n">
        <f aca="false">IF(LEFT(Cockpit!$O$5,1)="A",H262,IF(Parameter!$E$30="MAX-Bestand",IF(CI262=1,CJ262,IF(LEFT(Cockpit!$O$5,1)="B",BG262,MAX(BG262,H262))),ROUNDUP(BE262,0)))</f>
        <v>5</v>
      </c>
      <c r="BB262" s="62" t="n">
        <f aca="false">IF(CA262=1,0,ROUNDUP(BA262/BZ262,0))</f>
        <v>1</v>
      </c>
      <c r="BC262" s="64" t="n">
        <f aca="false">IF(CR262&gt;0,CR262*MAX(1,BA262/X262),IF(CA262=1,IF(BA262&lt;=0,0,CE262*MAX(1,IF(H262&gt;0,BA262/H262,1))),IF(R262&gt;0,BB262/R262,0))/MAX(0.1,N(Parameter!$M$21)))</f>
        <v>0.0833333333333333</v>
      </c>
      <c r="BD262" s="62" t="n">
        <f aca="false">BC262*CC262</f>
        <v>12.0833333333333</v>
      </c>
      <c r="BE262" s="63" t="n">
        <f aca="false">IF(LEFT(Cockpit!$O$5,1)="A",H262,IF(CI262=1,(CL262+CJ262)/2,IF(LEFT(Cockpit!$O$5,1)="B",(CL262+BG262)/2,MAX((CL262+BG262)/2,H262))))</f>
        <v>5</v>
      </c>
      <c r="BF262" s="62" t="n">
        <f aca="false">BE262*G262</f>
        <v>734.8</v>
      </c>
      <c r="BG262" s="62" t="n">
        <f aca="false">ROUNDUP(CL262+MAX(CM262,2*(J262/IF(CH262&gt;0,CH262,MAX(0.1,N(Cockpit!$O$6)))-CL262)),0)</f>
        <v>10</v>
      </c>
      <c r="BH262" s="63" t="n">
        <f aca="false">IF(BD262&gt;0,J262/BD262,-1)</f>
        <v>0.910344827586207</v>
      </c>
      <c r="BI262" s="63" t="n">
        <f aca="false">IF(AND(OR(CG262="L1",CG262="L23",CG262="LIFT"),BD262&gt;0),SUMIFS($BD$7:$BD$1843,$CG$7:$CG$1843,CG262,$BH$7:$BH$1843,"&gt;"&amp;BH262)+SUMIFS($BD$7:$BD$1843,$CG$7:$CG$1843,CG262,$BH$7:$BH$1843,BH262,$BX$7:$BX$1843,"&lt;="&amp;BX262),"")</f>
        <v>8203.82921245421</v>
      </c>
      <c r="BJ262" s="70" t="n">
        <f aca="false">IF(BI262="",0,MAX(0,MIN(1,(IF(CG262="L1",Parameter!$H$5,IF(CG262="L23",Parameter!$H$6+Parameter!$H$7,Parameter!$H$5+Parameter!$H$6+Parameter!$H$7))-(BI262-BD262))/BD262)))</f>
        <v>1</v>
      </c>
      <c r="BK262" s="60" t="str">
        <f aca="false">IF(AJ262&lt;=0,"",IF(CG262="Aussen","Aussenlager",IF(CG262="-","Nicht im Lift",IF(AP262&gt;=1,"Lift",IF(AP262&lt;=0,"Aussenlager","teilweise")))))</f>
        <v>Lift</v>
      </c>
      <c r="BL262" s="60" t="str">
        <f aca="false">IF(AT262&lt;=0,"",IF(CG262="Aussen","Aussenlager",IF(CG262="-","Nicht im Lift",IF(AZ262&gt;=1,"Lift",IF(AZ262&lt;=0,"Aussenlager","teilweise")))))</f>
        <v>Lift</v>
      </c>
      <c r="BM262" s="60" t="str">
        <f aca="false">IF(BD262&lt;=0,"",IF(CG262="Aussen","Aussenlager",IF(CG262="-","Nicht im Lift",IF(BJ262&gt;=1,"Lift",IF(BJ262&lt;=0,"Aussenlager","teilweise")))))</f>
        <v>Lift</v>
      </c>
      <c r="BN262" s="60" t="str">
        <f aca="false">IF(A262="","",IF(BW262=1,"Neu; ","")&amp;IF(AND(BW262=0,BR262&lt;0),"negativer Bestand (Export "&amp;BR262&amp;"); ","")&amp;IF(J262&lt;=0,"Kein Verbrauch; ","")&amp;IF(CR262&gt;0,"Lift "&amp;W262&amp;" lt. Liftbericht (Fach "&amp;X262&amp;" Stk); ",IF(CB262=1,"Gebinde geschätzt ("&amp;T262&amp;"); ",IF(CA262=1,"Lose – Tablare geschätzt; ","")))&amp;IF(H262&gt;AW262,"Überbestand "&amp;ROUND(H262-AW262,0)&amp;" Stk / CHF "&amp;ROUND((H262-AW262)*G262,0)&amp;"; ","")&amp;IF(AND(CI262=1,CJ262&lt;CK262),"MAX &lt; MB+LG; ","")&amp;IF(AND(CQ262&gt;0,CP262*10&gt;CQ262),"zu hoch für Tablar; ","")&amp;IF(AND(BW262=0,OR(CI262=1,AB262&lt;&gt;"",U262&lt;&gt;"",V262&lt;&gt;"",AC262&lt;&gt;"")),"manuell übersteuert; ","")&amp;IF(AND(CA262=0,R262=0),"Gebinde unbekannt / Stellmass fehlt; ","")&amp;IF(AND(CA262=0,N(V262)&lt;=0,N(Q262)&lt;=0),"Menge pro Gebinde fehlt (Ist = 1 Gebinde); ","")&amp;BV262)</f>
        <v>Gebinde geschätzt (Mittel); Menge pro Gebinde fehlt (Ist = 1 Gebinde); </v>
      </c>
      <c r="BO262" s="60"/>
      <c r="BP262" s="60"/>
      <c r="BQ262" s="67"/>
      <c r="BR262" s="62" t="n">
        <v>3</v>
      </c>
      <c r="BS262" s="62" t="n">
        <v>0</v>
      </c>
      <c r="BT262" s="61" t="n">
        <v>440.88</v>
      </c>
      <c r="BU262" s="62" t="n">
        <v>11</v>
      </c>
      <c r="BV262" s="60"/>
      <c r="BW262" s="65" t="n">
        <v>0</v>
      </c>
      <c r="BX262" s="65" t="n">
        <v>262</v>
      </c>
      <c r="BY262" s="60" t="str">
        <f aca="false">IF(U262&lt;&gt;"",UPPER(TRIM(U262)),IF(CB262=1,UPPER(VLOOKUP(T262,Parameter!$I$27:$K$29,2,0)),IF(P262="","LOSE",P262)))</f>
        <v>S61</v>
      </c>
      <c r="BZ262" s="62" t="n">
        <f aca="false">IF(BY262="LOSE",1,IF(N(V262)&gt;0,V262,IF(CB262=1,MAX(1,N(VLOOKUP(T262,Parameter!$I$27:$K$29,3,0)),H262,N(N262)),IF(N(Q262)&gt;0,Q262,MAX(1,H262)))))</f>
        <v>10</v>
      </c>
      <c r="CA262" s="65" t="n">
        <f aca="false">IF(BY262="LOSE",1,0)</f>
        <v>0</v>
      </c>
      <c r="CB262" s="65" t="n">
        <f aca="false">IF(AND(U262="",OR(P262="",P262="LOSE"),T262&lt;&gt;"",N(S262)&lt;=0,ISNUMBER(MATCH(T262,Parameter!$I$27:$I$29,0))),1,0)</f>
        <v>1</v>
      </c>
      <c r="CC262" s="65" t="n">
        <f aca="false">IF(CR262&gt;0,INDEX(Parameter!$H$5:$H$7,W262)/INDEX(Parameter!$E$5:$E$7,W262),IF(AND(CA262=0,N(IFERROR(VLOOKUP(BY262,'Gebinde-Kategorie'!$A$5:$N$45,14,0),0))&gt;0),VLOOKUP(BY262,'Gebinde-Kategorie'!$A$5:$N$45,14,0)*10+Parameter!$M$23,Parameter!$M$24))</f>
        <v>145</v>
      </c>
      <c r="CD262" s="60" t="str">
        <f aca="false">IF(AND(Parameter!$B$19="Ja",E262&lt;&gt;"",ISNUMBER(MATCH(E262,Parameter!$I$35:$I$52,0))),VLOOKUP(E262,Parameter!$I$35:$J$52,2,0),IFERROR(VLOOKUP(D262,Parameter!$A$35:$C$64,2,0),"Nein"))</f>
        <v>2+3</v>
      </c>
      <c r="CE262" s="64" t="n">
        <f aca="false">IF(CA262=0,0,IF(N(S262)&gt;0,S262,IFERROR(VLOOKUP(D262,Parameter!$A$35:$C$64,3,0)+0,0)))</f>
        <v>0</v>
      </c>
      <c r="CF262" s="60" t="n">
        <f aca="false">IF(AB262&lt;&gt;"",AB262,AA262)</f>
        <v>3</v>
      </c>
      <c r="CG262" s="60" t="str">
        <f aca="false">IF(OR(CF262=1,CF262=2,CF262=3),IF(Parameter!$E$27="Ja","LIFT",IF(CF262=1,"L1","L23")),IF(CF262="Aussen","Aussen","-"))</f>
        <v>LIFT</v>
      </c>
      <c r="CH262" s="71" t="n">
        <f aca="false">IF(N(AC262)&gt;0,AC262,0)</f>
        <v>0</v>
      </c>
      <c r="CI262" s="65" t="n">
        <f aca="false">IF(ISNUMBER(AF262),1,0)</f>
        <v>0</v>
      </c>
      <c r="CJ262" s="62" t="n">
        <f aca="false">N(AF262)</f>
        <v>0</v>
      </c>
      <c r="CK262" s="62" t="n">
        <f aca="false">N(M262)+N(N262)</f>
        <v>10</v>
      </c>
      <c r="CL262" s="62" t="n">
        <f aca="false">N(M262)</f>
        <v>0</v>
      </c>
      <c r="CM262" s="62" t="n">
        <f aca="false">N(N262)</f>
        <v>10</v>
      </c>
      <c r="CN262" s="62" t="n">
        <f aca="false">ROUNDUP(H262/BZ262,0)</f>
        <v>1</v>
      </c>
      <c r="CO262" s="62" t="n">
        <f aca="false">ROUNDUP(CJ262/BZ262,0)</f>
        <v>0</v>
      </c>
      <c r="CP262" s="65" t="n">
        <f aca="false">IF(CA262=1,0,IFERROR(VLOOKUP(BY262,'Gebinde-Kategorie'!$A$5:$N$45,5,0)+0,0))</f>
        <v>11</v>
      </c>
      <c r="CQ262" s="65" t="n">
        <f aca="false">IFERROR(IF(OR(CF262=1,CF262=2,CF262=3),N(INDEX(Parameter!$I$5:$I$7,CF262)),0),0)</f>
        <v>0</v>
      </c>
      <c r="CR262" s="64" t="n">
        <f aca="false">IF(AND(Parameter!$B$21="Ja",ISNUMBER(W262),N(X262)&gt;0),IFERROR(N(INDEX(Parameter!$L$5:$L$7,W262))*INDEX(Parameter!$E$5:$E$7,W262)*X262/SUMIFS($X$7:$X$1843,$W$7:$W$1843,W262),0),0)</f>
        <v>0</v>
      </c>
      <c r="CS262" s="62" t="n">
        <f aca="false">IF(AND(OR(CG262="L1",CG262="L23",CG262="LIFT"),H262&gt;0),CC262*IF(CR262&gt;0,CR262*MAX(1,H262/X262),IF(CA262=1,CE262,IF(R262&gt;0,CN262/R262,0))/MAX(0.1,N(Parameter!$M$21))),"")</f>
        <v>12.0833333333333</v>
      </c>
      <c r="CT262" s="64" t="n">
        <f aca="false">IF(CS262="","",J262/H262)</f>
        <v>3.66666666666667</v>
      </c>
      <c r="CU262" s="62" t="n">
        <f aca="false">IF(CS262="","",H262*G262)</f>
        <v>440.88</v>
      </c>
      <c r="CV262" s="63" t="n">
        <f aca="false">IF(CS262="","",(CL262+ROUNDUP(CL262+MAX(CM262,2*(J262/MAX(0.1,N(Einkauf!$C$6))-CL262)),0))/2)</f>
        <v>5</v>
      </c>
      <c r="CW262" s="62" t="n">
        <f aca="false">IF(CS262="","",MAX(0,H262-CV262)*G262)</f>
        <v>0</v>
      </c>
      <c r="CX262" s="62" t="n">
        <f aca="false">IF(CS262="","",CS262*MAX(0,1-CV262/H262))</f>
        <v>0</v>
      </c>
      <c r="CY262" s="64" t="n">
        <f aca="false">IF(CS262="","",PERCENTRANK($CS$7:$CS$1843,CS262)+PERCENTRANK($CU$7:$CU$1843,CU262)+1-PERCENTRANK($CT$7:$CT$1843,CT262))</f>
        <v>1.228</v>
      </c>
      <c r="CZ262" s="72" t="n">
        <f aca="false">IF(CS262="","",CHOOSE(MATCH(Einkauf!$C$5,Parameter!$G$23:$G$27,0),CY262,CS262,CU262,-CT262,CW262)+ROW()/1000000000)</f>
        <v>1.228000262</v>
      </c>
    </row>
    <row r="263" customFormat="false" ht="15" hidden="false" customHeight="false" outlineLevel="0" collapsed="false">
      <c r="A263" s="60" t="s">
        <v>749</v>
      </c>
      <c r="B263" s="60" t="s">
        <v>750</v>
      </c>
      <c r="C263" s="60" t="s">
        <v>206</v>
      </c>
      <c r="D263" s="60" t="s">
        <v>226</v>
      </c>
      <c r="E263" s="60"/>
      <c r="F263" s="60" t="s">
        <v>260</v>
      </c>
      <c r="G263" s="61" t="n">
        <v>17.59</v>
      </c>
      <c r="H263" s="62" t="n">
        <f aca="false">MAX(0,IF(AND(Parameter!$B$21="Ja",ISNUMBER(Y263)),Y263,IF(Parameter!$B$20="Jahresanfang 2025 + Export",BS263+BR263,BR263)))</f>
        <v>25</v>
      </c>
      <c r="I263" s="62" t="n">
        <f aca="false">H263*G263</f>
        <v>439.75</v>
      </c>
      <c r="J263" s="62" t="n">
        <f aca="false">BU263*Parameter!$B$18</f>
        <v>0</v>
      </c>
      <c r="K263" s="63" t="n">
        <v>0</v>
      </c>
      <c r="L263" s="64" t="n">
        <v>0</v>
      </c>
      <c r="M263" s="62" t="n">
        <v>0</v>
      </c>
      <c r="N263" s="62" t="n">
        <v>5</v>
      </c>
      <c r="O263" s="65" t="n">
        <v>9999</v>
      </c>
      <c r="P263" s="60" t="s">
        <v>210</v>
      </c>
      <c r="Q263" s="62"/>
      <c r="R263" s="65" t="n">
        <f aca="false">IF(CA263=1,0,IFERROR(VLOOKUP(BY263,'Gebinde-Kategorie'!$A$5:$N$45,13,0)+0,0))</f>
        <v>26</v>
      </c>
      <c r="S263" s="66"/>
      <c r="T263" s="67" t="s">
        <v>317</v>
      </c>
      <c r="U263" s="67"/>
      <c r="V263" s="67"/>
      <c r="W263" s="60"/>
      <c r="X263" s="62"/>
      <c r="Y263" s="62"/>
      <c r="Z263" s="60" t="n">
        <v>3</v>
      </c>
      <c r="AA263" s="60" t="n">
        <f aca="false">IF(A263="","",IF(AND(Parameter!$B$21="Ja",ISNUMBER(W263)),W263,IF(AND(Parameter!$E$27="Ja",ISNUMBER(Z263),CD263&lt;&gt;"Nein"),Z263,IF(CD263="2+3",IF(ISNUMBER(SEARCH("grosser Artikel",BV263)),2,IFERROR(VLOOKUP(BY263,Parameter!$F$35:$G$64,2,0),2)),IF(OR(CD263="Nein",CD263=""),"-",CD263)))))</f>
        <v>3</v>
      </c>
      <c r="AB263" s="67"/>
      <c r="AC263" s="68"/>
      <c r="AD263" s="62" t="n">
        <f aca="false">AW263</f>
        <v>5</v>
      </c>
      <c r="AE263" s="62" t="n">
        <f aca="false">MAX(AW263,H263)</f>
        <v>25</v>
      </c>
      <c r="AF263" s="69"/>
      <c r="AG263" s="62" t="n">
        <f aca="false">IF(LEFT(Cockpit!$C$5,1)="A",H263,IF(Parameter!$E$30="MAX-Bestand",IF(CI263=1,CJ263,IF(LEFT(Cockpit!$C$5,1)="B",AM263,MAX(AM263,H263))),ROUNDUP(AK263,0)))</f>
        <v>25</v>
      </c>
      <c r="AH263" s="62" t="n">
        <f aca="false">IF(CA263=1,0,ROUNDUP(AG263/BZ263,0))</f>
        <v>1</v>
      </c>
      <c r="AI263" s="64" t="n">
        <f aca="false">IF(CR263&gt;0,CR263*MAX(1,AG263/X263),IF(CA263=1,IF(AG263&lt;=0,0,CE263*MAX(1,IF(H263&gt;0,AG263/H263,1))),IF(R263&gt;0,AH263/R263,0))/MAX(0.1,N(Parameter!$M$21)))</f>
        <v>0.0384615384615385</v>
      </c>
      <c r="AJ263" s="62" t="n">
        <f aca="false">AI263*CC263</f>
        <v>5.96153846153846</v>
      </c>
      <c r="AK263" s="63" t="n">
        <f aca="false">IF(LEFT(Cockpit!$C$5,1)="A",H263,IF(CI263=1,(CL263+CJ263)/2,IF(LEFT(Cockpit!$C$5,1)="B",(CL263+AM263)/2,MAX((CL263+AM263)/2,H263))))</f>
        <v>25</v>
      </c>
      <c r="AL263" s="62" t="n">
        <f aca="false">AK263*G263</f>
        <v>439.75</v>
      </c>
      <c r="AM263" s="62" t="n">
        <f aca="false">ROUNDUP(CL263+MAX(CM263,2*(J263/IF(CH263&gt;0,CH263,MAX(0.1,N(Cockpit!$C$6)))-CL263)),0)</f>
        <v>5</v>
      </c>
      <c r="AN263" s="63" t="n">
        <f aca="false">IF(AJ263&gt;0,J263/AJ263,-1)</f>
        <v>0</v>
      </c>
      <c r="AO263" s="63" t="n">
        <f aca="false">IF(AND(OR(CG263="L1",CG263="L23",CG263="LIFT"),AJ263&gt;0),SUMIFS($AJ$7:$AJ$1843,$CG$7:$CG$1843,CG263,$AN$7:$AN$1843,"&gt;"&amp;AN263)+SUMIFS($AJ$7:$AJ$1843,$CG$7:$CG$1843,CG263,$AN$7:$AN$1843,AN263,$BX$7:$BX$1843,"&lt;="&amp;BX263),"")</f>
        <v>27766.4850582562</v>
      </c>
      <c r="AP263" s="70" t="n">
        <f aca="false">IF(AO263="",0,MAX(0,MIN(1,(IF(CG263="L1",Parameter!$H$5,IF(CG263="L23",Parameter!$H$6+Parameter!$H$7,Parameter!$H$5+Parameter!$H$6+Parameter!$H$7))-(AO263-AJ263))/AJ263)))</f>
        <v>1</v>
      </c>
      <c r="AQ263" s="62" t="n">
        <f aca="false">IF(LEFT(Cockpit!$I$5,1)="A",H263,IF(Parameter!$E$30="MAX-Bestand",IF(CI263=1,CJ263,IF(LEFT(Cockpit!$I$5,1)="B",AW263,MAX(AW263,H263))),ROUNDUP(AU263,0)))</f>
        <v>25</v>
      </c>
      <c r="AR263" s="62" t="n">
        <f aca="false">IF(CA263=1,0,ROUNDUP(AQ263/BZ263,0))</f>
        <v>1</v>
      </c>
      <c r="AS263" s="64" t="n">
        <f aca="false">IF(CR263&gt;0,CR263*MAX(1,AQ263/X263),IF(CA263=1,IF(AQ263&lt;=0,0,CE263*MAX(1,IF(H263&gt;0,AQ263/H263,1))),IF(R263&gt;0,AR263/R263,0))/MAX(0.1,N(Parameter!$M$21)))</f>
        <v>0.0384615384615385</v>
      </c>
      <c r="AT263" s="62" t="n">
        <f aca="false">AS263*CC263</f>
        <v>5.96153846153846</v>
      </c>
      <c r="AU263" s="63" t="n">
        <f aca="false">IF(LEFT(Cockpit!$I$5,1)="A",H263,IF(CI263=1,(CL263+CJ263)/2,IF(LEFT(Cockpit!$I$5,1)="B",(CL263+AW263)/2,MAX((CL263+AW263)/2,H263))))</f>
        <v>25</v>
      </c>
      <c r="AV263" s="62" t="n">
        <f aca="false">AU263*G263</f>
        <v>439.75</v>
      </c>
      <c r="AW263" s="62" t="n">
        <f aca="false">ROUNDUP(CL263+MAX(CM263,2*(J263/IF(CH263&gt;0,CH263,MAX(0.1,N(Cockpit!$I$6)))-CL263)),0)</f>
        <v>5</v>
      </c>
      <c r="AX263" s="63" t="n">
        <f aca="false">IF(AT263&gt;0,J263/AT263,-1)</f>
        <v>0</v>
      </c>
      <c r="AY263" s="63" t="n">
        <f aca="false">IF(AND(OR(CG263="L1",CG263="L23",CG263="LIFT"),AT263&gt;0),SUMIFS($AT$7:$AT$1843,$CG$7:$CG$1843,CG263,$AX$7:$AX$1843,"&gt;"&amp;AX263)+SUMIFS($AT$7:$AT$1843,$CG$7:$CG$1843,CG263,$AX$7:$AX$1843,AX263,$BX$7:$BX$1843,"&lt;="&amp;BX263),"")</f>
        <v>33119.6336996337</v>
      </c>
      <c r="AZ263" s="70" t="n">
        <f aca="false">IF(AY263="",0,MAX(0,MIN(1,(IF(CG263="L1",Parameter!$H$5,IF(CG263="L23",Parameter!$H$6+Parameter!$H$7,Parameter!$H$5+Parameter!$H$6+Parameter!$H$7))-(AY263-AT263))/AT263)))</f>
        <v>1</v>
      </c>
      <c r="BA263" s="62" t="n">
        <f aca="false">IF(LEFT(Cockpit!$O$5,1)="A",H263,IF(Parameter!$E$30="MAX-Bestand",IF(CI263=1,CJ263,IF(LEFT(Cockpit!$O$5,1)="B",BG263,MAX(BG263,H263))),ROUNDUP(BE263,0)))</f>
        <v>3</v>
      </c>
      <c r="BB263" s="62" t="n">
        <f aca="false">IF(CA263=1,0,ROUNDUP(BA263/BZ263,0))</f>
        <v>1</v>
      </c>
      <c r="BC263" s="64" t="n">
        <f aca="false">IF(CR263&gt;0,CR263*MAX(1,BA263/X263),IF(CA263=1,IF(BA263&lt;=0,0,CE263*MAX(1,IF(H263&gt;0,BA263/H263,1))),IF(R263&gt;0,BB263/R263,0))/MAX(0.1,N(Parameter!$M$21)))</f>
        <v>0.0384615384615385</v>
      </c>
      <c r="BD263" s="62" t="n">
        <f aca="false">BC263*CC263</f>
        <v>5.96153846153846</v>
      </c>
      <c r="BE263" s="63" t="n">
        <f aca="false">IF(LEFT(Cockpit!$O$5,1)="A",H263,IF(CI263=1,(CL263+CJ263)/2,IF(LEFT(Cockpit!$O$5,1)="B",(CL263+BG263)/2,MAX((CL263+BG263)/2,H263))))</f>
        <v>2.5</v>
      </c>
      <c r="BF263" s="62" t="n">
        <f aca="false">BE263*G263</f>
        <v>43.975</v>
      </c>
      <c r="BG263" s="62" t="n">
        <f aca="false">ROUNDUP(CL263+MAX(CM263,2*(J263/IF(CH263&gt;0,CH263,MAX(0.1,N(Cockpit!$O$6)))-CL263)),0)</f>
        <v>5</v>
      </c>
      <c r="BH263" s="63" t="n">
        <f aca="false">IF(BD263&gt;0,J263/BD263,-1)</f>
        <v>0</v>
      </c>
      <c r="BI263" s="63" t="n">
        <f aca="false">IF(AND(OR(CG263="L1",CG263="L23",CG263="LIFT"),BD263&gt;0),SUMIFS($BD$7:$BD$1843,$CG$7:$CG$1843,CG263,$BH$7:$BH$1843,"&gt;"&amp;BH263)+SUMIFS($BD$7:$BD$1843,$CG$7:$CG$1843,CG263,$BH$7:$BH$1843,BH263,$BX$7:$BX$1843,"&lt;="&amp;BX263),"")</f>
        <v>27274.4527224188</v>
      </c>
      <c r="BJ263" s="70" t="n">
        <f aca="false">IF(BI263="",0,MAX(0,MIN(1,(IF(CG263="L1",Parameter!$H$5,IF(CG263="L23",Parameter!$H$6+Parameter!$H$7,Parameter!$H$5+Parameter!$H$6+Parameter!$H$7))-(BI263-BD263))/BD263)))</f>
        <v>1</v>
      </c>
      <c r="BK263" s="60" t="str">
        <f aca="false">IF(AJ263&lt;=0,"",IF(CG263="Aussen","Aussenlager",IF(CG263="-","Nicht im Lift",IF(AP263&gt;=1,"Lift",IF(AP263&lt;=0,"Aussenlager","teilweise")))))</f>
        <v>Lift</v>
      </c>
      <c r="BL263" s="60" t="str">
        <f aca="false">IF(AT263&lt;=0,"",IF(CG263="Aussen","Aussenlager",IF(CG263="-","Nicht im Lift",IF(AZ263&gt;=1,"Lift",IF(AZ263&lt;=0,"Aussenlager","teilweise")))))</f>
        <v>Lift</v>
      </c>
      <c r="BM263" s="60" t="str">
        <f aca="false">IF(BD263&lt;=0,"",IF(CG263="Aussen","Aussenlager",IF(CG263="-","Nicht im Lift",IF(BJ263&gt;=1,"Lift",IF(BJ263&lt;=0,"Aussenlager","teilweise")))))</f>
        <v>Lift</v>
      </c>
      <c r="BN263" s="60" t="str">
        <f aca="false">IF(A263="","",IF(BW263=1,"Neu; ","")&amp;IF(AND(BW263=0,BR263&lt;0),"negativer Bestand (Export "&amp;BR263&amp;"); ","")&amp;IF(J263&lt;=0,"Kein Verbrauch; ","")&amp;IF(CR263&gt;0,"Lift "&amp;W263&amp;" lt. Liftbericht (Fach "&amp;X263&amp;" Stk); ",IF(CB263=1,"Gebinde geschätzt ("&amp;T263&amp;"); ",IF(CA263=1,"Lose – Tablare geschätzt; ","")))&amp;IF(H263&gt;AW263,"Überbestand "&amp;ROUND(H263-AW263,0)&amp;" Stk / CHF "&amp;ROUND((H263-AW263)*G263,0)&amp;"; ","")&amp;IF(AND(CI263=1,CJ263&lt;CK263),"MAX &lt; MB+LG; ","")&amp;IF(AND(CQ263&gt;0,CP263*10&gt;CQ263),"zu hoch für Tablar; ","")&amp;IF(AND(BW263=0,OR(CI263=1,AB263&lt;&gt;"",U263&lt;&gt;"",V263&lt;&gt;"",AC263&lt;&gt;"")),"manuell übersteuert; ","")&amp;IF(AND(CA263=0,R263=0),"Gebinde unbekannt / Stellmass fehlt; ","")&amp;IF(AND(CA263=0,N(V263)&lt;=0,N(Q263)&lt;=0),"Menge pro Gebinde fehlt (Ist = 1 Gebinde); ","")&amp;BV263)</f>
        <v>Kein Verbrauch; Gebinde geschätzt (Klein); Überbestand 20 Stk / CHF 352; Menge pro Gebinde fehlt (Ist = 1 Gebinde); </v>
      </c>
      <c r="BO263" s="60"/>
      <c r="BP263" s="60"/>
      <c r="BQ263" s="67"/>
      <c r="BR263" s="62" t="n">
        <v>25</v>
      </c>
      <c r="BS263" s="62" t="n">
        <v>0</v>
      </c>
      <c r="BT263" s="61" t="n">
        <v>439.75</v>
      </c>
      <c r="BU263" s="62" t="n">
        <v>0</v>
      </c>
      <c r="BV263" s="60"/>
      <c r="BW263" s="65" t="n">
        <v>0</v>
      </c>
      <c r="BX263" s="65" t="n">
        <v>263</v>
      </c>
      <c r="BY263" s="60" t="str">
        <f aca="false">IF(U263&lt;&gt;"",UPPER(TRIM(U263)),IF(CB263=1,UPPER(VLOOKUP(T263,Parameter!$I$27:$K$29,2,0)),IF(P263="","LOSE",P263)))</f>
        <v>S51</v>
      </c>
      <c r="BZ263" s="62" t="n">
        <f aca="false">IF(BY263="LOSE",1,IF(N(V263)&gt;0,V263,IF(CB263=1,MAX(1,N(VLOOKUP(T263,Parameter!$I$27:$K$29,3,0)),H263,N(N263)),IF(N(Q263)&gt;0,Q263,MAX(1,H263)))))</f>
        <v>25</v>
      </c>
      <c r="CA263" s="65" t="n">
        <f aca="false">IF(BY263="LOSE",1,0)</f>
        <v>0</v>
      </c>
      <c r="CB263" s="65" t="n">
        <f aca="false">IF(AND(U263="",OR(P263="",P263="LOSE"),T263&lt;&gt;"",N(S263)&lt;=0,ISNUMBER(MATCH(T263,Parameter!$I$27:$I$29,0))),1,0)</f>
        <v>1</v>
      </c>
      <c r="CC263" s="65" t="n">
        <f aca="false">IF(CR263&gt;0,INDEX(Parameter!$H$5:$H$7,W263)/INDEX(Parameter!$E$5:$E$7,W263),IF(AND(CA263=0,N(IFERROR(VLOOKUP(BY263,'Gebinde-Kategorie'!$A$5:$N$45,14,0),0))&gt;0),VLOOKUP(BY263,'Gebinde-Kategorie'!$A$5:$N$45,14,0)*10+Parameter!$M$23,Parameter!$M$24))</f>
        <v>155</v>
      </c>
      <c r="CD263" s="60" t="str">
        <f aca="false">IF(AND(Parameter!$B$19="Ja",E263&lt;&gt;"",ISNUMBER(MATCH(E263,Parameter!$I$35:$I$52,0))),VLOOKUP(E263,Parameter!$I$35:$J$52,2,0),IFERROR(VLOOKUP(D263,Parameter!$A$35:$C$64,2,0),"Nein"))</f>
        <v>2+3</v>
      </c>
      <c r="CE263" s="64" t="n">
        <f aca="false">IF(CA263=0,0,IF(N(S263)&gt;0,S263,IFERROR(VLOOKUP(D263,Parameter!$A$35:$C$64,3,0)+0,0)))</f>
        <v>0</v>
      </c>
      <c r="CF263" s="60" t="n">
        <f aca="false">IF(AB263&lt;&gt;"",AB263,AA263)</f>
        <v>3</v>
      </c>
      <c r="CG263" s="60" t="str">
        <f aca="false">IF(OR(CF263=1,CF263=2,CF263=3),IF(Parameter!$E$27="Ja","LIFT",IF(CF263=1,"L1","L23")),IF(CF263="Aussen","Aussen","-"))</f>
        <v>LIFT</v>
      </c>
      <c r="CH263" s="71" t="n">
        <f aca="false">IF(N(AC263)&gt;0,AC263,0)</f>
        <v>0</v>
      </c>
      <c r="CI263" s="65" t="n">
        <f aca="false">IF(ISNUMBER(AF263),1,0)</f>
        <v>0</v>
      </c>
      <c r="CJ263" s="62" t="n">
        <f aca="false">N(AF263)</f>
        <v>0</v>
      </c>
      <c r="CK263" s="62" t="n">
        <f aca="false">N(M263)+N(N263)</f>
        <v>5</v>
      </c>
      <c r="CL263" s="62" t="n">
        <f aca="false">N(M263)</f>
        <v>0</v>
      </c>
      <c r="CM263" s="62" t="n">
        <f aca="false">N(N263)</f>
        <v>5</v>
      </c>
      <c r="CN263" s="62" t="n">
        <f aca="false">ROUNDUP(H263/BZ263,0)</f>
        <v>1</v>
      </c>
      <c r="CO263" s="62" t="n">
        <f aca="false">ROUNDUP(CJ263/BZ263,0)</f>
        <v>0</v>
      </c>
      <c r="CP263" s="65" t="n">
        <f aca="false">IF(CA263=1,0,IFERROR(VLOOKUP(BY263,'Gebinde-Kategorie'!$A$5:$N$45,5,0)+0,0))</f>
        <v>11</v>
      </c>
      <c r="CQ263" s="65" t="n">
        <f aca="false">IFERROR(IF(OR(CF263=1,CF263=2,CF263=3),N(INDEX(Parameter!$I$5:$I$7,CF263)),0),0)</f>
        <v>0</v>
      </c>
      <c r="CR263" s="64" t="n">
        <f aca="false">IF(AND(Parameter!$B$21="Ja",ISNUMBER(W263),N(X263)&gt;0),IFERROR(N(INDEX(Parameter!$L$5:$L$7,W263))*INDEX(Parameter!$E$5:$E$7,W263)*X263/SUMIFS($X$7:$X$1843,$W$7:$W$1843,W263),0),0)</f>
        <v>0</v>
      </c>
      <c r="CS263" s="62" t="n">
        <f aca="false">IF(AND(OR(CG263="L1",CG263="L23",CG263="LIFT"),H263&gt;0),CC263*IF(CR263&gt;0,CR263*MAX(1,H263/X263),IF(CA263=1,CE263,IF(R263&gt;0,CN263/R263,0))/MAX(0.1,N(Parameter!$M$21))),"")</f>
        <v>5.96153846153846</v>
      </c>
      <c r="CT263" s="64" t="n">
        <f aca="false">IF(CS263="","",J263/H263)</f>
        <v>0</v>
      </c>
      <c r="CU263" s="62" t="n">
        <f aca="false">IF(CS263="","",H263*G263)</f>
        <v>439.75</v>
      </c>
      <c r="CV263" s="63" t="n">
        <f aca="false">IF(CS263="","",(CL263+ROUNDUP(CL263+MAX(CM263,2*(J263/MAX(0.1,N(Einkauf!$C$6))-CL263)),0))/2)</f>
        <v>2.5</v>
      </c>
      <c r="CW263" s="62" t="n">
        <f aca="false">IF(CS263="","",MAX(0,H263-CV263)*G263)</f>
        <v>395.775</v>
      </c>
      <c r="CX263" s="62" t="n">
        <f aca="false">IF(CS263="","",CS263*MAX(0,1-CV263/H263))</f>
        <v>5.36538461538462</v>
      </c>
      <c r="CY263" s="64" t="n">
        <f aca="false">IF(CS263="","",PERCENTRANK($CS$7:$CS$1843,CS263)+PERCENTRANK($CU$7:$CU$1843,CU263)+1-PERCENTRANK($CT$7:$CT$1843,CT263))</f>
        <v>1.848</v>
      </c>
      <c r="CZ263" s="72" t="n">
        <f aca="false">IF(CS263="","",CHOOSE(MATCH(Einkauf!$C$5,Parameter!$G$23:$G$27,0),CY263,CS263,CU263,-CT263,CW263)+ROW()/1000000000)</f>
        <v>1.848000263</v>
      </c>
    </row>
    <row r="264" customFormat="false" ht="15" hidden="false" customHeight="false" outlineLevel="0" collapsed="false">
      <c r="A264" s="60" t="s">
        <v>751</v>
      </c>
      <c r="B264" s="60" t="s">
        <v>510</v>
      </c>
      <c r="C264" s="60" t="s">
        <v>206</v>
      </c>
      <c r="D264" s="60" t="s">
        <v>226</v>
      </c>
      <c r="E264" s="60" t="s">
        <v>227</v>
      </c>
      <c r="F264" s="60" t="s">
        <v>260</v>
      </c>
      <c r="G264" s="61" t="n">
        <v>6.92</v>
      </c>
      <c r="H264" s="62" t="n">
        <f aca="false">MAX(0,IF(AND(Parameter!$B$21="Ja",ISNUMBER(Y264)),Y264,IF(Parameter!$B$20="Jahresanfang 2025 + Export",BS264+BR264,BR264)))</f>
        <v>100</v>
      </c>
      <c r="I264" s="62" t="n">
        <f aca="false">H264*G264</f>
        <v>692</v>
      </c>
      <c r="J264" s="62" t="n">
        <f aca="false">BU264*Parameter!$B$18</f>
        <v>150</v>
      </c>
      <c r="K264" s="63" t="n">
        <v>49.5</v>
      </c>
      <c r="L264" s="64" t="n">
        <v>3.03030303030303</v>
      </c>
      <c r="M264" s="62" t="n">
        <v>5</v>
      </c>
      <c r="N264" s="62" t="n">
        <v>150</v>
      </c>
      <c r="O264" s="65" t="n">
        <v>14</v>
      </c>
      <c r="P264" s="60" t="s">
        <v>344</v>
      </c>
      <c r="Q264" s="62" t="n">
        <v>72</v>
      </c>
      <c r="R264" s="65" t="n">
        <f aca="false">IF(CA264=1,0,IFERROR(VLOOKUP(BY264,'Gebinde-Kategorie'!$A$5:$N$45,13,0)+0,0))</f>
        <v>26</v>
      </c>
      <c r="S264" s="66"/>
      <c r="T264" s="67"/>
      <c r="U264" s="67"/>
      <c r="V264" s="67"/>
      <c r="W264" s="60"/>
      <c r="X264" s="62"/>
      <c r="Y264" s="62"/>
      <c r="Z264" s="60" t="n">
        <v>3</v>
      </c>
      <c r="AA264" s="60" t="n">
        <f aca="false">IF(A264="","",IF(AND(Parameter!$B$21="Ja",ISNUMBER(W264)),W264,IF(AND(Parameter!$E$27="Ja",ISNUMBER(Z264),CD264&lt;&gt;"Nein"),Z264,IF(CD264="2+3",IF(ISNUMBER(SEARCH("grosser Artikel",BV264)),2,IFERROR(VLOOKUP(BY264,Parameter!$F$35:$G$64,2,0),2)),IF(OR(CD264="Nein",CD264=""),"-",CD264)))))</f>
        <v>3</v>
      </c>
      <c r="AB264" s="67"/>
      <c r="AC264" s="68"/>
      <c r="AD264" s="62" t="n">
        <f aca="false">AW264</f>
        <v>155</v>
      </c>
      <c r="AE264" s="62" t="n">
        <f aca="false">MAX(AW264,H264)</f>
        <v>155</v>
      </c>
      <c r="AF264" s="69"/>
      <c r="AG264" s="62" t="n">
        <f aca="false">IF(LEFT(Cockpit!$C$5,1)="A",H264,IF(Parameter!$E$30="MAX-Bestand",IF(CI264=1,CJ264,IF(LEFT(Cockpit!$C$5,1)="B",AM264,MAX(AM264,H264))),ROUNDUP(AK264,0)))</f>
        <v>100</v>
      </c>
      <c r="AH264" s="62" t="n">
        <f aca="false">IF(CA264=1,0,ROUNDUP(AG264/BZ264,0))</f>
        <v>2</v>
      </c>
      <c r="AI264" s="64" t="n">
        <f aca="false">IF(CR264&gt;0,CR264*MAX(1,AG264/X264),IF(CA264=1,IF(AG264&lt;=0,0,CE264*MAX(1,IF(H264&gt;0,AG264/H264,1))),IF(R264&gt;0,AH264/R264,0))/MAX(0.1,N(Parameter!$M$21)))</f>
        <v>0.0769230769230769</v>
      </c>
      <c r="AJ264" s="62" t="n">
        <f aca="false">AI264*CC264</f>
        <v>11.9230769230769</v>
      </c>
      <c r="AK264" s="63" t="n">
        <f aca="false">IF(LEFT(Cockpit!$C$5,1)="A",H264,IF(CI264=1,(CL264+CJ264)/2,IF(LEFT(Cockpit!$C$5,1)="B",(CL264+AM264)/2,MAX((CL264+AM264)/2,H264))))</f>
        <v>100</v>
      </c>
      <c r="AL264" s="62" t="n">
        <f aca="false">AK264*G264</f>
        <v>692</v>
      </c>
      <c r="AM264" s="62" t="n">
        <f aca="false">ROUNDUP(CL264+MAX(CM264,2*(J264/IF(CH264&gt;0,CH264,MAX(0.1,N(Cockpit!$C$6)))-CL264)),0)</f>
        <v>155</v>
      </c>
      <c r="AN264" s="63" t="n">
        <f aca="false">IF(AJ264&gt;0,J264/AJ264,-1)</f>
        <v>12.5806451612903</v>
      </c>
      <c r="AO264" s="63" t="n">
        <f aca="false">IF(AND(OR(CG264="L1",CG264="L23",CG264="LIFT"),AJ264&gt;0),SUMIFS($AJ$7:$AJ$1843,$CG$7:$CG$1843,CG264,$AN$7:$AN$1843,"&gt;"&amp;AN264)+SUMIFS($AJ$7:$AJ$1843,$CG$7:$CG$1843,CG264,$AN$7:$AN$1843,AN264,$BX$7:$BX$1843,"&lt;="&amp;BX264),"")</f>
        <v>2420.33608058608</v>
      </c>
      <c r="AP264" s="70" t="n">
        <f aca="false">IF(AO264="",0,MAX(0,MIN(1,(IF(CG264="L1",Parameter!$H$5,IF(CG264="L23",Parameter!$H$6+Parameter!$H$7,Parameter!$H$5+Parameter!$H$6+Parameter!$H$7))-(AO264-AJ264))/AJ264)))</f>
        <v>1</v>
      </c>
      <c r="AQ264" s="62" t="n">
        <f aca="false">IF(LEFT(Cockpit!$I$5,1)="A",H264,IF(Parameter!$E$30="MAX-Bestand",IF(CI264=1,CJ264,IF(LEFT(Cockpit!$I$5,1)="B",AW264,MAX(AW264,H264))),ROUNDUP(AU264,0)))</f>
        <v>100</v>
      </c>
      <c r="AR264" s="62" t="n">
        <f aca="false">IF(CA264=1,0,ROUNDUP(AQ264/BZ264,0))</f>
        <v>2</v>
      </c>
      <c r="AS264" s="64" t="n">
        <f aca="false">IF(CR264&gt;0,CR264*MAX(1,AQ264/X264),IF(CA264=1,IF(AQ264&lt;=0,0,CE264*MAX(1,IF(H264&gt;0,AQ264/H264,1))),IF(R264&gt;0,AR264/R264,0))/MAX(0.1,N(Parameter!$M$21)))</f>
        <v>0.0769230769230769</v>
      </c>
      <c r="AT264" s="62" t="n">
        <f aca="false">AS264*CC264</f>
        <v>11.9230769230769</v>
      </c>
      <c r="AU264" s="63" t="n">
        <f aca="false">IF(LEFT(Cockpit!$I$5,1)="A",H264,IF(CI264=1,(CL264+CJ264)/2,IF(LEFT(Cockpit!$I$5,1)="B",(CL264+AW264)/2,MAX((CL264+AW264)/2,H264))))</f>
        <v>100</v>
      </c>
      <c r="AV264" s="62" t="n">
        <f aca="false">AU264*G264</f>
        <v>692</v>
      </c>
      <c r="AW264" s="62" t="n">
        <f aca="false">ROUNDUP(CL264+MAX(CM264,2*(J264/IF(CH264&gt;0,CH264,MAX(0.1,N(Cockpit!$I$6)))-CL264)),0)</f>
        <v>155</v>
      </c>
      <c r="AX264" s="63" t="n">
        <f aca="false">IF(AT264&gt;0,J264/AT264,-1)</f>
        <v>12.5806451612903</v>
      </c>
      <c r="AY264" s="63" t="n">
        <f aca="false">IF(AND(OR(CG264="L1",CG264="L23",CG264="LIFT"),AT264&gt;0),SUMIFS($AT$7:$AT$1843,$CG$7:$CG$1843,CG264,$AX$7:$AX$1843,"&gt;"&amp;AX264)+SUMIFS($AT$7:$AT$1843,$CG$7:$CG$1843,CG264,$AX$7:$AX$1843,AX264,$BX$7:$BX$1843,"&lt;="&amp;BX264),"")</f>
        <v>3009.7152014652</v>
      </c>
      <c r="AZ264" s="70" t="n">
        <f aca="false">IF(AY264="",0,MAX(0,MIN(1,(IF(CG264="L1",Parameter!$H$5,IF(CG264="L23",Parameter!$H$6+Parameter!$H$7,Parameter!$H$5+Parameter!$H$6+Parameter!$H$7))-(AY264-AT264))/AT264)))</f>
        <v>1</v>
      </c>
      <c r="BA264" s="62" t="n">
        <f aca="false">IF(LEFT(Cockpit!$O$5,1)="A",H264,IF(Parameter!$E$30="MAX-Bestand",IF(CI264=1,CJ264,IF(LEFT(Cockpit!$O$5,1)="B",BG264,MAX(BG264,H264))),ROUNDUP(BE264,0)))</f>
        <v>80</v>
      </c>
      <c r="BB264" s="62" t="n">
        <f aca="false">IF(CA264=1,0,ROUNDUP(BA264/BZ264,0))</f>
        <v>2</v>
      </c>
      <c r="BC264" s="64" t="n">
        <f aca="false">IF(CR264&gt;0,CR264*MAX(1,BA264/X264),IF(CA264=1,IF(BA264&lt;=0,0,CE264*MAX(1,IF(H264&gt;0,BA264/H264,1))),IF(R264&gt;0,BB264/R264,0))/MAX(0.1,N(Parameter!$M$21)))</f>
        <v>0.0769230769230769</v>
      </c>
      <c r="BD264" s="62" t="n">
        <f aca="false">BC264*CC264</f>
        <v>11.9230769230769</v>
      </c>
      <c r="BE264" s="63" t="n">
        <f aca="false">IF(LEFT(Cockpit!$O$5,1)="A",H264,IF(CI264=1,(CL264+CJ264)/2,IF(LEFT(Cockpit!$O$5,1)="B",(CL264+BG264)/2,MAX((CL264+BG264)/2,H264))))</f>
        <v>80</v>
      </c>
      <c r="BF264" s="62" t="n">
        <f aca="false">BE264*G264</f>
        <v>553.6</v>
      </c>
      <c r="BG264" s="62" t="n">
        <f aca="false">ROUNDUP(CL264+MAX(CM264,2*(J264/IF(CH264&gt;0,CH264,MAX(0.1,N(Cockpit!$O$6)))-CL264)),0)</f>
        <v>155</v>
      </c>
      <c r="BH264" s="63" t="n">
        <f aca="false">IF(BD264&gt;0,J264/BD264,-1)</f>
        <v>12.5806451612903</v>
      </c>
      <c r="BI264" s="63" t="n">
        <f aca="false">IF(AND(OR(CG264="L1",CG264="L23",CG264="LIFT"),BD264&gt;0),SUMIFS($BD$7:$BD$1843,$CG$7:$CG$1843,CG264,$BH$7:$BH$1843,"&gt;"&amp;BH264)+SUMIFS($BD$7:$BD$1843,$CG$7:$CG$1843,CG264,$BH$7:$BH$1843,BH264,$BX$7:$BX$1843,"&lt;="&amp;BX264),"")</f>
        <v>2526.70054945055</v>
      </c>
      <c r="BJ264" s="70" t="n">
        <f aca="false">IF(BI264="",0,MAX(0,MIN(1,(IF(CG264="L1",Parameter!$H$5,IF(CG264="L23",Parameter!$H$6+Parameter!$H$7,Parameter!$H$5+Parameter!$H$6+Parameter!$H$7))-(BI264-BD264))/BD264)))</f>
        <v>1</v>
      </c>
      <c r="BK264" s="60" t="str">
        <f aca="false">IF(AJ264&lt;=0,"",IF(CG264="Aussen","Aussenlager",IF(CG264="-","Nicht im Lift",IF(AP264&gt;=1,"Lift",IF(AP264&lt;=0,"Aussenlager","teilweise")))))</f>
        <v>Lift</v>
      </c>
      <c r="BL264" s="60" t="str">
        <f aca="false">IF(AT264&lt;=0,"",IF(CG264="Aussen","Aussenlager",IF(CG264="-","Nicht im Lift",IF(AZ264&gt;=1,"Lift",IF(AZ264&lt;=0,"Aussenlager","teilweise")))))</f>
        <v>Lift</v>
      </c>
      <c r="BM264" s="60" t="str">
        <f aca="false">IF(BD264&lt;=0,"",IF(CG264="Aussen","Aussenlager",IF(CG264="-","Nicht im Lift",IF(BJ264&gt;=1,"Lift",IF(BJ264&lt;=0,"Aussenlager","teilweise")))))</f>
        <v>Lift</v>
      </c>
      <c r="BN264" s="60" t="str">
        <f aca="false">IF(A264="","",IF(BW264=1,"Neu; ","")&amp;IF(AND(BW264=0,BR264&lt;0),"negativer Bestand (Export "&amp;BR264&amp;"); ","")&amp;IF(J264&lt;=0,"Kein Verbrauch; ","")&amp;IF(CR264&gt;0,"Lift "&amp;W264&amp;" lt. Liftbericht (Fach "&amp;X264&amp;" Stk); ",IF(CB264=1,"Gebinde geschätzt ("&amp;T264&amp;"); ",IF(CA264=1,"Lose – Tablare geschätzt; ","")))&amp;IF(H264&gt;AW264,"Überbestand "&amp;ROUND(H264-AW264,0)&amp;" Stk / CHF "&amp;ROUND((H264-AW264)*G264,0)&amp;"; ","")&amp;IF(AND(CI264=1,CJ264&lt;CK264),"MAX &lt; MB+LG; ","")&amp;IF(AND(CQ264&gt;0,CP264*10&gt;CQ264),"zu hoch für Tablar; ","")&amp;IF(AND(BW264=0,OR(CI264=1,AB264&lt;&gt;"",U264&lt;&gt;"",V264&lt;&gt;"",AC264&lt;&gt;"")),"manuell übersteuert; ","")&amp;IF(AND(CA264=0,R264=0),"Gebinde unbekannt / Stellmass fehlt; ","")&amp;IF(AND(CA264=0,N(V264)&lt;=0,N(Q264)&lt;=0),"Menge pro Gebinde fehlt (Ist = 1 Gebinde); ","")&amp;BV264)</f>
        <v/>
      </c>
      <c r="BO264" s="60"/>
      <c r="BP264" s="60"/>
      <c r="BQ264" s="67"/>
      <c r="BR264" s="62" t="n">
        <v>64</v>
      </c>
      <c r="BS264" s="62" t="n">
        <v>36</v>
      </c>
      <c r="BT264" s="61" t="n">
        <v>439.69</v>
      </c>
      <c r="BU264" s="62" t="n">
        <v>150</v>
      </c>
      <c r="BV264" s="60"/>
      <c r="BW264" s="65" t="n">
        <v>0</v>
      </c>
      <c r="BX264" s="65" t="n">
        <v>264</v>
      </c>
      <c r="BY264" s="60" t="str">
        <f aca="false">IF(U264&lt;&gt;"",UPPER(TRIM(U264)),IF(CB264=1,UPPER(VLOOKUP(T264,Parameter!$I$27:$K$29,2,0)),IF(P264="","LOSE",P264)))</f>
        <v>S51</v>
      </c>
      <c r="BZ264" s="62" t="n">
        <f aca="false">IF(BY264="LOSE",1,IF(N(V264)&gt;0,V264,IF(CB264=1,MAX(1,N(VLOOKUP(T264,Parameter!$I$27:$K$29,3,0)),H264,N(N264)),IF(N(Q264)&gt;0,Q264,MAX(1,H264)))))</f>
        <v>72</v>
      </c>
      <c r="CA264" s="65" t="n">
        <f aca="false">IF(BY264="LOSE",1,0)</f>
        <v>0</v>
      </c>
      <c r="CB264" s="65" t="n">
        <f aca="false">IF(AND(U264="",OR(P264="",P264="LOSE"),T264&lt;&gt;"",N(S264)&lt;=0,ISNUMBER(MATCH(T264,Parameter!$I$27:$I$29,0))),1,0)</f>
        <v>0</v>
      </c>
      <c r="CC264" s="65" t="n">
        <f aca="false">IF(CR264&gt;0,INDEX(Parameter!$H$5:$H$7,W264)/INDEX(Parameter!$E$5:$E$7,W264),IF(AND(CA264=0,N(IFERROR(VLOOKUP(BY264,'Gebinde-Kategorie'!$A$5:$N$45,14,0),0))&gt;0),VLOOKUP(BY264,'Gebinde-Kategorie'!$A$5:$N$45,14,0)*10+Parameter!$M$23,Parameter!$M$24))</f>
        <v>155</v>
      </c>
      <c r="CD264" s="60" t="str">
        <f aca="false">IF(AND(Parameter!$B$19="Ja",E264&lt;&gt;"",ISNUMBER(MATCH(E264,Parameter!$I$35:$I$52,0))),VLOOKUP(E264,Parameter!$I$35:$J$52,2,0),IFERROR(VLOOKUP(D264,Parameter!$A$35:$C$64,2,0),"Nein"))</f>
        <v>2+3</v>
      </c>
      <c r="CE264" s="64" t="n">
        <f aca="false">IF(CA264=0,0,IF(N(S264)&gt;0,S264,IFERROR(VLOOKUP(D264,Parameter!$A$35:$C$64,3,0)+0,0)))</f>
        <v>0</v>
      </c>
      <c r="CF264" s="60" t="n">
        <f aca="false">IF(AB264&lt;&gt;"",AB264,AA264)</f>
        <v>3</v>
      </c>
      <c r="CG264" s="60" t="str">
        <f aca="false">IF(OR(CF264=1,CF264=2,CF264=3),IF(Parameter!$E$27="Ja","LIFT",IF(CF264=1,"L1","L23")),IF(CF264="Aussen","Aussen","-"))</f>
        <v>LIFT</v>
      </c>
      <c r="CH264" s="71" t="n">
        <f aca="false">IF(N(AC264)&gt;0,AC264,0)</f>
        <v>0</v>
      </c>
      <c r="CI264" s="65" t="n">
        <f aca="false">IF(ISNUMBER(AF264),1,0)</f>
        <v>0</v>
      </c>
      <c r="CJ264" s="62" t="n">
        <f aca="false">N(AF264)</f>
        <v>0</v>
      </c>
      <c r="CK264" s="62" t="n">
        <f aca="false">N(M264)+N(N264)</f>
        <v>155</v>
      </c>
      <c r="CL264" s="62" t="n">
        <f aca="false">N(M264)</f>
        <v>5</v>
      </c>
      <c r="CM264" s="62" t="n">
        <f aca="false">N(N264)</f>
        <v>150</v>
      </c>
      <c r="CN264" s="62" t="n">
        <f aca="false">ROUNDUP(H264/BZ264,0)</f>
        <v>2</v>
      </c>
      <c r="CO264" s="62" t="n">
        <f aca="false">ROUNDUP(CJ264/BZ264,0)</f>
        <v>0</v>
      </c>
      <c r="CP264" s="65" t="n">
        <f aca="false">IF(CA264=1,0,IFERROR(VLOOKUP(BY264,'Gebinde-Kategorie'!$A$5:$N$45,5,0)+0,0))</f>
        <v>11</v>
      </c>
      <c r="CQ264" s="65" t="n">
        <f aca="false">IFERROR(IF(OR(CF264=1,CF264=2,CF264=3),N(INDEX(Parameter!$I$5:$I$7,CF264)),0),0)</f>
        <v>0</v>
      </c>
      <c r="CR264" s="64" t="n">
        <f aca="false">IF(AND(Parameter!$B$21="Ja",ISNUMBER(W264),N(X264)&gt;0),IFERROR(N(INDEX(Parameter!$L$5:$L$7,W264))*INDEX(Parameter!$E$5:$E$7,W264)*X264/SUMIFS($X$7:$X$1843,$W$7:$W$1843,W264),0),0)</f>
        <v>0</v>
      </c>
      <c r="CS264" s="62" t="n">
        <f aca="false">IF(AND(OR(CG264="L1",CG264="L23",CG264="LIFT"),H264&gt;0),CC264*IF(CR264&gt;0,CR264*MAX(1,H264/X264),IF(CA264=1,CE264,IF(R264&gt;0,CN264/R264,0))/MAX(0.1,N(Parameter!$M$21))),"")</f>
        <v>11.9230769230769</v>
      </c>
      <c r="CT264" s="64" t="n">
        <f aca="false">IF(CS264="","",J264/H264)</f>
        <v>1.5</v>
      </c>
      <c r="CU264" s="62" t="n">
        <f aca="false">IF(CS264="","",H264*G264)</f>
        <v>692</v>
      </c>
      <c r="CV264" s="63" t="n">
        <f aca="false">IF(CS264="","",(CL264+ROUNDUP(CL264+MAX(CM264,2*(J264/MAX(0.1,N(Einkauf!$C$6))-CL264)),0))/2)</f>
        <v>80</v>
      </c>
      <c r="CW264" s="62" t="n">
        <f aca="false">IF(CS264="","",MAX(0,H264-CV264)*G264)</f>
        <v>138.4</v>
      </c>
      <c r="CX264" s="62" t="n">
        <f aca="false">IF(CS264="","",CS264*MAX(0,1-CV264/H264))</f>
        <v>2.38461538461538</v>
      </c>
      <c r="CY264" s="64" t="n">
        <f aca="false">IF(CS264="","",PERCENTRANK($CS$7:$CS$1843,CS264)+PERCENTRANK($CU$7:$CU$1843,CU264)+1-PERCENTRANK($CT$7:$CT$1843,CT264))</f>
        <v>1.453</v>
      </c>
      <c r="CZ264" s="72" t="n">
        <f aca="false">IF(CS264="","",CHOOSE(MATCH(Einkauf!$C$5,Parameter!$G$23:$G$27,0),CY264,CS264,CU264,-CT264,CW264)+ROW()/1000000000)</f>
        <v>1.453000264</v>
      </c>
    </row>
    <row r="265" customFormat="false" ht="15" hidden="false" customHeight="false" outlineLevel="0" collapsed="false">
      <c r="A265" s="60" t="s">
        <v>752</v>
      </c>
      <c r="B265" s="60" t="s">
        <v>613</v>
      </c>
      <c r="C265" s="60" t="s">
        <v>206</v>
      </c>
      <c r="D265" s="60" t="s">
        <v>226</v>
      </c>
      <c r="E265" s="60" t="s">
        <v>227</v>
      </c>
      <c r="F265" s="60" t="s">
        <v>260</v>
      </c>
      <c r="G265" s="61" t="n">
        <v>11.14</v>
      </c>
      <c r="H265" s="62" t="n">
        <f aca="false">MAX(0,IF(AND(Parameter!$B$21="Ja",ISNUMBER(Y265)),Y265,IF(Parameter!$B$20="Jahresanfang 2025 + Export",BS265+BR265,BR265)))</f>
        <v>85</v>
      </c>
      <c r="I265" s="62" t="n">
        <f aca="false">H265*G265</f>
        <v>946.9</v>
      </c>
      <c r="J265" s="62" t="n">
        <f aca="false">BU265*Parameter!$B$18</f>
        <v>221</v>
      </c>
      <c r="K265" s="63" t="n">
        <v>57</v>
      </c>
      <c r="L265" s="64" t="n">
        <v>3.87719298245614</v>
      </c>
      <c r="M265" s="62" t="n">
        <v>21</v>
      </c>
      <c r="N265" s="62" t="n">
        <v>100</v>
      </c>
      <c r="O265" s="65" t="n">
        <v>21</v>
      </c>
      <c r="P265" s="60" t="s">
        <v>370</v>
      </c>
      <c r="Q265" s="62" t="n">
        <v>188</v>
      </c>
      <c r="R265" s="65" t="n">
        <f aca="false">IF(CA265=1,0,IFERROR(VLOOKUP(BY265,'Gebinde-Kategorie'!$A$5:$N$45,13,0)+0,0))</f>
        <v>52</v>
      </c>
      <c r="S265" s="66"/>
      <c r="T265" s="67"/>
      <c r="U265" s="67"/>
      <c r="V265" s="67"/>
      <c r="W265" s="60"/>
      <c r="X265" s="62"/>
      <c r="Y265" s="62"/>
      <c r="Z265" s="60" t="n">
        <v>3</v>
      </c>
      <c r="AA265" s="60" t="n">
        <f aca="false">IF(A265="","",IF(AND(Parameter!$B$21="Ja",ISNUMBER(W265)),W265,IF(AND(Parameter!$E$27="Ja",ISNUMBER(Z265),CD265&lt;&gt;"Nein"),Z265,IF(CD265="2+3",IF(ISNUMBER(SEARCH("grosser Artikel",BV265)),2,IFERROR(VLOOKUP(BY265,Parameter!$F$35:$G$64,2,0),2)),IF(OR(CD265="Nein",CD265=""),"-",CD265)))))</f>
        <v>3</v>
      </c>
      <c r="AB265" s="67"/>
      <c r="AC265" s="68"/>
      <c r="AD265" s="62" t="n">
        <f aca="false">AW265</f>
        <v>127</v>
      </c>
      <c r="AE265" s="62" t="n">
        <f aca="false">MAX(AW265,H265)</f>
        <v>127</v>
      </c>
      <c r="AF265" s="69"/>
      <c r="AG265" s="62" t="n">
        <f aca="false">IF(LEFT(Cockpit!$C$5,1)="A",H265,IF(Parameter!$E$30="MAX-Bestand",IF(CI265=1,CJ265,IF(LEFT(Cockpit!$C$5,1)="B",AM265,MAX(AM265,H265))),ROUNDUP(AK265,0)))</f>
        <v>85</v>
      </c>
      <c r="AH265" s="62" t="n">
        <f aca="false">IF(CA265=1,0,ROUNDUP(AG265/BZ265,0))</f>
        <v>1</v>
      </c>
      <c r="AI265" s="64" t="n">
        <f aca="false">IF(CR265&gt;0,CR265*MAX(1,AG265/X265),IF(CA265=1,IF(AG265&lt;=0,0,CE265*MAX(1,IF(H265&gt;0,AG265/H265,1))),IF(R265&gt;0,AH265/R265,0))/MAX(0.1,N(Parameter!$M$21)))</f>
        <v>0.0192307692307692</v>
      </c>
      <c r="AJ265" s="62" t="n">
        <f aca="false">AI265*CC265</f>
        <v>2.98076923076923</v>
      </c>
      <c r="AK265" s="63" t="n">
        <f aca="false">IF(LEFT(Cockpit!$C$5,1)="A",H265,IF(CI265=1,(CL265+CJ265)/2,IF(LEFT(Cockpit!$C$5,1)="B",(CL265+AM265)/2,MAX((CL265+AM265)/2,H265))))</f>
        <v>85</v>
      </c>
      <c r="AL265" s="62" t="n">
        <f aca="false">AK265*G265</f>
        <v>946.9</v>
      </c>
      <c r="AM265" s="62" t="n">
        <f aca="false">ROUNDUP(CL265+MAX(CM265,2*(J265/IF(CH265&gt;0,CH265,MAX(0.1,N(Cockpit!$C$6)))-CL265)),0)</f>
        <v>127</v>
      </c>
      <c r="AN265" s="63" t="n">
        <f aca="false">IF(AJ265&gt;0,J265/AJ265,-1)</f>
        <v>74.141935483871</v>
      </c>
      <c r="AO265" s="63" t="n">
        <f aca="false">IF(AND(OR(CG265="L1",CG265="L23",CG265="LIFT"),AJ265&gt;0),SUMIFS($AJ$7:$AJ$1843,$CG$7:$CG$1843,CG265,$AN$7:$AN$1843,"&gt;"&amp;AN265)+SUMIFS($AJ$7:$AJ$1843,$CG$7:$CG$1843,CG265,$AN$7:$AN$1843,AN265,$BX$7:$BX$1843,"&lt;="&amp;BX265),"")</f>
        <v>867.409340659341</v>
      </c>
      <c r="AP265" s="70" t="n">
        <f aca="false">IF(AO265="",0,MAX(0,MIN(1,(IF(CG265="L1",Parameter!$H$5,IF(CG265="L23",Parameter!$H$6+Parameter!$H$7,Parameter!$H$5+Parameter!$H$6+Parameter!$H$7))-(AO265-AJ265))/AJ265)))</f>
        <v>1</v>
      </c>
      <c r="AQ265" s="62" t="n">
        <f aca="false">IF(LEFT(Cockpit!$I$5,1)="A",H265,IF(Parameter!$E$30="MAX-Bestand",IF(CI265=1,CJ265,IF(LEFT(Cockpit!$I$5,1)="B",AW265,MAX(AW265,H265))),ROUNDUP(AU265,0)))</f>
        <v>85</v>
      </c>
      <c r="AR265" s="62" t="n">
        <f aca="false">IF(CA265=1,0,ROUNDUP(AQ265/BZ265,0))</f>
        <v>1</v>
      </c>
      <c r="AS265" s="64" t="n">
        <f aca="false">IF(CR265&gt;0,CR265*MAX(1,AQ265/X265),IF(CA265=1,IF(AQ265&lt;=0,0,CE265*MAX(1,IF(H265&gt;0,AQ265/H265,1))),IF(R265&gt;0,AR265/R265,0))/MAX(0.1,N(Parameter!$M$21)))</f>
        <v>0.0192307692307692</v>
      </c>
      <c r="AT265" s="62" t="n">
        <f aca="false">AS265*CC265</f>
        <v>2.98076923076923</v>
      </c>
      <c r="AU265" s="63" t="n">
        <f aca="false">IF(LEFT(Cockpit!$I$5,1)="A",H265,IF(CI265=1,(CL265+CJ265)/2,IF(LEFT(Cockpit!$I$5,1)="B",(CL265+AW265)/2,MAX((CL265+AW265)/2,H265))))</f>
        <v>85</v>
      </c>
      <c r="AV265" s="62" t="n">
        <f aca="false">AU265*G265</f>
        <v>946.9</v>
      </c>
      <c r="AW265" s="62" t="n">
        <f aca="false">ROUNDUP(CL265+MAX(CM265,2*(J265/IF(CH265&gt;0,CH265,MAX(0.1,N(Cockpit!$I$6)))-CL265)),0)</f>
        <v>127</v>
      </c>
      <c r="AX265" s="63" t="n">
        <f aca="false">IF(AT265&gt;0,J265/AT265,-1)</f>
        <v>74.141935483871</v>
      </c>
      <c r="AY265" s="63" t="n">
        <f aca="false">IF(AND(OR(CG265="L1",CG265="L23",CG265="LIFT"),AT265&gt;0),SUMIFS($AT$7:$AT$1843,$CG$7:$CG$1843,CG265,$AX$7:$AX$1843,"&gt;"&amp;AX265)+SUMIFS($AT$7:$AT$1843,$CG$7:$CG$1843,CG265,$AX$7:$AX$1843,AX265,$BX$7:$BX$1843,"&lt;="&amp;BX265),"")</f>
        <v>1080.32142857143</v>
      </c>
      <c r="AZ265" s="70" t="n">
        <f aca="false">IF(AY265="",0,MAX(0,MIN(1,(IF(CG265="L1",Parameter!$H$5,IF(CG265="L23",Parameter!$H$6+Parameter!$H$7,Parameter!$H$5+Parameter!$H$6+Parameter!$H$7))-(AY265-AT265))/AT265)))</f>
        <v>1</v>
      </c>
      <c r="BA265" s="62" t="n">
        <f aca="false">IF(LEFT(Cockpit!$O$5,1)="A",H265,IF(Parameter!$E$30="MAX-Bestand",IF(CI265=1,CJ265,IF(LEFT(Cockpit!$O$5,1)="B",BG265,MAX(BG265,H265))),ROUNDUP(BE265,0)))</f>
        <v>71</v>
      </c>
      <c r="BB265" s="62" t="n">
        <f aca="false">IF(CA265=1,0,ROUNDUP(BA265/BZ265,0))</f>
        <v>1</v>
      </c>
      <c r="BC265" s="64" t="n">
        <f aca="false">IF(CR265&gt;0,CR265*MAX(1,BA265/X265),IF(CA265=1,IF(BA265&lt;=0,0,CE265*MAX(1,IF(H265&gt;0,BA265/H265,1))),IF(R265&gt;0,BB265/R265,0))/MAX(0.1,N(Parameter!$M$21)))</f>
        <v>0.0192307692307692</v>
      </c>
      <c r="BD265" s="62" t="n">
        <f aca="false">BC265*CC265</f>
        <v>2.98076923076923</v>
      </c>
      <c r="BE265" s="63" t="n">
        <f aca="false">IF(LEFT(Cockpit!$O$5,1)="A",H265,IF(CI265=1,(CL265+CJ265)/2,IF(LEFT(Cockpit!$O$5,1)="B",(CL265+BG265)/2,MAX((CL265+BG265)/2,H265))))</f>
        <v>71</v>
      </c>
      <c r="BF265" s="62" t="n">
        <f aca="false">BE265*G265</f>
        <v>790.94</v>
      </c>
      <c r="BG265" s="62" t="n">
        <f aca="false">ROUNDUP(CL265+MAX(CM265,2*(J265/IF(CH265&gt;0,CH265,MAX(0.1,N(Cockpit!$O$6)))-CL265)),0)</f>
        <v>121</v>
      </c>
      <c r="BH265" s="63" t="n">
        <f aca="false">IF(BD265&gt;0,J265/BD265,-1)</f>
        <v>74.141935483871</v>
      </c>
      <c r="BI265" s="63" t="n">
        <f aca="false">IF(AND(OR(CG265="L1",CG265="L23",CG265="LIFT"),BD265&gt;0),SUMIFS($BD$7:$BD$1843,$CG$7:$CG$1843,CG265,$BH$7:$BH$1843,"&gt;"&amp;BH265)+SUMIFS($BD$7:$BD$1843,$CG$7:$CG$1843,CG265,$BH$7:$BH$1843,BH265,$BX$7:$BX$1843,"&lt;="&amp;BX265),"")</f>
        <v>998.459706959707</v>
      </c>
      <c r="BJ265" s="70" t="n">
        <f aca="false">IF(BI265="",0,MAX(0,MIN(1,(IF(CG265="L1",Parameter!$H$5,IF(CG265="L23",Parameter!$H$6+Parameter!$H$7,Parameter!$H$5+Parameter!$H$6+Parameter!$H$7))-(BI265-BD265))/BD265)))</f>
        <v>1</v>
      </c>
      <c r="BK265" s="60" t="str">
        <f aca="false">IF(AJ265&lt;=0,"",IF(CG265="Aussen","Aussenlager",IF(CG265="-","Nicht im Lift",IF(AP265&gt;=1,"Lift",IF(AP265&lt;=0,"Aussenlager","teilweise")))))</f>
        <v>Lift</v>
      </c>
      <c r="BL265" s="60" t="str">
        <f aca="false">IF(AT265&lt;=0,"",IF(CG265="Aussen","Aussenlager",IF(CG265="-","Nicht im Lift",IF(AZ265&gt;=1,"Lift",IF(AZ265&lt;=0,"Aussenlager","teilweise")))))</f>
        <v>Lift</v>
      </c>
      <c r="BM265" s="60" t="str">
        <f aca="false">IF(BD265&lt;=0,"",IF(CG265="Aussen","Aussenlager",IF(CG265="-","Nicht im Lift",IF(BJ265&gt;=1,"Lift",IF(BJ265&lt;=0,"Aussenlager","teilweise")))))</f>
        <v>Lift</v>
      </c>
      <c r="BN265" s="60" t="str">
        <f aca="false">IF(A265="","",IF(BW265=1,"Neu; ","")&amp;IF(AND(BW265=0,BR265&lt;0),"negativer Bestand (Export "&amp;BR265&amp;"); ","")&amp;IF(J265&lt;=0,"Kein Verbrauch; ","")&amp;IF(CR265&gt;0,"Lift "&amp;W265&amp;" lt. Liftbericht (Fach "&amp;X265&amp;" Stk); ",IF(CB265=1,"Gebinde geschätzt ("&amp;T265&amp;"); ",IF(CA265=1,"Lose – Tablare geschätzt; ","")))&amp;IF(H265&gt;AW265,"Überbestand "&amp;ROUND(H265-AW265,0)&amp;" Stk / CHF "&amp;ROUND((H265-AW265)*G265,0)&amp;"; ","")&amp;IF(AND(CI265=1,CJ265&lt;CK265),"MAX &lt; MB+LG; ","")&amp;IF(AND(CQ265&gt;0,CP265*10&gt;CQ265),"zu hoch für Tablar; ","")&amp;IF(AND(BW265=0,OR(CI265=1,AB265&lt;&gt;"",U265&lt;&gt;"",V265&lt;&gt;"",AC265&lt;&gt;"")),"manuell übersteuert; ","")&amp;IF(AND(CA265=0,R265=0),"Gebinde unbekannt / Stellmass fehlt; ","")&amp;IF(AND(CA265=0,N(V265)&lt;=0,N(Q265)&lt;=0),"Menge pro Gebinde fehlt (Ist = 1 Gebinde); ","")&amp;BV265)</f>
        <v/>
      </c>
      <c r="BO265" s="60"/>
      <c r="BP265" s="60"/>
      <c r="BQ265" s="67"/>
      <c r="BR265" s="62" t="n">
        <v>18</v>
      </c>
      <c r="BS265" s="62" t="n">
        <v>67</v>
      </c>
      <c r="BT265" s="61" t="n">
        <v>429.840000000001</v>
      </c>
      <c r="BU265" s="62" t="n">
        <v>221</v>
      </c>
      <c r="BV265" s="60"/>
      <c r="BW265" s="65" t="n">
        <v>0</v>
      </c>
      <c r="BX265" s="65" t="n">
        <v>265</v>
      </c>
      <c r="BY265" s="60" t="str">
        <f aca="false">IF(U265&lt;&gt;"",UPPER(TRIM(U265)),IF(CB265=1,UPPER(VLOOKUP(T265,Parameter!$I$27:$K$29,2,0)),IF(P265="","LOSE",P265)))</f>
        <v>S41</v>
      </c>
      <c r="BZ265" s="62" t="n">
        <f aca="false">IF(BY265="LOSE",1,IF(N(V265)&gt;0,V265,IF(CB265=1,MAX(1,N(VLOOKUP(T265,Parameter!$I$27:$K$29,3,0)),H265,N(N265)),IF(N(Q265)&gt;0,Q265,MAX(1,H265)))))</f>
        <v>188</v>
      </c>
      <c r="CA265" s="65" t="n">
        <f aca="false">IF(BY265="LOSE",1,0)</f>
        <v>0</v>
      </c>
      <c r="CB265" s="65" t="n">
        <f aca="false">IF(AND(U265="",OR(P265="",P265="LOSE"),T265&lt;&gt;"",N(S265)&lt;=0,ISNUMBER(MATCH(T265,Parameter!$I$27:$I$29,0))),1,0)</f>
        <v>0</v>
      </c>
      <c r="CC265" s="65" t="n">
        <f aca="false">IF(CR265&gt;0,INDEX(Parameter!$H$5:$H$7,W265)/INDEX(Parameter!$E$5:$E$7,W265),IF(AND(CA265=0,N(IFERROR(VLOOKUP(BY265,'Gebinde-Kategorie'!$A$5:$N$45,14,0),0))&gt;0),VLOOKUP(BY265,'Gebinde-Kategorie'!$A$5:$N$45,14,0)*10+Parameter!$M$23,Parameter!$M$24))</f>
        <v>155</v>
      </c>
      <c r="CD265" s="60" t="str">
        <f aca="false">IF(AND(Parameter!$B$19="Ja",E265&lt;&gt;"",ISNUMBER(MATCH(E265,Parameter!$I$35:$I$52,0))),VLOOKUP(E265,Parameter!$I$35:$J$52,2,0),IFERROR(VLOOKUP(D265,Parameter!$A$35:$C$64,2,0),"Nein"))</f>
        <v>2+3</v>
      </c>
      <c r="CE265" s="64" t="n">
        <f aca="false">IF(CA265=0,0,IF(N(S265)&gt;0,S265,IFERROR(VLOOKUP(D265,Parameter!$A$35:$C$64,3,0)+0,0)))</f>
        <v>0</v>
      </c>
      <c r="CF265" s="60" t="n">
        <f aca="false">IF(AB265&lt;&gt;"",AB265,AA265)</f>
        <v>3</v>
      </c>
      <c r="CG265" s="60" t="str">
        <f aca="false">IF(OR(CF265=1,CF265=2,CF265=3),IF(Parameter!$E$27="Ja","LIFT",IF(CF265=1,"L1","L23")),IF(CF265="Aussen","Aussen","-"))</f>
        <v>LIFT</v>
      </c>
      <c r="CH265" s="71" t="n">
        <f aca="false">IF(N(AC265)&gt;0,AC265,0)</f>
        <v>0</v>
      </c>
      <c r="CI265" s="65" t="n">
        <f aca="false">IF(ISNUMBER(AF265),1,0)</f>
        <v>0</v>
      </c>
      <c r="CJ265" s="62" t="n">
        <f aca="false">N(AF265)</f>
        <v>0</v>
      </c>
      <c r="CK265" s="62" t="n">
        <f aca="false">N(M265)+N(N265)</f>
        <v>121</v>
      </c>
      <c r="CL265" s="62" t="n">
        <f aca="false">N(M265)</f>
        <v>21</v>
      </c>
      <c r="CM265" s="62" t="n">
        <f aca="false">N(N265)</f>
        <v>100</v>
      </c>
      <c r="CN265" s="62" t="n">
        <f aca="false">ROUNDUP(H265/BZ265,0)</f>
        <v>1</v>
      </c>
      <c r="CO265" s="62" t="n">
        <f aca="false">ROUNDUP(CJ265/BZ265,0)</f>
        <v>0</v>
      </c>
      <c r="CP265" s="65" t="n">
        <f aca="false">IF(CA265=1,0,IFERROR(VLOOKUP(BY265,'Gebinde-Kategorie'!$A$5:$N$45,5,0)+0,0))</f>
        <v>11</v>
      </c>
      <c r="CQ265" s="65" t="n">
        <f aca="false">IFERROR(IF(OR(CF265=1,CF265=2,CF265=3),N(INDEX(Parameter!$I$5:$I$7,CF265)),0),0)</f>
        <v>0</v>
      </c>
      <c r="CR265" s="64" t="n">
        <f aca="false">IF(AND(Parameter!$B$21="Ja",ISNUMBER(W265),N(X265)&gt;0),IFERROR(N(INDEX(Parameter!$L$5:$L$7,W265))*INDEX(Parameter!$E$5:$E$7,W265)*X265/SUMIFS($X$7:$X$1843,$W$7:$W$1843,W265),0),0)</f>
        <v>0</v>
      </c>
      <c r="CS265" s="62" t="n">
        <f aca="false">IF(AND(OR(CG265="L1",CG265="L23",CG265="LIFT"),H265&gt;0),CC265*IF(CR265&gt;0,CR265*MAX(1,H265/X265),IF(CA265=1,CE265,IF(R265&gt;0,CN265/R265,0))/MAX(0.1,N(Parameter!$M$21))),"")</f>
        <v>2.98076923076923</v>
      </c>
      <c r="CT265" s="64" t="n">
        <f aca="false">IF(CS265="","",J265/H265)</f>
        <v>2.6</v>
      </c>
      <c r="CU265" s="62" t="n">
        <f aca="false">IF(CS265="","",H265*G265)</f>
        <v>946.9</v>
      </c>
      <c r="CV265" s="63" t="n">
        <f aca="false">IF(CS265="","",(CL265+ROUNDUP(CL265+MAX(CM265,2*(J265/MAX(0.1,N(Einkauf!$C$6))-CL265)),0))/2)</f>
        <v>71</v>
      </c>
      <c r="CW265" s="62" t="n">
        <f aca="false">IF(CS265="","",MAX(0,H265-CV265)*G265)</f>
        <v>155.96</v>
      </c>
      <c r="CX265" s="62" t="n">
        <f aca="false">IF(CS265="","",CS265*MAX(0,1-CV265/H265))</f>
        <v>0.490950226244344</v>
      </c>
      <c r="CY265" s="64" t="n">
        <f aca="false">IF(CS265="","",PERCENTRANK($CS$7:$CS$1843,CS265)+PERCENTRANK($CU$7:$CU$1843,CU265)+1-PERCENTRANK($CT$7:$CT$1843,CT265))</f>
        <v>0.986</v>
      </c>
      <c r="CZ265" s="72" t="n">
        <f aca="false">IF(CS265="","",CHOOSE(MATCH(Einkauf!$C$5,Parameter!$G$23:$G$27,0),CY265,CS265,CU265,-CT265,CW265)+ROW()/1000000000)</f>
        <v>0.986000265</v>
      </c>
    </row>
    <row r="266" customFormat="false" ht="15" hidden="false" customHeight="false" outlineLevel="0" collapsed="false">
      <c r="A266" s="60" t="s">
        <v>753</v>
      </c>
      <c r="B266" s="60" t="s">
        <v>416</v>
      </c>
      <c r="C266" s="60" t="s">
        <v>206</v>
      </c>
      <c r="D266" s="60" t="s">
        <v>226</v>
      </c>
      <c r="E266" s="60"/>
      <c r="F266" s="60" t="s">
        <v>260</v>
      </c>
      <c r="G266" s="61" t="n">
        <v>2.9</v>
      </c>
      <c r="H266" s="62" t="n">
        <f aca="false">MAX(0,IF(AND(Parameter!$B$21="Ja",ISNUMBER(Y266)),Y266,IF(Parameter!$B$20="Jahresanfang 2025 + Export",BS266+BR266,BR266)))</f>
        <v>148</v>
      </c>
      <c r="I266" s="62" t="n">
        <f aca="false">H266*G266</f>
        <v>429.2</v>
      </c>
      <c r="J266" s="62" t="n">
        <f aca="false">BU266*Parameter!$B$18</f>
        <v>40</v>
      </c>
      <c r="K266" s="63" t="n">
        <v>0</v>
      </c>
      <c r="L266" s="64" t="n">
        <v>0</v>
      </c>
      <c r="M266" s="62" t="n">
        <v>1</v>
      </c>
      <c r="N266" s="62" t="n">
        <v>40</v>
      </c>
      <c r="O266" s="65" t="n">
        <v>14</v>
      </c>
      <c r="P266" s="60" t="s">
        <v>463</v>
      </c>
      <c r="Q266" s="62" t="n">
        <v>40</v>
      </c>
      <c r="R266" s="65" t="n">
        <f aca="false">IF(CA266=1,0,IFERROR(VLOOKUP(BY266,'Gebinde-Kategorie'!$A$5:$N$45,13,0)+0,0))</f>
        <v>104</v>
      </c>
      <c r="S266" s="66"/>
      <c r="T266" s="67"/>
      <c r="U266" s="67"/>
      <c r="V266" s="67"/>
      <c r="W266" s="60"/>
      <c r="X266" s="62"/>
      <c r="Y266" s="62"/>
      <c r="Z266" s="60" t="n">
        <v>3</v>
      </c>
      <c r="AA266" s="60" t="n">
        <f aca="false">IF(A266="","",IF(AND(Parameter!$B$21="Ja",ISNUMBER(W266)),W266,IF(AND(Parameter!$E$27="Ja",ISNUMBER(Z266),CD266&lt;&gt;"Nein"),Z266,IF(CD266="2+3",IF(ISNUMBER(SEARCH("grosser Artikel",BV266)),2,IFERROR(VLOOKUP(BY266,Parameter!$F$35:$G$64,2,0),2)),IF(OR(CD266="Nein",CD266=""),"-",CD266)))))</f>
        <v>3</v>
      </c>
      <c r="AB266" s="67"/>
      <c r="AC266" s="68"/>
      <c r="AD266" s="62" t="n">
        <f aca="false">AW266</f>
        <v>41</v>
      </c>
      <c r="AE266" s="62" t="n">
        <f aca="false">MAX(AW266,H266)</f>
        <v>148</v>
      </c>
      <c r="AF266" s="69"/>
      <c r="AG266" s="62" t="n">
        <f aca="false">IF(LEFT(Cockpit!$C$5,1)="A",H266,IF(Parameter!$E$30="MAX-Bestand",IF(CI266=1,CJ266,IF(LEFT(Cockpit!$C$5,1)="B",AM266,MAX(AM266,H266))),ROUNDUP(AK266,0)))</f>
        <v>148</v>
      </c>
      <c r="AH266" s="62" t="n">
        <f aca="false">IF(CA266=1,0,ROUNDUP(AG266/BZ266,0))</f>
        <v>4</v>
      </c>
      <c r="AI266" s="64" t="n">
        <f aca="false">IF(CR266&gt;0,CR266*MAX(1,AG266/X266),IF(CA266=1,IF(AG266&lt;=0,0,CE266*MAX(1,IF(H266&gt;0,AG266/H266,1))),IF(R266&gt;0,AH266/R266,0))/MAX(0.1,N(Parameter!$M$21)))</f>
        <v>0.0384615384615385</v>
      </c>
      <c r="AJ266" s="62" t="n">
        <f aca="false">AI266*CC266</f>
        <v>5.96153846153846</v>
      </c>
      <c r="AK266" s="63" t="n">
        <f aca="false">IF(LEFT(Cockpit!$C$5,1)="A",H266,IF(CI266=1,(CL266+CJ266)/2,IF(LEFT(Cockpit!$C$5,1)="B",(CL266+AM266)/2,MAX((CL266+AM266)/2,H266))))</f>
        <v>148</v>
      </c>
      <c r="AL266" s="62" t="n">
        <f aca="false">AK266*G266</f>
        <v>429.2</v>
      </c>
      <c r="AM266" s="62" t="n">
        <f aca="false">ROUNDUP(CL266+MAX(CM266,2*(J266/IF(CH266&gt;0,CH266,MAX(0.1,N(Cockpit!$C$6)))-CL266)),0)</f>
        <v>41</v>
      </c>
      <c r="AN266" s="63" t="n">
        <f aca="false">IF(AJ266&gt;0,J266/AJ266,-1)</f>
        <v>6.70967741935484</v>
      </c>
      <c r="AO266" s="63" t="n">
        <f aca="false">IF(AND(OR(CG266="L1",CG266="L23",CG266="LIFT"),AJ266&gt;0),SUMIFS($AJ$7:$AJ$1843,$CG$7:$CG$1843,CG266,$AN$7:$AN$1843,"&gt;"&amp;AN266)+SUMIFS($AJ$7:$AJ$1843,$CG$7:$CG$1843,CG266,$AN$7:$AN$1843,AN266,$BX$7:$BX$1843,"&lt;="&amp;BX266),"")</f>
        <v>3388.18177655678</v>
      </c>
      <c r="AP266" s="70" t="n">
        <f aca="false">IF(AO266="",0,MAX(0,MIN(1,(IF(CG266="L1",Parameter!$H$5,IF(CG266="L23",Parameter!$H$6+Parameter!$H$7,Parameter!$H$5+Parameter!$H$6+Parameter!$H$7))-(AO266-AJ266))/AJ266)))</f>
        <v>1</v>
      </c>
      <c r="AQ266" s="62" t="n">
        <f aca="false">IF(LEFT(Cockpit!$I$5,1)="A",H266,IF(Parameter!$E$30="MAX-Bestand",IF(CI266=1,CJ266,IF(LEFT(Cockpit!$I$5,1)="B",AW266,MAX(AW266,H266))),ROUNDUP(AU266,0)))</f>
        <v>148</v>
      </c>
      <c r="AR266" s="62" t="n">
        <f aca="false">IF(CA266=1,0,ROUNDUP(AQ266/BZ266,0))</f>
        <v>4</v>
      </c>
      <c r="AS266" s="64" t="n">
        <f aca="false">IF(CR266&gt;0,CR266*MAX(1,AQ266/X266),IF(CA266=1,IF(AQ266&lt;=0,0,CE266*MAX(1,IF(H266&gt;0,AQ266/H266,1))),IF(R266&gt;0,AR266/R266,0))/MAX(0.1,N(Parameter!$M$21)))</f>
        <v>0.0384615384615385</v>
      </c>
      <c r="AT266" s="62" t="n">
        <f aca="false">AS266*CC266</f>
        <v>5.96153846153846</v>
      </c>
      <c r="AU266" s="63" t="n">
        <f aca="false">IF(LEFT(Cockpit!$I$5,1)="A",H266,IF(CI266=1,(CL266+CJ266)/2,IF(LEFT(Cockpit!$I$5,1)="B",(CL266+AW266)/2,MAX((CL266+AW266)/2,H266))))</f>
        <v>148</v>
      </c>
      <c r="AV266" s="62" t="n">
        <f aca="false">AU266*G266</f>
        <v>429.2</v>
      </c>
      <c r="AW266" s="62" t="n">
        <f aca="false">ROUNDUP(CL266+MAX(CM266,2*(J266/IF(CH266&gt;0,CH266,MAX(0.1,N(Cockpit!$I$6)))-CL266)),0)</f>
        <v>41</v>
      </c>
      <c r="AX266" s="63" t="n">
        <f aca="false">IF(AT266&gt;0,J266/AT266,-1)</f>
        <v>6.70967741935484</v>
      </c>
      <c r="AY266" s="63" t="n">
        <f aca="false">IF(AND(OR(CG266="L1",CG266="L23",CG266="LIFT"),AT266&gt;0),SUMIFS($AT$7:$AT$1843,$CG$7:$CG$1843,CG266,$AX$7:$AX$1843,"&gt;"&amp;AX266)+SUMIFS($AT$7:$AT$1843,$CG$7:$CG$1843,CG266,$AX$7:$AX$1843,AX266,$BX$7:$BX$1843,"&lt;="&amp;BX266),"")</f>
        <v>4105.99313186813</v>
      </c>
      <c r="AZ266" s="70" t="n">
        <f aca="false">IF(AY266="",0,MAX(0,MIN(1,(IF(CG266="L1",Parameter!$H$5,IF(CG266="L23",Parameter!$H$6+Parameter!$H$7,Parameter!$H$5+Parameter!$H$6+Parameter!$H$7))-(AY266-AT266))/AT266)))</f>
        <v>1</v>
      </c>
      <c r="BA266" s="62" t="n">
        <f aca="false">IF(LEFT(Cockpit!$O$5,1)="A",H266,IF(Parameter!$E$30="MAX-Bestand",IF(CI266=1,CJ266,IF(LEFT(Cockpit!$O$5,1)="B",BG266,MAX(BG266,H266))),ROUNDUP(BE266,0)))</f>
        <v>21</v>
      </c>
      <c r="BB266" s="62" t="n">
        <f aca="false">IF(CA266=1,0,ROUNDUP(BA266/BZ266,0))</f>
        <v>1</v>
      </c>
      <c r="BC266" s="64" t="n">
        <f aca="false">IF(CR266&gt;0,CR266*MAX(1,BA266/X266),IF(CA266=1,IF(BA266&lt;=0,0,CE266*MAX(1,IF(H266&gt;0,BA266/H266,1))),IF(R266&gt;0,BB266/R266,0))/MAX(0.1,N(Parameter!$M$21)))</f>
        <v>0.00961538461538462</v>
      </c>
      <c r="BD266" s="62" t="n">
        <f aca="false">BC266*CC266</f>
        <v>1.49038461538462</v>
      </c>
      <c r="BE266" s="63" t="n">
        <f aca="false">IF(LEFT(Cockpit!$O$5,1)="A",H266,IF(CI266=1,(CL266+CJ266)/2,IF(LEFT(Cockpit!$O$5,1)="B",(CL266+BG266)/2,MAX((CL266+BG266)/2,H266))))</f>
        <v>21</v>
      </c>
      <c r="BF266" s="62" t="n">
        <f aca="false">BE266*G266</f>
        <v>60.9</v>
      </c>
      <c r="BG266" s="62" t="n">
        <f aca="false">ROUNDUP(CL266+MAX(CM266,2*(J266/IF(CH266&gt;0,CH266,MAX(0.1,N(Cockpit!$O$6)))-CL266)),0)</f>
        <v>41</v>
      </c>
      <c r="BH266" s="63" t="n">
        <f aca="false">IF(BD266&gt;0,J266/BD266,-1)</f>
        <v>26.8387096774194</v>
      </c>
      <c r="BI266" s="63" t="n">
        <f aca="false">IF(AND(OR(CG266="L1",CG266="L23",CG266="LIFT"),BD266&gt;0),SUMIFS($BD$7:$BD$1843,$CG$7:$CG$1843,CG266,$BH$7:$BH$1843,"&gt;"&amp;BH266)+SUMIFS($BD$7:$BD$1843,$CG$7:$CG$1843,CG266,$BH$7:$BH$1843,BH266,$BX$7:$BX$1843,"&lt;="&amp;BX266),"")</f>
        <v>1948.7847985348</v>
      </c>
      <c r="BJ266" s="70" t="n">
        <f aca="false">IF(BI266="",0,MAX(0,MIN(1,(IF(CG266="L1",Parameter!$H$5,IF(CG266="L23",Parameter!$H$6+Parameter!$H$7,Parameter!$H$5+Parameter!$H$6+Parameter!$H$7))-(BI266-BD266))/BD266)))</f>
        <v>1</v>
      </c>
      <c r="BK266" s="60" t="str">
        <f aca="false">IF(AJ266&lt;=0,"",IF(CG266="Aussen","Aussenlager",IF(CG266="-","Nicht im Lift",IF(AP266&gt;=1,"Lift",IF(AP266&lt;=0,"Aussenlager","teilweise")))))</f>
        <v>Lift</v>
      </c>
      <c r="BL266" s="60" t="str">
        <f aca="false">IF(AT266&lt;=0,"",IF(CG266="Aussen","Aussenlager",IF(CG266="-","Nicht im Lift",IF(AZ266&gt;=1,"Lift",IF(AZ266&lt;=0,"Aussenlager","teilweise")))))</f>
        <v>Lift</v>
      </c>
      <c r="BM266" s="60" t="str">
        <f aca="false">IF(BD266&lt;=0,"",IF(CG266="Aussen","Aussenlager",IF(CG266="-","Nicht im Lift",IF(BJ266&gt;=1,"Lift",IF(BJ266&lt;=0,"Aussenlager","teilweise")))))</f>
        <v>Lift</v>
      </c>
      <c r="BN266" s="60" t="str">
        <f aca="false">IF(A266="","",IF(BW266=1,"Neu; ","")&amp;IF(AND(BW266=0,BR266&lt;0),"negativer Bestand (Export "&amp;BR266&amp;"); ","")&amp;IF(J266&lt;=0,"Kein Verbrauch; ","")&amp;IF(CR266&gt;0,"Lift "&amp;W266&amp;" lt. Liftbericht (Fach "&amp;X266&amp;" Stk); ",IF(CB266=1,"Gebinde geschätzt ("&amp;T266&amp;"); ",IF(CA266=1,"Lose – Tablare geschätzt; ","")))&amp;IF(H266&gt;AW266,"Überbestand "&amp;ROUND(H266-AW266,0)&amp;" Stk / CHF "&amp;ROUND((H266-AW266)*G266,0)&amp;"; ","")&amp;IF(AND(CI266=1,CJ266&lt;CK266),"MAX &lt; MB+LG; ","")&amp;IF(AND(CQ266&gt;0,CP266*10&gt;CQ266),"zu hoch für Tablar; ","")&amp;IF(AND(BW266=0,OR(CI266=1,AB266&lt;&gt;"",U266&lt;&gt;"",V266&lt;&gt;"",AC266&lt;&gt;"")),"manuell übersteuert; ","")&amp;IF(AND(CA266=0,R266=0),"Gebinde unbekannt / Stellmass fehlt; ","")&amp;IF(AND(CA266=0,N(V266)&lt;=0,N(Q266)&lt;=0),"Menge pro Gebinde fehlt (Ist = 1 Gebinde); ","")&amp;BV266)</f>
        <v>Überbestand 107 Stk / CHF 310; </v>
      </c>
      <c r="BO266" s="60"/>
      <c r="BP266" s="60"/>
      <c r="BQ266" s="67"/>
      <c r="BR266" s="62" t="n">
        <v>148</v>
      </c>
      <c r="BS266" s="62" t="n">
        <v>0</v>
      </c>
      <c r="BT266" s="61" t="n">
        <v>429.2</v>
      </c>
      <c r="BU266" s="62" t="n">
        <v>40</v>
      </c>
      <c r="BV266" s="60"/>
      <c r="BW266" s="65" t="n">
        <v>0</v>
      </c>
      <c r="BX266" s="65" t="n">
        <v>266</v>
      </c>
      <c r="BY266" s="60" t="str">
        <f aca="false">IF(U266&lt;&gt;"",UPPER(TRIM(U266)),IF(CB266=1,UPPER(VLOOKUP(T266,Parameter!$I$27:$K$29,2,0)),IF(P266="","LOSE",P266)))</f>
        <v>S32</v>
      </c>
      <c r="BZ266" s="62" t="n">
        <f aca="false">IF(BY266="LOSE",1,IF(N(V266)&gt;0,V266,IF(CB266=1,MAX(1,N(VLOOKUP(T266,Parameter!$I$27:$K$29,3,0)),H266,N(N266)),IF(N(Q266)&gt;0,Q266,MAX(1,H266)))))</f>
        <v>40</v>
      </c>
      <c r="CA266" s="65" t="n">
        <f aca="false">IF(BY266="LOSE",1,0)</f>
        <v>0</v>
      </c>
      <c r="CB266" s="65" t="n">
        <f aca="false">IF(AND(U266="",OR(P266="",P266="LOSE"),T266&lt;&gt;"",N(S266)&lt;=0,ISNUMBER(MATCH(T266,Parameter!$I$27:$I$29,0))),1,0)</f>
        <v>0</v>
      </c>
      <c r="CC266" s="65" t="n">
        <f aca="false">IF(CR266&gt;0,INDEX(Parameter!$H$5:$H$7,W266)/INDEX(Parameter!$E$5:$E$7,W266),IF(AND(CA266=0,N(IFERROR(VLOOKUP(BY266,'Gebinde-Kategorie'!$A$5:$N$45,14,0),0))&gt;0),VLOOKUP(BY266,'Gebinde-Kategorie'!$A$5:$N$45,14,0)*10+Parameter!$M$23,Parameter!$M$24))</f>
        <v>155</v>
      </c>
      <c r="CD266" s="60" t="str">
        <f aca="false">IF(AND(Parameter!$B$19="Ja",E266&lt;&gt;"",ISNUMBER(MATCH(E266,Parameter!$I$35:$I$52,0))),VLOOKUP(E266,Parameter!$I$35:$J$52,2,0),IFERROR(VLOOKUP(D266,Parameter!$A$35:$C$64,2,0),"Nein"))</f>
        <v>2+3</v>
      </c>
      <c r="CE266" s="64" t="n">
        <f aca="false">IF(CA266=0,0,IF(N(S266)&gt;0,S266,IFERROR(VLOOKUP(D266,Parameter!$A$35:$C$64,3,0)+0,0)))</f>
        <v>0</v>
      </c>
      <c r="CF266" s="60" t="n">
        <f aca="false">IF(AB266&lt;&gt;"",AB266,AA266)</f>
        <v>3</v>
      </c>
      <c r="CG266" s="60" t="str">
        <f aca="false">IF(OR(CF266=1,CF266=2,CF266=3),IF(Parameter!$E$27="Ja","LIFT",IF(CF266=1,"L1","L23")),IF(CF266="Aussen","Aussen","-"))</f>
        <v>LIFT</v>
      </c>
      <c r="CH266" s="71" t="n">
        <f aca="false">IF(N(AC266)&gt;0,AC266,0)</f>
        <v>0</v>
      </c>
      <c r="CI266" s="65" t="n">
        <f aca="false">IF(ISNUMBER(AF266),1,0)</f>
        <v>0</v>
      </c>
      <c r="CJ266" s="62" t="n">
        <f aca="false">N(AF266)</f>
        <v>0</v>
      </c>
      <c r="CK266" s="62" t="n">
        <f aca="false">N(M266)+N(N266)</f>
        <v>41</v>
      </c>
      <c r="CL266" s="62" t="n">
        <f aca="false">N(M266)</f>
        <v>1</v>
      </c>
      <c r="CM266" s="62" t="n">
        <f aca="false">N(N266)</f>
        <v>40</v>
      </c>
      <c r="CN266" s="62" t="n">
        <f aca="false">ROUNDUP(H266/BZ266,0)</f>
        <v>4</v>
      </c>
      <c r="CO266" s="62" t="n">
        <f aca="false">ROUNDUP(CJ266/BZ266,0)</f>
        <v>0</v>
      </c>
      <c r="CP266" s="65" t="n">
        <f aca="false">IF(CA266=1,0,IFERROR(VLOOKUP(BY266,'Gebinde-Kategorie'!$A$5:$N$45,5,0)+0,0))</f>
        <v>8</v>
      </c>
      <c r="CQ266" s="65" t="n">
        <f aca="false">IFERROR(IF(OR(CF266=1,CF266=2,CF266=3),N(INDEX(Parameter!$I$5:$I$7,CF266)),0),0)</f>
        <v>0</v>
      </c>
      <c r="CR266" s="64" t="n">
        <f aca="false">IF(AND(Parameter!$B$21="Ja",ISNUMBER(W266),N(X266)&gt;0),IFERROR(N(INDEX(Parameter!$L$5:$L$7,W266))*INDEX(Parameter!$E$5:$E$7,W266)*X266/SUMIFS($X$7:$X$1843,$W$7:$W$1843,W266),0),0)</f>
        <v>0</v>
      </c>
      <c r="CS266" s="62" t="n">
        <f aca="false">IF(AND(OR(CG266="L1",CG266="L23",CG266="LIFT"),H266&gt;0),CC266*IF(CR266&gt;0,CR266*MAX(1,H266/X266),IF(CA266=1,CE266,IF(R266&gt;0,CN266/R266,0))/MAX(0.1,N(Parameter!$M$21))),"")</f>
        <v>5.96153846153846</v>
      </c>
      <c r="CT266" s="64" t="n">
        <f aca="false">IF(CS266="","",J266/H266)</f>
        <v>0.27027027027027</v>
      </c>
      <c r="CU266" s="62" t="n">
        <f aca="false">IF(CS266="","",H266*G266)</f>
        <v>429.2</v>
      </c>
      <c r="CV266" s="63" t="n">
        <f aca="false">IF(CS266="","",(CL266+ROUNDUP(CL266+MAX(CM266,2*(J266/MAX(0.1,N(Einkauf!$C$6))-CL266)),0))/2)</f>
        <v>21</v>
      </c>
      <c r="CW266" s="62" t="n">
        <f aca="false">IF(CS266="","",MAX(0,H266-CV266)*G266)</f>
        <v>368.3</v>
      </c>
      <c r="CX266" s="62" t="n">
        <f aca="false">IF(CS266="","",CS266*MAX(0,1-CV266/H266))</f>
        <v>5.11564449064449</v>
      </c>
      <c r="CY266" s="64" t="n">
        <f aca="false">IF(CS266="","",PERCENTRANK($CS$7:$CS$1843,CS266)+PERCENTRANK($CU$7:$CU$1843,CU266)+1-PERCENTRANK($CT$7:$CT$1843,CT266))</f>
        <v>1.352</v>
      </c>
      <c r="CZ266" s="72" t="n">
        <f aca="false">IF(CS266="","",CHOOSE(MATCH(Einkauf!$C$5,Parameter!$G$23:$G$27,0),CY266,CS266,CU266,-CT266,CW266)+ROW()/1000000000)</f>
        <v>1.352000266</v>
      </c>
    </row>
    <row r="267" customFormat="false" ht="15" hidden="false" customHeight="false" outlineLevel="0" collapsed="false">
      <c r="A267" s="60" t="s">
        <v>754</v>
      </c>
      <c r="B267" s="60" t="s">
        <v>755</v>
      </c>
      <c r="C267" s="60" t="s">
        <v>206</v>
      </c>
      <c r="D267" s="60" t="s">
        <v>226</v>
      </c>
      <c r="E267" s="60" t="s">
        <v>227</v>
      </c>
      <c r="F267" s="60" t="s">
        <v>260</v>
      </c>
      <c r="G267" s="61" t="n">
        <v>1.77</v>
      </c>
      <c r="H267" s="62" t="n">
        <f aca="false">MAX(0,IF(AND(Parameter!$B$21="Ja",ISNUMBER(Y267)),Y267,IF(Parameter!$B$20="Jahresanfang 2025 + Export",BS267+BR267,BR267)))</f>
        <v>315</v>
      </c>
      <c r="I267" s="62" t="n">
        <f aca="false">H267*G267</f>
        <v>557.55</v>
      </c>
      <c r="J267" s="62" t="n">
        <f aca="false">BU267*Parameter!$B$18</f>
        <v>258</v>
      </c>
      <c r="K267" s="63" t="n">
        <v>92</v>
      </c>
      <c r="L267" s="64" t="n">
        <v>2.80434782608696</v>
      </c>
      <c r="M267" s="62" t="n">
        <v>15</v>
      </c>
      <c r="N267" s="62" t="n">
        <v>300</v>
      </c>
      <c r="O267" s="65" t="n">
        <v>21</v>
      </c>
      <c r="P267" s="60" t="s">
        <v>463</v>
      </c>
      <c r="Q267" s="62" t="n">
        <v>241</v>
      </c>
      <c r="R267" s="65" t="n">
        <f aca="false">IF(CA267=1,0,IFERROR(VLOOKUP(BY267,'Gebinde-Kategorie'!$A$5:$N$45,13,0)+0,0))</f>
        <v>104</v>
      </c>
      <c r="S267" s="66"/>
      <c r="T267" s="67"/>
      <c r="U267" s="67"/>
      <c r="V267" s="67"/>
      <c r="W267" s="60"/>
      <c r="X267" s="62"/>
      <c r="Y267" s="62"/>
      <c r="Z267" s="60" t="n">
        <v>3</v>
      </c>
      <c r="AA267" s="60" t="n">
        <f aca="false">IF(A267="","",IF(AND(Parameter!$B$21="Ja",ISNUMBER(W267)),W267,IF(AND(Parameter!$E$27="Ja",ISNUMBER(Z267),CD267&lt;&gt;"Nein"),Z267,IF(CD267="2+3",IF(ISNUMBER(SEARCH("grosser Artikel",BV267)),2,IFERROR(VLOOKUP(BY267,Parameter!$F$35:$G$64,2,0),2)),IF(OR(CD267="Nein",CD267=""),"-",CD267)))))</f>
        <v>3</v>
      </c>
      <c r="AB267" s="67"/>
      <c r="AC267" s="68"/>
      <c r="AD267" s="62" t="n">
        <f aca="false">AW267</f>
        <v>315</v>
      </c>
      <c r="AE267" s="62" t="n">
        <f aca="false">MAX(AW267,H267)</f>
        <v>315</v>
      </c>
      <c r="AF267" s="69"/>
      <c r="AG267" s="62" t="n">
        <f aca="false">IF(LEFT(Cockpit!$C$5,1)="A",H267,IF(Parameter!$E$30="MAX-Bestand",IF(CI267=1,CJ267,IF(LEFT(Cockpit!$C$5,1)="B",AM267,MAX(AM267,H267))),ROUNDUP(AK267,0)))</f>
        <v>315</v>
      </c>
      <c r="AH267" s="62" t="n">
        <f aca="false">IF(CA267=1,0,ROUNDUP(AG267/BZ267,0))</f>
        <v>2</v>
      </c>
      <c r="AI267" s="64" t="n">
        <f aca="false">IF(CR267&gt;0,CR267*MAX(1,AG267/X267),IF(CA267=1,IF(AG267&lt;=0,0,CE267*MAX(1,IF(H267&gt;0,AG267/H267,1))),IF(R267&gt;0,AH267/R267,0))/MAX(0.1,N(Parameter!$M$21)))</f>
        <v>0.0192307692307692</v>
      </c>
      <c r="AJ267" s="62" t="n">
        <f aca="false">AI267*CC267</f>
        <v>2.98076923076923</v>
      </c>
      <c r="AK267" s="63" t="n">
        <f aca="false">IF(LEFT(Cockpit!$C$5,1)="A",H267,IF(CI267=1,(CL267+CJ267)/2,IF(LEFT(Cockpit!$C$5,1)="B",(CL267+AM267)/2,MAX((CL267+AM267)/2,H267))))</f>
        <v>315</v>
      </c>
      <c r="AL267" s="62" t="n">
        <f aca="false">AK267*G267</f>
        <v>557.55</v>
      </c>
      <c r="AM267" s="62" t="n">
        <f aca="false">ROUNDUP(CL267+MAX(CM267,2*(J267/IF(CH267&gt;0,CH267,MAX(0.1,N(Cockpit!$C$6)))-CL267)),0)</f>
        <v>315</v>
      </c>
      <c r="AN267" s="63" t="n">
        <f aca="false">IF(AJ267&gt;0,J267/AJ267,-1)</f>
        <v>86.5548387096774</v>
      </c>
      <c r="AO267" s="63" t="n">
        <f aca="false">IF(AND(OR(CG267="L1",CG267="L23",CG267="LIFT"),AJ267&gt;0),SUMIFS($AJ$7:$AJ$1843,$CG$7:$CG$1843,CG267,$AN$7:$AN$1843,"&gt;"&amp;AN267)+SUMIFS($AJ$7:$AJ$1843,$CG$7:$CG$1843,CG267,$AN$7:$AN$1843,AN267,$BX$7:$BX$1843,"&lt;="&amp;BX267),"")</f>
        <v>833.896978021978</v>
      </c>
      <c r="AP267" s="70" t="n">
        <f aca="false">IF(AO267="",0,MAX(0,MIN(1,(IF(CG267="L1",Parameter!$H$5,IF(CG267="L23",Parameter!$H$6+Parameter!$H$7,Parameter!$H$5+Parameter!$H$6+Parameter!$H$7))-(AO267-AJ267))/AJ267)))</f>
        <v>1</v>
      </c>
      <c r="AQ267" s="62" t="n">
        <f aca="false">IF(LEFT(Cockpit!$I$5,1)="A",H267,IF(Parameter!$E$30="MAX-Bestand",IF(CI267=1,CJ267,IF(LEFT(Cockpit!$I$5,1)="B",AW267,MAX(AW267,H267))),ROUNDUP(AU267,0)))</f>
        <v>315</v>
      </c>
      <c r="AR267" s="62" t="n">
        <f aca="false">IF(CA267=1,0,ROUNDUP(AQ267/BZ267,0))</f>
        <v>2</v>
      </c>
      <c r="AS267" s="64" t="n">
        <f aca="false">IF(CR267&gt;0,CR267*MAX(1,AQ267/X267),IF(CA267=1,IF(AQ267&lt;=0,0,CE267*MAX(1,IF(H267&gt;0,AQ267/H267,1))),IF(R267&gt;0,AR267/R267,0))/MAX(0.1,N(Parameter!$M$21)))</f>
        <v>0.0192307692307692</v>
      </c>
      <c r="AT267" s="62" t="n">
        <f aca="false">AS267*CC267</f>
        <v>2.98076923076923</v>
      </c>
      <c r="AU267" s="63" t="n">
        <f aca="false">IF(LEFT(Cockpit!$I$5,1)="A",H267,IF(CI267=1,(CL267+CJ267)/2,IF(LEFT(Cockpit!$I$5,1)="B",(CL267+AW267)/2,MAX((CL267+AW267)/2,H267))))</f>
        <v>315</v>
      </c>
      <c r="AV267" s="62" t="n">
        <f aca="false">AU267*G267</f>
        <v>557.55</v>
      </c>
      <c r="AW267" s="62" t="n">
        <f aca="false">ROUNDUP(CL267+MAX(CM267,2*(J267/IF(CH267&gt;0,CH267,MAX(0.1,N(Cockpit!$I$6)))-CL267)),0)</f>
        <v>315</v>
      </c>
      <c r="AX267" s="63" t="n">
        <f aca="false">IF(AT267&gt;0,J267/AT267,-1)</f>
        <v>86.5548387096774</v>
      </c>
      <c r="AY267" s="63" t="n">
        <f aca="false">IF(AND(OR(CG267="L1",CG267="L23",CG267="LIFT"),AT267&gt;0),SUMIFS($AT$7:$AT$1843,$CG$7:$CG$1843,CG267,$AX$7:$AX$1843,"&gt;"&amp;AX267)+SUMIFS($AT$7:$AT$1843,$CG$7:$CG$1843,CG267,$AX$7:$AX$1843,AX267,$BX$7:$BX$1843,"&lt;="&amp;BX267),"")</f>
        <v>1046.80906593407</v>
      </c>
      <c r="AZ267" s="70" t="n">
        <f aca="false">IF(AY267="",0,MAX(0,MIN(1,(IF(CG267="L1",Parameter!$H$5,IF(CG267="L23",Parameter!$H$6+Parameter!$H$7,Parameter!$H$5+Parameter!$H$6+Parameter!$H$7))-(AY267-AT267))/AT267)))</f>
        <v>1</v>
      </c>
      <c r="BA267" s="62" t="n">
        <f aca="false">IF(LEFT(Cockpit!$O$5,1)="A",H267,IF(Parameter!$E$30="MAX-Bestand",IF(CI267=1,CJ267,IF(LEFT(Cockpit!$O$5,1)="B",BG267,MAX(BG267,H267))),ROUNDUP(BE267,0)))</f>
        <v>165</v>
      </c>
      <c r="BB267" s="62" t="n">
        <f aca="false">IF(CA267=1,0,ROUNDUP(BA267/BZ267,0))</f>
        <v>1</v>
      </c>
      <c r="BC267" s="64" t="n">
        <f aca="false">IF(CR267&gt;0,CR267*MAX(1,BA267/X267),IF(CA267=1,IF(BA267&lt;=0,0,CE267*MAX(1,IF(H267&gt;0,BA267/H267,1))),IF(R267&gt;0,BB267/R267,0))/MAX(0.1,N(Parameter!$M$21)))</f>
        <v>0.00961538461538462</v>
      </c>
      <c r="BD267" s="62" t="n">
        <f aca="false">BC267*CC267</f>
        <v>1.49038461538462</v>
      </c>
      <c r="BE267" s="63" t="n">
        <f aca="false">IF(LEFT(Cockpit!$O$5,1)="A",H267,IF(CI267=1,(CL267+CJ267)/2,IF(LEFT(Cockpit!$O$5,1)="B",(CL267+BG267)/2,MAX((CL267+BG267)/2,H267))))</f>
        <v>165</v>
      </c>
      <c r="BF267" s="62" t="n">
        <f aca="false">BE267*G267</f>
        <v>292.05</v>
      </c>
      <c r="BG267" s="62" t="n">
        <f aca="false">ROUNDUP(CL267+MAX(CM267,2*(J267/IF(CH267&gt;0,CH267,MAX(0.1,N(Cockpit!$O$6)))-CL267)),0)</f>
        <v>315</v>
      </c>
      <c r="BH267" s="63" t="n">
        <f aca="false">IF(BD267&gt;0,J267/BD267,-1)</f>
        <v>173.109677419355</v>
      </c>
      <c r="BI267" s="63" t="n">
        <f aca="false">IF(AND(OR(CG267="L1",CG267="L23",CG267="LIFT"),BD267&gt;0),SUMIFS($BD$7:$BD$1843,$CG$7:$CG$1843,CG267,$BH$7:$BH$1843,"&gt;"&amp;BH267)+SUMIFS($BD$7:$BD$1843,$CG$7:$CG$1843,CG267,$BH$7:$BH$1843,BH267,$BX$7:$BX$1843,"&lt;="&amp;BX267),"")</f>
        <v>515.56043956044</v>
      </c>
      <c r="BJ267" s="70" t="n">
        <f aca="false">IF(BI267="",0,MAX(0,MIN(1,(IF(CG267="L1",Parameter!$H$5,IF(CG267="L23",Parameter!$H$6+Parameter!$H$7,Parameter!$H$5+Parameter!$H$6+Parameter!$H$7))-(BI267-BD267))/BD267)))</f>
        <v>1</v>
      </c>
      <c r="BK267" s="60" t="str">
        <f aca="false">IF(AJ267&lt;=0,"",IF(CG267="Aussen","Aussenlager",IF(CG267="-","Nicht im Lift",IF(AP267&gt;=1,"Lift",IF(AP267&lt;=0,"Aussenlager","teilweise")))))</f>
        <v>Lift</v>
      </c>
      <c r="BL267" s="60" t="str">
        <f aca="false">IF(AT267&lt;=0,"",IF(CG267="Aussen","Aussenlager",IF(CG267="-","Nicht im Lift",IF(AZ267&gt;=1,"Lift",IF(AZ267&lt;=0,"Aussenlager","teilweise")))))</f>
        <v>Lift</v>
      </c>
      <c r="BM267" s="60" t="str">
        <f aca="false">IF(BD267&lt;=0,"",IF(CG267="Aussen","Aussenlager",IF(CG267="-","Nicht im Lift",IF(BJ267&gt;=1,"Lift",IF(BJ267&lt;=0,"Aussenlager","teilweise")))))</f>
        <v>Lift</v>
      </c>
      <c r="BN267" s="60" t="str">
        <f aca="false">IF(A267="","",IF(BW267=1,"Neu; ","")&amp;IF(AND(BW267=0,BR267&lt;0),"negativer Bestand (Export "&amp;BR267&amp;"); ","")&amp;IF(J267&lt;=0,"Kein Verbrauch; ","")&amp;IF(CR267&gt;0,"Lift "&amp;W267&amp;" lt. Liftbericht (Fach "&amp;X267&amp;" Stk); ",IF(CB267=1,"Gebinde geschätzt ("&amp;T267&amp;"); ",IF(CA267=1,"Lose – Tablare geschätzt; ","")))&amp;IF(H267&gt;AW267,"Überbestand "&amp;ROUND(H267-AW267,0)&amp;" Stk / CHF "&amp;ROUND((H267-AW267)*G267,0)&amp;"; ","")&amp;IF(AND(CI267=1,CJ267&lt;CK267),"MAX &lt; MB+LG; ","")&amp;IF(AND(CQ267&gt;0,CP267*10&gt;CQ267),"zu hoch für Tablar; ","")&amp;IF(AND(BW267=0,OR(CI267=1,AB267&lt;&gt;"",U267&lt;&gt;"",V267&lt;&gt;"",AC267&lt;&gt;"")),"manuell übersteuert; ","")&amp;IF(AND(CA267=0,R267=0),"Gebinde unbekannt / Stellmass fehlt; ","")&amp;IF(AND(CA267=0,N(V267)&lt;=0,N(Q267)&lt;=0),"Menge pro Gebinde fehlt (Ist = 1 Gebinde); ","")&amp;BV267)</f>
        <v/>
      </c>
      <c r="BO267" s="60"/>
      <c r="BP267" s="60"/>
      <c r="BQ267" s="67"/>
      <c r="BR267" s="62" t="n">
        <v>242</v>
      </c>
      <c r="BS267" s="62" t="n">
        <v>73</v>
      </c>
      <c r="BT267" s="61" t="n">
        <v>426.15</v>
      </c>
      <c r="BU267" s="62" t="n">
        <v>258</v>
      </c>
      <c r="BV267" s="60"/>
      <c r="BW267" s="65" t="n">
        <v>0</v>
      </c>
      <c r="BX267" s="65" t="n">
        <v>267</v>
      </c>
      <c r="BY267" s="60" t="str">
        <f aca="false">IF(U267&lt;&gt;"",UPPER(TRIM(U267)),IF(CB267=1,UPPER(VLOOKUP(T267,Parameter!$I$27:$K$29,2,0)),IF(P267="","LOSE",P267)))</f>
        <v>S32</v>
      </c>
      <c r="BZ267" s="62" t="n">
        <f aca="false">IF(BY267="LOSE",1,IF(N(V267)&gt;0,V267,IF(CB267=1,MAX(1,N(VLOOKUP(T267,Parameter!$I$27:$K$29,3,0)),H267,N(N267)),IF(N(Q267)&gt;0,Q267,MAX(1,H267)))))</f>
        <v>241</v>
      </c>
      <c r="CA267" s="65" t="n">
        <f aca="false">IF(BY267="LOSE",1,0)</f>
        <v>0</v>
      </c>
      <c r="CB267" s="65" t="n">
        <f aca="false">IF(AND(U267="",OR(P267="",P267="LOSE"),T267&lt;&gt;"",N(S267)&lt;=0,ISNUMBER(MATCH(T267,Parameter!$I$27:$I$29,0))),1,0)</f>
        <v>0</v>
      </c>
      <c r="CC267" s="65" t="n">
        <f aca="false">IF(CR267&gt;0,INDEX(Parameter!$H$5:$H$7,W267)/INDEX(Parameter!$E$5:$E$7,W267),IF(AND(CA267=0,N(IFERROR(VLOOKUP(BY267,'Gebinde-Kategorie'!$A$5:$N$45,14,0),0))&gt;0),VLOOKUP(BY267,'Gebinde-Kategorie'!$A$5:$N$45,14,0)*10+Parameter!$M$23,Parameter!$M$24))</f>
        <v>155</v>
      </c>
      <c r="CD267" s="60" t="str">
        <f aca="false">IF(AND(Parameter!$B$19="Ja",E267&lt;&gt;"",ISNUMBER(MATCH(E267,Parameter!$I$35:$I$52,0))),VLOOKUP(E267,Parameter!$I$35:$J$52,2,0),IFERROR(VLOOKUP(D267,Parameter!$A$35:$C$64,2,0),"Nein"))</f>
        <v>2+3</v>
      </c>
      <c r="CE267" s="64" t="n">
        <f aca="false">IF(CA267=0,0,IF(N(S267)&gt;0,S267,IFERROR(VLOOKUP(D267,Parameter!$A$35:$C$64,3,0)+0,0)))</f>
        <v>0</v>
      </c>
      <c r="CF267" s="60" t="n">
        <f aca="false">IF(AB267&lt;&gt;"",AB267,AA267)</f>
        <v>3</v>
      </c>
      <c r="CG267" s="60" t="str">
        <f aca="false">IF(OR(CF267=1,CF267=2,CF267=3),IF(Parameter!$E$27="Ja","LIFT",IF(CF267=1,"L1","L23")),IF(CF267="Aussen","Aussen","-"))</f>
        <v>LIFT</v>
      </c>
      <c r="CH267" s="71" t="n">
        <f aca="false">IF(N(AC267)&gt;0,AC267,0)</f>
        <v>0</v>
      </c>
      <c r="CI267" s="65" t="n">
        <f aca="false">IF(ISNUMBER(AF267),1,0)</f>
        <v>0</v>
      </c>
      <c r="CJ267" s="62" t="n">
        <f aca="false">N(AF267)</f>
        <v>0</v>
      </c>
      <c r="CK267" s="62" t="n">
        <f aca="false">N(M267)+N(N267)</f>
        <v>315</v>
      </c>
      <c r="CL267" s="62" t="n">
        <f aca="false">N(M267)</f>
        <v>15</v>
      </c>
      <c r="CM267" s="62" t="n">
        <f aca="false">N(N267)</f>
        <v>300</v>
      </c>
      <c r="CN267" s="62" t="n">
        <f aca="false">ROUNDUP(H267/BZ267,0)</f>
        <v>2</v>
      </c>
      <c r="CO267" s="62" t="n">
        <f aca="false">ROUNDUP(CJ267/BZ267,0)</f>
        <v>0</v>
      </c>
      <c r="CP267" s="65" t="n">
        <f aca="false">IF(CA267=1,0,IFERROR(VLOOKUP(BY267,'Gebinde-Kategorie'!$A$5:$N$45,5,0)+0,0))</f>
        <v>8</v>
      </c>
      <c r="CQ267" s="65" t="n">
        <f aca="false">IFERROR(IF(OR(CF267=1,CF267=2,CF267=3),N(INDEX(Parameter!$I$5:$I$7,CF267)),0),0)</f>
        <v>0</v>
      </c>
      <c r="CR267" s="64" t="n">
        <f aca="false">IF(AND(Parameter!$B$21="Ja",ISNUMBER(W267),N(X267)&gt;0),IFERROR(N(INDEX(Parameter!$L$5:$L$7,W267))*INDEX(Parameter!$E$5:$E$7,W267)*X267/SUMIFS($X$7:$X$1843,$W$7:$W$1843,W267),0),0)</f>
        <v>0</v>
      </c>
      <c r="CS267" s="62" t="n">
        <f aca="false">IF(AND(OR(CG267="L1",CG267="L23",CG267="LIFT"),H267&gt;0),CC267*IF(CR267&gt;0,CR267*MAX(1,H267/X267),IF(CA267=1,CE267,IF(R267&gt;0,CN267/R267,0))/MAX(0.1,N(Parameter!$M$21))),"")</f>
        <v>2.98076923076923</v>
      </c>
      <c r="CT267" s="64" t="n">
        <f aca="false">IF(CS267="","",J267/H267)</f>
        <v>0.819047619047619</v>
      </c>
      <c r="CU267" s="62" t="n">
        <f aca="false">IF(CS267="","",H267*G267)</f>
        <v>557.55</v>
      </c>
      <c r="CV267" s="63" t="n">
        <f aca="false">IF(CS267="","",(CL267+ROUNDUP(CL267+MAX(CM267,2*(J267/MAX(0.1,N(Einkauf!$C$6))-CL267)),0))/2)</f>
        <v>165</v>
      </c>
      <c r="CW267" s="62" t="n">
        <f aca="false">IF(CS267="","",MAX(0,H267-CV267)*G267)</f>
        <v>265.5</v>
      </c>
      <c r="CX267" s="62" t="n">
        <f aca="false">IF(CS267="","",CS267*MAX(0,1-CV267/H267))</f>
        <v>1.41941391941392</v>
      </c>
      <c r="CY267" s="64" t="n">
        <f aca="false">IF(CS267="","",PERCENTRANK($CS$7:$CS$1843,CS267)+PERCENTRANK($CU$7:$CU$1843,CU267)+1-PERCENTRANK($CT$7:$CT$1843,CT267))</f>
        <v>1.14</v>
      </c>
      <c r="CZ267" s="72" t="n">
        <f aca="false">IF(CS267="","",CHOOSE(MATCH(Einkauf!$C$5,Parameter!$G$23:$G$27,0),CY267,CS267,CU267,-CT267,CW267)+ROW()/1000000000)</f>
        <v>1.140000267</v>
      </c>
    </row>
    <row r="268" customFormat="false" ht="15" hidden="false" customHeight="false" outlineLevel="0" collapsed="false">
      <c r="A268" s="60" t="s">
        <v>756</v>
      </c>
      <c r="B268" s="60" t="s">
        <v>757</v>
      </c>
      <c r="C268" s="60" t="s">
        <v>206</v>
      </c>
      <c r="D268" s="60" t="s">
        <v>226</v>
      </c>
      <c r="E268" s="60" t="s">
        <v>227</v>
      </c>
      <c r="F268" s="60" t="s">
        <v>260</v>
      </c>
      <c r="G268" s="61" t="n">
        <v>21.54</v>
      </c>
      <c r="H268" s="62" t="n">
        <f aca="false">MAX(0,IF(AND(Parameter!$B$21="Ja",ISNUMBER(Y268)),Y268,IF(Parameter!$B$20="Jahresanfang 2025 + Export",BS268+BR268,BR268)))</f>
        <v>67</v>
      </c>
      <c r="I268" s="62" t="n">
        <f aca="false">H268*G268</f>
        <v>1443.18</v>
      </c>
      <c r="J268" s="62" t="n">
        <f aca="false">BU268*Parameter!$B$18</f>
        <v>58</v>
      </c>
      <c r="K268" s="63" t="n">
        <v>42</v>
      </c>
      <c r="L268" s="64" t="n">
        <v>1.38095238095238</v>
      </c>
      <c r="M268" s="62" t="n">
        <v>4</v>
      </c>
      <c r="N268" s="62" t="n">
        <v>60</v>
      </c>
      <c r="O268" s="65" t="n">
        <v>28</v>
      </c>
      <c r="P268" s="60" t="s">
        <v>335</v>
      </c>
      <c r="Q268" s="62" t="n">
        <v>28</v>
      </c>
      <c r="R268" s="65" t="n">
        <f aca="false">IF(CA268=1,0,IFERROR(VLOOKUP(BY268,'Gebinde-Kategorie'!$A$5:$N$45,13,0)+0,0))</f>
        <v>12</v>
      </c>
      <c r="S268" s="66"/>
      <c r="T268" s="67"/>
      <c r="U268" s="67"/>
      <c r="V268" s="67"/>
      <c r="W268" s="60"/>
      <c r="X268" s="62"/>
      <c r="Y268" s="62"/>
      <c r="Z268" s="60" t="n">
        <v>3</v>
      </c>
      <c r="AA268" s="60" t="n">
        <f aca="false">IF(A268="","",IF(AND(Parameter!$B$21="Ja",ISNUMBER(W268)),W268,IF(AND(Parameter!$E$27="Ja",ISNUMBER(Z268),CD268&lt;&gt;"Nein"),Z268,IF(CD268="2+3",IF(ISNUMBER(SEARCH("grosser Artikel",BV268)),2,IFERROR(VLOOKUP(BY268,Parameter!$F$35:$G$64,2,0),2)),IF(OR(CD268="Nein",CD268=""),"-",CD268)))))</f>
        <v>3</v>
      </c>
      <c r="AB268" s="67"/>
      <c r="AC268" s="68"/>
      <c r="AD268" s="62" t="n">
        <f aca="false">AW268</f>
        <v>64</v>
      </c>
      <c r="AE268" s="62" t="n">
        <f aca="false">MAX(AW268,H268)</f>
        <v>67</v>
      </c>
      <c r="AF268" s="69"/>
      <c r="AG268" s="62" t="n">
        <f aca="false">IF(LEFT(Cockpit!$C$5,1)="A",H268,IF(Parameter!$E$30="MAX-Bestand",IF(CI268=1,CJ268,IF(LEFT(Cockpit!$C$5,1)="B",AM268,MAX(AM268,H268))),ROUNDUP(AK268,0)))</f>
        <v>67</v>
      </c>
      <c r="AH268" s="62" t="n">
        <f aca="false">IF(CA268=1,0,ROUNDUP(AG268/BZ268,0))</f>
        <v>3</v>
      </c>
      <c r="AI268" s="64" t="n">
        <f aca="false">IF(CR268&gt;0,CR268*MAX(1,AG268/X268),IF(CA268=1,IF(AG268&lt;=0,0,CE268*MAX(1,IF(H268&gt;0,AG268/H268,1))),IF(R268&gt;0,AH268/R268,0))/MAX(0.1,N(Parameter!$M$21)))</f>
        <v>0.25</v>
      </c>
      <c r="AJ268" s="62" t="n">
        <f aca="false">AI268*CC268</f>
        <v>61.25</v>
      </c>
      <c r="AK268" s="63" t="n">
        <f aca="false">IF(LEFT(Cockpit!$C$5,1)="A",H268,IF(CI268=1,(CL268+CJ268)/2,IF(LEFT(Cockpit!$C$5,1)="B",(CL268+AM268)/2,MAX((CL268+AM268)/2,H268))))</f>
        <v>67</v>
      </c>
      <c r="AL268" s="62" t="n">
        <f aca="false">AK268*G268</f>
        <v>1443.18</v>
      </c>
      <c r="AM268" s="62" t="n">
        <f aca="false">ROUNDUP(CL268+MAX(CM268,2*(J268/IF(CH268&gt;0,CH268,MAX(0.1,N(Cockpit!$C$6)))-CL268)),0)</f>
        <v>64</v>
      </c>
      <c r="AN268" s="63" t="n">
        <f aca="false">IF(AJ268&gt;0,J268/AJ268,-1)</f>
        <v>0.946938775510204</v>
      </c>
      <c r="AO268" s="63" t="n">
        <f aca="false">IF(AND(OR(CG268="L1",CG268="L23",CG268="LIFT"),AJ268&gt;0),SUMIFS($AJ$7:$AJ$1843,$CG$7:$CG$1843,CG268,$AN$7:$AN$1843,"&gt;"&amp;AN268)+SUMIFS($AJ$7:$AJ$1843,$CG$7:$CG$1843,CG268,$AN$7:$AN$1843,AN268,$BX$7:$BX$1843,"&lt;="&amp;BX268),"")</f>
        <v>7306.37225274725</v>
      </c>
      <c r="AP268" s="70" t="n">
        <f aca="false">IF(AO268="",0,MAX(0,MIN(1,(IF(CG268="L1",Parameter!$H$5,IF(CG268="L23",Parameter!$H$6+Parameter!$H$7,Parameter!$H$5+Parameter!$H$6+Parameter!$H$7))-(AO268-AJ268))/AJ268)))</f>
        <v>1</v>
      </c>
      <c r="AQ268" s="62" t="n">
        <f aca="false">IF(LEFT(Cockpit!$I$5,1)="A",H268,IF(Parameter!$E$30="MAX-Bestand",IF(CI268=1,CJ268,IF(LEFT(Cockpit!$I$5,1)="B",AW268,MAX(AW268,H268))),ROUNDUP(AU268,0)))</f>
        <v>67</v>
      </c>
      <c r="AR268" s="62" t="n">
        <f aca="false">IF(CA268=1,0,ROUNDUP(AQ268/BZ268,0))</f>
        <v>3</v>
      </c>
      <c r="AS268" s="64" t="n">
        <f aca="false">IF(CR268&gt;0,CR268*MAX(1,AQ268/X268),IF(CA268=1,IF(AQ268&lt;=0,0,CE268*MAX(1,IF(H268&gt;0,AQ268/H268,1))),IF(R268&gt;0,AR268/R268,0))/MAX(0.1,N(Parameter!$M$21)))</f>
        <v>0.25</v>
      </c>
      <c r="AT268" s="62" t="n">
        <f aca="false">AS268*CC268</f>
        <v>61.25</v>
      </c>
      <c r="AU268" s="63" t="n">
        <f aca="false">IF(LEFT(Cockpit!$I$5,1)="A",H268,IF(CI268=1,(CL268+CJ268)/2,IF(LEFT(Cockpit!$I$5,1)="B",(CL268+AW268)/2,MAX((CL268+AW268)/2,H268))))</f>
        <v>67</v>
      </c>
      <c r="AV268" s="62" t="n">
        <f aca="false">AU268*G268</f>
        <v>1443.18</v>
      </c>
      <c r="AW268" s="62" t="n">
        <f aca="false">ROUNDUP(CL268+MAX(CM268,2*(J268/IF(CH268&gt;0,CH268,MAX(0.1,N(Cockpit!$I$6)))-CL268)),0)</f>
        <v>64</v>
      </c>
      <c r="AX268" s="63" t="n">
        <f aca="false">IF(AT268&gt;0,J268/AT268,-1)</f>
        <v>0.946938775510204</v>
      </c>
      <c r="AY268" s="63" t="n">
        <f aca="false">IF(AND(OR(CG268="L1",CG268="L23",CG268="LIFT"),AT268&gt;0),SUMIFS($AT$7:$AT$1843,$CG$7:$CG$1843,CG268,$AX$7:$AX$1843,"&gt;"&amp;AX268)+SUMIFS($AT$7:$AT$1843,$CG$7:$CG$1843,CG268,$AX$7:$AX$1843,AX268,$BX$7:$BX$1843,"&lt;="&amp;BX268),"")</f>
        <v>8735.81227106227</v>
      </c>
      <c r="AZ268" s="70" t="n">
        <f aca="false">IF(AY268="",0,MAX(0,MIN(1,(IF(CG268="L1",Parameter!$H$5,IF(CG268="L23",Parameter!$H$6+Parameter!$H$7,Parameter!$H$5+Parameter!$H$6+Parameter!$H$7))-(AY268-AT268))/AT268)))</f>
        <v>1</v>
      </c>
      <c r="BA268" s="62" t="n">
        <f aca="false">IF(LEFT(Cockpit!$O$5,1)="A",H268,IF(Parameter!$E$30="MAX-Bestand",IF(CI268=1,CJ268,IF(LEFT(Cockpit!$O$5,1)="B",BG268,MAX(BG268,H268))),ROUNDUP(BE268,0)))</f>
        <v>34</v>
      </c>
      <c r="BB268" s="62" t="n">
        <f aca="false">IF(CA268=1,0,ROUNDUP(BA268/BZ268,0))</f>
        <v>2</v>
      </c>
      <c r="BC268" s="64" t="n">
        <f aca="false">IF(CR268&gt;0,CR268*MAX(1,BA268/X268),IF(CA268=1,IF(BA268&lt;=0,0,CE268*MAX(1,IF(H268&gt;0,BA268/H268,1))),IF(R268&gt;0,BB268/R268,0))/MAX(0.1,N(Parameter!$M$21)))</f>
        <v>0.166666666666667</v>
      </c>
      <c r="BD268" s="62" t="n">
        <f aca="false">BC268*CC268</f>
        <v>40.8333333333333</v>
      </c>
      <c r="BE268" s="63" t="n">
        <f aca="false">IF(LEFT(Cockpit!$O$5,1)="A",H268,IF(CI268=1,(CL268+CJ268)/2,IF(LEFT(Cockpit!$O$5,1)="B",(CL268+BG268)/2,MAX((CL268+BG268)/2,H268))))</f>
        <v>34</v>
      </c>
      <c r="BF268" s="62" t="n">
        <f aca="false">BE268*G268</f>
        <v>732.36</v>
      </c>
      <c r="BG268" s="62" t="n">
        <f aca="false">ROUNDUP(CL268+MAX(CM268,2*(J268/IF(CH268&gt;0,CH268,MAX(0.1,N(Cockpit!$O$6)))-CL268)),0)</f>
        <v>64</v>
      </c>
      <c r="BH268" s="63" t="n">
        <f aca="false">IF(BD268&gt;0,J268/BD268,-1)</f>
        <v>1.42040816326531</v>
      </c>
      <c r="BI268" s="63" t="n">
        <f aca="false">IF(AND(OR(CG268="L1",CG268="L23",CG268="LIFT"),BD268&gt;0),SUMIFS($BD$7:$BD$1843,$CG$7:$CG$1843,CG268,$BH$7:$BH$1843,"&gt;"&amp;BH268)+SUMIFS($BD$7:$BD$1843,$CG$7:$CG$1843,CG268,$BH$7:$BH$1843,BH268,$BX$7:$BX$1843,"&lt;="&amp;BX268),"")</f>
        <v>6650.59203296703</v>
      </c>
      <c r="BJ268" s="70" t="n">
        <f aca="false">IF(BI268="",0,MAX(0,MIN(1,(IF(CG268="L1",Parameter!$H$5,IF(CG268="L23",Parameter!$H$6+Parameter!$H$7,Parameter!$H$5+Parameter!$H$6+Parameter!$H$7))-(BI268-BD268))/BD268)))</f>
        <v>1</v>
      </c>
      <c r="BK268" s="60" t="str">
        <f aca="false">IF(AJ268&lt;=0,"",IF(CG268="Aussen","Aussenlager",IF(CG268="-","Nicht im Lift",IF(AP268&gt;=1,"Lift",IF(AP268&lt;=0,"Aussenlager","teilweise")))))</f>
        <v>Lift</v>
      </c>
      <c r="BL268" s="60" t="str">
        <f aca="false">IF(AT268&lt;=0,"",IF(CG268="Aussen","Aussenlager",IF(CG268="-","Nicht im Lift",IF(AZ268&gt;=1,"Lift",IF(AZ268&lt;=0,"Aussenlager","teilweise")))))</f>
        <v>Lift</v>
      </c>
      <c r="BM268" s="60" t="str">
        <f aca="false">IF(BD268&lt;=0,"",IF(CG268="Aussen","Aussenlager",IF(CG268="-","Nicht im Lift",IF(BJ268&gt;=1,"Lift",IF(BJ268&lt;=0,"Aussenlager","teilweise")))))</f>
        <v>Lift</v>
      </c>
      <c r="BN268" s="60" t="str">
        <f aca="false">IF(A268="","",IF(BW268=1,"Neu; ","")&amp;IF(AND(BW268=0,BR268&lt;0),"negativer Bestand (Export "&amp;BR268&amp;"); ","")&amp;IF(J268&lt;=0,"Kein Verbrauch; ","")&amp;IF(CR268&gt;0,"Lift "&amp;W268&amp;" lt. Liftbericht (Fach "&amp;X268&amp;" Stk); ",IF(CB268=1,"Gebinde geschätzt ("&amp;T268&amp;"); ",IF(CA268=1,"Lose – Tablare geschätzt; ","")))&amp;IF(H268&gt;AW268,"Überbestand "&amp;ROUND(H268-AW268,0)&amp;" Stk / CHF "&amp;ROUND((H268-AW268)*G268,0)&amp;"; ","")&amp;IF(AND(CI268=1,CJ268&lt;CK268),"MAX &lt; MB+LG; ","")&amp;IF(AND(CQ268&gt;0,CP268*10&gt;CQ268),"zu hoch für Tablar; ","")&amp;IF(AND(BW268=0,OR(CI268=1,AB268&lt;&gt;"",U268&lt;&gt;"",V268&lt;&gt;"",AC268&lt;&gt;"")),"manuell übersteuert; ","")&amp;IF(AND(CA268=0,R268=0),"Gebinde unbekannt / Stellmass fehlt; ","")&amp;IF(AND(CA268=0,N(V268)&lt;=0,N(Q268)&lt;=0),"Menge pro Gebinde fehlt (Ist = 1 Gebinde); ","")&amp;BV268)</f>
        <v>Überbestand 3 Stk / CHF 65; </v>
      </c>
      <c r="BO268" s="60"/>
      <c r="BP268" s="60"/>
      <c r="BQ268" s="67"/>
      <c r="BR268" s="62" t="n">
        <v>18</v>
      </c>
      <c r="BS268" s="62" t="n">
        <v>49</v>
      </c>
      <c r="BT268" s="61" t="n">
        <v>425.15</v>
      </c>
      <c r="BU268" s="62" t="n">
        <v>58</v>
      </c>
      <c r="BV268" s="60"/>
      <c r="BW268" s="65" t="n">
        <v>0</v>
      </c>
      <c r="BX268" s="65" t="n">
        <v>268</v>
      </c>
      <c r="BY268" s="60" t="str">
        <f aca="false">IF(U268&lt;&gt;"",UPPER(TRIM(U268)),IF(CB268=1,UPPER(VLOOKUP(T268,Parameter!$I$27:$K$29,2,0)),IF(P268="","LOSE",P268)))</f>
        <v>S62</v>
      </c>
      <c r="BZ268" s="62" t="n">
        <f aca="false">IF(BY268="LOSE",1,IF(N(V268)&gt;0,V268,IF(CB268=1,MAX(1,N(VLOOKUP(T268,Parameter!$I$27:$K$29,3,0)),H268,N(N268)),IF(N(Q268)&gt;0,Q268,MAX(1,H268)))))</f>
        <v>28</v>
      </c>
      <c r="CA268" s="65" t="n">
        <f aca="false">IF(BY268="LOSE",1,0)</f>
        <v>0</v>
      </c>
      <c r="CB268" s="65" t="n">
        <f aca="false">IF(AND(U268="",OR(P268="",P268="LOSE"),T268&lt;&gt;"",N(S268)&lt;=0,ISNUMBER(MATCH(T268,Parameter!$I$27:$I$29,0))),1,0)</f>
        <v>0</v>
      </c>
      <c r="CC268" s="65" t="n">
        <f aca="false">IF(CR268&gt;0,INDEX(Parameter!$H$5:$H$7,W268)/INDEX(Parameter!$E$5:$E$7,W268),IF(AND(CA268=0,N(IFERROR(VLOOKUP(BY268,'Gebinde-Kategorie'!$A$5:$N$45,14,0),0))&gt;0),VLOOKUP(BY268,'Gebinde-Kategorie'!$A$5:$N$45,14,0)*10+Parameter!$M$23,Parameter!$M$24))</f>
        <v>245</v>
      </c>
      <c r="CD268" s="60" t="str">
        <f aca="false">IF(AND(Parameter!$B$19="Ja",E268&lt;&gt;"",ISNUMBER(MATCH(E268,Parameter!$I$35:$I$52,0))),VLOOKUP(E268,Parameter!$I$35:$J$52,2,0),IFERROR(VLOOKUP(D268,Parameter!$A$35:$C$64,2,0),"Nein"))</f>
        <v>2+3</v>
      </c>
      <c r="CE268" s="64" t="n">
        <f aca="false">IF(CA268=0,0,IF(N(S268)&gt;0,S268,IFERROR(VLOOKUP(D268,Parameter!$A$35:$C$64,3,0)+0,0)))</f>
        <v>0</v>
      </c>
      <c r="CF268" s="60" t="n">
        <f aca="false">IF(AB268&lt;&gt;"",AB268,AA268)</f>
        <v>3</v>
      </c>
      <c r="CG268" s="60" t="str">
        <f aca="false">IF(OR(CF268=1,CF268=2,CF268=3),IF(Parameter!$E$27="Ja","LIFT",IF(CF268=1,"L1","L23")),IF(CF268="Aussen","Aussen","-"))</f>
        <v>LIFT</v>
      </c>
      <c r="CH268" s="71" t="n">
        <f aca="false">IF(N(AC268)&gt;0,AC268,0)</f>
        <v>0</v>
      </c>
      <c r="CI268" s="65" t="n">
        <f aca="false">IF(ISNUMBER(AF268),1,0)</f>
        <v>0</v>
      </c>
      <c r="CJ268" s="62" t="n">
        <f aca="false">N(AF268)</f>
        <v>0</v>
      </c>
      <c r="CK268" s="62" t="n">
        <f aca="false">N(M268)+N(N268)</f>
        <v>64</v>
      </c>
      <c r="CL268" s="62" t="n">
        <f aca="false">N(M268)</f>
        <v>4</v>
      </c>
      <c r="CM268" s="62" t="n">
        <f aca="false">N(N268)</f>
        <v>60</v>
      </c>
      <c r="CN268" s="62" t="n">
        <f aca="false">ROUNDUP(H268/BZ268,0)</f>
        <v>3</v>
      </c>
      <c r="CO268" s="62" t="n">
        <f aca="false">ROUNDUP(CJ268/BZ268,0)</f>
        <v>0</v>
      </c>
      <c r="CP268" s="65" t="n">
        <f aca="false">IF(CA268=1,0,IFERROR(VLOOKUP(BY268,'Gebinde-Kategorie'!$A$5:$N$45,5,0)+0,0))</f>
        <v>21</v>
      </c>
      <c r="CQ268" s="65" t="n">
        <f aca="false">IFERROR(IF(OR(CF268=1,CF268=2,CF268=3),N(INDEX(Parameter!$I$5:$I$7,CF268)),0),0)</f>
        <v>0</v>
      </c>
      <c r="CR268" s="64" t="n">
        <f aca="false">IF(AND(Parameter!$B$21="Ja",ISNUMBER(W268),N(X268)&gt;0),IFERROR(N(INDEX(Parameter!$L$5:$L$7,W268))*INDEX(Parameter!$E$5:$E$7,W268)*X268/SUMIFS($X$7:$X$1843,$W$7:$W$1843,W268),0),0)</f>
        <v>0</v>
      </c>
      <c r="CS268" s="62" t="n">
        <f aca="false">IF(AND(OR(CG268="L1",CG268="L23",CG268="LIFT"),H268&gt;0),CC268*IF(CR268&gt;0,CR268*MAX(1,H268/X268),IF(CA268=1,CE268,IF(R268&gt;0,CN268/R268,0))/MAX(0.1,N(Parameter!$M$21))),"")</f>
        <v>61.25</v>
      </c>
      <c r="CT268" s="64" t="n">
        <f aca="false">IF(CS268="","",J268/H268)</f>
        <v>0.865671641791045</v>
      </c>
      <c r="CU268" s="62" t="n">
        <f aca="false">IF(CS268="","",H268*G268)</f>
        <v>1443.18</v>
      </c>
      <c r="CV268" s="63" t="n">
        <f aca="false">IF(CS268="","",(CL268+ROUNDUP(CL268+MAX(CM268,2*(J268/MAX(0.1,N(Einkauf!$C$6))-CL268)),0))/2)</f>
        <v>34</v>
      </c>
      <c r="CW268" s="62" t="n">
        <f aca="false">IF(CS268="","",MAX(0,H268-CV268)*G268)</f>
        <v>710.82</v>
      </c>
      <c r="CX268" s="62" t="n">
        <f aca="false">IF(CS268="","",CS268*MAX(0,1-CV268/H268))</f>
        <v>30.1679104477612</v>
      </c>
      <c r="CY268" s="64" t="n">
        <f aca="false">IF(CS268="","",PERCENTRANK($CS$7:$CS$1843,CS268)+PERCENTRANK($CU$7:$CU$1843,CU268)+1-PERCENTRANK($CT$7:$CT$1843,CT268))</f>
        <v>2.037</v>
      </c>
      <c r="CZ268" s="72" t="n">
        <f aca="false">IF(CS268="","",CHOOSE(MATCH(Einkauf!$C$5,Parameter!$G$23:$G$27,0),CY268,CS268,CU268,-CT268,CW268)+ROW()/1000000000)</f>
        <v>2.037000268</v>
      </c>
    </row>
    <row r="269" customFormat="false" ht="15" hidden="false" customHeight="false" outlineLevel="0" collapsed="false">
      <c r="A269" s="60" t="s">
        <v>758</v>
      </c>
      <c r="B269" s="60" t="s">
        <v>759</v>
      </c>
      <c r="C269" s="60" t="s">
        <v>206</v>
      </c>
      <c r="D269" s="60" t="s">
        <v>215</v>
      </c>
      <c r="E269" s="60" t="s">
        <v>208</v>
      </c>
      <c r="F269" s="60" t="s">
        <v>260</v>
      </c>
      <c r="G269" s="61" t="n">
        <v>97.95</v>
      </c>
      <c r="H269" s="62" t="n">
        <f aca="false">MAX(0,IF(AND(Parameter!$B$21="Ja",ISNUMBER(Y269)),Y269,IF(Parameter!$B$20="Jahresanfang 2025 + Export",BS269+BR269,BR269)))</f>
        <v>11</v>
      </c>
      <c r="I269" s="62" t="n">
        <f aca="false">H269*G269</f>
        <v>1077.45</v>
      </c>
      <c r="J269" s="62" t="n">
        <f aca="false">BU269*Parameter!$B$18</f>
        <v>25</v>
      </c>
      <c r="K269" s="63" t="n">
        <v>9.5</v>
      </c>
      <c r="L269" s="64" t="n">
        <v>2.63157894736842</v>
      </c>
      <c r="M269" s="62" t="n">
        <v>2</v>
      </c>
      <c r="N269" s="62" t="n">
        <v>25</v>
      </c>
      <c r="O269" s="65" t="n">
        <v>35</v>
      </c>
      <c r="P269" s="60" t="s">
        <v>228</v>
      </c>
      <c r="Q269" s="62" t="n">
        <v>13</v>
      </c>
      <c r="R269" s="65" t="n">
        <f aca="false">IF(CA269=1,0,IFERROR(VLOOKUP(BY269,'Gebinde-Kategorie'!$A$5:$N$45,13,0)+0,0))</f>
        <v>12</v>
      </c>
      <c r="S269" s="66"/>
      <c r="T269" s="67"/>
      <c r="U269" s="67"/>
      <c r="V269" s="67"/>
      <c r="W269" s="60"/>
      <c r="X269" s="62"/>
      <c r="Y269" s="62"/>
      <c r="Z269" s="60" t="n">
        <v>3</v>
      </c>
      <c r="AA269" s="60" t="n">
        <f aca="false">IF(A269="","",IF(AND(Parameter!$B$21="Ja",ISNUMBER(W269)),W269,IF(AND(Parameter!$E$27="Ja",ISNUMBER(Z269),CD269&lt;&gt;"Nein"),Z269,IF(CD269="2+3",IF(ISNUMBER(SEARCH("grosser Artikel",BV269)),2,IFERROR(VLOOKUP(BY269,Parameter!$F$35:$G$64,2,0),2)),IF(OR(CD269="Nein",CD269=""),"-",CD269)))))</f>
        <v>3</v>
      </c>
      <c r="AB269" s="67"/>
      <c r="AC269" s="68"/>
      <c r="AD269" s="62" t="n">
        <f aca="false">AW269</f>
        <v>27</v>
      </c>
      <c r="AE269" s="62" t="n">
        <f aca="false">MAX(AW269,H269)</f>
        <v>27</v>
      </c>
      <c r="AF269" s="69"/>
      <c r="AG269" s="62" t="n">
        <f aca="false">IF(LEFT(Cockpit!$C$5,1)="A",H269,IF(Parameter!$E$30="MAX-Bestand",IF(CI269=1,CJ269,IF(LEFT(Cockpit!$C$5,1)="B",AM269,MAX(AM269,H269))),ROUNDUP(AK269,0)))</f>
        <v>11</v>
      </c>
      <c r="AH269" s="62" t="n">
        <f aca="false">IF(CA269=1,0,ROUNDUP(AG269/BZ269,0))</f>
        <v>1</v>
      </c>
      <c r="AI269" s="64" t="n">
        <f aca="false">IF(CR269&gt;0,CR269*MAX(1,AG269/X269),IF(CA269=1,IF(AG269&lt;=0,0,CE269*MAX(1,IF(H269&gt;0,AG269/H269,1))),IF(R269&gt;0,AH269/R269,0))/MAX(0.1,N(Parameter!$M$21)))</f>
        <v>0.0833333333333333</v>
      </c>
      <c r="AJ269" s="62" t="n">
        <f aca="false">AI269*CC269</f>
        <v>12.0833333333333</v>
      </c>
      <c r="AK269" s="63" t="n">
        <f aca="false">IF(LEFT(Cockpit!$C$5,1)="A",H269,IF(CI269=1,(CL269+CJ269)/2,IF(LEFT(Cockpit!$C$5,1)="B",(CL269+AM269)/2,MAX((CL269+AM269)/2,H269))))</f>
        <v>11</v>
      </c>
      <c r="AL269" s="62" t="n">
        <f aca="false">AK269*G269</f>
        <v>1077.45</v>
      </c>
      <c r="AM269" s="62" t="n">
        <f aca="false">ROUNDUP(CL269+MAX(CM269,2*(J269/IF(CH269&gt;0,CH269,MAX(0.1,N(Cockpit!$C$6)))-CL269)),0)</f>
        <v>27</v>
      </c>
      <c r="AN269" s="63" t="n">
        <f aca="false">IF(AJ269&gt;0,J269/AJ269,-1)</f>
        <v>2.06896551724138</v>
      </c>
      <c r="AO269" s="63" t="n">
        <f aca="false">IF(AND(OR(CG269="L1",CG269="L23",CG269="LIFT"),AJ269&gt;0),SUMIFS($AJ$7:$AJ$1843,$CG$7:$CG$1843,CG269,$AN$7:$AN$1843,"&gt;"&amp;AN269)+SUMIFS($AJ$7:$AJ$1843,$CG$7:$CG$1843,CG269,$AN$7:$AN$1843,AN269,$BX$7:$BX$1843,"&lt;="&amp;BX269),"")</f>
        <v>5750.60943223443</v>
      </c>
      <c r="AP269" s="70" t="n">
        <f aca="false">IF(AO269="",0,MAX(0,MIN(1,(IF(CG269="L1",Parameter!$H$5,IF(CG269="L23",Parameter!$H$6+Parameter!$H$7,Parameter!$H$5+Parameter!$H$6+Parameter!$H$7))-(AO269-AJ269))/AJ269)))</f>
        <v>1</v>
      </c>
      <c r="AQ269" s="62" t="n">
        <f aca="false">IF(LEFT(Cockpit!$I$5,1)="A",H269,IF(Parameter!$E$30="MAX-Bestand",IF(CI269=1,CJ269,IF(LEFT(Cockpit!$I$5,1)="B",AW269,MAX(AW269,H269))),ROUNDUP(AU269,0)))</f>
        <v>15</v>
      </c>
      <c r="AR269" s="62" t="n">
        <f aca="false">IF(CA269=1,0,ROUNDUP(AQ269/BZ269,0))</f>
        <v>2</v>
      </c>
      <c r="AS269" s="64" t="n">
        <f aca="false">IF(CR269&gt;0,CR269*MAX(1,AQ269/X269),IF(CA269=1,IF(AQ269&lt;=0,0,CE269*MAX(1,IF(H269&gt;0,AQ269/H269,1))),IF(R269&gt;0,AR269/R269,0))/MAX(0.1,N(Parameter!$M$21)))</f>
        <v>0.166666666666667</v>
      </c>
      <c r="AT269" s="62" t="n">
        <f aca="false">AS269*CC269</f>
        <v>24.1666666666667</v>
      </c>
      <c r="AU269" s="63" t="n">
        <f aca="false">IF(LEFT(Cockpit!$I$5,1)="A",H269,IF(CI269=1,(CL269+CJ269)/2,IF(LEFT(Cockpit!$I$5,1)="B",(CL269+AW269)/2,MAX((CL269+AW269)/2,H269))))</f>
        <v>14.5</v>
      </c>
      <c r="AV269" s="62" t="n">
        <f aca="false">AU269*G269</f>
        <v>1420.275</v>
      </c>
      <c r="AW269" s="62" t="n">
        <f aca="false">ROUNDUP(CL269+MAX(CM269,2*(J269/IF(CH269&gt;0,CH269,MAX(0.1,N(Cockpit!$I$6)))-CL269)),0)</f>
        <v>27</v>
      </c>
      <c r="AX269" s="63" t="n">
        <f aca="false">IF(AT269&gt;0,J269/AT269,-1)</f>
        <v>1.03448275862069</v>
      </c>
      <c r="AY269" s="63" t="n">
        <f aca="false">IF(AND(OR(CG269="L1",CG269="L23",CG269="LIFT"),AT269&gt;0),SUMIFS($AT$7:$AT$1843,$CG$7:$CG$1843,CG269,$AX$7:$AX$1843,"&gt;"&amp;AX269)+SUMIFS($AT$7:$AT$1843,$CG$7:$CG$1843,CG269,$AX$7:$AX$1843,AX269,$BX$7:$BX$1843,"&lt;="&amp;BX269),"")</f>
        <v>8334.81868131868</v>
      </c>
      <c r="AZ269" s="70" t="n">
        <f aca="false">IF(AY269="",0,MAX(0,MIN(1,(IF(CG269="L1",Parameter!$H$5,IF(CG269="L23",Parameter!$H$6+Parameter!$H$7,Parameter!$H$5+Parameter!$H$6+Parameter!$H$7))-(AY269-AT269))/AT269)))</f>
        <v>1</v>
      </c>
      <c r="BA269" s="62" t="n">
        <f aca="false">IF(LEFT(Cockpit!$O$5,1)="A",H269,IF(Parameter!$E$30="MAX-Bestand",IF(CI269=1,CJ269,IF(LEFT(Cockpit!$O$5,1)="B",BG269,MAX(BG269,H269))),ROUNDUP(BE269,0)))</f>
        <v>15</v>
      </c>
      <c r="BB269" s="62" t="n">
        <f aca="false">IF(CA269=1,0,ROUNDUP(BA269/BZ269,0))</f>
        <v>2</v>
      </c>
      <c r="BC269" s="64" t="n">
        <f aca="false">IF(CR269&gt;0,CR269*MAX(1,BA269/X269),IF(CA269=1,IF(BA269&lt;=0,0,CE269*MAX(1,IF(H269&gt;0,BA269/H269,1))),IF(R269&gt;0,BB269/R269,0))/MAX(0.1,N(Parameter!$M$21)))</f>
        <v>0.166666666666667</v>
      </c>
      <c r="BD269" s="62" t="n">
        <f aca="false">BC269*CC269</f>
        <v>24.1666666666667</v>
      </c>
      <c r="BE269" s="63" t="n">
        <f aca="false">IF(LEFT(Cockpit!$O$5,1)="A",H269,IF(CI269=1,(CL269+CJ269)/2,IF(LEFT(Cockpit!$O$5,1)="B",(CL269+BG269)/2,MAX((CL269+BG269)/2,H269))))</f>
        <v>14.5</v>
      </c>
      <c r="BF269" s="62" t="n">
        <f aca="false">BE269*G269</f>
        <v>1420.275</v>
      </c>
      <c r="BG269" s="62" t="n">
        <f aca="false">ROUNDUP(CL269+MAX(CM269,2*(J269/IF(CH269&gt;0,CH269,MAX(0.1,N(Cockpit!$O$6)))-CL269)),0)</f>
        <v>27</v>
      </c>
      <c r="BH269" s="63" t="n">
        <f aca="false">IF(BD269&gt;0,J269/BD269,-1)</f>
        <v>1.03448275862069</v>
      </c>
      <c r="BI269" s="63" t="n">
        <f aca="false">IF(AND(OR(CG269="L1",CG269="L23",CG269="LIFT"),BD269&gt;0),SUMIFS($BD$7:$BD$1843,$CG$7:$CG$1843,CG269,$BH$7:$BH$1843,"&gt;"&amp;BH269)+SUMIFS($BD$7:$BD$1843,$CG$7:$CG$1843,CG269,$BH$7:$BH$1843,BH269,$BX$7:$BX$1843,"&lt;="&amp;BX269),"")</f>
        <v>7482.22664835165</v>
      </c>
      <c r="BJ269" s="70" t="n">
        <f aca="false">IF(BI269="",0,MAX(0,MIN(1,(IF(CG269="L1",Parameter!$H$5,IF(CG269="L23",Parameter!$H$6+Parameter!$H$7,Parameter!$H$5+Parameter!$H$6+Parameter!$H$7))-(BI269-BD269))/BD269)))</f>
        <v>1</v>
      </c>
      <c r="BK269" s="60" t="str">
        <f aca="false">IF(AJ269&lt;=0,"",IF(CG269="Aussen","Aussenlager",IF(CG269="-","Nicht im Lift",IF(AP269&gt;=1,"Lift",IF(AP269&lt;=0,"Aussenlager","teilweise")))))</f>
        <v>Lift</v>
      </c>
      <c r="BL269" s="60" t="str">
        <f aca="false">IF(AT269&lt;=0,"",IF(CG269="Aussen","Aussenlager",IF(CG269="-","Nicht im Lift",IF(AZ269&gt;=1,"Lift",IF(AZ269&lt;=0,"Aussenlager","teilweise")))))</f>
        <v>Lift</v>
      </c>
      <c r="BM269" s="60" t="str">
        <f aca="false">IF(BD269&lt;=0,"",IF(CG269="Aussen","Aussenlager",IF(CG269="-","Nicht im Lift",IF(BJ269&gt;=1,"Lift",IF(BJ269&lt;=0,"Aussenlager","teilweise")))))</f>
        <v>Lift</v>
      </c>
      <c r="BN269" s="60" t="str">
        <f aca="false">IF(A269="","",IF(BW269=1,"Neu; ","")&amp;IF(AND(BW269=0,BR269&lt;0),"negativer Bestand (Export "&amp;BR269&amp;"); ","")&amp;IF(J269&lt;=0,"Kein Verbrauch; ","")&amp;IF(CR269&gt;0,"Lift "&amp;W269&amp;" lt. Liftbericht (Fach "&amp;X269&amp;" Stk); ",IF(CB269=1,"Gebinde geschätzt ("&amp;T269&amp;"); ",IF(CA269=1,"Lose – Tablare geschätzt; ","")))&amp;IF(H269&gt;AW269,"Überbestand "&amp;ROUND(H269-AW269,0)&amp;" Stk / CHF "&amp;ROUND((H269-AW269)*G269,0)&amp;"; ","")&amp;IF(AND(CI269=1,CJ269&lt;CK269),"MAX &lt; MB+LG; ","")&amp;IF(AND(CQ269&gt;0,CP269*10&gt;CQ269),"zu hoch für Tablar; ","")&amp;IF(AND(BW269=0,OR(CI269=1,AB269&lt;&gt;"",U269&lt;&gt;"",V269&lt;&gt;"",AC269&lt;&gt;"")),"manuell übersteuert; ","")&amp;IF(AND(CA269=0,R269=0),"Gebinde unbekannt / Stellmass fehlt; ","")&amp;IF(AND(CA269=0,N(V269)&lt;=0,N(Q269)&lt;=0),"Menge pro Gebinde fehlt (Ist = 1 Gebinde); ","")&amp;BV269)</f>
        <v/>
      </c>
      <c r="BO269" s="60"/>
      <c r="BP269" s="60"/>
      <c r="BQ269" s="67"/>
      <c r="BR269" s="62" t="n">
        <v>4</v>
      </c>
      <c r="BS269" s="62" t="n">
        <v>7</v>
      </c>
      <c r="BT269" s="61" t="n">
        <v>417.56</v>
      </c>
      <c r="BU269" s="62" t="n">
        <v>25</v>
      </c>
      <c r="BV269" s="60"/>
      <c r="BW269" s="65" t="n">
        <v>0</v>
      </c>
      <c r="BX269" s="65" t="n">
        <v>269</v>
      </c>
      <c r="BY269" s="60" t="str">
        <f aca="false">IF(U269&lt;&gt;"",UPPER(TRIM(U269)),IF(CB269=1,UPPER(VLOOKUP(T269,Parameter!$I$27:$K$29,2,0)),IF(P269="","LOSE",P269)))</f>
        <v>S61</v>
      </c>
      <c r="BZ269" s="62" t="n">
        <f aca="false">IF(BY269="LOSE",1,IF(N(V269)&gt;0,V269,IF(CB269=1,MAX(1,N(VLOOKUP(T269,Parameter!$I$27:$K$29,3,0)),H269,N(N269)),IF(N(Q269)&gt;0,Q269,MAX(1,H269)))))</f>
        <v>13</v>
      </c>
      <c r="CA269" s="65" t="n">
        <f aca="false">IF(BY269="LOSE",1,0)</f>
        <v>0</v>
      </c>
      <c r="CB269" s="65" t="n">
        <f aca="false">IF(AND(U269="",OR(P269="",P269="LOSE"),T269&lt;&gt;"",N(S269)&lt;=0,ISNUMBER(MATCH(T269,Parameter!$I$27:$I$29,0))),1,0)</f>
        <v>0</v>
      </c>
      <c r="CC269" s="65" t="n">
        <f aca="false">IF(CR269&gt;0,INDEX(Parameter!$H$5:$H$7,W269)/INDEX(Parameter!$E$5:$E$7,W269),IF(AND(CA269=0,N(IFERROR(VLOOKUP(BY269,'Gebinde-Kategorie'!$A$5:$N$45,14,0),0))&gt;0),VLOOKUP(BY269,'Gebinde-Kategorie'!$A$5:$N$45,14,0)*10+Parameter!$M$23,Parameter!$M$24))</f>
        <v>145</v>
      </c>
      <c r="CD269" s="60" t="n">
        <f aca="false">IF(AND(Parameter!$B$19="Ja",E269&lt;&gt;"",ISNUMBER(MATCH(E269,Parameter!$I$35:$I$52,0))),VLOOKUP(E269,Parameter!$I$35:$J$52,2,0),IFERROR(VLOOKUP(D269,Parameter!$A$35:$C$64,2,0),"Nein"))</f>
        <v>1</v>
      </c>
      <c r="CE269" s="64" t="n">
        <f aca="false">IF(CA269=0,0,IF(N(S269)&gt;0,S269,IFERROR(VLOOKUP(D269,Parameter!$A$35:$C$64,3,0)+0,0)))</f>
        <v>0</v>
      </c>
      <c r="CF269" s="60" t="n">
        <f aca="false">IF(AB269&lt;&gt;"",AB269,AA269)</f>
        <v>3</v>
      </c>
      <c r="CG269" s="60" t="str">
        <f aca="false">IF(OR(CF269=1,CF269=2,CF269=3),IF(Parameter!$E$27="Ja","LIFT",IF(CF269=1,"L1","L23")),IF(CF269="Aussen","Aussen","-"))</f>
        <v>LIFT</v>
      </c>
      <c r="CH269" s="71" t="n">
        <f aca="false">IF(N(AC269)&gt;0,AC269,0)</f>
        <v>0</v>
      </c>
      <c r="CI269" s="65" t="n">
        <f aca="false">IF(ISNUMBER(AF269),1,0)</f>
        <v>0</v>
      </c>
      <c r="CJ269" s="62" t="n">
        <f aca="false">N(AF269)</f>
        <v>0</v>
      </c>
      <c r="CK269" s="62" t="n">
        <f aca="false">N(M269)+N(N269)</f>
        <v>27</v>
      </c>
      <c r="CL269" s="62" t="n">
        <f aca="false">N(M269)</f>
        <v>2</v>
      </c>
      <c r="CM269" s="62" t="n">
        <f aca="false">N(N269)</f>
        <v>25</v>
      </c>
      <c r="CN269" s="62" t="n">
        <f aca="false">ROUNDUP(H269/BZ269,0)</f>
        <v>1</v>
      </c>
      <c r="CO269" s="62" t="n">
        <f aca="false">ROUNDUP(CJ269/BZ269,0)</f>
        <v>0</v>
      </c>
      <c r="CP269" s="65" t="n">
        <f aca="false">IF(CA269=1,0,IFERROR(VLOOKUP(BY269,'Gebinde-Kategorie'!$A$5:$N$45,5,0)+0,0))</f>
        <v>11</v>
      </c>
      <c r="CQ269" s="65" t="n">
        <f aca="false">IFERROR(IF(OR(CF269=1,CF269=2,CF269=3),N(INDEX(Parameter!$I$5:$I$7,CF269)),0),0)</f>
        <v>0</v>
      </c>
      <c r="CR269" s="64" t="n">
        <f aca="false">IF(AND(Parameter!$B$21="Ja",ISNUMBER(W269),N(X269)&gt;0),IFERROR(N(INDEX(Parameter!$L$5:$L$7,W269))*INDEX(Parameter!$E$5:$E$7,W269)*X269/SUMIFS($X$7:$X$1843,$W$7:$W$1843,W269),0),0)</f>
        <v>0</v>
      </c>
      <c r="CS269" s="62" t="n">
        <f aca="false">IF(AND(OR(CG269="L1",CG269="L23",CG269="LIFT"),H269&gt;0),CC269*IF(CR269&gt;0,CR269*MAX(1,H269/X269),IF(CA269=1,CE269,IF(R269&gt;0,CN269/R269,0))/MAX(0.1,N(Parameter!$M$21))),"")</f>
        <v>12.0833333333333</v>
      </c>
      <c r="CT269" s="64" t="n">
        <f aca="false">IF(CS269="","",J269/H269)</f>
        <v>2.27272727272727</v>
      </c>
      <c r="CU269" s="62" t="n">
        <f aca="false">IF(CS269="","",H269*G269)</f>
        <v>1077.45</v>
      </c>
      <c r="CV269" s="63" t="n">
        <f aca="false">IF(CS269="","",(CL269+ROUNDUP(CL269+MAX(CM269,2*(J269/MAX(0.1,N(Einkauf!$C$6))-CL269)),0))/2)</f>
        <v>14.5</v>
      </c>
      <c r="CW269" s="62" t="n">
        <f aca="false">IF(CS269="","",MAX(0,H269-CV269)*G269)</f>
        <v>0</v>
      </c>
      <c r="CX269" s="62" t="n">
        <f aca="false">IF(CS269="","",CS269*MAX(0,1-CV269/H269))</f>
        <v>0</v>
      </c>
      <c r="CY269" s="64" t="n">
        <f aca="false">IF(CS269="","",PERCENTRANK($CS$7:$CS$1843,CS269)+PERCENTRANK($CU$7:$CU$1843,CU269)+1-PERCENTRANK($CT$7:$CT$1843,CT269))</f>
        <v>1.489</v>
      </c>
      <c r="CZ269" s="72" t="n">
        <f aca="false">IF(CS269="","",CHOOSE(MATCH(Einkauf!$C$5,Parameter!$G$23:$G$27,0),CY269,CS269,CU269,-CT269,CW269)+ROW()/1000000000)</f>
        <v>1.489000269</v>
      </c>
    </row>
    <row r="270" customFormat="false" ht="15" hidden="false" customHeight="false" outlineLevel="0" collapsed="false">
      <c r="A270" s="60" t="s">
        <v>760</v>
      </c>
      <c r="B270" s="60" t="s">
        <v>761</v>
      </c>
      <c r="C270" s="60" t="s">
        <v>206</v>
      </c>
      <c r="D270" s="60" t="s">
        <v>226</v>
      </c>
      <c r="E270" s="60"/>
      <c r="F270" s="60" t="s">
        <v>260</v>
      </c>
      <c r="G270" s="61" t="n">
        <v>16.65</v>
      </c>
      <c r="H270" s="62" t="n">
        <f aca="false">MAX(0,IF(AND(Parameter!$B$21="Ja",ISNUMBER(Y270)),Y270,IF(Parameter!$B$20="Jahresanfang 2025 + Export",BS270+BR270,BR270)))</f>
        <v>25</v>
      </c>
      <c r="I270" s="62" t="n">
        <f aca="false">H270*G270</f>
        <v>416.25</v>
      </c>
      <c r="J270" s="62" t="n">
        <f aca="false">BU270*Parameter!$B$18</f>
        <v>0</v>
      </c>
      <c r="K270" s="63" t="n">
        <v>0</v>
      </c>
      <c r="L270" s="64" t="n">
        <v>0</v>
      </c>
      <c r="M270" s="62" t="n">
        <v>0</v>
      </c>
      <c r="N270" s="62" t="n">
        <v>5</v>
      </c>
      <c r="O270" s="65" t="n">
        <v>9999</v>
      </c>
      <c r="P270" s="60" t="s">
        <v>210</v>
      </c>
      <c r="Q270" s="62"/>
      <c r="R270" s="65" t="n">
        <f aca="false">IF(CA270=1,0,IFERROR(VLOOKUP(BY270,'Gebinde-Kategorie'!$A$5:$N$45,13,0)+0,0))</f>
        <v>26</v>
      </c>
      <c r="S270" s="66"/>
      <c r="T270" s="67" t="s">
        <v>317</v>
      </c>
      <c r="U270" s="67"/>
      <c r="V270" s="67"/>
      <c r="W270" s="60"/>
      <c r="X270" s="62"/>
      <c r="Y270" s="62"/>
      <c r="Z270" s="60" t="n">
        <v>3</v>
      </c>
      <c r="AA270" s="60" t="n">
        <f aca="false">IF(A270="","",IF(AND(Parameter!$B$21="Ja",ISNUMBER(W270)),W270,IF(AND(Parameter!$E$27="Ja",ISNUMBER(Z270),CD270&lt;&gt;"Nein"),Z270,IF(CD270="2+3",IF(ISNUMBER(SEARCH("grosser Artikel",BV270)),2,IFERROR(VLOOKUP(BY270,Parameter!$F$35:$G$64,2,0),2)),IF(OR(CD270="Nein",CD270=""),"-",CD270)))))</f>
        <v>3</v>
      </c>
      <c r="AB270" s="67"/>
      <c r="AC270" s="68"/>
      <c r="AD270" s="62" t="n">
        <f aca="false">AW270</f>
        <v>5</v>
      </c>
      <c r="AE270" s="62" t="n">
        <f aca="false">MAX(AW270,H270)</f>
        <v>25</v>
      </c>
      <c r="AF270" s="69"/>
      <c r="AG270" s="62" t="n">
        <f aca="false">IF(LEFT(Cockpit!$C$5,1)="A",H270,IF(Parameter!$E$30="MAX-Bestand",IF(CI270=1,CJ270,IF(LEFT(Cockpit!$C$5,1)="B",AM270,MAX(AM270,H270))),ROUNDUP(AK270,0)))</f>
        <v>25</v>
      </c>
      <c r="AH270" s="62" t="n">
        <f aca="false">IF(CA270=1,0,ROUNDUP(AG270/BZ270,0))</f>
        <v>1</v>
      </c>
      <c r="AI270" s="64" t="n">
        <f aca="false">IF(CR270&gt;0,CR270*MAX(1,AG270/X270),IF(CA270=1,IF(AG270&lt;=0,0,CE270*MAX(1,IF(H270&gt;0,AG270/H270,1))),IF(R270&gt;0,AH270/R270,0))/MAX(0.1,N(Parameter!$M$21)))</f>
        <v>0.0384615384615385</v>
      </c>
      <c r="AJ270" s="62" t="n">
        <f aca="false">AI270*CC270</f>
        <v>5.96153846153846</v>
      </c>
      <c r="AK270" s="63" t="n">
        <f aca="false">IF(LEFT(Cockpit!$C$5,1)="A",H270,IF(CI270=1,(CL270+CJ270)/2,IF(LEFT(Cockpit!$C$5,1)="B",(CL270+AM270)/2,MAX((CL270+AM270)/2,H270))))</f>
        <v>25</v>
      </c>
      <c r="AL270" s="62" t="n">
        <f aca="false">AK270*G270</f>
        <v>416.25</v>
      </c>
      <c r="AM270" s="62" t="n">
        <f aca="false">ROUNDUP(CL270+MAX(CM270,2*(J270/IF(CH270&gt;0,CH270,MAX(0.1,N(Cockpit!$C$6)))-CL270)),0)</f>
        <v>5</v>
      </c>
      <c r="AN270" s="63" t="n">
        <f aca="false">IF(AJ270&gt;0,J270/AJ270,-1)</f>
        <v>0</v>
      </c>
      <c r="AO270" s="63" t="n">
        <f aca="false">IF(AND(OR(CG270="L1",CG270="L23",CG270="LIFT"),AJ270&gt;0),SUMIFS($AJ$7:$AJ$1843,$CG$7:$CG$1843,CG270,$AN$7:$AN$1843,"&gt;"&amp;AN270)+SUMIFS($AJ$7:$AJ$1843,$CG$7:$CG$1843,CG270,$AN$7:$AN$1843,AN270,$BX$7:$BX$1843,"&lt;="&amp;BX270),"")</f>
        <v>27772.4465967178</v>
      </c>
      <c r="AP270" s="70" t="n">
        <f aca="false">IF(AO270="",0,MAX(0,MIN(1,(IF(CG270="L1",Parameter!$H$5,IF(CG270="L23",Parameter!$H$6+Parameter!$H$7,Parameter!$H$5+Parameter!$H$6+Parameter!$H$7))-(AO270-AJ270))/AJ270)))</f>
        <v>1</v>
      </c>
      <c r="AQ270" s="62" t="n">
        <f aca="false">IF(LEFT(Cockpit!$I$5,1)="A",H270,IF(Parameter!$E$30="MAX-Bestand",IF(CI270=1,CJ270,IF(LEFT(Cockpit!$I$5,1)="B",AW270,MAX(AW270,H270))),ROUNDUP(AU270,0)))</f>
        <v>25</v>
      </c>
      <c r="AR270" s="62" t="n">
        <f aca="false">IF(CA270=1,0,ROUNDUP(AQ270/BZ270,0))</f>
        <v>1</v>
      </c>
      <c r="AS270" s="64" t="n">
        <f aca="false">IF(CR270&gt;0,CR270*MAX(1,AQ270/X270),IF(CA270=1,IF(AQ270&lt;=0,0,CE270*MAX(1,IF(H270&gt;0,AQ270/H270,1))),IF(R270&gt;0,AR270/R270,0))/MAX(0.1,N(Parameter!$M$21)))</f>
        <v>0.0384615384615385</v>
      </c>
      <c r="AT270" s="62" t="n">
        <f aca="false">AS270*CC270</f>
        <v>5.96153846153846</v>
      </c>
      <c r="AU270" s="63" t="n">
        <f aca="false">IF(LEFT(Cockpit!$I$5,1)="A",H270,IF(CI270=1,(CL270+CJ270)/2,IF(LEFT(Cockpit!$I$5,1)="B",(CL270+AW270)/2,MAX((CL270+AW270)/2,H270))))</f>
        <v>25</v>
      </c>
      <c r="AV270" s="62" t="n">
        <f aca="false">AU270*G270</f>
        <v>416.25</v>
      </c>
      <c r="AW270" s="62" t="n">
        <f aca="false">ROUNDUP(CL270+MAX(CM270,2*(J270/IF(CH270&gt;0,CH270,MAX(0.1,N(Cockpit!$I$6)))-CL270)),0)</f>
        <v>5</v>
      </c>
      <c r="AX270" s="63" t="n">
        <f aca="false">IF(AT270&gt;0,J270/AT270,-1)</f>
        <v>0</v>
      </c>
      <c r="AY270" s="63" t="n">
        <f aca="false">IF(AND(OR(CG270="L1",CG270="L23",CG270="LIFT"),AT270&gt;0),SUMIFS($AT$7:$AT$1843,$CG$7:$CG$1843,CG270,$AX$7:$AX$1843,"&gt;"&amp;AX270)+SUMIFS($AT$7:$AT$1843,$CG$7:$CG$1843,CG270,$AX$7:$AX$1843,AX270,$BX$7:$BX$1843,"&lt;="&amp;BX270),"")</f>
        <v>33125.5952380952</v>
      </c>
      <c r="AZ270" s="70" t="n">
        <f aca="false">IF(AY270="",0,MAX(0,MIN(1,(IF(CG270="L1",Parameter!$H$5,IF(CG270="L23",Parameter!$H$6+Parameter!$H$7,Parameter!$H$5+Parameter!$H$6+Parameter!$H$7))-(AY270-AT270))/AT270)))</f>
        <v>1</v>
      </c>
      <c r="BA270" s="62" t="n">
        <f aca="false">IF(LEFT(Cockpit!$O$5,1)="A",H270,IF(Parameter!$E$30="MAX-Bestand",IF(CI270=1,CJ270,IF(LEFT(Cockpit!$O$5,1)="B",BG270,MAX(BG270,H270))),ROUNDUP(BE270,0)))</f>
        <v>3</v>
      </c>
      <c r="BB270" s="62" t="n">
        <f aca="false">IF(CA270=1,0,ROUNDUP(BA270/BZ270,0))</f>
        <v>1</v>
      </c>
      <c r="BC270" s="64" t="n">
        <f aca="false">IF(CR270&gt;0,CR270*MAX(1,BA270/X270),IF(CA270=1,IF(BA270&lt;=0,0,CE270*MAX(1,IF(H270&gt;0,BA270/H270,1))),IF(R270&gt;0,BB270/R270,0))/MAX(0.1,N(Parameter!$M$21)))</f>
        <v>0.0384615384615385</v>
      </c>
      <c r="BD270" s="62" t="n">
        <f aca="false">BC270*CC270</f>
        <v>5.96153846153846</v>
      </c>
      <c r="BE270" s="63" t="n">
        <f aca="false">IF(LEFT(Cockpit!$O$5,1)="A",H270,IF(CI270=1,(CL270+CJ270)/2,IF(LEFT(Cockpit!$O$5,1)="B",(CL270+BG270)/2,MAX((CL270+BG270)/2,H270))))</f>
        <v>2.5</v>
      </c>
      <c r="BF270" s="62" t="n">
        <f aca="false">BE270*G270</f>
        <v>41.625</v>
      </c>
      <c r="BG270" s="62" t="n">
        <f aca="false">ROUNDUP(CL270+MAX(CM270,2*(J270/IF(CH270&gt;0,CH270,MAX(0.1,N(Cockpit!$O$6)))-CL270)),0)</f>
        <v>5</v>
      </c>
      <c r="BH270" s="63" t="n">
        <f aca="false">IF(BD270&gt;0,J270/BD270,-1)</f>
        <v>0</v>
      </c>
      <c r="BI270" s="63" t="n">
        <f aca="false">IF(AND(OR(CG270="L1",CG270="L23",CG270="LIFT"),BD270&gt;0),SUMIFS($BD$7:$BD$1843,$CG$7:$CG$1843,CG270,$BH$7:$BH$1843,"&gt;"&amp;BH270)+SUMIFS($BD$7:$BD$1843,$CG$7:$CG$1843,CG270,$BH$7:$BH$1843,BH270,$BX$7:$BX$1843,"&lt;="&amp;BX270),"")</f>
        <v>27280.4142608804</v>
      </c>
      <c r="BJ270" s="70" t="n">
        <f aca="false">IF(BI270="",0,MAX(0,MIN(1,(IF(CG270="L1",Parameter!$H$5,IF(CG270="L23",Parameter!$H$6+Parameter!$H$7,Parameter!$H$5+Parameter!$H$6+Parameter!$H$7))-(BI270-BD270))/BD270)))</f>
        <v>1</v>
      </c>
      <c r="BK270" s="60" t="str">
        <f aca="false">IF(AJ270&lt;=0,"",IF(CG270="Aussen","Aussenlager",IF(CG270="-","Nicht im Lift",IF(AP270&gt;=1,"Lift",IF(AP270&lt;=0,"Aussenlager","teilweise")))))</f>
        <v>Lift</v>
      </c>
      <c r="BL270" s="60" t="str">
        <f aca="false">IF(AT270&lt;=0,"",IF(CG270="Aussen","Aussenlager",IF(CG270="-","Nicht im Lift",IF(AZ270&gt;=1,"Lift",IF(AZ270&lt;=0,"Aussenlager","teilweise")))))</f>
        <v>Lift</v>
      </c>
      <c r="BM270" s="60" t="str">
        <f aca="false">IF(BD270&lt;=0,"",IF(CG270="Aussen","Aussenlager",IF(CG270="-","Nicht im Lift",IF(BJ270&gt;=1,"Lift",IF(BJ270&lt;=0,"Aussenlager","teilweise")))))</f>
        <v>Lift</v>
      </c>
      <c r="BN270" s="60" t="str">
        <f aca="false">IF(A270="","",IF(BW270=1,"Neu; ","")&amp;IF(AND(BW270=0,BR270&lt;0),"negativer Bestand (Export "&amp;BR270&amp;"); ","")&amp;IF(J270&lt;=0,"Kein Verbrauch; ","")&amp;IF(CR270&gt;0,"Lift "&amp;W270&amp;" lt. Liftbericht (Fach "&amp;X270&amp;" Stk); ",IF(CB270=1,"Gebinde geschätzt ("&amp;T270&amp;"); ",IF(CA270=1,"Lose – Tablare geschätzt; ","")))&amp;IF(H270&gt;AW270,"Überbestand "&amp;ROUND(H270-AW270,0)&amp;" Stk / CHF "&amp;ROUND((H270-AW270)*G270,0)&amp;"; ","")&amp;IF(AND(CI270=1,CJ270&lt;CK270),"MAX &lt; MB+LG; ","")&amp;IF(AND(CQ270&gt;0,CP270*10&gt;CQ270),"zu hoch für Tablar; ","")&amp;IF(AND(BW270=0,OR(CI270=1,AB270&lt;&gt;"",U270&lt;&gt;"",V270&lt;&gt;"",AC270&lt;&gt;"")),"manuell übersteuert; ","")&amp;IF(AND(CA270=0,R270=0),"Gebinde unbekannt / Stellmass fehlt; ","")&amp;IF(AND(CA270=0,N(V270)&lt;=0,N(Q270)&lt;=0),"Menge pro Gebinde fehlt (Ist = 1 Gebinde); ","")&amp;BV270)</f>
        <v>Kein Verbrauch; Gebinde geschätzt (Klein); Überbestand 20 Stk / CHF 333; Menge pro Gebinde fehlt (Ist = 1 Gebinde); </v>
      </c>
      <c r="BO270" s="60"/>
      <c r="BP270" s="60"/>
      <c r="BQ270" s="67"/>
      <c r="BR270" s="62" t="n">
        <v>25</v>
      </c>
      <c r="BS270" s="62" t="n">
        <v>0</v>
      </c>
      <c r="BT270" s="61" t="n">
        <v>416.25</v>
      </c>
      <c r="BU270" s="62" t="n">
        <v>0</v>
      </c>
      <c r="BV270" s="60"/>
      <c r="BW270" s="65" t="n">
        <v>0</v>
      </c>
      <c r="BX270" s="65" t="n">
        <v>270</v>
      </c>
      <c r="BY270" s="60" t="str">
        <f aca="false">IF(U270&lt;&gt;"",UPPER(TRIM(U270)),IF(CB270=1,UPPER(VLOOKUP(T270,Parameter!$I$27:$K$29,2,0)),IF(P270="","LOSE",P270)))</f>
        <v>S51</v>
      </c>
      <c r="BZ270" s="62" t="n">
        <f aca="false">IF(BY270="LOSE",1,IF(N(V270)&gt;0,V270,IF(CB270=1,MAX(1,N(VLOOKUP(T270,Parameter!$I$27:$K$29,3,0)),H270,N(N270)),IF(N(Q270)&gt;0,Q270,MAX(1,H270)))))</f>
        <v>25</v>
      </c>
      <c r="CA270" s="65" t="n">
        <f aca="false">IF(BY270="LOSE",1,0)</f>
        <v>0</v>
      </c>
      <c r="CB270" s="65" t="n">
        <f aca="false">IF(AND(U270="",OR(P270="",P270="LOSE"),T270&lt;&gt;"",N(S270)&lt;=0,ISNUMBER(MATCH(T270,Parameter!$I$27:$I$29,0))),1,0)</f>
        <v>1</v>
      </c>
      <c r="CC270" s="65" t="n">
        <f aca="false">IF(CR270&gt;0,INDEX(Parameter!$H$5:$H$7,W270)/INDEX(Parameter!$E$5:$E$7,W270),IF(AND(CA270=0,N(IFERROR(VLOOKUP(BY270,'Gebinde-Kategorie'!$A$5:$N$45,14,0),0))&gt;0),VLOOKUP(BY270,'Gebinde-Kategorie'!$A$5:$N$45,14,0)*10+Parameter!$M$23,Parameter!$M$24))</f>
        <v>155</v>
      </c>
      <c r="CD270" s="60" t="str">
        <f aca="false">IF(AND(Parameter!$B$19="Ja",E270&lt;&gt;"",ISNUMBER(MATCH(E270,Parameter!$I$35:$I$52,0))),VLOOKUP(E270,Parameter!$I$35:$J$52,2,0),IFERROR(VLOOKUP(D270,Parameter!$A$35:$C$64,2,0),"Nein"))</f>
        <v>2+3</v>
      </c>
      <c r="CE270" s="64" t="n">
        <f aca="false">IF(CA270=0,0,IF(N(S270)&gt;0,S270,IFERROR(VLOOKUP(D270,Parameter!$A$35:$C$64,3,0)+0,0)))</f>
        <v>0</v>
      </c>
      <c r="CF270" s="60" t="n">
        <f aca="false">IF(AB270&lt;&gt;"",AB270,AA270)</f>
        <v>3</v>
      </c>
      <c r="CG270" s="60" t="str">
        <f aca="false">IF(OR(CF270=1,CF270=2,CF270=3),IF(Parameter!$E$27="Ja","LIFT",IF(CF270=1,"L1","L23")),IF(CF270="Aussen","Aussen","-"))</f>
        <v>LIFT</v>
      </c>
      <c r="CH270" s="71" t="n">
        <f aca="false">IF(N(AC270)&gt;0,AC270,0)</f>
        <v>0</v>
      </c>
      <c r="CI270" s="65" t="n">
        <f aca="false">IF(ISNUMBER(AF270),1,0)</f>
        <v>0</v>
      </c>
      <c r="CJ270" s="62" t="n">
        <f aca="false">N(AF270)</f>
        <v>0</v>
      </c>
      <c r="CK270" s="62" t="n">
        <f aca="false">N(M270)+N(N270)</f>
        <v>5</v>
      </c>
      <c r="CL270" s="62" t="n">
        <f aca="false">N(M270)</f>
        <v>0</v>
      </c>
      <c r="CM270" s="62" t="n">
        <f aca="false">N(N270)</f>
        <v>5</v>
      </c>
      <c r="CN270" s="62" t="n">
        <f aca="false">ROUNDUP(H270/BZ270,0)</f>
        <v>1</v>
      </c>
      <c r="CO270" s="62" t="n">
        <f aca="false">ROUNDUP(CJ270/BZ270,0)</f>
        <v>0</v>
      </c>
      <c r="CP270" s="65" t="n">
        <f aca="false">IF(CA270=1,0,IFERROR(VLOOKUP(BY270,'Gebinde-Kategorie'!$A$5:$N$45,5,0)+0,0))</f>
        <v>11</v>
      </c>
      <c r="CQ270" s="65" t="n">
        <f aca="false">IFERROR(IF(OR(CF270=1,CF270=2,CF270=3),N(INDEX(Parameter!$I$5:$I$7,CF270)),0),0)</f>
        <v>0</v>
      </c>
      <c r="CR270" s="64" t="n">
        <f aca="false">IF(AND(Parameter!$B$21="Ja",ISNUMBER(W270),N(X270)&gt;0),IFERROR(N(INDEX(Parameter!$L$5:$L$7,W270))*INDEX(Parameter!$E$5:$E$7,W270)*X270/SUMIFS($X$7:$X$1843,$W$7:$W$1843,W270),0),0)</f>
        <v>0</v>
      </c>
      <c r="CS270" s="62" t="n">
        <f aca="false">IF(AND(OR(CG270="L1",CG270="L23",CG270="LIFT"),H270&gt;0),CC270*IF(CR270&gt;0,CR270*MAX(1,H270/X270),IF(CA270=1,CE270,IF(R270&gt;0,CN270/R270,0))/MAX(0.1,N(Parameter!$M$21))),"")</f>
        <v>5.96153846153846</v>
      </c>
      <c r="CT270" s="64" t="n">
        <f aca="false">IF(CS270="","",J270/H270)</f>
        <v>0</v>
      </c>
      <c r="CU270" s="62" t="n">
        <f aca="false">IF(CS270="","",H270*G270)</f>
        <v>416.25</v>
      </c>
      <c r="CV270" s="63" t="n">
        <f aca="false">IF(CS270="","",(CL270+ROUNDUP(CL270+MAX(CM270,2*(J270/MAX(0.1,N(Einkauf!$C$6))-CL270)),0))/2)</f>
        <v>2.5</v>
      </c>
      <c r="CW270" s="62" t="n">
        <f aca="false">IF(CS270="","",MAX(0,H270-CV270)*G270)</f>
        <v>374.625</v>
      </c>
      <c r="CX270" s="62" t="n">
        <f aca="false">IF(CS270="","",CS270*MAX(0,1-CV270/H270))</f>
        <v>5.36538461538462</v>
      </c>
      <c r="CY270" s="64" t="n">
        <f aca="false">IF(CS270="","",PERCENTRANK($CS$7:$CS$1843,CS270)+PERCENTRANK($CU$7:$CU$1843,CU270)+1-PERCENTRANK($CT$7:$CT$1843,CT270))</f>
        <v>1.84</v>
      </c>
      <c r="CZ270" s="72" t="n">
        <f aca="false">IF(CS270="","",CHOOSE(MATCH(Einkauf!$C$5,Parameter!$G$23:$G$27,0),CY270,CS270,CU270,-CT270,CW270)+ROW()/1000000000)</f>
        <v>1.84000027</v>
      </c>
    </row>
    <row r="271" customFormat="false" ht="15" hidden="false" customHeight="false" outlineLevel="0" collapsed="false">
      <c r="A271" s="60" t="s">
        <v>762</v>
      </c>
      <c r="B271" s="60" t="s">
        <v>525</v>
      </c>
      <c r="C271" s="60" t="s">
        <v>206</v>
      </c>
      <c r="D271" s="60" t="s">
        <v>226</v>
      </c>
      <c r="E271" s="60"/>
      <c r="F271" s="60" t="s">
        <v>260</v>
      </c>
      <c r="G271" s="61" t="n">
        <v>100.35</v>
      </c>
      <c r="H271" s="62" t="n">
        <f aca="false">MAX(0,IF(AND(Parameter!$B$21="Ja",ISNUMBER(Y271)),Y271,IF(Parameter!$B$20="Jahresanfang 2025 + Export",BS271+BR271,BR271)))</f>
        <v>4</v>
      </c>
      <c r="I271" s="62" t="n">
        <f aca="false">H271*G271</f>
        <v>401.4</v>
      </c>
      <c r="J271" s="62" t="n">
        <f aca="false">BU271*Parameter!$B$18</f>
        <v>6</v>
      </c>
      <c r="K271" s="63" t="n">
        <v>0</v>
      </c>
      <c r="L271" s="64" t="n">
        <v>0</v>
      </c>
      <c r="M271" s="62" t="n">
        <v>0</v>
      </c>
      <c r="N271" s="62" t="n">
        <v>5</v>
      </c>
      <c r="O271" s="65" t="n">
        <v>14</v>
      </c>
      <c r="P271" s="60" t="s">
        <v>463</v>
      </c>
      <c r="Q271" s="62" t="n">
        <v>4</v>
      </c>
      <c r="R271" s="65" t="n">
        <f aca="false">IF(CA271=1,0,IFERROR(VLOOKUP(BY271,'Gebinde-Kategorie'!$A$5:$N$45,13,0)+0,0))</f>
        <v>104</v>
      </c>
      <c r="S271" s="66"/>
      <c r="T271" s="67"/>
      <c r="U271" s="67"/>
      <c r="V271" s="67"/>
      <c r="W271" s="60"/>
      <c r="X271" s="62"/>
      <c r="Y271" s="62"/>
      <c r="Z271" s="60" t="n">
        <v>1</v>
      </c>
      <c r="AA271" s="60" t="n">
        <f aca="false">IF(A271="","",IF(AND(Parameter!$B$21="Ja",ISNUMBER(W271)),W271,IF(AND(Parameter!$E$27="Ja",ISNUMBER(Z271),CD271&lt;&gt;"Nein"),Z271,IF(CD271="2+3",IF(ISNUMBER(SEARCH("grosser Artikel",BV271)),2,IFERROR(VLOOKUP(BY271,Parameter!$F$35:$G$64,2,0),2)),IF(OR(CD271="Nein",CD271=""),"-",CD271)))))</f>
        <v>1</v>
      </c>
      <c r="AB271" s="67"/>
      <c r="AC271" s="68"/>
      <c r="AD271" s="62" t="n">
        <f aca="false">AW271</f>
        <v>5</v>
      </c>
      <c r="AE271" s="62" t="n">
        <f aca="false">MAX(AW271,H271)</f>
        <v>5</v>
      </c>
      <c r="AF271" s="69"/>
      <c r="AG271" s="62" t="n">
        <f aca="false">IF(LEFT(Cockpit!$C$5,1)="A",H271,IF(Parameter!$E$30="MAX-Bestand",IF(CI271=1,CJ271,IF(LEFT(Cockpit!$C$5,1)="B",AM271,MAX(AM271,H271))),ROUNDUP(AK271,0)))</f>
        <v>4</v>
      </c>
      <c r="AH271" s="62" t="n">
        <f aca="false">IF(CA271=1,0,ROUNDUP(AG271/BZ271,0))</f>
        <v>1</v>
      </c>
      <c r="AI271" s="64" t="n">
        <f aca="false">IF(CR271&gt;0,CR271*MAX(1,AG271/X271),IF(CA271=1,IF(AG271&lt;=0,0,CE271*MAX(1,IF(H271&gt;0,AG271/H271,1))),IF(R271&gt;0,AH271/R271,0))/MAX(0.1,N(Parameter!$M$21)))</f>
        <v>0.00961538461538462</v>
      </c>
      <c r="AJ271" s="62" t="n">
        <f aca="false">AI271*CC271</f>
        <v>1.49038461538462</v>
      </c>
      <c r="AK271" s="63" t="n">
        <f aca="false">IF(LEFT(Cockpit!$C$5,1)="A",H271,IF(CI271=1,(CL271+CJ271)/2,IF(LEFT(Cockpit!$C$5,1)="B",(CL271+AM271)/2,MAX((CL271+AM271)/2,H271))))</f>
        <v>4</v>
      </c>
      <c r="AL271" s="62" t="n">
        <f aca="false">AK271*G271</f>
        <v>401.4</v>
      </c>
      <c r="AM271" s="62" t="n">
        <f aca="false">ROUNDUP(CL271+MAX(CM271,2*(J271/IF(CH271&gt;0,CH271,MAX(0.1,N(Cockpit!$C$6)))-CL271)),0)</f>
        <v>5</v>
      </c>
      <c r="AN271" s="63" t="n">
        <f aca="false">IF(AJ271&gt;0,J271/AJ271,-1)</f>
        <v>4.0258064516129</v>
      </c>
      <c r="AO271" s="63" t="n">
        <f aca="false">IF(AND(OR(CG271="L1",CG271="L23",CG271="LIFT"),AJ271&gt;0),SUMIFS($AJ$7:$AJ$1843,$CG$7:$CG$1843,CG271,$AN$7:$AN$1843,"&gt;"&amp;AN271)+SUMIFS($AJ$7:$AJ$1843,$CG$7:$CG$1843,CG271,$AN$7:$AN$1843,AN271,$BX$7:$BX$1843,"&lt;="&amp;BX271),"")</f>
        <v>4336.33333333333</v>
      </c>
      <c r="AP271" s="70" t="n">
        <f aca="false">IF(AO271="",0,MAX(0,MIN(1,(IF(CG271="L1",Parameter!$H$5,IF(CG271="L23",Parameter!$H$6+Parameter!$H$7,Parameter!$H$5+Parameter!$H$6+Parameter!$H$7))-(AO271-AJ271))/AJ271)))</f>
        <v>1</v>
      </c>
      <c r="AQ271" s="62" t="n">
        <f aca="false">IF(LEFT(Cockpit!$I$5,1)="A",H271,IF(Parameter!$E$30="MAX-Bestand",IF(CI271=1,CJ271,IF(LEFT(Cockpit!$I$5,1)="B",AW271,MAX(AW271,H271))),ROUNDUP(AU271,0)))</f>
        <v>4</v>
      </c>
      <c r="AR271" s="62" t="n">
        <f aca="false">IF(CA271=1,0,ROUNDUP(AQ271/BZ271,0))</f>
        <v>1</v>
      </c>
      <c r="AS271" s="64" t="n">
        <f aca="false">IF(CR271&gt;0,CR271*MAX(1,AQ271/X271),IF(CA271=1,IF(AQ271&lt;=0,0,CE271*MAX(1,IF(H271&gt;0,AQ271/H271,1))),IF(R271&gt;0,AR271/R271,0))/MAX(0.1,N(Parameter!$M$21)))</f>
        <v>0.00961538461538462</v>
      </c>
      <c r="AT271" s="62" t="n">
        <f aca="false">AS271*CC271</f>
        <v>1.49038461538462</v>
      </c>
      <c r="AU271" s="63" t="n">
        <f aca="false">IF(LEFT(Cockpit!$I$5,1)="A",H271,IF(CI271=1,(CL271+CJ271)/2,IF(LEFT(Cockpit!$I$5,1)="B",(CL271+AW271)/2,MAX((CL271+AW271)/2,H271))))</f>
        <v>4</v>
      </c>
      <c r="AV271" s="62" t="n">
        <f aca="false">AU271*G271</f>
        <v>401.4</v>
      </c>
      <c r="AW271" s="62" t="n">
        <f aca="false">ROUNDUP(CL271+MAX(CM271,2*(J271/IF(CH271&gt;0,CH271,MAX(0.1,N(Cockpit!$I$6)))-CL271)),0)</f>
        <v>5</v>
      </c>
      <c r="AX271" s="63" t="n">
        <f aca="false">IF(AT271&gt;0,J271/AT271,-1)</f>
        <v>4.0258064516129</v>
      </c>
      <c r="AY271" s="63" t="n">
        <f aca="false">IF(AND(OR(CG271="L1",CG271="L23",CG271="LIFT"),AT271&gt;0),SUMIFS($AT$7:$AT$1843,$CG$7:$CG$1843,CG271,$AX$7:$AX$1843,"&gt;"&amp;AX271)+SUMIFS($AT$7:$AT$1843,$CG$7:$CG$1843,CG271,$AX$7:$AX$1843,AX271,$BX$7:$BX$1843,"&lt;="&amp;BX271),"")</f>
        <v>4933.40750915751</v>
      </c>
      <c r="AZ271" s="70" t="n">
        <f aca="false">IF(AY271="",0,MAX(0,MIN(1,(IF(CG271="L1",Parameter!$H$5,IF(CG271="L23",Parameter!$H$6+Parameter!$H$7,Parameter!$H$5+Parameter!$H$6+Parameter!$H$7))-(AY271-AT271))/AT271)))</f>
        <v>1</v>
      </c>
      <c r="BA271" s="62" t="n">
        <f aca="false">IF(LEFT(Cockpit!$O$5,1)="A",H271,IF(Parameter!$E$30="MAX-Bestand",IF(CI271=1,CJ271,IF(LEFT(Cockpit!$O$5,1)="B",BG271,MAX(BG271,H271))),ROUNDUP(BE271,0)))</f>
        <v>3</v>
      </c>
      <c r="BB271" s="62" t="n">
        <f aca="false">IF(CA271=1,0,ROUNDUP(BA271/BZ271,0))</f>
        <v>1</v>
      </c>
      <c r="BC271" s="64" t="n">
        <f aca="false">IF(CR271&gt;0,CR271*MAX(1,BA271/X271),IF(CA271=1,IF(BA271&lt;=0,0,CE271*MAX(1,IF(H271&gt;0,BA271/H271,1))),IF(R271&gt;0,BB271/R271,0))/MAX(0.1,N(Parameter!$M$21)))</f>
        <v>0.00961538461538462</v>
      </c>
      <c r="BD271" s="62" t="n">
        <f aca="false">BC271*CC271</f>
        <v>1.49038461538462</v>
      </c>
      <c r="BE271" s="63" t="n">
        <f aca="false">IF(LEFT(Cockpit!$O$5,1)="A",H271,IF(CI271=1,(CL271+CJ271)/2,IF(LEFT(Cockpit!$O$5,1)="B",(CL271+BG271)/2,MAX((CL271+BG271)/2,H271))))</f>
        <v>2.5</v>
      </c>
      <c r="BF271" s="62" t="n">
        <f aca="false">BE271*G271</f>
        <v>250.875</v>
      </c>
      <c r="BG271" s="62" t="n">
        <f aca="false">ROUNDUP(CL271+MAX(CM271,2*(J271/IF(CH271&gt;0,CH271,MAX(0.1,N(Cockpit!$O$6)))-CL271)),0)</f>
        <v>5</v>
      </c>
      <c r="BH271" s="63" t="n">
        <f aca="false">IF(BD271&gt;0,J271/BD271,-1)</f>
        <v>4.0258064516129</v>
      </c>
      <c r="BI271" s="63" t="n">
        <f aca="false">IF(AND(OR(CG271="L1",CG271="L23",CG271="LIFT"),BD271&gt;0),SUMIFS($BD$7:$BD$1843,$CG$7:$CG$1843,CG271,$BH$7:$BH$1843,"&gt;"&amp;BH271)+SUMIFS($BD$7:$BD$1843,$CG$7:$CG$1843,CG271,$BH$7:$BH$1843,BH271,$BX$7:$BX$1843,"&lt;="&amp;BX271),"")</f>
        <v>4043.5260989011</v>
      </c>
      <c r="BJ271" s="70" t="n">
        <f aca="false">IF(BI271="",0,MAX(0,MIN(1,(IF(CG271="L1",Parameter!$H$5,IF(CG271="L23",Parameter!$H$6+Parameter!$H$7,Parameter!$H$5+Parameter!$H$6+Parameter!$H$7))-(BI271-BD271))/BD271)))</f>
        <v>1</v>
      </c>
      <c r="BK271" s="60" t="str">
        <f aca="false">IF(AJ271&lt;=0,"",IF(CG271="Aussen","Aussenlager",IF(CG271="-","Nicht im Lift",IF(AP271&gt;=1,"Lift",IF(AP271&lt;=0,"Aussenlager","teilweise")))))</f>
        <v>Lift</v>
      </c>
      <c r="BL271" s="60" t="str">
        <f aca="false">IF(AT271&lt;=0,"",IF(CG271="Aussen","Aussenlager",IF(CG271="-","Nicht im Lift",IF(AZ271&gt;=1,"Lift",IF(AZ271&lt;=0,"Aussenlager","teilweise")))))</f>
        <v>Lift</v>
      </c>
      <c r="BM271" s="60" t="str">
        <f aca="false">IF(BD271&lt;=0,"",IF(CG271="Aussen","Aussenlager",IF(CG271="-","Nicht im Lift",IF(BJ271&gt;=1,"Lift",IF(BJ271&lt;=0,"Aussenlager","teilweise")))))</f>
        <v>Lift</v>
      </c>
      <c r="BN271" s="60" t="str">
        <f aca="false">IF(A271="","",IF(BW271=1,"Neu; ","")&amp;IF(AND(BW271=0,BR271&lt;0),"negativer Bestand (Export "&amp;BR271&amp;"); ","")&amp;IF(J271&lt;=0,"Kein Verbrauch; ","")&amp;IF(CR271&gt;0,"Lift "&amp;W271&amp;" lt. Liftbericht (Fach "&amp;X271&amp;" Stk); ",IF(CB271=1,"Gebinde geschätzt ("&amp;T271&amp;"); ",IF(CA271=1,"Lose – Tablare geschätzt; ","")))&amp;IF(H271&gt;AW271,"Überbestand "&amp;ROUND(H271-AW271,0)&amp;" Stk / CHF "&amp;ROUND((H271-AW271)*G271,0)&amp;"; ","")&amp;IF(AND(CI271=1,CJ271&lt;CK271),"MAX &lt; MB+LG; ","")&amp;IF(AND(CQ271&gt;0,CP271*10&gt;CQ271),"zu hoch für Tablar; ","")&amp;IF(AND(BW271=0,OR(CI271=1,AB271&lt;&gt;"",U271&lt;&gt;"",V271&lt;&gt;"",AC271&lt;&gt;"")),"manuell übersteuert; ","")&amp;IF(AND(CA271=0,R271=0),"Gebinde unbekannt / Stellmass fehlt; ","")&amp;IF(AND(CA271=0,N(V271)&lt;=0,N(Q271)&lt;=0),"Menge pro Gebinde fehlt (Ist = 1 Gebinde); ","")&amp;BV271)</f>
        <v/>
      </c>
      <c r="BO271" s="60"/>
      <c r="BP271" s="60"/>
      <c r="BQ271" s="67"/>
      <c r="BR271" s="62" t="n">
        <v>4</v>
      </c>
      <c r="BS271" s="62" t="n">
        <v>0</v>
      </c>
      <c r="BT271" s="61" t="n">
        <v>401.4</v>
      </c>
      <c r="BU271" s="62" t="n">
        <v>6</v>
      </c>
      <c r="BV271" s="60"/>
      <c r="BW271" s="65" t="n">
        <v>0</v>
      </c>
      <c r="BX271" s="65" t="n">
        <v>271</v>
      </c>
      <c r="BY271" s="60" t="str">
        <f aca="false">IF(U271&lt;&gt;"",UPPER(TRIM(U271)),IF(CB271=1,UPPER(VLOOKUP(T271,Parameter!$I$27:$K$29,2,0)),IF(P271="","LOSE",P271)))</f>
        <v>S32</v>
      </c>
      <c r="BZ271" s="62" t="n">
        <f aca="false">IF(BY271="LOSE",1,IF(N(V271)&gt;0,V271,IF(CB271=1,MAX(1,N(VLOOKUP(T271,Parameter!$I$27:$K$29,3,0)),H271,N(N271)),IF(N(Q271)&gt;0,Q271,MAX(1,H271)))))</f>
        <v>4</v>
      </c>
      <c r="CA271" s="65" t="n">
        <f aca="false">IF(BY271="LOSE",1,0)</f>
        <v>0</v>
      </c>
      <c r="CB271" s="65" t="n">
        <f aca="false">IF(AND(U271="",OR(P271="",P271="LOSE"),T271&lt;&gt;"",N(S271)&lt;=0,ISNUMBER(MATCH(T271,Parameter!$I$27:$I$29,0))),1,0)</f>
        <v>0</v>
      </c>
      <c r="CC271" s="65" t="n">
        <f aca="false">IF(CR271&gt;0,INDEX(Parameter!$H$5:$H$7,W271)/INDEX(Parameter!$E$5:$E$7,W271),IF(AND(CA271=0,N(IFERROR(VLOOKUP(BY271,'Gebinde-Kategorie'!$A$5:$N$45,14,0),0))&gt;0),VLOOKUP(BY271,'Gebinde-Kategorie'!$A$5:$N$45,14,0)*10+Parameter!$M$23,Parameter!$M$24))</f>
        <v>155</v>
      </c>
      <c r="CD271" s="60" t="str">
        <f aca="false">IF(AND(Parameter!$B$19="Ja",E271&lt;&gt;"",ISNUMBER(MATCH(E271,Parameter!$I$35:$I$52,0))),VLOOKUP(E271,Parameter!$I$35:$J$52,2,0),IFERROR(VLOOKUP(D271,Parameter!$A$35:$C$64,2,0),"Nein"))</f>
        <v>2+3</v>
      </c>
      <c r="CE271" s="64" t="n">
        <f aca="false">IF(CA271=0,0,IF(N(S271)&gt;0,S271,IFERROR(VLOOKUP(D271,Parameter!$A$35:$C$64,3,0)+0,0)))</f>
        <v>0</v>
      </c>
      <c r="CF271" s="60" t="n">
        <f aca="false">IF(AB271&lt;&gt;"",AB271,AA271)</f>
        <v>1</v>
      </c>
      <c r="CG271" s="60" t="str">
        <f aca="false">IF(OR(CF271=1,CF271=2,CF271=3),IF(Parameter!$E$27="Ja","LIFT",IF(CF271=1,"L1","L23")),IF(CF271="Aussen","Aussen","-"))</f>
        <v>LIFT</v>
      </c>
      <c r="CH271" s="71" t="n">
        <f aca="false">IF(N(AC271)&gt;0,AC271,0)</f>
        <v>0</v>
      </c>
      <c r="CI271" s="65" t="n">
        <f aca="false">IF(ISNUMBER(AF271),1,0)</f>
        <v>0</v>
      </c>
      <c r="CJ271" s="62" t="n">
        <f aca="false">N(AF271)</f>
        <v>0</v>
      </c>
      <c r="CK271" s="62" t="n">
        <f aca="false">N(M271)+N(N271)</f>
        <v>5</v>
      </c>
      <c r="CL271" s="62" t="n">
        <f aca="false">N(M271)</f>
        <v>0</v>
      </c>
      <c r="CM271" s="62" t="n">
        <f aca="false">N(N271)</f>
        <v>5</v>
      </c>
      <c r="CN271" s="62" t="n">
        <f aca="false">ROUNDUP(H271/BZ271,0)</f>
        <v>1</v>
      </c>
      <c r="CO271" s="62" t="n">
        <f aca="false">ROUNDUP(CJ271/BZ271,0)</f>
        <v>0</v>
      </c>
      <c r="CP271" s="65" t="n">
        <f aca="false">IF(CA271=1,0,IFERROR(VLOOKUP(BY271,'Gebinde-Kategorie'!$A$5:$N$45,5,0)+0,0))</f>
        <v>8</v>
      </c>
      <c r="CQ271" s="65" t="n">
        <f aca="false">IFERROR(IF(OR(CF271=1,CF271=2,CF271=3),N(INDEX(Parameter!$I$5:$I$7,CF271)),0),0)</f>
        <v>0</v>
      </c>
      <c r="CR271" s="64" t="n">
        <f aca="false">IF(AND(Parameter!$B$21="Ja",ISNUMBER(W271),N(X271)&gt;0),IFERROR(N(INDEX(Parameter!$L$5:$L$7,W271))*INDEX(Parameter!$E$5:$E$7,W271)*X271/SUMIFS($X$7:$X$1843,$W$7:$W$1843,W271),0),0)</f>
        <v>0</v>
      </c>
      <c r="CS271" s="62" t="n">
        <f aca="false">IF(AND(OR(CG271="L1",CG271="L23",CG271="LIFT"),H271&gt;0),CC271*IF(CR271&gt;0,CR271*MAX(1,H271/X271),IF(CA271=1,CE271,IF(R271&gt;0,CN271/R271,0))/MAX(0.1,N(Parameter!$M$21))),"")</f>
        <v>1.49038461538462</v>
      </c>
      <c r="CT271" s="64" t="n">
        <f aca="false">IF(CS271="","",J271/H271)</f>
        <v>1.5</v>
      </c>
      <c r="CU271" s="62" t="n">
        <f aca="false">IF(CS271="","",H271*G271)</f>
        <v>401.4</v>
      </c>
      <c r="CV271" s="63" t="n">
        <f aca="false">IF(CS271="","",(CL271+ROUNDUP(CL271+MAX(CM271,2*(J271/MAX(0.1,N(Einkauf!$C$6))-CL271)),0))/2)</f>
        <v>2.5</v>
      </c>
      <c r="CW271" s="62" t="n">
        <f aca="false">IF(CS271="","",MAX(0,H271-CV271)*G271)</f>
        <v>150.525</v>
      </c>
      <c r="CX271" s="62" t="n">
        <f aca="false">IF(CS271="","",CS271*MAX(0,1-CV271/H271))</f>
        <v>0.558894230769231</v>
      </c>
      <c r="CY271" s="64" t="n">
        <f aca="false">IF(CS271="","",PERCENTRANK($CS$7:$CS$1843,CS271)+PERCENTRANK($CU$7:$CU$1843,CU271)+1-PERCENTRANK($CT$7:$CT$1843,CT271))</f>
        <v>0.84</v>
      </c>
      <c r="CZ271" s="72" t="n">
        <f aca="false">IF(CS271="","",CHOOSE(MATCH(Einkauf!$C$5,Parameter!$G$23:$G$27,0),CY271,CS271,CU271,-CT271,CW271)+ROW()/1000000000)</f>
        <v>0.840000271</v>
      </c>
    </row>
    <row r="272" customFormat="false" ht="15" hidden="false" customHeight="false" outlineLevel="0" collapsed="false">
      <c r="A272" s="60" t="s">
        <v>763</v>
      </c>
      <c r="B272" s="60" t="s">
        <v>764</v>
      </c>
      <c r="C272" s="60" t="s">
        <v>206</v>
      </c>
      <c r="D272" s="60" t="s">
        <v>226</v>
      </c>
      <c r="E272" s="60" t="s">
        <v>227</v>
      </c>
      <c r="F272" s="60" t="s">
        <v>260</v>
      </c>
      <c r="G272" s="61" t="n">
        <v>38.7</v>
      </c>
      <c r="H272" s="62" t="n">
        <f aca="false">MAX(0,IF(AND(Parameter!$B$21="Ja",ISNUMBER(Y272)),Y272,IF(Parameter!$B$20="Jahresanfang 2025 + Export",BS272+BR272,BR272)))</f>
        <v>21</v>
      </c>
      <c r="I272" s="62" t="n">
        <f aca="false">H272*G272</f>
        <v>812.7</v>
      </c>
      <c r="J272" s="62" t="n">
        <f aca="false">BU272*Parameter!$B$18</f>
        <v>13</v>
      </c>
      <c r="K272" s="63" t="n">
        <v>17</v>
      </c>
      <c r="L272" s="64" t="n">
        <v>0.764705882352941</v>
      </c>
      <c r="M272" s="62" t="n">
        <v>1</v>
      </c>
      <c r="N272" s="62" t="n">
        <v>15</v>
      </c>
      <c r="O272" s="65" t="n">
        <v>28</v>
      </c>
      <c r="P272" s="60" t="s">
        <v>463</v>
      </c>
      <c r="Q272" s="62" t="n">
        <v>31</v>
      </c>
      <c r="R272" s="65" t="n">
        <f aca="false">IF(CA272=1,0,IFERROR(VLOOKUP(BY272,'Gebinde-Kategorie'!$A$5:$N$45,13,0)+0,0))</f>
        <v>104</v>
      </c>
      <c r="S272" s="66"/>
      <c r="T272" s="67"/>
      <c r="U272" s="67"/>
      <c r="V272" s="67"/>
      <c r="W272" s="60"/>
      <c r="X272" s="62"/>
      <c r="Y272" s="62"/>
      <c r="Z272" s="60" t="n">
        <v>1</v>
      </c>
      <c r="AA272" s="60" t="n">
        <f aca="false">IF(A272="","",IF(AND(Parameter!$B$21="Ja",ISNUMBER(W272)),W272,IF(AND(Parameter!$E$27="Ja",ISNUMBER(Z272),CD272&lt;&gt;"Nein"),Z272,IF(CD272="2+3",IF(ISNUMBER(SEARCH("grosser Artikel",BV272)),2,IFERROR(VLOOKUP(BY272,Parameter!$F$35:$G$64,2,0),2)),IF(OR(CD272="Nein",CD272=""),"-",CD272)))))</f>
        <v>1</v>
      </c>
      <c r="AB272" s="67"/>
      <c r="AC272" s="68"/>
      <c r="AD272" s="62" t="n">
        <f aca="false">AW272</f>
        <v>16</v>
      </c>
      <c r="AE272" s="62" t="n">
        <f aca="false">MAX(AW272,H272)</f>
        <v>21</v>
      </c>
      <c r="AF272" s="69"/>
      <c r="AG272" s="62" t="n">
        <f aca="false">IF(LEFT(Cockpit!$C$5,1)="A",H272,IF(Parameter!$E$30="MAX-Bestand",IF(CI272=1,CJ272,IF(LEFT(Cockpit!$C$5,1)="B",AM272,MAX(AM272,H272))),ROUNDUP(AK272,0)))</f>
        <v>21</v>
      </c>
      <c r="AH272" s="62" t="n">
        <f aca="false">IF(CA272=1,0,ROUNDUP(AG272/BZ272,0))</f>
        <v>1</v>
      </c>
      <c r="AI272" s="64" t="n">
        <f aca="false">IF(CR272&gt;0,CR272*MAX(1,AG272/X272),IF(CA272=1,IF(AG272&lt;=0,0,CE272*MAX(1,IF(H272&gt;0,AG272/H272,1))),IF(R272&gt;0,AH272/R272,0))/MAX(0.1,N(Parameter!$M$21)))</f>
        <v>0.00961538461538462</v>
      </c>
      <c r="AJ272" s="62" t="n">
        <f aca="false">AI272*CC272</f>
        <v>1.49038461538462</v>
      </c>
      <c r="AK272" s="63" t="n">
        <f aca="false">IF(LEFT(Cockpit!$C$5,1)="A",H272,IF(CI272=1,(CL272+CJ272)/2,IF(LEFT(Cockpit!$C$5,1)="B",(CL272+AM272)/2,MAX((CL272+AM272)/2,H272))))</f>
        <v>21</v>
      </c>
      <c r="AL272" s="62" t="n">
        <f aca="false">AK272*G272</f>
        <v>812.7</v>
      </c>
      <c r="AM272" s="62" t="n">
        <f aca="false">ROUNDUP(CL272+MAX(CM272,2*(J272/IF(CH272&gt;0,CH272,MAX(0.1,N(Cockpit!$C$6)))-CL272)),0)</f>
        <v>16</v>
      </c>
      <c r="AN272" s="63" t="n">
        <f aca="false">IF(AJ272&gt;0,J272/AJ272,-1)</f>
        <v>8.72258064516129</v>
      </c>
      <c r="AO272" s="63" t="n">
        <f aca="false">IF(AND(OR(CG272="L1",CG272="L23",CG272="LIFT"),AJ272&gt;0),SUMIFS($AJ$7:$AJ$1843,$CG$7:$CG$1843,CG272,$AN$7:$AN$1843,"&gt;"&amp;AN272)+SUMIFS($AJ$7:$AJ$1843,$CG$7:$CG$1843,CG272,$AN$7:$AN$1843,AN272,$BX$7:$BX$1843,"&lt;="&amp;BX272),"")</f>
        <v>2949.43956043956</v>
      </c>
      <c r="AP272" s="70" t="n">
        <f aca="false">IF(AO272="",0,MAX(0,MIN(1,(IF(CG272="L1",Parameter!$H$5,IF(CG272="L23",Parameter!$H$6+Parameter!$H$7,Parameter!$H$5+Parameter!$H$6+Parameter!$H$7))-(AO272-AJ272))/AJ272)))</f>
        <v>1</v>
      </c>
      <c r="AQ272" s="62" t="n">
        <f aca="false">IF(LEFT(Cockpit!$I$5,1)="A",H272,IF(Parameter!$E$30="MAX-Bestand",IF(CI272=1,CJ272,IF(LEFT(Cockpit!$I$5,1)="B",AW272,MAX(AW272,H272))),ROUNDUP(AU272,0)))</f>
        <v>21</v>
      </c>
      <c r="AR272" s="62" t="n">
        <f aca="false">IF(CA272=1,0,ROUNDUP(AQ272/BZ272,0))</f>
        <v>1</v>
      </c>
      <c r="AS272" s="64" t="n">
        <f aca="false">IF(CR272&gt;0,CR272*MAX(1,AQ272/X272),IF(CA272=1,IF(AQ272&lt;=0,0,CE272*MAX(1,IF(H272&gt;0,AQ272/H272,1))),IF(R272&gt;0,AR272/R272,0))/MAX(0.1,N(Parameter!$M$21)))</f>
        <v>0.00961538461538462</v>
      </c>
      <c r="AT272" s="62" t="n">
        <f aca="false">AS272*CC272</f>
        <v>1.49038461538462</v>
      </c>
      <c r="AU272" s="63" t="n">
        <f aca="false">IF(LEFT(Cockpit!$I$5,1)="A",H272,IF(CI272=1,(CL272+CJ272)/2,IF(LEFT(Cockpit!$I$5,1)="B",(CL272+AW272)/2,MAX((CL272+AW272)/2,H272))))</f>
        <v>21</v>
      </c>
      <c r="AV272" s="62" t="n">
        <f aca="false">AU272*G272</f>
        <v>812.7</v>
      </c>
      <c r="AW272" s="62" t="n">
        <f aca="false">ROUNDUP(CL272+MAX(CM272,2*(J272/IF(CH272&gt;0,CH272,MAX(0.1,N(Cockpit!$I$6)))-CL272)),0)</f>
        <v>16</v>
      </c>
      <c r="AX272" s="63" t="n">
        <f aca="false">IF(AT272&gt;0,J272/AT272,-1)</f>
        <v>8.72258064516129</v>
      </c>
      <c r="AY272" s="63" t="n">
        <f aca="false">IF(AND(OR(CG272="L1",CG272="L23",CG272="LIFT"),AT272&gt;0),SUMIFS($AT$7:$AT$1843,$CG$7:$CG$1843,CG272,$AX$7:$AX$1843,"&gt;"&amp;AX272)+SUMIFS($AT$7:$AT$1843,$CG$7:$CG$1843,CG272,$AX$7:$AX$1843,AX272,$BX$7:$BX$1843,"&lt;="&amp;BX272),"")</f>
        <v>3564.42765567766</v>
      </c>
      <c r="AZ272" s="70" t="n">
        <f aca="false">IF(AY272="",0,MAX(0,MIN(1,(IF(CG272="L1",Parameter!$H$5,IF(CG272="L23",Parameter!$H$6+Parameter!$H$7,Parameter!$H$5+Parameter!$H$6+Parameter!$H$7))-(AY272-AT272))/AT272)))</f>
        <v>1</v>
      </c>
      <c r="BA272" s="62" t="n">
        <f aca="false">IF(LEFT(Cockpit!$O$5,1)="A",H272,IF(Parameter!$E$30="MAX-Bestand",IF(CI272=1,CJ272,IF(LEFT(Cockpit!$O$5,1)="B",BG272,MAX(BG272,H272))),ROUNDUP(BE272,0)))</f>
        <v>9</v>
      </c>
      <c r="BB272" s="62" t="n">
        <f aca="false">IF(CA272=1,0,ROUNDUP(BA272/BZ272,0))</f>
        <v>1</v>
      </c>
      <c r="BC272" s="64" t="n">
        <f aca="false">IF(CR272&gt;0,CR272*MAX(1,BA272/X272),IF(CA272=1,IF(BA272&lt;=0,0,CE272*MAX(1,IF(H272&gt;0,BA272/H272,1))),IF(R272&gt;0,BB272/R272,0))/MAX(0.1,N(Parameter!$M$21)))</f>
        <v>0.00961538461538462</v>
      </c>
      <c r="BD272" s="62" t="n">
        <f aca="false">BC272*CC272</f>
        <v>1.49038461538462</v>
      </c>
      <c r="BE272" s="63" t="n">
        <f aca="false">IF(LEFT(Cockpit!$O$5,1)="A",H272,IF(CI272=1,(CL272+CJ272)/2,IF(LEFT(Cockpit!$O$5,1)="B",(CL272+BG272)/2,MAX((CL272+BG272)/2,H272))))</f>
        <v>8.5</v>
      </c>
      <c r="BF272" s="62" t="n">
        <f aca="false">BE272*G272</f>
        <v>328.95</v>
      </c>
      <c r="BG272" s="62" t="n">
        <f aca="false">ROUNDUP(CL272+MAX(CM272,2*(J272/IF(CH272&gt;0,CH272,MAX(0.1,N(Cockpit!$O$6)))-CL272)),0)</f>
        <v>16</v>
      </c>
      <c r="BH272" s="63" t="n">
        <f aca="false">IF(BD272&gt;0,J272/BD272,-1)</f>
        <v>8.72258064516129</v>
      </c>
      <c r="BI272" s="63" t="n">
        <f aca="false">IF(AND(OR(CG272="L1",CG272="L23",CG272="LIFT"),BD272&gt;0),SUMIFS($BD$7:$BD$1843,$CG$7:$CG$1843,CG272,$BH$7:$BH$1843,"&gt;"&amp;BH272)+SUMIFS($BD$7:$BD$1843,$CG$7:$CG$1843,CG272,$BH$7:$BH$1843,BH272,$BX$7:$BX$1843,"&lt;="&amp;BX272),"")</f>
        <v>2887.70695970696</v>
      </c>
      <c r="BJ272" s="70" t="n">
        <f aca="false">IF(BI272="",0,MAX(0,MIN(1,(IF(CG272="L1",Parameter!$H$5,IF(CG272="L23",Parameter!$H$6+Parameter!$H$7,Parameter!$H$5+Parameter!$H$6+Parameter!$H$7))-(BI272-BD272))/BD272)))</f>
        <v>1</v>
      </c>
      <c r="BK272" s="60" t="str">
        <f aca="false">IF(AJ272&lt;=0,"",IF(CG272="Aussen","Aussenlager",IF(CG272="-","Nicht im Lift",IF(AP272&gt;=1,"Lift",IF(AP272&lt;=0,"Aussenlager","teilweise")))))</f>
        <v>Lift</v>
      </c>
      <c r="BL272" s="60" t="str">
        <f aca="false">IF(AT272&lt;=0,"",IF(CG272="Aussen","Aussenlager",IF(CG272="-","Nicht im Lift",IF(AZ272&gt;=1,"Lift",IF(AZ272&lt;=0,"Aussenlager","teilweise")))))</f>
        <v>Lift</v>
      </c>
      <c r="BM272" s="60" t="str">
        <f aca="false">IF(BD272&lt;=0,"",IF(CG272="Aussen","Aussenlager",IF(CG272="-","Nicht im Lift",IF(BJ272&gt;=1,"Lift",IF(BJ272&lt;=0,"Aussenlager","teilweise")))))</f>
        <v>Lift</v>
      </c>
      <c r="BN272" s="60" t="str">
        <f aca="false">IF(A272="","",IF(BW272=1,"Neu; ","")&amp;IF(AND(BW272=0,BR272&lt;0),"negativer Bestand (Export "&amp;BR272&amp;"); ","")&amp;IF(J272&lt;=0,"Kein Verbrauch; ","")&amp;IF(CR272&gt;0,"Lift "&amp;W272&amp;" lt. Liftbericht (Fach "&amp;X272&amp;" Stk); ",IF(CB272=1,"Gebinde geschätzt ("&amp;T272&amp;"); ",IF(CA272=1,"Lose – Tablare geschätzt; ","")))&amp;IF(H272&gt;AW272,"Überbestand "&amp;ROUND(H272-AW272,0)&amp;" Stk / CHF "&amp;ROUND((H272-AW272)*G272,0)&amp;"; ","")&amp;IF(AND(CI272=1,CJ272&lt;CK272),"MAX &lt; MB+LG; ","")&amp;IF(AND(CQ272&gt;0,CP272*10&gt;CQ272),"zu hoch für Tablar; ","")&amp;IF(AND(BW272=0,OR(CI272=1,AB272&lt;&gt;"",U272&lt;&gt;"",V272&lt;&gt;"",AC272&lt;&gt;"")),"manuell übersteuert; ","")&amp;IF(AND(CA272=0,R272=0),"Gebinde unbekannt / Stellmass fehlt; ","")&amp;IF(AND(CA272=0,N(V272)&lt;=0,N(Q272)&lt;=0),"Menge pro Gebinde fehlt (Ist = 1 Gebinde); ","")&amp;BV272)</f>
        <v>Überbestand 5 Stk / CHF 194; </v>
      </c>
      <c r="BO272" s="60"/>
      <c r="BP272" s="60"/>
      <c r="BQ272" s="67"/>
      <c r="BR272" s="62" t="n">
        <v>10</v>
      </c>
      <c r="BS272" s="62" t="n">
        <v>11</v>
      </c>
      <c r="BT272" s="61" t="n">
        <v>387</v>
      </c>
      <c r="BU272" s="62" t="n">
        <v>13</v>
      </c>
      <c r="BV272" s="60"/>
      <c r="BW272" s="65" t="n">
        <v>0</v>
      </c>
      <c r="BX272" s="65" t="n">
        <v>272</v>
      </c>
      <c r="BY272" s="60" t="str">
        <f aca="false">IF(U272&lt;&gt;"",UPPER(TRIM(U272)),IF(CB272=1,UPPER(VLOOKUP(T272,Parameter!$I$27:$K$29,2,0)),IF(P272="","LOSE",P272)))</f>
        <v>S32</v>
      </c>
      <c r="BZ272" s="62" t="n">
        <f aca="false">IF(BY272="LOSE",1,IF(N(V272)&gt;0,V272,IF(CB272=1,MAX(1,N(VLOOKUP(T272,Parameter!$I$27:$K$29,3,0)),H272,N(N272)),IF(N(Q272)&gt;0,Q272,MAX(1,H272)))))</f>
        <v>31</v>
      </c>
      <c r="CA272" s="65" t="n">
        <f aca="false">IF(BY272="LOSE",1,0)</f>
        <v>0</v>
      </c>
      <c r="CB272" s="65" t="n">
        <f aca="false">IF(AND(U272="",OR(P272="",P272="LOSE"),T272&lt;&gt;"",N(S272)&lt;=0,ISNUMBER(MATCH(T272,Parameter!$I$27:$I$29,0))),1,0)</f>
        <v>0</v>
      </c>
      <c r="CC272" s="65" t="n">
        <f aca="false">IF(CR272&gt;0,INDEX(Parameter!$H$5:$H$7,W272)/INDEX(Parameter!$E$5:$E$7,W272),IF(AND(CA272=0,N(IFERROR(VLOOKUP(BY272,'Gebinde-Kategorie'!$A$5:$N$45,14,0),0))&gt;0),VLOOKUP(BY272,'Gebinde-Kategorie'!$A$5:$N$45,14,0)*10+Parameter!$M$23,Parameter!$M$24))</f>
        <v>155</v>
      </c>
      <c r="CD272" s="60" t="str">
        <f aca="false">IF(AND(Parameter!$B$19="Ja",E272&lt;&gt;"",ISNUMBER(MATCH(E272,Parameter!$I$35:$I$52,0))),VLOOKUP(E272,Parameter!$I$35:$J$52,2,0),IFERROR(VLOOKUP(D272,Parameter!$A$35:$C$64,2,0),"Nein"))</f>
        <v>2+3</v>
      </c>
      <c r="CE272" s="64" t="n">
        <f aca="false">IF(CA272=0,0,IF(N(S272)&gt;0,S272,IFERROR(VLOOKUP(D272,Parameter!$A$35:$C$64,3,0)+0,0)))</f>
        <v>0</v>
      </c>
      <c r="CF272" s="60" t="n">
        <f aca="false">IF(AB272&lt;&gt;"",AB272,AA272)</f>
        <v>1</v>
      </c>
      <c r="CG272" s="60" t="str">
        <f aca="false">IF(OR(CF272=1,CF272=2,CF272=3),IF(Parameter!$E$27="Ja","LIFT",IF(CF272=1,"L1","L23")),IF(CF272="Aussen","Aussen","-"))</f>
        <v>LIFT</v>
      </c>
      <c r="CH272" s="71" t="n">
        <f aca="false">IF(N(AC272)&gt;0,AC272,0)</f>
        <v>0</v>
      </c>
      <c r="CI272" s="65" t="n">
        <f aca="false">IF(ISNUMBER(AF272),1,0)</f>
        <v>0</v>
      </c>
      <c r="CJ272" s="62" t="n">
        <f aca="false">N(AF272)</f>
        <v>0</v>
      </c>
      <c r="CK272" s="62" t="n">
        <f aca="false">N(M272)+N(N272)</f>
        <v>16</v>
      </c>
      <c r="CL272" s="62" t="n">
        <f aca="false">N(M272)</f>
        <v>1</v>
      </c>
      <c r="CM272" s="62" t="n">
        <f aca="false">N(N272)</f>
        <v>15</v>
      </c>
      <c r="CN272" s="62" t="n">
        <f aca="false">ROUNDUP(H272/BZ272,0)</f>
        <v>1</v>
      </c>
      <c r="CO272" s="62" t="n">
        <f aca="false">ROUNDUP(CJ272/BZ272,0)</f>
        <v>0</v>
      </c>
      <c r="CP272" s="65" t="n">
        <f aca="false">IF(CA272=1,0,IFERROR(VLOOKUP(BY272,'Gebinde-Kategorie'!$A$5:$N$45,5,0)+0,0))</f>
        <v>8</v>
      </c>
      <c r="CQ272" s="65" t="n">
        <f aca="false">IFERROR(IF(OR(CF272=1,CF272=2,CF272=3),N(INDEX(Parameter!$I$5:$I$7,CF272)),0),0)</f>
        <v>0</v>
      </c>
      <c r="CR272" s="64" t="n">
        <f aca="false">IF(AND(Parameter!$B$21="Ja",ISNUMBER(W272),N(X272)&gt;0),IFERROR(N(INDEX(Parameter!$L$5:$L$7,W272))*INDEX(Parameter!$E$5:$E$7,W272)*X272/SUMIFS($X$7:$X$1843,$W$7:$W$1843,W272),0),0)</f>
        <v>0</v>
      </c>
      <c r="CS272" s="62" t="n">
        <f aca="false">IF(AND(OR(CG272="L1",CG272="L23",CG272="LIFT"),H272&gt;0),CC272*IF(CR272&gt;0,CR272*MAX(1,H272/X272),IF(CA272=1,CE272,IF(R272&gt;0,CN272/R272,0))/MAX(0.1,N(Parameter!$M$21))),"")</f>
        <v>1.49038461538462</v>
      </c>
      <c r="CT272" s="64" t="n">
        <f aca="false">IF(CS272="","",J272/H272)</f>
        <v>0.619047619047619</v>
      </c>
      <c r="CU272" s="62" t="n">
        <f aca="false">IF(CS272="","",H272*G272)</f>
        <v>812.7</v>
      </c>
      <c r="CV272" s="63" t="n">
        <f aca="false">IF(CS272="","",(CL272+ROUNDUP(CL272+MAX(CM272,2*(J272/MAX(0.1,N(Einkauf!$C$6))-CL272)),0))/2)</f>
        <v>8.5</v>
      </c>
      <c r="CW272" s="62" t="n">
        <f aca="false">IF(CS272="","",MAX(0,H272-CV272)*G272)</f>
        <v>483.75</v>
      </c>
      <c r="CX272" s="62" t="n">
        <f aca="false">IF(CS272="","",CS272*MAX(0,1-CV272/H272))</f>
        <v>0.8871336996337</v>
      </c>
      <c r="CY272" s="64" t="n">
        <f aca="false">IF(CS272="","",PERCENTRANK($CS$7:$CS$1843,CS272)+PERCENTRANK($CU$7:$CU$1843,CU272)+1-PERCENTRANK($CT$7:$CT$1843,CT272))</f>
        <v>1.152</v>
      </c>
      <c r="CZ272" s="72" t="n">
        <f aca="false">IF(CS272="","",CHOOSE(MATCH(Einkauf!$C$5,Parameter!$G$23:$G$27,0),CY272,CS272,CU272,-CT272,CW272)+ROW()/1000000000)</f>
        <v>1.152000272</v>
      </c>
    </row>
    <row r="273" customFormat="false" ht="15" hidden="false" customHeight="false" outlineLevel="0" collapsed="false">
      <c r="A273" s="60" t="s">
        <v>765</v>
      </c>
      <c r="B273" s="60" t="s">
        <v>766</v>
      </c>
      <c r="C273" s="60" t="s">
        <v>206</v>
      </c>
      <c r="D273" s="60" t="s">
        <v>226</v>
      </c>
      <c r="E273" s="60" t="s">
        <v>227</v>
      </c>
      <c r="F273" s="60" t="s">
        <v>260</v>
      </c>
      <c r="G273" s="61" t="n">
        <v>9.25</v>
      </c>
      <c r="H273" s="62" t="n">
        <f aca="false">MAX(0,IF(AND(Parameter!$B$21="Ja",ISNUMBER(Y273)),Y273,IF(Parameter!$B$20="Jahresanfang 2025 + Export",BS273+BR273,BR273)))</f>
        <v>53</v>
      </c>
      <c r="I273" s="62" t="n">
        <f aca="false">H273*G273</f>
        <v>490.25</v>
      </c>
      <c r="J273" s="62" t="n">
        <f aca="false">BU273*Parameter!$B$18</f>
        <v>8</v>
      </c>
      <c r="K273" s="63" t="n">
        <v>5.5</v>
      </c>
      <c r="L273" s="64" t="n">
        <v>1.45454545454546</v>
      </c>
      <c r="M273" s="62" t="n">
        <v>0</v>
      </c>
      <c r="N273" s="62" t="n">
        <v>10</v>
      </c>
      <c r="O273" s="65" t="n">
        <v>18</v>
      </c>
      <c r="P273" s="60" t="s">
        <v>468</v>
      </c>
      <c r="Q273" s="62" t="n">
        <v>21</v>
      </c>
      <c r="R273" s="65" t="n">
        <f aca="false">IF(CA273=1,0,IFERROR(VLOOKUP(BY273,'Gebinde-Kategorie'!$A$5:$N$45,13,0)+0,0))</f>
        <v>140</v>
      </c>
      <c r="S273" s="66"/>
      <c r="T273" s="67"/>
      <c r="U273" s="67"/>
      <c r="V273" s="67"/>
      <c r="W273" s="60"/>
      <c r="X273" s="62"/>
      <c r="Y273" s="62"/>
      <c r="Z273" s="60" t="n">
        <v>3</v>
      </c>
      <c r="AA273" s="60" t="n">
        <f aca="false">IF(A273="","",IF(AND(Parameter!$B$21="Ja",ISNUMBER(W273)),W273,IF(AND(Parameter!$E$27="Ja",ISNUMBER(Z273),CD273&lt;&gt;"Nein"),Z273,IF(CD273="2+3",IF(ISNUMBER(SEARCH("grosser Artikel",BV273)),2,IFERROR(VLOOKUP(BY273,Parameter!$F$35:$G$64,2,0),2)),IF(OR(CD273="Nein",CD273=""),"-",CD273)))))</f>
        <v>3</v>
      </c>
      <c r="AB273" s="67"/>
      <c r="AC273" s="68"/>
      <c r="AD273" s="62" t="n">
        <f aca="false">AW273</f>
        <v>10</v>
      </c>
      <c r="AE273" s="62" t="n">
        <f aca="false">MAX(AW273,H273)</f>
        <v>53</v>
      </c>
      <c r="AF273" s="69"/>
      <c r="AG273" s="62" t="n">
        <f aca="false">IF(LEFT(Cockpit!$C$5,1)="A",H273,IF(Parameter!$E$30="MAX-Bestand",IF(CI273=1,CJ273,IF(LEFT(Cockpit!$C$5,1)="B",AM273,MAX(AM273,H273))),ROUNDUP(AK273,0)))</f>
        <v>53</v>
      </c>
      <c r="AH273" s="62" t="n">
        <f aca="false">IF(CA273=1,0,ROUNDUP(AG273/BZ273,0))</f>
        <v>3</v>
      </c>
      <c r="AI273" s="64" t="n">
        <f aca="false">IF(CR273&gt;0,CR273*MAX(1,AG273/X273),IF(CA273=1,IF(AG273&lt;=0,0,CE273*MAX(1,IF(H273&gt;0,AG273/H273,1))),IF(R273&gt;0,AH273/R273,0))/MAX(0.1,N(Parameter!$M$21)))</f>
        <v>0.0214285714285714</v>
      </c>
      <c r="AJ273" s="62" t="n">
        <f aca="false">AI273*CC273</f>
        <v>3.32142857142857</v>
      </c>
      <c r="AK273" s="63" t="n">
        <f aca="false">IF(LEFT(Cockpit!$C$5,1)="A",H273,IF(CI273=1,(CL273+CJ273)/2,IF(LEFT(Cockpit!$C$5,1)="B",(CL273+AM273)/2,MAX((CL273+AM273)/2,H273))))</f>
        <v>53</v>
      </c>
      <c r="AL273" s="62" t="n">
        <f aca="false">AK273*G273</f>
        <v>490.25</v>
      </c>
      <c r="AM273" s="62" t="n">
        <f aca="false">ROUNDUP(CL273+MAX(CM273,2*(J273/IF(CH273&gt;0,CH273,MAX(0.1,N(Cockpit!$C$6)))-CL273)),0)</f>
        <v>10</v>
      </c>
      <c r="AN273" s="63" t="n">
        <f aca="false">IF(AJ273&gt;0,J273/AJ273,-1)</f>
        <v>2.40860215053763</v>
      </c>
      <c r="AO273" s="63" t="n">
        <f aca="false">IF(AND(OR(CG273="L1",CG273="L23",CG273="LIFT"),AJ273&gt;0),SUMIFS($AJ$7:$AJ$1843,$CG$7:$CG$1843,CG273,$AN$7:$AN$1843,"&gt;"&amp;AN273)+SUMIFS($AJ$7:$AJ$1843,$CG$7:$CG$1843,CG273,$AN$7:$AN$1843,AN273,$BX$7:$BX$1843,"&lt;="&amp;BX273),"")</f>
        <v>5572.50045787546</v>
      </c>
      <c r="AP273" s="70" t="n">
        <f aca="false">IF(AO273="",0,MAX(0,MIN(1,(IF(CG273="L1",Parameter!$H$5,IF(CG273="L23",Parameter!$H$6+Parameter!$H$7,Parameter!$H$5+Parameter!$H$6+Parameter!$H$7))-(AO273-AJ273))/AJ273)))</f>
        <v>1</v>
      </c>
      <c r="AQ273" s="62" t="n">
        <f aca="false">IF(LEFT(Cockpit!$I$5,1)="A",H273,IF(Parameter!$E$30="MAX-Bestand",IF(CI273=1,CJ273,IF(LEFT(Cockpit!$I$5,1)="B",AW273,MAX(AW273,H273))),ROUNDUP(AU273,0)))</f>
        <v>53</v>
      </c>
      <c r="AR273" s="62" t="n">
        <f aca="false">IF(CA273=1,0,ROUNDUP(AQ273/BZ273,0))</f>
        <v>3</v>
      </c>
      <c r="AS273" s="64" t="n">
        <f aca="false">IF(CR273&gt;0,CR273*MAX(1,AQ273/X273),IF(CA273=1,IF(AQ273&lt;=0,0,CE273*MAX(1,IF(H273&gt;0,AQ273/H273,1))),IF(R273&gt;0,AR273/R273,0))/MAX(0.1,N(Parameter!$M$21)))</f>
        <v>0.0214285714285714</v>
      </c>
      <c r="AT273" s="62" t="n">
        <f aca="false">AS273*CC273</f>
        <v>3.32142857142857</v>
      </c>
      <c r="AU273" s="63" t="n">
        <f aca="false">IF(LEFT(Cockpit!$I$5,1)="A",H273,IF(CI273=1,(CL273+CJ273)/2,IF(LEFT(Cockpit!$I$5,1)="B",(CL273+AW273)/2,MAX((CL273+AW273)/2,H273))))</f>
        <v>53</v>
      </c>
      <c r="AV273" s="62" t="n">
        <f aca="false">AU273*G273</f>
        <v>490.25</v>
      </c>
      <c r="AW273" s="62" t="n">
        <f aca="false">ROUNDUP(CL273+MAX(CM273,2*(J273/IF(CH273&gt;0,CH273,MAX(0.1,N(Cockpit!$I$6)))-CL273)),0)</f>
        <v>10</v>
      </c>
      <c r="AX273" s="63" t="n">
        <f aca="false">IF(AT273&gt;0,J273/AT273,-1)</f>
        <v>2.40860215053763</v>
      </c>
      <c r="AY273" s="63" t="n">
        <f aca="false">IF(AND(OR(CG273="L1",CG273="L23",CG273="LIFT"),AT273&gt;0),SUMIFS($AT$7:$AT$1843,$CG$7:$CG$1843,CG273,$AX$7:$AX$1843,"&gt;"&amp;AX273)+SUMIFS($AT$7:$AT$1843,$CG$7:$CG$1843,CG273,$AX$7:$AX$1843,AX273,$BX$7:$BX$1843,"&lt;="&amp;BX273),"")</f>
        <v>6406.97847985348</v>
      </c>
      <c r="AZ273" s="70" t="n">
        <f aca="false">IF(AY273="",0,MAX(0,MIN(1,(IF(CG273="L1",Parameter!$H$5,IF(CG273="L23",Parameter!$H$6+Parameter!$H$7,Parameter!$H$5+Parameter!$H$6+Parameter!$H$7))-(AY273-AT273))/AT273)))</f>
        <v>1</v>
      </c>
      <c r="BA273" s="62" t="n">
        <f aca="false">IF(LEFT(Cockpit!$O$5,1)="A",H273,IF(Parameter!$E$30="MAX-Bestand",IF(CI273=1,CJ273,IF(LEFT(Cockpit!$O$5,1)="B",BG273,MAX(BG273,H273))),ROUNDUP(BE273,0)))</f>
        <v>5</v>
      </c>
      <c r="BB273" s="62" t="n">
        <f aca="false">IF(CA273=1,0,ROUNDUP(BA273/BZ273,0))</f>
        <v>1</v>
      </c>
      <c r="BC273" s="64" t="n">
        <f aca="false">IF(CR273&gt;0,CR273*MAX(1,BA273/X273),IF(CA273=1,IF(BA273&lt;=0,0,CE273*MAX(1,IF(H273&gt;0,BA273/H273,1))),IF(R273&gt;0,BB273/R273,0))/MAX(0.1,N(Parameter!$M$21)))</f>
        <v>0.00714285714285714</v>
      </c>
      <c r="BD273" s="62" t="n">
        <f aca="false">BC273*CC273</f>
        <v>1.10714285714286</v>
      </c>
      <c r="BE273" s="63" t="n">
        <f aca="false">IF(LEFT(Cockpit!$O$5,1)="A",H273,IF(CI273=1,(CL273+CJ273)/2,IF(LEFT(Cockpit!$O$5,1)="B",(CL273+BG273)/2,MAX((CL273+BG273)/2,H273))))</f>
        <v>5</v>
      </c>
      <c r="BF273" s="62" t="n">
        <f aca="false">BE273*G273</f>
        <v>46.25</v>
      </c>
      <c r="BG273" s="62" t="n">
        <f aca="false">ROUNDUP(CL273+MAX(CM273,2*(J273/IF(CH273&gt;0,CH273,MAX(0.1,N(Cockpit!$O$6)))-CL273)),0)</f>
        <v>10</v>
      </c>
      <c r="BH273" s="63" t="n">
        <f aca="false">IF(BD273&gt;0,J273/BD273,-1)</f>
        <v>7.2258064516129</v>
      </c>
      <c r="BI273" s="63" t="n">
        <f aca="false">IF(AND(OR(CG273="L1",CG273="L23",CG273="LIFT"),BD273&gt;0),SUMIFS($BD$7:$BD$1843,$CG$7:$CG$1843,CG273,$BH$7:$BH$1843,"&gt;"&amp;BH273)+SUMIFS($BD$7:$BD$1843,$CG$7:$CG$1843,CG273,$BH$7:$BH$1843,BH273,$BX$7:$BX$1843,"&lt;="&amp;BX273),"")</f>
        <v>3236.47710622711</v>
      </c>
      <c r="BJ273" s="70" t="n">
        <f aca="false">IF(BI273="",0,MAX(0,MIN(1,(IF(CG273="L1",Parameter!$H$5,IF(CG273="L23",Parameter!$H$6+Parameter!$H$7,Parameter!$H$5+Parameter!$H$6+Parameter!$H$7))-(BI273-BD273))/BD273)))</f>
        <v>1</v>
      </c>
      <c r="BK273" s="60" t="str">
        <f aca="false">IF(AJ273&lt;=0,"",IF(CG273="Aussen","Aussenlager",IF(CG273="-","Nicht im Lift",IF(AP273&gt;=1,"Lift",IF(AP273&lt;=0,"Aussenlager","teilweise")))))</f>
        <v>Lift</v>
      </c>
      <c r="BL273" s="60" t="str">
        <f aca="false">IF(AT273&lt;=0,"",IF(CG273="Aussen","Aussenlager",IF(CG273="-","Nicht im Lift",IF(AZ273&gt;=1,"Lift",IF(AZ273&lt;=0,"Aussenlager","teilweise")))))</f>
        <v>Lift</v>
      </c>
      <c r="BM273" s="60" t="str">
        <f aca="false">IF(BD273&lt;=0,"",IF(CG273="Aussen","Aussenlager",IF(CG273="-","Nicht im Lift",IF(BJ273&gt;=1,"Lift",IF(BJ273&lt;=0,"Aussenlager","teilweise")))))</f>
        <v>Lift</v>
      </c>
      <c r="BN273" s="60" t="str">
        <f aca="false">IF(A273="","",IF(BW273=1,"Neu; ","")&amp;IF(AND(BW273=0,BR273&lt;0),"negativer Bestand (Export "&amp;BR273&amp;"); ","")&amp;IF(J273&lt;=0,"Kein Verbrauch; ","")&amp;IF(CR273&gt;0,"Lift "&amp;W273&amp;" lt. Liftbericht (Fach "&amp;X273&amp;" Stk); ",IF(CB273=1,"Gebinde geschätzt ("&amp;T273&amp;"); ",IF(CA273=1,"Lose – Tablare geschätzt; ","")))&amp;IF(H273&gt;AW273,"Überbestand "&amp;ROUND(H273-AW273,0)&amp;" Stk / CHF "&amp;ROUND((H273-AW273)*G273,0)&amp;"; ","")&amp;IF(AND(CI273=1,CJ273&lt;CK273),"MAX &lt; MB+LG; ","")&amp;IF(AND(CQ273&gt;0,CP273*10&gt;CQ273),"zu hoch für Tablar; ","")&amp;IF(AND(BW273=0,OR(CI273=1,AB273&lt;&gt;"",U273&lt;&gt;"",V273&lt;&gt;"",AC273&lt;&gt;"")),"manuell übersteuert; ","")&amp;IF(AND(CA273=0,R273=0),"Gebinde unbekannt / Stellmass fehlt; ","")&amp;IF(AND(CA273=0,N(V273)&lt;=0,N(Q273)&lt;=0),"Menge pro Gebinde fehlt (Ist = 1 Gebinde); ","")&amp;BV273)</f>
        <v>Überbestand 43 Stk / CHF 398; </v>
      </c>
      <c r="BO273" s="60"/>
      <c r="BP273" s="60"/>
      <c r="BQ273" s="67"/>
      <c r="BR273" s="62" t="n">
        <v>44</v>
      </c>
      <c r="BS273" s="62" t="n">
        <v>9</v>
      </c>
      <c r="BT273" s="61" t="n">
        <v>378.38</v>
      </c>
      <c r="BU273" s="62" t="n">
        <v>8</v>
      </c>
      <c r="BV273" s="60"/>
      <c r="BW273" s="65" t="n">
        <v>0</v>
      </c>
      <c r="BX273" s="65" t="n">
        <v>273</v>
      </c>
      <c r="BY273" s="60" t="str">
        <f aca="false">IF(U273&lt;&gt;"",UPPER(TRIM(U273)),IF(CB273=1,UPPER(VLOOKUP(T273,Parameter!$I$27:$K$29,2,0)),IF(P273="","LOSE",P273)))</f>
        <v>S22</v>
      </c>
      <c r="BZ273" s="62" t="n">
        <f aca="false">IF(BY273="LOSE",1,IF(N(V273)&gt;0,V273,IF(CB273=1,MAX(1,N(VLOOKUP(T273,Parameter!$I$27:$K$29,3,0)),H273,N(N273)),IF(N(Q273)&gt;0,Q273,MAX(1,H273)))))</f>
        <v>21</v>
      </c>
      <c r="CA273" s="65" t="n">
        <f aca="false">IF(BY273="LOSE",1,0)</f>
        <v>0</v>
      </c>
      <c r="CB273" s="65" t="n">
        <f aca="false">IF(AND(U273="",OR(P273="",P273="LOSE"),T273&lt;&gt;"",N(S273)&lt;=0,ISNUMBER(MATCH(T273,Parameter!$I$27:$I$29,0))),1,0)</f>
        <v>0</v>
      </c>
      <c r="CC273" s="65" t="n">
        <f aca="false">IF(CR273&gt;0,INDEX(Parameter!$H$5:$H$7,W273)/INDEX(Parameter!$E$5:$E$7,W273),IF(AND(CA273=0,N(IFERROR(VLOOKUP(BY273,'Gebinde-Kategorie'!$A$5:$N$45,14,0),0))&gt;0),VLOOKUP(BY273,'Gebinde-Kategorie'!$A$5:$N$45,14,0)*10+Parameter!$M$23,Parameter!$M$24))</f>
        <v>155</v>
      </c>
      <c r="CD273" s="60" t="str">
        <f aca="false">IF(AND(Parameter!$B$19="Ja",E273&lt;&gt;"",ISNUMBER(MATCH(E273,Parameter!$I$35:$I$52,0))),VLOOKUP(E273,Parameter!$I$35:$J$52,2,0),IFERROR(VLOOKUP(D273,Parameter!$A$35:$C$64,2,0),"Nein"))</f>
        <v>2+3</v>
      </c>
      <c r="CE273" s="64" t="n">
        <f aca="false">IF(CA273=0,0,IF(N(S273)&gt;0,S273,IFERROR(VLOOKUP(D273,Parameter!$A$35:$C$64,3,0)+0,0)))</f>
        <v>0</v>
      </c>
      <c r="CF273" s="60" t="n">
        <f aca="false">IF(AB273&lt;&gt;"",AB273,AA273)</f>
        <v>3</v>
      </c>
      <c r="CG273" s="60" t="str">
        <f aca="false">IF(OR(CF273=1,CF273=2,CF273=3),IF(Parameter!$E$27="Ja","LIFT",IF(CF273=1,"L1","L23")),IF(CF273="Aussen","Aussen","-"))</f>
        <v>LIFT</v>
      </c>
      <c r="CH273" s="71" t="n">
        <f aca="false">IF(N(AC273)&gt;0,AC273,0)</f>
        <v>0</v>
      </c>
      <c r="CI273" s="65" t="n">
        <f aca="false">IF(ISNUMBER(AF273),1,0)</f>
        <v>0</v>
      </c>
      <c r="CJ273" s="62" t="n">
        <f aca="false">N(AF273)</f>
        <v>0</v>
      </c>
      <c r="CK273" s="62" t="n">
        <f aca="false">N(M273)+N(N273)</f>
        <v>10</v>
      </c>
      <c r="CL273" s="62" t="n">
        <f aca="false">N(M273)</f>
        <v>0</v>
      </c>
      <c r="CM273" s="62" t="n">
        <f aca="false">N(N273)</f>
        <v>10</v>
      </c>
      <c r="CN273" s="62" t="n">
        <f aca="false">ROUNDUP(H273/BZ273,0)</f>
        <v>3</v>
      </c>
      <c r="CO273" s="62" t="n">
        <f aca="false">ROUNDUP(CJ273/BZ273,0)</f>
        <v>0</v>
      </c>
      <c r="CP273" s="65" t="n">
        <f aca="false">IF(CA273=1,0,IFERROR(VLOOKUP(BY273,'Gebinde-Kategorie'!$A$5:$N$45,5,0)+0,0))</f>
        <v>8</v>
      </c>
      <c r="CQ273" s="65" t="n">
        <f aca="false">IFERROR(IF(OR(CF273=1,CF273=2,CF273=3),N(INDEX(Parameter!$I$5:$I$7,CF273)),0),0)</f>
        <v>0</v>
      </c>
      <c r="CR273" s="64" t="n">
        <f aca="false">IF(AND(Parameter!$B$21="Ja",ISNUMBER(W273),N(X273)&gt;0),IFERROR(N(INDEX(Parameter!$L$5:$L$7,W273))*INDEX(Parameter!$E$5:$E$7,W273)*X273/SUMIFS($X$7:$X$1843,$W$7:$W$1843,W273),0),0)</f>
        <v>0</v>
      </c>
      <c r="CS273" s="62" t="n">
        <f aca="false">IF(AND(OR(CG273="L1",CG273="L23",CG273="LIFT"),H273&gt;0),CC273*IF(CR273&gt;0,CR273*MAX(1,H273/X273),IF(CA273=1,CE273,IF(R273&gt;0,CN273/R273,0))/MAX(0.1,N(Parameter!$M$21))),"")</f>
        <v>3.32142857142857</v>
      </c>
      <c r="CT273" s="64" t="n">
        <f aca="false">IF(CS273="","",J273/H273)</f>
        <v>0.150943396226415</v>
      </c>
      <c r="CU273" s="62" t="n">
        <f aca="false">IF(CS273="","",H273*G273)</f>
        <v>490.25</v>
      </c>
      <c r="CV273" s="63" t="n">
        <f aca="false">IF(CS273="","",(CL273+ROUNDUP(CL273+MAX(CM273,2*(J273/MAX(0.1,N(Einkauf!$C$6))-CL273)),0))/2)</f>
        <v>5</v>
      </c>
      <c r="CW273" s="62" t="n">
        <f aca="false">IF(CS273="","",MAX(0,H273-CV273)*G273)</f>
        <v>444</v>
      </c>
      <c r="CX273" s="62" t="n">
        <f aca="false">IF(CS273="","",CS273*MAX(0,1-CV273/H273))</f>
        <v>3.00808625336927</v>
      </c>
      <c r="CY273" s="64" t="n">
        <f aca="false">IF(CS273="","",PERCENTRANK($CS$7:$CS$1843,CS273)+PERCENTRANK($CU$7:$CU$1843,CU273)+1-PERCENTRANK($CT$7:$CT$1843,CT273))</f>
        <v>1.398</v>
      </c>
      <c r="CZ273" s="72" t="n">
        <f aca="false">IF(CS273="","",CHOOSE(MATCH(Einkauf!$C$5,Parameter!$G$23:$G$27,0),CY273,CS273,CU273,-CT273,CW273)+ROW()/1000000000)</f>
        <v>1.398000273</v>
      </c>
    </row>
    <row r="274" customFormat="false" ht="15" hidden="false" customHeight="false" outlineLevel="0" collapsed="false">
      <c r="A274" s="60" t="s">
        <v>767</v>
      </c>
      <c r="B274" s="60" t="s">
        <v>768</v>
      </c>
      <c r="C274" s="60" t="s">
        <v>206</v>
      </c>
      <c r="D274" s="60" t="s">
        <v>226</v>
      </c>
      <c r="E274" s="60" t="s">
        <v>227</v>
      </c>
      <c r="F274" s="60" t="s">
        <v>260</v>
      </c>
      <c r="G274" s="61" t="n">
        <v>15.2</v>
      </c>
      <c r="H274" s="62" t="n">
        <f aca="false">MAX(0,IF(AND(Parameter!$B$21="Ja",ISNUMBER(Y274)),Y274,IF(Parameter!$B$20="Jahresanfang 2025 + Export",BS274+BR274,BR274)))</f>
        <v>45</v>
      </c>
      <c r="I274" s="62" t="n">
        <f aca="false">H274*G274</f>
        <v>684</v>
      </c>
      <c r="J274" s="62" t="n">
        <f aca="false">BU274*Parameter!$B$18</f>
        <v>48</v>
      </c>
      <c r="K274" s="63" t="n">
        <v>17.5</v>
      </c>
      <c r="L274" s="64" t="n">
        <v>2.74285714285714</v>
      </c>
      <c r="M274" s="62" t="n">
        <v>1</v>
      </c>
      <c r="N274" s="62" t="n">
        <v>50</v>
      </c>
      <c r="O274" s="65" t="n">
        <v>14</v>
      </c>
      <c r="P274" s="60" t="s">
        <v>370</v>
      </c>
      <c r="Q274" s="62" t="n">
        <v>43</v>
      </c>
      <c r="R274" s="65" t="n">
        <f aca="false">IF(CA274=1,0,IFERROR(VLOOKUP(BY274,'Gebinde-Kategorie'!$A$5:$N$45,13,0)+0,0))</f>
        <v>52</v>
      </c>
      <c r="S274" s="66"/>
      <c r="T274" s="67"/>
      <c r="U274" s="67"/>
      <c r="V274" s="67"/>
      <c r="W274" s="60"/>
      <c r="X274" s="62"/>
      <c r="Y274" s="62"/>
      <c r="Z274" s="60" t="n">
        <v>3</v>
      </c>
      <c r="AA274" s="60" t="n">
        <f aca="false">IF(A274="","",IF(AND(Parameter!$B$21="Ja",ISNUMBER(W274)),W274,IF(AND(Parameter!$E$27="Ja",ISNUMBER(Z274),CD274&lt;&gt;"Nein"),Z274,IF(CD274="2+3",IF(ISNUMBER(SEARCH("grosser Artikel",BV274)),2,IFERROR(VLOOKUP(BY274,Parameter!$F$35:$G$64,2,0),2)),IF(OR(CD274="Nein",CD274=""),"-",CD274)))))</f>
        <v>3</v>
      </c>
      <c r="AB274" s="67"/>
      <c r="AC274" s="68"/>
      <c r="AD274" s="62" t="n">
        <f aca="false">AW274</f>
        <v>51</v>
      </c>
      <c r="AE274" s="62" t="n">
        <f aca="false">MAX(AW274,H274)</f>
        <v>51</v>
      </c>
      <c r="AF274" s="69"/>
      <c r="AG274" s="62" t="n">
        <f aca="false">IF(LEFT(Cockpit!$C$5,1)="A",H274,IF(Parameter!$E$30="MAX-Bestand",IF(CI274=1,CJ274,IF(LEFT(Cockpit!$C$5,1)="B",AM274,MAX(AM274,H274))),ROUNDUP(AK274,0)))</f>
        <v>45</v>
      </c>
      <c r="AH274" s="62" t="n">
        <f aca="false">IF(CA274=1,0,ROUNDUP(AG274/BZ274,0))</f>
        <v>2</v>
      </c>
      <c r="AI274" s="64" t="n">
        <f aca="false">IF(CR274&gt;0,CR274*MAX(1,AG274/X274),IF(CA274=1,IF(AG274&lt;=0,0,CE274*MAX(1,IF(H274&gt;0,AG274/H274,1))),IF(R274&gt;0,AH274/R274,0))/MAX(0.1,N(Parameter!$M$21)))</f>
        <v>0.0384615384615385</v>
      </c>
      <c r="AJ274" s="62" t="n">
        <f aca="false">AI274*CC274</f>
        <v>5.96153846153846</v>
      </c>
      <c r="AK274" s="63" t="n">
        <f aca="false">IF(LEFT(Cockpit!$C$5,1)="A",H274,IF(CI274=1,(CL274+CJ274)/2,IF(LEFT(Cockpit!$C$5,1)="B",(CL274+AM274)/2,MAX((CL274+AM274)/2,H274))))</f>
        <v>45</v>
      </c>
      <c r="AL274" s="62" t="n">
        <f aca="false">AK274*G274</f>
        <v>684</v>
      </c>
      <c r="AM274" s="62" t="n">
        <f aca="false">ROUNDUP(CL274+MAX(CM274,2*(J274/IF(CH274&gt;0,CH274,MAX(0.1,N(Cockpit!$C$6)))-CL274)),0)</f>
        <v>51</v>
      </c>
      <c r="AN274" s="63" t="n">
        <f aca="false">IF(AJ274&gt;0,J274/AJ274,-1)</f>
        <v>8.05161290322581</v>
      </c>
      <c r="AO274" s="63" t="n">
        <f aca="false">IF(AND(OR(CG274="L1",CG274="L23",CG274="LIFT"),AJ274&gt;0),SUMIFS($AJ$7:$AJ$1843,$CG$7:$CG$1843,CG274,$AN$7:$AN$1843,"&gt;"&amp;AN274)+SUMIFS($AJ$7:$AJ$1843,$CG$7:$CG$1843,CG274,$AN$7:$AN$1843,AN274,$BX$7:$BX$1843,"&lt;="&amp;BX274),"")</f>
        <v>3037.67948717949</v>
      </c>
      <c r="AP274" s="70" t="n">
        <f aca="false">IF(AO274="",0,MAX(0,MIN(1,(IF(CG274="L1",Parameter!$H$5,IF(CG274="L23",Parameter!$H$6+Parameter!$H$7,Parameter!$H$5+Parameter!$H$6+Parameter!$H$7))-(AO274-AJ274))/AJ274)))</f>
        <v>1</v>
      </c>
      <c r="AQ274" s="62" t="n">
        <f aca="false">IF(LEFT(Cockpit!$I$5,1)="A",H274,IF(Parameter!$E$30="MAX-Bestand",IF(CI274=1,CJ274,IF(LEFT(Cockpit!$I$5,1)="B",AW274,MAX(AW274,H274))),ROUNDUP(AU274,0)))</f>
        <v>45</v>
      </c>
      <c r="AR274" s="62" t="n">
        <f aca="false">IF(CA274=1,0,ROUNDUP(AQ274/BZ274,0))</f>
        <v>2</v>
      </c>
      <c r="AS274" s="64" t="n">
        <f aca="false">IF(CR274&gt;0,CR274*MAX(1,AQ274/X274),IF(CA274=1,IF(AQ274&lt;=0,0,CE274*MAX(1,IF(H274&gt;0,AQ274/H274,1))),IF(R274&gt;0,AR274/R274,0))/MAX(0.1,N(Parameter!$M$21)))</f>
        <v>0.0384615384615385</v>
      </c>
      <c r="AT274" s="62" t="n">
        <f aca="false">AS274*CC274</f>
        <v>5.96153846153846</v>
      </c>
      <c r="AU274" s="63" t="n">
        <f aca="false">IF(LEFT(Cockpit!$I$5,1)="A",H274,IF(CI274=1,(CL274+CJ274)/2,IF(LEFT(Cockpit!$I$5,1)="B",(CL274+AW274)/2,MAX((CL274+AW274)/2,H274))))</f>
        <v>45</v>
      </c>
      <c r="AV274" s="62" t="n">
        <f aca="false">AU274*G274</f>
        <v>684</v>
      </c>
      <c r="AW274" s="62" t="n">
        <f aca="false">ROUNDUP(CL274+MAX(CM274,2*(J274/IF(CH274&gt;0,CH274,MAX(0.1,N(Cockpit!$I$6)))-CL274)),0)</f>
        <v>51</v>
      </c>
      <c r="AX274" s="63" t="n">
        <f aca="false">IF(AT274&gt;0,J274/AT274,-1)</f>
        <v>8.05161290322581</v>
      </c>
      <c r="AY274" s="63" t="n">
        <f aca="false">IF(AND(OR(CG274="L1",CG274="L23",CG274="LIFT"),AT274&gt;0),SUMIFS($AT$7:$AT$1843,$CG$7:$CG$1843,CG274,$AX$7:$AX$1843,"&gt;"&amp;AX274)+SUMIFS($AT$7:$AT$1843,$CG$7:$CG$1843,CG274,$AX$7:$AX$1843,AX274,$BX$7:$BX$1843,"&lt;="&amp;BX274),"")</f>
        <v>3661.74084249084</v>
      </c>
      <c r="AZ274" s="70" t="n">
        <f aca="false">IF(AY274="",0,MAX(0,MIN(1,(IF(CG274="L1",Parameter!$H$5,IF(CG274="L23",Parameter!$H$6+Parameter!$H$7,Parameter!$H$5+Parameter!$H$6+Parameter!$H$7))-(AY274-AT274))/AT274)))</f>
        <v>1</v>
      </c>
      <c r="BA274" s="62" t="n">
        <f aca="false">IF(LEFT(Cockpit!$O$5,1)="A",H274,IF(Parameter!$E$30="MAX-Bestand",IF(CI274=1,CJ274,IF(LEFT(Cockpit!$O$5,1)="B",BG274,MAX(BG274,H274))),ROUNDUP(BE274,0)))</f>
        <v>26</v>
      </c>
      <c r="BB274" s="62" t="n">
        <f aca="false">IF(CA274=1,0,ROUNDUP(BA274/BZ274,0))</f>
        <v>1</v>
      </c>
      <c r="BC274" s="64" t="n">
        <f aca="false">IF(CR274&gt;0,CR274*MAX(1,BA274/X274),IF(CA274=1,IF(BA274&lt;=0,0,CE274*MAX(1,IF(H274&gt;0,BA274/H274,1))),IF(R274&gt;0,BB274/R274,0))/MAX(0.1,N(Parameter!$M$21)))</f>
        <v>0.0192307692307692</v>
      </c>
      <c r="BD274" s="62" t="n">
        <f aca="false">BC274*CC274</f>
        <v>2.98076923076923</v>
      </c>
      <c r="BE274" s="63" t="n">
        <f aca="false">IF(LEFT(Cockpit!$O$5,1)="A",H274,IF(CI274=1,(CL274+CJ274)/2,IF(LEFT(Cockpit!$O$5,1)="B",(CL274+BG274)/2,MAX((CL274+BG274)/2,H274))))</f>
        <v>26</v>
      </c>
      <c r="BF274" s="62" t="n">
        <f aca="false">BE274*G274</f>
        <v>395.2</v>
      </c>
      <c r="BG274" s="62" t="n">
        <f aca="false">ROUNDUP(CL274+MAX(CM274,2*(J274/IF(CH274&gt;0,CH274,MAX(0.1,N(Cockpit!$O$6)))-CL274)),0)</f>
        <v>51</v>
      </c>
      <c r="BH274" s="63" t="n">
        <f aca="false">IF(BD274&gt;0,J274/BD274,-1)</f>
        <v>16.1032258064516</v>
      </c>
      <c r="BI274" s="63" t="n">
        <f aca="false">IF(AND(OR(CG274="L1",CG274="L23",CG274="LIFT"),BD274&gt;0),SUMIFS($BD$7:$BD$1843,$CG$7:$CG$1843,CG274,$BH$7:$BH$1843,"&gt;"&amp;BH274)+SUMIFS($BD$7:$BD$1843,$CG$7:$CG$1843,CG274,$BH$7:$BH$1843,BH274,$BX$7:$BX$1843,"&lt;="&amp;BX274),"")</f>
        <v>2387.7206959707</v>
      </c>
      <c r="BJ274" s="70" t="n">
        <f aca="false">IF(BI274="",0,MAX(0,MIN(1,(IF(CG274="L1",Parameter!$H$5,IF(CG274="L23",Parameter!$H$6+Parameter!$H$7,Parameter!$H$5+Parameter!$H$6+Parameter!$H$7))-(BI274-BD274))/BD274)))</f>
        <v>1</v>
      </c>
      <c r="BK274" s="60" t="str">
        <f aca="false">IF(AJ274&lt;=0,"",IF(CG274="Aussen","Aussenlager",IF(CG274="-","Nicht im Lift",IF(AP274&gt;=1,"Lift",IF(AP274&lt;=0,"Aussenlager","teilweise")))))</f>
        <v>Lift</v>
      </c>
      <c r="BL274" s="60" t="str">
        <f aca="false">IF(AT274&lt;=0,"",IF(CG274="Aussen","Aussenlager",IF(CG274="-","Nicht im Lift",IF(AZ274&gt;=1,"Lift",IF(AZ274&lt;=0,"Aussenlager","teilweise")))))</f>
        <v>Lift</v>
      </c>
      <c r="BM274" s="60" t="str">
        <f aca="false">IF(BD274&lt;=0,"",IF(CG274="Aussen","Aussenlager",IF(CG274="-","Nicht im Lift",IF(BJ274&gt;=1,"Lift",IF(BJ274&lt;=0,"Aussenlager","teilweise")))))</f>
        <v>Lift</v>
      </c>
      <c r="BN274" s="60" t="str">
        <f aca="false">IF(A274="","",IF(BW274=1,"Neu; ","")&amp;IF(AND(BW274=0,BR274&lt;0),"negativer Bestand (Export "&amp;BR274&amp;"); ","")&amp;IF(J274&lt;=0,"Kein Verbrauch; ","")&amp;IF(CR274&gt;0,"Lift "&amp;W274&amp;" lt. Liftbericht (Fach "&amp;X274&amp;" Stk); ",IF(CB274=1,"Gebinde geschätzt ("&amp;T274&amp;"); ",IF(CA274=1,"Lose – Tablare geschätzt; ","")))&amp;IF(H274&gt;AW274,"Überbestand "&amp;ROUND(H274-AW274,0)&amp;" Stk / CHF "&amp;ROUND((H274-AW274)*G274,0)&amp;"; ","")&amp;IF(AND(CI274=1,CJ274&lt;CK274),"MAX &lt; MB+LG; ","")&amp;IF(AND(CQ274&gt;0,CP274*10&gt;CQ274),"zu hoch für Tablar; ","")&amp;IF(AND(BW274=0,OR(CI274=1,AB274&lt;&gt;"",U274&lt;&gt;"",V274&lt;&gt;"",AC274&lt;&gt;"")),"manuell übersteuert; ","")&amp;IF(AND(CA274=0,R274=0),"Gebinde unbekannt / Stellmass fehlt; ","")&amp;IF(AND(CA274=0,N(V274)&lt;=0,N(Q274)&lt;=0),"Menge pro Gebinde fehlt (Ist = 1 Gebinde); ","")&amp;BV274)</f>
        <v/>
      </c>
      <c r="BO274" s="60"/>
      <c r="BP274" s="60"/>
      <c r="BQ274" s="67"/>
      <c r="BR274" s="62" t="n">
        <v>26</v>
      </c>
      <c r="BS274" s="62" t="n">
        <v>19</v>
      </c>
      <c r="BT274" s="61" t="n">
        <v>375.06</v>
      </c>
      <c r="BU274" s="62" t="n">
        <v>48</v>
      </c>
      <c r="BV274" s="60"/>
      <c r="BW274" s="65" t="n">
        <v>0</v>
      </c>
      <c r="BX274" s="65" t="n">
        <v>274</v>
      </c>
      <c r="BY274" s="60" t="str">
        <f aca="false">IF(U274&lt;&gt;"",UPPER(TRIM(U274)),IF(CB274=1,UPPER(VLOOKUP(T274,Parameter!$I$27:$K$29,2,0)),IF(P274="","LOSE",P274)))</f>
        <v>S41</v>
      </c>
      <c r="BZ274" s="62" t="n">
        <f aca="false">IF(BY274="LOSE",1,IF(N(V274)&gt;0,V274,IF(CB274=1,MAX(1,N(VLOOKUP(T274,Parameter!$I$27:$K$29,3,0)),H274,N(N274)),IF(N(Q274)&gt;0,Q274,MAX(1,H274)))))</f>
        <v>43</v>
      </c>
      <c r="CA274" s="65" t="n">
        <f aca="false">IF(BY274="LOSE",1,0)</f>
        <v>0</v>
      </c>
      <c r="CB274" s="65" t="n">
        <f aca="false">IF(AND(U274="",OR(P274="",P274="LOSE"),T274&lt;&gt;"",N(S274)&lt;=0,ISNUMBER(MATCH(T274,Parameter!$I$27:$I$29,0))),1,0)</f>
        <v>0</v>
      </c>
      <c r="CC274" s="65" t="n">
        <f aca="false">IF(CR274&gt;0,INDEX(Parameter!$H$5:$H$7,W274)/INDEX(Parameter!$E$5:$E$7,W274),IF(AND(CA274=0,N(IFERROR(VLOOKUP(BY274,'Gebinde-Kategorie'!$A$5:$N$45,14,0),0))&gt;0),VLOOKUP(BY274,'Gebinde-Kategorie'!$A$5:$N$45,14,0)*10+Parameter!$M$23,Parameter!$M$24))</f>
        <v>155</v>
      </c>
      <c r="CD274" s="60" t="str">
        <f aca="false">IF(AND(Parameter!$B$19="Ja",E274&lt;&gt;"",ISNUMBER(MATCH(E274,Parameter!$I$35:$I$52,0))),VLOOKUP(E274,Parameter!$I$35:$J$52,2,0),IFERROR(VLOOKUP(D274,Parameter!$A$35:$C$64,2,0),"Nein"))</f>
        <v>2+3</v>
      </c>
      <c r="CE274" s="64" t="n">
        <f aca="false">IF(CA274=0,0,IF(N(S274)&gt;0,S274,IFERROR(VLOOKUP(D274,Parameter!$A$35:$C$64,3,0)+0,0)))</f>
        <v>0</v>
      </c>
      <c r="CF274" s="60" t="n">
        <f aca="false">IF(AB274&lt;&gt;"",AB274,AA274)</f>
        <v>3</v>
      </c>
      <c r="CG274" s="60" t="str">
        <f aca="false">IF(OR(CF274=1,CF274=2,CF274=3),IF(Parameter!$E$27="Ja","LIFT",IF(CF274=1,"L1","L23")),IF(CF274="Aussen","Aussen","-"))</f>
        <v>LIFT</v>
      </c>
      <c r="CH274" s="71" t="n">
        <f aca="false">IF(N(AC274)&gt;0,AC274,0)</f>
        <v>0</v>
      </c>
      <c r="CI274" s="65" t="n">
        <f aca="false">IF(ISNUMBER(AF274),1,0)</f>
        <v>0</v>
      </c>
      <c r="CJ274" s="62" t="n">
        <f aca="false">N(AF274)</f>
        <v>0</v>
      </c>
      <c r="CK274" s="62" t="n">
        <f aca="false">N(M274)+N(N274)</f>
        <v>51</v>
      </c>
      <c r="CL274" s="62" t="n">
        <f aca="false">N(M274)</f>
        <v>1</v>
      </c>
      <c r="CM274" s="62" t="n">
        <f aca="false">N(N274)</f>
        <v>50</v>
      </c>
      <c r="CN274" s="62" t="n">
        <f aca="false">ROUNDUP(H274/BZ274,0)</f>
        <v>2</v>
      </c>
      <c r="CO274" s="62" t="n">
        <f aca="false">ROUNDUP(CJ274/BZ274,0)</f>
        <v>0</v>
      </c>
      <c r="CP274" s="65" t="n">
        <f aca="false">IF(CA274=1,0,IFERROR(VLOOKUP(BY274,'Gebinde-Kategorie'!$A$5:$N$45,5,0)+0,0))</f>
        <v>11</v>
      </c>
      <c r="CQ274" s="65" t="n">
        <f aca="false">IFERROR(IF(OR(CF274=1,CF274=2,CF274=3),N(INDEX(Parameter!$I$5:$I$7,CF274)),0),0)</f>
        <v>0</v>
      </c>
      <c r="CR274" s="64" t="n">
        <f aca="false">IF(AND(Parameter!$B$21="Ja",ISNUMBER(W274),N(X274)&gt;0),IFERROR(N(INDEX(Parameter!$L$5:$L$7,W274))*INDEX(Parameter!$E$5:$E$7,W274)*X274/SUMIFS($X$7:$X$1843,$W$7:$W$1843,W274),0),0)</f>
        <v>0</v>
      </c>
      <c r="CS274" s="62" t="n">
        <f aca="false">IF(AND(OR(CG274="L1",CG274="L23",CG274="LIFT"),H274&gt;0),CC274*IF(CR274&gt;0,CR274*MAX(1,H274/X274),IF(CA274=1,CE274,IF(R274&gt;0,CN274/R274,0))/MAX(0.1,N(Parameter!$M$21))),"")</f>
        <v>5.96153846153846</v>
      </c>
      <c r="CT274" s="64" t="n">
        <f aca="false">IF(CS274="","",J274/H274)</f>
        <v>1.06666666666667</v>
      </c>
      <c r="CU274" s="62" t="n">
        <f aca="false">IF(CS274="","",H274*G274)</f>
        <v>684</v>
      </c>
      <c r="CV274" s="63" t="n">
        <f aca="false">IF(CS274="","",(CL274+ROUNDUP(CL274+MAX(CM274,2*(J274/MAX(0.1,N(Einkauf!$C$6))-CL274)),0))/2)</f>
        <v>26</v>
      </c>
      <c r="CW274" s="62" t="n">
        <f aca="false">IF(CS274="","",MAX(0,H274-CV274)*G274)</f>
        <v>288.8</v>
      </c>
      <c r="CX274" s="62" t="n">
        <f aca="false">IF(CS274="","",CS274*MAX(0,1-CV274/H274))</f>
        <v>2.51709401709402</v>
      </c>
      <c r="CY274" s="64" t="n">
        <f aca="false">IF(CS274="","",PERCENTRANK($CS$7:$CS$1843,CS274)+PERCENTRANK($CU$7:$CU$1843,CU274)+1-PERCENTRANK($CT$7:$CT$1843,CT274))</f>
        <v>1.252</v>
      </c>
      <c r="CZ274" s="72" t="n">
        <f aca="false">IF(CS274="","",CHOOSE(MATCH(Einkauf!$C$5,Parameter!$G$23:$G$27,0),CY274,CS274,CU274,-CT274,CW274)+ROW()/1000000000)</f>
        <v>1.252000274</v>
      </c>
    </row>
    <row r="275" customFormat="false" ht="15" hidden="false" customHeight="false" outlineLevel="0" collapsed="false">
      <c r="A275" s="60" t="s">
        <v>769</v>
      </c>
      <c r="B275" s="60" t="s">
        <v>759</v>
      </c>
      <c r="C275" s="60" t="s">
        <v>206</v>
      </c>
      <c r="D275" s="60" t="s">
        <v>215</v>
      </c>
      <c r="E275" s="60"/>
      <c r="F275" s="60" t="s">
        <v>260</v>
      </c>
      <c r="G275" s="61" t="n">
        <v>74.17</v>
      </c>
      <c r="H275" s="62" t="n">
        <f aca="false">MAX(0,IF(AND(Parameter!$B$21="Ja",ISNUMBER(Y275)),Y275,IF(Parameter!$B$20="Jahresanfang 2025 + Export",BS275+BR275,BR275)))</f>
        <v>11</v>
      </c>
      <c r="I275" s="62" t="n">
        <f aca="false">H275*G275</f>
        <v>815.87</v>
      </c>
      <c r="J275" s="62" t="n">
        <f aca="false">BU275*Parameter!$B$18</f>
        <v>2</v>
      </c>
      <c r="K275" s="63" t="n">
        <v>8.5</v>
      </c>
      <c r="L275" s="64" t="n">
        <v>0.235294117647059</v>
      </c>
      <c r="M275" s="62" t="n">
        <v>0</v>
      </c>
      <c r="N275" s="62" t="n">
        <v>1</v>
      </c>
      <c r="O275" s="65" t="n">
        <v>28</v>
      </c>
      <c r="P275" s="60" t="s">
        <v>228</v>
      </c>
      <c r="Q275" s="62" t="n">
        <v>12</v>
      </c>
      <c r="R275" s="65" t="n">
        <f aca="false">IF(CA275=1,0,IFERROR(VLOOKUP(BY275,'Gebinde-Kategorie'!$A$5:$N$45,13,0)+0,0))</f>
        <v>12</v>
      </c>
      <c r="S275" s="66"/>
      <c r="T275" s="67"/>
      <c r="U275" s="67"/>
      <c r="V275" s="67"/>
      <c r="W275" s="60"/>
      <c r="X275" s="62"/>
      <c r="Y275" s="62"/>
      <c r="Z275" s="60" t="n">
        <v>3</v>
      </c>
      <c r="AA275" s="60" t="n">
        <f aca="false">IF(A275="","",IF(AND(Parameter!$B$21="Ja",ISNUMBER(W275)),W275,IF(AND(Parameter!$E$27="Ja",ISNUMBER(Z275),CD275&lt;&gt;"Nein"),Z275,IF(CD275="2+3",IF(ISNUMBER(SEARCH("grosser Artikel",BV275)),2,IFERROR(VLOOKUP(BY275,Parameter!$F$35:$G$64,2,0),2)),IF(OR(CD275="Nein",CD275=""),"-",CD275)))))</f>
        <v>3</v>
      </c>
      <c r="AB275" s="67"/>
      <c r="AC275" s="68"/>
      <c r="AD275" s="62" t="n">
        <f aca="false">AW275</f>
        <v>2</v>
      </c>
      <c r="AE275" s="62" t="n">
        <f aca="false">MAX(AW275,H275)</f>
        <v>11</v>
      </c>
      <c r="AF275" s="69"/>
      <c r="AG275" s="62" t="n">
        <f aca="false">IF(LEFT(Cockpit!$C$5,1)="A",H275,IF(Parameter!$E$30="MAX-Bestand",IF(CI275=1,CJ275,IF(LEFT(Cockpit!$C$5,1)="B",AM275,MAX(AM275,H275))),ROUNDUP(AK275,0)))</f>
        <v>11</v>
      </c>
      <c r="AH275" s="62" t="n">
        <f aca="false">IF(CA275=1,0,ROUNDUP(AG275/BZ275,0))</f>
        <v>1</v>
      </c>
      <c r="AI275" s="64" t="n">
        <f aca="false">IF(CR275&gt;0,CR275*MAX(1,AG275/X275),IF(CA275=1,IF(AG275&lt;=0,0,CE275*MAX(1,IF(H275&gt;0,AG275/H275,1))),IF(R275&gt;0,AH275/R275,0))/MAX(0.1,N(Parameter!$M$21)))</f>
        <v>0.0833333333333333</v>
      </c>
      <c r="AJ275" s="62" t="n">
        <f aca="false">AI275*CC275</f>
        <v>12.0833333333333</v>
      </c>
      <c r="AK275" s="63" t="n">
        <f aca="false">IF(LEFT(Cockpit!$C$5,1)="A",H275,IF(CI275=1,(CL275+CJ275)/2,IF(LEFT(Cockpit!$C$5,1)="B",(CL275+AM275)/2,MAX((CL275+AM275)/2,H275))))</f>
        <v>11</v>
      </c>
      <c r="AL275" s="62" t="n">
        <f aca="false">AK275*G275</f>
        <v>815.87</v>
      </c>
      <c r="AM275" s="62" t="n">
        <f aca="false">ROUNDUP(CL275+MAX(CM275,2*(J275/IF(CH275&gt;0,CH275,MAX(0.1,N(Cockpit!$C$6)))-CL275)),0)</f>
        <v>2</v>
      </c>
      <c r="AN275" s="63" t="n">
        <f aca="false">IF(AJ275&gt;0,J275/AJ275,-1)</f>
        <v>0.16551724137931</v>
      </c>
      <c r="AO275" s="63" t="n">
        <f aca="false">IF(AND(OR(CG275="L1",CG275="L23",CG275="LIFT"),AJ275&gt;0),SUMIFS($AJ$7:$AJ$1843,$CG$7:$CG$1843,CG275,$AN$7:$AN$1843,"&gt;"&amp;AN275)+SUMIFS($AJ$7:$AJ$1843,$CG$7:$CG$1843,CG275,$AN$7:$AN$1843,AN275,$BX$7:$BX$1843,"&lt;="&amp;BX275),"")</f>
        <v>12805.4067977691</v>
      </c>
      <c r="AP275" s="70" t="n">
        <f aca="false">IF(AO275="",0,MAX(0,MIN(1,(IF(CG275="L1",Parameter!$H$5,IF(CG275="L23",Parameter!$H$6+Parameter!$H$7,Parameter!$H$5+Parameter!$H$6+Parameter!$H$7))-(AO275-AJ275))/AJ275)))</f>
        <v>1</v>
      </c>
      <c r="AQ275" s="62" t="n">
        <f aca="false">IF(LEFT(Cockpit!$I$5,1)="A",H275,IF(Parameter!$E$30="MAX-Bestand",IF(CI275=1,CJ275,IF(LEFT(Cockpit!$I$5,1)="B",AW275,MAX(AW275,H275))),ROUNDUP(AU275,0)))</f>
        <v>11</v>
      </c>
      <c r="AR275" s="62" t="n">
        <f aca="false">IF(CA275=1,0,ROUNDUP(AQ275/BZ275,0))</f>
        <v>1</v>
      </c>
      <c r="AS275" s="64" t="n">
        <f aca="false">IF(CR275&gt;0,CR275*MAX(1,AQ275/X275),IF(CA275=1,IF(AQ275&lt;=0,0,CE275*MAX(1,IF(H275&gt;0,AQ275/H275,1))),IF(R275&gt;0,AR275/R275,0))/MAX(0.1,N(Parameter!$M$21)))</f>
        <v>0.0833333333333333</v>
      </c>
      <c r="AT275" s="62" t="n">
        <f aca="false">AS275*CC275</f>
        <v>12.0833333333333</v>
      </c>
      <c r="AU275" s="63" t="n">
        <f aca="false">IF(LEFT(Cockpit!$I$5,1)="A",H275,IF(CI275=1,(CL275+CJ275)/2,IF(LEFT(Cockpit!$I$5,1)="B",(CL275+AW275)/2,MAX((CL275+AW275)/2,H275))))</f>
        <v>11</v>
      </c>
      <c r="AV275" s="62" t="n">
        <f aca="false">AU275*G275</f>
        <v>815.87</v>
      </c>
      <c r="AW275" s="62" t="n">
        <f aca="false">ROUNDUP(CL275+MAX(CM275,2*(J275/IF(CH275&gt;0,CH275,MAX(0.1,N(Cockpit!$I$6)))-CL275)),0)</f>
        <v>2</v>
      </c>
      <c r="AX275" s="63" t="n">
        <f aca="false">IF(AT275&gt;0,J275/AT275,-1)</f>
        <v>0.16551724137931</v>
      </c>
      <c r="AY275" s="63" t="n">
        <f aca="false">IF(AND(OR(CG275="L1",CG275="L23",CG275="LIFT"),AT275&gt;0),SUMIFS($AT$7:$AT$1843,$CG$7:$CG$1843,CG275,$AX$7:$AX$1843,"&gt;"&amp;AX275)+SUMIFS($AT$7:$AT$1843,$CG$7:$CG$1843,CG275,$AX$7:$AX$1843,AX275,$BX$7:$BX$1843,"&lt;="&amp;BX275),"")</f>
        <v>15734.0874542125</v>
      </c>
      <c r="AZ275" s="70" t="n">
        <f aca="false">IF(AY275="",0,MAX(0,MIN(1,(IF(CG275="L1",Parameter!$H$5,IF(CG275="L23",Parameter!$H$6+Parameter!$H$7,Parameter!$H$5+Parameter!$H$6+Parameter!$H$7))-(AY275-AT275))/AT275)))</f>
        <v>1</v>
      </c>
      <c r="BA275" s="62" t="n">
        <f aca="false">IF(LEFT(Cockpit!$O$5,1)="A",H275,IF(Parameter!$E$30="MAX-Bestand",IF(CI275=1,CJ275,IF(LEFT(Cockpit!$O$5,1)="B",BG275,MAX(BG275,H275))),ROUNDUP(BE275,0)))</f>
        <v>1</v>
      </c>
      <c r="BB275" s="62" t="n">
        <f aca="false">IF(CA275=1,0,ROUNDUP(BA275/BZ275,0))</f>
        <v>1</v>
      </c>
      <c r="BC275" s="64" t="n">
        <f aca="false">IF(CR275&gt;0,CR275*MAX(1,BA275/X275),IF(CA275=1,IF(BA275&lt;=0,0,CE275*MAX(1,IF(H275&gt;0,BA275/H275,1))),IF(R275&gt;0,BB275/R275,0))/MAX(0.1,N(Parameter!$M$21)))</f>
        <v>0.0833333333333333</v>
      </c>
      <c r="BD275" s="62" t="n">
        <f aca="false">BC275*CC275</f>
        <v>12.0833333333333</v>
      </c>
      <c r="BE275" s="63" t="n">
        <f aca="false">IF(LEFT(Cockpit!$O$5,1)="A",H275,IF(CI275=1,(CL275+CJ275)/2,IF(LEFT(Cockpit!$O$5,1)="B",(CL275+BG275)/2,MAX((CL275+BG275)/2,H275))))</f>
        <v>0.5</v>
      </c>
      <c r="BF275" s="62" t="n">
        <f aca="false">BE275*G275</f>
        <v>37.085</v>
      </c>
      <c r="BG275" s="62" t="n">
        <f aca="false">ROUNDUP(CL275+MAX(CM275,2*(J275/IF(CH275&gt;0,CH275,MAX(0.1,N(Cockpit!$O$6)))-CL275)),0)</f>
        <v>1</v>
      </c>
      <c r="BH275" s="63" t="n">
        <f aca="false">IF(BD275&gt;0,J275/BD275,-1)</f>
        <v>0.16551724137931</v>
      </c>
      <c r="BI275" s="63" t="n">
        <f aca="false">IF(AND(OR(CG275="L1",CG275="L23",CG275="LIFT"),BD275&gt;0),SUMIFS($BD$7:$BD$1843,$CG$7:$CG$1843,CG275,$BH$7:$BH$1843,"&gt;"&amp;BH275)+SUMIFS($BD$7:$BD$1843,$CG$7:$CG$1843,CG275,$BH$7:$BH$1843,BH275,$BX$7:$BX$1843,"&lt;="&amp;BX275),"")</f>
        <v>13548.4706157778</v>
      </c>
      <c r="BJ275" s="70" t="n">
        <f aca="false">IF(BI275="",0,MAX(0,MIN(1,(IF(CG275="L1",Parameter!$H$5,IF(CG275="L23",Parameter!$H$6+Parameter!$H$7,Parameter!$H$5+Parameter!$H$6+Parameter!$H$7))-(BI275-BD275))/BD275)))</f>
        <v>1</v>
      </c>
      <c r="BK275" s="60" t="str">
        <f aca="false">IF(AJ275&lt;=0,"",IF(CG275="Aussen","Aussenlager",IF(CG275="-","Nicht im Lift",IF(AP275&gt;=1,"Lift",IF(AP275&lt;=0,"Aussenlager","teilweise")))))</f>
        <v>Lift</v>
      </c>
      <c r="BL275" s="60" t="str">
        <f aca="false">IF(AT275&lt;=0,"",IF(CG275="Aussen","Aussenlager",IF(CG275="-","Nicht im Lift",IF(AZ275&gt;=1,"Lift",IF(AZ275&lt;=0,"Aussenlager","teilweise")))))</f>
        <v>Lift</v>
      </c>
      <c r="BM275" s="60" t="str">
        <f aca="false">IF(BD275&lt;=0,"",IF(CG275="Aussen","Aussenlager",IF(CG275="-","Nicht im Lift",IF(BJ275&gt;=1,"Lift",IF(BJ275&lt;=0,"Aussenlager","teilweise")))))</f>
        <v>Lift</v>
      </c>
      <c r="BN275" s="60" t="str">
        <f aca="false">IF(A275="","",IF(BW275=1,"Neu; ","")&amp;IF(AND(BW275=0,BR275&lt;0),"negativer Bestand (Export "&amp;BR275&amp;"); ","")&amp;IF(J275&lt;=0,"Kein Verbrauch; ","")&amp;IF(CR275&gt;0,"Lift "&amp;W275&amp;" lt. Liftbericht (Fach "&amp;X275&amp;" Stk); ",IF(CB275=1,"Gebinde geschätzt ("&amp;T275&amp;"); ",IF(CA275=1,"Lose – Tablare geschätzt; ","")))&amp;IF(H275&gt;AW275,"Überbestand "&amp;ROUND(H275-AW275,0)&amp;" Stk / CHF "&amp;ROUND((H275-AW275)*G275,0)&amp;"; ","")&amp;IF(AND(CI275=1,CJ275&lt;CK275),"MAX &lt; MB+LG; ","")&amp;IF(AND(CQ275&gt;0,CP275*10&gt;CQ275),"zu hoch für Tablar; ","")&amp;IF(AND(BW275=0,OR(CI275=1,AB275&lt;&gt;"",U275&lt;&gt;"",V275&lt;&gt;"",AC275&lt;&gt;"")),"manuell übersteuert; ","")&amp;IF(AND(CA275=0,R275=0),"Gebinde unbekannt / Stellmass fehlt; ","")&amp;IF(AND(CA275=0,N(V275)&lt;=0,N(Q275)&lt;=0),"Menge pro Gebinde fehlt (Ist = 1 Gebinde); ","")&amp;BV275)</f>
        <v>Überbestand 9 Stk / CHF 668; </v>
      </c>
      <c r="BO275" s="60"/>
      <c r="BP275" s="60"/>
      <c r="BQ275" s="67"/>
      <c r="BR275" s="62" t="n">
        <v>5</v>
      </c>
      <c r="BS275" s="62" t="n">
        <v>6</v>
      </c>
      <c r="BT275" s="61" t="n">
        <v>370.85</v>
      </c>
      <c r="BU275" s="62" t="n">
        <v>2</v>
      </c>
      <c r="BV275" s="60"/>
      <c r="BW275" s="65" t="n">
        <v>0</v>
      </c>
      <c r="BX275" s="65" t="n">
        <v>275</v>
      </c>
      <c r="BY275" s="60" t="str">
        <f aca="false">IF(U275&lt;&gt;"",UPPER(TRIM(U275)),IF(CB275=1,UPPER(VLOOKUP(T275,Parameter!$I$27:$K$29,2,0)),IF(P275="","LOSE",P275)))</f>
        <v>S61</v>
      </c>
      <c r="BZ275" s="62" t="n">
        <f aca="false">IF(BY275="LOSE",1,IF(N(V275)&gt;0,V275,IF(CB275=1,MAX(1,N(VLOOKUP(T275,Parameter!$I$27:$K$29,3,0)),H275,N(N275)),IF(N(Q275)&gt;0,Q275,MAX(1,H275)))))</f>
        <v>12</v>
      </c>
      <c r="CA275" s="65" t="n">
        <f aca="false">IF(BY275="LOSE",1,0)</f>
        <v>0</v>
      </c>
      <c r="CB275" s="65" t="n">
        <f aca="false">IF(AND(U275="",OR(P275="",P275="LOSE"),T275&lt;&gt;"",N(S275)&lt;=0,ISNUMBER(MATCH(T275,Parameter!$I$27:$I$29,0))),1,0)</f>
        <v>0</v>
      </c>
      <c r="CC275" s="65" t="n">
        <f aca="false">IF(CR275&gt;0,INDEX(Parameter!$H$5:$H$7,W275)/INDEX(Parameter!$E$5:$E$7,W275),IF(AND(CA275=0,N(IFERROR(VLOOKUP(BY275,'Gebinde-Kategorie'!$A$5:$N$45,14,0),0))&gt;0),VLOOKUP(BY275,'Gebinde-Kategorie'!$A$5:$N$45,14,0)*10+Parameter!$M$23,Parameter!$M$24))</f>
        <v>145</v>
      </c>
      <c r="CD275" s="60" t="str">
        <f aca="false">IF(AND(Parameter!$B$19="Ja",E275&lt;&gt;"",ISNUMBER(MATCH(E275,Parameter!$I$35:$I$52,0))),VLOOKUP(E275,Parameter!$I$35:$J$52,2,0),IFERROR(VLOOKUP(D275,Parameter!$A$35:$C$64,2,0),"Nein"))</f>
        <v>2+3</v>
      </c>
      <c r="CE275" s="64" t="n">
        <f aca="false">IF(CA275=0,0,IF(N(S275)&gt;0,S275,IFERROR(VLOOKUP(D275,Parameter!$A$35:$C$64,3,0)+0,0)))</f>
        <v>0</v>
      </c>
      <c r="CF275" s="60" t="n">
        <f aca="false">IF(AB275&lt;&gt;"",AB275,AA275)</f>
        <v>3</v>
      </c>
      <c r="CG275" s="60" t="str">
        <f aca="false">IF(OR(CF275=1,CF275=2,CF275=3),IF(Parameter!$E$27="Ja","LIFT",IF(CF275=1,"L1","L23")),IF(CF275="Aussen","Aussen","-"))</f>
        <v>LIFT</v>
      </c>
      <c r="CH275" s="71" t="n">
        <f aca="false">IF(N(AC275)&gt;0,AC275,0)</f>
        <v>0</v>
      </c>
      <c r="CI275" s="65" t="n">
        <f aca="false">IF(ISNUMBER(AF275),1,0)</f>
        <v>0</v>
      </c>
      <c r="CJ275" s="62" t="n">
        <f aca="false">N(AF275)</f>
        <v>0</v>
      </c>
      <c r="CK275" s="62" t="n">
        <f aca="false">N(M275)+N(N275)</f>
        <v>1</v>
      </c>
      <c r="CL275" s="62" t="n">
        <f aca="false">N(M275)</f>
        <v>0</v>
      </c>
      <c r="CM275" s="62" t="n">
        <f aca="false">N(N275)</f>
        <v>1</v>
      </c>
      <c r="CN275" s="62" t="n">
        <f aca="false">ROUNDUP(H275/BZ275,0)</f>
        <v>1</v>
      </c>
      <c r="CO275" s="62" t="n">
        <f aca="false">ROUNDUP(CJ275/BZ275,0)</f>
        <v>0</v>
      </c>
      <c r="CP275" s="65" t="n">
        <f aca="false">IF(CA275=1,0,IFERROR(VLOOKUP(BY275,'Gebinde-Kategorie'!$A$5:$N$45,5,0)+0,0))</f>
        <v>11</v>
      </c>
      <c r="CQ275" s="65" t="n">
        <f aca="false">IFERROR(IF(OR(CF275=1,CF275=2,CF275=3),N(INDEX(Parameter!$I$5:$I$7,CF275)),0),0)</f>
        <v>0</v>
      </c>
      <c r="CR275" s="64" t="n">
        <f aca="false">IF(AND(Parameter!$B$21="Ja",ISNUMBER(W275),N(X275)&gt;0),IFERROR(N(INDEX(Parameter!$L$5:$L$7,W275))*INDEX(Parameter!$E$5:$E$7,W275)*X275/SUMIFS($X$7:$X$1843,$W$7:$W$1843,W275),0),0)</f>
        <v>0</v>
      </c>
      <c r="CS275" s="62" t="n">
        <f aca="false">IF(AND(OR(CG275="L1",CG275="L23",CG275="LIFT"),H275&gt;0),CC275*IF(CR275&gt;0,CR275*MAX(1,H275/X275),IF(CA275=1,CE275,IF(R275&gt;0,CN275/R275,0))/MAX(0.1,N(Parameter!$M$21))),"")</f>
        <v>12.0833333333333</v>
      </c>
      <c r="CT275" s="64" t="n">
        <f aca="false">IF(CS275="","",J275/H275)</f>
        <v>0.181818181818182</v>
      </c>
      <c r="CU275" s="62" t="n">
        <f aca="false">IF(CS275="","",H275*G275)</f>
        <v>815.87</v>
      </c>
      <c r="CV275" s="63" t="n">
        <f aca="false">IF(CS275="","",(CL275+ROUNDUP(CL275+MAX(CM275,2*(J275/MAX(0.1,N(Einkauf!$C$6))-CL275)),0))/2)</f>
        <v>0.5</v>
      </c>
      <c r="CW275" s="62" t="n">
        <f aca="false">IF(CS275="","",MAX(0,H275-CV275)*G275)</f>
        <v>778.785</v>
      </c>
      <c r="CX275" s="62" t="n">
        <f aca="false">IF(CS275="","",CS275*MAX(0,1-CV275/H275))</f>
        <v>11.5340909090909</v>
      </c>
      <c r="CY275" s="64" t="n">
        <f aca="false">IF(CS275="","",PERCENTRANK($CS$7:$CS$1843,CS275)+PERCENTRANK($CU$7:$CU$1843,CU275)+1-PERCENTRANK($CT$7:$CT$1843,CT275))</f>
        <v>1.8</v>
      </c>
      <c r="CZ275" s="72" t="n">
        <f aca="false">IF(CS275="","",CHOOSE(MATCH(Einkauf!$C$5,Parameter!$G$23:$G$27,0),CY275,CS275,CU275,-CT275,CW275)+ROW()/1000000000)</f>
        <v>1.800000275</v>
      </c>
    </row>
    <row r="276" customFormat="false" ht="15" hidden="false" customHeight="false" outlineLevel="0" collapsed="false">
      <c r="A276" s="60" t="s">
        <v>770</v>
      </c>
      <c r="B276" s="60" t="s">
        <v>586</v>
      </c>
      <c r="C276" s="60" t="s">
        <v>206</v>
      </c>
      <c r="D276" s="60" t="s">
        <v>226</v>
      </c>
      <c r="E276" s="60"/>
      <c r="F276" s="60" t="s">
        <v>260</v>
      </c>
      <c r="G276" s="61" t="n">
        <v>24.5</v>
      </c>
      <c r="H276" s="62" t="n">
        <f aca="false">MAX(0,IF(AND(Parameter!$B$21="Ja",ISNUMBER(Y276)),Y276,IF(Parameter!$B$20="Jahresanfang 2025 + Export",BS276+BR276,BR276)))</f>
        <v>15</v>
      </c>
      <c r="I276" s="62" t="n">
        <f aca="false">H276*G276</f>
        <v>367.5</v>
      </c>
      <c r="J276" s="62" t="n">
        <f aca="false">BU276*Parameter!$B$18</f>
        <v>0</v>
      </c>
      <c r="K276" s="63" t="n">
        <v>0</v>
      </c>
      <c r="L276" s="64" t="n">
        <v>0</v>
      </c>
      <c r="M276" s="62" t="n">
        <v>0</v>
      </c>
      <c r="N276" s="62" t="n">
        <v>15</v>
      </c>
      <c r="O276" s="65" t="n">
        <v>9999</v>
      </c>
      <c r="P276" s="60" t="s">
        <v>210</v>
      </c>
      <c r="Q276" s="62"/>
      <c r="R276" s="65" t="n">
        <f aca="false">IF(CA276=1,0,IFERROR(VLOOKUP(BY276,'Gebinde-Kategorie'!$A$5:$N$45,13,0)+0,0))</f>
        <v>26</v>
      </c>
      <c r="S276" s="66"/>
      <c r="T276" s="67" t="s">
        <v>317</v>
      </c>
      <c r="U276" s="67"/>
      <c r="V276" s="67"/>
      <c r="W276" s="60"/>
      <c r="X276" s="62"/>
      <c r="Y276" s="62"/>
      <c r="Z276" s="60" t="n">
        <v>3</v>
      </c>
      <c r="AA276" s="60" t="n">
        <f aca="false">IF(A276="","",IF(AND(Parameter!$B$21="Ja",ISNUMBER(W276)),W276,IF(AND(Parameter!$E$27="Ja",ISNUMBER(Z276),CD276&lt;&gt;"Nein"),Z276,IF(CD276="2+3",IF(ISNUMBER(SEARCH("grosser Artikel",BV276)),2,IFERROR(VLOOKUP(BY276,Parameter!$F$35:$G$64,2,0),2)),IF(OR(CD276="Nein",CD276=""),"-",CD276)))))</f>
        <v>3</v>
      </c>
      <c r="AB276" s="67"/>
      <c r="AC276" s="68"/>
      <c r="AD276" s="62" t="n">
        <f aca="false">AW276</f>
        <v>15</v>
      </c>
      <c r="AE276" s="62" t="n">
        <f aca="false">MAX(AW276,H276)</f>
        <v>15</v>
      </c>
      <c r="AF276" s="69"/>
      <c r="AG276" s="62" t="n">
        <f aca="false">IF(LEFT(Cockpit!$C$5,1)="A",H276,IF(Parameter!$E$30="MAX-Bestand",IF(CI276=1,CJ276,IF(LEFT(Cockpit!$C$5,1)="B",AM276,MAX(AM276,H276))),ROUNDUP(AK276,0)))</f>
        <v>15</v>
      </c>
      <c r="AH276" s="62" t="n">
        <f aca="false">IF(CA276=1,0,ROUNDUP(AG276/BZ276,0))</f>
        <v>1</v>
      </c>
      <c r="AI276" s="64" t="n">
        <f aca="false">IF(CR276&gt;0,CR276*MAX(1,AG276/X276),IF(CA276=1,IF(AG276&lt;=0,0,CE276*MAX(1,IF(H276&gt;0,AG276/H276,1))),IF(R276&gt;0,AH276/R276,0))/MAX(0.1,N(Parameter!$M$21)))</f>
        <v>0.0384615384615385</v>
      </c>
      <c r="AJ276" s="62" t="n">
        <f aca="false">AI276*CC276</f>
        <v>5.96153846153846</v>
      </c>
      <c r="AK276" s="63" t="n">
        <f aca="false">IF(LEFT(Cockpit!$C$5,1)="A",H276,IF(CI276=1,(CL276+CJ276)/2,IF(LEFT(Cockpit!$C$5,1)="B",(CL276+AM276)/2,MAX((CL276+AM276)/2,H276))))</f>
        <v>15</v>
      </c>
      <c r="AL276" s="62" t="n">
        <f aca="false">AK276*G276</f>
        <v>367.5</v>
      </c>
      <c r="AM276" s="62" t="n">
        <f aca="false">ROUNDUP(CL276+MAX(CM276,2*(J276/IF(CH276&gt;0,CH276,MAX(0.1,N(Cockpit!$C$6)))-CL276)),0)</f>
        <v>15</v>
      </c>
      <c r="AN276" s="63" t="n">
        <f aca="false">IF(AJ276&gt;0,J276/AJ276,-1)</f>
        <v>0</v>
      </c>
      <c r="AO276" s="63" t="n">
        <f aca="false">IF(AND(OR(CG276="L1",CG276="L23",CG276="LIFT"),AJ276&gt;0),SUMIFS($AJ$7:$AJ$1843,$CG$7:$CG$1843,CG276,$AN$7:$AN$1843,"&gt;"&amp;AN276)+SUMIFS($AJ$7:$AJ$1843,$CG$7:$CG$1843,CG276,$AN$7:$AN$1843,AN276,$BX$7:$BX$1843,"&lt;="&amp;BX276),"")</f>
        <v>27778.4081351793</v>
      </c>
      <c r="AP276" s="70" t="n">
        <f aca="false">IF(AO276="",0,MAX(0,MIN(1,(IF(CG276="L1",Parameter!$H$5,IF(CG276="L23",Parameter!$H$6+Parameter!$H$7,Parameter!$H$5+Parameter!$H$6+Parameter!$H$7))-(AO276-AJ276))/AJ276)))</f>
        <v>1</v>
      </c>
      <c r="AQ276" s="62" t="n">
        <f aca="false">IF(LEFT(Cockpit!$I$5,1)="A",H276,IF(Parameter!$E$30="MAX-Bestand",IF(CI276=1,CJ276,IF(LEFT(Cockpit!$I$5,1)="B",AW276,MAX(AW276,H276))),ROUNDUP(AU276,0)))</f>
        <v>15</v>
      </c>
      <c r="AR276" s="62" t="n">
        <f aca="false">IF(CA276=1,0,ROUNDUP(AQ276/BZ276,0))</f>
        <v>1</v>
      </c>
      <c r="AS276" s="64" t="n">
        <f aca="false">IF(CR276&gt;0,CR276*MAX(1,AQ276/X276),IF(CA276=1,IF(AQ276&lt;=0,0,CE276*MAX(1,IF(H276&gt;0,AQ276/H276,1))),IF(R276&gt;0,AR276/R276,0))/MAX(0.1,N(Parameter!$M$21)))</f>
        <v>0.0384615384615385</v>
      </c>
      <c r="AT276" s="62" t="n">
        <f aca="false">AS276*CC276</f>
        <v>5.96153846153846</v>
      </c>
      <c r="AU276" s="63" t="n">
        <f aca="false">IF(LEFT(Cockpit!$I$5,1)="A",H276,IF(CI276=1,(CL276+CJ276)/2,IF(LEFT(Cockpit!$I$5,1)="B",(CL276+AW276)/2,MAX((CL276+AW276)/2,H276))))</f>
        <v>15</v>
      </c>
      <c r="AV276" s="62" t="n">
        <f aca="false">AU276*G276</f>
        <v>367.5</v>
      </c>
      <c r="AW276" s="62" t="n">
        <f aca="false">ROUNDUP(CL276+MAX(CM276,2*(J276/IF(CH276&gt;0,CH276,MAX(0.1,N(Cockpit!$I$6)))-CL276)),0)</f>
        <v>15</v>
      </c>
      <c r="AX276" s="63" t="n">
        <f aca="false">IF(AT276&gt;0,J276/AT276,-1)</f>
        <v>0</v>
      </c>
      <c r="AY276" s="63" t="n">
        <f aca="false">IF(AND(OR(CG276="L1",CG276="L23",CG276="LIFT"),AT276&gt;0),SUMIFS($AT$7:$AT$1843,$CG$7:$CG$1843,CG276,$AX$7:$AX$1843,"&gt;"&amp;AX276)+SUMIFS($AT$7:$AT$1843,$CG$7:$CG$1843,CG276,$AX$7:$AX$1843,AX276,$BX$7:$BX$1843,"&lt;="&amp;BX276),"")</f>
        <v>33131.5567765568</v>
      </c>
      <c r="AZ276" s="70" t="n">
        <f aca="false">IF(AY276="",0,MAX(0,MIN(1,(IF(CG276="L1",Parameter!$H$5,IF(CG276="L23",Parameter!$H$6+Parameter!$H$7,Parameter!$H$5+Parameter!$H$6+Parameter!$H$7))-(AY276-AT276))/AT276)))</f>
        <v>1</v>
      </c>
      <c r="BA276" s="62" t="n">
        <f aca="false">IF(LEFT(Cockpit!$O$5,1)="A",H276,IF(Parameter!$E$30="MAX-Bestand",IF(CI276=1,CJ276,IF(LEFT(Cockpit!$O$5,1)="B",BG276,MAX(BG276,H276))),ROUNDUP(BE276,0)))</f>
        <v>8</v>
      </c>
      <c r="BB276" s="62" t="n">
        <f aca="false">IF(CA276=1,0,ROUNDUP(BA276/BZ276,0))</f>
        <v>1</v>
      </c>
      <c r="BC276" s="64" t="n">
        <f aca="false">IF(CR276&gt;0,CR276*MAX(1,BA276/X276),IF(CA276=1,IF(BA276&lt;=0,0,CE276*MAX(1,IF(H276&gt;0,BA276/H276,1))),IF(R276&gt;0,BB276/R276,0))/MAX(0.1,N(Parameter!$M$21)))</f>
        <v>0.0384615384615385</v>
      </c>
      <c r="BD276" s="62" t="n">
        <f aca="false">BC276*CC276</f>
        <v>5.96153846153846</v>
      </c>
      <c r="BE276" s="63" t="n">
        <f aca="false">IF(LEFT(Cockpit!$O$5,1)="A",H276,IF(CI276=1,(CL276+CJ276)/2,IF(LEFT(Cockpit!$O$5,1)="B",(CL276+BG276)/2,MAX((CL276+BG276)/2,H276))))</f>
        <v>7.5</v>
      </c>
      <c r="BF276" s="62" t="n">
        <f aca="false">BE276*G276</f>
        <v>183.75</v>
      </c>
      <c r="BG276" s="62" t="n">
        <f aca="false">ROUNDUP(CL276+MAX(CM276,2*(J276/IF(CH276&gt;0,CH276,MAX(0.1,N(Cockpit!$O$6)))-CL276)),0)</f>
        <v>15</v>
      </c>
      <c r="BH276" s="63" t="n">
        <f aca="false">IF(BD276&gt;0,J276/BD276,-1)</f>
        <v>0</v>
      </c>
      <c r="BI276" s="63" t="n">
        <f aca="false">IF(AND(OR(CG276="L1",CG276="L23",CG276="LIFT"),BD276&gt;0),SUMIFS($BD$7:$BD$1843,$CG$7:$CG$1843,CG276,$BH$7:$BH$1843,"&gt;"&amp;BH276)+SUMIFS($BD$7:$BD$1843,$CG$7:$CG$1843,CG276,$BH$7:$BH$1843,BH276,$BX$7:$BX$1843,"&lt;="&amp;BX276),"")</f>
        <v>27286.3757993419</v>
      </c>
      <c r="BJ276" s="70" t="n">
        <f aca="false">IF(BI276="",0,MAX(0,MIN(1,(IF(CG276="L1",Parameter!$H$5,IF(CG276="L23",Parameter!$H$6+Parameter!$H$7,Parameter!$H$5+Parameter!$H$6+Parameter!$H$7))-(BI276-BD276))/BD276)))</f>
        <v>1</v>
      </c>
      <c r="BK276" s="60" t="str">
        <f aca="false">IF(AJ276&lt;=0,"",IF(CG276="Aussen","Aussenlager",IF(CG276="-","Nicht im Lift",IF(AP276&gt;=1,"Lift",IF(AP276&lt;=0,"Aussenlager","teilweise")))))</f>
        <v>Lift</v>
      </c>
      <c r="BL276" s="60" t="str">
        <f aca="false">IF(AT276&lt;=0,"",IF(CG276="Aussen","Aussenlager",IF(CG276="-","Nicht im Lift",IF(AZ276&gt;=1,"Lift",IF(AZ276&lt;=0,"Aussenlager","teilweise")))))</f>
        <v>Lift</v>
      </c>
      <c r="BM276" s="60" t="str">
        <f aca="false">IF(BD276&lt;=0,"",IF(CG276="Aussen","Aussenlager",IF(CG276="-","Nicht im Lift",IF(BJ276&gt;=1,"Lift",IF(BJ276&lt;=0,"Aussenlager","teilweise")))))</f>
        <v>Lift</v>
      </c>
      <c r="BN276" s="60" t="str">
        <f aca="false">IF(A276="","",IF(BW276=1,"Neu; ","")&amp;IF(AND(BW276=0,BR276&lt;0),"negativer Bestand (Export "&amp;BR276&amp;"); ","")&amp;IF(J276&lt;=0,"Kein Verbrauch; ","")&amp;IF(CR276&gt;0,"Lift "&amp;W276&amp;" lt. Liftbericht (Fach "&amp;X276&amp;" Stk); ",IF(CB276=1,"Gebinde geschätzt ("&amp;T276&amp;"); ",IF(CA276=1,"Lose – Tablare geschätzt; ","")))&amp;IF(H276&gt;AW276,"Überbestand "&amp;ROUND(H276-AW276,0)&amp;" Stk / CHF "&amp;ROUND((H276-AW276)*G276,0)&amp;"; ","")&amp;IF(AND(CI276=1,CJ276&lt;CK276),"MAX &lt; MB+LG; ","")&amp;IF(AND(CQ276&gt;0,CP276*10&gt;CQ276),"zu hoch für Tablar; ","")&amp;IF(AND(BW276=0,OR(CI276=1,AB276&lt;&gt;"",U276&lt;&gt;"",V276&lt;&gt;"",AC276&lt;&gt;"")),"manuell übersteuert; ","")&amp;IF(AND(CA276=0,R276=0),"Gebinde unbekannt / Stellmass fehlt; ","")&amp;IF(AND(CA276=0,N(V276)&lt;=0,N(Q276)&lt;=0),"Menge pro Gebinde fehlt (Ist = 1 Gebinde); ","")&amp;BV276)</f>
        <v>Kein Verbrauch; Gebinde geschätzt (Klein); Menge pro Gebinde fehlt (Ist = 1 Gebinde); </v>
      </c>
      <c r="BO276" s="60"/>
      <c r="BP276" s="60"/>
      <c r="BQ276" s="67"/>
      <c r="BR276" s="62" t="n">
        <v>15</v>
      </c>
      <c r="BS276" s="62" t="n">
        <v>0</v>
      </c>
      <c r="BT276" s="61" t="n">
        <v>367.5</v>
      </c>
      <c r="BU276" s="62" t="n">
        <v>0</v>
      </c>
      <c r="BV276" s="60"/>
      <c r="BW276" s="65" t="n">
        <v>0</v>
      </c>
      <c r="BX276" s="65" t="n">
        <v>276</v>
      </c>
      <c r="BY276" s="60" t="str">
        <f aca="false">IF(U276&lt;&gt;"",UPPER(TRIM(U276)),IF(CB276=1,UPPER(VLOOKUP(T276,Parameter!$I$27:$K$29,2,0)),IF(P276="","LOSE",P276)))</f>
        <v>S51</v>
      </c>
      <c r="BZ276" s="62" t="n">
        <f aca="false">IF(BY276="LOSE",1,IF(N(V276)&gt;0,V276,IF(CB276=1,MAX(1,N(VLOOKUP(T276,Parameter!$I$27:$K$29,3,0)),H276,N(N276)),IF(N(Q276)&gt;0,Q276,MAX(1,H276)))))</f>
        <v>20</v>
      </c>
      <c r="CA276" s="65" t="n">
        <f aca="false">IF(BY276="LOSE",1,0)</f>
        <v>0</v>
      </c>
      <c r="CB276" s="65" t="n">
        <f aca="false">IF(AND(U276="",OR(P276="",P276="LOSE"),T276&lt;&gt;"",N(S276)&lt;=0,ISNUMBER(MATCH(T276,Parameter!$I$27:$I$29,0))),1,0)</f>
        <v>1</v>
      </c>
      <c r="CC276" s="65" t="n">
        <f aca="false">IF(CR276&gt;0,INDEX(Parameter!$H$5:$H$7,W276)/INDEX(Parameter!$E$5:$E$7,W276),IF(AND(CA276=0,N(IFERROR(VLOOKUP(BY276,'Gebinde-Kategorie'!$A$5:$N$45,14,0),0))&gt;0),VLOOKUP(BY276,'Gebinde-Kategorie'!$A$5:$N$45,14,0)*10+Parameter!$M$23,Parameter!$M$24))</f>
        <v>155</v>
      </c>
      <c r="CD276" s="60" t="str">
        <f aca="false">IF(AND(Parameter!$B$19="Ja",E276&lt;&gt;"",ISNUMBER(MATCH(E276,Parameter!$I$35:$I$52,0))),VLOOKUP(E276,Parameter!$I$35:$J$52,2,0),IFERROR(VLOOKUP(D276,Parameter!$A$35:$C$64,2,0),"Nein"))</f>
        <v>2+3</v>
      </c>
      <c r="CE276" s="64" t="n">
        <f aca="false">IF(CA276=0,0,IF(N(S276)&gt;0,S276,IFERROR(VLOOKUP(D276,Parameter!$A$35:$C$64,3,0)+0,0)))</f>
        <v>0</v>
      </c>
      <c r="CF276" s="60" t="n">
        <f aca="false">IF(AB276&lt;&gt;"",AB276,AA276)</f>
        <v>3</v>
      </c>
      <c r="CG276" s="60" t="str">
        <f aca="false">IF(OR(CF276=1,CF276=2,CF276=3),IF(Parameter!$E$27="Ja","LIFT",IF(CF276=1,"L1","L23")),IF(CF276="Aussen","Aussen","-"))</f>
        <v>LIFT</v>
      </c>
      <c r="CH276" s="71" t="n">
        <f aca="false">IF(N(AC276)&gt;0,AC276,0)</f>
        <v>0</v>
      </c>
      <c r="CI276" s="65" t="n">
        <f aca="false">IF(ISNUMBER(AF276),1,0)</f>
        <v>0</v>
      </c>
      <c r="CJ276" s="62" t="n">
        <f aca="false">N(AF276)</f>
        <v>0</v>
      </c>
      <c r="CK276" s="62" t="n">
        <f aca="false">N(M276)+N(N276)</f>
        <v>15</v>
      </c>
      <c r="CL276" s="62" t="n">
        <f aca="false">N(M276)</f>
        <v>0</v>
      </c>
      <c r="CM276" s="62" t="n">
        <f aca="false">N(N276)</f>
        <v>15</v>
      </c>
      <c r="CN276" s="62" t="n">
        <f aca="false">ROUNDUP(H276/BZ276,0)</f>
        <v>1</v>
      </c>
      <c r="CO276" s="62" t="n">
        <f aca="false">ROUNDUP(CJ276/BZ276,0)</f>
        <v>0</v>
      </c>
      <c r="CP276" s="65" t="n">
        <f aca="false">IF(CA276=1,0,IFERROR(VLOOKUP(BY276,'Gebinde-Kategorie'!$A$5:$N$45,5,0)+0,0))</f>
        <v>11</v>
      </c>
      <c r="CQ276" s="65" t="n">
        <f aca="false">IFERROR(IF(OR(CF276=1,CF276=2,CF276=3),N(INDEX(Parameter!$I$5:$I$7,CF276)),0),0)</f>
        <v>0</v>
      </c>
      <c r="CR276" s="64" t="n">
        <f aca="false">IF(AND(Parameter!$B$21="Ja",ISNUMBER(W276),N(X276)&gt;0),IFERROR(N(INDEX(Parameter!$L$5:$L$7,W276))*INDEX(Parameter!$E$5:$E$7,W276)*X276/SUMIFS($X$7:$X$1843,$W$7:$W$1843,W276),0),0)</f>
        <v>0</v>
      </c>
      <c r="CS276" s="62" t="n">
        <f aca="false">IF(AND(OR(CG276="L1",CG276="L23",CG276="LIFT"),H276&gt;0),CC276*IF(CR276&gt;0,CR276*MAX(1,H276/X276),IF(CA276=1,CE276,IF(R276&gt;0,CN276/R276,0))/MAX(0.1,N(Parameter!$M$21))),"")</f>
        <v>5.96153846153846</v>
      </c>
      <c r="CT276" s="64" t="n">
        <f aca="false">IF(CS276="","",J276/H276)</f>
        <v>0</v>
      </c>
      <c r="CU276" s="62" t="n">
        <f aca="false">IF(CS276="","",H276*G276)</f>
        <v>367.5</v>
      </c>
      <c r="CV276" s="63" t="n">
        <f aca="false">IF(CS276="","",(CL276+ROUNDUP(CL276+MAX(CM276,2*(J276/MAX(0.1,N(Einkauf!$C$6))-CL276)),0))/2)</f>
        <v>7.5</v>
      </c>
      <c r="CW276" s="62" t="n">
        <f aca="false">IF(CS276="","",MAX(0,H276-CV276)*G276)</f>
        <v>183.75</v>
      </c>
      <c r="CX276" s="62" t="n">
        <f aca="false">IF(CS276="","",CS276*MAX(0,1-CV276/H276))</f>
        <v>2.98076923076923</v>
      </c>
      <c r="CY276" s="64" t="n">
        <f aca="false">IF(CS276="","",PERCENTRANK($CS$7:$CS$1843,CS276)+PERCENTRANK($CU$7:$CU$1843,CU276)+1-PERCENTRANK($CT$7:$CT$1843,CT276))</f>
        <v>1.822</v>
      </c>
      <c r="CZ276" s="72" t="n">
        <f aca="false">IF(CS276="","",CHOOSE(MATCH(Einkauf!$C$5,Parameter!$G$23:$G$27,0),CY276,CS276,CU276,-CT276,CW276)+ROW()/1000000000)</f>
        <v>1.822000276</v>
      </c>
    </row>
    <row r="277" customFormat="false" ht="15" hidden="false" customHeight="false" outlineLevel="0" collapsed="false">
      <c r="A277" s="60" t="s">
        <v>771</v>
      </c>
      <c r="B277" s="60" t="s">
        <v>772</v>
      </c>
      <c r="C277" s="60" t="s">
        <v>206</v>
      </c>
      <c r="D277" s="60" t="s">
        <v>226</v>
      </c>
      <c r="E277" s="60" t="s">
        <v>227</v>
      </c>
      <c r="F277" s="60" t="s">
        <v>260</v>
      </c>
      <c r="G277" s="61" t="n">
        <v>20.67</v>
      </c>
      <c r="H277" s="62" t="n">
        <f aca="false">MAX(0,IF(AND(Parameter!$B$21="Ja",ISNUMBER(Y277)),Y277,IF(Parameter!$B$20="Jahresanfang 2025 + Export",BS277+BR277,BR277)))</f>
        <v>22</v>
      </c>
      <c r="I277" s="62" t="n">
        <f aca="false">H277*G277</f>
        <v>454.74</v>
      </c>
      <c r="J277" s="62" t="n">
        <f aca="false">BU277*Parameter!$B$18</f>
        <v>4</v>
      </c>
      <c r="K277" s="63" t="n">
        <v>13</v>
      </c>
      <c r="L277" s="64" t="n">
        <v>0.307692307692308</v>
      </c>
      <c r="M277" s="62" t="n">
        <v>0</v>
      </c>
      <c r="N277" s="62" t="n">
        <v>5</v>
      </c>
      <c r="O277" s="65" t="n">
        <v>21</v>
      </c>
      <c r="P277" s="60" t="s">
        <v>463</v>
      </c>
      <c r="Q277" s="62" t="n">
        <v>13</v>
      </c>
      <c r="R277" s="65" t="n">
        <f aca="false">IF(CA277=1,0,IFERROR(VLOOKUP(BY277,'Gebinde-Kategorie'!$A$5:$N$45,13,0)+0,0))</f>
        <v>104</v>
      </c>
      <c r="S277" s="66"/>
      <c r="T277" s="67"/>
      <c r="U277" s="67"/>
      <c r="V277" s="67"/>
      <c r="W277" s="60"/>
      <c r="X277" s="62"/>
      <c r="Y277" s="62"/>
      <c r="Z277" s="60" t="n">
        <v>3</v>
      </c>
      <c r="AA277" s="60" t="n">
        <f aca="false">IF(A277="","",IF(AND(Parameter!$B$21="Ja",ISNUMBER(W277)),W277,IF(AND(Parameter!$E$27="Ja",ISNUMBER(Z277),CD277&lt;&gt;"Nein"),Z277,IF(CD277="2+3",IF(ISNUMBER(SEARCH("grosser Artikel",BV277)),2,IFERROR(VLOOKUP(BY277,Parameter!$F$35:$G$64,2,0),2)),IF(OR(CD277="Nein",CD277=""),"-",CD277)))))</f>
        <v>3</v>
      </c>
      <c r="AB277" s="67"/>
      <c r="AC277" s="68"/>
      <c r="AD277" s="62" t="n">
        <f aca="false">AW277</f>
        <v>5</v>
      </c>
      <c r="AE277" s="62" t="n">
        <f aca="false">MAX(AW277,H277)</f>
        <v>22</v>
      </c>
      <c r="AF277" s="69"/>
      <c r="AG277" s="62" t="n">
        <f aca="false">IF(LEFT(Cockpit!$C$5,1)="A",H277,IF(Parameter!$E$30="MAX-Bestand",IF(CI277=1,CJ277,IF(LEFT(Cockpit!$C$5,1)="B",AM277,MAX(AM277,H277))),ROUNDUP(AK277,0)))</f>
        <v>22</v>
      </c>
      <c r="AH277" s="62" t="n">
        <f aca="false">IF(CA277=1,0,ROUNDUP(AG277/BZ277,0))</f>
        <v>2</v>
      </c>
      <c r="AI277" s="64" t="n">
        <f aca="false">IF(CR277&gt;0,CR277*MAX(1,AG277/X277),IF(CA277=1,IF(AG277&lt;=0,0,CE277*MAX(1,IF(H277&gt;0,AG277/H277,1))),IF(R277&gt;0,AH277/R277,0))/MAX(0.1,N(Parameter!$M$21)))</f>
        <v>0.0192307692307692</v>
      </c>
      <c r="AJ277" s="62" t="n">
        <f aca="false">AI277*CC277</f>
        <v>2.98076923076923</v>
      </c>
      <c r="AK277" s="63" t="n">
        <f aca="false">IF(LEFT(Cockpit!$C$5,1)="A",H277,IF(CI277=1,(CL277+CJ277)/2,IF(LEFT(Cockpit!$C$5,1)="B",(CL277+AM277)/2,MAX((CL277+AM277)/2,H277))))</f>
        <v>22</v>
      </c>
      <c r="AL277" s="62" t="n">
        <f aca="false">AK277*G277</f>
        <v>454.74</v>
      </c>
      <c r="AM277" s="62" t="n">
        <f aca="false">ROUNDUP(CL277+MAX(CM277,2*(J277/IF(CH277&gt;0,CH277,MAX(0.1,N(Cockpit!$C$6)))-CL277)),0)</f>
        <v>5</v>
      </c>
      <c r="AN277" s="63" t="n">
        <f aca="false">IF(AJ277&gt;0,J277/AJ277,-1)</f>
        <v>1.34193548387097</v>
      </c>
      <c r="AO277" s="63" t="n">
        <f aca="false">IF(AND(OR(CG277="L1",CG277="L23",CG277="LIFT"),AJ277&gt;0),SUMIFS($AJ$7:$AJ$1843,$CG$7:$CG$1843,CG277,$AN$7:$AN$1843,"&gt;"&amp;AN277)+SUMIFS($AJ$7:$AJ$1843,$CG$7:$CG$1843,CG277,$AN$7:$AN$1843,AN277,$BX$7:$BX$1843,"&lt;="&amp;BX277),"")</f>
        <v>6328.16712454213</v>
      </c>
      <c r="AP277" s="70" t="n">
        <f aca="false">IF(AO277="",0,MAX(0,MIN(1,(IF(CG277="L1",Parameter!$H$5,IF(CG277="L23",Parameter!$H$6+Parameter!$H$7,Parameter!$H$5+Parameter!$H$6+Parameter!$H$7))-(AO277-AJ277))/AJ277)))</f>
        <v>1</v>
      </c>
      <c r="AQ277" s="62" t="n">
        <f aca="false">IF(LEFT(Cockpit!$I$5,1)="A",H277,IF(Parameter!$E$30="MAX-Bestand",IF(CI277=1,CJ277,IF(LEFT(Cockpit!$I$5,1)="B",AW277,MAX(AW277,H277))),ROUNDUP(AU277,0)))</f>
        <v>22</v>
      </c>
      <c r="AR277" s="62" t="n">
        <f aca="false">IF(CA277=1,0,ROUNDUP(AQ277/BZ277,0))</f>
        <v>2</v>
      </c>
      <c r="AS277" s="64" t="n">
        <f aca="false">IF(CR277&gt;0,CR277*MAX(1,AQ277/X277),IF(CA277=1,IF(AQ277&lt;=0,0,CE277*MAX(1,IF(H277&gt;0,AQ277/H277,1))),IF(R277&gt;0,AR277/R277,0))/MAX(0.1,N(Parameter!$M$21)))</f>
        <v>0.0192307692307692</v>
      </c>
      <c r="AT277" s="62" t="n">
        <f aca="false">AS277*CC277</f>
        <v>2.98076923076923</v>
      </c>
      <c r="AU277" s="63" t="n">
        <f aca="false">IF(LEFT(Cockpit!$I$5,1)="A",H277,IF(CI277=1,(CL277+CJ277)/2,IF(LEFT(Cockpit!$I$5,1)="B",(CL277+AW277)/2,MAX((CL277+AW277)/2,H277))))</f>
        <v>22</v>
      </c>
      <c r="AV277" s="62" t="n">
        <f aca="false">AU277*G277</f>
        <v>454.74</v>
      </c>
      <c r="AW277" s="62" t="n">
        <f aca="false">ROUNDUP(CL277+MAX(CM277,2*(J277/IF(CH277&gt;0,CH277,MAX(0.1,N(Cockpit!$I$6)))-CL277)),0)</f>
        <v>5</v>
      </c>
      <c r="AX277" s="63" t="n">
        <f aca="false">IF(AT277&gt;0,J277/AT277,-1)</f>
        <v>1.34193548387097</v>
      </c>
      <c r="AY277" s="63" t="n">
        <f aca="false">IF(AND(OR(CG277="L1",CG277="L23",CG277="LIFT"),AT277&gt;0),SUMIFS($AT$7:$AT$1843,$CG$7:$CG$1843,CG277,$AX$7:$AX$1843,"&gt;"&amp;AX277)+SUMIFS($AT$7:$AT$1843,$CG$7:$CG$1843,CG277,$AX$7:$AX$1843,AX277,$BX$7:$BX$1843,"&lt;="&amp;BX277),"")</f>
        <v>7846.38919413919</v>
      </c>
      <c r="AZ277" s="70" t="n">
        <f aca="false">IF(AY277="",0,MAX(0,MIN(1,(IF(CG277="L1",Parameter!$H$5,IF(CG277="L23",Parameter!$H$6+Parameter!$H$7,Parameter!$H$5+Parameter!$H$6+Parameter!$H$7))-(AY277-AT277))/AT277)))</f>
        <v>1</v>
      </c>
      <c r="BA277" s="62" t="n">
        <f aca="false">IF(LEFT(Cockpit!$O$5,1)="A",H277,IF(Parameter!$E$30="MAX-Bestand",IF(CI277=1,CJ277,IF(LEFT(Cockpit!$O$5,1)="B",BG277,MAX(BG277,H277))),ROUNDUP(BE277,0)))</f>
        <v>3</v>
      </c>
      <c r="BB277" s="62" t="n">
        <f aca="false">IF(CA277=1,0,ROUNDUP(BA277/BZ277,0))</f>
        <v>1</v>
      </c>
      <c r="BC277" s="64" t="n">
        <f aca="false">IF(CR277&gt;0,CR277*MAX(1,BA277/X277),IF(CA277=1,IF(BA277&lt;=0,0,CE277*MAX(1,IF(H277&gt;0,BA277/H277,1))),IF(R277&gt;0,BB277/R277,0))/MAX(0.1,N(Parameter!$M$21)))</f>
        <v>0.00961538461538462</v>
      </c>
      <c r="BD277" s="62" t="n">
        <f aca="false">BC277*CC277</f>
        <v>1.49038461538462</v>
      </c>
      <c r="BE277" s="63" t="n">
        <f aca="false">IF(LEFT(Cockpit!$O$5,1)="A",H277,IF(CI277=1,(CL277+CJ277)/2,IF(LEFT(Cockpit!$O$5,1)="B",(CL277+BG277)/2,MAX((CL277+BG277)/2,H277))))</f>
        <v>2.5</v>
      </c>
      <c r="BF277" s="62" t="n">
        <f aca="false">BE277*G277</f>
        <v>51.675</v>
      </c>
      <c r="BG277" s="62" t="n">
        <f aca="false">ROUNDUP(CL277+MAX(CM277,2*(J277/IF(CH277&gt;0,CH277,MAX(0.1,N(Cockpit!$O$6)))-CL277)),0)</f>
        <v>5</v>
      </c>
      <c r="BH277" s="63" t="n">
        <f aca="false">IF(BD277&gt;0,J277/BD277,-1)</f>
        <v>2.68387096774194</v>
      </c>
      <c r="BI277" s="63" t="n">
        <f aca="false">IF(AND(OR(CG277="L1",CG277="L23",CG277="LIFT"),BD277&gt;0),SUMIFS($BD$7:$BD$1843,$CG$7:$CG$1843,CG277,$BH$7:$BH$1843,"&gt;"&amp;BH277)+SUMIFS($BD$7:$BD$1843,$CG$7:$CG$1843,CG277,$BH$7:$BH$1843,BH277,$BX$7:$BX$1843,"&lt;="&amp;BX277),"")</f>
        <v>5331.51923076923</v>
      </c>
      <c r="BJ277" s="70" t="n">
        <f aca="false">IF(BI277="",0,MAX(0,MIN(1,(IF(CG277="L1",Parameter!$H$5,IF(CG277="L23",Parameter!$H$6+Parameter!$H$7,Parameter!$H$5+Parameter!$H$6+Parameter!$H$7))-(BI277-BD277))/BD277)))</f>
        <v>1</v>
      </c>
      <c r="BK277" s="60" t="str">
        <f aca="false">IF(AJ277&lt;=0,"",IF(CG277="Aussen","Aussenlager",IF(CG277="-","Nicht im Lift",IF(AP277&gt;=1,"Lift",IF(AP277&lt;=0,"Aussenlager","teilweise")))))</f>
        <v>Lift</v>
      </c>
      <c r="BL277" s="60" t="str">
        <f aca="false">IF(AT277&lt;=0,"",IF(CG277="Aussen","Aussenlager",IF(CG277="-","Nicht im Lift",IF(AZ277&gt;=1,"Lift",IF(AZ277&lt;=0,"Aussenlager","teilweise")))))</f>
        <v>Lift</v>
      </c>
      <c r="BM277" s="60" t="str">
        <f aca="false">IF(BD277&lt;=0,"",IF(CG277="Aussen","Aussenlager",IF(CG277="-","Nicht im Lift",IF(BJ277&gt;=1,"Lift",IF(BJ277&lt;=0,"Aussenlager","teilweise")))))</f>
        <v>Lift</v>
      </c>
      <c r="BN277" s="60" t="str">
        <f aca="false">IF(A277="","",IF(BW277=1,"Neu; ","")&amp;IF(AND(BW277=0,BR277&lt;0),"negativer Bestand (Export "&amp;BR277&amp;"); ","")&amp;IF(J277&lt;=0,"Kein Verbrauch; ","")&amp;IF(CR277&gt;0,"Lift "&amp;W277&amp;" lt. Liftbericht (Fach "&amp;X277&amp;" Stk); ",IF(CB277=1,"Gebinde geschätzt ("&amp;T277&amp;"); ",IF(CA277=1,"Lose – Tablare geschätzt; ","")))&amp;IF(H277&gt;AW277,"Überbestand "&amp;ROUND(H277-AW277,0)&amp;" Stk / CHF "&amp;ROUND((H277-AW277)*G277,0)&amp;"; ","")&amp;IF(AND(CI277=1,CJ277&lt;CK277),"MAX &lt; MB+LG; ","")&amp;IF(AND(CQ277&gt;0,CP277*10&gt;CQ277),"zu hoch für Tablar; ","")&amp;IF(AND(BW277=0,OR(CI277=1,AB277&lt;&gt;"",U277&lt;&gt;"",V277&lt;&gt;"",AC277&lt;&gt;"")),"manuell übersteuert; ","")&amp;IF(AND(CA277=0,R277=0),"Gebinde unbekannt / Stellmass fehlt; ","")&amp;IF(AND(CA277=0,N(V277)&lt;=0,N(Q277)&lt;=0),"Menge pro Gebinde fehlt (Ist = 1 Gebinde); ","")&amp;BV277)</f>
        <v>Überbestand 17 Stk / CHF 351; </v>
      </c>
      <c r="BO277" s="60"/>
      <c r="BP277" s="60"/>
      <c r="BQ277" s="67"/>
      <c r="BR277" s="62" t="n">
        <v>17</v>
      </c>
      <c r="BS277" s="62" t="n">
        <v>5</v>
      </c>
      <c r="BT277" s="61" t="n">
        <v>364.74</v>
      </c>
      <c r="BU277" s="62" t="n">
        <v>4</v>
      </c>
      <c r="BV277" s="60"/>
      <c r="BW277" s="65" t="n">
        <v>0</v>
      </c>
      <c r="BX277" s="65" t="n">
        <v>277</v>
      </c>
      <c r="BY277" s="60" t="str">
        <f aca="false">IF(U277&lt;&gt;"",UPPER(TRIM(U277)),IF(CB277=1,UPPER(VLOOKUP(T277,Parameter!$I$27:$K$29,2,0)),IF(P277="","LOSE",P277)))</f>
        <v>S32</v>
      </c>
      <c r="BZ277" s="62" t="n">
        <f aca="false">IF(BY277="LOSE",1,IF(N(V277)&gt;0,V277,IF(CB277=1,MAX(1,N(VLOOKUP(T277,Parameter!$I$27:$K$29,3,0)),H277,N(N277)),IF(N(Q277)&gt;0,Q277,MAX(1,H277)))))</f>
        <v>13</v>
      </c>
      <c r="CA277" s="65" t="n">
        <f aca="false">IF(BY277="LOSE",1,0)</f>
        <v>0</v>
      </c>
      <c r="CB277" s="65" t="n">
        <f aca="false">IF(AND(U277="",OR(P277="",P277="LOSE"),T277&lt;&gt;"",N(S277)&lt;=0,ISNUMBER(MATCH(T277,Parameter!$I$27:$I$29,0))),1,0)</f>
        <v>0</v>
      </c>
      <c r="CC277" s="65" t="n">
        <f aca="false">IF(CR277&gt;0,INDEX(Parameter!$H$5:$H$7,W277)/INDEX(Parameter!$E$5:$E$7,W277),IF(AND(CA277=0,N(IFERROR(VLOOKUP(BY277,'Gebinde-Kategorie'!$A$5:$N$45,14,0),0))&gt;0),VLOOKUP(BY277,'Gebinde-Kategorie'!$A$5:$N$45,14,0)*10+Parameter!$M$23,Parameter!$M$24))</f>
        <v>155</v>
      </c>
      <c r="CD277" s="60" t="str">
        <f aca="false">IF(AND(Parameter!$B$19="Ja",E277&lt;&gt;"",ISNUMBER(MATCH(E277,Parameter!$I$35:$I$52,0))),VLOOKUP(E277,Parameter!$I$35:$J$52,2,0),IFERROR(VLOOKUP(D277,Parameter!$A$35:$C$64,2,0),"Nein"))</f>
        <v>2+3</v>
      </c>
      <c r="CE277" s="64" t="n">
        <f aca="false">IF(CA277=0,0,IF(N(S277)&gt;0,S277,IFERROR(VLOOKUP(D277,Parameter!$A$35:$C$64,3,0)+0,0)))</f>
        <v>0</v>
      </c>
      <c r="CF277" s="60" t="n">
        <f aca="false">IF(AB277&lt;&gt;"",AB277,AA277)</f>
        <v>3</v>
      </c>
      <c r="CG277" s="60" t="str">
        <f aca="false">IF(OR(CF277=1,CF277=2,CF277=3),IF(Parameter!$E$27="Ja","LIFT",IF(CF277=1,"L1","L23")),IF(CF277="Aussen","Aussen","-"))</f>
        <v>LIFT</v>
      </c>
      <c r="CH277" s="71" t="n">
        <f aca="false">IF(N(AC277)&gt;0,AC277,0)</f>
        <v>0</v>
      </c>
      <c r="CI277" s="65" t="n">
        <f aca="false">IF(ISNUMBER(AF277),1,0)</f>
        <v>0</v>
      </c>
      <c r="CJ277" s="62" t="n">
        <f aca="false">N(AF277)</f>
        <v>0</v>
      </c>
      <c r="CK277" s="62" t="n">
        <f aca="false">N(M277)+N(N277)</f>
        <v>5</v>
      </c>
      <c r="CL277" s="62" t="n">
        <f aca="false">N(M277)</f>
        <v>0</v>
      </c>
      <c r="CM277" s="62" t="n">
        <f aca="false">N(N277)</f>
        <v>5</v>
      </c>
      <c r="CN277" s="62" t="n">
        <f aca="false">ROUNDUP(H277/BZ277,0)</f>
        <v>2</v>
      </c>
      <c r="CO277" s="62" t="n">
        <f aca="false">ROUNDUP(CJ277/BZ277,0)</f>
        <v>0</v>
      </c>
      <c r="CP277" s="65" t="n">
        <f aca="false">IF(CA277=1,0,IFERROR(VLOOKUP(BY277,'Gebinde-Kategorie'!$A$5:$N$45,5,0)+0,0))</f>
        <v>8</v>
      </c>
      <c r="CQ277" s="65" t="n">
        <f aca="false">IFERROR(IF(OR(CF277=1,CF277=2,CF277=3),N(INDEX(Parameter!$I$5:$I$7,CF277)),0),0)</f>
        <v>0</v>
      </c>
      <c r="CR277" s="64" t="n">
        <f aca="false">IF(AND(Parameter!$B$21="Ja",ISNUMBER(W277),N(X277)&gt;0),IFERROR(N(INDEX(Parameter!$L$5:$L$7,W277))*INDEX(Parameter!$E$5:$E$7,W277)*X277/SUMIFS($X$7:$X$1843,$W$7:$W$1843,W277),0),0)</f>
        <v>0</v>
      </c>
      <c r="CS277" s="62" t="n">
        <f aca="false">IF(AND(OR(CG277="L1",CG277="L23",CG277="LIFT"),H277&gt;0),CC277*IF(CR277&gt;0,CR277*MAX(1,H277/X277),IF(CA277=1,CE277,IF(R277&gt;0,CN277/R277,0))/MAX(0.1,N(Parameter!$M$21))),"")</f>
        <v>2.98076923076923</v>
      </c>
      <c r="CT277" s="64" t="n">
        <f aca="false">IF(CS277="","",J277/H277)</f>
        <v>0.181818181818182</v>
      </c>
      <c r="CU277" s="62" t="n">
        <f aca="false">IF(CS277="","",H277*G277)</f>
        <v>454.74</v>
      </c>
      <c r="CV277" s="63" t="n">
        <f aca="false">IF(CS277="","",(CL277+ROUNDUP(CL277+MAX(CM277,2*(J277/MAX(0.1,N(Einkauf!$C$6))-CL277)),0))/2)</f>
        <v>2.5</v>
      </c>
      <c r="CW277" s="62" t="n">
        <f aca="false">IF(CS277="","",MAX(0,H277-CV277)*G277)</f>
        <v>403.065</v>
      </c>
      <c r="CX277" s="62" t="n">
        <f aca="false">IF(CS277="","",CS277*MAX(0,1-CV277/H277))</f>
        <v>2.64204545454545</v>
      </c>
      <c r="CY277" s="64" t="n">
        <f aca="false">IF(CS277="","",PERCENTRANK($CS$7:$CS$1843,CS277)+PERCENTRANK($CU$7:$CU$1843,CU277)+1-PERCENTRANK($CT$7:$CT$1843,CT277))</f>
        <v>1.237</v>
      </c>
      <c r="CZ277" s="72" t="n">
        <f aca="false">IF(CS277="","",CHOOSE(MATCH(Einkauf!$C$5,Parameter!$G$23:$G$27,0),CY277,CS277,CU277,-CT277,CW277)+ROW()/1000000000)</f>
        <v>1.237000277</v>
      </c>
    </row>
    <row r="278" customFormat="false" ht="15" hidden="false" customHeight="false" outlineLevel="0" collapsed="false">
      <c r="A278" s="60" t="s">
        <v>773</v>
      </c>
      <c r="B278" s="60" t="s">
        <v>774</v>
      </c>
      <c r="C278" s="60" t="s">
        <v>206</v>
      </c>
      <c r="D278" s="60" t="s">
        <v>226</v>
      </c>
      <c r="E278" s="60"/>
      <c r="F278" s="60" t="s">
        <v>260</v>
      </c>
      <c r="G278" s="61" t="n">
        <v>364</v>
      </c>
      <c r="H278" s="62" t="n">
        <f aca="false">MAX(0,IF(AND(Parameter!$B$21="Ja",ISNUMBER(Y278)),Y278,IF(Parameter!$B$20="Jahresanfang 2025 + Export",BS278+BR278,BR278)))</f>
        <v>1</v>
      </c>
      <c r="I278" s="62" t="n">
        <f aca="false">H278*G278</f>
        <v>364</v>
      </c>
      <c r="J278" s="62" t="n">
        <f aca="false">BU278*Parameter!$B$18</f>
        <v>0</v>
      </c>
      <c r="K278" s="63" t="n">
        <v>0.5</v>
      </c>
      <c r="L278" s="64" t="n">
        <v>0</v>
      </c>
      <c r="M278" s="62" t="n">
        <v>0</v>
      </c>
      <c r="N278" s="62" t="n">
        <v>1</v>
      </c>
      <c r="O278" s="65" t="n">
        <v>110</v>
      </c>
      <c r="P278" s="60" t="s">
        <v>468</v>
      </c>
      <c r="Q278" s="62" t="n">
        <v>5</v>
      </c>
      <c r="R278" s="65" t="n">
        <f aca="false">IF(CA278=1,0,IFERROR(VLOOKUP(BY278,'Gebinde-Kategorie'!$A$5:$N$45,13,0)+0,0))</f>
        <v>140</v>
      </c>
      <c r="S278" s="66"/>
      <c r="T278" s="67"/>
      <c r="U278" s="67"/>
      <c r="V278" s="67"/>
      <c r="W278" s="60"/>
      <c r="X278" s="62"/>
      <c r="Y278" s="62"/>
      <c r="Z278" s="60" t="n">
        <v>2</v>
      </c>
      <c r="AA278" s="60" t="n">
        <f aca="false">IF(A278="","",IF(AND(Parameter!$B$21="Ja",ISNUMBER(W278)),W278,IF(AND(Parameter!$E$27="Ja",ISNUMBER(Z278),CD278&lt;&gt;"Nein"),Z278,IF(CD278="2+3",IF(ISNUMBER(SEARCH("grosser Artikel",BV278)),2,IFERROR(VLOOKUP(BY278,Parameter!$F$35:$G$64,2,0),2)),IF(OR(CD278="Nein",CD278=""),"-",CD278)))))</f>
        <v>2</v>
      </c>
      <c r="AB278" s="67"/>
      <c r="AC278" s="68"/>
      <c r="AD278" s="62" t="n">
        <f aca="false">AW278</f>
        <v>1</v>
      </c>
      <c r="AE278" s="62" t="n">
        <f aca="false">MAX(AW278,H278)</f>
        <v>1</v>
      </c>
      <c r="AF278" s="69"/>
      <c r="AG278" s="62" t="n">
        <f aca="false">IF(LEFT(Cockpit!$C$5,1)="A",H278,IF(Parameter!$E$30="MAX-Bestand",IF(CI278=1,CJ278,IF(LEFT(Cockpit!$C$5,1)="B",AM278,MAX(AM278,H278))),ROUNDUP(AK278,0)))</f>
        <v>1</v>
      </c>
      <c r="AH278" s="62" t="n">
        <f aca="false">IF(CA278=1,0,ROUNDUP(AG278/BZ278,0))</f>
        <v>1</v>
      </c>
      <c r="AI278" s="64" t="n">
        <f aca="false">IF(CR278&gt;0,CR278*MAX(1,AG278/X278),IF(CA278=1,IF(AG278&lt;=0,0,CE278*MAX(1,IF(H278&gt;0,AG278/H278,1))),IF(R278&gt;0,AH278/R278,0))/MAX(0.1,N(Parameter!$M$21)))</f>
        <v>0.00714285714285714</v>
      </c>
      <c r="AJ278" s="62" t="n">
        <f aca="false">AI278*CC278</f>
        <v>1.10714285714286</v>
      </c>
      <c r="AK278" s="63" t="n">
        <f aca="false">IF(LEFT(Cockpit!$C$5,1)="A",H278,IF(CI278=1,(CL278+CJ278)/2,IF(LEFT(Cockpit!$C$5,1)="B",(CL278+AM278)/2,MAX((CL278+AM278)/2,H278))))</f>
        <v>1</v>
      </c>
      <c r="AL278" s="62" t="n">
        <f aca="false">AK278*G278</f>
        <v>364</v>
      </c>
      <c r="AM278" s="62" t="n">
        <f aca="false">ROUNDUP(CL278+MAX(CM278,2*(J278/IF(CH278&gt;0,CH278,MAX(0.1,N(Cockpit!$C$6)))-CL278)),0)</f>
        <v>1</v>
      </c>
      <c r="AN278" s="63" t="n">
        <f aca="false">IF(AJ278&gt;0,J278/AJ278,-1)</f>
        <v>0</v>
      </c>
      <c r="AO278" s="63" t="n">
        <f aca="false">IF(AND(OR(CG278="L1",CG278="L23",CG278="LIFT"),AJ278&gt;0),SUMIFS($AJ$7:$AJ$1843,$CG$7:$CG$1843,CG278,$AN$7:$AN$1843,"&gt;"&amp;AN278)+SUMIFS($AJ$7:$AJ$1843,$CG$7:$CG$1843,CG278,$AN$7:$AN$1843,AN278,$BX$7:$BX$1843,"&lt;="&amp;BX278),"")</f>
        <v>27779.5152780365</v>
      </c>
      <c r="AP278" s="70" t="n">
        <f aca="false">IF(AO278="",0,MAX(0,MIN(1,(IF(CG278="L1",Parameter!$H$5,IF(CG278="L23",Parameter!$H$6+Parameter!$H$7,Parameter!$H$5+Parameter!$H$6+Parameter!$H$7))-(AO278-AJ278))/AJ278)))</f>
        <v>1</v>
      </c>
      <c r="AQ278" s="62" t="n">
        <f aca="false">IF(LEFT(Cockpit!$I$5,1)="A",H278,IF(Parameter!$E$30="MAX-Bestand",IF(CI278=1,CJ278,IF(LEFT(Cockpit!$I$5,1)="B",AW278,MAX(AW278,H278))),ROUNDUP(AU278,0)))</f>
        <v>1</v>
      </c>
      <c r="AR278" s="62" t="n">
        <f aca="false">IF(CA278=1,0,ROUNDUP(AQ278/BZ278,0))</f>
        <v>1</v>
      </c>
      <c r="AS278" s="64" t="n">
        <f aca="false">IF(CR278&gt;0,CR278*MAX(1,AQ278/X278),IF(CA278=1,IF(AQ278&lt;=0,0,CE278*MAX(1,IF(H278&gt;0,AQ278/H278,1))),IF(R278&gt;0,AR278/R278,0))/MAX(0.1,N(Parameter!$M$21)))</f>
        <v>0.00714285714285714</v>
      </c>
      <c r="AT278" s="62" t="n">
        <f aca="false">AS278*CC278</f>
        <v>1.10714285714286</v>
      </c>
      <c r="AU278" s="63" t="n">
        <f aca="false">IF(LEFT(Cockpit!$I$5,1)="A",H278,IF(CI278=1,(CL278+CJ278)/2,IF(LEFT(Cockpit!$I$5,1)="B",(CL278+AW278)/2,MAX((CL278+AW278)/2,H278))))</f>
        <v>1</v>
      </c>
      <c r="AV278" s="62" t="n">
        <f aca="false">AU278*G278</f>
        <v>364</v>
      </c>
      <c r="AW278" s="62" t="n">
        <f aca="false">ROUNDUP(CL278+MAX(CM278,2*(J278/IF(CH278&gt;0,CH278,MAX(0.1,N(Cockpit!$I$6)))-CL278)),0)</f>
        <v>1</v>
      </c>
      <c r="AX278" s="63" t="n">
        <f aca="false">IF(AT278&gt;0,J278/AT278,-1)</f>
        <v>0</v>
      </c>
      <c r="AY278" s="63" t="n">
        <f aca="false">IF(AND(OR(CG278="L1",CG278="L23",CG278="LIFT"),AT278&gt;0),SUMIFS($AT$7:$AT$1843,$CG$7:$CG$1843,CG278,$AX$7:$AX$1843,"&gt;"&amp;AX278)+SUMIFS($AT$7:$AT$1843,$CG$7:$CG$1843,CG278,$AX$7:$AX$1843,AX278,$BX$7:$BX$1843,"&lt;="&amp;BX278),"")</f>
        <v>33132.6639194139</v>
      </c>
      <c r="AZ278" s="70" t="n">
        <f aca="false">IF(AY278="",0,MAX(0,MIN(1,(IF(CG278="L1",Parameter!$H$5,IF(CG278="L23",Parameter!$H$6+Parameter!$H$7,Parameter!$H$5+Parameter!$H$6+Parameter!$H$7))-(AY278-AT278))/AT278)))</f>
        <v>1</v>
      </c>
      <c r="BA278" s="62" t="n">
        <f aca="false">IF(LEFT(Cockpit!$O$5,1)="A",H278,IF(Parameter!$E$30="MAX-Bestand",IF(CI278=1,CJ278,IF(LEFT(Cockpit!$O$5,1)="B",BG278,MAX(BG278,H278))),ROUNDUP(BE278,0)))</f>
        <v>1</v>
      </c>
      <c r="BB278" s="62" t="n">
        <f aca="false">IF(CA278=1,0,ROUNDUP(BA278/BZ278,0))</f>
        <v>1</v>
      </c>
      <c r="BC278" s="64" t="n">
        <f aca="false">IF(CR278&gt;0,CR278*MAX(1,BA278/X278),IF(CA278=1,IF(BA278&lt;=0,0,CE278*MAX(1,IF(H278&gt;0,BA278/H278,1))),IF(R278&gt;0,BB278/R278,0))/MAX(0.1,N(Parameter!$M$21)))</f>
        <v>0.00714285714285714</v>
      </c>
      <c r="BD278" s="62" t="n">
        <f aca="false">BC278*CC278</f>
        <v>1.10714285714286</v>
      </c>
      <c r="BE278" s="63" t="n">
        <f aca="false">IF(LEFT(Cockpit!$O$5,1)="A",H278,IF(CI278=1,(CL278+CJ278)/2,IF(LEFT(Cockpit!$O$5,1)="B",(CL278+BG278)/2,MAX((CL278+BG278)/2,H278))))</f>
        <v>0.5</v>
      </c>
      <c r="BF278" s="62" t="n">
        <f aca="false">BE278*G278</f>
        <v>182</v>
      </c>
      <c r="BG278" s="62" t="n">
        <f aca="false">ROUNDUP(CL278+MAX(CM278,2*(J278/IF(CH278&gt;0,CH278,MAX(0.1,N(Cockpit!$O$6)))-CL278)),0)</f>
        <v>1</v>
      </c>
      <c r="BH278" s="63" t="n">
        <f aca="false">IF(BD278&gt;0,J278/BD278,-1)</f>
        <v>0</v>
      </c>
      <c r="BI278" s="63" t="n">
        <f aca="false">IF(AND(OR(CG278="L1",CG278="L23",CG278="LIFT"),BD278&gt;0),SUMIFS($BD$7:$BD$1843,$CG$7:$CG$1843,CG278,$BH$7:$BH$1843,"&gt;"&amp;BH278)+SUMIFS($BD$7:$BD$1843,$CG$7:$CG$1843,CG278,$BH$7:$BH$1843,BH278,$BX$7:$BX$1843,"&lt;="&amp;BX278),"")</f>
        <v>27287.482942199</v>
      </c>
      <c r="BJ278" s="70" t="n">
        <f aca="false">IF(BI278="",0,MAX(0,MIN(1,(IF(CG278="L1",Parameter!$H$5,IF(CG278="L23",Parameter!$H$6+Parameter!$H$7,Parameter!$H$5+Parameter!$H$6+Parameter!$H$7))-(BI278-BD278))/BD278)))</f>
        <v>1</v>
      </c>
      <c r="BK278" s="60" t="str">
        <f aca="false">IF(AJ278&lt;=0,"",IF(CG278="Aussen","Aussenlager",IF(CG278="-","Nicht im Lift",IF(AP278&gt;=1,"Lift",IF(AP278&lt;=0,"Aussenlager","teilweise")))))</f>
        <v>Lift</v>
      </c>
      <c r="BL278" s="60" t="str">
        <f aca="false">IF(AT278&lt;=0,"",IF(CG278="Aussen","Aussenlager",IF(CG278="-","Nicht im Lift",IF(AZ278&gt;=1,"Lift",IF(AZ278&lt;=0,"Aussenlager","teilweise")))))</f>
        <v>Lift</v>
      </c>
      <c r="BM278" s="60" t="str">
        <f aca="false">IF(BD278&lt;=0,"",IF(CG278="Aussen","Aussenlager",IF(CG278="-","Nicht im Lift",IF(BJ278&gt;=1,"Lift",IF(BJ278&lt;=0,"Aussenlager","teilweise")))))</f>
        <v>Lift</v>
      </c>
      <c r="BN278" s="60" t="str">
        <f aca="false">IF(A278="","",IF(BW278=1,"Neu; ","")&amp;IF(AND(BW278=0,BR278&lt;0),"negativer Bestand (Export "&amp;BR278&amp;"); ","")&amp;IF(J278&lt;=0,"Kein Verbrauch; ","")&amp;IF(CR278&gt;0,"Lift "&amp;W278&amp;" lt. Liftbericht (Fach "&amp;X278&amp;" Stk); ",IF(CB278=1,"Gebinde geschätzt ("&amp;T278&amp;"); ",IF(CA278=1,"Lose – Tablare geschätzt; ","")))&amp;IF(H278&gt;AW278,"Überbestand "&amp;ROUND(H278-AW278,0)&amp;" Stk / CHF "&amp;ROUND((H278-AW278)*G278,0)&amp;"; ","")&amp;IF(AND(CI278=1,CJ278&lt;CK278),"MAX &lt; MB+LG; ","")&amp;IF(AND(CQ278&gt;0,CP278*10&gt;CQ278),"zu hoch für Tablar; ","")&amp;IF(AND(BW278=0,OR(CI278=1,AB278&lt;&gt;"",U278&lt;&gt;"",V278&lt;&gt;"",AC278&lt;&gt;"")),"manuell übersteuert; ","")&amp;IF(AND(CA278=0,R278=0),"Gebinde unbekannt / Stellmass fehlt; ","")&amp;IF(AND(CA278=0,N(V278)&lt;=0,N(Q278)&lt;=0),"Menge pro Gebinde fehlt (Ist = 1 Gebinde); ","")&amp;BV278)</f>
        <v>Kein Verbrauch; </v>
      </c>
      <c r="BO278" s="60"/>
      <c r="BP278" s="60"/>
      <c r="BQ278" s="67"/>
      <c r="BR278" s="62" t="n">
        <v>1</v>
      </c>
      <c r="BS278" s="62" t="n">
        <v>0</v>
      </c>
      <c r="BT278" s="61" t="n">
        <v>364</v>
      </c>
      <c r="BU278" s="62" t="n">
        <v>0</v>
      </c>
      <c r="BV278" s="60"/>
      <c r="BW278" s="65" t="n">
        <v>0</v>
      </c>
      <c r="BX278" s="65" t="n">
        <v>278</v>
      </c>
      <c r="BY278" s="60" t="str">
        <f aca="false">IF(U278&lt;&gt;"",UPPER(TRIM(U278)),IF(CB278=1,UPPER(VLOOKUP(T278,Parameter!$I$27:$K$29,2,0)),IF(P278="","LOSE",P278)))</f>
        <v>S22</v>
      </c>
      <c r="BZ278" s="62" t="n">
        <f aca="false">IF(BY278="LOSE",1,IF(N(V278)&gt;0,V278,IF(CB278=1,MAX(1,N(VLOOKUP(T278,Parameter!$I$27:$K$29,3,0)),H278,N(N278)),IF(N(Q278)&gt;0,Q278,MAX(1,H278)))))</f>
        <v>5</v>
      </c>
      <c r="CA278" s="65" t="n">
        <f aca="false">IF(BY278="LOSE",1,0)</f>
        <v>0</v>
      </c>
      <c r="CB278" s="65" t="n">
        <f aca="false">IF(AND(U278="",OR(P278="",P278="LOSE"),T278&lt;&gt;"",N(S278)&lt;=0,ISNUMBER(MATCH(T278,Parameter!$I$27:$I$29,0))),1,0)</f>
        <v>0</v>
      </c>
      <c r="CC278" s="65" t="n">
        <f aca="false">IF(CR278&gt;0,INDEX(Parameter!$H$5:$H$7,W278)/INDEX(Parameter!$E$5:$E$7,W278),IF(AND(CA278=0,N(IFERROR(VLOOKUP(BY278,'Gebinde-Kategorie'!$A$5:$N$45,14,0),0))&gt;0),VLOOKUP(BY278,'Gebinde-Kategorie'!$A$5:$N$45,14,0)*10+Parameter!$M$23,Parameter!$M$24))</f>
        <v>155</v>
      </c>
      <c r="CD278" s="60" t="str">
        <f aca="false">IF(AND(Parameter!$B$19="Ja",E278&lt;&gt;"",ISNUMBER(MATCH(E278,Parameter!$I$35:$I$52,0))),VLOOKUP(E278,Parameter!$I$35:$J$52,2,0),IFERROR(VLOOKUP(D278,Parameter!$A$35:$C$64,2,0),"Nein"))</f>
        <v>2+3</v>
      </c>
      <c r="CE278" s="64" t="n">
        <f aca="false">IF(CA278=0,0,IF(N(S278)&gt;0,S278,IFERROR(VLOOKUP(D278,Parameter!$A$35:$C$64,3,0)+0,0)))</f>
        <v>0</v>
      </c>
      <c r="CF278" s="60" t="n">
        <f aca="false">IF(AB278&lt;&gt;"",AB278,AA278)</f>
        <v>2</v>
      </c>
      <c r="CG278" s="60" t="str">
        <f aca="false">IF(OR(CF278=1,CF278=2,CF278=3),IF(Parameter!$E$27="Ja","LIFT",IF(CF278=1,"L1","L23")),IF(CF278="Aussen","Aussen","-"))</f>
        <v>LIFT</v>
      </c>
      <c r="CH278" s="71" t="n">
        <f aca="false">IF(N(AC278)&gt;0,AC278,0)</f>
        <v>0</v>
      </c>
      <c r="CI278" s="65" t="n">
        <f aca="false">IF(ISNUMBER(AF278),1,0)</f>
        <v>0</v>
      </c>
      <c r="CJ278" s="62" t="n">
        <f aca="false">N(AF278)</f>
        <v>0</v>
      </c>
      <c r="CK278" s="62" t="n">
        <f aca="false">N(M278)+N(N278)</f>
        <v>1</v>
      </c>
      <c r="CL278" s="62" t="n">
        <f aca="false">N(M278)</f>
        <v>0</v>
      </c>
      <c r="CM278" s="62" t="n">
        <f aca="false">N(N278)</f>
        <v>1</v>
      </c>
      <c r="CN278" s="62" t="n">
        <f aca="false">ROUNDUP(H278/BZ278,0)</f>
        <v>1</v>
      </c>
      <c r="CO278" s="62" t="n">
        <f aca="false">ROUNDUP(CJ278/BZ278,0)</f>
        <v>0</v>
      </c>
      <c r="CP278" s="65" t="n">
        <f aca="false">IF(CA278=1,0,IFERROR(VLOOKUP(BY278,'Gebinde-Kategorie'!$A$5:$N$45,5,0)+0,0))</f>
        <v>8</v>
      </c>
      <c r="CQ278" s="65" t="n">
        <f aca="false">IFERROR(IF(OR(CF278=1,CF278=2,CF278=3),N(INDEX(Parameter!$I$5:$I$7,CF278)),0),0)</f>
        <v>0</v>
      </c>
      <c r="CR278" s="64" t="n">
        <f aca="false">IF(AND(Parameter!$B$21="Ja",ISNUMBER(W278),N(X278)&gt;0),IFERROR(N(INDEX(Parameter!$L$5:$L$7,W278))*INDEX(Parameter!$E$5:$E$7,W278)*X278/SUMIFS($X$7:$X$1843,$W$7:$W$1843,W278),0),0)</f>
        <v>0</v>
      </c>
      <c r="CS278" s="62" t="n">
        <f aca="false">IF(AND(OR(CG278="L1",CG278="L23",CG278="LIFT"),H278&gt;0),CC278*IF(CR278&gt;0,CR278*MAX(1,H278/X278),IF(CA278=1,CE278,IF(R278&gt;0,CN278/R278,0))/MAX(0.1,N(Parameter!$M$21))),"")</f>
        <v>1.10714285714286</v>
      </c>
      <c r="CT278" s="64" t="n">
        <f aca="false">IF(CS278="","",J278/H278)</f>
        <v>0</v>
      </c>
      <c r="CU278" s="62" t="n">
        <f aca="false">IF(CS278="","",H278*G278)</f>
        <v>364</v>
      </c>
      <c r="CV278" s="63" t="n">
        <f aca="false">IF(CS278="","",(CL278+ROUNDUP(CL278+MAX(CM278,2*(J278/MAX(0.1,N(Einkauf!$C$6))-CL278)),0))/2)</f>
        <v>0.5</v>
      </c>
      <c r="CW278" s="62" t="n">
        <f aca="false">IF(CS278="","",MAX(0,H278-CV278)*G278)</f>
        <v>182</v>
      </c>
      <c r="CX278" s="62" t="n">
        <f aca="false">IF(CS278="","",CS278*MAX(0,1-CV278/H278))</f>
        <v>0.553571428571429</v>
      </c>
      <c r="CY278" s="64" t="n">
        <f aca="false">IF(CS278="","",PERCENTRANK($CS$7:$CS$1843,CS278)+PERCENTRANK($CU$7:$CU$1843,CU278)+1-PERCENTRANK($CT$7:$CT$1843,CT278))</f>
        <v>1.5194</v>
      </c>
      <c r="CZ278" s="72" t="n">
        <f aca="false">IF(CS278="","",CHOOSE(MATCH(Einkauf!$C$5,Parameter!$G$23:$G$27,0),CY278,CS278,CU278,-CT278,CW278)+ROW()/1000000000)</f>
        <v>1.519400278</v>
      </c>
    </row>
    <row r="279" customFormat="false" ht="15" hidden="false" customHeight="false" outlineLevel="0" collapsed="false">
      <c r="A279" s="60" t="s">
        <v>775</v>
      </c>
      <c r="B279" s="60" t="s">
        <v>776</v>
      </c>
      <c r="C279" s="60" t="s">
        <v>206</v>
      </c>
      <c r="D279" s="60" t="s">
        <v>226</v>
      </c>
      <c r="E279" s="60" t="s">
        <v>227</v>
      </c>
      <c r="F279" s="60" t="s">
        <v>260</v>
      </c>
      <c r="G279" s="61" t="n">
        <v>18.62</v>
      </c>
      <c r="H279" s="62" t="n">
        <f aca="false">MAX(0,IF(AND(Parameter!$B$21="Ja",ISNUMBER(Y279)),Y279,IF(Parameter!$B$20="Jahresanfang 2025 + Export",BS279+BR279,BR279)))</f>
        <v>36</v>
      </c>
      <c r="I279" s="62" t="n">
        <f aca="false">H279*G279</f>
        <v>670.32</v>
      </c>
      <c r="J279" s="62" t="n">
        <f aca="false">BU279*Parameter!$B$18</f>
        <v>23</v>
      </c>
      <c r="K279" s="63" t="n">
        <v>14.5</v>
      </c>
      <c r="L279" s="64" t="n">
        <v>1.58620689655172</v>
      </c>
      <c r="M279" s="62" t="n">
        <v>1</v>
      </c>
      <c r="N279" s="62" t="n">
        <v>25</v>
      </c>
      <c r="O279" s="65" t="n">
        <v>28</v>
      </c>
      <c r="P279" s="60" t="s">
        <v>370</v>
      </c>
      <c r="Q279" s="62" t="n">
        <v>13</v>
      </c>
      <c r="R279" s="65" t="n">
        <f aca="false">IF(CA279=1,0,IFERROR(VLOOKUP(BY279,'Gebinde-Kategorie'!$A$5:$N$45,13,0)+0,0))</f>
        <v>52</v>
      </c>
      <c r="S279" s="66"/>
      <c r="T279" s="67"/>
      <c r="U279" s="67"/>
      <c r="V279" s="67"/>
      <c r="W279" s="60"/>
      <c r="X279" s="62"/>
      <c r="Y279" s="62"/>
      <c r="Z279" s="60" t="n">
        <v>3</v>
      </c>
      <c r="AA279" s="60" t="n">
        <f aca="false">IF(A279="","",IF(AND(Parameter!$B$21="Ja",ISNUMBER(W279)),W279,IF(AND(Parameter!$E$27="Ja",ISNUMBER(Z279),CD279&lt;&gt;"Nein"),Z279,IF(CD279="2+3",IF(ISNUMBER(SEARCH("grosser Artikel",BV279)),2,IFERROR(VLOOKUP(BY279,Parameter!$F$35:$G$64,2,0),2)),IF(OR(CD279="Nein",CD279=""),"-",CD279)))))</f>
        <v>3</v>
      </c>
      <c r="AB279" s="67"/>
      <c r="AC279" s="68"/>
      <c r="AD279" s="62" t="n">
        <f aca="false">AW279</f>
        <v>26</v>
      </c>
      <c r="AE279" s="62" t="n">
        <f aca="false">MAX(AW279,H279)</f>
        <v>36</v>
      </c>
      <c r="AF279" s="69"/>
      <c r="AG279" s="62" t="n">
        <f aca="false">IF(LEFT(Cockpit!$C$5,1)="A",H279,IF(Parameter!$E$30="MAX-Bestand",IF(CI279=1,CJ279,IF(LEFT(Cockpit!$C$5,1)="B",AM279,MAX(AM279,H279))),ROUNDUP(AK279,0)))</f>
        <v>36</v>
      </c>
      <c r="AH279" s="62" t="n">
        <f aca="false">IF(CA279=1,0,ROUNDUP(AG279/BZ279,0))</f>
        <v>3</v>
      </c>
      <c r="AI279" s="64" t="n">
        <f aca="false">IF(CR279&gt;0,CR279*MAX(1,AG279/X279),IF(CA279=1,IF(AG279&lt;=0,0,CE279*MAX(1,IF(H279&gt;0,AG279/H279,1))),IF(R279&gt;0,AH279/R279,0))/MAX(0.1,N(Parameter!$M$21)))</f>
        <v>0.0576923076923077</v>
      </c>
      <c r="AJ279" s="62" t="n">
        <f aca="false">AI279*CC279</f>
        <v>8.94230769230769</v>
      </c>
      <c r="AK279" s="63" t="n">
        <f aca="false">IF(LEFT(Cockpit!$C$5,1)="A",H279,IF(CI279=1,(CL279+CJ279)/2,IF(LEFT(Cockpit!$C$5,1)="B",(CL279+AM279)/2,MAX((CL279+AM279)/2,H279))))</f>
        <v>36</v>
      </c>
      <c r="AL279" s="62" t="n">
        <f aca="false">AK279*G279</f>
        <v>670.32</v>
      </c>
      <c r="AM279" s="62" t="n">
        <f aca="false">ROUNDUP(CL279+MAX(CM279,2*(J279/IF(CH279&gt;0,CH279,MAX(0.1,N(Cockpit!$C$6)))-CL279)),0)</f>
        <v>26</v>
      </c>
      <c r="AN279" s="63" t="n">
        <f aca="false">IF(AJ279&gt;0,J279/AJ279,-1)</f>
        <v>2.57204301075269</v>
      </c>
      <c r="AO279" s="63" t="n">
        <f aca="false">IF(AND(OR(CG279="L1",CG279="L23",CG279="LIFT"),AJ279&gt;0),SUMIFS($AJ$7:$AJ$1843,$CG$7:$CG$1843,CG279,$AN$7:$AN$1843,"&gt;"&amp;AN279)+SUMIFS($AJ$7:$AJ$1843,$CG$7:$CG$1843,CG279,$AN$7:$AN$1843,AN279,$BX$7:$BX$1843,"&lt;="&amp;BX279),"")</f>
        <v>5428.4097985348</v>
      </c>
      <c r="AP279" s="70" t="n">
        <f aca="false">IF(AO279="",0,MAX(0,MIN(1,(IF(CG279="L1",Parameter!$H$5,IF(CG279="L23",Parameter!$H$6+Parameter!$H$7,Parameter!$H$5+Parameter!$H$6+Parameter!$H$7))-(AO279-AJ279))/AJ279)))</f>
        <v>1</v>
      </c>
      <c r="AQ279" s="62" t="n">
        <f aca="false">IF(LEFT(Cockpit!$I$5,1)="A",H279,IF(Parameter!$E$30="MAX-Bestand",IF(CI279=1,CJ279,IF(LEFT(Cockpit!$I$5,1)="B",AW279,MAX(AW279,H279))),ROUNDUP(AU279,0)))</f>
        <v>36</v>
      </c>
      <c r="AR279" s="62" t="n">
        <f aca="false">IF(CA279=1,0,ROUNDUP(AQ279/BZ279,0))</f>
        <v>3</v>
      </c>
      <c r="AS279" s="64" t="n">
        <f aca="false">IF(CR279&gt;0,CR279*MAX(1,AQ279/X279),IF(CA279=1,IF(AQ279&lt;=0,0,CE279*MAX(1,IF(H279&gt;0,AQ279/H279,1))),IF(R279&gt;0,AR279/R279,0))/MAX(0.1,N(Parameter!$M$21)))</f>
        <v>0.0576923076923077</v>
      </c>
      <c r="AT279" s="62" t="n">
        <f aca="false">AS279*CC279</f>
        <v>8.94230769230769</v>
      </c>
      <c r="AU279" s="63" t="n">
        <f aca="false">IF(LEFT(Cockpit!$I$5,1)="A",H279,IF(CI279=1,(CL279+CJ279)/2,IF(LEFT(Cockpit!$I$5,1)="B",(CL279+AW279)/2,MAX((CL279+AW279)/2,H279))))</f>
        <v>36</v>
      </c>
      <c r="AV279" s="62" t="n">
        <f aca="false">AU279*G279</f>
        <v>670.32</v>
      </c>
      <c r="AW279" s="62" t="n">
        <f aca="false">ROUNDUP(CL279+MAX(CM279,2*(J279/IF(CH279&gt;0,CH279,MAX(0.1,N(Cockpit!$I$6)))-CL279)),0)</f>
        <v>26</v>
      </c>
      <c r="AX279" s="63" t="n">
        <f aca="false">IF(AT279&gt;0,J279/AT279,-1)</f>
        <v>2.57204301075269</v>
      </c>
      <c r="AY279" s="63" t="n">
        <f aca="false">IF(AND(OR(CG279="L1",CG279="L23",CG279="LIFT"),AT279&gt;0),SUMIFS($AT$7:$AT$1843,$CG$7:$CG$1843,CG279,$AX$7:$AX$1843,"&gt;"&amp;AX279)+SUMIFS($AT$7:$AT$1843,$CG$7:$CG$1843,CG279,$AX$7:$AX$1843,AX279,$BX$7:$BX$1843,"&lt;="&amp;BX279),"")</f>
        <v>6201.63782051282</v>
      </c>
      <c r="AZ279" s="70" t="n">
        <f aca="false">IF(AY279="",0,MAX(0,MIN(1,(IF(CG279="L1",Parameter!$H$5,IF(CG279="L23",Parameter!$H$6+Parameter!$H$7,Parameter!$H$5+Parameter!$H$6+Parameter!$H$7))-(AY279-AT279))/AT279)))</f>
        <v>1</v>
      </c>
      <c r="BA279" s="62" t="n">
        <f aca="false">IF(LEFT(Cockpit!$O$5,1)="A",H279,IF(Parameter!$E$30="MAX-Bestand",IF(CI279=1,CJ279,IF(LEFT(Cockpit!$O$5,1)="B",BG279,MAX(BG279,H279))),ROUNDUP(BE279,0)))</f>
        <v>14</v>
      </c>
      <c r="BB279" s="62" t="n">
        <f aca="false">IF(CA279=1,0,ROUNDUP(BA279/BZ279,0))</f>
        <v>2</v>
      </c>
      <c r="BC279" s="64" t="n">
        <f aca="false">IF(CR279&gt;0,CR279*MAX(1,BA279/X279),IF(CA279=1,IF(BA279&lt;=0,0,CE279*MAX(1,IF(H279&gt;0,BA279/H279,1))),IF(R279&gt;0,BB279/R279,0))/MAX(0.1,N(Parameter!$M$21)))</f>
        <v>0.0384615384615385</v>
      </c>
      <c r="BD279" s="62" t="n">
        <f aca="false">BC279*CC279</f>
        <v>5.96153846153846</v>
      </c>
      <c r="BE279" s="63" t="n">
        <f aca="false">IF(LEFT(Cockpit!$O$5,1)="A",H279,IF(CI279=1,(CL279+CJ279)/2,IF(LEFT(Cockpit!$O$5,1)="B",(CL279+BG279)/2,MAX((CL279+BG279)/2,H279))))</f>
        <v>13.5</v>
      </c>
      <c r="BF279" s="62" t="n">
        <f aca="false">BE279*G279</f>
        <v>251.37</v>
      </c>
      <c r="BG279" s="62" t="n">
        <f aca="false">ROUNDUP(CL279+MAX(CM279,2*(J279/IF(CH279&gt;0,CH279,MAX(0.1,N(Cockpit!$O$6)))-CL279)),0)</f>
        <v>26</v>
      </c>
      <c r="BH279" s="63" t="n">
        <f aca="false">IF(BD279&gt;0,J279/BD279,-1)</f>
        <v>3.85806451612903</v>
      </c>
      <c r="BI279" s="63" t="n">
        <f aca="false">IF(AND(OR(CG279="L1",CG279="L23",CG279="LIFT"),BD279&gt;0),SUMIFS($BD$7:$BD$1843,$CG$7:$CG$1843,CG279,$BH$7:$BH$1843,"&gt;"&amp;BH279)+SUMIFS($BD$7:$BD$1843,$CG$7:$CG$1843,CG279,$BH$7:$BH$1843,BH279,$BX$7:$BX$1843,"&lt;="&amp;BX279),"")</f>
        <v>4270.72161172161</v>
      </c>
      <c r="BJ279" s="70" t="n">
        <f aca="false">IF(BI279="",0,MAX(0,MIN(1,(IF(CG279="L1",Parameter!$H$5,IF(CG279="L23",Parameter!$H$6+Parameter!$H$7,Parameter!$H$5+Parameter!$H$6+Parameter!$H$7))-(BI279-BD279))/BD279)))</f>
        <v>1</v>
      </c>
      <c r="BK279" s="60" t="str">
        <f aca="false">IF(AJ279&lt;=0,"",IF(CG279="Aussen","Aussenlager",IF(CG279="-","Nicht im Lift",IF(AP279&gt;=1,"Lift",IF(AP279&lt;=0,"Aussenlager","teilweise")))))</f>
        <v>Lift</v>
      </c>
      <c r="BL279" s="60" t="str">
        <f aca="false">IF(AT279&lt;=0,"",IF(CG279="Aussen","Aussenlager",IF(CG279="-","Nicht im Lift",IF(AZ279&gt;=1,"Lift",IF(AZ279&lt;=0,"Aussenlager","teilweise")))))</f>
        <v>Lift</v>
      </c>
      <c r="BM279" s="60" t="str">
        <f aca="false">IF(BD279&lt;=0,"",IF(CG279="Aussen","Aussenlager",IF(CG279="-","Nicht im Lift",IF(BJ279&gt;=1,"Lift",IF(BJ279&lt;=0,"Aussenlager","teilweise")))))</f>
        <v>Lift</v>
      </c>
      <c r="BN279" s="60" t="str">
        <f aca="false">IF(A279="","",IF(BW279=1,"Neu; ","")&amp;IF(AND(BW279=0,BR279&lt;0),"negativer Bestand (Export "&amp;BR279&amp;"); ","")&amp;IF(J279&lt;=0,"Kein Verbrauch; ","")&amp;IF(CR279&gt;0,"Lift "&amp;W279&amp;" lt. Liftbericht (Fach "&amp;X279&amp;" Stk); ",IF(CB279=1,"Gebinde geschätzt ("&amp;T279&amp;"); ",IF(CA279=1,"Lose – Tablare geschätzt; ","")))&amp;IF(H279&gt;AW279,"Überbestand "&amp;ROUND(H279-AW279,0)&amp;" Stk / CHF "&amp;ROUND((H279-AW279)*G279,0)&amp;"; ","")&amp;IF(AND(CI279=1,CJ279&lt;CK279),"MAX &lt; MB+LG; ","")&amp;IF(AND(CQ279&gt;0,CP279*10&gt;CQ279),"zu hoch für Tablar; ","")&amp;IF(AND(BW279=0,OR(CI279=1,AB279&lt;&gt;"",U279&lt;&gt;"",V279&lt;&gt;"",AC279&lt;&gt;"")),"manuell übersteuert; ","")&amp;IF(AND(CA279=0,R279=0),"Gebinde unbekannt / Stellmass fehlt; ","")&amp;IF(AND(CA279=0,N(V279)&lt;=0,N(Q279)&lt;=0),"Menge pro Gebinde fehlt (Ist = 1 Gebinde); ","")&amp;BV279)</f>
        <v>Überbestand 10 Stk / CHF 186; </v>
      </c>
      <c r="BO279" s="60"/>
      <c r="BP279" s="60"/>
      <c r="BQ279" s="67"/>
      <c r="BR279" s="62" t="n">
        <v>22</v>
      </c>
      <c r="BS279" s="62" t="n">
        <v>14</v>
      </c>
      <c r="BT279" s="61" t="n">
        <v>361.480000000001</v>
      </c>
      <c r="BU279" s="62" t="n">
        <v>23</v>
      </c>
      <c r="BV279" s="60"/>
      <c r="BW279" s="65" t="n">
        <v>0</v>
      </c>
      <c r="BX279" s="65" t="n">
        <v>279</v>
      </c>
      <c r="BY279" s="60" t="str">
        <f aca="false">IF(U279&lt;&gt;"",UPPER(TRIM(U279)),IF(CB279=1,UPPER(VLOOKUP(T279,Parameter!$I$27:$K$29,2,0)),IF(P279="","LOSE",P279)))</f>
        <v>S41</v>
      </c>
      <c r="BZ279" s="62" t="n">
        <f aca="false">IF(BY279="LOSE",1,IF(N(V279)&gt;0,V279,IF(CB279=1,MAX(1,N(VLOOKUP(T279,Parameter!$I$27:$K$29,3,0)),H279,N(N279)),IF(N(Q279)&gt;0,Q279,MAX(1,H279)))))</f>
        <v>13</v>
      </c>
      <c r="CA279" s="65" t="n">
        <f aca="false">IF(BY279="LOSE",1,0)</f>
        <v>0</v>
      </c>
      <c r="CB279" s="65" t="n">
        <f aca="false">IF(AND(U279="",OR(P279="",P279="LOSE"),T279&lt;&gt;"",N(S279)&lt;=0,ISNUMBER(MATCH(T279,Parameter!$I$27:$I$29,0))),1,0)</f>
        <v>0</v>
      </c>
      <c r="CC279" s="65" t="n">
        <f aca="false">IF(CR279&gt;0,INDEX(Parameter!$H$5:$H$7,W279)/INDEX(Parameter!$E$5:$E$7,W279),IF(AND(CA279=0,N(IFERROR(VLOOKUP(BY279,'Gebinde-Kategorie'!$A$5:$N$45,14,0),0))&gt;0),VLOOKUP(BY279,'Gebinde-Kategorie'!$A$5:$N$45,14,0)*10+Parameter!$M$23,Parameter!$M$24))</f>
        <v>155</v>
      </c>
      <c r="CD279" s="60" t="str">
        <f aca="false">IF(AND(Parameter!$B$19="Ja",E279&lt;&gt;"",ISNUMBER(MATCH(E279,Parameter!$I$35:$I$52,0))),VLOOKUP(E279,Parameter!$I$35:$J$52,2,0),IFERROR(VLOOKUP(D279,Parameter!$A$35:$C$64,2,0),"Nein"))</f>
        <v>2+3</v>
      </c>
      <c r="CE279" s="64" t="n">
        <f aca="false">IF(CA279=0,0,IF(N(S279)&gt;0,S279,IFERROR(VLOOKUP(D279,Parameter!$A$35:$C$64,3,0)+0,0)))</f>
        <v>0</v>
      </c>
      <c r="CF279" s="60" t="n">
        <f aca="false">IF(AB279&lt;&gt;"",AB279,AA279)</f>
        <v>3</v>
      </c>
      <c r="CG279" s="60" t="str">
        <f aca="false">IF(OR(CF279=1,CF279=2,CF279=3),IF(Parameter!$E$27="Ja","LIFT",IF(CF279=1,"L1","L23")),IF(CF279="Aussen","Aussen","-"))</f>
        <v>LIFT</v>
      </c>
      <c r="CH279" s="71" t="n">
        <f aca="false">IF(N(AC279)&gt;0,AC279,0)</f>
        <v>0</v>
      </c>
      <c r="CI279" s="65" t="n">
        <f aca="false">IF(ISNUMBER(AF279),1,0)</f>
        <v>0</v>
      </c>
      <c r="CJ279" s="62" t="n">
        <f aca="false">N(AF279)</f>
        <v>0</v>
      </c>
      <c r="CK279" s="62" t="n">
        <f aca="false">N(M279)+N(N279)</f>
        <v>26</v>
      </c>
      <c r="CL279" s="62" t="n">
        <f aca="false">N(M279)</f>
        <v>1</v>
      </c>
      <c r="CM279" s="62" t="n">
        <f aca="false">N(N279)</f>
        <v>25</v>
      </c>
      <c r="CN279" s="62" t="n">
        <f aca="false">ROUNDUP(H279/BZ279,0)</f>
        <v>3</v>
      </c>
      <c r="CO279" s="62" t="n">
        <f aca="false">ROUNDUP(CJ279/BZ279,0)</f>
        <v>0</v>
      </c>
      <c r="CP279" s="65" t="n">
        <f aca="false">IF(CA279=1,0,IFERROR(VLOOKUP(BY279,'Gebinde-Kategorie'!$A$5:$N$45,5,0)+0,0))</f>
        <v>11</v>
      </c>
      <c r="CQ279" s="65" t="n">
        <f aca="false">IFERROR(IF(OR(CF279=1,CF279=2,CF279=3),N(INDEX(Parameter!$I$5:$I$7,CF279)),0),0)</f>
        <v>0</v>
      </c>
      <c r="CR279" s="64" t="n">
        <f aca="false">IF(AND(Parameter!$B$21="Ja",ISNUMBER(W279),N(X279)&gt;0),IFERROR(N(INDEX(Parameter!$L$5:$L$7,W279))*INDEX(Parameter!$E$5:$E$7,W279)*X279/SUMIFS($X$7:$X$1843,$W$7:$W$1843,W279),0),0)</f>
        <v>0</v>
      </c>
      <c r="CS279" s="62" t="n">
        <f aca="false">IF(AND(OR(CG279="L1",CG279="L23",CG279="LIFT"),H279&gt;0),CC279*IF(CR279&gt;0,CR279*MAX(1,H279/X279),IF(CA279=1,CE279,IF(R279&gt;0,CN279/R279,0))/MAX(0.1,N(Parameter!$M$21))),"")</f>
        <v>8.94230769230769</v>
      </c>
      <c r="CT279" s="64" t="n">
        <f aca="false">IF(CS279="","",J279/H279)</f>
        <v>0.638888888888889</v>
      </c>
      <c r="CU279" s="62" t="n">
        <f aca="false">IF(CS279="","",H279*G279)</f>
        <v>670.32</v>
      </c>
      <c r="CV279" s="63" t="n">
        <f aca="false">IF(CS279="","",(CL279+ROUNDUP(CL279+MAX(CM279,2*(J279/MAX(0.1,N(Einkauf!$C$6))-CL279)),0))/2)</f>
        <v>13.5</v>
      </c>
      <c r="CW279" s="62" t="n">
        <f aca="false">IF(CS279="","",MAX(0,H279-CV279)*G279)</f>
        <v>418.95</v>
      </c>
      <c r="CX279" s="62" t="n">
        <f aca="false">IF(CS279="","",CS279*MAX(0,1-CV279/H279))</f>
        <v>5.58894230769231</v>
      </c>
      <c r="CY279" s="64" t="n">
        <f aca="false">IF(CS279="","",PERCENTRANK($CS$7:$CS$1843,CS279)+PERCENTRANK($CU$7:$CU$1843,CU279)+1-PERCENTRANK($CT$7:$CT$1843,CT279))</f>
        <v>1.563</v>
      </c>
      <c r="CZ279" s="72" t="n">
        <f aca="false">IF(CS279="","",CHOOSE(MATCH(Einkauf!$C$5,Parameter!$G$23:$G$27,0),CY279,CS279,CU279,-CT279,CW279)+ROW()/1000000000)</f>
        <v>1.563000279</v>
      </c>
    </row>
    <row r="280" customFormat="false" ht="15" hidden="false" customHeight="false" outlineLevel="0" collapsed="false">
      <c r="A280" s="60" t="s">
        <v>777</v>
      </c>
      <c r="B280" s="60" t="s">
        <v>778</v>
      </c>
      <c r="C280" s="60" t="s">
        <v>206</v>
      </c>
      <c r="D280" s="60" t="s">
        <v>226</v>
      </c>
      <c r="E280" s="60"/>
      <c r="F280" s="60" t="s">
        <v>260</v>
      </c>
      <c r="G280" s="61" t="n">
        <v>13.98</v>
      </c>
      <c r="H280" s="62" t="n">
        <f aca="false">MAX(0,IF(AND(Parameter!$B$21="Ja",ISNUMBER(Y280)),Y280,IF(Parameter!$B$20="Jahresanfang 2025 + Export",BS280+BR280,BR280)))</f>
        <v>38</v>
      </c>
      <c r="I280" s="62" t="n">
        <f aca="false">H280*G280</f>
        <v>531.24</v>
      </c>
      <c r="J280" s="62" t="n">
        <f aca="false">BU280*Parameter!$B$18</f>
        <v>56</v>
      </c>
      <c r="K280" s="63" t="n">
        <v>6.5</v>
      </c>
      <c r="L280" s="64" t="n">
        <v>8.61538461538462</v>
      </c>
      <c r="M280" s="62" t="n">
        <v>4</v>
      </c>
      <c r="N280" s="62" t="n">
        <v>55</v>
      </c>
      <c r="O280" s="65" t="n">
        <v>28</v>
      </c>
      <c r="P280" s="60" t="s">
        <v>275</v>
      </c>
      <c r="Q280" s="62" t="n">
        <v>30</v>
      </c>
      <c r="R280" s="65" t="n">
        <f aca="false">IF(CA280=1,0,IFERROR(VLOOKUP(BY280,'Gebinde-Kategorie'!$A$5:$N$45,13,0)+0,0))</f>
        <v>26</v>
      </c>
      <c r="S280" s="66"/>
      <c r="T280" s="67"/>
      <c r="U280" s="67"/>
      <c r="V280" s="67"/>
      <c r="W280" s="60"/>
      <c r="X280" s="62"/>
      <c r="Y280" s="62"/>
      <c r="Z280" s="60" t="n">
        <v>3</v>
      </c>
      <c r="AA280" s="60" t="n">
        <f aca="false">IF(A280="","",IF(AND(Parameter!$B$21="Ja",ISNUMBER(W280)),W280,IF(AND(Parameter!$E$27="Ja",ISNUMBER(Z280),CD280&lt;&gt;"Nein"),Z280,IF(CD280="2+3",IF(ISNUMBER(SEARCH("grosser Artikel",BV280)),2,IFERROR(VLOOKUP(BY280,Parameter!$F$35:$G$64,2,0),2)),IF(OR(CD280="Nein",CD280=""),"-",CD280)))))</f>
        <v>3</v>
      </c>
      <c r="AB280" s="67"/>
      <c r="AC280" s="68"/>
      <c r="AD280" s="62" t="n">
        <f aca="false">AW280</f>
        <v>59</v>
      </c>
      <c r="AE280" s="62" t="n">
        <f aca="false">MAX(AW280,H280)</f>
        <v>59</v>
      </c>
      <c r="AF280" s="69"/>
      <c r="AG280" s="62" t="n">
        <f aca="false">IF(LEFT(Cockpit!$C$5,1)="A",H280,IF(Parameter!$E$30="MAX-Bestand",IF(CI280=1,CJ280,IF(LEFT(Cockpit!$C$5,1)="B",AM280,MAX(AM280,H280))),ROUNDUP(AK280,0)))</f>
        <v>38</v>
      </c>
      <c r="AH280" s="62" t="n">
        <f aca="false">IF(CA280=1,0,ROUNDUP(AG280/BZ280,0))</f>
        <v>2</v>
      </c>
      <c r="AI280" s="64" t="n">
        <f aca="false">IF(CR280&gt;0,CR280*MAX(1,AG280/X280),IF(CA280=1,IF(AG280&lt;=0,0,CE280*MAX(1,IF(H280&gt;0,AG280/H280,1))),IF(R280&gt;0,AH280/R280,0))/MAX(0.1,N(Parameter!$M$21)))</f>
        <v>0.0769230769230769</v>
      </c>
      <c r="AJ280" s="62" t="n">
        <f aca="false">AI280*CC280</f>
        <v>18.8461538461538</v>
      </c>
      <c r="AK280" s="63" t="n">
        <f aca="false">IF(LEFT(Cockpit!$C$5,1)="A",H280,IF(CI280=1,(CL280+CJ280)/2,IF(LEFT(Cockpit!$C$5,1)="B",(CL280+AM280)/2,MAX((CL280+AM280)/2,H280))))</f>
        <v>38</v>
      </c>
      <c r="AL280" s="62" t="n">
        <f aca="false">AK280*G280</f>
        <v>531.24</v>
      </c>
      <c r="AM280" s="62" t="n">
        <f aca="false">ROUNDUP(CL280+MAX(CM280,2*(J280/IF(CH280&gt;0,CH280,MAX(0.1,N(Cockpit!$C$6)))-CL280)),0)</f>
        <v>59</v>
      </c>
      <c r="AN280" s="63" t="n">
        <f aca="false">IF(AJ280&gt;0,J280/AJ280,-1)</f>
        <v>2.97142857142857</v>
      </c>
      <c r="AO280" s="63" t="n">
        <f aca="false">IF(AND(OR(CG280="L1",CG280="L23",CG280="LIFT"),AJ280&gt;0),SUMIFS($AJ$7:$AJ$1843,$CG$7:$CG$1843,CG280,$AN$7:$AN$1843,"&gt;"&amp;AN280)+SUMIFS($AJ$7:$AJ$1843,$CG$7:$CG$1843,CG280,$AN$7:$AN$1843,AN280,$BX$7:$BX$1843,"&lt;="&amp;BX280),"")</f>
        <v>5139.77060439561</v>
      </c>
      <c r="AP280" s="70" t="n">
        <f aca="false">IF(AO280="",0,MAX(0,MIN(1,(IF(CG280="L1",Parameter!$H$5,IF(CG280="L23",Parameter!$H$6+Parameter!$H$7,Parameter!$H$5+Parameter!$H$6+Parameter!$H$7))-(AO280-AJ280))/AJ280)))</f>
        <v>1</v>
      </c>
      <c r="AQ280" s="62" t="n">
        <f aca="false">IF(LEFT(Cockpit!$I$5,1)="A",H280,IF(Parameter!$E$30="MAX-Bestand",IF(CI280=1,CJ280,IF(LEFT(Cockpit!$I$5,1)="B",AW280,MAX(AW280,H280))),ROUNDUP(AU280,0)))</f>
        <v>38</v>
      </c>
      <c r="AR280" s="62" t="n">
        <f aca="false">IF(CA280=1,0,ROUNDUP(AQ280/BZ280,0))</f>
        <v>2</v>
      </c>
      <c r="AS280" s="64" t="n">
        <f aca="false">IF(CR280&gt;0,CR280*MAX(1,AQ280/X280),IF(CA280=1,IF(AQ280&lt;=0,0,CE280*MAX(1,IF(H280&gt;0,AQ280/H280,1))),IF(R280&gt;0,AR280/R280,0))/MAX(0.1,N(Parameter!$M$21)))</f>
        <v>0.0769230769230769</v>
      </c>
      <c r="AT280" s="62" t="n">
        <f aca="false">AS280*CC280</f>
        <v>18.8461538461538</v>
      </c>
      <c r="AU280" s="63" t="n">
        <f aca="false">IF(LEFT(Cockpit!$I$5,1)="A",H280,IF(CI280=1,(CL280+CJ280)/2,IF(LEFT(Cockpit!$I$5,1)="B",(CL280+AW280)/2,MAX((CL280+AW280)/2,H280))))</f>
        <v>38</v>
      </c>
      <c r="AV280" s="62" t="n">
        <f aca="false">AU280*G280</f>
        <v>531.24</v>
      </c>
      <c r="AW280" s="62" t="n">
        <f aca="false">ROUNDUP(CL280+MAX(CM280,2*(J280/IF(CH280&gt;0,CH280,MAX(0.1,N(Cockpit!$I$6)))-CL280)),0)</f>
        <v>59</v>
      </c>
      <c r="AX280" s="63" t="n">
        <f aca="false">IF(AT280&gt;0,J280/AT280,-1)</f>
        <v>2.97142857142857</v>
      </c>
      <c r="AY280" s="63" t="n">
        <f aca="false">IF(AND(OR(CG280="L1",CG280="L23",CG280="LIFT"),AT280&gt;0),SUMIFS($AT$7:$AT$1843,$CG$7:$CG$1843,CG280,$AX$7:$AX$1843,"&gt;"&amp;AX280)+SUMIFS($AT$7:$AT$1843,$CG$7:$CG$1843,CG280,$AX$7:$AX$1843,AX280,$BX$7:$BX$1843,"&lt;="&amp;BX280),"")</f>
        <v>5962.16529304029</v>
      </c>
      <c r="AZ280" s="70" t="n">
        <f aca="false">IF(AY280="",0,MAX(0,MIN(1,(IF(CG280="L1",Parameter!$H$5,IF(CG280="L23",Parameter!$H$6+Parameter!$H$7,Parameter!$H$5+Parameter!$H$6+Parameter!$H$7))-(AY280-AT280))/AT280)))</f>
        <v>1</v>
      </c>
      <c r="BA280" s="62" t="n">
        <f aca="false">IF(LEFT(Cockpit!$O$5,1)="A",H280,IF(Parameter!$E$30="MAX-Bestand",IF(CI280=1,CJ280,IF(LEFT(Cockpit!$O$5,1)="B",BG280,MAX(BG280,H280))),ROUNDUP(BE280,0)))</f>
        <v>32</v>
      </c>
      <c r="BB280" s="62" t="n">
        <f aca="false">IF(CA280=1,0,ROUNDUP(BA280/BZ280,0))</f>
        <v>2</v>
      </c>
      <c r="BC280" s="64" t="n">
        <f aca="false">IF(CR280&gt;0,CR280*MAX(1,BA280/X280),IF(CA280=1,IF(BA280&lt;=0,0,CE280*MAX(1,IF(H280&gt;0,BA280/H280,1))),IF(R280&gt;0,BB280/R280,0))/MAX(0.1,N(Parameter!$M$21)))</f>
        <v>0.0769230769230769</v>
      </c>
      <c r="BD280" s="62" t="n">
        <f aca="false">BC280*CC280</f>
        <v>18.8461538461538</v>
      </c>
      <c r="BE280" s="63" t="n">
        <f aca="false">IF(LEFT(Cockpit!$O$5,1)="A",H280,IF(CI280=1,(CL280+CJ280)/2,IF(LEFT(Cockpit!$O$5,1)="B",(CL280+BG280)/2,MAX((CL280+BG280)/2,H280))))</f>
        <v>31.5</v>
      </c>
      <c r="BF280" s="62" t="n">
        <f aca="false">BE280*G280</f>
        <v>440.37</v>
      </c>
      <c r="BG280" s="62" t="n">
        <f aca="false">ROUNDUP(CL280+MAX(CM280,2*(J280/IF(CH280&gt;0,CH280,MAX(0.1,N(Cockpit!$O$6)))-CL280)),0)</f>
        <v>59</v>
      </c>
      <c r="BH280" s="63" t="n">
        <f aca="false">IF(BD280&gt;0,J280/BD280,-1)</f>
        <v>2.97142857142857</v>
      </c>
      <c r="BI280" s="63" t="n">
        <f aca="false">IF(AND(OR(CG280="L1",CG280="L23",CG280="LIFT"),BD280&gt;0),SUMIFS($BD$7:$BD$1843,$CG$7:$CG$1843,CG280,$BH$7:$BH$1843,"&gt;"&amp;BH280)+SUMIFS($BD$7:$BD$1843,$CG$7:$CG$1843,CG280,$BH$7:$BH$1843,BH280,$BX$7:$BX$1843,"&lt;="&amp;BX280),"")</f>
        <v>4824.91529304029</v>
      </c>
      <c r="BJ280" s="70" t="n">
        <f aca="false">IF(BI280="",0,MAX(0,MIN(1,(IF(CG280="L1",Parameter!$H$5,IF(CG280="L23",Parameter!$H$6+Parameter!$H$7,Parameter!$H$5+Parameter!$H$6+Parameter!$H$7))-(BI280-BD280))/BD280)))</f>
        <v>1</v>
      </c>
      <c r="BK280" s="60" t="str">
        <f aca="false">IF(AJ280&lt;=0,"",IF(CG280="Aussen","Aussenlager",IF(CG280="-","Nicht im Lift",IF(AP280&gt;=1,"Lift",IF(AP280&lt;=0,"Aussenlager","teilweise")))))</f>
        <v>Lift</v>
      </c>
      <c r="BL280" s="60" t="str">
        <f aca="false">IF(AT280&lt;=0,"",IF(CG280="Aussen","Aussenlager",IF(CG280="-","Nicht im Lift",IF(AZ280&gt;=1,"Lift",IF(AZ280&lt;=0,"Aussenlager","teilweise")))))</f>
        <v>Lift</v>
      </c>
      <c r="BM280" s="60" t="str">
        <f aca="false">IF(BD280&lt;=0,"",IF(CG280="Aussen","Aussenlager",IF(CG280="-","Nicht im Lift",IF(BJ280&gt;=1,"Lift",IF(BJ280&lt;=0,"Aussenlager","teilweise")))))</f>
        <v>Lift</v>
      </c>
      <c r="BN280" s="60" t="str">
        <f aca="false">IF(A280="","",IF(BW280=1,"Neu; ","")&amp;IF(AND(BW280=0,BR280&lt;0),"negativer Bestand (Export "&amp;BR280&amp;"); ","")&amp;IF(J280&lt;=0,"Kein Verbrauch; ","")&amp;IF(CR280&gt;0,"Lift "&amp;W280&amp;" lt. Liftbericht (Fach "&amp;X280&amp;" Stk); ",IF(CB280=1,"Gebinde geschätzt ("&amp;T280&amp;"); ",IF(CA280=1,"Lose – Tablare geschätzt; ","")))&amp;IF(H280&gt;AW280,"Überbestand "&amp;ROUND(H280-AW280,0)&amp;" Stk / CHF "&amp;ROUND((H280-AW280)*G280,0)&amp;"; ","")&amp;IF(AND(CI280=1,CJ280&lt;CK280),"MAX &lt; MB+LG; ","")&amp;IF(AND(CQ280&gt;0,CP280*10&gt;CQ280),"zu hoch für Tablar; ","")&amp;IF(AND(BW280=0,OR(CI280=1,AB280&lt;&gt;"",U280&lt;&gt;"",V280&lt;&gt;"",AC280&lt;&gt;"")),"manuell übersteuert; ","")&amp;IF(AND(CA280=0,R280=0),"Gebinde unbekannt / Stellmass fehlt; ","")&amp;IF(AND(CA280=0,N(V280)&lt;=0,N(Q280)&lt;=0),"Menge pro Gebinde fehlt (Ist = 1 Gebinde); ","")&amp;BV280)</f>
        <v/>
      </c>
      <c r="BO280" s="60"/>
      <c r="BP280" s="60"/>
      <c r="BQ280" s="67"/>
      <c r="BR280" s="62" t="n">
        <v>25</v>
      </c>
      <c r="BS280" s="62" t="n">
        <v>13</v>
      </c>
      <c r="BT280" s="61" t="n">
        <v>351.06</v>
      </c>
      <c r="BU280" s="62" t="n">
        <v>56</v>
      </c>
      <c r="BV280" s="60"/>
      <c r="BW280" s="65" t="n">
        <v>0</v>
      </c>
      <c r="BX280" s="65" t="n">
        <v>280</v>
      </c>
      <c r="BY280" s="60" t="str">
        <f aca="false">IF(U280&lt;&gt;"",UPPER(TRIM(U280)),IF(CB280=1,UPPER(VLOOKUP(T280,Parameter!$I$27:$K$29,2,0)),IF(P280="","LOSE",P280)))</f>
        <v>S52</v>
      </c>
      <c r="BZ280" s="62" t="n">
        <f aca="false">IF(BY280="LOSE",1,IF(N(V280)&gt;0,V280,IF(CB280=1,MAX(1,N(VLOOKUP(T280,Parameter!$I$27:$K$29,3,0)),H280,N(N280)),IF(N(Q280)&gt;0,Q280,MAX(1,H280)))))</f>
        <v>30</v>
      </c>
      <c r="CA280" s="65" t="n">
        <f aca="false">IF(BY280="LOSE",1,0)</f>
        <v>0</v>
      </c>
      <c r="CB280" s="65" t="n">
        <f aca="false">IF(AND(U280="",OR(P280="",P280="LOSE"),T280&lt;&gt;"",N(S280)&lt;=0,ISNUMBER(MATCH(T280,Parameter!$I$27:$I$29,0))),1,0)</f>
        <v>0</v>
      </c>
      <c r="CC280" s="65" t="n">
        <f aca="false">IF(CR280&gt;0,INDEX(Parameter!$H$5:$H$7,W280)/INDEX(Parameter!$E$5:$E$7,W280),IF(AND(CA280=0,N(IFERROR(VLOOKUP(BY280,'Gebinde-Kategorie'!$A$5:$N$45,14,0),0))&gt;0),VLOOKUP(BY280,'Gebinde-Kategorie'!$A$5:$N$45,14,0)*10+Parameter!$M$23,Parameter!$M$24))</f>
        <v>245</v>
      </c>
      <c r="CD280" s="60" t="str">
        <f aca="false">IF(AND(Parameter!$B$19="Ja",E280&lt;&gt;"",ISNUMBER(MATCH(E280,Parameter!$I$35:$I$52,0))),VLOOKUP(E280,Parameter!$I$35:$J$52,2,0),IFERROR(VLOOKUP(D280,Parameter!$A$35:$C$64,2,0),"Nein"))</f>
        <v>2+3</v>
      </c>
      <c r="CE280" s="64" t="n">
        <f aca="false">IF(CA280=0,0,IF(N(S280)&gt;0,S280,IFERROR(VLOOKUP(D280,Parameter!$A$35:$C$64,3,0)+0,0)))</f>
        <v>0</v>
      </c>
      <c r="CF280" s="60" t="n">
        <f aca="false">IF(AB280&lt;&gt;"",AB280,AA280)</f>
        <v>3</v>
      </c>
      <c r="CG280" s="60" t="str">
        <f aca="false">IF(OR(CF280=1,CF280=2,CF280=3),IF(Parameter!$E$27="Ja","LIFT",IF(CF280=1,"L1","L23")),IF(CF280="Aussen","Aussen","-"))</f>
        <v>LIFT</v>
      </c>
      <c r="CH280" s="71" t="n">
        <f aca="false">IF(N(AC280)&gt;0,AC280,0)</f>
        <v>0</v>
      </c>
      <c r="CI280" s="65" t="n">
        <f aca="false">IF(ISNUMBER(AF280),1,0)</f>
        <v>0</v>
      </c>
      <c r="CJ280" s="62" t="n">
        <f aca="false">N(AF280)</f>
        <v>0</v>
      </c>
      <c r="CK280" s="62" t="n">
        <f aca="false">N(M280)+N(N280)</f>
        <v>59</v>
      </c>
      <c r="CL280" s="62" t="n">
        <f aca="false">N(M280)</f>
        <v>4</v>
      </c>
      <c r="CM280" s="62" t="n">
        <f aca="false">N(N280)</f>
        <v>55</v>
      </c>
      <c r="CN280" s="62" t="n">
        <f aca="false">ROUNDUP(H280/BZ280,0)</f>
        <v>2</v>
      </c>
      <c r="CO280" s="62" t="n">
        <f aca="false">ROUNDUP(CJ280/BZ280,0)</f>
        <v>0</v>
      </c>
      <c r="CP280" s="65" t="n">
        <f aca="false">IF(CA280=1,0,IFERROR(VLOOKUP(BY280,'Gebinde-Kategorie'!$A$5:$N$45,5,0)+0,0))</f>
        <v>21</v>
      </c>
      <c r="CQ280" s="65" t="n">
        <f aca="false">IFERROR(IF(OR(CF280=1,CF280=2,CF280=3),N(INDEX(Parameter!$I$5:$I$7,CF280)),0),0)</f>
        <v>0</v>
      </c>
      <c r="CR280" s="64" t="n">
        <f aca="false">IF(AND(Parameter!$B$21="Ja",ISNUMBER(W280),N(X280)&gt;0),IFERROR(N(INDEX(Parameter!$L$5:$L$7,W280))*INDEX(Parameter!$E$5:$E$7,W280)*X280/SUMIFS($X$7:$X$1843,$W$7:$W$1843,W280),0),0)</f>
        <v>0</v>
      </c>
      <c r="CS280" s="62" t="n">
        <f aca="false">IF(AND(OR(CG280="L1",CG280="L23",CG280="LIFT"),H280&gt;0),CC280*IF(CR280&gt;0,CR280*MAX(1,H280/X280),IF(CA280=1,CE280,IF(R280&gt;0,CN280/R280,0))/MAX(0.1,N(Parameter!$M$21))),"")</f>
        <v>18.8461538461538</v>
      </c>
      <c r="CT280" s="64" t="n">
        <f aca="false">IF(CS280="","",J280/H280)</f>
        <v>1.47368421052632</v>
      </c>
      <c r="CU280" s="62" t="n">
        <f aca="false">IF(CS280="","",H280*G280)</f>
        <v>531.24</v>
      </c>
      <c r="CV280" s="63" t="n">
        <f aca="false">IF(CS280="","",(CL280+ROUNDUP(CL280+MAX(CM280,2*(J280/MAX(0.1,N(Einkauf!$C$6))-CL280)),0))/2)</f>
        <v>31.5</v>
      </c>
      <c r="CW280" s="62" t="n">
        <f aca="false">IF(CS280="","",MAX(0,H280-CV280)*G280)</f>
        <v>90.87</v>
      </c>
      <c r="CX280" s="62" t="n">
        <f aca="false">IF(CS280="","",CS280*MAX(0,1-CV280/H280))</f>
        <v>3.22368421052632</v>
      </c>
      <c r="CY280" s="64" t="n">
        <f aca="false">IF(CS280="","",PERCENTRANK($CS$7:$CS$1843,CS280)+PERCENTRANK($CU$7:$CU$1843,CU280)+1-PERCENTRANK($CT$7:$CT$1843,CT280))</f>
        <v>1.538</v>
      </c>
      <c r="CZ280" s="72" t="n">
        <f aca="false">IF(CS280="","",CHOOSE(MATCH(Einkauf!$C$5,Parameter!$G$23:$G$27,0),CY280,CS280,CU280,-CT280,CW280)+ROW()/1000000000)</f>
        <v>1.53800028</v>
      </c>
    </row>
    <row r="281" customFormat="false" ht="15" hidden="false" customHeight="false" outlineLevel="0" collapsed="false">
      <c r="A281" s="60" t="s">
        <v>779</v>
      </c>
      <c r="B281" s="60" t="s">
        <v>574</v>
      </c>
      <c r="C281" s="60" t="s">
        <v>206</v>
      </c>
      <c r="D281" s="60" t="s">
        <v>226</v>
      </c>
      <c r="E281" s="60" t="s">
        <v>227</v>
      </c>
      <c r="F281" s="60" t="s">
        <v>260</v>
      </c>
      <c r="G281" s="61" t="n">
        <v>10</v>
      </c>
      <c r="H281" s="62" t="n">
        <f aca="false">MAX(0,IF(AND(Parameter!$B$21="Ja",ISNUMBER(Y281)),Y281,IF(Parameter!$B$20="Jahresanfang 2025 + Export",BS281+BR281,BR281)))</f>
        <v>52</v>
      </c>
      <c r="I281" s="62" t="n">
        <f aca="false">H281*G281</f>
        <v>520</v>
      </c>
      <c r="J281" s="62" t="n">
        <f aca="false">BU281*Parameter!$B$18</f>
        <v>0</v>
      </c>
      <c r="K281" s="63" t="n">
        <v>34.5</v>
      </c>
      <c r="L281" s="64" t="n">
        <v>0</v>
      </c>
      <c r="M281" s="62" t="n">
        <v>0</v>
      </c>
      <c r="N281" s="62" t="n">
        <v>1</v>
      </c>
      <c r="O281" s="65" t="n">
        <v>14</v>
      </c>
      <c r="P281" s="60" t="s">
        <v>344</v>
      </c>
      <c r="Q281" s="62" t="n">
        <v>44</v>
      </c>
      <c r="R281" s="65" t="n">
        <f aca="false">IF(CA281=1,0,IFERROR(VLOOKUP(BY281,'Gebinde-Kategorie'!$A$5:$N$45,13,0)+0,0))</f>
        <v>26</v>
      </c>
      <c r="S281" s="66"/>
      <c r="T281" s="67"/>
      <c r="U281" s="67"/>
      <c r="V281" s="67"/>
      <c r="W281" s="60"/>
      <c r="X281" s="62"/>
      <c r="Y281" s="62"/>
      <c r="Z281" s="60" t="n">
        <v>3</v>
      </c>
      <c r="AA281" s="60" t="n">
        <f aca="false">IF(A281="","",IF(AND(Parameter!$B$21="Ja",ISNUMBER(W281)),W281,IF(AND(Parameter!$E$27="Ja",ISNUMBER(Z281),CD281&lt;&gt;"Nein"),Z281,IF(CD281="2+3",IF(ISNUMBER(SEARCH("grosser Artikel",BV281)),2,IFERROR(VLOOKUP(BY281,Parameter!$F$35:$G$64,2,0),2)),IF(OR(CD281="Nein",CD281=""),"-",CD281)))))</f>
        <v>3</v>
      </c>
      <c r="AB281" s="67"/>
      <c r="AC281" s="68"/>
      <c r="AD281" s="62" t="n">
        <f aca="false">AW281</f>
        <v>1</v>
      </c>
      <c r="AE281" s="62" t="n">
        <f aca="false">MAX(AW281,H281)</f>
        <v>52</v>
      </c>
      <c r="AF281" s="69"/>
      <c r="AG281" s="62" t="n">
        <f aca="false">IF(LEFT(Cockpit!$C$5,1)="A",H281,IF(Parameter!$E$30="MAX-Bestand",IF(CI281=1,CJ281,IF(LEFT(Cockpit!$C$5,1)="B",AM281,MAX(AM281,H281))),ROUNDUP(AK281,0)))</f>
        <v>52</v>
      </c>
      <c r="AH281" s="62" t="n">
        <f aca="false">IF(CA281=1,0,ROUNDUP(AG281/BZ281,0))</f>
        <v>2</v>
      </c>
      <c r="AI281" s="64" t="n">
        <f aca="false">IF(CR281&gt;0,CR281*MAX(1,AG281/X281),IF(CA281=1,IF(AG281&lt;=0,0,CE281*MAX(1,IF(H281&gt;0,AG281/H281,1))),IF(R281&gt;0,AH281/R281,0))/MAX(0.1,N(Parameter!$M$21)))</f>
        <v>0.0769230769230769</v>
      </c>
      <c r="AJ281" s="62" t="n">
        <f aca="false">AI281*CC281</f>
        <v>11.9230769230769</v>
      </c>
      <c r="AK281" s="63" t="n">
        <f aca="false">IF(LEFT(Cockpit!$C$5,1)="A",H281,IF(CI281=1,(CL281+CJ281)/2,IF(LEFT(Cockpit!$C$5,1)="B",(CL281+AM281)/2,MAX((CL281+AM281)/2,H281))))</f>
        <v>52</v>
      </c>
      <c r="AL281" s="62" t="n">
        <f aca="false">AK281*G281</f>
        <v>520</v>
      </c>
      <c r="AM281" s="62" t="n">
        <f aca="false">ROUNDUP(CL281+MAX(CM281,2*(J281/IF(CH281&gt;0,CH281,MAX(0.1,N(Cockpit!$C$6)))-CL281)),0)</f>
        <v>1</v>
      </c>
      <c r="AN281" s="63" t="n">
        <f aca="false">IF(AJ281&gt;0,J281/AJ281,-1)</f>
        <v>0</v>
      </c>
      <c r="AO281" s="63" t="n">
        <f aca="false">IF(AND(OR(CG281="L1",CG281="L23",CG281="LIFT"),AJ281&gt;0),SUMIFS($AJ$7:$AJ$1843,$CG$7:$CG$1843,CG281,$AN$7:$AN$1843,"&gt;"&amp;AN281)+SUMIFS($AJ$7:$AJ$1843,$CG$7:$CG$1843,CG281,$AN$7:$AN$1843,AN281,$BX$7:$BX$1843,"&lt;="&amp;BX281),"")</f>
        <v>27791.4383549595</v>
      </c>
      <c r="AP281" s="70" t="n">
        <f aca="false">IF(AO281="",0,MAX(0,MIN(1,(IF(CG281="L1",Parameter!$H$5,IF(CG281="L23",Parameter!$H$6+Parameter!$H$7,Parameter!$H$5+Parameter!$H$6+Parameter!$H$7))-(AO281-AJ281))/AJ281)))</f>
        <v>1</v>
      </c>
      <c r="AQ281" s="62" t="n">
        <f aca="false">IF(LEFT(Cockpit!$I$5,1)="A",H281,IF(Parameter!$E$30="MAX-Bestand",IF(CI281=1,CJ281,IF(LEFT(Cockpit!$I$5,1)="B",AW281,MAX(AW281,H281))),ROUNDUP(AU281,0)))</f>
        <v>52</v>
      </c>
      <c r="AR281" s="62" t="n">
        <f aca="false">IF(CA281=1,0,ROUNDUP(AQ281/BZ281,0))</f>
        <v>2</v>
      </c>
      <c r="AS281" s="64" t="n">
        <f aca="false">IF(CR281&gt;0,CR281*MAX(1,AQ281/X281),IF(CA281=1,IF(AQ281&lt;=0,0,CE281*MAX(1,IF(H281&gt;0,AQ281/H281,1))),IF(R281&gt;0,AR281/R281,0))/MAX(0.1,N(Parameter!$M$21)))</f>
        <v>0.0769230769230769</v>
      </c>
      <c r="AT281" s="62" t="n">
        <f aca="false">AS281*CC281</f>
        <v>11.9230769230769</v>
      </c>
      <c r="AU281" s="63" t="n">
        <f aca="false">IF(LEFT(Cockpit!$I$5,1)="A",H281,IF(CI281=1,(CL281+CJ281)/2,IF(LEFT(Cockpit!$I$5,1)="B",(CL281+AW281)/2,MAX((CL281+AW281)/2,H281))))</f>
        <v>52</v>
      </c>
      <c r="AV281" s="62" t="n">
        <f aca="false">AU281*G281</f>
        <v>520</v>
      </c>
      <c r="AW281" s="62" t="n">
        <f aca="false">ROUNDUP(CL281+MAX(CM281,2*(J281/IF(CH281&gt;0,CH281,MAX(0.1,N(Cockpit!$I$6)))-CL281)),0)</f>
        <v>1</v>
      </c>
      <c r="AX281" s="63" t="n">
        <f aca="false">IF(AT281&gt;0,J281/AT281,-1)</f>
        <v>0</v>
      </c>
      <c r="AY281" s="63" t="n">
        <f aca="false">IF(AND(OR(CG281="L1",CG281="L23",CG281="LIFT"),AT281&gt;0),SUMIFS($AT$7:$AT$1843,$CG$7:$CG$1843,CG281,$AX$7:$AX$1843,"&gt;"&amp;AX281)+SUMIFS($AT$7:$AT$1843,$CG$7:$CG$1843,CG281,$AX$7:$AX$1843,AX281,$BX$7:$BX$1843,"&lt;="&amp;BX281),"")</f>
        <v>33144.586996337</v>
      </c>
      <c r="AZ281" s="70" t="n">
        <f aca="false">IF(AY281="",0,MAX(0,MIN(1,(IF(CG281="L1",Parameter!$H$5,IF(CG281="L23",Parameter!$H$6+Parameter!$H$7,Parameter!$H$5+Parameter!$H$6+Parameter!$H$7))-(AY281-AT281))/AT281)))</f>
        <v>1</v>
      </c>
      <c r="BA281" s="62" t="n">
        <f aca="false">IF(LEFT(Cockpit!$O$5,1)="A",H281,IF(Parameter!$E$30="MAX-Bestand",IF(CI281=1,CJ281,IF(LEFT(Cockpit!$O$5,1)="B",BG281,MAX(BG281,H281))),ROUNDUP(BE281,0)))</f>
        <v>1</v>
      </c>
      <c r="BB281" s="62" t="n">
        <f aca="false">IF(CA281=1,0,ROUNDUP(BA281/BZ281,0))</f>
        <v>1</v>
      </c>
      <c r="BC281" s="64" t="n">
        <f aca="false">IF(CR281&gt;0,CR281*MAX(1,BA281/X281),IF(CA281=1,IF(BA281&lt;=0,0,CE281*MAX(1,IF(H281&gt;0,BA281/H281,1))),IF(R281&gt;0,BB281/R281,0))/MAX(0.1,N(Parameter!$M$21)))</f>
        <v>0.0384615384615385</v>
      </c>
      <c r="BD281" s="62" t="n">
        <f aca="false">BC281*CC281</f>
        <v>5.96153846153846</v>
      </c>
      <c r="BE281" s="63" t="n">
        <f aca="false">IF(LEFT(Cockpit!$O$5,1)="A",H281,IF(CI281=1,(CL281+CJ281)/2,IF(LEFT(Cockpit!$O$5,1)="B",(CL281+BG281)/2,MAX((CL281+BG281)/2,H281))))</f>
        <v>0.5</v>
      </c>
      <c r="BF281" s="62" t="n">
        <f aca="false">BE281*G281</f>
        <v>5</v>
      </c>
      <c r="BG281" s="62" t="n">
        <f aca="false">ROUNDUP(CL281+MAX(CM281,2*(J281/IF(CH281&gt;0,CH281,MAX(0.1,N(Cockpit!$O$6)))-CL281)),0)</f>
        <v>1</v>
      </c>
      <c r="BH281" s="63" t="n">
        <f aca="false">IF(BD281&gt;0,J281/BD281,-1)</f>
        <v>0</v>
      </c>
      <c r="BI281" s="63" t="n">
        <f aca="false">IF(AND(OR(CG281="L1",CG281="L23",CG281="LIFT"),BD281&gt;0),SUMIFS($BD$7:$BD$1843,$CG$7:$CG$1843,CG281,$BH$7:$BH$1843,"&gt;"&amp;BH281)+SUMIFS($BD$7:$BD$1843,$CG$7:$CG$1843,CG281,$BH$7:$BH$1843,BH281,$BX$7:$BX$1843,"&lt;="&amp;BX281),"")</f>
        <v>27293.4444806606</v>
      </c>
      <c r="BJ281" s="70" t="n">
        <f aca="false">IF(BI281="",0,MAX(0,MIN(1,(IF(CG281="L1",Parameter!$H$5,IF(CG281="L23",Parameter!$H$6+Parameter!$H$7,Parameter!$H$5+Parameter!$H$6+Parameter!$H$7))-(BI281-BD281))/BD281)))</f>
        <v>1</v>
      </c>
      <c r="BK281" s="60" t="str">
        <f aca="false">IF(AJ281&lt;=0,"",IF(CG281="Aussen","Aussenlager",IF(CG281="-","Nicht im Lift",IF(AP281&gt;=1,"Lift",IF(AP281&lt;=0,"Aussenlager","teilweise")))))</f>
        <v>Lift</v>
      </c>
      <c r="BL281" s="60" t="str">
        <f aca="false">IF(AT281&lt;=0,"",IF(CG281="Aussen","Aussenlager",IF(CG281="-","Nicht im Lift",IF(AZ281&gt;=1,"Lift",IF(AZ281&lt;=0,"Aussenlager","teilweise")))))</f>
        <v>Lift</v>
      </c>
      <c r="BM281" s="60" t="str">
        <f aca="false">IF(BD281&lt;=0,"",IF(CG281="Aussen","Aussenlager",IF(CG281="-","Nicht im Lift",IF(BJ281&gt;=1,"Lift",IF(BJ281&lt;=0,"Aussenlager","teilweise")))))</f>
        <v>Lift</v>
      </c>
      <c r="BN281" s="60" t="str">
        <f aca="false">IF(A281="","",IF(BW281=1,"Neu; ","")&amp;IF(AND(BW281=0,BR281&lt;0),"negativer Bestand (Export "&amp;BR281&amp;"); ","")&amp;IF(J281&lt;=0,"Kein Verbrauch; ","")&amp;IF(CR281&gt;0,"Lift "&amp;W281&amp;" lt. Liftbericht (Fach "&amp;X281&amp;" Stk); ",IF(CB281=1,"Gebinde geschätzt ("&amp;T281&amp;"); ",IF(CA281=1,"Lose – Tablare geschätzt; ","")))&amp;IF(H281&gt;AW281,"Überbestand "&amp;ROUND(H281-AW281,0)&amp;" Stk / CHF "&amp;ROUND((H281-AW281)*G281,0)&amp;"; ","")&amp;IF(AND(CI281=1,CJ281&lt;CK281),"MAX &lt; MB+LG; ","")&amp;IF(AND(CQ281&gt;0,CP281*10&gt;CQ281),"zu hoch für Tablar; ","")&amp;IF(AND(BW281=0,OR(CI281=1,AB281&lt;&gt;"",U281&lt;&gt;"",V281&lt;&gt;"",AC281&lt;&gt;"")),"manuell übersteuert; ","")&amp;IF(AND(CA281=0,R281=0),"Gebinde unbekannt / Stellmass fehlt; ","")&amp;IF(AND(CA281=0,N(V281)&lt;=0,N(Q281)&lt;=0),"Menge pro Gebinde fehlt (Ist = 1 Gebinde); ","")&amp;BV281)</f>
        <v>Kein Verbrauch; Überbestand 51 Stk / CHF 510; </v>
      </c>
      <c r="BO281" s="60"/>
      <c r="BP281" s="60"/>
      <c r="BQ281" s="67"/>
      <c r="BR281" s="62" t="n">
        <v>35</v>
      </c>
      <c r="BS281" s="62" t="n">
        <v>17</v>
      </c>
      <c r="BT281" s="61" t="n">
        <v>350</v>
      </c>
      <c r="BU281" s="62" t="n">
        <v>0</v>
      </c>
      <c r="BV281" s="60"/>
      <c r="BW281" s="65" t="n">
        <v>0</v>
      </c>
      <c r="BX281" s="65" t="n">
        <v>281</v>
      </c>
      <c r="BY281" s="60" t="str">
        <f aca="false">IF(U281&lt;&gt;"",UPPER(TRIM(U281)),IF(CB281=1,UPPER(VLOOKUP(T281,Parameter!$I$27:$K$29,2,0)),IF(P281="","LOSE",P281)))</f>
        <v>S51</v>
      </c>
      <c r="BZ281" s="62" t="n">
        <f aca="false">IF(BY281="LOSE",1,IF(N(V281)&gt;0,V281,IF(CB281=1,MAX(1,N(VLOOKUP(T281,Parameter!$I$27:$K$29,3,0)),H281,N(N281)),IF(N(Q281)&gt;0,Q281,MAX(1,H281)))))</f>
        <v>44</v>
      </c>
      <c r="CA281" s="65" t="n">
        <f aca="false">IF(BY281="LOSE",1,0)</f>
        <v>0</v>
      </c>
      <c r="CB281" s="65" t="n">
        <f aca="false">IF(AND(U281="",OR(P281="",P281="LOSE"),T281&lt;&gt;"",N(S281)&lt;=0,ISNUMBER(MATCH(T281,Parameter!$I$27:$I$29,0))),1,0)</f>
        <v>0</v>
      </c>
      <c r="CC281" s="65" t="n">
        <f aca="false">IF(CR281&gt;0,INDEX(Parameter!$H$5:$H$7,W281)/INDEX(Parameter!$E$5:$E$7,W281),IF(AND(CA281=0,N(IFERROR(VLOOKUP(BY281,'Gebinde-Kategorie'!$A$5:$N$45,14,0),0))&gt;0),VLOOKUP(BY281,'Gebinde-Kategorie'!$A$5:$N$45,14,0)*10+Parameter!$M$23,Parameter!$M$24))</f>
        <v>155</v>
      </c>
      <c r="CD281" s="60" t="str">
        <f aca="false">IF(AND(Parameter!$B$19="Ja",E281&lt;&gt;"",ISNUMBER(MATCH(E281,Parameter!$I$35:$I$52,0))),VLOOKUP(E281,Parameter!$I$35:$J$52,2,0),IFERROR(VLOOKUP(D281,Parameter!$A$35:$C$64,2,0),"Nein"))</f>
        <v>2+3</v>
      </c>
      <c r="CE281" s="64" t="n">
        <f aca="false">IF(CA281=0,0,IF(N(S281)&gt;0,S281,IFERROR(VLOOKUP(D281,Parameter!$A$35:$C$64,3,0)+0,0)))</f>
        <v>0</v>
      </c>
      <c r="CF281" s="60" t="n">
        <f aca="false">IF(AB281&lt;&gt;"",AB281,AA281)</f>
        <v>3</v>
      </c>
      <c r="CG281" s="60" t="str">
        <f aca="false">IF(OR(CF281=1,CF281=2,CF281=3),IF(Parameter!$E$27="Ja","LIFT",IF(CF281=1,"L1","L23")),IF(CF281="Aussen","Aussen","-"))</f>
        <v>LIFT</v>
      </c>
      <c r="CH281" s="71" t="n">
        <f aca="false">IF(N(AC281)&gt;0,AC281,0)</f>
        <v>0</v>
      </c>
      <c r="CI281" s="65" t="n">
        <f aca="false">IF(ISNUMBER(AF281),1,0)</f>
        <v>0</v>
      </c>
      <c r="CJ281" s="62" t="n">
        <f aca="false">N(AF281)</f>
        <v>0</v>
      </c>
      <c r="CK281" s="62" t="n">
        <f aca="false">N(M281)+N(N281)</f>
        <v>1</v>
      </c>
      <c r="CL281" s="62" t="n">
        <f aca="false">N(M281)</f>
        <v>0</v>
      </c>
      <c r="CM281" s="62" t="n">
        <f aca="false">N(N281)</f>
        <v>1</v>
      </c>
      <c r="CN281" s="62" t="n">
        <f aca="false">ROUNDUP(H281/BZ281,0)</f>
        <v>2</v>
      </c>
      <c r="CO281" s="62" t="n">
        <f aca="false">ROUNDUP(CJ281/BZ281,0)</f>
        <v>0</v>
      </c>
      <c r="CP281" s="65" t="n">
        <f aca="false">IF(CA281=1,0,IFERROR(VLOOKUP(BY281,'Gebinde-Kategorie'!$A$5:$N$45,5,0)+0,0))</f>
        <v>11</v>
      </c>
      <c r="CQ281" s="65" t="n">
        <f aca="false">IFERROR(IF(OR(CF281=1,CF281=2,CF281=3),N(INDEX(Parameter!$I$5:$I$7,CF281)),0),0)</f>
        <v>0</v>
      </c>
      <c r="CR281" s="64" t="n">
        <f aca="false">IF(AND(Parameter!$B$21="Ja",ISNUMBER(W281),N(X281)&gt;0),IFERROR(N(INDEX(Parameter!$L$5:$L$7,W281))*INDEX(Parameter!$E$5:$E$7,W281)*X281/SUMIFS($X$7:$X$1843,$W$7:$W$1843,W281),0),0)</f>
        <v>0</v>
      </c>
      <c r="CS281" s="62" t="n">
        <f aca="false">IF(AND(OR(CG281="L1",CG281="L23",CG281="LIFT"),H281&gt;0),CC281*IF(CR281&gt;0,CR281*MAX(1,H281/X281),IF(CA281=1,CE281,IF(R281&gt;0,CN281/R281,0))/MAX(0.1,N(Parameter!$M$21))),"")</f>
        <v>11.9230769230769</v>
      </c>
      <c r="CT281" s="64" t="n">
        <f aca="false">IF(CS281="","",J281/H281)</f>
        <v>0</v>
      </c>
      <c r="CU281" s="62" t="n">
        <f aca="false">IF(CS281="","",H281*G281)</f>
        <v>520</v>
      </c>
      <c r="CV281" s="63" t="n">
        <f aca="false">IF(CS281="","",(CL281+ROUNDUP(CL281+MAX(CM281,2*(J281/MAX(0.1,N(Einkauf!$C$6))-CL281)),0))/2)</f>
        <v>0.5</v>
      </c>
      <c r="CW281" s="62" t="n">
        <f aca="false">IF(CS281="","",MAX(0,H281-CV281)*G281)</f>
        <v>515</v>
      </c>
      <c r="CX281" s="62" t="n">
        <f aca="false">IF(CS281="","",CS281*MAX(0,1-CV281/H281))</f>
        <v>11.8084319526627</v>
      </c>
      <c r="CY281" s="64" t="n">
        <f aca="false">IF(CS281="","",PERCENTRANK($CS$7:$CS$1843,CS281)+PERCENTRANK($CU$7:$CU$1843,CU281)+1-PERCENTRANK($CT$7:$CT$1843,CT281))</f>
        <v>2.153</v>
      </c>
      <c r="CZ281" s="72" t="n">
        <f aca="false">IF(CS281="","",CHOOSE(MATCH(Einkauf!$C$5,Parameter!$G$23:$G$27,0),CY281,CS281,CU281,-CT281,CW281)+ROW()/1000000000)</f>
        <v>2.153000281</v>
      </c>
    </row>
    <row r="282" customFormat="false" ht="15" hidden="false" customHeight="false" outlineLevel="0" collapsed="false">
      <c r="A282" s="60" t="s">
        <v>780</v>
      </c>
      <c r="B282" s="60" t="s">
        <v>631</v>
      </c>
      <c r="C282" s="60" t="s">
        <v>206</v>
      </c>
      <c r="D282" s="60" t="s">
        <v>226</v>
      </c>
      <c r="E282" s="60" t="s">
        <v>227</v>
      </c>
      <c r="F282" s="60" t="s">
        <v>260</v>
      </c>
      <c r="G282" s="61" t="n">
        <v>1.62</v>
      </c>
      <c r="H282" s="62" t="n">
        <f aca="false">MAX(0,IF(AND(Parameter!$B$21="Ja",ISNUMBER(Y282)),Y282,IF(Parameter!$B$20="Jahresanfang 2025 + Export",BS282+BR282,BR282)))</f>
        <v>322</v>
      </c>
      <c r="I282" s="62" t="n">
        <f aca="false">H282*G282</f>
        <v>521.64</v>
      </c>
      <c r="J282" s="62" t="n">
        <f aca="false">BU282*Parameter!$B$18</f>
        <v>309</v>
      </c>
      <c r="K282" s="63" t="n">
        <v>85</v>
      </c>
      <c r="L282" s="64" t="n">
        <v>3.63529411764706</v>
      </c>
      <c r="M282" s="62" t="n">
        <v>18</v>
      </c>
      <c r="N282" s="62" t="n">
        <v>310</v>
      </c>
      <c r="O282" s="65" t="n">
        <v>21</v>
      </c>
      <c r="P282" s="60" t="s">
        <v>443</v>
      </c>
      <c r="Q282" s="62" t="n">
        <v>175</v>
      </c>
      <c r="R282" s="65" t="n">
        <f aca="false">IF(CA282=1,0,IFERROR(VLOOKUP(BY282,'Gebinde-Kategorie'!$A$5:$N$45,13,0)+0,0))</f>
        <v>280</v>
      </c>
      <c r="S282" s="66"/>
      <c r="T282" s="67"/>
      <c r="U282" s="67"/>
      <c r="V282" s="67"/>
      <c r="W282" s="60"/>
      <c r="X282" s="62"/>
      <c r="Y282" s="62"/>
      <c r="Z282" s="60" t="n">
        <v>2</v>
      </c>
      <c r="AA282" s="60" t="n">
        <f aca="false">IF(A282="","",IF(AND(Parameter!$B$21="Ja",ISNUMBER(W282)),W282,IF(AND(Parameter!$E$27="Ja",ISNUMBER(Z282),CD282&lt;&gt;"Nein"),Z282,IF(CD282="2+3",IF(ISNUMBER(SEARCH("grosser Artikel",BV282)),2,IFERROR(VLOOKUP(BY282,Parameter!$F$35:$G$64,2,0),2)),IF(OR(CD282="Nein",CD282=""),"-",CD282)))))</f>
        <v>2</v>
      </c>
      <c r="AB282" s="67"/>
      <c r="AC282" s="68"/>
      <c r="AD282" s="62" t="n">
        <f aca="false">AW282</f>
        <v>328</v>
      </c>
      <c r="AE282" s="62" t="n">
        <f aca="false">MAX(AW282,H282)</f>
        <v>328</v>
      </c>
      <c r="AF282" s="69"/>
      <c r="AG282" s="62" t="n">
        <f aca="false">IF(LEFT(Cockpit!$C$5,1)="A",H282,IF(Parameter!$E$30="MAX-Bestand",IF(CI282=1,CJ282,IF(LEFT(Cockpit!$C$5,1)="B",AM282,MAX(AM282,H282))),ROUNDUP(AK282,0)))</f>
        <v>322</v>
      </c>
      <c r="AH282" s="62" t="n">
        <f aca="false">IF(CA282=1,0,ROUNDUP(AG282/BZ282,0))</f>
        <v>2</v>
      </c>
      <c r="AI282" s="64" t="n">
        <f aca="false">IF(CR282&gt;0,CR282*MAX(1,AG282/X282),IF(CA282=1,IF(AG282&lt;=0,0,CE282*MAX(1,IF(H282&gt;0,AG282/H282,1))),IF(R282&gt;0,AH282/R282,0))/MAX(0.1,N(Parameter!$M$21)))</f>
        <v>0.00714285714285714</v>
      </c>
      <c r="AJ282" s="62" t="n">
        <f aca="false">AI282*CC282</f>
        <v>1.10714285714286</v>
      </c>
      <c r="AK282" s="63" t="n">
        <f aca="false">IF(LEFT(Cockpit!$C$5,1)="A",H282,IF(CI282=1,(CL282+CJ282)/2,IF(LEFT(Cockpit!$C$5,1)="B",(CL282+AM282)/2,MAX((CL282+AM282)/2,H282))))</f>
        <v>322</v>
      </c>
      <c r="AL282" s="62" t="n">
        <f aca="false">AK282*G282</f>
        <v>521.64</v>
      </c>
      <c r="AM282" s="62" t="n">
        <f aca="false">ROUNDUP(CL282+MAX(CM282,2*(J282/IF(CH282&gt;0,CH282,MAX(0.1,N(Cockpit!$C$6)))-CL282)),0)</f>
        <v>328</v>
      </c>
      <c r="AN282" s="63" t="n">
        <f aca="false">IF(AJ282&gt;0,J282/AJ282,-1)</f>
        <v>279.096774193548</v>
      </c>
      <c r="AO282" s="63" t="n">
        <f aca="false">IF(AND(OR(CG282="L1",CG282="L23",CG282="LIFT"),AJ282&gt;0),SUMIFS($AJ$7:$AJ$1843,$CG$7:$CG$1843,CG282,$AN$7:$AN$1843,"&gt;"&amp;AN282)+SUMIFS($AJ$7:$AJ$1843,$CG$7:$CG$1843,CG282,$AN$7:$AN$1843,AN282,$BX$7:$BX$1843,"&lt;="&amp;BX282),"")</f>
        <v>272.570512820513</v>
      </c>
      <c r="AP282" s="70" t="n">
        <f aca="false">IF(AO282="",0,MAX(0,MIN(1,(IF(CG282="L1",Parameter!$H$5,IF(CG282="L23",Parameter!$H$6+Parameter!$H$7,Parameter!$H$5+Parameter!$H$6+Parameter!$H$7))-(AO282-AJ282))/AJ282)))</f>
        <v>1</v>
      </c>
      <c r="AQ282" s="62" t="n">
        <f aca="false">IF(LEFT(Cockpit!$I$5,1)="A",H282,IF(Parameter!$E$30="MAX-Bestand",IF(CI282=1,CJ282,IF(LEFT(Cockpit!$I$5,1)="B",AW282,MAX(AW282,H282))),ROUNDUP(AU282,0)))</f>
        <v>322</v>
      </c>
      <c r="AR282" s="62" t="n">
        <f aca="false">IF(CA282=1,0,ROUNDUP(AQ282/BZ282,0))</f>
        <v>2</v>
      </c>
      <c r="AS282" s="64" t="n">
        <f aca="false">IF(CR282&gt;0,CR282*MAX(1,AQ282/X282),IF(CA282=1,IF(AQ282&lt;=0,0,CE282*MAX(1,IF(H282&gt;0,AQ282/H282,1))),IF(R282&gt;0,AR282/R282,0))/MAX(0.1,N(Parameter!$M$21)))</f>
        <v>0.00714285714285714</v>
      </c>
      <c r="AT282" s="62" t="n">
        <f aca="false">AS282*CC282</f>
        <v>1.10714285714286</v>
      </c>
      <c r="AU282" s="63" t="n">
        <f aca="false">IF(LEFT(Cockpit!$I$5,1)="A",H282,IF(CI282=1,(CL282+CJ282)/2,IF(LEFT(Cockpit!$I$5,1)="B",(CL282+AW282)/2,MAX((CL282+AW282)/2,H282))))</f>
        <v>322</v>
      </c>
      <c r="AV282" s="62" t="n">
        <f aca="false">AU282*G282</f>
        <v>521.64</v>
      </c>
      <c r="AW282" s="62" t="n">
        <f aca="false">ROUNDUP(CL282+MAX(CM282,2*(J282/IF(CH282&gt;0,CH282,MAX(0.1,N(Cockpit!$I$6)))-CL282)),0)</f>
        <v>328</v>
      </c>
      <c r="AX282" s="63" t="n">
        <f aca="false">IF(AT282&gt;0,J282/AT282,-1)</f>
        <v>279.096774193548</v>
      </c>
      <c r="AY282" s="63" t="n">
        <f aca="false">IF(AND(OR(CG282="L1",CG282="L23",CG282="LIFT"),AT282&gt;0),SUMIFS($AT$7:$AT$1843,$CG$7:$CG$1843,CG282,$AX$7:$AX$1843,"&gt;"&amp;AX282)+SUMIFS($AT$7:$AT$1843,$CG$7:$CG$1843,CG282,$AX$7:$AX$1843,AX282,$BX$7:$BX$1843,"&lt;="&amp;BX282),"")</f>
        <v>225.632783882784</v>
      </c>
      <c r="AZ282" s="70" t="n">
        <f aca="false">IF(AY282="",0,MAX(0,MIN(1,(IF(CG282="L1",Parameter!$H$5,IF(CG282="L23",Parameter!$H$6+Parameter!$H$7,Parameter!$H$5+Parameter!$H$6+Parameter!$H$7))-(AY282-AT282))/AT282)))</f>
        <v>1</v>
      </c>
      <c r="BA282" s="62" t="n">
        <f aca="false">IF(LEFT(Cockpit!$O$5,1)="A",H282,IF(Parameter!$E$30="MAX-Bestand",IF(CI282=1,CJ282,IF(LEFT(Cockpit!$O$5,1)="B",BG282,MAX(BG282,H282))),ROUNDUP(BE282,0)))</f>
        <v>173</v>
      </c>
      <c r="BB282" s="62" t="n">
        <f aca="false">IF(CA282=1,0,ROUNDUP(BA282/BZ282,0))</f>
        <v>1</v>
      </c>
      <c r="BC282" s="64" t="n">
        <f aca="false">IF(CR282&gt;0,CR282*MAX(1,BA282/X282),IF(CA282=1,IF(BA282&lt;=0,0,CE282*MAX(1,IF(H282&gt;0,BA282/H282,1))),IF(R282&gt;0,BB282/R282,0))/MAX(0.1,N(Parameter!$M$21)))</f>
        <v>0.00357142857142857</v>
      </c>
      <c r="BD282" s="62" t="n">
        <f aca="false">BC282*CC282</f>
        <v>0.553571428571429</v>
      </c>
      <c r="BE282" s="63" t="n">
        <f aca="false">IF(LEFT(Cockpit!$O$5,1)="A",H282,IF(CI282=1,(CL282+CJ282)/2,IF(LEFT(Cockpit!$O$5,1)="B",(CL282+BG282)/2,MAX((CL282+BG282)/2,H282))))</f>
        <v>173</v>
      </c>
      <c r="BF282" s="62" t="n">
        <f aca="false">BE282*G282</f>
        <v>280.26</v>
      </c>
      <c r="BG282" s="62" t="n">
        <f aca="false">ROUNDUP(CL282+MAX(CM282,2*(J282/IF(CH282&gt;0,CH282,MAX(0.1,N(Cockpit!$O$6)))-CL282)),0)</f>
        <v>328</v>
      </c>
      <c r="BH282" s="63" t="n">
        <f aca="false">IF(BD282&gt;0,J282/BD282,-1)</f>
        <v>558.193548387097</v>
      </c>
      <c r="BI282" s="63" t="n">
        <f aca="false">IF(AND(OR(CG282="L1",CG282="L23",CG282="LIFT"),BD282&gt;0),SUMIFS($BD$7:$BD$1843,$CG$7:$CG$1843,CG282,$BH$7:$BH$1843,"&gt;"&amp;BH282)+SUMIFS($BD$7:$BD$1843,$CG$7:$CG$1843,CG282,$BH$7:$BH$1843,BH282,$BX$7:$BX$1843,"&lt;="&amp;BX282),"")</f>
        <v>65.3113553113553</v>
      </c>
      <c r="BJ282" s="70" t="n">
        <f aca="false">IF(BI282="",0,MAX(0,MIN(1,(IF(CG282="L1",Parameter!$H$5,IF(CG282="L23",Parameter!$H$6+Parameter!$H$7,Parameter!$H$5+Parameter!$H$6+Parameter!$H$7))-(BI282-BD282))/BD282)))</f>
        <v>1</v>
      </c>
      <c r="BK282" s="60" t="str">
        <f aca="false">IF(AJ282&lt;=0,"",IF(CG282="Aussen","Aussenlager",IF(CG282="-","Nicht im Lift",IF(AP282&gt;=1,"Lift",IF(AP282&lt;=0,"Aussenlager","teilweise")))))</f>
        <v>Lift</v>
      </c>
      <c r="BL282" s="60" t="str">
        <f aca="false">IF(AT282&lt;=0,"",IF(CG282="Aussen","Aussenlager",IF(CG282="-","Nicht im Lift",IF(AZ282&gt;=1,"Lift",IF(AZ282&lt;=0,"Aussenlager","teilweise")))))</f>
        <v>Lift</v>
      </c>
      <c r="BM282" s="60" t="str">
        <f aca="false">IF(BD282&lt;=0,"",IF(CG282="Aussen","Aussenlager",IF(CG282="-","Nicht im Lift",IF(BJ282&gt;=1,"Lift",IF(BJ282&lt;=0,"Aussenlager","teilweise")))))</f>
        <v>Lift</v>
      </c>
      <c r="BN282" s="60" t="str">
        <f aca="false">IF(A282="","",IF(BW282=1,"Neu; ","")&amp;IF(AND(BW282=0,BR282&lt;0),"negativer Bestand (Export "&amp;BR282&amp;"); ","")&amp;IF(J282&lt;=0,"Kein Verbrauch; ","")&amp;IF(CR282&gt;0,"Lift "&amp;W282&amp;" lt. Liftbericht (Fach "&amp;X282&amp;" Stk); ",IF(CB282=1,"Gebinde geschätzt ("&amp;T282&amp;"); ",IF(CA282=1,"Lose – Tablare geschätzt; ","")))&amp;IF(H282&gt;AW282,"Überbestand "&amp;ROUND(H282-AW282,0)&amp;" Stk / CHF "&amp;ROUND((H282-AW282)*G282,0)&amp;"; ","")&amp;IF(AND(CI282=1,CJ282&lt;CK282),"MAX &lt; MB+LG; ","")&amp;IF(AND(CQ282&gt;0,CP282*10&gt;CQ282),"zu hoch für Tablar; ","")&amp;IF(AND(BW282=0,OR(CI282=1,AB282&lt;&gt;"",U282&lt;&gt;"",V282&lt;&gt;"",AC282&lt;&gt;"")),"manuell übersteuert; ","")&amp;IF(AND(CA282=0,R282=0),"Gebinde unbekannt / Stellmass fehlt; ","")&amp;IF(AND(CA282=0,N(V282)&lt;=0,N(Q282)&lt;=0),"Menge pro Gebinde fehlt (Ist = 1 Gebinde); ","")&amp;BV282)</f>
        <v/>
      </c>
      <c r="BO282" s="60"/>
      <c r="BP282" s="60"/>
      <c r="BQ282" s="67"/>
      <c r="BR282" s="62" t="n">
        <v>224</v>
      </c>
      <c r="BS282" s="62" t="n">
        <v>98</v>
      </c>
      <c r="BT282" s="61" t="n">
        <v>345.24</v>
      </c>
      <c r="BU282" s="62" t="n">
        <v>309</v>
      </c>
      <c r="BV282" s="60"/>
      <c r="BW282" s="65" t="n">
        <v>0</v>
      </c>
      <c r="BX282" s="65" t="n">
        <v>282</v>
      </c>
      <c r="BY282" s="60" t="str">
        <f aca="false">IF(U282&lt;&gt;"",UPPER(TRIM(U282)),IF(CB282=1,UPPER(VLOOKUP(T282,Parameter!$I$27:$K$29,2,0)),IF(P282="","LOSE",P282)))</f>
        <v>S21</v>
      </c>
      <c r="BZ282" s="62" t="n">
        <f aca="false">IF(BY282="LOSE",1,IF(N(V282)&gt;0,V282,IF(CB282=1,MAX(1,N(VLOOKUP(T282,Parameter!$I$27:$K$29,3,0)),H282,N(N282)),IF(N(Q282)&gt;0,Q282,MAX(1,H282)))))</f>
        <v>175</v>
      </c>
      <c r="CA282" s="65" t="n">
        <f aca="false">IF(BY282="LOSE",1,0)</f>
        <v>0</v>
      </c>
      <c r="CB282" s="65" t="n">
        <f aca="false">IF(AND(U282="",OR(P282="",P282="LOSE"),T282&lt;&gt;"",N(S282)&lt;=0,ISNUMBER(MATCH(T282,Parameter!$I$27:$I$29,0))),1,0)</f>
        <v>0</v>
      </c>
      <c r="CC282" s="65" t="n">
        <f aca="false">IF(CR282&gt;0,INDEX(Parameter!$H$5:$H$7,W282)/INDEX(Parameter!$E$5:$E$7,W282),IF(AND(CA282=0,N(IFERROR(VLOOKUP(BY282,'Gebinde-Kategorie'!$A$5:$N$45,14,0),0))&gt;0),VLOOKUP(BY282,'Gebinde-Kategorie'!$A$5:$N$45,14,0)*10+Parameter!$M$23,Parameter!$M$24))</f>
        <v>155</v>
      </c>
      <c r="CD282" s="60" t="str">
        <f aca="false">IF(AND(Parameter!$B$19="Ja",E282&lt;&gt;"",ISNUMBER(MATCH(E282,Parameter!$I$35:$I$52,0))),VLOOKUP(E282,Parameter!$I$35:$J$52,2,0),IFERROR(VLOOKUP(D282,Parameter!$A$35:$C$64,2,0),"Nein"))</f>
        <v>2+3</v>
      </c>
      <c r="CE282" s="64" t="n">
        <f aca="false">IF(CA282=0,0,IF(N(S282)&gt;0,S282,IFERROR(VLOOKUP(D282,Parameter!$A$35:$C$64,3,0)+0,0)))</f>
        <v>0</v>
      </c>
      <c r="CF282" s="60" t="n">
        <f aca="false">IF(AB282&lt;&gt;"",AB282,AA282)</f>
        <v>2</v>
      </c>
      <c r="CG282" s="60" t="str">
        <f aca="false">IF(OR(CF282=1,CF282=2,CF282=3),IF(Parameter!$E$27="Ja","LIFT",IF(CF282=1,"L1","L23")),IF(CF282="Aussen","Aussen","-"))</f>
        <v>LIFT</v>
      </c>
      <c r="CH282" s="71" t="n">
        <f aca="false">IF(N(AC282)&gt;0,AC282,0)</f>
        <v>0</v>
      </c>
      <c r="CI282" s="65" t="n">
        <f aca="false">IF(ISNUMBER(AF282),1,0)</f>
        <v>0</v>
      </c>
      <c r="CJ282" s="62" t="n">
        <f aca="false">N(AF282)</f>
        <v>0</v>
      </c>
      <c r="CK282" s="62" t="n">
        <f aca="false">N(M282)+N(N282)</f>
        <v>328</v>
      </c>
      <c r="CL282" s="62" t="n">
        <f aca="false">N(M282)</f>
        <v>18</v>
      </c>
      <c r="CM282" s="62" t="n">
        <f aca="false">N(N282)</f>
        <v>310</v>
      </c>
      <c r="CN282" s="62" t="n">
        <f aca="false">ROUNDUP(H282/BZ282,0)</f>
        <v>2</v>
      </c>
      <c r="CO282" s="62" t="n">
        <f aca="false">ROUNDUP(CJ282/BZ282,0)</f>
        <v>0</v>
      </c>
      <c r="CP282" s="65" t="n">
        <f aca="false">IF(CA282=1,0,IFERROR(VLOOKUP(BY282,'Gebinde-Kategorie'!$A$5:$N$45,5,0)+0,0))</f>
        <v>8</v>
      </c>
      <c r="CQ282" s="65" t="n">
        <f aca="false">IFERROR(IF(OR(CF282=1,CF282=2,CF282=3),N(INDEX(Parameter!$I$5:$I$7,CF282)),0),0)</f>
        <v>0</v>
      </c>
      <c r="CR282" s="64" t="n">
        <f aca="false">IF(AND(Parameter!$B$21="Ja",ISNUMBER(W282),N(X282)&gt;0),IFERROR(N(INDEX(Parameter!$L$5:$L$7,W282))*INDEX(Parameter!$E$5:$E$7,W282)*X282/SUMIFS($X$7:$X$1843,$W$7:$W$1843,W282),0),0)</f>
        <v>0</v>
      </c>
      <c r="CS282" s="62" t="n">
        <f aca="false">IF(AND(OR(CG282="L1",CG282="L23",CG282="LIFT"),H282&gt;0),CC282*IF(CR282&gt;0,CR282*MAX(1,H282/X282),IF(CA282=1,CE282,IF(R282&gt;0,CN282/R282,0))/MAX(0.1,N(Parameter!$M$21))),"")</f>
        <v>1.10714285714286</v>
      </c>
      <c r="CT282" s="64" t="n">
        <f aca="false">IF(CS282="","",J282/H282)</f>
        <v>0.959627329192547</v>
      </c>
      <c r="CU282" s="62" t="n">
        <f aca="false">IF(CS282="","",H282*G282)</f>
        <v>521.64</v>
      </c>
      <c r="CV282" s="63" t="n">
        <f aca="false">IF(CS282="","",(CL282+ROUNDUP(CL282+MAX(CM282,2*(J282/MAX(0.1,N(Einkauf!$C$6))-CL282)),0))/2)</f>
        <v>173</v>
      </c>
      <c r="CW282" s="62" t="n">
        <f aca="false">IF(CS282="","",MAX(0,H282-CV282)*G282)</f>
        <v>241.38</v>
      </c>
      <c r="CX282" s="62" t="n">
        <f aca="false">IF(CS282="","",CS282*MAX(0,1-CV282/H282))</f>
        <v>0.512311446317658</v>
      </c>
      <c r="CY282" s="64" t="n">
        <f aca="false">IF(CS282="","",PERCENTRANK($CS$7:$CS$1843,CS282)+PERCENTRANK($CU$7:$CU$1843,CU282)+1-PERCENTRANK($CT$7:$CT$1843,CT282))</f>
        <v>0.9514</v>
      </c>
      <c r="CZ282" s="72" t="n">
        <f aca="false">IF(CS282="","",CHOOSE(MATCH(Einkauf!$C$5,Parameter!$G$23:$G$27,0),CY282,CS282,CU282,-CT282,CW282)+ROW()/1000000000)</f>
        <v>0.951400282</v>
      </c>
    </row>
    <row r="283" customFormat="false" ht="15" hidden="false" customHeight="false" outlineLevel="0" collapsed="false">
      <c r="A283" s="60" t="s">
        <v>781</v>
      </c>
      <c r="B283" s="60" t="s">
        <v>782</v>
      </c>
      <c r="C283" s="60" t="s">
        <v>206</v>
      </c>
      <c r="D283" s="60" t="s">
        <v>226</v>
      </c>
      <c r="E283" s="60"/>
      <c r="F283" s="60" t="s">
        <v>260</v>
      </c>
      <c r="G283" s="61" t="n">
        <v>22.11</v>
      </c>
      <c r="H283" s="62" t="n">
        <f aca="false">MAX(0,IF(AND(Parameter!$B$21="Ja",ISNUMBER(Y283)),Y283,IF(Parameter!$B$20="Jahresanfang 2025 + Export",BS283+BR283,BR283)))</f>
        <v>57</v>
      </c>
      <c r="I283" s="62" t="n">
        <f aca="false">H283*G283</f>
        <v>1260.27</v>
      </c>
      <c r="J283" s="62" t="n">
        <f aca="false">BU283*Parameter!$B$18</f>
        <v>152</v>
      </c>
      <c r="K283" s="63" t="n">
        <v>57</v>
      </c>
      <c r="L283" s="64" t="n">
        <v>2.66666666666667</v>
      </c>
      <c r="M283" s="62" t="n">
        <v>15</v>
      </c>
      <c r="N283" s="62" t="n">
        <v>24</v>
      </c>
      <c r="O283" s="65" t="n">
        <v>28</v>
      </c>
      <c r="P283" s="60" t="s">
        <v>228</v>
      </c>
      <c r="Q283" s="62" t="n">
        <v>80</v>
      </c>
      <c r="R283" s="65" t="n">
        <f aca="false">IF(CA283=1,0,IFERROR(VLOOKUP(BY283,'Gebinde-Kategorie'!$A$5:$N$45,13,0)+0,0))</f>
        <v>12</v>
      </c>
      <c r="S283" s="66"/>
      <c r="T283" s="67"/>
      <c r="U283" s="67"/>
      <c r="V283" s="67"/>
      <c r="W283" s="60"/>
      <c r="X283" s="62"/>
      <c r="Y283" s="62"/>
      <c r="Z283" s="60" t="n">
        <v>3</v>
      </c>
      <c r="AA283" s="60" t="n">
        <f aca="false">IF(A283="","",IF(AND(Parameter!$B$21="Ja",ISNUMBER(W283)),W283,IF(AND(Parameter!$E$27="Ja",ISNUMBER(Z283),CD283&lt;&gt;"Nein"),Z283,IF(CD283="2+3",IF(ISNUMBER(SEARCH("grosser Artikel",BV283)),2,IFERROR(VLOOKUP(BY283,Parameter!$F$35:$G$64,2,0),2)),IF(OR(CD283="Nein",CD283=""),"-",CD283)))))</f>
        <v>3</v>
      </c>
      <c r="AB283" s="67"/>
      <c r="AC283" s="68"/>
      <c r="AD283" s="62" t="n">
        <f aca="false">AW283</f>
        <v>87</v>
      </c>
      <c r="AE283" s="62" t="n">
        <f aca="false">MAX(AW283,H283)</f>
        <v>87</v>
      </c>
      <c r="AF283" s="69"/>
      <c r="AG283" s="62" t="n">
        <f aca="false">IF(LEFT(Cockpit!$C$5,1)="A",H283,IF(Parameter!$E$30="MAX-Bestand",IF(CI283=1,CJ283,IF(LEFT(Cockpit!$C$5,1)="B",AM283,MAX(AM283,H283))),ROUNDUP(AK283,0)))</f>
        <v>57</v>
      </c>
      <c r="AH283" s="62" t="n">
        <f aca="false">IF(CA283=1,0,ROUNDUP(AG283/BZ283,0))</f>
        <v>1</v>
      </c>
      <c r="AI283" s="64" t="n">
        <f aca="false">IF(CR283&gt;0,CR283*MAX(1,AG283/X283),IF(CA283=1,IF(AG283&lt;=0,0,CE283*MAX(1,IF(H283&gt;0,AG283/H283,1))),IF(R283&gt;0,AH283/R283,0))/MAX(0.1,N(Parameter!$M$21)))</f>
        <v>0.0833333333333333</v>
      </c>
      <c r="AJ283" s="62" t="n">
        <f aca="false">AI283*CC283</f>
        <v>12.0833333333333</v>
      </c>
      <c r="AK283" s="63" t="n">
        <f aca="false">IF(LEFT(Cockpit!$C$5,1)="A",H283,IF(CI283=1,(CL283+CJ283)/2,IF(LEFT(Cockpit!$C$5,1)="B",(CL283+AM283)/2,MAX((CL283+AM283)/2,H283))))</f>
        <v>57</v>
      </c>
      <c r="AL283" s="62" t="n">
        <f aca="false">AK283*G283</f>
        <v>1260.27</v>
      </c>
      <c r="AM283" s="62" t="n">
        <f aca="false">ROUNDUP(CL283+MAX(CM283,2*(J283/IF(CH283&gt;0,CH283,MAX(0.1,N(Cockpit!$C$6)))-CL283)),0)</f>
        <v>87</v>
      </c>
      <c r="AN283" s="63" t="n">
        <f aca="false">IF(AJ283&gt;0,J283/AJ283,-1)</f>
        <v>12.5793103448276</v>
      </c>
      <c r="AO283" s="63" t="n">
        <f aca="false">IF(AND(OR(CG283="L1",CG283="L23",CG283="LIFT"),AJ283&gt;0),SUMIFS($AJ$7:$AJ$1843,$CG$7:$CG$1843,CG283,$AN$7:$AN$1843,"&gt;"&amp;AN283)+SUMIFS($AJ$7:$AJ$1843,$CG$7:$CG$1843,CG283,$AN$7:$AN$1843,AN283,$BX$7:$BX$1843,"&lt;="&amp;BX283),"")</f>
        <v>2438.38095238095</v>
      </c>
      <c r="AP283" s="70" t="n">
        <f aca="false">IF(AO283="",0,MAX(0,MIN(1,(IF(CG283="L1",Parameter!$H$5,IF(CG283="L23",Parameter!$H$6+Parameter!$H$7,Parameter!$H$5+Parameter!$H$6+Parameter!$H$7))-(AO283-AJ283))/AJ283)))</f>
        <v>1</v>
      </c>
      <c r="AQ283" s="62" t="n">
        <f aca="false">IF(LEFT(Cockpit!$I$5,1)="A",H283,IF(Parameter!$E$30="MAX-Bestand",IF(CI283=1,CJ283,IF(LEFT(Cockpit!$I$5,1)="B",AW283,MAX(AW283,H283))),ROUNDUP(AU283,0)))</f>
        <v>57</v>
      </c>
      <c r="AR283" s="62" t="n">
        <f aca="false">IF(CA283=1,0,ROUNDUP(AQ283/BZ283,0))</f>
        <v>1</v>
      </c>
      <c r="AS283" s="64" t="n">
        <f aca="false">IF(CR283&gt;0,CR283*MAX(1,AQ283/X283),IF(CA283=1,IF(AQ283&lt;=0,0,CE283*MAX(1,IF(H283&gt;0,AQ283/H283,1))),IF(R283&gt;0,AR283/R283,0))/MAX(0.1,N(Parameter!$M$21)))</f>
        <v>0.0833333333333333</v>
      </c>
      <c r="AT283" s="62" t="n">
        <f aca="false">AS283*CC283</f>
        <v>12.0833333333333</v>
      </c>
      <c r="AU283" s="63" t="n">
        <f aca="false">IF(LEFT(Cockpit!$I$5,1)="A",H283,IF(CI283=1,(CL283+CJ283)/2,IF(LEFT(Cockpit!$I$5,1)="B",(CL283+AW283)/2,MAX((CL283+AW283)/2,H283))))</f>
        <v>57</v>
      </c>
      <c r="AV283" s="62" t="n">
        <f aca="false">AU283*G283</f>
        <v>1260.27</v>
      </c>
      <c r="AW283" s="62" t="n">
        <f aca="false">ROUNDUP(CL283+MAX(CM283,2*(J283/IF(CH283&gt;0,CH283,MAX(0.1,N(Cockpit!$I$6)))-CL283)),0)</f>
        <v>87</v>
      </c>
      <c r="AX283" s="63" t="n">
        <f aca="false">IF(AT283&gt;0,J283/AT283,-1)</f>
        <v>12.5793103448276</v>
      </c>
      <c r="AY283" s="63" t="n">
        <f aca="false">IF(AND(OR(CG283="L1",CG283="L23",CG283="LIFT"),AT283&gt;0),SUMIFS($AT$7:$AT$1843,$CG$7:$CG$1843,CG283,$AX$7:$AX$1843,"&gt;"&amp;AX283)+SUMIFS($AT$7:$AT$1843,$CG$7:$CG$1843,CG283,$AX$7:$AX$1843,AX283,$BX$7:$BX$1843,"&lt;="&amp;BX283),"")</f>
        <v>3027.76007326007</v>
      </c>
      <c r="AZ283" s="70" t="n">
        <f aca="false">IF(AY283="",0,MAX(0,MIN(1,(IF(CG283="L1",Parameter!$H$5,IF(CG283="L23",Parameter!$H$6+Parameter!$H$7,Parameter!$H$5+Parameter!$H$6+Parameter!$H$7))-(AY283-AT283))/AT283)))</f>
        <v>1</v>
      </c>
      <c r="BA283" s="62" t="n">
        <f aca="false">IF(LEFT(Cockpit!$O$5,1)="A",H283,IF(Parameter!$E$30="MAX-Bestand",IF(CI283=1,CJ283,IF(LEFT(Cockpit!$O$5,1)="B",BG283,MAX(BG283,H283))),ROUNDUP(BE283,0)))</f>
        <v>38</v>
      </c>
      <c r="BB283" s="62" t="n">
        <f aca="false">IF(CA283=1,0,ROUNDUP(BA283/BZ283,0))</f>
        <v>1</v>
      </c>
      <c r="BC283" s="64" t="n">
        <f aca="false">IF(CR283&gt;0,CR283*MAX(1,BA283/X283),IF(CA283=1,IF(BA283&lt;=0,0,CE283*MAX(1,IF(H283&gt;0,BA283/H283,1))),IF(R283&gt;0,BB283/R283,0))/MAX(0.1,N(Parameter!$M$21)))</f>
        <v>0.0833333333333333</v>
      </c>
      <c r="BD283" s="62" t="n">
        <f aca="false">BC283*CC283</f>
        <v>12.0833333333333</v>
      </c>
      <c r="BE283" s="63" t="n">
        <f aca="false">IF(LEFT(Cockpit!$O$5,1)="A",H283,IF(CI283=1,(CL283+CJ283)/2,IF(LEFT(Cockpit!$O$5,1)="B",(CL283+BG283)/2,MAX((CL283+BG283)/2,H283))))</f>
        <v>38</v>
      </c>
      <c r="BF283" s="62" t="n">
        <f aca="false">BE283*G283</f>
        <v>840.18</v>
      </c>
      <c r="BG283" s="62" t="n">
        <f aca="false">ROUNDUP(CL283+MAX(CM283,2*(J283/IF(CH283&gt;0,CH283,MAX(0.1,N(Cockpit!$O$6)))-CL283)),0)</f>
        <v>61</v>
      </c>
      <c r="BH283" s="63" t="n">
        <f aca="false">IF(BD283&gt;0,J283/BD283,-1)</f>
        <v>12.5793103448276</v>
      </c>
      <c r="BI283" s="63" t="n">
        <f aca="false">IF(AND(OR(CG283="L1",CG283="L23",CG283="LIFT"),BD283&gt;0),SUMIFS($BD$7:$BD$1843,$CG$7:$CG$1843,CG283,$BH$7:$BH$1843,"&gt;"&amp;BH283)+SUMIFS($BD$7:$BD$1843,$CG$7:$CG$1843,CG283,$BH$7:$BH$1843,BH283,$BX$7:$BX$1843,"&lt;="&amp;BX283),"")</f>
        <v>2544.74542124542</v>
      </c>
      <c r="BJ283" s="70" t="n">
        <f aca="false">IF(BI283="",0,MAX(0,MIN(1,(IF(CG283="L1",Parameter!$H$5,IF(CG283="L23",Parameter!$H$6+Parameter!$H$7,Parameter!$H$5+Parameter!$H$6+Parameter!$H$7))-(BI283-BD283))/BD283)))</f>
        <v>1</v>
      </c>
      <c r="BK283" s="60" t="str">
        <f aca="false">IF(AJ283&lt;=0,"",IF(CG283="Aussen","Aussenlager",IF(CG283="-","Nicht im Lift",IF(AP283&gt;=1,"Lift",IF(AP283&lt;=0,"Aussenlager","teilweise")))))</f>
        <v>Lift</v>
      </c>
      <c r="BL283" s="60" t="str">
        <f aca="false">IF(AT283&lt;=0,"",IF(CG283="Aussen","Aussenlager",IF(CG283="-","Nicht im Lift",IF(AZ283&gt;=1,"Lift",IF(AZ283&lt;=0,"Aussenlager","teilweise")))))</f>
        <v>Lift</v>
      </c>
      <c r="BM283" s="60" t="str">
        <f aca="false">IF(BD283&lt;=0,"",IF(CG283="Aussen","Aussenlager",IF(CG283="-","Nicht im Lift",IF(BJ283&gt;=1,"Lift",IF(BJ283&lt;=0,"Aussenlager","teilweise")))))</f>
        <v>Lift</v>
      </c>
      <c r="BN283" s="60" t="str">
        <f aca="false">IF(A283="","",IF(BW283=1,"Neu; ","")&amp;IF(AND(BW283=0,BR283&lt;0),"negativer Bestand (Export "&amp;BR283&amp;"); ","")&amp;IF(J283&lt;=0,"Kein Verbrauch; ","")&amp;IF(CR283&gt;0,"Lift "&amp;W283&amp;" lt. Liftbericht (Fach "&amp;X283&amp;" Stk); ",IF(CB283=1,"Gebinde geschätzt ("&amp;T283&amp;"); ",IF(CA283=1,"Lose – Tablare geschätzt; ","")))&amp;IF(H283&gt;AW283,"Überbestand "&amp;ROUND(H283-AW283,0)&amp;" Stk / CHF "&amp;ROUND((H283-AW283)*G283,0)&amp;"; ","")&amp;IF(AND(CI283=1,CJ283&lt;CK283),"MAX &lt; MB+LG; ","")&amp;IF(AND(CQ283&gt;0,CP283*10&gt;CQ283),"zu hoch für Tablar; ","")&amp;IF(AND(BW283=0,OR(CI283=1,AB283&lt;&gt;"",U283&lt;&gt;"",V283&lt;&gt;"",AC283&lt;&gt;"")),"manuell übersteuert; ","")&amp;IF(AND(CA283=0,R283=0),"Gebinde unbekannt / Stellmass fehlt; ","")&amp;IF(AND(CA283=0,N(V283)&lt;=0,N(Q283)&lt;=0),"Menge pro Gebinde fehlt (Ist = 1 Gebinde); ","")&amp;BV283)</f>
        <v/>
      </c>
      <c r="BO283" s="60"/>
      <c r="BP283" s="60"/>
      <c r="BQ283" s="67"/>
      <c r="BR283" s="62" t="n">
        <v>19</v>
      </c>
      <c r="BS283" s="62" t="n">
        <v>38</v>
      </c>
      <c r="BT283" s="61" t="n">
        <v>339.15</v>
      </c>
      <c r="BU283" s="62" t="n">
        <v>152</v>
      </c>
      <c r="BV283" s="60"/>
      <c r="BW283" s="65" t="n">
        <v>0</v>
      </c>
      <c r="BX283" s="65" t="n">
        <v>283</v>
      </c>
      <c r="BY283" s="60" t="str">
        <f aca="false">IF(U283&lt;&gt;"",UPPER(TRIM(U283)),IF(CB283=1,UPPER(VLOOKUP(T283,Parameter!$I$27:$K$29,2,0)),IF(P283="","LOSE",P283)))</f>
        <v>S61</v>
      </c>
      <c r="BZ283" s="62" t="n">
        <f aca="false">IF(BY283="LOSE",1,IF(N(V283)&gt;0,V283,IF(CB283=1,MAX(1,N(VLOOKUP(T283,Parameter!$I$27:$K$29,3,0)),H283,N(N283)),IF(N(Q283)&gt;0,Q283,MAX(1,H283)))))</f>
        <v>80</v>
      </c>
      <c r="CA283" s="65" t="n">
        <f aca="false">IF(BY283="LOSE",1,0)</f>
        <v>0</v>
      </c>
      <c r="CB283" s="65" t="n">
        <f aca="false">IF(AND(U283="",OR(P283="",P283="LOSE"),T283&lt;&gt;"",N(S283)&lt;=0,ISNUMBER(MATCH(T283,Parameter!$I$27:$I$29,0))),1,0)</f>
        <v>0</v>
      </c>
      <c r="CC283" s="65" t="n">
        <f aca="false">IF(CR283&gt;0,INDEX(Parameter!$H$5:$H$7,W283)/INDEX(Parameter!$E$5:$E$7,W283),IF(AND(CA283=0,N(IFERROR(VLOOKUP(BY283,'Gebinde-Kategorie'!$A$5:$N$45,14,0),0))&gt;0),VLOOKUP(BY283,'Gebinde-Kategorie'!$A$5:$N$45,14,0)*10+Parameter!$M$23,Parameter!$M$24))</f>
        <v>145</v>
      </c>
      <c r="CD283" s="60" t="str">
        <f aca="false">IF(AND(Parameter!$B$19="Ja",E283&lt;&gt;"",ISNUMBER(MATCH(E283,Parameter!$I$35:$I$52,0))),VLOOKUP(E283,Parameter!$I$35:$J$52,2,0),IFERROR(VLOOKUP(D283,Parameter!$A$35:$C$64,2,0),"Nein"))</f>
        <v>2+3</v>
      </c>
      <c r="CE283" s="64" t="n">
        <f aca="false">IF(CA283=0,0,IF(N(S283)&gt;0,S283,IFERROR(VLOOKUP(D283,Parameter!$A$35:$C$64,3,0)+0,0)))</f>
        <v>0</v>
      </c>
      <c r="CF283" s="60" t="n">
        <f aca="false">IF(AB283&lt;&gt;"",AB283,AA283)</f>
        <v>3</v>
      </c>
      <c r="CG283" s="60" t="str">
        <f aca="false">IF(OR(CF283=1,CF283=2,CF283=3),IF(Parameter!$E$27="Ja","LIFT",IF(CF283=1,"L1","L23")),IF(CF283="Aussen","Aussen","-"))</f>
        <v>LIFT</v>
      </c>
      <c r="CH283" s="71" t="n">
        <f aca="false">IF(N(AC283)&gt;0,AC283,0)</f>
        <v>0</v>
      </c>
      <c r="CI283" s="65" t="n">
        <f aca="false">IF(ISNUMBER(AF283),1,0)</f>
        <v>0</v>
      </c>
      <c r="CJ283" s="62" t="n">
        <f aca="false">N(AF283)</f>
        <v>0</v>
      </c>
      <c r="CK283" s="62" t="n">
        <f aca="false">N(M283)+N(N283)</f>
        <v>39</v>
      </c>
      <c r="CL283" s="62" t="n">
        <f aca="false">N(M283)</f>
        <v>15</v>
      </c>
      <c r="CM283" s="62" t="n">
        <f aca="false">N(N283)</f>
        <v>24</v>
      </c>
      <c r="CN283" s="62" t="n">
        <f aca="false">ROUNDUP(H283/BZ283,0)</f>
        <v>1</v>
      </c>
      <c r="CO283" s="62" t="n">
        <f aca="false">ROUNDUP(CJ283/BZ283,0)</f>
        <v>0</v>
      </c>
      <c r="CP283" s="65" t="n">
        <f aca="false">IF(CA283=1,0,IFERROR(VLOOKUP(BY283,'Gebinde-Kategorie'!$A$5:$N$45,5,0)+0,0))</f>
        <v>11</v>
      </c>
      <c r="CQ283" s="65" t="n">
        <f aca="false">IFERROR(IF(OR(CF283=1,CF283=2,CF283=3),N(INDEX(Parameter!$I$5:$I$7,CF283)),0),0)</f>
        <v>0</v>
      </c>
      <c r="CR283" s="64" t="n">
        <f aca="false">IF(AND(Parameter!$B$21="Ja",ISNUMBER(W283),N(X283)&gt;0),IFERROR(N(INDEX(Parameter!$L$5:$L$7,W283))*INDEX(Parameter!$E$5:$E$7,W283)*X283/SUMIFS($X$7:$X$1843,$W$7:$W$1843,W283),0),0)</f>
        <v>0</v>
      </c>
      <c r="CS283" s="62" t="n">
        <f aca="false">IF(AND(OR(CG283="L1",CG283="L23",CG283="LIFT"),H283&gt;0),CC283*IF(CR283&gt;0,CR283*MAX(1,H283/X283),IF(CA283=1,CE283,IF(R283&gt;0,CN283/R283,0))/MAX(0.1,N(Parameter!$M$21))),"")</f>
        <v>12.0833333333333</v>
      </c>
      <c r="CT283" s="64" t="n">
        <f aca="false">IF(CS283="","",J283/H283)</f>
        <v>2.66666666666667</v>
      </c>
      <c r="CU283" s="62" t="n">
        <f aca="false">IF(CS283="","",H283*G283)</f>
        <v>1260.27</v>
      </c>
      <c r="CV283" s="63" t="n">
        <f aca="false">IF(CS283="","",(CL283+ROUNDUP(CL283+MAX(CM283,2*(J283/MAX(0.1,N(Einkauf!$C$6))-CL283)),0))/2)</f>
        <v>38</v>
      </c>
      <c r="CW283" s="62" t="n">
        <f aca="false">IF(CS283="","",MAX(0,H283-CV283)*G283)</f>
        <v>420.09</v>
      </c>
      <c r="CX283" s="62" t="n">
        <f aca="false">IF(CS283="","",CS283*MAX(0,1-CV283/H283))</f>
        <v>4.02777777777778</v>
      </c>
      <c r="CY283" s="64" t="n">
        <f aca="false">IF(CS283="","",PERCENTRANK($CS$7:$CS$1843,CS283)+PERCENTRANK($CU$7:$CU$1843,CU283)+1-PERCENTRANK($CT$7:$CT$1843,CT283))</f>
        <v>1.48</v>
      </c>
      <c r="CZ283" s="72" t="n">
        <f aca="false">IF(CS283="","",CHOOSE(MATCH(Einkauf!$C$5,Parameter!$G$23:$G$27,0),CY283,CS283,CU283,-CT283,CW283)+ROW()/1000000000)</f>
        <v>1.480000283</v>
      </c>
    </row>
    <row r="284" customFormat="false" ht="15" hidden="false" customHeight="false" outlineLevel="0" collapsed="false">
      <c r="A284" s="60" t="s">
        <v>783</v>
      </c>
      <c r="B284" s="60" t="s">
        <v>510</v>
      </c>
      <c r="C284" s="60" t="s">
        <v>206</v>
      </c>
      <c r="D284" s="60" t="s">
        <v>226</v>
      </c>
      <c r="E284" s="60" t="s">
        <v>227</v>
      </c>
      <c r="F284" s="60" t="s">
        <v>260</v>
      </c>
      <c r="G284" s="61" t="n">
        <v>0.53</v>
      </c>
      <c r="H284" s="62" t="n">
        <f aca="false">MAX(0,IF(AND(Parameter!$B$21="Ja",ISNUMBER(Y284)),Y284,IF(Parameter!$B$20="Jahresanfang 2025 + Export",BS284+BR284,BR284)))</f>
        <v>981</v>
      </c>
      <c r="I284" s="62" t="n">
        <f aca="false">H284*G284</f>
        <v>519.93</v>
      </c>
      <c r="J284" s="62" t="n">
        <f aca="false">BU284*Parameter!$B$18</f>
        <v>1116</v>
      </c>
      <c r="K284" s="63" t="n">
        <v>450</v>
      </c>
      <c r="L284" s="64" t="n">
        <v>2.48</v>
      </c>
      <c r="M284" s="62" t="n">
        <v>43</v>
      </c>
      <c r="N284" s="62" t="n">
        <v>1115</v>
      </c>
      <c r="O284" s="65" t="n">
        <v>14</v>
      </c>
      <c r="P284" s="60" t="s">
        <v>370</v>
      </c>
      <c r="Q284" s="62" t="n">
        <v>470</v>
      </c>
      <c r="R284" s="65" t="n">
        <f aca="false">IF(CA284=1,0,IFERROR(VLOOKUP(BY284,'Gebinde-Kategorie'!$A$5:$N$45,13,0)+0,0))</f>
        <v>52</v>
      </c>
      <c r="S284" s="66"/>
      <c r="T284" s="67"/>
      <c r="U284" s="67"/>
      <c r="V284" s="67"/>
      <c r="W284" s="60"/>
      <c r="X284" s="62"/>
      <c r="Y284" s="62"/>
      <c r="Z284" s="60" t="n">
        <v>3</v>
      </c>
      <c r="AA284" s="60" t="n">
        <f aca="false">IF(A284="","",IF(AND(Parameter!$B$21="Ja",ISNUMBER(W284)),W284,IF(AND(Parameter!$E$27="Ja",ISNUMBER(Z284),CD284&lt;&gt;"Nein"),Z284,IF(CD284="2+3",IF(ISNUMBER(SEARCH("grosser Artikel",BV284)),2,IFERROR(VLOOKUP(BY284,Parameter!$F$35:$G$64,2,0),2)),IF(OR(CD284="Nein",CD284=""),"-",CD284)))))</f>
        <v>3</v>
      </c>
      <c r="AB284" s="67"/>
      <c r="AC284" s="68"/>
      <c r="AD284" s="62" t="n">
        <f aca="false">AW284</f>
        <v>1158</v>
      </c>
      <c r="AE284" s="62" t="n">
        <f aca="false">MAX(AW284,H284)</f>
        <v>1158</v>
      </c>
      <c r="AF284" s="69"/>
      <c r="AG284" s="62" t="n">
        <f aca="false">IF(LEFT(Cockpit!$C$5,1)="A",H284,IF(Parameter!$E$30="MAX-Bestand",IF(CI284=1,CJ284,IF(LEFT(Cockpit!$C$5,1)="B",AM284,MAX(AM284,H284))),ROUNDUP(AK284,0)))</f>
        <v>981</v>
      </c>
      <c r="AH284" s="62" t="n">
        <f aca="false">IF(CA284=1,0,ROUNDUP(AG284/BZ284,0))</f>
        <v>3</v>
      </c>
      <c r="AI284" s="64" t="n">
        <f aca="false">IF(CR284&gt;0,CR284*MAX(1,AG284/X284),IF(CA284=1,IF(AG284&lt;=0,0,CE284*MAX(1,IF(H284&gt;0,AG284/H284,1))),IF(R284&gt;0,AH284/R284,0))/MAX(0.1,N(Parameter!$M$21)))</f>
        <v>0.0576923076923077</v>
      </c>
      <c r="AJ284" s="62" t="n">
        <f aca="false">AI284*CC284</f>
        <v>8.94230769230769</v>
      </c>
      <c r="AK284" s="63" t="n">
        <f aca="false">IF(LEFT(Cockpit!$C$5,1)="A",H284,IF(CI284=1,(CL284+CJ284)/2,IF(LEFT(Cockpit!$C$5,1)="B",(CL284+AM284)/2,MAX((CL284+AM284)/2,H284))))</f>
        <v>981</v>
      </c>
      <c r="AL284" s="62" t="n">
        <f aca="false">AK284*G284</f>
        <v>519.93</v>
      </c>
      <c r="AM284" s="62" t="n">
        <f aca="false">ROUNDUP(CL284+MAX(CM284,2*(J284/IF(CH284&gt;0,CH284,MAX(0.1,N(Cockpit!$C$6)))-CL284)),0)</f>
        <v>1158</v>
      </c>
      <c r="AN284" s="63" t="n">
        <f aca="false">IF(AJ284&gt;0,J284/AJ284,-1)</f>
        <v>124.8</v>
      </c>
      <c r="AO284" s="63" t="n">
        <f aca="false">IF(AND(OR(CG284="L1",CG284="L23",CG284="LIFT"),AJ284&gt;0),SUMIFS($AJ$7:$AJ$1843,$CG$7:$CG$1843,CG284,$AN$7:$AN$1843,"&gt;"&amp;AN284)+SUMIFS($AJ$7:$AJ$1843,$CG$7:$CG$1843,CG284,$AN$7:$AN$1843,AN284,$BX$7:$BX$1843,"&lt;="&amp;BX284),"")</f>
        <v>659.375457875458</v>
      </c>
      <c r="AP284" s="70" t="n">
        <f aca="false">IF(AO284="",0,MAX(0,MIN(1,(IF(CG284="L1",Parameter!$H$5,IF(CG284="L23",Parameter!$H$6+Parameter!$H$7,Parameter!$H$5+Parameter!$H$6+Parameter!$H$7))-(AO284-AJ284))/AJ284)))</f>
        <v>1</v>
      </c>
      <c r="AQ284" s="62" t="n">
        <f aca="false">IF(LEFT(Cockpit!$I$5,1)="A",H284,IF(Parameter!$E$30="MAX-Bestand",IF(CI284=1,CJ284,IF(LEFT(Cockpit!$I$5,1)="B",AW284,MAX(AW284,H284))),ROUNDUP(AU284,0)))</f>
        <v>981</v>
      </c>
      <c r="AR284" s="62" t="n">
        <f aca="false">IF(CA284=1,0,ROUNDUP(AQ284/BZ284,0))</f>
        <v>3</v>
      </c>
      <c r="AS284" s="64" t="n">
        <f aca="false">IF(CR284&gt;0,CR284*MAX(1,AQ284/X284),IF(CA284=1,IF(AQ284&lt;=0,0,CE284*MAX(1,IF(H284&gt;0,AQ284/H284,1))),IF(R284&gt;0,AR284/R284,0))/MAX(0.1,N(Parameter!$M$21)))</f>
        <v>0.0576923076923077</v>
      </c>
      <c r="AT284" s="62" t="n">
        <f aca="false">AS284*CC284</f>
        <v>8.94230769230769</v>
      </c>
      <c r="AU284" s="63" t="n">
        <f aca="false">IF(LEFT(Cockpit!$I$5,1)="A",H284,IF(CI284=1,(CL284+CJ284)/2,IF(LEFT(Cockpit!$I$5,1)="B",(CL284+AW284)/2,MAX((CL284+AW284)/2,H284))))</f>
        <v>981</v>
      </c>
      <c r="AV284" s="62" t="n">
        <f aca="false">AU284*G284</f>
        <v>519.93</v>
      </c>
      <c r="AW284" s="62" t="n">
        <f aca="false">ROUNDUP(CL284+MAX(CM284,2*(J284/IF(CH284&gt;0,CH284,MAX(0.1,N(Cockpit!$I$6)))-CL284)),0)</f>
        <v>1158</v>
      </c>
      <c r="AX284" s="63" t="n">
        <f aca="false">IF(AT284&gt;0,J284/AT284,-1)</f>
        <v>124.8</v>
      </c>
      <c r="AY284" s="63" t="n">
        <f aca="false">IF(AND(OR(CG284="L1",CG284="L23",CG284="LIFT"),AT284&gt;0),SUMIFS($AT$7:$AT$1843,$CG$7:$CG$1843,CG284,$AX$7:$AX$1843,"&gt;"&amp;AX284)+SUMIFS($AT$7:$AT$1843,$CG$7:$CG$1843,CG284,$AX$7:$AX$1843,AX284,$BX$7:$BX$1843,"&lt;="&amp;BX284),"")</f>
        <v>772.157967032967</v>
      </c>
      <c r="AZ284" s="70" t="n">
        <f aca="false">IF(AY284="",0,MAX(0,MIN(1,(IF(CG284="L1",Parameter!$H$5,IF(CG284="L23",Parameter!$H$6+Parameter!$H$7,Parameter!$H$5+Parameter!$H$6+Parameter!$H$7))-(AY284-AT284))/AT284)))</f>
        <v>1</v>
      </c>
      <c r="BA284" s="62" t="n">
        <f aca="false">IF(LEFT(Cockpit!$O$5,1)="A",H284,IF(Parameter!$E$30="MAX-Bestand",IF(CI284=1,CJ284,IF(LEFT(Cockpit!$O$5,1)="B",BG284,MAX(BG284,H284))),ROUNDUP(BE284,0)))</f>
        <v>601</v>
      </c>
      <c r="BB284" s="62" t="n">
        <f aca="false">IF(CA284=1,0,ROUNDUP(BA284/BZ284,0))</f>
        <v>2</v>
      </c>
      <c r="BC284" s="64" t="n">
        <f aca="false">IF(CR284&gt;0,CR284*MAX(1,BA284/X284),IF(CA284=1,IF(BA284&lt;=0,0,CE284*MAX(1,IF(H284&gt;0,BA284/H284,1))),IF(R284&gt;0,BB284/R284,0))/MAX(0.1,N(Parameter!$M$21)))</f>
        <v>0.0384615384615385</v>
      </c>
      <c r="BD284" s="62" t="n">
        <f aca="false">BC284*CC284</f>
        <v>5.96153846153846</v>
      </c>
      <c r="BE284" s="63" t="n">
        <f aca="false">IF(LEFT(Cockpit!$O$5,1)="A",H284,IF(CI284=1,(CL284+CJ284)/2,IF(LEFT(Cockpit!$O$5,1)="B",(CL284+BG284)/2,MAX((CL284+BG284)/2,H284))))</f>
        <v>600.5</v>
      </c>
      <c r="BF284" s="62" t="n">
        <f aca="false">BE284*G284</f>
        <v>318.265</v>
      </c>
      <c r="BG284" s="62" t="n">
        <f aca="false">ROUNDUP(CL284+MAX(CM284,2*(J284/IF(CH284&gt;0,CH284,MAX(0.1,N(Cockpit!$O$6)))-CL284)),0)</f>
        <v>1158</v>
      </c>
      <c r="BH284" s="63" t="n">
        <f aca="false">IF(BD284&gt;0,J284/BD284,-1)</f>
        <v>187.2</v>
      </c>
      <c r="BI284" s="63" t="n">
        <f aca="false">IF(AND(OR(CG284="L1",CG284="L23",CG284="LIFT"),BD284&gt;0),SUMIFS($BD$7:$BD$1843,$CG$7:$CG$1843,CG284,$BH$7:$BH$1843,"&gt;"&amp;BH284)+SUMIFS($BD$7:$BD$1843,$CG$7:$CG$1843,CG284,$BH$7:$BH$1843,BH284,$BX$7:$BX$1843,"&lt;="&amp;BX284),"")</f>
        <v>486.561813186813</v>
      </c>
      <c r="BJ284" s="70" t="n">
        <f aca="false">IF(BI284="",0,MAX(0,MIN(1,(IF(CG284="L1",Parameter!$H$5,IF(CG284="L23",Parameter!$H$6+Parameter!$H$7,Parameter!$H$5+Parameter!$H$6+Parameter!$H$7))-(BI284-BD284))/BD284)))</f>
        <v>1</v>
      </c>
      <c r="BK284" s="60" t="str">
        <f aca="false">IF(AJ284&lt;=0,"",IF(CG284="Aussen","Aussenlager",IF(CG284="-","Nicht im Lift",IF(AP284&gt;=1,"Lift",IF(AP284&lt;=0,"Aussenlager","teilweise")))))</f>
        <v>Lift</v>
      </c>
      <c r="BL284" s="60" t="str">
        <f aca="false">IF(AT284&lt;=0,"",IF(CG284="Aussen","Aussenlager",IF(CG284="-","Nicht im Lift",IF(AZ284&gt;=1,"Lift",IF(AZ284&lt;=0,"Aussenlager","teilweise")))))</f>
        <v>Lift</v>
      </c>
      <c r="BM284" s="60" t="str">
        <f aca="false">IF(BD284&lt;=0,"",IF(CG284="Aussen","Aussenlager",IF(CG284="-","Nicht im Lift",IF(BJ284&gt;=1,"Lift",IF(BJ284&lt;=0,"Aussenlager","teilweise")))))</f>
        <v>Lift</v>
      </c>
      <c r="BN284" s="60" t="str">
        <f aca="false">IF(A284="","",IF(BW284=1,"Neu; ","")&amp;IF(AND(BW284=0,BR284&lt;0),"negativer Bestand (Export "&amp;BR284&amp;"); ","")&amp;IF(J284&lt;=0,"Kein Verbrauch; ","")&amp;IF(CR284&gt;0,"Lift "&amp;W284&amp;" lt. Liftbericht (Fach "&amp;X284&amp;" Stk); ",IF(CB284=1,"Gebinde geschätzt ("&amp;T284&amp;"); ",IF(CA284=1,"Lose – Tablare geschätzt; ","")))&amp;IF(H284&gt;AW284,"Überbestand "&amp;ROUND(H284-AW284,0)&amp;" Stk / CHF "&amp;ROUND((H284-AW284)*G284,0)&amp;"; ","")&amp;IF(AND(CI284=1,CJ284&lt;CK284),"MAX &lt; MB+LG; ","")&amp;IF(AND(CQ284&gt;0,CP284*10&gt;CQ284),"zu hoch für Tablar; ","")&amp;IF(AND(BW284=0,OR(CI284=1,AB284&lt;&gt;"",U284&lt;&gt;"",V284&lt;&gt;"",AC284&lt;&gt;"")),"manuell übersteuert; ","")&amp;IF(AND(CA284=0,R284=0),"Gebinde unbekannt / Stellmass fehlt; ","")&amp;IF(AND(CA284=0,N(V284)&lt;=0,N(Q284)&lt;=0),"Menge pro Gebinde fehlt (Ist = 1 Gebinde); ","")&amp;BV284)</f>
        <v/>
      </c>
      <c r="BO284" s="60"/>
      <c r="BP284" s="60"/>
      <c r="BQ284" s="67"/>
      <c r="BR284" s="62" t="n">
        <v>700</v>
      </c>
      <c r="BS284" s="62" t="n">
        <v>281</v>
      </c>
      <c r="BT284" s="61" t="n">
        <v>335.51</v>
      </c>
      <c r="BU284" s="62" t="n">
        <v>1116</v>
      </c>
      <c r="BV284" s="60"/>
      <c r="BW284" s="65" t="n">
        <v>0</v>
      </c>
      <c r="BX284" s="65" t="n">
        <v>284</v>
      </c>
      <c r="BY284" s="60" t="str">
        <f aca="false">IF(U284&lt;&gt;"",UPPER(TRIM(U284)),IF(CB284=1,UPPER(VLOOKUP(T284,Parameter!$I$27:$K$29,2,0)),IF(P284="","LOSE",P284)))</f>
        <v>S41</v>
      </c>
      <c r="BZ284" s="62" t="n">
        <f aca="false">IF(BY284="LOSE",1,IF(N(V284)&gt;0,V284,IF(CB284=1,MAX(1,N(VLOOKUP(T284,Parameter!$I$27:$K$29,3,0)),H284,N(N284)),IF(N(Q284)&gt;0,Q284,MAX(1,H284)))))</f>
        <v>470</v>
      </c>
      <c r="CA284" s="65" t="n">
        <f aca="false">IF(BY284="LOSE",1,0)</f>
        <v>0</v>
      </c>
      <c r="CB284" s="65" t="n">
        <f aca="false">IF(AND(U284="",OR(P284="",P284="LOSE"),T284&lt;&gt;"",N(S284)&lt;=0,ISNUMBER(MATCH(T284,Parameter!$I$27:$I$29,0))),1,0)</f>
        <v>0</v>
      </c>
      <c r="CC284" s="65" t="n">
        <f aca="false">IF(CR284&gt;0,INDEX(Parameter!$H$5:$H$7,W284)/INDEX(Parameter!$E$5:$E$7,W284),IF(AND(CA284=0,N(IFERROR(VLOOKUP(BY284,'Gebinde-Kategorie'!$A$5:$N$45,14,0),0))&gt;0),VLOOKUP(BY284,'Gebinde-Kategorie'!$A$5:$N$45,14,0)*10+Parameter!$M$23,Parameter!$M$24))</f>
        <v>155</v>
      </c>
      <c r="CD284" s="60" t="str">
        <f aca="false">IF(AND(Parameter!$B$19="Ja",E284&lt;&gt;"",ISNUMBER(MATCH(E284,Parameter!$I$35:$I$52,0))),VLOOKUP(E284,Parameter!$I$35:$J$52,2,0),IFERROR(VLOOKUP(D284,Parameter!$A$35:$C$64,2,0),"Nein"))</f>
        <v>2+3</v>
      </c>
      <c r="CE284" s="64" t="n">
        <f aca="false">IF(CA284=0,0,IF(N(S284)&gt;0,S284,IFERROR(VLOOKUP(D284,Parameter!$A$35:$C$64,3,0)+0,0)))</f>
        <v>0</v>
      </c>
      <c r="CF284" s="60" t="n">
        <f aca="false">IF(AB284&lt;&gt;"",AB284,AA284)</f>
        <v>3</v>
      </c>
      <c r="CG284" s="60" t="str">
        <f aca="false">IF(OR(CF284=1,CF284=2,CF284=3),IF(Parameter!$E$27="Ja","LIFT",IF(CF284=1,"L1","L23")),IF(CF284="Aussen","Aussen","-"))</f>
        <v>LIFT</v>
      </c>
      <c r="CH284" s="71" t="n">
        <f aca="false">IF(N(AC284)&gt;0,AC284,0)</f>
        <v>0</v>
      </c>
      <c r="CI284" s="65" t="n">
        <f aca="false">IF(ISNUMBER(AF284),1,0)</f>
        <v>0</v>
      </c>
      <c r="CJ284" s="62" t="n">
        <f aca="false">N(AF284)</f>
        <v>0</v>
      </c>
      <c r="CK284" s="62" t="n">
        <f aca="false">N(M284)+N(N284)</f>
        <v>1158</v>
      </c>
      <c r="CL284" s="62" t="n">
        <f aca="false">N(M284)</f>
        <v>43</v>
      </c>
      <c r="CM284" s="62" t="n">
        <f aca="false">N(N284)</f>
        <v>1115</v>
      </c>
      <c r="CN284" s="62" t="n">
        <f aca="false">ROUNDUP(H284/BZ284,0)</f>
        <v>3</v>
      </c>
      <c r="CO284" s="62" t="n">
        <f aca="false">ROUNDUP(CJ284/BZ284,0)</f>
        <v>0</v>
      </c>
      <c r="CP284" s="65" t="n">
        <f aca="false">IF(CA284=1,0,IFERROR(VLOOKUP(BY284,'Gebinde-Kategorie'!$A$5:$N$45,5,0)+0,0))</f>
        <v>11</v>
      </c>
      <c r="CQ284" s="65" t="n">
        <f aca="false">IFERROR(IF(OR(CF284=1,CF284=2,CF284=3),N(INDEX(Parameter!$I$5:$I$7,CF284)),0),0)</f>
        <v>0</v>
      </c>
      <c r="CR284" s="64" t="n">
        <f aca="false">IF(AND(Parameter!$B$21="Ja",ISNUMBER(W284),N(X284)&gt;0),IFERROR(N(INDEX(Parameter!$L$5:$L$7,W284))*INDEX(Parameter!$E$5:$E$7,W284)*X284/SUMIFS($X$7:$X$1843,$W$7:$W$1843,W284),0),0)</f>
        <v>0</v>
      </c>
      <c r="CS284" s="62" t="n">
        <f aca="false">IF(AND(OR(CG284="L1",CG284="L23",CG284="LIFT"),H284&gt;0),CC284*IF(CR284&gt;0,CR284*MAX(1,H284/X284),IF(CA284=1,CE284,IF(R284&gt;0,CN284/R284,0))/MAX(0.1,N(Parameter!$M$21))),"")</f>
        <v>8.94230769230769</v>
      </c>
      <c r="CT284" s="64" t="n">
        <f aca="false">IF(CS284="","",J284/H284)</f>
        <v>1.13761467889908</v>
      </c>
      <c r="CU284" s="62" t="n">
        <f aca="false">IF(CS284="","",H284*G284)</f>
        <v>519.93</v>
      </c>
      <c r="CV284" s="63" t="n">
        <f aca="false">IF(CS284="","",(CL284+ROUNDUP(CL284+MAX(CM284,2*(J284/MAX(0.1,N(Einkauf!$C$6))-CL284)),0))/2)</f>
        <v>600.5</v>
      </c>
      <c r="CW284" s="62" t="n">
        <f aca="false">IF(CS284="","",MAX(0,H284-CV284)*G284)</f>
        <v>201.665</v>
      </c>
      <c r="CX284" s="62" t="n">
        <f aca="false">IF(CS284="","",CS284*MAX(0,1-CV284/H284))</f>
        <v>3.46844860032933</v>
      </c>
      <c r="CY284" s="64" t="n">
        <f aca="false">IF(CS284="","",PERCENTRANK($CS$7:$CS$1843,CS284)+PERCENTRANK($CU$7:$CU$1843,CU284)+1-PERCENTRANK($CT$7:$CT$1843,CT284))</f>
        <v>1.389</v>
      </c>
      <c r="CZ284" s="72" t="n">
        <f aca="false">IF(CS284="","",CHOOSE(MATCH(Einkauf!$C$5,Parameter!$G$23:$G$27,0),CY284,CS284,CU284,-CT284,CW284)+ROW()/1000000000)</f>
        <v>1.389000284</v>
      </c>
    </row>
    <row r="285" customFormat="false" ht="15" hidden="false" customHeight="false" outlineLevel="0" collapsed="false">
      <c r="A285" s="60" t="s">
        <v>784</v>
      </c>
      <c r="B285" s="60" t="s">
        <v>785</v>
      </c>
      <c r="C285" s="60" t="s">
        <v>206</v>
      </c>
      <c r="D285" s="60" t="s">
        <v>226</v>
      </c>
      <c r="E285" s="60" t="s">
        <v>227</v>
      </c>
      <c r="F285" s="60" t="s">
        <v>260</v>
      </c>
      <c r="G285" s="61" t="n">
        <v>51.14</v>
      </c>
      <c r="H285" s="62" t="n">
        <f aca="false">MAX(0,IF(AND(Parameter!$B$21="Ja",ISNUMBER(Y285)),Y285,IF(Parameter!$B$20="Jahresanfang 2025 + Export",BS285+BR285,BR285)))</f>
        <v>18</v>
      </c>
      <c r="I285" s="62" t="n">
        <f aca="false">H285*G285</f>
        <v>920.52</v>
      </c>
      <c r="J285" s="62" t="n">
        <f aca="false">BU285*Parameter!$B$18</f>
        <v>25</v>
      </c>
      <c r="K285" s="63" t="n">
        <v>13.5</v>
      </c>
      <c r="L285" s="64" t="n">
        <v>1.85185185185185</v>
      </c>
      <c r="M285" s="62" t="n">
        <v>2</v>
      </c>
      <c r="N285" s="62" t="n">
        <v>25</v>
      </c>
      <c r="O285" s="65" t="n">
        <v>35</v>
      </c>
      <c r="P285" s="60" t="s">
        <v>275</v>
      </c>
      <c r="Q285" s="62" t="n">
        <v>33</v>
      </c>
      <c r="R285" s="65" t="n">
        <f aca="false">IF(CA285=1,0,IFERROR(VLOOKUP(BY285,'Gebinde-Kategorie'!$A$5:$N$45,13,0)+0,0))</f>
        <v>26</v>
      </c>
      <c r="S285" s="66"/>
      <c r="T285" s="67"/>
      <c r="U285" s="67"/>
      <c r="V285" s="67"/>
      <c r="W285" s="60"/>
      <c r="X285" s="62"/>
      <c r="Y285" s="62"/>
      <c r="Z285" s="60" t="n">
        <v>3</v>
      </c>
      <c r="AA285" s="60" t="n">
        <f aca="false">IF(A285="","",IF(AND(Parameter!$B$21="Ja",ISNUMBER(W285)),W285,IF(AND(Parameter!$E$27="Ja",ISNUMBER(Z285),CD285&lt;&gt;"Nein"),Z285,IF(CD285="2+3",IF(ISNUMBER(SEARCH("grosser Artikel",BV285)),2,IFERROR(VLOOKUP(BY285,Parameter!$F$35:$G$64,2,0),2)),IF(OR(CD285="Nein",CD285=""),"-",CD285)))))</f>
        <v>3</v>
      </c>
      <c r="AB285" s="67"/>
      <c r="AC285" s="68"/>
      <c r="AD285" s="62" t="n">
        <f aca="false">AW285</f>
        <v>27</v>
      </c>
      <c r="AE285" s="62" t="n">
        <f aca="false">MAX(AW285,H285)</f>
        <v>27</v>
      </c>
      <c r="AF285" s="69"/>
      <c r="AG285" s="62" t="n">
        <f aca="false">IF(LEFT(Cockpit!$C$5,1)="A",H285,IF(Parameter!$E$30="MAX-Bestand",IF(CI285=1,CJ285,IF(LEFT(Cockpit!$C$5,1)="B",AM285,MAX(AM285,H285))),ROUNDUP(AK285,0)))</f>
        <v>18</v>
      </c>
      <c r="AH285" s="62" t="n">
        <f aca="false">IF(CA285=1,0,ROUNDUP(AG285/BZ285,0))</f>
        <v>1</v>
      </c>
      <c r="AI285" s="64" t="n">
        <f aca="false">IF(CR285&gt;0,CR285*MAX(1,AG285/X285),IF(CA285=1,IF(AG285&lt;=0,0,CE285*MAX(1,IF(H285&gt;0,AG285/H285,1))),IF(R285&gt;0,AH285/R285,0))/MAX(0.1,N(Parameter!$M$21)))</f>
        <v>0.0384615384615385</v>
      </c>
      <c r="AJ285" s="62" t="n">
        <f aca="false">AI285*CC285</f>
        <v>9.42307692307692</v>
      </c>
      <c r="AK285" s="63" t="n">
        <f aca="false">IF(LEFT(Cockpit!$C$5,1)="A",H285,IF(CI285=1,(CL285+CJ285)/2,IF(LEFT(Cockpit!$C$5,1)="B",(CL285+AM285)/2,MAX((CL285+AM285)/2,H285))))</f>
        <v>18</v>
      </c>
      <c r="AL285" s="62" t="n">
        <f aca="false">AK285*G285</f>
        <v>920.52</v>
      </c>
      <c r="AM285" s="62" t="n">
        <f aca="false">ROUNDUP(CL285+MAX(CM285,2*(J285/IF(CH285&gt;0,CH285,MAX(0.1,N(Cockpit!$C$6)))-CL285)),0)</f>
        <v>27</v>
      </c>
      <c r="AN285" s="63" t="n">
        <f aca="false">IF(AJ285&gt;0,J285/AJ285,-1)</f>
        <v>2.6530612244898</v>
      </c>
      <c r="AO285" s="63" t="n">
        <f aca="false">IF(AND(OR(CG285="L1",CG285="L23",CG285="LIFT"),AJ285&gt;0),SUMIFS($AJ$7:$AJ$1843,$CG$7:$CG$1843,CG285,$AN$7:$AN$1843,"&gt;"&amp;AN285)+SUMIFS($AJ$7:$AJ$1843,$CG$7:$CG$1843,CG285,$AN$7:$AN$1843,AN285,$BX$7:$BX$1843,"&lt;="&amp;BX285),"")</f>
        <v>5358.21749084249</v>
      </c>
      <c r="AP285" s="70" t="n">
        <f aca="false">IF(AO285="",0,MAX(0,MIN(1,(IF(CG285="L1",Parameter!$H$5,IF(CG285="L23",Parameter!$H$6+Parameter!$H$7,Parameter!$H$5+Parameter!$H$6+Parameter!$H$7))-(AO285-AJ285))/AJ285)))</f>
        <v>1</v>
      </c>
      <c r="AQ285" s="62" t="n">
        <f aca="false">IF(LEFT(Cockpit!$I$5,1)="A",H285,IF(Parameter!$E$30="MAX-Bestand",IF(CI285=1,CJ285,IF(LEFT(Cockpit!$I$5,1)="B",AW285,MAX(AW285,H285))),ROUNDUP(AU285,0)))</f>
        <v>18</v>
      </c>
      <c r="AR285" s="62" t="n">
        <f aca="false">IF(CA285=1,0,ROUNDUP(AQ285/BZ285,0))</f>
        <v>1</v>
      </c>
      <c r="AS285" s="64" t="n">
        <f aca="false">IF(CR285&gt;0,CR285*MAX(1,AQ285/X285),IF(CA285=1,IF(AQ285&lt;=0,0,CE285*MAX(1,IF(H285&gt;0,AQ285/H285,1))),IF(R285&gt;0,AR285/R285,0))/MAX(0.1,N(Parameter!$M$21)))</f>
        <v>0.0384615384615385</v>
      </c>
      <c r="AT285" s="62" t="n">
        <f aca="false">AS285*CC285</f>
        <v>9.42307692307692</v>
      </c>
      <c r="AU285" s="63" t="n">
        <f aca="false">IF(LEFT(Cockpit!$I$5,1)="A",H285,IF(CI285=1,(CL285+CJ285)/2,IF(LEFT(Cockpit!$I$5,1)="B",(CL285+AW285)/2,MAX((CL285+AW285)/2,H285))))</f>
        <v>18</v>
      </c>
      <c r="AV285" s="62" t="n">
        <f aca="false">AU285*G285</f>
        <v>920.52</v>
      </c>
      <c r="AW285" s="62" t="n">
        <f aca="false">ROUNDUP(CL285+MAX(CM285,2*(J285/IF(CH285&gt;0,CH285,MAX(0.1,N(Cockpit!$I$6)))-CL285)),0)</f>
        <v>27</v>
      </c>
      <c r="AX285" s="63" t="n">
        <f aca="false">IF(AT285&gt;0,J285/AT285,-1)</f>
        <v>2.6530612244898</v>
      </c>
      <c r="AY285" s="63" t="n">
        <f aca="false">IF(AND(OR(CG285="L1",CG285="L23",CG285="LIFT"),AT285&gt;0),SUMIFS($AT$7:$AT$1843,$CG$7:$CG$1843,CG285,$AX$7:$AX$1843,"&gt;"&amp;AX285)+SUMIFS($AT$7:$AT$1843,$CG$7:$CG$1843,CG285,$AX$7:$AX$1843,AX285,$BX$7:$BX$1843,"&lt;="&amp;BX285),"")</f>
        <v>6192.69551282051</v>
      </c>
      <c r="AZ285" s="70" t="n">
        <f aca="false">IF(AY285="",0,MAX(0,MIN(1,(IF(CG285="L1",Parameter!$H$5,IF(CG285="L23",Parameter!$H$6+Parameter!$H$7,Parameter!$H$5+Parameter!$H$6+Parameter!$H$7))-(AY285-AT285))/AT285)))</f>
        <v>1</v>
      </c>
      <c r="BA285" s="62" t="n">
        <f aca="false">IF(LEFT(Cockpit!$O$5,1)="A",H285,IF(Parameter!$E$30="MAX-Bestand",IF(CI285=1,CJ285,IF(LEFT(Cockpit!$O$5,1)="B",BG285,MAX(BG285,H285))),ROUNDUP(BE285,0)))</f>
        <v>15</v>
      </c>
      <c r="BB285" s="62" t="n">
        <f aca="false">IF(CA285=1,0,ROUNDUP(BA285/BZ285,0))</f>
        <v>1</v>
      </c>
      <c r="BC285" s="64" t="n">
        <f aca="false">IF(CR285&gt;0,CR285*MAX(1,BA285/X285),IF(CA285=1,IF(BA285&lt;=0,0,CE285*MAX(1,IF(H285&gt;0,BA285/H285,1))),IF(R285&gt;0,BB285/R285,0))/MAX(0.1,N(Parameter!$M$21)))</f>
        <v>0.0384615384615385</v>
      </c>
      <c r="BD285" s="62" t="n">
        <f aca="false">BC285*CC285</f>
        <v>9.42307692307692</v>
      </c>
      <c r="BE285" s="63" t="n">
        <f aca="false">IF(LEFT(Cockpit!$O$5,1)="A",H285,IF(CI285=1,(CL285+CJ285)/2,IF(LEFT(Cockpit!$O$5,1)="B",(CL285+BG285)/2,MAX((CL285+BG285)/2,H285))))</f>
        <v>14.5</v>
      </c>
      <c r="BF285" s="62" t="n">
        <f aca="false">BE285*G285</f>
        <v>741.53</v>
      </c>
      <c r="BG285" s="62" t="n">
        <f aca="false">ROUNDUP(CL285+MAX(CM285,2*(J285/IF(CH285&gt;0,CH285,MAX(0.1,N(Cockpit!$O$6)))-CL285)),0)</f>
        <v>27</v>
      </c>
      <c r="BH285" s="63" t="n">
        <f aca="false">IF(BD285&gt;0,J285/BD285,-1)</f>
        <v>2.6530612244898</v>
      </c>
      <c r="BI285" s="63" t="n">
        <f aca="false">IF(AND(OR(CG285="L1",CG285="L23",CG285="LIFT"),BD285&gt;0),SUMIFS($BD$7:$BD$1843,$CG$7:$CG$1843,CG285,$BH$7:$BH$1843,"&gt;"&amp;BH285)+SUMIFS($BD$7:$BD$1843,$CG$7:$CG$1843,CG285,$BH$7:$BH$1843,BH285,$BX$7:$BX$1843,"&lt;="&amp;BX285),"")</f>
        <v>5370.75</v>
      </c>
      <c r="BJ285" s="70" t="n">
        <f aca="false">IF(BI285="",0,MAX(0,MIN(1,(IF(CG285="L1",Parameter!$H$5,IF(CG285="L23",Parameter!$H$6+Parameter!$H$7,Parameter!$H$5+Parameter!$H$6+Parameter!$H$7))-(BI285-BD285))/BD285)))</f>
        <v>1</v>
      </c>
      <c r="BK285" s="60" t="str">
        <f aca="false">IF(AJ285&lt;=0,"",IF(CG285="Aussen","Aussenlager",IF(CG285="-","Nicht im Lift",IF(AP285&gt;=1,"Lift",IF(AP285&lt;=0,"Aussenlager","teilweise")))))</f>
        <v>Lift</v>
      </c>
      <c r="BL285" s="60" t="str">
        <f aca="false">IF(AT285&lt;=0,"",IF(CG285="Aussen","Aussenlager",IF(CG285="-","Nicht im Lift",IF(AZ285&gt;=1,"Lift",IF(AZ285&lt;=0,"Aussenlager","teilweise")))))</f>
        <v>Lift</v>
      </c>
      <c r="BM285" s="60" t="str">
        <f aca="false">IF(BD285&lt;=0,"",IF(CG285="Aussen","Aussenlager",IF(CG285="-","Nicht im Lift",IF(BJ285&gt;=1,"Lift",IF(BJ285&lt;=0,"Aussenlager","teilweise")))))</f>
        <v>Lift</v>
      </c>
      <c r="BN285" s="60" t="str">
        <f aca="false">IF(A285="","",IF(BW285=1,"Neu; ","")&amp;IF(AND(BW285=0,BR285&lt;0),"negativer Bestand (Export "&amp;BR285&amp;"); ","")&amp;IF(J285&lt;=0,"Kein Verbrauch; ","")&amp;IF(CR285&gt;0,"Lift "&amp;W285&amp;" lt. Liftbericht (Fach "&amp;X285&amp;" Stk); ",IF(CB285=1,"Gebinde geschätzt ("&amp;T285&amp;"); ",IF(CA285=1,"Lose – Tablare geschätzt; ","")))&amp;IF(H285&gt;AW285,"Überbestand "&amp;ROUND(H285-AW285,0)&amp;" Stk / CHF "&amp;ROUND((H285-AW285)*G285,0)&amp;"; ","")&amp;IF(AND(CI285=1,CJ285&lt;CK285),"MAX &lt; MB+LG; ","")&amp;IF(AND(CQ285&gt;0,CP285*10&gt;CQ285),"zu hoch für Tablar; ","")&amp;IF(AND(BW285=0,OR(CI285=1,AB285&lt;&gt;"",U285&lt;&gt;"",V285&lt;&gt;"",AC285&lt;&gt;"")),"manuell übersteuert; ","")&amp;IF(AND(CA285=0,R285=0),"Gebinde unbekannt / Stellmass fehlt; ","")&amp;IF(AND(CA285=0,N(V285)&lt;=0,N(Q285)&lt;=0),"Menge pro Gebinde fehlt (Ist = 1 Gebinde); ","")&amp;BV285)</f>
        <v/>
      </c>
      <c r="BO285" s="60"/>
      <c r="BP285" s="60"/>
      <c r="BQ285" s="67"/>
      <c r="BR285" s="62" t="n">
        <v>7</v>
      </c>
      <c r="BS285" s="62" t="n">
        <v>11</v>
      </c>
      <c r="BT285" s="61" t="n">
        <v>326.52</v>
      </c>
      <c r="BU285" s="62" t="n">
        <v>25</v>
      </c>
      <c r="BV285" s="60"/>
      <c r="BW285" s="65" t="n">
        <v>0</v>
      </c>
      <c r="BX285" s="65" t="n">
        <v>285</v>
      </c>
      <c r="BY285" s="60" t="str">
        <f aca="false">IF(U285&lt;&gt;"",UPPER(TRIM(U285)),IF(CB285=1,UPPER(VLOOKUP(T285,Parameter!$I$27:$K$29,2,0)),IF(P285="","LOSE",P285)))</f>
        <v>S52</v>
      </c>
      <c r="BZ285" s="62" t="n">
        <f aca="false">IF(BY285="LOSE",1,IF(N(V285)&gt;0,V285,IF(CB285=1,MAX(1,N(VLOOKUP(T285,Parameter!$I$27:$K$29,3,0)),H285,N(N285)),IF(N(Q285)&gt;0,Q285,MAX(1,H285)))))</f>
        <v>33</v>
      </c>
      <c r="CA285" s="65" t="n">
        <f aca="false">IF(BY285="LOSE",1,0)</f>
        <v>0</v>
      </c>
      <c r="CB285" s="65" t="n">
        <f aca="false">IF(AND(U285="",OR(P285="",P285="LOSE"),T285&lt;&gt;"",N(S285)&lt;=0,ISNUMBER(MATCH(T285,Parameter!$I$27:$I$29,0))),1,0)</f>
        <v>0</v>
      </c>
      <c r="CC285" s="65" t="n">
        <f aca="false">IF(CR285&gt;0,INDEX(Parameter!$H$5:$H$7,W285)/INDEX(Parameter!$E$5:$E$7,W285),IF(AND(CA285=0,N(IFERROR(VLOOKUP(BY285,'Gebinde-Kategorie'!$A$5:$N$45,14,0),0))&gt;0),VLOOKUP(BY285,'Gebinde-Kategorie'!$A$5:$N$45,14,0)*10+Parameter!$M$23,Parameter!$M$24))</f>
        <v>245</v>
      </c>
      <c r="CD285" s="60" t="str">
        <f aca="false">IF(AND(Parameter!$B$19="Ja",E285&lt;&gt;"",ISNUMBER(MATCH(E285,Parameter!$I$35:$I$52,0))),VLOOKUP(E285,Parameter!$I$35:$J$52,2,0),IFERROR(VLOOKUP(D285,Parameter!$A$35:$C$64,2,0),"Nein"))</f>
        <v>2+3</v>
      </c>
      <c r="CE285" s="64" t="n">
        <f aca="false">IF(CA285=0,0,IF(N(S285)&gt;0,S285,IFERROR(VLOOKUP(D285,Parameter!$A$35:$C$64,3,0)+0,0)))</f>
        <v>0</v>
      </c>
      <c r="CF285" s="60" t="n">
        <f aca="false">IF(AB285&lt;&gt;"",AB285,AA285)</f>
        <v>3</v>
      </c>
      <c r="CG285" s="60" t="str">
        <f aca="false">IF(OR(CF285=1,CF285=2,CF285=3),IF(Parameter!$E$27="Ja","LIFT",IF(CF285=1,"L1","L23")),IF(CF285="Aussen","Aussen","-"))</f>
        <v>LIFT</v>
      </c>
      <c r="CH285" s="71" t="n">
        <f aca="false">IF(N(AC285)&gt;0,AC285,0)</f>
        <v>0</v>
      </c>
      <c r="CI285" s="65" t="n">
        <f aca="false">IF(ISNUMBER(AF285),1,0)</f>
        <v>0</v>
      </c>
      <c r="CJ285" s="62" t="n">
        <f aca="false">N(AF285)</f>
        <v>0</v>
      </c>
      <c r="CK285" s="62" t="n">
        <f aca="false">N(M285)+N(N285)</f>
        <v>27</v>
      </c>
      <c r="CL285" s="62" t="n">
        <f aca="false">N(M285)</f>
        <v>2</v>
      </c>
      <c r="CM285" s="62" t="n">
        <f aca="false">N(N285)</f>
        <v>25</v>
      </c>
      <c r="CN285" s="62" t="n">
        <f aca="false">ROUNDUP(H285/BZ285,0)</f>
        <v>1</v>
      </c>
      <c r="CO285" s="62" t="n">
        <f aca="false">ROUNDUP(CJ285/BZ285,0)</f>
        <v>0</v>
      </c>
      <c r="CP285" s="65" t="n">
        <f aca="false">IF(CA285=1,0,IFERROR(VLOOKUP(BY285,'Gebinde-Kategorie'!$A$5:$N$45,5,0)+0,0))</f>
        <v>21</v>
      </c>
      <c r="CQ285" s="65" t="n">
        <f aca="false">IFERROR(IF(OR(CF285=1,CF285=2,CF285=3),N(INDEX(Parameter!$I$5:$I$7,CF285)),0),0)</f>
        <v>0</v>
      </c>
      <c r="CR285" s="64" t="n">
        <f aca="false">IF(AND(Parameter!$B$21="Ja",ISNUMBER(W285),N(X285)&gt;0),IFERROR(N(INDEX(Parameter!$L$5:$L$7,W285))*INDEX(Parameter!$E$5:$E$7,W285)*X285/SUMIFS($X$7:$X$1843,$W$7:$W$1843,W285),0),0)</f>
        <v>0</v>
      </c>
      <c r="CS285" s="62" t="n">
        <f aca="false">IF(AND(OR(CG285="L1",CG285="L23",CG285="LIFT"),H285&gt;0),CC285*IF(CR285&gt;0,CR285*MAX(1,H285/X285),IF(CA285=1,CE285,IF(R285&gt;0,CN285/R285,0))/MAX(0.1,N(Parameter!$M$21))),"")</f>
        <v>9.42307692307692</v>
      </c>
      <c r="CT285" s="64" t="n">
        <f aca="false">IF(CS285="","",J285/H285)</f>
        <v>1.38888888888889</v>
      </c>
      <c r="CU285" s="62" t="n">
        <f aca="false">IF(CS285="","",H285*G285)</f>
        <v>920.52</v>
      </c>
      <c r="CV285" s="63" t="n">
        <f aca="false">IF(CS285="","",(CL285+ROUNDUP(CL285+MAX(CM285,2*(J285/MAX(0.1,N(Einkauf!$C$6))-CL285)),0))/2)</f>
        <v>14.5</v>
      </c>
      <c r="CW285" s="62" t="n">
        <f aca="false">IF(CS285="","",MAX(0,H285-CV285)*G285)</f>
        <v>178.99</v>
      </c>
      <c r="CX285" s="62" t="n">
        <f aca="false">IF(CS285="","",CS285*MAX(0,1-CV285/H285))</f>
        <v>1.83226495726496</v>
      </c>
      <c r="CY285" s="64" t="n">
        <f aca="false">IF(CS285="","",PERCENTRANK($CS$7:$CS$1843,CS285)+PERCENTRANK($CU$7:$CU$1843,CU285)+1-PERCENTRANK($CT$7:$CT$1843,CT285))</f>
        <v>1.464</v>
      </c>
      <c r="CZ285" s="72" t="n">
        <f aca="false">IF(CS285="","",CHOOSE(MATCH(Einkauf!$C$5,Parameter!$G$23:$G$27,0),CY285,CS285,CU285,-CT285,CW285)+ROW()/1000000000)</f>
        <v>1.464000285</v>
      </c>
    </row>
    <row r="286" customFormat="false" ht="15" hidden="false" customHeight="false" outlineLevel="0" collapsed="false">
      <c r="A286" s="60" t="s">
        <v>786</v>
      </c>
      <c r="B286" s="60" t="s">
        <v>787</v>
      </c>
      <c r="C286" s="60" t="s">
        <v>206</v>
      </c>
      <c r="D286" s="60" t="s">
        <v>226</v>
      </c>
      <c r="E286" s="60"/>
      <c r="F286" s="60" t="s">
        <v>260</v>
      </c>
      <c r="G286" s="61" t="n">
        <v>147.94</v>
      </c>
      <c r="H286" s="62" t="n">
        <f aca="false">MAX(0,IF(AND(Parameter!$B$21="Ja",ISNUMBER(Y286)),Y286,IF(Parameter!$B$20="Jahresanfang 2025 + Export",BS286+BR286,BR286)))</f>
        <v>4</v>
      </c>
      <c r="I286" s="62" t="n">
        <f aca="false">H286*G286</f>
        <v>591.76</v>
      </c>
      <c r="J286" s="62" t="n">
        <f aca="false">BU286*Parameter!$B$18</f>
        <v>0</v>
      </c>
      <c r="K286" s="63" t="n">
        <v>3</v>
      </c>
      <c r="L286" s="64" t="n">
        <v>0</v>
      </c>
      <c r="M286" s="62" t="n">
        <v>0</v>
      </c>
      <c r="N286" s="62" t="n">
        <v>1</v>
      </c>
      <c r="O286" s="65" t="n">
        <v>42</v>
      </c>
      <c r="P286" s="60" t="s">
        <v>335</v>
      </c>
      <c r="Q286" s="62" t="n">
        <v>4</v>
      </c>
      <c r="R286" s="65" t="n">
        <f aca="false">IF(CA286=1,0,IFERROR(VLOOKUP(BY286,'Gebinde-Kategorie'!$A$5:$N$45,13,0)+0,0))</f>
        <v>12</v>
      </c>
      <c r="S286" s="66"/>
      <c r="T286" s="67"/>
      <c r="U286" s="67"/>
      <c r="V286" s="67"/>
      <c r="W286" s="60"/>
      <c r="X286" s="62"/>
      <c r="Y286" s="62"/>
      <c r="Z286" s="60" t="n">
        <v>3</v>
      </c>
      <c r="AA286" s="60" t="n">
        <f aca="false">IF(A286="","",IF(AND(Parameter!$B$21="Ja",ISNUMBER(W286)),W286,IF(AND(Parameter!$E$27="Ja",ISNUMBER(Z286),CD286&lt;&gt;"Nein"),Z286,IF(CD286="2+3",IF(ISNUMBER(SEARCH("grosser Artikel",BV286)),2,IFERROR(VLOOKUP(BY286,Parameter!$F$35:$G$64,2,0),2)),IF(OR(CD286="Nein",CD286=""),"-",CD286)))))</f>
        <v>3</v>
      </c>
      <c r="AB286" s="67"/>
      <c r="AC286" s="68"/>
      <c r="AD286" s="62" t="n">
        <f aca="false">AW286</f>
        <v>1</v>
      </c>
      <c r="AE286" s="62" t="n">
        <f aca="false">MAX(AW286,H286)</f>
        <v>4</v>
      </c>
      <c r="AF286" s="69"/>
      <c r="AG286" s="62" t="n">
        <f aca="false">IF(LEFT(Cockpit!$C$5,1)="A",H286,IF(Parameter!$E$30="MAX-Bestand",IF(CI286=1,CJ286,IF(LEFT(Cockpit!$C$5,1)="B",AM286,MAX(AM286,H286))),ROUNDUP(AK286,0)))</f>
        <v>4</v>
      </c>
      <c r="AH286" s="62" t="n">
        <f aca="false">IF(CA286=1,0,ROUNDUP(AG286/BZ286,0))</f>
        <v>1</v>
      </c>
      <c r="AI286" s="64" t="n">
        <f aca="false">IF(CR286&gt;0,CR286*MAX(1,AG286/X286),IF(CA286=1,IF(AG286&lt;=0,0,CE286*MAX(1,IF(H286&gt;0,AG286/H286,1))),IF(R286&gt;0,AH286/R286,0))/MAX(0.1,N(Parameter!$M$21)))</f>
        <v>0.0833333333333333</v>
      </c>
      <c r="AJ286" s="62" t="n">
        <f aca="false">AI286*CC286</f>
        <v>20.4166666666667</v>
      </c>
      <c r="AK286" s="63" t="n">
        <f aca="false">IF(LEFT(Cockpit!$C$5,1)="A",H286,IF(CI286=1,(CL286+CJ286)/2,IF(LEFT(Cockpit!$C$5,1)="B",(CL286+AM286)/2,MAX((CL286+AM286)/2,H286))))</f>
        <v>4</v>
      </c>
      <c r="AL286" s="62" t="n">
        <f aca="false">AK286*G286</f>
        <v>591.76</v>
      </c>
      <c r="AM286" s="62" t="n">
        <f aca="false">ROUNDUP(CL286+MAX(CM286,2*(J286/IF(CH286&gt;0,CH286,MAX(0.1,N(Cockpit!$C$6)))-CL286)),0)</f>
        <v>1</v>
      </c>
      <c r="AN286" s="63" t="n">
        <f aca="false">IF(AJ286&gt;0,J286/AJ286,-1)</f>
        <v>0</v>
      </c>
      <c r="AO286" s="63" t="n">
        <f aca="false">IF(AND(OR(CG286="L1",CG286="L23",CG286="LIFT"),AJ286&gt;0),SUMIFS($AJ$7:$AJ$1843,$CG$7:$CG$1843,CG286,$AN$7:$AN$1843,"&gt;"&amp;AN286)+SUMIFS($AJ$7:$AJ$1843,$CG$7:$CG$1843,CG286,$AN$7:$AN$1843,AN286,$BX$7:$BX$1843,"&lt;="&amp;BX286),"")</f>
        <v>27811.8550216262</v>
      </c>
      <c r="AP286" s="70" t="n">
        <f aca="false">IF(AO286="",0,MAX(0,MIN(1,(IF(CG286="L1",Parameter!$H$5,IF(CG286="L23",Parameter!$H$6+Parameter!$H$7,Parameter!$H$5+Parameter!$H$6+Parameter!$H$7))-(AO286-AJ286))/AJ286)))</f>
        <v>1</v>
      </c>
      <c r="AQ286" s="62" t="n">
        <f aca="false">IF(LEFT(Cockpit!$I$5,1)="A",H286,IF(Parameter!$E$30="MAX-Bestand",IF(CI286=1,CJ286,IF(LEFT(Cockpit!$I$5,1)="B",AW286,MAX(AW286,H286))),ROUNDUP(AU286,0)))</f>
        <v>4</v>
      </c>
      <c r="AR286" s="62" t="n">
        <f aca="false">IF(CA286=1,0,ROUNDUP(AQ286/BZ286,0))</f>
        <v>1</v>
      </c>
      <c r="AS286" s="64" t="n">
        <f aca="false">IF(CR286&gt;0,CR286*MAX(1,AQ286/X286),IF(CA286=1,IF(AQ286&lt;=0,0,CE286*MAX(1,IF(H286&gt;0,AQ286/H286,1))),IF(R286&gt;0,AR286/R286,0))/MAX(0.1,N(Parameter!$M$21)))</f>
        <v>0.0833333333333333</v>
      </c>
      <c r="AT286" s="62" t="n">
        <f aca="false">AS286*CC286</f>
        <v>20.4166666666667</v>
      </c>
      <c r="AU286" s="63" t="n">
        <f aca="false">IF(LEFT(Cockpit!$I$5,1)="A",H286,IF(CI286=1,(CL286+CJ286)/2,IF(LEFT(Cockpit!$I$5,1)="B",(CL286+AW286)/2,MAX((CL286+AW286)/2,H286))))</f>
        <v>4</v>
      </c>
      <c r="AV286" s="62" t="n">
        <f aca="false">AU286*G286</f>
        <v>591.76</v>
      </c>
      <c r="AW286" s="62" t="n">
        <f aca="false">ROUNDUP(CL286+MAX(CM286,2*(J286/IF(CH286&gt;0,CH286,MAX(0.1,N(Cockpit!$I$6)))-CL286)),0)</f>
        <v>1</v>
      </c>
      <c r="AX286" s="63" t="n">
        <f aca="false">IF(AT286&gt;0,J286/AT286,-1)</f>
        <v>0</v>
      </c>
      <c r="AY286" s="63" t="n">
        <f aca="false">IF(AND(OR(CG286="L1",CG286="L23",CG286="LIFT"),AT286&gt;0),SUMIFS($AT$7:$AT$1843,$CG$7:$CG$1843,CG286,$AX$7:$AX$1843,"&gt;"&amp;AX286)+SUMIFS($AT$7:$AT$1843,$CG$7:$CG$1843,CG286,$AX$7:$AX$1843,AX286,$BX$7:$BX$1843,"&lt;="&amp;BX286),"")</f>
        <v>33165.0036630037</v>
      </c>
      <c r="AZ286" s="70" t="n">
        <f aca="false">IF(AY286="",0,MAX(0,MIN(1,(IF(CG286="L1",Parameter!$H$5,IF(CG286="L23",Parameter!$H$6+Parameter!$H$7,Parameter!$H$5+Parameter!$H$6+Parameter!$H$7))-(AY286-AT286))/AT286)))</f>
        <v>1</v>
      </c>
      <c r="BA286" s="62" t="n">
        <f aca="false">IF(LEFT(Cockpit!$O$5,1)="A",H286,IF(Parameter!$E$30="MAX-Bestand",IF(CI286=1,CJ286,IF(LEFT(Cockpit!$O$5,1)="B",BG286,MAX(BG286,H286))),ROUNDUP(BE286,0)))</f>
        <v>1</v>
      </c>
      <c r="BB286" s="62" t="n">
        <f aca="false">IF(CA286=1,0,ROUNDUP(BA286/BZ286,0))</f>
        <v>1</v>
      </c>
      <c r="BC286" s="64" t="n">
        <f aca="false">IF(CR286&gt;0,CR286*MAX(1,BA286/X286),IF(CA286=1,IF(BA286&lt;=0,0,CE286*MAX(1,IF(H286&gt;0,BA286/H286,1))),IF(R286&gt;0,BB286/R286,0))/MAX(0.1,N(Parameter!$M$21)))</f>
        <v>0.0833333333333333</v>
      </c>
      <c r="BD286" s="62" t="n">
        <f aca="false">BC286*CC286</f>
        <v>20.4166666666667</v>
      </c>
      <c r="BE286" s="63" t="n">
        <f aca="false">IF(LEFT(Cockpit!$O$5,1)="A",H286,IF(CI286=1,(CL286+CJ286)/2,IF(LEFT(Cockpit!$O$5,1)="B",(CL286+BG286)/2,MAX((CL286+BG286)/2,H286))))</f>
        <v>0.5</v>
      </c>
      <c r="BF286" s="62" t="n">
        <f aca="false">BE286*G286</f>
        <v>73.97</v>
      </c>
      <c r="BG286" s="62" t="n">
        <f aca="false">ROUNDUP(CL286+MAX(CM286,2*(J286/IF(CH286&gt;0,CH286,MAX(0.1,N(Cockpit!$O$6)))-CL286)),0)</f>
        <v>1</v>
      </c>
      <c r="BH286" s="63" t="n">
        <f aca="false">IF(BD286&gt;0,J286/BD286,-1)</f>
        <v>0</v>
      </c>
      <c r="BI286" s="63" t="n">
        <f aca="false">IF(AND(OR(CG286="L1",CG286="L23",CG286="LIFT"),BD286&gt;0),SUMIFS($BD$7:$BD$1843,$CG$7:$CG$1843,CG286,$BH$7:$BH$1843,"&gt;"&amp;BH286)+SUMIFS($BD$7:$BD$1843,$CG$7:$CG$1843,CG286,$BH$7:$BH$1843,BH286,$BX$7:$BX$1843,"&lt;="&amp;BX286),"")</f>
        <v>27313.8611473273</v>
      </c>
      <c r="BJ286" s="70" t="n">
        <f aca="false">IF(BI286="",0,MAX(0,MIN(1,(IF(CG286="L1",Parameter!$H$5,IF(CG286="L23",Parameter!$H$6+Parameter!$H$7,Parameter!$H$5+Parameter!$H$6+Parameter!$H$7))-(BI286-BD286))/BD286)))</f>
        <v>1</v>
      </c>
      <c r="BK286" s="60" t="str">
        <f aca="false">IF(AJ286&lt;=0,"",IF(CG286="Aussen","Aussenlager",IF(CG286="-","Nicht im Lift",IF(AP286&gt;=1,"Lift",IF(AP286&lt;=0,"Aussenlager","teilweise")))))</f>
        <v>Lift</v>
      </c>
      <c r="BL286" s="60" t="str">
        <f aca="false">IF(AT286&lt;=0,"",IF(CG286="Aussen","Aussenlager",IF(CG286="-","Nicht im Lift",IF(AZ286&gt;=1,"Lift",IF(AZ286&lt;=0,"Aussenlager","teilweise")))))</f>
        <v>Lift</v>
      </c>
      <c r="BM286" s="60" t="str">
        <f aca="false">IF(BD286&lt;=0,"",IF(CG286="Aussen","Aussenlager",IF(CG286="-","Nicht im Lift",IF(BJ286&gt;=1,"Lift",IF(BJ286&lt;=0,"Aussenlager","teilweise")))))</f>
        <v>Lift</v>
      </c>
      <c r="BN286" s="60" t="str">
        <f aca="false">IF(A286="","",IF(BW286=1,"Neu; ","")&amp;IF(AND(BW286=0,BR286&lt;0),"negativer Bestand (Export "&amp;BR286&amp;"); ","")&amp;IF(J286&lt;=0,"Kein Verbrauch; ","")&amp;IF(CR286&gt;0,"Lift "&amp;W286&amp;" lt. Liftbericht (Fach "&amp;X286&amp;" Stk); ",IF(CB286=1,"Gebinde geschätzt ("&amp;T286&amp;"); ",IF(CA286=1,"Lose – Tablare geschätzt; ","")))&amp;IF(H286&gt;AW286,"Überbestand "&amp;ROUND(H286-AW286,0)&amp;" Stk / CHF "&amp;ROUND((H286-AW286)*G286,0)&amp;"; ","")&amp;IF(AND(CI286=1,CJ286&lt;CK286),"MAX &lt; MB+LG; ","")&amp;IF(AND(CQ286&gt;0,CP286*10&gt;CQ286),"zu hoch für Tablar; ","")&amp;IF(AND(BW286=0,OR(CI286=1,AB286&lt;&gt;"",U286&lt;&gt;"",V286&lt;&gt;"",AC286&lt;&gt;"")),"manuell übersteuert; ","")&amp;IF(AND(CA286=0,R286=0),"Gebinde unbekannt / Stellmass fehlt; ","")&amp;IF(AND(CA286=0,N(V286)&lt;=0,N(Q286)&lt;=0),"Menge pro Gebinde fehlt (Ist = 1 Gebinde); ","")&amp;BV286)</f>
        <v>Kein Verbrauch; Überbestand 3 Stk / CHF 444; </v>
      </c>
      <c r="BO286" s="60"/>
      <c r="BP286" s="60"/>
      <c r="BQ286" s="67"/>
      <c r="BR286" s="62" t="n">
        <v>1</v>
      </c>
      <c r="BS286" s="62" t="n">
        <v>3</v>
      </c>
      <c r="BT286" s="61" t="n">
        <v>325.81</v>
      </c>
      <c r="BU286" s="62" t="n">
        <v>0</v>
      </c>
      <c r="BV286" s="60"/>
      <c r="BW286" s="65" t="n">
        <v>0</v>
      </c>
      <c r="BX286" s="65" t="n">
        <v>286</v>
      </c>
      <c r="BY286" s="60" t="str">
        <f aca="false">IF(U286&lt;&gt;"",UPPER(TRIM(U286)),IF(CB286=1,UPPER(VLOOKUP(T286,Parameter!$I$27:$K$29,2,0)),IF(P286="","LOSE",P286)))</f>
        <v>S62</v>
      </c>
      <c r="BZ286" s="62" t="n">
        <f aca="false">IF(BY286="LOSE",1,IF(N(V286)&gt;0,V286,IF(CB286=1,MAX(1,N(VLOOKUP(T286,Parameter!$I$27:$K$29,3,0)),H286,N(N286)),IF(N(Q286)&gt;0,Q286,MAX(1,H286)))))</f>
        <v>4</v>
      </c>
      <c r="CA286" s="65" t="n">
        <f aca="false">IF(BY286="LOSE",1,0)</f>
        <v>0</v>
      </c>
      <c r="CB286" s="65" t="n">
        <f aca="false">IF(AND(U286="",OR(P286="",P286="LOSE"),T286&lt;&gt;"",N(S286)&lt;=0,ISNUMBER(MATCH(T286,Parameter!$I$27:$I$29,0))),1,0)</f>
        <v>0</v>
      </c>
      <c r="CC286" s="65" t="n">
        <f aca="false">IF(CR286&gt;0,INDEX(Parameter!$H$5:$H$7,W286)/INDEX(Parameter!$E$5:$E$7,W286),IF(AND(CA286=0,N(IFERROR(VLOOKUP(BY286,'Gebinde-Kategorie'!$A$5:$N$45,14,0),0))&gt;0),VLOOKUP(BY286,'Gebinde-Kategorie'!$A$5:$N$45,14,0)*10+Parameter!$M$23,Parameter!$M$24))</f>
        <v>245</v>
      </c>
      <c r="CD286" s="60" t="str">
        <f aca="false">IF(AND(Parameter!$B$19="Ja",E286&lt;&gt;"",ISNUMBER(MATCH(E286,Parameter!$I$35:$I$52,0))),VLOOKUP(E286,Parameter!$I$35:$J$52,2,0),IFERROR(VLOOKUP(D286,Parameter!$A$35:$C$64,2,0),"Nein"))</f>
        <v>2+3</v>
      </c>
      <c r="CE286" s="64" t="n">
        <f aca="false">IF(CA286=0,0,IF(N(S286)&gt;0,S286,IFERROR(VLOOKUP(D286,Parameter!$A$35:$C$64,3,0)+0,0)))</f>
        <v>0</v>
      </c>
      <c r="CF286" s="60" t="n">
        <f aca="false">IF(AB286&lt;&gt;"",AB286,AA286)</f>
        <v>3</v>
      </c>
      <c r="CG286" s="60" t="str">
        <f aca="false">IF(OR(CF286=1,CF286=2,CF286=3),IF(Parameter!$E$27="Ja","LIFT",IF(CF286=1,"L1","L23")),IF(CF286="Aussen","Aussen","-"))</f>
        <v>LIFT</v>
      </c>
      <c r="CH286" s="71" t="n">
        <f aca="false">IF(N(AC286)&gt;0,AC286,0)</f>
        <v>0</v>
      </c>
      <c r="CI286" s="65" t="n">
        <f aca="false">IF(ISNUMBER(AF286),1,0)</f>
        <v>0</v>
      </c>
      <c r="CJ286" s="62" t="n">
        <f aca="false">N(AF286)</f>
        <v>0</v>
      </c>
      <c r="CK286" s="62" t="n">
        <f aca="false">N(M286)+N(N286)</f>
        <v>1</v>
      </c>
      <c r="CL286" s="62" t="n">
        <f aca="false">N(M286)</f>
        <v>0</v>
      </c>
      <c r="CM286" s="62" t="n">
        <f aca="false">N(N286)</f>
        <v>1</v>
      </c>
      <c r="CN286" s="62" t="n">
        <f aca="false">ROUNDUP(H286/BZ286,0)</f>
        <v>1</v>
      </c>
      <c r="CO286" s="62" t="n">
        <f aca="false">ROUNDUP(CJ286/BZ286,0)</f>
        <v>0</v>
      </c>
      <c r="CP286" s="65" t="n">
        <f aca="false">IF(CA286=1,0,IFERROR(VLOOKUP(BY286,'Gebinde-Kategorie'!$A$5:$N$45,5,0)+0,0))</f>
        <v>21</v>
      </c>
      <c r="CQ286" s="65" t="n">
        <f aca="false">IFERROR(IF(OR(CF286=1,CF286=2,CF286=3),N(INDEX(Parameter!$I$5:$I$7,CF286)),0),0)</f>
        <v>0</v>
      </c>
      <c r="CR286" s="64" t="n">
        <f aca="false">IF(AND(Parameter!$B$21="Ja",ISNUMBER(W286),N(X286)&gt;0),IFERROR(N(INDEX(Parameter!$L$5:$L$7,W286))*INDEX(Parameter!$E$5:$E$7,W286)*X286/SUMIFS($X$7:$X$1843,$W$7:$W$1843,W286),0),0)</f>
        <v>0</v>
      </c>
      <c r="CS286" s="62" t="n">
        <f aca="false">IF(AND(OR(CG286="L1",CG286="L23",CG286="LIFT"),H286&gt;0),CC286*IF(CR286&gt;0,CR286*MAX(1,H286/X286),IF(CA286=1,CE286,IF(R286&gt;0,CN286/R286,0))/MAX(0.1,N(Parameter!$M$21))),"")</f>
        <v>20.4166666666667</v>
      </c>
      <c r="CT286" s="64" t="n">
        <f aca="false">IF(CS286="","",J286/H286)</f>
        <v>0</v>
      </c>
      <c r="CU286" s="62" t="n">
        <f aca="false">IF(CS286="","",H286*G286)</f>
        <v>591.76</v>
      </c>
      <c r="CV286" s="63" t="n">
        <f aca="false">IF(CS286="","",(CL286+ROUNDUP(CL286+MAX(CM286,2*(J286/MAX(0.1,N(Einkauf!$C$6))-CL286)),0))/2)</f>
        <v>0.5</v>
      </c>
      <c r="CW286" s="62" t="n">
        <f aca="false">IF(CS286="","",MAX(0,H286-CV286)*G286)</f>
        <v>517.79</v>
      </c>
      <c r="CX286" s="62" t="n">
        <f aca="false">IF(CS286="","",CS286*MAX(0,1-CV286/H286))</f>
        <v>17.8645833333333</v>
      </c>
      <c r="CY286" s="64" t="n">
        <f aca="false">IF(CS286="","",PERCENTRANK($CS$7:$CS$1843,CS286)+PERCENTRANK($CU$7:$CU$1843,CU286)+1-PERCENTRANK($CT$7:$CT$1843,CT286))</f>
        <v>2.329</v>
      </c>
      <c r="CZ286" s="72" t="n">
        <f aca="false">IF(CS286="","",CHOOSE(MATCH(Einkauf!$C$5,Parameter!$G$23:$G$27,0),CY286,CS286,CU286,-CT286,CW286)+ROW()/1000000000)</f>
        <v>2.329000286</v>
      </c>
    </row>
    <row r="287" customFormat="false" ht="15" hidden="false" customHeight="false" outlineLevel="0" collapsed="false">
      <c r="A287" s="60" t="s">
        <v>788</v>
      </c>
      <c r="B287" s="60" t="s">
        <v>789</v>
      </c>
      <c r="C287" s="60" t="s">
        <v>209</v>
      </c>
      <c r="D287" s="60" t="s">
        <v>226</v>
      </c>
      <c r="E287" s="60"/>
      <c r="F287" s="60" t="s">
        <v>260</v>
      </c>
      <c r="G287" s="61" t="n">
        <v>81</v>
      </c>
      <c r="H287" s="62" t="n">
        <f aca="false">MAX(0,IF(AND(Parameter!$B$21="Ja",ISNUMBER(Y287)),Y287,IF(Parameter!$B$20="Jahresanfang 2025 + Export",BS287+BR287,BR287)))</f>
        <v>11</v>
      </c>
      <c r="I287" s="62" t="n">
        <f aca="false">H287*G287</f>
        <v>891</v>
      </c>
      <c r="J287" s="62" t="n">
        <f aca="false">BU287*Parameter!$B$18</f>
        <v>0</v>
      </c>
      <c r="K287" s="63" t="n">
        <v>9</v>
      </c>
      <c r="L287" s="64" t="n">
        <v>0</v>
      </c>
      <c r="M287" s="62" t="n">
        <v>0</v>
      </c>
      <c r="N287" s="62" t="n">
        <v>1</v>
      </c>
      <c r="O287" s="65" t="n">
        <v>28</v>
      </c>
      <c r="P287" s="60" t="s">
        <v>370</v>
      </c>
      <c r="Q287" s="62" t="n">
        <v>6</v>
      </c>
      <c r="R287" s="65" t="n">
        <f aca="false">IF(CA287=1,0,IFERROR(VLOOKUP(BY287,'Gebinde-Kategorie'!$A$5:$N$45,13,0)+0,0))</f>
        <v>52</v>
      </c>
      <c r="S287" s="66"/>
      <c r="T287" s="67"/>
      <c r="U287" s="67"/>
      <c r="V287" s="67"/>
      <c r="W287" s="60"/>
      <c r="X287" s="62"/>
      <c r="Y287" s="62"/>
      <c r="Z287" s="60" t="n">
        <v>3</v>
      </c>
      <c r="AA287" s="60" t="n">
        <f aca="false">IF(A287="","",IF(AND(Parameter!$B$21="Ja",ISNUMBER(W287)),W287,IF(AND(Parameter!$E$27="Ja",ISNUMBER(Z287),CD287&lt;&gt;"Nein"),Z287,IF(CD287="2+3",IF(ISNUMBER(SEARCH("grosser Artikel",BV287)),2,IFERROR(VLOOKUP(BY287,Parameter!$F$35:$G$64,2,0),2)),IF(OR(CD287="Nein",CD287=""),"-",CD287)))))</f>
        <v>3</v>
      </c>
      <c r="AB287" s="67"/>
      <c r="AC287" s="68"/>
      <c r="AD287" s="62" t="n">
        <f aca="false">AW287</f>
        <v>1</v>
      </c>
      <c r="AE287" s="62" t="n">
        <f aca="false">MAX(AW287,H287)</f>
        <v>11</v>
      </c>
      <c r="AF287" s="69"/>
      <c r="AG287" s="62" t="n">
        <f aca="false">IF(LEFT(Cockpit!$C$5,1)="A",H287,IF(Parameter!$E$30="MAX-Bestand",IF(CI287=1,CJ287,IF(LEFT(Cockpit!$C$5,1)="B",AM287,MAX(AM287,H287))),ROUNDUP(AK287,0)))</f>
        <v>11</v>
      </c>
      <c r="AH287" s="62" t="n">
        <f aca="false">IF(CA287=1,0,ROUNDUP(AG287/BZ287,0))</f>
        <v>2</v>
      </c>
      <c r="AI287" s="64" t="n">
        <f aca="false">IF(CR287&gt;0,CR287*MAX(1,AG287/X287),IF(CA287=1,IF(AG287&lt;=0,0,CE287*MAX(1,IF(H287&gt;0,AG287/H287,1))),IF(R287&gt;0,AH287/R287,0))/MAX(0.1,N(Parameter!$M$21)))</f>
        <v>0.0384615384615385</v>
      </c>
      <c r="AJ287" s="62" t="n">
        <f aca="false">AI287*CC287</f>
        <v>5.96153846153846</v>
      </c>
      <c r="AK287" s="63" t="n">
        <f aca="false">IF(LEFT(Cockpit!$C$5,1)="A",H287,IF(CI287=1,(CL287+CJ287)/2,IF(LEFT(Cockpit!$C$5,1)="B",(CL287+AM287)/2,MAX((CL287+AM287)/2,H287))))</f>
        <v>11</v>
      </c>
      <c r="AL287" s="62" t="n">
        <f aca="false">AK287*G287</f>
        <v>891</v>
      </c>
      <c r="AM287" s="62" t="n">
        <f aca="false">ROUNDUP(CL287+MAX(CM287,2*(J287/IF(CH287&gt;0,CH287,MAX(0.1,N(Cockpit!$C$6)))-CL287)),0)</f>
        <v>1</v>
      </c>
      <c r="AN287" s="63" t="n">
        <f aca="false">IF(AJ287&gt;0,J287/AJ287,-1)</f>
        <v>0</v>
      </c>
      <c r="AO287" s="63" t="n">
        <f aca="false">IF(AND(OR(CG287="L1",CG287="L23",CG287="LIFT"),AJ287&gt;0),SUMIFS($AJ$7:$AJ$1843,$CG$7:$CG$1843,CG287,$AN$7:$AN$1843,"&gt;"&amp;AN287)+SUMIFS($AJ$7:$AJ$1843,$CG$7:$CG$1843,CG287,$AN$7:$AN$1843,AN287,$BX$7:$BX$1843,"&lt;="&amp;BX287),"")</f>
        <v>27817.8165600877</v>
      </c>
      <c r="AP287" s="70" t="n">
        <f aca="false">IF(AO287="",0,MAX(0,MIN(1,(IF(CG287="L1",Parameter!$H$5,IF(CG287="L23",Parameter!$H$6+Parameter!$H$7,Parameter!$H$5+Parameter!$H$6+Parameter!$H$7))-(AO287-AJ287))/AJ287)))</f>
        <v>1</v>
      </c>
      <c r="AQ287" s="62" t="n">
        <f aca="false">IF(LEFT(Cockpit!$I$5,1)="A",H287,IF(Parameter!$E$30="MAX-Bestand",IF(CI287=1,CJ287,IF(LEFT(Cockpit!$I$5,1)="B",AW287,MAX(AW287,H287))),ROUNDUP(AU287,0)))</f>
        <v>11</v>
      </c>
      <c r="AR287" s="62" t="n">
        <f aca="false">IF(CA287=1,0,ROUNDUP(AQ287/BZ287,0))</f>
        <v>2</v>
      </c>
      <c r="AS287" s="64" t="n">
        <f aca="false">IF(CR287&gt;0,CR287*MAX(1,AQ287/X287),IF(CA287=1,IF(AQ287&lt;=0,0,CE287*MAX(1,IF(H287&gt;0,AQ287/H287,1))),IF(R287&gt;0,AR287/R287,0))/MAX(0.1,N(Parameter!$M$21)))</f>
        <v>0.0384615384615385</v>
      </c>
      <c r="AT287" s="62" t="n">
        <f aca="false">AS287*CC287</f>
        <v>5.96153846153846</v>
      </c>
      <c r="AU287" s="63" t="n">
        <f aca="false">IF(LEFT(Cockpit!$I$5,1)="A",H287,IF(CI287=1,(CL287+CJ287)/2,IF(LEFT(Cockpit!$I$5,1)="B",(CL287+AW287)/2,MAX((CL287+AW287)/2,H287))))</f>
        <v>11</v>
      </c>
      <c r="AV287" s="62" t="n">
        <f aca="false">AU287*G287</f>
        <v>891</v>
      </c>
      <c r="AW287" s="62" t="n">
        <f aca="false">ROUNDUP(CL287+MAX(CM287,2*(J287/IF(CH287&gt;0,CH287,MAX(0.1,N(Cockpit!$I$6)))-CL287)),0)</f>
        <v>1</v>
      </c>
      <c r="AX287" s="63" t="n">
        <f aca="false">IF(AT287&gt;0,J287/AT287,-1)</f>
        <v>0</v>
      </c>
      <c r="AY287" s="63" t="n">
        <f aca="false">IF(AND(OR(CG287="L1",CG287="L23",CG287="LIFT"),AT287&gt;0),SUMIFS($AT$7:$AT$1843,$CG$7:$CG$1843,CG287,$AX$7:$AX$1843,"&gt;"&amp;AX287)+SUMIFS($AT$7:$AT$1843,$CG$7:$CG$1843,CG287,$AX$7:$AX$1843,AX287,$BX$7:$BX$1843,"&lt;="&amp;BX287),"")</f>
        <v>33170.9652014652</v>
      </c>
      <c r="AZ287" s="70" t="n">
        <f aca="false">IF(AY287="",0,MAX(0,MIN(1,(IF(CG287="L1",Parameter!$H$5,IF(CG287="L23",Parameter!$H$6+Parameter!$H$7,Parameter!$H$5+Parameter!$H$6+Parameter!$H$7))-(AY287-AT287))/AT287)))</f>
        <v>1</v>
      </c>
      <c r="BA287" s="62" t="n">
        <f aca="false">IF(LEFT(Cockpit!$O$5,1)="A",H287,IF(Parameter!$E$30="MAX-Bestand",IF(CI287=1,CJ287,IF(LEFT(Cockpit!$O$5,1)="B",BG287,MAX(BG287,H287))),ROUNDUP(BE287,0)))</f>
        <v>1</v>
      </c>
      <c r="BB287" s="62" t="n">
        <f aca="false">IF(CA287=1,0,ROUNDUP(BA287/BZ287,0))</f>
        <v>1</v>
      </c>
      <c r="BC287" s="64" t="n">
        <f aca="false">IF(CR287&gt;0,CR287*MAX(1,BA287/X287),IF(CA287=1,IF(BA287&lt;=0,0,CE287*MAX(1,IF(H287&gt;0,BA287/H287,1))),IF(R287&gt;0,BB287/R287,0))/MAX(0.1,N(Parameter!$M$21)))</f>
        <v>0.0192307692307692</v>
      </c>
      <c r="BD287" s="62" t="n">
        <f aca="false">BC287*CC287</f>
        <v>2.98076923076923</v>
      </c>
      <c r="BE287" s="63" t="n">
        <f aca="false">IF(LEFT(Cockpit!$O$5,1)="A",H287,IF(CI287=1,(CL287+CJ287)/2,IF(LEFT(Cockpit!$O$5,1)="B",(CL287+BG287)/2,MAX((CL287+BG287)/2,H287))))</f>
        <v>0.5</v>
      </c>
      <c r="BF287" s="62" t="n">
        <f aca="false">BE287*G287</f>
        <v>40.5</v>
      </c>
      <c r="BG287" s="62" t="n">
        <f aca="false">ROUNDUP(CL287+MAX(CM287,2*(J287/IF(CH287&gt;0,CH287,MAX(0.1,N(Cockpit!$O$6)))-CL287)),0)</f>
        <v>1</v>
      </c>
      <c r="BH287" s="63" t="n">
        <f aca="false">IF(BD287&gt;0,J287/BD287,-1)</f>
        <v>0</v>
      </c>
      <c r="BI287" s="63" t="n">
        <f aca="false">IF(AND(OR(CG287="L1",CG287="L23",CG287="LIFT"),BD287&gt;0),SUMIFS($BD$7:$BD$1843,$CG$7:$CG$1843,CG287,$BH$7:$BH$1843,"&gt;"&amp;BH287)+SUMIFS($BD$7:$BD$1843,$CG$7:$CG$1843,CG287,$BH$7:$BH$1843,BH287,$BX$7:$BX$1843,"&lt;="&amp;BX287),"")</f>
        <v>27316.841916558</v>
      </c>
      <c r="BJ287" s="70" t="n">
        <f aca="false">IF(BI287="",0,MAX(0,MIN(1,(IF(CG287="L1",Parameter!$H$5,IF(CG287="L23",Parameter!$H$6+Parameter!$H$7,Parameter!$H$5+Parameter!$H$6+Parameter!$H$7))-(BI287-BD287))/BD287)))</f>
        <v>1</v>
      </c>
      <c r="BK287" s="60" t="str">
        <f aca="false">IF(AJ287&lt;=0,"",IF(CG287="Aussen","Aussenlager",IF(CG287="-","Nicht im Lift",IF(AP287&gt;=1,"Lift",IF(AP287&lt;=0,"Aussenlager","teilweise")))))</f>
        <v>Lift</v>
      </c>
      <c r="BL287" s="60" t="str">
        <f aca="false">IF(AT287&lt;=0,"",IF(CG287="Aussen","Aussenlager",IF(CG287="-","Nicht im Lift",IF(AZ287&gt;=1,"Lift",IF(AZ287&lt;=0,"Aussenlager","teilweise")))))</f>
        <v>Lift</v>
      </c>
      <c r="BM287" s="60" t="str">
        <f aca="false">IF(BD287&lt;=0,"",IF(CG287="Aussen","Aussenlager",IF(CG287="-","Nicht im Lift",IF(BJ287&gt;=1,"Lift",IF(BJ287&lt;=0,"Aussenlager","teilweise")))))</f>
        <v>Lift</v>
      </c>
      <c r="BN287" s="60" t="str">
        <f aca="false">IF(A287="","",IF(BW287=1,"Neu; ","")&amp;IF(AND(BW287=0,BR287&lt;0),"negativer Bestand (Export "&amp;BR287&amp;"); ","")&amp;IF(J287&lt;=0,"Kein Verbrauch; ","")&amp;IF(CR287&gt;0,"Lift "&amp;W287&amp;" lt. Liftbericht (Fach "&amp;X287&amp;" Stk); ",IF(CB287=1,"Gebinde geschätzt ("&amp;T287&amp;"); ",IF(CA287=1,"Lose – Tablare geschätzt; ","")))&amp;IF(H287&gt;AW287,"Überbestand "&amp;ROUND(H287-AW287,0)&amp;" Stk / CHF "&amp;ROUND((H287-AW287)*G287,0)&amp;"; ","")&amp;IF(AND(CI287=1,CJ287&lt;CK287),"MAX &lt; MB+LG; ","")&amp;IF(AND(CQ287&gt;0,CP287*10&gt;CQ287),"zu hoch für Tablar; ","")&amp;IF(AND(BW287=0,OR(CI287=1,AB287&lt;&gt;"",U287&lt;&gt;"",V287&lt;&gt;"",AC287&lt;&gt;"")),"manuell übersteuert; ","")&amp;IF(AND(CA287=0,R287=0),"Gebinde unbekannt / Stellmass fehlt; ","")&amp;IF(AND(CA287=0,N(V287)&lt;=0,N(Q287)&lt;=0),"Menge pro Gebinde fehlt (Ist = 1 Gebinde); ","")&amp;BV287)</f>
        <v>Kein Verbrauch; Überbestand 10 Stk / CHF 810; </v>
      </c>
      <c r="BO287" s="60"/>
      <c r="BP287" s="60"/>
      <c r="BQ287" s="67"/>
      <c r="BR287" s="62" t="n">
        <v>4</v>
      </c>
      <c r="BS287" s="62" t="n">
        <v>7</v>
      </c>
      <c r="BT287" s="61" t="n">
        <v>324</v>
      </c>
      <c r="BU287" s="62" t="n">
        <v>0</v>
      </c>
      <c r="BV287" s="60"/>
      <c r="BW287" s="65" t="n">
        <v>0</v>
      </c>
      <c r="BX287" s="65" t="n">
        <v>287</v>
      </c>
      <c r="BY287" s="60" t="str">
        <f aca="false">IF(U287&lt;&gt;"",UPPER(TRIM(U287)),IF(CB287=1,UPPER(VLOOKUP(T287,Parameter!$I$27:$K$29,2,0)),IF(P287="","LOSE",P287)))</f>
        <v>S41</v>
      </c>
      <c r="BZ287" s="62" t="n">
        <f aca="false">IF(BY287="LOSE",1,IF(N(V287)&gt;0,V287,IF(CB287=1,MAX(1,N(VLOOKUP(T287,Parameter!$I$27:$K$29,3,0)),H287,N(N287)),IF(N(Q287)&gt;0,Q287,MAX(1,H287)))))</f>
        <v>6</v>
      </c>
      <c r="CA287" s="65" t="n">
        <f aca="false">IF(BY287="LOSE",1,0)</f>
        <v>0</v>
      </c>
      <c r="CB287" s="65" t="n">
        <f aca="false">IF(AND(U287="",OR(P287="",P287="LOSE"),T287&lt;&gt;"",N(S287)&lt;=0,ISNUMBER(MATCH(T287,Parameter!$I$27:$I$29,0))),1,0)</f>
        <v>0</v>
      </c>
      <c r="CC287" s="65" t="n">
        <f aca="false">IF(CR287&gt;0,INDEX(Parameter!$H$5:$H$7,W287)/INDEX(Parameter!$E$5:$E$7,W287),IF(AND(CA287=0,N(IFERROR(VLOOKUP(BY287,'Gebinde-Kategorie'!$A$5:$N$45,14,0),0))&gt;0),VLOOKUP(BY287,'Gebinde-Kategorie'!$A$5:$N$45,14,0)*10+Parameter!$M$23,Parameter!$M$24))</f>
        <v>155</v>
      </c>
      <c r="CD287" s="60" t="str">
        <f aca="false">IF(AND(Parameter!$B$19="Ja",E287&lt;&gt;"",ISNUMBER(MATCH(E287,Parameter!$I$35:$I$52,0))),VLOOKUP(E287,Parameter!$I$35:$J$52,2,0),IFERROR(VLOOKUP(D287,Parameter!$A$35:$C$64,2,0),"Nein"))</f>
        <v>2+3</v>
      </c>
      <c r="CE287" s="64" t="n">
        <f aca="false">IF(CA287=0,0,IF(N(S287)&gt;0,S287,IFERROR(VLOOKUP(D287,Parameter!$A$35:$C$64,3,0)+0,0)))</f>
        <v>0</v>
      </c>
      <c r="CF287" s="60" t="n">
        <f aca="false">IF(AB287&lt;&gt;"",AB287,AA287)</f>
        <v>3</v>
      </c>
      <c r="CG287" s="60" t="str">
        <f aca="false">IF(OR(CF287=1,CF287=2,CF287=3),IF(Parameter!$E$27="Ja","LIFT",IF(CF287=1,"L1","L23")),IF(CF287="Aussen","Aussen","-"))</f>
        <v>LIFT</v>
      </c>
      <c r="CH287" s="71" t="n">
        <f aca="false">IF(N(AC287)&gt;0,AC287,0)</f>
        <v>0</v>
      </c>
      <c r="CI287" s="65" t="n">
        <f aca="false">IF(ISNUMBER(AF287),1,0)</f>
        <v>0</v>
      </c>
      <c r="CJ287" s="62" t="n">
        <f aca="false">N(AF287)</f>
        <v>0</v>
      </c>
      <c r="CK287" s="62" t="n">
        <f aca="false">N(M287)+N(N287)</f>
        <v>1</v>
      </c>
      <c r="CL287" s="62" t="n">
        <f aca="false">N(M287)</f>
        <v>0</v>
      </c>
      <c r="CM287" s="62" t="n">
        <f aca="false">N(N287)</f>
        <v>1</v>
      </c>
      <c r="CN287" s="62" t="n">
        <f aca="false">ROUNDUP(H287/BZ287,0)</f>
        <v>2</v>
      </c>
      <c r="CO287" s="62" t="n">
        <f aca="false">ROUNDUP(CJ287/BZ287,0)</f>
        <v>0</v>
      </c>
      <c r="CP287" s="65" t="n">
        <f aca="false">IF(CA287=1,0,IFERROR(VLOOKUP(BY287,'Gebinde-Kategorie'!$A$5:$N$45,5,0)+0,0))</f>
        <v>11</v>
      </c>
      <c r="CQ287" s="65" t="n">
        <f aca="false">IFERROR(IF(OR(CF287=1,CF287=2,CF287=3),N(INDEX(Parameter!$I$5:$I$7,CF287)),0),0)</f>
        <v>0</v>
      </c>
      <c r="CR287" s="64" t="n">
        <f aca="false">IF(AND(Parameter!$B$21="Ja",ISNUMBER(W287),N(X287)&gt;0),IFERROR(N(INDEX(Parameter!$L$5:$L$7,W287))*INDEX(Parameter!$E$5:$E$7,W287)*X287/SUMIFS($X$7:$X$1843,$W$7:$W$1843,W287),0),0)</f>
        <v>0</v>
      </c>
      <c r="CS287" s="62" t="n">
        <f aca="false">IF(AND(OR(CG287="L1",CG287="L23",CG287="LIFT"),H287&gt;0),CC287*IF(CR287&gt;0,CR287*MAX(1,H287/X287),IF(CA287=1,CE287,IF(R287&gt;0,CN287/R287,0))/MAX(0.1,N(Parameter!$M$21))),"")</f>
        <v>5.96153846153846</v>
      </c>
      <c r="CT287" s="64" t="n">
        <f aca="false">IF(CS287="","",J287/H287)</f>
        <v>0</v>
      </c>
      <c r="CU287" s="62" t="n">
        <f aca="false">IF(CS287="","",H287*G287)</f>
        <v>891</v>
      </c>
      <c r="CV287" s="63" t="n">
        <f aca="false">IF(CS287="","",(CL287+ROUNDUP(CL287+MAX(CM287,2*(J287/MAX(0.1,N(Einkauf!$C$6))-CL287)),0))/2)</f>
        <v>0.5</v>
      </c>
      <c r="CW287" s="62" t="n">
        <f aca="false">IF(CS287="","",MAX(0,H287-CV287)*G287)</f>
        <v>850.5</v>
      </c>
      <c r="CX287" s="62" t="n">
        <f aca="false">IF(CS287="","",CS287*MAX(0,1-CV287/H287))</f>
        <v>5.69055944055944</v>
      </c>
      <c r="CY287" s="64" t="n">
        <f aca="false">IF(CS287="","",PERCENTRANK($CS$7:$CS$1843,CS287)+PERCENTRANK($CU$7:$CU$1843,CU287)+1-PERCENTRANK($CT$7:$CT$1843,CT287))</f>
        <v>1.983</v>
      </c>
      <c r="CZ287" s="72" t="n">
        <f aca="false">IF(CS287="","",CHOOSE(MATCH(Einkauf!$C$5,Parameter!$G$23:$G$27,0),CY287,CS287,CU287,-CT287,CW287)+ROW()/1000000000)</f>
        <v>1.983000287</v>
      </c>
    </row>
    <row r="288" customFormat="false" ht="15" hidden="false" customHeight="false" outlineLevel="0" collapsed="false">
      <c r="A288" s="60" t="s">
        <v>790</v>
      </c>
      <c r="B288" s="60" t="s">
        <v>791</v>
      </c>
      <c r="C288" s="60" t="s">
        <v>206</v>
      </c>
      <c r="D288" s="60" t="s">
        <v>226</v>
      </c>
      <c r="E288" s="60"/>
      <c r="F288" s="60" t="s">
        <v>260</v>
      </c>
      <c r="G288" s="61" t="n">
        <v>152.26</v>
      </c>
      <c r="H288" s="62" t="n">
        <f aca="false">MAX(0,IF(AND(Parameter!$B$21="Ja",ISNUMBER(Y288)),Y288,IF(Parameter!$B$20="Jahresanfang 2025 + Export",BS288+BR288,BR288)))</f>
        <v>4</v>
      </c>
      <c r="I288" s="62" t="n">
        <f aca="false">H288*G288</f>
        <v>609.04</v>
      </c>
      <c r="J288" s="62" t="n">
        <f aca="false">BU288*Parameter!$B$18</f>
        <v>1</v>
      </c>
      <c r="K288" s="63" t="n">
        <v>3.5</v>
      </c>
      <c r="L288" s="64" t="n">
        <v>0.285714285714286</v>
      </c>
      <c r="M288" s="62" t="n">
        <v>0</v>
      </c>
      <c r="N288" s="62" t="n">
        <v>1</v>
      </c>
      <c r="O288" s="65" t="n">
        <v>28</v>
      </c>
      <c r="P288" s="60" t="s">
        <v>463</v>
      </c>
      <c r="Q288" s="62" t="n">
        <v>4</v>
      </c>
      <c r="R288" s="65" t="n">
        <f aca="false">IF(CA288=1,0,IFERROR(VLOOKUP(BY288,'Gebinde-Kategorie'!$A$5:$N$45,13,0)+0,0))</f>
        <v>104</v>
      </c>
      <c r="S288" s="66"/>
      <c r="T288" s="67"/>
      <c r="U288" s="67"/>
      <c r="V288" s="67"/>
      <c r="W288" s="60"/>
      <c r="X288" s="62"/>
      <c r="Y288" s="62"/>
      <c r="Z288" s="60" t="n">
        <v>3</v>
      </c>
      <c r="AA288" s="60" t="n">
        <f aca="false">IF(A288="","",IF(AND(Parameter!$B$21="Ja",ISNUMBER(W288)),W288,IF(AND(Parameter!$E$27="Ja",ISNUMBER(Z288),CD288&lt;&gt;"Nein"),Z288,IF(CD288="2+3",IF(ISNUMBER(SEARCH("grosser Artikel",BV288)),2,IFERROR(VLOOKUP(BY288,Parameter!$F$35:$G$64,2,0),2)),IF(OR(CD288="Nein",CD288=""),"-",CD288)))))</f>
        <v>3</v>
      </c>
      <c r="AB288" s="67"/>
      <c r="AC288" s="68"/>
      <c r="AD288" s="62" t="n">
        <f aca="false">AW288</f>
        <v>1</v>
      </c>
      <c r="AE288" s="62" t="n">
        <f aca="false">MAX(AW288,H288)</f>
        <v>4</v>
      </c>
      <c r="AF288" s="69"/>
      <c r="AG288" s="62" t="n">
        <f aca="false">IF(LEFT(Cockpit!$C$5,1)="A",H288,IF(Parameter!$E$30="MAX-Bestand",IF(CI288=1,CJ288,IF(LEFT(Cockpit!$C$5,1)="B",AM288,MAX(AM288,H288))),ROUNDUP(AK288,0)))</f>
        <v>4</v>
      </c>
      <c r="AH288" s="62" t="n">
        <f aca="false">IF(CA288=1,0,ROUNDUP(AG288/BZ288,0))</f>
        <v>1</v>
      </c>
      <c r="AI288" s="64" t="n">
        <f aca="false">IF(CR288&gt;0,CR288*MAX(1,AG288/X288),IF(CA288=1,IF(AG288&lt;=0,0,CE288*MAX(1,IF(H288&gt;0,AG288/H288,1))),IF(R288&gt;0,AH288/R288,0))/MAX(0.1,N(Parameter!$M$21)))</f>
        <v>0.00961538461538462</v>
      </c>
      <c r="AJ288" s="62" t="n">
        <f aca="false">AI288*CC288</f>
        <v>1.49038461538462</v>
      </c>
      <c r="AK288" s="63" t="n">
        <f aca="false">IF(LEFT(Cockpit!$C$5,1)="A",H288,IF(CI288=1,(CL288+CJ288)/2,IF(LEFT(Cockpit!$C$5,1)="B",(CL288+AM288)/2,MAX((CL288+AM288)/2,H288))))</f>
        <v>4</v>
      </c>
      <c r="AL288" s="62" t="n">
        <f aca="false">AK288*G288</f>
        <v>609.04</v>
      </c>
      <c r="AM288" s="62" t="n">
        <f aca="false">ROUNDUP(CL288+MAX(CM288,2*(J288/IF(CH288&gt;0,CH288,MAX(0.1,N(Cockpit!$C$6)))-CL288)),0)</f>
        <v>1</v>
      </c>
      <c r="AN288" s="63" t="n">
        <f aca="false">IF(AJ288&gt;0,J288/AJ288,-1)</f>
        <v>0.670967741935484</v>
      </c>
      <c r="AO288" s="63" t="n">
        <f aca="false">IF(AND(OR(CG288="L1",CG288="L23",CG288="LIFT"),AJ288&gt;0),SUMIFS($AJ$7:$AJ$1843,$CG$7:$CG$1843,CG288,$AN$7:$AN$1843,"&gt;"&amp;AN288)+SUMIFS($AJ$7:$AJ$1843,$CG$7:$CG$1843,CG288,$AN$7:$AN$1843,AN288,$BX$7:$BX$1843,"&lt;="&amp;BX288),"")</f>
        <v>8602.69871794872</v>
      </c>
      <c r="AP288" s="70" t="n">
        <f aca="false">IF(AO288="",0,MAX(0,MIN(1,(IF(CG288="L1",Parameter!$H$5,IF(CG288="L23",Parameter!$H$6+Parameter!$H$7,Parameter!$H$5+Parameter!$H$6+Parameter!$H$7))-(AO288-AJ288))/AJ288)))</f>
        <v>1</v>
      </c>
      <c r="AQ288" s="62" t="n">
        <f aca="false">IF(LEFT(Cockpit!$I$5,1)="A",H288,IF(Parameter!$E$30="MAX-Bestand",IF(CI288=1,CJ288,IF(LEFT(Cockpit!$I$5,1)="B",AW288,MAX(AW288,H288))),ROUNDUP(AU288,0)))</f>
        <v>4</v>
      </c>
      <c r="AR288" s="62" t="n">
        <f aca="false">IF(CA288=1,0,ROUNDUP(AQ288/BZ288,0))</f>
        <v>1</v>
      </c>
      <c r="AS288" s="64" t="n">
        <f aca="false">IF(CR288&gt;0,CR288*MAX(1,AQ288/X288),IF(CA288=1,IF(AQ288&lt;=0,0,CE288*MAX(1,IF(H288&gt;0,AQ288/H288,1))),IF(R288&gt;0,AR288/R288,0))/MAX(0.1,N(Parameter!$M$21)))</f>
        <v>0.00961538461538462</v>
      </c>
      <c r="AT288" s="62" t="n">
        <f aca="false">AS288*CC288</f>
        <v>1.49038461538462</v>
      </c>
      <c r="AU288" s="63" t="n">
        <f aca="false">IF(LEFT(Cockpit!$I$5,1)="A",H288,IF(CI288=1,(CL288+CJ288)/2,IF(LEFT(Cockpit!$I$5,1)="B",(CL288+AW288)/2,MAX((CL288+AW288)/2,H288))))</f>
        <v>4</v>
      </c>
      <c r="AV288" s="62" t="n">
        <f aca="false">AU288*G288</f>
        <v>609.04</v>
      </c>
      <c r="AW288" s="62" t="n">
        <f aca="false">ROUNDUP(CL288+MAX(CM288,2*(J288/IF(CH288&gt;0,CH288,MAX(0.1,N(Cockpit!$I$6)))-CL288)),0)</f>
        <v>1</v>
      </c>
      <c r="AX288" s="63" t="n">
        <f aca="false">IF(AT288&gt;0,J288/AT288,-1)</f>
        <v>0.670967741935484</v>
      </c>
      <c r="AY288" s="63" t="n">
        <f aca="false">IF(AND(OR(CG288="L1",CG288="L23",CG288="LIFT"),AT288&gt;0),SUMIFS($AT$7:$AT$1843,$CG$7:$CG$1843,CG288,$AX$7:$AX$1843,"&gt;"&amp;AX288)+SUMIFS($AT$7:$AT$1843,$CG$7:$CG$1843,CG288,$AX$7:$AX$1843,AX288,$BX$7:$BX$1843,"&lt;="&amp;BX288),"")</f>
        <v>10886.4336080586</v>
      </c>
      <c r="AZ288" s="70" t="n">
        <f aca="false">IF(AY288="",0,MAX(0,MIN(1,(IF(CG288="L1",Parameter!$H$5,IF(CG288="L23",Parameter!$H$6+Parameter!$H$7,Parameter!$H$5+Parameter!$H$6+Parameter!$H$7))-(AY288-AT288))/AT288)))</f>
        <v>1</v>
      </c>
      <c r="BA288" s="62" t="n">
        <f aca="false">IF(LEFT(Cockpit!$O$5,1)="A",H288,IF(Parameter!$E$30="MAX-Bestand",IF(CI288=1,CJ288,IF(LEFT(Cockpit!$O$5,1)="B",BG288,MAX(BG288,H288))),ROUNDUP(BE288,0)))</f>
        <v>1</v>
      </c>
      <c r="BB288" s="62" t="n">
        <f aca="false">IF(CA288=1,0,ROUNDUP(BA288/BZ288,0))</f>
        <v>1</v>
      </c>
      <c r="BC288" s="64" t="n">
        <f aca="false">IF(CR288&gt;0,CR288*MAX(1,BA288/X288),IF(CA288=1,IF(BA288&lt;=0,0,CE288*MAX(1,IF(H288&gt;0,BA288/H288,1))),IF(R288&gt;0,BB288/R288,0))/MAX(0.1,N(Parameter!$M$21)))</f>
        <v>0.00961538461538462</v>
      </c>
      <c r="BD288" s="62" t="n">
        <f aca="false">BC288*CC288</f>
        <v>1.49038461538462</v>
      </c>
      <c r="BE288" s="63" t="n">
        <f aca="false">IF(LEFT(Cockpit!$O$5,1)="A",H288,IF(CI288=1,(CL288+CJ288)/2,IF(LEFT(Cockpit!$O$5,1)="B",(CL288+BG288)/2,MAX((CL288+BG288)/2,H288))))</f>
        <v>0.5</v>
      </c>
      <c r="BF288" s="62" t="n">
        <f aca="false">BE288*G288</f>
        <v>76.13</v>
      </c>
      <c r="BG288" s="62" t="n">
        <f aca="false">ROUNDUP(CL288+MAX(CM288,2*(J288/IF(CH288&gt;0,CH288,MAX(0.1,N(Cockpit!$O$6)))-CL288)),0)</f>
        <v>1</v>
      </c>
      <c r="BH288" s="63" t="n">
        <f aca="false">IF(BD288&gt;0,J288/BD288,-1)</f>
        <v>0.670967741935484</v>
      </c>
      <c r="BI288" s="63" t="n">
        <f aca="false">IF(AND(OR(CG288="L1",CG288="L23",CG288="LIFT"),BD288&gt;0),SUMIFS($BD$7:$BD$1843,$CG$7:$CG$1843,CG288,$BH$7:$BH$1843,"&gt;"&amp;BH288)+SUMIFS($BD$7:$BD$1843,$CG$7:$CG$1843,CG288,$BH$7:$BH$1843,BH288,$BX$7:$BX$1843,"&lt;="&amp;BX288),"")</f>
        <v>9490.10622710623</v>
      </c>
      <c r="BJ288" s="70" t="n">
        <f aca="false">IF(BI288="",0,MAX(0,MIN(1,(IF(CG288="L1",Parameter!$H$5,IF(CG288="L23",Parameter!$H$6+Parameter!$H$7,Parameter!$H$5+Parameter!$H$6+Parameter!$H$7))-(BI288-BD288))/BD288)))</f>
        <v>1</v>
      </c>
      <c r="BK288" s="60" t="str">
        <f aca="false">IF(AJ288&lt;=0,"",IF(CG288="Aussen","Aussenlager",IF(CG288="-","Nicht im Lift",IF(AP288&gt;=1,"Lift",IF(AP288&lt;=0,"Aussenlager","teilweise")))))</f>
        <v>Lift</v>
      </c>
      <c r="BL288" s="60" t="str">
        <f aca="false">IF(AT288&lt;=0,"",IF(CG288="Aussen","Aussenlager",IF(CG288="-","Nicht im Lift",IF(AZ288&gt;=1,"Lift",IF(AZ288&lt;=0,"Aussenlager","teilweise")))))</f>
        <v>Lift</v>
      </c>
      <c r="BM288" s="60" t="str">
        <f aca="false">IF(BD288&lt;=0,"",IF(CG288="Aussen","Aussenlager",IF(CG288="-","Nicht im Lift",IF(BJ288&gt;=1,"Lift",IF(BJ288&lt;=0,"Aussenlager","teilweise")))))</f>
        <v>Lift</v>
      </c>
      <c r="BN288" s="60" t="str">
        <f aca="false">IF(A288="","",IF(BW288=1,"Neu; ","")&amp;IF(AND(BW288=0,BR288&lt;0),"negativer Bestand (Export "&amp;BR288&amp;"); ","")&amp;IF(J288&lt;=0,"Kein Verbrauch; ","")&amp;IF(CR288&gt;0,"Lift "&amp;W288&amp;" lt. Liftbericht (Fach "&amp;X288&amp;" Stk); ",IF(CB288=1,"Gebinde geschätzt ("&amp;T288&amp;"); ",IF(CA288=1,"Lose – Tablare geschätzt; ","")))&amp;IF(H288&gt;AW288,"Überbestand "&amp;ROUND(H288-AW288,0)&amp;" Stk / CHF "&amp;ROUND((H288-AW288)*G288,0)&amp;"; ","")&amp;IF(AND(CI288=1,CJ288&lt;CK288),"MAX &lt; MB+LG; ","")&amp;IF(AND(CQ288&gt;0,CP288*10&gt;CQ288),"zu hoch für Tablar; ","")&amp;IF(AND(BW288=0,OR(CI288=1,AB288&lt;&gt;"",U288&lt;&gt;"",V288&lt;&gt;"",AC288&lt;&gt;"")),"manuell übersteuert; ","")&amp;IF(AND(CA288=0,R288=0),"Gebinde unbekannt / Stellmass fehlt; ","")&amp;IF(AND(CA288=0,N(V288)&lt;=0,N(Q288)&lt;=0),"Menge pro Gebinde fehlt (Ist = 1 Gebinde); ","")&amp;BV288)</f>
        <v>Überbestand 3 Stk / CHF 457; </v>
      </c>
      <c r="BO288" s="60"/>
      <c r="BP288" s="60"/>
      <c r="BQ288" s="67"/>
      <c r="BR288" s="62" t="n">
        <v>2</v>
      </c>
      <c r="BS288" s="62" t="n">
        <v>2</v>
      </c>
      <c r="BT288" s="61" t="n">
        <v>322.92</v>
      </c>
      <c r="BU288" s="62" t="n">
        <v>1</v>
      </c>
      <c r="BV288" s="60"/>
      <c r="BW288" s="65" t="n">
        <v>0</v>
      </c>
      <c r="BX288" s="65" t="n">
        <v>288</v>
      </c>
      <c r="BY288" s="60" t="str">
        <f aca="false">IF(U288&lt;&gt;"",UPPER(TRIM(U288)),IF(CB288=1,UPPER(VLOOKUP(T288,Parameter!$I$27:$K$29,2,0)),IF(P288="","LOSE",P288)))</f>
        <v>S32</v>
      </c>
      <c r="BZ288" s="62" t="n">
        <f aca="false">IF(BY288="LOSE",1,IF(N(V288)&gt;0,V288,IF(CB288=1,MAX(1,N(VLOOKUP(T288,Parameter!$I$27:$K$29,3,0)),H288,N(N288)),IF(N(Q288)&gt;0,Q288,MAX(1,H288)))))</f>
        <v>4</v>
      </c>
      <c r="CA288" s="65" t="n">
        <f aca="false">IF(BY288="LOSE",1,0)</f>
        <v>0</v>
      </c>
      <c r="CB288" s="65" t="n">
        <f aca="false">IF(AND(U288="",OR(P288="",P288="LOSE"),T288&lt;&gt;"",N(S288)&lt;=0,ISNUMBER(MATCH(T288,Parameter!$I$27:$I$29,0))),1,0)</f>
        <v>0</v>
      </c>
      <c r="CC288" s="65" t="n">
        <f aca="false">IF(CR288&gt;0,INDEX(Parameter!$H$5:$H$7,W288)/INDEX(Parameter!$E$5:$E$7,W288),IF(AND(CA288=0,N(IFERROR(VLOOKUP(BY288,'Gebinde-Kategorie'!$A$5:$N$45,14,0),0))&gt;0),VLOOKUP(BY288,'Gebinde-Kategorie'!$A$5:$N$45,14,0)*10+Parameter!$M$23,Parameter!$M$24))</f>
        <v>155</v>
      </c>
      <c r="CD288" s="60" t="str">
        <f aca="false">IF(AND(Parameter!$B$19="Ja",E288&lt;&gt;"",ISNUMBER(MATCH(E288,Parameter!$I$35:$I$52,0))),VLOOKUP(E288,Parameter!$I$35:$J$52,2,0),IFERROR(VLOOKUP(D288,Parameter!$A$35:$C$64,2,0),"Nein"))</f>
        <v>2+3</v>
      </c>
      <c r="CE288" s="64" t="n">
        <f aca="false">IF(CA288=0,0,IF(N(S288)&gt;0,S288,IFERROR(VLOOKUP(D288,Parameter!$A$35:$C$64,3,0)+0,0)))</f>
        <v>0</v>
      </c>
      <c r="CF288" s="60" t="n">
        <f aca="false">IF(AB288&lt;&gt;"",AB288,AA288)</f>
        <v>3</v>
      </c>
      <c r="CG288" s="60" t="str">
        <f aca="false">IF(OR(CF288=1,CF288=2,CF288=3),IF(Parameter!$E$27="Ja","LIFT",IF(CF288=1,"L1","L23")),IF(CF288="Aussen","Aussen","-"))</f>
        <v>LIFT</v>
      </c>
      <c r="CH288" s="71" t="n">
        <f aca="false">IF(N(AC288)&gt;0,AC288,0)</f>
        <v>0</v>
      </c>
      <c r="CI288" s="65" t="n">
        <f aca="false">IF(ISNUMBER(AF288),1,0)</f>
        <v>0</v>
      </c>
      <c r="CJ288" s="62" t="n">
        <f aca="false">N(AF288)</f>
        <v>0</v>
      </c>
      <c r="CK288" s="62" t="n">
        <f aca="false">N(M288)+N(N288)</f>
        <v>1</v>
      </c>
      <c r="CL288" s="62" t="n">
        <f aca="false">N(M288)</f>
        <v>0</v>
      </c>
      <c r="CM288" s="62" t="n">
        <f aca="false">N(N288)</f>
        <v>1</v>
      </c>
      <c r="CN288" s="62" t="n">
        <f aca="false">ROUNDUP(H288/BZ288,0)</f>
        <v>1</v>
      </c>
      <c r="CO288" s="62" t="n">
        <f aca="false">ROUNDUP(CJ288/BZ288,0)</f>
        <v>0</v>
      </c>
      <c r="CP288" s="65" t="n">
        <f aca="false">IF(CA288=1,0,IFERROR(VLOOKUP(BY288,'Gebinde-Kategorie'!$A$5:$N$45,5,0)+0,0))</f>
        <v>8</v>
      </c>
      <c r="CQ288" s="65" t="n">
        <f aca="false">IFERROR(IF(OR(CF288=1,CF288=2,CF288=3),N(INDEX(Parameter!$I$5:$I$7,CF288)),0),0)</f>
        <v>0</v>
      </c>
      <c r="CR288" s="64" t="n">
        <f aca="false">IF(AND(Parameter!$B$21="Ja",ISNUMBER(W288),N(X288)&gt;0),IFERROR(N(INDEX(Parameter!$L$5:$L$7,W288))*INDEX(Parameter!$E$5:$E$7,W288)*X288/SUMIFS($X$7:$X$1843,$W$7:$W$1843,W288),0),0)</f>
        <v>0</v>
      </c>
      <c r="CS288" s="62" t="n">
        <f aca="false">IF(AND(OR(CG288="L1",CG288="L23",CG288="LIFT"),H288&gt;0),CC288*IF(CR288&gt;0,CR288*MAX(1,H288/X288),IF(CA288=1,CE288,IF(R288&gt;0,CN288/R288,0))/MAX(0.1,N(Parameter!$M$21))),"")</f>
        <v>1.49038461538462</v>
      </c>
      <c r="CT288" s="64" t="n">
        <f aca="false">IF(CS288="","",J288/H288)</f>
        <v>0.25</v>
      </c>
      <c r="CU288" s="62" t="n">
        <f aca="false">IF(CS288="","",H288*G288)</f>
        <v>609.04</v>
      </c>
      <c r="CV288" s="63" t="n">
        <f aca="false">IF(CS288="","",(CL288+ROUNDUP(CL288+MAX(CM288,2*(J288/MAX(0.1,N(Einkauf!$C$6))-CL288)),0))/2)</f>
        <v>0.5</v>
      </c>
      <c r="CW288" s="62" t="n">
        <f aca="false">IF(CS288="","",MAX(0,H288-CV288)*G288)</f>
        <v>532.91</v>
      </c>
      <c r="CX288" s="62" t="n">
        <f aca="false">IF(CS288="","",CS288*MAX(0,1-CV288/H288))</f>
        <v>1.30408653846154</v>
      </c>
      <c r="CY288" s="64" t="n">
        <f aca="false">IF(CS288="","",PERCENTRANK($CS$7:$CS$1843,CS288)+PERCENTRANK($CU$7:$CU$1843,CU288)+1-PERCENTRANK($CT$7:$CT$1843,CT288))</f>
        <v>1.186</v>
      </c>
      <c r="CZ288" s="72" t="n">
        <f aca="false">IF(CS288="","",CHOOSE(MATCH(Einkauf!$C$5,Parameter!$G$23:$G$27,0),CY288,CS288,CU288,-CT288,CW288)+ROW()/1000000000)</f>
        <v>1.186000288</v>
      </c>
    </row>
    <row r="289" customFormat="false" ht="15" hidden="false" customHeight="false" outlineLevel="0" collapsed="false">
      <c r="A289" s="60" t="s">
        <v>792</v>
      </c>
      <c r="B289" s="60" t="s">
        <v>793</v>
      </c>
      <c r="C289" s="60" t="s">
        <v>206</v>
      </c>
      <c r="D289" s="60" t="s">
        <v>226</v>
      </c>
      <c r="E289" s="60" t="s">
        <v>227</v>
      </c>
      <c r="F289" s="60" t="s">
        <v>260</v>
      </c>
      <c r="G289" s="61" t="n">
        <v>11.14</v>
      </c>
      <c r="H289" s="62" t="n">
        <f aca="false">MAX(0,IF(AND(Parameter!$B$21="Ja",ISNUMBER(Y289)),Y289,IF(Parameter!$B$20="Jahresanfang 2025 + Export",BS289+BR289,BR289)))</f>
        <v>34</v>
      </c>
      <c r="I289" s="62" t="n">
        <f aca="false">H289*G289</f>
        <v>378.76</v>
      </c>
      <c r="J289" s="62" t="n">
        <f aca="false">BU289*Parameter!$B$18</f>
        <v>5</v>
      </c>
      <c r="K289" s="63" t="n">
        <v>5</v>
      </c>
      <c r="L289" s="64" t="n">
        <v>1</v>
      </c>
      <c r="M289" s="62" t="n">
        <v>0</v>
      </c>
      <c r="N289" s="62" t="n">
        <v>5</v>
      </c>
      <c r="O289" s="65" t="n">
        <v>14</v>
      </c>
      <c r="P289" s="60" t="s">
        <v>463</v>
      </c>
      <c r="Q289" s="62" t="n">
        <v>11</v>
      </c>
      <c r="R289" s="65" t="n">
        <f aca="false">IF(CA289=1,0,IFERROR(VLOOKUP(BY289,'Gebinde-Kategorie'!$A$5:$N$45,13,0)+0,0))</f>
        <v>104</v>
      </c>
      <c r="S289" s="66"/>
      <c r="T289" s="67"/>
      <c r="U289" s="67"/>
      <c r="V289" s="67"/>
      <c r="W289" s="60"/>
      <c r="X289" s="62"/>
      <c r="Y289" s="62"/>
      <c r="Z289" s="60" t="n">
        <v>3</v>
      </c>
      <c r="AA289" s="60" t="n">
        <f aca="false">IF(A289="","",IF(AND(Parameter!$B$21="Ja",ISNUMBER(W289)),W289,IF(AND(Parameter!$E$27="Ja",ISNUMBER(Z289),CD289&lt;&gt;"Nein"),Z289,IF(CD289="2+3",IF(ISNUMBER(SEARCH("grosser Artikel",BV289)),2,IFERROR(VLOOKUP(BY289,Parameter!$F$35:$G$64,2,0),2)),IF(OR(CD289="Nein",CD289=""),"-",CD289)))))</f>
        <v>3</v>
      </c>
      <c r="AB289" s="67"/>
      <c r="AC289" s="68"/>
      <c r="AD289" s="62" t="n">
        <f aca="false">AW289</f>
        <v>5</v>
      </c>
      <c r="AE289" s="62" t="n">
        <f aca="false">MAX(AW289,H289)</f>
        <v>34</v>
      </c>
      <c r="AF289" s="69"/>
      <c r="AG289" s="62" t="n">
        <f aca="false">IF(LEFT(Cockpit!$C$5,1)="A",H289,IF(Parameter!$E$30="MAX-Bestand",IF(CI289=1,CJ289,IF(LEFT(Cockpit!$C$5,1)="B",AM289,MAX(AM289,H289))),ROUNDUP(AK289,0)))</f>
        <v>34</v>
      </c>
      <c r="AH289" s="62" t="n">
        <f aca="false">IF(CA289=1,0,ROUNDUP(AG289/BZ289,0))</f>
        <v>4</v>
      </c>
      <c r="AI289" s="64" t="n">
        <f aca="false">IF(CR289&gt;0,CR289*MAX(1,AG289/X289),IF(CA289=1,IF(AG289&lt;=0,0,CE289*MAX(1,IF(H289&gt;0,AG289/H289,1))),IF(R289&gt;0,AH289/R289,0))/MAX(0.1,N(Parameter!$M$21)))</f>
        <v>0.0384615384615385</v>
      </c>
      <c r="AJ289" s="62" t="n">
        <f aca="false">AI289*CC289</f>
        <v>5.96153846153846</v>
      </c>
      <c r="AK289" s="63" t="n">
        <f aca="false">IF(LEFT(Cockpit!$C$5,1)="A",H289,IF(CI289=1,(CL289+CJ289)/2,IF(LEFT(Cockpit!$C$5,1)="B",(CL289+AM289)/2,MAX((CL289+AM289)/2,H289))))</f>
        <v>34</v>
      </c>
      <c r="AL289" s="62" t="n">
        <f aca="false">AK289*G289</f>
        <v>378.76</v>
      </c>
      <c r="AM289" s="62" t="n">
        <f aca="false">ROUNDUP(CL289+MAX(CM289,2*(J289/IF(CH289&gt;0,CH289,MAX(0.1,N(Cockpit!$C$6)))-CL289)),0)</f>
        <v>5</v>
      </c>
      <c r="AN289" s="63" t="n">
        <f aca="false">IF(AJ289&gt;0,J289/AJ289,-1)</f>
        <v>0.838709677419355</v>
      </c>
      <c r="AO289" s="63" t="n">
        <f aca="false">IF(AND(OR(CG289="L1",CG289="L23",CG289="LIFT"),AJ289&gt;0),SUMIFS($AJ$7:$AJ$1843,$CG$7:$CG$1843,CG289,$AN$7:$AN$1843,"&gt;"&amp;AN289)+SUMIFS($AJ$7:$AJ$1843,$CG$7:$CG$1843,CG289,$AN$7:$AN$1843,AN289,$BX$7:$BX$1843,"&lt;="&amp;BX289),"")</f>
        <v>7878.74038461538</v>
      </c>
      <c r="AP289" s="70" t="n">
        <f aca="false">IF(AO289="",0,MAX(0,MIN(1,(IF(CG289="L1",Parameter!$H$5,IF(CG289="L23",Parameter!$H$6+Parameter!$H$7,Parameter!$H$5+Parameter!$H$6+Parameter!$H$7))-(AO289-AJ289))/AJ289)))</f>
        <v>1</v>
      </c>
      <c r="AQ289" s="62" t="n">
        <f aca="false">IF(LEFT(Cockpit!$I$5,1)="A",H289,IF(Parameter!$E$30="MAX-Bestand",IF(CI289=1,CJ289,IF(LEFT(Cockpit!$I$5,1)="B",AW289,MAX(AW289,H289))),ROUNDUP(AU289,0)))</f>
        <v>34</v>
      </c>
      <c r="AR289" s="62" t="n">
        <f aca="false">IF(CA289=1,0,ROUNDUP(AQ289/BZ289,0))</f>
        <v>4</v>
      </c>
      <c r="AS289" s="64" t="n">
        <f aca="false">IF(CR289&gt;0,CR289*MAX(1,AQ289/X289),IF(CA289=1,IF(AQ289&lt;=0,0,CE289*MAX(1,IF(H289&gt;0,AQ289/H289,1))),IF(R289&gt;0,AR289/R289,0))/MAX(0.1,N(Parameter!$M$21)))</f>
        <v>0.0384615384615385</v>
      </c>
      <c r="AT289" s="62" t="n">
        <f aca="false">AS289*CC289</f>
        <v>5.96153846153846</v>
      </c>
      <c r="AU289" s="63" t="n">
        <f aca="false">IF(LEFT(Cockpit!$I$5,1)="A",H289,IF(CI289=1,(CL289+CJ289)/2,IF(LEFT(Cockpit!$I$5,1)="B",(CL289+AW289)/2,MAX((CL289+AW289)/2,H289))))</f>
        <v>34</v>
      </c>
      <c r="AV289" s="62" t="n">
        <f aca="false">AU289*G289</f>
        <v>378.76</v>
      </c>
      <c r="AW289" s="62" t="n">
        <f aca="false">ROUNDUP(CL289+MAX(CM289,2*(J289/IF(CH289&gt;0,CH289,MAX(0.1,N(Cockpit!$I$6)))-CL289)),0)</f>
        <v>5</v>
      </c>
      <c r="AX289" s="63" t="n">
        <f aca="false">IF(AT289&gt;0,J289/AT289,-1)</f>
        <v>0.838709677419355</v>
      </c>
      <c r="AY289" s="63" t="n">
        <f aca="false">IF(AND(OR(CG289="L1",CG289="L23",CG289="LIFT"),AT289&gt;0),SUMIFS($AT$7:$AT$1843,$CG$7:$CG$1843,CG289,$AX$7:$AX$1843,"&gt;"&amp;AX289)+SUMIFS($AT$7:$AT$1843,$CG$7:$CG$1843,CG289,$AX$7:$AX$1843,AX289,$BX$7:$BX$1843,"&lt;="&amp;BX289),"")</f>
        <v>9628.1804029304</v>
      </c>
      <c r="AZ289" s="70" t="n">
        <f aca="false">IF(AY289="",0,MAX(0,MIN(1,(IF(CG289="L1",Parameter!$H$5,IF(CG289="L23",Parameter!$H$6+Parameter!$H$7,Parameter!$H$5+Parameter!$H$6+Parameter!$H$7))-(AY289-AT289))/AT289)))</f>
        <v>1</v>
      </c>
      <c r="BA289" s="62" t="n">
        <f aca="false">IF(LEFT(Cockpit!$O$5,1)="A",H289,IF(Parameter!$E$30="MAX-Bestand",IF(CI289=1,CJ289,IF(LEFT(Cockpit!$O$5,1)="B",BG289,MAX(BG289,H289))),ROUNDUP(BE289,0)))</f>
        <v>3</v>
      </c>
      <c r="BB289" s="62" t="n">
        <f aca="false">IF(CA289=1,0,ROUNDUP(BA289/BZ289,0))</f>
        <v>1</v>
      </c>
      <c r="BC289" s="64" t="n">
        <f aca="false">IF(CR289&gt;0,CR289*MAX(1,BA289/X289),IF(CA289=1,IF(BA289&lt;=0,0,CE289*MAX(1,IF(H289&gt;0,BA289/H289,1))),IF(R289&gt;0,BB289/R289,0))/MAX(0.1,N(Parameter!$M$21)))</f>
        <v>0.00961538461538462</v>
      </c>
      <c r="BD289" s="62" t="n">
        <f aca="false">BC289*CC289</f>
        <v>1.49038461538462</v>
      </c>
      <c r="BE289" s="63" t="n">
        <f aca="false">IF(LEFT(Cockpit!$O$5,1)="A",H289,IF(CI289=1,(CL289+CJ289)/2,IF(LEFT(Cockpit!$O$5,1)="B",(CL289+BG289)/2,MAX((CL289+BG289)/2,H289))))</f>
        <v>2.5</v>
      </c>
      <c r="BF289" s="62" t="n">
        <f aca="false">BE289*G289</f>
        <v>27.85</v>
      </c>
      <c r="BG289" s="62" t="n">
        <f aca="false">ROUNDUP(CL289+MAX(CM289,2*(J289/IF(CH289&gt;0,CH289,MAX(0.1,N(Cockpit!$O$6)))-CL289)),0)</f>
        <v>5</v>
      </c>
      <c r="BH289" s="63" t="n">
        <f aca="false">IF(BD289&gt;0,J289/BD289,-1)</f>
        <v>3.35483870967742</v>
      </c>
      <c r="BI289" s="63" t="n">
        <f aca="false">IF(AND(OR(CG289="L1",CG289="L23",CG289="LIFT"),BD289&gt;0),SUMIFS($BD$7:$BD$1843,$CG$7:$CG$1843,CG289,$BH$7:$BH$1843,"&gt;"&amp;BH289)+SUMIFS($BD$7:$BD$1843,$CG$7:$CG$1843,CG289,$BH$7:$BH$1843,BH289,$BX$7:$BX$1843,"&lt;="&amp;BX289),"")</f>
        <v>4565.36401098901</v>
      </c>
      <c r="BJ289" s="70" t="n">
        <f aca="false">IF(BI289="",0,MAX(0,MIN(1,(IF(CG289="L1",Parameter!$H$5,IF(CG289="L23",Parameter!$H$6+Parameter!$H$7,Parameter!$H$5+Parameter!$H$6+Parameter!$H$7))-(BI289-BD289))/BD289)))</f>
        <v>1</v>
      </c>
      <c r="BK289" s="60" t="str">
        <f aca="false">IF(AJ289&lt;=0,"",IF(CG289="Aussen","Aussenlager",IF(CG289="-","Nicht im Lift",IF(AP289&gt;=1,"Lift",IF(AP289&lt;=0,"Aussenlager","teilweise")))))</f>
        <v>Lift</v>
      </c>
      <c r="BL289" s="60" t="str">
        <f aca="false">IF(AT289&lt;=0,"",IF(CG289="Aussen","Aussenlager",IF(CG289="-","Nicht im Lift",IF(AZ289&gt;=1,"Lift",IF(AZ289&lt;=0,"Aussenlager","teilweise")))))</f>
        <v>Lift</v>
      </c>
      <c r="BM289" s="60" t="str">
        <f aca="false">IF(BD289&lt;=0,"",IF(CG289="Aussen","Aussenlager",IF(CG289="-","Nicht im Lift",IF(BJ289&gt;=1,"Lift",IF(BJ289&lt;=0,"Aussenlager","teilweise")))))</f>
        <v>Lift</v>
      </c>
      <c r="BN289" s="60" t="str">
        <f aca="false">IF(A289="","",IF(BW289=1,"Neu; ","")&amp;IF(AND(BW289=0,BR289&lt;0),"negativer Bestand (Export "&amp;BR289&amp;"); ","")&amp;IF(J289&lt;=0,"Kein Verbrauch; ","")&amp;IF(CR289&gt;0,"Lift "&amp;W289&amp;" lt. Liftbericht (Fach "&amp;X289&amp;" Stk); ",IF(CB289=1,"Gebinde geschätzt ("&amp;T289&amp;"); ",IF(CA289=1,"Lose – Tablare geschätzt; ","")))&amp;IF(H289&gt;AW289,"Überbestand "&amp;ROUND(H289-AW289,0)&amp;" Stk / CHF "&amp;ROUND((H289-AW289)*G289,0)&amp;"; ","")&amp;IF(AND(CI289=1,CJ289&lt;CK289),"MAX &lt; MB+LG; ","")&amp;IF(AND(CQ289&gt;0,CP289*10&gt;CQ289),"zu hoch für Tablar; ","")&amp;IF(AND(BW289=0,OR(CI289=1,AB289&lt;&gt;"",U289&lt;&gt;"",V289&lt;&gt;"",AC289&lt;&gt;"")),"manuell übersteuert; ","")&amp;IF(AND(CA289=0,R289=0),"Gebinde unbekannt / Stellmass fehlt; ","")&amp;IF(AND(CA289=0,N(V289)&lt;=0,N(Q289)&lt;=0),"Menge pro Gebinde fehlt (Ist = 1 Gebinde); ","")&amp;BV289)</f>
        <v>Überbestand 29 Stk / CHF 323; </v>
      </c>
      <c r="BO289" s="60"/>
      <c r="BP289" s="60"/>
      <c r="BQ289" s="67"/>
      <c r="BR289" s="62" t="n">
        <v>29</v>
      </c>
      <c r="BS289" s="62" t="n">
        <v>5</v>
      </c>
      <c r="BT289" s="61" t="n">
        <v>310.91</v>
      </c>
      <c r="BU289" s="62" t="n">
        <v>5</v>
      </c>
      <c r="BV289" s="60"/>
      <c r="BW289" s="65" t="n">
        <v>0</v>
      </c>
      <c r="BX289" s="65" t="n">
        <v>289</v>
      </c>
      <c r="BY289" s="60" t="str">
        <f aca="false">IF(U289&lt;&gt;"",UPPER(TRIM(U289)),IF(CB289=1,UPPER(VLOOKUP(T289,Parameter!$I$27:$K$29,2,0)),IF(P289="","LOSE",P289)))</f>
        <v>S32</v>
      </c>
      <c r="BZ289" s="62" t="n">
        <f aca="false">IF(BY289="LOSE",1,IF(N(V289)&gt;0,V289,IF(CB289=1,MAX(1,N(VLOOKUP(T289,Parameter!$I$27:$K$29,3,0)),H289,N(N289)),IF(N(Q289)&gt;0,Q289,MAX(1,H289)))))</f>
        <v>11</v>
      </c>
      <c r="CA289" s="65" t="n">
        <f aca="false">IF(BY289="LOSE",1,0)</f>
        <v>0</v>
      </c>
      <c r="CB289" s="65" t="n">
        <f aca="false">IF(AND(U289="",OR(P289="",P289="LOSE"),T289&lt;&gt;"",N(S289)&lt;=0,ISNUMBER(MATCH(T289,Parameter!$I$27:$I$29,0))),1,0)</f>
        <v>0</v>
      </c>
      <c r="CC289" s="65" t="n">
        <f aca="false">IF(CR289&gt;0,INDEX(Parameter!$H$5:$H$7,W289)/INDEX(Parameter!$E$5:$E$7,W289),IF(AND(CA289=0,N(IFERROR(VLOOKUP(BY289,'Gebinde-Kategorie'!$A$5:$N$45,14,0),0))&gt;0),VLOOKUP(BY289,'Gebinde-Kategorie'!$A$5:$N$45,14,0)*10+Parameter!$M$23,Parameter!$M$24))</f>
        <v>155</v>
      </c>
      <c r="CD289" s="60" t="str">
        <f aca="false">IF(AND(Parameter!$B$19="Ja",E289&lt;&gt;"",ISNUMBER(MATCH(E289,Parameter!$I$35:$I$52,0))),VLOOKUP(E289,Parameter!$I$35:$J$52,2,0),IFERROR(VLOOKUP(D289,Parameter!$A$35:$C$64,2,0),"Nein"))</f>
        <v>2+3</v>
      </c>
      <c r="CE289" s="64" t="n">
        <f aca="false">IF(CA289=0,0,IF(N(S289)&gt;0,S289,IFERROR(VLOOKUP(D289,Parameter!$A$35:$C$64,3,0)+0,0)))</f>
        <v>0</v>
      </c>
      <c r="CF289" s="60" t="n">
        <f aca="false">IF(AB289&lt;&gt;"",AB289,AA289)</f>
        <v>3</v>
      </c>
      <c r="CG289" s="60" t="str">
        <f aca="false">IF(OR(CF289=1,CF289=2,CF289=3),IF(Parameter!$E$27="Ja","LIFT",IF(CF289=1,"L1","L23")),IF(CF289="Aussen","Aussen","-"))</f>
        <v>LIFT</v>
      </c>
      <c r="CH289" s="71" t="n">
        <f aca="false">IF(N(AC289)&gt;0,AC289,0)</f>
        <v>0</v>
      </c>
      <c r="CI289" s="65" t="n">
        <f aca="false">IF(ISNUMBER(AF289),1,0)</f>
        <v>0</v>
      </c>
      <c r="CJ289" s="62" t="n">
        <f aca="false">N(AF289)</f>
        <v>0</v>
      </c>
      <c r="CK289" s="62" t="n">
        <f aca="false">N(M289)+N(N289)</f>
        <v>5</v>
      </c>
      <c r="CL289" s="62" t="n">
        <f aca="false">N(M289)</f>
        <v>0</v>
      </c>
      <c r="CM289" s="62" t="n">
        <f aca="false">N(N289)</f>
        <v>5</v>
      </c>
      <c r="CN289" s="62" t="n">
        <f aca="false">ROUNDUP(H289/BZ289,0)</f>
        <v>4</v>
      </c>
      <c r="CO289" s="62" t="n">
        <f aca="false">ROUNDUP(CJ289/BZ289,0)</f>
        <v>0</v>
      </c>
      <c r="CP289" s="65" t="n">
        <f aca="false">IF(CA289=1,0,IFERROR(VLOOKUP(BY289,'Gebinde-Kategorie'!$A$5:$N$45,5,0)+0,0))</f>
        <v>8</v>
      </c>
      <c r="CQ289" s="65" t="n">
        <f aca="false">IFERROR(IF(OR(CF289=1,CF289=2,CF289=3),N(INDEX(Parameter!$I$5:$I$7,CF289)),0),0)</f>
        <v>0</v>
      </c>
      <c r="CR289" s="64" t="n">
        <f aca="false">IF(AND(Parameter!$B$21="Ja",ISNUMBER(W289),N(X289)&gt;0),IFERROR(N(INDEX(Parameter!$L$5:$L$7,W289))*INDEX(Parameter!$E$5:$E$7,W289)*X289/SUMIFS($X$7:$X$1843,$W$7:$W$1843,W289),0),0)</f>
        <v>0</v>
      </c>
      <c r="CS289" s="62" t="n">
        <f aca="false">IF(AND(OR(CG289="L1",CG289="L23",CG289="LIFT"),H289&gt;0),CC289*IF(CR289&gt;0,CR289*MAX(1,H289/X289),IF(CA289=1,CE289,IF(R289&gt;0,CN289/R289,0))/MAX(0.1,N(Parameter!$M$21))),"")</f>
        <v>5.96153846153846</v>
      </c>
      <c r="CT289" s="64" t="n">
        <f aca="false">IF(CS289="","",J289/H289)</f>
        <v>0.147058823529412</v>
      </c>
      <c r="CU289" s="62" t="n">
        <f aca="false">IF(CS289="","",H289*G289)</f>
        <v>378.76</v>
      </c>
      <c r="CV289" s="63" t="n">
        <f aca="false">IF(CS289="","",(CL289+ROUNDUP(CL289+MAX(CM289,2*(J289/MAX(0.1,N(Einkauf!$C$6))-CL289)),0))/2)</f>
        <v>2.5</v>
      </c>
      <c r="CW289" s="62" t="n">
        <f aca="false">IF(CS289="","",MAX(0,H289-CV289)*G289)</f>
        <v>350.91</v>
      </c>
      <c r="CX289" s="62" t="n">
        <f aca="false">IF(CS289="","",CS289*MAX(0,1-CV289/H289))</f>
        <v>5.52319004524887</v>
      </c>
      <c r="CY289" s="64" t="n">
        <f aca="false">IF(CS289="","",PERCENTRANK($CS$7:$CS$1843,CS289)+PERCENTRANK($CU$7:$CU$1843,CU289)+1-PERCENTRANK($CT$7:$CT$1843,CT289))</f>
        <v>1.377</v>
      </c>
      <c r="CZ289" s="72" t="n">
        <f aca="false">IF(CS289="","",CHOOSE(MATCH(Einkauf!$C$5,Parameter!$G$23:$G$27,0),CY289,CS289,CU289,-CT289,CW289)+ROW()/1000000000)</f>
        <v>1.377000289</v>
      </c>
    </row>
    <row r="290" customFormat="false" ht="15" hidden="false" customHeight="false" outlineLevel="0" collapsed="false">
      <c r="A290" s="60" t="s">
        <v>794</v>
      </c>
      <c r="B290" s="60" t="s">
        <v>795</v>
      </c>
      <c r="C290" s="60" t="s">
        <v>206</v>
      </c>
      <c r="D290" s="60" t="s">
        <v>226</v>
      </c>
      <c r="E290" s="60" t="s">
        <v>227</v>
      </c>
      <c r="F290" s="60" t="s">
        <v>260</v>
      </c>
      <c r="G290" s="61" t="n">
        <v>4.03</v>
      </c>
      <c r="H290" s="62" t="n">
        <f aca="false">MAX(0,IF(AND(Parameter!$B$21="Ja",ISNUMBER(Y290)),Y290,IF(Parameter!$B$20="Jahresanfang 2025 + Export",BS290+BR290,BR290)))</f>
        <v>133</v>
      </c>
      <c r="I290" s="62" t="n">
        <f aca="false">H290*G290</f>
        <v>535.99</v>
      </c>
      <c r="J290" s="62" t="n">
        <f aca="false">BU290*Parameter!$B$18</f>
        <v>228</v>
      </c>
      <c r="K290" s="63" t="n">
        <v>92.5</v>
      </c>
      <c r="L290" s="64" t="n">
        <v>2.46486486486487</v>
      </c>
      <c r="M290" s="62" t="n">
        <v>17</v>
      </c>
      <c r="N290" s="62" t="n">
        <v>230</v>
      </c>
      <c r="O290" s="65" t="n">
        <v>28</v>
      </c>
      <c r="P290" s="60" t="s">
        <v>344</v>
      </c>
      <c r="Q290" s="62" t="n">
        <v>76</v>
      </c>
      <c r="R290" s="65" t="n">
        <f aca="false">IF(CA290=1,0,IFERROR(VLOOKUP(BY290,'Gebinde-Kategorie'!$A$5:$N$45,13,0)+0,0))</f>
        <v>26</v>
      </c>
      <c r="S290" s="66"/>
      <c r="T290" s="67"/>
      <c r="U290" s="67"/>
      <c r="V290" s="67"/>
      <c r="W290" s="60"/>
      <c r="X290" s="62"/>
      <c r="Y290" s="62"/>
      <c r="Z290" s="60" t="n">
        <v>3</v>
      </c>
      <c r="AA290" s="60" t="n">
        <f aca="false">IF(A290="","",IF(AND(Parameter!$B$21="Ja",ISNUMBER(W290)),W290,IF(AND(Parameter!$E$27="Ja",ISNUMBER(Z290),CD290&lt;&gt;"Nein"),Z290,IF(CD290="2+3",IF(ISNUMBER(SEARCH("grosser Artikel",BV290)),2,IFERROR(VLOOKUP(BY290,Parameter!$F$35:$G$64,2,0),2)),IF(OR(CD290="Nein",CD290=""),"-",CD290)))))</f>
        <v>3</v>
      </c>
      <c r="AB290" s="67"/>
      <c r="AC290" s="68"/>
      <c r="AD290" s="62" t="n">
        <f aca="false">AW290</f>
        <v>247</v>
      </c>
      <c r="AE290" s="62" t="n">
        <f aca="false">MAX(AW290,H290)</f>
        <v>247</v>
      </c>
      <c r="AF290" s="69"/>
      <c r="AG290" s="62" t="n">
        <f aca="false">IF(LEFT(Cockpit!$C$5,1)="A",H290,IF(Parameter!$E$30="MAX-Bestand",IF(CI290=1,CJ290,IF(LEFT(Cockpit!$C$5,1)="B",AM290,MAX(AM290,H290))),ROUNDUP(AK290,0)))</f>
        <v>133</v>
      </c>
      <c r="AH290" s="62" t="n">
        <f aca="false">IF(CA290=1,0,ROUNDUP(AG290/BZ290,0))</f>
        <v>2</v>
      </c>
      <c r="AI290" s="64" t="n">
        <f aca="false">IF(CR290&gt;0,CR290*MAX(1,AG290/X290),IF(CA290=1,IF(AG290&lt;=0,0,CE290*MAX(1,IF(H290&gt;0,AG290/H290,1))),IF(R290&gt;0,AH290/R290,0))/MAX(0.1,N(Parameter!$M$21)))</f>
        <v>0.0769230769230769</v>
      </c>
      <c r="AJ290" s="62" t="n">
        <f aca="false">AI290*CC290</f>
        <v>11.9230769230769</v>
      </c>
      <c r="AK290" s="63" t="n">
        <f aca="false">IF(LEFT(Cockpit!$C$5,1)="A",H290,IF(CI290=1,(CL290+CJ290)/2,IF(LEFT(Cockpit!$C$5,1)="B",(CL290+AM290)/2,MAX((CL290+AM290)/2,H290))))</f>
        <v>133</v>
      </c>
      <c r="AL290" s="62" t="n">
        <f aca="false">AK290*G290</f>
        <v>535.99</v>
      </c>
      <c r="AM290" s="62" t="n">
        <f aca="false">ROUNDUP(CL290+MAX(CM290,2*(J290/IF(CH290&gt;0,CH290,MAX(0.1,N(Cockpit!$C$6)))-CL290)),0)</f>
        <v>247</v>
      </c>
      <c r="AN290" s="63" t="n">
        <f aca="false">IF(AJ290&gt;0,J290/AJ290,-1)</f>
        <v>19.1225806451613</v>
      </c>
      <c r="AO290" s="63" t="n">
        <f aca="false">IF(AND(OR(CG290="L1",CG290="L23",CG290="LIFT"),AJ290&gt;0),SUMIFS($AJ$7:$AJ$1843,$CG$7:$CG$1843,CG290,$AN$7:$AN$1843,"&gt;"&amp;AN290)+SUMIFS($AJ$7:$AJ$1843,$CG$7:$CG$1843,CG290,$AN$7:$AN$1843,AN290,$BX$7:$BX$1843,"&lt;="&amp;BX290),"")</f>
        <v>1736.97435897436</v>
      </c>
      <c r="AP290" s="70" t="n">
        <f aca="false">IF(AO290="",0,MAX(0,MIN(1,(IF(CG290="L1",Parameter!$H$5,IF(CG290="L23",Parameter!$H$6+Parameter!$H$7,Parameter!$H$5+Parameter!$H$6+Parameter!$H$7))-(AO290-AJ290))/AJ290)))</f>
        <v>1</v>
      </c>
      <c r="AQ290" s="62" t="n">
        <f aca="false">IF(LEFT(Cockpit!$I$5,1)="A",H290,IF(Parameter!$E$30="MAX-Bestand",IF(CI290=1,CJ290,IF(LEFT(Cockpit!$I$5,1)="B",AW290,MAX(AW290,H290))),ROUNDUP(AU290,0)))</f>
        <v>133</v>
      </c>
      <c r="AR290" s="62" t="n">
        <f aca="false">IF(CA290=1,0,ROUNDUP(AQ290/BZ290,0))</f>
        <v>2</v>
      </c>
      <c r="AS290" s="64" t="n">
        <f aca="false">IF(CR290&gt;0,CR290*MAX(1,AQ290/X290),IF(CA290=1,IF(AQ290&lt;=0,0,CE290*MAX(1,IF(H290&gt;0,AQ290/H290,1))),IF(R290&gt;0,AR290/R290,0))/MAX(0.1,N(Parameter!$M$21)))</f>
        <v>0.0769230769230769</v>
      </c>
      <c r="AT290" s="62" t="n">
        <f aca="false">AS290*CC290</f>
        <v>11.9230769230769</v>
      </c>
      <c r="AU290" s="63" t="n">
        <f aca="false">IF(LEFT(Cockpit!$I$5,1)="A",H290,IF(CI290=1,(CL290+CJ290)/2,IF(LEFT(Cockpit!$I$5,1)="B",(CL290+AW290)/2,MAX((CL290+AW290)/2,H290))))</f>
        <v>133</v>
      </c>
      <c r="AV290" s="62" t="n">
        <f aca="false">AU290*G290</f>
        <v>535.99</v>
      </c>
      <c r="AW290" s="62" t="n">
        <f aca="false">ROUNDUP(CL290+MAX(CM290,2*(J290/IF(CH290&gt;0,CH290,MAX(0.1,N(Cockpit!$I$6)))-CL290)),0)</f>
        <v>247</v>
      </c>
      <c r="AX290" s="63" t="n">
        <f aca="false">IF(AT290&gt;0,J290/AT290,-1)</f>
        <v>19.1225806451613</v>
      </c>
      <c r="AY290" s="63" t="n">
        <f aca="false">IF(AND(OR(CG290="L1",CG290="L23",CG290="LIFT"),AT290&gt;0),SUMIFS($AT$7:$AT$1843,$CG$7:$CG$1843,CG290,$AX$7:$AX$1843,"&gt;"&amp;AX290)+SUMIFS($AT$7:$AT$1843,$CG$7:$CG$1843,CG290,$AX$7:$AX$1843,AX290,$BX$7:$BX$1843,"&lt;="&amp;BX290),"")</f>
        <v>2374.09523809524</v>
      </c>
      <c r="AZ290" s="70" t="n">
        <f aca="false">IF(AY290="",0,MAX(0,MIN(1,(IF(CG290="L1",Parameter!$H$5,IF(CG290="L23",Parameter!$H$6+Parameter!$H$7,Parameter!$H$5+Parameter!$H$6+Parameter!$H$7))-(AY290-AT290))/AT290)))</f>
        <v>1</v>
      </c>
      <c r="BA290" s="62" t="n">
        <f aca="false">IF(LEFT(Cockpit!$O$5,1)="A",H290,IF(Parameter!$E$30="MAX-Bestand",IF(CI290=1,CJ290,IF(LEFT(Cockpit!$O$5,1)="B",BG290,MAX(BG290,H290))),ROUNDUP(BE290,0)))</f>
        <v>132</v>
      </c>
      <c r="BB290" s="62" t="n">
        <f aca="false">IF(CA290=1,0,ROUNDUP(BA290/BZ290,0))</f>
        <v>2</v>
      </c>
      <c r="BC290" s="64" t="n">
        <f aca="false">IF(CR290&gt;0,CR290*MAX(1,BA290/X290),IF(CA290=1,IF(BA290&lt;=0,0,CE290*MAX(1,IF(H290&gt;0,BA290/H290,1))),IF(R290&gt;0,BB290/R290,0))/MAX(0.1,N(Parameter!$M$21)))</f>
        <v>0.0769230769230769</v>
      </c>
      <c r="BD290" s="62" t="n">
        <f aca="false">BC290*CC290</f>
        <v>11.9230769230769</v>
      </c>
      <c r="BE290" s="63" t="n">
        <f aca="false">IF(LEFT(Cockpit!$O$5,1)="A",H290,IF(CI290=1,(CL290+CJ290)/2,IF(LEFT(Cockpit!$O$5,1)="B",(CL290+BG290)/2,MAX((CL290+BG290)/2,H290))))</f>
        <v>132</v>
      </c>
      <c r="BF290" s="62" t="n">
        <f aca="false">BE290*G290</f>
        <v>531.96</v>
      </c>
      <c r="BG290" s="62" t="n">
        <f aca="false">ROUNDUP(CL290+MAX(CM290,2*(J290/IF(CH290&gt;0,CH290,MAX(0.1,N(Cockpit!$O$6)))-CL290)),0)</f>
        <v>247</v>
      </c>
      <c r="BH290" s="63" t="n">
        <f aca="false">IF(BD290&gt;0,J290/BD290,-1)</f>
        <v>19.1225806451613</v>
      </c>
      <c r="BI290" s="63" t="n">
        <f aca="false">IF(AND(OR(CG290="L1",CG290="L23",CG290="LIFT"),BD290&gt;0),SUMIFS($BD$7:$BD$1843,$CG$7:$CG$1843,CG290,$BH$7:$BH$1843,"&gt;"&amp;BH290)+SUMIFS($BD$7:$BD$1843,$CG$7:$CG$1843,CG290,$BH$7:$BH$1843,BH290,$BX$7:$BX$1843,"&lt;="&amp;BX290),"")</f>
        <v>2263.01236263736</v>
      </c>
      <c r="BJ290" s="70" t="n">
        <f aca="false">IF(BI290="",0,MAX(0,MIN(1,(IF(CG290="L1",Parameter!$H$5,IF(CG290="L23",Parameter!$H$6+Parameter!$H$7,Parameter!$H$5+Parameter!$H$6+Parameter!$H$7))-(BI290-BD290))/BD290)))</f>
        <v>1</v>
      </c>
      <c r="BK290" s="60" t="str">
        <f aca="false">IF(AJ290&lt;=0,"",IF(CG290="Aussen","Aussenlager",IF(CG290="-","Nicht im Lift",IF(AP290&gt;=1,"Lift",IF(AP290&lt;=0,"Aussenlager","teilweise")))))</f>
        <v>Lift</v>
      </c>
      <c r="BL290" s="60" t="str">
        <f aca="false">IF(AT290&lt;=0,"",IF(CG290="Aussen","Aussenlager",IF(CG290="-","Nicht im Lift",IF(AZ290&gt;=1,"Lift",IF(AZ290&lt;=0,"Aussenlager","teilweise")))))</f>
        <v>Lift</v>
      </c>
      <c r="BM290" s="60" t="str">
        <f aca="false">IF(BD290&lt;=0,"",IF(CG290="Aussen","Aussenlager",IF(CG290="-","Nicht im Lift",IF(BJ290&gt;=1,"Lift",IF(BJ290&lt;=0,"Aussenlager","teilweise")))))</f>
        <v>Lift</v>
      </c>
      <c r="BN290" s="60" t="str">
        <f aca="false">IF(A290="","",IF(BW290=1,"Neu; ","")&amp;IF(AND(BW290=0,BR290&lt;0),"negativer Bestand (Export "&amp;BR290&amp;"); ","")&amp;IF(J290&lt;=0,"Kein Verbrauch; ","")&amp;IF(CR290&gt;0,"Lift "&amp;W290&amp;" lt. Liftbericht (Fach "&amp;X290&amp;" Stk); ",IF(CB290=1,"Gebinde geschätzt ("&amp;T290&amp;"); ",IF(CA290=1,"Lose – Tablare geschätzt; ","")))&amp;IF(H290&gt;AW290,"Überbestand "&amp;ROUND(H290-AW290,0)&amp;" Stk / CHF "&amp;ROUND((H290-AW290)*G290,0)&amp;"; ","")&amp;IF(AND(CI290=1,CJ290&lt;CK290),"MAX &lt; MB+LG; ","")&amp;IF(AND(CQ290&gt;0,CP290*10&gt;CQ290),"zu hoch für Tablar; ","")&amp;IF(AND(BW290=0,OR(CI290=1,AB290&lt;&gt;"",U290&lt;&gt;"",V290&lt;&gt;"",AC290&lt;&gt;"")),"manuell übersteuert; ","")&amp;IF(AND(CA290=0,R290=0),"Gebinde unbekannt / Stellmass fehlt; ","")&amp;IF(AND(CA290=0,N(V290)&lt;=0,N(Q290)&lt;=0),"Menge pro Gebinde fehlt (Ist = 1 Gebinde); ","")&amp;BV290)</f>
        <v/>
      </c>
      <c r="BO290" s="60"/>
      <c r="BP290" s="60"/>
      <c r="BQ290" s="67"/>
      <c r="BR290" s="62" t="n">
        <v>76</v>
      </c>
      <c r="BS290" s="62" t="n">
        <v>57</v>
      </c>
      <c r="BT290" s="61" t="n">
        <v>307.99</v>
      </c>
      <c r="BU290" s="62" t="n">
        <v>228</v>
      </c>
      <c r="BV290" s="60"/>
      <c r="BW290" s="65" t="n">
        <v>0</v>
      </c>
      <c r="BX290" s="65" t="n">
        <v>290</v>
      </c>
      <c r="BY290" s="60" t="str">
        <f aca="false">IF(U290&lt;&gt;"",UPPER(TRIM(U290)),IF(CB290=1,UPPER(VLOOKUP(T290,Parameter!$I$27:$K$29,2,0)),IF(P290="","LOSE",P290)))</f>
        <v>S51</v>
      </c>
      <c r="BZ290" s="62" t="n">
        <f aca="false">IF(BY290="LOSE",1,IF(N(V290)&gt;0,V290,IF(CB290=1,MAX(1,N(VLOOKUP(T290,Parameter!$I$27:$K$29,3,0)),H290,N(N290)),IF(N(Q290)&gt;0,Q290,MAX(1,H290)))))</f>
        <v>76</v>
      </c>
      <c r="CA290" s="65" t="n">
        <f aca="false">IF(BY290="LOSE",1,0)</f>
        <v>0</v>
      </c>
      <c r="CB290" s="65" t="n">
        <f aca="false">IF(AND(U290="",OR(P290="",P290="LOSE"),T290&lt;&gt;"",N(S290)&lt;=0,ISNUMBER(MATCH(T290,Parameter!$I$27:$I$29,0))),1,0)</f>
        <v>0</v>
      </c>
      <c r="CC290" s="65" t="n">
        <f aca="false">IF(CR290&gt;0,INDEX(Parameter!$H$5:$H$7,W290)/INDEX(Parameter!$E$5:$E$7,W290),IF(AND(CA290=0,N(IFERROR(VLOOKUP(BY290,'Gebinde-Kategorie'!$A$5:$N$45,14,0),0))&gt;0),VLOOKUP(BY290,'Gebinde-Kategorie'!$A$5:$N$45,14,0)*10+Parameter!$M$23,Parameter!$M$24))</f>
        <v>155</v>
      </c>
      <c r="CD290" s="60" t="str">
        <f aca="false">IF(AND(Parameter!$B$19="Ja",E290&lt;&gt;"",ISNUMBER(MATCH(E290,Parameter!$I$35:$I$52,0))),VLOOKUP(E290,Parameter!$I$35:$J$52,2,0),IFERROR(VLOOKUP(D290,Parameter!$A$35:$C$64,2,0),"Nein"))</f>
        <v>2+3</v>
      </c>
      <c r="CE290" s="64" t="n">
        <f aca="false">IF(CA290=0,0,IF(N(S290)&gt;0,S290,IFERROR(VLOOKUP(D290,Parameter!$A$35:$C$64,3,0)+0,0)))</f>
        <v>0</v>
      </c>
      <c r="CF290" s="60" t="n">
        <f aca="false">IF(AB290&lt;&gt;"",AB290,AA290)</f>
        <v>3</v>
      </c>
      <c r="CG290" s="60" t="str">
        <f aca="false">IF(OR(CF290=1,CF290=2,CF290=3),IF(Parameter!$E$27="Ja","LIFT",IF(CF290=1,"L1","L23")),IF(CF290="Aussen","Aussen","-"))</f>
        <v>LIFT</v>
      </c>
      <c r="CH290" s="71" t="n">
        <f aca="false">IF(N(AC290)&gt;0,AC290,0)</f>
        <v>0</v>
      </c>
      <c r="CI290" s="65" t="n">
        <f aca="false">IF(ISNUMBER(AF290),1,0)</f>
        <v>0</v>
      </c>
      <c r="CJ290" s="62" t="n">
        <f aca="false">N(AF290)</f>
        <v>0</v>
      </c>
      <c r="CK290" s="62" t="n">
        <f aca="false">N(M290)+N(N290)</f>
        <v>247</v>
      </c>
      <c r="CL290" s="62" t="n">
        <f aca="false">N(M290)</f>
        <v>17</v>
      </c>
      <c r="CM290" s="62" t="n">
        <f aca="false">N(N290)</f>
        <v>230</v>
      </c>
      <c r="CN290" s="62" t="n">
        <f aca="false">ROUNDUP(H290/BZ290,0)</f>
        <v>2</v>
      </c>
      <c r="CO290" s="62" t="n">
        <f aca="false">ROUNDUP(CJ290/BZ290,0)</f>
        <v>0</v>
      </c>
      <c r="CP290" s="65" t="n">
        <f aca="false">IF(CA290=1,0,IFERROR(VLOOKUP(BY290,'Gebinde-Kategorie'!$A$5:$N$45,5,0)+0,0))</f>
        <v>11</v>
      </c>
      <c r="CQ290" s="65" t="n">
        <f aca="false">IFERROR(IF(OR(CF290=1,CF290=2,CF290=3),N(INDEX(Parameter!$I$5:$I$7,CF290)),0),0)</f>
        <v>0</v>
      </c>
      <c r="CR290" s="64" t="n">
        <f aca="false">IF(AND(Parameter!$B$21="Ja",ISNUMBER(W290),N(X290)&gt;0),IFERROR(N(INDEX(Parameter!$L$5:$L$7,W290))*INDEX(Parameter!$E$5:$E$7,W290)*X290/SUMIFS($X$7:$X$1843,$W$7:$W$1843,W290),0),0)</f>
        <v>0</v>
      </c>
      <c r="CS290" s="62" t="n">
        <f aca="false">IF(AND(OR(CG290="L1",CG290="L23",CG290="LIFT"),H290&gt;0),CC290*IF(CR290&gt;0,CR290*MAX(1,H290/X290),IF(CA290=1,CE290,IF(R290&gt;0,CN290/R290,0))/MAX(0.1,N(Parameter!$M$21))),"")</f>
        <v>11.9230769230769</v>
      </c>
      <c r="CT290" s="64" t="n">
        <f aca="false">IF(CS290="","",J290/H290)</f>
        <v>1.71428571428571</v>
      </c>
      <c r="CU290" s="62" t="n">
        <f aca="false">IF(CS290="","",H290*G290)</f>
        <v>535.99</v>
      </c>
      <c r="CV290" s="63" t="n">
        <f aca="false">IF(CS290="","",(CL290+ROUNDUP(CL290+MAX(CM290,2*(J290/MAX(0.1,N(Einkauf!$C$6))-CL290)),0))/2)</f>
        <v>132</v>
      </c>
      <c r="CW290" s="62" t="n">
        <f aca="false">IF(CS290="","",MAX(0,H290-CV290)*G290)</f>
        <v>4.03</v>
      </c>
      <c r="CX290" s="62" t="n">
        <f aca="false">IF(CS290="","",CS290*MAX(0,1-CV290/H290))</f>
        <v>0.0896471949103535</v>
      </c>
      <c r="CY290" s="64" t="n">
        <f aca="false">IF(CS290="","",PERCENTRANK($CS$7:$CS$1843,CS290)+PERCENTRANK($CU$7:$CU$1843,CU290)+1-PERCENTRANK($CT$7:$CT$1843,CT290))</f>
        <v>1.372</v>
      </c>
      <c r="CZ290" s="72" t="n">
        <f aca="false">IF(CS290="","",CHOOSE(MATCH(Einkauf!$C$5,Parameter!$G$23:$G$27,0),CY290,CS290,CU290,-CT290,CW290)+ROW()/1000000000)</f>
        <v>1.37200029</v>
      </c>
    </row>
    <row r="291" customFormat="false" ht="15" hidden="false" customHeight="false" outlineLevel="0" collapsed="false">
      <c r="A291" s="60" t="s">
        <v>796</v>
      </c>
      <c r="B291" s="60" t="s">
        <v>797</v>
      </c>
      <c r="C291" s="60" t="s">
        <v>206</v>
      </c>
      <c r="D291" s="60" t="s">
        <v>226</v>
      </c>
      <c r="E291" s="60"/>
      <c r="F291" s="60" t="s">
        <v>260</v>
      </c>
      <c r="G291" s="61" t="n">
        <v>138.11</v>
      </c>
      <c r="H291" s="62" t="n">
        <f aca="false">MAX(0,IF(AND(Parameter!$B$21="Ja",ISNUMBER(Y291)),Y291,IF(Parameter!$B$20="Jahresanfang 2025 + Export",BS291+BR291,BR291)))</f>
        <v>7</v>
      </c>
      <c r="I291" s="62" t="n">
        <f aca="false">H291*G291</f>
        <v>966.77</v>
      </c>
      <c r="J291" s="62" t="n">
        <f aca="false">BU291*Parameter!$B$18</f>
        <v>3</v>
      </c>
      <c r="K291" s="63" t="n">
        <v>6.5</v>
      </c>
      <c r="L291" s="64" t="n">
        <v>0.461538461538462</v>
      </c>
      <c r="M291" s="62" t="n">
        <v>0</v>
      </c>
      <c r="N291" s="62" t="n">
        <v>5</v>
      </c>
      <c r="O291" s="65" t="n">
        <v>35</v>
      </c>
      <c r="P291" s="60" t="s">
        <v>463</v>
      </c>
      <c r="Q291" s="62" t="n">
        <v>8</v>
      </c>
      <c r="R291" s="65" t="n">
        <f aca="false">IF(CA291=1,0,IFERROR(VLOOKUP(BY291,'Gebinde-Kategorie'!$A$5:$N$45,13,0)+0,0))</f>
        <v>104</v>
      </c>
      <c r="S291" s="66"/>
      <c r="T291" s="67"/>
      <c r="U291" s="67"/>
      <c r="V291" s="67"/>
      <c r="W291" s="60"/>
      <c r="X291" s="62"/>
      <c r="Y291" s="62"/>
      <c r="Z291" s="60" t="n">
        <v>3</v>
      </c>
      <c r="AA291" s="60" t="n">
        <f aca="false">IF(A291="","",IF(AND(Parameter!$B$21="Ja",ISNUMBER(W291)),W291,IF(AND(Parameter!$E$27="Ja",ISNUMBER(Z291),CD291&lt;&gt;"Nein"),Z291,IF(CD291="2+3",IF(ISNUMBER(SEARCH("grosser Artikel",BV291)),2,IFERROR(VLOOKUP(BY291,Parameter!$F$35:$G$64,2,0),2)),IF(OR(CD291="Nein",CD291=""),"-",CD291)))))</f>
        <v>3</v>
      </c>
      <c r="AB291" s="67"/>
      <c r="AC291" s="68"/>
      <c r="AD291" s="62" t="n">
        <f aca="false">AW291</f>
        <v>5</v>
      </c>
      <c r="AE291" s="62" t="n">
        <f aca="false">MAX(AW291,H291)</f>
        <v>7</v>
      </c>
      <c r="AF291" s="69"/>
      <c r="AG291" s="62" t="n">
        <f aca="false">IF(LEFT(Cockpit!$C$5,1)="A",H291,IF(Parameter!$E$30="MAX-Bestand",IF(CI291=1,CJ291,IF(LEFT(Cockpit!$C$5,1)="B",AM291,MAX(AM291,H291))),ROUNDUP(AK291,0)))</f>
        <v>7</v>
      </c>
      <c r="AH291" s="62" t="n">
        <f aca="false">IF(CA291=1,0,ROUNDUP(AG291/BZ291,0))</f>
        <v>1</v>
      </c>
      <c r="AI291" s="64" t="n">
        <f aca="false">IF(CR291&gt;0,CR291*MAX(1,AG291/X291),IF(CA291=1,IF(AG291&lt;=0,0,CE291*MAX(1,IF(H291&gt;0,AG291/H291,1))),IF(R291&gt;0,AH291/R291,0))/MAX(0.1,N(Parameter!$M$21)))</f>
        <v>0.00961538461538462</v>
      </c>
      <c r="AJ291" s="62" t="n">
        <f aca="false">AI291*CC291</f>
        <v>1.49038461538462</v>
      </c>
      <c r="AK291" s="63" t="n">
        <f aca="false">IF(LEFT(Cockpit!$C$5,1)="A",H291,IF(CI291=1,(CL291+CJ291)/2,IF(LEFT(Cockpit!$C$5,1)="B",(CL291+AM291)/2,MAX((CL291+AM291)/2,H291))))</f>
        <v>7</v>
      </c>
      <c r="AL291" s="62" t="n">
        <f aca="false">AK291*G291</f>
        <v>966.77</v>
      </c>
      <c r="AM291" s="62" t="n">
        <f aca="false">ROUNDUP(CL291+MAX(CM291,2*(J291/IF(CH291&gt;0,CH291,MAX(0.1,N(Cockpit!$C$6)))-CL291)),0)</f>
        <v>5</v>
      </c>
      <c r="AN291" s="63" t="n">
        <f aca="false">IF(AJ291&gt;0,J291/AJ291,-1)</f>
        <v>2.01290322580645</v>
      </c>
      <c r="AO291" s="63" t="n">
        <f aca="false">IF(AND(OR(CG291="L1",CG291="L23",CG291="LIFT"),AJ291&gt;0),SUMIFS($AJ$7:$AJ$1843,$CG$7:$CG$1843,CG291,$AN$7:$AN$1843,"&gt;"&amp;AN291)+SUMIFS($AJ$7:$AJ$1843,$CG$7:$CG$1843,CG291,$AN$7:$AN$1843,AN291,$BX$7:$BX$1843,"&lt;="&amp;BX291),"")</f>
        <v>5774.45558608059</v>
      </c>
      <c r="AP291" s="70" t="n">
        <f aca="false">IF(AO291="",0,MAX(0,MIN(1,(IF(CG291="L1",Parameter!$H$5,IF(CG291="L23",Parameter!$H$6+Parameter!$H$7,Parameter!$H$5+Parameter!$H$6+Parameter!$H$7))-(AO291-AJ291))/AJ291)))</f>
        <v>1</v>
      </c>
      <c r="AQ291" s="62" t="n">
        <f aca="false">IF(LEFT(Cockpit!$I$5,1)="A",H291,IF(Parameter!$E$30="MAX-Bestand",IF(CI291=1,CJ291,IF(LEFT(Cockpit!$I$5,1)="B",AW291,MAX(AW291,H291))),ROUNDUP(AU291,0)))</f>
        <v>7</v>
      </c>
      <c r="AR291" s="62" t="n">
        <f aca="false">IF(CA291=1,0,ROUNDUP(AQ291/BZ291,0))</f>
        <v>1</v>
      </c>
      <c r="AS291" s="64" t="n">
        <f aca="false">IF(CR291&gt;0,CR291*MAX(1,AQ291/X291),IF(CA291=1,IF(AQ291&lt;=0,0,CE291*MAX(1,IF(H291&gt;0,AQ291/H291,1))),IF(R291&gt;0,AR291/R291,0))/MAX(0.1,N(Parameter!$M$21)))</f>
        <v>0.00961538461538462</v>
      </c>
      <c r="AT291" s="62" t="n">
        <f aca="false">AS291*CC291</f>
        <v>1.49038461538462</v>
      </c>
      <c r="AU291" s="63" t="n">
        <f aca="false">IF(LEFT(Cockpit!$I$5,1)="A",H291,IF(CI291=1,(CL291+CJ291)/2,IF(LEFT(Cockpit!$I$5,1)="B",(CL291+AW291)/2,MAX((CL291+AW291)/2,H291))))</f>
        <v>7</v>
      </c>
      <c r="AV291" s="62" t="n">
        <f aca="false">AU291*G291</f>
        <v>966.77</v>
      </c>
      <c r="AW291" s="62" t="n">
        <f aca="false">ROUNDUP(CL291+MAX(CM291,2*(J291/IF(CH291&gt;0,CH291,MAX(0.1,N(Cockpit!$I$6)))-CL291)),0)</f>
        <v>5</v>
      </c>
      <c r="AX291" s="63" t="n">
        <f aca="false">IF(AT291&gt;0,J291/AT291,-1)</f>
        <v>2.01290322580645</v>
      </c>
      <c r="AY291" s="63" t="n">
        <f aca="false">IF(AND(OR(CG291="L1",CG291="L23",CG291="LIFT"),AT291&gt;0),SUMIFS($AT$7:$AT$1843,$CG$7:$CG$1843,CG291,$AX$7:$AX$1843,"&gt;"&amp;AX291)+SUMIFS($AT$7:$AT$1843,$CG$7:$CG$1843,CG291,$AX$7:$AX$1843,AX291,$BX$7:$BX$1843,"&lt;="&amp;BX291),"")</f>
        <v>7142.39514652015</v>
      </c>
      <c r="AZ291" s="70" t="n">
        <f aca="false">IF(AY291="",0,MAX(0,MIN(1,(IF(CG291="L1",Parameter!$H$5,IF(CG291="L23",Parameter!$H$6+Parameter!$H$7,Parameter!$H$5+Parameter!$H$6+Parameter!$H$7))-(AY291-AT291))/AT291)))</f>
        <v>1</v>
      </c>
      <c r="BA291" s="62" t="n">
        <f aca="false">IF(LEFT(Cockpit!$O$5,1)="A",H291,IF(Parameter!$E$30="MAX-Bestand",IF(CI291=1,CJ291,IF(LEFT(Cockpit!$O$5,1)="B",BG291,MAX(BG291,H291))),ROUNDUP(BE291,0)))</f>
        <v>3</v>
      </c>
      <c r="BB291" s="62" t="n">
        <f aca="false">IF(CA291=1,0,ROUNDUP(BA291/BZ291,0))</f>
        <v>1</v>
      </c>
      <c r="BC291" s="64" t="n">
        <f aca="false">IF(CR291&gt;0,CR291*MAX(1,BA291/X291),IF(CA291=1,IF(BA291&lt;=0,0,CE291*MAX(1,IF(H291&gt;0,BA291/H291,1))),IF(R291&gt;0,BB291/R291,0))/MAX(0.1,N(Parameter!$M$21)))</f>
        <v>0.00961538461538462</v>
      </c>
      <c r="BD291" s="62" t="n">
        <f aca="false">BC291*CC291</f>
        <v>1.49038461538462</v>
      </c>
      <c r="BE291" s="63" t="n">
        <f aca="false">IF(LEFT(Cockpit!$O$5,1)="A",H291,IF(CI291=1,(CL291+CJ291)/2,IF(LEFT(Cockpit!$O$5,1)="B",(CL291+BG291)/2,MAX((CL291+BG291)/2,H291))))</f>
        <v>2.5</v>
      </c>
      <c r="BF291" s="62" t="n">
        <f aca="false">BE291*G291</f>
        <v>345.275</v>
      </c>
      <c r="BG291" s="62" t="n">
        <f aca="false">ROUNDUP(CL291+MAX(CM291,2*(J291/IF(CH291&gt;0,CH291,MAX(0.1,N(Cockpit!$O$6)))-CL291)),0)</f>
        <v>5</v>
      </c>
      <c r="BH291" s="63" t="n">
        <f aca="false">IF(BD291&gt;0,J291/BD291,-1)</f>
        <v>2.01290322580645</v>
      </c>
      <c r="BI291" s="63" t="n">
        <f aca="false">IF(AND(OR(CG291="L1",CG291="L23",CG291="LIFT"),BD291&gt;0),SUMIFS($BD$7:$BD$1843,$CG$7:$CG$1843,CG291,$BH$7:$BH$1843,"&gt;"&amp;BH291)+SUMIFS($BD$7:$BD$1843,$CG$7:$CG$1843,CG291,$BH$7:$BH$1843,BH291,$BX$7:$BX$1843,"&lt;="&amp;BX291),"")</f>
        <v>5853.16987179487</v>
      </c>
      <c r="BJ291" s="70" t="n">
        <f aca="false">IF(BI291="",0,MAX(0,MIN(1,(IF(CG291="L1",Parameter!$H$5,IF(CG291="L23",Parameter!$H$6+Parameter!$H$7,Parameter!$H$5+Parameter!$H$6+Parameter!$H$7))-(BI291-BD291))/BD291)))</f>
        <v>1</v>
      </c>
      <c r="BK291" s="60" t="str">
        <f aca="false">IF(AJ291&lt;=0,"",IF(CG291="Aussen","Aussenlager",IF(CG291="-","Nicht im Lift",IF(AP291&gt;=1,"Lift",IF(AP291&lt;=0,"Aussenlager","teilweise")))))</f>
        <v>Lift</v>
      </c>
      <c r="BL291" s="60" t="str">
        <f aca="false">IF(AT291&lt;=0,"",IF(CG291="Aussen","Aussenlager",IF(CG291="-","Nicht im Lift",IF(AZ291&gt;=1,"Lift",IF(AZ291&lt;=0,"Aussenlager","teilweise")))))</f>
        <v>Lift</v>
      </c>
      <c r="BM291" s="60" t="str">
        <f aca="false">IF(BD291&lt;=0,"",IF(CG291="Aussen","Aussenlager",IF(CG291="-","Nicht im Lift",IF(BJ291&gt;=1,"Lift",IF(BJ291&lt;=0,"Aussenlager","teilweise")))))</f>
        <v>Lift</v>
      </c>
      <c r="BN291" s="60" t="str">
        <f aca="false">IF(A291="","",IF(BW291=1,"Neu; ","")&amp;IF(AND(BW291=0,BR291&lt;0),"negativer Bestand (Export "&amp;BR291&amp;"); ","")&amp;IF(J291&lt;=0,"Kein Verbrauch; ","")&amp;IF(CR291&gt;0,"Lift "&amp;W291&amp;" lt. Liftbericht (Fach "&amp;X291&amp;" Stk); ",IF(CB291=1,"Gebinde geschätzt ("&amp;T291&amp;"); ",IF(CA291=1,"Lose – Tablare geschätzt; ","")))&amp;IF(H291&gt;AW291,"Überbestand "&amp;ROUND(H291-AW291,0)&amp;" Stk / CHF "&amp;ROUND((H291-AW291)*G291,0)&amp;"; ","")&amp;IF(AND(CI291=1,CJ291&lt;CK291),"MAX &lt; MB+LG; ","")&amp;IF(AND(CQ291&gt;0,CP291*10&gt;CQ291),"zu hoch für Tablar; ","")&amp;IF(AND(BW291=0,OR(CI291=1,AB291&lt;&gt;"",U291&lt;&gt;"",V291&lt;&gt;"",AC291&lt;&gt;"")),"manuell übersteuert; ","")&amp;IF(AND(CA291=0,R291=0),"Gebinde unbekannt / Stellmass fehlt; ","")&amp;IF(AND(CA291=0,N(V291)&lt;=0,N(Q291)&lt;=0),"Menge pro Gebinde fehlt (Ist = 1 Gebinde); ","")&amp;BV291)</f>
        <v>Überbestand 2 Stk / CHF 276; </v>
      </c>
      <c r="BO291" s="60"/>
      <c r="BP291" s="60"/>
      <c r="BQ291" s="67"/>
      <c r="BR291" s="62" t="n">
        <v>2</v>
      </c>
      <c r="BS291" s="62" t="n">
        <v>5</v>
      </c>
      <c r="BT291" s="61" t="n">
        <v>303.87</v>
      </c>
      <c r="BU291" s="62" t="n">
        <v>3</v>
      </c>
      <c r="BV291" s="60"/>
      <c r="BW291" s="65" t="n">
        <v>0</v>
      </c>
      <c r="BX291" s="65" t="n">
        <v>291</v>
      </c>
      <c r="BY291" s="60" t="str">
        <f aca="false">IF(U291&lt;&gt;"",UPPER(TRIM(U291)),IF(CB291=1,UPPER(VLOOKUP(T291,Parameter!$I$27:$K$29,2,0)),IF(P291="","LOSE",P291)))</f>
        <v>S32</v>
      </c>
      <c r="BZ291" s="62" t="n">
        <f aca="false">IF(BY291="LOSE",1,IF(N(V291)&gt;0,V291,IF(CB291=1,MAX(1,N(VLOOKUP(T291,Parameter!$I$27:$K$29,3,0)),H291,N(N291)),IF(N(Q291)&gt;0,Q291,MAX(1,H291)))))</f>
        <v>8</v>
      </c>
      <c r="CA291" s="65" t="n">
        <f aca="false">IF(BY291="LOSE",1,0)</f>
        <v>0</v>
      </c>
      <c r="CB291" s="65" t="n">
        <f aca="false">IF(AND(U291="",OR(P291="",P291="LOSE"),T291&lt;&gt;"",N(S291)&lt;=0,ISNUMBER(MATCH(T291,Parameter!$I$27:$I$29,0))),1,0)</f>
        <v>0</v>
      </c>
      <c r="CC291" s="65" t="n">
        <f aca="false">IF(CR291&gt;0,INDEX(Parameter!$H$5:$H$7,W291)/INDEX(Parameter!$E$5:$E$7,W291),IF(AND(CA291=0,N(IFERROR(VLOOKUP(BY291,'Gebinde-Kategorie'!$A$5:$N$45,14,0),0))&gt;0),VLOOKUP(BY291,'Gebinde-Kategorie'!$A$5:$N$45,14,0)*10+Parameter!$M$23,Parameter!$M$24))</f>
        <v>155</v>
      </c>
      <c r="CD291" s="60" t="str">
        <f aca="false">IF(AND(Parameter!$B$19="Ja",E291&lt;&gt;"",ISNUMBER(MATCH(E291,Parameter!$I$35:$I$52,0))),VLOOKUP(E291,Parameter!$I$35:$J$52,2,0),IFERROR(VLOOKUP(D291,Parameter!$A$35:$C$64,2,0),"Nein"))</f>
        <v>2+3</v>
      </c>
      <c r="CE291" s="64" t="n">
        <f aca="false">IF(CA291=0,0,IF(N(S291)&gt;0,S291,IFERROR(VLOOKUP(D291,Parameter!$A$35:$C$64,3,0)+0,0)))</f>
        <v>0</v>
      </c>
      <c r="CF291" s="60" t="n">
        <f aca="false">IF(AB291&lt;&gt;"",AB291,AA291)</f>
        <v>3</v>
      </c>
      <c r="CG291" s="60" t="str">
        <f aca="false">IF(OR(CF291=1,CF291=2,CF291=3),IF(Parameter!$E$27="Ja","LIFT",IF(CF291=1,"L1","L23")),IF(CF291="Aussen","Aussen","-"))</f>
        <v>LIFT</v>
      </c>
      <c r="CH291" s="71" t="n">
        <f aca="false">IF(N(AC291)&gt;0,AC291,0)</f>
        <v>0</v>
      </c>
      <c r="CI291" s="65" t="n">
        <f aca="false">IF(ISNUMBER(AF291),1,0)</f>
        <v>0</v>
      </c>
      <c r="CJ291" s="62" t="n">
        <f aca="false">N(AF291)</f>
        <v>0</v>
      </c>
      <c r="CK291" s="62" t="n">
        <f aca="false">N(M291)+N(N291)</f>
        <v>5</v>
      </c>
      <c r="CL291" s="62" t="n">
        <f aca="false">N(M291)</f>
        <v>0</v>
      </c>
      <c r="CM291" s="62" t="n">
        <f aca="false">N(N291)</f>
        <v>5</v>
      </c>
      <c r="CN291" s="62" t="n">
        <f aca="false">ROUNDUP(H291/BZ291,0)</f>
        <v>1</v>
      </c>
      <c r="CO291" s="62" t="n">
        <f aca="false">ROUNDUP(CJ291/BZ291,0)</f>
        <v>0</v>
      </c>
      <c r="CP291" s="65" t="n">
        <f aca="false">IF(CA291=1,0,IFERROR(VLOOKUP(BY291,'Gebinde-Kategorie'!$A$5:$N$45,5,0)+0,0))</f>
        <v>8</v>
      </c>
      <c r="CQ291" s="65" t="n">
        <f aca="false">IFERROR(IF(OR(CF291=1,CF291=2,CF291=3),N(INDEX(Parameter!$I$5:$I$7,CF291)),0),0)</f>
        <v>0</v>
      </c>
      <c r="CR291" s="64" t="n">
        <f aca="false">IF(AND(Parameter!$B$21="Ja",ISNUMBER(W291),N(X291)&gt;0),IFERROR(N(INDEX(Parameter!$L$5:$L$7,W291))*INDEX(Parameter!$E$5:$E$7,W291)*X291/SUMIFS($X$7:$X$1843,$W$7:$W$1843,W291),0),0)</f>
        <v>0</v>
      </c>
      <c r="CS291" s="62" t="n">
        <f aca="false">IF(AND(OR(CG291="L1",CG291="L23",CG291="LIFT"),H291&gt;0),CC291*IF(CR291&gt;0,CR291*MAX(1,H291/X291),IF(CA291=1,CE291,IF(R291&gt;0,CN291/R291,0))/MAX(0.1,N(Parameter!$M$21))),"")</f>
        <v>1.49038461538462</v>
      </c>
      <c r="CT291" s="64" t="n">
        <f aca="false">IF(CS291="","",J291/H291)</f>
        <v>0.428571428571429</v>
      </c>
      <c r="CU291" s="62" t="n">
        <f aca="false">IF(CS291="","",H291*G291)</f>
        <v>966.77</v>
      </c>
      <c r="CV291" s="63" t="n">
        <f aca="false">IF(CS291="","",(CL291+ROUNDUP(CL291+MAX(CM291,2*(J291/MAX(0.1,N(Einkauf!$C$6))-CL291)),0))/2)</f>
        <v>2.5</v>
      </c>
      <c r="CW291" s="62" t="n">
        <f aca="false">IF(CS291="","",MAX(0,H291-CV291)*G291)</f>
        <v>621.495</v>
      </c>
      <c r="CX291" s="62" t="n">
        <f aca="false">IF(CS291="","",CS291*MAX(0,1-CV291/H291))</f>
        <v>0.958104395604396</v>
      </c>
      <c r="CY291" s="64" t="n">
        <f aca="false">IF(CS291="","",PERCENTRANK($CS$7:$CS$1843,CS291)+PERCENTRANK($CU$7:$CU$1843,CU291)+1-PERCENTRANK($CT$7:$CT$1843,CT291))</f>
        <v>1.226</v>
      </c>
      <c r="CZ291" s="72" t="n">
        <f aca="false">IF(CS291="","",CHOOSE(MATCH(Einkauf!$C$5,Parameter!$G$23:$G$27,0),CY291,CS291,CU291,-CT291,CW291)+ROW()/1000000000)</f>
        <v>1.226000291</v>
      </c>
    </row>
    <row r="292" customFormat="false" ht="15" hidden="false" customHeight="false" outlineLevel="0" collapsed="false">
      <c r="A292" s="60" t="s">
        <v>798</v>
      </c>
      <c r="B292" s="60" t="s">
        <v>799</v>
      </c>
      <c r="C292" s="60" t="s">
        <v>206</v>
      </c>
      <c r="D292" s="60" t="s">
        <v>226</v>
      </c>
      <c r="E292" s="60" t="s">
        <v>227</v>
      </c>
      <c r="F292" s="60" t="s">
        <v>260</v>
      </c>
      <c r="G292" s="61" t="n">
        <v>21.92</v>
      </c>
      <c r="H292" s="62" t="n">
        <f aca="false">MAX(0,IF(AND(Parameter!$B$21="Ja",ISNUMBER(Y292)),Y292,IF(Parameter!$B$20="Jahresanfang 2025 + Export",BS292+BR292,BR292)))</f>
        <v>74</v>
      </c>
      <c r="I292" s="62" t="n">
        <f aca="false">H292*G292</f>
        <v>1622.08</v>
      </c>
      <c r="J292" s="62" t="n">
        <f aca="false">BU292*Parameter!$B$18</f>
        <v>92</v>
      </c>
      <c r="K292" s="63" t="n">
        <v>62</v>
      </c>
      <c r="L292" s="64" t="n">
        <v>1.48387096774194</v>
      </c>
      <c r="M292" s="62" t="n">
        <v>21</v>
      </c>
      <c r="N292" s="62" t="n">
        <v>90</v>
      </c>
      <c r="O292" s="65" t="n">
        <v>84</v>
      </c>
      <c r="P292" s="60" t="s">
        <v>344</v>
      </c>
      <c r="Q292" s="62" t="n">
        <v>48</v>
      </c>
      <c r="R292" s="65" t="n">
        <f aca="false">IF(CA292=1,0,IFERROR(VLOOKUP(BY292,'Gebinde-Kategorie'!$A$5:$N$45,13,0)+0,0))</f>
        <v>26</v>
      </c>
      <c r="S292" s="66"/>
      <c r="T292" s="67"/>
      <c r="U292" s="67"/>
      <c r="V292" s="67"/>
      <c r="W292" s="60"/>
      <c r="X292" s="62"/>
      <c r="Y292" s="62"/>
      <c r="Z292" s="60" t="n">
        <v>3</v>
      </c>
      <c r="AA292" s="60" t="n">
        <f aca="false">IF(A292="","",IF(AND(Parameter!$B$21="Ja",ISNUMBER(W292)),W292,IF(AND(Parameter!$E$27="Ja",ISNUMBER(Z292),CD292&lt;&gt;"Nein"),Z292,IF(CD292="2+3",IF(ISNUMBER(SEARCH("grosser Artikel",BV292)),2,IFERROR(VLOOKUP(BY292,Parameter!$F$35:$G$64,2,0),2)),IF(OR(CD292="Nein",CD292=""),"-",CD292)))))</f>
        <v>3</v>
      </c>
      <c r="AB292" s="67"/>
      <c r="AC292" s="68"/>
      <c r="AD292" s="62" t="n">
        <f aca="false">AW292</f>
        <v>111</v>
      </c>
      <c r="AE292" s="62" t="n">
        <f aca="false">MAX(AW292,H292)</f>
        <v>111</v>
      </c>
      <c r="AF292" s="69"/>
      <c r="AG292" s="62" t="n">
        <f aca="false">IF(LEFT(Cockpit!$C$5,1)="A",H292,IF(Parameter!$E$30="MAX-Bestand",IF(CI292=1,CJ292,IF(LEFT(Cockpit!$C$5,1)="B",AM292,MAX(AM292,H292))),ROUNDUP(AK292,0)))</f>
        <v>74</v>
      </c>
      <c r="AH292" s="62" t="n">
        <f aca="false">IF(CA292=1,0,ROUNDUP(AG292/BZ292,0))</f>
        <v>2</v>
      </c>
      <c r="AI292" s="64" t="n">
        <f aca="false">IF(CR292&gt;0,CR292*MAX(1,AG292/X292),IF(CA292=1,IF(AG292&lt;=0,0,CE292*MAX(1,IF(H292&gt;0,AG292/H292,1))),IF(R292&gt;0,AH292/R292,0))/MAX(0.1,N(Parameter!$M$21)))</f>
        <v>0.0769230769230769</v>
      </c>
      <c r="AJ292" s="62" t="n">
        <f aca="false">AI292*CC292</f>
        <v>11.9230769230769</v>
      </c>
      <c r="AK292" s="63" t="n">
        <f aca="false">IF(LEFT(Cockpit!$C$5,1)="A",H292,IF(CI292=1,(CL292+CJ292)/2,IF(LEFT(Cockpit!$C$5,1)="B",(CL292+AM292)/2,MAX((CL292+AM292)/2,H292))))</f>
        <v>74</v>
      </c>
      <c r="AL292" s="62" t="n">
        <f aca="false">AK292*G292</f>
        <v>1622.08</v>
      </c>
      <c r="AM292" s="62" t="n">
        <f aca="false">ROUNDUP(CL292+MAX(CM292,2*(J292/IF(CH292&gt;0,CH292,MAX(0.1,N(Cockpit!$C$6)))-CL292)),0)</f>
        <v>111</v>
      </c>
      <c r="AN292" s="63" t="n">
        <f aca="false">IF(AJ292&gt;0,J292/AJ292,-1)</f>
        <v>7.71612903225806</v>
      </c>
      <c r="AO292" s="63" t="n">
        <f aca="false">IF(AND(OR(CG292="L1",CG292="L23",CG292="LIFT"),AJ292&gt;0),SUMIFS($AJ$7:$AJ$1843,$CG$7:$CG$1843,CG292,$AN$7:$AN$1843,"&gt;"&amp;AN292)+SUMIFS($AJ$7:$AJ$1843,$CG$7:$CG$1843,CG292,$AN$7:$AN$1843,AN292,$BX$7:$BX$1843,"&lt;="&amp;BX292),"")</f>
        <v>3110.11538461538</v>
      </c>
      <c r="AP292" s="70" t="n">
        <f aca="false">IF(AO292="",0,MAX(0,MIN(1,(IF(CG292="L1",Parameter!$H$5,IF(CG292="L23",Parameter!$H$6+Parameter!$H$7,Parameter!$H$5+Parameter!$H$6+Parameter!$H$7))-(AO292-AJ292))/AJ292)))</f>
        <v>1</v>
      </c>
      <c r="AQ292" s="62" t="n">
        <f aca="false">IF(LEFT(Cockpit!$I$5,1)="A",H292,IF(Parameter!$E$30="MAX-Bestand",IF(CI292=1,CJ292,IF(LEFT(Cockpit!$I$5,1)="B",AW292,MAX(AW292,H292))),ROUNDUP(AU292,0)))</f>
        <v>74</v>
      </c>
      <c r="AR292" s="62" t="n">
        <f aca="false">IF(CA292=1,0,ROUNDUP(AQ292/BZ292,0))</f>
        <v>2</v>
      </c>
      <c r="AS292" s="64" t="n">
        <f aca="false">IF(CR292&gt;0,CR292*MAX(1,AQ292/X292),IF(CA292=1,IF(AQ292&lt;=0,0,CE292*MAX(1,IF(H292&gt;0,AQ292/H292,1))),IF(R292&gt;0,AR292/R292,0))/MAX(0.1,N(Parameter!$M$21)))</f>
        <v>0.0769230769230769</v>
      </c>
      <c r="AT292" s="62" t="n">
        <f aca="false">AS292*CC292</f>
        <v>11.9230769230769</v>
      </c>
      <c r="AU292" s="63" t="n">
        <f aca="false">IF(LEFT(Cockpit!$I$5,1)="A",H292,IF(CI292=1,(CL292+CJ292)/2,IF(LEFT(Cockpit!$I$5,1)="B",(CL292+AW292)/2,MAX((CL292+AW292)/2,H292))))</f>
        <v>74</v>
      </c>
      <c r="AV292" s="62" t="n">
        <f aca="false">AU292*G292</f>
        <v>1622.08</v>
      </c>
      <c r="AW292" s="62" t="n">
        <f aca="false">ROUNDUP(CL292+MAX(CM292,2*(J292/IF(CH292&gt;0,CH292,MAX(0.1,N(Cockpit!$I$6)))-CL292)),0)</f>
        <v>111</v>
      </c>
      <c r="AX292" s="63" t="n">
        <f aca="false">IF(AT292&gt;0,J292/AT292,-1)</f>
        <v>7.71612903225806</v>
      </c>
      <c r="AY292" s="63" t="n">
        <f aca="false">IF(AND(OR(CG292="L1",CG292="L23",CG292="LIFT"),AT292&gt;0),SUMIFS($AT$7:$AT$1843,$CG$7:$CG$1843,CG292,$AX$7:$AX$1843,"&gt;"&amp;AX292)+SUMIFS($AT$7:$AT$1843,$CG$7:$CG$1843,CG292,$AX$7:$AX$1843,AX292,$BX$7:$BX$1843,"&lt;="&amp;BX292),"")</f>
        <v>3734.17673992674</v>
      </c>
      <c r="AZ292" s="70" t="n">
        <f aca="false">IF(AY292="",0,MAX(0,MIN(1,(IF(CG292="L1",Parameter!$H$5,IF(CG292="L23",Parameter!$H$6+Parameter!$H$7,Parameter!$H$5+Parameter!$H$6+Parameter!$H$7))-(AY292-AT292))/AT292)))</f>
        <v>1</v>
      </c>
      <c r="BA292" s="62" t="n">
        <f aca="false">IF(LEFT(Cockpit!$O$5,1)="A",H292,IF(Parameter!$E$30="MAX-Bestand",IF(CI292=1,CJ292,IF(LEFT(Cockpit!$O$5,1)="B",BG292,MAX(BG292,H292))),ROUNDUP(BE292,0)))</f>
        <v>66</v>
      </c>
      <c r="BB292" s="62" t="n">
        <f aca="false">IF(CA292=1,0,ROUNDUP(BA292/BZ292,0))</f>
        <v>2</v>
      </c>
      <c r="BC292" s="64" t="n">
        <f aca="false">IF(CR292&gt;0,CR292*MAX(1,BA292/X292),IF(CA292=1,IF(BA292&lt;=0,0,CE292*MAX(1,IF(H292&gt;0,BA292/H292,1))),IF(R292&gt;0,BB292/R292,0))/MAX(0.1,N(Parameter!$M$21)))</f>
        <v>0.0769230769230769</v>
      </c>
      <c r="BD292" s="62" t="n">
        <f aca="false">BC292*CC292</f>
        <v>11.9230769230769</v>
      </c>
      <c r="BE292" s="63" t="n">
        <f aca="false">IF(LEFT(Cockpit!$O$5,1)="A",H292,IF(CI292=1,(CL292+CJ292)/2,IF(LEFT(Cockpit!$O$5,1)="B",(CL292+BG292)/2,MAX((CL292+BG292)/2,H292))))</f>
        <v>66</v>
      </c>
      <c r="BF292" s="62" t="n">
        <f aca="false">BE292*G292</f>
        <v>1446.72</v>
      </c>
      <c r="BG292" s="62" t="n">
        <f aca="false">ROUNDUP(CL292+MAX(CM292,2*(J292/IF(CH292&gt;0,CH292,MAX(0.1,N(Cockpit!$O$6)))-CL292)),0)</f>
        <v>111</v>
      </c>
      <c r="BH292" s="63" t="n">
        <f aca="false">IF(BD292&gt;0,J292/BD292,-1)</f>
        <v>7.71612903225806</v>
      </c>
      <c r="BI292" s="63" t="n">
        <f aca="false">IF(AND(OR(CG292="L1",CG292="L23",CG292="LIFT"),BD292&gt;0),SUMIFS($BD$7:$BD$1843,$CG$7:$CG$1843,CG292,$BH$7:$BH$1843,"&gt;"&amp;BH292)+SUMIFS($BD$7:$BD$1843,$CG$7:$CG$1843,CG292,$BH$7:$BH$1843,BH292,$BX$7:$BX$1843,"&lt;="&amp;BX292),"")</f>
        <v>3153.04624542125</v>
      </c>
      <c r="BJ292" s="70" t="n">
        <f aca="false">IF(BI292="",0,MAX(0,MIN(1,(IF(CG292="L1",Parameter!$H$5,IF(CG292="L23",Parameter!$H$6+Parameter!$H$7,Parameter!$H$5+Parameter!$H$6+Parameter!$H$7))-(BI292-BD292))/BD292)))</f>
        <v>1</v>
      </c>
      <c r="BK292" s="60" t="str">
        <f aca="false">IF(AJ292&lt;=0,"",IF(CG292="Aussen","Aussenlager",IF(CG292="-","Nicht im Lift",IF(AP292&gt;=1,"Lift",IF(AP292&lt;=0,"Aussenlager","teilweise")))))</f>
        <v>Lift</v>
      </c>
      <c r="BL292" s="60" t="str">
        <f aca="false">IF(AT292&lt;=0,"",IF(CG292="Aussen","Aussenlager",IF(CG292="-","Nicht im Lift",IF(AZ292&gt;=1,"Lift",IF(AZ292&lt;=0,"Aussenlager","teilweise")))))</f>
        <v>Lift</v>
      </c>
      <c r="BM292" s="60" t="str">
        <f aca="false">IF(BD292&lt;=0,"",IF(CG292="Aussen","Aussenlager",IF(CG292="-","Nicht im Lift",IF(BJ292&gt;=1,"Lift",IF(BJ292&lt;=0,"Aussenlager","teilweise")))))</f>
        <v>Lift</v>
      </c>
      <c r="BN292" s="60" t="str">
        <f aca="false">IF(A292="","",IF(BW292=1,"Neu; ","")&amp;IF(AND(BW292=0,BR292&lt;0),"negativer Bestand (Export "&amp;BR292&amp;"); ","")&amp;IF(J292&lt;=0,"Kein Verbrauch; ","")&amp;IF(CR292&gt;0,"Lift "&amp;W292&amp;" lt. Liftbericht (Fach "&amp;X292&amp;" Stk); ",IF(CB292=1,"Gebinde geschätzt ("&amp;T292&amp;"); ",IF(CA292=1,"Lose – Tablare geschätzt; ","")))&amp;IF(H292&gt;AW292,"Überbestand "&amp;ROUND(H292-AW292,0)&amp;" Stk / CHF "&amp;ROUND((H292-AW292)*G292,0)&amp;"; ","")&amp;IF(AND(CI292=1,CJ292&lt;CK292),"MAX &lt; MB+LG; ","")&amp;IF(AND(CQ292&gt;0,CP292*10&gt;CQ292),"zu hoch für Tablar; ","")&amp;IF(AND(BW292=0,OR(CI292=1,AB292&lt;&gt;"",U292&lt;&gt;"",V292&lt;&gt;"",AC292&lt;&gt;"")),"manuell übersteuert; ","")&amp;IF(AND(CA292=0,R292=0),"Gebinde unbekannt / Stellmass fehlt; ","")&amp;IF(AND(CA292=0,N(V292)&lt;=0,N(Q292)&lt;=0),"Menge pro Gebinde fehlt (Ist = 1 Gebinde); ","")&amp;BV292)</f>
        <v/>
      </c>
      <c r="BO292" s="60"/>
      <c r="BP292" s="60"/>
      <c r="BQ292" s="67"/>
      <c r="BR292" s="62" t="n">
        <v>17</v>
      </c>
      <c r="BS292" s="62" t="n">
        <v>57</v>
      </c>
      <c r="BT292" s="61" t="n">
        <v>296.830000000001</v>
      </c>
      <c r="BU292" s="62" t="n">
        <v>92</v>
      </c>
      <c r="BV292" s="60"/>
      <c r="BW292" s="65" t="n">
        <v>0</v>
      </c>
      <c r="BX292" s="65" t="n">
        <v>292</v>
      </c>
      <c r="BY292" s="60" t="str">
        <f aca="false">IF(U292&lt;&gt;"",UPPER(TRIM(U292)),IF(CB292=1,UPPER(VLOOKUP(T292,Parameter!$I$27:$K$29,2,0)),IF(P292="","LOSE",P292)))</f>
        <v>S51</v>
      </c>
      <c r="BZ292" s="62" t="n">
        <f aca="false">IF(BY292="LOSE",1,IF(N(V292)&gt;0,V292,IF(CB292=1,MAX(1,N(VLOOKUP(T292,Parameter!$I$27:$K$29,3,0)),H292,N(N292)),IF(N(Q292)&gt;0,Q292,MAX(1,H292)))))</f>
        <v>48</v>
      </c>
      <c r="CA292" s="65" t="n">
        <f aca="false">IF(BY292="LOSE",1,0)</f>
        <v>0</v>
      </c>
      <c r="CB292" s="65" t="n">
        <f aca="false">IF(AND(U292="",OR(P292="",P292="LOSE"),T292&lt;&gt;"",N(S292)&lt;=0,ISNUMBER(MATCH(T292,Parameter!$I$27:$I$29,0))),1,0)</f>
        <v>0</v>
      </c>
      <c r="CC292" s="65" t="n">
        <f aca="false">IF(CR292&gt;0,INDEX(Parameter!$H$5:$H$7,W292)/INDEX(Parameter!$E$5:$E$7,W292),IF(AND(CA292=0,N(IFERROR(VLOOKUP(BY292,'Gebinde-Kategorie'!$A$5:$N$45,14,0),0))&gt;0),VLOOKUP(BY292,'Gebinde-Kategorie'!$A$5:$N$45,14,0)*10+Parameter!$M$23,Parameter!$M$24))</f>
        <v>155</v>
      </c>
      <c r="CD292" s="60" t="str">
        <f aca="false">IF(AND(Parameter!$B$19="Ja",E292&lt;&gt;"",ISNUMBER(MATCH(E292,Parameter!$I$35:$I$52,0))),VLOOKUP(E292,Parameter!$I$35:$J$52,2,0),IFERROR(VLOOKUP(D292,Parameter!$A$35:$C$64,2,0),"Nein"))</f>
        <v>2+3</v>
      </c>
      <c r="CE292" s="64" t="n">
        <f aca="false">IF(CA292=0,0,IF(N(S292)&gt;0,S292,IFERROR(VLOOKUP(D292,Parameter!$A$35:$C$64,3,0)+0,0)))</f>
        <v>0</v>
      </c>
      <c r="CF292" s="60" t="n">
        <f aca="false">IF(AB292&lt;&gt;"",AB292,AA292)</f>
        <v>3</v>
      </c>
      <c r="CG292" s="60" t="str">
        <f aca="false">IF(OR(CF292=1,CF292=2,CF292=3),IF(Parameter!$E$27="Ja","LIFT",IF(CF292=1,"L1","L23")),IF(CF292="Aussen","Aussen","-"))</f>
        <v>LIFT</v>
      </c>
      <c r="CH292" s="71" t="n">
        <f aca="false">IF(N(AC292)&gt;0,AC292,0)</f>
        <v>0</v>
      </c>
      <c r="CI292" s="65" t="n">
        <f aca="false">IF(ISNUMBER(AF292),1,0)</f>
        <v>0</v>
      </c>
      <c r="CJ292" s="62" t="n">
        <f aca="false">N(AF292)</f>
        <v>0</v>
      </c>
      <c r="CK292" s="62" t="n">
        <f aca="false">N(M292)+N(N292)</f>
        <v>111</v>
      </c>
      <c r="CL292" s="62" t="n">
        <f aca="false">N(M292)</f>
        <v>21</v>
      </c>
      <c r="CM292" s="62" t="n">
        <f aca="false">N(N292)</f>
        <v>90</v>
      </c>
      <c r="CN292" s="62" t="n">
        <f aca="false">ROUNDUP(H292/BZ292,0)</f>
        <v>2</v>
      </c>
      <c r="CO292" s="62" t="n">
        <f aca="false">ROUNDUP(CJ292/BZ292,0)</f>
        <v>0</v>
      </c>
      <c r="CP292" s="65" t="n">
        <f aca="false">IF(CA292=1,0,IFERROR(VLOOKUP(BY292,'Gebinde-Kategorie'!$A$5:$N$45,5,0)+0,0))</f>
        <v>11</v>
      </c>
      <c r="CQ292" s="65" t="n">
        <f aca="false">IFERROR(IF(OR(CF292=1,CF292=2,CF292=3),N(INDEX(Parameter!$I$5:$I$7,CF292)),0),0)</f>
        <v>0</v>
      </c>
      <c r="CR292" s="64" t="n">
        <f aca="false">IF(AND(Parameter!$B$21="Ja",ISNUMBER(W292),N(X292)&gt;0),IFERROR(N(INDEX(Parameter!$L$5:$L$7,W292))*INDEX(Parameter!$E$5:$E$7,W292)*X292/SUMIFS($X$7:$X$1843,$W$7:$W$1843,W292),0),0)</f>
        <v>0</v>
      </c>
      <c r="CS292" s="62" t="n">
        <f aca="false">IF(AND(OR(CG292="L1",CG292="L23",CG292="LIFT"),H292&gt;0),CC292*IF(CR292&gt;0,CR292*MAX(1,H292/X292),IF(CA292=1,CE292,IF(R292&gt;0,CN292/R292,0))/MAX(0.1,N(Parameter!$M$21))),"")</f>
        <v>11.9230769230769</v>
      </c>
      <c r="CT292" s="64" t="n">
        <f aca="false">IF(CS292="","",J292/H292)</f>
        <v>1.24324324324324</v>
      </c>
      <c r="CU292" s="62" t="n">
        <f aca="false">IF(CS292="","",H292*G292)</f>
        <v>1622.08</v>
      </c>
      <c r="CV292" s="63" t="n">
        <f aca="false">IF(CS292="","",(CL292+ROUNDUP(CL292+MAX(CM292,2*(J292/MAX(0.1,N(Einkauf!$C$6))-CL292)),0))/2)</f>
        <v>66</v>
      </c>
      <c r="CW292" s="62" t="n">
        <f aca="false">IF(CS292="","",MAX(0,H292-CV292)*G292)</f>
        <v>175.36</v>
      </c>
      <c r="CX292" s="62" t="n">
        <f aca="false">IF(CS292="","",CS292*MAX(0,1-CV292/H292))</f>
        <v>1.28898128898129</v>
      </c>
      <c r="CY292" s="64" t="n">
        <f aca="false">IF(CS292="","",PERCENTRANK($CS$7:$CS$1843,CS292)+PERCENTRANK($CU$7:$CU$1843,CU292)+1-PERCENTRANK($CT$7:$CT$1843,CT292))</f>
        <v>1.641</v>
      </c>
      <c r="CZ292" s="72" t="n">
        <f aca="false">IF(CS292="","",CHOOSE(MATCH(Einkauf!$C$5,Parameter!$G$23:$G$27,0),CY292,CS292,CU292,-CT292,CW292)+ROW()/1000000000)</f>
        <v>1.641000292</v>
      </c>
    </row>
    <row r="293" customFormat="false" ht="15" hidden="false" customHeight="false" outlineLevel="0" collapsed="false">
      <c r="A293" s="60" t="s">
        <v>800</v>
      </c>
      <c r="B293" s="60" t="s">
        <v>801</v>
      </c>
      <c r="C293" s="60" t="s">
        <v>206</v>
      </c>
      <c r="D293" s="60" t="s">
        <v>226</v>
      </c>
      <c r="E293" s="60" t="s">
        <v>227</v>
      </c>
      <c r="F293" s="60" t="s">
        <v>260</v>
      </c>
      <c r="G293" s="61" t="n">
        <v>2.8</v>
      </c>
      <c r="H293" s="62" t="n">
        <f aca="false">MAX(0,IF(AND(Parameter!$B$21="Ja",ISNUMBER(Y293)),Y293,IF(Parameter!$B$20="Jahresanfang 2025 + Export",BS293+BR293,BR293)))</f>
        <v>123</v>
      </c>
      <c r="I293" s="62" t="n">
        <f aca="false">H293*G293</f>
        <v>344.4</v>
      </c>
      <c r="J293" s="62" t="n">
        <f aca="false">BU293*Parameter!$B$18</f>
        <v>129</v>
      </c>
      <c r="K293" s="63" t="n">
        <v>54.5</v>
      </c>
      <c r="L293" s="64" t="n">
        <v>2.36697247706422</v>
      </c>
      <c r="M293" s="62" t="n">
        <v>10</v>
      </c>
      <c r="N293" s="62" t="n">
        <v>130</v>
      </c>
      <c r="O293" s="65" t="n">
        <v>28</v>
      </c>
      <c r="P293" s="60" t="s">
        <v>463</v>
      </c>
      <c r="Q293" s="62" t="n">
        <v>115</v>
      </c>
      <c r="R293" s="65" t="n">
        <f aca="false">IF(CA293=1,0,IFERROR(VLOOKUP(BY293,'Gebinde-Kategorie'!$A$5:$N$45,13,0)+0,0))</f>
        <v>104</v>
      </c>
      <c r="S293" s="66"/>
      <c r="T293" s="67"/>
      <c r="U293" s="67"/>
      <c r="V293" s="67"/>
      <c r="W293" s="60"/>
      <c r="X293" s="62"/>
      <c r="Y293" s="62"/>
      <c r="Z293" s="60" t="n">
        <v>3</v>
      </c>
      <c r="AA293" s="60" t="n">
        <f aca="false">IF(A293="","",IF(AND(Parameter!$B$21="Ja",ISNUMBER(W293)),W293,IF(AND(Parameter!$E$27="Ja",ISNUMBER(Z293),CD293&lt;&gt;"Nein"),Z293,IF(CD293="2+3",IF(ISNUMBER(SEARCH("grosser Artikel",BV293)),2,IFERROR(VLOOKUP(BY293,Parameter!$F$35:$G$64,2,0),2)),IF(OR(CD293="Nein",CD293=""),"-",CD293)))))</f>
        <v>3</v>
      </c>
      <c r="AB293" s="67"/>
      <c r="AC293" s="68"/>
      <c r="AD293" s="62" t="n">
        <f aca="false">AW293</f>
        <v>140</v>
      </c>
      <c r="AE293" s="62" t="n">
        <f aca="false">MAX(AW293,H293)</f>
        <v>140</v>
      </c>
      <c r="AF293" s="69"/>
      <c r="AG293" s="62" t="n">
        <f aca="false">IF(LEFT(Cockpit!$C$5,1)="A",H293,IF(Parameter!$E$30="MAX-Bestand",IF(CI293=1,CJ293,IF(LEFT(Cockpit!$C$5,1)="B",AM293,MAX(AM293,H293))),ROUNDUP(AK293,0)))</f>
        <v>123</v>
      </c>
      <c r="AH293" s="62" t="n">
        <f aca="false">IF(CA293=1,0,ROUNDUP(AG293/BZ293,0))</f>
        <v>2</v>
      </c>
      <c r="AI293" s="64" t="n">
        <f aca="false">IF(CR293&gt;0,CR293*MAX(1,AG293/X293),IF(CA293=1,IF(AG293&lt;=0,0,CE293*MAX(1,IF(H293&gt;0,AG293/H293,1))),IF(R293&gt;0,AH293/R293,0))/MAX(0.1,N(Parameter!$M$21)))</f>
        <v>0.0192307692307692</v>
      </c>
      <c r="AJ293" s="62" t="n">
        <f aca="false">AI293*CC293</f>
        <v>2.98076923076923</v>
      </c>
      <c r="AK293" s="63" t="n">
        <f aca="false">IF(LEFT(Cockpit!$C$5,1)="A",H293,IF(CI293=1,(CL293+CJ293)/2,IF(LEFT(Cockpit!$C$5,1)="B",(CL293+AM293)/2,MAX((CL293+AM293)/2,H293))))</f>
        <v>123</v>
      </c>
      <c r="AL293" s="62" t="n">
        <f aca="false">AK293*G293</f>
        <v>344.4</v>
      </c>
      <c r="AM293" s="62" t="n">
        <f aca="false">ROUNDUP(CL293+MAX(CM293,2*(J293/IF(CH293&gt;0,CH293,MAX(0.1,N(Cockpit!$C$6)))-CL293)),0)</f>
        <v>140</v>
      </c>
      <c r="AN293" s="63" t="n">
        <f aca="false">IF(AJ293&gt;0,J293/AJ293,-1)</f>
        <v>43.2774193548387</v>
      </c>
      <c r="AO293" s="63" t="n">
        <f aca="false">IF(AND(OR(CG293="L1",CG293="L23",CG293="LIFT"),AJ293&gt;0),SUMIFS($AJ$7:$AJ$1843,$CG$7:$CG$1843,CG293,$AN$7:$AN$1843,"&gt;"&amp;AN293)+SUMIFS($AJ$7:$AJ$1843,$CG$7:$CG$1843,CG293,$AN$7:$AN$1843,AN293,$BX$7:$BX$1843,"&lt;="&amp;BX293),"")</f>
        <v>1175.55769230769</v>
      </c>
      <c r="AP293" s="70" t="n">
        <f aca="false">IF(AO293="",0,MAX(0,MIN(1,(IF(CG293="L1",Parameter!$H$5,IF(CG293="L23",Parameter!$H$6+Parameter!$H$7,Parameter!$H$5+Parameter!$H$6+Parameter!$H$7))-(AO293-AJ293))/AJ293)))</f>
        <v>1</v>
      </c>
      <c r="AQ293" s="62" t="n">
        <f aca="false">IF(LEFT(Cockpit!$I$5,1)="A",H293,IF(Parameter!$E$30="MAX-Bestand",IF(CI293=1,CJ293,IF(LEFT(Cockpit!$I$5,1)="B",AW293,MAX(AW293,H293))),ROUNDUP(AU293,0)))</f>
        <v>123</v>
      </c>
      <c r="AR293" s="62" t="n">
        <f aca="false">IF(CA293=1,0,ROUNDUP(AQ293/BZ293,0))</f>
        <v>2</v>
      </c>
      <c r="AS293" s="64" t="n">
        <f aca="false">IF(CR293&gt;0,CR293*MAX(1,AQ293/X293),IF(CA293=1,IF(AQ293&lt;=0,0,CE293*MAX(1,IF(H293&gt;0,AQ293/H293,1))),IF(R293&gt;0,AR293/R293,0))/MAX(0.1,N(Parameter!$M$21)))</f>
        <v>0.0192307692307692</v>
      </c>
      <c r="AT293" s="62" t="n">
        <f aca="false">AS293*CC293</f>
        <v>2.98076923076923</v>
      </c>
      <c r="AU293" s="63" t="n">
        <f aca="false">IF(LEFT(Cockpit!$I$5,1)="A",H293,IF(CI293=1,(CL293+CJ293)/2,IF(LEFT(Cockpit!$I$5,1)="B",(CL293+AW293)/2,MAX((CL293+AW293)/2,H293))))</f>
        <v>123</v>
      </c>
      <c r="AV293" s="62" t="n">
        <f aca="false">AU293*G293</f>
        <v>344.4</v>
      </c>
      <c r="AW293" s="62" t="n">
        <f aca="false">ROUNDUP(CL293+MAX(CM293,2*(J293/IF(CH293&gt;0,CH293,MAX(0.1,N(Cockpit!$I$6)))-CL293)),0)</f>
        <v>140</v>
      </c>
      <c r="AX293" s="63" t="n">
        <f aca="false">IF(AT293&gt;0,J293/AT293,-1)</f>
        <v>43.2774193548387</v>
      </c>
      <c r="AY293" s="63" t="n">
        <f aca="false">IF(AND(OR(CG293="L1",CG293="L23",CG293="LIFT"),AT293&gt;0),SUMIFS($AT$7:$AT$1843,$CG$7:$CG$1843,CG293,$AX$7:$AX$1843,"&gt;"&amp;AX293)+SUMIFS($AT$7:$AT$1843,$CG$7:$CG$1843,CG293,$AX$7:$AX$1843,AX293,$BX$7:$BX$1843,"&lt;="&amp;BX293),"")</f>
        <v>1461.76968864469</v>
      </c>
      <c r="AZ293" s="70" t="n">
        <f aca="false">IF(AY293="",0,MAX(0,MIN(1,(IF(CG293="L1",Parameter!$H$5,IF(CG293="L23",Parameter!$H$6+Parameter!$H$7,Parameter!$H$5+Parameter!$H$6+Parameter!$H$7))-(AY293-AT293))/AT293)))</f>
        <v>1</v>
      </c>
      <c r="BA293" s="62" t="n">
        <f aca="false">IF(LEFT(Cockpit!$O$5,1)="A",H293,IF(Parameter!$E$30="MAX-Bestand",IF(CI293=1,CJ293,IF(LEFT(Cockpit!$O$5,1)="B",BG293,MAX(BG293,H293))),ROUNDUP(BE293,0)))</f>
        <v>75</v>
      </c>
      <c r="BB293" s="62" t="n">
        <f aca="false">IF(CA293=1,0,ROUNDUP(BA293/BZ293,0))</f>
        <v>1</v>
      </c>
      <c r="BC293" s="64" t="n">
        <f aca="false">IF(CR293&gt;0,CR293*MAX(1,BA293/X293),IF(CA293=1,IF(BA293&lt;=0,0,CE293*MAX(1,IF(H293&gt;0,BA293/H293,1))),IF(R293&gt;0,BB293/R293,0))/MAX(0.1,N(Parameter!$M$21)))</f>
        <v>0.00961538461538462</v>
      </c>
      <c r="BD293" s="62" t="n">
        <f aca="false">BC293*CC293</f>
        <v>1.49038461538462</v>
      </c>
      <c r="BE293" s="63" t="n">
        <f aca="false">IF(LEFT(Cockpit!$O$5,1)="A",H293,IF(CI293=1,(CL293+CJ293)/2,IF(LEFT(Cockpit!$O$5,1)="B",(CL293+BG293)/2,MAX((CL293+BG293)/2,H293))))</f>
        <v>75</v>
      </c>
      <c r="BF293" s="62" t="n">
        <f aca="false">BE293*G293</f>
        <v>210</v>
      </c>
      <c r="BG293" s="62" t="n">
        <f aca="false">ROUNDUP(CL293+MAX(CM293,2*(J293/IF(CH293&gt;0,CH293,MAX(0.1,N(Cockpit!$O$6)))-CL293)),0)</f>
        <v>140</v>
      </c>
      <c r="BH293" s="63" t="n">
        <f aca="false">IF(BD293&gt;0,J293/BD293,-1)</f>
        <v>86.5548387096774</v>
      </c>
      <c r="BI293" s="63" t="n">
        <f aca="false">IF(AND(OR(CG293="L1",CG293="L23",CG293="LIFT"),BD293&gt;0),SUMIFS($BD$7:$BD$1843,$CG$7:$CG$1843,CG293,$BH$7:$BH$1843,"&gt;"&amp;BH293)+SUMIFS($BD$7:$BD$1843,$CG$7:$CG$1843,CG293,$BH$7:$BH$1843,BH293,$BX$7:$BX$1843,"&lt;="&amp;BX293),"")</f>
        <v>980.958333333333</v>
      </c>
      <c r="BJ293" s="70" t="n">
        <f aca="false">IF(BI293="",0,MAX(0,MIN(1,(IF(CG293="L1",Parameter!$H$5,IF(CG293="L23",Parameter!$H$6+Parameter!$H$7,Parameter!$H$5+Parameter!$H$6+Parameter!$H$7))-(BI293-BD293))/BD293)))</f>
        <v>1</v>
      </c>
      <c r="BK293" s="60" t="str">
        <f aca="false">IF(AJ293&lt;=0,"",IF(CG293="Aussen","Aussenlager",IF(CG293="-","Nicht im Lift",IF(AP293&gt;=1,"Lift",IF(AP293&lt;=0,"Aussenlager","teilweise")))))</f>
        <v>Lift</v>
      </c>
      <c r="BL293" s="60" t="str">
        <f aca="false">IF(AT293&lt;=0,"",IF(CG293="Aussen","Aussenlager",IF(CG293="-","Nicht im Lift",IF(AZ293&gt;=1,"Lift",IF(AZ293&lt;=0,"Aussenlager","teilweise")))))</f>
        <v>Lift</v>
      </c>
      <c r="BM293" s="60" t="str">
        <f aca="false">IF(BD293&lt;=0,"",IF(CG293="Aussen","Aussenlager",IF(CG293="-","Nicht im Lift",IF(BJ293&gt;=1,"Lift",IF(BJ293&lt;=0,"Aussenlager","teilweise")))))</f>
        <v>Lift</v>
      </c>
      <c r="BN293" s="60" t="str">
        <f aca="false">IF(A293="","",IF(BW293=1,"Neu; ","")&amp;IF(AND(BW293=0,BR293&lt;0),"negativer Bestand (Export "&amp;BR293&amp;"); ","")&amp;IF(J293&lt;=0,"Kein Verbrauch; ","")&amp;IF(CR293&gt;0,"Lift "&amp;W293&amp;" lt. Liftbericht (Fach "&amp;X293&amp;" Stk); ",IF(CB293=1,"Gebinde geschätzt ("&amp;T293&amp;"); ",IF(CA293=1,"Lose – Tablare geschätzt; ","")))&amp;IF(H293&gt;AW293,"Überbestand "&amp;ROUND(H293-AW293,0)&amp;" Stk / CHF "&amp;ROUND((H293-AW293)*G293,0)&amp;"; ","")&amp;IF(AND(CI293=1,CJ293&lt;CK293),"MAX &lt; MB+LG; ","")&amp;IF(AND(CQ293&gt;0,CP293*10&gt;CQ293),"zu hoch für Tablar; ","")&amp;IF(AND(BW293=0,OR(CI293=1,AB293&lt;&gt;"",U293&lt;&gt;"",V293&lt;&gt;"",AC293&lt;&gt;"")),"manuell übersteuert; ","")&amp;IF(AND(CA293=0,R293=0),"Gebinde unbekannt / Stellmass fehlt; ","")&amp;IF(AND(CA293=0,N(V293)&lt;=0,N(Q293)&lt;=0),"Menge pro Gebinde fehlt (Ist = 1 Gebinde); ","")&amp;BV293)</f>
        <v/>
      </c>
      <c r="BO293" s="60"/>
      <c r="BP293" s="60"/>
      <c r="BQ293" s="67"/>
      <c r="BR293" s="62" t="n">
        <v>105</v>
      </c>
      <c r="BS293" s="62" t="n">
        <v>18</v>
      </c>
      <c r="BT293" s="61" t="n">
        <v>294.18</v>
      </c>
      <c r="BU293" s="62" t="n">
        <v>129</v>
      </c>
      <c r="BV293" s="60"/>
      <c r="BW293" s="65" t="n">
        <v>0</v>
      </c>
      <c r="BX293" s="65" t="n">
        <v>293</v>
      </c>
      <c r="BY293" s="60" t="str">
        <f aca="false">IF(U293&lt;&gt;"",UPPER(TRIM(U293)),IF(CB293=1,UPPER(VLOOKUP(T293,Parameter!$I$27:$K$29,2,0)),IF(P293="","LOSE",P293)))</f>
        <v>S32</v>
      </c>
      <c r="BZ293" s="62" t="n">
        <f aca="false">IF(BY293="LOSE",1,IF(N(V293)&gt;0,V293,IF(CB293=1,MAX(1,N(VLOOKUP(T293,Parameter!$I$27:$K$29,3,0)),H293,N(N293)),IF(N(Q293)&gt;0,Q293,MAX(1,H293)))))</f>
        <v>115</v>
      </c>
      <c r="CA293" s="65" t="n">
        <f aca="false">IF(BY293="LOSE",1,0)</f>
        <v>0</v>
      </c>
      <c r="CB293" s="65" t="n">
        <f aca="false">IF(AND(U293="",OR(P293="",P293="LOSE"),T293&lt;&gt;"",N(S293)&lt;=0,ISNUMBER(MATCH(T293,Parameter!$I$27:$I$29,0))),1,0)</f>
        <v>0</v>
      </c>
      <c r="CC293" s="65" t="n">
        <f aca="false">IF(CR293&gt;0,INDEX(Parameter!$H$5:$H$7,W293)/INDEX(Parameter!$E$5:$E$7,W293),IF(AND(CA293=0,N(IFERROR(VLOOKUP(BY293,'Gebinde-Kategorie'!$A$5:$N$45,14,0),0))&gt;0),VLOOKUP(BY293,'Gebinde-Kategorie'!$A$5:$N$45,14,0)*10+Parameter!$M$23,Parameter!$M$24))</f>
        <v>155</v>
      </c>
      <c r="CD293" s="60" t="str">
        <f aca="false">IF(AND(Parameter!$B$19="Ja",E293&lt;&gt;"",ISNUMBER(MATCH(E293,Parameter!$I$35:$I$52,0))),VLOOKUP(E293,Parameter!$I$35:$J$52,2,0),IFERROR(VLOOKUP(D293,Parameter!$A$35:$C$64,2,0),"Nein"))</f>
        <v>2+3</v>
      </c>
      <c r="CE293" s="64" t="n">
        <f aca="false">IF(CA293=0,0,IF(N(S293)&gt;0,S293,IFERROR(VLOOKUP(D293,Parameter!$A$35:$C$64,3,0)+0,0)))</f>
        <v>0</v>
      </c>
      <c r="CF293" s="60" t="n">
        <f aca="false">IF(AB293&lt;&gt;"",AB293,AA293)</f>
        <v>3</v>
      </c>
      <c r="CG293" s="60" t="str">
        <f aca="false">IF(OR(CF293=1,CF293=2,CF293=3),IF(Parameter!$E$27="Ja","LIFT",IF(CF293=1,"L1","L23")),IF(CF293="Aussen","Aussen","-"))</f>
        <v>LIFT</v>
      </c>
      <c r="CH293" s="71" t="n">
        <f aca="false">IF(N(AC293)&gt;0,AC293,0)</f>
        <v>0</v>
      </c>
      <c r="CI293" s="65" t="n">
        <f aca="false">IF(ISNUMBER(AF293),1,0)</f>
        <v>0</v>
      </c>
      <c r="CJ293" s="62" t="n">
        <f aca="false">N(AF293)</f>
        <v>0</v>
      </c>
      <c r="CK293" s="62" t="n">
        <f aca="false">N(M293)+N(N293)</f>
        <v>140</v>
      </c>
      <c r="CL293" s="62" t="n">
        <f aca="false">N(M293)</f>
        <v>10</v>
      </c>
      <c r="CM293" s="62" t="n">
        <f aca="false">N(N293)</f>
        <v>130</v>
      </c>
      <c r="CN293" s="62" t="n">
        <f aca="false">ROUNDUP(H293/BZ293,0)</f>
        <v>2</v>
      </c>
      <c r="CO293" s="62" t="n">
        <f aca="false">ROUNDUP(CJ293/BZ293,0)</f>
        <v>0</v>
      </c>
      <c r="CP293" s="65" t="n">
        <f aca="false">IF(CA293=1,0,IFERROR(VLOOKUP(BY293,'Gebinde-Kategorie'!$A$5:$N$45,5,0)+0,0))</f>
        <v>8</v>
      </c>
      <c r="CQ293" s="65" t="n">
        <f aca="false">IFERROR(IF(OR(CF293=1,CF293=2,CF293=3),N(INDEX(Parameter!$I$5:$I$7,CF293)),0),0)</f>
        <v>0</v>
      </c>
      <c r="CR293" s="64" t="n">
        <f aca="false">IF(AND(Parameter!$B$21="Ja",ISNUMBER(W293),N(X293)&gt;0),IFERROR(N(INDEX(Parameter!$L$5:$L$7,W293))*INDEX(Parameter!$E$5:$E$7,W293)*X293/SUMIFS($X$7:$X$1843,$W$7:$W$1843,W293),0),0)</f>
        <v>0</v>
      </c>
      <c r="CS293" s="62" t="n">
        <f aca="false">IF(AND(OR(CG293="L1",CG293="L23",CG293="LIFT"),H293&gt;0),CC293*IF(CR293&gt;0,CR293*MAX(1,H293/X293),IF(CA293=1,CE293,IF(R293&gt;0,CN293/R293,0))/MAX(0.1,N(Parameter!$M$21))),"")</f>
        <v>2.98076923076923</v>
      </c>
      <c r="CT293" s="64" t="n">
        <f aca="false">IF(CS293="","",J293/H293)</f>
        <v>1.04878048780488</v>
      </c>
      <c r="CU293" s="62" t="n">
        <f aca="false">IF(CS293="","",H293*G293)</f>
        <v>344.4</v>
      </c>
      <c r="CV293" s="63" t="n">
        <f aca="false">IF(CS293="","",(CL293+ROUNDUP(CL293+MAX(CM293,2*(J293/MAX(0.1,N(Einkauf!$C$6))-CL293)),0))/2)</f>
        <v>75</v>
      </c>
      <c r="CW293" s="62" t="n">
        <f aca="false">IF(CS293="","",MAX(0,H293-CV293)*G293)</f>
        <v>134.4</v>
      </c>
      <c r="CX293" s="62" t="n">
        <f aca="false">IF(CS293="","",CS293*MAX(0,1-CV293/H293))</f>
        <v>1.16322701688555</v>
      </c>
      <c r="CY293" s="64" t="n">
        <f aca="false">IF(CS293="","",PERCENTRANK($CS$7:$CS$1843,CS293)+PERCENTRANK($CU$7:$CU$1843,CU293)+1-PERCENTRANK($CT$7:$CT$1843,CT293))</f>
        <v>0.988</v>
      </c>
      <c r="CZ293" s="72" t="n">
        <f aca="false">IF(CS293="","",CHOOSE(MATCH(Einkauf!$C$5,Parameter!$G$23:$G$27,0),CY293,CS293,CU293,-CT293,CW293)+ROW()/1000000000)</f>
        <v>0.988000293</v>
      </c>
    </row>
    <row r="294" customFormat="false" ht="15" hidden="false" customHeight="false" outlineLevel="0" collapsed="false">
      <c r="A294" s="60" t="s">
        <v>802</v>
      </c>
      <c r="B294" s="60" t="s">
        <v>803</v>
      </c>
      <c r="C294" s="60" t="s">
        <v>206</v>
      </c>
      <c r="D294" s="60" t="s">
        <v>226</v>
      </c>
      <c r="E294" s="60" t="s">
        <v>227</v>
      </c>
      <c r="F294" s="60" t="s">
        <v>260</v>
      </c>
      <c r="G294" s="61" t="n">
        <v>30.7</v>
      </c>
      <c r="H294" s="62" t="n">
        <f aca="false">MAX(0,IF(AND(Parameter!$B$21="Ja",ISNUMBER(Y294)),Y294,IF(Parameter!$B$20="Jahresanfang 2025 + Export",BS294+BR294,BR294)))</f>
        <v>18</v>
      </c>
      <c r="I294" s="62" t="n">
        <f aca="false">H294*G294</f>
        <v>552.6</v>
      </c>
      <c r="J294" s="62" t="n">
        <f aca="false">BU294*Parameter!$B$18</f>
        <v>2</v>
      </c>
      <c r="K294" s="63" t="n">
        <v>14</v>
      </c>
      <c r="L294" s="64" t="n">
        <v>0.142857142857143</v>
      </c>
      <c r="M294" s="62" t="n">
        <v>0</v>
      </c>
      <c r="N294" s="62" t="n">
        <v>1</v>
      </c>
      <c r="O294" s="65" t="n">
        <v>21</v>
      </c>
      <c r="P294" s="60" t="s">
        <v>443</v>
      </c>
      <c r="Q294" s="62" t="n">
        <v>10</v>
      </c>
      <c r="R294" s="65" t="n">
        <f aca="false">IF(CA294=1,0,IFERROR(VLOOKUP(BY294,'Gebinde-Kategorie'!$A$5:$N$45,13,0)+0,0))</f>
        <v>280</v>
      </c>
      <c r="S294" s="66"/>
      <c r="T294" s="67"/>
      <c r="U294" s="67"/>
      <c r="V294" s="67"/>
      <c r="W294" s="60"/>
      <c r="X294" s="62"/>
      <c r="Y294" s="62"/>
      <c r="Z294" s="60" t="n">
        <v>2</v>
      </c>
      <c r="AA294" s="60" t="n">
        <f aca="false">IF(A294="","",IF(AND(Parameter!$B$21="Ja",ISNUMBER(W294)),W294,IF(AND(Parameter!$E$27="Ja",ISNUMBER(Z294),CD294&lt;&gt;"Nein"),Z294,IF(CD294="2+3",IF(ISNUMBER(SEARCH("grosser Artikel",BV294)),2,IFERROR(VLOOKUP(BY294,Parameter!$F$35:$G$64,2,0),2)),IF(OR(CD294="Nein",CD294=""),"-",CD294)))))</f>
        <v>2</v>
      </c>
      <c r="AB294" s="67"/>
      <c r="AC294" s="68"/>
      <c r="AD294" s="62" t="n">
        <f aca="false">AW294</f>
        <v>2</v>
      </c>
      <c r="AE294" s="62" t="n">
        <f aca="false">MAX(AW294,H294)</f>
        <v>18</v>
      </c>
      <c r="AF294" s="69"/>
      <c r="AG294" s="62" t="n">
        <f aca="false">IF(LEFT(Cockpit!$C$5,1)="A",H294,IF(Parameter!$E$30="MAX-Bestand",IF(CI294=1,CJ294,IF(LEFT(Cockpit!$C$5,1)="B",AM294,MAX(AM294,H294))),ROUNDUP(AK294,0)))</f>
        <v>18</v>
      </c>
      <c r="AH294" s="62" t="n">
        <f aca="false">IF(CA294=1,0,ROUNDUP(AG294/BZ294,0))</f>
        <v>2</v>
      </c>
      <c r="AI294" s="64" t="n">
        <f aca="false">IF(CR294&gt;0,CR294*MAX(1,AG294/X294),IF(CA294=1,IF(AG294&lt;=0,0,CE294*MAX(1,IF(H294&gt;0,AG294/H294,1))),IF(R294&gt;0,AH294/R294,0))/MAX(0.1,N(Parameter!$M$21)))</f>
        <v>0.00714285714285714</v>
      </c>
      <c r="AJ294" s="62" t="n">
        <f aca="false">AI294*CC294</f>
        <v>1.10714285714286</v>
      </c>
      <c r="AK294" s="63" t="n">
        <f aca="false">IF(LEFT(Cockpit!$C$5,1)="A",H294,IF(CI294=1,(CL294+CJ294)/2,IF(LEFT(Cockpit!$C$5,1)="B",(CL294+AM294)/2,MAX((CL294+AM294)/2,H294))))</f>
        <v>18</v>
      </c>
      <c r="AL294" s="62" t="n">
        <f aca="false">AK294*G294</f>
        <v>552.6</v>
      </c>
      <c r="AM294" s="62" t="n">
        <f aca="false">ROUNDUP(CL294+MAX(CM294,2*(J294/IF(CH294&gt;0,CH294,MAX(0.1,N(Cockpit!$C$6)))-CL294)),0)</f>
        <v>2</v>
      </c>
      <c r="AN294" s="63" t="n">
        <f aca="false">IF(AJ294&gt;0,J294/AJ294,-1)</f>
        <v>1.80645161290323</v>
      </c>
      <c r="AO294" s="63" t="n">
        <f aca="false">IF(AND(OR(CG294="L1",CG294="L23",CG294="LIFT"),AJ294&gt;0),SUMIFS($AJ$7:$AJ$1843,$CG$7:$CG$1843,CG294,$AN$7:$AN$1843,"&gt;"&amp;AN294)+SUMIFS($AJ$7:$AJ$1843,$CG$7:$CG$1843,CG294,$AN$7:$AN$1843,AN294,$BX$7:$BX$1843,"&lt;="&amp;BX294),"")</f>
        <v>5960.91529304029</v>
      </c>
      <c r="AP294" s="70" t="n">
        <f aca="false">IF(AO294="",0,MAX(0,MIN(1,(IF(CG294="L1",Parameter!$H$5,IF(CG294="L23",Parameter!$H$6+Parameter!$H$7,Parameter!$H$5+Parameter!$H$6+Parameter!$H$7))-(AO294-AJ294))/AJ294)))</f>
        <v>1</v>
      </c>
      <c r="AQ294" s="62" t="n">
        <f aca="false">IF(LEFT(Cockpit!$I$5,1)="A",H294,IF(Parameter!$E$30="MAX-Bestand",IF(CI294=1,CJ294,IF(LEFT(Cockpit!$I$5,1)="B",AW294,MAX(AW294,H294))),ROUNDUP(AU294,0)))</f>
        <v>18</v>
      </c>
      <c r="AR294" s="62" t="n">
        <f aca="false">IF(CA294=1,0,ROUNDUP(AQ294/BZ294,0))</f>
        <v>2</v>
      </c>
      <c r="AS294" s="64" t="n">
        <f aca="false">IF(CR294&gt;0,CR294*MAX(1,AQ294/X294),IF(CA294=1,IF(AQ294&lt;=0,0,CE294*MAX(1,IF(H294&gt;0,AQ294/H294,1))),IF(R294&gt;0,AR294/R294,0))/MAX(0.1,N(Parameter!$M$21)))</f>
        <v>0.00714285714285714</v>
      </c>
      <c r="AT294" s="62" t="n">
        <f aca="false">AS294*CC294</f>
        <v>1.10714285714286</v>
      </c>
      <c r="AU294" s="63" t="n">
        <f aca="false">IF(LEFT(Cockpit!$I$5,1)="A",H294,IF(CI294=1,(CL294+CJ294)/2,IF(LEFT(Cockpit!$I$5,1)="B",(CL294+AW294)/2,MAX((CL294+AW294)/2,H294))))</f>
        <v>18</v>
      </c>
      <c r="AV294" s="62" t="n">
        <f aca="false">AU294*G294</f>
        <v>552.6</v>
      </c>
      <c r="AW294" s="62" t="n">
        <f aca="false">ROUNDUP(CL294+MAX(CM294,2*(J294/IF(CH294&gt;0,CH294,MAX(0.1,N(Cockpit!$I$6)))-CL294)),0)</f>
        <v>2</v>
      </c>
      <c r="AX294" s="63" t="n">
        <f aca="false">IF(AT294&gt;0,J294/AT294,-1)</f>
        <v>1.80645161290323</v>
      </c>
      <c r="AY294" s="63" t="n">
        <f aca="false">IF(AND(OR(CG294="L1",CG294="L23",CG294="LIFT"),AT294&gt;0),SUMIFS($AT$7:$AT$1843,$CG$7:$CG$1843,CG294,$AX$7:$AX$1843,"&gt;"&amp;AX294)+SUMIFS($AT$7:$AT$1843,$CG$7:$CG$1843,CG294,$AX$7:$AX$1843,AX294,$BX$7:$BX$1843,"&lt;="&amp;BX294),"")</f>
        <v>7398.43818681319</v>
      </c>
      <c r="AZ294" s="70" t="n">
        <f aca="false">IF(AY294="",0,MAX(0,MIN(1,(IF(CG294="L1",Parameter!$H$5,IF(CG294="L23",Parameter!$H$6+Parameter!$H$7,Parameter!$H$5+Parameter!$H$6+Parameter!$H$7))-(AY294-AT294))/AT294)))</f>
        <v>1</v>
      </c>
      <c r="BA294" s="62" t="n">
        <f aca="false">IF(LEFT(Cockpit!$O$5,1)="A",H294,IF(Parameter!$E$30="MAX-Bestand",IF(CI294=1,CJ294,IF(LEFT(Cockpit!$O$5,1)="B",BG294,MAX(BG294,H294))),ROUNDUP(BE294,0)))</f>
        <v>1</v>
      </c>
      <c r="BB294" s="62" t="n">
        <f aca="false">IF(CA294=1,0,ROUNDUP(BA294/BZ294,0))</f>
        <v>1</v>
      </c>
      <c r="BC294" s="64" t="n">
        <f aca="false">IF(CR294&gt;0,CR294*MAX(1,BA294/X294),IF(CA294=1,IF(BA294&lt;=0,0,CE294*MAX(1,IF(H294&gt;0,BA294/H294,1))),IF(R294&gt;0,BB294/R294,0))/MAX(0.1,N(Parameter!$M$21)))</f>
        <v>0.00357142857142857</v>
      </c>
      <c r="BD294" s="62" t="n">
        <f aca="false">BC294*CC294</f>
        <v>0.553571428571429</v>
      </c>
      <c r="BE294" s="63" t="n">
        <f aca="false">IF(LEFT(Cockpit!$O$5,1)="A",H294,IF(CI294=1,(CL294+CJ294)/2,IF(LEFT(Cockpit!$O$5,1)="B",(CL294+BG294)/2,MAX((CL294+BG294)/2,H294))))</f>
        <v>0.5</v>
      </c>
      <c r="BF294" s="62" t="n">
        <f aca="false">BE294*G294</f>
        <v>15.35</v>
      </c>
      <c r="BG294" s="62" t="n">
        <f aca="false">ROUNDUP(CL294+MAX(CM294,2*(J294/IF(CH294&gt;0,CH294,MAX(0.1,N(Cockpit!$O$6)))-CL294)),0)</f>
        <v>1</v>
      </c>
      <c r="BH294" s="63" t="n">
        <f aca="false">IF(BD294&gt;0,J294/BD294,-1)</f>
        <v>3.61290322580645</v>
      </c>
      <c r="BI294" s="63" t="n">
        <f aca="false">IF(AND(OR(CG294="L1",CG294="L23",CG294="LIFT"),BD294&gt;0),SUMIFS($BD$7:$BD$1843,$CG$7:$CG$1843,CG294,$BH$7:$BH$1843,"&gt;"&amp;BH294)+SUMIFS($BD$7:$BD$1843,$CG$7:$CG$1843,CG294,$BH$7:$BH$1843,BH294,$BX$7:$BX$1843,"&lt;="&amp;BX294),"")</f>
        <v>4416.08287545788</v>
      </c>
      <c r="BJ294" s="70" t="n">
        <f aca="false">IF(BI294="",0,MAX(0,MIN(1,(IF(CG294="L1",Parameter!$H$5,IF(CG294="L23",Parameter!$H$6+Parameter!$H$7,Parameter!$H$5+Parameter!$H$6+Parameter!$H$7))-(BI294-BD294))/BD294)))</f>
        <v>1</v>
      </c>
      <c r="BK294" s="60" t="str">
        <f aca="false">IF(AJ294&lt;=0,"",IF(CG294="Aussen","Aussenlager",IF(CG294="-","Nicht im Lift",IF(AP294&gt;=1,"Lift",IF(AP294&lt;=0,"Aussenlager","teilweise")))))</f>
        <v>Lift</v>
      </c>
      <c r="BL294" s="60" t="str">
        <f aca="false">IF(AT294&lt;=0,"",IF(CG294="Aussen","Aussenlager",IF(CG294="-","Nicht im Lift",IF(AZ294&gt;=1,"Lift",IF(AZ294&lt;=0,"Aussenlager","teilweise")))))</f>
        <v>Lift</v>
      </c>
      <c r="BM294" s="60" t="str">
        <f aca="false">IF(BD294&lt;=0,"",IF(CG294="Aussen","Aussenlager",IF(CG294="-","Nicht im Lift",IF(BJ294&gt;=1,"Lift",IF(BJ294&lt;=0,"Aussenlager","teilweise")))))</f>
        <v>Lift</v>
      </c>
      <c r="BN294" s="60" t="str">
        <f aca="false">IF(A294="","",IF(BW294=1,"Neu; ","")&amp;IF(AND(BW294=0,BR294&lt;0),"negativer Bestand (Export "&amp;BR294&amp;"); ","")&amp;IF(J294&lt;=0,"Kein Verbrauch; ","")&amp;IF(CR294&gt;0,"Lift "&amp;W294&amp;" lt. Liftbericht (Fach "&amp;X294&amp;" Stk); ",IF(CB294=1,"Gebinde geschätzt ("&amp;T294&amp;"); ",IF(CA294=1,"Lose – Tablare geschätzt; ","")))&amp;IF(H294&gt;AW294,"Überbestand "&amp;ROUND(H294-AW294,0)&amp;" Stk / CHF "&amp;ROUND((H294-AW294)*G294,0)&amp;"; ","")&amp;IF(AND(CI294=1,CJ294&lt;CK294),"MAX &lt; MB+LG; ","")&amp;IF(AND(CQ294&gt;0,CP294*10&gt;CQ294),"zu hoch für Tablar; ","")&amp;IF(AND(BW294=0,OR(CI294=1,AB294&lt;&gt;"",U294&lt;&gt;"",V294&lt;&gt;"",AC294&lt;&gt;"")),"manuell übersteuert; ","")&amp;IF(AND(CA294=0,R294=0),"Gebinde unbekannt / Stellmass fehlt; ","")&amp;IF(AND(CA294=0,N(V294)&lt;=0,N(Q294)&lt;=0),"Menge pro Gebinde fehlt (Ist = 1 Gebinde); ","")&amp;BV294)</f>
        <v>Überbestand 16 Stk / CHF 491; </v>
      </c>
      <c r="BO294" s="60"/>
      <c r="BP294" s="60"/>
      <c r="BQ294" s="67"/>
      <c r="BR294" s="62" t="n">
        <v>8</v>
      </c>
      <c r="BS294" s="62" t="n">
        <v>10</v>
      </c>
      <c r="BT294" s="61" t="n">
        <v>286.9</v>
      </c>
      <c r="BU294" s="62" t="n">
        <v>2</v>
      </c>
      <c r="BV294" s="60"/>
      <c r="BW294" s="65" t="n">
        <v>0</v>
      </c>
      <c r="BX294" s="65" t="n">
        <v>294</v>
      </c>
      <c r="BY294" s="60" t="str">
        <f aca="false">IF(U294&lt;&gt;"",UPPER(TRIM(U294)),IF(CB294=1,UPPER(VLOOKUP(T294,Parameter!$I$27:$K$29,2,0)),IF(P294="","LOSE",P294)))</f>
        <v>S21</v>
      </c>
      <c r="BZ294" s="62" t="n">
        <f aca="false">IF(BY294="LOSE",1,IF(N(V294)&gt;0,V294,IF(CB294=1,MAX(1,N(VLOOKUP(T294,Parameter!$I$27:$K$29,3,0)),H294,N(N294)),IF(N(Q294)&gt;0,Q294,MAX(1,H294)))))</f>
        <v>10</v>
      </c>
      <c r="CA294" s="65" t="n">
        <f aca="false">IF(BY294="LOSE",1,0)</f>
        <v>0</v>
      </c>
      <c r="CB294" s="65" t="n">
        <f aca="false">IF(AND(U294="",OR(P294="",P294="LOSE"),T294&lt;&gt;"",N(S294)&lt;=0,ISNUMBER(MATCH(T294,Parameter!$I$27:$I$29,0))),1,0)</f>
        <v>0</v>
      </c>
      <c r="CC294" s="65" t="n">
        <f aca="false">IF(CR294&gt;0,INDEX(Parameter!$H$5:$H$7,W294)/INDEX(Parameter!$E$5:$E$7,W294),IF(AND(CA294=0,N(IFERROR(VLOOKUP(BY294,'Gebinde-Kategorie'!$A$5:$N$45,14,0),0))&gt;0),VLOOKUP(BY294,'Gebinde-Kategorie'!$A$5:$N$45,14,0)*10+Parameter!$M$23,Parameter!$M$24))</f>
        <v>155</v>
      </c>
      <c r="CD294" s="60" t="str">
        <f aca="false">IF(AND(Parameter!$B$19="Ja",E294&lt;&gt;"",ISNUMBER(MATCH(E294,Parameter!$I$35:$I$52,0))),VLOOKUP(E294,Parameter!$I$35:$J$52,2,0),IFERROR(VLOOKUP(D294,Parameter!$A$35:$C$64,2,0),"Nein"))</f>
        <v>2+3</v>
      </c>
      <c r="CE294" s="64" t="n">
        <f aca="false">IF(CA294=0,0,IF(N(S294)&gt;0,S294,IFERROR(VLOOKUP(D294,Parameter!$A$35:$C$64,3,0)+0,0)))</f>
        <v>0</v>
      </c>
      <c r="CF294" s="60" t="n">
        <f aca="false">IF(AB294&lt;&gt;"",AB294,AA294)</f>
        <v>2</v>
      </c>
      <c r="CG294" s="60" t="str">
        <f aca="false">IF(OR(CF294=1,CF294=2,CF294=3),IF(Parameter!$E$27="Ja","LIFT",IF(CF294=1,"L1","L23")),IF(CF294="Aussen","Aussen","-"))</f>
        <v>LIFT</v>
      </c>
      <c r="CH294" s="71" t="n">
        <f aca="false">IF(N(AC294)&gt;0,AC294,0)</f>
        <v>0</v>
      </c>
      <c r="CI294" s="65" t="n">
        <f aca="false">IF(ISNUMBER(AF294),1,0)</f>
        <v>0</v>
      </c>
      <c r="CJ294" s="62" t="n">
        <f aca="false">N(AF294)</f>
        <v>0</v>
      </c>
      <c r="CK294" s="62" t="n">
        <f aca="false">N(M294)+N(N294)</f>
        <v>1</v>
      </c>
      <c r="CL294" s="62" t="n">
        <f aca="false">N(M294)</f>
        <v>0</v>
      </c>
      <c r="CM294" s="62" t="n">
        <f aca="false">N(N294)</f>
        <v>1</v>
      </c>
      <c r="CN294" s="62" t="n">
        <f aca="false">ROUNDUP(H294/BZ294,0)</f>
        <v>2</v>
      </c>
      <c r="CO294" s="62" t="n">
        <f aca="false">ROUNDUP(CJ294/BZ294,0)</f>
        <v>0</v>
      </c>
      <c r="CP294" s="65" t="n">
        <f aca="false">IF(CA294=1,0,IFERROR(VLOOKUP(BY294,'Gebinde-Kategorie'!$A$5:$N$45,5,0)+0,0))</f>
        <v>8</v>
      </c>
      <c r="CQ294" s="65" t="n">
        <f aca="false">IFERROR(IF(OR(CF294=1,CF294=2,CF294=3),N(INDEX(Parameter!$I$5:$I$7,CF294)),0),0)</f>
        <v>0</v>
      </c>
      <c r="CR294" s="64" t="n">
        <f aca="false">IF(AND(Parameter!$B$21="Ja",ISNUMBER(W294),N(X294)&gt;0),IFERROR(N(INDEX(Parameter!$L$5:$L$7,W294))*INDEX(Parameter!$E$5:$E$7,W294)*X294/SUMIFS($X$7:$X$1843,$W$7:$W$1843,W294),0),0)</f>
        <v>0</v>
      </c>
      <c r="CS294" s="62" t="n">
        <f aca="false">IF(AND(OR(CG294="L1",CG294="L23",CG294="LIFT"),H294&gt;0),CC294*IF(CR294&gt;0,CR294*MAX(1,H294/X294),IF(CA294=1,CE294,IF(R294&gt;0,CN294/R294,0))/MAX(0.1,N(Parameter!$M$21))),"")</f>
        <v>1.10714285714286</v>
      </c>
      <c r="CT294" s="64" t="n">
        <f aca="false">IF(CS294="","",J294/H294)</f>
        <v>0.111111111111111</v>
      </c>
      <c r="CU294" s="62" t="n">
        <f aca="false">IF(CS294="","",H294*G294)</f>
        <v>552.6</v>
      </c>
      <c r="CV294" s="63" t="n">
        <f aca="false">IF(CS294="","",(CL294+ROUNDUP(CL294+MAX(CM294,2*(J294/MAX(0.1,N(Einkauf!$C$6))-CL294)),0))/2)</f>
        <v>0.5</v>
      </c>
      <c r="CW294" s="62" t="n">
        <f aca="false">IF(CS294="","",MAX(0,H294-CV294)*G294)</f>
        <v>537.25</v>
      </c>
      <c r="CX294" s="62" t="n">
        <f aca="false">IF(CS294="","",CS294*MAX(0,1-CV294/H294))</f>
        <v>1.07638888888889</v>
      </c>
      <c r="CY294" s="64" t="n">
        <f aca="false">IF(CS294="","",PERCENTRANK($CS$7:$CS$1843,CS294)+PERCENTRANK($CU$7:$CU$1843,CU294)+1-PERCENTRANK($CT$7:$CT$1843,CT294))</f>
        <v>1.1554</v>
      </c>
      <c r="CZ294" s="72" t="n">
        <f aca="false">IF(CS294="","",CHOOSE(MATCH(Einkauf!$C$5,Parameter!$G$23:$G$27,0),CY294,CS294,CU294,-CT294,CW294)+ROW()/1000000000)</f>
        <v>1.155400294</v>
      </c>
    </row>
    <row r="295" customFormat="false" ht="15" hidden="false" customHeight="false" outlineLevel="0" collapsed="false">
      <c r="A295" s="60" t="s">
        <v>804</v>
      </c>
      <c r="B295" s="60" t="s">
        <v>805</v>
      </c>
      <c r="C295" s="60" t="s">
        <v>206</v>
      </c>
      <c r="D295" s="60" t="s">
        <v>226</v>
      </c>
      <c r="E295" s="60"/>
      <c r="F295" s="60" t="s">
        <v>260</v>
      </c>
      <c r="G295" s="61" t="n">
        <v>5.72</v>
      </c>
      <c r="H295" s="62" t="n">
        <f aca="false">MAX(0,IF(AND(Parameter!$B$21="Ja",ISNUMBER(Y295)),Y295,IF(Parameter!$B$20="Jahresanfang 2025 + Export",BS295+BR295,BR295)))</f>
        <v>50</v>
      </c>
      <c r="I295" s="62" t="n">
        <f aca="false">H295*G295</f>
        <v>286</v>
      </c>
      <c r="J295" s="62" t="n">
        <f aca="false">BU295*Parameter!$B$18</f>
        <v>0</v>
      </c>
      <c r="K295" s="63" t="n">
        <v>0</v>
      </c>
      <c r="L295" s="64" t="n">
        <v>0</v>
      </c>
      <c r="M295" s="62" t="n">
        <v>0</v>
      </c>
      <c r="N295" s="62" t="n">
        <v>1</v>
      </c>
      <c r="O295" s="65" t="n">
        <v>9999</v>
      </c>
      <c r="P295" s="60" t="s">
        <v>210</v>
      </c>
      <c r="Q295" s="62"/>
      <c r="R295" s="65" t="n">
        <f aca="false">IF(CA295=1,0,IFERROR(VLOOKUP(BY295,'Gebinde-Kategorie'!$A$5:$N$45,13,0)+0,0))</f>
        <v>26</v>
      </c>
      <c r="S295" s="66"/>
      <c r="T295" s="67" t="s">
        <v>317</v>
      </c>
      <c r="U295" s="67"/>
      <c r="V295" s="67"/>
      <c r="W295" s="60"/>
      <c r="X295" s="62"/>
      <c r="Y295" s="62"/>
      <c r="Z295" s="60" t="n">
        <v>3</v>
      </c>
      <c r="AA295" s="60" t="n">
        <f aca="false">IF(A295="","",IF(AND(Parameter!$B$21="Ja",ISNUMBER(W295)),W295,IF(AND(Parameter!$E$27="Ja",ISNUMBER(Z295),CD295&lt;&gt;"Nein"),Z295,IF(CD295="2+3",IF(ISNUMBER(SEARCH("grosser Artikel",BV295)),2,IFERROR(VLOOKUP(BY295,Parameter!$F$35:$G$64,2,0),2)),IF(OR(CD295="Nein",CD295=""),"-",CD295)))))</f>
        <v>3</v>
      </c>
      <c r="AB295" s="67"/>
      <c r="AC295" s="68"/>
      <c r="AD295" s="62" t="n">
        <f aca="false">AW295</f>
        <v>1</v>
      </c>
      <c r="AE295" s="62" t="n">
        <f aca="false">MAX(AW295,H295)</f>
        <v>50</v>
      </c>
      <c r="AF295" s="69"/>
      <c r="AG295" s="62" t="n">
        <f aca="false">IF(LEFT(Cockpit!$C$5,1)="A",H295,IF(Parameter!$E$30="MAX-Bestand",IF(CI295=1,CJ295,IF(LEFT(Cockpit!$C$5,1)="B",AM295,MAX(AM295,H295))),ROUNDUP(AK295,0)))</f>
        <v>50</v>
      </c>
      <c r="AH295" s="62" t="n">
        <f aca="false">IF(CA295=1,0,ROUNDUP(AG295/BZ295,0))</f>
        <v>1</v>
      </c>
      <c r="AI295" s="64" t="n">
        <f aca="false">IF(CR295&gt;0,CR295*MAX(1,AG295/X295),IF(CA295=1,IF(AG295&lt;=0,0,CE295*MAX(1,IF(H295&gt;0,AG295/H295,1))),IF(R295&gt;0,AH295/R295,0))/MAX(0.1,N(Parameter!$M$21)))</f>
        <v>0.0384615384615385</v>
      </c>
      <c r="AJ295" s="62" t="n">
        <f aca="false">AI295*CC295</f>
        <v>5.96153846153846</v>
      </c>
      <c r="AK295" s="63" t="n">
        <f aca="false">IF(LEFT(Cockpit!$C$5,1)="A",H295,IF(CI295=1,(CL295+CJ295)/2,IF(LEFT(Cockpit!$C$5,1)="B",(CL295+AM295)/2,MAX((CL295+AM295)/2,H295))))</f>
        <v>50</v>
      </c>
      <c r="AL295" s="62" t="n">
        <f aca="false">AK295*G295</f>
        <v>286</v>
      </c>
      <c r="AM295" s="62" t="n">
        <f aca="false">ROUNDUP(CL295+MAX(CM295,2*(J295/IF(CH295&gt;0,CH295,MAX(0.1,N(Cockpit!$C$6)))-CL295)),0)</f>
        <v>1</v>
      </c>
      <c r="AN295" s="63" t="n">
        <f aca="false">IF(AJ295&gt;0,J295/AJ295,-1)</f>
        <v>0</v>
      </c>
      <c r="AO295" s="63" t="n">
        <f aca="false">IF(AND(OR(CG295="L1",CG295="L23",CG295="LIFT"),AJ295&gt;0),SUMIFS($AJ$7:$AJ$1843,$CG$7:$CG$1843,CG295,$AN$7:$AN$1843,"&gt;"&amp;AN295)+SUMIFS($AJ$7:$AJ$1843,$CG$7:$CG$1843,CG295,$AN$7:$AN$1843,AN295,$BX$7:$BX$1843,"&lt;="&amp;BX295),"")</f>
        <v>27823.7780985493</v>
      </c>
      <c r="AP295" s="70" t="n">
        <f aca="false">IF(AO295="",0,MAX(0,MIN(1,(IF(CG295="L1",Parameter!$H$5,IF(CG295="L23",Parameter!$H$6+Parameter!$H$7,Parameter!$H$5+Parameter!$H$6+Parameter!$H$7))-(AO295-AJ295))/AJ295)))</f>
        <v>1</v>
      </c>
      <c r="AQ295" s="62" t="n">
        <f aca="false">IF(LEFT(Cockpit!$I$5,1)="A",H295,IF(Parameter!$E$30="MAX-Bestand",IF(CI295=1,CJ295,IF(LEFT(Cockpit!$I$5,1)="B",AW295,MAX(AW295,H295))),ROUNDUP(AU295,0)))</f>
        <v>50</v>
      </c>
      <c r="AR295" s="62" t="n">
        <f aca="false">IF(CA295=1,0,ROUNDUP(AQ295/BZ295,0))</f>
        <v>1</v>
      </c>
      <c r="AS295" s="64" t="n">
        <f aca="false">IF(CR295&gt;0,CR295*MAX(1,AQ295/X295),IF(CA295=1,IF(AQ295&lt;=0,0,CE295*MAX(1,IF(H295&gt;0,AQ295/H295,1))),IF(R295&gt;0,AR295/R295,0))/MAX(0.1,N(Parameter!$M$21)))</f>
        <v>0.0384615384615385</v>
      </c>
      <c r="AT295" s="62" t="n">
        <f aca="false">AS295*CC295</f>
        <v>5.96153846153846</v>
      </c>
      <c r="AU295" s="63" t="n">
        <f aca="false">IF(LEFT(Cockpit!$I$5,1)="A",H295,IF(CI295=1,(CL295+CJ295)/2,IF(LEFT(Cockpit!$I$5,1)="B",(CL295+AW295)/2,MAX((CL295+AW295)/2,H295))))</f>
        <v>50</v>
      </c>
      <c r="AV295" s="62" t="n">
        <f aca="false">AU295*G295</f>
        <v>286</v>
      </c>
      <c r="AW295" s="62" t="n">
        <f aca="false">ROUNDUP(CL295+MAX(CM295,2*(J295/IF(CH295&gt;0,CH295,MAX(0.1,N(Cockpit!$I$6)))-CL295)),0)</f>
        <v>1</v>
      </c>
      <c r="AX295" s="63" t="n">
        <f aca="false">IF(AT295&gt;0,J295/AT295,-1)</f>
        <v>0</v>
      </c>
      <c r="AY295" s="63" t="n">
        <f aca="false">IF(AND(OR(CG295="L1",CG295="L23",CG295="LIFT"),AT295&gt;0),SUMIFS($AT$7:$AT$1843,$CG$7:$CG$1843,CG295,$AX$7:$AX$1843,"&gt;"&amp;AX295)+SUMIFS($AT$7:$AT$1843,$CG$7:$CG$1843,CG295,$AX$7:$AX$1843,AX295,$BX$7:$BX$1843,"&lt;="&amp;BX295),"")</f>
        <v>33176.9267399267</v>
      </c>
      <c r="AZ295" s="70" t="n">
        <f aca="false">IF(AY295="",0,MAX(0,MIN(1,(IF(CG295="L1",Parameter!$H$5,IF(CG295="L23",Parameter!$H$6+Parameter!$H$7,Parameter!$H$5+Parameter!$H$6+Parameter!$H$7))-(AY295-AT295))/AT295)))</f>
        <v>1</v>
      </c>
      <c r="BA295" s="62" t="n">
        <f aca="false">IF(LEFT(Cockpit!$O$5,1)="A",H295,IF(Parameter!$E$30="MAX-Bestand",IF(CI295=1,CJ295,IF(LEFT(Cockpit!$O$5,1)="B",BG295,MAX(BG295,H295))),ROUNDUP(BE295,0)))</f>
        <v>1</v>
      </c>
      <c r="BB295" s="62" t="n">
        <f aca="false">IF(CA295=1,0,ROUNDUP(BA295/BZ295,0))</f>
        <v>1</v>
      </c>
      <c r="BC295" s="64" t="n">
        <f aca="false">IF(CR295&gt;0,CR295*MAX(1,BA295/X295),IF(CA295=1,IF(BA295&lt;=0,0,CE295*MAX(1,IF(H295&gt;0,BA295/H295,1))),IF(R295&gt;0,BB295/R295,0))/MAX(0.1,N(Parameter!$M$21)))</f>
        <v>0.0384615384615385</v>
      </c>
      <c r="BD295" s="62" t="n">
        <f aca="false">BC295*CC295</f>
        <v>5.96153846153846</v>
      </c>
      <c r="BE295" s="63" t="n">
        <f aca="false">IF(LEFT(Cockpit!$O$5,1)="A",H295,IF(CI295=1,(CL295+CJ295)/2,IF(LEFT(Cockpit!$O$5,1)="B",(CL295+BG295)/2,MAX((CL295+BG295)/2,H295))))</f>
        <v>0.5</v>
      </c>
      <c r="BF295" s="62" t="n">
        <f aca="false">BE295*G295</f>
        <v>2.86</v>
      </c>
      <c r="BG295" s="62" t="n">
        <f aca="false">ROUNDUP(CL295+MAX(CM295,2*(J295/IF(CH295&gt;0,CH295,MAX(0.1,N(Cockpit!$O$6)))-CL295)),0)</f>
        <v>1</v>
      </c>
      <c r="BH295" s="63" t="n">
        <f aca="false">IF(BD295&gt;0,J295/BD295,-1)</f>
        <v>0</v>
      </c>
      <c r="BI295" s="63" t="n">
        <f aca="false">IF(AND(OR(CG295="L1",CG295="L23",CG295="LIFT"),BD295&gt;0),SUMIFS($BD$7:$BD$1843,$CG$7:$CG$1843,CG295,$BH$7:$BH$1843,"&gt;"&amp;BH295)+SUMIFS($BD$7:$BD$1843,$CG$7:$CG$1843,CG295,$BH$7:$BH$1843,BH295,$BX$7:$BX$1843,"&lt;="&amp;BX295),"")</f>
        <v>27322.8034550196</v>
      </c>
      <c r="BJ295" s="70" t="n">
        <f aca="false">IF(BI295="",0,MAX(0,MIN(1,(IF(CG295="L1",Parameter!$H$5,IF(CG295="L23",Parameter!$H$6+Parameter!$H$7,Parameter!$H$5+Parameter!$H$6+Parameter!$H$7))-(BI295-BD295))/BD295)))</f>
        <v>1</v>
      </c>
      <c r="BK295" s="60" t="str">
        <f aca="false">IF(AJ295&lt;=0,"",IF(CG295="Aussen","Aussenlager",IF(CG295="-","Nicht im Lift",IF(AP295&gt;=1,"Lift",IF(AP295&lt;=0,"Aussenlager","teilweise")))))</f>
        <v>Lift</v>
      </c>
      <c r="BL295" s="60" t="str">
        <f aca="false">IF(AT295&lt;=0,"",IF(CG295="Aussen","Aussenlager",IF(CG295="-","Nicht im Lift",IF(AZ295&gt;=1,"Lift",IF(AZ295&lt;=0,"Aussenlager","teilweise")))))</f>
        <v>Lift</v>
      </c>
      <c r="BM295" s="60" t="str">
        <f aca="false">IF(BD295&lt;=0,"",IF(CG295="Aussen","Aussenlager",IF(CG295="-","Nicht im Lift",IF(BJ295&gt;=1,"Lift",IF(BJ295&lt;=0,"Aussenlager","teilweise")))))</f>
        <v>Lift</v>
      </c>
      <c r="BN295" s="60" t="str">
        <f aca="false">IF(A295="","",IF(BW295=1,"Neu; ","")&amp;IF(AND(BW295=0,BR295&lt;0),"negativer Bestand (Export "&amp;BR295&amp;"); ","")&amp;IF(J295&lt;=0,"Kein Verbrauch; ","")&amp;IF(CR295&gt;0,"Lift "&amp;W295&amp;" lt. Liftbericht (Fach "&amp;X295&amp;" Stk); ",IF(CB295=1,"Gebinde geschätzt ("&amp;T295&amp;"); ",IF(CA295=1,"Lose – Tablare geschätzt; ","")))&amp;IF(H295&gt;AW295,"Überbestand "&amp;ROUND(H295-AW295,0)&amp;" Stk / CHF "&amp;ROUND((H295-AW295)*G295,0)&amp;"; ","")&amp;IF(AND(CI295=1,CJ295&lt;CK295),"MAX &lt; MB+LG; ","")&amp;IF(AND(CQ295&gt;0,CP295*10&gt;CQ295),"zu hoch für Tablar; ","")&amp;IF(AND(BW295=0,OR(CI295=1,AB295&lt;&gt;"",U295&lt;&gt;"",V295&lt;&gt;"",AC295&lt;&gt;"")),"manuell übersteuert; ","")&amp;IF(AND(CA295=0,R295=0),"Gebinde unbekannt / Stellmass fehlt; ","")&amp;IF(AND(CA295=0,N(V295)&lt;=0,N(Q295)&lt;=0),"Menge pro Gebinde fehlt (Ist = 1 Gebinde); ","")&amp;BV295)</f>
        <v>Kein Verbrauch; Gebinde geschätzt (Klein); Überbestand 49 Stk / CHF 280; Menge pro Gebinde fehlt (Ist = 1 Gebinde); </v>
      </c>
      <c r="BO295" s="60"/>
      <c r="BP295" s="60"/>
      <c r="BQ295" s="67"/>
      <c r="BR295" s="62" t="n">
        <v>50</v>
      </c>
      <c r="BS295" s="62" t="n">
        <v>0</v>
      </c>
      <c r="BT295" s="61" t="n">
        <v>286</v>
      </c>
      <c r="BU295" s="62" t="n">
        <v>0</v>
      </c>
      <c r="BV295" s="60"/>
      <c r="BW295" s="65" t="n">
        <v>0</v>
      </c>
      <c r="BX295" s="65" t="n">
        <v>295</v>
      </c>
      <c r="BY295" s="60" t="str">
        <f aca="false">IF(U295&lt;&gt;"",UPPER(TRIM(U295)),IF(CB295=1,UPPER(VLOOKUP(T295,Parameter!$I$27:$K$29,2,0)),IF(P295="","LOSE",P295)))</f>
        <v>S51</v>
      </c>
      <c r="BZ295" s="62" t="n">
        <f aca="false">IF(BY295="LOSE",1,IF(N(V295)&gt;0,V295,IF(CB295=1,MAX(1,N(VLOOKUP(T295,Parameter!$I$27:$K$29,3,0)),H295,N(N295)),IF(N(Q295)&gt;0,Q295,MAX(1,H295)))))</f>
        <v>50</v>
      </c>
      <c r="CA295" s="65" t="n">
        <f aca="false">IF(BY295="LOSE",1,0)</f>
        <v>0</v>
      </c>
      <c r="CB295" s="65" t="n">
        <f aca="false">IF(AND(U295="",OR(P295="",P295="LOSE"),T295&lt;&gt;"",N(S295)&lt;=0,ISNUMBER(MATCH(T295,Parameter!$I$27:$I$29,0))),1,0)</f>
        <v>1</v>
      </c>
      <c r="CC295" s="65" t="n">
        <f aca="false">IF(CR295&gt;0,INDEX(Parameter!$H$5:$H$7,W295)/INDEX(Parameter!$E$5:$E$7,W295),IF(AND(CA295=0,N(IFERROR(VLOOKUP(BY295,'Gebinde-Kategorie'!$A$5:$N$45,14,0),0))&gt;0),VLOOKUP(BY295,'Gebinde-Kategorie'!$A$5:$N$45,14,0)*10+Parameter!$M$23,Parameter!$M$24))</f>
        <v>155</v>
      </c>
      <c r="CD295" s="60" t="str">
        <f aca="false">IF(AND(Parameter!$B$19="Ja",E295&lt;&gt;"",ISNUMBER(MATCH(E295,Parameter!$I$35:$I$52,0))),VLOOKUP(E295,Parameter!$I$35:$J$52,2,0),IFERROR(VLOOKUP(D295,Parameter!$A$35:$C$64,2,0),"Nein"))</f>
        <v>2+3</v>
      </c>
      <c r="CE295" s="64" t="n">
        <f aca="false">IF(CA295=0,0,IF(N(S295)&gt;0,S295,IFERROR(VLOOKUP(D295,Parameter!$A$35:$C$64,3,0)+0,0)))</f>
        <v>0</v>
      </c>
      <c r="CF295" s="60" t="n">
        <f aca="false">IF(AB295&lt;&gt;"",AB295,AA295)</f>
        <v>3</v>
      </c>
      <c r="CG295" s="60" t="str">
        <f aca="false">IF(OR(CF295=1,CF295=2,CF295=3),IF(Parameter!$E$27="Ja","LIFT",IF(CF295=1,"L1","L23")),IF(CF295="Aussen","Aussen","-"))</f>
        <v>LIFT</v>
      </c>
      <c r="CH295" s="71" t="n">
        <f aca="false">IF(N(AC295)&gt;0,AC295,0)</f>
        <v>0</v>
      </c>
      <c r="CI295" s="65" t="n">
        <f aca="false">IF(ISNUMBER(AF295),1,0)</f>
        <v>0</v>
      </c>
      <c r="CJ295" s="62" t="n">
        <f aca="false">N(AF295)</f>
        <v>0</v>
      </c>
      <c r="CK295" s="62" t="n">
        <f aca="false">N(M295)+N(N295)</f>
        <v>1</v>
      </c>
      <c r="CL295" s="62" t="n">
        <f aca="false">N(M295)</f>
        <v>0</v>
      </c>
      <c r="CM295" s="62" t="n">
        <f aca="false">N(N295)</f>
        <v>1</v>
      </c>
      <c r="CN295" s="62" t="n">
        <f aca="false">ROUNDUP(H295/BZ295,0)</f>
        <v>1</v>
      </c>
      <c r="CO295" s="62" t="n">
        <f aca="false">ROUNDUP(CJ295/BZ295,0)</f>
        <v>0</v>
      </c>
      <c r="CP295" s="65" t="n">
        <f aca="false">IF(CA295=1,0,IFERROR(VLOOKUP(BY295,'Gebinde-Kategorie'!$A$5:$N$45,5,0)+0,0))</f>
        <v>11</v>
      </c>
      <c r="CQ295" s="65" t="n">
        <f aca="false">IFERROR(IF(OR(CF295=1,CF295=2,CF295=3),N(INDEX(Parameter!$I$5:$I$7,CF295)),0),0)</f>
        <v>0</v>
      </c>
      <c r="CR295" s="64" t="n">
        <f aca="false">IF(AND(Parameter!$B$21="Ja",ISNUMBER(W295),N(X295)&gt;0),IFERROR(N(INDEX(Parameter!$L$5:$L$7,W295))*INDEX(Parameter!$E$5:$E$7,W295)*X295/SUMIFS($X$7:$X$1843,$W$7:$W$1843,W295),0),0)</f>
        <v>0</v>
      </c>
      <c r="CS295" s="62" t="n">
        <f aca="false">IF(AND(OR(CG295="L1",CG295="L23",CG295="LIFT"),H295&gt;0),CC295*IF(CR295&gt;0,CR295*MAX(1,H295/X295),IF(CA295=1,CE295,IF(R295&gt;0,CN295/R295,0))/MAX(0.1,N(Parameter!$M$21))),"")</f>
        <v>5.96153846153846</v>
      </c>
      <c r="CT295" s="64" t="n">
        <f aca="false">IF(CS295="","",J295/H295)</f>
        <v>0</v>
      </c>
      <c r="CU295" s="62" t="n">
        <f aca="false">IF(CS295="","",H295*G295)</f>
        <v>286</v>
      </c>
      <c r="CV295" s="63" t="n">
        <f aca="false">IF(CS295="","",(CL295+ROUNDUP(CL295+MAX(CM295,2*(J295/MAX(0.1,N(Einkauf!$C$6))-CL295)),0))/2)</f>
        <v>0.5</v>
      </c>
      <c r="CW295" s="62" t="n">
        <f aca="false">IF(CS295="","",MAX(0,H295-CV295)*G295)</f>
        <v>283.14</v>
      </c>
      <c r="CX295" s="62" t="n">
        <f aca="false">IF(CS295="","",CS295*MAX(0,1-CV295/H295))</f>
        <v>5.90192307692308</v>
      </c>
      <c r="CY295" s="64" t="n">
        <f aca="false">IF(CS295="","",PERCENTRANK($CS$7:$CS$1843,CS295)+PERCENTRANK($CU$7:$CU$1843,CU295)+1-PERCENTRANK($CT$7:$CT$1843,CT295))</f>
        <v>1.764</v>
      </c>
      <c r="CZ295" s="72" t="n">
        <f aca="false">IF(CS295="","",CHOOSE(MATCH(Einkauf!$C$5,Parameter!$G$23:$G$27,0),CY295,CS295,CU295,-CT295,CW295)+ROW()/1000000000)</f>
        <v>1.764000295</v>
      </c>
    </row>
    <row r="296" customFormat="false" ht="15" hidden="false" customHeight="false" outlineLevel="0" collapsed="false">
      <c r="A296" s="60" t="s">
        <v>806</v>
      </c>
      <c r="B296" s="60" t="s">
        <v>618</v>
      </c>
      <c r="C296" s="60" t="s">
        <v>206</v>
      </c>
      <c r="D296" s="60" t="s">
        <v>226</v>
      </c>
      <c r="E296" s="60"/>
      <c r="F296" s="60" t="s">
        <v>260</v>
      </c>
      <c r="G296" s="61" t="n">
        <v>738.65</v>
      </c>
      <c r="H296" s="62" t="n">
        <f aca="false">MAX(0,IF(AND(Parameter!$B$21="Ja",ISNUMBER(Y296)),Y296,IF(Parameter!$B$20="Jahresanfang 2025 + Export",BS296+BR296,BR296)))</f>
        <v>4</v>
      </c>
      <c r="I296" s="62" t="n">
        <f aca="false">H296*G296</f>
        <v>2954.6</v>
      </c>
      <c r="J296" s="62" t="n">
        <f aca="false">BU296*Parameter!$B$18</f>
        <v>14</v>
      </c>
      <c r="K296" s="63" t="n">
        <v>4.5</v>
      </c>
      <c r="L296" s="64" t="n">
        <v>3.11111111111111</v>
      </c>
      <c r="M296" s="62" t="n">
        <v>10</v>
      </c>
      <c r="N296" s="62" t="n">
        <v>5</v>
      </c>
      <c r="O296" s="65" t="n">
        <v>28</v>
      </c>
      <c r="P296" s="60" t="s">
        <v>210</v>
      </c>
      <c r="Q296" s="62"/>
      <c r="R296" s="65" t="n">
        <f aca="false">IF(CA296=1,0,IFERROR(VLOOKUP(BY296,'Gebinde-Kategorie'!$A$5:$N$45,13,0)+0,0))</f>
        <v>26</v>
      </c>
      <c r="S296" s="66"/>
      <c r="T296" s="67" t="s">
        <v>317</v>
      </c>
      <c r="U296" s="67"/>
      <c r="V296" s="67"/>
      <c r="W296" s="60"/>
      <c r="X296" s="62"/>
      <c r="Y296" s="62"/>
      <c r="Z296" s="60" t="n">
        <v>3</v>
      </c>
      <c r="AA296" s="60" t="n">
        <f aca="false">IF(A296="","",IF(AND(Parameter!$B$21="Ja",ISNUMBER(W296)),W296,IF(AND(Parameter!$E$27="Ja",ISNUMBER(Z296),CD296&lt;&gt;"Nein"),Z296,IF(CD296="2+3",IF(ISNUMBER(SEARCH("grosser Artikel",BV296)),2,IFERROR(VLOOKUP(BY296,Parameter!$F$35:$G$64,2,0),2)),IF(OR(CD296="Nein",CD296=""),"-",CD296)))))</f>
        <v>3</v>
      </c>
      <c r="AB296" s="67"/>
      <c r="AC296" s="68"/>
      <c r="AD296" s="62" t="n">
        <f aca="false">AW296</f>
        <v>15</v>
      </c>
      <c r="AE296" s="62" t="n">
        <f aca="false">MAX(AW296,H296)</f>
        <v>15</v>
      </c>
      <c r="AF296" s="69"/>
      <c r="AG296" s="62" t="n">
        <f aca="false">IF(LEFT(Cockpit!$C$5,1)="A",H296,IF(Parameter!$E$30="MAX-Bestand",IF(CI296=1,CJ296,IF(LEFT(Cockpit!$C$5,1)="B",AM296,MAX(AM296,H296))),ROUNDUP(AK296,0)))</f>
        <v>4</v>
      </c>
      <c r="AH296" s="62" t="n">
        <f aca="false">IF(CA296=1,0,ROUNDUP(AG296/BZ296,0))</f>
        <v>1</v>
      </c>
      <c r="AI296" s="64" t="n">
        <f aca="false">IF(CR296&gt;0,CR296*MAX(1,AG296/X296),IF(CA296=1,IF(AG296&lt;=0,0,CE296*MAX(1,IF(H296&gt;0,AG296/H296,1))),IF(R296&gt;0,AH296/R296,0))/MAX(0.1,N(Parameter!$M$21)))</f>
        <v>0.0384615384615385</v>
      </c>
      <c r="AJ296" s="62" t="n">
        <f aca="false">AI296*CC296</f>
        <v>5.96153846153846</v>
      </c>
      <c r="AK296" s="63" t="n">
        <f aca="false">IF(LEFT(Cockpit!$C$5,1)="A",H296,IF(CI296=1,(CL296+CJ296)/2,IF(LEFT(Cockpit!$C$5,1)="B",(CL296+AM296)/2,MAX((CL296+AM296)/2,H296))))</f>
        <v>4</v>
      </c>
      <c r="AL296" s="62" t="n">
        <f aca="false">AK296*G296</f>
        <v>2954.6</v>
      </c>
      <c r="AM296" s="62" t="n">
        <f aca="false">ROUNDUP(CL296+MAX(CM296,2*(J296/IF(CH296&gt;0,CH296,MAX(0.1,N(Cockpit!$C$6)))-CL296)),0)</f>
        <v>15</v>
      </c>
      <c r="AN296" s="63" t="n">
        <f aca="false">IF(AJ296&gt;0,J296/AJ296,-1)</f>
        <v>2.34838709677419</v>
      </c>
      <c r="AO296" s="63" t="n">
        <f aca="false">IF(AND(OR(CG296="L1",CG296="L23",CG296="LIFT"),AJ296&gt;0),SUMIFS($AJ$7:$AJ$1843,$CG$7:$CG$1843,CG296,$AN$7:$AN$1843,"&gt;"&amp;AN296)+SUMIFS($AJ$7:$AJ$1843,$CG$7:$CG$1843,CG296,$AN$7:$AN$1843,AN296,$BX$7:$BX$1843,"&lt;="&amp;BX296),"")</f>
        <v>5619.29532967033</v>
      </c>
      <c r="AP296" s="70" t="n">
        <f aca="false">IF(AO296="",0,MAX(0,MIN(1,(IF(CG296="L1",Parameter!$H$5,IF(CG296="L23",Parameter!$H$6+Parameter!$H$7,Parameter!$H$5+Parameter!$H$6+Parameter!$H$7))-(AO296-AJ296))/AJ296)))</f>
        <v>1</v>
      </c>
      <c r="AQ296" s="62" t="n">
        <f aca="false">IF(LEFT(Cockpit!$I$5,1)="A",H296,IF(Parameter!$E$30="MAX-Bestand",IF(CI296=1,CJ296,IF(LEFT(Cockpit!$I$5,1)="B",AW296,MAX(AW296,H296))),ROUNDUP(AU296,0)))</f>
        <v>13</v>
      </c>
      <c r="AR296" s="62" t="n">
        <f aca="false">IF(CA296=1,0,ROUNDUP(AQ296/BZ296,0))</f>
        <v>1</v>
      </c>
      <c r="AS296" s="64" t="n">
        <f aca="false">IF(CR296&gt;0,CR296*MAX(1,AQ296/X296),IF(CA296=1,IF(AQ296&lt;=0,0,CE296*MAX(1,IF(H296&gt;0,AQ296/H296,1))),IF(R296&gt;0,AR296/R296,0))/MAX(0.1,N(Parameter!$M$21)))</f>
        <v>0.0384615384615385</v>
      </c>
      <c r="AT296" s="62" t="n">
        <f aca="false">AS296*CC296</f>
        <v>5.96153846153846</v>
      </c>
      <c r="AU296" s="63" t="n">
        <f aca="false">IF(LEFT(Cockpit!$I$5,1)="A",H296,IF(CI296=1,(CL296+CJ296)/2,IF(LEFT(Cockpit!$I$5,1)="B",(CL296+AW296)/2,MAX((CL296+AW296)/2,H296))))</f>
        <v>12.5</v>
      </c>
      <c r="AV296" s="62" t="n">
        <f aca="false">AU296*G296</f>
        <v>9233.125</v>
      </c>
      <c r="AW296" s="62" t="n">
        <f aca="false">ROUNDUP(CL296+MAX(CM296,2*(J296/IF(CH296&gt;0,CH296,MAX(0.1,N(Cockpit!$I$6)))-CL296)),0)</f>
        <v>15</v>
      </c>
      <c r="AX296" s="63" t="n">
        <f aca="false">IF(AT296&gt;0,J296/AT296,-1)</f>
        <v>2.34838709677419</v>
      </c>
      <c r="AY296" s="63" t="n">
        <f aca="false">IF(AND(OR(CG296="L1",CG296="L23",CG296="LIFT"),AT296&gt;0),SUMIFS($AT$7:$AT$1843,$CG$7:$CG$1843,CG296,$AX$7:$AX$1843,"&gt;"&amp;AX296)+SUMIFS($AT$7:$AT$1843,$CG$7:$CG$1843,CG296,$AX$7:$AX$1843,AX296,$BX$7:$BX$1843,"&lt;="&amp;BX296),"")</f>
        <v>6441.69001831502</v>
      </c>
      <c r="AZ296" s="70" t="n">
        <f aca="false">IF(AY296="",0,MAX(0,MIN(1,(IF(CG296="L1",Parameter!$H$5,IF(CG296="L23",Parameter!$H$6+Parameter!$H$7,Parameter!$H$5+Parameter!$H$6+Parameter!$H$7))-(AY296-AT296))/AT296)))</f>
        <v>1</v>
      </c>
      <c r="BA296" s="62" t="n">
        <f aca="false">IF(LEFT(Cockpit!$O$5,1)="A",H296,IF(Parameter!$E$30="MAX-Bestand",IF(CI296=1,CJ296,IF(LEFT(Cockpit!$O$5,1)="B",BG296,MAX(BG296,H296))),ROUNDUP(BE296,0)))</f>
        <v>13</v>
      </c>
      <c r="BB296" s="62" t="n">
        <f aca="false">IF(CA296=1,0,ROUNDUP(BA296/BZ296,0))</f>
        <v>1</v>
      </c>
      <c r="BC296" s="64" t="n">
        <f aca="false">IF(CR296&gt;0,CR296*MAX(1,BA296/X296),IF(CA296=1,IF(BA296&lt;=0,0,CE296*MAX(1,IF(H296&gt;0,BA296/H296,1))),IF(R296&gt;0,BB296/R296,0))/MAX(0.1,N(Parameter!$M$21)))</f>
        <v>0.0384615384615385</v>
      </c>
      <c r="BD296" s="62" t="n">
        <f aca="false">BC296*CC296</f>
        <v>5.96153846153846</v>
      </c>
      <c r="BE296" s="63" t="n">
        <f aca="false">IF(LEFT(Cockpit!$O$5,1)="A",H296,IF(CI296=1,(CL296+CJ296)/2,IF(LEFT(Cockpit!$O$5,1)="B",(CL296+BG296)/2,MAX((CL296+BG296)/2,H296))))</f>
        <v>12.5</v>
      </c>
      <c r="BF296" s="62" t="n">
        <f aca="false">BE296*G296</f>
        <v>9233.125</v>
      </c>
      <c r="BG296" s="62" t="n">
        <f aca="false">ROUNDUP(CL296+MAX(CM296,2*(J296/IF(CH296&gt;0,CH296,MAX(0.1,N(Cockpit!$O$6)))-CL296)),0)</f>
        <v>15</v>
      </c>
      <c r="BH296" s="63" t="n">
        <f aca="false">IF(BD296&gt;0,J296/BD296,-1)</f>
        <v>2.34838709677419</v>
      </c>
      <c r="BI296" s="63" t="n">
        <f aca="false">IF(AND(OR(CG296="L1",CG296="L23",CG296="LIFT"),BD296&gt;0),SUMIFS($BD$7:$BD$1843,$CG$7:$CG$1843,CG296,$BH$7:$BH$1843,"&gt;"&amp;BH296)+SUMIFS($BD$7:$BD$1843,$CG$7:$CG$1843,CG296,$BH$7:$BH$1843,BH296,$BX$7:$BX$1843,"&lt;="&amp;BX296),"")</f>
        <v>5595.55769230769</v>
      </c>
      <c r="BJ296" s="70" t="n">
        <f aca="false">IF(BI296="",0,MAX(0,MIN(1,(IF(CG296="L1",Parameter!$H$5,IF(CG296="L23",Parameter!$H$6+Parameter!$H$7,Parameter!$H$5+Parameter!$H$6+Parameter!$H$7))-(BI296-BD296))/BD296)))</f>
        <v>1</v>
      </c>
      <c r="BK296" s="60" t="str">
        <f aca="false">IF(AJ296&lt;=0,"",IF(CG296="Aussen","Aussenlager",IF(CG296="-","Nicht im Lift",IF(AP296&gt;=1,"Lift",IF(AP296&lt;=0,"Aussenlager","teilweise")))))</f>
        <v>Lift</v>
      </c>
      <c r="BL296" s="60" t="str">
        <f aca="false">IF(AT296&lt;=0,"",IF(CG296="Aussen","Aussenlager",IF(CG296="-","Nicht im Lift",IF(AZ296&gt;=1,"Lift",IF(AZ296&lt;=0,"Aussenlager","teilweise")))))</f>
        <v>Lift</v>
      </c>
      <c r="BM296" s="60" t="str">
        <f aca="false">IF(BD296&lt;=0,"",IF(CG296="Aussen","Aussenlager",IF(CG296="-","Nicht im Lift",IF(BJ296&gt;=1,"Lift",IF(BJ296&lt;=0,"Aussenlager","teilweise")))))</f>
        <v>Lift</v>
      </c>
      <c r="BN296" s="60" t="str">
        <f aca="false">IF(A296="","",IF(BW296=1,"Neu; ","")&amp;IF(AND(BW296=0,BR296&lt;0),"negativer Bestand (Export "&amp;BR296&amp;"); ","")&amp;IF(J296&lt;=0,"Kein Verbrauch; ","")&amp;IF(CR296&gt;0,"Lift "&amp;W296&amp;" lt. Liftbericht (Fach "&amp;X296&amp;" Stk); ",IF(CB296=1,"Gebinde geschätzt ("&amp;T296&amp;"); ",IF(CA296=1,"Lose – Tablare geschätzt; ","")))&amp;IF(H296&gt;AW296,"Überbestand "&amp;ROUND(H296-AW296,0)&amp;" Stk / CHF "&amp;ROUND((H296-AW296)*G296,0)&amp;"; ","")&amp;IF(AND(CI296=1,CJ296&lt;CK296),"MAX &lt; MB+LG; ","")&amp;IF(AND(CQ296&gt;0,CP296*10&gt;CQ296),"zu hoch für Tablar; ","")&amp;IF(AND(BW296=0,OR(CI296=1,AB296&lt;&gt;"",U296&lt;&gt;"",V296&lt;&gt;"",AC296&lt;&gt;"")),"manuell übersteuert; ","")&amp;IF(AND(CA296=0,R296=0),"Gebinde unbekannt / Stellmass fehlt; ","")&amp;IF(AND(CA296=0,N(V296)&lt;=0,N(Q296)&lt;=0),"Menge pro Gebinde fehlt (Ist = 1 Gebinde); ","")&amp;BV296)</f>
        <v>Gebinde geschätzt (Klein); Menge pro Gebinde fehlt (Ist = 1 Gebinde); </v>
      </c>
      <c r="BO296" s="60"/>
      <c r="BP296" s="60"/>
      <c r="BQ296" s="67"/>
      <c r="BR296" s="62" t="n">
        <v>0</v>
      </c>
      <c r="BS296" s="62" t="n">
        <v>4</v>
      </c>
      <c r="BT296" s="61" t="n">
        <v>279.720000000003</v>
      </c>
      <c r="BU296" s="62" t="n">
        <v>14</v>
      </c>
      <c r="BV296" s="60"/>
      <c r="BW296" s="65" t="n">
        <v>0</v>
      </c>
      <c r="BX296" s="65" t="n">
        <v>296</v>
      </c>
      <c r="BY296" s="60" t="str">
        <f aca="false">IF(U296&lt;&gt;"",UPPER(TRIM(U296)),IF(CB296=1,UPPER(VLOOKUP(T296,Parameter!$I$27:$K$29,2,0)),IF(P296="","LOSE",P296)))</f>
        <v>S51</v>
      </c>
      <c r="BZ296" s="62" t="n">
        <f aca="false">IF(BY296="LOSE",1,IF(N(V296)&gt;0,V296,IF(CB296=1,MAX(1,N(VLOOKUP(T296,Parameter!$I$27:$K$29,3,0)),H296,N(N296)),IF(N(Q296)&gt;0,Q296,MAX(1,H296)))))</f>
        <v>20</v>
      </c>
      <c r="CA296" s="65" t="n">
        <f aca="false">IF(BY296="LOSE",1,0)</f>
        <v>0</v>
      </c>
      <c r="CB296" s="65" t="n">
        <f aca="false">IF(AND(U296="",OR(P296="",P296="LOSE"),T296&lt;&gt;"",N(S296)&lt;=0,ISNUMBER(MATCH(T296,Parameter!$I$27:$I$29,0))),1,0)</f>
        <v>1</v>
      </c>
      <c r="CC296" s="65" t="n">
        <f aca="false">IF(CR296&gt;0,INDEX(Parameter!$H$5:$H$7,W296)/INDEX(Parameter!$E$5:$E$7,W296),IF(AND(CA296=0,N(IFERROR(VLOOKUP(BY296,'Gebinde-Kategorie'!$A$5:$N$45,14,0),0))&gt;0),VLOOKUP(BY296,'Gebinde-Kategorie'!$A$5:$N$45,14,0)*10+Parameter!$M$23,Parameter!$M$24))</f>
        <v>155</v>
      </c>
      <c r="CD296" s="60" t="str">
        <f aca="false">IF(AND(Parameter!$B$19="Ja",E296&lt;&gt;"",ISNUMBER(MATCH(E296,Parameter!$I$35:$I$52,0))),VLOOKUP(E296,Parameter!$I$35:$J$52,2,0),IFERROR(VLOOKUP(D296,Parameter!$A$35:$C$64,2,0),"Nein"))</f>
        <v>2+3</v>
      </c>
      <c r="CE296" s="64" t="n">
        <f aca="false">IF(CA296=0,0,IF(N(S296)&gt;0,S296,IFERROR(VLOOKUP(D296,Parameter!$A$35:$C$64,3,0)+0,0)))</f>
        <v>0</v>
      </c>
      <c r="CF296" s="60" t="n">
        <f aca="false">IF(AB296&lt;&gt;"",AB296,AA296)</f>
        <v>3</v>
      </c>
      <c r="CG296" s="60" t="str">
        <f aca="false">IF(OR(CF296=1,CF296=2,CF296=3),IF(Parameter!$E$27="Ja","LIFT",IF(CF296=1,"L1","L23")),IF(CF296="Aussen","Aussen","-"))</f>
        <v>LIFT</v>
      </c>
      <c r="CH296" s="71" t="n">
        <f aca="false">IF(N(AC296)&gt;0,AC296,0)</f>
        <v>0</v>
      </c>
      <c r="CI296" s="65" t="n">
        <f aca="false">IF(ISNUMBER(AF296),1,0)</f>
        <v>0</v>
      </c>
      <c r="CJ296" s="62" t="n">
        <f aca="false">N(AF296)</f>
        <v>0</v>
      </c>
      <c r="CK296" s="62" t="n">
        <f aca="false">N(M296)+N(N296)</f>
        <v>15</v>
      </c>
      <c r="CL296" s="62" t="n">
        <f aca="false">N(M296)</f>
        <v>10</v>
      </c>
      <c r="CM296" s="62" t="n">
        <f aca="false">N(N296)</f>
        <v>5</v>
      </c>
      <c r="CN296" s="62" t="n">
        <f aca="false">ROUNDUP(H296/BZ296,0)</f>
        <v>1</v>
      </c>
      <c r="CO296" s="62" t="n">
        <f aca="false">ROUNDUP(CJ296/BZ296,0)</f>
        <v>0</v>
      </c>
      <c r="CP296" s="65" t="n">
        <f aca="false">IF(CA296=1,0,IFERROR(VLOOKUP(BY296,'Gebinde-Kategorie'!$A$5:$N$45,5,0)+0,0))</f>
        <v>11</v>
      </c>
      <c r="CQ296" s="65" t="n">
        <f aca="false">IFERROR(IF(OR(CF296=1,CF296=2,CF296=3),N(INDEX(Parameter!$I$5:$I$7,CF296)),0),0)</f>
        <v>0</v>
      </c>
      <c r="CR296" s="64" t="n">
        <f aca="false">IF(AND(Parameter!$B$21="Ja",ISNUMBER(W296),N(X296)&gt;0),IFERROR(N(INDEX(Parameter!$L$5:$L$7,W296))*INDEX(Parameter!$E$5:$E$7,W296)*X296/SUMIFS($X$7:$X$1843,$W$7:$W$1843,W296),0),0)</f>
        <v>0</v>
      </c>
      <c r="CS296" s="62" t="n">
        <f aca="false">IF(AND(OR(CG296="L1",CG296="L23",CG296="LIFT"),H296&gt;0),CC296*IF(CR296&gt;0,CR296*MAX(1,H296/X296),IF(CA296=1,CE296,IF(R296&gt;0,CN296/R296,0))/MAX(0.1,N(Parameter!$M$21))),"")</f>
        <v>5.96153846153846</v>
      </c>
      <c r="CT296" s="64" t="n">
        <f aca="false">IF(CS296="","",J296/H296)</f>
        <v>3.5</v>
      </c>
      <c r="CU296" s="62" t="n">
        <f aca="false">IF(CS296="","",H296*G296)</f>
        <v>2954.6</v>
      </c>
      <c r="CV296" s="63" t="n">
        <f aca="false">IF(CS296="","",(CL296+ROUNDUP(CL296+MAX(CM296,2*(J296/MAX(0.1,N(Einkauf!$C$6))-CL296)),0))/2)</f>
        <v>12.5</v>
      </c>
      <c r="CW296" s="62" t="n">
        <f aca="false">IF(CS296="","",MAX(0,H296-CV296)*G296)</f>
        <v>0</v>
      </c>
      <c r="CX296" s="62" t="n">
        <f aca="false">IF(CS296="","",CS296*MAX(0,1-CV296/H296))</f>
        <v>0</v>
      </c>
      <c r="CY296" s="64" t="n">
        <f aca="false">IF(CS296="","",PERCENTRANK($CS$7:$CS$1843,CS296)+PERCENTRANK($CU$7:$CU$1843,CU296)+1-PERCENTRANK($CT$7:$CT$1843,CT296))</f>
        <v>1.268</v>
      </c>
      <c r="CZ296" s="72" t="n">
        <f aca="false">IF(CS296="","",CHOOSE(MATCH(Einkauf!$C$5,Parameter!$G$23:$G$27,0),CY296,CS296,CU296,-CT296,CW296)+ROW()/1000000000)</f>
        <v>1.268000296</v>
      </c>
    </row>
    <row r="297" customFormat="false" ht="15" hidden="false" customHeight="false" outlineLevel="0" collapsed="false">
      <c r="A297" s="60" t="s">
        <v>807</v>
      </c>
      <c r="B297" s="60" t="s">
        <v>808</v>
      </c>
      <c r="C297" s="60" t="s">
        <v>206</v>
      </c>
      <c r="D297" s="60" t="s">
        <v>226</v>
      </c>
      <c r="E297" s="60" t="s">
        <v>227</v>
      </c>
      <c r="F297" s="60" t="s">
        <v>260</v>
      </c>
      <c r="G297" s="61" t="n">
        <v>29.89</v>
      </c>
      <c r="H297" s="62" t="n">
        <f aca="false">MAX(0,IF(AND(Parameter!$B$21="Ja",ISNUMBER(Y297)),Y297,IF(Parameter!$B$20="Jahresanfang 2025 + Export",BS297+BR297,BR297)))</f>
        <v>14</v>
      </c>
      <c r="I297" s="62" t="n">
        <f aca="false">H297*G297</f>
        <v>418.46</v>
      </c>
      <c r="J297" s="62" t="n">
        <f aca="false">BU297*Parameter!$B$18</f>
        <v>2</v>
      </c>
      <c r="K297" s="63" t="n">
        <v>9</v>
      </c>
      <c r="L297" s="64" t="n">
        <v>0.222222222222222</v>
      </c>
      <c r="M297" s="62" t="n">
        <v>0</v>
      </c>
      <c r="N297" s="62" t="n">
        <v>1</v>
      </c>
      <c r="O297" s="65" t="n">
        <v>28</v>
      </c>
      <c r="P297" s="60" t="s">
        <v>518</v>
      </c>
      <c r="Q297" s="62" t="n">
        <v>12</v>
      </c>
      <c r="R297" s="65" t="n">
        <f aca="false">IF(CA297=1,0,IFERROR(VLOOKUP(BY297,'Gebinde-Kategorie'!$A$5:$N$45,13,0)+0,0))</f>
        <v>52</v>
      </c>
      <c r="S297" s="66"/>
      <c r="T297" s="67"/>
      <c r="U297" s="67"/>
      <c r="V297" s="67"/>
      <c r="W297" s="60"/>
      <c r="X297" s="62"/>
      <c r="Y297" s="62"/>
      <c r="Z297" s="60" t="n">
        <v>3</v>
      </c>
      <c r="AA297" s="60" t="n">
        <f aca="false">IF(A297="","",IF(AND(Parameter!$B$21="Ja",ISNUMBER(W297)),W297,IF(AND(Parameter!$E$27="Ja",ISNUMBER(Z297),CD297&lt;&gt;"Nein"),Z297,IF(CD297="2+3",IF(ISNUMBER(SEARCH("grosser Artikel",BV297)),2,IFERROR(VLOOKUP(BY297,Parameter!$F$35:$G$64,2,0),2)),IF(OR(CD297="Nein",CD297=""),"-",CD297)))))</f>
        <v>3</v>
      </c>
      <c r="AB297" s="67"/>
      <c r="AC297" s="68"/>
      <c r="AD297" s="62" t="n">
        <f aca="false">AW297</f>
        <v>2</v>
      </c>
      <c r="AE297" s="62" t="n">
        <f aca="false">MAX(AW297,H297)</f>
        <v>14</v>
      </c>
      <c r="AF297" s="69"/>
      <c r="AG297" s="62" t="n">
        <f aca="false">IF(LEFT(Cockpit!$C$5,1)="A",H297,IF(Parameter!$E$30="MAX-Bestand",IF(CI297=1,CJ297,IF(LEFT(Cockpit!$C$5,1)="B",AM297,MAX(AM297,H297))),ROUNDUP(AK297,0)))</f>
        <v>14</v>
      </c>
      <c r="AH297" s="62" t="n">
        <f aca="false">IF(CA297=1,0,ROUNDUP(AG297/BZ297,0))</f>
        <v>2</v>
      </c>
      <c r="AI297" s="64" t="n">
        <f aca="false">IF(CR297&gt;0,CR297*MAX(1,AG297/X297),IF(CA297=1,IF(AG297&lt;=0,0,CE297*MAX(1,IF(H297&gt;0,AG297/H297,1))),IF(R297&gt;0,AH297/R297,0))/MAX(0.1,N(Parameter!$M$21)))</f>
        <v>0.0384615384615385</v>
      </c>
      <c r="AJ297" s="62" t="n">
        <f aca="false">AI297*CC297</f>
        <v>5.96153846153846</v>
      </c>
      <c r="AK297" s="63" t="n">
        <f aca="false">IF(LEFT(Cockpit!$C$5,1)="A",H297,IF(CI297=1,(CL297+CJ297)/2,IF(LEFT(Cockpit!$C$5,1)="B",(CL297+AM297)/2,MAX((CL297+AM297)/2,H297))))</f>
        <v>14</v>
      </c>
      <c r="AL297" s="62" t="n">
        <f aca="false">AK297*G297</f>
        <v>418.46</v>
      </c>
      <c r="AM297" s="62" t="n">
        <f aca="false">ROUNDUP(CL297+MAX(CM297,2*(J297/IF(CH297&gt;0,CH297,MAX(0.1,N(Cockpit!$C$6)))-CL297)),0)</f>
        <v>2</v>
      </c>
      <c r="AN297" s="63" t="n">
        <f aca="false">IF(AJ297&gt;0,J297/AJ297,-1)</f>
        <v>0.335483870967742</v>
      </c>
      <c r="AO297" s="63" t="n">
        <f aca="false">IF(AND(OR(CG297="L1",CG297="L23",CG297="LIFT"),AJ297&gt;0),SUMIFS($AJ$7:$AJ$1843,$CG$7:$CG$1843,CG297,$AN$7:$AN$1843,"&gt;"&amp;AN297)+SUMIFS($AJ$7:$AJ$1843,$CG$7:$CG$1843,CG297,$AN$7:$AN$1843,AN297,$BX$7:$BX$1843,"&lt;="&amp;BX297),"")</f>
        <v>11174.0962702552</v>
      </c>
      <c r="AP297" s="70" t="n">
        <f aca="false">IF(AO297="",0,MAX(0,MIN(1,(IF(CG297="L1",Parameter!$H$5,IF(CG297="L23",Parameter!$H$6+Parameter!$H$7,Parameter!$H$5+Parameter!$H$6+Parameter!$H$7))-(AO297-AJ297))/AJ297)))</f>
        <v>1</v>
      </c>
      <c r="AQ297" s="62" t="n">
        <f aca="false">IF(LEFT(Cockpit!$I$5,1)="A",H297,IF(Parameter!$E$30="MAX-Bestand",IF(CI297=1,CJ297,IF(LEFT(Cockpit!$I$5,1)="B",AW297,MAX(AW297,H297))),ROUNDUP(AU297,0)))</f>
        <v>14</v>
      </c>
      <c r="AR297" s="62" t="n">
        <f aca="false">IF(CA297=1,0,ROUNDUP(AQ297/BZ297,0))</f>
        <v>2</v>
      </c>
      <c r="AS297" s="64" t="n">
        <f aca="false">IF(CR297&gt;0,CR297*MAX(1,AQ297/X297),IF(CA297=1,IF(AQ297&lt;=0,0,CE297*MAX(1,IF(H297&gt;0,AQ297/H297,1))),IF(R297&gt;0,AR297/R297,0))/MAX(0.1,N(Parameter!$M$21)))</f>
        <v>0.0384615384615385</v>
      </c>
      <c r="AT297" s="62" t="n">
        <f aca="false">AS297*CC297</f>
        <v>5.96153846153846</v>
      </c>
      <c r="AU297" s="63" t="n">
        <f aca="false">IF(LEFT(Cockpit!$I$5,1)="A",H297,IF(CI297=1,(CL297+CJ297)/2,IF(LEFT(Cockpit!$I$5,1)="B",(CL297+AW297)/2,MAX((CL297+AW297)/2,H297))))</f>
        <v>14</v>
      </c>
      <c r="AV297" s="62" t="n">
        <f aca="false">AU297*G297</f>
        <v>418.46</v>
      </c>
      <c r="AW297" s="62" t="n">
        <f aca="false">ROUNDUP(CL297+MAX(CM297,2*(J297/IF(CH297&gt;0,CH297,MAX(0.1,N(Cockpit!$I$6)))-CL297)),0)</f>
        <v>2</v>
      </c>
      <c r="AX297" s="63" t="n">
        <f aca="false">IF(AT297&gt;0,J297/AT297,-1)</f>
        <v>0.335483870967742</v>
      </c>
      <c r="AY297" s="63" t="n">
        <f aca="false">IF(AND(OR(CG297="L1",CG297="L23",CG297="LIFT"),AT297&gt;0),SUMIFS($AT$7:$AT$1843,$CG$7:$CG$1843,CG297,$AX$7:$AX$1843,"&gt;"&amp;AX297)+SUMIFS($AT$7:$AT$1843,$CG$7:$CG$1843,CG297,$AX$7:$AX$1843,AX297,$BX$7:$BX$1843,"&lt;="&amp;BX297),"")</f>
        <v>13696.3108974359</v>
      </c>
      <c r="AZ297" s="70" t="n">
        <f aca="false">IF(AY297="",0,MAX(0,MIN(1,(IF(CG297="L1",Parameter!$H$5,IF(CG297="L23",Parameter!$H$6+Parameter!$H$7,Parameter!$H$5+Parameter!$H$6+Parameter!$H$7))-(AY297-AT297))/AT297)))</f>
        <v>1</v>
      </c>
      <c r="BA297" s="62" t="n">
        <f aca="false">IF(LEFT(Cockpit!$O$5,1)="A",H297,IF(Parameter!$E$30="MAX-Bestand",IF(CI297=1,CJ297,IF(LEFT(Cockpit!$O$5,1)="B",BG297,MAX(BG297,H297))),ROUNDUP(BE297,0)))</f>
        <v>1</v>
      </c>
      <c r="BB297" s="62" t="n">
        <f aca="false">IF(CA297=1,0,ROUNDUP(BA297/BZ297,0))</f>
        <v>1</v>
      </c>
      <c r="BC297" s="64" t="n">
        <f aca="false">IF(CR297&gt;0,CR297*MAX(1,BA297/X297),IF(CA297=1,IF(BA297&lt;=0,0,CE297*MAX(1,IF(H297&gt;0,BA297/H297,1))),IF(R297&gt;0,BB297/R297,0))/MAX(0.1,N(Parameter!$M$21)))</f>
        <v>0.0192307692307692</v>
      </c>
      <c r="BD297" s="62" t="n">
        <f aca="false">BC297*CC297</f>
        <v>2.98076923076923</v>
      </c>
      <c r="BE297" s="63" t="n">
        <f aca="false">IF(LEFT(Cockpit!$O$5,1)="A",H297,IF(CI297=1,(CL297+CJ297)/2,IF(LEFT(Cockpit!$O$5,1)="B",(CL297+BG297)/2,MAX((CL297+BG297)/2,H297))))</f>
        <v>0.5</v>
      </c>
      <c r="BF297" s="62" t="n">
        <f aca="false">BE297*G297</f>
        <v>14.945</v>
      </c>
      <c r="BG297" s="62" t="n">
        <f aca="false">ROUNDUP(CL297+MAX(CM297,2*(J297/IF(CH297&gt;0,CH297,MAX(0.1,N(Cockpit!$O$6)))-CL297)),0)</f>
        <v>1</v>
      </c>
      <c r="BH297" s="63" t="n">
        <f aca="false">IF(BD297&gt;0,J297/BD297,-1)</f>
        <v>0.670967741935484</v>
      </c>
      <c r="BI297" s="63" t="n">
        <f aca="false">IF(AND(OR(CG297="L1",CG297="L23",CG297="LIFT"),BD297&gt;0),SUMIFS($BD$7:$BD$1843,$CG$7:$CG$1843,CG297,$BH$7:$BH$1843,"&gt;"&amp;BH297)+SUMIFS($BD$7:$BD$1843,$CG$7:$CG$1843,CG297,$BH$7:$BH$1843,BH297,$BX$7:$BX$1843,"&lt;="&amp;BX297),"")</f>
        <v>9493.086996337</v>
      </c>
      <c r="BJ297" s="70" t="n">
        <f aca="false">IF(BI297="",0,MAX(0,MIN(1,(IF(CG297="L1",Parameter!$H$5,IF(CG297="L23",Parameter!$H$6+Parameter!$H$7,Parameter!$H$5+Parameter!$H$6+Parameter!$H$7))-(BI297-BD297))/BD297)))</f>
        <v>1</v>
      </c>
      <c r="BK297" s="60" t="str">
        <f aca="false">IF(AJ297&lt;=0,"",IF(CG297="Aussen","Aussenlager",IF(CG297="-","Nicht im Lift",IF(AP297&gt;=1,"Lift",IF(AP297&lt;=0,"Aussenlager","teilweise")))))</f>
        <v>Lift</v>
      </c>
      <c r="BL297" s="60" t="str">
        <f aca="false">IF(AT297&lt;=0,"",IF(CG297="Aussen","Aussenlager",IF(CG297="-","Nicht im Lift",IF(AZ297&gt;=1,"Lift",IF(AZ297&lt;=0,"Aussenlager","teilweise")))))</f>
        <v>Lift</v>
      </c>
      <c r="BM297" s="60" t="str">
        <f aca="false">IF(BD297&lt;=0,"",IF(CG297="Aussen","Aussenlager",IF(CG297="-","Nicht im Lift",IF(BJ297&gt;=1,"Lift",IF(BJ297&lt;=0,"Aussenlager","teilweise")))))</f>
        <v>Lift</v>
      </c>
      <c r="BN297" s="60" t="str">
        <f aca="false">IF(A297="","",IF(BW297=1,"Neu; ","")&amp;IF(AND(BW297=0,BR297&lt;0),"negativer Bestand (Export "&amp;BR297&amp;"); ","")&amp;IF(J297&lt;=0,"Kein Verbrauch; ","")&amp;IF(CR297&gt;0,"Lift "&amp;W297&amp;" lt. Liftbericht (Fach "&amp;X297&amp;" Stk); ",IF(CB297=1,"Gebinde geschätzt ("&amp;T297&amp;"); ",IF(CA297=1,"Lose – Tablare geschätzt; ","")))&amp;IF(H297&gt;AW297,"Überbestand "&amp;ROUND(H297-AW297,0)&amp;" Stk / CHF "&amp;ROUND((H297-AW297)*G297,0)&amp;"; ","")&amp;IF(AND(CI297=1,CJ297&lt;CK297),"MAX &lt; MB+LG; ","")&amp;IF(AND(CQ297&gt;0,CP297*10&gt;CQ297),"zu hoch für Tablar; ","")&amp;IF(AND(BW297=0,OR(CI297=1,AB297&lt;&gt;"",U297&lt;&gt;"",V297&lt;&gt;"",AC297&lt;&gt;"")),"manuell übersteuert; ","")&amp;IF(AND(CA297=0,R297=0),"Gebinde unbekannt / Stellmass fehlt; ","")&amp;IF(AND(CA297=0,N(V297)&lt;=0,N(Q297)&lt;=0),"Menge pro Gebinde fehlt (Ist = 1 Gebinde); ","")&amp;BV297)</f>
        <v>Überbestand 12 Stk / CHF 359; </v>
      </c>
      <c r="BO297" s="60"/>
      <c r="BP297" s="60"/>
      <c r="BQ297" s="67"/>
      <c r="BR297" s="62" t="n">
        <v>9</v>
      </c>
      <c r="BS297" s="62" t="n">
        <v>5</v>
      </c>
      <c r="BT297" s="61" t="n">
        <v>276.66</v>
      </c>
      <c r="BU297" s="62" t="n">
        <v>2</v>
      </c>
      <c r="BV297" s="60"/>
      <c r="BW297" s="65" t="n">
        <v>0</v>
      </c>
      <c r="BX297" s="65" t="n">
        <v>297</v>
      </c>
      <c r="BY297" s="60" t="str">
        <f aca="false">IF(U297&lt;&gt;"",UPPER(TRIM(U297)),IF(CB297=1,UPPER(VLOOKUP(T297,Parameter!$I$27:$K$29,2,0)),IF(P297="","LOSE",P297)))</f>
        <v>S33</v>
      </c>
      <c r="BZ297" s="62" t="n">
        <f aca="false">IF(BY297="LOSE",1,IF(N(V297)&gt;0,V297,IF(CB297=1,MAX(1,N(VLOOKUP(T297,Parameter!$I$27:$K$29,3,0)),H297,N(N297)),IF(N(Q297)&gt;0,Q297,MAX(1,H297)))))</f>
        <v>12</v>
      </c>
      <c r="CA297" s="65" t="n">
        <f aca="false">IF(BY297="LOSE",1,0)</f>
        <v>0</v>
      </c>
      <c r="CB297" s="65" t="n">
        <f aca="false">IF(AND(U297="",OR(P297="",P297="LOSE"),T297&lt;&gt;"",N(S297)&lt;=0,ISNUMBER(MATCH(T297,Parameter!$I$27:$I$29,0))),1,0)</f>
        <v>0</v>
      </c>
      <c r="CC297" s="65" t="n">
        <f aca="false">IF(CR297&gt;0,INDEX(Parameter!$H$5:$H$7,W297)/INDEX(Parameter!$E$5:$E$7,W297),IF(AND(CA297=0,N(IFERROR(VLOOKUP(BY297,'Gebinde-Kategorie'!$A$5:$N$45,14,0),0))&gt;0),VLOOKUP(BY297,'Gebinde-Kategorie'!$A$5:$N$45,14,0)*10+Parameter!$M$23,Parameter!$M$24))</f>
        <v>155</v>
      </c>
      <c r="CD297" s="60" t="str">
        <f aca="false">IF(AND(Parameter!$B$19="Ja",E297&lt;&gt;"",ISNUMBER(MATCH(E297,Parameter!$I$35:$I$52,0))),VLOOKUP(E297,Parameter!$I$35:$J$52,2,0),IFERROR(VLOOKUP(D297,Parameter!$A$35:$C$64,2,0),"Nein"))</f>
        <v>2+3</v>
      </c>
      <c r="CE297" s="64" t="n">
        <f aca="false">IF(CA297=0,0,IF(N(S297)&gt;0,S297,IFERROR(VLOOKUP(D297,Parameter!$A$35:$C$64,3,0)+0,0)))</f>
        <v>0</v>
      </c>
      <c r="CF297" s="60" t="n">
        <f aca="false">IF(AB297&lt;&gt;"",AB297,AA297)</f>
        <v>3</v>
      </c>
      <c r="CG297" s="60" t="str">
        <f aca="false">IF(OR(CF297=1,CF297=2,CF297=3),IF(Parameter!$E$27="Ja","LIFT",IF(CF297=1,"L1","L23")),IF(CF297="Aussen","Aussen","-"))</f>
        <v>LIFT</v>
      </c>
      <c r="CH297" s="71" t="n">
        <f aca="false">IF(N(AC297)&gt;0,AC297,0)</f>
        <v>0</v>
      </c>
      <c r="CI297" s="65" t="n">
        <f aca="false">IF(ISNUMBER(AF297),1,0)</f>
        <v>0</v>
      </c>
      <c r="CJ297" s="62" t="n">
        <f aca="false">N(AF297)</f>
        <v>0</v>
      </c>
      <c r="CK297" s="62" t="n">
        <f aca="false">N(M297)+N(N297)</f>
        <v>1</v>
      </c>
      <c r="CL297" s="62" t="n">
        <f aca="false">N(M297)</f>
        <v>0</v>
      </c>
      <c r="CM297" s="62" t="n">
        <f aca="false">N(N297)</f>
        <v>1</v>
      </c>
      <c r="CN297" s="62" t="n">
        <f aca="false">ROUNDUP(H297/BZ297,0)</f>
        <v>2</v>
      </c>
      <c r="CO297" s="62" t="n">
        <f aca="false">ROUNDUP(CJ297/BZ297,0)</f>
        <v>0</v>
      </c>
      <c r="CP297" s="65" t="n">
        <f aca="false">IF(CA297=1,0,IFERROR(VLOOKUP(BY297,'Gebinde-Kategorie'!$A$5:$N$45,5,0)+0,0))</f>
        <v>8</v>
      </c>
      <c r="CQ297" s="65" t="n">
        <f aca="false">IFERROR(IF(OR(CF297=1,CF297=2,CF297=3),N(INDEX(Parameter!$I$5:$I$7,CF297)),0),0)</f>
        <v>0</v>
      </c>
      <c r="CR297" s="64" t="n">
        <f aca="false">IF(AND(Parameter!$B$21="Ja",ISNUMBER(W297),N(X297)&gt;0),IFERROR(N(INDEX(Parameter!$L$5:$L$7,W297))*INDEX(Parameter!$E$5:$E$7,W297)*X297/SUMIFS($X$7:$X$1843,$W$7:$W$1843,W297),0),0)</f>
        <v>0</v>
      </c>
      <c r="CS297" s="62" t="n">
        <f aca="false">IF(AND(OR(CG297="L1",CG297="L23",CG297="LIFT"),H297&gt;0),CC297*IF(CR297&gt;0,CR297*MAX(1,H297/X297),IF(CA297=1,CE297,IF(R297&gt;0,CN297/R297,0))/MAX(0.1,N(Parameter!$M$21))),"")</f>
        <v>5.96153846153846</v>
      </c>
      <c r="CT297" s="64" t="n">
        <f aca="false">IF(CS297="","",J297/H297)</f>
        <v>0.142857142857143</v>
      </c>
      <c r="CU297" s="62" t="n">
        <f aca="false">IF(CS297="","",H297*G297)</f>
        <v>418.46</v>
      </c>
      <c r="CV297" s="63" t="n">
        <f aca="false">IF(CS297="","",(CL297+ROUNDUP(CL297+MAX(CM297,2*(J297/MAX(0.1,N(Einkauf!$C$6))-CL297)),0))/2)</f>
        <v>0.5</v>
      </c>
      <c r="CW297" s="62" t="n">
        <f aca="false">IF(CS297="","",MAX(0,H297-CV297)*G297)</f>
        <v>403.515</v>
      </c>
      <c r="CX297" s="62" t="n">
        <f aca="false">IF(CS297="","",CS297*MAX(0,1-CV297/H297))</f>
        <v>5.74862637362637</v>
      </c>
      <c r="CY297" s="64" t="n">
        <f aca="false">IF(CS297="","",PERCENTRANK($CS$7:$CS$1843,CS297)+PERCENTRANK($CU$7:$CU$1843,CU297)+1-PERCENTRANK($CT$7:$CT$1843,CT297))</f>
        <v>1.393</v>
      </c>
      <c r="CZ297" s="72" t="n">
        <f aca="false">IF(CS297="","",CHOOSE(MATCH(Einkauf!$C$5,Parameter!$G$23:$G$27,0),CY297,CS297,CU297,-CT297,CW297)+ROW()/1000000000)</f>
        <v>1.393000297</v>
      </c>
    </row>
    <row r="298" customFormat="false" ht="15" hidden="false" customHeight="false" outlineLevel="0" collapsed="false">
      <c r="A298" s="60" t="s">
        <v>809</v>
      </c>
      <c r="B298" s="60" t="s">
        <v>810</v>
      </c>
      <c r="C298" s="60" t="s">
        <v>206</v>
      </c>
      <c r="D298" s="60" t="s">
        <v>226</v>
      </c>
      <c r="E298" s="60" t="s">
        <v>227</v>
      </c>
      <c r="F298" s="60" t="s">
        <v>260</v>
      </c>
      <c r="G298" s="61" t="n">
        <v>21.27</v>
      </c>
      <c r="H298" s="62" t="n">
        <f aca="false">MAX(0,IF(AND(Parameter!$B$21="Ja",ISNUMBER(Y298)),Y298,IF(Parameter!$B$20="Jahresanfang 2025 + Export",BS298+BR298,BR298)))</f>
        <v>43</v>
      </c>
      <c r="I298" s="62" t="n">
        <f aca="false">H298*G298</f>
        <v>914.61</v>
      </c>
      <c r="J298" s="62" t="n">
        <f aca="false">BU298*Parameter!$B$18</f>
        <v>0</v>
      </c>
      <c r="K298" s="63" t="n">
        <v>36.5</v>
      </c>
      <c r="L298" s="64" t="n">
        <v>0</v>
      </c>
      <c r="M298" s="62" t="n">
        <v>0</v>
      </c>
      <c r="N298" s="62" t="n">
        <v>1</v>
      </c>
      <c r="O298" s="65" t="n">
        <v>28</v>
      </c>
      <c r="P298" s="60" t="s">
        <v>335</v>
      </c>
      <c r="Q298" s="62" t="n">
        <v>32</v>
      </c>
      <c r="R298" s="65" t="n">
        <f aca="false">IF(CA298=1,0,IFERROR(VLOOKUP(BY298,'Gebinde-Kategorie'!$A$5:$N$45,13,0)+0,0))</f>
        <v>12</v>
      </c>
      <c r="S298" s="66"/>
      <c r="T298" s="67"/>
      <c r="U298" s="67"/>
      <c r="V298" s="67"/>
      <c r="W298" s="60"/>
      <c r="X298" s="62"/>
      <c r="Y298" s="62"/>
      <c r="Z298" s="60" t="n">
        <v>3</v>
      </c>
      <c r="AA298" s="60" t="n">
        <f aca="false">IF(A298="","",IF(AND(Parameter!$B$21="Ja",ISNUMBER(W298)),W298,IF(AND(Parameter!$E$27="Ja",ISNUMBER(Z298),CD298&lt;&gt;"Nein"),Z298,IF(CD298="2+3",IF(ISNUMBER(SEARCH("grosser Artikel",BV298)),2,IFERROR(VLOOKUP(BY298,Parameter!$F$35:$G$64,2,0),2)),IF(OR(CD298="Nein",CD298=""),"-",CD298)))))</f>
        <v>3</v>
      </c>
      <c r="AB298" s="67"/>
      <c r="AC298" s="68"/>
      <c r="AD298" s="62" t="n">
        <f aca="false">AW298</f>
        <v>1</v>
      </c>
      <c r="AE298" s="62" t="n">
        <f aca="false">MAX(AW298,H298)</f>
        <v>43</v>
      </c>
      <c r="AF298" s="69"/>
      <c r="AG298" s="62" t="n">
        <f aca="false">IF(LEFT(Cockpit!$C$5,1)="A",H298,IF(Parameter!$E$30="MAX-Bestand",IF(CI298=1,CJ298,IF(LEFT(Cockpit!$C$5,1)="B",AM298,MAX(AM298,H298))),ROUNDUP(AK298,0)))</f>
        <v>43</v>
      </c>
      <c r="AH298" s="62" t="n">
        <f aca="false">IF(CA298=1,0,ROUNDUP(AG298/BZ298,0))</f>
        <v>2</v>
      </c>
      <c r="AI298" s="64" t="n">
        <f aca="false">IF(CR298&gt;0,CR298*MAX(1,AG298/X298),IF(CA298=1,IF(AG298&lt;=0,0,CE298*MAX(1,IF(H298&gt;0,AG298/H298,1))),IF(R298&gt;0,AH298/R298,0))/MAX(0.1,N(Parameter!$M$21)))</f>
        <v>0.166666666666667</v>
      </c>
      <c r="AJ298" s="62" t="n">
        <f aca="false">AI298*CC298</f>
        <v>40.8333333333333</v>
      </c>
      <c r="AK298" s="63" t="n">
        <f aca="false">IF(LEFT(Cockpit!$C$5,1)="A",H298,IF(CI298=1,(CL298+CJ298)/2,IF(LEFT(Cockpit!$C$5,1)="B",(CL298+AM298)/2,MAX((CL298+AM298)/2,H298))))</f>
        <v>43</v>
      </c>
      <c r="AL298" s="62" t="n">
        <f aca="false">AK298*G298</f>
        <v>914.61</v>
      </c>
      <c r="AM298" s="62" t="n">
        <f aca="false">ROUNDUP(CL298+MAX(CM298,2*(J298/IF(CH298&gt;0,CH298,MAX(0.1,N(Cockpit!$C$6)))-CL298)),0)</f>
        <v>1</v>
      </c>
      <c r="AN298" s="63" t="n">
        <f aca="false">IF(AJ298&gt;0,J298/AJ298,-1)</f>
        <v>0</v>
      </c>
      <c r="AO298" s="63" t="n">
        <f aca="false">IF(AND(OR(CG298="L1",CG298="L23",CG298="LIFT"),AJ298&gt;0),SUMIFS($AJ$7:$AJ$1843,$CG$7:$CG$1843,CG298,$AN$7:$AN$1843,"&gt;"&amp;AN298)+SUMIFS($AJ$7:$AJ$1843,$CG$7:$CG$1843,CG298,$AN$7:$AN$1843,AN298,$BX$7:$BX$1843,"&lt;="&amp;BX298),"")</f>
        <v>27864.6114318826</v>
      </c>
      <c r="AP298" s="70" t="n">
        <f aca="false">IF(AO298="",0,MAX(0,MIN(1,(IF(CG298="L1",Parameter!$H$5,IF(CG298="L23",Parameter!$H$6+Parameter!$H$7,Parameter!$H$5+Parameter!$H$6+Parameter!$H$7))-(AO298-AJ298))/AJ298)))</f>
        <v>1</v>
      </c>
      <c r="AQ298" s="62" t="n">
        <f aca="false">IF(LEFT(Cockpit!$I$5,1)="A",H298,IF(Parameter!$E$30="MAX-Bestand",IF(CI298=1,CJ298,IF(LEFT(Cockpit!$I$5,1)="B",AW298,MAX(AW298,H298))),ROUNDUP(AU298,0)))</f>
        <v>43</v>
      </c>
      <c r="AR298" s="62" t="n">
        <f aca="false">IF(CA298=1,0,ROUNDUP(AQ298/BZ298,0))</f>
        <v>2</v>
      </c>
      <c r="AS298" s="64" t="n">
        <f aca="false">IF(CR298&gt;0,CR298*MAX(1,AQ298/X298),IF(CA298=1,IF(AQ298&lt;=0,0,CE298*MAX(1,IF(H298&gt;0,AQ298/H298,1))),IF(R298&gt;0,AR298/R298,0))/MAX(0.1,N(Parameter!$M$21)))</f>
        <v>0.166666666666667</v>
      </c>
      <c r="AT298" s="62" t="n">
        <f aca="false">AS298*CC298</f>
        <v>40.8333333333333</v>
      </c>
      <c r="AU298" s="63" t="n">
        <f aca="false">IF(LEFT(Cockpit!$I$5,1)="A",H298,IF(CI298=1,(CL298+CJ298)/2,IF(LEFT(Cockpit!$I$5,1)="B",(CL298+AW298)/2,MAX((CL298+AW298)/2,H298))))</f>
        <v>43</v>
      </c>
      <c r="AV298" s="62" t="n">
        <f aca="false">AU298*G298</f>
        <v>914.61</v>
      </c>
      <c r="AW298" s="62" t="n">
        <f aca="false">ROUNDUP(CL298+MAX(CM298,2*(J298/IF(CH298&gt;0,CH298,MAX(0.1,N(Cockpit!$I$6)))-CL298)),0)</f>
        <v>1</v>
      </c>
      <c r="AX298" s="63" t="n">
        <f aca="false">IF(AT298&gt;0,J298/AT298,-1)</f>
        <v>0</v>
      </c>
      <c r="AY298" s="63" t="n">
        <f aca="false">IF(AND(OR(CG298="L1",CG298="L23",CG298="LIFT"),AT298&gt;0),SUMIFS($AT$7:$AT$1843,$CG$7:$CG$1843,CG298,$AX$7:$AX$1843,"&gt;"&amp;AX298)+SUMIFS($AT$7:$AT$1843,$CG$7:$CG$1843,CG298,$AX$7:$AX$1843,AX298,$BX$7:$BX$1843,"&lt;="&amp;BX298),"")</f>
        <v>33217.7600732601</v>
      </c>
      <c r="AZ298" s="70" t="n">
        <f aca="false">IF(AY298="",0,MAX(0,MIN(1,(IF(CG298="L1",Parameter!$H$5,IF(CG298="L23",Parameter!$H$6+Parameter!$H$7,Parameter!$H$5+Parameter!$H$6+Parameter!$H$7))-(AY298-AT298))/AT298)))</f>
        <v>1</v>
      </c>
      <c r="BA298" s="62" t="n">
        <f aca="false">IF(LEFT(Cockpit!$O$5,1)="A",H298,IF(Parameter!$E$30="MAX-Bestand",IF(CI298=1,CJ298,IF(LEFT(Cockpit!$O$5,1)="B",BG298,MAX(BG298,H298))),ROUNDUP(BE298,0)))</f>
        <v>1</v>
      </c>
      <c r="BB298" s="62" t="n">
        <f aca="false">IF(CA298=1,0,ROUNDUP(BA298/BZ298,0))</f>
        <v>1</v>
      </c>
      <c r="BC298" s="64" t="n">
        <f aca="false">IF(CR298&gt;0,CR298*MAX(1,BA298/X298),IF(CA298=1,IF(BA298&lt;=0,0,CE298*MAX(1,IF(H298&gt;0,BA298/H298,1))),IF(R298&gt;0,BB298/R298,0))/MAX(0.1,N(Parameter!$M$21)))</f>
        <v>0.0833333333333333</v>
      </c>
      <c r="BD298" s="62" t="n">
        <f aca="false">BC298*CC298</f>
        <v>20.4166666666667</v>
      </c>
      <c r="BE298" s="63" t="n">
        <f aca="false">IF(LEFT(Cockpit!$O$5,1)="A",H298,IF(CI298=1,(CL298+CJ298)/2,IF(LEFT(Cockpit!$O$5,1)="B",(CL298+BG298)/2,MAX((CL298+BG298)/2,H298))))</f>
        <v>0.5</v>
      </c>
      <c r="BF298" s="62" t="n">
        <f aca="false">BE298*G298</f>
        <v>10.635</v>
      </c>
      <c r="BG298" s="62" t="n">
        <f aca="false">ROUNDUP(CL298+MAX(CM298,2*(J298/IF(CH298&gt;0,CH298,MAX(0.1,N(Cockpit!$O$6)))-CL298)),0)</f>
        <v>1</v>
      </c>
      <c r="BH298" s="63" t="n">
        <f aca="false">IF(BD298&gt;0,J298/BD298,-1)</f>
        <v>0</v>
      </c>
      <c r="BI298" s="63" t="n">
        <f aca="false">IF(AND(OR(CG298="L1",CG298="L23",CG298="LIFT"),BD298&gt;0),SUMIFS($BD$7:$BD$1843,$CG$7:$CG$1843,CG298,$BH$7:$BH$1843,"&gt;"&amp;BH298)+SUMIFS($BD$7:$BD$1843,$CG$7:$CG$1843,CG298,$BH$7:$BH$1843,BH298,$BX$7:$BX$1843,"&lt;="&amp;BX298),"")</f>
        <v>27343.2201216862</v>
      </c>
      <c r="BJ298" s="70" t="n">
        <f aca="false">IF(BI298="",0,MAX(0,MIN(1,(IF(CG298="L1",Parameter!$H$5,IF(CG298="L23",Parameter!$H$6+Parameter!$H$7,Parameter!$H$5+Parameter!$H$6+Parameter!$H$7))-(BI298-BD298))/BD298)))</f>
        <v>1</v>
      </c>
      <c r="BK298" s="60" t="str">
        <f aca="false">IF(AJ298&lt;=0,"",IF(CG298="Aussen","Aussenlager",IF(CG298="-","Nicht im Lift",IF(AP298&gt;=1,"Lift",IF(AP298&lt;=0,"Aussenlager","teilweise")))))</f>
        <v>Lift</v>
      </c>
      <c r="BL298" s="60" t="str">
        <f aca="false">IF(AT298&lt;=0,"",IF(CG298="Aussen","Aussenlager",IF(CG298="-","Nicht im Lift",IF(AZ298&gt;=1,"Lift",IF(AZ298&lt;=0,"Aussenlager","teilweise")))))</f>
        <v>Lift</v>
      </c>
      <c r="BM298" s="60" t="str">
        <f aca="false">IF(BD298&lt;=0,"",IF(CG298="Aussen","Aussenlager",IF(CG298="-","Nicht im Lift",IF(BJ298&gt;=1,"Lift",IF(BJ298&lt;=0,"Aussenlager","teilweise")))))</f>
        <v>Lift</v>
      </c>
      <c r="BN298" s="60" t="str">
        <f aca="false">IF(A298="","",IF(BW298=1,"Neu; ","")&amp;IF(AND(BW298=0,BR298&lt;0),"negativer Bestand (Export "&amp;BR298&amp;"); ","")&amp;IF(J298&lt;=0,"Kein Verbrauch; ","")&amp;IF(CR298&gt;0,"Lift "&amp;W298&amp;" lt. Liftbericht (Fach "&amp;X298&amp;" Stk); ",IF(CB298=1,"Gebinde geschätzt ("&amp;T298&amp;"); ",IF(CA298=1,"Lose – Tablare geschätzt; ","")))&amp;IF(H298&gt;AW298,"Überbestand "&amp;ROUND(H298-AW298,0)&amp;" Stk / CHF "&amp;ROUND((H298-AW298)*G298,0)&amp;"; ","")&amp;IF(AND(CI298=1,CJ298&lt;CK298),"MAX &lt; MB+LG; ","")&amp;IF(AND(CQ298&gt;0,CP298*10&gt;CQ298),"zu hoch für Tablar; ","")&amp;IF(AND(BW298=0,OR(CI298=1,AB298&lt;&gt;"",U298&lt;&gt;"",V298&lt;&gt;"",AC298&lt;&gt;"")),"manuell übersteuert; ","")&amp;IF(AND(CA298=0,R298=0),"Gebinde unbekannt / Stellmass fehlt; ","")&amp;IF(AND(CA298=0,N(V298)&lt;=0,N(Q298)&lt;=0),"Menge pro Gebinde fehlt (Ist = 1 Gebinde); ","")&amp;BV298)</f>
        <v>Kein Verbrauch; Überbestand 42 Stk / CHF 893; </v>
      </c>
      <c r="BO298" s="60"/>
      <c r="BP298" s="60"/>
      <c r="BQ298" s="67"/>
      <c r="BR298" s="62" t="n">
        <v>13</v>
      </c>
      <c r="BS298" s="62" t="n">
        <v>30</v>
      </c>
      <c r="BT298" s="61" t="n">
        <v>276.51</v>
      </c>
      <c r="BU298" s="62" t="n">
        <v>0</v>
      </c>
      <c r="BV298" s="60"/>
      <c r="BW298" s="65" t="n">
        <v>0</v>
      </c>
      <c r="BX298" s="65" t="n">
        <v>298</v>
      </c>
      <c r="BY298" s="60" t="str">
        <f aca="false">IF(U298&lt;&gt;"",UPPER(TRIM(U298)),IF(CB298=1,UPPER(VLOOKUP(T298,Parameter!$I$27:$K$29,2,0)),IF(P298="","LOSE",P298)))</f>
        <v>S62</v>
      </c>
      <c r="BZ298" s="62" t="n">
        <f aca="false">IF(BY298="LOSE",1,IF(N(V298)&gt;0,V298,IF(CB298=1,MAX(1,N(VLOOKUP(T298,Parameter!$I$27:$K$29,3,0)),H298,N(N298)),IF(N(Q298)&gt;0,Q298,MAX(1,H298)))))</f>
        <v>32</v>
      </c>
      <c r="CA298" s="65" t="n">
        <f aca="false">IF(BY298="LOSE",1,0)</f>
        <v>0</v>
      </c>
      <c r="CB298" s="65" t="n">
        <f aca="false">IF(AND(U298="",OR(P298="",P298="LOSE"),T298&lt;&gt;"",N(S298)&lt;=0,ISNUMBER(MATCH(T298,Parameter!$I$27:$I$29,0))),1,0)</f>
        <v>0</v>
      </c>
      <c r="CC298" s="65" t="n">
        <f aca="false">IF(CR298&gt;0,INDEX(Parameter!$H$5:$H$7,W298)/INDEX(Parameter!$E$5:$E$7,W298),IF(AND(CA298=0,N(IFERROR(VLOOKUP(BY298,'Gebinde-Kategorie'!$A$5:$N$45,14,0),0))&gt;0),VLOOKUP(BY298,'Gebinde-Kategorie'!$A$5:$N$45,14,0)*10+Parameter!$M$23,Parameter!$M$24))</f>
        <v>245</v>
      </c>
      <c r="CD298" s="60" t="str">
        <f aca="false">IF(AND(Parameter!$B$19="Ja",E298&lt;&gt;"",ISNUMBER(MATCH(E298,Parameter!$I$35:$I$52,0))),VLOOKUP(E298,Parameter!$I$35:$J$52,2,0),IFERROR(VLOOKUP(D298,Parameter!$A$35:$C$64,2,0),"Nein"))</f>
        <v>2+3</v>
      </c>
      <c r="CE298" s="64" t="n">
        <f aca="false">IF(CA298=0,0,IF(N(S298)&gt;0,S298,IFERROR(VLOOKUP(D298,Parameter!$A$35:$C$64,3,0)+0,0)))</f>
        <v>0</v>
      </c>
      <c r="CF298" s="60" t="n">
        <f aca="false">IF(AB298&lt;&gt;"",AB298,AA298)</f>
        <v>3</v>
      </c>
      <c r="CG298" s="60" t="str">
        <f aca="false">IF(OR(CF298=1,CF298=2,CF298=3),IF(Parameter!$E$27="Ja","LIFT",IF(CF298=1,"L1","L23")),IF(CF298="Aussen","Aussen","-"))</f>
        <v>LIFT</v>
      </c>
      <c r="CH298" s="71" t="n">
        <f aca="false">IF(N(AC298)&gt;0,AC298,0)</f>
        <v>0</v>
      </c>
      <c r="CI298" s="65" t="n">
        <f aca="false">IF(ISNUMBER(AF298),1,0)</f>
        <v>0</v>
      </c>
      <c r="CJ298" s="62" t="n">
        <f aca="false">N(AF298)</f>
        <v>0</v>
      </c>
      <c r="CK298" s="62" t="n">
        <f aca="false">N(M298)+N(N298)</f>
        <v>1</v>
      </c>
      <c r="CL298" s="62" t="n">
        <f aca="false">N(M298)</f>
        <v>0</v>
      </c>
      <c r="CM298" s="62" t="n">
        <f aca="false">N(N298)</f>
        <v>1</v>
      </c>
      <c r="CN298" s="62" t="n">
        <f aca="false">ROUNDUP(H298/BZ298,0)</f>
        <v>2</v>
      </c>
      <c r="CO298" s="62" t="n">
        <f aca="false">ROUNDUP(CJ298/BZ298,0)</f>
        <v>0</v>
      </c>
      <c r="CP298" s="65" t="n">
        <f aca="false">IF(CA298=1,0,IFERROR(VLOOKUP(BY298,'Gebinde-Kategorie'!$A$5:$N$45,5,0)+0,0))</f>
        <v>21</v>
      </c>
      <c r="CQ298" s="65" t="n">
        <f aca="false">IFERROR(IF(OR(CF298=1,CF298=2,CF298=3),N(INDEX(Parameter!$I$5:$I$7,CF298)),0),0)</f>
        <v>0</v>
      </c>
      <c r="CR298" s="64" t="n">
        <f aca="false">IF(AND(Parameter!$B$21="Ja",ISNUMBER(W298),N(X298)&gt;0),IFERROR(N(INDEX(Parameter!$L$5:$L$7,W298))*INDEX(Parameter!$E$5:$E$7,W298)*X298/SUMIFS($X$7:$X$1843,$W$7:$W$1843,W298),0),0)</f>
        <v>0</v>
      </c>
      <c r="CS298" s="62" t="n">
        <f aca="false">IF(AND(OR(CG298="L1",CG298="L23",CG298="LIFT"),H298&gt;0),CC298*IF(CR298&gt;0,CR298*MAX(1,H298/X298),IF(CA298=1,CE298,IF(R298&gt;0,CN298/R298,0))/MAX(0.1,N(Parameter!$M$21))),"")</f>
        <v>40.8333333333333</v>
      </c>
      <c r="CT298" s="64" t="n">
        <f aca="false">IF(CS298="","",J298/H298)</f>
        <v>0</v>
      </c>
      <c r="CU298" s="62" t="n">
        <f aca="false">IF(CS298="","",H298*G298)</f>
        <v>914.61</v>
      </c>
      <c r="CV298" s="63" t="n">
        <f aca="false">IF(CS298="","",(CL298+ROUNDUP(CL298+MAX(CM298,2*(J298/MAX(0.1,N(Einkauf!$C$6))-CL298)),0))/2)</f>
        <v>0.5</v>
      </c>
      <c r="CW298" s="62" t="n">
        <f aca="false">IF(CS298="","",MAX(0,H298-CV298)*G298)</f>
        <v>903.975</v>
      </c>
      <c r="CX298" s="62" t="n">
        <f aca="false">IF(CS298="","",CS298*MAX(0,1-CV298/H298))</f>
        <v>40.3585271317829</v>
      </c>
      <c r="CY298" s="64" t="n">
        <f aca="false">IF(CS298="","",PERCENTRANK($CS$7:$CS$1843,CS298)+PERCENTRANK($CU$7:$CU$1843,CU298)+1-PERCENTRANK($CT$7:$CT$1843,CT298))</f>
        <v>2.531</v>
      </c>
      <c r="CZ298" s="72" t="n">
        <f aca="false">IF(CS298="","",CHOOSE(MATCH(Einkauf!$C$5,Parameter!$G$23:$G$27,0),CY298,CS298,CU298,-CT298,CW298)+ROW()/1000000000)</f>
        <v>2.531000298</v>
      </c>
    </row>
    <row r="299" customFormat="false" ht="15" hidden="false" customHeight="false" outlineLevel="0" collapsed="false">
      <c r="A299" s="60" t="s">
        <v>811</v>
      </c>
      <c r="B299" s="60" t="s">
        <v>615</v>
      </c>
      <c r="C299" s="60" t="s">
        <v>206</v>
      </c>
      <c r="D299" s="60" t="s">
        <v>215</v>
      </c>
      <c r="E299" s="60" t="s">
        <v>227</v>
      </c>
      <c r="F299" s="60" t="s">
        <v>260</v>
      </c>
      <c r="G299" s="61" t="n">
        <v>86.22</v>
      </c>
      <c r="H299" s="62" t="n">
        <f aca="false">MAX(0,IF(AND(Parameter!$B$21="Ja",ISNUMBER(Y299)),Y299,IF(Parameter!$B$20="Jahresanfang 2025 + Export",BS299+BR299,BR299)))</f>
        <v>22</v>
      </c>
      <c r="I299" s="62" t="n">
        <f aca="false">H299*G299</f>
        <v>1896.84</v>
      </c>
      <c r="J299" s="62" t="n">
        <f aca="false">BU299*Parameter!$B$18</f>
        <v>69</v>
      </c>
      <c r="K299" s="63" t="n">
        <v>13</v>
      </c>
      <c r="L299" s="64" t="n">
        <v>5.30769230769231</v>
      </c>
      <c r="M299" s="62" t="n">
        <v>4</v>
      </c>
      <c r="N299" s="62" t="n">
        <v>20</v>
      </c>
      <c r="O299" s="65" t="n">
        <v>21</v>
      </c>
      <c r="P299" s="60" t="s">
        <v>268</v>
      </c>
      <c r="Q299" s="62" t="n">
        <v>33</v>
      </c>
      <c r="R299" s="65" t="n">
        <f aca="false">IF(CA299=1,0,IFERROR(VLOOKUP(BY299,'Gebinde-Kategorie'!$A$5:$N$45,13,0)+0,0))</f>
        <v>12</v>
      </c>
      <c r="S299" s="66"/>
      <c r="T299" s="67"/>
      <c r="U299" s="67"/>
      <c r="V299" s="67"/>
      <c r="W299" s="60"/>
      <c r="X299" s="62"/>
      <c r="Y299" s="62"/>
      <c r="Z299" s="60" t="n">
        <v>3</v>
      </c>
      <c r="AA299" s="60" t="n">
        <f aca="false">IF(A299="","",IF(AND(Parameter!$B$21="Ja",ISNUMBER(W299)),W299,IF(AND(Parameter!$E$27="Ja",ISNUMBER(Z299),CD299&lt;&gt;"Nein"),Z299,IF(CD299="2+3",IF(ISNUMBER(SEARCH("grosser Artikel",BV299)),2,IFERROR(VLOOKUP(BY299,Parameter!$F$35:$G$64,2,0),2)),IF(OR(CD299="Nein",CD299=""),"-",CD299)))))</f>
        <v>3</v>
      </c>
      <c r="AB299" s="67"/>
      <c r="AC299" s="68"/>
      <c r="AD299" s="62" t="n">
        <f aca="false">AW299</f>
        <v>42</v>
      </c>
      <c r="AE299" s="62" t="n">
        <f aca="false">MAX(AW299,H299)</f>
        <v>42</v>
      </c>
      <c r="AF299" s="69"/>
      <c r="AG299" s="62" t="n">
        <f aca="false">IF(LEFT(Cockpit!$C$5,1)="A",H299,IF(Parameter!$E$30="MAX-Bestand",IF(CI299=1,CJ299,IF(LEFT(Cockpit!$C$5,1)="B",AM299,MAX(AM299,H299))),ROUNDUP(AK299,0)))</f>
        <v>22</v>
      </c>
      <c r="AH299" s="62" t="n">
        <f aca="false">IF(CA299=1,0,ROUNDUP(AG299/BZ299,0))</f>
        <v>1</v>
      </c>
      <c r="AI299" s="64" t="n">
        <f aca="false">IF(CR299&gt;0,CR299*MAX(1,AG299/X299),IF(CA299=1,IF(AG299&lt;=0,0,CE299*MAX(1,IF(H299&gt;0,AG299/H299,1))),IF(R299&gt;0,AH299/R299,0))/MAX(0.1,N(Parameter!$M$21)))</f>
        <v>0.0833333333333333</v>
      </c>
      <c r="AJ299" s="62" t="n">
        <f aca="false">AI299*CC299</f>
        <v>28.75</v>
      </c>
      <c r="AK299" s="63" t="n">
        <f aca="false">IF(LEFT(Cockpit!$C$5,1)="A",H299,IF(CI299=1,(CL299+CJ299)/2,IF(LEFT(Cockpit!$C$5,1)="B",(CL299+AM299)/2,MAX((CL299+AM299)/2,H299))))</f>
        <v>22</v>
      </c>
      <c r="AL299" s="62" t="n">
        <f aca="false">AK299*G299</f>
        <v>1896.84</v>
      </c>
      <c r="AM299" s="62" t="n">
        <f aca="false">ROUNDUP(CL299+MAX(CM299,2*(J299/IF(CH299&gt;0,CH299,MAX(0.1,N(Cockpit!$C$6)))-CL299)),0)</f>
        <v>42</v>
      </c>
      <c r="AN299" s="63" t="n">
        <f aca="false">IF(AJ299&gt;0,J299/AJ299,-1)</f>
        <v>2.4</v>
      </c>
      <c r="AO299" s="63" t="n">
        <f aca="false">IF(AND(OR(CG299="L1",CG299="L23",CG299="LIFT"),AJ299&gt;0),SUMIFS($AJ$7:$AJ$1843,$CG$7:$CG$1843,CG299,$AN$7:$AN$1843,"&gt;"&amp;AN299)+SUMIFS($AJ$7:$AJ$1843,$CG$7:$CG$1843,CG299,$AN$7:$AN$1843,AN299,$BX$7:$BX$1843,"&lt;="&amp;BX299),"")</f>
        <v>5601.25045787546</v>
      </c>
      <c r="AP299" s="70" t="n">
        <f aca="false">IF(AO299="",0,MAX(0,MIN(1,(IF(CG299="L1",Parameter!$H$5,IF(CG299="L23",Parameter!$H$6+Parameter!$H$7,Parameter!$H$5+Parameter!$H$6+Parameter!$H$7))-(AO299-AJ299))/AJ299)))</f>
        <v>1</v>
      </c>
      <c r="AQ299" s="62" t="n">
        <f aca="false">IF(LEFT(Cockpit!$I$5,1)="A",H299,IF(Parameter!$E$30="MAX-Bestand",IF(CI299=1,CJ299,IF(LEFT(Cockpit!$I$5,1)="B",AW299,MAX(AW299,H299))),ROUNDUP(AU299,0)))</f>
        <v>23</v>
      </c>
      <c r="AR299" s="62" t="n">
        <f aca="false">IF(CA299=1,0,ROUNDUP(AQ299/BZ299,0))</f>
        <v>1</v>
      </c>
      <c r="AS299" s="64" t="n">
        <f aca="false">IF(CR299&gt;0,CR299*MAX(1,AQ299/X299),IF(CA299=1,IF(AQ299&lt;=0,0,CE299*MAX(1,IF(H299&gt;0,AQ299/H299,1))),IF(R299&gt;0,AR299/R299,0))/MAX(0.1,N(Parameter!$M$21)))</f>
        <v>0.0833333333333333</v>
      </c>
      <c r="AT299" s="62" t="n">
        <f aca="false">AS299*CC299</f>
        <v>28.75</v>
      </c>
      <c r="AU299" s="63" t="n">
        <f aca="false">IF(LEFT(Cockpit!$I$5,1)="A",H299,IF(CI299=1,(CL299+CJ299)/2,IF(LEFT(Cockpit!$I$5,1)="B",(CL299+AW299)/2,MAX((CL299+AW299)/2,H299))))</f>
        <v>23</v>
      </c>
      <c r="AV299" s="62" t="n">
        <f aca="false">AU299*G299</f>
        <v>1983.06</v>
      </c>
      <c r="AW299" s="62" t="n">
        <f aca="false">ROUNDUP(CL299+MAX(CM299,2*(J299/IF(CH299&gt;0,CH299,MAX(0.1,N(Cockpit!$I$6)))-CL299)),0)</f>
        <v>42</v>
      </c>
      <c r="AX299" s="63" t="n">
        <f aca="false">IF(AT299&gt;0,J299/AT299,-1)</f>
        <v>2.4</v>
      </c>
      <c r="AY299" s="63" t="n">
        <f aca="false">IF(AND(OR(CG299="L1",CG299="L23",CG299="LIFT"),AT299&gt;0),SUMIFS($AT$7:$AT$1843,$CG$7:$CG$1843,CG299,$AX$7:$AX$1843,"&gt;"&amp;AX299)+SUMIFS($AT$7:$AT$1843,$CG$7:$CG$1843,CG299,$AX$7:$AX$1843,AX299,$BX$7:$BX$1843,"&lt;="&amp;BX299),"")</f>
        <v>6435.72847985348</v>
      </c>
      <c r="AZ299" s="70" t="n">
        <f aca="false">IF(AY299="",0,MAX(0,MIN(1,(IF(CG299="L1",Parameter!$H$5,IF(CG299="L23",Parameter!$H$6+Parameter!$H$7,Parameter!$H$5+Parameter!$H$6+Parameter!$H$7))-(AY299-AT299))/AT299)))</f>
        <v>1</v>
      </c>
      <c r="BA299" s="62" t="n">
        <f aca="false">IF(LEFT(Cockpit!$O$5,1)="A",H299,IF(Parameter!$E$30="MAX-Bestand",IF(CI299=1,CJ299,IF(LEFT(Cockpit!$O$5,1)="B",BG299,MAX(BG299,H299))),ROUNDUP(BE299,0)))</f>
        <v>18</v>
      </c>
      <c r="BB299" s="62" t="n">
        <f aca="false">IF(CA299=1,0,ROUNDUP(BA299/BZ299,0))</f>
        <v>1</v>
      </c>
      <c r="BC299" s="64" t="n">
        <f aca="false">IF(CR299&gt;0,CR299*MAX(1,BA299/X299),IF(CA299=1,IF(BA299&lt;=0,0,CE299*MAX(1,IF(H299&gt;0,BA299/H299,1))),IF(R299&gt;0,BB299/R299,0))/MAX(0.1,N(Parameter!$M$21)))</f>
        <v>0.0833333333333333</v>
      </c>
      <c r="BD299" s="62" t="n">
        <f aca="false">BC299*CC299</f>
        <v>28.75</v>
      </c>
      <c r="BE299" s="63" t="n">
        <f aca="false">IF(LEFT(Cockpit!$O$5,1)="A",H299,IF(CI299=1,(CL299+CJ299)/2,IF(LEFT(Cockpit!$O$5,1)="B",(CL299+BG299)/2,MAX((CL299+BG299)/2,H299))))</f>
        <v>17.5</v>
      </c>
      <c r="BF299" s="62" t="n">
        <f aca="false">BE299*G299</f>
        <v>1508.85</v>
      </c>
      <c r="BG299" s="62" t="n">
        <f aca="false">ROUNDUP(CL299+MAX(CM299,2*(J299/IF(CH299&gt;0,CH299,MAX(0.1,N(Cockpit!$O$6)))-CL299)),0)</f>
        <v>31</v>
      </c>
      <c r="BH299" s="63" t="n">
        <f aca="false">IF(BD299&gt;0,J299/BD299,-1)</f>
        <v>2.4</v>
      </c>
      <c r="BI299" s="63" t="n">
        <f aca="false">IF(AND(OR(CG299="L1",CG299="L23",CG299="LIFT"),BD299&gt;0),SUMIFS($BD$7:$BD$1843,$CG$7:$CG$1843,CG299,$BH$7:$BH$1843,"&gt;"&amp;BH299)+SUMIFS($BD$7:$BD$1843,$CG$7:$CG$1843,CG299,$BH$7:$BH$1843,BH299,$BX$7:$BX$1843,"&lt;="&amp;BX299),"")</f>
        <v>5589.59615384615</v>
      </c>
      <c r="BJ299" s="70" t="n">
        <f aca="false">IF(BI299="",0,MAX(0,MIN(1,(IF(CG299="L1",Parameter!$H$5,IF(CG299="L23",Parameter!$H$6+Parameter!$H$7,Parameter!$H$5+Parameter!$H$6+Parameter!$H$7))-(BI299-BD299))/BD299)))</f>
        <v>1</v>
      </c>
      <c r="BK299" s="60" t="str">
        <f aca="false">IF(AJ299&lt;=0,"",IF(CG299="Aussen","Aussenlager",IF(CG299="-","Nicht im Lift",IF(AP299&gt;=1,"Lift",IF(AP299&lt;=0,"Aussenlager","teilweise")))))</f>
        <v>Lift</v>
      </c>
      <c r="BL299" s="60" t="str">
        <f aca="false">IF(AT299&lt;=0,"",IF(CG299="Aussen","Aussenlager",IF(CG299="-","Nicht im Lift",IF(AZ299&gt;=1,"Lift",IF(AZ299&lt;=0,"Aussenlager","teilweise")))))</f>
        <v>Lift</v>
      </c>
      <c r="BM299" s="60" t="str">
        <f aca="false">IF(BD299&lt;=0,"",IF(CG299="Aussen","Aussenlager",IF(CG299="-","Nicht im Lift",IF(BJ299&gt;=1,"Lift",IF(BJ299&lt;=0,"Aussenlager","teilweise")))))</f>
        <v>Lift</v>
      </c>
      <c r="BN299" s="60" t="str">
        <f aca="false">IF(A299="","",IF(BW299=1,"Neu; ","")&amp;IF(AND(BW299=0,BR299&lt;0),"negativer Bestand (Export "&amp;BR299&amp;"); ","")&amp;IF(J299&lt;=0,"Kein Verbrauch; ","")&amp;IF(CR299&gt;0,"Lift "&amp;W299&amp;" lt. Liftbericht (Fach "&amp;X299&amp;" Stk); ",IF(CB299=1,"Gebinde geschätzt ("&amp;T299&amp;"); ",IF(CA299=1,"Lose – Tablare geschätzt; ","")))&amp;IF(H299&gt;AW299,"Überbestand "&amp;ROUND(H299-AW299,0)&amp;" Stk / CHF "&amp;ROUND((H299-AW299)*G299,0)&amp;"; ","")&amp;IF(AND(CI299=1,CJ299&lt;CK299),"MAX &lt; MB+LG; ","")&amp;IF(AND(CQ299&gt;0,CP299*10&gt;CQ299),"zu hoch für Tablar; ","")&amp;IF(AND(BW299=0,OR(CI299=1,AB299&lt;&gt;"",U299&lt;&gt;"",V299&lt;&gt;"",AC299&lt;&gt;"")),"manuell übersteuert; ","")&amp;IF(AND(CA299=0,R299=0),"Gebinde unbekannt / Stellmass fehlt; ","")&amp;IF(AND(CA299=0,N(V299)&lt;=0,N(Q299)&lt;=0),"Menge pro Gebinde fehlt (Ist = 1 Gebinde); ","")&amp;BV299)</f>
        <v/>
      </c>
      <c r="BO299" s="60"/>
      <c r="BP299" s="60"/>
      <c r="BQ299" s="67"/>
      <c r="BR299" s="62" t="n">
        <v>8</v>
      </c>
      <c r="BS299" s="62" t="n">
        <v>14</v>
      </c>
      <c r="BT299" s="61" t="n">
        <v>275.919999999997</v>
      </c>
      <c r="BU299" s="62" t="n">
        <v>69</v>
      </c>
      <c r="BV299" s="60"/>
      <c r="BW299" s="65" t="n">
        <v>0</v>
      </c>
      <c r="BX299" s="65" t="n">
        <v>299</v>
      </c>
      <c r="BY299" s="60" t="str">
        <f aca="false">IF(U299&lt;&gt;"",UPPER(TRIM(U299)),IF(CB299=1,UPPER(VLOOKUP(T299,Parameter!$I$27:$K$29,2,0)),IF(P299="","LOSE",P299)))</f>
        <v>S63</v>
      </c>
      <c r="BZ299" s="62" t="n">
        <f aca="false">IF(BY299="LOSE",1,IF(N(V299)&gt;0,V299,IF(CB299=1,MAX(1,N(VLOOKUP(T299,Parameter!$I$27:$K$29,3,0)),H299,N(N299)),IF(N(Q299)&gt;0,Q299,MAX(1,H299)))))</f>
        <v>33</v>
      </c>
      <c r="CA299" s="65" t="n">
        <f aca="false">IF(BY299="LOSE",1,0)</f>
        <v>0</v>
      </c>
      <c r="CB299" s="65" t="n">
        <f aca="false">IF(AND(U299="",OR(P299="",P299="LOSE"),T299&lt;&gt;"",N(S299)&lt;=0,ISNUMBER(MATCH(T299,Parameter!$I$27:$I$29,0))),1,0)</f>
        <v>0</v>
      </c>
      <c r="CC299" s="65" t="n">
        <f aca="false">IF(CR299&gt;0,INDEX(Parameter!$H$5:$H$7,W299)/INDEX(Parameter!$E$5:$E$7,W299),IF(AND(CA299=0,N(IFERROR(VLOOKUP(BY299,'Gebinde-Kategorie'!$A$5:$N$45,14,0),0))&gt;0),VLOOKUP(BY299,'Gebinde-Kategorie'!$A$5:$N$45,14,0)*10+Parameter!$M$23,Parameter!$M$24))</f>
        <v>345</v>
      </c>
      <c r="CD299" s="60" t="str">
        <f aca="false">IF(AND(Parameter!$B$19="Ja",E299&lt;&gt;"",ISNUMBER(MATCH(E299,Parameter!$I$35:$I$52,0))),VLOOKUP(E299,Parameter!$I$35:$J$52,2,0),IFERROR(VLOOKUP(D299,Parameter!$A$35:$C$64,2,0),"Nein"))</f>
        <v>2+3</v>
      </c>
      <c r="CE299" s="64" t="n">
        <f aca="false">IF(CA299=0,0,IF(N(S299)&gt;0,S299,IFERROR(VLOOKUP(D299,Parameter!$A$35:$C$64,3,0)+0,0)))</f>
        <v>0</v>
      </c>
      <c r="CF299" s="60" t="n">
        <f aca="false">IF(AB299&lt;&gt;"",AB299,AA299)</f>
        <v>3</v>
      </c>
      <c r="CG299" s="60" t="str">
        <f aca="false">IF(OR(CF299=1,CF299=2,CF299=3),IF(Parameter!$E$27="Ja","LIFT",IF(CF299=1,"L1","L23")),IF(CF299="Aussen","Aussen","-"))</f>
        <v>LIFT</v>
      </c>
      <c r="CH299" s="71" t="n">
        <f aca="false">IF(N(AC299)&gt;0,AC299,0)</f>
        <v>0</v>
      </c>
      <c r="CI299" s="65" t="n">
        <f aca="false">IF(ISNUMBER(AF299),1,0)</f>
        <v>0</v>
      </c>
      <c r="CJ299" s="62" t="n">
        <f aca="false">N(AF299)</f>
        <v>0</v>
      </c>
      <c r="CK299" s="62" t="n">
        <f aca="false">N(M299)+N(N299)</f>
        <v>24</v>
      </c>
      <c r="CL299" s="62" t="n">
        <f aca="false">N(M299)</f>
        <v>4</v>
      </c>
      <c r="CM299" s="62" t="n">
        <f aca="false">N(N299)</f>
        <v>20</v>
      </c>
      <c r="CN299" s="62" t="n">
        <f aca="false">ROUNDUP(H299/BZ299,0)</f>
        <v>1</v>
      </c>
      <c r="CO299" s="62" t="n">
        <f aca="false">ROUNDUP(CJ299/BZ299,0)</f>
        <v>0</v>
      </c>
      <c r="CP299" s="65" t="n">
        <f aca="false">IF(CA299=1,0,IFERROR(VLOOKUP(BY299,'Gebinde-Kategorie'!$A$5:$N$45,5,0)+0,0))</f>
        <v>31</v>
      </c>
      <c r="CQ299" s="65" t="n">
        <f aca="false">IFERROR(IF(OR(CF299=1,CF299=2,CF299=3),N(INDEX(Parameter!$I$5:$I$7,CF299)),0),0)</f>
        <v>0</v>
      </c>
      <c r="CR299" s="64" t="n">
        <f aca="false">IF(AND(Parameter!$B$21="Ja",ISNUMBER(W299),N(X299)&gt;0),IFERROR(N(INDEX(Parameter!$L$5:$L$7,W299))*INDEX(Parameter!$E$5:$E$7,W299)*X299/SUMIFS($X$7:$X$1843,$W$7:$W$1843,W299),0),0)</f>
        <v>0</v>
      </c>
      <c r="CS299" s="62" t="n">
        <f aca="false">IF(AND(OR(CG299="L1",CG299="L23",CG299="LIFT"),H299&gt;0),CC299*IF(CR299&gt;0,CR299*MAX(1,H299/X299),IF(CA299=1,CE299,IF(R299&gt;0,CN299/R299,0))/MAX(0.1,N(Parameter!$M$21))),"")</f>
        <v>28.75</v>
      </c>
      <c r="CT299" s="64" t="n">
        <f aca="false">IF(CS299="","",J299/H299)</f>
        <v>3.13636363636364</v>
      </c>
      <c r="CU299" s="62" t="n">
        <f aca="false">IF(CS299="","",H299*G299)</f>
        <v>1896.84</v>
      </c>
      <c r="CV299" s="63" t="n">
        <f aca="false">IF(CS299="","",(CL299+ROUNDUP(CL299+MAX(CM299,2*(J299/MAX(0.1,N(Einkauf!$C$6))-CL299)),0))/2)</f>
        <v>17.5</v>
      </c>
      <c r="CW299" s="62" t="n">
        <f aca="false">IF(CS299="","",MAX(0,H299-CV299)*G299)</f>
        <v>387.99</v>
      </c>
      <c r="CX299" s="62" t="n">
        <f aca="false">IF(CS299="","",CS299*MAX(0,1-CV299/H299))</f>
        <v>5.88068181818182</v>
      </c>
      <c r="CY299" s="64" t="n">
        <f aca="false">IF(CS299="","",PERCENTRANK($CS$7:$CS$1843,CS299)+PERCENTRANK($CU$7:$CU$1843,CU299)+1-PERCENTRANK($CT$7:$CT$1843,CT299))</f>
        <v>1.689</v>
      </c>
      <c r="CZ299" s="72" t="n">
        <f aca="false">IF(CS299="","",CHOOSE(MATCH(Einkauf!$C$5,Parameter!$G$23:$G$27,0),CY299,CS299,CU299,-CT299,CW299)+ROW()/1000000000)</f>
        <v>1.689000299</v>
      </c>
    </row>
    <row r="300" customFormat="false" ht="15" hidden="false" customHeight="false" outlineLevel="0" collapsed="false">
      <c r="A300" s="60" t="s">
        <v>812</v>
      </c>
      <c r="B300" s="60" t="s">
        <v>813</v>
      </c>
      <c r="C300" s="60" t="s">
        <v>206</v>
      </c>
      <c r="D300" s="60" t="s">
        <v>226</v>
      </c>
      <c r="E300" s="60"/>
      <c r="F300" s="60" t="s">
        <v>260</v>
      </c>
      <c r="G300" s="61" t="n">
        <v>22.95</v>
      </c>
      <c r="H300" s="62" t="n">
        <f aca="false">MAX(0,IF(AND(Parameter!$B$21="Ja",ISNUMBER(Y300)),Y300,IF(Parameter!$B$20="Jahresanfang 2025 + Export",BS300+BR300,BR300)))</f>
        <v>12</v>
      </c>
      <c r="I300" s="62" t="n">
        <f aca="false">H300*G300</f>
        <v>275.4</v>
      </c>
      <c r="J300" s="62" t="n">
        <f aca="false">BU300*Parameter!$B$18</f>
        <v>5</v>
      </c>
      <c r="K300" s="63" t="n">
        <v>6</v>
      </c>
      <c r="L300" s="64" t="n">
        <v>0.833333333333333</v>
      </c>
      <c r="M300" s="62" t="n">
        <v>0</v>
      </c>
      <c r="N300" s="62" t="n">
        <v>15</v>
      </c>
      <c r="O300" s="65" t="n">
        <v>14</v>
      </c>
      <c r="P300" s="60" t="s">
        <v>443</v>
      </c>
      <c r="Q300" s="62" t="n">
        <v>15</v>
      </c>
      <c r="R300" s="65" t="n">
        <f aca="false">IF(CA300=1,0,IFERROR(VLOOKUP(BY300,'Gebinde-Kategorie'!$A$5:$N$45,13,0)+0,0))</f>
        <v>280</v>
      </c>
      <c r="S300" s="66"/>
      <c r="T300" s="67"/>
      <c r="U300" s="67"/>
      <c r="V300" s="67"/>
      <c r="W300" s="60"/>
      <c r="X300" s="62"/>
      <c r="Y300" s="62"/>
      <c r="Z300" s="60" t="n">
        <v>1</v>
      </c>
      <c r="AA300" s="60" t="n">
        <f aca="false">IF(A300="","",IF(AND(Parameter!$B$21="Ja",ISNUMBER(W300)),W300,IF(AND(Parameter!$E$27="Ja",ISNUMBER(Z300),CD300&lt;&gt;"Nein"),Z300,IF(CD300="2+3",IF(ISNUMBER(SEARCH("grosser Artikel",BV300)),2,IFERROR(VLOOKUP(BY300,Parameter!$F$35:$G$64,2,0),2)),IF(OR(CD300="Nein",CD300=""),"-",CD300)))))</f>
        <v>1</v>
      </c>
      <c r="AB300" s="67"/>
      <c r="AC300" s="68"/>
      <c r="AD300" s="62" t="n">
        <f aca="false">AW300</f>
        <v>15</v>
      </c>
      <c r="AE300" s="62" t="n">
        <f aca="false">MAX(AW300,H300)</f>
        <v>15</v>
      </c>
      <c r="AF300" s="69"/>
      <c r="AG300" s="62" t="n">
        <f aca="false">IF(LEFT(Cockpit!$C$5,1)="A",H300,IF(Parameter!$E$30="MAX-Bestand",IF(CI300=1,CJ300,IF(LEFT(Cockpit!$C$5,1)="B",AM300,MAX(AM300,H300))),ROUNDUP(AK300,0)))</f>
        <v>12</v>
      </c>
      <c r="AH300" s="62" t="n">
        <f aca="false">IF(CA300=1,0,ROUNDUP(AG300/BZ300,0))</f>
        <v>1</v>
      </c>
      <c r="AI300" s="64" t="n">
        <f aca="false">IF(CR300&gt;0,CR300*MAX(1,AG300/X300),IF(CA300=1,IF(AG300&lt;=0,0,CE300*MAX(1,IF(H300&gt;0,AG300/H300,1))),IF(R300&gt;0,AH300/R300,0))/MAX(0.1,N(Parameter!$M$21)))</f>
        <v>0.00357142857142857</v>
      </c>
      <c r="AJ300" s="62" t="n">
        <f aca="false">AI300*CC300</f>
        <v>0.553571428571429</v>
      </c>
      <c r="AK300" s="63" t="n">
        <f aca="false">IF(LEFT(Cockpit!$C$5,1)="A",H300,IF(CI300=1,(CL300+CJ300)/2,IF(LEFT(Cockpit!$C$5,1)="B",(CL300+AM300)/2,MAX((CL300+AM300)/2,H300))))</f>
        <v>12</v>
      </c>
      <c r="AL300" s="62" t="n">
        <f aca="false">AK300*G300</f>
        <v>275.4</v>
      </c>
      <c r="AM300" s="62" t="n">
        <f aca="false">ROUNDUP(CL300+MAX(CM300,2*(J300/IF(CH300&gt;0,CH300,MAX(0.1,N(Cockpit!$C$6)))-CL300)),0)</f>
        <v>15</v>
      </c>
      <c r="AN300" s="63" t="n">
        <f aca="false">IF(AJ300&gt;0,J300/AJ300,-1)</f>
        <v>9.03225806451613</v>
      </c>
      <c r="AO300" s="63" t="n">
        <f aca="false">IF(AND(OR(CG300="L1",CG300="L23",CG300="LIFT"),AJ300&gt;0),SUMIFS($AJ$7:$AJ$1843,$CG$7:$CG$1843,CG300,$AN$7:$AN$1843,"&gt;"&amp;AN300)+SUMIFS($AJ$7:$AJ$1843,$CG$7:$CG$1843,CG300,$AN$7:$AN$1843,AN300,$BX$7:$BX$1843,"&lt;="&amp;BX300),"")</f>
        <v>2919.67445054945</v>
      </c>
      <c r="AP300" s="70" t="n">
        <f aca="false">IF(AO300="",0,MAX(0,MIN(1,(IF(CG300="L1",Parameter!$H$5,IF(CG300="L23",Parameter!$H$6+Parameter!$H$7,Parameter!$H$5+Parameter!$H$6+Parameter!$H$7))-(AO300-AJ300))/AJ300)))</f>
        <v>1</v>
      </c>
      <c r="AQ300" s="62" t="n">
        <f aca="false">IF(LEFT(Cockpit!$I$5,1)="A",H300,IF(Parameter!$E$30="MAX-Bestand",IF(CI300=1,CJ300,IF(LEFT(Cockpit!$I$5,1)="B",AW300,MAX(AW300,H300))),ROUNDUP(AU300,0)))</f>
        <v>12</v>
      </c>
      <c r="AR300" s="62" t="n">
        <f aca="false">IF(CA300=1,0,ROUNDUP(AQ300/BZ300,0))</f>
        <v>1</v>
      </c>
      <c r="AS300" s="64" t="n">
        <f aca="false">IF(CR300&gt;0,CR300*MAX(1,AQ300/X300),IF(CA300=1,IF(AQ300&lt;=0,0,CE300*MAX(1,IF(H300&gt;0,AQ300/H300,1))),IF(R300&gt;0,AR300/R300,0))/MAX(0.1,N(Parameter!$M$21)))</f>
        <v>0.00357142857142857</v>
      </c>
      <c r="AT300" s="62" t="n">
        <f aca="false">AS300*CC300</f>
        <v>0.553571428571429</v>
      </c>
      <c r="AU300" s="63" t="n">
        <f aca="false">IF(LEFT(Cockpit!$I$5,1)="A",H300,IF(CI300=1,(CL300+CJ300)/2,IF(LEFT(Cockpit!$I$5,1)="B",(CL300+AW300)/2,MAX((CL300+AW300)/2,H300))))</f>
        <v>12</v>
      </c>
      <c r="AV300" s="62" t="n">
        <f aca="false">AU300*G300</f>
        <v>275.4</v>
      </c>
      <c r="AW300" s="62" t="n">
        <f aca="false">ROUNDUP(CL300+MAX(CM300,2*(J300/IF(CH300&gt;0,CH300,MAX(0.1,N(Cockpit!$I$6)))-CL300)),0)</f>
        <v>15</v>
      </c>
      <c r="AX300" s="63" t="n">
        <f aca="false">IF(AT300&gt;0,J300/AT300,-1)</f>
        <v>9.03225806451613</v>
      </c>
      <c r="AY300" s="63" t="n">
        <f aca="false">IF(AND(OR(CG300="L1",CG300="L23",CG300="LIFT"),AT300&gt;0),SUMIFS($AT$7:$AT$1843,$CG$7:$CG$1843,CG300,$AX$7:$AX$1843,"&gt;"&amp;AX300)+SUMIFS($AT$7:$AT$1843,$CG$7:$CG$1843,CG300,$AX$7:$AX$1843,AX300,$BX$7:$BX$1843,"&lt;="&amp;BX300),"")</f>
        <v>3534.66254578755</v>
      </c>
      <c r="AZ300" s="70" t="n">
        <f aca="false">IF(AY300="",0,MAX(0,MIN(1,(IF(CG300="L1",Parameter!$H$5,IF(CG300="L23",Parameter!$H$6+Parameter!$H$7,Parameter!$H$5+Parameter!$H$6+Parameter!$H$7))-(AY300-AT300))/AT300)))</f>
        <v>1</v>
      </c>
      <c r="BA300" s="62" t="n">
        <f aca="false">IF(LEFT(Cockpit!$O$5,1)="A",H300,IF(Parameter!$E$30="MAX-Bestand",IF(CI300=1,CJ300,IF(LEFT(Cockpit!$O$5,1)="B",BG300,MAX(BG300,H300))),ROUNDUP(BE300,0)))</f>
        <v>8</v>
      </c>
      <c r="BB300" s="62" t="n">
        <f aca="false">IF(CA300=1,0,ROUNDUP(BA300/BZ300,0))</f>
        <v>1</v>
      </c>
      <c r="BC300" s="64" t="n">
        <f aca="false">IF(CR300&gt;0,CR300*MAX(1,BA300/X300),IF(CA300=1,IF(BA300&lt;=0,0,CE300*MAX(1,IF(H300&gt;0,BA300/H300,1))),IF(R300&gt;0,BB300/R300,0))/MAX(0.1,N(Parameter!$M$21)))</f>
        <v>0.00357142857142857</v>
      </c>
      <c r="BD300" s="62" t="n">
        <f aca="false">BC300*CC300</f>
        <v>0.553571428571429</v>
      </c>
      <c r="BE300" s="63" t="n">
        <f aca="false">IF(LEFT(Cockpit!$O$5,1)="A",H300,IF(CI300=1,(CL300+CJ300)/2,IF(LEFT(Cockpit!$O$5,1)="B",(CL300+BG300)/2,MAX((CL300+BG300)/2,H300))))</f>
        <v>7.5</v>
      </c>
      <c r="BF300" s="62" t="n">
        <f aca="false">BE300*G300</f>
        <v>172.125</v>
      </c>
      <c r="BG300" s="62" t="n">
        <f aca="false">ROUNDUP(CL300+MAX(CM300,2*(J300/IF(CH300&gt;0,CH300,MAX(0.1,N(Cockpit!$O$6)))-CL300)),0)</f>
        <v>15</v>
      </c>
      <c r="BH300" s="63" t="n">
        <f aca="false">IF(BD300&gt;0,J300/BD300,-1)</f>
        <v>9.03225806451613</v>
      </c>
      <c r="BI300" s="63" t="n">
        <f aca="false">IF(AND(OR(CG300="L1",CG300="L23",CG300="LIFT"),BD300&gt;0),SUMIFS($BD$7:$BD$1843,$CG$7:$CG$1843,CG300,$BH$7:$BH$1843,"&gt;"&amp;BH300)+SUMIFS($BD$7:$BD$1843,$CG$7:$CG$1843,CG300,$BH$7:$BH$1843,BH300,$BX$7:$BX$1843,"&lt;="&amp;BX300),"")</f>
        <v>2878.04075091575</v>
      </c>
      <c r="BJ300" s="70" t="n">
        <f aca="false">IF(BI300="",0,MAX(0,MIN(1,(IF(CG300="L1",Parameter!$H$5,IF(CG300="L23",Parameter!$H$6+Parameter!$H$7,Parameter!$H$5+Parameter!$H$6+Parameter!$H$7))-(BI300-BD300))/BD300)))</f>
        <v>1</v>
      </c>
      <c r="BK300" s="60" t="str">
        <f aca="false">IF(AJ300&lt;=0,"",IF(CG300="Aussen","Aussenlager",IF(CG300="-","Nicht im Lift",IF(AP300&gt;=1,"Lift",IF(AP300&lt;=0,"Aussenlager","teilweise")))))</f>
        <v>Lift</v>
      </c>
      <c r="BL300" s="60" t="str">
        <f aca="false">IF(AT300&lt;=0,"",IF(CG300="Aussen","Aussenlager",IF(CG300="-","Nicht im Lift",IF(AZ300&gt;=1,"Lift",IF(AZ300&lt;=0,"Aussenlager","teilweise")))))</f>
        <v>Lift</v>
      </c>
      <c r="BM300" s="60" t="str">
        <f aca="false">IF(BD300&lt;=0,"",IF(CG300="Aussen","Aussenlager",IF(CG300="-","Nicht im Lift",IF(BJ300&gt;=1,"Lift",IF(BJ300&lt;=0,"Aussenlager","teilweise")))))</f>
        <v>Lift</v>
      </c>
      <c r="BN300" s="60" t="str">
        <f aca="false">IF(A300="","",IF(BW300=1,"Neu; ","")&amp;IF(AND(BW300=0,BR300&lt;0),"negativer Bestand (Export "&amp;BR300&amp;"); ","")&amp;IF(J300&lt;=0,"Kein Verbrauch; ","")&amp;IF(CR300&gt;0,"Lift "&amp;W300&amp;" lt. Liftbericht (Fach "&amp;X300&amp;" Stk); ",IF(CB300=1,"Gebinde geschätzt ("&amp;T300&amp;"); ",IF(CA300=1,"Lose – Tablare geschätzt; ","")))&amp;IF(H300&gt;AW300,"Überbestand "&amp;ROUND(H300-AW300,0)&amp;" Stk / CHF "&amp;ROUND((H300-AW300)*G300,0)&amp;"; ","")&amp;IF(AND(CI300=1,CJ300&lt;CK300),"MAX &lt; MB+LG; ","")&amp;IF(AND(CQ300&gt;0,CP300*10&gt;CQ300),"zu hoch für Tablar; ","")&amp;IF(AND(BW300=0,OR(CI300=1,AB300&lt;&gt;"",U300&lt;&gt;"",V300&lt;&gt;"",AC300&lt;&gt;"")),"manuell übersteuert; ","")&amp;IF(AND(CA300=0,R300=0),"Gebinde unbekannt / Stellmass fehlt; ","")&amp;IF(AND(CA300=0,N(V300)&lt;=0,N(Q300)&lt;=0),"Menge pro Gebinde fehlt (Ist = 1 Gebinde); ","")&amp;BV300)</f>
        <v/>
      </c>
      <c r="BO300" s="60"/>
      <c r="BP300" s="60"/>
      <c r="BQ300" s="67"/>
      <c r="BR300" s="62" t="n">
        <v>12</v>
      </c>
      <c r="BS300" s="62" t="n">
        <v>0</v>
      </c>
      <c r="BT300" s="61" t="n">
        <v>275.4</v>
      </c>
      <c r="BU300" s="62" t="n">
        <v>5</v>
      </c>
      <c r="BV300" s="60"/>
      <c r="BW300" s="65" t="n">
        <v>0</v>
      </c>
      <c r="BX300" s="65" t="n">
        <v>300</v>
      </c>
      <c r="BY300" s="60" t="str">
        <f aca="false">IF(U300&lt;&gt;"",UPPER(TRIM(U300)),IF(CB300=1,UPPER(VLOOKUP(T300,Parameter!$I$27:$K$29,2,0)),IF(P300="","LOSE",P300)))</f>
        <v>S21</v>
      </c>
      <c r="BZ300" s="62" t="n">
        <f aca="false">IF(BY300="LOSE",1,IF(N(V300)&gt;0,V300,IF(CB300=1,MAX(1,N(VLOOKUP(T300,Parameter!$I$27:$K$29,3,0)),H300,N(N300)),IF(N(Q300)&gt;0,Q300,MAX(1,H300)))))</f>
        <v>15</v>
      </c>
      <c r="CA300" s="65" t="n">
        <f aca="false">IF(BY300="LOSE",1,0)</f>
        <v>0</v>
      </c>
      <c r="CB300" s="65" t="n">
        <f aca="false">IF(AND(U300="",OR(P300="",P300="LOSE"),T300&lt;&gt;"",N(S300)&lt;=0,ISNUMBER(MATCH(T300,Parameter!$I$27:$I$29,0))),1,0)</f>
        <v>0</v>
      </c>
      <c r="CC300" s="65" t="n">
        <f aca="false">IF(CR300&gt;0,INDEX(Parameter!$H$5:$H$7,W300)/INDEX(Parameter!$E$5:$E$7,W300),IF(AND(CA300=0,N(IFERROR(VLOOKUP(BY300,'Gebinde-Kategorie'!$A$5:$N$45,14,0),0))&gt;0),VLOOKUP(BY300,'Gebinde-Kategorie'!$A$5:$N$45,14,0)*10+Parameter!$M$23,Parameter!$M$24))</f>
        <v>155</v>
      </c>
      <c r="CD300" s="60" t="str">
        <f aca="false">IF(AND(Parameter!$B$19="Ja",E300&lt;&gt;"",ISNUMBER(MATCH(E300,Parameter!$I$35:$I$52,0))),VLOOKUP(E300,Parameter!$I$35:$J$52,2,0),IFERROR(VLOOKUP(D300,Parameter!$A$35:$C$64,2,0),"Nein"))</f>
        <v>2+3</v>
      </c>
      <c r="CE300" s="64" t="n">
        <f aca="false">IF(CA300=0,0,IF(N(S300)&gt;0,S300,IFERROR(VLOOKUP(D300,Parameter!$A$35:$C$64,3,0)+0,0)))</f>
        <v>0</v>
      </c>
      <c r="CF300" s="60" t="n">
        <f aca="false">IF(AB300&lt;&gt;"",AB300,AA300)</f>
        <v>1</v>
      </c>
      <c r="CG300" s="60" t="str">
        <f aca="false">IF(OR(CF300=1,CF300=2,CF300=3),IF(Parameter!$E$27="Ja","LIFT",IF(CF300=1,"L1","L23")),IF(CF300="Aussen","Aussen","-"))</f>
        <v>LIFT</v>
      </c>
      <c r="CH300" s="71" t="n">
        <f aca="false">IF(N(AC300)&gt;0,AC300,0)</f>
        <v>0</v>
      </c>
      <c r="CI300" s="65" t="n">
        <f aca="false">IF(ISNUMBER(AF300),1,0)</f>
        <v>0</v>
      </c>
      <c r="CJ300" s="62" t="n">
        <f aca="false">N(AF300)</f>
        <v>0</v>
      </c>
      <c r="CK300" s="62" t="n">
        <f aca="false">N(M300)+N(N300)</f>
        <v>15</v>
      </c>
      <c r="CL300" s="62" t="n">
        <f aca="false">N(M300)</f>
        <v>0</v>
      </c>
      <c r="CM300" s="62" t="n">
        <f aca="false">N(N300)</f>
        <v>15</v>
      </c>
      <c r="CN300" s="62" t="n">
        <f aca="false">ROUNDUP(H300/BZ300,0)</f>
        <v>1</v>
      </c>
      <c r="CO300" s="62" t="n">
        <f aca="false">ROUNDUP(CJ300/BZ300,0)</f>
        <v>0</v>
      </c>
      <c r="CP300" s="65" t="n">
        <f aca="false">IF(CA300=1,0,IFERROR(VLOOKUP(BY300,'Gebinde-Kategorie'!$A$5:$N$45,5,0)+0,0))</f>
        <v>8</v>
      </c>
      <c r="CQ300" s="65" t="n">
        <f aca="false">IFERROR(IF(OR(CF300=1,CF300=2,CF300=3),N(INDEX(Parameter!$I$5:$I$7,CF300)),0),0)</f>
        <v>0</v>
      </c>
      <c r="CR300" s="64" t="n">
        <f aca="false">IF(AND(Parameter!$B$21="Ja",ISNUMBER(W300),N(X300)&gt;0),IFERROR(N(INDEX(Parameter!$L$5:$L$7,W300))*INDEX(Parameter!$E$5:$E$7,W300)*X300/SUMIFS($X$7:$X$1843,$W$7:$W$1843,W300),0),0)</f>
        <v>0</v>
      </c>
      <c r="CS300" s="62" t="n">
        <f aca="false">IF(AND(OR(CG300="L1",CG300="L23",CG300="LIFT"),H300&gt;0),CC300*IF(CR300&gt;0,CR300*MAX(1,H300/X300),IF(CA300=1,CE300,IF(R300&gt;0,CN300/R300,0))/MAX(0.1,N(Parameter!$M$21))),"")</f>
        <v>0.553571428571429</v>
      </c>
      <c r="CT300" s="64" t="n">
        <f aca="false">IF(CS300="","",J300/H300)</f>
        <v>0.416666666666667</v>
      </c>
      <c r="CU300" s="62" t="n">
        <f aca="false">IF(CS300="","",H300*G300)</f>
        <v>275.4</v>
      </c>
      <c r="CV300" s="63" t="n">
        <f aca="false">IF(CS300="","",(CL300+ROUNDUP(CL300+MAX(CM300,2*(J300/MAX(0.1,N(Einkauf!$C$6))-CL300)),0))/2)</f>
        <v>7.5</v>
      </c>
      <c r="CW300" s="62" t="n">
        <f aca="false">IF(CS300="","",MAX(0,H300-CV300)*G300)</f>
        <v>103.275</v>
      </c>
      <c r="CX300" s="62" t="n">
        <f aca="false">IF(CS300="","",CS300*MAX(0,1-CV300/H300))</f>
        <v>0.207589285714286</v>
      </c>
      <c r="CY300" s="64" t="n">
        <f aca="false">IF(CS300="","",PERCENTRANK($CS$7:$CS$1843,CS300)+PERCENTRANK($CU$7:$CU$1843,CU300)+1-PERCENTRANK($CT$7:$CT$1843,CT300))</f>
        <v>0.862</v>
      </c>
      <c r="CZ300" s="72" t="n">
        <f aca="false">IF(CS300="","",CHOOSE(MATCH(Einkauf!$C$5,Parameter!$G$23:$G$27,0),CY300,CS300,CU300,-CT300,CW300)+ROW()/1000000000)</f>
        <v>0.8620003</v>
      </c>
    </row>
    <row r="301" customFormat="false" ht="15" hidden="false" customHeight="false" outlineLevel="0" collapsed="false">
      <c r="A301" s="60" t="s">
        <v>814</v>
      </c>
      <c r="B301" s="60" t="s">
        <v>815</v>
      </c>
      <c r="C301" s="60" t="s">
        <v>206</v>
      </c>
      <c r="D301" s="60" t="s">
        <v>226</v>
      </c>
      <c r="E301" s="60" t="s">
        <v>227</v>
      </c>
      <c r="F301" s="60" t="s">
        <v>260</v>
      </c>
      <c r="G301" s="61" t="n">
        <v>40.32</v>
      </c>
      <c r="H301" s="62" t="n">
        <f aca="false">MAX(0,IF(AND(Parameter!$B$21="Ja",ISNUMBER(Y301)),Y301,IF(Parameter!$B$20="Jahresanfang 2025 + Export",BS301+BR301,BR301)))</f>
        <v>16</v>
      </c>
      <c r="I301" s="62" t="n">
        <f aca="false">H301*G301</f>
        <v>645.12</v>
      </c>
      <c r="J301" s="62" t="n">
        <f aca="false">BU301*Parameter!$B$18</f>
        <v>40</v>
      </c>
      <c r="K301" s="63" t="n">
        <v>9</v>
      </c>
      <c r="L301" s="64" t="n">
        <v>4.44444444444445</v>
      </c>
      <c r="M301" s="62" t="n">
        <v>3</v>
      </c>
      <c r="N301" s="62" t="n">
        <v>10</v>
      </c>
      <c r="O301" s="65" t="n">
        <v>35</v>
      </c>
      <c r="P301" s="60" t="s">
        <v>335</v>
      </c>
      <c r="Q301" s="62" t="n">
        <v>48</v>
      </c>
      <c r="R301" s="65" t="n">
        <f aca="false">IF(CA301=1,0,IFERROR(VLOOKUP(BY301,'Gebinde-Kategorie'!$A$5:$N$45,13,0)+0,0))</f>
        <v>12</v>
      </c>
      <c r="S301" s="66"/>
      <c r="T301" s="67"/>
      <c r="U301" s="67"/>
      <c r="V301" s="67"/>
      <c r="W301" s="60"/>
      <c r="X301" s="62"/>
      <c r="Y301" s="62"/>
      <c r="Z301" s="60" t="n">
        <v>3</v>
      </c>
      <c r="AA301" s="60" t="n">
        <f aca="false">IF(A301="","",IF(AND(Parameter!$B$21="Ja",ISNUMBER(W301)),W301,IF(AND(Parameter!$E$27="Ja",ISNUMBER(Z301),CD301&lt;&gt;"Nein"),Z301,IF(CD301="2+3",IF(ISNUMBER(SEARCH("grosser Artikel",BV301)),2,IFERROR(VLOOKUP(BY301,Parameter!$F$35:$G$64,2,0),2)),IF(OR(CD301="Nein",CD301=""),"-",CD301)))))</f>
        <v>3</v>
      </c>
      <c r="AB301" s="67"/>
      <c r="AC301" s="68"/>
      <c r="AD301" s="62" t="n">
        <f aca="false">AW301</f>
        <v>24</v>
      </c>
      <c r="AE301" s="62" t="n">
        <f aca="false">MAX(AW301,H301)</f>
        <v>24</v>
      </c>
      <c r="AF301" s="69"/>
      <c r="AG301" s="62" t="n">
        <f aca="false">IF(LEFT(Cockpit!$C$5,1)="A",H301,IF(Parameter!$E$30="MAX-Bestand",IF(CI301=1,CJ301,IF(LEFT(Cockpit!$C$5,1)="B",AM301,MAX(AM301,H301))),ROUNDUP(AK301,0)))</f>
        <v>16</v>
      </c>
      <c r="AH301" s="62" t="n">
        <f aca="false">IF(CA301=1,0,ROUNDUP(AG301/BZ301,0))</f>
        <v>1</v>
      </c>
      <c r="AI301" s="64" t="n">
        <f aca="false">IF(CR301&gt;0,CR301*MAX(1,AG301/X301),IF(CA301=1,IF(AG301&lt;=0,0,CE301*MAX(1,IF(H301&gt;0,AG301/H301,1))),IF(R301&gt;0,AH301/R301,0))/MAX(0.1,N(Parameter!$M$21)))</f>
        <v>0.0833333333333333</v>
      </c>
      <c r="AJ301" s="62" t="n">
        <f aca="false">AI301*CC301</f>
        <v>20.4166666666667</v>
      </c>
      <c r="AK301" s="63" t="n">
        <f aca="false">IF(LEFT(Cockpit!$C$5,1)="A",H301,IF(CI301=1,(CL301+CJ301)/2,IF(LEFT(Cockpit!$C$5,1)="B",(CL301+AM301)/2,MAX((CL301+AM301)/2,H301))))</f>
        <v>16</v>
      </c>
      <c r="AL301" s="62" t="n">
        <f aca="false">AK301*G301</f>
        <v>645.12</v>
      </c>
      <c r="AM301" s="62" t="n">
        <f aca="false">ROUNDUP(CL301+MAX(CM301,2*(J301/IF(CH301&gt;0,CH301,MAX(0.1,N(Cockpit!$C$6)))-CL301)),0)</f>
        <v>24</v>
      </c>
      <c r="AN301" s="63" t="n">
        <f aca="false">IF(AJ301&gt;0,J301/AJ301,-1)</f>
        <v>1.95918367346939</v>
      </c>
      <c r="AO301" s="63" t="n">
        <f aca="false">IF(AND(OR(CG301="L1",CG301="L23",CG301="LIFT"),AJ301&gt;0),SUMIFS($AJ$7:$AJ$1843,$CG$7:$CG$1843,CG301,$AN$7:$AN$1843,"&gt;"&amp;AN301)+SUMIFS($AJ$7:$AJ$1843,$CG$7:$CG$1843,CG301,$AN$7:$AN$1843,AN301,$BX$7:$BX$1843,"&lt;="&amp;BX301),"")</f>
        <v>5851.50686813187</v>
      </c>
      <c r="AP301" s="70" t="n">
        <f aca="false">IF(AO301="",0,MAX(0,MIN(1,(IF(CG301="L1",Parameter!$H$5,IF(CG301="L23",Parameter!$H$6+Parameter!$H$7,Parameter!$H$5+Parameter!$H$6+Parameter!$H$7))-(AO301-AJ301))/AJ301)))</f>
        <v>1</v>
      </c>
      <c r="AQ301" s="62" t="n">
        <f aca="false">IF(LEFT(Cockpit!$I$5,1)="A",H301,IF(Parameter!$E$30="MAX-Bestand",IF(CI301=1,CJ301,IF(LEFT(Cockpit!$I$5,1)="B",AW301,MAX(AW301,H301))),ROUNDUP(AU301,0)))</f>
        <v>16</v>
      </c>
      <c r="AR301" s="62" t="n">
        <f aca="false">IF(CA301=1,0,ROUNDUP(AQ301/BZ301,0))</f>
        <v>1</v>
      </c>
      <c r="AS301" s="64" t="n">
        <f aca="false">IF(CR301&gt;0,CR301*MAX(1,AQ301/X301),IF(CA301=1,IF(AQ301&lt;=0,0,CE301*MAX(1,IF(H301&gt;0,AQ301/H301,1))),IF(R301&gt;0,AR301/R301,0))/MAX(0.1,N(Parameter!$M$21)))</f>
        <v>0.0833333333333333</v>
      </c>
      <c r="AT301" s="62" t="n">
        <f aca="false">AS301*CC301</f>
        <v>20.4166666666667</v>
      </c>
      <c r="AU301" s="63" t="n">
        <f aca="false">IF(LEFT(Cockpit!$I$5,1)="A",H301,IF(CI301=1,(CL301+CJ301)/2,IF(LEFT(Cockpit!$I$5,1)="B",(CL301+AW301)/2,MAX((CL301+AW301)/2,H301))))</f>
        <v>16</v>
      </c>
      <c r="AV301" s="62" t="n">
        <f aca="false">AU301*G301</f>
        <v>645.12</v>
      </c>
      <c r="AW301" s="62" t="n">
        <f aca="false">ROUNDUP(CL301+MAX(CM301,2*(J301/IF(CH301&gt;0,CH301,MAX(0.1,N(Cockpit!$I$6)))-CL301)),0)</f>
        <v>24</v>
      </c>
      <c r="AX301" s="63" t="n">
        <f aca="false">IF(AT301&gt;0,J301/AT301,-1)</f>
        <v>1.95918367346939</v>
      </c>
      <c r="AY301" s="63" t="n">
        <f aca="false">IF(AND(OR(CG301="L1",CG301="L23",CG301="LIFT"),AT301&gt;0),SUMIFS($AT$7:$AT$1843,$CG$7:$CG$1843,CG301,$AX$7:$AX$1843,"&gt;"&amp;AX301)+SUMIFS($AT$7:$AT$1843,$CG$7:$CG$1843,CG301,$AX$7:$AX$1843,AX301,$BX$7:$BX$1843,"&lt;="&amp;BX301),"")</f>
        <v>7219.44642857143</v>
      </c>
      <c r="AZ301" s="70" t="n">
        <f aca="false">IF(AY301="",0,MAX(0,MIN(1,(IF(CG301="L1",Parameter!$H$5,IF(CG301="L23",Parameter!$H$6+Parameter!$H$7,Parameter!$H$5+Parameter!$H$6+Parameter!$H$7))-(AY301-AT301))/AT301)))</f>
        <v>1</v>
      </c>
      <c r="BA301" s="62" t="n">
        <f aca="false">IF(LEFT(Cockpit!$O$5,1)="A",H301,IF(Parameter!$E$30="MAX-Bestand",IF(CI301=1,CJ301,IF(LEFT(Cockpit!$O$5,1)="B",BG301,MAX(BG301,H301))),ROUNDUP(BE301,0)))</f>
        <v>10</v>
      </c>
      <c r="BB301" s="62" t="n">
        <f aca="false">IF(CA301=1,0,ROUNDUP(BA301/BZ301,0))</f>
        <v>1</v>
      </c>
      <c r="BC301" s="64" t="n">
        <f aca="false">IF(CR301&gt;0,CR301*MAX(1,BA301/X301),IF(CA301=1,IF(BA301&lt;=0,0,CE301*MAX(1,IF(H301&gt;0,BA301/H301,1))),IF(R301&gt;0,BB301/R301,0))/MAX(0.1,N(Parameter!$M$21)))</f>
        <v>0.0833333333333333</v>
      </c>
      <c r="BD301" s="62" t="n">
        <f aca="false">BC301*CC301</f>
        <v>20.4166666666667</v>
      </c>
      <c r="BE301" s="63" t="n">
        <f aca="false">IF(LEFT(Cockpit!$O$5,1)="A",H301,IF(CI301=1,(CL301+CJ301)/2,IF(LEFT(Cockpit!$O$5,1)="B",(CL301+BG301)/2,MAX((CL301+BG301)/2,H301))))</f>
        <v>10</v>
      </c>
      <c r="BF301" s="62" t="n">
        <f aca="false">BE301*G301</f>
        <v>403.2</v>
      </c>
      <c r="BG301" s="62" t="n">
        <f aca="false">ROUNDUP(CL301+MAX(CM301,2*(J301/IF(CH301&gt;0,CH301,MAX(0.1,N(Cockpit!$O$6)))-CL301)),0)</f>
        <v>17</v>
      </c>
      <c r="BH301" s="63" t="n">
        <f aca="false">IF(BD301&gt;0,J301/BD301,-1)</f>
        <v>1.95918367346939</v>
      </c>
      <c r="BI301" s="63" t="n">
        <f aca="false">IF(AND(OR(CG301="L1",CG301="L23",CG301="LIFT"),BD301&gt;0),SUMIFS($BD$7:$BD$1843,$CG$7:$CG$1843,CG301,$BH$7:$BH$1843,"&gt;"&amp;BH301)+SUMIFS($BD$7:$BD$1843,$CG$7:$CG$1843,CG301,$BH$7:$BH$1843,BH301,$BX$7:$BX$1843,"&lt;="&amp;BX301),"")</f>
        <v>5916.80769230769</v>
      </c>
      <c r="BJ301" s="70" t="n">
        <f aca="false">IF(BI301="",0,MAX(0,MIN(1,(IF(CG301="L1",Parameter!$H$5,IF(CG301="L23",Parameter!$H$6+Parameter!$H$7,Parameter!$H$5+Parameter!$H$6+Parameter!$H$7))-(BI301-BD301))/BD301)))</f>
        <v>1</v>
      </c>
      <c r="BK301" s="60" t="str">
        <f aca="false">IF(AJ301&lt;=0,"",IF(CG301="Aussen","Aussenlager",IF(CG301="-","Nicht im Lift",IF(AP301&gt;=1,"Lift",IF(AP301&lt;=0,"Aussenlager","teilweise")))))</f>
        <v>Lift</v>
      </c>
      <c r="BL301" s="60" t="str">
        <f aca="false">IF(AT301&lt;=0,"",IF(CG301="Aussen","Aussenlager",IF(CG301="-","Nicht im Lift",IF(AZ301&gt;=1,"Lift",IF(AZ301&lt;=0,"Aussenlager","teilweise")))))</f>
        <v>Lift</v>
      </c>
      <c r="BM301" s="60" t="str">
        <f aca="false">IF(BD301&lt;=0,"",IF(CG301="Aussen","Aussenlager",IF(CG301="-","Nicht im Lift",IF(BJ301&gt;=1,"Lift",IF(BJ301&lt;=0,"Aussenlager","teilweise")))))</f>
        <v>Lift</v>
      </c>
      <c r="BN301" s="60" t="str">
        <f aca="false">IF(A301="","",IF(BW301=1,"Neu; ","")&amp;IF(AND(BW301=0,BR301&lt;0),"negativer Bestand (Export "&amp;BR301&amp;"); ","")&amp;IF(J301&lt;=0,"Kein Verbrauch; ","")&amp;IF(CR301&gt;0,"Lift "&amp;W301&amp;" lt. Liftbericht (Fach "&amp;X301&amp;" Stk); ",IF(CB301=1,"Gebinde geschätzt ("&amp;T301&amp;"); ",IF(CA301=1,"Lose – Tablare geschätzt; ","")))&amp;IF(H301&gt;AW301,"Überbestand "&amp;ROUND(H301-AW301,0)&amp;" Stk / CHF "&amp;ROUND((H301-AW301)*G301,0)&amp;"; ","")&amp;IF(AND(CI301=1,CJ301&lt;CK301),"MAX &lt; MB+LG; ","")&amp;IF(AND(CQ301&gt;0,CP301*10&gt;CQ301),"zu hoch für Tablar; ","")&amp;IF(AND(BW301=0,OR(CI301=1,AB301&lt;&gt;"",U301&lt;&gt;"",V301&lt;&gt;"",AC301&lt;&gt;"")),"manuell übersteuert; ","")&amp;IF(AND(CA301=0,R301=0),"Gebinde unbekannt / Stellmass fehlt; ","")&amp;IF(AND(CA301=0,N(V301)&lt;=0,N(Q301)&lt;=0),"Menge pro Gebinde fehlt (Ist = 1 Gebinde); ","")&amp;BV301)</f>
        <v/>
      </c>
      <c r="BO301" s="60"/>
      <c r="BP301" s="60"/>
      <c r="BQ301" s="67"/>
      <c r="BR301" s="62" t="n">
        <v>6</v>
      </c>
      <c r="BS301" s="62" t="n">
        <v>10</v>
      </c>
      <c r="BT301" s="61" t="n">
        <v>270.560000000001</v>
      </c>
      <c r="BU301" s="62" t="n">
        <v>40</v>
      </c>
      <c r="BV301" s="60"/>
      <c r="BW301" s="65" t="n">
        <v>0</v>
      </c>
      <c r="BX301" s="65" t="n">
        <v>301</v>
      </c>
      <c r="BY301" s="60" t="str">
        <f aca="false">IF(U301&lt;&gt;"",UPPER(TRIM(U301)),IF(CB301=1,UPPER(VLOOKUP(T301,Parameter!$I$27:$K$29,2,0)),IF(P301="","LOSE",P301)))</f>
        <v>S62</v>
      </c>
      <c r="BZ301" s="62" t="n">
        <f aca="false">IF(BY301="LOSE",1,IF(N(V301)&gt;0,V301,IF(CB301=1,MAX(1,N(VLOOKUP(T301,Parameter!$I$27:$K$29,3,0)),H301,N(N301)),IF(N(Q301)&gt;0,Q301,MAX(1,H301)))))</f>
        <v>48</v>
      </c>
      <c r="CA301" s="65" t="n">
        <f aca="false">IF(BY301="LOSE",1,0)</f>
        <v>0</v>
      </c>
      <c r="CB301" s="65" t="n">
        <f aca="false">IF(AND(U301="",OR(P301="",P301="LOSE"),T301&lt;&gt;"",N(S301)&lt;=0,ISNUMBER(MATCH(T301,Parameter!$I$27:$I$29,0))),1,0)</f>
        <v>0</v>
      </c>
      <c r="CC301" s="65" t="n">
        <f aca="false">IF(CR301&gt;0,INDEX(Parameter!$H$5:$H$7,W301)/INDEX(Parameter!$E$5:$E$7,W301),IF(AND(CA301=0,N(IFERROR(VLOOKUP(BY301,'Gebinde-Kategorie'!$A$5:$N$45,14,0),0))&gt;0),VLOOKUP(BY301,'Gebinde-Kategorie'!$A$5:$N$45,14,0)*10+Parameter!$M$23,Parameter!$M$24))</f>
        <v>245</v>
      </c>
      <c r="CD301" s="60" t="str">
        <f aca="false">IF(AND(Parameter!$B$19="Ja",E301&lt;&gt;"",ISNUMBER(MATCH(E301,Parameter!$I$35:$I$52,0))),VLOOKUP(E301,Parameter!$I$35:$J$52,2,0),IFERROR(VLOOKUP(D301,Parameter!$A$35:$C$64,2,0),"Nein"))</f>
        <v>2+3</v>
      </c>
      <c r="CE301" s="64" t="n">
        <f aca="false">IF(CA301=0,0,IF(N(S301)&gt;0,S301,IFERROR(VLOOKUP(D301,Parameter!$A$35:$C$64,3,0)+0,0)))</f>
        <v>0</v>
      </c>
      <c r="CF301" s="60" t="n">
        <f aca="false">IF(AB301&lt;&gt;"",AB301,AA301)</f>
        <v>3</v>
      </c>
      <c r="CG301" s="60" t="str">
        <f aca="false">IF(OR(CF301=1,CF301=2,CF301=3),IF(Parameter!$E$27="Ja","LIFT",IF(CF301=1,"L1","L23")),IF(CF301="Aussen","Aussen","-"))</f>
        <v>LIFT</v>
      </c>
      <c r="CH301" s="71" t="n">
        <f aca="false">IF(N(AC301)&gt;0,AC301,0)</f>
        <v>0</v>
      </c>
      <c r="CI301" s="65" t="n">
        <f aca="false">IF(ISNUMBER(AF301),1,0)</f>
        <v>0</v>
      </c>
      <c r="CJ301" s="62" t="n">
        <f aca="false">N(AF301)</f>
        <v>0</v>
      </c>
      <c r="CK301" s="62" t="n">
        <f aca="false">N(M301)+N(N301)</f>
        <v>13</v>
      </c>
      <c r="CL301" s="62" t="n">
        <f aca="false">N(M301)</f>
        <v>3</v>
      </c>
      <c r="CM301" s="62" t="n">
        <f aca="false">N(N301)</f>
        <v>10</v>
      </c>
      <c r="CN301" s="62" t="n">
        <f aca="false">ROUNDUP(H301/BZ301,0)</f>
        <v>1</v>
      </c>
      <c r="CO301" s="62" t="n">
        <f aca="false">ROUNDUP(CJ301/BZ301,0)</f>
        <v>0</v>
      </c>
      <c r="CP301" s="65" t="n">
        <f aca="false">IF(CA301=1,0,IFERROR(VLOOKUP(BY301,'Gebinde-Kategorie'!$A$5:$N$45,5,0)+0,0))</f>
        <v>21</v>
      </c>
      <c r="CQ301" s="65" t="n">
        <f aca="false">IFERROR(IF(OR(CF301=1,CF301=2,CF301=3),N(INDEX(Parameter!$I$5:$I$7,CF301)),0),0)</f>
        <v>0</v>
      </c>
      <c r="CR301" s="64" t="n">
        <f aca="false">IF(AND(Parameter!$B$21="Ja",ISNUMBER(W301),N(X301)&gt;0),IFERROR(N(INDEX(Parameter!$L$5:$L$7,W301))*INDEX(Parameter!$E$5:$E$7,W301)*X301/SUMIFS($X$7:$X$1843,$W$7:$W$1843,W301),0),0)</f>
        <v>0</v>
      </c>
      <c r="CS301" s="62" t="n">
        <f aca="false">IF(AND(OR(CG301="L1",CG301="L23",CG301="LIFT"),H301&gt;0),CC301*IF(CR301&gt;0,CR301*MAX(1,H301/X301),IF(CA301=1,CE301,IF(R301&gt;0,CN301/R301,0))/MAX(0.1,N(Parameter!$M$21))),"")</f>
        <v>20.4166666666667</v>
      </c>
      <c r="CT301" s="64" t="n">
        <f aca="false">IF(CS301="","",J301/H301)</f>
        <v>2.5</v>
      </c>
      <c r="CU301" s="62" t="n">
        <f aca="false">IF(CS301="","",H301*G301)</f>
        <v>645.12</v>
      </c>
      <c r="CV301" s="63" t="n">
        <f aca="false">IF(CS301="","",(CL301+ROUNDUP(CL301+MAX(CM301,2*(J301/MAX(0.1,N(Einkauf!$C$6))-CL301)),0))/2)</f>
        <v>10</v>
      </c>
      <c r="CW301" s="62" t="n">
        <f aca="false">IF(CS301="","",MAX(0,H301-CV301)*G301)</f>
        <v>241.92</v>
      </c>
      <c r="CX301" s="62" t="n">
        <f aca="false">IF(CS301="","",CS301*MAX(0,1-CV301/H301))</f>
        <v>7.65625</v>
      </c>
      <c r="CY301" s="64" t="n">
        <f aca="false">IF(CS301="","",PERCENTRANK($CS$7:$CS$1843,CS301)+PERCENTRANK($CU$7:$CU$1843,CU301)+1-PERCENTRANK($CT$7:$CT$1843,CT301))</f>
        <v>1.491</v>
      </c>
      <c r="CZ301" s="72" t="n">
        <f aca="false">IF(CS301="","",CHOOSE(MATCH(Einkauf!$C$5,Parameter!$G$23:$G$27,0),CY301,CS301,CU301,-CT301,CW301)+ROW()/1000000000)</f>
        <v>1.491000301</v>
      </c>
    </row>
    <row r="302" customFormat="false" ht="15" hidden="false" customHeight="false" outlineLevel="0" collapsed="false">
      <c r="A302" s="60" t="s">
        <v>816</v>
      </c>
      <c r="B302" s="60" t="s">
        <v>696</v>
      </c>
      <c r="C302" s="60" t="s">
        <v>206</v>
      </c>
      <c r="D302" s="60" t="s">
        <v>226</v>
      </c>
      <c r="E302" s="60" t="s">
        <v>227</v>
      </c>
      <c r="F302" s="60" t="s">
        <v>260</v>
      </c>
      <c r="G302" s="61" t="n">
        <v>2.7</v>
      </c>
      <c r="H302" s="62" t="n">
        <f aca="false">MAX(0,IF(AND(Parameter!$B$21="Ja",ISNUMBER(Y302)),Y302,IF(Parameter!$B$20="Jahresanfang 2025 + Export",BS302+BR302,BR302)))</f>
        <v>317</v>
      </c>
      <c r="I302" s="62" t="n">
        <f aca="false">H302*G302</f>
        <v>855.9</v>
      </c>
      <c r="J302" s="62" t="n">
        <f aca="false">BU302*Parameter!$B$18</f>
        <v>20</v>
      </c>
      <c r="K302" s="63" t="n">
        <v>268.5</v>
      </c>
      <c r="L302" s="64" t="n">
        <v>0.074487895716946</v>
      </c>
      <c r="M302" s="62" t="n">
        <v>0</v>
      </c>
      <c r="N302" s="62" t="n">
        <v>20</v>
      </c>
      <c r="O302" s="65" t="n">
        <v>14</v>
      </c>
      <c r="P302" s="60" t="s">
        <v>468</v>
      </c>
      <c r="Q302" s="62" t="n">
        <v>235</v>
      </c>
      <c r="R302" s="65" t="n">
        <f aca="false">IF(CA302=1,0,IFERROR(VLOOKUP(BY302,'Gebinde-Kategorie'!$A$5:$N$45,13,0)+0,0))</f>
        <v>140</v>
      </c>
      <c r="S302" s="66"/>
      <c r="T302" s="67"/>
      <c r="U302" s="67"/>
      <c r="V302" s="67"/>
      <c r="W302" s="60"/>
      <c r="X302" s="62"/>
      <c r="Y302" s="62"/>
      <c r="Z302" s="60" t="n">
        <v>1</v>
      </c>
      <c r="AA302" s="60" t="n">
        <f aca="false">IF(A302="","",IF(AND(Parameter!$B$21="Ja",ISNUMBER(W302)),W302,IF(AND(Parameter!$E$27="Ja",ISNUMBER(Z302),CD302&lt;&gt;"Nein"),Z302,IF(CD302="2+3",IF(ISNUMBER(SEARCH("grosser Artikel",BV302)),2,IFERROR(VLOOKUP(BY302,Parameter!$F$35:$G$64,2,0),2)),IF(OR(CD302="Nein",CD302=""),"-",CD302)))))</f>
        <v>1</v>
      </c>
      <c r="AB302" s="67"/>
      <c r="AC302" s="68"/>
      <c r="AD302" s="62" t="n">
        <f aca="false">AW302</f>
        <v>20</v>
      </c>
      <c r="AE302" s="62" t="n">
        <f aca="false">MAX(AW302,H302)</f>
        <v>317</v>
      </c>
      <c r="AF302" s="69"/>
      <c r="AG302" s="62" t="n">
        <f aca="false">IF(LEFT(Cockpit!$C$5,1)="A",H302,IF(Parameter!$E$30="MAX-Bestand",IF(CI302=1,CJ302,IF(LEFT(Cockpit!$C$5,1)="B",AM302,MAX(AM302,H302))),ROUNDUP(AK302,0)))</f>
        <v>317</v>
      </c>
      <c r="AH302" s="62" t="n">
        <f aca="false">IF(CA302=1,0,ROUNDUP(AG302/BZ302,0))</f>
        <v>2</v>
      </c>
      <c r="AI302" s="64" t="n">
        <f aca="false">IF(CR302&gt;0,CR302*MAX(1,AG302/X302),IF(CA302=1,IF(AG302&lt;=0,0,CE302*MAX(1,IF(H302&gt;0,AG302/H302,1))),IF(R302&gt;0,AH302/R302,0))/MAX(0.1,N(Parameter!$M$21)))</f>
        <v>0.0142857142857143</v>
      </c>
      <c r="AJ302" s="62" t="n">
        <f aca="false">AI302*CC302</f>
        <v>2.21428571428571</v>
      </c>
      <c r="AK302" s="63" t="n">
        <f aca="false">IF(LEFT(Cockpit!$C$5,1)="A",H302,IF(CI302=1,(CL302+CJ302)/2,IF(LEFT(Cockpit!$C$5,1)="B",(CL302+AM302)/2,MAX((CL302+AM302)/2,H302))))</f>
        <v>317</v>
      </c>
      <c r="AL302" s="62" t="n">
        <f aca="false">AK302*G302</f>
        <v>855.9</v>
      </c>
      <c r="AM302" s="62" t="n">
        <f aca="false">ROUNDUP(CL302+MAX(CM302,2*(J302/IF(CH302&gt;0,CH302,MAX(0.1,N(Cockpit!$C$6)))-CL302)),0)</f>
        <v>20</v>
      </c>
      <c r="AN302" s="63" t="n">
        <f aca="false">IF(AJ302&gt;0,J302/AJ302,-1)</f>
        <v>9.03225806451613</v>
      </c>
      <c r="AO302" s="63" t="n">
        <f aca="false">IF(AND(OR(CG302="L1",CG302="L23",CG302="LIFT"),AJ302&gt;0),SUMIFS($AJ$7:$AJ$1843,$CG$7:$CG$1843,CG302,$AN$7:$AN$1843,"&gt;"&amp;AN302)+SUMIFS($AJ$7:$AJ$1843,$CG$7:$CG$1843,CG302,$AN$7:$AN$1843,AN302,$BX$7:$BX$1843,"&lt;="&amp;BX302),"")</f>
        <v>2921.88873626374</v>
      </c>
      <c r="AP302" s="70" t="n">
        <f aca="false">IF(AO302="",0,MAX(0,MIN(1,(IF(CG302="L1",Parameter!$H$5,IF(CG302="L23",Parameter!$H$6+Parameter!$H$7,Parameter!$H$5+Parameter!$H$6+Parameter!$H$7))-(AO302-AJ302))/AJ302)))</f>
        <v>1</v>
      </c>
      <c r="AQ302" s="62" t="n">
        <f aca="false">IF(LEFT(Cockpit!$I$5,1)="A",H302,IF(Parameter!$E$30="MAX-Bestand",IF(CI302=1,CJ302,IF(LEFT(Cockpit!$I$5,1)="B",AW302,MAX(AW302,H302))),ROUNDUP(AU302,0)))</f>
        <v>317</v>
      </c>
      <c r="AR302" s="62" t="n">
        <f aca="false">IF(CA302=1,0,ROUNDUP(AQ302/BZ302,0))</f>
        <v>2</v>
      </c>
      <c r="AS302" s="64" t="n">
        <f aca="false">IF(CR302&gt;0,CR302*MAX(1,AQ302/X302),IF(CA302=1,IF(AQ302&lt;=0,0,CE302*MAX(1,IF(H302&gt;0,AQ302/H302,1))),IF(R302&gt;0,AR302/R302,0))/MAX(0.1,N(Parameter!$M$21)))</f>
        <v>0.0142857142857143</v>
      </c>
      <c r="AT302" s="62" t="n">
        <f aca="false">AS302*CC302</f>
        <v>2.21428571428571</v>
      </c>
      <c r="AU302" s="63" t="n">
        <f aca="false">IF(LEFT(Cockpit!$I$5,1)="A",H302,IF(CI302=1,(CL302+CJ302)/2,IF(LEFT(Cockpit!$I$5,1)="B",(CL302+AW302)/2,MAX((CL302+AW302)/2,H302))))</f>
        <v>317</v>
      </c>
      <c r="AV302" s="62" t="n">
        <f aca="false">AU302*G302</f>
        <v>855.9</v>
      </c>
      <c r="AW302" s="62" t="n">
        <f aca="false">ROUNDUP(CL302+MAX(CM302,2*(J302/IF(CH302&gt;0,CH302,MAX(0.1,N(Cockpit!$I$6)))-CL302)),0)</f>
        <v>20</v>
      </c>
      <c r="AX302" s="63" t="n">
        <f aca="false">IF(AT302&gt;0,J302/AT302,-1)</f>
        <v>9.03225806451613</v>
      </c>
      <c r="AY302" s="63" t="n">
        <f aca="false">IF(AND(OR(CG302="L1",CG302="L23",CG302="LIFT"),AT302&gt;0),SUMIFS($AT$7:$AT$1843,$CG$7:$CG$1843,CG302,$AX$7:$AX$1843,"&gt;"&amp;AX302)+SUMIFS($AT$7:$AT$1843,$CG$7:$CG$1843,CG302,$AX$7:$AX$1843,AX302,$BX$7:$BX$1843,"&lt;="&amp;BX302),"")</f>
        <v>3536.87683150183</v>
      </c>
      <c r="AZ302" s="70" t="n">
        <f aca="false">IF(AY302="",0,MAX(0,MIN(1,(IF(CG302="L1",Parameter!$H$5,IF(CG302="L23",Parameter!$H$6+Parameter!$H$7,Parameter!$H$5+Parameter!$H$6+Parameter!$H$7))-(AY302-AT302))/AT302)))</f>
        <v>1</v>
      </c>
      <c r="BA302" s="62" t="n">
        <f aca="false">IF(LEFT(Cockpit!$O$5,1)="A",H302,IF(Parameter!$E$30="MAX-Bestand",IF(CI302=1,CJ302,IF(LEFT(Cockpit!$O$5,1)="B",BG302,MAX(BG302,H302))),ROUNDUP(BE302,0)))</f>
        <v>10</v>
      </c>
      <c r="BB302" s="62" t="n">
        <f aca="false">IF(CA302=1,0,ROUNDUP(BA302/BZ302,0))</f>
        <v>1</v>
      </c>
      <c r="BC302" s="64" t="n">
        <f aca="false">IF(CR302&gt;0,CR302*MAX(1,BA302/X302),IF(CA302=1,IF(BA302&lt;=0,0,CE302*MAX(1,IF(H302&gt;0,BA302/H302,1))),IF(R302&gt;0,BB302/R302,0))/MAX(0.1,N(Parameter!$M$21)))</f>
        <v>0.00714285714285714</v>
      </c>
      <c r="BD302" s="62" t="n">
        <f aca="false">BC302*CC302</f>
        <v>1.10714285714286</v>
      </c>
      <c r="BE302" s="63" t="n">
        <f aca="false">IF(LEFT(Cockpit!$O$5,1)="A",H302,IF(CI302=1,(CL302+CJ302)/2,IF(LEFT(Cockpit!$O$5,1)="B",(CL302+BG302)/2,MAX((CL302+BG302)/2,H302))))</f>
        <v>10</v>
      </c>
      <c r="BF302" s="62" t="n">
        <f aca="false">BE302*G302</f>
        <v>27</v>
      </c>
      <c r="BG302" s="62" t="n">
        <f aca="false">ROUNDUP(CL302+MAX(CM302,2*(J302/IF(CH302&gt;0,CH302,MAX(0.1,N(Cockpit!$O$6)))-CL302)),0)</f>
        <v>20</v>
      </c>
      <c r="BH302" s="63" t="n">
        <f aca="false">IF(BD302&gt;0,J302/BD302,-1)</f>
        <v>18.0645161290323</v>
      </c>
      <c r="BI302" s="63" t="n">
        <f aca="false">IF(AND(OR(CG302="L1",CG302="L23",CG302="LIFT"),BD302&gt;0),SUMIFS($BD$7:$BD$1843,$CG$7:$CG$1843,CG302,$BH$7:$BH$1843,"&gt;"&amp;BH302)+SUMIFS($BD$7:$BD$1843,$CG$7:$CG$1843,CG302,$BH$7:$BH$1843,BH302,$BX$7:$BX$1843,"&lt;="&amp;BX302),"")</f>
        <v>2289.93681318681</v>
      </c>
      <c r="BJ302" s="70" t="n">
        <f aca="false">IF(BI302="",0,MAX(0,MIN(1,(IF(CG302="L1",Parameter!$H$5,IF(CG302="L23",Parameter!$H$6+Parameter!$H$7,Parameter!$H$5+Parameter!$H$6+Parameter!$H$7))-(BI302-BD302))/BD302)))</f>
        <v>1</v>
      </c>
      <c r="BK302" s="60" t="str">
        <f aca="false">IF(AJ302&lt;=0,"",IF(CG302="Aussen","Aussenlager",IF(CG302="-","Nicht im Lift",IF(AP302&gt;=1,"Lift",IF(AP302&lt;=0,"Aussenlager","teilweise")))))</f>
        <v>Lift</v>
      </c>
      <c r="BL302" s="60" t="str">
        <f aca="false">IF(AT302&lt;=0,"",IF(CG302="Aussen","Aussenlager",IF(CG302="-","Nicht im Lift",IF(AZ302&gt;=1,"Lift",IF(AZ302&lt;=0,"Aussenlager","teilweise")))))</f>
        <v>Lift</v>
      </c>
      <c r="BM302" s="60" t="str">
        <f aca="false">IF(BD302&lt;=0,"",IF(CG302="Aussen","Aussenlager",IF(CG302="-","Nicht im Lift",IF(BJ302&gt;=1,"Lift",IF(BJ302&lt;=0,"Aussenlager","teilweise")))))</f>
        <v>Lift</v>
      </c>
      <c r="BN302" s="60" t="str">
        <f aca="false">IF(A302="","",IF(BW302=1,"Neu; ","")&amp;IF(AND(BW302=0,BR302&lt;0),"negativer Bestand (Export "&amp;BR302&amp;"); ","")&amp;IF(J302&lt;=0,"Kein Verbrauch; ","")&amp;IF(CR302&gt;0,"Lift "&amp;W302&amp;" lt. Liftbericht (Fach "&amp;X302&amp;" Stk); ",IF(CB302=1,"Gebinde geschätzt ("&amp;T302&amp;"); ",IF(CA302=1,"Lose – Tablare geschätzt; ","")))&amp;IF(H302&gt;AW302,"Überbestand "&amp;ROUND(H302-AW302,0)&amp;" Stk / CHF "&amp;ROUND((H302-AW302)*G302,0)&amp;"; ","")&amp;IF(AND(CI302=1,CJ302&lt;CK302),"MAX &lt; MB+LG; ","")&amp;IF(AND(CQ302&gt;0,CP302*10&gt;CQ302),"zu hoch für Tablar; ","")&amp;IF(AND(BW302=0,OR(CI302=1,AB302&lt;&gt;"",U302&lt;&gt;"",V302&lt;&gt;"",AC302&lt;&gt;"")),"manuell übersteuert; ","")&amp;IF(AND(CA302=0,R302=0),"Gebinde unbekannt / Stellmass fehlt; ","")&amp;IF(AND(CA302=0,N(V302)&lt;=0,N(Q302)&lt;=0),"Menge pro Gebinde fehlt (Ist = 1 Gebinde); ","")&amp;BV302)</f>
        <v>Überbestand 297 Stk / CHF 802; </v>
      </c>
      <c r="BO302" s="60"/>
      <c r="BP302" s="60"/>
      <c r="BQ302" s="67"/>
      <c r="BR302" s="62" t="n">
        <v>100</v>
      </c>
      <c r="BS302" s="62" t="n">
        <v>217</v>
      </c>
      <c r="BT302" s="61" t="n">
        <v>270</v>
      </c>
      <c r="BU302" s="62" t="n">
        <v>20</v>
      </c>
      <c r="BV302" s="60"/>
      <c r="BW302" s="65" t="n">
        <v>0</v>
      </c>
      <c r="BX302" s="65" t="n">
        <v>302</v>
      </c>
      <c r="BY302" s="60" t="str">
        <f aca="false">IF(U302&lt;&gt;"",UPPER(TRIM(U302)),IF(CB302=1,UPPER(VLOOKUP(T302,Parameter!$I$27:$K$29,2,0)),IF(P302="","LOSE",P302)))</f>
        <v>S22</v>
      </c>
      <c r="BZ302" s="62" t="n">
        <f aca="false">IF(BY302="LOSE",1,IF(N(V302)&gt;0,V302,IF(CB302=1,MAX(1,N(VLOOKUP(T302,Parameter!$I$27:$K$29,3,0)),H302,N(N302)),IF(N(Q302)&gt;0,Q302,MAX(1,H302)))))</f>
        <v>235</v>
      </c>
      <c r="CA302" s="65" t="n">
        <f aca="false">IF(BY302="LOSE",1,0)</f>
        <v>0</v>
      </c>
      <c r="CB302" s="65" t="n">
        <f aca="false">IF(AND(U302="",OR(P302="",P302="LOSE"),T302&lt;&gt;"",N(S302)&lt;=0,ISNUMBER(MATCH(T302,Parameter!$I$27:$I$29,0))),1,0)</f>
        <v>0</v>
      </c>
      <c r="CC302" s="65" t="n">
        <f aca="false">IF(CR302&gt;0,INDEX(Parameter!$H$5:$H$7,W302)/INDEX(Parameter!$E$5:$E$7,W302),IF(AND(CA302=0,N(IFERROR(VLOOKUP(BY302,'Gebinde-Kategorie'!$A$5:$N$45,14,0),0))&gt;0),VLOOKUP(BY302,'Gebinde-Kategorie'!$A$5:$N$45,14,0)*10+Parameter!$M$23,Parameter!$M$24))</f>
        <v>155</v>
      </c>
      <c r="CD302" s="60" t="str">
        <f aca="false">IF(AND(Parameter!$B$19="Ja",E302&lt;&gt;"",ISNUMBER(MATCH(E302,Parameter!$I$35:$I$52,0))),VLOOKUP(E302,Parameter!$I$35:$J$52,2,0),IFERROR(VLOOKUP(D302,Parameter!$A$35:$C$64,2,0),"Nein"))</f>
        <v>2+3</v>
      </c>
      <c r="CE302" s="64" t="n">
        <f aca="false">IF(CA302=0,0,IF(N(S302)&gt;0,S302,IFERROR(VLOOKUP(D302,Parameter!$A$35:$C$64,3,0)+0,0)))</f>
        <v>0</v>
      </c>
      <c r="CF302" s="60" t="n">
        <f aca="false">IF(AB302&lt;&gt;"",AB302,AA302)</f>
        <v>1</v>
      </c>
      <c r="CG302" s="60" t="str">
        <f aca="false">IF(OR(CF302=1,CF302=2,CF302=3),IF(Parameter!$E$27="Ja","LIFT",IF(CF302=1,"L1","L23")),IF(CF302="Aussen","Aussen","-"))</f>
        <v>LIFT</v>
      </c>
      <c r="CH302" s="71" t="n">
        <f aca="false">IF(N(AC302)&gt;0,AC302,0)</f>
        <v>0</v>
      </c>
      <c r="CI302" s="65" t="n">
        <f aca="false">IF(ISNUMBER(AF302),1,0)</f>
        <v>0</v>
      </c>
      <c r="CJ302" s="62" t="n">
        <f aca="false">N(AF302)</f>
        <v>0</v>
      </c>
      <c r="CK302" s="62" t="n">
        <f aca="false">N(M302)+N(N302)</f>
        <v>20</v>
      </c>
      <c r="CL302" s="62" t="n">
        <f aca="false">N(M302)</f>
        <v>0</v>
      </c>
      <c r="CM302" s="62" t="n">
        <f aca="false">N(N302)</f>
        <v>20</v>
      </c>
      <c r="CN302" s="62" t="n">
        <f aca="false">ROUNDUP(H302/BZ302,0)</f>
        <v>2</v>
      </c>
      <c r="CO302" s="62" t="n">
        <f aca="false">ROUNDUP(CJ302/BZ302,0)</f>
        <v>0</v>
      </c>
      <c r="CP302" s="65" t="n">
        <f aca="false">IF(CA302=1,0,IFERROR(VLOOKUP(BY302,'Gebinde-Kategorie'!$A$5:$N$45,5,0)+0,0))</f>
        <v>8</v>
      </c>
      <c r="CQ302" s="65" t="n">
        <f aca="false">IFERROR(IF(OR(CF302=1,CF302=2,CF302=3),N(INDEX(Parameter!$I$5:$I$7,CF302)),0),0)</f>
        <v>0</v>
      </c>
      <c r="CR302" s="64" t="n">
        <f aca="false">IF(AND(Parameter!$B$21="Ja",ISNUMBER(W302),N(X302)&gt;0),IFERROR(N(INDEX(Parameter!$L$5:$L$7,W302))*INDEX(Parameter!$E$5:$E$7,W302)*X302/SUMIFS($X$7:$X$1843,$W$7:$W$1843,W302),0),0)</f>
        <v>0</v>
      </c>
      <c r="CS302" s="62" t="n">
        <f aca="false">IF(AND(OR(CG302="L1",CG302="L23",CG302="LIFT"),H302&gt;0),CC302*IF(CR302&gt;0,CR302*MAX(1,H302/X302),IF(CA302=1,CE302,IF(R302&gt;0,CN302/R302,0))/MAX(0.1,N(Parameter!$M$21))),"")</f>
        <v>2.21428571428571</v>
      </c>
      <c r="CT302" s="64" t="n">
        <f aca="false">IF(CS302="","",J302/H302)</f>
        <v>0.0630914826498423</v>
      </c>
      <c r="CU302" s="62" t="n">
        <f aca="false">IF(CS302="","",H302*G302)</f>
        <v>855.9</v>
      </c>
      <c r="CV302" s="63" t="n">
        <f aca="false">IF(CS302="","",(CL302+ROUNDUP(CL302+MAX(CM302,2*(J302/MAX(0.1,N(Einkauf!$C$6))-CL302)),0))/2)</f>
        <v>10</v>
      </c>
      <c r="CW302" s="62" t="n">
        <f aca="false">IF(CS302="","",MAX(0,H302-CV302)*G302)</f>
        <v>828.9</v>
      </c>
      <c r="CX302" s="62" t="n">
        <f aca="false">IF(CS302="","",CS302*MAX(0,1-CV302/H302))</f>
        <v>2.14443442992339</v>
      </c>
      <c r="CY302" s="64" t="n">
        <f aca="false">IF(CS302="","",PERCENTRANK($CS$7:$CS$1843,CS302)+PERCENTRANK($CU$7:$CU$1843,CU302)+1-PERCENTRANK($CT$7:$CT$1843,CT302))</f>
        <v>1.411</v>
      </c>
      <c r="CZ302" s="72" t="n">
        <f aca="false">IF(CS302="","",CHOOSE(MATCH(Einkauf!$C$5,Parameter!$G$23:$G$27,0),CY302,CS302,CU302,-CT302,CW302)+ROW()/1000000000)</f>
        <v>1.411000302</v>
      </c>
    </row>
    <row r="303" customFormat="false" ht="15" hidden="false" customHeight="false" outlineLevel="0" collapsed="false">
      <c r="A303" s="60" t="s">
        <v>817</v>
      </c>
      <c r="B303" s="60" t="s">
        <v>818</v>
      </c>
      <c r="C303" s="60" t="s">
        <v>206</v>
      </c>
      <c r="D303" s="60" t="s">
        <v>226</v>
      </c>
      <c r="E303" s="60" t="s">
        <v>227</v>
      </c>
      <c r="F303" s="60" t="s">
        <v>260</v>
      </c>
      <c r="G303" s="61" t="n">
        <v>0.79</v>
      </c>
      <c r="H303" s="62" t="n">
        <f aca="false">MAX(0,IF(AND(Parameter!$B$21="Ja",ISNUMBER(Y303)),Y303,IF(Parameter!$B$20="Jahresanfang 2025 + Export",BS303+BR303,BR303)))</f>
        <v>371</v>
      </c>
      <c r="I303" s="62" t="n">
        <f aca="false">H303*G303</f>
        <v>293.09</v>
      </c>
      <c r="J303" s="62" t="n">
        <f aca="false">BU303*Parameter!$B$18</f>
        <v>59</v>
      </c>
      <c r="K303" s="63" t="n">
        <v>115</v>
      </c>
      <c r="L303" s="64" t="n">
        <v>0.51304347826087</v>
      </c>
      <c r="M303" s="62" t="n">
        <v>2</v>
      </c>
      <c r="N303" s="62" t="n">
        <v>60</v>
      </c>
      <c r="O303" s="65" t="n">
        <v>14</v>
      </c>
      <c r="P303" s="60" t="s">
        <v>463</v>
      </c>
      <c r="Q303" s="62" t="n">
        <v>39</v>
      </c>
      <c r="R303" s="65" t="n">
        <f aca="false">IF(CA303=1,0,IFERROR(VLOOKUP(BY303,'Gebinde-Kategorie'!$A$5:$N$45,13,0)+0,0))</f>
        <v>104</v>
      </c>
      <c r="S303" s="66"/>
      <c r="T303" s="67"/>
      <c r="U303" s="67"/>
      <c r="V303" s="67"/>
      <c r="W303" s="60"/>
      <c r="X303" s="62"/>
      <c r="Y303" s="62"/>
      <c r="Z303" s="60" t="n">
        <v>3</v>
      </c>
      <c r="AA303" s="60" t="n">
        <f aca="false">IF(A303="","",IF(AND(Parameter!$B$21="Ja",ISNUMBER(W303)),W303,IF(AND(Parameter!$E$27="Ja",ISNUMBER(Z303),CD303&lt;&gt;"Nein"),Z303,IF(CD303="2+3",IF(ISNUMBER(SEARCH("grosser Artikel",BV303)),2,IFERROR(VLOOKUP(BY303,Parameter!$F$35:$G$64,2,0),2)),IF(OR(CD303="Nein",CD303=""),"-",CD303)))))</f>
        <v>3</v>
      </c>
      <c r="AB303" s="67"/>
      <c r="AC303" s="68"/>
      <c r="AD303" s="62" t="n">
        <f aca="false">AW303</f>
        <v>62</v>
      </c>
      <c r="AE303" s="62" t="n">
        <f aca="false">MAX(AW303,H303)</f>
        <v>371</v>
      </c>
      <c r="AF303" s="69"/>
      <c r="AG303" s="62" t="n">
        <f aca="false">IF(LEFT(Cockpit!$C$5,1)="A",H303,IF(Parameter!$E$30="MAX-Bestand",IF(CI303=1,CJ303,IF(LEFT(Cockpit!$C$5,1)="B",AM303,MAX(AM303,H303))),ROUNDUP(AK303,0)))</f>
        <v>371</v>
      </c>
      <c r="AH303" s="62" t="n">
        <f aca="false">IF(CA303=1,0,ROUNDUP(AG303/BZ303,0))</f>
        <v>10</v>
      </c>
      <c r="AI303" s="64" t="n">
        <f aca="false">IF(CR303&gt;0,CR303*MAX(1,AG303/X303),IF(CA303=1,IF(AG303&lt;=0,0,CE303*MAX(1,IF(H303&gt;0,AG303/H303,1))),IF(R303&gt;0,AH303/R303,0))/MAX(0.1,N(Parameter!$M$21)))</f>
        <v>0.0961538461538462</v>
      </c>
      <c r="AJ303" s="62" t="n">
        <f aca="false">AI303*CC303</f>
        <v>14.9038461538462</v>
      </c>
      <c r="AK303" s="63" t="n">
        <f aca="false">IF(LEFT(Cockpit!$C$5,1)="A",H303,IF(CI303=1,(CL303+CJ303)/2,IF(LEFT(Cockpit!$C$5,1)="B",(CL303+AM303)/2,MAX((CL303+AM303)/2,H303))))</f>
        <v>371</v>
      </c>
      <c r="AL303" s="62" t="n">
        <f aca="false">AK303*G303</f>
        <v>293.09</v>
      </c>
      <c r="AM303" s="62" t="n">
        <f aca="false">ROUNDUP(CL303+MAX(CM303,2*(J303/IF(CH303&gt;0,CH303,MAX(0.1,N(Cockpit!$C$6)))-CL303)),0)</f>
        <v>62</v>
      </c>
      <c r="AN303" s="63" t="n">
        <f aca="false">IF(AJ303&gt;0,J303/AJ303,-1)</f>
        <v>3.95870967741935</v>
      </c>
      <c r="AO303" s="63" t="n">
        <f aca="false">IF(AND(OR(CG303="L1",CG303="L23",CG303="LIFT"),AJ303&gt;0),SUMIFS($AJ$7:$AJ$1843,$CG$7:$CG$1843,CG303,$AN$7:$AN$1843,"&gt;"&amp;AN303)+SUMIFS($AJ$7:$AJ$1843,$CG$7:$CG$1843,CG303,$AN$7:$AN$1843,AN303,$BX$7:$BX$1843,"&lt;="&amp;BX303),"")</f>
        <v>4444.05769230769</v>
      </c>
      <c r="AP303" s="70" t="n">
        <f aca="false">IF(AO303="",0,MAX(0,MIN(1,(IF(CG303="L1",Parameter!$H$5,IF(CG303="L23",Parameter!$H$6+Parameter!$H$7,Parameter!$H$5+Parameter!$H$6+Parameter!$H$7))-(AO303-AJ303))/AJ303)))</f>
        <v>1</v>
      </c>
      <c r="AQ303" s="62" t="n">
        <f aca="false">IF(LEFT(Cockpit!$I$5,1)="A",H303,IF(Parameter!$E$30="MAX-Bestand",IF(CI303=1,CJ303,IF(LEFT(Cockpit!$I$5,1)="B",AW303,MAX(AW303,H303))),ROUNDUP(AU303,0)))</f>
        <v>371</v>
      </c>
      <c r="AR303" s="62" t="n">
        <f aca="false">IF(CA303=1,0,ROUNDUP(AQ303/BZ303,0))</f>
        <v>10</v>
      </c>
      <c r="AS303" s="64" t="n">
        <f aca="false">IF(CR303&gt;0,CR303*MAX(1,AQ303/X303),IF(CA303=1,IF(AQ303&lt;=0,0,CE303*MAX(1,IF(H303&gt;0,AQ303/H303,1))),IF(R303&gt;0,AR303/R303,0))/MAX(0.1,N(Parameter!$M$21)))</f>
        <v>0.0961538461538462</v>
      </c>
      <c r="AT303" s="62" t="n">
        <f aca="false">AS303*CC303</f>
        <v>14.9038461538462</v>
      </c>
      <c r="AU303" s="63" t="n">
        <f aca="false">IF(LEFT(Cockpit!$I$5,1)="A",H303,IF(CI303=1,(CL303+CJ303)/2,IF(LEFT(Cockpit!$I$5,1)="B",(CL303+AW303)/2,MAX((CL303+AW303)/2,H303))))</f>
        <v>371</v>
      </c>
      <c r="AV303" s="62" t="n">
        <f aca="false">AU303*G303</f>
        <v>293.09</v>
      </c>
      <c r="AW303" s="62" t="n">
        <f aca="false">ROUNDUP(CL303+MAX(CM303,2*(J303/IF(CH303&gt;0,CH303,MAX(0.1,N(Cockpit!$I$6)))-CL303)),0)</f>
        <v>62</v>
      </c>
      <c r="AX303" s="63" t="n">
        <f aca="false">IF(AT303&gt;0,J303/AT303,-1)</f>
        <v>3.95870967741935</v>
      </c>
      <c r="AY303" s="63" t="n">
        <f aca="false">IF(AND(OR(CG303="L1",CG303="L23",CG303="LIFT"),AT303&gt;0),SUMIFS($AT$7:$AT$1843,$CG$7:$CG$1843,CG303,$AX$7:$AX$1843,"&gt;"&amp;AX303)+SUMIFS($AT$7:$AT$1843,$CG$7:$CG$1843,CG303,$AX$7:$AX$1843,AX303,$BX$7:$BX$1843,"&lt;="&amp;BX303),"")</f>
        <v>5035.17032967033</v>
      </c>
      <c r="AZ303" s="70" t="n">
        <f aca="false">IF(AY303="",0,MAX(0,MIN(1,(IF(CG303="L1",Parameter!$H$5,IF(CG303="L23",Parameter!$H$6+Parameter!$H$7,Parameter!$H$5+Parameter!$H$6+Parameter!$H$7))-(AY303-AT303))/AT303)))</f>
        <v>1</v>
      </c>
      <c r="BA303" s="62" t="n">
        <f aca="false">IF(LEFT(Cockpit!$O$5,1)="A",H303,IF(Parameter!$E$30="MAX-Bestand",IF(CI303=1,CJ303,IF(LEFT(Cockpit!$O$5,1)="B",BG303,MAX(BG303,H303))),ROUNDUP(BE303,0)))</f>
        <v>32</v>
      </c>
      <c r="BB303" s="62" t="n">
        <f aca="false">IF(CA303=1,0,ROUNDUP(BA303/BZ303,0))</f>
        <v>1</v>
      </c>
      <c r="BC303" s="64" t="n">
        <f aca="false">IF(CR303&gt;0,CR303*MAX(1,BA303/X303),IF(CA303=1,IF(BA303&lt;=0,0,CE303*MAX(1,IF(H303&gt;0,BA303/H303,1))),IF(R303&gt;0,BB303/R303,0))/MAX(0.1,N(Parameter!$M$21)))</f>
        <v>0.00961538461538462</v>
      </c>
      <c r="BD303" s="62" t="n">
        <f aca="false">BC303*CC303</f>
        <v>1.49038461538462</v>
      </c>
      <c r="BE303" s="63" t="n">
        <f aca="false">IF(LEFT(Cockpit!$O$5,1)="A",H303,IF(CI303=1,(CL303+CJ303)/2,IF(LEFT(Cockpit!$O$5,1)="B",(CL303+BG303)/2,MAX((CL303+BG303)/2,H303))))</f>
        <v>32</v>
      </c>
      <c r="BF303" s="62" t="n">
        <f aca="false">BE303*G303</f>
        <v>25.28</v>
      </c>
      <c r="BG303" s="62" t="n">
        <f aca="false">ROUNDUP(CL303+MAX(CM303,2*(J303/IF(CH303&gt;0,CH303,MAX(0.1,N(Cockpit!$O$6)))-CL303)),0)</f>
        <v>62</v>
      </c>
      <c r="BH303" s="63" t="n">
        <f aca="false">IF(BD303&gt;0,J303/BD303,-1)</f>
        <v>39.5870967741936</v>
      </c>
      <c r="BI303" s="63" t="n">
        <f aca="false">IF(AND(OR(CG303="L1",CG303="L23",CG303="LIFT"),BD303&gt;0),SUMIFS($BD$7:$BD$1843,$CG$7:$CG$1843,CG303,$BH$7:$BH$1843,"&gt;"&amp;BH303)+SUMIFS($BD$7:$BD$1843,$CG$7:$CG$1843,CG303,$BH$7:$BH$1843,BH303,$BX$7:$BX$1843,"&lt;="&amp;BX303),"")</f>
        <v>1262.42765567766</v>
      </c>
      <c r="BJ303" s="70" t="n">
        <f aca="false">IF(BI303="",0,MAX(0,MIN(1,(IF(CG303="L1",Parameter!$H$5,IF(CG303="L23",Parameter!$H$6+Parameter!$H$7,Parameter!$H$5+Parameter!$H$6+Parameter!$H$7))-(BI303-BD303))/BD303)))</f>
        <v>1</v>
      </c>
      <c r="BK303" s="60" t="str">
        <f aca="false">IF(AJ303&lt;=0,"",IF(CG303="Aussen","Aussenlager",IF(CG303="-","Nicht im Lift",IF(AP303&gt;=1,"Lift",IF(AP303&lt;=0,"Aussenlager","teilweise")))))</f>
        <v>Lift</v>
      </c>
      <c r="BL303" s="60" t="str">
        <f aca="false">IF(AT303&lt;=0,"",IF(CG303="Aussen","Aussenlager",IF(CG303="-","Nicht im Lift",IF(AZ303&gt;=1,"Lift",IF(AZ303&lt;=0,"Aussenlager","teilweise")))))</f>
        <v>Lift</v>
      </c>
      <c r="BM303" s="60" t="str">
        <f aca="false">IF(BD303&lt;=0,"",IF(CG303="Aussen","Aussenlager",IF(CG303="-","Nicht im Lift",IF(BJ303&gt;=1,"Lift",IF(BJ303&lt;=0,"Aussenlager","teilweise")))))</f>
        <v>Lift</v>
      </c>
      <c r="BN303" s="60" t="str">
        <f aca="false">IF(A303="","",IF(BW303=1,"Neu; ","")&amp;IF(AND(BW303=0,BR303&lt;0),"negativer Bestand (Export "&amp;BR303&amp;"); ","")&amp;IF(J303&lt;=0,"Kein Verbrauch; ","")&amp;IF(CR303&gt;0,"Lift "&amp;W303&amp;" lt. Liftbericht (Fach "&amp;X303&amp;" Stk); ",IF(CB303=1,"Gebinde geschätzt ("&amp;T303&amp;"); ",IF(CA303=1,"Lose – Tablare geschätzt; ","")))&amp;IF(H303&gt;AW303,"Überbestand "&amp;ROUND(H303-AW303,0)&amp;" Stk / CHF "&amp;ROUND((H303-AW303)*G303,0)&amp;"; ","")&amp;IF(AND(CI303=1,CJ303&lt;CK303),"MAX &lt; MB+LG; ","")&amp;IF(AND(CQ303&gt;0,CP303*10&gt;CQ303),"zu hoch für Tablar; ","")&amp;IF(AND(BW303=0,OR(CI303=1,AB303&lt;&gt;"",U303&lt;&gt;"",V303&lt;&gt;"",AC303&lt;&gt;"")),"manuell übersteuert; ","")&amp;IF(AND(CA303=0,R303=0),"Gebinde unbekannt / Stellmass fehlt; ","")&amp;IF(AND(CA303=0,N(V303)&lt;=0,N(Q303)&lt;=0),"Menge pro Gebinde fehlt (Ist = 1 Gebinde); ","")&amp;BV303)</f>
        <v>Überbestand 309 Stk / CHF 244; </v>
      </c>
      <c r="BO303" s="60"/>
      <c r="BP303" s="60"/>
      <c r="BQ303" s="67"/>
      <c r="BR303" s="62" t="n">
        <v>339</v>
      </c>
      <c r="BS303" s="62" t="n">
        <v>32</v>
      </c>
      <c r="BT303" s="61" t="n">
        <v>267.81</v>
      </c>
      <c r="BU303" s="62" t="n">
        <v>59</v>
      </c>
      <c r="BV303" s="60"/>
      <c r="BW303" s="65" t="n">
        <v>0</v>
      </c>
      <c r="BX303" s="65" t="n">
        <v>303</v>
      </c>
      <c r="BY303" s="60" t="str">
        <f aca="false">IF(U303&lt;&gt;"",UPPER(TRIM(U303)),IF(CB303=1,UPPER(VLOOKUP(T303,Parameter!$I$27:$K$29,2,0)),IF(P303="","LOSE",P303)))</f>
        <v>S32</v>
      </c>
      <c r="BZ303" s="62" t="n">
        <f aca="false">IF(BY303="LOSE",1,IF(N(V303)&gt;0,V303,IF(CB303=1,MAX(1,N(VLOOKUP(T303,Parameter!$I$27:$K$29,3,0)),H303,N(N303)),IF(N(Q303)&gt;0,Q303,MAX(1,H303)))))</f>
        <v>39</v>
      </c>
      <c r="CA303" s="65" t="n">
        <f aca="false">IF(BY303="LOSE",1,0)</f>
        <v>0</v>
      </c>
      <c r="CB303" s="65" t="n">
        <f aca="false">IF(AND(U303="",OR(P303="",P303="LOSE"),T303&lt;&gt;"",N(S303)&lt;=0,ISNUMBER(MATCH(T303,Parameter!$I$27:$I$29,0))),1,0)</f>
        <v>0</v>
      </c>
      <c r="CC303" s="65" t="n">
        <f aca="false">IF(CR303&gt;0,INDEX(Parameter!$H$5:$H$7,W303)/INDEX(Parameter!$E$5:$E$7,W303),IF(AND(CA303=0,N(IFERROR(VLOOKUP(BY303,'Gebinde-Kategorie'!$A$5:$N$45,14,0),0))&gt;0),VLOOKUP(BY303,'Gebinde-Kategorie'!$A$5:$N$45,14,0)*10+Parameter!$M$23,Parameter!$M$24))</f>
        <v>155</v>
      </c>
      <c r="CD303" s="60" t="str">
        <f aca="false">IF(AND(Parameter!$B$19="Ja",E303&lt;&gt;"",ISNUMBER(MATCH(E303,Parameter!$I$35:$I$52,0))),VLOOKUP(E303,Parameter!$I$35:$J$52,2,0),IFERROR(VLOOKUP(D303,Parameter!$A$35:$C$64,2,0),"Nein"))</f>
        <v>2+3</v>
      </c>
      <c r="CE303" s="64" t="n">
        <f aca="false">IF(CA303=0,0,IF(N(S303)&gt;0,S303,IFERROR(VLOOKUP(D303,Parameter!$A$35:$C$64,3,0)+0,0)))</f>
        <v>0</v>
      </c>
      <c r="CF303" s="60" t="n">
        <f aca="false">IF(AB303&lt;&gt;"",AB303,AA303)</f>
        <v>3</v>
      </c>
      <c r="CG303" s="60" t="str">
        <f aca="false">IF(OR(CF303=1,CF303=2,CF303=3),IF(Parameter!$E$27="Ja","LIFT",IF(CF303=1,"L1","L23")),IF(CF303="Aussen","Aussen","-"))</f>
        <v>LIFT</v>
      </c>
      <c r="CH303" s="71" t="n">
        <f aca="false">IF(N(AC303)&gt;0,AC303,0)</f>
        <v>0</v>
      </c>
      <c r="CI303" s="65" t="n">
        <f aca="false">IF(ISNUMBER(AF303),1,0)</f>
        <v>0</v>
      </c>
      <c r="CJ303" s="62" t="n">
        <f aca="false">N(AF303)</f>
        <v>0</v>
      </c>
      <c r="CK303" s="62" t="n">
        <f aca="false">N(M303)+N(N303)</f>
        <v>62</v>
      </c>
      <c r="CL303" s="62" t="n">
        <f aca="false">N(M303)</f>
        <v>2</v>
      </c>
      <c r="CM303" s="62" t="n">
        <f aca="false">N(N303)</f>
        <v>60</v>
      </c>
      <c r="CN303" s="62" t="n">
        <f aca="false">ROUNDUP(H303/BZ303,0)</f>
        <v>10</v>
      </c>
      <c r="CO303" s="62" t="n">
        <f aca="false">ROUNDUP(CJ303/BZ303,0)</f>
        <v>0</v>
      </c>
      <c r="CP303" s="65" t="n">
        <f aca="false">IF(CA303=1,0,IFERROR(VLOOKUP(BY303,'Gebinde-Kategorie'!$A$5:$N$45,5,0)+0,0))</f>
        <v>8</v>
      </c>
      <c r="CQ303" s="65" t="n">
        <f aca="false">IFERROR(IF(OR(CF303=1,CF303=2,CF303=3),N(INDEX(Parameter!$I$5:$I$7,CF303)),0),0)</f>
        <v>0</v>
      </c>
      <c r="CR303" s="64" t="n">
        <f aca="false">IF(AND(Parameter!$B$21="Ja",ISNUMBER(W303),N(X303)&gt;0),IFERROR(N(INDEX(Parameter!$L$5:$L$7,W303))*INDEX(Parameter!$E$5:$E$7,W303)*X303/SUMIFS($X$7:$X$1843,$W$7:$W$1843,W303),0),0)</f>
        <v>0</v>
      </c>
      <c r="CS303" s="62" t="n">
        <f aca="false">IF(AND(OR(CG303="L1",CG303="L23",CG303="LIFT"),H303&gt;0),CC303*IF(CR303&gt;0,CR303*MAX(1,H303/X303),IF(CA303=1,CE303,IF(R303&gt;0,CN303/R303,0))/MAX(0.1,N(Parameter!$M$21))),"")</f>
        <v>14.9038461538462</v>
      </c>
      <c r="CT303" s="64" t="n">
        <f aca="false">IF(CS303="","",J303/H303)</f>
        <v>0.159029649595687</v>
      </c>
      <c r="CU303" s="62" t="n">
        <f aca="false">IF(CS303="","",H303*G303)</f>
        <v>293.09</v>
      </c>
      <c r="CV303" s="63" t="n">
        <f aca="false">IF(CS303="","",(CL303+ROUNDUP(CL303+MAX(CM303,2*(J303/MAX(0.1,N(Einkauf!$C$6))-CL303)),0))/2)</f>
        <v>32</v>
      </c>
      <c r="CW303" s="62" t="n">
        <f aca="false">IF(CS303="","",MAX(0,H303-CV303)*G303)</f>
        <v>267.81</v>
      </c>
      <c r="CX303" s="62" t="n">
        <f aca="false">IF(CS303="","",CS303*MAX(0,1-CV303/H303))</f>
        <v>13.6183392079619</v>
      </c>
      <c r="CY303" s="64" t="n">
        <f aca="false">IF(CS303="","",PERCENTRANK($CS$7:$CS$1843,CS303)+PERCENTRANK($CU$7:$CU$1843,CU303)+1-PERCENTRANK($CT$7:$CT$1843,CT303))</f>
        <v>1.71</v>
      </c>
      <c r="CZ303" s="72" t="n">
        <f aca="false">IF(CS303="","",CHOOSE(MATCH(Einkauf!$C$5,Parameter!$G$23:$G$27,0),CY303,CS303,CU303,-CT303,CW303)+ROW()/1000000000)</f>
        <v>1.710000303</v>
      </c>
    </row>
    <row r="304" customFormat="false" ht="15" hidden="false" customHeight="false" outlineLevel="0" collapsed="false">
      <c r="A304" s="60" t="s">
        <v>819</v>
      </c>
      <c r="B304" s="60" t="s">
        <v>531</v>
      </c>
      <c r="C304" s="60" t="s">
        <v>206</v>
      </c>
      <c r="D304" s="60" t="s">
        <v>226</v>
      </c>
      <c r="E304" s="60" t="s">
        <v>227</v>
      </c>
      <c r="F304" s="60" t="s">
        <v>260</v>
      </c>
      <c r="G304" s="61" t="n">
        <v>2.01</v>
      </c>
      <c r="H304" s="62" t="n">
        <f aca="false">MAX(0,IF(AND(Parameter!$B$21="Ja",ISNUMBER(Y304)),Y304,IF(Parameter!$B$20="Jahresanfang 2025 + Export",BS304+BR304,BR304)))</f>
        <v>193</v>
      </c>
      <c r="I304" s="62" t="n">
        <f aca="false">H304*G304</f>
        <v>387.93</v>
      </c>
      <c r="J304" s="62" t="n">
        <f aca="false">BU304*Parameter!$B$18</f>
        <v>172</v>
      </c>
      <c r="K304" s="63" t="n">
        <v>69</v>
      </c>
      <c r="L304" s="64" t="n">
        <v>2.49275362318841</v>
      </c>
      <c r="M304" s="62" t="n">
        <v>6</v>
      </c>
      <c r="N304" s="62" t="n">
        <v>200</v>
      </c>
      <c r="O304" s="65" t="n">
        <v>14</v>
      </c>
      <c r="P304" s="60" t="s">
        <v>518</v>
      </c>
      <c r="Q304" s="62" t="n">
        <v>342</v>
      </c>
      <c r="R304" s="65" t="n">
        <f aca="false">IF(CA304=1,0,IFERROR(VLOOKUP(BY304,'Gebinde-Kategorie'!$A$5:$N$45,13,0)+0,0))</f>
        <v>52</v>
      </c>
      <c r="S304" s="66"/>
      <c r="T304" s="67"/>
      <c r="U304" s="67"/>
      <c r="V304" s="67"/>
      <c r="W304" s="60"/>
      <c r="X304" s="62"/>
      <c r="Y304" s="62"/>
      <c r="Z304" s="60" t="n">
        <v>3</v>
      </c>
      <c r="AA304" s="60" t="n">
        <f aca="false">IF(A304="","",IF(AND(Parameter!$B$21="Ja",ISNUMBER(W304)),W304,IF(AND(Parameter!$E$27="Ja",ISNUMBER(Z304),CD304&lt;&gt;"Nein"),Z304,IF(CD304="2+3",IF(ISNUMBER(SEARCH("grosser Artikel",BV304)),2,IFERROR(VLOOKUP(BY304,Parameter!$F$35:$G$64,2,0),2)),IF(OR(CD304="Nein",CD304=""),"-",CD304)))))</f>
        <v>3</v>
      </c>
      <c r="AB304" s="67"/>
      <c r="AC304" s="68"/>
      <c r="AD304" s="62" t="n">
        <f aca="false">AW304</f>
        <v>206</v>
      </c>
      <c r="AE304" s="62" t="n">
        <f aca="false">MAX(AW304,H304)</f>
        <v>206</v>
      </c>
      <c r="AF304" s="69"/>
      <c r="AG304" s="62" t="n">
        <f aca="false">IF(LEFT(Cockpit!$C$5,1)="A",H304,IF(Parameter!$E$30="MAX-Bestand",IF(CI304=1,CJ304,IF(LEFT(Cockpit!$C$5,1)="B",AM304,MAX(AM304,H304))),ROUNDUP(AK304,0)))</f>
        <v>193</v>
      </c>
      <c r="AH304" s="62" t="n">
        <f aca="false">IF(CA304=1,0,ROUNDUP(AG304/BZ304,0))</f>
        <v>1</v>
      </c>
      <c r="AI304" s="64" t="n">
        <f aca="false">IF(CR304&gt;0,CR304*MAX(1,AG304/X304),IF(CA304=1,IF(AG304&lt;=0,0,CE304*MAX(1,IF(H304&gt;0,AG304/H304,1))),IF(R304&gt;0,AH304/R304,0))/MAX(0.1,N(Parameter!$M$21)))</f>
        <v>0.0192307692307692</v>
      </c>
      <c r="AJ304" s="62" t="n">
        <f aca="false">AI304*CC304</f>
        <v>2.98076923076923</v>
      </c>
      <c r="AK304" s="63" t="n">
        <f aca="false">IF(LEFT(Cockpit!$C$5,1)="A",H304,IF(CI304=1,(CL304+CJ304)/2,IF(LEFT(Cockpit!$C$5,1)="B",(CL304+AM304)/2,MAX((CL304+AM304)/2,H304))))</f>
        <v>193</v>
      </c>
      <c r="AL304" s="62" t="n">
        <f aca="false">AK304*G304</f>
        <v>387.93</v>
      </c>
      <c r="AM304" s="62" t="n">
        <f aca="false">ROUNDUP(CL304+MAX(CM304,2*(J304/IF(CH304&gt;0,CH304,MAX(0.1,N(Cockpit!$C$6)))-CL304)),0)</f>
        <v>206</v>
      </c>
      <c r="AN304" s="63" t="n">
        <f aca="false">IF(AJ304&gt;0,J304/AJ304,-1)</f>
        <v>57.7032258064516</v>
      </c>
      <c r="AO304" s="63" t="n">
        <f aca="false">IF(AND(OR(CG304="L1",CG304="L23",CG304="LIFT"),AJ304&gt;0),SUMIFS($AJ$7:$AJ$1843,$CG$7:$CG$1843,CG304,$AN$7:$AN$1843,"&gt;"&amp;AN304)+SUMIFS($AJ$7:$AJ$1843,$CG$7:$CG$1843,CG304,$AN$7:$AN$1843,AN304,$BX$7:$BX$1843,"&lt;="&amp;BX304),"")</f>
        <v>995.479395604396</v>
      </c>
      <c r="AP304" s="70" t="n">
        <f aca="false">IF(AO304="",0,MAX(0,MIN(1,(IF(CG304="L1",Parameter!$H$5,IF(CG304="L23",Parameter!$H$6+Parameter!$H$7,Parameter!$H$5+Parameter!$H$6+Parameter!$H$7))-(AO304-AJ304))/AJ304)))</f>
        <v>1</v>
      </c>
      <c r="AQ304" s="62" t="n">
        <f aca="false">IF(LEFT(Cockpit!$I$5,1)="A",H304,IF(Parameter!$E$30="MAX-Bestand",IF(CI304=1,CJ304,IF(LEFT(Cockpit!$I$5,1)="B",AW304,MAX(AW304,H304))),ROUNDUP(AU304,0)))</f>
        <v>193</v>
      </c>
      <c r="AR304" s="62" t="n">
        <f aca="false">IF(CA304=1,0,ROUNDUP(AQ304/BZ304,0))</f>
        <v>1</v>
      </c>
      <c r="AS304" s="64" t="n">
        <f aca="false">IF(CR304&gt;0,CR304*MAX(1,AQ304/X304),IF(CA304=1,IF(AQ304&lt;=0,0,CE304*MAX(1,IF(H304&gt;0,AQ304/H304,1))),IF(R304&gt;0,AR304/R304,0))/MAX(0.1,N(Parameter!$M$21)))</f>
        <v>0.0192307692307692</v>
      </c>
      <c r="AT304" s="62" t="n">
        <f aca="false">AS304*CC304</f>
        <v>2.98076923076923</v>
      </c>
      <c r="AU304" s="63" t="n">
        <f aca="false">IF(LEFT(Cockpit!$I$5,1)="A",H304,IF(CI304=1,(CL304+CJ304)/2,IF(LEFT(Cockpit!$I$5,1)="B",(CL304+AW304)/2,MAX((CL304+AW304)/2,H304))))</f>
        <v>193</v>
      </c>
      <c r="AV304" s="62" t="n">
        <f aca="false">AU304*G304</f>
        <v>387.93</v>
      </c>
      <c r="AW304" s="62" t="n">
        <f aca="false">ROUNDUP(CL304+MAX(CM304,2*(J304/IF(CH304&gt;0,CH304,MAX(0.1,N(Cockpit!$I$6)))-CL304)),0)</f>
        <v>206</v>
      </c>
      <c r="AX304" s="63" t="n">
        <f aca="false">IF(AT304&gt;0,J304/AT304,-1)</f>
        <v>57.7032258064516</v>
      </c>
      <c r="AY304" s="63" t="n">
        <f aca="false">IF(AND(OR(CG304="L1",CG304="L23",CG304="LIFT"),AT304&gt;0),SUMIFS($AT$7:$AT$1843,$CG$7:$CG$1843,CG304,$AX$7:$AX$1843,"&gt;"&amp;AX304)+SUMIFS($AT$7:$AT$1843,$CG$7:$CG$1843,CG304,$AX$7:$AX$1843,AX304,$BX$7:$BX$1843,"&lt;="&amp;BX304),"")</f>
        <v>1197.86126373626</v>
      </c>
      <c r="AZ304" s="70" t="n">
        <f aca="false">IF(AY304="",0,MAX(0,MIN(1,(IF(CG304="L1",Parameter!$H$5,IF(CG304="L23",Parameter!$H$6+Parameter!$H$7,Parameter!$H$5+Parameter!$H$6+Parameter!$H$7))-(AY304-AT304))/AT304)))</f>
        <v>1</v>
      </c>
      <c r="BA304" s="62" t="n">
        <f aca="false">IF(LEFT(Cockpit!$O$5,1)="A",H304,IF(Parameter!$E$30="MAX-Bestand",IF(CI304=1,CJ304,IF(LEFT(Cockpit!$O$5,1)="B",BG304,MAX(BG304,H304))),ROUNDUP(BE304,0)))</f>
        <v>106</v>
      </c>
      <c r="BB304" s="62" t="n">
        <f aca="false">IF(CA304=1,0,ROUNDUP(BA304/BZ304,0))</f>
        <v>1</v>
      </c>
      <c r="BC304" s="64" t="n">
        <f aca="false">IF(CR304&gt;0,CR304*MAX(1,BA304/X304),IF(CA304=1,IF(BA304&lt;=0,0,CE304*MAX(1,IF(H304&gt;0,BA304/H304,1))),IF(R304&gt;0,BB304/R304,0))/MAX(0.1,N(Parameter!$M$21)))</f>
        <v>0.0192307692307692</v>
      </c>
      <c r="BD304" s="62" t="n">
        <f aca="false">BC304*CC304</f>
        <v>2.98076923076923</v>
      </c>
      <c r="BE304" s="63" t="n">
        <f aca="false">IF(LEFT(Cockpit!$O$5,1)="A",H304,IF(CI304=1,(CL304+CJ304)/2,IF(LEFT(Cockpit!$O$5,1)="B",(CL304+BG304)/2,MAX((CL304+BG304)/2,H304))))</f>
        <v>106</v>
      </c>
      <c r="BF304" s="62" t="n">
        <f aca="false">BE304*G304</f>
        <v>213.06</v>
      </c>
      <c r="BG304" s="62" t="n">
        <f aca="false">ROUNDUP(CL304+MAX(CM304,2*(J304/IF(CH304&gt;0,CH304,MAX(0.1,N(Cockpit!$O$6)))-CL304)),0)</f>
        <v>206</v>
      </c>
      <c r="BH304" s="63" t="n">
        <f aca="false">IF(BD304&gt;0,J304/BD304,-1)</f>
        <v>57.7032258064516</v>
      </c>
      <c r="BI304" s="63" t="n">
        <f aca="false">IF(AND(OR(CG304="L1",CG304="L23",CG304="LIFT"),BD304&gt;0),SUMIFS($BD$7:$BD$1843,$CG$7:$CG$1843,CG304,$BH$7:$BH$1843,"&gt;"&amp;BH304)+SUMIFS($BD$7:$BD$1843,$CG$7:$CG$1843,CG304,$BH$7:$BH$1843,BH304,$BX$7:$BX$1843,"&lt;="&amp;BX304),"")</f>
        <v>1121.06135531136</v>
      </c>
      <c r="BJ304" s="70" t="n">
        <f aca="false">IF(BI304="",0,MAX(0,MIN(1,(IF(CG304="L1",Parameter!$H$5,IF(CG304="L23",Parameter!$H$6+Parameter!$H$7,Parameter!$H$5+Parameter!$H$6+Parameter!$H$7))-(BI304-BD304))/BD304)))</f>
        <v>1</v>
      </c>
      <c r="BK304" s="60" t="str">
        <f aca="false">IF(AJ304&lt;=0,"",IF(CG304="Aussen","Aussenlager",IF(CG304="-","Nicht im Lift",IF(AP304&gt;=1,"Lift",IF(AP304&lt;=0,"Aussenlager","teilweise")))))</f>
        <v>Lift</v>
      </c>
      <c r="BL304" s="60" t="str">
        <f aca="false">IF(AT304&lt;=0,"",IF(CG304="Aussen","Aussenlager",IF(CG304="-","Nicht im Lift",IF(AZ304&gt;=1,"Lift",IF(AZ304&lt;=0,"Aussenlager","teilweise")))))</f>
        <v>Lift</v>
      </c>
      <c r="BM304" s="60" t="str">
        <f aca="false">IF(BD304&lt;=0,"",IF(CG304="Aussen","Aussenlager",IF(CG304="-","Nicht im Lift",IF(BJ304&gt;=1,"Lift",IF(BJ304&lt;=0,"Aussenlager","teilweise")))))</f>
        <v>Lift</v>
      </c>
      <c r="BN304" s="60" t="str">
        <f aca="false">IF(A304="","",IF(BW304=1,"Neu; ","")&amp;IF(AND(BW304=0,BR304&lt;0),"negativer Bestand (Export "&amp;BR304&amp;"); ","")&amp;IF(J304&lt;=0,"Kein Verbrauch; ","")&amp;IF(CR304&gt;0,"Lift "&amp;W304&amp;" lt. Liftbericht (Fach "&amp;X304&amp;" Stk); ",IF(CB304=1,"Gebinde geschätzt ("&amp;T304&amp;"); ",IF(CA304=1,"Lose – Tablare geschätzt; ","")))&amp;IF(H304&gt;AW304,"Überbestand "&amp;ROUND(H304-AW304,0)&amp;" Stk / CHF "&amp;ROUND((H304-AW304)*G304,0)&amp;"; ","")&amp;IF(AND(CI304=1,CJ304&lt;CK304),"MAX &lt; MB+LG; ","")&amp;IF(AND(CQ304&gt;0,CP304*10&gt;CQ304),"zu hoch für Tablar; ","")&amp;IF(AND(BW304=0,OR(CI304=1,AB304&lt;&gt;"",U304&lt;&gt;"",V304&lt;&gt;"",AC304&lt;&gt;"")),"manuell übersteuert; ","")&amp;IF(AND(CA304=0,R304=0),"Gebinde unbekannt / Stellmass fehlt; ","")&amp;IF(AND(CA304=0,N(V304)&lt;=0,N(Q304)&lt;=0),"Menge pro Gebinde fehlt (Ist = 1 Gebinde); ","")&amp;BV304)</f>
        <v/>
      </c>
      <c r="BO304" s="60"/>
      <c r="BP304" s="60"/>
      <c r="BQ304" s="67"/>
      <c r="BR304" s="62" t="n">
        <v>136</v>
      </c>
      <c r="BS304" s="62" t="n">
        <v>57</v>
      </c>
      <c r="BT304" s="61" t="n">
        <v>267.48</v>
      </c>
      <c r="BU304" s="62" t="n">
        <v>172</v>
      </c>
      <c r="BV304" s="60"/>
      <c r="BW304" s="65" t="n">
        <v>0</v>
      </c>
      <c r="BX304" s="65" t="n">
        <v>304</v>
      </c>
      <c r="BY304" s="60" t="str">
        <f aca="false">IF(U304&lt;&gt;"",UPPER(TRIM(U304)),IF(CB304=1,UPPER(VLOOKUP(T304,Parameter!$I$27:$K$29,2,0)),IF(P304="","LOSE",P304)))</f>
        <v>S33</v>
      </c>
      <c r="BZ304" s="62" t="n">
        <f aca="false">IF(BY304="LOSE",1,IF(N(V304)&gt;0,V304,IF(CB304=1,MAX(1,N(VLOOKUP(T304,Parameter!$I$27:$K$29,3,0)),H304,N(N304)),IF(N(Q304)&gt;0,Q304,MAX(1,H304)))))</f>
        <v>342</v>
      </c>
      <c r="CA304" s="65" t="n">
        <f aca="false">IF(BY304="LOSE",1,0)</f>
        <v>0</v>
      </c>
      <c r="CB304" s="65" t="n">
        <f aca="false">IF(AND(U304="",OR(P304="",P304="LOSE"),T304&lt;&gt;"",N(S304)&lt;=0,ISNUMBER(MATCH(T304,Parameter!$I$27:$I$29,0))),1,0)</f>
        <v>0</v>
      </c>
      <c r="CC304" s="65" t="n">
        <f aca="false">IF(CR304&gt;0,INDEX(Parameter!$H$5:$H$7,W304)/INDEX(Parameter!$E$5:$E$7,W304),IF(AND(CA304=0,N(IFERROR(VLOOKUP(BY304,'Gebinde-Kategorie'!$A$5:$N$45,14,0),0))&gt;0),VLOOKUP(BY304,'Gebinde-Kategorie'!$A$5:$N$45,14,0)*10+Parameter!$M$23,Parameter!$M$24))</f>
        <v>155</v>
      </c>
      <c r="CD304" s="60" t="str">
        <f aca="false">IF(AND(Parameter!$B$19="Ja",E304&lt;&gt;"",ISNUMBER(MATCH(E304,Parameter!$I$35:$I$52,0))),VLOOKUP(E304,Parameter!$I$35:$J$52,2,0),IFERROR(VLOOKUP(D304,Parameter!$A$35:$C$64,2,0),"Nein"))</f>
        <v>2+3</v>
      </c>
      <c r="CE304" s="64" t="n">
        <f aca="false">IF(CA304=0,0,IF(N(S304)&gt;0,S304,IFERROR(VLOOKUP(D304,Parameter!$A$35:$C$64,3,0)+0,0)))</f>
        <v>0</v>
      </c>
      <c r="CF304" s="60" t="n">
        <f aca="false">IF(AB304&lt;&gt;"",AB304,AA304)</f>
        <v>3</v>
      </c>
      <c r="CG304" s="60" t="str">
        <f aca="false">IF(OR(CF304=1,CF304=2,CF304=3),IF(Parameter!$E$27="Ja","LIFT",IF(CF304=1,"L1","L23")),IF(CF304="Aussen","Aussen","-"))</f>
        <v>LIFT</v>
      </c>
      <c r="CH304" s="71" t="n">
        <f aca="false">IF(N(AC304)&gt;0,AC304,0)</f>
        <v>0</v>
      </c>
      <c r="CI304" s="65" t="n">
        <f aca="false">IF(ISNUMBER(AF304),1,0)</f>
        <v>0</v>
      </c>
      <c r="CJ304" s="62" t="n">
        <f aca="false">N(AF304)</f>
        <v>0</v>
      </c>
      <c r="CK304" s="62" t="n">
        <f aca="false">N(M304)+N(N304)</f>
        <v>206</v>
      </c>
      <c r="CL304" s="62" t="n">
        <f aca="false">N(M304)</f>
        <v>6</v>
      </c>
      <c r="CM304" s="62" t="n">
        <f aca="false">N(N304)</f>
        <v>200</v>
      </c>
      <c r="CN304" s="62" t="n">
        <f aca="false">ROUNDUP(H304/BZ304,0)</f>
        <v>1</v>
      </c>
      <c r="CO304" s="62" t="n">
        <f aca="false">ROUNDUP(CJ304/BZ304,0)</f>
        <v>0</v>
      </c>
      <c r="CP304" s="65" t="n">
        <f aca="false">IF(CA304=1,0,IFERROR(VLOOKUP(BY304,'Gebinde-Kategorie'!$A$5:$N$45,5,0)+0,0))</f>
        <v>8</v>
      </c>
      <c r="CQ304" s="65" t="n">
        <f aca="false">IFERROR(IF(OR(CF304=1,CF304=2,CF304=3),N(INDEX(Parameter!$I$5:$I$7,CF304)),0),0)</f>
        <v>0</v>
      </c>
      <c r="CR304" s="64" t="n">
        <f aca="false">IF(AND(Parameter!$B$21="Ja",ISNUMBER(W304),N(X304)&gt;0),IFERROR(N(INDEX(Parameter!$L$5:$L$7,W304))*INDEX(Parameter!$E$5:$E$7,W304)*X304/SUMIFS($X$7:$X$1843,$W$7:$W$1843,W304),0),0)</f>
        <v>0</v>
      </c>
      <c r="CS304" s="62" t="n">
        <f aca="false">IF(AND(OR(CG304="L1",CG304="L23",CG304="LIFT"),H304&gt;0),CC304*IF(CR304&gt;0,CR304*MAX(1,H304/X304),IF(CA304=1,CE304,IF(R304&gt;0,CN304/R304,0))/MAX(0.1,N(Parameter!$M$21))),"")</f>
        <v>2.98076923076923</v>
      </c>
      <c r="CT304" s="64" t="n">
        <f aca="false">IF(CS304="","",J304/H304)</f>
        <v>0.89119170984456</v>
      </c>
      <c r="CU304" s="62" t="n">
        <f aca="false">IF(CS304="","",H304*G304)</f>
        <v>387.93</v>
      </c>
      <c r="CV304" s="63" t="n">
        <f aca="false">IF(CS304="","",(CL304+ROUNDUP(CL304+MAX(CM304,2*(J304/MAX(0.1,N(Einkauf!$C$6))-CL304)),0))/2)</f>
        <v>106</v>
      </c>
      <c r="CW304" s="62" t="n">
        <f aca="false">IF(CS304="","",MAX(0,H304-CV304)*G304)</f>
        <v>174.87</v>
      </c>
      <c r="CX304" s="62" t="n">
        <f aca="false">IF(CS304="","",CS304*MAX(0,1-CV304/H304))</f>
        <v>1.34366281387007</v>
      </c>
      <c r="CY304" s="64" t="n">
        <f aca="false">IF(CS304="","",PERCENTRANK($CS$7:$CS$1843,CS304)+PERCENTRANK($CU$7:$CU$1843,CU304)+1-PERCENTRANK($CT$7:$CT$1843,CT304))</f>
        <v>1.068</v>
      </c>
      <c r="CZ304" s="72" t="n">
        <f aca="false">IF(CS304="","",CHOOSE(MATCH(Einkauf!$C$5,Parameter!$G$23:$G$27,0),CY304,CS304,CU304,-CT304,CW304)+ROW()/1000000000)</f>
        <v>1.068000304</v>
      </c>
    </row>
    <row r="305" customFormat="false" ht="15" hidden="false" customHeight="false" outlineLevel="0" collapsed="false">
      <c r="A305" s="60" t="s">
        <v>820</v>
      </c>
      <c r="B305" s="60" t="s">
        <v>821</v>
      </c>
      <c r="C305" s="60" t="s">
        <v>206</v>
      </c>
      <c r="D305" s="60" t="s">
        <v>226</v>
      </c>
      <c r="E305" s="60"/>
      <c r="F305" s="60" t="s">
        <v>260</v>
      </c>
      <c r="G305" s="61" t="n">
        <v>17.67</v>
      </c>
      <c r="H305" s="62" t="n">
        <f aca="false">MAX(0,IF(AND(Parameter!$B$21="Ja",ISNUMBER(Y305)),Y305,IF(Parameter!$B$20="Jahresanfang 2025 + Export",BS305+BR305,BR305)))</f>
        <v>15</v>
      </c>
      <c r="I305" s="62" t="n">
        <f aca="false">H305*G305</f>
        <v>265.05</v>
      </c>
      <c r="J305" s="62" t="n">
        <f aca="false">BU305*Parameter!$B$18</f>
        <v>0</v>
      </c>
      <c r="K305" s="63" t="n">
        <v>0</v>
      </c>
      <c r="L305" s="64" t="n">
        <v>0</v>
      </c>
      <c r="M305" s="62" t="n">
        <v>0</v>
      </c>
      <c r="N305" s="62" t="n">
        <v>1</v>
      </c>
      <c r="O305" s="65" t="n">
        <v>9999</v>
      </c>
      <c r="P305" s="60" t="s">
        <v>210</v>
      </c>
      <c r="Q305" s="62"/>
      <c r="R305" s="65" t="n">
        <f aca="false">IF(CA305=1,0,IFERROR(VLOOKUP(BY305,'Gebinde-Kategorie'!$A$5:$N$45,13,0)+0,0))</f>
        <v>12</v>
      </c>
      <c r="S305" s="66"/>
      <c r="T305" s="67" t="s">
        <v>221</v>
      </c>
      <c r="U305" s="67"/>
      <c r="V305" s="67"/>
      <c r="W305" s="60"/>
      <c r="X305" s="62"/>
      <c r="Y305" s="62"/>
      <c r="Z305" s="60" t="n">
        <v>3</v>
      </c>
      <c r="AA305" s="60" t="n">
        <f aca="false">IF(A305="","",IF(AND(Parameter!$B$21="Ja",ISNUMBER(W305)),W305,IF(AND(Parameter!$E$27="Ja",ISNUMBER(Z305),CD305&lt;&gt;"Nein"),Z305,IF(CD305="2+3",IF(ISNUMBER(SEARCH("grosser Artikel",BV305)),2,IFERROR(VLOOKUP(BY305,Parameter!$F$35:$G$64,2,0),2)),IF(OR(CD305="Nein",CD305=""),"-",CD305)))))</f>
        <v>3</v>
      </c>
      <c r="AB305" s="67"/>
      <c r="AC305" s="68"/>
      <c r="AD305" s="62" t="n">
        <f aca="false">AW305</f>
        <v>1</v>
      </c>
      <c r="AE305" s="62" t="n">
        <f aca="false">MAX(AW305,H305)</f>
        <v>15</v>
      </c>
      <c r="AF305" s="69"/>
      <c r="AG305" s="62" t="n">
        <f aca="false">IF(LEFT(Cockpit!$C$5,1)="A",H305,IF(Parameter!$E$30="MAX-Bestand",IF(CI305=1,CJ305,IF(LEFT(Cockpit!$C$5,1)="B",AM305,MAX(AM305,H305))),ROUNDUP(AK305,0)))</f>
        <v>15</v>
      </c>
      <c r="AH305" s="62" t="n">
        <f aca="false">IF(CA305=1,0,ROUNDUP(AG305/BZ305,0))</f>
        <v>1</v>
      </c>
      <c r="AI305" s="64" t="n">
        <f aca="false">IF(CR305&gt;0,CR305*MAX(1,AG305/X305),IF(CA305=1,IF(AG305&lt;=0,0,CE305*MAX(1,IF(H305&gt;0,AG305/H305,1))),IF(R305&gt;0,AH305/R305,0))/MAX(0.1,N(Parameter!$M$21)))</f>
        <v>0.0833333333333333</v>
      </c>
      <c r="AJ305" s="62" t="n">
        <f aca="false">AI305*CC305</f>
        <v>12.0833333333333</v>
      </c>
      <c r="AK305" s="63" t="n">
        <f aca="false">IF(LEFT(Cockpit!$C$5,1)="A",H305,IF(CI305=1,(CL305+CJ305)/2,IF(LEFT(Cockpit!$C$5,1)="B",(CL305+AM305)/2,MAX((CL305+AM305)/2,H305))))</f>
        <v>15</v>
      </c>
      <c r="AL305" s="62" t="n">
        <f aca="false">AK305*G305</f>
        <v>265.05</v>
      </c>
      <c r="AM305" s="62" t="n">
        <f aca="false">ROUNDUP(CL305+MAX(CM305,2*(J305/IF(CH305&gt;0,CH305,MAX(0.1,N(Cockpit!$C$6)))-CL305)),0)</f>
        <v>1</v>
      </c>
      <c r="AN305" s="63" t="n">
        <f aca="false">IF(AJ305&gt;0,J305/AJ305,-1)</f>
        <v>0</v>
      </c>
      <c r="AO305" s="63" t="n">
        <f aca="false">IF(AND(OR(CG305="L1",CG305="L23",CG305="LIFT"),AJ305&gt;0),SUMIFS($AJ$7:$AJ$1843,$CG$7:$CG$1843,CG305,$AN$7:$AN$1843,"&gt;"&amp;AN305)+SUMIFS($AJ$7:$AJ$1843,$CG$7:$CG$1843,CG305,$AN$7:$AN$1843,AN305,$BX$7:$BX$1843,"&lt;="&amp;BX305),"")</f>
        <v>27876.694765216</v>
      </c>
      <c r="AP305" s="70" t="n">
        <f aca="false">IF(AO305="",0,MAX(0,MIN(1,(IF(CG305="L1",Parameter!$H$5,IF(CG305="L23",Parameter!$H$6+Parameter!$H$7,Parameter!$H$5+Parameter!$H$6+Parameter!$H$7))-(AO305-AJ305))/AJ305)))</f>
        <v>1</v>
      </c>
      <c r="AQ305" s="62" t="n">
        <f aca="false">IF(LEFT(Cockpit!$I$5,1)="A",H305,IF(Parameter!$E$30="MAX-Bestand",IF(CI305=1,CJ305,IF(LEFT(Cockpit!$I$5,1)="B",AW305,MAX(AW305,H305))),ROUNDUP(AU305,0)))</f>
        <v>15</v>
      </c>
      <c r="AR305" s="62" t="n">
        <f aca="false">IF(CA305=1,0,ROUNDUP(AQ305/BZ305,0))</f>
        <v>1</v>
      </c>
      <c r="AS305" s="64" t="n">
        <f aca="false">IF(CR305&gt;0,CR305*MAX(1,AQ305/X305),IF(CA305=1,IF(AQ305&lt;=0,0,CE305*MAX(1,IF(H305&gt;0,AQ305/H305,1))),IF(R305&gt;0,AR305/R305,0))/MAX(0.1,N(Parameter!$M$21)))</f>
        <v>0.0833333333333333</v>
      </c>
      <c r="AT305" s="62" t="n">
        <f aca="false">AS305*CC305</f>
        <v>12.0833333333333</v>
      </c>
      <c r="AU305" s="63" t="n">
        <f aca="false">IF(LEFT(Cockpit!$I$5,1)="A",H305,IF(CI305=1,(CL305+CJ305)/2,IF(LEFT(Cockpit!$I$5,1)="B",(CL305+AW305)/2,MAX((CL305+AW305)/2,H305))))</f>
        <v>15</v>
      </c>
      <c r="AV305" s="62" t="n">
        <f aca="false">AU305*G305</f>
        <v>265.05</v>
      </c>
      <c r="AW305" s="62" t="n">
        <f aca="false">ROUNDUP(CL305+MAX(CM305,2*(J305/IF(CH305&gt;0,CH305,MAX(0.1,N(Cockpit!$I$6)))-CL305)),0)</f>
        <v>1</v>
      </c>
      <c r="AX305" s="63" t="n">
        <f aca="false">IF(AT305&gt;0,J305/AT305,-1)</f>
        <v>0</v>
      </c>
      <c r="AY305" s="63" t="n">
        <f aca="false">IF(AND(OR(CG305="L1",CG305="L23",CG305="LIFT"),AT305&gt;0),SUMIFS($AT$7:$AT$1843,$CG$7:$CG$1843,CG305,$AX$7:$AX$1843,"&gt;"&amp;AX305)+SUMIFS($AT$7:$AT$1843,$CG$7:$CG$1843,CG305,$AX$7:$AX$1843,AX305,$BX$7:$BX$1843,"&lt;="&amp;BX305),"")</f>
        <v>33229.8434065934</v>
      </c>
      <c r="AZ305" s="70" t="n">
        <f aca="false">IF(AY305="",0,MAX(0,MIN(1,(IF(CG305="L1",Parameter!$H$5,IF(CG305="L23",Parameter!$H$6+Parameter!$H$7,Parameter!$H$5+Parameter!$H$6+Parameter!$H$7))-(AY305-AT305))/AT305)))</f>
        <v>1</v>
      </c>
      <c r="BA305" s="62" t="n">
        <f aca="false">IF(LEFT(Cockpit!$O$5,1)="A",H305,IF(Parameter!$E$30="MAX-Bestand",IF(CI305=1,CJ305,IF(LEFT(Cockpit!$O$5,1)="B",BG305,MAX(BG305,H305))),ROUNDUP(BE305,0)))</f>
        <v>1</v>
      </c>
      <c r="BB305" s="62" t="n">
        <f aca="false">IF(CA305=1,0,ROUNDUP(BA305/BZ305,0))</f>
        <v>1</v>
      </c>
      <c r="BC305" s="64" t="n">
        <f aca="false">IF(CR305&gt;0,CR305*MAX(1,BA305/X305),IF(CA305=1,IF(BA305&lt;=0,0,CE305*MAX(1,IF(H305&gt;0,BA305/H305,1))),IF(R305&gt;0,BB305/R305,0))/MAX(0.1,N(Parameter!$M$21)))</f>
        <v>0.0833333333333333</v>
      </c>
      <c r="BD305" s="62" t="n">
        <f aca="false">BC305*CC305</f>
        <v>12.0833333333333</v>
      </c>
      <c r="BE305" s="63" t="n">
        <f aca="false">IF(LEFT(Cockpit!$O$5,1)="A",H305,IF(CI305=1,(CL305+CJ305)/2,IF(LEFT(Cockpit!$O$5,1)="B",(CL305+BG305)/2,MAX((CL305+BG305)/2,H305))))</f>
        <v>0.5</v>
      </c>
      <c r="BF305" s="62" t="n">
        <f aca="false">BE305*G305</f>
        <v>8.835</v>
      </c>
      <c r="BG305" s="62" t="n">
        <f aca="false">ROUNDUP(CL305+MAX(CM305,2*(J305/IF(CH305&gt;0,CH305,MAX(0.1,N(Cockpit!$O$6)))-CL305)),0)</f>
        <v>1</v>
      </c>
      <c r="BH305" s="63" t="n">
        <f aca="false">IF(BD305&gt;0,J305/BD305,-1)</f>
        <v>0</v>
      </c>
      <c r="BI305" s="63" t="n">
        <f aca="false">IF(AND(OR(CG305="L1",CG305="L23",CG305="LIFT"),BD305&gt;0),SUMIFS($BD$7:$BD$1843,$CG$7:$CG$1843,CG305,$BH$7:$BH$1843,"&gt;"&amp;BH305)+SUMIFS($BD$7:$BD$1843,$CG$7:$CG$1843,CG305,$BH$7:$BH$1843,BH305,$BX$7:$BX$1843,"&lt;="&amp;BX305),"")</f>
        <v>27355.3034550196</v>
      </c>
      <c r="BJ305" s="70" t="n">
        <f aca="false">IF(BI305="",0,MAX(0,MIN(1,(IF(CG305="L1",Parameter!$H$5,IF(CG305="L23",Parameter!$H$6+Parameter!$H$7,Parameter!$H$5+Parameter!$H$6+Parameter!$H$7))-(BI305-BD305))/BD305)))</f>
        <v>1</v>
      </c>
      <c r="BK305" s="60" t="str">
        <f aca="false">IF(AJ305&lt;=0,"",IF(CG305="Aussen","Aussenlager",IF(CG305="-","Nicht im Lift",IF(AP305&gt;=1,"Lift",IF(AP305&lt;=0,"Aussenlager","teilweise")))))</f>
        <v>Lift</v>
      </c>
      <c r="BL305" s="60" t="str">
        <f aca="false">IF(AT305&lt;=0,"",IF(CG305="Aussen","Aussenlager",IF(CG305="-","Nicht im Lift",IF(AZ305&gt;=1,"Lift",IF(AZ305&lt;=0,"Aussenlager","teilweise")))))</f>
        <v>Lift</v>
      </c>
      <c r="BM305" s="60" t="str">
        <f aca="false">IF(BD305&lt;=0,"",IF(CG305="Aussen","Aussenlager",IF(CG305="-","Nicht im Lift",IF(BJ305&gt;=1,"Lift",IF(BJ305&lt;=0,"Aussenlager","teilweise")))))</f>
        <v>Lift</v>
      </c>
      <c r="BN305" s="60" t="str">
        <f aca="false">IF(A305="","",IF(BW305=1,"Neu; ","")&amp;IF(AND(BW305=0,BR305&lt;0),"negativer Bestand (Export "&amp;BR305&amp;"); ","")&amp;IF(J305&lt;=0,"Kein Verbrauch; ","")&amp;IF(CR305&gt;0,"Lift "&amp;W305&amp;" lt. Liftbericht (Fach "&amp;X305&amp;" Stk); ",IF(CB305=1,"Gebinde geschätzt ("&amp;T305&amp;"); ",IF(CA305=1,"Lose – Tablare geschätzt; ","")))&amp;IF(H305&gt;AW305,"Überbestand "&amp;ROUND(H305-AW305,0)&amp;" Stk / CHF "&amp;ROUND((H305-AW305)*G305,0)&amp;"; ","")&amp;IF(AND(CI305=1,CJ305&lt;CK305),"MAX &lt; MB+LG; ","")&amp;IF(AND(CQ305&gt;0,CP305*10&gt;CQ305),"zu hoch für Tablar; ","")&amp;IF(AND(BW305=0,OR(CI305=1,AB305&lt;&gt;"",U305&lt;&gt;"",V305&lt;&gt;"",AC305&lt;&gt;"")),"manuell übersteuert; ","")&amp;IF(AND(CA305=0,R305=0),"Gebinde unbekannt / Stellmass fehlt; ","")&amp;IF(AND(CA305=0,N(V305)&lt;=0,N(Q305)&lt;=0),"Menge pro Gebinde fehlt (Ist = 1 Gebinde); ","")&amp;BV305)</f>
        <v>Kein Verbrauch; Gebinde geschätzt (Mittel); Überbestand 14 Stk / CHF 247; Menge pro Gebinde fehlt (Ist = 1 Gebinde); </v>
      </c>
      <c r="BO305" s="60"/>
      <c r="BP305" s="60"/>
      <c r="BQ305" s="67"/>
      <c r="BR305" s="62" t="n">
        <v>15</v>
      </c>
      <c r="BS305" s="62" t="n">
        <v>0</v>
      </c>
      <c r="BT305" s="61" t="n">
        <v>265.05</v>
      </c>
      <c r="BU305" s="62" t="n">
        <v>0</v>
      </c>
      <c r="BV305" s="60"/>
      <c r="BW305" s="65" t="n">
        <v>0</v>
      </c>
      <c r="BX305" s="65" t="n">
        <v>305</v>
      </c>
      <c r="BY305" s="60" t="str">
        <f aca="false">IF(U305&lt;&gt;"",UPPER(TRIM(U305)),IF(CB305=1,UPPER(VLOOKUP(T305,Parameter!$I$27:$K$29,2,0)),IF(P305="","LOSE",P305)))</f>
        <v>S61</v>
      </c>
      <c r="BZ305" s="62" t="n">
        <f aca="false">IF(BY305="LOSE",1,IF(N(V305)&gt;0,V305,IF(CB305=1,MAX(1,N(VLOOKUP(T305,Parameter!$I$27:$K$29,3,0)),H305,N(N305)),IF(N(Q305)&gt;0,Q305,MAX(1,H305)))))</f>
        <v>15</v>
      </c>
      <c r="CA305" s="65" t="n">
        <f aca="false">IF(BY305="LOSE",1,0)</f>
        <v>0</v>
      </c>
      <c r="CB305" s="65" t="n">
        <f aca="false">IF(AND(U305="",OR(P305="",P305="LOSE"),T305&lt;&gt;"",N(S305)&lt;=0,ISNUMBER(MATCH(T305,Parameter!$I$27:$I$29,0))),1,0)</f>
        <v>1</v>
      </c>
      <c r="CC305" s="65" t="n">
        <f aca="false">IF(CR305&gt;0,INDEX(Parameter!$H$5:$H$7,W305)/INDEX(Parameter!$E$5:$E$7,W305),IF(AND(CA305=0,N(IFERROR(VLOOKUP(BY305,'Gebinde-Kategorie'!$A$5:$N$45,14,0),0))&gt;0),VLOOKUP(BY305,'Gebinde-Kategorie'!$A$5:$N$45,14,0)*10+Parameter!$M$23,Parameter!$M$24))</f>
        <v>145</v>
      </c>
      <c r="CD305" s="60" t="str">
        <f aca="false">IF(AND(Parameter!$B$19="Ja",E305&lt;&gt;"",ISNUMBER(MATCH(E305,Parameter!$I$35:$I$52,0))),VLOOKUP(E305,Parameter!$I$35:$J$52,2,0),IFERROR(VLOOKUP(D305,Parameter!$A$35:$C$64,2,0),"Nein"))</f>
        <v>2+3</v>
      </c>
      <c r="CE305" s="64" t="n">
        <f aca="false">IF(CA305=0,0,IF(N(S305)&gt;0,S305,IFERROR(VLOOKUP(D305,Parameter!$A$35:$C$64,3,0)+0,0)))</f>
        <v>0</v>
      </c>
      <c r="CF305" s="60" t="n">
        <f aca="false">IF(AB305&lt;&gt;"",AB305,AA305)</f>
        <v>3</v>
      </c>
      <c r="CG305" s="60" t="str">
        <f aca="false">IF(OR(CF305=1,CF305=2,CF305=3),IF(Parameter!$E$27="Ja","LIFT",IF(CF305=1,"L1","L23")),IF(CF305="Aussen","Aussen","-"))</f>
        <v>LIFT</v>
      </c>
      <c r="CH305" s="71" t="n">
        <f aca="false">IF(N(AC305)&gt;0,AC305,0)</f>
        <v>0</v>
      </c>
      <c r="CI305" s="65" t="n">
        <f aca="false">IF(ISNUMBER(AF305),1,0)</f>
        <v>0</v>
      </c>
      <c r="CJ305" s="62" t="n">
        <f aca="false">N(AF305)</f>
        <v>0</v>
      </c>
      <c r="CK305" s="62" t="n">
        <f aca="false">N(M305)+N(N305)</f>
        <v>1</v>
      </c>
      <c r="CL305" s="62" t="n">
        <f aca="false">N(M305)</f>
        <v>0</v>
      </c>
      <c r="CM305" s="62" t="n">
        <f aca="false">N(N305)</f>
        <v>1</v>
      </c>
      <c r="CN305" s="62" t="n">
        <f aca="false">ROUNDUP(H305/BZ305,0)</f>
        <v>1</v>
      </c>
      <c r="CO305" s="62" t="n">
        <f aca="false">ROUNDUP(CJ305/BZ305,0)</f>
        <v>0</v>
      </c>
      <c r="CP305" s="65" t="n">
        <f aca="false">IF(CA305=1,0,IFERROR(VLOOKUP(BY305,'Gebinde-Kategorie'!$A$5:$N$45,5,0)+0,0))</f>
        <v>11</v>
      </c>
      <c r="CQ305" s="65" t="n">
        <f aca="false">IFERROR(IF(OR(CF305=1,CF305=2,CF305=3),N(INDEX(Parameter!$I$5:$I$7,CF305)),0),0)</f>
        <v>0</v>
      </c>
      <c r="CR305" s="64" t="n">
        <f aca="false">IF(AND(Parameter!$B$21="Ja",ISNUMBER(W305),N(X305)&gt;0),IFERROR(N(INDEX(Parameter!$L$5:$L$7,W305))*INDEX(Parameter!$E$5:$E$7,W305)*X305/SUMIFS($X$7:$X$1843,$W$7:$W$1843,W305),0),0)</f>
        <v>0</v>
      </c>
      <c r="CS305" s="62" t="n">
        <f aca="false">IF(AND(OR(CG305="L1",CG305="L23",CG305="LIFT"),H305&gt;0),CC305*IF(CR305&gt;0,CR305*MAX(1,H305/X305),IF(CA305=1,CE305,IF(R305&gt;0,CN305/R305,0))/MAX(0.1,N(Parameter!$M$21))),"")</f>
        <v>12.0833333333333</v>
      </c>
      <c r="CT305" s="64" t="n">
        <f aca="false">IF(CS305="","",J305/H305)</f>
        <v>0</v>
      </c>
      <c r="CU305" s="62" t="n">
        <f aca="false">IF(CS305="","",H305*G305)</f>
        <v>265.05</v>
      </c>
      <c r="CV305" s="63" t="n">
        <f aca="false">IF(CS305="","",(CL305+ROUNDUP(CL305+MAX(CM305,2*(J305/MAX(0.1,N(Einkauf!$C$6))-CL305)),0))/2)</f>
        <v>0.5</v>
      </c>
      <c r="CW305" s="62" t="n">
        <f aca="false">IF(CS305="","",MAX(0,H305-CV305)*G305)</f>
        <v>256.215</v>
      </c>
      <c r="CX305" s="62" t="n">
        <f aca="false">IF(CS305="","",CS305*MAX(0,1-CV305/H305))</f>
        <v>11.6805555555556</v>
      </c>
      <c r="CY305" s="64" t="n">
        <f aca="false">IF(CS305="","",PERCENTRANK($CS$7:$CS$1843,CS305)+PERCENTRANK($CU$7:$CU$1843,CU305)+1-PERCENTRANK($CT$7:$CT$1843,CT305))</f>
        <v>2.048</v>
      </c>
      <c r="CZ305" s="72" t="n">
        <f aca="false">IF(CS305="","",CHOOSE(MATCH(Einkauf!$C$5,Parameter!$G$23:$G$27,0),CY305,CS305,CU305,-CT305,CW305)+ROW()/1000000000)</f>
        <v>2.048000305</v>
      </c>
    </row>
    <row r="306" customFormat="false" ht="15" hidden="false" customHeight="false" outlineLevel="0" collapsed="false">
      <c r="A306" s="60" t="s">
        <v>822</v>
      </c>
      <c r="B306" s="60" t="s">
        <v>510</v>
      </c>
      <c r="C306" s="60" t="s">
        <v>206</v>
      </c>
      <c r="D306" s="60" t="s">
        <v>226</v>
      </c>
      <c r="E306" s="60" t="s">
        <v>227</v>
      </c>
      <c r="F306" s="60" t="s">
        <v>260</v>
      </c>
      <c r="G306" s="61" t="n">
        <v>0.64</v>
      </c>
      <c r="H306" s="62" t="n">
        <f aca="false">MAX(0,IF(AND(Parameter!$B$21="Ja",ISNUMBER(Y306)),Y306,IF(Parameter!$B$20="Jahresanfang 2025 + Export",BS306+BR306,BR306)))</f>
        <v>2817</v>
      </c>
      <c r="I306" s="62" t="n">
        <f aca="false">H306*G306</f>
        <v>1802.88</v>
      </c>
      <c r="J306" s="62" t="n">
        <f aca="false">BU306*Parameter!$B$18</f>
        <v>2222</v>
      </c>
      <c r="K306" s="63" t="n">
        <v>2692</v>
      </c>
      <c r="L306" s="64" t="n">
        <v>0.825408618127786</v>
      </c>
      <c r="M306" s="62" t="n">
        <v>518</v>
      </c>
      <c r="N306" s="62" t="n">
        <v>2500</v>
      </c>
      <c r="O306" s="65" t="n">
        <v>84</v>
      </c>
      <c r="P306" s="60" t="s">
        <v>268</v>
      </c>
      <c r="Q306" s="62" t="n">
        <v>1500</v>
      </c>
      <c r="R306" s="65" t="n">
        <f aca="false">IF(CA306=1,0,IFERROR(VLOOKUP(BY306,'Gebinde-Kategorie'!$A$5:$N$45,13,0)+0,0))</f>
        <v>12</v>
      </c>
      <c r="S306" s="66"/>
      <c r="T306" s="67"/>
      <c r="U306" s="67"/>
      <c r="V306" s="67"/>
      <c r="W306" s="60"/>
      <c r="X306" s="62"/>
      <c r="Y306" s="62"/>
      <c r="Z306" s="60" t="n">
        <v>3</v>
      </c>
      <c r="AA306" s="60" t="n">
        <f aca="false">IF(A306="","",IF(AND(Parameter!$B$21="Ja",ISNUMBER(W306)),W306,IF(AND(Parameter!$E$27="Ja",ISNUMBER(Z306),CD306&lt;&gt;"Nein"),Z306,IF(CD306="2+3",IF(ISNUMBER(SEARCH("grosser Artikel",BV306)),2,IFERROR(VLOOKUP(BY306,Parameter!$F$35:$G$64,2,0),2)),IF(OR(CD306="Nein",CD306=""),"-",CD306)))))</f>
        <v>3</v>
      </c>
      <c r="AB306" s="67"/>
      <c r="AC306" s="68"/>
      <c r="AD306" s="62" t="n">
        <f aca="false">AW306</f>
        <v>3018</v>
      </c>
      <c r="AE306" s="62" t="n">
        <f aca="false">MAX(AW306,H306)</f>
        <v>3018</v>
      </c>
      <c r="AF306" s="69"/>
      <c r="AG306" s="62" t="n">
        <f aca="false">IF(LEFT(Cockpit!$C$5,1)="A",H306,IF(Parameter!$E$30="MAX-Bestand",IF(CI306=1,CJ306,IF(LEFT(Cockpit!$C$5,1)="B",AM306,MAX(AM306,H306))),ROUNDUP(AK306,0)))</f>
        <v>2817</v>
      </c>
      <c r="AH306" s="62" t="n">
        <f aca="false">IF(CA306=1,0,ROUNDUP(AG306/BZ306,0))</f>
        <v>2</v>
      </c>
      <c r="AI306" s="64" t="n">
        <f aca="false">IF(CR306&gt;0,CR306*MAX(1,AG306/X306),IF(CA306=1,IF(AG306&lt;=0,0,CE306*MAX(1,IF(H306&gt;0,AG306/H306,1))),IF(R306&gt;0,AH306/R306,0))/MAX(0.1,N(Parameter!$M$21)))</f>
        <v>0.166666666666667</v>
      </c>
      <c r="AJ306" s="62" t="n">
        <f aca="false">AI306*CC306</f>
        <v>57.5</v>
      </c>
      <c r="AK306" s="63" t="n">
        <f aca="false">IF(LEFT(Cockpit!$C$5,1)="A",H306,IF(CI306=1,(CL306+CJ306)/2,IF(LEFT(Cockpit!$C$5,1)="B",(CL306+AM306)/2,MAX((CL306+AM306)/2,H306))))</f>
        <v>2817</v>
      </c>
      <c r="AL306" s="62" t="n">
        <f aca="false">AK306*G306</f>
        <v>1802.88</v>
      </c>
      <c r="AM306" s="62" t="n">
        <f aca="false">ROUNDUP(CL306+MAX(CM306,2*(J306/IF(CH306&gt;0,CH306,MAX(0.1,N(Cockpit!$C$6)))-CL306)),0)</f>
        <v>3018</v>
      </c>
      <c r="AN306" s="63" t="n">
        <f aca="false">IF(AJ306&gt;0,J306/AJ306,-1)</f>
        <v>38.6434782608696</v>
      </c>
      <c r="AO306" s="63" t="n">
        <f aca="false">IF(AND(OR(CG306="L1",CG306="L23",CG306="LIFT"),AJ306&gt;0),SUMIFS($AJ$7:$AJ$1843,$CG$7:$CG$1843,CG306,$AN$7:$AN$1843,"&gt;"&amp;AN306)+SUMIFS($AJ$7:$AJ$1843,$CG$7:$CG$1843,CG306,$AN$7:$AN$1843,AN306,$BX$7:$BX$1843,"&lt;="&amp;BX306),"")</f>
        <v>1257.38461538462</v>
      </c>
      <c r="AP306" s="70" t="n">
        <f aca="false">IF(AO306="",0,MAX(0,MIN(1,(IF(CG306="L1",Parameter!$H$5,IF(CG306="L23",Parameter!$H$6+Parameter!$H$7,Parameter!$H$5+Parameter!$H$6+Parameter!$H$7))-(AO306-AJ306))/AJ306)))</f>
        <v>1</v>
      </c>
      <c r="AQ306" s="62" t="n">
        <f aca="false">IF(LEFT(Cockpit!$I$5,1)="A",H306,IF(Parameter!$E$30="MAX-Bestand",IF(CI306=1,CJ306,IF(LEFT(Cockpit!$I$5,1)="B",AW306,MAX(AW306,H306))),ROUNDUP(AU306,0)))</f>
        <v>2817</v>
      </c>
      <c r="AR306" s="62" t="n">
        <f aca="false">IF(CA306=1,0,ROUNDUP(AQ306/BZ306,0))</f>
        <v>2</v>
      </c>
      <c r="AS306" s="64" t="n">
        <f aca="false">IF(CR306&gt;0,CR306*MAX(1,AQ306/X306),IF(CA306=1,IF(AQ306&lt;=0,0,CE306*MAX(1,IF(H306&gt;0,AQ306/H306,1))),IF(R306&gt;0,AR306/R306,0))/MAX(0.1,N(Parameter!$M$21)))</f>
        <v>0.166666666666667</v>
      </c>
      <c r="AT306" s="62" t="n">
        <f aca="false">AS306*CC306</f>
        <v>57.5</v>
      </c>
      <c r="AU306" s="63" t="n">
        <f aca="false">IF(LEFT(Cockpit!$I$5,1)="A",H306,IF(CI306=1,(CL306+CJ306)/2,IF(LEFT(Cockpit!$I$5,1)="B",(CL306+AW306)/2,MAX((CL306+AW306)/2,H306))))</f>
        <v>2817</v>
      </c>
      <c r="AV306" s="62" t="n">
        <f aca="false">AU306*G306</f>
        <v>1802.88</v>
      </c>
      <c r="AW306" s="62" t="n">
        <f aca="false">ROUNDUP(CL306+MAX(CM306,2*(J306/IF(CH306&gt;0,CH306,MAX(0.1,N(Cockpit!$I$6)))-CL306)),0)</f>
        <v>3018</v>
      </c>
      <c r="AX306" s="63" t="n">
        <f aca="false">IF(AT306&gt;0,J306/AT306,-1)</f>
        <v>38.6434782608696</v>
      </c>
      <c r="AY306" s="63" t="n">
        <f aca="false">IF(AND(OR(CG306="L1",CG306="L23",CG306="LIFT"),AT306&gt;0),SUMIFS($AT$7:$AT$1843,$CG$7:$CG$1843,CG306,$AX$7:$AX$1843,"&gt;"&amp;AX306)+SUMIFS($AT$7:$AT$1843,$CG$7:$CG$1843,CG306,$AX$7:$AX$1843,AX306,$BX$7:$BX$1843,"&lt;="&amp;BX306),"")</f>
        <v>1575.93635531136</v>
      </c>
      <c r="AZ306" s="70" t="n">
        <f aca="false">IF(AY306="",0,MAX(0,MIN(1,(IF(CG306="L1",Parameter!$H$5,IF(CG306="L23",Parameter!$H$6+Parameter!$H$7,Parameter!$H$5+Parameter!$H$6+Parameter!$H$7))-(AY306-AT306))/AT306)))</f>
        <v>1</v>
      </c>
      <c r="BA306" s="62" t="n">
        <f aca="false">IF(LEFT(Cockpit!$O$5,1)="A",H306,IF(Parameter!$E$30="MAX-Bestand",IF(CI306=1,CJ306,IF(LEFT(Cockpit!$O$5,1)="B",BG306,MAX(BG306,H306))),ROUNDUP(BE306,0)))</f>
        <v>1768</v>
      </c>
      <c r="BB306" s="62" t="n">
        <f aca="false">IF(CA306=1,0,ROUNDUP(BA306/BZ306,0))</f>
        <v>2</v>
      </c>
      <c r="BC306" s="64" t="n">
        <f aca="false">IF(CR306&gt;0,CR306*MAX(1,BA306/X306),IF(CA306=1,IF(BA306&lt;=0,0,CE306*MAX(1,IF(H306&gt;0,BA306/H306,1))),IF(R306&gt;0,BB306/R306,0))/MAX(0.1,N(Parameter!$M$21)))</f>
        <v>0.166666666666667</v>
      </c>
      <c r="BD306" s="62" t="n">
        <f aca="false">BC306*CC306</f>
        <v>57.5</v>
      </c>
      <c r="BE306" s="63" t="n">
        <f aca="false">IF(LEFT(Cockpit!$O$5,1)="A",H306,IF(CI306=1,(CL306+CJ306)/2,IF(LEFT(Cockpit!$O$5,1)="B",(CL306+BG306)/2,MAX((CL306+BG306)/2,H306))))</f>
        <v>1768</v>
      </c>
      <c r="BF306" s="62" t="n">
        <f aca="false">BE306*G306</f>
        <v>1131.52</v>
      </c>
      <c r="BG306" s="62" t="n">
        <f aca="false">ROUNDUP(CL306+MAX(CM306,2*(J306/IF(CH306&gt;0,CH306,MAX(0.1,N(Cockpit!$O$6)))-CL306)),0)</f>
        <v>3018</v>
      </c>
      <c r="BH306" s="63" t="n">
        <f aca="false">IF(BD306&gt;0,J306/BD306,-1)</f>
        <v>38.6434782608696</v>
      </c>
      <c r="BI306" s="63" t="n">
        <f aca="false">IF(AND(OR(CG306="L1",CG306="L23",CG306="LIFT"),BD306&gt;0),SUMIFS($BD$7:$BD$1843,$CG$7:$CG$1843,CG306,$BH$7:$BH$1843,"&gt;"&amp;BH306)+SUMIFS($BD$7:$BD$1843,$CG$7:$CG$1843,CG306,$BH$7:$BH$1843,BH306,$BX$7:$BX$1843,"&lt;="&amp;BX306),"")</f>
        <v>1329.35073260073</v>
      </c>
      <c r="BJ306" s="70" t="n">
        <f aca="false">IF(BI306="",0,MAX(0,MIN(1,(IF(CG306="L1",Parameter!$H$5,IF(CG306="L23",Parameter!$H$6+Parameter!$H$7,Parameter!$H$5+Parameter!$H$6+Parameter!$H$7))-(BI306-BD306))/BD306)))</f>
        <v>1</v>
      </c>
      <c r="BK306" s="60" t="str">
        <f aca="false">IF(AJ306&lt;=0,"",IF(CG306="Aussen","Aussenlager",IF(CG306="-","Nicht im Lift",IF(AP306&gt;=1,"Lift",IF(AP306&lt;=0,"Aussenlager","teilweise")))))</f>
        <v>Lift</v>
      </c>
      <c r="BL306" s="60" t="str">
        <f aca="false">IF(AT306&lt;=0,"",IF(CG306="Aussen","Aussenlager",IF(CG306="-","Nicht im Lift",IF(AZ306&gt;=1,"Lift",IF(AZ306&lt;=0,"Aussenlager","teilweise")))))</f>
        <v>Lift</v>
      </c>
      <c r="BM306" s="60" t="str">
        <f aca="false">IF(BD306&lt;=0,"",IF(CG306="Aussen","Aussenlager",IF(CG306="-","Nicht im Lift",IF(BJ306&gt;=1,"Lift",IF(BJ306&lt;=0,"Aussenlager","teilweise")))))</f>
        <v>Lift</v>
      </c>
      <c r="BN306" s="60" t="str">
        <f aca="false">IF(A306="","",IF(BW306=1,"Neu; ","")&amp;IF(AND(BW306=0,BR306&lt;0),"negativer Bestand (Export "&amp;BR306&amp;"); ","")&amp;IF(J306&lt;=0,"Kein Verbrauch; ","")&amp;IF(CR306&gt;0,"Lift "&amp;W306&amp;" lt. Liftbericht (Fach "&amp;X306&amp;" Stk); ",IF(CB306=1,"Gebinde geschätzt ("&amp;T306&amp;"); ",IF(CA306=1,"Lose – Tablare geschätzt; ","")))&amp;IF(H306&gt;AW306,"Überbestand "&amp;ROUND(H306-AW306,0)&amp;" Stk / CHF "&amp;ROUND((H306-AW306)*G306,0)&amp;"; ","")&amp;IF(AND(CI306=1,CJ306&lt;CK306),"MAX &lt; MB+LG; ","")&amp;IF(AND(CQ306&gt;0,CP306*10&gt;CQ306),"zu hoch für Tablar; ","")&amp;IF(AND(BW306=0,OR(CI306=1,AB306&lt;&gt;"",U306&lt;&gt;"",V306&lt;&gt;"",AC306&lt;&gt;"")),"manuell übersteuert; ","")&amp;IF(AND(CA306=0,R306=0),"Gebinde unbekannt / Stellmass fehlt; ","")&amp;IF(AND(CA306=0,N(V306)&lt;=0,N(Q306)&lt;=0),"Menge pro Gebinde fehlt (Ist = 1 Gebinde); ","")&amp;BV306)</f>
        <v>negativer Bestand (Export -928); </v>
      </c>
      <c r="BO306" s="60"/>
      <c r="BP306" s="60"/>
      <c r="BQ306" s="67"/>
      <c r="BR306" s="62" t="n">
        <v>-928</v>
      </c>
      <c r="BS306" s="62" t="n">
        <v>3745</v>
      </c>
      <c r="BT306" s="61" t="n">
        <v>264.439999999999</v>
      </c>
      <c r="BU306" s="62" t="n">
        <v>2222</v>
      </c>
      <c r="BV306" s="60"/>
      <c r="BW306" s="65" t="n">
        <v>0</v>
      </c>
      <c r="BX306" s="65" t="n">
        <v>306</v>
      </c>
      <c r="BY306" s="60" t="str">
        <f aca="false">IF(U306&lt;&gt;"",UPPER(TRIM(U306)),IF(CB306=1,UPPER(VLOOKUP(T306,Parameter!$I$27:$K$29,2,0)),IF(P306="","LOSE",P306)))</f>
        <v>S63</v>
      </c>
      <c r="BZ306" s="62" t="n">
        <f aca="false">IF(BY306="LOSE",1,IF(N(V306)&gt;0,V306,IF(CB306=1,MAX(1,N(VLOOKUP(T306,Parameter!$I$27:$K$29,3,0)),H306,N(N306)),IF(N(Q306)&gt;0,Q306,MAX(1,H306)))))</f>
        <v>1500</v>
      </c>
      <c r="CA306" s="65" t="n">
        <f aca="false">IF(BY306="LOSE",1,0)</f>
        <v>0</v>
      </c>
      <c r="CB306" s="65" t="n">
        <f aca="false">IF(AND(U306="",OR(P306="",P306="LOSE"),T306&lt;&gt;"",N(S306)&lt;=0,ISNUMBER(MATCH(T306,Parameter!$I$27:$I$29,0))),1,0)</f>
        <v>0</v>
      </c>
      <c r="CC306" s="65" t="n">
        <f aca="false">IF(CR306&gt;0,INDEX(Parameter!$H$5:$H$7,W306)/INDEX(Parameter!$E$5:$E$7,W306),IF(AND(CA306=0,N(IFERROR(VLOOKUP(BY306,'Gebinde-Kategorie'!$A$5:$N$45,14,0),0))&gt;0),VLOOKUP(BY306,'Gebinde-Kategorie'!$A$5:$N$45,14,0)*10+Parameter!$M$23,Parameter!$M$24))</f>
        <v>345</v>
      </c>
      <c r="CD306" s="60" t="str">
        <f aca="false">IF(AND(Parameter!$B$19="Ja",E306&lt;&gt;"",ISNUMBER(MATCH(E306,Parameter!$I$35:$I$52,0))),VLOOKUP(E306,Parameter!$I$35:$J$52,2,0),IFERROR(VLOOKUP(D306,Parameter!$A$35:$C$64,2,0),"Nein"))</f>
        <v>2+3</v>
      </c>
      <c r="CE306" s="64" t="n">
        <f aca="false">IF(CA306=0,0,IF(N(S306)&gt;0,S306,IFERROR(VLOOKUP(D306,Parameter!$A$35:$C$64,3,0)+0,0)))</f>
        <v>0</v>
      </c>
      <c r="CF306" s="60" t="n">
        <f aca="false">IF(AB306&lt;&gt;"",AB306,AA306)</f>
        <v>3</v>
      </c>
      <c r="CG306" s="60" t="str">
        <f aca="false">IF(OR(CF306=1,CF306=2,CF306=3),IF(Parameter!$E$27="Ja","LIFT",IF(CF306=1,"L1","L23")),IF(CF306="Aussen","Aussen","-"))</f>
        <v>LIFT</v>
      </c>
      <c r="CH306" s="71" t="n">
        <f aca="false">IF(N(AC306)&gt;0,AC306,0)</f>
        <v>0</v>
      </c>
      <c r="CI306" s="65" t="n">
        <f aca="false">IF(ISNUMBER(AF306),1,0)</f>
        <v>0</v>
      </c>
      <c r="CJ306" s="62" t="n">
        <f aca="false">N(AF306)</f>
        <v>0</v>
      </c>
      <c r="CK306" s="62" t="n">
        <f aca="false">N(M306)+N(N306)</f>
        <v>3018</v>
      </c>
      <c r="CL306" s="62" t="n">
        <f aca="false">N(M306)</f>
        <v>518</v>
      </c>
      <c r="CM306" s="62" t="n">
        <f aca="false">N(N306)</f>
        <v>2500</v>
      </c>
      <c r="CN306" s="62" t="n">
        <f aca="false">ROUNDUP(H306/BZ306,0)</f>
        <v>2</v>
      </c>
      <c r="CO306" s="62" t="n">
        <f aca="false">ROUNDUP(CJ306/BZ306,0)</f>
        <v>0</v>
      </c>
      <c r="CP306" s="65" t="n">
        <f aca="false">IF(CA306=1,0,IFERROR(VLOOKUP(BY306,'Gebinde-Kategorie'!$A$5:$N$45,5,0)+0,0))</f>
        <v>31</v>
      </c>
      <c r="CQ306" s="65" t="n">
        <f aca="false">IFERROR(IF(OR(CF306=1,CF306=2,CF306=3),N(INDEX(Parameter!$I$5:$I$7,CF306)),0),0)</f>
        <v>0</v>
      </c>
      <c r="CR306" s="64" t="n">
        <f aca="false">IF(AND(Parameter!$B$21="Ja",ISNUMBER(W306),N(X306)&gt;0),IFERROR(N(INDEX(Parameter!$L$5:$L$7,W306))*INDEX(Parameter!$E$5:$E$7,W306)*X306/SUMIFS($X$7:$X$1843,$W$7:$W$1843,W306),0),0)</f>
        <v>0</v>
      </c>
      <c r="CS306" s="62" t="n">
        <f aca="false">IF(AND(OR(CG306="L1",CG306="L23",CG306="LIFT"),H306&gt;0),CC306*IF(CR306&gt;0,CR306*MAX(1,H306/X306),IF(CA306=1,CE306,IF(R306&gt;0,CN306/R306,0))/MAX(0.1,N(Parameter!$M$21))),"")</f>
        <v>57.5</v>
      </c>
      <c r="CT306" s="64" t="n">
        <f aca="false">IF(CS306="","",J306/H306)</f>
        <v>0.788782392616258</v>
      </c>
      <c r="CU306" s="62" t="n">
        <f aca="false">IF(CS306="","",H306*G306)</f>
        <v>1802.88</v>
      </c>
      <c r="CV306" s="63" t="n">
        <f aca="false">IF(CS306="","",(CL306+ROUNDUP(CL306+MAX(CM306,2*(J306/MAX(0.1,N(Einkauf!$C$6))-CL306)),0))/2)</f>
        <v>1768</v>
      </c>
      <c r="CW306" s="62" t="n">
        <f aca="false">IF(CS306="","",MAX(0,H306-CV306)*G306)</f>
        <v>671.36</v>
      </c>
      <c r="CX306" s="62" t="n">
        <f aca="false">IF(CS306="","",CS306*MAX(0,1-CV306/H306))</f>
        <v>21.4119630812922</v>
      </c>
      <c r="CY306" s="64" t="n">
        <f aca="false">IF(CS306="","",PERCENTRANK($CS$7:$CS$1843,CS306)+PERCENTRANK($CU$7:$CU$1843,CU306)+1-PERCENTRANK($CT$7:$CT$1843,CT306))</f>
        <v>2.058</v>
      </c>
      <c r="CZ306" s="72" t="n">
        <f aca="false">IF(CS306="","",CHOOSE(MATCH(Einkauf!$C$5,Parameter!$G$23:$G$27,0),CY306,CS306,CU306,-CT306,CW306)+ROW()/1000000000)</f>
        <v>2.058000306</v>
      </c>
    </row>
    <row r="307" customFormat="false" ht="15" hidden="false" customHeight="false" outlineLevel="0" collapsed="false">
      <c r="A307" s="60" t="s">
        <v>823</v>
      </c>
      <c r="B307" s="60" t="s">
        <v>824</v>
      </c>
      <c r="C307" s="60" t="s">
        <v>206</v>
      </c>
      <c r="D307" s="60" t="s">
        <v>215</v>
      </c>
      <c r="E307" s="60" t="s">
        <v>227</v>
      </c>
      <c r="F307" s="60" t="s">
        <v>260</v>
      </c>
      <c r="G307" s="61" t="n">
        <v>21.55</v>
      </c>
      <c r="H307" s="62" t="n">
        <f aca="false">MAX(0,IF(AND(Parameter!$B$21="Ja",ISNUMBER(Y307)),Y307,IF(Parameter!$B$20="Jahresanfang 2025 + Export",BS307+BR307,BR307)))</f>
        <v>20</v>
      </c>
      <c r="I307" s="62" t="n">
        <f aca="false">H307*G307</f>
        <v>431</v>
      </c>
      <c r="J307" s="62" t="n">
        <f aca="false">BU307*Parameter!$B$18</f>
        <v>12</v>
      </c>
      <c r="K307" s="63" t="n">
        <v>12</v>
      </c>
      <c r="L307" s="64" t="n">
        <v>1</v>
      </c>
      <c r="M307" s="62" t="n">
        <v>0</v>
      </c>
      <c r="N307" s="62" t="n">
        <v>10</v>
      </c>
      <c r="O307" s="65" t="n">
        <v>21</v>
      </c>
      <c r="P307" s="60" t="s">
        <v>335</v>
      </c>
      <c r="Q307" s="62" t="n">
        <v>8</v>
      </c>
      <c r="R307" s="65" t="n">
        <f aca="false">IF(CA307=1,0,IFERROR(VLOOKUP(BY307,'Gebinde-Kategorie'!$A$5:$N$45,13,0)+0,0))</f>
        <v>12</v>
      </c>
      <c r="S307" s="66"/>
      <c r="T307" s="67"/>
      <c r="U307" s="67"/>
      <c r="V307" s="67"/>
      <c r="W307" s="60"/>
      <c r="X307" s="62"/>
      <c r="Y307" s="62"/>
      <c r="Z307" s="60" t="n">
        <v>3</v>
      </c>
      <c r="AA307" s="60" t="n">
        <f aca="false">IF(A307="","",IF(AND(Parameter!$B$21="Ja",ISNUMBER(W307)),W307,IF(AND(Parameter!$E$27="Ja",ISNUMBER(Z307),CD307&lt;&gt;"Nein"),Z307,IF(CD307="2+3",IF(ISNUMBER(SEARCH("grosser Artikel",BV307)),2,IFERROR(VLOOKUP(BY307,Parameter!$F$35:$G$64,2,0),2)),IF(OR(CD307="Nein",CD307=""),"-",CD307)))))</f>
        <v>3</v>
      </c>
      <c r="AB307" s="67"/>
      <c r="AC307" s="68"/>
      <c r="AD307" s="62" t="n">
        <f aca="false">AW307</f>
        <v>10</v>
      </c>
      <c r="AE307" s="62" t="n">
        <f aca="false">MAX(AW307,H307)</f>
        <v>20</v>
      </c>
      <c r="AF307" s="69"/>
      <c r="AG307" s="62" t="n">
        <f aca="false">IF(LEFT(Cockpit!$C$5,1)="A",H307,IF(Parameter!$E$30="MAX-Bestand",IF(CI307=1,CJ307,IF(LEFT(Cockpit!$C$5,1)="B",AM307,MAX(AM307,H307))),ROUNDUP(AK307,0)))</f>
        <v>20</v>
      </c>
      <c r="AH307" s="62" t="n">
        <f aca="false">IF(CA307=1,0,ROUNDUP(AG307/BZ307,0))</f>
        <v>3</v>
      </c>
      <c r="AI307" s="64" t="n">
        <f aca="false">IF(CR307&gt;0,CR307*MAX(1,AG307/X307),IF(CA307=1,IF(AG307&lt;=0,0,CE307*MAX(1,IF(H307&gt;0,AG307/H307,1))),IF(R307&gt;0,AH307/R307,0))/MAX(0.1,N(Parameter!$M$21)))</f>
        <v>0.25</v>
      </c>
      <c r="AJ307" s="62" t="n">
        <f aca="false">AI307*CC307</f>
        <v>61.25</v>
      </c>
      <c r="AK307" s="63" t="n">
        <f aca="false">IF(LEFT(Cockpit!$C$5,1)="A",H307,IF(CI307=1,(CL307+CJ307)/2,IF(LEFT(Cockpit!$C$5,1)="B",(CL307+AM307)/2,MAX((CL307+AM307)/2,H307))))</f>
        <v>20</v>
      </c>
      <c r="AL307" s="62" t="n">
        <f aca="false">AK307*G307</f>
        <v>431</v>
      </c>
      <c r="AM307" s="62" t="n">
        <f aca="false">ROUNDUP(CL307+MAX(CM307,2*(J307/IF(CH307&gt;0,CH307,MAX(0.1,N(Cockpit!$C$6)))-CL307)),0)</f>
        <v>10</v>
      </c>
      <c r="AN307" s="63" t="n">
        <f aca="false">IF(AJ307&gt;0,J307/AJ307,-1)</f>
        <v>0.195918367346939</v>
      </c>
      <c r="AO307" s="63" t="n">
        <f aca="false">IF(AND(OR(CG307="L1",CG307="L23",CG307="LIFT"),AJ307&gt;0),SUMIFS($AJ$7:$AJ$1843,$CG$7:$CG$1843,CG307,$AN$7:$AN$1843,"&gt;"&amp;AN307)+SUMIFS($AJ$7:$AJ$1843,$CG$7:$CG$1843,CG307,$AN$7:$AN$1843,AN307,$BX$7:$BX$1843,"&lt;="&amp;BX307),"")</f>
        <v>12560.983720846</v>
      </c>
      <c r="AP307" s="70" t="n">
        <f aca="false">IF(AO307="",0,MAX(0,MIN(1,(IF(CG307="L1",Parameter!$H$5,IF(CG307="L23",Parameter!$H$6+Parameter!$H$7,Parameter!$H$5+Parameter!$H$6+Parameter!$H$7))-(AO307-AJ307))/AJ307)))</f>
        <v>1</v>
      </c>
      <c r="AQ307" s="62" t="n">
        <f aca="false">IF(LEFT(Cockpit!$I$5,1)="A",H307,IF(Parameter!$E$30="MAX-Bestand",IF(CI307=1,CJ307,IF(LEFT(Cockpit!$I$5,1)="B",AW307,MAX(AW307,H307))),ROUNDUP(AU307,0)))</f>
        <v>20</v>
      </c>
      <c r="AR307" s="62" t="n">
        <f aca="false">IF(CA307=1,0,ROUNDUP(AQ307/BZ307,0))</f>
        <v>3</v>
      </c>
      <c r="AS307" s="64" t="n">
        <f aca="false">IF(CR307&gt;0,CR307*MAX(1,AQ307/X307),IF(CA307=1,IF(AQ307&lt;=0,0,CE307*MAX(1,IF(H307&gt;0,AQ307/H307,1))),IF(R307&gt;0,AR307/R307,0))/MAX(0.1,N(Parameter!$M$21)))</f>
        <v>0.25</v>
      </c>
      <c r="AT307" s="62" t="n">
        <f aca="false">AS307*CC307</f>
        <v>61.25</v>
      </c>
      <c r="AU307" s="63" t="n">
        <f aca="false">IF(LEFT(Cockpit!$I$5,1)="A",H307,IF(CI307=1,(CL307+CJ307)/2,IF(LEFT(Cockpit!$I$5,1)="B",(CL307+AW307)/2,MAX((CL307+AW307)/2,H307))))</f>
        <v>20</v>
      </c>
      <c r="AV307" s="62" t="n">
        <f aca="false">AU307*G307</f>
        <v>431</v>
      </c>
      <c r="AW307" s="62" t="n">
        <f aca="false">ROUNDUP(CL307+MAX(CM307,2*(J307/IF(CH307&gt;0,CH307,MAX(0.1,N(Cockpit!$I$6)))-CL307)),0)</f>
        <v>10</v>
      </c>
      <c r="AX307" s="63" t="n">
        <f aca="false">IF(AT307&gt;0,J307/AT307,-1)</f>
        <v>0.195918367346939</v>
      </c>
      <c r="AY307" s="63" t="n">
        <f aca="false">IF(AND(OR(CG307="L1",CG307="L23",CG307="LIFT"),AT307&gt;0),SUMIFS($AT$7:$AT$1843,$CG$7:$CG$1843,CG307,$AX$7:$AX$1843,"&gt;"&amp;AX307)+SUMIFS($AT$7:$AT$1843,$CG$7:$CG$1843,CG307,$AX$7:$AX$1843,AX307,$BX$7:$BX$1843,"&lt;="&amp;BX307),"")</f>
        <v>15390.2413003663</v>
      </c>
      <c r="AZ307" s="70" t="n">
        <f aca="false">IF(AY307="",0,MAX(0,MIN(1,(IF(CG307="L1",Parameter!$H$5,IF(CG307="L23",Parameter!$H$6+Parameter!$H$7,Parameter!$H$5+Parameter!$H$6+Parameter!$H$7))-(AY307-AT307))/AT307)))</f>
        <v>1</v>
      </c>
      <c r="BA307" s="62" t="n">
        <f aca="false">IF(LEFT(Cockpit!$O$5,1)="A",H307,IF(Parameter!$E$30="MAX-Bestand",IF(CI307=1,CJ307,IF(LEFT(Cockpit!$O$5,1)="B",BG307,MAX(BG307,H307))),ROUNDUP(BE307,0)))</f>
        <v>5</v>
      </c>
      <c r="BB307" s="62" t="n">
        <f aca="false">IF(CA307=1,0,ROUNDUP(BA307/BZ307,0))</f>
        <v>1</v>
      </c>
      <c r="BC307" s="64" t="n">
        <f aca="false">IF(CR307&gt;0,CR307*MAX(1,BA307/X307),IF(CA307=1,IF(BA307&lt;=0,0,CE307*MAX(1,IF(H307&gt;0,BA307/H307,1))),IF(R307&gt;0,BB307/R307,0))/MAX(0.1,N(Parameter!$M$21)))</f>
        <v>0.0833333333333333</v>
      </c>
      <c r="BD307" s="62" t="n">
        <f aca="false">BC307*CC307</f>
        <v>20.4166666666667</v>
      </c>
      <c r="BE307" s="63" t="n">
        <f aca="false">IF(LEFT(Cockpit!$O$5,1)="A",H307,IF(CI307=1,(CL307+CJ307)/2,IF(LEFT(Cockpit!$O$5,1)="B",(CL307+BG307)/2,MAX((CL307+BG307)/2,H307))))</f>
        <v>5</v>
      </c>
      <c r="BF307" s="62" t="n">
        <f aca="false">BE307*G307</f>
        <v>107.75</v>
      </c>
      <c r="BG307" s="62" t="n">
        <f aca="false">ROUNDUP(CL307+MAX(CM307,2*(J307/IF(CH307&gt;0,CH307,MAX(0.1,N(Cockpit!$O$6)))-CL307)),0)</f>
        <v>10</v>
      </c>
      <c r="BH307" s="63" t="n">
        <f aca="false">IF(BD307&gt;0,J307/BD307,-1)</f>
        <v>0.587755102040816</v>
      </c>
      <c r="BI307" s="63" t="n">
        <f aca="false">IF(AND(OR(CG307="L1",CG307="L23",CG307="LIFT"),BD307&gt;0),SUMIFS($BD$7:$BD$1843,$CG$7:$CG$1843,CG307,$BH$7:$BH$1843,"&gt;"&amp;BH307)+SUMIFS($BD$7:$BD$1843,$CG$7:$CG$1843,CG307,$BH$7:$BH$1843,BH307,$BX$7:$BX$1843,"&lt;="&amp;BX307),"")</f>
        <v>9978.87225274725</v>
      </c>
      <c r="BJ307" s="70" t="n">
        <f aca="false">IF(BI307="",0,MAX(0,MIN(1,(IF(CG307="L1",Parameter!$H$5,IF(CG307="L23",Parameter!$H$6+Parameter!$H$7,Parameter!$H$5+Parameter!$H$6+Parameter!$H$7))-(BI307-BD307))/BD307)))</f>
        <v>1</v>
      </c>
      <c r="BK307" s="60" t="str">
        <f aca="false">IF(AJ307&lt;=0,"",IF(CG307="Aussen","Aussenlager",IF(CG307="-","Nicht im Lift",IF(AP307&gt;=1,"Lift",IF(AP307&lt;=0,"Aussenlager","teilweise")))))</f>
        <v>Lift</v>
      </c>
      <c r="BL307" s="60" t="str">
        <f aca="false">IF(AT307&lt;=0,"",IF(CG307="Aussen","Aussenlager",IF(CG307="-","Nicht im Lift",IF(AZ307&gt;=1,"Lift",IF(AZ307&lt;=0,"Aussenlager","teilweise")))))</f>
        <v>Lift</v>
      </c>
      <c r="BM307" s="60" t="str">
        <f aca="false">IF(BD307&lt;=0,"",IF(CG307="Aussen","Aussenlager",IF(CG307="-","Nicht im Lift",IF(BJ307&gt;=1,"Lift",IF(BJ307&lt;=0,"Aussenlager","teilweise")))))</f>
        <v>Lift</v>
      </c>
      <c r="BN307" s="60" t="str">
        <f aca="false">IF(A307="","",IF(BW307=1,"Neu; ","")&amp;IF(AND(BW307=0,BR307&lt;0),"negativer Bestand (Export "&amp;BR307&amp;"); ","")&amp;IF(J307&lt;=0,"Kein Verbrauch; ","")&amp;IF(CR307&gt;0,"Lift "&amp;W307&amp;" lt. Liftbericht (Fach "&amp;X307&amp;" Stk); ",IF(CB307=1,"Gebinde geschätzt ("&amp;T307&amp;"); ",IF(CA307=1,"Lose – Tablare geschätzt; ","")))&amp;IF(H307&gt;AW307,"Überbestand "&amp;ROUND(H307-AW307,0)&amp;" Stk / CHF "&amp;ROUND((H307-AW307)*G307,0)&amp;"; ","")&amp;IF(AND(CI307=1,CJ307&lt;CK307),"MAX &lt; MB+LG; ","")&amp;IF(AND(CQ307&gt;0,CP307*10&gt;CQ307),"zu hoch für Tablar; ","")&amp;IF(AND(BW307=0,OR(CI307=1,AB307&lt;&gt;"",U307&lt;&gt;"",V307&lt;&gt;"",AC307&lt;&gt;"")),"manuell übersteuert; ","")&amp;IF(AND(CA307=0,R307=0),"Gebinde unbekannt / Stellmass fehlt; ","")&amp;IF(AND(CA307=0,N(V307)&lt;=0,N(Q307)&lt;=0),"Menge pro Gebinde fehlt (Ist = 1 Gebinde); ","")&amp;BV307)</f>
        <v>Überbestand 10 Stk / CHF 216; grosser Artikel &amp; nicht im KTL</v>
      </c>
      <c r="BO307" s="60"/>
      <c r="BP307" s="60"/>
      <c r="BQ307" s="67"/>
      <c r="BR307" s="62" t="n">
        <v>12</v>
      </c>
      <c r="BS307" s="62" t="n">
        <v>8</v>
      </c>
      <c r="BT307" s="61" t="n">
        <v>262.04</v>
      </c>
      <c r="BU307" s="62" t="n">
        <v>12</v>
      </c>
      <c r="BV307" s="60" t="s">
        <v>303</v>
      </c>
      <c r="BW307" s="65" t="n">
        <v>0</v>
      </c>
      <c r="BX307" s="65" t="n">
        <v>307</v>
      </c>
      <c r="BY307" s="60" t="str">
        <f aca="false">IF(U307&lt;&gt;"",UPPER(TRIM(U307)),IF(CB307=1,UPPER(VLOOKUP(T307,Parameter!$I$27:$K$29,2,0)),IF(P307="","LOSE",P307)))</f>
        <v>S62</v>
      </c>
      <c r="BZ307" s="62" t="n">
        <f aca="false">IF(BY307="LOSE",1,IF(N(V307)&gt;0,V307,IF(CB307=1,MAX(1,N(VLOOKUP(T307,Parameter!$I$27:$K$29,3,0)),H307,N(N307)),IF(N(Q307)&gt;0,Q307,MAX(1,H307)))))</f>
        <v>8</v>
      </c>
      <c r="CA307" s="65" t="n">
        <f aca="false">IF(BY307="LOSE",1,0)</f>
        <v>0</v>
      </c>
      <c r="CB307" s="65" t="n">
        <f aca="false">IF(AND(U307="",OR(P307="",P307="LOSE"),T307&lt;&gt;"",N(S307)&lt;=0,ISNUMBER(MATCH(T307,Parameter!$I$27:$I$29,0))),1,0)</f>
        <v>0</v>
      </c>
      <c r="CC307" s="65" t="n">
        <f aca="false">IF(CR307&gt;0,INDEX(Parameter!$H$5:$H$7,W307)/INDEX(Parameter!$E$5:$E$7,W307),IF(AND(CA307=0,N(IFERROR(VLOOKUP(BY307,'Gebinde-Kategorie'!$A$5:$N$45,14,0),0))&gt;0),VLOOKUP(BY307,'Gebinde-Kategorie'!$A$5:$N$45,14,0)*10+Parameter!$M$23,Parameter!$M$24))</f>
        <v>245</v>
      </c>
      <c r="CD307" s="60" t="str">
        <f aca="false">IF(AND(Parameter!$B$19="Ja",E307&lt;&gt;"",ISNUMBER(MATCH(E307,Parameter!$I$35:$I$52,0))),VLOOKUP(E307,Parameter!$I$35:$J$52,2,0),IFERROR(VLOOKUP(D307,Parameter!$A$35:$C$64,2,0),"Nein"))</f>
        <v>2+3</v>
      </c>
      <c r="CE307" s="64" t="n">
        <f aca="false">IF(CA307=0,0,IF(N(S307)&gt;0,S307,IFERROR(VLOOKUP(D307,Parameter!$A$35:$C$64,3,0)+0,0)))</f>
        <v>0</v>
      </c>
      <c r="CF307" s="60" t="n">
        <f aca="false">IF(AB307&lt;&gt;"",AB307,AA307)</f>
        <v>3</v>
      </c>
      <c r="CG307" s="60" t="str">
        <f aca="false">IF(OR(CF307=1,CF307=2,CF307=3),IF(Parameter!$E$27="Ja","LIFT",IF(CF307=1,"L1","L23")),IF(CF307="Aussen","Aussen","-"))</f>
        <v>LIFT</v>
      </c>
      <c r="CH307" s="71" t="n">
        <f aca="false">IF(N(AC307)&gt;0,AC307,0)</f>
        <v>0</v>
      </c>
      <c r="CI307" s="65" t="n">
        <f aca="false">IF(ISNUMBER(AF307),1,0)</f>
        <v>0</v>
      </c>
      <c r="CJ307" s="62" t="n">
        <f aca="false">N(AF307)</f>
        <v>0</v>
      </c>
      <c r="CK307" s="62" t="n">
        <f aca="false">N(M307)+N(N307)</f>
        <v>10</v>
      </c>
      <c r="CL307" s="62" t="n">
        <f aca="false">N(M307)</f>
        <v>0</v>
      </c>
      <c r="CM307" s="62" t="n">
        <f aca="false">N(N307)</f>
        <v>10</v>
      </c>
      <c r="CN307" s="62" t="n">
        <f aca="false">ROUNDUP(H307/BZ307,0)</f>
        <v>3</v>
      </c>
      <c r="CO307" s="62" t="n">
        <f aca="false">ROUNDUP(CJ307/BZ307,0)</f>
        <v>0</v>
      </c>
      <c r="CP307" s="65" t="n">
        <f aca="false">IF(CA307=1,0,IFERROR(VLOOKUP(BY307,'Gebinde-Kategorie'!$A$5:$N$45,5,0)+0,0))</f>
        <v>21</v>
      </c>
      <c r="CQ307" s="65" t="n">
        <f aca="false">IFERROR(IF(OR(CF307=1,CF307=2,CF307=3),N(INDEX(Parameter!$I$5:$I$7,CF307)),0),0)</f>
        <v>0</v>
      </c>
      <c r="CR307" s="64" t="n">
        <f aca="false">IF(AND(Parameter!$B$21="Ja",ISNUMBER(W307),N(X307)&gt;0),IFERROR(N(INDEX(Parameter!$L$5:$L$7,W307))*INDEX(Parameter!$E$5:$E$7,W307)*X307/SUMIFS($X$7:$X$1843,$W$7:$W$1843,W307),0),0)</f>
        <v>0</v>
      </c>
      <c r="CS307" s="62" t="n">
        <f aca="false">IF(AND(OR(CG307="L1",CG307="L23",CG307="LIFT"),H307&gt;0),CC307*IF(CR307&gt;0,CR307*MAX(1,H307/X307),IF(CA307=1,CE307,IF(R307&gt;0,CN307/R307,0))/MAX(0.1,N(Parameter!$M$21))),"")</f>
        <v>61.25</v>
      </c>
      <c r="CT307" s="64" t="n">
        <f aca="false">IF(CS307="","",J307/H307)</f>
        <v>0.6</v>
      </c>
      <c r="CU307" s="62" t="n">
        <f aca="false">IF(CS307="","",H307*G307)</f>
        <v>431</v>
      </c>
      <c r="CV307" s="63" t="n">
        <f aca="false">IF(CS307="","",(CL307+ROUNDUP(CL307+MAX(CM307,2*(J307/MAX(0.1,N(Einkauf!$C$6))-CL307)),0))/2)</f>
        <v>5</v>
      </c>
      <c r="CW307" s="62" t="n">
        <f aca="false">IF(CS307="","",MAX(0,H307-CV307)*G307)</f>
        <v>323.25</v>
      </c>
      <c r="CX307" s="62" t="n">
        <f aca="false">IF(CS307="","",CS307*MAX(0,1-CV307/H307))</f>
        <v>45.9375</v>
      </c>
      <c r="CY307" s="64" t="n">
        <f aca="false">IF(CS307="","",PERCENTRANK($CS$7:$CS$1843,CS307)+PERCENTRANK($CU$7:$CU$1843,CU307)+1-PERCENTRANK($CT$7:$CT$1843,CT307))</f>
        <v>1.858</v>
      </c>
      <c r="CZ307" s="72" t="n">
        <f aca="false">IF(CS307="","",CHOOSE(MATCH(Einkauf!$C$5,Parameter!$G$23:$G$27,0),CY307,CS307,CU307,-CT307,CW307)+ROW()/1000000000)</f>
        <v>1.858000307</v>
      </c>
    </row>
    <row r="308" customFormat="false" ht="15" hidden="false" customHeight="false" outlineLevel="0" collapsed="false">
      <c r="A308" s="60" t="s">
        <v>825</v>
      </c>
      <c r="B308" s="60" t="s">
        <v>826</v>
      </c>
      <c r="C308" s="60" t="s">
        <v>206</v>
      </c>
      <c r="D308" s="60" t="s">
        <v>215</v>
      </c>
      <c r="E308" s="60" t="s">
        <v>208</v>
      </c>
      <c r="F308" s="60" t="s">
        <v>260</v>
      </c>
      <c r="G308" s="61" t="n">
        <v>452.4</v>
      </c>
      <c r="H308" s="62" t="n">
        <f aca="false">MAX(0,IF(AND(Parameter!$B$21="Ja",ISNUMBER(Y308)),Y308,IF(Parameter!$B$20="Jahresanfang 2025 + Export",BS308+BR308,BR308)))</f>
        <v>18</v>
      </c>
      <c r="I308" s="62" t="n">
        <f aca="false">H308*G308</f>
        <v>8143.2</v>
      </c>
      <c r="J308" s="62" t="n">
        <f aca="false">BU308*Parameter!$B$18</f>
        <v>118</v>
      </c>
      <c r="K308" s="63" t="n">
        <v>17</v>
      </c>
      <c r="L308" s="64" t="n">
        <v>6.94117647058824</v>
      </c>
      <c r="M308" s="62" t="n">
        <v>10</v>
      </c>
      <c r="N308" s="62" t="n">
        <v>25</v>
      </c>
      <c r="O308" s="65" t="n">
        <v>84</v>
      </c>
      <c r="P308" s="60" t="s">
        <v>216</v>
      </c>
      <c r="Q308" s="62" t="n">
        <v>20</v>
      </c>
      <c r="R308" s="65" t="n">
        <f aca="false">IF(CA308=1,0,IFERROR(VLOOKUP(BY308,'Gebinde-Kategorie'!$A$5:$N$45,13,0)+0,0))</f>
        <v>6</v>
      </c>
      <c r="S308" s="66"/>
      <c r="T308" s="67"/>
      <c r="U308" s="67"/>
      <c r="V308" s="67"/>
      <c r="W308" s="60"/>
      <c r="X308" s="62"/>
      <c r="Y308" s="62"/>
      <c r="Z308" s="60" t="n">
        <v>2</v>
      </c>
      <c r="AA308" s="60" t="n">
        <f aca="false">IF(A308="","",IF(AND(Parameter!$B$21="Ja",ISNUMBER(W308)),W308,IF(AND(Parameter!$E$27="Ja",ISNUMBER(Z308),CD308&lt;&gt;"Nein"),Z308,IF(CD308="2+3",IF(ISNUMBER(SEARCH("grosser Artikel",BV308)),2,IFERROR(VLOOKUP(BY308,Parameter!$F$35:$G$64,2,0),2)),IF(OR(CD308="Nein",CD308=""),"-",CD308)))))</f>
        <v>2</v>
      </c>
      <c r="AB308" s="67"/>
      <c r="AC308" s="68"/>
      <c r="AD308" s="62" t="n">
        <f aca="false">AW308</f>
        <v>69</v>
      </c>
      <c r="AE308" s="62" t="n">
        <f aca="false">MAX(AW308,H308)</f>
        <v>69</v>
      </c>
      <c r="AF308" s="69"/>
      <c r="AG308" s="62" t="n">
        <f aca="false">IF(LEFT(Cockpit!$C$5,1)="A",H308,IF(Parameter!$E$30="MAX-Bestand",IF(CI308=1,CJ308,IF(LEFT(Cockpit!$C$5,1)="B",AM308,MAX(AM308,H308))),ROUNDUP(AK308,0)))</f>
        <v>18</v>
      </c>
      <c r="AH308" s="62" t="n">
        <f aca="false">IF(CA308=1,0,ROUNDUP(AG308/BZ308,0))</f>
        <v>1</v>
      </c>
      <c r="AI308" s="64" t="n">
        <f aca="false">IF(CR308&gt;0,CR308*MAX(1,AG308/X308),IF(CA308=1,IF(AG308&lt;=0,0,CE308*MAX(1,IF(H308&gt;0,AG308/H308,1))),IF(R308&gt;0,AH308/R308,0))/MAX(0.1,N(Parameter!$M$21)))</f>
        <v>0.166666666666667</v>
      </c>
      <c r="AJ308" s="62" t="n">
        <f aca="false">AI308*CC308</f>
        <v>39.1666666666667</v>
      </c>
      <c r="AK308" s="63" t="n">
        <f aca="false">IF(LEFT(Cockpit!$C$5,1)="A",H308,IF(CI308=1,(CL308+CJ308)/2,IF(LEFT(Cockpit!$C$5,1)="B",(CL308+AM308)/2,MAX((CL308+AM308)/2,H308))))</f>
        <v>18</v>
      </c>
      <c r="AL308" s="62" t="n">
        <f aca="false">AK308*G308</f>
        <v>8143.2</v>
      </c>
      <c r="AM308" s="62" t="n">
        <f aca="false">ROUNDUP(CL308+MAX(CM308,2*(J308/IF(CH308&gt;0,CH308,MAX(0.1,N(Cockpit!$C$6)))-CL308)),0)</f>
        <v>69</v>
      </c>
      <c r="AN308" s="63" t="n">
        <f aca="false">IF(AJ308&gt;0,J308/AJ308,-1)</f>
        <v>3.01276595744681</v>
      </c>
      <c r="AO308" s="63" t="n">
        <f aca="false">IF(AND(OR(CG308="L1",CG308="L23",CG308="LIFT"),AJ308&gt;0),SUMIFS($AJ$7:$AJ$1843,$CG$7:$CG$1843,CG308,$AN$7:$AN$1843,"&gt;"&amp;AN308)+SUMIFS($AJ$7:$AJ$1843,$CG$7:$CG$1843,CG308,$AN$7:$AN$1843,AN308,$BX$7:$BX$1843,"&lt;="&amp;BX308),"")</f>
        <v>5120.92445054945</v>
      </c>
      <c r="AP308" s="70" t="n">
        <f aca="false">IF(AO308="",0,MAX(0,MIN(1,(IF(CG308="L1",Parameter!$H$5,IF(CG308="L23",Parameter!$H$6+Parameter!$H$7,Parameter!$H$5+Parameter!$H$6+Parameter!$H$7))-(AO308-AJ308))/AJ308)))</f>
        <v>1</v>
      </c>
      <c r="AQ308" s="62" t="n">
        <f aca="false">IF(LEFT(Cockpit!$I$5,1)="A",H308,IF(Parameter!$E$30="MAX-Bestand",IF(CI308=1,CJ308,IF(LEFT(Cockpit!$I$5,1)="B",AW308,MAX(AW308,H308))),ROUNDUP(AU308,0)))</f>
        <v>40</v>
      </c>
      <c r="AR308" s="62" t="n">
        <f aca="false">IF(CA308=1,0,ROUNDUP(AQ308/BZ308,0))</f>
        <v>2</v>
      </c>
      <c r="AS308" s="64" t="n">
        <f aca="false">IF(CR308&gt;0,CR308*MAX(1,AQ308/X308),IF(CA308=1,IF(AQ308&lt;=0,0,CE308*MAX(1,IF(H308&gt;0,AQ308/H308,1))),IF(R308&gt;0,AR308/R308,0))/MAX(0.1,N(Parameter!$M$21)))</f>
        <v>0.333333333333333</v>
      </c>
      <c r="AT308" s="62" t="n">
        <f aca="false">AS308*CC308</f>
        <v>78.3333333333333</v>
      </c>
      <c r="AU308" s="63" t="n">
        <f aca="false">IF(LEFT(Cockpit!$I$5,1)="A",H308,IF(CI308=1,(CL308+CJ308)/2,IF(LEFT(Cockpit!$I$5,1)="B",(CL308+AW308)/2,MAX((CL308+AW308)/2,H308))))</f>
        <v>39.5</v>
      </c>
      <c r="AV308" s="62" t="n">
        <f aca="false">AU308*G308</f>
        <v>17869.8</v>
      </c>
      <c r="AW308" s="62" t="n">
        <f aca="false">ROUNDUP(CL308+MAX(CM308,2*(J308/IF(CH308&gt;0,CH308,MAX(0.1,N(Cockpit!$I$6)))-CL308)),0)</f>
        <v>69</v>
      </c>
      <c r="AX308" s="63" t="n">
        <f aca="false">IF(AT308&gt;0,J308/AT308,-1)</f>
        <v>1.5063829787234</v>
      </c>
      <c r="AY308" s="63" t="n">
        <f aca="false">IF(AND(OR(CG308="L1",CG308="L23",CG308="LIFT"),AT308&gt;0),SUMIFS($AT$7:$AT$1843,$CG$7:$CG$1843,CG308,$AX$7:$AX$1843,"&gt;"&amp;AX308)+SUMIFS($AT$7:$AT$1843,$CG$7:$CG$1843,CG308,$AX$7:$AX$1843,AX308,$BX$7:$BX$1843,"&lt;="&amp;BX308),"")</f>
        <v>7740.07509157509</v>
      </c>
      <c r="AZ308" s="70" t="n">
        <f aca="false">IF(AY308="",0,MAX(0,MIN(1,(IF(CG308="L1",Parameter!$H$5,IF(CG308="L23",Parameter!$H$6+Parameter!$H$7,Parameter!$H$5+Parameter!$H$6+Parameter!$H$7))-(AY308-AT308))/AT308)))</f>
        <v>1</v>
      </c>
      <c r="BA308" s="62" t="n">
        <f aca="false">IF(LEFT(Cockpit!$O$5,1)="A",H308,IF(Parameter!$E$30="MAX-Bestand",IF(CI308=1,CJ308,IF(LEFT(Cockpit!$O$5,1)="B",BG308,MAX(BG308,H308))),ROUNDUP(BE308,0)))</f>
        <v>30</v>
      </c>
      <c r="BB308" s="62" t="n">
        <f aca="false">IF(CA308=1,0,ROUNDUP(BA308/BZ308,0))</f>
        <v>2</v>
      </c>
      <c r="BC308" s="64" t="n">
        <f aca="false">IF(CR308&gt;0,CR308*MAX(1,BA308/X308),IF(CA308=1,IF(BA308&lt;=0,0,CE308*MAX(1,IF(H308&gt;0,BA308/H308,1))),IF(R308&gt;0,BB308/R308,0))/MAX(0.1,N(Parameter!$M$21)))</f>
        <v>0.333333333333333</v>
      </c>
      <c r="BD308" s="62" t="n">
        <f aca="false">BC308*CC308</f>
        <v>78.3333333333333</v>
      </c>
      <c r="BE308" s="63" t="n">
        <f aca="false">IF(LEFT(Cockpit!$O$5,1)="A",H308,IF(CI308=1,(CL308+CJ308)/2,IF(LEFT(Cockpit!$O$5,1)="B",(CL308+BG308)/2,MAX((CL308+BG308)/2,H308))))</f>
        <v>29.5</v>
      </c>
      <c r="BF308" s="62" t="n">
        <f aca="false">BE308*G308</f>
        <v>13345.8</v>
      </c>
      <c r="BG308" s="62" t="n">
        <f aca="false">ROUNDUP(CL308+MAX(CM308,2*(J308/IF(CH308&gt;0,CH308,MAX(0.1,N(Cockpit!$O$6)))-CL308)),0)</f>
        <v>49</v>
      </c>
      <c r="BH308" s="63" t="n">
        <f aca="false">IF(BD308&gt;0,J308/BD308,-1)</f>
        <v>1.5063829787234</v>
      </c>
      <c r="BI308" s="63" t="n">
        <f aca="false">IF(AND(OR(CG308="L1",CG308="L23",CG308="LIFT"),BD308&gt;0),SUMIFS($BD$7:$BD$1843,$CG$7:$CG$1843,CG308,$BH$7:$BH$1843,"&gt;"&amp;BH308)+SUMIFS($BD$7:$BD$1843,$CG$7:$CG$1843,CG308,$BH$7:$BH$1843,BH308,$BX$7:$BX$1843,"&lt;="&amp;BX308),"")</f>
        <v>6552.73946886447</v>
      </c>
      <c r="BJ308" s="70" t="n">
        <f aca="false">IF(BI308="",0,MAX(0,MIN(1,(IF(CG308="L1",Parameter!$H$5,IF(CG308="L23",Parameter!$H$6+Parameter!$H$7,Parameter!$H$5+Parameter!$H$6+Parameter!$H$7))-(BI308-BD308))/BD308)))</f>
        <v>1</v>
      </c>
      <c r="BK308" s="60" t="str">
        <f aca="false">IF(AJ308&lt;=0,"",IF(CG308="Aussen","Aussenlager",IF(CG308="-","Nicht im Lift",IF(AP308&gt;=1,"Lift",IF(AP308&lt;=0,"Aussenlager","teilweise")))))</f>
        <v>Lift</v>
      </c>
      <c r="BL308" s="60" t="str">
        <f aca="false">IF(AT308&lt;=0,"",IF(CG308="Aussen","Aussenlager",IF(CG308="-","Nicht im Lift",IF(AZ308&gt;=1,"Lift",IF(AZ308&lt;=0,"Aussenlager","teilweise")))))</f>
        <v>Lift</v>
      </c>
      <c r="BM308" s="60" t="str">
        <f aca="false">IF(BD308&lt;=0,"",IF(CG308="Aussen","Aussenlager",IF(CG308="-","Nicht im Lift",IF(BJ308&gt;=1,"Lift",IF(BJ308&lt;=0,"Aussenlager","teilweise")))))</f>
        <v>Lift</v>
      </c>
      <c r="BN308" s="60" t="str">
        <f aca="false">IF(A308="","",IF(BW308=1,"Neu; ","")&amp;IF(AND(BW308=0,BR308&lt;0),"negativer Bestand (Export "&amp;BR308&amp;"); ","")&amp;IF(J308&lt;=0,"Kein Verbrauch; ","")&amp;IF(CR308&gt;0,"Lift "&amp;W308&amp;" lt. Liftbericht (Fach "&amp;X308&amp;" Stk); ",IF(CB308=1,"Gebinde geschätzt ("&amp;T308&amp;"); ",IF(CA308=1,"Lose – Tablare geschätzt; ","")))&amp;IF(H308&gt;AW308,"Überbestand "&amp;ROUND(H308-AW308,0)&amp;" Stk / CHF "&amp;ROUND((H308-AW308)*G308,0)&amp;"; ","")&amp;IF(AND(CI308=1,CJ308&lt;CK308),"MAX &lt; MB+LG; ","")&amp;IF(AND(CQ308&gt;0,CP308*10&gt;CQ308),"zu hoch für Tablar; ","")&amp;IF(AND(BW308=0,OR(CI308=1,AB308&lt;&gt;"",U308&lt;&gt;"",V308&lt;&gt;"",AC308&lt;&gt;"")),"manuell übersteuert; ","")&amp;IF(AND(CA308=0,R308=0),"Gebinde unbekannt / Stellmass fehlt; ","")&amp;IF(AND(CA308=0,N(V308)&lt;=0,N(Q308)&lt;=0),"Menge pro Gebinde fehlt (Ist = 1 Gebinde); ","")&amp;BV308)</f>
        <v/>
      </c>
      <c r="BO308" s="60"/>
      <c r="BP308" s="60"/>
      <c r="BQ308" s="67"/>
      <c r="BR308" s="62" t="n">
        <v>1</v>
      </c>
      <c r="BS308" s="62" t="n">
        <v>17</v>
      </c>
      <c r="BT308" s="61" t="n">
        <v>258.500000000026</v>
      </c>
      <c r="BU308" s="62" t="n">
        <v>118</v>
      </c>
      <c r="BV308" s="60"/>
      <c r="BW308" s="65" t="n">
        <v>0</v>
      </c>
      <c r="BX308" s="65" t="n">
        <v>308</v>
      </c>
      <c r="BY308" s="60" t="str">
        <f aca="false">IF(U308&lt;&gt;"",UPPER(TRIM(U308)),IF(CB308=1,UPPER(VLOOKUP(T308,Parameter!$I$27:$K$29,2,0)),IF(P308="","LOSE",P308)))</f>
        <v>S71</v>
      </c>
      <c r="BZ308" s="62" t="n">
        <f aca="false">IF(BY308="LOSE",1,IF(N(V308)&gt;0,V308,IF(CB308=1,MAX(1,N(VLOOKUP(T308,Parameter!$I$27:$K$29,3,0)),H308,N(N308)),IF(N(Q308)&gt;0,Q308,MAX(1,H308)))))</f>
        <v>20</v>
      </c>
      <c r="CA308" s="65" t="n">
        <f aca="false">IF(BY308="LOSE",1,0)</f>
        <v>0</v>
      </c>
      <c r="CB308" s="65" t="n">
        <f aca="false">IF(AND(U308="",OR(P308="",P308="LOSE"),T308&lt;&gt;"",N(S308)&lt;=0,ISNUMBER(MATCH(T308,Parameter!$I$27:$I$29,0))),1,0)</f>
        <v>0</v>
      </c>
      <c r="CC308" s="65" t="n">
        <f aca="false">IF(CR308&gt;0,INDEX(Parameter!$H$5:$H$7,W308)/INDEX(Parameter!$E$5:$E$7,W308),IF(AND(CA308=0,N(IFERROR(VLOOKUP(BY308,'Gebinde-Kategorie'!$A$5:$N$45,14,0),0))&gt;0),VLOOKUP(BY308,'Gebinde-Kategorie'!$A$5:$N$45,14,0)*10+Parameter!$M$23,Parameter!$M$24))</f>
        <v>235</v>
      </c>
      <c r="CD308" s="60" t="n">
        <f aca="false">IF(AND(Parameter!$B$19="Ja",E308&lt;&gt;"",ISNUMBER(MATCH(E308,Parameter!$I$35:$I$52,0))),VLOOKUP(E308,Parameter!$I$35:$J$52,2,0),IFERROR(VLOOKUP(D308,Parameter!$A$35:$C$64,2,0),"Nein"))</f>
        <v>1</v>
      </c>
      <c r="CE308" s="64" t="n">
        <f aca="false">IF(CA308=0,0,IF(N(S308)&gt;0,S308,IFERROR(VLOOKUP(D308,Parameter!$A$35:$C$64,3,0)+0,0)))</f>
        <v>0</v>
      </c>
      <c r="CF308" s="60" t="n">
        <f aca="false">IF(AB308&lt;&gt;"",AB308,AA308)</f>
        <v>2</v>
      </c>
      <c r="CG308" s="60" t="str">
        <f aca="false">IF(OR(CF308=1,CF308=2,CF308=3),IF(Parameter!$E$27="Ja","LIFT",IF(CF308=1,"L1","L23")),IF(CF308="Aussen","Aussen","-"))</f>
        <v>LIFT</v>
      </c>
      <c r="CH308" s="71" t="n">
        <f aca="false">IF(N(AC308)&gt;0,AC308,0)</f>
        <v>0</v>
      </c>
      <c r="CI308" s="65" t="n">
        <f aca="false">IF(ISNUMBER(AF308),1,0)</f>
        <v>0</v>
      </c>
      <c r="CJ308" s="62" t="n">
        <f aca="false">N(AF308)</f>
        <v>0</v>
      </c>
      <c r="CK308" s="62" t="n">
        <f aca="false">N(M308)+N(N308)</f>
        <v>35</v>
      </c>
      <c r="CL308" s="62" t="n">
        <f aca="false">N(M308)</f>
        <v>10</v>
      </c>
      <c r="CM308" s="62" t="n">
        <f aca="false">N(N308)</f>
        <v>25</v>
      </c>
      <c r="CN308" s="62" t="n">
        <f aca="false">ROUNDUP(H308/BZ308,0)</f>
        <v>1</v>
      </c>
      <c r="CO308" s="62" t="n">
        <f aca="false">ROUNDUP(CJ308/BZ308,0)</f>
        <v>0</v>
      </c>
      <c r="CP308" s="65" t="n">
        <f aca="false">IF(CA308=1,0,IFERROR(VLOOKUP(BY308,'Gebinde-Kategorie'!$A$5:$N$45,5,0)+0,0))</f>
        <v>20</v>
      </c>
      <c r="CQ308" s="65" t="n">
        <f aca="false">IFERROR(IF(OR(CF308=1,CF308=2,CF308=3),N(INDEX(Parameter!$I$5:$I$7,CF308)),0),0)</f>
        <v>0</v>
      </c>
      <c r="CR308" s="64" t="n">
        <f aca="false">IF(AND(Parameter!$B$21="Ja",ISNUMBER(W308),N(X308)&gt;0),IFERROR(N(INDEX(Parameter!$L$5:$L$7,W308))*INDEX(Parameter!$E$5:$E$7,W308)*X308/SUMIFS($X$7:$X$1843,$W$7:$W$1843,W308),0),0)</f>
        <v>0</v>
      </c>
      <c r="CS308" s="62" t="n">
        <f aca="false">IF(AND(OR(CG308="L1",CG308="L23",CG308="LIFT"),H308&gt;0),CC308*IF(CR308&gt;0,CR308*MAX(1,H308/X308),IF(CA308=1,CE308,IF(R308&gt;0,CN308/R308,0))/MAX(0.1,N(Parameter!$M$21))),"")</f>
        <v>39.1666666666667</v>
      </c>
      <c r="CT308" s="64" t="n">
        <f aca="false">IF(CS308="","",J308/H308)</f>
        <v>6.55555555555556</v>
      </c>
      <c r="CU308" s="62" t="n">
        <f aca="false">IF(CS308="","",H308*G308)</f>
        <v>8143.2</v>
      </c>
      <c r="CV308" s="63" t="n">
        <f aca="false">IF(CS308="","",(CL308+ROUNDUP(CL308+MAX(CM308,2*(J308/MAX(0.1,N(Einkauf!$C$6))-CL308)),0))/2)</f>
        <v>29.5</v>
      </c>
      <c r="CW308" s="62" t="n">
        <f aca="false">IF(CS308="","",MAX(0,H308-CV308)*G308)</f>
        <v>0</v>
      </c>
      <c r="CX308" s="62" t="n">
        <f aca="false">IF(CS308="","",CS308*MAX(0,1-CV308/H308))</f>
        <v>0</v>
      </c>
      <c r="CY308" s="64" t="n">
        <f aca="false">IF(CS308="","",PERCENTRANK($CS$7:$CS$1843,CS308)+PERCENTRANK($CU$7:$CU$1843,CU308)+1-PERCENTRANK($CT$7:$CT$1843,CT308))</f>
        <v>1.826</v>
      </c>
      <c r="CZ308" s="72" t="n">
        <f aca="false">IF(CS308="","",CHOOSE(MATCH(Einkauf!$C$5,Parameter!$G$23:$G$27,0),CY308,CS308,CU308,-CT308,CW308)+ROW()/1000000000)</f>
        <v>1.826000308</v>
      </c>
    </row>
    <row r="309" customFormat="false" ht="15" hidden="false" customHeight="false" outlineLevel="0" collapsed="false">
      <c r="A309" s="60" t="s">
        <v>827</v>
      </c>
      <c r="B309" s="60" t="s">
        <v>828</v>
      </c>
      <c r="C309" s="60" t="s">
        <v>206</v>
      </c>
      <c r="D309" s="60" t="s">
        <v>215</v>
      </c>
      <c r="E309" s="60"/>
      <c r="F309" s="60" t="s">
        <v>260</v>
      </c>
      <c r="G309" s="61" t="n">
        <v>258.1</v>
      </c>
      <c r="H309" s="62" t="n">
        <f aca="false">MAX(0,IF(AND(Parameter!$B$21="Ja",ISNUMBER(Y309)),Y309,IF(Parameter!$B$20="Jahresanfang 2025 + Export",BS309+BR309,BR309)))</f>
        <v>8</v>
      </c>
      <c r="I309" s="62" t="n">
        <f aca="false">H309*G309</f>
        <v>2064.8</v>
      </c>
      <c r="J309" s="62" t="n">
        <f aca="false">BU309*Parameter!$B$18</f>
        <v>0</v>
      </c>
      <c r="K309" s="63" t="n">
        <v>7.5</v>
      </c>
      <c r="L309" s="64" t="n">
        <v>0</v>
      </c>
      <c r="M309" s="62" t="n">
        <v>0</v>
      </c>
      <c r="N309" s="62" t="n">
        <v>1</v>
      </c>
      <c r="O309" s="65" t="n">
        <v>28</v>
      </c>
      <c r="P309" s="60" t="s">
        <v>210</v>
      </c>
      <c r="Q309" s="62"/>
      <c r="R309" s="65" t="n">
        <f aca="false">IF(CA309=1,0,IFERROR(VLOOKUP(BY309,'Gebinde-Kategorie'!$A$5:$N$45,13,0)+0,0))</f>
        <v>12</v>
      </c>
      <c r="S309" s="66"/>
      <c r="T309" s="67" t="s">
        <v>221</v>
      </c>
      <c r="U309" s="67"/>
      <c r="V309" s="67"/>
      <c r="W309" s="60"/>
      <c r="X309" s="62"/>
      <c r="Y309" s="62"/>
      <c r="Z309" s="60" t="n">
        <v>3</v>
      </c>
      <c r="AA309" s="60" t="n">
        <f aca="false">IF(A309="","",IF(AND(Parameter!$B$21="Ja",ISNUMBER(W309)),W309,IF(AND(Parameter!$E$27="Ja",ISNUMBER(Z309),CD309&lt;&gt;"Nein"),Z309,IF(CD309="2+3",IF(ISNUMBER(SEARCH("grosser Artikel",BV309)),2,IFERROR(VLOOKUP(BY309,Parameter!$F$35:$G$64,2,0),2)),IF(OR(CD309="Nein",CD309=""),"-",CD309)))))</f>
        <v>3</v>
      </c>
      <c r="AB309" s="67"/>
      <c r="AC309" s="68"/>
      <c r="AD309" s="62" t="n">
        <f aca="false">AW309</f>
        <v>1</v>
      </c>
      <c r="AE309" s="62" t="n">
        <f aca="false">MAX(AW309,H309)</f>
        <v>8</v>
      </c>
      <c r="AF309" s="69"/>
      <c r="AG309" s="62" t="n">
        <f aca="false">IF(LEFT(Cockpit!$C$5,1)="A",H309,IF(Parameter!$E$30="MAX-Bestand",IF(CI309=1,CJ309,IF(LEFT(Cockpit!$C$5,1)="B",AM309,MAX(AM309,H309))),ROUNDUP(AK309,0)))</f>
        <v>8</v>
      </c>
      <c r="AH309" s="62" t="n">
        <f aca="false">IF(CA309=1,0,ROUNDUP(AG309/BZ309,0))</f>
        <v>1</v>
      </c>
      <c r="AI309" s="64" t="n">
        <f aca="false">IF(CR309&gt;0,CR309*MAX(1,AG309/X309),IF(CA309=1,IF(AG309&lt;=0,0,CE309*MAX(1,IF(H309&gt;0,AG309/H309,1))),IF(R309&gt;0,AH309/R309,0))/MAX(0.1,N(Parameter!$M$21)))</f>
        <v>0.0833333333333333</v>
      </c>
      <c r="AJ309" s="62" t="n">
        <f aca="false">AI309*CC309</f>
        <v>12.0833333333333</v>
      </c>
      <c r="AK309" s="63" t="n">
        <f aca="false">IF(LEFT(Cockpit!$C$5,1)="A",H309,IF(CI309=1,(CL309+CJ309)/2,IF(LEFT(Cockpit!$C$5,1)="B",(CL309+AM309)/2,MAX((CL309+AM309)/2,H309))))</f>
        <v>8</v>
      </c>
      <c r="AL309" s="62" t="n">
        <f aca="false">AK309*G309</f>
        <v>2064.8</v>
      </c>
      <c r="AM309" s="62" t="n">
        <f aca="false">ROUNDUP(CL309+MAX(CM309,2*(J309/IF(CH309&gt;0,CH309,MAX(0.1,N(Cockpit!$C$6)))-CL309)),0)</f>
        <v>1</v>
      </c>
      <c r="AN309" s="63" t="n">
        <f aca="false">IF(AJ309&gt;0,J309/AJ309,-1)</f>
        <v>0</v>
      </c>
      <c r="AO309" s="63" t="n">
        <f aca="false">IF(AND(OR(CG309="L1",CG309="L23",CG309="LIFT"),AJ309&gt;0),SUMIFS($AJ$7:$AJ$1843,$CG$7:$CG$1843,CG309,$AN$7:$AN$1843,"&gt;"&amp;AN309)+SUMIFS($AJ$7:$AJ$1843,$CG$7:$CG$1843,CG309,$AN$7:$AN$1843,AN309,$BX$7:$BX$1843,"&lt;="&amp;BX309),"")</f>
        <v>27888.7780985493</v>
      </c>
      <c r="AP309" s="70" t="n">
        <f aca="false">IF(AO309="",0,MAX(0,MIN(1,(IF(CG309="L1",Parameter!$H$5,IF(CG309="L23",Parameter!$H$6+Parameter!$H$7,Parameter!$H$5+Parameter!$H$6+Parameter!$H$7))-(AO309-AJ309))/AJ309)))</f>
        <v>1</v>
      </c>
      <c r="AQ309" s="62" t="n">
        <f aca="false">IF(LEFT(Cockpit!$I$5,1)="A",H309,IF(Parameter!$E$30="MAX-Bestand",IF(CI309=1,CJ309,IF(LEFT(Cockpit!$I$5,1)="B",AW309,MAX(AW309,H309))),ROUNDUP(AU309,0)))</f>
        <v>8</v>
      </c>
      <c r="AR309" s="62" t="n">
        <f aca="false">IF(CA309=1,0,ROUNDUP(AQ309/BZ309,0))</f>
        <v>1</v>
      </c>
      <c r="AS309" s="64" t="n">
        <f aca="false">IF(CR309&gt;0,CR309*MAX(1,AQ309/X309),IF(CA309=1,IF(AQ309&lt;=0,0,CE309*MAX(1,IF(H309&gt;0,AQ309/H309,1))),IF(R309&gt;0,AR309/R309,0))/MAX(0.1,N(Parameter!$M$21)))</f>
        <v>0.0833333333333333</v>
      </c>
      <c r="AT309" s="62" t="n">
        <f aca="false">AS309*CC309</f>
        <v>12.0833333333333</v>
      </c>
      <c r="AU309" s="63" t="n">
        <f aca="false">IF(LEFT(Cockpit!$I$5,1)="A",H309,IF(CI309=1,(CL309+CJ309)/2,IF(LEFT(Cockpit!$I$5,1)="B",(CL309+AW309)/2,MAX((CL309+AW309)/2,H309))))</f>
        <v>8</v>
      </c>
      <c r="AV309" s="62" t="n">
        <f aca="false">AU309*G309</f>
        <v>2064.8</v>
      </c>
      <c r="AW309" s="62" t="n">
        <f aca="false">ROUNDUP(CL309+MAX(CM309,2*(J309/IF(CH309&gt;0,CH309,MAX(0.1,N(Cockpit!$I$6)))-CL309)),0)</f>
        <v>1</v>
      </c>
      <c r="AX309" s="63" t="n">
        <f aca="false">IF(AT309&gt;0,J309/AT309,-1)</f>
        <v>0</v>
      </c>
      <c r="AY309" s="63" t="n">
        <f aca="false">IF(AND(OR(CG309="L1",CG309="L23",CG309="LIFT"),AT309&gt;0),SUMIFS($AT$7:$AT$1843,$CG$7:$CG$1843,CG309,$AX$7:$AX$1843,"&gt;"&amp;AX309)+SUMIFS($AT$7:$AT$1843,$CG$7:$CG$1843,CG309,$AX$7:$AX$1843,AX309,$BX$7:$BX$1843,"&lt;="&amp;BX309),"")</f>
        <v>33241.9267399267</v>
      </c>
      <c r="AZ309" s="70" t="n">
        <f aca="false">IF(AY309="",0,MAX(0,MIN(1,(IF(CG309="L1",Parameter!$H$5,IF(CG309="L23",Parameter!$H$6+Parameter!$H$7,Parameter!$H$5+Parameter!$H$6+Parameter!$H$7))-(AY309-AT309))/AT309)))</f>
        <v>1</v>
      </c>
      <c r="BA309" s="62" t="n">
        <f aca="false">IF(LEFT(Cockpit!$O$5,1)="A",H309,IF(Parameter!$E$30="MAX-Bestand",IF(CI309=1,CJ309,IF(LEFT(Cockpit!$O$5,1)="B",BG309,MAX(BG309,H309))),ROUNDUP(BE309,0)))</f>
        <v>1</v>
      </c>
      <c r="BB309" s="62" t="n">
        <f aca="false">IF(CA309=1,0,ROUNDUP(BA309/BZ309,0))</f>
        <v>1</v>
      </c>
      <c r="BC309" s="64" t="n">
        <f aca="false">IF(CR309&gt;0,CR309*MAX(1,BA309/X309),IF(CA309=1,IF(BA309&lt;=0,0,CE309*MAX(1,IF(H309&gt;0,BA309/H309,1))),IF(R309&gt;0,BB309/R309,0))/MAX(0.1,N(Parameter!$M$21)))</f>
        <v>0.0833333333333333</v>
      </c>
      <c r="BD309" s="62" t="n">
        <f aca="false">BC309*CC309</f>
        <v>12.0833333333333</v>
      </c>
      <c r="BE309" s="63" t="n">
        <f aca="false">IF(LEFT(Cockpit!$O$5,1)="A",H309,IF(CI309=1,(CL309+CJ309)/2,IF(LEFT(Cockpit!$O$5,1)="B",(CL309+BG309)/2,MAX((CL309+BG309)/2,H309))))</f>
        <v>0.5</v>
      </c>
      <c r="BF309" s="62" t="n">
        <f aca="false">BE309*G309</f>
        <v>129.05</v>
      </c>
      <c r="BG309" s="62" t="n">
        <f aca="false">ROUNDUP(CL309+MAX(CM309,2*(J309/IF(CH309&gt;0,CH309,MAX(0.1,N(Cockpit!$O$6)))-CL309)),0)</f>
        <v>1</v>
      </c>
      <c r="BH309" s="63" t="n">
        <f aca="false">IF(BD309&gt;0,J309/BD309,-1)</f>
        <v>0</v>
      </c>
      <c r="BI309" s="63" t="n">
        <f aca="false">IF(AND(OR(CG309="L1",CG309="L23",CG309="LIFT"),BD309&gt;0),SUMIFS($BD$7:$BD$1843,$CG$7:$CG$1843,CG309,$BH$7:$BH$1843,"&gt;"&amp;BH309)+SUMIFS($BD$7:$BD$1843,$CG$7:$CG$1843,CG309,$BH$7:$BH$1843,BH309,$BX$7:$BX$1843,"&lt;="&amp;BX309),"")</f>
        <v>27367.3867883529</v>
      </c>
      <c r="BJ309" s="70" t="n">
        <f aca="false">IF(BI309="",0,MAX(0,MIN(1,(IF(CG309="L1",Parameter!$H$5,IF(CG309="L23",Parameter!$H$6+Parameter!$H$7,Parameter!$H$5+Parameter!$H$6+Parameter!$H$7))-(BI309-BD309))/BD309)))</f>
        <v>1</v>
      </c>
      <c r="BK309" s="60" t="str">
        <f aca="false">IF(AJ309&lt;=0,"",IF(CG309="Aussen","Aussenlager",IF(CG309="-","Nicht im Lift",IF(AP309&gt;=1,"Lift",IF(AP309&lt;=0,"Aussenlager","teilweise")))))</f>
        <v>Lift</v>
      </c>
      <c r="BL309" s="60" t="str">
        <f aca="false">IF(AT309&lt;=0,"",IF(CG309="Aussen","Aussenlager",IF(CG309="-","Nicht im Lift",IF(AZ309&gt;=1,"Lift",IF(AZ309&lt;=0,"Aussenlager","teilweise")))))</f>
        <v>Lift</v>
      </c>
      <c r="BM309" s="60" t="str">
        <f aca="false">IF(BD309&lt;=0,"",IF(CG309="Aussen","Aussenlager",IF(CG309="-","Nicht im Lift",IF(BJ309&gt;=1,"Lift",IF(BJ309&lt;=0,"Aussenlager","teilweise")))))</f>
        <v>Lift</v>
      </c>
      <c r="BN309" s="60" t="str">
        <f aca="false">IF(A309="","",IF(BW309=1,"Neu; ","")&amp;IF(AND(BW309=0,BR309&lt;0),"negativer Bestand (Export "&amp;BR309&amp;"); ","")&amp;IF(J309&lt;=0,"Kein Verbrauch; ","")&amp;IF(CR309&gt;0,"Lift "&amp;W309&amp;" lt. Liftbericht (Fach "&amp;X309&amp;" Stk); ",IF(CB309=1,"Gebinde geschätzt ("&amp;T309&amp;"); ",IF(CA309=1,"Lose – Tablare geschätzt; ","")))&amp;IF(H309&gt;AW309,"Überbestand "&amp;ROUND(H309-AW309,0)&amp;" Stk / CHF "&amp;ROUND((H309-AW309)*G309,0)&amp;"; ","")&amp;IF(AND(CI309=1,CJ309&lt;CK309),"MAX &lt; MB+LG; ","")&amp;IF(AND(CQ309&gt;0,CP309*10&gt;CQ309),"zu hoch für Tablar; ","")&amp;IF(AND(BW309=0,OR(CI309=1,AB309&lt;&gt;"",U309&lt;&gt;"",V309&lt;&gt;"",AC309&lt;&gt;"")),"manuell übersteuert; ","")&amp;IF(AND(CA309=0,R309=0),"Gebinde unbekannt / Stellmass fehlt; ","")&amp;IF(AND(CA309=0,N(V309)&lt;=0,N(Q309)&lt;=0),"Menge pro Gebinde fehlt (Ist = 1 Gebinde); ","")&amp;BV309)</f>
        <v>Kein Verbrauch; Gebinde geschätzt (Mittel); Überbestand 7 Stk / CHF 1807; Menge pro Gebinde fehlt (Ist = 1 Gebinde); </v>
      </c>
      <c r="BO309" s="60"/>
      <c r="BP309" s="60"/>
      <c r="BQ309" s="67"/>
      <c r="BR309" s="62" t="n">
        <v>1</v>
      </c>
      <c r="BS309" s="62" t="n">
        <v>7</v>
      </c>
      <c r="BT309" s="61" t="n">
        <v>258.1</v>
      </c>
      <c r="BU309" s="62" t="n">
        <v>0</v>
      </c>
      <c r="BV309" s="60"/>
      <c r="BW309" s="65" t="n">
        <v>0</v>
      </c>
      <c r="BX309" s="65" t="n">
        <v>309</v>
      </c>
      <c r="BY309" s="60" t="str">
        <f aca="false">IF(U309&lt;&gt;"",UPPER(TRIM(U309)),IF(CB309=1,UPPER(VLOOKUP(T309,Parameter!$I$27:$K$29,2,0)),IF(P309="","LOSE",P309)))</f>
        <v>S61</v>
      </c>
      <c r="BZ309" s="62" t="n">
        <f aca="false">IF(BY309="LOSE",1,IF(N(V309)&gt;0,V309,IF(CB309=1,MAX(1,N(VLOOKUP(T309,Parameter!$I$27:$K$29,3,0)),H309,N(N309)),IF(N(Q309)&gt;0,Q309,MAX(1,H309)))))</f>
        <v>8</v>
      </c>
      <c r="CA309" s="65" t="n">
        <f aca="false">IF(BY309="LOSE",1,0)</f>
        <v>0</v>
      </c>
      <c r="CB309" s="65" t="n">
        <f aca="false">IF(AND(U309="",OR(P309="",P309="LOSE"),T309&lt;&gt;"",N(S309)&lt;=0,ISNUMBER(MATCH(T309,Parameter!$I$27:$I$29,0))),1,0)</f>
        <v>1</v>
      </c>
      <c r="CC309" s="65" t="n">
        <f aca="false">IF(CR309&gt;0,INDEX(Parameter!$H$5:$H$7,W309)/INDEX(Parameter!$E$5:$E$7,W309),IF(AND(CA309=0,N(IFERROR(VLOOKUP(BY309,'Gebinde-Kategorie'!$A$5:$N$45,14,0),0))&gt;0),VLOOKUP(BY309,'Gebinde-Kategorie'!$A$5:$N$45,14,0)*10+Parameter!$M$23,Parameter!$M$24))</f>
        <v>145</v>
      </c>
      <c r="CD309" s="60" t="str">
        <f aca="false">IF(AND(Parameter!$B$19="Ja",E309&lt;&gt;"",ISNUMBER(MATCH(E309,Parameter!$I$35:$I$52,0))),VLOOKUP(E309,Parameter!$I$35:$J$52,2,0),IFERROR(VLOOKUP(D309,Parameter!$A$35:$C$64,2,0),"Nein"))</f>
        <v>2+3</v>
      </c>
      <c r="CE309" s="64" t="n">
        <f aca="false">IF(CA309=0,0,IF(N(S309)&gt;0,S309,IFERROR(VLOOKUP(D309,Parameter!$A$35:$C$64,3,0)+0,0)))</f>
        <v>0</v>
      </c>
      <c r="CF309" s="60" t="n">
        <f aca="false">IF(AB309&lt;&gt;"",AB309,AA309)</f>
        <v>3</v>
      </c>
      <c r="CG309" s="60" t="str">
        <f aca="false">IF(OR(CF309=1,CF309=2,CF309=3),IF(Parameter!$E$27="Ja","LIFT",IF(CF309=1,"L1","L23")),IF(CF309="Aussen","Aussen","-"))</f>
        <v>LIFT</v>
      </c>
      <c r="CH309" s="71" t="n">
        <f aca="false">IF(N(AC309)&gt;0,AC309,0)</f>
        <v>0</v>
      </c>
      <c r="CI309" s="65" t="n">
        <f aca="false">IF(ISNUMBER(AF309),1,0)</f>
        <v>0</v>
      </c>
      <c r="CJ309" s="62" t="n">
        <f aca="false">N(AF309)</f>
        <v>0</v>
      </c>
      <c r="CK309" s="62" t="n">
        <f aca="false">N(M309)+N(N309)</f>
        <v>1</v>
      </c>
      <c r="CL309" s="62" t="n">
        <f aca="false">N(M309)</f>
        <v>0</v>
      </c>
      <c r="CM309" s="62" t="n">
        <f aca="false">N(N309)</f>
        <v>1</v>
      </c>
      <c r="CN309" s="62" t="n">
        <f aca="false">ROUNDUP(H309/BZ309,0)</f>
        <v>1</v>
      </c>
      <c r="CO309" s="62" t="n">
        <f aca="false">ROUNDUP(CJ309/BZ309,0)</f>
        <v>0</v>
      </c>
      <c r="CP309" s="65" t="n">
        <f aca="false">IF(CA309=1,0,IFERROR(VLOOKUP(BY309,'Gebinde-Kategorie'!$A$5:$N$45,5,0)+0,0))</f>
        <v>11</v>
      </c>
      <c r="CQ309" s="65" t="n">
        <f aca="false">IFERROR(IF(OR(CF309=1,CF309=2,CF309=3),N(INDEX(Parameter!$I$5:$I$7,CF309)),0),0)</f>
        <v>0</v>
      </c>
      <c r="CR309" s="64" t="n">
        <f aca="false">IF(AND(Parameter!$B$21="Ja",ISNUMBER(W309),N(X309)&gt;0),IFERROR(N(INDEX(Parameter!$L$5:$L$7,W309))*INDEX(Parameter!$E$5:$E$7,W309)*X309/SUMIFS($X$7:$X$1843,$W$7:$W$1843,W309),0),0)</f>
        <v>0</v>
      </c>
      <c r="CS309" s="62" t="n">
        <f aca="false">IF(AND(OR(CG309="L1",CG309="L23",CG309="LIFT"),H309&gt;0),CC309*IF(CR309&gt;0,CR309*MAX(1,H309/X309),IF(CA309=1,CE309,IF(R309&gt;0,CN309/R309,0))/MAX(0.1,N(Parameter!$M$21))),"")</f>
        <v>12.0833333333333</v>
      </c>
      <c r="CT309" s="64" t="n">
        <f aca="false">IF(CS309="","",J309/H309)</f>
        <v>0</v>
      </c>
      <c r="CU309" s="62" t="n">
        <f aca="false">IF(CS309="","",H309*G309)</f>
        <v>2064.8</v>
      </c>
      <c r="CV309" s="63" t="n">
        <f aca="false">IF(CS309="","",(CL309+ROUNDUP(CL309+MAX(CM309,2*(J309/MAX(0.1,N(Einkauf!$C$6))-CL309)),0))/2)</f>
        <v>0.5</v>
      </c>
      <c r="CW309" s="62" t="n">
        <f aca="false">IF(CS309="","",MAX(0,H309-CV309)*G309)</f>
        <v>1935.75</v>
      </c>
      <c r="CX309" s="62" t="n">
        <f aca="false">IF(CS309="","",CS309*MAX(0,1-CV309/H309))</f>
        <v>11.328125</v>
      </c>
      <c r="CY309" s="64" t="n">
        <f aca="false">IF(CS309="","",PERCENTRANK($CS$7:$CS$1843,CS309)+PERCENTRANK($CU$7:$CU$1843,CU309)+1-PERCENTRANK($CT$7:$CT$1843,CT309))</f>
        <v>2.436</v>
      </c>
      <c r="CZ309" s="72" t="n">
        <f aca="false">IF(CS309="","",CHOOSE(MATCH(Einkauf!$C$5,Parameter!$G$23:$G$27,0),CY309,CS309,CU309,-CT309,CW309)+ROW()/1000000000)</f>
        <v>2.436000309</v>
      </c>
    </row>
    <row r="310" customFormat="false" ht="15" hidden="false" customHeight="false" outlineLevel="0" collapsed="false">
      <c r="A310" s="60" t="s">
        <v>829</v>
      </c>
      <c r="B310" s="60" t="s">
        <v>830</v>
      </c>
      <c r="C310" s="60" t="s">
        <v>206</v>
      </c>
      <c r="D310" s="60" t="s">
        <v>215</v>
      </c>
      <c r="E310" s="60"/>
      <c r="F310" s="60" t="s">
        <v>260</v>
      </c>
      <c r="G310" s="61" t="n">
        <v>32.17</v>
      </c>
      <c r="H310" s="62" t="n">
        <f aca="false">MAX(0,IF(AND(Parameter!$B$21="Ja",ISNUMBER(Y310)),Y310,IF(Parameter!$B$20="Jahresanfang 2025 + Export",BS310+BR310,BR310)))</f>
        <v>19</v>
      </c>
      <c r="I310" s="62" t="n">
        <f aca="false">H310*G310</f>
        <v>611.23</v>
      </c>
      <c r="J310" s="62" t="n">
        <f aca="false">BU310*Parameter!$B$18</f>
        <v>22</v>
      </c>
      <c r="K310" s="63" t="n">
        <v>4.5</v>
      </c>
      <c r="L310" s="64" t="n">
        <v>4.88888888888889</v>
      </c>
      <c r="M310" s="62" t="n">
        <v>5</v>
      </c>
      <c r="N310" s="62" t="n">
        <v>30</v>
      </c>
      <c r="O310" s="65" t="n">
        <v>90</v>
      </c>
      <c r="P310" s="60" t="s">
        <v>228</v>
      </c>
      <c r="Q310" s="62" t="n">
        <v>15</v>
      </c>
      <c r="R310" s="65" t="n">
        <f aca="false">IF(CA310=1,0,IFERROR(VLOOKUP(BY310,'Gebinde-Kategorie'!$A$5:$N$45,13,0)+0,0))</f>
        <v>12</v>
      </c>
      <c r="S310" s="66"/>
      <c r="T310" s="67"/>
      <c r="U310" s="67"/>
      <c r="V310" s="67"/>
      <c r="W310" s="60"/>
      <c r="X310" s="62"/>
      <c r="Y310" s="62"/>
      <c r="Z310" s="60" t="n">
        <v>3</v>
      </c>
      <c r="AA310" s="60" t="n">
        <f aca="false">IF(A310="","",IF(AND(Parameter!$B$21="Ja",ISNUMBER(W310)),W310,IF(AND(Parameter!$E$27="Ja",ISNUMBER(Z310),CD310&lt;&gt;"Nein"),Z310,IF(CD310="2+3",IF(ISNUMBER(SEARCH("grosser Artikel",BV310)),2,IFERROR(VLOOKUP(BY310,Parameter!$F$35:$G$64,2,0),2)),IF(OR(CD310="Nein",CD310=""),"-",CD310)))))</f>
        <v>3</v>
      </c>
      <c r="AB310" s="67"/>
      <c r="AC310" s="68"/>
      <c r="AD310" s="62" t="n">
        <f aca="false">AW310</f>
        <v>35</v>
      </c>
      <c r="AE310" s="62" t="n">
        <f aca="false">MAX(AW310,H310)</f>
        <v>35</v>
      </c>
      <c r="AF310" s="69"/>
      <c r="AG310" s="62" t="n">
        <f aca="false">IF(LEFT(Cockpit!$C$5,1)="A",H310,IF(Parameter!$E$30="MAX-Bestand",IF(CI310=1,CJ310,IF(LEFT(Cockpit!$C$5,1)="B",AM310,MAX(AM310,H310))),ROUNDUP(AK310,0)))</f>
        <v>19</v>
      </c>
      <c r="AH310" s="62" t="n">
        <f aca="false">IF(CA310=1,0,ROUNDUP(AG310/BZ310,0))</f>
        <v>2</v>
      </c>
      <c r="AI310" s="64" t="n">
        <f aca="false">IF(CR310&gt;0,CR310*MAX(1,AG310/X310),IF(CA310=1,IF(AG310&lt;=0,0,CE310*MAX(1,IF(H310&gt;0,AG310/H310,1))),IF(R310&gt;0,AH310/R310,0))/MAX(0.1,N(Parameter!$M$21)))</f>
        <v>0.166666666666667</v>
      </c>
      <c r="AJ310" s="62" t="n">
        <f aca="false">AI310*CC310</f>
        <v>24.1666666666667</v>
      </c>
      <c r="AK310" s="63" t="n">
        <f aca="false">IF(LEFT(Cockpit!$C$5,1)="A",H310,IF(CI310=1,(CL310+CJ310)/2,IF(LEFT(Cockpit!$C$5,1)="B",(CL310+AM310)/2,MAX((CL310+AM310)/2,H310))))</f>
        <v>19</v>
      </c>
      <c r="AL310" s="62" t="n">
        <f aca="false">AK310*G310</f>
        <v>611.23</v>
      </c>
      <c r="AM310" s="62" t="n">
        <f aca="false">ROUNDUP(CL310+MAX(CM310,2*(J310/IF(CH310&gt;0,CH310,MAX(0.1,N(Cockpit!$C$6)))-CL310)),0)</f>
        <v>35</v>
      </c>
      <c r="AN310" s="63" t="n">
        <f aca="false">IF(AJ310&gt;0,J310/AJ310,-1)</f>
        <v>0.910344827586207</v>
      </c>
      <c r="AO310" s="63" t="n">
        <f aca="false">IF(AND(OR(CG310="L1",CG310="L23",CG310="LIFT"),AJ310&gt;0),SUMIFS($AJ$7:$AJ$1843,$CG$7:$CG$1843,CG310,$AN$7:$AN$1843,"&gt;"&amp;AN310)+SUMIFS($AJ$7:$AJ$1843,$CG$7:$CG$1843,CG310,$AN$7:$AN$1843,AN310,$BX$7:$BX$1843,"&lt;="&amp;BX310),"")</f>
        <v>7455.12225274725</v>
      </c>
      <c r="AP310" s="70" t="n">
        <f aca="false">IF(AO310="",0,MAX(0,MIN(1,(IF(CG310="L1",Parameter!$H$5,IF(CG310="L23",Parameter!$H$6+Parameter!$H$7,Parameter!$H$5+Parameter!$H$6+Parameter!$H$7))-(AO310-AJ310))/AJ310)))</f>
        <v>1</v>
      </c>
      <c r="AQ310" s="62" t="n">
        <f aca="false">IF(LEFT(Cockpit!$I$5,1)="A",H310,IF(Parameter!$E$30="MAX-Bestand",IF(CI310=1,CJ310,IF(LEFT(Cockpit!$I$5,1)="B",AW310,MAX(AW310,H310))),ROUNDUP(AU310,0)))</f>
        <v>20</v>
      </c>
      <c r="AR310" s="62" t="n">
        <f aca="false">IF(CA310=1,0,ROUNDUP(AQ310/BZ310,0))</f>
        <v>2</v>
      </c>
      <c r="AS310" s="64" t="n">
        <f aca="false">IF(CR310&gt;0,CR310*MAX(1,AQ310/X310),IF(CA310=1,IF(AQ310&lt;=0,0,CE310*MAX(1,IF(H310&gt;0,AQ310/H310,1))),IF(R310&gt;0,AR310/R310,0))/MAX(0.1,N(Parameter!$M$21)))</f>
        <v>0.166666666666667</v>
      </c>
      <c r="AT310" s="62" t="n">
        <f aca="false">AS310*CC310</f>
        <v>24.1666666666667</v>
      </c>
      <c r="AU310" s="63" t="n">
        <f aca="false">IF(LEFT(Cockpit!$I$5,1)="A",H310,IF(CI310=1,(CL310+CJ310)/2,IF(LEFT(Cockpit!$I$5,1)="B",(CL310+AW310)/2,MAX((CL310+AW310)/2,H310))))</f>
        <v>20</v>
      </c>
      <c r="AV310" s="62" t="n">
        <f aca="false">AU310*G310</f>
        <v>643.4</v>
      </c>
      <c r="AW310" s="62" t="n">
        <f aca="false">ROUNDUP(CL310+MAX(CM310,2*(J310/IF(CH310&gt;0,CH310,MAX(0.1,N(Cockpit!$I$6)))-CL310)),0)</f>
        <v>35</v>
      </c>
      <c r="AX310" s="63" t="n">
        <f aca="false">IF(AT310&gt;0,J310/AT310,-1)</f>
        <v>0.910344827586207</v>
      </c>
      <c r="AY310" s="63" t="n">
        <f aca="false">IF(AND(OR(CG310="L1",CG310="L23",CG310="LIFT"),AT310&gt;0),SUMIFS($AT$7:$AT$1843,$CG$7:$CG$1843,CG310,$AX$7:$AX$1843,"&gt;"&amp;AX310)+SUMIFS($AT$7:$AT$1843,$CG$7:$CG$1843,CG310,$AX$7:$AX$1843,AX310,$BX$7:$BX$1843,"&lt;="&amp;BX310),"")</f>
        <v>9029.56227106227</v>
      </c>
      <c r="AZ310" s="70" t="n">
        <f aca="false">IF(AY310="",0,MAX(0,MIN(1,(IF(CG310="L1",Parameter!$H$5,IF(CG310="L23",Parameter!$H$6+Parameter!$H$7,Parameter!$H$5+Parameter!$H$6+Parameter!$H$7))-(AY310-AT310))/AT310)))</f>
        <v>1</v>
      </c>
      <c r="BA310" s="62" t="n">
        <f aca="false">IF(LEFT(Cockpit!$O$5,1)="A",H310,IF(Parameter!$E$30="MAX-Bestand",IF(CI310=1,CJ310,IF(LEFT(Cockpit!$O$5,1)="B",BG310,MAX(BG310,H310))),ROUNDUP(BE310,0)))</f>
        <v>20</v>
      </c>
      <c r="BB310" s="62" t="n">
        <f aca="false">IF(CA310=1,0,ROUNDUP(BA310/BZ310,0))</f>
        <v>2</v>
      </c>
      <c r="BC310" s="64" t="n">
        <f aca="false">IF(CR310&gt;0,CR310*MAX(1,BA310/X310),IF(CA310=1,IF(BA310&lt;=0,0,CE310*MAX(1,IF(H310&gt;0,BA310/H310,1))),IF(R310&gt;0,BB310/R310,0))/MAX(0.1,N(Parameter!$M$21)))</f>
        <v>0.166666666666667</v>
      </c>
      <c r="BD310" s="62" t="n">
        <f aca="false">BC310*CC310</f>
        <v>24.1666666666667</v>
      </c>
      <c r="BE310" s="63" t="n">
        <f aca="false">IF(LEFT(Cockpit!$O$5,1)="A",H310,IF(CI310=1,(CL310+CJ310)/2,IF(LEFT(Cockpit!$O$5,1)="B",(CL310+BG310)/2,MAX((CL310+BG310)/2,H310))))</f>
        <v>20</v>
      </c>
      <c r="BF310" s="62" t="n">
        <f aca="false">BE310*G310</f>
        <v>643.4</v>
      </c>
      <c r="BG310" s="62" t="n">
        <f aca="false">ROUNDUP(CL310+MAX(CM310,2*(J310/IF(CH310&gt;0,CH310,MAX(0.1,N(Cockpit!$O$6)))-CL310)),0)</f>
        <v>35</v>
      </c>
      <c r="BH310" s="63" t="n">
        <f aca="false">IF(BD310&gt;0,J310/BD310,-1)</f>
        <v>0.910344827586207</v>
      </c>
      <c r="BI310" s="63" t="n">
        <f aca="false">IF(AND(OR(CG310="L1",CG310="L23",CG310="LIFT"),BD310&gt;0),SUMIFS($BD$7:$BD$1843,$CG$7:$CG$1843,CG310,$BH$7:$BH$1843,"&gt;"&amp;BH310)+SUMIFS($BD$7:$BD$1843,$CG$7:$CG$1843,CG310,$BH$7:$BH$1843,BH310,$BX$7:$BX$1843,"&lt;="&amp;BX310),"")</f>
        <v>8227.99587912088</v>
      </c>
      <c r="BJ310" s="70" t="n">
        <f aca="false">IF(BI310="",0,MAX(0,MIN(1,(IF(CG310="L1",Parameter!$H$5,IF(CG310="L23",Parameter!$H$6+Parameter!$H$7,Parameter!$H$5+Parameter!$H$6+Parameter!$H$7))-(BI310-BD310))/BD310)))</f>
        <v>1</v>
      </c>
      <c r="BK310" s="60" t="str">
        <f aca="false">IF(AJ310&lt;=0,"",IF(CG310="Aussen","Aussenlager",IF(CG310="-","Nicht im Lift",IF(AP310&gt;=1,"Lift",IF(AP310&lt;=0,"Aussenlager","teilweise")))))</f>
        <v>Lift</v>
      </c>
      <c r="BL310" s="60" t="str">
        <f aca="false">IF(AT310&lt;=0,"",IF(CG310="Aussen","Aussenlager",IF(CG310="-","Nicht im Lift",IF(AZ310&gt;=1,"Lift",IF(AZ310&lt;=0,"Aussenlager","teilweise")))))</f>
        <v>Lift</v>
      </c>
      <c r="BM310" s="60" t="str">
        <f aca="false">IF(BD310&lt;=0,"",IF(CG310="Aussen","Aussenlager",IF(CG310="-","Nicht im Lift",IF(BJ310&gt;=1,"Lift",IF(BJ310&lt;=0,"Aussenlager","teilweise")))))</f>
        <v>Lift</v>
      </c>
      <c r="BN310" s="60" t="str">
        <f aca="false">IF(A310="","",IF(BW310=1,"Neu; ","")&amp;IF(AND(BW310=0,BR310&lt;0),"negativer Bestand (Export "&amp;BR310&amp;"); ","")&amp;IF(J310&lt;=0,"Kein Verbrauch; ","")&amp;IF(CR310&gt;0,"Lift "&amp;W310&amp;" lt. Liftbericht (Fach "&amp;X310&amp;" Stk); ",IF(CB310=1,"Gebinde geschätzt ("&amp;T310&amp;"); ",IF(CA310=1,"Lose – Tablare geschätzt; ","")))&amp;IF(H310&gt;AW310,"Überbestand "&amp;ROUND(H310-AW310,0)&amp;" Stk / CHF "&amp;ROUND((H310-AW310)*G310,0)&amp;"; ","")&amp;IF(AND(CI310=1,CJ310&lt;CK310),"MAX &lt; MB+LG; ","")&amp;IF(AND(CQ310&gt;0,CP310*10&gt;CQ310),"zu hoch für Tablar; ","")&amp;IF(AND(BW310=0,OR(CI310=1,AB310&lt;&gt;"",U310&lt;&gt;"",V310&lt;&gt;"",AC310&lt;&gt;"")),"manuell übersteuert; ","")&amp;IF(AND(CA310=0,R310=0),"Gebinde unbekannt / Stellmass fehlt; ","")&amp;IF(AND(CA310=0,N(V310)&lt;=0,N(Q310)&lt;=0),"Menge pro Gebinde fehlt (Ist = 1 Gebinde); ","")&amp;BV310)</f>
        <v/>
      </c>
      <c r="BO310" s="60"/>
      <c r="BP310" s="60"/>
      <c r="BQ310" s="67"/>
      <c r="BR310" s="62" t="n">
        <v>13</v>
      </c>
      <c r="BS310" s="62" t="n">
        <v>6</v>
      </c>
      <c r="BT310" s="61" t="n">
        <v>255.25</v>
      </c>
      <c r="BU310" s="62" t="n">
        <v>22</v>
      </c>
      <c r="BV310" s="60"/>
      <c r="BW310" s="65" t="n">
        <v>0</v>
      </c>
      <c r="BX310" s="65" t="n">
        <v>310</v>
      </c>
      <c r="BY310" s="60" t="str">
        <f aca="false">IF(U310&lt;&gt;"",UPPER(TRIM(U310)),IF(CB310=1,UPPER(VLOOKUP(T310,Parameter!$I$27:$K$29,2,0)),IF(P310="","LOSE",P310)))</f>
        <v>S61</v>
      </c>
      <c r="BZ310" s="62" t="n">
        <f aca="false">IF(BY310="LOSE",1,IF(N(V310)&gt;0,V310,IF(CB310=1,MAX(1,N(VLOOKUP(T310,Parameter!$I$27:$K$29,3,0)),H310,N(N310)),IF(N(Q310)&gt;0,Q310,MAX(1,H310)))))</f>
        <v>15</v>
      </c>
      <c r="CA310" s="65" t="n">
        <f aca="false">IF(BY310="LOSE",1,0)</f>
        <v>0</v>
      </c>
      <c r="CB310" s="65" t="n">
        <f aca="false">IF(AND(U310="",OR(P310="",P310="LOSE"),T310&lt;&gt;"",N(S310)&lt;=0,ISNUMBER(MATCH(T310,Parameter!$I$27:$I$29,0))),1,0)</f>
        <v>0</v>
      </c>
      <c r="CC310" s="65" t="n">
        <f aca="false">IF(CR310&gt;0,INDEX(Parameter!$H$5:$H$7,W310)/INDEX(Parameter!$E$5:$E$7,W310),IF(AND(CA310=0,N(IFERROR(VLOOKUP(BY310,'Gebinde-Kategorie'!$A$5:$N$45,14,0),0))&gt;0),VLOOKUP(BY310,'Gebinde-Kategorie'!$A$5:$N$45,14,0)*10+Parameter!$M$23,Parameter!$M$24))</f>
        <v>145</v>
      </c>
      <c r="CD310" s="60" t="str">
        <f aca="false">IF(AND(Parameter!$B$19="Ja",E310&lt;&gt;"",ISNUMBER(MATCH(E310,Parameter!$I$35:$I$52,0))),VLOOKUP(E310,Parameter!$I$35:$J$52,2,0),IFERROR(VLOOKUP(D310,Parameter!$A$35:$C$64,2,0),"Nein"))</f>
        <v>2+3</v>
      </c>
      <c r="CE310" s="64" t="n">
        <f aca="false">IF(CA310=0,0,IF(N(S310)&gt;0,S310,IFERROR(VLOOKUP(D310,Parameter!$A$35:$C$64,3,0)+0,0)))</f>
        <v>0</v>
      </c>
      <c r="CF310" s="60" t="n">
        <f aca="false">IF(AB310&lt;&gt;"",AB310,AA310)</f>
        <v>3</v>
      </c>
      <c r="CG310" s="60" t="str">
        <f aca="false">IF(OR(CF310=1,CF310=2,CF310=3),IF(Parameter!$E$27="Ja","LIFT",IF(CF310=1,"L1","L23")),IF(CF310="Aussen","Aussen","-"))</f>
        <v>LIFT</v>
      </c>
      <c r="CH310" s="71" t="n">
        <f aca="false">IF(N(AC310)&gt;0,AC310,0)</f>
        <v>0</v>
      </c>
      <c r="CI310" s="65" t="n">
        <f aca="false">IF(ISNUMBER(AF310),1,0)</f>
        <v>0</v>
      </c>
      <c r="CJ310" s="62" t="n">
        <f aca="false">N(AF310)</f>
        <v>0</v>
      </c>
      <c r="CK310" s="62" t="n">
        <f aca="false">N(M310)+N(N310)</f>
        <v>35</v>
      </c>
      <c r="CL310" s="62" t="n">
        <f aca="false">N(M310)</f>
        <v>5</v>
      </c>
      <c r="CM310" s="62" t="n">
        <f aca="false">N(N310)</f>
        <v>30</v>
      </c>
      <c r="CN310" s="62" t="n">
        <f aca="false">ROUNDUP(H310/BZ310,0)</f>
        <v>2</v>
      </c>
      <c r="CO310" s="62" t="n">
        <f aca="false">ROUNDUP(CJ310/BZ310,0)</f>
        <v>0</v>
      </c>
      <c r="CP310" s="65" t="n">
        <f aca="false">IF(CA310=1,0,IFERROR(VLOOKUP(BY310,'Gebinde-Kategorie'!$A$5:$N$45,5,0)+0,0))</f>
        <v>11</v>
      </c>
      <c r="CQ310" s="65" t="n">
        <f aca="false">IFERROR(IF(OR(CF310=1,CF310=2,CF310=3),N(INDEX(Parameter!$I$5:$I$7,CF310)),0),0)</f>
        <v>0</v>
      </c>
      <c r="CR310" s="64" t="n">
        <f aca="false">IF(AND(Parameter!$B$21="Ja",ISNUMBER(W310),N(X310)&gt;0),IFERROR(N(INDEX(Parameter!$L$5:$L$7,W310))*INDEX(Parameter!$E$5:$E$7,W310)*X310/SUMIFS($X$7:$X$1843,$W$7:$W$1843,W310),0),0)</f>
        <v>0</v>
      </c>
      <c r="CS310" s="62" t="n">
        <f aca="false">IF(AND(OR(CG310="L1",CG310="L23",CG310="LIFT"),H310&gt;0),CC310*IF(CR310&gt;0,CR310*MAX(1,H310/X310),IF(CA310=1,CE310,IF(R310&gt;0,CN310/R310,0))/MAX(0.1,N(Parameter!$M$21))),"")</f>
        <v>24.1666666666667</v>
      </c>
      <c r="CT310" s="64" t="n">
        <f aca="false">IF(CS310="","",J310/H310)</f>
        <v>1.15789473684211</v>
      </c>
      <c r="CU310" s="62" t="n">
        <f aca="false">IF(CS310="","",H310*G310)</f>
        <v>611.23</v>
      </c>
      <c r="CV310" s="63" t="n">
        <f aca="false">IF(CS310="","",(CL310+ROUNDUP(CL310+MAX(CM310,2*(J310/MAX(0.1,N(Einkauf!$C$6))-CL310)),0))/2)</f>
        <v>20</v>
      </c>
      <c r="CW310" s="62" t="n">
        <f aca="false">IF(CS310="","",MAX(0,H310-CV310)*G310)</f>
        <v>0</v>
      </c>
      <c r="CX310" s="62" t="n">
        <f aca="false">IF(CS310="","",CS310*MAX(0,1-CV310/H310))</f>
        <v>0</v>
      </c>
      <c r="CY310" s="64" t="n">
        <f aca="false">IF(CS310="","",PERCENTRANK($CS$7:$CS$1843,CS310)+PERCENTRANK($CU$7:$CU$1843,CU310)+1-PERCENTRANK($CT$7:$CT$1843,CT310))</f>
        <v>1.666</v>
      </c>
      <c r="CZ310" s="72" t="n">
        <f aca="false">IF(CS310="","",CHOOSE(MATCH(Einkauf!$C$5,Parameter!$G$23:$G$27,0),CY310,CS310,CU310,-CT310,CW310)+ROW()/1000000000)</f>
        <v>1.66600031</v>
      </c>
    </row>
    <row r="311" customFormat="false" ht="15" hidden="false" customHeight="false" outlineLevel="0" collapsed="false">
      <c r="A311" s="60" t="s">
        <v>831</v>
      </c>
      <c r="B311" s="60" t="s">
        <v>832</v>
      </c>
      <c r="C311" s="60" t="s">
        <v>206</v>
      </c>
      <c r="D311" s="60" t="s">
        <v>226</v>
      </c>
      <c r="E311" s="60"/>
      <c r="F311" s="60" t="s">
        <v>260</v>
      </c>
      <c r="G311" s="61" t="n">
        <v>24.55</v>
      </c>
      <c r="H311" s="62" t="n">
        <f aca="false">MAX(0,IF(AND(Parameter!$B$21="Ja",ISNUMBER(Y311)),Y311,IF(Parameter!$B$20="Jahresanfang 2025 + Export",BS311+BR311,BR311)))</f>
        <v>12</v>
      </c>
      <c r="I311" s="62" t="n">
        <f aca="false">H311*G311</f>
        <v>294.6</v>
      </c>
      <c r="J311" s="62" t="n">
        <f aca="false">BU311*Parameter!$B$18</f>
        <v>0</v>
      </c>
      <c r="K311" s="63" t="n">
        <v>2</v>
      </c>
      <c r="L311" s="64" t="n">
        <v>0</v>
      </c>
      <c r="M311" s="62" t="n">
        <v>0</v>
      </c>
      <c r="N311" s="62" t="n">
        <v>1</v>
      </c>
      <c r="O311" s="65" t="n">
        <v>14</v>
      </c>
      <c r="P311" s="60" t="s">
        <v>370</v>
      </c>
      <c r="Q311" s="62" t="n">
        <v>30</v>
      </c>
      <c r="R311" s="65" t="n">
        <f aca="false">IF(CA311=1,0,IFERROR(VLOOKUP(BY311,'Gebinde-Kategorie'!$A$5:$N$45,13,0)+0,0))</f>
        <v>52</v>
      </c>
      <c r="S311" s="66"/>
      <c r="T311" s="67"/>
      <c r="U311" s="67"/>
      <c r="V311" s="67"/>
      <c r="W311" s="60"/>
      <c r="X311" s="62"/>
      <c r="Y311" s="62"/>
      <c r="Z311" s="60" t="n">
        <v>3</v>
      </c>
      <c r="AA311" s="60" t="n">
        <f aca="false">IF(A311="","",IF(AND(Parameter!$B$21="Ja",ISNUMBER(W311)),W311,IF(AND(Parameter!$E$27="Ja",ISNUMBER(Z311),CD311&lt;&gt;"Nein"),Z311,IF(CD311="2+3",IF(ISNUMBER(SEARCH("grosser Artikel",BV311)),2,IFERROR(VLOOKUP(BY311,Parameter!$F$35:$G$64,2,0),2)),IF(OR(CD311="Nein",CD311=""),"-",CD311)))))</f>
        <v>3</v>
      </c>
      <c r="AB311" s="67"/>
      <c r="AC311" s="68"/>
      <c r="AD311" s="62" t="n">
        <f aca="false">AW311</f>
        <v>1</v>
      </c>
      <c r="AE311" s="62" t="n">
        <f aca="false">MAX(AW311,H311)</f>
        <v>12</v>
      </c>
      <c r="AF311" s="69"/>
      <c r="AG311" s="62" t="n">
        <f aca="false">IF(LEFT(Cockpit!$C$5,1)="A",H311,IF(Parameter!$E$30="MAX-Bestand",IF(CI311=1,CJ311,IF(LEFT(Cockpit!$C$5,1)="B",AM311,MAX(AM311,H311))),ROUNDUP(AK311,0)))</f>
        <v>12</v>
      </c>
      <c r="AH311" s="62" t="n">
        <f aca="false">IF(CA311=1,0,ROUNDUP(AG311/BZ311,0))</f>
        <v>1</v>
      </c>
      <c r="AI311" s="64" t="n">
        <f aca="false">IF(CR311&gt;0,CR311*MAX(1,AG311/X311),IF(CA311=1,IF(AG311&lt;=0,0,CE311*MAX(1,IF(H311&gt;0,AG311/H311,1))),IF(R311&gt;0,AH311/R311,0))/MAX(0.1,N(Parameter!$M$21)))</f>
        <v>0.0192307692307692</v>
      </c>
      <c r="AJ311" s="62" t="n">
        <f aca="false">AI311*CC311</f>
        <v>2.98076923076923</v>
      </c>
      <c r="AK311" s="63" t="n">
        <f aca="false">IF(LEFT(Cockpit!$C$5,1)="A",H311,IF(CI311=1,(CL311+CJ311)/2,IF(LEFT(Cockpit!$C$5,1)="B",(CL311+AM311)/2,MAX((CL311+AM311)/2,H311))))</f>
        <v>12</v>
      </c>
      <c r="AL311" s="62" t="n">
        <f aca="false">AK311*G311</f>
        <v>294.6</v>
      </c>
      <c r="AM311" s="62" t="n">
        <f aca="false">ROUNDUP(CL311+MAX(CM311,2*(J311/IF(CH311&gt;0,CH311,MAX(0.1,N(Cockpit!$C$6)))-CL311)),0)</f>
        <v>1</v>
      </c>
      <c r="AN311" s="63" t="n">
        <f aca="false">IF(AJ311&gt;0,J311/AJ311,-1)</f>
        <v>0</v>
      </c>
      <c r="AO311" s="63" t="n">
        <f aca="false">IF(AND(OR(CG311="L1",CG311="L23",CG311="LIFT"),AJ311&gt;0),SUMIFS($AJ$7:$AJ$1843,$CG$7:$CG$1843,CG311,$AN$7:$AN$1843,"&gt;"&amp;AN311)+SUMIFS($AJ$7:$AJ$1843,$CG$7:$CG$1843,CG311,$AN$7:$AN$1843,AN311,$BX$7:$BX$1843,"&lt;="&amp;BX311),"")</f>
        <v>27891.7588677801</v>
      </c>
      <c r="AP311" s="70" t="n">
        <f aca="false">IF(AO311="",0,MAX(0,MIN(1,(IF(CG311="L1",Parameter!$H$5,IF(CG311="L23",Parameter!$H$6+Parameter!$H$7,Parameter!$H$5+Parameter!$H$6+Parameter!$H$7))-(AO311-AJ311))/AJ311)))</f>
        <v>1</v>
      </c>
      <c r="AQ311" s="62" t="n">
        <f aca="false">IF(LEFT(Cockpit!$I$5,1)="A",H311,IF(Parameter!$E$30="MAX-Bestand",IF(CI311=1,CJ311,IF(LEFT(Cockpit!$I$5,1)="B",AW311,MAX(AW311,H311))),ROUNDUP(AU311,0)))</f>
        <v>12</v>
      </c>
      <c r="AR311" s="62" t="n">
        <f aca="false">IF(CA311=1,0,ROUNDUP(AQ311/BZ311,0))</f>
        <v>1</v>
      </c>
      <c r="AS311" s="64" t="n">
        <f aca="false">IF(CR311&gt;0,CR311*MAX(1,AQ311/X311),IF(CA311=1,IF(AQ311&lt;=0,0,CE311*MAX(1,IF(H311&gt;0,AQ311/H311,1))),IF(R311&gt;0,AR311/R311,0))/MAX(0.1,N(Parameter!$M$21)))</f>
        <v>0.0192307692307692</v>
      </c>
      <c r="AT311" s="62" t="n">
        <f aca="false">AS311*CC311</f>
        <v>2.98076923076923</v>
      </c>
      <c r="AU311" s="63" t="n">
        <f aca="false">IF(LEFT(Cockpit!$I$5,1)="A",H311,IF(CI311=1,(CL311+CJ311)/2,IF(LEFT(Cockpit!$I$5,1)="B",(CL311+AW311)/2,MAX((CL311+AW311)/2,H311))))</f>
        <v>12</v>
      </c>
      <c r="AV311" s="62" t="n">
        <f aca="false">AU311*G311</f>
        <v>294.6</v>
      </c>
      <c r="AW311" s="62" t="n">
        <f aca="false">ROUNDUP(CL311+MAX(CM311,2*(J311/IF(CH311&gt;0,CH311,MAX(0.1,N(Cockpit!$I$6)))-CL311)),0)</f>
        <v>1</v>
      </c>
      <c r="AX311" s="63" t="n">
        <f aca="false">IF(AT311&gt;0,J311/AT311,-1)</f>
        <v>0</v>
      </c>
      <c r="AY311" s="63" t="n">
        <f aca="false">IF(AND(OR(CG311="L1",CG311="L23",CG311="LIFT"),AT311&gt;0),SUMIFS($AT$7:$AT$1843,$CG$7:$CG$1843,CG311,$AX$7:$AX$1843,"&gt;"&amp;AX311)+SUMIFS($AT$7:$AT$1843,$CG$7:$CG$1843,CG311,$AX$7:$AX$1843,AX311,$BX$7:$BX$1843,"&lt;="&amp;BX311),"")</f>
        <v>33244.9075091575</v>
      </c>
      <c r="AZ311" s="70" t="n">
        <f aca="false">IF(AY311="",0,MAX(0,MIN(1,(IF(CG311="L1",Parameter!$H$5,IF(CG311="L23",Parameter!$H$6+Parameter!$H$7,Parameter!$H$5+Parameter!$H$6+Parameter!$H$7))-(AY311-AT311))/AT311)))</f>
        <v>1</v>
      </c>
      <c r="BA311" s="62" t="n">
        <f aca="false">IF(LEFT(Cockpit!$O$5,1)="A",H311,IF(Parameter!$E$30="MAX-Bestand",IF(CI311=1,CJ311,IF(LEFT(Cockpit!$O$5,1)="B",BG311,MAX(BG311,H311))),ROUNDUP(BE311,0)))</f>
        <v>1</v>
      </c>
      <c r="BB311" s="62" t="n">
        <f aca="false">IF(CA311=1,0,ROUNDUP(BA311/BZ311,0))</f>
        <v>1</v>
      </c>
      <c r="BC311" s="64" t="n">
        <f aca="false">IF(CR311&gt;0,CR311*MAX(1,BA311/X311),IF(CA311=1,IF(BA311&lt;=0,0,CE311*MAX(1,IF(H311&gt;0,BA311/H311,1))),IF(R311&gt;0,BB311/R311,0))/MAX(0.1,N(Parameter!$M$21)))</f>
        <v>0.0192307692307692</v>
      </c>
      <c r="BD311" s="62" t="n">
        <f aca="false">BC311*CC311</f>
        <v>2.98076923076923</v>
      </c>
      <c r="BE311" s="63" t="n">
        <f aca="false">IF(LEFT(Cockpit!$O$5,1)="A",H311,IF(CI311=1,(CL311+CJ311)/2,IF(LEFT(Cockpit!$O$5,1)="B",(CL311+BG311)/2,MAX((CL311+BG311)/2,H311))))</f>
        <v>0.5</v>
      </c>
      <c r="BF311" s="62" t="n">
        <f aca="false">BE311*G311</f>
        <v>12.275</v>
      </c>
      <c r="BG311" s="62" t="n">
        <f aca="false">ROUNDUP(CL311+MAX(CM311,2*(J311/IF(CH311&gt;0,CH311,MAX(0.1,N(Cockpit!$O$6)))-CL311)),0)</f>
        <v>1</v>
      </c>
      <c r="BH311" s="63" t="n">
        <f aca="false">IF(BD311&gt;0,J311/BD311,-1)</f>
        <v>0</v>
      </c>
      <c r="BI311" s="63" t="n">
        <f aca="false">IF(AND(OR(CG311="L1",CG311="L23",CG311="LIFT"),BD311&gt;0),SUMIFS($BD$7:$BD$1843,$CG$7:$CG$1843,CG311,$BH$7:$BH$1843,"&gt;"&amp;BH311)+SUMIFS($BD$7:$BD$1843,$CG$7:$CG$1843,CG311,$BH$7:$BH$1843,BH311,$BX$7:$BX$1843,"&lt;="&amp;BX311),"")</f>
        <v>27370.3675575837</v>
      </c>
      <c r="BJ311" s="70" t="n">
        <f aca="false">IF(BI311="",0,MAX(0,MIN(1,(IF(CG311="L1",Parameter!$H$5,IF(CG311="L23",Parameter!$H$6+Parameter!$H$7,Parameter!$H$5+Parameter!$H$6+Parameter!$H$7))-(BI311-BD311))/BD311)))</f>
        <v>1</v>
      </c>
      <c r="BK311" s="60" t="str">
        <f aca="false">IF(AJ311&lt;=0,"",IF(CG311="Aussen","Aussenlager",IF(CG311="-","Nicht im Lift",IF(AP311&gt;=1,"Lift",IF(AP311&lt;=0,"Aussenlager","teilweise")))))</f>
        <v>Lift</v>
      </c>
      <c r="BL311" s="60" t="str">
        <f aca="false">IF(AT311&lt;=0,"",IF(CG311="Aussen","Aussenlager",IF(CG311="-","Nicht im Lift",IF(AZ311&gt;=1,"Lift",IF(AZ311&lt;=0,"Aussenlager","teilweise")))))</f>
        <v>Lift</v>
      </c>
      <c r="BM311" s="60" t="str">
        <f aca="false">IF(BD311&lt;=0,"",IF(CG311="Aussen","Aussenlager",IF(CG311="-","Nicht im Lift",IF(BJ311&gt;=1,"Lift",IF(BJ311&lt;=0,"Aussenlager","teilweise")))))</f>
        <v>Lift</v>
      </c>
      <c r="BN311" s="60" t="str">
        <f aca="false">IF(A311="","",IF(BW311=1,"Neu; ","")&amp;IF(AND(BW311=0,BR311&lt;0),"negativer Bestand (Export "&amp;BR311&amp;"); ","")&amp;IF(J311&lt;=0,"Kein Verbrauch; ","")&amp;IF(CR311&gt;0,"Lift "&amp;W311&amp;" lt. Liftbericht (Fach "&amp;X311&amp;" Stk); ",IF(CB311=1,"Gebinde geschätzt ("&amp;T311&amp;"); ",IF(CA311=1,"Lose – Tablare geschätzt; ","")))&amp;IF(H311&gt;AW311,"Überbestand "&amp;ROUND(H311-AW311,0)&amp;" Stk / CHF "&amp;ROUND((H311-AW311)*G311,0)&amp;"; ","")&amp;IF(AND(CI311=1,CJ311&lt;CK311),"MAX &lt; MB+LG; ","")&amp;IF(AND(CQ311&gt;0,CP311*10&gt;CQ311),"zu hoch für Tablar; ","")&amp;IF(AND(BW311=0,OR(CI311=1,AB311&lt;&gt;"",U311&lt;&gt;"",V311&lt;&gt;"",AC311&lt;&gt;"")),"manuell übersteuert; ","")&amp;IF(AND(CA311=0,R311=0),"Gebinde unbekannt / Stellmass fehlt; ","")&amp;IF(AND(CA311=0,N(V311)&lt;=0,N(Q311)&lt;=0),"Menge pro Gebinde fehlt (Ist = 1 Gebinde); ","")&amp;BV311)</f>
        <v>Kein Verbrauch; Überbestand 11 Stk / CHF 270; </v>
      </c>
      <c r="BO311" s="60"/>
      <c r="BP311" s="60"/>
      <c r="BQ311" s="67"/>
      <c r="BR311" s="62" t="n">
        <v>10</v>
      </c>
      <c r="BS311" s="62" t="n">
        <v>2</v>
      </c>
      <c r="BT311" s="61" t="n">
        <v>254.58</v>
      </c>
      <c r="BU311" s="62" t="n">
        <v>0</v>
      </c>
      <c r="BV311" s="60"/>
      <c r="BW311" s="65" t="n">
        <v>0</v>
      </c>
      <c r="BX311" s="65" t="n">
        <v>311</v>
      </c>
      <c r="BY311" s="60" t="str">
        <f aca="false">IF(U311&lt;&gt;"",UPPER(TRIM(U311)),IF(CB311=1,UPPER(VLOOKUP(T311,Parameter!$I$27:$K$29,2,0)),IF(P311="","LOSE",P311)))</f>
        <v>S41</v>
      </c>
      <c r="BZ311" s="62" t="n">
        <f aca="false">IF(BY311="LOSE",1,IF(N(V311)&gt;0,V311,IF(CB311=1,MAX(1,N(VLOOKUP(T311,Parameter!$I$27:$K$29,3,0)),H311,N(N311)),IF(N(Q311)&gt;0,Q311,MAX(1,H311)))))</f>
        <v>30</v>
      </c>
      <c r="CA311" s="65" t="n">
        <f aca="false">IF(BY311="LOSE",1,0)</f>
        <v>0</v>
      </c>
      <c r="CB311" s="65" t="n">
        <f aca="false">IF(AND(U311="",OR(P311="",P311="LOSE"),T311&lt;&gt;"",N(S311)&lt;=0,ISNUMBER(MATCH(T311,Parameter!$I$27:$I$29,0))),1,0)</f>
        <v>0</v>
      </c>
      <c r="CC311" s="65" t="n">
        <f aca="false">IF(CR311&gt;0,INDEX(Parameter!$H$5:$H$7,W311)/INDEX(Parameter!$E$5:$E$7,W311),IF(AND(CA311=0,N(IFERROR(VLOOKUP(BY311,'Gebinde-Kategorie'!$A$5:$N$45,14,0),0))&gt;0),VLOOKUP(BY311,'Gebinde-Kategorie'!$A$5:$N$45,14,0)*10+Parameter!$M$23,Parameter!$M$24))</f>
        <v>155</v>
      </c>
      <c r="CD311" s="60" t="str">
        <f aca="false">IF(AND(Parameter!$B$19="Ja",E311&lt;&gt;"",ISNUMBER(MATCH(E311,Parameter!$I$35:$I$52,0))),VLOOKUP(E311,Parameter!$I$35:$J$52,2,0),IFERROR(VLOOKUP(D311,Parameter!$A$35:$C$64,2,0),"Nein"))</f>
        <v>2+3</v>
      </c>
      <c r="CE311" s="64" t="n">
        <f aca="false">IF(CA311=0,0,IF(N(S311)&gt;0,S311,IFERROR(VLOOKUP(D311,Parameter!$A$35:$C$64,3,0)+0,0)))</f>
        <v>0</v>
      </c>
      <c r="CF311" s="60" t="n">
        <f aca="false">IF(AB311&lt;&gt;"",AB311,AA311)</f>
        <v>3</v>
      </c>
      <c r="CG311" s="60" t="str">
        <f aca="false">IF(OR(CF311=1,CF311=2,CF311=3),IF(Parameter!$E$27="Ja","LIFT",IF(CF311=1,"L1","L23")),IF(CF311="Aussen","Aussen","-"))</f>
        <v>LIFT</v>
      </c>
      <c r="CH311" s="71" t="n">
        <f aca="false">IF(N(AC311)&gt;0,AC311,0)</f>
        <v>0</v>
      </c>
      <c r="CI311" s="65" t="n">
        <f aca="false">IF(ISNUMBER(AF311),1,0)</f>
        <v>0</v>
      </c>
      <c r="CJ311" s="62" t="n">
        <f aca="false">N(AF311)</f>
        <v>0</v>
      </c>
      <c r="CK311" s="62" t="n">
        <f aca="false">N(M311)+N(N311)</f>
        <v>1</v>
      </c>
      <c r="CL311" s="62" t="n">
        <f aca="false">N(M311)</f>
        <v>0</v>
      </c>
      <c r="CM311" s="62" t="n">
        <f aca="false">N(N311)</f>
        <v>1</v>
      </c>
      <c r="CN311" s="62" t="n">
        <f aca="false">ROUNDUP(H311/BZ311,0)</f>
        <v>1</v>
      </c>
      <c r="CO311" s="62" t="n">
        <f aca="false">ROUNDUP(CJ311/BZ311,0)</f>
        <v>0</v>
      </c>
      <c r="CP311" s="65" t="n">
        <f aca="false">IF(CA311=1,0,IFERROR(VLOOKUP(BY311,'Gebinde-Kategorie'!$A$5:$N$45,5,0)+0,0))</f>
        <v>11</v>
      </c>
      <c r="CQ311" s="65" t="n">
        <f aca="false">IFERROR(IF(OR(CF311=1,CF311=2,CF311=3),N(INDEX(Parameter!$I$5:$I$7,CF311)),0),0)</f>
        <v>0</v>
      </c>
      <c r="CR311" s="64" t="n">
        <f aca="false">IF(AND(Parameter!$B$21="Ja",ISNUMBER(W311),N(X311)&gt;0),IFERROR(N(INDEX(Parameter!$L$5:$L$7,W311))*INDEX(Parameter!$E$5:$E$7,W311)*X311/SUMIFS($X$7:$X$1843,$W$7:$W$1843,W311),0),0)</f>
        <v>0</v>
      </c>
      <c r="CS311" s="62" t="n">
        <f aca="false">IF(AND(OR(CG311="L1",CG311="L23",CG311="LIFT"),H311&gt;0),CC311*IF(CR311&gt;0,CR311*MAX(1,H311/X311),IF(CA311=1,CE311,IF(R311&gt;0,CN311/R311,0))/MAX(0.1,N(Parameter!$M$21))),"")</f>
        <v>2.98076923076923</v>
      </c>
      <c r="CT311" s="64" t="n">
        <f aca="false">IF(CS311="","",J311/H311)</f>
        <v>0</v>
      </c>
      <c r="CU311" s="62" t="n">
        <f aca="false">IF(CS311="","",H311*G311)</f>
        <v>294.6</v>
      </c>
      <c r="CV311" s="63" t="n">
        <f aca="false">IF(CS311="","",(CL311+ROUNDUP(CL311+MAX(CM311,2*(J311/MAX(0.1,N(Einkauf!$C$6))-CL311)),0))/2)</f>
        <v>0.5</v>
      </c>
      <c r="CW311" s="62" t="n">
        <f aca="false">IF(CS311="","",MAX(0,H311-CV311)*G311)</f>
        <v>282.325</v>
      </c>
      <c r="CX311" s="62" t="n">
        <f aca="false">IF(CS311="","",CS311*MAX(0,1-CV311/H311))</f>
        <v>2.85657051282051</v>
      </c>
      <c r="CY311" s="64" t="n">
        <f aca="false">IF(CS311="","",PERCENTRANK($CS$7:$CS$1843,CS311)+PERCENTRANK($CU$7:$CU$1843,CU311)+1-PERCENTRANK($CT$7:$CT$1843,CT311))</f>
        <v>1.627</v>
      </c>
      <c r="CZ311" s="72" t="n">
        <f aca="false">IF(CS311="","",CHOOSE(MATCH(Einkauf!$C$5,Parameter!$G$23:$G$27,0),CY311,CS311,CU311,-CT311,CW311)+ROW()/1000000000)</f>
        <v>1.627000311</v>
      </c>
    </row>
    <row r="312" customFormat="false" ht="15" hidden="false" customHeight="false" outlineLevel="0" collapsed="false">
      <c r="A312" s="60" t="s">
        <v>833</v>
      </c>
      <c r="B312" s="60" t="s">
        <v>834</v>
      </c>
      <c r="C312" s="60" t="s">
        <v>206</v>
      </c>
      <c r="D312" s="60" t="s">
        <v>226</v>
      </c>
      <c r="E312" s="60"/>
      <c r="F312" s="60" t="s">
        <v>260</v>
      </c>
      <c r="G312" s="61" t="n">
        <v>10.09</v>
      </c>
      <c r="H312" s="62" t="n">
        <f aca="false">MAX(0,IF(AND(Parameter!$B$21="Ja",ISNUMBER(Y312)),Y312,IF(Parameter!$B$20="Jahresanfang 2025 + Export",BS312+BR312,BR312)))</f>
        <v>25</v>
      </c>
      <c r="I312" s="62" t="n">
        <f aca="false">H312*G312</f>
        <v>252.25</v>
      </c>
      <c r="J312" s="62" t="n">
        <f aca="false">BU312*Parameter!$B$18</f>
        <v>0</v>
      </c>
      <c r="K312" s="63" t="n">
        <v>0</v>
      </c>
      <c r="L312" s="64" t="n">
        <v>0</v>
      </c>
      <c r="M312" s="62" t="n">
        <v>0</v>
      </c>
      <c r="N312" s="62" t="n">
        <v>1</v>
      </c>
      <c r="O312" s="65" t="n">
        <v>9999</v>
      </c>
      <c r="P312" s="60" t="s">
        <v>210</v>
      </c>
      <c r="Q312" s="62"/>
      <c r="R312" s="65" t="n">
        <f aca="false">IF(CA312=1,0,IFERROR(VLOOKUP(BY312,'Gebinde-Kategorie'!$A$5:$N$45,13,0)+0,0))</f>
        <v>26</v>
      </c>
      <c r="S312" s="66"/>
      <c r="T312" s="67" t="s">
        <v>317</v>
      </c>
      <c r="U312" s="67"/>
      <c r="V312" s="67"/>
      <c r="W312" s="60"/>
      <c r="X312" s="62"/>
      <c r="Y312" s="62"/>
      <c r="Z312" s="60" t="n">
        <v>3</v>
      </c>
      <c r="AA312" s="60" t="n">
        <f aca="false">IF(A312="","",IF(AND(Parameter!$B$21="Ja",ISNUMBER(W312)),W312,IF(AND(Parameter!$E$27="Ja",ISNUMBER(Z312),CD312&lt;&gt;"Nein"),Z312,IF(CD312="2+3",IF(ISNUMBER(SEARCH("grosser Artikel",BV312)),2,IFERROR(VLOOKUP(BY312,Parameter!$F$35:$G$64,2,0),2)),IF(OR(CD312="Nein",CD312=""),"-",CD312)))))</f>
        <v>3</v>
      </c>
      <c r="AB312" s="67"/>
      <c r="AC312" s="68"/>
      <c r="AD312" s="62" t="n">
        <f aca="false">AW312</f>
        <v>1</v>
      </c>
      <c r="AE312" s="62" t="n">
        <f aca="false">MAX(AW312,H312)</f>
        <v>25</v>
      </c>
      <c r="AF312" s="69"/>
      <c r="AG312" s="62" t="n">
        <f aca="false">IF(LEFT(Cockpit!$C$5,1)="A",H312,IF(Parameter!$E$30="MAX-Bestand",IF(CI312=1,CJ312,IF(LEFT(Cockpit!$C$5,1)="B",AM312,MAX(AM312,H312))),ROUNDUP(AK312,0)))</f>
        <v>25</v>
      </c>
      <c r="AH312" s="62" t="n">
        <f aca="false">IF(CA312=1,0,ROUNDUP(AG312/BZ312,0))</f>
        <v>1</v>
      </c>
      <c r="AI312" s="64" t="n">
        <f aca="false">IF(CR312&gt;0,CR312*MAX(1,AG312/X312),IF(CA312=1,IF(AG312&lt;=0,0,CE312*MAX(1,IF(H312&gt;0,AG312/H312,1))),IF(R312&gt;0,AH312/R312,0))/MAX(0.1,N(Parameter!$M$21)))</f>
        <v>0.0384615384615385</v>
      </c>
      <c r="AJ312" s="62" t="n">
        <f aca="false">AI312*CC312</f>
        <v>5.96153846153846</v>
      </c>
      <c r="AK312" s="63" t="n">
        <f aca="false">IF(LEFT(Cockpit!$C$5,1)="A",H312,IF(CI312=1,(CL312+CJ312)/2,IF(LEFT(Cockpit!$C$5,1)="B",(CL312+AM312)/2,MAX((CL312+AM312)/2,H312))))</f>
        <v>25</v>
      </c>
      <c r="AL312" s="62" t="n">
        <f aca="false">AK312*G312</f>
        <v>252.25</v>
      </c>
      <c r="AM312" s="62" t="n">
        <f aca="false">ROUNDUP(CL312+MAX(CM312,2*(J312/IF(CH312&gt;0,CH312,MAX(0.1,N(Cockpit!$C$6)))-CL312)),0)</f>
        <v>1</v>
      </c>
      <c r="AN312" s="63" t="n">
        <f aca="false">IF(AJ312&gt;0,J312/AJ312,-1)</f>
        <v>0</v>
      </c>
      <c r="AO312" s="63" t="n">
        <f aca="false">IF(AND(OR(CG312="L1",CG312="L23",CG312="LIFT"),AJ312&gt;0),SUMIFS($AJ$7:$AJ$1843,$CG$7:$CG$1843,CG312,$AN$7:$AN$1843,"&gt;"&amp;AN312)+SUMIFS($AJ$7:$AJ$1843,$CG$7:$CG$1843,CG312,$AN$7:$AN$1843,AN312,$BX$7:$BX$1843,"&lt;="&amp;BX312),"")</f>
        <v>27897.7204062416</v>
      </c>
      <c r="AP312" s="70" t="n">
        <f aca="false">IF(AO312="",0,MAX(0,MIN(1,(IF(CG312="L1",Parameter!$H$5,IF(CG312="L23",Parameter!$H$6+Parameter!$H$7,Parameter!$H$5+Parameter!$H$6+Parameter!$H$7))-(AO312-AJ312))/AJ312)))</f>
        <v>1</v>
      </c>
      <c r="AQ312" s="62" t="n">
        <f aca="false">IF(LEFT(Cockpit!$I$5,1)="A",H312,IF(Parameter!$E$30="MAX-Bestand",IF(CI312=1,CJ312,IF(LEFT(Cockpit!$I$5,1)="B",AW312,MAX(AW312,H312))),ROUNDUP(AU312,0)))</f>
        <v>25</v>
      </c>
      <c r="AR312" s="62" t="n">
        <f aca="false">IF(CA312=1,0,ROUNDUP(AQ312/BZ312,0))</f>
        <v>1</v>
      </c>
      <c r="AS312" s="64" t="n">
        <f aca="false">IF(CR312&gt;0,CR312*MAX(1,AQ312/X312),IF(CA312=1,IF(AQ312&lt;=0,0,CE312*MAX(1,IF(H312&gt;0,AQ312/H312,1))),IF(R312&gt;0,AR312/R312,0))/MAX(0.1,N(Parameter!$M$21)))</f>
        <v>0.0384615384615385</v>
      </c>
      <c r="AT312" s="62" t="n">
        <f aca="false">AS312*CC312</f>
        <v>5.96153846153846</v>
      </c>
      <c r="AU312" s="63" t="n">
        <f aca="false">IF(LEFT(Cockpit!$I$5,1)="A",H312,IF(CI312=1,(CL312+CJ312)/2,IF(LEFT(Cockpit!$I$5,1)="B",(CL312+AW312)/2,MAX((CL312+AW312)/2,H312))))</f>
        <v>25</v>
      </c>
      <c r="AV312" s="62" t="n">
        <f aca="false">AU312*G312</f>
        <v>252.25</v>
      </c>
      <c r="AW312" s="62" t="n">
        <f aca="false">ROUNDUP(CL312+MAX(CM312,2*(J312/IF(CH312&gt;0,CH312,MAX(0.1,N(Cockpit!$I$6)))-CL312)),0)</f>
        <v>1</v>
      </c>
      <c r="AX312" s="63" t="n">
        <f aca="false">IF(AT312&gt;0,J312/AT312,-1)</f>
        <v>0</v>
      </c>
      <c r="AY312" s="63" t="n">
        <f aca="false">IF(AND(OR(CG312="L1",CG312="L23",CG312="LIFT"),AT312&gt;0),SUMIFS($AT$7:$AT$1843,$CG$7:$CG$1843,CG312,$AX$7:$AX$1843,"&gt;"&amp;AX312)+SUMIFS($AT$7:$AT$1843,$CG$7:$CG$1843,CG312,$AX$7:$AX$1843,AX312,$BX$7:$BX$1843,"&lt;="&amp;BX312),"")</f>
        <v>33250.869047619</v>
      </c>
      <c r="AZ312" s="70" t="n">
        <f aca="false">IF(AY312="",0,MAX(0,MIN(1,(IF(CG312="L1",Parameter!$H$5,IF(CG312="L23",Parameter!$H$6+Parameter!$H$7,Parameter!$H$5+Parameter!$H$6+Parameter!$H$7))-(AY312-AT312))/AT312)))</f>
        <v>1</v>
      </c>
      <c r="BA312" s="62" t="n">
        <f aca="false">IF(LEFT(Cockpit!$O$5,1)="A",H312,IF(Parameter!$E$30="MAX-Bestand",IF(CI312=1,CJ312,IF(LEFT(Cockpit!$O$5,1)="B",BG312,MAX(BG312,H312))),ROUNDUP(BE312,0)))</f>
        <v>1</v>
      </c>
      <c r="BB312" s="62" t="n">
        <f aca="false">IF(CA312=1,0,ROUNDUP(BA312/BZ312,0))</f>
        <v>1</v>
      </c>
      <c r="BC312" s="64" t="n">
        <f aca="false">IF(CR312&gt;0,CR312*MAX(1,BA312/X312),IF(CA312=1,IF(BA312&lt;=0,0,CE312*MAX(1,IF(H312&gt;0,BA312/H312,1))),IF(R312&gt;0,BB312/R312,0))/MAX(0.1,N(Parameter!$M$21)))</f>
        <v>0.0384615384615385</v>
      </c>
      <c r="BD312" s="62" t="n">
        <f aca="false">BC312*CC312</f>
        <v>5.96153846153846</v>
      </c>
      <c r="BE312" s="63" t="n">
        <f aca="false">IF(LEFT(Cockpit!$O$5,1)="A",H312,IF(CI312=1,(CL312+CJ312)/2,IF(LEFT(Cockpit!$O$5,1)="B",(CL312+BG312)/2,MAX((CL312+BG312)/2,H312))))</f>
        <v>0.5</v>
      </c>
      <c r="BF312" s="62" t="n">
        <f aca="false">BE312*G312</f>
        <v>5.045</v>
      </c>
      <c r="BG312" s="62" t="n">
        <f aca="false">ROUNDUP(CL312+MAX(CM312,2*(J312/IF(CH312&gt;0,CH312,MAX(0.1,N(Cockpit!$O$6)))-CL312)),0)</f>
        <v>1</v>
      </c>
      <c r="BH312" s="63" t="n">
        <f aca="false">IF(BD312&gt;0,J312/BD312,-1)</f>
        <v>0</v>
      </c>
      <c r="BI312" s="63" t="n">
        <f aca="false">IF(AND(OR(CG312="L1",CG312="L23",CG312="LIFT"),BD312&gt;0),SUMIFS($BD$7:$BD$1843,$CG$7:$CG$1843,CG312,$BH$7:$BH$1843,"&gt;"&amp;BH312)+SUMIFS($BD$7:$BD$1843,$CG$7:$CG$1843,CG312,$BH$7:$BH$1843,BH312,$BX$7:$BX$1843,"&lt;="&amp;BX312),"")</f>
        <v>27376.3290960452</v>
      </c>
      <c r="BJ312" s="70" t="n">
        <f aca="false">IF(BI312="",0,MAX(0,MIN(1,(IF(CG312="L1",Parameter!$H$5,IF(CG312="L23",Parameter!$H$6+Parameter!$H$7,Parameter!$H$5+Parameter!$H$6+Parameter!$H$7))-(BI312-BD312))/BD312)))</f>
        <v>1</v>
      </c>
      <c r="BK312" s="60" t="str">
        <f aca="false">IF(AJ312&lt;=0,"",IF(CG312="Aussen","Aussenlager",IF(CG312="-","Nicht im Lift",IF(AP312&gt;=1,"Lift",IF(AP312&lt;=0,"Aussenlager","teilweise")))))</f>
        <v>Lift</v>
      </c>
      <c r="BL312" s="60" t="str">
        <f aca="false">IF(AT312&lt;=0,"",IF(CG312="Aussen","Aussenlager",IF(CG312="-","Nicht im Lift",IF(AZ312&gt;=1,"Lift",IF(AZ312&lt;=0,"Aussenlager","teilweise")))))</f>
        <v>Lift</v>
      </c>
      <c r="BM312" s="60" t="str">
        <f aca="false">IF(BD312&lt;=0,"",IF(CG312="Aussen","Aussenlager",IF(CG312="-","Nicht im Lift",IF(BJ312&gt;=1,"Lift",IF(BJ312&lt;=0,"Aussenlager","teilweise")))))</f>
        <v>Lift</v>
      </c>
      <c r="BN312" s="60" t="str">
        <f aca="false">IF(A312="","",IF(BW312=1,"Neu; ","")&amp;IF(AND(BW312=0,BR312&lt;0),"negativer Bestand (Export "&amp;BR312&amp;"); ","")&amp;IF(J312&lt;=0,"Kein Verbrauch; ","")&amp;IF(CR312&gt;0,"Lift "&amp;W312&amp;" lt. Liftbericht (Fach "&amp;X312&amp;" Stk); ",IF(CB312=1,"Gebinde geschätzt ("&amp;T312&amp;"); ",IF(CA312=1,"Lose – Tablare geschätzt; ","")))&amp;IF(H312&gt;AW312,"Überbestand "&amp;ROUND(H312-AW312,0)&amp;" Stk / CHF "&amp;ROUND((H312-AW312)*G312,0)&amp;"; ","")&amp;IF(AND(CI312=1,CJ312&lt;CK312),"MAX &lt; MB+LG; ","")&amp;IF(AND(CQ312&gt;0,CP312*10&gt;CQ312),"zu hoch für Tablar; ","")&amp;IF(AND(BW312=0,OR(CI312=1,AB312&lt;&gt;"",U312&lt;&gt;"",V312&lt;&gt;"",AC312&lt;&gt;"")),"manuell übersteuert; ","")&amp;IF(AND(CA312=0,R312=0),"Gebinde unbekannt / Stellmass fehlt; ","")&amp;IF(AND(CA312=0,N(V312)&lt;=0,N(Q312)&lt;=0),"Menge pro Gebinde fehlt (Ist = 1 Gebinde); ","")&amp;BV312)</f>
        <v>Kein Verbrauch; Gebinde geschätzt (Klein); Überbestand 24 Stk / CHF 242; Menge pro Gebinde fehlt (Ist = 1 Gebinde); </v>
      </c>
      <c r="BO312" s="60"/>
      <c r="BP312" s="60"/>
      <c r="BQ312" s="67"/>
      <c r="BR312" s="62" t="n">
        <v>25</v>
      </c>
      <c r="BS312" s="62" t="n">
        <v>0</v>
      </c>
      <c r="BT312" s="61" t="n">
        <v>252.25</v>
      </c>
      <c r="BU312" s="62" t="n">
        <v>0</v>
      </c>
      <c r="BV312" s="60"/>
      <c r="BW312" s="65" t="n">
        <v>0</v>
      </c>
      <c r="BX312" s="65" t="n">
        <v>312</v>
      </c>
      <c r="BY312" s="60" t="str">
        <f aca="false">IF(U312&lt;&gt;"",UPPER(TRIM(U312)),IF(CB312=1,UPPER(VLOOKUP(T312,Parameter!$I$27:$K$29,2,0)),IF(P312="","LOSE",P312)))</f>
        <v>S51</v>
      </c>
      <c r="BZ312" s="62" t="n">
        <f aca="false">IF(BY312="LOSE",1,IF(N(V312)&gt;0,V312,IF(CB312=1,MAX(1,N(VLOOKUP(T312,Parameter!$I$27:$K$29,3,0)),H312,N(N312)),IF(N(Q312)&gt;0,Q312,MAX(1,H312)))))</f>
        <v>25</v>
      </c>
      <c r="CA312" s="65" t="n">
        <f aca="false">IF(BY312="LOSE",1,0)</f>
        <v>0</v>
      </c>
      <c r="CB312" s="65" t="n">
        <f aca="false">IF(AND(U312="",OR(P312="",P312="LOSE"),T312&lt;&gt;"",N(S312)&lt;=0,ISNUMBER(MATCH(T312,Parameter!$I$27:$I$29,0))),1,0)</f>
        <v>1</v>
      </c>
      <c r="CC312" s="65" t="n">
        <f aca="false">IF(CR312&gt;0,INDEX(Parameter!$H$5:$H$7,W312)/INDEX(Parameter!$E$5:$E$7,W312),IF(AND(CA312=0,N(IFERROR(VLOOKUP(BY312,'Gebinde-Kategorie'!$A$5:$N$45,14,0),0))&gt;0),VLOOKUP(BY312,'Gebinde-Kategorie'!$A$5:$N$45,14,0)*10+Parameter!$M$23,Parameter!$M$24))</f>
        <v>155</v>
      </c>
      <c r="CD312" s="60" t="str">
        <f aca="false">IF(AND(Parameter!$B$19="Ja",E312&lt;&gt;"",ISNUMBER(MATCH(E312,Parameter!$I$35:$I$52,0))),VLOOKUP(E312,Parameter!$I$35:$J$52,2,0),IFERROR(VLOOKUP(D312,Parameter!$A$35:$C$64,2,0),"Nein"))</f>
        <v>2+3</v>
      </c>
      <c r="CE312" s="64" t="n">
        <f aca="false">IF(CA312=0,0,IF(N(S312)&gt;0,S312,IFERROR(VLOOKUP(D312,Parameter!$A$35:$C$64,3,0)+0,0)))</f>
        <v>0</v>
      </c>
      <c r="CF312" s="60" t="n">
        <f aca="false">IF(AB312&lt;&gt;"",AB312,AA312)</f>
        <v>3</v>
      </c>
      <c r="CG312" s="60" t="str">
        <f aca="false">IF(OR(CF312=1,CF312=2,CF312=3),IF(Parameter!$E$27="Ja","LIFT",IF(CF312=1,"L1","L23")),IF(CF312="Aussen","Aussen","-"))</f>
        <v>LIFT</v>
      </c>
      <c r="CH312" s="71" t="n">
        <f aca="false">IF(N(AC312)&gt;0,AC312,0)</f>
        <v>0</v>
      </c>
      <c r="CI312" s="65" t="n">
        <f aca="false">IF(ISNUMBER(AF312),1,0)</f>
        <v>0</v>
      </c>
      <c r="CJ312" s="62" t="n">
        <f aca="false">N(AF312)</f>
        <v>0</v>
      </c>
      <c r="CK312" s="62" t="n">
        <f aca="false">N(M312)+N(N312)</f>
        <v>1</v>
      </c>
      <c r="CL312" s="62" t="n">
        <f aca="false">N(M312)</f>
        <v>0</v>
      </c>
      <c r="CM312" s="62" t="n">
        <f aca="false">N(N312)</f>
        <v>1</v>
      </c>
      <c r="CN312" s="62" t="n">
        <f aca="false">ROUNDUP(H312/BZ312,0)</f>
        <v>1</v>
      </c>
      <c r="CO312" s="62" t="n">
        <f aca="false">ROUNDUP(CJ312/BZ312,0)</f>
        <v>0</v>
      </c>
      <c r="CP312" s="65" t="n">
        <f aca="false">IF(CA312=1,0,IFERROR(VLOOKUP(BY312,'Gebinde-Kategorie'!$A$5:$N$45,5,0)+0,0))</f>
        <v>11</v>
      </c>
      <c r="CQ312" s="65" t="n">
        <f aca="false">IFERROR(IF(OR(CF312=1,CF312=2,CF312=3),N(INDEX(Parameter!$I$5:$I$7,CF312)),0),0)</f>
        <v>0</v>
      </c>
      <c r="CR312" s="64" t="n">
        <f aca="false">IF(AND(Parameter!$B$21="Ja",ISNUMBER(W312),N(X312)&gt;0),IFERROR(N(INDEX(Parameter!$L$5:$L$7,W312))*INDEX(Parameter!$E$5:$E$7,W312)*X312/SUMIFS($X$7:$X$1843,$W$7:$W$1843,W312),0),0)</f>
        <v>0</v>
      </c>
      <c r="CS312" s="62" t="n">
        <f aca="false">IF(AND(OR(CG312="L1",CG312="L23",CG312="LIFT"),H312&gt;0),CC312*IF(CR312&gt;0,CR312*MAX(1,H312/X312),IF(CA312=1,CE312,IF(R312&gt;0,CN312/R312,0))/MAX(0.1,N(Parameter!$M$21))),"")</f>
        <v>5.96153846153846</v>
      </c>
      <c r="CT312" s="64" t="n">
        <f aca="false">IF(CS312="","",J312/H312)</f>
        <v>0</v>
      </c>
      <c r="CU312" s="62" t="n">
        <f aca="false">IF(CS312="","",H312*G312)</f>
        <v>252.25</v>
      </c>
      <c r="CV312" s="63" t="n">
        <f aca="false">IF(CS312="","",(CL312+ROUNDUP(CL312+MAX(CM312,2*(J312/MAX(0.1,N(Einkauf!$C$6))-CL312)),0))/2)</f>
        <v>0.5</v>
      </c>
      <c r="CW312" s="62" t="n">
        <f aca="false">IF(CS312="","",MAX(0,H312-CV312)*G312)</f>
        <v>247.205</v>
      </c>
      <c r="CX312" s="62" t="n">
        <f aca="false">IF(CS312="","",CS312*MAX(0,1-CV312/H312))</f>
        <v>5.84230769230769</v>
      </c>
      <c r="CY312" s="64" t="n">
        <f aca="false">IF(CS312="","",PERCENTRANK($CS$7:$CS$1843,CS312)+PERCENTRANK($CU$7:$CU$1843,CU312)+1-PERCENTRANK($CT$7:$CT$1843,CT312))</f>
        <v>1.737</v>
      </c>
      <c r="CZ312" s="72" t="n">
        <f aca="false">IF(CS312="","",CHOOSE(MATCH(Einkauf!$C$5,Parameter!$G$23:$G$27,0),CY312,CS312,CU312,-CT312,CW312)+ROW()/1000000000)</f>
        <v>1.737000312</v>
      </c>
    </row>
    <row r="313" customFormat="false" ht="15" hidden="false" customHeight="false" outlineLevel="0" collapsed="false">
      <c r="A313" s="60" t="s">
        <v>835</v>
      </c>
      <c r="B313" s="60" t="s">
        <v>836</v>
      </c>
      <c r="C313" s="60" t="s">
        <v>206</v>
      </c>
      <c r="D313" s="60" t="s">
        <v>226</v>
      </c>
      <c r="E313" s="60" t="s">
        <v>227</v>
      </c>
      <c r="F313" s="60" t="s">
        <v>260</v>
      </c>
      <c r="G313" s="61" t="n">
        <v>27.18</v>
      </c>
      <c r="H313" s="62" t="n">
        <f aca="false">MAX(0,IF(AND(Parameter!$B$21="Ja",ISNUMBER(Y313)),Y313,IF(Parameter!$B$20="Jahresanfang 2025 + Export",BS313+BR313,BR313)))</f>
        <v>28</v>
      </c>
      <c r="I313" s="62" t="n">
        <f aca="false">H313*G313</f>
        <v>761.04</v>
      </c>
      <c r="J313" s="62" t="n">
        <f aca="false">BU313*Parameter!$B$18</f>
        <v>24</v>
      </c>
      <c r="K313" s="63" t="n">
        <v>19.5</v>
      </c>
      <c r="L313" s="64" t="n">
        <v>1.23076923076923</v>
      </c>
      <c r="M313" s="62" t="n">
        <v>1</v>
      </c>
      <c r="N313" s="62" t="n">
        <v>25</v>
      </c>
      <c r="O313" s="65" t="n">
        <v>21</v>
      </c>
      <c r="P313" s="60" t="s">
        <v>275</v>
      </c>
      <c r="Q313" s="62" t="n">
        <v>8</v>
      </c>
      <c r="R313" s="65" t="n">
        <f aca="false">IF(CA313=1,0,IFERROR(VLOOKUP(BY313,'Gebinde-Kategorie'!$A$5:$N$45,13,0)+0,0))</f>
        <v>26</v>
      </c>
      <c r="S313" s="66"/>
      <c r="T313" s="67"/>
      <c r="U313" s="67"/>
      <c r="V313" s="67"/>
      <c r="W313" s="60"/>
      <c r="X313" s="62"/>
      <c r="Y313" s="62"/>
      <c r="Z313" s="60" t="n">
        <v>3</v>
      </c>
      <c r="AA313" s="60" t="n">
        <f aca="false">IF(A313="","",IF(AND(Parameter!$B$21="Ja",ISNUMBER(W313)),W313,IF(AND(Parameter!$E$27="Ja",ISNUMBER(Z313),CD313&lt;&gt;"Nein"),Z313,IF(CD313="2+3",IF(ISNUMBER(SEARCH("grosser Artikel",BV313)),2,IFERROR(VLOOKUP(BY313,Parameter!$F$35:$G$64,2,0),2)),IF(OR(CD313="Nein",CD313=""),"-",CD313)))))</f>
        <v>3</v>
      </c>
      <c r="AB313" s="67"/>
      <c r="AC313" s="68"/>
      <c r="AD313" s="62" t="n">
        <f aca="false">AW313</f>
        <v>26</v>
      </c>
      <c r="AE313" s="62" t="n">
        <f aca="false">MAX(AW313,H313)</f>
        <v>28</v>
      </c>
      <c r="AF313" s="69"/>
      <c r="AG313" s="62" t="n">
        <f aca="false">IF(LEFT(Cockpit!$C$5,1)="A",H313,IF(Parameter!$E$30="MAX-Bestand",IF(CI313=1,CJ313,IF(LEFT(Cockpit!$C$5,1)="B",AM313,MAX(AM313,H313))),ROUNDUP(AK313,0)))</f>
        <v>28</v>
      </c>
      <c r="AH313" s="62" t="n">
        <f aca="false">IF(CA313=1,0,ROUNDUP(AG313/BZ313,0))</f>
        <v>4</v>
      </c>
      <c r="AI313" s="64" t="n">
        <f aca="false">IF(CR313&gt;0,CR313*MAX(1,AG313/X313),IF(CA313=1,IF(AG313&lt;=0,0,CE313*MAX(1,IF(H313&gt;0,AG313/H313,1))),IF(R313&gt;0,AH313/R313,0))/MAX(0.1,N(Parameter!$M$21)))</f>
        <v>0.153846153846154</v>
      </c>
      <c r="AJ313" s="62" t="n">
        <f aca="false">AI313*CC313</f>
        <v>37.6923076923077</v>
      </c>
      <c r="AK313" s="63" t="n">
        <f aca="false">IF(LEFT(Cockpit!$C$5,1)="A",H313,IF(CI313=1,(CL313+CJ313)/2,IF(LEFT(Cockpit!$C$5,1)="B",(CL313+AM313)/2,MAX((CL313+AM313)/2,H313))))</f>
        <v>28</v>
      </c>
      <c r="AL313" s="62" t="n">
        <f aca="false">AK313*G313</f>
        <v>761.04</v>
      </c>
      <c r="AM313" s="62" t="n">
        <f aca="false">ROUNDUP(CL313+MAX(CM313,2*(J313/IF(CH313&gt;0,CH313,MAX(0.1,N(Cockpit!$C$6)))-CL313)),0)</f>
        <v>26</v>
      </c>
      <c r="AN313" s="63" t="n">
        <f aca="false">IF(AJ313&gt;0,J313/AJ313,-1)</f>
        <v>0.636734693877551</v>
      </c>
      <c r="AO313" s="63" t="n">
        <f aca="false">IF(AND(OR(CG313="L1",CG313="L23",CG313="LIFT"),AJ313&gt;0),SUMIFS($AJ$7:$AJ$1843,$CG$7:$CG$1843,CG313,$AN$7:$AN$1843,"&gt;"&amp;AN313)+SUMIFS($AJ$7:$AJ$1843,$CG$7:$CG$1843,CG313,$AN$7:$AN$1843,AN313,$BX$7:$BX$1843,"&lt;="&amp;BX313),"")</f>
        <v>8849.39743589744</v>
      </c>
      <c r="AP313" s="70" t="n">
        <f aca="false">IF(AO313="",0,MAX(0,MIN(1,(IF(CG313="L1",Parameter!$H$5,IF(CG313="L23",Parameter!$H$6+Parameter!$H$7,Parameter!$H$5+Parameter!$H$6+Parameter!$H$7))-(AO313-AJ313))/AJ313)))</f>
        <v>1</v>
      </c>
      <c r="AQ313" s="62" t="n">
        <f aca="false">IF(LEFT(Cockpit!$I$5,1)="A",H313,IF(Parameter!$E$30="MAX-Bestand",IF(CI313=1,CJ313,IF(LEFT(Cockpit!$I$5,1)="B",AW313,MAX(AW313,H313))),ROUNDUP(AU313,0)))</f>
        <v>28</v>
      </c>
      <c r="AR313" s="62" t="n">
        <f aca="false">IF(CA313=1,0,ROUNDUP(AQ313/BZ313,0))</f>
        <v>4</v>
      </c>
      <c r="AS313" s="64" t="n">
        <f aca="false">IF(CR313&gt;0,CR313*MAX(1,AQ313/X313),IF(CA313=1,IF(AQ313&lt;=0,0,CE313*MAX(1,IF(H313&gt;0,AQ313/H313,1))),IF(R313&gt;0,AR313/R313,0))/MAX(0.1,N(Parameter!$M$21)))</f>
        <v>0.153846153846154</v>
      </c>
      <c r="AT313" s="62" t="n">
        <f aca="false">AS313*CC313</f>
        <v>37.6923076923077</v>
      </c>
      <c r="AU313" s="63" t="n">
        <f aca="false">IF(LEFT(Cockpit!$I$5,1)="A",H313,IF(CI313=1,(CL313+CJ313)/2,IF(LEFT(Cockpit!$I$5,1)="B",(CL313+AW313)/2,MAX((CL313+AW313)/2,H313))))</f>
        <v>28</v>
      </c>
      <c r="AV313" s="62" t="n">
        <f aca="false">AU313*G313</f>
        <v>761.04</v>
      </c>
      <c r="AW313" s="62" t="n">
        <f aca="false">ROUNDUP(CL313+MAX(CM313,2*(J313/IF(CH313&gt;0,CH313,MAX(0.1,N(Cockpit!$I$6)))-CL313)),0)</f>
        <v>26</v>
      </c>
      <c r="AX313" s="63" t="n">
        <f aca="false">IF(AT313&gt;0,J313/AT313,-1)</f>
        <v>0.636734693877551</v>
      </c>
      <c r="AY313" s="63" t="n">
        <f aca="false">IF(AND(OR(CG313="L1",CG313="L23",CG313="LIFT"),AT313&gt;0),SUMIFS($AT$7:$AT$1843,$CG$7:$CG$1843,CG313,$AX$7:$AX$1843,"&gt;"&amp;AX313)+SUMIFS($AT$7:$AT$1843,$CG$7:$CG$1843,CG313,$AX$7:$AX$1843,AX313,$BX$7:$BX$1843,"&lt;="&amp;BX313),"")</f>
        <v>11149.5265567766</v>
      </c>
      <c r="AZ313" s="70" t="n">
        <f aca="false">IF(AY313="",0,MAX(0,MIN(1,(IF(CG313="L1",Parameter!$H$5,IF(CG313="L23",Parameter!$H$6+Parameter!$H$7,Parameter!$H$5+Parameter!$H$6+Parameter!$H$7))-(AY313-AT313))/AT313)))</f>
        <v>1</v>
      </c>
      <c r="BA313" s="62" t="n">
        <f aca="false">IF(LEFT(Cockpit!$O$5,1)="A",H313,IF(Parameter!$E$30="MAX-Bestand",IF(CI313=1,CJ313,IF(LEFT(Cockpit!$O$5,1)="B",BG313,MAX(BG313,H313))),ROUNDUP(BE313,0)))</f>
        <v>14</v>
      </c>
      <c r="BB313" s="62" t="n">
        <f aca="false">IF(CA313=1,0,ROUNDUP(BA313/BZ313,0))</f>
        <v>2</v>
      </c>
      <c r="BC313" s="64" t="n">
        <f aca="false">IF(CR313&gt;0,CR313*MAX(1,BA313/X313),IF(CA313=1,IF(BA313&lt;=0,0,CE313*MAX(1,IF(H313&gt;0,BA313/H313,1))),IF(R313&gt;0,BB313/R313,0))/MAX(0.1,N(Parameter!$M$21)))</f>
        <v>0.0769230769230769</v>
      </c>
      <c r="BD313" s="62" t="n">
        <f aca="false">BC313*CC313</f>
        <v>18.8461538461538</v>
      </c>
      <c r="BE313" s="63" t="n">
        <f aca="false">IF(LEFT(Cockpit!$O$5,1)="A",H313,IF(CI313=1,(CL313+CJ313)/2,IF(LEFT(Cockpit!$O$5,1)="B",(CL313+BG313)/2,MAX((CL313+BG313)/2,H313))))</f>
        <v>13.5</v>
      </c>
      <c r="BF313" s="62" t="n">
        <f aca="false">BE313*G313</f>
        <v>366.93</v>
      </c>
      <c r="BG313" s="62" t="n">
        <f aca="false">ROUNDUP(CL313+MAX(CM313,2*(J313/IF(CH313&gt;0,CH313,MAX(0.1,N(Cockpit!$O$6)))-CL313)),0)</f>
        <v>26</v>
      </c>
      <c r="BH313" s="63" t="n">
        <f aca="false">IF(BD313&gt;0,J313/BD313,-1)</f>
        <v>1.2734693877551</v>
      </c>
      <c r="BI313" s="63" t="n">
        <f aca="false">IF(AND(OR(CG313="L1",CG313="L23",CG313="LIFT"),BD313&gt;0),SUMIFS($BD$7:$BD$1843,$CG$7:$CG$1843,CG313,$BH$7:$BH$1843,"&gt;"&amp;BH313)+SUMIFS($BD$7:$BD$1843,$CG$7:$CG$1843,CG313,$BH$7:$BH$1843,BH313,$BX$7:$BX$1843,"&lt;="&amp;BX313),"")</f>
        <v>6871.32921245421</v>
      </c>
      <c r="BJ313" s="70" t="n">
        <f aca="false">IF(BI313="",0,MAX(0,MIN(1,(IF(CG313="L1",Parameter!$H$5,IF(CG313="L23",Parameter!$H$6+Parameter!$H$7,Parameter!$H$5+Parameter!$H$6+Parameter!$H$7))-(BI313-BD313))/BD313)))</f>
        <v>1</v>
      </c>
      <c r="BK313" s="60" t="str">
        <f aca="false">IF(AJ313&lt;=0,"",IF(CG313="Aussen","Aussenlager",IF(CG313="-","Nicht im Lift",IF(AP313&gt;=1,"Lift",IF(AP313&lt;=0,"Aussenlager","teilweise")))))</f>
        <v>Lift</v>
      </c>
      <c r="BL313" s="60" t="str">
        <f aca="false">IF(AT313&lt;=0,"",IF(CG313="Aussen","Aussenlager",IF(CG313="-","Nicht im Lift",IF(AZ313&gt;=1,"Lift",IF(AZ313&lt;=0,"Aussenlager","teilweise")))))</f>
        <v>Lift</v>
      </c>
      <c r="BM313" s="60" t="str">
        <f aca="false">IF(BD313&lt;=0,"",IF(CG313="Aussen","Aussenlager",IF(CG313="-","Nicht im Lift",IF(BJ313&gt;=1,"Lift",IF(BJ313&lt;=0,"Aussenlager","teilweise")))))</f>
        <v>Lift</v>
      </c>
      <c r="BN313" s="60" t="str">
        <f aca="false">IF(A313="","",IF(BW313=1,"Neu; ","")&amp;IF(AND(BW313=0,BR313&lt;0),"negativer Bestand (Export "&amp;BR313&amp;"); ","")&amp;IF(J313&lt;=0,"Kein Verbrauch; ","")&amp;IF(CR313&gt;0,"Lift "&amp;W313&amp;" lt. Liftbericht (Fach "&amp;X313&amp;" Stk); ",IF(CB313=1,"Gebinde geschätzt ("&amp;T313&amp;"); ",IF(CA313=1,"Lose – Tablare geschätzt; ","")))&amp;IF(H313&gt;AW313,"Überbestand "&amp;ROUND(H313-AW313,0)&amp;" Stk / CHF "&amp;ROUND((H313-AW313)*G313,0)&amp;"; ","")&amp;IF(AND(CI313=1,CJ313&lt;CK313),"MAX &lt; MB+LG; ","")&amp;IF(AND(CQ313&gt;0,CP313*10&gt;CQ313),"zu hoch für Tablar; ","")&amp;IF(AND(BW313=0,OR(CI313=1,AB313&lt;&gt;"",U313&lt;&gt;"",V313&lt;&gt;"",AC313&lt;&gt;"")),"manuell übersteuert; ","")&amp;IF(AND(CA313=0,R313=0),"Gebinde unbekannt / Stellmass fehlt; ","")&amp;IF(AND(CA313=0,N(V313)&lt;=0,N(Q313)&lt;=0),"Menge pro Gebinde fehlt (Ist = 1 Gebinde); ","")&amp;BV313)</f>
        <v>Überbestand 2 Stk / CHF 54; </v>
      </c>
      <c r="BO313" s="60"/>
      <c r="BP313" s="60"/>
      <c r="BQ313" s="67"/>
      <c r="BR313" s="62" t="n">
        <v>9</v>
      </c>
      <c r="BS313" s="62" t="n">
        <v>19</v>
      </c>
      <c r="BT313" s="61" t="n">
        <v>249.88</v>
      </c>
      <c r="BU313" s="62" t="n">
        <v>24</v>
      </c>
      <c r="BV313" s="60"/>
      <c r="BW313" s="65" t="n">
        <v>0</v>
      </c>
      <c r="BX313" s="65" t="n">
        <v>313</v>
      </c>
      <c r="BY313" s="60" t="str">
        <f aca="false">IF(U313&lt;&gt;"",UPPER(TRIM(U313)),IF(CB313=1,UPPER(VLOOKUP(T313,Parameter!$I$27:$K$29,2,0)),IF(P313="","LOSE",P313)))</f>
        <v>S52</v>
      </c>
      <c r="BZ313" s="62" t="n">
        <f aca="false">IF(BY313="LOSE",1,IF(N(V313)&gt;0,V313,IF(CB313=1,MAX(1,N(VLOOKUP(T313,Parameter!$I$27:$K$29,3,0)),H313,N(N313)),IF(N(Q313)&gt;0,Q313,MAX(1,H313)))))</f>
        <v>8</v>
      </c>
      <c r="CA313" s="65" t="n">
        <f aca="false">IF(BY313="LOSE",1,0)</f>
        <v>0</v>
      </c>
      <c r="CB313" s="65" t="n">
        <f aca="false">IF(AND(U313="",OR(P313="",P313="LOSE"),T313&lt;&gt;"",N(S313)&lt;=0,ISNUMBER(MATCH(T313,Parameter!$I$27:$I$29,0))),1,0)</f>
        <v>0</v>
      </c>
      <c r="CC313" s="65" t="n">
        <f aca="false">IF(CR313&gt;0,INDEX(Parameter!$H$5:$H$7,W313)/INDEX(Parameter!$E$5:$E$7,W313),IF(AND(CA313=0,N(IFERROR(VLOOKUP(BY313,'Gebinde-Kategorie'!$A$5:$N$45,14,0),0))&gt;0),VLOOKUP(BY313,'Gebinde-Kategorie'!$A$5:$N$45,14,0)*10+Parameter!$M$23,Parameter!$M$24))</f>
        <v>245</v>
      </c>
      <c r="CD313" s="60" t="str">
        <f aca="false">IF(AND(Parameter!$B$19="Ja",E313&lt;&gt;"",ISNUMBER(MATCH(E313,Parameter!$I$35:$I$52,0))),VLOOKUP(E313,Parameter!$I$35:$J$52,2,0),IFERROR(VLOOKUP(D313,Parameter!$A$35:$C$64,2,0),"Nein"))</f>
        <v>2+3</v>
      </c>
      <c r="CE313" s="64" t="n">
        <f aca="false">IF(CA313=0,0,IF(N(S313)&gt;0,S313,IFERROR(VLOOKUP(D313,Parameter!$A$35:$C$64,3,0)+0,0)))</f>
        <v>0</v>
      </c>
      <c r="CF313" s="60" t="n">
        <f aca="false">IF(AB313&lt;&gt;"",AB313,AA313)</f>
        <v>3</v>
      </c>
      <c r="CG313" s="60" t="str">
        <f aca="false">IF(OR(CF313=1,CF313=2,CF313=3),IF(Parameter!$E$27="Ja","LIFT",IF(CF313=1,"L1","L23")),IF(CF313="Aussen","Aussen","-"))</f>
        <v>LIFT</v>
      </c>
      <c r="CH313" s="71" t="n">
        <f aca="false">IF(N(AC313)&gt;0,AC313,0)</f>
        <v>0</v>
      </c>
      <c r="CI313" s="65" t="n">
        <f aca="false">IF(ISNUMBER(AF313),1,0)</f>
        <v>0</v>
      </c>
      <c r="CJ313" s="62" t="n">
        <f aca="false">N(AF313)</f>
        <v>0</v>
      </c>
      <c r="CK313" s="62" t="n">
        <f aca="false">N(M313)+N(N313)</f>
        <v>26</v>
      </c>
      <c r="CL313" s="62" t="n">
        <f aca="false">N(M313)</f>
        <v>1</v>
      </c>
      <c r="CM313" s="62" t="n">
        <f aca="false">N(N313)</f>
        <v>25</v>
      </c>
      <c r="CN313" s="62" t="n">
        <f aca="false">ROUNDUP(H313/BZ313,0)</f>
        <v>4</v>
      </c>
      <c r="CO313" s="62" t="n">
        <f aca="false">ROUNDUP(CJ313/BZ313,0)</f>
        <v>0</v>
      </c>
      <c r="CP313" s="65" t="n">
        <f aca="false">IF(CA313=1,0,IFERROR(VLOOKUP(BY313,'Gebinde-Kategorie'!$A$5:$N$45,5,0)+0,0))</f>
        <v>21</v>
      </c>
      <c r="CQ313" s="65" t="n">
        <f aca="false">IFERROR(IF(OR(CF313=1,CF313=2,CF313=3),N(INDEX(Parameter!$I$5:$I$7,CF313)),0),0)</f>
        <v>0</v>
      </c>
      <c r="CR313" s="64" t="n">
        <f aca="false">IF(AND(Parameter!$B$21="Ja",ISNUMBER(W313),N(X313)&gt;0),IFERROR(N(INDEX(Parameter!$L$5:$L$7,W313))*INDEX(Parameter!$E$5:$E$7,W313)*X313/SUMIFS($X$7:$X$1843,$W$7:$W$1843,W313),0),0)</f>
        <v>0</v>
      </c>
      <c r="CS313" s="62" t="n">
        <f aca="false">IF(AND(OR(CG313="L1",CG313="L23",CG313="LIFT"),H313&gt;0),CC313*IF(CR313&gt;0,CR313*MAX(1,H313/X313),IF(CA313=1,CE313,IF(R313&gt;0,CN313/R313,0))/MAX(0.1,N(Parameter!$M$21))),"")</f>
        <v>37.6923076923077</v>
      </c>
      <c r="CT313" s="64" t="n">
        <f aca="false">IF(CS313="","",J313/H313)</f>
        <v>0.857142857142857</v>
      </c>
      <c r="CU313" s="62" t="n">
        <f aca="false">IF(CS313="","",H313*G313)</f>
        <v>761.04</v>
      </c>
      <c r="CV313" s="63" t="n">
        <f aca="false">IF(CS313="","",(CL313+ROUNDUP(CL313+MAX(CM313,2*(J313/MAX(0.1,N(Einkauf!$C$6))-CL313)),0))/2)</f>
        <v>13.5</v>
      </c>
      <c r="CW313" s="62" t="n">
        <f aca="false">IF(CS313="","",MAX(0,H313-CV313)*G313)</f>
        <v>394.11</v>
      </c>
      <c r="CX313" s="62" t="n">
        <f aca="false">IF(CS313="","",CS313*MAX(0,1-CV313/H313))</f>
        <v>19.5192307692308</v>
      </c>
      <c r="CY313" s="64" t="n">
        <f aca="false">IF(CS313="","",PERCENTRANK($CS$7:$CS$1843,CS313)+PERCENTRANK($CU$7:$CU$1843,CU313)+1-PERCENTRANK($CT$7:$CT$1843,CT313))</f>
        <v>1.838</v>
      </c>
      <c r="CZ313" s="72" t="n">
        <f aca="false">IF(CS313="","",CHOOSE(MATCH(Einkauf!$C$5,Parameter!$G$23:$G$27,0),CY313,CS313,CU313,-CT313,CW313)+ROW()/1000000000)</f>
        <v>1.838000313</v>
      </c>
    </row>
    <row r="314" customFormat="false" ht="15" hidden="false" customHeight="false" outlineLevel="0" collapsed="false">
      <c r="A314" s="60" t="s">
        <v>837</v>
      </c>
      <c r="B314" s="60" t="s">
        <v>838</v>
      </c>
      <c r="C314" s="60" t="s">
        <v>206</v>
      </c>
      <c r="D314" s="60" t="s">
        <v>226</v>
      </c>
      <c r="E314" s="60" t="s">
        <v>227</v>
      </c>
      <c r="F314" s="60" t="s">
        <v>260</v>
      </c>
      <c r="G314" s="61" t="n">
        <v>21.25</v>
      </c>
      <c r="H314" s="62" t="n">
        <f aca="false">MAX(0,IF(AND(Parameter!$B$21="Ja",ISNUMBER(Y314)),Y314,IF(Parameter!$B$20="Jahresanfang 2025 + Export",BS314+BR314,BR314)))</f>
        <v>17</v>
      </c>
      <c r="I314" s="62" t="n">
        <f aca="false">H314*G314</f>
        <v>361.25</v>
      </c>
      <c r="J314" s="62" t="n">
        <f aca="false">BU314*Parameter!$B$18</f>
        <v>16</v>
      </c>
      <c r="K314" s="63" t="n">
        <v>5.5</v>
      </c>
      <c r="L314" s="64" t="n">
        <v>2.90909090909091</v>
      </c>
      <c r="M314" s="62" t="n">
        <v>0</v>
      </c>
      <c r="N314" s="62" t="n">
        <v>15</v>
      </c>
      <c r="O314" s="65" t="n">
        <v>21</v>
      </c>
      <c r="P314" s="60" t="s">
        <v>463</v>
      </c>
      <c r="Q314" s="62" t="n">
        <v>9</v>
      </c>
      <c r="R314" s="65" t="n">
        <f aca="false">IF(CA314=1,0,IFERROR(VLOOKUP(BY314,'Gebinde-Kategorie'!$A$5:$N$45,13,0)+0,0))</f>
        <v>104</v>
      </c>
      <c r="S314" s="66"/>
      <c r="T314" s="67"/>
      <c r="U314" s="67"/>
      <c r="V314" s="67"/>
      <c r="W314" s="60"/>
      <c r="X314" s="62"/>
      <c r="Y314" s="62"/>
      <c r="Z314" s="60" t="n">
        <v>3</v>
      </c>
      <c r="AA314" s="60" t="n">
        <f aca="false">IF(A314="","",IF(AND(Parameter!$B$21="Ja",ISNUMBER(W314)),W314,IF(AND(Parameter!$E$27="Ja",ISNUMBER(Z314),CD314&lt;&gt;"Nein"),Z314,IF(CD314="2+3",IF(ISNUMBER(SEARCH("grosser Artikel",BV314)),2,IFERROR(VLOOKUP(BY314,Parameter!$F$35:$G$64,2,0),2)),IF(OR(CD314="Nein",CD314=""),"-",CD314)))))</f>
        <v>3</v>
      </c>
      <c r="AB314" s="67"/>
      <c r="AC314" s="68"/>
      <c r="AD314" s="62" t="n">
        <f aca="false">AW314</f>
        <v>15</v>
      </c>
      <c r="AE314" s="62" t="n">
        <f aca="false">MAX(AW314,H314)</f>
        <v>17</v>
      </c>
      <c r="AF314" s="69"/>
      <c r="AG314" s="62" t="n">
        <f aca="false">IF(LEFT(Cockpit!$C$5,1)="A",H314,IF(Parameter!$E$30="MAX-Bestand",IF(CI314=1,CJ314,IF(LEFT(Cockpit!$C$5,1)="B",AM314,MAX(AM314,H314))),ROUNDUP(AK314,0)))</f>
        <v>17</v>
      </c>
      <c r="AH314" s="62" t="n">
        <f aca="false">IF(CA314=1,0,ROUNDUP(AG314/BZ314,0))</f>
        <v>2</v>
      </c>
      <c r="AI314" s="64" t="n">
        <f aca="false">IF(CR314&gt;0,CR314*MAX(1,AG314/X314),IF(CA314=1,IF(AG314&lt;=0,0,CE314*MAX(1,IF(H314&gt;0,AG314/H314,1))),IF(R314&gt;0,AH314/R314,0))/MAX(0.1,N(Parameter!$M$21)))</f>
        <v>0.0192307692307692</v>
      </c>
      <c r="AJ314" s="62" t="n">
        <f aca="false">AI314*CC314</f>
        <v>2.98076923076923</v>
      </c>
      <c r="AK314" s="63" t="n">
        <f aca="false">IF(LEFT(Cockpit!$C$5,1)="A",H314,IF(CI314=1,(CL314+CJ314)/2,IF(LEFT(Cockpit!$C$5,1)="B",(CL314+AM314)/2,MAX((CL314+AM314)/2,H314))))</f>
        <v>17</v>
      </c>
      <c r="AL314" s="62" t="n">
        <f aca="false">AK314*G314</f>
        <v>361.25</v>
      </c>
      <c r="AM314" s="62" t="n">
        <f aca="false">ROUNDUP(CL314+MAX(CM314,2*(J314/IF(CH314&gt;0,CH314,MAX(0.1,N(Cockpit!$C$6)))-CL314)),0)</f>
        <v>15</v>
      </c>
      <c r="AN314" s="63" t="n">
        <f aca="false">IF(AJ314&gt;0,J314/AJ314,-1)</f>
        <v>5.36774193548387</v>
      </c>
      <c r="AO314" s="63" t="n">
        <f aca="false">IF(AND(OR(CG314="L1",CG314="L23",CG314="LIFT"),AJ314&gt;0),SUMIFS($AJ$7:$AJ$1843,$CG$7:$CG$1843,CG314,$AN$7:$AN$1843,"&gt;"&amp;AN314)+SUMIFS($AJ$7:$AJ$1843,$CG$7:$CG$1843,CG314,$AN$7:$AN$1843,AN314,$BX$7:$BX$1843,"&lt;="&amp;BX314),"")</f>
        <v>3720.22985347985</v>
      </c>
      <c r="AP314" s="70" t="n">
        <f aca="false">IF(AO314="",0,MAX(0,MIN(1,(IF(CG314="L1",Parameter!$H$5,IF(CG314="L23",Parameter!$H$6+Parameter!$H$7,Parameter!$H$5+Parameter!$H$6+Parameter!$H$7))-(AO314-AJ314))/AJ314)))</f>
        <v>1</v>
      </c>
      <c r="AQ314" s="62" t="n">
        <f aca="false">IF(LEFT(Cockpit!$I$5,1)="A",H314,IF(Parameter!$E$30="MAX-Bestand",IF(CI314=1,CJ314,IF(LEFT(Cockpit!$I$5,1)="B",AW314,MAX(AW314,H314))),ROUNDUP(AU314,0)))</f>
        <v>17</v>
      </c>
      <c r="AR314" s="62" t="n">
        <f aca="false">IF(CA314=1,0,ROUNDUP(AQ314/BZ314,0))</f>
        <v>2</v>
      </c>
      <c r="AS314" s="64" t="n">
        <f aca="false">IF(CR314&gt;0,CR314*MAX(1,AQ314/X314),IF(CA314=1,IF(AQ314&lt;=0,0,CE314*MAX(1,IF(H314&gt;0,AQ314/H314,1))),IF(R314&gt;0,AR314/R314,0))/MAX(0.1,N(Parameter!$M$21)))</f>
        <v>0.0192307692307692</v>
      </c>
      <c r="AT314" s="62" t="n">
        <f aca="false">AS314*CC314</f>
        <v>2.98076923076923</v>
      </c>
      <c r="AU314" s="63" t="n">
        <f aca="false">IF(LEFT(Cockpit!$I$5,1)="A",H314,IF(CI314=1,(CL314+CJ314)/2,IF(LEFT(Cockpit!$I$5,1)="B",(CL314+AW314)/2,MAX((CL314+AW314)/2,H314))))</f>
        <v>17</v>
      </c>
      <c r="AV314" s="62" t="n">
        <f aca="false">AU314*G314</f>
        <v>361.25</v>
      </c>
      <c r="AW314" s="62" t="n">
        <f aca="false">ROUNDUP(CL314+MAX(CM314,2*(J314/IF(CH314&gt;0,CH314,MAX(0.1,N(Cockpit!$I$6)))-CL314)),0)</f>
        <v>15</v>
      </c>
      <c r="AX314" s="63" t="n">
        <f aca="false">IF(AT314&gt;0,J314/AT314,-1)</f>
        <v>5.36774193548387</v>
      </c>
      <c r="AY314" s="63" t="n">
        <f aca="false">IF(AND(OR(CG314="L1",CG314="L23",CG314="LIFT"),AT314&gt;0),SUMIFS($AT$7:$AT$1843,$CG$7:$CG$1843,CG314,$AX$7:$AX$1843,"&gt;"&amp;AX314)+SUMIFS($AT$7:$AT$1843,$CG$7:$CG$1843,CG314,$AX$7:$AX$1843,AX314,$BX$7:$BX$1843,"&lt;="&amp;BX314),"")</f>
        <v>4373.9706959707</v>
      </c>
      <c r="AZ314" s="70" t="n">
        <f aca="false">IF(AY314="",0,MAX(0,MIN(1,(IF(CG314="L1",Parameter!$H$5,IF(CG314="L23",Parameter!$H$6+Parameter!$H$7,Parameter!$H$5+Parameter!$H$6+Parameter!$H$7))-(AY314-AT314))/AT314)))</f>
        <v>1</v>
      </c>
      <c r="BA314" s="62" t="n">
        <f aca="false">IF(LEFT(Cockpit!$O$5,1)="A",H314,IF(Parameter!$E$30="MAX-Bestand",IF(CI314=1,CJ314,IF(LEFT(Cockpit!$O$5,1)="B",BG314,MAX(BG314,H314))),ROUNDUP(BE314,0)))</f>
        <v>8</v>
      </c>
      <c r="BB314" s="62" t="n">
        <f aca="false">IF(CA314=1,0,ROUNDUP(BA314/BZ314,0))</f>
        <v>1</v>
      </c>
      <c r="BC314" s="64" t="n">
        <f aca="false">IF(CR314&gt;0,CR314*MAX(1,BA314/X314),IF(CA314=1,IF(BA314&lt;=0,0,CE314*MAX(1,IF(H314&gt;0,BA314/H314,1))),IF(R314&gt;0,BB314/R314,0))/MAX(0.1,N(Parameter!$M$21)))</f>
        <v>0.00961538461538462</v>
      </c>
      <c r="BD314" s="62" t="n">
        <f aca="false">BC314*CC314</f>
        <v>1.49038461538462</v>
      </c>
      <c r="BE314" s="63" t="n">
        <f aca="false">IF(LEFT(Cockpit!$O$5,1)="A",H314,IF(CI314=1,(CL314+CJ314)/2,IF(LEFT(Cockpit!$O$5,1)="B",(CL314+BG314)/2,MAX((CL314+BG314)/2,H314))))</f>
        <v>7.5</v>
      </c>
      <c r="BF314" s="62" t="n">
        <f aca="false">BE314*G314</f>
        <v>159.375</v>
      </c>
      <c r="BG314" s="62" t="n">
        <f aca="false">ROUNDUP(CL314+MAX(CM314,2*(J314/IF(CH314&gt;0,CH314,MAX(0.1,N(Cockpit!$O$6)))-CL314)),0)</f>
        <v>15</v>
      </c>
      <c r="BH314" s="63" t="n">
        <f aca="false">IF(BD314&gt;0,J314/BD314,-1)</f>
        <v>10.7354838709677</v>
      </c>
      <c r="BI314" s="63" t="n">
        <f aca="false">IF(AND(OR(CG314="L1",CG314="L23",CG314="LIFT"),BD314&gt;0),SUMIFS($BD$7:$BD$1843,$CG$7:$CG$1843,CG314,$BH$7:$BH$1843,"&gt;"&amp;BH314)+SUMIFS($BD$7:$BD$1843,$CG$7:$CG$1843,CG314,$BH$7:$BH$1843,BH314,$BX$7:$BX$1843,"&lt;="&amp;BX314),"")</f>
        <v>2668.4793956044</v>
      </c>
      <c r="BJ314" s="70" t="n">
        <f aca="false">IF(BI314="",0,MAX(0,MIN(1,(IF(CG314="L1",Parameter!$H$5,IF(CG314="L23",Parameter!$H$6+Parameter!$H$7,Parameter!$H$5+Parameter!$H$6+Parameter!$H$7))-(BI314-BD314))/BD314)))</f>
        <v>1</v>
      </c>
      <c r="BK314" s="60" t="str">
        <f aca="false">IF(AJ314&lt;=0,"",IF(CG314="Aussen","Aussenlager",IF(CG314="-","Nicht im Lift",IF(AP314&gt;=1,"Lift",IF(AP314&lt;=0,"Aussenlager","teilweise")))))</f>
        <v>Lift</v>
      </c>
      <c r="BL314" s="60" t="str">
        <f aca="false">IF(AT314&lt;=0,"",IF(CG314="Aussen","Aussenlager",IF(CG314="-","Nicht im Lift",IF(AZ314&gt;=1,"Lift",IF(AZ314&lt;=0,"Aussenlager","teilweise")))))</f>
        <v>Lift</v>
      </c>
      <c r="BM314" s="60" t="str">
        <f aca="false">IF(BD314&lt;=0,"",IF(CG314="Aussen","Aussenlager",IF(CG314="-","Nicht im Lift",IF(BJ314&gt;=1,"Lift",IF(BJ314&lt;=0,"Aussenlager","teilweise")))))</f>
        <v>Lift</v>
      </c>
      <c r="BN314" s="60" t="str">
        <f aca="false">IF(A314="","",IF(BW314=1,"Neu; ","")&amp;IF(AND(BW314=0,BR314&lt;0),"negativer Bestand (Export "&amp;BR314&amp;"); ","")&amp;IF(J314&lt;=0,"Kein Verbrauch; ","")&amp;IF(CR314&gt;0,"Lift "&amp;W314&amp;" lt. Liftbericht (Fach "&amp;X314&amp;" Stk); ",IF(CB314=1,"Gebinde geschätzt ("&amp;T314&amp;"); ",IF(CA314=1,"Lose – Tablare geschätzt; ","")))&amp;IF(H314&gt;AW314,"Überbestand "&amp;ROUND(H314-AW314,0)&amp;" Stk / CHF "&amp;ROUND((H314-AW314)*G314,0)&amp;"; ","")&amp;IF(AND(CI314=1,CJ314&lt;CK314),"MAX &lt; MB+LG; ","")&amp;IF(AND(CQ314&gt;0,CP314*10&gt;CQ314),"zu hoch für Tablar; ","")&amp;IF(AND(BW314=0,OR(CI314=1,AB314&lt;&gt;"",U314&lt;&gt;"",V314&lt;&gt;"",AC314&lt;&gt;"")),"manuell übersteuert; ","")&amp;IF(AND(CA314=0,R314=0),"Gebinde unbekannt / Stellmass fehlt; ","")&amp;IF(AND(CA314=0,N(V314)&lt;=0,N(Q314)&lt;=0),"Menge pro Gebinde fehlt (Ist = 1 Gebinde); ","")&amp;BV314)</f>
        <v>Überbestand 2 Stk / CHF 43; </v>
      </c>
      <c r="BO314" s="60"/>
      <c r="BP314" s="60"/>
      <c r="BQ314" s="67"/>
      <c r="BR314" s="62" t="n">
        <v>11</v>
      </c>
      <c r="BS314" s="62" t="n">
        <v>6</v>
      </c>
      <c r="BT314" s="61" t="n">
        <v>249.53</v>
      </c>
      <c r="BU314" s="62" t="n">
        <v>16</v>
      </c>
      <c r="BV314" s="60"/>
      <c r="BW314" s="65" t="n">
        <v>0</v>
      </c>
      <c r="BX314" s="65" t="n">
        <v>314</v>
      </c>
      <c r="BY314" s="60" t="str">
        <f aca="false">IF(U314&lt;&gt;"",UPPER(TRIM(U314)),IF(CB314=1,UPPER(VLOOKUP(T314,Parameter!$I$27:$K$29,2,0)),IF(P314="","LOSE",P314)))</f>
        <v>S32</v>
      </c>
      <c r="BZ314" s="62" t="n">
        <f aca="false">IF(BY314="LOSE",1,IF(N(V314)&gt;0,V314,IF(CB314=1,MAX(1,N(VLOOKUP(T314,Parameter!$I$27:$K$29,3,0)),H314,N(N314)),IF(N(Q314)&gt;0,Q314,MAX(1,H314)))))</f>
        <v>9</v>
      </c>
      <c r="CA314" s="65" t="n">
        <f aca="false">IF(BY314="LOSE",1,0)</f>
        <v>0</v>
      </c>
      <c r="CB314" s="65" t="n">
        <f aca="false">IF(AND(U314="",OR(P314="",P314="LOSE"),T314&lt;&gt;"",N(S314)&lt;=0,ISNUMBER(MATCH(T314,Parameter!$I$27:$I$29,0))),1,0)</f>
        <v>0</v>
      </c>
      <c r="CC314" s="65" t="n">
        <f aca="false">IF(CR314&gt;0,INDEX(Parameter!$H$5:$H$7,W314)/INDEX(Parameter!$E$5:$E$7,W314),IF(AND(CA314=0,N(IFERROR(VLOOKUP(BY314,'Gebinde-Kategorie'!$A$5:$N$45,14,0),0))&gt;0),VLOOKUP(BY314,'Gebinde-Kategorie'!$A$5:$N$45,14,0)*10+Parameter!$M$23,Parameter!$M$24))</f>
        <v>155</v>
      </c>
      <c r="CD314" s="60" t="str">
        <f aca="false">IF(AND(Parameter!$B$19="Ja",E314&lt;&gt;"",ISNUMBER(MATCH(E314,Parameter!$I$35:$I$52,0))),VLOOKUP(E314,Parameter!$I$35:$J$52,2,0),IFERROR(VLOOKUP(D314,Parameter!$A$35:$C$64,2,0),"Nein"))</f>
        <v>2+3</v>
      </c>
      <c r="CE314" s="64" t="n">
        <f aca="false">IF(CA314=0,0,IF(N(S314)&gt;0,S314,IFERROR(VLOOKUP(D314,Parameter!$A$35:$C$64,3,0)+0,0)))</f>
        <v>0</v>
      </c>
      <c r="CF314" s="60" t="n">
        <f aca="false">IF(AB314&lt;&gt;"",AB314,AA314)</f>
        <v>3</v>
      </c>
      <c r="CG314" s="60" t="str">
        <f aca="false">IF(OR(CF314=1,CF314=2,CF314=3),IF(Parameter!$E$27="Ja","LIFT",IF(CF314=1,"L1","L23")),IF(CF314="Aussen","Aussen","-"))</f>
        <v>LIFT</v>
      </c>
      <c r="CH314" s="71" t="n">
        <f aca="false">IF(N(AC314)&gt;0,AC314,0)</f>
        <v>0</v>
      </c>
      <c r="CI314" s="65" t="n">
        <f aca="false">IF(ISNUMBER(AF314),1,0)</f>
        <v>0</v>
      </c>
      <c r="CJ314" s="62" t="n">
        <f aca="false">N(AF314)</f>
        <v>0</v>
      </c>
      <c r="CK314" s="62" t="n">
        <f aca="false">N(M314)+N(N314)</f>
        <v>15</v>
      </c>
      <c r="CL314" s="62" t="n">
        <f aca="false">N(M314)</f>
        <v>0</v>
      </c>
      <c r="CM314" s="62" t="n">
        <f aca="false">N(N314)</f>
        <v>15</v>
      </c>
      <c r="CN314" s="62" t="n">
        <f aca="false">ROUNDUP(H314/BZ314,0)</f>
        <v>2</v>
      </c>
      <c r="CO314" s="62" t="n">
        <f aca="false">ROUNDUP(CJ314/BZ314,0)</f>
        <v>0</v>
      </c>
      <c r="CP314" s="65" t="n">
        <f aca="false">IF(CA314=1,0,IFERROR(VLOOKUP(BY314,'Gebinde-Kategorie'!$A$5:$N$45,5,0)+0,0))</f>
        <v>8</v>
      </c>
      <c r="CQ314" s="65" t="n">
        <f aca="false">IFERROR(IF(OR(CF314=1,CF314=2,CF314=3),N(INDEX(Parameter!$I$5:$I$7,CF314)),0),0)</f>
        <v>0</v>
      </c>
      <c r="CR314" s="64" t="n">
        <f aca="false">IF(AND(Parameter!$B$21="Ja",ISNUMBER(W314),N(X314)&gt;0),IFERROR(N(INDEX(Parameter!$L$5:$L$7,W314))*INDEX(Parameter!$E$5:$E$7,W314)*X314/SUMIFS($X$7:$X$1843,$W$7:$W$1843,W314),0),0)</f>
        <v>0</v>
      </c>
      <c r="CS314" s="62" t="n">
        <f aca="false">IF(AND(OR(CG314="L1",CG314="L23",CG314="LIFT"),H314&gt;0),CC314*IF(CR314&gt;0,CR314*MAX(1,H314/X314),IF(CA314=1,CE314,IF(R314&gt;0,CN314/R314,0))/MAX(0.1,N(Parameter!$M$21))),"")</f>
        <v>2.98076923076923</v>
      </c>
      <c r="CT314" s="64" t="n">
        <f aca="false">IF(CS314="","",J314/H314)</f>
        <v>0.941176470588235</v>
      </c>
      <c r="CU314" s="62" t="n">
        <f aca="false">IF(CS314="","",H314*G314)</f>
        <v>361.25</v>
      </c>
      <c r="CV314" s="63" t="n">
        <f aca="false">IF(CS314="","",(CL314+ROUNDUP(CL314+MAX(CM314,2*(J314/MAX(0.1,N(Einkauf!$C$6))-CL314)),0))/2)</f>
        <v>7.5</v>
      </c>
      <c r="CW314" s="62" t="n">
        <f aca="false">IF(CS314="","",MAX(0,H314-CV314)*G314)</f>
        <v>201.875</v>
      </c>
      <c r="CX314" s="62" t="n">
        <f aca="false">IF(CS314="","",CS314*MAX(0,1-CV314/H314))</f>
        <v>1.66572398190045</v>
      </c>
      <c r="CY314" s="64" t="n">
        <f aca="false">IF(CS314="","",PERCENTRANK($CS$7:$CS$1843,CS314)+PERCENTRANK($CU$7:$CU$1843,CU314)+1-PERCENTRANK($CT$7:$CT$1843,CT314))</f>
        <v>1.047</v>
      </c>
      <c r="CZ314" s="72" t="n">
        <f aca="false">IF(CS314="","",CHOOSE(MATCH(Einkauf!$C$5,Parameter!$G$23:$G$27,0),CY314,CS314,CU314,-CT314,CW314)+ROW()/1000000000)</f>
        <v>1.047000314</v>
      </c>
    </row>
    <row r="315" customFormat="false" ht="15" hidden="false" customHeight="false" outlineLevel="0" collapsed="false">
      <c r="A315" s="60" t="s">
        <v>839</v>
      </c>
      <c r="B315" s="60" t="s">
        <v>633</v>
      </c>
      <c r="C315" s="60" t="s">
        <v>206</v>
      </c>
      <c r="D315" s="60" t="s">
        <v>226</v>
      </c>
      <c r="E315" s="60" t="s">
        <v>227</v>
      </c>
      <c r="F315" s="60" t="s">
        <v>260</v>
      </c>
      <c r="G315" s="61" t="n">
        <v>7.02</v>
      </c>
      <c r="H315" s="62" t="n">
        <f aca="false">MAX(0,IF(AND(Parameter!$B$21="Ja",ISNUMBER(Y315)),Y315,IF(Parameter!$B$20="Jahresanfang 2025 + Export",BS315+BR315,BR315)))</f>
        <v>61</v>
      </c>
      <c r="I315" s="62" t="n">
        <f aca="false">H315*G315</f>
        <v>428.22</v>
      </c>
      <c r="J315" s="62" t="n">
        <f aca="false">BU315*Parameter!$B$18</f>
        <v>63</v>
      </c>
      <c r="K315" s="63" t="n">
        <v>42</v>
      </c>
      <c r="L315" s="64" t="n">
        <v>1.5</v>
      </c>
      <c r="M315" s="62" t="n">
        <v>2</v>
      </c>
      <c r="N315" s="62" t="n">
        <v>60</v>
      </c>
      <c r="O315" s="65" t="n">
        <v>21</v>
      </c>
      <c r="P315" s="60" t="s">
        <v>518</v>
      </c>
      <c r="Q315" s="62" t="n">
        <v>58</v>
      </c>
      <c r="R315" s="65" t="n">
        <f aca="false">IF(CA315=1,0,IFERROR(VLOOKUP(BY315,'Gebinde-Kategorie'!$A$5:$N$45,13,0)+0,0))</f>
        <v>52</v>
      </c>
      <c r="S315" s="66"/>
      <c r="T315" s="67"/>
      <c r="U315" s="67"/>
      <c r="V315" s="67"/>
      <c r="W315" s="60"/>
      <c r="X315" s="62"/>
      <c r="Y315" s="62"/>
      <c r="Z315" s="60" t="n">
        <v>3</v>
      </c>
      <c r="AA315" s="60" t="n">
        <f aca="false">IF(A315="","",IF(AND(Parameter!$B$21="Ja",ISNUMBER(W315)),W315,IF(AND(Parameter!$E$27="Ja",ISNUMBER(Z315),CD315&lt;&gt;"Nein"),Z315,IF(CD315="2+3",IF(ISNUMBER(SEARCH("grosser Artikel",BV315)),2,IFERROR(VLOOKUP(BY315,Parameter!$F$35:$G$64,2,0),2)),IF(OR(CD315="Nein",CD315=""),"-",CD315)))))</f>
        <v>3</v>
      </c>
      <c r="AB315" s="67"/>
      <c r="AC315" s="68"/>
      <c r="AD315" s="62" t="n">
        <f aca="false">AW315</f>
        <v>62</v>
      </c>
      <c r="AE315" s="62" t="n">
        <f aca="false">MAX(AW315,H315)</f>
        <v>62</v>
      </c>
      <c r="AF315" s="69"/>
      <c r="AG315" s="62" t="n">
        <f aca="false">IF(LEFT(Cockpit!$C$5,1)="A",H315,IF(Parameter!$E$30="MAX-Bestand",IF(CI315=1,CJ315,IF(LEFT(Cockpit!$C$5,1)="B",AM315,MAX(AM315,H315))),ROUNDUP(AK315,0)))</f>
        <v>61</v>
      </c>
      <c r="AH315" s="62" t="n">
        <f aca="false">IF(CA315=1,0,ROUNDUP(AG315/BZ315,0))</f>
        <v>2</v>
      </c>
      <c r="AI315" s="64" t="n">
        <f aca="false">IF(CR315&gt;0,CR315*MAX(1,AG315/X315),IF(CA315=1,IF(AG315&lt;=0,0,CE315*MAX(1,IF(H315&gt;0,AG315/H315,1))),IF(R315&gt;0,AH315/R315,0))/MAX(0.1,N(Parameter!$M$21)))</f>
        <v>0.0384615384615385</v>
      </c>
      <c r="AJ315" s="62" t="n">
        <f aca="false">AI315*CC315</f>
        <v>5.96153846153846</v>
      </c>
      <c r="AK315" s="63" t="n">
        <f aca="false">IF(LEFT(Cockpit!$C$5,1)="A",H315,IF(CI315=1,(CL315+CJ315)/2,IF(LEFT(Cockpit!$C$5,1)="B",(CL315+AM315)/2,MAX((CL315+AM315)/2,H315))))</f>
        <v>61</v>
      </c>
      <c r="AL315" s="62" t="n">
        <f aca="false">AK315*G315</f>
        <v>428.22</v>
      </c>
      <c r="AM315" s="62" t="n">
        <f aca="false">ROUNDUP(CL315+MAX(CM315,2*(J315/IF(CH315&gt;0,CH315,MAX(0.1,N(Cockpit!$C$6)))-CL315)),0)</f>
        <v>62</v>
      </c>
      <c r="AN315" s="63" t="n">
        <f aca="false">IF(AJ315&gt;0,J315/AJ315,-1)</f>
        <v>10.5677419354839</v>
      </c>
      <c r="AO315" s="63" t="n">
        <f aca="false">IF(AND(OR(CG315="L1",CG315="L23",CG315="LIFT"),AJ315&gt;0),SUMIFS($AJ$7:$AJ$1843,$CG$7:$CG$1843,CG315,$AN$7:$AN$1843,"&gt;"&amp;AN315)+SUMIFS($AJ$7:$AJ$1843,$CG$7:$CG$1843,CG315,$AN$7:$AN$1843,AN315,$BX$7:$BX$1843,"&lt;="&amp;BX315),"")</f>
        <v>2582.75732600733</v>
      </c>
      <c r="AP315" s="70" t="n">
        <f aca="false">IF(AO315="",0,MAX(0,MIN(1,(IF(CG315="L1",Parameter!$H$5,IF(CG315="L23",Parameter!$H$6+Parameter!$H$7,Parameter!$H$5+Parameter!$H$6+Parameter!$H$7))-(AO315-AJ315))/AJ315)))</f>
        <v>1</v>
      </c>
      <c r="AQ315" s="62" t="n">
        <f aca="false">IF(LEFT(Cockpit!$I$5,1)="A",H315,IF(Parameter!$E$30="MAX-Bestand",IF(CI315=1,CJ315,IF(LEFT(Cockpit!$I$5,1)="B",AW315,MAX(AW315,H315))),ROUNDUP(AU315,0)))</f>
        <v>61</v>
      </c>
      <c r="AR315" s="62" t="n">
        <f aca="false">IF(CA315=1,0,ROUNDUP(AQ315/BZ315,0))</f>
        <v>2</v>
      </c>
      <c r="AS315" s="64" t="n">
        <f aca="false">IF(CR315&gt;0,CR315*MAX(1,AQ315/X315),IF(CA315=1,IF(AQ315&lt;=0,0,CE315*MAX(1,IF(H315&gt;0,AQ315/H315,1))),IF(R315&gt;0,AR315/R315,0))/MAX(0.1,N(Parameter!$M$21)))</f>
        <v>0.0384615384615385</v>
      </c>
      <c r="AT315" s="62" t="n">
        <f aca="false">AS315*CC315</f>
        <v>5.96153846153846</v>
      </c>
      <c r="AU315" s="63" t="n">
        <f aca="false">IF(LEFT(Cockpit!$I$5,1)="A",H315,IF(CI315=1,(CL315+CJ315)/2,IF(LEFT(Cockpit!$I$5,1)="B",(CL315+AW315)/2,MAX((CL315+AW315)/2,H315))))</f>
        <v>61</v>
      </c>
      <c r="AV315" s="62" t="n">
        <f aca="false">AU315*G315</f>
        <v>428.22</v>
      </c>
      <c r="AW315" s="62" t="n">
        <f aca="false">ROUNDUP(CL315+MAX(CM315,2*(J315/IF(CH315&gt;0,CH315,MAX(0.1,N(Cockpit!$I$6)))-CL315)),0)</f>
        <v>62</v>
      </c>
      <c r="AX315" s="63" t="n">
        <f aca="false">IF(AT315&gt;0,J315/AT315,-1)</f>
        <v>10.5677419354839</v>
      </c>
      <c r="AY315" s="63" t="n">
        <f aca="false">IF(AND(OR(CG315="L1",CG315="L23",CG315="LIFT"),AT315&gt;0),SUMIFS($AT$7:$AT$1843,$CG$7:$CG$1843,CG315,$AX$7:$AX$1843,"&gt;"&amp;AX315)+SUMIFS($AT$7:$AT$1843,$CG$7:$CG$1843,CG315,$AX$7:$AX$1843,AX315,$BX$7:$BX$1843,"&lt;="&amp;BX315),"")</f>
        <v>3178.89926739927</v>
      </c>
      <c r="AZ315" s="70" t="n">
        <f aca="false">IF(AY315="",0,MAX(0,MIN(1,(IF(CG315="L1",Parameter!$H$5,IF(CG315="L23",Parameter!$H$6+Parameter!$H$7,Parameter!$H$5+Parameter!$H$6+Parameter!$H$7))-(AY315-AT315))/AT315)))</f>
        <v>1</v>
      </c>
      <c r="BA315" s="62" t="n">
        <f aca="false">IF(LEFT(Cockpit!$O$5,1)="A",H315,IF(Parameter!$E$30="MAX-Bestand",IF(CI315=1,CJ315,IF(LEFT(Cockpit!$O$5,1)="B",BG315,MAX(BG315,H315))),ROUNDUP(BE315,0)))</f>
        <v>32</v>
      </c>
      <c r="BB315" s="62" t="n">
        <f aca="false">IF(CA315=1,0,ROUNDUP(BA315/BZ315,0))</f>
        <v>1</v>
      </c>
      <c r="BC315" s="64" t="n">
        <f aca="false">IF(CR315&gt;0,CR315*MAX(1,BA315/X315),IF(CA315=1,IF(BA315&lt;=0,0,CE315*MAX(1,IF(H315&gt;0,BA315/H315,1))),IF(R315&gt;0,BB315/R315,0))/MAX(0.1,N(Parameter!$M$21)))</f>
        <v>0.0192307692307692</v>
      </c>
      <c r="BD315" s="62" t="n">
        <f aca="false">BC315*CC315</f>
        <v>2.98076923076923</v>
      </c>
      <c r="BE315" s="63" t="n">
        <f aca="false">IF(LEFT(Cockpit!$O$5,1)="A",H315,IF(CI315=1,(CL315+CJ315)/2,IF(LEFT(Cockpit!$O$5,1)="B",(CL315+BG315)/2,MAX((CL315+BG315)/2,H315))))</f>
        <v>32</v>
      </c>
      <c r="BF315" s="62" t="n">
        <f aca="false">BE315*G315</f>
        <v>224.64</v>
      </c>
      <c r="BG315" s="62" t="n">
        <f aca="false">ROUNDUP(CL315+MAX(CM315,2*(J315/IF(CH315&gt;0,CH315,MAX(0.1,N(Cockpit!$O$6)))-CL315)),0)</f>
        <v>62</v>
      </c>
      <c r="BH315" s="63" t="n">
        <f aca="false">IF(BD315&gt;0,J315/BD315,-1)</f>
        <v>21.1354838709677</v>
      </c>
      <c r="BI315" s="63" t="n">
        <f aca="false">IF(AND(OR(CG315="L1",CG315="L23",CG315="LIFT"),BD315&gt;0),SUMIFS($BD$7:$BD$1843,$CG$7:$CG$1843,CG315,$BH$7:$BH$1843,"&gt;"&amp;BH315)+SUMIFS($BD$7:$BD$1843,$CG$7:$CG$1843,CG315,$BH$7:$BH$1843,BH315,$BX$7:$BX$1843,"&lt;="&amp;BX315),"")</f>
        <v>2190.77335164835</v>
      </c>
      <c r="BJ315" s="70" t="n">
        <f aca="false">IF(BI315="",0,MAX(0,MIN(1,(IF(CG315="L1",Parameter!$H$5,IF(CG315="L23",Parameter!$H$6+Parameter!$H$7,Parameter!$H$5+Parameter!$H$6+Parameter!$H$7))-(BI315-BD315))/BD315)))</f>
        <v>1</v>
      </c>
      <c r="BK315" s="60" t="str">
        <f aca="false">IF(AJ315&lt;=0,"",IF(CG315="Aussen","Aussenlager",IF(CG315="-","Nicht im Lift",IF(AP315&gt;=1,"Lift",IF(AP315&lt;=0,"Aussenlager","teilweise")))))</f>
        <v>Lift</v>
      </c>
      <c r="BL315" s="60" t="str">
        <f aca="false">IF(AT315&lt;=0,"",IF(CG315="Aussen","Aussenlager",IF(CG315="-","Nicht im Lift",IF(AZ315&gt;=1,"Lift",IF(AZ315&lt;=0,"Aussenlager","teilweise")))))</f>
        <v>Lift</v>
      </c>
      <c r="BM315" s="60" t="str">
        <f aca="false">IF(BD315&lt;=0,"",IF(CG315="Aussen","Aussenlager",IF(CG315="-","Nicht im Lift",IF(BJ315&gt;=1,"Lift",IF(BJ315&lt;=0,"Aussenlager","teilweise")))))</f>
        <v>Lift</v>
      </c>
      <c r="BN315" s="60" t="str">
        <f aca="false">IF(A315="","",IF(BW315=1,"Neu; ","")&amp;IF(AND(BW315=0,BR315&lt;0),"negativer Bestand (Export "&amp;BR315&amp;"); ","")&amp;IF(J315&lt;=0,"Kein Verbrauch; ","")&amp;IF(CR315&gt;0,"Lift "&amp;W315&amp;" lt. Liftbericht (Fach "&amp;X315&amp;" Stk); ",IF(CB315=1,"Gebinde geschätzt ("&amp;T315&amp;"); ",IF(CA315=1,"Lose – Tablare geschätzt; ","")))&amp;IF(H315&gt;AW315,"Überbestand "&amp;ROUND(H315-AW315,0)&amp;" Stk / CHF "&amp;ROUND((H315-AW315)*G315,0)&amp;"; ","")&amp;IF(AND(CI315=1,CJ315&lt;CK315),"MAX &lt; MB+LG; ","")&amp;IF(AND(CQ315&gt;0,CP315*10&gt;CQ315),"zu hoch für Tablar; ","")&amp;IF(AND(BW315=0,OR(CI315=1,AB315&lt;&gt;"",U315&lt;&gt;"",V315&lt;&gt;"",AC315&lt;&gt;"")),"manuell übersteuert; ","")&amp;IF(AND(CA315=0,R315=0),"Gebinde unbekannt / Stellmass fehlt; ","")&amp;IF(AND(CA315=0,N(V315)&lt;=0,N(Q315)&lt;=0),"Menge pro Gebinde fehlt (Ist = 1 Gebinde); ","")&amp;BV315)</f>
        <v/>
      </c>
      <c r="BO315" s="60"/>
      <c r="BP315" s="60"/>
      <c r="BQ315" s="67"/>
      <c r="BR315" s="62" t="n">
        <v>38</v>
      </c>
      <c r="BS315" s="62" t="n">
        <v>23</v>
      </c>
      <c r="BT315" s="61" t="n">
        <v>248.82</v>
      </c>
      <c r="BU315" s="62" t="n">
        <v>63</v>
      </c>
      <c r="BV315" s="60"/>
      <c r="BW315" s="65" t="n">
        <v>0</v>
      </c>
      <c r="BX315" s="65" t="n">
        <v>315</v>
      </c>
      <c r="BY315" s="60" t="str">
        <f aca="false">IF(U315&lt;&gt;"",UPPER(TRIM(U315)),IF(CB315=1,UPPER(VLOOKUP(T315,Parameter!$I$27:$K$29,2,0)),IF(P315="","LOSE",P315)))</f>
        <v>S33</v>
      </c>
      <c r="BZ315" s="62" t="n">
        <f aca="false">IF(BY315="LOSE",1,IF(N(V315)&gt;0,V315,IF(CB315=1,MAX(1,N(VLOOKUP(T315,Parameter!$I$27:$K$29,3,0)),H315,N(N315)),IF(N(Q315)&gt;0,Q315,MAX(1,H315)))))</f>
        <v>58</v>
      </c>
      <c r="CA315" s="65" t="n">
        <f aca="false">IF(BY315="LOSE",1,0)</f>
        <v>0</v>
      </c>
      <c r="CB315" s="65" t="n">
        <f aca="false">IF(AND(U315="",OR(P315="",P315="LOSE"),T315&lt;&gt;"",N(S315)&lt;=0,ISNUMBER(MATCH(T315,Parameter!$I$27:$I$29,0))),1,0)</f>
        <v>0</v>
      </c>
      <c r="CC315" s="65" t="n">
        <f aca="false">IF(CR315&gt;0,INDEX(Parameter!$H$5:$H$7,W315)/INDEX(Parameter!$E$5:$E$7,W315),IF(AND(CA315=0,N(IFERROR(VLOOKUP(BY315,'Gebinde-Kategorie'!$A$5:$N$45,14,0),0))&gt;0),VLOOKUP(BY315,'Gebinde-Kategorie'!$A$5:$N$45,14,0)*10+Parameter!$M$23,Parameter!$M$24))</f>
        <v>155</v>
      </c>
      <c r="CD315" s="60" t="str">
        <f aca="false">IF(AND(Parameter!$B$19="Ja",E315&lt;&gt;"",ISNUMBER(MATCH(E315,Parameter!$I$35:$I$52,0))),VLOOKUP(E315,Parameter!$I$35:$J$52,2,0),IFERROR(VLOOKUP(D315,Parameter!$A$35:$C$64,2,0),"Nein"))</f>
        <v>2+3</v>
      </c>
      <c r="CE315" s="64" t="n">
        <f aca="false">IF(CA315=0,0,IF(N(S315)&gt;0,S315,IFERROR(VLOOKUP(D315,Parameter!$A$35:$C$64,3,0)+0,0)))</f>
        <v>0</v>
      </c>
      <c r="CF315" s="60" t="n">
        <f aca="false">IF(AB315&lt;&gt;"",AB315,AA315)</f>
        <v>3</v>
      </c>
      <c r="CG315" s="60" t="str">
        <f aca="false">IF(OR(CF315=1,CF315=2,CF315=3),IF(Parameter!$E$27="Ja","LIFT",IF(CF315=1,"L1","L23")),IF(CF315="Aussen","Aussen","-"))</f>
        <v>LIFT</v>
      </c>
      <c r="CH315" s="71" t="n">
        <f aca="false">IF(N(AC315)&gt;0,AC315,0)</f>
        <v>0</v>
      </c>
      <c r="CI315" s="65" t="n">
        <f aca="false">IF(ISNUMBER(AF315),1,0)</f>
        <v>0</v>
      </c>
      <c r="CJ315" s="62" t="n">
        <f aca="false">N(AF315)</f>
        <v>0</v>
      </c>
      <c r="CK315" s="62" t="n">
        <f aca="false">N(M315)+N(N315)</f>
        <v>62</v>
      </c>
      <c r="CL315" s="62" t="n">
        <f aca="false">N(M315)</f>
        <v>2</v>
      </c>
      <c r="CM315" s="62" t="n">
        <f aca="false">N(N315)</f>
        <v>60</v>
      </c>
      <c r="CN315" s="62" t="n">
        <f aca="false">ROUNDUP(H315/BZ315,0)</f>
        <v>2</v>
      </c>
      <c r="CO315" s="62" t="n">
        <f aca="false">ROUNDUP(CJ315/BZ315,0)</f>
        <v>0</v>
      </c>
      <c r="CP315" s="65" t="n">
        <f aca="false">IF(CA315=1,0,IFERROR(VLOOKUP(BY315,'Gebinde-Kategorie'!$A$5:$N$45,5,0)+0,0))</f>
        <v>8</v>
      </c>
      <c r="CQ315" s="65" t="n">
        <f aca="false">IFERROR(IF(OR(CF315=1,CF315=2,CF315=3),N(INDEX(Parameter!$I$5:$I$7,CF315)),0),0)</f>
        <v>0</v>
      </c>
      <c r="CR315" s="64" t="n">
        <f aca="false">IF(AND(Parameter!$B$21="Ja",ISNUMBER(W315),N(X315)&gt;0),IFERROR(N(INDEX(Parameter!$L$5:$L$7,W315))*INDEX(Parameter!$E$5:$E$7,W315)*X315/SUMIFS($X$7:$X$1843,$W$7:$W$1843,W315),0),0)</f>
        <v>0</v>
      </c>
      <c r="CS315" s="62" t="n">
        <f aca="false">IF(AND(OR(CG315="L1",CG315="L23",CG315="LIFT"),H315&gt;0),CC315*IF(CR315&gt;0,CR315*MAX(1,H315/X315),IF(CA315=1,CE315,IF(R315&gt;0,CN315/R315,0))/MAX(0.1,N(Parameter!$M$21))),"")</f>
        <v>5.96153846153846</v>
      </c>
      <c r="CT315" s="64" t="n">
        <f aca="false">IF(CS315="","",J315/H315)</f>
        <v>1.0327868852459</v>
      </c>
      <c r="CU315" s="62" t="n">
        <f aca="false">IF(CS315="","",H315*G315)</f>
        <v>428.22</v>
      </c>
      <c r="CV315" s="63" t="n">
        <f aca="false">IF(CS315="","",(CL315+ROUNDUP(CL315+MAX(CM315,2*(J315/MAX(0.1,N(Einkauf!$C$6))-CL315)),0))/2)</f>
        <v>32</v>
      </c>
      <c r="CW315" s="62" t="n">
        <f aca="false">IF(CS315="","",MAX(0,H315-CV315)*G315)</f>
        <v>203.58</v>
      </c>
      <c r="CX315" s="62" t="n">
        <f aca="false">IF(CS315="","",CS315*MAX(0,1-CV315/H315))</f>
        <v>2.83417402269861</v>
      </c>
      <c r="CY315" s="64" t="n">
        <f aca="false">IF(CS315="","",PERCENTRANK($CS$7:$CS$1843,CS315)+PERCENTRANK($CU$7:$CU$1843,CU315)+1-PERCENTRANK($CT$7:$CT$1843,CT315))</f>
        <v>1.17</v>
      </c>
      <c r="CZ315" s="72" t="n">
        <f aca="false">IF(CS315="","",CHOOSE(MATCH(Einkauf!$C$5,Parameter!$G$23:$G$27,0),CY315,CS315,CU315,-CT315,CW315)+ROW()/1000000000)</f>
        <v>1.170000315</v>
      </c>
    </row>
    <row r="316" customFormat="false" ht="15" hidden="false" customHeight="false" outlineLevel="0" collapsed="false">
      <c r="A316" s="60" t="s">
        <v>840</v>
      </c>
      <c r="B316" s="60" t="s">
        <v>834</v>
      </c>
      <c r="C316" s="60" t="s">
        <v>206</v>
      </c>
      <c r="D316" s="60" t="s">
        <v>226</v>
      </c>
      <c r="E316" s="60"/>
      <c r="F316" s="60" t="s">
        <v>260</v>
      </c>
      <c r="G316" s="61" t="n">
        <v>9.86</v>
      </c>
      <c r="H316" s="62" t="n">
        <f aca="false">MAX(0,IF(AND(Parameter!$B$21="Ja",ISNUMBER(Y316)),Y316,IF(Parameter!$B$20="Jahresanfang 2025 + Export",BS316+BR316,BR316)))</f>
        <v>25</v>
      </c>
      <c r="I316" s="62" t="n">
        <f aca="false">H316*G316</f>
        <v>246.5</v>
      </c>
      <c r="J316" s="62" t="n">
        <f aca="false">BU316*Parameter!$B$18</f>
        <v>0</v>
      </c>
      <c r="K316" s="63" t="n">
        <v>0</v>
      </c>
      <c r="L316" s="64" t="n">
        <v>0</v>
      </c>
      <c r="M316" s="62" t="n">
        <v>0</v>
      </c>
      <c r="N316" s="62" t="n">
        <v>1</v>
      </c>
      <c r="O316" s="65" t="n">
        <v>9999</v>
      </c>
      <c r="P316" s="60" t="s">
        <v>210</v>
      </c>
      <c r="Q316" s="62"/>
      <c r="R316" s="65" t="n">
        <f aca="false">IF(CA316=1,0,IFERROR(VLOOKUP(BY316,'Gebinde-Kategorie'!$A$5:$N$45,13,0)+0,0))</f>
        <v>26</v>
      </c>
      <c r="S316" s="66"/>
      <c r="T316" s="67" t="s">
        <v>317</v>
      </c>
      <c r="U316" s="67"/>
      <c r="V316" s="67"/>
      <c r="W316" s="60"/>
      <c r="X316" s="62"/>
      <c r="Y316" s="62"/>
      <c r="Z316" s="60" t="n">
        <v>3</v>
      </c>
      <c r="AA316" s="60" t="n">
        <f aca="false">IF(A316="","",IF(AND(Parameter!$B$21="Ja",ISNUMBER(W316)),W316,IF(AND(Parameter!$E$27="Ja",ISNUMBER(Z316),CD316&lt;&gt;"Nein"),Z316,IF(CD316="2+3",IF(ISNUMBER(SEARCH("grosser Artikel",BV316)),2,IFERROR(VLOOKUP(BY316,Parameter!$F$35:$G$64,2,0),2)),IF(OR(CD316="Nein",CD316=""),"-",CD316)))))</f>
        <v>3</v>
      </c>
      <c r="AB316" s="67"/>
      <c r="AC316" s="68"/>
      <c r="AD316" s="62" t="n">
        <f aca="false">AW316</f>
        <v>1</v>
      </c>
      <c r="AE316" s="62" t="n">
        <f aca="false">MAX(AW316,H316)</f>
        <v>25</v>
      </c>
      <c r="AF316" s="69"/>
      <c r="AG316" s="62" t="n">
        <f aca="false">IF(LEFT(Cockpit!$C$5,1)="A",H316,IF(Parameter!$E$30="MAX-Bestand",IF(CI316=1,CJ316,IF(LEFT(Cockpit!$C$5,1)="B",AM316,MAX(AM316,H316))),ROUNDUP(AK316,0)))</f>
        <v>25</v>
      </c>
      <c r="AH316" s="62" t="n">
        <f aca="false">IF(CA316=1,0,ROUNDUP(AG316/BZ316,0))</f>
        <v>1</v>
      </c>
      <c r="AI316" s="64" t="n">
        <f aca="false">IF(CR316&gt;0,CR316*MAX(1,AG316/X316),IF(CA316=1,IF(AG316&lt;=0,0,CE316*MAX(1,IF(H316&gt;0,AG316/H316,1))),IF(R316&gt;0,AH316/R316,0))/MAX(0.1,N(Parameter!$M$21)))</f>
        <v>0.0384615384615385</v>
      </c>
      <c r="AJ316" s="62" t="n">
        <f aca="false">AI316*CC316</f>
        <v>5.96153846153846</v>
      </c>
      <c r="AK316" s="63" t="n">
        <f aca="false">IF(LEFT(Cockpit!$C$5,1)="A",H316,IF(CI316=1,(CL316+CJ316)/2,IF(LEFT(Cockpit!$C$5,1)="B",(CL316+AM316)/2,MAX((CL316+AM316)/2,H316))))</f>
        <v>25</v>
      </c>
      <c r="AL316" s="62" t="n">
        <f aca="false">AK316*G316</f>
        <v>246.5</v>
      </c>
      <c r="AM316" s="62" t="n">
        <f aca="false">ROUNDUP(CL316+MAX(CM316,2*(J316/IF(CH316&gt;0,CH316,MAX(0.1,N(Cockpit!$C$6)))-CL316)),0)</f>
        <v>1</v>
      </c>
      <c r="AN316" s="63" t="n">
        <f aca="false">IF(AJ316&gt;0,J316/AJ316,-1)</f>
        <v>0</v>
      </c>
      <c r="AO316" s="63" t="n">
        <f aca="false">IF(AND(OR(CG316="L1",CG316="L23",CG316="LIFT"),AJ316&gt;0),SUMIFS($AJ$7:$AJ$1843,$CG$7:$CG$1843,CG316,$AN$7:$AN$1843,"&gt;"&amp;AN316)+SUMIFS($AJ$7:$AJ$1843,$CG$7:$CG$1843,CG316,$AN$7:$AN$1843,AN316,$BX$7:$BX$1843,"&lt;="&amp;BX316),"")</f>
        <v>27903.6819447031</v>
      </c>
      <c r="AP316" s="70" t="n">
        <f aca="false">IF(AO316="",0,MAX(0,MIN(1,(IF(CG316="L1",Parameter!$H$5,IF(CG316="L23",Parameter!$H$6+Parameter!$H$7,Parameter!$H$5+Parameter!$H$6+Parameter!$H$7))-(AO316-AJ316))/AJ316)))</f>
        <v>1</v>
      </c>
      <c r="AQ316" s="62" t="n">
        <f aca="false">IF(LEFT(Cockpit!$I$5,1)="A",H316,IF(Parameter!$E$30="MAX-Bestand",IF(CI316=1,CJ316,IF(LEFT(Cockpit!$I$5,1)="B",AW316,MAX(AW316,H316))),ROUNDUP(AU316,0)))</f>
        <v>25</v>
      </c>
      <c r="AR316" s="62" t="n">
        <f aca="false">IF(CA316=1,0,ROUNDUP(AQ316/BZ316,0))</f>
        <v>1</v>
      </c>
      <c r="AS316" s="64" t="n">
        <f aca="false">IF(CR316&gt;0,CR316*MAX(1,AQ316/X316),IF(CA316=1,IF(AQ316&lt;=0,0,CE316*MAX(1,IF(H316&gt;0,AQ316/H316,1))),IF(R316&gt;0,AR316/R316,0))/MAX(0.1,N(Parameter!$M$21)))</f>
        <v>0.0384615384615385</v>
      </c>
      <c r="AT316" s="62" t="n">
        <f aca="false">AS316*CC316</f>
        <v>5.96153846153846</v>
      </c>
      <c r="AU316" s="63" t="n">
        <f aca="false">IF(LEFT(Cockpit!$I$5,1)="A",H316,IF(CI316=1,(CL316+CJ316)/2,IF(LEFT(Cockpit!$I$5,1)="B",(CL316+AW316)/2,MAX((CL316+AW316)/2,H316))))</f>
        <v>25</v>
      </c>
      <c r="AV316" s="62" t="n">
        <f aca="false">AU316*G316</f>
        <v>246.5</v>
      </c>
      <c r="AW316" s="62" t="n">
        <f aca="false">ROUNDUP(CL316+MAX(CM316,2*(J316/IF(CH316&gt;0,CH316,MAX(0.1,N(Cockpit!$I$6)))-CL316)),0)</f>
        <v>1</v>
      </c>
      <c r="AX316" s="63" t="n">
        <f aca="false">IF(AT316&gt;0,J316/AT316,-1)</f>
        <v>0</v>
      </c>
      <c r="AY316" s="63" t="n">
        <f aca="false">IF(AND(OR(CG316="L1",CG316="L23",CG316="LIFT"),AT316&gt;0),SUMIFS($AT$7:$AT$1843,$CG$7:$CG$1843,CG316,$AX$7:$AX$1843,"&gt;"&amp;AX316)+SUMIFS($AT$7:$AT$1843,$CG$7:$CG$1843,CG316,$AX$7:$AX$1843,AX316,$BX$7:$BX$1843,"&lt;="&amp;BX316),"")</f>
        <v>33256.8305860806</v>
      </c>
      <c r="AZ316" s="70" t="n">
        <f aca="false">IF(AY316="",0,MAX(0,MIN(1,(IF(CG316="L1",Parameter!$H$5,IF(CG316="L23",Parameter!$H$6+Parameter!$H$7,Parameter!$H$5+Parameter!$H$6+Parameter!$H$7))-(AY316-AT316))/AT316)))</f>
        <v>1</v>
      </c>
      <c r="BA316" s="62" t="n">
        <f aca="false">IF(LEFT(Cockpit!$O$5,1)="A",H316,IF(Parameter!$E$30="MAX-Bestand",IF(CI316=1,CJ316,IF(LEFT(Cockpit!$O$5,1)="B",BG316,MAX(BG316,H316))),ROUNDUP(BE316,0)))</f>
        <v>1</v>
      </c>
      <c r="BB316" s="62" t="n">
        <f aca="false">IF(CA316=1,0,ROUNDUP(BA316/BZ316,0))</f>
        <v>1</v>
      </c>
      <c r="BC316" s="64" t="n">
        <f aca="false">IF(CR316&gt;0,CR316*MAX(1,BA316/X316),IF(CA316=1,IF(BA316&lt;=0,0,CE316*MAX(1,IF(H316&gt;0,BA316/H316,1))),IF(R316&gt;0,BB316/R316,0))/MAX(0.1,N(Parameter!$M$21)))</f>
        <v>0.0384615384615385</v>
      </c>
      <c r="BD316" s="62" t="n">
        <f aca="false">BC316*CC316</f>
        <v>5.96153846153846</v>
      </c>
      <c r="BE316" s="63" t="n">
        <f aca="false">IF(LEFT(Cockpit!$O$5,1)="A",H316,IF(CI316=1,(CL316+CJ316)/2,IF(LEFT(Cockpit!$O$5,1)="B",(CL316+BG316)/2,MAX((CL316+BG316)/2,H316))))</f>
        <v>0.5</v>
      </c>
      <c r="BF316" s="62" t="n">
        <f aca="false">BE316*G316</f>
        <v>4.93</v>
      </c>
      <c r="BG316" s="62" t="n">
        <f aca="false">ROUNDUP(CL316+MAX(CM316,2*(J316/IF(CH316&gt;0,CH316,MAX(0.1,N(Cockpit!$O$6)))-CL316)),0)</f>
        <v>1</v>
      </c>
      <c r="BH316" s="63" t="n">
        <f aca="false">IF(BD316&gt;0,J316/BD316,-1)</f>
        <v>0</v>
      </c>
      <c r="BI316" s="63" t="n">
        <f aca="false">IF(AND(OR(CG316="L1",CG316="L23",CG316="LIFT"),BD316&gt;0),SUMIFS($BD$7:$BD$1843,$CG$7:$CG$1843,CG316,$BH$7:$BH$1843,"&gt;"&amp;BH316)+SUMIFS($BD$7:$BD$1843,$CG$7:$CG$1843,CG316,$BH$7:$BH$1843,BH316,$BX$7:$BX$1843,"&lt;="&amp;BX316),"")</f>
        <v>27382.2906345067</v>
      </c>
      <c r="BJ316" s="70" t="n">
        <f aca="false">IF(BI316="",0,MAX(0,MIN(1,(IF(CG316="L1",Parameter!$H$5,IF(CG316="L23",Parameter!$H$6+Parameter!$H$7,Parameter!$H$5+Parameter!$H$6+Parameter!$H$7))-(BI316-BD316))/BD316)))</f>
        <v>1</v>
      </c>
      <c r="BK316" s="60" t="str">
        <f aca="false">IF(AJ316&lt;=0,"",IF(CG316="Aussen","Aussenlager",IF(CG316="-","Nicht im Lift",IF(AP316&gt;=1,"Lift",IF(AP316&lt;=0,"Aussenlager","teilweise")))))</f>
        <v>Lift</v>
      </c>
      <c r="BL316" s="60" t="str">
        <f aca="false">IF(AT316&lt;=0,"",IF(CG316="Aussen","Aussenlager",IF(CG316="-","Nicht im Lift",IF(AZ316&gt;=1,"Lift",IF(AZ316&lt;=0,"Aussenlager","teilweise")))))</f>
        <v>Lift</v>
      </c>
      <c r="BM316" s="60" t="str">
        <f aca="false">IF(BD316&lt;=0,"",IF(CG316="Aussen","Aussenlager",IF(CG316="-","Nicht im Lift",IF(BJ316&gt;=1,"Lift",IF(BJ316&lt;=0,"Aussenlager","teilweise")))))</f>
        <v>Lift</v>
      </c>
      <c r="BN316" s="60" t="str">
        <f aca="false">IF(A316="","",IF(BW316=1,"Neu; ","")&amp;IF(AND(BW316=0,BR316&lt;0),"negativer Bestand (Export "&amp;BR316&amp;"); ","")&amp;IF(J316&lt;=0,"Kein Verbrauch; ","")&amp;IF(CR316&gt;0,"Lift "&amp;W316&amp;" lt. Liftbericht (Fach "&amp;X316&amp;" Stk); ",IF(CB316=1,"Gebinde geschätzt ("&amp;T316&amp;"); ",IF(CA316=1,"Lose – Tablare geschätzt; ","")))&amp;IF(H316&gt;AW316,"Überbestand "&amp;ROUND(H316-AW316,0)&amp;" Stk / CHF "&amp;ROUND((H316-AW316)*G316,0)&amp;"; ","")&amp;IF(AND(CI316=1,CJ316&lt;CK316),"MAX &lt; MB+LG; ","")&amp;IF(AND(CQ316&gt;0,CP316*10&gt;CQ316),"zu hoch für Tablar; ","")&amp;IF(AND(BW316=0,OR(CI316=1,AB316&lt;&gt;"",U316&lt;&gt;"",V316&lt;&gt;"",AC316&lt;&gt;"")),"manuell übersteuert; ","")&amp;IF(AND(CA316=0,R316=0),"Gebinde unbekannt / Stellmass fehlt; ","")&amp;IF(AND(CA316=0,N(V316)&lt;=0,N(Q316)&lt;=0),"Menge pro Gebinde fehlt (Ist = 1 Gebinde); ","")&amp;BV316)</f>
        <v>Kein Verbrauch; Gebinde geschätzt (Klein); Überbestand 24 Stk / CHF 237; Menge pro Gebinde fehlt (Ist = 1 Gebinde); </v>
      </c>
      <c r="BO316" s="60"/>
      <c r="BP316" s="60"/>
      <c r="BQ316" s="67"/>
      <c r="BR316" s="62" t="n">
        <v>25</v>
      </c>
      <c r="BS316" s="62" t="n">
        <v>0</v>
      </c>
      <c r="BT316" s="61" t="n">
        <v>246.5</v>
      </c>
      <c r="BU316" s="62" t="n">
        <v>0</v>
      </c>
      <c r="BV316" s="60"/>
      <c r="BW316" s="65" t="n">
        <v>0</v>
      </c>
      <c r="BX316" s="65" t="n">
        <v>316</v>
      </c>
      <c r="BY316" s="60" t="str">
        <f aca="false">IF(U316&lt;&gt;"",UPPER(TRIM(U316)),IF(CB316=1,UPPER(VLOOKUP(T316,Parameter!$I$27:$K$29,2,0)),IF(P316="","LOSE",P316)))</f>
        <v>S51</v>
      </c>
      <c r="BZ316" s="62" t="n">
        <f aca="false">IF(BY316="LOSE",1,IF(N(V316)&gt;0,V316,IF(CB316=1,MAX(1,N(VLOOKUP(T316,Parameter!$I$27:$K$29,3,0)),H316,N(N316)),IF(N(Q316)&gt;0,Q316,MAX(1,H316)))))</f>
        <v>25</v>
      </c>
      <c r="CA316" s="65" t="n">
        <f aca="false">IF(BY316="LOSE",1,0)</f>
        <v>0</v>
      </c>
      <c r="CB316" s="65" t="n">
        <f aca="false">IF(AND(U316="",OR(P316="",P316="LOSE"),T316&lt;&gt;"",N(S316)&lt;=0,ISNUMBER(MATCH(T316,Parameter!$I$27:$I$29,0))),1,0)</f>
        <v>1</v>
      </c>
      <c r="CC316" s="65" t="n">
        <f aca="false">IF(CR316&gt;0,INDEX(Parameter!$H$5:$H$7,W316)/INDEX(Parameter!$E$5:$E$7,W316),IF(AND(CA316=0,N(IFERROR(VLOOKUP(BY316,'Gebinde-Kategorie'!$A$5:$N$45,14,0),0))&gt;0),VLOOKUP(BY316,'Gebinde-Kategorie'!$A$5:$N$45,14,0)*10+Parameter!$M$23,Parameter!$M$24))</f>
        <v>155</v>
      </c>
      <c r="CD316" s="60" t="str">
        <f aca="false">IF(AND(Parameter!$B$19="Ja",E316&lt;&gt;"",ISNUMBER(MATCH(E316,Parameter!$I$35:$I$52,0))),VLOOKUP(E316,Parameter!$I$35:$J$52,2,0),IFERROR(VLOOKUP(D316,Parameter!$A$35:$C$64,2,0),"Nein"))</f>
        <v>2+3</v>
      </c>
      <c r="CE316" s="64" t="n">
        <f aca="false">IF(CA316=0,0,IF(N(S316)&gt;0,S316,IFERROR(VLOOKUP(D316,Parameter!$A$35:$C$64,3,0)+0,0)))</f>
        <v>0</v>
      </c>
      <c r="CF316" s="60" t="n">
        <f aca="false">IF(AB316&lt;&gt;"",AB316,AA316)</f>
        <v>3</v>
      </c>
      <c r="CG316" s="60" t="str">
        <f aca="false">IF(OR(CF316=1,CF316=2,CF316=3),IF(Parameter!$E$27="Ja","LIFT",IF(CF316=1,"L1","L23")),IF(CF316="Aussen","Aussen","-"))</f>
        <v>LIFT</v>
      </c>
      <c r="CH316" s="71" t="n">
        <f aca="false">IF(N(AC316)&gt;0,AC316,0)</f>
        <v>0</v>
      </c>
      <c r="CI316" s="65" t="n">
        <f aca="false">IF(ISNUMBER(AF316),1,0)</f>
        <v>0</v>
      </c>
      <c r="CJ316" s="62" t="n">
        <f aca="false">N(AF316)</f>
        <v>0</v>
      </c>
      <c r="CK316" s="62" t="n">
        <f aca="false">N(M316)+N(N316)</f>
        <v>1</v>
      </c>
      <c r="CL316" s="62" t="n">
        <f aca="false">N(M316)</f>
        <v>0</v>
      </c>
      <c r="CM316" s="62" t="n">
        <f aca="false">N(N316)</f>
        <v>1</v>
      </c>
      <c r="CN316" s="62" t="n">
        <f aca="false">ROUNDUP(H316/BZ316,0)</f>
        <v>1</v>
      </c>
      <c r="CO316" s="62" t="n">
        <f aca="false">ROUNDUP(CJ316/BZ316,0)</f>
        <v>0</v>
      </c>
      <c r="CP316" s="65" t="n">
        <f aca="false">IF(CA316=1,0,IFERROR(VLOOKUP(BY316,'Gebinde-Kategorie'!$A$5:$N$45,5,0)+0,0))</f>
        <v>11</v>
      </c>
      <c r="CQ316" s="65" t="n">
        <f aca="false">IFERROR(IF(OR(CF316=1,CF316=2,CF316=3),N(INDEX(Parameter!$I$5:$I$7,CF316)),0),0)</f>
        <v>0</v>
      </c>
      <c r="CR316" s="64" t="n">
        <f aca="false">IF(AND(Parameter!$B$21="Ja",ISNUMBER(W316),N(X316)&gt;0),IFERROR(N(INDEX(Parameter!$L$5:$L$7,W316))*INDEX(Parameter!$E$5:$E$7,W316)*X316/SUMIFS($X$7:$X$1843,$W$7:$W$1843,W316),0),0)</f>
        <v>0</v>
      </c>
      <c r="CS316" s="62" t="n">
        <f aca="false">IF(AND(OR(CG316="L1",CG316="L23",CG316="LIFT"),H316&gt;0),CC316*IF(CR316&gt;0,CR316*MAX(1,H316/X316),IF(CA316=1,CE316,IF(R316&gt;0,CN316/R316,0))/MAX(0.1,N(Parameter!$M$21))),"")</f>
        <v>5.96153846153846</v>
      </c>
      <c r="CT316" s="64" t="n">
        <f aca="false">IF(CS316="","",J316/H316)</f>
        <v>0</v>
      </c>
      <c r="CU316" s="62" t="n">
        <f aca="false">IF(CS316="","",H316*G316)</f>
        <v>246.5</v>
      </c>
      <c r="CV316" s="63" t="n">
        <f aca="false">IF(CS316="","",(CL316+ROUNDUP(CL316+MAX(CM316,2*(J316/MAX(0.1,N(Einkauf!$C$6))-CL316)),0))/2)</f>
        <v>0.5</v>
      </c>
      <c r="CW316" s="62" t="n">
        <f aca="false">IF(CS316="","",MAX(0,H316-CV316)*G316)</f>
        <v>241.57</v>
      </c>
      <c r="CX316" s="62" t="n">
        <f aca="false">IF(CS316="","",CS316*MAX(0,1-CV316/H316))</f>
        <v>5.84230769230769</v>
      </c>
      <c r="CY316" s="64" t="n">
        <f aca="false">IF(CS316="","",PERCENTRANK($CS$7:$CS$1843,CS316)+PERCENTRANK($CU$7:$CU$1843,CU316)+1-PERCENTRANK($CT$7:$CT$1843,CT316))</f>
        <v>1.731</v>
      </c>
      <c r="CZ316" s="72" t="n">
        <f aca="false">IF(CS316="","",CHOOSE(MATCH(Einkauf!$C$5,Parameter!$G$23:$G$27,0),CY316,CS316,CU316,-CT316,CW316)+ROW()/1000000000)</f>
        <v>1.731000316</v>
      </c>
    </row>
    <row r="317" customFormat="false" ht="15" hidden="false" customHeight="false" outlineLevel="0" collapsed="false">
      <c r="A317" s="60" t="s">
        <v>841</v>
      </c>
      <c r="B317" s="60" t="s">
        <v>842</v>
      </c>
      <c r="C317" s="60" t="s">
        <v>206</v>
      </c>
      <c r="D317" s="60" t="s">
        <v>226</v>
      </c>
      <c r="E317" s="60"/>
      <c r="F317" s="60" t="s">
        <v>260</v>
      </c>
      <c r="G317" s="61" t="n">
        <v>81.98</v>
      </c>
      <c r="H317" s="62" t="n">
        <f aca="false">MAX(0,IF(AND(Parameter!$B$21="Ja",ISNUMBER(Y317)),Y317,IF(Parameter!$B$20="Jahresanfang 2025 + Export",BS317+BR317,BR317)))</f>
        <v>3</v>
      </c>
      <c r="I317" s="62" t="n">
        <f aca="false">H317*G317</f>
        <v>245.94</v>
      </c>
      <c r="J317" s="62" t="n">
        <f aca="false">BU317*Parameter!$B$18</f>
        <v>4</v>
      </c>
      <c r="K317" s="63" t="n">
        <v>3</v>
      </c>
      <c r="L317" s="64" t="n">
        <v>1.33333333333333</v>
      </c>
      <c r="M317" s="62" t="n">
        <v>0</v>
      </c>
      <c r="N317" s="62" t="n">
        <v>5</v>
      </c>
      <c r="O317" s="65" t="n">
        <v>14</v>
      </c>
      <c r="P317" s="60" t="s">
        <v>344</v>
      </c>
      <c r="Q317" s="62" t="n">
        <v>3</v>
      </c>
      <c r="R317" s="65" t="n">
        <f aca="false">IF(CA317=1,0,IFERROR(VLOOKUP(BY317,'Gebinde-Kategorie'!$A$5:$N$45,13,0)+0,0))</f>
        <v>26</v>
      </c>
      <c r="S317" s="66"/>
      <c r="T317" s="67"/>
      <c r="U317" s="67"/>
      <c r="V317" s="67"/>
      <c r="W317" s="60"/>
      <c r="X317" s="62"/>
      <c r="Y317" s="62"/>
      <c r="Z317" s="60" t="n">
        <v>3</v>
      </c>
      <c r="AA317" s="60" t="n">
        <f aca="false">IF(A317="","",IF(AND(Parameter!$B$21="Ja",ISNUMBER(W317)),W317,IF(AND(Parameter!$E$27="Ja",ISNUMBER(Z317),CD317&lt;&gt;"Nein"),Z317,IF(CD317="2+3",IF(ISNUMBER(SEARCH("grosser Artikel",BV317)),2,IFERROR(VLOOKUP(BY317,Parameter!$F$35:$G$64,2,0),2)),IF(OR(CD317="Nein",CD317=""),"-",CD317)))))</f>
        <v>3</v>
      </c>
      <c r="AB317" s="67"/>
      <c r="AC317" s="68"/>
      <c r="AD317" s="62" t="n">
        <f aca="false">AW317</f>
        <v>5</v>
      </c>
      <c r="AE317" s="62" t="n">
        <f aca="false">MAX(AW317,H317)</f>
        <v>5</v>
      </c>
      <c r="AF317" s="69"/>
      <c r="AG317" s="62" t="n">
        <f aca="false">IF(LEFT(Cockpit!$C$5,1)="A",H317,IF(Parameter!$E$30="MAX-Bestand",IF(CI317=1,CJ317,IF(LEFT(Cockpit!$C$5,1)="B",AM317,MAX(AM317,H317))),ROUNDUP(AK317,0)))</f>
        <v>3</v>
      </c>
      <c r="AH317" s="62" t="n">
        <f aca="false">IF(CA317=1,0,ROUNDUP(AG317/BZ317,0))</f>
        <v>1</v>
      </c>
      <c r="AI317" s="64" t="n">
        <f aca="false">IF(CR317&gt;0,CR317*MAX(1,AG317/X317),IF(CA317=1,IF(AG317&lt;=0,0,CE317*MAX(1,IF(H317&gt;0,AG317/H317,1))),IF(R317&gt;0,AH317/R317,0))/MAX(0.1,N(Parameter!$M$21)))</f>
        <v>0.0384615384615385</v>
      </c>
      <c r="AJ317" s="62" t="n">
        <f aca="false">AI317*CC317</f>
        <v>5.96153846153846</v>
      </c>
      <c r="AK317" s="63" t="n">
        <f aca="false">IF(LEFT(Cockpit!$C$5,1)="A",H317,IF(CI317=1,(CL317+CJ317)/2,IF(LEFT(Cockpit!$C$5,1)="B",(CL317+AM317)/2,MAX((CL317+AM317)/2,H317))))</f>
        <v>3</v>
      </c>
      <c r="AL317" s="62" t="n">
        <f aca="false">AK317*G317</f>
        <v>245.94</v>
      </c>
      <c r="AM317" s="62" t="n">
        <f aca="false">ROUNDUP(CL317+MAX(CM317,2*(J317/IF(CH317&gt;0,CH317,MAX(0.1,N(Cockpit!$C$6)))-CL317)),0)</f>
        <v>5</v>
      </c>
      <c r="AN317" s="63" t="n">
        <f aca="false">IF(AJ317&gt;0,J317/AJ317,-1)</f>
        <v>0.670967741935484</v>
      </c>
      <c r="AO317" s="63" t="n">
        <f aca="false">IF(AND(OR(CG317="L1",CG317="L23",CG317="LIFT"),AJ317&gt;0),SUMIFS($AJ$7:$AJ$1843,$CG$7:$CG$1843,CG317,$AN$7:$AN$1843,"&gt;"&amp;AN317)+SUMIFS($AJ$7:$AJ$1843,$CG$7:$CG$1843,CG317,$AN$7:$AN$1843,AN317,$BX$7:$BX$1843,"&lt;="&amp;BX317),"")</f>
        <v>8608.66025641026</v>
      </c>
      <c r="AP317" s="70" t="n">
        <f aca="false">IF(AO317="",0,MAX(0,MIN(1,(IF(CG317="L1",Parameter!$H$5,IF(CG317="L23",Parameter!$H$6+Parameter!$H$7,Parameter!$H$5+Parameter!$H$6+Parameter!$H$7))-(AO317-AJ317))/AJ317)))</f>
        <v>1</v>
      </c>
      <c r="AQ317" s="62" t="n">
        <f aca="false">IF(LEFT(Cockpit!$I$5,1)="A",H317,IF(Parameter!$E$30="MAX-Bestand",IF(CI317=1,CJ317,IF(LEFT(Cockpit!$I$5,1)="B",AW317,MAX(AW317,H317))),ROUNDUP(AU317,0)))</f>
        <v>3</v>
      </c>
      <c r="AR317" s="62" t="n">
        <f aca="false">IF(CA317=1,0,ROUNDUP(AQ317/BZ317,0))</f>
        <v>1</v>
      </c>
      <c r="AS317" s="64" t="n">
        <f aca="false">IF(CR317&gt;0,CR317*MAX(1,AQ317/X317),IF(CA317=1,IF(AQ317&lt;=0,0,CE317*MAX(1,IF(H317&gt;0,AQ317/H317,1))),IF(R317&gt;0,AR317/R317,0))/MAX(0.1,N(Parameter!$M$21)))</f>
        <v>0.0384615384615385</v>
      </c>
      <c r="AT317" s="62" t="n">
        <f aca="false">AS317*CC317</f>
        <v>5.96153846153846</v>
      </c>
      <c r="AU317" s="63" t="n">
        <f aca="false">IF(LEFT(Cockpit!$I$5,1)="A",H317,IF(CI317=1,(CL317+CJ317)/2,IF(LEFT(Cockpit!$I$5,1)="B",(CL317+AW317)/2,MAX((CL317+AW317)/2,H317))))</f>
        <v>3</v>
      </c>
      <c r="AV317" s="62" t="n">
        <f aca="false">AU317*G317</f>
        <v>245.94</v>
      </c>
      <c r="AW317" s="62" t="n">
        <f aca="false">ROUNDUP(CL317+MAX(CM317,2*(J317/IF(CH317&gt;0,CH317,MAX(0.1,N(Cockpit!$I$6)))-CL317)),0)</f>
        <v>5</v>
      </c>
      <c r="AX317" s="63" t="n">
        <f aca="false">IF(AT317&gt;0,J317/AT317,-1)</f>
        <v>0.670967741935484</v>
      </c>
      <c r="AY317" s="63" t="n">
        <f aca="false">IF(AND(OR(CG317="L1",CG317="L23",CG317="LIFT"),AT317&gt;0),SUMIFS($AT$7:$AT$1843,$CG$7:$CG$1843,CG317,$AX$7:$AX$1843,"&gt;"&amp;AX317)+SUMIFS($AT$7:$AT$1843,$CG$7:$CG$1843,CG317,$AX$7:$AX$1843,AX317,$BX$7:$BX$1843,"&lt;="&amp;BX317),"")</f>
        <v>10892.3951465201</v>
      </c>
      <c r="AZ317" s="70" t="n">
        <f aca="false">IF(AY317="",0,MAX(0,MIN(1,(IF(CG317="L1",Parameter!$H$5,IF(CG317="L23",Parameter!$H$6+Parameter!$H$7,Parameter!$H$5+Parameter!$H$6+Parameter!$H$7))-(AY317-AT317))/AT317)))</f>
        <v>1</v>
      </c>
      <c r="BA317" s="62" t="n">
        <f aca="false">IF(LEFT(Cockpit!$O$5,1)="A",H317,IF(Parameter!$E$30="MAX-Bestand",IF(CI317=1,CJ317,IF(LEFT(Cockpit!$O$5,1)="B",BG317,MAX(BG317,H317))),ROUNDUP(BE317,0)))</f>
        <v>3</v>
      </c>
      <c r="BB317" s="62" t="n">
        <f aca="false">IF(CA317=1,0,ROUNDUP(BA317/BZ317,0))</f>
        <v>1</v>
      </c>
      <c r="BC317" s="64" t="n">
        <f aca="false">IF(CR317&gt;0,CR317*MAX(1,BA317/X317),IF(CA317=1,IF(BA317&lt;=0,0,CE317*MAX(1,IF(H317&gt;0,BA317/H317,1))),IF(R317&gt;0,BB317/R317,0))/MAX(0.1,N(Parameter!$M$21)))</f>
        <v>0.0384615384615385</v>
      </c>
      <c r="BD317" s="62" t="n">
        <f aca="false">BC317*CC317</f>
        <v>5.96153846153846</v>
      </c>
      <c r="BE317" s="63" t="n">
        <f aca="false">IF(LEFT(Cockpit!$O$5,1)="A",H317,IF(CI317=1,(CL317+CJ317)/2,IF(LEFT(Cockpit!$O$5,1)="B",(CL317+BG317)/2,MAX((CL317+BG317)/2,H317))))</f>
        <v>2.5</v>
      </c>
      <c r="BF317" s="62" t="n">
        <f aca="false">BE317*G317</f>
        <v>204.95</v>
      </c>
      <c r="BG317" s="62" t="n">
        <f aca="false">ROUNDUP(CL317+MAX(CM317,2*(J317/IF(CH317&gt;0,CH317,MAX(0.1,N(Cockpit!$O$6)))-CL317)),0)</f>
        <v>5</v>
      </c>
      <c r="BH317" s="63" t="n">
        <f aca="false">IF(BD317&gt;0,J317/BD317,-1)</f>
        <v>0.670967741935484</v>
      </c>
      <c r="BI317" s="63" t="n">
        <f aca="false">IF(AND(OR(CG317="L1",CG317="L23",CG317="LIFT"),BD317&gt;0),SUMIFS($BD$7:$BD$1843,$CG$7:$CG$1843,CG317,$BH$7:$BH$1843,"&gt;"&amp;BH317)+SUMIFS($BD$7:$BD$1843,$CG$7:$CG$1843,CG317,$BH$7:$BH$1843,BH317,$BX$7:$BX$1843,"&lt;="&amp;BX317),"")</f>
        <v>9499.04853479853</v>
      </c>
      <c r="BJ317" s="70" t="n">
        <f aca="false">IF(BI317="",0,MAX(0,MIN(1,(IF(CG317="L1",Parameter!$H$5,IF(CG317="L23",Parameter!$H$6+Parameter!$H$7,Parameter!$H$5+Parameter!$H$6+Parameter!$H$7))-(BI317-BD317))/BD317)))</f>
        <v>1</v>
      </c>
      <c r="BK317" s="60" t="str">
        <f aca="false">IF(AJ317&lt;=0,"",IF(CG317="Aussen","Aussenlager",IF(CG317="-","Nicht im Lift",IF(AP317&gt;=1,"Lift",IF(AP317&lt;=0,"Aussenlager","teilweise")))))</f>
        <v>Lift</v>
      </c>
      <c r="BL317" s="60" t="str">
        <f aca="false">IF(AT317&lt;=0,"",IF(CG317="Aussen","Aussenlager",IF(CG317="-","Nicht im Lift",IF(AZ317&gt;=1,"Lift",IF(AZ317&lt;=0,"Aussenlager","teilweise")))))</f>
        <v>Lift</v>
      </c>
      <c r="BM317" s="60" t="str">
        <f aca="false">IF(BD317&lt;=0,"",IF(CG317="Aussen","Aussenlager",IF(CG317="-","Nicht im Lift",IF(BJ317&gt;=1,"Lift",IF(BJ317&lt;=0,"Aussenlager","teilweise")))))</f>
        <v>Lift</v>
      </c>
      <c r="BN317" s="60" t="str">
        <f aca="false">IF(A317="","",IF(BW317=1,"Neu; ","")&amp;IF(AND(BW317=0,BR317&lt;0),"negativer Bestand (Export "&amp;BR317&amp;"); ","")&amp;IF(J317&lt;=0,"Kein Verbrauch; ","")&amp;IF(CR317&gt;0,"Lift "&amp;W317&amp;" lt. Liftbericht (Fach "&amp;X317&amp;" Stk); ",IF(CB317=1,"Gebinde geschätzt ("&amp;T317&amp;"); ",IF(CA317=1,"Lose – Tablare geschätzt; ","")))&amp;IF(H317&gt;AW317,"Überbestand "&amp;ROUND(H317-AW317,0)&amp;" Stk / CHF "&amp;ROUND((H317-AW317)*G317,0)&amp;"; ","")&amp;IF(AND(CI317=1,CJ317&lt;CK317),"MAX &lt; MB+LG; ","")&amp;IF(AND(CQ317&gt;0,CP317*10&gt;CQ317),"zu hoch für Tablar; ","")&amp;IF(AND(BW317=0,OR(CI317=1,AB317&lt;&gt;"",U317&lt;&gt;"",V317&lt;&gt;"",AC317&lt;&gt;"")),"manuell übersteuert; ","")&amp;IF(AND(CA317=0,R317=0),"Gebinde unbekannt / Stellmass fehlt; ","")&amp;IF(AND(CA317=0,N(V317)&lt;=0,N(Q317)&lt;=0),"Menge pro Gebinde fehlt (Ist = 1 Gebinde); ","")&amp;BV317)</f>
        <v/>
      </c>
      <c r="BO317" s="60"/>
      <c r="BP317" s="60"/>
      <c r="BQ317" s="67"/>
      <c r="BR317" s="62" t="n">
        <v>3</v>
      </c>
      <c r="BS317" s="62" t="n">
        <v>0</v>
      </c>
      <c r="BT317" s="61" t="n">
        <v>245.94</v>
      </c>
      <c r="BU317" s="62" t="n">
        <v>4</v>
      </c>
      <c r="BV317" s="60"/>
      <c r="BW317" s="65" t="n">
        <v>0</v>
      </c>
      <c r="BX317" s="65" t="n">
        <v>317</v>
      </c>
      <c r="BY317" s="60" t="str">
        <f aca="false">IF(U317&lt;&gt;"",UPPER(TRIM(U317)),IF(CB317=1,UPPER(VLOOKUP(T317,Parameter!$I$27:$K$29,2,0)),IF(P317="","LOSE",P317)))</f>
        <v>S51</v>
      </c>
      <c r="BZ317" s="62" t="n">
        <f aca="false">IF(BY317="LOSE",1,IF(N(V317)&gt;0,V317,IF(CB317=1,MAX(1,N(VLOOKUP(T317,Parameter!$I$27:$K$29,3,0)),H317,N(N317)),IF(N(Q317)&gt;0,Q317,MAX(1,H317)))))</f>
        <v>3</v>
      </c>
      <c r="CA317" s="65" t="n">
        <f aca="false">IF(BY317="LOSE",1,0)</f>
        <v>0</v>
      </c>
      <c r="CB317" s="65" t="n">
        <f aca="false">IF(AND(U317="",OR(P317="",P317="LOSE"),T317&lt;&gt;"",N(S317)&lt;=0,ISNUMBER(MATCH(T317,Parameter!$I$27:$I$29,0))),1,0)</f>
        <v>0</v>
      </c>
      <c r="CC317" s="65" t="n">
        <f aca="false">IF(CR317&gt;0,INDEX(Parameter!$H$5:$H$7,W317)/INDEX(Parameter!$E$5:$E$7,W317),IF(AND(CA317=0,N(IFERROR(VLOOKUP(BY317,'Gebinde-Kategorie'!$A$5:$N$45,14,0),0))&gt;0),VLOOKUP(BY317,'Gebinde-Kategorie'!$A$5:$N$45,14,0)*10+Parameter!$M$23,Parameter!$M$24))</f>
        <v>155</v>
      </c>
      <c r="CD317" s="60" t="str">
        <f aca="false">IF(AND(Parameter!$B$19="Ja",E317&lt;&gt;"",ISNUMBER(MATCH(E317,Parameter!$I$35:$I$52,0))),VLOOKUP(E317,Parameter!$I$35:$J$52,2,0),IFERROR(VLOOKUP(D317,Parameter!$A$35:$C$64,2,0),"Nein"))</f>
        <v>2+3</v>
      </c>
      <c r="CE317" s="64" t="n">
        <f aca="false">IF(CA317=0,0,IF(N(S317)&gt;0,S317,IFERROR(VLOOKUP(D317,Parameter!$A$35:$C$64,3,0)+0,0)))</f>
        <v>0</v>
      </c>
      <c r="CF317" s="60" t="n">
        <f aca="false">IF(AB317&lt;&gt;"",AB317,AA317)</f>
        <v>3</v>
      </c>
      <c r="CG317" s="60" t="str">
        <f aca="false">IF(OR(CF317=1,CF317=2,CF317=3),IF(Parameter!$E$27="Ja","LIFT",IF(CF317=1,"L1","L23")),IF(CF317="Aussen","Aussen","-"))</f>
        <v>LIFT</v>
      </c>
      <c r="CH317" s="71" t="n">
        <f aca="false">IF(N(AC317)&gt;0,AC317,0)</f>
        <v>0</v>
      </c>
      <c r="CI317" s="65" t="n">
        <f aca="false">IF(ISNUMBER(AF317),1,0)</f>
        <v>0</v>
      </c>
      <c r="CJ317" s="62" t="n">
        <f aca="false">N(AF317)</f>
        <v>0</v>
      </c>
      <c r="CK317" s="62" t="n">
        <f aca="false">N(M317)+N(N317)</f>
        <v>5</v>
      </c>
      <c r="CL317" s="62" t="n">
        <f aca="false">N(M317)</f>
        <v>0</v>
      </c>
      <c r="CM317" s="62" t="n">
        <f aca="false">N(N317)</f>
        <v>5</v>
      </c>
      <c r="CN317" s="62" t="n">
        <f aca="false">ROUNDUP(H317/BZ317,0)</f>
        <v>1</v>
      </c>
      <c r="CO317" s="62" t="n">
        <f aca="false">ROUNDUP(CJ317/BZ317,0)</f>
        <v>0</v>
      </c>
      <c r="CP317" s="65" t="n">
        <f aca="false">IF(CA317=1,0,IFERROR(VLOOKUP(BY317,'Gebinde-Kategorie'!$A$5:$N$45,5,0)+0,0))</f>
        <v>11</v>
      </c>
      <c r="CQ317" s="65" t="n">
        <f aca="false">IFERROR(IF(OR(CF317=1,CF317=2,CF317=3),N(INDEX(Parameter!$I$5:$I$7,CF317)),0),0)</f>
        <v>0</v>
      </c>
      <c r="CR317" s="64" t="n">
        <f aca="false">IF(AND(Parameter!$B$21="Ja",ISNUMBER(W317),N(X317)&gt;0),IFERROR(N(INDEX(Parameter!$L$5:$L$7,W317))*INDEX(Parameter!$E$5:$E$7,W317)*X317/SUMIFS($X$7:$X$1843,$W$7:$W$1843,W317),0),0)</f>
        <v>0</v>
      </c>
      <c r="CS317" s="62" t="n">
        <f aca="false">IF(AND(OR(CG317="L1",CG317="L23",CG317="LIFT"),H317&gt;0),CC317*IF(CR317&gt;0,CR317*MAX(1,H317/X317),IF(CA317=1,CE317,IF(R317&gt;0,CN317/R317,0))/MAX(0.1,N(Parameter!$M$21))),"")</f>
        <v>5.96153846153846</v>
      </c>
      <c r="CT317" s="64" t="n">
        <f aca="false">IF(CS317="","",J317/H317)</f>
        <v>1.33333333333333</v>
      </c>
      <c r="CU317" s="62" t="n">
        <f aca="false">IF(CS317="","",H317*G317)</f>
        <v>245.94</v>
      </c>
      <c r="CV317" s="63" t="n">
        <f aca="false">IF(CS317="","",(CL317+ROUNDUP(CL317+MAX(CM317,2*(J317/MAX(0.1,N(Einkauf!$C$6))-CL317)),0))/2)</f>
        <v>2.5</v>
      </c>
      <c r="CW317" s="62" t="n">
        <f aca="false">IF(CS317="","",MAX(0,H317-CV317)*G317)</f>
        <v>40.99</v>
      </c>
      <c r="CX317" s="62" t="n">
        <f aca="false">IF(CS317="","",CS317*MAX(0,1-CV317/H317))</f>
        <v>0.993589743589743</v>
      </c>
      <c r="CY317" s="64" t="n">
        <f aca="false">IF(CS317="","",PERCENTRANK($CS$7:$CS$1843,CS317)+PERCENTRANK($CU$7:$CU$1843,CU317)+1-PERCENTRANK($CT$7:$CT$1843,CT317))</f>
        <v>0.992</v>
      </c>
      <c r="CZ317" s="72" t="n">
        <f aca="false">IF(CS317="","",CHOOSE(MATCH(Einkauf!$C$5,Parameter!$G$23:$G$27,0),CY317,CS317,CU317,-CT317,CW317)+ROW()/1000000000)</f>
        <v>0.992000317</v>
      </c>
    </row>
    <row r="318" customFormat="false" ht="15" hidden="false" customHeight="false" outlineLevel="0" collapsed="false">
      <c r="A318" s="60" t="s">
        <v>843</v>
      </c>
      <c r="B318" s="60" t="s">
        <v>844</v>
      </c>
      <c r="C318" s="60" t="s">
        <v>206</v>
      </c>
      <c r="D318" s="60" t="s">
        <v>226</v>
      </c>
      <c r="E318" s="60"/>
      <c r="F318" s="60" t="s">
        <v>260</v>
      </c>
      <c r="G318" s="61" t="n">
        <v>40.39</v>
      </c>
      <c r="H318" s="62" t="n">
        <f aca="false">MAX(0,IF(AND(Parameter!$B$21="Ja",ISNUMBER(Y318)),Y318,IF(Parameter!$B$20="Jahresanfang 2025 + Export",BS318+BR318,BR318)))</f>
        <v>6</v>
      </c>
      <c r="I318" s="62" t="n">
        <f aca="false">H318*G318</f>
        <v>242.34</v>
      </c>
      <c r="J318" s="62" t="n">
        <f aca="false">BU318*Parameter!$B$18</f>
        <v>0</v>
      </c>
      <c r="K318" s="63" t="n">
        <v>0</v>
      </c>
      <c r="L318" s="64" t="n">
        <v>0</v>
      </c>
      <c r="M318" s="62" t="n">
        <v>0</v>
      </c>
      <c r="N318" s="62" t="n">
        <v>5</v>
      </c>
      <c r="O318" s="65" t="n">
        <v>21</v>
      </c>
      <c r="P318" s="60" t="s">
        <v>463</v>
      </c>
      <c r="Q318" s="62" t="n">
        <v>8</v>
      </c>
      <c r="R318" s="65" t="n">
        <f aca="false">IF(CA318=1,0,IFERROR(VLOOKUP(BY318,'Gebinde-Kategorie'!$A$5:$N$45,13,0)+0,0))</f>
        <v>104</v>
      </c>
      <c r="S318" s="66"/>
      <c r="T318" s="67"/>
      <c r="U318" s="67"/>
      <c r="V318" s="67"/>
      <c r="W318" s="60"/>
      <c r="X318" s="62"/>
      <c r="Y318" s="62"/>
      <c r="Z318" s="60" t="n">
        <v>3</v>
      </c>
      <c r="AA318" s="60" t="n">
        <f aca="false">IF(A318="","",IF(AND(Parameter!$B$21="Ja",ISNUMBER(W318)),W318,IF(AND(Parameter!$E$27="Ja",ISNUMBER(Z318),CD318&lt;&gt;"Nein"),Z318,IF(CD318="2+3",IF(ISNUMBER(SEARCH("grosser Artikel",BV318)),2,IFERROR(VLOOKUP(BY318,Parameter!$F$35:$G$64,2,0),2)),IF(OR(CD318="Nein",CD318=""),"-",CD318)))))</f>
        <v>3</v>
      </c>
      <c r="AB318" s="67"/>
      <c r="AC318" s="68"/>
      <c r="AD318" s="62" t="n">
        <f aca="false">AW318</f>
        <v>5</v>
      </c>
      <c r="AE318" s="62" t="n">
        <f aca="false">MAX(AW318,H318)</f>
        <v>6</v>
      </c>
      <c r="AF318" s="69"/>
      <c r="AG318" s="62" t="n">
        <f aca="false">IF(LEFT(Cockpit!$C$5,1)="A",H318,IF(Parameter!$E$30="MAX-Bestand",IF(CI318=1,CJ318,IF(LEFT(Cockpit!$C$5,1)="B",AM318,MAX(AM318,H318))),ROUNDUP(AK318,0)))</f>
        <v>6</v>
      </c>
      <c r="AH318" s="62" t="n">
        <f aca="false">IF(CA318=1,0,ROUNDUP(AG318/BZ318,0))</f>
        <v>1</v>
      </c>
      <c r="AI318" s="64" t="n">
        <f aca="false">IF(CR318&gt;0,CR318*MAX(1,AG318/X318),IF(CA318=1,IF(AG318&lt;=0,0,CE318*MAX(1,IF(H318&gt;0,AG318/H318,1))),IF(R318&gt;0,AH318/R318,0))/MAX(0.1,N(Parameter!$M$21)))</f>
        <v>0.00961538461538462</v>
      </c>
      <c r="AJ318" s="62" t="n">
        <f aca="false">AI318*CC318</f>
        <v>1.49038461538462</v>
      </c>
      <c r="AK318" s="63" t="n">
        <f aca="false">IF(LEFT(Cockpit!$C$5,1)="A",H318,IF(CI318=1,(CL318+CJ318)/2,IF(LEFT(Cockpit!$C$5,1)="B",(CL318+AM318)/2,MAX((CL318+AM318)/2,H318))))</f>
        <v>6</v>
      </c>
      <c r="AL318" s="62" t="n">
        <f aca="false">AK318*G318</f>
        <v>242.34</v>
      </c>
      <c r="AM318" s="62" t="n">
        <f aca="false">ROUNDUP(CL318+MAX(CM318,2*(J318/IF(CH318&gt;0,CH318,MAX(0.1,N(Cockpit!$C$6)))-CL318)),0)</f>
        <v>5</v>
      </c>
      <c r="AN318" s="63" t="n">
        <f aca="false">IF(AJ318&gt;0,J318/AJ318,-1)</f>
        <v>0</v>
      </c>
      <c r="AO318" s="63" t="n">
        <f aca="false">IF(AND(OR(CG318="L1",CG318="L23",CG318="LIFT"),AJ318&gt;0),SUMIFS($AJ$7:$AJ$1843,$CG$7:$CG$1843,CG318,$AN$7:$AN$1843,"&gt;"&amp;AN318)+SUMIFS($AJ$7:$AJ$1843,$CG$7:$CG$1843,CG318,$AN$7:$AN$1843,AN318,$BX$7:$BX$1843,"&lt;="&amp;BX318),"")</f>
        <v>27905.1723293185</v>
      </c>
      <c r="AP318" s="70" t="n">
        <f aca="false">IF(AO318="",0,MAX(0,MIN(1,(IF(CG318="L1",Parameter!$H$5,IF(CG318="L23",Parameter!$H$6+Parameter!$H$7,Parameter!$H$5+Parameter!$H$6+Parameter!$H$7))-(AO318-AJ318))/AJ318)))</f>
        <v>1</v>
      </c>
      <c r="AQ318" s="62" t="n">
        <f aca="false">IF(LEFT(Cockpit!$I$5,1)="A",H318,IF(Parameter!$E$30="MAX-Bestand",IF(CI318=1,CJ318,IF(LEFT(Cockpit!$I$5,1)="B",AW318,MAX(AW318,H318))),ROUNDUP(AU318,0)))</f>
        <v>6</v>
      </c>
      <c r="AR318" s="62" t="n">
        <f aca="false">IF(CA318=1,0,ROUNDUP(AQ318/BZ318,0))</f>
        <v>1</v>
      </c>
      <c r="AS318" s="64" t="n">
        <f aca="false">IF(CR318&gt;0,CR318*MAX(1,AQ318/X318),IF(CA318=1,IF(AQ318&lt;=0,0,CE318*MAX(1,IF(H318&gt;0,AQ318/H318,1))),IF(R318&gt;0,AR318/R318,0))/MAX(0.1,N(Parameter!$M$21)))</f>
        <v>0.00961538461538462</v>
      </c>
      <c r="AT318" s="62" t="n">
        <f aca="false">AS318*CC318</f>
        <v>1.49038461538462</v>
      </c>
      <c r="AU318" s="63" t="n">
        <f aca="false">IF(LEFT(Cockpit!$I$5,1)="A",H318,IF(CI318=1,(CL318+CJ318)/2,IF(LEFT(Cockpit!$I$5,1)="B",(CL318+AW318)/2,MAX((CL318+AW318)/2,H318))))</f>
        <v>6</v>
      </c>
      <c r="AV318" s="62" t="n">
        <f aca="false">AU318*G318</f>
        <v>242.34</v>
      </c>
      <c r="AW318" s="62" t="n">
        <f aca="false">ROUNDUP(CL318+MAX(CM318,2*(J318/IF(CH318&gt;0,CH318,MAX(0.1,N(Cockpit!$I$6)))-CL318)),0)</f>
        <v>5</v>
      </c>
      <c r="AX318" s="63" t="n">
        <f aca="false">IF(AT318&gt;0,J318/AT318,-1)</f>
        <v>0</v>
      </c>
      <c r="AY318" s="63" t="n">
        <f aca="false">IF(AND(OR(CG318="L1",CG318="L23",CG318="LIFT"),AT318&gt;0),SUMIFS($AT$7:$AT$1843,$CG$7:$CG$1843,CG318,$AX$7:$AX$1843,"&gt;"&amp;AX318)+SUMIFS($AT$7:$AT$1843,$CG$7:$CG$1843,CG318,$AX$7:$AX$1843,AX318,$BX$7:$BX$1843,"&lt;="&amp;BX318),"")</f>
        <v>33258.320970696</v>
      </c>
      <c r="AZ318" s="70" t="n">
        <f aca="false">IF(AY318="",0,MAX(0,MIN(1,(IF(CG318="L1",Parameter!$H$5,IF(CG318="L23",Parameter!$H$6+Parameter!$H$7,Parameter!$H$5+Parameter!$H$6+Parameter!$H$7))-(AY318-AT318))/AT318)))</f>
        <v>1</v>
      </c>
      <c r="BA318" s="62" t="n">
        <f aca="false">IF(LEFT(Cockpit!$O$5,1)="A",H318,IF(Parameter!$E$30="MAX-Bestand",IF(CI318=1,CJ318,IF(LEFT(Cockpit!$O$5,1)="B",BG318,MAX(BG318,H318))),ROUNDUP(BE318,0)))</f>
        <v>3</v>
      </c>
      <c r="BB318" s="62" t="n">
        <f aca="false">IF(CA318=1,0,ROUNDUP(BA318/BZ318,0))</f>
        <v>1</v>
      </c>
      <c r="BC318" s="64" t="n">
        <f aca="false">IF(CR318&gt;0,CR318*MAX(1,BA318/X318),IF(CA318=1,IF(BA318&lt;=0,0,CE318*MAX(1,IF(H318&gt;0,BA318/H318,1))),IF(R318&gt;0,BB318/R318,0))/MAX(0.1,N(Parameter!$M$21)))</f>
        <v>0.00961538461538462</v>
      </c>
      <c r="BD318" s="62" t="n">
        <f aca="false">BC318*CC318</f>
        <v>1.49038461538462</v>
      </c>
      <c r="BE318" s="63" t="n">
        <f aca="false">IF(LEFT(Cockpit!$O$5,1)="A",H318,IF(CI318=1,(CL318+CJ318)/2,IF(LEFT(Cockpit!$O$5,1)="B",(CL318+BG318)/2,MAX((CL318+BG318)/2,H318))))</f>
        <v>2.5</v>
      </c>
      <c r="BF318" s="62" t="n">
        <f aca="false">BE318*G318</f>
        <v>100.975</v>
      </c>
      <c r="BG318" s="62" t="n">
        <f aca="false">ROUNDUP(CL318+MAX(CM318,2*(J318/IF(CH318&gt;0,CH318,MAX(0.1,N(Cockpit!$O$6)))-CL318)),0)</f>
        <v>5</v>
      </c>
      <c r="BH318" s="63" t="n">
        <f aca="false">IF(BD318&gt;0,J318/BD318,-1)</f>
        <v>0</v>
      </c>
      <c r="BI318" s="63" t="n">
        <f aca="false">IF(AND(OR(CG318="L1",CG318="L23",CG318="LIFT"),BD318&gt;0),SUMIFS($BD$7:$BD$1843,$CG$7:$CG$1843,CG318,$BH$7:$BH$1843,"&gt;"&amp;BH318)+SUMIFS($BD$7:$BD$1843,$CG$7:$CG$1843,CG318,$BH$7:$BH$1843,BH318,$BX$7:$BX$1843,"&lt;="&amp;BX318),"")</f>
        <v>27383.7810191221</v>
      </c>
      <c r="BJ318" s="70" t="n">
        <f aca="false">IF(BI318="",0,MAX(0,MIN(1,(IF(CG318="L1",Parameter!$H$5,IF(CG318="L23",Parameter!$H$6+Parameter!$H$7,Parameter!$H$5+Parameter!$H$6+Parameter!$H$7))-(BI318-BD318))/BD318)))</f>
        <v>1</v>
      </c>
      <c r="BK318" s="60" t="str">
        <f aca="false">IF(AJ318&lt;=0,"",IF(CG318="Aussen","Aussenlager",IF(CG318="-","Nicht im Lift",IF(AP318&gt;=1,"Lift",IF(AP318&lt;=0,"Aussenlager","teilweise")))))</f>
        <v>Lift</v>
      </c>
      <c r="BL318" s="60" t="str">
        <f aca="false">IF(AT318&lt;=0,"",IF(CG318="Aussen","Aussenlager",IF(CG318="-","Nicht im Lift",IF(AZ318&gt;=1,"Lift",IF(AZ318&lt;=0,"Aussenlager","teilweise")))))</f>
        <v>Lift</v>
      </c>
      <c r="BM318" s="60" t="str">
        <f aca="false">IF(BD318&lt;=0,"",IF(CG318="Aussen","Aussenlager",IF(CG318="-","Nicht im Lift",IF(BJ318&gt;=1,"Lift",IF(BJ318&lt;=0,"Aussenlager","teilweise")))))</f>
        <v>Lift</v>
      </c>
      <c r="BN318" s="60" t="str">
        <f aca="false">IF(A318="","",IF(BW318=1,"Neu; ","")&amp;IF(AND(BW318=0,BR318&lt;0),"negativer Bestand (Export "&amp;BR318&amp;"); ","")&amp;IF(J318&lt;=0,"Kein Verbrauch; ","")&amp;IF(CR318&gt;0,"Lift "&amp;W318&amp;" lt. Liftbericht (Fach "&amp;X318&amp;" Stk); ",IF(CB318=1,"Gebinde geschätzt ("&amp;T318&amp;"); ",IF(CA318=1,"Lose – Tablare geschätzt; ","")))&amp;IF(H318&gt;AW318,"Überbestand "&amp;ROUND(H318-AW318,0)&amp;" Stk / CHF "&amp;ROUND((H318-AW318)*G318,0)&amp;"; ","")&amp;IF(AND(CI318=1,CJ318&lt;CK318),"MAX &lt; MB+LG; ","")&amp;IF(AND(CQ318&gt;0,CP318*10&gt;CQ318),"zu hoch für Tablar; ","")&amp;IF(AND(BW318=0,OR(CI318=1,AB318&lt;&gt;"",U318&lt;&gt;"",V318&lt;&gt;"",AC318&lt;&gt;"")),"manuell übersteuert; ","")&amp;IF(AND(CA318=0,R318=0),"Gebinde unbekannt / Stellmass fehlt; ","")&amp;IF(AND(CA318=0,N(V318)&lt;=0,N(Q318)&lt;=0),"Menge pro Gebinde fehlt (Ist = 1 Gebinde); ","")&amp;BV318)</f>
        <v>Kein Verbrauch; Überbestand 1 Stk / CHF 40; </v>
      </c>
      <c r="BO318" s="60"/>
      <c r="BP318" s="60"/>
      <c r="BQ318" s="67"/>
      <c r="BR318" s="62" t="n">
        <v>6</v>
      </c>
      <c r="BS318" s="62" t="n">
        <v>0</v>
      </c>
      <c r="BT318" s="61" t="n">
        <v>242.34</v>
      </c>
      <c r="BU318" s="62" t="n">
        <v>0</v>
      </c>
      <c r="BV318" s="60"/>
      <c r="BW318" s="65" t="n">
        <v>0</v>
      </c>
      <c r="BX318" s="65" t="n">
        <v>318</v>
      </c>
      <c r="BY318" s="60" t="str">
        <f aca="false">IF(U318&lt;&gt;"",UPPER(TRIM(U318)),IF(CB318=1,UPPER(VLOOKUP(T318,Parameter!$I$27:$K$29,2,0)),IF(P318="","LOSE",P318)))</f>
        <v>S32</v>
      </c>
      <c r="BZ318" s="62" t="n">
        <f aca="false">IF(BY318="LOSE",1,IF(N(V318)&gt;0,V318,IF(CB318=1,MAX(1,N(VLOOKUP(T318,Parameter!$I$27:$K$29,3,0)),H318,N(N318)),IF(N(Q318)&gt;0,Q318,MAX(1,H318)))))</f>
        <v>8</v>
      </c>
      <c r="CA318" s="65" t="n">
        <f aca="false">IF(BY318="LOSE",1,0)</f>
        <v>0</v>
      </c>
      <c r="CB318" s="65" t="n">
        <f aca="false">IF(AND(U318="",OR(P318="",P318="LOSE"),T318&lt;&gt;"",N(S318)&lt;=0,ISNUMBER(MATCH(T318,Parameter!$I$27:$I$29,0))),1,0)</f>
        <v>0</v>
      </c>
      <c r="CC318" s="65" t="n">
        <f aca="false">IF(CR318&gt;0,INDEX(Parameter!$H$5:$H$7,W318)/INDEX(Parameter!$E$5:$E$7,W318),IF(AND(CA318=0,N(IFERROR(VLOOKUP(BY318,'Gebinde-Kategorie'!$A$5:$N$45,14,0),0))&gt;0),VLOOKUP(BY318,'Gebinde-Kategorie'!$A$5:$N$45,14,0)*10+Parameter!$M$23,Parameter!$M$24))</f>
        <v>155</v>
      </c>
      <c r="CD318" s="60" t="str">
        <f aca="false">IF(AND(Parameter!$B$19="Ja",E318&lt;&gt;"",ISNUMBER(MATCH(E318,Parameter!$I$35:$I$52,0))),VLOOKUP(E318,Parameter!$I$35:$J$52,2,0),IFERROR(VLOOKUP(D318,Parameter!$A$35:$C$64,2,0),"Nein"))</f>
        <v>2+3</v>
      </c>
      <c r="CE318" s="64" t="n">
        <f aca="false">IF(CA318=0,0,IF(N(S318)&gt;0,S318,IFERROR(VLOOKUP(D318,Parameter!$A$35:$C$64,3,0)+0,0)))</f>
        <v>0</v>
      </c>
      <c r="CF318" s="60" t="n">
        <f aca="false">IF(AB318&lt;&gt;"",AB318,AA318)</f>
        <v>3</v>
      </c>
      <c r="CG318" s="60" t="str">
        <f aca="false">IF(OR(CF318=1,CF318=2,CF318=3),IF(Parameter!$E$27="Ja","LIFT",IF(CF318=1,"L1","L23")),IF(CF318="Aussen","Aussen","-"))</f>
        <v>LIFT</v>
      </c>
      <c r="CH318" s="71" t="n">
        <f aca="false">IF(N(AC318)&gt;0,AC318,0)</f>
        <v>0</v>
      </c>
      <c r="CI318" s="65" t="n">
        <f aca="false">IF(ISNUMBER(AF318),1,0)</f>
        <v>0</v>
      </c>
      <c r="CJ318" s="62" t="n">
        <f aca="false">N(AF318)</f>
        <v>0</v>
      </c>
      <c r="CK318" s="62" t="n">
        <f aca="false">N(M318)+N(N318)</f>
        <v>5</v>
      </c>
      <c r="CL318" s="62" t="n">
        <f aca="false">N(M318)</f>
        <v>0</v>
      </c>
      <c r="CM318" s="62" t="n">
        <f aca="false">N(N318)</f>
        <v>5</v>
      </c>
      <c r="CN318" s="62" t="n">
        <f aca="false">ROUNDUP(H318/BZ318,0)</f>
        <v>1</v>
      </c>
      <c r="CO318" s="62" t="n">
        <f aca="false">ROUNDUP(CJ318/BZ318,0)</f>
        <v>0</v>
      </c>
      <c r="CP318" s="65" t="n">
        <f aca="false">IF(CA318=1,0,IFERROR(VLOOKUP(BY318,'Gebinde-Kategorie'!$A$5:$N$45,5,0)+0,0))</f>
        <v>8</v>
      </c>
      <c r="CQ318" s="65" t="n">
        <f aca="false">IFERROR(IF(OR(CF318=1,CF318=2,CF318=3),N(INDEX(Parameter!$I$5:$I$7,CF318)),0),0)</f>
        <v>0</v>
      </c>
      <c r="CR318" s="64" t="n">
        <f aca="false">IF(AND(Parameter!$B$21="Ja",ISNUMBER(W318),N(X318)&gt;0),IFERROR(N(INDEX(Parameter!$L$5:$L$7,W318))*INDEX(Parameter!$E$5:$E$7,W318)*X318/SUMIFS($X$7:$X$1843,$W$7:$W$1843,W318),0),0)</f>
        <v>0</v>
      </c>
      <c r="CS318" s="62" t="n">
        <f aca="false">IF(AND(OR(CG318="L1",CG318="L23",CG318="LIFT"),H318&gt;0),CC318*IF(CR318&gt;0,CR318*MAX(1,H318/X318),IF(CA318=1,CE318,IF(R318&gt;0,CN318/R318,0))/MAX(0.1,N(Parameter!$M$21))),"")</f>
        <v>1.49038461538462</v>
      </c>
      <c r="CT318" s="64" t="n">
        <f aca="false">IF(CS318="","",J318/H318)</f>
        <v>0</v>
      </c>
      <c r="CU318" s="62" t="n">
        <f aca="false">IF(CS318="","",H318*G318)</f>
        <v>242.34</v>
      </c>
      <c r="CV318" s="63" t="n">
        <f aca="false">IF(CS318="","",(CL318+ROUNDUP(CL318+MAX(CM318,2*(J318/MAX(0.1,N(Einkauf!$C$6))-CL318)),0))/2)</f>
        <v>2.5</v>
      </c>
      <c r="CW318" s="62" t="n">
        <f aca="false">IF(CS318="","",MAX(0,H318-CV318)*G318)</f>
        <v>141.365</v>
      </c>
      <c r="CX318" s="62" t="n">
        <f aca="false">IF(CS318="","",CS318*MAX(0,1-CV318/H318))</f>
        <v>0.869391025641026</v>
      </c>
      <c r="CY318" s="64" t="n">
        <f aca="false">IF(CS318="","",PERCENTRANK($CS$7:$CS$1843,CS318)+PERCENTRANK($CU$7:$CU$1843,CU318)+1-PERCENTRANK($CT$7:$CT$1843,CT318))</f>
        <v>1.487</v>
      </c>
      <c r="CZ318" s="72" t="n">
        <f aca="false">IF(CS318="","",CHOOSE(MATCH(Einkauf!$C$5,Parameter!$G$23:$G$27,0),CY318,CS318,CU318,-CT318,CW318)+ROW()/1000000000)</f>
        <v>1.487000318</v>
      </c>
    </row>
    <row r="319" customFormat="false" ht="15" hidden="false" customHeight="false" outlineLevel="0" collapsed="false">
      <c r="A319" s="60" t="s">
        <v>845</v>
      </c>
      <c r="B319" s="60" t="s">
        <v>846</v>
      </c>
      <c r="C319" s="60" t="s">
        <v>206</v>
      </c>
      <c r="D319" s="60" t="s">
        <v>226</v>
      </c>
      <c r="E319" s="60"/>
      <c r="F319" s="60" t="s">
        <v>260</v>
      </c>
      <c r="G319" s="61" t="n">
        <v>34.48</v>
      </c>
      <c r="H319" s="62" t="n">
        <f aca="false">MAX(0,IF(AND(Parameter!$B$21="Ja",ISNUMBER(Y319)),Y319,IF(Parameter!$B$20="Jahresanfang 2025 + Export",BS319+BR319,BR319)))</f>
        <v>52</v>
      </c>
      <c r="I319" s="62" t="n">
        <f aca="false">H319*G319</f>
        <v>1792.96</v>
      </c>
      <c r="J319" s="62" t="n">
        <f aca="false">BU319*Parameter!$B$18</f>
        <v>4</v>
      </c>
      <c r="K319" s="63" t="n">
        <v>48.5</v>
      </c>
      <c r="L319" s="64" t="n">
        <v>0.0824742268041237</v>
      </c>
      <c r="M319" s="62" t="n">
        <v>0</v>
      </c>
      <c r="N319" s="62" t="n">
        <v>5</v>
      </c>
      <c r="O319" s="65" t="n">
        <v>49</v>
      </c>
      <c r="P319" s="60" t="s">
        <v>344</v>
      </c>
      <c r="Q319" s="62" t="n">
        <v>55</v>
      </c>
      <c r="R319" s="65" t="n">
        <f aca="false">IF(CA319=1,0,IFERROR(VLOOKUP(BY319,'Gebinde-Kategorie'!$A$5:$N$45,13,0)+0,0))</f>
        <v>26</v>
      </c>
      <c r="S319" s="66"/>
      <c r="T319" s="67"/>
      <c r="U319" s="67"/>
      <c r="V319" s="67"/>
      <c r="W319" s="60"/>
      <c r="X319" s="62"/>
      <c r="Y319" s="62"/>
      <c r="Z319" s="60" t="n">
        <v>3</v>
      </c>
      <c r="AA319" s="60" t="n">
        <f aca="false">IF(A319="","",IF(AND(Parameter!$B$21="Ja",ISNUMBER(W319)),W319,IF(AND(Parameter!$E$27="Ja",ISNUMBER(Z319),CD319&lt;&gt;"Nein"),Z319,IF(CD319="2+3",IF(ISNUMBER(SEARCH("grosser Artikel",BV319)),2,IFERROR(VLOOKUP(BY319,Parameter!$F$35:$G$64,2,0),2)),IF(OR(CD319="Nein",CD319=""),"-",CD319)))))</f>
        <v>3</v>
      </c>
      <c r="AB319" s="67"/>
      <c r="AC319" s="68"/>
      <c r="AD319" s="62" t="n">
        <f aca="false">AW319</f>
        <v>5</v>
      </c>
      <c r="AE319" s="62" t="n">
        <f aca="false">MAX(AW319,H319)</f>
        <v>52</v>
      </c>
      <c r="AF319" s="69"/>
      <c r="AG319" s="62" t="n">
        <f aca="false">IF(LEFT(Cockpit!$C$5,1)="A",H319,IF(Parameter!$E$30="MAX-Bestand",IF(CI319=1,CJ319,IF(LEFT(Cockpit!$C$5,1)="B",AM319,MAX(AM319,H319))),ROUNDUP(AK319,0)))</f>
        <v>52</v>
      </c>
      <c r="AH319" s="62" t="n">
        <f aca="false">IF(CA319=1,0,ROUNDUP(AG319/BZ319,0))</f>
        <v>1</v>
      </c>
      <c r="AI319" s="64" t="n">
        <f aca="false">IF(CR319&gt;0,CR319*MAX(1,AG319/X319),IF(CA319=1,IF(AG319&lt;=0,0,CE319*MAX(1,IF(H319&gt;0,AG319/H319,1))),IF(R319&gt;0,AH319/R319,0))/MAX(0.1,N(Parameter!$M$21)))</f>
        <v>0.0384615384615385</v>
      </c>
      <c r="AJ319" s="62" t="n">
        <f aca="false">AI319*CC319</f>
        <v>5.96153846153846</v>
      </c>
      <c r="AK319" s="63" t="n">
        <f aca="false">IF(LEFT(Cockpit!$C$5,1)="A",H319,IF(CI319=1,(CL319+CJ319)/2,IF(LEFT(Cockpit!$C$5,1)="B",(CL319+AM319)/2,MAX((CL319+AM319)/2,H319))))</f>
        <v>52</v>
      </c>
      <c r="AL319" s="62" t="n">
        <f aca="false">AK319*G319</f>
        <v>1792.96</v>
      </c>
      <c r="AM319" s="62" t="n">
        <f aca="false">ROUNDUP(CL319+MAX(CM319,2*(J319/IF(CH319&gt;0,CH319,MAX(0.1,N(Cockpit!$C$6)))-CL319)),0)</f>
        <v>5</v>
      </c>
      <c r="AN319" s="63" t="n">
        <f aca="false">IF(AJ319&gt;0,J319/AJ319,-1)</f>
        <v>0.670967741935484</v>
      </c>
      <c r="AO319" s="63" t="n">
        <f aca="false">IF(AND(OR(CG319="L1",CG319="L23",CG319="LIFT"),AJ319&gt;0),SUMIFS($AJ$7:$AJ$1843,$CG$7:$CG$1843,CG319,$AN$7:$AN$1843,"&gt;"&amp;AN319)+SUMIFS($AJ$7:$AJ$1843,$CG$7:$CG$1843,CG319,$AN$7:$AN$1843,AN319,$BX$7:$BX$1843,"&lt;="&amp;BX319),"")</f>
        <v>8614.6217948718</v>
      </c>
      <c r="AP319" s="70" t="n">
        <f aca="false">IF(AO319="",0,MAX(0,MIN(1,(IF(CG319="L1",Parameter!$H$5,IF(CG319="L23",Parameter!$H$6+Parameter!$H$7,Parameter!$H$5+Parameter!$H$6+Parameter!$H$7))-(AO319-AJ319))/AJ319)))</f>
        <v>1</v>
      </c>
      <c r="AQ319" s="62" t="n">
        <f aca="false">IF(LEFT(Cockpit!$I$5,1)="A",H319,IF(Parameter!$E$30="MAX-Bestand",IF(CI319=1,CJ319,IF(LEFT(Cockpit!$I$5,1)="B",AW319,MAX(AW319,H319))),ROUNDUP(AU319,0)))</f>
        <v>52</v>
      </c>
      <c r="AR319" s="62" t="n">
        <f aca="false">IF(CA319=1,0,ROUNDUP(AQ319/BZ319,0))</f>
        <v>1</v>
      </c>
      <c r="AS319" s="64" t="n">
        <f aca="false">IF(CR319&gt;0,CR319*MAX(1,AQ319/X319),IF(CA319=1,IF(AQ319&lt;=0,0,CE319*MAX(1,IF(H319&gt;0,AQ319/H319,1))),IF(R319&gt;0,AR319/R319,0))/MAX(0.1,N(Parameter!$M$21)))</f>
        <v>0.0384615384615385</v>
      </c>
      <c r="AT319" s="62" t="n">
        <f aca="false">AS319*CC319</f>
        <v>5.96153846153846</v>
      </c>
      <c r="AU319" s="63" t="n">
        <f aca="false">IF(LEFT(Cockpit!$I$5,1)="A",H319,IF(CI319=1,(CL319+CJ319)/2,IF(LEFT(Cockpit!$I$5,1)="B",(CL319+AW319)/2,MAX((CL319+AW319)/2,H319))))</f>
        <v>52</v>
      </c>
      <c r="AV319" s="62" t="n">
        <f aca="false">AU319*G319</f>
        <v>1792.96</v>
      </c>
      <c r="AW319" s="62" t="n">
        <f aca="false">ROUNDUP(CL319+MAX(CM319,2*(J319/IF(CH319&gt;0,CH319,MAX(0.1,N(Cockpit!$I$6)))-CL319)),0)</f>
        <v>5</v>
      </c>
      <c r="AX319" s="63" t="n">
        <f aca="false">IF(AT319&gt;0,J319/AT319,-1)</f>
        <v>0.670967741935484</v>
      </c>
      <c r="AY319" s="63" t="n">
        <f aca="false">IF(AND(OR(CG319="L1",CG319="L23",CG319="LIFT"),AT319&gt;0),SUMIFS($AT$7:$AT$1843,$CG$7:$CG$1843,CG319,$AX$7:$AX$1843,"&gt;"&amp;AX319)+SUMIFS($AT$7:$AT$1843,$CG$7:$CG$1843,CG319,$AX$7:$AX$1843,AX319,$BX$7:$BX$1843,"&lt;="&amp;BX319),"")</f>
        <v>10898.3566849817</v>
      </c>
      <c r="AZ319" s="70" t="n">
        <f aca="false">IF(AY319="",0,MAX(0,MIN(1,(IF(CG319="L1",Parameter!$H$5,IF(CG319="L23",Parameter!$H$6+Parameter!$H$7,Parameter!$H$5+Parameter!$H$6+Parameter!$H$7))-(AY319-AT319))/AT319)))</f>
        <v>1</v>
      </c>
      <c r="BA319" s="62" t="n">
        <f aca="false">IF(LEFT(Cockpit!$O$5,1)="A",H319,IF(Parameter!$E$30="MAX-Bestand",IF(CI319=1,CJ319,IF(LEFT(Cockpit!$O$5,1)="B",BG319,MAX(BG319,H319))),ROUNDUP(BE319,0)))</f>
        <v>3</v>
      </c>
      <c r="BB319" s="62" t="n">
        <f aca="false">IF(CA319=1,0,ROUNDUP(BA319/BZ319,0))</f>
        <v>1</v>
      </c>
      <c r="BC319" s="64" t="n">
        <f aca="false">IF(CR319&gt;0,CR319*MAX(1,BA319/X319),IF(CA319=1,IF(BA319&lt;=0,0,CE319*MAX(1,IF(H319&gt;0,BA319/H319,1))),IF(R319&gt;0,BB319/R319,0))/MAX(0.1,N(Parameter!$M$21)))</f>
        <v>0.0384615384615385</v>
      </c>
      <c r="BD319" s="62" t="n">
        <f aca="false">BC319*CC319</f>
        <v>5.96153846153846</v>
      </c>
      <c r="BE319" s="63" t="n">
        <f aca="false">IF(LEFT(Cockpit!$O$5,1)="A",H319,IF(CI319=1,(CL319+CJ319)/2,IF(LEFT(Cockpit!$O$5,1)="B",(CL319+BG319)/2,MAX((CL319+BG319)/2,H319))))</f>
        <v>2.5</v>
      </c>
      <c r="BF319" s="62" t="n">
        <f aca="false">BE319*G319</f>
        <v>86.2</v>
      </c>
      <c r="BG319" s="62" t="n">
        <f aca="false">ROUNDUP(CL319+MAX(CM319,2*(J319/IF(CH319&gt;0,CH319,MAX(0.1,N(Cockpit!$O$6)))-CL319)),0)</f>
        <v>5</v>
      </c>
      <c r="BH319" s="63" t="n">
        <f aca="false">IF(BD319&gt;0,J319/BD319,-1)</f>
        <v>0.670967741935484</v>
      </c>
      <c r="BI319" s="63" t="n">
        <f aca="false">IF(AND(OR(CG319="L1",CG319="L23",CG319="LIFT"),BD319&gt;0),SUMIFS($BD$7:$BD$1843,$CG$7:$CG$1843,CG319,$BH$7:$BH$1843,"&gt;"&amp;BH319)+SUMIFS($BD$7:$BD$1843,$CG$7:$CG$1843,CG319,$BH$7:$BH$1843,BH319,$BX$7:$BX$1843,"&lt;="&amp;BX319),"")</f>
        <v>9505.01007326007</v>
      </c>
      <c r="BJ319" s="70" t="n">
        <f aca="false">IF(BI319="",0,MAX(0,MIN(1,(IF(CG319="L1",Parameter!$H$5,IF(CG319="L23",Parameter!$H$6+Parameter!$H$7,Parameter!$H$5+Parameter!$H$6+Parameter!$H$7))-(BI319-BD319))/BD319)))</f>
        <v>1</v>
      </c>
      <c r="BK319" s="60" t="str">
        <f aca="false">IF(AJ319&lt;=0,"",IF(CG319="Aussen","Aussenlager",IF(CG319="-","Nicht im Lift",IF(AP319&gt;=1,"Lift",IF(AP319&lt;=0,"Aussenlager","teilweise")))))</f>
        <v>Lift</v>
      </c>
      <c r="BL319" s="60" t="str">
        <f aca="false">IF(AT319&lt;=0,"",IF(CG319="Aussen","Aussenlager",IF(CG319="-","Nicht im Lift",IF(AZ319&gt;=1,"Lift",IF(AZ319&lt;=0,"Aussenlager","teilweise")))))</f>
        <v>Lift</v>
      </c>
      <c r="BM319" s="60" t="str">
        <f aca="false">IF(BD319&lt;=0,"",IF(CG319="Aussen","Aussenlager",IF(CG319="-","Nicht im Lift",IF(BJ319&gt;=1,"Lift",IF(BJ319&lt;=0,"Aussenlager","teilweise")))))</f>
        <v>Lift</v>
      </c>
      <c r="BN319" s="60" t="str">
        <f aca="false">IF(A319="","",IF(BW319=1,"Neu; ","")&amp;IF(AND(BW319=0,BR319&lt;0),"negativer Bestand (Export "&amp;BR319&amp;"); ","")&amp;IF(J319&lt;=0,"Kein Verbrauch; ","")&amp;IF(CR319&gt;0,"Lift "&amp;W319&amp;" lt. Liftbericht (Fach "&amp;X319&amp;" Stk); ",IF(CB319=1,"Gebinde geschätzt ("&amp;T319&amp;"); ",IF(CA319=1,"Lose – Tablare geschätzt; ","")))&amp;IF(H319&gt;AW319,"Überbestand "&amp;ROUND(H319-AW319,0)&amp;" Stk / CHF "&amp;ROUND((H319-AW319)*G319,0)&amp;"; ","")&amp;IF(AND(CI319=1,CJ319&lt;CK319),"MAX &lt; MB+LG; ","")&amp;IF(AND(CQ319&gt;0,CP319*10&gt;CQ319),"zu hoch für Tablar; ","")&amp;IF(AND(BW319=0,OR(CI319=1,AB319&lt;&gt;"",U319&lt;&gt;"",V319&lt;&gt;"",AC319&lt;&gt;"")),"manuell übersteuert; ","")&amp;IF(AND(CA319=0,R319=0),"Gebinde unbekannt / Stellmass fehlt; ","")&amp;IF(AND(CA319=0,N(V319)&lt;=0,N(Q319)&lt;=0),"Menge pro Gebinde fehlt (Ist = 1 Gebinde); ","")&amp;BV319)</f>
        <v>Überbestand 47 Stk / CHF 1621; i.o</v>
      </c>
      <c r="BO319" s="60"/>
      <c r="BP319" s="60"/>
      <c r="BQ319" s="67"/>
      <c r="BR319" s="62" t="n">
        <v>7</v>
      </c>
      <c r="BS319" s="62" t="n">
        <v>45</v>
      </c>
      <c r="BT319" s="61" t="n">
        <v>241.36</v>
      </c>
      <c r="BU319" s="62" t="n">
        <v>4</v>
      </c>
      <c r="BV319" s="60" t="s">
        <v>578</v>
      </c>
      <c r="BW319" s="65" t="n">
        <v>0</v>
      </c>
      <c r="BX319" s="65" t="n">
        <v>319</v>
      </c>
      <c r="BY319" s="60" t="str">
        <f aca="false">IF(U319&lt;&gt;"",UPPER(TRIM(U319)),IF(CB319=1,UPPER(VLOOKUP(T319,Parameter!$I$27:$K$29,2,0)),IF(P319="","LOSE",P319)))</f>
        <v>S51</v>
      </c>
      <c r="BZ319" s="62" t="n">
        <f aca="false">IF(BY319="LOSE",1,IF(N(V319)&gt;0,V319,IF(CB319=1,MAX(1,N(VLOOKUP(T319,Parameter!$I$27:$K$29,3,0)),H319,N(N319)),IF(N(Q319)&gt;0,Q319,MAX(1,H319)))))</f>
        <v>55</v>
      </c>
      <c r="CA319" s="65" t="n">
        <f aca="false">IF(BY319="LOSE",1,0)</f>
        <v>0</v>
      </c>
      <c r="CB319" s="65" t="n">
        <f aca="false">IF(AND(U319="",OR(P319="",P319="LOSE"),T319&lt;&gt;"",N(S319)&lt;=0,ISNUMBER(MATCH(T319,Parameter!$I$27:$I$29,0))),1,0)</f>
        <v>0</v>
      </c>
      <c r="CC319" s="65" t="n">
        <f aca="false">IF(CR319&gt;0,INDEX(Parameter!$H$5:$H$7,W319)/INDEX(Parameter!$E$5:$E$7,W319),IF(AND(CA319=0,N(IFERROR(VLOOKUP(BY319,'Gebinde-Kategorie'!$A$5:$N$45,14,0),0))&gt;0),VLOOKUP(BY319,'Gebinde-Kategorie'!$A$5:$N$45,14,0)*10+Parameter!$M$23,Parameter!$M$24))</f>
        <v>155</v>
      </c>
      <c r="CD319" s="60" t="str">
        <f aca="false">IF(AND(Parameter!$B$19="Ja",E319&lt;&gt;"",ISNUMBER(MATCH(E319,Parameter!$I$35:$I$52,0))),VLOOKUP(E319,Parameter!$I$35:$J$52,2,0),IFERROR(VLOOKUP(D319,Parameter!$A$35:$C$64,2,0),"Nein"))</f>
        <v>2+3</v>
      </c>
      <c r="CE319" s="64" t="n">
        <f aca="false">IF(CA319=0,0,IF(N(S319)&gt;0,S319,IFERROR(VLOOKUP(D319,Parameter!$A$35:$C$64,3,0)+0,0)))</f>
        <v>0</v>
      </c>
      <c r="CF319" s="60" t="n">
        <f aca="false">IF(AB319&lt;&gt;"",AB319,AA319)</f>
        <v>3</v>
      </c>
      <c r="CG319" s="60" t="str">
        <f aca="false">IF(OR(CF319=1,CF319=2,CF319=3),IF(Parameter!$E$27="Ja","LIFT",IF(CF319=1,"L1","L23")),IF(CF319="Aussen","Aussen","-"))</f>
        <v>LIFT</v>
      </c>
      <c r="CH319" s="71" t="n">
        <f aca="false">IF(N(AC319)&gt;0,AC319,0)</f>
        <v>0</v>
      </c>
      <c r="CI319" s="65" t="n">
        <f aca="false">IF(ISNUMBER(AF319),1,0)</f>
        <v>0</v>
      </c>
      <c r="CJ319" s="62" t="n">
        <f aca="false">N(AF319)</f>
        <v>0</v>
      </c>
      <c r="CK319" s="62" t="n">
        <f aca="false">N(M319)+N(N319)</f>
        <v>5</v>
      </c>
      <c r="CL319" s="62" t="n">
        <f aca="false">N(M319)</f>
        <v>0</v>
      </c>
      <c r="CM319" s="62" t="n">
        <f aca="false">N(N319)</f>
        <v>5</v>
      </c>
      <c r="CN319" s="62" t="n">
        <f aca="false">ROUNDUP(H319/BZ319,0)</f>
        <v>1</v>
      </c>
      <c r="CO319" s="62" t="n">
        <f aca="false">ROUNDUP(CJ319/BZ319,0)</f>
        <v>0</v>
      </c>
      <c r="CP319" s="65" t="n">
        <f aca="false">IF(CA319=1,0,IFERROR(VLOOKUP(BY319,'Gebinde-Kategorie'!$A$5:$N$45,5,0)+0,0))</f>
        <v>11</v>
      </c>
      <c r="CQ319" s="65" t="n">
        <f aca="false">IFERROR(IF(OR(CF319=1,CF319=2,CF319=3),N(INDEX(Parameter!$I$5:$I$7,CF319)),0),0)</f>
        <v>0</v>
      </c>
      <c r="CR319" s="64" t="n">
        <f aca="false">IF(AND(Parameter!$B$21="Ja",ISNUMBER(W319),N(X319)&gt;0),IFERROR(N(INDEX(Parameter!$L$5:$L$7,W319))*INDEX(Parameter!$E$5:$E$7,W319)*X319/SUMIFS($X$7:$X$1843,$W$7:$W$1843,W319),0),0)</f>
        <v>0</v>
      </c>
      <c r="CS319" s="62" t="n">
        <f aca="false">IF(AND(OR(CG319="L1",CG319="L23",CG319="LIFT"),H319&gt;0),CC319*IF(CR319&gt;0,CR319*MAX(1,H319/X319),IF(CA319=1,CE319,IF(R319&gt;0,CN319/R319,0))/MAX(0.1,N(Parameter!$M$21))),"")</f>
        <v>5.96153846153846</v>
      </c>
      <c r="CT319" s="64" t="n">
        <f aca="false">IF(CS319="","",J319/H319)</f>
        <v>0.0769230769230769</v>
      </c>
      <c r="CU319" s="62" t="n">
        <f aca="false">IF(CS319="","",H319*G319)</f>
        <v>1792.96</v>
      </c>
      <c r="CV319" s="63" t="n">
        <f aca="false">IF(CS319="","",(CL319+ROUNDUP(CL319+MAX(CM319,2*(J319/MAX(0.1,N(Einkauf!$C$6))-CL319)),0))/2)</f>
        <v>2.5</v>
      </c>
      <c r="CW319" s="62" t="n">
        <f aca="false">IF(CS319="","",MAX(0,H319-CV319)*G319)</f>
        <v>1706.76</v>
      </c>
      <c r="CX319" s="62" t="n">
        <f aca="false">IF(CS319="","",CS319*MAX(0,1-CV319/H319))</f>
        <v>5.67492603550296</v>
      </c>
      <c r="CY319" s="64" t="n">
        <f aca="false">IF(CS319="","",PERCENTRANK($CS$7:$CS$1843,CS319)+PERCENTRANK($CU$7:$CU$1843,CU319)+1-PERCENTRANK($CT$7:$CT$1843,CT319))</f>
        <v>1.689</v>
      </c>
      <c r="CZ319" s="72" t="n">
        <f aca="false">IF(CS319="","",CHOOSE(MATCH(Einkauf!$C$5,Parameter!$G$23:$G$27,0),CY319,CS319,CU319,-CT319,CW319)+ROW()/1000000000)</f>
        <v>1.689000319</v>
      </c>
    </row>
    <row r="320" customFormat="false" ht="15" hidden="false" customHeight="false" outlineLevel="0" collapsed="false">
      <c r="A320" s="60" t="s">
        <v>847</v>
      </c>
      <c r="B320" s="60" t="s">
        <v>848</v>
      </c>
      <c r="C320" s="60" t="s">
        <v>206</v>
      </c>
      <c r="D320" s="60" t="s">
        <v>226</v>
      </c>
      <c r="E320" s="60" t="s">
        <v>227</v>
      </c>
      <c r="F320" s="60" t="s">
        <v>260</v>
      </c>
      <c r="G320" s="61" t="n">
        <v>32.38</v>
      </c>
      <c r="H320" s="62" t="n">
        <f aca="false">MAX(0,IF(AND(Parameter!$B$21="Ja",ISNUMBER(Y320)),Y320,IF(Parameter!$B$20="Jahresanfang 2025 + Export",BS320+BR320,BR320)))</f>
        <v>12</v>
      </c>
      <c r="I320" s="62" t="n">
        <f aca="false">H320*G320</f>
        <v>388.56</v>
      </c>
      <c r="J320" s="62" t="n">
        <f aca="false">BU320*Parameter!$B$18</f>
        <v>10</v>
      </c>
      <c r="K320" s="63" t="n">
        <v>10</v>
      </c>
      <c r="L320" s="64" t="n">
        <v>1</v>
      </c>
      <c r="M320" s="62" t="n">
        <v>0</v>
      </c>
      <c r="N320" s="62" t="n">
        <v>10</v>
      </c>
      <c r="O320" s="65" t="n">
        <v>28</v>
      </c>
      <c r="P320" s="60" t="s">
        <v>463</v>
      </c>
      <c r="Q320" s="62" t="n">
        <v>9</v>
      </c>
      <c r="R320" s="65" t="n">
        <f aca="false">IF(CA320=1,0,IFERROR(VLOOKUP(BY320,'Gebinde-Kategorie'!$A$5:$N$45,13,0)+0,0))</f>
        <v>104</v>
      </c>
      <c r="S320" s="66"/>
      <c r="T320" s="67"/>
      <c r="U320" s="67"/>
      <c r="V320" s="67"/>
      <c r="W320" s="60"/>
      <c r="X320" s="62"/>
      <c r="Y320" s="62"/>
      <c r="Z320" s="60" t="n">
        <v>3</v>
      </c>
      <c r="AA320" s="60" t="n">
        <f aca="false">IF(A320="","",IF(AND(Parameter!$B$21="Ja",ISNUMBER(W320)),W320,IF(AND(Parameter!$E$27="Ja",ISNUMBER(Z320),CD320&lt;&gt;"Nein"),Z320,IF(CD320="2+3",IF(ISNUMBER(SEARCH("grosser Artikel",BV320)),2,IFERROR(VLOOKUP(BY320,Parameter!$F$35:$G$64,2,0),2)),IF(OR(CD320="Nein",CD320=""),"-",CD320)))))</f>
        <v>3</v>
      </c>
      <c r="AB320" s="67"/>
      <c r="AC320" s="68"/>
      <c r="AD320" s="62" t="n">
        <f aca="false">AW320</f>
        <v>10</v>
      </c>
      <c r="AE320" s="62" t="n">
        <f aca="false">MAX(AW320,H320)</f>
        <v>12</v>
      </c>
      <c r="AF320" s="69"/>
      <c r="AG320" s="62" t="n">
        <f aca="false">IF(LEFT(Cockpit!$C$5,1)="A",H320,IF(Parameter!$E$30="MAX-Bestand",IF(CI320=1,CJ320,IF(LEFT(Cockpit!$C$5,1)="B",AM320,MAX(AM320,H320))),ROUNDUP(AK320,0)))</f>
        <v>12</v>
      </c>
      <c r="AH320" s="62" t="n">
        <f aca="false">IF(CA320=1,0,ROUNDUP(AG320/BZ320,0))</f>
        <v>2</v>
      </c>
      <c r="AI320" s="64" t="n">
        <f aca="false">IF(CR320&gt;0,CR320*MAX(1,AG320/X320),IF(CA320=1,IF(AG320&lt;=0,0,CE320*MAX(1,IF(H320&gt;0,AG320/H320,1))),IF(R320&gt;0,AH320/R320,0))/MAX(0.1,N(Parameter!$M$21)))</f>
        <v>0.0192307692307692</v>
      </c>
      <c r="AJ320" s="62" t="n">
        <f aca="false">AI320*CC320</f>
        <v>2.98076923076923</v>
      </c>
      <c r="AK320" s="63" t="n">
        <f aca="false">IF(LEFT(Cockpit!$C$5,1)="A",H320,IF(CI320=1,(CL320+CJ320)/2,IF(LEFT(Cockpit!$C$5,1)="B",(CL320+AM320)/2,MAX((CL320+AM320)/2,H320))))</f>
        <v>12</v>
      </c>
      <c r="AL320" s="62" t="n">
        <f aca="false">AK320*G320</f>
        <v>388.56</v>
      </c>
      <c r="AM320" s="62" t="n">
        <f aca="false">ROUNDUP(CL320+MAX(CM320,2*(J320/IF(CH320&gt;0,CH320,MAX(0.1,N(Cockpit!$C$6)))-CL320)),0)</f>
        <v>10</v>
      </c>
      <c r="AN320" s="63" t="n">
        <f aca="false">IF(AJ320&gt;0,J320/AJ320,-1)</f>
        <v>3.35483870967742</v>
      </c>
      <c r="AO320" s="63" t="n">
        <f aca="false">IF(AND(OR(CG320="L1",CG320="L23",CG320="LIFT"),AJ320&gt;0),SUMIFS($AJ$7:$AJ$1843,$CG$7:$CG$1843,CG320,$AN$7:$AN$1843,"&gt;"&amp;AN320)+SUMIFS($AJ$7:$AJ$1843,$CG$7:$CG$1843,CG320,$AN$7:$AN$1843,AN320,$BX$7:$BX$1843,"&lt;="&amp;BX320),"")</f>
        <v>4906.40521978022</v>
      </c>
      <c r="AP320" s="70" t="n">
        <f aca="false">IF(AO320="",0,MAX(0,MIN(1,(IF(CG320="L1",Parameter!$H$5,IF(CG320="L23",Parameter!$H$6+Parameter!$H$7,Parameter!$H$5+Parameter!$H$6+Parameter!$H$7))-(AO320-AJ320))/AJ320)))</f>
        <v>1</v>
      </c>
      <c r="AQ320" s="62" t="n">
        <f aca="false">IF(LEFT(Cockpit!$I$5,1)="A",H320,IF(Parameter!$E$30="MAX-Bestand",IF(CI320=1,CJ320,IF(LEFT(Cockpit!$I$5,1)="B",AW320,MAX(AW320,H320))),ROUNDUP(AU320,0)))</f>
        <v>12</v>
      </c>
      <c r="AR320" s="62" t="n">
        <f aca="false">IF(CA320=1,0,ROUNDUP(AQ320/BZ320,0))</f>
        <v>2</v>
      </c>
      <c r="AS320" s="64" t="n">
        <f aca="false">IF(CR320&gt;0,CR320*MAX(1,AQ320/X320),IF(CA320=1,IF(AQ320&lt;=0,0,CE320*MAX(1,IF(H320&gt;0,AQ320/H320,1))),IF(R320&gt;0,AR320/R320,0))/MAX(0.1,N(Parameter!$M$21)))</f>
        <v>0.0192307692307692</v>
      </c>
      <c r="AT320" s="62" t="n">
        <f aca="false">AS320*CC320</f>
        <v>2.98076923076923</v>
      </c>
      <c r="AU320" s="63" t="n">
        <f aca="false">IF(LEFT(Cockpit!$I$5,1)="A",H320,IF(CI320=1,(CL320+CJ320)/2,IF(LEFT(Cockpit!$I$5,1)="B",(CL320+AW320)/2,MAX((CL320+AW320)/2,H320))))</f>
        <v>12</v>
      </c>
      <c r="AV320" s="62" t="n">
        <f aca="false">AU320*G320</f>
        <v>388.56</v>
      </c>
      <c r="AW320" s="62" t="n">
        <f aca="false">ROUNDUP(CL320+MAX(CM320,2*(J320/IF(CH320&gt;0,CH320,MAX(0.1,N(Cockpit!$I$6)))-CL320)),0)</f>
        <v>10</v>
      </c>
      <c r="AX320" s="63" t="n">
        <f aca="false">IF(AT320&gt;0,J320/AT320,-1)</f>
        <v>3.35483870967742</v>
      </c>
      <c r="AY320" s="63" t="n">
        <f aca="false">IF(AND(OR(CG320="L1",CG320="L23",CG320="LIFT"),AT320&gt;0),SUMIFS($AT$7:$AT$1843,$CG$7:$CG$1843,CG320,$AX$7:$AX$1843,"&gt;"&amp;AX320)+SUMIFS($AT$7:$AT$1843,$CG$7:$CG$1843,CG320,$AX$7:$AX$1843,AX320,$BX$7:$BX$1843,"&lt;="&amp;BX320),"")</f>
        <v>5570.24221611722</v>
      </c>
      <c r="AZ320" s="70" t="n">
        <f aca="false">IF(AY320="",0,MAX(0,MIN(1,(IF(CG320="L1",Parameter!$H$5,IF(CG320="L23",Parameter!$H$6+Parameter!$H$7,Parameter!$H$5+Parameter!$H$6+Parameter!$H$7))-(AY320-AT320))/AT320)))</f>
        <v>1</v>
      </c>
      <c r="BA320" s="62" t="n">
        <f aca="false">IF(LEFT(Cockpit!$O$5,1)="A",H320,IF(Parameter!$E$30="MAX-Bestand",IF(CI320=1,CJ320,IF(LEFT(Cockpit!$O$5,1)="B",BG320,MAX(BG320,H320))),ROUNDUP(BE320,0)))</f>
        <v>5</v>
      </c>
      <c r="BB320" s="62" t="n">
        <f aca="false">IF(CA320=1,0,ROUNDUP(BA320/BZ320,0))</f>
        <v>1</v>
      </c>
      <c r="BC320" s="64" t="n">
        <f aca="false">IF(CR320&gt;0,CR320*MAX(1,BA320/X320),IF(CA320=1,IF(BA320&lt;=0,0,CE320*MAX(1,IF(H320&gt;0,BA320/H320,1))),IF(R320&gt;0,BB320/R320,0))/MAX(0.1,N(Parameter!$M$21)))</f>
        <v>0.00961538461538462</v>
      </c>
      <c r="BD320" s="62" t="n">
        <f aca="false">BC320*CC320</f>
        <v>1.49038461538462</v>
      </c>
      <c r="BE320" s="63" t="n">
        <f aca="false">IF(LEFT(Cockpit!$O$5,1)="A",H320,IF(CI320=1,(CL320+CJ320)/2,IF(LEFT(Cockpit!$O$5,1)="B",(CL320+BG320)/2,MAX((CL320+BG320)/2,H320))))</f>
        <v>5</v>
      </c>
      <c r="BF320" s="62" t="n">
        <f aca="false">BE320*G320</f>
        <v>161.9</v>
      </c>
      <c r="BG320" s="62" t="n">
        <f aca="false">ROUNDUP(CL320+MAX(CM320,2*(J320/IF(CH320&gt;0,CH320,MAX(0.1,N(Cockpit!$O$6)))-CL320)),0)</f>
        <v>10</v>
      </c>
      <c r="BH320" s="63" t="n">
        <f aca="false">IF(BD320&gt;0,J320/BD320,-1)</f>
        <v>6.70967741935484</v>
      </c>
      <c r="BI320" s="63" t="n">
        <f aca="false">IF(AND(OR(CG320="L1",CG320="L23",CG320="LIFT"),BD320&gt;0),SUMIFS($BD$7:$BD$1843,$CG$7:$CG$1843,CG320,$BH$7:$BH$1843,"&gt;"&amp;BH320)+SUMIFS($BD$7:$BD$1843,$CG$7:$CG$1843,CG320,$BH$7:$BH$1843,BH320,$BX$7:$BX$1843,"&lt;="&amp;BX320),"")</f>
        <v>3373.07921245421</v>
      </c>
      <c r="BJ320" s="70" t="n">
        <f aca="false">IF(BI320="",0,MAX(0,MIN(1,(IF(CG320="L1",Parameter!$H$5,IF(CG320="L23",Parameter!$H$6+Parameter!$H$7,Parameter!$H$5+Parameter!$H$6+Parameter!$H$7))-(BI320-BD320))/BD320)))</f>
        <v>1</v>
      </c>
      <c r="BK320" s="60" t="str">
        <f aca="false">IF(AJ320&lt;=0,"",IF(CG320="Aussen","Aussenlager",IF(CG320="-","Nicht im Lift",IF(AP320&gt;=1,"Lift",IF(AP320&lt;=0,"Aussenlager","teilweise")))))</f>
        <v>Lift</v>
      </c>
      <c r="BL320" s="60" t="str">
        <f aca="false">IF(AT320&lt;=0,"",IF(CG320="Aussen","Aussenlager",IF(CG320="-","Nicht im Lift",IF(AZ320&gt;=1,"Lift",IF(AZ320&lt;=0,"Aussenlager","teilweise")))))</f>
        <v>Lift</v>
      </c>
      <c r="BM320" s="60" t="str">
        <f aca="false">IF(BD320&lt;=0,"",IF(CG320="Aussen","Aussenlager",IF(CG320="-","Nicht im Lift",IF(BJ320&gt;=1,"Lift",IF(BJ320&lt;=0,"Aussenlager","teilweise")))))</f>
        <v>Lift</v>
      </c>
      <c r="BN320" s="60" t="str">
        <f aca="false">IF(A320="","",IF(BW320=1,"Neu; ","")&amp;IF(AND(BW320=0,BR320&lt;0),"negativer Bestand (Export "&amp;BR320&amp;"); ","")&amp;IF(J320&lt;=0,"Kein Verbrauch; ","")&amp;IF(CR320&gt;0,"Lift "&amp;W320&amp;" lt. Liftbericht (Fach "&amp;X320&amp;" Stk); ",IF(CB320=1,"Gebinde geschätzt ("&amp;T320&amp;"); ",IF(CA320=1,"Lose – Tablare geschätzt; ","")))&amp;IF(H320&gt;AW320,"Überbestand "&amp;ROUND(H320-AW320,0)&amp;" Stk / CHF "&amp;ROUND((H320-AW320)*G320,0)&amp;"; ","")&amp;IF(AND(CI320=1,CJ320&lt;CK320),"MAX &lt; MB+LG; ","")&amp;IF(AND(CQ320&gt;0,CP320*10&gt;CQ320),"zu hoch für Tablar; ","")&amp;IF(AND(BW320=0,OR(CI320=1,AB320&lt;&gt;"",U320&lt;&gt;"",V320&lt;&gt;"",AC320&lt;&gt;"")),"manuell übersteuert; ","")&amp;IF(AND(CA320=0,R320=0),"Gebinde unbekannt / Stellmass fehlt; ","")&amp;IF(AND(CA320=0,N(V320)&lt;=0,N(Q320)&lt;=0),"Menge pro Gebinde fehlt (Ist = 1 Gebinde); ","")&amp;BV320)</f>
        <v>Überbestand 2 Stk / CHF 65; </v>
      </c>
      <c r="BO320" s="60"/>
      <c r="BP320" s="60"/>
      <c r="BQ320" s="67"/>
      <c r="BR320" s="62" t="n">
        <v>7</v>
      </c>
      <c r="BS320" s="62" t="n">
        <v>5</v>
      </c>
      <c r="BT320" s="61" t="n">
        <v>238.56</v>
      </c>
      <c r="BU320" s="62" t="n">
        <v>10</v>
      </c>
      <c r="BV320" s="60"/>
      <c r="BW320" s="65" t="n">
        <v>0</v>
      </c>
      <c r="BX320" s="65" t="n">
        <v>320</v>
      </c>
      <c r="BY320" s="60" t="str">
        <f aca="false">IF(U320&lt;&gt;"",UPPER(TRIM(U320)),IF(CB320=1,UPPER(VLOOKUP(T320,Parameter!$I$27:$K$29,2,0)),IF(P320="","LOSE",P320)))</f>
        <v>S32</v>
      </c>
      <c r="BZ320" s="62" t="n">
        <f aca="false">IF(BY320="LOSE",1,IF(N(V320)&gt;0,V320,IF(CB320=1,MAX(1,N(VLOOKUP(T320,Parameter!$I$27:$K$29,3,0)),H320,N(N320)),IF(N(Q320)&gt;0,Q320,MAX(1,H320)))))</f>
        <v>9</v>
      </c>
      <c r="CA320" s="65" t="n">
        <f aca="false">IF(BY320="LOSE",1,0)</f>
        <v>0</v>
      </c>
      <c r="CB320" s="65" t="n">
        <f aca="false">IF(AND(U320="",OR(P320="",P320="LOSE"),T320&lt;&gt;"",N(S320)&lt;=0,ISNUMBER(MATCH(T320,Parameter!$I$27:$I$29,0))),1,0)</f>
        <v>0</v>
      </c>
      <c r="CC320" s="65" t="n">
        <f aca="false">IF(CR320&gt;0,INDEX(Parameter!$H$5:$H$7,W320)/INDEX(Parameter!$E$5:$E$7,W320),IF(AND(CA320=0,N(IFERROR(VLOOKUP(BY320,'Gebinde-Kategorie'!$A$5:$N$45,14,0),0))&gt;0),VLOOKUP(BY320,'Gebinde-Kategorie'!$A$5:$N$45,14,0)*10+Parameter!$M$23,Parameter!$M$24))</f>
        <v>155</v>
      </c>
      <c r="CD320" s="60" t="str">
        <f aca="false">IF(AND(Parameter!$B$19="Ja",E320&lt;&gt;"",ISNUMBER(MATCH(E320,Parameter!$I$35:$I$52,0))),VLOOKUP(E320,Parameter!$I$35:$J$52,2,0),IFERROR(VLOOKUP(D320,Parameter!$A$35:$C$64,2,0),"Nein"))</f>
        <v>2+3</v>
      </c>
      <c r="CE320" s="64" t="n">
        <f aca="false">IF(CA320=0,0,IF(N(S320)&gt;0,S320,IFERROR(VLOOKUP(D320,Parameter!$A$35:$C$64,3,0)+0,0)))</f>
        <v>0</v>
      </c>
      <c r="CF320" s="60" t="n">
        <f aca="false">IF(AB320&lt;&gt;"",AB320,AA320)</f>
        <v>3</v>
      </c>
      <c r="CG320" s="60" t="str">
        <f aca="false">IF(OR(CF320=1,CF320=2,CF320=3),IF(Parameter!$E$27="Ja","LIFT",IF(CF320=1,"L1","L23")),IF(CF320="Aussen","Aussen","-"))</f>
        <v>LIFT</v>
      </c>
      <c r="CH320" s="71" t="n">
        <f aca="false">IF(N(AC320)&gt;0,AC320,0)</f>
        <v>0</v>
      </c>
      <c r="CI320" s="65" t="n">
        <f aca="false">IF(ISNUMBER(AF320),1,0)</f>
        <v>0</v>
      </c>
      <c r="CJ320" s="62" t="n">
        <f aca="false">N(AF320)</f>
        <v>0</v>
      </c>
      <c r="CK320" s="62" t="n">
        <f aca="false">N(M320)+N(N320)</f>
        <v>10</v>
      </c>
      <c r="CL320" s="62" t="n">
        <f aca="false">N(M320)</f>
        <v>0</v>
      </c>
      <c r="CM320" s="62" t="n">
        <f aca="false">N(N320)</f>
        <v>10</v>
      </c>
      <c r="CN320" s="62" t="n">
        <f aca="false">ROUNDUP(H320/BZ320,0)</f>
        <v>2</v>
      </c>
      <c r="CO320" s="62" t="n">
        <f aca="false">ROUNDUP(CJ320/BZ320,0)</f>
        <v>0</v>
      </c>
      <c r="CP320" s="65" t="n">
        <f aca="false">IF(CA320=1,0,IFERROR(VLOOKUP(BY320,'Gebinde-Kategorie'!$A$5:$N$45,5,0)+0,0))</f>
        <v>8</v>
      </c>
      <c r="CQ320" s="65" t="n">
        <f aca="false">IFERROR(IF(OR(CF320=1,CF320=2,CF320=3),N(INDEX(Parameter!$I$5:$I$7,CF320)),0),0)</f>
        <v>0</v>
      </c>
      <c r="CR320" s="64" t="n">
        <f aca="false">IF(AND(Parameter!$B$21="Ja",ISNUMBER(W320),N(X320)&gt;0),IFERROR(N(INDEX(Parameter!$L$5:$L$7,W320))*INDEX(Parameter!$E$5:$E$7,W320)*X320/SUMIFS($X$7:$X$1843,$W$7:$W$1843,W320),0),0)</f>
        <v>0</v>
      </c>
      <c r="CS320" s="62" t="n">
        <f aca="false">IF(AND(OR(CG320="L1",CG320="L23",CG320="LIFT"),H320&gt;0),CC320*IF(CR320&gt;0,CR320*MAX(1,H320/X320),IF(CA320=1,CE320,IF(R320&gt;0,CN320/R320,0))/MAX(0.1,N(Parameter!$M$21))),"")</f>
        <v>2.98076923076923</v>
      </c>
      <c r="CT320" s="64" t="n">
        <f aca="false">IF(CS320="","",J320/H320)</f>
        <v>0.833333333333333</v>
      </c>
      <c r="CU320" s="62" t="n">
        <f aca="false">IF(CS320="","",H320*G320)</f>
        <v>388.56</v>
      </c>
      <c r="CV320" s="63" t="n">
        <f aca="false">IF(CS320="","",(CL320+ROUNDUP(CL320+MAX(CM320,2*(J320/MAX(0.1,N(Einkauf!$C$6))-CL320)),0))/2)</f>
        <v>5</v>
      </c>
      <c r="CW320" s="62" t="n">
        <f aca="false">IF(CS320="","",MAX(0,H320-CV320)*G320)</f>
        <v>226.66</v>
      </c>
      <c r="CX320" s="62" t="n">
        <f aca="false">IF(CS320="","",CS320*MAX(0,1-CV320/H320))</f>
        <v>1.73878205128205</v>
      </c>
      <c r="CY320" s="64" t="n">
        <f aca="false">IF(CS320="","",PERCENTRANK($CS$7:$CS$1843,CS320)+PERCENTRANK($CU$7:$CU$1843,CU320)+1-PERCENTRANK($CT$7:$CT$1843,CT320))</f>
        <v>1.081</v>
      </c>
      <c r="CZ320" s="72" t="n">
        <f aca="false">IF(CS320="","",CHOOSE(MATCH(Einkauf!$C$5,Parameter!$G$23:$G$27,0),CY320,CS320,CU320,-CT320,CW320)+ROW()/1000000000)</f>
        <v>1.08100032</v>
      </c>
    </row>
    <row r="321" customFormat="false" ht="15" hidden="false" customHeight="false" outlineLevel="0" collapsed="false">
      <c r="A321" s="60" t="s">
        <v>849</v>
      </c>
      <c r="B321" s="60" t="s">
        <v>850</v>
      </c>
      <c r="C321" s="60" t="s">
        <v>206</v>
      </c>
      <c r="D321" s="60" t="s">
        <v>226</v>
      </c>
      <c r="E321" s="60" t="s">
        <v>227</v>
      </c>
      <c r="F321" s="60" t="s">
        <v>260</v>
      </c>
      <c r="G321" s="61" t="n">
        <v>3.64</v>
      </c>
      <c r="H321" s="62" t="n">
        <f aca="false">MAX(0,IF(AND(Parameter!$B$21="Ja",ISNUMBER(Y321)),Y321,IF(Parameter!$B$20="Jahresanfang 2025 + Export",BS321+BR321,BR321)))</f>
        <v>182</v>
      </c>
      <c r="I321" s="62" t="n">
        <f aca="false">H321*G321</f>
        <v>662.48</v>
      </c>
      <c r="J321" s="62" t="n">
        <f aca="false">BU321*Parameter!$B$18</f>
        <v>198</v>
      </c>
      <c r="K321" s="63" t="n">
        <v>76</v>
      </c>
      <c r="L321" s="64" t="n">
        <v>2.60526315789474</v>
      </c>
      <c r="M321" s="62" t="n">
        <v>49</v>
      </c>
      <c r="N321" s="62" t="n">
        <v>200</v>
      </c>
      <c r="O321" s="65" t="n">
        <v>60</v>
      </c>
      <c r="P321" s="60" t="s">
        <v>370</v>
      </c>
      <c r="Q321" s="62" t="n">
        <v>280</v>
      </c>
      <c r="R321" s="65" t="n">
        <f aca="false">IF(CA321=1,0,IFERROR(VLOOKUP(BY321,'Gebinde-Kategorie'!$A$5:$N$45,13,0)+0,0))</f>
        <v>52</v>
      </c>
      <c r="S321" s="66"/>
      <c r="T321" s="67"/>
      <c r="U321" s="67"/>
      <c r="V321" s="67"/>
      <c r="W321" s="60"/>
      <c r="X321" s="62"/>
      <c r="Y321" s="62"/>
      <c r="Z321" s="60" t="n">
        <v>3</v>
      </c>
      <c r="AA321" s="60" t="n">
        <f aca="false">IF(A321="","",IF(AND(Parameter!$B$21="Ja",ISNUMBER(W321)),W321,IF(AND(Parameter!$E$27="Ja",ISNUMBER(Z321),CD321&lt;&gt;"Nein"),Z321,IF(CD321="2+3",IF(ISNUMBER(SEARCH("grosser Artikel",BV321)),2,IFERROR(VLOOKUP(BY321,Parameter!$F$35:$G$64,2,0),2)),IF(OR(CD321="Nein",CD321=""),"-",CD321)))))</f>
        <v>3</v>
      </c>
      <c r="AB321" s="67"/>
      <c r="AC321" s="68"/>
      <c r="AD321" s="62" t="n">
        <f aca="false">AW321</f>
        <v>249</v>
      </c>
      <c r="AE321" s="62" t="n">
        <f aca="false">MAX(AW321,H321)</f>
        <v>249</v>
      </c>
      <c r="AF321" s="69"/>
      <c r="AG321" s="62" t="n">
        <f aca="false">IF(LEFT(Cockpit!$C$5,1)="A",H321,IF(Parameter!$E$30="MAX-Bestand",IF(CI321=1,CJ321,IF(LEFT(Cockpit!$C$5,1)="B",AM321,MAX(AM321,H321))),ROUNDUP(AK321,0)))</f>
        <v>182</v>
      </c>
      <c r="AH321" s="62" t="n">
        <f aca="false">IF(CA321=1,0,ROUNDUP(AG321/BZ321,0))</f>
        <v>1</v>
      </c>
      <c r="AI321" s="64" t="n">
        <f aca="false">IF(CR321&gt;0,CR321*MAX(1,AG321/X321),IF(CA321=1,IF(AG321&lt;=0,0,CE321*MAX(1,IF(H321&gt;0,AG321/H321,1))),IF(R321&gt;0,AH321/R321,0))/MAX(0.1,N(Parameter!$M$21)))</f>
        <v>0.0192307692307692</v>
      </c>
      <c r="AJ321" s="62" t="n">
        <f aca="false">AI321*CC321</f>
        <v>2.98076923076923</v>
      </c>
      <c r="AK321" s="63" t="n">
        <f aca="false">IF(LEFT(Cockpit!$C$5,1)="A",H321,IF(CI321=1,(CL321+CJ321)/2,IF(LEFT(Cockpit!$C$5,1)="B",(CL321+AM321)/2,MAX((CL321+AM321)/2,H321))))</f>
        <v>182</v>
      </c>
      <c r="AL321" s="62" t="n">
        <f aca="false">AK321*G321</f>
        <v>662.48</v>
      </c>
      <c r="AM321" s="62" t="n">
        <f aca="false">ROUNDUP(CL321+MAX(CM321,2*(J321/IF(CH321&gt;0,CH321,MAX(0.1,N(Cockpit!$C$6)))-CL321)),0)</f>
        <v>249</v>
      </c>
      <c r="AN321" s="63" t="n">
        <f aca="false">IF(AJ321&gt;0,J321/AJ321,-1)</f>
        <v>66.4258064516129</v>
      </c>
      <c r="AO321" s="63" t="n">
        <f aca="false">IF(AND(OR(CG321="L1",CG321="L23",CG321="LIFT"),AJ321&gt;0),SUMIFS($AJ$7:$AJ$1843,$CG$7:$CG$1843,CG321,$AN$7:$AN$1843,"&gt;"&amp;AN321)+SUMIFS($AJ$7:$AJ$1843,$CG$7:$CG$1843,CG321,$AN$7:$AN$1843,AN321,$BX$7:$BX$1843,"&lt;="&amp;BX321),"")</f>
        <v>918.307692307692</v>
      </c>
      <c r="AP321" s="70" t="n">
        <f aca="false">IF(AO321="",0,MAX(0,MIN(1,(IF(CG321="L1",Parameter!$H$5,IF(CG321="L23",Parameter!$H$6+Parameter!$H$7,Parameter!$H$5+Parameter!$H$6+Parameter!$H$7))-(AO321-AJ321))/AJ321)))</f>
        <v>1</v>
      </c>
      <c r="AQ321" s="62" t="n">
        <f aca="false">IF(LEFT(Cockpit!$I$5,1)="A",H321,IF(Parameter!$E$30="MAX-Bestand",IF(CI321=1,CJ321,IF(LEFT(Cockpit!$I$5,1)="B",AW321,MAX(AW321,H321))),ROUNDUP(AU321,0)))</f>
        <v>182</v>
      </c>
      <c r="AR321" s="62" t="n">
        <f aca="false">IF(CA321=1,0,ROUNDUP(AQ321/BZ321,0))</f>
        <v>1</v>
      </c>
      <c r="AS321" s="64" t="n">
        <f aca="false">IF(CR321&gt;0,CR321*MAX(1,AQ321/X321),IF(CA321=1,IF(AQ321&lt;=0,0,CE321*MAX(1,IF(H321&gt;0,AQ321/H321,1))),IF(R321&gt;0,AR321/R321,0))/MAX(0.1,N(Parameter!$M$21)))</f>
        <v>0.0192307692307692</v>
      </c>
      <c r="AT321" s="62" t="n">
        <f aca="false">AS321*CC321</f>
        <v>2.98076923076923</v>
      </c>
      <c r="AU321" s="63" t="n">
        <f aca="false">IF(LEFT(Cockpit!$I$5,1)="A",H321,IF(CI321=1,(CL321+CJ321)/2,IF(LEFT(Cockpit!$I$5,1)="B",(CL321+AW321)/2,MAX((CL321+AW321)/2,H321))))</f>
        <v>182</v>
      </c>
      <c r="AV321" s="62" t="n">
        <f aca="false">AU321*G321</f>
        <v>662.48</v>
      </c>
      <c r="AW321" s="62" t="n">
        <f aca="false">ROUNDUP(CL321+MAX(CM321,2*(J321/IF(CH321&gt;0,CH321,MAX(0.1,N(Cockpit!$I$6)))-CL321)),0)</f>
        <v>249</v>
      </c>
      <c r="AX321" s="63" t="n">
        <f aca="false">IF(AT321&gt;0,J321/AT321,-1)</f>
        <v>66.4258064516129</v>
      </c>
      <c r="AY321" s="63" t="n">
        <f aca="false">IF(AND(OR(CG321="L1",CG321="L23",CG321="LIFT"),AT321&gt;0),SUMIFS($AT$7:$AT$1843,$CG$7:$CG$1843,CG321,$AX$7:$AX$1843,"&gt;"&amp;AX321)+SUMIFS($AT$7:$AT$1843,$CG$7:$CG$1843,CG321,$AX$7:$AX$1843,AX321,$BX$7:$BX$1843,"&lt;="&amp;BX321),"")</f>
        <v>1130.11263736264</v>
      </c>
      <c r="AZ321" s="70" t="n">
        <f aca="false">IF(AY321="",0,MAX(0,MIN(1,(IF(CG321="L1",Parameter!$H$5,IF(CG321="L23",Parameter!$H$6+Parameter!$H$7,Parameter!$H$5+Parameter!$H$6+Parameter!$H$7))-(AY321-AT321))/AT321)))</f>
        <v>1</v>
      </c>
      <c r="BA321" s="62" t="n">
        <f aca="false">IF(LEFT(Cockpit!$O$5,1)="A",H321,IF(Parameter!$E$30="MAX-Bestand",IF(CI321=1,CJ321,IF(LEFT(Cockpit!$O$5,1)="B",BG321,MAX(BG321,H321))),ROUNDUP(BE321,0)))</f>
        <v>149</v>
      </c>
      <c r="BB321" s="62" t="n">
        <f aca="false">IF(CA321=1,0,ROUNDUP(BA321/BZ321,0))</f>
        <v>1</v>
      </c>
      <c r="BC321" s="64" t="n">
        <f aca="false">IF(CR321&gt;0,CR321*MAX(1,BA321/X321),IF(CA321=1,IF(BA321&lt;=0,0,CE321*MAX(1,IF(H321&gt;0,BA321/H321,1))),IF(R321&gt;0,BB321/R321,0))/MAX(0.1,N(Parameter!$M$21)))</f>
        <v>0.0192307692307692</v>
      </c>
      <c r="BD321" s="62" t="n">
        <f aca="false">BC321*CC321</f>
        <v>2.98076923076923</v>
      </c>
      <c r="BE321" s="63" t="n">
        <f aca="false">IF(LEFT(Cockpit!$O$5,1)="A",H321,IF(CI321=1,(CL321+CJ321)/2,IF(LEFT(Cockpit!$O$5,1)="B",(CL321+BG321)/2,MAX((CL321+BG321)/2,H321))))</f>
        <v>149</v>
      </c>
      <c r="BF321" s="62" t="n">
        <f aca="false">BE321*G321</f>
        <v>542.36</v>
      </c>
      <c r="BG321" s="62" t="n">
        <f aca="false">ROUNDUP(CL321+MAX(CM321,2*(J321/IF(CH321&gt;0,CH321,MAX(0.1,N(Cockpit!$O$6)))-CL321)),0)</f>
        <v>249</v>
      </c>
      <c r="BH321" s="63" t="n">
        <f aca="false">IF(BD321&gt;0,J321/BD321,-1)</f>
        <v>66.4258064516129</v>
      </c>
      <c r="BI321" s="63" t="n">
        <f aca="false">IF(AND(OR(CG321="L1",CG321="L23",CG321="LIFT"),BD321&gt;0),SUMIFS($BD$7:$BD$1843,$CG$7:$CG$1843,CG321,$BH$7:$BH$1843,"&gt;"&amp;BH321)+SUMIFS($BD$7:$BD$1843,$CG$7:$CG$1843,CG321,$BH$7:$BH$1843,BH321,$BX$7:$BX$1843,"&lt;="&amp;BX321),"")</f>
        <v>1033.94322344322</v>
      </c>
      <c r="BJ321" s="70" t="n">
        <f aca="false">IF(BI321="",0,MAX(0,MIN(1,(IF(CG321="L1",Parameter!$H$5,IF(CG321="L23",Parameter!$H$6+Parameter!$H$7,Parameter!$H$5+Parameter!$H$6+Parameter!$H$7))-(BI321-BD321))/BD321)))</f>
        <v>1</v>
      </c>
      <c r="BK321" s="60" t="str">
        <f aca="false">IF(AJ321&lt;=0,"",IF(CG321="Aussen","Aussenlager",IF(CG321="-","Nicht im Lift",IF(AP321&gt;=1,"Lift",IF(AP321&lt;=0,"Aussenlager","teilweise")))))</f>
        <v>Lift</v>
      </c>
      <c r="BL321" s="60" t="str">
        <f aca="false">IF(AT321&lt;=0,"",IF(CG321="Aussen","Aussenlager",IF(CG321="-","Nicht im Lift",IF(AZ321&gt;=1,"Lift",IF(AZ321&lt;=0,"Aussenlager","teilweise")))))</f>
        <v>Lift</v>
      </c>
      <c r="BM321" s="60" t="str">
        <f aca="false">IF(BD321&lt;=0,"",IF(CG321="Aussen","Aussenlager",IF(CG321="-","Nicht im Lift",IF(BJ321&gt;=1,"Lift",IF(BJ321&lt;=0,"Aussenlager","teilweise")))))</f>
        <v>Lift</v>
      </c>
      <c r="BN321" s="60" t="str">
        <f aca="false">IF(A321="","",IF(BW321=1,"Neu; ","")&amp;IF(AND(BW321=0,BR321&lt;0),"negativer Bestand (Export "&amp;BR321&amp;"); ","")&amp;IF(J321&lt;=0,"Kein Verbrauch; ","")&amp;IF(CR321&gt;0,"Lift "&amp;W321&amp;" lt. Liftbericht (Fach "&amp;X321&amp;" Stk); ",IF(CB321=1,"Gebinde geschätzt ("&amp;T321&amp;"); ",IF(CA321=1,"Lose – Tablare geschätzt; ","")))&amp;IF(H321&gt;AW321,"Überbestand "&amp;ROUND(H321-AW321,0)&amp;" Stk / CHF "&amp;ROUND((H321-AW321)*G321,0)&amp;"; ","")&amp;IF(AND(CI321=1,CJ321&lt;CK321),"MAX &lt; MB+LG; ","")&amp;IF(AND(CQ321&gt;0,CP321*10&gt;CQ321),"zu hoch für Tablar; ","")&amp;IF(AND(BW321=0,OR(CI321=1,AB321&lt;&gt;"",U321&lt;&gt;"",V321&lt;&gt;"",AC321&lt;&gt;"")),"manuell übersteuert; ","")&amp;IF(AND(CA321=0,R321=0),"Gebinde unbekannt / Stellmass fehlt; ","")&amp;IF(AND(CA321=0,N(V321)&lt;=0,N(Q321)&lt;=0),"Menge pro Gebinde fehlt (Ist = 1 Gebinde); ","")&amp;BV321)</f>
        <v/>
      </c>
      <c r="BO321" s="60"/>
      <c r="BP321" s="60"/>
      <c r="BQ321" s="67"/>
      <c r="BR321" s="62" t="n">
        <v>137</v>
      </c>
      <c r="BS321" s="62" t="n">
        <v>45</v>
      </c>
      <c r="BT321" s="61" t="n">
        <v>237.88</v>
      </c>
      <c r="BU321" s="62" t="n">
        <v>198</v>
      </c>
      <c r="BV321" s="60"/>
      <c r="BW321" s="65" t="n">
        <v>0</v>
      </c>
      <c r="BX321" s="65" t="n">
        <v>321</v>
      </c>
      <c r="BY321" s="60" t="str">
        <f aca="false">IF(U321&lt;&gt;"",UPPER(TRIM(U321)),IF(CB321=1,UPPER(VLOOKUP(T321,Parameter!$I$27:$K$29,2,0)),IF(P321="","LOSE",P321)))</f>
        <v>S41</v>
      </c>
      <c r="BZ321" s="62" t="n">
        <f aca="false">IF(BY321="LOSE",1,IF(N(V321)&gt;0,V321,IF(CB321=1,MAX(1,N(VLOOKUP(T321,Parameter!$I$27:$K$29,3,0)),H321,N(N321)),IF(N(Q321)&gt;0,Q321,MAX(1,H321)))))</f>
        <v>280</v>
      </c>
      <c r="CA321" s="65" t="n">
        <f aca="false">IF(BY321="LOSE",1,0)</f>
        <v>0</v>
      </c>
      <c r="CB321" s="65" t="n">
        <f aca="false">IF(AND(U321="",OR(P321="",P321="LOSE"),T321&lt;&gt;"",N(S321)&lt;=0,ISNUMBER(MATCH(T321,Parameter!$I$27:$I$29,0))),1,0)</f>
        <v>0</v>
      </c>
      <c r="CC321" s="65" t="n">
        <f aca="false">IF(CR321&gt;0,INDEX(Parameter!$H$5:$H$7,W321)/INDEX(Parameter!$E$5:$E$7,W321),IF(AND(CA321=0,N(IFERROR(VLOOKUP(BY321,'Gebinde-Kategorie'!$A$5:$N$45,14,0),0))&gt;0),VLOOKUP(BY321,'Gebinde-Kategorie'!$A$5:$N$45,14,0)*10+Parameter!$M$23,Parameter!$M$24))</f>
        <v>155</v>
      </c>
      <c r="CD321" s="60" t="str">
        <f aca="false">IF(AND(Parameter!$B$19="Ja",E321&lt;&gt;"",ISNUMBER(MATCH(E321,Parameter!$I$35:$I$52,0))),VLOOKUP(E321,Parameter!$I$35:$J$52,2,0),IFERROR(VLOOKUP(D321,Parameter!$A$35:$C$64,2,0),"Nein"))</f>
        <v>2+3</v>
      </c>
      <c r="CE321" s="64" t="n">
        <f aca="false">IF(CA321=0,0,IF(N(S321)&gt;0,S321,IFERROR(VLOOKUP(D321,Parameter!$A$35:$C$64,3,0)+0,0)))</f>
        <v>0</v>
      </c>
      <c r="CF321" s="60" t="n">
        <f aca="false">IF(AB321&lt;&gt;"",AB321,AA321)</f>
        <v>3</v>
      </c>
      <c r="CG321" s="60" t="str">
        <f aca="false">IF(OR(CF321=1,CF321=2,CF321=3),IF(Parameter!$E$27="Ja","LIFT",IF(CF321=1,"L1","L23")),IF(CF321="Aussen","Aussen","-"))</f>
        <v>LIFT</v>
      </c>
      <c r="CH321" s="71" t="n">
        <f aca="false">IF(N(AC321)&gt;0,AC321,0)</f>
        <v>0</v>
      </c>
      <c r="CI321" s="65" t="n">
        <f aca="false">IF(ISNUMBER(AF321),1,0)</f>
        <v>0</v>
      </c>
      <c r="CJ321" s="62" t="n">
        <f aca="false">N(AF321)</f>
        <v>0</v>
      </c>
      <c r="CK321" s="62" t="n">
        <f aca="false">N(M321)+N(N321)</f>
        <v>249</v>
      </c>
      <c r="CL321" s="62" t="n">
        <f aca="false">N(M321)</f>
        <v>49</v>
      </c>
      <c r="CM321" s="62" t="n">
        <f aca="false">N(N321)</f>
        <v>200</v>
      </c>
      <c r="CN321" s="62" t="n">
        <f aca="false">ROUNDUP(H321/BZ321,0)</f>
        <v>1</v>
      </c>
      <c r="CO321" s="62" t="n">
        <f aca="false">ROUNDUP(CJ321/BZ321,0)</f>
        <v>0</v>
      </c>
      <c r="CP321" s="65" t="n">
        <f aca="false">IF(CA321=1,0,IFERROR(VLOOKUP(BY321,'Gebinde-Kategorie'!$A$5:$N$45,5,0)+0,0))</f>
        <v>11</v>
      </c>
      <c r="CQ321" s="65" t="n">
        <f aca="false">IFERROR(IF(OR(CF321=1,CF321=2,CF321=3),N(INDEX(Parameter!$I$5:$I$7,CF321)),0),0)</f>
        <v>0</v>
      </c>
      <c r="CR321" s="64" t="n">
        <f aca="false">IF(AND(Parameter!$B$21="Ja",ISNUMBER(W321),N(X321)&gt;0),IFERROR(N(INDEX(Parameter!$L$5:$L$7,W321))*INDEX(Parameter!$E$5:$E$7,W321)*X321/SUMIFS($X$7:$X$1843,$W$7:$W$1843,W321),0),0)</f>
        <v>0</v>
      </c>
      <c r="CS321" s="62" t="n">
        <f aca="false">IF(AND(OR(CG321="L1",CG321="L23",CG321="LIFT"),H321&gt;0),CC321*IF(CR321&gt;0,CR321*MAX(1,H321/X321),IF(CA321=1,CE321,IF(R321&gt;0,CN321/R321,0))/MAX(0.1,N(Parameter!$M$21))),"")</f>
        <v>2.98076923076923</v>
      </c>
      <c r="CT321" s="64" t="n">
        <f aca="false">IF(CS321="","",J321/H321)</f>
        <v>1.08791208791209</v>
      </c>
      <c r="CU321" s="62" t="n">
        <f aca="false">IF(CS321="","",H321*G321)</f>
        <v>662.48</v>
      </c>
      <c r="CV321" s="63" t="n">
        <f aca="false">IF(CS321="","",(CL321+ROUNDUP(CL321+MAX(CM321,2*(J321/MAX(0.1,N(Einkauf!$C$6))-CL321)),0))/2)</f>
        <v>149</v>
      </c>
      <c r="CW321" s="62" t="n">
        <f aca="false">IF(CS321="","",MAX(0,H321-CV321)*G321)</f>
        <v>120.12</v>
      </c>
      <c r="CX321" s="62" t="n">
        <f aca="false">IF(CS321="","",CS321*MAX(0,1-CV321/H321))</f>
        <v>0.540469146238377</v>
      </c>
      <c r="CY321" s="64" t="n">
        <f aca="false">IF(CS321="","",PERCENTRANK($CS$7:$CS$1843,CS321)+PERCENTRANK($CU$7:$CU$1843,CU321)+1-PERCENTRANK($CT$7:$CT$1843,CT321))</f>
        <v>1.095</v>
      </c>
      <c r="CZ321" s="72" t="n">
        <f aca="false">IF(CS321="","",CHOOSE(MATCH(Einkauf!$C$5,Parameter!$G$23:$G$27,0),CY321,CS321,CU321,-CT321,CW321)+ROW()/1000000000)</f>
        <v>1.095000321</v>
      </c>
    </row>
    <row r="322" customFormat="false" ht="15" hidden="false" customHeight="false" outlineLevel="0" collapsed="false">
      <c r="A322" s="60" t="s">
        <v>851</v>
      </c>
      <c r="B322" s="60" t="s">
        <v>805</v>
      </c>
      <c r="C322" s="60" t="s">
        <v>206</v>
      </c>
      <c r="D322" s="60" t="s">
        <v>226</v>
      </c>
      <c r="E322" s="60"/>
      <c r="F322" s="60" t="s">
        <v>260</v>
      </c>
      <c r="G322" s="61" t="n">
        <v>9.47</v>
      </c>
      <c r="H322" s="62" t="n">
        <f aca="false">MAX(0,IF(AND(Parameter!$B$21="Ja",ISNUMBER(Y322)),Y322,IF(Parameter!$B$20="Jahresanfang 2025 + Export",BS322+BR322,BR322)))</f>
        <v>25</v>
      </c>
      <c r="I322" s="62" t="n">
        <f aca="false">H322*G322</f>
        <v>236.75</v>
      </c>
      <c r="J322" s="62" t="n">
        <f aca="false">BU322*Parameter!$B$18</f>
        <v>0</v>
      </c>
      <c r="K322" s="63" t="n">
        <v>0</v>
      </c>
      <c r="L322" s="64" t="n">
        <v>0</v>
      </c>
      <c r="M322" s="62" t="n">
        <v>0</v>
      </c>
      <c r="N322" s="62" t="n">
        <v>1</v>
      </c>
      <c r="O322" s="65" t="n">
        <v>9999</v>
      </c>
      <c r="P322" s="60" t="s">
        <v>210</v>
      </c>
      <c r="Q322" s="62"/>
      <c r="R322" s="65" t="n">
        <f aca="false">IF(CA322=1,0,IFERROR(VLOOKUP(BY322,'Gebinde-Kategorie'!$A$5:$N$45,13,0)+0,0))</f>
        <v>26</v>
      </c>
      <c r="S322" s="66"/>
      <c r="T322" s="67" t="s">
        <v>317</v>
      </c>
      <c r="U322" s="67"/>
      <c r="V322" s="67"/>
      <c r="W322" s="60"/>
      <c r="X322" s="62"/>
      <c r="Y322" s="62"/>
      <c r="Z322" s="60" t="n">
        <v>3</v>
      </c>
      <c r="AA322" s="60" t="n">
        <f aca="false">IF(A322="","",IF(AND(Parameter!$B$21="Ja",ISNUMBER(W322)),W322,IF(AND(Parameter!$E$27="Ja",ISNUMBER(Z322),CD322&lt;&gt;"Nein"),Z322,IF(CD322="2+3",IF(ISNUMBER(SEARCH("grosser Artikel",BV322)),2,IFERROR(VLOOKUP(BY322,Parameter!$F$35:$G$64,2,0),2)),IF(OR(CD322="Nein",CD322=""),"-",CD322)))))</f>
        <v>3</v>
      </c>
      <c r="AB322" s="67"/>
      <c r="AC322" s="68"/>
      <c r="AD322" s="62" t="n">
        <f aca="false">AW322</f>
        <v>1</v>
      </c>
      <c r="AE322" s="62" t="n">
        <f aca="false">MAX(AW322,H322)</f>
        <v>25</v>
      </c>
      <c r="AF322" s="69"/>
      <c r="AG322" s="62" t="n">
        <f aca="false">IF(LEFT(Cockpit!$C$5,1)="A",H322,IF(Parameter!$E$30="MAX-Bestand",IF(CI322=1,CJ322,IF(LEFT(Cockpit!$C$5,1)="B",AM322,MAX(AM322,H322))),ROUNDUP(AK322,0)))</f>
        <v>25</v>
      </c>
      <c r="AH322" s="62" t="n">
        <f aca="false">IF(CA322=1,0,ROUNDUP(AG322/BZ322,0))</f>
        <v>1</v>
      </c>
      <c r="AI322" s="64" t="n">
        <f aca="false">IF(CR322&gt;0,CR322*MAX(1,AG322/X322),IF(CA322=1,IF(AG322&lt;=0,0,CE322*MAX(1,IF(H322&gt;0,AG322/H322,1))),IF(R322&gt;0,AH322/R322,0))/MAX(0.1,N(Parameter!$M$21)))</f>
        <v>0.0384615384615385</v>
      </c>
      <c r="AJ322" s="62" t="n">
        <f aca="false">AI322*CC322</f>
        <v>5.96153846153846</v>
      </c>
      <c r="AK322" s="63" t="n">
        <f aca="false">IF(LEFT(Cockpit!$C$5,1)="A",H322,IF(CI322=1,(CL322+CJ322)/2,IF(LEFT(Cockpit!$C$5,1)="B",(CL322+AM322)/2,MAX((CL322+AM322)/2,H322))))</f>
        <v>25</v>
      </c>
      <c r="AL322" s="62" t="n">
        <f aca="false">AK322*G322</f>
        <v>236.75</v>
      </c>
      <c r="AM322" s="62" t="n">
        <f aca="false">ROUNDUP(CL322+MAX(CM322,2*(J322/IF(CH322&gt;0,CH322,MAX(0.1,N(Cockpit!$C$6)))-CL322)),0)</f>
        <v>1</v>
      </c>
      <c r="AN322" s="63" t="n">
        <f aca="false">IF(AJ322&gt;0,J322/AJ322,-1)</f>
        <v>0</v>
      </c>
      <c r="AO322" s="63" t="n">
        <f aca="false">IF(AND(OR(CG322="L1",CG322="L23",CG322="LIFT"),AJ322&gt;0),SUMIFS($AJ$7:$AJ$1843,$CG$7:$CG$1843,CG322,$AN$7:$AN$1843,"&gt;"&amp;AN322)+SUMIFS($AJ$7:$AJ$1843,$CG$7:$CG$1843,CG322,$AN$7:$AN$1843,AN322,$BX$7:$BX$1843,"&lt;="&amp;BX322),"")</f>
        <v>27911.1338677801</v>
      </c>
      <c r="AP322" s="70" t="n">
        <f aca="false">IF(AO322="",0,MAX(0,MIN(1,(IF(CG322="L1",Parameter!$H$5,IF(CG322="L23",Parameter!$H$6+Parameter!$H$7,Parameter!$H$5+Parameter!$H$6+Parameter!$H$7))-(AO322-AJ322))/AJ322)))</f>
        <v>1</v>
      </c>
      <c r="AQ322" s="62" t="n">
        <f aca="false">IF(LEFT(Cockpit!$I$5,1)="A",H322,IF(Parameter!$E$30="MAX-Bestand",IF(CI322=1,CJ322,IF(LEFT(Cockpit!$I$5,1)="B",AW322,MAX(AW322,H322))),ROUNDUP(AU322,0)))</f>
        <v>25</v>
      </c>
      <c r="AR322" s="62" t="n">
        <f aca="false">IF(CA322=1,0,ROUNDUP(AQ322/BZ322,0))</f>
        <v>1</v>
      </c>
      <c r="AS322" s="64" t="n">
        <f aca="false">IF(CR322&gt;0,CR322*MAX(1,AQ322/X322),IF(CA322=1,IF(AQ322&lt;=0,0,CE322*MAX(1,IF(H322&gt;0,AQ322/H322,1))),IF(R322&gt;0,AR322/R322,0))/MAX(0.1,N(Parameter!$M$21)))</f>
        <v>0.0384615384615385</v>
      </c>
      <c r="AT322" s="62" t="n">
        <f aca="false">AS322*CC322</f>
        <v>5.96153846153846</v>
      </c>
      <c r="AU322" s="63" t="n">
        <f aca="false">IF(LEFT(Cockpit!$I$5,1)="A",H322,IF(CI322=1,(CL322+CJ322)/2,IF(LEFT(Cockpit!$I$5,1)="B",(CL322+AW322)/2,MAX((CL322+AW322)/2,H322))))</f>
        <v>25</v>
      </c>
      <c r="AV322" s="62" t="n">
        <f aca="false">AU322*G322</f>
        <v>236.75</v>
      </c>
      <c r="AW322" s="62" t="n">
        <f aca="false">ROUNDUP(CL322+MAX(CM322,2*(J322/IF(CH322&gt;0,CH322,MAX(0.1,N(Cockpit!$I$6)))-CL322)),0)</f>
        <v>1</v>
      </c>
      <c r="AX322" s="63" t="n">
        <f aca="false">IF(AT322&gt;0,J322/AT322,-1)</f>
        <v>0</v>
      </c>
      <c r="AY322" s="63" t="n">
        <f aca="false">IF(AND(OR(CG322="L1",CG322="L23",CG322="LIFT"),AT322&gt;0),SUMIFS($AT$7:$AT$1843,$CG$7:$CG$1843,CG322,$AX$7:$AX$1843,"&gt;"&amp;AX322)+SUMIFS($AT$7:$AT$1843,$CG$7:$CG$1843,CG322,$AX$7:$AX$1843,AX322,$BX$7:$BX$1843,"&lt;="&amp;BX322),"")</f>
        <v>33264.2825091575</v>
      </c>
      <c r="AZ322" s="70" t="n">
        <f aca="false">IF(AY322="",0,MAX(0,MIN(1,(IF(CG322="L1",Parameter!$H$5,IF(CG322="L23",Parameter!$H$6+Parameter!$H$7,Parameter!$H$5+Parameter!$H$6+Parameter!$H$7))-(AY322-AT322))/AT322)))</f>
        <v>1</v>
      </c>
      <c r="BA322" s="62" t="n">
        <f aca="false">IF(LEFT(Cockpit!$O$5,1)="A",H322,IF(Parameter!$E$30="MAX-Bestand",IF(CI322=1,CJ322,IF(LEFT(Cockpit!$O$5,1)="B",BG322,MAX(BG322,H322))),ROUNDUP(BE322,0)))</f>
        <v>1</v>
      </c>
      <c r="BB322" s="62" t="n">
        <f aca="false">IF(CA322=1,0,ROUNDUP(BA322/BZ322,0))</f>
        <v>1</v>
      </c>
      <c r="BC322" s="64" t="n">
        <f aca="false">IF(CR322&gt;0,CR322*MAX(1,BA322/X322),IF(CA322=1,IF(BA322&lt;=0,0,CE322*MAX(1,IF(H322&gt;0,BA322/H322,1))),IF(R322&gt;0,BB322/R322,0))/MAX(0.1,N(Parameter!$M$21)))</f>
        <v>0.0384615384615385</v>
      </c>
      <c r="BD322" s="62" t="n">
        <f aca="false">BC322*CC322</f>
        <v>5.96153846153846</v>
      </c>
      <c r="BE322" s="63" t="n">
        <f aca="false">IF(LEFT(Cockpit!$O$5,1)="A",H322,IF(CI322=1,(CL322+CJ322)/2,IF(LEFT(Cockpit!$O$5,1)="B",(CL322+BG322)/2,MAX((CL322+BG322)/2,H322))))</f>
        <v>0.5</v>
      </c>
      <c r="BF322" s="62" t="n">
        <f aca="false">BE322*G322</f>
        <v>4.735</v>
      </c>
      <c r="BG322" s="62" t="n">
        <f aca="false">ROUNDUP(CL322+MAX(CM322,2*(J322/IF(CH322&gt;0,CH322,MAX(0.1,N(Cockpit!$O$6)))-CL322)),0)</f>
        <v>1</v>
      </c>
      <c r="BH322" s="63" t="n">
        <f aca="false">IF(BD322&gt;0,J322/BD322,-1)</f>
        <v>0</v>
      </c>
      <c r="BI322" s="63" t="n">
        <f aca="false">IF(AND(OR(CG322="L1",CG322="L23",CG322="LIFT"),BD322&gt;0),SUMIFS($BD$7:$BD$1843,$CG$7:$CG$1843,CG322,$BH$7:$BH$1843,"&gt;"&amp;BH322)+SUMIFS($BD$7:$BD$1843,$CG$7:$CG$1843,CG322,$BH$7:$BH$1843,BH322,$BX$7:$BX$1843,"&lt;="&amp;BX322),"")</f>
        <v>27389.7425575837</v>
      </c>
      <c r="BJ322" s="70" t="n">
        <f aca="false">IF(BI322="",0,MAX(0,MIN(1,(IF(CG322="L1",Parameter!$H$5,IF(CG322="L23",Parameter!$H$6+Parameter!$H$7,Parameter!$H$5+Parameter!$H$6+Parameter!$H$7))-(BI322-BD322))/BD322)))</f>
        <v>1</v>
      </c>
      <c r="BK322" s="60" t="str">
        <f aca="false">IF(AJ322&lt;=0,"",IF(CG322="Aussen","Aussenlager",IF(CG322="-","Nicht im Lift",IF(AP322&gt;=1,"Lift",IF(AP322&lt;=0,"Aussenlager","teilweise")))))</f>
        <v>Lift</v>
      </c>
      <c r="BL322" s="60" t="str">
        <f aca="false">IF(AT322&lt;=0,"",IF(CG322="Aussen","Aussenlager",IF(CG322="-","Nicht im Lift",IF(AZ322&gt;=1,"Lift",IF(AZ322&lt;=0,"Aussenlager","teilweise")))))</f>
        <v>Lift</v>
      </c>
      <c r="BM322" s="60" t="str">
        <f aca="false">IF(BD322&lt;=0,"",IF(CG322="Aussen","Aussenlager",IF(CG322="-","Nicht im Lift",IF(BJ322&gt;=1,"Lift",IF(BJ322&lt;=0,"Aussenlager","teilweise")))))</f>
        <v>Lift</v>
      </c>
      <c r="BN322" s="60" t="str">
        <f aca="false">IF(A322="","",IF(BW322=1,"Neu; ","")&amp;IF(AND(BW322=0,BR322&lt;0),"negativer Bestand (Export "&amp;BR322&amp;"); ","")&amp;IF(J322&lt;=0,"Kein Verbrauch; ","")&amp;IF(CR322&gt;0,"Lift "&amp;W322&amp;" lt. Liftbericht (Fach "&amp;X322&amp;" Stk); ",IF(CB322=1,"Gebinde geschätzt ("&amp;T322&amp;"); ",IF(CA322=1,"Lose – Tablare geschätzt; ","")))&amp;IF(H322&gt;AW322,"Überbestand "&amp;ROUND(H322-AW322,0)&amp;" Stk / CHF "&amp;ROUND((H322-AW322)*G322,0)&amp;"; ","")&amp;IF(AND(CI322=1,CJ322&lt;CK322),"MAX &lt; MB+LG; ","")&amp;IF(AND(CQ322&gt;0,CP322*10&gt;CQ322),"zu hoch für Tablar; ","")&amp;IF(AND(BW322=0,OR(CI322=1,AB322&lt;&gt;"",U322&lt;&gt;"",V322&lt;&gt;"",AC322&lt;&gt;"")),"manuell übersteuert; ","")&amp;IF(AND(CA322=0,R322=0),"Gebinde unbekannt / Stellmass fehlt; ","")&amp;IF(AND(CA322=0,N(V322)&lt;=0,N(Q322)&lt;=0),"Menge pro Gebinde fehlt (Ist = 1 Gebinde); ","")&amp;BV322)</f>
        <v>Kein Verbrauch; Gebinde geschätzt (Klein); Überbestand 24 Stk / CHF 227; Menge pro Gebinde fehlt (Ist = 1 Gebinde); </v>
      </c>
      <c r="BO322" s="60"/>
      <c r="BP322" s="60"/>
      <c r="BQ322" s="67"/>
      <c r="BR322" s="62" t="n">
        <v>25</v>
      </c>
      <c r="BS322" s="62" t="n">
        <v>0</v>
      </c>
      <c r="BT322" s="61" t="n">
        <v>236.75</v>
      </c>
      <c r="BU322" s="62" t="n">
        <v>0</v>
      </c>
      <c r="BV322" s="60"/>
      <c r="BW322" s="65" t="n">
        <v>0</v>
      </c>
      <c r="BX322" s="65" t="n">
        <v>322</v>
      </c>
      <c r="BY322" s="60" t="str">
        <f aca="false">IF(U322&lt;&gt;"",UPPER(TRIM(U322)),IF(CB322=1,UPPER(VLOOKUP(T322,Parameter!$I$27:$K$29,2,0)),IF(P322="","LOSE",P322)))</f>
        <v>S51</v>
      </c>
      <c r="BZ322" s="62" t="n">
        <f aca="false">IF(BY322="LOSE",1,IF(N(V322)&gt;0,V322,IF(CB322=1,MAX(1,N(VLOOKUP(T322,Parameter!$I$27:$K$29,3,0)),H322,N(N322)),IF(N(Q322)&gt;0,Q322,MAX(1,H322)))))</f>
        <v>25</v>
      </c>
      <c r="CA322" s="65" t="n">
        <f aca="false">IF(BY322="LOSE",1,0)</f>
        <v>0</v>
      </c>
      <c r="CB322" s="65" t="n">
        <f aca="false">IF(AND(U322="",OR(P322="",P322="LOSE"),T322&lt;&gt;"",N(S322)&lt;=0,ISNUMBER(MATCH(T322,Parameter!$I$27:$I$29,0))),1,0)</f>
        <v>1</v>
      </c>
      <c r="CC322" s="65" t="n">
        <f aca="false">IF(CR322&gt;0,INDEX(Parameter!$H$5:$H$7,W322)/INDEX(Parameter!$E$5:$E$7,W322),IF(AND(CA322=0,N(IFERROR(VLOOKUP(BY322,'Gebinde-Kategorie'!$A$5:$N$45,14,0),0))&gt;0),VLOOKUP(BY322,'Gebinde-Kategorie'!$A$5:$N$45,14,0)*10+Parameter!$M$23,Parameter!$M$24))</f>
        <v>155</v>
      </c>
      <c r="CD322" s="60" t="str">
        <f aca="false">IF(AND(Parameter!$B$19="Ja",E322&lt;&gt;"",ISNUMBER(MATCH(E322,Parameter!$I$35:$I$52,0))),VLOOKUP(E322,Parameter!$I$35:$J$52,2,0),IFERROR(VLOOKUP(D322,Parameter!$A$35:$C$64,2,0),"Nein"))</f>
        <v>2+3</v>
      </c>
      <c r="CE322" s="64" t="n">
        <f aca="false">IF(CA322=0,0,IF(N(S322)&gt;0,S322,IFERROR(VLOOKUP(D322,Parameter!$A$35:$C$64,3,0)+0,0)))</f>
        <v>0</v>
      </c>
      <c r="CF322" s="60" t="n">
        <f aca="false">IF(AB322&lt;&gt;"",AB322,AA322)</f>
        <v>3</v>
      </c>
      <c r="CG322" s="60" t="str">
        <f aca="false">IF(OR(CF322=1,CF322=2,CF322=3),IF(Parameter!$E$27="Ja","LIFT",IF(CF322=1,"L1","L23")),IF(CF322="Aussen","Aussen","-"))</f>
        <v>LIFT</v>
      </c>
      <c r="CH322" s="71" t="n">
        <f aca="false">IF(N(AC322)&gt;0,AC322,0)</f>
        <v>0</v>
      </c>
      <c r="CI322" s="65" t="n">
        <f aca="false">IF(ISNUMBER(AF322),1,0)</f>
        <v>0</v>
      </c>
      <c r="CJ322" s="62" t="n">
        <f aca="false">N(AF322)</f>
        <v>0</v>
      </c>
      <c r="CK322" s="62" t="n">
        <f aca="false">N(M322)+N(N322)</f>
        <v>1</v>
      </c>
      <c r="CL322" s="62" t="n">
        <f aca="false">N(M322)</f>
        <v>0</v>
      </c>
      <c r="CM322" s="62" t="n">
        <f aca="false">N(N322)</f>
        <v>1</v>
      </c>
      <c r="CN322" s="62" t="n">
        <f aca="false">ROUNDUP(H322/BZ322,0)</f>
        <v>1</v>
      </c>
      <c r="CO322" s="62" t="n">
        <f aca="false">ROUNDUP(CJ322/BZ322,0)</f>
        <v>0</v>
      </c>
      <c r="CP322" s="65" t="n">
        <f aca="false">IF(CA322=1,0,IFERROR(VLOOKUP(BY322,'Gebinde-Kategorie'!$A$5:$N$45,5,0)+0,0))</f>
        <v>11</v>
      </c>
      <c r="CQ322" s="65" t="n">
        <f aca="false">IFERROR(IF(OR(CF322=1,CF322=2,CF322=3),N(INDEX(Parameter!$I$5:$I$7,CF322)),0),0)</f>
        <v>0</v>
      </c>
      <c r="CR322" s="64" t="n">
        <f aca="false">IF(AND(Parameter!$B$21="Ja",ISNUMBER(W322),N(X322)&gt;0),IFERROR(N(INDEX(Parameter!$L$5:$L$7,W322))*INDEX(Parameter!$E$5:$E$7,W322)*X322/SUMIFS($X$7:$X$1843,$W$7:$W$1843,W322),0),0)</f>
        <v>0</v>
      </c>
      <c r="CS322" s="62" t="n">
        <f aca="false">IF(AND(OR(CG322="L1",CG322="L23",CG322="LIFT"),H322&gt;0),CC322*IF(CR322&gt;0,CR322*MAX(1,H322/X322),IF(CA322=1,CE322,IF(R322&gt;0,CN322/R322,0))/MAX(0.1,N(Parameter!$M$21))),"")</f>
        <v>5.96153846153846</v>
      </c>
      <c r="CT322" s="64" t="n">
        <f aca="false">IF(CS322="","",J322/H322)</f>
        <v>0</v>
      </c>
      <c r="CU322" s="62" t="n">
        <f aca="false">IF(CS322="","",H322*G322)</f>
        <v>236.75</v>
      </c>
      <c r="CV322" s="63" t="n">
        <f aca="false">IF(CS322="","",(CL322+ROUNDUP(CL322+MAX(CM322,2*(J322/MAX(0.1,N(Einkauf!$C$6))-CL322)),0))/2)</f>
        <v>0.5</v>
      </c>
      <c r="CW322" s="62" t="n">
        <f aca="false">IF(CS322="","",MAX(0,H322-CV322)*G322)</f>
        <v>232.015</v>
      </c>
      <c r="CX322" s="62" t="n">
        <f aca="false">IF(CS322="","",CS322*MAX(0,1-CV322/H322))</f>
        <v>5.84230769230769</v>
      </c>
      <c r="CY322" s="64" t="n">
        <f aca="false">IF(CS322="","",PERCENTRANK($CS$7:$CS$1843,CS322)+PERCENTRANK($CU$7:$CU$1843,CU322)+1-PERCENTRANK($CT$7:$CT$1843,CT322))</f>
        <v>1.724</v>
      </c>
      <c r="CZ322" s="72" t="n">
        <f aca="false">IF(CS322="","",CHOOSE(MATCH(Einkauf!$C$5,Parameter!$G$23:$G$27,0),CY322,CS322,CU322,-CT322,CW322)+ROW()/1000000000)</f>
        <v>1.724000322</v>
      </c>
    </row>
    <row r="323" customFormat="false" ht="15" hidden="false" customHeight="false" outlineLevel="0" collapsed="false">
      <c r="A323" s="60" t="s">
        <v>852</v>
      </c>
      <c r="B323" s="60" t="s">
        <v>745</v>
      </c>
      <c r="C323" s="60" t="s">
        <v>206</v>
      </c>
      <c r="D323" s="60" t="s">
        <v>215</v>
      </c>
      <c r="E323" s="60" t="s">
        <v>208</v>
      </c>
      <c r="F323" s="60" t="s">
        <v>260</v>
      </c>
      <c r="G323" s="61" t="n">
        <v>445</v>
      </c>
      <c r="H323" s="62" t="n">
        <f aca="false">MAX(0,IF(AND(Parameter!$B$21="Ja",ISNUMBER(Y323)),Y323,IF(Parameter!$B$20="Jahresanfang 2025 + Export",BS323+BR323,BR323)))</f>
        <v>2</v>
      </c>
      <c r="I323" s="62" t="n">
        <f aca="false">H323*G323</f>
        <v>890</v>
      </c>
      <c r="J323" s="62" t="n">
        <f aca="false">BU323*Parameter!$B$18</f>
        <v>8</v>
      </c>
      <c r="K323" s="63" t="n">
        <v>2</v>
      </c>
      <c r="L323" s="64" t="n">
        <v>4</v>
      </c>
      <c r="M323" s="62" t="n">
        <v>0</v>
      </c>
      <c r="N323" s="62" t="n">
        <v>5</v>
      </c>
      <c r="O323" s="65" t="n">
        <v>35</v>
      </c>
      <c r="P323" s="60" t="s">
        <v>301</v>
      </c>
      <c r="Q323" s="62" t="n">
        <v>4</v>
      </c>
      <c r="R323" s="65" t="n">
        <f aca="false">IF(CA323=1,0,IFERROR(VLOOKUP(BY323,'Gebinde-Kategorie'!$A$5:$N$45,13,0)+0,0))</f>
        <v>6</v>
      </c>
      <c r="S323" s="66"/>
      <c r="T323" s="67"/>
      <c r="U323" s="67"/>
      <c r="V323" s="67"/>
      <c r="W323" s="60"/>
      <c r="X323" s="62"/>
      <c r="Y323" s="62"/>
      <c r="Z323" s="60" t="n">
        <v>2</v>
      </c>
      <c r="AA323" s="60" t="n">
        <f aca="false">IF(A323="","",IF(AND(Parameter!$B$21="Ja",ISNUMBER(W323)),W323,IF(AND(Parameter!$E$27="Ja",ISNUMBER(Z323),CD323&lt;&gt;"Nein"),Z323,IF(CD323="2+3",IF(ISNUMBER(SEARCH("grosser Artikel",BV323)),2,IFERROR(VLOOKUP(BY323,Parameter!$F$35:$G$64,2,0),2)),IF(OR(CD323="Nein",CD323=""),"-",CD323)))))</f>
        <v>2</v>
      </c>
      <c r="AB323" s="67"/>
      <c r="AC323" s="68"/>
      <c r="AD323" s="62" t="n">
        <f aca="false">AW323</f>
        <v>6</v>
      </c>
      <c r="AE323" s="62" t="n">
        <f aca="false">MAX(AW323,H323)</f>
        <v>6</v>
      </c>
      <c r="AF323" s="69"/>
      <c r="AG323" s="62" t="n">
        <f aca="false">IF(LEFT(Cockpit!$C$5,1)="A",H323,IF(Parameter!$E$30="MAX-Bestand",IF(CI323=1,CJ323,IF(LEFT(Cockpit!$C$5,1)="B",AM323,MAX(AM323,H323))),ROUNDUP(AK323,0)))</f>
        <v>2</v>
      </c>
      <c r="AH323" s="62" t="n">
        <f aca="false">IF(CA323=1,0,ROUNDUP(AG323/BZ323,0))</f>
        <v>1</v>
      </c>
      <c r="AI323" s="64" t="n">
        <f aca="false">IF(CR323&gt;0,CR323*MAX(1,AG323/X323),IF(CA323=1,IF(AG323&lt;=0,0,CE323*MAX(1,IF(H323&gt;0,AG323/H323,1))),IF(R323&gt;0,AH323/R323,0))/MAX(0.1,N(Parameter!$M$21)))</f>
        <v>0.166666666666667</v>
      </c>
      <c r="AJ323" s="62" t="n">
        <f aca="false">AI323*CC323</f>
        <v>72.5</v>
      </c>
      <c r="AK323" s="63" t="n">
        <f aca="false">IF(LEFT(Cockpit!$C$5,1)="A",H323,IF(CI323=1,(CL323+CJ323)/2,IF(LEFT(Cockpit!$C$5,1)="B",(CL323+AM323)/2,MAX((CL323+AM323)/2,H323))))</f>
        <v>2</v>
      </c>
      <c r="AL323" s="62" t="n">
        <f aca="false">AK323*G323</f>
        <v>890</v>
      </c>
      <c r="AM323" s="62" t="n">
        <f aca="false">ROUNDUP(CL323+MAX(CM323,2*(J323/IF(CH323&gt;0,CH323,MAX(0.1,N(Cockpit!$C$6)))-CL323)),0)</f>
        <v>6</v>
      </c>
      <c r="AN323" s="63" t="n">
        <f aca="false">IF(AJ323&gt;0,J323/AJ323,-1)</f>
        <v>0.110344827586207</v>
      </c>
      <c r="AO323" s="63" t="n">
        <f aca="false">IF(AND(OR(CG323="L1",CG323="L23",CG323="LIFT"),AJ323&gt;0),SUMIFS($AJ$7:$AJ$1843,$CG$7:$CG$1843,CG323,$AN$7:$AN$1843,"&gt;"&amp;AN323)+SUMIFS($AJ$7:$AJ$1843,$CG$7:$CG$1843,CG323,$AN$7:$AN$1843,AN323,$BX$7:$BX$1843,"&lt;="&amp;BX323),"")</f>
        <v>14838.0545596118</v>
      </c>
      <c r="AP323" s="70" t="n">
        <f aca="false">IF(AO323="",0,MAX(0,MIN(1,(IF(CG323="L1",Parameter!$H$5,IF(CG323="L23",Parameter!$H$6+Parameter!$H$7,Parameter!$H$5+Parameter!$H$6+Parameter!$H$7))-(AO323-AJ323))/AJ323)))</f>
        <v>1</v>
      </c>
      <c r="AQ323" s="62" t="n">
        <f aca="false">IF(LEFT(Cockpit!$I$5,1)="A",H323,IF(Parameter!$E$30="MAX-Bestand",IF(CI323=1,CJ323,IF(LEFT(Cockpit!$I$5,1)="B",AW323,MAX(AW323,H323))),ROUNDUP(AU323,0)))</f>
        <v>3</v>
      </c>
      <c r="AR323" s="62" t="n">
        <f aca="false">IF(CA323=1,0,ROUNDUP(AQ323/BZ323,0))</f>
        <v>1</v>
      </c>
      <c r="AS323" s="64" t="n">
        <f aca="false">IF(CR323&gt;0,CR323*MAX(1,AQ323/X323),IF(CA323=1,IF(AQ323&lt;=0,0,CE323*MAX(1,IF(H323&gt;0,AQ323/H323,1))),IF(R323&gt;0,AR323/R323,0))/MAX(0.1,N(Parameter!$M$21)))</f>
        <v>0.166666666666667</v>
      </c>
      <c r="AT323" s="62" t="n">
        <f aca="false">AS323*CC323</f>
        <v>72.5</v>
      </c>
      <c r="AU323" s="63" t="n">
        <f aca="false">IF(LEFT(Cockpit!$I$5,1)="A",H323,IF(CI323=1,(CL323+CJ323)/2,IF(LEFT(Cockpit!$I$5,1)="B",(CL323+AW323)/2,MAX((CL323+AW323)/2,H323))))</f>
        <v>3</v>
      </c>
      <c r="AV323" s="62" t="n">
        <f aca="false">AU323*G323</f>
        <v>1335</v>
      </c>
      <c r="AW323" s="62" t="n">
        <f aca="false">ROUNDUP(CL323+MAX(CM323,2*(J323/IF(CH323&gt;0,CH323,MAX(0.1,N(Cockpit!$I$6)))-CL323)),0)</f>
        <v>6</v>
      </c>
      <c r="AX323" s="63" t="n">
        <f aca="false">IF(AT323&gt;0,J323/AT323,-1)</f>
        <v>0.110344827586207</v>
      </c>
      <c r="AY323" s="63" t="n">
        <f aca="false">IF(AND(OR(CG323="L1",CG323="L23",CG323="LIFT"),AT323&gt;0),SUMIFS($AT$7:$AT$1843,$CG$7:$CG$1843,CG323,$AX$7:$AX$1843,"&gt;"&amp;AX323)+SUMIFS($AT$7:$AT$1843,$CG$7:$CG$1843,CG323,$AX$7:$AX$1843,AX323,$BX$7:$BX$1843,"&lt;="&amp;BX323),"")</f>
        <v>18862.4532009892</v>
      </c>
      <c r="AZ323" s="70" t="n">
        <f aca="false">IF(AY323="",0,MAX(0,MIN(1,(IF(CG323="L1",Parameter!$H$5,IF(CG323="L23",Parameter!$H$6+Parameter!$H$7,Parameter!$H$5+Parameter!$H$6+Parameter!$H$7))-(AY323-AT323))/AT323)))</f>
        <v>1</v>
      </c>
      <c r="BA323" s="62" t="n">
        <f aca="false">IF(LEFT(Cockpit!$O$5,1)="A",H323,IF(Parameter!$E$30="MAX-Bestand",IF(CI323=1,CJ323,IF(LEFT(Cockpit!$O$5,1)="B",BG323,MAX(BG323,H323))),ROUNDUP(BE323,0)))</f>
        <v>3</v>
      </c>
      <c r="BB323" s="62" t="n">
        <f aca="false">IF(CA323=1,0,ROUNDUP(BA323/BZ323,0))</f>
        <v>1</v>
      </c>
      <c r="BC323" s="64" t="n">
        <f aca="false">IF(CR323&gt;0,CR323*MAX(1,BA323/X323),IF(CA323=1,IF(BA323&lt;=0,0,CE323*MAX(1,IF(H323&gt;0,BA323/H323,1))),IF(R323&gt;0,BB323/R323,0))/MAX(0.1,N(Parameter!$M$21)))</f>
        <v>0.166666666666667</v>
      </c>
      <c r="BD323" s="62" t="n">
        <f aca="false">BC323*CC323</f>
        <v>72.5</v>
      </c>
      <c r="BE323" s="63" t="n">
        <f aca="false">IF(LEFT(Cockpit!$O$5,1)="A",H323,IF(CI323=1,(CL323+CJ323)/2,IF(LEFT(Cockpit!$O$5,1)="B",(CL323+BG323)/2,MAX((CL323+BG323)/2,H323))))</f>
        <v>2.5</v>
      </c>
      <c r="BF323" s="62" t="n">
        <f aca="false">BE323*G323</f>
        <v>1112.5</v>
      </c>
      <c r="BG323" s="62" t="n">
        <f aca="false">ROUNDUP(CL323+MAX(CM323,2*(J323/IF(CH323&gt;0,CH323,MAX(0.1,N(Cockpit!$O$6)))-CL323)),0)</f>
        <v>5</v>
      </c>
      <c r="BH323" s="63" t="n">
        <f aca="false">IF(BD323&gt;0,J323/BD323,-1)</f>
        <v>0.110344827586207</v>
      </c>
      <c r="BI323" s="63" t="n">
        <f aca="false">IF(AND(OR(CG323="L1",CG323="L23",CG323="LIFT"),BD323&gt;0),SUMIFS($BD$7:$BD$1843,$CG$7:$CG$1843,CG323,$BH$7:$BH$1843,"&gt;"&amp;BH323)+SUMIFS($BD$7:$BD$1843,$CG$7:$CG$1843,CG323,$BH$7:$BH$1843,BH323,$BX$7:$BX$1843,"&lt;="&amp;BX323),"")</f>
        <v>16463.2658135179</v>
      </c>
      <c r="BJ323" s="70" t="n">
        <f aca="false">IF(BI323="",0,MAX(0,MIN(1,(IF(CG323="L1",Parameter!$H$5,IF(CG323="L23",Parameter!$H$6+Parameter!$H$7,Parameter!$H$5+Parameter!$H$6+Parameter!$H$7))-(BI323-BD323))/BD323)))</f>
        <v>1</v>
      </c>
      <c r="BK323" s="60" t="str">
        <f aca="false">IF(AJ323&lt;=0,"",IF(CG323="Aussen","Aussenlager",IF(CG323="-","Nicht im Lift",IF(AP323&gt;=1,"Lift",IF(AP323&lt;=0,"Aussenlager","teilweise")))))</f>
        <v>Lift</v>
      </c>
      <c r="BL323" s="60" t="str">
        <f aca="false">IF(AT323&lt;=0,"",IF(CG323="Aussen","Aussenlager",IF(CG323="-","Nicht im Lift",IF(AZ323&gt;=1,"Lift",IF(AZ323&lt;=0,"Aussenlager","teilweise")))))</f>
        <v>Lift</v>
      </c>
      <c r="BM323" s="60" t="str">
        <f aca="false">IF(BD323&lt;=0,"",IF(CG323="Aussen","Aussenlager",IF(CG323="-","Nicht im Lift",IF(BJ323&gt;=1,"Lift",IF(BJ323&lt;=0,"Aussenlager","teilweise")))))</f>
        <v>Lift</v>
      </c>
      <c r="BN323" s="60" t="str">
        <f aca="false">IF(A323="","",IF(BW323=1,"Neu; ","")&amp;IF(AND(BW323=0,BR323&lt;0),"negativer Bestand (Export "&amp;BR323&amp;"); ","")&amp;IF(J323&lt;=0,"Kein Verbrauch; ","")&amp;IF(CR323&gt;0,"Lift "&amp;W323&amp;" lt. Liftbericht (Fach "&amp;X323&amp;" Stk); ",IF(CB323=1,"Gebinde geschätzt ("&amp;T323&amp;"); ",IF(CA323=1,"Lose – Tablare geschätzt; ","")))&amp;IF(H323&gt;AW323,"Überbestand "&amp;ROUND(H323-AW323,0)&amp;" Stk / CHF "&amp;ROUND((H323-AW323)*G323,0)&amp;"; ","")&amp;IF(AND(CI323=1,CJ323&lt;CK323),"MAX &lt; MB+LG; ","")&amp;IF(AND(CQ323&gt;0,CP323*10&gt;CQ323),"zu hoch für Tablar; ","")&amp;IF(AND(BW323=0,OR(CI323=1,AB323&lt;&gt;"",U323&lt;&gt;"",V323&lt;&gt;"",AC323&lt;&gt;"")),"manuell übersteuert; ","")&amp;IF(AND(CA323=0,R323=0),"Gebinde unbekannt / Stellmass fehlt; ","")&amp;IF(AND(CA323=0,N(V323)&lt;=0,N(Q323)&lt;=0),"Menge pro Gebinde fehlt (Ist = 1 Gebinde); ","")&amp;BV323)</f>
        <v/>
      </c>
      <c r="BO323" s="60"/>
      <c r="BP323" s="60"/>
      <c r="BQ323" s="67"/>
      <c r="BR323" s="62" t="n">
        <v>0</v>
      </c>
      <c r="BS323" s="62" t="n">
        <v>2</v>
      </c>
      <c r="BT323" s="61" t="n">
        <v>236</v>
      </c>
      <c r="BU323" s="62" t="n">
        <v>8</v>
      </c>
      <c r="BV323" s="60"/>
      <c r="BW323" s="65" t="n">
        <v>0</v>
      </c>
      <c r="BX323" s="65" t="n">
        <v>323</v>
      </c>
      <c r="BY323" s="60" t="str">
        <f aca="false">IF(U323&lt;&gt;"",UPPER(TRIM(U323)),IF(CB323=1,UPPER(VLOOKUP(T323,Parameter!$I$27:$K$29,2,0)),IF(P323="","LOSE",P323)))</f>
        <v>S72</v>
      </c>
      <c r="BZ323" s="62" t="n">
        <f aca="false">IF(BY323="LOSE",1,IF(N(V323)&gt;0,V323,IF(CB323=1,MAX(1,N(VLOOKUP(T323,Parameter!$I$27:$K$29,3,0)),H323,N(N323)),IF(N(Q323)&gt;0,Q323,MAX(1,H323)))))</f>
        <v>4</v>
      </c>
      <c r="CA323" s="65" t="n">
        <f aca="false">IF(BY323="LOSE",1,0)</f>
        <v>0</v>
      </c>
      <c r="CB323" s="65" t="n">
        <f aca="false">IF(AND(U323="",OR(P323="",P323="LOSE"),T323&lt;&gt;"",N(S323)&lt;=0,ISNUMBER(MATCH(T323,Parameter!$I$27:$I$29,0))),1,0)</f>
        <v>0</v>
      </c>
      <c r="CC323" s="65" t="n">
        <f aca="false">IF(CR323&gt;0,INDEX(Parameter!$H$5:$H$7,W323)/INDEX(Parameter!$E$5:$E$7,W323),IF(AND(CA323=0,N(IFERROR(VLOOKUP(BY323,'Gebinde-Kategorie'!$A$5:$N$45,14,0),0))&gt;0),VLOOKUP(BY323,'Gebinde-Kategorie'!$A$5:$N$45,14,0)*10+Parameter!$M$23,Parameter!$M$24))</f>
        <v>435</v>
      </c>
      <c r="CD323" s="60" t="n">
        <f aca="false">IF(AND(Parameter!$B$19="Ja",E323&lt;&gt;"",ISNUMBER(MATCH(E323,Parameter!$I$35:$I$52,0))),VLOOKUP(E323,Parameter!$I$35:$J$52,2,0),IFERROR(VLOOKUP(D323,Parameter!$A$35:$C$64,2,0),"Nein"))</f>
        <v>1</v>
      </c>
      <c r="CE323" s="64" t="n">
        <f aca="false">IF(CA323=0,0,IF(N(S323)&gt;0,S323,IFERROR(VLOOKUP(D323,Parameter!$A$35:$C$64,3,0)+0,0)))</f>
        <v>0</v>
      </c>
      <c r="CF323" s="60" t="n">
        <f aca="false">IF(AB323&lt;&gt;"",AB323,AA323)</f>
        <v>2</v>
      </c>
      <c r="CG323" s="60" t="str">
        <f aca="false">IF(OR(CF323=1,CF323=2,CF323=3),IF(Parameter!$E$27="Ja","LIFT",IF(CF323=1,"L1","L23")),IF(CF323="Aussen","Aussen","-"))</f>
        <v>LIFT</v>
      </c>
      <c r="CH323" s="71" t="n">
        <f aca="false">IF(N(AC323)&gt;0,AC323,0)</f>
        <v>0</v>
      </c>
      <c r="CI323" s="65" t="n">
        <f aca="false">IF(ISNUMBER(AF323),1,0)</f>
        <v>0</v>
      </c>
      <c r="CJ323" s="62" t="n">
        <f aca="false">N(AF323)</f>
        <v>0</v>
      </c>
      <c r="CK323" s="62" t="n">
        <f aca="false">N(M323)+N(N323)</f>
        <v>5</v>
      </c>
      <c r="CL323" s="62" t="n">
        <f aca="false">N(M323)</f>
        <v>0</v>
      </c>
      <c r="CM323" s="62" t="n">
        <f aca="false">N(N323)</f>
        <v>5</v>
      </c>
      <c r="CN323" s="62" t="n">
        <f aca="false">ROUNDUP(H323/BZ323,0)</f>
        <v>1</v>
      </c>
      <c r="CO323" s="62" t="n">
        <f aca="false">ROUNDUP(CJ323/BZ323,0)</f>
        <v>0</v>
      </c>
      <c r="CP323" s="65" t="n">
        <f aca="false">IF(CA323=1,0,IFERROR(VLOOKUP(BY323,'Gebinde-Kategorie'!$A$5:$N$45,5,0)+0,0))</f>
        <v>40</v>
      </c>
      <c r="CQ323" s="65" t="n">
        <f aca="false">IFERROR(IF(OR(CF323=1,CF323=2,CF323=3),N(INDEX(Parameter!$I$5:$I$7,CF323)),0),0)</f>
        <v>0</v>
      </c>
      <c r="CR323" s="64" t="n">
        <f aca="false">IF(AND(Parameter!$B$21="Ja",ISNUMBER(W323),N(X323)&gt;0),IFERROR(N(INDEX(Parameter!$L$5:$L$7,W323))*INDEX(Parameter!$E$5:$E$7,W323)*X323/SUMIFS($X$7:$X$1843,$W$7:$W$1843,W323),0),0)</f>
        <v>0</v>
      </c>
      <c r="CS323" s="62" t="n">
        <f aca="false">IF(AND(OR(CG323="L1",CG323="L23",CG323="LIFT"),H323&gt;0),CC323*IF(CR323&gt;0,CR323*MAX(1,H323/X323),IF(CA323=1,CE323,IF(R323&gt;0,CN323/R323,0))/MAX(0.1,N(Parameter!$M$21))),"")</f>
        <v>72.5</v>
      </c>
      <c r="CT323" s="64" t="n">
        <f aca="false">IF(CS323="","",J323/H323)</f>
        <v>4</v>
      </c>
      <c r="CU323" s="62" t="n">
        <f aca="false">IF(CS323="","",H323*G323)</f>
        <v>890</v>
      </c>
      <c r="CV323" s="63" t="n">
        <f aca="false">IF(CS323="","",(CL323+ROUNDUP(CL323+MAX(CM323,2*(J323/MAX(0.1,N(Einkauf!$C$6))-CL323)),0))/2)</f>
        <v>2.5</v>
      </c>
      <c r="CW323" s="62" t="n">
        <f aca="false">IF(CS323="","",MAX(0,H323-CV323)*G323)</f>
        <v>0</v>
      </c>
      <c r="CX323" s="62" t="n">
        <f aca="false">IF(CS323="","",CS323*MAX(0,1-CV323/H323))</f>
        <v>0</v>
      </c>
      <c r="CY323" s="64" t="n">
        <f aca="false">IF(CS323="","",PERCENTRANK($CS$7:$CS$1843,CS323)+PERCENTRANK($CU$7:$CU$1843,CU323)+1-PERCENTRANK($CT$7:$CT$1843,CT323))</f>
        <v>1.633</v>
      </c>
      <c r="CZ323" s="72" t="n">
        <f aca="false">IF(CS323="","",CHOOSE(MATCH(Einkauf!$C$5,Parameter!$G$23:$G$27,0),CY323,CS323,CU323,-CT323,CW323)+ROW()/1000000000)</f>
        <v>1.633000323</v>
      </c>
    </row>
    <row r="324" customFormat="false" ht="15" hidden="false" customHeight="false" outlineLevel="0" collapsed="false">
      <c r="A324" s="60" t="s">
        <v>853</v>
      </c>
      <c r="B324" s="60" t="s">
        <v>854</v>
      </c>
      <c r="C324" s="60" t="s">
        <v>206</v>
      </c>
      <c r="D324" s="60" t="s">
        <v>226</v>
      </c>
      <c r="E324" s="60"/>
      <c r="F324" s="60" t="s">
        <v>260</v>
      </c>
      <c r="G324" s="61" t="n">
        <v>13</v>
      </c>
      <c r="H324" s="62" t="n">
        <f aca="false">MAX(0,IF(AND(Parameter!$B$21="Ja",ISNUMBER(Y324)),Y324,IF(Parameter!$B$20="Jahresanfang 2025 + Export",BS324+BR324,BR324)))</f>
        <v>23</v>
      </c>
      <c r="I324" s="62" t="n">
        <f aca="false">H324*G324</f>
        <v>299</v>
      </c>
      <c r="J324" s="62" t="n">
        <f aca="false">BU324*Parameter!$B$18</f>
        <v>0</v>
      </c>
      <c r="K324" s="63" t="n">
        <v>11.5</v>
      </c>
      <c r="L324" s="64" t="n">
        <v>0</v>
      </c>
      <c r="M324" s="62" t="n">
        <v>0</v>
      </c>
      <c r="N324" s="62" t="n">
        <v>1</v>
      </c>
      <c r="O324" s="65" t="n">
        <v>21</v>
      </c>
      <c r="P324" s="60" t="s">
        <v>210</v>
      </c>
      <c r="Q324" s="62"/>
      <c r="R324" s="65" t="n">
        <f aca="false">IF(CA324=1,0,IFERROR(VLOOKUP(BY324,'Gebinde-Kategorie'!$A$5:$N$45,13,0)+0,0))</f>
        <v>26</v>
      </c>
      <c r="S324" s="66"/>
      <c r="T324" s="67" t="s">
        <v>317</v>
      </c>
      <c r="U324" s="67"/>
      <c r="V324" s="67"/>
      <c r="W324" s="60"/>
      <c r="X324" s="62"/>
      <c r="Y324" s="62"/>
      <c r="Z324" s="60" t="n">
        <v>3</v>
      </c>
      <c r="AA324" s="60" t="n">
        <f aca="false">IF(A324="","",IF(AND(Parameter!$B$21="Ja",ISNUMBER(W324)),W324,IF(AND(Parameter!$E$27="Ja",ISNUMBER(Z324),CD324&lt;&gt;"Nein"),Z324,IF(CD324="2+3",IF(ISNUMBER(SEARCH("grosser Artikel",BV324)),2,IFERROR(VLOOKUP(BY324,Parameter!$F$35:$G$64,2,0),2)),IF(OR(CD324="Nein",CD324=""),"-",CD324)))))</f>
        <v>3</v>
      </c>
      <c r="AB324" s="67"/>
      <c r="AC324" s="68"/>
      <c r="AD324" s="62" t="n">
        <f aca="false">AW324</f>
        <v>1</v>
      </c>
      <c r="AE324" s="62" t="n">
        <f aca="false">MAX(AW324,H324)</f>
        <v>23</v>
      </c>
      <c r="AF324" s="69"/>
      <c r="AG324" s="62" t="n">
        <f aca="false">IF(LEFT(Cockpit!$C$5,1)="A",H324,IF(Parameter!$E$30="MAX-Bestand",IF(CI324=1,CJ324,IF(LEFT(Cockpit!$C$5,1)="B",AM324,MAX(AM324,H324))),ROUNDUP(AK324,0)))</f>
        <v>23</v>
      </c>
      <c r="AH324" s="62" t="n">
        <f aca="false">IF(CA324=1,0,ROUNDUP(AG324/BZ324,0))</f>
        <v>1</v>
      </c>
      <c r="AI324" s="64" t="n">
        <f aca="false">IF(CR324&gt;0,CR324*MAX(1,AG324/X324),IF(CA324=1,IF(AG324&lt;=0,0,CE324*MAX(1,IF(H324&gt;0,AG324/H324,1))),IF(R324&gt;0,AH324/R324,0))/MAX(0.1,N(Parameter!$M$21)))</f>
        <v>0.0384615384615385</v>
      </c>
      <c r="AJ324" s="62" t="n">
        <f aca="false">AI324*CC324</f>
        <v>5.96153846153846</v>
      </c>
      <c r="AK324" s="63" t="n">
        <f aca="false">IF(LEFT(Cockpit!$C$5,1)="A",H324,IF(CI324=1,(CL324+CJ324)/2,IF(LEFT(Cockpit!$C$5,1)="B",(CL324+AM324)/2,MAX((CL324+AM324)/2,H324))))</f>
        <v>23</v>
      </c>
      <c r="AL324" s="62" t="n">
        <f aca="false">AK324*G324</f>
        <v>299</v>
      </c>
      <c r="AM324" s="62" t="n">
        <f aca="false">ROUNDUP(CL324+MAX(CM324,2*(J324/IF(CH324&gt;0,CH324,MAX(0.1,N(Cockpit!$C$6)))-CL324)),0)</f>
        <v>1</v>
      </c>
      <c r="AN324" s="63" t="n">
        <f aca="false">IF(AJ324&gt;0,J324/AJ324,-1)</f>
        <v>0</v>
      </c>
      <c r="AO324" s="63" t="n">
        <f aca="false">IF(AND(OR(CG324="L1",CG324="L23",CG324="LIFT"),AJ324&gt;0),SUMIFS($AJ$7:$AJ$1843,$CG$7:$CG$1843,CG324,$AN$7:$AN$1843,"&gt;"&amp;AN324)+SUMIFS($AJ$7:$AJ$1843,$CG$7:$CG$1843,CG324,$AN$7:$AN$1843,AN324,$BX$7:$BX$1843,"&lt;="&amp;BX324),"")</f>
        <v>27917.0954062416</v>
      </c>
      <c r="AP324" s="70" t="n">
        <f aca="false">IF(AO324="",0,MAX(0,MIN(1,(IF(CG324="L1",Parameter!$H$5,IF(CG324="L23",Parameter!$H$6+Parameter!$H$7,Parameter!$H$5+Parameter!$H$6+Parameter!$H$7))-(AO324-AJ324))/AJ324)))</f>
        <v>1</v>
      </c>
      <c r="AQ324" s="62" t="n">
        <f aca="false">IF(LEFT(Cockpit!$I$5,1)="A",H324,IF(Parameter!$E$30="MAX-Bestand",IF(CI324=1,CJ324,IF(LEFT(Cockpit!$I$5,1)="B",AW324,MAX(AW324,H324))),ROUNDUP(AU324,0)))</f>
        <v>23</v>
      </c>
      <c r="AR324" s="62" t="n">
        <f aca="false">IF(CA324=1,0,ROUNDUP(AQ324/BZ324,0))</f>
        <v>1</v>
      </c>
      <c r="AS324" s="64" t="n">
        <f aca="false">IF(CR324&gt;0,CR324*MAX(1,AQ324/X324),IF(CA324=1,IF(AQ324&lt;=0,0,CE324*MAX(1,IF(H324&gt;0,AQ324/H324,1))),IF(R324&gt;0,AR324/R324,0))/MAX(0.1,N(Parameter!$M$21)))</f>
        <v>0.0384615384615385</v>
      </c>
      <c r="AT324" s="62" t="n">
        <f aca="false">AS324*CC324</f>
        <v>5.96153846153846</v>
      </c>
      <c r="AU324" s="63" t="n">
        <f aca="false">IF(LEFT(Cockpit!$I$5,1)="A",H324,IF(CI324=1,(CL324+CJ324)/2,IF(LEFT(Cockpit!$I$5,1)="B",(CL324+AW324)/2,MAX((CL324+AW324)/2,H324))))</f>
        <v>23</v>
      </c>
      <c r="AV324" s="62" t="n">
        <f aca="false">AU324*G324</f>
        <v>299</v>
      </c>
      <c r="AW324" s="62" t="n">
        <f aca="false">ROUNDUP(CL324+MAX(CM324,2*(J324/IF(CH324&gt;0,CH324,MAX(0.1,N(Cockpit!$I$6)))-CL324)),0)</f>
        <v>1</v>
      </c>
      <c r="AX324" s="63" t="n">
        <f aca="false">IF(AT324&gt;0,J324/AT324,-1)</f>
        <v>0</v>
      </c>
      <c r="AY324" s="63" t="n">
        <f aca="false">IF(AND(OR(CG324="L1",CG324="L23",CG324="LIFT"),AT324&gt;0),SUMIFS($AT$7:$AT$1843,$CG$7:$CG$1843,CG324,$AX$7:$AX$1843,"&gt;"&amp;AX324)+SUMIFS($AT$7:$AT$1843,$CG$7:$CG$1843,CG324,$AX$7:$AX$1843,AX324,$BX$7:$BX$1843,"&lt;="&amp;BX324),"")</f>
        <v>33270.244047619</v>
      </c>
      <c r="AZ324" s="70" t="n">
        <f aca="false">IF(AY324="",0,MAX(0,MIN(1,(IF(CG324="L1",Parameter!$H$5,IF(CG324="L23",Parameter!$H$6+Parameter!$H$7,Parameter!$H$5+Parameter!$H$6+Parameter!$H$7))-(AY324-AT324))/AT324)))</f>
        <v>1</v>
      </c>
      <c r="BA324" s="62" t="n">
        <f aca="false">IF(LEFT(Cockpit!$O$5,1)="A",H324,IF(Parameter!$E$30="MAX-Bestand",IF(CI324=1,CJ324,IF(LEFT(Cockpit!$O$5,1)="B",BG324,MAX(BG324,H324))),ROUNDUP(BE324,0)))</f>
        <v>1</v>
      </c>
      <c r="BB324" s="62" t="n">
        <f aca="false">IF(CA324=1,0,ROUNDUP(BA324/BZ324,0))</f>
        <v>1</v>
      </c>
      <c r="BC324" s="64" t="n">
        <f aca="false">IF(CR324&gt;0,CR324*MAX(1,BA324/X324),IF(CA324=1,IF(BA324&lt;=0,0,CE324*MAX(1,IF(H324&gt;0,BA324/H324,1))),IF(R324&gt;0,BB324/R324,0))/MAX(0.1,N(Parameter!$M$21)))</f>
        <v>0.0384615384615385</v>
      </c>
      <c r="BD324" s="62" t="n">
        <f aca="false">BC324*CC324</f>
        <v>5.96153846153846</v>
      </c>
      <c r="BE324" s="63" t="n">
        <f aca="false">IF(LEFT(Cockpit!$O$5,1)="A",H324,IF(CI324=1,(CL324+CJ324)/2,IF(LEFT(Cockpit!$O$5,1)="B",(CL324+BG324)/2,MAX((CL324+BG324)/2,H324))))</f>
        <v>0.5</v>
      </c>
      <c r="BF324" s="62" t="n">
        <f aca="false">BE324*G324</f>
        <v>6.5</v>
      </c>
      <c r="BG324" s="62" t="n">
        <f aca="false">ROUNDUP(CL324+MAX(CM324,2*(J324/IF(CH324&gt;0,CH324,MAX(0.1,N(Cockpit!$O$6)))-CL324)),0)</f>
        <v>1</v>
      </c>
      <c r="BH324" s="63" t="n">
        <f aca="false">IF(BD324&gt;0,J324/BD324,-1)</f>
        <v>0</v>
      </c>
      <c r="BI324" s="63" t="n">
        <f aca="false">IF(AND(OR(CG324="L1",CG324="L23",CG324="LIFT"),BD324&gt;0),SUMIFS($BD$7:$BD$1843,$CG$7:$CG$1843,CG324,$BH$7:$BH$1843,"&gt;"&amp;BH324)+SUMIFS($BD$7:$BD$1843,$CG$7:$CG$1843,CG324,$BH$7:$BH$1843,BH324,$BX$7:$BX$1843,"&lt;="&amp;BX324),"")</f>
        <v>27395.7040960452</v>
      </c>
      <c r="BJ324" s="70" t="n">
        <f aca="false">IF(BI324="",0,MAX(0,MIN(1,(IF(CG324="L1",Parameter!$H$5,IF(CG324="L23",Parameter!$H$6+Parameter!$H$7,Parameter!$H$5+Parameter!$H$6+Parameter!$H$7))-(BI324-BD324))/BD324)))</f>
        <v>1</v>
      </c>
      <c r="BK324" s="60" t="str">
        <f aca="false">IF(AJ324&lt;=0,"",IF(CG324="Aussen","Aussenlager",IF(CG324="-","Nicht im Lift",IF(AP324&gt;=1,"Lift",IF(AP324&lt;=0,"Aussenlager","teilweise")))))</f>
        <v>Lift</v>
      </c>
      <c r="BL324" s="60" t="str">
        <f aca="false">IF(AT324&lt;=0,"",IF(CG324="Aussen","Aussenlager",IF(CG324="-","Nicht im Lift",IF(AZ324&gt;=1,"Lift",IF(AZ324&lt;=0,"Aussenlager","teilweise")))))</f>
        <v>Lift</v>
      </c>
      <c r="BM324" s="60" t="str">
        <f aca="false">IF(BD324&lt;=0,"",IF(CG324="Aussen","Aussenlager",IF(CG324="-","Nicht im Lift",IF(BJ324&gt;=1,"Lift",IF(BJ324&lt;=0,"Aussenlager","teilweise")))))</f>
        <v>Lift</v>
      </c>
      <c r="BN324" s="60" t="str">
        <f aca="false">IF(A324="","",IF(BW324=1,"Neu; ","")&amp;IF(AND(BW324=0,BR324&lt;0),"negativer Bestand (Export "&amp;BR324&amp;"); ","")&amp;IF(J324&lt;=0,"Kein Verbrauch; ","")&amp;IF(CR324&gt;0,"Lift "&amp;W324&amp;" lt. Liftbericht (Fach "&amp;X324&amp;" Stk); ",IF(CB324=1,"Gebinde geschätzt ("&amp;T324&amp;"); ",IF(CA324=1,"Lose – Tablare geschätzt; ","")))&amp;IF(H324&gt;AW324,"Überbestand "&amp;ROUND(H324-AW324,0)&amp;" Stk / CHF "&amp;ROUND((H324-AW324)*G324,0)&amp;"; ","")&amp;IF(AND(CI324=1,CJ324&lt;CK324),"MAX &lt; MB+LG; ","")&amp;IF(AND(CQ324&gt;0,CP324*10&gt;CQ324),"zu hoch für Tablar; ","")&amp;IF(AND(BW324=0,OR(CI324=1,AB324&lt;&gt;"",U324&lt;&gt;"",V324&lt;&gt;"",AC324&lt;&gt;"")),"manuell übersteuert; ","")&amp;IF(AND(CA324=0,R324=0),"Gebinde unbekannt / Stellmass fehlt; ","")&amp;IF(AND(CA324=0,N(V324)&lt;=0,N(Q324)&lt;=0),"Menge pro Gebinde fehlt (Ist = 1 Gebinde); ","")&amp;BV324)</f>
        <v>Kein Verbrauch; Gebinde geschätzt (Klein); Überbestand 22 Stk / CHF 286; Menge pro Gebinde fehlt (Ist = 1 Gebinde); </v>
      </c>
      <c r="BO324" s="60"/>
      <c r="BP324" s="60"/>
      <c r="BQ324" s="67"/>
      <c r="BR324" s="62" t="n">
        <v>18</v>
      </c>
      <c r="BS324" s="62" t="n">
        <v>5</v>
      </c>
      <c r="BT324" s="61" t="n">
        <v>234</v>
      </c>
      <c r="BU324" s="62" t="n">
        <v>0</v>
      </c>
      <c r="BV324" s="60"/>
      <c r="BW324" s="65" t="n">
        <v>0</v>
      </c>
      <c r="BX324" s="65" t="n">
        <v>324</v>
      </c>
      <c r="BY324" s="60" t="str">
        <f aca="false">IF(U324&lt;&gt;"",UPPER(TRIM(U324)),IF(CB324=1,UPPER(VLOOKUP(T324,Parameter!$I$27:$K$29,2,0)),IF(P324="","LOSE",P324)))</f>
        <v>S51</v>
      </c>
      <c r="BZ324" s="62" t="n">
        <f aca="false">IF(BY324="LOSE",1,IF(N(V324)&gt;0,V324,IF(CB324=1,MAX(1,N(VLOOKUP(T324,Parameter!$I$27:$K$29,3,0)),H324,N(N324)),IF(N(Q324)&gt;0,Q324,MAX(1,H324)))))</f>
        <v>23</v>
      </c>
      <c r="CA324" s="65" t="n">
        <f aca="false">IF(BY324="LOSE",1,0)</f>
        <v>0</v>
      </c>
      <c r="CB324" s="65" t="n">
        <f aca="false">IF(AND(U324="",OR(P324="",P324="LOSE"),T324&lt;&gt;"",N(S324)&lt;=0,ISNUMBER(MATCH(T324,Parameter!$I$27:$I$29,0))),1,0)</f>
        <v>1</v>
      </c>
      <c r="CC324" s="65" t="n">
        <f aca="false">IF(CR324&gt;0,INDEX(Parameter!$H$5:$H$7,W324)/INDEX(Parameter!$E$5:$E$7,W324),IF(AND(CA324=0,N(IFERROR(VLOOKUP(BY324,'Gebinde-Kategorie'!$A$5:$N$45,14,0),0))&gt;0),VLOOKUP(BY324,'Gebinde-Kategorie'!$A$5:$N$45,14,0)*10+Parameter!$M$23,Parameter!$M$24))</f>
        <v>155</v>
      </c>
      <c r="CD324" s="60" t="str">
        <f aca="false">IF(AND(Parameter!$B$19="Ja",E324&lt;&gt;"",ISNUMBER(MATCH(E324,Parameter!$I$35:$I$52,0))),VLOOKUP(E324,Parameter!$I$35:$J$52,2,0),IFERROR(VLOOKUP(D324,Parameter!$A$35:$C$64,2,0),"Nein"))</f>
        <v>2+3</v>
      </c>
      <c r="CE324" s="64" t="n">
        <f aca="false">IF(CA324=0,0,IF(N(S324)&gt;0,S324,IFERROR(VLOOKUP(D324,Parameter!$A$35:$C$64,3,0)+0,0)))</f>
        <v>0</v>
      </c>
      <c r="CF324" s="60" t="n">
        <f aca="false">IF(AB324&lt;&gt;"",AB324,AA324)</f>
        <v>3</v>
      </c>
      <c r="CG324" s="60" t="str">
        <f aca="false">IF(OR(CF324=1,CF324=2,CF324=3),IF(Parameter!$E$27="Ja","LIFT",IF(CF324=1,"L1","L23")),IF(CF324="Aussen","Aussen","-"))</f>
        <v>LIFT</v>
      </c>
      <c r="CH324" s="71" t="n">
        <f aca="false">IF(N(AC324)&gt;0,AC324,0)</f>
        <v>0</v>
      </c>
      <c r="CI324" s="65" t="n">
        <f aca="false">IF(ISNUMBER(AF324),1,0)</f>
        <v>0</v>
      </c>
      <c r="CJ324" s="62" t="n">
        <f aca="false">N(AF324)</f>
        <v>0</v>
      </c>
      <c r="CK324" s="62" t="n">
        <f aca="false">N(M324)+N(N324)</f>
        <v>1</v>
      </c>
      <c r="CL324" s="62" t="n">
        <f aca="false">N(M324)</f>
        <v>0</v>
      </c>
      <c r="CM324" s="62" t="n">
        <f aca="false">N(N324)</f>
        <v>1</v>
      </c>
      <c r="CN324" s="62" t="n">
        <f aca="false">ROUNDUP(H324/BZ324,0)</f>
        <v>1</v>
      </c>
      <c r="CO324" s="62" t="n">
        <f aca="false">ROUNDUP(CJ324/BZ324,0)</f>
        <v>0</v>
      </c>
      <c r="CP324" s="65" t="n">
        <f aca="false">IF(CA324=1,0,IFERROR(VLOOKUP(BY324,'Gebinde-Kategorie'!$A$5:$N$45,5,0)+0,0))</f>
        <v>11</v>
      </c>
      <c r="CQ324" s="65" t="n">
        <f aca="false">IFERROR(IF(OR(CF324=1,CF324=2,CF324=3),N(INDEX(Parameter!$I$5:$I$7,CF324)),0),0)</f>
        <v>0</v>
      </c>
      <c r="CR324" s="64" t="n">
        <f aca="false">IF(AND(Parameter!$B$21="Ja",ISNUMBER(W324),N(X324)&gt;0),IFERROR(N(INDEX(Parameter!$L$5:$L$7,W324))*INDEX(Parameter!$E$5:$E$7,W324)*X324/SUMIFS($X$7:$X$1843,$W$7:$W$1843,W324),0),0)</f>
        <v>0</v>
      </c>
      <c r="CS324" s="62" t="n">
        <f aca="false">IF(AND(OR(CG324="L1",CG324="L23",CG324="LIFT"),H324&gt;0),CC324*IF(CR324&gt;0,CR324*MAX(1,H324/X324),IF(CA324=1,CE324,IF(R324&gt;0,CN324/R324,0))/MAX(0.1,N(Parameter!$M$21))),"")</f>
        <v>5.96153846153846</v>
      </c>
      <c r="CT324" s="64" t="n">
        <f aca="false">IF(CS324="","",J324/H324)</f>
        <v>0</v>
      </c>
      <c r="CU324" s="62" t="n">
        <f aca="false">IF(CS324="","",H324*G324)</f>
        <v>299</v>
      </c>
      <c r="CV324" s="63" t="n">
        <f aca="false">IF(CS324="","",(CL324+ROUNDUP(CL324+MAX(CM324,2*(J324/MAX(0.1,N(Einkauf!$C$6))-CL324)),0))/2)</f>
        <v>0.5</v>
      </c>
      <c r="CW324" s="62" t="n">
        <f aca="false">IF(CS324="","",MAX(0,H324-CV324)*G324)</f>
        <v>292.5</v>
      </c>
      <c r="CX324" s="62" t="n">
        <f aca="false">IF(CS324="","",CS324*MAX(0,1-CV324/H324))</f>
        <v>5.8319397993311</v>
      </c>
      <c r="CY324" s="64" t="n">
        <f aca="false">IF(CS324="","",PERCENTRANK($CS$7:$CS$1843,CS324)+PERCENTRANK($CU$7:$CU$1843,CU324)+1-PERCENTRANK($CT$7:$CT$1843,CT324))</f>
        <v>1.774</v>
      </c>
      <c r="CZ324" s="72" t="n">
        <f aca="false">IF(CS324="","",CHOOSE(MATCH(Einkauf!$C$5,Parameter!$G$23:$G$27,0),CY324,CS324,CU324,-CT324,CW324)+ROW()/1000000000)</f>
        <v>1.774000324</v>
      </c>
    </row>
    <row r="325" customFormat="false" ht="15" hidden="false" customHeight="false" outlineLevel="0" collapsed="false">
      <c r="A325" s="60" t="s">
        <v>855</v>
      </c>
      <c r="B325" s="60" t="s">
        <v>856</v>
      </c>
      <c r="C325" s="60" t="s">
        <v>206</v>
      </c>
      <c r="D325" s="60" t="s">
        <v>226</v>
      </c>
      <c r="E325" s="60" t="s">
        <v>227</v>
      </c>
      <c r="F325" s="60" t="s">
        <v>260</v>
      </c>
      <c r="G325" s="61" t="n">
        <v>74</v>
      </c>
      <c r="H325" s="62" t="n">
        <f aca="false">MAX(0,IF(AND(Parameter!$B$21="Ja",ISNUMBER(Y325)),Y325,IF(Parameter!$B$20="Jahresanfang 2025 + Export",BS325+BR325,BR325)))</f>
        <v>29</v>
      </c>
      <c r="I325" s="62" t="n">
        <f aca="false">H325*G325</f>
        <v>2146</v>
      </c>
      <c r="J325" s="62" t="n">
        <f aca="false">BU325*Parameter!$B$18</f>
        <v>13</v>
      </c>
      <c r="K325" s="63" t="n">
        <v>25</v>
      </c>
      <c r="L325" s="64" t="n">
        <v>0.52</v>
      </c>
      <c r="M325" s="62" t="n">
        <v>4</v>
      </c>
      <c r="N325" s="62" t="n">
        <v>50</v>
      </c>
      <c r="O325" s="65" t="n">
        <v>126</v>
      </c>
      <c r="P325" s="60" t="s">
        <v>463</v>
      </c>
      <c r="Q325" s="62" t="n">
        <v>37</v>
      </c>
      <c r="R325" s="65" t="n">
        <f aca="false">IF(CA325=1,0,IFERROR(VLOOKUP(BY325,'Gebinde-Kategorie'!$A$5:$N$45,13,0)+0,0))</f>
        <v>104</v>
      </c>
      <c r="S325" s="66"/>
      <c r="T325" s="67"/>
      <c r="U325" s="67"/>
      <c r="V325" s="67"/>
      <c r="W325" s="60"/>
      <c r="X325" s="62"/>
      <c r="Y325" s="62"/>
      <c r="Z325" s="60" t="n">
        <v>3</v>
      </c>
      <c r="AA325" s="60" t="n">
        <f aca="false">IF(A325="","",IF(AND(Parameter!$B$21="Ja",ISNUMBER(W325)),W325,IF(AND(Parameter!$E$27="Ja",ISNUMBER(Z325),CD325&lt;&gt;"Nein"),Z325,IF(CD325="2+3",IF(ISNUMBER(SEARCH("grosser Artikel",BV325)),2,IFERROR(VLOOKUP(BY325,Parameter!$F$35:$G$64,2,0),2)),IF(OR(CD325="Nein",CD325=""),"-",CD325)))))</f>
        <v>3</v>
      </c>
      <c r="AB325" s="67"/>
      <c r="AC325" s="68"/>
      <c r="AD325" s="62" t="n">
        <f aca="false">AW325</f>
        <v>54</v>
      </c>
      <c r="AE325" s="62" t="n">
        <f aca="false">MAX(AW325,H325)</f>
        <v>54</v>
      </c>
      <c r="AF325" s="69"/>
      <c r="AG325" s="62" t="n">
        <f aca="false">IF(LEFT(Cockpit!$C$5,1)="A",H325,IF(Parameter!$E$30="MAX-Bestand",IF(CI325=1,CJ325,IF(LEFT(Cockpit!$C$5,1)="B",AM325,MAX(AM325,H325))),ROUNDUP(AK325,0)))</f>
        <v>29</v>
      </c>
      <c r="AH325" s="62" t="n">
        <f aca="false">IF(CA325=1,0,ROUNDUP(AG325/BZ325,0))</f>
        <v>1</v>
      </c>
      <c r="AI325" s="64" t="n">
        <f aca="false">IF(CR325&gt;0,CR325*MAX(1,AG325/X325),IF(CA325=1,IF(AG325&lt;=0,0,CE325*MAX(1,IF(H325&gt;0,AG325/H325,1))),IF(R325&gt;0,AH325/R325,0))/MAX(0.1,N(Parameter!$M$21)))</f>
        <v>0.00961538461538462</v>
      </c>
      <c r="AJ325" s="62" t="n">
        <f aca="false">AI325*CC325</f>
        <v>1.49038461538462</v>
      </c>
      <c r="AK325" s="63" t="n">
        <f aca="false">IF(LEFT(Cockpit!$C$5,1)="A",H325,IF(CI325=1,(CL325+CJ325)/2,IF(LEFT(Cockpit!$C$5,1)="B",(CL325+AM325)/2,MAX((CL325+AM325)/2,H325))))</f>
        <v>29</v>
      </c>
      <c r="AL325" s="62" t="n">
        <f aca="false">AK325*G325</f>
        <v>2146</v>
      </c>
      <c r="AM325" s="62" t="n">
        <f aca="false">ROUNDUP(CL325+MAX(CM325,2*(J325/IF(CH325&gt;0,CH325,MAX(0.1,N(Cockpit!$C$6)))-CL325)),0)</f>
        <v>54</v>
      </c>
      <c r="AN325" s="63" t="n">
        <f aca="false">IF(AJ325&gt;0,J325/AJ325,-1)</f>
        <v>8.72258064516129</v>
      </c>
      <c r="AO325" s="63" t="n">
        <f aca="false">IF(AND(OR(CG325="L1",CG325="L23",CG325="LIFT"),AJ325&gt;0),SUMIFS($AJ$7:$AJ$1843,$CG$7:$CG$1843,CG325,$AN$7:$AN$1843,"&gt;"&amp;AN325)+SUMIFS($AJ$7:$AJ$1843,$CG$7:$CG$1843,CG325,$AN$7:$AN$1843,AN325,$BX$7:$BX$1843,"&lt;="&amp;BX325),"")</f>
        <v>2950.92994505495</v>
      </c>
      <c r="AP325" s="70" t="n">
        <f aca="false">IF(AO325="",0,MAX(0,MIN(1,(IF(CG325="L1",Parameter!$H$5,IF(CG325="L23",Parameter!$H$6+Parameter!$H$7,Parameter!$H$5+Parameter!$H$6+Parameter!$H$7))-(AO325-AJ325))/AJ325)))</f>
        <v>1</v>
      </c>
      <c r="AQ325" s="62" t="n">
        <f aca="false">IF(LEFT(Cockpit!$I$5,1)="A",H325,IF(Parameter!$E$30="MAX-Bestand",IF(CI325=1,CJ325,IF(LEFT(Cockpit!$I$5,1)="B",AW325,MAX(AW325,H325))),ROUNDUP(AU325,0)))</f>
        <v>29</v>
      </c>
      <c r="AR325" s="62" t="n">
        <f aca="false">IF(CA325=1,0,ROUNDUP(AQ325/BZ325,0))</f>
        <v>1</v>
      </c>
      <c r="AS325" s="64" t="n">
        <f aca="false">IF(CR325&gt;0,CR325*MAX(1,AQ325/X325),IF(CA325=1,IF(AQ325&lt;=0,0,CE325*MAX(1,IF(H325&gt;0,AQ325/H325,1))),IF(R325&gt;0,AR325/R325,0))/MAX(0.1,N(Parameter!$M$21)))</f>
        <v>0.00961538461538462</v>
      </c>
      <c r="AT325" s="62" t="n">
        <f aca="false">AS325*CC325</f>
        <v>1.49038461538462</v>
      </c>
      <c r="AU325" s="63" t="n">
        <f aca="false">IF(LEFT(Cockpit!$I$5,1)="A",H325,IF(CI325=1,(CL325+CJ325)/2,IF(LEFT(Cockpit!$I$5,1)="B",(CL325+AW325)/2,MAX((CL325+AW325)/2,H325))))</f>
        <v>29</v>
      </c>
      <c r="AV325" s="62" t="n">
        <f aca="false">AU325*G325</f>
        <v>2146</v>
      </c>
      <c r="AW325" s="62" t="n">
        <f aca="false">ROUNDUP(CL325+MAX(CM325,2*(J325/IF(CH325&gt;0,CH325,MAX(0.1,N(Cockpit!$I$6)))-CL325)),0)</f>
        <v>54</v>
      </c>
      <c r="AX325" s="63" t="n">
        <f aca="false">IF(AT325&gt;0,J325/AT325,-1)</f>
        <v>8.72258064516129</v>
      </c>
      <c r="AY325" s="63" t="n">
        <f aca="false">IF(AND(OR(CG325="L1",CG325="L23",CG325="LIFT"),AT325&gt;0),SUMIFS($AT$7:$AT$1843,$CG$7:$CG$1843,CG325,$AX$7:$AX$1843,"&gt;"&amp;AX325)+SUMIFS($AT$7:$AT$1843,$CG$7:$CG$1843,CG325,$AX$7:$AX$1843,AX325,$BX$7:$BX$1843,"&lt;="&amp;BX325),"")</f>
        <v>3565.91804029304</v>
      </c>
      <c r="AZ325" s="70" t="n">
        <f aca="false">IF(AY325="",0,MAX(0,MIN(1,(IF(CG325="L1",Parameter!$H$5,IF(CG325="L23",Parameter!$H$6+Parameter!$H$7,Parameter!$H$5+Parameter!$H$6+Parameter!$H$7))-(AY325-AT325))/AT325)))</f>
        <v>1</v>
      </c>
      <c r="BA325" s="62" t="n">
        <f aca="false">IF(LEFT(Cockpit!$O$5,1)="A",H325,IF(Parameter!$E$30="MAX-Bestand",IF(CI325=1,CJ325,IF(LEFT(Cockpit!$O$5,1)="B",BG325,MAX(BG325,H325))),ROUNDUP(BE325,0)))</f>
        <v>29</v>
      </c>
      <c r="BB325" s="62" t="n">
        <f aca="false">IF(CA325=1,0,ROUNDUP(BA325/BZ325,0))</f>
        <v>1</v>
      </c>
      <c r="BC325" s="64" t="n">
        <f aca="false">IF(CR325&gt;0,CR325*MAX(1,BA325/X325),IF(CA325=1,IF(BA325&lt;=0,0,CE325*MAX(1,IF(H325&gt;0,BA325/H325,1))),IF(R325&gt;0,BB325/R325,0))/MAX(0.1,N(Parameter!$M$21)))</f>
        <v>0.00961538461538462</v>
      </c>
      <c r="BD325" s="62" t="n">
        <f aca="false">BC325*CC325</f>
        <v>1.49038461538462</v>
      </c>
      <c r="BE325" s="63" t="n">
        <f aca="false">IF(LEFT(Cockpit!$O$5,1)="A",H325,IF(CI325=1,(CL325+CJ325)/2,IF(LEFT(Cockpit!$O$5,1)="B",(CL325+BG325)/2,MAX((CL325+BG325)/2,H325))))</f>
        <v>29</v>
      </c>
      <c r="BF325" s="62" t="n">
        <f aca="false">BE325*G325</f>
        <v>2146</v>
      </c>
      <c r="BG325" s="62" t="n">
        <f aca="false">ROUNDUP(CL325+MAX(CM325,2*(J325/IF(CH325&gt;0,CH325,MAX(0.1,N(Cockpit!$O$6)))-CL325)),0)</f>
        <v>54</v>
      </c>
      <c r="BH325" s="63" t="n">
        <f aca="false">IF(BD325&gt;0,J325/BD325,-1)</f>
        <v>8.72258064516129</v>
      </c>
      <c r="BI325" s="63" t="n">
        <f aca="false">IF(AND(OR(CG325="L1",CG325="L23",CG325="LIFT"),BD325&gt;0),SUMIFS($BD$7:$BD$1843,$CG$7:$CG$1843,CG325,$BH$7:$BH$1843,"&gt;"&amp;BH325)+SUMIFS($BD$7:$BD$1843,$CG$7:$CG$1843,CG325,$BH$7:$BH$1843,BH325,$BX$7:$BX$1843,"&lt;="&amp;BX325),"")</f>
        <v>2889.19734432234</v>
      </c>
      <c r="BJ325" s="70" t="n">
        <f aca="false">IF(BI325="",0,MAX(0,MIN(1,(IF(CG325="L1",Parameter!$H$5,IF(CG325="L23",Parameter!$H$6+Parameter!$H$7,Parameter!$H$5+Parameter!$H$6+Parameter!$H$7))-(BI325-BD325))/BD325)))</f>
        <v>1</v>
      </c>
      <c r="BK325" s="60" t="str">
        <f aca="false">IF(AJ325&lt;=0,"",IF(CG325="Aussen","Aussenlager",IF(CG325="-","Nicht im Lift",IF(AP325&gt;=1,"Lift",IF(AP325&lt;=0,"Aussenlager","teilweise")))))</f>
        <v>Lift</v>
      </c>
      <c r="BL325" s="60" t="str">
        <f aca="false">IF(AT325&lt;=0,"",IF(CG325="Aussen","Aussenlager",IF(CG325="-","Nicht im Lift",IF(AZ325&gt;=1,"Lift",IF(AZ325&lt;=0,"Aussenlager","teilweise")))))</f>
        <v>Lift</v>
      </c>
      <c r="BM325" s="60" t="str">
        <f aca="false">IF(BD325&lt;=0,"",IF(CG325="Aussen","Aussenlager",IF(CG325="-","Nicht im Lift",IF(BJ325&gt;=1,"Lift",IF(BJ325&lt;=0,"Aussenlager","teilweise")))))</f>
        <v>Lift</v>
      </c>
      <c r="BN325" s="60" t="str">
        <f aca="false">IF(A325="","",IF(BW325=1,"Neu; ","")&amp;IF(AND(BW325=0,BR325&lt;0),"negativer Bestand (Export "&amp;BR325&amp;"); ","")&amp;IF(J325&lt;=0,"Kein Verbrauch; ","")&amp;IF(CR325&gt;0,"Lift "&amp;W325&amp;" lt. Liftbericht (Fach "&amp;X325&amp;" Stk); ",IF(CB325=1,"Gebinde geschätzt ("&amp;T325&amp;"); ",IF(CA325=1,"Lose – Tablare geschätzt; ","")))&amp;IF(H325&gt;AW325,"Überbestand "&amp;ROUND(H325-AW325,0)&amp;" Stk / CHF "&amp;ROUND((H325-AW325)*G325,0)&amp;"; ","")&amp;IF(AND(CI325=1,CJ325&lt;CK325),"MAX &lt; MB+LG; ","")&amp;IF(AND(CQ325&gt;0,CP325*10&gt;CQ325),"zu hoch für Tablar; ","")&amp;IF(AND(BW325=0,OR(CI325=1,AB325&lt;&gt;"",U325&lt;&gt;"",V325&lt;&gt;"",AC325&lt;&gt;"")),"manuell übersteuert; ","")&amp;IF(AND(CA325=0,R325=0),"Gebinde unbekannt / Stellmass fehlt; ","")&amp;IF(AND(CA325=0,N(V325)&lt;=0,N(Q325)&lt;=0),"Menge pro Gebinde fehlt (Ist = 1 Gebinde); ","")&amp;BV325)</f>
        <v/>
      </c>
      <c r="BO325" s="60"/>
      <c r="BP325" s="60"/>
      <c r="BQ325" s="67"/>
      <c r="BR325" s="62" t="n">
        <v>8</v>
      </c>
      <c r="BS325" s="62" t="n">
        <v>21</v>
      </c>
      <c r="BT325" s="61" t="n">
        <v>228.28</v>
      </c>
      <c r="BU325" s="62" t="n">
        <v>13</v>
      </c>
      <c r="BV325" s="60"/>
      <c r="BW325" s="65" t="n">
        <v>0</v>
      </c>
      <c r="BX325" s="65" t="n">
        <v>325</v>
      </c>
      <c r="BY325" s="60" t="str">
        <f aca="false">IF(U325&lt;&gt;"",UPPER(TRIM(U325)),IF(CB325=1,UPPER(VLOOKUP(T325,Parameter!$I$27:$K$29,2,0)),IF(P325="","LOSE",P325)))</f>
        <v>S32</v>
      </c>
      <c r="BZ325" s="62" t="n">
        <f aca="false">IF(BY325="LOSE",1,IF(N(V325)&gt;0,V325,IF(CB325=1,MAX(1,N(VLOOKUP(T325,Parameter!$I$27:$K$29,3,0)),H325,N(N325)),IF(N(Q325)&gt;0,Q325,MAX(1,H325)))))</f>
        <v>37</v>
      </c>
      <c r="CA325" s="65" t="n">
        <f aca="false">IF(BY325="LOSE",1,0)</f>
        <v>0</v>
      </c>
      <c r="CB325" s="65" t="n">
        <f aca="false">IF(AND(U325="",OR(P325="",P325="LOSE"),T325&lt;&gt;"",N(S325)&lt;=0,ISNUMBER(MATCH(T325,Parameter!$I$27:$I$29,0))),1,0)</f>
        <v>0</v>
      </c>
      <c r="CC325" s="65" t="n">
        <f aca="false">IF(CR325&gt;0,INDEX(Parameter!$H$5:$H$7,W325)/INDEX(Parameter!$E$5:$E$7,W325),IF(AND(CA325=0,N(IFERROR(VLOOKUP(BY325,'Gebinde-Kategorie'!$A$5:$N$45,14,0),0))&gt;0),VLOOKUP(BY325,'Gebinde-Kategorie'!$A$5:$N$45,14,0)*10+Parameter!$M$23,Parameter!$M$24))</f>
        <v>155</v>
      </c>
      <c r="CD325" s="60" t="str">
        <f aca="false">IF(AND(Parameter!$B$19="Ja",E325&lt;&gt;"",ISNUMBER(MATCH(E325,Parameter!$I$35:$I$52,0))),VLOOKUP(E325,Parameter!$I$35:$J$52,2,0),IFERROR(VLOOKUP(D325,Parameter!$A$35:$C$64,2,0),"Nein"))</f>
        <v>2+3</v>
      </c>
      <c r="CE325" s="64" t="n">
        <f aca="false">IF(CA325=0,0,IF(N(S325)&gt;0,S325,IFERROR(VLOOKUP(D325,Parameter!$A$35:$C$64,3,0)+0,0)))</f>
        <v>0</v>
      </c>
      <c r="CF325" s="60" t="n">
        <f aca="false">IF(AB325&lt;&gt;"",AB325,AA325)</f>
        <v>3</v>
      </c>
      <c r="CG325" s="60" t="str">
        <f aca="false">IF(OR(CF325=1,CF325=2,CF325=3),IF(Parameter!$E$27="Ja","LIFT",IF(CF325=1,"L1","L23")),IF(CF325="Aussen","Aussen","-"))</f>
        <v>LIFT</v>
      </c>
      <c r="CH325" s="71" t="n">
        <f aca="false">IF(N(AC325)&gt;0,AC325,0)</f>
        <v>0</v>
      </c>
      <c r="CI325" s="65" t="n">
        <f aca="false">IF(ISNUMBER(AF325),1,0)</f>
        <v>0</v>
      </c>
      <c r="CJ325" s="62" t="n">
        <f aca="false">N(AF325)</f>
        <v>0</v>
      </c>
      <c r="CK325" s="62" t="n">
        <f aca="false">N(M325)+N(N325)</f>
        <v>54</v>
      </c>
      <c r="CL325" s="62" t="n">
        <f aca="false">N(M325)</f>
        <v>4</v>
      </c>
      <c r="CM325" s="62" t="n">
        <f aca="false">N(N325)</f>
        <v>50</v>
      </c>
      <c r="CN325" s="62" t="n">
        <f aca="false">ROUNDUP(H325/BZ325,0)</f>
        <v>1</v>
      </c>
      <c r="CO325" s="62" t="n">
        <f aca="false">ROUNDUP(CJ325/BZ325,0)</f>
        <v>0</v>
      </c>
      <c r="CP325" s="65" t="n">
        <f aca="false">IF(CA325=1,0,IFERROR(VLOOKUP(BY325,'Gebinde-Kategorie'!$A$5:$N$45,5,0)+0,0))</f>
        <v>8</v>
      </c>
      <c r="CQ325" s="65" t="n">
        <f aca="false">IFERROR(IF(OR(CF325=1,CF325=2,CF325=3),N(INDEX(Parameter!$I$5:$I$7,CF325)),0),0)</f>
        <v>0</v>
      </c>
      <c r="CR325" s="64" t="n">
        <f aca="false">IF(AND(Parameter!$B$21="Ja",ISNUMBER(W325),N(X325)&gt;0),IFERROR(N(INDEX(Parameter!$L$5:$L$7,W325))*INDEX(Parameter!$E$5:$E$7,W325)*X325/SUMIFS($X$7:$X$1843,$W$7:$W$1843,W325),0),0)</f>
        <v>0</v>
      </c>
      <c r="CS325" s="62" t="n">
        <f aca="false">IF(AND(OR(CG325="L1",CG325="L23",CG325="LIFT"),H325&gt;0),CC325*IF(CR325&gt;0,CR325*MAX(1,H325/X325),IF(CA325=1,CE325,IF(R325&gt;0,CN325/R325,0))/MAX(0.1,N(Parameter!$M$21))),"")</f>
        <v>1.49038461538462</v>
      </c>
      <c r="CT325" s="64" t="n">
        <f aca="false">IF(CS325="","",J325/H325)</f>
        <v>0.448275862068966</v>
      </c>
      <c r="CU325" s="62" t="n">
        <f aca="false">IF(CS325="","",H325*G325)</f>
        <v>2146</v>
      </c>
      <c r="CV325" s="63" t="n">
        <f aca="false">IF(CS325="","",(CL325+ROUNDUP(CL325+MAX(CM325,2*(J325/MAX(0.1,N(Einkauf!$C$6))-CL325)),0))/2)</f>
        <v>29</v>
      </c>
      <c r="CW325" s="62" t="n">
        <f aca="false">IF(CS325="","",MAX(0,H325-CV325)*G325)</f>
        <v>0</v>
      </c>
      <c r="CX325" s="62" t="n">
        <f aca="false">IF(CS325="","",CS325*MAX(0,1-CV325/H325))</f>
        <v>0</v>
      </c>
      <c r="CY325" s="64" t="n">
        <f aca="false">IF(CS325="","",PERCENTRANK($CS$7:$CS$1843,CS325)+PERCENTRANK($CU$7:$CU$1843,CU325)+1-PERCENTRANK($CT$7:$CT$1843,CT325))</f>
        <v>1.358</v>
      </c>
      <c r="CZ325" s="72" t="n">
        <f aca="false">IF(CS325="","",CHOOSE(MATCH(Einkauf!$C$5,Parameter!$G$23:$G$27,0),CY325,CS325,CU325,-CT325,CW325)+ROW()/1000000000)</f>
        <v>1.358000325</v>
      </c>
    </row>
    <row r="326" customFormat="false" ht="15" hidden="false" customHeight="false" outlineLevel="0" collapsed="false">
      <c r="A326" s="60" t="s">
        <v>857</v>
      </c>
      <c r="B326" s="60" t="s">
        <v>858</v>
      </c>
      <c r="C326" s="60" t="s">
        <v>206</v>
      </c>
      <c r="D326" s="60" t="s">
        <v>226</v>
      </c>
      <c r="E326" s="60" t="s">
        <v>227</v>
      </c>
      <c r="F326" s="60" t="s">
        <v>260</v>
      </c>
      <c r="G326" s="61" t="n">
        <v>34.66</v>
      </c>
      <c r="H326" s="62" t="n">
        <f aca="false">MAX(0,IF(AND(Parameter!$B$21="Ja",ISNUMBER(Y326)),Y326,IF(Parameter!$B$20="Jahresanfang 2025 + Export",BS326+BR326,BR326)))</f>
        <v>33</v>
      </c>
      <c r="I326" s="62" t="n">
        <f aca="false">H326*G326</f>
        <v>1143.78</v>
      </c>
      <c r="J326" s="62" t="n">
        <f aca="false">BU326*Parameter!$B$18</f>
        <v>37</v>
      </c>
      <c r="K326" s="63" t="n">
        <v>23.5</v>
      </c>
      <c r="L326" s="64" t="n">
        <v>1.57446808510638</v>
      </c>
      <c r="M326" s="62" t="n">
        <v>4</v>
      </c>
      <c r="N326" s="62" t="n">
        <v>35</v>
      </c>
      <c r="O326" s="65" t="n">
        <v>42</v>
      </c>
      <c r="P326" s="60" t="s">
        <v>463</v>
      </c>
      <c r="Q326" s="62" t="n">
        <v>46</v>
      </c>
      <c r="R326" s="65" t="n">
        <f aca="false">IF(CA326=1,0,IFERROR(VLOOKUP(BY326,'Gebinde-Kategorie'!$A$5:$N$45,13,0)+0,0))</f>
        <v>104</v>
      </c>
      <c r="S326" s="66"/>
      <c r="T326" s="67"/>
      <c r="U326" s="67"/>
      <c r="V326" s="67"/>
      <c r="W326" s="60"/>
      <c r="X326" s="62"/>
      <c r="Y326" s="62"/>
      <c r="Z326" s="60" t="n">
        <v>3</v>
      </c>
      <c r="AA326" s="60" t="n">
        <f aca="false">IF(A326="","",IF(AND(Parameter!$B$21="Ja",ISNUMBER(W326)),W326,IF(AND(Parameter!$E$27="Ja",ISNUMBER(Z326),CD326&lt;&gt;"Nein"),Z326,IF(CD326="2+3",IF(ISNUMBER(SEARCH("grosser Artikel",BV326)),2,IFERROR(VLOOKUP(BY326,Parameter!$F$35:$G$64,2,0),2)),IF(OR(CD326="Nein",CD326=""),"-",CD326)))))</f>
        <v>3</v>
      </c>
      <c r="AB326" s="67"/>
      <c r="AC326" s="68"/>
      <c r="AD326" s="62" t="n">
        <f aca="false">AW326</f>
        <v>39</v>
      </c>
      <c r="AE326" s="62" t="n">
        <f aca="false">MAX(AW326,H326)</f>
        <v>39</v>
      </c>
      <c r="AF326" s="69"/>
      <c r="AG326" s="62" t="n">
        <f aca="false">IF(LEFT(Cockpit!$C$5,1)="A",H326,IF(Parameter!$E$30="MAX-Bestand",IF(CI326=1,CJ326,IF(LEFT(Cockpit!$C$5,1)="B",AM326,MAX(AM326,H326))),ROUNDUP(AK326,0)))</f>
        <v>33</v>
      </c>
      <c r="AH326" s="62" t="n">
        <f aca="false">IF(CA326=1,0,ROUNDUP(AG326/BZ326,0))</f>
        <v>1</v>
      </c>
      <c r="AI326" s="64" t="n">
        <f aca="false">IF(CR326&gt;0,CR326*MAX(1,AG326/X326),IF(CA326=1,IF(AG326&lt;=0,0,CE326*MAX(1,IF(H326&gt;0,AG326/H326,1))),IF(R326&gt;0,AH326/R326,0))/MAX(0.1,N(Parameter!$M$21)))</f>
        <v>0.00961538461538462</v>
      </c>
      <c r="AJ326" s="62" t="n">
        <f aca="false">AI326*CC326</f>
        <v>1.49038461538462</v>
      </c>
      <c r="AK326" s="63" t="n">
        <f aca="false">IF(LEFT(Cockpit!$C$5,1)="A",H326,IF(CI326=1,(CL326+CJ326)/2,IF(LEFT(Cockpit!$C$5,1)="B",(CL326+AM326)/2,MAX((CL326+AM326)/2,H326))))</f>
        <v>33</v>
      </c>
      <c r="AL326" s="62" t="n">
        <f aca="false">AK326*G326</f>
        <v>1143.78</v>
      </c>
      <c r="AM326" s="62" t="n">
        <f aca="false">ROUNDUP(CL326+MAX(CM326,2*(J326/IF(CH326&gt;0,CH326,MAX(0.1,N(Cockpit!$C$6)))-CL326)),0)</f>
        <v>39</v>
      </c>
      <c r="AN326" s="63" t="n">
        <f aca="false">IF(AJ326&gt;0,J326/AJ326,-1)</f>
        <v>24.8258064516129</v>
      </c>
      <c r="AO326" s="63" t="n">
        <f aca="false">IF(AND(OR(CG326="L1",CG326="L23",CG326="LIFT"),AJ326&gt;0),SUMIFS($AJ$7:$AJ$1843,$CG$7:$CG$1843,CG326,$AN$7:$AN$1843,"&gt;"&amp;AN326)+SUMIFS($AJ$7:$AJ$1843,$CG$7:$CG$1843,CG326,$AN$7:$AN$1843,AN326,$BX$7:$BX$1843,"&lt;="&amp;BX326),"")</f>
        <v>1544.11767399267</v>
      </c>
      <c r="AP326" s="70" t="n">
        <f aca="false">IF(AO326="",0,MAX(0,MIN(1,(IF(CG326="L1",Parameter!$H$5,IF(CG326="L23",Parameter!$H$6+Parameter!$H$7,Parameter!$H$5+Parameter!$H$6+Parameter!$H$7))-(AO326-AJ326))/AJ326)))</f>
        <v>1</v>
      </c>
      <c r="AQ326" s="62" t="n">
        <f aca="false">IF(LEFT(Cockpit!$I$5,1)="A",H326,IF(Parameter!$E$30="MAX-Bestand",IF(CI326=1,CJ326,IF(LEFT(Cockpit!$I$5,1)="B",AW326,MAX(AW326,H326))),ROUNDUP(AU326,0)))</f>
        <v>33</v>
      </c>
      <c r="AR326" s="62" t="n">
        <f aca="false">IF(CA326=1,0,ROUNDUP(AQ326/BZ326,0))</f>
        <v>1</v>
      </c>
      <c r="AS326" s="64" t="n">
        <f aca="false">IF(CR326&gt;0,CR326*MAX(1,AQ326/X326),IF(CA326=1,IF(AQ326&lt;=0,0,CE326*MAX(1,IF(H326&gt;0,AQ326/H326,1))),IF(R326&gt;0,AR326/R326,0))/MAX(0.1,N(Parameter!$M$21)))</f>
        <v>0.00961538461538462</v>
      </c>
      <c r="AT326" s="62" t="n">
        <f aca="false">AS326*CC326</f>
        <v>1.49038461538462</v>
      </c>
      <c r="AU326" s="63" t="n">
        <f aca="false">IF(LEFT(Cockpit!$I$5,1)="A",H326,IF(CI326=1,(CL326+CJ326)/2,IF(LEFT(Cockpit!$I$5,1)="B",(CL326+AW326)/2,MAX((CL326+AW326)/2,H326))))</f>
        <v>33</v>
      </c>
      <c r="AV326" s="62" t="n">
        <f aca="false">AU326*G326</f>
        <v>1143.78</v>
      </c>
      <c r="AW326" s="62" t="n">
        <f aca="false">ROUNDUP(CL326+MAX(CM326,2*(J326/IF(CH326&gt;0,CH326,MAX(0.1,N(Cockpit!$I$6)))-CL326)),0)</f>
        <v>39</v>
      </c>
      <c r="AX326" s="63" t="n">
        <f aca="false">IF(AT326&gt;0,J326/AT326,-1)</f>
        <v>24.8258064516129</v>
      </c>
      <c r="AY326" s="63" t="n">
        <f aca="false">IF(AND(OR(CG326="L1",CG326="L23",CG326="LIFT"),AT326&gt;0),SUMIFS($AT$7:$AT$1843,$CG$7:$CG$1843,CG326,$AX$7:$AX$1843,"&gt;"&amp;AX326)+SUMIFS($AT$7:$AT$1843,$CG$7:$CG$1843,CG326,$AX$7:$AX$1843,AX326,$BX$7:$BX$1843,"&lt;="&amp;BX326),"")</f>
        <v>2169.9565018315</v>
      </c>
      <c r="AZ326" s="70" t="n">
        <f aca="false">IF(AY326="",0,MAX(0,MIN(1,(IF(CG326="L1",Parameter!$H$5,IF(CG326="L23",Parameter!$H$6+Parameter!$H$7,Parameter!$H$5+Parameter!$H$6+Parameter!$H$7))-(AY326-AT326))/AT326)))</f>
        <v>1</v>
      </c>
      <c r="BA326" s="62" t="n">
        <f aca="false">IF(LEFT(Cockpit!$O$5,1)="A",H326,IF(Parameter!$E$30="MAX-Bestand",IF(CI326=1,CJ326,IF(LEFT(Cockpit!$O$5,1)="B",BG326,MAX(BG326,H326))),ROUNDUP(BE326,0)))</f>
        <v>22</v>
      </c>
      <c r="BB326" s="62" t="n">
        <f aca="false">IF(CA326=1,0,ROUNDUP(BA326/BZ326,0))</f>
        <v>1</v>
      </c>
      <c r="BC326" s="64" t="n">
        <f aca="false">IF(CR326&gt;0,CR326*MAX(1,BA326/X326),IF(CA326=1,IF(BA326&lt;=0,0,CE326*MAX(1,IF(H326&gt;0,BA326/H326,1))),IF(R326&gt;0,BB326/R326,0))/MAX(0.1,N(Parameter!$M$21)))</f>
        <v>0.00961538461538462</v>
      </c>
      <c r="BD326" s="62" t="n">
        <f aca="false">BC326*CC326</f>
        <v>1.49038461538462</v>
      </c>
      <c r="BE326" s="63" t="n">
        <f aca="false">IF(LEFT(Cockpit!$O$5,1)="A",H326,IF(CI326=1,(CL326+CJ326)/2,IF(LEFT(Cockpit!$O$5,1)="B",(CL326+BG326)/2,MAX((CL326+BG326)/2,H326))))</f>
        <v>21.5</v>
      </c>
      <c r="BF326" s="62" t="n">
        <f aca="false">BE326*G326</f>
        <v>745.19</v>
      </c>
      <c r="BG326" s="62" t="n">
        <f aca="false">ROUNDUP(CL326+MAX(CM326,2*(J326/IF(CH326&gt;0,CH326,MAX(0.1,N(Cockpit!$O$6)))-CL326)),0)</f>
        <v>39</v>
      </c>
      <c r="BH326" s="63" t="n">
        <f aca="false">IF(BD326&gt;0,J326/BD326,-1)</f>
        <v>24.8258064516129</v>
      </c>
      <c r="BI326" s="63" t="n">
        <f aca="false">IF(AND(OR(CG326="L1",CG326="L23",CG326="LIFT"),BD326&gt;0),SUMIFS($BD$7:$BD$1843,$CG$7:$CG$1843,CG326,$BH$7:$BH$1843,"&gt;"&amp;BH326)+SUMIFS($BD$7:$BD$1843,$CG$7:$CG$1843,CG326,$BH$7:$BH$1843,BH326,$BX$7:$BX$1843,"&lt;="&amp;BX326),"")</f>
        <v>2086.4217032967</v>
      </c>
      <c r="BJ326" s="70" t="n">
        <f aca="false">IF(BI326="",0,MAX(0,MIN(1,(IF(CG326="L1",Parameter!$H$5,IF(CG326="L23",Parameter!$H$6+Parameter!$H$7,Parameter!$H$5+Parameter!$H$6+Parameter!$H$7))-(BI326-BD326))/BD326)))</f>
        <v>1</v>
      </c>
      <c r="BK326" s="60" t="str">
        <f aca="false">IF(AJ326&lt;=0,"",IF(CG326="Aussen","Aussenlager",IF(CG326="-","Nicht im Lift",IF(AP326&gt;=1,"Lift",IF(AP326&lt;=0,"Aussenlager","teilweise")))))</f>
        <v>Lift</v>
      </c>
      <c r="BL326" s="60" t="str">
        <f aca="false">IF(AT326&lt;=0,"",IF(CG326="Aussen","Aussenlager",IF(CG326="-","Nicht im Lift",IF(AZ326&gt;=1,"Lift",IF(AZ326&lt;=0,"Aussenlager","teilweise")))))</f>
        <v>Lift</v>
      </c>
      <c r="BM326" s="60" t="str">
        <f aca="false">IF(BD326&lt;=0,"",IF(CG326="Aussen","Aussenlager",IF(CG326="-","Nicht im Lift",IF(BJ326&gt;=1,"Lift",IF(BJ326&lt;=0,"Aussenlager","teilweise")))))</f>
        <v>Lift</v>
      </c>
      <c r="BN326" s="60" t="str">
        <f aca="false">IF(A326="","",IF(BW326=1,"Neu; ","")&amp;IF(AND(BW326=0,BR326&lt;0),"negativer Bestand (Export "&amp;BR326&amp;"); ","")&amp;IF(J326&lt;=0,"Kein Verbrauch; ","")&amp;IF(CR326&gt;0,"Lift "&amp;W326&amp;" lt. Liftbericht (Fach "&amp;X326&amp;" Stk); ",IF(CB326=1,"Gebinde geschätzt ("&amp;T326&amp;"); ",IF(CA326=1,"Lose – Tablare geschätzt; ","")))&amp;IF(H326&gt;AW326,"Überbestand "&amp;ROUND(H326-AW326,0)&amp;" Stk / CHF "&amp;ROUND((H326-AW326)*G326,0)&amp;"; ","")&amp;IF(AND(CI326=1,CJ326&lt;CK326),"MAX &lt; MB+LG; ","")&amp;IF(AND(CQ326&gt;0,CP326*10&gt;CQ326),"zu hoch für Tablar; ","")&amp;IF(AND(BW326=0,OR(CI326=1,AB326&lt;&gt;"",U326&lt;&gt;"",V326&lt;&gt;"",AC326&lt;&gt;"")),"manuell übersteuert; ","")&amp;IF(AND(CA326=0,R326=0),"Gebinde unbekannt / Stellmass fehlt; ","")&amp;IF(AND(CA326=0,N(V326)&lt;=0,N(Q326)&lt;=0),"Menge pro Gebinde fehlt (Ist = 1 Gebinde); ","")&amp;BV326)</f>
        <v/>
      </c>
      <c r="BO326" s="60"/>
      <c r="BP326" s="60"/>
      <c r="BQ326" s="67"/>
      <c r="BR326" s="62" t="n">
        <v>11</v>
      </c>
      <c r="BS326" s="62" t="n">
        <v>22</v>
      </c>
      <c r="BT326" s="61" t="n">
        <v>227.04</v>
      </c>
      <c r="BU326" s="62" t="n">
        <v>37</v>
      </c>
      <c r="BV326" s="60"/>
      <c r="BW326" s="65" t="n">
        <v>0</v>
      </c>
      <c r="BX326" s="65" t="n">
        <v>326</v>
      </c>
      <c r="BY326" s="60" t="str">
        <f aca="false">IF(U326&lt;&gt;"",UPPER(TRIM(U326)),IF(CB326=1,UPPER(VLOOKUP(T326,Parameter!$I$27:$K$29,2,0)),IF(P326="","LOSE",P326)))</f>
        <v>S32</v>
      </c>
      <c r="BZ326" s="62" t="n">
        <f aca="false">IF(BY326="LOSE",1,IF(N(V326)&gt;0,V326,IF(CB326=1,MAX(1,N(VLOOKUP(T326,Parameter!$I$27:$K$29,3,0)),H326,N(N326)),IF(N(Q326)&gt;0,Q326,MAX(1,H326)))))</f>
        <v>46</v>
      </c>
      <c r="CA326" s="65" t="n">
        <f aca="false">IF(BY326="LOSE",1,0)</f>
        <v>0</v>
      </c>
      <c r="CB326" s="65" t="n">
        <f aca="false">IF(AND(U326="",OR(P326="",P326="LOSE"),T326&lt;&gt;"",N(S326)&lt;=0,ISNUMBER(MATCH(T326,Parameter!$I$27:$I$29,0))),1,0)</f>
        <v>0</v>
      </c>
      <c r="CC326" s="65" t="n">
        <f aca="false">IF(CR326&gt;0,INDEX(Parameter!$H$5:$H$7,W326)/INDEX(Parameter!$E$5:$E$7,W326),IF(AND(CA326=0,N(IFERROR(VLOOKUP(BY326,'Gebinde-Kategorie'!$A$5:$N$45,14,0),0))&gt;0),VLOOKUP(BY326,'Gebinde-Kategorie'!$A$5:$N$45,14,0)*10+Parameter!$M$23,Parameter!$M$24))</f>
        <v>155</v>
      </c>
      <c r="CD326" s="60" t="str">
        <f aca="false">IF(AND(Parameter!$B$19="Ja",E326&lt;&gt;"",ISNUMBER(MATCH(E326,Parameter!$I$35:$I$52,0))),VLOOKUP(E326,Parameter!$I$35:$J$52,2,0),IFERROR(VLOOKUP(D326,Parameter!$A$35:$C$64,2,0),"Nein"))</f>
        <v>2+3</v>
      </c>
      <c r="CE326" s="64" t="n">
        <f aca="false">IF(CA326=0,0,IF(N(S326)&gt;0,S326,IFERROR(VLOOKUP(D326,Parameter!$A$35:$C$64,3,0)+0,0)))</f>
        <v>0</v>
      </c>
      <c r="CF326" s="60" t="n">
        <f aca="false">IF(AB326&lt;&gt;"",AB326,AA326)</f>
        <v>3</v>
      </c>
      <c r="CG326" s="60" t="str">
        <f aca="false">IF(OR(CF326=1,CF326=2,CF326=3),IF(Parameter!$E$27="Ja","LIFT",IF(CF326=1,"L1","L23")),IF(CF326="Aussen","Aussen","-"))</f>
        <v>LIFT</v>
      </c>
      <c r="CH326" s="71" t="n">
        <f aca="false">IF(N(AC326)&gt;0,AC326,0)</f>
        <v>0</v>
      </c>
      <c r="CI326" s="65" t="n">
        <f aca="false">IF(ISNUMBER(AF326),1,0)</f>
        <v>0</v>
      </c>
      <c r="CJ326" s="62" t="n">
        <f aca="false">N(AF326)</f>
        <v>0</v>
      </c>
      <c r="CK326" s="62" t="n">
        <f aca="false">N(M326)+N(N326)</f>
        <v>39</v>
      </c>
      <c r="CL326" s="62" t="n">
        <f aca="false">N(M326)</f>
        <v>4</v>
      </c>
      <c r="CM326" s="62" t="n">
        <f aca="false">N(N326)</f>
        <v>35</v>
      </c>
      <c r="CN326" s="62" t="n">
        <f aca="false">ROUNDUP(H326/BZ326,0)</f>
        <v>1</v>
      </c>
      <c r="CO326" s="62" t="n">
        <f aca="false">ROUNDUP(CJ326/BZ326,0)</f>
        <v>0</v>
      </c>
      <c r="CP326" s="65" t="n">
        <f aca="false">IF(CA326=1,0,IFERROR(VLOOKUP(BY326,'Gebinde-Kategorie'!$A$5:$N$45,5,0)+0,0))</f>
        <v>8</v>
      </c>
      <c r="CQ326" s="65" t="n">
        <f aca="false">IFERROR(IF(OR(CF326=1,CF326=2,CF326=3),N(INDEX(Parameter!$I$5:$I$7,CF326)),0),0)</f>
        <v>0</v>
      </c>
      <c r="CR326" s="64" t="n">
        <f aca="false">IF(AND(Parameter!$B$21="Ja",ISNUMBER(W326),N(X326)&gt;0),IFERROR(N(INDEX(Parameter!$L$5:$L$7,W326))*INDEX(Parameter!$E$5:$E$7,W326)*X326/SUMIFS($X$7:$X$1843,$W$7:$W$1843,W326),0),0)</f>
        <v>0</v>
      </c>
      <c r="CS326" s="62" t="n">
        <f aca="false">IF(AND(OR(CG326="L1",CG326="L23",CG326="LIFT"),H326&gt;0),CC326*IF(CR326&gt;0,CR326*MAX(1,H326/X326),IF(CA326=1,CE326,IF(R326&gt;0,CN326/R326,0))/MAX(0.1,N(Parameter!$M$21))),"")</f>
        <v>1.49038461538462</v>
      </c>
      <c r="CT326" s="64" t="n">
        <f aca="false">IF(CS326="","",J326/H326)</f>
        <v>1.12121212121212</v>
      </c>
      <c r="CU326" s="62" t="n">
        <f aca="false">IF(CS326="","",H326*G326)</f>
        <v>1143.78</v>
      </c>
      <c r="CV326" s="63" t="n">
        <f aca="false">IF(CS326="","",(CL326+ROUNDUP(CL326+MAX(CM326,2*(J326/MAX(0.1,N(Einkauf!$C$6))-CL326)),0))/2)</f>
        <v>21.5</v>
      </c>
      <c r="CW326" s="62" t="n">
        <f aca="false">IF(CS326="","",MAX(0,H326-CV326)*G326)</f>
        <v>398.59</v>
      </c>
      <c r="CX326" s="62" t="n">
        <f aca="false">IF(CS326="","",CS326*MAX(0,1-CV326/H326))</f>
        <v>0.519376456876457</v>
      </c>
      <c r="CY326" s="64" t="n">
        <f aca="false">IF(CS326="","",PERCENTRANK($CS$7:$CS$1843,CS326)+PERCENTRANK($CU$7:$CU$1843,CU326)+1-PERCENTRANK($CT$7:$CT$1843,CT326))</f>
        <v>1.096</v>
      </c>
      <c r="CZ326" s="72" t="n">
        <f aca="false">IF(CS326="","",CHOOSE(MATCH(Einkauf!$C$5,Parameter!$G$23:$G$27,0),CY326,CS326,CU326,-CT326,CW326)+ROW()/1000000000)</f>
        <v>1.096000326</v>
      </c>
    </row>
    <row r="327" customFormat="false" ht="15" hidden="false" customHeight="false" outlineLevel="0" collapsed="false">
      <c r="A327" s="60" t="s">
        <v>859</v>
      </c>
      <c r="B327" s="60" t="s">
        <v>860</v>
      </c>
      <c r="C327" s="60" t="s">
        <v>206</v>
      </c>
      <c r="D327" s="60" t="s">
        <v>226</v>
      </c>
      <c r="E327" s="60" t="s">
        <v>227</v>
      </c>
      <c r="F327" s="60" t="s">
        <v>260</v>
      </c>
      <c r="G327" s="61" t="n">
        <v>1.04</v>
      </c>
      <c r="H327" s="62" t="n">
        <f aca="false">MAX(0,IF(AND(Parameter!$B$21="Ja",ISNUMBER(Y327)),Y327,IF(Parameter!$B$20="Jahresanfang 2025 + Export",BS327+BR327,BR327)))</f>
        <v>219</v>
      </c>
      <c r="I327" s="62" t="n">
        <f aca="false">H327*G327</f>
        <v>227.76</v>
      </c>
      <c r="J327" s="62" t="n">
        <f aca="false">BU327*Parameter!$B$18</f>
        <v>100</v>
      </c>
      <c r="K327" s="63" t="n">
        <v>41.5</v>
      </c>
      <c r="L327" s="64" t="n">
        <v>2.40963855421687</v>
      </c>
      <c r="M327" s="62" t="n">
        <v>25</v>
      </c>
      <c r="N327" s="62" t="n">
        <v>200</v>
      </c>
      <c r="O327" s="65" t="n">
        <v>35</v>
      </c>
      <c r="P327" s="60" t="s">
        <v>468</v>
      </c>
      <c r="Q327" s="62" t="n">
        <v>200</v>
      </c>
      <c r="R327" s="65" t="n">
        <f aca="false">IF(CA327=1,0,IFERROR(VLOOKUP(BY327,'Gebinde-Kategorie'!$A$5:$N$45,13,0)+0,0))</f>
        <v>140</v>
      </c>
      <c r="S327" s="66"/>
      <c r="T327" s="67"/>
      <c r="U327" s="67"/>
      <c r="V327" s="67"/>
      <c r="W327" s="60"/>
      <c r="X327" s="62"/>
      <c r="Y327" s="62"/>
      <c r="Z327" s="60" t="n">
        <v>1</v>
      </c>
      <c r="AA327" s="60" t="n">
        <f aca="false">IF(A327="","",IF(AND(Parameter!$B$21="Ja",ISNUMBER(W327)),W327,IF(AND(Parameter!$E$27="Ja",ISNUMBER(Z327),CD327&lt;&gt;"Nein"),Z327,IF(CD327="2+3",IF(ISNUMBER(SEARCH("grosser Artikel",BV327)),2,IFERROR(VLOOKUP(BY327,Parameter!$F$35:$G$64,2,0),2)),IF(OR(CD327="Nein",CD327=""),"-",CD327)))))</f>
        <v>1</v>
      </c>
      <c r="AB327" s="67"/>
      <c r="AC327" s="68"/>
      <c r="AD327" s="62" t="n">
        <f aca="false">AW327</f>
        <v>225</v>
      </c>
      <c r="AE327" s="62" t="n">
        <f aca="false">MAX(AW327,H327)</f>
        <v>225</v>
      </c>
      <c r="AF327" s="69"/>
      <c r="AG327" s="62" t="n">
        <f aca="false">IF(LEFT(Cockpit!$C$5,1)="A",H327,IF(Parameter!$E$30="MAX-Bestand",IF(CI327=1,CJ327,IF(LEFT(Cockpit!$C$5,1)="B",AM327,MAX(AM327,H327))),ROUNDUP(AK327,0)))</f>
        <v>219</v>
      </c>
      <c r="AH327" s="62" t="n">
        <f aca="false">IF(CA327=1,0,ROUNDUP(AG327/BZ327,0))</f>
        <v>2</v>
      </c>
      <c r="AI327" s="64" t="n">
        <f aca="false">IF(CR327&gt;0,CR327*MAX(1,AG327/X327),IF(CA327=1,IF(AG327&lt;=0,0,CE327*MAX(1,IF(H327&gt;0,AG327/H327,1))),IF(R327&gt;0,AH327/R327,0))/MAX(0.1,N(Parameter!$M$21)))</f>
        <v>0.0142857142857143</v>
      </c>
      <c r="AJ327" s="62" t="n">
        <f aca="false">AI327*CC327</f>
        <v>2.21428571428571</v>
      </c>
      <c r="AK327" s="63" t="n">
        <f aca="false">IF(LEFT(Cockpit!$C$5,1)="A",H327,IF(CI327=1,(CL327+CJ327)/2,IF(LEFT(Cockpit!$C$5,1)="B",(CL327+AM327)/2,MAX((CL327+AM327)/2,H327))))</f>
        <v>219</v>
      </c>
      <c r="AL327" s="62" t="n">
        <f aca="false">AK327*G327</f>
        <v>227.76</v>
      </c>
      <c r="AM327" s="62" t="n">
        <f aca="false">ROUNDUP(CL327+MAX(CM327,2*(J327/IF(CH327&gt;0,CH327,MAX(0.1,N(Cockpit!$C$6)))-CL327)),0)</f>
        <v>225</v>
      </c>
      <c r="AN327" s="63" t="n">
        <f aca="false">IF(AJ327&gt;0,J327/AJ327,-1)</f>
        <v>45.1612903225806</v>
      </c>
      <c r="AO327" s="63" t="n">
        <f aca="false">IF(AND(OR(CG327="L1",CG327="L23",CG327="LIFT"),AJ327&gt;0),SUMIFS($AJ$7:$AJ$1843,$CG$7:$CG$1843,CG327,$AN$7:$AN$1843,"&gt;"&amp;AN327)+SUMIFS($AJ$7:$AJ$1843,$CG$7:$CG$1843,CG327,$AN$7:$AN$1843,AN327,$BX$7:$BX$1843,"&lt;="&amp;BX327),"")</f>
        <v>1166.06181318681</v>
      </c>
      <c r="AP327" s="70" t="n">
        <f aca="false">IF(AO327="",0,MAX(0,MIN(1,(IF(CG327="L1",Parameter!$H$5,IF(CG327="L23",Parameter!$H$6+Parameter!$H$7,Parameter!$H$5+Parameter!$H$6+Parameter!$H$7))-(AO327-AJ327))/AJ327)))</f>
        <v>1</v>
      </c>
      <c r="AQ327" s="62" t="n">
        <f aca="false">IF(LEFT(Cockpit!$I$5,1)="A",H327,IF(Parameter!$E$30="MAX-Bestand",IF(CI327=1,CJ327,IF(LEFT(Cockpit!$I$5,1)="B",AW327,MAX(AW327,H327))),ROUNDUP(AU327,0)))</f>
        <v>219</v>
      </c>
      <c r="AR327" s="62" t="n">
        <f aca="false">IF(CA327=1,0,ROUNDUP(AQ327/BZ327,0))</f>
        <v>2</v>
      </c>
      <c r="AS327" s="64" t="n">
        <f aca="false">IF(CR327&gt;0,CR327*MAX(1,AQ327/X327),IF(CA327=1,IF(AQ327&lt;=0,0,CE327*MAX(1,IF(H327&gt;0,AQ327/H327,1))),IF(R327&gt;0,AR327/R327,0))/MAX(0.1,N(Parameter!$M$21)))</f>
        <v>0.0142857142857143</v>
      </c>
      <c r="AT327" s="62" t="n">
        <f aca="false">AS327*CC327</f>
        <v>2.21428571428571</v>
      </c>
      <c r="AU327" s="63" t="n">
        <f aca="false">IF(LEFT(Cockpit!$I$5,1)="A",H327,IF(CI327=1,(CL327+CJ327)/2,IF(LEFT(Cockpit!$I$5,1)="B",(CL327+AW327)/2,MAX((CL327+AW327)/2,H327))))</f>
        <v>219</v>
      </c>
      <c r="AV327" s="62" t="n">
        <f aca="false">AU327*G327</f>
        <v>227.76</v>
      </c>
      <c r="AW327" s="62" t="n">
        <f aca="false">ROUNDUP(CL327+MAX(CM327,2*(J327/IF(CH327&gt;0,CH327,MAX(0.1,N(Cockpit!$I$6)))-CL327)),0)</f>
        <v>225</v>
      </c>
      <c r="AX327" s="63" t="n">
        <f aca="false">IF(AT327&gt;0,J327/AT327,-1)</f>
        <v>45.1612903225806</v>
      </c>
      <c r="AY327" s="63" t="n">
        <f aca="false">IF(AND(OR(CG327="L1",CG327="L23",CG327="LIFT"),AT327&gt;0),SUMIFS($AT$7:$AT$1843,$CG$7:$CG$1843,CG327,$AX$7:$AX$1843,"&gt;"&amp;AX327)+SUMIFS($AT$7:$AT$1843,$CG$7:$CG$1843,CG327,$AX$7:$AX$1843,AX327,$BX$7:$BX$1843,"&lt;="&amp;BX327),"")</f>
        <v>1452.27380952381</v>
      </c>
      <c r="AZ327" s="70" t="n">
        <f aca="false">IF(AY327="",0,MAX(0,MIN(1,(IF(CG327="L1",Parameter!$H$5,IF(CG327="L23",Parameter!$H$6+Parameter!$H$7,Parameter!$H$5+Parameter!$H$6+Parameter!$H$7))-(AY327-AT327))/AT327)))</f>
        <v>1</v>
      </c>
      <c r="BA327" s="62" t="n">
        <f aca="false">IF(LEFT(Cockpit!$O$5,1)="A",H327,IF(Parameter!$E$30="MAX-Bestand",IF(CI327=1,CJ327,IF(LEFT(Cockpit!$O$5,1)="B",BG327,MAX(BG327,H327))),ROUNDUP(BE327,0)))</f>
        <v>125</v>
      </c>
      <c r="BB327" s="62" t="n">
        <f aca="false">IF(CA327=1,0,ROUNDUP(BA327/BZ327,0))</f>
        <v>1</v>
      </c>
      <c r="BC327" s="64" t="n">
        <f aca="false">IF(CR327&gt;0,CR327*MAX(1,BA327/X327),IF(CA327=1,IF(BA327&lt;=0,0,CE327*MAX(1,IF(H327&gt;0,BA327/H327,1))),IF(R327&gt;0,BB327/R327,0))/MAX(0.1,N(Parameter!$M$21)))</f>
        <v>0.00714285714285714</v>
      </c>
      <c r="BD327" s="62" t="n">
        <f aca="false">BC327*CC327</f>
        <v>1.10714285714286</v>
      </c>
      <c r="BE327" s="63" t="n">
        <f aca="false">IF(LEFT(Cockpit!$O$5,1)="A",H327,IF(CI327=1,(CL327+CJ327)/2,IF(LEFT(Cockpit!$O$5,1)="B",(CL327+BG327)/2,MAX((CL327+BG327)/2,H327))))</f>
        <v>125</v>
      </c>
      <c r="BF327" s="62" t="n">
        <f aca="false">BE327*G327</f>
        <v>130</v>
      </c>
      <c r="BG327" s="62" t="n">
        <f aca="false">ROUNDUP(CL327+MAX(CM327,2*(J327/IF(CH327&gt;0,CH327,MAX(0.1,N(Cockpit!$O$6)))-CL327)),0)</f>
        <v>225</v>
      </c>
      <c r="BH327" s="63" t="n">
        <f aca="false">IF(BD327&gt;0,J327/BD327,-1)</f>
        <v>90.3225806451613</v>
      </c>
      <c r="BI327" s="63" t="n">
        <f aca="false">IF(AND(OR(CG327="L1",CG327="L23",CG327="LIFT"),BD327&gt;0),SUMIFS($BD$7:$BD$1843,$CG$7:$CG$1843,CG327,$BH$7:$BH$1843,"&gt;"&amp;BH327)+SUMIFS($BD$7:$BD$1843,$CG$7:$CG$1843,CG327,$BH$7:$BH$1843,BH327,$BX$7:$BX$1843,"&lt;="&amp;BX327),"")</f>
        <v>969.035256410257</v>
      </c>
      <c r="BJ327" s="70" t="n">
        <f aca="false">IF(BI327="",0,MAX(0,MIN(1,(IF(CG327="L1",Parameter!$H$5,IF(CG327="L23",Parameter!$H$6+Parameter!$H$7,Parameter!$H$5+Parameter!$H$6+Parameter!$H$7))-(BI327-BD327))/BD327)))</f>
        <v>1</v>
      </c>
      <c r="BK327" s="60" t="str">
        <f aca="false">IF(AJ327&lt;=0,"",IF(CG327="Aussen","Aussenlager",IF(CG327="-","Nicht im Lift",IF(AP327&gt;=1,"Lift",IF(AP327&lt;=0,"Aussenlager","teilweise")))))</f>
        <v>Lift</v>
      </c>
      <c r="BL327" s="60" t="str">
        <f aca="false">IF(AT327&lt;=0,"",IF(CG327="Aussen","Aussenlager",IF(CG327="-","Nicht im Lift",IF(AZ327&gt;=1,"Lift",IF(AZ327&lt;=0,"Aussenlager","teilweise")))))</f>
        <v>Lift</v>
      </c>
      <c r="BM327" s="60" t="str">
        <f aca="false">IF(BD327&lt;=0,"",IF(CG327="Aussen","Aussenlager",IF(CG327="-","Nicht im Lift",IF(BJ327&gt;=1,"Lift",IF(BJ327&lt;=0,"Aussenlager","teilweise")))))</f>
        <v>Lift</v>
      </c>
      <c r="BN327" s="60" t="str">
        <f aca="false">IF(A327="","",IF(BW327=1,"Neu; ","")&amp;IF(AND(BW327=0,BR327&lt;0),"negativer Bestand (Export "&amp;BR327&amp;"); ","")&amp;IF(J327&lt;=0,"Kein Verbrauch; ","")&amp;IF(CR327&gt;0,"Lift "&amp;W327&amp;" lt. Liftbericht (Fach "&amp;X327&amp;" Stk); ",IF(CB327=1,"Gebinde geschätzt ("&amp;T327&amp;"); ",IF(CA327=1,"Lose – Tablare geschätzt; ","")))&amp;IF(H327&gt;AW327,"Überbestand "&amp;ROUND(H327-AW327,0)&amp;" Stk / CHF "&amp;ROUND((H327-AW327)*G327,0)&amp;"; ","")&amp;IF(AND(CI327=1,CJ327&lt;CK327),"MAX &lt; MB+LG; ","")&amp;IF(AND(CQ327&gt;0,CP327*10&gt;CQ327),"zu hoch für Tablar; ","")&amp;IF(AND(BW327=0,OR(CI327=1,AB327&lt;&gt;"",U327&lt;&gt;"",V327&lt;&gt;"",AC327&lt;&gt;"")),"manuell übersteuert; ","")&amp;IF(AND(CA327=0,R327=0),"Gebinde unbekannt / Stellmass fehlt; ","")&amp;IF(AND(CA327=0,N(V327)&lt;=0,N(Q327)&lt;=0),"Menge pro Gebinde fehlt (Ist = 1 Gebinde); ","")&amp;BV327)</f>
        <v/>
      </c>
      <c r="BO327" s="60"/>
      <c r="BP327" s="60"/>
      <c r="BQ327" s="67"/>
      <c r="BR327" s="62" t="n">
        <v>215</v>
      </c>
      <c r="BS327" s="62" t="n">
        <v>4</v>
      </c>
      <c r="BT327" s="61" t="n">
        <v>223.6</v>
      </c>
      <c r="BU327" s="62" t="n">
        <v>100</v>
      </c>
      <c r="BV327" s="60"/>
      <c r="BW327" s="65" t="n">
        <v>0</v>
      </c>
      <c r="BX327" s="65" t="n">
        <v>327</v>
      </c>
      <c r="BY327" s="60" t="str">
        <f aca="false">IF(U327&lt;&gt;"",UPPER(TRIM(U327)),IF(CB327=1,UPPER(VLOOKUP(T327,Parameter!$I$27:$K$29,2,0)),IF(P327="","LOSE",P327)))</f>
        <v>S22</v>
      </c>
      <c r="BZ327" s="62" t="n">
        <f aca="false">IF(BY327="LOSE",1,IF(N(V327)&gt;0,V327,IF(CB327=1,MAX(1,N(VLOOKUP(T327,Parameter!$I$27:$K$29,3,0)),H327,N(N327)),IF(N(Q327)&gt;0,Q327,MAX(1,H327)))))</f>
        <v>200</v>
      </c>
      <c r="CA327" s="65" t="n">
        <f aca="false">IF(BY327="LOSE",1,0)</f>
        <v>0</v>
      </c>
      <c r="CB327" s="65" t="n">
        <f aca="false">IF(AND(U327="",OR(P327="",P327="LOSE"),T327&lt;&gt;"",N(S327)&lt;=0,ISNUMBER(MATCH(T327,Parameter!$I$27:$I$29,0))),1,0)</f>
        <v>0</v>
      </c>
      <c r="CC327" s="65" t="n">
        <f aca="false">IF(CR327&gt;0,INDEX(Parameter!$H$5:$H$7,W327)/INDEX(Parameter!$E$5:$E$7,W327),IF(AND(CA327=0,N(IFERROR(VLOOKUP(BY327,'Gebinde-Kategorie'!$A$5:$N$45,14,0),0))&gt;0),VLOOKUP(BY327,'Gebinde-Kategorie'!$A$5:$N$45,14,0)*10+Parameter!$M$23,Parameter!$M$24))</f>
        <v>155</v>
      </c>
      <c r="CD327" s="60" t="str">
        <f aca="false">IF(AND(Parameter!$B$19="Ja",E327&lt;&gt;"",ISNUMBER(MATCH(E327,Parameter!$I$35:$I$52,0))),VLOOKUP(E327,Parameter!$I$35:$J$52,2,0),IFERROR(VLOOKUP(D327,Parameter!$A$35:$C$64,2,0),"Nein"))</f>
        <v>2+3</v>
      </c>
      <c r="CE327" s="64" t="n">
        <f aca="false">IF(CA327=0,0,IF(N(S327)&gt;0,S327,IFERROR(VLOOKUP(D327,Parameter!$A$35:$C$64,3,0)+0,0)))</f>
        <v>0</v>
      </c>
      <c r="CF327" s="60" t="n">
        <f aca="false">IF(AB327&lt;&gt;"",AB327,AA327)</f>
        <v>1</v>
      </c>
      <c r="CG327" s="60" t="str">
        <f aca="false">IF(OR(CF327=1,CF327=2,CF327=3),IF(Parameter!$E$27="Ja","LIFT",IF(CF327=1,"L1","L23")),IF(CF327="Aussen","Aussen","-"))</f>
        <v>LIFT</v>
      </c>
      <c r="CH327" s="71" t="n">
        <f aca="false">IF(N(AC327)&gt;0,AC327,0)</f>
        <v>0</v>
      </c>
      <c r="CI327" s="65" t="n">
        <f aca="false">IF(ISNUMBER(AF327),1,0)</f>
        <v>0</v>
      </c>
      <c r="CJ327" s="62" t="n">
        <f aca="false">N(AF327)</f>
        <v>0</v>
      </c>
      <c r="CK327" s="62" t="n">
        <f aca="false">N(M327)+N(N327)</f>
        <v>225</v>
      </c>
      <c r="CL327" s="62" t="n">
        <f aca="false">N(M327)</f>
        <v>25</v>
      </c>
      <c r="CM327" s="62" t="n">
        <f aca="false">N(N327)</f>
        <v>200</v>
      </c>
      <c r="CN327" s="62" t="n">
        <f aca="false">ROUNDUP(H327/BZ327,0)</f>
        <v>2</v>
      </c>
      <c r="CO327" s="62" t="n">
        <f aca="false">ROUNDUP(CJ327/BZ327,0)</f>
        <v>0</v>
      </c>
      <c r="CP327" s="65" t="n">
        <f aca="false">IF(CA327=1,0,IFERROR(VLOOKUP(BY327,'Gebinde-Kategorie'!$A$5:$N$45,5,0)+0,0))</f>
        <v>8</v>
      </c>
      <c r="CQ327" s="65" t="n">
        <f aca="false">IFERROR(IF(OR(CF327=1,CF327=2,CF327=3),N(INDEX(Parameter!$I$5:$I$7,CF327)),0),0)</f>
        <v>0</v>
      </c>
      <c r="CR327" s="64" t="n">
        <f aca="false">IF(AND(Parameter!$B$21="Ja",ISNUMBER(W327),N(X327)&gt;0),IFERROR(N(INDEX(Parameter!$L$5:$L$7,W327))*INDEX(Parameter!$E$5:$E$7,W327)*X327/SUMIFS($X$7:$X$1843,$W$7:$W$1843,W327),0),0)</f>
        <v>0</v>
      </c>
      <c r="CS327" s="62" t="n">
        <f aca="false">IF(AND(OR(CG327="L1",CG327="L23",CG327="LIFT"),H327&gt;0),CC327*IF(CR327&gt;0,CR327*MAX(1,H327/X327),IF(CA327=1,CE327,IF(R327&gt;0,CN327/R327,0))/MAX(0.1,N(Parameter!$M$21))),"")</f>
        <v>2.21428571428571</v>
      </c>
      <c r="CT327" s="64" t="n">
        <f aca="false">IF(CS327="","",J327/H327)</f>
        <v>0.45662100456621</v>
      </c>
      <c r="CU327" s="62" t="n">
        <f aca="false">IF(CS327="","",H327*G327)</f>
        <v>227.76</v>
      </c>
      <c r="CV327" s="63" t="n">
        <f aca="false">IF(CS327="","",(CL327+ROUNDUP(CL327+MAX(CM327,2*(J327/MAX(0.1,N(Einkauf!$C$6))-CL327)),0))/2)</f>
        <v>125</v>
      </c>
      <c r="CW327" s="62" t="n">
        <f aca="false">IF(CS327="","",MAX(0,H327-CV327)*G327)</f>
        <v>97.76</v>
      </c>
      <c r="CX327" s="62" t="n">
        <f aca="false">IF(CS327="","",CS327*MAX(0,1-CV327/H327))</f>
        <v>0.950424005218526</v>
      </c>
      <c r="CY327" s="64" t="n">
        <f aca="false">IF(CS327="","",PERCENTRANK($CS$7:$CS$1843,CS327)+PERCENTRANK($CU$7:$CU$1843,CU327)+1-PERCENTRANK($CT$7:$CT$1843,CT327))</f>
        <v>1.016</v>
      </c>
      <c r="CZ327" s="72" t="n">
        <f aca="false">IF(CS327="","",CHOOSE(MATCH(Einkauf!$C$5,Parameter!$G$23:$G$27,0),CY327,CS327,CU327,-CT327,CW327)+ROW()/1000000000)</f>
        <v>1.016000327</v>
      </c>
    </row>
    <row r="328" customFormat="false" ht="15" hidden="false" customHeight="false" outlineLevel="0" collapsed="false">
      <c r="A328" s="60" t="s">
        <v>861</v>
      </c>
      <c r="B328" s="60" t="s">
        <v>631</v>
      </c>
      <c r="C328" s="60" t="s">
        <v>206</v>
      </c>
      <c r="D328" s="60" t="s">
        <v>226</v>
      </c>
      <c r="E328" s="60" t="s">
        <v>227</v>
      </c>
      <c r="F328" s="60" t="s">
        <v>260</v>
      </c>
      <c r="G328" s="61" t="n">
        <v>1.5</v>
      </c>
      <c r="H328" s="62" t="n">
        <f aca="false">MAX(0,IF(AND(Parameter!$B$21="Ja",ISNUMBER(Y328)),Y328,IF(Parameter!$B$20="Jahresanfang 2025 + Export",BS328+BR328,BR328)))</f>
        <v>283</v>
      </c>
      <c r="I328" s="62" t="n">
        <f aca="false">H328*G328</f>
        <v>424.5</v>
      </c>
      <c r="J328" s="62" t="n">
        <f aca="false">BU328*Parameter!$B$18</f>
        <v>362</v>
      </c>
      <c r="K328" s="63" t="n">
        <v>154.5</v>
      </c>
      <c r="L328" s="64" t="n">
        <v>2.34304207119741</v>
      </c>
      <c r="M328" s="62" t="n">
        <v>21</v>
      </c>
      <c r="N328" s="62" t="n">
        <v>360</v>
      </c>
      <c r="O328" s="65" t="n">
        <v>21</v>
      </c>
      <c r="P328" s="60" t="s">
        <v>468</v>
      </c>
      <c r="Q328" s="62" t="n">
        <v>121</v>
      </c>
      <c r="R328" s="65" t="n">
        <f aca="false">IF(CA328=1,0,IFERROR(VLOOKUP(BY328,'Gebinde-Kategorie'!$A$5:$N$45,13,0)+0,0))</f>
        <v>140</v>
      </c>
      <c r="S328" s="66"/>
      <c r="T328" s="67"/>
      <c r="U328" s="67"/>
      <c r="V328" s="67"/>
      <c r="W328" s="60"/>
      <c r="X328" s="62"/>
      <c r="Y328" s="62"/>
      <c r="Z328" s="60" t="n">
        <v>3</v>
      </c>
      <c r="AA328" s="60" t="n">
        <f aca="false">IF(A328="","",IF(AND(Parameter!$B$21="Ja",ISNUMBER(W328)),W328,IF(AND(Parameter!$E$27="Ja",ISNUMBER(Z328),CD328&lt;&gt;"Nein"),Z328,IF(CD328="2+3",IF(ISNUMBER(SEARCH("grosser Artikel",BV328)),2,IFERROR(VLOOKUP(BY328,Parameter!$F$35:$G$64,2,0),2)),IF(OR(CD328="Nein",CD328=""),"-",CD328)))))</f>
        <v>3</v>
      </c>
      <c r="AB328" s="67"/>
      <c r="AC328" s="68"/>
      <c r="AD328" s="62" t="n">
        <f aca="false">AW328</f>
        <v>381</v>
      </c>
      <c r="AE328" s="62" t="n">
        <f aca="false">MAX(AW328,H328)</f>
        <v>381</v>
      </c>
      <c r="AF328" s="69"/>
      <c r="AG328" s="62" t="n">
        <f aca="false">IF(LEFT(Cockpit!$C$5,1)="A",H328,IF(Parameter!$E$30="MAX-Bestand",IF(CI328=1,CJ328,IF(LEFT(Cockpit!$C$5,1)="B",AM328,MAX(AM328,H328))),ROUNDUP(AK328,0)))</f>
        <v>283</v>
      </c>
      <c r="AH328" s="62" t="n">
        <f aca="false">IF(CA328=1,0,ROUNDUP(AG328/BZ328,0))</f>
        <v>3</v>
      </c>
      <c r="AI328" s="64" t="n">
        <f aca="false">IF(CR328&gt;0,CR328*MAX(1,AG328/X328),IF(CA328=1,IF(AG328&lt;=0,0,CE328*MAX(1,IF(H328&gt;0,AG328/H328,1))),IF(R328&gt;0,AH328/R328,0))/MAX(0.1,N(Parameter!$M$21)))</f>
        <v>0.0214285714285714</v>
      </c>
      <c r="AJ328" s="62" t="n">
        <f aca="false">AI328*CC328</f>
        <v>3.32142857142857</v>
      </c>
      <c r="AK328" s="63" t="n">
        <f aca="false">IF(LEFT(Cockpit!$C$5,1)="A",H328,IF(CI328=1,(CL328+CJ328)/2,IF(LEFT(Cockpit!$C$5,1)="B",(CL328+AM328)/2,MAX((CL328+AM328)/2,H328))))</f>
        <v>283</v>
      </c>
      <c r="AL328" s="62" t="n">
        <f aca="false">AK328*G328</f>
        <v>424.5</v>
      </c>
      <c r="AM328" s="62" t="n">
        <f aca="false">ROUNDUP(CL328+MAX(CM328,2*(J328/IF(CH328&gt;0,CH328,MAX(0.1,N(Cockpit!$C$6)))-CL328)),0)</f>
        <v>381</v>
      </c>
      <c r="AN328" s="63" t="n">
        <f aca="false">IF(AJ328&gt;0,J328/AJ328,-1)</f>
        <v>108.989247311828</v>
      </c>
      <c r="AO328" s="63" t="n">
        <f aca="false">IF(AND(OR(CG328="L1",CG328="L23",CG328="LIFT"),AJ328&gt;0),SUMIFS($AJ$7:$AJ$1843,$CG$7:$CG$1843,CG328,$AN$7:$AN$1843,"&gt;"&amp;AN328)+SUMIFS($AJ$7:$AJ$1843,$CG$7:$CG$1843,CG328,$AN$7:$AN$1843,AN328,$BX$7:$BX$1843,"&lt;="&amp;BX328),"")</f>
        <v>752.902014652015</v>
      </c>
      <c r="AP328" s="70" t="n">
        <f aca="false">IF(AO328="",0,MAX(0,MIN(1,(IF(CG328="L1",Parameter!$H$5,IF(CG328="L23",Parameter!$H$6+Parameter!$H$7,Parameter!$H$5+Parameter!$H$6+Parameter!$H$7))-(AO328-AJ328))/AJ328)))</f>
        <v>1</v>
      </c>
      <c r="AQ328" s="62" t="n">
        <f aca="false">IF(LEFT(Cockpit!$I$5,1)="A",H328,IF(Parameter!$E$30="MAX-Bestand",IF(CI328=1,CJ328,IF(LEFT(Cockpit!$I$5,1)="B",AW328,MAX(AW328,H328))),ROUNDUP(AU328,0)))</f>
        <v>283</v>
      </c>
      <c r="AR328" s="62" t="n">
        <f aca="false">IF(CA328=1,0,ROUNDUP(AQ328/BZ328,0))</f>
        <v>3</v>
      </c>
      <c r="AS328" s="64" t="n">
        <f aca="false">IF(CR328&gt;0,CR328*MAX(1,AQ328/X328),IF(CA328=1,IF(AQ328&lt;=0,0,CE328*MAX(1,IF(H328&gt;0,AQ328/H328,1))),IF(R328&gt;0,AR328/R328,0))/MAX(0.1,N(Parameter!$M$21)))</f>
        <v>0.0214285714285714</v>
      </c>
      <c r="AT328" s="62" t="n">
        <f aca="false">AS328*CC328</f>
        <v>3.32142857142857</v>
      </c>
      <c r="AU328" s="63" t="n">
        <f aca="false">IF(LEFT(Cockpit!$I$5,1)="A",H328,IF(CI328=1,(CL328+CJ328)/2,IF(LEFT(Cockpit!$I$5,1)="B",(CL328+AW328)/2,MAX((CL328+AW328)/2,H328))))</f>
        <v>283</v>
      </c>
      <c r="AV328" s="62" t="n">
        <f aca="false">AU328*G328</f>
        <v>424.5</v>
      </c>
      <c r="AW328" s="62" t="n">
        <f aca="false">ROUNDUP(CL328+MAX(CM328,2*(J328/IF(CH328&gt;0,CH328,MAX(0.1,N(Cockpit!$I$6)))-CL328)),0)</f>
        <v>381</v>
      </c>
      <c r="AX328" s="63" t="n">
        <f aca="false">IF(AT328&gt;0,J328/AT328,-1)</f>
        <v>108.989247311828</v>
      </c>
      <c r="AY328" s="63" t="n">
        <f aca="false">IF(AND(OR(CG328="L1",CG328="L23",CG328="LIFT"),AT328&gt;0),SUMIFS($AT$7:$AT$1843,$CG$7:$CG$1843,CG328,$AX$7:$AX$1843,"&gt;"&amp;AX328)+SUMIFS($AT$7:$AT$1843,$CG$7:$CG$1843,CG328,$AX$7:$AX$1843,AX328,$BX$7:$BX$1843,"&lt;="&amp;BX328),"")</f>
        <v>827.625</v>
      </c>
      <c r="AZ328" s="70" t="n">
        <f aca="false">IF(AY328="",0,MAX(0,MIN(1,(IF(CG328="L1",Parameter!$H$5,IF(CG328="L23",Parameter!$H$6+Parameter!$H$7,Parameter!$H$5+Parameter!$H$6+Parameter!$H$7))-(AY328-AT328))/AT328)))</f>
        <v>1</v>
      </c>
      <c r="BA328" s="62" t="n">
        <f aca="false">IF(LEFT(Cockpit!$O$5,1)="A",H328,IF(Parameter!$E$30="MAX-Bestand",IF(CI328=1,CJ328,IF(LEFT(Cockpit!$O$5,1)="B",BG328,MAX(BG328,H328))),ROUNDUP(BE328,0)))</f>
        <v>201</v>
      </c>
      <c r="BB328" s="62" t="n">
        <f aca="false">IF(CA328=1,0,ROUNDUP(BA328/BZ328,0))</f>
        <v>2</v>
      </c>
      <c r="BC328" s="64" t="n">
        <f aca="false">IF(CR328&gt;0,CR328*MAX(1,BA328/X328),IF(CA328=1,IF(BA328&lt;=0,0,CE328*MAX(1,IF(H328&gt;0,BA328/H328,1))),IF(R328&gt;0,BB328/R328,0))/MAX(0.1,N(Parameter!$M$21)))</f>
        <v>0.0142857142857143</v>
      </c>
      <c r="BD328" s="62" t="n">
        <f aca="false">BC328*CC328</f>
        <v>2.21428571428571</v>
      </c>
      <c r="BE328" s="63" t="n">
        <f aca="false">IF(LEFT(Cockpit!$O$5,1)="A",H328,IF(CI328=1,(CL328+CJ328)/2,IF(LEFT(Cockpit!$O$5,1)="B",(CL328+BG328)/2,MAX((CL328+BG328)/2,H328))))</f>
        <v>201</v>
      </c>
      <c r="BF328" s="62" t="n">
        <f aca="false">BE328*G328</f>
        <v>301.5</v>
      </c>
      <c r="BG328" s="62" t="n">
        <f aca="false">ROUNDUP(CL328+MAX(CM328,2*(J328/IF(CH328&gt;0,CH328,MAX(0.1,N(Cockpit!$O$6)))-CL328)),0)</f>
        <v>381</v>
      </c>
      <c r="BH328" s="63" t="n">
        <f aca="false">IF(BD328&gt;0,J328/BD328,-1)</f>
        <v>163.483870967742</v>
      </c>
      <c r="BI328" s="63" t="n">
        <f aca="false">IF(AND(OR(CG328="L1",CG328="L23",CG328="LIFT"),BD328&gt;0),SUMIFS($BD$7:$BD$1843,$CG$7:$CG$1843,CG328,$BH$7:$BH$1843,"&gt;"&amp;BH328)+SUMIFS($BD$7:$BD$1843,$CG$7:$CG$1843,CG328,$BH$7:$BH$1843,BH328,$BX$7:$BX$1843,"&lt;="&amp;BX328),"")</f>
        <v>528.377747252747</v>
      </c>
      <c r="BJ328" s="70" t="n">
        <f aca="false">IF(BI328="",0,MAX(0,MIN(1,(IF(CG328="L1",Parameter!$H$5,IF(CG328="L23",Parameter!$H$6+Parameter!$H$7,Parameter!$H$5+Parameter!$H$6+Parameter!$H$7))-(BI328-BD328))/BD328)))</f>
        <v>1</v>
      </c>
      <c r="BK328" s="60" t="str">
        <f aca="false">IF(AJ328&lt;=0,"",IF(CG328="Aussen","Aussenlager",IF(CG328="-","Nicht im Lift",IF(AP328&gt;=1,"Lift",IF(AP328&lt;=0,"Aussenlager","teilweise")))))</f>
        <v>Lift</v>
      </c>
      <c r="BL328" s="60" t="str">
        <f aca="false">IF(AT328&lt;=0,"",IF(CG328="Aussen","Aussenlager",IF(CG328="-","Nicht im Lift",IF(AZ328&gt;=1,"Lift",IF(AZ328&lt;=0,"Aussenlager","teilweise")))))</f>
        <v>Lift</v>
      </c>
      <c r="BM328" s="60" t="str">
        <f aca="false">IF(BD328&lt;=0,"",IF(CG328="Aussen","Aussenlager",IF(CG328="-","Nicht im Lift",IF(BJ328&gt;=1,"Lift",IF(BJ328&lt;=0,"Aussenlager","teilweise")))))</f>
        <v>Lift</v>
      </c>
      <c r="BN328" s="60" t="str">
        <f aca="false">IF(A328="","",IF(BW328=1,"Neu; ","")&amp;IF(AND(BW328=0,BR328&lt;0),"negativer Bestand (Export "&amp;BR328&amp;"); ","")&amp;IF(J328&lt;=0,"Kein Verbrauch; ","")&amp;IF(CR328&gt;0,"Lift "&amp;W328&amp;" lt. Liftbericht (Fach "&amp;X328&amp;" Stk); ",IF(CB328=1,"Gebinde geschätzt ("&amp;T328&amp;"); ",IF(CA328=1,"Lose – Tablare geschätzt; ","")))&amp;IF(H328&gt;AW328,"Überbestand "&amp;ROUND(H328-AW328,0)&amp;" Stk / CHF "&amp;ROUND((H328-AW328)*G328,0)&amp;"; ","")&amp;IF(AND(CI328=1,CJ328&lt;CK328),"MAX &lt; MB+LG; ","")&amp;IF(AND(CQ328&gt;0,CP328*10&gt;CQ328),"zu hoch für Tablar; ","")&amp;IF(AND(BW328=0,OR(CI328=1,AB328&lt;&gt;"",U328&lt;&gt;"",V328&lt;&gt;"",AC328&lt;&gt;"")),"manuell übersteuert; ","")&amp;IF(AND(CA328=0,R328=0),"Gebinde unbekannt / Stellmass fehlt; ","")&amp;IF(AND(CA328=0,N(V328)&lt;=0,N(Q328)&lt;=0),"Menge pro Gebinde fehlt (Ist = 1 Gebinde); ","")&amp;BV328)</f>
        <v/>
      </c>
      <c r="BO328" s="60"/>
      <c r="BP328" s="60"/>
      <c r="BQ328" s="67"/>
      <c r="BR328" s="62" t="n">
        <v>148</v>
      </c>
      <c r="BS328" s="62" t="n">
        <v>135</v>
      </c>
      <c r="BT328" s="61" t="n">
        <v>222</v>
      </c>
      <c r="BU328" s="62" t="n">
        <v>362</v>
      </c>
      <c r="BV328" s="60"/>
      <c r="BW328" s="65" t="n">
        <v>0</v>
      </c>
      <c r="BX328" s="65" t="n">
        <v>328</v>
      </c>
      <c r="BY328" s="60" t="str">
        <f aca="false">IF(U328&lt;&gt;"",UPPER(TRIM(U328)),IF(CB328=1,UPPER(VLOOKUP(T328,Parameter!$I$27:$K$29,2,0)),IF(P328="","LOSE",P328)))</f>
        <v>S22</v>
      </c>
      <c r="BZ328" s="62" t="n">
        <f aca="false">IF(BY328="LOSE",1,IF(N(V328)&gt;0,V328,IF(CB328=1,MAX(1,N(VLOOKUP(T328,Parameter!$I$27:$K$29,3,0)),H328,N(N328)),IF(N(Q328)&gt;0,Q328,MAX(1,H328)))))</f>
        <v>121</v>
      </c>
      <c r="CA328" s="65" t="n">
        <f aca="false">IF(BY328="LOSE",1,0)</f>
        <v>0</v>
      </c>
      <c r="CB328" s="65" t="n">
        <f aca="false">IF(AND(U328="",OR(P328="",P328="LOSE"),T328&lt;&gt;"",N(S328)&lt;=0,ISNUMBER(MATCH(T328,Parameter!$I$27:$I$29,0))),1,0)</f>
        <v>0</v>
      </c>
      <c r="CC328" s="65" t="n">
        <f aca="false">IF(CR328&gt;0,INDEX(Parameter!$H$5:$H$7,W328)/INDEX(Parameter!$E$5:$E$7,W328),IF(AND(CA328=0,N(IFERROR(VLOOKUP(BY328,'Gebinde-Kategorie'!$A$5:$N$45,14,0),0))&gt;0),VLOOKUP(BY328,'Gebinde-Kategorie'!$A$5:$N$45,14,0)*10+Parameter!$M$23,Parameter!$M$24))</f>
        <v>155</v>
      </c>
      <c r="CD328" s="60" t="str">
        <f aca="false">IF(AND(Parameter!$B$19="Ja",E328&lt;&gt;"",ISNUMBER(MATCH(E328,Parameter!$I$35:$I$52,0))),VLOOKUP(E328,Parameter!$I$35:$J$52,2,0),IFERROR(VLOOKUP(D328,Parameter!$A$35:$C$64,2,0),"Nein"))</f>
        <v>2+3</v>
      </c>
      <c r="CE328" s="64" t="n">
        <f aca="false">IF(CA328=0,0,IF(N(S328)&gt;0,S328,IFERROR(VLOOKUP(D328,Parameter!$A$35:$C$64,3,0)+0,0)))</f>
        <v>0</v>
      </c>
      <c r="CF328" s="60" t="n">
        <f aca="false">IF(AB328&lt;&gt;"",AB328,AA328)</f>
        <v>3</v>
      </c>
      <c r="CG328" s="60" t="str">
        <f aca="false">IF(OR(CF328=1,CF328=2,CF328=3),IF(Parameter!$E$27="Ja","LIFT",IF(CF328=1,"L1","L23")),IF(CF328="Aussen","Aussen","-"))</f>
        <v>LIFT</v>
      </c>
      <c r="CH328" s="71" t="n">
        <f aca="false">IF(N(AC328)&gt;0,AC328,0)</f>
        <v>0</v>
      </c>
      <c r="CI328" s="65" t="n">
        <f aca="false">IF(ISNUMBER(AF328),1,0)</f>
        <v>0</v>
      </c>
      <c r="CJ328" s="62" t="n">
        <f aca="false">N(AF328)</f>
        <v>0</v>
      </c>
      <c r="CK328" s="62" t="n">
        <f aca="false">N(M328)+N(N328)</f>
        <v>381</v>
      </c>
      <c r="CL328" s="62" t="n">
        <f aca="false">N(M328)</f>
        <v>21</v>
      </c>
      <c r="CM328" s="62" t="n">
        <f aca="false">N(N328)</f>
        <v>360</v>
      </c>
      <c r="CN328" s="62" t="n">
        <f aca="false">ROUNDUP(H328/BZ328,0)</f>
        <v>3</v>
      </c>
      <c r="CO328" s="62" t="n">
        <f aca="false">ROUNDUP(CJ328/BZ328,0)</f>
        <v>0</v>
      </c>
      <c r="CP328" s="65" t="n">
        <f aca="false">IF(CA328=1,0,IFERROR(VLOOKUP(BY328,'Gebinde-Kategorie'!$A$5:$N$45,5,0)+0,0))</f>
        <v>8</v>
      </c>
      <c r="CQ328" s="65" t="n">
        <f aca="false">IFERROR(IF(OR(CF328=1,CF328=2,CF328=3),N(INDEX(Parameter!$I$5:$I$7,CF328)),0),0)</f>
        <v>0</v>
      </c>
      <c r="CR328" s="64" t="n">
        <f aca="false">IF(AND(Parameter!$B$21="Ja",ISNUMBER(W328),N(X328)&gt;0),IFERROR(N(INDEX(Parameter!$L$5:$L$7,W328))*INDEX(Parameter!$E$5:$E$7,W328)*X328/SUMIFS($X$7:$X$1843,$W$7:$W$1843,W328),0),0)</f>
        <v>0</v>
      </c>
      <c r="CS328" s="62" t="n">
        <f aca="false">IF(AND(OR(CG328="L1",CG328="L23",CG328="LIFT"),H328&gt;0),CC328*IF(CR328&gt;0,CR328*MAX(1,H328/X328),IF(CA328=1,CE328,IF(R328&gt;0,CN328/R328,0))/MAX(0.1,N(Parameter!$M$21))),"")</f>
        <v>3.32142857142857</v>
      </c>
      <c r="CT328" s="64" t="n">
        <f aca="false">IF(CS328="","",J328/H328)</f>
        <v>1.2791519434629</v>
      </c>
      <c r="CU328" s="62" t="n">
        <f aca="false">IF(CS328="","",H328*G328)</f>
        <v>424.5</v>
      </c>
      <c r="CV328" s="63" t="n">
        <f aca="false">IF(CS328="","",(CL328+ROUNDUP(CL328+MAX(CM328,2*(J328/MAX(0.1,N(Einkauf!$C$6))-CL328)),0))/2)</f>
        <v>201</v>
      </c>
      <c r="CW328" s="62" t="n">
        <f aca="false">IF(CS328="","",MAX(0,H328-CV328)*G328)</f>
        <v>123</v>
      </c>
      <c r="CX328" s="62" t="n">
        <f aca="false">IF(CS328="","",CS328*MAX(0,1-CV328/H328))</f>
        <v>0.962392730943968</v>
      </c>
      <c r="CY328" s="64" t="n">
        <f aca="false">IF(CS328="","",PERCENTRANK($CS$7:$CS$1843,CS328)+PERCENTRANK($CU$7:$CU$1843,CU328)+1-PERCENTRANK($CT$7:$CT$1843,CT328))</f>
        <v>1.095</v>
      </c>
      <c r="CZ328" s="72" t="n">
        <f aca="false">IF(CS328="","",CHOOSE(MATCH(Einkauf!$C$5,Parameter!$G$23:$G$27,0),CY328,CS328,CU328,-CT328,CW328)+ROW()/1000000000)</f>
        <v>1.095000328</v>
      </c>
    </row>
    <row r="329" customFormat="false" ht="15" hidden="false" customHeight="false" outlineLevel="0" collapsed="false">
      <c r="A329" s="60" t="s">
        <v>862</v>
      </c>
      <c r="B329" s="60" t="s">
        <v>409</v>
      </c>
      <c r="C329" s="60" t="s">
        <v>206</v>
      </c>
      <c r="D329" s="60" t="s">
        <v>226</v>
      </c>
      <c r="E329" s="60"/>
      <c r="F329" s="60" t="s">
        <v>260</v>
      </c>
      <c r="G329" s="61" t="n">
        <v>14.67</v>
      </c>
      <c r="H329" s="62" t="n">
        <f aca="false">MAX(0,IF(AND(Parameter!$B$21="Ja",ISNUMBER(Y329)),Y329,IF(Parameter!$B$20="Jahresanfang 2025 + Export",BS329+BR329,BR329)))</f>
        <v>15</v>
      </c>
      <c r="I329" s="62" t="n">
        <f aca="false">H329*G329</f>
        <v>220.05</v>
      </c>
      <c r="J329" s="62" t="n">
        <f aca="false">BU329*Parameter!$B$18</f>
        <v>0</v>
      </c>
      <c r="K329" s="63" t="n">
        <v>0</v>
      </c>
      <c r="L329" s="64" t="n">
        <v>0</v>
      </c>
      <c r="M329" s="62" t="n">
        <v>0</v>
      </c>
      <c r="N329" s="62" t="n">
        <v>1</v>
      </c>
      <c r="O329" s="65" t="n">
        <v>9999</v>
      </c>
      <c r="P329" s="60" t="s">
        <v>210</v>
      </c>
      <c r="Q329" s="62"/>
      <c r="R329" s="65" t="n">
        <f aca="false">IF(CA329=1,0,IFERROR(VLOOKUP(BY329,'Gebinde-Kategorie'!$A$5:$N$45,13,0)+0,0))</f>
        <v>4</v>
      </c>
      <c r="S329" s="66"/>
      <c r="T329" s="67" t="s">
        <v>231</v>
      </c>
      <c r="U329" s="67"/>
      <c r="V329" s="67"/>
      <c r="W329" s="60"/>
      <c r="X329" s="62"/>
      <c r="Y329" s="62"/>
      <c r="Z329" s="60" t="n">
        <v>2</v>
      </c>
      <c r="AA329" s="60" t="n">
        <f aca="false">IF(A329="","",IF(AND(Parameter!$B$21="Ja",ISNUMBER(W329)),W329,IF(AND(Parameter!$E$27="Ja",ISNUMBER(Z329),CD329&lt;&gt;"Nein"),Z329,IF(CD329="2+3",IF(ISNUMBER(SEARCH("grosser Artikel",BV329)),2,IFERROR(VLOOKUP(BY329,Parameter!$F$35:$G$64,2,0),2)),IF(OR(CD329="Nein",CD329=""),"-",CD329)))))</f>
        <v>2</v>
      </c>
      <c r="AB329" s="67"/>
      <c r="AC329" s="68"/>
      <c r="AD329" s="62" t="n">
        <f aca="false">AW329</f>
        <v>1</v>
      </c>
      <c r="AE329" s="62" t="n">
        <f aca="false">MAX(AW329,H329)</f>
        <v>15</v>
      </c>
      <c r="AF329" s="69"/>
      <c r="AG329" s="62" t="n">
        <f aca="false">IF(LEFT(Cockpit!$C$5,1)="A",H329,IF(Parameter!$E$30="MAX-Bestand",IF(CI329=1,CJ329,IF(LEFT(Cockpit!$C$5,1)="B",AM329,MAX(AM329,H329))),ROUNDUP(AK329,0)))</f>
        <v>15</v>
      </c>
      <c r="AH329" s="62" t="n">
        <f aca="false">IF(CA329=1,0,ROUNDUP(AG329/BZ329,0))</f>
        <v>1</v>
      </c>
      <c r="AI329" s="64" t="n">
        <f aca="false">IF(CR329&gt;0,CR329*MAX(1,AG329/X329),IF(CA329=1,IF(AG329&lt;=0,0,CE329*MAX(1,IF(H329&gt;0,AG329/H329,1))),IF(R329&gt;0,AH329/R329,0))/MAX(0.1,N(Parameter!$M$21)))</f>
        <v>0.25</v>
      </c>
      <c r="AJ329" s="62" t="n">
        <f aca="false">AI329*CC329</f>
        <v>58.75</v>
      </c>
      <c r="AK329" s="63" t="n">
        <f aca="false">IF(LEFT(Cockpit!$C$5,1)="A",H329,IF(CI329=1,(CL329+CJ329)/2,IF(LEFT(Cockpit!$C$5,1)="B",(CL329+AM329)/2,MAX((CL329+AM329)/2,H329))))</f>
        <v>15</v>
      </c>
      <c r="AL329" s="62" t="n">
        <f aca="false">AK329*G329</f>
        <v>220.05</v>
      </c>
      <c r="AM329" s="62" t="n">
        <f aca="false">ROUNDUP(CL329+MAX(CM329,2*(J329/IF(CH329&gt;0,CH329,MAX(0.1,N(Cockpit!$C$6)))-CL329)),0)</f>
        <v>1</v>
      </c>
      <c r="AN329" s="63" t="n">
        <f aca="false">IF(AJ329&gt;0,J329/AJ329,-1)</f>
        <v>0</v>
      </c>
      <c r="AO329" s="63" t="n">
        <f aca="false">IF(AND(OR(CG329="L1",CG329="L23",CG329="LIFT"),AJ329&gt;0),SUMIFS($AJ$7:$AJ$1843,$CG$7:$CG$1843,CG329,$AN$7:$AN$1843,"&gt;"&amp;AN329)+SUMIFS($AJ$7:$AJ$1843,$CG$7:$CG$1843,CG329,$AN$7:$AN$1843,AN329,$BX$7:$BX$1843,"&lt;="&amp;BX329),"")</f>
        <v>27975.8454062416</v>
      </c>
      <c r="AP329" s="70" t="n">
        <f aca="false">IF(AO329="",0,MAX(0,MIN(1,(IF(CG329="L1",Parameter!$H$5,IF(CG329="L23",Parameter!$H$6+Parameter!$H$7,Parameter!$H$5+Parameter!$H$6+Parameter!$H$7))-(AO329-AJ329))/AJ329)))</f>
        <v>1</v>
      </c>
      <c r="AQ329" s="62" t="n">
        <f aca="false">IF(LEFT(Cockpit!$I$5,1)="A",H329,IF(Parameter!$E$30="MAX-Bestand",IF(CI329=1,CJ329,IF(LEFT(Cockpit!$I$5,1)="B",AW329,MAX(AW329,H329))),ROUNDUP(AU329,0)))</f>
        <v>15</v>
      </c>
      <c r="AR329" s="62" t="n">
        <f aca="false">IF(CA329=1,0,ROUNDUP(AQ329/BZ329,0))</f>
        <v>1</v>
      </c>
      <c r="AS329" s="64" t="n">
        <f aca="false">IF(CR329&gt;0,CR329*MAX(1,AQ329/X329),IF(CA329=1,IF(AQ329&lt;=0,0,CE329*MAX(1,IF(H329&gt;0,AQ329/H329,1))),IF(R329&gt;0,AR329/R329,0))/MAX(0.1,N(Parameter!$M$21)))</f>
        <v>0.25</v>
      </c>
      <c r="AT329" s="62" t="n">
        <f aca="false">AS329*CC329</f>
        <v>58.75</v>
      </c>
      <c r="AU329" s="63" t="n">
        <f aca="false">IF(LEFT(Cockpit!$I$5,1)="A",H329,IF(CI329=1,(CL329+CJ329)/2,IF(LEFT(Cockpit!$I$5,1)="B",(CL329+AW329)/2,MAX((CL329+AW329)/2,H329))))</f>
        <v>15</v>
      </c>
      <c r="AV329" s="62" t="n">
        <f aca="false">AU329*G329</f>
        <v>220.05</v>
      </c>
      <c r="AW329" s="62" t="n">
        <f aca="false">ROUNDUP(CL329+MAX(CM329,2*(J329/IF(CH329&gt;0,CH329,MAX(0.1,N(Cockpit!$I$6)))-CL329)),0)</f>
        <v>1</v>
      </c>
      <c r="AX329" s="63" t="n">
        <f aca="false">IF(AT329&gt;0,J329/AT329,-1)</f>
        <v>0</v>
      </c>
      <c r="AY329" s="63" t="n">
        <f aca="false">IF(AND(OR(CG329="L1",CG329="L23",CG329="LIFT"),AT329&gt;0),SUMIFS($AT$7:$AT$1843,$CG$7:$CG$1843,CG329,$AX$7:$AX$1843,"&gt;"&amp;AX329)+SUMIFS($AT$7:$AT$1843,$CG$7:$CG$1843,CG329,$AX$7:$AX$1843,AX329,$BX$7:$BX$1843,"&lt;="&amp;BX329),"")</f>
        <v>33328.994047619</v>
      </c>
      <c r="AZ329" s="70" t="n">
        <f aca="false">IF(AY329="",0,MAX(0,MIN(1,(IF(CG329="L1",Parameter!$H$5,IF(CG329="L23",Parameter!$H$6+Parameter!$H$7,Parameter!$H$5+Parameter!$H$6+Parameter!$H$7))-(AY329-AT329))/AT329)))</f>
        <v>1</v>
      </c>
      <c r="BA329" s="62" t="n">
        <f aca="false">IF(LEFT(Cockpit!$O$5,1)="A",H329,IF(Parameter!$E$30="MAX-Bestand",IF(CI329=1,CJ329,IF(LEFT(Cockpit!$O$5,1)="B",BG329,MAX(BG329,H329))),ROUNDUP(BE329,0)))</f>
        <v>1</v>
      </c>
      <c r="BB329" s="62" t="n">
        <f aca="false">IF(CA329=1,0,ROUNDUP(BA329/BZ329,0))</f>
        <v>1</v>
      </c>
      <c r="BC329" s="64" t="n">
        <f aca="false">IF(CR329&gt;0,CR329*MAX(1,BA329/X329),IF(CA329=1,IF(BA329&lt;=0,0,CE329*MAX(1,IF(H329&gt;0,BA329/H329,1))),IF(R329&gt;0,BB329/R329,0))/MAX(0.1,N(Parameter!$M$21)))</f>
        <v>0.25</v>
      </c>
      <c r="BD329" s="62" t="n">
        <f aca="false">BC329*CC329</f>
        <v>58.75</v>
      </c>
      <c r="BE329" s="63" t="n">
        <f aca="false">IF(LEFT(Cockpit!$O$5,1)="A",H329,IF(CI329=1,(CL329+CJ329)/2,IF(LEFT(Cockpit!$O$5,1)="B",(CL329+BG329)/2,MAX((CL329+BG329)/2,H329))))</f>
        <v>0.5</v>
      </c>
      <c r="BF329" s="62" t="n">
        <f aca="false">BE329*G329</f>
        <v>7.335</v>
      </c>
      <c r="BG329" s="62" t="n">
        <f aca="false">ROUNDUP(CL329+MAX(CM329,2*(J329/IF(CH329&gt;0,CH329,MAX(0.1,N(Cockpit!$O$6)))-CL329)),0)</f>
        <v>1</v>
      </c>
      <c r="BH329" s="63" t="n">
        <f aca="false">IF(BD329&gt;0,J329/BD329,-1)</f>
        <v>0</v>
      </c>
      <c r="BI329" s="63" t="n">
        <f aca="false">IF(AND(OR(CG329="L1",CG329="L23",CG329="LIFT"),BD329&gt;0),SUMIFS($BD$7:$BD$1843,$CG$7:$CG$1843,CG329,$BH$7:$BH$1843,"&gt;"&amp;BH329)+SUMIFS($BD$7:$BD$1843,$CG$7:$CG$1843,CG329,$BH$7:$BH$1843,BH329,$BX$7:$BX$1843,"&lt;="&amp;BX329),"")</f>
        <v>27454.4540960452</v>
      </c>
      <c r="BJ329" s="70" t="n">
        <f aca="false">IF(BI329="",0,MAX(0,MIN(1,(IF(CG329="L1",Parameter!$H$5,IF(CG329="L23",Parameter!$H$6+Parameter!$H$7,Parameter!$H$5+Parameter!$H$6+Parameter!$H$7))-(BI329-BD329))/BD329)))</f>
        <v>1</v>
      </c>
      <c r="BK329" s="60" t="str">
        <f aca="false">IF(AJ329&lt;=0,"",IF(CG329="Aussen","Aussenlager",IF(CG329="-","Nicht im Lift",IF(AP329&gt;=1,"Lift",IF(AP329&lt;=0,"Aussenlager","teilweise")))))</f>
        <v>Lift</v>
      </c>
      <c r="BL329" s="60" t="str">
        <f aca="false">IF(AT329&lt;=0,"",IF(CG329="Aussen","Aussenlager",IF(CG329="-","Nicht im Lift",IF(AZ329&gt;=1,"Lift",IF(AZ329&lt;=0,"Aussenlager","teilweise")))))</f>
        <v>Lift</v>
      </c>
      <c r="BM329" s="60" t="str">
        <f aca="false">IF(BD329&lt;=0,"",IF(CG329="Aussen","Aussenlager",IF(CG329="-","Nicht im Lift",IF(BJ329&gt;=1,"Lift",IF(BJ329&lt;=0,"Aussenlager","teilweise")))))</f>
        <v>Lift</v>
      </c>
      <c r="BN329" s="60" t="str">
        <f aca="false">IF(A329="","",IF(BW329=1,"Neu; ","")&amp;IF(AND(BW329=0,BR329&lt;0),"negativer Bestand (Export "&amp;BR329&amp;"); ","")&amp;IF(J329&lt;=0,"Kein Verbrauch; ","")&amp;IF(CR329&gt;0,"Lift "&amp;W329&amp;" lt. Liftbericht (Fach "&amp;X329&amp;" Stk); ",IF(CB329=1,"Gebinde geschätzt ("&amp;T329&amp;"); ",IF(CA329=1,"Lose – Tablare geschätzt; ","")))&amp;IF(H329&gt;AW329,"Überbestand "&amp;ROUND(H329-AW329,0)&amp;" Stk / CHF "&amp;ROUND((H329-AW329)*G329,0)&amp;"; ","")&amp;IF(AND(CI329=1,CJ329&lt;CK329),"MAX &lt; MB+LG; ","")&amp;IF(AND(CQ329&gt;0,CP329*10&gt;CQ329),"zu hoch für Tablar; ","")&amp;IF(AND(BW329=0,OR(CI329=1,AB329&lt;&gt;"",U329&lt;&gt;"",V329&lt;&gt;"",AC329&lt;&gt;"")),"manuell übersteuert; ","")&amp;IF(AND(CA329=0,R329=0),"Gebinde unbekannt / Stellmass fehlt; ","")&amp;IF(AND(CA329=0,N(V329)&lt;=0,N(Q329)&lt;=0),"Menge pro Gebinde fehlt (Ist = 1 Gebinde); ","")&amp;BV329)</f>
        <v>Kein Verbrauch; Gebinde geschätzt (Gross); Überbestand 14 Stk / CHF 205; Menge pro Gebinde fehlt (Ist = 1 Gebinde); </v>
      </c>
      <c r="BO329" s="60"/>
      <c r="BP329" s="60"/>
      <c r="BQ329" s="67"/>
      <c r="BR329" s="62" t="n">
        <v>15</v>
      </c>
      <c r="BS329" s="62" t="n">
        <v>0</v>
      </c>
      <c r="BT329" s="61" t="n">
        <v>220.05</v>
      </c>
      <c r="BU329" s="62" t="n">
        <v>0</v>
      </c>
      <c r="BV329" s="60"/>
      <c r="BW329" s="65" t="n">
        <v>0</v>
      </c>
      <c r="BX329" s="65" t="n">
        <v>329</v>
      </c>
      <c r="BY329" s="60" t="str">
        <f aca="false">IF(U329&lt;&gt;"",UPPER(TRIM(U329)),IF(CB329=1,UPPER(VLOOKUP(T329,Parameter!$I$27:$K$29,2,0)),IF(P329="","LOSE",P329)))</f>
        <v>S81</v>
      </c>
      <c r="BZ329" s="62" t="n">
        <f aca="false">IF(BY329="LOSE",1,IF(N(V329)&gt;0,V329,IF(CB329=1,MAX(1,N(VLOOKUP(T329,Parameter!$I$27:$K$29,3,0)),H329,N(N329)),IF(N(Q329)&gt;0,Q329,MAX(1,H329)))))</f>
        <v>15</v>
      </c>
      <c r="CA329" s="65" t="n">
        <f aca="false">IF(BY329="LOSE",1,0)</f>
        <v>0</v>
      </c>
      <c r="CB329" s="65" t="n">
        <f aca="false">IF(AND(U329="",OR(P329="",P329="LOSE"),T329&lt;&gt;"",N(S329)&lt;=0,ISNUMBER(MATCH(T329,Parameter!$I$27:$I$29,0))),1,0)</f>
        <v>1</v>
      </c>
      <c r="CC329" s="65" t="n">
        <f aca="false">IF(CR329&gt;0,INDEX(Parameter!$H$5:$H$7,W329)/INDEX(Parameter!$E$5:$E$7,W329),IF(AND(CA329=0,N(IFERROR(VLOOKUP(BY329,'Gebinde-Kategorie'!$A$5:$N$45,14,0),0))&gt;0),VLOOKUP(BY329,'Gebinde-Kategorie'!$A$5:$N$45,14,0)*10+Parameter!$M$23,Parameter!$M$24))</f>
        <v>235</v>
      </c>
      <c r="CD329" s="60" t="str">
        <f aca="false">IF(AND(Parameter!$B$19="Ja",E329&lt;&gt;"",ISNUMBER(MATCH(E329,Parameter!$I$35:$I$52,0))),VLOOKUP(E329,Parameter!$I$35:$J$52,2,0),IFERROR(VLOOKUP(D329,Parameter!$A$35:$C$64,2,0),"Nein"))</f>
        <v>2+3</v>
      </c>
      <c r="CE329" s="64" t="n">
        <f aca="false">IF(CA329=0,0,IF(N(S329)&gt;0,S329,IFERROR(VLOOKUP(D329,Parameter!$A$35:$C$64,3,0)+0,0)))</f>
        <v>0</v>
      </c>
      <c r="CF329" s="60" t="n">
        <f aca="false">IF(AB329&lt;&gt;"",AB329,AA329)</f>
        <v>2</v>
      </c>
      <c r="CG329" s="60" t="str">
        <f aca="false">IF(OR(CF329=1,CF329=2,CF329=3),IF(Parameter!$E$27="Ja","LIFT",IF(CF329=1,"L1","L23")),IF(CF329="Aussen","Aussen","-"))</f>
        <v>LIFT</v>
      </c>
      <c r="CH329" s="71" t="n">
        <f aca="false">IF(N(AC329)&gt;0,AC329,0)</f>
        <v>0</v>
      </c>
      <c r="CI329" s="65" t="n">
        <f aca="false">IF(ISNUMBER(AF329),1,0)</f>
        <v>0</v>
      </c>
      <c r="CJ329" s="62" t="n">
        <f aca="false">N(AF329)</f>
        <v>0</v>
      </c>
      <c r="CK329" s="62" t="n">
        <f aca="false">N(M329)+N(N329)</f>
        <v>1</v>
      </c>
      <c r="CL329" s="62" t="n">
        <f aca="false">N(M329)</f>
        <v>0</v>
      </c>
      <c r="CM329" s="62" t="n">
        <f aca="false">N(N329)</f>
        <v>1</v>
      </c>
      <c r="CN329" s="62" t="n">
        <f aca="false">ROUNDUP(H329/BZ329,0)</f>
        <v>1</v>
      </c>
      <c r="CO329" s="62" t="n">
        <f aca="false">ROUNDUP(CJ329/BZ329,0)</f>
        <v>0</v>
      </c>
      <c r="CP329" s="65" t="n">
        <f aca="false">IF(CA329=1,0,IFERROR(VLOOKUP(BY329,'Gebinde-Kategorie'!$A$5:$N$45,5,0)+0,0))</f>
        <v>20</v>
      </c>
      <c r="CQ329" s="65" t="n">
        <f aca="false">IFERROR(IF(OR(CF329=1,CF329=2,CF329=3),N(INDEX(Parameter!$I$5:$I$7,CF329)),0),0)</f>
        <v>0</v>
      </c>
      <c r="CR329" s="64" t="n">
        <f aca="false">IF(AND(Parameter!$B$21="Ja",ISNUMBER(W329),N(X329)&gt;0),IFERROR(N(INDEX(Parameter!$L$5:$L$7,W329))*INDEX(Parameter!$E$5:$E$7,W329)*X329/SUMIFS($X$7:$X$1843,$W$7:$W$1843,W329),0),0)</f>
        <v>0</v>
      </c>
      <c r="CS329" s="62" t="n">
        <f aca="false">IF(AND(OR(CG329="L1",CG329="L23",CG329="LIFT"),H329&gt;0),CC329*IF(CR329&gt;0,CR329*MAX(1,H329/X329),IF(CA329=1,CE329,IF(R329&gt;0,CN329/R329,0))/MAX(0.1,N(Parameter!$M$21))),"")</f>
        <v>58.75</v>
      </c>
      <c r="CT329" s="64" t="n">
        <f aca="false">IF(CS329="","",J329/H329)</f>
        <v>0</v>
      </c>
      <c r="CU329" s="62" t="n">
        <f aca="false">IF(CS329="","",H329*G329)</f>
        <v>220.05</v>
      </c>
      <c r="CV329" s="63" t="n">
        <f aca="false">IF(CS329="","",(CL329+ROUNDUP(CL329+MAX(CM329,2*(J329/MAX(0.1,N(Einkauf!$C$6))-CL329)),0))/2)</f>
        <v>0.5</v>
      </c>
      <c r="CW329" s="62" t="n">
        <f aca="false">IF(CS329="","",MAX(0,H329-CV329)*G329)</f>
        <v>212.715</v>
      </c>
      <c r="CX329" s="62" t="n">
        <f aca="false">IF(CS329="","",CS329*MAX(0,1-CV329/H329))</f>
        <v>56.7916666666667</v>
      </c>
      <c r="CY329" s="64" t="n">
        <f aca="false">IF(CS329="","",PERCENTRANK($CS$7:$CS$1843,CS329)+PERCENTRANK($CU$7:$CU$1843,CU329)+1-PERCENTRANK($CT$7:$CT$1843,CT329))</f>
        <v>2.269</v>
      </c>
      <c r="CZ329" s="72" t="n">
        <f aca="false">IF(CS329="","",CHOOSE(MATCH(Einkauf!$C$5,Parameter!$G$23:$G$27,0),CY329,CS329,CU329,-CT329,CW329)+ROW()/1000000000)</f>
        <v>2.269000329</v>
      </c>
    </row>
    <row r="330" customFormat="false" ht="15" hidden="false" customHeight="false" outlineLevel="0" collapsed="false">
      <c r="A330" s="60" t="s">
        <v>863</v>
      </c>
      <c r="B330" s="60" t="s">
        <v>864</v>
      </c>
      <c r="C330" s="60" t="s">
        <v>206</v>
      </c>
      <c r="D330" s="60" t="s">
        <v>215</v>
      </c>
      <c r="E330" s="60" t="s">
        <v>227</v>
      </c>
      <c r="F330" s="60" t="s">
        <v>260</v>
      </c>
      <c r="G330" s="61" t="n">
        <v>9.51</v>
      </c>
      <c r="H330" s="62" t="n">
        <f aca="false">MAX(0,IF(AND(Parameter!$B$21="Ja",ISNUMBER(Y330)),Y330,IF(Parameter!$B$20="Jahresanfang 2025 + Export",BS330+BR330,BR330)))</f>
        <v>52</v>
      </c>
      <c r="I330" s="62" t="n">
        <f aca="false">H330*G330</f>
        <v>494.52</v>
      </c>
      <c r="J330" s="62" t="n">
        <f aca="false">BU330*Parameter!$B$18</f>
        <v>142</v>
      </c>
      <c r="K330" s="63" t="n">
        <v>36</v>
      </c>
      <c r="L330" s="64" t="n">
        <v>3.94444444444445</v>
      </c>
      <c r="M330" s="62" t="n">
        <v>5</v>
      </c>
      <c r="N330" s="62" t="n">
        <v>30</v>
      </c>
      <c r="O330" s="65" t="n">
        <v>14</v>
      </c>
      <c r="P330" s="60" t="s">
        <v>268</v>
      </c>
      <c r="Q330" s="62" t="n">
        <v>171</v>
      </c>
      <c r="R330" s="65" t="n">
        <f aca="false">IF(CA330=1,0,IFERROR(VLOOKUP(BY330,'Gebinde-Kategorie'!$A$5:$N$45,13,0)+0,0))</f>
        <v>12</v>
      </c>
      <c r="S330" s="66"/>
      <c r="T330" s="67"/>
      <c r="U330" s="67"/>
      <c r="V330" s="67"/>
      <c r="W330" s="60"/>
      <c r="X330" s="62"/>
      <c r="Y330" s="62"/>
      <c r="Z330" s="60" t="n">
        <v>3</v>
      </c>
      <c r="AA330" s="60" t="n">
        <f aca="false">IF(A330="","",IF(AND(Parameter!$B$21="Ja",ISNUMBER(W330)),W330,IF(AND(Parameter!$E$27="Ja",ISNUMBER(Z330),CD330&lt;&gt;"Nein"),Z330,IF(CD330="2+3",IF(ISNUMBER(SEARCH("grosser Artikel",BV330)),2,IFERROR(VLOOKUP(BY330,Parameter!$F$35:$G$64,2,0),2)),IF(OR(CD330="Nein",CD330=""),"-",CD330)))))</f>
        <v>3</v>
      </c>
      <c r="AB330" s="67"/>
      <c r="AC330" s="68"/>
      <c r="AD330" s="62" t="n">
        <f aca="false">AW330</f>
        <v>90</v>
      </c>
      <c r="AE330" s="62" t="n">
        <f aca="false">MAX(AW330,H330)</f>
        <v>90</v>
      </c>
      <c r="AF330" s="69"/>
      <c r="AG330" s="62" t="n">
        <f aca="false">IF(LEFT(Cockpit!$C$5,1)="A",H330,IF(Parameter!$E$30="MAX-Bestand",IF(CI330=1,CJ330,IF(LEFT(Cockpit!$C$5,1)="B",AM330,MAX(AM330,H330))),ROUNDUP(AK330,0)))</f>
        <v>52</v>
      </c>
      <c r="AH330" s="62" t="n">
        <f aca="false">IF(CA330=1,0,ROUNDUP(AG330/BZ330,0))</f>
        <v>1</v>
      </c>
      <c r="AI330" s="64" t="n">
        <f aca="false">IF(CR330&gt;0,CR330*MAX(1,AG330/X330),IF(CA330=1,IF(AG330&lt;=0,0,CE330*MAX(1,IF(H330&gt;0,AG330/H330,1))),IF(R330&gt;0,AH330/R330,0))/MAX(0.1,N(Parameter!$M$21)))</f>
        <v>0.0833333333333333</v>
      </c>
      <c r="AJ330" s="62" t="n">
        <f aca="false">AI330*CC330</f>
        <v>28.75</v>
      </c>
      <c r="AK330" s="63" t="n">
        <f aca="false">IF(LEFT(Cockpit!$C$5,1)="A",H330,IF(CI330=1,(CL330+CJ330)/2,IF(LEFT(Cockpit!$C$5,1)="B",(CL330+AM330)/2,MAX((CL330+AM330)/2,H330))))</f>
        <v>52</v>
      </c>
      <c r="AL330" s="62" t="n">
        <f aca="false">AK330*G330</f>
        <v>494.52</v>
      </c>
      <c r="AM330" s="62" t="n">
        <f aca="false">ROUNDUP(CL330+MAX(CM330,2*(J330/IF(CH330&gt;0,CH330,MAX(0.1,N(Cockpit!$C$6)))-CL330)),0)</f>
        <v>90</v>
      </c>
      <c r="AN330" s="63" t="n">
        <f aca="false">IF(AJ330&gt;0,J330/AJ330,-1)</f>
        <v>4.93913043478261</v>
      </c>
      <c r="AO330" s="63" t="n">
        <f aca="false">IF(AND(OR(CG330="L1",CG330="L23",CG330="LIFT"),AJ330&gt;0),SUMIFS($AJ$7:$AJ$1843,$CG$7:$CG$1843,CG330,$AN$7:$AN$1843,"&gt;"&amp;AN330)+SUMIFS($AJ$7:$AJ$1843,$CG$7:$CG$1843,CG330,$AN$7:$AN$1843,AN330,$BX$7:$BX$1843,"&lt;="&amp;BX330),"")</f>
        <v>3992.96657509158</v>
      </c>
      <c r="AP330" s="70" t="n">
        <f aca="false">IF(AO330="",0,MAX(0,MIN(1,(IF(CG330="L1",Parameter!$H$5,IF(CG330="L23",Parameter!$H$6+Parameter!$H$7,Parameter!$H$5+Parameter!$H$6+Parameter!$H$7))-(AO330-AJ330))/AJ330)))</f>
        <v>1</v>
      </c>
      <c r="AQ330" s="62" t="n">
        <f aca="false">IF(LEFT(Cockpit!$I$5,1)="A",H330,IF(Parameter!$E$30="MAX-Bestand",IF(CI330=1,CJ330,IF(LEFT(Cockpit!$I$5,1)="B",AW330,MAX(AW330,H330))),ROUNDUP(AU330,0)))</f>
        <v>52</v>
      </c>
      <c r="AR330" s="62" t="n">
        <f aca="false">IF(CA330=1,0,ROUNDUP(AQ330/BZ330,0))</f>
        <v>1</v>
      </c>
      <c r="AS330" s="64" t="n">
        <f aca="false">IF(CR330&gt;0,CR330*MAX(1,AQ330/X330),IF(CA330=1,IF(AQ330&lt;=0,0,CE330*MAX(1,IF(H330&gt;0,AQ330/H330,1))),IF(R330&gt;0,AR330/R330,0))/MAX(0.1,N(Parameter!$M$21)))</f>
        <v>0.0833333333333333</v>
      </c>
      <c r="AT330" s="62" t="n">
        <f aca="false">AS330*CC330</f>
        <v>28.75</v>
      </c>
      <c r="AU330" s="63" t="n">
        <f aca="false">IF(LEFT(Cockpit!$I$5,1)="A",H330,IF(CI330=1,(CL330+CJ330)/2,IF(LEFT(Cockpit!$I$5,1)="B",(CL330+AW330)/2,MAX((CL330+AW330)/2,H330))))</f>
        <v>52</v>
      </c>
      <c r="AV330" s="62" t="n">
        <f aca="false">AU330*G330</f>
        <v>494.52</v>
      </c>
      <c r="AW330" s="62" t="n">
        <f aca="false">ROUNDUP(CL330+MAX(CM330,2*(J330/IF(CH330&gt;0,CH330,MAX(0.1,N(Cockpit!$I$6)))-CL330)),0)</f>
        <v>90</v>
      </c>
      <c r="AX330" s="63" t="n">
        <f aca="false">IF(AT330&gt;0,J330/AT330,-1)</f>
        <v>4.93913043478261</v>
      </c>
      <c r="AY330" s="63" t="n">
        <f aca="false">IF(AND(OR(CG330="L1",CG330="L23",CG330="LIFT"),AT330&gt;0),SUMIFS($AT$7:$AT$1843,$CG$7:$CG$1843,CG330,$AX$7:$AX$1843,"&gt;"&amp;AX330)+SUMIFS($AT$7:$AT$1843,$CG$7:$CG$1843,CG330,$AX$7:$AX$1843,AX330,$BX$7:$BX$1843,"&lt;="&amp;BX330),"")</f>
        <v>4589.20741758242</v>
      </c>
      <c r="AZ330" s="70" t="n">
        <f aca="false">IF(AY330="",0,MAX(0,MIN(1,(IF(CG330="L1",Parameter!$H$5,IF(CG330="L23",Parameter!$H$6+Parameter!$H$7,Parameter!$H$5+Parameter!$H$6+Parameter!$H$7))-(AY330-AT330))/AT330)))</f>
        <v>1</v>
      </c>
      <c r="BA330" s="62" t="n">
        <f aca="false">IF(LEFT(Cockpit!$O$5,1)="A",H330,IF(Parameter!$E$30="MAX-Bestand",IF(CI330=1,CJ330,IF(LEFT(Cockpit!$O$5,1)="B",BG330,MAX(BG330,H330))),ROUNDUP(BE330,0)))</f>
        <v>36</v>
      </c>
      <c r="BB330" s="62" t="n">
        <f aca="false">IF(CA330=1,0,ROUNDUP(BA330/BZ330,0))</f>
        <v>1</v>
      </c>
      <c r="BC330" s="64" t="n">
        <f aca="false">IF(CR330&gt;0,CR330*MAX(1,BA330/X330),IF(CA330=1,IF(BA330&lt;=0,0,CE330*MAX(1,IF(H330&gt;0,BA330/H330,1))),IF(R330&gt;0,BB330/R330,0))/MAX(0.1,N(Parameter!$M$21)))</f>
        <v>0.0833333333333333</v>
      </c>
      <c r="BD330" s="62" t="n">
        <f aca="false">BC330*CC330</f>
        <v>28.75</v>
      </c>
      <c r="BE330" s="63" t="n">
        <f aca="false">IF(LEFT(Cockpit!$O$5,1)="A",H330,IF(CI330=1,(CL330+CJ330)/2,IF(LEFT(Cockpit!$O$5,1)="B",(CL330+BG330)/2,MAX((CL330+BG330)/2,H330))))</f>
        <v>35.5</v>
      </c>
      <c r="BF330" s="62" t="n">
        <f aca="false">BE330*G330</f>
        <v>337.605</v>
      </c>
      <c r="BG330" s="62" t="n">
        <f aca="false">ROUNDUP(CL330+MAX(CM330,2*(J330/IF(CH330&gt;0,CH330,MAX(0.1,N(Cockpit!$O$6)))-CL330)),0)</f>
        <v>66</v>
      </c>
      <c r="BH330" s="63" t="n">
        <f aca="false">IF(BD330&gt;0,J330/BD330,-1)</f>
        <v>4.93913043478261</v>
      </c>
      <c r="BI330" s="63" t="n">
        <f aca="false">IF(AND(OR(CG330="L1",CG330="L23",CG330="LIFT"),BD330&gt;0),SUMIFS($BD$7:$BD$1843,$CG$7:$CG$1843,CG330,$BH$7:$BH$1843,"&gt;"&amp;BH330)+SUMIFS($BD$7:$BD$1843,$CG$7:$CG$1843,CG330,$BH$7:$BH$1843,BH330,$BX$7:$BX$1843,"&lt;="&amp;BX330),"")</f>
        <v>3809.00549450549</v>
      </c>
      <c r="BJ330" s="70" t="n">
        <f aca="false">IF(BI330="",0,MAX(0,MIN(1,(IF(CG330="L1",Parameter!$H$5,IF(CG330="L23",Parameter!$H$6+Parameter!$H$7,Parameter!$H$5+Parameter!$H$6+Parameter!$H$7))-(BI330-BD330))/BD330)))</f>
        <v>1</v>
      </c>
      <c r="BK330" s="60" t="str">
        <f aca="false">IF(AJ330&lt;=0,"",IF(CG330="Aussen","Aussenlager",IF(CG330="-","Nicht im Lift",IF(AP330&gt;=1,"Lift",IF(AP330&lt;=0,"Aussenlager","teilweise")))))</f>
        <v>Lift</v>
      </c>
      <c r="BL330" s="60" t="str">
        <f aca="false">IF(AT330&lt;=0,"",IF(CG330="Aussen","Aussenlager",IF(CG330="-","Nicht im Lift",IF(AZ330&gt;=1,"Lift",IF(AZ330&lt;=0,"Aussenlager","teilweise")))))</f>
        <v>Lift</v>
      </c>
      <c r="BM330" s="60" t="str">
        <f aca="false">IF(BD330&lt;=0,"",IF(CG330="Aussen","Aussenlager",IF(CG330="-","Nicht im Lift",IF(BJ330&gt;=1,"Lift",IF(BJ330&lt;=0,"Aussenlager","teilweise")))))</f>
        <v>Lift</v>
      </c>
      <c r="BN330" s="60" t="str">
        <f aca="false">IF(A330="","",IF(BW330=1,"Neu; ","")&amp;IF(AND(BW330=0,BR330&lt;0),"negativer Bestand (Export "&amp;BR330&amp;"); ","")&amp;IF(J330&lt;=0,"Kein Verbrauch; ","")&amp;IF(CR330&gt;0,"Lift "&amp;W330&amp;" lt. Liftbericht (Fach "&amp;X330&amp;" Stk); ",IF(CB330=1,"Gebinde geschätzt ("&amp;T330&amp;"); ",IF(CA330=1,"Lose – Tablare geschätzt; ","")))&amp;IF(H330&gt;AW330,"Überbestand "&amp;ROUND(H330-AW330,0)&amp;" Stk / CHF "&amp;ROUND((H330-AW330)*G330,0)&amp;"; ","")&amp;IF(AND(CI330=1,CJ330&lt;CK330),"MAX &lt; MB+LG; ","")&amp;IF(AND(CQ330&gt;0,CP330*10&gt;CQ330),"zu hoch für Tablar; ","")&amp;IF(AND(BW330=0,OR(CI330=1,AB330&lt;&gt;"",U330&lt;&gt;"",V330&lt;&gt;"",AC330&lt;&gt;"")),"manuell übersteuert; ","")&amp;IF(AND(CA330=0,R330=0),"Gebinde unbekannt / Stellmass fehlt; ","")&amp;IF(AND(CA330=0,N(V330)&lt;=0,N(Q330)&lt;=0),"Menge pro Gebinde fehlt (Ist = 1 Gebinde); ","")&amp;BV330)</f>
        <v/>
      </c>
      <c r="BO330" s="60"/>
      <c r="BP330" s="60"/>
      <c r="BQ330" s="67"/>
      <c r="BR330" s="62" t="n">
        <v>22</v>
      </c>
      <c r="BS330" s="62" t="n">
        <v>30</v>
      </c>
      <c r="BT330" s="61" t="n">
        <v>217.62</v>
      </c>
      <c r="BU330" s="62" t="n">
        <v>142</v>
      </c>
      <c r="BV330" s="60"/>
      <c r="BW330" s="65" t="n">
        <v>0</v>
      </c>
      <c r="BX330" s="65" t="n">
        <v>330</v>
      </c>
      <c r="BY330" s="60" t="str">
        <f aca="false">IF(U330&lt;&gt;"",UPPER(TRIM(U330)),IF(CB330=1,UPPER(VLOOKUP(T330,Parameter!$I$27:$K$29,2,0)),IF(P330="","LOSE",P330)))</f>
        <v>S63</v>
      </c>
      <c r="BZ330" s="62" t="n">
        <f aca="false">IF(BY330="LOSE",1,IF(N(V330)&gt;0,V330,IF(CB330=1,MAX(1,N(VLOOKUP(T330,Parameter!$I$27:$K$29,3,0)),H330,N(N330)),IF(N(Q330)&gt;0,Q330,MAX(1,H330)))))</f>
        <v>171</v>
      </c>
      <c r="CA330" s="65" t="n">
        <f aca="false">IF(BY330="LOSE",1,0)</f>
        <v>0</v>
      </c>
      <c r="CB330" s="65" t="n">
        <f aca="false">IF(AND(U330="",OR(P330="",P330="LOSE"),T330&lt;&gt;"",N(S330)&lt;=0,ISNUMBER(MATCH(T330,Parameter!$I$27:$I$29,0))),1,0)</f>
        <v>0</v>
      </c>
      <c r="CC330" s="65" t="n">
        <f aca="false">IF(CR330&gt;0,INDEX(Parameter!$H$5:$H$7,W330)/INDEX(Parameter!$E$5:$E$7,W330),IF(AND(CA330=0,N(IFERROR(VLOOKUP(BY330,'Gebinde-Kategorie'!$A$5:$N$45,14,0),0))&gt;0),VLOOKUP(BY330,'Gebinde-Kategorie'!$A$5:$N$45,14,0)*10+Parameter!$M$23,Parameter!$M$24))</f>
        <v>345</v>
      </c>
      <c r="CD330" s="60" t="str">
        <f aca="false">IF(AND(Parameter!$B$19="Ja",E330&lt;&gt;"",ISNUMBER(MATCH(E330,Parameter!$I$35:$I$52,0))),VLOOKUP(E330,Parameter!$I$35:$J$52,2,0),IFERROR(VLOOKUP(D330,Parameter!$A$35:$C$64,2,0),"Nein"))</f>
        <v>2+3</v>
      </c>
      <c r="CE330" s="64" t="n">
        <f aca="false">IF(CA330=0,0,IF(N(S330)&gt;0,S330,IFERROR(VLOOKUP(D330,Parameter!$A$35:$C$64,3,0)+0,0)))</f>
        <v>0</v>
      </c>
      <c r="CF330" s="60" t="n">
        <f aca="false">IF(AB330&lt;&gt;"",AB330,AA330)</f>
        <v>3</v>
      </c>
      <c r="CG330" s="60" t="str">
        <f aca="false">IF(OR(CF330=1,CF330=2,CF330=3),IF(Parameter!$E$27="Ja","LIFT",IF(CF330=1,"L1","L23")),IF(CF330="Aussen","Aussen","-"))</f>
        <v>LIFT</v>
      </c>
      <c r="CH330" s="71" t="n">
        <f aca="false">IF(N(AC330)&gt;0,AC330,0)</f>
        <v>0</v>
      </c>
      <c r="CI330" s="65" t="n">
        <f aca="false">IF(ISNUMBER(AF330),1,0)</f>
        <v>0</v>
      </c>
      <c r="CJ330" s="62" t="n">
        <f aca="false">N(AF330)</f>
        <v>0</v>
      </c>
      <c r="CK330" s="62" t="n">
        <f aca="false">N(M330)+N(N330)</f>
        <v>35</v>
      </c>
      <c r="CL330" s="62" t="n">
        <f aca="false">N(M330)</f>
        <v>5</v>
      </c>
      <c r="CM330" s="62" t="n">
        <f aca="false">N(N330)</f>
        <v>30</v>
      </c>
      <c r="CN330" s="62" t="n">
        <f aca="false">ROUNDUP(H330/BZ330,0)</f>
        <v>1</v>
      </c>
      <c r="CO330" s="62" t="n">
        <f aca="false">ROUNDUP(CJ330/BZ330,0)</f>
        <v>0</v>
      </c>
      <c r="CP330" s="65" t="n">
        <f aca="false">IF(CA330=1,0,IFERROR(VLOOKUP(BY330,'Gebinde-Kategorie'!$A$5:$N$45,5,0)+0,0))</f>
        <v>31</v>
      </c>
      <c r="CQ330" s="65" t="n">
        <f aca="false">IFERROR(IF(OR(CF330=1,CF330=2,CF330=3),N(INDEX(Parameter!$I$5:$I$7,CF330)),0),0)</f>
        <v>0</v>
      </c>
      <c r="CR330" s="64" t="n">
        <f aca="false">IF(AND(Parameter!$B$21="Ja",ISNUMBER(W330),N(X330)&gt;0),IFERROR(N(INDEX(Parameter!$L$5:$L$7,W330))*INDEX(Parameter!$E$5:$E$7,W330)*X330/SUMIFS($X$7:$X$1843,$W$7:$W$1843,W330),0),0)</f>
        <v>0</v>
      </c>
      <c r="CS330" s="62" t="n">
        <f aca="false">IF(AND(OR(CG330="L1",CG330="L23",CG330="LIFT"),H330&gt;0),CC330*IF(CR330&gt;0,CR330*MAX(1,H330/X330),IF(CA330=1,CE330,IF(R330&gt;0,CN330/R330,0))/MAX(0.1,N(Parameter!$M$21))),"")</f>
        <v>28.75</v>
      </c>
      <c r="CT330" s="64" t="n">
        <f aca="false">IF(CS330="","",J330/H330)</f>
        <v>2.73076923076923</v>
      </c>
      <c r="CU330" s="62" t="n">
        <f aca="false">IF(CS330="","",H330*G330)</f>
        <v>494.52</v>
      </c>
      <c r="CV330" s="63" t="n">
        <f aca="false">IF(CS330="","",(CL330+ROUNDUP(CL330+MAX(CM330,2*(J330/MAX(0.1,N(Einkauf!$C$6))-CL330)),0))/2)</f>
        <v>35.5</v>
      </c>
      <c r="CW330" s="62" t="n">
        <f aca="false">IF(CS330="","",MAX(0,H330-CV330)*G330)</f>
        <v>156.915</v>
      </c>
      <c r="CX330" s="62" t="n">
        <f aca="false">IF(CS330="","",CS330*MAX(0,1-CV330/H330))</f>
        <v>9.12259615384615</v>
      </c>
      <c r="CY330" s="64" t="n">
        <f aca="false">IF(CS330="","",PERCENTRANK($CS$7:$CS$1843,CS330)+PERCENTRANK($CU$7:$CU$1843,CU330)+1-PERCENTRANK($CT$7:$CT$1843,CT330))</f>
        <v>1.458</v>
      </c>
      <c r="CZ330" s="72" t="n">
        <f aca="false">IF(CS330="","",CHOOSE(MATCH(Einkauf!$C$5,Parameter!$G$23:$G$27,0),CY330,CS330,CU330,-CT330,CW330)+ROW()/1000000000)</f>
        <v>1.45800033</v>
      </c>
    </row>
    <row r="331" customFormat="false" ht="15" hidden="false" customHeight="false" outlineLevel="0" collapsed="false">
      <c r="A331" s="60" t="s">
        <v>865</v>
      </c>
      <c r="B331" s="60" t="s">
        <v>866</v>
      </c>
      <c r="C331" s="60" t="s">
        <v>206</v>
      </c>
      <c r="D331" s="60" t="s">
        <v>226</v>
      </c>
      <c r="E331" s="60"/>
      <c r="F331" s="60" t="s">
        <v>260</v>
      </c>
      <c r="G331" s="61" t="n">
        <v>0.5</v>
      </c>
      <c r="H331" s="62" t="n">
        <f aca="false">MAX(0,IF(AND(Parameter!$B$21="Ja",ISNUMBER(Y331)),Y331,IF(Parameter!$B$20="Jahresanfang 2025 + Export",BS331+BR331,BR331)))</f>
        <v>497</v>
      </c>
      <c r="I331" s="62" t="n">
        <f aca="false">H331*G331</f>
        <v>248.5</v>
      </c>
      <c r="J331" s="62" t="n">
        <f aca="false">BU331*Parameter!$B$18</f>
        <v>0</v>
      </c>
      <c r="K331" s="63" t="n">
        <v>345.5</v>
      </c>
      <c r="L331" s="64" t="n">
        <v>0</v>
      </c>
      <c r="M331" s="62" t="n">
        <v>9</v>
      </c>
      <c r="N331" s="62" t="n">
        <v>250</v>
      </c>
      <c r="O331" s="65" t="n">
        <v>14</v>
      </c>
      <c r="P331" s="60" t="s">
        <v>463</v>
      </c>
      <c r="Q331" s="62" t="n">
        <v>600</v>
      </c>
      <c r="R331" s="65" t="n">
        <f aca="false">IF(CA331=1,0,IFERROR(VLOOKUP(BY331,'Gebinde-Kategorie'!$A$5:$N$45,13,0)+0,0))</f>
        <v>104</v>
      </c>
      <c r="S331" s="66"/>
      <c r="T331" s="67"/>
      <c r="U331" s="67"/>
      <c r="V331" s="67"/>
      <c r="W331" s="60"/>
      <c r="X331" s="62"/>
      <c r="Y331" s="62"/>
      <c r="Z331" s="60" t="n">
        <v>3</v>
      </c>
      <c r="AA331" s="60" t="n">
        <f aca="false">IF(A331="","",IF(AND(Parameter!$B$21="Ja",ISNUMBER(W331)),W331,IF(AND(Parameter!$E$27="Ja",ISNUMBER(Z331),CD331&lt;&gt;"Nein"),Z331,IF(CD331="2+3",IF(ISNUMBER(SEARCH("grosser Artikel",BV331)),2,IFERROR(VLOOKUP(BY331,Parameter!$F$35:$G$64,2,0),2)),IF(OR(CD331="Nein",CD331=""),"-",CD331)))))</f>
        <v>3</v>
      </c>
      <c r="AB331" s="67"/>
      <c r="AC331" s="68"/>
      <c r="AD331" s="62" t="n">
        <f aca="false">AW331</f>
        <v>259</v>
      </c>
      <c r="AE331" s="62" t="n">
        <f aca="false">MAX(AW331,H331)</f>
        <v>497</v>
      </c>
      <c r="AF331" s="69"/>
      <c r="AG331" s="62" t="n">
        <f aca="false">IF(LEFT(Cockpit!$C$5,1)="A",H331,IF(Parameter!$E$30="MAX-Bestand",IF(CI331=1,CJ331,IF(LEFT(Cockpit!$C$5,1)="B",AM331,MAX(AM331,H331))),ROUNDUP(AK331,0)))</f>
        <v>497</v>
      </c>
      <c r="AH331" s="62" t="n">
        <f aca="false">IF(CA331=1,0,ROUNDUP(AG331/BZ331,0))</f>
        <v>1</v>
      </c>
      <c r="AI331" s="64" t="n">
        <f aca="false">IF(CR331&gt;0,CR331*MAX(1,AG331/X331),IF(CA331=1,IF(AG331&lt;=0,0,CE331*MAX(1,IF(H331&gt;0,AG331/H331,1))),IF(R331&gt;0,AH331/R331,0))/MAX(0.1,N(Parameter!$M$21)))</f>
        <v>0.00961538461538462</v>
      </c>
      <c r="AJ331" s="62" t="n">
        <f aca="false">AI331*CC331</f>
        <v>1.49038461538462</v>
      </c>
      <c r="AK331" s="63" t="n">
        <f aca="false">IF(LEFT(Cockpit!$C$5,1)="A",H331,IF(CI331=1,(CL331+CJ331)/2,IF(LEFT(Cockpit!$C$5,1)="B",(CL331+AM331)/2,MAX((CL331+AM331)/2,H331))))</f>
        <v>497</v>
      </c>
      <c r="AL331" s="62" t="n">
        <f aca="false">AK331*G331</f>
        <v>248.5</v>
      </c>
      <c r="AM331" s="62" t="n">
        <f aca="false">ROUNDUP(CL331+MAX(CM331,2*(J331/IF(CH331&gt;0,CH331,MAX(0.1,N(Cockpit!$C$6)))-CL331)),0)</f>
        <v>259</v>
      </c>
      <c r="AN331" s="63" t="n">
        <f aca="false">IF(AJ331&gt;0,J331/AJ331,-1)</f>
        <v>0</v>
      </c>
      <c r="AO331" s="63" t="n">
        <f aca="false">IF(AND(OR(CG331="L1",CG331="L23",CG331="LIFT"),AJ331&gt;0),SUMIFS($AJ$7:$AJ$1843,$CG$7:$CG$1843,CG331,$AN$7:$AN$1843,"&gt;"&amp;AN331)+SUMIFS($AJ$7:$AJ$1843,$CG$7:$CG$1843,CG331,$AN$7:$AN$1843,AN331,$BX$7:$BX$1843,"&lt;="&amp;BX331),"")</f>
        <v>27977.335790857</v>
      </c>
      <c r="AP331" s="70" t="n">
        <f aca="false">IF(AO331="",0,MAX(0,MIN(1,(IF(CG331="L1",Parameter!$H$5,IF(CG331="L23",Parameter!$H$6+Parameter!$H$7,Parameter!$H$5+Parameter!$H$6+Parameter!$H$7))-(AO331-AJ331))/AJ331)))</f>
        <v>1</v>
      </c>
      <c r="AQ331" s="62" t="n">
        <f aca="false">IF(LEFT(Cockpit!$I$5,1)="A",H331,IF(Parameter!$E$30="MAX-Bestand",IF(CI331=1,CJ331,IF(LEFT(Cockpit!$I$5,1)="B",AW331,MAX(AW331,H331))),ROUNDUP(AU331,0)))</f>
        <v>497</v>
      </c>
      <c r="AR331" s="62" t="n">
        <f aca="false">IF(CA331=1,0,ROUNDUP(AQ331/BZ331,0))</f>
        <v>1</v>
      </c>
      <c r="AS331" s="64" t="n">
        <f aca="false">IF(CR331&gt;0,CR331*MAX(1,AQ331/X331),IF(CA331=1,IF(AQ331&lt;=0,0,CE331*MAX(1,IF(H331&gt;0,AQ331/H331,1))),IF(R331&gt;0,AR331/R331,0))/MAX(0.1,N(Parameter!$M$21)))</f>
        <v>0.00961538461538462</v>
      </c>
      <c r="AT331" s="62" t="n">
        <f aca="false">AS331*CC331</f>
        <v>1.49038461538462</v>
      </c>
      <c r="AU331" s="63" t="n">
        <f aca="false">IF(LEFT(Cockpit!$I$5,1)="A",H331,IF(CI331=1,(CL331+CJ331)/2,IF(LEFT(Cockpit!$I$5,1)="B",(CL331+AW331)/2,MAX((CL331+AW331)/2,H331))))</f>
        <v>497</v>
      </c>
      <c r="AV331" s="62" t="n">
        <f aca="false">AU331*G331</f>
        <v>248.5</v>
      </c>
      <c r="AW331" s="62" t="n">
        <f aca="false">ROUNDUP(CL331+MAX(CM331,2*(J331/IF(CH331&gt;0,CH331,MAX(0.1,N(Cockpit!$I$6)))-CL331)),0)</f>
        <v>259</v>
      </c>
      <c r="AX331" s="63" t="n">
        <f aca="false">IF(AT331&gt;0,J331/AT331,-1)</f>
        <v>0</v>
      </c>
      <c r="AY331" s="63" t="n">
        <f aca="false">IF(AND(OR(CG331="L1",CG331="L23",CG331="LIFT"),AT331&gt;0),SUMIFS($AT$7:$AT$1843,$CG$7:$CG$1843,CG331,$AX$7:$AX$1843,"&gt;"&amp;AX331)+SUMIFS($AT$7:$AT$1843,$CG$7:$CG$1843,CG331,$AX$7:$AX$1843,AX331,$BX$7:$BX$1843,"&lt;="&amp;BX331),"")</f>
        <v>33330.4844322344</v>
      </c>
      <c r="AZ331" s="70" t="n">
        <f aca="false">IF(AY331="",0,MAX(0,MIN(1,(IF(CG331="L1",Parameter!$H$5,IF(CG331="L23",Parameter!$H$6+Parameter!$H$7,Parameter!$H$5+Parameter!$H$6+Parameter!$H$7))-(AY331-AT331))/AT331)))</f>
        <v>1</v>
      </c>
      <c r="BA331" s="62" t="n">
        <f aca="false">IF(LEFT(Cockpit!$O$5,1)="A",H331,IF(Parameter!$E$30="MAX-Bestand",IF(CI331=1,CJ331,IF(LEFT(Cockpit!$O$5,1)="B",BG331,MAX(BG331,H331))),ROUNDUP(BE331,0)))</f>
        <v>134</v>
      </c>
      <c r="BB331" s="62" t="n">
        <f aca="false">IF(CA331=1,0,ROUNDUP(BA331/BZ331,0))</f>
        <v>1</v>
      </c>
      <c r="BC331" s="64" t="n">
        <f aca="false">IF(CR331&gt;0,CR331*MAX(1,BA331/X331),IF(CA331=1,IF(BA331&lt;=0,0,CE331*MAX(1,IF(H331&gt;0,BA331/H331,1))),IF(R331&gt;0,BB331/R331,0))/MAX(0.1,N(Parameter!$M$21)))</f>
        <v>0.00961538461538462</v>
      </c>
      <c r="BD331" s="62" t="n">
        <f aca="false">BC331*CC331</f>
        <v>1.49038461538462</v>
      </c>
      <c r="BE331" s="63" t="n">
        <f aca="false">IF(LEFT(Cockpit!$O$5,1)="A",H331,IF(CI331=1,(CL331+CJ331)/2,IF(LEFT(Cockpit!$O$5,1)="B",(CL331+BG331)/2,MAX((CL331+BG331)/2,H331))))</f>
        <v>134</v>
      </c>
      <c r="BF331" s="62" t="n">
        <f aca="false">BE331*G331</f>
        <v>67</v>
      </c>
      <c r="BG331" s="62" t="n">
        <f aca="false">ROUNDUP(CL331+MAX(CM331,2*(J331/IF(CH331&gt;0,CH331,MAX(0.1,N(Cockpit!$O$6)))-CL331)),0)</f>
        <v>259</v>
      </c>
      <c r="BH331" s="63" t="n">
        <f aca="false">IF(BD331&gt;0,J331/BD331,-1)</f>
        <v>0</v>
      </c>
      <c r="BI331" s="63" t="n">
        <f aca="false">IF(AND(OR(CG331="L1",CG331="L23",CG331="LIFT"),BD331&gt;0),SUMIFS($BD$7:$BD$1843,$CG$7:$CG$1843,CG331,$BH$7:$BH$1843,"&gt;"&amp;BH331)+SUMIFS($BD$7:$BD$1843,$CG$7:$CG$1843,CG331,$BH$7:$BH$1843,BH331,$BX$7:$BX$1843,"&lt;="&amp;BX331),"")</f>
        <v>27455.9444806606</v>
      </c>
      <c r="BJ331" s="70" t="n">
        <f aca="false">IF(BI331="",0,MAX(0,MIN(1,(IF(CG331="L1",Parameter!$H$5,IF(CG331="L23",Parameter!$H$6+Parameter!$H$7,Parameter!$H$5+Parameter!$H$6+Parameter!$H$7))-(BI331-BD331))/BD331)))</f>
        <v>1</v>
      </c>
      <c r="BK331" s="60" t="str">
        <f aca="false">IF(AJ331&lt;=0,"",IF(CG331="Aussen","Aussenlager",IF(CG331="-","Nicht im Lift",IF(AP331&gt;=1,"Lift",IF(AP331&lt;=0,"Aussenlager","teilweise")))))</f>
        <v>Lift</v>
      </c>
      <c r="BL331" s="60" t="str">
        <f aca="false">IF(AT331&lt;=0,"",IF(CG331="Aussen","Aussenlager",IF(CG331="-","Nicht im Lift",IF(AZ331&gt;=1,"Lift",IF(AZ331&lt;=0,"Aussenlager","teilweise")))))</f>
        <v>Lift</v>
      </c>
      <c r="BM331" s="60" t="str">
        <f aca="false">IF(BD331&lt;=0,"",IF(CG331="Aussen","Aussenlager",IF(CG331="-","Nicht im Lift",IF(BJ331&gt;=1,"Lift",IF(BJ331&lt;=0,"Aussenlager","teilweise")))))</f>
        <v>Lift</v>
      </c>
      <c r="BN331" s="60" t="str">
        <f aca="false">IF(A331="","",IF(BW331=1,"Neu; ","")&amp;IF(AND(BW331=0,BR331&lt;0),"negativer Bestand (Export "&amp;BR331&amp;"); ","")&amp;IF(J331&lt;=0,"Kein Verbrauch; ","")&amp;IF(CR331&gt;0,"Lift "&amp;W331&amp;" lt. Liftbericht (Fach "&amp;X331&amp;" Stk); ",IF(CB331=1,"Gebinde geschätzt ("&amp;T331&amp;"); ",IF(CA331=1,"Lose – Tablare geschätzt; ","")))&amp;IF(H331&gt;AW331,"Überbestand "&amp;ROUND(H331-AW331,0)&amp;" Stk / CHF "&amp;ROUND((H331-AW331)*G331,0)&amp;"; ","")&amp;IF(AND(CI331=1,CJ331&lt;CK331),"MAX &lt; MB+LG; ","")&amp;IF(AND(CQ331&gt;0,CP331*10&gt;CQ331),"zu hoch für Tablar; ","")&amp;IF(AND(BW331=0,OR(CI331=1,AB331&lt;&gt;"",U331&lt;&gt;"",V331&lt;&gt;"",AC331&lt;&gt;"")),"manuell übersteuert; ","")&amp;IF(AND(CA331=0,R331=0),"Gebinde unbekannt / Stellmass fehlt; ","")&amp;IF(AND(CA331=0,N(V331)&lt;=0,N(Q331)&lt;=0),"Menge pro Gebinde fehlt (Ist = 1 Gebinde); ","")&amp;BV331)</f>
        <v>Kein Verbrauch; Überbestand 238 Stk / CHF 119; </v>
      </c>
      <c r="BO331" s="60"/>
      <c r="BP331" s="60"/>
      <c r="BQ331" s="67"/>
      <c r="BR331" s="62" t="n">
        <v>434</v>
      </c>
      <c r="BS331" s="62" t="n">
        <v>63</v>
      </c>
      <c r="BT331" s="61" t="n">
        <v>217</v>
      </c>
      <c r="BU331" s="62" t="n">
        <v>0</v>
      </c>
      <c r="BV331" s="60"/>
      <c r="BW331" s="65" t="n">
        <v>0</v>
      </c>
      <c r="BX331" s="65" t="n">
        <v>331</v>
      </c>
      <c r="BY331" s="60" t="str">
        <f aca="false">IF(U331&lt;&gt;"",UPPER(TRIM(U331)),IF(CB331=1,UPPER(VLOOKUP(T331,Parameter!$I$27:$K$29,2,0)),IF(P331="","LOSE",P331)))</f>
        <v>S32</v>
      </c>
      <c r="BZ331" s="62" t="n">
        <f aca="false">IF(BY331="LOSE",1,IF(N(V331)&gt;0,V331,IF(CB331=1,MAX(1,N(VLOOKUP(T331,Parameter!$I$27:$K$29,3,0)),H331,N(N331)),IF(N(Q331)&gt;0,Q331,MAX(1,H331)))))</f>
        <v>600</v>
      </c>
      <c r="CA331" s="65" t="n">
        <f aca="false">IF(BY331="LOSE",1,0)</f>
        <v>0</v>
      </c>
      <c r="CB331" s="65" t="n">
        <f aca="false">IF(AND(U331="",OR(P331="",P331="LOSE"),T331&lt;&gt;"",N(S331)&lt;=0,ISNUMBER(MATCH(T331,Parameter!$I$27:$I$29,0))),1,0)</f>
        <v>0</v>
      </c>
      <c r="CC331" s="65" t="n">
        <f aca="false">IF(CR331&gt;0,INDEX(Parameter!$H$5:$H$7,W331)/INDEX(Parameter!$E$5:$E$7,W331),IF(AND(CA331=0,N(IFERROR(VLOOKUP(BY331,'Gebinde-Kategorie'!$A$5:$N$45,14,0),0))&gt;0),VLOOKUP(BY331,'Gebinde-Kategorie'!$A$5:$N$45,14,0)*10+Parameter!$M$23,Parameter!$M$24))</f>
        <v>155</v>
      </c>
      <c r="CD331" s="60" t="str">
        <f aca="false">IF(AND(Parameter!$B$19="Ja",E331&lt;&gt;"",ISNUMBER(MATCH(E331,Parameter!$I$35:$I$52,0))),VLOOKUP(E331,Parameter!$I$35:$J$52,2,0),IFERROR(VLOOKUP(D331,Parameter!$A$35:$C$64,2,0),"Nein"))</f>
        <v>2+3</v>
      </c>
      <c r="CE331" s="64" t="n">
        <f aca="false">IF(CA331=0,0,IF(N(S331)&gt;0,S331,IFERROR(VLOOKUP(D331,Parameter!$A$35:$C$64,3,0)+0,0)))</f>
        <v>0</v>
      </c>
      <c r="CF331" s="60" t="n">
        <f aca="false">IF(AB331&lt;&gt;"",AB331,AA331)</f>
        <v>3</v>
      </c>
      <c r="CG331" s="60" t="str">
        <f aca="false">IF(OR(CF331=1,CF331=2,CF331=3),IF(Parameter!$E$27="Ja","LIFT",IF(CF331=1,"L1","L23")),IF(CF331="Aussen","Aussen","-"))</f>
        <v>LIFT</v>
      </c>
      <c r="CH331" s="71" t="n">
        <f aca="false">IF(N(AC331)&gt;0,AC331,0)</f>
        <v>0</v>
      </c>
      <c r="CI331" s="65" t="n">
        <f aca="false">IF(ISNUMBER(AF331),1,0)</f>
        <v>0</v>
      </c>
      <c r="CJ331" s="62" t="n">
        <f aca="false">N(AF331)</f>
        <v>0</v>
      </c>
      <c r="CK331" s="62" t="n">
        <f aca="false">N(M331)+N(N331)</f>
        <v>259</v>
      </c>
      <c r="CL331" s="62" t="n">
        <f aca="false">N(M331)</f>
        <v>9</v>
      </c>
      <c r="CM331" s="62" t="n">
        <f aca="false">N(N331)</f>
        <v>250</v>
      </c>
      <c r="CN331" s="62" t="n">
        <f aca="false">ROUNDUP(H331/BZ331,0)</f>
        <v>1</v>
      </c>
      <c r="CO331" s="62" t="n">
        <f aca="false">ROUNDUP(CJ331/BZ331,0)</f>
        <v>0</v>
      </c>
      <c r="CP331" s="65" t="n">
        <f aca="false">IF(CA331=1,0,IFERROR(VLOOKUP(BY331,'Gebinde-Kategorie'!$A$5:$N$45,5,0)+0,0))</f>
        <v>8</v>
      </c>
      <c r="CQ331" s="65" t="n">
        <f aca="false">IFERROR(IF(OR(CF331=1,CF331=2,CF331=3),N(INDEX(Parameter!$I$5:$I$7,CF331)),0),0)</f>
        <v>0</v>
      </c>
      <c r="CR331" s="64" t="n">
        <f aca="false">IF(AND(Parameter!$B$21="Ja",ISNUMBER(W331),N(X331)&gt;0),IFERROR(N(INDEX(Parameter!$L$5:$L$7,W331))*INDEX(Parameter!$E$5:$E$7,W331)*X331/SUMIFS($X$7:$X$1843,$W$7:$W$1843,W331),0),0)</f>
        <v>0</v>
      </c>
      <c r="CS331" s="62" t="n">
        <f aca="false">IF(AND(OR(CG331="L1",CG331="L23",CG331="LIFT"),H331&gt;0),CC331*IF(CR331&gt;0,CR331*MAX(1,H331/X331),IF(CA331=1,CE331,IF(R331&gt;0,CN331/R331,0))/MAX(0.1,N(Parameter!$M$21))),"")</f>
        <v>1.49038461538462</v>
      </c>
      <c r="CT331" s="64" t="n">
        <f aca="false">IF(CS331="","",J331/H331)</f>
        <v>0</v>
      </c>
      <c r="CU331" s="62" t="n">
        <f aca="false">IF(CS331="","",H331*G331)</f>
        <v>248.5</v>
      </c>
      <c r="CV331" s="63" t="n">
        <f aca="false">IF(CS331="","",(CL331+ROUNDUP(CL331+MAX(CM331,2*(J331/MAX(0.1,N(Einkauf!$C$6))-CL331)),0))/2)</f>
        <v>134</v>
      </c>
      <c r="CW331" s="62" t="n">
        <f aca="false">IF(CS331="","",MAX(0,H331-CV331)*G331)</f>
        <v>181.5</v>
      </c>
      <c r="CX331" s="62" t="n">
        <f aca="false">IF(CS331="","",CS331*MAX(0,1-CV331/H331))</f>
        <v>1.08855053397307</v>
      </c>
      <c r="CY331" s="64" t="n">
        <f aca="false">IF(CS331="","",PERCENTRANK($CS$7:$CS$1843,CS331)+PERCENTRANK($CU$7:$CU$1843,CU331)+1-PERCENTRANK($CT$7:$CT$1843,CT331))</f>
        <v>1.494</v>
      </c>
      <c r="CZ331" s="72" t="n">
        <f aca="false">IF(CS331="","",CHOOSE(MATCH(Einkauf!$C$5,Parameter!$G$23:$G$27,0),CY331,CS331,CU331,-CT331,CW331)+ROW()/1000000000)</f>
        <v>1.494000331</v>
      </c>
    </row>
    <row r="332" customFormat="false" ht="15" hidden="false" customHeight="false" outlineLevel="0" collapsed="false">
      <c r="A332" s="60" t="s">
        <v>867</v>
      </c>
      <c r="B332" s="60" t="s">
        <v>868</v>
      </c>
      <c r="C332" s="60" t="s">
        <v>206</v>
      </c>
      <c r="D332" s="60" t="s">
        <v>226</v>
      </c>
      <c r="E332" s="60" t="s">
        <v>227</v>
      </c>
      <c r="F332" s="60" t="s">
        <v>260</v>
      </c>
      <c r="G332" s="61" t="n">
        <v>16.63</v>
      </c>
      <c r="H332" s="62" t="n">
        <f aca="false">MAX(0,IF(AND(Parameter!$B$21="Ja",ISNUMBER(Y332)),Y332,IF(Parameter!$B$20="Jahresanfang 2025 + Export",BS332+BR332,BR332)))</f>
        <v>16</v>
      </c>
      <c r="I332" s="62" t="n">
        <f aca="false">H332*G332</f>
        <v>266.08</v>
      </c>
      <c r="J332" s="62" t="n">
        <f aca="false">BU332*Parameter!$B$18</f>
        <v>8</v>
      </c>
      <c r="K332" s="63" t="n">
        <v>15</v>
      </c>
      <c r="L332" s="64" t="n">
        <v>0.533333333333333</v>
      </c>
      <c r="M332" s="62" t="n">
        <v>0</v>
      </c>
      <c r="N332" s="62" t="n">
        <v>10</v>
      </c>
      <c r="O332" s="65" t="n">
        <v>14</v>
      </c>
      <c r="P332" s="60" t="s">
        <v>443</v>
      </c>
      <c r="Q332" s="62" t="n">
        <v>9</v>
      </c>
      <c r="R332" s="65" t="n">
        <f aca="false">IF(CA332=1,0,IFERROR(VLOOKUP(BY332,'Gebinde-Kategorie'!$A$5:$N$45,13,0)+0,0))</f>
        <v>280</v>
      </c>
      <c r="S332" s="66"/>
      <c r="T332" s="67"/>
      <c r="U332" s="67"/>
      <c r="V332" s="67"/>
      <c r="W332" s="60"/>
      <c r="X332" s="62"/>
      <c r="Y332" s="62"/>
      <c r="Z332" s="60" t="n">
        <v>2</v>
      </c>
      <c r="AA332" s="60" t="n">
        <f aca="false">IF(A332="","",IF(AND(Parameter!$B$21="Ja",ISNUMBER(W332)),W332,IF(AND(Parameter!$E$27="Ja",ISNUMBER(Z332),CD332&lt;&gt;"Nein"),Z332,IF(CD332="2+3",IF(ISNUMBER(SEARCH("grosser Artikel",BV332)),2,IFERROR(VLOOKUP(BY332,Parameter!$F$35:$G$64,2,0),2)),IF(OR(CD332="Nein",CD332=""),"-",CD332)))))</f>
        <v>2</v>
      </c>
      <c r="AB332" s="67"/>
      <c r="AC332" s="68"/>
      <c r="AD332" s="62" t="n">
        <f aca="false">AW332</f>
        <v>10</v>
      </c>
      <c r="AE332" s="62" t="n">
        <f aca="false">MAX(AW332,H332)</f>
        <v>16</v>
      </c>
      <c r="AF332" s="69"/>
      <c r="AG332" s="62" t="n">
        <f aca="false">IF(LEFT(Cockpit!$C$5,1)="A",H332,IF(Parameter!$E$30="MAX-Bestand",IF(CI332=1,CJ332,IF(LEFT(Cockpit!$C$5,1)="B",AM332,MAX(AM332,H332))),ROUNDUP(AK332,0)))</f>
        <v>16</v>
      </c>
      <c r="AH332" s="62" t="n">
        <f aca="false">IF(CA332=1,0,ROUNDUP(AG332/BZ332,0))</f>
        <v>2</v>
      </c>
      <c r="AI332" s="64" t="n">
        <f aca="false">IF(CR332&gt;0,CR332*MAX(1,AG332/X332),IF(CA332=1,IF(AG332&lt;=0,0,CE332*MAX(1,IF(H332&gt;0,AG332/H332,1))),IF(R332&gt;0,AH332/R332,0))/MAX(0.1,N(Parameter!$M$21)))</f>
        <v>0.00714285714285714</v>
      </c>
      <c r="AJ332" s="62" t="n">
        <f aca="false">AI332*CC332</f>
        <v>1.10714285714286</v>
      </c>
      <c r="AK332" s="63" t="n">
        <f aca="false">IF(LEFT(Cockpit!$C$5,1)="A",H332,IF(CI332=1,(CL332+CJ332)/2,IF(LEFT(Cockpit!$C$5,1)="B",(CL332+AM332)/2,MAX((CL332+AM332)/2,H332))))</f>
        <v>16</v>
      </c>
      <c r="AL332" s="62" t="n">
        <f aca="false">AK332*G332</f>
        <v>266.08</v>
      </c>
      <c r="AM332" s="62" t="n">
        <f aca="false">ROUNDUP(CL332+MAX(CM332,2*(J332/IF(CH332&gt;0,CH332,MAX(0.1,N(Cockpit!$C$6)))-CL332)),0)</f>
        <v>10</v>
      </c>
      <c r="AN332" s="63" t="n">
        <f aca="false">IF(AJ332&gt;0,J332/AJ332,-1)</f>
        <v>7.2258064516129</v>
      </c>
      <c r="AO332" s="63" t="n">
        <f aca="false">IF(AND(OR(CG332="L1",CG332="L23",CG332="LIFT"),AJ332&gt;0),SUMIFS($AJ$7:$AJ$1843,$CG$7:$CG$1843,CG332,$AN$7:$AN$1843,"&gt;"&amp;AN332)+SUMIFS($AJ$7:$AJ$1843,$CG$7:$CG$1843,CG332,$AN$7:$AN$1843,AN332,$BX$7:$BX$1843,"&lt;="&amp;BX332),"")</f>
        <v>3154.47573260073</v>
      </c>
      <c r="AP332" s="70" t="n">
        <f aca="false">IF(AO332="",0,MAX(0,MIN(1,(IF(CG332="L1",Parameter!$H$5,IF(CG332="L23",Parameter!$H$6+Parameter!$H$7,Parameter!$H$5+Parameter!$H$6+Parameter!$H$7))-(AO332-AJ332))/AJ332)))</f>
        <v>1</v>
      </c>
      <c r="AQ332" s="62" t="n">
        <f aca="false">IF(LEFT(Cockpit!$I$5,1)="A",H332,IF(Parameter!$E$30="MAX-Bestand",IF(CI332=1,CJ332,IF(LEFT(Cockpit!$I$5,1)="B",AW332,MAX(AW332,H332))),ROUNDUP(AU332,0)))</f>
        <v>16</v>
      </c>
      <c r="AR332" s="62" t="n">
        <f aca="false">IF(CA332=1,0,ROUNDUP(AQ332/BZ332,0))</f>
        <v>2</v>
      </c>
      <c r="AS332" s="64" t="n">
        <f aca="false">IF(CR332&gt;0,CR332*MAX(1,AQ332/X332),IF(CA332=1,IF(AQ332&lt;=0,0,CE332*MAX(1,IF(H332&gt;0,AQ332/H332,1))),IF(R332&gt;0,AR332/R332,0))/MAX(0.1,N(Parameter!$M$21)))</f>
        <v>0.00714285714285714</v>
      </c>
      <c r="AT332" s="62" t="n">
        <f aca="false">AS332*CC332</f>
        <v>1.10714285714286</v>
      </c>
      <c r="AU332" s="63" t="n">
        <f aca="false">IF(LEFT(Cockpit!$I$5,1)="A",H332,IF(CI332=1,(CL332+CJ332)/2,IF(LEFT(Cockpit!$I$5,1)="B",(CL332+AW332)/2,MAX((CL332+AW332)/2,H332))))</f>
        <v>16</v>
      </c>
      <c r="AV332" s="62" t="n">
        <f aca="false">AU332*G332</f>
        <v>266.08</v>
      </c>
      <c r="AW332" s="62" t="n">
        <f aca="false">ROUNDUP(CL332+MAX(CM332,2*(J332/IF(CH332&gt;0,CH332,MAX(0.1,N(Cockpit!$I$6)))-CL332)),0)</f>
        <v>10</v>
      </c>
      <c r="AX332" s="63" t="n">
        <f aca="false">IF(AT332&gt;0,J332/AT332,-1)</f>
        <v>7.2258064516129</v>
      </c>
      <c r="AY332" s="63" t="n">
        <f aca="false">IF(AND(OR(CG332="L1",CG332="L23",CG332="LIFT"),AT332&gt;0),SUMIFS($AT$7:$AT$1843,$CG$7:$CG$1843,CG332,$AX$7:$AX$1843,"&gt;"&amp;AX332)+SUMIFS($AT$7:$AT$1843,$CG$7:$CG$1843,CG332,$AX$7:$AX$1843,AX332,$BX$7:$BX$1843,"&lt;="&amp;BX332),"")</f>
        <v>3814.78708791209</v>
      </c>
      <c r="AZ332" s="70" t="n">
        <f aca="false">IF(AY332="",0,MAX(0,MIN(1,(IF(CG332="L1",Parameter!$H$5,IF(CG332="L23",Parameter!$H$6+Parameter!$H$7,Parameter!$H$5+Parameter!$H$6+Parameter!$H$7))-(AY332-AT332))/AT332)))</f>
        <v>1</v>
      </c>
      <c r="BA332" s="62" t="n">
        <f aca="false">IF(LEFT(Cockpit!$O$5,1)="A",H332,IF(Parameter!$E$30="MAX-Bestand",IF(CI332=1,CJ332,IF(LEFT(Cockpit!$O$5,1)="B",BG332,MAX(BG332,H332))),ROUNDUP(BE332,0)))</f>
        <v>5</v>
      </c>
      <c r="BB332" s="62" t="n">
        <f aca="false">IF(CA332=1,0,ROUNDUP(BA332/BZ332,0))</f>
        <v>1</v>
      </c>
      <c r="BC332" s="64" t="n">
        <f aca="false">IF(CR332&gt;0,CR332*MAX(1,BA332/X332),IF(CA332=1,IF(BA332&lt;=0,0,CE332*MAX(1,IF(H332&gt;0,BA332/H332,1))),IF(R332&gt;0,BB332/R332,0))/MAX(0.1,N(Parameter!$M$21)))</f>
        <v>0.00357142857142857</v>
      </c>
      <c r="BD332" s="62" t="n">
        <f aca="false">BC332*CC332</f>
        <v>0.553571428571429</v>
      </c>
      <c r="BE332" s="63" t="n">
        <f aca="false">IF(LEFT(Cockpit!$O$5,1)="A",H332,IF(CI332=1,(CL332+CJ332)/2,IF(LEFT(Cockpit!$O$5,1)="B",(CL332+BG332)/2,MAX((CL332+BG332)/2,H332))))</f>
        <v>5</v>
      </c>
      <c r="BF332" s="62" t="n">
        <f aca="false">BE332*G332</f>
        <v>83.15</v>
      </c>
      <c r="BG332" s="62" t="n">
        <f aca="false">ROUNDUP(CL332+MAX(CM332,2*(J332/IF(CH332&gt;0,CH332,MAX(0.1,N(Cockpit!$O$6)))-CL332)),0)</f>
        <v>10</v>
      </c>
      <c r="BH332" s="63" t="n">
        <f aca="false">IF(BD332&gt;0,J332/BD332,-1)</f>
        <v>14.4516129032258</v>
      </c>
      <c r="BI332" s="63" t="n">
        <f aca="false">IF(AND(OR(CG332="L1",CG332="L23",CG332="LIFT"),BD332&gt;0),SUMIFS($BD$7:$BD$1843,$CG$7:$CG$1843,CG332,$BH$7:$BH$1843,"&gt;"&amp;BH332)+SUMIFS($BD$7:$BD$1843,$CG$7:$CG$1843,CG332,$BH$7:$BH$1843,BH332,$BX$7:$BX$1843,"&lt;="&amp;BX332),"")</f>
        <v>2429.55631868132</v>
      </c>
      <c r="BJ332" s="70" t="n">
        <f aca="false">IF(BI332="",0,MAX(0,MIN(1,(IF(CG332="L1",Parameter!$H$5,IF(CG332="L23",Parameter!$H$6+Parameter!$H$7,Parameter!$H$5+Parameter!$H$6+Parameter!$H$7))-(BI332-BD332))/BD332)))</f>
        <v>1</v>
      </c>
      <c r="BK332" s="60" t="str">
        <f aca="false">IF(AJ332&lt;=0,"",IF(CG332="Aussen","Aussenlager",IF(CG332="-","Nicht im Lift",IF(AP332&gt;=1,"Lift",IF(AP332&lt;=0,"Aussenlager","teilweise")))))</f>
        <v>Lift</v>
      </c>
      <c r="BL332" s="60" t="str">
        <f aca="false">IF(AT332&lt;=0,"",IF(CG332="Aussen","Aussenlager",IF(CG332="-","Nicht im Lift",IF(AZ332&gt;=1,"Lift",IF(AZ332&lt;=0,"Aussenlager","teilweise")))))</f>
        <v>Lift</v>
      </c>
      <c r="BM332" s="60" t="str">
        <f aca="false">IF(BD332&lt;=0,"",IF(CG332="Aussen","Aussenlager",IF(CG332="-","Nicht im Lift",IF(BJ332&gt;=1,"Lift",IF(BJ332&lt;=0,"Aussenlager","teilweise")))))</f>
        <v>Lift</v>
      </c>
      <c r="BN332" s="60" t="str">
        <f aca="false">IF(A332="","",IF(BW332=1,"Neu; ","")&amp;IF(AND(BW332=0,BR332&lt;0),"negativer Bestand (Export "&amp;BR332&amp;"); ","")&amp;IF(J332&lt;=0,"Kein Verbrauch; ","")&amp;IF(CR332&gt;0,"Lift "&amp;W332&amp;" lt. Liftbericht (Fach "&amp;X332&amp;" Stk); ",IF(CB332=1,"Gebinde geschätzt ("&amp;T332&amp;"); ",IF(CA332=1,"Lose – Tablare geschätzt; ","")))&amp;IF(H332&gt;AW332,"Überbestand "&amp;ROUND(H332-AW332,0)&amp;" Stk / CHF "&amp;ROUND((H332-AW332)*G332,0)&amp;"; ","")&amp;IF(AND(CI332=1,CJ332&lt;CK332),"MAX &lt; MB+LG; ","")&amp;IF(AND(CQ332&gt;0,CP332*10&gt;CQ332),"zu hoch für Tablar; ","")&amp;IF(AND(BW332=0,OR(CI332=1,AB332&lt;&gt;"",U332&lt;&gt;"",V332&lt;&gt;"",AC332&lt;&gt;"")),"manuell übersteuert; ","")&amp;IF(AND(CA332=0,R332=0),"Gebinde unbekannt / Stellmass fehlt; ","")&amp;IF(AND(CA332=0,N(V332)&lt;=0,N(Q332)&lt;=0),"Menge pro Gebinde fehlt (Ist = 1 Gebinde); ","")&amp;BV332)</f>
        <v>Überbestand 6 Stk / CHF 100; </v>
      </c>
      <c r="BO332" s="60"/>
      <c r="BP332" s="60"/>
      <c r="BQ332" s="67"/>
      <c r="BR332" s="62" t="n">
        <v>13</v>
      </c>
      <c r="BS332" s="62" t="n">
        <v>3</v>
      </c>
      <c r="BT332" s="61" t="n">
        <v>216.19</v>
      </c>
      <c r="BU332" s="62" t="n">
        <v>8</v>
      </c>
      <c r="BV332" s="60"/>
      <c r="BW332" s="65" t="n">
        <v>0</v>
      </c>
      <c r="BX332" s="65" t="n">
        <v>332</v>
      </c>
      <c r="BY332" s="60" t="str">
        <f aca="false">IF(U332&lt;&gt;"",UPPER(TRIM(U332)),IF(CB332=1,UPPER(VLOOKUP(T332,Parameter!$I$27:$K$29,2,0)),IF(P332="","LOSE",P332)))</f>
        <v>S21</v>
      </c>
      <c r="BZ332" s="62" t="n">
        <f aca="false">IF(BY332="LOSE",1,IF(N(V332)&gt;0,V332,IF(CB332=1,MAX(1,N(VLOOKUP(T332,Parameter!$I$27:$K$29,3,0)),H332,N(N332)),IF(N(Q332)&gt;0,Q332,MAX(1,H332)))))</f>
        <v>9</v>
      </c>
      <c r="CA332" s="65" t="n">
        <f aca="false">IF(BY332="LOSE",1,0)</f>
        <v>0</v>
      </c>
      <c r="CB332" s="65" t="n">
        <f aca="false">IF(AND(U332="",OR(P332="",P332="LOSE"),T332&lt;&gt;"",N(S332)&lt;=0,ISNUMBER(MATCH(T332,Parameter!$I$27:$I$29,0))),1,0)</f>
        <v>0</v>
      </c>
      <c r="CC332" s="65" t="n">
        <f aca="false">IF(CR332&gt;0,INDEX(Parameter!$H$5:$H$7,W332)/INDEX(Parameter!$E$5:$E$7,W332),IF(AND(CA332=0,N(IFERROR(VLOOKUP(BY332,'Gebinde-Kategorie'!$A$5:$N$45,14,0),0))&gt;0),VLOOKUP(BY332,'Gebinde-Kategorie'!$A$5:$N$45,14,0)*10+Parameter!$M$23,Parameter!$M$24))</f>
        <v>155</v>
      </c>
      <c r="CD332" s="60" t="str">
        <f aca="false">IF(AND(Parameter!$B$19="Ja",E332&lt;&gt;"",ISNUMBER(MATCH(E332,Parameter!$I$35:$I$52,0))),VLOOKUP(E332,Parameter!$I$35:$J$52,2,0),IFERROR(VLOOKUP(D332,Parameter!$A$35:$C$64,2,0),"Nein"))</f>
        <v>2+3</v>
      </c>
      <c r="CE332" s="64" t="n">
        <f aca="false">IF(CA332=0,0,IF(N(S332)&gt;0,S332,IFERROR(VLOOKUP(D332,Parameter!$A$35:$C$64,3,0)+0,0)))</f>
        <v>0</v>
      </c>
      <c r="CF332" s="60" t="n">
        <f aca="false">IF(AB332&lt;&gt;"",AB332,AA332)</f>
        <v>2</v>
      </c>
      <c r="CG332" s="60" t="str">
        <f aca="false">IF(OR(CF332=1,CF332=2,CF332=3),IF(Parameter!$E$27="Ja","LIFT",IF(CF332=1,"L1","L23")),IF(CF332="Aussen","Aussen","-"))</f>
        <v>LIFT</v>
      </c>
      <c r="CH332" s="71" t="n">
        <f aca="false">IF(N(AC332)&gt;0,AC332,0)</f>
        <v>0</v>
      </c>
      <c r="CI332" s="65" t="n">
        <f aca="false">IF(ISNUMBER(AF332),1,0)</f>
        <v>0</v>
      </c>
      <c r="CJ332" s="62" t="n">
        <f aca="false">N(AF332)</f>
        <v>0</v>
      </c>
      <c r="CK332" s="62" t="n">
        <f aca="false">N(M332)+N(N332)</f>
        <v>10</v>
      </c>
      <c r="CL332" s="62" t="n">
        <f aca="false">N(M332)</f>
        <v>0</v>
      </c>
      <c r="CM332" s="62" t="n">
        <f aca="false">N(N332)</f>
        <v>10</v>
      </c>
      <c r="CN332" s="62" t="n">
        <f aca="false">ROUNDUP(H332/BZ332,0)</f>
        <v>2</v>
      </c>
      <c r="CO332" s="62" t="n">
        <f aca="false">ROUNDUP(CJ332/BZ332,0)</f>
        <v>0</v>
      </c>
      <c r="CP332" s="65" t="n">
        <f aca="false">IF(CA332=1,0,IFERROR(VLOOKUP(BY332,'Gebinde-Kategorie'!$A$5:$N$45,5,0)+0,0))</f>
        <v>8</v>
      </c>
      <c r="CQ332" s="65" t="n">
        <f aca="false">IFERROR(IF(OR(CF332=1,CF332=2,CF332=3),N(INDEX(Parameter!$I$5:$I$7,CF332)),0),0)</f>
        <v>0</v>
      </c>
      <c r="CR332" s="64" t="n">
        <f aca="false">IF(AND(Parameter!$B$21="Ja",ISNUMBER(W332),N(X332)&gt;0),IFERROR(N(INDEX(Parameter!$L$5:$L$7,W332))*INDEX(Parameter!$E$5:$E$7,W332)*X332/SUMIFS($X$7:$X$1843,$W$7:$W$1843,W332),0),0)</f>
        <v>0</v>
      </c>
      <c r="CS332" s="62" t="n">
        <f aca="false">IF(AND(OR(CG332="L1",CG332="L23",CG332="LIFT"),H332&gt;0),CC332*IF(CR332&gt;0,CR332*MAX(1,H332/X332),IF(CA332=1,CE332,IF(R332&gt;0,CN332/R332,0))/MAX(0.1,N(Parameter!$M$21))),"")</f>
        <v>1.10714285714286</v>
      </c>
      <c r="CT332" s="64" t="n">
        <f aca="false">IF(CS332="","",J332/H332)</f>
        <v>0.5</v>
      </c>
      <c r="CU332" s="62" t="n">
        <f aca="false">IF(CS332="","",H332*G332)</f>
        <v>266.08</v>
      </c>
      <c r="CV332" s="63" t="n">
        <f aca="false">IF(CS332="","",(CL332+ROUNDUP(CL332+MAX(CM332,2*(J332/MAX(0.1,N(Einkauf!$C$6))-CL332)),0))/2)</f>
        <v>5</v>
      </c>
      <c r="CW332" s="62" t="n">
        <f aca="false">IF(CS332="","",MAX(0,H332-CV332)*G332)</f>
        <v>182.93</v>
      </c>
      <c r="CX332" s="62" t="n">
        <f aca="false">IF(CS332="","",CS332*MAX(0,1-CV332/H332))</f>
        <v>0.761160714285714</v>
      </c>
      <c r="CY332" s="64" t="n">
        <f aca="false">IF(CS332="","",PERCENTRANK($CS$7:$CS$1843,CS332)+PERCENTRANK($CU$7:$CU$1843,CU332)+1-PERCENTRANK($CT$7:$CT$1843,CT332))</f>
        <v>0.8964</v>
      </c>
      <c r="CZ332" s="72" t="n">
        <f aca="false">IF(CS332="","",CHOOSE(MATCH(Einkauf!$C$5,Parameter!$G$23:$G$27,0),CY332,CS332,CU332,-CT332,CW332)+ROW()/1000000000)</f>
        <v>0.896400332</v>
      </c>
    </row>
    <row r="333" customFormat="false" ht="15" hidden="false" customHeight="false" outlineLevel="0" collapsed="false">
      <c r="A333" s="60" t="s">
        <v>869</v>
      </c>
      <c r="B333" s="60" t="s">
        <v>870</v>
      </c>
      <c r="C333" s="60" t="s">
        <v>206</v>
      </c>
      <c r="D333" s="60" t="s">
        <v>215</v>
      </c>
      <c r="E333" s="60" t="s">
        <v>227</v>
      </c>
      <c r="F333" s="60" t="s">
        <v>260</v>
      </c>
      <c r="G333" s="61" t="n">
        <v>12.37</v>
      </c>
      <c r="H333" s="62" t="n">
        <f aca="false">MAX(0,IF(AND(Parameter!$B$21="Ja",ISNUMBER(Y333)),Y333,IF(Parameter!$B$20="Jahresanfang 2025 + Export",BS333+BR333,BR333)))</f>
        <v>154</v>
      </c>
      <c r="I333" s="62" t="n">
        <f aca="false">H333*G333</f>
        <v>1904.98</v>
      </c>
      <c r="J333" s="62" t="n">
        <f aca="false">BU333*Parameter!$B$18</f>
        <v>234</v>
      </c>
      <c r="K333" s="63" t="n">
        <v>120</v>
      </c>
      <c r="L333" s="64" t="n">
        <v>1.95</v>
      </c>
      <c r="M333" s="62" t="n">
        <v>30</v>
      </c>
      <c r="N333" s="62" t="n">
        <v>215</v>
      </c>
      <c r="O333" s="65" t="n">
        <v>42</v>
      </c>
      <c r="P333" s="60" t="s">
        <v>335</v>
      </c>
      <c r="Q333" s="62" t="n">
        <v>45</v>
      </c>
      <c r="R333" s="65" t="n">
        <f aca="false">IF(CA333=1,0,IFERROR(VLOOKUP(BY333,'Gebinde-Kategorie'!$A$5:$N$45,13,0)+0,0))</f>
        <v>12</v>
      </c>
      <c r="S333" s="66"/>
      <c r="T333" s="67"/>
      <c r="U333" s="67"/>
      <c r="V333" s="67"/>
      <c r="W333" s="60"/>
      <c r="X333" s="62"/>
      <c r="Y333" s="62"/>
      <c r="Z333" s="60" t="n">
        <v>3</v>
      </c>
      <c r="AA333" s="60" t="n">
        <f aca="false">IF(A333="","",IF(AND(Parameter!$B$21="Ja",ISNUMBER(W333)),W333,IF(AND(Parameter!$E$27="Ja",ISNUMBER(Z333),CD333&lt;&gt;"Nein"),Z333,IF(CD333="2+3",IF(ISNUMBER(SEARCH("grosser Artikel",BV333)),2,IFERROR(VLOOKUP(BY333,Parameter!$F$35:$G$64,2,0),2)),IF(OR(CD333="Nein",CD333=""),"-",CD333)))))</f>
        <v>3</v>
      </c>
      <c r="AB333" s="67"/>
      <c r="AC333" s="68"/>
      <c r="AD333" s="62" t="n">
        <f aca="false">AW333</f>
        <v>245</v>
      </c>
      <c r="AE333" s="62" t="n">
        <f aca="false">MAX(AW333,H333)</f>
        <v>245</v>
      </c>
      <c r="AF333" s="69"/>
      <c r="AG333" s="62" t="n">
        <f aca="false">IF(LEFT(Cockpit!$C$5,1)="A",H333,IF(Parameter!$E$30="MAX-Bestand",IF(CI333=1,CJ333,IF(LEFT(Cockpit!$C$5,1)="B",AM333,MAX(AM333,H333))),ROUNDUP(AK333,0)))</f>
        <v>154</v>
      </c>
      <c r="AH333" s="62" t="n">
        <f aca="false">IF(CA333=1,0,ROUNDUP(AG333/BZ333,0))</f>
        <v>4</v>
      </c>
      <c r="AI333" s="64" t="n">
        <f aca="false">IF(CR333&gt;0,CR333*MAX(1,AG333/X333),IF(CA333=1,IF(AG333&lt;=0,0,CE333*MAX(1,IF(H333&gt;0,AG333/H333,1))),IF(R333&gt;0,AH333/R333,0))/MAX(0.1,N(Parameter!$M$21)))</f>
        <v>0.333333333333333</v>
      </c>
      <c r="AJ333" s="62" t="n">
        <f aca="false">AI333*CC333</f>
        <v>81.6666666666667</v>
      </c>
      <c r="AK333" s="63" t="n">
        <f aca="false">IF(LEFT(Cockpit!$C$5,1)="A",H333,IF(CI333=1,(CL333+CJ333)/2,IF(LEFT(Cockpit!$C$5,1)="B",(CL333+AM333)/2,MAX((CL333+AM333)/2,H333))))</f>
        <v>154</v>
      </c>
      <c r="AL333" s="62" t="n">
        <f aca="false">AK333*G333</f>
        <v>1904.98</v>
      </c>
      <c r="AM333" s="62" t="n">
        <f aca="false">ROUNDUP(CL333+MAX(CM333,2*(J333/IF(CH333&gt;0,CH333,MAX(0.1,N(Cockpit!$C$6)))-CL333)),0)</f>
        <v>245</v>
      </c>
      <c r="AN333" s="63" t="n">
        <f aca="false">IF(AJ333&gt;0,J333/AJ333,-1)</f>
        <v>2.86530612244898</v>
      </c>
      <c r="AO333" s="63" t="n">
        <f aca="false">IF(AND(OR(CG333="L1",CG333="L23",CG333="LIFT"),AJ333&gt;0),SUMIFS($AJ$7:$AJ$1843,$CG$7:$CG$1843,CG333,$AN$7:$AN$1843,"&gt;"&amp;AN333)+SUMIFS($AJ$7:$AJ$1843,$CG$7:$CG$1843,CG333,$AN$7:$AN$1843,AN333,$BX$7:$BX$1843,"&lt;="&amp;BX333),"")</f>
        <v>5250.18727106227</v>
      </c>
      <c r="AP333" s="70" t="n">
        <f aca="false">IF(AO333="",0,MAX(0,MIN(1,(IF(CG333="L1",Parameter!$H$5,IF(CG333="L23",Parameter!$H$6+Parameter!$H$7,Parameter!$H$5+Parameter!$H$6+Parameter!$H$7))-(AO333-AJ333))/AJ333)))</f>
        <v>1</v>
      </c>
      <c r="AQ333" s="62" t="n">
        <f aca="false">IF(LEFT(Cockpit!$I$5,1)="A",H333,IF(Parameter!$E$30="MAX-Bestand",IF(CI333=1,CJ333,IF(LEFT(Cockpit!$I$5,1)="B",AW333,MAX(AW333,H333))),ROUNDUP(AU333,0)))</f>
        <v>154</v>
      </c>
      <c r="AR333" s="62" t="n">
        <f aca="false">IF(CA333=1,0,ROUNDUP(AQ333/BZ333,0))</f>
        <v>4</v>
      </c>
      <c r="AS333" s="64" t="n">
        <f aca="false">IF(CR333&gt;0,CR333*MAX(1,AQ333/X333),IF(CA333=1,IF(AQ333&lt;=0,0,CE333*MAX(1,IF(H333&gt;0,AQ333/H333,1))),IF(R333&gt;0,AR333/R333,0))/MAX(0.1,N(Parameter!$M$21)))</f>
        <v>0.333333333333333</v>
      </c>
      <c r="AT333" s="62" t="n">
        <f aca="false">AS333*CC333</f>
        <v>81.6666666666667</v>
      </c>
      <c r="AU333" s="63" t="n">
        <f aca="false">IF(LEFT(Cockpit!$I$5,1)="A",H333,IF(CI333=1,(CL333+CJ333)/2,IF(LEFT(Cockpit!$I$5,1)="B",(CL333+AW333)/2,MAX((CL333+AW333)/2,H333))))</f>
        <v>154</v>
      </c>
      <c r="AV333" s="62" t="n">
        <f aca="false">AU333*G333</f>
        <v>1904.98</v>
      </c>
      <c r="AW333" s="62" t="n">
        <f aca="false">ROUNDUP(CL333+MAX(CM333,2*(J333/IF(CH333&gt;0,CH333,MAX(0.1,N(Cockpit!$I$6)))-CL333)),0)</f>
        <v>245</v>
      </c>
      <c r="AX333" s="63" t="n">
        <f aca="false">IF(AT333&gt;0,J333/AT333,-1)</f>
        <v>2.86530612244898</v>
      </c>
      <c r="AY333" s="63" t="n">
        <f aca="false">IF(AND(OR(CG333="L1",CG333="L23",CG333="LIFT"),AT333&gt;0),SUMIFS($AT$7:$AT$1843,$CG$7:$CG$1843,CG333,$AX$7:$AX$1843,"&gt;"&amp;AX333)+SUMIFS($AT$7:$AT$1843,$CG$7:$CG$1843,CG333,$AX$7:$AX$1843,AX333,$BX$7:$BX$1843,"&lt;="&amp;BX333),"")</f>
        <v>6084.66529304029</v>
      </c>
      <c r="AZ333" s="70" t="n">
        <f aca="false">IF(AY333="",0,MAX(0,MIN(1,(IF(CG333="L1",Parameter!$H$5,IF(CG333="L23",Parameter!$H$6+Parameter!$H$7,Parameter!$H$5+Parameter!$H$6+Parameter!$H$7))-(AY333-AT333))/AT333)))</f>
        <v>1</v>
      </c>
      <c r="BA333" s="62" t="n">
        <f aca="false">IF(LEFT(Cockpit!$O$5,1)="A",H333,IF(Parameter!$E$30="MAX-Bestand",IF(CI333=1,CJ333,IF(LEFT(Cockpit!$O$5,1)="B",BG333,MAX(BG333,H333))),ROUNDUP(BE333,0)))</f>
        <v>138</v>
      </c>
      <c r="BB333" s="62" t="n">
        <f aca="false">IF(CA333=1,0,ROUNDUP(BA333/BZ333,0))</f>
        <v>4</v>
      </c>
      <c r="BC333" s="64" t="n">
        <f aca="false">IF(CR333&gt;0,CR333*MAX(1,BA333/X333),IF(CA333=1,IF(BA333&lt;=0,0,CE333*MAX(1,IF(H333&gt;0,BA333/H333,1))),IF(R333&gt;0,BB333/R333,0))/MAX(0.1,N(Parameter!$M$21)))</f>
        <v>0.333333333333333</v>
      </c>
      <c r="BD333" s="62" t="n">
        <f aca="false">BC333*CC333</f>
        <v>81.6666666666667</v>
      </c>
      <c r="BE333" s="63" t="n">
        <f aca="false">IF(LEFT(Cockpit!$O$5,1)="A",H333,IF(CI333=1,(CL333+CJ333)/2,IF(LEFT(Cockpit!$O$5,1)="B",(CL333+BG333)/2,MAX((CL333+BG333)/2,H333))))</f>
        <v>137.5</v>
      </c>
      <c r="BF333" s="62" t="n">
        <f aca="false">BE333*G333</f>
        <v>1700.875</v>
      </c>
      <c r="BG333" s="62" t="n">
        <f aca="false">ROUNDUP(CL333+MAX(CM333,2*(J333/IF(CH333&gt;0,CH333,MAX(0.1,N(Cockpit!$O$6)))-CL333)),0)</f>
        <v>245</v>
      </c>
      <c r="BH333" s="63" t="n">
        <f aca="false">IF(BD333&gt;0,J333/BD333,-1)</f>
        <v>2.86530612244898</v>
      </c>
      <c r="BI333" s="63" t="n">
        <f aca="false">IF(AND(OR(CG333="L1",CG333="L23",CG333="LIFT"),BD333&gt;0),SUMIFS($BD$7:$BD$1843,$CG$7:$CG$1843,CG333,$BH$7:$BH$1843,"&gt;"&amp;BH333)+SUMIFS($BD$7:$BD$1843,$CG$7:$CG$1843,CG333,$BH$7:$BH$1843,BH333,$BX$7:$BX$1843,"&lt;="&amp;BX333),"")</f>
        <v>4947.41529304029</v>
      </c>
      <c r="BJ333" s="70" t="n">
        <f aca="false">IF(BI333="",0,MAX(0,MIN(1,(IF(CG333="L1",Parameter!$H$5,IF(CG333="L23",Parameter!$H$6+Parameter!$H$7,Parameter!$H$5+Parameter!$H$6+Parameter!$H$7))-(BI333-BD333))/BD333)))</f>
        <v>1</v>
      </c>
      <c r="BK333" s="60" t="str">
        <f aca="false">IF(AJ333&lt;=0,"",IF(CG333="Aussen","Aussenlager",IF(CG333="-","Nicht im Lift",IF(AP333&gt;=1,"Lift",IF(AP333&lt;=0,"Aussenlager","teilweise")))))</f>
        <v>Lift</v>
      </c>
      <c r="BL333" s="60" t="str">
        <f aca="false">IF(AT333&lt;=0,"",IF(CG333="Aussen","Aussenlager",IF(CG333="-","Nicht im Lift",IF(AZ333&gt;=1,"Lift",IF(AZ333&lt;=0,"Aussenlager","teilweise")))))</f>
        <v>Lift</v>
      </c>
      <c r="BM333" s="60" t="str">
        <f aca="false">IF(BD333&lt;=0,"",IF(CG333="Aussen","Aussenlager",IF(CG333="-","Nicht im Lift",IF(BJ333&gt;=1,"Lift",IF(BJ333&lt;=0,"Aussenlager","teilweise")))))</f>
        <v>Lift</v>
      </c>
      <c r="BN333" s="60" t="str">
        <f aca="false">IF(A333="","",IF(BW333=1,"Neu; ","")&amp;IF(AND(BW333=0,BR333&lt;0),"negativer Bestand (Export "&amp;BR333&amp;"); ","")&amp;IF(J333&lt;=0,"Kein Verbrauch; ","")&amp;IF(CR333&gt;0,"Lift "&amp;W333&amp;" lt. Liftbericht (Fach "&amp;X333&amp;" Stk); ",IF(CB333=1,"Gebinde geschätzt ("&amp;T333&amp;"); ",IF(CA333=1,"Lose – Tablare geschätzt; ","")))&amp;IF(H333&gt;AW333,"Überbestand "&amp;ROUND(H333-AW333,0)&amp;" Stk / CHF "&amp;ROUND((H333-AW333)*G333,0)&amp;"; ","")&amp;IF(AND(CI333=1,CJ333&lt;CK333),"MAX &lt; MB+LG; ","")&amp;IF(AND(CQ333&gt;0,CP333*10&gt;CQ333),"zu hoch für Tablar; ","")&amp;IF(AND(BW333=0,OR(CI333=1,AB333&lt;&gt;"",U333&lt;&gt;"",V333&lt;&gt;"",AC333&lt;&gt;"")),"manuell übersteuert; ","")&amp;IF(AND(CA333=0,R333=0),"Gebinde unbekannt / Stellmass fehlt; ","")&amp;IF(AND(CA333=0,N(V333)&lt;=0,N(Q333)&lt;=0),"Menge pro Gebinde fehlt (Ist = 1 Gebinde); ","")&amp;BV333)</f>
        <v>grosser Artikel &amp; nicht im KTL</v>
      </c>
      <c r="BO333" s="60"/>
      <c r="BP333" s="60"/>
      <c r="BQ333" s="67"/>
      <c r="BR333" s="62" t="n">
        <v>22</v>
      </c>
      <c r="BS333" s="62" t="n">
        <v>132</v>
      </c>
      <c r="BT333" s="61" t="n">
        <v>214.059999999999</v>
      </c>
      <c r="BU333" s="62" t="n">
        <v>234</v>
      </c>
      <c r="BV333" s="60" t="s">
        <v>303</v>
      </c>
      <c r="BW333" s="65" t="n">
        <v>0</v>
      </c>
      <c r="BX333" s="65" t="n">
        <v>333</v>
      </c>
      <c r="BY333" s="60" t="str">
        <f aca="false">IF(U333&lt;&gt;"",UPPER(TRIM(U333)),IF(CB333=1,UPPER(VLOOKUP(T333,Parameter!$I$27:$K$29,2,0)),IF(P333="","LOSE",P333)))</f>
        <v>S62</v>
      </c>
      <c r="BZ333" s="62" t="n">
        <f aca="false">IF(BY333="LOSE",1,IF(N(V333)&gt;0,V333,IF(CB333=1,MAX(1,N(VLOOKUP(T333,Parameter!$I$27:$K$29,3,0)),H333,N(N333)),IF(N(Q333)&gt;0,Q333,MAX(1,H333)))))</f>
        <v>45</v>
      </c>
      <c r="CA333" s="65" t="n">
        <f aca="false">IF(BY333="LOSE",1,0)</f>
        <v>0</v>
      </c>
      <c r="CB333" s="65" t="n">
        <f aca="false">IF(AND(U333="",OR(P333="",P333="LOSE"),T333&lt;&gt;"",N(S333)&lt;=0,ISNUMBER(MATCH(T333,Parameter!$I$27:$I$29,0))),1,0)</f>
        <v>0</v>
      </c>
      <c r="CC333" s="65" t="n">
        <f aca="false">IF(CR333&gt;0,INDEX(Parameter!$H$5:$H$7,W333)/INDEX(Parameter!$E$5:$E$7,W333),IF(AND(CA333=0,N(IFERROR(VLOOKUP(BY333,'Gebinde-Kategorie'!$A$5:$N$45,14,0),0))&gt;0),VLOOKUP(BY333,'Gebinde-Kategorie'!$A$5:$N$45,14,0)*10+Parameter!$M$23,Parameter!$M$24))</f>
        <v>245</v>
      </c>
      <c r="CD333" s="60" t="str">
        <f aca="false">IF(AND(Parameter!$B$19="Ja",E333&lt;&gt;"",ISNUMBER(MATCH(E333,Parameter!$I$35:$I$52,0))),VLOOKUP(E333,Parameter!$I$35:$J$52,2,0),IFERROR(VLOOKUP(D333,Parameter!$A$35:$C$64,2,0),"Nein"))</f>
        <v>2+3</v>
      </c>
      <c r="CE333" s="64" t="n">
        <f aca="false">IF(CA333=0,0,IF(N(S333)&gt;0,S333,IFERROR(VLOOKUP(D333,Parameter!$A$35:$C$64,3,0)+0,0)))</f>
        <v>0</v>
      </c>
      <c r="CF333" s="60" t="n">
        <f aca="false">IF(AB333&lt;&gt;"",AB333,AA333)</f>
        <v>3</v>
      </c>
      <c r="CG333" s="60" t="str">
        <f aca="false">IF(OR(CF333=1,CF333=2,CF333=3),IF(Parameter!$E$27="Ja","LIFT",IF(CF333=1,"L1","L23")),IF(CF333="Aussen","Aussen","-"))</f>
        <v>LIFT</v>
      </c>
      <c r="CH333" s="71" t="n">
        <f aca="false">IF(N(AC333)&gt;0,AC333,0)</f>
        <v>0</v>
      </c>
      <c r="CI333" s="65" t="n">
        <f aca="false">IF(ISNUMBER(AF333),1,0)</f>
        <v>0</v>
      </c>
      <c r="CJ333" s="62" t="n">
        <f aca="false">N(AF333)</f>
        <v>0</v>
      </c>
      <c r="CK333" s="62" t="n">
        <f aca="false">N(M333)+N(N333)</f>
        <v>245</v>
      </c>
      <c r="CL333" s="62" t="n">
        <f aca="false">N(M333)</f>
        <v>30</v>
      </c>
      <c r="CM333" s="62" t="n">
        <f aca="false">N(N333)</f>
        <v>215</v>
      </c>
      <c r="CN333" s="62" t="n">
        <f aca="false">ROUNDUP(H333/BZ333,0)</f>
        <v>4</v>
      </c>
      <c r="CO333" s="62" t="n">
        <f aca="false">ROUNDUP(CJ333/BZ333,0)</f>
        <v>0</v>
      </c>
      <c r="CP333" s="65" t="n">
        <f aca="false">IF(CA333=1,0,IFERROR(VLOOKUP(BY333,'Gebinde-Kategorie'!$A$5:$N$45,5,0)+0,0))</f>
        <v>21</v>
      </c>
      <c r="CQ333" s="65" t="n">
        <f aca="false">IFERROR(IF(OR(CF333=1,CF333=2,CF333=3),N(INDEX(Parameter!$I$5:$I$7,CF333)),0),0)</f>
        <v>0</v>
      </c>
      <c r="CR333" s="64" t="n">
        <f aca="false">IF(AND(Parameter!$B$21="Ja",ISNUMBER(W333),N(X333)&gt;0),IFERROR(N(INDEX(Parameter!$L$5:$L$7,W333))*INDEX(Parameter!$E$5:$E$7,W333)*X333/SUMIFS($X$7:$X$1843,$W$7:$W$1843,W333),0),0)</f>
        <v>0</v>
      </c>
      <c r="CS333" s="62" t="n">
        <f aca="false">IF(AND(OR(CG333="L1",CG333="L23",CG333="LIFT"),H333&gt;0),CC333*IF(CR333&gt;0,CR333*MAX(1,H333/X333),IF(CA333=1,CE333,IF(R333&gt;0,CN333/R333,0))/MAX(0.1,N(Parameter!$M$21))),"")</f>
        <v>81.6666666666667</v>
      </c>
      <c r="CT333" s="64" t="n">
        <f aca="false">IF(CS333="","",J333/H333)</f>
        <v>1.51948051948052</v>
      </c>
      <c r="CU333" s="62" t="n">
        <f aca="false">IF(CS333="","",H333*G333)</f>
        <v>1904.98</v>
      </c>
      <c r="CV333" s="63" t="n">
        <f aca="false">IF(CS333="","",(CL333+ROUNDUP(CL333+MAX(CM333,2*(J333/MAX(0.1,N(Einkauf!$C$6))-CL333)),0))/2)</f>
        <v>137.5</v>
      </c>
      <c r="CW333" s="62" t="n">
        <f aca="false">IF(CS333="","",MAX(0,H333-CV333)*G333)</f>
        <v>204.105</v>
      </c>
      <c r="CX333" s="62" t="n">
        <f aca="false">IF(CS333="","",CS333*MAX(0,1-CV333/H333))</f>
        <v>8.75</v>
      </c>
      <c r="CY333" s="64" t="n">
        <f aca="false">IF(CS333="","",PERCENTRANK($CS$7:$CS$1843,CS333)+PERCENTRANK($CU$7:$CU$1843,CU333)+1-PERCENTRANK($CT$7:$CT$1843,CT333))</f>
        <v>1.955</v>
      </c>
      <c r="CZ333" s="72" t="n">
        <f aca="false">IF(CS333="","",CHOOSE(MATCH(Einkauf!$C$5,Parameter!$G$23:$G$27,0),CY333,CS333,CU333,-CT333,CW333)+ROW()/1000000000)</f>
        <v>1.955000333</v>
      </c>
    </row>
    <row r="334" customFormat="false" ht="15" hidden="false" customHeight="false" outlineLevel="0" collapsed="false">
      <c r="A334" s="60" t="s">
        <v>871</v>
      </c>
      <c r="B334" s="60" t="s">
        <v>482</v>
      </c>
      <c r="C334" s="60" t="s">
        <v>206</v>
      </c>
      <c r="D334" s="60" t="s">
        <v>226</v>
      </c>
      <c r="E334" s="60" t="s">
        <v>227</v>
      </c>
      <c r="F334" s="60" t="s">
        <v>260</v>
      </c>
      <c r="G334" s="61" t="n">
        <v>107</v>
      </c>
      <c r="H334" s="62" t="n">
        <f aca="false">MAX(0,IF(AND(Parameter!$B$21="Ja",ISNUMBER(Y334)),Y334,IF(Parameter!$B$20="Jahresanfang 2025 + Export",BS334+BR334,BR334)))</f>
        <v>21</v>
      </c>
      <c r="I334" s="62" t="n">
        <f aca="false">H334*G334</f>
        <v>2247</v>
      </c>
      <c r="J334" s="62" t="n">
        <f aca="false">BU334*Parameter!$B$18</f>
        <v>6</v>
      </c>
      <c r="K334" s="63" t="n">
        <v>16</v>
      </c>
      <c r="L334" s="64" t="n">
        <v>0.375</v>
      </c>
      <c r="M334" s="62" t="n">
        <v>1</v>
      </c>
      <c r="N334" s="62" t="n">
        <v>5</v>
      </c>
      <c r="O334" s="65" t="n">
        <v>84</v>
      </c>
      <c r="P334" s="60" t="s">
        <v>275</v>
      </c>
      <c r="Q334" s="62" t="n">
        <v>23</v>
      </c>
      <c r="R334" s="65" t="n">
        <f aca="false">IF(CA334=1,0,IFERROR(VLOOKUP(BY334,'Gebinde-Kategorie'!$A$5:$N$45,13,0)+0,0))</f>
        <v>26</v>
      </c>
      <c r="S334" s="66"/>
      <c r="T334" s="67"/>
      <c r="U334" s="67"/>
      <c r="V334" s="67"/>
      <c r="W334" s="60"/>
      <c r="X334" s="62"/>
      <c r="Y334" s="62"/>
      <c r="Z334" s="60" t="n">
        <v>3</v>
      </c>
      <c r="AA334" s="60" t="n">
        <f aca="false">IF(A334="","",IF(AND(Parameter!$B$21="Ja",ISNUMBER(W334)),W334,IF(AND(Parameter!$E$27="Ja",ISNUMBER(Z334),CD334&lt;&gt;"Nein"),Z334,IF(CD334="2+3",IF(ISNUMBER(SEARCH("grosser Artikel",BV334)),2,IFERROR(VLOOKUP(BY334,Parameter!$F$35:$G$64,2,0),2)),IF(OR(CD334="Nein",CD334=""),"-",CD334)))))</f>
        <v>3</v>
      </c>
      <c r="AB334" s="67"/>
      <c r="AC334" s="68"/>
      <c r="AD334" s="62" t="n">
        <f aca="false">AW334</f>
        <v>6</v>
      </c>
      <c r="AE334" s="62" t="n">
        <f aca="false">MAX(AW334,H334)</f>
        <v>21</v>
      </c>
      <c r="AF334" s="69"/>
      <c r="AG334" s="62" t="n">
        <f aca="false">IF(LEFT(Cockpit!$C$5,1)="A",H334,IF(Parameter!$E$30="MAX-Bestand",IF(CI334=1,CJ334,IF(LEFT(Cockpit!$C$5,1)="B",AM334,MAX(AM334,H334))),ROUNDUP(AK334,0)))</f>
        <v>21</v>
      </c>
      <c r="AH334" s="62" t="n">
        <f aca="false">IF(CA334=1,0,ROUNDUP(AG334/BZ334,0))</f>
        <v>1</v>
      </c>
      <c r="AI334" s="64" t="n">
        <f aca="false">IF(CR334&gt;0,CR334*MAX(1,AG334/X334),IF(CA334=1,IF(AG334&lt;=0,0,CE334*MAX(1,IF(H334&gt;0,AG334/H334,1))),IF(R334&gt;0,AH334/R334,0))/MAX(0.1,N(Parameter!$M$21)))</f>
        <v>0.0384615384615385</v>
      </c>
      <c r="AJ334" s="62" t="n">
        <f aca="false">AI334*CC334</f>
        <v>9.42307692307692</v>
      </c>
      <c r="AK334" s="63" t="n">
        <f aca="false">IF(LEFT(Cockpit!$C$5,1)="A",H334,IF(CI334=1,(CL334+CJ334)/2,IF(LEFT(Cockpit!$C$5,1)="B",(CL334+AM334)/2,MAX((CL334+AM334)/2,H334))))</f>
        <v>21</v>
      </c>
      <c r="AL334" s="62" t="n">
        <f aca="false">AK334*G334</f>
        <v>2247</v>
      </c>
      <c r="AM334" s="62" t="n">
        <f aca="false">ROUNDUP(CL334+MAX(CM334,2*(J334/IF(CH334&gt;0,CH334,MAX(0.1,N(Cockpit!$C$6)))-CL334)),0)</f>
        <v>6</v>
      </c>
      <c r="AN334" s="63" t="n">
        <f aca="false">IF(AJ334&gt;0,J334/AJ334,-1)</f>
        <v>0.636734693877551</v>
      </c>
      <c r="AO334" s="63" t="n">
        <f aca="false">IF(AND(OR(CG334="L1",CG334="L23",CG334="LIFT"),AJ334&gt;0),SUMIFS($AJ$7:$AJ$1843,$CG$7:$CG$1843,CG334,$AN$7:$AN$1843,"&gt;"&amp;AN334)+SUMIFS($AJ$7:$AJ$1843,$CG$7:$CG$1843,CG334,$AN$7:$AN$1843,AN334,$BX$7:$BX$1843,"&lt;="&amp;BX334),"")</f>
        <v>8858.82051282051</v>
      </c>
      <c r="AP334" s="70" t="n">
        <f aca="false">IF(AO334="",0,MAX(0,MIN(1,(IF(CG334="L1",Parameter!$H$5,IF(CG334="L23",Parameter!$H$6+Parameter!$H$7,Parameter!$H$5+Parameter!$H$6+Parameter!$H$7))-(AO334-AJ334))/AJ334)))</f>
        <v>1</v>
      </c>
      <c r="AQ334" s="62" t="n">
        <f aca="false">IF(LEFT(Cockpit!$I$5,1)="A",H334,IF(Parameter!$E$30="MAX-Bestand",IF(CI334=1,CJ334,IF(LEFT(Cockpit!$I$5,1)="B",AW334,MAX(AW334,H334))),ROUNDUP(AU334,0)))</f>
        <v>21</v>
      </c>
      <c r="AR334" s="62" t="n">
        <f aca="false">IF(CA334=1,0,ROUNDUP(AQ334/BZ334,0))</f>
        <v>1</v>
      </c>
      <c r="AS334" s="64" t="n">
        <f aca="false">IF(CR334&gt;0,CR334*MAX(1,AQ334/X334),IF(CA334=1,IF(AQ334&lt;=0,0,CE334*MAX(1,IF(H334&gt;0,AQ334/H334,1))),IF(R334&gt;0,AR334/R334,0))/MAX(0.1,N(Parameter!$M$21)))</f>
        <v>0.0384615384615385</v>
      </c>
      <c r="AT334" s="62" t="n">
        <f aca="false">AS334*CC334</f>
        <v>9.42307692307692</v>
      </c>
      <c r="AU334" s="63" t="n">
        <f aca="false">IF(LEFT(Cockpit!$I$5,1)="A",H334,IF(CI334=1,(CL334+CJ334)/2,IF(LEFT(Cockpit!$I$5,1)="B",(CL334+AW334)/2,MAX((CL334+AW334)/2,H334))))</f>
        <v>21</v>
      </c>
      <c r="AV334" s="62" t="n">
        <f aca="false">AU334*G334</f>
        <v>2247</v>
      </c>
      <c r="AW334" s="62" t="n">
        <f aca="false">ROUNDUP(CL334+MAX(CM334,2*(J334/IF(CH334&gt;0,CH334,MAX(0.1,N(Cockpit!$I$6)))-CL334)),0)</f>
        <v>6</v>
      </c>
      <c r="AX334" s="63" t="n">
        <f aca="false">IF(AT334&gt;0,J334/AT334,-1)</f>
        <v>0.636734693877551</v>
      </c>
      <c r="AY334" s="63" t="n">
        <f aca="false">IF(AND(OR(CG334="L1",CG334="L23",CG334="LIFT"),AT334&gt;0),SUMIFS($AT$7:$AT$1843,$CG$7:$CG$1843,CG334,$AX$7:$AX$1843,"&gt;"&amp;AX334)+SUMIFS($AT$7:$AT$1843,$CG$7:$CG$1843,CG334,$AX$7:$AX$1843,AX334,$BX$7:$BX$1843,"&lt;="&amp;BX334),"")</f>
        <v>11158.9496336996</v>
      </c>
      <c r="AZ334" s="70" t="n">
        <f aca="false">IF(AY334="",0,MAX(0,MIN(1,(IF(CG334="L1",Parameter!$H$5,IF(CG334="L23",Parameter!$H$6+Parameter!$H$7,Parameter!$H$5+Parameter!$H$6+Parameter!$H$7))-(AY334-AT334))/AT334)))</f>
        <v>1</v>
      </c>
      <c r="BA334" s="62" t="n">
        <f aca="false">IF(LEFT(Cockpit!$O$5,1)="A",H334,IF(Parameter!$E$30="MAX-Bestand",IF(CI334=1,CJ334,IF(LEFT(Cockpit!$O$5,1)="B",BG334,MAX(BG334,H334))),ROUNDUP(BE334,0)))</f>
        <v>4</v>
      </c>
      <c r="BB334" s="62" t="n">
        <f aca="false">IF(CA334=1,0,ROUNDUP(BA334/BZ334,0))</f>
        <v>1</v>
      </c>
      <c r="BC334" s="64" t="n">
        <f aca="false">IF(CR334&gt;0,CR334*MAX(1,BA334/X334),IF(CA334=1,IF(BA334&lt;=0,0,CE334*MAX(1,IF(H334&gt;0,BA334/H334,1))),IF(R334&gt;0,BB334/R334,0))/MAX(0.1,N(Parameter!$M$21)))</f>
        <v>0.0384615384615385</v>
      </c>
      <c r="BD334" s="62" t="n">
        <f aca="false">BC334*CC334</f>
        <v>9.42307692307692</v>
      </c>
      <c r="BE334" s="63" t="n">
        <f aca="false">IF(LEFT(Cockpit!$O$5,1)="A",H334,IF(CI334=1,(CL334+CJ334)/2,IF(LEFT(Cockpit!$O$5,1)="B",(CL334+BG334)/2,MAX((CL334+BG334)/2,H334))))</f>
        <v>3.5</v>
      </c>
      <c r="BF334" s="62" t="n">
        <f aca="false">BE334*G334</f>
        <v>374.5</v>
      </c>
      <c r="BG334" s="62" t="n">
        <f aca="false">ROUNDUP(CL334+MAX(CM334,2*(J334/IF(CH334&gt;0,CH334,MAX(0.1,N(Cockpit!$O$6)))-CL334)),0)</f>
        <v>6</v>
      </c>
      <c r="BH334" s="63" t="n">
        <f aca="false">IF(BD334&gt;0,J334/BD334,-1)</f>
        <v>0.636734693877551</v>
      </c>
      <c r="BI334" s="63" t="n">
        <f aca="false">IF(AND(OR(CG334="L1",CG334="L23",CG334="LIFT"),BD334&gt;0),SUMIFS($BD$7:$BD$1843,$CG$7:$CG$1843,CG334,$BH$7:$BH$1843,"&gt;"&amp;BH334)+SUMIFS($BD$7:$BD$1843,$CG$7:$CG$1843,CG334,$BH$7:$BH$1843,BH334,$BX$7:$BX$1843,"&lt;="&amp;BX334),"")</f>
        <v>9733.87225274725</v>
      </c>
      <c r="BJ334" s="70" t="n">
        <f aca="false">IF(BI334="",0,MAX(0,MIN(1,(IF(CG334="L1",Parameter!$H$5,IF(CG334="L23",Parameter!$H$6+Parameter!$H$7,Parameter!$H$5+Parameter!$H$6+Parameter!$H$7))-(BI334-BD334))/BD334)))</f>
        <v>1</v>
      </c>
      <c r="BK334" s="60" t="str">
        <f aca="false">IF(AJ334&lt;=0,"",IF(CG334="Aussen","Aussenlager",IF(CG334="-","Nicht im Lift",IF(AP334&gt;=1,"Lift",IF(AP334&lt;=0,"Aussenlager","teilweise")))))</f>
        <v>Lift</v>
      </c>
      <c r="BL334" s="60" t="str">
        <f aca="false">IF(AT334&lt;=0,"",IF(CG334="Aussen","Aussenlager",IF(CG334="-","Nicht im Lift",IF(AZ334&gt;=1,"Lift",IF(AZ334&lt;=0,"Aussenlager","teilweise")))))</f>
        <v>Lift</v>
      </c>
      <c r="BM334" s="60" t="str">
        <f aca="false">IF(BD334&lt;=0,"",IF(CG334="Aussen","Aussenlager",IF(CG334="-","Nicht im Lift",IF(BJ334&gt;=1,"Lift",IF(BJ334&lt;=0,"Aussenlager","teilweise")))))</f>
        <v>Lift</v>
      </c>
      <c r="BN334" s="60" t="str">
        <f aca="false">IF(A334="","",IF(BW334=1,"Neu; ","")&amp;IF(AND(BW334=0,BR334&lt;0),"negativer Bestand (Export "&amp;BR334&amp;"); ","")&amp;IF(J334&lt;=0,"Kein Verbrauch; ","")&amp;IF(CR334&gt;0,"Lift "&amp;W334&amp;" lt. Liftbericht (Fach "&amp;X334&amp;" Stk); ",IF(CB334=1,"Gebinde geschätzt ("&amp;T334&amp;"); ",IF(CA334=1,"Lose – Tablare geschätzt; ","")))&amp;IF(H334&gt;AW334,"Überbestand "&amp;ROUND(H334-AW334,0)&amp;" Stk / CHF "&amp;ROUND((H334-AW334)*G334,0)&amp;"; ","")&amp;IF(AND(CI334=1,CJ334&lt;CK334),"MAX &lt; MB+LG; ","")&amp;IF(AND(CQ334&gt;0,CP334*10&gt;CQ334),"zu hoch für Tablar; ","")&amp;IF(AND(BW334=0,OR(CI334=1,AB334&lt;&gt;"",U334&lt;&gt;"",V334&lt;&gt;"",AC334&lt;&gt;"")),"manuell übersteuert; ","")&amp;IF(AND(CA334=0,R334=0),"Gebinde unbekannt / Stellmass fehlt; ","")&amp;IF(AND(CA334=0,N(V334)&lt;=0,N(Q334)&lt;=0),"Menge pro Gebinde fehlt (Ist = 1 Gebinde); ","")&amp;BV334)</f>
        <v>Überbestand 15 Stk / CHF 1605; </v>
      </c>
      <c r="BO334" s="60"/>
      <c r="BP334" s="60"/>
      <c r="BQ334" s="67"/>
      <c r="BR334" s="62" t="n">
        <v>2</v>
      </c>
      <c r="BS334" s="62" t="n">
        <v>19</v>
      </c>
      <c r="BT334" s="61" t="n">
        <v>214</v>
      </c>
      <c r="BU334" s="62" t="n">
        <v>6</v>
      </c>
      <c r="BV334" s="60"/>
      <c r="BW334" s="65" t="n">
        <v>0</v>
      </c>
      <c r="BX334" s="65" t="n">
        <v>334</v>
      </c>
      <c r="BY334" s="60" t="str">
        <f aca="false">IF(U334&lt;&gt;"",UPPER(TRIM(U334)),IF(CB334=1,UPPER(VLOOKUP(T334,Parameter!$I$27:$K$29,2,0)),IF(P334="","LOSE",P334)))</f>
        <v>S52</v>
      </c>
      <c r="BZ334" s="62" t="n">
        <f aca="false">IF(BY334="LOSE",1,IF(N(V334)&gt;0,V334,IF(CB334=1,MAX(1,N(VLOOKUP(T334,Parameter!$I$27:$K$29,3,0)),H334,N(N334)),IF(N(Q334)&gt;0,Q334,MAX(1,H334)))))</f>
        <v>23</v>
      </c>
      <c r="CA334" s="65" t="n">
        <f aca="false">IF(BY334="LOSE",1,0)</f>
        <v>0</v>
      </c>
      <c r="CB334" s="65" t="n">
        <f aca="false">IF(AND(U334="",OR(P334="",P334="LOSE"),T334&lt;&gt;"",N(S334)&lt;=0,ISNUMBER(MATCH(T334,Parameter!$I$27:$I$29,0))),1,0)</f>
        <v>0</v>
      </c>
      <c r="CC334" s="65" t="n">
        <f aca="false">IF(CR334&gt;0,INDEX(Parameter!$H$5:$H$7,W334)/INDEX(Parameter!$E$5:$E$7,W334),IF(AND(CA334=0,N(IFERROR(VLOOKUP(BY334,'Gebinde-Kategorie'!$A$5:$N$45,14,0),0))&gt;0),VLOOKUP(BY334,'Gebinde-Kategorie'!$A$5:$N$45,14,0)*10+Parameter!$M$23,Parameter!$M$24))</f>
        <v>245</v>
      </c>
      <c r="CD334" s="60" t="str">
        <f aca="false">IF(AND(Parameter!$B$19="Ja",E334&lt;&gt;"",ISNUMBER(MATCH(E334,Parameter!$I$35:$I$52,0))),VLOOKUP(E334,Parameter!$I$35:$J$52,2,0),IFERROR(VLOOKUP(D334,Parameter!$A$35:$C$64,2,0),"Nein"))</f>
        <v>2+3</v>
      </c>
      <c r="CE334" s="64" t="n">
        <f aca="false">IF(CA334=0,0,IF(N(S334)&gt;0,S334,IFERROR(VLOOKUP(D334,Parameter!$A$35:$C$64,3,0)+0,0)))</f>
        <v>0</v>
      </c>
      <c r="CF334" s="60" t="n">
        <f aca="false">IF(AB334&lt;&gt;"",AB334,AA334)</f>
        <v>3</v>
      </c>
      <c r="CG334" s="60" t="str">
        <f aca="false">IF(OR(CF334=1,CF334=2,CF334=3),IF(Parameter!$E$27="Ja","LIFT",IF(CF334=1,"L1","L23")),IF(CF334="Aussen","Aussen","-"))</f>
        <v>LIFT</v>
      </c>
      <c r="CH334" s="71" t="n">
        <f aca="false">IF(N(AC334)&gt;0,AC334,0)</f>
        <v>0</v>
      </c>
      <c r="CI334" s="65" t="n">
        <f aca="false">IF(ISNUMBER(AF334),1,0)</f>
        <v>0</v>
      </c>
      <c r="CJ334" s="62" t="n">
        <f aca="false">N(AF334)</f>
        <v>0</v>
      </c>
      <c r="CK334" s="62" t="n">
        <f aca="false">N(M334)+N(N334)</f>
        <v>6</v>
      </c>
      <c r="CL334" s="62" t="n">
        <f aca="false">N(M334)</f>
        <v>1</v>
      </c>
      <c r="CM334" s="62" t="n">
        <f aca="false">N(N334)</f>
        <v>5</v>
      </c>
      <c r="CN334" s="62" t="n">
        <f aca="false">ROUNDUP(H334/BZ334,0)</f>
        <v>1</v>
      </c>
      <c r="CO334" s="62" t="n">
        <f aca="false">ROUNDUP(CJ334/BZ334,0)</f>
        <v>0</v>
      </c>
      <c r="CP334" s="65" t="n">
        <f aca="false">IF(CA334=1,0,IFERROR(VLOOKUP(BY334,'Gebinde-Kategorie'!$A$5:$N$45,5,0)+0,0))</f>
        <v>21</v>
      </c>
      <c r="CQ334" s="65" t="n">
        <f aca="false">IFERROR(IF(OR(CF334=1,CF334=2,CF334=3),N(INDEX(Parameter!$I$5:$I$7,CF334)),0),0)</f>
        <v>0</v>
      </c>
      <c r="CR334" s="64" t="n">
        <f aca="false">IF(AND(Parameter!$B$21="Ja",ISNUMBER(W334),N(X334)&gt;0),IFERROR(N(INDEX(Parameter!$L$5:$L$7,W334))*INDEX(Parameter!$E$5:$E$7,W334)*X334/SUMIFS($X$7:$X$1843,$W$7:$W$1843,W334),0),0)</f>
        <v>0</v>
      </c>
      <c r="CS334" s="62" t="n">
        <f aca="false">IF(AND(OR(CG334="L1",CG334="L23",CG334="LIFT"),H334&gt;0),CC334*IF(CR334&gt;0,CR334*MAX(1,H334/X334),IF(CA334=1,CE334,IF(R334&gt;0,CN334/R334,0))/MAX(0.1,N(Parameter!$M$21))),"")</f>
        <v>9.42307692307692</v>
      </c>
      <c r="CT334" s="64" t="n">
        <f aca="false">IF(CS334="","",J334/H334)</f>
        <v>0.285714285714286</v>
      </c>
      <c r="CU334" s="62" t="n">
        <f aca="false">IF(CS334="","",H334*G334)</f>
        <v>2247</v>
      </c>
      <c r="CV334" s="63" t="n">
        <f aca="false">IF(CS334="","",(CL334+ROUNDUP(CL334+MAX(CM334,2*(J334/MAX(0.1,N(Einkauf!$C$6))-CL334)),0))/2)</f>
        <v>3.5</v>
      </c>
      <c r="CW334" s="62" t="n">
        <f aca="false">IF(CS334="","",MAX(0,H334-CV334)*G334)</f>
        <v>1872.5</v>
      </c>
      <c r="CX334" s="62" t="n">
        <f aca="false">IF(CS334="","",CS334*MAX(0,1-CV334/H334))</f>
        <v>7.8525641025641</v>
      </c>
      <c r="CY334" s="64" t="n">
        <f aca="false">IF(CS334="","",PERCENTRANK($CS$7:$CS$1843,CS334)+PERCENTRANK($CU$7:$CU$1843,CU334)+1-PERCENTRANK($CT$7:$CT$1843,CT334))</f>
        <v>1.874</v>
      </c>
      <c r="CZ334" s="72" t="n">
        <f aca="false">IF(CS334="","",CHOOSE(MATCH(Einkauf!$C$5,Parameter!$G$23:$G$27,0),CY334,CS334,CU334,-CT334,CW334)+ROW()/1000000000)</f>
        <v>1.874000334</v>
      </c>
    </row>
    <row r="335" customFormat="false" ht="15" hidden="false" customHeight="false" outlineLevel="0" collapsed="false">
      <c r="A335" s="60" t="s">
        <v>872</v>
      </c>
      <c r="B335" s="60" t="s">
        <v>873</v>
      </c>
      <c r="C335" s="60" t="s">
        <v>206</v>
      </c>
      <c r="D335" s="60" t="s">
        <v>226</v>
      </c>
      <c r="E335" s="60" t="s">
        <v>227</v>
      </c>
      <c r="F335" s="60" t="s">
        <v>260</v>
      </c>
      <c r="G335" s="61" t="n">
        <v>43.47</v>
      </c>
      <c r="H335" s="62" t="n">
        <f aca="false">MAX(0,IF(AND(Parameter!$B$21="Ja",ISNUMBER(Y335)),Y335,IF(Parameter!$B$20="Jahresanfang 2025 + Export",BS335+BR335,BR335)))</f>
        <v>15</v>
      </c>
      <c r="I335" s="62" t="n">
        <f aca="false">H335*G335</f>
        <v>652.05</v>
      </c>
      <c r="J335" s="62" t="n">
        <f aca="false">BU335*Parameter!$B$18</f>
        <v>6</v>
      </c>
      <c r="K335" s="63" t="n">
        <v>10</v>
      </c>
      <c r="L335" s="64" t="n">
        <v>0.6</v>
      </c>
      <c r="M335" s="62" t="n">
        <v>0</v>
      </c>
      <c r="N335" s="62" t="n">
        <v>5</v>
      </c>
      <c r="O335" s="65" t="n">
        <v>35</v>
      </c>
      <c r="P335" s="60" t="s">
        <v>518</v>
      </c>
      <c r="Q335" s="62" t="n">
        <v>18</v>
      </c>
      <c r="R335" s="65" t="n">
        <f aca="false">IF(CA335=1,0,IFERROR(VLOOKUP(BY335,'Gebinde-Kategorie'!$A$5:$N$45,13,0)+0,0))</f>
        <v>52</v>
      </c>
      <c r="S335" s="66"/>
      <c r="T335" s="67"/>
      <c r="U335" s="67"/>
      <c r="V335" s="67"/>
      <c r="W335" s="60"/>
      <c r="X335" s="62"/>
      <c r="Y335" s="62"/>
      <c r="Z335" s="60" t="n">
        <v>3</v>
      </c>
      <c r="AA335" s="60" t="n">
        <f aca="false">IF(A335="","",IF(AND(Parameter!$B$21="Ja",ISNUMBER(W335)),W335,IF(AND(Parameter!$E$27="Ja",ISNUMBER(Z335),CD335&lt;&gt;"Nein"),Z335,IF(CD335="2+3",IF(ISNUMBER(SEARCH("grosser Artikel",BV335)),2,IFERROR(VLOOKUP(BY335,Parameter!$F$35:$G$64,2,0),2)),IF(OR(CD335="Nein",CD335=""),"-",CD335)))))</f>
        <v>3</v>
      </c>
      <c r="AB335" s="67"/>
      <c r="AC335" s="68"/>
      <c r="AD335" s="62" t="n">
        <f aca="false">AW335</f>
        <v>5</v>
      </c>
      <c r="AE335" s="62" t="n">
        <f aca="false">MAX(AW335,H335)</f>
        <v>15</v>
      </c>
      <c r="AF335" s="69"/>
      <c r="AG335" s="62" t="n">
        <f aca="false">IF(LEFT(Cockpit!$C$5,1)="A",H335,IF(Parameter!$E$30="MAX-Bestand",IF(CI335=1,CJ335,IF(LEFT(Cockpit!$C$5,1)="B",AM335,MAX(AM335,H335))),ROUNDUP(AK335,0)))</f>
        <v>15</v>
      </c>
      <c r="AH335" s="62" t="n">
        <f aca="false">IF(CA335=1,0,ROUNDUP(AG335/BZ335,0))</f>
        <v>1</v>
      </c>
      <c r="AI335" s="64" t="n">
        <f aca="false">IF(CR335&gt;0,CR335*MAX(1,AG335/X335),IF(CA335=1,IF(AG335&lt;=0,0,CE335*MAX(1,IF(H335&gt;0,AG335/H335,1))),IF(R335&gt;0,AH335/R335,0))/MAX(0.1,N(Parameter!$M$21)))</f>
        <v>0.0192307692307692</v>
      </c>
      <c r="AJ335" s="62" t="n">
        <f aca="false">AI335*CC335</f>
        <v>2.98076923076923</v>
      </c>
      <c r="AK335" s="63" t="n">
        <f aca="false">IF(LEFT(Cockpit!$C$5,1)="A",H335,IF(CI335=1,(CL335+CJ335)/2,IF(LEFT(Cockpit!$C$5,1)="B",(CL335+AM335)/2,MAX((CL335+AM335)/2,H335))))</f>
        <v>15</v>
      </c>
      <c r="AL335" s="62" t="n">
        <f aca="false">AK335*G335</f>
        <v>652.05</v>
      </c>
      <c r="AM335" s="62" t="n">
        <f aca="false">ROUNDUP(CL335+MAX(CM335,2*(J335/IF(CH335&gt;0,CH335,MAX(0.1,N(Cockpit!$C$6)))-CL335)),0)</f>
        <v>5</v>
      </c>
      <c r="AN335" s="63" t="n">
        <f aca="false">IF(AJ335&gt;0,J335/AJ335,-1)</f>
        <v>2.01290322580645</v>
      </c>
      <c r="AO335" s="63" t="n">
        <f aca="false">IF(AND(OR(CG335="L1",CG335="L23",CG335="LIFT"),AJ335&gt;0),SUMIFS($AJ$7:$AJ$1843,$CG$7:$CG$1843,CG335,$AN$7:$AN$1843,"&gt;"&amp;AN335)+SUMIFS($AJ$7:$AJ$1843,$CG$7:$CG$1843,CG335,$AN$7:$AN$1843,AN335,$BX$7:$BX$1843,"&lt;="&amp;BX335),"")</f>
        <v>5777.43635531136</v>
      </c>
      <c r="AP335" s="70" t="n">
        <f aca="false">IF(AO335="",0,MAX(0,MIN(1,(IF(CG335="L1",Parameter!$H$5,IF(CG335="L23",Parameter!$H$6+Parameter!$H$7,Parameter!$H$5+Parameter!$H$6+Parameter!$H$7))-(AO335-AJ335))/AJ335)))</f>
        <v>1</v>
      </c>
      <c r="AQ335" s="62" t="n">
        <f aca="false">IF(LEFT(Cockpit!$I$5,1)="A",H335,IF(Parameter!$E$30="MAX-Bestand",IF(CI335=1,CJ335,IF(LEFT(Cockpit!$I$5,1)="B",AW335,MAX(AW335,H335))),ROUNDUP(AU335,0)))</f>
        <v>15</v>
      </c>
      <c r="AR335" s="62" t="n">
        <f aca="false">IF(CA335=1,0,ROUNDUP(AQ335/BZ335,0))</f>
        <v>1</v>
      </c>
      <c r="AS335" s="64" t="n">
        <f aca="false">IF(CR335&gt;0,CR335*MAX(1,AQ335/X335),IF(CA335=1,IF(AQ335&lt;=0,0,CE335*MAX(1,IF(H335&gt;0,AQ335/H335,1))),IF(R335&gt;0,AR335/R335,0))/MAX(0.1,N(Parameter!$M$21)))</f>
        <v>0.0192307692307692</v>
      </c>
      <c r="AT335" s="62" t="n">
        <f aca="false">AS335*CC335</f>
        <v>2.98076923076923</v>
      </c>
      <c r="AU335" s="63" t="n">
        <f aca="false">IF(LEFT(Cockpit!$I$5,1)="A",H335,IF(CI335=1,(CL335+CJ335)/2,IF(LEFT(Cockpit!$I$5,1)="B",(CL335+AW335)/2,MAX((CL335+AW335)/2,H335))))</f>
        <v>15</v>
      </c>
      <c r="AV335" s="62" t="n">
        <f aca="false">AU335*G335</f>
        <v>652.05</v>
      </c>
      <c r="AW335" s="62" t="n">
        <f aca="false">ROUNDUP(CL335+MAX(CM335,2*(J335/IF(CH335&gt;0,CH335,MAX(0.1,N(Cockpit!$I$6)))-CL335)),0)</f>
        <v>5</v>
      </c>
      <c r="AX335" s="63" t="n">
        <f aca="false">IF(AT335&gt;0,J335/AT335,-1)</f>
        <v>2.01290322580645</v>
      </c>
      <c r="AY335" s="63" t="n">
        <f aca="false">IF(AND(OR(CG335="L1",CG335="L23",CG335="LIFT"),AT335&gt;0),SUMIFS($AT$7:$AT$1843,$CG$7:$CG$1843,CG335,$AX$7:$AX$1843,"&gt;"&amp;AX335)+SUMIFS($AT$7:$AT$1843,$CG$7:$CG$1843,CG335,$AX$7:$AX$1843,AX335,$BX$7:$BX$1843,"&lt;="&amp;BX335),"")</f>
        <v>7145.37591575092</v>
      </c>
      <c r="AZ335" s="70" t="n">
        <f aca="false">IF(AY335="",0,MAX(0,MIN(1,(IF(CG335="L1",Parameter!$H$5,IF(CG335="L23",Parameter!$H$6+Parameter!$H$7,Parameter!$H$5+Parameter!$H$6+Parameter!$H$7))-(AY335-AT335))/AT335)))</f>
        <v>1</v>
      </c>
      <c r="BA335" s="62" t="n">
        <f aca="false">IF(LEFT(Cockpit!$O$5,1)="A",H335,IF(Parameter!$E$30="MAX-Bestand",IF(CI335=1,CJ335,IF(LEFT(Cockpit!$O$5,1)="B",BG335,MAX(BG335,H335))),ROUNDUP(BE335,0)))</f>
        <v>3</v>
      </c>
      <c r="BB335" s="62" t="n">
        <f aca="false">IF(CA335=1,0,ROUNDUP(BA335/BZ335,0))</f>
        <v>1</v>
      </c>
      <c r="BC335" s="64" t="n">
        <f aca="false">IF(CR335&gt;0,CR335*MAX(1,BA335/X335),IF(CA335=1,IF(BA335&lt;=0,0,CE335*MAX(1,IF(H335&gt;0,BA335/H335,1))),IF(R335&gt;0,BB335/R335,0))/MAX(0.1,N(Parameter!$M$21)))</f>
        <v>0.0192307692307692</v>
      </c>
      <c r="BD335" s="62" t="n">
        <f aca="false">BC335*CC335</f>
        <v>2.98076923076923</v>
      </c>
      <c r="BE335" s="63" t="n">
        <f aca="false">IF(LEFT(Cockpit!$O$5,1)="A",H335,IF(CI335=1,(CL335+CJ335)/2,IF(LEFT(Cockpit!$O$5,1)="B",(CL335+BG335)/2,MAX((CL335+BG335)/2,H335))))</f>
        <v>2.5</v>
      </c>
      <c r="BF335" s="62" t="n">
        <f aca="false">BE335*G335</f>
        <v>108.675</v>
      </c>
      <c r="BG335" s="62" t="n">
        <f aca="false">ROUNDUP(CL335+MAX(CM335,2*(J335/IF(CH335&gt;0,CH335,MAX(0.1,N(Cockpit!$O$6)))-CL335)),0)</f>
        <v>5</v>
      </c>
      <c r="BH335" s="63" t="n">
        <f aca="false">IF(BD335&gt;0,J335/BD335,-1)</f>
        <v>2.01290322580645</v>
      </c>
      <c r="BI335" s="63" t="n">
        <f aca="false">IF(AND(OR(CG335="L1",CG335="L23",CG335="LIFT"),BD335&gt;0),SUMIFS($BD$7:$BD$1843,$CG$7:$CG$1843,CG335,$BH$7:$BH$1843,"&gt;"&amp;BH335)+SUMIFS($BD$7:$BD$1843,$CG$7:$CG$1843,CG335,$BH$7:$BH$1843,BH335,$BX$7:$BX$1843,"&lt;="&amp;BX335),"")</f>
        <v>5856.15064102564</v>
      </c>
      <c r="BJ335" s="70" t="n">
        <f aca="false">IF(BI335="",0,MAX(0,MIN(1,(IF(CG335="L1",Parameter!$H$5,IF(CG335="L23",Parameter!$H$6+Parameter!$H$7,Parameter!$H$5+Parameter!$H$6+Parameter!$H$7))-(BI335-BD335))/BD335)))</f>
        <v>1</v>
      </c>
      <c r="BK335" s="60" t="str">
        <f aca="false">IF(AJ335&lt;=0,"",IF(CG335="Aussen","Aussenlager",IF(CG335="-","Nicht im Lift",IF(AP335&gt;=1,"Lift",IF(AP335&lt;=0,"Aussenlager","teilweise")))))</f>
        <v>Lift</v>
      </c>
      <c r="BL335" s="60" t="str">
        <f aca="false">IF(AT335&lt;=0,"",IF(CG335="Aussen","Aussenlager",IF(CG335="-","Nicht im Lift",IF(AZ335&gt;=1,"Lift",IF(AZ335&lt;=0,"Aussenlager","teilweise")))))</f>
        <v>Lift</v>
      </c>
      <c r="BM335" s="60" t="str">
        <f aca="false">IF(BD335&lt;=0,"",IF(CG335="Aussen","Aussenlager",IF(CG335="-","Nicht im Lift",IF(BJ335&gt;=1,"Lift",IF(BJ335&lt;=0,"Aussenlager","teilweise")))))</f>
        <v>Lift</v>
      </c>
      <c r="BN335" s="60" t="str">
        <f aca="false">IF(A335="","",IF(BW335=1,"Neu; ","")&amp;IF(AND(BW335=0,BR335&lt;0),"negativer Bestand (Export "&amp;BR335&amp;"); ","")&amp;IF(J335&lt;=0,"Kein Verbrauch; ","")&amp;IF(CR335&gt;0,"Lift "&amp;W335&amp;" lt. Liftbericht (Fach "&amp;X335&amp;" Stk); ",IF(CB335=1,"Gebinde geschätzt ("&amp;T335&amp;"); ",IF(CA335=1,"Lose – Tablare geschätzt; ","")))&amp;IF(H335&gt;AW335,"Überbestand "&amp;ROUND(H335-AW335,0)&amp;" Stk / CHF "&amp;ROUND((H335-AW335)*G335,0)&amp;"; ","")&amp;IF(AND(CI335=1,CJ335&lt;CK335),"MAX &lt; MB+LG; ","")&amp;IF(AND(CQ335&gt;0,CP335*10&gt;CQ335),"zu hoch für Tablar; ","")&amp;IF(AND(BW335=0,OR(CI335=1,AB335&lt;&gt;"",U335&lt;&gt;"",V335&lt;&gt;"",AC335&lt;&gt;"")),"manuell übersteuert; ","")&amp;IF(AND(CA335=0,R335=0),"Gebinde unbekannt / Stellmass fehlt; ","")&amp;IF(AND(CA335=0,N(V335)&lt;=0,N(Q335)&lt;=0),"Menge pro Gebinde fehlt (Ist = 1 Gebinde); ","")&amp;BV335)</f>
        <v>Überbestand 10 Stk / CHF 435; </v>
      </c>
      <c r="BO335" s="60"/>
      <c r="BP335" s="60"/>
      <c r="BQ335" s="67"/>
      <c r="BR335" s="62" t="n">
        <v>4</v>
      </c>
      <c r="BS335" s="62" t="n">
        <v>11</v>
      </c>
      <c r="BT335" s="61" t="n">
        <v>213.81</v>
      </c>
      <c r="BU335" s="62" t="n">
        <v>6</v>
      </c>
      <c r="BV335" s="60"/>
      <c r="BW335" s="65" t="n">
        <v>0</v>
      </c>
      <c r="BX335" s="65" t="n">
        <v>335</v>
      </c>
      <c r="BY335" s="60" t="str">
        <f aca="false">IF(U335&lt;&gt;"",UPPER(TRIM(U335)),IF(CB335=1,UPPER(VLOOKUP(T335,Parameter!$I$27:$K$29,2,0)),IF(P335="","LOSE",P335)))</f>
        <v>S33</v>
      </c>
      <c r="BZ335" s="62" t="n">
        <f aca="false">IF(BY335="LOSE",1,IF(N(V335)&gt;0,V335,IF(CB335=1,MAX(1,N(VLOOKUP(T335,Parameter!$I$27:$K$29,3,0)),H335,N(N335)),IF(N(Q335)&gt;0,Q335,MAX(1,H335)))))</f>
        <v>18</v>
      </c>
      <c r="CA335" s="65" t="n">
        <f aca="false">IF(BY335="LOSE",1,0)</f>
        <v>0</v>
      </c>
      <c r="CB335" s="65" t="n">
        <f aca="false">IF(AND(U335="",OR(P335="",P335="LOSE"),T335&lt;&gt;"",N(S335)&lt;=0,ISNUMBER(MATCH(T335,Parameter!$I$27:$I$29,0))),1,0)</f>
        <v>0</v>
      </c>
      <c r="CC335" s="65" t="n">
        <f aca="false">IF(CR335&gt;0,INDEX(Parameter!$H$5:$H$7,W335)/INDEX(Parameter!$E$5:$E$7,W335),IF(AND(CA335=0,N(IFERROR(VLOOKUP(BY335,'Gebinde-Kategorie'!$A$5:$N$45,14,0),0))&gt;0),VLOOKUP(BY335,'Gebinde-Kategorie'!$A$5:$N$45,14,0)*10+Parameter!$M$23,Parameter!$M$24))</f>
        <v>155</v>
      </c>
      <c r="CD335" s="60" t="str">
        <f aca="false">IF(AND(Parameter!$B$19="Ja",E335&lt;&gt;"",ISNUMBER(MATCH(E335,Parameter!$I$35:$I$52,0))),VLOOKUP(E335,Parameter!$I$35:$J$52,2,0),IFERROR(VLOOKUP(D335,Parameter!$A$35:$C$64,2,0),"Nein"))</f>
        <v>2+3</v>
      </c>
      <c r="CE335" s="64" t="n">
        <f aca="false">IF(CA335=0,0,IF(N(S335)&gt;0,S335,IFERROR(VLOOKUP(D335,Parameter!$A$35:$C$64,3,0)+0,0)))</f>
        <v>0</v>
      </c>
      <c r="CF335" s="60" t="n">
        <f aca="false">IF(AB335&lt;&gt;"",AB335,AA335)</f>
        <v>3</v>
      </c>
      <c r="CG335" s="60" t="str">
        <f aca="false">IF(OR(CF335=1,CF335=2,CF335=3),IF(Parameter!$E$27="Ja","LIFT",IF(CF335=1,"L1","L23")),IF(CF335="Aussen","Aussen","-"))</f>
        <v>LIFT</v>
      </c>
      <c r="CH335" s="71" t="n">
        <f aca="false">IF(N(AC335)&gt;0,AC335,0)</f>
        <v>0</v>
      </c>
      <c r="CI335" s="65" t="n">
        <f aca="false">IF(ISNUMBER(AF335),1,0)</f>
        <v>0</v>
      </c>
      <c r="CJ335" s="62" t="n">
        <f aca="false">N(AF335)</f>
        <v>0</v>
      </c>
      <c r="CK335" s="62" t="n">
        <f aca="false">N(M335)+N(N335)</f>
        <v>5</v>
      </c>
      <c r="CL335" s="62" t="n">
        <f aca="false">N(M335)</f>
        <v>0</v>
      </c>
      <c r="CM335" s="62" t="n">
        <f aca="false">N(N335)</f>
        <v>5</v>
      </c>
      <c r="CN335" s="62" t="n">
        <f aca="false">ROUNDUP(H335/BZ335,0)</f>
        <v>1</v>
      </c>
      <c r="CO335" s="62" t="n">
        <f aca="false">ROUNDUP(CJ335/BZ335,0)</f>
        <v>0</v>
      </c>
      <c r="CP335" s="65" t="n">
        <f aca="false">IF(CA335=1,0,IFERROR(VLOOKUP(BY335,'Gebinde-Kategorie'!$A$5:$N$45,5,0)+0,0))</f>
        <v>8</v>
      </c>
      <c r="CQ335" s="65" t="n">
        <f aca="false">IFERROR(IF(OR(CF335=1,CF335=2,CF335=3),N(INDEX(Parameter!$I$5:$I$7,CF335)),0),0)</f>
        <v>0</v>
      </c>
      <c r="CR335" s="64" t="n">
        <f aca="false">IF(AND(Parameter!$B$21="Ja",ISNUMBER(W335),N(X335)&gt;0),IFERROR(N(INDEX(Parameter!$L$5:$L$7,W335))*INDEX(Parameter!$E$5:$E$7,W335)*X335/SUMIFS($X$7:$X$1843,$W$7:$W$1843,W335),0),0)</f>
        <v>0</v>
      </c>
      <c r="CS335" s="62" t="n">
        <f aca="false">IF(AND(OR(CG335="L1",CG335="L23",CG335="LIFT"),H335&gt;0),CC335*IF(CR335&gt;0,CR335*MAX(1,H335/X335),IF(CA335=1,CE335,IF(R335&gt;0,CN335/R335,0))/MAX(0.1,N(Parameter!$M$21))),"")</f>
        <v>2.98076923076923</v>
      </c>
      <c r="CT335" s="64" t="n">
        <f aca="false">IF(CS335="","",J335/H335)</f>
        <v>0.4</v>
      </c>
      <c r="CU335" s="62" t="n">
        <f aca="false">IF(CS335="","",H335*G335)</f>
        <v>652.05</v>
      </c>
      <c r="CV335" s="63" t="n">
        <f aca="false">IF(CS335="","",(CL335+ROUNDUP(CL335+MAX(CM335,2*(J335/MAX(0.1,N(Einkauf!$C$6))-CL335)),0))/2)</f>
        <v>2.5</v>
      </c>
      <c r="CW335" s="62" t="n">
        <f aca="false">IF(CS335="","",MAX(0,H335-CV335)*G335)</f>
        <v>543.375</v>
      </c>
      <c r="CX335" s="62" t="n">
        <f aca="false">IF(CS335="","",CS335*MAX(0,1-CV335/H335))</f>
        <v>2.48397435897436</v>
      </c>
      <c r="CY335" s="64" t="n">
        <f aca="false">IF(CS335="","",PERCENTRANK($CS$7:$CS$1843,CS335)+PERCENTRANK($CU$7:$CU$1843,CU335)+1-PERCENTRANK($CT$7:$CT$1843,CT335))</f>
        <v>1.254</v>
      </c>
      <c r="CZ335" s="72" t="n">
        <f aca="false">IF(CS335="","",CHOOSE(MATCH(Einkauf!$C$5,Parameter!$G$23:$G$27,0),CY335,CS335,CU335,-CT335,CW335)+ROW()/1000000000)</f>
        <v>1.254000335</v>
      </c>
    </row>
    <row r="336" customFormat="false" ht="15" hidden="false" customHeight="false" outlineLevel="0" collapsed="false">
      <c r="A336" s="60" t="s">
        <v>874</v>
      </c>
      <c r="B336" s="60" t="s">
        <v>549</v>
      </c>
      <c r="C336" s="60" t="s">
        <v>206</v>
      </c>
      <c r="D336" s="60" t="s">
        <v>226</v>
      </c>
      <c r="E336" s="60" t="s">
        <v>227</v>
      </c>
      <c r="F336" s="60" t="s">
        <v>260</v>
      </c>
      <c r="G336" s="61" t="n">
        <v>4.65</v>
      </c>
      <c r="H336" s="62" t="n">
        <f aca="false">MAX(0,IF(AND(Parameter!$B$21="Ja",ISNUMBER(Y336)),Y336,IF(Parameter!$B$20="Jahresanfang 2025 + Export",BS336+BR336,BR336)))</f>
        <v>109</v>
      </c>
      <c r="I336" s="62" t="n">
        <f aca="false">H336*G336</f>
        <v>506.85</v>
      </c>
      <c r="J336" s="62" t="n">
        <f aca="false">BU336*Parameter!$B$18</f>
        <v>127</v>
      </c>
      <c r="K336" s="63" t="n">
        <v>60</v>
      </c>
      <c r="L336" s="64" t="n">
        <v>2.11666666666667</v>
      </c>
      <c r="M336" s="62" t="n">
        <v>7</v>
      </c>
      <c r="N336" s="62" t="n">
        <v>125</v>
      </c>
      <c r="O336" s="65" t="n">
        <v>21</v>
      </c>
      <c r="P336" s="60" t="s">
        <v>518</v>
      </c>
      <c r="Q336" s="62" t="n">
        <v>61</v>
      </c>
      <c r="R336" s="65" t="n">
        <f aca="false">IF(CA336=1,0,IFERROR(VLOOKUP(BY336,'Gebinde-Kategorie'!$A$5:$N$45,13,0)+0,0))</f>
        <v>52</v>
      </c>
      <c r="S336" s="66"/>
      <c r="T336" s="67"/>
      <c r="U336" s="67"/>
      <c r="V336" s="67"/>
      <c r="W336" s="60"/>
      <c r="X336" s="62"/>
      <c r="Y336" s="62"/>
      <c r="Z336" s="60" t="n">
        <v>3</v>
      </c>
      <c r="AA336" s="60" t="n">
        <f aca="false">IF(A336="","",IF(AND(Parameter!$B$21="Ja",ISNUMBER(W336)),W336,IF(AND(Parameter!$E$27="Ja",ISNUMBER(Z336),CD336&lt;&gt;"Nein"),Z336,IF(CD336="2+3",IF(ISNUMBER(SEARCH("grosser Artikel",BV336)),2,IFERROR(VLOOKUP(BY336,Parameter!$F$35:$G$64,2,0),2)),IF(OR(CD336="Nein",CD336=""),"-",CD336)))))</f>
        <v>3</v>
      </c>
      <c r="AB336" s="67"/>
      <c r="AC336" s="68"/>
      <c r="AD336" s="62" t="n">
        <f aca="false">AW336</f>
        <v>132</v>
      </c>
      <c r="AE336" s="62" t="n">
        <f aca="false">MAX(AW336,H336)</f>
        <v>132</v>
      </c>
      <c r="AF336" s="69"/>
      <c r="AG336" s="62" t="n">
        <f aca="false">IF(LEFT(Cockpit!$C$5,1)="A",H336,IF(Parameter!$E$30="MAX-Bestand",IF(CI336=1,CJ336,IF(LEFT(Cockpit!$C$5,1)="B",AM336,MAX(AM336,H336))),ROUNDUP(AK336,0)))</f>
        <v>109</v>
      </c>
      <c r="AH336" s="62" t="n">
        <f aca="false">IF(CA336=1,0,ROUNDUP(AG336/BZ336,0))</f>
        <v>2</v>
      </c>
      <c r="AI336" s="64" t="n">
        <f aca="false">IF(CR336&gt;0,CR336*MAX(1,AG336/X336),IF(CA336=1,IF(AG336&lt;=0,0,CE336*MAX(1,IF(H336&gt;0,AG336/H336,1))),IF(R336&gt;0,AH336/R336,0))/MAX(0.1,N(Parameter!$M$21)))</f>
        <v>0.0384615384615385</v>
      </c>
      <c r="AJ336" s="62" t="n">
        <f aca="false">AI336*CC336</f>
        <v>5.96153846153846</v>
      </c>
      <c r="AK336" s="63" t="n">
        <f aca="false">IF(LEFT(Cockpit!$C$5,1)="A",H336,IF(CI336=1,(CL336+CJ336)/2,IF(LEFT(Cockpit!$C$5,1)="B",(CL336+AM336)/2,MAX((CL336+AM336)/2,H336))))</f>
        <v>109</v>
      </c>
      <c r="AL336" s="62" t="n">
        <f aca="false">AK336*G336</f>
        <v>506.85</v>
      </c>
      <c r="AM336" s="62" t="n">
        <f aca="false">ROUNDUP(CL336+MAX(CM336,2*(J336/IF(CH336&gt;0,CH336,MAX(0.1,N(Cockpit!$C$6)))-CL336)),0)</f>
        <v>132</v>
      </c>
      <c r="AN336" s="63" t="n">
        <f aca="false">IF(AJ336&gt;0,J336/AJ336,-1)</f>
        <v>21.3032258064516</v>
      </c>
      <c r="AO336" s="63" t="n">
        <f aca="false">IF(AND(OR(CG336="L1",CG336="L23",CG336="LIFT"),AJ336&gt;0),SUMIFS($AJ$7:$AJ$1843,$CG$7:$CG$1843,CG336,$AN$7:$AN$1843,"&gt;"&amp;AN336)+SUMIFS($AJ$7:$AJ$1843,$CG$7:$CG$1843,CG336,$AN$7:$AN$1843,AN336,$BX$7:$BX$1843,"&lt;="&amp;BX336),"")</f>
        <v>1625.336996337</v>
      </c>
      <c r="AP336" s="70" t="n">
        <f aca="false">IF(AO336="",0,MAX(0,MIN(1,(IF(CG336="L1",Parameter!$H$5,IF(CG336="L23",Parameter!$H$6+Parameter!$H$7,Parameter!$H$5+Parameter!$H$6+Parameter!$H$7))-(AO336-AJ336))/AJ336)))</f>
        <v>1</v>
      </c>
      <c r="AQ336" s="62" t="n">
        <f aca="false">IF(LEFT(Cockpit!$I$5,1)="A",H336,IF(Parameter!$E$30="MAX-Bestand",IF(CI336=1,CJ336,IF(LEFT(Cockpit!$I$5,1)="B",AW336,MAX(AW336,H336))),ROUNDUP(AU336,0)))</f>
        <v>109</v>
      </c>
      <c r="AR336" s="62" t="n">
        <f aca="false">IF(CA336=1,0,ROUNDUP(AQ336/BZ336,0))</f>
        <v>2</v>
      </c>
      <c r="AS336" s="64" t="n">
        <f aca="false">IF(CR336&gt;0,CR336*MAX(1,AQ336/X336),IF(CA336=1,IF(AQ336&lt;=0,0,CE336*MAX(1,IF(H336&gt;0,AQ336/H336,1))),IF(R336&gt;0,AR336/R336,0))/MAX(0.1,N(Parameter!$M$21)))</f>
        <v>0.0384615384615385</v>
      </c>
      <c r="AT336" s="62" t="n">
        <f aca="false">AS336*CC336</f>
        <v>5.96153846153846</v>
      </c>
      <c r="AU336" s="63" t="n">
        <f aca="false">IF(LEFT(Cockpit!$I$5,1)="A",H336,IF(CI336=1,(CL336+CJ336)/2,IF(LEFT(Cockpit!$I$5,1)="B",(CL336+AW336)/2,MAX((CL336+AW336)/2,H336))))</f>
        <v>109</v>
      </c>
      <c r="AV336" s="62" t="n">
        <f aca="false">AU336*G336</f>
        <v>506.85</v>
      </c>
      <c r="AW336" s="62" t="n">
        <f aca="false">ROUNDUP(CL336+MAX(CM336,2*(J336/IF(CH336&gt;0,CH336,MAX(0.1,N(Cockpit!$I$6)))-CL336)),0)</f>
        <v>132</v>
      </c>
      <c r="AX336" s="63" t="n">
        <f aca="false">IF(AT336&gt;0,J336/AT336,-1)</f>
        <v>21.3032258064516</v>
      </c>
      <c r="AY336" s="63" t="n">
        <f aca="false">IF(AND(OR(CG336="L1",CG336="L23",CG336="LIFT"),AT336&gt;0),SUMIFS($AT$7:$AT$1843,$CG$7:$CG$1843,CG336,$AX$7:$AX$1843,"&gt;"&amp;AX336)+SUMIFS($AT$7:$AT$1843,$CG$7:$CG$1843,CG336,$AX$7:$AX$1843,AX336,$BX$7:$BX$1843,"&lt;="&amp;BX336),"")</f>
        <v>2250.5347985348</v>
      </c>
      <c r="AZ336" s="70" t="n">
        <f aca="false">IF(AY336="",0,MAX(0,MIN(1,(IF(CG336="L1",Parameter!$H$5,IF(CG336="L23",Parameter!$H$6+Parameter!$H$7,Parameter!$H$5+Parameter!$H$6+Parameter!$H$7))-(AY336-AT336))/AT336)))</f>
        <v>1</v>
      </c>
      <c r="BA336" s="62" t="n">
        <f aca="false">IF(LEFT(Cockpit!$O$5,1)="A",H336,IF(Parameter!$E$30="MAX-Bestand",IF(CI336=1,CJ336,IF(LEFT(Cockpit!$O$5,1)="B",BG336,MAX(BG336,H336))),ROUNDUP(BE336,0)))</f>
        <v>70</v>
      </c>
      <c r="BB336" s="62" t="n">
        <f aca="false">IF(CA336=1,0,ROUNDUP(BA336/BZ336,0))</f>
        <v>2</v>
      </c>
      <c r="BC336" s="64" t="n">
        <f aca="false">IF(CR336&gt;0,CR336*MAX(1,BA336/X336),IF(CA336=1,IF(BA336&lt;=0,0,CE336*MAX(1,IF(H336&gt;0,BA336/H336,1))),IF(R336&gt;0,BB336/R336,0))/MAX(0.1,N(Parameter!$M$21)))</f>
        <v>0.0384615384615385</v>
      </c>
      <c r="BD336" s="62" t="n">
        <f aca="false">BC336*CC336</f>
        <v>5.96153846153846</v>
      </c>
      <c r="BE336" s="63" t="n">
        <f aca="false">IF(LEFT(Cockpit!$O$5,1)="A",H336,IF(CI336=1,(CL336+CJ336)/2,IF(LEFT(Cockpit!$O$5,1)="B",(CL336+BG336)/2,MAX((CL336+BG336)/2,H336))))</f>
        <v>69.5</v>
      </c>
      <c r="BF336" s="62" t="n">
        <f aca="false">BE336*G336</f>
        <v>323.175</v>
      </c>
      <c r="BG336" s="62" t="n">
        <f aca="false">ROUNDUP(CL336+MAX(CM336,2*(J336/IF(CH336&gt;0,CH336,MAX(0.1,N(Cockpit!$O$6)))-CL336)),0)</f>
        <v>132</v>
      </c>
      <c r="BH336" s="63" t="n">
        <f aca="false">IF(BD336&gt;0,J336/BD336,-1)</f>
        <v>21.3032258064516</v>
      </c>
      <c r="BI336" s="63" t="n">
        <f aca="false">IF(AND(OR(CG336="L1",CG336="L23",CG336="LIFT"),BD336&gt;0),SUMIFS($BD$7:$BD$1843,$CG$7:$CG$1843,CG336,$BH$7:$BH$1843,"&gt;"&amp;BH336)+SUMIFS($BD$7:$BD$1843,$CG$7:$CG$1843,CG336,$BH$7:$BH$1843,BH336,$BX$7:$BX$1843,"&lt;="&amp;BX336),"")</f>
        <v>2163.94642857143</v>
      </c>
      <c r="BJ336" s="70" t="n">
        <f aca="false">IF(BI336="",0,MAX(0,MIN(1,(IF(CG336="L1",Parameter!$H$5,IF(CG336="L23",Parameter!$H$6+Parameter!$H$7,Parameter!$H$5+Parameter!$H$6+Parameter!$H$7))-(BI336-BD336))/BD336)))</f>
        <v>1</v>
      </c>
      <c r="BK336" s="60" t="str">
        <f aca="false">IF(AJ336&lt;=0,"",IF(CG336="Aussen","Aussenlager",IF(CG336="-","Nicht im Lift",IF(AP336&gt;=1,"Lift",IF(AP336&lt;=0,"Aussenlager","teilweise")))))</f>
        <v>Lift</v>
      </c>
      <c r="BL336" s="60" t="str">
        <f aca="false">IF(AT336&lt;=0,"",IF(CG336="Aussen","Aussenlager",IF(CG336="-","Nicht im Lift",IF(AZ336&gt;=1,"Lift",IF(AZ336&lt;=0,"Aussenlager","teilweise")))))</f>
        <v>Lift</v>
      </c>
      <c r="BM336" s="60" t="str">
        <f aca="false">IF(BD336&lt;=0,"",IF(CG336="Aussen","Aussenlager",IF(CG336="-","Nicht im Lift",IF(BJ336&gt;=1,"Lift",IF(BJ336&lt;=0,"Aussenlager","teilweise")))))</f>
        <v>Lift</v>
      </c>
      <c r="BN336" s="60" t="str">
        <f aca="false">IF(A336="","",IF(BW336=1,"Neu; ","")&amp;IF(AND(BW336=0,BR336&lt;0),"negativer Bestand (Export "&amp;BR336&amp;"); ","")&amp;IF(J336&lt;=0,"Kein Verbrauch; ","")&amp;IF(CR336&gt;0,"Lift "&amp;W336&amp;" lt. Liftbericht (Fach "&amp;X336&amp;" Stk); ",IF(CB336=1,"Gebinde geschätzt ("&amp;T336&amp;"); ",IF(CA336=1,"Lose – Tablare geschätzt; ","")))&amp;IF(H336&gt;AW336,"Überbestand "&amp;ROUND(H336-AW336,0)&amp;" Stk / CHF "&amp;ROUND((H336-AW336)*G336,0)&amp;"; ","")&amp;IF(AND(CI336=1,CJ336&lt;CK336),"MAX &lt; MB+LG; ","")&amp;IF(AND(CQ336&gt;0,CP336*10&gt;CQ336),"zu hoch für Tablar; ","")&amp;IF(AND(BW336=0,OR(CI336=1,AB336&lt;&gt;"",U336&lt;&gt;"",V336&lt;&gt;"",AC336&lt;&gt;"")),"manuell übersteuert; ","")&amp;IF(AND(CA336=0,R336=0),"Gebinde unbekannt / Stellmass fehlt; ","")&amp;IF(AND(CA336=0,N(V336)&lt;=0,N(Q336)&lt;=0),"Menge pro Gebinde fehlt (Ist = 1 Gebinde); ","")&amp;BV336)</f>
        <v/>
      </c>
      <c r="BO336" s="60"/>
      <c r="BP336" s="60"/>
      <c r="BQ336" s="67"/>
      <c r="BR336" s="62" t="n">
        <v>46</v>
      </c>
      <c r="BS336" s="62" t="n">
        <v>63</v>
      </c>
      <c r="BT336" s="61" t="n">
        <v>212.640000000001</v>
      </c>
      <c r="BU336" s="62" t="n">
        <v>127</v>
      </c>
      <c r="BV336" s="60"/>
      <c r="BW336" s="65" t="n">
        <v>0</v>
      </c>
      <c r="BX336" s="65" t="n">
        <v>336</v>
      </c>
      <c r="BY336" s="60" t="str">
        <f aca="false">IF(U336&lt;&gt;"",UPPER(TRIM(U336)),IF(CB336=1,UPPER(VLOOKUP(T336,Parameter!$I$27:$K$29,2,0)),IF(P336="","LOSE",P336)))</f>
        <v>S33</v>
      </c>
      <c r="BZ336" s="62" t="n">
        <f aca="false">IF(BY336="LOSE",1,IF(N(V336)&gt;0,V336,IF(CB336=1,MAX(1,N(VLOOKUP(T336,Parameter!$I$27:$K$29,3,0)),H336,N(N336)),IF(N(Q336)&gt;0,Q336,MAX(1,H336)))))</f>
        <v>61</v>
      </c>
      <c r="CA336" s="65" t="n">
        <f aca="false">IF(BY336="LOSE",1,0)</f>
        <v>0</v>
      </c>
      <c r="CB336" s="65" t="n">
        <f aca="false">IF(AND(U336="",OR(P336="",P336="LOSE"),T336&lt;&gt;"",N(S336)&lt;=0,ISNUMBER(MATCH(T336,Parameter!$I$27:$I$29,0))),1,0)</f>
        <v>0</v>
      </c>
      <c r="CC336" s="65" t="n">
        <f aca="false">IF(CR336&gt;0,INDEX(Parameter!$H$5:$H$7,W336)/INDEX(Parameter!$E$5:$E$7,W336),IF(AND(CA336=0,N(IFERROR(VLOOKUP(BY336,'Gebinde-Kategorie'!$A$5:$N$45,14,0),0))&gt;0),VLOOKUP(BY336,'Gebinde-Kategorie'!$A$5:$N$45,14,0)*10+Parameter!$M$23,Parameter!$M$24))</f>
        <v>155</v>
      </c>
      <c r="CD336" s="60" t="str">
        <f aca="false">IF(AND(Parameter!$B$19="Ja",E336&lt;&gt;"",ISNUMBER(MATCH(E336,Parameter!$I$35:$I$52,0))),VLOOKUP(E336,Parameter!$I$35:$J$52,2,0),IFERROR(VLOOKUP(D336,Parameter!$A$35:$C$64,2,0),"Nein"))</f>
        <v>2+3</v>
      </c>
      <c r="CE336" s="64" t="n">
        <f aca="false">IF(CA336=0,0,IF(N(S336)&gt;0,S336,IFERROR(VLOOKUP(D336,Parameter!$A$35:$C$64,3,0)+0,0)))</f>
        <v>0</v>
      </c>
      <c r="CF336" s="60" t="n">
        <f aca="false">IF(AB336&lt;&gt;"",AB336,AA336)</f>
        <v>3</v>
      </c>
      <c r="CG336" s="60" t="str">
        <f aca="false">IF(OR(CF336=1,CF336=2,CF336=3),IF(Parameter!$E$27="Ja","LIFT",IF(CF336=1,"L1","L23")),IF(CF336="Aussen","Aussen","-"))</f>
        <v>LIFT</v>
      </c>
      <c r="CH336" s="71" t="n">
        <f aca="false">IF(N(AC336)&gt;0,AC336,0)</f>
        <v>0</v>
      </c>
      <c r="CI336" s="65" t="n">
        <f aca="false">IF(ISNUMBER(AF336),1,0)</f>
        <v>0</v>
      </c>
      <c r="CJ336" s="62" t="n">
        <f aca="false">N(AF336)</f>
        <v>0</v>
      </c>
      <c r="CK336" s="62" t="n">
        <f aca="false">N(M336)+N(N336)</f>
        <v>132</v>
      </c>
      <c r="CL336" s="62" t="n">
        <f aca="false">N(M336)</f>
        <v>7</v>
      </c>
      <c r="CM336" s="62" t="n">
        <f aca="false">N(N336)</f>
        <v>125</v>
      </c>
      <c r="CN336" s="62" t="n">
        <f aca="false">ROUNDUP(H336/BZ336,0)</f>
        <v>2</v>
      </c>
      <c r="CO336" s="62" t="n">
        <f aca="false">ROUNDUP(CJ336/BZ336,0)</f>
        <v>0</v>
      </c>
      <c r="CP336" s="65" t="n">
        <f aca="false">IF(CA336=1,0,IFERROR(VLOOKUP(BY336,'Gebinde-Kategorie'!$A$5:$N$45,5,0)+0,0))</f>
        <v>8</v>
      </c>
      <c r="CQ336" s="65" t="n">
        <f aca="false">IFERROR(IF(OR(CF336=1,CF336=2,CF336=3),N(INDEX(Parameter!$I$5:$I$7,CF336)),0),0)</f>
        <v>0</v>
      </c>
      <c r="CR336" s="64" t="n">
        <f aca="false">IF(AND(Parameter!$B$21="Ja",ISNUMBER(W336),N(X336)&gt;0),IFERROR(N(INDEX(Parameter!$L$5:$L$7,W336))*INDEX(Parameter!$E$5:$E$7,W336)*X336/SUMIFS($X$7:$X$1843,$W$7:$W$1843,W336),0),0)</f>
        <v>0</v>
      </c>
      <c r="CS336" s="62" t="n">
        <f aca="false">IF(AND(OR(CG336="L1",CG336="L23",CG336="LIFT"),H336&gt;0),CC336*IF(CR336&gt;0,CR336*MAX(1,H336/X336),IF(CA336=1,CE336,IF(R336&gt;0,CN336/R336,0))/MAX(0.1,N(Parameter!$M$21))),"")</f>
        <v>5.96153846153846</v>
      </c>
      <c r="CT336" s="64" t="n">
        <f aca="false">IF(CS336="","",J336/H336)</f>
        <v>1.1651376146789</v>
      </c>
      <c r="CU336" s="62" t="n">
        <f aca="false">IF(CS336="","",H336*G336)</f>
        <v>506.85</v>
      </c>
      <c r="CV336" s="63" t="n">
        <f aca="false">IF(CS336="","",(CL336+ROUNDUP(CL336+MAX(CM336,2*(J336/MAX(0.1,N(Einkauf!$C$6))-CL336)),0))/2)</f>
        <v>69.5</v>
      </c>
      <c r="CW336" s="62" t="n">
        <f aca="false">IF(CS336="","",MAX(0,H336-CV336)*G336)</f>
        <v>183.675</v>
      </c>
      <c r="CX336" s="62" t="n">
        <f aca="false">IF(CS336="","",CS336*MAX(0,1-CV336/H336))</f>
        <v>2.16037402964009</v>
      </c>
      <c r="CY336" s="64" t="n">
        <f aca="false">IF(CS336="","",PERCENTRANK($CS$7:$CS$1843,CS336)+PERCENTRANK($CU$7:$CU$1843,CU336)+1-PERCENTRANK($CT$7:$CT$1843,CT336))</f>
        <v>1.166</v>
      </c>
      <c r="CZ336" s="72" t="n">
        <f aca="false">IF(CS336="","",CHOOSE(MATCH(Einkauf!$C$5,Parameter!$G$23:$G$27,0),CY336,CS336,CU336,-CT336,CW336)+ROW()/1000000000)</f>
        <v>1.166000336</v>
      </c>
    </row>
    <row r="337" customFormat="false" ht="15" hidden="false" customHeight="false" outlineLevel="0" collapsed="false">
      <c r="A337" s="60" t="s">
        <v>875</v>
      </c>
      <c r="B337" s="60" t="s">
        <v>805</v>
      </c>
      <c r="C337" s="60" t="s">
        <v>206</v>
      </c>
      <c r="D337" s="60" t="s">
        <v>226</v>
      </c>
      <c r="E337" s="60"/>
      <c r="F337" s="60" t="s">
        <v>260</v>
      </c>
      <c r="G337" s="61" t="n">
        <v>8.48</v>
      </c>
      <c r="H337" s="62" t="n">
        <f aca="false">MAX(0,IF(AND(Parameter!$B$21="Ja",ISNUMBER(Y337)),Y337,IF(Parameter!$B$20="Jahresanfang 2025 + Export",BS337+BR337,BR337)))</f>
        <v>25</v>
      </c>
      <c r="I337" s="62" t="n">
        <f aca="false">H337*G337</f>
        <v>212</v>
      </c>
      <c r="J337" s="62" t="n">
        <f aca="false">BU337*Parameter!$B$18</f>
        <v>0</v>
      </c>
      <c r="K337" s="63" t="n">
        <v>0</v>
      </c>
      <c r="L337" s="64" t="n">
        <v>0</v>
      </c>
      <c r="M337" s="62" t="n">
        <v>0</v>
      </c>
      <c r="N337" s="62" t="n">
        <v>1</v>
      </c>
      <c r="O337" s="65" t="n">
        <v>9999</v>
      </c>
      <c r="P337" s="60" t="s">
        <v>210</v>
      </c>
      <c r="Q337" s="62"/>
      <c r="R337" s="65" t="n">
        <f aca="false">IF(CA337=1,0,IFERROR(VLOOKUP(BY337,'Gebinde-Kategorie'!$A$5:$N$45,13,0)+0,0))</f>
        <v>26</v>
      </c>
      <c r="S337" s="66"/>
      <c r="T337" s="67" t="s">
        <v>317</v>
      </c>
      <c r="U337" s="67"/>
      <c r="V337" s="67"/>
      <c r="W337" s="60"/>
      <c r="X337" s="62"/>
      <c r="Y337" s="62"/>
      <c r="Z337" s="60" t="n">
        <v>3</v>
      </c>
      <c r="AA337" s="60" t="n">
        <f aca="false">IF(A337="","",IF(AND(Parameter!$B$21="Ja",ISNUMBER(W337)),W337,IF(AND(Parameter!$E$27="Ja",ISNUMBER(Z337),CD337&lt;&gt;"Nein"),Z337,IF(CD337="2+3",IF(ISNUMBER(SEARCH("grosser Artikel",BV337)),2,IFERROR(VLOOKUP(BY337,Parameter!$F$35:$G$64,2,0),2)),IF(OR(CD337="Nein",CD337=""),"-",CD337)))))</f>
        <v>3</v>
      </c>
      <c r="AB337" s="67"/>
      <c r="AC337" s="68"/>
      <c r="AD337" s="62" t="n">
        <f aca="false">AW337</f>
        <v>1</v>
      </c>
      <c r="AE337" s="62" t="n">
        <f aca="false">MAX(AW337,H337)</f>
        <v>25</v>
      </c>
      <c r="AF337" s="69"/>
      <c r="AG337" s="62" t="n">
        <f aca="false">IF(LEFT(Cockpit!$C$5,1)="A",H337,IF(Parameter!$E$30="MAX-Bestand",IF(CI337=1,CJ337,IF(LEFT(Cockpit!$C$5,1)="B",AM337,MAX(AM337,H337))),ROUNDUP(AK337,0)))</f>
        <v>25</v>
      </c>
      <c r="AH337" s="62" t="n">
        <f aca="false">IF(CA337=1,0,ROUNDUP(AG337/BZ337,0))</f>
        <v>1</v>
      </c>
      <c r="AI337" s="64" t="n">
        <f aca="false">IF(CR337&gt;0,CR337*MAX(1,AG337/X337),IF(CA337=1,IF(AG337&lt;=0,0,CE337*MAX(1,IF(H337&gt;0,AG337/H337,1))),IF(R337&gt;0,AH337/R337,0))/MAX(0.1,N(Parameter!$M$21)))</f>
        <v>0.0384615384615385</v>
      </c>
      <c r="AJ337" s="62" t="n">
        <f aca="false">AI337*CC337</f>
        <v>5.96153846153846</v>
      </c>
      <c r="AK337" s="63" t="n">
        <f aca="false">IF(LEFT(Cockpit!$C$5,1)="A",H337,IF(CI337=1,(CL337+CJ337)/2,IF(LEFT(Cockpit!$C$5,1)="B",(CL337+AM337)/2,MAX((CL337+AM337)/2,H337))))</f>
        <v>25</v>
      </c>
      <c r="AL337" s="62" t="n">
        <f aca="false">AK337*G337</f>
        <v>212</v>
      </c>
      <c r="AM337" s="62" t="n">
        <f aca="false">ROUNDUP(CL337+MAX(CM337,2*(J337/IF(CH337&gt;0,CH337,MAX(0.1,N(Cockpit!$C$6)))-CL337)),0)</f>
        <v>1</v>
      </c>
      <c r="AN337" s="63" t="n">
        <f aca="false">IF(AJ337&gt;0,J337/AJ337,-1)</f>
        <v>0</v>
      </c>
      <c r="AO337" s="63" t="n">
        <f aca="false">IF(AND(OR(CG337="L1",CG337="L23",CG337="LIFT"),AJ337&gt;0),SUMIFS($AJ$7:$AJ$1843,$CG$7:$CG$1843,CG337,$AN$7:$AN$1843,"&gt;"&amp;AN337)+SUMIFS($AJ$7:$AJ$1843,$CG$7:$CG$1843,CG337,$AN$7:$AN$1843,AN337,$BX$7:$BX$1843,"&lt;="&amp;BX337),"")</f>
        <v>27983.2973293185</v>
      </c>
      <c r="AP337" s="70" t="n">
        <f aca="false">IF(AO337="",0,MAX(0,MIN(1,(IF(CG337="L1",Parameter!$H$5,IF(CG337="L23",Parameter!$H$6+Parameter!$H$7,Parameter!$H$5+Parameter!$H$6+Parameter!$H$7))-(AO337-AJ337))/AJ337)))</f>
        <v>1</v>
      </c>
      <c r="AQ337" s="62" t="n">
        <f aca="false">IF(LEFT(Cockpit!$I$5,1)="A",H337,IF(Parameter!$E$30="MAX-Bestand",IF(CI337=1,CJ337,IF(LEFT(Cockpit!$I$5,1)="B",AW337,MAX(AW337,H337))),ROUNDUP(AU337,0)))</f>
        <v>25</v>
      </c>
      <c r="AR337" s="62" t="n">
        <f aca="false">IF(CA337=1,0,ROUNDUP(AQ337/BZ337,0))</f>
        <v>1</v>
      </c>
      <c r="AS337" s="64" t="n">
        <f aca="false">IF(CR337&gt;0,CR337*MAX(1,AQ337/X337),IF(CA337=1,IF(AQ337&lt;=0,0,CE337*MAX(1,IF(H337&gt;0,AQ337/H337,1))),IF(R337&gt;0,AR337/R337,0))/MAX(0.1,N(Parameter!$M$21)))</f>
        <v>0.0384615384615385</v>
      </c>
      <c r="AT337" s="62" t="n">
        <f aca="false">AS337*CC337</f>
        <v>5.96153846153846</v>
      </c>
      <c r="AU337" s="63" t="n">
        <f aca="false">IF(LEFT(Cockpit!$I$5,1)="A",H337,IF(CI337=1,(CL337+CJ337)/2,IF(LEFT(Cockpit!$I$5,1)="B",(CL337+AW337)/2,MAX((CL337+AW337)/2,H337))))</f>
        <v>25</v>
      </c>
      <c r="AV337" s="62" t="n">
        <f aca="false">AU337*G337</f>
        <v>212</v>
      </c>
      <c r="AW337" s="62" t="n">
        <f aca="false">ROUNDUP(CL337+MAX(CM337,2*(J337/IF(CH337&gt;0,CH337,MAX(0.1,N(Cockpit!$I$6)))-CL337)),0)</f>
        <v>1</v>
      </c>
      <c r="AX337" s="63" t="n">
        <f aca="false">IF(AT337&gt;0,J337/AT337,-1)</f>
        <v>0</v>
      </c>
      <c r="AY337" s="63" t="n">
        <f aca="false">IF(AND(OR(CG337="L1",CG337="L23",CG337="LIFT"),AT337&gt;0),SUMIFS($AT$7:$AT$1843,$CG$7:$CG$1843,CG337,$AX$7:$AX$1843,"&gt;"&amp;AX337)+SUMIFS($AT$7:$AT$1843,$CG$7:$CG$1843,CG337,$AX$7:$AX$1843,AX337,$BX$7:$BX$1843,"&lt;="&amp;BX337),"")</f>
        <v>33336.445970696</v>
      </c>
      <c r="AZ337" s="70" t="n">
        <f aca="false">IF(AY337="",0,MAX(0,MIN(1,(IF(CG337="L1",Parameter!$H$5,IF(CG337="L23",Parameter!$H$6+Parameter!$H$7,Parameter!$H$5+Parameter!$H$6+Parameter!$H$7))-(AY337-AT337))/AT337)))</f>
        <v>1</v>
      </c>
      <c r="BA337" s="62" t="n">
        <f aca="false">IF(LEFT(Cockpit!$O$5,1)="A",H337,IF(Parameter!$E$30="MAX-Bestand",IF(CI337=1,CJ337,IF(LEFT(Cockpit!$O$5,1)="B",BG337,MAX(BG337,H337))),ROUNDUP(BE337,0)))</f>
        <v>1</v>
      </c>
      <c r="BB337" s="62" t="n">
        <f aca="false">IF(CA337=1,0,ROUNDUP(BA337/BZ337,0))</f>
        <v>1</v>
      </c>
      <c r="BC337" s="64" t="n">
        <f aca="false">IF(CR337&gt;0,CR337*MAX(1,BA337/X337),IF(CA337=1,IF(BA337&lt;=0,0,CE337*MAX(1,IF(H337&gt;0,BA337/H337,1))),IF(R337&gt;0,BB337/R337,0))/MAX(0.1,N(Parameter!$M$21)))</f>
        <v>0.0384615384615385</v>
      </c>
      <c r="BD337" s="62" t="n">
        <f aca="false">BC337*CC337</f>
        <v>5.96153846153846</v>
      </c>
      <c r="BE337" s="63" t="n">
        <f aca="false">IF(LEFT(Cockpit!$O$5,1)="A",H337,IF(CI337=1,(CL337+CJ337)/2,IF(LEFT(Cockpit!$O$5,1)="B",(CL337+BG337)/2,MAX((CL337+BG337)/2,H337))))</f>
        <v>0.5</v>
      </c>
      <c r="BF337" s="62" t="n">
        <f aca="false">BE337*G337</f>
        <v>4.24</v>
      </c>
      <c r="BG337" s="62" t="n">
        <f aca="false">ROUNDUP(CL337+MAX(CM337,2*(J337/IF(CH337&gt;0,CH337,MAX(0.1,N(Cockpit!$O$6)))-CL337)),0)</f>
        <v>1</v>
      </c>
      <c r="BH337" s="63" t="n">
        <f aca="false">IF(BD337&gt;0,J337/BD337,-1)</f>
        <v>0</v>
      </c>
      <c r="BI337" s="63" t="n">
        <f aca="false">IF(AND(OR(CG337="L1",CG337="L23",CG337="LIFT"),BD337&gt;0),SUMIFS($BD$7:$BD$1843,$CG$7:$CG$1843,CG337,$BH$7:$BH$1843,"&gt;"&amp;BH337)+SUMIFS($BD$7:$BD$1843,$CG$7:$CG$1843,CG337,$BH$7:$BH$1843,BH337,$BX$7:$BX$1843,"&lt;="&amp;BX337),"")</f>
        <v>27461.9060191221</v>
      </c>
      <c r="BJ337" s="70" t="n">
        <f aca="false">IF(BI337="",0,MAX(0,MIN(1,(IF(CG337="L1",Parameter!$H$5,IF(CG337="L23",Parameter!$H$6+Parameter!$H$7,Parameter!$H$5+Parameter!$H$6+Parameter!$H$7))-(BI337-BD337))/BD337)))</f>
        <v>1</v>
      </c>
      <c r="BK337" s="60" t="str">
        <f aca="false">IF(AJ337&lt;=0,"",IF(CG337="Aussen","Aussenlager",IF(CG337="-","Nicht im Lift",IF(AP337&gt;=1,"Lift",IF(AP337&lt;=0,"Aussenlager","teilweise")))))</f>
        <v>Lift</v>
      </c>
      <c r="BL337" s="60" t="str">
        <f aca="false">IF(AT337&lt;=0,"",IF(CG337="Aussen","Aussenlager",IF(CG337="-","Nicht im Lift",IF(AZ337&gt;=1,"Lift",IF(AZ337&lt;=0,"Aussenlager","teilweise")))))</f>
        <v>Lift</v>
      </c>
      <c r="BM337" s="60" t="str">
        <f aca="false">IF(BD337&lt;=0,"",IF(CG337="Aussen","Aussenlager",IF(CG337="-","Nicht im Lift",IF(BJ337&gt;=1,"Lift",IF(BJ337&lt;=0,"Aussenlager","teilweise")))))</f>
        <v>Lift</v>
      </c>
      <c r="BN337" s="60" t="str">
        <f aca="false">IF(A337="","",IF(BW337=1,"Neu; ","")&amp;IF(AND(BW337=0,BR337&lt;0),"negativer Bestand (Export "&amp;BR337&amp;"); ","")&amp;IF(J337&lt;=0,"Kein Verbrauch; ","")&amp;IF(CR337&gt;0,"Lift "&amp;W337&amp;" lt. Liftbericht (Fach "&amp;X337&amp;" Stk); ",IF(CB337=1,"Gebinde geschätzt ("&amp;T337&amp;"); ",IF(CA337=1,"Lose – Tablare geschätzt; ","")))&amp;IF(H337&gt;AW337,"Überbestand "&amp;ROUND(H337-AW337,0)&amp;" Stk / CHF "&amp;ROUND((H337-AW337)*G337,0)&amp;"; ","")&amp;IF(AND(CI337=1,CJ337&lt;CK337),"MAX &lt; MB+LG; ","")&amp;IF(AND(CQ337&gt;0,CP337*10&gt;CQ337),"zu hoch für Tablar; ","")&amp;IF(AND(BW337=0,OR(CI337=1,AB337&lt;&gt;"",U337&lt;&gt;"",V337&lt;&gt;"",AC337&lt;&gt;"")),"manuell übersteuert; ","")&amp;IF(AND(CA337=0,R337=0),"Gebinde unbekannt / Stellmass fehlt; ","")&amp;IF(AND(CA337=0,N(V337)&lt;=0,N(Q337)&lt;=0),"Menge pro Gebinde fehlt (Ist = 1 Gebinde); ","")&amp;BV337)</f>
        <v>Kein Verbrauch; Gebinde geschätzt (Klein); Überbestand 24 Stk / CHF 204; Menge pro Gebinde fehlt (Ist = 1 Gebinde); </v>
      </c>
      <c r="BO337" s="60"/>
      <c r="BP337" s="60"/>
      <c r="BQ337" s="67"/>
      <c r="BR337" s="62" t="n">
        <v>25</v>
      </c>
      <c r="BS337" s="62" t="n">
        <v>0</v>
      </c>
      <c r="BT337" s="61" t="n">
        <v>212</v>
      </c>
      <c r="BU337" s="62" t="n">
        <v>0</v>
      </c>
      <c r="BV337" s="60"/>
      <c r="BW337" s="65" t="n">
        <v>0</v>
      </c>
      <c r="BX337" s="65" t="n">
        <v>337</v>
      </c>
      <c r="BY337" s="60" t="str">
        <f aca="false">IF(U337&lt;&gt;"",UPPER(TRIM(U337)),IF(CB337=1,UPPER(VLOOKUP(T337,Parameter!$I$27:$K$29,2,0)),IF(P337="","LOSE",P337)))</f>
        <v>S51</v>
      </c>
      <c r="BZ337" s="62" t="n">
        <f aca="false">IF(BY337="LOSE",1,IF(N(V337)&gt;0,V337,IF(CB337=1,MAX(1,N(VLOOKUP(T337,Parameter!$I$27:$K$29,3,0)),H337,N(N337)),IF(N(Q337)&gt;0,Q337,MAX(1,H337)))))</f>
        <v>25</v>
      </c>
      <c r="CA337" s="65" t="n">
        <f aca="false">IF(BY337="LOSE",1,0)</f>
        <v>0</v>
      </c>
      <c r="CB337" s="65" t="n">
        <f aca="false">IF(AND(U337="",OR(P337="",P337="LOSE"),T337&lt;&gt;"",N(S337)&lt;=0,ISNUMBER(MATCH(T337,Parameter!$I$27:$I$29,0))),1,0)</f>
        <v>1</v>
      </c>
      <c r="CC337" s="65" t="n">
        <f aca="false">IF(CR337&gt;0,INDEX(Parameter!$H$5:$H$7,W337)/INDEX(Parameter!$E$5:$E$7,W337),IF(AND(CA337=0,N(IFERROR(VLOOKUP(BY337,'Gebinde-Kategorie'!$A$5:$N$45,14,0),0))&gt;0),VLOOKUP(BY337,'Gebinde-Kategorie'!$A$5:$N$45,14,0)*10+Parameter!$M$23,Parameter!$M$24))</f>
        <v>155</v>
      </c>
      <c r="CD337" s="60" t="str">
        <f aca="false">IF(AND(Parameter!$B$19="Ja",E337&lt;&gt;"",ISNUMBER(MATCH(E337,Parameter!$I$35:$I$52,0))),VLOOKUP(E337,Parameter!$I$35:$J$52,2,0),IFERROR(VLOOKUP(D337,Parameter!$A$35:$C$64,2,0),"Nein"))</f>
        <v>2+3</v>
      </c>
      <c r="CE337" s="64" t="n">
        <f aca="false">IF(CA337=0,0,IF(N(S337)&gt;0,S337,IFERROR(VLOOKUP(D337,Parameter!$A$35:$C$64,3,0)+0,0)))</f>
        <v>0</v>
      </c>
      <c r="CF337" s="60" t="n">
        <f aca="false">IF(AB337&lt;&gt;"",AB337,AA337)</f>
        <v>3</v>
      </c>
      <c r="CG337" s="60" t="str">
        <f aca="false">IF(OR(CF337=1,CF337=2,CF337=3),IF(Parameter!$E$27="Ja","LIFT",IF(CF337=1,"L1","L23")),IF(CF337="Aussen","Aussen","-"))</f>
        <v>LIFT</v>
      </c>
      <c r="CH337" s="71" t="n">
        <f aca="false">IF(N(AC337)&gt;0,AC337,0)</f>
        <v>0</v>
      </c>
      <c r="CI337" s="65" t="n">
        <f aca="false">IF(ISNUMBER(AF337),1,0)</f>
        <v>0</v>
      </c>
      <c r="CJ337" s="62" t="n">
        <f aca="false">N(AF337)</f>
        <v>0</v>
      </c>
      <c r="CK337" s="62" t="n">
        <f aca="false">N(M337)+N(N337)</f>
        <v>1</v>
      </c>
      <c r="CL337" s="62" t="n">
        <f aca="false">N(M337)</f>
        <v>0</v>
      </c>
      <c r="CM337" s="62" t="n">
        <f aca="false">N(N337)</f>
        <v>1</v>
      </c>
      <c r="CN337" s="62" t="n">
        <f aca="false">ROUNDUP(H337/BZ337,0)</f>
        <v>1</v>
      </c>
      <c r="CO337" s="62" t="n">
        <f aca="false">ROUNDUP(CJ337/BZ337,0)</f>
        <v>0</v>
      </c>
      <c r="CP337" s="65" t="n">
        <f aca="false">IF(CA337=1,0,IFERROR(VLOOKUP(BY337,'Gebinde-Kategorie'!$A$5:$N$45,5,0)+0,0))</f>
        <v>11</v>
      </c>
      <c r="CQ337" s="65" t="n">
        <f aca="false">IFERROR(IF(OR(CF337=1,CF337=2,CF337=3),N(INDEX(Parameter!$I$5:$I$7,CF337)),0),0)</f>
        <v>0</v>
      </c>
      <c r="CR337" s="64" t="n">
        <f aca="false">IF(AND(Parameter!$B$21="Ja",ISNUMBER(W337),N(X337)&gt;0),IFERROR(N(INDEX(Parameter!$L$5:$L$7,W337))*INDEX(Parameter!$E$5:$E$7,W337)*X337/SUMIFS($X$7:$X$1843,$W$7:$W$1843,W337),0),0)</f>
        <v>0</v>
      </c>
      <c r="CS337" s="62" t="n">
        <f aca="false">IF(AND(OR(CG337="L1",CG337="L23",CG337="LIFT"),H337&gt;0),CC337*IF(CR337&gt;0,CR337*MAX(1,H337/X337),IF(CA337=1,CE337,IF(R337&gt;0,CN337/R337,0))/MAX(0.1,N(Parameter!$M$21))),"")</f>
        <v>5.96153846153846</v>
      </c>
      <c r="CT337" s="64" t="n">
        <f aca="false">IF(CS337="","",J337/H337)</f>
        <v>0</v>
      </c>
      <c r="CU337" s="62" t="n">
        <f aca="false">IF(CS337="","",H337*G337)</f>
        <v>212</v>
      </c>
      <c r="CV337" s="63" t="n">
        <f aca="false">IF(CS337="","",(CL337+ROUNDUP(CL337+MAX(CM337,2*(J337/MAX(0.1,N(Einkauf!$C$6))-CL337)),0))/2)</f>
        <v>0.5</v>
      </c>
      <c r="CW337" s="62" t="n">
        <f aca="false">IF(CS337="","",MAX(0,H337-CV337)*G337)</f>
        <v>207.76</v>
      </c>
      <c r="CX337" s="62" t="n">
        <f aca="false">IF(CS337="","",CS337*MAX(0,1-CV337/H337))</f>
        <v>5.84230769230769</v>
      </c>
      <c r="CY337" s="64" t="n">
        <f aca="false">IF(CS337="","",PERCENTRANK($CS$7:$CS$1843,CS337)+PERCENTRANK($CU$7:$CU$1843,CU337)+1-PERCENTRANK($CT$7:$CT$1843,CT337))</f>
        <v>1.706</v>
      </c>
      <c r="CZ337" s="72" t="n">
        <f aca="false">IF(CS337="","",CHOOSE(MATCH(Einkauf!$C$5,Parameter!$G$23:$G$27,0),CY337,CS337,CU337,-CT337,CW337)+ROW()/1000000000)</f>
        <v>1.706000337</v>
      </c>
    </row>
    <row r="338" customFormat="false" ht="15" hidden="false" customHeight="false" outlineLevel="0" collapsed="false">
      <c r="A338" s="60" t="s">
        <v>876</v>
      </c>
      <c r="B338" s="60" t="s">
        <v>877</v>
      </c>
      <c r="C338" s="60" t="s">
        <v>206</v>
      </c>
      <c r="D338" s="60" t="s">
        <v>226</v>
      </c>
      <c r="E338" s="60" t="s">
        <v>227</v>
      </c>
      <c r="F338" s="60" t="s">
        <v>260</v>
      </c>
      <c r="G338" s="61" t="n">
        <v>6.13</v>
      </c>
      <c r="H338" s="62" t="n">
        <f aca="false">MAX(0,IF(AND(Parameter!$B$21="Ja",ISNUMBER(Y338)),Y338,IF(Parameter!$B$20="Jahresanfang 2025 + Export",BS338+BR338,BR338)))</f>
        <v>44</v>
      </c>
      <c r="I338" s="62" t="n">
        <f aca="false">H338*G338</f>
        <v>269.72</v>
      </c>
      <c r="J338" s="62" t="n">
        <f aca="false">BU338*Parameter!$B$18</f>
        <v>0</v>
      </c>
      <c r="K338" s="63" t="n">
        <v>5.5</v>
      </c>
      <c r="L338" s="64" t="n">
        <v>0</v>
      </c>
      <c r="M338" s="62" t="n">
        <v>0</v>
      </c>
      <c r="N338" s="62" t="n">
        <v>1</v>
      </c>
      <c r="O338" s="65" t="n">
        <v>14</v>
      </c>
      <c r="P338" s="60" t="s">
        <v>344</v>
      </c>
      <c r="Q338" s="62" t="n">
        <v>15</v>
      </c>
      <c r="R338" s="65" t="n">
        <f aca="false">IF(CA338=1,0,IFERROR(VLOOKUP(BY338,'Gebinde-Kategorie'!$A$5:$N$45,13,0)+0,0))</f>
        <v>26</v>
      </c>
      <c r="S338" s="66"/>
      <c r="T338" s="67"/>
      <c r="U338" s="67"/>
      <c r="V338" s="67"/>
      <c r="W338" s="60"/>
      <c r="X338" s="62"/>
      <c r="Y338" s="62"/>
      <c r="Z338" s="60" t="n">
        <v>3</v>
      </c>
      <c r="AA338" s="60" t="n">
        <f aca="false">IF(A338="","",IF(AND(Parameter!$B$21="Ja",ISNUMBER(W338)),W338,IF(AND(Parameter!$E$27="Ja",ISNUMBER(Z338),CD338&lt;&gt;"Nein"),Z338,IF(CD338="2+3",IF(ISNUMBER(SEARCH("grosser Artikel",BV338)),2,IFERROR(VLOOKUP(BY338,Parameter!$F$35:$G$64,2,0),2)),IF(OR(CD338="Nein",CD338=""),"-",CD338)))))</f>
        <v>3</v>
      </c>
      <c r="AB338" s="67"/>
      <c r="AC338" s="68"/>
      <c r="AD338" s="62" t="n">
        <f aca="false">AW338</f>
        <v>1</v>
      </c>
      <c r="AE338" s="62" t="n">
        <f aca="false">MAX(AW338,H338)</f>
        <v>44</v>
      </c>
      <c r="AF338" s="69"/>
      <c r="AG338" s="62" t="n">
        <f aca="false">IF(LEFT(Cockpit!$C$5,1)="A",H338,IF(Parameter!$E$30="MAX-Bestand",IF(CI338=1,CJ338,IF(LEFT(Cockpit!$C$5,1)="B",AM338,MAX(AM338,H338))),ROUNDUP(AK338,0)))</f>
        <v>44</v>
      </c>
      <c r="AH338" s="62" t="n">
        <f aca="false">IF(CA338=1,0,ROUNDUP(AG338/BZ338,0))</f>
        <v>3</v>
      </c>
      <c r="AI338" s="64" t="n">
        <f aca="false">IF(CR338&gt;0,CR338*MAX(1,AG338/X338),IF(CA338=1,IF(AG338&lt;=0,0,CE338*MAX(1,IF(H338&gt;0,AG338/H338,1))),IF(R338&gt;0,AH338/R338,0))/MAX(0.1,N(Parameter!$M$21)))</f>
        <v>0.115384615384615</v>
      </c>
      <c r="AJ338" s="62" t="n">
        <f aca="false">AI338*CC338</f>
        <v>17.8846153846154</v>
      </c>
      <c r="AK338" s="63" t="n">
        <f aca="false">IF(LEFT(Cockpit!$C$5,1)="A",H338,IF(CI338=1,(CL338+CJ338)/2,IF(LEFT(Cockpit!$C$5,1)="B",(CL338+AM338)/2,MAX((CL338+AM338)/2,H338))))</f>
        <v>44</v>
      </c>
      <c r="AL338" s="62" t="n">
        <f aca="false">AK338*G338</f>
        <v>269.72</v>
      </c>
      <c r="AM338" s="62" t="n">
        <f aca="false">ROUNDUP(CL338+MAX(CM338,2*(J338/IF(CH338&gt;0,CH338,MAX(0.1,N(Cockpit!$C$6)))-CL338)),0)</f>
        <v>1</v>
      </c>
      <c r="AN338" s="63" t="n">
        <f aca="false">IF(AJ338&gt;0,J338/AJ338,-1)</f>
        <v>0</v>
      </c>
      <c r="AO338" s="63" t="n">
        <f aca="false">IF(AND(OR(CG338="L1",CG338="L23",CG338="LIFT"),AJ338&gt;0),SUMIFS($AJ$7:$AJ$1843,$CG$7:$CG$1843,CG338,$AN$7:$AN$1843,"&gt;"&amp;AN338)+SUMIFS($AJ$7:$AJ$1843,$CG$7:$CG$1843,CG338,$AN$7:$AN$1843,AN338,$BX$7:$BX$1843,"&lt;="&amp;BX338),"")</f>
        <v>28001.1819447031</v>
      </c>
      <c r="AP338" s="70" t="n">
        <f aca="false">IF(AO338="",0,MAX(0,MIN(1,(IF(CG338="L1",Parameter!$H$5,IF(CG338="L23",Parameter!$H$6+Parameter!$H$7,Parameter!$H$5+Parameter!$H$6+Parameter!$H$7))-(AO338-AJ338))/AJ338)))</f>
        <v>1</v>
      </c>
      <c r="AQ338" s="62" t="n">
        <f aca="false">IF(LEFT(Cockpit!$I$5,1)="A",H338,IF(Parameter!$E$30="MAX-Bestand",IF(CI338=1,CJ338,IF(LEFT(Cockpit!$I$5,1)="B",AW338,MAX(AW338,H338))),ROUNDUP(AU338,0)))</f>
        <v>44</v>
      </c>
      <c r="AR338" s="62" t="n">
        <f aca="false">IF(CA338=1,0,ROUNDUP(AQ338/BZ338,0))</f>
        <v>3</v>
      </c>
      <c r="AS338" s="64" t="n">
        <f aca="false">IF(CR338&gt;0,CR338*MAX(1,AQ338/X338),IF(CA338=1,IF(AQ338&lt;=0,0,CE338*MAX(1,IF(H338&gt;0,AQ338/H338,1))),IF(R338&gt;0,AR338/R338,0))/MAX(0.1,N(Parameter!$M$21)))</f>
        <v>0.115384615384615</v>
      </c>
      <c r="AT338" s="62" t="n">
        <f aca="false">AS338*CC338</f>
        <v>17.8846153846154</v>
      </c>
      <c r="AU338" s="63" t="n">
        <f aca="false">IF(LEFT(Cockpit!$I$5,1)="A",H338,IF(CI338=1,(CL338+CJ338)/2,IF(LEFT(Cockpit!$I$5,1)="B",(CL338+AW338)/2,MAX((CL338+AW338)/2,H338))))</f>
        <v>44</v>
      </c>
      <c r="AV338" s="62" t="n">
        <f aca="false">AU338*G338</f>
        <v>269.72</v>
      </c>
      <c r="AW338" s="62" t="n">
        <f aca="false">ROUNDUP(CL338+MAX(CM338,2*(J338/IF(CH338&gt;0,CH338,MAX(0.1,N(Cockpit!$I$6)))-CL338)),0)</f>
        <v>1</v>
      </c>
      <c r="AX338" s="63" t="n">
        <f aca="false">IF(AT338&gt;0,J338/AT338,-1)</f>
        <v>0</v>
      </c>
      <c r="AY338" s="63" t="n">
        <f aca="false">IF(AND(OR(CG338="L1",CG338="L23",CG338="LIFT"),AT338&gt;0),SUMIFS($AT$7:$AT$1843,$CG$7:$CG$1843,CG338,$AX$7:$AX$1843,"&gt;"&amp;AX338)+SUMIFS($AT$7:$AT$1843,$CG$7:$CG$1843,CG338,$AX$7:$AX$1843,AX338,$BX$7:$BX$1843,"&lt;="&amp;BX338),"")</f>
        <v>33354.3305860806</v>
      </c>
      <c r="AZ338" s="70" t="n">
        <f aca="false">IF(AY338="",0,MAX(0,MIN(1,(IF(CG338="L1",Parameter!$H$5,IF(CG338="L23",Parameter!$H$6+Parameter!$H$7,Parameter!$H$5+Parameter!$H$6+Parameter!$H$7))-(AY338-AT338))/AT338)))</f>
        <v>1</v>
      </c>
      <c r="BA338" s="62" t="n">
        <f aca="false">IF(LEFT(Cockpit!$O$5,1)="A",H338,IF(Parameter!$E$30="MAX-Bestand",IF(CI338=1,CJ338,IF(LEFT(Cockpit!$O$5,1)="B",BG338,MAX(BG338,H338))),ROUNDUP(BE338,0)))</f>
        <v>1</v>
      </c>
      <c r="BB338" s="62" t="n">
        <f aca="false">IF(CA338=1,0,ROUNDUP(BA338/BZ338,0))</f>
        <v>1</v>
      </c>
      <c r="BC338" s="64" t="n">
        <f aca="false">IF(CR338&gt;0,CR338*MAX(1,BA338/X338),IF(CA338=1,IF(BA338&lt;=0,0,CE338*MAX(1,IF(H338&gt;0,BA338/H338,1))),IF(R338&gt;0,BB338/R338,0))/MAX(0.1,N(Parameter!$M$21)))</f>
        <v>0.0384615384615385</v>
      </c>
      <c r="BD338" s="62" t="n">
        <f aca="false">BC338*CC338</f>
        <v>5.96153846153846</v>
      </c>
      <c r="BE338" s="63" t="n">
        <f aca="false">IF(LEFT(Cockpit!$O$5,1)="A",H338,IF(CI338=1,(CL338+CJ338)/2,IF(LEFT(Cockpit!$O$5,1)="B",(CL338+BG338)/2,MAX((CL338+BG338)/2,H338))))</f>
        <v>0.5</v>
      </c>
      <c r="BF338" s="62" t="n">
        <f aca="false">BE338*G338</f>
        <v>3.065</v>
      </c>
      <c r="BG338" s="62" t="n">
        <f aca="false">ROUNDUP(CL338+MAX(CM338,2*(J338/IF(CH338&gt;0,CH338,MAX(0.1,N(Cockpit!$O$6)))-CL338)),0)</f>
        <v>1</v>
      </c>
      <c r="BH338" s="63" t="n">
        <f aca="false">IF(BD338&gt;0,J338/BD338,-1)</f>
        <v>0</v>
      </c>
      <c r="BI338" s="63" t="n">
        <f aca="false">IF(AND(OR(CG338="L1",CG338="L23",CG338="LIFT"),BD338&gt;0),SUMIFS($BD$7:$BD$1843,$CG$7:$CG$1843,CG338,$BH$7:$BH$1843,"&gt;"&amp;BH338)+SUMIFS($BD$7:$BD$1843,$CG$7:$CG$1843,CG338,$BH$7:$BH$1843,BH338,$BX$7:$BX$1843,"&lt;="&amp;BX338),"")</f>
        <v>27467.8675575837</v>
      </c>
      <c r="BJ338" s="70" t="n">
        <f aca="false">IF(BI338="",0,MAX(0,MIN(1,(IF(CG338="L1",Parameter!$H$5,IF(CG338="L23",Parameter!$H$6+Parameter!$H$7,Parameter!$H$5+Parameter!$H$6+Parameter!$H$7))-(BI338-BD338))/BD338)))</f>
        <v>1</v>
      </c>
      <c r="BK338" s="60" t="str">
        <f aca="false">IF(AJ338&lt;=0,"",IF(CG338="Aussen","Aussenlager",IF(CG338="-","Nicht im Lift",IF(AP338&gt;=1,"Lift",IF(AP338&lt;=0,"Aussenlager","teilweise")))))</f>
        <v>Lift</v>
      </c>
      <c r="BL338" s="60" t="str">
        <f aca="false">IF(AT338&lt;=0,"",IF(CG338="Aussen","Aussenlager",IF(CG338="-","Nicht im Lift",IF(AZ338&gt;=1,"Lift",IF(AZ338&lt;=0,"Aussenlager","teilweise")))))</f>
        <v>Lift</v>
      </c>
      <c r="BM338" s="60" t="str">
        <f aca="false">IF(BD338&lt;=0,"",IF(CG338="Aussen","Aussenlager",IF(CG338="-","Nicht im Lift",IF(BJ338&gt;=1,"Lift",IF(BJ338&lt;=0,"Aussenlager","teilweise")))))</f>
        <v>Lift</v>
      </c>
      <c r="BN338" s="60" t="str">
        <f aca="false">IF(A338="","",IF(BW338=1,"Neu; ","")&amp;IF(AND(BW338=0,BR338&lt;0),"negativer Bestand (Export "&amp;BR338&amp;"); ","")&amp;IF(J338&lt;=0,"Kein Verbrauch; ","")&amp;IF(CR338&gt;0,"Lift "&amp;W338&amp;" lt. Liftbericht (Fach "&amp;X338&amp;" Stk); ",IF(CB338=1,"Gebinde geschätzt ("&amp;T338&amp;"); ",IF(CA338=1,"Lose – Tablare geschätzt; ","")))&amp;IF(H338&gt;AW338,"Überbestand "&amp;ROUND(H338-AW338,0)&amp;" Stk / CHF "&amp;ROUND((H338-AW338)*G338,0)&amp;"; ","")&amp;IF(AND(CI338=1,CJ338&lt;CK338),"MAX &lt; MB+LG; ","")&amp;IF(AND(CQ338&gt;0,CP338*10&gt;CQ338),"zu hoch für Tablar; ","")&amp;IF(AND(BW338=0,OR(CI338=1,AB338&lt;&gt;"",U338&lt;&gt;"",V338&lt;&gt;"",AC338&lt;&gt;"")),"manuell übersteuert; ","")&amp;IF(AND(CA338=0,R338=0),"Gebinde unbekannt / Stellmass fehlt; ","")&amp;IF(AND(CA338=0,N(V338)&lt;=0,N(Q338)&lt;=0),"Menge pro Gebinde fehlt (Ist = 1 Gebinde); ","")&amp;BV338)</f>
        <v>Kein Verbrauch; Überbestand 43 Stk / CHF 264; </v>
      </c>
      <c r="BO338" s="60"/>
      <c r="BP338" s="60"/>
      <c r="BQ338" s="67"/>
      <c r="BR338" s="62" t="n">
        <v>35</v>
      </c>
      <c r="BS338" s="62" t="n">
        <v>9</v>
      </c>
      <c r="BT338" s="61" t="n">
        <v>204.92</v>
      </c>
      <c r="BU338" s="62" t="n">
        <v>0</v>
      </c>
      <c r="BV338" s="60"/>
      <c r="BW338" s="65" t="n">
        <v>0</v>
      </c>
      <c r="BX338" s="65" t="n">
        <v>338</v>
      </c>
      <c r="BY338" s="60" t="str">
        <f aca="false">IF(U338&lt;&gt;"",UPPER(TRIM(U338)),IF(CB338=1,UPPER(VLOOKUP(T338,Parameter!$I$27:$K$29,2,0)),IF(P338="","LOSE",P338)))</f>
        <v>S51</v>
      </c>
      <c r="BZ338" s="62" t="n">
        <f aca="false">IF(BY338="LOSE",1,IF(N(V338)&gt;0,V338,IF(CB338=1,MAX(1,N(VLOOKUP(T338,Parameter!$I$27:$K$29,3,0)),H338,N(N338)),IF(N(Q338)&gt;0,Q338,MAX(1,H338)))))</f>
        <v>15</v>
      </c>
      <c r="CA338" s="65" t="n">
        <f aca="false">IF(BY338="LOSE",1,0)</f>
        <v>0</v>
      </c>
      <c r="CB338" s="65" t="n">
        <f aca="false">IF(AND(U338="",OR(P338="",P338="LOSE"),T338&lt;&gt;"",N(S338)&lt;=0,ISNUMBER(MATCH(T338,Parameter!$I$27:$I$29,0))),1,0)</f>
        <v>0</v>
      </c>
      <c r="CC338" s="65" t="n">
        <f aca="false">IF(CR338&gt;0,INDEX(Parameter!$H$5:$H$7,W338)/INDEX(Parameter!$E$5:$E$7,W338),IF(AND(CA338=0,N(IFERROR(VLOOKUP(BY338,'Gebinde-Kategorie'!$A$5:$N$45,14,0),0))&gt;0),VLOOKUP(BY338,'Gebinde-Kategorie'!$A$5:$N$45,14,0)*10+Parameter!$M$23,Parameter!$M$24))</f>
        <v>155</v>
      </c>
      <c r="CD338" s="60" t="str">
        <f aca="false">IF(AND(Parameter!$B$19="Ja",E338&lt;&gt;"",ISNUMBER(MATCH(E338,Parameter!$I$35:$I$52,0))),VLOOKUP(E338,Parameter!$I$35:$J$52,2,0),IFERROR(VLOOKUP(D338,Parameter!$A$35:$C$64,2,0),"Nein"))</f>
        <v>2+3</v>
      </c>
      <c r="CE338" s="64" t="n">
        <f aca="false">IF(CA338=0,0,IF(N(S338)&gt;0,S338,IFERROR(VLOOKUP(D338,Parameter!$A$35:$C$64,3,0)+0,0)))</f>
        <v>0</v>
      </c>
      <c r="CF338" s="60" t="n">
        <f aca="false">IF(AB338&lt;&gt;"",AB338,AA338)</f>
        <v>3</v>
      </c>
      <c r="CG338" s="60" t="str">
        <f aca="false">IF(OR(CF338=1,CF338=2,CF338=3),IF(Parameter!$E$27="Ja","LIFT",IF(CF338=1,"L1","L23")),IF(CF338="Aussen","Aussen","-"))</f>
        <v>LIFT</v>
      </c>
      <c r="CH338" s="71" t="n">
        <f aca="false">IF(N(AC338)&gt;0,AC338,0)</f>
        <v>0</v>
      </c>
      <c r="CI338" s="65" t="n">
        <f aca="false">IF(ISNUMBER(AF338),1,0)</f>
        <v>0</v>
      </c>
      <c r="CJ338" s="62" t="n">
        <f aca="false">N(AF338)</f>
        <v>0</v>
      </c>
      <c r="CK338" s="62" t="n">
        <f aca="false">N(M338)+N(N338)</f>
        <v>1</v>
      </c>
      <c r="CL338" s="62" t="n">
        <f aca="false">N(M338)</f>
        <v>0</v>
      </c>
      <c r="CM338" s="62" t="n">
        <f aca="false">N(N338)</f>
        <v>1</v>
      </c>
      <c r="CN338" s="62" t="n">
        <f aca="false">ROUNDUP(H338/BZ338,0)</f>
        <v>3</v>
      </c>
      <c r="CO338" s="62" t="n">
        <f aca="false">ROUNDUP(CJ338/BZ338,0)</f>
        <v>0</v>
      </c>
      <c r="CP338" s="65" t="n">
        <f aca="false">IF(CA338=1,0,IFERROR(VLOOKUP(BY338,'Gebinde-Kategorie'!$A$5:$N$45,5,0)+0,0))</f>
        <v>11</v>
      </c>
      <c r="CQ338" s="65" t="n">
        <f aca="false">IFERROR(IF(OR(CF338=1,CF338=2,CF338=3),N(INDEX(Parameter!$I$5:$I$7,CF338)),0),0)</f>
        <v>0</v>
      </c>
      <c r="CR338" s="64" t="n">
        <f aca="false">IF(AND(Parameter!$B$21="Ja",ISNUMBER(W338),N(X338)&gt;0),IFERROR(N(INDEX(Parameter!$L$5:$L$7,W338))*INDEX(Parameter!$E$5:$E$7,W338)*X338/SUMIFS($X$7:$X$1843,$W$7:$W$1843,W338),0),0)</f>
        <v>0</v>
      </c>
      <c r="CS338" s="62" t="n">
        <f aca="false">IF(AND(OR(CG338="L1",CG338="L23",CG338="LIFT"),H338&gt;0),CC338*IF(CR338&gt;0,CR338*MAX(1,H338/X338),IF(CA338=1,CE338,IF(R338&gt;0,CN338/R338,0))/MAX(0.1,N(Parameter!$M$21))),"")</f>
        <v>17.8846153846154</v>
      </c>
      <c r="CT338" s="64" t="n">
        <f aca="false">IF(CS338="","",J338/H338)</f>
        <v>0</v>
      </c>
      <c r="CU338" s="62" t="n">
        <f aca="false">IF(CS338="","",H338*G338)</f>
        <v>269.72</v>
      </c>
      <c r="CV338" s="63" t="n">
        <f aca="false">IF(CS338="","",(CL338+ROUNDUP(CL338+MAX(CM338,2*(J338/MAX(0.1,N(Einkauf!$C$6))-CL338)),0))/2)</f>
        <v>0.5</v>
      </c>
      <c r="CW338" s="62" t="n">
        <f aca="false">IF(CS338="","",MAX(0,H338-CV338)*G338)</f>
        <v>266.655</v>
      </c>
      <c r="CX338" s="62" t="n">
        <f aca="false">IF(CS338="","",CS338*MAX(0,1-CV338/H338))</f>
        <v>17.6813811188811</v>
      </c>
      <c r="CY338" s="64" t="n">
        <f aca="false">IF(CS338="","",PERCENTRANK($CS$7:$CS$1843,CS338)+PERCENTRANK($CU$7:$CU$1843,CU338)+1-PERCENTRANK($CT$7:$CT$1843,CT338))</f>
        <v>2.149</v>
      </c>
      <c r="CZ338" s="72" t="n">
        <f aca="false">IF(CS338="","",CHOOSE(MATCH(Einkauf!$C$5,Parameter!$G$23:$G$27,0),CY338,CS338,CU338,-CT338,CW338)+ROW()/1000000000)</f>
        <v>2.149000338</v>
      </c>
    </row>
    <row r="339" customFormat="false" ht="15" hidden="false" customHeight="false" outlineLevel="0" collapsed="false">
      <c r="A339" s="60" t="s">
        <v>878</v>
      </c>
      <c r="B339" s="60" t="s">
        <v>730</v>
      </c>
      <c r="C339" s="60" t="s">
        <v>206</v>
      </c>
      <c r="D339" s="60" t="s">
        <v>226</v>
      </c>
      <c r="E339" s="60" t="s">
        <v>227</v>
      </c>
      <c r="F339" s="60" t="s">
        <v>260</v>
      </c>
      <c r="G339" s="61" t="n">
        <v>21.28</v>
      </c>
      <c r="H339" s="62" t="n">
        <f aca="false">MAX(0,IF(AND(Parameter!$B$21="Ja",ISNUMBER(Y339)),Y339,IF(Parameter!$B$20="Jahresanfang 2025 + Export",BS339+BR339,BR339)))</f>
        <v>22</v>
      </c>
      <c r="I339" s="62" t="n">
        <f aca="false">H339*G339</f>
        <v>468.16</v>
      </c>
      <c r="J339" s="62" t="n">
        <f aca="false">BU339*Parameter!$B$18</f>
        <v>26</v>
      </c>
      <c r="K339" s="63" t="n">
        <v>13</v>
      </c>
      <c r="L339" s="64" t="n">
        <v>2</v>
      </c>
      <c r="M339" s="62" t="n">
        <v>2</v>
      </c>
      <c r="N339" s="62" t="n">
        <v>25</v>
      </c>
      <c r="O339" s="65" t="n">
        <v>35</v>
      </c>
      <c r="P339" s="60" t="s">
        <v>275</v>
      </c>
      <c r="Q339" s="62" t="n">
        <v>17</v>
      </c>
      <c r="R339" s="65" t="n">
        <f aca="false">IF(CA339=1,0,IFERROR(VLOOKUP(BY339,'Gebinde-Kategorie'!$A$5:$N$45,13,0)+0,0))</f>
        <v>26</v>
      </c>
      <c r="S339" s="66"/>
      <c r="T339" s="67"/>
      <c r="U339" s="67"/>
      <c r="V339" s="67"/>
      <c r="W339" s="60"/>
      <c r="X339" s="62"/>
      <c r="Y339" s="62"/>
      <c r="Z339" s="60" t="n">
        <v>3</v>
      </c>
      <c r="AA339" s="60" t="n">
        <f aca="false">IF(A339="","",IF(AND(Parameter!$B$21="Ja",ISNUMBER(W339)),W339,IF(AND(Parameter!$E$27="Ja",ISNUMBER(Z339),CD339&lt;&gt;"Nein"),Z339,IF(CD339="2+3",IF(ISNUMBER(SEARCH("grosser Artikel",BV339)),2,IFERROR(VLOOKUP(BY339,Parameter!$F$35:$G$64,2,0),2)),IF(OR(CD339="Nein",CD339=""),"-",CD339)))))</f>
        <v>3</v>
      </c>
      <c r="AB339" s="67"/>
      <c r="AC339" s="68"/>
      <c r="AD339" s="62" t="n">
        <f aca="false">AW339</f>
        <v>27</v>
      </c>
      <c r="AE339" s="62" t="n">
        <f aca="false">MAX(AW339,H339)</f>
        <v>27</v>
      </c>
      <c r="AF339" s="69"/>
      <c r="AG339" s="62" t="n">
        <f aca="false">IF(LEFT(Cockpit!$C$5,1)="A",H339,IF(Parameter!$E$30="MAX-Bestand",IF(CI339=1,CJ339,IF(LEFT(Cockpit!$C$5,1)="B",AM339,MAX(AM339,H339))),ROUNDUP(AK339,0)))</f>
        <v>22</v>
      </c>
      <c r="AH339" s="62" t="n">
        <f aca="false">IF(CA339=1,0,ROUNDUP(AG339/BZ339,0))</f>
        <v>2</v>
      </c>
      <c r="AI339" s="64" t="n">
        <f aca="false">IF(CR339&gt;0,CR339*MAX(1,AG339/X339),IF(CA339=1,IF(AG339&lt;=0,0,CE339*MAX(1,IF(H339&gt;0,AG339/H339,1))),IF(R339&gt;0,AH339/R339,0))/MAX(0.1,N(Parameter!$M$21)))</f>
        <v>0.0769230769230769</v>
      </c>
      <c r="AJ339" s="62" t="n">
        <f aca="false">AI339*CC339</f>
        <v>18.8461538461538</v>
      </c>
      <c r="AK339" s="63" t="n">
        <f aca="false">IF(LEFT(Cockpit!$C$5,1)="A",H339,IF(CI339=1,(CL339+CJ339)/2,IF(LEFT(Cockpit!$C$5,1)="B",(CL339+AM339)/2,MAX((CL339+AM339)/2,H339))))</f>
        <v>22</v>
      </c>
      <c r="AL339" s="62" t="n">
        <f aca="false">AK339*G339</f>
        <v>468.16</v>
      </c>
      <c r="AM339" s="62" t="n">
        <f aca="false">ROUNDUP(CL339+MAX(CM339,2*(J339/IF(CH339&gt;0,CH339,MAX(0.1,N(Cockpit!$C$6)))-CL339)),0)</f>
        <v>27</v>
      </c>
      <c r="AN339" s="63" t="n">
        <f aca="false">IF(AJ339&gt;0,J339/AJ339,-1)</f>
        <v>1.37959183673469</v>
      </c>
      <c r="AO339" s="63" t="n">
        <f aca="false">IF(AND(OR(CG339="L1",CG339="L23",CG339="LIFT"),AJ339&gt;0),SUMIFS($AJ$7:$AJ$1843,$CG$7:$CG$1843,CG339,$AN$7:$AN$1843,"&gt;"&amp;AN339)+SUMIFS($AJ$7:$AJ$1843,$CG$7:$CG$1843,CG339,$AN$7:$AN$1843,AN339,$BX$7:$BX$1843,"&lt;="&amp;BX339),"")</f>
        <v>6309.80173992674</v>
      </c>
      <c r="AP339" s="70" t="n">
        <f aca="false">IF(AO339="",0,MAX(0,MIN(1,(IF(CG339="L1",Parameter!$H$5,IF(CG339="L23",Parameter!$H$6+Parameter!$H$7,Parameter!$H$5+Parameter!$H$6+Parameter!$H$7))-(AO339-AJ339))/AJ339)))</f>
        <v>1</v>
      </c>
      <c r="AQ339" s="62" t="n">
        <f aca="false">IF(LEFT(Cockpit!$I$5,1)="A",H339,IF(Parameter!$E$30="MAX-Bestand",IF(CI339=1,CJ339,IF(LEFT(Cockpit!$I$5,1)="B",AW339,MAX(AW339,H339))),ROUNDUP(AU339,0)))</f>
        <v>22</v>
      </c>
      <c r="AR339" s="62" t="n">
        <f aca="false">IF(CA339=1,0,ROUNDUP(AQ339/BZ339,0))</f>
        <v>2</v>
      </c>
      <c r="AS339" s="64" t="n">
        <f aca="false">IF(CR339&gt;0,CR339*MAX(1,AQ339/X339),IF(CA339=1,IF(AQ339&lt;=0,0,CE339*MAX(1,IF(H339&gt;0,AQ339/H339,1))),IF(R339&gt;0,AR339/R339,0))/MAX(0.1,N(Parameter!$M$21)))</f>
        <v>0.0769230769230769</v>
      </c>
      <c r="AT339" s="62" t="n">
        <f aca="false">AS339*CC339</f>
        <v>18.8461538461538</v>
      </c>
      <c r="AU339" s="63" t="n">
        <f aca="false">IF(LEFT(Cockpit!$I$5,1)="A",H339,IF(CI339=1,(CL339+CJ339)/2,IF(LEFT(Cockpit!$I$5,1)="B",(CL339+AW339)/2,MAX((CL339+AW339)/2,H339))))</f>
        <v>22</v>
      </c>
      <c r="AV339" s="62" t="n">
        <f aca="false">AU339*G339</f>
        <v>468.16</v>
      </c>
      <c r="AW339" s="62" t="n">
        <f aca="false">ROUNDUP(CL339+MAX(CM339,2*(J339/IF(CH339&gt;0,CH339,MAX(0.1,N(Cockpit!$I$6)))-CL339)),0)</f>
        <v>27</v>
      </c>
      <c r="AX339" s="63" t="n">
        <f aca="false">IF(AT339&gt;0,J339/AT339,-1)</f>
        <v>1.37959183673469</v>
      </c>
      <c r="AY339" s="63" t="n">
        <f aca="false">IF(AND(OR(CG339="L1",CG339="L23",CG339="LIFT"),AT339&gt;0),SUMIFS($AT$7:$AT$1843,$CG$7:$CG$1843,CG339,$AX$7:$AX$1843,"&gt;"&amp;AX339)+SUMIFS($AT$7:$AT$1843,$CG$7:$CG$1843,CG339,$AX$7:$AX$1843,AX339,$BX$7:$BX$1843,"&lt;="&amp;BX339),"")</f>
        <v>7828.02380952381</v>
      </c>
      <c r="AZ339" s="70" t="n">
        <f aca="false">IF(AY339="",0,MAX(0,MIN(1,(IF(CG339="L1",Parameter!$H$5,IF(CG339="L23",Parameter!$H$6+Parameter!$H$7,Parameter!$H$5+Parameter!$H$6+Parameter!$H$7))-(AY339-AT339))/AT339)))</f>
        <v>1</v>
      </c>
      <c r="BA339" s="62" t="n">
        <f aca="false">IF(LEFT(Cockpit!$O$5,1)="A",H339,IF(Parameter!$E$30="MAX-Bestand",IF(CI339=1,CJ339,IF(LEFT(Cockpit!$O$5,1)="B",BG339,MAX(BG339,H339))),ROUNDUP(BE339,0)))</f>
        <v>15</v>
      </c>
      <c r="BB339" s="62" t="n">
        <f aca="false">IF(CA339=1,0,ROUNDUP(BA339/BZ339,0))</f>
        <v>1</v>
      </c>
      <c r="BC339" s="64" t="n">
        <f aca="false">IF(CR339&gt;0,CR339*MAX(1,BA339/X339),IF(CA339=1,IF(BA339&lt;=0,0,CE339*MAX(1,IF(H339&gt;0,BA339/H339,1))),IF(R339&gt;0,BB339/R339,0))/MAX(0.1,N(Parameter!$M$21)))</f>
        <v>0.0384615384615385</v>
      </c>
      <c r="BD339" s="62" t="n">
        <f aca="false">BC339*CC339</f>
        <v>9.42307692307692</v>
      </c>
      <c r="BE339" s="63" t="n">
        <f aca="false">IF(LEFT(Cockpit!$O$5,1)="A",H339,IF(CI339=1,(CL339+CJ339)/2,IF(LEFT(Cockpit!$O$5,1)="B",(CL339+BG339)/2,MAX((CL339+BG339)/2,H339))))</f>
        <v>14.5</v>
      </c>
      <c r="BF339" s="62" t="n">
        <f aca="false">BE339*G339</f>
        <v>308.56</v>
      </c>
      <c r="BG339" s="62" t="n">
        <f aca="false">ROUNDUP(CL339+MAX(CM339,2*(J339/IF(CH339&gt;0,CH339,MAX(0.1,N(Cockpit!$O$6)))-CL339)),0)</f>
        <v>27</v>
      </c>
      <c r="BH339" s="63" t="n">
        <f aca="false">IF(BD339&gt;0,J339/BD339,-1)</f>
        <v>2.75918367346939</v>
      </c>
      <c r="BI339" s="63" t="n">
        <f aca="false">IF(AND(OR(CG339="L1",CG339="L23",CG339="LIFT"),BD339&gt;0),SUMIFS($BD$7:$BD$1843,$CG$7:$CG$1843,CG339,$BH$7:$BH$1843,"&gt;"&amp;BH339)+SUMIFS($BD$7:$BD$1843,$CG$7:$CG$1843,CG339,$BH$7:$BH$1843,BH339,$BX$7:$BX$1843,"&lt;="&amp;BX339),"")</f>
        <v>4956.83836996337</v>
      </c>
      <c r="BJ339" s="70" t="n">
        <f aca="false">IF(BI339="",0,MAX(0,MIN(1,(IF(CG339="L1",Parameter!$H$5,IF(CG339="L23",Parameter!$H$6+Parameter!$H$7,Parameter!$H$5+Parameter!$H$6+Parameter!$H$7))-(BI339-BD339))/BD339)))</f>
        <v>1</v>
      </c>
      <c r="BK339" s="60" t="str">
        <f aca="false">IF(AJ339&lt;=0,"",IF(CG339="Aussen","Aussenlager",IF(CG339="-","Nicht im Lift",IF(AP339&gt;=1,"Lift",IF(AP339&lt;=0,"Aussenlager","teilweise")))))</f>
        <v>Lift</v>
      </c>
      <c r="BL339" s="60" t="str">
        <f aca="false">IF(AT339&lt;=0,"",IF(CG339="Aussen","Aussenlager",IF(CG339="-","Nicht im Lift",IF(AZ339&gt;=1,"Lift",IF(AZ339&lt;=0,"Aussenlager","teilweise")))))</f>
        <v>Lift</v>
      </c>
      <c r="BM339" s="60" t="str">
        <f aca="false">IF(BD339&lt;=0,"",IF(CG339="Aussen","Aussenlager",IF(CG339="-","Nicht im Lift",IF(BJ339&gt;=1,"Lift",IF(BJ339&lt;=0,"Aussenlager","teilweise")))))</f>
        <v>Lift</v>
      </c>
      <c r="BN339" s="60" t="str">
        <f aca="false">IF(A339="","",IF(BW339=1,"Neu; ","")&amp;IF(AND(BW339=0,BR339&lt;0),"negativer Bestand (Export "&amp;BR339&amp;"); ","")&amp;IF(J339&lt;=0,"Kein Verbrauch; ","")&amp;IF(CR339&gt;0,"Lift "&amp;W339&amp;" lt. Liftbericht (Fach "&amp;X339&amp;" Stk); ",IF(CB339=1,"Gebinde geschätzt ("&amp;T339&amp;"); ",IF(CA339=1,"Lose – Tablare geschätzt; ","")))&amp;IF(H339&gt;AW339,"Überbestand "&amp;ROUND(H339-AW339,0)&amp;" Stk / CHF "&amp;ROUND((H339-AW339)*G339,0)&amp;"; ","")&amp;IF(AND(CI339=1,CJ339&lt;CK339),"MAX &lt; MB+LG; ","")&amp;IF(AND(CQ339&gt;0,CP339*10&gt;CQ339),"zu hoch für Tablar; ","")&amp;IF(AND(BW339=0,OR(CI339=1,AB339&lt;&gt;"",U339&lt;&gt;"",V339&lt;&gt;"",AC339&lt;&gt;"")),"manuell übersteuert; ","")&amp;IF(AND(CA339=0,R339=0),"Gebinde unbekannt / Stellmass fehlt; ","")&amp;IF(AND(CA339=0,N(V339)&lt;=0,N(Q339)&lt;=0),"Menge pro Gebinde fehlt (Ist = 1 Gebinde); ","")&amp;BV339)</f>
        <v/>
      </c>
      <c r="BO339" s="60"/>
      <c r="BP339" s="60"/>
      <c r="BQ339" s="67"/>
      <c r="BR339" s="62" t="n">
        <v>11</v>
      </c>
      <c r="BS339" s="62" t="n">
        <v>11</v>
      </c>
      <c r="BT339" s="61" t="n">
        <v>202.73</v>
      </c>
      <c r="BU339" s="62" t="n">
        <v>26</v>
      </c>
      <c r="BV339" s="60"/>
      <c r="BW339" s="65" t="n">
        <v>0</v>
      </c>
      <c r="BX339" s="65" t="n">
        <v>339</v>
      </c>
      <c r="BY339" s="60" t="str">
        <f aca="false">IF(U339&lt;&gt;"",UPPER(TRIM(U339)),IF(CB339=1,UPPER(VLOOKUP(T339,Parameter!$I$27:$K$29,2,0)),IF(P339="","LOSE",P339)))</f>
        <v>S52</v>
      </c>
      <c r="BZ339" s="62" t="n">
        <f aca="false">IF(BY339="LOSE",1,IF(N(V339)&gt;0,V339,IF(CB339=1,MAX(1,N(VLOOKUP(T339,Parameter!$I$27:$K$29,3,0)),H339,N(N339)),IF(N(Q339)&gt;0,Q339,MAX(1,H339)))))</f>
        <v>17</v>
      </c>
      <c r="CA339" s="65" t="n">
        <f aca="false">IF(BY339="LOSE",1,0)</f>
        <v>0</v>
      </c>
      <c r="CB339" s="65" t="n">
        <f aca="false">IF(AND(U339="",OR(P339="",P339="LOSE"),T339&lt;&gt;"",N(S339)&lt;=0,ISNUMBER(MATCH(T339,Parameter!$I$27:$I$29,0))),1,0)</f>
        <v>0</v>
      </c>
      <c r="CC339" s="65" t="n">
        <f aca="false">IF(CR339&gt;0,INDEX(Parameter!$H$5:$H$7,W339)/INDEX(Parameter!$E$5:$E$7,W339),IF(AND(CA339=0,N(IFERROR(VLOOKUP(BY339,'Gebinde-Kategorie'!$A$5:$N$45,14,0),0))&gt;0),VLOOKUP(BY339,'Gebinde-Kategorie'!$A$5:$N$45,14,0)*10+Parameter!$M$23,Parameter!$M$24))</f>
        <v>245</v>
      </c>
      <c r="CD339" s="60" t="str">
        <f aca="false">IF(AND(Parameter!$B$19="Ja",E339&lt;&gt;"",ISNUMBER(MATCH(E339,Parameter!$I$35:$I$52,0))),VLOOKUP(E339,Parameter!$I$35:$J$52,2,0),IFERROR(VLOOKUP(D339,Parameter!$A$35:$C$64,2,0),"Nein"))</f>
        <v>2+3</v>
      </c>
      <c r="CE339" s="64" t="n">
        <f aca="false">IF(CA339=0,0,IF(N(S339)&gt;0,S339,IFERROR(VLOOKUP(D339,Parameter!$A$35:$C$64,3,0)+0,0)))</f>
        <v>0</v>
      </c>
      <c r="CF339" s="60" t="n">
        <f aca="false">IF(AB339&lt;&gt;"",AB339,AA339)</f>
        <v>3</v>
      </c>
      <c r="CG339" s="60" t="str">
        <f aca="false">IF(OR(CF339=1,CF339=2,CF339=3),IF(Parameter!$E$27="Ja","LIFT",IF(CF339=1,"L1","L23")),IF(CF339="Aussen","Aussen","-"))</f>
        <v>LIFT</v>
      </c>
      <c r="CH339" s="71" t="n">
        <f aca="false">IF(N(AC339)&gt;0,AC339,0)</f>
        <v>0</v>
      </c>
      <c r="CI339" s="65" t="n">
        <f aca="false">IF(ISNUMBER(AF339),1,0)</f>
        <v>0</v>
      </c>
      <c r="CJ339" s="62" t="n">
        <f aca="false">N(AF339)</f>
        <v>0</v>
      </c>
      <c r="CK339" s="62" t="n">
        <f aca="false">N(M339)+N(N339)</f>
        <v>27</v>
      </c>
      <c r="CL339" s="62" t="n">
        <f aca="false">N(M339)</f>
        <v>2</v>
      </c>
      <c r="CM339" s="62" t="n">
        <f aca="false">N(N339)</f>
        <v>25</v>
      </c>
      <c r="CN339" s="62" t="n">
        <f aca="false">ROUNDUP(H339/BZ339,0)</f>
        <v>2</v>
      </c>
      <c r="CO339" s="62" t="n">
        <f aca="false">ROUNDUP(CJ339/BZ339,0)</f>
        <v>0</v>
      </c>
      <c r="CP339" s="65" t="n">
        <f aca="false">IF(CA339=1,0,IFERROR(VLOOKUP(BY339,'Gebinde-Kategorie'!$A$5:$N$45,5,0)+0,0))</f>
        <v>21</v>
      </c>
      <c r="CQ339" s="65" t="n">
        <f aca="false">IFERROR(IF(OR(CF339=1,CF339=2,CF339=3),N(INDEX(Parameter!$I$5:$I$7,CF339)),0),0)</f>
        <v>0</v>
      </c>
      <c r="CR339" s="64" t="n">
        <f aca="false">IF(AND(Parameter!$B$21="Ja",ISNUMBER(W339),N(X339)&gt;0),IFERROR(N(INDEX(Parameter!$L$5:$L$7,W339))*INDEX(Parameter!$E$5:$E$7,W339)*X339/SUMIFS($X$7:$X$1843,$W$7:$W$1843,W339),0),0)</f>
        <v>0</v>
      </c>
      <c r="CS339" s="62" t="n">
        <f aca="false">IF(AND(OR(CG339="L1",CG339="L23",CG339="LIFT"),H339&gt;0),CC339*IF(CR339&gt;0,CR339*MAX(1,H339/X339),IF(CA339=1,CE339,IF(R339&gt;0,CN339/R339,0))/MAX(0.1,N(Parameter!$M$21))),"")</f>
        <v>18.8461538461538</v>
      </c>
      <c r="CT339" s="64" t="n">
        <f aca="false">IF(CS339="","",J339/H339)</f>
        <v>1.18181818181818</v>
      </c>
      <c r="CU339" s="62" t="n">
        <f aca="false">IF(CS339="","",H339*G339)</f>
        <v>468.16</v>
      </c>
      <c r="CV339" s="63" t="n">
        <f aca="false">IF(CS339="","",(CL339+ROUNDUP(CL339+MAX(CM339,2*(J339/MAX(0.1,N(Einkauf!$C$6))-CL339)),0))/2)</f>
        <v>14.5</v>
      </c>
      <c r="CW339" s="62" t="n">
        <f aca="false">IF(CS339="","",MAX(0,H339-CV339)*G339)</f>
        <v>159.6</v>
      </c>
      <c r="CX339" s="62" t="n">
        <f aca="false">IF(CS339="","",CS339*MAX(0,1-CV339/H339))</f>
        <v>6.42482517482518</v>
      </c>
      <c r="CY339" s="64" t="n">
        <f aca="false">IF(CS339="","",PERCENTRANK($CS$7:$CS$1843,CS339)+PERCENTRANK($CU$7:$CU$1843,CU339)+1-PERCENTRANK($CT$7:$CT$1843,CT339))</f>
        <v>1.554</v>
      </c>
      <c r="CZ339" s="72" t="n">
        <f aca="false">IF(CS339="","",CHOOSE(MATCH(Einkauf!$C$5,Parameter!$G$23:$G$27,0),CY339,CS339,CU339,-CT339,CW339)+ROW()/1000000000)</f>
        <v>1.554000339</v>
      </c>
    </row>
    <row r="340" customFormat="false" ht="15" hidden="false" customHeight="false" outlineLevel="0" collapsed="false">
      <c r="A340" s="60" t="s">
        <v>879</v>
      </c>
      <c r="B340" s="60" t="s">
        <v>510</v>
      </c>
      <c r="C340" s="60" t="s">
        <v>206</v>
      </c>
      <c r="D340" s="60" t="s">
        <v>226</v>
      </c>
      <c r="E340" s="60" t="s">
        <v>227</v>
      </c>
      <c r="F340" s="60" t="s">
        <v>260</v>
      </c>
      <c r="G340" s="61" t="n">
        <v>1.22</v>
      </c>
      <c r="H340" s="62" t="n">
        <f aca="false">MAX(0,IF(AND(Parameter!$B$21="Ja",ISNUMBER(Y340)),Y340,IF(Parameter!$B$20="Jahresanfang 2025 + Export",BS340+BR340,BR340)))</f>
        <v>282</v>
      </c>
      <c r="I340" s="62" t="n">
        <f aca="false">H340*G340</f>
        <v>344.04</v>
      </c>
      <c r="J340" s="62" t="n">
        <f aca="false">BU340*Parameter!$B$18</f>
        <v>142</v>
      </c>
      <c r="K340" s="63" t="n">
        <v>92</v>
      </c>
      <c r="L340" s="64" t="n">
        <v>1.54347826086957</v>
      </c>
      <c r="M340" s="62" t="n">
        <v>5</v>
      </c>
      <c r="N340" s="62" t="n">
        <v>140</v>
      </c>
      <c r="O340" s="65" t="n">
        <v>14</v>
      </c>
      <c r="P340" s="60" t="s">
        <v>344</v>
      </c>
      <c r="Q340" s="62" t="n">
        <v>264</v>
      </c>
      <c r="R340" s="65" t="n">
        <f aca="false">IF(CA340=1,0,IFERROR(VLOOKUP(BY340,'Gebinde-Kategorie'!$A$5:$N$45,13,0)+0,0))</f>
        <v>26</v>
      </c>
      <c r="S340" s="66"/>
      <c r="T340" s="67"/>
      <c r="U340" s="67"/>
      <c r="V340" s="67"/>
      <c r="W340" s="60"/>
      <c r="X340" s="62"/>
      <c r="Y340" s="62"/>
      <c r="Z340" s="60" t="n">
        <v>3</v>
      </c>
      <c r="AA340" s="60" t="n">
        <f aca="false">IF(A340="","",IF(AND(Parameter!$B$21="Ja",ISNUMBER(W340)),W340,IF(AND(Parameter!$E$27="Ja",ISNUMBER(Z340),CD340&lt;&gt;"Nein"),Z340,IF(CD340="2+3",IF(ISNUMBER(SEARCH("grosser Artikel",BV340)),2,IFERROR(VLOOKUP(BY340,Parameter!$F$35:$G$64,2,0),2)),IF(OR(CD340="Nein",CD340=""),"-",CD340)))))</f>
        <v>3</v>
      </c>
      <c r="AB340" s="67"/>
      <c r="AC340" s="68"/>
      <c r="AD340" s="62" t="n">
        <f aca="false">AW340</f>
        <v>145</v>
      </c>
      <c r="AE340" s="62" t="n">
        <f aca="false">MAX(AW340,H340)</f>
        <v>282</v>
      </c>
      <c r="AF340" s="69"/>
      <c r="AG340" s="62" t="n">
        <f aca="false">IF(LEFT(Cockpit!$C$5,1)="A",H340,IF(Parameter!$E$30="MAX-Bestand",IF(CI340=1,CJ340,IF(LEFT(Cockpit!$C$5,1)="B",AM340,MAX(AM340,H340))),ROUNDUP(AK340,0)))</f>
        <v>282</v>
      </c>
      <c r="AH340" s="62" t="n">
        <f aca="false">IF(CA340=1,0,ROUNDUP(AG340/BZ340,0))</f>
        <v>2</v>
      </c>
      <c r="AI340" s="64" t="n">
        <f aca="false">IF(CR340&gt;0,CR340*MAX(1,AG340/X340),IF(CA340=1,IF(AG340&lt;=0,0,CE340*MAX(1,IF(H340&gt;0,AG340/H340,1))),IF(R340&gt;0,AH340/R340,0))/MAX(0.1,N(Parameter!$M$21)))</f>
        <v>0.0769230769230769</v>
      </c>
      <c r="AJ340" s="62" t="n">
        <f aca="false">AI340*CC340</f>
        <v>11.9230769230769</v>
      </c>
      <c r="AK340" s="63" t="n">
        <f aca="false">IF(LEFT(Cockpit!$C$5,1)="A",H340,IF(CI340=1,(CL340+CJ340)/2,IF(LEFT(Cockpit!$C$5,1)="B",(CL340+AM340)/2,MAX((CL340+AM340)/2,H340))))</f>
        <v>282</v>
      </c>
      <c r="AL340" s="62" t="n">
        <f aca="false">AK340*G340</f>
        <v>344.04</v>
      </c>
      <c r="AM340" s="62" t="n">
        <f aca="false">ROUNDUP(CL340+MAX(CM340,2*(J340/IF(CH340&gt;0,CH340,MAX(0.1,N(Cockpit!$C$6)))-CL340)),0)</f>
        <v>145</v>
      </c>
      <c r="AN340" s="63" t="n">
        <f aca="false">IF(AJ340&gt;0,J340/AJ340,-1)</f>
        <v>11.9096774193548</v>
      </c>
      <c r="AO340" s="63" t="n">
        <f aca="false">IF(AND(OR(CG340="L1",CG340="L23",CG340="LIFT"),AJ340&gt;0),SUMIFS($AJ$7:$AJ$1843,$CG$7:$CG$1843,CG340,$AN$7:$AN$1843,"&gt;"&amp;AN340)+SUMIFS($AJ$7:$AJ$1843,$CG$7:$CG$1843,CG340,$AN$7:$AN$1843,AN340,$BX$7:$BX$1843,"&lt;="&amp;BX340),"")</f>
        <v>2525.46428571429</v>
      </c>
      <c r="AP340" s="70" t="n">
        <f aca="false">IF(AO340="",0,MAX(0,MIN(1,(IF(CG340="L1",Parameter!$H$5,IF(CG340="L23",Parameter!$H$6+Parameter!$H$7,Parameter!$H$5+Parameter!$H$6+Parameter!$H$7))-(AO340-AJ340))/AJ340)))</f>
        <v>1</v>
      </c>
      <c r="AQ340" s="62" t="n">
        <f aca="false">IF(LEFT(Cockpit!$I$5,1)="A",H340,IF(Parameter!$E$30="MAX-Bestand",IF(CI340=1,CJ340,IF(LEFT(Cockpit!$I$5,1)="B",AW340,MAX(AW340,H340))),ROUNDUP(AU340,0)))</f>
        <v>282</v>
      </c>
      <c r="AR340" s="62" t="n">
        <f aca="false">IF(CA340=1,0,ROUNDUP(AQ340/BZ340,0))</f>
        <v>2</v>
      </c>
      <c r="AS340" s="64" t="n">
        <f aca="false">IF(CR340&gt;0,CR340*MAX(1,AQ340/X340),IF(CA340=1,IF(AQ340&lt;=0,0,CE340*MAX(1,IF(H340&gt;0,AQ340/H340,1))),IF(R340&gt;0,AR340/R340,0))/MAX(0.1,N(Parameter!$M$21)))</f>
        <v>0.0769230769230769</v>
      </c>
      <c r="AT340" s="62" t="n">
        <f aca="false">AS340*CC340</f>
        <v>11.9230769230769</v>
      </c>
      <c r="AU340" s="63" t="n">
        <f aca="false">IF(LEFT(Cockpit!$I$5,1)="A",H340,IF(CI340=1,(CL340+CJ340)/2,IF(LEFT(Cockpit!$I$5,1)="B",(CL340+AW340)/2,MAX((CL340+AW340)/2,H340))))</f>
        <v>282</v>
      </c>
      <c r="AV340" s="62" t="n">
        <f aca="false">AU340*G340</f>
        <v>344.04</v>
      </c>
      <c r="AW340" s="62" t="n">
        <f aca="false">ROUNDUP(CL340+MAX(CM340,2*(J340/IF(CH340&gt;0,CH340,MAX(0.1,N(Cockpit!$I$6)))-CL340)),0)</f>
        <v>145</v>
      </c>
      <c r="AX340" s="63" t="n">
        <f aca="false">IF(AT340&gt;0,J340/AT340,-1)</f>
        <v>11.9096774193548</v>
      </c>
      <c r="AY340" s="63" t="n">
        <f aca="false">IF(AND(OR(CG340="L1",CG340="L23",CG340="LIFT"),AT340&gt;0),SUMIFS($AT$7:$AT$1843,$CG$7:$CG$1843,CG340,$AX$7:$AX$1843,"&gt;"&amp;AX340)+SUMIFS($AT$7:$AT$1843,$CG$7:$CG$1843,CG340,$AX$7:$AX$1843,AX340,$BX$7:$BX$1843,"&lt;="&amp;BX340),"")</f>
        <v>3102.76007326007</v>
      </c>
      <c r="AZ340" s="70" t="n">
        <f aca="false">IF(AY340="",0,MAX(0,MIN(1,(IF(CG340="L1",Parameter!$H$5,IF(CG340="L23",Parameter!$H$6+Parameter!$H$7,Parameter!$H$5+Parameter!$H$6+Parameter!$H$7))-(AY340-AT340))/AT340)))</f>
        <v>1</v>
      </c>
      <c r="BA340" s="62" t="n">
        <f aca="false">IF(LEFT(Cockpit!$O$5,1)="A",H340,IF(Parameter!$E$30="MAX-Bestand",IF(CI340=1,CJ340,IF(LEFT(Cockpit!$O$5,1)="B",BG340,MAX(BG340,H340))),ROUNDUP(BE340,0)))</f>
        <v>75</v>
      </c>
      <c r="BB340" s="62" t="n">
        <f aca="false">IF(CA340=1,0,ROUNDUP(BA340/BZ340,0))</f>
        <v>1</v>
      </c>
      <c r="BC340" s="64" t="n">
        <f aca="false">IF(CR340&gt;0,CR340*MAX(1,BA340/X340),IF(CA340=1,IF(BA340&lt;=0,0,CE340*MAX(1,IF(H340&gt;0,BA340/H340,1))),IF(R340&gt;0,BB340/R340,0))/MAX(0.1,N(Parameter!$M$21)))</f>
        <v>0.0384615384615385</v>
      </c>
      <c r="BD340" s="62" t="n">
        <f aca="false">BC340*CC340</f>
        <v>5.96153846153846</v>
      </c>
      <c r="BE340" s="63" t="n">
        <f aca="false">IF(LEFT(Cockpit!$O$5,1)="A",H340,IF(CI340=1,(CL340+CJ340)/2,IF(LEFT(Cockpit!$O$5,1)="B",(CL340+BG340)/2,MAX((CL340+BG340)/2,H340))))</f>
        <v>75</v>
      </c>
      <c r="BF340" s="62" t="n">
        <f aca="false">BE340*G340</f>
        <v>91.5</v>
      </c>
      <c r="BG340" s="62" t="n">
        <f aca="false">ROUNDUP(CL340+MAX(CM340,2*(J340/IF(CH340&gt;0,CH340,MAX(0.1,N(Cockpit!$O$6)))-CL340)),0)</f>
        <v>145</v>
      </c>
      <c r="BH340" s="63" t="n">
        <f aca="false">IF(BD340&gt;0,J340/BD340,-1)</f>
        <v>23.8193548387097</v>
      </c>
      <c r="BI340" s="63" t="n">
        <f aca="false">IF(AND(OR(CG340="L1",CG340="L23",CG340="LIFT"),BD340&gt;0),SUMIFS($BD$7:$BD$1843,$CG$7:$CG$1843,CG340,$BH$7:$BH$1843,"&gt;"&amp;BH340)+SUMIFS($BD$7:$BD$1843,$CG$7:$CG$1843,CG340,$BH$7:$BH$1843,BH340,$BX$7:$BX$1843,"&lt;="&amp;BX340),"")</f>
        <v>2109.25824175824</v>
      </c>
      <c r="BJ340" s="70" t="n">
        <f aca="false">IF(BI340="",0,MAX(0,MIN(1,(IF(CG340="L1",Parameter!$H$5,IF(CG340="L23",Parameter!$H$6+Parameter!$H$7,Parameter!$H$5+Parameter!$H$6+Parameter!$H$7))-(BI340-BD340))/BD340)))</f>
        <v>1</v>
      </c>
      <c r="BK340" s="60" t="str">
        <f aca="false">IF(AJ340&lt;=0,"",IF(CG340="Aussen","Aussenlager",IF(CG340="-","Nicht im Lift",IF(AP340&gt;=1,"Lift",IF(AP340&lt;=0,"Aussenlager","teilweise")))))</f>
        <v>Lift</v>
      </c>
      <c r="BL340" s="60" t="str">
        <f aca="false">IF(AT340&lt;=0,"",IF(CG340="Aussen","Aussenlager",IF(CG340="-","Nicht im Lift",IF(AZ340&gt;=1,"Lift",IF(AZ340&lt;=0,"Aussenlager","teilweise")))))</f>
        <v>Lift</v>
      </c>
      <c r="BM340" s="60" t="str">
        <f aca="false">IF(BD340&lt;=0,"",IF(CG340="Aussen","Aussenlager",IF(CG340="-","Nicht im Lift",IF(BJ340&gt;=1,"Lift",IF(BJ340&lt;=0,"Aussenlager","teilweise")))))</f>
        <v>Lift</v>
      </c>
      <c r="BN340" s="60" t="str">
        <f aca="false">IF(A340="","",IF(BW340=1,"Neu; ","")&amp;IF(AND(BW340=0,BR340&lt;0),"negativer Bestand (Export "&amp;BR340&amp;"); ","")&amp;IF(J340&lt;=0,"Kein Verbrauch; ","")&amp;IF(CR340&gt;0,"Lift "&amp;W340&amp;" lt. Liftbericht (Fach "&amp;X340&amp;" Stk); ",IF(CB340=1,"Gebinde geschätzt ("&amp;T340&amp;"); ",IF(CA340=1,"Lose – Tablare geschätzt; ","")))&amp;IF(H340&gt;AW340,"Überbestand "&amp;ROUND(H340-AW340,0)&amp;" Stk / CHF "&amp;ROUND((H340-AW340)*G340,0)&amp;"; ","")&amp;IF(AND(CI340=1,CJ340&lt;CK340),"MAX &lt; MB+LG; ","")&amp;IF(AND(CQ340&gt;0,CP340*10&gt;CQ340),"zu hoch für Tablar; ","")&amp;IF(AND(BW340=0,OR(CI340=1,AB340&lt;&gt;"",U340&lt;&gt;"",V340&lt;&gt;"",AC340&lt;&gt;"")),"manuell übersteuert; ","")&amp;IF(AND(CA340=0,R340=0),"Gebinde unbekannt / Stellmass fehlt; ","")&amp;IF(AND(CA340=0,N(V340)&lt;=0,N(Q340)&lt;=0),"Menge pro Gebinde fehlt (Ist = 1 Gebinde); ","")&amp;BV340)</f>
        <v>Überbestand 137 Stk / CHF 167; Überbestand</v>
      </c>
      <c r="BO340" s="60"/>
      <c r="BP340" s="60"/>
      <c r="BQ340" s="67"/>
      <c r="BR340" s="62" t="n">
        <v>174</v>
      </c>
      <c r="BS340" s="62" t="n">
        <v>108</v>
      </c>
      <c r="BT340" s="61" t="n">
        <v>201.17</v>
      </c>
      <c r="BU340" s="62" t="n">
        <v>142</v>
      </c>
      <c r="BV340" s="60" t="s">
        <v>434</v>
      </c>
      <c r="BW340" s="65" t="n">
        <v>0</v>
      </c>
      <c r="BX340" s="65" t="n">
        <v>340</v>
      </c>
      <c r="BY340" s="60" t="str">
        <f aca="false">IF(U340&lt;&gt;"",UPPER(TRIM(U340)),IF(CB340=1,UPPER(VLOOKUP(T340,Parameter!$I$27:$K$29,2,0)),IF(P340="","LOSE",P340)))</f>
        <v>S51</v>
      </c>
      <c r="BZ340" s="62" t="n">
        <f aca="false">IF(BY340="LOSE",1,IF(N(V340)&gt;0,V340,IF(CB340=1,MAX(1,N(VLOOKUP(T340,Parameter!$I$27:$K$29,3,0)),H340,N(N340)),IF(N(Q340)&gt;0,Q340,MAX(1,H340)))))</f>
        <v>264</v>
      </c>
      <c r="CA340" s="65" t="n">
        <f aca="false">IF(BY340="LOSE",1,0)</f>
        <v>0</v>
      </c>
      <c r="CB340" s="65" t="n">
        <f aca="false">IF(AND(U340="",OR(P340="",P340="LOSE"),T340&lt;&gt;"",N(S340)&lt;=0,ISNUMBER(MATCH(T340,Parameter!$I$27:$I$29,0))),1,0)</f>
        <v>0</v>
      </c>
      <c r="CC340" s="65" t="n">
        <f aca="false">IF(CR340&gt;0,INDEX(Parameter!$H$5:$H$7,W340)/INDEX(Parameter!$E$5:$E$7,W340),IF(AND(CA340=0,N(IFERROR(VLOOKUP(BY340,'Gebinde-Kategorie'!$A$5:$N$45,14,0),0))&gt;0),VLOOKUP(BY340,'Gebinde-Kategorie'!$A$5:$N$45,14,0)*10+Parameter!$M$23,Parameter!$M$24))</f>
        <v>155</v>
      </c>
      <c r="CD340" s="60" t="str">
        <f aca="false">IF(AND(Parameter!$B$19="Ja",E340&lt;&gt;"",ISNUMBER(MATCH(E340,Parameter!$I$35:$I$52,0))),VLOOKUP(E340,Parameter!$I$35:$J$52,2,0),IFERROR(VLOOKUP(D340,Parameter!$A$35:$C$64,2,0),"Nein"))</f>
        <v>2+3</v>
      </c>
      <c r="CE340" s="64" t="n">
        <f aca="false">IF(CA340=0,0,IF(N(S340)&gt;0,S340,IFERROR(VLOOKUP(D340,Parameter!$A$35:$C$64,3,0)+0,0)))</f>
        <v>0</v>
      </c>
      <c r="CF340" s="60" t="n">
        <f aca="false">IF(AB340&lt;&gt;"",AB340,AA340)</f>
        <v>3</v>
      </c>
      <c r="CG340" s="60" t="str">
        <f aca="false">IF(OR(CF340=1,CF340=2,CF340=3),IF(Parameter!$E$27="Ja","LIFT",IF(CF340=1,"L1","L23")),IF(CF340="Aussen","Aussen","-"))</f>
        <v>LIFT</v>
      </c>
      <c r="CH340" s="71" t="n">
        <f aca="false">IF(N(AC340)&gt;0,AC340,0)</f>
        <v>0</v>
      </c>
      <c r="CI340" s="65" t="n">
        <f aca="false">IF(ISNUMBER(AF340),1,0)</f>
        <v>0</v>
      </c>
      <c r="CJ340" s="62" t="n">
        <f aca="false">N(AF340)</f>
        <v>0</v>
      </c>
      <c r="CK340" s="62" t="n">
        <f aca="false">N(M340)+N(N340)</f>
        <v>145</v>
      </c>
      <c r="CL340" s="62" t="n">
        <f aca="false">N(M340)</f>
        <v>5</v>
      </c>
      <c r="CM340" s="62" t="n">
        <f aca="false">N(N340)</f>
        <v>140</v>
      </c>
      <c r="CN340" s="62" t="n">
        <f aca="false">ROUNDUP(H340/BZ340,0)</f>
        <v>2</v>
      </c>
      <c r="CO340" s="62" t="n">
        <f aca="false">ROUNDUP(CJ340/BZ340,0)</f>
        <v>0</v>
      </c>
      <c r="CP340" s="65" t="n">
        <f aca="false">IF(CA340=1,0,IFERROR(VLOOKUP(BY340,'Gebinde-Kategorie'!$A$5:$N$45,5,0)+0,0))</f>
        <v>11</v>
      </c>
      <c r="CQ340" s="65" t="n">
        <f aca="false">IFERROR(IF(OR(CF340=1,CF340=2,CF340=3),N(INDEX(Parameter!$I$5:$I$7,CF340)),0),0)</f>
        <v>0</v>
      </c>
      <c r="CR340" s="64" t="n">
        <f aca="false">IF(AND(Parameter!$B$21="Ja",ISNUMBER(W340),N(X340)&gt;0),IFERROR(N(INDEX(Parameter!$L$5:$L$7,W340))*INDEX(Parameter!$E$5:$E$7,W340)*X340/SUMIFS($X$7:$X$1843,$W$7:$W$1843,W340),0),0)</f>
        <v>0</v>
      </c>
      <c r="CS340" s="62" t="n">
        <f aca="false">IF(AND(OR(CG340="L1",CG340="L23",CG340="LIFT"),H340&gt;0),CC340*IF(CR340&gt;0,CR340*MAX(1,H340/X340),IF(CA340=1,CE340,IF(R340&gt;0,CN340/R340,0))/MAX(0.1,N(Parameter!$M$21))),"")</f>
        <v>11.9230769230769</v>
      </c>
      <c r="CT340" s="64" t="n">
        <f aca="false">IF(CS340="","",J340/H340)</f>
        <v>0.50354609929078</v>
      </c>
      <c r="CU340" s="62" t="n">
        <f aca="false">IF(CS340="","",H340*G340)</f>
        <v>344.04</v>
      </c>
      <c r="CV340" s="63" t="n">
        <f aca="false">IF(CS340="","",(CL340+ROUNDUP(CL340+MAX(CM340,2*(J340/MAX(0.1,N(Einkauf!$C$6))-CL340)),0))/2)</f>
        <v>75</v>
      </c>
      <c r="CW340" s="62" t="n">
        <f aca="false">IF(CS340="","",MAX(0,H340-CV340)*G340)</f>
        <v>252.54</v>
      </c>
      <c r="CX340" s="62" t="n">
        <f aca="false">IF(CS340="","",CS340*MAX(0,1-CV340/H340))</f>
        <v>8.75204582651391</v>
      </c>
      <c r="CY340" s="64" t="n">
        <f aca="false">IF(CS340="","",PERCENTRANK($CS$7:$CS$1843,CS340)+PERCENTRANK($CU$7:$CU$1843,CU340)+1-PERCENTRANK($CT$7:$CT$1843,CT340))</f>
        <v>1.526</v>
      </c>
      <c r="CZ340" s="72" t="n">
        <f aca="false">IF(CS340="","",CHOOSE(MATCH(Einkauf!$C$5,Parameter!$G$23:$G$27,0),CY340,CS340,CU340,-CT340,CW340)+ROW()/1000000000)</f>
        <v>1.52600034</v>
      </c>
    </row>
    <row r="341" customFormat="false" ht="15" hidden="false" customHeight="false" outlineLevel="0" collapsed="false">
      <c r="A341" s="60" t="s">
        <v>880</v>
      </c>
      <c r="B341" s="60" t="s">
        <v>881</v>
      </c>
      <c r="C341" s="60" t="s">
        <v>206</v>
      </c>
      <c r="D341" s="60" t="s">
        <v>226</v>
      </c>
      <c r="E341" s="60" t="s">
        <v>227</v>
      </c>
      <c r="F341" s="60" t="s">
        <v>260</v>
      </c>
      <c r="G341" s="61" t="n">
        <v>33.5</v>
      </c>
      <c r="H341" s="62" t="n">
        <f aca="false">MAX(0,IF(AND(Parameter!$B$21="Ja",ISNUMBER(Y341)),Y341,IF(Parameter!$B$20="Jahresanfang 2025 + Export",BS341+BR341,BR341)))</f>
        <v>9</v>
      </c>
      <c r="I341" s="62" t="n">
        <f aca="false">H341*G341</f>
        <v>301.5</v>
      </c>
      <c r="J341" s="62" t="n">
        <f aca="false">BU341*Parameter!$B$18</f>
        <v>7</v>
      </c>
      <c r="K341" s="63" t="n">
        <v>2.5</v>
      </c>
      <c r="L341" s="64" t="n">
        <v>2.8</v>
      </c>
      <c r="M341" s="62" t="n">
        <v>0</v>
      </c>
      <c r="N341" s="62" t="n">
        <v>5</v>
      </c>
      <c r="O341" s="65" t="n">
        <v>14</v>
      </c>
      <c r="P341" s="60" t="s">
        <v>518</v>
      </c>
      <c r="Q341" s="62" t="n">
        <v>5</v>
      </c>
      <c r="R341" s="65" t="n">
        <f aca="false">IF(CA341=1,0,IFERROR(VLOOKUP(BY341,'Gebinde-Kategorie'!$A$5:$N$45,13,0)+0,0))</f>
        <v>52</v>
      </c>
      <c r="S341" s="66"/>
      <c r="T341" s="67"/>
      <c r="U341" s="67"/>
      <c r="V341" s="67"/>
      <c r="W341" s="60"/>
      <c r="X341" s="62"/>
      <c r="Y341" s="62"/>
      <c r="Z341" s="60" t="n">
        <v>3</v>
      </c>
      <c r="AA341" s="60" t="n">
        <f aca="false">IF(A341="","",IF(AND(Parameter!$B$21="Ja",ISNUMBER(W341)),W341,IF(AND(Parameter!$E$27="Ja",ISNUMBER(Z341),CD341&lt;&gt;"Nein"),Z341,IF(CD341="2+3",IF(ISNUMBER(SEARCH("grosser Artikel",BV341)),2,IFERROR(VLOOKUP(BY341,Parameter!$F$35:$G$64,2,0),2)),IF(OR(CD341="Nein",CD341=""),"-",CD341)))))</f>
        <v>3</v>
      </c>
      <c r="AB341" s="67"/>
      <c r="AC341" s="68"/>
      <c r="AD341" s="62" t="n">
        <f aca="false">AW341</f>
        <v>5</v>
      </c>
      <c r="AE341" s="62" t="n">
        <f aca="false">MAX(AW341,H341)</f>
        <v>9</v>
      </c>
      <c r="AF341" s="69"/>
      <c r="AG341" s="62" t="n">
        <f aca="false">IF(LEFT(Cockpit!$C$5,1)="A",H341,IF(Parameter!$E$30="MAX-Bestand",IF(CI341=1,CJ341,IF(LEFT(Cockpit!$C$5,1)="B",AM341,MAX(AM341,H341))),ROUNDUP(AK341,0)))</f>
        <v>9</v>
      </c>
      <c r="AH341" s="62" t="n">
        <f aca="false">IF(CA341=1,0,ROUNDUP(AG341/BZ341,0))</f>
        <v>2</v>
      </c>
      <c r="AI341" s="64" t="n">
        <f aca="false">IF(CR341&gt;0,CR341*MAX(1,AG341/X341),IF(CA341=1,IF(AG341&lt;=0,0,CE341*MAX(1,IF(H341&gt;0,AG341/H341,1))),IF(R341&gt;0,AH341/R341,0))/MAX(0.1,N(Parameter!$M$21)))</f>
        <v>0.0384615384615385</v>
      </c>
      <c r="AJ341" s="62" t="n">
        <f aca="false">AI341*CC341</f>
        <v>5.96153846153846</v>
      </c>
      <c r="AK341" s="63" t="n">
        <f aca="false">IF(LEFT(Cockpit!$C$5,1)="A",H341,IF(CI341=1,(CL341+CJ341)/2,IF(LEFT(Cockpit!$C$5,1)="B",(CL341+AM341)/2,MAX((CL341+AM341)/2,H341))))</f>
        <v>9</v>
      </c>
      <c r="AL341" s="62" t="n">
        <f aca="false">AK341*G341</f>
        <v>301.5</v>
      </c>
      <c r="AM341" s="62" t="n">
        <f aca="false">ROUNDUP(CL341+MAX(CM341,2*(J341/IF(CH341&gt;0,CH341,MAX(0.1,N(Cockpit!$C$6)))-CL341)),0)</f>
        <v>5</v>
      </c>
      <c r="AN341" s="63" t="n">
        <f aca="false">IF(AJ341&gt;0,J341/AJ341,-1)</f>
        <v>1.1741935483871</v>
      </c>
      <c r="AO341" s="63" t="n">
        <f aca="false">IF(AND(OR(CG341="L1",CG341="L23",CG341="LIFT"),AJ341&gt;0),SUMIFS($AJ$7:$AJ$1843,$CG$7:$CG$1843,CG341,$AN$7:$AN$1843,"&gt;"&amp;AN341)+SUMIFS($AJ$7:$AJ$1843,$CG$7:$CG$1843,CG341,$AN$7:$AN$1843,AN341,$BX$7:$BX$1843,"&lt;="&amp;BX341),"")</f>
        <v>6691.59661172161</v>
      </c>
      <c r="AP341" s="70" t="n">
        <f aca="false">IF(AO341="",0,MAX(0,MIN(1,(IF(CG341="L1",Parameter!$H$5,IF(CG341="L23",Parameter!$H$6+Parameter!$H$7,Parameter!$H$5+Parameter!$H$6+Parameter!$H$7))-(AO341-AJ341))/AJ341)))</f>
        <v>1</v>
      </c>
      <c r="AQ341" s="62" t="n">
        <f aca="false">IF(LEFT(Cockpit!$I$5,1)="A",H341,IF(Parameter!$E$30="MAX-Bestand",IF(CI341=1,CJ341,IF(LEFT(Cockpit!$I$5,1)="B",AW341,MAX(AW341,H341))),ROUNDUP(AU341,0)))</f>
        <v>9</v>
      </c>
      <c r="AR341" s="62" t="n">
        <f aca="false">IF(CA341=1,0,ROUNDUP(AQ341/BZ341,0))</f>
        <v>2</v>
      </c>
      <c r="AS341" s="64" t="n">
        <f aca="false">IF(CR341&gt;0,CR341*MAX(1,AQ341/X341),IF(CA341=1,IF(AQ341&lt;=0,0,CE341*MAX(1,IF(H341&gt;0,AQ341/H341,1))),IF(R341&gt;0,AR341/R341,0))/MAX(0.1,N(Parameter!$M$21)))</f>
        <v>0.0384615384615385</v>
      </c>
      <c r="AT341" s="62" t="n">
        <f aca="false">AS341*CC341</f>
        <v>5.96153846153846</v>
      </c>
      <c r="AU341" s="63" t="n">
        <f aca="false">IF(LEFT(Cockpit!$I$5,1)="A",H341,IF(CI341=1,(CL341+CJ341)/2,IF(LEFT(Cockpit!$I$5,1)="B",(CL341+AW341)/2,MAX((CL341+AW341)/2,H341))))</f>
        <v>9</v>
      </c>
      <c r="AV341" s="62" t="n">
        <f aca="false">AU341*G341</f>
        <v>301.5</v>
      </c>
      <c r="AW341" s="62" t="n">
        <f aca="false">ROUNDUP(CL341+MAX(CM341,2*(J341/IF(CH341&gt;0,CH341,MAX(0.1,N(Cockpit!$I$6)))-CL341)),0)</f>
        <v>5</v>
      </c>
      <c r="AX341" s="63" t="n">
        <f aca="false">IF(AT341&gt;0,J341/AT341,-1)</f>
        <v>1.1741935483871</v>
      </c>
      <c r="AY341" s="63" t="n">
        <f aca="false">IF(AND(OR(CG341="L1",CG341="L23",CG341="LIFT"),AT341&gt;0),SUMIFS($AT$7:$AT$1843,$CG$7:$CG$1843,CG341,$AX$7:$AX$1843,"&gt;"&amp;AX341)+SUMIFS($AT$7:$AT$1843,$CG$7:$CG$1843,CG341,$AX$7:$AX$1843,AX341,$BX$7:$BX$1843,"&lt;="&amp;BX341),"")</f>
        <v>8137.09432234432</v>
      </c>
      <c r="AZ341" s="70" t="n">
        <f aca="false">IF(AY341="",0,MAX(0,MIN(1,(IF(CG341="L1",Parameter!$H$5,IF(CG341="L23",Parameter!$H$6+Parameter!$H$7,Parameter!$H$5+Parameter!$H$6+Parameter!$H$7))-(AY341-AT341))/AT341)))</f>
        <v>1</v>
      </c>
      <c r="BA341" s="62" t="n">
        <f aca="false">IF(LEFT(Cockpit!$O$5,1)="A",H341,IF(Parameter!$E$30="MAX-Bestand",IF(CI341=1,CJ341,IF(LEFT(Cockpit!$O$5,1)="B",BG341,MAX(BG341,H341))),ROUNDUP(BE341,0)))</f>
        <v>3</v>
      </c>
      <c r="BB341" s="62" t="n">
        <f aca="false">IF(CA341=1,0,ROUNDUP(BA341/BZ341,0))</f>
        <v>1</v>
      </c>
      <c r="BC341" s="64" t="n">
        <f aca="false">IF(CR341&gt;0,CR341*MAX(1,BA341/X341),IF(CA341=1,IF(BA341&lt;=0,0,CE341*MAX(1,IF(H341&gt;0,BA341/H341,1))),IF(R341&gt;0,BB341/R341,0))/MAX(0.1,N(Parameter!$M$21)))</f>
        <v>0.0192307692307692</v>
      </c>
      <c r="BD341" s="62" t="n">
        <f aca="false">BC341*CC341</f>
        <v>2.98076923076923</v>
      </c>
      <c r="BE341" s="63" t="n">
        <f aca="false">IF(LEFT(Cockpit!$O$5,1)="A",H341,IF(CI341=1,(CL341+CJ341)/2,IF(LEFT(Cockpit!$O$5,1)="B",(CL341+BG341)/2,MAX((CL341+BG341)/2,H341))))</f>
        <v>2.5</v>
      </c>
      <c r="BF341" s="62" t="n">
        <f aca="false">BE341*G341</f>
        <v>83.75</v>
      </c>
      <c r="BG341" s="62" t="n">
        <f aca="false">ROUNDUP(CL341+MAX(CM341,2*(J341/IF(CH341&gt;0,CH341,MAX(0.1,N(Cockpit!$O$6)))-CL341)),0)</f>
        <v>5</v>
      </c>
      <c r="BH341" s="63" t="n">
        <f aca="false">IF(BD341&gt;0,J341/BD341,-1)</f>
        <v>2.34838709677419</v>
      </c>
      <c r="BI341" s="63" t="n">
        <f aca="false">IF(AND(OR(CG341="L1",CG341="L23",CG341="LIFT"),BD341&gt;0),SUMIFS($BD$7:$BD$1843,$CG$7:$CG$1843,CG341,$BH$7:$BH$1843,"&gt;"&amp;BH341)+SUMIFS($BD$7:$BD$1843,$CG$7:$CG$1843,CG341,$BH$7:$BH$1843,BH341,$BX$7:$BX$1843,"&lt;="&amp;BX341),"")</f>
        <v>5598.53846153846</v>
      </c>
      <c r="BJ341" s="70" t="n">
        <f aca="false">IF(BI341="",0,MAX(0,MIN(1,(IF(CG341="L1",Parameter!$H$5,IF(CG341="L23",Parameter!$H$6+Parameter!$H$7,Parameter!$H$5+Parameter!$H$6+Parameter!$H$7))-(BI341-BD341))/BD341)))</f>
        <v>1</v>
      </c>
      <c r="BK341" s="60" t="str">
        <f aca="false">IF(AJ341&lt;=0,"",IF(CG341="Aussen","Aussenlager",IF(CG341="-","Nicht im Lift",IF(AP341&gt;=1,"Lift",IF(AP341&lt;=0,"Aussenlager","teilweise")))))</f>
        <v>Lift</v>
      </c>
      <c r="BL341" s="60" t="str">
        <f aca="false">IF(AT341&lt;=0,"",IF(CG341="Aussen","Aussenlager",IF(CG341="-","Nicht im Lift",IF(AZ341&gt;=1,"Lift",IF(AZ341&lt;=0,"Aussenlager","teilweise")))))</f>
        <v>Lift</v>
      </c>
      <c r="BM341" s="60" t="str">
        <f aca="false">IF(BD341&lt;=0,"",IF(CG341="Aussen","Aussenlager",IF(CG341="-","Nicht im Lift",IF(BJ341&gt;=1,"Lift",IF(BJ341&lt;=0,"Aussenlager","teilweise")))))</f>
        <v>Lift</v>
      </c>
      <c r="BN341" s="60" t="str">
        <f aca="false">IF(A341="","",IF(BW341=1,"Neu; ","")&amp;IF(AND(BW341=0,BR341&lt;0),"negativer Bestand (Export "&amp;BR341&amp;"); ","")&amp;IF(J341&lt;=0,"Kein Verbrauch; ","")&amp;IF(CR341&gt;0,"Lift "&amp;W341&amp;" lt. Liftbericht (Fach "&amp;X341&amp;" Stk); ",IF(CB341=1,"Gebinde geschätzt ("&amp;T341&amp;"); ",IF(CA341=1,"Lose – Tablare geschätzt; ","")))&amp;IF(H341&gt;AW341,"Überbestand "&amp;ROUND(H341-AW341,0)&amp;" Stk / CHF "&amp;ROUND((H341-AW341)*G341,0)&amp;"; ","")&amp;IF(AND(CI341=1,CJ341&lt;CK341),"MAX &lt; MB+LG; ","")&amp;IF(AND(CQ341&gt;0,CP341*10&gt;CQ341),"zu hoch für Tablar; ","")&amp;IF(AND(BW341=0,OR(CI341=1,AB341&lt;&gt;"",U341&lt;&gt;"",V341&lt;&gt;"",AC341&lt;&gt;"")),"manuell übersteuert; ","")&amp;IF(AND(CA341=0,R341=0),"Gebinde unbekannt / Stellmass fehlt; ","")&amp;IF(AND(CA341=0,N(V341)&lt;=0,N(Q341)&lt;=0),"Menge pro Gebinde fehlt (Ist = 1 Gebinde); ","")&amp;BV341)</f>
        <v>Überbestand 4 Stk / CHF 134; </v>
      </c>
      <c r="BO341" s="60"/>
      <c r="BP341" s="60"/>
      <c r="BQ341" s="67"/>
      <c r="BR341" s="62" t="n">
        <v>6</v>
      </c>
      <c r="BS341" s="62" t="n">
        <v>3</v>
      </c>
      <c r="BT341" s="61" t="n">
        <v>201</v>
      </c>
      <c r="BU341" s="62" t="n">
        <v>7</v>
      </c>
      <c r="BV341" s="60"/>
      <c r="BW341" s="65" t="n">
        <v>0</v>
      </c>
      <c r="BX341" s="65" t="n">
        <v>341</v>
      </c>
      <c r="BY341" s="60" t="str">
        <f aca="false">IF(U341&lt;&gt;"",UPPER(TRIM(U341)),IF(CB341=1,UPPER(VLOOKUP(T341,Parameter!$I$27:$K$29,2,0)),IF(P341="","LOSE",P341)))</f>
        <v>S33</v>
      </c>
      <c r="BZ341" s="62" t="n">
        <f aca="false">IF(BY341="LOSE",1,IF(N(V341)&gt;0,V341,IF(CB341=1,MAX(1,N(VLOOKUP(T341,Parameter!$I$27:$K$29,3,0)),H341,N(N341)),IF(N(Q341)&gt;0,Q341,MAX(1,H341)))))</f>
        <v>5</v>
      </c>
      <c r="CA341" s="65" t="n">
        <f aca="false">IF(BY341="LOSE",1,0)</f>
        <v>0</v>
      </c>
      <c r="CB341" s="65" t="n">
        <f aca="false">IF(AND(U341="",OR(P341="",P341="LOSE"),T341&lt;&gt;"",N(S341)&lt;=0,ISNUMBER(MATCH(T341,Parameter!$I$27:$I$29,0))),1,0)</f>
        <v>0</v>
      </c>
      <c r="CC341" s="65" t="n">
        <f aca="false">IF(CR341&gt;0,INDEX(Parameter!$H$5:$H$7,W341)/INDEX(Parameter!$E$5:$E$7,W341),IF(AND(CA341=0,N(IFERROR(VLOOKUP(BY341,'Gebinde-Kategorie'!$A$5:$N$45,14,0),0))&gt;0),VLOOKUP(BY341,'Gebinde-Kategorie'!$A$5:$N$45,14,0)*10+Parameter!$M$23,Parameter!$M$24))</f>
        <v>155</v>
      </c>
      <c r="CD341" s="60" t="str">
        <f aca="false">IF(AND(Parameter!$B$19="Ja",E341&lt;&gt;"",ISNUMBER(MATCH(E341,Parameter!$I$35:$I$52,0))),VLOOKUP(E341,Parameter!$I$35:$J$52,2,0),IFERROR(VLOOKUP(D341,Parameter!$A$35:$C$64,2,0),"Nein"))</f>
        <v>2+3</v>
      </c>
      <c r="CE341" s="64" t="n">
        <f aca="false">IF(CA341=0,0,IF(N(S341)&gt;0,S341,IFERROR(VLOOKUP(D341,Parameter!$A$35:$C$64,3,0)+0,0)))</f>
        <v>0</v>
      </c>
      <c r="CF341" s="60" t="n">
        <f aca="false">IF(AB341&lt;&gt;"",AB341,AA341)</f>
        <v>3</v>
      </c>
      <c r="CG341" s="60" t="str">
        <f aca="false">IF(OR(CF341=1,CF341=2,CF341=3),IF(Parameter!$E$27="Ja","LIFT",IF(CF341=1,"L1","L23")),IF(CF341="Aussen","Aussen","-"))</f>
        <v>LIFT</v>
      </c>
      <c r="CH341" s="71" t="n">
        <f aca="false">IF(N(AC341)&gt;0,AC341,0)</f>
        <v>0</v>
      </c>
      <c r="CI341" s="65" t="n">
        <f aca="false">IF(ISNUMBER(AF341),1,0)</f>
        <v>0</v>
      </c>
      <c r="CJ341" s="62" t="n">
        <f aca="false">N(AF341)</f>
        <v>0</v>
      </c>
      <c r="CK341" s="62" t="n">
        <f aca="false">N(M341)+N(N341)</f>
        <v>5</v>
      </c>
      <c r="CL341" s="62" t="n">
        <f aca="false">N(M341)</f>
        <v>0</v>
      </c>
      <c r="CM341" s="62" t="n">
        <f aca="false">N(N341)</f>
        <v>5</v>
      </c>
      <c r="CN341" s="62" t="n">
        <f aca="false">ROUNDUP(H341/BZ341,0)</f>
        <v>2</v>
      </c>
      <c r="CO341" s="62" t="n">
        <f aca="false">ROUNDUP(CJ341/BZ341,0)</f>
        <v>0</v>
      </c>
      <c r="CP341" s="65" t="n">
        <f aca="false">IF(CA341=1,0,IFERROR(VLOOKUP(BY341,'Gebinde-Kategorie'!$A$5:$N$45,5,0)+0,0))</f>
        <v>8</v>
      </c>
      <c r="CQ341" s="65" t="n">
        <f aca="false">IFERROR(IF(OR(CF341=1,CF341=2,CF341=3),N(INDEX(Parameter!$I$5:$I$7,CF341)),0),0)</f>
        <v>0</v>
      </c>
      <c r="CR341" s="64" t="n">
        <f aca="false">IF(AND(Parameter!$B$21="Ja",ISNUMBER(W341),N(X341)&gt;0),IFERROR(N(INDEX(Parameter!$L$5:$L$7,W341))*INDEX(Parameter!$E$5:$E$7,W341)*X341/SUMIFS($X$7:$X$1843,$W$7:$W$1843,W341),0),0)</f>
        <v>0</v>
      </c>
      <c r="CS341" s="62" t="n">
        <f aca="false">IF(AND(OR(CG341="L1",CG341="L23",CG341="LIFT"),H341&gt;0),CC341*IF(CR341&gt;0,CR341*MAX(1,H341/X341),IF(CA341=1,CE341,IF(R341&gt;0,CN341/R341,0))/MAX(0.1,N(Parameter!$M$21))),"")</f>
        <v>5.96153846153846</v>
      </c>
      <c r="CT341" s="64" t="n">
        <f aca="false">IF(CS341="","",J341/H341)</f>
        <v>0.777777777777778</v>
      </c>
      <c r="CU341" s="62" t="n">
        <f aca="false">IF(CS341="","",H341*G341)</f>
        <v>301.5</v>
      </c>
      <c r="CV341" s="63" t="n">
        <f aca="false">IF(CS341="","",(CL341+ROUNDUP(CL341+MAX(CM341,2*(J341/MAX(0.1,N(Einkauf!$C$6))-CL341)),0))/2)</f>
        <v>2.5</v>
      </c>
      <c r="CW341" s="62" t="n">
        <f aca="false">IF(CS341="","",MAX(0,H341-CV341)*G341)</f>
        <v>217.75</v>
      </c>
      <c r="CX341" s="62" t="n">
        <f aca="false">IF(CS341="","",CS341*MAX(0,1-CV341/H341))</f>
        <v>4.30555555555556</v>
      </c>
      <c r="CY341" s="64" t="n">
        <f aca="false">IF(CS341="","",PERCENTRANK($CS$7:$CS$1843,CS341)+PERCENTRANK($CU$7:$CU$1843,CU341)+1-PERCENTRANK($CT$7:$CT$1843,CT341))</f>
        <v>1.177</v>
      </c>
      <c r="CZ341" s="72" t="n">
        <f aca="false">IF(CS341="","",CHOOSE(MATCH(Einkauf!$C$5,Parameter!$G$23:$G$27,0),CY341,CS341,CU341,-CT341,CW341)+ROW()/1000000000)</f>
        <v>1.177000341</v>
      </c>
    </row>
    <row r="342" customFormat="false" ht="15" hidden="false" customHeight="false" outlineLevel="0" collapsed="false">
      <c r="A342" s="60" t="s">
        <v>882</v>
      </c>
      <c r="B342" s="60" t="s">
        <v>883</v>
      </c>
      <c r="C342" s="60" t="s">
        <v>206</v>
      </c>
      <c r="D342" s="60" t="s">
        <v>226</v>
      </c>
      <c r="E342" s="60"/>
      <c r="F342" s="60" t="s">
        <v>260</v>
      </c>
      <c r="G342" s="61" t="n">
        <v>0.23</v>
      </c>
      <c r="H342" s="62" t="n">
        <f aca="false">MAX(0,IF(AND(Parameter!$B$21="Ja",ISNUMBER(Y342)),Y342,IF(Parameter!$B$20="Jahresanfang 2025 + Export",BS342+BR342,BR342)))</f>
        <v>1280</v>
      </c>
      <c r="I342" s="62" t="n">
        <f aca="false">H342*G342</f>
        <v>294.4</v>
      </c>
      <c r="J342" s="62" t="n">
        <f aca="false">BU342*Parameter!$B$18</f>
        <v>515</v>
      </c>
      <c r="K342" s="63" t="n">
        <v>467.5</v>
      </c>
      <c r="L342" s="64" t="n">
        <v>1.10160427807487</v>
      </c>
      <c r="M342" s="62" t="n">
        <v>30</v>
      </c>
      <c r="N342" s="62" t="n">
        <v>515</v>
      </c>
      <c r="O342" s="65" t="n">
        <v>21</v>
      </c>
      <c r="P342" s="60" t="s">
        <v>275</v>
      </c>
      <c r="Q342" s="62" t="n">
        <v>400</v>
      </c>
      <c r="R342" s="65" t="n">
        <f aca="false">IF(CA342=1,0,IFERROR(VLOOKUP(BY342,'Gebinde-Kategorie'!$A$5:$N$45,13,0)+0,0))</f>
        <v>26</v>
      </c>
      <c r="S342" s="66"/>
      <c r="T342" s="67"/>
      <c r="U342" s="67"/>
      <c r="V342" s="67"/>
      <c r="W342" s="60"/>
      <c r="X342" s="62"/>
      <c r="Y342" s="62"/>
      <c r="Z342" s="60" t="n">
        <v>3</v>
      </c>
      <c r="AA342" s="60" t="n">
        <f aca="false">IF(A342="","",IF(AND(Parameter!$B$21="Ja",ISNUMBER(W342)),W342,IF(AND(Parameter!$E$27="Ja",ISNUMBER(Z342),CD342&lt;&gt;"Nein"),Z342,IF(CD342="2+3",IF(ISNUMBER(SEARCH("grosser Artikel",BV342)),2,IFERROR(VLOOKUP(BY342,Parameter!$F$35:$G$64,2,0),2)),IF(OR(CD342="Nein",CD342=""),"-",CD342)))))</f>
        <v>3</v>
      </c>
      <c r="AB342" s="67"/>
      <c r="AC342" s="68"/>
      <c r="AD342" s="62" t="n">
        <f aca="false">AW342</f>
        <v>545</v>
      </c>
      <c r="AE342" s="62" t="n">
        <f aca="false">MAX(AW342,H342)</f>
        <v>1280</v>
      </c>
      <c r="AF342" s="69"/>
      <c r="AG342" s="62" t="n">
        <f aca="false">IF(LEFT(Cockpit!$C$5,1)="A",H342,IF(Parameter!$E$30="MAX-Bestand",IF(CI342=1,CJ342,IF(LEFT(Cockpit!$C$5,1)="B",AM342,MAX(AM342,H342))),ROUNDUP(AK342,0)))</f>
        <v>1280</v>
      </c>
      <c r="AH342" s="62" t="n">
        <f aca="false">IF(CA342=1,0,ROUNDUP(AG342/BZ342,0))</f>
        <v>4</v>
      </c>
      <c r="AI342" s="64" t="n">
        <f aca="false">IF(CR342&gt;0,CR342*MAX(1,AG342/X342),IF(CA342=1,IF(AG342&lt;=0,0,CE342*MAX(1,IF(H342&gt;0,AG342/H342,1))),IF(R342&gt;0,AH342/R342,0))/MAX(0.1,N(Parameter!$M$21)))</f>
        <v>0.153846153846154</v>
      </c>
      <c r="AJ342" s="62" t="n">
        <f aca="false">AI342*CC342</f>
        <v>37.6923076923077</v>
      </c>
      <c r="AK342" s="63" t="n">
        <f aca="false">IF(LEFT(Cockpit!$C$5,1)="A",H342,IF(CI342=1,(CL342+CJ342)/2,IF(LEFT(Cockpit!$C$5,1)="B",(CL342+AM342)/2,MAX((CL342+AM342)/2,H342))))</f>
        <v>1280</v>
      </c>
      <c r="AL342" s="62" t="n">
        <f aca="false">AK342*G342</f>
        <v>294.4</v>
      </c>
      <c r="AM342" s="62" t="n">
        <f aca="false">ROUNDUP(CL342+MAX(CM342,2*(J342/IF(CH342&gt;0,CH342,MAX(0.1,N(Cockpit!$C$6)))-CL342)),0)</f>
        <v>545</v>
      </c>
      <c r="AN342" s="63" t="n">
        <f aca="false">IF(AJ342&gt;0,J342/AJ342,-1)</f>
        <v>13.6632653061225</v>
      </c>
      <c r="AO342" s="63" t="n">
        <f aca="false">IF(AND(OR(CG342="L1",CG342="L23",CG342="LIFT"),AJ342&gt;0),SUMIFS($AJ$7:$AJ$1843,$CG$7:$CG$1843,CG342,$AN$7:$AN$1843,"&gt;"&amp;AN342)+SUMIFS($AJ$7:$AJ$1843,$CG$7:$CG$1843,CG342,$AN$7:$AN$1843,AN342,$BX$7:$BX$1843,"&lt;="&amp;BX342),"")</f>
        <v>2310.13827838828</v>
      </c>
      <c r="AP342" s="70" t="n">
        <f aca="false">IF(AO342="",0,MAX(0,MIN(1,(IF(CG342="L1",Parameter!$H$5,IF(CG342="L23",Parameter!$H$6+Parameter!$H$7,Parameter!$H$5+Parameter!$H$6+Parameter!$H$7))-(AO342-AJ342))/AJ342)))</f>
        <v>1</v>
      </c>
      <c r="AQ342" s="62" t="n">
        <f aca="false">IF(LEFT(Cockpit!$I$5,1)="A",H342,IF(Parameter!$E$30="MAX-Bestand",IF(CI342=1,CJ342,IF(LEFT(Cockpit!$I$5,1)="B",AW342,MAX(AW342,H342))),ROUNDUP(AU342,0)))</f>
        <v>1280</v>
      </c>
      <c r="AR342" s="62" t="n">
        <f aca="false">IF(CA342=1,0,ROUNDUP(AQ342/BZ342,0))</f>
        <v>4</v>
      </c>
      <c r="AS342" s="64" t="n">
        <f aca="false">IF(CR342&gt;0,CR342*MAX(1,AQ342/X342),IF(CA342=1,IF(AQ342&lt;=0,0,CE342*MAX(1,IF(H342&gt;0,AQ342/H342,1))),IF(R342&gt;0,AR342/R342,0))/MAX(0.1,N(Parameter!$M$21)))</f>
        <v>0.153846153846154</v>
      </c>
      <c r="AT342" s="62" t="n">
        <f aca="false">AS342*CC342</f>
        <v>37.6923076923077</v>
      </c>
      <c r="AU342" s="63" t="n">
        <f aca="false">IF(LEFT(Cockpit!$I$5,1)="A",H342,IF(CI342=1,(CL342+CJ342)/2,IF(LEFT(Cockpit!$I$5,1)="B",(CL342+AW342)/2,MAX((CL342+AW342)/2,H342))))</f>
        <v>1280</v>
      </c>
      <c r="AV342" s="62" t="n">
        <f aca="false">AU342*G342</f>
        <v>294.4</v>
      </c>
      <c r="AW342" s="62" t="n">
        <f aca="false">ROUNDUP(CL342+MAX(CM342,2*(J342/IF(CH342&gt;0,CH342,MAX(0.1,N(Cockpit!$I$6)))-CL342)),0)</f>
        <v>545</v>
      </c>
      <c r="AX342" s="63" t="n">
        <f aca="false">IF(AT342&gt;0,J342/AT342,-1)</f>
        <v>13.6632653061225</v>
      </c>
      <c r="AY342" s="63" t="n">
        <f aca="false">IF(AND(OR(CG342="L1",CG342="L23",CG342="LIFT"),AT342&gt;0),SUMIFS($AT$7:$AT$1843,$CG$7:$CG$1843,CG342,$AX$7:$AX$1843,"&gt;"&amp;AX342)+SUMIFS($AT$7:$AT$1843,$CG$7:$CG$1843,CG342,$AX$7:$AX$1843,AX342,$BX$7:$BX$1843,"&lt;="&amp;BX342),"")</f>
        <v>2929.32509157509</v>
      </c>
      <c r="AZ342" s="70" t="n">
        <f aca="false">IF(AY342="",0,MAX(0,MIN(1,(IF(CG342="L1",Parameter!$H$5,IF(CG342="L23",Parameter!$H$6+Parameter!$H$7,Parameter!$H$5+Parameter!$H$6+Parameter!$H$7))-(AY342-AT342))/AT342)))</f>
        <v>1</v>
      </c>
      <c r="BA342" s="62" t="n">
        <f aca="false">IF(LEFT(Cockpit!$O$5,1)="A",H342,IF(Parameter!$E$30="MAX-Bestand",IF(CI342=1,CJ342,IF(LEFT(Cockpit!$O$5,1)="B",BG342,MAX(BG342,H342))),ROUNDUP(BE342,0)))</f>
        <v>288</v>
      </c>
      <c r="BB342" s="62" t="n">
        <f aca="false">IF(CA342=1,0,ROUNDUP(BA342/BZ342,0))</f>
        <v>1</v>
      </c>
      <c r="BC342" s="64" t="n">
        <f aca="false">IF(CR342&gt;0,CR342*MAX(1,BA342/X342),IF(CA342=1,IF(BA342&lt;=0,0,CE342*MAX(1,IF(H342&gt;0,BA342/H342,1))),IF(R342&gt;0,BB342/R342,0))/MAX(0.1,N(Parameter!$M$21)))</f>
        <v>0.0384615384615385</v>
      </c>
      <c r="BD342" s="62" t="n">
        <f aca="false">BC342*CC342</f>
        <v>9.42307692307692</v>
      </c>
      <c r="BE342" s="63" t="n">
        <f aca="false">IF(LEFT(Cockpit!$O$5,1)="A",H342,IF(CI342=1,(CL342+CJ342)/2,IF(LEFT(Cockpit!$O$5,1)="B",(CL342+BG342)/2,MAX((CL342+BG342)/2,H342))))</f>
        <v>287.5</v>
      </c>
      <c r="BF342" s="62" t="n">
        <f aca="false">BE342*G342</f>
        <v>66.125</v>
      </c>
      <c r="BG342" s="62" t="n">
        <f aca="false">ROUNDUP(CL342+MAX(CM342,2*(J342/IF(CH342&gt;0,CH342,MAX(0.1,N(Cockpit!$O$6)))-CL342)),0)</f>
        <v>545</v>
      </c>
      <c r="BH342" s="63" t="n">
        <f aca="false">IF(BD342&gt;0,J342/BD342,-1)</f>
        <v>54.6530612244898</v>
      </c>
      <c r="BI342" s="63" t="n">
        <f aca="false">IF(AND(OR(CG342="L1",CG342="L23",CG342="LIFT"),BD342&gt;0),SUMIFS($BD$7:$BD$1843,$CG$7:$CG$1843,CG342,$BH$7:$BH$1843,"&gt;"&amp;BH342)+SUMIFS($BD$7:$BD$1843,$CG$7:$CG$1843,CG342,$BH$7:$BH$1843,BH342,$BX$7:$BX$1843,"&lt;="&amp;BX342),"")</f>
        <v>1136.44597069597</v>
      </c>
      <c r="BJ342" s="70" t="n">
        <f aca="false">IF(BI342="",0,MAX(0,MIN(1,(IF(CG342="L1",Parameter!$H$5,IF(CG342="L23",Parameter!$H$6+Parameter!$H$7,Parameter!$H$5+Parameter!$H$6+Parameter!$H$7))-(BI342-BD342))/BD342)))</f>
        <v>1</v>
      </c>
      <c r="BK342" s="60" t="str">
        <f aca="false">IF(AJ342&lt;=0,"",IF(CG342="Aussen","Aussenlager",IF(CG342="-","Nicht im Lift",IF(AP342&gt;=1,"Lift",IF(AP342&lt;=0,"Aussenlager","teilweise")))))</f>
        <v>Lift</v>
      </c>
      <c r="BL342" s="60" t="str">
        <f aca="false">IF(AT342&lt;=0,"",IF(CG342="Aussen","Aussenlager",IF(CG342="-","Nicht im Lift",IF(AZ342&gt;=1,"Lift",IF(AZ342&lt;=0,"Aussenlager","teilweise")))))</f>
        <v>Lift</v>
      </c>
      <c r="BM342" s="60" t="str">
        <f aca="false">IF(BD342&lt;=0,"",IF(CG342="Aussen","Aussenlager",IF(CG342="-","Nicht im Lift",IF(BJ342&gt;=1,"Lift",IF(BJ342&lt;=0,"Aussenlager","teilweise")))))</f>
        <v>Lift</v>
      </c>
      <c r="BN342" s="60" t="str">
        <f aca="false">IF(A342="","",IF(BW342=1,"Neu; ","")&amp;IF(AND(BW342=0,BR342&lt;0),"negativer Bestand (Export "&amp;BR342&amp;"); ","")&amp;IF(J342&lt;=0,"Kein Verbrauch; ","")&amp;IF(CR342&gt;0,"Lift "&amp;W342&amp;" lt. Liftbericht (Fach "&amp;X342&amp;" Stk); ",IF(CB342=1,"Gebinde geschätzt ("&amp;T342&amp;"); ",IF(CA342=1,"Lose – Tablare geschätzt; ","")))&amp;IF(H342&gt;AW342,"Überbestand "&amp;ROUND(H342-AW342,0)&amp;" Stk / CHF "&amp;ROUND((H342-AW342)*G342,0)&amp;"; ","")&amp;IF(AND(CI342=1,CJ342&lt;CK342),"MAX &lt; MB+LG; ","")&amp;IF(AND(CQ342&gt;0,CP342*10&gt;CQ342),"zu hoch für Tablar; ","")&amp;IF(AND(BW342=0,OR(CI342=1,AB342&lt;&gt;"",U342&lt;&gt;"",V342&lt;&gt;"",AC342&lt;&gt;"")),"manuell übersteuert; ","")&amp;IF(AND(CA342=0,R342=0),"Gebinde unbekannt / Stellmass fehlt; ","")&amp;IF(AND(CA342=0,N(V342)&lt;=0,N(Q342)&lt;=0),"Menge pro Gebinde fehlt (Ist = 1 Gebinde); ","")&amp;BV342)</f>
        <v>Überbestand 735 Stk / CHF 169; </v>
      </c>
      <c r="BO342" s="60"/>
      <c r="BP342" s="60"/>
      <c r="BQ342" s="67"/>
      <c r="BR342" s="62" t="n">
        <v>818</v>
      </c>
      <c r="BS342" s="62" t="n">
        <v>462</v>
      </c>
      <c r="BT342" s="61" t="n">
        <v>197.38</v>
      </c>
      <c r="BU342" s="62" t="n">
        <v>515</v>
      </c>
      <c r="BV342" s="60"/>
      <c r="BW342" s="65" t="n">
        <v>0</v>
      </c>
      <c r="BX342" s="65" t="n">
        <v>342</v>
      </c>
      <c r="BY342" s="60" t="str">
        <f aca="false">IF(U342&lt;&gt;"",UPPER(TRIM(U342)),IF(CB342=1,UPPER(VLOOKUP(T342,Parameter!$I$27:$K$29,2,0)),IF(P342="","LOSE",P342)))</f>
        <v>S52</v>
      </c>
      <c r="BZ342" s="62" t="n">
        <f aca="false">IF(BY342="LOSE",1,IF(N(V342)&gt;0,V342,IF(CB342=1,MAX(1,N(VLOOKUP(T342,Parameter!$I$27:$K$29,3,0)),H342,N(N342)),IF(N(Q342)&gt;0,Q342,MAX(1,H342)))))</f>
        <v>400</v>
      </c>
      <c r="CA342" s="65" t="n">
        <f aca="false">IF(BY342="LOSE",1,0)</f>
        <v>0</v>
      </c>
      <c r="CB342" s="65" t="n">
        <f aca="false">IF(AND(U342="",OR(P342="",P342="LOSE"),T342&lt;&gt;"",N(S342)&lt;=0,ISNUMBER(MATCH(T342,Parameter!$I$27:$I$29,0))),1,0)</f>
        <v>0</v>
      </c>
      <c r="CC342" s="65" t="n">
        <f aca="false">IF(CR342&gt;0,INDEX(Parameter!$H$5:$H$7,W342)/INDEX(Parameter!$E$5:$E$7,W342),IF(AND(CA342=0,N(IFERROR(VLOOKUP(BY342,'Gebinde-Kategorie'!$A$5:$N$45,14,0),0))&gt;0),VLOOKUP(BY342,'Gebinde-Kategorie'!$A$5:$N$45,14,0)*10+Parameter!$M$23,Parameter!$M$24))</f>
        <v>245</v>
      </c>
      <c r="CD342" s="60" t="str">
        <f aca="false">IF(AND(Parameter!$B$19="Ja",E342&lt;&gt;"",ISNUMBER(MATCH(E342,Parameter!$I$35:$I$52,0))),VLOOKUP(E342,Parameter!$I$35:$J$52,2,0),IFERROR(VLOOKUP(D342,Parameter!$A$35:$C$64,2,0),"Nein"))</f>
        <v>2+3</v>
      </c>
      <c r="CE342" s="64" t="n">
        <f aca="false">IF(CA342=0,0,IF(N(S342)&gt;0,S342,IFERROR(VLOOKUP(D342,Parameter!$A$35:$C$64,3,0)+0,0)))</f>
        <v>0</v>
      </c>
      <c r="CF342" s="60" t="n">
        <f aca="false">IF(AB342&lt;&gt;"",AB342,AA342)</f>
        <v>3</v>
      </c>
      <c r="CG342" s="60" t="str">
        <f aca="false">IF(OR(CF342=1,CF342=2,CF342=3),IF(Parameter!$E$27="Ja","LIFT",IF(CF342=1,"L1","L23")),IF(CF342="Aussen","Aussen","-"))</f>
        <v>LIFT</v>
      </c>
      <c r="CH342" s="71" t="n">
        <f aca="false">IF(N(AC342)&gt;0,AC342,0)</f>
        <v>0</v>
      </c>
      <c r="CI342" s="65" t="n">
        <f aca="false">IF(ISNUMBER(AF342),1,0)</f>
        <v>0</v>
      </c>
      <c r="CJ342" s="62" t="n">
        <f aca="false">N(AF342)</f>
        <v>0</v>
      </c>
      <c r="CK342" s="62" t="n">
        <f aca="false">N(M342)+N(N342)</f>
        <v>545</v>
      </c>
      <c r="CL342" s="62" t="n">
        <f aca="false">N(M342)</f>
        <v>30</v>
      </c>
      <c r="CM342" s="62" t="n">
        <f aca="false">N(N342)</f>
        <v>515</v>
      </c>
      <c r="CN342" s="62" t="n">
        <f aca="false">ROUNDUP(H342/BZ342,0)</f>
        <v>4</v>
      </c>
      <c r="CO342" s="62" t="n">
        <f aca="false">ROUNDUP(CJ342/BZ342,0)</f>
        <v>0</v>
      </c>
      <c r="CP342" s="65" t="n">
        <f aca="false">IF(CA342=1,0,IFERROR(VLOOKUP(BY342,'Gebinde-Kategorie'!$A$5:$N$45,5,0)+0,0))</f>
        <v>21</v>
      </c>
      <c r="CQ342" s="65" t="n">
        <f aca="false">IFERROR(IF(OR(CF342=1,CF342=2,CF342=3),N(INDEX(Parameter!$I$5:$I$7,CF342)),0),0)</f>
        <v>0</v>
      </c>
      <c r="CR342" s="64" t="n">
        <f aca="false">IF(AND(Parameter!$B$21="Ja",ISNUMBER(W342),N(X342)&gt;0),IFERROR(N(INDEX(Parameter!$L$5:$L$7,W342))*INDEX(Parameter!$E$5:$E$7,W342)*X342/SUMIFS($X$7:$X$1843,$W$7:$W$1843,W342),0),0)</f>
        <v>0</v>
      </c>
      <c r="CS342" s="62" t="n">
        <f aca="false">IF(AND(OR(CG342="L1",CG342="L23",CG342="LIFT"),H342&gt;0),CC342*IF(CR342&gt;0,CR342*MAX(1,H342/X342),IF(CA342=1,CE342,IF(R342&gt;0,CN342/R342,0))/MAX(0.1,N(Parameter!$M$21))),"")</f>
        <v>37.6923076923077</v>
      </c>
      <c r="CT342" s="64" t="n">
        <f aca="false">IF(CS342="","",J342/H342)</f>
        <v>0.40234375</v>
      </c>
      <c r="CU342" s="62" t="n">
        <f aca="false">IF(CS342="","",H342*G342)</f>
        <v>294.4</v>
      </c>
      <c r="CV342" s="63" t="n">
        <f aca="false">IF(CS342="","",(CL342+ROUNDUP(CL342+MAX(CM342,2*(J342/MAX(0.1,N(Einkauf!$C$6))-CL342)),0))/2)</f>
        <v>287.5</v>
      </c>
      <c r="CW342" s="62" t="n">
        <f aca="false">IF(CS342="","",MAX(0,H342-CV342)*G342)</f>
        <v>228.275</v>
      </c>
      <c r="CX342" s="62" t="n">
        <f aca="false">IF(CS342="","",CS342*MAX(0,1-CV342/H342))</f>
        <v>29.2262620192308</v>
      </c>
      <c r="CY342" s="64" t="n">
        <f aca="false">IF(CS342="","",PERCENTRANK($CS$7:$CS$1843,CS342)+PERCENTRANK($CU$7:$CU$1843,CU342)+1-PERCENTRANK($CT$7:$CT$1843,CT342))</f>
        <v>1.734</v>
      </c>
      <c r="CZ342" s="72" t="n">
        <f aca="false">IF(CS342="","",CHOOSE(MATCH(Einkauf!$C$5,Parameter!$G$23:$G$27,0),CY342,CS342,CU342,-CT342,CW342)+ROW()/1000000000)</f>
        <v>1.734000342</v>
      </c>
    </row>
    <row r="343" customFormat="false" ht="15" hidden="false" customHeight="false" outlineLevel="0" collapsed="false">
      <c r="A343" s="60" t="s">
        <v>884</v>
      </c>
      <c r="B343" s="60" t="s">
        <v>885</v>
      </c>
      <c r="C343" s="60" t="s">
        <v>206</v>
      </c>
      <c r="D343" s="60" t="s">
        <v>226</v>
      </c>
      <c r="E343" s="60"/>
      <c r="F343" s="60" t="s">
        <v>260</v>
      </c>
      <c r="G343" s="61" t="n">
        <v>47.25</v>
      </c>
      <c r="H343" s="62" t="n">
        <f aca="false">MAX(0,IF(AND(Parameter!$B$21="Ja",ISNUMBER(Y343)),Y343,IF(Parameter!$B$20="Jahresanfang 2025 + Export",BS343+BR343,BR343)))</f>
        <v>6</v>
      </c>
      <c r="I343" s="62" t="n">
        <f aca="false">H343*G343</f>
        <v>283.5</v>
      </c>
      <c r="J343" s="62" t="n">
        <f aca="false">BU343*Parameter!$B$18</f>
        <v>7</v>
      </c>
      <c r="K343" s="63" t="n">
        <v>1.5</v>
      </c>
      <c r="L343" s="64" t="n">
        <v>4.66666666666667</v>
      </c>
      <c r="M343" s="62" t="n">
        <v>0</v>
      </c>
      <c r="N343" s="62" t="n">
        <v>5</v>
      </c>
      <c r="O343" s="65" t="n">
        <v>35</v>
      </c>
      <c r="P343" s="60" t="s">
        <v>370</v>
      </c>
      <c r="Q343" s="62" t="n">
        <v>6</v>
      </c>
      <c r="R343" s="65" t="n">
        <f aca="false">IF(CA343=1,0,IFERROR(VLOOKUP(BY343,'Gebinde-Kategorie'!$A$5:$N$45,13,0)+0,0))</f>
        <v>52</v>
      </c>
      <c r="S343" s="66"/>
      <c r="T343" s="67"/>
      <c r="U343" s="67"/>
      <c r="V343" s="67"/>
      <c r="W343" s="60"/>
      <c r="X343" s="62"/>
      <c r="Y343" s="62"/>
      <c r="Z343" s="60" t="n">
        <v>3</v>
      </c>
      <c r="AA343" s="60" t="n">
        <f aca="false">IF(A343="","",IF(AND(Parameter!$B$21="Ja",ISNUMBER(W343)),W343,IF(AND(Parameter!$E$27="Ja",ISNUMBER(Z343),CD343&lt;&gt;"Nein"),Z343,IF(CD343="2+3",IF(ISNUMBER(SEARCH("grosser Artikel",BV343)),2,IFERROR(VLOOKUP(BY343,Parameter!$F$35:$G$64,2,0),2)),IF(OR(CD343="Nein",CD343=""),"-",CD343)))))</f>
        <v>3</v>
      </c>
      <c r="AB343" s="67"/>
      <c r="AC343" s="68"/>
      <c r="AD343" s="62" t="n">
        <f aca="false">AW343</f>
        <v>5</v>
      </c>
      <c r="AE343" s="62" t="n">
        <f aca="false">MAX(AW343,H343)</f>
        <v>6</v>
      </c>
      <c r="AF343" s="69"/>
      <c r="AG343" s="62" t="n">
        <f aca="false">IF(LEFT(Cockpit!$C$5,1)="A",H343,IF(Parameter!$E$30="MAX-Bestand",IF(CI343=1,CJ343,IF(LEFT(Cockpit!$C$5,1)="B",AM343,MAX(AM343,H343))),ROUNDUP(AK343,0)))</f>
        <v>6</v>
      </c>
      <c r="AH343" s="62" t="n">
        <f aca="false">IF(CA343=1,0,ROUNDUP(AG343/BZ343,0))</f>
        <v>1</v>
      </c>
      <c r="AI343" s="64" t="n">
        <f aca="false">IF(CR343&gt;0,CR343*MAX(1,AG343/X343),IF(CA343=1,IF(AG343&lt;=0,0,CE343*MAX(1,IF(H343&gt;0,AG343/H343,1))),IF(R343&gt;0,AH343/R343,0))/MAX(0.1,N(Parameter!$M$21)))</f>
        <v>0.0192307692307692</v>
      </c>
      <c r="AJ343" s="62" t="n">
        <f aca="false">AI343*CC343</f>
        <v>2.98076923076923</v>
      </c>
      <c r="AK343" s="63" t="n">
        <f aca="false">IF(LEFT(Cockpit!$C$5,1)="A",H343,IF(CI343=1,(CL343+CJ343)/2,IF(LEFT(Cockpit!$C$5,1)="B",(CL343+AM343)/2,MAX((CL343+AM343)/2,H343))))</f>
        <v>6</v>
      </c>
      <c r="AL343" s="62" t="n">
        <f aca="false">AK343*G343</f>
        <v>283.5</v>
      </c>
      <c r="AM343" s="62" t="n">
        <f aca="false">ROUNDUP(CL343+MAX(CM343,2*(J343/IF(CH343&gt;0,CH343,MAX(0.1,N(Cockpit!$C$6)))-CL343)),0)</f>
        <v>5</v>
      </c>
      <c r="AN343" s="63" t="n">
        <f aca="false">IF(AJ343&gt;0,J343/AJ343,-1)</f>
        <v>2.34838709677419</v>
      </c>
      <c r="AO343" s="63" t="n">
        <f aca="false">IF(AND(OR(CG343="L1",CG343="L23",CG343="LIFT"),AJ343&gt;0),SUMIFS($AJ$7:$AJ$1843,$CG$7:$CG$1843,CG343,$AN$7:$AN$1843,"&gt;"&amp;AN343)+SUMIFS($AJ$7:$AJ$1843,$CG$7:$CG$1843,CG343,$AN$7:$AN$1843,AN343,$BX$7:$BX$1843,"&lt;="&amp;BX343),"")</f>
        <v>5622.2760989011</v>
      </c>
      <c r="AP343" s="70" t="n">
        <f aca="false">IF(AO343="",0,MAX(0,MIN(1,(IF(CG343="L1",Parameter!$H$5,IF(CG343="L23",Parameter!$H$6+Parameter!$H$7,Parameter!$H$5+Parameter!$H$6+Parameter!$H$7))-(AO343-AJ343))/AJ343)))</f>
        <v>1</v>
      </c>
      <c r="AQ343" s="62" t="n">
        <f aca="false">IF(LEFT(Cockpit!$I$5,1)="A",H343,IF(Parameter!$E$30="MAX-Bestand",IF(CI343=1,CJ343,IF(LEFT(Cockpit!$I$5,1)="B",AW343,MAX(AW343,H343))),ROUNDUP(AU343,0)))</f>
        <v>6</v>
      </c>
      <c r="AR343" s="62" t="n">
        <f aca="false">IF(CA343=1,0,ROUNDUP(AQ343/BZ343,0))</f>
        <v>1</v>
      </c>
      <c r="AS343" s="64" t="n">
        <f aca="false">IF(CR343&gt;0,CR343*MAX(1,AQ343/X343),IF(CA343=1,IF(AQ343&lt;=0,0,CE343*MAX(1,IF(H343&gt;0,AQ343/H343,1))),IF(R343&gt;0,AR343/R343,0))/MAX(0.1,N(Parameter!$M$21)))</f>
        <v>0.0192307692307692</v>
      </c>
      <c r="AT343" s="62" t="n">
        <f aca="false">AS343*CC343</f>
        <v>2.98076923076923</v>
      </c>
      <c r="AU343" s="63" t="n">
        <f aca="false">IF(LEFT(Cockpit!$I$5,1)="A",H343,IF(CI343=1,(CL343+CJ343)/2,IF(LEFT(Cockpit!$I$5,1)="B",(CL343+AW343)/2,MAX((CL343+AW343)/2,H343))))</f>
        <v>6</v>
      </c>
      <c r="AV343" s="62" t="n">
        <f aca="false">AU343*G343</f>
        <v>283.5</v>
      </c>
      <c r="AW343" s="62" t="n">
        <f aca="false">ROUNDUP(CL343+MAX(CM343,2*(J343/IF(CH343&gt;0,CH343,MAX(0.1,N(Cockpit!$I$6)))-CL343)),0)</f>
        <v>5</v>
      </c>
      <c r="AX343" s="63" t="n">
        <f aca="false">IF(AT343&gt;0,J343/AT343,-1)</f>
        <v>2.34838709677419</v>
      </c>
      <c r="AY343" s="63" t="n">
        <f aca="false">IF(AND(OR(CG343="L1",CG343="L23",CG343="LIFT"),AT343&gt;0),SUMIFS($AT$7:$AT$1843,$CG$7:$CG$1843,CG343,$AX$7:$AX$1843,"&gt;"&amp;AX343)+SUMIFS($AT$7:$AT$1843,$CG$7:$CG$1843,CG343,$AX$7:$AX$1843,AX343,$BX$7:$BX$1843,"&lt;="&amp;BX343),"")</f>
        <v>6444.67078754579</v>
      </c>
      <c r="AZ343" s="70" t="n">
        <f aca="false">IF(AY343="",0,MAX(0,MIN(1,(IF(CG343="L1",Parameter!$H$5,IF(CG343="L23",Parameter!$H$6+Parameter!$H$7,Parameter!$H$5+Parameter!$H$6+Parameter!$H$7))-(AY343-AT343))/AT343)))</f>
        <v>1</v>
      </c>
      <c r="BA343" s="62" t="n">
        <f aca="false">IF(LEFT(Cockpit!$O$5,1)="A",H343,IF(Parameter!$E$30="MAX-Bestand",IF(CI343=1,CJ343,IF(LEFT(Cockpit!$O$5,1)="B",BG343,MAX(BG343,H343))),ROUNDUP(BE343,0)))</f>
        <v>3</v>
      </c>
      <c r="BB343" s="62" t="n">
        <f aca="false">IF(CA343=1,0,ROUNDUP(BA343/BZ343,0))</f>
        <v>1</v>
      </c>
      <c r="BC343" s="64" t="n">
        <f aca="false">IF(CR343&gt;0,CR343*MAX(1,BA343/X343),IF(CA343=1,IF(BA343&lt;=0,0,CE343*MAX(1,IF(H343&gt;0,BA343/H343,1))),IF(R343&gt;0,BB343/R343,0))/MAX(0.1,N(Parameter!$M$21)))</f>
        <v>0.0192307692307692</v>
      </c>
      <c r="BD343" s="62" t="n">
        <f aca="false">BC343*CC343</f>
        <v>2.98076923076923</v>
      </c>
      <c r="BE343" s="63" t="n">
        <f aca="false">IF(LEFT(Cockpit!$O$5,1)="A",H343,IF(CI343=1,(CL343+CJ343)/2,IF(LEFT(Cockpit!$O$5,1)="B",(CL343+BG343)/2,MAX((CL343+BG343)/2,H343))))</f>
        <v>2.5</v>
      </c>
      <c r="BF343" s="62" t="n">
        <f aca="false">BE343*G343</f>
        <v>118.125</v>
      </c>
      <c r="BG343" s="62" t="n">
        <f aca="false">ROUNDUP(CL343+MAX(CM343,2*(J343/IF(CH343&gt;0,CH343,MAX(0.1,N(Cockpit!$O$6)))-CL343)),0)</f>
        <v>5</v>
      </c>
      <c r="BH343" s="63" t="n">
        <f aca="false">IF(BD343&gt;0,J343/BD343,-1)</f>
        <v>2.34838709677419</v>
      </c>
      <c r="BI343" s="63" t="n">
        <f aca="false">IF(AND(OR(CG343="L1",CG343="L23",CG343="LIFT"),BD343&gt;0),SUMIFS($BD$7:$BD$1843,$CG$7:$CG$1843,CG343,$BH$7:$BH$1843,"&gt;"&amp;BH343)+SUMIFS($BD$7:$BD$1843,$CG$7:$CG$1843,CG343,$BH$7:$BH$1843,BH343,$BX$7:$BX$1843,"&lt;="&amp;BX343),"")</f>
        <v>5601.51923076923</v>
      </c>
      <c r="BJ343" s="70" t="n">
        <f aca="false">IF(BI343="",0,MAX(0,MIN(1,(IF(CG343="L1",Parameter!$H$5,IF(CG343="L23",Parameter!$H$6+Parameter!$H$7,Parameter!$H$5+Parameter!$H$6+Parameter!$H$7))-(BI343-BD343))/BD343)))</f>
        <v>1</v>
      </c>
      <c r="BK343" s="60" t="str">
        <f aca="false">IF(AJ343&lt;=0,"",IF(CG343="Aussen","Aussenlager",IF(CG343="-","Nicht im Lift",IF(AP343&gt;=1,"Lift",IF(AP343&lt;=0,"Aussenlager","teilweise")))))</f>
        <v>Lift</v>
      </c>
      <c r="BL343" s="60" t="str">
        <f aca="false">IF(AT343&lt;=0,"",IF(CG343="Aussen","Aussenlager",IF(CG343="-","Nicht im Lift",IF(AZ343&gt;=1,"Lift",IF(AZ343&lt;=0,"Aussenlager","teilweise")))))</f>
        <v>Lift</v>
      </c>
      <c r="BM343" s="60" t="str">
        <f aca="false">IF(BD343&lt;=0,"",IF(CG343="Aussen","Aussenlager",IF(CG343="-","Nicht im Lift",IF(BJ343&gt;=1,"Lift",IF(BJ343&lt;=0,"Aussenlager","teilweise")))))</f>
        <v>Lift</v>
      </c>
      <c r="BN343" s="60" t="str">
        <f aca="false">IF(A343="","",IF(BW343=1,"Neu; ","")&amp;IF(AND(BW343=0,BR343&lt;0),"negativer Bestand (Export "&amp;BR343&amp;"); ","")&amp;IF(J343&lt;=0,"Kein Verbrauch; ","")&amp;IF(CR343&gt;0,"Lift "&amp;W343&amp;" lt. Liftbericht (Fach "&amp;X343&amp;" Stk); ",IF(CB343=1,"Gebinde geschätzt ("&amp;T343&amp;"); ",IF(CA343=1,"Lose – Tablare geschätzt; ","")))&amp;IF(H343&gt;AW343,"Überbestand "&amp;ROUND(H343-AW343,0)&amp;" Stk / CHF "&amp;ROUND((H343-AW343)*G343,0)&amp;"; ","")&amp;IF(AND(CI343=1,CJ343&lt;CK343),"MAX &lt; MB+LG; ","")&amp;IF(AND(CQ343&gt;0,CP343*10&gt;CQ343),"zu hoch für Tablar; ","")&amp;IF(AND(BW343=0,OR(CI343=1,AB343&lt;&gt;"",U343&lt;&gt;"",V343&lt;&gt;"",AC343&lt;&gt;"")),"manuell übersteuert; ","")&amp;IF(AND(CA343=0,R343=0),"Gebinde unbekannt / Stellmass fehlt; ","")&amp;IF(AND(CA343=0,N(V343)&lt;=0,N(Q343)&lt;=0),"Menge pro Gebinde fehlt (Ist = 1 Gebinde); ","")&amp;BV343)</f>
        <v>Überbestand 1 Stk / CHF 47; </v>
      </c>
      <c r="BO343" s="60"/>
      <c r="BP343" s="60"/>
      <c r="BQ343" s="67"/>
      <c r="BR343" s="62" t="n">
        <v>4</v>
      </c>
      <c r="BS343" s="62" t="n">
        <v>2</v>
      </c>
      <c r="BT343" s="61" t="n">
        <v>197.18</v>
      </c>
      <c r="BU343" s="62" t="n">
        <v>7</v>
      </c>
      <c r="BV343" s="60"/>
      <c r="BW343" s="65" t="n">
        <v>0</v>
      </c>
      <c r="BX343" s="65" t="n">
        <v>343</v>
      </c>
      <c r="BY343" s="60" t="str">
        <f aca="false">IF(U343&lt;&gt;"",UPPER(TRIM(U343)),IF(CB343=1,UPPER(VLOOKUP(T343,Parameter!$I$27:$K$29,2,0)),IF(P343="","LOSE",P343)))</f>
        <v>S41</v>
      </c>
      <c r="BZ343" s="62" t="n">
        <f aca="false">IF(BY343="LOSE",1,IF(N(V343)&gt;0,V343,IF(CB343=1,MAX(1,N(VLOOKUP(T343,Parameter!$I$27:$K$29,3,0)),H343,N(N343)),IF(N(Q343)&gt;0,Q343,MAX(1,H343)))))</f>
        <v>6</v>
      </c>
      <c r="CA343" s="65" t="n">
        <f aca="false">IF(BY343="LOSE",1,0)</f>
        <v>0</v>
      </c>
      <c r="CB343" s="65" t="n">
        <f aca="false">IF(AND(U343="",OR(P343="",P343="LOSE"),T343&lt;&gt;"",N(S343)&lt;=0,ISNUMBER(MATCH(T343,Parameter!$I$27:$I$29,0))),1,0)</f>
        <v>0</v>
      </c>
      <c r="CC343" s="65" t="n">
        <f aca="false">IF(CR343&gt;0,INDEX(Parameter!$H$5:$H$7,W343)/INDEX(Parameter!$E$5:$E$7,W343),IF(AND(CA343=0,N(IFERROR(VLOOKUP(BY343,'Gebinde-Kategorie'!$A$5:$N$45,14,0),0))&gt;0),VLOOKUP(BY343,'Gebinde-Kategorie'!$A$5:$N$45,14,0)*10+Parameter!$M$23,Parameter!$M$24))</f>
        <v>155</v>
      </c>
      <c r="CD343" s="60" t="str">
        <f aca="false">IF(AND(Parameter!$B$19="Ja",E343&lt;&gt;"",ISNUMBER(MATCH(E343,Parameter!$I$35:$I$52,0))),VLOOKUP(E343,Parameter!$I$35:$J$52,2,0),IFERROR(VLOOKUP(D343,Parameter!$A$35:$C$64,2,0),"Nein"))</f>
        <v>2+3</v>
      </c>
      <c r="CE343" s="64" t="n">
        <f aca="false">IF(CA343=0,0,IF(N(S343)&gt;0,S343,IFERROR(VLOOKUP(D343,Parameter!$A$35:$C$64,3,0)+0,0)))</f>
        <v>0</v>
      </c>
      <c r="CF343" s="60" t="n">
        <f aca="false">IF(AB343&lt;&gt;"",AB343,AA343)</f>
        <v>3</v>
      </c>
      <c r="CG343" s="60" t="str">
        <f aca="false">IF(OR(CF343=1,CF343=2,CF343=3),IF(Parameter!$E$27="Ja","LIFT",IF(CF343=1,"L1","L23")),IF(CF343="Aussen","Aussen","-"))</f>
        <v>LIFT</v>
      </c>
      <c r="CH343" s="71" t="n">
        <f aca="false">IF(N(AC343)&gt;0,AC343,0)</f>
        <v>0</v>
      </c>
      <c r="CI343" s="65" t="n">
        <f aca="false">IF(ISNUMBER(AF343),1,0)</f>
        <v>0</v>
      </c>
      <c r="CJ343" s="62" t="n">
        <f aca="false">N(AF343)</f>
        <v>0</v>
      </c>
      <c r="CK343" s="62" t="n">
        <f aca="false">N(M343)+N(N343)</f>
        <v>5</v>
      </c>
      <c r="CL343" s="62" t="n">
        <f aca="false">N(M343)</f>
        <v>0</v>
      </c>
      <c r="CM343" s="62" t="n">
        <f aca="false">N(N343)</f>
        <v>5</v>
      </c>
      <c r="CN343" s="62" t="n">
        <f aca="false">ROUNDUP(H343/BZ343,0)</f>
        <v>1</v>
      </c>
      <c r="CO343" s="62" t="n">
        <f aca="false">ROUNDUP(CJ343/BZ343,0)</f>
        <v>0</v>
      </c>
      <c r="CP343" s="65" t="n">
        <f aca="false">IF(CA343=1,0,IFERROR(VLOOKUP(BY343,'Gebinde-Kategorie'!$A$5:$N$45,5,0)+0,0))</f>
        <v>11</v>
      </c>
      <c r="CQ343" s="65" t="n">
        <f aca="false">IFERROR(IF(OR(CF343=1,CF343=2,CF343=3),N(INDEX(Parameter!$I$5:$I$7,CF343)),0),0)</f>
        <v>0</v>
      </c>
      <c r="CR343" s="64" t="n">
        <f aca="false">IF(AND(Parameter!$B$21="Ja",ISNUMBER(W343),N(X343)&gt;0),IFERROR(N(INDEX(Parameter!$L$5:$L$7,W343))*INDEX(Parameter!$E$5:$E$7,W343)*X343/SUMIFS($X$7:$X$1843,$W$7:$W$1843,W343),0),0)</f>
        <v>0</v>
      </c>
      <c r="CS343" s="62" t="n">
        <f aca="false">IF(AND(OR(CG343="L1",CG343="L23",CG343="LIFT"),H343&gt;0),CC343*IF(CR343&gt;0,CR343*MAX(1,H343/X343),IF(CA343=1,CE343,IF(R343&gt;0,CN343/R343,0))/MAX(0.1,N(Parameter!$M$21))),"")</f>
        <v>2.98076923076923</v>
      </c>
      <c r="CT343" s="64" t="n">
        <f aca="false">IF(CS343="","",J343/H343)</f>
        <v>1.16666666666667</v>
      </c>
      <c r="CU343" s="62" t="n">
        <f aca="false">IF(CS343="","",H343*G343)</f>
        <v>283.5</v>
      </c>
      <c r="CV343" s="63" t="n">
        <f aca="false">IF(CS343="","",(CL343+ROUNDUP(CL343+MAX(CM343,2*(J343/MAX(0.1,N(Einkauf!$C$6))-CL343)),0))/2)</f>
        <v>2.5</v>
      </c>
      <c r="CW343" s="62" t="n">
        <f aca="false">IF(CS343="","",MAX(0,H343-CV343)*G343)</f>
        <v>165.375</v>
      </c>
      <c r="CX343" s="62" t="n">
        <f aca="false">IF(CS343="","",CS343*MAX(0,1-CV343/H343))</f>
        <v>1.73878205128205</v>
      </c>
      <c r="CY343" s="64" t="n">
        <f aca="false">IF(CS343="","",PERCENTRANK($CS$7:$CS$1843,CS343)+PERCENTRANK($CU$7:$CU$1843,CU343)+1-PERCENTRANK($CT$7:$CT$1843,CT343))</f>
        <v>0.908</v>
      </c>
      <c r="CZ343" s="72" t="n">
        <f aca="false">IF(CS343="","",CHOOSE(MATCH(Einkauf!$C$5,Parameter!$G$23:$G$27,0),CY343,CS343,CU343,-CT343,CW343)+ROW()/1000000000)</f>
        <v>0.908000343</v>
      </c>
    </row>
    <row r="344" customFormat="false" ht="15" hidden="false" customHeight="false" outlineLevel="0" collapsed="false">
      <c r="A344" s="60" t="s">
        <v>886</v>
      </c>
      <c r="B344" s="60" t="s">
        <v>887</v>
      </c>
      <c r="C344" s="60" t="s">
        <v>206</v>
      </c>
      <c r="D344" s="60" t="s">
        <v>226</v>
      </c>
      <c r="E344" s="60"/>
      <c r="F344" s="60" t="s">
        <v>260</v>
      </c>
      <c r="G344" s="61" t="n">
        <v>7.87</v>
      </c>
      <c r="H344" s="62" t="n">
        <f aca="false">MAX(0,IF(AND(Parameter!$B$21="Ja",ISNUMBER(Y344)),Y344,IF(Parameter!$B$20="Jahresanfang 2025 + Export",BS344+BR344,BR344)))</f>
        <v>25</v>
      </c>
      <c r="I344" s="62" t="n">
        <f aca="false">H344*G344</f>
        <v>196.75</v>
      </c>
      <c r="J344" s="62" t="n">
        <f aca="false">BU344*Parameter!$B$18</f>
        <v>0</v>
      </c>
      <c r="K344" s="63" t="n">
        <v>0</v>
      </c>
      <c r="L344" s="64" t="n">
        <v>0</v>
      </c>
      <c r="M344" s="62" t="n">
        <v>0</v>
      </c>
      <c r="N344" s="62" t="n">
        <v>5</v>
      </c>
      <c r="O344" s="65" t="n">
        <v>9999</v>
      </c>
      <c r="P344" s="60" t="s">
        <v>210</v>
      </c>
      <c r="Q344" s="62"/>
      <c r="R344" s="65" t="n">
        <f aca="false">IF(CA344=1,0,IFERROR(VLOOKUP(BY344,'Gebinde-Kategorie'!$A$5:$N$45,13,0)+0,0))</f>
        <v>26</v>
      </c>
      <c r="S344" s="66"/>
      <c r="T344" s="67" t="s">
        <v>317</v>
      </c>
      <c r="U344" s="67"/>
      <c r="V344" s="67"/>
      <c r="W344" s="60"/>
      <c r="X344" s="62"/>
      <c r="Y344" s="62"/>
      <c r="Z344" s="60" t="n">
        <v>3</v>
      </c>
      <c r="AA344" s="60" t="n">
        <f aca="false">IF(A344="","",IF(AND(Parameter!$B$21="Ja",ISNUMBER(W344)),W344,IF(AND(Parameter!$E$27="Ja",ISNUMBER(Z344),CD344&lt;&gt;"Nein"),Z344,IF(CD344="2+3",IF(ISNUMBER(SEARCH("grosser Artikel",BV344)),2,IFERROR(VLOOKUP(BY344,Parameter!$F$35:$G$64,2,0),2)),IF(OR(CD344="Nein",CD344=""),"-",CD344)))))</f>
        <v>3</v>
      </c>
      <c r="AB344" s="67"/>
      <c r="AC344" s="68"/>
      <c r="AD344" s="62" t="n">
        <f aca="false">AW344</f>
        <v>5</v>
      </c>
      <c r="AE344" s="62" t="n">
        <f aca="false">MAX(AW344,H344)</f>
        <v>25</v>
      </c>
      <c r="AF344" s="69"/>
      <c r="AG344" s="62" t="n">
        <f aca="false">IF(LEFT(Cockpit!$C$5,1)="A",H344,IF(Parameter!$E$30="MAX-Bestand",IF(CI344=1,CJ344,IF(LEFT(Cockpit!$C$5,1)="B",AM344,MAX(AM344,H344))),ROUNDUP(AK344,0)))</f>
        <v>25</v>
      </c>
      <c r="AH344" s="62" t="n">
        <f aca="false">IF(CA344=1,0,ROUNDUP(AG344/BZ344,0))</f>
        <v>1</v>
      </c>
      <c r="AI344" s="64" t="n">
        <f aca="false">IF(CR344&gt;0,CR344*MAX(1,AG344/X344),IF(CA344=1,IF(AG344&lt;=0,0,CE344*MAX(1,IF(H344&gt;0,AG344/H344,1))),IF(R344&gt;0,AH344/R344,0))/MAX(0.1,N(Parameter!$M$21)))</f>
        <v>0.0384615384615385</v>
      </c>
      <c r="AJ344" s="62" t="n">
        <f aca="false">AI344*CC344</f>
        <v>5.96153846153846</v>
      </c>
      <c r="AK344" s="63" t="n">
        <f aca="false">IF(LEFT(Cockpit!$C$5,1)="A",H344,IF(CI344=1,(CL344+CJ344)/2,IF(LEFT(Cockpit!$C$5,1)="B",(CL344+AM344)/2,MAX((CL344+AM344)/2,H344))))</f>
        <v>25</v>
      </c>
      <c r="AL344" s="62" t="n">
        <f aca="false">AK344*G344</f>
        <v>196.75</v>
      </c>
      <c r="AM344" s="62" t="n">
        <f aca="false">ROUNDUP(CL344+MAX(CM344,2*(J344/IF(CH344&gt;0,CH344,MAX(0.1,N(Cockpit!$C$6)))-CL344)),0)</f>
        <v>5</v>
      </c>
      <c r="AN344" s="63" t="n">
        <f aca="false">IF(AJ344&gt;0,J344/AJ344,-1)</f>
        <v>0</v>
      </c>
      <c r="AO344" s="63" t="n">
        <f aca="false">IF(AND(OR(CG344="L1",CG344="L23",CG344="LIFT"),AJ344&gt;0),SUMIFS($AJ$7:$AJ$1843,$CG$7:$CG$1843,CG344,$AN$7:$AN$1843,"&gt;"&amp;AN344)+SUMIFS($AJ$7:$AJ$1843,$CG$7:$CG$1843,CG344,$AN$7:$AN$1843,AN344,$BX$7:$BX$1843,"&lt;="&amp;BX344),"")</f>
        <v>28007.1434831647</v>
      </c>
      <c r="AP344" s="70" t="n">
        <f aca="false">IF(AO344="",0,MAX(0,MIN(1,(IF(CG344="L1",Parameter!$H$5,IF(CG344="L23",Parameter!$H$6+Parameter!$H$7,Parameter!$H$5+Parameter!$H$6+Parameter!$H$7))-(AO344-AJ344))/AJ344)))</f>
        <v>1</v>
      </c>
      <c r="AQ344" s="62" t="n">
        <f aca="false">IF(LEFT(Cockpit!$I$5,1)="A",H344,IF(Parameter!$E$30="MAX-Bestand",IF(CI344=1,CJ344,IF(LEFT(Cockpit!$I$5,1)="B",AW344,MAX(AW344,H344))),ROUNDUP(AU344,0)))</f>
        <v>25</v>
      </c>
      <c r="AR344" s="62" t="n">
        <f aca="false">IF(CA344=1,0,ROUNDUP(AQ344/BZ344,0))</f>
        <v>1</v>
      </c>
      <c r="AS344" s="64" t="n">
        <f aca="false">IF(CR344&gt;0,CR344*MAX(1,AQ344/X344),IF(CA344=1,IF(AQ344&lt;=0,0,CE344*MAX(1,IF(H344&gt;0,AQ344/H344,1))),IF(R344&gt;0,AR344/R344,0))/MAX(0.1,N(Parameter!$M$21)))</f>
        <v>0.0384615384615385</v>
      </c>
      <c r="AT344" s="62" t="n">
        <f aca="false">AS344*CC344</f>
        <v>5.96153846153846</v>
      </c>
      <c r="AU344" s="63" t="n">
        <f aca="false">IF(LEFT(Cockpit!$I$5,1)="A",H344,IF(CI344=1,(CL344+CJ344)/2,IF(LEFT(Cockpit!$I$5,1)="B",(CL344+AW344)/2,MAX((CL344+AW344)/2,H344))))</f>
        <v>25</v>
      </c>
      <c r="AV344" s="62" t="n">
        <f aca="false">AU344*G344</f>
        <v>196.75</v>
      </c>
      <c r="AW344" s="62" t="n">
        <f aca="false">ROUNDUP(CL344+MAX(CM344,2*(J344/IF(CH344&gt;0,CH344,MAX(0.1,N(Cockpit!$I$6)))-CL344)),0)</f>
        <v>5</v>
      </c>
      <c r="AX344" s="63" t="n">
        <f aca="false">IF(AT344&gt;0,J344/AT344,-1)</f>
        <v>0</v>
      </c>
      <c r="AY344" s="63" t="n">
        <f aca="false">IF(AND(OR(CG344="L1",CG344="L23",CG344="LIFT"),AT344&gt;0),SUMIFS($AT$7:$AT$1843,$CG$7:$CG$1843,CG344,$AX$7:$AX$1843,"&gt;"&amp;AX344)+SUMIFS($AT$7:$AT$1843,$CG$7:$CG$1843,CG344,$AX$7:$AX$1843,AX344,$BX$7:$BX$1843,"&lt;="&amp;BX344),"")</f>
        <v>33360.2921245421</v>
      </c>
      <c r="AZ344" s="70" t="n">
        <f aca="false">IF(AY344="",0,MAX(0,MIN(1,(IF(CG344="L1",Parameter!$H$5,IF(CG344="L23",Parameter!$H$6+Parameter!$H$7,Parameter!$H$5+Parameter!$H$6+Parameter!$H$7))-(AY344-AT344))/AT344)))</f>
        <v>1</v>
      </c>
      <c r="BA344" s="62" t="n">
        <f aca="false">IF(LEFT(Cockpit!$O$5,1)="A",H344,IF(Parameter!$E$30="MAX-Bestand",IF(CI344=1,CJ344,IF(LEFT(Cockpit!$O$5,1)="B",BG344,MAX(BG344,H344))),ROUNDUP(BE344,0)))</f>
        <v>3</v>
      </c>
      <c r="BB344" s="62" t="n">
        <f aca="false">IF(CA344=1,0,ROUNDUP(BA344/BZ344,0))</f>
        <v>1</v>
      </c>
      <c r="BC344" s="64" t="n">
        <f aca="false">IF(CR344&gt;0,CR344*MAX(1,BA344/X344),IF(CA344=1,IF(BA344&lt;=0,0,CE344*MAX(1,IF(H344&gt;0,BA344/H344,1))),IF(R344&gt;0,BB344/R344,0))/MAX(0.1,N(Parameter!$M$21)))</f>
        <v>0.0384615384615385</v>
      </c>
      <c r="BD344" s="62" t="n">
        <f aca="false">BC344*CC344</f>
        <v>5.96153846153846</v>
      </c>
      <c r="BE344" s="63" t="n">
        <f aca="false">IF(LEFT(Cockpit!$O$5,1)="A",H344,IF(CI344=1,(CL344+CJ344)/2,IF(LEFT(Cockpit!$O$5,1)="B",(CL344+BG344)/2,MAX((CL344+BG344)/2,H344))))</f>
        <v>2.5</v>
      </c>
      <c r="BF344" s="62" t="n">
        <f aca="false">BE344*G344</f>
        <v>19.675</v>
      </c>
      <c r="BG344" s="62" t="n">
        <f aca="false">ROUNDUP(CL344+MAX(CM344,2*(J344/IF(CH344&gt;0,CH344,MAX(0.1,N(Cockpit!$O$6)))-CL344)),0)</f>
        <v>5</v>
      </c>
      <c r="BH344" s="63" t="n">
        <f aca="false">IF(BD344&gt;0,J344/BD344,-1)</f>
        <v>0</v>
      </c>
      <c r="BI344" s="63" t="n">
        <f aca="false">IF(AND(OR(CG344="L1",CG344="L23",CG344="LIFT"),BD344&gt;0),SUMIFS($BD$7:$BD$1843,$CG$7:$CG$1843,CG344,$BH$7:$BH$1843,"&gt;"&amp;BH344)+SUMIFS($BD$7:$BD$1843,$CG$7:$CG$1843,CG344,$BH$7:$BH$1843,BH344,$BX$7:$BX$1843,"&lt;="&amp;BX344),"")</f>
        <v>27473.8290960452</v>
      </c>
      <c r="BJ344" s="70" t="n">
        <f aca="false">IF(BI344="",0,MAX(0,MIN(1,(IF(CG344="L1",Parameter!$H$5,IF(CG344="L23",Parameter!$H$6+Parameter!$H$7,Parameter!$H$5+Parameter!$H$6+Parameter!$H$7))-(BI344-BD344))/BD344)))</f>
        <v>1</v>
      </c>
      <c r="BK344" s="60" t="str">
        <f aca="false">IF(AJ344&lt;=0,"",IF(CG344="Aussen","Aussenlager",IF(CG344="-","Nicht im Lift",IF(AP344&gt;=1,"Lift",IF(AP344&lt;=0,"Aussenlager","teilweise")))))</f>
        <v>Lift</v>
      </c>
      <c r="BL344" s="60" t="str">
        <f aca="false">IF(AT344&lt;=0,"",IF(CG344="Aussen","Aussenlager",IF(CG344="-","Nicht im Lift",IF(AZ344&gt;=1,"Lift",IF(AZ344&lt;=0,"Aussenlager","teilweise")))))</f>
        <v>Lift</v>
      </c>
      <c r="BM344" s="60" t="str">
        <f aca="false">IF(BD344&lt;=0,"",IF(CG344="Aussen","Aussenlager",IF(CG344="-","Nicht im Lift",IF(BJ344&gt;=1,"Lift",IF(BJ344&lt;=0,"Aussenlager","teilweise")))))</f>
        <v>Lift</v>
      </c>
      <c r="BN344" s="60" t="str">
        <f aca="false">IF(A344="","",IF(BW344=1,"Neu; ","")&amp;IF(AND(BW344=0,BR344&lt;0),"negativer Bestand (Export "&amp;BR344&amp;"); ","")&amp;IF(J344&lt;=0,"Kein Verbrauch; ","")&amp;IF(CR344&gt;0,"Lift "&amp;W344&amp;" lt. Liftbericht (Fach "&amp;X344&amp;" Stk); ",IF(CB344=1,"Gebinde geschätzt ("&amp;T344&amp;"); ",IF(CA344=1,"Lose – Tablare geschätzt; ","")))&amp;IF(H344&gt;AW344,"Überbestand "&amp;ROUND(H344-AW344,0)&amp;" Stk / CHF "&amp;ROUND((H344-AW344)*G344,0)&amp;"; ","")&amp;IF(AND(CI344=1,CJ344&lt;CK344),"MAX &lt; MB+LG; ","")&amp;IF(AND(CQ344&gt;0,CP344*10&gt;CQ344),"zu hoch für Tablar; ","")&amp;IF(AND(BW344=0,OR(CI344=1,AB344&lt;&gt;"",U344&lt;&gt;"",V344&lt;&gt;"",AC344&lt;&gt;"")),"manuell übersteuert; ","")&amp;IF(AND(CA344=0,R344=0),"Gebinde unbekannt / Stellmass fehlt; ","")&amp;IF(AND(CA344=0,N(V344)&lt;=0,N(Q344)&lt;=0),"Menge pro Gebinde fehlt (Ist = 1 Gebinde); ","")&amp;BV344)</f>
        <v>Kein Verbrauch; Gebinde geschätzt (Klein); Überbestand 20 Stk / CHF 157; Menge pro Gebinde fehlt (Ist = 1 Gebinde); </v>
      </c>
      <c r="BO344" s="60"/>
      <c r="BP344" s="60"/>
      <c r="BQ344" s="67"/>
      <c r="BR344" s="62" t="n">
        <v>25</v>
      </c>
      <c r="BS344" s="62" t="n">
        <v>0</v>
      </c>
      <c r="BT344" s="61" t="n">
        <v>196.75</v>
      </c>
      <c r="BU344" s="62" t="n">
        <v>0</v>
      </c>
      <c r="BV344" s="60"/>
      <c r="BW344" s="65" t="n">
        <v>0</v>
      </c>
      <c r="BX344" s="65" t="n">
        <v>344</v>
      </c>
      <c r="BY344" s="60" t="str">
        <f aca="false">IF(U344&lt;&gt;"",UPPER(TRIM(U344)),IF(CB344=1,UPPER(VLOOKUP(T344,Parameter!$I$27:$K$29,2,0)),IF(P344="","LOSE",P344)))</f>
        <v>S51</v>
      </c>
      <c r="BZ344" s="62" t="n">
        <f aca="false">IF(BY344="LOSE",1,IF(N(V344)&gt;0,V344,IF(CB344=1,MAX(1,N(VLOOKUP(T344,Parameter!$I$27:$K$29,3,0)),H344,N(N344)),IF(N(Q344)&gt;0,Q344,MAX(1,H344)))))</f>
        <v>25</v>
      </c>
      <c r="CA344" s="65" t="n">
        <f aca="false">IF(BY344="LOSE",1,0)</f>
        <v>0</v>
      </c>
      <c r="CB344" s="65" t="n">
        <f aca="false">IF(AND(U344="",OR(P344="",P344="LOSE"),T344&lt;&gt;"",N(S344)&lt;=0,ISNUMBER(MATCH(T344,Parameter!$I$27:$I$29,0))),1,0)</f>
        <v>1</v>
      </c>
      <c r="CC344" s="65" t="n">
        <f aca="false">IF(CR344&gt;0,INDEX(Parameter!$H$5:$H$7,W344)/INDEX(Parameter!$E$5:$E$7,W344),IF(AND(CA344=0,N(IFERROR(VLOOKUP(BY344,'Gebinde-Kategorie'!$A$5:$N$45,14,0),0))&gt;0),VLOOKUP(BY344,'Gebinde-Kategorie'!$A$5:$N$45,14,0)*10+Parameter!$M$23,Parameter!$M$24))</f>
        <v>155</v>
      </c>
      <c r="CD344" s="60" t="str">
        <f aca="false">IF(AND(Parameter!$B$19="Ja",E344&lt;&gt;"",ISNUMBER(MATCH(E344,Parameter!$I$35:$I$52,0))),VLOOKUP(E344,Parameter!$I$35:$J$52,2,0),IFERROR(VLOOKUP(D344,Parameter!$A$35:$C$64,2,0),"Nein"))</f>
        <v>2+3</v>
      </c>
      <c r="CE344" s="64" t="n">
        <f aca="false">IF(CA344=0,0,IF(N(S344)&gt;0,S344,IFERROR(VLOOKUP(D344,Parameter!$A$35:$C$64,3,0)+0,0)))</f>
        <v>0</v>
      </c>
      <c r="CF344" s="60" t="n">
        <f aca="false">IF(AB344&lt;&gt;"",AB344,AA344)</f>
        <v>3</v>
      </c>
      <c r="CG344" s="60" t="str">
        <f aca="false">IF(OR(CF344=1,CF344=2,CF344=3),IF(Parameter!$E$27="Ja","LIFT",IF(CF344=1,"L1","L23")),IF(CF344="Aussen","Aussen","-"))</f>
        <v>LIFT</v>
      </c>
      <c r="CH344" s="71" t="n">
        <f aca="false">IF(N(AC344)&gt;0,AC344,0)</f>
        <v>0</v>
      </c>
      <c r="CI344" s="65" t="n">
        <f aca="false">IF(ISNUMBER(AF344),1,0)</f>
        <v>0</v>
      </c>
      <c r="CJ344" s="62" t="n">
        <f aca="false">N(AF344)</f>
        <v>0</v>
      </c>
      <c r="CK344" s="62" t="n">
        <f aca="false">N(M344)+N(N344)</f>
        <v>5</v>
      </c>
      <c r="CL344" s="62" t="n">
        <f aca="false">N(M344)</f>
        <v>0</v>
      </c>
      <c r="CM344" s="62" t="n">
        <f aca="false">N(N344)</f>
        <v>5</v>
      </c>
      <c r="CN344" s="62" t="n">
        <f aca="false">ROUNDUP(H344/BZ344,0)</f>
        <v>1</v>
      </c>
      <c r="CO344" s="62" t="n">
        <f aca="false">ROUNDUP(CJ344/BZ344,0)</f>
        <v>0</v>
      </c>
      <c r="CP344" s="65" t="n">
        <f aca="false">IF(CA344=1,0,IFERROR(VLOOKUP(BY344,'Gebinde-Kategorie'!$A$5:$N$45,5,0)+0,0))</f>
        <v>11</v>
      </c>
      <c r="CQ344" s="65" t="n">
        <f aca="false">IFERROR(IF(OR(CF344=1,CF344=2,CF344=3),N(INDEX(Parameter!$I$5:$I$7,CF344)),0),0)</f>
        <v>0</v>
      </c>
      <c r="CR344" s="64" t="n">
        <f aca="false">IF(AND(Parameter!$B$21="Ja",ISNUMBER(W344),N(X344)&gt;0),IFERROR(N(INDEX(Parameter!$L$5:$L$7,W344))*INDEX(Parameter!$E$5:$E$7,W344)*X344/SUMIFS($X$7:$X$1843,$W$7:$W$1843,W344),0),0)</f>
        <v>0</v>
      </c>
      <c r="CS344" s="62" t="n">
        <f aca="false">IF(AND(OR(CG344="L1",CG344="L23",CG344="LIFT"),H344&gt;0),CC344*IF(CR344&gt;0,CR344*MAX(1,H344/X344),IF(CA344=1,CE344,IF(R344&gt;0,CN344/R344,0))/MAX(0.1,N(Parameter!$M$21))),"")</f>
        <v>5.96153846153846</v>
      </c>
      <c r="CT344" s="64" t="n">
        <f aca="false">IF(CS344="","",J344/H344)</f>
        <v>0</v>
      </c>
      <c r="CU344" s="62" t="n">
        <f aca="false">IF(CS344="","",H344*G344)</f>
        <v>196.75</v>
      </c>
      <c r="CV344" s="63" t="n">
        <f aca="false">IF(CS344="","",(CL344+ROUNDUP(CL344+MAX(CM344,2*(J344/MAX(0.1,N(Einkauf!$C$6))-CL344)),0))/2)</f>
        <v>2.5</v>
      </c>
      <c r="CW344" s="62" t="n">
        <f aca="false">IF(CS344="","",MAX(0,H344-CV344)*G344)</f>
        <v>177.075</v>
      </c>
      <c r="CX344" s="62" t="n">
        <f aca="false">IF(CS344="","",CS344*MAX(0,1-CV344/H344))</f>
        <v>5.36538461538462</v>
      </c>
      <c r="CY344" s="64" t="n">
        <f aca="false">IF(CS344="","",PERCENTRANK($CS$7:$CS$1843,CS344)+PERCENTRANK($CU$7:$CU$1843,CU344)+1-PERCENTRANK($CT$7:$CT$1843,CT344))</f>
        <v>1.695</v>
      </c>
      <c r="CZ344" s="72" t="n">
        <f aca="false">IF(CS344="","",CHOOSE(MATCH(Einkauf!$C$5,Parameter!$G$23:$G$27,0),CY344,CS344,CU344,-CT344,CW344)+ROW()/1000000000)</f>
        <v>1.695000344</v>
      </c>
    </row>
    <row r="345" customFormat="false" ht="15" hidden="false" customHeight="false" outlineLevel="0" collapsed="false">
      <c r="A345" s="60" t="s">
        <v>888</v>
      </c>
      <c r="B345" s="60" t="s">
        <v>889</v>
      </c>
      <c r="C345" s="60" t="s">
        <v>206</v>
      </c>
      <c r="D345" s="60" t="s">
        <v>226</v>
      </c>
      <c r="E345" s="60" t="s">
        <v>227</v>
      </c>
      <c r="F345" s="60" t="s">
        <v>260</v>
      </c>
      <c r="G345" s="61" t="n">
        <v>32.53</v>
      </c>
      <c r="H345" s="62" t="n">
        <f aca="false">MAX(0,IF(AND(Parameter!$B$21="Ja",ISNUMBER(Y345)),Y345,IF(Parameter!$B$20="Jahresanfang 2025 + Export",BS345+BR345,BR345)))</f>
        <v>16</v>
      </c>
      <c r="I345" s="62" t="n">
        <f aca="false">H345*G345</f>
        <v>520.48</v>
      </c>
      <c r="J345" s="62" t="n">
        <f aca="false">BU345*Parameter!$B$18</f>
        <v>20</v>
      </c>
      <c r="K345" s="63" t="n">
        <v>10</v>
      </c>
      <c r="L345" s="64" t="n">
        <v>2</v>
      </c>
      <c r="M345" s="62" t="n">
        <v>0</v>
      </c>
      <c r="N345" s="62" t="n">
        <v>20</v>
      </c>
      <c r="O345" s="65" t="n">
        <v>14</v>
      </c>
      <c r="P345" s="60" t="s">
        <v>344</v>
      </c>
      <c r="Q345" s="62" t="n">
        <v>37</v>
      </c>
      <c r="R345" s="65" t="n">
        <f aca="false">IF(CA345=1,0,IFERROR(VLOOKUP(BY345,'Gebinde-Kategorie'!$A$5:$N$45,13,0)+0,0))</f>
        <v>26</v>
      </c>
      <c r="S345" s="66"/>
      <c r="T345" s="67"/>
      <c r="U345" s="67"/>
      <c r="V345" s="67"/>
      <c r="W345" s="60"/>
      <c r="X345" s="62"/>
      <c r="Y345" s="62"/>
      <c r="Z345" s="60" t="n">
        <v>3</v>
      </c>
      <c r="AA345" s="60" t="n">
        <f aca="false">IF(A345="","",IF(AND(Parameter!$B$21="Ja",ISNUMBER(W345)),W345,IF(AND(Parameter!$E$27="Ja",ISNUMBER(Z345),CD345&lt;&gt;"Nein"),Z345,IF(CD345="2+3",IF(ISNUMBER(SEARCH("grosser Artikel",BV345)),2,IFERROR(VLOOKUP(BY345,Parameter!$F$35:$G$64,2,0),2)),IF(OR(CD345="Nein",CD345=""),"-",CD345)))))</f>
        <v>3</v>
      </c>
      <c r="AB345" s="67"/>
      <c r="AC345" s="68"/>
      <c r="AD345" s="62" t="n">
        <f aca="false">AW345</f>
        <v>20</v>
      </c>
      <c r="AE345" s="62" t="n">
        <f aca="false">MAX(AW345,H345)</f>
        <v>20</v>
      </c>
      <c r="AF345" s="69"/>
      <c r="AG345" s="62" t="n">
        <f aca="false">IF(LEFT(Cockpit!$C$5,1)="A",H345,IF(Parameter!$E$30="MAX-Bestand",IF(CI345=1,CJ345,IF(LEFT(Cockpit!$C$5,1)="B",AM345,MAX(AM345,H345))),ROUNDUP(AK345,0)))</f>
        <v>16</v>
      </c>
      <c r="AH345" s="62" t="n">
        <f aca="false">IF(CA345=1,0,ROUNDUP(AG345/BZ345,0))</f>
        <v>1</v>
      </c>
      <c r="AI345" s="64" t="n">
        <f aca="false">IF(CR345&gt;0,CR345*MAX(1,AG345/X345),IF(CA345=1,IF(AG345&lt;=0,0,CE345*MAX(1,IF(H345&gt;0,AG345/H345,1))),IF(R345&gt;0,AH345/R345,0))/MAX(0.1,N(Parameter!$M$21)))</f>
        <v>0.0384615384615385</v>
      </c>
      <c r="AJ345" s="62" t="n">
        <f aca="false">AI345*CC345</f>
        <v>5.96153846153846</v>
      </c>
      <c r="AK345" s="63" t="n">
        <f aca="false">IF(LEFT(Cockpit!$C$5,1)="A",H345,IF(CI345=1,(CL345+CJ345)/2,IF(LEFT(Cockpit!$C$5,1)="B",(CL345+AM345)/2,MAX((CL345+AM345)/2,H345))))</f>
        <v>16</v>
      </c>
      <c r="AL345" s="62" t="n">
        <f aca="false">AK345*G345</f>
        <v>520.48</v>
      </c>
      <c r="AM345" s="62" t="n">
        <f aca="false">ROUNDUP(CL345+MAX(CM345,2*(J345/IF(CH345&gt;0,CH345,MAX(0.1,N(Cockpit!$C$6)))-CL345)),0)</f>
        <v>20</v>
      </c>
      <c r="AN345" s="63" t="n">
        <f aca="false">IF(AJ345&gt;0,J345/AJ345,-1)</f>
        <v>3.35483870967742</v>
      </c>
      <c r="AO345" s="63" t="n">
        <f aca="false">IF(AND(OR(CG345="L1",CG345="L23",CG345="LIFT"),AJ345&gt;0),SUMIFS($AJ$7:$AJ$1843,$CG$7:$CG$1843,CG345,$AN$7:$AN$1843,"&gt;"&amp;AN345)+SUMIFS($AJ$7:$AJ$1843,$CG$7:$CG$1843,CG345,$AN$7:$AN$1843,AN345,$BX$7:$BX$1843,"&lt;="&amp;BX345),"")</f>
        <v>4912.36675824176</v>
      </c>
      <c r="AP345" s="70" t="n">
        <f aca="false">IF(AO345="",0,MAX(0,MIN(1,(IF(CG345="L1",Parameter!$H$5,IF(CG345="L23",Parameter!$H$6+Parameter!$H$7,Parameter!$H$5+Parameter!$H$6+Parameter!$H$7))-(AO345-AJ345))/AJ345)))</f>
        <v>1</v>
      </c>
      <c r="AQ345" s="62" t="n">
        <f aca="false">IF(LEFT(Cockpit!$I$5,1)="A",H345,IF(Parameter!$E$30="MAX-Bestand",IF(CI345=1,CJ345,IF(LEFT(Cockpit!$I$5,1)="B",AW345,MAX(AW345,H345))),ROUNDUP(AU345,0)))</f>
        <v>16</v>
      </c>
      <c r="AR345" s="62" t="n">
        <f aca="false">IF(CA345=1,0,ROUNDUP(AQ345/BZ345,0))</f>
        <v>1</v>
      </c>
      <c r="AS345" s="64" t="n">
        <f aca="false">IF(CR345&gt;0,CR345*MAX(1,AQ345/X345),IF(CA345=1,IF(AQ345&lt;=0,0,CE345*MAX(1,IF(H345&gt;0,AQ345/H345,1))),IF(R345&gt;0,AR345/R345,0))/MAX(0.1,N(Parameter!$M$21)))</f>
        <v>0.0384615384615385</v>
      </c>
      <c r="AT345" s="62" t="n">
        <f aca="false">AS345*CC345</f>
        <v>5.96153846153846</v>
      </c>
      <c r="AU345" s="63" t="n">
        <f aca="false">IF(LEFT(Cockpit!$I$5,1)="A",H345,IF(CI345=1,(CL345+CJ345)/2,IF(LEFT(Cockpit!$I$5,1)="B",(CL345+AW345)/2,MAX((CL345+AW345)/2,H345))))</f>
        <v>16</v>
      </c>
      <c r="AV345" s="62" t="n">
        <f aca="false">AU345*G345</f>
        <v>520.48</v>
      </c>
      <c r="AW345" s="62" t="n">
        <f aca="false">ROUNDUP(CL345+MAX(CM345,2*(J345/IF(CH345&gt;0,CH345,MAX(0.1,N(Cockpit!$I$6)))-CL345)),0)</f>
        <v>20</v>
      </c>
      <c r="AX345" s="63" t="n">
        <f aca="false">IF(AT345&gt;0,J345/AT345,-1)</f>
        <v>3.35483870967742</v>
      </c>
      <c r="AY345" s="63" t="n">
        <f aca="false">IF(AND(OR(CG345="L1",CG345="L23",CG345="LIFT"),AT345&gt;0),SUMIFS($AT$7:$AT$1843,$CG$7:$CG$1843,CG345,$AX$7:$AX$1843,"&gt;"&amp;AX345)+SUMIFS($AT$7:$AT$1843,$CG$7:$CG$1843,CG345,$AX$7:$AX$1843,AX345,$BX$7:$BX$1843,"&lt;="&amp;BX345),"")</f>
        <v>5576.20375457875</v>
      </c>
      <c r="AZ345" s="70" t="n">
        <f aca="false">IF(AY345="",0,MAX(0,MIN(1,(IF(CG345="L1",Parameter!$H$5,IF(CG345="L23",Parameter!$H$6+Parameter!$H$7,Parameter!$H$5+Parameter!$H$6+Parameter!$H$7))-(AY345-AT345))/AT345)))</f>
        <v>1</v>
      </c>
      <c r="BA345" s="62" t="n">
        <f aca="false">IF(LEFT(Cockpit!$O$5,1)="A",H345,IF(Parameter!$E$30="MAX-Bestand",IF(CI345=1,CJ345,IF(LEFT(Cockpit!$O$5,1)="B",BG345,MAX(BG345,H345))),ROUNDUP(BE345,0)))</f>
        <v>10</v>
      </c>
      <c r="BB345" s="62" t="n">
        <f aca="false">IF(CA345=1,0,ROUNDUP(BA345/BZ345,0))</f>
        <v>1</v>
      </c>
      <c r="BC345" s="64" t="n">
        <f aca="false">IF(CR345&gt;0,CR345*MAX(1,BA345/X345),IF(CA345=1,IF(BA345&lt;=0,0,CE345*MAX(1,IF(H345&gt;0,BA345/H345,1))),IF(R345&gt;0,BB345/R345,0))/MAX(0.1,N(Parameter!$M$21)))</f>
        <v>0.0384615384615385</v>
      </c>
      <c r="BD345" s="62" t="n">
        <f aca="false">BC345*CC345</f>
        <v>5.96153846153846</v>
      </c>
      <c r="BE345" s="63" t="n">
        <f aca="false">IF(LEFT(Cockpit!$O$5,1)="A",H345,IF(CI345=1,(CL345+CJ345)/2,IF(LEFT(Cockpit!$O$5,1)="B",(CL345+BG345)/2,MAX((CL345+BG345)/2,H345))))</f>
        <v>10</v>
      </c>
      <c r="BF345" s="62" t="n">
        <f aca="false">BE345*G345</f>
        <v>325.3</v>
      </c>
      <c r="BG345" s="62" t="n">
        <f aca="false">ROUNDUP(CL345+MAX(CM345,2*(J345/IF(CH345&gt;0,CH345,MAX(0.1,N(Cockpit!$O$6)))-CL345)),0)</f>
        <v>20</v>
      </c>
      <c r="BH345" s="63" t="n">
        <f aca="false">IF(BD345&gt;0,J345/BD345,-1)</f>
        <v>3.35483870967742</v>
      </c>
      <c r="BI345" s="63" t="n">
        <f aca="false">IF(AND(OR(CG345="L1",CG345="L23",CG345="LIFT"),BD345&gt;0),SUMIFS($BD$7:$BD$1843,$CG$7:$CG$1843,CG345,$BH$7:$BH$1843,"&gt;"&amp;BH345)+SUMIFS($BD$7:$BD$1843,$CG$7:$CG$1843,CG345,$BH$7:$BH$1843,BH345,$BX$7:$BX$1843,"&lt;="&amp;BX345),"")</f>
        <v>4571.32554945055</v>
      </c>
      <c r="BJ345" s="70" t="n">
        <f aca="false">IF(BI345="",0,MAX(0,MIN(1,(IF(CG345="L1",Parameter!$H$5,IF(CG345="L23",Parameter!$H$6+Parameter!$H$7,Parameter!$H$5+Parameter!$H$6+Parameter!$H$7))-(BI345-BD345))/BD345)))</f>
        <v>1</v>
      </c>
      <c r="BK345" s="60" t="str">
        <f aca="false">IF(AJ345&lt;=0,"",IF(CG345="Aussen","Aussenlager",IF(CG345="-","Nicht im Lift",IF(AP345&gt;=1,"Lift",IF(AP345&lt;=0,"Aussenlager","teilweise")))))</f>
        <v>Lift</v>
      </c>
      <c r="BL345" s="60" t="str">
        <f aca="false">IF(AT345&lt;=0,"",IF(CG345="Aussen","Aussenlager",IF(CG345="-","Nicht im Lift",IF(AZ345&gt;=1,"Lift",IF(AZ345&lt;=0,"Aussenlager","teilweise")))))</f>
        <v>Lift</v>
      </c>
      <c r="BM345" s="60" t="str">
        <f aca="false">IF(BD345&lt;=0,"",IF(CG345="Aussen","Aussenlager",IF(CG345="-","Nicht im Lift",IF(BJ345&gt;=1,"Lift",IF(BJ345&lt;=0,"Aussenlager","teilweise")))))</f>
        <v>Lift</v>
      </c>
      <c r="BN345" s="60" t="str">
        <f aca="false">IF(A345="","",IF(BW345=1,"Neu; ","")&amp;IF(AND(BW345=0,BR345&lt;0),"negativer Bestand (Export "&amp;BR345&amp;"); ","")&amp;IF(J345&lt;=0,"Kein Verbrauch; ","")&amp;IF(CR345&gt;0,"Lift "&amp;W345&amp;" lt. Liftbericht (Fach "&amp;X345&amp;" Stk); ",IF(CB345=1,"Gebinde geschätzt ("&amp;T345&amp;"); ",IF(CA345=1,"Lose – Tablare geschätzt; ","")))&amp;IF(H345&gt;AW345,"Überbestand "&amp;ROUND(H345-AW345,0)&amp;" Stk / CHF "&amp;ROUND((H345-AW345)*G345,0)&amp;"; ","")&amp;IF(AND(CI345=1,CJ345&lt;CK345),"MAX &lt; MB+LG; ","")&amp;IF(AND(CQ345&gt;0,CP345*10&gt;CQ345),"zu hoch für Tablar; ","")&amp;IF(AND(BW345=0,OR(CI345=1,AB345&lt;&gt;"",U345&lt;&gt;"",V345&lt;&gt;"",AC345&lt;&gt;"")),"manuell übersteuert; ","")&amp;IF(AND(CA345=0,R345=0),"Gebinde unbekannt / Stellmass fehlt; ","")&amp;IF(AND(CA345=0,N(V345)&lt;=0,N(Q345)&lt;=0),"Menge pro Gebinde fehlt (Ist = 1 Gebinde); ","")&amp;BV345)</f>
        <v/>
      </c>
      <c r="BO345" s="60"/>
      <c r="BP345" s="60"/>
      <c r="BQ345" s="67"/>
      <c r="BR345" s="62" t="n">
        <v>6</v>
      </c>
      <c r="BS345" s="62" t="n">
        <v>10</v>
      </c>
      <c r="BT345" s="61" t="n">
        <v>195.58</v>
      </c>
      <c r="BU345" s="62" t="n">
        <v>20</v>
      </c>
      <c r="BV345" s="60"/>
      <c r="BW345" s="65" t="n">
        <v>0</v>
      </c>
      <c r="BX345" s="65" t="n">
        <v>345</v>
      </c>
      <c r="BY345" s="60" t="str">
        <f aca="false">IF(U345&lt;&gt;"",UPPER(TRIM(U345)),IF(CB345=1,UPPER(VLOOKUP(T345,Parameter!$I$27:$K$29,2,0)),IF(P345="","LOSE",P345)))</f>
        <v>S51</v>
      </c>
      <c r="BZ345" s="62" t="n">
        <f aca="false">IF(BY345="LOSE",1,IF(N(V345)&gt;0,V345,IF(CB345=1,MAX(1,N(VLOOKUP(T345,Parameter!$I$27:$K$29,3,0)),H345,N(N345)),IF(N(Q345)&gt;0,Q345,MAX(1,H345)))))</f>
        <v>37</v>
      </c>
      <c r="CA345" s="65" t="n">
        <f aca="false">IF(BY345="LOSE",1,0)</f>
        <v>0</v>
      </c>
      <c r="CB345" s="65" t="n">
        <f aca="false">IF(AND(U345="",OR(P345="",P345="LOSE"),T345&lt;&gt;"",N(S345)&lt;=0,ISNUMBER(MATCH(T345,Parameter!$I$27:$I$29,0))),1,0)</f>
        <v>0</v>
      </c>
      <c r="CC345" s="65" t="n">
        <f aca="false">IF(CR345&gt;0,INDEX(Parameter!$H$5:$H$7,W345)/INDEX(Parameter!$E$5:$E$7,W345),IF(AND(CA345=0,N(IFERROR(VLOOKUP(BY345,'Gebinde-Kategorie'!$A$5:$N$45,14,0),0))&gt;0),VLOOKUP(BY345,'Gebinde-Kategorie'!$A$5:$N$45,14,0)*10+Parameter!$M$23,Parameter!$M$24))</f>
        <v>155</v>
      </c>
      <c r="CD345" s="60" t="str">
        <f aca="false">IF(AND(Parameter!$B$19="Ja",E345&lt;&gt;"",ISNUMBER(MATCH(E345,Parameter!$I$35:$I$52,0))),VLOOKUP(E345,Parameter!$I$35:$J$52,2,0),IFERROR(VLOOKUP(D345,Parameter!$A$35:$C$64,2,0),"Nein"))</f>
        <v>2+3</v>
      </c>
      <c r="CE345" s="64" t="n">
        <f aca="false">IF(CA345=0,0,IF(N(S345)&gt;0,S345,IFERROR(VLOOKUP(D345,Parameter!$A$35:$C$64,3,0)+0,0)))</f>
        <v>0</v>
      </c>
      <c r="CF345" s="60" t="n">
        <f aca="false">IF(AB345&lt;&gt;"",AB345,AA345)</f>
        <v>3</v>
      </c>
      <c r="CG345" s="60" t="str">
        <f aca="false">IF(OR(CF345=1,CF345=2,CF345=3),IF(Parameter!$E$27="Ja","LIFT",IF(CF345=1,"L1","L23")),IF(CF345="Aussen","Aussen","-"))</f>
        <v>LIFT</v>
      </c>
      <c r="CH345" s="71" t="n">
        <f aca="false">IF(N(AC345)&gt;0,AC345,0)</f>
        <v>0</v>
      </c>
      <c r="CI345" s="65" t="n">
        <f aca="false">IF(ISNUMBER(AF345),1,0)</f>
        <v>0</v>
      </c>
      <c r="CJ345" s="62" t="n">
        <f aca="false">N(AF345)</f>
        <v>0</v>
      </c>
      <c r="CK345" s="62" t="n">
        <f aca="false">N(M345)+N(N345)</f>
        <v>20</v>
      </c>
      <c r="CL345" s="62" t="n">
        <f aca="false">N(M345)</f>
        <v>0</v>
      </c>
      <c r="CM345" s="62" t="n">
        <f aca="false">N(N345)</f>
        <v>20</v>
      </c>
      <c r="CN345" s="62" t="n">
        <f aca="false">ROUNDUP(H345/BZ345,0)</f>
        <v>1</v>
      </c>
      <c r="CO345" s="62" t="n">
        <f aca="false">ROUNDUP(CJ345/BZ345,0)</f>
        <v>0</v>
      </c>
      <c r="CP345" s="65" t="n">
        <f aca="false">IF(CA345=1,0,IFERROR(VLOOKUP(BY345,'Gebinde-Kategorie'!$A$5:$N$45,5,0)+0,0))</f>
        <v>11</v>
      </c>
      <c r="CQ345" s="65" t="n">
        <f aca="false">IFERROR(IF(OR(CF345=1,CF345=2,CF345=3),N(INDEX(Parameter!$I$5:$I$7,CF345)),0),0)</f>
        <v>0</v>
      </c>
      <c r="CR345" s="64" t="n">
        <f aca="false">IF(AND(Parameter!$B$21="Ja",ISNUMBER(W345),N(X345)&gt;0),IFERROR(N(INDEX(Parameter!$L$5:$L$7,W345))*INDEX(Parameter!$E$5:$E$7,W345)*X345/SUMIFS($X$7:$X$1843,$W$7:$W$1843,W345),0),0)</f>
        <v>0</v>
      </c>
      <c r="CS345" s="62" t="n">
        <f aca="false">IF(AND(OR(CG345="L1",CG345="L23",CG345="LIFT"),H345&gt;0),CC345*IF(CR345&gt;0,CR345*MAX(1,H345/X345),IF(CA345=1,CE345,IF(R345&gt;0,CN345/R345,0))/MAX(0.1,N(Parameter!$M$21))),"")</f>
        <v>5.96153846153846</v>
      </c>
      <c r="CT345" s="64" t="n">
        <f aca="false">IF(CS345="","",J345/H345)</f>
        <v>1.25</v>
      </c>
      <c r="CU345" s="62" t="n">
        <f aca="false">IF(CS345="","",H345*G345)</f>
        <v>520.48</v>
      </c>
      <c r="CV345" s="63" t="n">
        <f aca="false">IF(CS345="","",(CL345+ROUNDUP(CL345+MAX(CM345,2*(J345/MAX(0.1,N(Einkauf!$C$6))-CL345)),0))/2)</f>
        <v>10</v>
      </c>
      <c r="CW345" s="62" t="n">
        <f aca="false">IF(CS345="","",MAX(0,H345-CV345)*G345)</f>
        <v>195.18</v>
      </c>
      <c r="CX345" s="62" t="n">
        <f aca="false">IF(CS345="","",CS345*MAX(0,1-CV345/H345))</f>
        <v>2.23557692307692</v>
      </c>
      <c r="CY345" s="64" t="n">
        <f aca="false">IF(CS345="","",PERCENTRANK($CS$7:$CS$1843,CS345)+PERCENTRANK($CU$7:$CU$1843,CU345)+1-PERCENTRANK($CT$7:$CT$1843,CT345))</f>
        <v>1.154</v>
      </c>
      <c r="CZ345" s="72" t="n">
        <f aca="false">IF(CS345="","",CHOOSE(MATCH(Einkauf!$C$5,Parameter!$G$23:$G$27,0),CY345,CS345,CU345,-CT345,CW345)+ROW()/1000000000)</f>
        <v>1.154000345</v>
      </c>
    </row>
    <row r="346" customFormat="false" ht="15" hidden="false" customHeight="false" outlineLevel="0" collapsed="false">
      <c r="A346" s="60" t="s">
        <v>890</v>
      </c>
      <c r="B346" s="60" t="s">
        <v>891</v>
      </c>
      <c r="C346" s="60" t="s">
        <v>206</v>
      </c>
      <c r="D346" s="60" t="s">
        <v>892</v>
      </c>
      <c r="E346" s="60"/>
      <c r="F346" s="60" t="s">
        <v>260</v>
      </c>
      <c r="G346" s="61" t="n">
        <v>32.1</v>
      </c>
      <c r="H346" s="62" t="n">
        <f aca="false">MAX(0,IF(AND(Parameter!$B$21="Ja",ISNUMBER(Y346)),Y346,IF(Parameter!$B$20="Jahresanfang 2025 + Export",BS346+BR346,BR346)))</f>
        <v>6</v>
      </c>
      <c r="I346" s="62" t="n">
        <f aca="false">H346*G346</f>
        <v>192.6</v>
      </c>
      <c r="J346" s="62" t="n">
        <f aca="false">BU346*Parameter!$B$18</f>
        <v>6</v>
      </c>
      <c r="K346" s="63" t="n">
        <v>0</v>
      </c>
      <c r="L346" s="64" t="n">
        <v>0</v>
      </c>
      <c r="M346" s="62" t="n">
        <v>0</v>
      </c>
      <c r="N346" s="62" t="n">
        <v>6</v>
      </c>
      <c r="O346" s="65" t="n">
        <v>14</v>
      </c>
      <c r="P346" s="60" t="s">
        <v>210</v>
      </c>
      <c r="Q346" s="62"/>
      <c r="R346" s="65" t="n">
        <f aca="false">IF(CA346=1,0,IFERROR(VLOOKUP(BY346,'Gebinde-Kategorie'!$A$5:$N$45,13,0)+0,0))</f>
        <v>0</v>
      </c>
      <c r="S346" s="66"/>
      <c r="T346" s="67"/>
      <c r="U346" s="67"/>
      <c r="V346" s="67"/>
      <c r="W346" s="60"/>
      <c r="X346" s="62"/>
      <c r="Y346" s="62"/>
      <c r="Z346" s="60"/>
      <c r="AA346" s="60" t="str">
        <f aca="false">IF(A346="","",IF(AND(Parameter!$B$21="Ja",ISNUMBER(W346)),W346,IF(AND(Parameter!$E$27="Ja",ISNUMBER(Z346),CD346&lt;&gt;"Nein"),Z346,IF(CD346="2+3",IF(ISNUMBER(SEARCH("grosser Artikel",BV346)),2,IFERROR(VLOOKUP(BY346,Parameter!$F$35:$G$64,2,0),2)),IF(OR(CD346="Nein",CD346=""),"-",CD346)))))</f>
        <v>-</v>
      </c>
      <c r="AB346" s="67"/>
      <c r="AC346" s="68"/>
      <c r="AD346" s="62" t="n">
        <f aca="false">AW346</f>
        <v>6</v>
      </c>
      <c r="AE346" s="62" t="n">
        <f aca="false">MAX(AW346,H346)</f>
        <v>6</v>
      </c>
      <c r="AF346" s="69"/>
      <c r="AG346" s="62" t="n">
        <f aca="false">IF(LEFT(Cockpit!$C$5,1)="A",H346,IF(Parameter!$E$30="MAX-Bestand",IF(CI346=1,CJ346,IF(LEFT(Cockpit!$C$5,1)="B",AM346,MAX(AM346,H346))),ROUNDUP(AK346,0)))</f>
        <v>6</v>
      </c>
      <c r="AH346" s="62" t="n">
        <f aca="false">IF(CA346=1,0,ROUNDUP(AG346/BZ346,0))</f>
        <v>0</v>
      </c>
      <c r="AI346" s="64" t="n">
        <f aca="false">IF(CR346&gt;0,CR346*MAX(1,AG346/X346),IF(CA346=1,IF(AG346&lt;=0,0,CE346*MAX(1,IF(H346&gt;0,AG346/H346,1))),IF(R346&gt;0,AH346/R346,0))/MAX(0.1,N(Parameter!$M$21)))</f>
        <v>0.15</v>
      </c>
      <c r="AJ346" s="62" t="n">
        <f aca="false">AI346*CC346</f>
        <v>35.25</v>
      </c>
      <c r="AK346" s="63" t="n">
        <f aca="false">IF(LEFT(Cockpit!$C$5,1)="A",H346,IF(CI346=1,(CL346+CJ346)/2,IF(LEFT(Cockpit!$C$5,1)="B",(CL346+AM346)/2,MAX((CL346+AM346)/2,H346))))</f>
        <v>6</v>
      </c>
      <c r="AL346" s="62" t="n">
        <f aca="false">AK346*G346</f>
        <v>192.6</v>
      </c>
      <c r="AM346" s="62" t="n">
        <f aca="false">ROUNDUP(CL346+MAX(CM346,2*(J346/IF(CH346&gt;0,CH346,MAX(0.1,N(Cockpit!$C$6)))-CL346)),0)</f>
        <v>6</v>
      </c>
      <c r="AN346" s="63" t="n">
        <f aca="false">IF(AJ346&gt;0,J346/AJ346,-1)</f>
        <v>0.170212765957447</v>
      </c>
      <c r="AO346" s="63" t="str">
        <f aca="false">IF(AND(OR(CG346="L1",CG346="L23",CG346="LIFT"),AJ346&gt;0),SUMIFS($AJ$7:$AJ$1843,$CG$7:$CG$1843,CG346,$AN$7:$AN$1843,"&gt;"&amp;AN346)+SUMIFS($AJ$7:$AJ$1843,$CG$7:$CG$1843,CG346,$AN$7:$AN$1843,AN346,$BX$7:$BX$1843,"&lt;="&amp;BX346),"")</f>
        <v/>
      </c>
      <c r="AP346" s="70" t="n">
        <f aca="false">IF(AO346="",0,MAX(0,MIN(1,(IF(CG346="L1",Parameter!$H$5,IF(CG346="L23",Parameter!$H$6+Parameter!$H$7,Parameter!$H$5+Parameter!$H$6+Parameter!$H$7))-(AO346-AJ346))/AJ346)))</f>
        <v>0</v>
      </c>
      <c r="AQ346" s="62" t="n">
        <f aca="false">IF(LEFT(Cockpit!$I$5,1)="A",H346,IF(Parameter!$E$30="MAX-Bestand",IF(CI346=1,CJ346,IF(LEFT(Cockpit!$I$5,1)="B",AW346,MAX(AW346,H346))),ROUNDUP(AU346,0)))</f>
        <v>6</v>
      </c>
      <c r="AR346" s="62" t="n">
        <f aca="false">IF(CA346=1,0,ROUNDUP(AQ346/BZ346,0))</f>
        <v>0</v>
      </c>
      <c r="AS346" s="64" t="n">
        <f aca="false">IF(CR346&gt;0,CR346*MAX(1,AQ346/X346),IF(CA346=1,IF(AQ346&lt;=0,0,CE346*MAX(1,IF(H346&gt;0,AQ346/H346,1))),IF(R346&gt;0,AR346/R346,0))/MAX(0.1,N(Parameter!$M$21)))</f>
        <v>0.15</v>
      </c>
      <c r="AT346" s="62" t="n">
        <f aca="false">AS346*CC346</f>
        <v>35.25</v>
      </c>
      <c r="AU346" s="63" t="n">
        <f aca="false">IF(LEFT(Cockpit!$I$5,1)="A",H346,IF(CI346=1,(CL346+CJ346)/2,IF(LEFT(Cockpit!$I$5,1)="B",(CL346+AW346)/2,MAX((CL346+AW346)/2,H346))))</f>
        <v>6</v>
      </c>
      <c r="AV346" s="62" t="n">
        <f aca="false">AU346*G346</f>
        <v>192.6</v>
      </c>
      <c r="AW346" s="62" t="n">
        <f aca="false">ROUNDUP(CL346+MAX(CM346,2*(J346/IF(CH346&gt;0,CH346,MAX(0.1,N(Cockpit!$I$6)))-CL346)),0)</f>
        <v>6</v>
      </c>
      <c r="AX346" s="63" t="n">
        <f aca="false">IF(AT346&gt;0,J346/AT346,-1)</f>
        <v>0.170212765957447</v>
      </c>
      <c r="AY346" s="63" t="str">
        <f aca="false">IF(AND(OR(CG346="L1",CG346="L23",CG346="LIFT"),AT346&gt;0),SUMIFS($AT$7:$AT$1843,$CG$7:$CG$1843,CG346,$AX$7:$AX$1843,"&gt;"&amp;AX346)+SUMIFS($AT$7:$AT$1843,$CG$7:$CG$1843,CG346,$AX$7:$AX$1843,AX346,$BX$7:$BX$1843,"&lt;="&amp;BX346),"")</f>
        <v/>
      </c>
      <c r="AZ346" s="70" t="n">
        <f aca="false">IF(AY346="",0,MAX(0,MIN(1,(IF(CG346="L1",Parameter!$H$5,IF(CG346="L23",Parameter!$H$6+Parameter!$H$7,Parameter!$H$5+Parameter!$H$6+Parameter!$H$7))-(AY346-AT346))/AT346)))</f>
        <v>0</v>
      </c>
      <c r="BA346" s="62" t="n">
        <f aca="false">IF(LEFT(Cockpit!$O$5,1)="A",H346,IF(Parameter!$E$30="MAX-Bestand",IF(CI346=1,CJ346,IF(LEFT(Cockpit!$O$5,1)="B",BG346,MAX(BG346,H346))),ROUNDUP(BE346,0)))</f>
        <v>3</v>
      </c>
      <c r="BB346" s="62" t="n">
        <f aca="false">IF(CA346=1,0,ROUNDUP(BA346/BZ346,0))</f>
        <v>0</v>
      </c>
      <c r="BC346" s="64" t="n">
        <f aca="false">IF(CR346&gt;0,CR346*MAX(1,BA346/X346),IF(CA346=1,IF(BA346&lt;=0,0,CE346*MAX(1,IF(H346&gt;0,BA346/H346,1))),IF(R346&gt;0,BB346/R346,0))/MAX(0.1,N(Parameter!$M$21)))</f>
        <v>0.15</v>
      </c>
      <c r="BD346" s="62" t="n">
        <f aca="false">BC346*CC346</f>
        <v>35.25</v>
      </c>
      <c r="BE346" s="63" t="n">
        <f aca="false">IF(LEFT(Cockpit!$O$5,1)="A",H346,IF(CI346=1,(CL346+CJ346)/2,IF(LEFT(Cockpit!$O$5,1)="B",(CL346+BG346)/2,MAX((CL346+BG346)/2,H346))))</f>
        <v>3</v>
      </c>
      <c r="BF346" s="62" t="n">
        <f aca="false">BE346*G346</f>
        <v>96.3</v>
      </c>
      <c r="BG346" s="62" t="n">
        <f aca="false">ROUNDUP(CL346+MAX(CM346,2*(J346/IF(CH346&gt;0,CH346,MAX(0.1,N(Cockpit!$O$6)))-CL346)),0)</f>
        <v>6</v>
      </c>
      <c r="BH346" s="63" t="n">
        <f aca="false">IF(BD346&gt;0,J346/BD346,-1)</f>
        <v>0.170212765957447</v>
      </c>
      <c r="BI346" s="63" t="str">
        <f aca="false">IF(AND(OR(CG346="L1",CG346="L23",CG346="LIFT"),BD346&gt;0),SUMIFS($BD$7:$BD$1843,$CG$7:$CG$1843,CG346,$BH$7:$BH$1843,"&gt;"&amp;BH346)+SUMIFS($BD$7:$BD$1843,$CG$7:$CG$1843,CG346,$BH$7:$BH$1843,BH346,$BX$7:$BX$1843,"&lt;="&amp;BX346),"")</f>
        <v/>
      </c>
      <c r="BJ346" s="70" t="n">
        <f aca="false">IF(BI346="",0,MAX(0,MIN(1,(IF(CG346="L1",Parameter!$H$5,IF(CG346="L23",Parameter!$H$6+Parameter!$H$7,Parameter!$H$5+Parameter!$H$6+Parameter!$H$7))-(BI346-BD346))/BD346)))</f>
        <v>0</v>
      </c>
      <c r="BK346" s="60" t="str">
        <f aca="false">IF(AJ346&lt;=0,"",IF(CG346="Aussen","Aussenlager",IF(CG346="-","Nicht im Lift",IF(AP346&gt;=1,"Lift",IF(AP346&lt;=0,"Aussenlager","teilweise")))))</f>
        <v>Nicht im Lift</v>
      </c>
      <c r="BL346" s="60" t="str">
        <f aca="false">IF(AT346&lt;=0,"",IF(CG346="Aussen","Aussenlager",IF(CG346="-","Nicht im Lift",IF(AZ346&gt;=1,"Lift",IF(AZ346&lt;=0,"Aussenlager","teilweise")))))</f>
        <v>Nicht im Lift</v>
      </c>
      <c r="BM346" s="60" t="str">
        <f aca="false">IF(BD346&lt;=0,"",IF(CG346="Aussen","Aussenlager",IF(CG346="-","Nicht im Lift",IF(BJ346&gt;=1,"Lift",IF(BJ346&lt;=0,"Aussenlager","teilweise")))))</f>
        <v>Nicht im Lift</v>
      </c>
      <c r="BN346" s="60" t="str">
        <f aca="false">IF(A346="","",IF(BW346=1,"Neu; ","")&amp;IF(AND(BW346=0,BR346&lt;0),"negativer Bestand (Export "&amp;BR346&amp;"); ","")&amp;IF(J346&lt;=0,"Kein Verbrauch; ","")&amp;IF(CR346&gt;0,"Lift "&amp;W346&amp;" lt. Liftbericht (Fach "&amp;X346&amp;" Stk); ",IF(CB346=1,"Gebinde geschätzt ("&amp;T346&amp;"); ",IF(CA346=1,"Lose – Tablare geschätzt; ","")))&amp;IF(H346&gt;AW346,"Überbestand "&amp;ROUND(H346-AW346,0)&amp;" Stk / CHF "&amp;ROUND((H346-AW346)*G346,0)&amp;"; ","")&amp;IF(AND(CI346=1,CJ346&lt;CK346),"MAX &lt; MB+LG; ","")&amp;IF(AND(CQ346&gt;0,CP346*10&gt;CQ346),"zu hoch für Tablar; ","")&amp;IF(AND(BW346=0,OR(CI346=1,AB346&lt;&gt;"",U346&lt;&gt;"",V346&lt;&gt;"",AC346&lt;&gt;"")),"manuell übersteuert; ","")&amp;IF(AND(CA346=0,R346=0),"Gebinde unbekannt / Stellmass fehlt; ","")&amp;IF(AND(CA346=0,N(V346)&lt;=0,N(Q346)&lt;=0),"Menge pro Gebinde fehlt (Ist = 1 Gebinde); ","")&amp;BV346)</f>
        <v>Lose – Tablare geschätzt; </v>
      </c>
      <c r="BO346" s="60"/>
      <c r="BP346" s="60"/>
      <c r="BQ346" s="67"/>
      <c r="BR346" s="62" t="n">
        <v>6</v>
      </c>
      <c r="BS346" s="62" t="n">
        <v>0</v>
      </c>
      <c r="BT346" s="61" t="n">
        <v>192.6</v>
      </c>
      <c r="BU346" s="62" t="n">
        <v>6</v>
      </c>
      <c r="BV346" s="60"/>
      <c r="BW346" s="65" t="n">
        <v>0</v>
      </c>
      <c r="BX346" s="65" t="n">
        <v>346</v>
      </c>
      <c r="BY346" s="60" t="str">
        <f aca="false">IF(U346&lt;&gt;"",UPPER(TRIM(U346)),IF(CB346=1,UPPER(VLOOKUP(T346,Parameter!$I$27:$K$29,2,0)),IF(P346="","LOSE",P346)))</f>
        <v>LOSE</v>
      </c>
      <c r="BZ346" s="62" t="n">
        <f aca="false">IF(BY346="LOSE",1,IF(N(V346)&gt;0,V346,IF(CB346=1,MAX(1,N(VLOOKUP(T346,Parameter!$I$27:$K$29,3,0)),H346,N(N346)),IF(N(Q346)&gt;0,Q346,MAX(1,H346)))))</f>
        <v>1</v>
      </c>
      <c r="CA346" s="65" t="n">
        <f aca="false">IF(BY346="LOSE",1,0)</f>
        <v>1</v>
      </c>
      <c r="CB346" s="65" t="n">
        <f aca="false">IF(AND(U346="",OR(P346="",P346="LOSE"),T346&lt;&gt;"",N(S346)&lt;=0,ISNUMBER(MATCH(T346,Parameter!$I$27:$I$29,0))),1,0)</f>
        <v>0</v>
      </c>
      <c r="CC346" s="65" t="n">
        <f aca="false">IF(CR346&gt;0,INDEX(Parameter!$H$5:$H$7,W346)/INDEX(Parameter!$E$5:$E$7,W346),IF(AND(CA346=0,N(IFERROR(VLOOKUP(BY346,'Gebinde-Kategorie'!$A$5:$N$45,14,0),0))&gt;0),VLOOKUP(BY346,'Gebinde-Kategorie'!$A$5:$N$45,14,0)*10+Parameter!$M$23,Parameter!$M$24))</f>
        <v>235</v>
      </c>
      <c r="CD346" s="60" t="str">
        <f aca="false">IF(AND(Parameter!$B$19="Ja",E346&lt;&gt;"",ISNUMBER(MATCH(E346,Parameter!$I$35:$I$52,0))),VLOOKUP(E346,Parameter!$I$35:$J$52,2,0),IFERROR(VLOOKUP(D346,Parameter!$A$35:$C$64,2,0),"Nein"))</f>
        <v>Nein</v>
      </c>
      <c r="CE346" s="64" t="n">
        <f aca="false">IF(CA346=0,0,IF(N(S346)&gt;0,S346,IFERROR(VLOOKUP(D346,Parameter!$A$35:$C$64,3,0)+0,0)))</f>
        <v>0.15</v>
      </c>
      <c r="CF346" s="60" t="str">
        <f aca="false">IF(AB346&lt;&gt;"",AB346,AA346)</f>
        <v>-</v>
      </c>
      <c r="CG346" s="60" t="str">
        <f aca="false">IF(OR(CF346=1,CF346=2,CF346=3),IF(Parameter!$E$27="Ja","LIFT",IF(CF346=1,"L1","L23")),IF(CF346="Aussen","Aussen","-"))</f>
        <v>-</v>
      </c>
      <c r="CH346" s="71" t="n">
        <f aca="false">IF(N(AC346)&gt;0,AC346,0)</f>
        <v>0</v>
      </c>
      <c r="CI346" s="65" t="n">
        <f aca="false">IF(ISNUMBER(AF346),1,0)</f>
        <v>0</v>
      </c>
      <c r="CJ346" s="62" t="n">
        <f aca="false">N(AF346)</f>
        <v>0</v>
      </c>
      <c r="CK346" s="62" t="n">
        <f aca="false">N(M346)+N(N346)</f>
        <v>6</v>
      </c>
      <c r="CL346" s="62" t="n">
        <f aca="false">N(M346)</f>
        <v>0</v>
      </c>
      <c r="CM346" s="62" t="n">
        <f aca="false">N(N346)</f>
        <v>6</v>
      </c>
      <c r="CN346" s="62" t="n">
        <f aca="false">ROUNDUP(H346/BZ346,0)</f>
        <v>6</v>
      </c>
      <c r="CO346" s="62" t="n">
        <f aca="false">ROUNDUP(CJ346/BZ346,0)</f>
        <v>0</v>
      </c>
      <c r="CP346" s="65" t="n">
        <f aca="false">IF(CA346=1,0,IFERROR(VLOOKUP(BY346,'Gebinde-Kategorie'!$A$5:$N$45,5,0)+0,0))</f>
        <v>0</v>
      </c>
      <c r="CQ346" s="65" t="n">
        <f aca="false">IFERROR(IF(OR(CF346=1,CF346=2,CF346=3),N(INDEX(Parameter!$I$5:$I$7,CF346)),0),0)</f>
        <v>0</v>
      </c>
      <c r="CR346" s="64" t="n">
        <f aca="false">IF(AND(Parameter!$B$21="Ja",ISNUMBER(W346),N(X346)&gt;0),IFERROR(N(INDEX(Parameter!$L$5:$L$7,W346))*INDEX(Parameter!$E$5:$E$7,W346)*X346/SUMIFS($X$7:$X$1843,$W$7:$W$1843,W346),0),0)</f>
        <v>0</v>
      </c>
      <c r="CS346" s="62" t="str">
        <f aca="false">IF(AND(OR(CG346="L1",CG346="L23",CG346="LIFT"),H346&gt;0),CC346*IF(CR346&gt;0,CR346*MAX(1,H346/X346),IF(CA346=1,CE346,IF(R346&gt;0,CN346/R346,0))/MAX(0.1,N(Parameter!$M$21))),"")</f>
        <v/>
      </c>
      <c r="CT346" s="64" t="str">
        <f aca="false">IF(CS346="","",J346/H346)</f>
        <v/>
      </c>
      <c r="CU346" s="62" t="str">
        <f aca="false">IF(CS346="","",H346*G346)</f>
        <v/>
      </c>
      <c r="CV346" s="63" t="str">
        <f aca="false">IF(CS346="","",(CL346+ROUNDUP(CL346+MAX(CM346,2*(J346/MAX(0.1,N(Einkauf!$C$6))-CL346)),0))/2)</f>
        <v/>
      </c>
      <c r="CW346" s="62" t="str">
        <f aca="false">IF(CS346="","",MAX(0,H346-CV346)*G346)</f>
        <v/>
      </c>
      <c r="CX346" s="62" t="str">
        <f aca="false">IF(CS346="","",CS346*MAX(0,1-CV346/H346))</f>
        <v/>
      </c>
      <c r="CY346" s="64" t="str">
        <f aca="false">IF(CS346="","",PERCENTRANK($CS$7:$CS$1843,CS346)+PERCENTRANK($CU$7:$CU$1843,CU346)+1-PERCENTRANK($CT$7:$CT$1843,CT346))</f>
        <v/>
      </c>
      <c r="CZ346" s="72" t="str">
        <f aca="false">IF(CS346="","",CHOOSE(MATCH(Einkauf!$C$5,Parameter!$G$23:$G$27,0),CY346,CS346,CU346,-CT346,CW346)+ROW()/1000000000)</f>
        <v/>
      </c>
    </row>
    <row r="347" customFormat="false" ht="15" hidden="false" customHeight="false" outlineLevel="0" collapsed="false">
      <c r="A347" s="60" t="s">
        <v>893</v>
      </c>
      <c r="B347" s="60" t="s">
        <v>894</v>
      </c>
      <c r="C347" s="60" t="s">
        <v>206</v>
      </c>
      <c r="D347" s="60" t="s">
        <v>226</v>
      </c>
      <c r="E347" s="60" t="s">
        <v>227</v>
      </c>
      <c r="F347" s="60" t="s">
        <v>260</v>
      </c>
      <c r="G347" s="61" t="n">
        <v>5.4</v>
      </c>
      <c r="H347" s="62" t="n">
        <f aca="false">MAX(0,IF(AND(Parameter!$B$21="Ja",ISNUMBER(Y347)),Y347,IF(Parameter!$B$20="Jahresanfang 2025 + Export",BS347+BR347,BR347)))</f>
        <v>47</v>
      </c>
      <c r="I347" s="62" t="n">
        <f aca="false">H347*G347</f>
        <v>253.8</v>
      </c>
      <c r="J347" s="62" t="n">
        <f aca="false">BU347*Parameter!$B$18</f>
        <v>50</v>
      </c>
      <c r="K347" s="63" t="n">
        <v>11</v>
      </c>
      <c r="L347" s="64" t="n">
        <v>4.54545454545455</v>
      </c>
      <c r="M347" s="62" t="n">
        <v>1</v>
      </c>
      <c r="N347" s="62" t="n">
        <v>50</v>
      </c>
      <c r="O347" s="65" t="n">
        <v>14</v>
      </c>
      <c r="P347" s="60" t="s">
        <v>344</v>
      </c>
      <c r="Q347" s="62" t="n">
        <v>30</v>
      </c>
      <c r="R347" s="65" t="n">
        <f aca="false">IF(CA347=1,0,IFERROR(VLOOKUP(BY347,'Gebinde-Kategorie'!$A$5:$N$45,13,0)+0,0))</f>
        <v>26</v>
      </c>
      <c r="S347" s="66"/>
      <c r="T347" s="67"/>
      <c r="U347" s="67"/>
      <c r="V347" s="67"/>
      <c r="W347" s="60"/>
      <c r="X347" s="62"/>
      <c r="Y347" s="62"/>
      <c r="Z347" s="60" t="n">
        <v>3</v>
      </c>
      <c r="AA347" s="60" t="n">
        <f aca="false">IF(A347="","",IF(AND(Parameter!$B$21="Ja",ISNUMBER(W347)),W347,IF(AND(Parameter!$E$27="Ja",ISNUMBER(Z347),CD347&lt;&gt;"Nein"),Z347,IF(CD347="2+3",IF(ISNUMBER(SEARCH("grosser Artikel",BV347)),2,IFERROR(VLOOKUP(BY347,Parameter!$F$35:$G$64,2,0),2)),IF(OR(CD347="Nein",CD347=""),"-",CD347)))))</f>
        <v>3</v>
      </c>
      <c r="AB347" s="67"/>
      <c r="AC347" s="68"/>
      <c r="AD347" s="62" t="n">
        <f aca="false">AW347</f>
        <v>51</v>
      </c>
      <c r="AE347" s="62" t="n">
        <f aca="false">MAX(AW347,H347)</f>
        <v>51</v>
      </c>
      <c r="AF347" s="69"/>
      <c r="AG347" s="62" t="n">
        <f aca="false">IF(LEFT(Cockpit!$C$5,1)="A",H347,IF(Parameter!$E$30="MAX-Bestand",IF(CI347=1,CJ347,IF(LEFT(Cockpit!$C$5,1)="B",AM347,MAX(AM347,H347))),ROUNDUP(AK347,0)))</f>
        <v>47</v>
      </c>
      <c r="AH347" s="62" t="n">
        <f aca="false">IF(CA347=1,0,ROUNDUP(AG347/BZ347,0))</f>
        <v>2</v>
      </c>
      <c r="AI347" s="64" t="n">
        <f aca="false">IF(CR347&gt;0,CR347*MAX(1,AG347/X347),IF(CA347=1,IF(AG347&lt;=0,0,CE347*MAX(1,IF(H347&gt;0,AG347/H347,1))),IF(R347&gt;0,AH347/R347,0))/MAX(0.1,N(Parameter!$M$21)))</f>
        <v>0.0769230769230769</v>
      </c>
      <c r="AJ347" s="62" t="n">
        <f aca="false">AI347*CC347</f>
        <v>11.9230769230769</v>
      </c>
      <c r="AK347" s="63" t="n">
        <f aca="false">IF(LEFT(Cockpit!$C$5,1)="A",H347,IF(CI347=1,(CL347+CJ347)/2,IF(LEFT(Cockpit!$C$5,1)="B",(CL347+AM347)/2,MAX((CL347+AM347)/2,H347))))</f>
        <v>47</v>
      </c>
      <c r="AL347" s="62" t="n">
        <f aca="false">AK347*G347</f>
        <v>253.8</v>
      </c>
      <c r="AM347" s="62" t="n">
        <f aca="false">ROUNDUP(CL347+MAX(CM347,2*(J347/IF(CH347&gt;0,CH347,MAX(0.1,N(Cockpit!$C$6)))-CL347)),0)</f>
        <v>51</v>
      </c>
      <c r="AN347" s="63" t="n">
        <f aca="false">IF(AJ347&gt;0,J347/AJ347,-1)</f>
        <v>4.19354838709677</v>
      </c>
      <c r="AO347" s="63" t="n">
        <f aca="false">IF(AND(OR(CG347="L1",CG347="L23",CG347="LIFT"),AJ347&gt;0),SUMIFS($AJ$7:$AJ$1843,$CG$7:$CG$1843,CG347,$AN$7:$AN$1843,"&gt;"&amp;AN347)+SUMIFS($AJ$7:$AJ$1843,$CG$7:$CG$1843,CG347,$AN$7:$AN$1843,AN347,$BX$7:$BX$1843,"&lt;="&amp;BX347),"")</f>
        <v>4198.4967948718</v>
      </c>
      <c r="AP347" s="70" t="n">
        <f aca="false">IF(AO347="",0,MAX(0,MIN(1,(IF(CG347="L1",Parameter!$H$5,IF(CG347="L23",Parameter!$H$6+Parameter!$H$7,Parameter!$H$5+Parameter!$H$6+Parameter!$H$7))-(AO347-AJ347))/AJ347)))</f>
        <v>1</v>
      </c>
      <c r="AQ347" s="62" t="n">
        <f aca="false">IF(LEFT(Cockpit!$I$5,1)="A",H347,IF(Parameter!$E$30="MAX-Bestand",IF(CI347=1,CJ347,IF(LEFT(Cockpit!$I$5,1)="B",AW347,MAX(AW347,H347))),ROUNDUP(AU347,0)))</f>
        <v>47</v>
      </c>
      <c r="AR347" s="62" t="n">
        <f aca="false">IF(CA347=1,0,ROUNDUP(AQ347/BZ347,0))</f>
        <v>2</v>
      </c>
      <c r="AS347" s="64" t="n">
        <f aca="false">IF(CR347&gt;0,CR347*MAX(1,AQ347/X347),IF(CA347=1,IF(AQ347&lt;=0,0,CE347*MAX(1,IF(H347&gt;0,AQ347/H347,1))),IF(R347&gt;0,AR347/R347,0))/MAX(0.1,N(Parameter!$M$21)))</f>
        <v>0.0769230769230769</v>
      </c>
      <c r="AT347" s="62" t="n">
        <f aca="false">AS347*CC347</f>
        <v>11.9230769230769</v>
      </c>
      <c r="AU347" s="63" t="n">
        <f aca="false">IF(LEFT(Cockpit!$I$5,1)="A",H347,IF(CI347=1,(CL347+CJ347)/2,IF(LEFT(Cockpit!$I$5,1)="B",(CL347+AW347)/2,MAX((CL347+AW347)/2,H347))))</f>
        <v>47</v>
      </c>
      <c r="AV347" s="62" t="n">
        <f aca="false">AU347*G347</f>
        <v>253.8</v>
      </c>
      <c r="AW347" s="62" t="n">
        <f aca="false">ROUNDUP(CL347+MAX(CM347,2*(J347/IF(CH347&gt;0,CH347,MAX(0.1,N(Cockpit!$I$6)))-CL347)),0)</f>
        <v>51</v>
      </c>
      <c r="AX347" s="63" t="n">
        <f aca="false">IF(AT347&gt;0,J347/AT347,-1)</f>
        <v>4.19354838709677</v>
      </c>
      <c r="AY347" s="63" t="n">
        <f aca="false">IF(AND(OR(CG347="L1",CG347="L23",CG347="LIFT"),AT347&gt;0),SUMIFS($AT$7:$AT$1843,$CG$7:$CG$1843,CG347,$AX$7:$AX$1843,"&gt;"&amp;AX347)+SUMIFS($AT$7:$AT$1843,$CG$7:$CG$1843,CG347,$AX$7:$AX$1843,AX347,$BX$7:$BX$1843,"&lt;="&amp;BX347),"")</f>
        <v>4823.48763736264</v>
      </c>
      <c r="AZ347" s="70" t="n">
        <f aca="false">IF(AY347="",0,MAX(0,MIN(1,(IF(CG347="L1",Parameter!$H$5,IF(CG347="L23",Parameter!$H$6+Parameter!$H$7,Parameter!$H$5+Parameter!$H$6+Parameter!$H$7))-(AY347-AT347))/AT347)))</f>
        <v>1</v>
      </c>
      <c r="BA347" s="62" t="n">
        <f aca="false">IF(LEFT(Cockpit!$O$5,1)="A",H347,IF(Parameter!$E$30="MAX-Bestand",IF(CI347=1,CJ347,IF(LEFT(Cockpit!$O$5,1)="B",BG347,MAX(BG347,H347))),ROUNDUP(BE347,0)))</f>
        <v>26</v>
      </c>
      <c r="BB347" s="62" t="n">
        <f aca="false">IF(CA347=1,0,ROUNDUP(BA347/BZ347,0))</f>
        <v>1</v>
      </c>
      <c r="BC347" s="64" t="n">
        <f aca="false">IF(CR347&gt;0,CR347*MAX(1,BA347/X347),IF(CA347=1,IF(BA347&lt;=0,0,CE347*MAX(1,IF(H347&gt;0,BA347/H347,1))),IF(R347&gt;0,BB347/R347,0))/MAX(0.1,N(Parameter!$M$21)))</f>
        <v>0.0384615384615385</v>
      </c>
      <c r="BD347" s="62" t="n">
        <f aca="false">BC347*CC347</f>
        <v>5.96153846153846</v>
      </c>
      <c r="BE347" s="63" t="n">
        <f aca="false">IF(LEFT(Cockpit!$O$5,1)="A",H347,IF(CI347=1,(CL347+CJ347)/2,IF(LEFT(Cockpit!$O$5,1)="B",(CL347+BG347)/2,MAX((CL347+BG347)/2,H347))))</f>
        <v>26</v>
      </c>
      <c r="BF347" s="62" t="n">
        <f aca="false">BE347*G347</f>
        <v>140.4</v>
      </c>
      <c r="BG347" s="62" t="n">
        <f aca="false">ROUNDUP(CL347+MAX(CM347,2*(J347/IF(CH347&gt;0,CH347,MAX(0.1,N(Cockpit!$O$6)))-CL347)),0)</f>
        <v>51</v>
      </c>
      <c r="BH347" s="63" t="n">
        <f aca="false">IF(BD347&gt;0,J347/BD347,-1)</f>
        <v>8.38709677419355</v>
      </c>
      <c r="BI347" s="63" t="n">
        <f aca="false">IF(AND(OR(CG347="L1",CG347="L23",CG347="LIFT"),BD347&gt;0),SUMIFS($BD$7:$BD$1843,$CG$7:$CG$1843,CG347,$BH$7:$BH$1843,"&gt;"&amp;BH347)+SUMIFS($BD$7:$BD$1843,$CG$7:$CG$1843,CG347,$BH$7:$BH$1843,BH347,$BX$7:$BX$1843,"&lt;="&amp;BX347),"")</f>
        <v>2957.65888278388</v>
      </c>
      <c r="BJ347" s="70" t="n">
        <f aca="false">IF(BI347="",0,MAX(0,MIN(1,(IF(CG347="L1",Parameter!$H$5,IF(CG347="L23",Parameter!$H$6+Parameter!$H$7,Parameter!$H$5+Parameter!$H$6+Parameter!$H$7))-(BI347-BD347))/BD347)))</f>
        <v>1</v>
      </c>
      <c r="BK347" s="60" t="str">
        <f aca="false">IF(AJ347&lt;=0,"",IF(CG347="Aussen","Aussenlager",IF(CG347="-","Nicht im Lift",IF(AP347&gt;=1,"Lift",IF(AP347&lt;=0,"Aussenlager","teilweise")))))</f>
        <v>Lift</v>
      </c>
      <c r="BL347" s="60" t="str">
        <f aca="false">IF(AT347&lt;=0,"",IF(CG347="Aussen","Aussenlager",IF(CG347="-","Nicht im Lift",IF(AZ347&gt;=1,"Lift",IF(AZ347&lt;=0,"Aussenlager","teilweise")))))</f>
        <v>Lift</v>
      </c>
      <c r="BM347" s="60" t="str">
        <f aca="false">IF(BD347&lt;=0,"",IF(CG347="Aussen","Aussenlager",IF(CG347="-","Nicht im Lift",IF(BJ347&gt;=1,"Lift",IF(BJ347&lt;=0,"Aussenlager","teilweise")))))</f>
        <v>Lift</v>
      </c>
      <c r="BN347" s="60" t="str">
        <f aca="false">IF(A347="","",IF(BW347=1,"Neu; ","")&amp;IF(AND(BW347=0,BR347&lt;0),"negativer Bestand (Export "&amp;BR347&amp;"); ","")&amp;IF(J347&lt;=0,"Kein Verbrauch; ","")&amp;IF(CR347&gt;0,"Lift "&amp;W347&amp;" lt. Liftbericht (Fach "&amp;X347&amp;" Stk); ",IF(CB347=1,"Gebinde geschätzt ("&amp;T347&amp;"); ",IF(CA347=1,"Lose – Tablare geschätzt; ","")))&amp;IF(H347&gt;AW347,"Überbestand "&amp;ROUND(H347-AW347,0)&amp;" Stk / CHF "&amp;ROUND((H347-AW347)*G347,0)&amp;"; ","")&amp;IF(AND(CI347=1,CJ347&lt;CK347),"MAX &lt; MB+LG; ","")&amp;IF(AND(CQ347&gt;0,CP347*10&gt;CQ347),"zu hoch für Tablar; ","")&amp;IF(AND(BW347=0,OR(CI347=1,AB347&lt;&gt;"",U347&lt;&gt;"",V347&lt;&gt;"",AC347&lt;&gt;"")),"manuell übersteuert; ","")&amp;IF(AND(CA347=0,R347=0),"Gebinde unbekannt / Stellmass fehlt; ","")&amp;IF(AND(CA347=0,N(V347)&lt;=0,N(Q347)&lt;=0),"Menge pro Gebinde fehlt (Ist = 1 Gebinde); ","")&amp;BV347)</f>
        <v/>
      </c>
      <c r="BO347" s="60"/>
      <c r="BP347" s="60"/>
      <c r="BQ347" s="67"/>
      <c r="BR347" s="62" t="n">
        <v>35</v>
      </c>
      <c r="BS347" s="62" t="n">
        <v>12</v>
      </c>
      <c r="BT347" s="61" t="n">
        <v>185.4</v>
      </c>
      <c r="BU347" s="62" t="n">
        <v>50</v>
      </c>
      <c r="BV347" s="60"/>
      <c r="BW347" s="65" t="n">
        <v>0</v>
      </c>
      <c r="BX347" s="65" t="n">
        <v>347</v>
      </c>
      <c r="BY347" s="60" t="str">
        <f aca="false">IF(U347&lt;&gt;"",UPPER(TRIM(U347)),IF(CB347=1,UPPER(VLOOKUP(T347,Parameter!$I$27:$K$29,2,0)),IF(P347="","LOSE",P347)))</f>
        <v>S51</v>
      </c>
      <c r="BZ347" s="62" t="n">
        <f aca="false">IF(BY347="LOSE",1,IF(N(V347)&gt;0,V347,IF(CB347=1,MAX(1,N(VLOOKUP(T347,Parameter!$I$27:$K$29,3,0)),H347,N(N347)),IF(N(Q347)&gt;0,Q347,MAX(1,H347)))))</f>
        <v>30</v>
      </c>
      <c r="CA347" s="65" t="n">
        <f aca="false">IF(BY347="LOSE",1,0)</f>
        <v>0</v>
      </c>
      <c r="CB347" s="65" t="n">
        <f aca="false">IF(AND(U347="",OR(P347="",P347="LOSE"),T347&lt;&gt;"",N(S347)&lt;=0,ISNUMBER(MATCH(T347,Parameter!$I$27:$I$29,0))),1,0)</f>
        <v>0</v>
      </c>
      <c r="CC347" s="65" t="n">
        <f aca="false">IF(CR347&gt;0,INDEX(Parameter!$H$5:$H$7,W347)/INDEX(Parameter!$E$5:$E$7,W347),IF(AND(CA347=0,N(IFERROR(VLOOKUP(BY347,'Gebinde-Kategorie'!$A$5:$N$45,14,0),0))&gt;0),VLOOKUP(BY347,'Gebinde-Kategorie'!$A$5:$N$45,14,0)*10+Parameter!$M$23,Parameter!$M$24))</f>
        <v>155</v>
      </c>
      <c r="CD347" s="60" t="str">
        <f aca="false">IF(AND(Parameter!$B$19="Ja",E347&lt;&gt;"",ISNUMBER(MATCH(E347,Parameter!$I$35:$I$52,0))),VLOOKUP(E347,Parameter!$I$35:$J$52,2,0),IFERROR(VLOOKUP(D347,Parameter!$A$35:$C$64,2,0),"Nein"))</f>
        <v>2+3</v>
      </c>
      <c r="CE347" s="64" t="n">
        <f aca="false">IF(CA347=0,0,IF(N(S347)&gt;0,S347,IFERROR(VLOOKUP(D347,Parameter!$A$35:$C$64,3,0)+0,0)))</f>
        <v>0</v>
      </c>
      <c r="CF347" s="60" t="n">
        <f aca="false">IF(AB347&lt;&gt;"",AB347,AA347)</f>
        <v>3</v>
      </c>
      <c r="CG347" s="60" t="str">
        <f aca="false">IF(OR(CF347=1,CF347=2,CF347=3),IF(Parameter!$E$27="Ja","LIFT",IF(CF347=1,"L1","L23")),IF(CF347="Aussen","Aussen","-"))</f>
        <v>LIFT</v>
      </c>
      <c r="CH347" s="71" t="n">
        <f aca="false">IF(N(AC347)&gt;0,AC347,0)</f>
        <v>0</v>
      </c>
      <c r="CI347" s="65" t="n">
        <f aca="false">IF(ISNUMBER(AF347),1,0)</f>
        <v>0</v>
      </c>
      <c r="CJ347" s="62" t="n">
        <f aca="false">N(AF347)</f>
        <v>0</v>
      </c>
      <c r="CK347" s="62" t="n">
        <f aca="false">N(M347)+N(N347)</f>
        <v>51</v>
      </c>
      <c r="CL347" s="62" t="n">
        <f aca="false">N(M347)</f>
        <v>1</v>
      </c>
      <c r="CM347" s="62" t="n">
        <f aca="false">N(N347)</f>
        <v>50</v>
      </c>
      <c r="CN347" s="62" t="n">
        <f aca="false">ROUNDUP(H347/BZ347,0)</f>
        <v>2</v>
      </c>
      <c r="CO347" s="62" t="n">
        <f aca="false">ROUNDUP(CJ347/BZ347,0)</f>
        <v>0</v>
      </c>
      <c r="CP347" s="65" t="n">
        <f aca="false">IF(CA347=1,0,IFERROR(VLOOKUP(BY347,'Gebinde-Kategorie'!$A$5:$N$45,5,0)+0,0))</f>
        <v>11</v>
      </c>
      <c r="CQ347" s="65" t="n">
        <f aca="false">IFERROR(IF(OR(CF347=1,CF347=2,CF347=3),N(INDEX(Parameter!$I$5:$I$7,CF347)),0),0)</f>
        <v>0</v>
      </c>
      <c r="CR347" s="64" t="n">
        <f aca="false">IF(AND(Parameter!$B$21="Ja",ISNUMBER(W347),N(X347)&gt;0),IFERROR(N(INDEX(Parameter!$L$5:$L$7,W347))*INDEX(Parameter!$E$5:$E$7,W347)*X347/SUMIFS($X$7:$X$1843,$W$7:$W$1843,W347),0),0)</f>
        <v>0</v>
      </c>
      <c r="CS347" s="62" t="n">
        <f aca="false">IF(AND(OR(CG347="L1",CG347="L23",CG347="LIFT"),H347&gt;0),CC347*IF(CR347&gt;0,CR347*MAX(1,H347/X347),IF(CA347=1,CE347,IF(R347&gt;0,CN347/R347,0))/MAX(0.1,N(Parameter!$M$21))),"")</f>
        <v>11.9230769230769</v>
      </c>
      <c r="CT347" s="64" t="n">
        <f aca="false">IF(CS347="","",J347/H347)</f>
        <v>1.06382978723404</v>
      </c>
      <c r="CU347" s="62" t="n">
        <f aca="false">IF(CS347="","",H347*G347)</f>
        <v>253.8</v>
      </c>
      <c r="CV347" s="63" t="n">
        <f aca="false">IF(CS347="","",(CL347+ROUNDUP(CL347+MAX(CM347,2*(J347/MAX(0.1,N(Einkauf!$C$6))-CL347)),0))/2)</f>
        <v>26</v>
      </c>
      <c r="CW347" s="62" t="n">
        <f aca="false">IF(CS347="","",MAX(0,H347-CV347)*G347)</f>
        <v>113.4</v>
      </c>
      <c r="CX347" s="62" t="n">
        <f aca="false">IF(CS347="","",CS347*MAX(0,1-CV347/H347))</f>
        <v>5.32733224222586</v>
      </c>
      <c r="CY347" s="64" t="n">
        <f aca="false">IF(CS347="","",PERCENTRANK($CS$7:$CS$1843,CS347)+PERCENTRANK($CU$7:$CU$1843,CU347)+1-PERCENTRANK($CT$7:$CT$1843,CT347))</f>
        <v>1.333</v>
      </c>
      <c r="CZ347" s="72" t="n">
        <f aca="false">IF(CS347="","",CHOOSE(MATCH(Einkauf!$C$5,Parameter!$G$23:$G$27,0),CY347,CS347,CU347,-CT347,CW347)+ROW()/1000000000)</f>
        <v>1.333000347</v>
      </c>
    </row>
    <row r="348" customFormat="false" ht="15" hidden="false" customHeight="false" outlineLevel="0" collapsed="false">
      <c r="A348" s="60" t="s">
        <v>895</v>
      </c>
      <c r="B348" s="60" t="s">
        <v>805</v>
      </c>
      <c r="C348" s="60" t="s">
        <v>206</v>
      </c>
      <c r="D348" s="60" t="s">
        <v>226</v>
      </c>
      <c r="E348" s="60"/>
      <c r="F348" s="60" t="s">
        <v>260</v>
      </c>
      <c r="G348" s="61" t="n">
        <v>7.4</v>
      </c>
      <c r="H348" s="62" t="n">
        <f aca="false">MAX(0,IF(AND(Parameter!$B$21="Ja",ISNUMBER(Y348)),Y348,IF(Parameter!$B$20="Jahresanfang 2025 + Export",BS348+BR348,BR348)))</f>
        <v>25</v>
      </c>
      <c r="I348" s="62" t="n">
        <f aca="false">H348*G348</f>
        <v>185</v>
      </c>
      <c r="J348" s="62" t="n">
        <f aca="false">BU348*Parameter!$B$18</f>
        <v>0</v>
      </c>
      <c r="K348" s="63" t="n">
        <v>0</v>
      </c>
      <c r="L348" s="64" t="n">
        <v>0</v>
      </c>
      <c r="M348" s="62" t="n">
        <v>0</v>
      </c>
      <c r="N348" s="62" t="n">
        <v>1</v>
      </c>
      <c r="O348" s="65" t="n">
        <v>9999</v>
      </c>
      <c r="P348" s="60" t="s">
        <v>210</v>
      </c>
      <c r="Q348" s="62"/>
      <c r="R348" s="65" t="n">
        <f aca="false">IF(CA348=1,0,IFERROR(VLOOKUP(BY348,'Gebinde-Kategorie'!$A$5:$N$45,13,0)+0,0))</f>
        <v>26</v>
      </c>
      <c r="S348" s="66"/>
      <c r="T348" s="67" t="s">
        <v>317</v>
      </c>
      <c r="U348" s="67"/>
      <c r="V348" s="67"/>
      <c r="W348" s="60"/>
      <c r="X348" s="62"/>
      <c r="Y348" s="62"/>
      <c r="Z348" s="60" t="n">
        <v>3</v>
      </c>
      <c r="AA348" s="60" t="n">
        <f aca="false">IF(A348="","",IF(AND(Parameter!$B$21="Ja",ISNUMBER(W348)),W348,IF(AND(Parameter!$E$27="Ja",ISNUMBER(Z348),CD348&lt;&gt;"Nein"),Z348,IF(CD348="2+3",IF(ISNUMBER(SEARCH("grosser Artikel",BV348)),2,IFERROR(VLOOKUP(BY348,Parameter!$F$35:$G$64,2,0),2)),IF(OR(CD348="Nein",CD348=""),"-",CD348)))))</f>
        <v>3</v>
      </c>
      <c r="AB348" s="67"/>
      <c r="AC348" s="68"/>
      <c r="AD348" s="62" t="n">
        <f aca="false">AW348</f>
        <v>1</v>
      </c>
      <c r="AE348" s="62" t="n">
        <f aca="false">MAX(AW348,H348)</f>
        <v>25</v>
      </c>
      <c r="AF348" s="69"/>
      <c r="AG348" s="62" t="n">
        <f aca="false">IF(LEFT(Cockpit!$C$5,1)="A",H348,IF(Parameter!$E$30="MAX-Bestand",IF(CI348=1,CJ348,IF(LEFT(Cockpit!$C$5,1)="B",AM348,MAX(AM348,H348))),ROUNDUP(AK348,0)))</f>
        <v>25</v>
      </c>
      <c r="AH348" s="62" t="n">
        <f aca="false">IF(CA348=1,0,ROUNDUP(AG348/BZ348,0))</f>
        <v>1</v>
      </c>
      <c r="AI348" s="64" t="n">
        <f aca="false">IF(CR348&gt;0,CR348*MAX(1,AG348/X348),IF(CA348=1,IF(AG348&lt;=0,0,CE348*MAX(1,IF(H348&gt;0,AG348/H348,1))),IF(R348&gt;0,AH348/R348,0))/MAX(0.1,N(Parameter!$M$21)))</f>
        <v>0.0384615384615385</v>
      </c>
      <c r="AJ348" s="62" t="n">
        <f aca="false">AI348*CC348</f>
        <v>5.96153846153846</v>
      </c>
      <c r="AK348" s="63" t="n">
        <f aca="false">IF(LEFT(Cockpit!$C$5,1)="A",H348,IF(CI348=1,(CL348+CJ348)/2,IF(LEFT(Cockpit!$C$5,1)="B",(CL348+AM348)/2,MAX((CL348+AM348)/2,H348))))</f>
        <v>25</v>
      </c>
      <c r="AL348" s="62" t="n">
        <f aca="false">AK348*G348</f>
        <v>185</v>
      </c>
      <c r="AM348" s="62" t="n">
        <f aca="false">ROUNDUP(CL348+MAX(CM348,2*(J348/IF(CH348&gt;0,CH348,MAX(0.1,N(Cockpit!$C$6)))-CL348)),0)</f>
        <v>1</v>
      </c>
      <c r="AN348" s="63" t="n">
        <f aca="false">IF(AJ348&gt;0,J348/AJ348,-1)</f>
        <v>0</v>
      </c>
      <c r="AO348" s="63" t="n">
        <f aca="false">IF(AND(OR(CG348="L1",CG348="L23",CG348="LIFT"),AJ348&gt;0),SUMIFS($AJ$7:$AJ$1843,$CG$7:$CG$1843,CG348,$AN$7:$AN$1843,"&gt;"&amp;AN348)+SUMIFS($AJ$7:$AJ$1843,$CG$7:$CG$1843,CG348,$AN$7:$AN$1843,AN348,$BX$7:$BX$1843,"&lt;="&amp;BX348),"")</f>
        <v>28013.1050216262</v>
      </c>
      <c r="AP348" s="70" t="n">
        <f aca="false">IF(AO348="",0,MAX(0,MIN(1,(IF(CG348="L1",Parameter!$H$5,IF(CG348="L23",Parameter!$H$6+Parameter!$H$7,Parameter!$H$5+Parameter!$H$6+Parameter!$H$7))-(AO348-AJ348))/AJ348)))</f>
        <v>1</v>
      </c>
      <c r="AQ348" s="62" t="n">
        <f aca="false">IF(LEFT(Cockpit!$I$5,1)="A",H348,IF(Parameter!$E$30="MAX-Bestand",IF(CI348=1,CJ348,IF(LEFT(Cockpit!$I$5,1)="B",AW348,MAX(AW348,H348))),ROUNDUP(AU348,0)))</f>
        <v>25</v>
      </c>
      <c r="AR348" s="62" t="n">
        <f aca="false">IF(CA348=1,0,ROUNDUP(AQ348/BZ348,0))</f>
        <v>1</v>
      </c>
      <c r="AS348" s="64" t="n">
        <f aca="false">IF(CR348&gt;0,CR348*MAX(1,AQ348/X348),IF(CA348=1,IF(AQ348&lt;=0,0,CE348*MAX(1,IF(H348&gt;0,AQ348/H348,1))),IF(R348&gt;0,AR348/R348,0))/MAX(0.1,N(Parameter!$M$21)))</f>
        <v>0.0384615384615385</v>
      </c>
      <c r="AT348" s="62" t="n">
        <f aca="false">AS348*CC348</f>
        <v>5.96153846153846</v>
      </c>
      <c r="AU348" s="63" t="n">
        <f aca="false">IF(LEFT(Cockpit!$I$5,1)="A",H348,IF(CI348=1,(CL348+CJ348)/2,IF(LEFT(Cockpit!$I$5,1)="B",(CL348+AW348)/2,MAX((CL348+AW348)/2,H348))))</f>
        <v>25</v>
      </c>
      <c r="AV348" s="62" t="n">
        <f aca="false">AU348*G348</f>
        <v>185</v>
      </c>
      <c r="AW348" s="62" t="n">
        <f aca="false">ROUNDUP(CL348+MAX(CM348,2*(J348/IF(CH348&gt;0,CH348,MAX(0.1,N(Cockpit!$I$6)))-CL348)),0)</f>
        <v>1</v>
      </c>
      <c r="AX348" s="63" t="n">
        <f aca="false">IF(AT348&gt;0,J348/AT348,-1)</f>
        <v>0</v>
      </c>
      <c r="AY348" s="63" t="n">
        <f aca="false">IF(AND(OR(CG348="L1",CG348="L23",CG348="LIFT"),AT348&gt;0),SUMIFS($AT$7:$AT$1843,$CG$7:$CG$1843,CG348,$AX$7:$AX$1843,"&gt;"&amp;AX348)+SUMIFS($AT$7:$AT$1843,$CG$7:$CG$1843,CG348,$AX$7:$AX$1843,AX348,$BX$7:$BX$1843,"&lt;="&amp;BX348),"")</f>
        <v>33366.2536630037</v>
      </c>
      <c r="AZ348" s="70" t="n">
        <f aca="false">IF(AY348="",0,MAX(0,MIN(1,(IF(CG348="L1",Parameter!$H$5,IF(CG348="L23",Parameter!$H$6+Parameter!$H$7,Parameter!$H$5+Parameter!$H$6+Parameter!$H$7))-(AY348-AT348))/AT348)))</f>
        <v>1</v>
      </c>
      <c r="BA348" s="62" t="n">
        <f aca="false">IF(LEFT(Cockpit!$O$5,1)="A",H348,IF(Parameter!$E$30="MAX-Bestand",IF(CI348=1,CJ348,IF(LEFT(Cockpit!$O$5,1)="B",BG348,MAX(BG348,H348))),ROUNDUP(BE348,0)))</f>
        <v>1</v>
      </c>
      <c r="BB348" s="62" t="n">
        <f aca="false">IF(CA348=1,0,ROUNDUP(BA348/BZ348,0))</f>
        <v>1</v>
      </c>
      <c r="BC348" s="64" t="n">
        <f aca="false">IF(CR348&gt;0,CR348*MAX(1,BA348/X348),IF(CA348=1,IF(BA348&lt;=0,0,CE348*MAX(1,IF(H348&gt;0,BA348/H348,1))),IF(R348&gt;0,BB348/R348,0))/MAX(0.1,N(Parameter!$M$21)))</f>
        <v>0.0384615384615385</v>
      </c>
      <c r="BD348" s="62" t="n">
        <f aca="false">BC348*CC348</f>
        <v>5.96153846153846</v>
      </c>
      <c r="BE348" s="63" t="n">
        <f aca="false">IF(LEFT(Cockpit!$O$5,1)="A",H348,IF(CI348=1,(CL348+CJ348)/2,IF(LEFT(Cockpit!$O$5,1)="B",(CL348+BG348)/2,MAX((CL348+BG348)/2,H348))))</f>
        <v>0.5</v>
      </c>
      <c r="BF348" s="62" t="n">
        <f aca="false">BE348*G348</f>
        <v>3.7</v>
      </c>
      <c r="BG348" s="62" t="n">
        <f aca="false">ROUNDUP(CL348+MAX(CM348,2*(J348/IF(CH348&gt;0,CH348,MAX(0.1,N(Cockpit!$O$6)))-CL348)),0)</f>
        <v>1</v>
      </c>
      <c r="BH348" s="63" t="n">
        <f aca="false">IF(BD348&gt;0,J348/BD348,-1)</f>
        <v>0</v>
      </c>
      <c r="BI348" s="63" t="n">
        <f aca="false">IF(AND(OR(CG348="L1",CG348="L23",CG348="LIFT"),BD348&gt;0),SUMIFS($BD$7:$BD$1843,$CG$7:$CG$1843,CG348,$BH$7:$BH$1843,"&gt;"&amp;BH348)+SUMIFS($BD$7:$BD$1843,$CG$7:$CG$1843,CG348,$BH$7:$BH$1843,BH348,$BX$7:$BX$1843,"&lt;="&amp;BX348),"")</f>
        <v>27479.7906345067</v>
      </c>
      <c r="BJ348" s="70" t="n">
        <f aca="false">IF(BI348="",0,MAX(0,MIN(1,(IF(CG348="L1",Parameter!$H$5,IF(CG348="L23",Parameter!$H$6+Parameter!$H$7,Parameter!$H$5+Parameter!$H$6+Parameter!$H$7))-(BI348-BD348))/BD348)))</f>
        <v>1</v>
      </c>
      <c r="BK348" s="60" t="str">
        <f aca="false">IF(AJ348&lt;=0,"",IF(CG348="Aussen","Aussenlager",IF(CG348="-","Nicht im Lift",IF(AP348&gt;=1,"Lift",IF(AP348&lt;=0,"Aussenlager","teilweise")))))</f>
        <v>Lift</v>
      </c>
      <c r="BL348" s="60" t="str">
        <f aca="false">IF(AT348&lt;=0,"",IF(CG348="Aussen","Aussenlager",IF(CG348="-","Nicht im Lift",IF(AZ348&gt;=1,"Lift",IF(AZ348&lt;=0,"Aussenlager","teilweise")))))</f>
        <v>Lift</v>
      </c>
      <c r="BM348" s="60" t="str">
        <f aca="false">IF(BD348&lt;=0,"",IF(CG348="Aussen","Aussenlager",IF(CG348="-","Nicht im Lift",IF(BJ348&gt;=1,"Lift",IF(BJ348&lt;=0,"Aussenlager","teilweise")))))</f>
        <v>Lift</v>
      </c>
      <c r="BN348" s="60" t="str">
        <f aca="false">IF(A348="","",IF(BW348=1,"Neu; ","")&amp;IF(AND(BW348=0,BR348&lt;0),"negativer Bestand (Export "&amp;BR348&amp;"); ","")&amp;IF(J348&lt;=0,"Kein Verbrauch; ","")&amp;IF(CR348&gt;0,"Lift "&amp;W348&amp;" lt. Liftbericht (Fach "&amp;X348&amp;" Stk); ",IF(CB348=1,"Gebinde geschätzt ("&amp;T348&amp;"); ",IF(CA348=1,"Lose – Tablare geschätzt; ","")))&amp;IF(H348&gt;AW348,"Überbestand "&amp;ROUND(H348-AW348,0)&amp;" Stk / CHF "&amp;ROUND((H348-AW348)*G348,0)&amp;"; ","")&amp;IF(AND(CI348=1,CJ348&lt;CK348),"MAX &lt; MB+LG; ","")&amp;IF(AND(CQ348&gt;0,CP348*10&gt;CQ348),"zu hoch für Tablar; ","")&amp;IF(AND(BW348=0,OR(CI348=1,AB348&lt;&gt;"",U348&lt;&gt;"",V348&lt;&gt;"",AC348&lt;&gt;"")),"manuell übersteuert; ","")&amp;IF(AND(CA348=0,R348=0),"Gebinde unbekannt / Stellmass fehlt; ","")&amp;IF(AND(CA348=0,N(V348)&lt;=0,N(Q348)&lt;=0),"Menge pro Gebinde fehlt (Ist = 1 Gebinde); ","")&amp;BV348)</f>
        <v>Kein Verbrauch; Gebinde geschätzt (Klein); Überbestand 24 Stk / CHF 178; Menge pro Gebinde fehlt (Ist = 1 Gebinde); </v>
      </c>
      <c r="BO348" s="60"/>
      <c r="BP348" s="60"/>
      <c r="BQ348" s="67"/>
      <c r="BR348" s="62" t="n">
        <v>25</v>
      </c>
      <c r="BS348" s="62" t="n">
        <v>0</v>
      </c>
      <c r="BT348" s="61" t="n">
        <v>185</v>
      </c>
      <c r="BU348" s="62" t="n">
        <v>0</v>
      </c>
      <c r="BV348" s="60"/>
      <c r="BW348" s="65" t="n">
        <v>0</v>
      </c>
      <c r="BX348" s="65" t="n">
        <v>348</v>
      </c>
      <c r="BY348" s="60" t="str">
        <f aca="false">IF(U348&lt;&gt;"",UPPER(TRIM(U348)),IF(CB348=1,UPPER(VLOOKUP(T348,Parameter!$I$27:$K$29,2,0)),IF(P348="","LOSE",P348)))</f>
        <v>S51</v>
      </c>
      <c r="BZ348" s="62" t="n">
        <f aca="false">IF(BY348="LOSE",1,IF(N(V348)&gt;0,V348,IF(CB348=1,MAX(1,N(VLOOKUP(T348,Parameter!$I$27:$K$29,3,0)),H348,N(N348)),IF(N(Q348)&gt;0,Q348,MAX(1,H348)))))</f>
        <v>25</v>
      </c>
      <c r="CA348" s="65" t="n">
        <f aca="false">IF(BY348="LOSE",1,0)</f>
        <v>0</v>
      </c>
      <c r="CB348" s="65" t="n">
        <f aca="false">IF(AND(U348="",OR(P348="",P348="LOSE"),T348&lt;&gt;"",N(S348)&lt;=0,ISNUMBER(MATCH(T348,Parameter!$I$27:$I$29,0))),1,0)</f>
        <v>1</v>
      </c>
      <c r="CC348" s="65" t="n">
        <f aca="false">IF(CR348&gt;0,INDEX(Parameter!$H$5:$H$7,W348)/INDEX(Parameter!$E$5:$E$7,W348),IF(AND(CA348=0,N(IFERROR(VLOOKUP(BY348,'Gebinde-Kategorie'!$A$5:$N$45,14,0),0))&gt;0),VLOOKUP(BY348,'Gebinde-Kategorie'!$A$5:$N$45,14,0)*10+Parameter!$M$23,Parameter!$M$24))</f>
        <v>155</v>
      </c>
      <c r="CD348" s="60" t="str">
        <f aca="false">IF(AND(Parameter!$B$19="Ja",E348&lt;&gt;"",ISNUMBER(MATCH(E348,Parameter!$I$35:$I$52,0))),VLOOKUP(E348,Parameter!$I$35:$J$52,2,0),IFERROR(VLOOKUP(D348,Parameter!$A$35:$C$64,2,0),"Nein"))</f>
        <v>2+3</v>
      </c>
      <c r="CE348" s="64" t="n">
        <f aca="false">IF(CA348=0,0,IF(N(S348)&gt;0,S348,IFERROR(VLOOKUP(D348,Parameter!$A$35:$C$64,3,0)+0,0)))</f>
        <v>0</v>
      </c>
      <c r="CF348" s="60" t="n">
        <f aca="false">IF(AB348&lt;&gt;"",AB348,AA348)</f>
        <v>3</v>
      </c>
      <c r="CG348" s="60" t="str">
        <f aca="false">IF(OR(CF348=1,CF348=2,CF348=3),IF(Parameter!$E$27="Ja","LIFT",IF(CF348=1,"L1","L23")),IF(CF348="Aussen","Aussen","-"))</f>
        <v>LIFT</v>
      </c>
      <c r="CH348" s="71" t="n">
        <f aca="false">IF(N(AC348)&gt;0,AC348,0)</f>
        <v>0</v>
      </c>
      <c r="CI348" s="65" t="n">
        <f aca="false">IF(ISNUMBER(AF348),1,0)</f>
        <v>0</v>
      </c>
      <c r="CJ348" s="62" t="n">
        <f aca="false">N(AF348)</f>
        <v>0</v>
      </c>
      <c r="CK348" s="62" t="n">
        <f aca="false">N(M348)+N(N348)</f>
        <v>1</v>
      </c>
      <c r="CL348" s="62" t="n">
        <f aca="false">N(M348)</f>
        <v>0</v>
      </c>
      <c r="CM348" s="62" t="n">
        <f aca="false">N(N348)</f>
        <v>1</v>
      </c>
      <c r="CN348" s="62" t="n">
        <f aca="false">ROUNDUP(H348/BZ348,0)</f>
        <v>1</v>
      </c>
      <c r="CO348" s="62" t="n">
        <f aca="false">ROUNDUP(CJ348/BZ348,0)</f>
        <v>0</v>
      </c>
      <c r="CP348" s="65" t="n">
        <f aca="false">IF(CA348=1,0,IFERROR(VLOOKUP(BY348,'Gebinde-Kategorie'!$A$5:$N$45,5,0)+0,0))</f>
        <v>11</v>
      </c>
      <c r="CQ348" s="65" t="n">
        <f aca="false">IFERROR(IF(OR(CF348=1,CF348=2,CF348=3),N(INDEX(Parameter!$I$5:$I$7,CF348)),0),0)</f>
        <v>0</v>
      </c>
      <c r="CR348" s="64" t="n">
        <f aca="false">IF(AND(Parameter!$B$21="Ja",ISNUMBER(W348),N(X348)&gt;0),IFERROR(N(INDEX(Parameter!$L$5:$L$7,W348))*INDEX(Parameter!$E$5:$E$7,W348)*X348/SUMIFS($X$7:$X$1843,$W$7:$W$1843,W348),0),0)</f>
        <v>0</v>
      </c>
      <c r="CS348" s="62" t="n">
        <f aca="false">IF(AND(OR(CG348="L1",CG348="L23",CG348="LIFT"),H348&gt;0),CC348*IF(CR348&gt;0,CR348*MAX(1,H348/X348),IF(CA348=1,CE348,IF(R348&gt;0,CN348/R348,0))/MAX(0.1,N(Parameter!$M$21))),"")</f>
        <v>5.96153846153846</v>
      </c>
      <c r="CT348" s="64" t="n">
        <f aca="false">IF(CS348="","",J348/H348)</f>
        <v>0</v>
      </c>
      <c r="CU348" s="62" t="n">
        <f aca="false">IF(CS348="","",H348*G348)</f>
        <v>185</v>
      </c>
      <c r="CV348" s="63" t="n">
        <f aca="false">IF(CS348="","",(CL348+ROUNDUP(CL348+MAX(CM348,2*(J348/MAX(0.1,N(Einkauf!$C$6))-CL348)),0))/2)</f>
        <v>0.5</v>
      </c>
      <c r="CW348" s="62" t="n">
        <f aca="false">IF(CS348="","",MAX(0,H348-CV348)*G348)</f>
        <v>181.3</v>
      </c>
      <c r="CX348" s="62" t="n">
        <f aca="false">IF(CS348="","",CS348*MAX(0,1-CV348/H348))</f>
        <v>5.84230769230769</v>
      </c>
      <c r="CY348" s="64" t="n">
        <f aca="false">IF(CS348="","",PERCENTRANK($CS$7:$CS$1843,CS348)+PERCENTRANK($CU$7:$CU$1843,CU348)+1-PERCENTRANK($CT$7:$CT$1843,CT348))</f>
        <v>1.684</v>
      </c>
      <c r="CZ348" s="72" t="n">
        <f aca="false">IF(CS348="","",CHOOSE(MATCH(Einkauf!$C$5,Parameter!$G$23:$G$27,0),CY348,CS348,CU348,-CT348,CW348)+ROW()/1000000000)</f>
        <v>1.684000348</v>
      </c>
    </row>
    <row r="349" customFormat="false" ht="15" hidden="false" customHeight="false" outlineLevel="0" collapsed="false">
      <c r="A349" s="60" t="s">
        <v>896</v>
      </c>
      <c r="B349" s="60" t="s">
        <v>897</v>
      </c>
      <c r="C349" s="60" t="s">
        <v>206</v>
      </c>
      <c r="D349" s="60" t="s">
        <v>226</v>
      </c>
      <c r="E349" s="60" t="s">
        <v>227</v>
      </c>
      <c r="F349" s="60" t="s">
        <v>260</v>
      </c>
      <c r="G349" s="61" t="n">
        <v>0.05</v>
      </c>
      <c r="H349" s="62" t="n">
        <f aca="false">MAX(0,IF(AND(Parameter!$B$21="Ja",ISNUMBER(Y349)),Y349,IF(Parameter!$B$20="Jahresanfang 2025 + Export",BS349+BR349,BR349)))</f>
        <v>4500</v>
      </c>
      <c r="I349" s="62" t="n">
        <f aca="false">H349*G349</f>
        <v>225</v>
      </c>
      <c r="J349" s="62" t="n">
        <f aca="false">BU349*Parameter!$B$18</f>
        <v>7399</v>
      </c>
      <c r="K349" s="63" t="n">
        <v>1074.5</v>
      </c>
      <c r="L349" s="64" t="n">
        <v>6.88599348534202</v>
      </c>
      <c r="M349" s="62" t="n">
        <v>750</v>
      </c>
      <c r="N349" s="62" t="n">
        <v>2500</v>
      </c>
      <c r="O349" s="65" t="n">
        <v>14</v>
      </c>
      <c r="P349" s="60" t="s">
        <v>228</v>
      </c>
      <c r="Q349" s="62" t="n">
        <v>3500</v>
      </c>
      <c r="R349" s="65" t="n">
        <f aca="false">IF(CA349=1,0,IFERROR(VLOOKUP(BY349,'Gebinde-Kategorie'!$A$5:$N$45,13,0)+0,0))</f>
        <v>12</v>
      </c>
      <c r="S349" s="66"/>
      <c r="T349" s="67"/>
      <c r="U349" s="67"/>
      <c r="V349" s="67"/>
      <c r="W349" s="60"/>
      <c r="X349" s="62"/>
      <c r="Y349" s="62"/>
      <c r="Z349" s="60" t="n">
        <v>3</v>
      </c>
      <c r="AA349" s="60" t="n">
        <f aca="false">IF(A349="","",IF(AND(Parameter!$B$21="Ja",ISNUMBER(W349)),W349,IF(AND(Parameter!$E$27="Ja",ISNUMBER(Z349),CD349&lt;&gt;"Nein"),Z349,IF(CD349="2+3",IF(ISNUMBER(SEARCH("grosser Artikel",BV349)),2,IFERROR(VLOOKUP(BY349,Parameter!$F$35:$G$64,2,0),2)),IF(OR(CD349="Nein",CD349=""),"-",CD349)))))</f>
        <v>3</v>
      </c>
      <c r="AB349" s="67"/>
      <c r="AC349" s="68"/>
      <c r="AD349" s="62" t="n">
        <f aca="false">AW349</f>
        <v>4183</v>
      </c>
      <c r="AE349" s="62" t="n">
        <f aca="false">MAX(AW349,H349)</f>
        <v>4500</v>
      </c>
      <c r="AF349" s="69"/>
      <c r="AG349" s="62" t="n">
        <f aca="false">IF(LEFT(Cockpit!$C$5,1)="A",H349,IF(Parameter!$E$30="MAX-Bestand",IF(CI349=1,CJ349,IF(LEFT(Cockpit!$C$5,1)="B",AM349,MAX(AM349,H349))),ROUNDUP(AK349,0)))</f>
        <v>4500</v>
      </c>
      <c r="AH349" s="62" t="n">
        <f aca="false">IF(CA349=1,0,ROUNDUP(AG349/BZ349,0))</f>
        <v>2</v>
      </c>
      <c r="AI349" s="64" t="n">
        <f aca="false">IF(CR349&gt;0,CR349*MAX(1,AG349/X349),IF(CA349=1,IF(AG349&lt;=0,0,CE349*MAX(1,IF(H349&gt;0,AG349/H349,1))),IF(R349&gt;0,AH349/R349,0))/MAX(0.1,N(Parameter!$M$21)))</f>
        <v>0.166666666666667</v>
      </c>
      <c r="AJ349" s="62" t="n">
        <f aca="false">AI349*CC349</f>
        <v>24.1666666666667</v>
      </c>
      <c r="AK349" s="63" t="n">
        <f aca="false">IF(LEFT(Cockpit!$C$5,1)="A",H349,IF(CI349=1,(CL349+CJ349)/2,IF(LEFT(Cockpit!$C$5,1)="B",(CL349+AM349)/2,MAX((CL349+AM349)/2,H349))))</f>
        <v>4500</v>
      </c>
      <c r="AL349" s="62" t="n">
        <f aca="false">AK349*G349</f>
        <v>225</v>
      </c>
      <c r="AM349" s="62" t="n">
        <f aca="false">ROUNDUP(CL349+MAX(CM349,2*(J349/IF(CH349&gt;0,CH349,MAX(0.1,N(Cockpit!$C$6)))-CL349)),0)</f>
        <v>4183</v>
      </c>
      <c r="AN349" s="63" t="n">
        <f aca="false">IF(AJ349&gt;0,J349/AJ349,-1)</f>
        <v>306.165517241379</v>
      </c>
      <c r="AO349" s="63" t="n">
        <f aca="false">IF(AND(OR(CG349="L1",CG349="L23",CG349="LIFT"),AJ349&gt;0),SUMIFS($AJ$7:$AJ$1843,$CG$7:$CG$1843,CG349,$AN$7:$AN$1843,"&gt;"&amp;AN349)+SUMIFS($AJ$7:$AJ$1843,$CG$7:$CG$1843,CG349,$AN$7:$AN$1843,AN349,$BX$7:$BX$1843,"&lt;="&amp;BX349),"")</f>
        <v>264.394688644689</v>
      </c>
      <c r="AP349" s="70" t="n">
        <f aca="false">IF(AO349="",0,MAX(0,MIN(1,(IF(CG349="L1",Parameter!$H$5,IF(CG349="L23",Parameter!$H$6+Parameter!$H$7,Parameter!$H$5+Parameter!$H$6+Parameter!$H$7))-(AO349-AJ349))/AJ349)))</f>
        <v>1</v>
      </c>
      <c r="AQ349" s="62" t="n">
        <f aca="false">IF(LEFT(Cockpit!$I$5,1)="A",H349,IF(Parameter!$E$30="MAX-Bestand",IF(CI349=1,CJ349,IF(LEFT(Cockpit!$I$5,1)="B",AW349,MAX(AW349,H349))),ROUNDUP(AU349,0)))</f>
        <v>4500</v>
      </c>
      <c r="AR349" s="62" t="n">
        <f aca="false">IF(CA349=1,0,ROUNDUP(AQ349/BZ349,0))</f>
        <v>2</v>
      </c>
      <c r="AS349" s="64" t="n">
        <f aca="false">IF(CR349&gt;0,CR349*MAX(1,AQ349/X349),IF(CA349=1,IF(AQ349&lt;=0,0,CE349*MAX(1,IF(H349&gt;0,AQ349/H349,1))),IF(R349&gt;0,AR349/R349,0))/MAX(0.1,N(Parameter!$M$21)))</f>
        <v>0.166666666666667</v>
      </c>
      <c r="AT349" s="62" t="n">
        <f aca="false">AS349*CC349</f>
        <v>24.1666666666667</v>
      </c>
      <c r="AU349" s="63" t="n">
        <f aca="false">IF(LEFT(Cockpit!$I$5,1)="A",H349,IF(CI349=1,(CL349+CJ349)/2,IF(LEFT(Cockpit!$I$5,1)="B",(CL349+AW349)/2,MAX((CL349+AW349)/2,H349))))</f>
        <v>4500</v>
      </c>
      <c r="AV349" s="62" t="n">
        <f aca="false">AU349*G349</f>
        <v>225</v>
      </c>
      <c r="AW349" s="62" t="n">
        <f aca="false">ROUNDUP(CL349+MAX(CM349,2*(J349/IF(CH349&gt;0,CH349,MAX(0.1,N(Cockpit!$I$6)))-CL349)),0)</f>
        <v>4183</v>
      </c>
      <c r="AX349" s="63" t="n">
        <f aca="false">IF(AT349&gt;0,J349/AT349,-1)</f>
        <v>306.165517241379</v>
      </c>
      <c r="AY349" s="63" t="n">
        <f aca="false">IF(AND(OR(CG349="L1",CG349="L23",CG349="LIFT"),AT349&gt;0),SUMIFS($AT$7:$AT$1843,$CG$7:$CG$1843,CG349,$AX$7:$AX$1843,"&gt;"&amp;AX349)+SUMIFS($AT$7:$AT$1843,$CG$7:$CG$1843,CG349,$AX$7:$AX$1843,AX349,$BX$7:$BX$1843,"&lt;="&amp;BX349),"")</f>
        <v>217.45695970696</v>
      </c>
      <c r="AZ349" s="70" t="n">
        <f aca="false">IF(AY349="",0,MAX(0,MIN(1,(IF(CG349="L1",Parameter!$H$5,IF(CG349="L23",Parameter!$H$6+Parameter!$H$7,Parameter!$H$5+Parameter!$H$6+Parameter!$H$7))-(AY349-AT349))/AT349)))</f>
        <v>1</v>
      </c>
      <c r="BA349" s="62" t="n">
        <f aca="false">IF(LEFT(Cockpit!$O$5,1)="A",H349,IF(Parameter!$E$30="MAX-Bestand",IF(CI349=1,CJ349,IF(LEFT(Cockpit!$O$5,1)="B",BG349,MAX(BG349,H349))),ROUNDUP(BE349,0)))</f>
        <v>2000</v>
      </c>
      <c r="BB349" s="62" t="n">
        <f aca="false">IF(CA349=1,0,ROUNDUP(BA349/BZ349,0))</f>
        <v>1</v>
      </c>
      <c r="BC349" s="64" t="n">
        <f aca="false">IF(CR349&gt;0,CR349*MAX(1,BA349/X349),IF(CA349=1,IF(BA349&lt;=0,0,CE349*MAX(1,IF(H349&gt;0,BA349/H349,1))),IF(R349&gt;0,BB349/R349,0))/MAX(0.1,N(Parameter!$M$21)))</f>
        <v>0.0833333333333333</v>
      </c>
      <c r="BD349" s="62" t="n">
        <f aca="false">BC349*CC349</f>
        <v>12.0833333333333</v>
      </c>
      <c r="BE349" s="63" t="n">
        <f aca="false">IF(LEFT(Cockpit!$O$5,1)="A",H349,IF(CI349=1,(CL349+CJ349)/2,IF(LEFT(Cockpit!$O$5,1)="B",(CL349+BG349)/2,MAX((CL349+BG349)/2,H349))))</f>
        <v>2000</v>
      </c>
      <c r="BF349" s="62" t="n">
        <f aca="false">BE349*G349</f>
        <v>100</v>
      </c>
      <c r="BG349" s="62" t="n">
        <f aca="false">ROUNDUP(CL349+MAX(CM349,2*(J349/IF(CH349&gt;0,CH349,MAX(0.1,N(Cockpit!$O$6)))-CL349)),0)</f>
        <v>3250</v>
      </c>
      <c r="BH349" s="63" t="n">
        <f aca="false">IF(BD349&gt;0,J349/BD349,-1)</f>
        <v>612.331034482759</v>
      </c>
      <c r="BI349" s="63" t="n">
        <f aca="false">IF(AND(OR(CG349="L1",CG349="L23",CG349="LIFT"),BD349&gt;0),SUMIFS($BD$7:$BD$1843,$CG$7:$CG$1843,CG349,$BH$7:$BH$1843,"&gt;"&amp;BH349)+SUMIFS($BD$7:$BD$1843,$CG$7:$CG$1843,CG349,$BH$7:$BH$1843,BH349,$BX$7:$BX$1843,"&lt;="&amp;BX349),"")</f>
        <v>50.0668498168498</v>
      </c>
      <c r="BJ349" s="70" t="n">
        <f aca="false">IF(BI349="",0,MAX(0,MIN(1,(IF(CG349="L1",Parameter!$H$5,IF(CG349="L23",Parameter!$H$6+Parameter!$H$7,Parameter!$H$5+Parameter!$H$6+Parameter!$H$7))-(BI349-BD349))/BD349)))</f>
        <v>1</v>
      </c>
      <c r="BK349" s="60" t="str">
        <f aca="false">IF(AJ349&lt;=0,"",IF(CG349="Aussen","Aussenlager",IF(CG349="-","Nicht im Lift",IF(AP349&gt;=1,"Lift",IF(AP349&lt;=0,"Aussenlager","teilweise")))))</f>
        <v>Lift</v>
      </c>
      <c r="BL349" s="60" t="str">
        <f aca="false">IF(AT349&lt;=0,"",IF(CG349="Aussen","Aussenlager",IF(CG349="-","Nicht im Lift",IF(AZ349&gt;=1,"Lift",IF(AZ349&lt;=0,"Aussenlager","teilweise")))))</f>
        <v>Lift</v>
      </c>
      <c r="BM349" s="60" t="str">
        <f aca="false">IF(BD349&lt;=0,"",IF(CG349="Aussen","Aussenlager",IF(CG349="-","Nicht im Lift",IF(BJ349&gt;=1,"Lift",IF(BJ349&lt;=0,"Aussenlager","teilweise")))))</f>
        <v>Lift</v>
      </c>
      <c r="BN349" s="60" t="str">
        <f aca="false">IF(A349="","",IF(BW349=1,"Neu; ","")&amp;IF(AND(BW349=0,BR349&lt;0),"negativer Bestand (Export "&amp;BR349&amp;"); ","")&amp;IF(J349&lt;=0,"Kein Verbrauch; ","")&amp;IF(CR349&gt;0,"Lift "&amp;W349&amp;" lt. Liftbericht (Fach "&amp;X349&amp;" Stk); ",IF(CB349=1,"Gebinde geschätzt ("&amp;T349&amp;"); ",IF(CA349=1,"Lose – Tablare geschätzt; ","")))&amp;IF(H349&gt;AW349,"Überbestand "&amp;ROUND(H349-AW349,0)&amp;" Stk / CHF "&amp;ROUND((H349-AW349)*G349,0)&amp;"; ","")&amp;IF(AND(CI349=1,CJ349&lt;CK349),"MAX &lt; MB+LG; ","")&amp;IF(AND(CQ349&gt;0,CP349*10&gt;CQ349),"zu hoch für Tablar; ","")&amp;IF(AND(BW349=0,OR(CI349=1,AB349&lt;&gt;"",U349&lt;&gt;"",V349&lt;&gt;"",AC349&lt;&gt;"")),"manuell übersteuert; ","")&amp;IF(AND(CA349=0,R349=0),"Gebinde unbekannt / Stellmass fehlt; ","")&amp;IF(AND(CA349=0,N(V349)&lt;=0,N(Q349)&lt;=0),"Menge pro Gebinde fehlt (Ist = 1 Gebinde); ","")&amp;BV349)</f>
        <v>Überbestand 317 Stk / CHF 16; </v>
      </c>
      <c r="BO349" s="60"/>
      <c r="BP349" s="60"/>
      <c r="BQ349" s="67"/>
      <c r="BR349" s="62" t="n">
        <v>3601</v>
      </c>
      <c r="BS349" s="62" t="n">
        <v>899</v>
      </c>
      <c r="BT349" s="61" t="n">
        <v>184.04</v>
      </c>
      <c r="BU349" s="62" t="n">
        <v>7399</v>
      </c>
      <c r="BV349" s="60"/>
      <c r="BW349" s="65" t="n">
        <v>0</v>
      </c>
      <c r="BX349" s="65" t="n">
        <v>349</v>
      </c>
      <c r="BY349" s="60" t="str">
        <f aca="false">IF(U349&lt;&gt;"",UPPER(TRIM(U349)),IF(CB349=1,UPPER(VLOOKUP(T349,Parameter!$I$27:$K$29,2,0)),IF(P349="","LOSE",P349)))</f>
        <v>S61</v>
      </c>
      <c r="BZ349" s="62" t="n">
        <f aca="false">IF(BY349="LOSE",1,IF(N(V349)&gt;0,V349,IF(CB349=1,MAX(1,N(VLOOKUP(T349,Parameter!$I$27:$K$29,3,0)),H349,N(N349)),IF(N(Q349)&gt;0,Q349,MAX(1,H349)))))</f>
        <v>3500</v>
      </c>
      <c r="CA349" s="65" t="n">
        <f aca="false">IF(BY349="LOSE",1,0)</f>
        <v>0</v>
      </c>
      <c r="CB349" s="65" t="n">
        <f aca="false">IF(AND(U349="",OR(P349="",P349="LOSE"),T349&lt;&gt;"",N(S349)&lt;=0,ISNUMBER(MATCH(T349,Parameter!$I$27:$I$29,0))),1,0)</f>
        <v>0</v>
      </c>
      <c r="CC349" s="65" t="n">
        <f aca="false">IF(CR349&gt;0,INDEX(Parameter!$H$5:$H$7,W349)/INDEX(Parameter!$E$5:$E$7,W349),IF(AND(CA349=0,N(IFERROR(VLOOKUP(BY349,'Gebinde-Kategorie'!$A$5:$N$45,14,0),0))&gt;0),VLOOKUP(BY349,'Gebinde-Kategorie'!$A$5:$N$45,14,0)*10+Parameter!$M$23,Parameter!$M$24))</f>
        <v>145</v>
      </c>
      <c r="CD349" s="60" t="str">
        <f aca="false">IF(AND(Parameter!$B$19="Ja",E349&lt;&gt;"",ISNUMBER(MATCH(E349,Parameter!$I$35:$I$52,0))),VLOOKUP(E349,Parameter!$I$35:$J$52,2,0),IFERROR(VLOOKUP(D349,Parameter!$A$35:$C$64,2,0),"Nein"))</f>
        <v>2+3</v>
      </c>
      <c r="CE349" s="64" t="n">
        <f aca="false">IF(CA349=0,0,IF(N(S349)&gt;0,S349,IFERROR(VLOOKUP(D349,Parameter!$A$35:$C$64,3,0)+0,0)))</f>
        <v>0</v>
      </c>
      <c r="CF349" s="60" t="n">
        <f aca="false">IF(AB349&lt;&gt;"",AB349,AA349)</f>
        <v>3</v>
      </c>
      <c r="CG349" s="60" t="str">
        <f aca="false">IF(OR(CF349=1,CF349=2,CF349=3),IF(Parameter!$E$27="Ja","LIFT",IF(CF349=1,"L1","L23")),IF(CF349="Aussen","Aussen","-"))</f>
        <v>LIFT</v>
      </c>
      <c r="CH349" s="71" t="n">
        <f aca="false">IF(N(AC349)&gt;0,AC349,0)</f>
        <v>0</v>
      </c>
      <c r="CI349" s="65" t="n">
        <f aca="false">IF(ISNUMBER(AF349),1,0)</f>
        <v>0</v>
      </c>
      <c r="CJ349" s="62" t="n">
        <f aca="false">N(AF349)</f>
        <v>0</v>
      </c>
      <c r="CK349" s="62" t="n">
        <f aca="false">N(M349)+N(N349)</f>
        <v>3250</v>
      </c>
      <c r="CL349" s="62" t="n">
        <f aca="false">N(M349)</f>
        <v>750</v>
      </c>
      <c r="CM349" s="62" t="n">
        <f aca="false">N(N349)</f>
        <v>2500</v>
      </c>
      <c r="CN349" s="62" t="n">
        <f aca="false">ROUNDUP(H349/BZ349,0)</f>
        <v>2</v>
      </c>
      <c r="CO349" s="62" t="n">
        <f aca="false">ROUNDUP(CJ349/BZ349,0)</f>
        <v>0</v>
      </c>
      <c r="CP349" s="65" t="n">
        <f aca="false">IF(CA349=1,0,IFERROR(VLOOKUP(BY349,'Gebinde-Kategorie'!$A$5:$N$45,5,0)+0,0))</f>
        <v>11</v>
      </c>
      <c r="CQ349" s="65" t="n">
        <f aca="false">IFERROR(IF(OR(CF349=1,CF349=2,CF349=3),N(INDEX(Parameter!$I$5:$I$7,CF349)),0),0)</f>
        <v>0</v>
      </c>
      <c r="CR349" s="64" t="n">
        <f aca="false">IF(AND(Parameter!$B$21="Ja",ISNUMBER(W349),N(X349)&gt;0),IFERROR(N(INDEX(Parameter!$L$5:$L$7,W349))*INDEX(Parameter!$E$5:$E$7,W349)*X349/SUMIFS($X$7:$X$1843,$W$7:$W$1843,W349),0),0)</f>
        <v>0</v>
      </c>
      <c r="CS349" s="62" t="n">
        <f aca="false">IF(AND(OR(CG349="L1",CG349="L23",CG349="LIFT"),H349&gt;0),CC349*IF(CR349&gt;0,CR349*MAX(1,H349/X349),IF(CA349=1,CE349,IF(R349&gt;0,CN349/R349,0))/MAX(0.1,N(Parameter!$M$21))),"")</f>
        <v>24.1666666666667</v>
      </c>
      <c r="CT349" s="64" t="n">
        <f aca="false">IF(CS349="","",J349/H349)</f>
        <v>1.64422222222222</v>
      </c>
      <c r="CU349" s="62" t="n">
        <f aca="false">IF(CS349="","",H349*G349)</f>
        <v>225</v>
      </c>
      <c r="CV349" s="63" t="n">
        <f aca="false">IF(CS349="","",(CL349+ROUNDUP(CL349+MAX(CM349,2*(J349/MAX(0.1,N(Einkauf!$C$6))-CL349)),0))/2)</f>
        <v>2000</v>
      </c>
      <c r="CW349" s="62" t="n">
        <f aca="false">IF(CS349="","",MAX(0,H349-CV349)*G349)</f>
        <v>125</v>
      </c>
      <c r="CX349" s="62" t="n">
        <f aca="false">IF(CS349="","",CS349*MAX(0,1-CV349/H349))</f>
        <v>13.4259259259259</v>
      </c>
      <c r="CY349" s="64" t="n">
        <f aca="false">IF(CS349="","",PERCENTRANK($CS$7:$CS$1843,CS349)+PERCENTRANK($CU$7:$CU$1843,CU349)+1-PERCENTRANK($CT$7:$CT$1843,CT349))</f>
        <v>1.388</v>
      </c>
      <c r="CZ349" s="72" t="n">
        <f aca="false">IF(CS349="","",CHOOSE(MATCH(Einkauf!$C$5,Parameter!$G$23:$G$27,0),CY349,CS349,CU349,-CT349,CW349)+ROW()/1000000000)</f>
        <v>1.388000349</v>
      </c>
    </row>
    <row r="350" customFormat="false" ht="15" hidden="false" customHeight="false" outlineLevel="0" collapsed="false">
      <c r="A350" s="60" t="s">
        <v>898</v>
      </c>
      <c r="B350" s="60" t="s">
        <v>899</v>
      </c>
      <c r="C350" s="60" t="s">
        <v>206</v>
      </c>
      <c r="D350" s="60" t="s">
        <v>226</v>
      </c>
      <c r="E350" s="60"/>
      <c r="F350" s="60" t="s">
        <v>260</v>
      </c>
      <c r="G350" s="61" t="n">
        <v>42.95</v>
      </c>
      <c r="H350" s="62" t="n">
        <f aca="false">MAX(0,IF(AND(Parameter!$B$21="Ja",ISNUMBER(Y350)),Y350,IF(Parameter!$B$20="Jahresanfang 2025 + Export",BS350+BR350,BR350)))</f>
        <v>15</v>
      </c>
      <c r="I350" s="62" t="n">
        <f aca="false">H350*G350</f>
        <v>644.25</v>
      </c>
      <c r="J350" s="62" t="n">
        <f aca="false">BU350*Parameter!$B$18</f>
        <v>10</v>
      </c>
      <c r="K350" s="63" t="n">
        <v>15.5</v>
      </c>
      <c r="L350" s="64" t="n">
        <v>0.645161290322581</v>
      </c>
      <c r="M350" s="62" t="n">
        <v>0</v>
      </c>
      <c r="N350" s="62" t="n">
        <v>10</v>
      </c>
      <c r="O350" s="65" t="n">
        <v>35</v>
      </c>
      <c r="P350" s="60" t="s">
        <v>463</v>
      </c>
      <c r="Q350" s="62" t="n">
        <v>18</v>
      </c>
      <c r="R350" s="65" t="n">
        <f aca="false">IF(CA350=1,0,IFERROR(VLOOKUP(BY350,'Gebinde-Kategorie'!$A$5:$N$45,13,0)+0,0))</f>
        <v>104</v>
      </c>
      <c r="S350" s="66"/>
      <c r="T350" s="67"/>
      <c r="U350" s="67"/>
      <c r="V350" s="67"/>
      <c r="W350" s="60"/>
      <c r="X350" s="62"/>
      <c r="Y350" s="62"/>
      <c r="Z350" s="60" t="n">
        <v>3</v>
      </c>
      <c r="AA350" s="60" t="n">
        <f aca="false">IF(A350="","",IF(AND(Parameter!$B$21="Ja",ISNUMBER(W350)),W350,IF(AND(Parameter!$E$27="Ja",ISNUMBER(Z350),CD350&lt;&gt;"Nein"),Z350,IF(CD350="2+3",IF(ISNUMBER(SEARCH("grosser Artikel",BV350)),2,IFERROR(VLOOKUP(BY350,Parameter!$F$35:$G$64,2,0),2)),IF(OR(CD350="Nein",CD350=""),"-",CD350)))))</f>
        <v>3</v>
      </c>
      <c r="AB350" s="67"/>
      <c r="AC350" s="68"/>
      <c r="AD350" s="62" t="n">
        <f aca="false">AW350</f>
        <v>10</v>
      </c>
      <c r="AE350" s="62" t="n">
        <f aca="false">MAX(AW350,H350)</f>
        <v>15</v>
      </c>
      <c r="AF350" s="69"/>
      <c r="AG350" s="62" t="n">
        <f aca="false">IF(LEFT(Cockpit!$C$5,1)="A",H350,IF(Parameter!$E$30="MAX-Bestand",IF(CI350=1,CJ350,IF(LEFT(Cockpit!$C$5,1)="B",AM350,MAX(AM350,H350))),ROUNDUP(AK350,0)))</f>
        <v>15</v>
      </c>
      <c r="AH350" s="62" t="n">
        <f aca="false">IF(CA350=1,0,ROUNDUP(AG350/BZ350,0))</f>
        <v>1</v>
      </c>
      <c r="AI350" s="64" t="n">
        <f aca="false">IF(CR350&gt;0,CR350*MAX(1,AG350/X350),IF(CA350=1,IF(AG350&lt;=0,0,CE350*MAX(1,IF(H350&gt;0,AG350/H350,1))),IF(R350&gt;0,AH350/R350,0))/MAX(0.1,N(Parameter!$M$21)))</f>
        <v>0.00961538461538462</v>
      </c>
      <c r="AJ350" s="62" t="n">
        <f aca="false">AI350*CC350</f>
        <v>1.49038461538462</v>
      </c>
      <c r="AK350" s="63" t="n">
        <f aca="false">IF(LEFT(Cockpit!$C$5,1)="A",H350,IF(CI350=1,(CL350+CJ350)/2,IF(LEFT(Cockpit!$C$5,1)="B",(CL350+AM350)/2,MAX((CL350+AM350)/2,H350))))</f>
        <v>15</v>
      </c>
      <c r="AL350" s="62" t="n">
        <f aca="false">AK350*G350</f>
        <v>644.25</v>
      </c>
      <c r="AM350" s="62" t="n">
        <f aca="false">ROUNDUP(CL350+MAX(CM350,2*(J350/IF(CH350&gt;0,CH350,MAX(0.1,N(Cockpit!$C$6)))-CL350)),0)</f>
        <v>10</v>
      </c>
      <c r="AN350" s="63" t="n">
        <f aca="false">IF(AJ350&gt;0,J350/AJ350,-1)</f>
        <v>6.70967741935484</v>
      </c>
      <c r="AO350" s="63" t="n">
        <f aca="false">IF(AND(OR(CG350="L1",CG350="L23",CG350="LIFT"),AJ350&gt;0),SUMIFS($AJ$7:$AJ$1843,$CG$7:$CG$1843,CG350,$AN$7:$AN$1843,"&gt;"&amp;AN350)+SUMIFS($AJ$7:$AJ$1843,$CG$7:$CG$1843,CG350,$AN$7:$AN$1843,AN350,$BX$7:$BX$1843,"&lt;="&amp;BX350),"")</f>
        <v>3389.67216117216</v>
      </c>
      <c r="AP350" s="70" t="n">
        <f aca="false">IF(AO350="",0,MAX(0,MIN(1,(IF(CG350="L1",Parameter!$H$5,IF(CG350="L23",Parameter!$H$6+Parameter!$H$7,Parameter!$H$5+Parameter!$H$6+Parameter!$H$7))-(AO350-AJ350))/AJ350)))</f>
        <v>1</v>
      </c>
      <c r="AQ350" s="62" t="n">
        <f aca="false">IF(LEFT(Cockpit!$I$5,1)="A",H350,IF(Parameter!$E$30="MAX-Bestand",IF(CI350=1,CJ350,IF(LEFT(Cockpit!$I$5,1)="B",AW350,MAX(AW350,H350))),ROUNDUP(AU350,0)))</f>
        <v>15</v>
      </c>
      <c r="AR350" s="62" t="n">
        <f aca="false">IF(CA350=1,0,ROUNDUP(AQ350/BZ350,0))</f>
        <v>1</v>
      </c>
      <c r="AS350" s="64" t="n">
        <f aca="false">IF(CR350&gt;0,CR350*MAX(1,AQ350/X350),IF(CA350=1,IF(AQ350&lt;=0,0,CE350*MAX(1,IF(H350&gt;0,AQ350/H350,1))),IF(R350&gt;0,AR350/R350,0))/MAX(0.1,N(Parameter!$M$21)))</f>
        <v>0.00961538461538462</v>
      </c>
      <c r="AT350" s="62" t="n">
        <f aca="false">AS350*CC350</f>
        <v>1.49038461538462</v>
      </c>
      <c r="AU350" s="63" t="n">
        <f aca="false">IF(LEFT(Cockpit!$I$5,1)="A",H350,IF(CI350=1,(CL350+CJ350)/2,IF(LEFT(Cockpit!$I$5,1)="B",(CL350+AW350)/2,MAX((CL350+AW350)/2,H350))))</f>
        <v>15</v>
      </c>
      <c r="AV350" s="62" t="n">
        <f aca="false">AU350*G350</f>
        <v>644.25</v>
      </c>
      <c r="AW350" s="62" t="n">
        <f aca="false">ROUNDUP(CL350+MAX(CM350,2*(J350/IF(CH350&gt;0,CH350,MAX(0.1,N(Cockpit!$I$6)))-CL350)),0)</f>
        <v>10</v>
      </c>
      <c r="AX350" s="63" t="n">
        <f aca="false">IF(AT350&gt;0,J350/AT350,-1)</f>
        <v>6.70967741935484</v>
      </c>
      <c r="AY350" s="63" t="n">
        <f aca="false">IF(AND(OR(CG350="L1",CG350="L23",CG350="LIFT"),AT350&gt;0),SUMIFS($AT$7:$AT$1843,$CG$7:$CG$1843,CG350,$AX$7:$AX$1843,"&gt;"&amp;AX350)+SUMIFS($AT$7:$AT$1843,$CG$7:$CG$1843,CG350,$AX$7:$AX$1843,AX350,$BX$7:$BX$1843,"&lt;="&amp;BX350),"")</f>
        <v>4107.48351648352</v>
      </c>
      <c r="AZ350" s="70" t="n">
        <f aca="false">IF(AY350="",0,MAX(0,MIN(1,(IF(CG350="L1",Parameter!$H$5,IF(CG350="L23",Parameter!$H$6+Parameter!$H$7,Parameter!$H$5+Parameter!$H$6+Parameter!$H$7))-(AY350-AT350))/AT350)))</f>
        <v>1</v>
      </c>
      <c r="BA350" s="62" t="n">
        <f aca="false">IF(LEFT(Cockpit!$O$5,1)="A",H350,IF(Parameter!$E$30="MAX-Bestand",IF(CI350=1,CJ350,IF(LEFT(Cockpit!$O$5,1)="B",BG350,MAX(BG350,H350))),ROUNDUP(BE350,0)))</f>
        <v>5</v>
      </c>
      <c r="BB350" s="62" t="n">
        <f aca="false">IF(CA350=1,0,ROUNDUP(BA350/BZ350,0))</f>
        <v>1</v>
      </c>
      <c r="BC350" s="64" t="n">
        <f aca="false">IF(CR350&gt;0,CR350*MAX(1,BA350/X350),IF(CA350=1,IF(BA350&lt;=0,0,CE350*MAX(1,IF(H350&gt;0,BA350/H350,1))),IF(R350&gt;0,BB350/R350,0))/MAX(0.1,N(Parameter!$M$21)))</f>
        <v>0.00961538461538462</v>
      </c>
      <c r="BD350" s="62" t="n">
        <f aca="false">BC350*CC350</f>
        <v>1.49038461538462</v>
      </c>
      <c r="BE350" s="63" t="n">
        <f aca="false">IF(LEFT(Cockpit!$O$5,1)="A",H350,IF(CI350=1,(CL350+CJ350)/2,IF(LEFT(Cockpit!$O$5,1)="B",(CL350+BG350)/2,MAX((CL350+BG350)/2,H350))))</f>
        <v>5</v>
      </c>
      <c r="BF350" s="62" t="n">
        <f aca="false">BE350*G350</f>
        <v>214.75</v>
      </c>
      <c r="BG350" s="62" t="n">
        <f aca="false">ROUNDUP(CL350+MAX(CM350,2*(J350/IF(CH350&gt;0,CH350,MAX(0.1,N(Cockpit!$O$6)))-CL350)),0)</f>
        <v>10</v>
      </c>
      <c r="BH350" s="63" t="n">
        <f aca="false">IF(BD350&gt;0,J350/BD350,-1)</f>
        <v>6.70967741935484</v>
      </c>
      <c r="BI350" s="63" t="n">
        <f aca="false">IF(AND(OR(CG350="L1",CG350="L23",CG350="LIFT"),BD350&gt;0),SUMIFS($BD$7:$BD$1843,$CG$7:$CG$1843,CG350,$BH$7:$BH$1843,"&gt;"&amp;BH350)+SUMIFS($BD$7:$BD$1843,$CG$7:$CG$1843,CG350,$BH$7:$BH$1843,BH350,$BX$7:$BX$1843,"&lt;="&amp;BX350),"")</f>
        <v>3374.5695970696</v>
      </c>
      <c r="BJ350" s="70" t="n">
        <f aca="false">IF(BI350="",0,MAX(0,MIN(1,(IF(CG350="L1",Parameter!$H$5,IF(CG350="L23",Parameter!$H$6+Parameter!$H$7,Parameter!$H$5+Parameter!$H$6+Parameter!$H$7))-(BI350-BD350))/BD350)))</f>
        <v>1</v>
      </c>
      <c r="BK350" s="60" t="str">
        <f aca="false">IF(AJ350&lt;=0,"",IF(CG350="Aussen","Aussenlager",IF(CG350="-","Nicht im Lift",IF(AP350&gt;=1,"Lift",IF(AP350&lt;=0,"Aussenlager","teilweise")))))</f>
        <v>Lift</v>
      </c>
      <c r="BL350" s="60" t="str">
        <f aca="false">IF(AT350&lt;=0,"",IF(CG350="Aussen","Aussenlager",IF(CG350="-","Nicht im Lift",IF(AZ350&gt;=1,"Lift",IF(AZ350&lt;=0,"Aussenlager","teilweise")))))</f>
        <v>Lift</v>
      </c>
      <c r="BM350" s="60" t="str">
        <f aca="false">IF(BD350&lt;=0,"",IF(CG350="Aussen","Aussenlager",IF(CG350="-","Nicht im Lift",IF(BJ350&gt;=1,"Lift",IF(BJ350&lt;=0,"Aussenlager","teilweise")))))</f>
        <v>Lift</v>
      </c>
      <c r="BN350" s="60" t="str">
        <f aca="false">IF(A350="","",IF(BW350=1,"Neu; ","")&amp;IF(AND(BW350=0,BR350&lt;0),"negativer Bestand (Export "&amp;BR350&amp;"); ","")&amp;IF(J350&lt;=0,"Kein Verbrauch; ","")&amp;IF(CR350&gt;0,"Lift "&amp;W350&amp;" lt. Liftbericht (Fach "&amp;X350&amp;" Stk); ",IF(CB350=1,"Gebinde geschätzt ("&amp;T350&amp;"); ",IF(CA350=1,"Lose – Tablare geschätzt; ","")))&amp;IF(H350&gt;AW350,"Überbestand "&amp;ROUND(H350-AW350,0)&amp;" Stk / CHF "&amp;ROUND((H350-AW350)*G350,0)&amp;"; ","")&amp;IF(AND(CI350=1,CJ350&lt;CK350),"MAX &lt; MB+LG; ","")&amp;IF(AND(CQ350&gt;0,CP350*10&gt;CQ350),"zu hoch für Tablar; ","")&amp;IF(AND(BW350=0,OR(CI350=1,AB350&lt;&gt;"",U350&lt;&gt;"",V350&lt;&gt;"",AC350&lt;&gt;"")),"manuell übersteuert; ","")&amp;IF(AND(CA350=0,R350=0),"Gebinde unbekannt / Stellmass fehlt; ","")&amp;IF(AND(CA350=0,N(V350)&lt;=0,N(Q350)&lt;=0),"Menge pro Gebinde fehlt (Ist = 1 Gebinde); ","")&amp;BV350)</f>
        <v>Überbestand 5 Stk / CHF 215; </v>
      </c>
      <c r="BO350" s="60"/>
      <c r="BP350" s="60"/>
      <c r="BQ350" s="67"/>
      <c r="BR350" s="62" t="n">
        <v>4</v>
      </c>
      <c r="BS350" s="62" t="n">
        <v>11</v>
      </c>
      <c r="BT350" s="61" t="n">
        <v>178.84</v>
      </c>
      <c r="BU350" s="62" t="n">
        <v>10</v>
      </c>
      <c r="BV350" s="60"/>
      <c r="BW350" s="65" t="n">
        <v>0</v>
      </c>
      <c r="BX350" s="65" t="n">
        <v>350</v>
      </c>
      <c r="BY350" s="60" t="str">
        <f aca="false">IF(U350&lt;&gt;"",UPPER(TRIM(U350)),IF(CB350=1,UPPER(VLOOKUP(T350,Parameter!$I$27:$K$29,2,0)),IF(P350="","LOSE",P350)))</f>
        <v>S32</v>
      </c>
      <c r="BZ350" s="62" t="n">
        <f aca="false">IF(BY350="LOSE",1,IF(N(V350)&gt;0,V350,IF(CB350=1,MAX(1,N(VLOOKUP(T350,Parameter!$I$27:$K$29,3,0)),H350,N(N350)),IF(N(Q350)&gt;0,Q350,MAX(1,H350)))))</f>
        <v>18</v>
      </c>
      <c r="CA350" s="65" t="n">
        <f aca="false">IF(BY350="LOSE",1,0)</f>
        <v>0</v>
      </c>
      <c r="CB350" s="65" t="n">
        <f aca="false">IF(AND(U350="",OR(P350="",P350="LOSE"),T350&lt;&gt;"",N(S350)&lt;=0,ISNUMBER(MATCH(T350,Parameter!$I$27:$I$29,0))),1,0)</f>
        <v>0</v>
      </c>
      <c r="CC350" s="65" t="n">
        <f aca="false">IF(CR350&gt;0,INDEX(Parameter!$H$5:$H$7,W350)/INDEX(Parameter!$E$5:$E$7,W350),IF(AND(CA350=0,N(IFERROR(VLOOKUP(BY350,'Gebinde-Kategorie'!$A$5:$N$45,14,0),0))&gt;0),VLOOKUP(BY350,'Gebinde-Kategorie'!$A$5:$N$45,14,0)*10+Parameter!$M$23,Parameter!$M$24))</f>
        <v>155</v>
      </c>
      <c r="CD350" s="60" t="str">
        <f aca="false">IF(AND(Parameter!$B$19="Ja",E350&lt;&gt;"",ISNUMBER(MATCH(E350,Parameter!$I$35:$I$52,0))),VLOOKUP(E350,Parameter!$I$35:$J$52,2,0),IFERROR(VLOOKUP(D350,Parameter!$A$35:$C$64,2,0),"Nein"))</f>
        <v>2+3</v>
      </c>
      <c r="CE350" s="64" t="n">
        <f aca="false">IF(CA350=0,0,IF(N(S350)&gt;0,S350,IFERROR(VLOOKUP(D350,Parameter!$A$35:$C$64,3,0)+0,0)))</f>
        <v>0</v>
      </c>
      <c r="CF350" s="60" t="n">
        <f aca="false">IF(AB350&lt;&gt;"",AB350,AA350)</f>
        <v>3</v>
      </c>
      <c r="CG350" s="60" t="str">
        <f aca="false">IF(OR(CF350=1,CF350=2,CF350=3),IF(Parameter!$E$27="Ja","LIFT",IF(CF350=1,"L1","L23")),IF(CF350="Aussen","Aussen","-"))</f>
        <v>LIFT</v>
      </c>
      <c r="CH350" s="71" t="n">
        <f aca="false">IF(N(AC350)&gt;0,AC350,0)</f>
        <v>0</v>
      </c>
      <c r="CI350" s="65" t="n">
        <f aca="false">IF(ISNUMBER(AF350),1,0)</f>
        <v>0</v>
      </c>
      <c r="CJ350" s="62" t="n">
        <f aca="false">N(AF350)</f>
        <v>0</v>
      </c>
      <c r="CK350" s="62" t="n">
        <f aca="false">N(M350)+N(N350)</f>
        <v>10</v>
      </c>
      <c r="CL350" s="62" t="n">
        <f aca="false">N(M350)</f>
        <v>0</v>
      </c>
      <c r="CM350" s="62" t="n">
        <f aca="false">N(N350)</f>
        <v>10</v>
      </c>
      <c r="CN350" s="62" t="n">
        <f aca="false">ROUNDUP(H350/BZ350,0)</f>
        <v>1</v>
      </c>
      <c r="CO350" s="62" t="n">
        <f aca="false">ROUNDUP(CJ350/BZ350,0)</f>
        <v>0</v>
      </c>
      <c r="CP350" s="65" t="n">
        <f aca="false">IF(CA350=1,0,IFERROR(VLOOKUP(BY350,'Gebinde-Kategorie'!$A$5:$N$45,5,0)+0,0))</f>
        <v>8</v>
      </c>
      <c r="CQ350" s="65" t="n">
        <f aca="false">IFERROR(IF(OR(CF350=1,CF350=2,CF350=3),N(INDEX(Parameter!$I$5:$I$7,CF350)),0),0)</f>
        <v>0</v>
      </c>
      <c r="CR350" s="64" t="n">
        <f aca="false">IF(AND(Parameter!$B$21="Ja",ISNUMBER(W350),N(X350)&gt;0),IFERROR(N(INDEX(Parameter!$L$5:$L$7,W350))*INDEX(Parameter!$E$5:$E$7,W350)*X350/SUMIFS($X$7:$X$1843,$W$7:$W$1843,W350),0),0)</f>
        <v>0</v>
      </c>
      <c r="CS350" s="62" t="n">
        <f aca="false">IF(AND(OR(CG350="L1",CG350="L23",CG350="LIFT"),H350&gt;0),CC350*IF(CR350&gt;0,CR350*MAX(1,H350/X350),IF(CA350=1,CE350,IF(R350&gt;0,CN350/R350,0))/MAX(0.1,N(Parameter!$M$21))),"")</f>
        <v>1.49038461538462</v>
      </c>
      <c r="CT350" s="64" t="n">
        <f aca="false">IF(CS350="","",J350/H350)</f>
        <v>0.666666666666667</v>
      </c>
      <c r="CU350" s="62" t="n">
        <f aca="false">IF(CS350="","",H350*G350)</f>
        <v>644.25</v>
      </c>
      <c r="CV350" s="63" t="n">
        <f aca="false">IF(CS350="","",(CL350+ROUNDUP(CL350+MAX(CM350,2*(J350/MAX(0.1,N(Einkauf!$C$6))-CL350)),0))/2)</f>
        <v>5</v>
      </c>
      <c r="CW350" s="62" t="n">
        <f aca="false">IF(CS350="","",MAX(0,H350-CV350)*G350)</f>
        <v>429.5</v>
      </c>
      <c r="CX350" s="62" t="n">
        <f aca="false">IF(CS350="","",CS350*MAX(0,1-CV350/H350))</f>
        <v>0.993589743589744</v>
      </c>
      <c r="CY350" s="64" t="n">
        <f aca="false">IF(CS350="","",PERCENTRANK($CS$7:$CS$1843,CS350)+PERCENTRANK($CU$7:$CU$1843,CU350)+1-PERCENTRANK($CT$7:$CT$1843,CT350))</f>
        <v>1.1</v>
      </c>
      <c r="CZ350" s="72" t="n">
        <f aca="false">IF(CS350="","",CHOOSE(MATCH(Einkauf!$C$5,Parameter!$G$23:$G$27,0),CY350,CS350,CU350,-CT350,CW350)+ROW()/1000000000)</f>
        <v>1.10000035</v>
      </c>
    </row>
    <row r="351" customFormat="false" ht="15" hidden="false" customHeight="false" outlineLevel="0" collapsed="false">
      <c r="A351" s="60" t="s">
        <v>900</v>
      </c>
      <c r="B351" s="60" t="s">
        <v>901</v>
      </c>
      <c r="C351" s="60" t="s">
        <v>206</v>
      </c>
      <c r="D351" s="60" t="s">
        <v>226</v>
      </c>
      <c r="E351" s="60"/>
      <c r="F351" s="60" t="s">
        <v>260</v>
      </c>
      <c r="G351" s="61" t="n">
        <v>6.12</v>
      </c>
      <c r="H351" s="62" t="n">
        <f aca="false">MAX(0,IF(AND(Parameter!$B$21="Ja",ISNUMBER(Y351)),Y351,IF(Parameter!$B$20="Jahresanfang 2025 + Export",BS351+BR351,BR351)))</f>
        <v>155</v>
      </c>
      <c r="I351" s="62" t="n">
        <f aca="false">H351*G351</f>
        <v>948.6</v>
      </c>
      <c r="J351" s="62" t="n">
        <f aca="false">BU351*Parameter!$B$18</f>
        <v>11</v>
      </c>
      <c r="K351" s="63" t="n">
        <v>142</v>
      </c>
      <c r="L351" s="64" t="n">
        <v>0.0774647887323944</v>
      </c>
      <c r="M351" s="62" t="n">
        <v>1</v>
      </c>
      <c r="N351" s="62" t="n">
        <v>10</v>
      </c>
      <c r="O351" s="65" t="n">
        <v>56</v>
      </c>
      <c r="P351" s="60" t="s">
        <v>228</v>
      </c>
      <c r="Q351" s="62" t="n">
        <v>155</v>
      </c>
      <c r="R351" s="65" t="n">
        <f aca="false">IF(CA351=1,0,IFERROR(VLOOKUP(BY351,'Gebinde-Kategorie'!$A$5:$N$45,13,0)+0,0))</f>
        <v>12</v>
      </c>
      <c r="S351" s="66"/>
      <c r="T351" s="67"/>
      <c r="U351" s="67"/>
      <c r="V351" s="67"/>
      <c r="W351" s="60"/>
      <c r="X351" s="62"/>
      <c r="Y351" s="62"/>
      <c r="Z351" s="60" t="n">
        <v>3</v>
      </c>
      <c r="AA351" s="60" t="n">
        <f aca="false">IF(A351="","",IF(AND(Parameter!$B$21="Ja",ISNUMBER(W351)),W351,IF(AND(Parameter!$E$27="Ja",ISNUMBER(Z351),CD351&lt;&gt;"Nein"),Z351,IF(CD351="2+3",IF(ISNUMBER(SEARCH("grosser Artikel",BV351)),2,IFERROR(VLOOKUP(BY351,Parameter!$F$35:$G$64,2,0),2)),IF(OR(CD351="Nein",CD351=""),"-",CD351)))))</f>
        <v>3</v>
      </c>
      <c r="AB351" s="67"/>
      <c r="AC351" s="68"/>
      <c r="AD351" s="62" t="n">
        <f aca="false">AW351</f>
        <v>11</v>
      </c>
      <c r="AE351" s="62" t="n">
        <f aca="false">MAX(AW351,H351)</f>
        <v>155</v>
      </c>
      <c r="AF351" s="69"/>
      <c r="AG351" s="62" t="n">
        <f aca="false">IF(LEFT(Cockpit!$C$5,1)="A",H351,IF(Parameter!$E$30="MAX-Bestand",IF(CI351=1,CJ351,IF(LEFT(Cockpit!$C$5,1)="B",AM351,MAX(AM351,H351))),ROUNDUP(AK351,0)))</f>
        <v>155</v>
      </c>
      <c r="AH351" s="62" t="n">
        <f aca="false">IF(CA351=1,0,ROUNDUP(AG351/BZ351,0))</f>
        <v>1</v>
      </c>
      <c r="AI351" s="64" t="n">
        <f aca="false">IF(CR351&gt;0,CR351*MAX(1,AG351/X351),IF(CA351=1,IF(AG351&lt;=0,0,CE351*MAX(1,IF(H351&gt;0,AG351/H351,1))),IF(R351&gt;0,AH351/R351,0))/MAX(0.1,N(Parameter!$M$21)))</f>
        <v>0.0833333333333333</v>
      </c>
      <c r="AJ351" s="62" t="n">
        <f aca="false">AI351*CC351</f>
        <v>12.0833333333333</v>
      </c>
      <c r="AK351" s="63" t="n">
        <f aca="false">IF(LEFT(Cockpit!$C$5,1)="A",H351,IF(CI351=1,(CL351+CJ351)/2,IF(LEFT(Cockpit!$C$5,1)="B",(CL351+AM351)/2,MAX((CL351+AM351)/2,H351))))</f>
        <v>155</v>
      </c>
      <c r="AL351" s="62" t="n">
        <f aca="false">AK351*G351</f>
        <v>948.6</v>
      </c>
      <c r="AM351" s="62" t="n">
        <f aca="false">ROUNDUP(CL351+MAX(CM351,2*(J351/IF(CH351&gt;0,CH351,MAX(0.1,N(Cockpit!$C$6)))-CL351)),0)</f>
        <v>11</v>
      </c>
      <c r="AN351" s="63" t="n">
        <f aca="false">IF(AJ351&gt;0,J351/AJ351,-1)</f>
        <v>0.910344827586207</v>
      </c>
      <c r="AO351" s="63" t="n">
        <f aca="false">IF(AND(OR(CG351="L1",CG351="L23",CG351="LIFT"),AJ351&gt;0),SUMIFS($AJ$7:$AJ$1843,$CG$7:$CG$1843,CG351,$AN$7:$AN$1843,"&gt;"&amp;AN351)+SUMIFS($AJ$7:$AJ$1843,$CG$7:$CG$1843,CG351,$AN$7:$AN$1843,AN351,$BX$7:$BX$1843,"&lt;="&amp;BX351),"")</f>
        <v>7467.20558608059</v>
      </c>
      <c r="AP351" s="70" t="n">
        <f aca="false">IF(AO351="",0,MAX(0,MIN(1,(IF(CG351="L1",Parameter!$H$5,IF(CG351="L23",Parameter!$H$6+Parameter!$H$7,Parameter!$H$5+Parameter!$H$6+Parameter!$H$7))-(AO351-AJ351))/AJ351)))</f>
        <v>1</v>
      </c>
      <c r="AQ351" s="62" t="n">
        <f aca="false">IF(LEFT(Cockpit!$I$5,1)="A",H351,IF(Parameter!$E$30="MAX-Bestand",IF(CI351=1,CJ351,IF(LEFT(Cockpit!$I$5,1)="B",AW351,MAX(AW351,H351))),ROUNDUP(AU351,0)))</f>
        <v>155</v>
      </c>
      <c r="AR351" s="62" t="n">
        <f aca="false">IF(CA351=1,0,ROUNDUP(AQ351/BZ351,0))</f>
        <v>1</v>
      </c>
      <c r="AS351" s="64" t="n">
        <f aca="false">IF(CR351&gt;0,CR351*MAX(1,AQ351/X351),IF(CA351=1,IF(AQ351&lt;=0,0,CE351*MAX(1,IF(H351&gt;0,AQ351/H351,1))),IF(R351&gt;0,AR351/R351,0))/MAX(0.1,N(Parameter!$M$21)))</f>
        <v>0.0833333333333333</v>
      </c>
      <c r="AT351" s="62" t="n">
        <f aca="false">AS351*CC351</f>
        <v>12.0833333333333</v>
      </c>
      <c r="AU351" s="63" t="n">
        <f aca="false">IF(LEFT(Cockpit!$I$5,1)="A",H351,IF(CI351=1,(CL351+CJ351)/2,IF(LEFT(Cockpit!$I$5,1)="B",(CL351+AW351)/2,MAX((CL351+AW351)/2,H351))))</f>
        <v>155</v>
      </c>
      <c r="AV351" s="62" t="n">
        <f aca="false">AU351*G351</f>
        <v>948.6</v>
      </c>
      <c r="AW351" s="62" t="n">
        <f aca="false">ROUNDUP(CL351+MAX(CM351,2*(J351/IF(CH351&gt;0,CH351,MAX(0.1,N(Cockpit!$I$6)))-CL351)),0)</f>
        <v>11</v>
      </c>
      <c r="AX351" s="63" t="n">
        <f aca="false">IF(AT351&gt;0,J351/AT351,-1)</f>
        <v>0.910344827586207</v>
      </c>
      <c r="AY351" s="63" t="n">
        <f aca="false">IF(AND(OR(CG351="L1",CG351="L23",CG351="LIFT"),AT351&gt;0),SUMIFS($AT$7:$AT$1843,$CG$7:$CG$1843,CG351,$AX$7:$AX$1843,"&gt;"&amp;AX351)+SUMIFS($AT$7:$AT$1843,$CG$7:$CG$1843,CG351,$AX$7:$AX$1843,AX351,$BX$7:$BX$1843,"&lt;="&amp;BX351),"")</f>
        <v>9041.6456043956</v>
      </c>
      <c r="AZ351" s="70" t="n">
        <f aca="false">IF(AY351="",0,MAX(0,MIN(1,(IF(CG351="L1",Parameter!$H$5,IF(CG351="L23",Parameter!$H$6+Parameter!$H$7,Parameter!$H$5+Parameter!$H$6+Parameter!$H$7))-(AY351-AT351))/AT351)))</f>
        <v>1</v>
      </c>
      <c r="BA351" s="62" t="n">
        <f aca="false">IF(LEFT(Cockpit!$O$5,1)="A",H351,IF(Parameter!$E$30="MAX-Bestand",IF(CI351=1,CJ351,IF(LEFT(Cockpit!$O$5,1)="B",BG351,MAX(BG351,H351))),ROUNDUP(BE351,0)))</f>
        <v>6</v>
      </c>
      <c r="BB351" s="62" t="n">
        <f aca="false">IF(CA351=1,0,ROUNDUP(BA351/BZ351,0))</f>
        <v>1</v>
      </c>
      <c r="BC351" s="64" t="n">
        <f aca="false">IF(CR351&gt;0,CR351*MAX(1,BA351/X351),IF(CA351=1,IF(BA351&lt;=0,0,CE351*MAX(1,IF(H351&gt;0,BA351/H351,1))),IF(R351&gt;0,BB351/R351,0))/MAX(0.1,N(Parameter!$M$21)))</f>
        <v>0.0833333333333333</v>
      </c>
      <c r="BD351" s="62" t="n">
        <f aca="false">BC351*CC351</f>
        <v>12.0833333333333</v>
      </c>
      <c r="BE351" s="63" t="n">
        <f aca="false">IF(LEFT(Cockpit!$O$5,1)="A",H351,IF(CI351=1,(CL351+CJ351)/2,IF(LEFT(Cockpit!$O$5,1)="B",(CL351+BG351)/2,MAX((CL351+BG351)/2,H351))))</f>
        <v>6</v>
      </c>
      <c r="BF351" s="62" t="n">
        <f aca="false">BE351*G351</f>
        <v>36.72</v>
      </c>
      <c r="BG351" s="62" t="n">
        <f aca="false">ROUNDUP(CL351+MAX(CM351,2*(J351/IF(CH351&gt;0,CH351,MAX(0.1,N(Cockpit!$O$6)))-CL351)),0)</f>
        <v>11</v>
      </c>
      <c r="BH351" s="63" t="n">
        <f aca="false">IF(BD351&gt;0,J351/BD351,-1)</f>
        <v>0.910344827586207</v>
      </c>
      <c r="BI351" s="63" t="n">
        <f aca="false">IF(AND(OR(CG351="L1",CG351="L23",CG351="LIFT"),BD351&gt;0),SUMIFS($BD$7:$BD$1843,$CG$7:$CG$1843,CG351,$BH$7:$BH$1843,"&gt;"&amp;BH351)+SUMIFS($BD$7:$BD$1843,$CG$7:$CG$1843,CG351,$BH$7:$BH$1843,BH351,$BX$7:$BX$1843,"&lt;="&amp;BX351),"")</f>
        <v>8240.07921245421</v>
      </c>
      <c r="BJ351" s="70" t="n">
        <f aca="false">IF(BI351="",0,MAX(0,MIN(1,(IF(CG351="L1",Parameter!$H$5,IF(CG351="L23",Parameter!$H$6+Parameter!$H$7,Parameter!$H$5+Parameter!$H$6+Parameter!$H$7))-(BI351-BD351))/BD351)))</f>
        <v>1</v>
      </c>
      <c r="BK351" s="60" t="str">
        <f aca="false">IF(AJ351&lt;=0,"",IF(CG351="Aussen","Aussenlager",IF(CG351="-","Nicht im Lift",IF(AP351&gt;=1,"Lift",IF(AP351&lt;=0,"Aussenlager","teilweise")))))</f>
        <v>Lift</v>
      </c>
      <c r="BL351" s="60" t="str">
        <f aca="false">IF(AT351&lt;=0,"",IF(CG351="Aussen","Aussenlager",IF(CG351="-","Nicht im Lift",IF(AZ351&gt;=1,"Lift",IF(AZ351&lt;=0,"Aussenlager","teilweise")))))</f>
        <v>Lift</v>
      </c>
      <c r="BM351" s="60" t="str">
        <f aca="false">IF(BD351&lt;=0,"",IF(CG351="Aussen","Aussenlager",IF(CG351="-","Nicht im Lift",IF(BJ351&gt;=1,"Lift",IF(BJ351&lt;=0,"Aussenlager","teilweise")))))</f>
        <v>Lift</v>
      </c>
      <c r="BN351" s="60" t="str">
        <f aca="false">IF(A351="","",IF(BW351=1,"Neu; ","")&amp;IF(AND(BW351=0,BR351&lt;0),"negativer Bestand (Export "&amp;BR351&amp;"); ","")&amp;IF(J351&lt;=0,"Kein Verbrauch; ","")&amp;IF(CR351&gt;0,"Lift "&amp;W351&amp;" lt. Liftbericht (Fach "&amp;X351&amp;" Stk); ",IF(CB351=1,"Gebinde geschätzt ("&amp;T351&amp;"); ",IF(CA351=1,"Lose – Tablare geschätzt; ","")))&amp;IF(H351&gt;AW351,"Überbestand "&amp;ROUND(H351-AW351,0)&amp;" Stk / CHF "&amp;ROUND((H351-AW351)*G351,0)&amp;"; ","")&amp;IF(AND(CI351=1,CJ351&lt;CK351),"MAX &lt; MB+LG; ","")&amp;IF(AND(CQ351&gt;0,CP351*10&gt;CQ351),"zu hoch für Tablar; ","")&amp;IF(AND(BW351=0,OR(CI351=1,AB351&lt;&gt;"",U351&lt;&gt;"",V351&lt;&gt;"",AC351&lt;&gt;"")),"manuell übersteuert; ","")&amp;IF(AND(CA351=0,R351=0),"Gebinde unbekannt / Stellmass fehlt; ","")&amp;IF(AND(CA351=0,N(V351)&lt;=0,N(Q351)&lt;=0),"Menge pro Gebinde fehlt (Ist = 1 Gebinde); ","")&amp;BV351)</f>
        <v>Überbestand 144 Stk / CHF 881; Neuer Art.</v>
      </c>
      <c r="BO351" s="60"/>
      <c r="BP351" s="60"/>
      <c r="BQ351" s="67"/>
      <c r="BR351" s="62" t="n">
        <v>29</v>
      </c>
      <c r="BS351" s="62" t="n">
        <v>126</v>
      </c>
      <c r="BT351" s="61" t="n">
        <v>177.48</v>
      </c>
      <c r="BU351" s="62" t="n">
        <v>11</v>
      </c>
      <c r="BV351" s="60" t="s">
        <v>554</v>
      </c>
      <c r="BW351" s="65" t="n">
        <v>0</v>
      </c>
      <c r="BX351" s="65" t="n">
        <v>351</v>
      </c>
      <c r="BY351" s="60" t="str">
        <f aca="false">IF(U351&lt;&gt;"",UPPER(TRIM(U351)),IF(CB351=1,UPPER(VLOOKUP(T351,Parameter!$I$27:$K$29,2,0)),IF(P351="","LOSE",P351)))</f>
        <v>S61</v>
      </c>
      <c r="BZ351" s="62" t="n">
        <f aca="false">IF(BY351="LOSE",1,IF(N(V351)&gt;0,V351,IF(CB351=1,MAX(1,N(VLOOKUP(T351,Parameter!$I$27:$K$29,3,0)),H351,N(N351)),IF(N(Q351)&gt;0,Q351,MAX(1,H351)))))</f>
        <v>155</v>
      </c>
      <c r="CA351" s="65" t="n">
        <f aca="false">IF(BY351="LOSE",1,0)</f>
        <v>0</v>
      </c>
      <c r="CB351" s="65" t="n">
        <f aca="false">IF(AND(U351="",OR(P351="",P351="LOSE"),T351&lt;&gt;"",N(S351)&lt;=0,ISNUMBER(MATCH(T351,Parameter!$I$27:$I$29,0))),1,0)</f>
        <v>0</v>
      </c>
      <c r="CC351" s="65" t="n">
        <f aca="false">IF(CR351&gt;0,INDEX(Parameter!$H$5:$H$7,W351)/INDEX(Parameter!$E$5:$E$7,W351),IF(AND(CA351=0,N(IFERROR(VLOOKUP(BY351,'Gebinde-Kategorie'!$A$5:$N$45,14,0),0))&gt;0),VLOOKUP(BY351,'Gebinde-Kategorie'!$A$5:$N$45,14,0)*10+Parameter!$M$23,Parameter!$M$24))</f>
        <v>145</v>
      </c>
      <c r="CD351" s="60" t="str">
        <f aca="false">IF(AND(Parameter!$B$19="Ja",E351&lt;&gt;"",ISNUMBER(MATCH(E351,Parameter!$I$35:$I$52,0))),VLOOKUP(E351,Parameter!$I$35:$J$52,2,0),IFERROR(VLOOKUP(D351,Parameter!$A$35:$C$64,2,0),"Nein"))</f>
        <v>2+3</v>
      </c>
      <c r="CE351" s="64" t="n">
        <f aca="false">IF(CA351=0,0,IF(N(S351)&gt;0,S351,IFERROR(VLOOKUP(D351,Parameter!$A$35:$C$64,3,0)+0,0)))</f>
        <v>0</v>
      </c>
      <c r="CF351" s="60" t="n">
        <f aca="false">IF(AB351&lt;&gt;"",AB351,AA351)</f>
        <v>3</v>
      </c>
      <c r="CG351" s="60" t="str">
        <f aca="false">IF(OR(CF351=1,CF351=2,CF351=3),IF(Parameter!$E$27="Ja","LIFT",IF(CF351=1,"L1","L23")),IF(CF351="Aussen","Aussen","-"))</f>
        <v>LIFT</v>
      </c>
      <c r="CH351" s="71" t="n">
        <f aca="false">IF(N(AC351)&gt;0,AC351,0)</f>
        <v>0</v>
      </c>
      <c r="CI351" s="65" t="n">
        <f aca="false">IF(ISNUMBER(AF351),1,0)</f>
        <v>0</v>
      </c>
      <c r="CJ351" s="62" t="n">
        <f aca="false">N(AF351)</f>
        <v>0</v>
      </c>
      <c r="CK351" s="62" t="n">
        <f aca="false">N(M351)+N(N351)</f>
        <v>11</v>
      </c>
      <c r="CL351" s="62" t="n">
        <f aca="false">N(M351)</f>
        <v>1</v>
      </c>
      <c r="CM351" s="62" t="n">
        <f aca="false">N(N351)</f>
        <v>10</v>
      </c>
      <c r="CN351" s="62" t="n">
        <f aca="false">ROUNDUP(H351/BZ351,0)</f>
        <v>1</v>
      </c>
      <c r="CO351" s="62" t="n">
        <f aca="false">ROUNDUP(CJ351/BZ351,0)</f>
        <v>0</v>
      </c>
      <c r="CP351" s="65" t="n">
        <f aca="false">IF(CA351=1,0,IFERROR(VLOOKUP(BY351,'Gebinde-Kategorie'!$A$5:$N$45,5,0)+0,0))</f>
        <v>11</v>
      </c>
      <c r="CQ351" s="65" t="n">
        <f aca="false">IFERROR(IF(OR(CF351=1,CF351=2,CF351=3),N(INDEX(Parameter!$I$5:$I$7,CF351)),0),0)</f>
        <v>0</v>
      </c>
      <c r="CR351" s="64" t="n">
        <f aca="false">IF(AND(Parameter!$B$21="Ja",ISNUMBER(W351),N(X351)&gt;0),IFERROR(N(INDEX(Parameter!$L$5:$L$7,W351))*INDEX(Parameter!$E$5:$E$7,W351)*X351/SUMIFS($X$7:$X$1843,$W$7:$W$1843,W351),0),0)</f>
        <v>0</v>
      </c>
      <c r="CS351" s="62" t="n">
        <f aca="false">IF(AND(OR(CG351="L1",CG351="L23",CG351="LIFT"),H351&gt;0),CC351*IF(CR351&gt;0,CR351*MAX(1,H351/X351),IF(CA351=1,CE351,IF(R351&gt;0,CN351/R351,0))/MAX(0.1,N(Parameter!$M$21))),"")</f>
        <v>12.0833333333333</v>
      </c>
      <c r="CT351" s="64" t="n">
        <f aca="false">IF(CS351="","",J351/H351)</f>
        <v>0.0709677419354839</v>
      </c>
      <c r="CU351" s="62" t="n">
        <f aca="false">IF(CS351="","",H351*G351)</f>
        <v>948.6</v>
      </c>
      <c r="CV351" s="63" t="n">
        <f aca="false">IF(CS351="","",(CL351+ROUNDUP(CL351+MAX(CM351,2*(J351/MAX(0.1,N(Einkauf!$C$6))-CL351)),0))/2)</f>
        <v>6</v>
      </c>
      <c r="CW351" s="62" t="n">
        <f aca="false">IF(CS351="","",MAX(0,H351-CV351)*G351)</f>
        <v>911.88</v>
      </c>
      <c r="CX351" s="62" t="n">
        <f aca="false">IF(CS351="","",CS351*MAX(0,1-CV351/H351))</f>
        <v>11.6155913978495</v>
      </c>
      <c r="CY351" s="64" t="n">
        <f aca="false">IF(CS351="","",PERCENTRANK($CS$7:$CS$1843,CS351)+PERCENTRANK($CU$7:$CU$1843,CU351)+1-PERCENTRANK($CT$7:$CT$1843,CT351))</f>
        <v>1.887</v>
      </c>
      <c r="CZ351" s="72" t="n">
        <f aca="false">IF(CS351="","",CHOOSE(MATCH(Einkauf!$C$5,Parameter!$G$23:$G$27,0),CY351,CS351,CU351,-CT351,CW351)+ROW()/1000000000)</f>
        <v>1.887000351</v>
      </c>
    </row>
    <row r="352" customFormat="false" ht="15" hidden="false" customHeight="false" outlineLevel="0" collapsed="false">
      <c r="A352" s="60" t="s">
        <v>902</v>
      </c>
      <c r="B352" s="60" t="s">
        <v>903</v>
      </c>
      <c r="C352" s="60" t="s">
        <v>206</v>
      </c>
      <c r="D352" s="60" t="s">
        <v>226</v>
      </c>
      <c r="E352" s="60"/>
      <c r="F352" s="60" t="s">
        <v>260</v>
      </c>
      <c r="G352" s="61" t="n">
        <v>6.79</v>
      </c>
      <c r="H352" s="62" t="n">
        <f aca="false">MAX(0,IF(AND(Parameter!$B$21="Ja",ISNUMBER(Y352)),Y352,IF(Parameter!$B$20="Jahresanfang 2025 + Export",BS352+BR352,BR352)))</f>
        <v>43</v>
      </c>
      <c r="I352" s="62" t="n">
        <f aca="false">H352*G352</f>
        <v>291.97</v>
      </c>
      <c r="J352" s="62" t="n">
        <f aca="false">BU352*Parameter!$B$18</f>
        <v>9</v>
      </c>
      <c r="K352" s="63" t="n">
        <v>22</v>
      </c>
      <c r="L352" s="64" t="n">
        <v>0.409090909090909</v>
      </c>
      <c r="M352" s="62" t="n">
        <v>0</v>
      </c>
      <c r="N352" s="62" t="n">
        <v>10</v>
      </c>
      <c r="O352" s="65" t="n">
        <v>21</v>
      </c>
      <c r="P352" s="60" t="s">
        <v>463</v>
      </c>
      <c r="Q352" s="62" t="n">
        <v>60</v>
      </c>
      <c r="R352" s="65" t="n">
        <f aca="false">IF(CA352=1,0,IFERROR(VLOOKUP(BY352,'Gebinde-Kategorie'!$A$5:$N$45,13,0)+0,0))</f>
        <v>104</v>
      </c>
      <c r="S352" s="66"/>
      <c r="T352" s="67"/>
      <c r="U352" s="67"/>
      <c r="V352" s="67"/>
      <c r="W352" s="60"/>
      <c r="X352" s="62"/>
      <c r="Y352" s="62"/>
      <c r="Z352" s="60" t="n">
        <v>3</v>
      </c>
      <c r="AA352" s="60" t="n">
        <f aca="false">IF(A352="","",IF(AND(Parameter!$B$21="Ja",ISNUMBER(W352)),W352,IF(AND(Parameter!$E$27="Ja",ISNUMBER(Z352),CD352&lt;&gt;"Nein"),Z352,IF(CD352="2+3",IF(ISNUMBER(SEARCH("grosser Artikel",BV352)),2,IFERROR(VLOOKUP(BY352,Parameter!$F$35:$G$64,2,0),2)),IF(OR(CD352="Nein",CD352=""),"-",CD352)))))</f>
        <v>3</v>
      </c>
      <c r="AB352" s="67"/>
      <c r="AC352" s="68"/>
      <c r="AD352" s="62" t="n">
        <f aca="false">AW352</f>
        <v>10</v>
      </c>
      <c r="AE352" s="62" t="n">
        <f aca="false">MAX(AW352,H352)</f>
        <v>43</v>
      </c>
      <c r="AF352" s="69"/>
      <c r="AG352" s="62" t="n">
        <f aca="false">IF(LEFT(Cockpit!$C$5,1)="A",H352,IF(Parameter!$E$30="MAX-Bestand",IF(CI352=1,CJ352,IF(LEFT(Cockpit!$C$5,1)="B",AM352,MAX(AM352,H352))),ROUNDUP(AK352,0)))</f>
        <v>43</v>
      </c>
      <c r="AH352" s="62" t="n">
        <f aca="false">IF(CA352=1,0,ROUNDUP(AG352/BZ352,0))</f>
        <v>1</v>
      </c>
      <c r="AI352" s="64" t="n">
        <f aca="false">IF(CR352&gt;0,CR352*MAX(1,AG352/X352),IF(CA352=1,IF(AG352&lt;=0,0,CE352*MAX(1,IF(H352&gt;0,AG352/H352,1))),IF(R352&gt;0,AH352/R352,0))/MAX(0.1,N(Parameter!$M$21)))</f>
        <v>0.00961538461538462</v>
      </c>
      <c r="AJ352" s="62" t="n">
        <f aca="false">AI352*CC352</f>
        <v>1.49038461538462</v>
      </c>
      <c r="AK352" s="63" t="n">
        <f aca="false">IF(LEFT(Cockpit!$C$5,1)="A",H352,IF(CI352=1,(CL352+CJ352)/2,IF(LEFT(Cockpit!$C$5,1)="B",(CL352+AM352)/2,MAX((CL352+AM352)/2,H352))))</f>
        <v>43</v>
      </c>
      <c r="AL352" s="62" t="n">
        <f aca="false">AK352*G352</f>
        <v>291.97</v>
      </c>
      <c r="AM352" s="62" t="n">
        <f aca="false">ROUNDUP(CL352+MAX(CM352,2*(J352/IF(CH352&gt;0,CH352,MAX(0.1,N(Cockpit!$C$6)))-CL352)),0)</f>
        <v>10</v>
      </c>
      <c r="AN352" s="63" t="n">
        <f aca="false">IF(AJ352&gt;0,J352/AJ352,-1)</f>
        <v>6.03870967741935</v>
      </c>
      <c r="AO352" s="63" t="n">
        <f aca="false">IF(AND(OR(CG352="L1",CG352="L23",CG352="LIFT"),AJ352&gt;0),SUMIFS($AJ$7:$AJ$1843,$CG$7:$CG$1843,CG352,$AN$7:$AN$1843,"&gt;"&amp;AN352)+SUMIFS($AJ$7:$AJ$1843,$CG$7:$CG$1843,CG352,$AN$7:$AN$1843,AN352,$BX$7:$BX$1843,"&lt;="&amp;BX352),"")</f>
        <v>3511.99725274725</v>
      </c>
      <c r="AP352" s="70" t="n">
        <f aca="false">IF(AO352="",0,MAX(0,MIN(1,(IF(CG352="L1",Parameter!$H$5,IF(CG352="L23",Parameter!$H$6+Parameter!$H$7,Parameter!$H$5+Parameter!$H$6+Parameter!$H$7))-(AO352-AJ352))/AJ352)))</f>
        <v>1</v>
      </c>
      <c r="AQ352" s="62" t="n">
        <f aca="false">IF(LEFT(Cockpit!$I$5,1)="A",H352,IF(Parameter!$E$30="MAX-Bestand",IF(CI352=1,CJ352,IF(LEFT(Cockpit!$I$5,1)="B",AW352,MAX(AW352,H352))),ROUNDUP(AU352,0)))</f>
        <v>43</v>
      </c>
      <c r="AR352" s="62" t="n">
        <f aca="false">IF(CA352=1,0,ROUNDUP(AQ352/BZ352,0))</f>
        <v>1</v>
      </c>
      <c r="AS352" s="64" t="n">
        <f aca="false">IF(CR352&gt;0,CR352*MAX(1,AQ352/X352),IF(CA352=1,IF(AQ352&lt;=0,0,CE352*MAX(1,IF(H352&gt;0,AQ352/H352,1))),IF(R352&gt;0,AR352/R352,0))/MAX(0.1,N(Parameter!$M$21)))</f>
        <v>0.00961538461538462</v>
      </c>
      <c r="AT352" s="62" t="n">
        <f aca="false">AS352*CC352</f>
        <v>1.49038461538462</v>
      </c>
      <c r="AU352" s="63" t="n">
        <f aca="false">IF(LEFT(Cockpit!$I$5,1)="A",H352,IF(CI352=1,(CL352+CJ352)/2,IF(LEFT(Cockpit!$I$5,1)="B",(CL352+AW352)/2,MAX((CL352+AW352)/2,H352))))</f>
        <v>43</v>
      </c>
      <c r="AV352" s="62" t="n">
        <f aca="false">AU352*G352</f>
        <v>291.97</v>
      </c>
      <c r="AW352" s="62" t="n">
        <f aca="false">ROUNDUP(CL352+MAX(CM352,2*(J352/IF(CH352&gt;0,CH352,MAX(0.1,N(Cockpit!$I$6)))-CL352)),0)</f>
        <v>10</v>
      </c>
      <c r="AX352" s="63" t="n">
        <f aca="false">IF(AT352&gt;0,J352/AT352,-1)</f>
        <v>6.03870967741935</v>
      </c>
      <c r="AY352" s="63" t="n">
        <f aca="false">IF(AND(OR(CG352="L1",CG352="L23",CG352="LIFT"),AT352&gt;0),SUMIFS($AT$7:$AT$1843,$CG$7:$CG$1843,CG352,$AX$7:$AX$1843,"&gt;"&amp;AX352)+SUMIFS($AT$7:$AT$1843,$CG$7:$CG$1843,CG352,$AX$7:$AX$1843,AX352,$BX$7:$BX$1843,"&lt;="&amp;BX352),"")</f>
        <v>4177.66117216117</v>
      </c>
      <c r="AZ352" s="70" t="n">
        <f aca="false">IF(AY352="",0,MAX(0,MIN(1,(IF(CG352="L1",Parameter!$H$5,IF(CG352="L23",Parameter!$H$6+Parameter!$H$7,Parameter!$H$5+Parameter!$H$6+Parameter!$H$7))-(AY352-AT352))/AT352)))</f>
        <v>1</v>
      </c>
      <c r="BA352" s="62" t="n">
        <f aca="false">IF(LEFT(Cockpit!$O$5,1)="A",H352,IF(Parameter!$E$30="MAX-Bestand",IF(CI352=1,CJ352,IF(LEFT(Cockpit!$O$5,1)="B",BG352,MAX(BG352,H352))),ROUNDUP(BE352,0)))</f>
        <v>5</v>
      </c>
      <c r="BB352" s="62" t="n">
        <f aca="false">IF(CA352=1,0,ROUNDUP(BA352/BZ352,0))</f>
        <v>1</v>
      </c>
      <c r="BC352" s="64" t="n">
        <f aca="false">IF(CR352&gt;0,CR352*MAX(1,BA352/X352),IF(CA352=1,IF(BA352&lt;=0,0,CE352*MAX(1,IF(H352&gt;0,BA352/H352,1))),IF(R352&gt;0,BB352/R352,0))/MAX(0.1,N(Parameter!$M$21)))</f>
        <v>0.00961538461538462</v>
      </c>
      <c r="BD352" s="62" t="n">
        <f aca="false">BC352*CC352</f>
        <v>1.49038461538462</v>
      </c>
      <c r="BE352" s="63" t="n">
        <f aca="false">IF(LEFT(Cockpit!$O$5,1)="A",H352,IF(CI352=1,(CL352+CJ352)/2,IF(LEFT(Cockpit!$O$5,1)="B",(CL352+BG352)/2,MAX((CL352+BG352)/2,H352))))</f>
        <v>5</v>
      </c>
      <c r="BF352" s="62" t="n">
        <f aca="false">BE352*G352</f>
        <v>33.95</v>
      </c>
      <c r="BG352" s="62" t="n">
        <f aca="false">ROUNDUP(CL352+MAX(CM352,2*(J352/IF(CH352&gt;0,CH352,MAX(0.1,N(Cockpit!$O$6)))-CL352)),0)</f>
        <v>10</v>
      </c>
      <c r="BH352" s="63" t="n">
        <f aca="false">IF(BD352&gt;0,J352/BD352,-1)</f>
        <v>6.03870967741935</v>
      </c>
      <c r="BI352" s="63" t="n">
        <f aca="false">IF(AND(OR(CG352="L1",CG352="L23",CG352="LIFT"),BD352&gt;0),SUMIFS($BD$7:$BD$1843,$CG$7:$CG$1843,CG352,$BH$7:$BH$1843,"&gt;"&amp;BH352)+SUMIFS($BD$7:$BD$1843,$CG$7:$CG$1843,CG352,$BH$7:$BH$1843,BH352,$BX$7:$BX$1843,"&lt;="&amp;BX352),"")</f>
        <v>3500.24404761905</v>
      </c>
      <c r="BJ352" s="70" t="n">
        <f aca="false">IF(BI352="",0,MAX(0,MIN(1,(IF(CG352="L1",Parameter!$H$5,IF(CG352="L23",Parameter!$H$6+Parameter!$H$7,Parameter!$H$5+Parameter!$H$6+Parameter!$H$7))-(BI352-BD352))/BD352)))</f>
        <v>1</v>
      </c>
      <c r="BK352" s="60" t="str">
        <f aca="false">IF(AJ352&lt;=0,"",IF(CG352="Aussen","Aussenlager",IF(CG352="-","Nicht im Lift",IF(AP352&gt;=1,"Lift",IF(AP352&lt;=0,"Aussenlager","teilweise")))))</f>
        <v>Lift</v>
      </c>
      <c r="BL352" s="60" t="str">
        <f aca="false">IF(AT352&lt;=0,"",IF(CG352="Aussen","Aussenlager",IF(CG352="-","Nicht im Lift",IF(AZ352&gt;=1,"Lift",IF(AZ352&lt;=0,"Aussenlager","teilweise")))))</f>
        <v>Lift</v>
      </c>
      <c r="BM352" s="60" t="str">
        <f aca="false">IF(BD352&lt;=0,"",IF(CG352="Aussen","Aussenlager",IF(CG352="-","Nicht im Lift",IF(BJ352&gt;=1,"Lift",IF(BJ352&lt;=0,"Aussenlager","teilweise")))))</f>
        <v>Lift</v>
      </c>
      <c r="BN352" s="60" t="str">
        <f aca="false">IF(A352="","",IF(BW352=1,"Neu; ","")&amp;IF(AND(BW352=0,BR352&lt;0),"negativer Bestand (Export "&amp;BR352&amp;"); ","")&amp;IF(J352&lt;=0,"Kein Verbrauch; ","")&amp;IF(CR352&gt;0,"Lift "&amp;W352&amp;" lt. Liftbericht (Fach "&amp;X352&amp;" Stk); ",IF(CB352=1,"Gebinde geschätzt ("&amp;T352&amp;"); ",IF(CA352=1,"Lose – Tablare geschätzt; ","")))&amp;IF(H352&gt;AW352,"Überbestand "&amp;ROUND(H352-AW352,0)&amp;" Stk / CHF "&amp;ROUND((H352-AW352)*G352,0)&amp;"; ","")&amp;IF(AND(CI352=1,CJ352&lt;CK352),"MAX &lt; MB+LG; ","")&amp;IF(AND(CQ352&gt;0,CP352*10&gt;CQ352),"zu hoch für Tablar; ","")&amp;IF(AND(BW352=0,OR(CI352=1,AB352&lt;&gt;"",U352&lt;&gt;"",V352&lt;&gt;"",AC352&lt;&gt;"")),"manuell übersteuert; ","")&amp;IF(AND(CA352=0,R352=0),"Gebinde unbekannt / Stellmass fehlt; ","")&amp;IF(AND(CA352=0,N(V352)&lt;=0,N(Q352)&lt;=0),"Menge pro Gebinde fehlt (Ist = 1 Gebinde); ","")&amp;BV352)</f>
        <v>Überbestand 33 Stk / CHF 224; </v>
      </c>
      <c r="BO352" s="60"/>
      <c r="BP352" s="60"/>
      <c r="BQ352" s="67"/>
      <c r="BR352" s="62" t="n">
        <v>26</v>
      </c>
      <c r="BS352" s="62" t="n">
        <v>17</v>
      </c>
      <c r="BT352" s="61" t="n">
        <v>176.54</v>
      </c>
      <c r="BU352" s="62" t="n">
        <v>9</v>
      </c>
      <c r="BV352" s="60"/>
      <c r="BW352" s="65" t="n">
        <v>0</v>
      </c>
      <c r="BX352" s="65" t="n">
        <v>352</v>
      </c>
      <c r="BY352" s="60" t="str">
        <f aca="false">IF(U352&lt;&gt;"",UPPER(TRIM(U352)),IF(CB352=1,UPPER(VLOOKUP(T352,Parameter!$I$27:$K$29,2,0)),IF(P352="","LOSE",P352)))</f>
        <v>S32</v>
      </c>
      <c r="BZ352" s="62" t="n">
        <f aca="false">IF(BY352="LOSE",1,IF(N(V352)&gt;0,V352,IF(CB352=1,MAX(1,N(VLOOKUP(T352,Parameter!$I$27:$K$29,3,0)),H352,N(N352)),IF(N(Q352)&gt;0,Q352,MAX(1,H352)))))</f>
        <v>60</v>
      </c>
      <c r="CA352" s="65" t="n">
        <f aca="false">IF(BY352="LOSE",1,0)</f>
        <v>0</v>
      </c>
      <c r="CB352" s="65" t="n">
        <f aca="false">IF(AND(U352="",OR(P352="",P352="LOSE"),T352&lt;&gt;"",N(S352)&lt;=0,ISNUMBER(MATCH(T352,Parameter!$I$27:$I$29,0))),1,0)</f>
        <v>0</v>
      </c>
      <c r="CC352" s="65" t="n">
        <f aca="false">IF(CR352&gt;0,INDEX(Parameter!$H$5:$H$7,W352)/INDEX(Parameter!$E$5:$E$7,W352),IF(AND(CA352=0,N(IFERROR(VLOOKUP(BY352,'Gebinde-Kategorie'!$A$5:$N$45,14,0),0))&gt;0),VLOOKUP(BY352,'Gebinde-Kategorie'!$A$5:$N$45,14,0)*10+Parameter!$M$23,Parameter!$M$24))</f>
        <v>155</v>
      </c>
      <c r="CD352" s="60" t="str">
        <f aca="false">IF(AND(Parameter!$B$19="Ja",E352&lt;&gt;"",ISNUMBER(MATCH(E352,Parameter!$I$35:$I$52,0))),VLOOKUP(E352,Parameter!$I$35:$J$52,2,0),IFERROR(VLOOKUP(D352,Parameter!$A$35:$C$64,2,0),"Nein"))</f>
        <v>2+3</v>
      </c>
      <c r="CE352" s="64" t="n">
        <f aca="false">IF(CA352=0,0,IF(N(S352)&gt;0,S352,IFERROR(VLOOKUP(D352,Parameter!$A$35:$C$64,3,0)+0,0)))</f>
        <v>0</v>
      </c>
      <c r="CF352" s="60" t="n">
        <f aca="false">IF(AB352&lt;&gt;"",AB352,AA352)</f>
        <v>3</v>
      </c>
      <c r="CG352" s="60" t="str">
        <f aca="false">IF(OR(CF352=1,CF352=2,CF352=3),IF(Parameter!$E$27="Ja","LIFT",IF(CF352=1,"L1","L23")),IF(CF352="Aussen","Aussen","-"))</f>
        <v>LIFT</v>
      </c>
      <c r="CH352" s="71" t="n">
        <f aca="false">IF(N(AC352)&gt;0,AC352,0)</f>
        <v>0</v>
      </c>
      <c r="CI352" s="65" t="n">
        <f aca="false">IF(ISNUMBER(AF352),1,0)</f>
        <v>0</v>
      </c>
      <c r="CJ352" s="62" t="n">
        <f aca="false">N(AF352)</f>
        <v>0</v>
      </c>
      <c r="CK352" s="62" t="n">
        <f aca="false">N(M352)+N(N352)</f>
        <v>10</v>
      </c>
      <c r="CL352" s="62" t="n">
        <f aca="false">N(M352)</f>
        <v>0</v>
      </c>
      <c r="CM352" s="62" t="n">
        <f aca="false">N(N352)</f>
        <v>10</v>
      </c>
      <c r="CN352" s="62" t="n">
        <f aca="false">ROUNDUP(H352/BZ352,0)</f>
        <v>1</v>
      </c>
      <c r="CO352" s="62" t="n">
        <f aca="false">ROUNDUP(CJ352/BZ352,0)</f>
        <v>0</v>
      </c>
      <c r="CP352" s="65" t="n">
        <f aca="false">IF(CA352=1,0,IFERROR(VLOOKUP(BY352,'Gebinde-Kategorie'!$A$5:$N$45,5,0)+0,0))</f>
        <v>8</v>
      </c>
      <c r="CQ352" s="65" t="n">
        <f aca="false">IFERROR(IF(OR(CF352=1,CF352=2,CF352=3),N(INDEX(Parameter!$I$5:$I$7,CF352)),0),0)</f>
        <v>0</v>
      </c>
      <c r="CR352" s="64" t="n">
        <f aca="false">IF(AND(Parameter!$B$21="Ja",ISNUMBER(W352),N(X352)&gt;0),IFERROR(N(INDEX(Parameter!$L$5:$L$7,W352))*INDEX(Parameter!$E$5:$E$7,W352)*X352/SUMIFS($X$7:$X$1843,$W$7:$W$1843,W352),0),0)</f>
        <v>0</v>
      </c>
      <c r="CS352" s="62" t="n">
        <f aca="false">IF(AND(OR(CG352="L1",CG352="L23",CG352="LIFT"),H352&gt;0),CC352*IF(CR352&gt;0,CR352*MAX(1,H352/X352),IF(CA352=1,CE352,IF(R352&gt;0,CN352/R352,0))/MAX(0.1,N(Parameter!$M$21))),"")</f>
        <v>1.49038461538462</v>
      </c>
      <c r="CT352" s="64" t="n">
        <f aca="false">IF(CS352="","",J352/H352)</f>
        <v>0.209302325581395</v>
      </c>
      <c r="CU352" s="62" t="n">
        <f aca="false">IF(CS352="","",H352*G352)</f>
        <v>291.97</v>
      </c>
      <c r="CV352" s="63" t="n">
        <f aca="false">IF(CS352="","",(CL352+ROUNDUP(CL352+MAX(CM352,2*(J352/MAX(0.1,N(Einkauf!$C$6))-CL352)),0))/2)</f>
        <v>5</v>
      </c>
      <c r="CW352" s="62" t="n">
        <f aca="false">IF(CS352="","",MAX(0,H352-CV352)*G352)</f>
        <v>258.02</v>
      </c>
      <c r="CX352" s="62" t="n">
        <f aca="false">IF(CS352="","",CS352*MAX(0,1-CV352/H352))</f>
        <v>1.31708407871199</v>
      </c>
      <c r="CY352" s="64" t="n">
        <f aca="false">IF(CS352="","",PERCENTRANK($CS$7:$CS$1843,CS352)+PERCENTRANK($CU$7:$CU$1843,CU352)+1-PERCENTRANK($CT$7:$CT$1843,CT352))</f>
        <v>1.05</v>
      </c>
      <c r="CZ352" s="72" t="n">
        <f aca="false">IF(CS352="","",CHOOSE(MATCH(Einkauf!$C$5,Parameter!$G$23:$G$27,0),CY352,CS352,CU352,-CT352,CW352)+ROW()/1000000000)</f>
        <v>1.050000352</v>
      </c>
    </row>
    <row r="353" customFormat="false" ht="15" hidden="false" customHeight="false" outlineLevel="0" collapsed="false">
      <c r="A353" s="60" t="s">
        <v>904</v>
      </c>
      <c r="B353" s="60" t="s">
        <v>409</v>
      </c>
      <c r="C353" s="60" t="s">
        <v>206</v>
      </c>
      <c r="D353" s="60" t="s">
        <v>226</v>
      </c>
      <c r="E353" s="60"/>
      <c r="F353" s="60" t="s">
        <v>260</v>
      </c>
      <c r="G353" s="61" t="n">
        <v>10.47</v>
      </c>
      <c r="H353" s="62" t="n">
        <f aca="false">MAX(0,IF(AND(Parameter!$B$21="Ja",ISNUMBER(Y353)),Y353,IF(Parameter!$B$20="Jahresanfang 2025 + Export",BS353+BR353,BR353)))</f>
        <v>26</v>
      </c>
      <c r="I353" s="62" t="n">
        <f aca="false">H353*G353</f>
        <v>272.22</v>
      </c>
      <c r="J353" s="62" t="n">
        <f aca="false">BU353*Parameter!$B$18</f>
        <v>0</v>
      </c>
      <c r="K353" s="63" t="n">
        <v>18.5</v>
      </c>
      <c r="L353" s="64" t="n">
        <v>0</v>
      </c>
      <c r="M353" s="62" t="n">
        <v>0</v>
      </c>
      <c r="N353" s="62" t="n">
        <v>10</v>
      </c>
      <c r="O353" s="65" t="n">
        <v>21</v>
      </c>
      <c r="P353" s="60" t="s">
        <v>370</v>
      </c>
      <c r="Q353" s="62" t="n">
        <v>50</v>
      </c>
      <c r="R353" s="65" t="n">
        <f aca="false">IF(CA353=1,0,IFERROR(VLOOKUP(BY353,'Gebinde-Kategorie'!$A$5:$N$45,13,0)+0,0))</f>
        <v>52</v>
      </c>
      <c r="S353" s="66"/>
      <c r="T353" s="67"/>
      <c r="U353" s="67"/>
      <c r="V353" s="67"/>
      <c r="W353" s="60"/>
      <c r="X353" s="62"/>
      <c r="Y353" s="62"/>
      <c r="Z353" s="60" t="n">
        <v>3</v>
      </c>
      <c r="AA353" s="60" t="n">
        <f aca="false">IF(A353="","",IF(AND(Parameter!$B$21="Ja",ISNUMBER(W353)),W353,IF(AND(Parameter!$E$27="Ja",ISNUMBER(Z353),CD353&lt;&gt;"Nein"),Z353,IF(CD353="2+3",IF(ISNUMBER(SEARCH("grosser Artikel",BV353)),2,IFERROR(VLOOKUP(BY353,Parameter!$F$35:$G$64,2,0),2)),IF(OR(CD353="Nein",CD353=""),"-",CD353)))))</f>
        <v>3</v>
      </c>
      <c r="AB353" s="67"/>
      <c r="AC353" s="68"/>
      <c r="AD353" s="62" t="n">
        <f aca="false">AW353</f>
        <v>10</v>
      </c>
      <c r="AE353" s="62" t="n">
        <f aca="false">MAX(AW353,H353)</f>
        <v>26</v>
      </c>
      <c r="AF353" s="69"/>
      <c r="AG353" s="62" t="n">
        <f aca="false">IF(LEFT(Cockpit!$C$5,1)="A",H353,IF(Parameter!$E$30="MAX-Bestand",IF(CI353=1,CJ353,IF(LEFT(Cockpit!$C$5,1)="B",AM353,MAX(AM353,H353))),ROUNDUP(AK353,0)))</f>
        <v>26</v>
      </c>
      <c r="AH353" s="62" t="n">
        <f aca="false">IF(CA353=1,0,ROUNDUP(AG353/BZ353,0))</f>
        <v>1</v>
      </c>
      <c r="AI353" s="64" t="n">
        <f aca="false">IF(CR353&gt;0,CR353*MAX(1,AG353/X353),IF(CA353=1,IF(AG353&lt;=0,0,CE353*MAX(1,IF(H353&gt;0,AG353/H353,1))),IF(R353&gt;0,AH353/R353,0))/MAX(0.1,N(Parameter!$M$21)))</f>
        <v>0.0192307692307692</v>
      </c>
      <c r="AJ353" s="62" t="n">
        <f aca="false">AI353*CC353</f>
        <v>2.98076923076923</v>
      </c>
      <c r="AK353" s="63" t="n">
        <f aca="false">IF(LEFT(Cockpit!$C$5,1)="A",H353,IF(CI353=1,(CL353+CJ353)/2,IF(LEFT(Cockpit!$C$5,1)="B",(CL353+AM353)/2,MAX((CL353+AM353)/2,H353))))</f>
        <v>26</v>
      </c>
      <c r="AL353" s="62" t="n">
        <f aca="false">AK353*G353</f>
        <v>272.22</v>
      </c>
      <c r="AM353" s="62" t="n">
        <f aca="false">ROUNDUP(CL353+MAX(CM353,2*(J353/IF(CH353&gt;0,CH353,MAX(0.1,N(Cockpit!$C$6)))-CL353)),0)</f>
        <v>10</v>
      </c>
      <c r="AN353" s="63" t="n">
        <f aca="false">IF(AJ353&gt;0,J353/AJ353,-1)</f>
        <v>0</v>
      </c>
      <c r="AO353" s="63" t="n">
        <f aca="false">IF(AND(OR(CG353="L1",CG353="L23",CG353="LIFT"),AJ353&gt;0),SUMIFS($AJ$7:$AJ$1843,$CG$7:$CG$1843,CG353,$AN$7:$AN$1843,"&gt;"&amp;AN353)+SUMIFS($AJ$7:$AJ$1843,$CG$7:$CG$1843,CG353,$AN$7:$AN$1843,AN353,$BX$7:$BX$1843,"&lt;="&amp;BX353),"")</f>
        <v>28016.085790857</v>
      </c>
      <c r="AP353" s="70" t="n">
        <f aca="false">IF(AO353="",0,MAX(0,MIN(1,(IF(CG353="L1",Parameter!$H$5,IF(CG353="L23",Parameter!$H$6+Parameter!$H$7,Parameter!$H$5+Parameter!$H$6+Parameter!$H$7))-(AO353-AJ353))/AJ353)))</f>
        <v>1</v>
      </c>
      <c r="AQ353" s="62" t="n">
        <f aca="false">IF(LEFT(Cockpit!$I$5,1)="A",H353,IF(Parameter!$E$30="MAX-Bestand",IF(CI353=1,CJ353,IF(LEFT(Cockpit!$I$5,1)="B",AW353,MAX(AW353,H353))),ROUNDUP(AU353,0)))</f>
        <v>26</v>
      </c>
      <c r="AR353" s="62" t="n">
        <f aca="false">IF(CA353=1,0,ROUNDUP(AQ353/BZ353,0))</f>
        <v>1</v>
      </c>
      <c r="AS353" s="64" t="n">
        <f aca="false">IF(CR353&gt;0,CR353*MAX(1,AQ353/X353),IF(CA353=1,IF(AQ353&lt;=0,0,CE353*MAX(1,IF(H353&gt;0,AQ353/H353,1))),IF(R353&gt;0,AR353/R353,0))/MAX(0.1,N(Parameter!$M$21)))</f>
        <v>0.0192307692307692</v>
      </c>
      <c r="AT353" s="62" t="n">
        <f aca="false">AS353*CC353</f>
        <v>2.98076923076923</v>
      </c>
      <c r="AU353" s="63" t="n">
        <f aca="false">IF(LEFT(Cockpit!$I$5,1)="A",H353,IF(CI353=1,(CL353+CJ353)/2,IF(LEFT(Cockpit!$I$5,1)="B",(CL353+AW353)/2,MAX((CL353+AW353)/2,H353))))</f>
        <v>26</v>
      </c>
      <c r="AV353" s="62" t="n">
        <f aca="false">AU353*G353</f>
        <v>272.22</v>
      </c>
      <c r="AW353" s="62" t="n">
        <f aca="false">ROUNDUP(CL353+MAX(CM353,2*(J353/IF(CH353&gt;0,CH353,MAX(0.1,N(Cockpit!$I$6)))-CL353)),0)</f>
        <v>10</v>
      </c>
      <c r="AX353" s="63" t="n">
        <f aca="false">IF(AT353&gt;0,J353/AT353,-1)</f>
        <v>0</v>
      </c>
      <c r="AY353" s="63" t="n">
        <f aca="false">IF(AND(OR(CG353="L1",CG353="L23",CG353="LIFT"),AT353&gt;0),SUMIFS($AT$7:$AT$1843,$CG$7:$CG$1843,CG353,$AX$7:$AX$1843,"&gt;"&amp;AX353)+SUMIFS($AT$7:$AT$1843,$CG$7:$CG$1843,CG353,$AX$7:$AX$1843,AX353,$BX$7:$BX$1843,"&lt;="&amp;BX353),"")</f>
        <v>33369.2344322344</v>
      </c>
      <c r="AZ353" s="70" t="n">
        <f aca="false">IF(AY353="",0,MAX(0,MIN(1,(IF(CG353="L1",Parameter!$H$5,IF(CG353="L23",Parameter!$H$6+Parameter!$H$7,Parameter!$H$5+Parameter!$H$6+Parameter!$H$7))-(AY353-AT353))/AT353)))</f>
        <v>1</v>
      </c>
      <c r="BA353" s="62" t="n">
        <f aca="false">IF(LEFT(Cockpit!$O$5,1)="A",H353,IF(Parameter!$E$30="MAX-Bestand",IF(CI353=1,CJ353,IF(LEFT(Cockpit!$O$5,1)="B",BG353,MAX(BG353,H353))),ROUNDUP(BE353,0)))</f>
        <v>5</v>
      </c>
      <c r="BB353" s="62" t="n">
        <f aca="false">IF(CA353=1,0,ROUNDUP(BA353/BZ353,0))</f>
        <v>1</v>
      </c>
      <c r="BC353" s="64" t="n">
        <f aca="false">IF(CR353&gt;0,CR353*MAX(1,BA353/X353),IF(CA353=1,IF(BA353&lt;=0,0,CE353*MAX(1,IF(H353&gt;0,BA353/H353,1))),IF(R353&gt;0,BB353/R353,0))/MAX(0.1,N(Parameter!$M$21)))</f>
        <v>0.0192307692307692</v>
      </c>
      <c r="BD353" s="62" t="n">
        <f aca="false">BC353*CC353</f>
        <v>2.98076923076923</v>
      </c>
      <c r="BE353" s="63" t="n">
        <f aca="false">IF(LEFT(Cockpit!$O$5,1)="A",H353,IF(CI353=1,(CL353+CJ353)/2,IF(LEFT(Cockpit!$O$5,1)="B",(CL353+BG353)/2,MAX((CL353+BG353)/2,H353))))</f>
        <v>5</v>
      </c>
      <c r="BF353" s="62" t="n">
        <f aca="false">BE353*G353</f>
        <v>52.35</v>
      </c>
      <c r="BG353" s="62" t="n">
        <f aca="false">ROUNDUP(CL353+MAX(CM353,2*(J353/IF(CH353&gt;0,CH353,MAX(0.1,N(Cockpit!$O$6)))-CL353)),0)</f>
        <v>10</v>
      </c>
      <c r="BH353" s="63" t="n">
        <f aca="false">IF(BD353&gt;0,J353/BD353,-1)</f>
        <v>0</v>
      </c>
      <c r="BI353" s="63" t="n">
        <f aca="false">IF(AND(OR(CG353="L1",CG353="L23",CG353="LIFT"),BD353&gt;0),SUMIFS($BD$7:$BD$1843,$CG$7:$CG$1843,CG353,$BH$7:$BH$1843,"&gt;"&amp;BH353)+SUMIFS($BD$7:$BD$1843,$CG$7:$CG$1843,CG353,$BH$7:$BH$1843,BH353,$BX$7:$BX$1843,"&lt;="&amp;BX353),"")</f>
        <v>27482.7714037375</v>
      </c>
      <c r="BJ353" s="70" t="n">
        <f aca="false">IF(BI353="",0,MAX(0,MIN(1,(IF(CG353="L1",Parameter!$H$5,IF(CG353="L23",Parameter!$H$6+Parameter!$H$7,Parameter!$H$5+Parameter!$H$6+Parameter!$H$7))-(BI353-BD353))/BD353)))</f>
        <v>1</v>
      </c>
      <c r="BK353" s="60" t="str">
        <f aca="false">IF(AJ353&lt;=0,"",IF(CG353="Aussen","Aussenlager",IF(CG353="-","Nicht im Lift",IF(AP353&gt;=1,"Lift",IF(AP353&lt;=0,"Aussenlager","teilweise")))))</f>
        <v>Lift</v>
      </c>
      <c r="BL353" s="60" t="str">
        <f aca="false">IF(AT353&lt;=0,"",IF(CG353="Aussen","Aussenlager",IF(CG353="-","Nicht im Lift",IF(AZ353&gt;=1,"Lift",IF(AZ353&lt;=0,"Aussenlager","teilweise")))))</f>
        <v>Lift</v>
      </c>
      <c r="BM353" s="60" t="str">
        <f aca="false">IF(BD353&lt;=0,"",IF(CG353="Aussen","Aussenlager",IF(CG353="-","Nicht im Lift",IF(BJ353&gt;=1,"Lift",IF(BJ353&lt;=0,"Aussenlager","teilweise")))))</f>
        <v>Lift</v>
      </c>
      <c r="BN353" s="60" t="str">
        <f aca="false">IF(A353="","",IF(BW353=1,"Neu; ","")&amp;IF(AND(BW353=0,BR353&lt;0),"negativer Bestand (Export "&amp;BR353&amp;"); ","")&amp;IF(J353&lt;=0,"Kein Verbrauch; ","")&amp;IF(CR353&gt;0,"Lift "&amp;W353&amp;" lt. Liftbericht (Fach "&amp;X353&amp;" Stk); ",IF(CB353=1,"Gebinde geschätzt ("&amp;T353&amp;"); ",IF(CA353=1,"Lose – Tablare geschätzt; ","")))&amp;IF(H353&gt;AW353,"Überbestand "&amp;ROUND(H353-AW353,0)&amp;" Stk / CHF "&amp;ROUND((H353-AW353)*G353,0)&amp;"; ","")&amp;IF(AND(CI353=1,CJ353&lt;CK353),"MAX &lt; MB+LG; ","")&amp;IF(AND(CQ353&gt;0,CP353*10&gt;CQ353),"zu hoch für Tablar; ","")&amp;IF(AND(BW353=0,OR(CI353=1,AB353&lt;&gt;"",U353&lt;&gt;"",V353&lt;&gt;"",AC353&lt;&gt;"")),"manuell übersteuert; ","")&amp;IF(AND(CA353=0,R353=0),"Gebinde unbekannt / Stellmass fehlt; ","")&amp;IF(AND(CA353=0,N(V353)&lt;=0,N(Q353)&lt;=0),"Menge pro Gebinde fehlt (Ist = 1 Gebinde); ","")&amp;BV353)</f>
        <v>Kein Verbrauch; Überbestand 16 Stk / CHF 168; </v>
      </c>
      <c r="BO353" s="60"/>
      <c r="BP353" s="60"/>
      <c r="BQ353" s="67"/>
      <c r="BR353" s="62" t="n">
        <v>15</v>
      </c>
      <c r="BS353" s="62" t="n">
        <v>11</v>
      </c>
      <c r="BT353" s="61" t="n">
        <v>175.2</v>
      </c>
      <c r="BU353" s="62" t="n">
        <v>0</v>
      </c>
      <c r="BV353" s="60"/>
      <c r="BW353" s="65" t="n">
        <v>0</v>
      </c>
      <c r="BX353" s="65" t="n">
        <v>353</v>
      </c>
      <c r="BY353" s="60" t="str">
        <f aca="false">IF(U353&lt;&gt;"",UPPER(TRIM(U353)),IF(CB353=1,UPPER(VLOOKUP(T353,Parameter!$I$27:$K$29,2,0)),IF(P353="","LOSE",P353)))</f>
        <v>S41</v>
      </c>
      <c r="BZ353" s="62" t="n">
        <f aca="false">IF(BY353="LOSE",1,IF(N(V353)&gt;0,V353,IF(CB353=1,MAX(1,N(VLOOKUP(T353,Parameter!$I$27:$K$29,3,0)),H353,N(N353)),IF(N(Q353)&gt;0,Q353,MAX(1,H353)))))</f>
        <v>50</v>
      </c>
      <c r="CA353" s="65" t="n">
        <f aca="false">IF(BY353="LOSE",1,0)</f>
        <v>0</v>
      </c>
      <c r="CB353" s="65" t="n">
        <f aca="false">IF(AND(U353="",OR(P353="",P353="LOSE"),T353&lt;&gt;"",N(S353)&lt;=0,ISNUMBER(MATCH(T353,Parameter!$I$27:$I$29,0))),1,0)</f>
        <v>0</v>
      </c>
      <c r="CC353" s="65" t="n">
        <f aca="false">IF(CR353&gt;0,INDEX(Parameter!$H$5:$H$7,W353)/INDEX(Parameter!$E$5:$E$7,W353),IF(AND(CA353=0,N(IFERROR(VLOOKUP(BY353,'Gebinde-Kategorie'!$A$5:$N$45,14,0),0))&gt;0),VLOOKUP(BY353,'Gebinde-Kategorie'!$A$5:$N$45,14,0)*10+Parameter!$M$23,Parameter!$M$24))</f>
        <v>155</v>
      </c>
      <c r="CD353" s="60" t="str">
        <f aca="false">IF(AND(Parameter!$B$19="Ja",E353&lt;&gt;"",ISNUMBER(MATCH(E353,Parameter!$I$35:$I$52,0))),VLOOKUP(E353,Parameter!$I$35:$J$52,2,0),IFERROR(VLOOKUP(D353,Parameter!$A$35:$C$64,2,0),"Nein"))</f>
        <v>2+3</v>
      </c>
      <c r="CE353" s="64" t="n">
        <f aca="false">IF(CA353=0,0,IF(N(S353)&gt;0,S353,IFERROR(VLOOKUP(D353,Parameter!$A$35:$C$64,3,0)+0,0)))</f>
        <v>0</v>
      </c>
      <c r="CF353" s="60" t="n">
        <f aca="false">IF(AB353&lt;&gt;"",AB353,AA353)</f>
        <v>3</v>
      </c>
      <c r="CG353" s="60" t="str">
        <f aca="false">IF(OR(CF353=1,CF353=2,CF353=3),IF(Parameter!$E$27="Ja","LIFT",IF(CF353=1,"L1","L23")),IF(CF353="Aussen","Aussen","-"))</f>
        <v>LIFT</v>
      </c>
      <c r="CH353" s="71" t="n">
        <f aca="false">IF(N(AC353)&gt;0,AC353,0)</f>
        <v>0</v>
      </c>
      <c r="CI353" s="65" t="n">
        <f aca="false">IF(ISNUMBER(AF353),1,0)</f>
        <v>0</v>
      </c>
      <c r="CJ353" s="62" t="n">
        <f aca="false">N(AF353)</f>
        <v>0</v>
      </c>
      <c r="CK353" s="62" t="n">
        <f aca="false">N(M353)+N(N353)</f>
        <v>10</v>
      </c>
      <c r="CL353" s="62" t="n">
        <f aca="false">N(M353)</f>
        <v>0</v>
      </c>
      <c r="CM353" s="62" t="n">
        <f aca="false">N(N353)</f>
        <v>10</v>
      </c>
      <c r="CN353" s="62" t="n">
        <f aca="false">ROUNDUP(H353/BZ353,0)</f>
        <v>1</v>
      </c>
      <c r="CO353" s="62" t="n">
        <f aca="false">ROUNDUP(CJ353/BZ353,0)</f>
        <v>0</v>
      </c>
      <c r="CP353" s="65" t="n">
        <f aca="false">IF(CA353=1,0,IFERROR(VLOOKUP(BY353,'Gebinde-Kategorie'!$A$5:$N$45,5,0)+0,0))</f>
        <v>11</v>
      </c>
      <c r="CQ353" s="65" t="n">
        <f aca="false">IFERROR(IF(OR(CF353=1,CF353=2,CF353=3),N(INDEX(Parameter!$I$5:$I$7,CF353)),0),0)</f>
        <v>0</v>
      </c>
      <c r="CR353" s="64" t="n">
        <f aca="false">IF(AND(Parameter!$B$21="Ja",ISNUMBER(W353),N(X353)&gt;0),IFERROR(N(INDEX(Parameter!$L$5:$L$7,W353))*INDEX(Parameter!$E$5:$E$7,W353)*X353/SUMIFS($X$7:$X$1843,$W$7:$W$1843,W353),0),0)</f>
        <v>0</v>
      </c>
      <c r="CS353" s="62" t="n">
        <f aca="false">IF(AND(OR(CG353="L1",CG353="L23",CG353="LIFT"),H353&gt;0),CC353*IF(CR353&gt;0,CR353*MAX(1,H353/X353),IF(CA353=1,CE353,IF(R353&gt;0,CN353/R353,0))/MAX(0.1,N(Parameter!$M$21))),"")</f>
        <v>2.98076923076923</v>
      </c>
      <c r="CT353" s="64" t="n">
        <f aca="false">IF(CS353="","",J353/H353)</f>
        <v>0</v>
      </c>
      <c r="CU353" s="62" t="n">
        <f aca="false">IF(CS353="","",H353*G353)</f>
        <v>272.22</v>
      </c>
      <c r="CV353" s="63" t="n">
        <f aca="false">IF(CS353="","",(CL353+ROUNDUP(CL353+MAX(CM353,2*(J353/MAX(0.1,N(Einkauf!$C$6))-CL353)),0))/2)</f>
        <v>5</v>
      </c>
      <c r="CW353" s="62" t="n">
        <f aca="false">IF(CS353="","",MAX(0,H353-CV353)*G353)</f>
        <v>219.87</v>
      </c>
      <c r="CX353" s="62" t="n">
        <f aca="false">IF(CS353="","",CS353*MAX(0,1-CV353/H353))</f>
        <v>2.40754437869823</v>
      </c>
      <c r="CY353" s="64" t="n">
        <f aca="false">IF(CS353="","",PERCENTRANK($CS$7:$CS$1843,CS353)+PERCENTRANK($CU$7:$CU$1843,CU353)+1-PERCENTRANK($CT$7:$CT$1843,CT353))</f>
        <v>1.605</v>
      </c>
      <c r="CZ353" s="72" t="n">
        <f aca="false">IF(CS353="","",CHOOSE(MATCH(Einkauf!$C$5,Parameter!$G$23:$G$27,0),CY353,CS353,CU353,-CT353,CW353)+ROW()/1000000000)</f>
        <v>1.605000353</v>
      </c>
    </row>
    <row r="354" customFormat="false" ht="15" hidden="false" customHeight="false" outlineLevel="0" collapsed="false">
      <c r="A354" s="60" t="s">
        <v>905</v>
      </c>
      <c r="B354" s="60" t="s">
        <v>906</v>
      </c>
      <c r="C354" s="60" t="s">
        <v>206</v>
      </c>
      <c r="D354" s="60" t="s">
        <v>226</v>
      </c>
      <c r="E354" s="60"/>
      <c r="F354" s="60" t="s">
        <v>260</v>
      </c>
      <c r="G354" s="61" t="n">
        <v>35</v>
      </c>
      <c r="H354" s="62" t="n">
        <f aca="false">MAX(0,IF(AND(Parameter!$B$21="Ja",ISNUMBER(Y354)),Y354,IF(Parameter!$B$20="Jahresanfang 2025 + Export",BS354+BR354,BR354)))</f>
        <v>5</v>
      </c>
      <c r="I354" s="62" t="n">
        <f aca="false">H354*G354</f>
        <v>175</v>
      </c>
      <c r="J354" s="62" t="n">
        <f aca="false">BU354*Parameter!$B$18</f>
        <v>0</v>
      </c>
      <c r="K354" s="63" t="n">
        <v>2.5</v>
      </c>
      <c r="L354" s="64" t="n">
        <v>0</v>
      </c>
      <c r="M354" s="62" t="n">
        <v>0</v>
      </c>
      <c r="N354" s="62" t="n">
        <v>1</v>
      </c>
      <c r="O354" s="65" t="n">
        <v>28</v>
      </c>
      <c r="P354" s="60" t="s">
        <v>370</v>
      </c>
      <c r="Q354" s="62" t="n">
        <v>10</v>
      </c>
      <c r="R354" s="65" t="n">
        <f aca="false">IF(CA354=1,0,IFERROR(VLOOKUP(BY354,'Gebinde-Kategorie'!$A$5:$N$45,13,0)+0,0))</f>
        <v>52</v>
      </c>
      <c r="S354" s="66"/>
      <c r="T354" s="67"/>
      <c r="U354" s="67"/>
      <c r="V354" s="67"/>
      <c r="W354" s="60"/>
      <c r="X354" s="62"/>
      <c r="Y354" s="62"/>
      <c r="Z354" s="60" t="n">
        <v>3</v>
      </c>
      <c r="AA354" s="60" t="n">
        <f aca="false">IF(A354="","",IF(AND(Parameter!$B$21="Ja",ISNUMBER(W354)),W354,IF(AND(Parameter!$E$27="Ja",ISNUMBER(Z354),CD354&lt;&gt;"Nein"),Z354,IF(CD354="2+3",IF(ISNUMBER(SEARCH("grosser Artikel",BV354)),2,IFERROR(VLOOKUP(BY354,Parameter!$F$35:$G$64,2,0),2)),IF(OR(CD354="Nein",CD354=""),"-",CD354)))))</f>
        <v>3</v>
      </c>
      <c r="AB354" s="67"/>
      <c r="AC354" s="68"/>
      <c r="AD354" s="62" t="n">
        <f aca="false">AW354</f>
        <v>1</v>
      </c>
      <c r="AE354" s="62" t="n">
        <f aca="false">MAX(AW354,H354)</f>
        <v>5</v>
      </c>
      <c r="AF354" s="69"/>
      <c r="AG354" s="62" t="n">
        <f aca="false">IF(LEFT(Cockpit!$C$5,1)="A",H354,IF(Parameter!$E$30="MAX-Bestand",IF(CI354=1,CJ354,IF(LEFT(Cockpit!$C$5,1)="B",AM354,MAX(AM354,H354))),ROUNDUP(AK354,0)))</f>
        <v>5</v>
      </c>
      <c r="AH354" s="62" t="n">
        <f aca="false">IF(CA354=1,0,ROUNDUP(AG354/BZ354,0))</f>
        <v>1</v>
      </c>
      <c r="AI354" s="64" t="n">
        <f aca="false">IF(CR354&gt;0,CR354*MAX(1,AG354/X354),IF(CA354=1,IF(AG354&lt;=0,0,CE354*MAX(1,IF(H354&gt;0,AG354/H354,1))),IF(R354&gt;0,AH354/R354,0))/MAX(0.1,N(Parameter!$M$21)))</f>
        <v>0.0192307692307692</v>
      </c>
      <c r="AJ354" s="62" t="n">
        <f aca="false">AI354*CC354</f>
        <v>2.98076923076923</v>
      </c>
      <c r="AK354" s="63" t="n">
        <f aca="false">IF(LEFT(Cockpit!$C$5,1)="A",H354,IF(CI354=1,(CL354+CJ354)/2,IF(LEFT(Cockpit!$C$5,1)="B",(CL354+AM354)/2,MAX((CL354+AM354)/2,H354))))</f>
        <v>5</v>
      </c>
      <c r="AL354" s="62" t="n">
        <f aca="false">AK354*G354</f>
        <v>175</v>
      </c>
      <c r="AM354" s="62" t="n">
        <f aca="false">ROUNDUP(CL354+MAX(CM354,2*(J354/IF(CH354&gt;0,CH354,MAX(0.1,N(Cockpit!$C$6)))-CL354)),0)</f>
        <v>1</v>
      </c>
      <c r="AN354" s="63" t="n">
        <f aca="false">IF(AJ354&gt;0,J354/AJ354,-1)</f>
        <v>0</v>
      </c>
      <c r="AO354" s="63" t="n">
        <f aca="false">IF(AND(OR(CG354="L1",CG354="L23",CG354="LIFT"),AJ354&gt;0),SUMIFS($AJ$7:$AJ$1843,$CG$7:$CG$1843,CG354,$AN$7:$AN$1843,"&gt;"&amp;AN354)+SUMIFS($AJ$7:$AJ$1843,$CG$7:$CG$1843,CG354,$AN$7:$AN$1843,AN354,$BX$7:$BX$1843,"&lt;="&amp;BX354),"")</f>
        <v>28019.0665600877</v>
      </c>
      <c r="AP354" s="70" t="n">
        <f aca="false">IF(AO354="",0,MAX(0,MIN(1,(IF(CG354="L1",Parameter!$H$5,IF(CG354="L23",Parameter!$H$6+Parameter!$H$7,Parameter!$H$5+Parameter!$H$6+Parameter!$H$7))-(AO354-AJ354))/AJ354)))</f>
        <v>1</v>
      </c>
      <c r="AQ354" s="62" t="n">
        <f aca="false">IF(LEFT(Cockpit!$I$5,1)="A",H354,IF(Parameter!$E$30="MAX-Bestand",IF(CI354=1,CJ354,IF(LEFT(Cockpit!$I$5,1)="B",AW354,MAX(AW354,H354))),ROUNDUP(AU354,0)))</f>
        <v>5</v>
      </c>
      <c r="AR354" s="62" t="n">
        <f aca="false">IF(CA354=1,0,ROUNDUP(AQ354/BZ354,0))</f>
        <v>1</v>
      </c>
      <c r="AS354" s="64" t="n">
        <f aca="false">IF(CR354&gt;0,CR354*MAX(1,AQ354/X354),IF(CA354=1,IF(AQ354&lt;=0,0,CE354*MAX(1,IF(H354&gt;0,AQ354/H354,1))),IF(R354&gt;0,AR354/R354,0))/MAX(0.1,N(Parameter!$M$21)))</f>
        <v>0.0192307692307692</v>
      </c>
      <c r="AT354" s="62" t="n">
        <f aca="false">AS354*CC354</f>
        <v>2.98076923076923</v>
      </c>
      <c r="AU354" s="63" t="n">
        <f aca="false">IF(LEFT(Cockpit!$I$5,1)="A",H354,IF(CI354=1,(CL354+CJ354)/2,IF(LEFT(Cockpit!$I$5,1)="B",(CL354+AW354)/2,MAX((CL354+AW354)/2,H354))))</f>
        <v>5</v>
      </c>
      <c r="AV354" s="62" t="n">
        <f aca="false">AU354*G354</f>
        <v>175</v>
      </c>
      <c r="AW354" s="62" t="n">
        <f aca="false">ROUNDUP(CL354+MAX(CM354,2*(J354/IF(CH354&gt;0,CH354,MAX(0.1,N(Cockpit!$I$6)))-CL354)),0)</f>
        <v>1</v>
      </c>
      <c r="AX354" s="63" t="n">
        <f aca="false">IF(AT354&gt;0,J354/AT354,-1)</f>
        <v>0</v>
      </c>
      <c r="AY354" s="63" t="n">
        <f aca="false">IF(AND(OR(CG354="L1",CG354="L23",CG354="LIFT"),AT354&gt;0),SUMIFS($AT$7:$AT$1843,$CG$7:$CG$1843,CG354,$AX$7:$AX$1843,"&gt;"&amp;AX354)+SUMIFS($AT$7:$AT$1843,$CG$7:$CG$1843,CG354,$AX$7:$AX$1843,AX354,$BX$7:$BX$1843,"&lt;="&amp;BX354),"")</f>
        <v>33372.2152014652</v>
      </c>
      <c r="AZ354" s="70" t="n">
        <f aca="false">IF(AY354="",0,MAX(0,MIN(1,(IF(CG354="L1",Parameter!$H$5,IF(CG354="L23",Parameter!$H$6+Parameter!$H$7,Parameter!$H$5+Parameter!$H$6+Parameter!$H$7))-(AY354-AT354))/AT354)))</f>
        <v>1</v>
      </c>
      <c r="BA354" s="62" t="n">
        <f aca="false">IF(LEFT(Cockpit!$O$5,1)="A",H354,IF(Parameter!$E$30="MAX-Bestand",IF(CI354=1,CJ354,IF(LEFT(Cockpit!$O$5,1)="B",BG354,MAX(BG354,H354))),ROUNDUP(BE354,0)))</f>
        <v>1</v>
      </c>
      <c r="BB354" s="62" t="n">
        <f aca="false">IF(CA354=1,0,ROUNDUP(BA354/BZ354,0))</f>
        <v>1</v>
      </c>
      <c r="BC354" s="64" t="n">
        <f aca="false">IF(CR354&gt;0,CR354*MAX(1,BA354/X354),IF(CA354=1,IF(BA354&lt;=0,0,CE354*MAX(1,IF(H354&gt;0,BA354/H354,1))),IF(R354&gt;0,BB354/R354,0))/MAX(0.1,N(Parameter!$M$21)))</f>
        <v>0.0192307692307692</v>
      </c>
      <c r="BD354" s="62" t="n">
        <f aca="false">BC354*CC354</f>
        <v>2.98076923076923</v>
      </c>
      <c r="BE354" s="63" t="n">
        <f aca="false">IF(LEFT(Cockpit!$O$5,1)="A",H354,IF(CI354=1,(CL354+CJ354)/2,IF(LEFT(Cockpit!$O$5,1)="B",(CL354+BG354)/2,MAX((CL354+BG354)/2,H354))))</f>
        <v>0.5</v>
      </c>
      <c r="BF354" s="62" t="n">
        <f aca="false">BE354*G354</f>
        <v>17.5</v>
      </c>
      <c r="BG354" s="62" t="n">
        <f aca="false">ROUNDUP(CL354+MAX(CM354,2*(J354/IF(CH354&gt;0,CH354,MAX(0.1,N(Cockpit!$O$6)))-CL354)),0)</f>
        <v>1</v>
      </c>
      <c r="BH354" s="63" t="n">
        <f aca="false">IF(BD354&gt;0,J354/BD354,-1)</f>
        <v>0</v>
      </c>
      <c r="BI354" s="63" t="n">
        <f aca="false">IF(AND(OR(CG354="L1",CG354="L23",CG354="LIFT"),BD354&gt;0),SUMIFS($BD$7:$BD$1843,$CG$7:$CG$1843,CG354,$BH$7:$BH$1843,"&gt;"&amp;BH354)+SUMIFS($BD$7:$BD$1843,$CG$7:$CG$1843,CG354,$BH$7:$BH$1843,BH354,$BX$7:$BX$1843,"&lt;="&amp;BX354),"")</f>
        <v>27485.7521729683</v>
      </c>
      <c r="BJ354" s="70" t="n">
        <f aca="false">IF(BI354="",0,MAX(0,MIN(1,(IF(CG354="L1",Parameter!$H$5,IF(CG354="L23",Parameter!$H$6+Parameter!$H$7,Parameter!$H$5+Parameter!$H$6+Parameter!$H$7))-(BI354-BD354))/BD354)))</f>
        <v>1</v>
      </c>
      <c r="BK354" s="60" t="str">
        <f aca="false">IF(AJ354&lt;=0,"",IF(CG354="Aussen","Aussenlager",IF(CG354="-","Nicht im Lift",IF(AP354&gt;=1,"Lift",IF(AP354&lt;=0,"Aussenlager","teilweise")))))</f>
        <v>Lift</v>
      </c>
      <c r="BL354" s="60" t="str">
        <f aca="false">IF(AT354&lt;=0,"",IF(CG354="Aussen","Aussenlager",IF(CG354="-","Nicht im Lift",IF(AZ354&gt;=1,"Lift",IF(AZ354&lt;=0,"Aussenlager","teilweise")))))</f>
        <v>Lift</v>
      </c>
      <c r="BM354" s="60" t="str">
        <f aca="false">IF(BD354&lt;=0,"",IF(CG354="Aussen","Aussenlager",IF(CG354="-","Nicht im Lift",IF(BJ354&gt;=1,"Lift",IF(BJ354&lt;=0,"Aussenlager","teilweise")))))</f>
        <v>Lift</v>
      </c>
      <c r="BN354" s="60" t="str">
        <f aca="false">IF(A354="","",IF(BW354=1,"Neu; ","")&amp;IF(AND(BW354=0,BR354&lt;0),"negativer Bestand (Export "&amp;BR354&amp;"); ","")&amp;IF(J354&lt;=0,"Kein Verbrauch; ","")&amp;IF(CR354&gt;0,"Lift "&amp;W354&amp;" lt. Liftbericht (Fach "&amp;X354&amp;" Stk); ",IF(CB354=1,"Gebinde geschätzt ("&amp;T354&amp;"); ",IF(CA354=1,"Lose – Tablare geschätzt; ","")))&amp;IF(H354&gt;AW354,"Überbestand "&amp;ROUND(H354-AW354,0)&amp;" Stk / CHF "&amp;ROUND((H354-AW354)*G354,0)&amp;"; ","")&amp;IF(AND(CI354=1,CJ354&lt;CK354),"MAX &lt; MB+LG; ","")&amp;IF(AND(CQ354&gt;0,CP354*10&gt;CQ354),"zu hoch für Tablar; ","")&amp;IF(AND(BW354=0,OR(CI354=1,AB354&lt;&gt;"",U354&lt;&gt;"",V354&lt;&gt;"",AC354&lt;&gt;"")),"manuell übersteuert; ","")&amp;IF(AND(CA354=0,R354=0),"Gebinde unbekannt / Stellmass fehlt; ","")&amp;IF(AND(CA354=0,N(V354)&lt;=0,N(Q354)&lt;=0),"Menge pro Gebinde fehlt (Ist = 1 Gebinde); ","")&amp;BV354)</f>
        <v>Kein Verbrauch; Überbestand 4 Stk / CHF 140; </v>
      </c>
      <c r="BO354" s="60"/>
      <c r="BP354" s="60"/>
      <c r="BQ354" s="67"/>
      <c r="BR354" s="62" t="n">
        <v>5</v>
      </c>
      <c r="BS354" s="62" t="n">
        <v>0</v>
      </c>
      <c r="BT354" s="61" t="n">
        <v>175</v>
      </c>
      <c r="BU354" s="62" t="n">
        <v>0</v>
      </c>
      <c r="BV354" s="60"/>
      <c r="BW354" s="65" t="n">
        <v>0</v>
      </c>
      <c r="BX354" s="65" t="n">
        <v>354</v>
      </c>
      <c r="BY354" s="60" t="str">
        <f aca="false">IF(U354&lt;&gt;"",UPPER(TRIM(U354)),IF(CB354=1,UPPER(VLOOKUP(T354,Parameter!$I$27:$K$29,2,0)),IF(P354="","LOSE",P354)))</f>
        <v>S41</v>
      </c>
      <c r="BZ354" s="62" t="n">
        <f aca="false">IF(BY354="LOSE",1,IF(N(V354)&gt;0,V354,IF(CB354=1,MAX(1,N(VLOOKUP(T354,Parameter!$I$27:$K$29,3,0)),H354,N(N354)),IF(N(Q354)&gt;0,Q354,MAX(1,H354)))))</f>
        <v>10</v>
      </c>
      <c r="CA354" s="65" t="n">
        <f aca="false">IF(BY354="LOSE",1,0)</f>
        <v>0</v>
      </c>
      <c r="CB354" s="65" t="n">
        <f aca="false">IF(AND(U354="",OR(P354="",P354="LOSE"),T354&lt;&gt;"",N(S354)&lt;=0,ISNUMBER(MATCH(T354,Parameter!$I$27:$I$29,0))),1,0)</f>
        <v>0</v>
      </c>
      <c r="CC354" s="65" t="n">
        <f aca="false">IF(CR354&gt;0,INDEX(Parameter!$H$5:$H$7,W354)/INDEX(Parameter!$E$5:$E$7,W354),IF(AND(CA354=0,N(IFERROR(VLOOKUP(BY354,'Gebinde-Kategorie'!$A$5:$N$45,14,0),0))&gt;0),VLOOKUP(BY354,'Gebinde-Kategorie'!$A$5:$N$45,14,0)*10+Parameter!$M$23,Parameter!$M$24))</f>
        <v>155</v>
      </c>
      <c r="CD354" s="60" t="str">
        <f aca="false">IF(AND(Parameter!$B$19="Ja",E354&lt;&gt;"",ISNUMBER(MATCH(E354,Parameter!$I$35:$I$52,0))),VLOOKUP(E354,Parameter!$I$35:$J$52,2,0),IFERROR(VLOOKUP(D354,Parameter!$A$35:$C$64,2,0),"Nein"))</f>
        <v>2+3</v>
      </c>
      <c r="CE354" s="64" t="n">
        <f aca="false">IF(CA354=0,0,IF(N(S354)&gt;0,S354,IFERROR(VLOOKUP(D354,Parameter!$A$35:$C$64,3,0)+0,0)))</f>
        <v>0</v>
      </c>
      <c r="CF354" s="60" t="n">
        <f aca="false">IF(AB354&lt;&gt;"",AB354,AA354)</f>
        <v>3</v>
      </c>
      <c r="CG354" s="60" t="str">
        <f aca="false">IF(OR(CF354=1,CF354=2,CF354=3),IF(Parameter!$E$27="Ja","LIFT",IF(CF354=1,"L1","L23")),IF(CF354="Aussen","Aussen","-"))</f>
        <v>LIFT</v>
      </c>
      <c r="CH354" s="71" t="n">
        <f aca="false">IF(N(AC354)&gt;0,AC354,0)</f>
        <v>0</v>
      </c>
      <c r="CI354" s="65" t="n">
        <f aca="false">IF(ISNUMBER(AF354),1,0)</f>
        <v>0</v>
      </c>
      <c r="CJ354" s="62" t="n">
        <f aca="false">N(AF354)</f>
        <v>0</v>
      </c>
      <c r="CK354" s="62" t="n">
        <f aca="false">N(M354)+N(N354)</f>
        <v>1</v>
      </c>
      <c r="CL354" s="62" t="n">
        <f aca="false">N(M354)</f>
        <v>0</v>
      </c>
      <c r="CM354" s="62" t="n">
        <f aca="false">N(N354)</f>
        <v>1</v>
      </c>
      <c r="CN354" s="62" t="n">
        <f aca="false">ROUNDUP(H354/BZ354,0)</f>
        <v>1</v>
      </c>
      <c r="CO354" s="62" t="n">
        <f aca="false">ROUNDUP(CJ354/BZ354,0)</f>
        <v>0</v>
      </c>
      <c r="CP354" s="65" t="n">
        <f aca="false">IF(CA354=1,0,IFERROR(VLOOKUP(BY354,'Gebinde-Kategorie'!$A$5:$N$45,5,0)+0,0))</f>
        <v>11</v>
      </c>
      <c r="CQ354" s="65" t="n">
        <f aca="false">IFERROR(IF(OR(CF354=1,CF354=2,CF354=3),N(INDEX(Parameter!$I$5:$I$7,CF354)),0),0)</f>
        <v>0</v>
      </c>
      <c r="CR354" s="64" t="n">
        <f aca="false">IF(AND(Parameter!$B$21="Ja",ISNUMBER(W354),N(X354)&gt;0),IFERROR(N(INDEX(Parameter!$L$5:$L$7,W354))*INDEX(Parameter!$E$5:$E$7,W354)*X354/SUMIFS($X$7:$X$1843,$W$7:$W$1843,W354),0),0)</f>
        <v>0</v>
      </c>
      <c r="CS354" s="62" t="n">
        <f aca="false">IF(AND(OR(CG354="L1",CG354="L23",CG354="LIFT"),H354&gt;0),CC354*IF(CR354&gt;0,CR354*MAX(1,H354/X354),IF(CA354=1,CE354,IF(R354&gt;0,CN354/R354,0))/MAX(0.1,N(Parameter!$M$21))),"")</f>
        <v>2.98076923076923</v>
      </c>
      <c r="CT354" s="64" t="n">
        <f aca="false">IF(CS354="","",J354/H354)</f>
        <v>0</v>
      </c>
      <c r="CU354" s="62" t="n">
        <f aca="false">IF(CS354="","",H354*G354)</f>
        <v>175</v>
      </c>
      <c r="CV354" s="63" t="n">
        <f aca="false">IF(CS354="","",(CL354+ROUNDUP(CL354+MAX(CM354,2*(J354/MAX(0.1,N(Einkauf!$C$6))-CL354)),0))/2)</f>
        <v>0.5</v>
      </c>
      <c r="CW354" s="62" t="n">
        <f aca="false">IF(CS354="","",MAX(0,H354-CV354)*G354)</f>
        <v>157.5</v>
      </c>
      <c r="CX354" s="62" t="n">
        <f aca="false">IF(CS354="","",CS354*MAX(0,1-CV354/H354))</f>
        <v>2.68269230769231</v>
      </c>
      <c r="CY354" s="64" t="n">
        <f aca="false">IF(CS354="","",PERCENTRANK($CS$7:$CS$1843,CS354)+PERCENTRANK($CU$7:$CU$1843,CU354)+1-PERCENTRANK($CT$7:$CT$1843,CT354))</f>
        <v>1.532</v>
      </c>
      <c r="CZ354" s="72" t="n">
        <f aca="false">IF(CS354="","",CHOOSE(MATCH(Einkauf!$C$5,Parameter!$G$23:$G$27,0),CY354,CS354,CU354,-CT354,CW354)+ROW()/1000000000)</f>
        <v>1.532000354</v>
      </c>
    </row>
    <row r="355" customFormat="false" ht="15" hidden="false" customHeight="false" outlineLevel="0" collapsed="false">
      <c r="A355" s="60" t="s">
        <v>907</v>
      </c>
      <c r="B355" s="60" t="s">
        <v>631</v>
      </c>
      <c r="C355" s="60" t="s">
        <v>206</v>
      </c>
      <c r="D355" s="60" t="s">
        <v>226</v>
      </c>
      <c r="E355" s="60" t="s">
        <v>227</v>
      </c>
      <c r="F355" s="60" t="s">
        <v>260</v>
      </c>
      <c r="G355" s="61" t="n">
        <v>17.2</v>
      </c>
      <c r="H355" s="62" t="n">
        <f aca="false">MAX(0,IF(AND(Parameter!$B$21="Ja",ISNUMBER(Y355)),Y355,IF(Parameter!$B$20="Jahresanfang 2025 + Export",BS355+BR355,BR355)))</f>
        <v>78</v>
      </c>
      <c r="I355" s="62" t="n">
        <f aca="false">H355*G355</f>
        <v>1341.6</v>
      </c>
      <c r="J355" s="62" t="n">
        <f aca="false">BU355*Parameter!$B$18</f>
        <v>0</v>
      </c>
      <c r="K355" s="63" t="n">
        <v>73</v>
      </c>
      <c r="L355" s="64" t="n">
        <v>0</v>
      </c>
      <c r="M355" s="62" t="n">
        <v>0</v>
      </c>
      <c r="N355" s="62" t="n">
        <v>1</v>
      </c>
      <c r="O355" s="65" t="n">
        <v>35</v>
      </c>
      <c r="P355" s="60" t="s">
        <v>468</v>
      </c>
      <c r="Q355" s="62" t="n">
        <v>114</v>
      </c>
      <c r="R355" s="65" t="n">
        <f aca="false">IF(CA355=1,0,IFERROR(VLOOKUP(BY355,'Gebinde-Kategorie'!$A$5:$N$45,13,0)+0,0))</f>
        <v>140</v>
      </c>
      <c r="S355" s="66"/>
      <c r="T355" s="67"/>
      <c r="U355" s="67"/>
      <c r="V355" s="67"/>
      <c r="W355" s="60"/>
      <c r="X355" s="62"/>
      <c r="Y355" s="62"/>
      <c r="Z355" s="60" t="n">
        <v>2</v>
      </c>
      <c r="AA355" s="60" t="n">
        <f aca="false">IF(A355="","",IF(AND(Parameter!$B$21="Ja",ISNUMBER(W355)),W355,IF(AND(Parameter!$E$27="Ja",ISNUMBER(Z355),CD355&lt;&gt;"Nein"),Z355,IF(CD355="2+3",IF(ISNUMBER(SEARCH("grosser Artikel",BV355)),2,IFERROR(VLOOKUP(BY355,Parameter!$F$35:$G$64,2,0),2)),IF(OR(CD355="Nein",CD355=""),"-",CD355)))))</f>
        <v>2</v>
      </c>
      <c r="AB355" s="67"/>
      <c r="AC355" s="68"/>
      <c r="AD355" s="62" t="n">
        <f aca="false">AW355</f>
        <v>1</v>
      </c>
      <c r="AE355" s="62" t="n">
        <f aca="false">MAX(AW355,H355)</f>
        <v>78</v>
      </c>
      <c r="AF355" s="69"/>
      <c r="AG355" s="62" t="n">
        <f aca="false">IF(LEFT(Cockpit!$C$5,1)="A",H355,IF(Parameter!$E$30="MAX-Bestand",IF(CI355=1,CJ355,IF(LEFT(Cockpit!$C$5,1)="B",AM355,MAX(AM355,H355))),ROUNDUP(AK355,0)))</f>
        <v>78</v>
      </c>
      <c r="AH355" s="62" t="n">
        <f aca="false">IF(CA355=1,0,ROUNDUP(AG355/BZ355,0))</f>
        <v>1</v>
      </c>
      <c r="AI355" s="64" t="n">
        <f aca="false">IF(CR355&gt;0,CR355*MAX(1,AG355/X355),IF(CA355=1,IF(AG355&lt;=0,0,CE355*MAX(1,IF(H355&gt;0,AG355/H355,1))),IF(R355&gt;0,AH355/R355,0))/MAX(0.1,N(Parameter!$M$21)))</f>
        <v>0.00714285714285714</v>
      </c>
      <c r="AJ355" s="62" t="n">
        <f aca="false">AI355*CC355</f>
        <v>1.10714285714286</v>
      </c>
      <c r="AK355" s="63" t="n">
        <f aca="false">IF(LEFT(Cockpit!$C$5,1)="A",H355,IF(CI355=1,(CL355+CJ355)/2,IF(LEFT(Cockpit!$C$5,1)="B",(CL355+AM355)/2,MAX((CL355+AM355)/2,H355))))</f>
        <v>78</v>
      </c>
      <c r="AL355" s="62" t="n">
        <f aca="false">AK355*G355</f>
        <v>1341.6</v>
      </c>
      <c r="AM355" s="62" t="n">
        <f aca="false">ROUNDUP(CL355+MAX(CM355,2*(J355/IF(CH355&gt;0,CH355,MAX(0.1,N(Cockpit!$C$6)))-CL355)),0)</f>
        <v>1</v>
      </c>
      <c r="AN355" s="63" t="n">
        <f aca="false">IF(AJ355&gt;0,J355/AJ355,-1)</f>
        <v>0</v>
      </c>
      <c r="AO355" s="63" t="n">
        <f aca="false">IF(AND(OR(CG355="L1",CG355="L23",CG355="LIFT"),AJ355&gt;0),SUMIFS($AJ$7:$AJ$1843,$CG$7:$CG$1843,CG355,$AN$7:$AN$1843,"&gt;"&amp;AN355)+SUMIFS($AJ$7:$AJ$1843,$CG$7:$CG$1843,CG355,$AN$7:$AN$1843,AN355,$BX$7:$BX$1843,"&lt;="&amp;BX355),"")</f>
        <v>28020.1737029449</v>
      </c>
      <c r="AP355" s="70" t="n">
        <f aca="false">IF(AO355="",0,MAX(0,MIN(1,(IF(CG355="L1",Parameter!$H$5,IF(CG355="L23",Parameter!$H$6+Parameter!$H$7,Parameter!$H$5+Parameter!$H$6+Parameter!$H$7))-(AO355-AJ355))/AJ355)))</f>
        <v>1</v>
      </c>
      <c r="AQ355" s="62" t="n">
        <f aca="false">IF(LEFT(Cockpit!$I$5,1)="A",H355,IF(Parameter!$E$30="MAX-Bestand",IF(CI355=1,CJ355,IF(LEFT(Cockpit!$I$5,1)="B",AW355,MAX(AW355,H355))),ROUNDUP(AU355,0)))</f>
        <v>78</v>
      </c>
      <c r="AR355" s="62" t="n">
        <f aca="false">IF(CA355=1,0,ROUNDUP(AQ355/BZ355,0))</f>
        <v>1</v>
      </c>
      <c r="AS355" s="64" t="n">
        <f aca="false">IF(CR355&gt;0,CR355*MAX(1,AQ355/X355),IF(CA355=1,IF(AQ355&lt;=0,0,CE355*MAX(1,IF(H355&gt;0,AQ355/H355,1))),IF(R355&gt;0,AR355/R355,0))/MAX(0.1,N(Parameter!$M$21)))</f>
        <v>0.00714285714285714</v>
      </c>
      <c r="AT355" s="62" t="n">
        <f aca="false">AS355*CC355</f>
        <v>1.10714285714286</v>
      </c>
      <c r="AU355" s="63" t="n">
        <f aca="false">IF(LEFT(Cockpit!$I$5,1)="A",H355,IF(CI355=1,(CL355+CJ355)/2,IF(LEFT(Cockpit!$I$5,1)="B",(CL355+AW355)/2,MAX((CL355+AW355)/2,H355))))</f>
        <v>78</v>
      </c>
      <c r="AV355" s="62" t="n">
        <f aca="false">AU355*G355</f>
        <v>1341.6</v>
      </c>
      <c r="AW355" s="62" t="n">
        <f aca="false">ROUNDUP(CL355+MAX(CM355,2*(J355/IF(CH355&gt;0,CH355,MAX(0.1,N(Cockpit!$I$6)))-CL355)),0)</f>
        <v>1</v>
      </c>
      <c r="AX355" s="63" t="n">
        <f aca="false">IF(AT355&gt;0,J355/AT355,-1)</f>
        <v>0</v>
      </c>
      <c r="AY355" s="63" t="n">
        <f aca="false">IF(AND(OR(CG355="L1",CG355="L23",CG355="LIFT"),AT355&gt;0),SUMIFS($AT$7:$AT$1843,$CG$7:$CG$1843,CG355,$AX$7:$AX$1843,"&gt;"&amp;AX355)+SUMIFS($AT$7:$AT$1843,$CG$7:$CG$1843,CG355,$AX$7:$AX$1843,AX355,$BX$7:$BX$1843,"&lt;="&amp;BX355),"")</f>
        <v>33373.3223443223</v>
      </c>
      <c r="AZ355" s="70" t="n">
        <f aca="false">IF(AY355="",0,MAX(0,MIN(1,(IF(CG355="L1",Parameter!$H$5,IF(CG355="L23",Parameter!$H$6+Parameter!$H$7,Parameter!$H$5+Parameter!$H$6+Parameter!$H$7))-(AY355-AT355))/AT355)))</f>
        <v>1</v>
      </c>
      <c r="BA355" s="62" t="n">
        <f aca="false">IF(LEFT(Cockpit!$O$5,1)="A",H355,IF(Parameter!$E$30="MAX-Bestand",IF(CI355=1,CJ355,IF(LEFT(Cockpit!$O$5,1)="B",BG355,MAX(BG355,H355))),ROUNDUP(BE355,0)))</f>
        <v>1</v>
      </c>
      <c r="BB355" s="62" t="n">
        <f aca="false">IF(CA355=1,0,ROUNDUP(BA355/BZ355,0))</f>
        <v>1</v>
      </c>
      <c r="BC355" s="64" t="n">
        <f aca="false">IF(CR355&gt;0,CR355*MAX(1,BA355/X355),IF(CA355=1,IF(BA355&lt;=0,0,CE355*MAX(1,IF(H355&gt;0,BA355/H355,1))),IF(R355&gt;0,BB355/R355,0))/MAX(0.1,N(Parameter!$M$21)))</f>
        <v>0.00714285714285714</v>
      </c>
      <c r="BD355" s="62" t="n">
        <f aca="false">BC355*CC355</f>
        <v>1.10714285714286</v>
      </c>
      <c r="BE355" s="63" t="n">
        <f aca="false">IF(LEFT(Cockpit!$O$5,1)="A",H355,IF(CI355=1,(CL355+CJ355)/2,IF(LEFT(Cockpit!$O$5,1)="B",(CL355+BG355)/2,MAX((CL355+BG355)/2,H355))))</f>
        <v>0.5</v>
      </c>
      <c r="BF355" s="62" t="n">
        <f aca="false">BE355*G355</f>
        <v>8.6</v>
      </c>
      <c r="BG355" s="62" t="n">
        <f aca="false">ROUNDUP(CL355+MAX(CM355,2*(J355/IF(CH355&gt;0,CH355,MAX(0.1,N(Cockpit!$O$6)))-CL355)),0)</f>
        <v>1</v>
      </c>
      <c r="BH355" s="63" t="n">
        <f aca="false">IF(BD355&gt;0,J355/BD355,-1)</f>
        <v>0</v>
      </c>
      <c r="BI355" s="63" t="n">
        <f aca="false">IF(AND(OR(CG355="L1",CG355="L23",CG355="LIFT"),BD355&gt;0),SUMIFS($BD$7:$BD$1843,$CG$7:$CG$1843,CG355,$BH$7:$BH$1843,"&gt;"&amp;BH355)+SUMIFS($BD$7:$BD$1843,$CG$7:$CG$1843,CG355,$BH$7:$BH$1843,BH355,$BX$7:$BX$1843,"&lt;="&amp;BX355),"")</f>
        <v>27486.8593158254</v>
      </c>
      <c r="BJ355" s="70" t="n">
        <f aca="false">IF(BI355="",0,MAX(0,MIN(1,(IF(CG355="L1",Parameter!$H$5,IF(CG355="L23",Parameter!$H$6+Parameter!$H$7,Parameter!$H$5+Parameter!$H$6+Parameter!$H$7))-(BI355-BD355))/BD355)))</f>
        <v>1</v>
      </c>
      <c r="BK355" s="60" t="str">
        <f aca="false">IF(AJ355&lt;=0,"",IF(CG355="Aussen","Aussenlager",IF(CG355="-","Nicht im Lift",IF(AP355&gt;=1,"Lift",IF(AP355&lt;=0,"Aussenlager","teilweise")))))</f>
        <v>Lift</v>
      </c>
      <c r="BL355" s="60" t="str">
        <f aca="false">IF(AT355&lt;=0,"",IF(CG355="Aussen","Aussenlager",IF(CG355="-","Nicht im Lift",IF(AZ355&gt;=1,"Lift",IF(AZ355&lt;=0,"Aussenlager","teilweise")))))</f>
        <v>Lift</v>
      </c>
      <c r="BM355" s="60" t="str">
        <f aca="false">IF(BD355&lt;=0,"",IF(CG355="Aussen","Aussenlager",IF(CG355="-","Nicht im Lift",IF(BJ355&gt;=1,"Lift",IF(BJ355&lt;=0,"Aussenlager","teilweise")))))</f>
        <v>Lift</v>
      </c>
      <c r="BN355" s="60" t="str">
        <f aca="false">IF(A355="","",IF(BW355=1,"Neu; ","")&amp;IF(AND(BW355=0,BR355&lt;0),"negativer Bestand (Export "&amp;BR355&amp;"); ","")&amp;IF(J355&lt;=0,"Kein Verbrauch; ","")&amp;IF(CR355&gt;0,"Lift "&amp;W355&amp;" lt. Liftbericht (Fach "&amp;X355&amp;" Stk); ",IF(CB355=1,"Gebinde geschätzt ("&amp;T355&amp;"); ",IF(CA355=1,"Lose – Tablare geschätzt; ","")))&amp;IF(H355&gt;AW355,"Überbestand "&amp;ROUND(H355-AW355,0)&amp;" Stk / CHF "&amp;ROUND((H355-AW355)*G355,0)&amp;"; ","")&amp;IF(AND(CI355=1,CJ355&lt;CK355),"MAX &lt; MB+LG; ","")&amp;IF(AND(CQ355&gt;0,CP355*10&gt;CQ355),"zu hoch für Tablar; ","")&amp;IF(AND(BW355=0,OR(CI355=1,AB355&lt;&gt;"",U355&lt;&gt;"",V355&lt;&gt;"",AC355&lt;&gt;"")),"manuell übersteuert; ","")&amp;IF(AND(CA355=0,R355=0),"Gebinde unbekannt / Stellmass fehlt; ","")&amp;IF(AND(CA355=0,N(V355)&lt;=0,N(Q355)&lt;=0),"Menge pro Gebinde fehlt (Ist = 1 Gebinde); ","")&amp;BV355)</f>
        <v>Kein Verbrauch; Überbestand 77 Stk / CHF 1324; Überbestand</v>
      </c>
      <c r="BO355" s="60"/>
      <c r="BP355" s="60"/>
      <c r="BQ355" s="67"/>
      <c r="BR355" s="62" t="n">
        <v>10</v>
      </c>
      <c r="BS355" s="62" t="n">
        <v>68</v>
      </c>
      <c r="BT355" s="61" t="n">
        <v>172</v>
      </c>
      <c r="BU355" s="62" t="n">
        <v>0</v>
      </c>
      <c r="BV355" s="60" t="s">
        <v>434</v>
      </c>
      <c r="BW355" s="65" t="n">
        <v>0</v>
      </c>
      <c r="BX355" s="65" t="n">
        <v>355</v>
      </c>
      <c r="BY355" s="60" t="str">
        <f aca="false">IF(U355&lt;&gt;"",UPPER(TRIM(U355)),IF(CB355=1,UPPER(VLOOKUP(T355,Parameter!$I$27:$K$29,2,0)),IF(P355="","LOSE",P355)))</f>
        <v>S22</v>
      </c>
      <c r="BZ355" s="62" t="n">
        <f aca="false">IF(BY355="LOSE",1,IF(N(V355)&gt;0,V355,IF(CB355=1,MAX(1,N(VLOOKUP(T355,Parameter!$I$27:$K$29,3,0)),H355,N(N355)),IF(N(Q355)&gt;0,Q355,MAX(1,H355)))))</f>
        <v>114</v>
      </c>
      <c r="CA355" s="65" t="n">
        <f aca="false">IF(BY355="LOSE",1,0)</f>
        <v>0</v>
      </c>
      <c r="CB355" s="65" t="n">
        <f aca="false">IF(AND(U355="",OR(P355="",P355="LOSE"),T355&lt;&gt;"",N(S355)&lt;=0,ISNUMBER(MATCH(T355,Parameter!$I$27:$I$29,0))),1,0)</f>
        <v>0</v>
      </c>
      <c r="CC355" s="65" t="n">
        <f aca="false">IF(CR355&gt;0,INDEX(Parameter!$H$5:$H$7,W355)/INDEX(Parameter!$E$5:$E$7,W355),IF(AND(CA355=0,N(IFERROR(VLOOKUP(BY355,'Gebinde-Kategorie'!$A$5:$N$45,14,0),0))&gt;0),VLOOKUP(BY355,'Gebinde-Kategorie'!$A$5:$N$45,14,0)*10+Parameter!$M$23,Parameter!$M$24))</f>
        <v>155</v>
      </c>
      <c r="CD355" s="60" t="str">
        <f aca="false">IF(AND(Parameter!$B$19="Ja",E355&lt;&gt;"",ISNUMBER(MATCH(E355,Parameter!$I$35:$I$52,0))),VLOOKUP(E355,Parameter!$I$35:$J$52,2,0),IFERROR(VLOOKUP(D355,Parameter!$A$35:$C$64,2,0),"Nein"))</f>
        <v>2+3</v>
      </c>
      <c r="CE355" s="64" t="n">
        <f aca="false">IF(CA355=0,0,IF(N(S355)&gt;0,S355,IFERROR(VLOOKUP(D355,Parameter!$A$35:$C$64,3,0)+0,0)))</f>
        <v>0</v>
      </c>
      <c r="CF355" s="60" t="n">
        <f aca="false">IF(AB355&lt;&gt;"",AB355,AA355)</f>
        <v>2</v>
      </c>
      <c r="CG355" s="60" t="str">
        <f aca="false">IF(OR(CF355=1,CF355=2,CF355=3),IF(Parameter!$E$27="Ja","LIFT",IF(CF355=1,"L1","L23")),IF(CF355="Aussen","Aussen","-"))</f>
        <v>LIFT</v>
      </c>
      <c r="CH355" s="71" t="n">
        <f aca="false">IF(N(AC355)&gt;0,AC355,0)</f>
        <v>0</v>
      </c>
      <c r="CI355" s="65" t="n">
        <f aca="false">IF(ISNUMBER(AF355),1,0)</f>
        <v>0</v>
      </c>
      <c r="CJ355" s="62" t="n">
        <f aca="false">N(AF355)</f>
        <v>0</v>
      </c>
      <c r="CK355" s="62" t="n">
        <f aca="false">N(M355)+N(N355)</f>
        <v>1</v>
      </c>
      <c r="CL355" s="62" t="n">
        <f aca="false">N(M355)</f>
        <v>0</v>
      </c>
      <c r="CM355" s="62" t="n">
        <f aca="false">N(N355)</f>
        <v>1</v>
      </c>
      <c r="CN355" s="62" t="n">
        <f aca="false">ROUNDUP(H355/BZ355,0)</f>
        <v>1</v>
      </c>
      <c r="CO355" s="62" t="n">
        <f aca="false">ROUNDUP(CJ355/BZ355,0)</f>
        <v>0</v>
      </c>
      <c r="CP355" s="65" t="n">
        <f aca="false">IF(CA355=1,0,IFERROR(VLOOKUP(BY355,'Gebinde-Kategorie'!$A$5:$N$45,5,0)+0,0))</f>
        <v>8</v>
      </c>
      <c r="CQ355" s="65" t="n">
        <f aca="false">IFERROR(IF(OR(CF355=1,CF355=2,CF355=3),N(INDEX(Parameter!$I$5:$I$7,CF355)),0),0)</f>
        <v>0</v>
      </c>
      <c r="CR355" s="64" t="n">
        <f aca="false">IF(AND(Parameter!$B$21="Ja",ISNUMBER(W355),N(X355)&gt;0),IFERROR(N(INDEX(Parameter!$L$5:$L$7,W355))*INDEX(Parameter!$E$5:$E$7,W355)*X355/SUMIFS($X$7:$X$1843,$W$7:$W$1843,W355),0),0)</f>
        <v>0</v>
      </c>
      <c r="CS355" s="62" t="n">
        <f aca="false">IF(AND(OR(CG355="L1",CG355="L23",CG355="LIFT"),H355&gt;0),CC355*IF(CR355&gt;0,CR355*MAX(1,H355/X355),IF(CA355=1,CE355,IF(R355&gt;0,CN355/R355,0))/MAX(0.1,N(Parameter!$M$21))),"")</f>
        <v>1.10714285714286</v>
      </c>
      <c r="CT355" s="64" t="n">
        <f aca="false">IF(CS355="","",J355/H355)</f>
        <v>0</v>
      </c>
      <c r="CU355" s="62" t="n">
        <f aca="false">IF(CS355="","",H355*G355)</f>
        <v>1341.6</v>
      </c>
      <c r="CV355" s="63" t="n">
        <f aca="false">IF(CS355="","",(CL355+ROUNDUP(CL355+MAX(CM355,2*(J355/MAX(0.1,N(Einkauf!$C$6))-CL355)),0))/2)</f>
        <v>0.5</v>
      </c>
      <c r="CW355" s="62" t="n">
        <f aca="false">IF(CS355="","",MAX(0,H355-CV355)*G355)</f>
        <v>1333</v>
      </c>
      <c r="CX355" s="62" t="n">
        <f aca="false">IF(CS355="","",CS355*MAX(0,1-CV355/H355))</f>
        <v>1.10004578754579</v>
      </c>
      <c r="CY355" s="64" t="n">
        <f aca="false">IF(CS355="","",PERCENTRANK($CS$7:$CS$1843,CS355)+PERCENTRANK($CU$7:$CU$1843,CU355)+1-PERCENTRANK($CT$7:$CT$1843,CT355))</f>
        <v>1.7514</v>
      </c>
      <c r="CZ355" s="72" t="n">
        <f aca="false">IF(CS355="","",CHOOSE(MATCH(Einkauf!$C$5,Parameter!$G$23:$G$27,0),CY355,CS355,CU355,-CT355,CW355)+ROW()/1000000000)</f>
        <v>1.751400355</v>
      </c>
    </row>
    <row r="356" customFormat="false" ht="15" hidden="false" customHeight="false" outlineLevel="0" collapsed="false">
      <c r="A356" s="60" t="s">
        <v>908</v>
      </c>
      <c r="B356" s="60" t="s">
        <v>909</v>
      </c>
      <c r="C356" s="60" t="s">
        <v>206</v>
      </c>
      <c r="D356" s="60" t="s">
        <v>226</v>
      </c>
      <c r="E356" s="60" t="s">
        <v>227</v>
      </c>
      <c r="F356" s="60" t="s">
        <v>260</v>
      </c>
      <c r="G356" s="61" t="n">
        <v>19.05</v>
      </c>
      <c r="H356" s="62" t="n">
        <f aca="false">MAX(0,IF(AND(Parameter!$B$21="Ja",ISNUMBER(Y356)),Y356,IF(Parameter!$B$20="Jahresanfang 2025 + Export",BS356+BR356,BR356)))</f>
        <v>9</v>
      </c>
      <c r="I356" s="62" t="n">
        <f aca="false">H356*G356</f>
        <v>171.45</v>
      </c>
      <c r="J356" s="62" t="n">
        <f aca="false">BU356*Parameter!$B$18</f>
        <v>6</v>
      </c>
      <c r="K356" s="63" t="n">
        <v>4.5</v>
      </c>
      <c r="L356" s="64" t="n">
        <v>1.33333333333333</v>
      </c>
      <c r="M356" s="62" t="n">
        <v>0</v>
      </c>
      <c r="N356" s="62" t="n">
        <v>5</v>
      </c>
      <c r="O356" s="65" t="n">
        <v>14</v>
      </c>
      <c r="P356" s="60" t="s">
        <v>210</v>
      </c>
      <c r="Q356" s="62"/>
      <c r="R356" s="65" t="n">
        <f aca="false">IF(CA356=1,0,IFERROR(VLOOKUP(BY356,'Gebinde-Kategorie'!$A$5:$N$45,13,0)+0,0))</f>
        <v>26</v>
      </c>
      <c r="S356" s="66"/>
      <c r="T356" s="67" t="s">
        <v>317</v>
      </c>
      <c r="U356" s="67"/>
      <c r="V356" s="67"/>
      <c r="W356" s="60"/>
      <c r="X356" s="62"/>
      <c r="Y356" s="62"/>
      <c r="Z356" s="60" t="n">
        <v>3</v>
      </c>
      <c r="AA356" s="60" t="n">
        <f aca="false">IF(A356="","",IF(AND(Parameter!$B$21="Ja",ISNUMBER(W356)),W356,IF(AND(Parameter!$E$27="Ja",ISNUMBER(Z356),CD356&lt;&gt;"Nein"),Z356,IF(CD356="2+3",IF(ISNUMBER(SEARCH("grosser Artikel",BV356)),2,IFERROR(VLOOKUP(BY356,Parameter!$F$35:$G$64,2,0),2)),IF(OR(CD356="Nein",CD356=""),"-",CD356)))))</f>
        <v>3</v>
      </c>
      <c r="AB356" s="67"/>
      <c r="AC356" s="68"/>
      <c r="AD356" s="62" t="n">
        <f aca="false">AW356</f>
        <v>5</v>
      </c>
      <c r="AE356" s="62" t="n">
        <f aca="false">MAX(AW356,H356)</f>
        <v>9</v>
      </c>
      <c r="AF356" s="69"/>
      <c r="AG356" s="62" t="n">
        <f aca="false">IF(LEFT(Cockpit!$C$5,1)="A",H356,IF(Parameter!$E$30="MAX-Bestand",IF(CI356=1,CJ356,IF(LEFT(Cockpit!$C$5,1)="B",AM356,MAX(AM356,H356))),ROUNDUP(AK356,0)))</f>
        <v>9</v>
      </c>
      <c r="AH356" s="62" t="n">
        <f aca="false">IF(CA356=1,0,ROUNDUP(AG356/BZ356,0))</f>
        <v>1</v>
      </c>
      <c r="AI356" s="64" t="n">
        <f aca="false">IF(CR356&gt;0,CR356*MAX(1,AG356/X356),IF(CA356=1,IF(AG356&lt;=0,0,CE356*MAX(1,IF(H356&gt;0,AG356/H356,1))),IF(R356&gt;0,AH356/R356,0))/MAX(0.1,N(Parameter!$M$21)))</f>
        <v>0.0384615384615385</v>
      </c>
      <c r="AJ356" s="62" t="n">
        <f aca="false">AI356*CC356</f>
        <v>5.96153846153846</v>
      </c>
      <c r="AK356" s="63" t="n">
        <f aca="false">IF(LEFT(Cockpit!$C$5,1)="A",H356,IF(CI356=1,(CL356+CJ356)/2,IF(LEFT(Cockpit!$C$5,1)="B",(CL356+AM356)/2,MAX((CL356+AM356)/2,H356))))</f>
        <v>9</v>
      </c>
      <c r="AL356" s="62" t="n">
        <f aca="false">AK356*G356</f>
        <v>171.45</v>
      </c>
      <c r="AM356" s="62" t="n">
        <f aca="false">ROUNDUP(CL356+MAX(CM356,2*(J356/IF(CH356&gt;0,CH356,MAX(0.1,N(Cockpit!$C$6)))-CL356)),0)</f>
        <v>5</v>
      </c>
      <c r="AN356" s="63" t="n">
        <f aca="false">IF(AJ356&gt;0,J356/AJ356,-1)</f>
        <v>1.00645161290323</v>
      </c>
      <c r="AO356" s="63" t="n">
        <f aca="false">IF(AND(OR(CG356="L1",CG356="L23",CG356="LIFT"),AJ356&gt;0),SUMIFS($AJ$7:$AJ$1843,$CG$7:$CG$1843,CG356,$AN$7:$AN$1843,"&gt;"&amp;AN356)+SUMIFS($AJ$7:$AJ$1843,$CG$7:$CG$1843,CG356,$AN$7:$AN$1843,AN356,$BX$7:$BX$1843,"&lt;="&amp;BX356),"")</f>
        <v>7023.61584249084</v>
      </c>
      <c r="AP356" s="70" t="n">
        <f aca="false">IF(AO356="",0,MAX(0,MIN(1,(IF(CG356="L1",Parameter!$H$5,IF(CG356="L23",Parameter!$H$6+Parameter!$H$7,Parameter!$H$5+Parameter!$H$6+Parameter!$H$7))-(AO356-AJ356))/AJ356)))</f>
        <v>1</v>
      </c>
      <c r="AQ356" s="62" t="n">
        <f aca="false">IF(LEFT(Cockpit!$I$5,1)="A",H356,IF(Parameter!$E$30="MAX-Bestand",IF(CI356=1,CJ356,IF(LEFT(Cockpit!$I$5,1)="B",AW356,MAX(AW356,H356))),ROUNDUP(AU356,0)))</f>
        <v>9</v>
      </c>
      <c r="AR356" s="62" t="n">
        <f aca="false">IF(CA356=1,0,ROUNDUP(AQ356/BZ356,0))</f>
        <v>1</v>
      </c>
      <c r="AS356" s="64" t="n">
        <f aca="false">IF(CR356&gt;0,CR356*MAX(1,AQ356/X356),IF(CA356=1,IF(AQ356&lt;=0,0,CE356*MAX(1,IF(H356&gt;0,AQ356/H356,1))),IF(R356&gt;0,AR356/R356,0))/MAX(0.1,N(Parameter!$M$21)))</f>
        <v>0.0384615384615385</v>
      </c>
      <c r="AT356" s="62" t="n">
        <f aca="false">AS356*CC356</f>
        <v>5.96153846153846</v>
      </c>
      <c r="AU356" s="63" t="n">
        <f aca="false">IF(LEFT(Cockpit!$I$5,1)="A",H356,IF(CI356=1,(CL356+CJ356)/2,IF(LEFT(Cockpit!$I$5,1)="B",(CL356+AW356)/2,MAX((CL356+AW356)/2,H356))))</f>
        <v>9</v>
      </c>
      <c r="AV356" s="62" t="n">
        <f aca="false">AU356*G356</f>
        <v>171.45</v>
      </c>
      <c r="AW356" s="62" t="n">
        <f aca="false">ROUNDUP(CL356+MAX(CM356,2*(J356/IF(CH356&gt;0,CH356,MAX(0.1,N(Cockpit!$I$6)))-CL356)),0)</f>
        <v>5</v>
      </c>
      <c r="AX356" s="63" t="n">
        <f aca="false">IF(AT356&gt;0,J356/AT356,-1)</f>
        <v>1.00645161290323</v>
      </c>
      <c r="AY356" s="63" t="n">
        <f aca="false">IF(AND(OR(CG356="L1",CG356="L23",CG356="LIFT"),AT356&gt;0),SUMIFS($AT$7:$AT$1843,$CG$7:$CG$1843,CG356,$AX$7:$AX$1843,"&gt;"&amp;AX356)+SUMIFS($AT$7:$AT$1843,$CG$7:$CG$1843,CG356,$AX$7:$AX$1843,AX356,$BX$7:$BX$1843,"&lt;="&amp;BX356),"")</f>
        <v>8398.28021978022</v>
      </c>
      <c r="AZ356" s="70" t="n">
        <f aca="false">IF(AY356="",0,MAX(0,MIN(1,(IF(CG356="L1",Parameter!$H$5,IF(CG356="L23",Parameter!$H$6+Parameter!$H$7,Parameter!$H$5+Parameter!$H$6+Parameter!$H$7))-(AY356-AT356))/AT356)))</f>
        <v>1</v>
      </c>
      <c r="BA356" s="62" t="n">
        <f aca="false">IF(LEFT(Cockpit!$O$5,1)="A",H356,IF(Parameter!$E$30="MAX-Bestand",IF(CI356=1,CJ356,IF(LEFT(Cockpit!$O$5,1)="B",BG356,MAX(BG356,H356))),ROUNDUP(BE356,0)))</f>
        <v>3</v>
      </c>
      <c r="BB356" s="62" t="n">
        <f aca="false">IF(CA356=1,0,ROUNDUP(BA356/BZ356,0))</f>
        <v>1</v>
      </c>
      <c r="BC356" s="64" t="n">
        <f aca="false">IF(CR356&gt;0,CR356*MAX(1,BA356/X356),IF(CA356=1,IF(BA356&lt;=0,0,CE356*MAX(1,IF(H356&gt;0,BA356/H356,1))),IF(R356&gt;0,BB356/R356,0))/MAX(0.1,N(Parameter!$M$21)))</f>
        <v>0.0384615384615385</v>
      </c>
      <c r="BD356" s="62" t="n">
        <f aca="false">BC356*CC356</f>
        <v>5.96153846153846</v>
      </c>
      <c r="BE356" s="63" t="n">
        <f aca="false">IF(LEFT(Cockpit!$O$5,1)="A",H356,IF(CI356=1,(CL356+CJ356)/2,IF(LEFT(Cockpit!$O$5,1)="B",(CL356+BG356)/2,MAX((CL356+BG356)/2,H356))))</f>
        <v>2.5</v>
      </c>
      <c r="BF356" s="62" t="n">
        <f aca="false">BE356*G356</f>
        <v>47.625</v>
      </c>
      <c r="BG356" s="62" t="n">
        <f aca="false">ROUNDUP(CL356+MAX(CM356,2*(J356/IF(CH356&gt;0,CH356,MAX(0.1,N(Cockpit!$O$6)))-CL356)),0)</f>
        <v>5</v>
      </c>
      <c r="BH356" s="63" t="n">
        <f aca="false">IF(BD356&gt;0,J356/BD356,-1)</f>
        <v>1.00645161290323</v>
      </c>
      <c r="BI356" s="63" t="n">
        <f aca="false">IF(AND(OR(CG356="L1",CG356="L23",CG356="LIFT"),BD356&gt;0),SUMIFS($BD$7:$BD$1843,$CG$7:$CG$1843,CG356,$BH$7:$BH$1843,"&gt;"&amp;BH356)+SUMIFS($BD$7:$BD$1843,$CG$7:$CG$1843,CG356,$BH$7:$BH$1843,BH356,$BX$7:$BX$1843,"&lt;="&amp;BX356),"")</f>
        <v>7648.31639194139</v>
      </c>
      <c r="BJ356" s="70" t="n">
        <f aca="false">IF(BI356="",0,MAX(0,MIN(1,(IF(CG356="L1",Parameter!$H$5,IF(CG356="L23",Parameter!$H$6+Parameter!$H$7,Parameter!$H$5+Parameter!$H$6+Parameter!$H$7))-(BI356-BD356))/BD356)))</f>
        <v>1</v>
      </c>
      <c r="BK356" s="60" t="str">
        <f aca="false">IF(AJ356&lt;=0,"",IF(CG356="Aussen","Aussenlager",IF(CG356="-","Nicht im Lift",IF(AP356&gt;=1,"Lift",IF(AP356&lt;=0,"Aussenlager","teilweise")))))</f>
        <v>Lift</v>
      </c>
      <c r="BL356" s="60" t="str">
        <f aca="false">IF(AT356&lt;=0,"",IF(CG356="Aussen","Aussenlager",IF(CG356="-","Nicht im Lift",IF(AZ356&gt;=1,"Lift",IF(AZ356&lt;=0,"Aussenlager","teilweise")))))</f>
        <v>Lift</v>
      </c>
      <c r="BM356" s="60" t="str">
        <f aca="false">IF(BD356&lt;=0,"",IF(CG356="Aussen","Aussenlager",IF(CG356="-","Nicht im Lift",IF(BJ356&gt;=1,"Lift",IF(BJ356&lt;=0,"Aussenlager","teilweise")))))</f>
        <v>Lift</v>
      </c>
      <c r="BN356" s="60" t="str">
        <f aca="false">IF(A356="","",IF(BW356=1,"Neu; ","")&amp;IF(AND(BW356=0,BR356&lt;0),"negativer Bestand (Export "&amp;BR356&amp;"); ","")&amp;IF(J356&lt;=0,"Kein Verbrauch; ","")&amp;IF(CR356&gt;0,"Lift "&amp;W356&amp;" lt. Liftbericht (Fach "&amp;X356&amp;" Stk); ",IF(CB356=1,"Gebinde geschätzt ("&amp;T356&amp;"); ",IF(CA356=1,"Lose – Tablare geschätzt; ","")))&amp;IF(H356&gt;AW356,"Überbestand "&amp;ROUND(H356-AW356,0)&amp;" Stk / CHF "&amp;ROUND((H356-AW356)*G356,0)&amp;"; ","")&amp;IF(AND(CI356=1,CJ356&lt;CK356),"MAX &lt; MB+LG; ","")&amp;IF(AND(CQ356&gt;0,CP356*10&gt;CQ356),"zu hoch für Tablar; ","")&amp;IF(AND(BW356=0,OR(CI356=1,AB356&lt;&gt;"",U356&lt;&gt;"",V356&lt;&gt;"",AC356&lt;&gt;"")),"manuell übersteuert; ","")&amp;IF(AND(CA356=0,R356=0),"Gebinde unbekannt / Stellmass fehlt; ","")&amp;IF(AND(CA356=0,N(V356)&lt;=0,N(Q356)&lt;=0),"Menge pro Gebinde fehlt (Ist = 1 Gebinde); ","")&amp;BV356)</f>
        <v>Gebinde geschätzt (Klein); Überbestand 4 Stk / CHF 76; Menge pro Gebinde fehlt (Ist = 1 Gebinde); nicht im KTL vorhanden</v>
      </c>
      <c r="BO356" s="60"/>
      <c r="BP356" s="60"/>
      <c r="BQ356" s="67"/>
      <c r="BR356" s="62" t="n">
        <v>9</v>
      </c>
      <c r="BS356" s="62" t="n">
        <v>0</v>
      </c>
      <c r="BT356" s="61" t="n">
        <v>171.45</v>
      </c>
      <c r="BU356" s="62" t="n">
        <v>6</v>
      </c>
      <c r="BV356" s="60" t="s">
        <v>272</v>
      </c>
      <c r="BW356" s="65" t="n">
        <v>0</v>
      </c>
      <c r="BX356" s="65" t="n">
        <v>356</v>
      </c>
      <c r="BY356" s="60" t="str">
        <f aca="false">IF(U356&lt;&gt;"",UPPER(TRIM(U356)),IF(CB356=1,UPPER(VLOOKUP(T356,Parameter!$I$27:$K$29,2,0)),IF(P356="","LOSE",P356)))</f>
        <v>S51</v>
      </c>
      <c r="BZ356" s="62" t="n">
        <f aca="false">IF(BY356="LOSE",1,IF(N(V356)&gt;0,V356,IF(CB356=1,MAX(1,N(VLOOKUP(T356,Parameter!$I$27:$K$29,3,0)),H356,N(N356)),IF(N(Q356)&gt;0,Q356,MAX(1,H356)))))</f>
        <v>20</v>
      </c>
      <c r="CA356" s="65" t="n">
        <f aca="false">IF(BY356="LOSE",1,0)</f>
        <v>0</v>
      </c>
      <c r="CB356" s="65" t="n">
        <f aca="false">IF(AND(U356="",OR(P356="",P356="LOSE"),T356&lt;&gt;"",N(S356)&lt;=0,ISNUMBER(MATCH(T356,Parameter!$I$27:$I$29,0))),1,0)</f>
        <v>1</v>
      </c>
      <c r="CC356" s="65" t="n">
        <f aca="false">IF(CR356&gt;0,INDEX(Parameter!$H$5:$H$7,W356)/INDEX(Parameter!$E$5:$E$7,W356),IF(AND(CA356=0,N(IFERROR(VLOOKUP(BY356,'Gebinde-Kategorie'!$A$5:$N$45,14,0),0))&gt;0),VLOOKUP(BY356,'Gebinde-Kategorie'!$A$5:$N$45,14,0)*10+Parameter!$M$23,Parameter!$M$24))</f>
        <v>155</v>
      </c>
      <c r="CD356" s="60" t="str">
        <f aca="false">IF(AND(Parameter!$B$19="Ja",E356&lt;&gt;"",ISNUMBER(MATCH(E356,Parameter!$I$35:$I$52,0))),VLOOKUP(E356,Parameter!$I$35:$J$52,2,0),IFERROR(VLOOKUP(D356,Parameter!$A$35:$C$64,2,0),"Nein"))</f>
        <v>2+3</v>
      </c>
      <c r="CE356" s="64" t="n">
        <f aca="false">IF(CA356=0,0,IF(N(S356)&gt;0,S356,IFERROR(VLOOKUP(D356,Parameter!$A$35:$C$64,3,0)+0,0)))</f>
        <v>0</v>
      </c>
      <c r="CF356" s="60" t="n">
        <f aca="false">IF(AB356&lt;&gt;"",AB356,AA356)</f>
        <v>3</v>
      </c>
      <c r="CG356" s="60" t="str">
        <f aca="false">IF(OR(CF356=1,CF356=2,CF356=3),IF(Parameter!$E$27="Ja","LIFT",IF(CF356=1,"L1","L23")),IF(CF356="Aussen","Aussen","-"))</f>
        <v>LIFT</v>
      </c>
      <c r="CH356" s="71" t="n">
        <f aca="false">IF(N(AC356)&gt;0,AC356,0)</f>
        <v>0</v>
      </c>
      <c r="CI356" s="65" t="n">
        <f aca="false">IF(ISNUMBER(AF356),1,0)</f>
        <v>0</v>
      </c>
      <c r="CJ356" s="62" t="n">
        <f aca="false">N(AF356)</f>
        <v>0</v>
      </c>
      <c r="CK356" s="62" t="n">
        <f aca="false">N(M356)+N(N356)</f>
        <v>5</v>
      </c>
      <c r="CL356" s="62" t="n">
        <f aca="false">N(M356)</f>
        <v>0</v>
      </c>
      <c r="CM356" s="62" t="n">
        <f aca="false">N(N356)</f>
        <v>5</v>
      </c>
      <c r="CN356" s="62" t="n">
        <f aca="false">ROUNDUP(H356/BZ356,0)</f>
        <v>1</v>
      </c>
      <c r="CO356" s="62" t="n">
        <f aca="false">ROUNDUP(CJ356/BZ356,0)</f>
        <v>0</v>
      </c>
      <c r="CP356" s="65" t="n">
        <f aca="false">IF(CA356=1,0,IFERROR(VLOOKUP(BY356,'Gebinde-Kategorie'!$A$5:$N$45,5,0)+0,0))</f>
        <v>11</v>
      </c>
      <c r="CQ356" s="65" t="n">
        <f aca="false">IFERROR(IF(OR(CF356=1,CF356=2,CF356=3),N(INDEX(Parameter!$I$5:$I$7,CF356)),0),0)</f>
        <v>0</v>
      </c>
      <c r="CR356" s="64" t="n">
        <f aca="false">IF(AND(Parameter!$B$21="Ja",ISNUMBER(W356),N(X356)&gt;0),IFERROR(N(INDEX(Parameter!$L$5:$L$7,W356))*INDEX(Parameter!$E$5:$E$7,W356)*X356/SUMIFS($X$7:$X$1843,$W$7:$W$1843,W356),0),0)</f>
        <v>0</v>
      </c>
      <c r="CS356" s="62" t="n">
        <f aca="false">IF(AND(OR(CG356="L1",CG356="L23",CG356="LIFT"),H356&gt;0),CC356*IF(CR356&gt;0,CR356*MAX(1,H356/X356),IF(CA356=1,CE356,IF(R356&gt;0,CN356/R356,0))/MAX(0.1,N(Parameter!$M$21))),"")</f>
        <v>5.96153846153846</v>
      </c>
      <c r="CT356" s="64" t="n">
        <f aca="false">IF(CS356="","",J356/H356)</f>
        <v>0.666666666666667</v>
      </c>
      <c r="CU356" s="62" t="n">
        <f aca="false">IF(CS356="","",H356*G356)</f>
        <v>171.45</v>
      </c>
      <c r="CV356" s="63" t="n">
        <f aca="false">IF(CS356="","",(CL356+ROUNDUP(CL356+MAX(CM356,2*(J356/MAX(0.1,N(Einkauf!$C$6))-CL356)),0))/2)</f>
        <v>2.5</v>
      </c>
      <c r="CW356" s="62" t="n">
        <f aca="false">IF(CS356="","",MAX(0,H356-CV356)*G356)</f>
        <v>123.825</v>
      </c>
      <c r="CX356" s="62" t="n">
        <f aca="false">IF(CS356="","",CS356*MAX(0,1-CV356/H356))</f>
        <v>4.30555555555556</v>
      </c>
      <c r="CY356" s="64" t="n">
        <f aca="false">IF(CS356="","",PERCENTRANK($CS$7:$CS$1843,CS356)+PERCENTRANK($CU$7:$CU$1843,CU356)+1-PERCENTRANK($CT$7:$CT$1843,CT356))</f>
        <v>1.095</v>
      </c>
      <c r="CZ356" s="72" t="n">
        <f aca="false">IF(CS356="","",CHOOSE(MATCH(Einkauf!$C$5,Parameter!$G$23:$G$27,0),CY356,CS356,CU356,-CT356,CW356)+ROW()/1000000000)</f>
        <v>1.095000356</v>
      </c>
    </row>
    <row r="357" customFormat="false" ht="15" hidden="false" customHeight="false" outlineLevel="0" collapsed="false">
      <c r="A357" s="60" t="s">
        <v>910</v>
      </c>
      <c r="B357" s="60" t="s">
        <v>613</v>
      </c>
      <c r="C357" s="60" t="s">
        <v>206</v>
      </c>
      <c r="D357" s="60" t="s">
        <v>226</v>
      </c>
      <c r="E357" s="60" t="s">
        <v>227</v>
      </c>
      <c r="F357" s="60" t="s">
        <v>260</v>
      </c>
      <c r="G357" s="61" t="n">
        <v>8.04</v>
      </c>
      <c r="H357" s="62" t="n">
        <f aca="false">MAX(0,IF(AND(Parameter!$B$21="Ja",ISNUMBER(Y357)),Y357,IF(Parameter!$B$20="Jahresanfang 2025 + Export",BS357+BR357,BR357)))</f>
        <v>117</v>
      </c>
      <c r="I357" s="62" t="n">
        <f aca="false">H357*G357</f>
        <v>940.68</v>
      </c>
      <c r="J357" s="62" t="n">
        <f aca="false">BU357*Parameter!$B$18</f>
        <v>672</v>
      </c>
      <c r="K357" s="63" t="n">
        <v>128</v>
      </c>
      <c r="L357" s="64" t="n">
        <v>5.25</v>
      </c>
      <c r="M357" s="62" t="n">
        <v>39</v>
      </c>
      <c r="N357" s="62" t="n">
        <v>150</v>
      </c>
      <c r="O357" s="65" t="n">
        <v>21</v>
      </c>
      <c r="P357" s="60" t="s">
        <v>344</v>
      </c>
      <c r="Q357" s="62" t="n">
        <v>266</v>
      </c>
      <c r="R357" s="65" t="n">
        <f aca="false">IF(CA357=1,0,IFERROR(VLOOKUP(BY357,'Gebinde-Kategorie'!$A$5:$N$45,13,0)+0,0))</f>
        <v>26</v>
      </c>
      <c r="S357" s="66"/>
      <c r="T357" s="67"/>
      <c r="U357" s="67"/>
      <c r="V357" s="67"/>
      <c r="W357" s="60"/>
      <c r="X357" s="62"/>
      <c r="Y357" s="62"/>
      <c r="Z357" s="60" t="n">
        <v>3</v>
      </c>
      <c r="AA357" s="60" t="n">
        <f aca="false">IF(A357="","",IF(AND(Parameter!$B$21="Ja",ISNUMBER(W357)),W357,IF(AND(Parameter!$E$27="Ja",ISNUMBER(Z357),CD357&lt;&gt;"Nein"),Z357,IF(CD357="2+3",IF(ISNUMBER(SEARCH("grosser Artikel",BV357)),2,IFERROR(VLOOKUP(BY357,Parameter!$F$35:$G$64,2,0),2)),IF(OR(CD357="Nein",CD357=""),"-",CD357)))))</f>
        <v>3</v>
      </c>
      <c r="AB357" s="67"/>
      <c r="AC357" s="68"/>
      <c r="AD357" s="62" t="n">
        <f aca="false">AW357</f>
        <v>409</v>
      </c>
      <c r="AE357" s="62" t="n">
        <f aca="false">MAX(AW357,H357)</f>
        <v>409</v>
      </c>
      <c r="AF357" s="69"/>
      <c r="AG357" s="62" t="n">
        <f aca="false">IF(LEFT(Cockpit!$C$5,1)="A",H357,IF(Parameter!$E$30="MAX-Bestand",IF(CI357=1,CJ357,IF(LEFT(Cockpit!$C$5,1)="B",AM357,MAX(AM357,H357))),ROUNDUP(AK357,0)))</f>
        <v>117</v>
      </c>
      <c r="AH357" s="62" t="n">
        <f aca="false">IF(CA357=1,0,ROUNDUP(AG357/BZ357,0))</f>
        <v>1</v>
      </c>
      <c r="AI357" s="64" t="n">
        <f aca="false">IF(CR357&gt;0,CR357*MAX(1,AG357/X357),IF(CA357=1,IF(AG357&lt;=0,0,CE357*MAX(1,IF(H357&gt;0,AG357/H357,1))),IF(R357&gt;0,AH357/R357,0))/MAX(0.1,N(Parameter!$M$21)))</f>
        <v>0.0384615384615385</v>
      </c>
      <c r="AJ357" s="62" t="n">
        <f aca="false">AI357*CC357</f>
        <v>5.96153846153846</v>
      </c>
      <c r="AK357" s="63" t="n">
        <f aca="false">IF(LEFT(Cockpit!$C$5,1)="A",H357,IF(CI357=1,(CL357+CJ357)/2,IF(LEFT(Cockpit!$C$5,1)="B",(CL357+AM357)/2,MAX((CL357+AM357)/2,H357))))</f>
        <v>117</v>
      </c>
      <c r="AL357" s="62" t="n">
        <f aca="false">AK357*G357</f>
        <v>940.68</v>
      </c>
      <c r="AM357" s="62" t="n">
        <f aca="false">ROUNDUP(CL357+MAX(CM357,2*(J357/IF(CH357&gt;0,CH357,MAX(0.1,N(Cockpit!$C$6)))-CL357)),0)</f>
        <v>409</v>
      </c>
      <c r="AN357" s="63" t="n">
        <f aca="false">IF(AJ357&gt;0,J357/AJ357,-1)</f>
        <v>112.722580645161</v>
      </c>
      <c r="AO357" s="63" t="n">
        <f aca="false">IF(AND(OR(CG357="L1",CG357="L23",CG357="LIFT"),AJ357&gt;0),SUMIFS($AJ$7:$AJ$1843,$CG$7:$CG$1843,CG357,$AN$7:$AN$1843,"&gt;"&amp;AN357)+SUMIFS($AJ$7:$AJ$1843,$CG$7:$CG$1843,CG357,$AN$7:$AN$1843,AN357,$BX$7:$BX$1843,"&lt;="&amp;BX357),"")</f>
        <v>745.705586080586</v>
      </c>
      <c r="AP357" s="70" t="n">
        <f aca="false">IF(AO357="",0,MAX(0,MIN(1,(IF(CG357="L1",Parameter!$H$5,IF(CG357="L23",Parameter!$H$6+Parameter!$H$7,Parameter!$H$5+Parameter!$H$6+Parameter!$H$7))-(AO357-AJ357))/AJ357)))</f>
        <v>1</v>
      </c>
      <c r="AQ357" s="62" t="n">
        <f aca="false">IF(LEFT(Cockpit!$I$5,1)="A",H357,IF(Parameter!$E$30="MAX-Bestand",IF(CI357=1,CJ357,IF(LEFT(Cockpit!$I$5,1)="B",AW357,MAX(AW357,H357))),ROUNDUP(AU357,0)))</f>
        <v>224</v>
      </c>
      <c r="AR357" s="62" t="n">
        <f aca="false">IF(CA357=1,0,ROUNDUP(AQ357/BZ357,0))</f>
        <v>1</v>
      </c>
      <c r="AS357" s="64" t="n">
        <f aca="false">IF(CR357&gt;0,CR357*MAX(1,AQ357/X357),IF(CA357=1,IF(AQ357&lt;=0,0,CE357*MAX(1,IF(H357&gt;0,AQ357/H357,1))),IF(R357&gt;0,AR357/R357,0))/MAX(0.1,N(Parameter!$M$21)))</f>
        <v>0.0384615384615385</v>
      </c>
      <c r="AT357" s="62" t="n">
        <f aca="false">AS357*CC357</f>
        <v>5.96153846153846</v>
      </c>
      <c r="AU357" s="63" t="n">
        <f aca="false">IF(LEFT(Cockpit!$I$5,1)="A",H357,IF(CI357=1,(CL357+CJ357)/2,IF(LEFT(Cockpit!$I$5,1)="B",(CL357+AW357)/2,MAX((CL357+AW357)/2,H357))))</f>
        <v>224</v>
      </c>
      <c r="AV357" s="62" t="n">
        <f aca="false">AU357*G357</f>
        <v>1800.96</v>
      </c>
      <c r="AW357" s="62" t="n">
        <f aca="false">ROUNDUP(CL357+MAX(CM357,2*(J357/IF(CH357&gt;0,CH357,MAX(0.1,N(Cockpit!$I$6)))-CL357)),0)</f>
        <v>409</v>
      </c>
      <c r="AX357" s="63" t="n">
        <f aca="false">IF(AT357&gt;0,J357/AT357,-1)</f>
        <v>112.722580645161</v>
      </c>
      <c r="AY357" s="63" t="n">
        <f aca="false">IF(AND(OR(CG357="L1",CG357="L23",CG357="LIFT"),AT357&gt;0),SUMIFS($AT$7:$AT$1843,$CG$7:$CG$1843,CG357,$AX$7:$AX$1843,"&gt;"&amp;AX357)+SUMIFS($AT$7:$AT$1843,$CG$7:$CG$1843,CG357,$AX$7:$AX$1843,AX357,$BX$7:$BX$1843,"&lt;="&amp;BX357),"")</f>
        <v>820.428571428571</v>
      </c>
      <c r="AZ357" s="70" t="n">
        <f aca="false">IF(AY357="",0,MAX(0,MIN(1,(IF(CG357="L1",Parameter!$H$5,IF(CG357="L23",Parameter!$H$6+Parameter!$H$7,Parameter!$H$5+Parameter!$H$6+Parameter!$H$7))-(AY357-AT357))/AT357)))</f>
        <v>1</v>
      </c>
      <c r="BA357" s="62" t="n">
        <f aca="false">IF(LEFT(Cockpit!$O$5,1)="A",H357,IF(Parameter!$E$30="MAX-Bestand",IF(CI357=1,CJ357,IF(LEFT(Cockpit!$O$5,1)="B",BG357,MAX(BG357,H357))),ROUNDUP(BE357,0)))</f>
        <v>168</v>
      </c>
      <c r="BB357" s="62" t="n">
        <f aca="false">IF(CA357=1,0,ROUNDUP(BA357/BZ357,0))</f>
        <v>1</v>
      </c>
      <c r="BC357" s="64" t="n">
        <f aca="false">IF(CR357&gt;0,CR357*MAX(1,BA357/X357),IF(CA357=1,IF(BA357&lt;=0,0,CE357*MAX(1,IF(H357&gt;0,BA357/H357,1))),IF(R357&gt;0,BB357/R357,0))/MAX(0.1,N(Parameter!$M$21)))</f>
        <v>0.0384615384615385</v>
      </c>
      <c r="BD357" s="62" t="n">
        <f aca="false">BC357*CC357</f>
        <v>5.96153846153846</v>
      </c>
      <c r="BE357" s="63" t="n">
        <f aca="false">IF(LEFT(Cockpit!$O$5,1)="A",H357,IF(CI357=1,(CL357+CJ357)/2,IF(LEFT(Cockpit!$O$5,1)="B",(CL357+BG357)/2,MAX((CL357+BG357)/2,H357))))</f>
        <v>168</v>
      </c>
      <c r="BF357" s="62" t="n">
        <f aca="false">BE357*G357</f>
        <v>1350.72</v>
      </c>
      <c r="BG357" s="62" t="n">
        <f aca="false">ROUNDUP(CL357+MAX(CM357,2*(J357/IF(CH357&gt;0,CH357,MAX(0.1,N(Cockpit!$O$6)))-CL357)),0)</f>
        <v>297</v>
      </c>
      <c r="BH357" s="63" t="n">
        <f aca="false">IF(BD357&gt;0,J357/BD357,-1)</f>
        <v>112.722580645161</v>
      </c>
      <c r="BI357" s="63" t="n">
        <f aca="false">IF(AND(OR(CG357="L1",CG357="L23",CG357="LIFT"),BD357&gt;0),SUMIFS($BD$7:$BD$1843,$CG$7:$CG$1843,CG357,$BH$7:$BH$1843,"&gt;"&amp;BH357)+SUMIFS($BD$7:$BD$1843,$CG$7:$CG$1843,CG357,$BH$7:$BH$1843,BH357,$BX$7:$BX$1843,"&lt;="&amp;BX357),"")</f>
        <v>876.54304029304</v>
      </c>
      <c r="BJ357" s="70" t="n">
        <f aca="false">IF(BI357="",0,MAX(0,MIN(1,(IF(CG357="L1",Parameter!$H$5,IF(CG357="L23",Parameter!$H$6+Parameter!$H$7,Parameter!$H$5+Parameter!$H$6+Parameter!$H$7))-(BI357-BD357))/BD357)))</f>
        <v>1</v>
      </c>
      <c r="BK357" s="60" t="str">
        <f aca="false">IF(AJ357&lt;=0,"",IF(CG357="Aussen","Aussenlager",IF(CG357="-","Nicht im Lift",IF(AP357&gt;=1,"Lift",IF(AP357&lt;=0,"Aussenlager","teilweise")))))</f>
        <v>Lift</v>
      </c>
      <c r="BL357" s="60" t="str">
        <f aca="false">IF(AT357&lt;=0,"",IF(CG357="Aussen","Aussenlager",IF(CG357="-","Nicht im Lift",IF(AZ357&gt;=1,"Lift",IF(AZ357&lt;=0,"Aussenlager","teilweise")))))</f>
        <v>Lift</v>
      </c>
      <c r="BM357" s="60" t="str">
        <f aca="false">IF(BD357&lt;=0,"",IF(CG357="Aussen","Aussenlager",IF(CG357="-","Nicht im Lift",IF(BJ357&gt;=1,"Lift",IF(BJ357&lt;=0,"Aussenlager","teilweise")))))</f>
        <v>Lift</v>
      </c>
      <c r="BN357" s="60" t="str">
        <f aca="false">IF(A357="","",IF(BW357=1,"Neu; ","")&amp;IF(AND(BW357=0,BR357&lt;0),"negativer Bestand (Export "&amp;BR357&amp;"); ","")&amp;IF(J357&lt;=0,"Kein Verbrauch; ","")&amp;IF(CR357&gt;0,"Lift "&amp;W357&amp;" lt. Liftbericht (Fach "&amp;X357&amp;" Stk); ",IF(CB357=1,"Gebinde geschätzt ("&amp;T357&amp;"); ",IF(CA357=1,"Lose – Tablare geschätzt; ","")))&amp;IF(H357&gt;AW357,"Überbestand "&amp;ROUND(H357-AW357,0)&amp;" Stk / CHF "&amp;ROUND((H357-AW357)*G357,0)&amp;"; ","")&amp;IF(AND(CI357=1,CJ357&lt;CK357),"MAX &lt; MB+LG; ","")&amp;IF(AND(CQ357&gt;0,CP357*10&gt;CQ357),"zu hoch für Tablar; ","")&amp;IF(AND(BW357=0,OR(CI357=1,AB357&lt;&gt;"",U357&lt;&gt;"",V357&lt;&gt;"",AC357&lt;&gt;"")),"manuell übersteuert; ","")&amp;IF(AND(CA357=0,R357=0),"Gebinde unbekannt / Stellmass fehlt; ","")&amp;IF(AND(CA357=0,N(V357)&lt;=0,N(Q357)&lt;=0),"Menge pro Gebinde fehlt (Ist = 1 Gebinde); ","")&amp;BV357)</f>
        <v/>
      </c>
      <c r="BO357" s="60"/>
      <c r="BP357" s="60"/>
      <c r="BQ357" s="67"/>
      <c r="BR357" s="62" t="n">
        <v>25</v>
      </c>
      <c r="BS357" s="62" t="n">
        <v>92</v>
      </c>
      <c r="BT357" s="61" t="n">
        <v>170.599999999999</v>
      </c>
      <c r="BU357" s="62" t="n">
        <v>672</v>
      </c>
      <c r="BV357" s="60"/>
      <c r="BW357" s="65" t="n">
        <v>0</v>
      </c>
      <c r="BX357" s="65" t="n">
        <v>357</v>
      </c>
      <c r="BY357" s="60" t="str">
        <f aca="false">IF(U357&lt;&gt;"",UPPER(TRIM(U357)),IF(CB357=1,UPPER(VLOOKUP(T357,Parameter!$I$27:$K$29,2,0)),IF(P357="","LOSE",P357)))</f>
        <v>S51</v>
      </c>
      <c r="BZ357" s="62" t="n">
        <f aca="false">IF(BY357="LOSE",1,IF(N(V357)&gt;0,V357,IF(CB357=1,MAX(1,N(VLOOKUP(T357,Parameter!$I$27:$K$29,3,0)),H357,N(N357)),IF(N(Q357)&gt;0,Q357,MAX(1,H357)))))</f>
        <v>266</v>
      </c>
      <c r="CA357" s="65" t="n">
        <f aca="false">IF(BY357="LOSE",1,0)</f>
        <v>0</v>
      </c>
      <c r="CB357" s="65" t="n">
        <f aca="false">IF(AND(U357="",OR(P357="",P357="LOSE"),T357&lt;&gt;"",N(S357)&lt;=0,ISNUMBER(MATCH(T357,Parameter!$I$27:$I$29,0))),1,0)</f>
        <v>0</v>
      </c>
      <c r="CC357" s="65" t="n">
        <f aca="false">IF(CR357&gt;0,INDEX(Parameter!$H$5:$H$7,W357)/INDEX(Parameter!$E$5:$E$7,W357),IF(AND(CA357=0,N(IFERROR(VLOOKUP(BY357,'Gebinde-Kategorie'!$A$5:$N$45,14,0),0))&gt;0),VLOOKUP(BY357,'Gebinde-Kategorie'!$A$5:$N$45,14,0)*10+Parameter!$M$23,Parameter!$M$24))</f>
        <v>155</v>
      </c>
      <c r="CD357" s="60" t="str">
        <f aca="false">IF(AND(Parameter!$B$19="Ja",E357&lt;&gt;"",ISNUMBER(MATCH(E357,Parameter!$I$35:$I$52,0))),VLOOKUP(E357,Parameter!$I$35:$J$52,2,0),IFERROR(VLOOKUP(D357,Parameter!$A$35:$C$64,2,0),"Nein"))</f>
        <v>2+3</v>
      </c>
      <c r="CE357" s="64" t="n">
        <f aca="false">IF(CA357=0,0,IF(N(S357)&gt;0,S357,IFERROR(VLOOKUP(D357,Parameter!$A$35:$C$64,3,0)+0,0)))</f>
        <v>0</v>
      </c>
      <c r="CF357" s="60" t="n">
        <f aca="false">IF(AB357&lt;&gt;"",AB357,AA357)</f>
        <v>3</v>
      </c>
      <c r="CG357" s="60" t="str">
        <f aca="false">IF(OR(CF357=1,CF357=2,CF357=3),IF(Parameter!$E$27="Ja","LIFT",IF(CF357=1,"L1","L23")),IF(CF357="Aussen","Aussen","-"))</f>
        <v>LIFT</v>
      </c>
      <c r="CH357" s="71" t="n">
        <f aca="false">IF(N(AC357)&gt;0,AC357,0)</f>
        <v>0</v>
      </c>
      <c r="CI357" s="65" t="n">
        <f aca="false">IF(ISNUMBER(AF357),1,0)</f>
        <v>0</v>
      </c>
      <c r="CJ357" s="62" t="n">
        <f aca="false">N(AF357)</f>
        <v>0</v>
      </c>
      <c r="CK357" s="62" t="n">
        <f aca="false">N(M357)+N(N357)</f>
        <v>189</v>
      </c>
      <c r="CL357" s="62" t="n">
        <f aca="false">N(M357)</f>
        <v>39</v>
      </c>
      <c r="CM357" s="62" t="n">
        <f aca="false">N(N357)</f>
        <v>150</v>
      </c>
      <c r="CN357" s="62" t="n">
        <f aca="false">ROUNDUP(H357/BZ357,0)</f>
        <v>1</v>
      </c>
      <c r="CO357" s="62" t="n">
        <f aca="false">ROUNDUP(CJ357/BZ357,0)</f>
        <v>0</v>
      </c>
      <c r="CP357" s="65" t="n">
        <f aca="false">IF(CA357=1,0,IFERROR(VLOOKUP(BY357,'Gebinde-Kategorie'!$A$5:$N$45,5,0)+0,0))</f>
        <v>11</v>
      </c>
      <c r="CQ357" s="65" t="n">
        <f aca="false">IFERROR(IF(OR(CF357=1,CF357=2,CF357=3),N(INDEX(Parameter!$I$5:$I$7,CF357)),0),0)</f>
        <v>0</v>
      </c>
      <c r="CR357" s="64" t="n">
        <f aca="false">IF(AND(Parameter!$B$21="Ja",ISNUMBER(W357),N(X357)&gt;0),IFERROR(N(INDEX(Parameter!$L$5:$L$7,W357))*INDEX(Parameter!$E$5:$E$7,W357)*X357/SUMIFS($X$7:$X$1843,$W$7:$W$1843,W357),0),0)</f>
        <v>0</v>
      </c>
      <c r="CS357" s="62" t="n">
        <f aca="false">IF(AND(OR(CG357="L1",CG357="L23",CG357="LIFT"),H357&gt;0),CC357*IF(CR357&gt;0,CR357*MAX(1,H357/X357),IF(CA357=1,CE357,IF(R357&gt;0,CN357/R357,0))/MAX(0.1,N(Parameter!$M$21))),"")</f>
        <v>5.96153846153846</v>
      </c>
      <c r="CT357" s="64" t="n">
        <f aca="false">IF(CS357="","",J357/H357)</f>
        <v>5.74358974358974</v>
      </c>
      <c r="CU357" s="62" t="n">
        <f aca="false">IF(CS357="","",H357*G357)</f>
        <v>940.68</v>
      </c>
      <c r="CV357" s="63" t="n">
        <f aca="false">IF(CS357="","",(CL357+ROUNDUP(CL357+MAX(CM357,2*(J357/MAX(0.1,N(Einkauf!$C$6))-CL357)),0))/2)</f>
        <v>168</v>
      </c>
      <c r="CW357" s="62" t="n">
        <f aca="false">IF(CS357="","",MAX(0,H357-CV357)*G357)</f>
        <v>0</v>
      </c>
      <c r="CX357" s="62" t="n">
        <f aca="false">IF(CS357="","",CS357*MAX(0,1-CV357/H357))</f>
        <v>0</v>
      </c>
      <c r="CY357" s="64" t="n">
        <f aca="false">IF(CS357="","",PERCENTRANK($CS$7:$CS$1843,CS357)+PERCENTRANK($CU$7:$CU$1843,CU357)+1-PERCENTRANK($CT$7:$CT$1843,CT357))</f>
        <v>1.027</v>
      </c>
      <c r="CZ357" s="72" t="n">
        <f aca="false">IF(CS357="","",CHOOSE(MATCH(Einkauf!$C$5,Parameter!$G$23:$G$27,0),CY357,CS357,CU357,-CT357,CW357)+ROW()/1000000000)</f>
        <v>1.027000357</v>
      </c>
    </row>
    <row r="358" customFormat="false" ht="15" hidden="false" customHeight="false" outlineLevel="0" collapsed="false">
      <c r="A358" s="60" t="s">
        <v>911</v>
      </c>
      <c r="B358" s="60" t="s">
        <v>679</v>
      </c>
      <c r="C358" s="60" t="s">
        <v>206</v>
      </c>
      <c r="D358" s="60" t="s">
        <v>226</v>
      </c>
      <c r="E358" s="60" t="s">
        <v>227</v>
      </c>
      <c r="F358" s="60" t="s">
        <v>260</v>
      </c>
      <c r="G358" s="61" t="n">
        <v>5.65</v>
      </c>
      <c r="H358" s="62" t="n">
        <f aca="false">MAX(0,IF(AND(Parameter!$B$21="Ja",ISNUMBER(Y358)),Y358,IF(Parameter!$B$20="Jahresanfang 2025 + Export",BS358+BR358,BR358)))</f>
        <v>133</v>
      </c>
      <c r="I358" s="62" t="n">
        <f aca="false">H358*G358</f>
        <v>751.45</v>
      </c>
      <c r="J358" s="62" t="n">
        <f aca="false">BU358*Parameter!$B$18</f>
        <v>18</v>
      </c>
      <c r="K358" s="63" t="n">
        <v>122.5</v>
      </c>
      <c r="L358" s="64" t="n">
        <v>0.146938775510204</v>
      </c>
      <c r="M358" s="62" t="n">
        <v>3</v>
      </c>
      <c r="N358" s="62" t="n">
        <v>20</v>
      </c>
      <c r="O358" s="65" t="n">
        <v>63</v>
      </c>
      <c r="P358" s="60" t="s">
        <v>275</v>
      </c>
      <c r="Q358" s="62" t="n">
        <v>110</v>
      </c>
      <c r="R358" s="65" t="n">
        <f aca="false">IF(CA358=1,0,IFERROR(VLOOKUP(BY358,'Gebinde-Kategorie'!$A$5:$N$45,13,0)+0,0))</f>
        <v>26</v>
      </c>
      <c r="S358" s="66"/>
      <c r="T358" s="67"/>
      <c r="U358" s="67"/>
      <c r="V358" s="67"/>
      <c r="W358" s="60"/>
      <c r="X358" s="62"/>
      <c r="Y358" s="62"/>
      <c r="Z358" s="60" t="n">
        <v>3</v>
      </c>
      <c r="AA358" s="60" t="n">
        <f aca="false">IF(A358="","",IF(AND(Parameter!$B$21="Ja",ISNUMBER(W358)),W358,IF(AND(Parameter!$E$27="Ja",ISNUMBER(Z358),CD358&lt;&gt;"Nein"),Z358,IF(CD358="2+3",IF(ISNUMBER(SEARCH("grosser Artikel",BV358)),2,IFERROR(VLOOKUP(BY358,Parameter!$F$35:$G$64,2,0),2)),IF(OR(CD358="Nein",CD358=""),"-",CD358)))))</f>
        <v>3</v>
      </c>
      <c r="AB358" s="67"/>
      <c r="AC358" s="68"/>
      <c r="AD358" s="62" t="n">
        <f aca="false">AW358</f>
        <v>23</v>
      </c>
      <c r="AE358" s="62" t="n">
        <f aca="false">MAX(AW358,H358)</f>
        <v>133</v>
      </c>
      <c r="AF358" s="69"/>
      <c r="AG358" s="62" t="n">
        <f aca="false">IF(LEFT(Cockpit!$C$5,1)="A",H358,IF(Parameter!$E$30="MAX-Bestand",IF(CI358=1,CJ358,IF(LEFT(Cockpit!$C$5,1)="B",AM358,MAX(AM358,H358))),ROUNDUP(AK358,0)))</f>
        <v>133</v>
      </c>
      <c r="AH358" s="62" t="n">
        <f aca="false">IF(CA358=1,0,ROUNDUP(AG358/BZ358,0))</f>
        <v>2</v>
      </c>
      <c r="AI358" s="64" t="n">
        <f aca="false">IF(CR358&gt;0,CR358*MAX(1,AG358/X358),IF(CA358=1,IF(AG358&lt;=0,0,CE358*MAX(1,IF(H358&gt;0,AG358/H358,1))),IF(R358&gt;0,AH358/R358,0))/MAX(0.1,N(Parameter!$M$21)))</f>
        <v>0.0769230769230769</v>
      </c>
      <c r="AJ358" s="62" t="n">
        <f aca="false">AI358*CC358</f>
        <v>18.8461538461538</v>
      </c>
      <c r="AK358" s="63" t="n">
        <f aca="false">IF(LEFT(Cockpit!$C$5,1)="A",H358,IF(CI358=1,(CL358+CJ358)/2,IF(LEFT(Cockpit!$C$5,1)="B",(CL358+AM358)/2,MAX((CL358+AM358)/2,H358))))</f>
        <v>133</v>
      </c>
      <c r="AL358" s="62" t="n">
        <f aca="false">AK358*G358</f>
        <v>751.45</v>
      </c>
      <c r="AM358" s="62" t="n">
        <f aca="false">ROUNDUP(CL358+MAX(CM358,2*(J358/IF(CH358&gt;0,CH358,MAX(0.1,N(Cockpit!$C$6)))-CL358)),0)</f>
        <v>23</v>
      </c>
      <c r="AN358" s="63" t="n">
        <f aca="false">IF(AJ358&gt;0,J358/AJ358,-1)</f>
        <v>0.955102040816327</v>
      </c>
      <c r="AO358" s="63" t="n">
        <f aca="false">IF(AND(OR(CG358="L1",CG358="L23",CG358="LIFT"),AJ358&gt;0),SUMIFS($AJ$7:$AJ$1843,$CG$7:$CG$1843,CG358,$AN$7:$AN$1843,"&gt;"&amp;AN358)+SUMIFS($AJ$7:$AJ$1843,$CG$7:$CG$1843,CG358,$AN$7:$AN$1843,AN358,$BX$7:$BX$1843,"&lt;="&amp;BX358),"")</f>
        <v>7245.12225274725</v>
      </c>
      <c r="AP358" s="70" t="n">
        <f aca="false">IF(AO358="",0,MAX(0,MIN(1,(IF(CG358="L1",Parameter!$H$5,IF(CG358="L23",Parameter!$H$6+Parameter!$H$7,Parameter!$H$5+Parameter!$H$6+Parameter!$H$7))-(AO358-AJ358))/AJ358)))</f>
        <v>1</v>
      </c>
      <c r="AQ358" s="62" t="n">
        <f aca="false">IF(LEFT(Cockpit!$I$5,1)="A",H358,IF(Parameter!$E$30="MAX-Bestand",IF(CI358=1,CJ358,IF(LEFT(Cockpit!$I$5,1)="B",AW358,MAX(AW358,H358))),ROUNDUP(AU358,0)))</f>
        <v>133</v>
      </c>
      <c r="AR358" s="62" t="n">
        <f aca="false">IF(CA358=1,0,ROUNDUP(AQ358/BZ358,0))</f>
        <v>2</v>
      </c>
      <c r="AS358" s="64" t="n">
        <f aca="false">IF(CR358&gt;0,CR358*MAX(1,AQ358/X358),IF(CA358=1,IF(AQ358&lt;=0,0,CE358*MAX(1,IF(H358&gt;0,AQ358/H358,1))),IF(R358&gt;0,AR358/R358,0))/MAX(0.1,N(Parameter!$M$21)))</f>
        <v>0.0769230769230769</v>
      </c>
      <c r="AT358" s="62" t="n">
        <f aca="false">AS358*CC358</f>
        <v>18.8461538461538</v>
      </c>
      <c r="AU358" s="63" t="n">
        <f aca="false">IF(LEFT(Cockpit!$I$5,1)="A",H358,IF(CI358=1,(CL358+CJ358)/2,IF(LEFT(Cockpit!$I$5,1)="B",(CL358+AW358)/2,MAX((CL358+AW358)/2,H358))))</f>
        <v>133</v>
      </c>
      <c r="AV358" s="62" t="n">
        <f aca="false">AU358*G358</f>
        <v>751.45</v>
      </c>
      <c r="AW358" s="62" t="n">
        <f aca="false">ROUNDUP(CL358+MAX(CM358,2*(J358/IF(CH358&gt;0,CH358,MAX(0.1,N(Cockpit!$I$6)))-CL358)),0)</f>
        <v>23</v>
      </c>
      <c r="AX358" s="63" t="n">
        <f aca="false">IF(AT358&gt;0,J358/AT358,-1)</f>
        <v>0.955102040816327</v>
      </c>
      <c r="AY358" s="63" t="n">
        <f aca="false">IF(AND(OR(CG358="L1",CG358="L23",CG358="LIFT"),AT358&gt;0),SUMIFS($AT$7:$AT$1843,$CG$7:$CG$1843,CG358,$AX$7:$AX$1843,"&gt;"&amp;AX358)+SUMIFS($AT$7:$AT$1843,$CG$7:$CG$1843,CG358,$AX$7:$AX$1843,AX358,$BX$7:$BX$1843,"&lt;="&amp;BX358),"")</f>
        <v>8616.80586080586</v>
      </c>
      <c r="AZ358" s="70" t="n">
        <f aca="false">IF(AY358="",0,MAX(0,MIN(1,(IF(CG358="L1",Parameter!$H$5,IF(CG358="L23",Parameter!$H$6+Parameter!$H$7,Parameter!$H$5+Parameter!$H$6+Parameter!$H$7))-(AY358-AT358))/AT358)))</f>
        <v>1</v>
      </c>
      <c r="BA358" s="62" t="n">
        <f aca="false">IF(LEFT(Cockpit!$O$5,1)="A",H358,IF(Parameter!$E$30="MAX-Bestand",IF(CI358=1,CJ358,IF(LEFT(Cockpit!$O$5,1)="B",BG358,MAX(BG358,H358))),ROUNDUP(BE358,0)))</f>
        <v>13</v>
      </c>
      <c r="BB358" s="62" t="n">
        <f aca="false">IF(CA358=1,0,ROUNDUP(BA358/BZ358,0))</f>
        <v>1</v>
      </c>
      <c r="BC358" s="64" t="n">
        <f aca="false">IF(CR358&gt;0,CR358*MAX(1,BA358/X358),IF(CA358=1,IF(BA358&lt;=0,0,CE358*MAX(1,IF(H358&gt;0,BA358/H358,1))),IF(R358&gt;0,BB358/R358,0))/MAX(0.1,N(Parameter!$M$21)))</f>
        <v>0.0384615384615385</v>
      </c>
      <c r="BD358" s="62" t="n">
        <f aca="false">BC358*CC358</f>
        <v>9.42307692307692</v>
      </c>
      <c r="BE358" s="63" t="n">
        <f aca="false">IF(LEFT(Cockpit!$O$5,1)="A",H358,IF(CI358=1,(CL358+CJ358)/2,IF(LEFT(Cockpit!$O$5,1)="B",(CL358+BG358)/2,MAX((CL358+BG358)/2,H358))))</f>
        <v>13</v>
      </c>
      <c r="BF358" s="62" t="n">
        <f aca="false">BE358*G358</f>
        <v>73.45</v>
      </c>
      <c r="BG358" s="62" t="n">
        <f aca="false">ROUNDUP(CL358+MAX(CM358,2*(J358/IF(CH358&gt;0,CH358,MAX(0.1,N(Cockpit!$O$6)))-CL358)),0)</f>
        <v>23</v>
      </c>
      <c r="BH358" s="63" t="n">
        <f aca="false">IF(BD358&gt;0,J358/BD358,-1)</f>
        <v>1.91020408163265</v>
      </c>
      <c r="BI358" s="63" t="n">
        <f aca="false">IF(AND(OR(CG358="L1",CG358="L23",CG358="LIFT"),BD358&gt;0),SUMIFS($BD$7:$BD$1843,$CG$7:$CG$1843,CG358,$BH$7:$BH$1843,"&gt;"&amp;BH358)+SUMIFS($BD$7:$BD$1843,$CG$7:$CG$1843,CG358,$BH$7:$BH$1843,BH358,$BX$7:$BX$1843,"&lt;="&amp;BX358),"")</f>
        <v>6007.89743589744</v>
      </c>
      <c r="BJ358" s="70" t="n">
        <f aca="false">IF(BI358="",0,MAX(0,MIN(1,(IF(CG358="L1",Parameter!$H$5,IF(CG358="L23",Parameter!$H$6+Parameter!$H$7,Parameter!$H$5+Parameter!$H$6+Parameter!$H$7))-(BI358-BD358))/BD358)))</f>
        <v>1</v>
      </c>
      <c r="BK358" s="60" t="str">
        <f aca="false">IF(AJ358&lt;=0,"",IF(CG358="Aussen","Aussenlager",IF(CG358="-","Nicht im Lift",IF(AP358&gt;=1,"Lift",IF(AP358&lt;=0,"Aussenlager","teilweise")))))</f>
        <v>Lift</v>
      </c>
      <c r="BL358" s="60" t="str">
        <f aca="false">IF(AT358&lt;=0,"",IF(CG358="Aussen","Aussenlager",IF(CG358="-","Nicht im Lift",IF(AZ358&gt;=1,"Lift",IF(AZ358&lt;=0,"Aussenlager","teilweise")))))</f>
        <v>Lift</v>
      </c>
      <c r="BM358" s="60" t="str">
        <f aca="false">IF(BD358&lt;=0,"",IF(CG358="Aussen","Aussenlager",IF(CG358="-","Nicht im Lift",IF(BJ358&gt;=1,"Lift",IF(BJ358&lt;=0,"Aussenlager","teilweise")))))</f>
        <v>Lift</v>
      </c>
      <c r="BN358" s="60" t="str">
        <f aca="false">IF(A358="","",IF(BW358=1,"Neu; ","")&amp;IF(AND(BW358=0,BR358&lt;0),"negativer Bestand (Export "&amp;BR358&amp;"); ","")&amp;IF(J358&lt;=0,"Kein Verbrauch; ","")&amp;IF(CR358&gt;0,"Lift "&amp;W358&amp;" lt. Liftbericht (Fach "&amp;X358&amp;" Stk); ",IF(CB358=1,"Gebinde geschätzt ("&amp;T358&amp;"); ",IF(CA358=1,"Lose – Tablare geschätzt; ","")))&amp;IF(H358&gt;AW358,"Überbestand "&amp;ROUND(H358-AW358,0)&amp;" Stk / CHF "&amp;ROUND((H358-AW358)*G358,0)&amp;"; ","")&amp;IF(AND(CI358=1,CJ358&lt;CK358),"MAX &lt; MB+LG; ","")&amp;IF(AND(CQ358&gt;0,CP358*10&gt;CQ358),"zu hoch für Tablar; ","")&amp;IF(AND(BW358=0,OR(CI358=1,AB358&lt;&gt;"",U358&lt;&gt;"",V358&lt;&gt;"",AC358&lt;&gt;"")),"manuell übersteuert; ","")&amp;IF(AND(CA358=0,R358=0),"Gebinde unbekannt / Stellmass fehlt; ","")&amp;IF(AND(CA358=0,N(V358)&lt;=0,N(Q358)&lt;=0),"Menge pro Gebinde fehlt (Ist = 1 Gebinde); ","")&amp;BV358)</f>
        <v>Überbestand 110 Stk / CHF 622; </v>
      </c>
      <c r="BO358" s="60"/>
      <c r="BP358" s="60"/>
      <c r="BQ358" s="67"/>
      <c r="BR358" s="62" t="n">
        <v>30</v>
      </c>
      <c r="BS358" s="62" t="n">
        <v>103</v>
      </c>
      <c r="BT358" s="61" t="n">
        <v>169.5</v>
      </c>
      <c r="BU358" s="62" t="n">
        <v>18</v>
      </c>
      <c r="BV358" s="60"/>
      <c r="BW358" s="65" t="n">
        <v>0</v>
      </c>
      <c r="BX358" s="65" t="n">
        <v>358</v>
      </c>
      <c r="BY358" s="60" t="str">
        <f aca="false">IF(U358&lt;&gt;"",UPPER(TRIM(U358)),IF(CB358=1,UPPER(VLOOKUP(T358,Parameter!$I$27:$K$29,2,0)),IF(P358="","LOSE",P358)))</f>
        <v>S52</v>
      </c>
      <c r="BZ358" s="62" t="n">
        <f aca="false">IF(BY358="LOSE",1,IF(N(V358)&gt;0,V358,IF(CB358=1,MAX(1,N(VLOOKUP(T358,Parameter!$I$27:$K$29,3,0)),H358,N(N358)),IF(N(Q358)&gt;0,Q358,MAX(1,H358)))))</f>
        <v>110</v>
      </c>
      <c r="CA358" s="65" t="n">
        <f aca="false">IF(BY358="LOSE",1,0)</f>
        <v>0</v>
      </c>
      <c r="CB358" s="65" t="n">
        <f aca="false">IF(AND(U358="",OR(P358="",P358="LOSE"),T358&lt;&gt;"",N(S358)&lt;=0,ISNUMBER(MATCH(T358,Parameter!$I$27:$I$29,0))),1,0)</f>
        <v>0</v>
      </c>
      <c r="CC358" s="65" t="n">
        <f aca="false">IF(CR358&gt;0,INDEX(Parameter!$H$5:$H$7,W358)/INDEX(Parameter!$E$5:$E$7,W358),IF(AND(CA358=0,N(IFERROR(VLOOKUP(BY358,'Gebinde-Kategorie'!$A$5:$N$45,14,0),0))&gt;0),VLOOKUP(BY358,'Gebinde-Kategorie'!$A$5:$N$45,14,0)*10+Parameter!$M$23,Parameter!$M$24))</f>
        <v>245</v>
      </c>
      <c r="CD358" s="60" t="str">
        <f aca="false">IF(AND(Parameter!$B$19="Ja",E358&lt;&gt;"",ISNUMBER(MATCH(E358,Parameter!$I$35:$I$52,0))),VLOOKUP(E358,Parameter!$I$35:$J$52,2,0),IFERROR(VLOOKUP(D358,Parameter!$A$35:$C$64,2,0),"Nein"))</f>
        <v>2+3</v>
      </c>
      <c r="CE358" s="64" t="n">
        <f aca="false">IF(CA358=0,0,IF(N(S358)&gt;0,S358,IFERROR(VLOOKUP(D358,Parameter!$A$35:$C$64,3,0)+0,0)))</f>
        <v>0</v>
      </c>
      <c r="CF358" s="60" t="n">
        <f aca="false">IF(AB358&lt;&gt;"",AB358,AA358)</f>
        <v>3</v>
      </c>
      <c r="CG358" s="60" t="str">
        <f aca="false">IF(OR(CF358=1,CF358=2,CF358=3),IF(Parameter!$E$27="Ja","LIFT",IF(CF358=1,"L1","L23")),IF(CF358="Aussen","Aussen","-"))</f>
        <v>LIFT</v>
      </c>
      <c r="CH358" s="71" t="n">
        <f aca="false">IF(N(AC358)&gt;0,AC358,0)</f>
        <v>0</v>
      </c>
      <c r="CI358" s="65" t="n">
        <f aca="false">IF(ISNUMBER(AF358),1,0)</f>
        <v>0</v>
      </c>
      <c r="CJ358" s="62" t="n">
        <f aca="false">N(AF358)</f>
        <v>0</v>
      </c>
      <c r="CK358" s="62" t="n">
        <f aca="false">N(M358)+N(N358)</f>
        <v>23</v>
      </c>
      <c r="CL358" s="62" t="n">
        <f aca="false">N(M358)</f>
        <v>3</v>
      </c>
      <c r="CM358" s="62" t="n">
        <f aca="false">N(N358)</f>
        <v>20</v>
      </c>
      <c r="CN358" s="62" t="n">
        <f aca="false">ROUNDUP(H358/BZ358,0)</f>
        <v>2</v>
      </c>
      <c r="CO358" s="62" t="n">
        <f aca="false">ROUNDUP(CJ358/BZ358,0)</f>
        <v>0</v>
      </c>
      <c r="CP358" s="65" t="n">
        <f aca="false">IF(CA358=1,0,IFERROR(VLOOKUP(BY358,'Gebinde-Kategorie'!$A$5:$N$45,5,0)+0,0))</f>
        <v>21</v>
      </c>
      <c r="CQ358" s="65" t="n">
        <f aca="false">IFERROR(IF(OR(CF358=1,CF358=2,CF358=3),N(INDEX(Parameter!$I$5:$I$7,CF358)),0),0)</f>
        <v>0</v>
      </c>
      <c r="CR358" s="64" t="n">
        <f aca="false">IF(AND(Parameter!$B$21="Ja",ISNUMBER(W358),N(X358)&gt;0),IFERROR(N(INDEX(Parameter!$L$5:$L$7,W358))*INDEX(Parameter!$E$5:$E$7,W358)*X358/SUMIFS($X$7:$X$1843,$W$7:$W$1843,W358),0),0)</f>
        <v>0</v>
      </c>
      <c r="CS358" s="62" t="n">
        <f aca="false">IF(AND(OR(CG358="L1",CG358="L23",CG358="LIFT"),H358&gt;0),CC358*IF(CR358&gt;0,CR358*MAX(1,H358/X358),IF(CA358=1,CE358,IF(R358&gt;0,CN358/R358,0))/MAX(0.1,N(Parameter!$M$21))),"")</f>
        <v>18.8461538461538</v>
      </c>
      <c r="CT358" s="64" t="n">
        <f aca="false">IF(CS358="","",J358/H358)</f>
        <v>0.135338345864662</v>
      </c>
      <c r="CU358" s="62" t="n">
        <f aca="false">IF(CS358="","",H358*G358)</f>
        <v>751.45</v>
      </c>
      <c r="CV358" s="63" t="n">
        <f aca="false">IF(CS358="","",(CL358+ROUNDUP(CL358+MAX(CM358,2*(J358/MAX(0.1,N(Einkauf!$C$6))-CL358)),0))/2)</f>
        <v>13</v>
      </c>
      <c r="CW358" s="62" t="n">
        <f aca="false">IF(CS358="","",MAX(0,H358-CV358)*G358)</f>
        <v>678</v>
      </c>
      <c r="CX358" s="62" t="n">
        <f aca="false">IF(CS358="","",CS358*MAX(0,1-CV358/H358))</f>
        <v>17.004048582996</v>
      </c>
      <c r="CY358" s="64" t="n">
        <f aca="false">IF(CS358="","",PERCENTRANK($CS$7:$CS$1843,CS358)+PERCENTRANK($CU$7:$CU$1843,CU358)+1-PERCENTRANK($CT$7:$CT$1843,CT358))</f>
        <v>1.913</v>
      </c>
      <c r="CZ358" s="72" t="n">
        <f aca="false">IF(CS358="","",CHOOSE(MATCH(Einkauf!$C$5,Parameter!$G$23:$G$27,0),CY358,CS358,CU358,-CT358,CW358)+ROW()/1000000000)</f>
        <v>1.913000358</v>
      </c>
    </row>
    <row r="359" customFormat="false" ht="15" hidden="false" customHeight="false" outlineLevel="0" collapsed="false">
      <c r="A359" s="60" t="s">
        <v>912</v>
      </c>
      <c r="B359" s="60" t="s">
        <v>913</v>
      </c>
      <c r="C359" s="60" t="s">
        <v>206</v>
      </c>
      <c r="D359" s="60" t="s">
        <v>226</v>
      </c>
      <c r="E359" s="60" t="s">
        <v>227</v>
      </c>
      <c r="F359" s="60" t="s">
        <v>260</v>
      </c>
      <c r="G359" s="61" t="n">
        <v>11.4</v>
      </c>
      <c r="H359" s="62" t="n">
        <f aca="false">MAX(0,IF(AND(Parameter!$B$21="Ja",ISNUMBER(Y359)),Y359,IF(Parameter!$B$20="Jahresanfang 2025 + Export",BS359+BR359,BR359)))</f>
        <v>49</v>
      </c>
      <c r="I359" s="62" t="n">
        <f aca="false">H359*G359</f>
        <v>558.6</v>
      </c>
      <c r="J359" s="62" t="n">
        <f aca="false">BU359*Parameter!$B$18</f>
        <v>57</v>
      </c>
      <c r="K359" s="63" t="n">
        <v>48</v>
      </c>
      <c r="L359" s="64" t="n">
        <v>1.1875</v>
      </c>
      <c r="M359" s="62" t="n">
        <v>4</v>
      </c>
      <c r="N359" s="62" t="n">
        <v>55</v>
      </c>
      <c r="O359" s="65" t="n">
        <v>28</v>
      </c>
      <c r="P359" s="60" t="s">
        <v>335</v>
      </c>
      <c r="Q359" s="62" t="n">
        <v>26</v>
      </c>
      <c r="R359" s="65" t="n">
        <f aca="false">IF(CA359=1,0,IFERROR(VLOOKUP(BY359,'Gebinde-Kategorie'!$A$5:$N$45,13,0)+0,0))</f>
        <v>12</v>
      </c>
      <c r="S359" s="66"/>
      <c r="T359" s="67"/>
      <c r="U359" s="67"/>
      <c r="V359" s="67"/>
      <c r="W359" s="60"/>
      <c r="X359" s="62"/>
      <c r="Y359" s="62"/>
      <c r="Z359" s="60" t="n">
        <v>3</v>
      </c>
      <c r="AA359" s="60" t="n">
        <f aca="false">IF(A359="","",IF(AND(Parameter!$B$21="Ja",ISNUMBER(W359)),W359,IF(AND(Parameter!$E$27="Ja",ISNUMBER(Z359),CD359&lt;&gt;"Nein"),Z359,IF(CD359="2+3",IF(ISNUMBER(SEARCH("grosser Artikel",BV359)),2,IFERROR(VLOOKUP(BY359,Parameter!$F$35:$G$64,2,0),2)),IF(OR(CD359="Nein",CD359=""),"-",CD359)))))</f>
        <v>3</v>
      </c>
      <c r="AB359" s="67"/>
      <c r="AC359" s="68"/>
      <c r="AD359" s="62" t="n">
        <f aca="false">AW359</f>
        <v>59</v>
      </c>
      <c r="AE359" s="62" t="n">
        <f aca="false">MAX(AW359,H359)</f>
        <v>59</v>
      </c>
      <c r="AF359" s="69"/>
      <c r="AG359" s="62" t="n">
        <f aca="false">IF(LEFT(Cockpit!$C$5,1)="A",H359,IF(Parameter!$E$30="MAX-Bestand",IF(CI359=1,CJ359,IF(LEFT(Cockpit!$C$5,1)="B",AM359,MAX(AM359,H359))),ROUNDUP(AK359,0)))</f>
        <v>49</v>
      </c>
      <c r="AH359" s="62" t="n">
        <f aca="false">IF(CA359=1,0,ROUNDUP(AG359/BZ359,0))</f>
        <v>2</v>
      </c>
      <c r="AI359" s="64" t="n">
        <f aca="false">IF(CR359&gt;0,CR359*MAX(1,AG359/X359),IF(CA359=1,IF(AG359&lt;=0,0,CE359*MAX(1,IF(H359&gt;0,AG359/H359,1))),IF(R359&gt;0,AH359/R359,0))/MAX(0.1,N(Parameter!$M$21)))</f>
        <v>0.166666666666667</v>
      </c>
      <c r="AJ359" s="62" t="n">
        <f aca="false">AI359*CC359</f>
        <v>40.8333333333333</v>
      </c>
      <c r="AK359" s="63" t="n">
        <f aca="false">IF(LEFT(Cockpit!$C$5,1)="A",H359,IF(CI359=1,(CL359+CJ359)/2,IF(LEFT(Cockpit!$C$5,1)="B",(CL359+AM359)/2,MAX((CL359+AM359)/2,H359))))</f>
        <v>49</v>
      </c>
      <c r="AL359" s="62" t="n">
        <f aca="false">AK359*G359</f>
        <v>558.6</v>
      </c>
      <c r="AM359" s="62" t="n">
        <f aca="false">ROUNDUP(CL359+MAX(CM359,2*(J359/IF(CH359&gt;0,CH359,MAX(0.1,N(Cockpit!$C$6)))-CL359)),0)</f>
        <v>59</v>
      </c>
      <c r="AN359" s="63" t="n">
        <f aca="false">IF(AJ359&gt;0,J359/AJ359,-1)</f>
        <v>1.39591836734694</v>
      </c>
      <c r="AO359" s="63" t="n">
        <f aca="false">IF(AND(OR(CG359="L1",CG359="L23",CG359="LIFT"),AJ359&gt;0),SUMIFS($AJ$7:$AJ$1843,$CG$7:$CG$1843,CG359,$AN$7:$AN$1843,"&gt;"&amp;AN359)+SUMIFS($AJ$7:$AJ$1843,$CG$7:$CG$1843,CG359,$AN$7:$AN$1843,AN359,$BX$7:$BX$1843,"&lt;="&amp;BX359),"")</f>
        <v>6290.95558608059</v>
      </c>
      <c r="AP359" s="70" t="n">
        <f aca="false">IF(AO359="",0,MAX(0,MIN(1,(IF(CG359="L1",Parameter!$H$5,IF(CG359="L23",Parameter!$H$6+Parameter!$H$7,Parameter!$H$5+Parameter!$H$6+Parameter!$H$7))-(AO359-AJ359))/AJ359)))</f>
        <v>1</v>
      </c>
      <c r="AQ359" s="62" t="n">
        <f aca="false">IF(LEFT(Cockpit!$I$5,1)="A",H359,IF(Parameter!$E$30="MAX-Bestand",IF(CI359=1,CJ359,IF(LEFT(Cockpit!$I$5,1)="B",AW359,MAX(AW359,H359))),ROUNDUP(AU359,0)))</f>
        <v>49</v>
      </c>
      <c r="AR359" s="62" t="n">
        <f aca="false">IF(CA359=1,0,ROUNDUP(AQ359/BZ359,0))</f>
        <v>2</v>
      </c>
      <c r="AS359" s="64" t="n">
        <f aca="false">IF(CR359&gt;0,CR359*MAX(1,AQ359/X359),IF(CA359=1,IF(AQ359&lt;=0,0,CE359*MAX(1,IF(H359&gt;0,AQ359/H359,1))),IF(R359&gt;0,AR359/R359,0))/MAX(0.1,N(Parameter!$M$21)))</f>
        <v>0.166666666666667</v>
      </c>
      <c r="AT359" s="62" t="n">
        <f aca="false">AS359*CC359</f>
        <v>40.8333333333333</v>
      </c>
      <c r="AU359" s="63" t="n">
        <f aca="false">IF(LEFT(Cockpit!$I$5,1)="A",H359,IF(CI359=1,(CL359+CJ359)/2,IF(LEFT(Cockpit!$I$5,1)="B",(CL359+AW359)/2,MAX((CL359+AW359)/2,H359))))</f>
        <v>49</v>
      </c>
      <c r="AV359" s="62" t="n">
        <f aca="false">AU359*G359</f>
        <v>558.6</v>
      </c>
      <c r="AW359" s="62" t="n">
        <f aca="false">ROUNDUP(CL359+MAX(CM359,2*(J359/IF(CH359&gt;0,CH359,MAX(0.1,N(Cockpit!$I$6)))-CL359)),0)</f>
        <v>59</v>
      </c>
      <c r="AX359" s="63" t="n">
        <f aca="false">IF(AT359&gt;0,J359/AT359,-1)</f>
        <v>1.39591836734694</v>
      </c>
      <c r="AY359" s="63" t="n">
        <f aca="false">IF(AND(OR(CG359="L1",CG359="L23",CG359="LIFT"),AT359&gt;0),SUMIFS($AT$7:$AT$1843,$CG$7:$CG$1843,CG359,$AX$7:$AX$1843,"&gt;"&amp;AX359)+SUMIFS($AT$7:$AT$1843,$CG$7:$CG$1843,CG359,$AX$7:$AX$1843,AX359,$BX$7:$BX$1843,"&lt;="&amp;BX359),"")</f>
        <v>7809.17765567766</v>
      </c>
      <c r="AZ359" s="70" t="n">
        <f aca="false">IF(AY359="",0,MAX(0,MIN(1,(IF(CG359="L1",Parameter!$H$5,IF(CG359="L23",Parameter!$H$6+Parameter!$H$7,Parameter!$H$5+Parameter!$H$6+Parameter!$H$7))-(AY359-AT359))/AT359)))</f>
        <v>1</v>
      </c>
      <c r="BA359" s="62" t="n">
        <f aca="false">IF(LEFT(Cockpit!$O$5,1)="A",H359,IF(Parameter!$E$30="MAX-Bestand",IF(CI359=1,CJ359,IF(LEFT(Cockpit!$O$5,1)="B",BG359,MAX(BG359,H359))),ROUNDUP(BE359,0)))</f>
        <v>32</v>
      </c>
      <c r="BB359" s="62" t="n">
        <f aca="false">IF(CA359=1,0,ROUNDUP(BA359/BZ359,0))</f>
        <v>2</v>
      </c>
      <c r="BC359" s="64" t="n">
        <f aca="false">IF(CR359&gt;0,CR359*MAX(1,BA359/X359),IF(CA359=1,IF(BA359&lt;=0,0,CE359*MAX(1,IF(H359&gt;0,BA359/H359,1))),IF(R359&gt;0,BB359/R359,0))/MAX(0.1,N(Parameter!$M$21)))</f>
        <v>0.166666666666667</v>
      </c>
      <c r="BD359" s="62" t="n">
        <f aca="false">BC359*CC359</f>
        <v>40.8333333333333</v>
      </c>
      <c r="BE359" s="63" t="n">
        <f aca="false">IF(LEFT(Cockpit!$O$5,1)="A",H359,IF(CI359=1,(CL359+CJ359)/2,IF(LEFT(Cockpit!$O$5,1)="B",(CL359+BG359)/2,MAX((CL359+BG359)/2,H359))))</f>
        <v>31.5</v>
      </c>
      <c r="BF359" s="62" t="n">
        <f aca="false">BE359*G359</f>
        <v>359.1</v>
      </c>
      <c r="BG359" s="62" t="n">
        <f aca="false">ROUNDUP(CL359+MAX(CM359,2*(J359/IF(CH359&gt;0,CH359,MAX(0.1,N(Cockpit!$O$6)))-CL359)),0)</f>
        <v>59</v>
      </c>
      <c r="BH359" s="63" t="n">
        <f aca="false">IF(BD359&gt;0,J359/BD359,-1)</f>
        <v>1.39591836734694</v>
      </c>
      <c r="BI359" s="63" t="n">
        <f aca="false">IF(AND(OR(CG359="L1",CG359="L23",CG359="LIFT"),BD359&gt;0),SUMIFS($BD$7:$BD$1843,$CG$7:$CG$1843,CG359,$BH$7:$BH$1843,"&gt;"&amp;BH359)+SUMIFS($BD$7:$BD$1843,$CG$7:$CG$1843,CG359,$BH$7:$BH$1843,BH359,$BX$7:$BX$1843,"&lt;="&amp;BX359),"")</f>
        <v>6703.5086996337</v>
      </c>
      <c r="BJ359" s="70" t="n">
        <f aca="false">IF(BI359="",0,MAX(0,MIN(1,(IF(CG359="L1",Parameter!$H$5,IF(CG359="L23",Parameter!$H$6+Parameter!$H$7,Parameter!$H$5+Parameter!$H$6+Parameter!$H$7))-(BI359-BD359))/BD359)))</f>
        <v>1</v>
      </c>
      <c r="BK359" s="60" t="str">
        <f aca="false">IF(AJ359&lt;=0,"",IF(CG359="Aussen","Aussenlager",IF(CG359="-","Nicht im Lift",IF(AP359&gt;=1,"Lift",IF(AP359&lt;=0,"Aussenlager","teilweise")))))</f>
        <v>Lift</v>
      </c>
      <c r="BL359" s="60" t="str">
        <f aca="false">IF(AT359&lt;=0,"",IF(CG359="Aussen","Aussenlager",IF(CG359="-","Nicht im Lift",IF(AZ359&gt;=1,"Lift",IF(AZ359&lt;=0,"Aussenlager","teilweise")))))</f>
        <v>Lift</v>
      </c>
      <c r="BM359" s="60" t="str">
        <f aca="false">IF(BD359&lt;=0,"",IF(CG359="Aussen","Aussenlager",IF(CG359="-","Nicht im Lift",IF(BJ359&gt;=1,"Lift",IF(BJ359&lt;=0,"Aussenlager","teilweise")))))</f>
        <v>Lift</v>
      </c>
      <c r="BN359" s="60" t="str">
        <f aca="false">IF(A359="","",IF(BW359=1,"Neu; ","")&amp;IF(AND(BW359=0,BR359&lt;0),"negativer Bestand (Export "&amp;BR359&amp;"); ","")&amp;IF(J359&lt;=0,"Kein Verbrauch; ","")&amp;IF(CR359&gt;0,"Lift "&amp;W359&amp;" lt. Liftbericht (Fach "&amp;X359&amp;" Stk); ",IF(CB359=1,"Gebinde geschätzt ("&amp;T359&amp;"); ",IF(CA359=1,"Lose – Tablare geschätzt; ","")))&amp;IF(H359&gt;AW359,"Überbestand "&amp;ROUND(H359-AW359,0)&amp;" Stk / CHF "&amp;ROUND((H359-AW359)*G359,0)&amp;"; ","")&amp;IF(AND(CI359=1,CJ359&lt;CK359),"MAX &lt; MB+LG; ","")&amp;IF(AND(CQ359&gt;0,CP359*10&gt;CQ359),"zu hoch für Tablar; ","")&amp;IF(AND(BW359=0,OR(CI359=1,AB359&lt;&gt;"",U359&lt;&gt;"",V359&lt;&gt;"",AC359&lt;&gt;"")),"manuell übersteuert; ","")&amp;IF(AND(CA359=0,R359=0),"Gebinde unbekannt / Stellmass fehlt; ","")&amp;IF(AND(CA359=0,N(V359)&lt;=0,N(Q359)&lt;=0),"Menge pro Gebinde fehlt (Ist = 1 Gebinde); ","")&amp;BV359)</f>
        <v/>
      </c>
      <c r="BO359" s="60"/>
      <c r="BP359" s="60"/>
      <c r="BQ359" s="67"/>
      <c r="BR359" s="62" t="n">
        <v>14</v>
      </c>
      <c r="BS359" s="62" t="n">
        <v>35</v>
      </c>
      <c r="BT359" s="61" t="n">
        <v>168.35</v>
      </c>
      <c r="BU359" s="62" t="n">
        <v>57</v>
      </c>
      <c r="BV359" s="60"/>
      <c r="BW359" s="65" t="n">
        <v>0</v>
      </c>
      <c r="BX359" s="65" t="n">
        <v>359</v>
      </c>
      <c r="BY359" s="60" t="str">
        <f aca="false">IF(U359&lt;&gt;"",UPPER(TRIM(U359)),IF(CB359=1,UPPER(VLOOKUP(T359,Parameter!$I$27:$K$29,2,0)),IF(P359="","LOSE",P359)))</f>
        <v>S62</v>
      </c>
      <c r="BZ359" s="62" t="n">
        <f aca="false">IF(BY359="LOSE",1,IF(N(V359)&gt;0,V359,IF(CB359=1,MAX(1,N(VLOOKUP(T359,Parameter!$I$27:$K$29,3,0)),H359,N(N359)),IF(N(Q359)&gt;0,Q359,MAX(1,H359)))))</f>
        <v>26</v>
      </c>
      <c r="CA359" s="65" t="n">
        <f aca="false">IF(BY359="LOSE",1,0)</f>
        <v>0</v>
      </c>
      <c r="CB359" s="65" t="n">
        <f aca="false">IF(AND(U359="",OR(P359="",P359="LOSE"),T359&lt;&gt;"",N(S359)&lt;=0,ISNUMBER(MATCH(T359,Parameter!$I$27:$I$29,0))),1,0)</f>
        <v>0</v>
      </c>
      <c r="CC359" s="65" t="n">
        <f aca="false">IF(CR359&gt;0,INDEX(Parameter!$H$5:$H$7,W359)/INDEX(Parameter!$E$5:$E$7,W359),IF(AND(CA359=0,N(IFERROR(VLOOKUP(BY359,'Gebinde-Kategorie'!$A$5:$N$45,14,0),0))&gt;0),VLOOKUP(BY359,'Gebinde-Kategorie'!$A$5:$N$45,14,0)*10+Parameter!$M$23,Parameter!$M$24))</f>
        <v>245</v>
      </c>
      <c r="CD359" s="60" t="str">
        <f aca="false">IF(AND(Parameter!$B$19="Ja",E359&lt;&gt;"",ISNUMBER(MATCH(E359,Parameter!$I$35:$I$52,0))),VLOOKUP(E359,Parameter!$I$35:$J$52,2,0),IFERROR(VLOOKUP(D359,Parameter!$A$35:$C$64,2,0),"Nein"))</f>
        <v>2+3</v>
      </c>
      <c r="CE359" s="64" t="n">
        <f aca="false">IF(CA359=0,0,IF(N(S359)&gt;0,S359,IFERROR(VLOOKUP(D359,Parameter!$A$35:$C$64,3,0)+0,0)))</f>
        <v>0</v>
      </c>
      <c r="CF359" s="60" t="n">
        <f aca="false">IF(AB359&lt;&gt;"",AB359,AA359)</f>
        <v>3</v>
      </c>
      <c r="CG359" s="60" t="str">
        <f aca="false">IF(OR(CF359=1,CF359=2,CF359=3),IF(Parameter!$E$27="Ja","LIFT",IF(CF359=1,"L1","L23")),IF(CF359="Aussen","Aussen","-"))</f>
        <v>LIFT</v>
      </c>
      <c r="CH359" s="71" t="n">
        <f aca="false">IF(N(AC359)&gt;0,AC359,0)</f>
        <v>0</v>
      </c>
      <c r="CI359" s="65" t="n">
        <f aca="false">IF(ISNUMBER(AF359),1,0)</f>
        <v>0</v>
      </c>
      <c r="CJ359" s="62" t="n">
        <f aca="false">N(AF359)</f>
        <v>0</v>
      </c>
      <c r="CK359" s="62" t="n">
        <f aca="false">N(M359)+N(N359)</f>
        <v>59</v>
      </c>
      <c r="CL359" s="62" t="n">
        <f aca="false">N(M359)</f>
        <v>4</v>
      </c>
      <c r="CM359" s="62" t="n">
        <f aca="false">N(N359)</f>
        <v>55</v>
      </c>
      <c r="CN359" s="62" t="n">
        <f aca="false">ROUNDUP(H359/BZ359,0)</f>
        <v>2</v>
      </c>
      <c r="CO359" s="62" t="n">
        <f aca="false">ROUNDUP(CJ359/BZ359,0)</f>
        <v>0</v>
      </c>
      <c r="CP359" s="65" t="n">
        <f aca="false">IF(CA359=1,0,IFERROR(VLOOKUP(BY359,'Gebinde-Kategorie'!$A$5:$N$45,5,0)+0,0))</f>
        <v>21</v>
      </c>
      <c r="CQ359" s="65" t="n">
        <f aca="false">IFERROR(IF(OR(CF359=1,CF359=2,CF359=3),N(INDEX(Parameter!$I$5:$I$7,CF359)),0),0)</f>
        <v>0</v>
      </c>
      <c r="CR359" s="64" t="n">
        <f aca="false">IF(AND(Parameter!$B$21="Ja",ISNUMBER(W359),N(X359)&gt;0),IFERROR(N(INDEX(Parameter!$L$5:$L$7,W359))*INDEX(Parameter!$E$5:$E$7,W359)*X359/SUMIFS($X$7:$X$1843,$W$7:$W$1843,W359),0),0)</f>
        <v>0</v>
      </c>
      <c r="CS359" s="62" t="n">
        <f aca="false">IF(AND(OR(CG359="L1",CG359="L23",CG359="LIFT"),H359&gt;0),CC359*IF(CR359&gt;0,CR359*MAX(1,H359/X359),IF(CA359=1,CE359,IF(R359&gt;0,CN359/R359,0))/MAX(0.1,N(Parameter!$M$21))),"")</f>
        <v>40.8333333333333</v>
      </c>
      <c r="CT359" s="64" t="n">
        <f aca="false">IF(CS359="","",J359/H359)</f>
        <v>1.16326530612245</v>
      </c>
      <c r="CU359" s="62" t="n">
        <f aca="false">IF(CS359="","",H359*G359)</f>
        <v>558.6</v>
      </c>
      <c r="CV359" s="63" t="n">
        <f aca="false">IF(CS359="","",(CL359+ROUNDUP(CL359+MAX(CM359,2*(J359/MAX(0.1,N(Einkauf!$C$6))-CL359)),0))/2)</f>
        <v>31.5</v>
      </c>
      <c r="CW359" s="62" t="n">
        <f aca="false">IF(CS359="","",MAX(0,H359-CV359)*G359)</f>
        <v>199.5</v>
      </c>
      <c r="CX359" s="62" t="n">
        <f aca="false">IF(CS359="","",CS359*MAX(0,1-CV359/H359))</f>
        <v>14.5833333333333</v>
      </c>
      <c r="CY359" s="64" t="n">
        <f aca="false">IF(CS359="","",PERCENTRANK($CS$7:$CS$1843,CS359)+PERCENTRANK($CU$7:$CU$1843,CU359)+1-PERCENTRANK($CT$7:$CT$1843,CT359))</f>
        <v>1.727</v>
      </c>
      <c r="CZ359" s="72" t="n">
        <f aca="false">IF(CS359="","",CHOOSE(MATCH(Einkauf!$C$5,Parameter!$G$23:$G$27,0),CY359,CS359,CU359,-CT359,CW359)+ROW()/1000000000)</f>
        <v>1.727000359</v>
      </c>
    </row>
    <row r="360" customFormat="false" ht="15" hidden="false" customHeight="false" outlineLevel="0" collapsed="false">
      <c r="A360" s="60" t="s">
        <v>914</v>
      </c>
      <c r="B360" s="60" t="s">
        <v>510</v>
      </c>
      <c r="C360" s="60" t="s">
        <v>206</v>
      </c>
      <c r="D360" s="60" t="s">
        <v>226</v>
      </c>
      <c r="E360" s="60" t="s">
        <v>227</v>
      </c>
      <c r="F360" s="60" t="s">
        <v>260</v>
      </c>
      <c r="G360" s="61" t="n">
        <v>0.28</v>
      </c>
      <c r="H360" s="62" t="n">
        <f aca="false">MAX(0,IF(AND(Parameter!$B$21="Ja",ISNUMBER(Y360)),Y360,IF(Parameter!$B$20="Jahresanfang 2025 + Export",BS360+BR360,BR360)))</f>
        <v>1117</v>
      </c>
      <c r="I360" s="62" t="n">
        <f aca="false">H360*G360</f>
        <v>312.76</v>
      </c>
      <c r="J360" s="62" t="n">
        <f aca="false">BU360*Parameter!$B$18</f>
        <v>1232</v>
      </c>
      <c r="K360" s="63" t="n">
        <v>530</v>
      </c>
      <c r="L360" s="64" t="n">
        <v>2.32452830188679</v>
      </c>
      <c r="M360" s="62" t="n">
        <v>47</v>
      </c>
      <c r="N360" s="62" t="n">
        <v>1235</v>
      </c>
      <c r="O360" s="65" t="n">
        <v>14</v>
      </c>
      <c r="P360" s="60" t="s">
        <v>370</v>
      </c>
      <c r="Q360" s="62" t="n">
        <v>534</v>
      </c>
      <c r="R360" s="65" t="n">
        <f aca="false">IF(CA360=1,0,IFERROR(VLOOKUP(BY360,'Gebinde-Kategorie'!$A$5:$N$45,13,0)+0,0))</f>
        <v>52</v>
      </c>
      <c r="S360" s="66"/>
      <c r="T360" s="67"/>
      <c r="U360" s="67"/>
      <c r="V360" s="67"/>
      <c r="W360" s="60"/>
      <c r="X360" s="62"/>
      <c r="Y360" s="62"/>
      <c r="Z360" s="60" t="n">
        <v>3</v>
      </c>
      <c r="AA360" s="60" t="n">
        <f aca="false">IF(A360="","",IF(AND(Parameter!$B$21="Ja",ISNUMBER(W360)),W360,IF(AND(Parameter!$E$27="Ja",ISNUMBER(Z360),CD360&lt;&gt;"Nein"),Z360,IF(CD360="2+3",IF(ISNUMBER(SEARCH("grosser Artikel",BV360)),2,IFERROR(VLOOKUP(BY360,Parameter!$F$35:$G$64,2,0),2)),IF(OR(CD360="Nein",CD360=""),"-",CD360)))))</f>
        <v>3</v>
      </c>
      <c r="AB360" s="67"/>
      <c r="AC360" s="68"/>
      <c r="AD360" s="62" t="n">
        <f aca="false">AW360</f>
        <v>1282</v>
      </c>
      <c r="AE360" s="62" t="n">
        <f aca="false">MAX(AW360,H360)</f>
        <v>1282</v>
      </c>
      <c r="AF360" s="69"/>
      <c r="AG360" s="62" t="n">
        <f aca="false">IF(LEFT(Cockpit!$C$5,1)="A",H360,IF(Parameter!$E$30="MAX-Bestand",IF(CI360=1,CJ360,IF(LEFT(Cockpit!$C$5,1)="B",AM360,MAX(AM360,H360))),ROUNDUP(AK360,0)))</f>
        <v>1117</v>
      </c>
      <c r="AH360" s="62" t="n">
        <f aca="false">IF(CA360=1,0,ROUNDUP(AG360/BZ360,0))</f>
        <v>3</v>
      </c>
      <c r="AI360" s="64" t="n">
        <f aca="false">IF(CR360&gt;0,CR360*MAX(1,AG360/X360),IF(CA360=1,IF(AG360&lt;=0,0,CE360*MAX(1,IF(H360&gt;0,AG360/H360,1))),IF(R360&gt;0,AH360/R360,0))/MAX(0.1,N(Parameter!$M$21)))</f>
        <v>0.0576923076923077</v>
      </c>
      <c r="AJ360" s="62" t="n">
        <f aca="false">AI360*CC360</f>
        <v>8.94230769230769</v>
      </c>
      <c r="AK360" s="63" t="n">
        <f aca="false">IF(LEFT(Cockpit!$C$5,1)="A",H360,IF(CI360=1,(CL360+CJ360)/2,IF(LEFT(Cockpit!$C$5,1)="B",(CL360+AM360)/2,MAX((CL360+AM360)/2,H360))))</f>
        <v>1117</v>
      </c>
      <c r="AL360" s="62" t="n">
        <f aca="false">AK360*G360</f>
        <v>312.76</v>
      </c>
      <c r="AM360" s="62" t="n">
        <f aca="false">ROUNDUP(CL360+MAX(CM360,2*(J360/IF(CH360&gt;0,CH360,MAX(0.1,N(Cockpit!$C$6)))-CL360)),0)</f>
        <v>1282</v>
      </c>
      <c r="AN360" s="63" t="n">
        <f aca="false">IF(AJ360&gt;0,J360/AJ360,-1)</f>
        <v>137.772043010753</v>
      </c>
      <c r="AO360" s="63" t="n">
        <f aca="false">IF(AND(OR(CG360="L1",CG360="L23",CG360="LIFT"),AJ360&gt;0),SUMIFS($AJ$7:$AJ$1843,$CG$7:$CG$1843,CG360,$AN$7:$AN$1843,"&gt;"&amp;AN360)+SUMIFS($AJ$7:$AJ$1843,$CG$7:$CG$1843,CG360,$AN$7:$AN$1843,AN360,$BX$7:$BX$1843,"&lt;="&amp;BX360),"")</f>
        <v>521.247710622711</v>
      </c>
      <c r="AP360" s="70" t="n">
        <f aca="false">IF(AO360="",0,MAX(0,MIN(1,(IF(CG360="L1",Parameter!$H$5,IF(CG360="L23",Parameter!$H$6+Parameter!$H$7,Parameter!$H$5+Parameter!$H$6+Parameter!$H$7))-(AO360-AJ360))/AJ360)))</f>
        <v>1</v>
      </c>
      <c r="AQ360" s="62" t="n">
        <f aca="false">IF(LEFT(Cockpit!$I$5,1)="A",H360,IF(Parameter!$E$30="MAX-Bestand",IF(CI360=1,CJ360,IF(LEFT(Cockpit!$I$5,1)="B",AW360,MAX(AW360,H360))),ROUNDUP(AU360,0)))</f>
        <v>1117</v>
      </c>
      <c r="AR360" s="62" t="n">
        <f aca="false">IF(CA360=1,0,ROUNDUP(AQ360/BZ360,0))</f>
        <v>3</v>
      </c>
      <c r="AS360" s="64" t="n">
        <f aca="false">IF(CR360&gt;0,CR360*MAX(1,AQ360/X360),IF(CA360=1,IF(AQ360&lt;=0,0,CE360*MAX(1,IF(H360&gt;0,AQ360/H360,1))),IF(R360&gt;0,AR360/R360,0))/MAX(0.1,N(Parameter!$M$21)))</f>
        <v>0.0576923076923077</v>
      </c>
      <c r="AT360" s="62" t="n">
        <f aca="false">AS360*CC360</f>
        <v>8.94230769230769</v>
      </c>
      <c r="AU360" s="63" t="n">
        <f aca="false">IF(LEFT(Cockpit!$I$5,1)="A",H360,IF(CI360=1,(CL360+CJ360)/2,IF(LEFT(Cockpit!$I$5,1)="B",(CL360+AW360)/2,MAX((CL360+AW360)/2,H360))))</f>
        <v>1117</v>
      </c>
      <c r="AV360" s="62" t="n">
        <f aca="false">AU360*G360</f>
        <v>312.76</v>
      </c>
      <c r="AW360" s="62" t="n">
        <f aca="false">ROUNDUP(CL360+MAX(CM360,2*(J360/IF(CH360&gt;0,CH360,MAX(0.1,N(Cockpit!$I$6)))-CL360)),0)</f>
        <v>1282</v>
      </c>
      <c r="AX360" s="63" t="n">
        <f aca="false">IF(AT360&gt;0,J360/AT360,-1)</f>
        <v>137.772043010753</v>
      </c>
      <c r="AY360" s="63" t="n">
        <f aca="false">IF(AND(OR(CG360="L1",CG360="L23",CG360="LIFT"),AT360&gt;0),SUMIFS($AT$7:$AT$1843,$CG$7:$CG$1843,CG360,$AX$7:$AX$1843,"&gt;"&amp;AX360)+SUMIFS($AT$7:$AT$1843,$CG$7:$CG$1843,CG360,$AX$7:$AX$1843,AX360,$BX$7:$BX$1843,"&lt;="&amp;BX360),"")</f>
        <v>638.884615384616</v>
      </c>
      <c r="AZ360" s="70" t="n">
        <f aca="false">IF(AY360="",0,MAX(0,MIN(1,(IF(CG360="L1",Parameter!$H$5,IF(CG360="L23",Parameter!$H$6+Parameter!$H$7,Parameter!$H$5+Parameter!$H$6+Parameter!$H$7))-(AY360-AT360))/AT360)))</f>
        <v>1</v>
      </c>
      <c r="BA360" s="62" t="n">
        <f aca="false">IF(LEFT(Cockpit!$O$5,1)="A",H360,IF(Parameter!$E$30="MAX-Bestand",IF(CI360=1,CJ360,IF(LEFT(Cockpit!$O$5,1)="B",BG360,MAX(BG360,H360))),ROUNDUP(BE360,0)))</f>
        <v>665</v>
      </c>
      <c r="BB360" s="62" t="n">
        <f aca="false">IF(CA360=1,0,ROUNDUP(BA360/BZ360,0))</f>
        <v>2</v>
      </c>
      <c r="BC360" s="64" t="n">
        <f aca="false">IF(CR360&gt;0,CR360*MAX(1,BA360/X360),IF(CA360=1,IF(BA360&lt;=0,0,CE360*MAX(1,IF(H360&gt;0,BA360/H360,1))),IF(R360&gt;0,BB360/R360,0))/MAX(0.1,N(Parameter!$M$21)))</f>
        <v>0.0384615384615385</v>
      </c>
      <c r="BD360" s="62" t="n">
        <f aca="false">BC360*CC360</f>
        <v>5.96153846153846</v>
      </c>
      <c r="BE360" s="63" t="n">
        <f aca="false">IF(LEFT(Cockpit!$O$5,1)="A",H360,IF(CI360=1,(CL360+CJ360)/2,IF(LEFT(Cockpit!$O$5,1)="B",(CL360+BG360)/2,MAX((CL360+BG360)/2,H360))))</f>
        <v>664.5</v>
      </c>
      <c r="BF360" s="62" t="n">
        <f aca="false">BE360*G360</f>
        <v>186.06</v>
      </c>
      <c r="BG360" s="62" t="n">
        <f aca="false">ROUNDUP(CL360+MAX(CM360,2*(J360/IF(CH360&gt;0,CH360,MAX(0.1,N(Cockpit!$O$6)))-CL360)),0)</f>
        <v>1282</v>
      </c>
      <c r="BH360" s="63" t="n">
        <f aca="false">IF(BD360&gt;0,J360/BD360,-1)</f>
        <v>206.658064516129</v>
      </c>
      <c r="BI360" s="63" t="n">
        <f aca="false">IF(AND(OR(CG360="L1",CG360="L23",CG360="LIFT"),BD360&gt;0),SUMIFS($BD$7:$BD$1843,$CG$7:$CG$1843,CG360,$BH$7:$BH$1843,"&gt;"&amp;BH360)+SUMIFS($BD$7:$BD$1843,$CG$7:$CG$1843,CG360,$BH$7:$BH$1843,BH360,$BX$7:$BX$1843,"&lt;="&amp;BX360),"")</f>
        <v>447.331043956044</v>
      </c>
      <c r="BJ360" s="70" t="n">
        <f aca="false">IF(BI360="",0,MAX(0,MIN(1,(IF(CG360="L1",Parameter!$H$5,IF(CG360="L23",Parameter!$H$6+Parameter!$H$7,Parameter!$H$5+Parameter!$H$6+Parameter!$H$7))-(BI360-BD360))/BD360)))</f>
        <v>1</v>
      </c>
      <c r="BK360" s="60" t="str">
        <f aca="false">IF(AJ360&lt;=0,"",IF(CG360="Aussen","Aussenlager",IF(CG360="-","Nicht im Lift",IF(AP360&gt;=1,"Lift",IF(AP360&lt;=0,"Aussenlager","teilweise")))))</f>
        <v>Lift</v>
      </c>
      <c r="BL360" s="60" t="str">
        <f aca="false">IF(AT360&lt;=0,"",IF(CG360="Aussen","Aussenlager",IF(CG360="-","Nicht im Lift",IF(AZ360&gt;=1,"Lift",IF(AZ360&lt;=0,"Aussenlager","teilweise")))))</f>
        <v>Lift</v>
      </c>
      <c r="BM360" s="60" t="str">
        <f aca="false">IF(BD360&lt;=0,"",IF(CG360="Aussen","Aussenlager",IF(CG360="-","Nicht im Lift",IF(BJ360&gt;=1,"Lift",IF(BJ360&lt;=0,"Aussenlager","teilweise")))))</f>
        <v>Lift</v>
      </c>
      <c r="BN360" s="60" t="str">
        <f aca="false">IF(A360="","",IF(BW360=1,"Neu; ","")&amp;IF(AND(BW360=0,BR360&lt;0),"negativer Bestand (Export "&amp;BR360&amp;"); ","")&amp;IF(J360&lt;=0,"Kein Verbrauch; ","")&amp;IF(CR360&gt;0,"Lift "&amp;W360&amp;" lt. Liftbericht (Fach "&amp;X360&amp;" Stk); ",IF(CB360=1,"Gebinde geschätzt ("&amp;T360&amp;"); ",IF(CA360=1,"Lose – Tablare geschätzt; ","")))&amp;IF(H360&gt;AW360,"Überbestand "&amp;ROUND(H360-AW360,0)&amp;" Stk / CHF "&amp;ROUND((H360-AW360)*G360,0)&amp;"; ","")&amp;IF(AND(CI360=1,CJ360&lt;CK360),"MAX &lt; MB+LG; ","")&amp;IF(AND(CQ360&gt;0,CP360*10&gt;CQ360),"zu hoch für Tablar; ","")&amp;IF(AND(BW360=0,OR(CI360=1,AB360&lt;&gt;"",U360&lt;&gt;"",V360&lt;&gt;"",AC360&lt;&gt;"")),"manuell übersteuert; ","")&amp;IF(AND(CA360=0,R360=0),"Gebinde unbekannt / Stellmass fehlt; ","")&amp;IF(AND(CA360=0,N(V360)&lt;=0,N(Q360)&lt;=0),"Menge pro Gebinde fehlt (Ist = 1 Gebinde); ","")&amp;BV360)</f>
        <v/>
      </c>
      <c r="BO360" s="60"/>
      <c r="BP360" s="60"/>
      <c r="BQ360" s="67"/>
      <c r="BR360" s="62" t="n">
        <v>688</v>
      </c>
      <c r="BS360" s="62" t="n">
        <v>429</v>
      </c>
      <c r="BT360" s="61" t="n">
        <v>167.5</v>
      </c>
      <c r="BU360" s="62" t="n">
        <v>1232</v>
      </c>
      <c r="BV360" s="60"/>
      <c r="BW360" s="65" t="n">
        <v>0</v>
      </c>
      <c r="BX360" s="65" t="n">
        <v>360</v>
      </c>
      <c r="BY360" s="60" t="str">
        <f aca="false">IF(U360&lt;&gt;"",UPPER(TRIM(U360)),IF(CB360=1,UPPER(VLOOKUP(T360,Parameter!$I$27:$K$29,2,0)),IF(P360="","LOSE",P360)))</f>
        <v>S41</v>
      </c>
      <c r="BZ360" s="62" t="n">
        <f aca="false">IF(BY360="LOSE",1,IF(N(V360)&gt;0,V360,IF(CB360=1,MAX(1,N(VLOOKUP(T360,Parameter!$I$27:$K$29,3,0)),H360,N(N360)),IF(N(Q360)&gt;0,Q360,MAX(1,H360)))))</f>
        <v>534</v>
      </c>
      <c r="CA360" s="65" t="n">
        <f aca="false">IF(BY360="LOSE",1,0)</f>
        <v>0</v>
      </c>
      <c r="CB360" s="65" t="n">
        <f aca="false">IF(AND(U360="",OR(P360="",P360="LOSE"),T360&lt;&gt;"",N(S360)&lt;=0,ISNUMBER(MATCH(T360,Parameter!$I$27:$I$29,0))),1,0)</f>
        <v>0</v>
      </c>
      <c r="CC360" s="65" t="n">
        <f aca="false">IF(CR360&gt;0,INDEX(Parameter!$H$5:$H$7,W360)/INDEX(Parameter!$E$5:$E$7,W360),IF(AND(CA360=0,N(IFERROR(VLOOKUP(BY360,'Gebinde-Kategorie'!$A$5:$N$45,14,0),0))&gt;0),VLOOKUP(BY360,'Gebinde-Kategorie'!$A$5:$N$45,14,0)*10+Parameter!$M$23,Parameter!$M$24))</f>
        <v>155</v>
      </c>
      <c r="CD360" s="60" t="str">
        <f aca="false">IF(AND(Parameter!$B$19="Ja",E360&lt;&gt;"",ISNUMBER(MATCH(E360,Parameter!$I$35:$I$52,0))),VLOOKUP(E360,Parameter!$I$35:$J$52,2,0),IFERROR(VLOOKUP(D360,Parameter!$A$35:$C$64,2,0),"Nein"))</f>
        <v>2+3</v>
      </c>
      <c r="CE360" s="64" t="n">
        <f aca="false">IF(CA360=0,0,IF(N(S360)&gt;0,S360,IFERROR(VLOOKUP(D360,Parameter!$A$35:$C$64,3,0)+0,0)))</f>
        <v>0</v>
      </c>
      <c r="CF360" s="60" t="n">
        <f aca="false">IF(AB360&lt;&gt;"",AB360,AA360)</f>
        <v>3</v>
      </c>
      <c r="CG360" s="60" t="str">
        <f aca="false">IF(OR(CF360=1,CF360=2,CF360=3),IF(Parameter!$E$27="Ja","LIFT",IF(CF360=1,"L1","L23")),IF(CF360="Aussen","Aussen","-"))</f>
        <v>LIFT</v>
      </c>
      <c r="CH360" s="71" t="n">
        <f aca="false">IF(N(AC360)&gt;0,AC360,0)</f>
        <v>0</v>
      </c>
      <c r="CI360" s="65" t="n">
        <f aca="false">IF(ISNUMBER(AF360),1,0)</f>
        <v>0</v>
      </c>
      <c r="CJ360" s="62" t="n">
        <f aca="false">N(AF360)</f>
        <v>0</v>
      </c>
      <c r="CK360" s="62" t="n">
        <f aca="false">N(M360)+N(N360)</f>
        <v>1282</v>
      </c>
      <c r="CL360" s="62" t="n">
        <f aca="false">N(M360)</f>
        <v>47</v>
      </c>
      <c r="CM360" s="62" t="n">
        <f aca="false">N(N360)</f>
        <v>1235</v>
      </c>
      <c r="CN360" s="62" t="n">
        <f aca="false">ROUNDUP(H360/BZ360,0)</f>
        <v>3</v>
      </c>
      <c r="CO360" s="62" t="n">
        <f aca="false">ROUNDUP(CJ360/BZ360,0)</f>
        <v>0</v>
      </c>
      <c r="CP360" s="65" t="n">
        <f aca="false">IF(CA360=1,0,IFERROR(VLOOKUP(BY360,'Gebinde-Kategorie'!$A$5:$N$45,5,0)+0,0))</f>
        <v>11</v>
      </c>
      <c r="CQ360" s="65" t="n">
        <f aca="false">IFERROR(IF(OR(CF360=1,CF360=2,CF360=3),N(INDEX(Parameter!$I$5:$I$7,CF360)),0),0)</f>
        <v>0</v>
      </c>
      <c r="CR360" s="64" t="n">
        <f aca="false">IF(AND(Parameter!$B$21="Ja",ISNUMBER(W360),N(X360)&gt;0),IFERROR(N(INDEX(Parameter!$L$5:$L$7,W360))*INDEX(Parameter!$E$5:$E$7,W360)*X360/SUMIFS($X$7:$X$1843,$W$7:$W$1843,W360),0),0)</f>
        <v>0</v>
      </c>
      <c r="CS360" s="62" t="n">
        <f aca="false">IF(AND(OR(CG360="L1",CG360="L23",CG360="LIFT"),H360&gt;0),CC360*IF(CR360&gt;0,CR360*MAX(1,H360/X360),IF(CA360=1,CE360,IF(R360&gt;0,CN360/R360,0))/MAX(0.1,N(Parameter!$M$21))),"")</f>
        <v>8.94230769230769</v>
      </c>
      <c r="CT360" s="64" t="n">
        <f aca="false">IF(CS360="","",J360/H360)</f>
        <v>1.10295434198747</v>
      </c>
      <c r="CU360" s="62" t="n">
        <f aca="false">IF(CS360="","",H360*G360)</f>
        <v>312.76</v>
      </c>
      <c r="CV360" s="63" t="n">
        <f aca="false">IF(CS360="","",(CL360+ROUNDUP(CL360+MAX(CM360,2*(J360/MAX(0.1,N(Einkauf!$C$6))-CL360)),0))/2)</f>
        <v>664.5</v>
      </c>
      <c r="CW360" s="62" t="n">
        <f aca="false">IF(CS360="","",MAX(0,H360-CV360)*G360)</f>
        <v>126.7</v>
      </c>
      <c r="CX360" s="62" t="n">
        <f aca="false">IF(CS360="","",CS360*MAX(0,1-CV360/H360))</f>
        <v>3.62255526478893</v>
      </c>
      <c r="CY360" s="64" t="n">
        <f aca="false">IF(CS360="","",PERCENTRANK($CS$7:$CS$1843,CS360)+PERCENTRANK($CU$7:$CU$1843,CU360)+1-PERCENTRANK($CT$7:$CT$1843,CT360))</f>
        <v>1.305</v>
      </c>
      <c r="CZ360" s="72" t="n">
        <f aca="false">IF(CS360="","",CHOOSE(MATCH(Einkauf!$C$5,Parameter!$G$23:$G$27,0),CY360,CS360,CU360,-CT360,CW360)+ROW()/1000000000)</f>
        <v>1.30500036</v>
      </c>
    </row>
    <row r="361" customFormat="false" ht="15" hidden="false" customHeight="false" outlineLevel="0" collapsed="false">
      <c r="A361" s="60" t="s">
        <v>915</v>
      </c>
      <c r="B361" s="60" t="s">
        <v>887</v>
      </c>
      <c r="C361" s="60" t="s">
        <v>206</v>
      </c>
      <c r="D361" s="60" t="s">
        <v>226</v>
      </c>
      <c r="E361" s="60"/>
      <c r="F361" s="60" t="s">
        <v>260</v>
      </c>
      <c r="G361" s="61" t="n">
        <v>6.7</v>
      </c>
      <c r="H361" s="62" t="n">
        <f aca="false">MAX(0,IF(AND(Parameter!$B$21="Ja",ISNUMBER(Y361)),Y361,IF(Parameter!$B$20="Jahresanfang 2025 + Export",BS361+BR361,BR361)))</f>
        <v>25</v>
      </c>
      <c r="I361" s="62" t="n">
        <f aca="false">H361*G361</f>
        <v>167.5</v>
      </c>
      <c r="J361" s="62" t="n">
        <f aca="false">BU361*Parameter!$B$18</f>
        <v>0</v>
      </c>
      <c r="K361" s="63" t="n">
        <v>0</v>
      </c>
      <c r="L361" s="64" t="n">
        <v>0</v>
      </c>
      <c r="M361" s="62" t="n">
        <v>0</v>
      </c>
      <c r="N361" s="62" t="n">
        <v>5</v>
      </c>
      <c r="O361" s="65" t="n">
        <v>9999</v>
      </c>
      <c r="P361" s="60" t="s">
        <v>210</v>
      </c>
      <c r="Q361" s="62"/>
      <c r="R361" s="65" t="n">
        <f aca="false">IF(CA361=1,0,IFERROR(VLOOKUP(BY361,'Gebinde-Kategorie'!$A$5:$N$45,13,0)+0,0))</f>
        <v>26</v>
      </c>
      <c r="S361" s="66"/>
      <c r="T361" s="67" t="s">
        <v>317</v>
      </c>
      <c r="U361" s="67"/>
      <c r="V361" s="67"/>
      <c r="W361" s="60"/>
      <c r="X361" s="62"/>
      <c r="Y361" s="62"/>
      <c r="Z361" s="60" t="n">
        <v>3</v>
      </c>
      <c r="AA361" s="60" t="n">
        <f aca="false">IF(A361="","",IF(AND(Parameter!$B$21="Ja",ISNUMBER(W361)),W361,IF(AND(Parameter!$E$27="Ja",ISNUMBER(Z361),CD361&lt;&gt;"Nein"),Z361,IF(CD361="2+3",IF(ISNUMBER(SEARCH("grosser Artikel",BV361)),2,IFERROR(VLOOKUP(BY361,Parameter!$F$35:$G$64,2,0),2)),IF(OR(CD361="Nein",CD361=""),"-",CD361)))))</f>
        <v>3</v>
      </c>
      <c r="AB361" s="67"/>
      <c r="AC361" s="68"/>
      <c r="AD361" s="62" t="n">
        <f aca="false">AW361</f>
        <v>5</v>
      </c>
      <c r="AE361" s="62" t="n">
        <f aca="false">MAX(AW361,H361)</f>
        <v>25</v>
      </c>
      <c r="AF361" s="69"/>
      <c r="AG361" s="62" t="n">
        <f aca="false">IF(LEFT(Cockpit!$C$5,1)="A",H361,IF(Parameter!$E$30="MAX-Bestand",IF(CI361=1,CJ361,IF(LEFT(Cockpit!$C$5,1)="B",AM361,MAX(AM361,H361))),ROUNDUP(AK361,0)))</f>
        <v>25</v>
      </c>
      <c r="AH361" s="62" t="n">
        <f aca="false">IF(CA361=1,0,ROUNDUP(AG361/BZ361,0))</f>
        <v>1</v>
      </c>
      <c r="AI361" s="64" t="n">
        <f aca="false">IF(CR361&gt;0,CR361*MAX(1,AG361/X361),IF(CA361=1,IF(AG361&lt;=0,0,CE361*MAX(1,IF(H361&gt;0,AG361/H361,1))),IF(R361&gt;0,AH361/R361,0))/MAX(0.1,N(Parameter!$M$21)))</f>
        <v>0.0384615384615385</v>
      </c>
      <c r="AJ361" s="62" t="n">
        <f aca="false">AI361*CC361</f>
        <v>5.96153846153846</v>
      </c>
      <c r="AK361" s="63" t="n">
        <f aca="false">IF(LEFT(Cockpit!$C$5,1)="A",H361,IF(CI361=1,(CL361+CJ361)/2,IF(LEFT(Cockpit!$C$5,1)="B",(CL361+AM361)/2,MAX((CL361+AM361)/2,H361))))</f>
        <v>25</v>
      </c>
      <c r="AL361" s="62" t="n">
        <f aca="false">AK361*G361</f>
        <v>167.5</v>
      </c>
      <c r="AM361" s="62" t="n">
        <f aca="false">ROUNDUP(CL361+MAX(CM361,2*(J361/IF(CH361&gt;0,CH361,MAX(0.1,N(Cockpit!$C$6)))-CL361)),0)</f>
        <v>5</v>
      </c>
      <c r="AN361" s="63" t="n">
        <f aca="false">IF(AJ361&gt;0,J361/AJ361,-1)</f>
        <v>0</v>
      </c>
      <c r="AO361" s="63" t="n">
        <f aca="false">IF(AND(OR(CG361="L1",CG361="L23",CG361="LIFT"),AJ361&gt;0),SUMIFS($AJ$7:$AJ$1843,$CG$7:$CG$1843,CG361,$AN$7:$AN$1843,"&gt;"&amp;AN361)+SUMIFS($AJ$7:$AJ$1843,$CG$7:$CG$1843,CG361,$AN$7:$AN$1843,AN361,$BX$7:$BX$1843,"&lt;="&amp;BX361),"")</f>
        <v>28026.1352414064</v>
      </c>
      <c r="AP361" s="70" t="n">
        <f aca="false">IF(AO361="",0,MAX(0,MIN(1,(IF(CG361="L1",Parameter!$H$5,IF(CG361="L23",Parameter!$H$6+Parameter!$H$7,Parameter!$H$5+Parameter!$H$6+Parameter!$H$7))-(AO361-AJ361))/AJ361)))</f>
        <v>1</v>
      </c>
      <c r="AQ361" s="62" t="n">
        <f aca="false">IF(LEFT(Cockpit!$I$5,1)="A",H361,IF(Parameter!$E$30="MAX-Bestand",IF(CI361=1,CJ361,IF(LEFT(Cockpit!$I$5,1)="B",AW361,MAX(AW361,H361))),ROUNDUP(AU361,0)))</f>
        <v>25</v>
      </c>
      <c r="AR361" s="62" t="n">
        <f aca="false">IF(CA361=1,0,ROUNDUP(AQ361/BZ361,0))</f>
        <v>1</v>
      </c>
      <c r="AS361" s="64" t="n">
        <f aca="false">IF(CR361&gt;0,CR361*MAX(1,AQ361/X361),IF(CA361=1,IF(AQ361&lt;=0,0,CE361*MAX(1,IF(H361&gt;0,AQ361/H361,1))),IF(R361&gt;0,AR361/R361,0))/MAX(0.1,N(Parameter!$M$21)))</f>
        <v>0.0384615384615385</v>
      </c>
      <c r="AT361" s="62" t="n">
        <f aca="false">AS361*CC361</f>
        <v>5.96153846153846</v>
      </c>
      <c r="AU361" s="63" t="n">
        <f aca="false">IF(LEFT(Cockpit!$I$5,1)="A",H361,IF(CI361=1,(CL361+CJ361)/2,IF(LEFT(Cockpit!$I$5,1)="B",(CL361+AW361)/2,MAX((CL361+AW361)/2,H361))))</f>
        <v>25</v>
      </c>
      <c r="AV361" s="62" t="n">
        <f aca="false">AU361*G361</f>
        <v>167.5</v>
      </c>
      <c r="AW361" s="62" t="n">
        <f aca="false">ROUNDUP(CL361+MAX(CM361,2*(J361/IF(CH361&gt;0,CH361,MAX(0.1,N(Cockpit!$I$6)))-CL361)),0)</f>
        <v>5</v>
      </c>
      <c r="AX361" s="63" t="n">
        <f aca="false">IF(AT361&gt;0,J361/AT361,-1)</f>
        <v>0</v>
      </c>
      <c r="AY361" s="63" t="n">
        <f aca="false">IF(AND(OR(CG361="L1",CG361="L23",CG361="LIFT"),AT361&gt;0),SUMIFS($AT$7:$AT$1843,$CG$7:$CG$1843,CG361,$AX$7:$AX$1843,"&gt;"&amp;AX361)+SUMIFS($AT$7:$AT$1843,$CG$7:$CG$1843,CG361,$AX$7:$AX$1843,AX361,$BX$7:$BX$1843,"&lt;="&amp;BX361),"")</f>
        <v>33379.2838827839</v>
      </c>
      <c r="AZ361" s="70" t="n">
        <f aca="false">IF(AY361="",0,MAX(0,MIN(1,(IF(CG361="L1",Parameter!$H$5,IF(CG361="L23",Parameter!$H$6+Parameter!$H$7,Parameter!$H$5+Parameter!$H$6+Parameter!$H$7))-(AY361-AT361))/AT361)))</f>
        <v>1</v>
      </c>
      <c r="BA361" s="62" t="n">
        <f aca="false">IF(LEFT(Cockpit!$O$5,1)="A",H361,IF(Parameter!$E$30="MAX-Bestand",IF(CI361=1,CJ361,IF(LEFT(Cockpit!$O$5,1)="B",BG361,MAX(BG361,H361))),ROUNDUP(BE361,0)))</f>
        <v>3</v>
      </c>
      <c r="BB361" s="62" t="n">
        <f aca="false">IF(CA361=1,0,ROUNDUP(BA361/BZ361,0))</f>
        <v>1</v>
      </c>
      <c r="BC361" s="64" t="n">
        <f aca="false">IF(CR361&gt;0,CR361*MAX(1,BA361/X361),IF(CA361=1,IF(BA361&lt;=0,0,CE361*MAX(1,IF(H361&gt;0,BA361/H361,1))),IF(R361&gt;0,BB361/R361,0))/MAX(0.1,N(Parameter!$M$21)))</f>
        <v>0.0384615384615385</v>
      </c>
      <c r="BD361" s="62" t="n">
        <f aca="false">BC361*CC361</f>
        <v>5.96153846153846</v>
      </c>
      <c r="BE361" s="63" t="n">
        <f aca="false">IF(LEFT(Cockpit!$O$5,1)="A",H361,IF(CI361=1,(CL361+CJ361)/2,IF(LEFT(Cockpit!$O$5,1)="B",(CL361+BG361)/2,MAX((CL361+BG361)/2,H361))))</f>
        <v>2.5</v>
      </c>
      <c r="BF361" s="62" t="n">
        <f aca="false">BE361*G361</f>
        <v>16.75</v>
      </c>
      <c r="BG361" s="62" t="n">
        <f aca="false">ROUNDUP(CL361+MAX(CM361,2*(J361/IF(CH361&gt;0,CH361,MAX(0.1,N(Cockpit!$O$6)))-CL361)),0)</f>
        <v>5</v>
      </c>
      <c r="BH361" s="63" t="n">
        <f aca="false">IF(BD361&gt;0,J361/BD361,-1)</f>
        <v>0</v>
      </c>
      <c r="BI361" s="63" t="n">
        <f aca="false">IF(AND(OR(CG361="L1",CG361="L23",CG361="LIFT"),BD361&gt;0),SUMIFS($BD$7:$BD$1843,$CG$7:$CG$1843,CG361,$BH$7:$BH$1843,"&gt;"&amp;BH361)+SUMIFS($BD$7:$BD$1843,$CG$7:$CG$1843,CG361,$BH$7:$BH$1843,BH361,$BX$7:$BX$1843,"&lt;="&amp;BX361),"")</f>
        <v>27492.820854287</v>
      </c>
      <c r="BJ361" s="70" t="n">
        <f aca="false">IF(BI361="",0,MAX(0,MIN(1,(IF(CG361="L1",Parameter!$H$5,IF(CG361="L23",Parameter!$H$6+Parameter!$H$7,Parameter!$H$5+Parameter!$H$6+Parameter!$H$7))-(BI361-BD361))/BD361)))</f>
        <v>1</v>
      </c>
      <c r="BK361" s="60" t="str">
        <f aca="false">IF(AJ361&lt;=0,"",IF(CG361="Aussen","Aussenlager",IF(CG361="-","Nicht im Lift",IF(AP361&gt;=1,"Lift",IF(AP361&lt;=0,"Aussenlager","teilweise")))))</f>
        <v>Lift</v>
      </c>
      <c r="BL361" s="60" t="str">
        <f aca="false">IF(AT361&lt;=0,"",IF(CG361="Aussen","Aussenlager",IF(CG361="-","Nicht im Lift",IF(AZ361&gt;=1,"Lift",IF(AZ361&lt;=0,"Aussenlager","teilweise")))))</f>
        <v>Lift</v>
      </c>
      <c r="BM361" s="60" t="str">
        <f aca="false">IF(BD361&lt;=0,"",IF(CG361="Aussen","Aussenlager",IF(CG361="-","Nicht im Lift",IF(BJ361&gt;=1,"Lift",IF(BJ361&lt;=0,"Aussenlager","teilweise")))))</f>
        <v>Lift</v>
      </c>
      <c r="BN361" s="60" t="str">
        <f aca="false">IF(A361="","",IF(BW361=1,"Neu; ","")&amp;IF(AND(BW361=0,BR361&lt;0),"negativer Bestand (Export "&amp;BR361&amp;"); ","")&amp;IF(J361&lt;=0,"Kein Verbrauch; ","")&amp;IF(CR361&gt;0,"Lift "&amp;W361&amp;" lt. Liftbericht (Fach "&amp;X361&amp;" Stk); ",IF(CB361=1,"Gebinde geschätzt ("&amp;T361&amp;"); ",IF(CA361=1,"Lose – Tablare geschätzt; ","")))&amp;IF(H361&gt;AW361,"Überbestand "&amp;ROUND(H361-AW361,0)&amp;" Stk / CHF "&amp;ROUND((H361-AW361)*G361,0)&amp;"; ","")&amp;IF(AND(CI361=1,CJ361&lt;CK361),"MAX &lt; MB+LG; ","")&amp;IF(AND(CQ361&gt;0,CP361*10&gt;CQ361),"zu hoch für Tablar; ","")&amp;IF(AND(BW361=0,OR(CI361=1,AB361&lt;&gt;"",U361&lt;&gt;"",V361&lt;&gt;"",AC361&lt;&gt;"")),"manuell übersteuert; ","")&amp;IF(AND(CA361=0,R361=0),"Gebinde unbekannt / Stellmass fehlt; ","")&amp;IF(AND(CA361=0,N(V361)&lt;=0,N(Q361)&lt;=0),"Menge pro Gebinde fehlt (Ist = 1 Gebinde); ","")&amp;BV361)</f>
        <v>Kein Verbrauch; Gebinde geschätzt (Klein); Überbestand 20 Stk / CHF 134; Menge pro Gebinde fehlt (Ist = 1 Gebinde); </v>
      </c>
      <c r="BO361" s="60"/>
      <c r="BP361" s="60"/>
      <c r="BQ361" s="67"/>
      <c r="BR361" s="62" t="n">
        <v>25</v>
      </c>
      <c r="BS361" s="62" t="n">
        <v>0</v>
      </c>
      <c r="BT361" s="61" t="n">
        <v>167.5</v>
      </c>
      <c r="BU361" s="62" t="n">
        <v>0</v>
      </c>
      <c r="BV361" s="60"/>
      <c r="BW361" s="65" t="n">
        <v>0</v>
      </c>
      <c r="BX361" s="65" t="n">
        <v>361</v>
      </c>
      <c r="BY361" s="60" t="str">
        <f aca="false">IF(U361&lt;&gt;"",UPPER(TRIM(U361)),IF(CB361=1,UPPER(VLOOKUP(T361,Parameter!$I$27:$K$29,2,0)),IF(P361="","LOSE",P361)))</f>
        <v>S51</v>
      </c>
      <c r="BZ361" s="62" t="n">
        <f aca="false">IF(BY361="LOSE",1,IF(N(V361)&gt;0,V361,IF(CB361=1,MAX(1,N(VLOOKUP(T361,Parameter!$I$27:$K$29,3,0)),H361,N(N361)),IF(N(Q361)&gt;0,Q361,MAX(1,H361)))))</f>
        <v>25</v>
      </c>
      <c r="CA361" s="65" t="n">
        <f aca="false">IF(BY361="LOSE",1,0)</f>
        <v>0</v>
      </c>
      <c r="CB361" s="65" t="n">
        <f aca="false">IF(AND(U361="",OR(P361="",P361="LOSE"),T361&lt;&gt;"",N(S361)&lt;=0,ISNUMBER(MATCH(T361,Parameter!$I$27:$I$29,0))),1,0)</f>
        <v>1</v>
      </c>
      <c r="CC361" s="65" t="n">
        <f aca="false">IF(CR361&gt;0,INDEX(Parameter!$H$5:$H$7,W361)/INDEX(Parameter!$E$5:$E$7,W361),IF(AND(CA361=0,N(IFERROR(VLOOKUP(BY361,'Gebinde-Kategorie'!$A$5:$N$45,14,0),0))&gt;0),VLOOKUP(BY361,'Gebinde-Kategorie'!$A$5:$N$45,14,0)*10+Parameter!$M$23,Parameter!$M$24))</f>
        <v>155</v>
      </c>
      <c r="CD361" s="60" t="str">
        <f aca="false">IF(AND(Parameter!$B$19="Ja",E361&lt;&gt;"",ISNUMBER(MATCH(E361,Parameter!$I$35:$I$52,0))),VLOOKUP(E361,Parameter!$I$35:$J$52,2,0),IFERROR(VLOOKUP(D361,Parameter!$A$35:$C$64,2,0),"Nein"))</f>
        <v>2+3</v>
      </c>
      <c r="CE361" s="64" t="n">
        <f aca="false">IF(CA361=0,0,IF(N(S361)&gt;0,S361,IFERROR(VLOOKUP(D361,Parameter!$A$35:$C$64,3,0)+0,0)))</f>
        <v>0</v>
      </c>
      <c r="CF361" s="60" t="n">
        <f aca="false">IF(AB361&lt;&gt;"",AB361,AA361)</f>
        <v>3</v>
      </c>
      <c r="CG361" s="60" t="str">
        <f aca="false">IF(OR(CF361=1,CF361=2,CF361=3),IF(Parameter!$E$27="Ja","LIFT",IF(CF361=1,"L1","L23")),IF(CF361="Aussen","Aussen","-"))</f>
        <v>LIFT</v>
      </c>
      <c r="CH361" s="71" t="n">
        <f aca="false">IF(N(AC361)&gt;0,AC361,0)</f>
        <v>0</v>
      </c>
      <c r="CI361" s="65" t="n">
        <f aca="false">IF(ISNUMBER(AF361),1,0)</f>
        <v>0</v>
      </c>
      <c r="CJ361" s="62" t="n">
        <f aca="false">N(AF361)</f>
        <v>0</v>
      </c>
      <c r="CK361" s="62" t="n">
        <f aca="false">N(M361)+N(N361)</f>
        <v>5</v>
      </c>
      <c r="CL361" s="62" t="n">
        <f aca="false">N(M361)</f>
        <v>0</v>
      </c>
      <c r="CM361" s="62" t="n">
        <f aca="false">N(N361)</f>
        <v>5</v>
      </c>
      <c r="CN361" s="62" t="n">
        <f aca="false">ROUNDUP(H361/BZ361,0)</f>
        <v>1</v>
      </c>
      <c r="CO361" s="62" t="n">
        <f aca="false">ROUNDUP(CJ361/BZ361,0)</f>
        <v>0</v>
      </c>
      <c r="CP361" s="65" t="n">
        <f aca="false">IF(CA361=1,0,IFERROR(VLOOKUP(BY361,'Gebinde-Kategorie'!$A$5:$N$45,5,0)+0,0))</f>
        <v>11</v>
      </c>
      <c r="CQ361" s="65" t="n">
        <f aca="false">IFERROR(IF(OR(CF361=1,CF361=2,CF361=3),N(INDEX(Parameter!$I$5:$I$7,CF361)),0),0)</f>
        <v>0</v>
      </c>
      <c r="CR361" s="64" t="n">
        <f aca="false">IF(AND(Parameter!$B$21="Ja",ISNUMBER(W361),N(X361)&gt;0),IFERROR(N(INDEX(Parameter!$L$5:$L$7,W361))*INDEX(Parameter!$E$5:$E$7,W361)*X361/SUMIFS($X$7:$X$1843,$W$7:$W$1843,W361),0),0)</f>
        <v>0</v>
      </c>
      <c r="CS361" s="62" t="n">
        <f aca="false">IF(AND(OR(CG361="L1",CG361="L23",CG361="LIFT"),H361&gt;0),CC361*IF(CR361&gt;0,CR361*MAX(1,H361/X361),IF(CA361=1,CE361,IF(R361&gt;0,CN361/R361,0))/MAX(0.1,N(Parameter!$M$21))),"")</f>
        <v>5.96153846153846</v>
      </c>
      <c r="CT361" s="64" t="n">
        <f aca="false">IF(CS361="","",J361/H361)</f>
        <v>0</v>
      </c>
      <c r="CU361" s="62" t="n">
        <f aca="false">IF(CS361="","",H361*G361)</f>
        <v>167.5</v>
      </c>
      <c r="CV361" s="63" t="n">
        <f aca="false">IF(CS361="","",(CL361+ROUNDUP(CL361+MAX(CM361,2*(J361/MAX(0.1,N(Einkauf!$C$6))-CL361)),0))/2)</f>
        <v>2.5</v>
      </c>
      <c r="CW361" s="62" t="n">
        <f aca="false">IF(CS361="","",MAX(0,H361-CV361)*G361)</f>
        <v>150.75</v>
      </c>
      <c r="CX361" s="62" t="n">
        <f aca="false">IF(CS361="","",CS361*MAX(0,1-CV361/H361))</f>
        <v>5.36538461538462</v>
      </c>
      <c r="CY361" s="64" t="n">
        <f aca="false">IF(CS361="","",PERCENTRANK($CS$7:$CS$1843,CS361)+PERCENTRANK($CU$7:$CU$1843,CU361)+1-PERCENTRANK($CT$7:$CT$1843,CT361))</f>
        <v>1.666</v>
      </c>
      <c r="CZ361" s="72" t="n">
        <f aca="false">IF(CS361="","",CHOOSE(MATCH(Einkauf!$C$5,Parameter!$G$23:$G$27,0),CY361,CS361,CU361,-CT361,CW361)+ROW()/1000000000)</f>
        <v>1.666000361</v>
      </c>
    </row>
    <row r="362" customFormat="false" ht="15" hidden="false" customHeight="false" outlineLevel="0" collapsed="false">
      <c r="A362" s="60" t="s">
        <v>916</v>
      </c>
      <c r="B362" s="60" t="s">
        <v>917</v>
      </c>
      <c r="C362" s="60" t="s">
        <v>206</v>
      </c>
      <c r="D362" s="60" t="s">
        <v>215</v>
      </c>
      <c r="E362" s="60"/>
      <c r="F362" s="60" t="s">
        <v>260</v>
      </c>
      <c r="G362" s="61" t="n">
        <v>33.5</v>
      </c>
      <c r="H362" s="62" t="n">
        <f aca="false">MAX(0,IF(AND(Parameter!$B$21="Ja",ISNUMBER(Y362)),Y362,IF(Parameter!$B$20="Jahresanfang 2025 + Export",BS362+BR362,BR362)))</f>
        <v>14</v>
      </c>
      <c r="I362" s="62" t="n">
        <f aca="false">H362*G362</f>
        <v>469</v>
      </c>
      <c r="J362" s="62" t="n">
        <f aca="false">BU362*Parameter!$B$18</f>
        <v>21</v>
      </c>
      <c r="K362" s="63" t="n">
        <v>9.5</v>
      </c>
      <c r="L362" s="64" t="n">
        <v>2.21052631578947</v>
      </c>
      <c r="M362" s="62" t="n">
        <v>3</v>
      </c>
      <c r="N362" s="62" t="n">
        <v>20</v>
      </c>
      <c r="O362" s="65" t="n">
        <v>56</v>
      </c>
      <c r="P362" s="60" t="s">
        <v>265</v>
      </c>
      <c r="Q362" s="62" t="n">
        <v>24</v>
      </c>
      <c r="R362" s="65" t="n">
        <f aca="false">IF(CA362=1,0,IFERROR(VLOOKUP(BY362,'Gebinde-Kategorie'!$A$5:$N$45,13,0)+0,0))</f>
        <v>4</v>
      </c>
      <c r="S362" s="66"/>
      <c r="T362" s="67"/>
      <c r="U362" s="67"/>
      <c r="V362" s="67"/>
      <c r="W362" s="60"/>
      <c r="X362" s="62"/>
      <c r="Y362" s="62"/>
      <c r="Z362" s="60" t="n">
        <v>2</v>
      </c>
      <c r="AA362" s="60" t="n">
        <f aca="false">IF(A362="","",IF(AND(Parameter!$B$21="Ja",ISNUMBER(W362)),W362,IF(AND(Parameter!$E$27="Ja",ISNUMBER(Z362),CD362&lt;&gt;"Nein"),Z362,IF(CD362="2+3",IF(ISNUMBER(SEARCH("grosser Artikel",BV362)),2,IFERROR(VLOOKUP(BY362,Parameter!$F$35:$G$64,2,0),2)),IF(OR(CD362="Nein",CD362=""),"-",CD362)))))</f>
        <v>2</v>
      </c>
      <c r="AB362" s="67"/>
      <c r="AC362" s="68"/>
      <c r="AD362" s="62" t="n">
        <f aca="false">AW362</f>
        <v>23</v>
      </c>
      <c r="AE362" s="62" t="n">
        <f aca="false">MAX(AW362,H362)</f>
        <v>23</v>
      </c>
      <c r="AF362" s="69"/>
      <c r="AG362" s="62" t="n">
        <f aca="false">IF(LEFT(Cockpit!$C$5,1)="A",H362,IF(Parameter!$E$30="MAX-Bestand",IF(CI362=1,CJ362,IF(LEFT(Cockpit!$C$5,1)="B",AM362,MAX(AM362,H362))),ROUNDUP(AK362,0)))</f>
        <v>14</v>
      </c>
      <c r="AH362" s="62" t="n">
        <f aca="false">IF(CA362=1,0,ROUNDUP(AG362/BZ362,0))</f>
        <v>1</v>
      </c>
      <c r="AI362" s="64" t="n">
        <f aca="false">IF(CR362&gt;0,CR362*MAX(1,AG362/X362),IF(CA362=1,IF(AG362&lt;=0,0,CE362*MAX(1,IF(H362&gt;0,AG362/H362,1))),IF(R362&gt;0,AH362/R362,0))/MAX(0.1,N(Parameter!$M$21)))</f>
        <v>0.25</v>
      </c>
      <c r="AJ362" s="62" t="n">
        <f aca="false">AI362*CC362</f>
        <v>58.75</v>
      </c>
      <c r="AK362" s="63" t="n">
        <f aca="false">IF(LEFT(Cockpit!$C$5,1)="A",H362,IF(CI362=1,(CL362+CJ362)/2,IF(LEFT(Cockpit!$C$5,1)="B",(CL362+AM362)/2,MAX((CL362+AM362)/2,H362))))</f>
        <v>14</v>
      </c>
      <c r="AL362" s="62" t="n">
        <f aca="false">AK362*G362</f>
        <v>469</v>
      </c>
      <c r="AM362" s="62" t="n">
        <f aca="false">ROUNDUP(CL362+MAX(CM362,2*(J362/IF(CH362&gt;0,CH362,MAX(0.1,N(Cockpit!$C$6)))-CL362)),0)</f>
        <v>23</v>
      </c>
      <c r="AN362" s="63" t="n">
        <f aca="false">IF(AJ362&gt;0,J362/AJ362,-1)</f>
        <v>0.357446808510638</v>
      </c>
      <c r="AO362" s="63" t="n">
        <f aca="false">IF(AND(OR(CG362="L1",CG362="L23",CG362="LIFT"),AJ362&gt;0),SUMIFS($AJ$7:$AJ$1843,$CG$7:$CG$1843,CG362,$AN$7:$AN$1843,"&gt;"&amp;AN362)+SUMIFS($AJ$7:$AJ$1843,$CG$7:$CG$1843,CG362,$AN$7:$AN$1843,AN362,$BX$7:$BX$1843,"&lt;="&amp;BX362),"")</f>
        <v>10678.0833048778</v>
      </c>
      <c r="AP362" s="70" t="n">
        <f aca="false">IF(AO362="",0,MAX(0,MIN(1,(IF(CG362="L1",Parameter!$H$5,IF(CG362="L23",Parameter!$H$6+Parameter!$H$7,Parameter!$H$5+Parameter!$H$6+Parameter!$H$7))-(AO362-AJ362))/AJ362)))</f>
        <v>1</v>
      </c>
      <c r="AQ362" s="62" t="n">
        <f aca="false">IF(LEFT(Cockpit!$I$5,1)="A",H362,IF(Parameter!$E$30="MAX-Bestand",IF(CI362=1,CJ362,IF(LEFT(Cockpit!$I$5,1)="B",AW362,MAX(AW362,H362))),ROUNDUP(AU362,0)))</f>
        <v>14</v>
      </c>
      <c r="AR362" s="62" t="n">
        <f aca="false">IF(CA362=1,0,ROUNDUP(AQ362/BZ362,0))</f>
        <v>1</v>
      </c>
      <c r="AS362" s="64" t="n">
        <f aca="false">IF(CR362&gt;0,CR362*MAX(1,AQ362/X362),IF(CA362=1,IF(AQ362&lt;=0,0,CE362*MAX(1,IF(H362&gt;0,AQ362/H362,1))),IF(R362&gt;0,AR362/R362,0))/MAX(0.1,N(Parameter!$M$21)))</f>
        <v>0.25</v>
      </c>
      <c r="AT362" s="62" t="n">
        <f aca="false">AS362*CC362</f>
        <v>58.75</v>
      </c>
      <c r="AU362" s="63" t="n">
        <f aca="false">IF(LEFT(Cockpit!$I$5,1)="A",H362,IF(CI362=1,(CL362+CJ362)/2,IF(LEFT(Cockpit!$I$5,1)="B",(CL362+AW362)/2,MAX((CL362+AW362)/2,H362))))</f>
        <v>14</v>
      </c>
      <c r="AV362" s="62" t="n">
        <f aca="false">AU362*G362</f>
        <v>469</v>
      </c>
      <c r="AW362" s="62" t="n">
        <f aca="false">ROUNDUP(CL362+MAX(CM362,2*(J362/IF(CH362&gt;0,CH362,MAX(0.1,N(Cockpit!$I$6)))-CL362)),0)</f>
        <v>23</v>
      </c>
      <c r="AX362" s="63" t="n">
        <f aca="false">IF(AT362&gt;0,J362/AT362,-1)</f>
        <v>0.357446808510638</v>
      </c>
      <c r="AY362" s="63" t="n">
        <f aca="false">IF(AND(OR(CG362="L1",CG362="L23",CG362="LIFT"),AT362&gt;0),SUMIFS($AT$7:$AT$1843,$CG$7:$CG$1843,CG362,$AX$7:$AX$1843,"&gt;"&amp;AX362)+SUMIFS($AT$7:$AT$1843,$CG$7:$CG$1843,CG362,$AX$7:$AX$1843,AX362,$BX$7:$BX$1843,"&lt;="&amp;BX362),"")</f>
        <v>13409.8365384615</v>
      </c>
      <c r="AZ362" s="70" t="n">
        <f aca="false">IF(AY362="",0,MAX(0,MIN(1,(IF(CG362="L1",Parameter!$H$5,IF(CG362="L23",Parameter!$H$6+Parameter!$H$7,Parameter!$H$5+Parameter!$H$6+Parameter!$H$7))-(AY362-AT362))/AT362)))</f>
        <v>1</v>
      </c>
      <c r="BA362" s="62" t="n">
        <f aca="false">IF(LEFT(Cockpit!$O$5,1)="A",H362,IF(Parameter!$E$30="MAX-Bestand",IF(CI362=1,CJ362,IF(LEFT(Cockpit!$O$5,1)="B",BG362,MAX(BG362,H362))),ROUNDUP(BE362,0)))</f>
        <v>13</v>
      </c>
      <c r="BB362" s="62" t="n">
        <f aca="false">IF(CA362=1,0,ROUNDUP(BA362/BZ362,0))</f>
        <v>1</v>
      </c>
      <c r="BC362" s="64" t="n">
        <f aca="false">IF(CR362&gt;0,CR362*MAX(1,BA362/X362),IF(CA362=1,IF(BA362&lt;=0,0,CE362*MAX(1,IF(H362&gt;0,BA362/H362,1))),IF(R362&gt;0,BB362/R362,0))/MAX(0.1,N(Parameter!$M$21)))</f>
        <v>0.25</v>
      </c>
      <c r="BD362" s="62" t="n">
        <f aca="false">BC362*CC362</f>
        <v>58.75</v>
      </c>
      <c r="BE362" s="63" t="n">
        <f aca="false">IF(LEFT(Cockpit!$O$5,1)="A",H362,IF(CI362=1,(CL362+CJ362)/2,IF(LEFT(Cockpit!$O$5,1)="B",(CL362+BG362)/2,MAX((CL362+BG362)/2,H362))))</f>
        <v>13</v>
      </c>
      <c r="BF362" s="62" t="n">
        <f aca="false">BE362*G362</f>
        <v>435.5</v>
      </c>
      <c r="BG362" s="62" t="n">
        <f aca="false">ROUNDUP(CL362+MAX(CM362,2*(J362/IF(CH362&gt;0,CH362,MAX(0.1,N(Cockpit!$O$6)))-CL362)),0)</f>
        <v>23</v>
      </c>
      <c r="BH362" s="63" t="n">
        <f aca="false">IF(BD362&gt;0,J362/BD362,-1)</f>
        <v>0.357446808510638</v>
      </c>
      <c r="BI362" s="63" t="n">
        <f aca="false">IF(AND(OR(CG362="L1",CG362="L23",CG362="LIFT"),BD362&gt;0),SUMIFS($BD$7:$BD$1843,$CG$7:$CG$1843,CG362,$BH$7:$BH$1843,"&gt;"&amp;BH362)+SUMIFS($BD$7:$BD$1843,$CG$7:$CG$1843,CG362,$BH$7:$BH$1843,BH362,$BX$7:$BX$1843,"&lt;="&amp;BX362),"")</f>
        <v>11435.603021978</v>
      </c>
      <c r="BJ362" s="70" t="n">
        <f aca="false">IF(BI362="",0,MAX(0,MIN(1,(IF(CG362="L1",Parameter!$H$5,IF(CG362="L23",Parameter!$H$6+Parameter!$H$7,Parameter!$H$5+Parameter!$H$6+Parameter!$H$7))-(BI362-BD362))/BD362)))</f>
        <v>1</v>
      </c>
      <c r="BK362" s="60" t="str">
        <f aca="false">IF(AJ362&lt;=0,"",IF(CG362="Aussen","Aussenlager",IF(CG362="-","Nicht im Lift",IF(AP362&gt;=1,"Lift",IF(AP362&lt;=0,"Aussenlager","teilweise")))))</f>
        <v>Lift</v>
      </c>
      <c r="BL362" s="60" t="str">
        <f aca="false">IF(AT362&lt;=0,"",IF(CG362="Aussen","Aussenlager",IF(CG362="-","Nicht im Lift",IF(AZ362&gt;=1,"Lift",IF(AZ362&lt;=0,"Aussenlager","teilweise")))))</f>
        <v>Lift</v>
      </c>
      <c r="BM362" s="60" t="str">
        <f aca="false">IF(BD362&lt;=0,"",IF(CG362="Aussen","Aussenlager",IF(CG362="-","Nicht im Lift",IF(BJ362&gt;=1,"Lift",IF(BJ362&lt;=0,"Aussenlager","teilweise")))))</f>
        <v>Lift</v>
      </c>
      <c r="BN362" s="60" t="str">
        <f aca="false">IF(A362="","",IF(BW362=1,"Neu; ","")&amp;IF(AND(BW362=0,BR362&lt;0),"negativer Bestand (Export "&amp;BR362&amp;"); ","")&amp;IF(J362&lt;=0,"Kein Verbrauch; ","")&amp;IF(CR362&gt;0,"Lift "&amp;W362&amp;" lt. Liftbericht (Fach "&amp;X362&amp;" Stk); ",IF(CB362=1,"Gebinde geschätzt ("&amp;T362&amp;"); ",IF(CA362=1,"Lose – Tablare geschätzt; ","")))&amp;IF(H362&gt;AW362,"Überbestand "&amp;ROUND(H362-AW362,0)&amp;" Stk / CHF "&amp;ROUND((H362-AW362)*G362,0)&amp;"; ","")&amp;IF(AND(CI362=1,CJ362&lt;CK362),"MAX &lt; MB+LG; ","")&amp;IF(AND(CQ362&gt;0,CP362*10&gt;CQ362),"zu hoch für Tablar; ","")&amp;IF(AND(BW362=0,OR(CI362=1,AB362&lt;&gt;"",U362&lt;&gt;"",V362&lt;&gt;"",AC362&lt;&gt;"")),"manuell übersteuert; ","")&amp;IF(AND(CA362=0,R362=0),"Gebinde unbekannt / Stellmass fehlt; ","")&amp;IF(AND(CA362=0,N(V362)&lt;=0,N(Q362)&lt;=0),"Menge pro Gebinde fehlt (Ist = 1 Gebinde); ","")&amp;BV362)</f>
        <v/>
      </c>
      <c r="BO362" s="60"/>
      <c r="BP362" s="60"/>
      <c r="BQ362" s="67"/>
      <c r="BR362" s="62" t="n">
        <v>5</v>
      </c>
      <c r="BS362" s="62" t="n">
        <v>9</v>
      </c>
      <c r="BT362" s="61" t="n">
        <v>167.5</v>
      </c>
      <c r="BU362" s="62" t="n">
        <v>21</v>
      </c>
      <c r="BV362" s="60"/>
      <c r="BW362" s="65" t="n">
        <v>0</v>
      </c>
      <c r="BX362" s="65" t="n">
        <v>362</v>
      </c>
      <c r="BY362" s="60" t="str">
        <f aca="false">IF(U362&lt;&gt;"",UPPER(TRIM(U362)),IF(CB362=1,UPPER(VLOOKUP(T362,Parameter!$I$27:$K$29,2,0)),IF(P362="","LOSE",P362)))</f>
        <v>S81</v>
      </c>
      <c r="BZ362" s="62" t="n">
        <f aca="false">IF(BY362="LOSE",1,IF(N(V362)&gt;0,V362,IF(CB362=1,MAX(1,N(VLOOKUP(T362,Parameter!$I$27:$K$29,3,0)),H362,N(N362)),IF(N(Q362)&gt;0,Q362,MAX(1,H362)))))</f>
        <v>24</v>
      </c>
      <c r="CA362" s="65" t="n">
        <f aca="false">IF(BY362="LOSE",1,0)</f>
        <v>0</v>
      </c>
      <c r="CB362" s="65" t="n">
        <f aca="false">IF(AND(U362="",OR(P362="",P362="LOSE"),T362&lt;&gt;"",N(S362)&lt;=0,ISNUMBER(MATCH(T362,Parameter!$I$27:$I$29,0))),1,0)</f>
        <v>0</v>
      </c>
      <c r="CC362" s="65" t="n">
        <f aca="false">IF(CR362&gt;0,INDEX(Parameter!$H$5:$H$7,W362)/INDEX(Parameter!$E$5:$E$7,W362),IF(AND(CA362=0,N(IFERROR(VLOOKUP(BY362,'Gebinde-Kategorie'!$A$5:$N$45,14,0),0))&gt;0),VLOOKUP(BY362,'Gebinde-Kategorie'!$A$5:$N$45,14,0)*10+Parameter!$M$23,Parameter!$M$24))</f>
        <v>235</v>
      </c>
      <c r="CD362" s="60" t="str">
        <f aca="false">IF(AND(Parameter!$B$19="Ja",E362&lt;&gt;"",ISNUMBER(MATCH(E362,Parameter!$I$35:$I$52,0))),VLOOKUP(E362,Parameter!$I$35:$J$52,2,0),IFERROR(VLOOKUP(D362,Parameter!$A$35:$C$64,2,0),"Nein"))</f>
        <v>2+3</v>
      </c>
      <c r="CE362" s="64" t="n">
        <f aca="false">IF(CA362=0,0,IF(N(S362)&gt;0,S362,IFERROR(VLOOKUP(D362,Parameter!$A$35:$C$64,3,0)+0,0)))</f>
        <v>0</v>
      </c>
      <c r="CF362" s="60" t="n">
        <f aca="false">IF(AB362&lt;&gt;"",AB362,AA362)</f>
        <v>2</v>
      </c>
      <c r="CG362" s="60" t="str">
        <f aca="false">IF(OR(CF362=1,CF362=2,CF362=3),IF(Parameter!$E$27="Ja","LIFT",IF(CF362=1,"L1","L23")),IF(CF362="Aussen","Aussen","-"))</f>
        <v>LIFT</v>
      </c>
      <c r="CH362" s="71" t="n">
        <f aca="false">IF(N(AC362)&gt;0,AC362,0)</f>
        <v>0</v>
      </c>
      <c r="CI362" s="65" t="n">
        <f aca="false">IF(ISNUMBER(AF362),1,0)</f>
        <v>0</v>
      </c>
      <c r="CJ362" s="62" t="n">
        <f aca="false">N(AF362)</f>
        <v>0</v>
      </c>
      <c r="CK362" s="62" t="n">
        <f aca="false">N(M362)+N(N362)</f>
        <v>23</v>
      </c>
      <c r="CL362" s="62" t="n">
        <f aca="false">N(M362)</f>
        <v>3</v>
      </c>
      <c r="CM362" s="62" t="n">
        <f aca="false">N(N362)</f>
        <v>20</v>
      </c>
      <c r="CN362" s="62" t="n">
        <f aca="false">ROUNDUP(H362/BZ362,0)</f>
        <v>1</v>
      </c>
      <c r="CO362" s="62" t="n">
        <f aca="false">ROUNDUP(CJ362/BZ362,0)</f>
        <v>0</v>
      </c>
      <c r="CP362" s="65" t="n">
        <f aca="false">IF(CA362=1,0,IFERROR(VLOOKUP(BY362,'Gebinde-Kategorie'!$A$5:$N$45,5,0)+0,0))</f>
        <v>20</v>
      </c>
      <c r="CQ362" s="65" t="n">
        <f aca="false">IFERROR(IF(OR(CF362=1,CF362=2,CF362=3),N(INDEX(Parameter!$I$5:$I$7,CF362)),0),0)</f>
        <v>0</v>
      </c>
      <c r="CR362" s="64" t="n">
        <f aca="false">IF(AND(Parameter!$B$21="Ja",ISNUMBER(W362),N(X362)&gt;0),IFERROR(N(INDEX(Parameter!$L$5:$L$7,W362))*INDEX(Parameter!$E$5:$E$7,W362)*X362/SUMIFS($X$7:$X$1843,$W$7:$W$1843,W362),0),0)</f>
        <v>0</v>
      </c>
      <c r="CS362" s="62" t="n">
        <f aca="false">IF(AND(OR(CG362="L1",CG362="L23",CG362="LIFT"),H362&gt;0),CC362*IF(CR362&gt;0,CR362*MAX(1,H362/X362),IF(CA362=1,CE362,IF(R362&gt;0,CN362/R362,0))/MAX(0.1,N(Parameter!$M$21))),"")</f>
        <v>58.75</v>
      </c>
      <c r="CT362" s="64" t="n">
        <f aca="false">IF(CS362="","",J362/H362)</f>
        <v>1.5</v>
      </c>
      <c r="CU362" s="62" t="n">
        <f aca="false">IF(CS362="","",H362*G362)</f>
        <v>469</v>
      </c>
      <c r="CV362" s="63" t="n">
        <f aca="false">IF(CS362="","",(CL362+ROUNDUP(CL362+MAX(CM362,2*(J362/MAX(0.1,N(Einkauf!$C$6))-CL362)),0))/2)</f>
        <v>13</v>
      </c>
      <c r="CW362" s="62" t="n">
        <f aca="false">IF(CS362="","",MAX(0,H362-CV362)*G362)</f>
        <v>33.5</v>
      </c>
      <c r="CX362" s="62" t="n">
        <f aca="false">IF(CS362="","",CS362*MAX(0,1-CV362/H362))</f>
        <v>4.19642857142857</v>
      </c>
      <c r="CY362" s="64" t="n">
        <f aca="false">IF(CS362="","",PERCENTRANK($CS$7:$CS$1843,CS362)+PERCENTRANK($CU$7:$CU$1843,CU362)+1-PERCENTRANK($CT$7:$CT$1843,CT362))</f>
        <v>1.659</v>
      </c>
      <c r="CZ362" s="72" t="n">
        <f aca="false">IF(CS362="","",CHOOSE(MATCH(Einkauf!$C$5,Parameter!$G$23:$G$27,0),CY362,CS362,CU362,-CT362,CW362)+ROW()/1000000000)</f>
        <v>1.659000362</v>
      </c>
    </row>
    <row r="363" customFormat="false" ht="15" hidden="false" customHeight="false" outlineLevel="0" collapsed="false">
      <c r="A363" s="60" t="s">
        <v>918</v>
      </c>
      <c r="B363" s="60" t="s">
        <v>899</v>
      </c>
      <c r="C363" s="60" t="s">
        <v>206</v>
      </c>
      <c r="D363" s="60" t="s">
        <v>226</v>
      </c>
      <c r="E363" s="60"/>
      <c r="F363" s="60" t="s">
        <v>260</v>
      </c>
      <c r="G363" s="61" t="n">
        <v>138.25</v>
      </c>
      <c r="H363" s="62" t="n">
        <f aca="false">MAX(0,IF(AND(Parameter!$B$21="Ja",ISNUMBER(Y363)),Y363,IF(Parameter!$B$20="Jahresanfang 2025 + Export",BS363+BR363,BR363)))</f>
        <v>5</v>
      </c>
      <c r="I363" s="62" t="n">
        <f aca="false">H363*G363</f>
        <v>691.25</v>
      </c>
      <c r="J363" s="62" t="n">
        <f aca="false">BU363*Parameter!$B$18</f>
        <v>2</v>
      </c>
      <c r="K363" s="63" t="n">
        <v>5</v>
      </c>
      <c r="L363" s="64" t="n">
        <v>0.4</v>
      </c>
      <c r="M363" s="62" t="n">
        <v>0</v>
      </c>
      <c r="N363" s="62" t="n">
        <v>1</v>
      </c>
      <c r="O363" s="65" t="n">
        <v>35</v>
      </c>
      <c r="P363" s="60" t="s">
        <v>468</v>
      </c>
      <c r="Q363" s="62" t="n">
        <v>5</v>
      </c>
      <c r="R363" s="65" t="n">
        <f aca="false">IF(CA363=1,0,IFERROR(VLOOKUP(BY363,'Gebinde-Kategorie'!$A$5:$N$45,13,0)+0,0))</f>
        <v>140</v>
      </c>
      <c r="S363" s="66"/>
      <c r="T363" s="67"/>
      <c r="U363" s="67"/>
      <c r="V363" s="67"/>
      <c r="W363" s="60"/>
      <c r="X363" s="62"/>
      <c r="Y363" s="62"/>
      <c r="Z363" s="60" t="n">
        <v>2</v>
      </c>
      <c r="AA363" s="60" t="n">
        <f aca="false">IF(A363="","",IF(AND(Parameter!$B$21="Ja",ISNUMBER(W363)),W363,IF(AND(Parameter!$E$27="Ja",ISNUMBER(Z363),CD363&lt;&gt;"Nein"),Z363,IF(CD363="2+3",IF(ISNUMBER(SEARCH("grosser Artikel",BV363)),2,IFERROR(VLOOKUP(BY363,Parameter!$F$35:$G$64,2,0),2)),IF(OR(CD363="Nein",CD363=""),"-",CD363)))))</f>
        <v>2</v>
      </c>
      <c r="AB363" s="67"/>
      <c r="AC363" s="68"/>
      <c r="AD363" s="62" t="n">
        <f aca="false">AW363</f>
        <v>2</v>
      </c>
      <c r="AE363" s="62" t="n">
        <f aca="false">MAX(AW363,H363)</f>
        <v>5</v>
      </c>
      <c r="AF363" s="69"/>
      <c r="AG363" s="62" t="n">
        <f aca="false">IF(LEFT(Cockpit!$C$5,1)="A",H363,IF(Parameter!$E$30="MAX-Bestand",IF(CI363=1,CJ363,IF(LEFT(Cockpit!$C$5,1)="B",AM363,MAX(AM363,H363))),ROUNDUP(AK363,0)))</f>
        <v>5</v>
      </c>
      <c r="AH363" s="62" t="n">
        <f aca="false">IF(CA363=1,0,ROUNDUP(AG363/BZ363,0))</f>
        <v>1</v>
      </c>
      <c r="AI363" s="64" t="n">
        <f aca="false">IF(CR363&gt;0,CR363*MAX(1,AG363/X363),IF(CA363=1,IF(AG363&lt;=0,0,CE363*MAX(1,IF(H363&gt;0,AG363/H363,1))),IF(R363&gt;0,AH363/R363,0))/MAX(0.1,N(Parameter!$M$21)))</f>
        <v>0.00714285714285714</v>
      </c>
      <c r="AJ363" s="62" t="n">
        <f aca="false">AI363*CC363</f>
        <v>1.10714285714286</v>
      </c>
      <c r="AK363" s="63" t="n">
        <f aca="false">IF(LEFT(Cockpit!$C$5,1)="A",H363,IF(CI363=1,(CL363+CJ363)/2,IF(LEFT(Cockpit!$C$5,1)="B",(CL363+AM363)/2,MAX((CL363+AM363)/2,H363))))</f>
        <v>5</v>
      </c>
      <c r="AL363" s="62" t="n">
        <f aca="false">AK363*G363</f>
        <v>691.25</v>
      </c>
      <c r="AM363" s="62" t="n">
        <f aca="false">ROUNDUP(CL363+MAX(CM363,2*(J363/IF(CH363&gt;0,CH363,MAX(0.1,N(Cockpit!$C$6)))-CL363)),0)</f>
        <v>2</v>
      </c>
      <c r="AN363" s="63" t="n">
        <f aca="false">IF(AJ363&gt;0,J363/AJ363,-1)</f>
        <v>1.80645161290323</v>
      </c>
      <c r="AO363" s="63" t="n">
        <f aca="false">IF(AND(OR(CG363="L1",CG363="L23",CG363="LIFT"),AJ363&gt;0),SUMIFS($AJ$7:$AJ$1843,$CG$7:$CG$1843,CG363,$AN$7:$AN$1843,"&gt;"&amp;AN363)+SUMIFS($AJ$7:$AJ$1843,$CG$7:$CG$1843,CG363,$AN$7:$AN$1843,AN363,$BX$7:$BX$1843,"&lt;="&amp;BX363),"")</f>
        <v>5962.02243589744</v>
      </c>
      <c r="AP363" s="70" t="n">
        <f aca="false">IF(AO363="",0,MAX(0,MIN(1,(IF(CG363="L1",Parameter!$H$5,IF(CG363="L23",Parameter!$H$6+Parameter!$H$7,Parameter!$H$5+Parameter!$H$6+Parameter!$H$7))-(AO363-AJ363))/AJ363)))</f>
        <v>1</v>
      </c>
      <c r="AQ363" s="62" t="n">
        <f aca="false">IF(LEFT(Cockpit!$I$5,1)="A",H363,IF(Parameter!$E$30="MAX-Bestand",IF(CI363=1,CJ363,IF(LEFT(Cockpit!$I$5,1)="B",AW363,MAX(AW363,H363))),ROUNDUP(AU363,0)))</f>
        <v>5</v>
      </c>
      <c r="AR363" s="62" t="n">
        <f aca="false">IF(CA363=1,0,ROUNDUP(AQ363/BZ363,0))</f>
        <v>1</v>
      </c>
      <c r="AS363" s="64" t="n">
        <f aca="false">IF(CR363&gt;0,CR363*MAX(1,AQ363/X363),IF(CA363=1,IF(AQ363&lt;=0,0,CE363*MAX(1,IF(H363&gt;0,AQ363/H363,1))),IF(R363&gt;0,AR363/R363,0))/MAX(0.1,N(Parameter!$M$21)))</f>
        <v>0.00714285714285714</v>
      </c>
      <c r="AT363" s="62" t="n">
        <f aca="false">AS363*CC363</f>
        <v>1.10714285714286</v>
      </c>
      <c r="AU363" s="63" t="n">
        <f aca="false">IF(LEFT(Cockpit!$I$5,1)="A",H363,IF(CI363=1,(CL363+CJ363)/2,IF(LEFT(Cockpit!$I$5,1)="B",(CL363+AW363)/2,MAX((CL363+AW363)/2,H363))))</f>
        <v>5</v>
      </c>
      <c r="AV363" s="62" t="n">
        <f aca="false">AU363*G363</f>
        <v>691.25</v>
      </c>
      <c r="AW363" s="62" t="n">
        <f aca="false">ROUNDUP(CL363+MAX(CM363,2*(J363/IF(CH363&gt;0,CH363,MAX(0.1,N(Cockpit!$I$6)))-CL363)),0)</f>
        <v>2</v>
      </c>
      <c r="AX363" s="63" t="n">
        <f aca="false">IF(AT363&gt;0,J363/AT363,-1)</f>
        <v>1.80645161290323</v>
      </c>
      <c r="AY363" s="63" t="n">
        <f aca="false">IF(AND(OR(CG363="L1",CG363="L23",CG363="LIFT"),AT363&gt;0),SUMIFS($AT$7:$AT$1843,$CG$7:$CG$1843,CG363,$AX$7:$AX$1843,"&gt;"&amp;AX363)+SUMIFS($AT$7:$AT$1843,$CG$7:$CG$1843,CG363,$AX$7:$AX$1843,AX363,$BX$7:$BX$1843,"&lt;="&amp;BX363),"")</f>
        <v>7399.54532967033</v>
      </c>
      <c r="AZ363" s="70" t="n">
        <f aca="false">IF(AY363="",0,MAX(0,MIN(1,(IF(CG363="L1",Parameter!$H$5,IF(CG363="L23",Parameter!$H$6+Parameter!$H$7,Parameter!$H$5+Parameter!$H$6+Parameter!$H$7))-(AY363-AT363))/AT363)))</f>
        <v>1</v>
      </c>
      <c r="BA363" s="62" t="n">
        <f aca="false">IF(LEFT(Cockpit!$O$5,1)="A",H363,IF(Parameter!$E$30="MAX-Bestand",IF(CI363=1,CJ363,IF(LEFT(Cockpit!$O$5,1)="B",BG363,MAX(BG363,H363))),ROUNDUP(BE363,0)))</f>
        <v>1</v>
      </c>
      <c r="BB363" s="62" t="n">
        <f aca="false">IF(CA363=1,0,ROUNDUP(BA363/BZ363,0))</f>
        <v>1</v>
      </c>
      <c r="BC363" s="64" t="n">
        <f aca="false">IF(CR363&gt;0,CR363*MAX(1,BA363/X363),IF(CA363=1,IF(BA363&lt;=0,0,CE363*MAX(1,IF(H363&gt;0,BA363/H363,1))),IF(R363&gt;0,BB363/R363,0))/MAX(0.1,N(Parameter!$M$21)))</f>
        <v>0.00714285714285714</v>
      </c>
      <c r="BD363" s="62" t="n">
        <f aca="false">BC363*CC363</f>
        <v>1.10714285714286</v>
      </c>
      <c r="BE363" s="63" t="n">
        <f aca="false">IF(LEFT(Cockpit!$O$5,1)="A",H363,IF(CI363=1,(CL363+CJ363)/2,IF(LEFT(Cockpit!$O$5,1)="B",(CL363+BG363)/2,MAX((CL363+BG363)/2,H363))))</f>
        <v>0.5</v>
      </c>
      <c r="BF363" s="62" t="n">
        <f aca="false">BE363*G363</f>
        <v>69.125</v>
      </c>
      <c r="BG363" s="62" t="n">
        <f aca="false">ROUNDUP(CL363+MAX(CM363,2*(J363/IF(CH363&gt;0,CH363,MAX(0.1,N(Cockpit!$O$6)))-CL363)),0)</f>
        <v>1</v>
      </c>
      <c r="BH363" s="63" t="n">
        <f aca="false">IF(BD363&gt;0,J363/BD363,-1)</f>
        <v>1.80645161290323</v>
      </c>
      <c r="BI363" s="63" t="n">
        <f aca="false">IF(AND(OR(CG363="L1",CG363="L23",CG363="LIFT"),BD363&gt;0),SUMIFS($BD$7:$BD$1843,$CG$7:$CG$1843,CG363,$BH$7:$BH$1843,"&gt;"&amp;BH363)+SUMIFS($BD$7:$BD$1843,$CG$7:$CG$1843,CG363,$BH$7:$BH$1843,BH363,$BX$7:$BX$1843,"&lt;="&amp;BX363),"")</f>
        <v>6087.46611721612</v>
      </c>
      <c r="BJ363" s="70" t="n">
        <f aca="false">IF(BI363="",0,MAX(0,MIN(1,(IF(CG363="L1",Parameter!$H$5,IF(CG363="L23",Parameter!$H$6+Parameter!$H$7,Parameter!$H$5+Parameter!$H$6+Parameter!$H$7))-(BI363-BD363))/BD363)))</f>
        <v>1</v>
      </c>
      <c r="BK363" s="60" t="str">
        <f aca="false">IF(AJ363&lt;=0,"",IF(CG363="Aussen","Aussenlager",IF(CG363="-","Nicht im Lift",IF(AP363&gt;=1,"Lift",IF(AP363&lt;=0,"Aussenlager","teilweise")))))</f>
        <v>Lift</v>
      </c>
      <c r="BL363" s="60" t="str">
        <f aca="false">IF(AT363&lt;=0,"",IF(CG363="Aussen","Aussenlager",IF(CG363="-","Nicht im Lift",IF(AZ363&gt;=1,"Lift",IF(AZ363&lt;=0,"Aussenlager","teilweise")))))</f>
        <v>Lift</v>
      </c>
      <c r="BM363" s="60" t="str">
        <f aca="false">IF(BD363&lt;=0,"",IF(CG363="Aussen","Aussenlager",IF(CG363="-","Nicht im Lift",IF(BJ363&gt;=1,"Lift",IF(BJ363&lt;=0,"Aussenlager","teilweise")))))</f>
        <v>Lift</v>
      </c>
      <c r="BN363" s="60" t="str">
        <f aca="false">IF(A363="","",IF(BW363=1,"Neu; ","")&amp;IF(AND(BW363=0,BR363&lt;0),"negativer Bestand (Export "&amp;BR363&amp;"); ","")&amp;IF(J363&lt;=0,"Kein Verbrauch; ","")&amp;IF(CR363&gt;0,"Lift "&amp;W363&amp;" lt. Liftbericht (Fach "&amp;X363&amp;" Stk); ",IF(CB363=1,"Gebinde geschätzt ("&amp;T363&amp;"); ",IF(CA363=1,"Lose – Tablare geschätzt; ","")))&amp;IF(H363&gt;AW363,"Überbestand "&amp;ROUND(H363-AW363,0)&amp;" Stk / CHF "&amp;ROUND((H363-AW363)*G363,0)&amp;"; ","")&amp;IF(AND(CI363=1,CJ363&lt;CK363),"MAX &lt; MB+LG; ","")&amp;IF(AND(CQ363&gt;0,CP363*10&gt;CQ363),"zu hoch für Tablar; ","")&amp;IF(AND(BW363=0,OR(CI363=1,AB363&lt;&gt;"",U363&lt;&gt;"",V363&lt;&gt;"",AC363&lt;&gt;"")),"manuell übersteuert; ","")&amp;IF(AND(CA363=0,R363=0),"Gebinde unbekannt / Stellmass fehlt; ","")&amp;IF(AND(CA363=0,N(V363)&lt;=0,N(Q363)&lt;=0),"Menge pro Gebinde fehlt (Ist = 1 Gebinde); ","")&amp;BV363)</f>
        <v>Überbestand 3 Stk / CHF 415; </v>
      </c>
      <c r="BO363" s="60"/>
      <c r="BP363" s="60"/>
      <c r="BQ363" s="67"/>
      <c r="BR363" s="62" t="n">
        <v>1</v>
      </c>
      <c r="BS363" s="62" t="n">
        <v>4</v>
      </c>
      <c r="BT363" s="61" t="n">
        <v>160.93</v>
      </c>
      <c r="BU363" s="62" t="n">
        <v>2</v>
      </c>
      <c r="BV363" s="60"/>
      <c r="BW363" s="65" t="n">
        <v>0</v>
      </c>
      <c r="BX363" s="65" t="n">
        <v>363</v>
      </c>
      <c r="BY363" s="60" t="str">
        <f aca="false">IF(U363&lt;&gt;"",UPPER(TRIM(U363)),IF(CB363=1,UPPER(VLOOKUP(T363,Parameter!$I$27:$K$29,2,0)),IF(P363="","LOSE",P363)))</f>
        <v>S22</v>
      </c>
      <c r="BZ363" s="62" t="n">
        <f aca="false">IF(BY363="LOSE",1,IF(N(V363)&gt;0,V363,IF(CB363=1,MAX(1,N(VLOOKUP(T363,Parameter!$I$27:$K$29,3,0)),H363,N(N363)),IF(N(Q363)&gt;0,Q363,MAX(1,H363)))))</f>
        <v>5</v>
      </c>
      <c r="CA363" s="65" t="n">
        <f aca="false">IF(BY363="LOSE",1,0)</f>
        <v>0</v>
      </c>
      <c r="CB363" s="65" t="n">
        <f aca="false">IF(AND(U363="",OR(P363="",P363="LOSE"),T363&lt;&gt;"",N(S363)&lt;=0,ISNUMBER(MATCH(T363,Parameter!$I$27:$I$29,0))),1,0)</f>
        <v>0</v>
      </c>
      <c r="CC363" s="65" t="n">
        <f aca="false">IF(CR363&gt;0,INDEX(Parameter!$H$5:$H$7,W363)/INDEX(Parameter!$E$5:$E$7,W363),IF(AND(CA363=0,N(IFERROR(VLOOKUP(BY363,'Gebinde-Kategorie'!$A$5:$N$45,14,0),0))&gt;0),VLOOKUP(BY363,'Gebinde-Kategorie'!$A$5:$N$45,14,0)*10+Parameter!$M$23,Parameter!$M$24))</f>
        <v>155</v>
      </c>
      <c r="CD363" s="60" t="str">
        <f aca="false">IF(AND(Parameter!$B$19="Ja",E363&lt;&gt;"",ISNUMBER(MATCH(E363,Parameter!$I$35:$I$52,0))),VLOOKUP(E363,Parameter!$I$35:$J$52,2,0),IFERROR(VLOOKUP(D363,Parameter!$A$35:$C$64,2,0),"Nein"))</f>
        <v>2+3</v>
      </c>
      <c r="CE363" s="64" t="n">
        <f aca="false">IF(CA363=0,0,IF(N(S363)&gt;0,S363,IFERROR(VLOOKUP(D363,Parameter!$A$35:$C$64,3,0)+0,0)))</f>
        <v>0</v>
      </c>
      <c r="CF363" s="60" t="n">
        <f aca="false">IF(AB363&lt;&gt;"",AB363,AA363)</f>
        <v>2</v>
      </c>
      <c r="CG363" s="60" t="str">
        <f aca="false">IF(OR(CF363=1,CF363=2,CF363=3),IF(Parameter!$E$27="Ja","LIFT",IF(CF363=1,"L1","L23")),IF(CF363="Aussen","Aussen","-"))</f>
        <v>LIFT</v>
      </c>
      <c r="CH363" s="71" t="n">
        <f aca="false">IF(N(AC363)&gt;0,AC363,0)</f>
        <v>0</v>
      </c>
      <c r="CI363" s="65" t="n">
        <f aca="false">IF(ISNUMBER(AF363),1,0)</f>
        <v>0</v>
      </c>
      <c r="CJ363" s="62" t="n">
        <f aca="false">N(AF363)</f>
        <v>0</v>
      </c>
      <c r="CK363" s="62" t="n">
        <f aca="false">N(M363)+N(N363)</f>
        <v>1</v>
      </c>
      <c r="CL363" s="62" t="n">
        <f aca="false">N(M363)</f>
        <v>0</v>
      </c>
      <c r="CM363" s="62" t="n">
        <f aca="false">N(N363)</f>
        <v>1</v>
      </c>
      <c r="CN363" s="62" t="n">
        <f aca="false">ROUNDUP(H363/BZ363,0)</f>
        <v>1</v>
      </c>
      <c r="CO363" s="62" t="n">
        <f aca="false">ROUNDUP(CJ363/BZ363,0)</f>
        <v>0</v>
      </c>
      <c r="CP363" s="65" t="n">
        <f aca="false">IF(CA363=1,0,IFERROR(VLOOKUP(BY363,'Gebinde-Kategorie'!$A$5:$N$45,5,0)+0,0))</f>
        <v>8</v>
      </c>
      <c r="CQ363" s="65" t="n">
        <f aca="false">IFERROR(IF(OR(CF363=1,CF363=2,CF363=3),N(INDEX(Parameter!$I$5:$I$7,CF363)),0),0)</f>
        <v>0</v>
      </c>
      <c r="CR363" s="64" t="n">
        <f aca="false">IF(AND(Parameter!$B$21="Ja",ISNUMBER(W363),N(X363)&gt;0),IFERROR(N(INDEX(Parameter!$L$5:$L$7,W363))*INDEX(Parameter!$E$5:$E$7,W363)*X363/SUMIFS($X$7:$X$1843,$W$7:$W$1843,W363),0),0)</f>
        <v>0</v>
      </c>
      <c r="CS363" s="62" t="n">
        <f aca="false">IF(AND(OR(CG363="L1",CG363="L23",CG363="LIFT"),H363&gt;0),CC363*IF(CR363&gt;0,CR363*MAX(1,H363/X363),IF(CA363=1,CE363,IF(R363&gt;0,CN363/R363,0))/MAX(0.1,N(Parameter!$M$21))),"")</f>
        <v>1.10714285714286</v>
      </c>
      <c r="CT363" s="64" t="n">
        <f aca="false">IF(CS363="","",J363/H363)</f>
        <v>0.4</v>
      </c>
      <c r="CU363" s="62" t="n">
        <f aca="false">IF(CS363="","",H363*G363)</f>
        <v>691.25</v>
      </c>
      <c r="CV363" s="63" t="n">
        <f aca="false">IF(CS363="","",(CL363+ROUNDUP(CL363+MAX(CM363,2*(J363/MAX(0.1,N(Einkauf!$C$6))-CL363)),0))/2)</f>
        <v>0.5</v>
      </c>
      <c r="CW363" s="62" t="n">
        <f aca="false">IF(CS363="","",MAX(0,H363-CV363)*G363)</f>
        <v>622.125</v>
      </c>
      <c r="CX363" s="62" t="n">
        <f aca="false">IF(CS363="","",CS363*MAX(0,1-CV363/H363))</f>
        <v>0.996428571428572</v>
      </c>
      <c r="CY363" s="64" t="n">
        <f aca="false">IF(CS363="","",PERCENTRANK($CS$7:$CS$1843,CS363)+PERCENTRANK($CU$7:$CU$1843,CU363)+1-PERCENTRANK($CT$7:$CT$1843,CT363))</f>
        <v>1.1094</v>
      </c>
      <c r="CZ363" s="72" t="n">
        <f aca="false">IF(CS363="","",CHOOSE(MATCH(Einkauf!$C$5,Parameter!$G$23:$G$27,0),CY363,CS363,CU363,-CT363,CW363)+ROW()/1000000000)</f>
        <v>1.109400363</v>
      </c>
    </row>
    <row r="364" customFormat="false" ht="15" hidden="false" customHeight="false" outlineLevel="0" collapsed="false">
      <c r="A364" s="60" t="s">
        <v>919</v>
      </c>
      <c r="B364" s="60" t="s">
        <v>805</v>
      </c>
      <c r="C364" s="60" t="s">
        <v>206</v>
      </c>
      <c r="D364" s="60" t="s">
        <v>226</v>
      </c>
      <c r="E364" s="60"/>
      <c r="F364" s="60" t="s">
        <v>260</v>
      </c>
      <c r="G364" s="61" t="n">
        <v>6.23</v>
      </c>
      <c r="H364" s="62" t="n">
        <f aca="false">MAX(0,IF(AND(Parameter!$B$21="Ja",ISNUMBER(Y364)),Y364,IF(Parameter!$B$20="Jahresanfang 2025 + Export",BS364+BR364,BR364)))</f>
        <v>25</v>
      </c>
      <c r="I364" s="62" t="n">
        <f aca="false">H364*G364</f>
        <v>155.75</v>
      </c>
      <c r="J364" s="62" t="n">
        <f aca="false">BU364*Parameter!$B$18</f>
        <v>0</v>
      </c>
      <c r="K364" s="63" t="n">
        <v>0</v>
      </c>
      <c r="L364" s="64" t="n">
        <v>0</v>
      </c>
      <c r="M364" s="62" t="n">
        <v>0</v>
      </c>
      <c r="N364" s="62" t="n">
        <v>1</v>
      </c>
      <c r="O364" s="65" t="n">
        <v>9999</v>
      </c>
      <c r="P364" s="60" t="s">
        <v>210</v>
      </c>
      <c r="Q364" s="62"/>
      <c r="R364" s="65" t="n">
        <f aca="false">IF(CA364=1,0,IFERROR(VLOOKUP(BY364,'Gebinde-Kategorie'!$A$5:$N$45,13,0)+0,0))</f>
        <v>26</v>
      </c>
      <c r="S364" s="66"/>
      <c r="T364" s="67" t="s">
        <v>317</v>
      </c>
      <c r="U364" s="67"/>
      <c r="V364" s="67"/>
      <c r="W364" s="60"/>
      <c r="X364" s="62"/>
      <c r="Y364" s="62"/>
      <c r="Z364" s="60" t="n">
        <v>3</v>
      </c>
      <c r="AA364" s="60" t="n">
        <f aca="false">IF(A364="","",IF(AND(Parameter!$B$21="Ja",ISNUMBER(W364)),W364,IF(AND(Parameter!$E$27="Ja",ISNUMBER(Z364),CD364&lt;&gt;"Nein"),Z364,IF(CD364="2+3",IF(ISNUMBER(SEARCH("grosser Artikel",BV364)),2,IFERROR(VLOOKUP(BY364,Parameter!$F$35:$G$64,2,0),2)),IF(OR(CD364="Nein",CD364=""),"-",CD364)))))</f>
        <v>3</v>
      </c>
      <c r="AB364" s="67"/>
      <c r="AC364" s="68"/>
      <c r="AD364" s="62" t="n">
        <f aca="false">AW364</f>
        <v>1</v>
      </c>
      <c r="AE364" s="62" t="n">
        <f aca="false">MAX(AW364,H364)</f>
        <v>25</v>
      </c>
      <c r="AF364" s="69"/>
      <c r="AG364" s="62" t="n">
        <f aca="false">IF(LEFT(Cockpit!$C$5,1)="A",H364,IF(Parameter!$E$30="MAX-Bestand",IF(CI364=1,CJ364,IF(LEFT(Cockpit!$C$5,1)="B",AM364,MAX(AM364,H364))),ROUNDUP(AK364,0)))</f>
        <v>25</v>
      </c>
      <c r="AH364" s="62" t="n">
        <f aca="false">IF(CA364=1,0,ROUNDUP(AG364/BZ364,0))</f>
        <v>1</v>
      </c>
      <c r="AI364" s="64" t="n">
        <f aca="false">IF(CR364&gt;0,CR364*MAX(1,AG364/X364),IF(CA364=1,IF(AG364&lt;=0,0,CE364*MAX(1,IF(H364&gt;0,AG364/H364,1))),IF(R364&gt;0,AH364/R364,0))/MAX(0.1,N(Parameter!$M$21)))</f>
        <v>0.0384615384615385</v>
      </c>
      <c r="AJ364" s="62" t="n">
        <f aca="false">AI364*CC364</f>
        <v>5.96153846153846</v>
      </c>
      <c r="AK364" s="63" t="n">
        <f aca="false">IF(LEFT(Cockpit!$C$5,1)="A",H364,IF(CI364=1,(CL364+CJ364)/2,IF(LEFT(Cockpit!$C$5,1)="B",(CL364+AM364)/2,MAX((CL364+AM364)/2,H364))))</f>
        <v>25</v>
      </c>
      <c r="AL364" s="62" t="n">
        <f aca="false">AK364*G364</f>
        <v>155.75</v>
      </c>
      <c r="AM364" s="62" t="n">
        <f aca="false">ROUNDUP(CL364+MAX(CM364,2*(J364/IF(CH364&gt;0,CH364,MAX(0.1,N(Cockpit!$C$6)))-CL364)),0)</f>
        <v>1</v>
      </c>
      <c r="AN364" s="63" t="n">
        <f aca="false">IF(AJ364&gt;0,J364/AJ364,-1)</f>
        <v>0</v>
      </c>
      <c r="AO364" s="63" t="n">
        <f aca="false">IF(AND(OR(CG364="L1",CG364="L23",CG364="LIFT"),AJ364&gt;0),SUMIFS($AJ$7:$AJ$1843,$CG$7:$CG$1843,CG364,$AN$7:$AN$1843,"&gt;"&amp;AN364)+SUMIFS($AJ$7:$AJ$1843,$CG$7:$CG$1843,CG364,$AN$7:$AN$1843,AN364,$BX$7:$BX$1843,"&lt;="&amp;BX364),"")</f>
        <v>28032.096779868</v>
      </c>
      <c r="AP364" s="70" t="n">
        <f aca="false">IF(AO364="",0,MAX(0,MIN(1,(IF(CG364="L1",Parameter!$H$5,IF(CG364="L23",Parameter!$H$6+Parameter!$H$7,Parameter!$H$5+Parameter!$H$6+Parameter!$H$7))-(AO364-AJ364))/AJ364)))</f>
        <v>1</v>
      </c>
      <c r="AQ364" s="62" t="n">
        <f aca="false">IF(LEFT(Cockpit!$I$5,1)="A",H364,IF(Parameter!$E$30="MAX-Bestand",IF(CI364=1,CJ364,IF(LEFT(Cockpit!$I$5,1)="B",AW364,MAX(AW364,H364))),ROUNDUP(AU364,0)))</f>
        <v>25</v>
      </c>
      <c r="AR364" s="62" t="n">
        <f aca="false">IF(CA364=1,0,ROUNDUP(AQ364/BZ364,0))</f>
        <v>1</v>
      </c>
      <c r="AS364" s="64" t="n">
        <f aca="false">IF(CR364&gt;0,CR364*MAX(1,AQ364/X364),IF(CA364=1,IF(AQ364&lt;=0,0,CE364*MAX(1,IF(H364&gt;0,AQ364/H364,1))),IF(R364&gt;0,AR364/R364,0))/MAX(0.1,N(Parameter!$M$21)))</f>
        <v>0.0384615384615385</v>
      </c>
      <c r="AT364" s="62" t="n">
        <f aca="false">AS364*CC364</f>
        <v>5.96153846153846</v>
      </c>
      <c r="AU364" s="63" t="n">
        <f aca="false">IF(LEFT(Cockpit!$I$5,1)="A",H364,IF(CI364=1,(CL364+CJ364)/2,IF(LEFT(Cockpit!$I$5,1)="B",(CL364+AW364)/2,MAX((CL364+AW364)/2,H364))))</f>
        <v>25</v>
      </c>
      <c r="AV364" s="62" t="n">
        <f aca="false">AU364*G364</f>
        <v>155.75</v>
      </c>
      <c r="AW364" s="62" t="n">
        <f aca="false">ROUNDUP(CL364+MAX(CM364,2*(J364/IF(CH364&gt;0,CH364,MAX(0.1,N(Cockpit!$I$6)))-CL364)),0)</f>
        <v>1</v>
      </c>
      <c r="AX364" s="63" t="n">
        <f aca="false">IF(AT364&gt;0,J364/AT364,-1)</f>
        <v>0</v>
      </c>
      <c r="AY364" s="63" t="n">
        <f aca="false">IF(AND(OR(CG364="L1",CG364="L23",CG364="LIFT"),AT364&gt;0),SUMIFS($AT$7:$AT$1843,$CG$7:$CG$1843,CG364,$AX$7:$AX$1843,"&gt;"&amp;AX364)+SUMIFS($AT$7:$AT$1843,$CG$7:$CG$1843,CG364,$AX$7:$AX$1843,AX364,$BX$7:$BX$1843,"&lt;="&amp;BX364),"")</f>
        <v>33385.2454212454</v>
      </c>
      <c r="AZ364" s="70" t="n">
        <f aca="false">IF(AY364="",0,MAX(0,MIN(1,(IF(CG364="L1",Parameter!$H$5,IF(CG364="L23",Parameter!$H$6+Parameter!$H$7,Parameter!$H$5+Parameter!$H$6+Parameter!$H$7))-(AY364-AT364))/AT364)))</f>
        <v>1</v>
      </c>
      <c r="BA364" s="62" t="n">
        <f aca="false">IF(LEFT(Cockpit!$O$5,1)="A",H364,IF(Parameter!$E$30="MAX-Bestand",IF(CI364=1,CJ364,IF(LEFT(Cockpit!$O$5,1)="B",BG364,MAX(BG364,H364))),ROUNDUP(BE364,0)))</f>
        <v>1</v>
      </c>
      <c r="BB364" s="62" t="n">
        <f aca="false">IF(CA364=1,0,ROUNDUP(BA364/BZ364,0))</f>
        <v>1</v>
      </c>
      <c r="BC364" s="64" t="n">
        <f aca="false">IF(CR364&gt;0,CR364*MAX(1,BA364/X364),IF(CA364=1,IF(BA364&lt;=0,0,CE364*MAX(1,IF(H364&gt;0,BA364/H364,1))),IF(R364&gt;0,BB364/R364,0))/MAX(0.1,N(Parameter!$M$21)))</f>
        <v>0.0384615384615385</v>
      </c>
      <c r="BD364" s="62" t="n">
        <f aca="false">BC364*CC364</f>
        <v>5.96153846153846</v>
      </c>
      <c r="BE364" s="63" t="n">
        <f aca="false">IF(LEFT(Cockpit!$O$5,1)="A",H364,IF(CI364=1,(CL364+CJ364)/2,IF(LEFT(Cockpit!$O$5,1)="B",(CL364+BG364)/2,MAX((CL364+BG364)/2,H364))))</f>
        <v>0.5</v>
      </c>
      <c r="BF364" s="62" t="n">
        <f aca="false">BE364*G364</f>
        <v>3.115</v>
      </c>
      <c r="BG364" s="62" t="n">
        <f aca="false">ROUNDUP(CL364+MAX(CM364,2*(J364/IF(CH364&gt;0,CH364,MAX(0.1,N(Cockpit!$O$6)))-CL364)),0)</f>
        <v>1</v>
      </c>
      <c r="BH364" s="63" t="n">
        <f aca="false">IF(BD364&gt;0,J364/BD364,-1)</f>
        <v>0</v>
      </c>
      <c r="BI364" s="63" t="n">
        <f aca="false">IF(AND(OR(CG364="L1",CG364="L23",CG364="LIFT"),BD364&gt;0),SUMIFS($BD$7:$BD$1843,$CG$7:$CG$1843,CG364,$BH$7:$BH$1843,"&gt;"&amp;BH364)+SUMIFS($BD$7:$BD$1843,$CG$7:$CG$1843,CG364,$BH$7:$BH$1843,BH364,$BX$7:$BX$1843,"&lt;="&amp;BX364),"")</f>
        <v>27498.7823927485</v>
      </c>
      <c r="BJ364" s="70" t="n">
        <f aca="false">IF(BI364="",0,MAX(0,MIN(1,(IF(CG364="L1",Parameter!$H$5,IF(CG364="L23",Parameter!$H$6+Parameter!$H$7,Parameter!$H$5+Parameter!$H$6+Parameter!$H$7))-(BI364-BD364))/BD364)))</f>
        <v>1</v>
      </c>
      <c r="BK364" s="60" t="str">
        <f aca="false">IF(AJ364&lt;=0,"",IF(CG364="Aussen","Aussenlager",IF(CG364="-","Nicht im Lift",IF(AP364&gt;=1,"Lift",IF(AP364&lt;=0,"Aussenlager","teilweise")))))</f>
        <v>Lift</v>
      </c>
      <c r="BL364" s="60" t="str">
        <f aca="false">IF(AT364&lt;=0,"",IF(CG364="Aussen","Aussenlager",IF(CG364="-","Nicht im Lift",IF(AZ364&gt;=1,"Lift",IF(AZ364&lt;=0,"Aussenlager","teilweise")))))</f>
        <v>Lift</v>
      </c>
      <c r="BM364" s="60" t="str">
        <f aca="false">IF(BD364&lt;=0,"",IF(CG364="Aussen","Aussenlager",IF(CG364="-","Nicht im Lift",IF(BJ364&gt;=1,"Lift",IF(BJ364&lt;=0,"Aussenlager","teilweise")))))</f>
        <v>Lift</v>
      </c>
      <c r="BN364" s="60" t="str">
        <f aca="false">IF(A364="","",IF(BW364=1,"Neu; ","")&amp;IF(AND(BW364=0,BR364&lt;0),"negativer Bestand (Export "&amp;BR364&amp;"); ","")&amp;IF(J364&lt;=0,"Kein Verbrauch; ","")&amp;IF(CR364&gt;0,"Lift "&amp;W364&amp;" lt. Liftbericht (Fach "&amp;X364&amp;" Stk); ",IF(CB364=1,"Gebinde geschätzt ("&amp;T364&amp;"); ",IF(CA364=1,"Lose – Tablare geschätzt; ","")))&amp;IF(H364&gt;AW364,"Überbestand "&amp;ROUND(H364-AW364,0)&amp;" Stk / CHF "&amp;ROUND((H364-AW364)*G364,0)&amp;"; ","")&amp;IF(AND(CI364=1,CJ364&lt;CK364),"MAX &lt; MB+LG; ","")&amp;IF(AND(CQ364&gt;0,CP364*10&gt;CQ364),"zu hoch für Tablar; ","")&amp;IF(AND(BW364=0,OR(CI364=1,AB364&lt;&gt;"",U364&lt;&gt;"",V364&lt;&gt;"",AC364&lt;&gt;"")),"manuell übersteuert; ","")&amp;IF(AND(CA364=0,R364=0),"Gebinde unbekannt / Stellmass fehlt; ","")&amp;IF(AND(CA364=0,N(V364)&lt;=0,N(Q364)&lt;=0),"Menge pro Gebinde fehlt (Ist = 1 Gebinde); ","")&amp;BV364)</f>
        <v>Kein Verbrauch; Gebinde geschätzt (Klein); Überbestand 24 Stk / CHF 150; Menge pro Gebinde fehlt (Ist = 1 Gebinde); </v>
      </c>
      <c r="BO364" s="60"/>
      <c r="BP364" s="60"/>
      <c r="BQ364" s="67"/>
      <c r="BR364" s="62" t="n">
        <v>25</v>
      </c>
      <c r="BS364" s="62" t="n">
        <v>0</v>
      </c>
      <c r="BT364" s="61" t="n">
        <v>155.75</v>
      </c>
      <c r="BU364" s="62" t="n">
        <v>0</v>
      </c>
      <c r="BV364" s="60"/>
      <c r="BW364" s="65" t="n">
        <v>0</v>
      </c>
      <c r="BX364" s="65" t="n">
        <v>364</v>
      </c>
      <c r="BY364" s="60" t="str">
        <f aca="false">IF(U364&lt;&gt;"",UPPER(TRIM(U364)),IF(CB364=1,UPPER(VLOOKUP(T364,Parameter!$I$27:$K$29,2,0)),IF(P364="","LOSE",P364)))</f>
        <v>S51</v>
      </c>
      <c r="BZ364" s="62" t="n">
        <f aca="false">IF(BY364="LOSE",1,IF(N(V364)&gt;0,V364,IF(CB364=1,MAX(1,N(VLOOKUP(T364,Parameter!$I$27:$K$29,3,0)),H364,N(N364)),IF(N(Q364)&gt;0,Q364,MAX(1,H364)))))</f>
        <v>25</v>
      </c>
      <c r="CA364" s="65" t="n">
        <f aca="false">IF(BY364="LOSE",1,0)</f>
        <v>0</v>
      </c>
      <c r="CB364" s="65" t="n">
        <f aca="false">IF(AND(U364="",OR(P364="",P364="LOSE"),T364&lt;&gt;"",N(S364)&lt;=0,ISNUMBER(MATCH(T364,Parameter!$I$27:$I$29,0))),1,0)</f>
        <v>1</v>
      </c>
      <c r="CC364" s="65" t="n">
        <f aca="false">IF(CR364&gt;0,INDEX(Parameter!$H$5:$H$7,W364)/INDEX(Parameter!$E$5:$E$7,W364),IF(AND(CA364=0,N(IFERROR(VLOOKUP(BY364,'Gebinde-Kategorie'!$A$5:$N$45,14,0),0))&gt;0),VLOOKUP(BY364,'Gebinde-Kategorie'!$A$5:$N$45,14,0)*10+Parameter!$M$23,Parameter!$M$24))</f>
        <v>155</v>
      </c>
      <c r="CD364" s="60" t="str">
        <f aca="false">IF(AND(Parameter!$B$19="Ja",E364&lt;&gt;"",ISNUMBER(MATCH(E364,Parameter!$I$35:$I$52,0))),VLOOKUP(E364,Parameter!$I$35:$J$52,2,0),IFERROR(VLOOKUP(D364,Parameter!$A$35:$C$64,2,0),"Nein"))</f>
        <v>2+3</v>
      </c>
      <c r="CE364" s="64" t="n">
        <f aca="false">IF(CA364=0,0,IF(N(S364)&gt;0,S364,IFERROR(VLOOKUP(D364,Parameter!$A$35:$C$64,3,0)+0,0)))</f>
        <v>0</v>
      </c>
      <c r="CF364" s="60" t="n">
        <f aca="false">IF(AB364&lt;&gt;"",AB364,AA364)</f>
        <v>3</v>
      </c>
      <c r="CG364" s="60" t="str">
        <f aca="false">IF(OR(CF364=1,CF364=2,CF364=3),IF(Parameter!$E$27="Ja","LIFT",IF(CF364=1,"L1","L23")),IF(CF364="Aussen","Aussen","-"))</f>
        <v>LIFT</v>
      </c>
      <c r="CH364" s="71" t="n">
        <f aca="false">IF(N(AC364)&gt;0,AC364,0)</f>
        <v>0</v>
      </c>
      <c r="CI364" s="65" t="n">
        <f aca="false">IF(ISNUMBER(AF364),1,0)</f>
        <v>0</v>
      </c>
      <c r="CJ364" s="62" t="n">
        <f aca="false">N(AF364)</f>
        <v>0</v>
      </c>
      <c r="CK364" s="62" t="n">
        <f aca="false">N(M364)+N(N364)</f>
        <v>1</v>
      </c>
      <c r="CL364" s="62" t="n">
        <f aca="false">N(M364)</f>
        <v>0</v>
      </c>
      <c r="CM364" s="62" t="n">
        <f aca="false">N(N364)</f>
        <v>1</v>
      </c>
      <c r="CN364" s="62" t="n">
        <f aca="false">ROUNDUP(H364/BZ364,0)</f>
        <v>1</v>
      </c>
      <c r="CO364" s="62" t="n">
        <f aca="false">ROUNDUP(CJ364/BZ364,0)</f>
        <v>0</v>
      </c>
      <c r="CP364" s="65" t="n">
        <f aca="false">IF(CA364=1,0,IFERROR(VLOOKUP(BY364,'Gebinde-Kategorie'!$A$5:$N$45,5,0)+0,0))</f>
        <v>11</v>
      </c>
      <c r="CQ364" s="65" t="n">
        <f aca="false">IFERROR(IF(OR(CF364=1,CF364=2,CF364=3),N(INDEX(Parameter!$I$5:$I$7,CF364)),0),0)</f>
        <v>0</v>
      </c>
      <c r="CR364" s="64" t="n">
        <f aca="false">IF(AND(Parameter!$B$21="Ja",ISNUMBER(W364),N(X364)&gt;0),IFERROR(N(INDEX(Parameter!$L$5:$L$7,W364))*INDEX(Parameter!$E$5:$E$7,W364)*X364/SUMIFS($X$7:$X$1843,$W$7:$W$1843,W364),0),0)</f>
        <v>0</v>
      </c>
      <c r="CS364" s="62" t="n">
        <f aca="false">IF(AND(OR(CG364="L1",CG364="L23",CG364="LIFT"),H364&gt;0),CC364*IF(CR364&gt;0,CR364*MAX(1,H364/X364),IF(CA364=1,CE364,IF(R364&gt;0,CN364/R364,0))/MAX(0.1,N(Parameter!$M$21))),"")</f>
        <v>5.96153846153846</v>
      </c>
      <c r="CT364" s="64" t="n">
        <f aca="false">IF(CS364="","",J364/H364)</f>
        <v>0</v>
      </c>
      <c r="CU364" s="62" t="n">
        <f aca="false">IF(CS364="","",H364*G364)</f>
        <v>155.75</v>
      </c>
      <c r="CV364" s="63" t="n">
        <f aca="false">IF(CS364="","",(CL364+ROUNDUP(CL364+MAX(CM364,2*(J364/MAX(0.1,N(Einkauf!$C$6))-CL364)),0))/2)</f>
        <v>0.5</v>
      </c>
      <c r="CW364" s="62" t="n">
        <f aca="false">IF(CS364="","",MAX(0,H364-CV364)*G364)</f>
        <v>152.635</v>
      </c>
      <c r="CX364" s="62" t="n">
        <f aca="false">IF(CS364="","",CS364*MAX(0,1-CV364/H364))</f>
        <v>5.84230769230769</v>
      </c>
      <c r="CY364" s="64" t="n">
        <f aca="false">IF(CS364="","",PERCENTRANK($CS$7:$CS$1843,CS364)+PERCENTRANK($CU$7:$CU$1843,CU364)+1-PERCENTRANK($CT$7:$CT$1843,CT364))</f>
        <v>1.658</v>
      </c>
      <c r="CZ364" s="72" t="n">
        <f aca="false">IF(CS364="","",CHOOSE(MATCH(Einkauf!$C$5,Parameter!$G$23:$G$27,0),CY364,CS364,CU364,-CT364,CW364)+ROW()/1000000000)</f>
        <v>1.658000364</v>
      </c>
    </row>
    <row r="365" customFormat="false" ht="15" hidden="false" customHeight="false" outlineLevel="0" collapsed="false">
      <c r="A365" s="60" t="s">
        <v>920</v>
      </c>
      <c r="B365" s="60" t="s">
        <v>921</v>
      </c>
      <c r="C365" s="60" t="s">
        <v>206</v>
      </c>
      <c r="D365" s="60" t="s">
        <v>226</v>
      </c>
      <c r="E365" s="60" t="s">
        <v>227</v>
      </c>
      <c r="F365" s="60" t="s">
        <v>260</v>
      </c>
      <c r="G365" s="61" t="n">
        <v>15.5</v>
      </c>
      <c r="H365" s="62" t="n">
        <f aca="false">MAX(0,IF(AND(Parameter!$B$21="Ja",ISNUMBER(Y365)),Y365,IF(Parameter!$B$20="Jahresanfang 2025 + Export",BS365+BR365,BR365)))</f>
        <v>20</v>
      </c>
      <c r="I365" s="62" t="n">
        <f aca="false">H365*G365</f>
        <v>310</v>
      </c>
      <c r="J365" s="62" t="n">
        <f aca="false">BU365*Parameter!$B$18</f>
        <v>9</v>
      </c>
      <c r="K365" s="63" t="n">
        <v>15.5</v>
      </c>
      <c r="L365" s="64" t="n">
        <v>0.580645161290323</v>
      </c>
      <c r="M365" s="62" t="n">
        <v>0</v>
      </c>
      <c r="N365" s="62" t="n">
        <v>10</v>
      </c>
      <c r="O365" s="65" t="n">
        <v>28</v>
      </c>
      <c r="P365" s="60" t="s">
        <v>370</v>
      </c>
      <c r="Q365" s="62" t="n">
        <v>24</v>
      </c>
      <c r="R365" s="65" t="n">
        <f aca="false">IF(CA365=1,0,IFERROR(VLOOKUP(BY365,'Gebinde-Kategorie'!$A$5:$N$45,13,0)+0,0))</f>
        <v>52</v>
      </c>
      <c r="S365" s="66"/>
      <c r="T365" s="67"/>
      <c r="U365" s="67"/>
      <c r="V365" s="67"/>
      <c r="W365" s="60"/>
      <c r="X365" s="62"/>
      <c r="Y365" s="62"/>
      <c r="Z365" s="60" t="n">
        <v>3</v>
      </c>
      <c r="AA365" s="60" t="n">
        <f aca="false">IF(A365="","",IF(AND(Parameter!$B$21="Ja",ISNUMBER(W365)),W365,IF(AND(Parameter!$E$27="Ja",ISNUMBER(Z365),CD365&lt;&gt;"Nein"),Z365,IF(CD365="2+3",IF(ISNUMBER(SEARCH("grosser Artikel",BV365)),2,IFERROR(VLOOKUP(BY365,Parameter!$F$35:$G$64,2,0),2)),IF(OR(CD365="Nein",CD365=""),"-",CD365)))))</f>
        <v>3</v>
      </c>
      <c r="AB365" s="67"/>
      <c r="AC365" s="68"/>
      <c r="AD365" s="62" t="n">
        <f aca="false">AW365</f>
        <v>10</v>
      </c>
      <c r="AE365" s="62" t="n">
        <f aca="false">MAX(AW365,H365)</f>
        <v>20</v>
      </c>
      <c r="AF365" s="69"/>
      <c r="AG365" s="62" t="n">
        <f aca="false">IF(LEFT(Cockpit!$C$5,1)="A",H365,IF(Parameter!$E$30="MAX-Bestand",IF(CI365=1,CJ365,IF(LEFT(Cockpit!$C$5,1)="B",AM365,MAX(AM365,H365))),ROUNDUP(AK365,0)))</f>
        <v>20</v>
      </c>
      <c r="AH365" s="62" t="n">
        <f aca="false">IF(CA365=1,0,ROUNDUP(AG365/BZ365,0))</f>
        <v>1</v>
      </c>
      <c r="AI365" s="64" t="n">
        <f aca="false">IF(CR365&gt;0,CR365*MAX(1,AG365/X365),IF(CA365=1,IF(AG365&lt;=0,0,CE365*MAX(1,IF(H365&gt;0,AG365/H365,1))),IF(R365&gt;0,AH365/R365,0))/MAX(0.1,N(Parameter!$M$21)))</f>
        <v>0.0192307692307692</v>
      </c>
      <c r="AJ365" s="62" t="n">
        <f aca="false">AI365*CC365</f>
        <v>2.98076923076923</v>
      </c>
      <c r="AK365" s="63" t="n">
        <f aca="false">IF(LEFT(Cockpit!$C$5,1)="A",H365,IF(CI365=1,(CL365+CJ365)/2,IF(LEFT(Cockpit!$C$5,1)="B",(CL365+AM365)/2,MAX((CL365+AM365)/2,H365))))</f>
        <v>20</v>
      </c>
      <c r="AL365" s="62" t="n">
        <f aca="false">AK365*G365</f>
        <v>310</v>
      </c>
      <c r="AM365" s="62" t="n">
        <f aca="false">ROUNDUP(CL365+MAX(CM365,2*(J365/IF(CH365&gt;0,CH365,MAX(0.1,N(Cockpit!$C$6)))-CL365)),0)</f>
        <v>10</v>
      </c>
      <c r="AN365" s="63" t="n">
        <f aca="false">IF(AJ365&gt;0,J365/AJ365,-1)</f>
        <v>3.01935483870968</v>
      </c>
      <c r="AO365" s="63" t="n">
        <f aca="false">IF(AND(OR(CG365="L1",CG365="L23",CG365="LIFT"),AJ365&gt;0),SUMIFS($AJ$7:$AJ$1843,$CG$7:$CG$1843,CG365,$AN$7:$AN$1843,"&gt;"&amp;AN365)+SUMIFS($AJ$7:$AJ$1843,$CG$7:$CG$1843,CG365,$AN$7:$AN$1843,AN365,$BX$7:$BX$1843,"&lt;="&amp;BX365),"")</f>
        <v>5072.81547619048</v>
      </c>
      <c r="AP365" s="70" t="n">
        <f aca="false">IF(AO365="",0,MAX(0,MIN(1,(IF(CG365="L1",Parameter!$H$5,IF(CG365="L23",Parameter!$H$6+Parameter!$H$7,Parameter!$H$5+Parameter!$H$6+Parameter!$H$7))-(AO365-AJ365))/AJ365)))</f>
        <v>1</v>
      </c>
      <c r="AQ365" s="62" t="n">
        <f aca="false">IF(LEFT(Cockpit!$I$5,1)="A",H365,IF(Parameter!$E$30="MAX-Bestand",IF(CI365=1,CJ365,IF(LEFT(Cockpit!$I$5,1)="B",AW365,MAX(AW365,H365))),ROUNDUP(AU365,0)))</f>
        <v>20</v>
      </c>
      <c r="AR365" s="62" t="n">
        <f aca="false">IF(CA365=1,0,ROUNDUP(AQ365/BZ365,0))</f>
        <v>1</v>
      </c>
      <c r="AS365" s="64" t="n">
        <f aca="false">IF(CR365&gt;0,CR365*MAX(1,AQ365/X365),IF(CA365=1,IF(AQ365&lt;=0,0,CE365*MAX(1,IF(H365&gt;0,AQ365/H365,1))),IF(R365&gt;0,AR365/R365,0))/MAX(0.1,N(Parameter!$M$21)))</f>
        <v>0.0192307692307692</v>
      </c>
      <c r="AT365" s="62" t="n">
        <f aca="false">AS365*CC365</f>
        <v>2.98076923076923</v>
      </c>
      <c r="AU365" s="63" t="n">
        <f aca="false">IF(LEFT(Cockpit!$I$5,1)="A",H365,IF(CI365=1,(CL365+CJ365)/2,IF(LEFT(Cockpit!$I$5,1)="B",(CL365+AW365)/2,MAX((CL365+AW365)/2,H365))))</f>
        <v>20</v>
      </c>
      <c r="AV365" s="62" t="n">
        <f aca="false">AU365*G365</f>
        <v>310</v>
      </c>
      <c r="AW365" s="62" t="n">
        <f aca="false">ROUNDUP(CL365+MAX(CM365,2*(J365/IF(CH365&gt;0,CH365,MAX(0.1,N(Cockpit!$I$6)))-CL365)),0)</f>
        <v>10</v>
      </c>
      <c r="AX365" s="63" t="n">
        <f aca="false">IF(AT365&gt;0,J365/AT365,-1)</f>
        <v>3.01935483870968</v>
      </c>
      <c r="AY365" s="63" t="n">
        <f aca="false">IF(AND(OR(CG365="L1",CG365="L23",CG365="LIFT"),AT365&gt;0),SUMIFS($AT$7:$AT$1843,$CG$7:$CG$1843,CG365,$AX$7:$AX$1843,"&gt;"&amp;AX365)+SUMIFS($AT$7:$AT$1843,$CG$7:$CG$1843,CG365,$AX$7:$AX$1843,AX365,$BX$7:$BX$1843,"&lt;="&amp;BX365),"")</f>
        <v>5910.53067765568</v>
      </c>
      <c r="AZ365" s="70" t="n">
        <f aca="false">IF(AY365="",0,MAX(0,MIN(1,(IF(CG365="L1",Parameter!$H$5,IF(CG365="L23",Parameter!$H$6+Parameter!$H$7,Parameter!$H$5+Parameter!$H$6+Parameter!$H$7))-(AY365-AT365))/AT365)))</f>
        <v>1</v>
      </c>
      <c r="BA365" s="62" t="n">
        <f aca="false">IF(LEFT(Cockpit!$O$5,1)="A",H365,IF(Parameter!$E$30="MAX-Bestand",IF(CI365=1,CJ365,IF(LEFT(Cockpit!$O$5,1)="B",BG365,MAX(BG365,H365))),ROUNDUP(BE365,0)))</f>
        <v>5</v>
      </c>
      <c r="BB365" s="62" t="n">
        <f aca="false">IF(CA365=1,0,ROUNDUP(BA365/BZ365,0))</f>
        <v>1</v>
      </c>
      <c r="BC365" s="64" t="n">
        <f aca="false">IF(CR365&gt;0,CR365*MAX(1,BA365/X365),IF(CA365=1,IF(BA365&lt;=0,0,CE365*MAX(1,IF(H365&gt;0,BA365/H365,1))),IF(R365&gt;0,BB365/R365,0))/MAX(0.1,N(Parameter!$M$21)))</f>
        <v>0.0192307692307692</v>
      </c>
      <c r="BD365" s="62" t="n">
        <f aca="false">BC365*CC365</f>
        <v>2.98076923076923</v>
      </c>
      <c r="BE365" s="63" t="n">
        <f aca="false">IF(LEFT(Cockpit!$O$5,1)="A",H365,IF(CI365=1,(CL365+CJ365)/2,IF(LEFT(Cockpit!$O$5,1)="B",(CL365+BG365)/2,MAX((CL365+BG365)/2,H365))))</f>
        <v>5</v>
      </c>
      <c r="BF365" s="62" t="n">
        <f aca="false">BE365*G365</f>
        <v>77.5</v>
      </c>
      <c r="BG365" s="62" t="n">
        <f aca="false">ROUNDUP(CL365+MAX(CM365,2*(J365/IF(CH365&gt;0,CH365,MAX(0.1,N(Cockpit!$O$6)))-CL365)),0)</f>
        <v>10</v>
      </c>
      <c r="BH365" s="63" t="n">
        <f aca="false">IF(BD365&gt;0,J365/BD365,-1)</f>
        <v>3.01935483870968</v>
      </c>
      <c r="BI365" s="63" t="n">
        <f aca="false">IF(AND(OR(CG365="L1",CG365="L23",CG365="LIFT"),BD365&gt;0),SUMIFS($BD$7:$BD$1843,$CG$7:$CG$1843,CG365,$BH$7:$BH$1843,"&gt;"&amp;BH365)+SUMIFS($BD$7:$BD$1843,$CG$7:$CG$1843,CG365,$BH$7:$BH$1843,BH365,$BX$7:$BX$1843,"&lt;="&amp;BX365),"")</f>
        <v>4773.28067765568</v>
      </c>
      <c r="BJ365" s="70" t="n">
        <f aca="false">IF(BI365="",0,MAX(0,MIN(1,(IF(CG365="L1",Parameter!$H$5,IF(CG365="L23",Parameter!$H$6+Parameter!$H$7,Parameter!$H$5+Parameter!$H$6+Parameter!$H$7))-(BI365-BD365))/BD365)))</f>
        <v>1</v>
      </c>
      <c r="BK365" s="60" t="str">
        <f aca="false">IF(AJ365&lt;=0,"",IF(CG365="Aussen","Aussenlager",IF(CG365="-","Nicht im Lift",IF(AP365&gt;=1,"Lift",IF(AP365&lt;=0,"Aussenlager","teilweise")))))</f>
        <v>Lift</v>
      </c>
      <c r="BL365" s="60" t="str">
        <f aca="false">IF(AT365&lt;=0,"",IF(CG365="Aussen","Aussenlager",IF(CG365="-","Nicht im Lift",IF(AZ365&gt;=1,"Lift",IF(AZ365&lt;=0,"Aussenlager","teilweise")))))</f>
        <v>Lift</v>
      </c>
      <c r="BM365" s="60" t="str">
        <f aca="false">IF(BD365&lt;=0,"",IF(CG365="Aussen","Aussenlager",IF(CG365="-","Nicht im Lift",IF(BJ365&gt;=1,"Lift",IF(BJ365&lt;=0,"Aussenlager","teilweise")))))</f>
        <v>Lift</v>
      </c>
      <c r="BN365" s="60" t="str">
        <f aca="false">IF(A365="","",IF(BW365=1,"Neu; ","")&amp;IF(AND(BW365=0,BR365&lt;0),"negativer Bestand (Export "&amp;BR365&amp;"); ","")&amp;IF(J365&lt;=0,"Kein Verbrauch; ","")&amp;IF(CR365&gt;0,"Lift "&amp;W365&amp;" lt. Liftbericht (Fach "&amp;X365&amp;" Stk); ",IF(CB365=1,"Gebinde geschätzt ("&amp;T365&amp;"); ",IF(CA365=1,"Lose – Tablare geschätzt; ","")))&amp;IF(H365&gt;AW365,"Überbestand "&amp;ROUND(H365-AW365,0)&amp;" Stk / CHF "&amp;ROUND((H365-AW365)*G365,0)&amp;"; ","")&amp;IF(AND(CI365=1,CJ365&lt;CK365),"MAX &lt; MB+LG; ","")&amp;IF(AND(CQ365&gt;0,CP365*10&gt;CQ365),"zu hoch für Tablar; ","")&amp;IF(AND(BW365=0,OR(CI365=1,AB365&lt;&gt;"",U365&lt;&gt;"",V365&lt;&gt;"",AC365&lt;&gt;"")),"manuell übersteuert; ","")&amp;IF(AND(CA365=0,R365=0),"Gebinde unbekannt / Stellmass fehlt; ","")&amp;IF(AND(CA365=0,N(V365)&lt;=0,N(Q365)&lt;=0),"Menge pro Gebinde fehlt (Ist = 1 Gebinde); ","")&amp;BV365)</f>
        <v>Überbestand 10 Stk / CHF 155; </v>
      </c>
      <c r="BO365" s="60"/>
      <c r="BP365" s="60"/>
      <c r="BQ365" s="67"/>
      <c r="BR365" s="62" t="n">
        <v>10</v>
      </c>
      <c r="BS365" s="62" t="n">
        <v>10</v>
      </c>
      <c r="BT365" s="61" t="n">
        <v>155</v>
      </c>
      <c r="BU365" s="62" t="n">
        <v>9</v>
      </c>
      <c r="BV365" s="60"/>
      <c r="BW365" s="65" t="n">
        <v>0</v>
      </c>
      <c r="BX365" s="65" t="n">
        <v>365</v>
      </c>
      <c r="BY365" s="60" t="str">
        <f aca="false">IF(U365&lt;&gt;"",UPPER(TRIM(U365)),IF(CB365=1,UPPER(VLOOKUP(T365,Parameter!$I$27:$K$29,2,0)),IF(P365="","LOSE",P365)))</f>
        <v>S41</v>
      </c>
      <c r="BZ365" s="62" t="n">
        <f aca="false">IF(BY365="LOSE",1,IF(N(V365)&gt;0,V365,IF(CB365=1,MAX(1,N(VLOOKUP(T365,Parameter!$I$27:$K$29,3,0)),H365,N(N365)),IF(N(Q365)&gt;0,Q365,MAX(1,H365)))))</f>
        <v>24</v>
      </c>
      <c r="CA365" s="65" t="n">
        <f aca="false">IF(BY365="LOSE",1,0)</f>
        <v>0</v>
      </c>
      <c r="CB365" s="65" t="n">
        <f aca="false">IF(AND(U365="",OR(P365="",P365="LOSE"),T365&lt;&gt;"",N(S365)&lt;=0,ISNUMBER(MATCH(T365,Parameter!$I$27:$I$29,0))),1,0)</f>
        <v>0</v>
      </c>
      <c r="CC365" s="65" t="n">
        <f aca="false">IF(CR365&gt;0,INDEX(Parameter!$H$5:$H$7,W365)/INDEX(Parameter!$E$5:$E$7,W365),IF(AND(CA365=0,N(IFERROR(VLOOKUP(BY365,'Gebinde-Kategorie'!$A$5:$N$45,14,0),0))&gt;0),VLOOKUP(BY365,'Gebinde-Kategorie'!$A$5:$N$45,14,0)*10+Parameter!$M$23,Parameter!$M$24))</f>
        <v>155</v>
      </c>
      <c r="CD365" s="60" t="str">
        <f aca="false">IF(AND(Parameter!$B$19="Ja",E365&lt;&gt;"",ISNUMBER(MATCH(E365,Parameter!$I$35:$I$52,0))),VLOOKUP(E365,Parameter!$I$35:$J$52,2,0),IFERROR(VLOOKUP(D365,Parameter!$A$35:$C$64,2,0),"Nein"))</f>
        <v>2+3</v>
      </c>
      <c r="CE365" s="64" t="n">
        <f aca="false">IF(CA365=0,0,IF(N(S365)&gt;0,S365,IFERROR(VLOOKUP(D365,Parameter!$A$35:$C$64,3,0)+0,0)))</f>
        <v>0</v>
      </c>
      <c r="CF365" s="60" t="n">
        <f aca="false">IF(AB365&lt;&gt;"",AB365,AA365)</f>
        <v>3</v>
      </c>
      <c r="CG365" s="60" t="str">
        <f aca="false">IF(OR(CF365=1,CF365=2,CF365=3),IF(Parameter!$E$27="Ja","LIFT",IF(CF365=1,"L1","L23")),IF(CF365="Aussen","Aussen","-"))</f>
        <v>LIFT</v>
      </c>
      <c r="CH365" s="71" t="n">
        <f aca="false">IF(N(AC365)&gt;0,AC365,0)</f>
        <v>0</v>
      </c>
      <c r="CI365" s="65" t="n">
        <f aca="false">IF(ISNUMBER(AF365),1,0)</f>
        <v>0</v>
      </c>
      <c r="CJ365" s="62" t="n">
        <f aca="false">N(AF365)</f>
        <v>0</v>
      </c>
      <c r="CK365" s="62" t="n">
        <f aca="false">N(M365)+N(N365)</f>
        <v>10</v>
      </c>
      <c r="CL365" s="62" t="n">
        <f aca="false">N(M365)</f>
        <v>0</v>
      </c>
      <c r="CM365" s="62" t="n">
        <f aca="false">N(N365)</f>
        <v>10</v>
      </c>
      <c r="CN365" s="62" t="n">
        <f aca="false">ROUNDUP(H365/BZ365,0)</f>
        <v>1</v>
      </c>
      <c r="CO365" s="62" t="n">
        <f aca="false">ROUNDUP(CJ365/BZ365,0)</f>
        <v>0</v>
      </c>
      <c r="CP365" s="65" t="n">
        <f aca="false">IF(CA365=1,0,IFERROR(VLOOKUP(BY365,'Gebinde-Kategorie'!$A$5:$N$45,5,0)+0,0))</f>
        <v>11</v>
      </c>
      <c r="CQ365" s="65" t="n">
        <f aca="false">IFERROR(IF(OR(CF365=1,CF365=2,CF365=3),N(INDEX(Parameter!$I$5:$I$7,CF365)),0),0)</f>
        <v>0</v>
      </c>
      <c r="CR365" s="64" t="n">
        <f aca="false">IF(AND(Parameter!$B$21="Ja",ISNUMBER(W365),N(X365)&gt;0),IFERROR(N(INDEX(Parameter!$L$5:$L$7,W365))*INDEX(Parameter!$E$5:$E$7,W365)*X365/SUMIFS($X$7:$X$1843,$W$7:$W$1843,W365),0),0)</f>
        <v>0</v>
      </c>
      <c r="CS365" s="62" t="n">
        <f aca="false">IF(AND(OR(CG365="L1",CG365="L23",CG365="LIFT"),H365&gt;0),CC365*IF(CR365&gt;0,CR365*MAX(1,H365/X365),IF(CA365=1,CE365,IF(R365&gt;0,CN365/R365,0))/MAX(0.1,N(Parameter!$M$21))),"")</f>
        <v>2.98076923076923</v>
      </c>
      <c r="CT365" s="64" t="n">
        <f aca="false">IF(CS365="","",J365/H365)</f>
        <v>0.45</v>
      </c>
      <c r="CU365" s="62" t="n">
        <f aca="false">IF(CS365="","",H365*G365)</f>
        <v>310</v>
      </c>
      <c r="CV365" s="63" t="n">
        <f aca="false">IF(CS365="","",(CL365+ROUNDUP(CL365+MAX(CM365,2*(J365/MAX(0.1,N(Einkauf!$C$6))-CL365)),0))/2)</f>
        <v>5</v>
      </c>
      <c r="CW365" s="62" t="n">
        <f aca="false">IF(CS365="","",MAX(0,H365-CV365)*G365)</f>
        <v>232.5</v>
      </c>
      <c r="CX365" s="62" t="n">
        <f aca="false">IF(CS365="","",CS365*MAX(0,1-CV365/H365))</f>
        <v>2.23557692307692</v>
      </c>
      <c r="CY365" s="64" t="n">
        <f aca="false">IF(CS365="","",PERCENTRANK($CS$7:$CS$1843,CS365)+PERCENTRANK($CU$7:$CU$1843,CU365)+1-PERCENTRANK($CT$7:$CT$1843,CT365))</f>
        <v>1.095</v>
      </c>
      <c r="CZ365" s="72" t="n">
        <f aca="false">IF(CS365="","",CHOOSE(MATCH(Einkauf!$C$5,Parameter!$G$23:$G$27,0),CY365,CS365,CU365,-CT365,CW365)+ROW()/1000000000)</f>
        <v>1.095000365</v>
      </c>
    </row>
    <row r="366" customFormat="false" ht="15" hidden="false" customHeight="false" outlineLevel="0" collapsed="false">
      <c r="A366" s="60" t="s">
        <v>922</v>
      </c>
      <c r="B366" s="60" t="s">
        <v>923</v>
      </c>
      <c r="C366" s="60" t="s">
        <v>206</v>
      </c>
      <c r="D366" s="60" t="s">
        <v>226</v>
      </c>
      <c r="E366" s="60"/>
      <c r="F366" s="60" t="s">
        <v>260</v>
      </c>
      <c r="G366" s="61" t="n">
        <v>38</v>
      </c>
      <c r="H366" s="62" t="n">
        <f aca="false">MAX(0,IF(AND(Parameter!$B$21="Ja",ISNUMBER(Y366)),Y366,IF(Parameter!$B$20="Jahresanfang 2025 + Export",BS366+BR366,BR366)))</f>
        <v>4</v>
      </c>
      <c r="I366" s="62" t="n">
        <f aca="false">H366*G366</f>
        <v>152</v>
      </c>
      <c r="J366" s="62" t="n">
        <f aca="false">BU366*Parameter!$B$18</f>
        <v>2</v>
      </c>
      <c r="K366" s="63" t="n">
        <v>3</v>
      </c>
      <c r="L366" s="64" t="n">
        <v>0.666666666666667</v>
      </c>
      <c r="M366" s="62" t="n">
        <v>0</v>
      </c>
      <c r="N366" s="62" t="n">
        <v>1</v>
      </c>
      <c r="O366" s="65" t="n">
        <v>31</v>
      </c>
      <c r="P366" s="60" t="s">
        <v>443</v>
      </c>
      <c r="Q366" s="62" t="n">
        <v>4</v>
      </c>
      <c r="R366" s="65" t="n">
        <f aca="false">IF(CA366=1,0,IFERROR(VLOOKUP(BY366,'Gebinde-Kategorie'!$A$5:$N$45,13,0)+0,0))</f>
        <v>280</v>
      </c>
      <c r="S366" s="66"/>
      <c r="T366" s="67"/>
      <c r="U366" s="67"/>
      <c r="V366" s="67"/>
      <c r="W366" s="60"/>
      <c r="X366" s="62"/>
      <c r="Y366" s="62"/>
      <c r="Z366" s="60" t="n">
        <v>1</v>
      </c>
      <c r="AA366" s="60" t="n">
        <f aca="false">IF(A366="","",IF(AND(Parameter!$B$21="Ja",ISNUMBER(W366)),W366,IF(AND(Parameter!$E$27="Ja",ISNUMBER(Z366),CD366&lt;&gt;"Nein"),Z366,IF(CD366="2+3",IF(ISNUMBER(SEARCH("grosser Artikel",BV366)),2,IFERROR(VLOOKUP(BY366,Parameter!$F$35:$G$64,2,0),2)),IF(OR(CD366="Nein",CD366=""),"-",CD366)))))</f>
        <v>1</v>
      </c>
      <c r="AB366" s="67"/>
      <c r="AC366" s="68"/>
      <c r="AD366" s="62" t="n">
        <f aca="false">AW366</f>
        <v>2</v>
      </c>
      <c r="AE366" s="62" t="n">
        <f aca="false">MAX(AW366,H366)</f>
        <v>4</v>
      </c>
      <c r="AF366" s="69"/>
      <c r="AG366" s="62" t="n">
        <f aca="false">IF(LEFT(Cockpit!$C$5,1)="A",H366,IF(Parameter!$E$30="MAX-Bestand",IF(CI366=1,CJ366,IF(LEFT(Cockpit!$C$5,1)="B",AM366,MAX(AM366,H366))),ROUNDUP(AK366,0)))</f>
        <v>4</v>
      </c>
      <c r="AH366" s="62" t="n">
        <f aca="false">IF(CA366=1,0,ROUNDUP(AG366/BZ366,0))</f>
        <v>1</v>
      </c>
      <c r="AI366" s="64" t="n">
        <f aca="false">IF(CR366&gt;0,CR366*MAX(1,AG366/X366),IF(CA366=1,IF(AG366&lt;=0,0,CE366*MAX(1,IF(H366&gt;0,AG366/H366,1))),IF(R366&gt;0,AH366/R366,0))/MAX(0.1,N(Parameter!$M$21)))</f>
        <v>0.00357142857142857</v>
      </c>
      <c r="AJ366" s="62" t="n">
        <f aca="false">AI366*CC366</f>
        <v>0.553571428571429</v>
      </c>
      <c r="AK366" s="63" t="n">
        <f aca="false">IF(LEFT(Cockpit!$C$5,1)="A",H366,IF(CI366=1,(CL366+CJ366)/2,IF(LEFT(Cockpit!$C$5,1)="B",(CL366+AM366)/2,MAX((CL366+AM366)/2,H366))))</f>
        <v>4</v>
      </c>
      <c r="AL366" s="62" t="n">
        <f aca="false">AK366*G366</f>
        <v>152</v>
      </c>
      <c r="AM366" s="62" t="n">
        <f aca="false">ROUNDUP(CL366+MAX(CM366,2*(J366/IF(CH366&gt;0,CH366,MAX(0.1,N(Cockpit!$C$6)))-CL366)),0)</f>
        <v>2</v>
      </c>
      <c r="AN366" s="63" t="n">
        <f aca="false">IF(AJ366&gt;0,J366/AJ366,-1)</f>
        <v>3.61290322580645</v>
      </c>
      <c r="AO366" s="63" t="n">
        <f aca="false">IF(AND(OR(CG366="L1",CG366="L23",CG366="LIFT"),AJ366&gt;0),SUMIFS($AJ$7:$AJ$1843,$CG$7:$CG$1843,CG366,$AN$7:$AN$1843,"&gt;"&amp;AN366)+SUMIFS($AJ$7:$AJ$1843,$CG$7:$CG$1843,CG366,$AN$7:$AN$1843,AN366,$BX$7:$BX$1843,"&lt;="&amp;BX366),"")</f>
        <v>4820.12408424908</v>
      </c>
      <c r="AP366" s="70" t="n">
        <f aca="false">IF(AO366="",0,MAX(0,MIN(1,(IF(CG366="L1",Parameter!$H$5,IF(CG366="L23",Parameter!$H$6+Parameter!$H$7,Parameter!$H$5+Parameter!$H$6+Parameter!$H$7))-(AO366-AJ366))/AJ366)))</f>
        <v>1</v>
      </c>
      <c r="AQ366" s="62" t="n">
        <f aca="false">IF(LEFT(Cockpit!$I$5,1)="A",H366,IF(Parameter!$E$30="MAX-Bestand",IF(CI366=1,CJ366,IF(LEFT(Cockpit!$I$5,1)="B",AW366,MAX(AW366,H366))),ROUNDUP(AU366,0)))</f>
        <v>4</v>
      </c>
      <c r="AR366" s="62" t="n">
        <f aca="false">IF(CA366=1,0,ROUNDUP(AQ366/BZ366,0))</f>
        <v>1</v>
      </c>
      <c r="AS366" s="64" t="n">
        <f aca="false">IF(CR366&gt;0,CR366*MAX(1,AQ366/X366),IF(CA366=1,IF(AQ366&lt;=0,0,CE366*MAX(1,IF(H366&gt;0,AQ366/H366,1))),IF(R366&gt;0,AR366/R366,0))/MAX(0.1,N(Parameter!$M$21)))</f>
        <v>0.00357142857142857</v>
      </c>
      <c r="AT366" s="62" t="n">
        <f aca="false">AS366*CC366</f>
        <v>0.553571428571429</v>
      </c>
      <c r="AU366" s="63" t="n">
        <f aca="false">IF(LEFT(Cockpit!$I$5,1)="A",H366,IF(CI366=1,(CL366+CJ366)/2,IF(LEFT(Cockpit!$I$5,1)="B",(CL366+AW366)/2,MAX((CL366+AW366)/2,H366))))</f>
        <v>4</v>
      </c>
      <c r="AV366" s="62" t="n">
        <f aca="false">AU366*G366</f>
        <v>152</v>
      </c>
      <c r="AW366" s="62" t="n">
        <f aca="false">ROUNDUP(CL366+MAX(CM366,2*(J366/IF(CH366&gt;0,CH366,MAX(0.1,N(Cockpit!$I$6)))-CL366)),0)</f>
        <v>2</v>
      </c>
      <c r="AX366" s="63" t="n">
        <f aca="false">IF(AT366&gt;0,J366/AT366,-1)</f>
        <v>3.61290322580645</v>
      </c>
      <c r="AY366" s="63" t="n">
        <f aca="false">IF(AND(OR(CG366="L1",CG366="L23",CG366="LIFT"),AT366&gt;0),SUMIFS($AT$7:$AT$1843,$CG$7:$CG$1843,CG366,$AX$7:$AX$1843,"&gt;"&amp;AX366)+SUMIFS($AT$7:$AT$1843,$CG$7:$CG$1843,CG366,$AX$7:$AX$1843,AX366,$BX$7:$BX$1843,"&lt;="&amp;BX366),"")</f>
        <v>5397.71108058608</v>
      </c>
      <c r="AZ366" s="70" t="n">
        <f aca="false">IF(AY366="",0,MAX(0,MIN(1,(IF(CG366="L1",Parameter!$H$5,IF(CG366="L23",Parameter!$H$6+Parameter!$H$7,Parameter!$H$5+Parameter!$H$6+Parameter!$H$7))-(AY366-AT366))/AT366)))</f>
        <v>1</v>
      </c>
      <c r="BA366" s="62" t="n">
        <f aca="false">IF(LEFT(Cockpit!$O$5,1)="A",H366,IF(Parameter!$E$30="MAX-Bestand",IF(CI366=1,CJ366,IF(LEFT(Cockpit!$O$5,1)="B",BG366,MAX(BG366,H366))),ROUNDUP(BE366,0)))</f>
        <v>1</v>
      </c>
      <c r="BB366" s="62" t="n">
        <f aca="false">IF(CA366=1,0,ROUNDUP(BA366/BZ366,0))</f>
        <v>1</v>
      </c>
      <c r="BC366" s="64" t="n">
        <f aca="false">IF(CR366&gt;0,CR366*MAX(1,BA366/X366),IF(CA366=1,IF(BA366&lt;=0,0,CE366*MAX(1,IF(H366&gt;0,BA366/H366,1))),IF(R366&gt;0,BB366/R366,0))/MAX(0.1,N(Parameter!$M$21)))</f>
        <v>0.00357142857142857</v>
      </c>
      <c r="BD366" s="62" t="n">
        <f aca="false">BC366*CC366</f>
        <v>0.553571428571429</v>
      </c>
      <c r="BE366" s="63" t="n">
        <f aca="false">IF(LEFT(Cockpit!$O$5,1)="A",H366,IF(CI366=1,(CL366+CJ366)/2,IF(LEFT(Cockpit!$O$5,1)="B",(CL366+BG366)/2,MAX((CL366+BG366)/2,H366))))</f>
        <v>0.5</v>
      </c>
      <c r="BF366" s="62" t="n">
        <f aca="false">BE366*G366</f>
        <v>19</v>
      </c>
      <c r="BG366" s="62" t="n">
        <f aca="false">ROUNDUP(CL366+MAX(CM366,2*(J366/IF(CH366&gt;0,CH366,MAX(0.1,N(Cockpit!$O$6)))-CL366)),0)</f>
        <v>1</v>
      </c>
      <c r="BH366" s="63" t="n">
        <f aca="false">IF(BD366&gt;0,J366/BD366,-1)</f>
        <v>3.61290322580645</v>
      </c>
      <c r="BI366" s="63" t="n">
        <f aca="false">IF(AND(OR(CG366="L1",CG366="L23",CG366="LIFT"),BD366&gt;0),SUMIFS($BD$7:$BD$1843,$CG$7:$CG$1843,CG366,$BH$7:$BH$1843,"&gt;"&amp;BH366)+SUMIFS($BD$7:$BD$1843,$CG$7:$CG$1843,CG366,$BH$7:$BH$1843,BH366,$BX$7:$BX$1843,"&lt;="&amp;BX366),"")</f>
        <v>4416.63644688645</v>
      </c>
      <c r="BJ366" s="70" t="n">
        <f aca="false">IF(BI366="",0,MAX(0,MIN(1,(IF(CG366="L1",Parameter!$H$5,IF(CG366="L23",Parameter!$H$6+Parameter!$H$7,Parameter!$H$5+Parameter!$H$6+Parameter!$H$7))-(BI366-BD366))/BD366)))</f>
        <v>1</v>
      </c>
      <c r="BK366" s="60" t="str">
        <f aca="false">IF(AJ366&lt;=0,"",IF(CG366="Aussen","Aussenlager",IF(CG366="-","Nicht im Lift",IF(AP366&gt;=1,"Lift",IF(AP366&lt;=0,"Aussenlager","teilweise")))))</f>
        <v>Lift</v>
      </c>
      <c r="BL366" s="60" t="str">
        <f aca="false">IF(AT366&lt;=0,"",IF(CG366="Aussen","Aussenlager",IF(CG366="-","Nicht im Lift",IF(AZ366&gt;=1,"Lift",IF(AZ366&lt;=0,"Aussenlager","teilweise")))))</f>
        <v>Lift</v>
      </c>
      <c r="BM366" s="60" t="str">
        <f aca="false">IF(BD366&lt;=0,"",IF(CG366="Aussen","Aussenlager",IF(CG366="-","Nicht im Lift",IF(BJ366&gt;=1,"Lift",IF(BJ366&lt;=0,"Aussenlager","teilweise")))))</f>
        <v>Lift</v>
      </c>
      <c r="BN366" s="60" t="str">
        <f aca="false">IF(A366="","",IF(BW366=1,"Neu; ","")&amp;IF(AND(BW366=0,BR366&lt;0),"negativer Bestand (Export "&amp;BR366&amp;"); ","")&amp;IF(J366&lt;=0,"Kein Verbrauch; ","")&amp;IF(CR366&gt;0,"Lift "&amp;W366&amp;" lt. Liftbericht (Fach "&amp;X366&amp;" Stk); ",IF(CB366=1,"Gebinde geschätzt ("&amp;T366&amp;"); ",IF(CA366=1,"Lose – Tablare geschätzt; ","")))&amp;IF(H366&gt;AW366,"Überbestand "&amp;ROUND(H366-AW366,0)&amp;" Stk / CHF "&amp;ROUND((H366-AW366)*G366,0)&amp;"; ","")&amp;IF(AND(CI366=1,CJ366&lt;CK366),"MAX &lt; MB+LG; ","")&amp;IF(AND(CQ366&gt;0,CP366*10&gt;CQ366),"zu hoch für Tablar; ","")&amp;IF(AND(BW366=0,OR(CI366=1,AB366&lt;&gt;"",U366&lt;&gt;"",V366&lt;&gt;"",AC366&lt;&gt;"")),"manuell übersteuert; ","")&amp;IF(AND(CA366=0,R366=0),"Gebinde unbekannt / Stellmass fehlt; ","")&amp;IF(AND(CA366=0,N(V366)&lt;=0,N(Q366)&lt;=0),"Menge pro Gebinde fehlt (Ist = 1 Gebinde); ","")&amp;BV366)</f>
        <v>Überbestand 2 Stk / CHF 76; </v>
      </c>
      <c r="BO366" s="60"/>
      <c r="BP366" s="60"/>
      <c r="BQ366" s="67"/>
      <c r="BR366" s="62" t="n">
        <v>4</v>
      </c>
      <c r="BS366" s="62" t="n">
        <v>0</v>
      </c>
      <c r="BT366" s="61" t="n">
        <v>152</v>
      </c>
      <c r="BU366" s="62" t="n">
        <v>2</v>
      </c>
      <c r="BV366" s="60"/>
      <c r="BW366" s="65" t="n">
        <v>0</v>
      </c>
      <c r="BX366" s="65" t="n">
        <v>366</v>
      </c>
      <c r="BY366" s="60" t="str">
        <f aca="false">IF(U366&lt;&gt;"",UPPER(TRIM(U366)),IF(CB366=1,UPPER(VLOOKUP(T366,Parameter!$I$27:$K$29,2,0)),IF(P366="","LOSE",P366)))</f>
        <v>S21</v>
      </c>
      <c r="BZ366" s="62" t="n">
        <f aca="false">IF(BY366="LOSE",1,IF(N(V366)&gt;0,V366,IF(CB366=1,MAX(1,N(VLOOKUP(T366,Parameter!$I$27:$K$29,3,0)),H366,N(N366)),IF(N(Q366)&gt;0,Q366,MAX(1,H366)))))</f>
        <v>4</v>
      </c>
      <c r="CA366" s="65" t="n">
        <f aca="false">IF(BY366="LOSE",1,0)</f>
        <v>0</v>
      </c>
      <c r="CB366" s="65" t="n">
        <f aca="false">IF(AND(U366="",OR(P366="",P366="LOSE"),T366&lt;&gt;"",N(S366)&lt;=0,ISNUMBER(MATCH(T366,Parameter!$I$27:$I$29,0))),1,0)</f>
        <v>0</v>
      </c>
      <c r="CC366" s="65" t="n">
        <f aca="false">IF(CR366&gt;0,INDEX(Parameter!$H$5:$H$7,W366)/INDEX(Parameter!$E$5:$E$7,W366),IF(AND(CA366=0,N(IFERROR(VLOOKUP(BY366,'Gebinde-Kategorie'!$A$5:$N$45,14,0),0))&gt;0),VLOOKUP(BY366,'Gebinde-Kategorie'!$A$5:$N$45,14,0)*10+Parameter!$M$23,Parameter!$M$24))</f>
        <v>155</v>
      </c>
      <c r="CD366" s="60" t="str">
        <f aca="false">IF(AND(Parameter!$B$19="Ja",E366&lt;&gt;"",ISNUMBER(MATCH(E366,Parameter!$I$35:$I$52,0))),VLOOKUP(E366,Parameter!$I$35:$J$52,2,0),IFERROR(VLOOKUP(D366,Parameter!$A$35:$C$64,2,0),"Nein"))</f>
        <v>2+3</v>
      </c>
      <c r="CE366" s="64" t="n">
        <f aca="false">IF(CA366=0,0,IF(N(S366)&gt;0,S366,IFERROR(VLOOKUP(D366,Parameter!$A$35:$C$64,3,0)+0,0)))</f>
        <v>0</v>
      </c>
      <c r="CF366" s="60" t="n">
        <f aca="false">IF(AB366&lt;&gt;"",AB366,AA366)</f>
        <v>1</v>
      </c>
      <c r="CG366" s="60" t="str">
        <f aca="false">IF(OR(CF366=1,CF366=2,CF366=3),IF(Parameter!$E$27="Ja","LIFT",IF(CF366=1,"L1","L23")),IF(CF366="Aussen","Aussen","-"))</f>
        <v>LIFT</v>
      </c>
      <c r="CH366" s="71" t="n">
        <f aca="false">IF(N(AC366)&gt;0,AC366,0)</f>
        <v>0</v>
      </c>
      <c r="CI366" s="65" t="n">
        <f aca="false">IF(ISNUMBER(AF366),1,0)</f>
        <v>0</v>
      </c>
      <c r="CJ366" s="62" t="n">
        <f aca="false">N(AF366)</f>
        <v>0</v>
      </c>
      <c r="CK366" s="62" t="n">
        <f aca="false">N(M366)+N(N366)</f>
        <v>1</v>
      </c>
      <c r="CL366" s="62" t="n">
        <f aca="false">N(M366)</f>
        <v>0</v>
      </c>
      <c r="CM366" s="62" t="n">
        <f aca="false">N(N366)</f>
        <v>1</v>
      </c>
      <c r="CN366" s="62" t="n">
        <f aca="false">ROUNDUP(H366/BZ366,0)</f>
        <v>1</v>
      </c>
      <c r="CO366" s="62" t="n">
        <f aca="false">ROUNDUP(CJ366/BZ366,0)</f>
        <v>0</v>
      </c>
      <c r="CP366" s="65" t="n">
        <f aca="false">IF(CA366=1,0,IFERROR(VLOOKUP(BY366,'Gebinde-Kategorie'!$A$5:$N$45,5,0)+0,0))</f>
        <v>8</v>
      </c>
      <c r="CQ366" s="65" t="n">
        <f aca="false">IFERROR(IF(OR(CF366=1,CF366=2,CF366=3),N(INDEX(Parameter!$I$5:$I$7,CF366)),0),0)</f>
        <v>0</v>
      </c>
      <c r="CR366" s="64" t="n">
        <f aca="false">IF(AND(Parameter!$B$21="Ja",ISNUMBER(W366),N(X366)&gt;0),IFERROR(N(INDEX(Parameter!$L$5:$L$7,W366))*INDEX(Parameter!$E$5:$E$7,W366)*X366/SUMIFS($X$7:$X$1843,$W$7:$W$1843,W366),0),0)</f>
        <v>0</v>
      </c>
      <c r="CS366" s="62" t="n">
        <f aca="false">IF(AND(OR(CG366="L1",CG366="L23",CG366="LIFT"),H366&gt;0),CC366*IF(CR366&gt;0,CR366*MAX(1,H366/X366),IF(CA366=1,CE366,IF(R366&gt;0,CN366/R366,0))/MAX(0.1,N(Parameter!$M$21))),"")</f>
        <v>0.553571428571429</v>
      </c>
      <c r="CT366" s="64" t="n">
        <f aca="false">IF(CS366="","",J366/H366)</f>
        <v>0.5</v>
      </c>
      <c r="CU366" s="62" t="n">
        <f aca="false">IF(CS366="","",H366*G366)</f>
        <v>152</v>
      </c>
      <c r="CV366" s="63" t="n">
        <f aca="false">IF(CS366="","",(CL366+ROUNDUP(CL366+MAX(CM366,2*(J366/MAX(0.1,N(Einkauf!$C$6))-CL366)),0))/2)</f>
        <v>0.5</v>
      </c>
      <c r="CW366" s="62" t="n">
        <f aca="false">IF(CS366="","",MAX(0,H366-CV366)*G366)</f>
        <v>133</v>
      </c>
      <c r="CX366" s="62" t="n">
        <f aca="false">IF(CS366="","",CS366*MAX(0,1-CV366/H366))</f>
        <v>0.484375</v>
      </c>
      <c r="CY366" s="64" t="n">
        <f aca="false">IF(CS366="","",PERCENTRANK($CS$7:$CS$1843,CS366)+PERCENTRANK($CU$7:$CU$1843,CU366)+1-PERCENTRANK($CT$7:$CT$1843,CT366))</f>
        <v>0.75</v>
      </c>
      <c r="CZ366" s="72" t="n">
        <f aca="false">IF(CS366="","",CHOOSE(MATCH(Einkauf!$C$5,Parameter!$G$23:$G$27,0),CY366,CS366,CU366,-CT366,CW366)+ROW()/1000000000)</f>
        <v>0.750000366</v>
      </c>
    </row>
    <row r="367" customFormat="false" ht="15" hidden="false" customHeight="false" outlineLevel="0" collapsed="false">
      <c r="A367" s="60" t="s">
        <v>924</v>
      </c>
      <c r="B367" s="60" t="s">
        <v>925</v>
      </c>
      <c r="C367" s="60" t="s">
        <v>206</v>
      </c>
      <c r="D367" s="60" t="s">
        <v>226</v>
      </c>
      <c r="E367" s="60" t="s">
        <v>227</v>
      </c>
      <c r="F367" s="60" t="s">
        <v>260</v>
      </c>
      <c r="G367" s="61" t="n">
        <v>49.23</v>
      </c>
      <c r="H367" s="62" t="n">
        <f aca="false">MAX(0,IF(AND(Parameter!$B$21="Ja",ISNUMBER(Y367)),Y367,IF(Parameter!$B$20="Jahresanfang 2025 + Export",BS367+BR367,BR367)))</f>
        <v>7</v>
      </c>
      <c r="I367" s="62" t="n">
        <f aca="false">H367*G367</f>
        <v>344.61</v>
      </c>
      <c r="J367" s="62" t="n">
        <f aca="false">BU367*Parameter!$B$18</f>
        <v>1</v>
      </c>
      <c r="K367" s="63" t="n">
        <v>5</v>
      </c>
      <c r="L367" s="64" t="n">
        <v>0.2</v>
      </c>
      <c r="M367" s="62" t="n">
        <v>0</v>
      </c>
      <c r="N367" s="62" t="n">
        <v>1</v>
      </c>
      <c r="O367" s="65" t="n">
        <v>14</v>
      </c>
      <c r="P367" s="60" t="s">
        <v>275</v>
      </c>
      <c r="Q367" s="62" t="n">
        <v>10</v>
      </c>
      <c r="R367" s="65" t="n">
        <f aca="false">IF(CA367=1,0,IFERROR(VLOOKUP(BY367,'Gebinde-Kategorie'!$A$5:$N$45,13,0)+0,0))</f>
        <v>26</v>
      </c>
      <c r="S367" s="66"/>
      <c r="T367" s="67"/>
      <c r="U367" s="67"/>
      <c r="V367" s="67"/>
      <c r="W367" s="60"/>
      <c r="X367" s="62"/>
      <c r="Y367" s="62"/>
      <c r="Z367" s="60" t="n">
        <v>3</v>
      </c>
      <c r="AA367" s="60" t="n">
        <f aca="false">IF(A367="","",IF(AND(Parameter!$B$21="Ja",ISNUMBER(W367)),W367,IF(AND(Parameter!$E$27="Ja",ISNUMBER(Z367),CD367&lt;&gt;"Nein"),Z367,IF(CD367="2+3",IF(ISNUMBER(SEARCH("grosser Artikel",BV367)),2,IFERROR(VLOOKUP(BY367,Parameter!$F$35:$G$64,2,0),2)),IF(OR(CD367="Nein",CD367=""),"-",CD367)))))</f>
        <v>3</v>
      </c>
      <c r="AB367" s="67"/>
      <c r="AC367" s="68"/>
      <c r="AD367" s="62" t="n">
        <f aca="false">AW367</f>
        <v>1</v>
      </c>
      <c r="AE367" s="62" t="n">
        <f aca="false">MAX(AW367,H367)</f>
        <v>7</v>
      </c>
      <c r="AF367" s="69"/>
      <c r="AG367" s="62" t="n">
        <f aca="false">IF(LEFT(Cockpit!$C$5,1)="A",H367,IF(Parameter!$E$30="MAX-Bestand",IF(CI367=1,CJ367,IF(LEFT(Cockpit!$C$5,1)="B",AM367,MAX(AM367,H367))),ROUNDUP(AK367,0)))</f>
        <v>7</v>
      </c>
      <c r="AH367" s="62" t="n">
        <f aca="false">IF(CA367=1,0,ROUNDUP(AG367/BZ367,0))</f>
        <v>1</v>
      </c>
      <c r="AI367" s="64" t="n">
        <f aca="false">IF(CR367&gt;0,CR367*MAX(1,AG367/X367),IF(CA367=1,IF(AG367&lt;=0,0,CE367*MAX(1,IF(H367&gt;0,AG367/H367,1))),IF(R367&gt;0,AH367/R367,0))/MAX(0.1,N(Parameter!$M$21)))</f>
        <v>0.0384615384615385</v>
      </c>
      <c r="AJ367" s="62" t="n">
        <f aca="false">AI367*CC367</f>
        <v>9.42307692307692</v>
      </c>
      <c r="AK367" s="63" t="n">
        <f aca="false">IF(LEFT(Cockpit!$C$5,1)="A",H367,IF(CI367=1,(CL367+CJ367)/2,IF(LEFT(Cockpit!$C$5,1)="B",(CL367+AM367)/2,MAX((CL367+AM367)/2,H367))))</f>
        <v>7</v>
      </c>
      <c r="AL367" s="62" t="n">
        <f aca="false">AK367*G367</f>
        <v>344.61</v>
      </c>
      <c r="AM367" s="62" t="n">
        <f aca="false">ROUNDUP(CL367+MAX(CM367,2*(J367/IF(CH367&gt;0,CH367,MAX(0.1,N(Cockpit!$C$6)))-CL367)),0)</f>
        <v>1</v>
      </c>
      <c r="AN367" s="63" t="n">
        <f aca="false">IF(AJ367&gt;0,J367/AJ367,-1)</f>
        <v>0.106122448979592</v>
      </c>
      <c r="AO367" s="63" t="n">
        <f aca="false">IF(AND(OR(CG367="L1",CG367="L23",CG367="LIFT"),AJ367&gt;0),SUMIFS($AJ$7:$AJ$1843,$CG$7:$CG$1843,CG367,$AN$7:$AN$1843,"&gt;"&amp;AN367)+SUMIFS($AJ$7:$AJ$1843,$CG$7:$CG$1843,CG367,$AN$7:$AN$1843,AN367,$BX$7:$BX$1843,"&lt;="&amp;BX367),"")</f>
        <v>15304.6527777778</v>
      </c>
      <c r="AP367" s="70" t="n">
        <f aca="false">IF(AO367="",0,MAX(0,MIN(1,(IF(CG367="L1",Parameter!$H$5,IF(CG367="L23",Parameter!$H$6+Parameter!$H$7,Parameter!$H$5+Parameter!$H$6+Parameter!$H$7))-(AO367-AJ367))/AJ367)))</f>
        <v>1</v>
      </c>
      <c r="AQ367" s="62" t="n">
        <f aca="false">IF(LEFT(Cockpit!$I$5,1)="A",H367,IF(Parameter!$E$30="MAX-Bestand",IF(CI367=1,CJ367,IF(LEFT(Cockpit!$I$5,1)="B",AW367,MAX(AW367,H367))),ROUNDUP(AU367,0)))</f>
        <v>7</v>
      </c>
      <c r="AR367" s="62" t="n">
        <f aca="false">IF(CA367=1,0,ROUNDUP(AQ367/BZ367,0))</f>
        <v>1</v>
      </c>
      <c r="AS367" s="64" t="n">
        <f aca="false">IF(CR367&gt;0,CR367*MAX(1,AQ367/X367),IF(CA367=1,IF(AQ367&lt;=0,0,CE367*MAX(1,IF(H367&gt;0,AQ367/H367,1))),IF(R367&gt;0,AR367/R367,0))/MAX(0.1,N(Parameter!$M$21)))</f>
        <v>0.0384615384615385</v>
      </c>
      <c r="AT367" s="62" t="n">
        <f aca="false">AS367*CC367</f>
        <v>9.42307692307692</v>
      </c>
      <c r="AU367" s="63" t="n">
        <f aca="false">IF(LEFT(Cockpit!$I$5,1)="A",H367,IF(CI367=1,(CL367+CJ367)/2,IF(LEFT(Cockpit!$I$5,1)="B",(CL367+AW367)/2,MAX((CL367+AW367)/2,H367))))</f>
        <v>7</v>
      </c>
      <c r="AV367" s="62" t="n">
        <f aca="false">AU367*G367</f>
        <v>344.61</v>
      </c>
      <c r="AW367" s="62" t="n">
        <f aca="false">ROUNDUP(CL367+MAX(CM367,2*(J367/IF(CH367&gt;0,CH367,MAX(0.1,N(Cockpit!$I$6)))-CL367)),0)</f>
        <v>1</v>
      </c>
      <c r="AX367" s="63" t="n">
        <f aca="false">IF(AT367&gt;0,J367/AT367,-1)</f>
        <v>0.106122448979592</v>
      </c>
      <c r="AY367" s="63" t="n">
        <f aca="false">IF(AND(OR(CG367="L1",CG367="L23",CG367="LIFT"),AT367&gt;0),SUMIFS($AT$7:$AT$1843,$CG$7:$CG$1843,CG367,$AX$7:$AX$1843,"&gt;"&amp;AX367)+SUMIFS($AT$7:$AT$1843,$CG$7:$CG$1843,CG367,$AX$7:$AX$1843,AX367,$BX$7:$BX$1843,"&lt;="&amp;BX367),"")</f>
        <v>19329.0514191552</v>
      </c>
      <c r="AZ367" s="70" t="n">
        <f aca="false">IF(AY367="",0,MAX(0,MIN(1,(IF(CG367="L1",Parameter!$H$5,IF(CG367="L23",Parameter!$H$6+Parameter!$H$7,Parameter!$H$5+Parameter!$H$6+Parameter!$H$7))-(AY367-AT367))/AT367)))</f>
        <v>1</v>
      </c>
      <c r="BA367" s="62" t="n">
        <f aca="false">IF(LEFT(Cockpit!$O$5,1)="A",H367,IF(Parameter!$E$30="MAX-Bestand",IF(CI367=1,CJ367,IF(LEFT(Cockpit!$O$5,1)="B",BG367,MAX(BG367,H367))),ROUNDUP(BE367,0)))</f>
        <v>1</v>
      </c>
      <c r="BB367" s="62" t="n">
        <f aca="false">IF(CA367=1,0,ROUNDUP(BA367/BZ367,0))</f>
        <v>1</v>
      </c>
      <c r="BC367" s="64" t="n">
        <f aca="false">IF(CR367&gt;0,CR367*MAX(1,BA367/X367),IF(CA367=1,IF(BA367&lt;=0,0,CE367*MAX(1,IF(H367&gt;0,BA367/H367,1))),IF(R367&gt;0,BB367/R367,0))/MAX(0.1,N(Parameter!$M$21)))</f>
        <v>0.0384615384615385</v>
      </c>
      <c r="BD367" s="62" t="n">
        <f aca="false">BC367*CC367</f>
        <v>9.42307692307692</v>
      </c>
      <c r="BE367" s="63" t="n">
        <f aca="false">IF(LEFT(Cockpit!$O$5,1)="A",H367,IF(CI367=1,(CL367+CJ367)/2,IF(LEFT(Cockpit!$O$5,1)="B",(CL367+BG367)/2,MAX((CL367+BG367)/2,H367))))</f>
        <v>0.5</v>
      </c>
      <c r="BF367" s="62" t="n">
        <f aca="false">BE367*G367</f>
        <v>24.615</v>
      </c>
      <c r="BG367" s="62" t="n">
        <f aca="false">ROUNDUP(CL367+MAX(CM367,2*(J367/IF(CH367&gt;0,CH367,MAX(0.1,N(Cockpit!$O$6)))-CL367)),0)</f>
        <v>1</v>
      </c>
      <c r="BH367" s="63" t="n">
        <f aca="false">IF(BD367&gt;0,J367/BD367,-1)</f>
        <v>0.106122448979592</v>
      </c>
      <c r="BI367" s="63" t="n">
        <f aca="false">IF(AND(OR(CG367="L1",CG367="L23",CG367="LIFT"),BD367&gt;0),SUMIFS($BD$7:$BD$1843,$CG$7:$CG$1843,CG367,$BH$7:$BH$1843,"&gt;"&amp;BH367)+SUMIFS($BD$7:$BD$1843,$CG$7:$CG$1843,CG367,$BH$7:$BH$1843,BH367,$BX$7:$BX$1843,"&lt;="&amp;BX367),"")</f>
        <v>16929.864031684</v>
      </c>
      <c r="BJ367" s="70" t="n">
        <f aca="false">IF(BI367="",0,MAX(0,MIN(1,(IF(CG367="L1",Parameter!$H$5,IF(CG367="L23",Parameter!$H$6+Parameter!$H$7,Parameter!$H$5+Parameter!$H$6+Parameter!$H$7))-(BI367-BD367))/BD367)))</f>
        <v>1</v>
      </c>
      <c r="BK367" s="60" t="str">
        <f aca="false">IF(AJ367&lt;=0,"",IF(CG367="Aussen","Aussenlager",IF(CG367="-","Nicht im Lift",IF(AP367&gt;=1,"Lift",IF(AP367&lt;=0,"Aussenlager","teilweise")))))</f>
        <v>Lift</v>
      </c>
      <c r="BL367" s="60" t="str">
        <f aca="false">IF(AT367&lt;=0,"",IF(CG367="Aussen","Aussenlager",IF(CG367="-","Nicht im Lift",IF(AZ367&gt;=1,"Lift",IF(AZ367&lt;=0,"Aussenlager","teilweise")))))</f>
        <v>Lift</v>
      </c>
      <c r="BM367" s="60" t="str">
        <f aca="false">IF(BD367&lt;=0,"",IF(CG367="Aussen","Aussenlager",IF(CG367="-","Nicht im Lift",IF(BJ367&gt;=1,"Lift",IF(BJ367&lt;=0,"Aussenlager","teilweise")))))</f>
        <v>Lift</v>
      </c>
      <c r="BN367" s="60" t="str">
        <f aca="false">IF(A367="","",IF(BW367=1,"Neu; ","")&amp;IF(AND(BW367=0,BR367&lt;0),"negativer Bestand (Export "&amp;BR367&amp;"); ","")&amp;IF(J367&lt;=0,"Kein Verbrauch; ","")&amp;IF(CR367&gt;0,"Lift "&amp;W367&amp;" lt. Liftbericht (Fach "&amp;X367&amp;" Stk); ",IF(CB367=1,"Gebinde geschätzt ("&amp;T367&amp;"); ",IF(CA367=1,"Lose – Tablare geschätzt; ","")))&amp;IF(H367&gt;AW367,"Überbestand "&amp;ROUND(H367-AW367,0)&amp;" Stk / CHF "&amp;ROUND((H367-AW367)*G367,0)&amp;"; ","")&amp;IF(AND(CI367=1,CJ367&lt;CK367),"MAX &lt; MB+LG; ","")&amp;IF(AND(CQ367&gt;0,CP367*10&gt;CQ367),"zu hoch für Tablar; ","")&amp;IF(AND(BW367=0,OR(CI367=1,AB367&lt;&gt;"",U367&lt;&gt;"",V367&lt;&gt;"",AC367&lt;&gt;"")),"manuell übersteuert; ","")&amp;IF(AND(CA367=0,R367=0),"Gebinde unbekannt / Stellmass fehlt; ","")&amp;IF(AND(CA367=0,N(V367)&lt;=0,N(Q367)&lt;=0),"Menge pro Gebinde fehlt (Ist = 1 Gebinde); ","")&amp;BV367)</f>
        <v>Überbestand 6 Stk / CHF 295; </v>
      </c>
      <c r="BO367" s="60"/>
      <c r="BP367" s="60"/>
      <c r="BQ367" s="67"/>
      <c r="BR367" s="62" t="n">
        <v>3</v>
      </c>
      <c r="BS367" s="62" t="n">
        <v>4</v>
      </c>
      <c r="BT367" s="61" t="n">
        <v>151.81</v>
      </c>
      <c r="BU367" s="62" t="n">
        <v>1</v>
      </c>
      <c r="BV367" s="60"/>
      <c r="BW367" s="65" t="n">
        <v>0</v>
      </c>
      <c r="BX367" s="65" t="n">
        <v>367</v>
      </c>
      <c r="BY367" s="60" t="str">
        <f aca="false">IF(U367&lt;&gt;"",UPPER(TRIM(U367)),IF(CB367=1,UPPER(VLOOKUP(T367,Parameter!$I$27:$K$29,2,0)),IF(P367="","LOSE",P367)))</f>
        <v>S52</v>
      </c>
      <c r="BZ367" s="62" t="n">
        <f aca="false">IF(BY367="LOSE",1,IF(N(V367)&gt;0,V367,IF(CB367=1,MAX(1,N(VLOOKUP(T367,Parameter!$I$27:$K$29,3,0)),H367,N(N367)),IF(N(Q367)&gt;0,Q367,MAX(1,H367)))))</f>
        <v>10</v>
      </c>
      <c r="CA367" s="65" t="n">
        <f aca="false">IF(BY367="LOSE",1,0)</f>
        <v>0</v>
      </c>
      <c r="CB367" s="65" t="n">
        <f aca="false">IF(AND(U367="",OR(P367="",P367="LOSE"),T367&lt;&gt;"",N(S367)&lt;=0,ISNUMBER(MATCH(T367,Parameter!$I$27:$I$29,0))),1,0)</f>
        <v>0</v>
      </c>
      <c r="CC367" s="65" t="n">
        <f aca="false">IF(CR367&gt;0,INDEX(Parameter!$H$5:$H$7,W367)/INDEX(Parameter!$E$5:$E$7,W367),IF(AND(CA367=0,N(IFERROR(VLOOKUP(BY367,'Gebinde-Kategorie'!$A$5:$N$45,14,0),0))&gt;0),VLOOKUP(BY367,'Gebinde-Kategorie'!$A$5:$N$45,14,0)*10+Parameter!$M$23,Parameter!$M$24))</f>
        <v>245</v>
      </c>
      <c r="CD367" s="60" t="str">
        <f aca="false">IF(AND(Parameter!$B$19="Ja",E367&lt;&gt;"",ISNUMBER(MATCH(E367,Parameter!$I$35:$I$52,0))),VLOOKUP(E367,Parameter!$I$35:$J$52,2,0),IFERROR(VLOOKUP(D367,Parameter!$A$35:$C$64,2,0),"Nein"))</f>
        <v>2+3</v>
      </c>
      <c r="CE367" s="64" t="n">
        <f aca="false">IF(CA367=0,0,IF(N(S367)&gt;0,S367,IFERROR(VLOOKUP(D367,Parameter!$A$35:$C$64,3,0)+0,0)))</f>
        <v>0</v>
      </c>
      <c r="CF367" s="60" t="n">
        <f aca="false">IF(AB367&lt;&gt;"",AB367,AA367)</f>
        <v>3</v>
      </c>
      <c r="CG367" s="60" t="str">
        <f aca="false">IF(OR(CF367=1,CF367=2,CF367=3),IF(Parameter!$E$27="Ja","LIFT",IF(CF367=1,"L1","L23")),IF(CF367="Aussen","Aussen","-"))</f>
        <v>LIFT</v>
      </c>
      <c r="CH367" s="71" t="n">
        <f aca="false">IF(N(AC367)&gt;0,AC367,0)</f>
        <v>0</v>
      </c>
      <c r="CI367" s="65" t="n">
        <f aca="false">IF(ISNUMBER(AF367),1,0)</f>
        <v>0</v>
      </c>
      <c r="CJ367" s="62" t="n">
        <f aca="false">N(AF367)</f>
        <v>0</v>
      </c>
      <c r="CK367" s="62" t="n">
        <f aca="false">N(M367)+N(N367)</f>
        <v>1</v>
      </c>
      <c r="CL367" s="62" t="n">
        <f aca="false">N(M367)</f>
        <v>0</v>
      </c>
      <c r="CM367" s="62" t="n">
        <f aca="false">N(N367)</f>
        <v>1</v>
      </c>
      <c r="CN367" s="62" t="n">
        <f aca="false">ROUNDUP(H367/BZ367,0)</f>
        <v>1</v>
      </c>
      <c r="CO367" s="62" t="n">
        <f aca="false">ROUNDUP(CJ367/BZ367,0)</f>
        <v>0</v>
      </c>
      <c r="CP367" s="65" t="n">
        <f aca="false">IF(CA367=1,0,IFERROR(VLOOKUP(BY367,'Gebinde-Kategorie'!$A$5:$N$45,5,0)+0,0))</f>
        <v>21</v>
      </c>
      <c r="CQ367" s="65" t="n">
        <f aca="false">IFERROR(IF(OR(CF367=1,CF367=2,CF367=3),N(INDEX(Parameter!$I$5:$I$7,CF367)),0),0)</f>
        <v>0</v>
      </c>
      <c r="CR367" s="64" t="n">
        <f aca="false">IF(AND(Parameter!$B$21="Ja",ISNUMBER(W367),N(X367)&gt;0),IFERROR(N(INDEX(Parameter!$L$5:$L$7,W367))*INDEX(Parameter!$E$5:$E$7,W367)*X367/SUMIFS($X$7:$X$1843,$W$7:$W$1843,W367),0),0)</f>
        <v>0</v>
      </c>
      <c r="CS367" s="62" t="n">
        <f aca="false">IF(AND(OR(CG367="L1",CG367="L23",CG367="LIFT"),H367&gt;0),CC367*IF(CR367&gt;0,CR367*MAX(1,H367/X367),IF(CA367=1,CE367,IF(R367&gt;0,CN367/R367,0))/MAX(0.1,N(Parameter!$M$21))),"")</f>
        <v>9.42307692307692</v>
      </c>
      <c r="CT367" s="64" t="n">
        <f aca="false">IF(CS367="","",J367/H367)</f>
        <v>0.142857142857143</v>
      </c>
      <c r="CU367" s="62" t="n">
        <f aca="false">IF(CS367="","",H367*G367)</f>
        <v>344.61</v>
      </c>
      <c r="CV367" s="63" t="n">
        <f aca="false">IF(CS367="","",(CL367+ROUNDUP(CL367+MAX(CM367,2*(J367/MAX(0.1,N(Einkauf!$C$6))-CL367)),0))/2)</f>
        <v>0.5</v>
      </c>
      <c r="CW367" s="62" t="n">
        <f aca="false">IF(CS367="","",MAX(0,H367-CV367)*G367)</f>
        <v>319.995</v>
      </c>
      <c r="CX367" s="62" t="n">
        <f aca="false">IF(CS367="","",CS367*MAX(0,1-CV367/H367))</f>
        <v>8.75</v>
      </c>
      <c r="CY367" s="64" t="n">
        <f aca="false">IF(CS367="","",PERCENTRANK($CS$7:$CS$1843,CS367)+PERCENTRANK($CU$7:$CU$1843,CU367)+1-PERCENTRANK($CT$7:$CT$1843,CT367))</f>
        <v>1.584</v>
      </c>
      <c r="CZ367" s="72" t="n">
        <f aca="false">IF(CS367="","",CHOOSE(MATCH(Einkauf!$C$5,Parameter!$G$23:$G$27,0),CY367,CS367,CU367,-CT367,CW367)+ROW()/1000000000)</f>
        <v>1.584000367</v>
      </c>
    </row>
    <row r="368" customFormat="false" ht="15" hidden="false" customHeight="false" outlineLevel="0" collapsed="false">
      <c r="A368" s="60" t="s">
        <v>926</v>
      </c>
      <c r="B368" s="60" t="s">
        <v>656</v>
      </c>
      <c r="C368" s="60" t="s">
        <v>206</v>
      </c>
      <c r="D368" s="60" t="s">
        <v>226</v>
      </c>
      <c r="E368" s="60" t="s">
        <v>227</v>
      </c>
      <c r="F368" s="60" t="s">
        <v>260</v>
      </c>
      <c r="G368" s="61" t="n">
        <v>3.89</v>
      </c>
      <c r="H368" s="62" t="n">
        <f aca="false">MAX(0,IF(AND(Parameter!$B$21="Ja",ISNUMBER(Y368)),Y368,IF(Parameter!$B$20="Jahresanfang 2025 + Export",BS368+BR368,BR368)))</f>
        <v>75</v>
      </c>
      <c r="I368" s="62" t="n">
        <f aca="false">H368*G368</f>
        <v>291.75</v>
      </c>
      <c r="J368" s="62" t="n">
        <f aca="false">BU368*Parameter!$B$18</f>
        <v>21</v>
      </c>
      <c r="K368" s="63" t="n">
        <v>70.5</v>
      </c>
      <c r="L368" s="64" t="n">
        <v>0.297872340425532</v>
      </c>
      <c r="M368" s="62" t="n">
        <v>3</v>
      </c>
      <c r="N368" s="62" t="n">
        <v>20</v>
      </c>
      <c r="O368" s="65" t="n">
        <v>56</v>
      </c>
      <c r="P368" s="60" t="s">
        <v>443</v>
      </c>
      <c r="Q368" s="62" t="n">
        <v>69</v>
      </c>
      <c r="R368" s="65" t="n">
        <f aca="false">IF(CA368=1,0,IFERROR(VLOOKUP(BY368,'Gebinde-Kategorie'!$A$5:$N$45,13,0)+0,0))</f>
        <v>280</v>
      </c>
      <c r="S368" s="66"/>
      <c r="T368" s="67"/>
      <c r="U368" s="67"/>
      <c r="V368" s="67"/>
      <c r="W368" s="60"/>
      <c r="X368" s="62"/>
      <c r="Y368" s="62"/>
      <c r="Z368" s="60" t="n">
        <v>2</v>
      </c>
      <c r="AA368" s="60" t="n">
        <f aca="false">IF(A368="","",IF(AND(Parameter!$B$21="Ja",ISNUMBER(W368)),W368,IF(AND(Parameter!$E$27="Ja",ISNUMBER(Z368),CD368&lt;&gt;"Nein"),Z368,IF(CD368="2+3",IF(ISNUMBER(SEARCH("grosser Artikel",BV368)),2,IFERROR(VLOOKUP(BY368,Parameter!$F$35:$G$64,2,0),2)),IF(OR(CD368="Nein",CD368=""),"-",CD368)))))</f>
        <v>2</v>
      </c>
      <c r="AB368" s="67"/>
      <c r="AC368" s="68"/>
      <c r="AD368" s="62" t="n">
        <f aca="false">AW368</f>
        <v>23</v>
      </c>
      <c r="AE368" s="62" t="n">
        <f aca="false">MAX(AW368,H368)</f>
        <v>75</v>
      </c>
      <c r="AF368" s="69"/>
      <c r="AG368" s="62" t="n">
        <f aca="false">IF(LEFT(Cockpit!$C$5,1)="A",H368,IF(Parameter!$E$30="MAX-Bestand",IF(CI368=1,CJ368,IF(LEFT(Cockpit!$C$5,1)="B",AM368,MAX(AM368,H368))),ROUNDUP(AK368,0)))</f>
        <v>75</v>
      </c>
      <c r="AH368" s="62" t="n">
        <f aca="false">IF(CA368=1,0,ROUNDUP(AG368/BZ368,0))</f>
        <v>2</v>
      </c>
      <c r="AI368" s="64" t="n">
        <f aca="false">IF(CR368&gt;0,CR368*MAX(1,AG368/X368),IF(CA368=1,IF(AG368&lt;=0,0,CE368*MAX(1,IF(H368&gt;0,AG368/H368,1))),IF(R368&gt;0,AH368/R368,0))/MAX(0.1,N(Parameter!$M$21)))</f>
        <v>0.00714285714285714</v>
      </c>
      <c r="AJ368" s="62" t="n">
        <f aca="false">AI368*CC368</f>
        <v>1.10714285714286</v>
      </c>
      <c r="AK368" s="63" t="n">
        <f aca="false">IF(LEFT(Cockpit!$C$5,1)="A",H368,IF(CI368=1,(CL368+CJ368)/2,IF(LEFT(Cockpit!$C$5,1)="B",(CL368+AM368)/2,MAX((CL368+AM368)/2,H368))))</f>
        <v>75</v>
      </c>
      <c r="AL368" s="62" t="n">
        <f aca="false">AK368*G368</f>
        <v>291.75</v>
      </c>
      <c r="AM368" s="62" t="n">
        <f aca="false">ROUNDUP(CL368+MAX(CM368,2*(J368/IF(CH368&gt;0,CH368,MAX(0.1,N(Cockpit!$C$6)))-CL368)),0)</f>
        <v>23</v>
      </c>
      <c r="AN368" s="63" t="n">
        <f aca="false">IF(AJ368&gt;0,J368/AJ368,-1)</f>
        <v>18.9677419354839</v>
      </c>
      <c r="AO368" s="63" t="n">
        <f aca="false">IF(AND(OR(CG368="L1",CG368="L23",CG368="LIFT"),AJ368&gt;0),SUMIFS($AJ$7:$AJ$1843,$CG$7:$CG$1843,CG368,$AN$7:$AN$1843,"&gt;"&amp;AN368)+SUMIFS($AJ$7:$AJ$1843,$CG$7:$CG$1843,CG368,$AN$7:$AN$1843,AN368,$BX$7:$BX$1843,"&lt;="&amp;BX368),"")</f>
        <v>1747.50457875458</v>
      </c>
      <c r="AP368" s="70" t="n">
        <f aca="false">IF(AO368="",0,MAX(0,MIN(1,(IF(CG368="L1",Parameter!$H$5,IF(CG368="L23",Parameter!$H$6+Parameter!$H$7,Parameter!$H$5+Parameter!$H$6+Parameter!$H$7))-(AO368-AJ368))/AJ368)))</f>
        <v>1</v>
      </c>
      <c r="AQ368" s="62" t="n">
        <f aca="false">IF(LEFT(Cockpit!$I$5,1)="A",H368,IF(Parameter!$E$30="MAX-Bestand",IF(CI368=1,CJ368,IF(LEFT(Cockpit!$I$5,1)="B",AW368,MAX(AW368,H368))),ROUNDUP(AU368,0)))</f>
        <v>75</v>
      </c>
      <c r="AR368" s="62" t="n">
        <f aca="false">IF(CA368=1,0,ROUNDUP(AQ368/BZ368,0))</f>
        <v>2</v>
      </c>
      <c r="AS368" s="64" t="n">
        <f aca="false">IF(CR368&gt;0,CR368*MAX(1,AQ368/X368),IF(CA368=1,IF(AQ368&lt;=0,0,CE368*MAX(1,IF(H368&gt;0,AQ368/H368,1))),IF(R368&gt;0,AR368/R368,0))/MAX(0.1,N(Parameter!$M$21)))</f>
        <v>0.00714285714285714</v>
      </c>
      <c r="AT368" s="62" t="n">
        <f aca="false">AS368*CC368</f>
        <v>1.10714285714286</v>
      </c>
      <c r="AU368" s="63" t="n">
        <f aca="false">IF(LEFT(Cockpit!$I$5,1)="A",H368,IF(CI368=1,(CL368+CJ368)/2,IF(LEFT(Cockpit!$I$5,1)="B",(CL368+AW368)/2,MAX((CL368+AW368)/2,H368))))</f>
        <v>75</v>
      </c>
      <c r="AV368" s="62" t="n">
        <f aca="false">AU368*G368</f>
        <v>291.75</v>
      </c>
      <c r="AW368" s="62" t="n">
        <f aca="false">ROUNDUP(CL368+MAX(CM368,2*(J368/IF(CH368&gt;0,CH368,MAX(0.1,N(Cockpit!$I$6)))-CL368)),0)</f>
        <v>23</v>
      </c>
      <c r="AX368" s="63" t="n">
        <f aca="false">IF(AT368&gt;0,J368/AT368,-1)</f>
        <v>18.9677419354839</v>
      </c>
      <c r="AY368" s="63" t="n">
        <f aca="false">IF(AND(OR(CG368="L1",CG368="L23",CG368="LIFT"),AT368&gt;0),SUMIFS($AT$7:$AT$1843,$CG$7:$CG$1843,CG368,$AX$7:$AX$1843,"&gt;"&amp;AX368)+SUMIFS($AT$7:$AT$1843,$CG$7:$CG$1843,CG368,$AX$7:$AX$1843,AX368,$BX$7:$BX$1843,"&lt;="&amp;BX368),"")</f>
        <v>2384.62545787546</v>
      </c>
      <c r="AZ368" s="70" t="n">
        <f aca="false">IF(AY368="",0,MAX(0,MIN(1,(IF(CG368="L1",Parameter!$H$5,IF(CG368="L23",Parameter!$H$6+Parameter!$H$7,Parameter!$H$5+Parameter!$H$6+Parameter!$H$7))-(AY368-AT368))/AT368)))</f>
        <v>1</v>
      </c>
      <c r="BA368" s="62" t="n">
        <f aca="false">IF(LEFT(Cockpit!$O$5,1)="A",H368,IF(Parameter!$E$30="MAX-Bestand",IF(CI368=1,CJ368,IF(LEFT(Cockpit!$O$5,1)="B",BG368,MAX(BG368,H368))),ROUNDUP(BE368,0)))</f>
        <v>13</v>
      </c>
      <c r="BB368" s="62" t="n">
        <f aca="false">IF(CA368=1,0,ROUNDUP(BA368/BZ368,0))</f>
        <v>1</v>
      </c>
      <c r="BC368" s="64" t="n">
        <f aca="false">IF(CR368&gt;0,CR368*MAX(1,BA368/X368),IF(CA368=1,IF(BA368&lt;=0,0,CE368*MAX(1,IF(H368&gt;0,BA368/H368,1))),IF(R368&gt;0,BB368/R368,0))/MAX(0.1,N(Parameter!$M$21)))</f>
        <v>0.00357142857142857</v>
      </c>
      <c r="BD368" s="62" t="n">
        <f aca="false">BC368*CC368</f>
        <v>0.553571428571429</v>
      </c>
      <c r="BE368" s="63" t="n">
        <f aca="false">IF(LEFT(Cockpit!$O$5,1)="A",H368,IF(CI368=1,(CL368+CJ368)/2,IF(LEFT(Cockpit!$O$5,1)="B",(CL368+BG368)/2,MAX((CL368+BG368)/2,H368))))</f>
        <v>13</v>
      </c>
      <c r="BF368" s="62" t="n">
        <f aca="false">BE368*G368</f>
        <v>50.57</v>
      </c>
      <c r="BG368" s="62" t="n">
        <f aca="false">ROUNDUP(CL368+MAX(CM368,2*(J368/IF(CH368&gt;0,CH368,MAX(0.1,N(Cockpit!$O$6)))-CL368)),0)</f>
        <v>23</v>
      </c>
      <c r="BH368" s="63" t="n">
        <f aca="false">IF(BD368&gt;0,J368/BD368,-1)</f>
        <v>37.9354838709677</v>
      </c>
      <c r="BI368" s="63" t="n">
        <f aca="false">IF(AND(OR(CG368="L1",CG368="L23",CG368="LIFT"),BD368&gt;0),SUMIFS($BD$7:$BD$1843,$CG$7:$CG$1843,CG368,$BH$7:$BH$1843,"&gt;"&amp;BH368)+SUMIFS($BD$7:$BD$1843,$CG$7:$CG$1843,CG368,$BH$7:$BH$1843,BH368,$BX$7:$BX$1843,"&lt;="&amp;BX368),"")</f>
        <v>1473.6543040293</v>
      </c>
      <c r="BJ368" s="70" t="n">
        <f aca="false">IF(BI368="",0,MAX(0,MIN(1,(IF(CG368="L1",Parameter!$H$5,IF(CG368="L23",Parameter!$H$6+Parameter!$H$7,Parameter!$H$5+Parameter!$H$6+Parameter!$H$7))-(BI368-BD368))/BD368)))</f>
        <v>1</v>
      </c>
      <c r="BK368" s="60" t="str">
        <f aca="false">IF(AJ368&lt;=0,"",IF(CG368="Aussen","Aussenlager",IF(CG368="-","Nicht im Lift",IF(AP368&gt;=1,"Lift",IF(AP368&lt;=0,"Aussenlager","teilweise")))))</f>
        <v>Lift</v>
      </c>
      <c r="BL368" s="60" t="str">
        <f aca="false">IF(AT368&lt;=0,"",IF(CG368="Aussen","Aussenlager",IF(CG368="-","Nicht im Lift",IF(AZ368&gt;=1,"Lift",IF(AZ368&lt;=0,"Aussenlager","teilweise")))))</f>
        <v>Lift</v>
      </c>
      <c r="BM368" s="60" t="str">
        <f aca="false">IF(BD368&lt;=0,"",IF(CG368="Aussen","Aussenlager",IF(CG368="-","Nicht im Lift",IF(BJ368&gt;=1,"Lift",IF(BJ368&lt;=0,"Aussenlager","teilweise")))))</f>
        <v>Lift</v>
      </c>
      <c r="BN368" s="60" t="str">
        <f aca="false">IF(A368="","",IF(BW368=1,"Neu; ","")&amp;IF(AND(BW368=0,BR368&lt;0),"negativer Bestand (Export "&amp;BR368&amp;"); ","")&amp;IF(J368&lt;=0,"Kein Verbrauch; ","")&amp;IF(CR368&gt;0,"Lift "&amp;W368&amp;" lt. Liftbericht (Fach "&amp;X368&amp;" Stk); ",IF(CB368=1,"Gebinde geschätzt ("&amp;T368&amp;"); ",IF(CA368=1,"Lose – Tablare geschätzt; ","")))&amp;IF(H368&gt;AW368,"Überbestand "&amp;ROUND(H368-AW368,0)&amp;" Stk / CHF "&amp;ROUND((H368-AW368)*G368,0)&amp;"; ","")&amp;IF(AND(CI368=1,CJ368&lt;CK368),"MAX &lt; MB+LG; ","")&amp;IF(AND(CQ368&gt;0,CP368*10&gt;CQ368),"zu hoch für Tablar; ","")&amp;IF(AND(BW368=0,OR(CI368=1,AB368&lt;&gt;"",U368&lt;&gt;"",V368&lt;&gt;"",AC368&lt;&gt;"")),"manuell übersteuert; ","")&amp;IF(AND(CA368=0,R368=0),"Gebinde unbekannt / Stellmass fehlt; ","")&amp;IF(AND(CA368=0,N(V368)&lt;=0,N(Q368)&lt;=0),"Menge pro Gebinde fehlt (Ist = 1 Gebinde); ","")&amp;BV368)</f>
        <v>Überbestand 52 Stk / CHF 202; </v>
      </c>
      <c r="BO368" s="60"/>
      <c r="BP368" s="60"/>
      <c r="BQ368" s="67"/>
      <c r="BR368" s="62" t="n">
        <v>37</v>
      </c>
      <c r="BS368" s="62" t="n">
        <v>38</v>
      </c>
      <c r="BT368" s="61" t="n">
        <v>151.28</v>
      </c>
      <c r="BU368" s="62" t="n">
        <v>21</v>
      </c>
      <c r="BV368" s="60"/>
      <c r="BW368" s="65" t="n">
        <v>0</v>
      </c>
      <c r="BX368" s="65" t="n">
        <v>368</v>
      </c>
      <c r="BY368" s="60" t="str">
        <f aca="false">IF(U368&lt;&gt;"",UPPER(TRIM(U368)),IF(CB368=1,UPPER(VLOOKUP(T368,Parameter!$I$27:$K$29,2,0)),IF(P368="","LOSE",P368)))</f>
        <v>S21</v>
      </c>
      <c r="BZ368" s="62" t="n">
        <f aca="false">IF(BY368="LOSE",1,IF(N(V368)&gt;0,V368,IF(CB368=1,MAX(1,N(VLOOKUP(T368,Parameter!$I$27:$K$29,3,0)),H368,N(N368)),IF(N(Q368)&gt;0,Q368,MAX(1,H368)))))</f>
        <v>69</v>
      </c>
      <c r="CA368" s="65" t="n">
        <f aca="false">IF(BY368="LOSE",1,0)</f>
        <v>0</v>
      </c>
      <c r="CB368" s="65" t="n">
        <f aca="false">IF(AND(U368="",OR(P368="",P368="LOSE"),T368&lt;&gt;"",N(S368)&lt;=0,ISNUMBER(MATCH(T368,Parameter!$I$27:$I$29,0))),1,0)</f>
        <v>0</v>
      </c>
      <c r="CC368" s="65" t="n">
        <f aca="false">IF(CR368&gt;0,INDEX(Parameter!$H$5:$H$7,W368)/INDEX(Parameter!$E$5:$E$7,W368),IF(AND(CA368=0,N(IFERROR(VLOOKUP(BY368,'Gebinde-Kategorie'!$A$5:$N$45,14,0),0))&gt;0),VLOOKUP(BY368,'Gebinde-Kategorie'!$A$5:$N$45,14,0)*10+Parameter!$M$23,Parameter!$M$24))</f>
        <v>155</v>
      </c>
      <c r="CD368" s="60" t="str">
        <f aca="false">IF(AND(Parameter!$B$19="Ja",E368&lt;&gt;"",ISNUMBER(MATCH(E368,Parameter!$I$35:$I$52,0))),VLOOKUP(E368,Parameter!$I$35:$J$52,2,0),IFERROR(VLOOKUP(D368,Parameter!$A$35:$C$64,2,0),"Nein"))</f>
        <v>2+3</v>
      </c>
      <c r="CE368" s="64" t="n">
        <f aca="false">IF(CA368=0,0,IF(N(S368)&gt;0,S368,IFERROR(VLOOKUP(D368,Parameter!$A$35:$C$64,3,0)+0,0)))</f>
        <v>0</v>
      </c>
      <c r="CF368" s="60" t="n">
        <f aca="false">IF(AB368&lt;&gt;"",AB368,AA368)</f>
        <v>2</v>
      </c>
      <c r="CG368" s="60" t="str">
        <f aca="false">IF(OR(CF368=1,CF368=2,CF368=3),IF(Parameter!$E$27="Ja","LIFT",IF(CF368=1,"L1","L23")),IF(CF368="Aussen","Aussen","-"))</f>
        <v>LIFT</v>
      </c>
      <c r="CH368" s="71" t="n">
        <f aca="false">IF(N(AC368)&gt;0,AC368,0)</f>
        <v>0</v>
      </c>
      <c r="CI368" s="65" t="n">
        <f aca="false">IF(ISNUMBER(AF368),1,0)</f>
        <v>0</v>
      </c>
      <c r="CJ368" s="62" t="n">
        <f aca="false">N(AF368)</f>
        <v>0</v>
      </c>
      <c r="CK368" s="62" t="n">
        <f aca="false">N(M368)+N(N368)</f>
        <v>23</v>
      </c>
      <c r="CL368" s="62" t="n">
        <f aca="false">N(M368)</f>
        <v>3</v>
      </c>
      <c r="CM368" s="62" t="n">
        <f aca="false">N(N368)</f>
        <v>20</v>
      </c>
      <c r="CN368" s="62" t="n">
        <f aca="false">ROUNDUP(H368/BZ368,0)</f>
        <v>2</v>
      </c>
      <c r="CO368" s="62" t="n">
        <f aca="false">ROUNDUP(CJ368/BZ368,0)</f>
        <v>0</v>
      </c>
      <c r="CP368" s="65" t="n">
        <f aca="false">IF(CA368=1,0,IFERROR(VLOOKUP(BY368,'Gebinde-Kategorie'!$A$5:$N$45,5,0)+0,0))</f>
        <v>8</v>
      </c>
      <c r="CQ368" s="65" t="n">
        <f aca="false">IFERROR(IF(OR(CF368=1,CF368=2,CF368=3),N(INDEX(Parameter!$I$5:$I$7,CF368)),0),0)</f>
        <v>0</v>
      </c>
      <c r="CR368" s="64" t="n">
        <f aca="false">IF(AND(Parameter!$B$21="Ja",ISNUMBER(W368),N(X368)&gt;0),IFERROR(N(INDEX(Parameter!$L$5:$L$7,W368))*INDEX(Parameter!$E$5:$E$7,W368)*X368/SUMIFS($X$7:$X$1843,$W$7:$W$1843,W368),0),0)</f>
        <v>0</v>
      </c>
      <c r="CS368" s="62" t="n">
        <f aca="false">IF(AND(OR(CG368="L1",CG368="L23",CG368="LIFT"),H368&gt;0),CC368*IF(CR368&gt;0,CR368*MAX(1,H368/X368),IF(CA368=1,CE368,IF(R368&gt;0,CN368/R368,0))/MAX(0.1,N(Parameter!$M$21))),"")</f>
        <v>1.10714285714286</v>
      </c>
      <c r="CT368" s="64" t="n">
        <f aca="false">IF(CS368="","",J368/H368)</f>
        <v>0.28</v>
      </c>
      <c r="CU368" s="62" t="n">
        <f aca="false">IF(CS368="","",H368*G368)</f>
        <v>291.75</v>
      </c>
      <c r="CV368" s="63" t="n">
        <f aca="false">IF(CS368="","",(CL368+ROUNDUP(CL368+MAX(CM368,2*(J368/MAX(0.1,N(Einkauf!$C$6))-CL368)),0))/2)</f>
        <v>13</v>
      </c>
      <c r="CW368" s="62" t="n">
        <f aca="false">IF(CS368="","",MAX(0,H368-CV368)*G368)</f>
        <v>241.18</v>
      </c>
      <c r="CX368" s="62" t="n">
        <f aca="false">IF(CS368="","",CS368*MAX(0,1-CV368/H368))</f>
        <v>0.915238095238095</v>
      </c>
      <c r="CY368" s="64" t="n">
        <f aca="false">IF(CS368="","",PERCENTRANK($CS$7:$CS$1843,CS368)+PERCENTRANK($CU$7:$CU$1843,CU368)+1-PERCENTRANK($CT$7:$CT$1843,CT368))</f>
        <v>0.9724</v>
      </c>
      <c r="CZ368" s="72" t="n">
        <f aca="false">IF(CS368="","",CHOOSE(MATCH(Einkauf!$C$5,Parameter!$G$23:$G$27,0),CY368,CS368,CU368,-CT368,CW368)+ROW()/1000000000)</f>
        <v>0.972400368</v>
      </c>
    </row>
    <row r="369" customFormat="false" ht="15" hidden="false" customHeight="false" outlineLevel="0" collapsed="false">
      <c r="A369" s="60" t="s">
        <v>927</v>
      </c>
      <c r="B369" s="60" t="s">
        <v>928</v>
      </c>
      <c r="C369" s="60" t="s">
        <v>206</v>
      </c>
      <c r="D369" s="60" t="s">
        <v>226</v>
      </c>
      <c r="E369" s="60" t="s">
        <v>227</v>
      </c>
      <c r="F369" s="60" t="s">
        <v>260</v>
      </c>
      <c r="G369" s="61" t="n">
        <v>12.66</v>
      </c>
      <c r="H369" s="62" t="n">
        <f aca="false">MAX(0,IF(AND(Parameter!$B$21="Ja",ISNUMBER(Y369)),Y369,IF(Parameter!$B$20="Jahresanfang 2025 + Export",BS369+BR369,BR369)))</f>
        <v>14</v>
      </c>
      <c r="I369" s="62" t="n">
        <f aca="false">H369*G369</f>
        <v>177.24</v>
      </c>
      <c r="J369" s="62" t="n">
        <f aca="false">BU369*Parameter!$B$18</f>
        <v>7</v>
      </c>
      <c r="K369" s="63" t="n">
        <v>3.5</v>
      </c>
      <c r="L369" s="64" t="n">
        <v>2</v>
      </c>
      <c r="M369" s="62" t="n">
        <v>0</v>
      </c>
      <c r="N369" s="62" t="n">
        <v>5</v>
      </c>
      <c r="O369" s="65" t="n">
        <v>18</v>
      </c>
      <c r="P369" s="60" t="s">
        <v>463</v>
      </c>
      <c r="Q369" s="62" t="n">
        <v>10</v>
      </c>
      <c r="R369" s="65" t="n">
        <f aca="false">IF(CA369=1,0,IFERROR(VLOOKUP(BY369,'Gebinde-Kategorie'!$A$5:$N$45,13,0)+0,0))</f>
        <v>104</v>
      </c>
      <c r="S369" s="66"/>
      <c r="T369" s="67"/>
      <c r="U369" s="67"/>
      <c r="V369" s="67"/>
      <c r="W369" s="60"/>
      <c r="X369" s="62"/>
      <c r="Y369" s="62"/>
      <c r="Z369" s="60" t="n">
        <v>3</v>
      </c>
      <c r="AA369" s="60" t="n">
        <f aca="false">IF(A369="","",IF(AND(Parameter!$B$21="Ja",ISNUMBER(W369)),W369,IF(AND(Parameter!$E$27="Ja",ISNUMBER(Z369),CD369&lt;&gt;"Nein"),Z369,IF(CD369="2+3",IF(ISNUMBER(SEARCH("grosser Artikel",BV369)),2,IFERROR(VLOOKUP(BY369,Parameter!$F$35:$G$64,2,0),2)),IF(OR(CD369="Nein",CD369=""),"-",CD369)))))</f>
        <v>3</v>
      </c>
      <c r="AB369" s="67"/>
      <c r="AC369" s="68"/>
      <c r="AD369" s="62" t="n">
        <f aca="false">AW369</f>
        <v>5</v>
      </c>
      <c r="AE369" s="62" t="n">
        <f aca="false">MAX(AW369,H369)</f>
        <v>14</v>
      </c>
      <c r="AF369" s="69"/>
      <c r="AG369" s="62" t="n">
        <f aca="false">IF(LEFT(Cockpit!$C$5,1)="A",H369,IF(Parameter!$E$30="MAX-Bestand",IF(CI369=1,CJ369,IF(LEFT(Cockpit!$C$5,1)="B",AM369,MAX(AM369,H369))),ROUNDUP(AK369,0)))</f>
        <v>14</v>
      </c>
      <c r="AH369" s="62" t="n">
        <f aca="false">IF(CA369=1,0,ROUNDUP(AG369/BZ369,0))</f>
        <v>2</v>
      </c>
      <c r="AI369" s="64" t="n">
        <f aca="false">IF(CR369&gt;0,CR369*MAX(1,AG369/X369),IF(CA369=1,IF(AG369&lt;=0,0,CE369*MAX(1,IF(H369&gt;0,AG369/H369,1))),IF(R369&gt;0,AH369/R369,0))/MAX(0.1,N(Parameter!$M$21)))</f>
        <v>0.0192307692307692</v>
      </c>
      <c r="AJ369" s="62" t="n">
        <f aca="false">AI369*CC369</f>
        <v>2.98076923076923</v>
      </c>
      <c r="AK369" s="63" t="n">
        <f aca="false">IF(LEFT(Cockpit!$C$5,1)="A",H369,IF(CI369=1,(CL369+CJ369)/2,IF(LEFT(Cockpit!$C$5,1)="B",(CL369+AM369)/2,MAX((CL369+AM369)/2,H369))))</f>
        <v>14</v>
      </c>
      <c r="AL369" s="62" t="n">
        <f aca="false">AK369*G369</f>
        <v>177.24</v>
      </c>
      <c r="AM369" s="62" t="n">
        <f aca="false">ROUNDUP(CL369+MAX(CM369,2*(J369/IF(CH369&gt;0,CH369,MAX(0.1,N(Cockpit!$C$6)))-CL369)),0)</f>
        <v>5</v>
      </c>
      <c r="AN369" s="63" t="n">
        <f aca="false">IF(AJ369&gt;0,J369/AJ369,-1)</f>
        <v>2.34838709677419</v>
      </c>
      <c r="AO369" s="63" t="n">
        <f aca="false">IF(AND(OR(CG369="L1",CG369="L23",CG369="LIFT"),AJ369&gt;0),SUMIFS($AJ$7:$AJ$1843,$CG$7:$CG$1843,CG369,$AN$7:$AN$1843,"&gt;"&amp;AN369)+SUMIFS($AJ$7:$AJ$1843,$CG$7:$CG$1843,CG369,$AN$7:$AN$1843,AN369,$BX$7:$BX$1843,"&lt;="&amp;BX369),"")</f>
        <v>5625.25686813187</v>
      </c>
      <c r="AP369" s="70" t="n">
        <f aca="false">IF(AO369="",0,MAX(0,MIN(1,(IF(CG369="L1",Parameter!$H$5,IF(CG369="L23",Parameter!$H$6+Parameter!$H$7,Parameter!$H$5+Parameter!$H$6+Parameter!$H$7))-(AO369-AJ369))/AJ369)))</f>
        <v>1</v>
      </c>
      <c r="AQ369" s="62" t="n">
        <f aca="false">IF(LEFT(Cockpit!$I$5,1)="A",H369,IF(Parameter!$E$30="MAX-Bestand",IF(CI369=1,CJ369,IF(LEFT(Cockpit!$I$5,1)="B",AW369,MAX(AW369,H369))),ROUNDUP(AU369,0)))</f>
        <v>14</v>
      </c>
      <c r="AR369" s="62" t="n">
        <f aca="false">IF(CA369=1,0,ROUNDUP(AQ369/BZ369,0))</f>
        <v>2</v>
      </c>
      <c r="AS369" s="64" t="n">
        <f aca="false">IF(CR369&gt;0,CR369*MAX(1,AQ369/X369),IF(CA369=1,IF(AQ369&lt;=0,0,CE369*MAX(1,IF(H369&gt;0,AQ369/H369,1))),IF(R369&gt;0,AR369/R369,0))/MAX(0.1,N(Parameter!$M$21)))</f>
        <v>0.0192307692307692</v>
      </c>
      <c r="AT369" s="62" t="n">
        <f aca="false">AS369*CC369</f>
        <v>2.98076923076923</v>
      </c>
      <c r="AU369" s="63" t="n">
        <f aca="false">IF(LEFT(Cockpit!$I$5,1)="A",H369,IF(CI369=1,(CL369+CJ369)/2,IF(LEFT(Cockpit!$I$5,1)="B",(CL369+AW369)/2,MAX((CL369+AW369)/2,H369))))</f>
        <v>14</v>
      </c>
      <c r="AV369" s="62" t="n">
        <f aca="false">AU369*G369</f>
        <v>177.24</v>
      </c>
      <c r="AW369" s="62" t="n">
        <f aca="false">ROUNDUP(CL369+MAX(CM369,2*(J369/IF(CH369&gt;0,CH369,MAX(0.1,N(Cockpit!$I$6)))-CL369)),0)</f>
        <v>5</v>
      </c>
      <c r="AX369" s="63" t="n">
        <f aca="false">IF(AT369&gt;0,J369/AT369,-1)</f>
        <v>2.34838709677419</v>
      </c>
      <c r="AY369" s="63" t="n">
        <f aca="false">IF(AND(OR(CG369="L1",CG369="L23",CG369="LIFT"),AT369&gt;0),SUMIFS($AT$7:$AT$1843,$CG$7:$CG$1843,CG369,$AX$7:$AX$1843,"&gt;"&amp;AX369)+SUMIFS($AT$7:$AT$1843,$CG$7:$CG$1843,CG369,$AX$7:$AX$1843,AX369,$BX$7:$BX$1843,"&lt;="&amp;BX369),"")</f>
        <v>6447.65155677656</v>
      </c>
      <c r="AZ369" s="70" t="n">
        <f aca="false">IF(AY369="",0,MAX(0,MIN(1,(IF(CG369="L1",Parameter!$H$5,IF(CG369="L23",Parameter!$H$6+Parameter!$H$7,Parameter!$H$5+Parameter!$H$6+Parameter!$H$7))-(AY369-AT369))/AT369)))</f>
        <v>1</v>
      </c>
      <c r="BA369" s="62" t="n">
        <f aca="false">IF(LEFT(Cockpit!$O$5,1)="A",H369,IF(Parameter!$E$30="MAX-Bestand",IF(CI369=1,CJ369,IF(LEFT(Cockpit!$O$5,1)="B",BG369,MAX(BG369,H369))),ROUNDUP(BE369,0)))</f>
        <v>3</v>
      </c>
      <c r="BB369" s="62" t="n">
        <f aca="false">IF(CA369=1,0,ROUNDUP(BA369/BZ369,0))</f>
        <v>1</v>
      </c>
      <c r="BC369" s="64" t="n">
        <f aca="false">IF(CR369&gt;0,CR369*MAX(1,BA369/X369),IF(CA369=1,IF(BA369&lt;=0,0,CE369*MAX(1,IF(H369&gt;0,BA369/H369,1))),IF(R369&gt;0,BB369/R369,0))/MAX(0.1,N(Parameter!$M$21)))</f>
        <v>0.00961538461538462</v>
      </c>
      <c r="BD369" s="62" t="n">
        <f aca="false">BC369*CC369</f>
        <v>1.49038461538462</v>
      </c>
      <c r="BE369" s="63" t="n">
        <f aca="false">IF(LEFT(Cockpit!$O$5,1)="A",H369,IF(CI369=1,(CL369+CJ369)/2,IF(LEFT(Cockpit!$O$5,1)="B",(CL369+BG369)/2,MAX((CL369+BG369)/2,H369))))</f>
        <v>2.5</v>
      </c>
      <c r="BF369" s="62" t="n">
        <f aca="false">BE369*G369</f>
        <v>31.65</v>
      </c>
      <c r="BG369" s="62" t="n">
        <f aca="false">ROUNDUP(CL369+MAX(CM369,2*(J369/IF(CH369&gt;0,CH369,MAX(0.1,N(Cockpit!$O$6)))-CL369)),0)</f>
        <v>5</v>
      </c>
      <c r="BH369" s="63" t="n">
        <f aca="false">IF(BD369&gt;0,J369/BD369,-1)</f>
        <v>4.69677419354839</v>
      </c>
      <c r="BI369" s="63" t="n">
        <f aca="false">IF(AND(OR(CG369="L1",CG369="L23",CG369="LIFT"),BD369&gt;0),SUMIFS($BD$7:$BD$1843,$CG$7:$CG$1843,CG369,$BH$7:$BH$1843,"&gt;"&amp;BH369)+SUMIFS($BD$7:$BD$1843,$CG$7:$CG$1843,CG369,$BH$7:$BH$1843,BH369,$BX$7:$BX$1843,"&lt;="&amp;BX369),"")</f>
        <v>3873.95741758242</v>
      </c>
      <c r="BJ369" s="70" t="n">
        <f aca="false">IF(BI369="",0,MAX(0,MIN(1,(IF(CG369="L1",Parameter!$H$5,IF(CG369="L23",Parameter!$H$6+Parameter!$H$7,Parameter!$H$5+Parameter!$H$6+Parameter!$H$7))-(BI369-BD369))/BD369)))</f>
        <v>1</v>
      </c>
      <c r="BK369" s="60" t="str">
        <f aca="false">IF(AJ369&lt;=0,"",IF(CG369="Aussen","Aussenlager",IF(CG369="-","Nicht im Lift",IF(AP369&gt;=1,"Lift",IF(AP369&lt;=0,"Aussenlager","teilweise")))))</f>
        <v>Lift</v>
      </c>
      <c r="BL369" s="60" t="str">
        <f aca="false">IF(AT369&lt;=0,"",IF(CG369="Aussen","Aussenlager",IF(CG369="-","Nicht im Lift",IF(AZ369&gt;=1,"Lift",IF(AZ369&lt;=0,"Aussenlager","teilweise")))))</f>
        <v>Lift</v>
      </c>
      <c r="BM369" s="60" t="str">
        <f aca="false">IF(BD369&lt;=0,"",IF(CG369="Aussen","Aussenlager",IF(CG369="-","Nicht im Lift",IF(BJ369&gt;=1,"Lift",IF(BJ369&lt;=0,"Aussenlager","teilweise")))))</f>
        <v>Lift</v>
      </c>
      <c r="BN369" s="60" t="str">
        <f aca="false">IF(A369="","",IF(BW369=1,"Neu; ","")&amp;IF(AND(BW369=0,BR369&lt;0),"negativer Bestand (Export "&amp;BR369&amp;"); ","")&amp;IF(J369&lt;=0,"Kein Verbrauch; ","")&amp;IF(CR369&gt;0,"Lift "&amp;W369&amp;" lt. Liftbericht (Fach "&amp;X369&amp;" Stk); ",IF(CB369=1,"Gebinde geschätzt ("&amp;T369&amp;"); ",IF(CA369=1,"Lose – Tablare geschätzt; ","")))&amp;IF(H369&gt;AW369,"Überbestand "&amp;ROUND(H369-AW369,0)&amp;" Stk / CHF "&amp;ROUND((H369-AW369)*G369,0)&amp;"; ","")&amp;IF(AND(CI369=1,CJ369&lt;CK369),"MAX &lt; MB+LG; ","")&amp;IF(AND(CQ369&gt;0,CP369*10&gt;CQ369),"zu hoch für Tablar; ","")&amp;IF(AND(BW369=0,OR(CI369=1,AB369&lt;&gt;"",U369&lt;&gt;"",V369&lt;&gt;"",AC369&lt;&gt;"")),"manuell übersteuert; ","")&amp;IF(AND(CA369=0,R369=0),"Gebinde unbekannt / Stellmass fehlt; ","")&amp;IF(AND(CA369=0,N(V369)&lt;=0,N(Q369)&lt;=0),"Menge pro Gebinde fehlt (Ist = 1 Gebinde); ","")&amp;BV369)</f>
        <v>Überbestand 9 Stk / CHF 114; </v>
      </c>
      <c r="BO369" s="60"/>
      <c r="BP369" s="60"/>
      <c r="BQ369" s="67"/>
      <c r="BR369" s="62" t="n">
        <v>12</v>
      </c>
      <c r="BS369" s="62" t="n">
        <v>2</v>
      </c>
      <c r="BT369" s="61" t="n">
        <v>151.28</v>
      </c>
      <c r="BU369" s="62" t="n">
        <v>7</v>
      </c>
      <c r="BV369" s="60"/>
      <c r="BW369" s="65" t="n">
        <v>0</v>
      </c>
      <c r="BX369" s="65" t="n">
        <v>369</v>
      </c>
      <c r="BY369" s="60" t="str">
        <f aca="false">IF(U369&lt;&gt;"",UPPER(TRIM(U369)),IF(CB369=1,UPPER(VLOOKUP(T369,Parameter!$I$27:$K$29,2,0)),IF(P369="","LOSE",P369)))</f>
        <v>S32</v>
      </c>
      <c r="BZ369" s="62" t="n">
        <f aca="false">IF(BY369="LOSE",1,IF(N(V369)&gt;0,V369,IF(CB369=1,MAX(1,N(VLOOKUP(T369,Parameter!$I$27:$K$29,3,0)),H369,N(N369)),IF(N(Q369)&gt;0,Q369,MAX(1,H369)))))</f>
        <v>10</v>
      </c>
      <c r="CA369" s="65" t="n">
        <f aca="false">IF(BY369="LOSE",1,0)</f>
        <v>0</v>
      </c>
      <c r="CB369" s="65" t="n">
        <f aca="false">IF(AND(U369="",OR(P369="",P369="LOSE"),T369&lt;&gt;"",N(S369)&lt;=0,ISNUMBER(MATCH(T369,Parameter!$I$27:$I$29,0))),1,0)</f>
        <v>0</v>
      </c>
      <c r="CC369" s="65" t="n">
        <f aca="false">IF(CR369&gt;0,INDEX(Parameter!$H$5:$H$7,W369)/INDEX(Parameter!$E$5:$E$7,W369),IF(AND(CA369=0,N(IFERROR(VLOOKUP(BY369,'Gebinde-Kategorie'!$A$5:$N$45,14,0),0))&gt;0),VLOOKUP(BY369,'Gebinde-Kategorie'!$A$5:$N$45,14,0)*10+Parameter!$M$23,Parameter!$M$24))</f>
        <v>155</v>
      </c>
      <c r="CD369" s="60" t="str">
        <f aca="false">IF(AND(Parameter!$B$19="Ja",E369&lt;&gt;"",ISNUMBER(MATCH(E369,Parameter!$I$35:$I$52,0))),VLOOKUP(E369,Parameter!$I$35:$J$52,2,0),IFERROR(VLOOKUP(D369,Parameter!$A$35:$C$64,2,0),"Nein"))</f>
        <v>2+3</v>
      </c>
      <c r="CE369" s="64" t="n">
        <f aca="false">IF(CA369=0,0,IF(N(S369)&gt;0,S369,IFERROR(VLOOKUP(D369,Parameter!$A$35:$C$64,3,0)+0,0)))</f>
        <v>0</v>
      </c>
      <c r="CF369" s="60" t="n">
        <f aca="false">IF(AB369&lt;&gt;"",AB369,AA369)</f>
        <v>3</v>
      </c>
      <c r="CG369" s="60" t="str">
        <f aca="false">IF(OR(CF369=1,CF369=2,CF369=3),IF(Parameter!$E$27="Ja","LIFT",IF(CF369=1,"L1","L23")),IF(CF369="Aussen","Aussen","-"))</f>
        <v>LIFT</v>
      </c>
      <c r="CH369" s="71" t="n">
        <f aca="false">IF(N(AC369)&gt;0,AC369,0)</f>
        <v>0</v>
      </c>
      <c r="CI369" s="65" t="n">
        <f aca="false">IF(ISNUMBER(AF369),1,0)</f>
        <v>0</v>
      </c>
      <c r="CJ369" s="62" t="n">
        <f aca="false">N(AF369)</f>
        <v>0</v>
      </c>
      <c r="CK369" s="62" t="n">
        <f aca="false">N(M369)+N(N369)</f>
        <v>5</v>
      </c>
      <c r="CL369" s="62" t="n">
        <f aca="false">N(M369)</f>
        <v>0</v>
      </c>
      <c r="CM369" s="62" t="n">
        <f aca="false">N(N369)</f>
        <v>5</v>
      </c>
      <c r="CN369" s="62" t="n">
        <f aca="false">ROUNDUP(H369/BZ369,0)</f>
        <v>2</v>
      </c>
      <c r="CO369" s="62" t="n">
        <f aca="false">ROUNDUP(CJ369/BZ369,0)</f>
        <v>0</v>
      </c>
      <c r="CP369" s="65" t="n">
        <f aca="false">IF(CA369=1,0,IFERROR(VLOOKUP(BY369,'Gebinde-Kategorie'!$A$5:$N$45,5,0)+0,0))</f>
        <v>8</v>
      </c>
      <c r="CQ369" s="65" t="n">
        <f aca="false">IFERROR(IF(OR(CF369=1,CF369=2,CF369=3),N(INDEX(Parameter!$I$5:$I$7,CF369)),0),0)</f>
        <v>0</v>
      </c>
      <c r="CR369" s="64" t="n">
        <f aca="false">IF(AND(Parameter!$B$21="Ja",ISNUMBER(W369),N(X369)&gt;0),IFERROR(N(INDEX(Parameter!$L$5:$L$7,W369))*INDEX(Parameter!$E$5:$E$7,W369)*X369/SUMIFS($X$7:$X$1843,$W$7:$W$1843,W369),0),0)</f>
        <v>0</v>
      </c>
      <c r="CS369" s="62" t="n">
        <f aca="false">IF(AND(OR(CG369="L1",CG369="L23",CG369="LIFT"),H369&gt;0),CC369*IF(CR369&gt;0,CR369*MAX(1,H369/X369),IF(CA369=1,CE369,IF(R369&gt;0,CN369/R369,0))/MAX(0.1,N(Parameter!$M$21))),"")</f>
        <v>2.98076923076923</v>
      </c>
      <c r="CT369" s="64" t="n">
        <f aca="false">IF(CS369="","",J369/H369)</f>
        <v>0.5</v>
      </c>
      <c r="CU369" s="62" t="n">
        <f aca="false">IF(CS369="","",H369*G369)</f>
        <v>177.24</v>
      </c>
      <c r="CV369" s="63" t="n">
        <f aca="false">IF(CS369="","",(CL369+ROUNDUP(CL369+MAX(CM369,2*(J369/MAX(0.1,N(Einkauf!$C$6))-CL369)),0))/2)</f>
        <v>2.5</v>
      </c>
      <c r="CW369" s="62" t="n">
        <f aca="false">IF(CS369="","",MAX(0,H369-CV369)*G369)</f>
        <v>145.59</v>
      </c>
      <c r="CX369" s="62" t="n">
        <f aca="false">IF(CS369="","",CS369*MAX(0,1-CV369/H369))</f>
        <v>2.44848901098901</v>
      </c>
      <c r="CY369" s="64" t="n">
        <f aca="false">IF(CS369="","",PERCENTRANK($CS$7:$CS$1843,CS369)+PERCENTRANK($CU$7:$CU$1843,CU369)+1-PERCENTRANK($CT$7:$CT$1843,CT369))</f>
        <v>0.985</v>
      </c>
      <c r="CZ369" s="72" t="n">
        <f aca="false">IF(CS369="","",CHOOSE(MATCH(Einkauf!$C$5,Parameter!$G$23:$G$27,0),CY369,CS369,CU369,-CT369,CW369)+ROW()/1000000000)</f>
        <v>0.985000369</v>
      </c>
    </row>
    <row r="370" customFormat="false" ht="15" hidden="false" customHeight="false" outlineLevel="0" collapsed="false">
      <c r="A370" s="60" t="s">
        <v>929</v>
      </c>
      <c r="B370" s="60" t="s">
        <v>930</v>
      </c>
      <c r="C370" s="60" t="s">
        <v>206</v>
      </c>
      <c r="D370" s="60" t="s">
        <v>226</v>
      </c>
      <c r="E370" s="60"/>
      <c r="F370" s="60" t="s">
        <v>260</v>
      </c>
      <c r="G370" s="61" t="n">
        <v>7.44</v>
      </c>
      <c r="H370" s="62" t="n">
        <f aca="false">MAX(0,IF(AND(Parameter!$B$21="Ja",ISNUMBER(Y370)),Y370,IF(Parameter!$B$20="Jahresanfang 2025 + Export",BS370+BR370,BR370)))</f>
        <v>32</v>
      </c>
      <c r="I370" s="62" t="n">
        <f aca="false">H370*G370</f>
        <v>238.08</v>
      </c>
      <c r="J370" s="62" t="n">
        <f aca="false">BU370*Parameter!$B$18</f>
        <v>0</v>
      </c>
      <c r="K370" s="63" t="n">
        <v>12</v>
      </c>
      <c r="L370" s="64" t="n">
        <v>0</v>
      </c>
      <c r="M370" s="62" t="n">
        <v>0</v>
      </c>
      <c r="N370" s="62" t="n">
        <v>1</v>
      </c>
      <c r="O370" s="65" t="n">
        <v>28</v>
      </c>
      <c r="P370" s="60" t="s">
        <v>210</v>
      </c>
      <c r="Q370" s="62"/>
      <c r="R370" s="65" t="n">
        <f aca="false">IF(CA370=1,0,IFERROR(VLOOKUP(BY370,'Gebinde-Kategorie'!$A$5:$N$45,13,0)+0,0))</f>
        <v>26</v>
      </c>
      <c r="S370" s="66"/>
      <c r="T370" s="67" t="s">
        <v>317</v>
      </c>
      <c r="U370" s="67"/>
      <c r="V370" s="67"/>
      <c r="W370" s="60"/>
      <c r="X370" s="62"/>
      <c r="Y370" s="62"/>
      <c r="Z370" s="60" t="n">
        <v>3</v>
      </c>
      <c r="AA370" s="60" t="n">
        <f aca="false">IF(A370="","",IF(AND(Parameter!$B$21="Ja",ISNUMBER(W370)),W370,IF(AND(Parameter!$E$27="Ja",ISNUMBER(Z370),CD370&lt;&gt;"Nein"),Z370,IF(CD370="2+3",IF(ISNUMBER(SEARCH("grosser Artikel",BV370)),2,IFERROR(VLOOKUP(BY370,Parameter!$F$35:$G$64,2,0),2)),IF(OR(CD370="Nein",CD370=""),"-",CD370)))))</f>
        <v>3</v>
      </c>
      <c r="AB370" s="67"/>
      <c r="AC370" s="68"/>
      <c r="AD370" s="62" t="n">
        <f aca="false">AW370</f>
        <v>1</v>
      </c>
      <c r="AE370" s="62" t="n">
        <f aca="false">MAX(AW370,H370)</f>
        <v>32</v>
      </c>
      <c r="AF370" s="69"/>
      <c r="AG370" s="62" t="n">
        <f aca="false">IF(LEFT(Cockpit!$C$5,1)="A",H370,IF(Parameter!$E$30="MAX-Bestand",IF(CI370=1,CJ370,IF(LEFT(Cockpit!$C$5,1)="B",AM370,MAX(AM370,H370))),ROUNDUP(AK370,0)))</f>
        <v>32</v>
      </c>
      <c r="AH370" s="62" t="n">
        <f aca="false">IF(CA370=1,0,ROUNDUP(AG370/BZ370,0))</f>
        <v>1</v>
      </c>
      <c r="AI370" s="64" t="n">
        <f aca="false">IF(CR370&gt;0,CR370*MAX(1,AG370/X370),IF(CA370=1,IF(AG370&lt;=0,0,CE370*MAX(1,IF(H370&gt;0,AG370/H370,1))),IF(R370&gt;0,AH370/R370,0))/MAX(0.1,N(Parameter!$M$21)))</f>
        <v>0.0384615384615385</v>
      </c>
      <c r="AJ370" s="62" t="n">
        <f aca="false">AI370*CC370</f>
        <v>5.96153846153846</v>
      </c>
      <c r="AK370" s="63" t="n">
        <f aca="false">IF(LEFT(Cockpit!$C$5,1)="A",H370,IF(CI370=1,(CL370+CJ370)/2,IF(LEFT(Cockpit!$C$5,1)="B",(CL370+AM370)/2,MAX((CL370+AM370)/2,H370))))</f>
        <v>32</v>
      </c>
      <c r="AL370" s="62" t="n">
        <f aca="false">AK370*G370</f>
        <v>238.08</v>
      </c>
      <c r="AM370" s="62" t="n">
        <f aca="false">ROUNDUP(CL370+MAX(CM370,2*(J370/IF(CH370&gt;0,CH370,MAX(0.1,N(Cockpit!$C$6)))-CL370)),0)</f>
        <v>1</v>
      </c>
      <c r="AN370" s="63" t="n">
        <f aca="false">IF(AJ370&gt;0,J370/AJ370,-1)</f>
        <v>0</v>
      </c>
      <c r="AO370" s="63" t="n">
        <f aca="false">IF(AND(OR(CG370="L1",CG370="L23",CG370="LIFT"),AJ370&gt;0),SUMIFS($AJ$7:$AJ$1843,$CG$7:$CG$1843,CG370,$AN$7:$AN$1843,"&gt;"&amp;AN370)+SUMIFS($AJ$7:$AJ$1843,$CG$7:$CG$1843,CG370,$AN$7:$AN$1843,AN370,$BX$7:$BX$1843,"&lt;="&amp;BX370),"")</f>
        <v>28038.0583183295</v>
      </c>
      <c r="AP370" s="70" t="n">
        <f aca="false">IF(AO370="",0,MAX(0,MIN(1,(IF(CG370="L1",Parameter!$H$5,IF(CG370="L23",Parameter!$H$6+Parameter!$H$7,Parameter!$H$5+Parameter!$H$6+Parameter!$H$7))-(AO370-AJ370))/AJ370)))</f>
        <v>1</v>
      </c>
      <c r="AQ370" s="62" t="n">
        <f aca="false">IF(LEFT(Cockpit!$I$5,1)="A",H370,IF(Parameter!$E$30="MAX-Bestand",IF(CI370=1,CJ370,IF(LEFT(Cockpit!$I$5,1)="B",AW370,MAX(AW370,H370))),ROUNDUP(AU370,0)))</f>
        <v>32</v>
      </c>
      <c r="AR370" s="62" t="n">
        <f aca="false">IF(CA370=1,0,ROUNDUP(AQ370/BZ370,0))</f>
        <v>1</v>
      </c>
      <c r="AS370" s="64" t="n">
        <f aca="false">IF(CR370&gt;0,CR370*MAX(1,AQ370/X370),IF(CA370=1,IF(AQ370&lt;=0,0,CE370*MAX(1,IF(H370&gt;0,AQ370/H370,1))),IF(R370&gt;0,AR370/R370,0))/MAX(0.1,N(Parameter!$M$21)))</f>
        <v>0.0384615384615385</v>
      </c>
      <c r="AT370" s="62" t="n">
        <f aca="false">AS370*CC370</f>
        <v>5.96153846153846</v>
      </c>
      <c r="AU370" s="63" t="n">
        <f aca="false">IF(LEFT(Cockpit!$I$5,1)="A",H370,IF(CI370=1,(CL370+CJ370)/2,IF(LEFT(Cockpit!$I$5,1)="B",(CL370+AW370)/2,MAX((CL370+AW370)/2,H370))))</f>
        <v>32</v>
      </c>
      <c r="AV370" s="62" t="n">
        <f aca="false">AU370*G370</f>
        <v>238.08</v>
      </c>
      <c r="AW370" s="62" t="n">
        <f aca="false">ROUNDUP(CL370+MAX(CM370,2*(J370/IF(CH370&gt;0,CH370,MAX(0.1,N(Cockpit!$I$6)))-CL370)),0)</f>
        <v>1</v>
      </c>
      <c r="AX370" s="63" t="n">
        <f aca="false">IF(AT370&gt;0,J370/AT370,-1)</f>
        <v>0</v>
      </c>
      <c r="AY370" s="63" t="n">
        <f aca="false">IF(AND(OR(CG370="L1",CG370="L23",CG370="LIFT"),AT370&gt;0),SUMIFS($AT$7:$AT$1843,$CG$7:$CG$1843,CG370,$AX$7:$AX$1843,"&gt;"&amp;AX370)+SUMIFS($AT$7:$AT$1843,$CG$7:$CG$1843,CG370,$AX$7:$AX$1843,AX370,$BX$7:$BX$1843,"&lt;="&amp;BX370),"")</f>
        <v>33391.206959707</v>
      </c>
      <c r="AZ370" s="70" t="n">
        <f aca="false">IF(AY370="",0,MAX(0,MIN(1,(IF(CG370="L1",Parameter!$H$5,IF(CG370="L23",Parameter!$H$6+Parameter!$H$7,Parameter!$H$5+Parameter!$H$6+Parameter!$H$7))-(AY370-AT370))/AT370)))</f>
        <v>1</v>
      </c>
      <c r="BA370" s="62" t="n">
        <f aca="false">IF(LEFT(Cockpit!$O$5,1)="A",H370,IF(Parameter!$E$30="MAX-Bestand",IF(CI370=1,CJ370,IF(LEFT(Cockpit!$O$5,1)="B",BG370,MAX(BG370,H370))),ROUNDUP(BE370,0)))</f>
        <v>1</v>
      </c>
      <c r="BB370" s="62" t="n">
        <f aca="false">IF(CA370=1,0,ROUNDUP(BA370/BZ370,0))</f>
        <v>1</v>
      </c>
      <c r="BC370" s="64" t="n">
        <f aca="false">IF(CR370&gt;0,CR370*MAX(1,BA370/X370),IF(CA370=1,IF(BA370&lt;=0,0,CE370*MAX(1,IF(H370&gt;0,BA370/H370,1))),IF(R370&gt;0,BB370/R370,0))/MAX(0.1,N(Parameter!$M$21)))</f>
        <v>0.0384615384615385</v>
      </c>
      <c r="BD370" s="62" t="n">
        <f aca="false">BC370*CC370</f>
        <v>5.96153846153846</v>
      </c>
      <c r="BE370" s="63" t="n">
        <f aca="false">IF(LEFT(Cockpit!$O$5,1)="A",H370,IF(CI370=1,(CL370+CJ370)/2,IF(LEFT(Cockpit!$O$5,1)="B",(CL370+BG370)/2,MAX((CL370+BG370)/2,H370))))</f>
        <v>0.5</v>
      </c>
      <c r="BF370" s="62" t="n">
        <f aca="false">BE370*G370</f>
        <v>3.72</v>
      </c>
      <c r="BG370" s="62" t="n">
        <f aca="false">ROUNDUP(CL370+MAX(CM370,2*(J370/IF(CH370&gt;0,CH370,MAX(0.1,N(Cockpit!$O$6)))-CL370)),0)</f>
        <v>1</v>
      </c>
      <c r="BH370" s="63" t="n">
        <f aca="false">IF(BD370&gt;0,J370/BD370,-1)</f>
        <v>0</v>
      </c>
      <c r="BI370" s="63" t="n">
        <f aca="false">IF(AND(OR(CG370="L1",CG370="L23",CG370="LIFT"),BD370&gt;0),SUMIFS($BD$7:$BD$1843,$CG$7:$CG$1843,CG370,$BH$7:$BH$1843,"&gt;"&amp;BH370)+SUMIFS($BD$7:$BD$1843,$CG$7:$CG$1843,CG370,$BH$7:$BH$1843,BH370,$BX$7:$BX$1843,"&lt;="&amp;BX370),"")</f>
        <v>27504.74393121</v>
      </c>
      <c r="BJ370" s="70" t="n">
        <f aca="false">IF(BI370="",0,MAX(0,MIN(1,(IF(CG370="L1",Parameter!$H$5,IF(CG370="L23",Parameter!$H$6+Parameter!$H$7,Parameter!$H$5+Parameter!$H$6+Parameter!$H$7))-(BI370-BD370))/BD370)))</f>
        <v>1</v>
      </c>
      <c r="BK370" s="60" t="str">
        <f aca="false">IF(AJ370&lt;=0,"",IF(CG370="Aussen","Aussenlager",IF(CG370="-","Nicht im Lift",IF(AP370&gt;=1,"Lift",IF(AP370&lt;=0,"Aussenlager","teilweise")))))</f>
        <v>Lift</v>
      </c>
      <c r="BL370" s="60" t="str">
        <f aca="false">IF(AT370&lt;=0,"",IF(CG370="Aussen","Aussenlager",IF(CG370="-","Nicht im Lift",IF(AZ370&gt;=1,"Lift",IF(AZ370&lt;=0,"Aussenlager","teilweise")))))</f>
        <v>Lift</v>
      </c>
      <c r="BM370" s="60" t="str">
        <f aca="false">IF(BD370&lt;=0,"",IF(CG370="Aussen","Aussenlager",IF(CG370="-","Nicht im Lift",IF(BJ370&gt;=1,"Lift",IF(BJ370&lt;=0,"Aussenlager","teilweise")))))</f>
        <v>Lift</v>
      </c>
      <c r="BN370" s="60" t="str">
        <f aca="false">IF(A370="","",IF(BW370=1,"Neu; ","")&amp;IF(AND(BW370=0,BR370&lt;0),"negativer Bestand (Export "&amp;BR370&amp;"); ","")&amp;IF(J370&lt;=0,"Kein Verbrauch; ","")&amp;IF(CR370&gt;0,"Lift "&amp;W370&amp;" lt. Liftbericht (Fach "&amp;X370&amp;" Stk); ",IF(CB370=1,"Gebinde geschätzt ("&amp;T370&amp;"); ",IF(CA370=1,"Lose – Tablare geschätzt; ","")))&amp;IF(H370&gt;AW370,"Überbestand "&amp;ROUND(H370-AW370,0)&amp;" Stk / CHF "&amp;ROUND((H370-AW370)*G370,0)&amp;"; ","")&amp;IF(AND(CI370=1,CJ370&lt;CK370),"MAX &lt; MB+LG; ","")&amp;IF(AND(CQ370&gt;0,CP370*10&gt;CQ370),"zu hoch für Tablar; ","")&amp;IF(AND(BW370=0,OR(CI370=1,AB370&lt;&gt;"",U370&lt;&gt;"",V370&lt;&gt;"",AC370&lt;&gt;"")),"manuell übersteuert; ","")&amp;IF(AND(CA370=0,R370=0),"Gebinde unbekannt / Stellmass fehlt; ","")&amp;IF(AND(CA370=0,N(V370)&lt;=0,N(Q370)&lt;=0),"Menge pro Gebinde fehlt (Ist = 1 Gebinde); ","")&amp;BV370)</f>
        <v>Kein Verbrauch; Gebinde geschätzt (Klein); Überbestand 31 Stk / CHF 231; Menge pro Gebinde fehlt (Ist = 1 Gebinde); </v>
      </c>
      <c r="BO370" s="60"/>
      <c r="BP370" s="60"/>
      <c r="BQ370" s="67"/>
      <c r="BR370" s="62" t="n">
        <v>20</v>
      </c>
      <c r="BS370" s="62" t="n">
        <v>12</v>
      </c>
      <c r="BT370" s="61" t="n">
        <v>148.8</v>
      </c>
      <c r="BU370" s="62" t="n">
        <v>0</v>
      </c>
      <c r="BV370" s="60"/>
      <c r="BW370" s="65" t="n">
        <v>0</v>
      </c>
      <c r="BX370" s="65" t="n">
        <v>370</v>
      </c>
      <c r="BY370" s="60" t="str">
        <f aca="false">IF(U370&lt;&gt;"",UPPER(TRIM(U370)),IF(CB370=1,UPPER(VLOOKUP(T370,Parameter!$I$27:$K$29,2,0)),IF(P370="","LOSE",P370)))</f>
        <v>S51</v>
      </c>
      <c r="BZ370" s="62" t="n">
        <f aca="false">IF(BY370="LOSE",1,IF(N(V370)&gt;0,V370,IF(CB370=1,MAX(1,N(VLOOKUP(T370,Parameter!$I$27:$K$29,3,0)),H370,N(N370)),IF(N(Q370)&gt;0,Q370,MAX(1,H370)))))</f>
        <v>32</v>
      </c>
      <c r="CA370" s="65" t="n">
        <f aca="false">IF(BY370="LOSE",1,0)</f>
        <v>0</v>
      </c>
      <c r="CB370" s="65" t="n">
        <f aca="false">IF(AND(U370="",OR(P370="",P370="LOSE"),T370&lt;&gt;"",N(S370)&lt;=0,ISNUMBER(MATCH(T370,Parameter!$I$27:$I$29,0))),1,0)</f>
        <v>1</v>
      </c>
      <c r="CC370" s="65" t="n">
        <f aca="false">IF(CR370&gt;0,INDEX(Parameter!$H$5:$H$7,W370)/INDEX(Parameter!$E$5:$E$7,W370),IF(AND(CA370=0,N(IFERROR(VLOOKUP(BY370,'Gebinde-Kategorie'!$A$5:$N$45,14,0),0))&gt;0),VLOOKUP(BY370,'Gebinde-Kategorie'!$A$5:$N$45,14,0)*10+Parameter!$M$23,Parameter!$M$24))</f>
        <v>155</v>
      </c>
      <c r="CD370" s="60" t="str">
        <f aca="false">IF(AND(Parameter!$B$19="Ja",E370&lt;&gt;"",ISNUMBER(MATCH(E370,Parameter!$I$35:$I$52,0))),VLOOKUP(E370,Parameter!$I$35:$J$52,2,0),IFERROR(VLOOKUP(D370,Parameter!$A$35:$C$64,2,0),"Nein"))</f>
        <v>2+3</v>
      </c>
      <c r="CE370" s="64" t="n">
        <f aca="false">IF(CA370=0,0,IF(N(S370)&gt;0,S370,IFERROR(VLOOKUP(D370,Parameter!$A$35:$C$64,3,0)+0,0)))</f>
        <v>0</v>
      </c>
      <c r="CF370" s="60" t="n">
        <f aca="false">IF(AB370&lt;&gt;"",AB370,AA370)</f>
        <v>3</v>
      </c>
      <c r="CG370" s="60" t="str">
        <f aca="false">IF(OR(CF370=1,CF370=2,CF370=3),IF(Parameter!$E$27="Ja","LIFT",IF(CF370=1,"L1","L23")),IF(CF370="Aussen","Aussen","-"))</f>
        <v>LIFT</v>
      </c>
      <c r="CH370" s="71" t="n">
        <f aca="false">IF(N(AC370)&gt;0,AC370,0)</f>
        <v>0</v>
      </c>
      <c r="CI370" s="65" t="n">
        <f aca="false">IF(ISNUMBER(AF370),1,0)</f>
        <v>0</v>
      </c>
      <c r="CJ370" s="62" t="n">
        <f aca="false">N(AF370)</f>
        <v>0</v>
      </c>
      <c r="CK370" s="62" t="n">
        <f aca="false">N(M370)+N(N370)</f>
        <v>1</v>
      </c>
      <c r="CL370" s="62" t="n">
        <f aca="false">N(M370)</f>
        <v>0</v>
      </c>
      <c r="CM370" s="62" t="n">
        <f aca="false">N(N370)</f>
        <v>1</v>
      </c>
      <c r="CN370" s="62" t="n">
        <f aca="false">ROUNDUP(H370/BZ370,0)</f>
        <v>1</v>
      </c>
      <c r="CO370" s="62" t="n">
        <f aca="false">ROUNDUP(CJ370/BZ370,0)</f>
        <v>0</v>
      </c>
      <c r="CP370" s="65" t="n">
        <f aca="false">IF(CA370=1,0,IFERROR(VLOOKUP(BY370,'Gebinde-Kategorie'!$A$5:$N$45,5,0)+0,0))</f>
        <v>11</v>
      </c>
      <c r="CQ370" s="65" t="n">
        <f aca="false">IFERROR(IF(OR(CF370=1,CF370=2,CF370=3),N(INDEX(Parameter!$I$5:$I$7,CF370)),0),0)</f>
        <v>0</v>
      </c>
      <c r="CR370" s="64" t="n">
        <f aca="false">IF(AND(Parameter!$B$21="Ja",ISNUMBER(W370),N(X370)&gt;0),IFERROR(N(INDEX(Parameter!$L$5:$L$7,W370))*INDEX(Parameter!$E$5:$E$7,W370)*X370/SUMIFS($X$7:$X$1843,$W$7:$W$1843,W370),0),0)</f>
        <v>0</v>
      </c>
      <c r="CS370" s="62" t="n">
        <f aca="false">IF(AND(OR(CG370="L1",CG370="L23",CG370="LIFT"),H370&gt;0),CC370*IF(CR370&gt;0,CR370*MAX(1,H370/X370),IF(CA370=1,CE370,IF(R370&gt;0,CN370/R370,0))/MAX(0.1,N(Parameter!$M$21))),"")</f>
        <v>5.96153846153846</v>
      </c>
      <c r="CT370" s="64" t="n">
        <f aca="false">IF(CS370="","",J370/H370)</f>
        <v>0</v>
      </c>
      <c r="CU370" s="62" t="n">
        <f aca="false">IF(CS370="","",H370*G370)</f>
        <v>238.08</v>
      </c>
      <c r="CV370" s="63" t="n">
        <f aca="false">IF(CS370="","",(CL370+ROUNDUP(CL370+MAX(CM370,2*(J370/MAX(0.1,N(Einkauf!$C$6))-CL370)),0))/2)</f>
        <v>0.5</v>
      </c>
      <c r="CW370" s="62" t="n">
        <f aca="false">IF(CS370="","",MAX(0,H370-CV370)*G370)</f>
        <v>234.36</v>
      </c>
      <c r="CX370" s="62" t="n">
        <f aca="false">IF(CS370="","",CS370*MAX(0,1-CV370/H370))</f>
        <v>5.86838942307692</v>
      </c>
      <c r="CY370" s="64" t="n">
        <f aca="false">IF(CS370="","",PERCENTRANK($CS$7:$CS$1843,CS370)+PERCENTRANK($CU$7:$CU$1843,CU370)+1-PERCENTRANK($CT$7:$CT$1843,CT370))</f>
        <v>1.725</v>
      </c>
      <c r="CZ370" s="72" t="n">
        <f aca="false">IF(CS370="","",CHOOSE(MATCH(Einkauf!$C$5,Parameter!$G$23:$G$27,0),CY370,CS370,CU370,-CT370,CW370)+ROW()/1000000000)</f>
        <v>1.72500037</v>
      </c>
    </row>
    <row r="371" customFormat="false" ht="15" hidden="false" customHeight="false" outlineLevel="0" collapsed="false">
      <c r="A371" s="60" t="s">
        <v>931</v>
      </c>
      <c r="B371" s="60" t="s">
        <v>624</v>
      </c>
      <c r="C371" s="60" t="s">
        <v>206</v>
      </c>
      <c r="D371" s="60" t="s">
        <v>226</v>
      </c>
      <c r="E371" s="60" t="s">
        <v>227</v>
      </c>
      <c r="F371" s="60" t="s">
        <v>260</v>
      </c>
      <c r="G371" s="61" t="n">
        <v>28.04</v>
      </c>
      <c r="H371" s="62" t="n">
        <f aca="false">MAX(0,IF(AND(Parameter!$B$21="Ja",ISNUMBER(Y371)),Y371,IF(Parameter!$B$20="Jahresanfang 2025 + Export",BS371+BR371,BR371)))</f>
        <v>159</v>
      </c>
      <c r="I371" s="62" t="n">
        <f aca="false">H371*G371</f>
        <v>4458.36</v>
      </c>
      <c r="J371" s="62" t="n">
        <f aca="false">BU371*Parameter!$B$18</f>
        <v>218</v>
      </c>
      <c r="K371" s="63" t="n">
        <v>130.5</v>
      </c>
      <c r="L371" s="64" t="n">
        <v>1.67049808429119</v>
      </c>
      <c r="M371" s="62" t="n">
        <v>55</v>
      </c>
      <c r="N371" s="62" t="n">
        <v>130</v>
      </c>
      <c r="O371" s="65" t="n">
        <v>84</v>
      </c>
      <c r="P371" s="60" t="s">
        <v>463</v>
      </c>
      <c r="Q371" s="62" t="n">
        <v>189</v>
      </c>
      <c r="R371" s="65" t="n">
        <f aca="false">IF(CA371=1,0,IFERROR(VLOOKUP(BY371,'Gebinde-Kategorie'!$A$5:$N$45,13,0)+0,0))</f>
        <v>104</v>
      </c>
      <c r="S371" s="66"/>
      <c r="T371" s="67"/>
      <c r="U371" s="67"/>
      <c r="V371" s="67"/>
      <c r="W371" s="60"/>
      <c r="X371" s="62"/>
      <c r="Y371" s="62"/>
      <c r="Z371" s="60" t="n">
        <v>2</v>
      </c>
      <c r="AA371" s="60" t="n">
        <f aca="false">IF(A371="","",IF(AND(Parameter!$B$21="Ja",ISNUMBER(W371)),W371,IF(AND(Parameter!$E$27="Ja",ISNUMBER(Z371),CD371&lt;&gt;"Nein"),Z371,IF(CD371="2+3",IF(ISNUMBER(SEARCH("grosser Artikel",BV371)),2,IFERROR(VLOOKUP(BY371,Parameter!$F$35:$G$64,2,0),2)),IF(OR(CD371="Nein",CD371=""),"-",CD371)))))</f>
        <v>2</v>
      </c>
      <c r="AB371" s="67"/>
      <c r="AC371" s="68"/>
      <c r="AD371" s="62" t="n">
        <f aca="false">AW371</f>
        <v>185</v>
      </c>
      <c r="AE371" s="62" t="n">
        <f aca="false">MAX(AW371,H371)</f>
        <v>185</v>
      </c>
      <c r="AF371" s="69"/>
      <c r="AG371" s="62" t="n">
        <f aca="false">IF(LEFT(Cockpit!$C$5,1)="A",H371,IF(Parameter!$E$30="MAX-Bestand",IF(CI371=1,CJ371,IF(LEFT(Cockpit!$C$5,1)="B",AM371,MAX(AM371,H371))),ROUNDUP(AK371,0)))</f>
        <v>159</v>
      </c>
      <c r="AH371" s="62" t="n">
        <f aca="false">IF(CA371=1,0,ROUNDUP(AG371/BZ371,0))</f>
        <v>1</v>
      </c>
      <c r="AI371" s="64" t="n">
        <f aca="false">IF(CR371&gt;0,CR371*MAX(1,AG371/X371),IF(CA371=1,IF(AG371&lt;=0,0,CE371*MAX(1,IF(H371&gt;0,AG371/H371,1))),IF(R371&gt;0,AH371/R371,0))/MAX(0.1,N(Parameter!$M$21)))</f>
        <v>0.00961538461538462</v>
      </c>
      <c r="AJ371" s="62" t="n">
        <f aca="false">AI371*CC371</f>
        <v>1.49038461538462</v>
      </c>
      <c r="AK371" s="63" t="n">
        <f aca="false">IF(LEFT(Cockpit!$C$5,1)="A",H371,IF(CI371=1,(CL371+CJ371)/2,IF(LEFT(Cockpit!$C$5,1)="B",(CL371+AM371)/2,MAX((CL371+AM371)/2,H371))))</f>
        <v>159</v>
      </c>
      <c r="AL371" s="62" t="n">
        <f aca="false">AK371*G371</f>
        <v>4458.36</v>
      </c>
      <c r="AM371" s="62" t="n">
        <f aca="false">ROUNDUP(CL371+MAX(CM371,2*(J371/IF(CH371&gt;0,CH371,MAX(0.1,N(Cockpit!$C$6)))-CL371)),0)</f>
        <v>185</v>
      </c>
      <c r="AN371" s="63" t="n">
        <f aca="false">IF(AJ371&gt;0,J371/AJ371,-1)</f>
        <v>146.270967741936</v>
      </c>
      <c r="AO371" s="63" t="n">
        <f aca="false">IF(AND(OR(CG371="L1",CG371="L23",CG371="LIFT"),AJ371&gt;0),SUMIFS($AJ$7:$AJ$1843,$CG$7:$CG$1843,CG371,$AN$7:$AN$1843,"&gt;"&amp;AN371)+SUMIFS($AJ$7:$AJ$1843,$CG$7:$CG$1843,CG371,$AN$7:$AN$1843,AN371,$BX$7:$BX$1843,"&lt;="&amp;BX371),"")</f>
        <v>496.367216117216</v>
      </c>
      <c r="AP371" s="70" t="n">
        <f aca="false">IF(AO371="",0,MAX(0,MIN(1,(IF(CG371="L1",Parameter!$H$5,IF(CG371="L23",Parameter!$H$6+Parameter!$H$7,Parameter!$H$5+Parameter!$H$6+Parameter!$H$7))-(AO371-AJ371))/AJ371)))</f>
        <v>1</v>
      </c>
      <c r="AQ371" s="62" t="n">
        <f aca="false">IF(LEFT(Cockpit!$I$5,1)="A",H371,IF(Parameter!$E$30="MAX-Bestand",IF(CI371=1,CJ371,IF(LEFT(Cockpit!$I$5,1)="B",AW371,MAX(AW371,H371))),ROUNDUP(AU371,0)))</f>
        <v>159</v>
      </c>
      <c r="AR371" s="62" t="n">
        <f aca="false">IF(CA371=1,0,ROUNDUP(AQ371/BZ371,0))</f>
        <v>1</v>
      </c>
      <c r="AS371" s="64" t="n">
        <f aca="false">IF(CR371&gt;0,CR371*MAX(1,AQ371/X371),IF(CA371=1,IF(AQ371&lt;=0,0,CE371*MAX(1,IF(H371&gt;0,AQ371/H371,1))),IF(R371&gt;0,AR371/R371,0))/MAX(0.1,N(Parameter!$M$21)))</f>
        <v>0.00961538461538462</v>
      </c>
      <c r="AT371" s="62" t="n">
        <f aca="false">AS371*CC371</f>
        <v>1.49038461538462</v>
      </c>
      <c r="AU371" s="63" t="n">
        <f aca="false">IF(LEFT(Cockpit!$I$5,1)="A",H371,IF(CI371=1,(CL371+CJ371)/2,IF(LEFT(Cockpit!$I$5,1)="B",(CL371+AW371)/2,MAX((CL371+AW371)/2,H371))))</f>
        <v>159</v>
      </c>
      <c r="AV371" s="62" t="n">
        <f aca="false">AU371*G371</f>
        <v>4458.36</v>
      </c>
      <c r="AW371" s="62" t="n">
        <f aca="false">ROUNDUP(CL371+MAX(CM371,2*(J371/IF(CH371&gt;0,CH371,MAX(0.1,N(Cockpit!$I$6)))-CL371)),0)</f>
        <v>185</v>
      </c>
      <c r="AX371" s="63" t="n">
        <f aca="false">IF(AT371&gt;0,J371/AT371,-1)</f>
        <v>146.270967741936</v>
      </c>
      <c r="AY371" s="63" t="n">
        <f aca="false">IF(AND(OR(CG371="L1",CG371="L23",CG371="LIFT"),AT371&gt;0),SUMIFS($AT$7:$AT$1843,$CG$7:$CG$1843,CG371,$AX$7:$AX$1843,"&gt;"&amp;AX371)+SUMIFS($AT$7:$AT$1843,$CG$7:$CG$1843,CG371,$AX$7:$AX$1843,AX371,$BX$7:$BX$1843,"&lt;="&amp;BX371),"")</f>
        <v>614.004120879121</v>
      </c>
      <c r="AZ371" s="70" t="n">
        <f aca="false">IF(AY371="",0,MAX(0,MIN(1,(IF(CG371="L1",Parameter!$H$5,IF(CG371="L23",Parameter!$H$6+Parameter!$H$7,Parameter!$H$5+Parameter!$H$6+Parameter!$H$7))-(AY371-AT371))/AT371)))</f>
        <v>1</v>
      </c>
      <c r="BA371" s="62" t="n">
        <f aca="false">IF(LEFT(Cockpit!$O$5,1)="A",H371,IF(Parameter!$E$30="MAX-Bestand",IF(CI371=1,CJ371,IF(LEFT(Cockpit!$O$5,1)="B",BG371,MAX(BG371,H371))),ROUNDUP(BE371,0)))</f>
        <v>120</v>
      </c>
      <c r="BB371" s="62" t="n">
        <f aca="false">IF(CA371=1,0,ROUNDUP(BA371/BZ371,0))</f>
        <v>1</v>
      </c>
      <c r="BC371" s="64" t="n">
        <f aca="false">IF(CR371&gt;0,CR371*MAX(1,BA371/X371),IF(CA371=1,IF(BA371&lt;=0,0,CE371*MAX(1,IF(H371&gt;0,BA371/H371,1))),IF(R371&gt;0,BB371/R371,0))/MAX(0.1,N(Parameter!$M$21)))</f>
        <v>0.00961538461538462</v>
      </c>
      <c r="BD371" s="62" t="n">
        <f aca="false">BC371*CC371</f>
        <v>1.49038461538462</v>
      </c>
      <c r="BE371" s="63" t="n">
        <f aca="false">IF(LEFT(Cockpit!$O$5,1)="A",H371,IF(CI371=1,(CL371+CJ371)/2,IF(LEFT(Cockpit!$O$5,1)="B",(CL371+BG371)/2,MAX((CL371+BG371)/2,H371))))</f>
        <v>120</v>
      </c>
      <c r="BF371" s="62" t="n">
        <f aca="false">BE371*G371</f>
        <v>3364.8</v>
      </c>
      <c r="BG371" s="62" t="n">
        <f aca="false">ROUNDUP(CL371+MAX(CM371,2*(J371/IF(CH371&gt;0,CH371,MAX(0.1,N(Cockpit!$O$6)))-CL371)),0)</f>
        <v>185</v>
      </c>
      <c r="BH371" s="63" t="n">
        <f aca="false">IF(BD371&gt;0,J371/BD371,-1)</f>
        <v>146.270967741936</v>
      </c>
      <c r="BI371" s="63" t="n">
        <f aca="false">IF(AND(OR(CG371="L1",CG371="L23",CG371="LIFT"),BD371&gt;0),SUMIFS($BD$7:$BD$1843,$CG$7:$CG$1843,CG371,$BH$7:$BH$1843,"&gt;"&amp;BH371)+SUMIFS($BD$7:$BD$1843,$CG$7:$CG$1843,CG371,$BH$7:$BH$1843,BH371,$BX$7:$BX$1843,"&lt;="&amp;BX371),"")</f>
        <v>578.163461538462</v>
      </c>
      <c r="BJ371" s="70" t="n">
        <f aca="false">IF(BI371="",0,MAX(0,MIN(1,(IF(CG371="L1",Parameter!$H$5,IF(CG371="L23",Parameter!$H$6+Parameter!$H$7,Parameter!$H$5+Parameter!$H$6+Parameter!$H$7))-(BI371-BD371))/BD371)))</f>
        <v>1</v>
      </c>
      <c r="BK371" s="60" t="str">
        <f aca="false">IF(AJ371&lt;=0,"",IF(CG371="Aussen","Aussenlager",IF(CG371="-","Nicht im Lift",IF(AP371&gt;=1,"Lift",IF(AP371&lt;=0,"Aussenlager","teilweise")))))</f>
        <v>Lift</v>
      </c>
      <c r="BL371" s="60" t="str">
        <f aca="false">IF(AT371&lt;=0,"",IF(CG371="Aussen","Aussenlager",IF(CG371="-","Nicht im Lift",IF(AZ371&gt;=1,"Lift",IF(AZ371&lt;=0,"Aussenlager","teilweise")))))</f>
        <v>Lift</v>
      </c>
      <c r="BM371" s="60" t="str">
        <f aca="false">IF(BD371&lt;=0,"",IF(CG371="Aussen","Aussenlager",IF(CG371="-","Nicht im Lift",IF(BJ371&gt;=1,"Lift",IF(BJ371&lt;=0,"Aussenlager","teilweise")))))</f>
        <v>Lift</v>
      </c>
      <c r="BN371" s="60" t="str">
        <f aca="false">IF(A371="","",IF(BW371=1,"Neu; ","")&amp;IF(AND(BW371=0,BR371&lt;0),"negativer Bestand (Export "&amp;BR371&amp;"); ","")&amp;IF(J371&lt;=0,"Kein Verbrauch; ","")&amp;IF(CR371&gt;0,"Lift "&amp;W371&amp;" lt. Liftbericht (Fach "&amp;X371&amp;" Stk); ",IF(CB371=1,"Gebinde geschätzt ("&amp;T371&amp;"); ",IF(CA371=1,"Lose – Tablare geschätzt; ","")))&amp;IF(H371&gt;AW371,"Überbestand "&amp;ROUND(H371-AW371,0)&amp;" Stk / CHF "&amp;ROUND((H371-AW371)*G371,0)&amp;"; ","")&amp;IF(AND(CI371=1,CJ371&lt;CK371),"MAX &lt; MB+LG; ","")&amp;IF(AND(CQ371&gt;0,CP371*10&gt;CQ371),"zu hoch für Tablar; ","")&amp;IF(AND(BW371=0,OR(CI371=1,AB371&lt;&gt;"",U371&lt;&gt;"",V371&lt;&gt;"",AC371&lt;&gt;"")),"manuell übersteuert; ","")&amp;IF(AND(CA371=0,R371=0),"Gebinde unbekannt / Stellmass fehlt; ","")&amp;IF(AND(CA371=0,N(V371)&lt;=0,N(Q371)&lt;=0),"Menge pro Gebinde fehlt (Ist = 1 Gebinde); ","")&amp;BV371)</f>
        <v>negativer Bestand (Export -20); </v>
      </c>
      <c r="BO371" s="60"/>
      <c r="BP371" s="60"/>
      <c r="BQ371" s="67"/>
      <c r="BR371" s="62" t="n">
        <v>-20</v>
      </c>
      <c r="BS371" s="62" t="n">
        <v>179</v>
      </c>
      <c r="BT371" s="61" t="n">
        <v>148.479999999999</v>
      </c>
      <c r="BU371" s="62" t="n">
        <v>218</v>
      </c>
      <c r="BV371" s="60"/>
      <c r="BW371" s="65" t="n">
        <v>0</v>
      </c>
      <c r="BX371" s="65" t="n">
        <v>371</v>
      </c>
      <c r="BY371" s="60" t="str">
        <f aca="false">IF(U371&lt;&gt;"",UPPER(TRIM(U371)),IF(CB371=1,UPPER(VLOOKUP(T371,Parameter!$I$27:$K$29,2,0)),IF(P371="","LOSE",P371)))</f>
        <v>S32</v>
      </c>
      <c r="BZ371" s="62" t="n">
        <f aca="false">IF(BY371="LOSE",1,IF(N(V371)&gt;0,V371,IF(CB371=1,MAX(1,N(VLOOKUP(T371,Parameter!$I$27:$K$29,3,0)),H371,N(N371)),IF(N(Q371)&gt;0,Q371,MAX(1,H371)))))</f>
        <v>189</v>
      </c>
      <c r="CA371" s="65" t="n">
        <f aca="false">IF(BY371="LOSE",1,0)</f>
        <v>0</v>
      </c>
      <c r="CB371" s="65" t="n">
        <f aca="false">IF(AND(U371="",OR(P371="",P371="LOSE"),T371&lt;&gt;"",N(S371)&lt;=0,ISNUMBER(MATCH(T371,Parameter!$I$27:$I$29,0))),1,0)</f>
        <v>0</v>
      </c>
      <c r="CC371" s="65" t="n">
        <f aca="false">IF(CR371&gt;0,INDEX(Parameter!$H$5:$H$7,W371)/INDEX(Parameter!$E$5:$E$7,W371),IF(AND(CA371=0,N(IFERROR(VLOOKUP(BY371,'Gebinde-Kategorie'!$A$5:$N$45,14,0),0))&gt;0),VLOOKUP(BY371,'Gebinde-Kategorie'!$A$5:$N$45,14,0)*10+Parameter!$M$23,Parameter!$M$24))</f>
        <v>155</v>
      </c>
      <c r="CD371" s="60" t="str">
        <f aca="false">IF(AND(Parameter!$B$19="Ja",E371&lt;&gt;"",ISNUMBER(MATCH(E371,Parameter!$I$35:$I$52,0))),VLOOKUP(E371,Parameter!$I$35:$J$52,2,0),IFERROR(VLOOKUP(D371,Parameter!$A$35:$C$64,2,0),"Nein"))</f>
        <v>2+3</v>
      </c>
      <c r="CE371" s="64" t="n">
        <f aca="false">IF(CA371=0,0,IF(N(S371)&gt;0,S371,IFERROR(VLOOKUP(D371,Parameter!$A$35:$C$64,3,0)+0,0)))</f>
        <v>0</v>
      </c>
      <c r="CF371" s="60" t="n">
        <f aca="false">IF(AB371&lt;&gt;"",AB371,AA371)</f>
        <v>2</v>
      </c>
      <c r="CG371" s="60" t="str">
        <f aca="false">IF(OR(CF371=1,CF371=2,CF371=3),IF(Parameter!$E$27="Ja","LIFT",IF(CF371=1,"L1","L23")),IF(CF371="Aussen","Aussen","-"))</f>
        <v>LIFT</v>
      </c>
      <c r="CH371" s="71" t="n">
        <f aca="false">IF(N(AC371)&gt;0,AC371,0)</f>
        <v>0</v>
      </c>
      <c r="CI371" s="65" t="n">
        <f aca="false">IF(ISNUMBER(AF371),1,0)</f>
        <v>0</v>
      </c>
      <c r="CJ371" s="62" t="n">
        <f aca="false">N(AF371)</f>
        <v>0</v>
      </c>
      <c r="CK371" s="62" t="n">
        <f aca="false">N(M371)+N(N371)</f>
        <v>185</v>
      </c>
      <c r="CL371" s="62" t="n">
        <f aca="false">N(M371)</f>
        <v>55</v>
      </c>
      <c r="CM371" s="62" t="n">
        <f aca="false">N(N371)</f>
        <v>130</v>
      </c>
      <c r="CN371" s="62" t="n">
        <f aca="false">ROUNDUP(H371/BZ371,0)</f>
        <v>1</v>
      </c>
      <c r="CO371" s="62" t="n">
        <f aca="false">ROUNDUP(CJ371/BZ371,0)</f>
        <v>0</v>
      </c>
      <c r="CP371" s="65" t="n">
        <f aca="false">IF(CA371=1,0,IFERROR(VLOOKUP(BY371,'Gebinde-Kategorie'!$A$5:$N$45,5,0)+0,0))</f>
        <v>8</v>
      </c>
      <c r="CQ371" s="65" t="n">
        <f aca="false">IFERROR(IF(OR(CF371=1,CF371=2,CF371=3),N(INDEX(Parameter!$I$5:$I$7,CF371)),0),0)</f>
        <v>0</v>
      </c>
      <c r="CR371" s="64" t="n">
        <f aca="false">IF(AND(Parameter!$B$21="Ja",ISNUMBER(W371),N(X371)&gt;0),IFERROR(N(INDEX(Parameter!$L$5:$L$7,W371))*INDEX(Parameter!$E$5:$E$7,W371)*X371/SUMIFS($X$7:$X$1843,$W$7:$W$1843,W371),0),0)</f>
        <v>0</v>
      </c>
      <c r="CS371" s="62" t="n">
        <f aca="false">IF(AND(OR(CG371="L1",CG371="L23",CG371="LIFT"),H371&gt;0),CC371*IF(CR371&gt;0,CR371*MAX(1,H371/X371),IF(CA371=1,CE371,IF(R371&gt;0,CN371/R371,0))/MAX(0.1,N(Parameter!$M$21))),"")</f>
        <v>1.49038461538462</v>
      </c>
      <c r="CT371" s="64" t="n">
        <f aca="false">IF(CS371="","",J371/H371)</f>
        <v>1.37106918238994</v>
      </c>
      <c r="CU371" s="62" t="n">
        <f aca="false">IF(CS371="","",H371*G371)</f>
        <v>4458.36</v>
      </c>
      <c r="CV371" s="63" t="n">
        <f aca="false">IF(CS371="","",(CL371+ROUNDUP(CL371+MAX(CM371,2*(J371/MAX(0.1,N(Einkauf!$C$6))-CL371)),0))/2)</f>
        <v>120</v>
      </c>
      <c r="CW371" s="62" t="n">
        <f aca="false">IF(CS371="","",MAX(0,H371-CV371)*G371)</f>
        <v>1093.56</v>
      </c>
      <c r="CX371" s="62" t="n">
        <f aca="false">IF(CS371="","",CS371*MAX(0,1-CV371/H371))</f>
        <v>0.365566037735849</v>
      </c>
      <c r="CY371" s="64" t="n">
        <f aca="false">IF(CS371="","",PERCENTRANK($CS$7:$CS$1843,CS371)+PERCENTRANK($CU$7:$CU$1843,CU371)+1-PERCENTRANK($CT$7:$CT$1843,CT371))</f>
        <v>1.262</v>
      </c>
      <c r="CZ371" s="72" t="n">
        <f aca="false">IF(CS371="","",CHOOSE(MATCH(Einkauf!$C$5,Parameter!$G$23:$G$27,0),CY371,CS371,CU371,-CT371,CW371)+ROW()/1000000000)</f>
        <v>1.262000371</v>
      </c>
    </row>
    <row r="372" customFormat="false" ht="15" hidden="false" customHeight="false" outlineLevel="0" collapsed="false">
      <c r="A372" s="60" t="s">
        <v>932</v>
      </c>
      <c r="B372" s="60" t="s">
        <v>447</v>
      </c>
      <c r="C372" s="60" t="s">
        <v>206</v>
      </c>
      <c r="D372" s="60" t="s">
        <v>226</v>
      </c>
      <c r="E372" s="60" t="s">
        <v>227</v>
      </c>
      <c r="F372" s="60" t="s">
        <v>260</v>
      </c>
      <c r="G372" s="61" t="n">
        <v>0.22</v>
      </c>
      <c r="H372" s="62" t="n">
        <f aca="false">MAX(0,IF(AND(Parameter!$B$21="Ja",ISNUMBER(Y372)),Y372,IF(Parameter!$B$20="Jahresanfang 2025 + Export",BS372+BR372,BR372)))</f>
        <v>1149</v>
      </c>
      <c r="I372" s="62" t="n">
        <f aca="false">H372*G372</f>
        <v>252.78</v>
      </c>
      <c r="J372" s="62" t="n">
        <f aca="false">BU372*Parameter!$B$18</f>
        <v>1248</v>
      </c>
      <c r="K372" s="63" t="n">
        <v>405</v>
      </c>
      <c r="L372" s="64" t="n">
        <v>3.08148148148148</v>
      </c>
      <c r="M372" s="62" t="n">
        <v>72</v>
      </c>
      <c r="N372" s="62" t="n">
        <v>1300</v>
      </c>
      <c r="O372" s="65" t="n">
        <v>21</v>
      </c>
      <c r="P372" s="60" t="s">
        <v>344</v>
      </c>
      <c r="Q372" s="62" t="n">
        <v>496</v>
      </c>
      <c r="R372" s="65" t="n">
        <f aca="false">IF(CA372=1,0,IFERROR(VLOOKUP(BY372,'Gebinde-Kategorie'!$A$5:$N$45,13,0)+0,0))</f>
        <v>26</v>
      </c>
      <c r="S372" s="66"/>
      <c r="T372" s="67"/>
      <c r="U372" s="67"/>
      <c r="V372" s="67"/>
      <c r="W372" s="60"/>
      <c r="X372" s="62"/>
      <c r="Y372" s="62"/>
      <c r="Z372" s="60" t="n">
        <v>3</v>
      </c>
      <c r="AA372" s="60" t="n">
        <f aca="false">IF(A372="","",IF(AND(Parameter!$B$21="Ja",ISNUMBER(W372)),W372,IF(AND(Parameter!$E$27="Ja",ISNUMBER(Z372),CD372&lt;&gt;"Nein"),Z372,IF(CD372="2+3",IF(ISNUMBER(SEARCH("grosser Artikel",BV372)),2,IFERROR(VLOOKUP(BY372,Parameter!$F$35:$G$64,2,0),2)),IF(OR(CD372="Nein",CD372=""),"-",CD372)))))</f>
        <v>3</v>
      </c>
      <c r="AB372" s="67"/>
      <c r="AC372" s="68"/>
      <c r="AD372" s="62" t="n">
        <f aca="false">AW372</f>
        <v>1372</v>
      </c>
      <c r="AE372" s="62" t="n">
        <f aca="false">MAX(AW372,H372)</f>
        <v>1372</v>
      </c>
      <c r="AF372" s="69"/>
      <c r="AG372" s="62" t="n">
        <f aca="false">IF(LEFT(Cockpit!$C$5,1)="A",H372,IF(Parameter!$E$30="MAX-Bestand",IF(CI372=1,CJ372,IF(LEFT(Cockpit!$C$5,1)="B",AM372,MAX(AM372,H372))),ROUNDUP(AK372,0)))</f>
        <v>1149</v>
      </c>
      <c r="AH372" s="62" t="n">
        <f aca="false">IF(CA372=1,0,ROUNDUP(AG372/BZ372,0))</f>
        <v>3</v>
      </c>
      <c r="AI372" s="64" t="n">
        <f aca="false">IF(CR372&gt;0,CR372*MAX(1,AG372/X372),IF(CA372=1,IF(AG372&lt;=0,0,CE372*MAX(1,IF(H372&gt;0,AG372/H372,1))),IF(R372&gt;0,AH372/R372,0))/MAX(0.1,N(Parameter!$M$21)))</f>
        <v>0.115384615384615</v>
      </c>
      <c r="AJ372" s="62" t="n">
        <f aca="false">AI372*CC372</f>
        <v>17.8846153846154</v>
      </c>
      <c r="AK372" s="63" t="n">
        <f aca="false">IF(LEFT(Cockpit!$C$5,1)="A",H372,IF(CI372=1,(CL372+CJ372)/2,IF(LEFT(Cockpit!$C$5,1)="B",(CL372+AM372)/2,MAX((CL372+AM372)/2,H372))))</f>
        <v>1149</v>
      </c>
      <c r="AL372" s="62" t="n">
        <f aca="false">AK372*G372</f>
        <v>252.78</v>
      </c>
      <c r="AM372" s="62" t="n">
        <f aca="false">ROUNDUP(CL372+MAX(CM372,2*(J372/IF(CH372&gt;0,CH372,MAX(0.1,N(Cockpit!$C$6)))-CL372)),0)</f>
        <v>1372</v>
      </c>
      <c r="AN372" s="63" t="n">
        <f aca="false">IF(AJ372&gt;0,J372/AJ372,-1)</f>
        <v>69.7806451612903</v>
      </c>
      <c r="AO372" s="63" t="n">
        <f aca="false">IF(AND(OR(CG372="L1",CG372="L23",CG372="LIFT"),AJ372&gt;0),SUMIFS($AJ$7:$AJ$1843,$CG$7:$CG$1843,CG372,$AN$7:$AN$1843,"&gt;"&amp;AN372)+SUMIFS($AJ$7:$AJ$1843,$CG$7:$CG$1843,CG372,$AN$7:$AN$1843,AN372,$BX$7:$BX$1843,"&lt;="&amp;BX372),"")</f>
        <v>910.34478021978</v>
      </c>
      <c r="AP372" s="70" t="n">
        <f aca="false">IF(AO372="",0,MAX(0,MIN(1,(IF(CG372="L1",Parameter!$H$5,IF(CG372="L23",Parameter!$H$6+Parameter!$H$7,Parameter!$H$5+Parameter!$H$6+Parameter!$H$7))-(AO372-AJ372))/AJ372)))</f>
        <v>1</v>
      </c>
      <c r="AQ372" s="62" t="n">
        <f aca="false">IF(LEFT(Cockpit!$I$5,1)="A",H372,IF(Parameter!$E$30="MAX-Bestand",IF(CI372=1,CJ372,IF(LEFT(Cockpit!$I$5,1)="B",AW372,MAX(AW372,H372))),ROUNDUP(AU372,0)))</f>
        <v>1149</v>
      </c>
      <c r="AR372" s="62" t="n">
        <f aca="false">IF(CA372=1,0,ROUNDUP(AQ372/BZ372,0))</f>
        <v>3</v>
      </c>
      <c r="AS372" s="64" t="n">
        <f aca="false">IF(CR372&gt;0,CR372*MAX(1,AQ372/X372),IF(CA372=1,IF(AQ372&lt;=0,0,CE372*MAX(1,IF(H372&gt;0,AQ372/H372,1))),IF(R372&gt;0,AR372/R372,0))/MAX(0.1,N(Parameter!$M$21)))</f>
        <v>0.115384615384615</v>
      </c>
      <c r="AT372" s="62" t="n">
        <f aca="false">AS372*CC372</f>
        <v>17.8846153846154</v>
      </c>
      <c r="AU372" s="63" t="n">
        <f aca="false">IF(LEFT(Cockpit!$I$5,1)="A",H372,IF(CI372=1,(CL372+CJ372)/2,IF(LEFT(Cockpit!$I$5,1)="B",(CL372+AW372)/2,MAX((CL372+AW372)/2,H372))))</f>
        <v>1149</v>
      </c>
      <c r="AV372" s="62" t="n">
        <f aca="false">AU372*G372</f>
        <v>252.78</v>
      </c>
      <c r="AW372" s="62" t="n">
        <f aca="false">ROUNDUP(CL372+MAX(CM372,2*(J372/IF(CH372&gt;0,CH372,MAX(0.1,N(Cockpit!$I$6)))-CL372)),0)</f>
        <v>1372</v>
      </c>
      <c r="AX372" s="63" t="n">
        <f aca="false">IF(AT372&gt;0,J372/AT372,-1)</f>
        <v>69.7806451612903</v>
      </c>
      <c r="AY372" s="63" t="n">
        <f aca="false">IF(AND(OR(CG372="L1",CG372="L23",CG372="LIFT"),AT372&gt;0),SUMIFS($AT$7:$AT$1843,$CG$7:$CG$1843,CG372,$AX$7:$AX$1843,"&gt;"&amp;AX372)+SUMIFS($AT$7:$AT$1843,$CG$7:$CG$1843,CG372,$AX$7:$AX$1843,AX372,$BX$7:$BX$1843,"&lt;="&amp;BX372),"")</f>
        <v>1122.14972527473</v>
      </c>
      <c r="AZ372" s="70" t="n">
        <f aca="false">IF(AY372="",0,MAX(0,MIN(1,(IF(CG372="L1",Parameter!$H$5,IF(CG372="L23",Parameter!$H$6+Parameter!$H$7,Parameter!$H$5+Parameter!$H$6+Parameter!$H$7))-(AY372-AT372))/AT372)))</f>
        <v>1</v>
      </c>
      <c r="BA372" s="62" t="n">
        <f aca="false">IF(LEFT(Cockpit!$O$5,1)="A",H372,IF(Parameter!$E$30="MAX-Bestand",IF(CI372=1,CJ372,IF(LEFT(Cockpit!$O$5,1)="B",BG372,MAX(BG372,H372))),ROUNDUP(BE372,0)))</f>
        <v>722</v>
      </c>
      <c r="BB372" s="62" t="n">
        <f aca="false">IF(CA372=1,0,ROUNDUP(BA372/BZ372,0))</f>
        <v>2</v>
      </c>
      <c r="BC372" s="64" t="n">
        <f aca="false">IF(CR372&gt;0,CR372*MAX(1,BA372/X372),IF(CA372=1,IF(BA372&lt;=0,0,CE372*MAX(1,IF(H372&gt;0,BA372/H372,1))),IF(R372&gt;0,BB372/R372,0))/MAX(0.1,N(Parameter!$M$21)))</f>
        <v>0.0769230769230769</v>
      </c>
      <c r="BD372" s="62" t="n">
        <f aca="false">BC372*CC372</f>
        <v>11.9230769230769</v>
      </c>
      <c r="BE372" s="63" t="n">
        <f aca="false">IF(LEFT(Cockpit!$O$5,1)="A",H372,IF(CI372=1,(CL372+CJ372)/2,IF(LEFT(Cockpit!$O$5,1)="B",(CL372+BG372)/2,MAX((CL372+BG372)/2,H372))))</f>
        <v>722</v>
      </c>
      <c r="BF372" s="62" t="n">
        <f aca="false">BE372*G372</f>
        <v>158.84</v>
      </c>
      <c r="BG372" s="62" t="n">
        <f aca="false">ROUNDUP(CL372+MAX(CM372,2*(J372/IF(CH372&gt;0,CH372,MAX(0.1,N(Cockpit!$O$6)))-CL372)),0)</f>
        <v>1372</v>
      </c>
      <c r="BH372" s="63" t="n">
        <f aca="false">IF(BD372&gt;0,J372/BD372,-1)</f>
        <v>104.670967741935</v>
      </c>
      <c r="BI372" s="63" t="n">
        <f aca="false">IF(AND(OR(CG372="L1",CG372="L23",CG372="LIFT"),BD372&gt;0),SUMIFS($BD$7:$BD$1843,$CG$7:$CG$1843,CG372,$BH$7:$BH$1843,"&gt;"&amp;BH372)+SUMIFS($BD$7:$BD$1843,$CG$7:$CG$1843,CG372,$BH$7:$BH$1843,BH372,$BX$7:$BX$1843,"&lt;="&amp;BX372),"")</f>
        <v>909.288919413919</v>
      </c>
      <c r="BJ372" s="70" t="n">
        <f aca="false">IF(BI372="",0,MAX(0,MIN(1,(IF(CG372="L1",Parameter!$H$5,IF(CG372="L23",Parameter!$H$6+Parameter!$H$7,Parameter!$H$5+Parameter!$H$6+Parameter!$H$7))-(BI372-BD372))/BD372)))</f>
        <v>1</v>
      </c>
      <c r="BK372" s="60" t="str">
        <f aca="false">IF(AJ372&lt;=0,"",IF(CG372="Aussen","Aussenlager",IF(CG372="-","Nicht im Lift",IF(AP372&gt;=1,"Lift",IF(AP372&lt;=0,"Aussenlager","teilweise")))))</f>
        <v>Lift</v>
      </c>
      <c r="BL372" s="60" t="str">
        <f aca="false">IF(AT372&lt;=0,"",IF(CG372="Aussen","Aussenlager",IF(CG372="-","Nicht im Lift",IF(AZ372&gt;=1,"Lift",IF(AZ372&lt;=0,"Aussenlager","teilweise")))))</f>
        <v>Lift</v>
      </c>
      <c r="BM372" s="60" t="str">
        <f aca="false">IF(BD372&lt;=0,"",IF(CG372="Aussen","Aussenlager",IF(CG372="-","Nicht im Lift",IF(BJ372&gt;=1,"Lift",IF(BJ372&lt;=0,"Aussenlager","teilweise")))))</f>
        <v>Lift</v>
      </c>
      <c r="BN372" s="60" t="str">
        <f aca="false">IF(A372="","",IF(BW372=1,"Neu; ","")&amp;IF(AND(BW372=0,BR372&lt;0),"negativer Bestand (Export "&amp;BR372&amp;"); ","")&amp;IF(J372&lt;=0,"Kein Verbrauch; ","")&amp;IF(CR372&gt;0,"Lift "&amp;W372&amp;" lt. Liftbericht (Fach "&amp;X372&amp;" Stk); ",IF(CB372=1,"Gebinde geschätzt ("&amp;T372&amp;"); ",IF(CA372=1,"Lose – Tablare geschätzt; ","")))&amp;IF(H372&gt;AW372,"Überbestand "&amp;ROUND(H372-AW372,0)&amp;" Stk / CHF "&amp;ROUND((H372-AW372)*G372,0)&amp;"; ","")&amp;IF(AND(CI372=1,CJ372&lt;CK372),"MAX &lt; MB+LG; ","")&amp;IF(AND(CQ372&gt;0,CP372*10&gt;CQ372),"zu hoch für Tablar; ","")&amp;IF(AND(BW372=0,OR(CI372=1,AB372&lt;&gt;"",U372&lt;&gt;"",V372&lt;&gt;"",AC372&lt;&gt;"")),"manuell übersteuert; ","")&amp;IF(AND(CA372=0,R372=0),"Gebinde unbekannt / Stellmass fehlt; ","")&amp;IF(AND(CA372=0,N(V372)&lt;=0,N(Q372)&lt;=0),"Menge pro Gebinde fehlt (Ist = 1 Gebinde); ","")&amp;BV372)</f>
        <v/>
      </c>
      <c r="BO372" s="60"/>
      <c r="BP372" s="60"/>
      <c r="BQ372" s="67"/>
      <c r="BR372" s="62" t="n">
        <v>671</v>
      </c>
      <c r="BS372" s="62" t="n">
        <v>478</v>
      </c>
      <c r="BT372" s="61" t="n">
        <v>147.62</v>
      </c>
      <c r="BU372" s="62" t="n">
        <v>1248</v>
      </c>
      <c r="BV372" s="60"/>
      <c r="BW372" s="65" t="n">
        <v>0</v>
      </c>
      <c r="BX372" s="65" t="n">
        <v>372</v>
      </c>
      <c r="BY372" s="60" t="str">
        <f aca="false">IF(U372&lt;&gt;"",UPPER(TRIM(U372)),IF(CB372=1,UPPER(VLOOKUP(T372,Parameter!$I$27:$K$29,2,0)),IF(P372="","LOSE",P372)))</f>
        <v>S51</v>
      </c>
      <c r="BZ372" s="62" t="n">
        <f aca="false">IF(BY372="LOSE",1,IF(N(V372)&gt;0,V372,IF(CB372=1,MAX(1,N(VLOOKUP(T372,Parameter!$I$27:$K$29,3,0)),H372,N(N372)),IF(N(Q372)&gt;0,Q372,MAX(1,H372)))))</f>
        <v>496</v>
      </c>
      <c r="CA372" s="65" t="n">
        <f aca="false">IF(BY372="LOSE",1,0)</f>
        <v>0</v>
      </c>
      <c r="CB372" s="65" t="n">
        <f aca="false">IF(AND(U372="",OR(P372="",P372="LOSE"),T372&lt;&gt;"",N(S372)&lt;=0,ISNUMBER(MATCH(T372,Parameter!$I$27:$I$29,0))),1,0)</f>
        <v>0</v>
      </c>
      <c r="CC372" s="65" t="n">
        <f aca="false">IF(CR372&gt;0,INDEX(Parameter!$H$5:$H$7,W372)/INDEX(Parameter!$E$5:$E$7,W372),IF(AND(CA372=0,N(IFERROR(VLOOKUP(BY372,'Gebinde-Kategorie'!$A$5:$N$45,14,0),0))&gt;0),VLOOKUP(BY372,'Gebinde-Kategorie'!$A$5:$N$45,14,0)*10+Parameter!$M$23,Parameter!$M$24))</f>
        <v>155</v>
      </c>
      <c r="CD372" s="60" t="str">
        <f aca="false">IF(AND(Parameter!$B$19="Ja",E372&lt;&gt;"",ISNUMBER(MATCH(E372,Parameter!$I$35:$I$52,0))),VLOOKUP(E372,Parameter!$I$35:$J$52,2,0),IFERROR(VLOOKUP(D372,Parameter!$A$35:$C$64,2,0),"Nein"))</f>
        <v>2+3</v>
      </c>
      <c r="CE372" s="64" t="n">
        <f aca="false">IF(CA372=0,0,IF(N(S372)&gt;0,S372,IFERROR(VLOOKUP(D372,Parameter!$A$35:$C$64,3,0)+0,0)))</f>
        <v>0</v>
      </c>
      <c r="CF372" s="60" t="n">
        <f aca="false">IF(AB372&lt;&gt;"",AB372,AA372)</f>
        <v>3</v>
      </c>
      <c r="CG372" s="60" t="str">
        <f aca="false">IF(OR(CF372=1,CF372=2,CF372=3),IF(Parameter!$E$27="Ja","LIFT",IF(CF372=1,"L1","L23")),IF(CF372="Aussen","Aussen","-"))</f>
        <v>LIFT</v>
      </c>
      <c r="CH372" s="71" t="n">
        <f aca="false">IF(N(AC372)&gt;0,AC372,0)</f>
        <v>0</v>
      </c>
      <c r="CI372" s="65" t="n">
        <f aca="false">IF(ISNUMBER(AF372),1,0)</f>
        <v>0</v>
      </c>
      <c r="CJ372" s="62" t="n">
        <f aca="false">N(AF372)</f>
        <v>0</v>
      </c>
      <c r="CK372" s="62" t="n">
        <f aca="false">N(M372)+N(N372)</f>
        <v>1372</v>
      </c>
      <c r="CL372" s="62" t="n">
        <f aca="false">N(M372)</f>
        <v>72</v>
      </c>
      <c r="CM372" s="62" t="n">
        <f aca="false">N(N372)</f>
        <v>1300</v>
      </c>
      <c r="CN372" s="62" t="n">
        <f aca="false">ROUNDUP(H372/BZ372,0)</f>
        <v>3</v>
      </c>
      <c r="CO372" s="62" t="n">
        <f aca="false">ROUNDUP(CJ372/BZ372,0)</f>
        <v>0</v>
      </c>
      <c r="CP372" s="65" t="n">
        <f aca="false">IF(CA372=1,0,IFERROR(VLOOKUP(BY372,'Gebinde-Kategorie'!$A$5:$N$45,5,0)+0,0))</f>
        <v>11</v>
      </c>
      <c r="CQ372" s="65" t="n">
        <f aca="false">IFERROR(IF(OR(CF372=1,CF372=2,CF372=3),N(INDEX(Parameter!$I$5:$I$7,CF372)),0),0)</f>
        <v>0</v>
      </c>
      <c r="CR372" s="64" t="n">
        <f aca="false">IF(AND(Parameter!$B$21="Ja",ISNUMBER(W372),N(X372)&gt;0),IFERROR(N(INDEX(Parameter!$L$5:$L$7,W372))*INDEX(Parameter!$E$5:$E$7,W372)*X372/SUMIFS($X$7:$X$1843,$W$7:$W$1843,W372),0),0)</f>
        <v>0</v>
      </c>
      <c r="CS372" s="62" t="n">
        <f aca="false">IF(AND(OR(CG372="L1",CG372="L23",CG372="LIFT"),H372&gt;0),CC372*IF(CR372&gt;0,CR372*MAX(1,H372/X372),IF(CA372=1,CE372,IF(R372&gt;0,CN372/R372,0))/MAX(0.1,N(Parameter!$M$21))),"")</f>
        <v>17.8846153846154</v>
      </c>
      <c r="CT372" s="64" t="n">
        <f aca="false">IF(CS372="","",J372/H372)</f>
        <v>1.08616187989556</v>
      </c>
      <c r="CU372" s="62" t="n">
        <f aca="false">IF(CS372="","",H372*G372)</f>
        <v>252.78</v>
      </c>
      <c r="CV372" s="63" t="n">
        <f aca="false">IF(CS372="","",(CL372+ROUNDUP(CL372+MAX(CM372,2*(J372/MAX(0.1,N(Einkauf!$C$6))-CL372)),0))/2)</f>
        <v>722</v>
      </c>
      <c r="CW372" s="62" t="n">
        <f aca="false">IF(CS372="","",MAX(0,H372-CV372)*G372)</f>
        <v>93.94</v>
      </c>
      <c r="CX372" s="62" t="n">
        <f aca="false">IF(CS372="","",CS372*MAX(0,1-CV372/H372))</f>
        <v>6.64641494275959</v>
      </c>
      <c r="CY372" s="64" t="n">
        <f aca="false">IF(CS372="","",PERCENTRANK($CS$7:$CS$1843,CS372)+PERCENTRANK($CU$7:$CU$1843,CU372)+1-PERCENTRANK($CT$7:$CT$1843,CT372))</f>
        <v>1.453</v>
      </c>
      <c r="CZ372" s="72" t="n">
        <f aca="false">IF(CS372="","",CHOOSE(MATCH(Einkauf!$C$5,Parameter!$G$23:$G$27,0),CY372,CS372,CU372,-CT372,CW372)+ROW()/1000000000)</f>
        <v>1.453000372</v>
      </c>
    </row>
    <row r="373" customFormat="false" ht="15" hidden="false" customHeight="false" outlineLevel="0" collapsed="false">
      <c r="A373" s="60" t="s">
        <v>933</v>
      </c>
      <c r="B373" s="60" t="s">
        <v>934</v>
      </c>
      <c r="C373" s="60" t="s">
        <v>206</v>
      </c>
      <c r="D373" s="60" t="s">
        <v>226</v>
      </c>
      <c r="E373" s="60" t="s">
        <v>227</v>
      </c>
      <c r="F373" s="60" t="s">
        <v>260</v>
      </c>
      <c r="G373" s="61" t="n">
        <v>16.45</v>
      </c>
      <c r="H373" s="62" t="n">
        <f aca="false">MAX(0,IF(AND(Parameter!$B$21="Ja",ISNUMBER(Y373)),Y373,IF(Parameter!$B$20="Jahresanfang 2025 + Export",BS373+BR373,BR373)))</f>
        <v>15</v>
      </c>
      <c r="I373" s="62" t="n">
        <f aca="false">H373*G373</f>
        <v>246.75</v>
      </c>
      <c r="J373" s="62" t="n">
        <f aca="false">BU373*Parameter!$B$18</f>
        <v>20</v>
      </c>
      <c r="K373" s="63" t="n">
        <v>8.5</v>
      </c>
      <c r="L373" s="64" t="n">
        <v>2.35294117647059</v>
      </c>
      <c r="M373" s="62" t="n">
        <v>0</v>
      </c>
      <c r="N373" s="62" t="n">
        <v>20</v>
      </c>
      <c r="O373" s="65" t="n">
        <v>14</v>
      </c>
      <c r="P373" s="60" t="s">
        <v>370</v>
      </c>
      <c r="Q373" s="62" t="n">
        <v>16</v>
      </c>
      <c r="R373" s="65" t="n">
        <f aca="false">IF(CA373=1,0,IFERROR(VLOOKUP(BY373,'Gebinde-Kategorie'!$A$5:$N$45,13,0)+0,0))</f>
        <v>52</v>
      </c>
      <c r="S373" s="66"/>
      <c r="T373" s="67"/>
      <c r="U373" s="67"/>
      <c r="V373" s="67"/>
      <c r="W373" s="60"/>
      <c r="X373" s="62"/>
      <c r="Y373" s="62"/>
      <c r="Z373" s="60" t="n">
        <v>3</v>
      </c>
      <c r="AA373" s="60" t="n">
        <f aca="false">IF(A373="","",IF(AND(Parameter!$B$21="Ja",ISNUMBER(W373)),W373,IF(AND(Parameter!$E$27="Ja",ISNUMBER(Z373),CD373&lt;&gt;"Nein"),Z373,IF(CD373="2+3",IF(ISNUMBER(SEARCH("grosser Artikel",BV373)),2,IFERROR(VLOOKUP(BY373,Parameter!$F$35:$G$64,2,0),2)),IF(OR(CD373="Nein",CD373=""),"-",CD373)))))</f>
        <v>3</v>
      </c>
      <c r="AB373" s="67"/>
      <c r="AC373" s="68"/>
      <c r="AD373" s="62" t="n">
        <f aca="false">AW373</f>
        <v>20</v>
      </c>
      <c r="AE373" s="62" t="n">
        <f aca="false">MAX(AW373,H373)</f>
        <v>20</v>
      </c>
      <c r="AF373" s="69"/>
      <c r="AG373" s="62" t="n">
        <f aca="false">IF(LEFT(Cockpit!$C$5,1)="A",H373,IF(Parameter!$E$30="MAX-Bestand",IF(CI373=1,CJ373,IF(LEFT(Cockpit!$C$5,1)="B",AM373,MAX(AM373,H373))),ROUNDUP(AK373,0)))</f>
        <v>15</v>
      </c>
      <c r="AH373" s="62" t="n">
        <f aca="false">IF(CA373=1,0,ROUNDUP(AG373/BZ373,0))</f>
        <v>1</v>
      </c>
      <c r="AI373" s="64" t="n">
        <f aca="false">IF(CR373&gt;0,CR373*MAX(1,AG373/X373),IF(CA373=1,IF(AG373&lt;=0,0,CE373*MAX(1,IF(H373&gt;0,AG373/H373,1))),IF(R373&gt;0,AH373/R373,0))/MAX(0.1,N(Parameter!$M$21)))</f>
        <v>0.0192307692307692</v>
      </c>
      <c r="AJ373" s="62" t="n">
        <f aca="false">AI373*CC373</f>
        <v>2.98076923076923</v>
      </c>
      <c r="AK373" s="63" t="n">
        <f aca="false">IF(LEFT(Cockpit!$C$5,1)="A",H373,IF(CI373=1,(CL373+CJ373)/2,IF(LEFT(Cockpit!$C$5,1)="B",(CL373+AM373)/2,MAX((CL373+AM373)/2,H373))))</f>
        <v>15</v>
      </c>
      <c r="AL373" s="62" t="n">
        <f aca="false">AK373*G373</f>
        <v>246.75</v>
      </c>
      <c r="AM373" s="62" t="n">
        <f aca="false">ROUNDUP(CL373+MAX(CM373,2*(J373/IF(CH373&gt;0,CH373,MAX(0.1,N(Cockpit!$C$6)))-CL373)),0)</f>
        <v>20</v>
      </c>
      <c r="AN373" s="63" t="n">
        <f aca="false">IF(AJ373&gt;0,J373/AJ373,-1)</f>
        <v>6.70967741935484</v>
      </c>
      <c r="AO373" s="63" t="n">
        <f aca="false">IF(AND(OR(CG373="L1",CG373="L23",CG373="LIFT"),AJ373&gt;0),SUMIFS($AJ$7:$AJ$1843,$CG$7:$CG$1843,CG373,$AN$7:$AN$1843,"&gt;"&amp;AN373)+SUMIFS($AJ$7:$AJ$1843,$CG$7:$CG$1843,CG373,$AN$7:$AN$1843,AN373,$BX$7:$BX$1843,"&lt;="&amp;BX373),"")</f>
        <v>3392.65293040293</v>
      </c>
      <c r="AP373" s="70" t="n">
        <f aca="false">IF(AO373="",0,MAX(0,MIN(1,(IF(CG373="L1",Parameter!$H$5,IF(CG373="L23",Parameter!$H$6+Parameter!$H$7,Parameter!$H$5+Parameter!$H$6+Parameter!$H$7))-(AO373-AJ373))/AJ373)))</f>
        <v>1</v>
      </c>
      <c r="AQ373" s="62" t="n">
        <f aca="false">IF(LEFT(Cockpit!$I$5,1)="A",H373,IF(Parameter!$E$30="MAX-Bestand",IF(CI373=1,CJ373,IF(LEFT(Cockpit!$I$5,1)="B",AW373,MAX(AW373,H373))),ROUNDUP(AU373,0)))</f>
        <v>15</v>
      </c>
      <c r="AR373" s="62" t="n">
        <f aca="false">IF(CA373=1,0,ROUNDUP(AQ373/BZ373,0))</f>
        <v>1</v>
      </c>
      <c r="AS373" s="64" t="n">
        <f aca="false">IF(CR373&gt;0,CR373*MAX(1,AQ373/X373),IF(CA373=1,IF(AQ373&lt;=0,0,CE373*MAX(1,IF(H373&gt;0,AQ373/H373,1))),IF(R373&gt;0,AR373/R373,0))/MAX(0.1,N(Parameter!$M$21)))</f>
        <v>0.0192307692307692</v>
      </c>
      <c r="AT373" s="62" t="n">
        <f aca="false">AS373*CC373</f>
        <v>2.98076923076923</v>
      </c>
      <c r="AU373" s="63" t="n">
        <f aca="false">IF(LEFT(Cockpit!$I$5,1)="A",H373,IF(CI373=1,(CL373+CJ373)/2,IF(LEFT(Cockpit!$I$5,1)="B",(CL373+AW373)/2,MAX((CL373+AW373)/2,H373))))</f>
        <v>15</v>
      </c>
      <c r="AV373" s="62" t="n">
        <f aca="false">AU373*G373</f>
        <v>246.75</v>
      </c>
      <c r="AW373" s="62" t="n">
        <f aca="false">ROUNDUP(CL373+MAX(CM373,2*(J373/IF(CH373&gt;0,CH373,MAX(0.1,N(Cockpit!$I$6)))-CL373)),0)</f>
        <v>20</v>
      </c>
      <c r="AX373" s="63" t="n">
        <f aca="false">IF(AT373&gt;0,J373/AT373,-1)</f>
        <v>6.70967741935484</v>
      </c>
      <c r="AY373" s="63" t="n">
        <f aca="false">IF(AND(OR(CG373="L1",CG373="L23",CG373="LIFT"),AT373&gt;0),SUMIFS($AT$7:$AT$1843,$CG$7:$CG$1843,CG373,$AX$7:$AX$1843,"&gt;"&amp;AX373)+SUMIFS($AT$7:$AT$1843,$CG$7:$CG$1843,CG373,$AX$7:$AX$1843,AX373,$BX$7:$BX$1843,"&lt;="&amp;BX373),"")</f>
        <v>4110.46428571429</v>
      </c>
      <c r="AZ373" s="70" t="n">
        <f aca="false">IF(AY373="",0,MAX(0,MIN(1,(IF(CG373="L1",Parameter!$H$5,IF(CG373="L23",Parameter!$H$6+Parameter!$H$7,Parameter!$H$5+Parameter!$H$6+Parameter!$H$7))-(AY373-AT373))/AT373)))</f>
        <v>1</v>
      </c>
      <c r="BA373" s="62" t="n">
        <f aca="false">IF(LEFT(Cockpit!$O$5,1)="A",H373,IF(Parameter!$E$30="MAX-Bestand",IF(CI373=1,CJ373,IF(LEFT(Cockpit!$O$5,1)="B",BG373,MAX(BG373,H373))),ROUNDUP(BE373,0)))</f>
        <v>10</v>
      </c>
      <c r="BB373" s="62" t="n">
        <f aca="false">IF(CA373=1,0,ROUNDUP(BA373/BZ373,0))</f>
        <v>1</v>
      </c>
      <c r="BC373" s="64" t="n">
        <f aca="false">IF(CR373&gt;0,CR373*MAX(1,BA373/X373),IF(CA373=1,IF(BA373&lt;=0,0,CE373*MAX(1,IF(H373&gt;0,BA373/H373,1))),IF(R373&gt;0,BB373/R373,0))/MAX(0.1,N(Parameter!$M$21)))</f>
        <v>0.0192307692307692</v>
      </c>
      <c r="BD373" s="62" t="n">
        <f aca="false">BC373*CC373</f>
        <v>2.98076923076923</v>
      </c>
      <c r="BE373" s="63" t="n">
        <f aca="false">IF(LEFT(Cockpit!$O$5,1)="A",H373,IF(CI373=1,(CL373+CJ373)/2,IF(LEFT(Cockpit!$O$5,1)="B",(CL373+BG373)/2,MAX((CL373+BG373)/2,H373))))</f>
        <v>10</v>
      </c>
      <c r="BF373" s="62" t="n">
        <f aca="false">BE373*G373</f>
        <v>164.5</v>
      </c>
      <c r="BG373" s="62" t="n">
        <f aca="false">ROUNDUP(CL373+MAX(CM373,2*(J373/IF(CH373&gt;0,CH373,MAX(0.1,N(Cockpit!$O$6)))-CL373)),0)</f>
        <v>20</v>
      </c>
      <c r="BH373" s="63" t="n">
        <f aca="false">IF(BD373&gt;0,J373/BD373,-1)</f>
        <v>6.70967741935484</v>
      </c>
      <c r="BI373" s="63" t="n">
        <f aca="false">IF(AND(OR(CG373="L1",CG373="L23",CG373="LIFT"),BD373&gt;0),SUMIFS($BD$7:$BD$1843,$CG$7:$CG$1843,CG373,$BH$7:$BH$1843,"&gt;"&amp;BH373)+SUMIFS($BD$7:$BD$1843,$CG$7:$CG$1843,CG373,$BH$7:$BH$1843,BH373,$BX$7:$BX$1843,"&lt;="&amp;BX373),"")</f>
        <v>3377.55036630037</v>
      </c>
      <c r="BJ373" s="70" t="n">
        <f aca="false">IF(BI373="",0,MAX(0,MIN(1,(IF(CG373="L1",Parameter!$H$5,IF(CG373="L23",Parameter!$H$6+Parameter!$H$7,Parameter!$H$5+Parameter!$H$6+Parameter!$H$7))-(BI373-BD373))/BD373)))</f>
        <v>1</v>
      </c>
      <c r="BK373" s="60" t="str">
        <f aca="false">IF(AJ373&lt;=0,"",IF(CG373="Aussen","Aussenlager",IF(CG373="-","Nicht im Lift",IF(AP373&gt;=1,"Lift",IF(AP373&lt;=0,"Aussenlager","teilweise")))))</f>
        <v>Lift</v>
      </c>
      <c r="BL373" s="60" t="str">
        <f aca="false">IF(AT373&lt;=0,"",IF(CG373="Aussen","Aussenlager",IF(CG373="-","Nicht im Lift",IF(AZ373&gt;=1,"Lift",IF(AZ373&lt;=0,"Aussenlager","teilweise")))))</f>
        <v>Lift</v>
      </c>
      <c r="BM373" s="60" t="str">
        <f aca="false">IF(BD373&lt;=0,"",IF(CG373="Aussen","Aussenlager",IF(CG373="-","Nicht im Lift",IF(BJ373&gt;=1,"Lift",IF(BJ373&lt;=0,"Aussenlager","teilweise")))))</f>
        <v>Lift</v>
      </c>
      <c r="BN373" s="60" t="str">
        <f aca="false">IF(A373="","",IF(BW373=1,"Neu; ","")&amp;IF(AND(BW373=0,BR373&lt;0),"negativer Bestand (Export "&amp;BR373&amp;"); ","")&amp;IF(J373&lt;=0,"Kein Verbrauch; ","")&amp;IF(CR373&gt;0,"Lift "&amp;W373&amp;" lt. Liftbericht (Fach "&amp;X373&amp;" Stk); ",IF(CB373=1,"Gebinde geschätzt ("&amp;T373&amp;"); ",IF(CA373=1,"Lose – Tablare geschätzt; ","")))&amp;IF(H373&gt;AW373,"Überbestand "&amp;ROUND(H373-AW373,0)&amp;" Stk / CHF "&amp;ROUND((H373-AW373)*G373,0)&amp;"; ","")&amp;IF(AND(CI373=1,CJ373&lt;CK373),"MAX &lt; MB+LG; ","")&amp;IF(AND(CQ373&gt;0,CP373*10&gt;CQ373),"zu hoch für Tablar; ","")&amp;IF(AND(BW373=0,OR(CI373=1,AB373&lt;&gt;"",U373&lt;&gt;"",V373&lt;&gt;"",AC373&lt;&gt;"")),"manuell übersteuert; ","")&amp;IF(AND(CA373=0,R373=0),"Gebinde unbekannt / Stellmass fehlt; ","")&amp;IF(AND(CA373=0,N(V373)&lt;=0,N(Q373)&lt;=0),"Menge pro Gebinde fehlt (Ist = 1 Gebinde); ","")&amp;BV373)</f>
        <v/>
      </c>
      <c r="BO373" s="60"/>
      <c r="BP373" s="60"/>
      <c r="BQ373" s="67"/>
      <c r="BR373" s="62" t="n">
        <v>9</v>
      </c>
      <c r="BS373" s="62" t="n">
        <v>6</v>
      </c>
      <c r="BT373" s="61" t="n">
        <v>146.07</v>
      </c>
      <c r="BU373" s="62" t="n">
        <v>20</v>
      </c>
      <c r="BV373" s="60"/>
      <c r="BW373" s="65" t="n">
        <v>0</v>
      </c>
      <c r="BX373" s="65" t="n">
        <v>373</v>
      </c>
      <c r="BY373" s="60" t="str">
        <f aca="false">IF(U373&lt;&gt;"",UPPER(TRIM(U373)),IF(CB373=1,UPPER(VLOOKUP(T373,Parameter!$I$27:$K$29,2,0)),IF(P373="","LOSE",P373)))</f>
        <v>S41</v>
      </c>
      <c r="BZ373" s="62" t="n">
        <f aca="false">IF(BY373="LOSE",1,IF(N(V373)&gt;0,V373,IF(CB373=1,MAX(1,N(VLOOKUP(T373,Parameter!$I$27:$K$29,3,0)),H373,N(N373)),IF(N(Q373)&gt;0,Q373,MAX(1,H373)))))</f>
        <v>16</v>
      </c>
      <c r="CA373" s="65" t="n">
        <f aca="false">IF(BY373="LOSE",1,0)</f>
        <v>0</v>
      </c>
      <c r="CB373" s="65" t="n">
        <f aca="false">IF(AND(U373="",OR(P373="",P373="LOSE"),T373&lt;&gt;"",N(S373)&lt;=0,ISNUMBER(MATCH(T373,Parameter!$I$27:$I$29,0))),1,0)</f>
        <v>0</v>
      </c>
      <c r="CC373" s="65" t="n">
        <f aca="false">IF(CR373&gt;0,INDEX(Parameter!$H$5:$H$7,W373)/INDEX(Parameter!$E$5:$E$7,W373),IF(AND(CA373=0,N(IFERROR(VLOOKUP(BY373,'Gebinde-Kategorie'!$A$5:$N$45,14,0),0))&gt;0),VLOOKUP(BY373,'Gebinde-Kategorie'!$A$5:$N$45,14,0)*10+Parameter!$M$23,Parameter!$M$24))</f>
        <v>155</v>
      </c>
      <c r="CD373" s="60" t="str">
        <f aca="false">IF(AND(Parameter!$B$19="Ja",E373&lt;&gt;"",ISNUMBER(MATCH(E373,Parameter!$I$35:$I$52,0))),VLOOKUP(E373,Parameter!$I$35:$J$52,2,0),IFERROR(VLOOKUP(D373,Parameter!$A$35:$C$64,2,0),"Nein"))</f>
        <v>2+3</v>
      </c>
      <c r="CE373" s="64" t="n">
        <f aca="false">IF(CA373=0,0,IF(N(S373)&gt;0,S373,IFERROR(VLOOKUP(D373,Parameter!$A$35:$C$64,3,0)+0,0)))</f>
        <v>0</v>
      </c>
      <c r="CF373" s="60" t="n">
        <f aca="false">IF(AB373&lt;&gt;"",AB373,AA373)</f>
        <v>3</v>
      </c>
      <c r="CG373" s="60" t="str">
        <f aca="false">IF(OR(CF373=1,CF373=2,CF373=3),IF(Parameter!$E$27="Ja","LIFT",IF(CF373=1,"L1","L23")),IF(CF373="Aussen","Aussen","-"))</f>
        <v>LIFT</v>
      </c>
      <c r="CH373" s="71" t="n">
        <f aca="false">IF(N(AC373)&gt;0,AC373,0)</f>
        <v>0</v>
      </c>
      <c r="CI373" s="65" t="n">
        <f aca="false">IF(ISNUMBER(AF373),1,0)</f>
        <v>0</v>
      </c>
      <c r="CJ373" s="62" t="n">
        <f aca="false">N(AF373)</f>
        <v>0</v>
      </c>
      <c r="CK373" s="62" t="n">
        <f aca="false">N(M373)+N(N373)</f>
        <v>20</v>
      </c>
      <c r="CL373" s="62" t="n">
        <f aca="false">N(M373)</f>
        <v>0</v>
      </c>
      <c r="CM373" s="62" t="n">
        <f aca="false">N(N373)</f>
        <v>20</v>
      </c>
      <c r="CN373" s="62" t="n">
        <f aca="false">ROUNDUP(H373/BZ373,0)</f>
        <v>1</v>
      </c>
      <c r="CO373" s="62" t="n">
        <f aca="false">ROUNDUP(CJ373/BZ373,0)</f>
        <v>0</v>
      </c>
      <c r="CP373" s="65" t="n">
        <f aca="false">IF(CA373=1,0,IFERROR(VLOOKUP(BY373,'Gebinde-Kategorie'!$A$5:$N$45,5,0)+0,0))</f>
        <v>11</v>
      </c>
      <c r="CQ373" s="65" t="n">
        <f aca="false">IFERROR(IF(OR(CF373=1,CF373=2,CF373=3),N(INDEX(Parameter!$I$5:$I$7,CF373)),0),0)</f>
        <v>0</v>
      </c>
      <c r="CR373" s="64" t="n">
        <f aca="false">IF(AND(Parameter!$B$21="Ja",ISNUMBER(W373),N(X373)&gt;0),IFERROR(N(INDEX(Parameter!$L$5:$L$7,W373))*INDEX(Parameter!$E$5:$E$7,W373)*X373/SUMIFS($X$7:$X$1843,$W$7:$W$1843,W373),0),0)</f>
        <v>0</v>
      </c>
      <c r="CS373" s="62" t="n">
        <f aca="false">IF(AND(OR(CG373="L1",CG373="L23",CG373="LIFT"),H373&gt;0),CC373*IF(CR373&gt;0,CR373*MAX(1,H373/X373),IF(CA373=1,CE373,IF(R373&gt;0,CN373/R373,0))/MAX(0.1,N(Parameter!$M$21))),"")</f>
        <v>2.98076923076923</v>
      </c>
      <c r="CT373" s="64" t="n">
        <f aca="false">IF(CS373="","",J373/H373)</f>
        <v>1.33333333333333</v>
      </c>
      <c r="CU373" s="62" t="n">
        <f aca="false">IF(CS373="","",H373*G373)</f>
        <v>246.75</v>
      </c>
      <c r="CV373" s="63" t="n">
        <f aca="false">IF(CS373="","",(CL373+ROUNDUP(CL373+MAX(CM373,2*(J373/MAX(0.1,N(Einkauf!$C$6))-CL373)),0))/2)</f>
        <v>10</v>
      </c>
      <c r="CW373" s="62" t="n">
        <f aca="false">IF(CS373="","",MAX(0,H373-CV373)*G373)</f>
        <v>82.25</v>
      </c>
      <c r="CX373" s="62" t="n">
        <f aca="false">IF(CS373="","",CS373*MAX(0,1-CV373/H373))</f>
        <v>0.993589743589744</v>
      </c>
      <c r="CY373" s="64" t="n">
        <f aca="false">IF(CS373="","",PERCENTRANK($CS$7:$CS$1843,CS373)+PERCENTRANK($CU$7:$CU$1843,CU373)+1-PERCENTRANK($CT$7:$CT$1843,CT373))</f>
        <v>0.85</v>
      </c>
      <c r="CZ373" s="72" t="n">
        <f aca="false">IF(CS373="","",CHOOSE(MATCH(Einkauf!$C$5,Parameter!$G$23:$G$27,0),CY373,CS373,CU373,-CT373,CW373)+ROW()/1000000000)</f>
        <v>0.850000373</v>
      </c>
    </row>
    <row r="374" customFormat="false" ht="15" hidden="false" customHeight="false" outlineLevel="0" collapsed="false">
      <c r="A374" s="60" t="s">
        <v>935</v>
      </c>
      <c r="B374" s="60" t="s">
        <v>936</v>
      </c>
      <c r="C374" s="60" t="s">
        <v>206</v>
      </c>
      <c r="D374" s="60" t="s">
        <v>226</v>
      </c>
      <c r="E374" s="60" t="s">
        <v>227</v>
      </c>
      <c r="F374" s="60" t="s">
        <v>260</v>
      </c>
      <c r="G374" s="61" t="n">
        <v>1.38</v>
      </c>
      <c r="H374" s="62" t="n">
        <f aca="false">MAX(0,IF(AND(Parameter!$B$21="Ja",ISNUMBER(Y374)),Y374,IF(Parameter!$B$20="Jahresanfang 2025 + Export",BS374+BR374,BR374)))</f>
        <v>366</v>
      </c>
      <c r="I374" s="62" t="n">
        <f aca="false">H374*G374</f>
        <v>505.08</v>
      </c>
      <c r="J374" s="62" t="n">
        <f aca="false">BU374*Parameter!$B$18</f>
        <v>2</v>
      </c>
      <c r="K374" s="63" t="n">
        <v>296.5</v>
      </c>
      <c r="L374" s="64" t="n">
        <v>0.00674536256323777</v>
      </c>
      <c r="M374" s="62" t="n">
        <v>0</v>
      </c>
      <c r="N374" s="62" t="n">
        <v>1</v>
      </c>
      <c r="O374" s="65" t="n">
        <v>21</v>
      </c>
      <c r="P374" s="60" t="s">
        <v>463</v>
      </c>
      <c r="Q374" s="62" t="n">
        <v>169</v>
      </c>
      <c r="R374" s="65" t="n">
        <f aca="false">IF(CA374=1,0,IFERROR(VLOOKUP(BY374,'Gebinde-Kategorie'!$A$5:$N$45,13,0)+0,0))</f>
        <v>104</v>
      </c>
      <c r="S374" s="66"/>
      <c r="T374" s="67"/>
      <c r="U374" s="67"/>
      <c r="V374" s="67"/>
      <c r="W374" s="60"/>
      <c r="X374" s="62"/>
      <c r="Y374" s="62"/>
      <c r="Z374" s="60" t="n">
        <v>3</v>
      </c>
      <c r="AA374" s="60" t="n">
        <f aca="false">IF(A374="","",IF(AND(Parameter!$B$21="Ja",ISNUMBER(W374)),W374,IF(AND(Parameter!$E$27="Ja",ISNUMBER(Z374),CD374&lt;&gt;"Nein"),Z374,IF(CD374="2+3",IF(ISNUMBER(SEARCH("grosser Artikel",BV374)),2,IFERROR(VLOOKUP(BY374,Parameter!$F$35:$G$64,2,0),2)),IF(OR(CD374="Nein",CD374=""),"-",CD374)))))</f>
        <v>3</v>
      </c>
      <c r="AB374" s="67"/>
      <c r="AC374" s="68"/>
      <c r="AD374" s="62" t="n">
        <f aca="false">AW374</f>
        <v>2</v>
      </c>
      <c r="AE374" s="62" t="n">
        <f aca="false">MAX(AW374,H374)</f>
        <v>366</v>
      </c>
      <c r="AF374" s="69"/>
      <c r="AG374" s="62" t="n">
        <f aca="false">IF(LEFT(Cockpit!$C$5,1)="A",H374,IF(Parameter!$E$30="MAX-Bestand",IF(CI374=1,CJ374,IF(LEFT(Cockpit!$C$5,1)="B",AM374,MAX(AM374,H374))),ROUNDUP(AK374,0)))</f>
        <v>366</v>
      </c>
      <c r="AH374" s="62" t="n">
        <f aca="false">IF(CA374=1,0,ROUNDUP(AG374/BZ374,0))</f>
        <v>3</v>
      </c>
      <c r="AI374" s="64" t="n">
        <f aca="false">IF(CR374&gt;0,CR374*MAX(1,AG374/X374),IF(CA374=1,IF(AG374&lt;=0,0,CE374*MAX(1,IF(H374&gt;0,AG374/H374,1))),IF(R374&gt;0,AH374/R374,0))/MAX(0.1,N(Parameter!$M$21)))</f>
        <v>0.0288461538461538</v>
      </c>
      <c r="AJ374" s="62" t="n">
        <f aca="false">AI374*CC374</f>
        <v>4.47115384615385</v>
      </c>
      <c r="AK374" s="63" t="n">
        <f aca="false">IF(LEFT(Cockpit!$C$5,1)="A",H374,IF(CI374=1,(CL374+CJ374)/2,IF(LEFT(Cockpit!$C$5,1)="B",(CL374+AM374)/2,MAX((CL374+AM374)/2,H374))))</f>
        <v>366</v>
      </c>
      <c r="AL374" s="62" t="n">
        <f aca="false">AK374*G374</f>
        <v>505.08</v>
      </c>
      <c r="AM374" s="62" t="n">
        <f aca="false">ROUNDUP(CL374+MAX(CM374,2*(J374/IF(CH374&gt;0,CH374,MAX(0.1,N(Cockpit!$C$6)))-CL374)),0)</f>
        <v>2</v>
      </c>
      <c r="AN374" s="63" t="n">
        <f aca="false">IF(AJ374&gt;0,J374/AJ374,-1)</f>
        <v>0.447311827956989</v>
      </c>
      <c r="AO374" s="63" t="n">
        <f aca="false">IF(AND(OR(CG374="L1",CG374="L23",CG374="LIFT"),AJ374&gt;0),SUMIFS($AJ$7:$AJ$1843,$CG$7:$CG$1843,CG374,$AN$7:$AN$1843,"&gt;"&amp;AN374)+SUMIFS($AJ$7:$AJ$1843,$CG$7:$CG$1843,CG374,$AN$7:$AN$1843,AN374,$BX$7:$BX$1843,"&lt;="&amp;BX374),"")</f>
        <v>9865.74356128805</v>
      </c>
      <c r="AP374" s="70" t="n">
        <f aca="false">IF(AO374="",0,MAX(0,MIN(1,(IF(CG374="L1",Parameter!$H$5,IF(CG374="L23",Parameter!$H$6+Parameter!$H$7,Parameter!$H$5+Parameter!$H$6+Parameter!$H$7))-(AO374-AJ374))/AJ374)))</f>
        <v>1</v>
      </c>
      <c r="AQ374" s="62" t="n">
        <f aca="false">IF(LEFT(Cockpit!$I$5,1)="A",H374,IF(Parameter!$E$30="MAX-Bestand",IF(CI374=1,CJ374,IF(LEFT(Cockpit!$I$5,1)="B",AW374,MAX(AW374,H374))),ROUNDUP(AU374,0)))</f>
        <v>366</v>
      </c>
      <c r="AR374" s="62" t="n">
        <f aca="false">IF(CA374=1,0,ROUNDUP(AQ374/BZ374,0))</f>
        <v>3</v>
      </c>
      <c r="AS374" s="64" t="n">
        <f aca="false">IF(CR374&gt;0,CR374*MAX(1,AQ374/X374),IF(CA374=1,IF(AQ374&lt;=0,0,CE374*MAX(1,IF(H374&gt;0,AQ374/H374,1))),IF(R374&gt;0,AR374/R374,0))/MAX(0.1,N(Parameter!$M$21)))</f>
        <v>0.0288461538461538</v>
      </c>
      <c r="AT374" s="62" t="n">
        <f aca="false">AS374*CC374</f>
        <v>4.47115384615385</v>
      </c>
      <c r="AU374" s="63" t="n">
        <f aca="false">IF(LEFT(Cockpit!$I$5,1)="A",H374,IF(CI374=1,(CL374+CJ374)/2,IF(LEFT(Cockpit!$I$5,1)="B",(CL374+AW374)/2,MAX((CL374+AW374)/2,H374))))</f>
        <v>366</v>
      </c>
      <c r="AV374" s="62" t="n">
        <f aca="false">AU374*G374</f>
        <v>505.08</v>
      </c>
      <c r="AW374" s="62" t="n">
        <f aca="false">ROUNDUP(CL374+MAX(CM374,2*(J374/IF(CH374&gt;0,CH374,MAX(0.1,N(Cockpit!$I$6)))-CL374)),0)</f>
        <v>2</v>
      </c>
      <c r="AX374" s="63" t="n">
        <f aca="false">IF(AT374&gt;0,J374/AT374,-1)</f>
        <v>0.447311827956989</v>
      </c>
      <c r="AY374" s="63" t="n">
        <f aca="false">IF(AND(OR(CG374="L1",CG374="L23",CG374="LIFT"),AT374&gt;0),SUMIFS($AT$7:$AT$1843,$CG$7:$CG$1843,CG374,$AX$7:$AX$1843,"&gt;"&amp;AX374)+SUMIFS($AT$7:$AT$1843,$CG$7:$CG$1843,CG374,$AX$7:$AX$1843,AX374,$BX$7:$BX$1843,"&lt;="&amp;BX374),"")</f>
        <v>12279.5801282051</v>
      </c>
      <c r="AZ374" s="70" t="n">
        <f aca="false">IF(AY374="",0,MAX(0,MIN(1,(IF(CG374="L1",Parameter!$H$5,IF(CG374="L23",Parameter!$H$6+Parameter!$H$7,Parameter!$H$5+Parameter!$H$6+Parameter!$H$7))-(AY374-AT374))/AT374)))</f>
        <v>1</v>
      </c>
      <c r="BA374" s="62" t="n">
        <f aca="false">IF(LEFT(Cockpit!$O$5,1)="A",H374,IF(Parameter!$E$30="MAX-Bestand",IF(CI374=1,CJ374,IF(LEFT(Cockpit!$O$5,1)="B",BG374,MAX(BG374,H374))),ROUNDUP(BE374,0)))</f>
        <v>1</v>
      </c>
      <c r="BB374" s="62" t="n">
        <f aca="false">IF(CA374=1,0,ROUNDUP(BA374/BZ374,0))</f>
        <v>1</v>
      </c>
      <c r="BC374" s="64" t="n">
        <f aca="false">IF(CR374&gt;0,CR374*MAX(1,BA374/X374),IF(CA374=1,IF(BA374&lt;=0,0,CE374*MAX(1,IF(H374&gt;0,BA374/H374,1))),IF(R374&gt;0,BB374/R374,0))/MAX(0.1,N(Parameter!$M$21)))</f>
        <v>0.00961538461538462</v>
      </c>
      <c r="BD374" s="62" t="n">
        <f aca="false">BC374*CC374</f>
        <v>1.49038461538462</v>
      </c>
      <c r="BE374" s="63" t="n">
        <f aca="false">IF(LEFT(Cockpit!$O$5,1)="A",H374,IF(CI374=1,(CL374+CJ374)/2,IF(LEFT(Cockpit!$O$5,1)="B",(CL374+BG374)/2,MAX((CL374+BG374)/2,H374))))</f>
        <v>0.5</v>
      </c>
      <c r="BF374" s="62" t="n">
        <f aca="false">BE374*G374</f>
        <v>0.69</v>
      </c>
      <c r="BG374" s="62" t="n">
        <f aca="false">ROUNDUP(CL374+MAX(CM374,2*(J374/IF(CH374&gt;0,CH374,MAX(0.1,N(Cockpit!$O$6)))-CL374)),0)</f>
        <v>1</v>
      </c>
      <c r="BH374" s="63" t="n">
        <f aca="false">IF(BD374&gt;0,J374/BD374,-1)</f>
        <v>1.34193548387097</v>
      </c>
      <c r="BI374" s="63" t="n">
        <f aca="false">IF(AND(OR(CG374="L1",CG374="L23",CG374="LIFT"),BD374&gt;0),SUMIFS($BD$7:$BD$1843,$CG$7:$CG$1843,CG374,$BH$7:$BH$1843,"&gt;"&amp;BH374)+SUMIFS($BD$7:$BD$1843,$CG$7:$CG$1843,CG374,$BH$7:$BH$1843,BH374,$BX$7:$BX$1843,"&lt;="&amp;BX374),"")</f>
        <v>6782.11446886447</v>
      </c>
      <c r="BJ374" s="70" t="n">
        <f aca="false">IF(BI374="",0,MAX(0,MIN(1,(IF(CG374="L1",Parameter!$H$5,IF(CG374="L23",Parameter!$H$6+Parameter!$H$7,Parameter!$H$5+Parameter!$H$6+Parameter!$H$7))-(BI374-BD374))/BD374)))</f>
        <v>1</v>
      </c>
      <c r="BK374" s="60" t="str">
        <f aca="false">IF(AJ374&lt;=0,"",IF(CG374="Aussen","Aussenlager",IF(CG374="-","Nicht im Lift",IF(AP374&gt;=1,"Lift",IF(AP374&lt;=0,"Aussenlager","teilweise")))))</f>
        <v>Lift</v>
      </c>
      <c r="BL374" s="60" t="str">
        <f aca="false">IF(AT374&lt;=0,"",IF(CG374="Aussen","Aussenlager",IF(CG374="-","Nicht im Lift",IF(AZ374&gt;=1,"Lift",IF(AZ374&lt;=0,"Aussenlager","teilweise")))))</f>
        <v>Lift</v>
      </c>
      <c r="BM374" s="60" t="str">
        <f aca="false">IF(BD374&lt;=0,"",IF(CG374="Aussen","Aussenlager",IF(CG374="-","Nicht im Lift",IF(BJ374&gt;=1,"Lift",IF(BJ374&lt;=0,"Aussenlager","teilweise")))))</f>
        <v>Lift</v>
      </c>
      <c r="BN374" s="60" t="str">
        <f aca="false">IF(A374="","",IF(BW374=1,"Neu; ","")&amp;IF(AND(BW374=0,BR374&lt;0),"negativer Bestand (Export "&amp;BR374&amp;"); ","")&amp;IF(J374&lt;=0,"Kein Verbrauch; ","")&amp;IF(CR374&gt;0,"Lift "&amp;W374&amp;" lt. Liftbericht (Fach "&amp;X374&amp;" Stk); ",IF(CB374=1,"Gebinde geschätzt ("&amp;T374&amp;"); ",IF(CA374=1,"Lose – Tablare geschätzt; ","")))&amp;IF(H374&gt;AW374,"Überbestand "&amp;ROUND(H374-AW374,0)&amp;" Stk / CHF "&amp;ROUND((H374-AW374)*G374,0)&amp;"; ","")&amp;IF(AND(CI374=1,CJ374&lt;CK374),"MAX &lt; MB+LG; ","")&amp;IF(AND(CQ374&gt;0,CP374*10&gt;CQ374),"zu hoch für Tablar; ","")&amp;IF(AND(BW374=0,OR(CI374=1,AB374&lt;&gt;"",U374&lt;&gt;"",V374&lt;&gt;"",AC374&lt;&gt;"")),"manuell übersteuert; ","")&amp;IF(AND(CA374=0,R374=0),"Gebinde unbekannt / Stellmass fehlt; ","")&amp;IF(AND(CA374=0,N(V374)&lt;=0,N(Q374)&lt;=0),"Menge pro Gebinde fehlt (Ist = 1 Gebinde); ","")&amp;BV374)</f>
        <v>Überbestand 364 Stk / CHF 502; Handlager</v>
      </c>
      <c r="BO374" s="60"/>
      <c r="BP374" s="60"/>
      <c r="BQ374" s="67"/>
      <c r="BR374" s="62" t="n">
        <v>102</v>
      </c>
      <c r="BS374" s="62" t="n">
        <v>264</v>
      </c>
      <c r="BT374" s="61" t="n">
        <v>140.76</v>
      </c>
      <c r="BU374" s="62" t="n">
        <v>2</v>
      </c>
      <c r="BV374" s="60" t="s">
        <v>937</v>
      </c>
      <c r="BW374" s="65" t="n">
        <v>0</v>
      </c>
      <c r="BX374" s="65" t="n">
        <v>374</v>
      </c>
      <c r="BY374" s="60" t="str">
        <f aca="false">IF(U374&lt;&gt;"",UPPER(TRIM(U374)),IF(CB374=1,UPPER(VLOOKUP(T374,Parameter!$I$27:$K$29,2,0)),IF(P374="","LOSE",P374)))</f>
        <v>S32</v>
      </c>
      <c r="BZ374" s="62" t="n">
        <f aca="false">IF(BY374="LOSE",1,IF(N(V374)&gt;0,V374,IF(CB374=1,MAX(1,N(VLOOKUP(T374,Parameter!$I$27:$K$29,3,0)),H374,N(N374)),IF(N(Q374)&gt;0,Q374,MAX(1,H374)))))</f>
        <v>169</v>
      </c>
      <c r="CA374" s="65" t="n">
        <f aca="false">IF(BY374="LOSE",1,0)</f>
        <v>0</v>
      </c>
      <c r="CB374" s="65" t="n">
        <f aca="false">IF(AND(U374="",OR(P374="",P374="LOSE"),T374&lt;&gt;"",N(S374)&lt;=0,ISNUMBER(MATCH(T374,Parameter!$I$27:$I$29,0))),1,0)</f>
        <v>0</v>
      </c>
      <c r="CC374" s="65" t="n">
        <f aca="false">IF(CR374&gt;0,INDEX(Parameter!$H$5:$H$7,W374)/INDEX(Parameter!$E$5:$E$7,W374),IF(AND(CA374=0,N(IFERROR(VLOOKUP(BY374,'Gebinde-Kategorie'!$A$5:$N$45,14,0),0))&gt;0),VLOOKUP(BY374,'Gebinde-Kategorie'!$A$5:$N$45,14,0)*10+Parameter!$M$23,Parameter!$M$24))</f>
        <v>155</v>
      </c>
      <c r="CD374" s="60" t="str">
        <f aca="false">IF(AND(Parameter!$B$19="Ja",E374&lt;&gt;"",ISNUMBER(MATCH(E374,Parameter!$I$35:$I$52,0))),VLOOKUP(E374,Parameter!$I$35:$J$52,2,0),IFERROR(VLOOKUP(D374,Parameter!$A$35:$C$64,2,0),"Nein"))</f>
        <v>2+3</v>
      </c>
      <c r="CE374" s="64" t="n">
        <f aca="false">IF(CA374=0,0,IF(N(S374)&gt;0,S374,IFERROR(VLOOKUP(D374,Parameter!$A$35:$C$64,3,0)+0,0)))</f>
        <v>0</v>
      </c>
      <c r="CF374" s="60" t="n">
        <f aca="false">IF(AB374&lt;&gt;"",AB374,AA374)</f>
        <v>3</v>
      </c>
      <c r="CG374" s="60" t="str">
        <f aca="false">IF(OR(CF374=1,CF374=2,CF374=3),IF(Parameter!$E$27="Ja","LIFT",IF(CF374=1,"L1","L23")),IF(CF374="Aussen","Aussen","-"))</f>
        <v>LIFT</v>
      </c>
      <c r="CH374" s="71" t="n">
        <f aca="false">IF(N(AC374)&gt;0,AC374,0)</f>
        <v>0</v>
      </c>
      <c r="CI374" s="65" t="n">
        <f aca="false">IF(ISNUMBER(AF374),1,0)</f>
        <v>0</v>
      </c>
      <c r="CJ374" s="62" t="n">
        <f aca="false">N(AF374)</f>
        <v>0</v>
      </c>
      <c r="CK374" s="62" t="n">
        <f aca="false">N(M374)+N(N374)</f>
        <v>1</v>
      </c>
      <c r="CL374" s="62" t="n">
        <f aca="false">N(M374)</f>
        <v>0</v>
      </c>
      <c r="CM374" s="62" t="n">
        <f aca="false">N(N374)</f>
        <v>1</v>
      </c>
      <c r="CN374" s="62" t="n">
        <f aca="false">ROUNDUP(H374/BZ374,0)</f>
        <v>3</v>
      </c>
      <c r="CO374" s="62" t="n">
        <f aca="false">ROUNDUP(CJ374/BZ374,0)</f>
        <v>0</v>
      </c>
      <c r="CP374" s="65" t="n">
        <f aca="false">IF(CA374=1,0,IFERROR(VLOOKUP(BY374,'Gebinde-Kategorie'!$A$5:$N$45,5,0)+0,0))</f>
        <v>8</v>
      </c>
      <c r="CQ374" s="65" t="n">
        <f aca="false">IFERROR(IF(OR(CF374=1,CF374=2,CF374=3),N(INDEX(Parameter!$I$5:$I$7,CF374)),0),0)</f>
        <v>0</v>
      </c>
      <c r="CR374" s="64" t="n">
        <f aca="false">IF(AND(Parameter!$B$21="Ja",ISNUMBER(W374),N(X374)&gt;0),IFERROR(N(INDEX(Parameter!$L$5:$L$7,W374))*INDEX(Parameter!$E$5:$E$7,W374)*X374/SUMIFS($X$7:$X$1843,$W$7:$W$1843,W374),0),0)</f>
        <v>0</v>
      </c>
      <c r="CS374" s="62" t="n">
        <f aca="false">IF(AND(OR(CG374="L1",CG374="L23",CG374="LIFT"),H374&gt;0),CC374*IF(CR374&gt;0,CR374*MAX(1,H374/X374),IF(CA374=1,CE374,IF(R374&gt;0,CN374/R374,0))/MAX(0.1,N(Parameter!$M$21))),"")</f>
        <v>4.47115384615385</v>
      </c>
      <c r="CT374" s="64" t="n">
        <f aca="false">IF(CS374="","",J374/H374)</f>
        <v>0.00546448087431694</v>
      </c>
      <c r="CU374" s="62" t="n">
        <f aca="false">IF(CS374="","",H374*G374)</f>
        <v>505.08</v>
      </c>
      <c r="CV374" s="63" t="n">
        <f aca="false">IF(CS374="","",(CL374+ROUNDUP(CL374+MAX(CM374,2*(J374/MAX(0.1,N(Einkauf!$C$6))-CL374)),0))/2)</f>
        <v>0.5</v>
      </c>
      <c r="CW374" s="62" t="n">
        <f aca="false">IF(CS374="","",MAX(0,H374-CV374)*G374)</f>
        <v>504.39</v>
      </c>
      <c r="CX374" s="62" t="n">
        <f aca="false">IF(CS374="","",CS374*MAX(0,1-CV374/H374))</f>
        <v>4.46504571248424</v>
      </c>
      <c r="CY374" s="64" t="n">
        <f aca="false">IF(CS374="","",PERCENTRANK($CS$7:$CS$1843,CS374)+PERCENTRANK($CU$7:$CU$1843,CU374)+1-PERCENTRANK($CT$7:$CT$1843,CT374))</f>
        <v>1.496</v>
      </c>
      <c r="CZ374" s="72" t="n">
        <f aca="false">IF(CS374="","",CHOOSE(MATCH(Einkauf!$C$5,Parameter!$G$23:$G$27,0),CY374,CS374,CU374,-CT374,CW374)+ROW()/1000000000)</f>
        <v>1.496000374</v>
      </c>
    </row>
    <row r="375" customFormat="false" ht="15" hidden="false" customHeight="false" outlineLevel="0" collapsed="false">
      <c r="A375" s="60" t="s">
        <v>938</v>
      </c>
      <c r="B375" s="60" t="s">
        <v>445</v>
      </c>
      <c r="C375" s="60" t="s">
        <v>206</v>
      </c>
      <c r="D375" s="60" t="s">
        <v>226</v>
      </c>
      <c r="E375" s="60" t="s">
        <v>227</v>
      </c>
      <c r="F375" s="60" t="s">
        <v>260</v>
      </c>
      <c r="G375" s="61" t="n">
        <v>0.6</v>
      </c>
      <c r="H375" s="62" t="n">
        <f aca="false">MAX(0,IF(AND(Parameter!$B$21="Ja",ISNUMBER(Y375)),Y375,IF(Parameter!$B$20="Jahresanfang 2025 + Export",BS375+BR375,BR375)))</f>
        <v>450</v>
      </c>
      <c r="I375" s="62" t="n">
        <f aca="false">H375*G375</f>
        <v>270</v>
      </c>
      <c r="J375" s="62" t="n">
        <f aca="false">BU375*Parameter!$B$18</f>
        <v>561</v>
      </c>
      <c r="K375" s="63" t="n">
        <v>360</v>
      </c>
      <c r="L375" s="64" t="n">
        <v>1.55833333333333</v>
      </c>
      <c r="M375" s="62" t="n">
        <v>33</v>
      </c>
      <c r="N375" s="62" t="n">
        <v>600</v>
      </c>
      <c r="O375" s="65" t="n">
        <v>21</v>
      </c>
      <c r="P375" s="60" t="s">
        <v>335</v>
      </c>
      <c r="Q375" s="62" t="n">
        <v>449</v>
      </c>
      <c r="R375" s="65" t="n">
        <f aca="false">IF(CA375=1,0,IFERROR(VLOOKUP(BY375,'Gebinde-Kategorie'!$A$5:$N$45,13,0)+0,0))</f>
        <v>12</v>
      </c>
      <c r="S375" s="66"/>
      <c r="T375" s="67"/>
      <c r="U375" s="67"/>
      <c r="V375" s="67"/>
      <c r="W375" s="60"/>
      <c r="X375" s="62"/>
      <c r="Y375" s="62"/>
      <c r="Z375" s="60" t="n">
        <v>3</v>
      </c>
      <c r="AA375" s="60" t="n">
        <f aca="false">IF(A375="","",IF(AND(Parameter!$B$21="Ja",ISNUMBER(W375)),W375,IF(AND(Parameter!$E$27="Ja",ISNUMBER(Z375),CD375&lt;&gt;"Nein"),Z375,IF(CD375="2+3",IF(ISNUMBER(SEARCH("grosser Artikel",BV375)),2,IFERROR(VLOOKUP(BY375,Parameter!$F$35:$G$64,2,0),2)),IF(OR(CD375="Nein",CD375=""),"-",CD375)))))</f>
        <v>3</v>
      </c>
      <c r="AB375" s="67"/>
      <c r="AC375" s="68"/>
      <c r="AD375" s="62" t="n">
        <f aca="false">AW375</f>
        <v>633</v>
      </c>
      <c r="AE375" s="62" t="n">
        <f aca="false">MAX(AW375,H375)</f>
        <v>633</v>
      </c>
      <c r="AF375" s="69"/>
      <c r="AG375" s="62" t="n">
        <f aca="false">IF(LEFT(Cockpit!$C$5,1)="A",H375,IF(Parameter!$E$30="MAX-Bestand",IF(CI375=1,CJ375,IF(LEFT(Cockpit!$C$5,1)="B",AM375,MAX(AM375,H375))),ROUNDUP(AK375,0)))</f>
        <v>450</v>
      </c>
      <c r="AH375" s="62" t="n">
        <f aca="false">IF(CA375=1,0,ROUNDUP(AG375/BZ375,0))</f>
        <v>2</v>
      </c>
      <c r="AI375" s="64" t="n">
        <f aca="false">IF(CR375&gt;0,CR375*MAX(1,AG375/X375),IF(CA375=1,IF(AG375&lt;=0,0,CE375*MAX(1,IF(H375&gt;0,AG375/H375,1))),IF(R375&gt;0,AH375/R375,0))/MAX(0.1,N(Parameter!$M$21)))</f>
        <v>0.166666666666667</v>
      </c>
      <c r="AJ375" s="62" t="n">
        <f aca="false">AI375*CC375</f>
        <v>40.8333333333333</v>
      </c>
      <c r="AK375" s="63" t="n">
        <f aca="false">IF(LEFT(Cockpit!$C$5,1)="A",H375,IF(CI375=1,(CL375+CJ375)/2,IF(LEFT(Cockpit!$C$5,1)="B",(CL375+AM375)/2,MAX((CL375+AM375)/2,H375))))</f>
        <v>450</v>
      </c>
      <c r="AL375" s="62" t="n">
        <f aca="false">AK375*G375</f>
        <v>270</v>
      </c>
      <c r="AM375" s="62" t="n">
        <f aca="false">ROUNDUP(CL375+MAX(CM375,2*(J375/IF(CH375&gt;0,CH375,MAX(0.1,N(Cockpit!$C$6)))-CL375)),0)</f>
        <v>633</v>
      </c>
      <c r="AN375" s="63" t="n">
        <f aca="false">IF(AJ375&gt;0,J375/AJ375,-1)</f>
        <v>13.7387755102041</v>
      </c>
      <c r="AO375" s="63" t="n">
        <f aca="false">IF(AND(OR(CG375="L1",CG375="L23",CG375="LIFT"),AJ375&gt;0),SUMIFS($AJ$7:$AJ$1843,$CG$7:$CG$1843,CG375,$AN$7:$AN$1843,"&gt;"&amp;AN375)+SUMIFS($AJ$7:$AJ$1843,$CG$7:$CG$1843,CG375,$AN$7:$AN$1843,AN375,$BX$7:$BX$1843,"&lt;="&amp;BX375),"")</f>
        <v>2272.44597069597</v>
      </c>
      <c r="AP375" s="70" t="n">
        <f aca="false">IF(AO375="",0,MAX(0,MIN(1,(IF(CG375="L1",Parameter!$H$5,IF(CG375="L23",Parameter!$H$6+Parameter!$H$7,Parameter!$H$5+Parameter!$H$6+Parameter!$H$7))-(AO375-AJ375))/AJ375)))</f>
        <v>1</v>
      </c>
      <c r="AQ375" s="62" t="n">
        <f aca="false">IF(LEFT(Cockpit!$I$5,1)="A",H375,IF(Parameter!$E$30="MAX-Bestand",IF(CI375=1,CJ375,IF(LEFT(Cockpit!$I$5,1)="B",AW375,MAX(AW375,H375))),ROUNDUP(AU375,0)))</f>
        <v>450</v>
      </c>
      <c r="AR375" s="62" t="n">
        <f aca="false">IF(CA375=1,0,ROUNDUP(AQ375/BZ375,0))</f>
        <v>2</v>
      </c>
      <c r="AS375" s="64" t="n">
        <f aca="false">IF(CR375&gt;0,CR375*MAX(1,AQ375/X375),IF(CA375=1,IF(AQ375&lt;=0,0,CE375*MAX(1,IF(H375&gt;0,AQ375/H375,1))),IF(R375&gt;0,AR375/R375,0))/MAX(0.1,N(Parameter!$M$21)))</f>
        <v>0.166666666666667</v>
      </c>
      <c r="AT375" s="62" t="n">
        <f aca="false">AS375*CC375</f>
        <v>40.8333333333333</v>
      </c>
      <c r="AU375" s="63" t="n">
        <f aca="false">IF(LEFT(Cockpit!$I$5,1)="A",H375,IF(CI375=1,(CL375+CJ375)/2,IF(LEFT(Cockpit!$I$5,1)="B",(CL375+AW375)/2,MAX((CL375+AW375)/2,H375))))</f>
        <v>450</v>
      </c>
      <c r="AV375" s="62" t="n">
        <f aca="false">AU375*G375</f>
        <v>270</v>
      </c>
      <c r="AW375" s="62" t="n">
        <f aca="false">ROUNDUP(CL375+MAX(CM375,2*(J375/IF(CH375&gt;0,CH375,MAX(0.1,N(Cockpit!$I$6)))-CL375)),0)</f>
        <v>633</v>
      </c>
      <c r="AX375" s="63" t="n">
        <f aca="false">IF(AT375&gt;0,J375/AT375,-1)</f>
        <v>13.7387755102041</v>
      </c>
      <c r="AY375" s="63" t="n">
        <f aca="false">IF(AND(OR(CG375="L1",CG375="L23",CG375="LIFT"),AT375&gt;0),SUMIFS($AT$7:$AT$1843,$CG$7:$CG$1843,CG375,$AX$7:$AX$1843,"&gt;"&amp;AX375)+SUMIFS($AT$7:$AT$1843,$CG$7:$CG$1843,CG375,$AX$7:$AX$1843,AX375,$BX$7:$BX$1843,"&lt;="&amp;BX375),"")</f>
        <v>2891.63278388278</v>
      </c>
      <c r="AZ375" s="70" t="n">
        <f aca="false">IF(AY375="",0,MAX(0,MIN(1,(IF(CG375="L1",Parameter!$H$5,IF(CG375="L23",Parameter!$H$6+Parameter!$H$7,Parameter!$H$5+Parameter!$H$6+Parameter!$H$7))-(AY375-AT375))/AT375)))</f>
        <v>1</v>
      </c>
      <c r="BA375" s="62" t="n">
        <f aca="false">IF(LEFT(Cockpit!$O$5,1)="A",H375,IF(Parameter!$E$30="MAX-Bestand",IF(CI375=1,CJ375,IF(LEFT(Cockpit!$O$5,1)="B",BG375,MAX(BG375,H375))),ROUNDUP(BE375,0)))</f>
        <v>333</v>
      </c>
      <c r="BB375" s="62" t="n">
        <f aca="false">IF(CA375=1,0,ROUNDUP(BA375/BZ375,0))</f>
        <v>1</v>
      </c>
      <c r="BC375" s="64" t="n">
        <f aca="false">IF(CR375&gt;0,CR375*MAX(1,BA375/X375),IF(CA375=1,IF(BA375&lt;=0,0,CE375*MAX(1,IF(H375&gt;0,BA375/H375,1))),IF(R375&gt;0,BB375/R375,0))/MAX(0.1,N(Parameter!$M$21)))</f>
        <v>0.0833333333333333</v>
      </c>
      <c r="BD375" s="62" t="n">
        <f aca="false">BC375*CC375</f>
        <v>20.4166666666667</v>
      </c>
      <c r="BE375" s="63" t="n">
        <f aca="false">IF(LEFT(Cockpit!$O$5,1)="A",H375,IF(CI375=1,(CL375+CJ375)/2,IF(LEFT(Cockpit!$O$5,1)="B",(CL375+BG375)/2,MAX((CL375+BG375)/2,H375))))</f>
        <v>333</v>
      </c>
      <c r="BF375" s="62" t="n">
        <f aca="false">BE375*G375</f>
        <v>199.8</v>
      </c>
      <c r="BG375" s="62" t="n">
        <f aca="false">ROUNDUP(CL375+MAX(CM375,2*(J375/IF(CH375&gt;0,CH375,MAX(0.1,N(Cockpit!$O$6)))-CL375)),0)</f>
        <v>633</v>
      </c>
      <c r="BH375" s="63" t="n">
        <f aca="false">IF(BD375&gt;0,J375/BD375,-1)</f>
        <v>27.4775510204082</v>
      </c>
      <c r="BI375" s="63" t="n">
        <f aca="false">IF(AND(OR(CG375="L1",CG375="L23",CG375="LIFT"),BD375&gt;0),SUMIFS($BD$7:$BD$1843,$CG$7:$CG$1843,CG375,$BH$7:$BH$1843,"&gt;"&amp;BH375)+SUMIFS($BD$7:$BD$1843,$CG$7:$CG$1843,CG375,$BH$7:$BH$1843,BH375,$BX$7:$BX$1843,"&lt;="&amp;BX375),"")</f>
        <v>1938.73534798535</v>
      </c>
      <c r="BJ375" s="70" t="n">
        <f aca="false">IF(BI375="",0,MAX(0,MIN(1,(IF(CG375="L1",Parameter!$H$5,IF(CG375="L23",Parameter!$H$6+Parameter!$H$7,Parameter!$H$5+Parameter!$H$6+Parameter!$H$7))-(BI375-BD375))/BD375)))</f>
        <v>1</v>
      </c>
      <c r="BK375" s="60" t="str">
        <f aca="false">IF(AJ375&lt;=0,"",IF(CG375="Aussen","Aussenlager",IF(CG375="-","Nicht im Lift",IF(AP375&gt;=1,"Lift",IF(AP375&lt;=0,"Aussenlager","teilweise")))))</f>
        <v>Lift</v>
      </c>
      <c r="BL375" s="60" t="str">
        <f aca="false">IF(AT375&lt;=0,"",IF(CG375="Aussen","Aussenlager",IF(CG375="-","Nicht im Lift",IF(AZ375&gt;=1,"Lift",IF(AZ375&lt;=0,"Aussenlager","teilweise")))))</f>
        <v>Lift</v>
      </c>
      <c r="BM375" s="60" t="str">
        <f aca="false">IF(BD375&lt;=0,"",IF(CG375="Aussen","Aussenlager",IF(CG375="-","Nicht im Lift",IF(BJ375&gt;=1,"Lift",IF(BJ375&lt;=0,"Aussenlager","teilweise")))))</f>
        <v>Lift</v>
      </c>
      <c r="BN375" s="60" t="str">
        <f aca="false">IF(A375="","",IF(BW375=1,"Neu; ","")&amp;IF(AND(BW375=0,BR375&lt;0),"negativer Bestand (Export "&amp;BR375&amp;"); ","")&amp;IF(J375&lt;=0,"Kein Verbrauch; ","")&amp;IF(CR375&gt;0,"Lift "&amp;W375&amp;" lt. Liftbericht (Fach "&amp;X375&amp;" Stk); ",IF(CB375=1,"Gebinde geschätzt ("&amp;T375&amp;"); ",IF(CA375=1,"Lose – Tablare geschätzt; ","")))&amp;IF(H375&gt;AW375,"Überbestand "&amp;ROUND(H375-AW375,0)&amp;" Stk / CHF "&amp;ROUND((H375-AW375)*G375,0)&amp;"; ","")&amp;IF(AND(CI375=1,CJ375&lt;CK375),"MAX &lt; MB+LG; ","")&amp;IF(AND(CQ375&gt;0,CP375*10&gt;CQ375),"zu hoch für Tablar; ","")&amp;IF(AND(BW375=0,OR(CI375=1,AB375&lt;&gt;"",U375&lt;&gt;"",V375&lt;&gt;"",AC375&lt;&gt;"")),"manuell übersteuert; ","")&amp;IF(AND(CA375=0,R375=0),"Gebinde unbekannt / Stellmass fehlt; ","")&amp;IF(AND(CA375=0,N(V375)&lt;=0,N(Q375)&lt;=0),"Menge pro Gebinde fehlt (Ist = 1 Gebinde); ","")&amp;BV375)</f>
        <v/>
      </c>
      <c r="BO375" s="60"/>
      <c r="BP375" s="60"/>
      <c r="BQ375" s="67"/>
      <c r="BR375" s="62" t="n">
        <v>229</v>
      </c>
      <c r="BS375" s="62" t="n">
        <v>221</v>
      </c>
      <c r="BT375" s="61" t="n">
        <v>139.61</v>
      </c>
      <c r="BU375" s="62" t="n">
        <v>561</v>
      </c>
      <c r="BV375" s="60"/>
      <c r="BW375" s="65" t="n">
        <v>0</v>
      </c>
      <c r="BX375" s="65" t="n">
        <v>375</v>
      </c>
      <c r="BY375" s="60" t="str">
        <f aca="false">IF(U375&lt;&gt;"",UPPER(TRIM(U375)),IF(CB375=1,UPPER(VLOOKUP(T375,Parameter!$I$27:$K$29,2,0)),IF(P375="","LOSE",P375)))</f>
        <v>S62</v>
      </c>
      <c r="BZ375" s="62" t="n">
        <f aca="false">IF(BY375="LOSE",1,IF(N(V375)&gt;0,V375,IF(CB375=1,MAX(1,N(VLOOKUP(T375,Parameter!$I$27:$K$29,3,0)),H375,N(N375)),IF(N(Q375)&gt;0,Q375,MAX(1,H375)))))</f>
        <v>449</v>
      </c>
      <c r="CA375" s="65" t="n">
        <f aca="false">IF(BY375="LOSE",1,0)</f>
        <v>0</v>
      </c>
      <c r="CB375" s="65" t="n">
        <f aca="false">IF(AND(U375="",OR(P375="",P375="LOSE"),T375&lt;&gt;"",N(S375)&lt;=0,ISNUMBER(MATCH(T375,Parameter!$I$27:$I$29,0))),1,0)</f>
        <v>0</v>
      </c>
      <c r="CC375" s="65" t="n">
        <f aca="false">IF(CR375&gt;0,INDEX(Parameter!$H$5:$H$7,W375)/INDEX(Parameter!$E$5:$E$7,W375),IF(AND(CA375=0,N(IFERROR(VLOOKUP(BY375,'Gebinde-Kategorie'!$A$5:$N$45,14,0),0))&gt;0),VLOOKUP(BY375,'Gebinde-Kategorie'!$A$5:$N$45,14,0)*10+Parameter!$M$23,Parameter!$M$24))</f>
        <v>245</v>
      </c>
      <c r="CD375" s="60" t="str">
        <f aca="false">IF(AND(Parameter!$B$19="Ja",E375&lt;&gt;"",ISNUMBER(MATCH(E375,Parameter!$I$35:$I$52,0))),VLOOKUP(E375,Parameter!$I$35:$J$52,2,0),IFERROR(VLOOKUP(D375,Parameter!$A$35:$C$64,2,0),"Nein"))</f>
        <v>2+3</v>
      </c>
      <c r="CE375" s="64" t="n">
        <f aca="false">IF(CA375=0,0,IF(N(S375)&gt;0,S375,IFERROR(VLOOKUP(D375,Parameter!$A$35:$C$64,3,0)+0,0)))</f>
        <v>0</v>
      </c>
      <c r="CF375" s="60" t="n">
        <f aca="false">IF(AB375&lt;&gt;"",AB375,AA375)</f>
        <v>3</v>
      </c>
      <c r="CG375" s="60" t="str">
        <f aca="false">IF(OR(CF375=1,CF375=2,CF375=3),IF(Parameter!$E$27="Ja","LIFT",IF(CF375=1,"L1","L23")),IF(CF375="Aussen","Aussen","-"))</f>
        <v>LIFT</v>
      </c>
      <c r="CH375" s="71" t="n">
        <f aca="false">IF(N(AC375)&gt;0,AC375,0)</f>
        <v>0</v>
      </c>
      <c r="CI375" s="65" t="n">
        <f aca="false">IF(ISNUMBER(AF375),1,0)</f>
        <v>0</v>
      </c>
      <c r="CJ375" s="62" t="n">
        <f aca="false">N(AF375)</f>
        <v>0</v>
      </c>
      <c r="CK375" s="62" t="n">
        <f aca="false">N(M375)+N(N375)</f>
        <v>633</v>
      </c>
      <c r="CL375" s="62" t="n">
        <f aca="false">N(M375)</f>
        <v>33</v>
      </c>
      <c r="CM375" s="62" t="n">
        <f aca="false">N(N375)</f>
        <v>600</v>
      </c>
      <c r="CN375" s="62" t="n">
        <f aca="false">ROUNDUP(H375/BZ375,0)</f>
        <v>2</v>
      </c>
      <c r="CO375" s="62" t="n">
        <f aca="false">ROUNDUP(CJ375/BZ375,0)</f>
        <v>0</v>
      </c>
      <c r="CP375" s="65" t="n">
        <f aca="false">IF(CA375=1,0,IFERROR(VLOOKUP(BY375,'Gebinde-Kategorie'!$A$5:$N$45,5,0)+0,0))</f>
        <v>21</v>
      </c>
      <c r="CQ375" s="65" t="n">
        <f aca="false">IFERROR(IF(OR(CF375=1,CF375=2,CF375=3),N(INDEX(Parameter!$I$5:$I$7,CF375)),0),0)</f>
        <v>0</v>
      </c>
      <c r="CR375" s="64" t="n">
        <f aca="false">IF(AND(Parameter!$B$21="Ja",ISNUMBER(W375),N(X375)&gt;0),IFERROR(N(INDEX(Parameter!$L$5:$L$7,W375))*INDEX(Parameter!$E$5:$E$7,W375)*X375/SUMIFS($X$7:$X$1843,$W$7:$W$1843,W375),0),0)</f>
        <v>0</v>
      </c>
      <c r="CS375" s="62" t="n">
        <f aca="false">IF(AND(OR(CG375="L1",CG375="L23",CG375="LIFT"),H375&gt;0),CC375*IF(CR375&gt;0,CR375*MAX(1,H375/X375),IF(CA375=1,CE375,IF(R375&gt;0,CN375/R375,0))/MAX(0.1,N(Parameter!$M$21))),"")</f>
        <v>40.8333333333333</v>
      </c>
      <c r="CT375" s="64" t="n">
        <f aca="false">IF(CS375="","",J375/H375)</f>
        <v>1.24666666666667</v>
      </c>
      <c r="CU375" s="62" t="n">
        <f aca="false">IF(CS375="","",H375*G375)</f>
        <v>270</v>
      </c>
      <c r="CV375" s="63" t="n">
        <f aca="false">IF(CS375="","",(CL375+ROUNDUP(CL375+MAX(CM375,2*(J375/MAX(0.1,N(Einkauf!$C$6))-CL375)),0))/2)</f>
        <v>333</v>
      </c>
      <c r="CW375" s="62" t="n">
        <f aca="false">IF(CS375="","",MAX(0,H375-CV375)*G375)</f>
        <v>70.2</v>
      </c>
      <c r="CX375" s="62" t="n">
        <f aca="false">IF(CS375="","",CS375*MAX(0,1-CV375/H375))</f>
        <v>10.6166666666667</v>
      </c>
      <c r="CY375" s="64" t="n">
        <f aca="false">IF(CS375="","",PERCENTRANK($CS$7:$CS$1843,CS375)+PERCENTRANK($CU$7:$CU$1843,CU375)+1-PERCENTRANK($CT$7:$CT$1843,CT375))</f>
        <v>1.567</v>
      </c>
      <c r="CZ375" s="72" t="n">
        <f aca="false">IF(CS375="","",CHOOSE(MATCH(Einkauf!$C$5,Parameter!$G$23:$G$27,0),CY375,CS375,CU375,-CT375,CW375)+ROW()/1000000000)</f>
        <v>1.567000375</v>
      </c>
    </row>
    <row r="376" customFormat="false" ht="15" hidden="false" customHeight="false" outlineLevel="0" collapsed="false">
      <c r="A376" s="60" t="s">
        <v>939</v>
      </c>
      <c r="B376" s="60" t="s">
        <v>940</v>
      </c>
      <c r="C376" s="60" t="s">
        <v>206</v>
      </c>
      <c r="D376" s="60" t="s">
        <v>226</v>
      </c>
      <c r="E376" s="60" t="s">
        <v>227</v>
      </c>
      <c r="F376" s="60" t="s">
        <v>260</v>
      </c>
      <c r="G376" s="61" t="n">
        <v>2.5</v>
      </c>
      <c r="H376" s="62" t="n">
        <f aca="false">MAX(0,IF(AND(Parameter!$B$21="Ja",ISNUMBER(Y376)),Y376,IF(Parameter!$B$20="Jahresanfang 2025 + Export",BS376+BR376,BR376)))</f>
        <v>98</v>
      </c>
      <c r="I376" s="62" t="n">
        <f aca="false">H376*G376</f>
        <v>245</v>
      </c>
      <c r="J376" s="62" t="n">
        <f aca="false">BU376*Parameter!$B$18</f>
        <v>69</v>
      </c>
      <c r="K376" s="63" t="n">
        <v>61.5</v>
      </c>
      <c r="L376" s="64" t="n">
        <v>1.1219512195122</v>
      </c>
      <c r="M376" s="62" t="n">
        <v>4</v>
      </c>
      <c r="N376" s="62" t="n">
        <v>100</v>
      </c>
      <c r="O376" s="65" t="n">
        <v>21</v>
      </c>
      <c r="P376" s="60" t="s">
        <v>463</v>
      </c>
      <c r="Q376" s="62" t="n">
        <v>102</v>
      </c>
      <c r="R376" s="65" t="n">
        <f aca="false">IF(CA376=1,0,IFERROR(VLOOKUP(BY376,'Gebinde-Kategorie'!$A$5:$N$45,13,0)+0,0))</f>
        <v>104</v>
      </c>
      <c r="S376" s="66"/>
      <c r="T376" s="67"/>
      <c r="U376" s="67"/>
      <c r="V376" s="67"/>
      <c r="W376" s="60"/>
      <c r="X376" s="62"/>
      <c r="Y376" s="62"/>
      <c r="Z376" s="60" t="n">
        <v>2</v>
      </c>
      <c r="AA376" s="60" t="n">
        <f aca="false">IF(A376="","",IF(AND(Parameter!$B$21="Ja",ISNUMBER(W376)),W376,IF(AND(Parameter!$E$27="Ja",ISNUMBER(Z376),CD376&lt;&gt;"Nein"),Z376,IF(CD376="2+3",IF(ISNUMBER(SEARCH("grosser Artikel",BV376)),2,IFERROR(VLOOKUP(BY376,Parameter!$F$35:$G$64,2,0),2)),IF(OR(CD376="Nein",CD376=""),"-",CD376)))))</f>
        <v>2</v>
      </c>
      <c r="AB376" s="67"/>
      <c r="AC376" s="68"/>
      <c r="AD376" s="62" t="n">
        <f aca="false">AW376</f>
        <v>104</v>
      </c>
      <c r="AE376" s="62" t="n">
        <f aca="false">MAX(AW376,H376)</f>
        <v>104</v>
      </c>
      <c r="AF376" s="69"/>
      <c r="AG376" s="62" t="n">
        <f aca="false">IF(LEFT(Cockpit!$C$5,1)="A",H376,IF(Parameter!$E$30="MAX-Bestand",IF(CI376=1,CJ376,IF(LEFT(Cockpit!$C$5,1)="B",AM376,MAX(AM376,H376))),ROUNDUP(AK376,0)))</f>
        <v>98</v>
      </c>
      <c r="AH376" s="62" t="n">
        <f aca="false">IF(CA376=1,0,ROUNDUP(AG376/BZ376,0))</f>
        <v>1</v>
      </c>
      <c r="AI376" s="64" t="n">
        <f aca="false">IF(CR376&gt;0,CR376*MAX(1,AG376/X376),IF(CA376=1,IF(AG376&lt;=0,0,CE376*MAX(1,IF(H376&gt;0,AG376/H376,1))),IF(R376&gt;0,AH376/R376,0))/MAX(0.1,N(Parameter!$M$21)))</f>
        <v>0.00961538461538462</v>
      </c>
      <c r="AJ376" s="62" t="n">
        <f aca="false">AI376*CC376</f>
        <v>1.49038461538462</v>
      </c>
      <c r="AK376" s="63" t="n">
        <f aca="false">IF(LEFT(Cockpit!$C$5,1)="A",H376,IF(CI376=1,(CL376+CJ376)/2,IF(LEFT(Cockpit!$C$5,1)="B",(CL376+AM376)/2,MAX((CL376+AM376)/2,H376))))</f>
        <v>98</v>
      </c>
      <c r="AL376" s="62" t="n">
        <f aca="false">AK376*G376</f>
        <v>245</v>
      </c>
      <c r="AM376" s="62" t="n">
        <f aca="false">ROUNDUP(CL376+MAX(CM376,2*(J376/IF(CH376&gt;0,CH376,MAX(0.1,N(Cockpit!$C$6)))-CL376)),0)</f>
        <v>104</v>
      </c>
      <c r="AN376" s="63" t="n">
        <f aca="false">IF(AJ376&gt;0,J376/AJ376,-1)</f>
        <v>46.2967741935484</v>
      </c>
      <c r="AO376" s="63" t="n">
        <f aca="false">IF(AND(OR(CG376="L1",CG376="L23",CG376="LIFT"),AJ376&gt;0),SUMIFS($AJ$7:$AJ$1843,$CG$7:$CG$1843,CG376,$AN$7:$AN$1843,"&gt;"&amp;AN376)+SUMIFS($AJ$7:$AJ$1843,$CG$7:$CG$1843,CG376,$AN$7:$AN$1843,AN376,$BX$7:$BX$1843,"&lt;="&amp;BX376),"")</f>
        <v>1159.37637362637</v>
      </c>
      <c r="AP376" s="70" t="n">
        <f aca="false">IF(AO376="",0,MAX(0,MIN(1,(IF(CG376="L1",Parameter!$H$5,IF(CG376="L23",Parameter!$H$6+Parameter!$H$7,Parameter!$H$5+Parameter!$H$6+Parameter!$H$7))-(AO376-AJ376))/AJ376)))</f>
        <v>1</v>
      </c>
      <c r="AQ376" s="62" t="n">
        <f aca="false">IF(LEFT(Cockpit!$I$5,1)="A",H376,IF(Parameter!$E$30="MAX-Bestand",IF(CI376=1,CJ376,IF(LEFT(Cockpit!$I$5,1)="B",AW376,MAX(AW376,H376))),ROUNDUP(AU376,0)))</f>
        <v>98</v>
      </c>
      <c r="AR376" s="62" t="n">
        <f aca="false">IF(CA376=1,0,ROUNDUP(AQ376/BZ376,0))</f>
        <v>1</v>
      </c>
      <c r="AS376" s="64" t="n">
        <f aca="false">IF(CR376&gt;0,CR376*MAX(1,AQ376/X376),IF(CA376=1,IF(AQ376&lt;=0,0,CE376*MAX(1,IF(H376&gt;0,AQ376/H376,1))),IF(R376&gt;0,AR376/R376,0))/MAX(0.1,N(Parameter!$M$21)))</f>
        <v>0.00961538461538462</v>
      </c>
      <c r="AT376" s="62" t="n">
        <f aca="false">AS376*CC376</f>
        <v>1.49038461538462</v>
      </c>
      <c r="AU376" s="63" t="n">
        <f aca="false">IF(LEFT(Cockpit!$I$5,1)="A",H376,IF(CI376=1,(CL376+CJ376)/2,IF(LEFT(Cockpit!$I$5,1)="B",(CL376+AW376)/2,MAX((CL376+AW376)/2,H376))))</f>
        <v>98</v>
      </c>
      <c r="AV376" s="62" t="n">
        <f aca="false">AU376*G376</f>
        <v>245</v>
      </c>
      <c r="AW376" s="62" t="n">
        <f aca="false">ROUNDUP(CL376+MAX(CM376,2*(J376/IF(CH376&gt;0,CH376,MAX(0.1,N(Cockpit!$I$6)))-CL376)),0)</f>
        <v>104</v>
      </c>
      <c r="AX376" s="63" t="n">
        <f aca="false">IF(AT376&gt;0,J376/AT376,-1)</f>
        <v>46.2967741935484</v>
      </c>
      <c r="AY376" s="63" t="n">
        <f aca="false">IF(AND(OR(CG376="L1",CG376="L23",CG376="LIFT"),AT376&gt;0),SUMIFS($AT$7:$AT$1843,$CG$7:$CG$1843,CG376,$AX$7:$AX$1843,"&gt;"&amp;AX376)+SUMIFS($AT$7:$AT$1843,$CG$7:$CG$1843,CG376,$AX$7:$AX$1843,AX376,$BX$7:$BX$1843,"&lt;="&amp;BX376),"")</f>
        <v>1444.09798534799</v>
      </c>
      <c r="AZ376" s="70" t="n">
        <f aca="false">IF(AY376="",0,MAX(0,MIN(1,(IF(CG376="L1",Parameter!$H$5,IF(CG376="L23",Parameter!$H$6+Parameter!$H$7,Parameter!$H$5+Parameter!$H$6+Parameter!$H$7))-(AY376-AT376))/AT376)))</f>
        <v>1</v>
      </c>
      <c r="BA376" s="62" t="n">
        <f aca="false">IF(LEFT(Cockpit!$O$5,1)="A",H376,IF(Parameter!$E$30="MAX-Bestand",IF(CI376=1,CJ376,IF(LEFT(Cockpit!$O$5,1)="B",BG376,MAX(BG376,H376))),ROUNDUP(BE376,0)))</f>
        <v>54</v>
      </c>
      <c r="BB376" s="62" t="n">
        <f aca="false">IF(CA376=1,0,ROUNDUP(BA376/BZ376,0))</f>
        <v>1</v>
      </c>
      <c r="BC376" s="64" t="n">
        <f aca="false">IF(CR376&gt;0,CR376*MAX(1,BA376/X376),IF(CA376=1,IF(BA376&lt;=0,0,CE376*MAX(1,IF(H376&gt;0,BA376/H376,1))),IF(R376&gt;0,BB376/R376,0))/MAX(0.1,N(Parameter!$M$21)))</f>
        <v>0.00961538461538462</v>
      </c>
      <c r="BD376" s="62" t="n">
        <f aca="false">BC376*CC376</f>
        <v>1.49038461538462</v>
      </c>
      <c r="BE376" s="63" t="n">
        <f aca="false">IF(LEFT(Cockpit!$O$5,1)="A",H376,IF(CI376=1,(CL376+CJ376)/2,IF(LEFT(Cockpit!$O$5,1)="B",(CL376+BG376)/2,MAX((CL376+BG376)/2,H376))))</f>
        <v>54</v>
      </c>
      <c r="BF376" s="62" t="n">
        <f aca="false">BE376*G376</f>
        <v>135</v>
      </c>
      <c r="BG376" s="62" t="n">
        <f aca="false">ROUNDUP(CL376+MAX(CM376,2*(J376/IF(CH376&gt;0,CH376,MAX(0.1,N(Cockpit!$O$6)))-CL376)),0)</f>
        <v>104</v>
      </c>
      <c r="BH376" s="63" t="n">
        <f aca="false">IF(BD376&gt;0,J376/BD376,-1)</f>
        <v>46.2967741935484</v>
      </c>
      <c r="BI376" s="63" t="n">
        <f aca="false">IF(AND(OR(CG376="L1",CG376="L23",CG376="LIFT"),BD376&gt;0),SUMIFS($BD$7:$BD$1843,$CG$7:$CG$1843,CG376,$BH$7:$BH$1843,"&gt;"&amp;BH376)+SUMIFS($BD$7:$BD$1843,$CG$7:$CG$1843,CG376,$BH$7:$BH$1843,BH376,$BX$7:$BX$1843,"&lt;="&amp;BX376),"")</f>
        <v>1222.08241758242</v>
      </c>
      <c r="BJ376" s="70" t="n">
        <f aca="false">IF(BI376="",0,MAX(0,MIN(1,(IF(CG376="L1",Parameter!$H$5,IF(CG376="L23",Parameter!$H$6+Parameter!$H$7,Parameter!$H$5+Parameter!$H$6+Parameter!$H$7))-(BI376-BD376))/BD376)))</f>
        <v>1</v>
      </c>
      <c r="BK376" s="60" t="str">
        <f aca="false">IF(AJ376&lt;=0,"",IF(CG376="Aussen","Aussenlager",IF(CG376="-","Nicht im Lift",IF(AP376&gt;=1,"Lift",IF(AP376&lt;=0,"Aussenlager","teilweise")))))</f>
        <v>Lift</v>
      </c>
      <c r="BL376" s="60" t="str">
        <f aca="false">IF(AT376&lt;=0,"",IF(CG376="Aussen","Aussenlager",IF(CG376="-","Nicht im Lift",IF(AZ376&gt;=1,"Lift",IF(AZ376&lt;=0,"Aussenlager","teilweise")))))</f>
        <v>Lift</v>
      </c>
      <c r="BM376" s="60" t="str">
        <f aca="false">IF(BD376&lt;=0,"",IF(CG376="Aussen","Aussenlager",IF(CG376="-","Nicht im Lift",IF(BJ376&gt;=1,"Lift",IF(BJ376&lt;=0,"Aussenlager","teilweise")))))</f>
        <v>Lift</v>
      </c>
      <c r="BN376" s="60" t="str">
        <f aca="false">IF(A376="","",IF(BW376=1,"Neu; ","")&amp;IF(AND(BW376=0,BR376&lt;0),"negativer Bestand (Export "&amp;BR376&amp;"); ","")&amp;IF(J376&lt;=0,"Kein Verbrauch; ","")&amp;IF(CR376&gt;0,"Lift "&amp;W376&amp;" lt. Liftbericht (Fach "&amp;X376&amp;" Stk); ",IF(CB376=1,"Gebinde geschätzt ("&amp;T376&amp;"); ",IF(CA376=1,"Lose – Tablare geschätzt; ","")))&amp;IF(H376&gt;AW376,"Überbestand "&amp;ROUND(H376-AW376,0)&amp;" Stk / CHF "&amp;ROUND((H376-AW376)*G376,0)&amp;"; ","")&amp;IF(AND(CI376=1,CJ376&lt;CK376),"MAX &lt; MB+LG; ","")&amp;IF(AND(CQ376&gt;0,CP376*10&gt;CQ376),"zu hoch für Tablar; ","")&amp;IF(AND(BW376=0,OR(CI376=1,AB376&lt;&gt;"",U376&lt;&gt;"",V376&lt;&gt;"",AC376&lt;&gt;"")),"manuell übersteuert; ","")&amp;IF(AND(CA376=0,R376=0),"Gebinde unbekannt / Stellmass fehlt; ","")&amp;IF(AND(CA376=0,N(V376)&lt;=0,N(Q376)&lt;=0),"Menge pro Gebinde fehlt (Ist = 1 Gebinde); ","")&amp;BV376)</f>
        <v>Neu</v>
      </c>
      <c r="BO376" s="60"/>
      <c r="BP376" s="60"/>
      <c r="BQ376" s="67"/>
      <c r="BR376" s="62" t="n">
        <v>56</v>
      </c>
      <c r="BS376" s="62" t="n">
        <v>42</v>
      </c>
      <c r="BT376" s="61" t="n">
        <v>137.9</v>
      </c>
      <c r="BU376" s="62" t="n">
        <v>69</v>
      </c>
      <c r="BV376" s="60" t="s">
        <v>668</v>
      </c>
      <c r="BW376" s="65" t="n">
        <v>0</v>
      </c>
      <c r="BX376" s="65" t="n">
        <v>376</v>
      </c>
      <c r="BY376" s="60" t="str">
        <f aca="false">IF(U376&lt;&gt;"",UPPER(TRIM(U376)),IF(CB376=1,UPPER(VLOOKUP(T376,Parameter!$I$27:$K$29,2,0)),IF(P376="","LOSE",P376)))</f>
        <v>S32</v>
      </c>
      <c r="BZ376" s="62" t="n">
        <f aca="false">IF(BY376="LOSE",1,IF(N(V376)&gt;0,V376,IF(CB376=1,MAX(1,N(VLOOKUP(T376,Parameter!$I$27:$K$29,3,0)),H376,N(N376)),IF(N(Q376)&gt;0,Q376,MAX(1,H376)))))</f>
        <v>102</v>
      </c>
      <c r="CA376" s="65" t="n">
        <f aca="false">IF(BY376="LOSE",1,0)</f>
        <v>0</v>
      </c>
      <c r="CB376" s="65" t="n">
        <f aca="false">IF(AND(U376="",OR(P376="",P376="LOSE"),T376&lt;&gt;"",N(S376)&lt;=0,ISNUMBER(MATCH(T376,Parameter!$I$27:$I$29,0))),1,0)</f>
        <v>0</v>
      </c>
      <c r="CC376" s="65" t="n">
        <f aca="false">IF(CR376&gt;0,INDEX(Parameter!$H$5:$H$7,W376)/INDEX(Parameter!$E$5:$E$7,W376),IF(AND(CA376=0,N(IFERROR(VLOOKUP(BY376,'Gebinde-Kategorie'!$A$5:$N$45,14,0),0))&gt;0),VLOOKUP(BY376,'Gebinde-Kategorie'!$A$5:$N$45,14,0)*10+Parameter!$M$23,Parameter!$M$24))</f>
        <v>155</v>
      </c>
      <c r="CD376" s="60" t="str">
        <f aca="false">IF(AND(Parameter!$B$19="Ja",E376&lt;&gt;"",ISNUMBER(MATCH(E376,Parameter!$I$35:$I$52,0))),VLOOKUP(E376,Parameter!$I$35:$J$52,2,0),IFERROR(VLOOKUP(D376,Parameter!$A$35:$C$64,2,0),"Nein"))</f>
        <v>2+3</v>
      </c>
      <c r="CE376" s="64" t="n">
        <f aca="false">IF(CA376=0,0,IF(N(S376)&gt;0,S376,IFERROR(VLOOKUP(D376,Parameter!$A$35:$C$64,3,0)+0,0)))</f>
        <v>0</v>
      </c>
      <c r="CF376" s="60" t="n">
        <f aca="false">IF(AB376&lt;&gt;"",AB376,AA376)</f>
        <v>2</v>
      </c>
      <c r="CG376" s="60" t="str">
        <f aca="false">IF(OR(CF376=1,CF376=2,CF376=3),IF(Parameter!$E$27="Ja","LIFT",IF(CF376=1,"L1","L23")),IF(CF376="Aussen","Aussen","-"))</f>
        <v>LIFT</v>
      </c>
      <c r="CH376" s="71" t="n">
        <f aca="false">IF(N(AC376)&gt;0,AC376,0)</f>
        <v>0</v>
      </c>
      <c r="CI376" s="65" t="n">
        <f aca="false">IF(ISNUMBER(AF376),1,0)</f>
        <v>0</v>
      </c>
      <c r="CJ376" s="62" t="n">
        <f aca="false">N(AF376)</f>
        <v>0</v>
      </c>
      <c r="CK376" s="62" t="n">
        <f aca="false">N(M376)+N(N376)</f>
        <v>104</v>
      </c>
      <c r="CL376" s="62" t="n">
        <f aca="false">N(M376)</f>
        <v>4</v>
      </c>
      <c r="CM376" s="62" t="n">
        <f aca="false">N(N376)</f>
        <v>100</v>
      </c>
      <c r="CN376" s="62" t="n">
        <f aca="false">ROUNDUP(H376/BZ376,0)</f>
        <v>1</v>
      </c>
      <c r="CO376" s="62" t="n">
        <f aca="false">ROUNDUP(CJ376/BZ376,0)</f>
        <v>0</v>
      </c>
      <c r="CP376" s="65" t="n">
        <f aca="false">IF(CA376=1,0,IFERROR(VLOOKUP(BY376,'Gebinde-Kategorie'!$A$5:$N$45,5,0)+0,0))</f>
        <v>8</v>
      </c>
      <c r="CQ376" s="65" t="n">
        <f aca="false">IFERROR(IF(OR(CF376=1,CF376=2,CF376=3),N(INDEX(Parameter!$I$5:$I$7,CF376)),0),0)</f>
        <v>0</v>
      </c>
      <c r="CR376" s="64" t="n">
        <f aca="false">IF(AND(Parameter!$B$21="Ja",ISNUMBER(W376),N(X376)&gt;0),IFERROR(N(INDEX(Parameter!$L$5:$L$7,W376))*INDEX(Parameter!$E$5:$E$7,W376)*X376/SUMIFS($X$7:$X$1843,$W$7:$W$1843,W376),0),0)</f>
        <v>0</v>
      </c>
      <c r="CS376" s="62" t="n">
        <f aca="false">IF(AND(OR(CG376="L1",CG376="L23",CG376="LIFT"),H376&gt;0),CC376*IF(CR376&gt;0,CR376*MAX(1,H376/X376),IF(CA376=1,CE376,IF(R376&gt;0,CN376/R376,0))/MAX(0.1,N(Parameter!$M$21))),"")</f>
        <v>1.49038461538462</v>
      </c>
      <c r="CT376" s="64" t="n">
        <f aca="false">IF(CS376="","",J376/H376)</f>
        <v>0.704081632653061</v>
      </c>
      <c r="CU376" s="62" t="n">
        <f aca="false">IF(CS376="","",H376*G376)</f>
        <v>245</v>
      </c>
      <c r="CV376" s="63" t="n">
        <f aca="false">IF(CS376="","",(CL376+ROUNDUP(CL376+MAX(CM376,2*(J376/MAX(0.1,N(Einkauf!$C$6))-CL376)),0))/2)</f>
        <v>54</v>
      </c>
      <c r="CW376" s="62" t="n">
        <f aca="false">IF(CS376="","",MAX(0,H376-CV376)*G376)</f>
        <v>110</v>
      </c>
      <c r="CX376" s="62" t="n">
        <f aca="false">IF(CS376="","",CS376*MAX(0,1-CV376/H376))</f>
        <v>0.669152276295134</v>
      </c>
      <c r="CY376" s="64" t="n">
        <f aca="false">IF(CS376="","",PERCENTRANK($CS$7:$CS$1843,CS376)+PERCENTRANK($CU$7:$CU$1843,CU376)+1-PERCENTRANK($CT$7:$CT$1843,CT376))</f>
        <v>0.899</v>
      </c>
      <c r="CZ376" s="72" t="n">
        <f aca="false">IF(CS376="","",CHOOSE(MATCH(Einkauf!$C$5,Parameter!$G$23:$G$27,0),CY376,CS376,CU376,-CT376,CW376)+ROW()/1000000000)</f>
        <v>0.899000376</v>
      </c>
    </row>
    <row r="377" customFormat="false" ht="15" hidden="false" customHeight="false" outlineLevel="0" collapsed="false">
      <c r="A377" s="60" t="s">
        <v>941</v>
      </c>
      <c r="B377" s="60" t="s">
        <v>942</v>
      </c>
      <c r="C377" s="60" t="s">
        <v>206</v>
      </c>
      <c r="D377" s="60" t="s">
        <v>226</v>
      </c>
      <c r="E377" s="60" t="s">
        <v>227</v>
      </c>
      <c r="F377" s="60" t="s">
        <v>260</v>
      </c>
      <c r="G377" s="61" t="n">
        <v>56.62</v>
      </c>
      <c r="H377" s="62" t="n">
        <f aca="false">MAX(0,IF(AND(Parameter!$B$21="Ja",ISNUMBER(Y377)),Y377,IF(Parameter!$B$20="Jahresanfang 2025 + Export",BS377+BR377,BR377)))</f>
        <v>5</v>
      </c>
      <c r="I377" s="62" t="n">
        <f aca="false">H377*G377</f>
        <v>283.1</v>
      </c>
      <c r="J377" s="62" t="n">
        <f aca="false">BU377*Parameter!$B$18</f>
        <v>5</v>
      </c>
      <c r="K377" s="63" t="n">
        <v>4.5</v>
      </c>
      <c r="L377" s="64" t="n">
        <v>1.11111111111111</v>
      </c>
      <c r="M377" s="62" t="n">
        <v>0</v>
      </c>
      <c r="N377" s="62" t="n">
        <v>5</v>
      </c>
      <c r="O377" s="65" t="n">
        <v>21</v>
      </c>
      <c r="P377" s="60" t="s">
        <v>463</v>
      </c>
      <c r="Q377" s="62" t="n">
        <v>9</v>
      </c>
      <c r="R377" s="65" t="n">
        <f aca="false">IF(CA377=1,0,IFERROR(VLOOKUP(BY377,'Gebinde-Kategorie'!$A$5:$N$45,13,0)+0,0))</f>
        <v>104</v>
      </c>
      <c r="S377" s="66"/>
      <c r="T377" s="67"/>
      <c r="U377" s="67"/>
      <c r="V377" s="67"/>
      <c r="W377" s="60"/>
      <c r="X377" s="62"/>
      <c r="Y377" s="62"/>
      <c r="Z377" s="60" t="n">
        <v>2</v>
      </c>
      <c r="AA377" s="60" t="n">
        <f aca="false">IF(A377="","",IF(AND(Parameter!$B$21="Ja",ISNUMBER(W377)),W377,IF(AND(Parameter!$E$27="Ja",ISNUMBER(Z377),CD377&lt;&gt;"Nein"),Z377,IF(CD377="2+3",IF(ISNUMBER(SEARCH("grosser Artikel",BV377)),2,IFERROR(VLOOKUP(BY377,Parameter!$F$35:$G$64,2,0),2)),IF(OR(CD377="Nein",CD377=""),"-",CD377)))))</f>
        <v>2</v>
      </c>
      <c r="AB377" s="67"/>
      <c r="AC377" s="68"/>
      <c r="AD377" s="62" t="n">
        <f aca="false">AW377</f>
        <v>5</v>
      </c>
      <c r="AE377" s="62" t="n">
        <f aca="false">MAX(AW377,H377)</f>
        <v>5</v>
      </c>
      <c r="AF377" s="69"/>
      <c r="AG377" s="62" t="n">
        <f aca="false">IF(LEFT(Cockpit!$C$5,1)="A",H377,IF(Parameter!$E$30="MAX-Bestand",IF(CI377=1,CJ377,IF(LEFT(Cockpit!$C$5,1)="B",AM377,MAX(AM377,H377))),ROUNDUP(AK377,0)))</f>
        <v>5</v>
      </c>
      <c r="AH377" s="62" t="n">
        <f aca="false">IF(CA377=1,0,ROUNDUP(AG377/BZ377,0))</f>
        <v>1</v>
      </c>
      <c r="AI377" s="64" t="n">
        <f aca="false">IF(CR377&gt;0,CR377*MAX(1,AG377/X377),IF(CA377=1,IF(AG377&lt;=0,0,CE377*MAX(1,IF(H377&gt;0,AG377/H377,1))),IF(R377&gt;0,AH377/R377,0))/MAX(0.1,N(Parameter!$M$21)))</f>
        <v>0.00961538461538462</v>
      </c>
      <c r="AJ377" s="62" t="n">
        <f aca="false">AI377*CC377</f>
        <v>1.49038461538462</v>
      </c>
      <c r="AK377" s="63" t="n">
        <f aca="false">IF(LEFT(Cockpit!$C$5,1)="A",H377,IF(CI377=1,(CL377+CJ377)/2,IF(LEFT(Cockpit!$C$5,1)="B",(CL377+AM377)/2,MAX((CL377+AM377)/2,H377))))</f>
        <v>5</v>
      </c>
      <c r="AL377" s="62" t="n">
        <f aca="false">AK377*G377</f>
        <v>283.1</v>
      </c>
      <c r="AM377" s="62" t="n">
        <f aca="false">ROUNDUP(CL377+MAX(CM377,2*(J377/IF(CH377&gt;0,CH377,MAX(0.1,N(Cockpit!$C$6)))-CL377)),0)</f>
        <v>5</v>
      </c>
      <c r="AN377" s="63" t="n">
        <f aca="false">IF(AJ377&gt;0,J377/AJ377,-1)</f>
        <v>3.35483870967742</v>
      </c>
      <c r="AO377" s="63" t="n">
        <f aca="false">IF(AND(OR(CG377="L1",CG377="L23",CG377="LIFT"),AJ377&gt;0),SUMIFS($AJ$7:$AJ$1843,$CG$7:$CG$1843,CG377,$AN$7:$AN$1843,"&gt;"&amp;AN377)+SUMIFS($AJ$7:$AJ$1843,$CG$7:$CG$1843,CG377,$AN$7:$AN$1843,AN377,$BX$7:$BX$1843,"&lt;="&amp;BX377),"")</f>
        <v>4913.85714285714</v>
      </c>
      <c r="AP377" s="70" t="n">
        <f aca="false">IF(AO377="",0,MAX(0,MIN(1,(IF(CG377="L1",Parameter!$H$5,IF(CG377="L23",Parameter!$H$6+Parameter!$H$7,Parameter!$H$5+Parameter!$H$6+Parameter!$H$7))-(AO377-AJ377))/AJ377)))</f>
        <v>1</v>
      </c>
      <c r="AQ377" s="62" t="n">
        <f aca="false">IF(LEFT(Cockpit!$I$5,1)="A",H377,IF(Parameter!$E$30="MAX-Bestand",IF(CI377=1,CJ377,IF(LEFT(Cockpit!$I$5,1)="B",AW377,MAX(AW377,H377))),ROUNDUP(AU377,0)))</f>
        <v>5</v>
      </c>
      <c r="AR377" s="62" t="n">
        <f aca="false">IF(CA377=1,0,ROUNDUP(AQ377/BZ377,0))</f>
        <v>1</v>
      </c>
      <c r="AS377" s="64" t="n">
        <f aca="false">IF(CR377&gt;0,CR377*MAX(1,AQ377/X377),IF(CA377=1,IF(AQ377&lt;=0,0,CE377*MAX(1,IF(H377&gt;0,AQ377/H377,1))),IF(R377&gt;0,AR377/R377,0))/MAX(0.1,N(Parameter!$M$21)))</f>
        <v>0.00961538461538462</v>
      </c>
      <c r="AT377" s="62" t="n">
        <f aca="false">AS377*CC377</f>
        <v>1.49038461538462</v>
      </c>
      <c r="AU377" s="63" t="n">
        <f aca="false">IF(LEFT(Cockpit!$I$5,1)="A",H377,IF(CI377=1,(CL377+CJ377)/2,IF(LEFT(Cockpit!$I$5,1)="B",(CL377+AW377)/2,MAX((CL377+AW377)/2,H377))))</f>
        <v>5</v>
      </c>
      <c r="AV377" s="62" t="n">
        <f aca="false">AU377*G377</f>
        <v>283.1</v>
      </c>
      <c r="AW377" s="62" t="n">
        <f aca="false">ROUNDUP(CL377+MAX(CM377,2*(J377/IF(CH377&gt;0,CH377,MAX(0.1,N(Cockpit!$I$6)))-CL377)),0)</f>
        <v>5</v>
      </c>
      <c r="AX377" s="63" t="n">
        <f aca="false">IF(AT377&gt;0,J377/AT377,-1)</f>
        <v>3.35483870967742</v>
      </c>
      <c r="AY377" s="63" t="n">
        <f aca="false">IF(AND(OR(CG377="L1",CG377="L23",CG377="LIFT"),AT377&gt;0),SUMIFS($AT$7:$AT$1843,$CG$7:$CG$1843,CG377,$AX$7:$AX$1843,"&gt;"&amp;AX377)+SUMIFS($AT$7:$AT$1843,$CG$7:$CG$1843,CG377,$AX$7:$AX$1843,AX377,$BX$7:$BX$1843,"&lt;="&amp;BX377),"")</f>
        <v>5577.69413919414</v>
      </c>
      <c r="AZ377" s="70" t="n">
        <f aca="false">IF(AY377="",0,MAX(0,MIN(1,(IF(CG377="L1",Parameter!$H$5,IF(CG377="L23",Parameter!$H$6+Parameter!$H$7,Parameter!$H$5+Parameter!$H$6+Parameter!$H$7))-(AY377-AT377))/AT377)))</f>
        <v>1</v>
      </c>
      <c r="BA377" s="62" t="n">
        <f aca="false">IF(LEFT(Cockpit!$O$5,1)="A",H377,IF(Parameter!$E$30="MAX-Bestand",IF(CI377=1,CJ377,IF(LEFT(Cockpit!$O$5,1)="B",BG377,MAX(BG377,H377))),ROUNDUP(BE377,0)))</f>
        <v>3</v>
      </c>
      <c r="BB377" s="62" t="n">
        <f aca="false">IF(CA377=1,0,ROUNDUP(BA377/BZ377,0))</f>
        <v>1</v>
      </c>
      <c r="BC377" s="64" t="n">
        <f aca="false">IF(CR377&gt;0,CR377*MAX(1,BA377/X377),IF(CA377=1,IF(BA377&lt;=0,0,CE377*MAX(1,IF(H377&gt;0,BA377/H377,1))),IF(R377&gt;0,BB377/R377,0))/MAX(0.1,N(Parameter!$M$21)))</f>
        <v>0.00961538461538462</v>
      </c>
      <c r="BD377" s="62" t="n">
        <f aca="false">BC377*CC377</f>
        <v>1.49038461538462</v>
      </c>
      <c r="BE377" s="63" t="n">
        <f aca="false">IF(LEFT(Cockpit!$O$5,1)="A",H377,IF(CI377=1,(CL377+CJ377)/2,IF(LEFT(Cockpit!$O$5,1)="B",(CL377+BG377)/2,MAX((CL377+BG377)/2,H377))))</f>
        <v>2.5</v>
      </c>
      <c r="BF377" s="62" t="n">
        <f aca="false">BE377*G377</f>
        <v>141.55</v>
      </c>
      <c r="BG377" s="62" t="n">
        <f aca="false">ROUNDUP(CL377+MAX(CM377,2*(J377/IF(CH377&gt;0,CH377,MAX(0.1,N(Cockpit!$O$6)))-CL377)),0)</f>
        <v>5</v>
      </c>
      <c r="BH377" s="63" t="n">
        <f aca="false">IF(BD377&gt;0,J377/BD377,-1)</f>
        <v>3.35483870967742</v>
      </c>
      <c r="BI377" s="63" t="n">
        <f aca="false">IF(AND(OR(CG377="L1",CG377="L23",CG377="LIFT"),BD377&gt;0),SUMIFS($BD$7:$BD$1843,$CG$7:$CG$1843,CG377,$BH$7:$BH$1843,"&gt;"&amp;BH377)+SUMIFS($BD$7:$BD$1843,$CG$7:$CG$1843,CG377,$BH$7:$BH$1843,BH377,$BX$7:$BX$1843,"&lt;="&amp;BX377),"")</f>
        <v>4572.81593406593</v>
      </c>
      <c r="BJ377" s="70" t="n">
        <f aca="false">IF(BI377="",0,MAX(0,MIN(1,(IF(CG377="L1",Parameter!$H$5,IF(CG377="L23",Parameter!$H$6+Parameter!$H$7,Parameter!$H$5+Parameter!$H$6+Parameter!$H$7))-(BI377-BD377))/BD377)))</f>
        <v>1</v>
      </c>
      <c r="BK377" s="60" t="str">
        <f aca="false">IF(AJ377&lt;=0,"",IF(CG377="Aussen","Aussenlager",IF(CG377="-","Nicht im Lift",IF(AP377&gt;=1,"Lift",IF(AP377&lt;=0,"Aussenlager","teilweise")))))</f>
        <v>Lift</v>
      </c>
      <c r="BL377" s="60" t="str">
        <f aca="false">IF(AT377&lt;=0,"",IF(CG377="Aussen","Aussenlager",IF(CG377="-","Nicht im Lift",IF(AZ377&gt;=1,"Lift",IF(AZ377&lt;=0,"Aussenlager","teilweise")))))</f>
        <v>Lift</v>
      </c>
      <c r="BM377" s="60" t="str">
        <f aca="false">IF(BD377&lt;=0,"",IF(CG377="Aussen","Aussenlager",IF(CG377="-","Nicht im Lift",IF(BJ377&gt;=1,"Lift",IF(BJ377&lt;=0,"Aussenlager","teilweise")))))</f>
        <v>Lift</v>
      </c>
      <c r="BN377" s="60" t="str">
        <f aca="false">IF(A377="","",IF(BW377=1,"Neu; ","")&amp;IF(AND(BW377=0,BR377&lt;0),"negativer Bestand (Export "&amp;BR377&amp;"); ","")&amp;IF(J377&lt;=0,"Kein Verbrauch; ","")&amp;IF(CR377&gt;0,"Lift "&amp;W377&amp;" lt. Liftbericht (Fach "&amp;X377&amp;" Stk); ",IF(CB377=1,"Gebinde geschätzt ("&amp;T377&amp;"); ",IF(CA377=1,"Lose – Tablare geschätzt; ","")))&amp;IF(H377&gt;AW377,"Überbestand "&amp;ROUND(H377-AW377,0)&amp;" Stk / CHF "&amp;ROUND((H377-AW377)*G377,0)&amp;"; ","")&amp;IF(AND(CI377=1,CJ377&lt;CK377),"MAX &lt; MB+LG; ","")&amp;IF(AND(CQ377&gt;0,CP377*10&gt;CQ377),"zu hoch für Tablar; ","")&amp;IF(AND(BW377=0,OR(CI377=1,AB377&lt;&gt;"",U377&lt;&gt;"",V377&lt;&gt;"",AC377&lt;&gt;"")),"manuell übersteuert; ","")&amp;IF(AND(CA377=0,R377=0),"Gebinde unbekannt / Stellmass fehlt; ","")&amp;IF(AND(CA377=0,N(V377)&lt;=0,N(Q377)&lt;=0),"Menge pro Gebinde fehlt (Ist = 1 Gebinde); ","")&amp;BV377)</f>
        <v/>
      </c>
      <c r="BO377" s="60"/>
      <c r="BP377" s="60"/>
      <c r="BQ377" s="67"/>
      <c r="BR377" s="62" t="n">
        <v>2</v>
      </c>
      <c r="BS377" s="62" t="n">
        <v>3</v>
      </c>
      <c r="BT377" s="61" t="n">
        <v>136.34</v>
      </c>
      <c r="BU377" s="62" t="n">
        <v>5</v>
      </c>
      <c r="BV377" s="60"/>
      <c r="BW377" s="65" t="n">
        <v>0</v>
      </c>
      <c r="BX377" s="65" t="n">
        <v>377</v>
      </c>
      <c r="BY377" s="60" t="str">
        <f aca="false">IF(U377&lt;&gt;"",UPPER(TRIM(U377)),IF(CB377=1,UPPER(VLOOKUP(T377,Parameter!$I$27:$K$29,2,0)),IF(P377="","LOSE",P377)))</f>
        <v>S32</v>
      </c>
      <c r="BZ377" s="62" t="n">
        <f aca="false">IF(BY377="LOSE",1,IF(N(V377)&gt;0,V377,IF(CB377=1,MAX(1,N(VLOOKUP(T377,Parameter!$I$27:$K$29,3,0)),H377,N(N377)),IF(N(Q377)&gt;0,Q377,MAX(1,H377)))))</f>
        <v>9</v>
      </c>
      <c r="CA377" s="65" t="n">
        <f aca="false">IF(BY377="LOSE",1,0)</f>
        <v>0</v>
      </c>
      <c r="CB377" s="65" t="n">
        <f aca="false">IF(AND(U377="",OR(P377="",P377="LOSE"),T377&lt;&gt;"",N(S377)&lt;=0,ISNUMBER(MATCH(T377,Parameter!$I$27:$I$29,0))),1,0)</f>
        <v>0</v>
      </c>
      <c r="CC377" s="65" t="n">
        <f aca="false">IF(CR377&gt;0,INDEX(Parameter!$H$5:$H$7,W377)/INDEX(Parameter!$E$5:$E$7,W377),IF(AND(CA377=0,N(IFERROR(VLOOKUP(BY377,'Gebinde-Kategorie'!$A$5:$N$45,14,0),0))&gt;0),VLOOKUP(BY377,'Gebinde-Kategorie'!$A$5:$N$45,14,0)*10+Parameter!$M$23,Parameter!$M$24))</f>
        <v>155</v>
      </c>
      <c r="CD377" s="60" t="str">
        <f aca="false">IF(AND(Parameter!$B$19="Ja",E377&lt;&gt;"",ISNUMBER(MATCH(E377,Parameter!$I$35:$I$52,0))),VLOOKUP(E377,Parameter!$I$35:$J$52,2,0),IFERROR(VLOOKUP(D377,Parameter!$A$35:$C$64,2,0),"Nein"))</f>
        <v>2+3</v>
      </c>
      <c r="CE377" s="64" t="n">
        <f aca="false">IF(CA377=0,0,IF(N(S377)&gt;0,S377,IFERROR(VLOOKUP(D377,Parameter!$A$35:$C$64,3,0)+0,0)))</f>
        <v>0</v>
      </c>
      <c r="CF377" s="60" t="n">
        <f aca="false">IF(AB377&lt;&gt;"",AB377,AA377)</f>
        <v>2</v>
      </c>
      <c r="CG377" s="60" t="str">
        <f aca="false">IF(OR(CF377=1,CF377=2,CF377=3),IF(Parameter!$E$27="Ja","LIFT",IF(CF377=1,"L1","L23")),IF(CF377="Aussen","Aussen","-"))</f>
        <v>LIFT</v>
      </c>
      <c r="CH377" s="71" t="n">
        <f aca="false">IF(N(AC377)&gt;0,AC377,0)</f>
        <v>0</v>
      </c>
      <c r="CI377" s="65" t="n">
        <f aca="false">IF(ISNUMBER(AF377),1,0)</f>
        <v>0</v>
      </c>
      <c r="CJ377" s="62" t="n">
        <f aca="false">N(AF377)</f>
        <v>0</v>
      </c>
      <c r="CK377" s="62" t="n">
        <f aca="false">N(M377)+N(N377)</f>
        <v>5</v>
      </c>
      <c r="CL377" s="62" t="n">
        <f aca="false">N(M377)</f>
        <v>0</v>
      </c>
      <c r="CM377" s="62" t="n">
        <f aca="false">N(N377)</f>
        <v>5</v>
      </c>
      <c r="CN377" s="62" t="n">
        <f aca="false">ROUNDUP(H377/BZ377,0)</f>
        <v>1</v>
      </c>
      <c r="CO377" s="62" t="n">
        <f aca="false">ROUNDUP(CJ377/BZ377,0)</f>
        <v>0</v>
      </c>
      <c r="CP377" s="65" t="n">
        <f aca="false">IF(CA377=1,0,IFERROR(VLOOKUP(BY377,'Gebinde-Kategorie'!$A$5:$N$45,5,0)+0,0))</f>
        <v>8</v>
      </c>
      <c r="CQ377" s="65" t="n">
        <f aca="false">IFERROR(IF(OR(CF377=1,CF377=2,CF377=3),N(INDEX(Parameter!$I$5:$I$7,CF377)),0),0)</f>
        <v>0</v>
      </c>
      <c r="CR377" s="64" t="n">
        <f aca="false">IF(AND(Parameter!$B$21="Ja",ISNUMBER(W377),N(X377)&gt;0),IFERROR(N(INDEX(Parameter!$L$5:$L$7,W377))*INDEX(Parameter!$E$5:$E$7,W377)*X377/SUMIFS($X$7:$X$1843,$W$7:$W$1843,W377),0),0)</f>
        <v>0</v>
      </c>
      <c r="CS377" s="62" t="n">
        <f aca="false">IF(AND(OR(CG377="L1",CG377="L23",CG377="LIFT"),H377&gt;0),CC377*IF(CR377&gt;0,CR377*MAX(1,H377/X377),IF(CA377=1,CE377,IF(R377&gt;0,CN377/R377,0))/MAX(0.1,N(Parameter!$M$21))),"")</f>
        <v>1.49038461538462</v>
      </c>
      <c r="CT377" s="64" t="n">
        <f aca="false">IF(CS377="","",J377/H377)</f>
        <v>1</v>
      </c>
      <c r="CU377" s="62" t="n">
        <f aca="false">IF(CS377="","",H377*G377)</f>
        <v>283.1</v>
      </c>
      <c r="CV377" s="63" t="n">
        <f aca="false">IF(CS377="","",(CL377+ROUNDUP(CL377+MAX(CM377,2*(J377/MAX(0.1,N(Einkauf!$C$6))-CL377)),0))/2)</f>
        <v>2.5</v>
      </c>
      <c r="CW377" s="62" t="n">
        <f aca="false">IF(CS377="","",MAX(0,H377-CV377)*G377)</f>
        <v>141.55</v>
      </c>
      <c r="CX377" s="62" t="n">
        <f aca="false">IF(CS377="","",CS377*MAX(0,1-CV377/H377))</f>
        <v>0.745192307692308</v>
      </c>
      <c r="CY377" s="64" t="n">
        <f aca="false">IF(CS377="","",PERCENTRANK($CS$7:$CS$1843,CS377)+PERCENTRANK($CU$7:$CU$1843,CU377)+1-PERCENTRANK($CT$7:$CT$1843,CT377))</f>
        <v>0.887</v>
      </c>
      <c r="CZ377" s="72" t="n">
        <f aca="false">IF(CS377="","",CHOOSE(MATCH(Einkauf!$C$5,Parameter!$G$23:$G$27,0),CY377,CS377,CU377,-CT377,CW377)+ROW()/1000000000)</f>
        <v>0.887000377</v>
      </c>
    </row>
    <row r="378" customFormat="false" ht="15" hidden="false" customHeight="false" outlineLevel="0" collapsed="false">
      <c r="A378" s="60" t="s">
        <v>943</v>
      </c>
      <c r="B378" s="60" t="s">
        <v>944</v>
      </c>
      <c r="C378" s="60" t="s">
        <v>206</v>
      </c>
      <c r="D378" s="60" t="s">
        <v>215</v>
      </c>
      <c r="E378" s="60"/>
      <c r="F378" s="60" t="s">
        <v>260</v>
      </c>
      <c r="G378" s="61" t="n">
        <v>136</v>
      </c>
      <c r="H378" s="62" t="n">
        <f aca="false">MAX(0,IF(AND(Parameter!$B$21="Ja",ISNUMBER(Y378)),Y378,IF(Parameter!$B$20="Jahresanfang 2025 + Export",BS378+BR378,BR378)))</f>
        <v>1</v>
      </c>
      <c r="I378" s="62" t="n">
        <f aca="false">H378*G378</f>
        <v>136</v>
      </c>
      <c r="J378" s="62" t="n">
        <f aca="false">BU378*Parameter!$B$18</f>
        <v>0</v>
      </c>
      <c r="K378" s="63" t="n">
        <v>0</v>
      </c>
      <c r="L378" s="64" t="n">
        <v>0</v>
      </c>
      <c r="M378" s="62" t="n">
        <v>0</v>
      </c>
      <c r="N378" s="62" t="n">
        <v>1</v>
      </c>
      <c r="O378" s="65" t="n">
        <v>28</v>
      </c>
      <c r="P378" s="60" t="s">
        <v>210</v>
      </c>
      <c r="Q378" s="62"/>
      <c r="R378" s="65" t="n">
        <f aca="false">IF(CA378=1,0,IFERROR(VLOOKUP(BY378,'Gebinde-Kategorie'!$A$5:$N$45,13,0)+0,0))</f>
        <v>12</v>
      </c>
      <c r="S378" s="66"/>
      <c r="T378" s="67" t="s">
        <v>221</v>
      </c>
      <c r="U378" s="67"/>
      <c r="V378" s="67"/>
      <c r="W378" s="60"/>
      <c r="X378" s="62"/>
      <c r="Y378" s="62"/>
      <c r="Z378" s="60" t="n">
        <v>3</v>
      </c>
      <c r="AA378" s="60" t="n">
        <f aca="false">IF(A378="","",IF(AND(Parameter!$B$21="Ja",ISNUMBER(W378)),W378,IF(AND(Parameter!$E$27="Ja",ISNUMBER(Z378),CD378&lt;&gt;"Nein"),Z378,IF(CD378="2+3",IF(ISNUMBER(SEARCH("grosser Artikel",BV378)),2,IFERROR(VLOOKUP(BY378,Parameter!$F$35:$G$64,2,0),2)),IF(OR(CD378="Nein",CD378=""),"-",CD378)))))</f>
        <v>3</v>
      </c>
      <c r="AB378" s="67"/>
      <c r="AC378" s="68"/>
      <c r="AD378" s="62" t="n">
        <f aca="false">AW378</f>
        <v>1</v>
      </c>
      <c r="AE378" s="62" t="n">
        <f aca="false">MAX(AW378,H378)</f>
        <v>1</v>
      </c>
      <c r="AF378" s="69"/>
      <c r="AG378" s="62" t="n">
        <f aca="false">IF(LEFT(Cockpit!$C$5,1)="A",H378,IF(Parameter!$E$30="MAX-Bestand",IF(CI378=1,CJ378,IF(LEFT(Cockpit!$C$5,1)="B",AM378,MAX(AM378,H378))),ROUNDUP(AK378,0)))</f>
        <v>1</v>
      </c>
      <c r="AH378" s="62" t="n">
        <f aca="false">IF(CA378=1,0,ROUNDUP(AG378/BZ378,0))</f>
        <v>1</v>
      </c>
      <c r="AI378" s="64" t="n">
        <f aca="false">IF(CR378&gt;0,CR378*MAX(1,AG378/X378),IF(CA378=1,IF(AG378&lt;=0,0,CE378*MAX(1,IF(H378&gt;0,AG378/H378,1))),IF(R378&gt;0,AH378/R378,0))/MAX(0.1,N(Parameter!$M$21)))</f>
        <v>0.0833333333333333</v>
      </c>
      <c r="AJ378" s="62" t="n">
        <f aca="false">AI378*CC378</f>
        <v>12.0833333333333</v>
      </c>
      <c r="AK378" s="63" t="n">
        <f aca="false">IF(LEFT(Cockpit!$C$5,1)="A",H378,IF(CI378=1,(CL378+CJ378)/2,IF(LEFT(Cockpit!$C$5,1)="B",(CL378+AM378)/2,MAX((CL378+AM378)/2,H378))))</f>
        <v>1</v>
      </c>
      <c r="AL378" s="62" t="n">
        <f aca="false">AK378*G378</f>
        <v>136</v>
      </c>
      <c r="AM378" s="62" t="n">
        <f aca="false">ROUNDUP(CL378+MAX(CM378,2*(J378/IF(CH378&gt;0,CH378,MAX(0.1,N(Cockpit!$C$6)))-CL378)),0)</f>
        <v>1</v>
      </c>
      <c r="AN378" s="63" t="n">
        <f aca="false">IF(AJ378&gt;0,J378/AJ378,-1)</f>
        <v>0</v>
      </c>
      <c r="AO378" s="63" t="n">
        <f aca="false">IF(AND(OR(CG378="L1",CG378="L23",CG378="LIFT"),AJ378&gt;0),SUMIFS($AJ$7:$AJ$1843,$CG$7:$CG$1843,CG378,$AN$7:$AN$1843,"&gt;"&amp;AN378)+SUMIFS($AJ$7:$AJ$1843,$CG$7:$CG$1843,CG378,$AN$7:$AN$1843,AN378,$BX$7:$BX$1843,"&lt;="&amp;BX378),"")</f>
        <v>28050.1416516628</v>
      </c>
      <c r="AP378" s="70" t="n">
        <f aca="false">IF(AO378="",0,MAX(0,MIN(1,(IF(CG378="L1",Parameter!$H$5,IF(CG378="L23",Parameter!$H$6+Parameter!$H$7,Parameter!$H$5+Parameter!$H$6+Parameter!$H$7))-(AO378-AJ378))/AJ378)))</f>
        <v>1</v>
      </c>
      <c r="AQ378" s="62" t="n">
        <f aca="false">IF(LEFT(Cockpit!$I$5,1)="A",H378,IF(Parameter!$E$30="MAX-Bestand",IF(CI378=1,CJ378,IF(LEFT(Cockpit!$I$5,1)="B",AW378,MAX(AW378,H378))),ROUNDUP(AU378,0)))</f>
        <v>1</v>
      </c>
      <c r="AR378" s="62" t="n">
        <f aca="false">IF(CA378=1,0,ROUNDUP(AQ378/BZ378,0))</f>
        <v>1</v>
      </c>
      <c r="AS378" s="64" t="n">
        <f aca="false">IF(CR378&gt;0,CR378*MAX(1,AQ378/X378),IF(CA378=1,IF(AQ378&lt;=0,0,CE378*MAX(1,IF(H378&gt;0,AQ378/H378,1))),IF(R378&gt;0,AR378/R378,0))/MAX(0.1,N(Parameter!$M$21)))</f>
        <v>0.0833333333333333</v>
      </c>
      <c r="AT378" s="62" t="n">
        <f aca="false">AS378*CC378</f>
        <v>12.0833333333333</v>
      </c>
      <c r="AU378" s="63" t="n">
        <f aca="false">IF(LEFT(Cockpit!$I$5,1)="A",H378,IF(CI378=1,(CL378+CJ378)/2,IF(LEFT(Cockpit!$I$5,1)="B",(CL378+AW378)/2,MAX((CL378+AW378)/2,H378))))</f>
        <v>1</v>
      </c>
      <c r="AV378" s="62" t="n">
        <f aca="false">AU378*G378</f>
        <v>136</v>
      </c>
      <c r="AW378" s="62" t="n">
        <f aca="false">ROUNDUP(CL378+MAX(CM378,2*(J378/IF(CH378&gt;0,CH378,MAX(0.1,N(Cockpit!$I$6)))-CL378)),0)</f>
        <v>1</v>
      </c>
      <c r="AX378" s="63" t="n">
        <f aca="false">IF(AT378&gt;0,J378/AT378,-1)</f>
        <v>0</v>
      </c>
      <c r="AY378" s="63" t="n">
        <f aca="false">IF(AND(OR(CG378="L1",CG378="L23",CG378="LIFT"),AT378&gt;0),SUMIFS($AT$7:$AT$1843,$CG$7:$CG$1843,CG378,$AX$7:$AX$1843,"&gt;"&amp;AX378)+SUMIFS($AT$7:$AT$1843,$CG$7:$CG$1843,CG378,$AX$7:$AX$1843,AX378,$BX$7:$BX$1843,"&lt;="&amp;BX378),"")</f>
        <v>33403.2902930403</v>
      </c>
      <c r="AZ378" s="70" t="n">
        <f aca="false">IF(AY378="",0,MAX(0,MIN(1,(IF(CG378="L1",Parameter!$H$5,IF(CG378="L23",Parameter!$H$6+Parameter!$H$7,Parameter!$H$5+Parameter!$H$6+Parameter!$H$7))-(AY378-AT378))/AT378)))</f>
        <v>1</v>
      </c>
      <c r="BA378" s="62" t="n">
        <f aca="false">IF(LEFT(Cockpit!$O$5,1)="A",H378,IF(Parameter!$E$30="MAX-Bestand",IF(CI378=1,CJ378,IF(LEFT(Cockpit!$O$5,1)="B",BG378,MAX(BG378,H378))),ROUNDUP(BE378,0)))</f>
        <v>1</v>
      </c>
      <c r="BB378" s="62" t="n">
        <f aca="false">IF(CA378=1,0,ROUNDUP(BA378/BZ378,0))</f>
        <v>1</v>
      </c>
      <c r="BC378" s="64" t="n">
        <f aca="false">IF(CR378&gt;0,CR378*MAX(1,BA378/X378),IF(CA378=1,IF(BA378&lt;=0,0,CE378*MAX(1,IF(H378&gt;0,BA378/H378,1))),IF(R378&gt;0,BB378/R378,0))/MAX(0.1,N(Parameter!$M$21)))</f>
        <v>0.0833333333333333</v>
      </c>
      <c r="BD378" s="62" t="n">
        <f aca="false">BC378*CC378</f>
        <v>12.0833333333333</v>
      </c>
      <c r="BE378" s="63" t="n">
        <f aca="false">IF(LEFT(Cockpit!$O$5,1)="A",H378,IF(CI378=1,(CL378+CJ378)/2,IF(LEFT(Cockpit!$O$5,1)="B",(CL378+BG378)/2,MAX((CL378+BG378)/2,H378))))</f>
        <v>0.5</v>
      </c>
      <c r="BF378" s="62" t="n">
        <f aca="false">BE378*G378</f>
        <v>68</v>
      </c>
      <c r="BG378" s="62" t="n">
        <f aca="false">ROUNDUP(CL378+MAX(CM378,2*(J378/IF(CH378&gt;0,CH378,MAX(0.1,N(Cockpit!$O$6)))-CL378)),0)</f>
        <v>1</v>
      </c>
      <c r="BH378" s="63" t="n">
        <f aca="false">IF(BD378&gt;0,J378/BD378,-1)</f>
        <v>0</v>
      </c>
      <c r="BI378" s="63" t="n">
        <f aca="false">IF(AND(OR(CG378="L1",CG378="L23",CG378="LIFT"),BD378&gt;0),SUMIFS($BD$7:$BD$1843,$CG$7:$CG$1843,CG378,$BH$7:$BH$1843,"&gt;"&amp;BH378)+SUMIFS($BD$7:$BD$1843,$CG$7:$CG$1843,CG378,$BH$7:$BH$1843,BH378,$BX$7:$BX$1843,"&lt;="&amp;BX378),"")</f>
        <v>27516.8272645434</v>
      </c>
      <c r="BJ378" s="70" t="n">
        <f aca="false">IF(BI378="",0,MAX(0,MIN(1,(IF(CG378="L1",Parameter!$H$5,IF(CG378="L23",Parameter!$H$6+Parameter!$H$7,Parameter!$H$5+Parameter!$H$6+Parameter!$H$7))-(BI378-BD378))/BD378)))</f>
        <v>1</v>
      </c>
      <c r="BK378" s="60" t="str">
        <f aca="false">IF(AJ378&lt;=0,"",IF(CG378="Aussen","Aussenlager",IF(CG378="-","Nicht im Lift",IF(AP378&gt;=1,"Lift",IF(AP378&lt;=0,"Aussenlager","teilweise")))))</f>
        <v>Lift</v>
      </c>
      <c r="BL378" s="60" t="str">
        <f aca="false">IF(AT378&lt;=0,"",IF(CG378="Aussen","Aussenlager",IF(CG378="-","Nicht im Lift",IF(AZ378&gt;=1,"Lift",IF(AZ378&lt;=0,"Aussenlager","teilweise")))))</f>
        <v>Lift</v>
      </c>
      <c r="BM378" s="60" t="str">
        <f aca="false">IF(BD378&lt;=0,"",IF(CG378="Aussen","Aussenlager",IF(CG378="-","Nicht im Lift",IF(BJ378&gt;=1,"Lift",IF(BJ378&lt;=0,"Aussenlager","teilweise")))))</f>
        <v>Lift</v>
      </c>
      <c r="BN378" s="60" t="str">
        <f aca="false">IF(A378="","",IF(BW378=1,"Neu; ","")&amp;IF(AND(BW378=0,BR378&lt;0),"negativer Bestand (Export "&amp;BR378&amp;"); ","")&amp;IF(J378&lt;=0,"Kein Verbrauch; ","")&amp;IF(CR378&gt;0,"Lift "&amp;W378&amp;" lt. Liftbericht (Fach "&amp;X378&amp;" Stk); ",IF(CB378=1,"Gebinde geschätzt ("&amp;T378&amp;"); ",IF(CA378=1,"Lose – Tablare geschätzt; ","")))&amp;IF(H378&gt;AW378,"Überbestand "&amp;ROUND(H378-AW378,0)&amp;" Stk / CHF "&amp;ROUND((H378-AW378)*G378,0)&amp;"; ","")&amp;IF(AND(CI378=1,CJ378&lt;CK378),"MAX &lt; MB+LG; ","")&amp;IF(AND(CQ378&gt;0,CP378*10&gt;CQ378),"zu hoch für Tablar; ","")&amp;IF(AND(BW378=0,OR(CI378=1,AB378&lt;&gt;"",U378&lt;&gt;"",V378&lt;&gt;"",AC378&lt;&gt;"")),"manuell übersteuert; ","")&amp;IF(AND(CA378=0,R378=0),"Gebinde unbekannt / Stellmass fehlt; ","")&amp;IF(AND(CA378=0,N(V378)&lt;=0,N(Q378)&lt;=0),"Menge pro Gebinde fehlt (Ist = 1 Gebinde); ","")&amp;BV378)</f>
        <v>Kein Verbrauch; Gebinde geschätzt (Mittel); Menge pro Gebinde fehlt (Ist = 1 Gebinde); </v>
      </c>
      <c r="BO378" s="60"/>
      <c r="BP378" s="60"/>
      <c r="BQ378" s="67"/>
      <c r="BR378" s="62" t="n">
        <v>1</v>
      </c>
      <c r="BS378" s="62" t="n">
        <v>0</v>
      </c>
      <c r="BT378" s="61" t="n">
        <v>136</v>
      </c>
      <c r="BU378" s="62" t="n">
        <v>0</v>
      </c>
      <c r="BV378" s="60"/>
      <c r="BW378" s="65" t="n">
        <v>0</v>
      </c>
      <c r="BX378" s="65" t="n">
        <v>378</v>
      </c>
      <c r="BY378" s="60" t="str">
        <f aca="false">IF(U378&lt;&gt;"",UPPER(TRIM(U378)),IF(CB378=1,UPPER(VLOOKUP(T378,Parameter!$I$27:$K$29,2,0)),IF(P378="","LOSE",P378)))</f>
        <v>S61</v>
      </c>
      <c r="BZ378" s="62" t="n">
        <f aca="false">IF(BY378="LOSE",1,IF(N(V378)&gt;0,V378,IF(CB378=1,MAX(1,N(VLOOKUP(T378,Parameter!$I$27:$K$29,3,0)),H378,N(N378)),IF(N(Q378)&gt;0,Q378,MAX(1,H378)))))</f>
        <v>4</v>
      </c>
      <c r="CA378" s="65" t="n">
        <f aca="false">IF(BY378="LOSE",1,0)</f>
        <v>0</v>
      </c>
      <c r="CB378" s="65" t="n">
        <f aca="false">IF(AND(U378="",OR(P378="",P378="LOSE"),T378&lt;&gt;"",N(S378)&lt;=0,ISNUMBER(MATCH(T378,Parameter!$I$27:$I$29,0))),1,0)</f>
        <v>1</v>
      </c>
      <c r="CC378" s="65" t="n">
        <f aca="false">IF(CR378&gt;0,INDEX(Parameter!$H$5:$H$7,W378)/INDEX(Parameter!$E$5:$E$7,W378),IF(AND(CA378=0,N(IFERROR(VLOOKUP(BY378,'Gebinde-Kategorie'!$A$5:$N$45,14,0),0))&gt;0),VLOOKUP(BY378,'Gebinde-Kategorie'!$A$5:$N$45,14,0)*10+Parameter!$M$23,Parameter!$M$24))</f>
        <v>145</v>
      </c>
      <c r="CD378" s="60" t="str">
        <f aca="false">IF(AND(Parameter!$B$19="Ja",E378&lt;&gt;"",ISNUMBER(MATCH(E378,Parameter!$I$35:$I$52,0))),VLOOKUP(E378,Parameter!$I$35:$J$52,2,0),IFERROR(VLOOKUP(D378,Parameter!$A$35:$C$64,2,0),"Nein"))</f>
        <v>2+3</v>
      </c>
      <c r="CE378" s="64" t="n">
        <f aca="false">IF(CA378=0,0,IF(N(S378)&gt;0,S378,IFERROR(VLOOKUP(D378,Parameter!$A$35:$C$64,3,0)+0,0)))</f>
        <v>0</v>
      </c>
      <c r="CF378" s="60" t="n">
        <f aca="false">IF(AB378&lt;&gt;"",AB378,AA378)</f>
        <v>3</v>
      </c>
      <c r="CG378" s="60" t="str">
        <f aca="false">IF(OR(CF378=1,CF378=2,CF378=3),IF(Parameter!$E$27="Ja","LIFT",IF(CF378=1,"L1","L23")),IF(CF378="Aussen","Aussen","-"))</f>
        <v>LIFT</v>
      </c>
      <c r="CH378" s="71" t="n">
        <f aca="false">IF(N(AC378)&gt;0,AC378,0)</f>
        <v>0</v>
      </c>
      <c r="CI378" s="65" t="n">
        <f aca="false">IF(ISNUMBER(AF378),1,0)</f>
        <v>0</v>
      </c>
      <c r="CJ378" s="62" t="n">
        <f aca="false">N(AF378)</f>
        <v>0</v>
      </c>
      <c r="CK378" s="62" t="n">
        <f aca="false">N(M378)+N(N378)</f>
        <v>1</v>
      </c>
      <c r="CL378" s="62" t="n">
        <f aca="false">N(M378)</f>
        <v>0</v>
      </c>
      <c r="CM378" s="62" t="n">
        <f aca="false">N(N378)</f>
        <v>1</v>
      </c>
      <c r="CN378" s="62" t="n">
        <f aca="false">ROUNDUP(H378/BZ378,0)</f>
        <v>1</v>
      </c>
      <c r="CO378" s="62" t="n">
        <f aca="false">ROUNDUP(CJ378/BZ378,0)</f>
        <v>0</v>
      </c>
      <c r="CP378" s="65" t="n">
        <f aca="false">IF(CA378=1,0,IFERROR(VLOOKUP(BY378,'Gebinde-Kategorie'!$A$5:$N$45,5,0)+0,0))</f>
        <v>11</v>
      </c>
      <c r="CQ378" s="65" t="n">
        <f aca="false">IFERROR(IF(OR(CF378=1,CF378=2,CF378=3),N(INDEX(Parameter!$I$5:$I$7,CF378)),0),0)</f>
        <v>0</v>
      </c>
      <c r="CR378" s="64" t="n">
        <f aca="false">IF(AND(Parameter!$B$21="Ja",ISNUMBER(W378),N(X378)&gt;0),IFERROR(N(INDEX(Parameter!$L$5:$L$7,W378))*INDEX(Parameter!$E$5:$E$7,W378)*X378/SUMIFS($X$7:$X$1843,$W$7:$W$1843,W378),0),0)</f>
        <v>0</v>
      </c>
      <c r="CS378" s="62" t="n">
        <f aca="false">IF(AND(OR(CG378="L1",CG378="L23",CG378="LIFT"),H378&gt;0),CC378*IF(CR378&gt;0,CR378*MAX(1,H378/X378),IF(CA378=1,CE378,IF(R378&gt;0,CN378/R378,0))/MAX(0.1,N(Parameter!$M$21))),"")</f>
        <v>12.0833333333333</v>
      </c>
      <c r="CT378" s="64" t="n">
        <f aca="false">IF(CS378="","",J378/H378)</f>
        <v>0</v>
      </c>
      <c r="CU378" s="62" t="n">
        <f aca="false">IF(CS378="","",H378*G378)</f>
        <v>136</v>
      </c>
      <c r="CV378" s="63" t="n">
        <f aca="false">IF(CS378="","",(CL378+ROUNDUP(CL378+MAX(CM378,2*(J378/MAX(0.1,N(Einkauf!$C$6))-CL378)),0))/2)</f>
        <v>0.5</v>
      </c>
      <c r="CW378" s="62" t="n">
        <f aca="false">IF(CS378="","",MAX(0,H378-CV378)*G378)</f>
        <v>68</v>
      </c>
      <c r="CX378" s="62" t="n">
        <f aca="false">IF(CS378="","",CS378*MAX(0,1-CV378/H378))</f>
        <v>6.04166666666667</v>
      </c>
      <c r="CY378" s="64" t="n">
        <f aca="false">IF(CS378="","",PERCENTRANK($CS$7:$CS$1843,CS378)+PERCENTRANK($CU$7:$CU$1843,CU378)+1-PERCENTRANK($CT$7:$CT$1843,CT378))</f>
        <v>1.941</v>
      </c>
      <c r="CZ378" s="72" t="n">
        <f aca="false">IF(CS378="","",CHOOSE(MATCH(Einkauf!$C$5,Parameter!$G$23:$G$27,0),CY378,CS378,CU378,-CT378,CW378)+ROW()/1000000000)</f>
        <v>1.941000378</v>
      </c>
    </row>
    <row r="379" customFormat="false" ht="15" hidden="false" customHeight="false" outlineLevel="0" collapsed="false">
      <c r="A379" s="60" t="s">
        <v>945</v>
      </c>
      <c r="B379" s="60" t="s">
        <v>631</v>
      </c>
      <c r="C379" s="60" t="s">
        <v>206</v>
      </c>
      <c r="D379" s="60" t="s">
        <v>226</v>
      </c>
      <c r="E379" s="60" t="s">
        <v>227</v>
      </c>
      <c r="F379" s="60" t="s">
        <v>260</v>
      </c>
      <c r="G379" s="61" t="n">
        <v>21.9</v>
      </c>
      <c r="H379" s="62" t="n">
        <f aca="false">MAX(0,IF(AND(Parameter!$B$21="Ja",ISNUMBER(Y379)),Y379,IF(Parameter!$B$20="Jahresanfang 2025 + Export",BS379+BR379,BR379)))</f>
        <v>34</v>
      </c>
      <c r="I379" s="62" t="n">
        <f aca="false">H379*G379</f>
        <v>744.6</v>
      </c>
      <c r="J379" s="62" t="n">
        <f aca="false">BU379*Parameter!$B$18</f>
        <v>25</v>
      </c>
      <c r="K379" s="63" t="n">
        <v>48</v>
      </c>
      <c r="L379" s="64" t="n">
        <v>0.520833333333333</v>
      </c>
      <c r="M379" s="62" t="n">
        <v>3</v>
      </c>
      <c r="N379" s="62" t="n">
        <v>25</v>
      </c>
      <c r="O379" s="65" t="n">
        <v>56</v>
      </c>
      <c r="P379" s="60" t="s">
        <v>443</v>
      </c>
      <c r="Q379" s="62" t="n">
        <v>65</v>
      </c>
      <c r="R379" s="65" t="n">
        <f aca="false">IF(CA379=1,0,IFERROR(VLOOKUP(BY379,'Gebinde-Kategorie'!$A$5:$N$45,13,0)+0,0))</f>
        <v>280</v>
      </c>
      <c r="S379" s="66"/>
      <c r="T379" s="67"/>
      <c r="U379" s="67"/>
      <c r="V379" s="67"/>
      <c r="W379" s="60"/>
      <c r="X379" s="62"/>
      <c r="Y379" s="62"/>
      <c r="Z379" s="60" t="n">
        <v>1</v>
      </c>
      <c r="AA379" s="60" t="n">
        <f aca="false">IF(A379="","",IF(AND(Parameter!$B$21="Ja",ISNUMBER(W379)),W379,IF(AND(Parameter!$E$27="Ja",ISNUMBER(Z379),CD379&lt;&gt;"Nein"),Z379,IF(CD379="2+3",IF(ISNUMBER(SEARCH("grosser Artikel",BV379)),2,IFERROR(VLOOKUP(BY379,Parameter!$F$35:$G$64,2,0),2)),IF(OR(CD379="Nein",CD379=""),"-",CD379)))))</f>
        <v>1</v>
      </c>
      <c r="AB379" s="67"/>
      <c r="AC379" s="68"/>
      <c r="AD379" s="62" t="n">
        <f aca="false">AW379</f>
        <v>28</v>
      </c>
      <c r="AE379" s="62" t="n">
        <f aca="false">MAX(AW379,H379)</f>
        <v>34</v>
      </c>
      <c r="AF379" s="69"/>
      <c r="AG379" s="62" t="n">
        <f aca="false">IF(LEFT(Cockpit!$C$5,1)="A",H379,IF(Parameter!$E$30="MAX-Bestand",IF(CI379=1,CJ379,IF(LEFT(Cockpit!$C$5,1)="B",AM379,MAX(AM379,H379))),ROUNDUP(AK379,0)))</f>
        <v>34</v>
      </c>
      <c r="AH379" s="62" t="n">
        <f aca="false">IF(CA379=1,0,ROUNDUP(AG379/BZ379,0))</f>
        <v>1</v>
      </c>
      <c r="AI379" s="64" t="n">
        <f aca="false">IF(CR379&gt;0,CR379*MAX(1,AG379/X379),IF(CA379=1,IF(AG379&lt;=0,0,CE379*MAX(1,IF(H379&gt;0,AG379/H379,1))),IF(R379&gt;0,AH379/R379,0))/MAX(0.1,N(Parameter!$M$21)))</f>
        <v>0.00357142857142857</v>
      </c>
      <c r="AJ379" s="62" t="n">
        <f aca="false">AI379*CC379</f>
        <v>0.553571428571429</v>
      </c>
      <c r="AK379" s="63" t="n">
        <f aca="false">IF(LEFT(Cockpit!$C$5,1)="A",H379,IF(CI379=1,(CL379+CJ379)/2,IF(LEFT(Cockpit!$C$5,1)="B",(CL379+AM379)/2,MAX((CL379+AM379)/2,H379))))</f>
        <v>34</v>
      </c>
      <c r="AL379" s="62" t="n">
        <f aca="false">AK379*G379</f>
        <v>744.6</v>
      </c>
      <c r="AM379" s="62" t="n">
        <f aca="false">ROUNDUP(CL379+MAX(CM379,2*(J379/IF(CH379&gt;0,CH379,MAX(0.1,N(Cockpit!$C$6)))-CL379)),0)</f>
        <v>28</v>
      </c>
      <c r="AN379" s="63" t="n">
        <f aca="false">IF(AJ379&gt;0,J379/AJ379,-1)</f>
        <v>45.1612903225806</v>
      </c>
      <c r="AO379" s="63" t="n">
        <f aca="false">IF(AND(OR(CG379="L1",CG379="L23",CG379="LIFT"),AJ379&gt;0),SUMIFS($AJ$7:$AJ$1843,$CG$7:$CG$1843,CG379,$AN$7:$AN$1843,"&gt;"&amp;AN379)+SUMIFS($AJ$7:$AJ$1843,$CG$7:$CG$1843,CG379,$AN$7:$AN$1843,AN379,$BX$7:$BX$1843,"&lt;="&amp;BX379),"")</f>
        <v>1166.61538461538</v>
      </c>
      <c r="AP379" s="70" t="n">
        <f aca="false">IF(AO379="",0,MAX(0,MIN(1,(IF(CG379="L1",Parameter!$H$5,IF(CG379="L23",Parameter!$H$6+Parameter!$H$7,Parameter!$H$5+Parameter!$H$6+Parameter!$H$7))-(AO379-AJ379))/AJ379)))</f>
        <v>1</v>
      </c>
      <c r="AQ379" s="62" t="n">
        <f aca="false">IF(LEFT(Cockpit!$I$5,1)="A",H379,IF(Parameter!$E$30="MAX-Bestand",IF(CI379=1,CJ379,IF(LEFT(Cockpit!$I$5,1)="B",AW379,MAX(AW379,H379))),ROUNDUP(AU379,0)))</f>
        <v>34</v>
      </c>
      <c r="AR379" s="62" t="n">
        <f aca="false">IF(CA379=1,0,ROUNDUP(AQ379/BZ379,0))</f>
        <v>1</v>
      </c>
      <c r="AS379" s="64" t="n">
        <f aca="false">IF(CR379&gt;0,CR379*MAX(1,AQ379/X379),IF(CA379=1,IF(AQ379&lt;=0,0,CE379*MAX(1,IF(H379&gt;0,AQ379/H379,1))),IF(R379&gt;0,AR379/R379,0))/MAX(0.1,N(Parameter!$M$21)))</f>
        <v>0.00357142857142857</v>
      </c>
      <c r="AT379" s="62" t="n">
        <f aca="false">AS379*CC379</f>
        <v>0.553571428571429</v>
      </c>
      <c r="AU379" s="63" t="n">
        <f aca="false">IF(LEFT(Cockpit!$I$5,1)="A",H379,IF(CI379=1,(CL379+CJ379)/2,IF(LEFT(Cockpit!$I$5,1)="B",(CL379+AW379)/2,MAX((CL379+AW379)/2,H379))))</f>
        <v>34</v>
      </c>
      <c r="AV379" s="62" t="n">
        <f aca="false">AU379*G379</f>
        <v>744.6</v>
      </c>
      <c r="AW379" s="62" t="n">
        <f aca="false">ROUNDUP(CL379+MAX(CM379,2*(J379/IF(CH379&gt;0,CH379,MAX(0.1,N(Cockpit!$I$6)))-CL379)),0)</f>
        <v>28</v>
      </c>
      <c r="AX379" s="63" t="n">
        <f aca="false">IF(AT379&gt;0,J379/AT379,-1)</f>
        <v>45.1612903225806</v>
      </c>
      <c r="AY379" s="63" t="n">
        <f aca="false">IF(AND(OR(CG379="L1",CG379="L23",CG379="LIFT"),AT379&gt;0),SUMIFS($AT$7:$AT$1843,$CG$7:$CG$1843,CG379,$AX$7:$AX$1843,"&gt;"&amp;AX379)+SUMIFS($AT$7:$AT$1843,$CG$7:$CG$1843,CG379,$AX$7:$AX$1843,AX379,$BX$7:$BX$1843,"&lt;="&amp;BX379),"")</f>
        <v>1452.82738095238</v>
      </c>
      <c r="AZ379" s="70" t="n">
        <f aca="false">IF(AY379="",0,MAX(0,MIN(1,(IF(CG379="L1",Parameter!$H$5,IF(CG379="L23",Parameter!$H$6+Parameter!$H$7,Parameter!$H$5+Parameter!$H$6+Parameter!$H$7))-(AY379-AT379))/AT379)))</f>
        <v>1</v>
      </c>
      <c r="BA379" s="62" t="n">
        <f aca="false">IF(LEFT(Cockpit!$O$5,1)="A",H379,IF(Parameter!$E$30="MAX-Bestand",IF(CI379=1,CJ379,IF(LEFT(Cockpit!$O$5,1)="B",BG379,MAX(BG379,H379))),ROUNDUP(BE379,0)))</f>
        <v>16</v>
      </c>
      <c r="BB379" s="62" t="n">
        <f aca="false">IF(CA379=1,0,ROUNDUP(BA379/BZ379,0))</f>
        <v>1</v>
      </c>
      <c r="BC379" s="64" t="n">
        <f aca="false">IF(CR379&gt;0,CR379*MAX(1,BA379/X379),IF(CA379=1,IF(BA379&lt;=0,0,CE379*MAX(1,IF(H379&gt;0,BA379/H379,1))),IF(R379&gt;0,BB379/R379,0))/MAX(0.1,N(Parameter!$M$21)))</f>
        <v>0.00357142857142857</v>
      </c>
      <c r="BD379" s="62" t="n">
        <f aca="false">BC379*CC379</f>
        <v>0.553571428571429</v>
      </c>
      <c r="BE379" s="63" t="n">
        <f aca="false">IF(LEFT(Cockpit!$O$5,1)="A",H379,IF(CI379=1,(CL379+CJ379)/2,IF(LEFT(Cockpit!$O$5,1)="B",(CL379+BG379)/2,MAX((CL379+BG379)/2,H379))))</f>
        <v>15.5</v>
      </c>
      <c r="BF379" s="62" t="n">
        <f aca="false">BE379*G379</f>
        <v>339.45</v>
      </c>
      <c r="BG379" s="62" t="n">
        <f aca="false">ROUNDUP(CL379+MAX(CM379,2*(J379/IF(CH379&gt;0,CH379,MAX(0.1,N(Cockpit!$O$6)))-CL379)),0)</f>
        <v>28</v>
      </c>
      <c r="BH379" s="63" t="n">
        <f aca="false">IF(BD379&gt;0,J379/BD379,-1)</f>
        <v>45.1612903225806</v>
      </c>
      <c r="BI379" s="63" t="n">
        <f aca="false">IF(AND(OR(CG379="L1",CG379="L23",CG379="LIFT"),BD379&gt;0),SUMIFS($BD$7:$BD$1843,$CG$7:$CG$1843,CG379,$BH$7:$BH$1843,"&gt;"&amp;BH379)+SUMIFS($BD$7:$BD$1843,$CG$7:$CG$1843,CG379,$BH$7:$BH$1843,BH379,$BX$7:$BX$1843,"&lt;="&amp;BX379),"")</f>
        <v>1228.59752747253</v>
      </c>
      <c r="BJ379" s="70" t="n">
        <f aca="false">IF(BI379="",0,MAX(0,MIN(1,(IF(CG379="L1",Parameter!$H$5,IF(CG379="L23",Parameter!$H$6+Parameter!$H$7,Parameter!$H$5+Parameter!$H$6+Parameter!$H$7))-(BI379-BD379))/BD379)))</f>
        <v>1</v>
      </c>
      <c r="BK379" s="60" t="str">
        <f aca="false">IF(AJ379&lt;=0,"",IF(CG379="Aussen","Aussenlager",IF(CG379="-","Nicht im Lift",IF(AP379&gt;=1,"Lift",IF(AP379&lt;=0,"Aussenlager","teilweise")))))</f>
        <v>Lift</v>
      </c>
      <c r="BL379" s="60" t="str">
        <f aca="false">IF(AT379&lt;=0,"",IF(CG379="Aussen","Aussenlager",IF(CG379="-","Nicht im Lift",IF(AZ379&gt;=1,"Lift",IF(AZ379&lt;=0,"Aussenlager","teilweise")))))</f>
        <v>Lift</v>
      </c>
      <c r="BM379" s="60" t="str">
        <f aca="false">IF(BD379&lt;=0,"",IF(CG379="Aussen","Aussenlager",IF(CG379="-","Nicht im Lift",IF(BJ379&gt;=1,"Lift",IF(BJ379&lt;=0,"Aussenlager","teilweise")))))</f>
        <v>Lift</v>
      </c>
      <c r="BN379" s="60" t="str">
        <f aca="false">IF(A379="","",IF(BW379=1,"Neu; ","")&amp;IF(AND(BW379=0,BR379&lt;0),"negativer Bestand (Export "&amp;BR379&amp;"); ","")&amp;IF(J379&lt;=0,"Kein Verbrauch; ","")&amp;IF(CR379&gt;0,"Lift "&amp;W379&amp;" lt. Liftbericht (Fach "&amp;X379&amp;" Stk); ",IF(CB379=1,"Gebinde geschätzt ("&amp;T379&amp;"); ",IF(CA379=1,"Lose – Tablare geschätzt; ","")))&amp;IF(H379&gt;AW379,"Überbestand "&amp;ROUND(H379-AW379,0)&amp;" Stk / CHF "&amp;ROUND((H379-AW379)*G379,0)&amp;"; ","")&amp;IF(AND(CI379=1,CJ379&lt;CK379),"MAX &lt; MB+LG; ","")&amp;IF(AND(CQ379&gt;0,CP379*10&gt;CQ379),"zu hoch für Tablar; ","")&amp;IF(AND(BW379=0,OR(CI379=1,AB379&lt;&gt;"",U379&lt;&gt;"",V379&lt;&gt;"",AC379&lt;&gt;"")),"manuell übersteuert; ","")&amp;IF(AND(CA379=0,R379=0),"Gebinde unbekannt / Stellmass fehlt; ","")&amp;IF(AND(CA379=0,N(V379)&lt;=0,N(Q379)&lt;=0),"Menge pro Gebinde fehlt (Ist = 1 Gebinde); ","")&amp;BV379)</f>
        <v>Überbestand 6 Stk / CHF 131; </v>
      </c>
      <c r="BO379" s="60"/>
      <c r="BP379" s="60"/>
      <c r="BQ379" s="67"/>
      <c r="BR379" s="62" t="n">
        <v>1</v>
      </c>
      <c r="BS379" s="62" t="n">
        <v>33</v>
      </c>
      <c r="BT379" s="61" t="n">
        <v>135.75</v>
      </c>
      <c r="BU379" s="62" t="n">
        <v>25</v>
      </c>
      <c r="BV379" s="60"/>
      <c r="BW379" s="65" t="n">
        <v>0</v>
      </c>
      <c r="BX379" s="65" t="n">
        <v>379</v>
      </c>
      <c r="BY379" s="60" t="str">
        <f aca="false">IF(U379&lt;&gt;"",UPPER(TRIM(U379)),IF(CB379=1,UPPER(VLOOKUP(T379,Parameter!$I$27:$K$29,2,0)),IF(P379="","LOSE",P379)))</f>
        <v>S21</v>
      </c>
      <c r="BZ379" s="62" t="n">
        <f aca="false">IF(BY379="LOSE",1,IF(N(V379)&gt;0,V379,IF(CB379=1,MAX(1,N(VLOOKUP(T379,Parameter!$I$27:$K$29,3,0)),H379,N(N379)),IF(N(Q379)&gt;0,Q379,MAX(1,H379)))))</f>
        <v>65</v>
      </c>
      <c r="CA379" s="65" t="n">
        <f aca="false">IF(BY379="LOSE",1,0)</f>
        <v>0</v>
      </c>
      <c r="CB379" s="65" t="n">
        <f aca="false">IF(AND(U379="",OR(P379="",P379="LOSE"),T379&lt;&gt;"",N(S379)&lt;=0,ISNUMBER(MATCH(T379,Parameter!$I$27:$I$29,0))),1,0)</f>
        <v>0</v>
      </c>
      <c r="CC379" s="65" t="n">
        <f aca="false">IF(CR379&gt;0,INDEX(Parameter!$H$5:$H$7,W379)/INDEX(Parameter!$E$5:$E$7,W379),IF(AND(CA379=0,N(IFERROR(VLOOKUP(BY379,'Gebinde-Kategorie'!$A$5:$N$45,14,0),0))&gt;0),VLOOKUP(BY379,'Gebinde-Kategorie'!$A$5:$N$45,14,0)*10+Parameter!$M$23,Parameter!$M$24))</f>
        <v>155</v>
      </c>
      <c r="CD379" s="60" t="str">
        <f aca="false">IF(AND(Parameter!$B$19="Ja",E379&lt;&gt;"",ISNUMBER(MATCH(E379,Parameter!$I$35:$I$52,0))),VLOOKUP(E379,Parameter!$I$35:$J$52,2,0),IFERROR(VLOOKUP(D379,Parameter!$A$35:$C$64,2,0),"Nein"))</f>
        <v>2+3</v>
      </c>
      <c r="CE379" s="64" t="n">
        <f aca="false">IF(CA379=0,0,IF(N(S379)&gt;0,S379,IFERROR(VLOOKUP(D379,Parameter!$A$35:$C$64,3,0)+0,0)))</f>
        <v>0</v>
      </c>
      <c r="CF379" s="60" t="n">
        <f aca="false">IF(AB379&lt;&gt;"",AB379,AA379)</f>
        <v>1</v>
      </c>
      <c r="CG379" s="60" t="str">
        <f aca="false">IF(OR(CF379=1,CF379=2,CF379=3),IF(Parameter!$E$27="Ja","LIFT",IF(CF379=1,"L1","L23")),IF(CF379="Aussen","Aussen","-"))</f>
        <v>LIFT</v>
      </c>
      <c r="CH379" s="71" t="n">
        <f aca="false">IF(N(AC379)&gt;0,AC379,0)</f>
        <v>0</v>
      </c>
      <c r="CI379" s="65" t="n">
        <f aca="false">IF(ISNUMBER(AF379),1,0)</f>
        <v>0</v>
      </c>
      <c r="CJ379" s="62" t="n">
        <f aca="false">N(AF379)</f>
        <v>0</v>
      </c>
      <c r="CK379" s="62" t="n">
        <f aca="false">N(M379)+N(N379)</f>
        <v>28</v>
      </c>
      <c r="CL379" s="62" t="n">
        <f aca="false">N(M379)</f>
        <v>3</v>
      </c>
      <c r="CM379" s="62" t="n">
        <f aca="false">N(N379)</f>
        <v>25</v>
      </c>
      <c r="CN379" s="62" t="n">
        <f aca="false">ROUNDUP(H379/BZ379,0)</f>
        <v>1</v>
      </c>
      <c r="CO379" s="62" t="n">
        <f aca="false">ROUNDUP(CJ379/BZ379,0)</f>
        <v>0</v>
      </c>
      <c r="CP379" s="65" t="n">
        <f aca="false">IF(CA379=1,0,IFERROR(VLOOKUP(BY379,'Gebinde-Kategorie'!$A$5:$N$45,5,0)+0,0))</f>
        <v>8</v>
      </c>
      <c r="CQ379" s="65" t="n">
        <f aca="false">IFERROR(IF(OR(CF379=1,CF379=2,CF379=3),N(INDEX(Parameter!$I$5:$I$7,CF379)),0),0)</f>
        <v>0</v>
      </c>
      <c r="CR379" s="64" t="n">
        <f aca="false">IF(AND(Parameter!$B$21="Ja",ISNUMBER(W379),N(X379)&gt;0),IFERROR(N(INDEX(Parameter!$L$5:$L$7,W379))*INDEX(Parameter!$E$5:$E$7,W379)*X379/SUMIFS($X$7:$X$1843,$W$7:$W$1843,W379),0),0)</f>
        <v>0</v>
      </c>
      <c r="CS379" s="62" t="n">
        <f aca="false">IF(AND(OR(CG379="L1",CG379="L23",CG379="LIFT"),H379&gt;0),CC379*IF(CR379&gt;0,CR379*MAX(1,H379/X379),IF(CA379=1,CE379,IF(R379&gt;0,CN379/R379,0))/MAX(0.1,N(Parameter!$M$21))),"")</f>
        <v>0.553571428571429</v>
      </c>
      <c r="CT379" s="64" t="n">
        <f aca="false">IF(CS379="","",J379/H379)</f>
        <v>0.735294117647059</v>
      </c>
      <c r="CU379" s="62" t="n">
        <f aca="false">IF(CS379="","",H379*G379)</f>
        <v>744.6</v>
      </c>
      <c r="CV379" s="63" t="n">
        <f aca="false">IF(CS379="","",(CL379+ROUNDUP(CL379+MAX(CM379,2*(J379/MAX(0.1,N(Einkauf!$C$6))-CL379)),0))/2)</f>
        <v>15.5</v>
      </c>
      <c r="CW379" s="62" t="n">
        <f aca="false">IF(CS379="","",MAX(0,H379-CV379)*G379)</f>
        <v>405.15</v>
      </c>
      <c r="CX379" s="62" t="n">
        <f aca="false">IF(CS379="","",CS379*MAX(0,1-CV379/H379))</f>
        <v>0.301207983193277</v>
      </c>
      <c r="CY379" s="64" t="n">
        <f aca="false">IF(CS379="","",PERCENTRANK($CS$7:$CS$1843,CS379)+PERCENTRANK($CU$7:$CU$1843,CU379)+1-PERCENTRANK($CT$7:$CT$1843,CT379))</f>
        <v>0.996</v>
      </c>
      <c r="CZ379" s="72" t="n">
        <f aca="false">IF(CS379="","",CHOOSE(MATCH(Einkauf!$C$5,Parameter!$G$23:$G$27,0),CY379,CS379,CU379,-CT379,CW379)+ROW()/1000000000)</f>
        <v>0.996000379</v>
      </c>
    </row>
    <row r="380" customFormat="false" ht="15" hidden="false" customHeight="false" outlineLevel="0" collapsed="false">
      <c r="A380" s="60" t="s">
        <v>946</v>
      </c>
      <c r="B380" s="60" t="s">
        <v>947</v>
      </c>
      <c r="C380" s="60" t="s">
        <v>206</v>
      </c>
      <c r="D380" s="60" t="s">
        <v>226</v>
      </c>
      <c r="E380" s="60"/>
      <c r="F380" s="60" t="s">
        <v>260</v>
      </c>
      <c r="G380" s="61" t="n">
        <v>5.43</v>
      </c>
      <c r="H380" s="62" t="n">
        <f aca="false">MAX(0,IF(AND(Parameter!$B$21="Ja",ISNUMBER(Y380)),Y380,IF(Parameter!$B$20="Jahresanfang 2025 + Export",BS380+BR380,BR380)))</f>
        <v>25</v>
      </c>
      <c r="I380" s="62" t="n">
        <f aca="false">H380*G380</f>
        <v>135.75</v>
      </c>
      <c r="J380" s="62" t="n">
        <f aca="false">BU380*Parameter!$B$18</f>
        <v>0</v>
      </c>
      <c r="K380" s="63" t="n">
        <v>0</v>
      </c>
      <c r="L380" s="64" t="n">
        <v>0</v>
      </c>
      <c r="M380" s="62" t="n">
        <v>0</v>
      </c>
      <c r="N380" s="62" t="n">
        <v>1</v>
      </c>
      <c r="O380" s="65" t="n">
        <v>9999</v>
      </c>
      <c r="P380" s="60" t="s">
        <v>210</v>
      </c>
      <c r="Q380" s="62"/>
      <c r="R380" s="65" t="n">
        <f aca="false">IF(CA380=1,0,IFERROR(VLOOKUP(BY380,'Gebinde-Kategorie'!$A$5:$N$45,13,0)+0,0))</f>
        <v>12</v>
      </c>
      <c r="S380" s="66"/>
      <c r="T380" s="67" t="s">
        <v>221</v>
      </c>
      <c r="U380" s="67"/>
      <c r="V380" s="67"/>
      <c r="W380" s="60"/>
      <c r="X380" s="62"/>
      <c r="Y380" s="62"/>
      <c r="Z380" s="60" t="n">
        <v>3</v>
      </c>
      <c r="AA380" s="60" t="n">
        <f aca="false">IF(A380="","",IF(AND(Parameter!$B$21="Ja",ISNUMBER(W380)),W380,IF(AND(Parameter!$E$27="Ja",ISNUMBER(Z380),CD380&lt;&gt;"Nein"),Z380,IF(CD380="2+3",IF(ISNUMBER(SEARCH("grosser Artikel",BV380)),2,IFERROR(VLOOKUP(BY380,Parameter!$F$35:$G$64,2,0),2)),IF(OR(CD380="Nein",CD380=""),"-",CD380)))))</f>
        <v>3</v>
      </c>
      <c r="AB380" s="67"/>
      <c r="AC380" s="68"/>
      <c r="AD380" s="62" t="n">
        <f aca="false">AW380</f>
        <v>1</v>
      </c>
      <c r="AE380" s="62" t="n">
        <f aca="false">MAX(AW380,H380)</f>
        <v>25</v>
      </c>
      <c r="AF380" s="69"/>
      <c r="AG380" s="62" t="n">
        <f aca="false">IF(LEFT(Cockpit!$C$5,1)="A",H380,IF(Parameter!$E$30="MAX-Bestand",IF(CI380=1,CJ380,IF(LEFT(Cockpit!$C$5,1)="B",AM380,MAX(AM380,H380))),ROUNDUP(AK380,0)))</f>
        <v>25</v>
      </c>
      <c r="AH380" s="62" t="n">
        <f aca="false">IF(CA380=1,0,ROUNDUP(AG380/BZ380,0))</f>
        <v>1</v>
      </c>
      <c r="AI380" s="64" t="n">
        <f aca="false">IF(CR380&gt;0,CR380*MAX(1,AG380/X380),IF(CA380=1,IF(AG380&lt;=0,0,CE380*MAX(1,IF(H380&gt;0,AG380/H380,1))),IF(R380&gt;0,AH380/R380,0))/MAX(0.1,N(Parameter!$M$21)))</f>
        <v>0.0833333333333333</v>
      </c>
      <c r="AJ380" s="62" t="n">
        <f aca="false">AI380*CC380</f>
        <v>12.0833333333333</v>
      </c>
      <c r="AK380" s="63" t="n">
        <f aca="false">IF(LEFT(Cockpit!$C$5,1)="A",H380,IF(CI380=1,(CL380+CJ380)/2,IF(LEFT(Cockpit!$C$5,1)="B",(CL380+AM380)/2,MAX((CL380+AM380)/2,H380))))</f>
        <v>25</v>
      </c>
      <c r="AL380" s="62" t="n">
        <f aca="false">AK380*G380</f>
        <v>135.75</v>
      </c>
      <c r="AM380" s="62" t="n">
        <f aca="false">ROUNDUP(CL380+MAX(CM380,2*(J380/IF(CH380&gt;0,CH380,MAX(0.1,N(Cockpit!$C$6)))-CL380)),0)</f>
        <v>1</v>
      </c>
      <c r="AN380" s="63" t="n">
        <f aca="false">IF(AJ380&gt;0,J380/AJ380,-1)</f>
        <v>0</v>
      </c>
      <c r="AO380" s="63" t="n">
        <f aca="false">IF(AND(OR(CG380="L1",CG380="L23",CG380="LIFT"),AJ380&gt;0),SUMIFS($AJ$7:$AJ$1843,$CG$7:$CG$1843,CG380,$AN$7:$AN$1843,"&gt;"&amp;AN380)+SUMIFS($AJ$7:$AJ$1843,$CG$7:$CG$1843,CG380,$AN$7:$AN$1843,AN380,$BX$7:$BX$1843,"&lt;="&amp;BX380),"")</f>
        <v>28062.2249849962</v>
      </c>
      <c r="AP380" s="70" t="n">
        <f aca="false">IF(AO380="",0,MAX(0,MIN(1,(IF(CG380="L1",Parameter!$H$5,IF(CG380="L23",Parameter!$H$6+Parameter!$H$7,Parameter!$H$5+Parameter!$H$6+Parameter!$H$7))-(AO380-AJ380))/AJ380)))</f>
        <v>1</v>
      </c>
      <c r="AQ380" s="62" t="n">
        <f aca="false">IF(LEFT(Cockpit!$I$5,1)="A",H380,IF(Parameter!$E$30="MAX-Bestand",IF(CI380=1,CJ380,IF(LEFT(Cockpit!$I$5,1)="B",AW380,MAX(AW380,H380))),ROUNDUP(AU380,0)))</f>
        <v>25</v>
      </c>
      <c r="AR380" s="62" t="n">
        <f aca="false">IF(CA380=1,0,ROUNDUP(AQ380/BZ380,0))</f>
        <v>1</v>
      </c>
      <c r="AS380" s="64" t="n">
        <f aca="false">IF(CR380&gt;0,CR380*MAX(1,AQ380/X380),IF(CA380=1,IF(AQ380&lt;=0,0,CE380*MAX(1,IF(H380&gt;0,AQ380/H380,1))),IF(R380&gt;0,AR380/R380,0))/MAX(0.1,N(Parameter!$M$21)))</f>
        <v>0.0833333333333333</v>
      </c>
      <c r="AT380" s="62" t="n">
        <f aca="false">AS380*CC380</f>
        <v>12.0833333333333</v>
      </c>
      <c r="AU380" s="63" t="n">
        <f aca="false">IF(LEFT(Cockpit!$I$5,1)="A",H380,IF(CI380=1,(CL380+CJ380)/2,IF(LEFT(Cockpit!$I$5,1)="B",(CL380+AW380)/2,MAX((CL380+AW380)/2,H380))))</f>
        <v>25</v>
      </c>
      <c r="AV380" s="62" t="n">
        <f aca="false">AU380*G380</f>
        <v>135.75</v>
      </c>
      <c r="AW380" s="62" t="n">
        <f aca="false">ROUNDUP(CL380+MAX(CM380,2*(J380/IF(CH380&gt;0,CH380,MAX(0.1,N(Cockpit!$I$6)))-CL380)),0)</f>
        <v>1</v>
      </c>
      <c r="AX380" s="63" t="n">
        <f aca="false">IF(AT380&gt;0,J380/AT380,-1)</f>
        <v>0</v>
      </c>
      <c r="AY380" s="63" t="n">
        <f aca="false">IF(AND(OR(CG380="L1",CG380="L23",CG380="LIFT"),AT380&gt;0),SUMIFS($AT$7:$AT$1843,$CG$7:$CG$1843,CG380,$AX$7:$AX$1843,"&gt;"&amp;AX380)+SUMIFS($AT$7:$AT$1843,$CG$7:$CG$1843,CG380,$AX$7:$AX$1843,AX380,$BX$7:$BX$1843,"&lt;="&amp;BX380),"")</f>
        <v>33415.3736263736</v>
      </c>
      <c r="AZ380" s="70" t="n">
        <f aca="false">IF(AY380="",0,MAX(0,MIN(1,(IF(CG380="L1",Parameter!$H$5,IF(CG380="L23",Parameter!$H$6+Parameter!$H$7,Parameter!$H$5+Parameter!$H$6+Parameter!$H$7))-(AY380-AT380))/AT380)))</f>
        <v>1</v>
      </c>
      <c r="BA380" s="62" t="n">
        <f aca="false">IF(LEFT(Cockpit!$O$5,1)="A",H380,IF(Parameter!$E$30="MAX-Bestand",IF(CI380=1,CJ380,IF(LEFT(Cockpit!$O$5,1)="B",BG380,MAX(BG380,H380))),ROUNDUP(BE380,0)))</f>
        <v>1</v>
      </c>
      <c r="BB380" s="62" t="n">
        <f aca="false">IF(CA380=1,0,ROUNDUP(BA380/BZ380,0))</f>
        <v>1</v>
      </c>
      <c r="BC380" s="64" t="n">
        <f aca="false">IF(CR380&gt;0,CR380*MAX(1,BA380/X380),IF(CA380=1,IF(BA380&lt;=0,0,CE380*MAX(1,IF(H380&gt;0,BA380/H380,1))),IF(R380&gt;0,BB380/R380,0))/MAX(0.1,N(Parameter!$M$21)))</f>
        <v>0.0833333333333333</v>
      </c>
      <c r="BD380" s="62" t="n">
        <f aca="false">BC380*CC380</f>
        <v>12.0833333333333</v>
      </c>
      <c r="BE380" s="63" t="n">
        <f aca="false">IF(LEFT(Cockpit!$O$5,1)="A",H380,IF(CI380=1,(CL380+CJ380)/2,IF(LEFT(Cockpit!$O$5,1)="B",(CL380+BG380)/2,MAX((CL380+BG380)/2,H380))))</f>
        <v>0.5</v>
      </c>
      <c r="BF380" s="62" t="n">
        <f aca="false">BE380*G380</f>
        <v>2.715</v>
      </c>
      <c r="BG380" s="62" t="n">
        <f aca="false">ROUNDUP(CL380+MAX(CM380,2*(J380/IF(CH380&gt;0,CH380,MAX(0.1,N(Cockpit!$O$6)))-CL380)),0)</f>
        <v>1</v>
      </c>
      <c r="BH380" s="63" t="n">
        <f aca="false">IF(BD380&gt;0,J380/BD380,-1)</f>
        <v>0</v>
      </c>
      <c r="BI380" s="63" t="n">
        <f aca="false">IF(AND(OR(CG380="L1",CG380="L23",CG380="LIFT"),BD380&gt;0),SUMIFS($BD$7:$BD$1843,$CG$7:$CG$1843,CG380,$BH$7:$BH$1843,"&gt;"&amp;BH380)+SUMIFS($BD$7:$BD$1843,$CG$7:$CG$1843,CG380,$BH$7:$BH$1843,BH380,$BX$7:$BX$1843,"&lt;="&amp;BX380),"")</f>
        <v>27528.9105978767</v>
      </c>
      <c r="BJ380" s="70" t="n">
        <f aca="false">IF(BI380="",0,MAX(0,MIN(1,(IF(CG380="L1",Parameter!$H$5,IF(CG380="L23",Parameter!$H$6+Parameter!$H$7,Parameter!$H$5+Parameter!$H$6+Parameter!$H$7))-(BI380-BD380))/BD380)))</f>
        <v>1</v>
      </c>
      <c r="BK380" s="60" t="str">
        <f aca="false">IF(AJ380&lt;=0,"",IF(CG380="Aussen","Aussenlager",IF(CG380="-","Nicht im Lift",IF(AP380&gt;=1,"Lift",IF(AP380&lt;=0,"Aussenlager","teilweise")))))</f>
        <v>Lift</v>
      </c>
      <c r="BL380" s="60" t="str">
        <f aca="false">IF(AT380&lt;=0,"",IF(CG380="Aussen","Aussenlager",IF(CG380="-","Nicht im Lift",IF(AZ380&gt;=1,"Lift",IF(AZ380&lt;=0,"Aussenlager","teilweise")))))</f>
        <v>Lift</v>
      </c>
      <c r="BM380" s="60" t="str">
        <f aca="false">IF(BD380&lt;=0,"",IF(CG380="Aussen","Aussenlager",IF(CG380="-","Nicht im Lift",IF(BJ380&gt;=1,"Lift",IF(BJ380&lt;=0,"Aussenlager","teilweise")))))</f>
        <v>Lift</v>
      </c>
      <c r="BN380" s="60" t="str">
        <f aca="false">IF(A380="","",IF(BW380=1,"Neu; ","")&amp;IF(AND(BW380=0,BR380&lt;0),"negativer Bestand (Export "&amp;BR380&amp;"); ","")&amp;IF(J380&lt;=0,"Kein Verbrauch; ","")&amp;IF(CR380&gt;0,"Lift "&amp;W380&amp;" lt. Liftbericht (Fach "&amp;X380&amp;" Stk); ",IF(CB380=1,"Gebinde geschätzt ("&amp;T380&amp;"); ",IF(CA380=1,"Lose – Tablare geschätzt; ","")))&amp;IF(H380&gt;AW380,"Überbestand "&amp;ROUND(H380-AW380,0)&amp;" Stk / CHF "&amp;ROUND((H380-AW380)*G380,0)&amp;"; ","")&amp;IF(AND(CI380=1,CJ380&lt;CK380),"MAX &lt; MB+LG; ","")&amp;IF(AND(CQ380&gt;0,CP380*10&gt;CQ380),"zu hoch für Tablar; ","")&amp;IF(AND(BW380=0,OR(CI380=1,AB380&lt;&gt;"",U380&lt;&gt;"",V380&lt;&gt;"",AC380&lt;&gt;"")),"manuell übersteuert; ","")&amp;IF(AND(CA380=0,R380=0),"Gebinde unbekannt / Stellmass fehlt; ","")&amp;IF(AND(CA380=0,N(V380)&lt;=0,N(Q380)&lt;=0),"Menge pro Gebinde fehlt (Ist = 1 Gebinde); ","")&amp;BV380)</f>
        <v>Kein Verbrauch; Gebinde geschätzt (Mittel); Überbestand 24 Stk / CHF 130; Menge pro Gebinde fehlt (Ist = 1 Gebinde); </v>
      </c>
      <c r="BO380" s="60"/>
      <c r="BP380" s="60"/>
      <c r="BQ380" s="67"/>
      <c r="BR380" s="62" t="n">
        <v>25</v>
      </c>
      <c r="BS380" s="62" t="n">
        <v>0</v>
      </c>
      <c r="BT380" s="61" t="n">
        <v>135.75</v>
      </c>
      <c r="BU380" s="62" t="n">
        <v>0</v>
      </c>
      <c r="BV380" s="60"/>
      <c r="BW380" s="65" t="n">
        <v>0</v>
      </c>
      <c r="BX380" s="65" t="n">
        <v>380</v>
      </c>
      <c r="BY380" s="60" t="str">
        <f aca="false">IF(U380&lt;&gt;"",UPPER(TRIM(U380)),IF(CB380=1,UPPER(VLOOKUP(T380,Parameter!$I$27:$K$29,2,0)),IF(P380="","LOSE",P380)))</f>
        <v>S61</v>
      </c>
      <c r="BZ380" s="62" t="n">
        <f aca="false">IF(BY380="LOSE",1,IF(N(V380)&gt;0,V380,IF(CB380=1,MAX(1,N(VLOOKUP(T380,Parameter!$I$27:$K$29,3,0)),H380,N(N380)),IF(N(Q380)&gt;0,Q380,MAX(1,H380)))))</f>
        <v>25</v>
      </c>
      <c r="CA380" s="65" t="n">
        <f aca="false">IF(BY380="LOSE",1,0)</f>
        <v>0</v>
      </c>
      <c r="CB380" s="65" t="n">
        <f aca="false">IF(AND(U380="",OR(P380="",P380="LOSE"),T380&lt;&gt;"",N(S380)&lt;=0,ISNUMBER(MATCH(T380,Parameter!$I$27:$I$29,0))),1,0)</f>
        <v>1</v>
      </c>
      <c r="CC380" s="65" t="n">
        <f aca="false">IF(CR380&gt;0,INDEX(Parameter!$H$5:$H$7,W380)/INDEX(Parameter!$E$5:$E$7,W380),IF(AND(CA380=0,N(IFERROR(VLOOKUP(BY380,'Gebinde-Kategorie'!$A$5:$N$45,14,0),0))&gt;0),VLOOKUP(BY380,'Gebinde-Kategorie'!$A$5:$N$45,14,0)*10+Parameter!$M$23,Parameter!$M$24))</f>
        <v>145</v>
      </c>
      <c r="CD380" s="60" t="str">
        <f aca="false">IF(AND(Parameter!$B$19="Ja",E380&lt;&gt;"",ISNUMBER(MATCH(E380,Parameter!$I$35:$I$52,0))),VLOOKUP(E380,Parameter!$I$35:$J$52,2,0),IFERROR(VLOOKUP(D380,Parameter!$A$35:$C$64,2,0),"Nein"))</f>
        <v>2+3</v>
      </c>
      <c r="CE380" s="64" t="n">
        <f aca="false">IF(CA380=0,0,IF(N(S380)&gt;0,S380,IFERROR(VLOOKUP(D380,Parameter!$A$35:$C$64,3,0)+0,0)))</f>
        <v>0</v>
      </c>
      <c r="CF380" s="60" t="n">
        <f aca="false">IF(AB380&lt;&gt;"",AB380,AA380)</f>
        <v>3</v>
      </c>
      <c r="CG380" s="60" t="str">
        <f aca="false">IF(OR(CF380=1,CF380=2,CF380=3),IF(Parameter!$E$27="Ja","LIFT",IF(CF380=1,"L1","L23")),IF(CF380="Aussen","Aussen","-"))</f>
        <v>LIFT</v>
      </c>
      <c r="CH380" s="71" t="n">
        <f aca="false">IF(N(AC380)&gt;0,AC380,0)</f>
        <v>0</v>
      </c>
      <c r="CI380" s="65" t="n">
        <f aca="false">IF(ISNUMBER(AF380),1,0)</f>
        <v>0</v>
      </c>
      <c r="CJ380" s="62" t="n">
        <f aca="false">N(AF380)</f>
        <v>0</v>
      </c>
      <c r="CK380" s="62" t="n">
        <f aca="false">N(M380)+N(N380)</f>
        <v>1</v>
      </c>
      <c r="CL380" s="62" t="n">
        <f aca="false">N(M380)</f>
        <v>0</v>
      </c>
      <c r="CM380" s="62" t="n">
        <f aca="false">N(N380)</f>
        <v>1</v>
      </c>
      <c r="CN380" s="62" t="n">
        <f aca="false">ROUNDUP(H380/BZ380,0)</f>
        <v>1</v>
      </c>
      <c r="CO380" s="62" t="n">
        <f aca="false">ROUNDUP(CJ380/BZ380,0)</f>
        <v>0</v>
      </c>
      <c r="CP380" s="65" t="n">
        <f aca="false">IF(CA380=1,0,IFERROR(VLOOKUP(BY380,'Gebinde-Kategorie'!$A$5:$N$45,5,0)+0,0))</f>
        <v>11</v>
      </c>
      <c r="CQ380" s="65" t="n">
        <f aca="false">IFERROR(IF(OR(CF380=1,CF380=2,CF380=3),N(INDEX(Parameter!$I$5:$I$7,CF380)),0),0)</f>
        <v>0</v>
      </c>
      <c r="CR380" s="64" t="n">
        <f aca="false">IF(AND(Parameter!$B$21="Ja",ISNUMBER(W380),N(X380)&gt;0),IFERROR(N(INDEX(Parameter!$L$5:$L$7,W380))*INDEX(Parameter!$E$5:$E$7,W380)*X380/SUMIFS($X$7:$X$1843,$W$7:$W$1843,W380),0),0)</f>
        <v>0</v>
      </c>
      <c r="CS380" s="62" t="n">
        <f aca="false">IF(AND(OR(CG380="L1",CG380="L23",CG380="LIFT"),H380&gt;0),CC380*IF(CR380&gt;0,CR380*MAX(1,H380/X380),IF(CA380=1,CE380,IF(R380&gt;0,CN380/R380,0))/MAX(0.1,N(Parameter!$M$21))),"")</f>
        <v>12.0833333333333</v>
      </c>
      <c r="CT380" s="64" t="n">
        <f aca="false">IF(CS380="","",J380/H380)</f>
        <v>0</v>
      </c>
      <c r="CU380" s="62" t="n">
        <f aca="false">IF(CS380="","",H380*G380)</f>
        <v>135.75</v>
      </c>
      <c r="CV380" s="63" t="n">
        <f aca="false">IF(CS380="","",(CL380+ROUNDUP(CL380+MAX(CM380,2*(J380/MAX(0.1,N(Einkauf!$C$6))-CL380)),0))/2)</f>
        <v>0.5</v>
      </c>
      <c r="CW380" s="62" t="n">
        <f aca="false">IF(CS380="","",MAX(0,H380-CV380)*G380)</f>
        <v>133.035</v>
      </c>
      <c r="CX380" s="62" t="n">
        <f aca="false">IF(CS380="","",CS380*MAX(0,1-CV380/H380))</f>
        <v>11.8416666666667</v>
      </c>
      <c r="CY380" s="64" t="n">
        <f aca="false">IF(CS380="","",PERCENTRANK($CS$7:$CS$1843,CS380)+PERCENTRANK($CU$7:$CU$1843,CU380)+1-PERCENTRANK($CT$7:$CT$1843,CT380))</f>
        <v>1.94</v>
      </c>
      <c r="CZ380" s="72" t="n">
        <f aca="false">IF(CS380="","",CHOOSE(MATCH(Einkauf!$C$5,Parameter!$G$23:$G$27,0),CY380,CS380,CU380,-CT380,CW380)+ROW()/1000000000)</f>
        <v>1.94000038</v>
      </c>
    </row>
    <row r="381" customFormat="false" ht="15" hidden="false" customHeight="false" outlineLevel="0" collapsed="false">
      <c r="A381" s="60" t="s">
        <v>948</v>
      </c>
      <c r="B381" s="60" t="s">
        <v>949</v>
      </c>
      <c r="C381" s="60" t="s">
        <v>206</v>
      </c>
      <c r="D381" s="60" t="s">
        <v>226</v>
      </c>
      <c r="E381" s="60"/>
      <c r="F381" s="60" t="s">
        <v>260</v>
      </c>
      <c r="G381" s="61" t="n">
        <v>0.8</v>
      </c>
      <c r="H381" s="62" t="n">
        <f aca="false">MAX(0,IF(AND(Parameter!$B$21="Ja",ISNUMBER(Y381)),Y381,IF(Parameter!$B$20="Jahresanfang 2025 + Export",BS381+BR381,BR381)))</f>
        <v>449</v>
      </c>
      <c r="I381" s="62" t="n">
        <f aca="false">H381*G381</f>
        <v>359.2</v>
      </c>
      <c r="J381" s="62" t="n">
        <f aca="false">BU381*Parameter!$B$18</f>
        <v>206</v>
      </c>
      <c r="K381" s="63" t="n">
        <v>264.5</v>
      </c>
      <c r="L381" s="64" t="n">
        <v>0.77882797731569</v>
      </c>
      <c r="M381" s="62" t="n">
        <v>12</v>
      </c>
      <c r="N381" s="62" t="n">
        <v>250</v>
      </c>
      <c r="O381" s="65" t="n">
        <v>21</v>
      </c>
      <c r="P381" s="60" t="s">
        <v>210</v>
      </c>
      <c r="Q381" s="62"/>
      <c r="R381" s="65" t="n">
        <f aca="false">IF(CA381=1,0,IFERROR(VLOOKUP(BY381,'Gebinde-Kategorie'!$A$5:$N$45,13,0)+0,0))</f>
        <v>26</v>
      </c>
      <c r="S381" s="66"/>
      <c r="T381" s="67" t="s">
        <v>317</v>
      </c>
      <c r="U381" s="67"/>
      <c r="V381" s="67"/>
      <c r="W381" s="60"/>
      <c r="X381" s="62"/>
      <c r="Y381" s="62"/>
      <c r="Z381" s="60" t="n">
        <v>3</v>
      </c>
      <c r="AA381" s="60" t="n">
        <f aca="false">IF(A381="","",IF(AND(Parameter!$B$21="Ja",ISNUMBER(W381)),W381,IF(AND(Parameter!$E$27="Ja",ISNUMBER(Z381),CD381&lt;&gt;"Nein"),Z381,IF(CD381="2+3",IF(ISNUMBER(SEARCH("grosser Artikel",BV381)),2,IFERROR(VLOOKUP(BY381,Parameter!$F$35:$G$64,2,0),2)),IF(OR(CD381="Nein",CD381=""),"-",CD381)))))</f>
        <v>3</v>
      </c>
      <c r="AB381" s="67"/>
      <c r="AC381" s="68"/>
      <c r="AD381" s="62" t="n">
        <f aca="false">AW381</f>
        <v>262</v>
      </c>
      <c r="AE381" s="62" t="n">
        <f aca="false">MAX(AW381,H381)</f>
        <v>449</v>
      </c>
      <c r="AF381" s="69"/>
      <c r="AG381" s="62" t="n">
        <f aca="false">IF(LEFT(Cockpit!$C$5,1)="A",H381,IF(Parameter!$E$30="MAX-Bestand",IF(CI381=1,CJ381,IF(LEFT(Cockpit!$C$5,1)="B",AM381,MAX(AM381,H381))),ROUNDUP(AK381,0)))</f>
        <v>449</v>
      </c>
      <c r="AH381" s="62" t="n">
        <f aca="false">IF(CA381=1,0,ROUNDUP(AG381/BZ381,0))</f>
        <v>1</v>
      </c>
      <c r="AI381" s="64" t="n">
        <f aca="false">IF(CR381&gt;0,CR381*MAX(1,AG381/X381),IF(CA381=1,IF(AG381&lt;=0,0,CE381*MAX(1,IF(H381&gt;0,AG381/H381,1))),IF(R381&gt;0,AH381/R381,0))/MAX(0.1,N(Parameter!$M$21)))</f>
        <v>0.0384615384615385</v>
      </c>
      <c r="AJ381" s="62" t="n">
        <f aca="false">AI381*CC381</f>
        <v>5.96153846153846</v>
      </c>
      <c r="AK381" s="63" t="n">
        <f aca="false">IF(LEFT(Cockpit!$C$5,1)="A",H381,IF(CI381=1,(CL381+CJ381)/2,IF(LEFT(Cockpit!$C$5,1)="B",(CL381+AM381)/2,MAX((CL381+AM381)/2,H381))))</f>
        <v>449</v>
      </c>
      <c r="AL381" s="62" t="n">
        <f aca="false">AK381*G381</f>
        <v>359.2</v>
      </c>
      <c r="AM381" s="62" t="n">
        <f aca="false">ROUNDUP(CL381+MAX(CM381,2*(J381/IF(CH381&gt;0,CH381,MAX(0.1,N(Cockpit!$C$6)))-CL381)),0)</f>
        <v>262</v>
      </c>
      <c r="AN381" s="63" t="n">
        <f aca="false">IF(AJ381&gt;0,J381/AJ381,-1)</f>
        <v>34.5548387096774</v>
      </c>
      <c r="AO381" s="63" t="n">
        <f aca="false">IF(AND(OR(CG381="L1",CG381="L23",CG381="LIFT"),AJ381&gt;0),SUMIFS($AJ$7:$AJ$1843,$CG$7:$CG$1843,CG381,$AN$7:$AN$1843,"&gt;"&amp;AN381)+SUMIFS($AJ$7:$AJ$1843,$CG$7:$CG$1843,CG381,$AN$7:$AN$1843,AN381,$BX$7:$BX$1843,"&lt;="&amp;BX381),"")</f>
        <v>1298.75686813187</v>
      </c>
      <c r="AP381" s="70" t="n">
        <f aca="false">IF(AO381="",0,MAX(0,MIN(1,(IF(CG381="L1",Parameter!$H$5,IF(CG381="L23",Parameter!$H$6+Parameter!$H$7,Parameter!$H$5+Parameter!$H$6+Parameter!$H$7))-(AO381-AJ381))/AJ381)))</f>
        <v>1</v>
      </c>
      <c r="AQ381" s="62" t="n">
        <f aca="false">IF(LEFT(Cockpit!$I$5,1)="A",H381,IF(Parameter!$E$30="MAX-Bestand",IF(CI381=1,CJ381,IF(LEFT(Cockpit!$I$5,1)="B",AW381,MAX(AW381,H381))),ROUNDUP(AU381,0)))</f>
        <v>449</v>
      </c>
      <c r="AR381" s="62" t="n">
        <f aca="false">IF(CA381=1,0,ROUNDUP(AQ381/BZ381,0))</f>
        <v>1</v>
      </c>
      <c r="AS381" s="64" t="n">
        <f aca="false">IF(CR381&gt;0,CR381*MAX(1,AQ381/X381),IF(CA381=1,IF(AQ381&lt;=0,0,CE381*MAX(1,IF(H381&gt;0,AQ381/H381,1))),IF(R381&gt;0,AR381/R381,0))/MAX(0.1,N(Parameter!$M$21)))</f>
        <v>0.0384615384615385</v>
      </c>
      <c r="AT381" s="62" t="n">
        <f aca="false">AS381*CC381</f>
        <v>5.96153846153846</v>
      </c>
      <c r="AU381" s="63" t="n">
        <f aca="false">IF(LEFT(Cockpit!$I$5,1)="A",H381,IF(CI381=1,(CL381+CJ381)/2,IF(LEFT(Cockpit!$I$5,1)="B",(CL381+AW381)/2,MAX((CL381+AW381)/2,H381))))</f>
        <v>449</v>
      </c>
      <c r="AV381" s="62" t="n">
        <f aca="false">AU381*G381</f>
        <v>359.2</v>
      </c>
      <c r="AW381" s="62" t="n">
        <f aca="false">ROUNDUP(CL381+MAX(CM381,2*(J381/IF(CH381&gt;0,CH381,MAX(0.1,N(Cockpit!$I$6)))-CL381)),0)</f>
        <v>262</v>
      </c>
      <c r="AX381" s="63" t="n">
        <f aca="false">IF(AT381&gt;0,J381/AT381,-1)</f>
        <v>34.5548387096774</v>
      </c>
      <c r="AY381" s="63" t="n">
        <f aca="false">IF(AND(OR(CG381="L1",CG381="L23",CG381="LIFT"),AT381&gt;0),SUMIFS($AT$7:$AT$1843,$CG$7:$CG$1843,CG381,$AX$7:$AX$1843,"&gt;"&amp;AX381)+SUMIFS($AT$7:$AT$1843,$CG$7:$CG$1843,CG381,$AX$7:$AX$1843,AX381,$BX$7:$BX$1843,"&lt;="&amp;BX381),"")</f>
        <v>1619.52289377289</v>
      </c>
      <c r="AZ381" s="70" t="n">
        <f aca="false">IF(AY381="",0,MAX(0,MIN(1,(IF(CG381="L1",Parameter!$H$5,IF(CG381="L23",Parameter!$H$6+Parameter!$H$7,Parameter!$H$5+Parameter!$H$6+Parameter!$H$7))-(AY381-AT381))/AT381)))</f>
        <v>1</v>
      </c>
      <c r="BA381" s="62" t="n">
        <f aca="false">IF(LEFT(Cockpit!$O$5,1)="A",H381,IF(Parameter!$E$30="MAX-Bestand",IF(CI381=1,CJ381,IF(LEFT(Cockpit!$O$5,1)="B",BG381,MAX(BG381,H381))),ROUNDUP(BE381,0)))</f>
        <v>137</v>
      </c>
      <c r="BB381" s="62" t="n">
        <f aca="false">IF(CA381=1,0,ROUNDUP(BA381/BZ381,0))</f>
        <v>1</v>
      </c>
      <c r="BC381" s="64" t="n">
        <f aca="false">IF(CR381&gt;0,CR381*MAX(1,BA381/X381),IF(CA381=1,IF(BA381&lt;=0,0,CE381*MAX(1,IF(H381&gt;0,BA381/H381,1))),IF(R381&gt;0,BB381/R381,0))/MAX(0.1,N(Parameter!$M$21)))</f>
        <v>0.0384615384615385</v>
      </c>
      <c r="BD381" s="62" t="n">
        <f aca="false">BC381*CC381</f>
        <v>5.96153846153846</v>
      </c>
      <c r="BE381" s="63" t="n">
        <f aca="false">IF(LEFT(Cockpit!$O$5,1)="A",H381,IF(CI381=1,(CL381+CJ381)/2,IF(LEFT(Cockpit!$O$5,1)="B",(CL381+BG381)/2,MAX((CL381+BG381)/2,H381))))</f>
        <v>137</v>
      </c>
      <c r="BF381" s="62" t="n">
        <f aca="false">BE381*G381</f>
        <v>109.6</v>
      </c>
      <c r="BG381" s="62" t="n">
        <f aca="false">ROUNDUP(CL381+MAX(CM381,2*(J381/IF(CH381&gt;0,CH381,MAX(0.1,N(Cockpit!$O$6)))-CL381)),0)</f>
        <v>262</v>
      </c>
      <c r="BH381" s="63" t="n">
        <f aca="false">IF(BD381&gt;0,J381/BD381,-1)</f>
        <v>34.5548387096774</v>
      </c>
      <c r="BI381" s="63" t="n">
        <f aca="false">IF(AND(OR(CG381="L1",CG381="L23",CG381="LIFT"),BD381&gt;0),SUMIFS($BD$7:$BD$1843,$CG$7:$CG$1843,CG381,$BH$7:$BH$1843,"&gt;"&amp;BH381)+SUMIFS($BD$7:$BD$1843,$CG$7:$CG$1843,CG381,$BH$7:$BH$1843,BH381,$BX$7:$BX$1843,"&lt;="&amp;BX381),"")</f>
        <v>1541.76282051282</v>
      </c>
      <c r="BJ381" s="70" t="n">
        <f aca="false">IF(BI381="",0,MAX(0,MIN(1,(IF(CG381="L1",Parameter!$H$5,IF(CG381="L23",Parameter!$H$6+Parameter!$H$7,Parameter!$H$5+Parameter!$H$6+Parameter!$H$7))-(BI381-BD381))/BD381)))</f>
        <v>1</v>
      </c>
      <c r="BK381" s="60" t="str">
        <f aca="false">IF(AJ381&lt;=0,"",IF(CG381="Aussen","Aussenlager",IF(CG381="-","Nicht im Lift",IF(AP381&gt;=1,"Lift",IF(AP381&lt;=0,"Aussenlager","teilweise")))))</f>
        <v>Lift</v>
      </c>
      <c r="BL381" s="60" t="str">
        <f aca="false">IF(AT381&lt;=0,"",IF(CG381="Aussen","Aussenlager",IF(CG381="-","Nicht im Lift",IF(AZ381&gt;=1,"Lift",IF(AZ381&lt;=0,"Aussenlager","teilweise")))))</f>
        <v>Lift</v>
      </c>
      <c r="BM381" s="60" t="str">
        <f aca="false">IF(BD381&lt;=0,"",IF(CG381="Aussen","Aussenlager",IF(CG381="-","Nicht im Lift",IF(BJ381&gt;=1,"Lift",IF(BJ381&lt;=0,"Aussenlager","teilweise")))))</f>
        <v>Lift</v>
      </c>
      <c r="BN381" s="60" t="str">
        <f aca="false">IF(A381="","",IF(BW381=1,"Neu; ","")&amp;IF(AND(BW381=0,BR381&lt;0),"negativer Bestand (Export "&amp;BR381&amp;"); ","")&amp;IF(J381&lt;=0,"Kein Verbrauch; ","")&amp;IF(CR381&gt;0,"Lift "&amp;W381&amp;" lt. Liftbericht (Fach "&amp;X381&amp;" Stk); ",IF(CB381=1,"Gebinde geschätzt ("&amp;T381&amp;"); ",IF(CA381=1,"Lose – Tablare geschätzt; ","")))&amp;IF(H381&gt;AW381,"Überbestand "&amp;ROUND(H381-AW381,0)&amp;" Stk / CHF "&amp;ROUND((H381-AW381)*G381,0)&amp;"; ","")&amp;IF(AND(CI381=1,CJ381&lt;CK381),"MAX &lt; MB+LG; ","")&amp;IF(AND(CQ381&gt;0,CP381*10&gt;CQ381),"zu hoch für Tablar; ","")&amp;IF(AND(BW381=0,OR(CI381=1,AB381&lt;&gt;"",U381&lt;&gt;"",V381&lt;&gt;"",AC381&lt;&gt;"")),"manuell übersteuert; ","")&amp;IF(AND(CA381=0,R381=0),"Gebinde unbekannt / Stellmass fehlt; ","")&amp;IF(AND(CA381=0,N(V381)&lt;=0,N(Q381)&lt;=0),"Menge pro Gebinde fehlt (Ist = 1 Gebinde); ","")&amp;BV381)</f>
        <v>Gebinde geschätzt (Klein); Überbestand 187 Stk / CHF 150; Menge pro Gebinde fehlt (Ist = 1 Gebinde); </v>
      </c>
      <c r="BO381" s="60"/>
      <c r="BP381" s="60"/>
      <c r="BQ381" s="67"/>
      <c r="BR381" s="62" t="n">
        <v>216</v>
      </c>
      <c r="BS381" s="62" t="n">
        <v>233</v>
      </c>
      <c r="BT381" s="61" t="n">
        <v>133.19</v>
      </c>
      <c r="BU381" s="62" t="n">
        <v>206</v>
      </c>
      <c r="BV381" s="60"/>
      <c r="BW381" s="65" t="n">
        <v>0</v>
      </c>
      <c r="BX381" s="65" t="n">
        <v>381</v>
      </c>
      <c r="BY381" s="60" t="str">
        <f aca="false">IF(U381&lt;&gt;"",UPPER(TRIM(U381)),IF(CB381=1,UPPER(VLOOKUP(T381,Parameter!$I$27:$K$29,2,0)),IF(P381="","LOSE",P381)))</f>
        <v>S51</v>
      </c>
      <c r="BZ381" s="62" t="n">
        <f aca="false">IF(BY381="LOSE",1,IF(N(V381)&gt;0,V381,IF(CB381=1,MAX(1,N(VLOOKUP(T381,Parameter!$I$27:$K$29,3,0)),H381,N(N381)),IF(N(Q381)&gt;0,Q381,MAX(1,H381)))))</f>
        <v>449</v>
      </c>
      <c r="CA381" s="65" t="n">
        <f aca="false">IF(BY381="LOSE",1,0)</f>
        <v>0</v>
      </c>
      <c r="CB381" s="65" t="n">
        <f aca="false">IF(AND(U381="",OR(P381="",P381="LOSE"),T381&lt;&gt;"",N(S381)&lt;=0,ISNUMBER(MATCH(T381,Parameter!$I$27:$I$29,0))),1,0)</f>
        <v>1</v>
      </c>
      <c r="CC381" s="65" t="n">
        <f aca="false">IF(CR381&gt;0,INDEX(Parameter!$H$5:$H$7,W381)/INDEX(Parameter!$E$5:$E$7,W381),IF(AND(CA381=0,N(IFERROR(VLOOKUP(BY381,'Gebinde-Kategorie'!$A$5:$N$45,14,0),0))&gt;0),VLOOKUP(BY381,'Gebinde-Kategorie'!$A$5:$N$45,14,0)*10+Parameter!$M$23,Parameter!$M$24))</f>
        <v>155</v>
      </c>
      <c r="CD381" s="60" t="str">
        <f aca="false">IF(AND(Parameter!$B$19="Ja",E381&lt;&gt;"",ISNUMBER(MATCH(E381,Parameter!$I$35:$I$52,0))),VLOOKUP(E381,Parameter!$I$35:$J$52,2,0),IFERROR(VLOOKUP(D381,Parameter!$A$35:$C$64,2,0),"Nein"))</f>
        <v>2+3</v>
      </c>
      <c r="CE381" s="64" t="n">
        <f aca="false">IF(CA381=0,0,IF(N(S381)&gt;0,S381,IFERROR(VLOOKUP(D381,Parameter!$A$35:$C$64,3,0)+0,0)))</f>
        <v>0</v>
      </c>
      <c r="CF381" s="60" t="n">
        <f aca="false">IF(AB381&lt;&gt;"",AB381,AA381)</f>
        <v>3</v>
      </c>
      <c r="CG381" s="60" t="str">
        <f aca="false">IF(OR(CF381=1,CF381=2,CF381=3),IF(Parameter!$E$27="Ja","LIFT",IF(CF381=1,"L1","L23")),IF(CF381="Aussen","Aussen","-"))</f>
        <v>LIFT</v>
      </c>
      <c r="CH381" s="71" t="n">
        <f aca="false">IF(N(AC381)&gt;0,AC381,0)</f>
        <v>0</v>
      </c>
      <c r="CI381" s="65" t="n">
        <f aca="false">IF(ISNUMBER(AF381),1,0)</f>
        <v>0</v>
      </c>
      <c r="CJ381" s="62" t="n">
        <f aca="false">N(AF381)</f>
        <v>0</v>
      </c>
      <c r="CK381" s="62" t="n">
        <f aca="false">N(M381)+N(N381)</f>
        <v>262</v>
      </c>
      <c r="CL381" s="62" t="n">
        <f aca="false">N(M381)</f>
        <v>12</v>
      </c>
      <c r="CM381" s="62" t="n">
        <f aca="false">N(N381)</f>
        <v>250</v>
      </c>
      <c r="CN381" s="62" t="n">
        <f aca="false">ROUNDUP(H381/BZ381,0)</f>
        <v>1</v>
      </c>
      <c r="CO381" s="62" t="n">
        <f aca="false">ROUNDUP(CJ381/BZ381,0)</f>
        <v>0</v>
      </c>
      <c r="CP381" s="65" t="n">
        <f aca="false">IF(CA381=1,0,IFERROR(VLOOKUP(BY381,'Gebinde-Kategorie'!$A$5:$N$45,5,0)+0,0))</f>
        <v>11</v>
      </c>
      <c r="CQ381" s="65" t="n">
        <f aca="false">IFERROR(IF(OR(CF381=1,CF381=2,CF381=3),N(INDEX(Parameter!$I$5:$I$7,CF381)),0),0)</f>
        <v>0</v>
      </c>
      <c r="CR381" s="64" t="n">
        <f aca="false">IF(AND(Parameter!$B$21="Ja",ISNUMBER(W381),N(X381)&gt;0),IFERROR(N(INDEX(Parameter!$L$5:$L$7,W381))*INDEX(Parameter!$E$5:$E$7,W381)*X381/SUMIFS($X$7:$X$1843,$W$7:$W$1843,W381),0),0)</f>
        <v>0</v>
      </c>
      <c r="CS381" s="62" t="n">
        <f aca="false">IF(AND(OR(CG381="L1",CG381="L23",CG381="LIFT"),H381&gt;0),CC381*IF(CR381&gt;0,CR381*MAX(1,H381/X381),IF(CA381=1,CE381,IF(R381&gt;0,CN381/R381,0))/MAX(0.1,N(Parameter!$M$21))),"")</f>
        <v>5.96153846153846</v>
      </c>
      <c r="CT381" s="64" t="n">
        <f aca="false">IF(CS381="","",J381/H381)</f>
        <v>0.458797327394209</v>
      </c>
      <c r="CU381" s="62" t="n">
        <f aca="false">IF(CS381="","",H381*G381)</f>
        <v>359.2</v>
      </c>
      <c r="CV381" s="63" t="n">
        <f aca="false">IF(CS381="","",(CL381+ROUNDUP(CL381+MAX(CM381,2*(J381/MAX(0.1,N(Einkauf!$C$6))-CL381)),0))/2)</f>
        <v>137</v>
      </c>
      <c r="CW381" s="62" t="n">
        <f aca="false">IF(CS381="","",MAX(0,H381-CV381)*G381)</f>
        <v>249.6</v>
      </c>
      <c r="CX381" s="62" t="n">
        <f aca="false">IF(CS381="","",CS381*MAX(0,1-CV381/H381))</f>
        <v>4.14253897550111</v>
      </c>
      <c r="CY381" s="64" t="n">
        <f aca="false">IF(CS381="","",PERCENTRANK($CS$7:$CS$1843,CS381)+PERCENTRANK($CU$7:$CU$1843,CU381)+1-PERCENTRANK($CT$7:$CT$1843,CT381))</f>
        <v>1.271</v>
      </c>
      <c r="CZ381" s="72" t="n">
        <f aca="false">IF(CS381="","",CHOOSE(MATCH(Einkauf!$C$5,Parameter!$G$23:$G$27,0),CY381,CS381,CU381,-CT381,CW381)+ROW()/1000000000)</f>
        <v>1.271000381</v>
      </c>
    </row>
    <row r="382" customFormat="false" ht="15" hidden="false" customHeight="false" outlineLevel="0" collapsed="false">
      <c r="A382" s="60" t="s">
        <v>950</v>
      </c>
      <c r="B382" s="60" t="s">
        <v>951</v>
      </c>
      <c r="C382" s="60" t="s">
        <v>206</v>
      </c>
      <c r="D382" s="60" t="s">
        <v>226</v>
      </c>
      <c r="E382" s="60" t="s">
        <v>227</v>
      </c>
      <c r="F382" s="60" t="s">
        <v>260</v>
      </c>
      <c r="G382" s="61" t="n">
        <v>0.99</v>
      </c>
      <c r="H382" s="62" t="n">
        <f aca="false">MAX(0,IF(AND(Parameter!$B$21="Ja",ISNUMBER(Y382)),Y382,IF(Parameter!$B$20="Jahresanfang 2025 + Export",BS382+BR382,BR382)))</f>
        <v>223</v>
      </c>
      <c r="I382" s="62" t="n">
        <f aca="false">H382*G382</f>
        <v>220.77</v>
      </c>
      <c r="J382" s="62" t="n">
        <f aca="false">BU382*Parameter!$B$18</f>
        <v>302</v>
      </c>
      <c r="K382" s="63" t="n">
        <v>86</v>
      </c>
      <c r="L382" s="64" t="n">
        <v>3.51162790697674</v>
      </c>
      <c r="M382" s="62" t="n">
        <v>23</v>
      </c>
      <c r="N382" s="62" t="n">
        <v>300</v>
      </c>
      <c r="O382" s="65" t="n">
        <v>28</v>
      </c>
      <c r="P382" s="60" t="s">
        <v>518</v>
      </c>
      <c r="Q382" s="62" t="n">
        <v>176</v>
      </c>
      <c r="R382" s="65" t="n">
        <f aca="false">IF(CA382=1,0,IFERROR(VLOOKUP(BY382,'Gebinde-Kategorie'!$A$5:$N$45,13,0)+0,0))</f>
        <v>52</v>
      </c>
      <c r="S382" s="66"/>
      <c r="T382" s="67"/>
      <c r="U382" s="67"/>
      <c r="V382" s="67"/>
      <c r="W382" s="60"/>
      <c r="X382" s="62"/>
      <c r="Y382" s="62"/>
      <c r="Z382" s="60" t="n">
        <v>3</v>
      </c>
      <c r="AA382" s="60" t="n">
        <f aca="false">IF(A382="","",IF(AND(Parameter!$B$21="Ja",ISNUMBER(W382)),W382,IF(AND(Parameter!$E$27="Ja",ISNUMBER(Z382),CD382&lt;&gt;"Nein"),Z382,IF(CD382="2+3",IF(ISNUMBER(SEARCH("grosser Artikel",BV382)),2,IFERROR(VLOOKUP(BY382,Parameter!$F$35:$G$64,2,0),2)),IF(OR(CD382="Nein",CD382=""),"-",CD382)))))</f>
        <v>3</v>
      </c>
      <c r="AB382" s="67"/>
      <c r="AC382" s="68"/>
      <c r="AD382" s="62" t="n">
        <f aca="false">AW382</f>
        <v>323</v>
      </c>
      <c r="AE382" s="62" t="n">
        <f aca="false">MAX(AW382,H382)</f>
        <v>323</v>
      </c>
      <c r="AF382" s="69"/>
      <c r="AG382" s="62" t="n">
        <f aca="false">IF(LEFT(Cockpit!$C$5,1)="A",H382,IF(Parameter!$E$30="MAX-Bestand",IF(CI382=1,CJ382,IF(LEFT(Cockpit!$C$5,1)="B",AM382,MAX(AM382,H382))),ROUNDUP(AK382,0)))</f>
        <v>223</v>
      </c>
      <c r="AH382" s="62" t="n">
        <f aca="false">IF(CA382=1,0,ROUNDUP(AG382/BZ382,0))</f>
        <v>2</v>
      </c>
      <c r="AI382" s="64" t="n">
        <f aca="false">IF(CR382&gt;0,CR382*MAX(1,AG382/X382),IF(CA382=1,IF(AG382&lt;=0,0,CE382*MAX(1,IF(H382&gt;0,AG382/H382,1))),IF(R382&gt;0,AH382/R382,0))/MAX(0.1,N(Parameter!$M$21)))</f>
        <v>0.0384615384615385</v>
      </c>
      <c r="AJ382" s="62" t="n">
        <f aca="false">AI382*CC382</f>
        <v>5.96153846153846</v>
      </c>
      <c r="AK382" s="63" t="n">
        <f aca="false">IF(LEFT(Cockpit!$C$5,1)="A",H382,IF(CI382=1,(CL382+CJ382)/2,IF(LEFT(Cockpit!$C$5,1)="B",(CL382+AM382)/2,MAX((CL382+AM382)/2,H382))))</f>
        <v>223</v>
      </c>
      <c r="AL382" s="62" t="n">
        <f aca="false">AK382*G382</f>
        <v>220.77</v>
      </c>
      <c r="AM382" s="62" t="n">
        <f aca="false">ROUNDUP(CL382+MAX(CM382,2*(J382/IF(CH382&gt;0,CH382,MAX(0.1,N(Cockpit!$C$6)))-CL382)),0)</f>
        <v>323</v>
      </c>
      <c r="AN382" s="63" t="n">
        <f aca="false">IF(AJ382&gt;0,J382/AJ382,-1)</f>
        <v>50.658064516129</v>
      </c>
      <c r="AO382" s="63" t="n">
        <f aca="false">IF(AND(OR(CG382="L1",CG382="L23",CG382="LIFT"),AJ382&gt;0),SUMIFS($AJ$7:$AJ$1843,$CG$7:$CG$1843,CG382,$AN$7:$AN$1843,"&gt;"&amp;AN382)+SUMIFS($AJ$7:$AJ$1843,$CG$7:$CG$1843,CG382,$AN$7:$AN$1843,AN382,$BX$7:$BX$1843,"&lt;="&amp;BX382),"")</f>
        <v>1026.875</v>
      </c>
      <c r="AP382" s="70" t="n">
        <f aca="false">IF(AO382="",0,MAX(0,MIN(1,(IF(CG382="L1",Parameter!$H$5,IF(CG382="L23",Parameter!$H$6+Parameter!$H$7,Parameter!$H$5+Parameter!$H$6+Parameter!$H$7))-(AO382-AJ382))/AJ382)))</f>
        <v>1</v>
      </c>
      <c r="AQ382" s="62" t="n">
        <f aca="false">IF(LEFT(Cockpit!$I$5,1)="A",H382,IF(Parameter!$E$30="MAX-Bestand",IF(CI382=1,CJ382,IF(LEFT(Cockpit!$I$5,1)="B",AW382,MAX(AW382,H382))),ROUNDUP(AU382,0)))</f>
        <v>223</v>
      </c>
      <c r="AR382" s="62" t="n">
        <f aca="false">IF(CA382=1,0,ROUNDUP(AQ382/BZ382,0))</f>
        <v>2</v>
      </c>
      <c r="AS382" s="64" t="n">
        <f aca="false">IF(CR382&gt;0,CR382*MAX(1,AQ382/X382),IF(CA382=1,IF(AQ382&lt;=0,0,CE382*MAX(1,IF(H382&gt;0,AQ382/H382,1))),IF(R382&gt;0,AR382/R382,0))/MAX(0.1,N(Parameter!$M$21)))</f>
        <v>0.0384615384615385</v>
      </c>
      <c r="AT382" s="62" t="n">
        <f aca="false">AS382*CC382</f>
        <v>5.96153846153846</v>
      </c>
      <c r="AU382" s="63" t="n">
        <f aca="false">IF(LEFT(Cockpit!$I$5,1)="A",H382,IF(CI382=1,(CL382+CJ382)/2,IF(LEFT(Cockpit!$I$5,1)="B",(CL382+AW382)/2,MAX((CL382+AW382)/2,H382))))</f>
        <v>223</v>
      </c>
      <c r="AV382" s="62" t="n">
        <f aca="false">AU382*G382</f>
        <v>220.77</v>
      </c>
      <c r="AW382" s="62" t="n">
        <f aca="false">ROUNDUP(CL382+MAX(CM382,2*(J382/IF(CH382&gt;0,CH382,MAX(0.1,N(Cockpit!$I$6)))-CL382)),0)</f>
        <v>323</v>
      </c>
      <c r="AX382" s="63" t="n">
        <f aca="false">IF(AT382&gt;0,J382/AT382,-1)</f>
        <v>50.658064516129</v>
      </c>
      <c r="AY382" s="63" t="n">
        <f aca="false">IF(AND(OR(CG382="L1",CG382="L23",CG382="LIFT"),AT382&gt;0),SUMIFS($AT$7:$AT$1843,$CG$7:$CG$1843,CG382,$AX$7:$AX$1843,"&gt;"&amp;AX382)+SUMIFS($AT$7:$AT$1843,$CG$7:$CG$1843,CG382,$AX$7:$AX$1843,AX382,$BX$7:$BX$1843,"&lt;="&amp;BX382),"")</f>
        <v>1310.57097069597</v>
      </c>
      <c r="AZ382" s="70" t="n">
        <f aca="false">IF(AY382="",0,MAX(0,MIN(1,(IF(CG382="L1",Parameter!$H$5,IF(CG382="L23",Parameter!$H$6+Parameter!$H$7,Parameter!$H$5+Parameter!$H$6+Parameter!$H$7))-(AY382-AT382))/AT382)))</f>
        <v>1</v>
      </c>
      <c r="BA382" s="62" t="n">
        <f aca="false">IF(LEFT(Cockpit!$O$5,1)="A",H382,IF(Parameter!$E$30="MAX-Bestand",IF(CI382=1,CJ382,IF(LEFT(Cockpit!$O$5,1)="B",BG382,MAX(BG382,H382))),ROUNDUP(BE382,0)))</f>
        <v>173</v>
      </c>
      <c r="BB382" s="62" t="n">
        <f aca="false">IF(CA382=1,0,ROUNDUP(BA382/BZ382,0))</f>
        <v>1</v>
      </c>
      <c r="BC382" s="64" t="n">
        <f aca="false">IF(CR382&gt;0,CR382*MAX(1,BA382/X382),IF(CA382=1,IF(BA382&lt;=0,0,CE382*MAX(1,IF(H382&gt;0,BA382/H382,1))),IF(R382&gt;0,BB382/R382,0))/MAX(0.1,N(Parameter!$M$21)))</f>
        <v>0.0192307692307692</v>
      </c>
      <c r="BD382" s="62" t="n">
        <f aca="false">BC382*CC382</f>
        <v>2.98076923076923</v>
      </c>
      <c r="BE382" s="63" t="n">
        <f aca="false">IF(LEFT(Cockpit!$O$5,1)="A",H382,IF(CI382=1,(CL382+CJ382)/2,IF(LEFT(Cockpit!$O$5,1)="B",(CL382+BG382)/2,MAX((CL382+BG382)/2,H382))))</f>
        <v>173</v>
      </c>
      <c r="BF382" s="62" t="n">
        <f aca="false">BE382*G382</f>
        <v>171.27</v>
      </c>
      <c r="BG382" s="62" t="n">
        <f aca="false">ROUNDUP(CL382+MAX(CM382,2*(J382/IF(CH382&gt;0,CH382,MAX(0.1,N(Cockpit!$O$6)))-CL382)),0)</f>
        <v>323</v>
      </c>
      <c r="BH382" s="63" t="n">
        <f aca="false">IF(BD382&gt;0,J382/BD382,-1)</f>
        <v>101.316129032258</v>
      </c>
      <c r="BI382" s="63" t="n">
        <f aca="false">IF(AND(OR(CG382="L1",CG382="L23",CG382="LIFT"),BD382&gt;0),SUMIFS($BD$7:$BD$1843,$CG$7:$CG$1843,CG382,$BH$7:$BH$1843,"&gt;"&amp;BH382)+SUMIFS($BD$7:$BD$1843,$CG$7:$CG$1843,CG382,$BH$7:$BH$1843,BH382,$BX$7:$BX$1843,"&lt;="&amp;BX382),"")</f>
        <v>900.346611721612</v>
      </c>
      <c r="BJ382" s="70" t="n">
        <f aca="false">IF(BI382="",0,MAX(0,MIN(1,(IF(CG382="L1",Parameter!$H$5,IF(CG382="L23",Parameter!$H$6+Parameter!$H$7,Parameter!$H$5+Parameter!$H$6+Parameter!$H$7))-(BI382-BD382))/BD382)))</f>
        <v>1</v>
      </c>
      <c r="BK382" s="60" t="str">
        <f aca="false">IF(AJ382&lt;=0,"",IF(CG382="Aussen","Aussenlager",IF(CG382="-","Nicht im Lift",IF(AP382&gt;=1,"Lift",IF(AP382&lt;=0,"Aussenlager","teilweise")))))</f>
        <v>Lift</v>
      </c>
      <c r="BL382" s="60" t="str">
        <f aca="false">IF(AT382&lt;=0,"",IF(CG382="Aussen","Aussenlager",IF(CG382="-","Nicht im Lift",IF(AZ382&gt;=1,"Lift",IF(AZ382&lt;=0,"Aussenlager","teilweise")))))</f>
        <v>Lift</v>
      </c>
      <c r="BM382" s="60" t="str">
        <f aca="false">IF(BD382&lt;=0,"",IF(CG382="Aussen","Aussenlager",IF(CG382="-","Nicht im Lift",IF(BJ382&gt;=1,"Lift",IF(BJ382&lt;=0,"Aussenlager","teilweise")))))</f>
        <v>Lift</v>
      </c>
      <c r="BN382" s="60" t="str">
        <f aca="false">IF(A382="","",IF(BW382=1,"Neu; ","")&amp;IF(AND(BW382=0,BR382&lt;0),"negativer Bestand (Export "&amp;BR382&amp;"); ","")&amp;IF(J382&lt;=0,"Kein Verbrauch; ","")&amp;IF(CR382&gt;0,"Lift "&amp;W382&amp;" lt. Liftbericht (Fach "&amp;X382&amp;" Stk); ",IF(CB382=1,"Gebinde geschätzt ("&amp;T382&amp;"); ",IF(CA382=1,"Lose – Tablare geschätzt; ","")))&amp;IF(H382&gt;AW382,"Überbestand "&amp;ROUND(H382-AW382,0)&amp;" Stk / CHF "&amp;ROUND((H382-AW382)*G382,0)&amp;"; ","")&amp;IF(AND(CI382=1,CJ382&lt;CK382),"MAX &lt; MB+LG; ","")&amp;IF(AND(CQ382&gt;0,CP382*10&gt;CQ382),"zu hoch für Tablar; ","")&amp;IF(AND(BW382=0,OR(CI382=1,AB382&lt;&gt;"",U382&lt;&gt;"",V382&lt;&gt;"",AC382&lt;&gt;"")),"manuell übersteuert; ","")&amp;IF(AND(CA382=0,R382=0),"Gebinde unbekannt / Stellmass fehlt; ","")&amp;IF(AND(CA382=0,N(V382)&lt;=0,N(Q382)&lt;=0),"Menge pro Gebinde fehlt (Ist = 1 Gebinde); ","")&amp;BV382)</f>
        <v/>
      </c>
      <c r="BO382" s="60"/>
      <c r="BP382" s="60"/>
      <c r="BQ382" s="67"/>
      <c r="BR382" s="62" t="n">
        <v>134</v>
      </c>
      <c r="BS382" s="62" t="n">
        <v>89</v>
      </c>
      <c r="BT382" s="61" t="n">
        <v>132.66</v>
      </c>
      <c r="BU382" s="62" t="n">
        <v>302</v>
      </c>
      <c r="BV382" s="60"/>
      <c r="BW382" s="65" t="n">
        <v>0</v>
      </c>
      <c r="BX382" s="65" t="n">
        <v>382</v>
      </c>
      <c r="BY382" s="60" t="str">
        <f aca="false">IF(U382&lt;&gt;"",UPPER(TRIM(U382)),IF(CB382=1,UPPER(VLOOKUP(T382,Parameter!$I$27:$K$29,2,0)),IF(P382="","LOSE",P382)))</f>
        <v>S33</v>
      </c>
      <c r="BZ382" s="62" t="n">
        <f aca="false">IF(BY382="LOSE",1,IF(N(V382)&gt;0,V382,IF(CB382=1,MAX(1,N(VLOOKUP(T382,Parameter!$I$27:$K$29,3,0)),H382,N(N382)),IF(N(Q382)&gt;0,Q382,MAX(1,H382)))))</f>
        <v>176</v>
      </c>
      <c r="CA382" s="65" t="n">
        <f aca="false">IF(BY382="LOSE",1,0)</f>
        <v>0</v>
      </c>
      <c r="CB382" s="65" t="n">
        <f aca="false">IF(AND(U382="",OR(P382="",P382="LOSE"),T382&lt;&gt;"",N(S382)&lt;=0,ISNUMBER(MATCH(T382,Parameter!$I$27:$I$29,0))),1,0)</f>
        <v>0</v>
      </c>
      <c r="CC382" s="65" t="n">
        <f aca="false">IF(CR382&gt;0,INDEX(Parameter!$H$5:$H$7,W382)/INDEX(Parameter!$E$5:$E$7,W382),IF(AND(CA382=0,N(IFERROR(VLOOKUP(BY382,'Gebinde-Kategorie'!$A$5:$N$45,14,0),0))&gt;0),VLOOKUP(BY382,'Gebinde-Kategorie'!$A$5:$N$45,14,0)*10+Parameter!$M$23,Parameter!$M$24))</f>
        <v>155</v>
      </c>
      <c r="CD382" s="60" t="str">
        <f aca="false">IF(AND(Parameter!$B$19="Ja",E382&lt;&gt;"",ISNUMBER(MATCH(E382,Parameter!$I$35:$I$52,0))),VLOOKUP(E382,Parameter!$I$35:$J$52,2,0),IFERROR(VLOOKUP(D382,Parameter!$A$35:$C$64,2,0),"Nein"))</f>
        <v>2+3</v>
      </c>
      <c r="CE382" s="64" t="n">
        <f aca="false">IF(CA382=0,0,IF(N(S382)&gt;0,S382,IFERROR(VLOOKUP(D382,Parameter!$A$35:$C$64,3,0)+0,0)))</f>
        <v>0</v>
      </c>
      <c r="CF382" s="60" t="n">
        <f aca="false">IF(AB382&lt;&gt;"",AB382,AA382)</f>
        <v>3</v>
      </c>
      <c r="CG382" s="60" t="str">
        <f aca="false">IF(OR(CF382=1,CF382=2,CF382=3),IF(Parameter!$E$27="Ja","LIFT",IF(CF382=1,"L1","L23")),IF(CF382="Aussen","Aussen","-"))</f>
        <v>LIFT</v>
      </c>
      <c r="CH382" s="71" t="n">
        <f aca="false">IF(N(AC382)&gt;0,AC382,0)</f>
        <v>0</v>
      </c>
      <c r="CI382" s="65" t="n">
        <f aca="false">IF(ISNUMBER(AF382),1,0)</f>
        <v>0</v>
      </c>
      <c r="CJ382" s="62" t="n">
        <f aca="false">N(AF382)</f>
        <v>0</v>
      </c>
      <c r="CK382" s="62" t="n">
        <f aca="false">N(M382)+N(N382)</f>
        <v>323</v>
      </c>
      <c r="CL382" s="62" t="n">
        <f aca="false">N(M382)</f>
        <v>23</v>
      </c>
      <c r="CM382" s="62" t="n">
        <f aca="false">N(N382)</f>
        <v>300</v>
      </c>
      <c r="CN382" s="62" t="n">
        <f aca="false">ROUNDUP(H382/BZ382,0)</f>
        <v>2</v>
      </c>
      <c r="CO382" s="62" t="n">
        <f aca="false">ROUNDUP(CJ382/BZ382,0)</f>
        <v>0</v>
      </c>
      <c r="CP382" s="65" t="n">
        <f aca="false">IF(CA382=1,0,IFERROR(VLOOKUP(BY382,'Gebinde-Kategorie'!$A$5:$N$45,5,0)+0,0))</f>
        <v>8</v>
      </c>
      <c r="CQ382" s="65" t="n">
        <f aca="false">IFERROR(IF(OR(CF382=1,CF382=2,CF382=3),N(INDEX(Parameter!$I$5:$I$7,CF382)),0),0)</f>
        <v>0</v>
      </c>
      <c r="CR382" s="64" t="n">
        <f aca="false">IF(AND(Parameter!$B$21="Ja",ISNUMBER(W382),N(X382)&gt;0),IFERROR(N(INDEX(Parameter!$L$5:$L$7,W382))*INDEX(Parameter!$E$5:$E$7,W382)*X382/SUMIFS($X$7:$X$1843,$W$7:$W$1843,W382),0),0)</f>
        <v>0</v>
      </c>
      <c r="CS382" s="62" t="n">
        <f aca="false">IF(AND(OR(CG382="L1",CG382="L23",CG382="LIFT"),H382&gt;0),CC382*IF(CR382&gt;0,CR382*MAX(1,H382/X382),IF(CA382=1,CE382,IF(R382&gt;0,CN382/R382,0))/MAX(0.1,N(Parameter!$M$21))),"")</f>
        <v>5.96153846153846</v>
      </c>
      <c r="CT382" s="64" t="n">
        <f aca="false">IF(CS382="","",J382/H382)</f>
        <v>1.3542600896861</v>
      </c>
      <c r="CU382" s="62" t="n">
        <f aca="false">IF(CS382="","",H382*G382)</f>
        <v>220.77</v>
      </c>
      <c r="CV382" s="63" t="n">
        <f aca="false">IF(CS382="","",(CL382+ROUNDUP(CL382+MAX(CM382,2*(J382/MAX(0.1,N(Einkauf!$C$6))-CL382)),0))/2)</f>
        <v>173</v>
      </c>
      <c r="CW382" s="62" t="n">
        <f aca="false">IF(CS382="","",MAX(0,H382-CV382)*G382)</f>
        <v>49.5</v>
      </c>
      <c r="CX382" s="62" t="n">
        <f aca="false">IF(CS382="","",CS382*MAX(0,1-CV382/H382))</f>
        <v>1.33666781648844</v>
      </c>
      <c r="CY382" s="64" t="n">
        <f aca="false">IF(CS382="","",PERCENTRANK($CS$7:$CS$1843,CS382)+PERCENTRANK($CU$7:$CU$1843,CU382)+1-PERCENTRANK($CT$7:$CT$1843,CT382))</f>
        <v>0.968</v>
      </c>
      <c r="CZ382" s="72" t="n">
        <f aca="false">IF(CS382="","",CHOOSE(MATCH(Einkauf!$C$5,Parameter!$G$23:$G$27,0),CY382,CS382,CU382,-CT382,CW382)+ROW()/1000000000)</f>
        <v>0.968000382</v>
      </c>
    </row>
    <row r="383" customFormat="false" ht="15" hidden="false" customHeight="false" outlineLevel="0" collapsed="false">
      <c r="A383" s="60" t="s">
        <v>952</v>
      </c>
      <c r="B383" s="60" t="s">
        <v>953</v>
      </c>
      <c r="C383" s="60" t="s">
        <v>206</v>
      </c>
      <c r="D383" s="60" t="s">
        <v>226</v>
      </c>
      <c r="E383" s="60" t="s">
        <v>227</v>
      </c>
      <c r="F383" s="60" t="s">
        <v>260</v>
      </c>
      <c r="G383" s="61" t="n">
        <v>64.76</v>
      </c>
      <c r="H383" s="62" t="n">
        <f aca="false">MAX(0,IF(AND(Parameter!$B$21="Ja",ISNUMBER(Y383)),Y383,IF(Parameter!$B$20="Jahresanfang 2025 + Export",BS383+BR383,BR383)))</f>
        <v>9</v>
      </c>
      <c r="I383" s="62" t="n">
        <f aca="false">H383*G383</f>
        <v>582.84</v>
      </c>
      <c r="J383" s="62" t="n">
        <f aca="false">BU383*Parameter!$B$18</f>
        <v>22</v>
      </c>
      <c r="K383" s="63" t="n">
        <v>11.5</v>
      </c>
      <c r="L383" s="64" t="n">
        <v>1.91304347826087</v>
      </c>
      <c r="M383" s="62" t="n">
        <v>1</v>
      </c>
      <c r="N383" s="62" t="n">
        <v>20</v>
      </c>
      <c r="O383" s="65" t="n">
        <v>28</v>
      </c>
      <c r="P383" s="60" t="s">
        <v>370</v>
      </c>
      <c r="Q383" s="62" t="n">
        <v>27</v>
      </c>
      <c r="R383" s="65" t="n">
        <f aca="false">IF(CA383=1,0,IFERROR(VLOOKUP(BY383,'Gebinde-Kategorie'!$A$5:$N$45,13,0)+0,0))</f>
        <v>52</v>
      </c>
      <c r="S383" s="66"/>
      <c r="T383" s="67"/>
      <c r="U383" s="67"/>
      <c r="V383" s="67"/>
      <c r="W383" s="60"/>
      <c r="X383" s="62"/>
      <c r="Y383" s="62"/>
      <c r="Z383" s="60" t="n">
        <v>3</v>
      </c>
      <c r="AA383" s="60" t="n">
        <f aca="false">IF(A383="","",IF(AND(Parameter!$B$21="Ja",ISNUMBER(W383)),W383,IF(AND(Parameter!$E$27="Ja",ISNUMBER(Z383),CD383&lt;&gt;"Nein"),Z383,IF(CD383="2+3",IF(ISNUMBER(SEARCH("grosser Artikel",BV383)),2,IFERROR(VLOOKUP(BY383,Parameter!$F$35:$G$64,2,0),2)),IF(OR(CD383="Nein",CD383=""),"-",CD383)))))</f>
        <v>3</v>
      </c>
      <c r="AB383" s="67"/>
      <c r="AC383" s="68"/>
      <c r="AD383" s="62" t="n">
        <f aca="false">AW383</f>
        <v>21</v>
      </c>
      <c r="AE383" s="62" t="n">
        <f aca="false">MAX(AW383,H383)</f>
        <v>21</v>
      </c>
      <c r="AF383" s="69"/>
      <c r="AG383" s="62" t="n">
        <f aca="false">IF(LEFT(Cockpit!$C$5,1)="A",H383,IF(Parameter!$E$30="MAX-Bestand",IF(CI383=1,CJ383,IF(LEFT(Cockpit!$C$5,1)="B",AM383,MAX(AM383,H383))),ROUNDUP(AK383,0)))</f>
        <v>9</v>
      </c>
      <c r="AH383" s="62" t="n">
        <f aca="false">IF(CA383=1,0,ROUNDUP(AG383/BZ383,0))</f>
        <v>1</v>
      </c>
      <c r="AI383" s="64" t="n">
        <f aca="false">IF(CR383&gt;0,CR383*MAX(1,AG383/X383),IF(CA383=1,IF(AG383&lt;=0,0,CE383*MAX(1,IF(H383&gt;0,AG383/H383,1))),IF(R383&gt;0,AH383/R383,0))/MAX(0.1,N(Parameter!$M$21)))</f>
        <v>0.0192307692307692</v>
      </c>
      <c r="AJ383" s="62" t="n">
        <f aca="false">AI383*CC383</f>
        <v>2.98076923076923</v>
      </c>
      <c r="AK383" s="63" t="n">
        <f aca="false">IF(LEFT(Cockpit!$C$5,1)="A",H383,IF(CI383=1,(CL383+CJ383)/2,IF(LEFT(Cockpit!$C$5,1)="B",(CL383+AM383)/2,MAX((CL383+AM383)/2,H383))))</f>
        <v>9</v>
      </c>
      <c r="AL383" s="62" t="n">
        <f aca="false">AK383*G383</f>
        <v>582.84</v>
      </c>
      <c r="AM383" s="62" t="n">
        <f aca="false">ROUNDUP(CL383+MAX(CM383,2*(J383/IF(CH383&gt;0,CH383,MAX(0.1,N(Cockpit!$C$6)))-CL383)),0)</f>
        <v>21</v>
      </c>
      <c r="AN383" s="63" t="n">
        <f aca="false">IF(AJ383&gt;0,J383/AJ383,-1)</f>
        <v>7.38064516129032</v>
      </c>
      <c r="AO383" s="63" t="n">
        <f aca="false">IF(AND(OR(CG383="L1",CG383="L23",CG383="LIFT"),AJ383&gt;0),SUMIFS($AJ$7:$AJ$1843,$CG$7:$CG$1843,CG383,$AN$7:$AN$1843,"&gt;"&amp;AN383)+SUMIFS($AJ$7:$AJ$1843,$CG$7:$CG$1843,CG383,$AN$7:$AN$1843,AN383,$BX$7:$BX$1843,"&lt;="&amp;BX383),"")</f>
        <v>3151.87820512821</v>
      </c>
      <c r="AP383" s="70" t="n">
        <f aca="false">IF(AO383="",0,MAX(0,MIN(1,(IF(CG383="L1",Parameter!$H$5,IF(CG383="L23",Parameter!$H$6+Parameter!$H$7,Parameter!$H$5+Parameter!$H$6+Parameter!$H$7))-(AO383-AJ383))/AJ383)))</f>
        <v>1</v>
      </c>
      <c r="AQ383" s="62" t="n">
        <f aca="false">IF(LEFT(Cockpit!$I$5,1)="A",H383,IF(Parameter!$E$30="MAX-Bestand",IF(CI383=1,CJ383,IF(LEFT(Cockpit!$I$5,1)="B",AW383,MAX(AW383,H383))),ROUNDUP(AU383,0)))</f>
        <v>11</v>
      </c>
      <c r="AR383" s="62" t="n">
        <f aca="false">IF(CA383=1,0,ROUNDUP(AQ383/BZ383,0))</f>
        <v>1</v>
      </c>
      <c r="AS383" s="64" t="n">
        <f aca="false">IF(CR383&gt;0,CR383*MAX(1,AQ383/X383),IF(CA383=1,IF(AQ383&lt;=0,0,CE383*MAX(1,IF(H383&gt;0,AQ383/H383,1))),IF(R383&gt;0,AR383/R383,0))/MAX(0.1,N(Parameter!$M$21)))</f>
        <v>0.0192307692307692</v>
      </c>
      <c r="AT383" s="62" t="n">
        <f aca="false">AS383*CC383</f>
        <v>2.98076923076923</v>
      </c>
      <c r="AU383" s="63" t="n">
        <f aca="false">IF(LEFT(Cockpit!$I$5,1)="A",H383,IF(CI383=1,(CL383+CJ383)/2,IF(LEFT(Cockpit!$I$5,1)="B",(CL383+AW383)/2,MAX((CL383+AW383)/2,H383))))</f>
        <v>11</v>
      </c>
      <c r="AV383" s="62" t="n">
        <f aca="false">AU383*G383</f>
        <v>712.36</v>
      </c>
      <c r="AW383" s="62" t="n">
        <f aca="false">ROUNDUP(CL383+MAX(CM383,2*(J383/IF(CH383&gt;0,CH383,MAX(0.1,N(Cockpit!$I$6)))-CL383)),0)</f>
        <v>21</v>
      </c>
      <c r="AX383" s="63" t="n">
        <f aca="false">IF(AT383&gt;0,J383/AT383,-1)</f>
        <v>7.38064516129032</v>
      </c>
      <c r="AY383" s="63" t="n">
        <f aca="false">IF(AND(OR(CG383="L1",CG383="L23",CG383="LIFT"),AT383&gt;0),SUMIFS($AT$7:$AT$1843,$CG$7:$CG$1843,CG383,$AX$7:$AX$1843,"&gt;"&amp;AX383)+SUMIFS($AT$7:$AT$1843,$CG$7:$CG$1843,CG383,$AX$7:$AX$1843,AX383,$BX$7:$BX$1843,"&lt;="&amp;BX383),"")</f>
        <v>3812.18956043956</v>
      </c>
      <c r="AZ383" s="70" t="n">
        <f aca="false">IF(AY383="",0,MAX(0,MIN(1,(IF(CG383="L1",Parameter!$H$5,IF(CG383="L23",Parameter!$H$6+Parameter!$H$7,Parameter!$H$5+Parameter!$H$6+Parameter!$H$7))-(AY383-AT383))/AT383)))</f>
        <v>1</v>
      </c>
      <c r="BA383" s="62" t="n">
        <f aca="false">IF(LEFT(Cockpit!$O$5,1)="A",H383,IF(Parameter!$E$30="MAX-Bestand",IF(CI383=1,CJ383,IF(LEFT(Cockpit!$O$5,1)="B",BG383,MAX(BG383,H383))),ROUNDUP(BE383,0)))</f>
        <v>11</v>
      </c>
      <c r="BB383" s="62" t="n">
        <f aca="false">IF(CA383=1,0,ROUNDUP(BA383/BZ383,0))</f>
        <v>1</v>
      </c>
      <c r="BC383" s="64" t="n">
        <f aca="false">IF(CR383&gt;0,CR383*MAX(1,BA383/X383),IF(CA383=1,IF(BA383&lt;=0,0,CE383*MAX(1,IF(H383&gt;0,BA383/H383,1))),IF(R383&gt;0,BB383/R383,0))/MAX(0.1,N(Parameter!$M$21)))</f>
        <v>0.0192307692307692</v>
      </c>
      <c r="BD383" s="62" t="n">
        <f aca="false">BC383*CC383</f>
        <v>2.98076923076923</v>
      </c>
      <c r="BE383" s="63" t="n">
        <f aca="false">IF(LEFT(Cockpit!$O$5,1)="A",H383,IF(CI383=1,(CL383+CJ383)/2,IF(LEFT(Cockpit!$O$5,1)="B",(CL383+BG383)/2,MAX((CL383+BG383)/2,H383))))</f>
        <v>11</v>
      </c>
      <c r="BF383" s="62" t="n">
        <f aca="false">BE383*G383</f>
        <v>712.36</v>
      </c>
      <c r="BG383" s="62" t="n">
        <f aca="false">ROUNDUP(CL383+MAX(CM383,2*(J383/IF(CH383&gt;0,CH383,MAX(0.1,N(Cockpit!$O$6)))-CL383)),0)</f>
        <v>21</v>
      </c>
      <c r="BH383" s="63" t="n">
        <f aca="false">IF(BD383&gt;0,J383/BD383,-1)</f>
        <v>7.38064516129032</v>
      </c>
      <c r="BI383" s="63" t="n">
        <f aca="false">IF(AND(OR(CG383="L1",CG383="L23",CG383="LIFT"),BD383&gt;0),SUMIFS($BD$7:$BD$1843,$CG$7:$CG$1843,CG383,$BH$7:$BH$1843,"&gt;"&amp;BH383)+SUMIFS($BD$7:$BD$1843,$CG$7:$CG$1843,CG383,$BH$7:$BH$1843,BH383,$BX$7:$BX$1843,"&lt;="&amp;BX383),"")</f>
        <v>3209.71291208791</v>
      </c>
      <c r="BJ383" s="70" t="n">
        <f aca="false">IF(BI383="",0,MAX(0,MIN(1,(IF(CG383="L1",Parameter!$H$5,IF(CG383="L23",Parameter!$H$6+Parameter!$H$7,Parameter!$H$5+Parameter!$H$6+Parameter!$H$7))-(BI383-BD383))/BD383)))</f>
        <v>1</v>
      </c>
      <c r="BK383" s="60" t="str">
        <f aca="false">IF(AJ383&lt;=0,"",IF(CG383="Aussen","Aussenlager",IF(CG383="-","Nicht im Lift",IF(AP383&gt;=1,"Lift",IF(AP383&lt;=0,"Aussenlager","teilweise")))))</f>
        <v>Lift</v>
      </c>
      <c r="BL383" s="60" t="str">
        <f aca="false">IF(AT383&lt;=0,"",IF(CG383="Aussen","Aussenlager",IF(CG383="-","Nicht im Lift",IF(AZ383&gt;=1,"Lift",IF(AZ383&lt;=0,"Aussenlager","teilweise")))))</f>
        <v>Lift</v>
      </c>
      <c r="BM383" s="60" t="str">
        <f aca="false">IF(BD383&lt;=0,"",IF(CG383="Aussen","Aussenlager",IF(CG383="-","Nicht im Lift",IF(BJ383&gt;=1,"Lift",IF(BJ383&lt;=0,"Aussenlager","teilweise")))))</f>
        <v>Lift</v>
      </c>
      <c r="BN383" s="60" t="str">
        <f aca="false">IF(A383="","",IF(BW383=1,"Neu; ","")&amp;IF(AND(BW383=0,BR383&lt;0),"negativer Bestand (Export "&amp;BR383&amp;"); ","")&amp;IF(J383&lt;=0,"Kein Verbrauch; ","")&amp;IF(CR383&gt;0,"Lift "&amp;W383&amp;" lt. Liftbericht (Fach "&amp;X383&amp;" Stk); ",IF(CB383=1,"Gebinde geschätzt ("&amp;T383&amp;"); ",IF(CA383=1,"Lose – Tablare geschätzt; ","")))&amp;IF(H383&gt;AW383,"Überbestand "&amp;ROUND(H383-AW383,0)&amp;" Stk / CHF "&amp;ROUND((H383-AW383)*G383,0)&amp;"; ","")&amp;IF(AND(CI383=1,CJ383&lt;CK383),"MAX &lt; MB+LG; ","")&amp;IF(AND(CQ383&gt;0,CP383*10&gt;CQ383),"zu hoch für Tablar; ","")&amp;IF(AND(BW383=0,OR(CI383=1,AB383&lt;&gt;"",U383&lt;&gt;"",V383&lt;&gt;"",AC383&lt;&gt;"")),"manuell übersteuert; ","")&amp;IF(AND(CA383=0,R383=0),"Gebinde unbekannt / Stellmass fehlt; ","")&amp;IF(AND(CA383=0,N(V383)&lt;=0,N(Q383)&lt;=0),"Menge pro Gebinde fehlt (Ist = 1 Gebinde); ","")&amp;BV383)</f>
        <v/>
      </c>
      <c r="BO383" s="60"/>
      <c r="BP383" s="60"/>
      <c r="BQ383" s="67"/>
      <c r="BR383" s="62" t="n">
        <v>1</v>
      </c>
      <c r="BS383" s="62" t="n">
        <v>8</v>
      </c>
      <c r="BT383" s="61" t="n">
        <v>132.6</v>
      </c>
      <c r="BU383" s="62" t="n">
        <v>22</v>
      </c>
      <c r="BV383" s="60"/>
      <c r="BW383" s="65" t="n">
        <v>0</v>
      </c>
      <c r="BX383" s="65" t="n">
        <v>383</v>
      </c>
      <c r="BY383" s="60" t="str">
        <f aca="false">IF(U383&lt;&gt;"",UPPER(TRIM(U383)),IF(CB383=1,UPPER(VLOOKUP(T383,Parameter!$I$27:$K$29,2,0)),IF(P383="","LOSE",P383)))</f>
        <v>S41</v>
      </c>
      <c r="BZ383" s="62" t="n">
        <f aca="false">IF(BY383="LOSE",1,IF(N(V383)&gt;0,V383,IF(CB383=1,MAX(1,N(VLOOKUP(T383,Parameter!$I$27:$K$29,3,0)),H383,N(N383)),IF(N(Q383)&gt;0,Q383,MAX(1,H383)))))</f>
        <v>27</v>
      </c>
      <c r="CA383" s="65" t="n">
        <f aca="false">IF(BY383="LOSE",1,0)</f>
        <v>0</v>
      </c>
      <c r="CB383" s="65" t="n">
        <f aca="false">IF(AND(U383="",OR(P383="",P383="LOSE"),T383&lt;&gt;"",N(S383)&lt;=0,ISNUMBER(MATCH(T383,Parameter!$I$27:$I$29,0))),1,0)</f>
        <v>0</v>
      </c>
      <c r="CC383" s="65" t="n">
        <f aca="false">IF(CR383&gt;0,INDEX(Parameter!$H$5:$H$7,W383)/INDEX(Parameter!$E$5:$E$7,W383),IF(AND(CA383=0,N(IFERROR(VLOOKUP(BY383,'Gebinde-Kategorie'!$A$5:$N$45,14,0),0))&gt;0),VLOOKUP(BY383,'Gebinde-Kategorie'!$A$5:$N$45,14,0)*10+Parameter!$M$23,Parameter!$M$24))</f>
        <v>155</v>
      </c>
      <c r="CD383" s="60" t="str">
        <f aca="false">IF(AND(Parameter!$B$19="Ja",E383&lt;&gt;"",ISNUMBER(MATCH(E383,Parameter!$I$35:$I$52,0))),VLOOKUP(E383,Parameter!$I$35:$J$52,2,0),IFERROR(VLOOKUP(D383,Parameter!$A$35:$C$64,2,0),"Nein"))</f>
        <v>2+3</v>
      </c>
      <c r="CE383" s="64" t="n">
        <f aca="false">IF(CA383=0,0,IF(N(S383)&gt;0,S383,IFERROR(VLOOKUP(D383,Parameter!$A$35:$C$64,3,0)+0,0)))</f>
        <v>0</v>
      </c>
      <c r="CF383" s="60" t="n">
        <f aca="false">IF(AB383&lt;&gt;"",AB383,AA383)</f>
        <v>3</v>
      </c>
      <c r="CG383" s="60" t="str">
        <f aca="false">IF(OR(CF383=1,CF383=2,CF383=3),IF(Parameter!$E$27="Ja","LIFT",IF(CF383=1,"L1","L23")),IF(CF383="Aussen","Aussen","-"))</f>
        <v>LIFT</v>
      </c>
      <c r="CH383" s="71" t="n">
        <f aca="false">IF(N(AC383)&gt;0,AC383,0)</f>
        <v>0</v>
      </c>
      <c r="CI383" s="65" t="n">
        <f aca="false">IF(ISNUMBER(AF383),1,0)</f>
        <v>0</v>
      </c>
      <c r="CJ383" s="62" t="n">
        <f aca="false">N(AF383)</f>
        <v>0</v>
      </c>
      <c r="CK383" s="62" t="n">
        <f aca="false">N(M383)+N(N383)</f>
        <v>21</v>
      </c>
      <c r="CL383" s="62" t="n">
        <f aca="false">N(M383)</f>
        <v>1</v>
      </c>
      <c r="CM383" s="62" t="n">
        <f aca="false">N(N383)</f>
        <v>20</v>
      </c>
      <c r="CN383" s="62" t="n">
        <f aca="false">ROUNDUP(H383/BZ383,0)</f>
        <v>1</v>
      </c>
      <c r="CO383" s="62" t="n">
        <f aca="false">ROUNDUP(CJ383/BZ383,0)</f>
        <v>0</v>
      </c>
      <c r="CP383" s="65" t="n">
        <f aca="false">IF(CA383=1,0,IFERROR(VLOOKUP(BY383,'Gebinde-Kategorie'!$A$5:$N$45,5,0)+0,0))</f>
        <v>11</v>
      </c>
      <c r="CQ383" s="65" t="n">
        <f aca="false">IFERROR(IF(OR(CF383=1,CF383=2,CF383=3),N(INDEX(Parameter!$I$5:$I$7,CF383)),0),0)</f>
        <v>0</v>
      </c>
      <c r="CR383" s="64" t="n">
        <f aca="false">IF(AND(Parameter!$B$21="Ja",ISNUMBER(W383),N(X383)&gt;0),IFERROR(N(INDEX(Parameter!$L$5:$L$7,W383))*INDEX(Parameter!$E$5:$E$7,W383)*X383/SUMIFS($X$7:$X$1843,$W$7:$W$1843,W383),0),0)</f>
        <v>0</v>
      </c>
      <c r="CS383" s="62" t="n">
        <f aca="false">IF(AND(OR(CG383="L1",CG383="L23",CG383="LIFT"),H383&gt;0),CC383*IF(CR383&gt;0,CR383*MAX(1,H383/X383),IF(CA383=1,CE383,IF(R383&gt;0,CN383/R383,0))/MAX(0.1,N(Parameter!$M$21))),"")</f>
        <v>2.98076923076923</v>
      </c>
      <c r="CT383" s="64" t="n">
        <f aca="false">IF(CS383="","",J383/H383)</f>
        <v>2.44444444444444</v>
      </c>
      <c r="CU383" s="62" t="n">
        <f aca="false">IF(CS383="","",H383*G383)</f>
        <v>582.84</v>
      </c>
      <c r="CV383" s="63" t="n">
        <f aca="false">IF(CS383="","",(CL383+ROUNDUP(CL383+MAX(CM383,2*(J383/MAX(0.1,N(Einkauf!$C$6))-CL383)),0))/2)</f>
        <v>11</v>
      </c>
      <c r="CW383" s="62" t="n">
        <f aca="false">IF(CS383="","",MAX(0,H383-CV383)*G383)</f>
        <v>0</v>
      </c>
      <c r="CX383" s="62" t="n">
        <f aca="false">IF(CS383="","",CS383*MAX(0,1-CV383/H383))</f>
        <v>0</v>
      </c>
      <c r="CY383" s="64" t="n">
        <f aca="false">IF(CS383="","",PERCENTRANK($CS$7:$CS$1843,CS383)+PERCENTRANK($CU$7:$CU$1843,CU383)+1-PERCENTRANK($CT$7:$CT$1843,CT383))</f>
        <v>0.906</v>
      </c>
      <c r="CZ383" s="72" t="n">
        <f aca="false">IF(CS383="","",CHOOSE(MATCH(Einkauf!$C$5,Parameter!$G$23:$G$27,0),CY383,CS383,CU383,-CT383,CW383)+ROW()/1000000000)</f>
        <v>0.906000383</v>
      </c>
    </row>
    <row r="384" customFormat="false" ht="15" hidden="false" customHeight="false" outlineLevel="0" collapsed="false">
      <c r="A384" s="60" t="s">
        <v>954</v>
      </c>
      <c r="B384" s="60" t="s">
        <v>955</v>
      </c>
      <c r="C384" s="60" t="s">
        <v>206</v>
      </c>
      <c r="D384" s="60" t="s">
        <v>226</v>
      </c>
      <c r="E384" s="60" t="s">
        <v>227</v>
      </c>
      <c r="F384" s="60" t="s">
        <v>260</v>
      </c>
      <c r="G384" s="61" t="n">
        <v>22.61</v>
      </c>
      <c r="H384" s="62" t="n">
        <f aca="false">MAX(0,IF(AND(Parameter!$B$21="Ja",ISNUMBER(Y384)),Y384,IF(Parameter!$B$20="Jahresanfang 2025 + Export",BS384+BR384,BR384)))</f>
        <v>9</v>
      </c>
      <c r="I384" s="62" t="n">
        <f aca="false">H384*G384</f>
        <v>203.49</v>
      </c>
      <c r="J384" s="62" t="n">
        <f aca="false">BU384*Parameter!$B$18</f>
        <v>6</v>
      </c>
      <c r="K384" s="63" t="n">
        <v>3.5</v>
      </c>
      <c r="L384" s="64" t="n">
        <v>1.71428571428571</v>
      </c>
      <c r="M384" s="62" t="n">
        <v>0</v>
      </c>
      <c r="N384" s="62" t="n">
        <v>5</v>
      </c>
      <c r="O384" s="65" t="n">
        <v>21</v>
      </c>
      <c r="P384" s="60" t="s">
        <v>518</v>
      </c>
      <c r="Q384" s="62" t="n">
        <v>10</v>
      </c>
      <c r="R384" s="65" t="n">
        <f aca="false">IF(CA384=1,0,IFERROR(VLOOKUP(BY384,'Gebinde-Kategorie'!$A$5:$N$45,13,0)+0,0))</f>
        <v>52</v>
      </c>
      <c r="S384" s="66"/>
      <c r="T384" s="67"/>
      <c r="U384" s="67"/>
      <c r="V384" s="67"/>
      <c r="W384" s="60"/>
      <c r="X384" s="62"/>
      <c r="Y384" s="62"/>
      <c r="Z384" s="60" t="n">
        <v>3</v>
      </c>
      <c r="AA384" s="60" t="n">
        <f aca="false">IF(A384="","",IF(AND(Parameter!$B$21="Ja",ISNUMBER(W384)),W384,IF(AND(Parameter!$E$27="Ja",ISNUMBER(Z384),CD384&lt;&gt;"Nein"),Z384,IF(CD384="2+3",IF(ISNUMBER(SEARCH("grosser Artikel",BV384)),2,IFERROR(VLOOKUP(BY384,Parameter!$F$35:$G$64,2,0),2)),IF(OR(CD384="Nein",CD384=""),"-",CD384)))))</f>
        <v>3</v>
      </c>
      <c r="AB384" s="67"/>
      <c r="AC384" s="68"/>
      <c r="AD384" s="62" t="n">
        <f aca="false">AW384</f>
        <v>5</v>
      </c>
      <c r="AE384" s="62" t="n">
        <f aca="false">MAX(AW384,H384)</f>
        <v>9</v>
      </c>
      <c r="AF384" s="69"/>
      <c r="AG384" s="62" t="n">
        <f aca="false">IF(LEFT(Cockpit!$C$5,1)="A",H384,IF(Parameter!$E$30="MAX-Bestand",IF(CI384=1,CJ384,IF(LEFT(Cockpit!$C$5,1)="B",AM384,MAX(AM384,H384))),ROUNDUP(AK384,0)))</f>
        <v>9</v>
      </c>
      <c r="AH384" s="62" t="n">
        <f aca="false">IF(CA384=1,0,ROUNDUP(AG384/BZ384,0))</f>
        <v>1</v>
      </c>
      <c r="AI384" s="64" t="n">
        <f aca="false">IF(CR384&gt;0,CR384*MAX(1,AG384/X384),IF(CA384=1,IF(AG384&lt;=0,0,CE384*MAX(1,IF(H384&gt;0,AG384/H384,1))),IF(R384&gt;0,AH384/R384,0))/MAX(0.1,N(Parameter!$M$21)))</f>
        <v>0.0192307692307692</v>
      </c>
      <c r="AJ384" s="62" t="n">
        <f aca="false">AI384*CC384</f>
        <v>2.98076923076923</v>
      </c>
      <c r="AK384" s="63" t="n">
        <f aca="false">IF(LEFT(Cockpit!$C$5,1)="A",H384,IF(CI384=1,(CL384+CJ384)/2,IF(LEFT(Cockpit!$C$5,1)="B",(CL384+AM384)/2,MAX((CL384+AM384)/2,H384))))</f>
        <v>9</v>
      </c>
      <c r="AL384" s="62" t="n">
        <f aca="false">AK384*G384</f>
        <v>203.49</v>
      </c>
      <c r="AM384" s="62" t="n">
        <f aca="false">ROUNDUP(CL384+MAX(CM384,2*(J384/IF(CH384&gt;0,CH384,MAX(0.1,N(Cockpit!$C$6)))-CL384)),0)</f>
        <v>5</v>
      </c>
      <c r="AN384" s="63" t="n">
        <f aca="false">IF(AJ384&gt;0,J384/AJ384,-1)</f>
        <v>2.01290322580645</v>
      </c>
      <c r="AO384" s="63" t="n">
        <f aca="false">IF(AND(OR(CG384="L1",CG384="L23",CG384="LIFT"),AJ384&gt;0),SUMIFS($AJ$7:$AJ$1843,$CG$7:$CG$1843,CG384,$AN$7:$AN$1843,"&gt;"&amp;AN384)+SUMIFS($AJ$7:$AJ$1843,$CG$7:$CG$1843,CG384,$AN$7:$AN$1843,AN384,$BX$7:$BX$1843,"&lt;="&amp;BX384),"")</f>
        <v>5780.41712454213</v>
      </c>
      <c r="AP384" s="70" t="n">
        <f aca="false">IF(AO384="",0,MAX(0,MIN(1,(IF(CG384="L1",Parameter!$H$5,IF(CG384="L23",Parameter!$H$6+Parameter!$H$7,Parameter!$H$5+Parameter!$H$6+Parameter!$H$7))-(AO384-AJ384))/AJ384)))</f>
        <v>1</v>
      </c>
      <c r="AQ384" s="62" t="n">
        <f aca="false">IF(LEFT(Cockpit!$I$5,1)="A",H384,IF(Parameter!$E$30="MAX-Bestand",IF(CI384=1,CJ384,IF(LEFT(Cockpit!$I$5,1)="B",AW384,MAX(AW384,H384))),ROUNDUP(AU384,0)))</f>
        <v>9</v>
      </c>
      <c r="AR384" s="62" t="n">
        <f aca="false">IF(CA384=1,0,ROUNDUP(AQ384/BZ384,0))</f>
        <v>1</v>
      </c>
      <c r="AS384" s="64" t="n">
        <f aca="false">IF(CR384&gt;0,CR384*MAX(1,AQ384/X384),IF(CA384=1,IF(AQ384&lt;=0,0,CE384*MAX(1,IF(H384&gt;0,AQ384/H384,1))),IF(R384&gt;0,AR384/R384,0))/MAX(0.1,N(Parameter!$M$21)))</f>
        <v>0.0192307692307692</v>
      </c>
      <c r="AT384" s="62" t="n">
        <f aca="false">AS384*CC384</f>
        <v>2.98076923076923</v>
      </c>
      <c r="AU384" s="63" t="n">
        <f aca="false">IF(LEFT(Cockpit!$I$5,1)="A",H384,IF(CI384=1,(CL384+CJ384)/2,IF(LEFT(Cockpit!$I$5,1)="B",(CL384+AW384)/2,MAX((CL384+AW384)/2,H384))))</f>
        <v>9</v>
      </c>
      <c r="AV384" s="62" t="n">
        <f aca="false">AU384*G384</f>
        <v>203.49</v>
      </c>
      <c r="AW384" s="62" t="n">
        <f aca="false">ROUNDUP(CL384+MAX(CM384,2*(J384/IF(CH384&gt;0,CH384,MAX(0.1,N(Cockpit!$I$6)))-CL384)),0)</f>
        <v>5</v>
      </c>
      <c r="AX384" s="63" t="n">
        <f aca="false">IF(AT384&gt;0,J384/AT384,-1)</f>
        <v>2.01290322580645</v>
      </c>
      <c r="AY384" s="63" t="n">
        <f aca="false">IF(AND(OR(CG384="L1",CG384="L23",CG384="LIFT"),AT384&gt;0),SUMIFS($AT$7:$AT$1843,$CG$7:$CG$1843,CG384,$AX$7:$AX$1843,"&gt;"&amp;AX384)+SUMIFS($AT$7:$AT$1843,$CG$7:$CG$1843,CG384,$AX$7:$AX$1843,AX384,$BX$7:$BX$1843,"&lt;="&amp;BX384),"")</f>
        <v>7148.35668498169</v>
      </c>
      <c r="AZ384" s="70" t="n">
        <f aca="false">IF(AY384="",0,MAX(0,MIN(1,(IF(CG384="L1",Parameter!$H$5,IF(CG384="L23",Parameter!$H$6+Parameter!$H$7,Parameter!$H$5+Parameter!$H$6+Parameter!$H$7))-(AY384-AT384))/AT384)))</f>
        <v>1</v>
      </c>
      <c r="BA384" s="62" t="n">
        <f aca="false">IF(LEFT(Cockpit!$O$5,1)="A",H384,IF(Parameter!$E$30="MAX-Bestand",IF(CI384=1,CJ384,IF(LEFT(Cockpit!$O$5,1)="B",BG384,MAX(BG384,H384))),ROUNDUP(BE384,0)))</f>
        <v>3</v>
      </c>
      <c r="BB384" s="62" t="n">
        <f aca="false">IF(CA384=1,0,ROUNDUP(BA384/BZ384,0))</f>
        <v>1</v>
      </c>
      <c r="BC384" s="64" t="n">
        <f aca="false">IF(CR384&gt;0,CR384*MAX(1,BA384/X384),IF(CA384=1,IF(BA384&lt;=0,0,CE384*MAX(1,IF(H384&gt;0,BA384/H384,1))),IF(R384&gt;0,BB384/R384,0))/MAX(0.1,N(Parameter!$M$21)))</f>
        <v>0.0192307692307692</v>
      </c>
      <c r="BD384" s="62" t="n">
        <f aca="false">BC384*CC384</f>
        <v>2.98076923076923</v>
      </c>
      <c r="BE384" s="63" t="n">
        <f aca="false">IF(LEFT(Cockpit!$O$5,1)="A",H384,IF(CI384=1,(CL384+CJ384)/2,IF(LEFT(Cockpit!$O$5,1)="B",(CL384+BG384)/2,MAX((CL384+BG384)/2,H384))))</f>
        <v>2.5</v>
      </c>
      <c r="BF384" s="62" t="n">
        <f aca="false">BE384*G384</f>
        <v>56.525</v>
      </c>
      <c r="BG384" s="62" t="n">
        <f aca="false">ROUNDUP(CL384+MAX(CM384,2*(J384/IF(CH384&gt;0,CH384,MAX(0.1,N(Cockpit!$O$6)))-CL384)),0)</f>
        <v>5</v>
      </c>
      <c r="BH384" s="63" t="n">
        <f aca="false">IF(BD384&gt;0,J384/BD384,-1)</f>
        <v>2.01290322580645</v>
      </c>
      <c r="BI384" s="63" t="n">
        <f aca="false">IF(AND(OR(CG384="L1",CG384="L23",CG384="LIFT"),BD384&gt;0),SUMIFS($BD$7:$BD$1843,$CG$7:$CG$1843,CG384,$BH$7:$BH$1843,"&gt;"&amp;BH384)+SUMIFS($BD$7:$BD$1843,$CG$7:$CG$1843,CG384,$BH$7:$BH$1843,BH384,$BX$7:$BX$1843,"&lt;="&amp;BX384),"")</f>
        <v>5859.13141025641</v>
      </c>
      <c r="BJ384" s="70" t="n">
        <f aca="false">IF(BI384="",0,MAX(0,MIN(1,(IF(CG384="L1",Parameter!$H$5,IF(CG384="L23",Parameter!$H$6+Parameter!$H$7,Parameter!$H$5+Parameter!$H$6+Parameter!$H$7))-(BI384-BD384))/BD384)))</f>
        <v>1</v>
      </c>
      <c r="BK384" s="60" t="str">
        <f aca="false">IF(AJ384&lt;=0,"",IF(CG384="Aussen","Aussenlager",IF(CG384="-","Nicht im Lift",IF(AP384&gt;=1,"Lift",IF(AP384&lt;=0,"Aussenlager","teilweise")))))</f>
        <v>Lift</v>
      </c>
      <c r="BL384" s="60" t="str">
        <f aca="false">IF(AT384&lt;=0,"",IF(CG384="Aussen","Aussenlager",IF(CG384="-","Nicht im Lift",IF(AZ384&gt;=1,"Lift",IF(AZ384&lt;=0,"Aussenlager","teilweise")))))</f>
        <v>Lift</v>
      </c>
      <c r="BM384" s="60" t="str">
        <f aca="false">IF(BD384&lt;=0,"",IF(CG384="Aussen","Aussenlager",IF(CG384="-","Nicht im Lift",IF(BJ384&gt;=1,"Lift",IF(BJ384&lt;=0,"Aussenlager","teilweise")))))</f>
        <v>Lift</v>
      </c>
      <c r="BN384" s="60" t="str">
        <f aca="false">IF(A384="","",IF(BW384=1,"Neu; ","")&amp;IF(AND(BW384=0,BR384&lt;0),"negativer Bestand (Export "&amp;BR384&amp;"); ","")&amp;IF(J384&lt;=0,"Kein Verbrauch; ","")&amp;IF(CR384&gt;0,"Lift "&amp;W384&amp;" lt. Liftbericht (Fach "&amp;X384&amp;" Stk); ",IF(CB384=1,"Gebinde geschätzt ("&amp;T384&amp;"); ",IF(CA384=1,"Lose – Tablare geschätzt; ","")))&amp;IF(H384&gt;AW384,"Überbestand "&amp;ROUND(H384-AW384,0)&amp;" Stk / CHF "&amp;ROUND((H384-AW384)*G384,0)&amp;"; ","")&amp;IF(AND(CI384=1,CJ384&lt;CK384),"MAX &lt; MB+LG; ","")&amp;IF(AND(CQ384&gt;0,CP384*10&gt;CQ384),"zu hoch für Tablar; ","")&amp;IF(AND(BW384=0,OR(CI384=1,AB384&lt;&gt;"",U384&lt;&gt;"",V384&lt;&gt;"",AC384&lt;&gt;"")),"manuell übersteuert; ","")&amp;IF(AND(CA384=0,R384=0),"Gebinde unbekannt / Stellmass fehlt; ","")&amp;IF(AND(CA384=0,N(V384)&lt;=0,N(Q384)&lt;=0),"Menge pro Gebinde fehlt (Ist = 1 Gebinde); ","")&amp;BV384)</f>
        <v>Überbestand 4 Stk / CHF 90; </v>
      </c>
      <c r="BO384" s="60"/>
      <c r="BP384" s="60"/>
      <c r="BQ384" s="67"/>
      <c r="BR384" s="62" t="n">
        <v>5</v>
      </c>
      <c r="BS384" s="62" t="n">
        <v>4</v>
      </c>
      <c r="BT384" s="61" t="n">
        <v>130.89</v>
      </c>
      <c r="BU384" s="62" t="n">
        <v>6</v>
      </c>
      <c r="BV384" s="60"/>
      <c r="BW384" s="65" t="n">
        <v>0</v>
      </c>
      <c r="BX384" s="65" t="n">
        <v>384</v>
      </c>
      <c r="BY384" s="60" t="str">
        <f aca="false">IF(U384&lt;&gt;"",UPPER(TRIM(U384)),IF(CB384=1,UPPER(VLOOKUP(T384,Parameter!$I$27:$K$29,2,0)),IF(P384="","LOSE",P384)))</f>
        <v>S33</v>
      </c>
      <c r="BZ384" s="62" t="n">
        <f aca="false">IF(BY384="LOSE",1,IF(N(V384)&gt;0,V384,IF(CB384=1,MAX(1,N(VLOOKUP(T384,Parameter!$I$27:$K$29,3,0)),H384,N(N384)),IF(N(Q384)&gt;0,Q384,MAX(1,H384)))))</f>
        <v>10</v>
      </c>
      <c r="CA384" s="65" t="n">
        <f aca="false">IF(BY384="LOSE",1,0)</f>
        <v>0</v>
      </c>
      <c r="CB384" s="65" t="n">
        <f aca="false">IF(AND(U384="",OR(P384="",P384="LOSE"),T384&lt;&gt;"",N(S384)&lt;=0,ISNUMBER(MATCH(T384,Parameter!$I$27:$I$29,0))),1,0)</f>
        <v>0</v>
      </c>
      <c r="CC384" s="65" t="n">
        <f aca="false">IF(CR384&gt;0,INDEX(Parameter!$H$5:$H$7,W384)/INDEX(Parameter!$E$5:$E$7,W384),IF(AND(CA384=0,N(IFERROR(VLOOKUP(BY384,'Gebinde-Kategorie'!$A$5:$N$45,14,0),0))&gt;0),VLOOKUP(BY384,'Gebinde-Kategorie'!$A$5:$N$45,14,0)*10+Parameter!$M$23,Parameter!$M$24))</f>
        <v>155</v>
      </c>
      <c r="CD384" s="60" t="str">
        <f aca="false">IF(AND(Parameter!$B$19="Ja",E384&lt;&gt;"",ISNUMBER(MATCH(E384,Parameter!$I$35:$I$52,0))),VLOOKUP(E384,Parameter!$I$35:$J$52,2,0),IFERROR(VLOOKUP(D384,Parameter!$A$35:$C$64,2,0),"Nein"))</f>
        <v>2+3</v>
      </c>
      <c r="CE384" s="64" t="n">
        <f aca="false">IF(CA384=0,0,IF(N(S384)&gt;0,S384,IFERROR(VLOOKUP(D384,Parameter!$A$35:$C$64,3,0)+0,0)))</f>
        <v>0</v>
      </c>
      <c r="CF384" s="60" t="n">
        <f aca="false">IF(AB384&lt;&gt;"",AB384,AA384)</f>
        <v>3</v>
      </c>
      <c r="CG384" s="60" t="str">
        <f aca="false">IF(OR(CF384=1,CF384=2,CF384=3),IF(Parameter!$E$27="Ja","LIFT",IF(CF384=1,"L1","L23")),IF(CF384="Aussen","Aussen","-"))</f>
        <v>LIFT</v>
      </c>
      <c r="CH384" s="71" t="n">
        <f aca="false">IF(N(AC384)&gt;0,AC384,0)</f>
        <v>0</v>
      </c>
      <c r="CI384" s="65" t="n">
        <f aca="false">IF(ISNUMBER(AF384),1,0)</f>
        <v>0</v>
      </c>
      <c r="CJ384" s="62" t="n">
        <f aca="false">N(AF384)</f>
        <v>0</v>
      </c>
      <c r="CK384" s="62" t="n">
        <f aca="false">N(M384)+N(N384)</f>
        <v>5</v>
      </c>
      <c r="CL384" s="62" t="n">
        <f aca="false">N(M384)</f>
        <v>0</v>
      </c>
      <c r="CM384" s="62" t="n">
        <f aca="false">N(N384)</f>
        <v>5</v>
      </c>
      <c r="CN384" s="62" t="n">
        <f aca="false">ROUNDUP(H384/BZ384,0)</f>
        <v>1</v>
      </c>
      <c r="CO384" s="62" t="n">
        <f aca="false">ROUNDUP(CJ384/BZ384,0)</f>
        <v>0</v>
      </c>
      <c r="CP384" s="65" t="n">
        <f aca="false">IF(CA384=1,0,IFERROR(VLOOKUP(BY384,'Gebinde-Kategorie'!$A$5:$N$45,5,0)+0,0))</f>
        <v>8</v>
      </c>
      <c r="CQ384" s="65" t="n">
        <f aca="false">IFERROR(IF(OR(CF384=1,CF384=2,CF384=3),N(INDEX(Parameter!$I$5:$I$7,CF384)),0),0)</f>
        <v>0</v>
      </c>
      <c r="CR384" s="64" t="n">
        <f aca="false">IF(AND(Parameter!$B$21="Ja",ISNUMBER(W384),N(X384)&gt;0),IFERROR(N(INDEX(Parameter!$L$5:$L$7,W384))*INDEX(Parameter!$E$5:$E$7,W384)*X384/SUMIFS($X$7:$X$1843,$W$7:$W$1843,W384),0),0)</f>
        <v>0</v>
      </c>
      <c r="CS384" s="62" t="n">
        <f aca="false">IF(AND(OR(CG384="L1",CG384="L23",CG384="LIFT"),H384&gt;0),CC384*IF(CR384&gt;0,CR384*MAX(1,H384/X384),IF(CA384=1,CE384,IF(R384&gt;0,CN384/R384,0))/MAX(0.1,N(Parameter!$M$21))),"")</f>
        <v>2.98076923076923</v>
      </c>
      <c r="CT384" s="64" t="n">
        <f aca="false">IF(CS384="","",J384/H384)</f>
        <v>0.666666666666667</v>
      </c>
      <c r="CU384" s="62" t="n">
        <f aca="false">IF(CS384="","",H384*G384)</f>
        <v>203.49</v>
      </c>
      <c r="CV384" s="63" t="n">
        <f aca="false">IF(CS384="","",(CL384+ROUNDUP(CL384+MAX(CM384,2*(J384/MAX(0.1,N(Einkauf!$C$6))-CL384)),0))/2)</f>
        <v>2.5</v>
      </c>
      <c r="CW384" s="62" t="n">
        <f aca="false">IF(CS384="","",MAX(0,H384-CV384)*G384)</f>
        <v>146.965</v>
      </c>
      <c r="CX384" s="62" t="n">
        <f aca="false">IF(CS384="","",CS384*MAX(0,1-CV384/H384))</f>
        <v>2.15277777777778</v>
      </c>
      <c r="CY384" s="64" t="n">
        <f aca="false">IF(CS384="","",PERCENTRANK($CS$7:$CS$1843,CS384)+PERCENTRANK($CU$7:$CU$1843,CU384)+1-PERCENTRANK($CT$7:$CT$1843,CT384))</f>
        <v>0.977</v>
      </c>
      <c r="CZ384" s="72" t="n">
        <f aca="false">IF(CS384="","",CHOOSE(MATCH(Einkauf!$C$5,Parameter!$G$23:$G$27,0),CY384,CS384,CU384,-CT384,CW384)+ROW()/1000000000)</f>
        <v>0.977000384</v>
      </c>
    </row>
    <row r="385" customFormat="false" ht="15" hidden="false" customHeight="false" outlineLevel="0" collapsed="false">
      <c r="A385" s="60" t="s">
        <v>956</v>
      </c>
      <c r="B385" s="60" t="s">
        <v>449</v>
      </c>
      <c r="C385" s="60" t="s">
        <v>206</v>
      </c>
      <c r="D385" s="60" t="s">
        <v>226</v>
      </c>
      <c r="E385" s="60" t="s">
        <v>227</v>
      </c>
      <c r="F385" s="60" t="s">
        <v>260</v>
      </c>
      <c r="G385" s="61" t="n">
        <v>0.51</v>
      </c>
      <c r="H385" s="62" t="n">
        <f aca="false">MAX(0,IF(AND(Parameter!$B$21="Ja",ISNUMBER(Y385)),Y385,IF(Parameter!$B$20="Jahresanfang 2025 + Export",BS385+BR385,BR385)))</f>
        <v>407</v>
      </c>
      <c r="I385" s="62" t="n">
        <f aca="false">H385*G385</f>
        <v>207.57</v>
      </c>
      <c r="J385" s="62" t="n">
        <f aca="false">BU385*Parameter!$B$18</f>
        <v>309</v>
      </c>
      <c r="K385" s="63" t="n">
        <v>146</v>
      </c>
      <c r="L385" s="64" t="n">
        <v>2.11643835616438</v>
      </c>
      <c r="M385" s="62" t="n">
        <v>18</v>
      </c>
      <c r="N385" s="62" t="n">
        <v>400</v>
      </c>
      <c r="O385" s="65" t="n">
        <v>21</v>
      </c>
      <c r="P385" s="60" t="s">
        <v>468</v>
      </c>
      <c r="Q385" s="62" t="n">
        <v>118</v>
      </c>
      <c r="R385" s="65" t="n">
        <f aca="false">IF(CA385=1,0,IFERROR(VLOOKUP(BY385,'Gebinde-Kategorie'!$A$5:$N$45,13,0)+0,0))</f>
        <v>140</v>
      </c>
      <c r="S385" s="66"/>
      <c r="T385" s="67"/>
      <c r="U385" s="67"/>
      <c r="V385" s="67"/>
      <c r="W385" s="60"/>
      <c r="X385" s="62"/>
      <c r="Y385" s="62"/>
      <c r="Z385" s="60" t="n">
        <v>3</v>
      </c>
      <c r="AA385" s="60" t="n">
        <f aca="false">IF(A385="","",IF(AND(Parameter!$B$21="Ja",ISNUMBER(W385)),W385,IF(AND(Parameter!$E$27="Ja",ISNUMBER(Z385),CD385&lt;&gt;"Nein"),Z385,IF(CD385="2+3",IF(ISNUMBER(SEARCH("grosser Artikel",BV385)),2,IFERROR(VLOOKUP(BY385,Parameter!$F$35:$G$64,2,0),2)),IF(OR(CD385="Nein",CD385=""),"-",CD385)))))</f>
        <v>3</v>
      </c>
      <c r="AB385" s="67"/>
      <c r="AC385" s="68"/>
      <c r="AD385" s="62" t="n">
        <f aca="false">AW385</f>
        <v>418</v>
      </c>
      <c r="AE385" s="62" t="n">
        <f aca="false">MAX(AW385,H385)</f>
        <v>418</v>
      </c>
      <c r="AF385" s="69"/>
      <c r="AG385" s="62" t="n">
        <f aca="false">IF(LEFT(Cockpit!$C$5,1)="A",H385,IF(Parameter!$E$30="MAX-Bestand",IF(CI385=1,CJ385,IF(LEFT(Cockpit!$C$5,1)="B",AM385,MAX(AM385,H385))),ROUNDUP(AK385,0)))</f>
        <v>407</v>
      </c>
      <c r="AH385" s="62" t="n">
        <f aca="false">IF(CA385=1,0,ROUNDUP(AG385/BZ385,0))</f>
        <v>4</v>
      </c>
      <c r="AI385" s="64" t="n">
        <f aca="false">IF(CR385&gt;0,CR385*MAX(1,AG385/X385),IF(CA385=1,IF(AG385&lt;=0,0,CE385*MAX(1,IF(H385&gt;0,AG385/H385,1))),IF(R385&gt;0,AH385/R385,0))/MAX(0.1,N(Parameter!$M$21)))</f>
        <v>0.0285714285714286</v>
      </c>
      <c r="AJ385" s="62" t="n">
        <f aca="false">AI385*CC385</f>
        <v>4.42857142857143</v>
      </c>
      <c r="AK385" s="63" t="n">
        <f aca="false">IF(LEFT(Cockpit!$C$5,1)="A",H385,IF(CI385=1,(CL385+CJ385)/2,IF(LEFT(Cockpit!$C$5,1)="B",(CL385+AM385)/2,MAX((CL385+AM385)/2,H385))))</f>
        <v>407</v>
      </c>
      <c r="AL385" s="62" t="n">
        <f aca="false">AK385*G385</f>
        <v>207.57</v>
      </c>
      <c r="AM385" s="62" t="n">
        <f aca="false">ROUNDUP(CL385+MAX(CM385,2*(J385/IF(CH385&gt;0,CH385,MAX(0.1,N(Cockpit!$C$6)))-CL385)),0)</f>
        <v>418</v>
      </c>
      <c r="AN385" s="63" t="n">
        <f aca="false">IF(AJ385&gt;0,J385/AJ385,-1)</f>
        <v>69.7741935483871</v>
      </c>
      <c r="AO385" s="63" t="n">
        <f aca="false">IF(AND(OR(CG385="L1",CG385="L23",CG385="LIFT"),AJ385&gt;0),SUMIFS($AJ$7:$AJ$1843,$CG$7:$CG$1843,CG385,$AN$7:$AN$1843,"&gt;"&amp;AN385)+SUMIFS($AJ$7:$AJ$1843,$CG$7:$CG$1843,CG385,$AN$7:$AN$1843,AN385,$BX$7:$BX$1843,"&lt;="&amp;BX385),"")</f>
        <v>914.773351648352</v>
      </c>
      <c r="AP385" s="70" t="n">
        <f aca="false">IF(AO385="",0,MAX(0,MIN(1,(IF(CG385="L1",Parameter!$H$5,IF(CG385="L23",Parameter!$H$6+Parameter!$H$7,Parameter!$H$5+Parameter!$H$6+Parameter!$H$7))-(AO385-AJ385))/AJ385)))</f>
        <v>1</v>
      </c>
      <c r="AQ385" s="62" t="n">
        <f aca="false">IF(LEFT(Cockpit!$I$5,1)="A",H385,IF(Parameter!$E$30="MAX-Bestand",IF(CI385=1,CJ385,IF(LEFT(Cockpit!$I$5,1)="B",AW385,MAX(AW385,H385))),ROUNDUP(AU385,0)))</f>
        <v>407</v>
      </c>
      <c r="AR385" s="62" t="n">
        <f aca="false">IF(CA385=1,0,ROUNDUP(AQ385/BZ385,0))</f>
        <v>4</v>
      </c>
      <c r="AS385" s="64" t="n">
        <f aca="false">IF(CR385&gt;0,CR385*MAX(1,AQ385/X385),IF(CA385=1,IF(AQ385&lt;=0,0,CE385*MAX(1,IF(H385&gt;0,AQ385/H385,1))),IF(R385&gt;0,AR385/R385,0))/MAX(0.1,N(Parameter!$M$21)))</f>
        <v>0.0285714285714286</v>
      </c>
      <c r="AT385" s="62" t="n">
        <f aca="false">AS385*CC385</f>
        <v>4.42857142857143</v>
      </c>
      <c r="AU385" s="63" t="n">
        <f aca="false">IF(LEFT(Cockpit!$I$5,1)="A",H385,IF(CI385=1,(CL385+CJ385)/2,IF(LEFT(Cockpit!$I$5,1)="B",(CL385+AW385)/2,MAX((CL385+AW385)/2,H385))))</f>
        <v>407</v>
      </c>
      <c r="AV385" s="62" t="n">
        <f aca="false">AU385*G385</f>
        <v>207.57</v>
      </c>
      <c r="AW385" s="62" t="n">
        <f aca="false">ROUNDUP(CL385+MAX(CM385,2*(J385/IF(CH385&gt;0,CH385,MAX(0.1,N(Cockpit!$I$6)))-CL385)),0)</f>
        <v>418</v>
      </c>
      <c r="AX385" s="63" t="n">
        <f aca="false">IF(AT385&gt;0,J385/AT385,-1)</f>
        <v>69.7741935483871</v>
      </c>
      <c r="AY385" s="63" t="n">
        <f aca="false">IF(AND(OR(CG385="L1",CG385="L23",CG385="LIFT"),AT385&gt;0),SUMIFS($AT$7:$AT$1843,$CG$7:$CG$1843,CG385,$AX$7:$AX$1843,"&gt;"&amp;AX385)+SUMIFS($AT$7:$AT$1843,$CG$7:$CG$1843,CG385,$AX$7:$AX$1843,AX385,$BX$7:$BX$1843,"&lt;="&amp;BX385),"")</f>
        <v>1126.5782967033</v>
      </c>
      <c r="AZ385" s="70" t="n">
        <f aca="false">IF(AY385="",0,MAX(0,MIN(1,(IF(CG385="L1",Parameter!$H$5,IF(CG385="L23",Parameter!$H$6+Parameter!$H$7,Parameter!$H$5+Parameter!$H$6+Parameter!$H$7))-(AY385-AT385))/AT385)))</f>
        <v>1</v>
      </c>
      <c r="BA385" s="62" t="n">
        <f aca="false">IF(LEFT(Cockpit!$O$5,1)="A",H385,IF(Parameter!$E$30="MAX-Bestand",IF(CI385=1,CJ385,IF(LEFT(Cockpit!$O$5,1)="B",BG385,MAX(BG385,H385))),ROUNDUP(BE385,0)))</f>
        <v>218</v>
      </c>
      <c r="BB385" s="62" t="n">
        <f aca="false">IF(CA385=1,0,ROUNDUP(BA385/BZ385,0))</f>
        <v>2</v>
      </c>
      <c r="BC385" s="64" t="n">
        <f aca="false">IF(CR385&gt;0,CR385*MAX(1,BA385/X385),IF(CA385=1,IF(BA385&lt;=0,0,CE385*MAX(1,IF(H385&gt;0,BA385/H385,1))),IF(R385&gt;0,BB385/R385,0))/MAX(0.1,N(Parameter!$M$21)))</f>
        <v>0.0142857142857143</v>
      </c>
      <c r="BD385" s="62" t="n">
        <f aca="false">BC385*CC385</f>
        <v>2.21428571428571</v>
      </c>
      <c r="BE385" s="63" t="n">
        <f aca="false">IF(LEFT(Cockpit!$O$5,1)="A",H385,IF(CI385=1,(CL385+CJ385)/2,IF(LEFT(Cockpit!$O$5,1)="B",(CL385+BG385)/2,MAX((CL385+BG385)/2,H385))))</f>
        <v>218</v>
      </c>
      <c r="BF385" s="62" t="n">
        <f aca="false">BE385*G385</f>
        <v>111.18</v>
      </c>
      <c r="BG385" s="62" t="n">
        <f aca="false">ROUNDUP(CL385+MAX(CM385,2*(J385/IF(CH385&gt;0,CH385,MAX(0.1,N(Cockpit!$O$6)))-CL385)),0)</f>
        <v>418</v>
      </c>
      <c r="BH385" s="63" t="n">
        <f aca="false">IF(BD385&gt;0,J385/BD385,-1)</f>
        <v>139.548387096774</v>
      </c>
      <c r="BI385" s="63" t="n">
        <f aca="false">IF(AND(OR(CG385="L1",CG385="L23",CG385="LIFT"),BD385&gt;0),SUMIFS($BD$7:$BD$1843,$CG$7:$CG$1843,CG385,$BH$7:$BH$1843,"&gt;"&amp;BH385)+SUMIFS($BD$7:$BD$1843,$CG$7:$CG$1843,CG385,$BH$7:$BH$1843,BH385,$BX$7:$BX$1843,"&lt;="&amp;BX385),"")</f>
        <v>596.315934065934</v>
      </c>
      <c r="BJ385" s="70" t="n">
        <f aca="false">IF(BI385="",0,MAX(0,MIN(1,(IF(CG385="L1",Parameter!$H$5,IF(CG385="L23",Parameter!$H$6+Parameter!$H$7,Parameter!$H$5+Parameter!$H$6+Parameter!$H$7))-(BI385-BD385))/BD385)))</f>
        <v>1</v>
      </c>
      <c r="BK385" s="60" t="str">
        <f aca="false">IF(AJ385&lt;=0,"",IF(CG385="Aussen","Aussenlager",IF(CG385="-","Nicht im Lift",IF(AP385&gt;=1,"Lift",IF(AP385&lt;=0,"Aussenlager","teilweise")))))</f>
        <v>Lift</v>
      </c>
      <c r="BL385" s="60" t="str">
        <f aca="false">IF(AT385&lt;=0,"",IF(CG385="Aussen","Aussenlager",IF(CG385="-","Nicht im Lift",IF(AZ385&gt;=1,"Lift",IF(AZ385&lt;=0,"Aussenlager","teilweise")))))</f>
        <v>Lift</v>
      </c>
      <c r="BM385" s="60" t="str">
        <f aca="false">IF(BD385&lt;=0,"",IF(CG385="Aussen","Aussenlager",IF(CG385="-","Nicht im Lift",IF(BJ385&gt;=1,"Lift",IF(BJ385&lt;=0,"Aussenlager","teilweise")))))</f>
        <v>Lift</v>
      </c>
      <c r="BN385" s="60" t="str">
        <f aca="false">IF(A385="","",IF(BW385=1,"Neu; ","")&amp;IF(AND(BW385=0,BR385&lt;0),"negativer Bestand (Export "&amp;BR385&amp;"); ","")&amp;IF(J385&lt;=0,"Kein Verbrauch; ","")&amp;IF(CR385&gt;0,"Lift "&amp;W385&amp;" lt. Liftbericht (Fach "&amp;X385&amp;" Stk); ",IF(CB385=1,"Gebinde geschätzt ("&amp;T385&amp;"); ",IF(CA385=1,"Lose – Tablare geschätzt; ","")))&amp;IF(H385&gt;AW385,"Überbestand "&amp;ROUND(H385-AW385,0)&amp;" Stk / CHF "&amp;ROUND((H385-AW385)*G385,0)&amp;"; ","")&amp;IF(AND(CI385=1,CJ385&lt;CK385),"MAX &lt; MB+LG; ","")&amp;IF(AND(CQ385&gt;0,CP385*10&gt;CQ385),"zu hoch für Tablar; ","")&amp;IF(AND(BW385=0,OR(CI385=1,AB385&lt;&gt;"",U385&lt;&gt;"",V385&lt;&gt;"",AC385&lt;&gt;"")),"manuell übersteuert; ","")&amp;IF(AND(CA385=0,R385=0),"Gebinde unbekannt / Stellmass fehlt; ","")&amp;IF(AND(CA385=0,N(V385)&lt;=0,N(Q385)&lt;=0),"Menge pro Gebinde fehlt (Ist = 1 Gebinde); ","")&amp;BV385)</f>
        <v/>
      </c>
      <c r="BO385" s="60"/>
      <c r="BP385" s="60"/>
      <c r="BQ385" s="67"/>
      <c r="BR385" s="62" t="n">
        <v>257</v>
      </c>
      <c r="BS385" s="62" t="n">
        <v>150</v>
      </c>
      <c r="BT385" s="61" t="n">
        <v>129.57</v>
      </c>
      <c r="BU385" s="62" t="n">
        <v>309</v>
      </c>
      <c r="BV385" s="60"/>
      <c r="BW385" s="65" t="n">
        <v>0</v>
      </c>
      <c r="BX385" s="65" t="n">
        <v>385</v>
      </c>
      <c r="BY385" s="60" t="str">
        <f aca="false">IF(U385&lt;&gt;"",UPPER(TRIM(U385)),IF(CB385=1,UPPER(VLOOKUP(T385,Parameter!$I$27:$K$29,2,0)),IF(P385="","LOSE",P385)))</f>
        <v>S22</v>
      </c>
      <c r="BZ385" s="62" t="n">
        <f aca="false">IF(BY385="LOSE",1,IF(N(V385)&gt;0,V385,IF(CB385=1,MAX(1,N(VLOOKUP(T385,Parameter!$I$27:$K$29,3,0)),H385,N(N385)),IF(N(Q385)&gt;0,Q385,MAX(1,H385)))))</f>
        <v>118</v>
      </c>
      <c r="CA385" s="65" t="n">
        <f aca="false">IF(BY385="LOSE",1,0)</f>
        <v>0</v>
      </c>
      <c r="CB385" s="65" t="n">
        <f aca="false">IF(AND(U385="",OR(P385="",P385="LOSE"),T385&lt;&gt;"",N(S385)&lt;=0,ISNUMBER(MATCH(T385,Parameter!$I$27:$I$29,0))),1,0)</f>
        <v>0</v>
      </c>
      <c r="CC385" s="65" t="n">
        <f aca="false">IF(CR385&gt;0,INDEX(Parameter!$H$5:$H$7,W385)/INDEX(Parameter!$E$5:$E$7,W385),IF(AND(CA385=0,N(IFERROR(VLOOKUP(BY385,'Gebinde-Kategorie'!$A$5:$N$45,14,0),0))&gt;0),VLOOKUP(BY385,'Gebinde-Kategorie'!$A$5:$N$45,14,0)*10+Parameter!$M$23,Parameter!$M$24))</f>
        <v>155</v>
      </c>
      <c r="CD385" s="60" t="str">
        <f aca="false">IF(AND(Parameter!$B$19="Ja",E385&lt;&gt;"",ISNUMBER(MATCH(E385,Parameter!$I$35:$I$52,0))),VLOOKUP(E385,Parameter!$I$35:$J$52,2,0),IFERROR(VLOOKUP(D385,Parameter!$A$35:$C$64,2,0),"Nein"))</f>
        <v>2+3</v>
      </c>
      <c r="CE385" s="64" t="n">
        <f aca="false">IF(CA385=0,0,IF(N(S385)&gt;0,S385,IFERROR(VLOOKUP(D385,Parameter!$A$35:$C$64,3,0)+0,0)))</f>
        <v>0</v>
      </c>
      <c r="CF385" s="60" t="n">
        <f aca="false">IF(AB385&lt;&gt;"",AB385,AA385)</f>
        <v>3</v>
      </c>
      <c r="CG385" s="60" t="str">
        <f aca="false">IF(OR(CF385=1,CF385=2,CF385=3),IF(Parameter!$E$27="Ja","LIFT",IF(CF385=1,"L1","L23")),IF(CF385="Aussen","Aussen","-"))</f>
        <v>LIFT</v>
      </c>
      <c r="CH385" s="71" t="n">
        <f aca="false">IF(N(AC385)&gt;0,AC385,0)</f>
        <v>0</v>
      </c>
      <c r="CI385" s="65" t="n">
        <f aca="false">IF(ISNUMBER(AF385),1,0)</f>
        <v>0</v>
      </c>
      <c r="CJ385" s="62" t="n">
        <f aca="false">N(AF385)</f>
        <v>0</v>
      </c>
      <c r="CK385" s="62" t="n">
        <f aca="false">N(M385)+N(N385)</f>
        <v>418</v>
      </c>
      <c r="CL385" s="62" t="n">
        <f aca="false">N(M385)</f>
        <v>18</v>
      </c>
      <c r="CM385" s="62" t="n">
        <f aca="false">N(N385)</f>
        <v>400</v>
      </c>
      <c r="CN385" s="62" t="n">
        <f aca="false">ROUNDUP(H385/BZ385,0)</f>
        <v>4</v>
      </c>
      <c r="CO385" s="62" t="n">
        <f aca="false">ROUNDUP(CJ385/BZ385,0)</f>
        <v>0</v>
      </c>
      <c r="CP385" s="65" t="n">
        <f aca="false">IF(CA385=1,0,IFERROR(VLOOKUP(BY385,'Gebinde-Kategorie'!$A$5:$N$45,5,0)+0,0))</f>
        <v>8</v>
      </c>
      <c r="CQ385" s="65" t="n">
        <f aca="false">IFERROR(IF(OR(CF385=1,CF385=2,CF385=3),N(INDEX(Parameter!$I$5:$I$7,CF385)),0),0)</f>
        <v>0</v>
      </c>
      <c r="CR385" s="64" t="n">
        <f aca="false">IF(AND(Parameter!$B$21="Ja",ISNUMBER(W385),N(X385)&gt;0),IFERROR(N(INDEX(Parameter!$L$5:$L$7,W385))*INDEX(Parameter!$E$5:$E$7,W385)*X385/SUMIFS($X$7:$X$1843,$W$7:$W$1843,W385),0),0)</f>
        <v>0</v>
      </c>
      <c r="CS385" s="62" t="n">
        <f aca="false">IF(AND(OR(CG385="L1",CG385="L23",CG385="LIFT"),H385&gt;0),CC385*IF(CR385&gt;0,CR385*MAX(1,H385/X385),IF(CA385=1,CE385,IF(R385&gt;0,CN385/R385,0))/MAX(0.1,N(Parameter!$M$21))),"")</f>
        <v>4.42857142857143</v>
      </c>
      <c r="CT385" s="64" t="n">
        <f aca="false">IF(CS385="","",J385/H385)</f>
        <v>0.759213759213759</v>
      </c>
      <c r="CU385" s="62" t="n">
        <f aca="false">IF(CS385="","",H385*G385)</f>
        <v>207.57</v>
      </c>
      <c r="CV385" s="63" t="n">
        <f aca="false">IF(CS385="","",(CL385+ROUNDUP(CL385+MAX(CM385,2*(J385/MAX(0.1,N(Einkauf!$C$6))-CL385)),0))/2)</f>
        <v>218</v>
      </c>
      <c r="CW385" s="62" t="n">
        <f aca="false">IF(CS385="","",MAX(0,H385-CV385)*G385)</f>
        <v>96.39</v>
      </c>
      <c r="CX385" s="62" t="n">
        <f aca="false">IF(CS385="","",CS385*MAX(0,1-CV385/H385))</f>
        <v>2.05651105651106</v>
      </c>
      <c r="CY385" s="64" t="n">
        <f aca="false">IF(CS385="","",PERCENTRANK($CS$7:$CS$1843,CS385)+PERCENTRANK($CU$7:$CU$1843,CU385)+1-PERCENTRANK($CT$7:$CT$1843,CT385))</f>
        <v>1.092</v>
      </c>
      <c r="CZ385" s="72" t="n">
        <f aca="false">IF(CS385="","",CHOOSE(MATCH(Einkauf!$C$5,Parameter!$G$23:$G$27,0),CY385,CS385,CU385,-CT385,CW385)+ROW()/1000000000)</f>
        <v>1.092000385</v>
      </c>
    </row>
    <row r="386" customFormat="false" ht="15" hidden="false" customHeight="false" outlineLevel="0" collapsed="false">
      <c r="A386" s="60" t="s">
        <v>957</v>
      </c>
      <c r="B386" s="60" t="s">
        <v>343</v>
      </c>
      <c r="C386" s="60" t="s">
        <v>206</v>
      </c>
      <c r="D386" s="60" t="s">
        <v>226</v>
      </c>
      <c r="E386" s="60"/>
      <c r="F386" s="60" t="s">
        <v>260</v>
      </c>
      <c r="G386" s="61" t="n">
        <v>512.66</v>
      </c>
      <c r="H386" s="62" t="n">
        <f aca="false">MAX(0,IF(AND(Parameter!$B$21="Ja",ISNUMBER(Y386)),Y386,IF(Parameter!$B$20="Jahresanfang 2025 + Export",BS386+BR386,BR386)))</f>
        <v>4</v>
      </c>
      <c r="I386" s="62" t="n">
        <f aca="false">H386*G386</f>
        <v>2050.64</v>
      </c>
      <c r="J386" s="62" t="n">
        <f aca="false">BU386*Parameter!$B$18</f>
        <v>9</v>
      </c>
      <c r="K386" s="63" t="n">
        <v>4.5</v>
      </c>
      <c r="L386" s="64" t="n">
        <v>2</v>
      </c>
      <c r="M386" s="62" t="n">
        <v>0</v>
      </c>
      <c r="N386" s="62" t="n">
        <v>5</v>
      </c>
      <c r="O386" s="65" t="n">
        <v>35</v>
      </c>
      <c r="P386" s="60" t="s">
        <v>210</v>
      </c>
      <c r="Q386" s="62"/>
      <c r="R386" s="65" t="n">
        <f aca="false">IF(CA386=1,0,IFERROR(VLOOKUP(BY386,'Gebinde-Kategorie'!$A$5:$N$45,13,0)+0,0))</f>
        <v>26</v>
      </c>
      <c r="S386" s="66"/>
      <c r="T386" s="67" t="s">
        <v>317</v>
      </c>
      <c r="U386" s="67"/>
      <c r="V386" s="67"/>
      <c r="W386" s="60"/>
      <c r="X386" s="62"/>
      <c r="Y386" s="62"/>
      <c r="Z386" s="60" t="n">
        <v>3</v>
      </c>
      <c r="AA386" s="60" t="n">
        <f aca="false">IF(A386="","",IF(AND(Parameter!$B$21="Ja",ISNUMBER(W386)),W386,IF(AND(Parameter!$E$27="Ja",ISNUMBER(Z386),CD386&lt;&gt;"Nein"),Z386,IF(CD386="2+3",IF(ISNUMBER(SEARCH("grosser Artikel",BV386)),2,IFERROR(VLOOKUP(BY386,Parameter!$F$35:$G$64,2,0),2)),IF(OR(CD386="Nein",CD386=""),"-",CD386)))))</f>
        <v>3</v>
      </c>
      <c r="AB386" s="67"/>
      <c r="AC386" s="68"/>
      <c r="AD386" s="62" t="n">
        <f aca="false">AW386</f>
        <v>6</v>
      </c>
      <c r="AE386" s="62" t="n">
        <f aca="false">MAX(AW386,H386)</f>
        <v>6</v>
      </c>
      <c r="AF386" s="69"/>
      <c r="AG386" s="62" t="n">
        <f aca="false">IF(LEFT(Cockpit!$C$5,1)="A",H386,IF(Parameter!$E$30="MAX-Bestand",IF(CI386=1,CJ386,IF(LEFT(Cockpit!$C$5,1)="B",AM386,MAX(AM386,H386))),ROUNDUP(AK386,0)))</f>
        <v>4</v>
      </c>
      <c r="AH386" s="62" t="n">
        <f aca="false">IF(CA386=1,0,ROUNDUP(AG386/BZ386,0))</f>
        <v>1</v>
      </c>
      <c r="AI386" s="64" t="n">
        <f aca="false">IF(CR386&gt;0,CR386*MAX(1,AG386/X386),IF(CA386=1,IF(AG386&lt;=0,0,CE386*MAX(1,IF(H386&gt;0,AG386/H386,1))),IF(R386&gt;0,AH386/R386,0))/MAX(0.1,N(Parameter!$M$21)))</f>
        <v>0.0384615384615385</v>
      </c>
      <c r="AJ386" s="62" t="n">
        <f aca="false">AI386*CC386</f>
        <v>5.96153846153846</v>
      </c>
      <c r="AK386" s="63" t="n">
        <f aca="false">IF(LEFT(Cockpit!$C$5,1)="A",H386,IF(CI386=1,(CL386+CJ386)/2,IF(LEFT(Cockpit!$C$5,1)="B",(CL386+AM386)/2,MAX((CL386+AM386)/2,H386))))</f>
        <v>4</v>
      </c>
      <c r="AL386" s="62" t="n">
        <f aca="false">AK386*G386</f>
        <v>2050.64</v>
      </c>
      <c r="AM386" s="62" t="n">
        <f aca="false">ROUNDUP(CL386+MAX(CM386,2*(J386/IF(CH386&gt;0,CH386,MAX(0.1,N(Cockpit!$C$6)))-CL386)),0)</f>
        <v>6</v>
      </c>
      <c r="AN386" s="63" t="n">
        <f aca="false">IF(AJ386&gt;0,J386/AJ386,-1)</f>
        <v>1.50967741935484</v>
      </c>
      <c r="AO386" s="63" t="n">
        <f aca="false">IF(AND(OR(CG386="L1",CG386="L23",CG386="LIFT"),AJ386&gt;0),SUMIFS($AJ$7:$AJ$1843,$CG$7:$CG$1843,CG386,$AN$7:$AN$1843,"&gt;"&amp;AN386)+SUMIFS($AJ$7:$AJ$1843,$CG$7:$CG$1843,CG386,$AN$7:$AN$1843,AN386,$BX$7:$BX$1843,"&lt;="&amp;BX386),"")</f>
        <v>6203.96840659341</v>
      </c>
      <c r="AP386" s="70" t="n">
        <f aca="false">IF(AO386="",0,MAX(0,MIN(1,(IF(CG386="L1",Parameter!$H$5,IF(CG386="L23",Parameter!$H$6+Parameter!$H$7,Parameter!$H$5+Parameter!$H$6+Parameter!$H$7))-(AO386-AJ386))/AJ386)))</f>
        <v>1</v>
      </c>
      <c r="AQ386" s="62" t="n">
        <f aca="false">IF(LEFT(Cockpit!$I$5,1)="A",H386,IF(Parameter!$E$30="MAX-Bestand",IF(CI386=1,CJ386,IF(LEFT(Cockpit!$I$5,1)="B",AW386,MAX(AW386,H386))),ROUNDUP(AU386,0)))</f>
        <v>4</v>
      </c>
      <c r="AR386" s="62" t="n">
        <f aca="false">IF(CA386=1,0,ROUNDUP(AQ386/BZ386,0))</f>
        <v>1</v>
      </c>
      <c r="AS386" s="64" t="n">
        <f aca="false">IF(CR386&gt;0,CR386*MAX(1,AQ386/X386),IF(CA386=1,IF(AQ386&lt;=0,0,CE386*MAX(1,IF(H386&gt;0,AQ386/H386,1))),IF(R386&gt;0,AR386/R386,0))/MAX(0.1,N(Parameter!$M$21)))</f>
        <v>0.0384615384615385</v>
      </c>
      <c r="AT386" s="62" t="n">
        <f aca="false">AS386*CC386</f>
        <v>5.96153846153846</v>
      </c>
      <c r="AU386" s="63" t="n">
        <f aca="false">IF(LEFT(Cockpit!$I$5,1)="A",H386,IF(CI386=1,(CL386+CJ386)/2,IF(LEFT(Cockpit!$I$5,1)="B",(CL386+AW386)/2,MAX((CL386+AW386)/2,H386))))</f>
        <v>4</v>
      </c>
      <c r="AV386" s="62" t="n">
        <f aca="false">AU386*G386</f>
        <v>2050.64</v>
      </c>
      <c r="AW386" s="62" t="n">
        <f aca="false">ROUNDUP(CL386+MAX(CM386,2*(J386/IF(CH386&gt;0,CH386,MAX(0.1,N(Cockpit!$I$6)))-CL386)),0)</f>
        <v>6</v>
      </c>
      <c r="AX386" s="63" t="n">
        <f aca="false">IF(AT386&gt;0,J386/AT386,-1)</f>
        <v>1.50967741935484</v>
      </c>
      <c r="AY386" s="63" t="n">
        <f aca="false">IF(AND(OR(CG386="L1",CG386="L23",CG386="LIFT"),AT386&gt;0),SUMIFS($AT$7:$AT$1843,$CG$7:$CG$1843,CG386,$AX$7:$AX$1843,"&gt;"&amp;AX386)+SUMIFS($AT$7:$AT$1843,$CG$7:$CG$1843,CG386,$AX$7:$AX$1843,AX386,$BX$7:$BX$1843,"&lt;="&amp;BX386),"")</f>
        <v>7643.85714285714</v>
      </c>
      <c r="AZ386" s="70" t="n">
        <f aca="false">IF(AY386="",0,MAX(0,MIN(1,(IF(CG386="L1",Parameter!$H$5,IF(CG386="L23",Parameter!$H$6+Parameter!$H$7,Parameter!$H$5+Parameter!$H$6+Parameter!$H$7))-(AY386-AT386))/AT386)))</f>
        <v>1</v>
      </c>
      <c r="BA386" s="62" t="n">
        <f aca="false">IF(LEFT(Cockpit!$O$5,1)="A",H386,IF(Parameter!$E$30="MAX-Bestand",IF(CI386=1,CJ386,IF(LEFT(Cockpit!$O$5,1)="B",BG386,MAX(BG386,H386))),ROUNDUP(BE386,0)))</f>
        <v>3</v>
      </c>
      <c r="BB386" s="62" t="n">
        <f aca="false">IF(CA386=1,0,ROUNDUP(BA386/BZ386,0))</f>
        <v>1</v>
      </c>
      <c r="BC386" s="64" t="n">
        <f aca="false">IF(CR386&gt;0,CR386*MAX(1,BA386/X386),IF(CA386=1,IF(BA386&lt;=0,0,CE386*MAX(1,IF(H386&gt;0,BA386/H386,1))),IF(R386&gt;0,BB386/R386,0))/MAX(0.1,N(Parameter!$M$21)))</f>
        <v>0.0384615384615385</v>
      </c>
      <c r="BD386" s="62" t="n">
        <f aca="false">BC386*CC386</f>
        <v>5.96153846153846</v>
      </c>
      <c r="BE386" s="63" t="n">
        <f aca="false">IF(LEFT(Cockpit!$O$5,1)="A",H386,IF(CI386=1,(CL386+CJ386)/2,IF(LEFT(Cockpit!$O$5,1)="B",(CL386+BG386)/2,MAX((CL386+BG386)/2,H386))))</f>
        <v>2.5</v>
      </c>
      <c r="BF386" s="62" t="n">
        <f aca="false">BE386*G386</f>
        <v>1281.65</v>
      </c>
      <c r="BG386" s="62" t="n">
        <f aca="false">ROUNDUP(CL386+MAX(CM386,2*(J386/IF(CH386&gt;0,CH386,MAX(0.1,N(Cockpit!$O$6)))-CL386)),0)</f>
        <v>5</v>
      </c>
      <c r="BH386" s="63" t="n">
        <f aca="false">IF(BD386&gt;0,J386/BD386,-1)</f>
        <v>1.50967741935484</v>
      </c>
      <c r="BI386" s="63" t="n">
        <f aca="false">IF(AND(OR(CG386="L1",CG386="L23",CG386="LIFT"),BD386&gt;0),SUMIFS($BD$7:$BD$1843,$CG$7:$CG$1843,CG386,$BH$7:$BH$1843,"&gt;"&amp;BH386)+SUMIFS($BD$7:$BD$1843,$CG$7:$CG$1843,CG386,$BH$7:$BH$1843,BH386,$BX$7:$BX$1843,"&lt;="&amp;BX386),"")</f>
        <v>6456.52152014652</v>
      </c>
      <c r="BJ386" s="70" t="n">
        <f aca="false">IF(BI386="",0,MAX(0,MIN(1,(IF(CG386="L1",Parameter!$H$5,IF(CG386="L23",Parameter!$H$6+Parameter!$H$7,Parameter!$H$5+Parameter!$H$6+Parameter!$H$7))-(BI386-BD386))/BD386)))</f>
        <v>1</v>
      </c>
      <c r="BK386" s="60" t="str">
        <f aca="false">IF(AJ386&lt;=0,"",IF(CG386="Aussen","Aussenlager",IF(CG386="-","Nicht im Lift",IF(AP386&gt;=1,"Lift",IF(AP386&lt;=0,"Aussenlager","teilweise")))))</f>
        <v>Lift</v>
      </c>
      <c r="BL386" s="60" t="str">
        <f aca="false">IF(AT386&lt;=0,"",IF(CG386="Aussen","Aussenlager",IF(CG386="-","Nicht im Lift",IF(AZ386&gt;=1,"Lift",IF(AZ386&lt;=0,"Aussenlager","teilweise")))))</f>
        <v>Lift</v>
      </c>
      <c r="BM386" s="60" t="str">
        <f aca="false">IF(BD386&lt;=0,"",IF(CG386="Aussen","Aussenlager",IF(CG386="-","Nicht im Lift",IF(BJ386&gt;=1,"Lift",IF(BJ386&lt;=0,"Aussenlager","teilweise")))))</f>
        <v>Lift</v>
      </c>
      <c r="BN386" s="60" t="str">
        <f aca="false">IF(A386="","",IF(BW386=1,"Neu; ","")&amp;IF(AND(BW386=0,BR386&lt;0),"negativer Bestand (Export "&amp;BR386&amp;"); ","")&amp;IF(J386&lt;=0,"Kein Verbrauch; ","")&amp;IF(CR386&gt;0,"Lift "&amp;W386&amp;" lt. Liftbericht (Fach "&amp;X386&amp;" Stk); ",IF(CB386=1,"Gebinde geschätzt ("&amp;T386&amp;"); ",IF(CA386=1,"Lose – Tablare geschätzt; ","")))&amp;IF(H386&gt;AW386,"Überbestand "&amp;ROUND(H386-AW386,0)&amp;" Stk / CHF "&amp;ROUND((H386-AW386)*G386,0)&amp;"; ","")&amp;IF(AND(CI386=1,CJ386&lt;CK386),"MAX &lt; MB+LG; ","")&amp;IF(AND(CQ386&gt;0,CP386*10&gt;CQ386),"zu hoch für Tablar; ","")&amp;IF(AND(BW386=0,OR(CI386=1,AB386&lt;&gt;"",U386&lt;&gt;"",V386&lt;&gt;"",AC386&lt;&gt;"")),"manuell übersteuert; ","")&amp;IF(AND(CA386=0,R386=0),"Gebinde unbekannt / Stellmass fehlt; ","")&amp;IF(AND(CA386=0,N(V386)&lt;=0,N(Q386)&lt;=0),"Menge pro Gebinde fehlt (Ist = 1 Gebinde); ","")&amp;BV386)</f>
        <v>Gebinde geschätzt (Klein); Menge pro Gebinde fehlt (Ist = 1 Gebinde); </v>
      </c>
      <c r="BO386" s="60"/>
      <c r="BP386" s="60"/>
      <c r="BQ386" s="67"/>
      <c r="BR386" s="62" t="n">
        <v>0</v>
      </c>
      <c r="BS386" s="62" t="n">
        <v>4</v>
      </c>
      <c r="BT386" s="61" t="n">
        <v>129.360000000001</v>
      </c>
      <c r="BU386" s="62" t="n">
        <v>9</v>
      </c>
      <c r="BV386" s="60"/>
      <c r="BW386" s="65" t="n">
        <v>0</v>
      </c>
      <c r="BX386" s="65" t="n">
        <v>386</v>
      </c>
      <c r="BY386" s="60" t="str">
        <f aca="false">IF(U386&lt;&gt;"",UPPER(TRIM(U386)),IF(CB386=1,UPPER(VLOOKUP(T386,Parameter!$I$27:$K$29,2,0)),IF(P386="","LOSE",P386)))</f>
        <v>S51</v>
      </c>
      <c r="BZ386" s="62" t="n">
        <f aca="false">IF(BY386="LOSE",1,IF(N(V386)&gt;0,V386,IF(CB386=1,MAX(1,N(VLOOKUP(T386,Parameter!$I$27:$K$29,3,0)),H386,N(N386)),IF(N(Q386)&gt;0,Q386,MAX(1,H386)))))</f>
        <v>20</v>
      </c>
      <c r="CA386" s="65" t="n">
        <f aca="false">IF(BY386="LOSE",1,0)</f>
        <v>0</v>
      </c>
      <c r="CB386" s="65" t="n">
        <f aca="false">IF(AND(U386="",OR(P386="",P386="LOSE"),T386&lt;&gt;"",N(S386)&lt;=0,ISNUMBER(MATCH(T386,Parameter!$I$27:$I$29,0))),1,0)</f>
        <v>1</v>
      </c>
      <c r="CC386" s="65" t="n">
        <f aca="false">IF(CR386&gt;0,INDEX(Parameter!$H$5:$H$7,W386)/INDEX(Parameter!$E$5:$E$7,W386),IF(AND(CA386=0,N(IFERROR(VLOOKUP(BY386,'Gebinde-Kategorie'!$A$5:$N$45,14,0),0))&gt;0),VLOOKUP(BY386,'Gebinde-Kategorie'!$A$5:$N$45,14,0)*10+Parameter!$M$23,Parameter!$M$24))</f>
        <v>155</v>
      </c>
      <c r="CD386" s="60" t="str">
        <f aca="false">IF(AND(Parameter!$B$19="Ja",E386&lt;&gt;"",ISNUMBER(MATCH(E386,Parameter!$I$35:$I$52,0))),VLOOKUP(E386,Parameter!$I$35:$J$52,2,0),IFERROR(VLOOKUP(D386,Parameter!$A$35:$C$64,2,0),"Nein"))</f>
        <v>2+3</v>
      </c>
      <c r="CE386" s="64" t="n">
        <f aca="false">IF(CA386=0,0,IF(N(S386)&gt;0,S386,IFERROR(VLOOKUP(D386,Parameter!$A$35:$C$64,3,0)+0,0)))</f>
        <v>0</v>
      </c>
      <c r="CF386" s="60" t="n">
        <f aca="false">IF(AB386&lt;&gt;"",AB386,AA386)</f>
        <v>3</v>
      </c>
      <c r="CG386" s="60" t="str">
        <f aca="false">IF(OR(CF386=1,CF386=2,CF386=3),IF(Parameter!$E$27="Ja","LIFT",IF(CF386=1,"L1","L23")),IF(CF386="Aussen","Aussen","-"))</f>
        <v>LIFT</v>
      </c>
      <c r="CH386" s="71" t="n">
        <f aca="false">IF(N(AC386)&gt;0,AC386,0)</f>
        <v>0</v>
      </c>
      <c r="CI386" s="65" t="n">
        <f aca="false">IF(ISNUMBER(AF386),1,0)</f>
        <v>0</v>
      </c>
      <c r="CJ386" s="62" t="n">
        <f aca="false">N(AF386)</f>
        <v>0</v>
      </c>
      <c r="CK386" s="62" t="n">
        <f aca="false">N(M386)+N(N386)</f>
        <v>5</v>
      </c>
      <c r="CL386" s="62" t="n">
        <f aca="false">N(M386)</f>
        <v>0</v>
      </c>
      <c r="CM386" s="62" t="n">
        <f aca="false">N(N386)</f>
        <v>5</v>
      </c>
      <c r="CN386" s="62" t="n">
        <f aca="false">ROUNDUP(H386/BZ386,0)</f>
        <v>1</v>
      </c>
      <c r="CO386" s="62" t="n">
        <f aca="false">ROUNDUP(CJ386/BZ386,0)</f>
        <v>0</v>
      </c>
      <c r="CP386" s="65" t="n">
        <f aca="false">IF(CA386=1,0,IFERROR(VLOOKUP(BY386,'Gebinde-Kategorie'!$A$5:$N$45,5,0)+0,0))</f>
        <v>11</v>
      </c>
      <c r="CQ386" s="65" t="n">
        <f aca="false">IFERROR(IF(OR(CF386=1,CF386=2,CF386=3),N(INDEX(Parameter!$I$5:$I$7,CF386)),0),0)</f>
        <v>0</v>
      </c>
      <c r="CR386" s="64" t="n">
        <f aca="false">IF(AND(Parameter!$B$21="Ja",ISNUMBER(W386),N(X386)&gt;0),IFERROR(N(INDEX(Parameter!$L$5:$L$7,W386))*INDEX(Parameter!$E$5:$E$7,W386)*X386/SUMIFS($X$7:$X$1843,$W$7:$W$1843,W386),0),0)</f>
        <v>0</v>
      </c>
      <c r="CS386" s="62" t="n">
        <f aca="false">IF(AND(OR(CG386="L1",CG386="L23",CG386="LIFT"),H386&gt;0),CC386*IF(CR386&gt;0,CR386*MAX(1,H386/X386),IF(CA386=1,CE386,IF(R386&gt;0,CN386/R386,0))/MAX(0.1,N(Parameter!$M$21))),"")</f>
        <v>5.96153846153846</v>
      </c>
      <c r="CT386" s="64" t="n">
        <f aca="false">IF(CS386="","",J386/H386)</f>
        <v>2.25</v>
      </c>
      <c r="CU386" s="62" t="n">
        <f aca="false">IF(CS386="","",H386*G386)</f>
        <v>2050.64</v>
      </c>
      <c r="CV386" s="63" t="n">
        <f aca="false">IF(CS386="","",(CL386+ROUNDUP(CL386+MAX(CM386,2*(J386/MAX(0.1,N(Einkauf!$C$6))-CL386)),0))/2)</f>
        <v>2.5</v>
      </c>
      <c r="CW386" s="62" t="n">
        <f aca="false">IF(CS386="","",MAX(0,H386-CV386)*G386)</f>
        <v>768.99</v>
      </c>
      <c r="CX386" s="62" t="n">
        <f aca="false">IF(CS386="","",CS386*MAX(0,1-CV386/H386))</f>
        <v>2.23557692307692</v>
      </c>
      <c r="CY386" s="64" t="n">
        <f aca="false">IF(CS386="","",PERCENTRANK($CS$7:$CS$1843,CS386)+PERCENTRANK($CU$7:$CU$1843,CU386)+1-PERCENTRANK($CT$7:$CT$1843,CT386))</f>
        <v>1.303</v>
      </c>
      <c r="CZ386" s="72" t="n">
        <f aca="false">IF(CS386="","",CHOOSE(MATCH(Einkauf!$C$5,Parameter!$G$23:$G$27,0),CY386,CS386,CU386,-CT386,CW386)+ROW()/1000000000)</f>
        <v>1.303000386</v>
      </c>
    </row>
    <row r="387" customFormat="false" ht="15" hidden="false" customHeight="false" outlineLevel="0" collapsed="false">
      <c r="A387" s="60" t="s">
        <v>958</v>
      </c>
      <c r="B387" s="60" t="s">
        <v>959</v>
      </c>
      <c r="C387" s="60" t="s">
        <v>206</v>
      </c>
      <c r="D387" s="60" t="s">
        <v>226</v>
      </c>
      <c r="E387" s="60" t="s">
        <v>227</v>
      </c>
      <c r="F387" s="60" t="s">
        <v>260</v>
      </c>
      <c r="G387" s="61" t="n">
        <v>1.54</v>
      </c>
      <c r="H387" s="62" t="n">
        <f aca="false">MAX(0,IF(AND(Parameter!$B$21="Ja",ISNUMBER(Y387)),Y387,IF(Parameter!$B$20="Jahresanfang 2025 + Export",BS387+BR387,BR387)))</f>
        <v>130</v>
      </c>
      <c r="I387" s="62" t="n">
        <f aca="false">H387*G387</f>
        <v>200.2</v>
      </c>
      <c r="J387" s="62" t="n">
        <f aca="false">BU387*Parameter!$B$18</f>
        <v>129</v>
      </c>
      <c r="K387" s="63" t="n">
        <v>42</v>
      </c>
      <c r="L387" s="64" t="n">
        <v>3.07142857142857</v>
      </c>
      <c r="M387" s="62" t="n">
        <v>7</v>
      </c>
      <c r="N387" s="62" t="n">
        <v>130</v>
      </c>
      <c r="O387" s="65" t="n">
        <v>21</v>
      </c>
      <c r="P387" s="60" t="s">
        <v>463</v>
      </c>
      <c r="Q387" s="62" t="n">
        <v>131</v>
      </c>
      <c r="R387" s="65" t="n">
        <f aca="false">IF(CA387=1,0,IFERROR(VLOOKUP(BY387,'Gebinde-Kategorie'!$A$5:$N$45,13,0)+0,0))</f>
        <v>104</v>
      </c>
      <c r="S387" s="66"/>
      <c r="T387" s="67"/>
      <c r="U387" s="67"/>
      <c r="V387" s="67"/>
      <c r="W387" s="60"/>
      <c r="X387" s="62"/>
      <c r="Y387" s="62"/>
      <c r="Z387" s="60" t="n">
        <v>2</v>
      </c>
      <c r="AA387" s="60" t="n">
        <f aca="false">IF(A387="","",IF(AND(Parameter!$B$21="Ja",ISNUMBER(W387)),W387,IF(AND(Parameter!$E$27="Ja",ISNUMBER(Z387),CD387&lt;&gt;"Nein"),Z387,IF(CD387="2+3",IF(ISNUMBER(SEARCH("grosser Artikel",BV387)),2,IFERROR(VLOOKUP(BY387,Parameter!$F$35:$G$64,2,0),2)),IF(OR(CD387="Nein",CD387=""),"-",CD387)))))</f>
        <v>2</v>
      </c>
      <c r="AB387" s="67"/>
      <c r="AC387" s="68"/>
      <c r="AD387" s="62" t="n">
        <f aca="false">AW387</f>
        <v>137</v>
      </c>
      <c r="AE387" s="62" t="n">
        <f aca="false">MAX(AW387,H387)</f>
        <v>137</v>
      </c>
      <c r="AF387" s="69"/>
      <c r="AG387" s="62" t="n">
        <f aca="false">IF(LEFT(Cockpit!$C$5,1)="A",H387,IF(Parameter!$E$30="MAX-Bestand",IF(CI387=1,CJ387,IF(LEFT(Cockpit!$C$5,1)="B",AM387,MAX(AM387,H387))),ROUNDUP(AK387,0)))</f>
        <v>130</v>
      </c>
      <c r="AH387" s="62" t="n">
        <f aca="false">IF(CA387=1,0,ROUNDUP(AG387/BZ387,0))</f>
        <v>1</v>
      </c>
      <c r="AI387" s="64" t="n">
        <f aca="false">IF(CR387&gt;0,CR387*MAX(1,AG387/X387),IF(CA387=1,IF(AG387&lt;=0,0,CE387*MAX(1,IF(H387&gt;0,AG387/H387,1))),IF(R387&gt;0,AH387/R387,0))/MAX(0.1,N(Parameter!$M$21)))</f>
        <v>0.00961538461538462</v>
      </c>
      <c r="AJ387" s="62" t="n">
        <f aca="false">AI387*CC387</f>
        <v>1.49038461538462</v>
      </c>
      <c r="AK387" s="63" t="n">
        <f aca="false">IF(LEFT(Cockpit!$C$5,1)="A",H387,IF(CI387=1,(CL387+CJ387)/2,IF(LEFT(Cockpit!$C$5,1)="B",(CL387+AM387)/2,MAX((CL387+AM387)/2,H387))))</f>
        <v>130</v>
      </c>
      <c r="AL387" s="62" t="n">
        <f aca="false">AK387*G387</f>
        <v>200.2</v>
      </c>
      <c r="AM387" s="62" t="n">
        <f aca="false">ROUNDUP(CL387+MAX(CM387,2*(J387/IF(CH387&gt;0,CH387,MAX(0.1,N(Cockpit!$C$6)))-CL387)),0)</f>
        <v>137</v>
      </c>
      <c r="AN387" s="63" t="n">
        <f aca="false">IF(AJ387&gt;0,J387/AJ387,-1)</f>
        <v>86.5548387096774</v>
      </c>
      <c r="AO387" s="63" t="n">
        <f aca="false">IF(AND(OR(CG387="L1",CG387="L23",CG387="LIFT"),AJ387&gt;0),SUMIFS($AJ$7:$AJ$1843,$CG$7:$CG$1843,CG387,$AN$7:$AN$1843,"&gt;"&amp;AN387)+SUMIFS($AJ$7:$AJ$1843,$CG$7:$CG$1843,CG387,$AN$7:$AN$1843,AN387,$BX$7:$BX$1843,"&lt;="&amp;BX387),"")</f>
        <v>835.387362637363</v>
      </c>
      <c r="AP387" s="70" t="n">
        <f aca="false">IF(AO387="",0,MAX(0,MIN(1,(IF(CG387="L1",Parameter!$H$5,IF(CG387="L23",Parameter!$H$6+Parameter!$H$7,Parameter!$H$5+Parameter!$H$6+Parameter!$H$7))-(AO387-AJ387))/AJ387)))</f>
        <v>1</v>
      </c>
      <c r="AQ387" s="62" t="n">
        <f aca="false">IF(LEFT(Cockpit!$I$5,1)="A",H387,IF(Parameter!$E$30="MAX-Bestand",IF(CI387=1,CJ387,IF(LEFT(Cockpit!$I$5,1)="B",AW387,MAX(AW387,H387))),ROUNDUP(AU387,0)))</f>
        <v>130</v>
      </c>
      <c r="AR387" s="62" t="n">
        <f aca="false">IF(CA387=1,0,ROUNDUP(AQ387/BZ387,0))</f>
        <v>1</v>
      </c>
      <c r="AS387" s="64" t="n">
        <f aca="false">IF(CR387&gt;0,CR387*MAX(1,AQ387/X387),IF(CA387=1,IF(AQ387&lt;=0,0,CE387*MAX(1,IF(H387&gt;0,AQ387/H387,1))),IF(R387&gt;0,AR387/R387,0))/MAX(0.1,N(Parameter!$M$21)))</f>
        <v>0.00961538461538462</v>
      </c>
      <c r="AT387" s="62" t="n">
        <f aca="false">AS387*CC387</f>
        <v>1.49038461538462</v>
      </c>
      <c r="AU387" s="63" t="n">
        <f aca="false">IF(LEFT(Cockpit!$I$5,1)="A",H387,IF(CI387=1,(CL387+CJ387)/2,IF(LEFT(Cockpit!$I$5,1)="B",(CL387+AW387)/2,MAX((CL387+AW387)/2,H387))))</f>
        <v>130</v>
      </c>
      <c r="AV387" s="62" t="n">
        <f aca="false">AU387*G387</f>
        <v>200.2</v>
      </c>
      <c r="AW387" s="62" t="n">
        <f aca="false">ROUNDUP(CL387+MAX(CM387,2*(J387/IF(CH387&gt;0,CH387,MAX(0.1,N(Cockpit!$I$6)))-CL387)),0)</f>
        <v>137</v>
      </c>
      <c r="AX387" s="63" t="n">
        <f aca="false">IF(AT387&gt;0,J387/AT387,-1)</f>
        <v>86.5548387096774</v>
      </c>
      <c r="AY387" s="63" t="n">
        <f aca="false">IF(AND(OR(CG387="L1",CG387="L23",CG387="LIFT"),AT387&gt;0),SUMIFS($AT$7:$AT$1843,$CG$7:$CG$1843,CG387,$AX$7:$AX$1843,"&gt;"&amp;AX387)+SUMIFS($AT$7:$AT$1843,$CG$7:$CG$1843,CG387,$AX$7:$AX$1843,AX387,$BX$7:$BX$1843,"&lt;="&amp;BX387),"")</f>
        <v>1048.29945054945</v>
      </c>
      <c r="AZ387" s="70" t="n">
        <f aca="false">IF(AY387="",0,MAX(0,MIN(1,(IF(CG387="L1",Parameter!$H$5,IF(CG387="L23",Parameter!$H$6+Parameter!$H$7,Parameter!$H$5+Parameter!$H$6+Parameter!$H$7))-(AY387-AT387))/AT387)))</f>
        <v>1</v>
      </c>
      <c r="BA387" s="62" t="n">
        <f aca="false">IF(LEFT(Cockpit!$O$5,1)="A",H387,IF(Parameter!$E$30="MAX-Bestand",IF(CI387=1,CJ387,IF(LEFT(Cockpit!$O$5,1)="B",BG387,MAX(BG387,H387))),ROUNDUP(BE387,0)))</f>
        <v>72</v>
      </c>
      <c r="BB387" s="62" t="n">
        <f aca="false">IF(CA387=1,0,ROUNDUP(BA387/BZ387,0))</f>
        <v>1</v>
      </c>
      <c r="BC387" s="64" t="n">
        <f aca="false">IF(CR387&gt;0,CR387*MAX(1,BA387/X387),IF(CA387=1,IF(BA387&lt;=0,0,CE387*MAX(1,IF(H387&gt;0,BA387/H387,1))),IF(R387&gt;0,BB387/R387,0))/MAX(0.1,N(Parameter!$M$21)))</f>
        <v>0.00961538461538462</v>
      </c>
      <c r="BD387" s="62" t="n">
        <f aca="false">BC387*CC387</f>
        <v>1.49038461538462</v>
      </c>
      <c r="BE387" s="63" t="n">
        <f aca="false">IF(LEFT(Cockpit!$O$5,1)="A",H387,IF(CI387=1,(CL387+CJ387)/2,IF(LEFT(Cockpit!$O$5,1)="B",(CL387+BG387)/2,MAX((CL387+BG387)/2,H387))))</f>
        <v>72</v>
      </c>
      <c r="BF387" s="62" t="n">
        <f aca="false">BE387*G387</f>
        <v>110.88</v>
      </c>
      <c r="BG387" s="62" t="n">
        <f aca="false">ROUNDUP(CL387+MAX(CM387,2*(J387/IF(CH387&gt;0,CH387,MAX(0.1,N(Cockpit!$O$6)))-CL387)),0)</f>
        <v>137</v>
      </c>
      <c r="BH387" s="63" t="n">
        <f aca="false">IF(BD387&gt;0,J387/BD387,-1)</f>
        <v>86.5548387096774</v>
      </c>
      <c r="BI387" s="63" t="n">
        <f aca="false">IF(AND(OR(CG387="L1",CG387="L23",CG387="LIFT"),BD387&gt;0),SUMIFS($BD$7:$BD$1843,$CG$7:$CG$1843,CG387,$BH$7:$BH$1843,"&gt;"&amp;BH387)+SUMIFS($BD$7:$BD$1843,$CG$7:$CG$1843,CG387,$BH$7:$BH$1843,BH387,$BX$7:$BX$1843,"&lt;="&amp;BX387),"")</f>
        <v>982.448717948718</v>
      </c>
      <c r="BJ387" s="70" t="n">
        <f aca="false">IF(BI387="",0,MAX(0,MIN(1,(IF(CG387="L1",Parameter!$H$5,IF(CG387="L23",Parameter!$H$6+Parameter!$H$7,Parameter!$H$5+Parameter!$H$6+Parameter!$H$7))-(BI387-BD387))/BD387)))</f>
        <v>1</v>
      </c>
      <c r="BK387" s="60" t="str">
        <f aca="false">IF(AJ387&lt;=0,"",IF(CG387="Aussen","Aussenlager",IF(CG387="-","Nicht im Lift",IF(AP387&gt;=1,"Lift",IF(AP387&lt;=0,"Aussenlager","teilweise")))))</f>
        <v>Lift</v>
      </c>
      <c r="BL387" s="60" t="str">
        <f aca="false">IF(AT387&lt;=0,"",IF(CG387="Aussen","Aussenlager",IF(CG387="-","Nicht im Lift",IF(AZ387&gt;=1,"Lift",IF(AZ387&lt;=0,"Aussenlager","teilweise")))))</f>
        <v>Lift</v>
      </c>
      <c r="BM387" s="60" t="str">
        <f aca="false">IF(BD387&lt;=0,"",IF(CG387="Aussen","Aussenlager",IF(CG387="-","Nicht im Lift",IF(BJ387&gt;=1,"Lift",IF(BJ387&lt;=0,"Aussenlager","teilweise")))))</f>
        <v>Lift</v>
      </c>
      <c r="BN387" s="60" t="str">
        <f aca="false">IF(A387="","",IF(BW387=1,"Neu; ","")&amp;IF(AND(BW387=0,BR387&lt;0),"negativer Bestand (Export "&amp;BR387&amp;"); ","")&amp;IF(J387&lt;=0,"Kein Verbrauch; ","")&amp;IF(CR387&gt;0,"Lift "&amp;W387&amp;" lt. Liftbericht (Fach "&amp;X387&amp;" Stk); ",IF(CB387=1,"Gebinde geschätzt ("&amp;T387&amp;"); ",IF(CA387=1,"Lose – Tablare geschätzt; ","")))&amp;IF(H387&gt;AW387,"Überbestand "&amp;ROUND(H387-AW387,0)&amp;" Stk / CHF "&amp;ROUND((H387-AW387)*G387,0)&amp;"; ","")&amp;IF(AND(CI387=1,CJ387&lt;CK387),"MAX &lt; MB+LG; ","")&amp;IF(AND(CQ387&gt;0,CP387*10&gt;CQ387),"zu hoch für Tablar; ","")&amp;IF(AND(BW387=0,OR(CI387=1,AB387&lt;&gt;"",U387&lt;&gt;"",V387&lt;&gt;"",AC387&lt;&gt;"")),"manuell übersteuert; ","")&amp;IF(AND(CA387=0,R387=0),"Gebinde unbekannt / Stellmass fehlt; ","")&amp;IF(AND(CA387=0,N(V387)&lt;=0,N(Q387)&lt;=0),"Menge pro Gebinde fehlt (Ist = 1 Gebinde); ","")&amp;BV387)</f>
        <v/>
      </c>
      <c r="BO387" s="60"/>
      <c r="BP387" s="60"/>
      <c r="BQ387" s="67"/>
      <c r="BR387" s="62" t="n">
        <v>84</v>
      </c>
      <c r="BS387" s="62" t="n">
        <v>46</v>
      </c>
      <c r="BT387" s="61" t="n">
        <v>129.36</v>
      </c>
      <c r="BU387" s="62" t="n">
        <v>129</v>
      </c>
      <c r="BV387" s="60"/>
      <c r="BW387" s="65" t="n">
        <v>0</v>
      </c>
      <c r="BX387" s="65" t="n">
        <v>387</v>
      </c>
      <c r="BY387" s="60" t="str">
        <f aca="false">IF(U387&lt;&gt;"",UPPER(TRIM(U387)),IF(CB387=1,UPPER(VLOOKUP(T387,Parameter!$I$27:$K$29,2,0)),IF(P387="","LOSE",P387)))</f>
        <v>S32</v>
      </c>
      <c r="BZ387" s="62" t="n">
        <f aca="false">IF(BY387="LOSE",1,IF(N(V387)&gt;0,V387,IF(CB387=1,MAX(1,N(VLOOKUP(T387,Parameter!$I$27:$K$29,3,0)),H387,N(N387)),IF(N(Q387)&gt;0,Q387,MAX(1,H387)))))</f>
        <v>131</v>
      </c>
      <c r="CA387" s="65" t="n">
        <f aca="false">IF(BY387="LOSE",1,0)</f>
        <v>0</v>
      </c>
      <c r="CB387" s="65" t="n">
        <f aca="false">IF(AND(U387="",OR(P387="",P387="LOSE"),T387&lt;&gt;"",N(S387)&lt;=0,ISNUMBER(MATCH(T387,Parameter!$I$27:$I$29,0))),1,0)</f>
        <v>0</v>
      </c>
      <c r="CC387" s="65" t="n">
        <f aca="false">IF(CR387&gt;0,INDEX(Parameter!$H$5:$H$7,W387)/INDEX(Parameter!$E$5:$E$7,W387),IF(AND(CA387=0,N(IFERROR(VLOOKUP(BY387,'Gebinde-Kategorie'!$A$5:$N$45,14,0),0))&gt;0),VLOOKUP(BY387,'Gebinde-Kategorie'!$A$5:$N$45,14,0)*10+Parameter!$M$23,Parameter!$M$24))</f>
        <v>155</v>
      </c>
      <c r="CD387" s="60" t="str">
        <f aca="false">IF(AND(Parameter!$B$19="Ja",E387&lt;&gt;"",ISNUMBER(MATCH(E387,Parameter!$I$35:$I$52,0))),VLOOKUP(E387,Parameter!$I$35:$J$52,2,0),IFERROR(VLOOKUP(D387,Parameter!$A$35:$C$64,2,0),"Nein"))</f>
        <v>2+3</v>
      </c>
      <c r="CE387" s="64" t="n">
        <f aca="false">IF(CA387=0,0,IF(N(S387)&gt;0,S387,IFERROR(VLOOKUP(D387,Parameter!$A$35:$C$64,3,0)+0,0)))</f>
        <v>0</v>
      </c>
      <c r="CF387" s="60" t="n">
        <f aca="false">IF(AB387&lt;&gt;"",AB387,AA387)</f>
        <v>2</v>
      </c>
      <c r="CG387" s="60" t="str">
        <f aca="false">IF(OR(CF387=1,CF387=2,CF387=3),IF(Parameter!$E$27="Ja","LIFT",IF(CF387=1,"L1","L23")),IF(CF387="Aussen","Aussen","-"))</f>
        <v>LIFT</v>
      </c>
      <c r="CH387" s="71" t="n">
        <f aca="false">IF(N(AC387)&gt;0,AC387,0)</f>
        <v>0</v>
      </c>
      <c r="CI387" s="65" t="n">
        <f aca="false">IF(ISNUMBER(AF387),1,0)</f>
        <v>0</v>
      </c>
      <c r="CJ387" s="62" t="n">
        <f aca="false">N(AF387)</f>
        <v>0</v>
      </c>
      <c r="CK387" s="62" t="n">
        <f aca="false">N(M387)+N(N387)</f>
        <v>137</v>
      </c>
      <c r="CL387" s="62" t="n">
        <f aca="false">N(M387)</f>
        <v>7</v>
      </c>
      <c r="CM387" s="62" t="n">
        <f aca="false">N(N387)</f>
        <v>130</v>
      </c>
      <c r="CN387" s="62" t="n">
        <f aca="false">ROUNDUP(H387/BZ387,0)</f>
        <v>1</v>
      </c>
      <c r="CO387" s="62" t="n">
        <f aca="false">ROUNDUP(CJ387/BZ387,0)</f>
        <v>0</v>
      </c>
      <c r="CP387" s="65" t="n">
        <f aca="false">IF(CA387=1,0,IFERROR(VLOOKUP(BY387,'Gebinde-Kategorie'!$A$5:$N$45,5,0)+0,0))</f>
        <v>8</v>
      </c>
      <c r="CQ387" s="65" t="n">
        <f aca="false">IFERROR(IF(OR(CF387=1,CF387=2,CF387=3),N(INDEX(Parameter!$I$5:$I$7,CF387)),0),0)</f>
        <v>0</v>
      </c>
      <c r="CR387" s="64" t="n">
        <f aca="false">IF(AND(Parameter!$B$21="Ja",ISNUMBER(W387),N(X387)&gt;0),IFERROR(N(INDEX(Parameter!$L$5:$L$7,W387))*INDEX(Parameter!$E$5:$E$7,W387)*X387/SUMIFS($X$7:$X$1843,$W$7:$W$1843,W387),0),0)</f>
        <v>0</v>
      </c>
      <c r="CS387" s="62" t="n">
        <f aca="false">IF(AND(OR(CG387="L1",CG387="L23",CG387="LIFT"),H387&gt;0),CC387*IF(CR387&gt;0,CR387*MAX(1,H387/X387),IF(CA387=1,CE387,IF(R387&gt;0,CN387/R387,0))/MAX(0.1,N(Parameter!$M$21))),"")</f>
        <v>1.49038461538462</v>
      </c>
      <c r="CT387" s="64" t="n">
        <f aca="false">IF(CS387="","",J387/H387)</f>
        <v>0.992307692307692</v>
      </c>
      <c r="CU387" s="62" t="n">
        <f aca="false">IF(CS387="","",H387*G387)</f>
        <v>200.2</v>
      </c>
      <c r="CV387" s="63" t="n">
        <f aca="false">IF(CS387="","",(CL387+ROUNDUP(CL387+MAX(CM387,2*(J387/MAX(0.1,N(Einkauf!$C$6))-CL387)),0))/2)</f>
        <v>72</v>
      </c>
      <c r="CW387" s="62" t="n">
        <f aca="false">IF(CS387="","",MAX(0,H387-CV387)*G387)</f>
        <v>89.32</v>
      </c>
      <c r="CX387" s="62" t="n">
        <f aca="false">IF(CS387="","",CS387*MAX(0,1-CV387/H387))</f>
        <v>0.664940828402367</v>
      </c>
      <c r="CY387" s="64" t="n">
        <f aca="false">IF(CS387="","",PERCENTRANK($CS$7:$CS$1843,CS387)+PERCENTRANK($CU$7:$CU$1843,CU387)+1-PERCENTRANK($CT$7:$CT$1843,CT387))</f>
        <v>0.825</v>
      </c>
      <c r="CZ387" s="72" t="n">
        <f aca="false">IF(CS387="","",CHOOSE(MATCH(Einkauf!$C$5,Parameter!$G$23:$G$27,0),CY387,CS387,CU387,-CT387,CW387)+ROW()/1000000000)</f>
        <v>0.825000387</v>
      </c>
    </row>
    <row r="388" customFormat="false" ht="15" hidden="false" customHeight="false" outlineLevel="0" collapsed="false">
      <c r="A388" s="60" t="s">
        <v>960</v>
      </c>
      <c r="B388" s="60" t="s">
        <v>447</v>
      </c>
      <c r="C388" s="60" t="s">
        <v>206</v>
      </c>
      <c r="D388" s="60" t="s">
        <v>226</v>
      </c>
      <c r="E388" s="60"/>
      <c r="F388" s="60" t="s">
        <v>260</v>
      </c>
      <c r="G388" s="61" t="n">
        <v>0.6</v>
      </c>
      <c r="H388" s="62" t="n">
        <f aca="false">MAX(0,IF(AND(Parameter!$B$21="Ja",ISNUMBER(Y388)),Y388,IF(Parameter!$B$20="Jahresanfang 2025 + Export",BS388+BR388,BR388)))</f>
        <v>414</v>
      </c>
      <c r="I388" s="62" t="n">
        <f aca="false">H388*G388</f>
        <v>248.4</v>
      </c>
      <c r="J388" s="62" t="n">
        <f aca="false">BU388*Parameter!$B$18</f>
        <v>605</v>
      </c>
      <c r="K388" s="63" t="n">
        <v>279</v>
      </c>
      <c r="L388" s="64" t="n">
        <v>2.16845878136201</v>
      </c>
      <c r="M388" s="62" t="n">
        <v>35</v>
      </c>
      <c r="N388" s="62" t="n">
        <v>500</v>
      </c>
      <c r="O388" s="65" t="n">
        <v>21</v>
      </c>
      <c r="P388" s="60" t="s">
        <v>370</v>
      </c>
      <c r="Q388" s="62" t="n">
        <v>620</v>
      </c>
      <c r="R388" s="65" t="n">
        <f aca="false">IF(CA388=1,0,IFERROR(VLOOKUP(BY388,'Gebinde-Kategorie'!$A$5:$N$45,13,0)+0,0))</f>
        <v>52</v>
      </c>
      <c r="S388" s="66"/>
      <c r="T388" s="67"/>
      <c r="U388" s="67"/>
      <c r="V388" s="67"/>
      <c r="W388" s="60"/>
      <c r="X388" s="62"/>
      <c r="Y388" s="62"/>
      <c r="Z388" s="60" t="n">
        <v>3</v>
      </c>
      <c r="AA388" s="60" t="n">
        <f aca="false">IF(A388="","",IF(AND(Parameter!$B$21="Ja",ISNUMBER(W388)),W388,IF(AND(Parameter!$E$27="Ja",ISNUMBER(Z388),CD388&lt;&gt;"Nein"),Z388,IF(CD388="2+3",IF(ISNUMBER(SEARCH("grosser Artikel",BV388)),2,IFERROR(VLOOKUP(BY388,Parameter!$F$35:$G$64,2,0),2)),IF(OR(CD388="Nein",CD388=""),"-",CD388)))))</f>
        <v>3</v>
      </c>
      <c r="AB388" s="67"/>
      <c r="AC388" s="68"/>
      <c r="AD388" s="62" t="n">
        <f aca="false">AW388</f>
        <v>535</v>
      </c>
      <c r="AE388" s="62" t="n">
        <f aca="false">MAX(AW388,H388)</f>
        <v>535</v>
      </c>
      <c r="AF388" s="69"/>
      <c r="AG388" s="62" t="n">
        <f aca="false">IF(LEFT(Cockpit!$C$5,1)="A",H388,IF(Parameter!$E$30="MAX-Bestand",IF(CI388=1,CJ388,IF(LEFT(Cockpit!$C$5,1)="B",AM388,MAX(AM388,H388))),ROUNDUP(AK388,0)))</f>
        <v>414</v>
      </c>
      <c r="AH388" s="62" t="n">
        <f aca="false">IF(CA388=1,0,ROUNDUP(AG388/BZ388,0))</f>
        <v>1</v>
      </c>
      <c r="AI388" s="64" t="n">
        <f aca="false">IF(CR388&gt;0,CR388*MAX(1,AG388/X388),IF(CA388=1,IF(AG388&lt;=0,0,CE388*MAX(1,IF(H388&gt;0,AG388/H388,1))),IF(R388&gt;0,AH388/R388,0))/MAX(0.1,N(Parameter!$M$21)))</f>
        <v>0.0192307692307692</v>
      </c>
      <c r="AJ388" s="62" t="n">
        <f aca="false">AI388*CC388</f>
        <v>2.98076923076923</v>
      </c>
      <c r="AK388" s="63" t="n">
        <f aca="false">IF(LEFT(Cockpit!$C$5,1)="A",H388,IF(CI388=1,(CL388+CJ388)/2,IF(LEFT(Cockpit!$C$5,1)="B",(CL388+AM388)/2,MAX((CL388+AM388)/2,H388))))</f>
        <v>414</v>
      </c>
      <c r="AL388" s="62" t="n">
        <f aca="false">AK388*G388</f>
        <v>248.4</v>
      </c>
      <c r="AM388" s="62" t="n">
        <f aca="false">ROUNDUP(CL388+MAX(CM388,2*(J388/IF(CH388&gt;0,CH388,MAX(0.1,N(Cockpit!$C$6)))-CL388)),0)</f>
        <v>535</v>
      </c>
      <c r="AN388" s="63" t="n">
        <f aca="false">IF(AJ388&gt;0,J388/AJ388,-1)</f>
        <v>202.967741935484</v>
      </c>
      <c r="AO388" s="63" t="n">
        <f aca="false">IF(AND(OR(CG388="L1",CG388="L23",CG388="LIFT"),AJ388&gt;0),SUMIFS($AJ$7:$AJ$1843,$CG$7:$CG$1843,CG388,$AN$7:$AN$1843,"&gt;"&amp;AN388)+SUMIFS($AJ$7:$AJ$1843,$CG$7:$CG$1843,CG388,$AN$7:$AN$1843,AN388,$BX$7:$BX$1843,"&lt;="&amp;BX388),"")</f>
        <v>341.378205128205</v>
      </c>
      <c r="AP388" s="70" t="n">
        <f aca="false">IF(AO388="",0,MAX(0,MIN(1,(IF(CG388="L1",Parameter!$H$5,IF(CG388="L23",Parameter!$H$6+Parameter!$H$7,Parameter!$H$5+Parameter!$H$6+Parameter!$H$7))-(AO388-AJ388))/AJ388)))</f>
        <v>1</v>
      </c>
      <c r="AQ388" s="62" t="n">
        <f aca="false">IF(LEFT(Cockpit!$I$5,1)="A",H388,IF(Parameter!$E$30="MAX-Bestand",IF(CI388=1,CJ388,IF(LEFT(Cockpit!$I$5,1)="B",AW388,MAX(AW388,H388))),ROUNDUP(AU388,0)))</f>
        <v>414</v>
      </c>
      <c r="AR388" s="62" t="n">
        <f aca="false">IF(CA388=1,0,ROUNDUP(AQ388/BZ388,0))</f>
        <v>1</v>
      </c>
      <c r="AS388" s="64" t="n">
        <f aca="false">IF(CR388&gt;0,CR388*MAX(1,AQ388/X388),IF(CA388=1,IF(AQ388&lt;=0,0,CE388*MAX(1,IF(H388&gt;0,AQ388/H388,1))),IF(R388&gt;0,AR388/R388,0))/MAX(0.1,N(Parameter!$M$21)))</f>
        <v>0.0192307692307692</v>
      </c>
      <c r="AT388" s="62" t="n">
        <f aca="false">AS388*CC388</f>
        <v>2.98076923076923</v>
      </c>
      <c r="AU388" s="63" t="n">
        <f aca="false">IF(LEFT(Cockpit!$I$5,1)="A",H388,IF(CI388=1,(CL388+CJ388)/2,IF(LEFT(Cockpit!$I$5,1)="B",(CL388+AW388)/2,MAX((CL388+AW388)/2,H388))))</f>
        <v>414</v>
      </c>
      <c r="AV388" s="62" t="n">
        <f aca="false">AU388*G388</f>
        <v>248.4</v>
      </c>
      <c r="AW388" s="62" t="n">
        <f aca="false">ROUNDUP(CL388+MAX(CM388,2*(J388/IF(CH388&gt;0,CH388,MAX(0.1,N(Cockpit!$I$6)))-CL388)),0)</f>
        <v>535</v>
      </c>
      <c r="AX388" s="63" t="n">
        <f aca="false">IF(AT388&gt;0,J388/AT388,-1)</f>
        <v>202.967741935484</v>
      </c>
      <c r="AY388" s="63" t="n">
        <f aca="false">IF(AND(OR(CG388="L1",CG388="L23",CG388="LIFT"),AT388&gt;0),SUMIFS($AT$7:$AT$1843,$CG$7:$CG$1843,CG388,$AX$7:$AX$1843,"&gt;"&amp;AX388)+SUMIFS($AT$7:$AT$1843,$CG$7:$CG$1843,CG388,$AX$7:$AX$1843,AX388,$BX$7:$BX$1843,"&lt;="&amp;BX388),"")</f>
        <v>450.553571428571</v>
      </c>
      <c r="AZ388" s="70" t="n">
        <f aca="false">IF(AY388="",0,MAX(0,MIN(1,(IF(CG388="L1",Parameter!$H$5,IF(CG388="L23",Parameter!$H$6+Parameter!$H$7,Parameter!$H$5+Parameter!$H$6+Parameter!$H$7))-(AY388-AT388))/AT388)))</f>
        <v>1</v>
      </c>
      <c r="BA388" s="62" t="n">
        <f aca="false">IF(LEFT(Cockpit!$O$5,1)="A",H388,IF(Parameter!$E$30="MAX-Bestand",IF(CI388=1,CJ388,IF(LEFT(Cockpit!$O$5,1)="B",BG388,MAX(BG388,H388))),ROUNDUP(BE388,0)))</f>
        <v>285</v>
      </c>
      <c r="BB388" s="62" t="n">
        <f aca="false">IF(CA388=1,0,ROUNDUP(BA388/BZ388,0))</f>
        <v>1</v>
      </c>
      <c r="BC388" s="64" t="n">
        <f aca="false">IF(CR388&gt;0,CR388*MAX(1,BA388/X388),IF(CA388=1,IF(BA388&lt;=0,0,CE388*MAX(1,IF(H388&gt;0,BA388/H388,1))),IF(R388&gt;0,BB388/R388,0))/MAX(0.1,N(Parameter!$M$21)))</f>
        <v>0.0192307692307692</v>
      </c>
      <c r="BD388" s="62" t="n">
        <f aca="false">BC388*CC388</f>
        <v>2.98076923076923</v>
      </c>
      <c r="BE388" s="63" t="n">
        <f aca="false">IF(LEFT(Cockpit!$O$5,1)="A",H388,IF(CI388=1,(CL388+CJ388)/2,IF(LEFT(Cockpit!$O$5,1)="B",(CL388+BG388)/2,MAX((CL388+BG388)/2,H388))))</f>
        <v>285</v>
      </c>
      <c r="BF388" s="62" t="n">
        <f aca="false">BE388*G388</f>
        <v>171</v>
      </c>
      <c r="BG388" s="62" t="n">
        <f aca="false">ROUNDUP(CL388+MAX(CM388,2*(J388/IF(CH388&gt;0,CH388,MAX(0.1,N(Cockpit!$O$6)))-CL388)),0)</f>
        <v>535</v>
      </c>
      <c r="BH388" s="63" t="n">
        <f aca="false">IF(BD388&gt;0,J388/BD388,-1)</f>
        <v>202.967741935484</v>
      </c>
      <c r="BI388" s="63" t="n">
        <f aca="false">IF(AND(OR(CG388="L1",CG388="L23",CG388="LIFT"),BD388&gt;0),SUMIFS($BD$7:$BD$1843,$CG$7:$CG$1843,CG388,$BH$7:$BH$1843,"&gt;"&amp;BH388)+SUMIFS($BD$7:$BD$1843,$CG$7:$CG$1843,CG388,$BH$7:$BH$1843,BH388,$BX$7:$BX$1843,"&lt;="&amp;BX388),"")</f>
        <v>450.311813186813</v>
      </c>
      <c r="BJ388" s="70" t="n">
        <f aca="false">IF(BI388="",0,MAX(0,MIN(1,(IF(CG388="L1",Parameter!$H$5,IF(CG388="L23",Parameter!$H$6+Parameter!$H$7,Parameter!$H$5+Parameter!$H$6+Parameter!$H$7))-(BI388-BD388))/BD388)))</f>
        <v>1</v>
      </c>
      <c r="BK388" s="60" t="str">
        <f aca="false">IF(AJ388&lt;=0,"",IF(CG388="Aussen","Aussenlager",IF(CG388="-","Nicht im Lift",IF(AP388&gt;=1,"Lift",IF(AP388&lt;=0,"Aussenlager","teilweise")))))</f>
        <v>Lift</v>
      </c>
      <c r="BL388" s="60" t="str">
        <f aca="false">IF(AT388&lt;=0,"",IF(CG388="Aussen","Aussenlager",IF(CG388="-","Nicht im Lift",IF(AZ388&gt;=1,"Lift",IF(AZ388&lt;=0,"Aussenlager","teilweise")))))</f>
        <v>Lift</v>
      </c>
      <c r="BM388" s="60" t="str">
        <f aca="false">IF(BD388&lt;=0,"",IF(CG388="Aussen","Aussenlager",IF(CG388="-","Nicht im Lift",IF(BJ388&gt;=1,"Lift",IF(BJ388&lt;=0,"Aussenlager","teilweise")))))</f>
        <v>Lift</v>
      </c>
      <c r="BN388" s="60" t="str">
        <f aca="false">IF(A388="","",IF(BW388=1,"Neu; ","")&amp;IF(AND(BW388=0,BR388&lt;0),"negativer Bestand (Export "&amp;BR388&amp;"); ","")&amp;IF(J388&lt;=0,"Kein Verbrauch; ","")&amp;IF(CR388&gt;0,"Lift "&amp;W388&amp;" lt. Liftbericht (Fach "&amp;X388&amp;" Stk); ",IF(CB388=1,"Gebinde geschätzt ("&amp;T388&amp;"); ",IF(CA388=1,"Lose – Tablare geschätzt; ","")))&amp;IF(H388&gt;AW388,"Überbestand "&amp;ROUND(H388-AW388,0)&amp;" Stk / CHF "&amp;ROUND((H388-AW388)*G388,0)&amp;"; ","")&amp;IF(AND(CI388=1,CJ388&lt;CK388),"MAX &lt; MB+LG; ","")&amp;IF(AND(CQ388&gt;0,CP388*10&gt;CQ388),"zu hoch für Tablar; ","")&amp;IF(AND(BW388=0,OR(CI388=1,AB388&lt;&gt;"",U388&lt;&gt;"",V388&lt;&gt;"",AC388&lt;&gt;"")),"manuell übersteuert; ","")&amp;IF(AND(CA388=0,R388=0),"Gebinde unbekannt / Stellmass fehlt; ","")&amp;IF(AND(CA388=0,N(V388)&lt;=0,N(Q388)&lt;=0),"Menge pro Gebinde fehlt (Ist = 1 Gebinde); ","")&amp;BV388)</f>
        <v/>
      </c>
      <c r="BO388" s="60"/>
      <c r="BP388" s="60"/>
      <c r="BQ388" s="67"/>
      <c r="BR388" s="62" t="n">
        <v>210</v>
      </c>
      <c r="BS388" s="62" t="n">
        <v>204</v>
      </c>
      <c r="BT388" s="61" t="n">
        <v>128.04</v>
      </c>
      <c r="BU388" s="62" t="n">
        <v>605</v>
      </c>
      <c r="BV388" s="60"/>
      <c r="BW388" s="65" t="n">
        <v>0</v>
      </c>
      <c r="BX388" s="65" t="n">
        <v>388</v>
      </c>
      <c r="BY388" s="60" t="str">
        <f aca="false">IF(U388&lt;&gt;"",UPPER(TRIM(U388)),IF(CB388=1,UPPER(VLOOKUP(T388,Parameter!$I$27:$K$29,2,0)),IF(P388="","LOSE",P388)))</f>
        <v>S41</v>
      </c>
      <c r="BZ388" s="62" t="n">
        <f aca="false">IF(BY388="LOSE",1,IF(N(V388)&gt;0,V388,IF(CB388=1,MAX(1,N(VLOOKUP(T388,Parameter!$I$27:$K$29,3,0)),H388,N(N388)),IF(N(Q388)&gt;0,Q388,MAX(1,H388)))))</f>
        <v>620</v>
      </c>
      <c r="CA388" s="65" t="n">
        <f aca="false">IF(BY388="LOSE",1,0)</f>
        <v>0</v>
      </c>
      <c r="CB388" s="65" t="n">
        <f aca="false">IF(AND(U388="",OR(P388="",P388="LOSE"),T388&lt;&gt;"",N(S388)&lt;=0,ISNUMBER(MATCH(T388,Parameter!$I$27:$I$29,0))),1,0)</f>
        <v>0</v>
      </c>
      <c r="CC388" s="65" t="n">
        <f aca="false">IF(CR388&gt;0,INDEX(Parameter!$H$5:$H$7,W388)/INDEX(Parameter!$E$5:$E$7,W388),IF(AND(CA388=0,N(IFERROR(VLOOKUP(BY388,'Gebinde-Kategorie'!$A$5:$N$45,14,0),0))&gt;0),VLOOKUP(BY388,'Gebinde-Kategorie'!$A$5:$N$45,14,0)*10+Parameter!$M$23,Parameter!$M$24))</f>
        <v>155</v>
      </c>
      <c r="CD388" s="60" t="str">
        <f aca="false">IF(AND(Parameter!$B$19="Ja",E388&lt;&gt;"",ISNUMBER(MATCH(E388,Parameter!$I$35:$I$52,0))),VLOOKUP(E388,Parameter!$I$35:$J$52,2,0),IFERROR(VLOOKUP(D388,Parameter!$A$35:$C$64,2,0),"Nein"))</f>
        <v>2+3</v>
      </c>
      <c r="CE388" s="64" t="n">
        <f aca="false">IF(CA388=0,0,IF(N(S388)&gt;0,S388,IFERROR(VLOOKUP(D388,Parameter!$A$35:$C$64,3,0)+0,0)))</f>
        <v>0</v>
      </c>
      <c r="CF388" s="60" t="n">
        <f aca="false">IF(AB388&lt;&gt;"",AB388,AA388)</f>
        <v>3</v>
      </c>
      <c r="CG388" s="60" t="str">
        <f aca="false">IF(OR(CF388=1,CF388=2,CF388=3),IF(Parameter!$E$27="Ja","LIFT",IF(CF388=1,"L1","L23")),IF(CF388="Aussen","Aussen","-"))</f>
        <v>LIFT</v>
      </c>
      <c r="CH388" s="71" t="n">
        <f aca="false">IF(N(AC388)&gt;0,AC388,0)</f>
        <v>0</v>
      </c>
      <c r="CI388" s="65" t="n">
        <f aca="false">IF(ISNUMBER(AF388),1,0)</f>
        <v>0</v>
      </c>
      <c r="CJ388" s="62" t="n">
        <f aca="false">N(AF388)</f>
        <v>0</v>
      </c>
      <c r="CK388" s="62" t="n">
        <f aca="false">N(M388)+N(N388)</f>
        <v>535</v>
      </c>
      <c r="CL388" s="62" t="n">
        <f aca="false">N(M388)</f>
        <v>35</v>
      </c>
      <c r="CM388" s="62" t="n">
        <f aca="false">N(N388)</f>
        <v>500</v>
      </c>
      <c r="CN388" s="62" t="n">
        <f aca="false">ROUNDUP(H388/BZ388,0)</f>
        <v>1</v>
      </c>
      <c r="CO388" s="62" t="n">
        <f aca="false">ROUNDUP(CJ388/BZ388,0)</f>
        <v>0</v>
      </c>
      <c r="CP388" s="65" t="n">
        <f aca="false">IF(CA388=1,0,IFERROR(VLOOKUP(BY388,'Gebinde-Kategorie'!$A$5:$N$45,5,0)+0,0))</f>
        <v>11</v>
      </c>
      <c r="CQ388" s="65" t="n">
        <f aca="false">IFERROR(IF(OR(CF388=1,CF388=2,CF388=3),N(INDEX(Parameter!$I$5:$I$7,CF388)),0),0)</f>
        <v>0</v>
      </c>
      <c r="CR388" s="64" t="n">
        <f aca="false">IF(AND(Parameter!$B$21="Ja",ISNUMBER(W388),N(X388)&gt;0),IFERROR(N(INDEX(Parameter!$L$5:$L$7,W388))*INDEX(Parameter!$E$5:$E$7,W388)*X388/SUMIFS($X$7:$X$1843,$W$7:$W$1843,W388),0),0)</f>
        <v>0</v>
      </c>
      <c r="CS388" s="62" t="n">
        <f aca="false">IF(AND(OR(CG388="L1",CG388="L23",CG388="LIFT"),H388&gt;0),CC388*IF(CR388&gt;0,CR388*MAX(1,H388/X388),IF(CA388=1,CE388,IF(R388&gt;0,CN388/R388,0))/MAX(0.1,N(Parameter!$M$21))),"")</f>
        <v>2.98076923076923</v>
      </c>
      <c r="CT388" s="64" t="n">
        <f aca="false">IF(CS388="","",J388/H388)</f>
        <v>1.46135265700483</v>
      </c>
      <c r="CU388" s="62" t="n">
        <f aca="false">IF(CS388="","",H388*G388)</f>
        <v>248.4</v>
      </c>
      <c r="CV388" s="63" t="n">
        <f aca="false">IF(CS388="","",(CL388+ROUNDUP(CL388+MAX(CM388,2*(J388/MAX(0.1,N(Einkauf!$C$6))-CL388)),0))/2)</f>
        <v>285</v>
      </c>
      <c r="CW388" s="62" t="n">
        <f aca="false">IF(CS388="","",MAX(0,H388-CV388)*G388)</f>
        <v>77.4</v>
      </c>
      <c r="CX388" s="62" t="n">
        <f aca="false">IF(CS388="","",CS388*MAX(0,1-CV388/H388))</f>
        <v>0.928790412486065</v>
      </c>
      <c r="CY388" s="64" t="n">
        <f aca="false">IF(CS388="","",PERCENTRANK($CS$7:$CS$1843,CS388)+PERCENTRANK($CU$7:$CU$1843,CU388)+1-PERCENTRANK($CT$7:$CT$1843,CT388))</f>
        <v>0.835</v>
      </c>
      <c r="CZ388" s="72" t="n">
        <f aca="false">IF(CS388="","",CHOOSE(MATCH(Einkauf!$C$5,Parameter!$G$23:$G$27,0),CY388,CS388,CU388,-CT388,CW388)+ROW()/1000000000)</f>
        <v>0.835000388</v>
      </c>
    </row>
    <row r="389" customFormat="false" ht="15" hidden="false" customHeight="false" outlineLevel="0" collapsed="false">
      <c r="A389" s="60" t="s">
        <v>961</v>
      </c>
      <c r="B389" s="60" t="s">
        <v>543</v>
      </c>
      <c r="C389" s="60" t="s">
        <v>206</v>
      </c>
      <c r="D389" s="60" t="s">
        <v>226</v>
      </c>
      <c r="E389" s="60" t="s">
        <v>227</v>
      </c>
      <c r="F389" s="60" t="s">
        <v>260</v>
      </c>
      <c r="G389" s="61" t="n">
        <v>8.3</v>
      </c>
      <c r="H389" s="62" t="n">
        <f aca="false">MAX(0,IF(AND(Parameter!$B$21="Ja",ISNUMBER(Y389)),Y389,IF(Parameter!$B$20="Jahresanfang 2025 + Export",BS389+BR389,BR389)))</f>
        <v>34</v>
      </c>
      <c r="I389" s="62" t="n">
        <f aca="false">H389*G389</f>
        <v>282.2</v>
      </c>
      <c r="J389" s="62" t="n">
        <f aca="false">BU389*Parameter!$B$18</f>
        <v>46</v>
      </c>
      <c r="K389" s="63" t="n">
        <v>14</v>
      </c>
      <c r="L389" s="64" t="n">
        <v>3.28571428571429</v>
      </c>
      <c r="M389" s="62" t="n">
        <v>3</v>
      </c>
      <c r="N389" s="62" t="n">
        <v>50</v>
      </c>
      <c r="O389" s="65" t="n">
        <v>28</v>
      </c>
      <c r="P389" s="60" t="s">
        <v>370</v>
      </c>
      <c r="Q389" s="62" t="n">
        <v>27</v>
      </c>
      <c r="R389" s="65" t="n">
        <f aca="false">IF(CA389=1,0,IFERROR(VLOOKUP(BY389,'Gebinde-Kategorie'!$A$5:$N$45,13,0)+0,0))</f>
        <v>52</v>
      </c>
      <c r="S389" s="66"/>
      <c r="T389" s="67"/>
      <c r="U389" s="67"/>
      <c r="V389" s="67"/>
      <c r="W389" s="60"/>
      <c r="X389" s="62"/>
      <c r="Y389" s="62"/>
      <c r="Z389" s="60" t="n">
        <v>3</v>
      </c>
      <c r="AA389" s="60" t="n">
        <f aca="false">IF(A389="","",IF(AND(Parameter!$B$21="Ja",ISNUMBER(W389)),W389,IF(AND(Parameter!$E$27="Ja",ISNUMBER(Z389),CD389&lt;&gt;"Nein"),Z389,IF(CD389="2+3",IF(ISNUMBER(SEARCH("grosser Artikel",BV389)),2,IFERROR(VLOOKUP(BY389,Parameter!$F$35:$G$64,2,0),2)),IF(OR(CD389="Nein",CD389=""),"-",CD389)))))</f>
        <v>3</v>
      </c>
      <c r="AB389" s="67"/>
      <c r="AC389" s="68"/>
      <c r="AD389" s="62" t="n">
        <f aca="false">AW389</f>
        <v>53</v>
      </c>
      <c r="AE389" s="62" t="n">
        <f aca="false">MAX(AW389,H389)</f>
        <v>53</v>
      </c>
      <c r="AF389" s="69"/>
      <c r="AG389" s="62" t="n">
        <f aca="false">IF(LEFT(Cockpit!$C$5,1)="A",H389,IF(Parameter!$E$30="MAX-Bestand",IF(CI389=1,CJ389,IF(LEFT(Cockpit!$C$5,1)="B",AM389,MAX(AM389,H389))),ROUNDUP(AK389,0)))</f>
        <v>34</v>
      </c>
      <c r="AH389" s="62" t="n">
        <f aca="false">IF(CA389=1,0,ROUNDUP(AG389/BZ389,0))</f>
        <v>2</v>
      </c>
      <c r="AI389" s="64" t="n">
        <f aca="false">IF(CR389&gt;0,CR389*MAX(1,AG389/X389),IF(CA389=1,IF(AG389&lt;=0,0,CE389*MAX(1,IF(H389&gt;0,AG389/H389,1))),IF(R389&gt;0,AH389/R389,0))/MAX(0.1,N(Parameter!$M$21)))</f>
        <v>0.0384615384615385</v>
      </c>
      <c r="AJ389" s="62" t="n">
        <f aca="false">AI389*CC389</f>
        <v>5.96153846153846</v>
      </c>
      <c r="AK389" s="63" t="n">
        <f aca="false">IF(LEFT(Cockpit!$C$5,1)="A",H389,IF(CI389=1,(CL389+CJ389)/2,IF(LEFT(Cockpit!$C$5,1)="B",(CL389+AM389)/2,MAX((CL389+AM389)/2,H389))))</f>
        <v>34</v>
      </c>
      <c r="AL389" s="62" t="n">
        <f aca="false">AK389*G389</f>
        <v>282.2</v>
      </c>
      <c r="AM389" s="62" t="n">
        <f aca="false">ROUNDUP(CL389+MAX(CM389,2*(J389/IF(CH389&gt;0,CH389,MAX(0.1,N(Cockpit!$C$6)))-CL389)),0)</f>
        <v>53</v>
      </c>
      <c r="AN389" s="63" t="n">
        <f aca="false">IF(AJ389&gt;0,J389/AJ389,-1)</f>
        <v>7.71612903225806</v>
      </c>
      <c r="AO389" s="63" t="n">
        <f aca="false">IF(AND(OR(CG389="L1",CG389="L23",CG389="LIFT"),AJ389&gt;0),SUMIFS($AJ$7:$AJ$1843,$CG$7:$CG$1843,CG389,$AN$7:$AN$1843,"&gt;"&amp;AN389)+SUMIFS($AJ$7:$AJ$1843,$CG$7:$CG$1843,CG389,$AN$7:$AN$1843,AN389,$BX$7:$BX$1843,"&lt;="&amp;BX389),"")</f>
        <v>3116.07692307692</v>
      </c>
      <c r="AP389" s="70" t="n">
        <f aca="false">IF(AO389="",0,MAX(0,MIN(1,(IF(CG389="L1",Parameter!$H$5,IF(CG389="L23",Parameter!$H$6+Parameter!$H$7,Parameter!$H$5+Parameter!$H$6+Parameter!$H$7))-(AO389-AJ389))/AJ389)))</f>
        <v>1</v>
      </c>
      <c r="AQ389" s="62" t="n">
        <f aca="false">IF(LEFT(Cockpit!$I$5,1)="A",H389,IF(Parameter!$E$30="MAX-Bestand",IF(CI389=1,CJ389,IF(LEFT(Cockpit!$I$5,1)="B",AW389,MAX(AW389,H389))),ROUNDUP(AU389,0)))</f>
        <v>34</v>
      </c>
      <c r="AR389" s="62" t="n">
        <f aca="false">IF(CA389=1,0,ROUNDUP(AQ389/BZ389,0))</f>
        <v>2</v>
      </c>
      <c r="AS389" s="64" t="n">
        <f aca="false">IF(CR389&gt;0,CR389*MAX(1,AQ389/X389),IF(CA389=1,IF(AQ389&lt;=0,0,CE389*MAX(1,IF(H389&gt;0,AQ389/H389,1))),IF(R389&gt;0,AR389/R389,0))/MAX(0.1,N(Parameter!$M$21)))</f>
        <v>0.0384615384615385</v>
      </c>
      <c r="AT389" s="62" t="n">
        <f aca="false">AS389*CC389</f>
        <v>5.96153846153846</v>
      </c>
      <c r="AU389" s="63" t="n">
        <f aca="false">IF(LEFT(Cockpit!$I$5,1)="A",H389,IF(CI389=1,(CL389+CJ389)/2,IF(LEFT(Cockpit!$I$5,1)="B",(CL389+AW389)/2,MAX((CL389+AW389)/2,H389))))</f>
        <v>34</v>
      </c>
      <c r="AV389" s="62" t="n">
        <f aca="false">AU389*G389</f>
        <v>282.2</v>
      </c>
      <c r="AW389" s="62" t="n">
        <f aca="false">ROUNDUP(CL389+MAX(CM389,2*(J389/IF(CH389&gt;0,CH389,MAX(0.1,N(Cockpit!$I$6)))-CL389)),0)</f>
        <v>53</v>
      </c>
      <c r="AX389" s="63" t="n">
        <f aca="false">IF(AT389&gt;0,J389/AT389,-1)</f>
        <v>7.71612903225806</v>
      </c>
      <c r="AY389" s="63" t="n">
        <f aca="false">IF(AND(OR(CG389="L1",CG389="L23",CG389="LIFT"),AT389&gt;0),SUMIFS($AT$7:$AT$1843,$CG$7:$CG$1843,CG389,$AX$7:$AX$1843,"&gt;"&amp;AX389)+SUMIFS($AT$7:$AT$1843,$CG$7:$CG$1843,CG389,$AX$7:$AX$1843,AX389,$BX$7:$BX$1843,"&lt;="&amp;BX389),"")</f>
        <v>3740.13827838828</v>
      </c>
      <c r="AZ389" s="70" t="n">
        <f aca="false">IF(AY389="",0,MAX(0,MIN(1,(IF(CG389="L1",Parameter!$H$5,IF(CG389="L23",Parameter!$H$6+Parameter!$H$7,Parameter!$H$5+Parameter!$H$6+Parameter!$H$7))-(AY389-AT389))/AT389)))</f>
        <v>1</v>
      </c>
      <c r="BA389" s="62" t="n">
        <f aca="false">IF(LEFT(Cockpit!$O$5,1)="A",H389,IF(Parameter!$E$30="MAX-Bestand",IF(CI389=1,CJ389,IF(LEFT(Cockpit!$O$5,1)="B",BG389,MAX(BG389,H389))),ROUNDUP(BE389,0)))</f>
        <v>28</v>
      </c>
      <c r="BB389" s="62" t="n">
        <f aca="false">IF(CA389=1,0,ROUNDUP(BA389/BZ389,0))</f>
        <v>2</v>
      </c>
      <c r="BC389" s="64" t="n">
        <f aca="false">IF(CR389&gt;0,CR389*MAX(1,BA389/X389),IF(CA389=1,IF(BA389&lt;=0,0,CE389*MAX(1,IF(H389&gt;0,BA389/H389,1))),IF(R389&gt;0,BB389/R389,0))/MAX(0.1,N(Parameter!$M$21)))</f>
        <v>0.0384615384615385</v>
      </c>
      <c r="BD389" s="62" t="n">
        <f aca="false">BC389*CC389</f>
        <v>5.96153846153846</v>
      </c>
      <c r="BE389" s="63" t="n">
        <f aca="false">IF(LEFT(Cockpit!$O$5,1)="A",H389,IF(CI389=1,(CL389+CJ389)/2,IF(LEFT(Cockpit!$O$5,1)="B",(CL389+BG389)/2,MAX((CL389+BG389)/2,H389))))</f>
        <v>28</v>
      </c>
      <c r="BF389" s="62" t="n">
        <f aca="false">BE389*G389</f>
        <v>232.4</v>
      </c>
      <c r="BG389" s="62" t="n">
        <f aca="false">ROUNDUP(CL389+MAX(CM389,2*(J389/IF(CH389&gt;0,CH389,MAX(0.1,N(Cockpit!$O$6)))-CL389)),0)</f>
        <v>53</v>
      </c>
      <c r="BH389" s="63" t="n">
        <f aca="false">IF(BD389&gt;0,J389/BD389,-1)</f>
        <v>7.71612903225806</v>
      </c>
      <c r="BI389" s="63" t="n">
        <f aca="false">IF(AND(OR(CG389="L1",CG389="L23",CG389="LIFT"),BD389&gt;0),SUMIFS($BD$7:$BD$1843,$CG$7:$CG$1843,CG389,$BH$7:$BH$1843,"&gt;"&amp;BH389)+SUMIFS($BD$7:$BD$1843,$CG$7:$CG$1843,CG389,$BH$7:$BH$1843,BH389,$BX$7:$BX$1843,"&lt;="&amp;BX389),"")</f>
        <v>3159.00778388278</v>
      </c>
      <c r="BJ389" s="70" t="n">
        <f aca="false">IF(BI389="",0,MAX(0,MIN(1,(IF(CG389="L1",Parameter!$H$5,IF(CG389="L23",Parameter!$H$6+Parameter!$H$7,Parameter!$H$5+Parameter!$H$6+Parameter!$H$7))-(BI389-BD389))/BD389)))</f>
        <v>1</v>
      </c>
      <c r="BK389" s="60" t="str">
        <f aca="false">IF(AJ389&lt;=0,"",IF(CG389="Aussen","Aussenlager",IF(CG389="-","Nicht im Lift",IF(AP389&gt;=1,"Lift",IF(AP389&lt;=0,"Aussenlager","teilweise")))))</f>
        <v>Lift</v>
      </c>
      <c r="BL389" s="60" t="str">
        <f aca="false">IF(AT389&lt;=0,"",IF(CG389="Aussen","Aussenlager",IF(CG389="-","Nicht im Lift",IF(AZ389&gt;=1,"Lift",IF(AZ389&lt;=0,"Aussenlager","teilweise")))))</f>
        <v>Lift</v>
      </c>
      <c r="BM389" s="60" t="str">
        <f aca="false">IF(BD389&lt;=0,"",IF(CG389="Aussen","Aussenlager",IF(CG389="-","Nicht im Lift",IF(BJ389&gt;=1,"Lift",IF(BJ389&lt;=0,"Aussenlager","teilweise")))))</f>
        <v>Lift</v>
      </c>
      <c r="BN389" s="60" t="str">
        <f aca="false">IF(A389="","",IF(BW389=1,"Neu; ","")&amp;IF(AND(BW389=0,BR389&lt;0),"negativer Bestand (Export "&amp;BR389&amp;"); ","")&amp;IF(J389&lt;=0,"Kein Verbrauch; ","")&amp;IF(CR389&gt;0,"Lift "&amp;W389&amp;" lt. Liftbericht (Fach "&amp;X389&amp;" Stk); ",IF(CB389=1,"Gebinde geschätzt ("&amp;T389&amp;"); ",IF(CA389=1,"Lose – Tablare geschätzt; ","")))&amp;IF(H389&gt;AW389,"Überbestand "&amp;ROUND(H389-AW389,0)&amp;" Stk / CHF "&amp;ROUND((H389-AW389)*G389,0)&amp;"; ","")&amp;IF(AND(CI389=1,CJ389&lt;CK389),"MAX &lt; MB+LG; ","")&amp;IF(AND(CQ389&gt;0,CP389*10&gt;CQ389),"zu hoch für Tablar; ","")&amp;IF(AND(BW389=0,OR(CI389=1,AB389&lt;&gt;"",U389&lt;&gt;"",V389&lt;&gt;"",AC389&lt;&gt;"")),"manuell übersteuert; ","")&amp;IF(AND(CA389=0,R389=0),"Gebinde unbekannt / Stellmass fehlt; ","")&amp;IF(AND(CA389=0,N(V389)&lt;=0,N(Q389)&lt;=0),"Menge pro Gebinde fehlt (Ist = 1 Gebinde); ","")&amp;BV389)</f>
        <v/>
      </c>
      <c r="BO389" s="60"/>
      <c r="BP389" s="60"/>
      <c r="BQ389" s="67"/>
      <c r="BR389" s="62" t="n">
        <v>22</v>
      </c>
      <c r="BS389" s="62" t="n">
        <v>12</v>
      </c>
      <c r="BT389" s="61" t="n">
        <v>127.28</v>
      </c>
      <c r="BU389" s="62" t="n">
        <v>46</v>
      </c>
      <c r="BV389" s="60"/>
      <c r="BW389" s="65" t="n">
        <v>0</v>
      </c>
      <c r="BX389" s="65" t="n">
        <v>389</v>
      </c>
      <c r="BY389" s="60" t="str">
        <f aca="false">IF(U389&lt;&gt;"",UPPER(TRIM(U389)),IF(CB389=1,UPPER(VLOOKUP(T389,Parameter!$I$27:$K$29,2,0)),IF(P389="","LOSE",P389)))</f>
        <v>S41</v>
      </c>
      <c r="BZ389" s="62" t="n">
        <f aca="false">IF(BY389="LOSE",1,IF(N(V389)&gt;0,V389,IF(CB389=1,MAX(1,N(VLOOKUP(T389,Parameter!$I$27:$K$29,3,0)),H389,N(N389)),IF(N(Q389)&gt;0,Q389,MAX(1,H389)))))</f>
        <v>27</v>
      </c>
      <c r="CA389" s="65" t="n">
        <f aca="false">IF(BY389="LOSE",1,0)</f>
        <v>0</v>
      </c>
      <c r="CB389" s="65" t="n">
        <f aca="false">IF(AND(U389="",OR(P389="",P389="LOSE"),T389&lt;&gt;"",N(S389)&lt;=0,ISNUMBER(MATCH(T389,Parameter!$I$27:$I$29,0))),1,0)</f>
        <v>0</v>
      </c>
      <c r="CC389" s="65" t="n">
        <f aca="false">IF(CR389&gt;0,INDEX(Parameter!$H$5:$H$7,W389)/INDEX(Parameter!$E$5:$E$7,W389),IF(AND(CA389=0,N(IFERROR(VLOOKUP(BY389,'Gebinde-Kategorie'!$A$5:$N$45,14,0),0))&gt;0),VLOOKUP(BY389,'Gebinde-Kategorie'!$A$5:$N$45,14,0)*10+Parameter!$M$23,Parameter!$M$24))</f>
        <v>155</v>
      </c>
      <c r="CD389" s="60" t="str">
        <f aca="false">IF(AND(Parameter!$B$19="Ja",E389&lt;&gt;"",ISNUMBER(MATCH(E389,Parameter!$I$35:$I$52,0))),VLOOKUP(E389,Parameter!$I$35:$J$52,2,0),IFERROR(VLOOKUP(D389,Parameter!$A$35:$C$64,2,0),"Nein"))</f>
        <v>2+3</v>
      </c>
      <c r="CE389" s="64" t="n">
        <f aca="false">IF(CA389=0,0,IF(N(S389)&gt;0,S389,IFERROR(VLOOKUP(D389,Parameter!$A$35:$C$64,3,0)+0,0)))</f>
        <v>0</v>
      </c>
      <c r="CF389" s="60" t="n">
        <f aca="false">IF(AB389&lt;&gt;"",AB389,AA389)</f>
        <v>3</v>
      </c>
      <c r="CG389" s="60" t="str">
        <f aca="false">IF(OR(CF389=1,CF389=2,CF389=3),IF(Parameter!$E$27="Ja","LIFT",IF(CF389=1,"L1","L23")),IF(CF389="Aussen","Aussen","-"))</f>
        <v>LIFT</v>
      </c>
      <c r="CH389" s="71" t="n">
        <f aca="false">IF(N(AC389)&gt;0,AC389,0)</f>
        <v>0</v>
      </c>
      <c r="CI389" s="65" t="n">
        <f aca="false">IF(ISNUMBER(AF389),1,0)</f>
        <v>0</v>
      </c>
      <c r="CJ389" s="62" t="n">
        <f aca="false">N(AF389)</f>
        <v>0</v>
      </c>
      <c r="CK389" s="62" t="n">
        <f aca="false">N(M389)+N(N389)</f>
        <v>53</v>
      </c>
      <c r="CL389" s="62" t="n">
        <f aca="false">N(M389)</f>
        <v>3</v>
      </c>
      <c r="CM389" s="62" t="n">
        <f aca="false">N(N389)</f>
        <v>50</v>
      </c>
      <c r="CN389" s="62" t="n">
        <f aca="false">ROUNDUP(H389/BZ389,0)</f>
        <v>2</v>
      </c>
      <c r="CO389" s="62" t="n">
        <f aca="false">ROUNDUP(CJ389/BZ389,0)</f>
        <v>0</v>
      </c>
      <c r="CP389" s="65" t="n">
        <f aca="false">IF(CA389=1,0,IFERROR(VLOOKUP(BY389,'Gebinde-Kategorie'!$A$5:$N$45,5,0)+0,0))</f>
        <v>11</v>
      </c>
      <c r="CQ389" s="65" t="n">
        <f aca="false">IFERROR(IF(OR(CF389=1,CF389=2,CF389=3),N(INDEX(Parameter!$I$5:$I$7,CF389)),0),0)</f>
        <v>0</v>
      </c>
      <c r="CR389" s="64" t="n">
        <f aca="false">IF(AND(Parameter!$B$21="Ja",ISNUMBER(W389),N(X389)&gt;0),IFERROR(N(INDEX(Parameter!$L$5:$L$7,W389))*INDEX(Parameter!$E$5:$E$7,W389)*X389/SUMIFS($X$7:$X$1843,$W$7:$W$1843,W389),0),0)</f>
        <v>0</v>
      </c>
      <c r="CS389" s="62" t="n">
        <f aca="false">IF(AND(OR(CG389="L1",CG389="L23",CG389="LIFT"),H389&gt;0),CC389*IF(CR389&gt;0,CR389*MAX(1,H389/X389),IF(CA389=1,CE389,IF(R389&gt;0,CN389/R389,0))/MAX(0.1,N(Parameter!$M$21))),"")</f>
        <v>5.96153846153846</v>
      </c>
      <c r="CT389" s="64" t="n">
        <f aca="false">IF(CS389="","",J389/H389)</f>
        <v>1.35294117647059</v>
      </c>
      <c r="CU389" s="62" t="n">
        <f aca="false">IF(CS389="","",H389*G389)</f>
        <v>282.2</v>
      </c>
      <c r="CV389" s="63" t="n">
        <f aca="false">IF(CS389="","",(CL389+ROUNDUP(CL389+MAX(CM389,2*(J389/MAX(0.1,N(Einkauf!$C$6))-CL389)),0))/2)</f>
        <v>28</v>
      </c>
      <c r="CW389" s="62" t="n">
        <f aca="false">IF(CS389="","",MAX(0,H389-CV389)*G389)</f>
        <v>49.8</v>
      </c>
      <c r="CX389" s="62" t="n">
        <f aca="false">IF(CS389="","",CS389*MAX(0,1-CV389/H389))</f>
        <v>1.05203619909502</v>
      </c>
      <c r="CY389" s="64" t="n">
        <f aca="false">IF(CS389="","",PERCENTRANK($CS$7:$CS$1843,CS389)+PERCENTRANK($CU$7:$CU$1843,CU389)+1-PERCENTRANK($CT$7:$CT$1843,CT389))</f>
        <v>1.017</v>
      </c>
      <c r="CZ389" s="72" t="n">
        <f aca="false">IF(CS389="","",CHOOSE(MATCH(Einkauf!$C$5,Parameter!$G$23:$G$27,0),CY389,CS389,CU389,-CT389,CW389)+ROW()/1000000000)</f>
        <v>1.017000389</v>
      </c>
    </row>
    <row r="390" customFormat="false" ht="15" hidden="false" customHeight="false" outlineLevel="0" collapsed="false">
      <c r="A390" s="60" t="s">
        <v>962</v>
      </c>
      <c r="B390" s="60" t="s">
        <v>963</v>
      </c>
      <c r="C390" s="60" t="s">
        <v>206</v>
      </c>
      <c r="D390" s="60" t="s">
        <v>226</v>
      </c>
      <c r="E390" s="60" t="s">
        <v>227</v>
      </c>
      <c r="F390" s="60" t="s">
        <v>260</v>
      </c>
      <c r="G390" s="61" t="n">
        <v>3.81</v>
      </c>
      <c r="H390" s="62" t="n">
        <f aca="false">MAX(0,IF(AND(Parameter!$B$21="Ja",ISNUMBER(Y390)),Y390,IF(Parameter!$B$20="Jahresanfang 2025 + Export",BS390+BR390,BR390)))</f>
        <v>66</v>
      </c>
      <c r="I390" s="62" t="n">
        <f aca="false">H390*G390</f>
        <v>251.46</v>
      </c>
      <c r="J390" s="62" t="n">
        <f aca="false">BU390*Parameter!$B$18</f>
        <v>29</v>
      </c>
      <c r="K390" s="63" t="n">
        <v>74.5</v>
      </c>
      <c r="L390" s="64" t="n">
        <v>0.389261744966443</v>
      </c>
      <c r="M390" s="62" t="n">
        <v>2</v>
      </c>
      <c r="N390" s="62" t="n">
        <v>100</v>
      </c>
      <c r="O390" s="65" t="n">
        <v>28</v>
      </c>
      <c r="P390" s="60" t="s">
        <v>370</v>
      </c>
      <c r="Q390" s="62" t="n">
        <v>128</v>
      </c>
      <c r="R390" s="65" t="n">
        <f aca="false">IF(CA390=1,0,IFERROR(VLOOKUP(BY390,'Gebinde-Kategorie'!$A$5:$N$45,13,0)+0,0))</f>
        <v>52</v>
      </c>
      <c r="S390" s="66"/>
      <c r="T390" s="67"/>
      <c r="U390" s="67"/>
      <c r="V390" s="67"/>
      <c r="W390" s="60"/>
      <c r="X390" s="62"/>
      <c r="Y390" s="62"/>
      <c r="Z390" s="60" t="n">
        <v>3</v>
      </c>
      <c r="AA390" s="60" t="n">
        <f aca="false">IF(A390="","",IF(AND(Parameter!$B$21="Ja",ISNUMBER(W390)),W390,IF(AND(Parameter!$E$27="Ja",ISNUMBER(Z390),CD390&lt;&gt;"Nein"),Z390,IF(CD390="2+3",IF(ISNUMBER(SEARCH("grosser Artikel",BV390)),2,IFERROR(VLOOKUP(BY390,Parameter!$F$35:$G$64,2,0),2)),IF(OR(CD390="Nein",CD390=""),"-",CD390)))))</f>
        <v>3</v>
      </c>
      <c r="AB390" s="67"/>
      <c r="AC390" s="68"/>
      <c r="AD390" s="62" t="n">
        <f aca="false">AW390</f>
        <v>102</v>
      </c>
      <c r="AE390" s="62" t="n">
        <f aca="false">MAX(AW390,H390)</f>
        <v>102</v>
      </c>
      <c r="AF390" s="69"/>
      <c r="AG390" s="62" t="n">
        <f aca="false">IF(LEFT(Cockpit!$C$5,1)="A",H390,IF(Parameter!$E$30="MAX-Bestand",IF(CI390=1,CJ390,IF(LEFT(Cockpit!$C$5,1)="B",AM390,MAX(AM390,H390))),ROUNDUP(AK390,0)))</f>
        <v>66</v>
      </c>
      <c r="AH390" s="62" t="n">
        <f aca="false">IF(CA390=1,0,ROUNDUP(AG390/BZ390,0))</f>
        <v>1</v>
      </c>
      <c r="AI390" s="64" t="n">
        <f aca="false">IF(CR390&gt;0,CR390*MAX(1,AG390/X390),IF(CA390=1,IF(AG390&lt;=0,0,CE390*MAX(1,IF(H390&gt;0,AG390/H390,1))),IF(R390&gt;0,AH390/R390,0))/MAX(0.1,N(Parameter!$M$21)))</f>
        <v>0.0192307692307692</v>
      </c>
      <c r="AJ390" s="62" t="n">
        <f aca="false">AI390*CC390</f>
        <v>2.98076923076923</v>
      </c>
      <c r="AK390" s="63" t="n">
        <f aca="false">IF(LEFT(Cockpit!$C$5,1)="A",H390,IF(CI390=1,(CL390+CJ390)/2,IF(LEFT(Cockpit!$C$5,1)="B",(CL390+AM390)/2,MAX((CL390+AM390)/2,H390))))</f>
        <v>66</v>
      </c>
      <c r="AL390" s="62" t="n">
        <f aca="false">AK390*G390</f>
        <v>251.46</v>
      </c>
      <c r="AM390" s="62" t="n">
        <f aca="false">ROUNDUP(CL390+MAX(CM390,2*(J390/IF(CH390&gt;0,CH390,MAX(0.1,N(Cockpit!$C$6)))-CL390)),0)</f>
        <v>102</v>
      </c>
      <c r="AN390" s="63" t="n">
        <f aca="false">IF(AJ390&gt;0,J390/AJ390,-1)</f>
        <v>9.72903225806452</v>
      </c>
      <c r="AO390" s="63" t="n">
        <f aca="false">IF(AND(OR(CG390="L1",CG390="L23",CG390="LIFT"),AJ390&gt;0),SUMIFS($AJ$7:$AJ$1843,$CG$7:$CG$1843,CG390,$AN$7:$AN$1843,"&gt;"&amp;AN390)+SUMIFS($AJ$7:$AJ$1843,$CG$7:$CG$1843,CG390,$AN$7:$AN$1843,AN390,$BX$7:$BX$1843,"&lt;="&amp;BX390),"")</f>
        <v>2894.23305860806</v>
      </c>
      <c r="AP390" s="70" t="n">
        <f aca="false">IF(AO390="",0,MAX(0,MIN(1,(IF(CG390="L1",Parameter!$H$5,IF(CG390="L23",Parameter!$H$6+Parameter!$H$7,Parameter!$H$5+Parameter!$H$6+Parameter!$H$7))-(AO390-AJ390))/AJ390)))</f>
        <v>1</v>
      </c>
      <c r="AQ390" s="62" t="n">
        <f aca="false">IF(LEFT(Cockpit!$I$5,1)="A",H390,IF(Parameter!$E$30="MAX-Bestand",IF(CI390=1,CJ390,IF(LEFT(Cockpit!$I$5,1)="B",AW390,MAX(AW390,H390))),ROUNDUP(AU390,0)))</f>
        <v>66</v>
      </c>
      <c r="AR390" s="62" t="n">
        <f aca="false">IF(CA390=1,0,ROUNDUP(AQ390/BZ390,0))</f>
        <v>1</v>
      </c>
      <c r="AS390" s="64" t="n">
        <f aca="false">IF(CR390&gt;0,CR390*MAX(1,AQ390/X390),IF(CA390=1,IF(AQ390&lt;=0,0,CE390*MAX(1,IF(H390&gt;0,AQ390/H390,1))),IF(R390&gt;0,AR390/R390,0))/MAX(0.1,N(Parameter!$M$21)))</f>
        <v>0.0192307692307692</v>
      </c>
      <c r="AT390" s="62" t="n">
        <f aca="false">AS390*CC390</f>
        <v>2.98076923076923</v>
      </c>
      <c r="AU390" s="63" t="n">
        <f aca="false">IF(LEFT(Cockpit!$I$5,1)="A",H390,IF(CI390=1,(CL390+CJ390)/2,IF(LEFT(Cockpit!$I$5,1)="B",(CL390+AW390)/2,MAX((CL390+AW390)/2,H390))))</f>
        <v>66</v>
      </c>
      <c r="AV390" s="62" t="n">
        <f aca="false">AU390*G390</f>
        <v>251.46</v>
      </c>
      <c r="AW390" s="62" t="n">
        <f aca="false">ROUNDUP(CL390+MAX(CM390,2*(J390/IF(CH390&gt;0,CH390,MAX(0.1,N(Cockpit!$I$6)))-CL390)),0)</f>
        <v>102</v>
      </c>
      <c r="AX390" s="63" t="n">
        <f aca="false">IF(AT390&gt;0,J390/AT390,-1)</f>
        <v>9.72903225806452</v>
      </c>
      <c r="AY390" s="63" t="n">
        <f aca="false">IF(AND(OR(CG390="L1",CG390="L23",CG390="LIFT"),AT390&gt;0),SUMIFS($AT$7:$AT$1843,$CG$7:$CG$1843,CG390,$AX$7:$AX$1843,"&gt;"&amp;AX390)+SUMIFS($AT$7:$AT$1843,$CG$7:$CG$1843,CG390,$AX$7:$AX$1843,AX390,$BX$7:$BX$1843,"&lt;="&amp;BX390),"")</f>
        <v>3509.22115384615</v>
      </c>
      <c r="AZ390" s="70" t="n">
        <f aca="false">IF(AY390="",0,MAX(0,MIN(1,(IF(CG390="L1",Parameter!$H$5,IF(CG390="L23",Parameter!$H$6+Parameter!$H$7,Parameter!$H$5+Parameter!$H$6+Parameter!$H$7))-(AY390-AT390))/AT390)))</f>
        <v>1</v>
      </c>
      <c r="BA390" s="62" t="n">
        <f aca="false">IF(LEFT(Cockpit!$O$5,1)="A",H390,IF(Parameter!$E$30="MAX-Bestand",IF(CI390=1,CJ390,IF(LEFT(Cockpit!$O$5,1)="B",BG390,MAX(BG390,H390))),ROUNDUP(BE390,0)))</f>
        <v>52</v>
      </c>
      <c r="BB390" s="62" t="n">
        <f aca="false">IF(CA390=1,0,ROUNDUP(BA390/BZ390,0))</f>
        <v>1</v>
      </c>
      <c r="BC390" s="64" t="n">
        <f aca="false">IF(CR390&gt;0,CR390*MAX(1,BA390/X390),IF(CA390=1,IF(BA390&lt;=0,0,CE390*MAX(1,IF(H390&gt;0,BA390/H390,1))),IF(R390&gt;0,BB390/R390,0))/MAX(0.1,N(Parameter!$M$21)))</f>
        <v>0.0192307692307692</v>
      </c>
      <c r="BD390" s="62" t="n">
        <f aca="false">BC390*CC390</f>
        <v>2.98076923076923</v>
      </c>
      <c r="BE390" s="63" t="n">
        <f aca="false">IF(LEFT(Cockpit!$O$5,1)="A",H390,IF(CI390=1,(CL390+CJ390)/2,IF(LEFT(Cockpit!$O$5,1)="B",(CL390+BG390)/2,MAX((CL390+BG390)/2,H390))))</f>
        <v>52</v>
      </c>
      <c r="BF390" s="62" t="n">
        <f aca="false">BE390*G390</f>
        <v>198.12</v>
      </c>
      <c r="BG390" s="62" t="n">
        <f aca="false">ROUNDUP(CL390+MAX(CM390,2*(J390/IF(CH390&gt;0,CH390,MAX(0.1,N(Cockpit!$O$6)))-CL390)),0)</f>
        <v>102</v>
      </c>
      <c r="BH390" s="63" t="n">
        <f aca="false">IF(BD390&gt;0,J390/BD390,-1)</f>
        <v>9.72903225806452</v>
      </c>
      <c r="BI390" s="63" t="n">
        <f aca="false">IF(AND(OR(CG390="L1",CG390="L23",CG390="LIFT"),BD390&gt;0),SUMIFS($BD$7:$BD$1843,$CG$7:$CG$1843,CG390,$BH$7:$BH$1843,"&gt;"&amp;BH390)+SUMIFS($BD$7:$BD$1843,$CG$7:$CG$1843,CG390,$BH$7:$BH$1843,BH390,$BX$7:$BX$1843,"&lt;="&amp;BX390),"")</f>
        <v>2714.71474358974</v>
      </c>
      <c r="BJ390" s="70" t="n">
        <f aca="false">IF(BI390="",0,MAX(0,MIN(1,(IF(CG390="L1",Parameter!$H$5,IF(CG390="L23",Parameter!$H$6+Parameter!$H$7,Parameter!$H$5+Parameter!$H$6+Parameter!$H$7))-(BI390-BD390))/BD390)))</f>
        <v>1</v>
      </c>
      <c r="BK390" s="60" t="str">
        <f aca="false">IF(AJ390&lt;=0,"",IF(CG390="Aussen","Aussenlager",IF(CG390="-","Nicht im Lift",IF(AP390&gt;=1,"Lift",IF(AP390&lt;=0,"Aussenlager","teilweise")))))</f>
        <v>Lift</v>
      </c>
      <c r="BL390" s="60" t="str">
        <f aca="false">IF(AT390&lt;=0,"",IF(CG390="Aussen","Aussenlager",IF(CG390="-","Nicht im Lift",IF(AZ390&gt;=1,"Lift",IF(AZ390&lt;=0,"Aussenlager","teilweise")))))</f>
        <v>Lift</v>
      </c>
      <c r="BM390" s="60" t="str">
        <f aca="false">IF(BD390&lt;=0,"",IF(CG390="Aussen","Aussenlager",IF(CG390="-","Nicht im Lift",IF(BJ390&gt;=1,"Lift",IF(BJ390&lt;=0,"Aussenlager","teilweise")))))</f>
        <v>Lift</v>
      </c>
      <c r="BN390" s="60" t="str">
        <f aca="false">IF(A390="","",IF(BW390=1,"Neu; ","")&amp;IF(AND(BW390=0,BR390&lt;0),"negativer Bestand (Export "&amp;BR390&amp;"); ","")&amp;IF(J390&lt;=0,"Kein Verbrauch; ","")&amp;IF(CR390&gt;0,"Lift "&amp;W390&amp;" lt. Liftbericht (Fach "&amp;X390&amp;" Stk); ",IF(CB390=1,"Gebinde geschätzt ("&amp;T390&amp;"); ",IF(CA390=1,"Lose – Tablare geschätzt; ","")))&amp;IF(H390&gt;AW390,"Überbestand "&amp;ROUND(H390-AW390,0)&amp;" Stk / CHF "&amp;ROUND((H390-AW390)*G390,0)&amp;"; ","")&amp;IF(AND(CI390=1,CJ390&lt;CK390),"MAX &lt; MB+LG; ","")&amp;IF(AND(CQ390&gt;0,CP390*10&gt;CQ390),"zu hoch für Tablar; ","")&amp;IF(AND(BW390=0,OR(CI390=1,AB390&lt;&gt;"",U390&lt;&gt;"",V390&lt;&gt;"",AC390&lt;&gt;"")),"manuell übersteuert; ","")&amp;IF(AND(CA390=0,R390=0),"Gebinde unbekannt / Stellmass fehlt; ","")&amp;IF(AND(CA390=0,N(V390)&lt;=0,N(Q390)&lt;=0),"Menge pro Gebinde fehlt (Ist = 1 Gebinde); ","")&amp;BV390)</f>
        <v/>
      </c>
      <c r="BO390" s="60"/>
      <c r="BP390" s="60"/>
      <c r="BQ390" s="67"/>
      <c r="BR390" s="62" t="n">
        <v>32</v>
      </c>
      <c r="BS390" s="62" t="n">
        <v>34</v>
      </c>
      <c r="BT390" s="61" t="n">
        <v>122.94</v>
      </c>
      <c r="BU390" s="62" t="n">
        <v>29</v>
      </c>
      <c r="BV390" s="60"/>
      <c r="BW390" s="65" t="n">
        <v>0</v>
      </c>
      <c r="BX390" s="65" t="n">
        <v>390</v>
      </c>
      <c r="BY390" s="60" t="str">
        <f aca="false">IF(U390&lt;&gt;"",UPPER(TRIM(U390)),IF(CB390=1,UPPER(VLOOKUP(T390,Parameter!$I$27:$K$29,2,0)),IF(P390="","LOSE",P390)))</f>
        <v>S41</v>
      </c>
      <c r="BZ390" s="62" t="n">
        <f aca="false">IF(BY390="LOSE",1,IF(N(V390)&gt;0,V390,IF(CB390=1,MAX(1,N(VLOOKUP(T390,Parameter!$I$27:$K$29,3,0)),H390,N(N390)),IF(N(Q390)&gt;0,Q390,MAX(1,H390)))))</f>
        <v>128</v>
      </c>
      <c r="CA390" s="65" t="n">
        <f aca="false">IF(BY390="LOSE",1,0)</f>
        <v>0</v>
      </c>
      <c r="CB390" s="65" t="n">
        <f aca="false">IF(AND(U390="",OR(P390="",P390="LOSE"),T390&lt;&gt;"",N(S390)&lt;=0,ISNUMBER(MATCH(T390,Parameter!$I$27:$I$29,0))),1,0)</f>
        <v>0</v>
      </c>
      <c r="CC390" s="65" t="n">
        <f aca="false">IF(CR390&gt;0,INDEX(Parameter!$H$5:$H$7,W390)/INDEX(Parameter!$E$5:$E$7,W390),IF(AND(CA390=0,N(IFERROR(VLOOKUP(BY390,'Gebinde-Kategorie'!$A$5:$N$45,14,0),0))&gt;0),VLOOKUP(BY390,'Gebinde-Kategorie'!$A$5:$N$45,14,0)*10+Parameter!$M$23,Parameter!$M$24))</f>
        <v>155</v>
      </c>
      <c r="CD390" s="60" t="str">
        <f aca="false">IF(AND(Parameter!$B$19="Ja",E390&lt;&gt;"",ISNUMBER(MATCH(E390,Parameter!$I$35:$I$52,0))),VLOOKUP(E390,Parameter!$I$35:$J$52,2,0),IFERROR(VLOOKUP(D390,Parameter!$A$35:$C$64,2,0),"Nein"))</f>
        <v>2+3</v>
      </c>
      <c r="CE390" s="64" t="n">
        <f aca="false">IF(CA390=0,0,IF(N(S390)&gt;0,S390,IFERROR(VLOOKUP(D390,Parameter!$A$35:$C$64,3,0)+0,0)))</f>
        <v>0</v>
      </c>
      <c r="CF390" s="60" t="n">
        <f aca="false">IF(AB390&lt;&gt;"",AB390,AA390)</f>
        <v>3</v>
      </c>
      <c r="CG390" s="60" t="str">
        <f aca="false">IF(OR(CF390=1,CF390=2,CF390=3),IF(Parameter!$E$27="Ja","LIFT",IF(CF390=1,"L1","L23")),IF(CF390="Aussen","Aussen","-"))</f>
        <v>LIFT</v>
      </c>
      <c r="CH390" s="71" t="n">
        <f aca="false">IF(N(AC390)&gt;0,AC390,0)</f>
        <v>0</v>
      </c>
      <c r="CI390" s="65" t="n">
        <f aca="false">IF(ISNUMBER(AF390),1,0)</f>
        <v>0</v>
      </c>
      <c r="CJ390" s="62" t="n">
        <f aca="false">N(AF390)</f>
        <v>0</v>
      </c>
      <c r="CK390" s="62" t="n">
        <f aca="false">N(M390)+N(N390)</f>
        <v>102</v>
      </c>
      <c r="CL390" s="62" t="n">
        <f aca="false">N(M390)</f>
        <v>2</v>
      </c>
      <c r="CM390" s="62" t="n">
        <f aca="false">N(N390)</f>
        <v>100</v>
      </c>
      <c r="CN390" s="62" t="n">
        <f aca="false">ROUNDUP(H390/BZ390,0)</f>
        <v>1</v>
      </c>
      <c r="CO390" s="62" t="n">
        <f aca="false">ROUNDUP(CJ390/BZ390,0)</f>
        <v>0</v>
      </c>
      <c r="CP390" s="65" t="n">
        <f aca="false">IF(CA390=1,0,IFERROR(VLOOKUP(BY390,'Gebinde-Kategorie'!$A$5:$N$45,5,0)+0,0))</f>
        <v>11</v>
      </c>
      <c r="CQ390" s="65" t="n">
        <f aca="false">IFERROR(IF(OR(CF390=1,CF390=2,CF390=3),N(INDEX(Parameter!$I$5:$I$7,CF390)),0),0)</f>
        <v>0</v>
      </c>
      <c r="CR390" s="64" t="n">
        <f aca="false">IF(AND(Parameter!$B$21="Ja",ISNUMBER(W390),N(X390)&gt;0),IFERROR(N(INDEX(Parameter!$L$5:$L$7,W390))*INDEX(Parameter!$E$5:$E$7,W390)*X390/SUMIFS($X$7:$X$1843,$W$7:$W$1843,W390),0),0)</f>
        <v>0</v>
      </c>
      <c r="CS390" s="62" t="n">
        <f aca="false">IF(AND(OR(CG390="L1",CG390="L23",CG390="LIFT"),H390&gt;0),CC390*IF(CR390&gt;0,CR390*MAX(1,H390/X390),IF(CA390=1,CE390,IF(R390&gt;0,CN390/R390,0))/MAX(0.1,N(Parameter!$M$21))),"")</f>
        <v>2.98076923076923</v>
      </c>
      <c r="CT390" s="64" t="n">
        <f aca="false">IF(CS390="","",J390/H390)</f>
        <v>0.439393939393939</v>
      </c>
      <c r="CU390" s="62" t="n">
        <f aca="false">IF(CS390="","",H390*G390)</f>
        <v>251.46</v>
      </c>
      <c r="CV390" s="63" t="n">
        <f aca="false">IF(CS390="","",(CL390+ROUNDUP(CL390+MAX(CM390,2*(J390/MAX(0.1,N(Einkauf!$C$6))-CL390)),0))/2)</f>
        <v>52</v>
      </c>
      <c r="CW390" s="62" t="n">
        <f aca="false">IF(CS390="","",MAX(0,H390-CV390)*G390)</f>
        <v>53.34</v>
      </c>
      <c r="CX390" s="62" t="n">
        <f aca="false">IF(CS390="","",CS390*MAX(0,1-CV390/H390))</f>
        <v>0.632284382284382</v>
      </c>
      <c r="CY390" s="64" t="n">
        <f aca="false">IF(CS390="","",PERCENTRANK($CS$7:$CS$1843,CS390)+PERCENTRANK($CU$7:$CU$1843,CU390)+1-PERCENTRANK($CT$7:$CT$1843,CT390))</f>
        <v>1.049</v>
      </c>
      <c r="CZ390" s="72" t="n">
        <f aca="false">IF(CS390="","",CHOOSE(MATCH(Einkauf!$C$5,Parameter!$G$23:$G$27,0),CY390,CS390,CU390,-CT390,CW390)+ROW()/1000000000)</f>
        <v>1.04900039</v>
      </c>
    </row>
    <row r="391" customFormat="false" ht="15" hidden="false" customHeight="false" outlineLevel="0" collapsed="false">
      <c r="A391" s="60" t="s">
        <v>964</v>
      </c>
      <c r="B391" s="60" t="s">
        <v>965</v>
      </c>
      <c r="C391" s="60" t="s">
        <v>206</v>
      </c>
      <c r="D391" s="60" t="s">
        <v>226</v>
      </c>
      <c r="E391" s="60" t="s">
        <v>227</v>
      </c>
      <c r="F391" s="60" t="s">
        <v>260</v>
      </c>
      <c r="G391" s="61" t="n">
        <v>203.54</v>
      </c>
      <c r="H391" s="62" t="n">
        <f aca="false">MAX(0,IF(AND(Parameter!$B$21="Ja",ISNUMBER(Y391)),Y391,IF(Parameter!$B$20="Jahresanfang 2025 + Export",BS391+BR391,BR391)))</f>
        <v>8</v>
      </c>
      <c r="I391" s="62" t="n">
        <f aca="false">H391*G391</f>
        <v>1628.32</v>
      </c>
      <c r="J391" s="62" t="n">
        <f aca="false">BU391*Parameter!$B$18</f>
        <v>2</v>
      </c>
      <c r="K391" s="63" t="n">
        <v>8</v>
      </c>
      <c r="L391" s="64" t="n">
        <v>0.25</v>
      </c>
      <c r="M391" s="62" t="n">
        <v>0</v>
      </c>
      <c r="N391" s="62" t="n">
        <v>1</v>
      </c>
      <c r="O391" s="65" t="n">
        <v>14</v>
      </c>
      <c r="P391" s="60" t="s">
        <v>275</v>
      </c>
      <c r="Q391" s="62" t="n">
        <v>14</v>
      </c>
      <c r="R391" s="65" t="n">
        <f aca="false">IF(CA391=1,0,IFERROR(VLOOKUP(BY391,'Gebinde-Kategorie'!$A$5:$N$45,13,0)+0,0))</f>
        <v>26</v>
      </c>
      <c r="S391" s="66"/>
      <c r="T391" s="67"/>
      <c r="U391" s="67"/>
      <c r="V391" s="67"/>
      <c r="W391" s="60"/>
      <c r="X391" s="62"/>
      <c r="Y391" s="62"/>
      <c r="Z391" s="60" t="n">
        <v>3</v>
      </c>
      <c r="AA391" s="60" t="n">
        <f aca="false">IF(A391="","",IF(AND(Parameter!$B$21="Ja",ISNUMBER(W391)),W391,IF(AND(Parameter!$E$27="Ja",ISNUMBER(Z391),CD391&lt;&gt;"Nein"),Z391,IF(CD391="2+3",IF(ISNUMBER(SEARCH("grosser Artikel",BV391)),2,IFERROR(VLOOKUP(BY391,Parameter!$F$35:$G$64,2,0),2)),IF(OR(CD391="Nein",CD391=""),"-",CD391)))))</f>
        <v>3</v>
      </c>
      <c r="AB391" s="67"/>
      <c r="AC391" s="68"/>
      <c r="AD391" s="62" t="n">
        <f aca="false">AW391</f>
        <v>2</v>
      </c>
      <c r="AE391" s="62" t="n">
        <f aca="false">MAX(AW391,H391)</f>
        <v>8</v>
      </c>
      <c r="AF391" s="69"/>
      <c r="AG391" s="62" t="n">
        <f aca="false">IF(LEFT(Cockpit!$C$5,1)="A",H391,IF(Parameter!$E$30="MAX-Bestand",IF(CI391=1,CJ391,IF(LEFT(Cockpit!$C$5,1)="B",AM391,MAX(AM391,H391))),ROUNDUP(AK391,0)))</f>
        <v>8</v>
      </c>
      <c r="AH391" s="62" t="n">
        <f aca="false">IF(CA391=1,0,ROUNDUP(AG391/BZ391,0))</f>
        <v>1</v>
      </c>
      <c r="AI391" s="64" t="n">
        <f aca="false">IF(CR391&gt;0,CR391*MAX(1,AG391/X391),IF(CA391=1,IF(AG391&lt;=0,0,CE391*MAX(1,IF(H391&gt;0,AG391/H391,1))),IF(R391&gt;0,AH391/R391,0))/MAX(0.1,N(Parameter!$M$21)))</f>
        <v>0.0384615384615385</v>
      </c>
      <c r="AJ391" s="62" t="n">
        <f aca="false">AI391*CC391</f>
        <v>9.42307692307692</v>
      </c>
      <c r="AK391" s="63" t="n">
        <f aca="false">IF(LEFT(Cockpit!$C$5,1)="A",H391,IF(CI391=1,(CL391+CJ391)/2,IF(LEFT(Cockpit!$C$5,1)="B",(CL391+AM391)/2,MAX((CL391+AM391)/2,H391))))</f>
        <v>8</v>
      </c>
      <c r="AL391" s="62" t="n">
        <f aca="false">AK391*G391</f>
        <v>1628.32</v>
      </c>
      <c r="AM391" s="62" t="n">
        <f aca="false">ROUNDUP(CL391+MAX(CM391,2*(J391/IF(CH391&gt;0,CH391,MAX(0.1,N(Cockpit!$C$6)))-CL391)),0)</f>
        <v>2</v>
      </c>
      <c r="AN391" s="63" t="n">
        <f aca="false">IF(AJ391&gt;0,J391/AJ391,-1)</f>
        <v>0.212244897959184</v>
      </c>
      <c r="AO391" s="63" t="n">
        <f aca="false">IF(AND(OR(CG391="L1",CG391="L23",CG391="LIFT"),AJ391&gt;0),SUMIFS($AJ$7:$AJ$1843,$CG$7:$CG$1843,CG391,$AN$7:$AN$1843,"&gt;"&amp;AN391)+SUMIFS($AJ$7:$AJ$1843,$CG$7:$CG$1843,CG391,$AN$7:$AN$1843,AN391,$BX$7:$BX$1843,"&lt;="&amp;BX391),"")</f>
        <v>12364.124746487</v>
      </c>
      <c r="AP391" s="70" t="n">
        <f aca="false">IF(AO391="",0,MAX(0,MIN(1,(IF(CG391="L1",Parameter!$H$5,IF(CG391="L23",Parameter!$H$6+Parameter!$H$7,Parameter!$H$5+Parameter!$H$6+Parameter!$H$7))-(AO391-AJ391))/AJ391)))</f>
        <v>1</v>
      </c>
      <c r="AQ391" s="62" t="n">
        <f aca="false">IF(LEFT(Cockpit!$I$5,1)="A",H391,IF(Parameter!$E$30="MAX-Bestand",IF(CI391=1,CJ391,IF(LEFT(Cockpit!$I$5,1)="B",AW391,MAX(AW391,H391))),ROUNDUP(AU391,0)))</f>
        <v>8</v>
      </c>
      <c r="AR391" s="62" t="n">
        <f aca="false">IF(CA391=1,0,ROUNDUP(AQ391/BZ391,0))</f>
        <v>1</v>
      </c>
      <c r="AS391" s="64" t="n">
        <f aca="false">IF(CR391&gt;0,CR391*MAX(1,AQ391/X391),IF(CA391=1,IF(AQ391&lt;=0,0,CE391*MAX(1,IF(H391&gt;0,AQ391/H391,1))),IF(R391&gt;0,AR391/R391,0))/MAX(0.1,N(Parameter!$M$21)))</f>
        <v>0.0384615384615385</v>
      </c>
      <c r="AT391" s="62" t="n">
        <f aca="false">AS391*CC391</f>
        <v>9.42307692307692</v>
      </c>
      <c r="AU391" s="63" t="n">
        <f aca="false">IF(LEFT(Cockpit!$I$5,1)="A",H391,IF(CI391=1,(CL391+CJ391)/2,IF(LEFT(Cockpit!$I$5,1)="B",(CL391+AW391)/2,MAX((CL391+AW391)/2,H391))))</f>
        <v>8</v>
      </c>
      <c r="AV391" s="62" t="n">
        <f aca="false">AU391*G391</f>
        <v>1628.32</v>
      </c>
      <c r="AW391" s="62" t="n">
        <f aca="false">ROUNDUP(CL391+MAX(CM391,2*(J391/IF(CH391&gt;0,CH391,MAX(0.1,N(Cockpit!$I$6)))-CL391)),0)</f>
        <v>2</v>
      </c>
      <c r="AX391" s="63" t="n">
        <f aca="false">IF(AT391&gt;0,J391/AT391,-1)</f>
        <v>0.212244897959184</v>
      </c>
      <c r="AY391" s="63" t="n">
        <f aca="false">IF(AND(OR(CG391="L1",CG391="L23",CG391="LIFT"),AT391&gt;0),SUMIFS($AT$7:$AT$1843,$CG$7:$CG$1843,CG391,$AX$7:$AX$1843,"&gt;"&amp;AX391)+SUMIFS($AT$7:$AT$1843,$CG$7:$CG$1843,CG391,$AX$7:$AX$1843,AX391,$BX$7:$BX$1843,"&lt;="&amp;BX391),"")</f>
        <v>15193.3823260073</v>
      </c>
      <c r="AZ391" s="70" t="n">
        <f aca="false">IF(AY391="",0,MAX(0,MIN(1,(IF(CG391="L1",Parameter!$H$5,IF(CG391="L23",Parameter!$H$6+Parameter!$H$7,Parameter!$H$5+Parameter!$H$6+Parameter!$H$7))-(AY391-AT391))/AT391)))</f>
        <v>1</v>
      </c>
      <c r="BA391" s="62" t="n">
        <f aca="false">IF(LEFT(Cockpit!$O$5,1)="A",H391,IF(Parameter!$E$30="MAX-Bestand",IF(CI391=1,CJ391,IF(LEFT(Cockpit!$O$5,1)="B",BG391,MAX(BG391,H391))),ROUNDUP(BE391,0)))</f>
        <v>1</v>
      </c>
      <c r="BB391" s="62" t="n">
        <f aca="false">IF(CA391=1,0,ROUNDUP(BA391/BZ391,0))</f>
        <v>1</v>
      </c>
      <c r="BC391" s="64" t="n">
        <f aca="false">IF(CR391&gt;0,CR391*MAX(1,BA391/X391),IF(CA391=1,IF(BA391&lt;=0,0,CE391*MAX(1,IF(H391&gt;0,BA391/H391,1))),IF(R391&gt;0,BB391/R391,0))/MAX(0.1,N(Parameter!$M$21)))</f>
        <v>0.0384615384615385</v>
      </c>
      <c r="BD391" s="62" t="n">
        <f aca="false">BC391*CC391</f>
        <v>9.42307692307692</v>
      </c>
      <c r="BE391" s="63" t="n">
        <f aca="false">IF(LEFT(Cockpit!$O$5,1)="A",H391,IF(CI391=1,(CL391+CJ391)/2,IF(LEFT(Cockpit!$O$5,1)="B",(CL391+BG391)/2,MAX((CL391+BG391)/2,H391))))</f>
        <v>0.5</v>
      </c>
      <c r="BF391" s="62" t="n">
        <f aca="false">BE391*G391</f>
        <v>101.77</v>
      </c>
      <c r="BG391" s="62" t="n">
        <f aca="false">ROUNDUP(CL391+MAX(CM391,2*(J391/IF(CH391&gt;0,CH391,MAX(0.1,N(Cockpit!$O$6)))-CL391)),0)</f>
        <v>1</v>
      </c>
      <c r="BH391" s="63" t="n">
        <f aca="false">IF(BD391&gt;0,J391/BD391,-1)</f>
        <v>0.212244897959184</v>
      </c>
      <c r="BI391" s="63" t="n">
        <f aca="false">IF(AND(OR(CG391="L1",CG391="L23",CG391="LIFT"),BD391&gt;0),SUMIFS($BD$7:$BD$1843,$CG$7:$CG$1843,CG391,$BH$7:$BH$1843,"&gt;"&amp;BH391)+SUMIFS($BD$7:$BD$1843,$CG$7:$CG$1843,CG391,$BH$7:$BH$1843,BH391,$BX$7:$BX$1843,"&lt;="&amp;BX391),"")</f>
        <v>12335.6671245421</v>
      </c>
      <c r="BJ391" s="70" t="n">
        <f aca="false">IF(BI391="",0,MAX(0,MIN(1,(IF(CG391="L1",Parameter!$H$5,IF(CG391="L23",Parameter!$H$6+Parameter!$H$7,Parameter!$H$5+Parameter!$H$6+Parameter!$H$7))-(BI391-BD391))/BD391)))</f>
        <v>1</v>
      </c>
      <c r="BK391" s="60" t="str">
        <f aca="false">IF(AJ391&lt;=0,"",IF(CG391="Aussen","Aussenlager",IF(CG391="-","Nicht im Lift",IF(AP391&gt;=1,"Lift",IF(AP391&lt;=0,"Aussenlager","teilweise")))))</f>
        <v>Lift</v>
      </c>
      <c r="BL391" s="60" t="str">
        <f aca="false">IF(AT391&lt;=0,"",IF(CG391="Aussen","Aussenlager",IF(CG391="-","Nicht im Lift",IF(AZ391&gt;=1,"Lift",IF(AZ391&lt;=0,"Aussenlager","teilweise")))))</f>
        <v>Lift</v>
      </c>
      <c r="BM391" s="60" t="str">
        <f aca="false">IF(BD391&lt;=0,"",IF(CG391="Aussen","Aussenlager",IF(CG391="-","Nicht im Lift",IF(BJ391&gt;=1,"Lift",IF(BJ391&lt;=0,"Aussenlager","teilweise")))))</f>
        <v>Lift</v>
      </c>
      <c r="BN391" s="60" t="str">
        <f aca="false">IF(A391="","",IF(BW391=1,"Neu; ","")&amp;IF(AND(BW391=0,BR391&lt;0),"negativer Bestand (Export "&amp;BR391&amp;"); ","")&amp;IF(J391&lt;=0,"Kein Verbrauch; ","")&amp;IF(CR391&gt;0,"Lift "&amp;W391&amp;" lt. Liftbericht (Fach "&amp;X391&amp;" Stk); ",IF(CB391=1,"Gebinde geschätzt ("&amp;T391&amp;"); ",IF(CA391=1,"Lose – Tablare geschätzt; ","")))&amp;IF(H391&gt;AW391,"Überbestand "&amp;ROUND(H391-AW391,0)&amp;" Stk / CHF "&amp;ROUND((H391-AW391)*G391,0)&amp;"; ","")&amp;IF(AND(CI391=1,CJ391&lt;CK391),"MAX &lt; MB+LG; ","")&amp;IF(AND(CQ391&gt;0,CP391*10&gt;CQ391),"zu hoch für Tablar; ","")&amp;IF(AND(BW391=0,OR(CI391=1,AB391&lt;&gt;"",U391&lt;&gt;"",V391&lt;&gt;"",AC391&lt;&gt;"")),"manuell übersteuert; ","")&amp;IF(AND(CA391=0,R391=0),"Gebinde unbekannt / Stellmass fehlt; ","")&amp;IF(AND(CA391=0,N(V391)&lt;=0,N(Q391)&lt;=0),"Menge pro Gebinde fehlt (Ist = 1 Gebinde); ","")&amp;BV391)</f>
        <v>Überbestand 6 Stk / CHF 1221; </v>
      </c>
      <c r="BO391" s="60"/>
      <c r="BP391" s="60"/>
      <c r="BQ391" s="67"/>
      <c r="BR391" s="62" t="n">
        <v>0</v>
      </c>
      <c r="BS391" s="62" t="n">
        <v>8</v>
      </c>
      <c r="BT391" s="61" t="n">
        <v>122.72</v>
      </c>
      <c r="BU391" s="62" t="n">
        <v>2</v>
      </c>
      <c r="BV391" s="60"/>
      <c r="BW391" s="65" t="n">
        <v>0</v>
      </c>
      <c r="BX391" s="65" t="n">
        <v>391</v>
      </c>
      <c r="BY391" s="60" t="str">
        <f aca="false">IF(U391&lt;&gt;"",UPPER(TRIM(U391)),IF(CB391=1,UPPER(VLOOKUP(T391,Parameter!$I$27:$K$29,2,0)),IF(P391="","LOSE",P391)))</f>
        <v>S52</v>
      </c>
      <c r="BZ391" s="62" t="n">
        <f aca="false">IF(BY391="LOSE",1,IF(N(V391)&gt;0,V391,IF(CB391=1,MAX(1,N(VLOOKUP(T391,Parameter!$I$27:$K$29,3,0)),H391,N(N391)),IF(N(Q391)&gt;0,Q391,MAX(1,H391)))))</f>
        <v>14</v>
      </c>
      <c r="CA391" s="65" t="n">
        <f aca="false">IF(BY391="LOSE",1,0)</f>
        <v>0</v>
      </c>
      <c r="CB391" s="65" t="n">
        <f aca="false">IF(AND(U391="",OR(P391="",P391="LOSE"),T391&lt;&gt;"",N(S391)&lt;=0,ISNUMBER(MATCH(T391,Parameter!$I$27:$I$29,0))),1,0)</f>
        <v>0</v>
      </c>
      <c r="CC391" s="65" t="n">
        <f aca="false">IF(CR391&gt;0,INDEX(Parameter!$H$5:$H$7,W391)/INDEX(Parameter!$E$5:$E$7,W391),IF(AND(CA391=0,N(IFERROR(VLOOKUP(BY391,'Gebinde-Kategorie'!$A$5:$N$45,14,0),0))&gt;0),VLOOKUP(BY391,'Gebinde-Kategorie'!$A$5:$N$45,14,0)*10+Parameter!$M$23,Parameter!$M$24))</f>
        <v>245</v>
      </c>
      <c r="CD391" s="60" t="str">
        <f aca="false">IF(AND(Parameter!$B$19="Ja",E391&lt;&gt;"",ISNUMBER(MATCH(E391,Parameter!$I$35:$I$52,0))),VLOOKUP(E391,Parameter!$I$35:$J$52,2,0),IFERROR(VLOOKUP(D391,Parameter!$A$35:$C$64,2,0),"Nein"))</f>
        <v>2+3</v>
      </c>
      <c r="CE391" s="64" t="n">
        <f aca="false">IF(CA391=0,0,IF(N(S391)&gt;0,S391,IFERROR(VLOOKUP(D391,Parameter!$A$35:$C$64,3,0)+0,0)))</f>
        <v>0</v>
      </c>
      <c r="CF391" s="60" t="n">
        <f aca="false">IF(AB391&lt;&gt;"",AB391,AA391)</f>
        <v>3</v>
      </c>
      <c r="CG391" s="60" t="str">
        <f aca="false">IF(OR(CF391=1,CF391=2,CF391=3),IF(Parameter!$E$27="Ja","LIFT",IF(CF391=1,"L1","L23")),IF(CF391="Aussen","Aussen","-"))</f>
        <v>LIFT</v>
      </c>
      <c r="CH391" s="71" t="n">
        <f aca="false">IF(N(AC391)&gt;0,AC391,0)</f>
        <v>0</v>
      </c>
      <c r="CI391" s="65" t="n">
        <f aca="false">IF(ISNUMBER(AF391),1,0)</f>
        <v>0</v>
      </c>
      <c r="CJ391" s="62" t="n">
        <f aca="false">N(AF391)</f>
        <v>0</v>
      </c>
      <c r="CK391" s="62" t="n">
        <f aca="false">N(M391)+N(N391)</f>
        <v>1</v>
      </c>
      <c r="CL391" s="62" t="n">
        <f aca="false">N(M391)</f>
        <v>0</v>
      </c>
      <c r="CM391" s="62" t="n">
        <f aca="false">N(N391)</f>
        <v>1</v>
      </c>
      <c r="CN391" s="62" t="n">
        <f aca="false">ROUNDUP(H391/BZ391,0)</f>
        <v>1</v>
      </c>
      <c r="CO391" s="62" t="n">
        <f aca="false">ROUNDUP(CJ391/BZ391,0)</f>
        <v>0</v>
      </c>
      <c r="CP391" s="65" t="n">
        <f aca="false">IF(CA391=1,0,IFERROR(VLOOKUP(BY391,'Gebinde-Kategorie'!$A$5:$N$45,5,0)+0,0))</f>
        <v>21</v>
      </c>
      <c r="CQ391" s="65" t="n">
        <f aca="false">IFERROR(IF(OR(CF391=1,CF391=2,CF391=3),N(INDEX(Parameter!$I$5:$I$7,CF391)),0),0)</f>
        <v>0</v>
      </c>
      <c r="CR391" s="64" t="n">
        <f aca="false">IF(AND(Parameter!$B$21="Ja",ISNUMBER(W391),N(X391)&gt;0),IFERROR(N(INDEX(Parameter!$L$5:$L$7,W391))*INDEX(Parameter!$E$5:$E$7,W391)*X391/SUMIFS($X$7:$X$1843,$W$7:$W$1843,W391),0),0)</f>
        <v>0</v>
      </c>
      <c r="CS391" s="62" t="n">
        <f aca="false">IF(AND(OR(CG391="L1",CG391="L23",CG391="LIFT"),H391&gt;0),CC391*IF(CR391&gt;0,CR391*MAX(1,H391/X391),IF(CA391=1,CE391,IF(R391&gt;0,CN391/R391,0))/MAX(0.1,N(Parameter!$M$21))),"")</f>
        <v>9.42307692307692</v>
      </c>
      <c r="CT391" s="64" t="n">
        <f aca="false">IF(CS391="","",J391/H391)</f>
        <v>0.25</v>
      </c>
      <c r="CU391" s="62" t="n">
        <f aca="false">IF(CS391="","",H391*G391)</f>
        <v>1628.32</v>
      </c>
      <c r="CV391" s="63" t="n">
        <f aca="false">IF(CS391="","",(CL391+ROUNDUP(CL391+MAX(CM391,2*(J391/MAX(0.1,N(Einkauf!$C$6))-CL391)),0))/2)</f>
        <v>0.5</v>
      </c>
      <c r="CW391" s="62" t="n">
        <f aca="false">IF(CS391="","",MAX(0,H391-CV391)*G391)</f>
        <v>1526.55</v>
      </c>
      <c r="CX391" s="62" t="n">
        <f aca="false">IF(CS391="","",CS391*MAX(0,1-CV391/H391))</f>
        <v>8.83413461538462</v>
      </c>
      <c r="CY391" s="64" t="n">
        <f aca="false">IF(CS391="","",PERCENTRANK($CS$7:$CS$1843,CS391)+PERCENTRANK($CU$7:$CU$1843,CU391)+1-PERCENTRANK($CT$7:$CT$1843,CT391))</f>
        <v>1.826</v>
      </c>
      <c r="CZ391" s="72" t="n">
        <f aca="false">IF(CS391="","",CHOOSE(MATCH(Einkauf!$C$5,Parameter!$G$23:$G$27,0),CY391,CS391,CU391,-CT391,CW391)+ROW()/1000000000)</f>
        <v>1.826000391</v>
      </c>
    </row>
    <row r="392" customFormat="false" ht="15" hidden="false" customHeight="false" outlineLevel="0" collapsed="false">
      <c r="A392" s="60" t="s">
        <v>966</v>
      </c>
      <c r="B392" s="60" t="s">
        <v>703</v>
      </c>
      <c r="C392" s="60" t="s">
        <v>206</v>
      </c>
      <c r="D392" s="60" t="s">
        <v>226</v>
      </c>
      <c r="E392" s="60" t="s">
        <v>227</v>
      </c>
      <c r="F392" s="60" t="s">
        <v>260</v>
      </c>
      <c r="G392" s="61" t="n">
        <v>5.28</v>
      </c>
      <c r="H392" s="62" t="n">
        <f aca="false">MAX(0,IF(AND(Parameter!$B$21="Ja",ISNUMBER(Y392)),Y392,IF(Parameter!$B$20="Jahresanfang 2025 + Export",BS392+BR392,BR392)))</f>
        <v>150</v>
      </c>
      <c r="I392" s="62" t="n">
        <f aca="false">H392*G392</f>
        <v>792</v>
      </c>
      <c r="J392" s="62" t="n">
        <f aca="false">BU392*Parameter!$B$18</f>
        <v>585</v>
      </c>
      <c r="K392" s="63" t="n">
        <v>130.5</v>
      </c>
      <c r="L392" s="64" t="n">
        <v>4.48275862068966</v>
      </c>
      <c r="M392" s="62" t="n">
        <v>15</v>
      </c>
      <c r="N392" s="62" t="n">
        <v>200</v>
      </c>
      <c r="O392" s="65" t="n">
        <v>7</v>
      </c>
      <c r="P392" s="60" t="s">
        <v>463</v>
      </c>
      <c r="Q392" s="62" t="n">
        <v>231</v>
      </c>
      <c r="R392" s="65" t="n">
        <f aca="false">IF(CA392=1,0,IFERROR(VLOOKUP(BY392,'Gebinde-Kategorie'!$A$5:$N$45,13,0)+0,0))</f>
        <v>104</v>
      </c>
      <c r="S392" s="66"/>
      <c r="T392" s="67"/>
      <c r="U392" s="67"/>
      <c r="V392" s="67"/>
      <c r="W392" s="60"/>
      <c r="X392" s="62"/>
      <c r="Y392" s="62"/>
      <c r="Z392" s="60" t="n">
        <v>2</v>
      </c>
      <c r="AA392" s="60" t="n">
        <f aca="false">IF(A392="","",IF(AND(Parameter!$B$21="Ja",ISNUMBER(W392)),W392,IF(AND(Parameter!$E$27="Ja",ISNUMBER(Z392),CD392&lt;&gt;"Nein"),Z392,IF(CD392="2+3",IF(ISNUMBER(SEARCH("grosser Artikel",BV392)),2,IFERROR(VLOOKUP(BY392,Parameter!$F$35:$G$64,2,0),2)),IF(OR(CD392="Nein",CD392=""),"-",CD392)))))</f>
        <v>2</v>
      </c>
      <c r="AB392" s="67"/>
      <c r="AC392" s="68"/>
      <c r="AD392" s="62" t="n">
        <f aca="false">AW392</f>
        <v>375</v>
      </c>
      <c r="AE392" s="62" t="n">
        <f aca="false">MAX(AW392,H392)</f>
        <v>375</v>
      </c>
      <c r="AF392" s="69"/>
      <c r="AG392" s="62" t="n">
        <f aca="false">IF(LEFT(Cockpit!$C$5,1)="A",H392,IF(Parameter!$E$30="MAX-Bestand",IF(CI392=1,CJ392,IF(LEFT(Cockpit!$C$5,1)="B",AM392,MAX(AM392,H392))),ROUNDUP(AK392,0)))</f>
        <v>150</v>
      </c>
      <c r="AH392" s="62" t="n">
        <f aca="false">IF(CA392=1,0,ROUNDUP(AG392/BZ392,0))</f>
        <v>1</v>
      </c>
      <c r="AI392" s="64" t="n">
        <f aca="false">IF(CR392&gt;0,CR392*MAX(1,AG392/X392),IF(CA392=1,IF(AG392&lt;=0,0,CE392*MAX(1,IF(H392&gt;0,AG392/H392,1))),IF(R392&gt;0,AH392/R392,0))/MAX(0.1,N(Parameter!$M$21)))</f>
        <v>0.00961538461538462</v>
      </c>
      <c r="AJ392" s="62" t="n">
        <f aca="false">AI392*CC392</f>
        <v>1.49038461538462</v>
      </c>
      <c r="AK392" s="63" t="n">
        <f aca="false">IF(LEFT(Cockpit!$C$5,1)="A",H392,IF(CI392=1,(CL392+CJ392)/2,IF(LEFT(Cockpit!$C$5,1)="B",(CL392+AM392)/2,MAX((CL392+AM392)/2,H392))))</f>
        <v>150</v>
      </c>
      <c r="AL392" s="62" t="n">
        <f aca="false">AK392*G392</f>
        <v>792</v>
      </c>
      <c r="AM392" s="62" t="n">
        <f aca="false">ROUNDUP(CL392+MAX(CM392,2*(J392/IF(CH392&gt;0,CH392,MAX(0.1,N(Cockpit!$C$6)))-CL392)),0)</f>
        <v>375</v>
      </c>
      <c r="AN392" s="63" t="n">
        <f aca="false">IF(AJ392&gt;0,J392/AJ392,-1)</f>
        <v>392.516129032258</v>
      </c>
      <c r="AO392" s="63" t="n">
        <f aca="false">IF(AND(OR(CG392="L1",CG392="L23",CG392="LIFT"),AJ392&gt;0),SUMIFS($AJ$7:$AJ$1843,$CG$7:$CG$1843,CG392,$AN$7:$AN$1843,"&gt;"&amp;AN392)+SUMIFS($AJ$7:$AJ$1843,$CG$7:$CG$1843,CG392,$AN$7:$AN$1843,AN392,$BX$7:$BX$1843,"&lt;="&amp;BX392),"")</f>
        <v>179.570970695971</v>
      </c>
      <c r="AP392" s="70" t="n">
        <f aca="false">IF(AO392="",0,MAX(0,MIN(1,(IF(CG392="L1",Parameter!$H$5,IF(CG392="L23",Parameter!$H$6+Parameter!$H$7,Parameter!$H$5+Parameter!$H$6+Parameter!$H$7))-(AO392-AJ392))/AJ392)))</f>
        <v>1</v>
      </c>
      <c r="AQ392" s="62" t="n">
        <f aca="false">IF(LEFT(Cockpit!$I$5,1)="A",H392,IF(Parameter!$E$30="MAX-Bestand",IF(CI392=1,CJ392,IF(LEFT(Cockpit!$I$5,1)="B",AW392,MAX(AW392,H392))),ROUNDUP(AU392,0)))</f>
        <v>195</v>
      </c>
      <c r="AR392" s="62" t="n">
        <f aca="false">IF(CA392=1,0,ROUNDUP(AQ392/BZ392,0))</f>
        <v>1</v>
      </c>
      <c r="AS392" s="64" t="n">
        <f aca="false">IF(CR392&gt;0,CR392*MAX(1,AQ392/X392),IF(CA392=1,IF(AQ392&lt;=0,0,CE392*MAX(1,IF(H392&gt;0,AQ392/H392,1))),IF(R392&gt;0,AR392/R392,0))/MAX(0.1,N(Parameter!$M$21)))</f>
        <v>0.00961538461538462</v>
      </c>
      <c r="AT392" s="62" t="n">
        <f aca="false">AS392*CC392</f>
        <v>1.49038461538462</v>
      </c>
      <c r="AU392" s="63" t="n">
        <f aca="false">IF(LEFT(Cockpit!$I$5,1)="A",H392,IF(CI392=1,(CL392+CJ392)/2,IF(LEFT(Cockpit!$I$5,1)="B",(CL392+AW392)/2,MAX((CL392+AW392)/2,H392))))</f>
        <v>195</v>
      </c>
      <c r="AV392" s="62" t="n">
        <f aca="false">AU392*G392</f>
        <v>1029.6</v>
      </c>
      <c r="AW392" s="62" t="n">
        <f aca="false">ROUNDUP(CL392+MAX(CM392,2*(J392/IF(CH392&gt;0,CH392,MAX(0.1,N(Cockpit!$I$6)))-CL392)),0)</f>
        <v>375</v>
      </c>
      <c r="AX392" s="63" t="n">
        <f aca="false">IF(AT392&gt;0,J392/AT392,-1)</f>
        <v>392.516129032258</v>
      </c>
      <c r="AY392" s="63" t="n">
        <f aca="false">IF(AND(OR(CG392="L1",CG392="L23",CG392="LIFT"),AT392&gt;0),SUMIFS($AT$7:$AT$1843,$CG$7:$CG$1843,CG392,$AX$7:$AX$1843,"&gt;"&amp;AX392)+SUMIFS($AT$7:$AT$1843,$CG$7:$CG$1843,CG392,$AX$7:$AX$1843,AX392,$BX$7:$BX$1843,"&lt;="&amp;BX392),"")</f>
        <v>113.787087912088</v>
      </c>
      <c r="AZ392" s="70" t="n">
        <f aca="false">IF(AY392="",0,MAX(0,MIN(1,(IF(CG392="L1",Parameter!$H$5,IF(CG392="L23",Parameter!$H$6+Parameter!$H$7,Parameter!$H$5+Parameter!$H$6+Parameter!$H$7))-(AY392-AT392))/AT392)))</f>
        <v>1</v>
      </c>
      <c r="BA392" s="62" t="n">
        <f aca="false">IF(LEFT(Cockpit!$O$5,1)="A",H392,IF(Parameter!$E$30="MAX-Bestand",IF(CI392=1,CJ392,IF(LEFT(Cockpit!$O$5,1)="B",BG392,MAX(BG392,H392))),ROUNDUP(BE392,0)))</f>
        <v>147</v>
      </c>
      <c r="BB392" s="62" t="n">
        <f aca="false">IF(CA392=1,0,ROUNDUP(BA392/BZ392,0))</f>
        <v>1</v>
      </c>
      <c r="BC392" s="64" t="n">
        <f aca="false">IF(CR392&gt;0,CR392*MAX(1,BA392/X392),IF(CA392=1,IF(BA392&lt;=0,0,CE392*MAX(1,IF(H392&gt;0,BA392/H392,1))),IF(R392&gt;0,BB392/R392,0))/MAX(0.1,N(Parameter!$M$21)))</f>
        <v>0.00961538461538462</v>
      </c>
      <c r="BD392" s="62" t="n">
        <f aca="false">BC392*CC392</f>
        <v>1.49038461538462</v>
      </c>
      <c r="BE392" s="63" t="n">
        <f aca="false">IF(LEFT(Cockpit!$O$5,1)="A",H392,IF(CI392=1,(CL392+CJ392)/2,IF(LEFT(Cockpit!$O$5,1)="B",(CL392+BG392)/2,MAX((CL392+BG392)/2,H392))))</f>
        <v>146.5</v>
      </c>
      <c r="BF392" s="62" t="n">
        <f aca="false">BE392*G392</f>
        <v>773.52</v>
      </c>
      <c r="BG392" s="62" t="n">
        <f aca="false">ROUNDUP(CL392+MAX(CM392,2*(J392/IF(CH392&gt;0,CH392,MAX(0.1,N(Cockpit!$O$6)))-CL392)),0)</f>
        <v>278</v>
      </c>
      <c r="BH392" s="63" t="n">
        <f aca="false">IF(BD392&gt;0,J392/BD392,-1)</f>
        <v>392.516129032258</v>
      </c>
      <c r="BI392" s="63" t="n">
        <f aca="false">IF(AND(OR(CG392="L1",CG392="L23",CG392="LIFT"),BD392&gt;0),SUMIFS($BD$7:$BD$1843,$CG$7:$CG$1843,CG392,$BH$7:$BH$1843,"&gt;"&amp;BH392)+SUMIFS($BD$7:$BD$1843,$CG$7:$CG$1843,CG392,$BH$7:$BH$1843,BH392,$BX$7:$BX$1843,"&lt;="&amp;BX392),"")</f>
        <v>183.019230769231</v>
      </c>
      <c r="BJ392" s="70" t="n">
        <f aca="false">IF(BI392="",0,MAX(0,MIN(1,(IF(CG392="L1",Parameter!$H$5,IF(CG392="L23",Parameter!$H$6+Parameter!$H$7,Parameter!$H$5+Parameter!$H$6+Parameter!$H$7))-(BI392-BD392))/BD392)))</f>
        <v>1</v>
      </c>
      <c r="BK392" s="60" t="str">
        <f aca="false">IF(AJ392&lt;=0,"",IF(CG392="Aussen","Aussenlager",IF(CG392="-","Nicht im Lift",IF(AP392&gt;=1,"Lift",IF(AP392&lt;=0,"Aussenlager","teilweise")))))</f>
        <v>Lift</v>
      </c>
      <c r="BL392" s="60" t="str">
        <f aca="false">IF(AT392&lt;=0,"",IF(CG392="Aussen","Aussenlager",IF(CG392="-","Nicht im Lift",IF(AZ392&gt;=1,"Lift",IF(AZ392&lt;=0,"Aussenlager","teilweise")))))</f>
        <v>Lift</v>
      </c>
      <c r="BM392" s="60" t="str">
        <f aca="false">IF(BD392&lt;=0,"",IF(CG392="Aussen","Aussenlager",IF(CG392="-","Nicht im Lift",IF(BJ392&gt;=1,"Lift",IF(BJ392&lt;=0,"Aussenlager","teilweise")))))</f>
        <v>Lift</v>
      </c>
      <c r="BN392" s="60" t="str">
        <f aca="false">IF(A392="","",IF(BW392=1,"Neu; ","")&amp;IF(AND(BW392=0,BR392&lt;0),"negativer Bestand (Export "&amp;BR392&amp;"); ","")&amp;IF(J392&lt;=0,"Kein Verbrauch; ","")&amp;IF(CR392&gt;0,"Lift "&amp;W392&amp;" lt. Liftbericht (Fach "&amp;X392&amp;" Stk); ",IF(CB392=1,"Gebinde geschätzt ("&amp;T392&amp;"); ",IF(CA392=1,"Lose – Tablare geschätzt; ","")))&amp;IF(H392&gt;AW392,"Überbestand "&amp;ROUND(H392-AW392,0)&amp;" Stk / CHF "&amp;ROUND((H392-AW392)*G392,0)&amp;"; ","")&amp;IF(AND(CI392=1,CJ392&lt;CK392),"MAX &lt; MB+LG; ","")&amp;IF(AND(CQ392&gt;0,CP392*10&gt;CQ392),"zu hoch für Tablar; ","")&amp;IF(AND(BW392=0,OR(CI392=1,AB392&lt;&gt;"",U392&lt;&gt;"",V392&lt;&gt;"",AC392&lt;&gt;"")),"manuell übersteuert; ","")&amp;IF(AND(CA392=0,R392=0),"Gebinde unbekannt / Stellmass fehlt; ","")&amp;IF(AND(CA392=0,N(V392)&lt;=0,N(Q392)&lt;=0),"Menge pro Gebinde fehlt (Ist = 1 Gebinde); ","")&amp;BV392)</f>
        <v/>
      </c>
      <c r="BO392" s="60"/>
      <c r="BP392" s="60"/>
      <c r="BQ392" s="67"/>
      <c r="BR392" s="62" t="n">
        <v>23</v>
      </c>
      <c r="BS392" s="62" t="n">
        <v>127</v>
      </c>
      <c r="BT392" s="61" t="n">
        <v>120.28</v>
      </c>
      <c r="BU392" s="62" t="n">
        <v>585</v>
      </c>
      <c r="BV392" s="60"/>
      <c r="BW392" s="65" t="n">
        <v>0</v>
      </c>
      <c r="BX392" s="65" t="n">
        <v>392</v>
      </c>
      <c r="BY392" s="60" t="str">
        <f aca="false">IF(U392&lt;&gt;"",UPPER(TRIM(U392)),IF(CB392=1,UPPER(VLOOKUP(T392,Parameter!$I$27:$K$29,2,0)),IF(P392="","LOSE",P392)))</f>
        <v>S32</v>
      </c>
      <c r="BZ392" s="62" t="n">
        <f aca="false">IF(BY392="LOSE",1,IF(N(V392)&gt;0,V392,IF(CB392=1,MAX(1,N(VLOOKUP(T392,Parameter!$I$27:$K$29,3,0)),H392,N(N392)),IF(N(Q392)&gt;0,Q392,MAX(1,H392)))))</f>
        <v>231</v>
      </c>
      <c r="CA392" s="65" t="n">
        <f aca="false">IF(BY392="LOSE",1,0)</f>
        <v>0</v>
      </c>
      <c r="CB392" s="65" t="n">
        <f aca="false">IF(AND(U392="",OR(P392="",P392="LOSE"),T392&lt;&gt;"",N(S392)&lt;=0,ISNUMBER(MATCH(T392,Parameter!$I$27:$I$29,0))),1,0)</f>
        <v>0</v>
      </c>
      <c r="CC392" s="65" t="n">
        <f aca="false">IF(CR392&gt;0,INDEX(Parameter!$H$5:$H$7,W392)/INDEX(Parameter!$E$5:$E$7,W392),IF(AND(CA392=0,N(IFERROR(VLOOKUP(BY392,'Gebinde-Kategorie'!$A$5:$N$45,14,0),0))&gt;0),VLOOKUP(BY392,'Gebinde-Kategorie'!$A$5:$N$45,14,0)*10+Parameter!$M$23,Parameter!$M$24))</f>
        <v>155</v>
      </c>
      <c r="CD392" s="60" t="str">
        <f aca="false">IF(AND(Parameter!$B$19="Ja",E392&lt;&gt;"",ISNUMBER(MATCH(E392,Parameter!$I$35:$I$52,0))),VLOOKUP(E392,Parameter!$I$35:$J$52,2,0),IFERROR(VLOOKUP(D392,Parameter!$A$35:$C$64,2,0),"Nein"))</f>
        <v>2+3</v>
      </c>
      <c r="CE392" s="64" t="n">
        <f aca="false">IF(CA392=0,0,IF(N(S392)&gt;0,S392,IFERROR(VLOOKUP(D392,Parameter!$A$35:$C$64,3,0)+0,0)))</f>
        <v>0</v>
      </c>
      <c r="CF392" s="60" t="n">
        <f aca="false">IF(AB392&lt;&gt;"",AB392,AA392)</f>
        <v>2</v>
      </c>
      <c r="CG392" s="60" t="str">
        <f aca="false">IF(OR(CF392=1,CF392=2,CF392=3),IF(Parameter!$E$27="Ja","LIFT",IF(CF392=1,"L1","L23")),IF(CF392="Aussen","Aussen","-"))</f>
        <v>LIFT</v>
      </c>
      <c r="CH392" s="71" t="n">
        <f aca="false">IF(N(AC392)&gt;0,AC392,0)</f>
        <v>0</v>
      </c>
      <c r="CI392" s="65" t="n">
        <f aca="false">IF(ISNUMBER(AF392),1,0)</f>
        <v>0</v>
      </c>
      <c r="CJ392" s="62" t="n">
        <f aca="false">N(AF392)</f>
        <v>0</v>
      </c>
      <c r="CK392" s="62" t="n">
        <f aca="false">N(M392)+N(N392)</f>
        <v>215</v>
      </c>
      <c r="CL392" s="62" t="n">
        <f aca="false">N(M392)</f>
        <v>15</v>
      </c>
      <c r="CM392" s="62" t="n">
        <f aca="false">N(N392)</f>
        <v>200</v>
      </c>
      <c r="CN392" s="62" t="n">
        <f aca="false">ROUNDUP(H392/BZ392,0)</f>
        <v>1</v>
      </c>
      <c r="CO392" s="62" t="n">
        <f aca="false">ROUNDUP(CJ392/BZ392,0)</f>
        <v>0</v>
      </c>
      <c r="CP392" s="65" t="n">
        <f aca="false">IF(CA392=1,0,IFERROR(VLOOKUP(BY392,'Gebinde-Kategorie'!$A$5:$N$45,5,0)+0,0))</f>
        <v>8</v>
      </c>
      <c r="CQ392" s="65" t="n">
        <f aca="false">IFERROR(IF(OR(CF392=1,CF392=2,CF392=3),N(INDEX(Parameter!$I$5:$I$7,CF392)),0),0)</f>
        <v>0</v>
      </c>
      <c r="CR392" s="64" t="n">
        <f aca="false">IF(AND(Parameter!$B$21="Ja",ISNUMBER(W392),N(X392)&gt;0),IFERROR(N(INDEX(Parameter!$L$5:$L$7,W392))*INDEX(Parameter!$E$5:$E$7,W392)*X392/SUMIFS($X$7:$X$1843,$W$7:$W$1843,W392),0),0)</f>
        <v>0</v>
      </c>
      <c r="CS392" s="62" t="n">
        <f aca="false">IF(AND(OR(CG392="L1",CG392="L23",CG392="LIFT"),H392&gt;0),CC392*IF(CR392&gt;0,CR392*MAX(1,H392/X392),IF(CA392=1,CE392,IF(R392&gt;0,CN392/R392,0))/MAX(0.1,N(Parameter!$M$21))),"")</f>
        <v>1.49038461538462</v>
      </c>
      <c r="CT392" s="64" t="n">
        <f aca="false">IF(CS392="","",J392/H392)</f>
        <v>3.9</v>
      </c>
      <c r="CU392" s="62" t="n">
        <f aca="false">IF(CS392="","",H392*G392)</f>
        <v>792</v>
      </c>
      <c r="CV392" s="63" t="n">
        <f aca="false">IF(CS392="","",(CL392+ROUNDUP(CL392+MAX(CM392,2*(J392/MAX(0.1,N(Einkauf!$C$6))-CL392)),0))/2)</f>
        <v>146.5</v>
      </c>
      <c r="CW392" s="62" t="n">
        <f aca="false">IF(CS392="","",MAX(0,H392-CV392)*G392)</f>
        <v>18.48</v>
      </c>
      <c r="CX392" s="62" t="n">
        <f aca="false">IF(CS392="","",CS392*MAX(0,1-CV392/H392))</f>
        <v>0.034775641025641</v>
      </c>
      <c r="CY392" s="64" t="n">
        <f aca="false">IF(CS392="","",PERCENTRANK($CS$7:$CS$1843,CS392)+PERCENTRANK($CU$7:$CU$1843,CU392)+1-PERCENTRANK($CT$7:$CT$1843,CT392))</f>
        <v>0.789</v>
      </c>
      <c r="CZ392" s="72" t="n">
        <f aca="false">IF(CS392="","",CHOOSE(MATCH(Einkauf!$C$5,Parameter!$G$23:$G$27,0),CY392,CS392,CU392,-CT392,CW392)+ROW()/1000000000)</f>
        <v>0.789000392</v>
      </c>
    </row>
    <row r="393" customFormat="false" ht="15" hidden="false" customHeight="false" outlineLevel="0" collapsed="false">
      <c r="A393" s="60" t="s">
        <v>967</v>
      </c>
      <c r="B393" s="60" t="s">
        <v>968</v>
      </c>
      <c r="C393" s="60" t="s">
        <v>206</v>
      </c>
      <c r="D393" s="60" t="s">
        <v>226</v>
      </c>
      <c r="E393" s="60" t="s">
        <v>227</v>
      </c>
      <c r="F393" s="60" t="s">
        <v>260</v>
      </c>
      <c r="G393" s="61" t="n">
        <v>3.4</v>
      </c>
      <c r="H393" s="62" t="n">
        <f aca="false">MAX(0,IF(AND(Parameter!$B$21="Ja",ISNUMBER(Y393)),Y393,IF(Parameter!$B$20="Jahresanfang 2025 + Export",BS393+BR393,BR393)))</f>
        <v>40</v>
      </c>
      <c r="I393" s="62" t="n">
        <f aca="false">H393*G393</f>
        <v>136</v>
      </c>
      <c r="J393" s="62" t="n">
        <f aca="false">BU393*Parameter!$B$18</f>
        <v>44</v>
      </c>
      <c r="K393" s="63" t="n">
        <v>11</v>
      </c>
      <c r="L393" s="64" t="n">
        <v>4</v>
      </c>
      <c r="M393" s="62" t="n">
        <v>2</v>
      </c>
      <c r="N393" s="62" t="n">
        <v>45</v>
      </c>
      <c r="O393" s="65" t="n">
        <v>20</v>
      </c>
      <c r="P393" s="60" t="s">
        <v>370</v>
      </c>
      <c r="Q393" s="62" t="n">
        <v>42</v>
      </c>
      <c r="R393" s="65" t="n">
        <f aca="false">IF(CA393=1,0,IFERROR(VLOOKUP(BY393,'Gebinde-Kategorie'!$A$5:$N$45,13,0)+0,0))</f>
        <v>52</v>
      </c>
      <c r="S393" s="66"/>
      <c r="T393" s="67"/>
      <c r="U393" s="67"/>
      <c r="V393" s="67"/>
      <c r="W393" s="60"/>
      <c r="X393" s="62"/>
      <c r="Y393" s="62"/>
      <c r="Z393" s="60" t="n">
        <v>3</v>
      </c>
      <c r="AA393" s="60" t="n">
        <f aca="false">IF(A393="","",IF(AND(Parameter!$B$21="Ja",ISNUMBER(W393)),W393,IF(AND(Parameter!$E$27="Ja",ISNUMBER(Z393),CD393&lt;&gt;"Nein"),Z393,IF(CD393="2+3",IF(ISNUMBER(SEARCH("grosser Artikel",BV393)),2,IFERROR(VLOOKUP(BY393,Parameter!$F$35:$G$64,2,0),2)),IF(OR(CD393="Nein",CD393=""),"-",CD393)))))</f>
        <v>3</v>
      </c>
      <c r="AB393" s="67"/>
      <c r="AC393" s="68"/>
      <c r="AD393" s="62" t="n">
        <f aca="false">AW393</f>
        <v>47</v>
      </c>
      <c r="AE393" s="62" t="n">
        <f aca="false">MAX(AW393,H393)</f>
        <v>47</v>
      </c>
      <c r="AF393" s="69"/>
      <c r="AG393" s="62" t="n">
        <f aca="false">IF(LEFT(Cockpit!$C$5,1)="A",H393,IF(Parameter!$E$30="MAX-Bestand",IF(CI393=1,CJ393,IF(LEFT(Cockpit!$C$5,1)="B",AM393,MAX(AM393,H393))),ROUNDUP(AK393,0)))</f>
        <v>40</v>
      </c>
      <c r="AH393" s="62" t="n">
        <f aca="false">IF(CA393=1,0,ROUNDUP(AG393/BZ393,0))</f>
        <v>1</v>
      </c>
      <c r="AI393" s="64" t="n">
        <f aca="false">IF(CR393&gt;0,CR393*MAX(1,AG393/X393),IF(CA393=1,IF(AG393&lt;=0,0,CE393*MAX(1,IF(H393&gt;0,AG393/H393,1))),IF(R393&gt;0,AH393/R393,0))/MAX(0.1,N(Parameter!$M$21)))</f>
        <v>0.0192307692307692</v>
      </c>
      <c r="AJ393" s="62" t="n">
        <f aca="false">AI393*CC393</f>
        <v>2.98076923076923</v>
      </c>
      <c r="AK393" s="63" t="n">
        <f aca="false">IF(LEFT(Cockpit!$C$5,1)="A",H393,IF(CI393=1,(CL393+CJ393)/2,IF(LEFT(Cockpit!$C$5,1)="B",(CL393+AM393)/2,MAX((CL393+AM393)/2,H393))))</f>
        <v>40</v>
      </c>
      <c r="AL393" s="62" t="n">
        <f aca="false">AK393*G393</f>
        <v>136</v>
      </c>
      <c r="AM393" s="62" t="n">
        <f aca="false">ROUNDUP(CL393+MAX(CM393,2*(J393/IF(CH393&gt;0,CH393,MAX(0.1,N(Cockpit!$C$6)))-CL393)),0)</f>
        <v>47</v>
      </c>
      <c r="AN393" s="63" t="n">
        <f aca="false">IF(AJ393&gt;0,J393/AJ393,-1)</f>
        <v>14.7612903225806</v>
      </c>
      <c r="AO393" s="63" t="n">
        <f aca="false">IF(AND(OR(CG393="L1",CG393="L23",CG393="LIFT"),AJ393&gt;0),SUMIFS($AJ$7:$AJ$1843,$CG$7:$CG$1843,CG393,$AN$7:$AN$1843,"&gt;"&amp;AN393)+SUMIFS($AJ$7:$AJ$1843,$CG$7:$CG$1843,CG393,$AN$7:$AN$1843,AN393,$BX$7:$BX$1843,"&lt;="&amp;BX393),"")</f>
        <v>2096.53846153846</v>
      </c>
      <c r="AP393" s="70" t="n">
        <f aca="false">IF(AO393="",0,MAX(0,MIN(1,(IF(CG393="L1",Parameter!$H$5,IF(CG393="L23",Parameter!$H$6+Parameter!$H$7,Parameter!$H$5+Parameter!$H$6+Parameter!$H$7))-(AO393-AJ393))/AJ393)))</f>
        <v>1</v>
      </c>
      <c r="AQ393" s="62" t="n">
        <f aca="false">IF(LEFT(Cockpit!$I$5,1)="A",H393,IF(Parameter!$E$30="MAX-Bestand",IF(CI393=1,CJ393,IF(LEFT(Cockpit!$I$5,1)="B",AW393,MAX(AW393,H393))),ROUNDUP(AU393,0)))</f>
        <v>40</v>
      </c>
      <c r="AR393" s="62" t="n">
        <f aca="false">IF(CA393=1,0,ROUNDUP(AQ393/BZ393,0))</f>
        <v>1</v>
      </c>
      <c r="AS393" s="64" t="n">
        <f aca="false">IF(CR393&gt;0,CR393*MAX(1,AQ393/X393),IF(CA393=1,IF(AQ393&lt;=0,0,CE393*MAX(1,IF(H393&gt;0,AQ393/H393,1))),IF(R393&gt;0,AR393/R393,0))/MAX(0.1,N(Parameter!$M$21)))</f>
        <v>0.0192307692307692</v>
      </c>
      <c r="AT393" s="62" t="n">
        <f aca="false">AS393*CC393</f>
        <v>2.98076923076923</v>
      </c>
      <c r="AU393" s="63" t="n">
        <f aca="false">IF(LEFT(Cockpit!$I$5,1)="A",H393,IF(CI393=1,(CL393+CJ393)/2,IF(LEFT(Cockpit!$I$5,1)="B",(CL393+AW393)/2,MAX((CL393+AW393)/2,H393))))</f>
        <v>40</v>
      </c>
      <c r="AV393" s="62" t="n">
        <f aca="false">AU393*G393</f>
        <v>136</v>
      </c>
      <c r="AW393" s="62" t="n">
        <f aca="false">ROUNDUP(CL393+MAX(CM393,2*(J393/IF(CH393&gt;0,CH393,MAX(0.1,N(Cockpit!$I$6)))-CL393)),0)</f>
        <v>47</v>
      </c>
      <c r="AX393" s="63" t="n">
        <f aca="false">IF(AT393&gt;0,J393/AT393,-1)</f>
        <v>14.7612903225806</v>
      </c>
      <c r="AY393" s="63" t="n">
        <f aca="false">IF(AND(OR(CG393="L1",CG393="L23",CG393="LIFT"),AT393&gt;0),SUMIFS($AT$7:$AT$1843,$CG$7:$CG$1843,CG393,$AX$7:$AX$1843,"&gt;"&amp;AX393)+SUMIFS($AT$7:$AT$1843,$CG$7:$CG$1843,CG393,$AX$7:$AX$1843,AX393,$BX$7:$BX$1843,"&lt;="&amp;BX393),"")</f>
        <v>2744.47527472527</v>
      </c>
      <c r="AZ393" s="70" t="n">
        <f aca="false">IF(AY393="",0,MAX(0,MIN(1,(IF(CG393="L1",Parameter!$H$5,IF(CG393="L23",Parameter!$H$6+Parameter!$H$7,Parameter!$H$5+Parameter!$H$6+Parameter!$H$7))-(AY393-AT393))/AT393)))</f>
        <v>1</v>
      </c>
      <c r="BA393" s="62" t="n">
        <f aca="false">IF(LEFT(Cockpit!$O$5,1)="A",H393,IF(Parameter!$E$30="MAX-Bestand",IF(CI393=1,CJ393,IF(LEFT(Cockpit!$O$5,1)="B",BG393,MAX(BG393,H393))),ROUNDUP(BE393,0)))</f>
        <v>25</v>
      </c>
      <c r="BB393" s="62" t="n">
        <f aca="false">IF(CA393=1,0,ROUNDUP(BA393/BZ393,0))</f>
        <v>1</v>
      </c>
      <c r="BC393" s="64" t="n">
        <f aca="false">IF(CR393&gt;0,CR393*MAX(1,BA393/X393),IF(CA393=1,IF(BA393&lt;=0,0,CE393*MAX(1,IF(H393&gt;0,BA393/H393,1))),IF(R393&gt;0,BB393/R393,0))/MAX(0.1,N(Parameter!$M$21)))</f>
        <v>0.0192307692307692</v>
      </c>
      <c r="BD393" s="62" t="n">
        <f aca="false">BC393*CC393</f>
        <v>2.98076923076923</v>
      </c>
      <c r="BE393" s="63" t="n">
        <f aca="false">IF(LEFT(Cockpit!$O$5,1)="A",H393,IF(CI393=1,(CL393+CJ393)/2,IF(LEFT(Cockpit!$O$5,1)="B",(CL393+BG393)/2,MAX((CL393+BG393)/2,H393))))</f>
        <v>24.5</v>
      </c>
      <c r="BF393" s="62" t="n">
        <f aca="false">BE393*G393</f>
        <v>83.3</v>
      </c>
      <c r="BG393" s="62" t="n">
        <f aca="false">ROUNDUP(CL393+MAX(CM393,2*(J393/IF(CH393&gt;0,CH393,MAX(0.1,N(Cockpit!$O$6)))-CL393)),0)</f>
        <v>47</v>
      </c>
      <c r="BH393" s="63" t="n">
        <f aca="false">IF(BD393&gt;0,J393/BD393,-1)</f>
        <v>14.7612903225806</v>
      </c>
      <c r="BI393" s="63" t="n">
        <f aca="false">IF(AND(OR(CG393="L1",CG393="L23",CG393="LIFT"),BD393&gt;0),SUMIFS($BD$7:$BD$1843,$CG$7:$CG$1843,CG393,$BH$7:$BH$1843,"&gt;"&amp;BH393)+SUMIFS($BD$7:$BD$1843,$CG$7:$CG$1843,CG393,$BH$7:$BH$1843,BH393,$BX$7:$BX$1843,"&lt;="&amp;BX393),"")</f>
        <v>2427.51236263736</v>
      </c>
      <c r="BJ393" s="70" t="n">
        <f aca="false">IF(BI393="",0,MAX(0,MIN(1,(IF(CG393="L1",Parameter!$H$5,IF(CG393="L23",Parameter!$H$6+Parameter!$H$7,Parameter!$H$5+Parameter!$H$6+Parameter!$H$7))-(BI393-BD393))/BD393)))</f>
        <v>1</v>
      </c>
      <c r="BK393" s="60" t="str">
        <f aca="false">IF(AJ393&lt;=0,"",IF(CG393="Aussen","Aussenlager",IF(CG393="-","Nicht im Lift",IF(AP393&gt;=1,"Lift",IF(AP393&lt;=0,"Aussenlager","teilweise")))))</f>
        <v>Lift</v>
      </c>
      <c r="BL393" s="60" t="str">
        <f aca="false">IF(AT393&lt;=0,"",IF(CG393="Aussen","Aussenlager",IF(CG393="-","Nicht im Lift",IF(AZ393&gt;=1,"Lift",IF(AZ393&lt;=0,"Aussenlager","teilweise")))))</f>
        <v>Lift</v>
      </c>
      <c r="BM393" s="60" t="str">
        <f aca="false">IF(BD393&lt;=0,"",IF(CG393="Aussen","Aussenlager",IF(CG393="-","Nicht im Lift",IF(BJ393&gt;=1,"Lift",IF(BJ393&lt;=0,"Aussenlager","teilweise")))))</f>
        <v>Lift</v>
      </c>
      <c r="BN393" s="60" t="str">
        <f aca="false">IF(A393="","",IF(BW393=1,"Neu; ","")&amp;IF(AND(BW393=0,BR393&lt;0),"negativer Bestand (Export "&amp;BR393&amp;"); ","")&amp;IF(J393&lt;=0,"Kein Verbrauch; ","")&amp;IF(CR393&gt;0,"Lift "&amp;W393&amp;" lt. Liftbericht (Fach "&amp;X393&amp;" Stk); ",IF(CB393=1,"Gebinde geschätzt ("&amp;T393&amp;"); ",IF(CA393=1,"Lose – Tablare geschätzt; ","")))&amp;IF(H393&gt;AW393,"Überbestand "&amp;ROUND(H393-AW393,0)&amp;" Stk / CHF "&amp;ROUND((H393-AW393)*G393,0)&amp;"; ","")&amp;IF(AND(CI393=1,CJ393&lt;CK393),"MAX &lt; MB+LG; ","")&amp;IF(AND(CQ393&gt;0,CP393*10&gt;CQ393),"zu hoch für Tablar; ","")&amp;IF(AND(BW393=0,OR(CI393=1,AB393&lt;&gt;"",U393&lt;&gt;"",V393&lt;&gt;"",AC393&lt;&gt;"")),"manuell übersteuert; ","")&amp;IF(AND(CA393=0,R393=0),"Gebinde unbekannt / Stellmass fehlt; ","")&amp;IF(AND(CA393=0,N(V393)&lt;=0,N(Q393)&lt;=0),"Menge pro Gebinde fehlt (Ist = 1 Gebinde); ","")&amp;BV393)</f>
        <v/>
      </c>
      <c r="BO393" s="60"/>
      <c r="BP393" s="60"/>
      <c r="BQ393" s="67"/>
      <c r="BR393" s="62" t="n">
        <v>34</v>
      </c>
      <c r="BS393" s="62" t="n">
        <v>6</v>
      </c>
      <c r="BT393" s="61" t="n">
        <v>116.32</v>
      </c>
      <c r="BU393" s="62" t="n">
        <v>44</v>
      </c>
      <c r="BV393" s="60"/>
      <c r="BW393" s="65" t="n">
        <v>0</v>
      </c>
      <c r="BX393" s="65" t="n">
        <v>393</v>
      </c>
      <c r="BY393" s="60" t="str">
        <f aca="false">IF(U393&lt;&gt;"",UPPER(TRIM(U393)),IF(CB393=1,UPPER(VLOOKUP(T393,Parameter!$I$27:$K$29,2,0)),IF(P393="","LOSE",P393)))</f>
        <v>S41</v>
      </c>
      <c r="BZ393" s="62" t="n">
        <f aca="false">IF(BY393="LOSE",1,IF(N(V393)&gt;0,V393,IF(CB393=1,MAX(1,N(VLOOKUP(T393,Parameter!$I$27:$K$29,3,0)),H393,N(N393)),IF(N(Q393)&gt;0,Q393,MAX(1,H393)))))</f>
        <v>42</v>
      </c>
      <c r="CA393" s="65" t="n">
        <f aca="false">IF(BY393="LOSE",1,0)</f>
        <v>0</v>
      </c>
      <c r="CB393" s="65" t="n">
        <f aca="false">IF(AND(U393="",OR(P393="",P393="LOSE"),T393&lt;&gt;"",N(S393)&lt;=0,ISNUMBER(MATCH(T393,Parameter!$I$27:$I$29,0))),1,0)</f>
        <v>0</v>
      </c>
      <c r="CC393" s="65" t="n">
        <f aca="false">IF(CR393&gt;0,INDEX(Parameter!$H$5:$H$7,W393)/INDEX(Parameter!$E$5:$E$7,W393),IF(AND(CA393=0,N(IFERROR(VLOOKUP(BY393,'Gebinde-Kategorie'!$A$5:$N$45,14,0),0))&gt;0),VLOOKUP(BY393,'Gebinde-Kategorie'!$A$5:$N$45,14,0)*10+Parameter!$M$23,Parameter!$M$24))</f>
        <v>155</v>
      </c>
      <c r="CD393" s="60" t="str">
        <f aca="false">IF(AND(Parameter!$B$19="Ja",E393&lt;&gt;"",ISNUMBER(MATCH(E393,Parameter!$I$35:$I$52,0))),VLOOKUP(E393,Parameter!$I$35:$J$52,2,0),IFERROR(VLOOKUP(D393,Parameter!$A$35:$C$64,2,0),"Nein"))</f>
        <v>2+3</v>
      </c>
      <c r="CE393" s="64" t="n">
        <f aca="false">IF(CA393=0,0,IF(N(S393)&gt;0,S393,IFERROR(VLOOKUP(D393,Parameter!$A$35:$C$64,3,0)+0,0)))</f>
        <v>0</v>
      </c>
      <c r="CF393" s="60" t="n">
        <f aca="false">IF(AB393&lt;&gt;"",AB393,AA393)</f>
        <v>3</v>
      </c>
      <c r="CG393" s="60" t="str">
        <f aca="false">IF(OR(CF393=1,CF393=2,CF393=3),IF(Parameter!$E$27="Ja","LIFT",IF(CF393=1,"L1","L23")),IF(CF393="Aussen","Aussen","-"))</f>
        <v>LIFT</v>
      </c>
      <c r="CH393" s="71" t="n">
        <f aca="false">IF(N(AC393)&gt;0,AC393,0)</f>
        <v>0</v>
      </c>
      <c r="CI393" s="65" t="n">
        <f aca="false">IF(ISNUMBER(AF393),1,0)</f>
        <v>0</v>
      </c>
      <c r="CJ393" s="62" t="n">
        <f aca="false">N(AF393)</f>
        <v>0</v>
      </c>
      <c r="CK393" s="62" t="n">
        <f aca="false">N(M393)+N(N393)</f>
        <v>47</v>
      </c>
      <c r="CL393" s="62" t="n">
        <f aca="false">N(M393)</f>
        <v>2</v>
      </c>
      <c r="CM393" s="62" t="n">
        <f aca="false">N(N393)</f>
        <v>45</v>
      </c>
      <c r="CN393" s="62" t="n">
        <f aca="false">ROUNDUP(H393/BZ393,0)</f>
        <v>1</v>
      </c>
      <c r="CO393" s="62" t="n">
        <f aca="false">ROUNDUP(CJ393/BZ393,0)</f>
        <v>0</v>
      </c>
      <c r="CP393" s="65" t="n">
        <f aca="false">IF(CA393=1,0,IFERROR(VLOOKUP(BY393,'Gebinde-Kategorie'!$A$5:$N$45,5,0)+0,0))</f>
        <v>11</v>
      </c>
      <c r="CQ393" s="65" t="n">
        <f aca="false">IFERROR(IF(OR(CF393=1,CF393=2,CF393=3),N(INDEX(Parameter!$I$5:$I$7,CF393)),0),0)</f>
        <v>0</v>
      </c>
      <c r="CR393" s="64" t="n">
        <f aca="false">IF(AND(Parameter!$B$21="Ja",ISNUMBER(W393),N(X393)&gt;0),IFERROR(N(INDEX(Parameter!$L$5:$L$7,W393))*INDEX(Parameter!$E$5:$E$7,W393)*X393/SUMIFS($X$7:$X$1843,$W$7:$W$1843,W393),0),0)</f>
        <v>0</v>
      </c>
      <c r="CS393" s="62" t="n">
        <f aca="false">IF(AND(OR(CG393="L1",CG393="L23",CG393="LIFT"),H393&gt;0),CC393*IF(CR393&gt;0,CR393*MAX(1,H393/X393),IF(CA393=1,CE393,IF(R393&gt;0,CN393/R393,0))/MAX(0.1,N(Parameter!$M$21))),"")</f>
        <v>2.98076923076923</v>
      </c>
      <c r="CT393" s="64" t="n">
        <f aca="false">IF(CS393="","",J393/H393)</f>
        <v>1.1</v>
      </c>
      <c r="CU393" s="62" t="n">
        <f aca="false">IF(CS393="","",H393*G393)</f>
        <v>136</v>
      </c>
      <c r="CV393" s="63" t="n">
        <f aca="false">IF(CS393="","",(CL393+ROUNDUP(CL393+MAX(CM393,2*(J393/MAX(0.1,N(Einkauf!$C$6))-CL393)),0))/2)</f>
        <v>24.5</v>
      </c>
      <c r="CW393" s="62" t="n">
        <f aca="false">IF(CS393="","",MAX(0,H393-CV393)*G393)</f>
        <v>52.7</v>
      </c>
      <c r="CX393" s="62" t="n">
        <f aca="false">IF(CS393="","",CS393*MAX(0,1-CV393/H393))</f>
        <v>1.15504807692308</v>
      </c>
      <c r="CY393" s="64" t="n">
        <f aca="false">IF(CS393="","",PERCENTRANK($CS$7:$CS$1843,CS393)+PERCENTRANK($CU$7:$CU$1843,CU393)+1-PERCENTRANK($CT$7:$CT$1843,CT393))</f>
        <v>0.804</v>
      </c>
      <c r="CZ393" s="72" t="n">
        <f aca="false">IF(CS393="","",CHOOSE(MATCH(Einkauf!$C$5,Parameter!$G$23:$G$27,0),CY393,CS393,CU393,-CT393,CW393)+ROW()/1000000000)</f>
        <v>0.804000393</v>
      </c>
    </row>
    <row r="394" customFormat="false" ht="15" hidden="false" customHeight="false" outlineLevel="0" collapsed="false">
      <c r="A394" s="60" t="s">
        <v>969</v>
      </c>
      <c r="B394" s="60" t="s">
        <v>970</v>
      </c>
      <c r="C394" s="60" t="s">
        <v>206</v>
      </c>
      <c r="D394" s="60" t="s">
        <v>226</v>
      </c>
      <c r="E394" s="60" t="s">
        <v>227</v>
      </c>
      <c r="F394" s="60" t="s">
        <v>260</v>
      </c>
      <c r="G394" s="61" t="n">
        <v>2.18</v>
      </c>
      <c r="H394" s="62" t="n">
        <f aca="false">MAX(0,IF(AND(Parameter!$B$21="Ja",ISNUMBER(Y394)),Y394,IF(Parameter!$B$20="Jahresanfang 2025 + Export",BS394+BR394,BR394)))</f>
        <v>111</v>
      </c>
      <c r="I394" s="62" t="n">
        <f aca="false">H394*G394</f>
        <v>241.98</v>
      </c>
      <c r="J394" s="62" t="n">
        <f aca="false">BU394*Parameter!$B$18</f>
        <v>126</v>
      </c>
      <c r="K394" s="63" t="n">
        <v>41.5</v>
      </c>
      <c r="L394" s="64" t="n">
        <v>3.03614457831325</v>
      </c>
      <c r="M394" s="62" t="n">
        <v>4</v>
      </c>
      <c r="N394" s="62" t="n">
        <v>125</v>
      </c>
      <c r="O394" s="65" t="n">
        <v>14</v>
      </c>
      <c r="P394" s="60" t="s">
        <v>518</v>
      </c>
      <c r="Q394" s="62" t="n">
        <v>79</v>
      </c>
      <c r="R394" s="65" t="n">
        <f aca="false">IF(CA394=1,0,IFERROR(VLOOKUP(BY394,'Gebinde-Kategorie'!$A$5:$N$45,13,0)+0,0))</f>
        <v>52</v>
      </c>
      <c r="S394" s="66"/>
      <c r="T394" s="67"/>
      <c r="U394" s="67"/>
      <c r="V394" s="67"/>
      <c r="W394" s="60"/>
      <c r="X394" s="62"/>
      <c r="Y394" s="62"/>
      <c r="Z394" s="60" t="n">
        <v>3</v>
      </c>
      <c r="AA394" s="60" t="n">
        <f aca="false">IF(A394="","",IF(AND(Parameter!$B$21="Ja",ISNUMBER(W394)),W394,IF(AND(Parameter!$E$27="Ja",ISNUMBER(Z394),CD394&lt;&gt;"Nein"),Z394,IF(CD394="2+3",IF(ISNUMBER(SEARCH("grosser Artikel",BV394)),2,IFERROR(VLOOKUP(BY394,Parameter!$F$35:$G$64,2,0),2)),IF(OR(CD394="Nein",CD394=""),"-",CD394)))))</f>
        <v>3</v>
      </c>
      <c r="AB394" s="67"/>
      <c r="AC394" s="68"/>
      <c r="AD394" s="62" t="n">
        <f aca="false">AW394</f>
        <v>129</v>
      </c>
      <c r="AE394" s="62" t="n">
        <f aca="false">MAX(AW394,H394)</f>
        <v>129</v>
      </c>
      <c r="AF394" s="69"/>
      <c r="AG394" s="62" t="n">
        <f aca="false">IF(LEFT(Cockpit!$C$5,1)="A",H394,IF(Parameter!$E$30="MAX-Bestand",IF(CI394=1,CJ394,IF(LEFT(Cockpit!$C$5,1)="B",AM394,MAX(AM394,H394))),ROUNDUP(AK394,0)))</f>
        <v>111</v>
      </c>
      <c r="AH394" s="62" t="n">
        <f aca="false">IF(CA394=1,0,ROUNDUP(AG394/BZ394,0))</f>
        <v>2</v>
      </c>
      <c r="AI394" s="64" t="n">
        <f aca="false">IF(CR394&gt;0,CR394*MAX(1,AG394/X394),IF(CA394=1,IF(AG394&lt;=0,0,CE394*MAX(1,IF(H394&gt;0,AG394/H394,1))),IF(R394&gt;0,AH394/R394,0))/MAX(0.1,N(Parameter!$M$21)))</f>
        <v>0.0384615384615385</v>
      </c>
      <c r="AJ394" s="62" t="n">
        <f aca="false">AI394*CC394</f>
        <v>5.96153846153846</v>
      </c>
      <c r="AK394" s="63" t="n">
        <f aca="false">IF(LEFT(Cockpit!$C$5,1)="A",H394,IF(CI394=1,(CL394+CJ394)/2,IF(LEFT(Cockpit!$C$5,1)="B",(CL394+AM394)/2,MAX((CL394+AM394)/2,H394))))</f>
        <v>111</v>
      </c>
      <c r="AL394" s="62" t="n">
        <f aca="false">AK394*G394</f>
        <v>241.98</v>
      </c>
      <c r="AM394" s="62" t="n">
        <f aca="false">ROUNDUP(CL394+MAX(CM394,2*(J394/IF(CH394&gt;0,CH394,MAX(0.1,N(Cockpit!$C$6)))-CL394)),0)</f>
        <v>129</v>
      </c>
      <c r="AN394" s="63" t="n">
        <f aca="false">IF(AJ394&gt;0,J394/AJ394,-1)</f>
        <v>21.1354838709677</v>
      </c>
      <c r="AO394" s="63" t="n">
        <f aca="false">IF(AND(OR(CG394="L1",CG394="L23",CG394="LIFT"),AJ394&gt;0),SUMIFS($AJ$7:$AJ$1843,$CG$7:$CG$1843,CG394,$AN$7:$AN$1843,"&gt;"&amp;AN394)+SUMIFS($AJ$7:$AJ$1843,$CG$7:$CG$1843,CG394,$AN$7:$AN$1843,AN394,$BX$7:$BX$1843,"&lt;="&amp;BX394),"")</f>
        <v>1643.22161172161</v>
      </c>
      <c r="AP394" s="70" t="n">
        <f aca="false">IF(AO394="",0,MAX(0,MIN(1,(IF(CG394="L1",Parameter!$H$5,IF(CG394="L23",Parameter!$H$6+Parameter!$H$7,Parameter!$H$5+Parameter!$H$6+Parameter!$H$7))-(AO394-AJ394))/AJ394)))</f>
        <v>1</v>
      </c>
      <c r="AQ394" s="62" t="n">
        <f aca="false">IF(LEFT(Cockpit!$I$5,1)="A",H394,IF(Parameter!$E$30="MAX-Bestand",IF(CI394=1,CJ394,IF(LEFT(Cockpit!$I$5,1)="B",AW394,MAX(AW394,H394))),ROUNDUP(AU394,0)))</f>
        <v>111</v>
      </c>
      <c r="AR394" s="62" t="n">
        <f aca="false">IF(CA394=1,0,ROUNDUP(AQ394/BZ394,0))</f>
        <v>2</v>
      </c>
      <c r="AS394" s="64" t="n">
        <f aca="false">IF(CR394&gt;0,CR394*MAX(1,AQ394/X394),IF(CA394=1,IF(AQ394&lt;=0,0,CE394*MAX(1,IF(H394&gt;0,AQ394/H394,1))),IF(R394&gt;0,AR394/R394,0))/MAX(0.1,N(Parameter!$M$21)))</f>
        <v>0.0384615384615385</v>
      </c>
      <c r="AT394" s="62" t="n">
        <f aca="false">AS394*CC394</f>
        <v>5.96153846153846</v>
      </c>
      <c r="AU394" s="63" t="n">
        <f aca="false">IF(LEFT(Cockpit!$I$5,1)="A",H394,IF(CI394=1,(CL394+CJ394)/2,IF(LEFT(Cockpit!$I$5,1)="B",(CL394+AW394)/2,MAX((CL394+AW394)/2,H394))))</f>
        <v>111</v>
      </c>
      <c r="AV394" s="62" t="n">
        <f aca="false">AU394*G394</f>
        <v>241.98</v>
      </c>
      <c r="AW394" s="62" t="n">
        <f aca="false">ROUNDUP(CL394+MAX(CM394,2*(J394/IF(CH394&gt;0,CH394,MAX(0.1,N(Cockpit!$I$6)))-CL394)),0)</f>
        <v>129</v>
      </c>
      <c r="AX394" s="63" t="n">
        <f aca="false">IF(AT394&gt;0,J394/AT394,-1)</f>
        <v>21.1354838709677</v>
      </c>
      <c r="AY394" s="63" t="n">
        <f aca="false">IF(AND(OR(CG394="L1",CG394="L23",CG394="LIFT"),AT394&gt;0),SUMIFS($AT$7:$AT$1843,$CG$7:$CG$1843,CG394,$AX$7:$AX$1843,"&gt;"&amp;AX394)+SUMIFS($AT$7:$AT$1843,$CG$7:$CG$1843,CG394,$AX$7:$AX$1843,AX394,$BX$7:$BX$1843,"&lt;="&amp;BX394),"")</f>
        <v>2280.34249084249</v>
      </c>
      <c r="AZ394" s="70" t="n">
        <f aca="false">IF(AY394="",0,MAX(0,MIN(1,(IF(CG394="L1",Parameter!$H$5,IF(CG394="L23",Parameter!$H$6+Parameter!$H$7,Parameter!$H$5+Parameter!$H$6+Parameter!$H$7))-(AY394-AT394))/AT394)))</f>
        <v>1</v>
      </c>
      <c r="BA394" s="62" t="n">
        <f aca="false">IF(LEFT(Cockpit!$O$5,1)="A",H394,IF(Parameter!$E$30="MAX-Bestand",IF(CI394=1,CJ394,IF(LEFT(Cockpit!$O$5,1)="B",BG394,MAX(BG394,H394))),ROUNDUP(BE394,0)))</f>
        <v>67</v>
      </c>
      <c r="BB394" s="62" t="n">
        <f aca="false">IF(CA394=1,0,ROUNDUP(BA394/BZ394,0))</f>
        <v>1</v>
      </c>
      <c r="BC394" s="64" t="n">
        <f aca="false">IF(CR394&gt;0,CR394*MAX(1,BA394/X394),IF(CA394=1,IF(BA394&lt;=0,0,CE394*MAX(1,IF(H394&gt;0,BA394/H394,1))),IF(R394&gt;0,BB394/R394,0))/MAX(0.1,N(Parameter!$M$21)))</f>
        <v>0.0192307692307692</v>
      </c>
      <c r="BD394" s="62" t="n">
        <f aca="false">BC394*CC394</f>
        <v>2.98076923076923</v>
      </c>
      <c r="BE394" s="63" t="n">
        <f aca="false">IF(LEFT(Cockpit!$O$5,1)="A",H394,IF(CI394=1,(CL394+CJ394)/2,IF(LEFT(Cockpit!$O$5,1)="B",(CL394+BG394)/2,MAX((CL394+BG394)/2,H394))))</f>
        <v>66.5</v>
      </c>
      <c r="BF394" s="62" t="n">
        <f aca="false">BE394*G394</f>
        <v>144.97</v>
      </c>
      <c r="BG394" s="62" t="n">
        <f aca="false">ROUNDUP(CL394+MAX(CM394,2*(J394/IF(CH394&gt;0,CH394,MAX(0.1,N(Cockpit!$O$6)))-CL394)),0)</f>
        <v>129</v>
      </c>
      <c r="BH394" s="63" t="n">
        <f aca="false">IF(BD394&gt;0,J394/BD394,-1)</f>
        <v>42.2709677419355</v>
      </c>
      <c r="BI394" s="63" t="n">
        <f aca="false">IF(AND(OR(CG394="L1",CG394="L23",CG394="LIFT"),BD394&gt;0),SUMIFS($BD$7:$BD$1843,$CG$7:$CG$1843,CG394,$BH$7:$BH$1843,"&gt;"&amp;BH394)+SUMIFS($BD$7:$BD$1843,$CG$7:$CG$1843,CG394,$BH$7:$BH$1843,BH394,$BX$7:$BX$1843,"&lt;="&amp;BX394),"")</f>
        <v>1237.53983516484</v>
      </c>
      <c r="BJ394" s="70" t="n">
        <f aca="false">IF(BI394="",0,MAX(0,MIN(1,(IF(CG394="L1",Parameter!$H$5,IF(CG394="L23",Parameter!$H$6+Parameter!$H$7,Parameter!$H$5+Parameter!$H$6+Parameter!$H$7))-(BI394-BD394))/BD394)))</f>
        <v>1</v>
      </c>
      <c r="BK394" s="60" t="str">
        <f aca="false">IF(AJ394&lt;=0,"",IF(CG394="Aussen","Aussenlager",IF(CG394="-","Nicht im Lift",IF(AP394&gt;=1,"Lift",IF(AP394&lt;=0,"Aussenlager","teilweise")))))</f>
        <v>Lift</v>
      </c>
      <c r="BL394" s="60" t="str">
        <f aca="false">IF(AT394&lt;=0,"",IF(CG394="Aussen","Aussenlager",IF(CG394="-","Nicht im Lift",IF(AZ394&gt;=1,"Lift",IF(AZ394&lt;=0,"Aussenlager","teilweise")))))</f>
        <v>Lift</v>
      </c>
      <c r="BM394" s="60" t="str">
        <f aca="false">IF(BD394&lt;=0,"",IF(CG394="Aussen","Aussenlager",IF(CG394="-","Nicht im Lift",IF(BJ394&gt;=1,"Lift",IF(BJ394&lt;=0,"Aussenlager","teilweise")))))</f>
        <v>Lift</v>
      </c>
      <c r="BN394" s="60" t="str">
        <f aca="false">IF(A394="","",IF(BW394=1,"Neu; ","")&amp;IF(AND(BW394=0,BR394&lt;0),"negativer Bestand (Export "&amp;BR394&amp;"); ","")&amp;IF(J394&lt;=0,"Kein Verbrauch; ","")&amp;IF(CR394&gt;0,"Lift "&amp;W394&amp;" lt. Liftbericht (Fach "&amp;X394&amp;" Stk); ",IF(CB394=1,"Gebinde geschätzt ("&amp;T394&amp;"); ",IF(CA394=1,"Lose – Tablare geschätzt; ","")))&amp;IF(H394&gt;AW394,"Überbestand "&amp;ROUND(H394-AW394,0)&amp;" Stk / CHF "&amp;ROUND((H394-AW394)*G394,0)&amp;"; ","")&amp;IF(AND(CI394=1,CJ394&lt;CK394),"MAX &lt; MB+LG; ","")&amp;IF(AND(CQ394&gt;0,CP394*10&gt;CQ394),"zu hoch für Tablar; ","")&amp;IF(AND(BW394=0,OR(CI394=1,AB394&lt;&gt;"",U394&lt;&gt;"",V394&lt;&gt;"",AC394&lt;&gt;"")),"manuell übersteuert; ","")&amp;IF(AND(CA394=0,R394=0),"Gebinde unbekannt / Stellmass fehlt; ","")&amp;IF(AND(CA394=0,N(V394)&lt;=0,N(Q394)&lt;=0),"Menge pro Gebinde fehlt (Ist = 1 Gebinde); ","")&amp;BV394)</f>
        <v/>
      </c>
      <c r="BO394" s="60"/>
      <c r="BP394" s="60"/>
      <c r="BQ394" s="67"/>
      <c r="BR394" s="62" t="n">
        <v>54</v>
      </c>
      <c r="BS394" s="62" t="n">
        <v>57</v>
      </c>
      <c r="BT394" s="61" t="n">
        <v>115.44</v>
      </c>
      <c r="BU394" s="62" t="n">
        <v>126</v>
      </c>
      <c r="BV394" s="60"/>
      <c r="BW394" s="65" t="n">
        <v>0</v>
      </c>
      <c r="BX394" s="65" t="n">
        <v>394</v>
      </c>
      <c r="BY394" s="60" t="str">
        <f aca="false">IF(U394&lt;&gt;"",UPPER(TRIM(U394)),IF(CB394=1,UPPER(VLOOKUP(T394,Parameter!$I$27:$K$29,2,0)),IF(P394="","LOSE",P394)))</f>
        <v>S33</v>
      </c>
      <c r="BZ394" s="62" t="n">
        <f aca="false">IF(BY394="LOSE",1,IF(N(V394)&gt;0,V394,IF(CB394=1,MAX(1,N(VLOOKUP(T394,Parameter!$I$27:$K$29,3,0)),H394,N(N394)),IF(N(Q394)&gt;0,Q394,MAX(1,H394)))))</f>
        <v>79</v>
      </c>
      <c r="CA394" s="65" t="n">
        <f aca="false">IF(BY394="LOSE",1,0)</f>
        <v>0</v>
      </c>
      <c r="CB394" s="65" t="n">
        <f aca="false">IF(AND(U394="",OR(P394="",P394="LOSE"),T394&lt;&gt;"",N(S394)&lt;=0,ISNUMBER(MATCH(T394,Parameter!$I$27:$I$29,0))),1,0)</f>
        <v>0</v>
      </c>
      <c r="CC394" s="65" t="n">
        <f aca="false">IF(CR394&gt;0,INDEX(Parameter!$H$5:$H$7,W394)/INDEX(Parameter!$E$5:$E$7,W394),IF(AND(CA394=0,N(IFERROR(VLOOKUP(BY394,'Gebinde-Kategorie'!$A$5:$N$45,14,0),0))&gt;0),VLOOKUP(BY394,'Gebinde-Kategorie'!$A$5:$N$45,14,0)*10+Parameter!$M$23,Parameter!$M$24))</f>
        <v>155</v>
      </c>
      <c r="CD394" s="60" t="str">
        <f aca="false">IF(AND(Parameter!$B$19="Ja",E394&lt;&gt;"",ISNUMBER(MATCH(E394,Parameter!$I$35:$I$52,0))),VLOOKUP(E394,Parameter!$I$35:$J$52,2,0),IFERROR(VLOOKUP(D394,Parameter!$A$35:$C$64,2,0),"Nein"))</f>
        <v>2+3</v>
      </c>
      <c r="CE394" s="64" t="n">
        <f aca="false">IF(CA394=0,0,IF(N(S394)&gt;0,S394,IFERROR(VLOOKUP(D394,Parameter!$A$35:$C$64,3,0)+0,0)))</f>
        <v>0</v>
      </c>
      <c r="CF394" s="60" t="n">
        <f aca="false">IF(AB394&lt;&gt;"",AB394,AA394)</f>
        <v>3</v>
      </c>
      <c r="CG394" s="60" t="str">
        <f aca="false">IF(OR(CF394=1,CF394=2,CF394=3),IF(Parameter!$E$27="Ja","LIFT",IF(CF394=1,"L1","L23")),IF(CF394="Aussen","Aussen","-"))</f>
        <v>LIFT</v>
      </c>
      <c r="CH394" s="71" t="n">
        <f aca="false">IF(N(AC394)&gt;0,AC394,0)</f>
        <v>0</v>
      </c>
      <c r="CI394" s="65" t="n">
        <f aca="false">IF(ISNUMBER(AF394),1,0)</f>
        <v>0</v>
      </c>
      <c r="CJ394" s="62" t="n">
        <f aca="false">N(AF394)</f>
        <v>0</v>
      </c>
      <c r="CK394" s="62" t="n">
        <f aca="false">N(M394)+N(N394)</f>
        <v>129</v>
      </c>
      <c r="CL394" s="62" t="n">
        <f aca="false">N(M394)</f>
        <v>4</v>
      </c>
      <c r="CM394" s="62" t="n">
        <f aca="false">N(N394)</f>
        <v>125</v>
      </c>
      <c r="CN394" s="62" t="n">
        <f aca="false">ROUNDUP(H394/BZ394,0)</f>
        <v>2</v>
      </c>
      <c r="CO394" s="62" t="n">
        <f aca="false">ROUNDUP(CJ394/BZ394,0)</f>
        <v>0</v>
      </c>
      <c r="CP394" s="65" t="n">
        <f aca="false">IF(CA394=1,0,IFERROR(VLOOKUP(BY394,'Gebinde-Kategorie'!$A$5:$N$45,5,0)+0,0))</f>
        <v>8</v>
      </c>
      <c r="CQ394" s="65" t="n">
        <f aca="false">IFERROR(IF(OR(CF394=1,CF394=2,CF394=3),N(INDEX(Parameter!$I$5:$I$7,CF394)),0),0)</f>
        <v>0</v>
      </c>
      <c r="CR394" s="64" t="n">
        <f aca="false">IF(AND(Parameter!$B$21="Ja",ISNUMBER(W394),N(X394)&gt;0),IFERROR(N(INDEX(Parameter!$L$5:$L$7,W394))*INDEX(Parameter!$E$5:$E$7,W394)*X394/SUMIFS($X$7:$X$1843,$W$7:$W$1843,W394),0),0)</f>
        <v>0</v>
      </c>
      <c r="CS394" s="62" t="n">
        <f aca="false">IF(AND(OR(CG394="L1",CG394="L23",CG394="LIFT"),H394&gt;0),CC394*IF(CR394&gt;0,CR394*MAX(1,H394/X394),IF(CA394=1,CE394,IF(R394&gt;0,CN394/R394,0))/MAX(0.1,N(Parameter!$M$21))),"")</f>
        <v>5.96153846153846</v>
      </c>
      <c r="CT394" s="64" t="n">
        <f aca="false">IF(CS394="","",J394/H394)</f>
        <v>1.13513513513514</v>
      </c>
      <c r="CU394" s="62" t="n">
        <f aca="false">IF(CS394="","",H394*G394)</f>
        <v>241.98</v>
      </c>
      <c r="CV394" s="63" t="n">
        <f aca="false">IF(CS394="","",(CL394+ROUNDUP(CL394+MAX(CM394,2*(J394/MAX(0.1,N(Einkauf!$C$6))-CL394)),0))/2)</f>
        <v>66.5</v>
      </c>
      <c r="CW394" s="62" t="n">
        <f aca="false">IF(CS394="","",MAX(0,H394-CV394)*G394)</f>
        <v>97.01</v>
      </c>
      <c r="CX394" s="62" t="n">
        <f aca="false">IF(CS394="","",CS394*MAX(0,1-CV394/H394))</f>
        <v>2.38998613998614</v>
      </c>
      <c r="CY394" s="64" t="n">
        <f aca="false">IF(CS394="","",PERCENTRANK($CS$7:$CS$1843,CS394)+PERCENTRANK($CU$7:$CU$1843,CU394)+1-PERCENTRANK($CT$7:$CT$1843,CT394))</f>
        <v>1.03</v>
      </c>
      <c r="CZ394" s="72" t="n">
        <f aca="false">IF(CS394="","",CHOOSE(MATCH(Einkauf!$C$5,Parameter!$G$23:$G$27,0),CY394,CS394,CU394,-CT394,CW394)+ROW()/1000000000)</f>
        <v>1.030000394</v>
      </c>
    </row>
    <row r="395" customFormat="false" ht="15" hidden="false" customHeight="false" outlineLevel="0" collapsed="false">
      <c r="A395" s="60" t="s">
        <v>971</v>
      </c>
      <c r="B395" s="60" t="s">
        <v>903</v>
      </c>
      <c r="C395" s="60" t="s">
        <v>206</v>
      </c>
      <c r="D395" s="60" t="s">
        <v>215</v>
      </c>
      <c r="E395" s="60"/>
      <c r="F395" s="60" t="s">
        <v>260</v>
      </c>
      <c r="G395" s="61" t="n">
        <v>12.74</v>
      </c>
      <c r="H395" s="62" t="n">
        <f aca="false">MAX(0,IF(AND(Parameter!$B$21="Ja",ISNUMBER(Y395)),Y395,IF(Parameter!$B$20="Jahresanfang 2025 + Export",BS395+BR395,BR395)))</f>
        <v>9</v>
      </c>
      <c r="I395" s="62" t="n">
        <f aca="false">H395*G395</f>
        <v>114.66</v>
      </c>
      <c r="J395" s="62" t="n">
        <f aca="false">BU395*Parameter!$B$18</f>
        <v>10</v>
      </c>
      <c r="K395" s="63" t="n">
        <v>0</v>
      </c>
      <c r="L395" s="64" t="n">
        <v>0</v>
      </c>
      <c r="M395" s="62" t="n">
        <v>0</v>
      </c>
      <c r="N395" s="62" t="n">
        <v>10</v>
      </c>
      <c r="O395" s="65" t="n">
        <v>14</v>
      </c>
      <c r="P395" s="60" t="s">
        <v>210</v>
      </c>
      <c r="Q395" s="62"/>
      <c r="R395" s="65" t="n">
        <f aca="false">IF(CA395=1,0,IFERROR(VLOOKUP(BY395,'Gebinde-Kategorie'!$A$5:$N$45,13,0)+0,0))</f>
        <v>12</v>
      </c>
      <c r="S395" s="66"/>
      <c r="T395" s="67" t="s">
        <v>221</v>
      </c>
      <c r="U395" s="67"/>
      <c r="V395" s="67"/>
      <c r="W395" s="60"/>
      <c r="X395" s="62"/>
      <c r="Y395" s="62"/>
      <c r="Z395" s="60" t="n">
        <v>3</v>
      </c>
      <c r="AA395" s="60" t="n">
        <f aca="false">IF(A395="","",IF(AND(Parameter!$B$21="Ja",ISNUMBER(W395)),W395,IF(AND(Parameter!$E$27="Ja",ISNUMBER(Z395),CD395&lt;&gt;"Nein"),Z395,IF(CD395="2+3",IF(ISNUMBER(SEARCH("grosser Artikel",BV395)),2,IFERROR(VLOOKUP(BY395,Parameter!$F$35:$G$64,2,0),2)),IF(OR(CD395="Nein",CD395=""),"-",CD395)))))</f>
        <v>3</v>
      </c>
      <c r="AB395" s="67"/>
      <c r="AC395" s="68"/>
      <c r="AD395" s="62" t="n">
        <f aca="false">AW395</f>
        <v>10</v>
      </c>
      <c r="AE395" s="62" t="n">
        <f aca="false">MAX(AW395,H395)</f>
        <v>10</v>
      </c>
      <c r="AF395" s="69"/>
      <c r="AG395" s="62" t="n">
        <f aca="false">IF(LEFT(Cockpit!$C$5,1)="A",H395,IF(Parameter!$E$30="MAX-Bestand",IF(CI395=1,CJ395,IF(LEFT(Cockpit!$C$5,1)="B",AM395,MAX(AM395,H395))),ROUNDUP(AK395,0)))</f>
        <v>9</v>
      </c>
      <c r="AH395" s="62" t="n">
        <f aca="false">IF(CA395=1,0,ROUNDUP(AG395/BZ395,0))</f>
        <v>1</v>
      </c>
      <c r="AI395" s="64" t="n">
        <f aca="false">IF(CR395&gt;0,CR395*MAX(1,AG395/X395),IF(CA395=1,IF(AG395&lt;=0,0,CE395*MAX(1,IF(H395&gt;0,AG395/H395,1))),IF(R395&gt;0,AH395/R395,0))/MAX(0.1,N(Parameter!$M$21)))</f>
        <v>0.0833333333333333</v>
      </c>
      <c r="AJ395" s="62" t="n">
        <f aca="false">AI395*CC395</f>
        <v>12.0833333333333</v>
      </c>
      <c r="AK395" s="63" t="n">
        <f aca="false">IF(LEFT(Cockpit!$C$5,1)="A",H395,IF(CI395=1,(CL395+CJ395)/2,IF(LEFT(Cockpit!$C$5,1)="B",(CL395+AM395)/2,MAX((CL395+AM395)/2,H395))))</f>
        <v>9</v>
      </c>
      <c r="AL395" s="62" t="n">
        <f aca="false">AK395*G395</f>
        <v>114.66</v>
      </c>
      <c r="AM395" s="62" t="n">
        <f aca="false">ROUNDUP(CL395+MAX(CM395,2*(J395/IF(CH395&gt;0,CH395,MAX(0.1,N(Cockpit!$C$6)))-CL395)),0)</f>
        <v>10</v>
      </c>
      <c r="AN395" s="63" t="n">
        <f aca="false">IF(AJ395&gt;0,J395/AJ395,-1)</f>
        <v>0.827586206896552</v>
      </c>
      <c r="AO395" s="63" t="n">
        <f aca="false">IF(AND(OR(CG395="L1",CG395="L23",CG395="LIFT"),AJ395&gt;0),SUMIFS($AJ$7:$AJ$1843,$CG$7:$CG$1843,CG395,$AN$7:$AN$1843,"&gt;"&amp;AN395)+SUMIFS($AJ$7:$AJ$1843,$CG$7:$CG$1843,CG395,$AN$7:$AN$1843,AN395,$BX$7:$BX$1843,"&lt;="&amp;BX395),"")</f>
        <v>7966.20833333333</v>
      </c>
      <c r="AP395" s="70" t="n">
        <f aca="false">IF(AO395="",0,MAX(0,MIN(1,(IF(CG395="L1",Parameter!$H$5,IF(CG395="L23",Parameter!$H$6+Parameter!$H$7,Parameter!$H$5+Parameter!$H$6+Parameter!$H$7))-(AO395-AJ395))/AJ395)))</f>
        <v>1</v>
      </c>
      <c r="AQ395" s="62" t="n">
        <f aca="false">IF(LEFT(Cockpit!$I$5,1)="A",H395,IF(Parameter!$E$30="MAX-Bestand",IF(CI395=1,CJ395,IF(LEFT(Cockpit!$I$5,1)="B",AW395,MAX(AW395,H395))),ROUNDUP(AU395,0)))</f>
        <v>9</v>
      </c>
      <c r="AR395" s="62" t="n">
        <f aca="false">IF(CA395=1,0,ROUNDUP(AQ395/BZ395,0))</f>
        <v>1</v>
      </c>
      <c r="AS395" s="64" t="n">
        <f aca="false">IF(CR395&gt;0,CR395*MAX(1,AQ395/X395),IF(CA395=1,IF(AQ395&lt;=0,0,CE395*MAX(1,IF(H395&gt;0,AQ395/H395,1))),IF(R395&gt;0,AR395/R395,0))/MAX(0.1,N(Parameter!$M$21)))</f>
        <v>0.0833333333333333</v>
      </c>
      <c r="AT395" s="62" t="n">
        <f aca="false">AS395*CC395</f>
        <v>12.0833333333333</v>
      </c>
      <c r="AU395" s="63" t="n">
        <f aca="false">IF(LEFT(Cockpit!$I$5,1)="A",H395,IF(CI395=1,(CL395+CJ395)/2,IF(LEFT(Cockpit!$I$5,1)="B",(CL395+AW395)/2,MAX((CL395+AW395)/2,H395))))</f>
        <v>9</v>
      </c>
      <c r="AV395" s="62" t="n">
        <f aca="false">AU395*G395</f>
        <v>114.66</v>
      </c>
      <c r="AW395" s="62" t="n">
        <f aca="false">ROUNDUP(CL395+MAX(CM395,2*(J395/IF(CH395&gt;0,CH395,MAX(0.1,N(Cockpit!$I$6)))-CL395)),0)</f>
        <v>10</v>
      </c>
      <c r="AX395" s="63" t="n">
        <f aca="false">IF(AT395&gt;0,J395/AT395,-1)</f>
        <v>0.827586206896552</v>
      </c>
      <c r="AY395" s="63" t="n">
        <f aca="false">IF(AND(OR(CG395="L1",CG395="L23",CG395="LIFT"),AT395&gt;0),SUMIFS($AT$7:$AT$1843,$CG$7:$CG$1843,CG395,$AX$7:$AX$1843,"&gt;"&amp;AX395)+SUMIFS($AT$7:$AT$1843,$CG$7:$CG$1843,CG395,$AX$7:$AX$1843,AX395,$BX$7:$BX$1843,"&lt;="&amp;BX395),"")</f>
        <v>9769.94322344322</v>
      </c>
      <c r="AZ395" s="70" t="n">
        <f aca="false">IF(AY395="",0,MAX(0,MIN(1,(IF(CG395="L1",Parameter!$H$5,IF(CG395="L23",Parameter!$H$6+Parameter!$H$7,Parameter!$H$5+Parameter!$H$6+Parameter!$H$7))-(AY395-AT395))/AT395)))</f>
        <v>1</v>
      </c>
      <c r="BA395" s="62" t="n">
        <f aca="false">IF(LEFT(Cockpit!$O$5,1)="A",H395,IF(Parameter!$E$30="MAX-Bestand",IF(CI395=1,CJ395,IF(LEFT(Cockpit!$O$5,1)="B",BG395,MAX(BG395,H395))),ROUNDUP(BE395,0)))</f>
        <v>5</v>
      </c>
      <c r="BB395" s="62" t="n">
        <f aca="false">IF(CA395=1,0,ROUNDUP(BA395/BZ395,0))</f>
        <v>1</v>
      </c>
      <c r="BC395" s="64" t="n">
        <f aca="false">IF(CR395&gt;0,CR395*MAX(1,BA395/X395),IF(CA395=1,IF(BA395&lt;=0,0,CE395*MAX(1,IF(H395&gt;0,BA395/H395,1))),IF(R395&gt;0,BB395/R395,0))/MAX(0.1,N(Parameter!$M$21)))</f>
        <v>0.0833333333333333</v>
      </c>
      <c r="BD395" s="62" t="n">
        <f aca="false">BC395*CC395</f>
        <v>12.0833333333333</v>
      </c>
      <c r="BE395" s="63" t="n">
        <f aca="false">IF(LEFT(Cockpit!$O$5,1)="A",H395,IF(CI395=1,(CL395+CJ395)/2,IF(LEFT(Cockpit!$O$5,1)="B",(CL395+BG395)/2,MAX((CL395+BG395)/2,H395))))</f>
        <v>5</v>
      </c>
      <c r="BF395" s="62" t="n">
        <f aca="false">BE395*G395</f>
        <v>63.7</v>
      </c>
      <c r="BG395" s="62" t="n">
        <f aca="false">ROUNDUP(CL395+MAX(CM395,2*(J395/IF(CH395&gt;0,CH395,MAX(0.1,N(Cockpit!$O$6)))-CL395)),0)</f>
        <v>10</v>
      </c>
      <c r="BH395" s="63" t="n">
        <f aca="false">IF(BD395&gt;0,J395/BD395,-1)</f>
        <v>0.827586206896552</v>
      </c>
      <c r="BI395" s="63" t="n">
        <f aca="false">IF(AND(OR(CG395="L1",CG395="L23",CG395="LIFT"),BD395&gt;0),SUMIFS($BD$7:$BD$1843,$CG$7:$CG$1843,CG395,$BH$7:$BH$1843,"&gt;"&amp;BH395)+SUMIFS($BD$7:$BD$1843,$CG$7:$CG$1843,CG395,$BH$7:$BH$1843,BH395,$BX$7:$BX$1843,"&lt;="&amp;BX395),"")</f>
        <v>8625.18635531136</v>
      </c>
      <c r="BJ395" s="70" t="n">
        <f aca="false">IF(BI395="",0,MAX(0,MIN(1,(IF(CG395="L1",Parameter!$H$5,IF(CG395="L23",Parameter!$H$6+Parameter!$H$7,Parameter!$H$5+Parameter!$H$6+Parameter!$H$7))-(BI395-BD395))/BD395)))</f>
        <v>1</v>
      </c>
      <c r="BK395" s="60" t="str">
        <f aca="false">IF(AJ395&lt;=0,"",IF(CG395="Aussen","Aussenlager",IF(CG395="-","Nicht im Lift",IF(AP395&gt;=1,"Lift",IF(AP395&lt;=0,"Aussenlager","teilweise")))))</f>
        <v>Lift</v>
      </c>
      <c r="BL395" s="60" t="str">
        <f aca="false">IF(AT395&lt;=0,"",IF(CG395="Aussen","Aussenlager",IF(CG395="-","Nicht im Lift",IF(AZ395&gt;=1,"Lift",IF(AZ395&lt;=0,"Aussenlager","teilweise")))))</f>
        <v>Lift</v>
      </c>
      <c r="BM395" s="60" t="str">
        <f aca="false">IF(BD395&lt;=0,"",IF(CG395="Aussen","Aussenlager",IF(CG395="-","Nicht im Lift",IF(BJ395&gt;=1,"Lift",IF(BJ395&lt;=0,"Aussenlager","teilweise")))))</f>
        <v>Lift</v>
      </c>
      <c r="BN395" s="60" t="str">
        <f aca="false">IF(A395="","",IF(BW395=1,"Neu; ","")&amp;IF(AND(BW395=0,BR395&lt;0),"negativer Bestand (Export "&amp;BR395&amp;"); ","")&amp;IF(J395&lt;=0,"Kein Verbrauch; ","")&amp;IF(CR395&gt;0,"Lift "&amp;W395&amp;" lt. Liftbericht (Fach "&amp;X395&amp;" Stk); ",IF(CB395=1,"Gebinde geschätzt ("&amp;T395&amp;"); ",IF(CA395=1,"Lose – Tablare geschätzt; ","")))&amp;IF(H395&gt;AW395,"Überbestand "&amp;ROUND(H395-AW395,0)&amp;" Stk / CHF "&amp;ROUND((H395-AW395)*G395,0)&amp;"; ","")&amp;IF(AND(CI395=1,CJ395&lt;CK395),"MAX &lt; MB+LG; ","")&amp;IF(AND(CQ395&gt;0,CP395*10&gt;CQ395),"zu hoch für Tablar; ","")&amp;IF(AND(BW395=0,OR(CI395=1,AB395&lt;&gt;"",U395&lt;&gt;"",V395&lt;&gt;"",AC395&lt;&gt;"")),"manuell übersteuert; ","")&amp;IF(AND(CA395=0,R395=0),"Gebinde unbekannt / Stellmass fehlt; ","")&amp;IF(AND(CA395=0,N(V395)&lt;=0,N(Q395)&lt;=0),"Menge pro Gebinde fehlt (Ist = 1 Gebinde); ","")&amp;BV395)</f>
        <v>Gebinde geschätzt (Mittel); Menge pro Gebinde fehlt (Ist = 1 Gebinde); </v>
      </c>
      <c r="BO395" s="60"/>
      <c r="BP395" s="60"/>
      <c r="BQ395" s="67"/>
      <c r="BR395" s="62" t="n">
        <v>9</v>
      </c>
      <c r="BS395" s="62" t="n">
        <v>0</v>
      </c>
      <c r="BT395" s="61" t="n">
        <v>114.66</v>
      </c>
      <c r="BU395" s="62" t="n">
        <v>10</v>
      </c>
      <c r="BV395" s="60"/>
      <c r="BW395" s="65" t="n">
        <v>0</v>
      </c>
      <c r="BX395" s="65" t="n">
        <v>395</v>
      </c>
      <c r="BY395" s="60" t="str">
        <f aca="false">IF(U395&lt;&gt;"",UPPER(TRIM(U395)),IF(CB395=1,UPPER(VLOOKUP(T395,Parameter!$I$27:$K$29,2,0)),IF(P395="","LOSE",P395)))</f>
        <v>S61</v>
      </c>
      <c r="BZ395" s="62" t="n">
        <f aca="false">IF(BY395="LOSE",1,IF(N(V395)&gt;0,V395,IF(CB395=1,MAX(1,N(VLOOKUP(T395,Parameter!$I$27:$K$29,3,0)),H395,N(N395)),IF(N(Q395)&gt;0,Q395,MAX(1,H395)))))</f>
        <v>10</v>
      </c>
      <c r="CA395" s="65" t="n">
        <f aca="false">IF(BY395="LOSE",1,0)</f>
        <v>0</v>
      </c>
      <c r="CB395" s="65" t="n">
        <f aca="false">IF(AND(U395="",OR(P395="",P395="LOSE"),T395&lt;&gt;"",N(S395)&lt;=0,ISNUMBER(MATCH(T395,Parameter!$I$27:$I$29,0))),1,0)</f>
        <v>1</v>
      </c>
      <c r="CC395" s="65" t="n">
        <f aca="false">IF(CR395&gt;0,INDEX(Parameter!$H$5:$H$7,W395)/INDEX(Parameter!$E$5:$E$7,W395),IF(AND(CA395=0,N(IFERROR(VLOOKUP(BY395,'Gebinde-Kategorie'!$A$5:$N$45,14,0),0))&gt;0),VLOOKUP(BY395,'Gebinde-Kategorie'!$A$5:$N$45,14,0)*10+Parameter!$M$23,Parameter!$M$24))</f>
        <v>145</v>
      </c>
      <c r="CD395" s="60" t="str">
        <f aca="false">IF(AND(Parameter!$B$19="Ja",E395&lt;&gt;"",ISNUMBER(MATCH(E395,Parameter!$I$35:$I$52,0))),VLOOKUP(E395,Parameter!$I$35:$J$52,2,0),IFERROR(VLOOKUP(D395,Parameter!$A$35:$C$64,2,0),"Nein"))</f>
        <v>2+3</v>
      </c>
      <c r="CE395" s="64" t="n">
        <f aca="false">IF(CA395=0,0,IF(N(S395)&gt;0,S395,IFERROR(VLOOKUP(D395,Parameter!$A$35:$C$64,3,0)+0,0)))</f>
        <v>0</v>
      </c>
      <c r="CF395" s="60" t="n">
        <f aca="false">IF(AB395&lt;&gt;"",AB395,AA395)</f>
        <v>3</v>
      </c>
      <c r="CG395" s="60" t="str">
        <f aca="false">IF(OR(CF395=1,CF395=2,CF395=3),IF(Parameter!$E$27="Ja","LIFT",IF(CF395=1,"L1","L23")),IF(CF395="Aussen","Aussen","-"))</f>
        <v>LIFT</v>
      </c>
      <c r="CH395" s="71" t="n">
        <f aca="false">IF(N(AC395)&gt;0,AC395,0)</f>
        <v>0</v>
      </c>
      <c r="CI395" s="65" t="n">
        <f aca="false">IF(ISNUMBER(AF395),1,0)</f>
        <v>0</v>
      </c>
      <c r="CJ395" s="62" t="n">
        <f aca="false">N(AF395)</f>
        <v>0</v>
      </c>
      <c r="CK395" s="62" t="n">
        <f aca="false">N(M395)+N(N395)</f>
        <v>10</v>
      </c>
      <c r="CL395" s="62" t="n">
        <f aca="false">N(M395)</f>
        <v>0</v>
      </c>
      <c r="CM395" s="62" t="n">
        <f aca="false">N(N395)</f>
        <v>10</v>
      </c>
      <c r="CN395" s="62" t="n">
        <f aca="false">ROUNDUP(H395/BZ395,0)</f>
        <v>1</v>
      </c>
      <c r="CO395" s="62" t="n">
        <f aca="false">ROUNDUP(CJ395/BZ395,0)</f>
        <v>0</v>
      </c>
      <c r="CP395" s="65" t="n">
        <f aca="false">IF(CA395=1,0,IFERROR(VLOOKUP(BY395,'Gebinde-Kategorie'!$A$5:$N$45,5,0)+0,0))</f>
        <v>11</v>
      </c>
      <c r="CQ395" s="65" t="n">
        <f aca="false">IFERROR(IF(OR(CF395=1,CF395=2,CF395=3),N(INDEX(Parameter!$I$5:$I$7,CF395)),0),0)</f>
        <v>0</v>
      </c>
      <c r="CR395" s="64" t="n">
        <f aca="false">IF(AND(Parameter!$B$21="Ja",ISNUMBER(W395),N(X395)&gt;0),IFERROR(N(INDEX(Parameter!$L$5:$L$7,W395))*INDEX(Parameter!$E$5:$E$7,W395)*X395/SUMIFS($X$7:$X$1843,$W$7:$W$1843,W395),0),0)</f>
        <v>0</v>
      </c>
      <c r="CS395" s="62" t="n">
        <f aca="false">IF(AND(OR(CG395="L1",CG395="L23",CG395="LIFT"),H395&gt;0),CC395*IF(CR395&gt;0,CR395*MAX(1,H395/X395),IF(CA395=1,CE395,IF(R395&gt;0,CN395/R395,0))/MAX(0.1,N(Parameter!$M$21))),"")</f>
        <v>12.0833333333333</v>
      </c>
      <c r="CT395" s="64" t="n">
        <f aca="false">IF(CS395="","",J395/H395)</f>
        <v>1.11111111111111</v>
      </c>
      <c r="CU395" s="62" t="n">
        <f aca="false">IF(CS395="","",H395*G395)</f>
        <v>114.66</v>
      </c>
      <c r="CV395" s="63" t="n">
        <f aca="false">IF(CS395="","",(CL395+ROUNDUP(CL395+MAX(CM395,2*(J395/MAX(0.1,N(Einkauf!$C$6))-CL395)),0))/2)</f>
        <v>5</v>
      </c>
      <c r="CW395" s="62" t="n">
        <f aca="false">IF(CS395="","",MAX(0,H395-CV395)*G395)</f>
        <v>50.96</v>
      </c>
      <c r="CX395" s="62" t="n">
        <f aca="false">IF(CS395="","",CS395*MAX(0,1-CV395/H395))</f>
        <v>5.37037037037037</v>
      </c>
      <c r="CY395" s="64" t="n">
        <f aca="false">IF(CS395="","",PERCENTRANK($CS$7:$CS$1843,CS395)+PERCENTRANK($CU$7:$CU$1843,CU395)+1-PERCENTRANK($CT$7:$CT$1843,CT395))</f>
        <v>1.22</v>
      </c>
      <c r="CZ395" s="72" t="n">
        <f aca="false">IF(CS395="","",CHOOSE(MATCH(Einkauf!$C$5,Parameter!$G$23:$G$27,0),CY395,CS395,CU395,-CT395,CW395)+ROW()/1000000000)</f>
        <v>1.220000395</v>
      </c>
    </row>
    <row r="396" customFormat="false" ht="15" hidden="false" customHeight="false" outlineLevel="0" collapsed="false">
      <c r="A396" s="60" t="s">
        <v>972</v>
      </c>
      <c r="B396" s="60" t="s">
        <v>631</v>
      </c>
      <c r="C396" s="60" t="s">
        <v>206</v>
      </c>
      <c r="D396" s="60" t="s">
        <v>226</v>
      </c>
      <c r="E396" s="60" t="s">
        <v>227</v>
      </c>
      <c r="F396" s="60" t="s">
        <v>260</v>
      </c>
      <c r="G396" s="61" t="n">
        <v>18.24</v>
      </c>
      <c r="H396" s="62" t="n">
        <f aca="false">MAX(0,IF(AND(Parameter!$B$21="Ja",ISNUMBER(Y396)),Y396,IF(Parameter!$B$20="Jahresanfang 2025 + Export",BS396+BR396,BR396)))</f>
        <v>56</v>
      </c>
      <c r="I396" s="62" t="n">
        <f aca="false">H396*G396</f>
        <v>1021.44</v>
      </c>
      <c r="J396" s="62" t="n">
        <f aca="false">BU396*Parameter!$B$18</f>
        <v>40</v>
      </c>
      <c r="K396" s="63" t="n">
        <v>39</v>
      </c>
      <c r="L396" s="64" t="n">
        <v>1.02564102564103</v>
      </c>
      <c r="M396" s="62" t="n">
        <v>3</v>
      </c>
      <c r="N396" s="62" t="n">
        <v>40</v>
      </c>
      <c r="O396" s="65" t="n">
        <v>35</v>
      </c>
      <c r="P396" s="60" t="s">
        <v>443</v>
      </c>
      <c r="Q396" s="62" t="n">
        <v>52</v>
      </c>
      <c r="R396" s="65" t="n">
        <f aca="false">IF(CA396=1,0,IFERROR(VLOOKUP(BY396,'Gebinde-Kategorie'!$A$5:$N$45,13,0)+0,0))</f>
        <v>280</v>
      </c>
      <c r="S396" s="66"/>
      <c r="T396" s="67"/>
      <c r="U396" s="67"/>
      <c r="V396" s="67"/>
      <c r="W396" s="60"/>
      <c r="X396" s="62"/>
      <c r="Y396" s="62"/>
      <c r="Z396" s="60" t="n">
        <v>1</v>
      </c>
      <c r="AA396" s="60" t="n">
        <f aca="false">IF(A396="","",IF(AND(Parameter!$B$21="Ja",ISNUMBER(W396)),W396,IF(AND(Parameter!$E$27="Ja",ISNUMBER(Z396),CD396&lt;&gt;"Nein"),Z396,IF(CD396="2+3",IF(ISNUMBER(SEARCH("grosser Artikel",BV396)),2,IFERROR(VLOOKUP(BY396,Parameter!$F$35:$G$64,2,0),2)),IF(OR(CD396="Nein",CD396=""),"-",CD396)))))</f>
        <v>1</v>
      </c>
      <c r="AB396" s="67"/>
      <c r="AC396" s="68"/>
      <c r="AD396" s="62" t="n">
        <f aca="false">AW396</f>
        <v>43</v>
      </c>
      <c r="AE396" s="62" t="n">
        <f aca="false">MAX(AW396,H396)</f>
        <v>56</v>
      </c>
      <c r="AF396" s="69"/>
      <c r="AG396" s="62" t="n">
        <f aca="false">IF(LEFT(Cockpit!$C$5,1)="A",H396,IF(Parameter!$E$30="MAX-Bestand",IF(CI396=1,CJ396,IF(LEFT(Cockpit!$C$5,1)="B",AM396,MAX(AM396,H396))),ROUNDUP(AK396,0)))</f>
        <v>56</v>
      </c>
      <c r="AH396" s="62" t="n">
        <f aca="false">IF(CA396=1,0,ROUNDUP(AG396/BZ396,0))</f>
        <v>2</v>
      </c>
      <c r="AI396" s="64" t="n">
        <f aca="false">IF(CR396&gt;0,CR396*MAX(1,AG396/X396),IF(CA396=1,IF(AG396&lt;=0,0,CE396*MAX(1,IF(H396&gt;0,AG396/H396,1))),IF(R396&gt;0,AH396/R396,0))/MAX(0.1,N(Parameter!$M$21)))</f>
        <v>0.00714285714285714</v>
      </c>
      <c r="AJ396" s="62" t="n">
        <f aca="false">AI396*CC396</f>
        <v>1.10714285714286</v>
      </c>
      <c r="AK396" s="63" t="n">
        <f aca="false">IF(LEFT(Cockpit!$C$5,1)="A",H396,IF(CI396=1,(CL396+CJ396)/2,IF(LEFT(Cockpit!$C$5,1)="B",(CL396+AM396)/2,MAX((CL396+AM396)/2,H396))))</f>
        <v>56</v>
      </c>
      <c r="AL396" s="62" t="n">
        <f aca="false">AK396*G396</f>
        <v>1021.44</v>
      </c>
      <c r="AM396" s="62" t="n">
        <f aca="false">ROUNDUP(CL396+MAX(CM396,2*(J396/IF(CH396&gt;0,CH396,MAX(0.1,N(Cockpit!$C$6)))-CL396)),0)</f>
        <v>43</v>
      </c>
      <c r="AN396" s="63" t="n">
        <f aca="false">IF(AJ396&gt;0,J396/AJ396,-1)</f>
        <v>36.1290322580645</v>
      </c>
      <c r="AO396" s="63" t="n">
        <f aca="false">IF(AND(OR(CG396="L1",CG396="L23",CG396="LIFT"),AJ396&gt;0),SUMIFS($AJ$7:$AJ$1843,$CG$7:$CG$1843,CG396,$AN$7:$AN$1843,"&gt;"&amp;AN396)+SUMIFS($AJ$7:$AJ$1843,$CG$7:$CG$1843,CG396,$AN$7:$AN$1843,AN396,$BX$7:$BX$1843,"&lt;="&amp;BX396),"")</f>
        <v>1283.29945054945</v>
      </c>
      <c r="AP396" s="70" t="n">
        <f aca="false">IF(AO396="",0,MAX(0,MIN(1,(IF(CG396="L1",Parameter!$H$5,IF(CG396="L23",Parameter!$H$6+Parameter!$H$7,Parameter!$H$5+Parameter!$H$6+Parameter!$H$7))-(AO396-AJ396))/AJ396)))</f>
        <v>1</v>
      </c>
      <c r="AQ396" s="62" t="n">
        <f aca="false">IF(LEFT(Cockpit!$I$5,1)="A",H396,IF(Parameter!$E$30="MAX-Bestand",IF(CI396=1,CJ396,IF(LEFT(Cockpit!$I$5,1)="B",AW396,MAX(AW396,H396))),ROUNDUP(AU396,0)))</f>
        <v>56</v>
      </c>
      <c r="AR396" s="62" t="n">
        <f aca="false">IF(CA396=1,0,ROUNDUP(AQ396/BZ396,0))</f>
        <v>2</v>
      </c>
      <c r="AS396" s="64" t="n">
        <f aca="false">IF(CR396&gt;0,CR396*MAX(1,AQ396/X396),IF(CA396=1,IF(AQ396&lt;=0,0,CE396*MAX(1,IF(H396&gt;0,AQ396/H396,1))),IF(R396&gt;0,AR396/R396,0))/MAX(0.1,N(Parameter!$M$21)))</f>
        <v>0.00714285714285714</v>
      </c>
      <c r="AT396" s="62" t="n">
        <f aca="false">AS396*CC396</f>
        <v>1.10714285714286</v>
      </c>
      <c r="AU396" s="63" t="n">
        <f aca="false">IF(LEFT(Cockpit!$I$5,1)="A",H396,IF(CI396=1,(CL396+CJ396)/2,IF(LEFT(Cockpit!$I$5,1)="B",(CL396+AW396)/2,MAX((CL396+AW396)/2,H396))))</f>
        <v>56</v>
      </c>
      <c r="AV396" s="62" t="n">
        <f aca="false">AU396*G396</f>
        <v>1021.44</v>
      </c>
      <c r="AW396" s="62" t="n">
        <f aca="false">ROUNDUP(CL396+MAX(CM396,2*(J396/IF(CH396&gt;0,CH396,MAX(0.1,N(Cockpit!$I$6)))-CL396)),0)</f>
        <v>43</v>
      </c>
      <c r="AX396" s="63" t="n">
        <f aca="false">IF(AT396&gt;0,J396/AT396,-1)</f>
        <v>36.1290322580645</v>
      </c>
      <c r="AY396" s="63" t="n">
        <f aca="false">IF(AND(OR(CG396="L1",CG396="L23",CG396="LIFT"),AT396&gt;0),SUMIFS($AT$7:$AT$1843,$CG$7:$CG$1843,CG396,$AX$7:$AX$1843,"&gt;"&amp;AX396)+SUMIFS($AT$7:$AT$1843,$CG$7:$CG$1843,CG396,$AX$7:$AX$1843,AX396,$BX$7:$BX$1843,"&lt;="&amp;BX396),"")</f>
        <v>1601.85119047619</v>
      </c>
      <c r="AZ396" s="70" t="n">
        <f aca="false">IF(AY396="",0,MAX(0,MIN(1,(IF(CG396="L1",Parameter!$H$5,IF(CG396="L23",Parameter!$H$6+Parameter!$H$7,Parameter!$H$5+Parameter!$H$6+Parameter!$H$7))-(AY396-AT396))/AT396)))</f>
        <v>1</v>
      </c>
      <c r="BA396" s="62" t="n">
        <f aca="false">IF(LEFT(Cockpit!$O$5,1)="A",H396,IF(Parameter!$E$30="MAX-Bestand",IF(CI396=1,CJ396,IF(LEFT(Cockpit!$O$5,1)="B",BG396,MAX(BG396,H396))),ROUNDUP(BE396,0)))</f>
        <v>23</v>
      </c>
      <c r="BB396" s="62" t="n">
        <f aca="false">IF(CA396=1,0,ROUNDUP(BA396/BZ396,0))</f>
        <v>1</v>
      </c>
      <c r="BC396" s="64" t="n">
        <f aca="false">IF(CR396&gt;0,CR396*MAX(1,BA396/X396),IF(CA396=1,IF(BA396&lt;=0,0,CE396*MAX(1,IF(H396&gt;0,BA396/H396,1))),IF(R396&gt;0,BB396/R396,0))/MAX(0.1,N(Parameter!$M$21)))</f>
        <v>0.00357142857142857</v>
      </c>
      <c r="BD396" s="62" t="n">
        <f aca="false">BC396*CC396</f>
        <v>0.553571428571429</v>
      </c>
      <c r="BE396" s="63" t="n">
        <f aca="false">IF(LEFT(Cockpit!$O$5,1)="A",H396,IF(CI396=1,(CL396+CJ396)/2,IF(LEFT(Cockpit!$O$5,1)="B",(CL396+BG396)/2,MAX((CL396+BG396)/2,H396))))</f>
        <v>23</v>
      </c>
      <c r="BF396" s="62" t="n">
        <f aca="false">BE396*G396</f>
        <v>419.52</v>
      </c>
      <c r="BG396" s="62" t="n">
        <f aca="false">ROUNDUP(CL396+MAX(CM396,2*(J396/IF(CH396&gt;0,CH396,MAX(0.1,N(Cockpit!$O$6)))-CL396)),0)</f>
        <v>43</v>
      </c>
      <c r="BH396" s="63" t="n">
        <f aca="false">IF(BD396&gt;0,J396/BD396,-1)</f>
        <v>72.258064516129</v>
      </c>
      <c r="BI396" s="63" t="n">
        <f aca="false">IF(AND(OR(CG396="L1",CG396="L23",CG396="LIFT"),BD396&gt;0),SUMIFS($BD$7:$BD$1843,$CG$7:$CG$1843,CG396,$BH$7:$BH$1843,"&gt;"&amp;BH396)+SUMIFS($BD$7:$BD$1843,$CG$7:$CG$1843,CG396,$BH$7:$BH$1843,BH396,$BX$7:$BX$1843,"&lt;="&amp;BX396),"")</f>
        <v>1009.92673992674</v>
      </c>
      <c r="BJ396" s="70" t="n">
        <f aca="false">IF(BI396="",0,MAX(0,MIN(1,(IF(CG396="L1",Parameter!$H$5,IF(CG396="L23",Parameter!$H$6+Parameter!$H$7,Parameter!$H$5+Parameter!$H$6+Parameter!$H$7))-(BI396-BD396))/BD396)))</f>
        <v>1</v>
      </c>
      <c r="BK396" s="60" t="str">
        <f aca="false">IF(AJ396&lt;=0,"",IF(CG396="Aussen","Aussenlager",IF(CG396="-","Nicht im Lift",IF(AP396&gt;=1,"Lift",IF(AP396&lt;=0,"Aussenlager","teilweise")))))</f>
        <v>Lift</v>
      </c>
      <c r="BL396" s="60" t="str">
        <f aca="false">IF(AT396&lt;=0,"",IF(CG396="Aussen","Aussenlager",IF(CG396="-","Nicht im Lift",IF(AZ396&gt;=1,"Lift",IF(AZ396&lt;=0,"Aussenlager","teilweise")))))</f>
        <v>Lift</v>
      </c>
      <c r="BM396" s="60" t="str">
        <f aca="false">IF(BD396&lt;=0,"",IF(CG396="Aussen","Aussenlager",IF(CG396="-","Nicht im Lift",IF(BJ396&gt;=1,"Lift",IF(BJ396&lt;=0,"Aussenlager","teilweise")))))</f>
        <v>Lift</v>
      </c>
      <c r="BN396" s="60" t="str">
        <f aca="false">IF(A396="","",IF(BW396=1,"Neu; ","")&amp;IF(AND(BW396=0,BR396&lt;0),"negativer Bestand (Export "&amp;BR396&amp;"); ","")&amp;IF(J396&lt;=0,"Kein Verbrauch; ","")&amp;IF(CR396&gt;0,"Lift "&amp;W396&amp;" lt. Liftbericht (Fach "&amp;X396&amp;" Stk); ",IF(CB396=1,"Gebinde geschätzt ("&amp;T396&amp;"); ",IF(CA396=1,"Lose – Tablare geschätzt; ","")))&amp;IF(H396&gt;AW396,"Überbestand "&amp;ROUND(H396-AW396,0)&amp;" Stk / CHF "&amp;ROUND((H396-AW396)*G396,0)&amp;"; ","")&amp;IF(AND(CI396=1,CJ396&lt;CK396),"MAX &lt; MB+LG; ","")&amp;IF(AND(CQ396&gt;0,CP396*10&gt;CQ396),"zu hoch für Tablar; ","")&amp;IF(AND(BW396=0,OR(CI396=1,AB396&lt;&gt;"",U396&lt;&gt;"",V396&lt;&gt;"",AC396&lt;&gt;"")),"manuell übersteuert; ","")&amp;IF(AND(CA396=0,R396=0),"Gebinde unbekannt / Stellmass fehlt; ","")&amp;IF(AND(CA396=0,N(V396)&lt;=0,N(Q396)&lt;=0),"Menge pro Gebinde fehlt (Ist = 1 Gebinde); ","")&amp;BV396)</f>
        <v>Überbestand 13 Stk / CHF 237; </v>
      </c>
      <c r="BO396" s="60"/>
      <c r="BP396" s="60"/>
      <c r="BQ396" s="67"/>
      <c r="BR396" s="62" t="n">
        <v>4</v>
      </c>
      <c r="BS396" s="62" t="n">
        <v>52</v>
      </c>
      <c r="BT396" s="61" t="n">
        <v>114.04</v>
      </c>
      <c r="BU396" s="62" t="n">
        <v>40</v>
      </c>
      <c r="BV396" s="60"/>
      <c r="BW396" s="65" t="n">
        <v>0</v>
      </c>
      <c r="BX396" s="65" t="n">
        <v>396</v>
      </c>
      <c r="BY396" s="60" t="str">
        <f aca="false">IF(U396&lt;&gt;"",UPPER(TRIM(U396)),IF(CB396=1,UPPER(VLOOKUP(T396,Parameter!$I$27:$K$29,2,0)),IF(P396="","LOSE",P396)))</f>
        <v>S21</v>
      </c>
      <c r="BZ396" s="62" t="n">
        <f aca="false">IF(BY396="LOSE",1,IF(N(V396)&gt;0,V396,IF(CB396=1,MAX(1,N(VLOOKUP(T396,Parameter!$I$27:$K$29,3,0)),H396,N(N396)),IF(N(Q396)&gt;0,Q396,MAX(1,H396)))))</f>
        <v>52</v>
      </c>
      <c r="CA396" s="65" t="n">
        <f aca="false">IF(BY396="LOSE",1,0)</f>
        <v>0</v>
      </c>
      <c r="CB396" s="65" t="n">
        <f aca="false">IF(AND(U396="",OR(P396="",P396="LOSE"),T396&lt;&gt;"",N(S396)&lt;=0,ISNUMBER(MATCH(T396,Parameter!$I$27:$I$29,0))),1,0)</f>
        <v>0</v>
      </c>
      <c r="CC396" s="65" t="n">
        <f aca="false">IF(CR396&gt;0,INDEX(Parameter!$H$5:$H$7,W396)/INDEX(Parameter!$E$5:$E$7,W396),IF(AND(CA396=0,N(IFERROR(VLOOKUP(BY396,'Gebinde-Kategorie'!$A$5:$N$45,14,0),0))&gt;0),VLOOKUP(BY396,'Gebinde-Kategorie'!$A$5:$N$45,14,0)*10+Parameter!$M$23,Parameter!$M$24))</f>
        <v>155</v>
      </c>
      <c r="CD396" s="60" t="str">
        <f aca="false">IF(AND(Parameter!$B$19="Ja",E396&lt;&gt;"",ISNUMBER(MATCH(E396,Parameter!$I$35:$I$52,0))),VLOOKUP(E396,Parameter!$I$35:$J$52,2,0),IFERROR(VLOOKUP(D396,Parameter!$A$35:$C$64,2,0),"Nein"))</f>
        <v>2+3</v>
      </c>
      <c r="CE396" s="64" t="n">
        <f aca="false">IF(CA396=0,0,IF(N(S396)&gt;0,S396,IFERROR(VLOOKUP(D396,Parameter!$A$35:$C$64,3,0)+0,0)))</f>
        <v>0</v>
      </c>
      <c r="CF396" s="60" t="n">
        <f aca="false">IF(AB396&lt;&gt;"",AB396,AA396)</f>
        <v>1</v>
      </c>
      <c r="CG396" s="60" t="str">
        <f aca="false">IF(OR(CF396=1,CF396=2,CF396=3),IF(Parameter!$E$27="Ja","LIFT",IF(CF396=1,"L1","L23")),IF(CF396="Aussen","Aussen","-"))</f>
        <v>LIFT</v>
      </c>
      <c r="CH396" s="71" t="n">
        <f aca="false">IF(N(AC396)&gt;0,AC396,0)</f>
        <v>0</v>
      </c>
      <c r="CI396" s="65" t="n">
        <f aca="false">IF(ISNUMBER(AF396),1,0)</f>
        <v>0</v>
      </c>
      <c r="CJ396" s="62" t="n">
        <f aca="false">N(AF396)</f>
        <v>0</v>
      </c>
      <c r="CK396" s="62" t="n">
        <f aca="false">N(M396)+N(N396)</f>
        <v>43</v>
      </c>
      <c r="CL396" s="62" t="n">
        <f aca="false">N(M396)</f>
        <v>3</v>
      </c>
      <c r="CM396" s="62" t="n">
        <f aca="false">N(N396)</f>
        <v>40</v>
      </c>
      <c r="CN396" s="62" t="n">
        <f aca="false">ROUNDUP(H396/BZ396,0)</f>
        <v>2</v>
      </c>
      <c r="CO396" s="62" t="n">
        <f aca="false">ROUNDUP(CJ396/BZ396,0)</f>
        <v>0</v>
      </c>
      <c r="CP396" s="65" t="n">
        <f aca="false">IF(CA396=1,0,IFERROR(VLOOKUP(BY396,'Gebinde-Kategorie'!$A$5:$N$45,5,0)+0,0))</f>
        <v>8</v>
      </c>
      <c r="CQ396" s="65" t="n">
        <f aca="false">IFERROR(IF(OR(CF396=1,CF396=2,CF396=3),N(INDEX(Parameter!$I$5:$I$7,CF396)),0),0)</f>
        <v>0</v>
      </c>
      <c r="CR396" s="64" t="n">
        <f aca="false">IF(AND(Parameter!$B$21="Ja",ISNUMBER(W396),N(X396)&gt;0),IFERROR(N(INDEX(Parameter!$L$5:$L$7,W396))*INDEX(Parameter!$E$5:$E$7,W396)*X396/SUMIFS($X$7:$X$1843,$W$7:$W$1843,W396),0),0)</f>
        <v>0</v>
      </c>
      <c r="CS396" s="62" t="n">
        <f aca="false">IF(AND(OR(CG396="L1",CG396="L23",CG396="LIFT"),H396&gt;0),CC396*IF(CR396&gt;0,CR396*MAX(1,H396/X396),IF(CA396=1,CE396,IF(R396&gt;0,CN396/R396,0))/MAX(0.1,N(Parameter!$M$21))),"")</f>
        <v>1.10714285714286</v>
      </c>
      <c r="CT396" s="64" t="n">
        <f aca="false">IF(CS396="","",J396/H396)</f>
        <v>0.714285714285714</v>
      </c>
      <c r="CU396" s="62" t="n">
        <f aca="false">IF(CS396="","",H396*G396)</f>
        <v>1021.44</v>
      </c>
      <c r="CV396" s="63" t="n">
        <f aca="false">IF(CS396="","",(CL396+ROUNDUP(CL396+MAX(CM396,2*(J396/MAX(0.1,N(Einkauf!$C$6))-CL396)),0))/2)</f>
        <v>23</v>
      </c>
      <c r="CW396" s="62" t="n">
        <f aca="false">IF(CS396="","",MAX(0,H396-CV396)*G396)</f>
        <v>601.92</v>
      </c>
      <c r="CX396" s="62" t="n">
        <f aca="false">IF(CS396="","",CS396*MAX(0,1-CV396/H396))</f>
        <v>0.652423469387755</v>
      </c>
      <c r="CY396" s="64" t="n">
        <f aca="false">IF(CS396="","",PERCENTRANK($CS$7:$CS$1843,CS396)+PERCENTRANK($CU$7:$CU$1843,CU396)+1-PERCENTRANK($CT$7:$CT$1843,CT396))</f>
        <v>1.1164</v>
      </c>
      <c r="CZ396" s="72" t="n">
        <f aca="false">IF(CS396="","",CHOOSE(MATCH(Einkauf!$C$5,Parameter!$G$23:$G$27,0),CY396,CS396,CU396,-CT396,CW396)+ROW()/1000000000)</f>
        <v>1.116400396</v>
      </c>
    </row>
    <row r="397" customFormat="false" ht="15" hidden="false" customHeight="false" outlineLevel="0" collapsed="false">
      <c r="A397" s="60" t="s">
        <v>973</v>
      </c>
      <c r="B397" s="60" t="s">
        <v>449</v>
      </c>
      <c r="C397" s="60" t="s">
        <v>206</v>
      </c>
      <c r="D397" s="60" t="s">
        <v>226</v>
      </c>
      <c r="E397" s="60" t="s">
        <v>227</v>
      </c>
      <c r="F397" s="60" t="s">
        <v>260</v>
      </c>
      <c r="G397" s="61" t="n">
        <v>0.15</v>
      </c>
      <c r="H397" s="62" t="n">
        <f aca="false">MAX(0,IF(AND(Parameter!$B$21="Ja",ISNUMBER(Y397)),Y397,IF(Parameter!$B$20="Jahresanfang 2025 + Export",BS397+BR397,BR397)))</f>
        <v>1403</v>
      </c>
      <c r="I397" s="62" t="n">
        <f aca="false">H397*G397</f>
        <v>210.45</v>
      </c>
      <c r="J397" s="62" t="n">
        <f aca="false">BU397*Parameter!$B$18</f>
        <v>2706</v>
      </c>
      <c r="K397" s="63" t="n">
        <v>656</v>
      </c>
      <c r="L397" s="64" t="n">
        <v>4.125</v>
      </c>
      <c r="M397" s="62" t="n">
        <v>157</v>
      </c>
      <c r="N397" s="62" t="n">
        <v>1000</v>
      </c>
      <c r="O397" s="65" t="n">
        <v>21</v>
      </c>
      <c r="P397" s="60" t="s">
        <v>463</v>
      </c>
      <c r="Q397" s="62" t="n">
        <v>783</v>
      </c>
      <c r="R397" s="65" t="n">
        <f aca="false">IF(CA397=1,0,IFERROR(VLOOKUP(BY397,'Gebinde-Kategorie'!$A$5:$N$45,13,0)+0,0))</f>
        <v>104</v>
      </c>
      <c r="S397" s="66"/>
      <c r="T397" s="67"/>
      <c r="U397" s="67"/>
      <c r="V397" s="67"/>
      <c r="W397" s="60"/>
      <c r="X397" s="62"/>
      <c r="Y397" s="62"/>
      <c r="Z397" s="60" t="n">
        <v>3</v>
      </c>
      <c r="AA397" s="60" t="n">
        <f aca="false">IF(A397="","",IF(AND(Parameter!$B$21="Ja",ISNUMBER(W397)),W397,IF(AND(Parameter!$E$27="Ja",ISNUMBER(Z397),CD397&lt;&gt;"Nein"),Z397,IF(CD397="2+3",IF(ISNUMBER(SEARCH("grosser Artikel",BV397)),2,IFERROR(VLOOKUP(BY397,Parameter!$F$35:$G$64,2,0),2)),IF(OR(CD397="Nein",CD397=""),"-",CD397)))))</f>
        <v>3</v>
      </c>
      <c r="AB397" s="67"/>
      <c r="AC397" s="68"/>
      <c r="AD397" s="62" t="n">
        <f aca="false">AW397</f>
        <v>1647</v>
      </c>
      <c r="AE397" s="62" t="n">
        <f aca="false">MAX(AW397,H397)</f>
        <v>1647</v>
      </c>
      <c r="AF397" s="69"/>
      <c r="AG397" s="62" t="n">
        <f aca="false">IF(LEFT(Cockpit!$C$5,1)="A",H397,IF(Parameter!$E$30="MAX-Bestand",IF(CI397=1,CJ397,IF(LEFT(Cockpit!$C$5,1)="B",AM397,MAX(AM397,H397))),ROUNDUP(AK397,0)))</f>
        <v>1403</v>
      </c>
      <c r="AH397" s="62" t="n">
        <f aca="false">IF(CA397=1,0,ROUNDUP(AG397/BZ397,0))</f>
        <v>2</v>
      </c>
      <c r="AI397" s="64" t="n">
        <f aca="false">IF(CR397&gt;0,CR397*MAX(1,AG397/X397),IF(CA397=1,IF(AG397&lt;=0,0,CE397*MAX(1,IF(H397&gt;0,AG397/H397,1))),IF(R397&gt;0,AH397/R397,0))/MAX(0.1,N(Parameter!$M$21)))</f>
        <v>0.0192307692307692</v>
      </c>
      <c r="AJ397" s="62" t="n">
        <f aca="false">AI397*CC397</f>
        <v>2.98076923076923</v>
      </c>
      <c r="AK397" s="63" t="n">
        <f aca="false">IF(LEFT(Cockpit!$C$5,1)="A",H397,IF(CI397=1,(CL397+CJ397)/2,IF(LEFT(Cockpit!$C$5,1)="B",(CL397+AM397)/2,MAX((CL397+AM397)/2,H397))))</f>
        <v>1403</v>
      </c>
      <c r="AL397" s="62" t="n">
        <f aca="false">AK397*G397</f>
        <v>210.45</v>
      </c>
      <c r="AM397" s="62" t="n">
        <f aca="false">ROUNDUP(CL397+MAX(CM397,2*(J397/IF(CH397&gt;0,CH397,MAX(0.1,N(Cockpit!$C$6)))-CL397)),0)</f>
        <v>1647</v>
      </c>
      <c r="AN397" s="63" t="n">
        <f aca="false">IF(AJ397&gt;0,J397/AJ397,-1)</f>
        <v>907.81935483871</v>
      </c>
      <c r="AO397" s="63" t="n">
        <f aca="false">IF(AND(OR(CG397="L1",CG397="L23",CG397="LIFT"),AJ397&gt;0),SUMIFS($AJ$7:$AJ$1843,$CG$7:$CG$1843,CG397,$AN$7:$AN$1843,"&gt;"&amp;AN397)+SUMIFS($AJ$7:$AJ$1843,$CG$7:$CG$1843,CG397,$AN$7:$AN$1843,AN397,$BX$7:$BX$1843,"&lt;="&amp;BX397),"")</f>
        <v>18.9917582417582</v>
      </c>
      <c r="AP397" s="70" t="n">
        <f aca="false">IF(AO397="",0,MAX(0,MIN(1,(IF(CG397="L1",Parameter!$H$5,IF(CG397="L23",Parameter!$H$6+Parameter!$H$7,Parameter!$H$5+Parameter!$H$6+Parameter!$H$7))-(AO397-AJ397))/AJ397)))</f>
        <v>1</v>
      </c>
      <c r="AQ397" s="62" t="n">
        <f aca="false">IF(LEFT(Cockpit!$I$5,1)="A",H397,IF(Parameter!$E$30="MAX-Bestand",IF(CI397=1,CJ397,IF(LEFT(Cockpit!$I$5,1)="B",AW397,MAX(AW397,H397))),ROUNDUP(AU397,0)))</f>
        <v>1403</v>
      </c>
      <c r="AR397" s="62" t="n">
        <f aca="false">IF(CA397=1,0,ROUNDUP(AQ397/BZ397,0))</f>
        <v>2</v>
      </c>
      <c r="AS397" s="64" t="n">
        <f aca="false">IF(CR397&gt;0,CR397*MAX(1,AQ397/X397),IF(CA397=1,IF(AQ397&lt;=0,0,CE397*MAX(1,IF(H397&gt;0,AQ397/H397,1))),IF(R397&gt;0,AR397/R397,0))/MAX(0.1,N(Parameter!$M$21)))</f>
        <v>0.0192307692307692</v>
      </c>
      <c r="AT397" s="62" t="n">
        <f aca="false">AS397*CC397</f>
        <v>2.98076923076923</v>
      </c>
      <c r="AU397" s="63" t="n">
        <f aca="false">IF(LEFT(Cockpit!$I$5,1)="A",H397,IF(CI397=1,(CL397+CJ397)/2,IF(LEFT(Cockpit!$I$5,1)="B",(CL397+AW397)/2,MAX((CL397+AW397)/2,H397))))</f>
        <v>1403</v>
      </c>
      <c r="AV397" s="62" t="n">
        <f aca="false">AU397*G397</f>
        <v>210.45</v>
      </c>
      <c r="AW397" s="62" t="n">
        <f aca="false">ROUNDUP(CL397+MAX(CM397,2*(J397/IF(CH397&gt;0,CH397,MAX(0.1,N(Cockpit!$I$6)))-CL397)),0)</f>
        <v>1647</v>
      </c>
      <c r="AX397" s="63" t="n">
        <f aca="false">IF(AT397&gt;0,J397/AT397,-1)</f>
        <v>907.81935483871</v>
      </c>
      <c r="AY397" s="63" t="n">
        <f aca="false">IF(AND(OR(CG397="L1",CG397="L23",CG397="LIFT"),AT397&gt;0),SUMIFS($AT$7:$AT$1843,$CG$7:$CG$1843,CG397,$AX$7:$AX$1843,"&gt;"&amp;AX397)+SUMIFS($AT$7:$AT$1843,$CG$7:$CG$1843,CG397,$AX$7:$AX$1843,AX397,$BX$7:$BX$1843,"&lt;="&amp;BX397),"")</f>
        <v>9.49587912087912</v>
      </c>
      <c r="AZ397" s="70" t="n">
        <f aca="false">IF(AY397="",0,MAX(0,MIN(1,(IF(CG397="L1",Parameter!$H$5,IF(CG397="L23",Parameter!$H$6+Parameter!$H$7,Parameter!$H$5+Parameter!$H$6+Parameter!$H$7))-(AY397-AT397))/AT397)))</f>
        <v>1</v>
      </c>
      <c r="BA397" s="62" t="n">
        <f aca="false">IF(LEFT(Cockpit!$O$5,1)="A",H397,IF(Parameter!$E$30="MAX-Bestand",IF(CI397=1,CJ397,IF(LEFT(Cockpit!$O$5,1)="B",BG397,MAX(BG397,H397))),ROUNDUP(BE397,0)))</f>
        <v>677</v>
      </c>
      <c r="BB397" s="62" t="n">
        <f aca="false">IF(CA397=1,0,ROUNDUP(BA397/BZ397,0))</f>
        <v>1</v>
      </c>
      <c r="BC397" s="64" t="n">
        <f aca="false">IF(CR397&gt;0,CR397*MAX(1,BA397/X397),IF(CA397=1,IF(BA397&lt;=0,0,CE397*MAX(1,IF(H397&gt;0,BA397/H397,1))),IF(R397&gt;0,BB397/R397,0))/MAX(0.1,N(Parameter!$M$21)))</f>
        <v>0.00961538461538462</v>
      </c>
      <c r="BD397" s="62" t="n">
        <f aca="false">BC397*CC397</f>
        <v>1.49038461538462</v>
      </c>
      <c r="BE397" s="63" t="n">
        <f aca="false">IF(LEFT(Cockpit!$O$5,1)="A",H397,IF(CI397=1,(CL397+CJ397)/2,IF(LEFT(Cockpit!$O$5,1)="B",(CL397+BG397)/2,MAX((CL397+BG397)/2,H397))))</f>
        <v>676.5</v>
      </c>
      <c r="BF397" s="62" t="n">
        <f aca="false">BE397*G397</f>
        <v>101.475</v>
      </c>
      <c r="BG397" s="62" t="n">
        <f aca="false">ROUNDUP(CL397+MAX(CM397,2*(J397/IF(CH397&gt;0,CH397,MAX(0.1,N(Cockpit!$O$6)))-CL397)),0)</f>
        <v>1196</v>
      </c>
      <c r="BH397" s="63" t="n">
        <f aca="false">IF(BD397&gt;0,J397/BD397,-1)</f>
        <v>1815.63870967742</v>
      </c>
      <c r="BI397" s="63" t="n">
        <f aca="false">IF(AND(OR(CG397="L1",CG397="L23",CG397="LIFT"),BD397&gt;0),SUMIFS($BD$7:$BD$1843,$CG$7:$CG$1843,CG397,$BH$7:$BH$1843,"&gt;"&amp;BH397)+SUMIFS($BD$7:$BD$1843,$CG$7:$CG$1843,CG397,$BH$7:$BH$1843,BH397,$BX$7:$BX$1843,"&lt;="&amp;BX397),"")</f>
        <v>7.45192307692308</v>
      </c>
      <c r="BJ397" s="70" t="n">
        <f aca="false">IF(BI397="",0,MAX(0,MIN(1,(IF(CG397="L1",Parameter!$H$5,IF(CG397="L23",Parameter!$H$6+Parameter!$H$7,Parameter!$H$5+Parameter!$H$6+Parameter!$H$7))-(BI397-BD397))/BD397)))</f>
        <v>1</v>
      </c>
      <c r="BK397" s="60" t="str">
        <f aca="false">IF(AJ397&lt;=0,"",IF(CG397="Aussen","Aussenlager",IF(CG397="-","Nicht im Lift",IF(AP397&gt;=1,"Lift",IF(AP397&lt;=0,"Aussenlager","teilweise")))))</f>
        <v>Lift</v>
      </c>
      <c r="BL397" s="60" t="str">
        <f aca="false">IF(AT397&lt;=0,"",IF(CG397="Aussen","Aussenlager",IF(CG397="-","Nicht im Lift",IF(AZ397&gt;=1,"Lift",IF(AZ397&lt;=0,"Aussenlager","teilweise")))))</f>
        <v>Lift</v>
      </c>
      <c r="BM397" s="60" t="str">
        <f aca="false">IF(BD397&lt;=0,"",IF(CG397="Aussen","Aussenlager",IF(CG397="-","Nicht im Lift",IF(BJ397&gt;=1,"Lift",IF(BJ397&lt;=0,"Aussenlager","teilweise")))))</f>
        <v>Lift</v>
      </c>
      <c r="BN397" s="60" t="str">
        <f aca="false">IF(A397="","",IF(BW397=1,"Neu; ","")&amp;IF(AND(BW397=0,BR397&lt;0),"negativer Bestand (Export "&amp;BR397&amp;"); ","")&amp;IF(J397&lt;=0,"Kein Verbrauch; ","")&amp;IF(CR397&gt;0,"Lift "&amp;W397&amp;" lt. Liftbericht (Fach "&amp;X397&amp;" Stk); ",IF(CB397=1,"Gebinde geschätzt ("&amp;T397&amp;"); ",IF(CA397=1,"Lose – Tablare geschätzt; ","")))&amp;IF(H397&gt;AW397,"Überbestand "&amp;ROUND(H397-AW397,0)&amp;" Stk / CHF "&amp;ROUND((H397-AW397)*G397,0)&amp;"; ","")&amp;IF(AND(CI397=1,CJ397&lt;CK397),"MAX &lt; MB+LG; ","")&amp;IF(AND(CQ397&gt;0,CP397*10&gt;CQ397),"zu hoch für Tablar; ","")&amp;IF(AND(BW397=0,OR(CI397=1,AB397&lt;&gt;"",U397&lt;&gt;"",V397&lt;&gt;"",AC397&lt;&gt;"")),"manuell übersteuert; ","")&amp;IF(AND(CA397=0,R397=0),"Gebinde unbekannt / Stellmass fehlt; ","")&amp;IF(AND(CA397=0,N(V397)&lt;=0,N(Q397)&lt;=0),"Menge pro Gebinde fehlt (Ist = 1 Gebinde); ","")&amp;BV397)</f>
        <v/>
      </c>
      <c r="BO397" s="60"/>
      <c r="BP397" s="60"/>
      <c r="BQ397" s="67"/>
      <c r="BR397" s="62" t="n">
        <v>708</v>
      </c>
      <c r="BS397" s="62" t="n">
        <v>695</v>
      </c>
      <c r="BT397" s="61" t="n">
        <v>113.07</v>
      </c>
      <c r="BU397" s="62" t="n">
        <v>2706</v>
      </c>
      <c r="BV397" s="60"/>
      <c r="BW397" s="65" t="n">
        <v>0</v>
      </c>
      <c r="BX397" s="65" t="n">
        <v>397</v>
      </c>
      <c r="BY397" s="60" t="str">
        <f aca="false">IF(U397&lt;&gt;"",UPPER(TRIM(U397)),IF(CB397=1,UPPER(VLOOKUP(T397,Parameter!$I$27:$K$29,2,0)),IF(P397="","LOSE",P397)))</f>
        <v>S32</v>
      </c>
      <c r="BZ397" s="62" t="n">
        <f aca="false">IF(BY397="LOSE",1,IF(N(V397)&gt;0,V397,IF(CB397=1,MAX(1,N(VLOOKUP(T397,Parameter!$I$27:$K$29,3,0)),H397,N(N397)),IF(N(Q397)&gt;0,Q397,MAX(1,H397)))))</f>
        <v>783</v>
      </c>
      <c r="CA397" s="65" t="n">
        <f aca="false">IF(BY397="LOSE",1,0)</f>
        <v>0</v>
      </c>
      <c r="CB397" s="65" t="n">
        <f aca="false">IF(AND(U397="",OR(P397="",P397="LOSE"),T397&lt;&gt;"",N(S397)&lt;=0,ISNUMBER(MATCH(T397,Parameter!$I$27:$I$29,0))),1,0)</f>
        <v>0</v>
      </c>
      <c r="CC397" s="65" t="n">
        <f aca="false">IF(CR397&gt;0,INDEX(Parameter!$H$5:$H$7,W397)/INDEX(Parameter!$E$5:$E$7,W397),IF(AND(CA397=0,N(IFERROR(VLOOKUP(BY397,'Gebinde-Kategorie'!$A$5:$N$45,14,0),0))&gt;0),VLOOKUP(BY397,'Gebinde-Kategorie'!$A$5:$N$45,14,0)*10+Parameter!$M$23,Parameter!$M$24))</f>
        <v>155</v>
      </c>
      <c r="CD397" s="60" t="str">
        <f aca="false">IF(AND(Parameter!$B$19="Ja",E397&lt;&gt;"",ISNUMBER(MATCH(E397,Parameter!$I$35:$I$52,0))),VLOOKUP(E397,Parameter!$I$35:$J$52,2,0),IFERROR(VLOOKUP(D397,Parameter!$A$35:$C$64,2,0),"Nein"))</f>
        <v>2+3</v>
      </c>
      <c r="CE397" s="64" t="n">
        <f aca="false">IF(CA397=0,0,IF(N(S397)&gt;0,S397,IFERROR(VLOOKUP(D397,Parameter!$A$35:$C$64,3,0)+0,0)))</f>
        <v>0</v>
      </c>
      <c r="CF397" s="60" t="n">
        <f aca="false">IF(AB397&lt;&gt;"",AB397,AA397)</f>
        <v>3</v>
      </c>
      <c r="CG397" s="60" t="str">
        <f aca="false">IF(OR(CF397=1,CF397=2,CF397=3),IF(Parameter!$E$27="Ja","LIFT",IF(CF397=1,"L1","L23")),IF(CF397="Aussen","Aussen","-"))</f>
        <v>LIFT</v>
      </c>
      <c r="CH397" s="71" t="n">
        <f aca="false">IF(N(AC397)&gt;0,AC397,0)</f>
        <v>0</v>
      </c>
      <c r="CI397" s="65" t="n">
        <f aca="false">IF(ISNUMBER(AF397),1,0)</f>
        <v>0</v>
      </c>
      <c r="CJ397" s="62" t="n">
        <f aca="false">N(AF397)</f>
        <v>0</v>
      </c>
      <c r="CK397" s="62" t="n">
        <f aca="false">N(M397)+N(N397)</f>
        <v>1157</v>
      </c>
      <c r="CL397" s="62" t="n">
        <f aca="false">N(M397)</f>
        <v>157</v>
      </c>
      <c r="CM397" s="62" t="n">
        <f aca="false">N(N397)</f>
        <v>1000</v>
      </c>
      <c r="CN397" s="62" t="n">
        <f aca="false">ROUNDUP(H397/BZ397,0)</f>
        <v>2</v>
      </c>
      <c r="CO397" s="62" t="n">
        <f aca="false">ROUNDUP(CJ397/BZ397,0)</f>
        <v>0</v>
      </c>
      <c r="CP397" s="65" t="n">
        <f aca="false">IF(CA397=1,0,IFERROR(VLOOKUP(BY397,'Gebinde-Kategorie'!$A$5:$N$45,5,0)+0,0))</f>
        <v>8</v>
      </c>
      <c r="CQ397" s="65" t="n">
        <f aca="false">IFERROR(IF(OR(CF397=1,CF397=2,CF397=3),N(INDEX(Parameter!$I$5:$I$7,CF397)),0),0)</f>
        <v>0</v>
      </c>
      <c r="CR397" s="64" t="n">
        <f aca="false">IF(AND(Parameter!$B$21="Ja",ISNUMBER(W397),N(X397)&gt;0),IFERROR(N(INDEX(Parameter!$L$5:$L$7,W397))*INDEX(Parameter!$E$5:$E$7,W397)*X397/SUMIFS($X$7:$X$1843,$W$7:$W$1843,W397),0),0)</f>
        <v>0</v>
      </c>
      <c r="CS397" s="62" t="n">
        <f aca="false">IF(AND(OR(CG397="L1",CG397="L23",CG397="LIFT"),H397&gt;0),CC397*IF(CR397&gt;0,CR397*MAX(1,H397/X397),IF(CA397=1,CE397,IF(R397&gt;0,CN397/R397,0))/MAX(0.1,N(Parameter!$M$21))),"")</f>
        <v>2.98076923076923</v>
      </c>
      <c r="CT397" s="64" t="n">
        <f aca="false">IF(CS397="","",J397/H397)</f>
        <v>1.92872416250891</v>
      </c>
      <c r="CU397" s="62" t="n">
        <f aca="false">IF(CS397="","",H397*G397)</f>
        <v>210.45</v>
      </c>
      <c r="CV397" s="63" t="n">
        <f aca="false">IF(CS397="","",(CL397+ROUNDUP(CL397+MAX(CM397,2*(J397/MAX(0.1,N(Einkauf!$C$6))-CL397)),0))/2)</f>
        <v>676.5</v>
      </c>
      <c r="CW397" s="62" t="n">
        <f aca="false">IF(CS397="","",MAX(0,H397-CV397)*G397)</f>
        <v>108.975</v>
      </c>
      <c r="CX397" s="62" t="n">
        <f aca="false">IF(CS397="","",CS397*MAX(0,1-CV397/H397))</f>
        <v>1.5434988212073</v>
      </c>
      <c r="CY397" s="64" t="n">
        <f aca="false">IF(CS397="","",PERCENTRANK($CS$7:$CS$1843,CS397)+PERCENTRANK($CU$7:$CU$1843,CU397)+1-PERCENTRANK($CT$7:$CT$1843,CT397))</f>
        <v>0.753</v>
      </c>
      <c r="CZ397" s="72" t="n">
        <f aca="false">IF(CS397="","",CHOOSE(MATCH(Einkauf!$C$5,Parameter!$G$23:$G$27,0),CY397,CS397,CU397,-CT397,CW397)+ROW()/1000000000)</f>
        <v>0.753000397</v>
      </c>
    </row>
    <row r="398" customFormat="false" ht="15" hidden="false" customHeight="false" outlineLevel="0" collapsed="false">
      <c r="A398" s="60" t="s">
        <v>974</v>
      </c>
      <c r="B398" s="60" t="s">
        <v>975</v>
      </c>
      <c r="C398" s="60" t="s">
        <v>206</v>
      </c>
      <c r="D398" s="60" t="s">
        <v>226</v>
      </c>
      <c r="E398" s="60"/>
      <c r="F398" s="60" t="s">
        <v>260</v>
      </c>
      <c r="G398" s="61" t="n">
        <v>28.08</v>
      </c>
      <c r="H398" s="62" t="n">
        <f aca="false">MAX(0,IF(AND(Parameter!$B$21="Ja",ISNUMBER(Y398)),Y398,IF(Parameter!$B$20="Jahresanfang 2025 + Export",BS398+BR398,BR398)))</f>
        <v>4</v>
      </c>
      <c r="I398" s="62" t="n">
        <f aca="false">H398*G398</f>
        <v>112.32</v>
      </c>
      <c r="J398" s="62" t="n">
        <f aca="false">BU398*Parameter!$B$18</f>
        <v>0</v>
      </c>
      <c r="K398" s="63" t="n">
        <v>2</v>
      </c>
      <c r="L398" s="64" t="n">
        <v>0</v>
      </c>
      <c r="M398" s="62" t="n">
        <v>1</v>
      </c>
      <c r="N398" s="62" t="n">
        <v>4</v>
      </c>
      <c r="O398" s="65" t="n">
        <v>14</v>
      </c>
      <c r="P398" s="60" t="s">
        <v>210</v>
      </c>
      <c r="Q398" s="62"/>
      <c r="R398" s="65" t="n">
        <f aca="false">IF(CA398=1,0,IFERROR(VLOOKUP(BY398,'Gebinde-Kategorie'!$A$5:$N$45,13,0)+0,0))</f>
        <v>26</v>
      </c>
      <c r="S398" s="66"/>
      <c r="T398" s="67" t="s">
        <v>317</v>
      </c>
      <c r="U398" s="67"/>
      <c r="V398" s="67"/>
      <c r="W398" s="60"/>
      <c r="X398" s="62"/>
      <c r="Y398" s="62"/>
      <c r="Z398" s="60" t="n">
        <v>3</v>
      </c>
      <c r="AA398" s="60" t="n">
        <f aca="false">IF(A398="","",IF(AND(Parameter!$B$21="Ja",ISNUMBER(W398)),W398,IF(AND(Parameter!$E$27="Ja",ISNUMBER(Z398),CD398&lt;&gt;"Nein"),Z398,IF(CD398="2+3",IF(ISNUMBER(SEARCH("grosser Artikel",BV398)),2,IFERROR(VLOOKUP(BY398,Parameter!$F$35:$G$64,2,0),2)),IF(OR(CD398="Nein",CD398=""),"-",CD398)))))</f>
        <v>3</v>
      </c>
      <c r="AB398" s="67"/>
      <c r="AC398" s="68"/>
      <c r="AD398" s="62" t="n">
        <f aca="false">AW398</f>
        <v>5</v>
      </c>
      <c r="AE398" s="62" t="n">
        <f aca="false">MAX(AW398,H398)</f>
        <v>5</v>
      </c>
      <c r="AF398" s="69"/>
      <c r="AG398" s="62" t="n">
        <f aca="false">IF(LEFT(Cockpit!$C$5,1)="A",H398,IF(Parameter!$E$30="MAX-Bestand",IF(CI398=1,CJ398,IF(LEFT(Cockpit!$C$5,1)="B",AM398,MAX(AM398,H398))),ROUNDUP(AK398,0)))</f>
        <v>4</v>
      </c>
      <c r="AH398" s="62" t="n">
        <f aca="false">IF(CA398=1,0,ROUNDUP(AG398/BZ398,0))</f>
        <v>1</v>
      </c>
      <c r="AI398" s="64" t="n">
        <f aca="false">IF(CR398&gt;0,CR398*MAX(1,AG398/X398),IF(CA398=1,IF(AG398&lt;=0,0,CE398*MAX(1,IF(H398&gt;0,AG398/H398,1))),IF(R398&gt;0,AH398/R398,0))/MAX(0.1,N(Parameter!$M$21)))</f>
        <v>0.0384615384615385</v>
      </c>
      <c r="AJ398" s="62" t="n">
        <f aca="false">AI398*CC398</f>
        <v>5.96153846153846</v>
      </c>
      <c r="AK398" s="63" t="n">
        <f aca="false">IF(LEFT(Cockpit!$C$5,1)="A",H398,IF(CI398=1,(CL398+CJ398)/2,IF(LEFT(Cockpit!$C$5,1)="B",(CL398+AM398)/2,MAX((CL398+AM398)/2,H398))))</f>
        <v>4</v>
      </c>
      <c r="AL398" s="62" t="n">
        <f aca="false">AK398*G398</f>
        <v>112.32</v>
      </c>
      <c r="AM398" s="62" t="n">
        <f aca="false">ROUNDUP(CL398+MAX(CM398,2*(J398/IF(CH398&gt;0,CH398,MAX(0.1,N(Cockpit!$C$6)))-CL398)),0)</f>
        <v>5</v>
      </c>
      <c r="AN398" s="63" t="n">
        <f aca="false">IF(AJ398&gt;0,J398/AJ398,-1)</f>
        <v>0</v>
      </c>
      <c r="AO398" s="63" t="n">
        <f aca="false">IF(AND(OR(CG398="L1",CG398="L23",CG398="LIFT"),AJ398&gt;0),SUMIFS($AJ$7:$AJ$1843,$CG$7:$CG$1843,CG398,$AN$7:$AN$1843,"&gt;"&amp;AN398)+SUMIFS($AJ$7:$AJ$1843,$CG$7:$CG$1843,CG398,$AN$7:$AN$1843,AN398,$BX$7:$BX$1843,"&lt;="&amp;BX398),"")</f>
        <v>28068.1865234577</v>
      </c>
      <c r="AP398" s="70" t="n">
        <f aca="false">IF(AO398="",0,MAX(0,MIN(1,(IF(CG398="L1",Parameter!$H$5,IF(CG398="L23",Parameter!$H$6+Parameter!$H$7,Parameter!$H$5+Parameter!$H$6+Parameter!$H$7))-(AO398-AJ398))/AJ398)))</f>
        <v>1</v>
      </c>
      <c r="AQ398" s="62" t="n">
        <f aca="false">IF(LEFT(Cockpit!$I$5,1)="A",H398,IF(Parameter!$E$30="MAX-Bestand",IF(CI398=1,CJ398,IF(LEFT(Cockpit!$I$5,1)="B",AW398,MAX(AW398,H398))),ROUNDUP(AU398,0)))</f>
        <v>4</v>
      </c>
      <c r="AR398" s="62" t="n">
        <f aca="false">IF(CA398=1,0,ROUNDUP(AQ398/BZ398,0))</f>
        <v>1</v>
      </c>
      <c r="AS398" s="64" t="n">
        <f aca="false">IF(CR398&gt;0,CR398*MAX(1,AQ398/X398),IF(CA398=1,IF(AQ398&lt;=0,0,CE398*MAX(1,IF(H398&gt;0,AQ398/H398,1))),IF(R398&gt;0,AR398/R398,0))/MAX(0.1,N(Parameter!$M$21)))</f>
        <v>0.0384615384615385</v>
      </c>
      <c r="AT398" s="62" t="n">
        <f aca="false">AS398*CC398</f>
        <v>5.96153846153846</v>
      </c>
      <c r="AU398" s="63" t="n">
        <f aca="false">IF(LEFT(Cockpit!$I$5,1)="A",H398,IF(CI398=1,(CL398+CJ398)/2,IF(LEFT(Cockpit!$I$5,1)="B",(CL398+AW398)/2,MAX((CL398+AW398)/2,H398))))</f>
        <v>4</v>
      </c>
      <c r="AV398" s="62" t="n">
        <f aca="false">AU398*G398</f>
        <v>112.32</v>
      </c>
      <c r="AW398" s="62" t="n">
        <f aca="false">ROUNDUP(CL398+MAX(CM398,2*(J398/IF(CH398&gt;0,CH398,MAX(0.1,N(Cockpit!$I$6)))-CL398)),0)</f>
        <v>5</v>
      </c>
      <c r="AX398" s="63" t="n">
        <f aca="false">IF(AT398&gt;0,J398/AT398,-1)</f>
        <v>0</v>
      </c>
      <c r="AY398" s="63" t="n">
        <f aca="false">IF(AND(OR(CG398="L1",CG398="L23",CG398="LIFT"),AT398&gt;0),SUMIFS($AT$7:$AT$1843,$CG$7:$CG$1843,CG398,$AX$7:$AX$1843,"&gt;"&amp;AX398)+SUMIFS($AT$7:$AT$1843,$CG$7:$CG$1843,CG398,$AX$7:$AX$1843,AX398,$BX$7:$BX$1843,"&lt;="&amp;BX398),"")</f>
        <v>33421.3351648352</v>
      </c>
      <c r="AZ398" s="70" t="n">
        <f aca="false">IF(AY398="",0,MAX(0,MIN(1,(IF(CG398="L1",Parameter!$H$5,IF(CG398="L23",Parameter!$H$6+Parameter!$H$7,Parameter!$H$5+Parameter!$H$6+Parameter!$H$7))-(AY398-AT398))/AT398)))</f>
        <v>1</v>
      </c>
      <c r="BA398" s="62" t="n">
        <f aca="false">IF(LEFT(Cockpit!$O$5,1)="A",H398,IF(Parameter!$E$30="MAX-Bestand",IF(CI398=1,CJ398,IF(LEFT(Cockpit!$O$5,1)="B",BG398,MAX(BG398,H398))),ROUNDUP(BE398,0)))</f>
        <v>3</v>
      </c>
      <c r="BB398" s="62" t="n">
        <f aca="false">IF(CA398=1,0,ROUNDUP(BA398/BZ398,0))</f>
        <v>1</v>
      </c>
      <c r="BC398" s="64" t="n">
        <f aca="false">IF(CR398&gt;0,CR398*MAX(1,BA398/X398),IF(CA398=1,IF(BA398&lt;=0,0,CE398*MAX(1,IF(H398&gt;0,BA398/H398,1))),IF(R398&gt;0,BB398/R398,0))/MAX(0.1,N(Parameter!$M$21)))</f>
        <v>0.0384615384615385</v>
      </c>
      <c r="BD398" s="62" t="n">
        <f aca="false">BC398*CC398</f>
        <v>5.96153846153846</v>
      </c>
      <c r="BE398" s="63" t="n">
        <f aca="false">IF(LEFT(Cockpit!$O$5,1)="A",H398,IF(CI398=1,(CL398+CJ398)/2,IF(LEFT(Cockpit!$O$5,1)="B",(CL398+BG398)/2,MAX((CL398+BG398)/2,H398))))</f>
        <v>3</v>
      </c>
      <c r="BF398" s="62" t="n">
        <f aca="false">BE398*G398</f>
        <v>84.24</v>
      </c>
      <c r="BG398" s="62" t="n">
        <f aca="false">ROUNDUP(CL398+MAX(CM398,2*(J398/IF(CH398&gt;0,CH398,MAX(0.1,N(Cockpit!$O$6)))-CL398)),0)</f>
        <v>5</v>
      </c>
      <c r="BH398" s="63" t="n">
        <f aca="false">IF(BD398&gt;0,J398/BD398,-1)</f>
        <v>0</v>
      </c>
      <c r="BI398" s="63" t="n">
        <f aca="false">IF(AND(OR(CG398="L1",CG398="L23",CG398="LIFT"),BD398&gt;0),SUMIFS($BD$7:$BD$1843,$CG$7:$CG$1843,CG398,$BH$7:$BH$1843,"&gt;"&amp;BH398)+SUMIFS($BD$7:$BD$1843,$CG$7:$CG$1843,CG398,$BH$7:$BH$1843,BH398,$BX$7:$BX$1843,"&lt;="&amp;BX398),"")</f>
        <v>27534.8721363382</v>
      </c>
      <c r="BJ398" s="70" t="n">
        <f aca="false">IF(BI398="",0,MAX(0,MIN(1,(IF(CG398="L1",Parameter!$H$5,IF(CG398="L23",Parameter!$H$6+Parameter!$H$7,Parameter!$H$5+Parameter!$H$6+Parameter!$H$7))-(BI398-BD398))/BD398)))</f>
        <v>1</v>
      </c>
      <c r="BK398" s="60" t="str">
        <f aca="false">IF(AJ398&lt;=0,"",IF(CG398="Aussen","Aussenlager",IF(CG398="-","Nicht im Lift",IF(AP398&gt;=1,"Lift",IF(AP398&lt;=0,"Aussenlager","teilweise")))))</f>
        <v>Lift</v>
      </c>
      <c r="BL398" s="60" t="str">
        <f aca="false">IF(AT398&lt;=0,"",IF(CG398="Aussen","Aussenlager",IF(CG398="-","Nicht im Lift",IF(AZ398&gt;=1,"Lift",IF(AZ398&lt;=0,"Aussenlager","teilweise")))))</f>
        <v>Lift</v>
      </c>
      <c r="BM398" s="60" t="str">
        <f aca="false">IF(BD398&lt;=0,"",IF(CG398="Aussen","Aussenlager",IF(CG398="-","Nicht im Lift",IF(BJ398&gt;=1,"Lift",IF(BJ398&lt;=0,"Aussenlager","teilweise")))))</f>
        <v>Lift</v>
      </c>
      <c r="BN398" s="60" t="str">
        <f aca="false">IF(A398="","",IF(BW398=1,"Neu; ","")&amp;IF(AND(BW398=0,BR398&lt;0),"negativer Bestand (Export "&amp;BR398&amp;"); ","")&amp;IF(J398&lt;=0,"Kein Verbrauch; ","")&amp;IF(CR398&gt;0,"Lift "&amp;W398&amp;" lt. Liftbericht (Fach "&amp;X398&amp;" Stk); ",IF(CB398=1,"Gebinde geschätzt ("&amp;T398&amp;"); ",IF(CA398=1,"Lose – Tablare geschätzt; ","")))&amp;IF(H398&gt;AW398,"Überbestand "&amp;ROUND(H398-AW398,0)&amp;" Stk / CHF "&amp;ROUND((H398-AW398)*G398,0)&amp;"; ","")&amp;IF(AND(CI398=1,CJ398&lt;CK398),"MAX &lt; MB+LG; ","")&amp;IF(AND(CQ398&gt;0,CP398*10&gt;CQ398),"zu hoch für Tablar; ","")&amp;IF(AND(BW398=0,OR(CI398=1,AB398&lt;&gt;"",U398&lt;&gt;"",V398&lt;&gt;"",AC398&lt;&gt;"")),"manuell übersteuert; ","")&amp;IF(AND(CA398=0,R398=0),"Gebinde unbekannt / Stellmass fehlt; ","")&amp;IF(AND(CA398=0,N(V398)&lt;=0,N(Q398)&lt;=0),"Menge pro Gebinde fehlt (Ist = 1 Gebinde); ","")&amp;BV398)</f>
        <v>Kein Verbrauch; Gebinde geschätzt (Klein); Menge pro Gebinde fehlt (Ist = 1 Gebinde); </v>
      </c>
      <c r="BO398" s="60"/>
      <c r="BP398" s="60"/>
      <c r="BQ398" s="67"/>
      <c r="BR398" s="62" t="n">
        <v>4</v>
      </c>
      <c r="BS398" s="62" t="n">
        <v>0</v>
      </c>
      <c r="BT398" s="61" t="n">
        <v>112.32</v>
      </c>
      <c r="BU398" s="62" t="n">
        <v>0</v>
      </c>
      <c r="BV398" s="60"/>
      <c r="BW398" s="65" t="n">
        <v>0</v>
      </c>
      <c r="BX398" s="65" t="n">
        <v>398</v>
      </c>
      <c r="BY398" s="60" t="str">
        <f aca="false">IF(U398&lt;&gt;"",UPPER(TRIM(U398)),IF(CB398=1,UPPER(VLOOKUP(T398,Parameter!$I$27:$K$29,2,0)),IF(P398="","LOSE",P398)))</f>
        <v>S51</v>
      </c>
      <c r="BZ398" s="62" t="n">
        <f aca="false">IF(BY398="LOSE",1,IF(N(V398)&gt;0,V398,IF(CB398=1,MAX(1,N(VLOOKUP(T398,Parameter!$I$27:$K$29,3,0)),H398,N(N398)),IF(N(Q398)&gt;0,Q398,MAX(1,H398)))))</f>
        <v>20</v>
      </c>
      <c r="CA398" s="65" t="n">
        <f aca="false">IF(BY398="LOSE",1,0)</f>
        <v>0</v>
      </c>
      <c r="CB398" s="65" t="n">
        <f aca="false">IF(AND(U398="",OR(P398="",P398="LOSE"),T398&lt;&gt;"",N(S398)&lt;=0,ISNUMBER(MATCH(T398,Parameter!$I$27:$I$29,0))),1,0)</f>
        <v>1</v>
      </c>
      <c r="CC398" s="65" t="n">
        <f aca="false">IF(CR398&gt;0,INDEX(Parameter!$H$5:$H$7,W398)/INDEX(Parameter!$E$5:$E$7,W398),IF(AND(CA398=0,N(IFERROR(VLOOKUP(BY398,'Gebinde-Kategorie'!$A$5:$N$45,14,0),0))&gt;0),VLOOKUP(BY398,'Gebinde-Kategorie'!$A$5:$N$45,14,0)*10+Parameter!$M$23,Parameter!$M$24))</f>
        <v>155</v>
      </c>
      <c r="CD398" s="60" t="str">
        <f aca="false">IF(AND(Parameter!$B$19="Ja",E398&lt;&gt;"",ISNUMBER(MATCH(E398,Parameter!$I$35:$I$52,0))),VLOOKUP(E398,Parameter!$I$35:$J$52,2,0),IFERROR(VLOOKUP(D398,Parameter!$A$35:$C$64,2,0),"Nein"))</f>
        <v>2+3</v>
      </c>
      <c r="CE398" s="64" t="n">
        <f aca="false">IF(CA398=0,0,IF(N(S398)&gt;0,S398,IFERROR(VLOOKUP(D398,Parameter!$A$35:$C$64,3,0)+0,0)))</f>
        <v>0</v>
      </c>
      <c r="CF398" s="60" t="n">
        <f aca="false">IF(AB398&lt;&gt;"",AB398,AA398)</f>
        <v>3</v>
      </c>
      <c r="CG398" s="60" t="str">
        <f aca="false">IF(OR(CF398=1,CF398=2,CF398=3),IF(Parameter!$E$27="Ja","LIFT",IF(CF398=1,"L1","L23")),IF(CF398="Aussen","Aussen","-"))</f>
        <v>LIFT</v>
      </c>
      <c r="CH398" s="71" t="n">
        <f aca="false">IF(N(AC398)&gt;0,AC398,0)</f>
        <v>0</v>
      </c>
      <c r="CI398" s="65" t="n">
        <f aca="false">IF(ISNUMBER(AF398),1,0)</f>
        <v>0</v>
      </c>
      <c r="CJ398" s="62" t="n">
        <f aca="false">N(AF398)</f>
        <v>0</v>
      </c>
      <c r="CK398" s="62" t="n">
        <f aca="false">N(M398)+N(N398)</f>
        <v>5</v>
      </c>
      <c r="CL398" s="62" t="n">
        <f aca="false">N(M398)</f>
        <v>1</v>
      </c>
      <c r="CM398" s="62" t="n">
        <f aca="false">N(N398)</f>
        <v>4</v>
      </c>
      <c r="CN398" s="62" t="n">
        <f aca="false">ROUNDUP(H398/BZ398,0)</f>
        <v>1</v>
      </c>
      <c r="CO398" s="62" t="n">
        <f aca="false">ROUNDUP(CJ398/BZ398,0)</f>
        <v>0</v>
      </c>
      <c r="CP398" s="65" t="n">
        <f aca="false">IF(CA398=1,0,IFERROR(VLOOKUP(BY398,'Gebinde-Kategorie'!$A$5:$N$45,5,0)+0,0))</f>
        <v>11</v>
      </c>
      <c r="CQ398" s="65" t="n">
        <f aca="false">IFERROR(IF(OR(CF398=1,CF398=2,CF398=3),N(INDEX(Parameter!$I$5:$I$7,CF398)),0),0)</f>
        <v>0</v>
      </c>
      <c r="CR398" s="64" t="n">
        <f aca="false">IF(AND(Parameter!$B$21="Ja",ISNUMBER(W398),N(X398)&gt;0),IFERROR(N(INDEX(Parameter!$L$5:$L$7,W398))*INDEX(Parameter!$E$5:$E$7,W398)*X398/SUMIFS($X$7:$X$1843,$W$7:$W$1843,W398),0),0)</f>
        <v>0</v>
      </c>
      <c r="CS398" s="62" t="n">
        <f aca="false">IF(AND(OR(CG398="L1",CG398="L23",CG398="LIFT"),H398&gt;0),CC398*IF(CR398&gt;0,CR398*MAX(1,H398/X398),IF(CA398=1,CE398,IF(R398&gt;0,CN398/R398,0))/MAX(0.1,N(Parameter!$M$21))),"")</f>
        <v>5.96153846153846</v>
      </c>
      <c r="CT398" s="64" t="n">
        <f aca="false">IF(CS398="","",J398/H398)</f>
        <v>0</v>
      </c>
      <c r="CU398" s="62" t="n">
        <f aca="false">IF(CS398="","",H398*G398)</f>
        <v>112.32</v>
      </c>
      <c r="CV398" s="63" t="n">
        <f aca="false">IF(CS398="","",(CL398+ROUNDUP(CL398+MAX(CM398,2*(J398/MAX(0.1,N(Einkauf!$C$6))-CL398)),0))/2)</f>
        <v>3</v>
      </c>
      <c r="CW398" s="62" t="n">
        <f aca="false">IF(CS398="","",MAX(0,H398-CV398)*G398)</f>
        <v>28.08</v>
      </c>
      <c r="CX398" s="62" t="n">
        <f aca="false">IF(CS398="","",CS398*MAX(0,1-CV398/H398))</f>
        <v>1.49038461538462</v>
      </c>
      <c r="CY398" s="64" t="n">
        <f aca="false">IF(CS398="","",PERCENTRANK($CS$7:$CS$1843,CS398)+PERCENTRANK($CU$7:$CU$1843,CU398)+1-PERCENTRANK($CT$7:$CT$1843,CT398))</f>
        <v>1.604</v>
      </c>
      <c r="CZ398" s="72" t="n">
        <f aca="false">IF(CS398="","",CHOOSE(MATCH(Einkauf!$C$5,Parameter!$G$23:$G$27,0),CY398,CS398,CU398,-CT398,CW398)+ROW()/1000000000)</f>
        <v>1.604000398</v>
      </c>
    </row>
    <row r="399" customFormat="false" ht="15" hidden="false" customHeight="false" outlineLevel="0" collapsed="false">
      <c r="A399" s="60" t="s">
        <v>976</v>
      </c>
      <c r="B399" s="60" t="s">
        <v>778</v>
      </c>
      <c r="C399" s="60" t="s">
        <v>206</v>
      </c>
      <c r="D399" s="60" t="s">
        <v>215</v>
      </c>
      <c r="E399" s="60"/>
      <c r="F399" s="60" t="s">
        <v>260</v>
      </c>
      <c r="G399" s="61" t="n">
        <v>37.2</v>
      </c>
      <c r="H399" s="62" t="n">
        <f aca="false">MAX(0,IF(AND(Parameter!$B$21="Ja",ISNUMBER(Y399)),Y399,IF(Parameter!$B$20="Jahresanfang 2025 + Export",BS399+BR399,BR399)))</f>
        <v>7</v>
      </c>
      <c r="I399" s="62" t="n">
        <f aca="false">H399*G399</f>
        <v>260.4</v>
      </c>
      <c r="J399" s="62" t="n">
        <f aca="false">BU399*Parameter!$B$18</f>
        <v>0</v>
      </c>
      <c r="K399" s="63" t="n">
        <v>5.5</v>
      </c>
      <c r="L399" s="64" t="n">
        <v>0</v>
      </c>
      <c r="M399" s="62" t="n">
        <v>4</v>
      </c>
      <c r="N399" s="62" t="n">
        <v>1</v>
      </c>
      <c r="O399" s="65" t="n">
        <v>35</v>
      </c>
      <c r="P399" s="60" t="s">
        <v>210</v>
      </c>
      <c r="Q399" s="62"/>
      <c r="R399" s="65" t="n">
        <f aca="false">IF(CA399=1,0,IFERROR(VLOOKUP(BY399,'Gebinde-Kategorie'!$A$5:$N$45,13,0)+0,0))</f>
        <v>12</v>
      </c>
      <c r="S399" s="66"/>
      <c r="T399" s="67" t="s">
        <v>221</v>
      </c>
      <c r="U399" s="67"/>
      <c r="V399" s="67"/>
      <c r="W399" s="60"/>
      <c r="X399" s="62"/>
      <c r="Y399" s="62"/>
      <c r="Z399" s="60" t="n">
        <v>3</v>
      </c>
      <c r="AA399" s="60" t="n">
        <f aca="false">IF(A399="","",IF(AND(Parameter!$B$21="Ja",ISNUMBER(W399)),W399,IF(AND(Parameter!$E$27="Ja",ISNUMBER(Z399),CD399&lt;&gt;"Nein"),Z399,IF(CD399="2+3",IF(ISNUMBER(SEARCH("grosser Artikel",BV399)),2,IFERROR(VLOOKUP(BY399,Parameter!$F$35:$G$64,2,0),2)),IF(OR(CD399="Nein",CD399=""),"-",CD399)))))</f>
        <v>3</v>
      </c>
      <c r="AB399" s="67"/>
      <c r="AC399" s="68"/>
      <c r="AD399" s="62" t="n">
        <f aca="false">AW399</f>
        <v>5</v>
      </c>
      <c r="AE399" s="62" t="n">
        <f aca="false">MAX(AW399,H399)</f>
        <v>7</v>
      </c>
      <c r="AF399" s="69"/>
      <c r="AG399" s="62" t="n">
        <f aca="false">IF(LEFT(Cockpit!$C$5,1)="A",H399,IF(Parameter!$E$30="MAX-Bestand",IF(CI399=1,CJ399,IF(LEFT(Cockpit!$C$5,1)="B",AM399,MAX(AM399,H399))),ROUNDUP(AK399,0)))</f>
        <v>7</v>
      </c>
      <c r="AH399" s="62" t="n">
        <f aca="false">IF(CA399=1,0,ROUNDUP(AG399/BZ399,0))</f>
        <v>1</v>
      </c>
      <c r="AI399" s="64" t="n">
        <f aca="false">IF(CR399&gt;0,CR399*MAX(1,AG399/X399),IF(CA399=1,IF(AG399&lt;=0,0,CE399*MAX(1,IF(H399&gt;0,AG399/H399,1))),IF(R399&gt;0,AH399/R399,0))/MAX(0.1,N(Parameter!$M$21)))</f>
        <v>0.0833333333333333</v>
      </c>
      <c r="AJ399" s="62" t="n">
        <f aca="false">AI399*CC399</f>
        <v>12.0833333333333</v>
      </c>
      <c r="AK399" s="63" t="n">
        <f aca="false">IF(LEFT(Cockpit!$C$5,1)="A",H399,IF(CI399=1,(CL399+CJ399)/2,IF(LEFT(Cockpit!$C$5,1)="B",(CL399+AM399)/2,MAX((CL399+AM399)/2,H399))))</f>
        <v>7</v>
      </c>
      <c r="AL399" s="62" t="n">
        <f aca="false">AK399*G399</f>
        <v>260.4</v>
      </c>
      <c r="AM399" s="62" t="n">
        <f aca="false">ROUNDUP(CL399+MAX(CM399,2*(J399/IF(CH399&gt;0,CH399,MAX(0.1,N(Cockpit!$C$6)))-CL399)),0)</f>
        <v>5</v>
      </c>
      <c r="AN399" s="63" t="n">
        <f aca="false">IF(AJ399&gt;0,J399/AJ399,-1)</f>
        <v>0</v>
      </c>
      <c r="AO399" s="63" t="n">
        <f aca="false">IF(AND(OR(CG399="L1",CG399="L23",CG399="LIFT"),AJ399&gt;0),SUMIFS($AJ$7:$AJ$1843,$CG$7:$CG$1843,CG399,$AN$7:$AN$1843,"&gt;"&amp;AN399)+SUMIFS($AJ$7:$AJ$1843,$CG$7:$CG$1843,CG399,$AN$7:$AN$1843,AN399,$BX$7:$BX$1843,"&lt;="&amp;BX399),"")</f>
        <v>28080.269856791</v>
      </c>
      <c r="AP399" s="70" t="n">
        <f aca="false">IF(AO399="",0,MAX(0,MIN(1,(IF(CG399="L1",Parameter!$H$5,IF(CG399="L23",Parameter!$H$6+Parameter!$H$7,Parameter!$H$5+Parameter!$H$6+Parameter!$H$7))-(AO399-AJ399))/AJ399)))</f>
        <v>1</v>
      </c>
      <c r="AQ399" s="62" t="n">
        <f aca="false">IF(LEFT(Cockpit!$I$5,1)="A",H399,IF(Parameter!$E$30="MAX-Bestand",IF(CI399=1,CJ399,IF(LEFT(Cockpit!$I$5,1)="B",AW399,MAX(AW399,H399))),ROUNDUP(AU399,0)))</f>
        <v>7</v>
      </c>
      <c r="AR399" s="62" t="n">
        <f aca="false">IF(CA399=1,0,ROUNDUP(AQ399/BZ399,0))</f>
        <v>1</v>
      </c>
      <c r="AS399" s="64" t="n">
        <f aca="false">IF(CR399&gt;0,CR399*MAX(1,AQ399/X399),IF(CA399=1,IF(AQ399&lt;=0,0,CE399*MAX(1,IF(H399&gt;0,AQ399/H399,1))),IF(R399&gt;0,AR399/R399,0))/MAX(0.1,N(Parameter!$M$21)))</f>
        <v>0.0833333333333333</v>
      </c>
      <c r="AT399" s="62" t="n">
        <f aca="false">AS399*CC399</f>
        <v>12.0833333333333</v>
      </c>
      <c r="AU399" s="63" t="n">
        <f aca="false">IF(LEFT(Cockpit!$I$5,1)="A",H399,IF(CI399=1,(CL399+CJ399)/2,IF(LEFT(Cockpit!$I$5,1)="B",(CL399+AW399)/2,MAX((CL399+AW399)/2,H399))))</f>
        <v>7</v>
      </c>
      <c r="AV399" s="62" t="n">
        <f aca="false">AU399*G399</f>
        <v>260.4</v>
      </c>
      <c r="AW399" s="62" t="n">
        <f aca="false">ROUNDUP(CL399+MAX(CM399,2*(J399/IF(CH399&gt;0,CH399,MAX(0.1,N(Cockpit!$I$6)))-CL399)),0)</f>
        <v>5</v>
      </c>
      <c r="AX399" s="63" t="n">
        <f aca="false">IF(AT399&gt;0,J399/AT399,-1)</f>
        <v>0</v>
      </c>
      <c r="AY399" s="63" t="n">
        <f aca="false">IF(AND(OR(CG399="L1",CG399="L23",CG399="LIFT"),AT399&gt;0),SUMIFS($AT$7:$AT$1843,$CG$7:$CG$1843,CG399,$AX$7:$AX$1843,"&gt;"&amp;AX399)+SUMIFS($AT$7:$AT$1843,$CG$7:$CG$1843,CG399,$AX$7:$AX$1843,AX399,$BX$7:$BX$1843,"&lt;="&amp;BX399),"")</f>
        <v>33433.4184981685</v>
      </c>
      <c r="AZ399" s="70" t="n">
        <f aca="false">IF(AY399="",0,MAX(0,MIN(1,(IF(CG399="L1",Parameter!$H$5,IF(CG399="L23",Parameter!$H$6+Parameter!$H$7,Parameter!$H$5+Parameter!$H$6+Parameter!$H$7))-(AY399-AT399))/AT399)))</f>
        <v>1</v>
      </c>
      <c r="BA399" s="62" t="n">
        <f aca="false">IF(LEFT(Cockpit!$O$5,1)="A",H399,IF(Parameter!$E$30="MAX-Bestand",IF(CI399=1,CJ399,IF(LEFT(Cockpit!$O$5,1)="B",BG399,MAX(BG399,H399))),ROUNDUP(BE399,0)))</f>
        <v>5</v>
      </c>
      <c r="BB399" s="62" t="n">
        <f aca="false">IF(CA399=1,0,ROUNDUP(BA399/BZ399,0))</f>
        <v>1</v>
      </c>
      <c r="BC399" s="64" t="n">
        <f aca="false">IF(CR399&gt;0,CR399*MAX(1,BA399/X399),IF(CA399=1,IF(BA399&lt;=0,0,CE399*MAX(1,IF(H399&gt;0,BA399/H399,1))),IF(R399&gt;0,BB399/R399,0))/MAX(0.1,N(Parameter!$M$21)))</f>
        <v>0.0833333333333333</v>
      </c>
      <c r="BD399" s="62" t="n">
        <f aca="false">BC399*CC399</f>
        <v>12.0833333333333</v>
      </c>
      <c r="BE399" s="63" t="n">
        <f aca="false">IF(LEFT(Cockpit!$O$5,1)="A",H399,IF(CI399=1,(CL399+CJ399)/2,IF(LEFT(Cockpit!$O$5,1)="B",(CL399+BG399)/2,MAX((CL399+BG399)/2,H399))))</f>
        <v>4.5</v>
      </c>
      <c r="BF399" s="62" t="n">
        <f aca="false">BE399*G399</f>
        <v>167.4</v>
      </c>
      <c r="BG399" s="62" t="n">
        <f aca="false">ROUNDUP(CL399+MAX(CM399,2*(J399/IF(CH399&gt;0,CH399,MAX(0.1,N(Cockpit!$O$6)))-CL399)),0)</f>
        <v>5</v>
      </c>
      <c r="BH399" s="63" t="n">
        <f aca="false">IF(BD399&gt;0,J399/BD399,-1)</f>
        <v>0</v>
      </c>
      <c r="BI399" s="63" t="n">
        <f aca="false">IF(AND(OR(CG399="L1",CG399="L23",CG399="LIFT"),BD399&gt;0),SUMIFS($BD$7:$BD$1843,$CG$7:$CG$1843,CG399,$BH$7:$BH$1843,"&gt;"&amp;BH399)+SUMIFS($BD$7:$BD$1843,$CG$7:$CG$1843,CG399,$BH$7:$BH$1843,BH399,$BX$7:$BX$1843,"&lt;="&amp;BX399),"")</f>
        <v>27546.9554696716</v>
      </c>
      <c r="BJ399" s="70" t="n">
        <f aca="false">IF(BI399="",0,MAX(0,MIN(1,(IF(CG399="L1",Parameter!$H$5,IF(CG399="L23",Parameter!$H$6+Parameter!$H$7,Parameter!$H$5+Parameter!$H$6+Parameter!$H$7))-(BI399-BD399))/BD399)))</f>
        <v>1</v>
      </c>
      <c r="BK399" s="60" t="str">
        <f aca="false">IF(AJ399&lt;=0,"",IF(CG399="Aussen","Aussenlager",IF(CG399="-","Nicht im Lift",IF(AP399&gt;=1,"Lift",IF(AP399&lt;=0,"Aussenlager","teilweise")))))</f>
        <v>Lift</v>
      </c>
      <c r="BL399" s="60" t="str">
        <f aca="false">IF(AT399&lt;=0,"",IF(CG399="Aussen","Aussenlager",IF(CG399="-","Nicht im Lift",IF(AZ399&gt;=1,"Lift",IF(AZ399&lt;=0,"Aussenlager","teilweise")))))</f>
        <v>Lift</v>
      </c>
      <c r="BM399" s="60" t="str">
        <f aca="false">IF(BD399&lt;=0,"",IF(CG399="Aussen","Aussenlager",IF(CG399="-","Nicht im Lift",IF(BJ399&gt;=1,"Lift",IF(BJ399&lt;=0,"Aussenlager","teilweise")))))</f>
        <v>Lift</v>
      </c>
      <c r="BN399" s="60" t="str">
        <f aca="false">IF(A399="","",IF(BW399=1,"Neu; ","")&amp;IF(AND(BW399=0,BR399&lt;0),"negativer Bestand (Export "&amp;BR399&amp;"); ","")&amp;IF(J399&lt;=0,"Kein Verbrauch; ","")&amp;IF(CR399&gt;0,"Lift "&amp;W399&amp;" lt. Liftbericht (Fach "&amp;X399&amp;" Stk); ",IF(CB399=1,"Gebinde geschätzt ("&amp;T399&amp;"); ",IF(CA399=1,"Lose – Tablare geschätzt; ","")))&amp;IF(H399&gt;AW399,"Überbestand "&amp;ROUND(H399-AW399,0)&amp;" Stk / CHF "&amp;ROUND((H399-AW399)*G399,0)&amp;"; ","")&amp;IF(AND(CI399=1,CJ399&lt;CK399),"MAX &lt; MB+LG; ","")&amp;IF(AND(CQ399&gt;0,CP399*10&gt;CQ399),"zu hoch für Tablar; ","")&amp;IF(AND(BW399=0,OR(CI399=1,AB399&lt;&gt;"",U399&lt;&gt;"",V399&lt;&gt;"",AC399&lt;&gt;"")),"manuell übersteuert; ","")&amp;IF(AND(CA399=0,R399=0),"Gebinde unbekannt / Stellmass fehlt; ","")&amp;IF(AND(CA399=0,N(V399)&lt;=0,N(Q399)&lt;=0),"Menge pro Gebinde fehlt (Ist = 1 Gebinde); ","")&amp;BV399)</f>
        <v>Kein Verbrauch; Gebinde geschätzt (Mittel); Überbestand 2 Stk / CHF 74; Menge pro Gebinde fehlt (Ist = 1 Gebinde); </v>
      </c>
      <c r="BO399" s="60"/>
      <c r="BP399" s="60"/>
      <c r="BQ399" s="67"/>
      <c r="BR399" s="62" t="n">
        <v>3</v>
      </c>
      <c r="BS399" s="62" t="n">
        <v>4</v>
      </c>
      <c r="BT399" s="61" t="n">
        <v>111.6</v>
      </c>
      <c r="BU399" s="62" t="n">
        <v>0</v>
      </c>
      <c r="BV399" s="60"/>
      <c r="BW399" s="65" t="n">
        <v>0</v>
      </c>
      <c r="BX399" s="65" t="n">
        <v>399</v>
      </c>
      <c r="BY399" s="60" t="str">
        <f aca="false">IF(U399&lt;&gt;"",UPPER(TRIM(U399)),IF(CB399=1,UPPER(VLOOKUP(T399,Parameter!$I$27:$K$29,2,0)),IF(P399="","LOSE",P399)))</f>
        <v>S61</v>
      </c>
      <c r="BZ399" s="62" t="n">
        <f aca="false">IF(BY399="LOSE",1,IF(N(V399)&gt;0,V399,IF(CB399=1,MAX(1,N(VLOOKUP(T399,Parameter!$I$27:$K$29,3,0)),H399,N(N399)),IF(N(Q399)&gt;0,Q399,MAX(1,H399)))))</f>
        <v>7</v>
      </c>
      <c r="CA399" s="65" t="n">
        <f aca="false">IF(BY399="LOSE",1,0)</f>
        <v>0</v>
      </c>
      <c r="CB399" s="65" t="n">
        <f aca="false">IF(AND(U399="",OR(P399="",P399="LOSE"),T399&lt;&gt;"",N(S399)&lt;=0,ISNUMBER(MATCH(T399,Parameter!$I$27:$I$29,0))),1,0)</f>
        <v>1</v>
      </c>
      <c r="CC399" s="65" t="n">
        <f aca="false">IF(CR399&gt;0,INDEX(Parameter!$H$5:$H$7,W399)/INDEX(Parameter!$E$5:$E$7,W399),IF(AND(CA399=0,N(IFERROR(VLOOKUP(BY399,'Gebinde-Kategorie'!$A$5:$N$45,14,0),0))&gt;0),VLOOKUP(BY399,'Gebinde-Kategorie'!$A$5:$N$45,14,0)*10+Parameter!$M$23,Parameter!$M$24))</f>
        <v>145</v>
      </c>
      <c r="CD399" s="60" t="str">
        <f aca="false">IF(AND(Parameter!$B$19="Ja",E399&lt;&gt;"",ISNUMBER(MATCH(E399,Parameter!$I$35:$I$52,0))),VLOOKUP(E399,Parameter!$I$35:$J$52,2,0),IFERROR(VLOOKUP(D399,Parameter!$A$35:$C$64,2,0),"Nein"))</f>
        <v>2+3</v>
      </c>
      <c r="CE399" s="64" t="n">
        <f aca="false">IF(CA399=0,0,IF(N(S399)&gt;0,S399,IFERROR(VLOOKUP(D399,Parameter!$A$35:$C$64,3,0)+0,0)))</f>
        <v>0</v>
      </c>
      <c r="CF399" s="60" t="n">
        <f aca="false">IF(AB399&lt;&gt;"",AB399,AA399)</f>
        <v>3</v>
      </c>
      <c r="CG399" s="60" t="str">
        <f aca="false">IF(OR(CF399=1,CF399=2,CF399=3),IF(Parameter!$E$27="Ja","LIFT",IF(CF399=1,"L1","L23")),IF(CF399="Aussen","Aussen","-"))</f>
        <v>LIFT</v>
      </c>
      <c r="CH399" s="71" t="n">
        <f aca="false">IF(N(AC399)&gt;0,AC399,0)</f>
        <v>0</v>
      </c>
      <c r="CI399" s="65" t="n">
        <f aca="false">IF(ISNUMBER(AF399),1,0)</f>
        <v>0</v>
      </c>
      <c r="CJ399" s="62" t="n">
        <f aca="false">N(AF399)</f>
        <v>0</v>
      </c>
      <c r="CK399" s="62" t="n">
        <f aca="false">N(M399)+N(N399)</f>
        <v>5</v>
      </c>
      <c r="CL399" s="62" t="n">
        <f aca="false">N(M399)</f>
        <v>4</v>
      </c>
      <c r="CM399" s="62" t="n">
        <f aca="false">N(N399)</f>
        <v>1</v>
      </c>
      <c r="CN399" s="62" t="n">
        <f aca="false">ROUNDUP(H399/BZ399,0)</f>
        <v>1</v>
      </c>
      <c r="CO399" s="62" t="n">
        <f aca="false">ROUNDUP(CJ399/BZ399,0)</f>
        <v>0</v>
      </c>
      <c r="CP399" s="65" t="n">
        <f aca="false">IF(CA399=1,0,IFERROR(VLOOKUP(BY399,'Gebinde-Kategorie'!$A$5:$N$45,5,0)+0,0))</f>
        <v>11</v>
      </c>
      <c r="CQ399" s="65" t="n">
        <f aca="false">IFERROR(IF(OR(CF399=1,CF399=2,CF399=3),N(INDEX(Parameter!$I$5:$I$7,CF399)),0),0)</f>
        <v>0</v>
      </c>
      <c r="CR399" s="64" t="n">
        <f aca="false">IF(AND(Parameter!$B$21="Ja",ISNUMBER(W399),N(X399)&gt;0),IFERROR(N(INDEX(Parameter!$L$5:$L$7,W399))*INDEX(Parameter!$E$5:$E$7,W399)*X399/SUMIFS($X$7:$X$1843,$W$7:$W$1843,W399),0),0)</f>
        <v>0</v>
      </c>
      <c r="CS399" s="62" t="n">
        <f aca="false">IF(AND(OR(CG399="L1",CG399="L23",CG399="LIFT"),H399&gt;0),CC399*IF(CR399&gt;0,CR399*MAX(1,H399/X399),IF(CA399=1,CE399,IF(R399&gt;0,CN399/R399,0))/MAX(0.1,N(Parameter!$M$21))),"")</f>
        <v>12.0833333333333</v>
      </c>
      <c r="CT399" s="64" t="n">
        <f aca="false">IF(CS399="","",J399/H399)</f>
        <v>0</v>
      </c>
      <c r="CU399" s="62" t="n">
        <f aca="false">IF(CS399="","",H399*G399)</f>
        <v>260.4</v>
      </c>
      <c r="CV399" s="63" t="n">
        <f aca="false">IF(CS399="","",(CL399+ROUNDUP(CL399+MAX(CM399,2*(J399/MAX(0.1,N(Einkauf!$C$6))-CL399)),0))/2)</f>
        <v>4.5</v>
      </c>
      <c r="CW399" s="62" t="n">
        <f aca="false">IF(CS399="","",MAX(0,H399-CV399)*G399)</f>
        <v>93</v>
      </c>
      <c r="CX399" s="62" t="n">
        <f aca="false">IF(CS399="","",CS399*MAX(0,1-CV399/H399))</f>
        <v>4.31547619047619</v>
      </c>
      <c r="CY399" s="64" t="n">
        <f aca="false">IF(CS399="","",PERCENTRANK($CS$7:$CS$1843,CS399)+PERCENTRANK($CU$7:$CU$1843,CU399)+1-PERCENTRANK($CT$7:$CT$1843,CT399))</f>
        <v>2.043</v>
      </c>
      <c r="CZ399" s="72" t="n">
        <f aca="false">IF(CS399="","",CHOOSE(MATCH(Einkauf!$C$5,Parameter!$G$23:$G$27,0),CY399,CS399,CU399,-CT399,CW399)+ROW()/1000000000)</f>
        <v>2.043000399</v>
      </c>
    </row>
    <row r="400" customFormat="false" ht="15" hidden="false" customHeight="false" outlineLevel="0" collapsed="false">
      <c r="A400" s="60" t="s">
        <v>977</v>
      </c>
      <c r="B400" s="60" t="s">
        <v>766</v>
      </c>
      <c r="C400" s="60" t="s">
        <v>206</v>
      </c>
      <c r="D400" s="60" t="s">
        <v>226</v>
      </c>
      <c r="E400" s="60" t="s">
        <v>227</v>
      </c>
      <c r="F400" s="60" t="s">
        <v>260</v>
      </c>
      <c r="G400" s="61" t="n">
        <v>10.97</v>
      </c>
      <c r="H400" s="62" t="n">
        <f aca="false">MAX(0,IF(AND(Parameter!$B$21="Ja",ISNUMBER(Y400)),Y400,IF(Parameter!$B$20="Jahresanfang 2025 + Export",BS400+BR400,BR400)))</f>
        <v>13</v>
      </c>
      <c r="I400" s="62" t="n">
        <f aca="false">H400*G400</f>
        <v>142.61</v>
      </c>
      <c r="J400" s="62" t="n">
        <f aca="false">BU400*Parameter!$B$18</f>
        <v>8</v>
      </c>
      <c r="K400" s="63" t="n">
        <v>2.5</v>
      </c>
      <c r="L400" s="64" t="n">
        <v>3.2</v>
      </c>
      <c r="M400" s="62" t="n">
        <v>0</v>
      </c>
      <c r="N400" s="62" t="n">
        <v>10</v>
      </c>
      <c r="O400" s="65" t="n">
        <v>14</v>
      </c>
      <c r="P400" s="60" t="s">
        <v>468</v>
      </c>
      <c r="Q400" s="62" t="n">
        <v>12</v>
      </c>
      <c r="R400" s="65" t="n">
        <f aca="false">IF(CA400=1,0,IFERROR(VLOOKUP(BY400,'Gebinde-Kategorie'!$A$5:$N$45,13,0)+0,0))</f>
        <v>140</v>
      </c>
      <c r="S400" s="66"/>
      <c r="T400" s="67"/>
      <c r="U400" s="67"/>
      <c r="V400" s="67"/>
      <c r="W400" s="60"/>
      <c r="X400" s="62"/>
      <c r="Y400" s="62"/>
      <c r="Z400" s="60" t="n">
        <v>1</v>
      </c>
      <c r="AA400" s="60" t="n">
        <f aca="false">IF(A400="","",IF(AND(Parameter!$B$21="Ja",ISNUMBER(W400)),W400,IF(AND(Parameter!$E$27="Ja",ISNUMBER(Z400),CD400&lt;&gt;"Nein"),Z400,IF(CD400="2+3",IF(ISNUMBER(SEARCH("grosser Artikel",BV400)),2,IFERROR(VLOOKUP(BY400,Parameter!$F$35:$G$64,2,0),2)),IF(OR(CD400="Nein",CD400=""),"-",CD400)))))</f>
        <v>1</v>
      </c>
      <c r="AB400" s="67"/>
      <c r="AC400" s="68"/>
      <c r="AD400" s="62" t="n">
        <f aca="false">AW400</f>
        <v>10</v>
      </c>
      <c r="AE400" s="62" t="n">
        <f aca="false">MAX(AW400,H400)</f>
        <v>13</v>
      </c>
      <c r="AF400" s="69"/>
      <c r="AG400" s="62" t="n">
        <f aca="false">IF(LEFT(Cockpit!$C$5,1)="A",H400,IF(Parameter!$E$30="MAX-Bestand",IF(CI400=1,CJ400,IF(LEFT(Cockpit!$C$5,1)="B",AM400,MAX(AM400,H400))),ROUNDUP(AK400,0)))</f>
        <v>13</v>
      </c>
      <c r="AH400" s="62" t="n">
        <f aca="false">IF(CA400=1,0,ROUNDUP(AG400/BZ400,0))</f>
        <v>2</v>
      </c>
      <c r="AI400" s="64" t="n">
        <f aca="false">IF(CR400&gt;0,CR400*MAX(1,AG400/X400),IF(CA400=1,IF(AG400&lt;=0,0,CE400*MAX(1,IF(H400&gt;0,AG400/H400,1))),IF(R400&gt;0,AH400/R400,0))/MAX(0.1,N(Parameter!$M$21)))</f>
        <v>0.0142857142857143</v>
      </c>
      <c r="AJ400" s="62" t="n">
        <f aca="false">AI400*CC400</f>
        <v>2.21428571428571</v>
      </c>
      <c r="AK400" s="63" t="n">
        <f aca="false">IF(LEFT(Cockpit!$C$5,1)="A",H400,IF(CI400=1,(CL400+CJ400)/2,IF(LEFT(Cockpit!$C$5,1)="B",(CL400+AM400)/2,MAX((CL400+AM400)/2,H400))))</f>
        <v>13</v>
      </c>
      <c r="AL400" s="62" t="n">
        <f aca="false">AK400*G400</f>
        <v>142.61</v>
      </c>
      <c r="AM400" s="62" t="n">
        <f aca="false">ROUNDUP(CL400+MAX(CM400,2*(J400/IF(CH400&gt;0,CH400,MAX(0.1,N(Cockpit!$C$6)))-CL400)),0)</f>
        <v>10</v>
      </c>
      <c r="AN400" s="63" t="n">
        <f aca="false">IF(AJ400&gt;0,J400/AJ400,-1)</f>
        <v>3.61290322580645</v>
      </c>
      <c r="AO400" s="63" t="n">
        <f aca="false">IF(AND(OR(CG400="L1",CG400="L23",CG400="LIFT"),AJ400&gt;0),SUMIFS($AJ$7:$AJ$1843,$CG$7:$CG$1843,CG400,$AN$7:$AN$1843,"&gt;"&amp;AN400)+SUMIFS($AJ$7:$AJ$1843,$CG$7:$CG$1843,CG400,$AN$7:$AN$1843,AN400,$BX$7:$BX$1843,"&lt;="&amp;BX400),"")</f>
        <v>4822.33836996337</v>
      </c>
      <c r="AP400" s="70" t="n">
        <f aca="false">IF(AO400="",0,MAX(0,MIN(1,(IF(CG400="L1",Parameter!$H$5,IF(CG400="L23",Parameter!$H$6+Parameter!$H$7,Parameter!$H$5+Parameter!$H$6+Parameter!$H$7))-(AO400-AJ400))/AJ400)))</f>
        <v>1</v>
      </c>
      <c r="AQ400" s="62" t="n">
        <f aca="false">IF(LEFT(Cockpit!$I$5,1)="A",H400,IF(Parameter!$E$30="MAX-Bestand",IF(CI400=1,CJ400,IF(LEFT(Cockpit!$I$5,1)="B",AW400,MAX(AW400,H400))),ROUNDUP(AU400,0)))</f>
        <v>13</v>
      </c>
      <c r="AR400" s="62" t="n">
        <f aca="false">IF(CA400=1,0,ROUNDUP(AQ400/BZ400,0))</f>
        <v>2</v>
      </c>
      <c r="AS400" s="64" t="n">
        <f aca="false">IF(CR400&gt;0,CR400*MAX(1,AQ400/X400),IF(CA400=1,IF(AQ400&lt;=0,0,CE400*MAX(1,IF(H400&gt;0,AQ400/H400,1))),IF(R400&gt;0,AR400/R400,0))/MAX(0.1,N(Parameter!$M$21)))</f>
        <v>0.0142857142857143</v>
      </c>
      <c r="AT400" s="62" t="n">
        <f aca="false">AS400*CC400</f>
        <v>2.21428571428571</v>
      </c>
      <c r="AU400" s="63" t="n">
        <f aca="false">IF(LEFT(Cockpit!$I$5,1)="A",H400,IF(CI400=1,(CL400+CJ400)/2,IF(LEFT(Cockpit!$I$5,1)="B",(CL400+AW400)/2,MAX((CL400+AW400)/2,H400))))</f>
        <v>13</v>
      </c>
      <c r="AV400" s="62" t="n">
        <f aca="false">AU400*G400</f>
        <v>142.61</v>
      </c>
      <c r="AW400" s="62" t="n">
        <f aca="false">ROUNDUP(CL400+MAX(CM400,2*(J400/IF(CH400&gt;0,CH400,MAX(0.1,N(Cockpit!$I$6)))-CL400)),0)</f>
        <v>10</v>
      </c>
      <c r="AX400" s="63" t="n">
        <f aca="false">IF(AT400&gt;0,J400/AT400,-1)</f>
        <v>3.61290322580645</v>
      </c>
      <c r="AY400" s="63" t="n">
        <f aca="false">IF(AND(OR(CG400="L1",CG400="L23",CG400="LIFT"),AT400&gt;0),SUMIFS($AT$7:$AT$1843,$CG$7:$CG$1843,CG400,$AX$7:$AX$1843,"&gt;"&amp;AX400)+SUMIFS($AT$7:$AT$1843,$CG$7:$CG$1843,CG400,$AX$7:$AX$1843,AX400,$BX$7:$BX$1843,"&lt;="&amp;BX400),"")</f>
        <v>5399.92536630037</v>
      </c>
      <c r="AZ400" s="70" t="n">
        <f aca="false">IF(AY400="",0,MAX(0,MIN(1,(IF(CG400="L1",Parameter!$H$5,IF(CG400="L23",Parameter!$H$6+Parameter!$H$7,Parameter!$H$5+Parameter!$H$6+Parameter!$H$7))-(AY400-AT400))/AT400)))</f>
        <v>1</v>
      </c>
      <c r="BA400" s="62" t="n">
        <f aca="false">IF(LEFT(Cockpit!$O$5,1)="A",H400,IF(Parameter!$E$30="MAX-Bestand",IF(CI400=1,CJ400,IF(LEFT(Cockpit!$O$5,1)="B",BG400,MAX(BG400,H400))),ROUNDUP(BE400,0)))</f>
        <v>5</v>
      </c>
      <c r="BB400" s="62" t="n">
        <f aca="false">IF(CA400=1,0,ROUNDUP(BA400/BZ400,0))</f>
        <v>1</v>
      </c>
      <c r="BC400" s="64" t="n">
        <f aca="false">IF(CR400&gt;0,CR400*MAX(1,BA400/X400),IF(CA400=1,IF(BA400&lt;=0,0,CE400*MAX(1,IF(H400&gt;0,BA400/H400,1))),IF(R400&gt;0,BB400/R400,0))/MAX(0.1,N(Parameter!$M$21)))</f>
        <v>0.00714285714285714</v>
      </c>
      <c r="BD400" s="62" t="n">
        <f aca="false">BC400*CC400</f>
        <v>1.10714285714286</v>
      </c>
      <c r="BE400" s="63" t="n">
        <f aca="false">IF(LEFT(Cockpit!$O$5,1)="A",H400,IF(CI400=1,(CL400+CJ400)/2,IF(LEFT(Cockpit!$O$5,1)="B",(CL400+BG400)/2,MAX((CL400+BG400)/2,H400))))</f>
        <v>5</v>
      </c>
      <c r="BF400" s="62" t="n">
        <f aca="false">BE400*G400</f>
        <v>54.85</v>
      </c>
      <c r="BG400" s="62" t="n">
        <f aca="false">ROUNDUP(CL400+MAX(CM400,2*(J400/IF(CH400&gt;0,CH400,MAX(0.1,N(Cockpit!$O$6)))-CL400)),0)</f>
        <v>10</v>
      </c>
      <c r="BH400" s="63" t="n">
        <f aca="false">IF(BD400&gt;0,J400/BD400,-1)</f>
        <v>7.2258064516129</v>
      </c>
      <c r="BI400" s="63" t="n">
        <f aca="false">IF(AND(OR(CG400="L1",CG400="L23",CG400="LIFT"),BD400&gt;0),SUMIFS($BD$7:$BD$1843,$CG$7:$CG$1843,CG400,$BH$7:$BH$1843,"&gt;"&amp;BH400)+SUMIFS($BD$7:$BD$1843,$CG$7:$CG$1843,CG400,$BH$7:$BH$1843,BH400,$BX$7:$BX$1843,"&lt;="&amp;BX400),"")</f>
        <v>3237.58424908425</v>
      </c>
      <c r="BJ400" s="70" t="n">
        <f aca="false">IF(BI400="",0,MAX(0,MIN(1,(IF(CG400="L1",Parameter!$H$5,IF(CG400="L23",Parameter!$H$6+Parameter!$H$7,Parameter!$H$5+Parameter!$H$6+Parameter!$H$7))-(BI400-BD400))/BD400)))</f>
        <v>1</v>
      </c>
      <c r="BK400" s="60" t="str">
        <f aca="false">IF(AJ400&lt;=0,"",IF(CG400="Aussen","Aussenlager",IF(CG400="-","Nicht im Lift",IF(AP400&gt;=1,"Lift",IF(AP400&lt;=0,"Aussenlager","teilweise")))))</f>
        <v>Lift</v>
      </c>
      <c r="BL400" s="60" t="str">
        <f aca="false">IF(AT400&lt;=0,"",IF(CG400="Aussen","Aussenlager",IF(CG400="-","Nicht im Lift",IF(AZ400&gt;=1,"Lift",IF(AZ400&lt;=0,"Aussenlager","teilweise")))))</f>
        <v>Lift</v>
      </c>
      <c r="BM400" s="60" t="str">
        <f aca="false">IF(BD400&lt;=0,"",IF(CG400="Aussen","Aussenlager",IF(CG400="-","Nicht im Lift",IF(BJ400&gt;=1,"Lift",IF(BJ400&lt;=0,"Aussenlager","teilweise")))))</f>
        <v>Lift</v>
      </c>
      <c r="BN400" s="60" t="str">
        <f aca="false">IF(A400="","",IF(BW400=1,"Neu; ","")&amp;IF(AND(BW400=0,BR400&lt;0),"negativer Bestand (Export "&amp;BR400&amp;"); ","")&amp;IF(J400&lt;=0,"Kein Verbrauch; ","")&amp;IF(CR400&gt;0,"Lift "&amp;W400&amp;" lt. Liftbericht (Fach "&amp;X400&amp;" Stk); ",IF(CB400=1,"Gebinde geschätzt ("&amp;T400&amp;"); ",IF(CA400=1,"Lose – Tablare geschätzt; ","")))&amp;IF(H400&gt;AW400,"Überbestand "&amp;ROUND(H400-AW400,0)&amp;" Stk / CHF "&amp;ROUND((H400-AW400)*G400,0)&amp;"; ","")&amp;IF(AND(CI400=1,CJ400&lt;CK400),"MAX &lt; MB+LG; ","")&amp;IF(AND(CQ400&gt;0,CP400*10&gt;CQ400),"zu hoch für Tablar; ","")&amp;IF(AND(BW400=0,OR(CI400=1,AB400&lt;&gt;"",U400&lt;&gt;"",V400&lt;&gt;"",AC400&lt;&gt;"")),"manuell übersteuert; ","")&amp;IF(AND(CA400=0,R400=0),"Gebinde unbekannt / Stellmass fehlt; ","")&amp;IF(AND(CA400=0,N(V400)&lt;=0,N(Q400)&lt;=0),"Menge pro Gebinde fehlt (Ist = 1 Gebinde); ","")&amp;BV400)</f>
        <v>Überbestand 3 Stk / CHF 33; </v>
      </c>
      <c r="BO400" s="60"/>
      <c r="BP400" s="60"/>
      <c r="BQ400" s="67"/>
      <c r="BR400" s="62" t="n">
        <v>10</v>
      </c>
      <c r="BS400" s="62" t="n">
        <v>3</v>
      </c>
      <c r="BT400" s="61" t="n">
        <v>110.9</v>
      </c>
      <c r="BU400" s="62" t="n">
        <v>8</v>
      </c>
      <c r="BV400" s="60"/>
      <c r="BW400" s="65" t="n">
        <v>0</v>
      </c>
      <c r="BX400" s="65" t="n">
        <v>400</v>
      </c>
      <c r="BY400" s="60" t="str">
        <f aca="false">IF(U400&lt;&gt;"",UPPER(TRIM(U400)),IF(CB400=1,UPPER(VLOOKUP(T400,Parameter!$I$27:$K$29,2,0)),IF(P400="","LOSE",P400)))</f>
        <v>S22</v>
      </c>
      <c r="BZ400" s="62" t="n">
        <f aca="false">IF(BY400="LOSE",1,IF(N(V400)&gt;0,V400,IF(CB400=1,MAX(1,N(VLOOKUP(T400,Parameter!$I$27:$K$29,3,0)),H400,N(N400)),IF(N(Q400)&gt;0,Q400,MAX(1,H400)))))</f>
        <v>12</v>
      </c>
      <c r="CA400" s="65" t="n">
        <f aca="false">IF(BY400="LOSE",1,0)</f>
        <v>0</v>
      </c>
      <c r="CB400" s="65" t="n">
        <f aca="false">IF(AND(U400="",OR(P400="",P400="LOSE"),T400&lt;&gt;"",N(S400)&lt;=0,ISNUMBER(MATCH(T400,Parameter!$I$27:$I$29,0))),1,0)</f>
        <v>0</v>
      </c>
      <c r="CC400" s="65" t="n">
        <f aca="false">IF(CR400&gt;0,INDEX(Parameter!$H$5:$H$7,W400)/INDEX(Parameter!$E$5:$E$7,W400),IF(AND(CA400=0,N(IFERROR(VLOOKUP(BY400,'Gebinde-Kategorie'!$A$5:$N$45,14,0),0))&gt;0),VLOOKUP(BY400,'Gebinde-Kategorie'!$A$5:$N$45,14,0)*10+Parameter!$M$23,Parameter!$M$24))</f>
        <v>155</v>
      </c>
      <c r="CD400" s="60" t="str">
        <f aca="false">IF(AND(Parameter!$B$19="Ja",E400&lt;&gt;"",ISNUMBER(MATCH(E400,Parameter!$I$35:$I$52,0))),VLOOKUP(E400,Parameter!$I$35:$J$52,2,0),IFERROR(VLOOKUP(D400,Parameter!$A$35:$C$64,2,0),"Nein"))</f>
        <v>2+3</v>
      </c>
      <c r="CE400" s="64" t="n">
        <f aca="false">IF(CA400=0,0,IF(N(S400)&gt;0,S400,IFERROR(VLOOKUP(D400,Parameter!$A$35:$C$64,3,0)+0,0)))</f>
        <v>0</v>
      </c>
      <c r="CF400" s="60" t="n">
        <f aca="false">IF(AB400&lt;&gt;"",AB400,AA400)</f>
        <v>1</v>
      </c>
      <c r="CG400" s="60" t="str">
        <f aca="false">IF(OR(CF400=1,CF400=2,CF400=3),IF(Parameter!$E$27="Ja","LIFT",IF(CF400=1,"L1","L23")),IF(CF400="Aussen","Aussen","-"))</f>
        <v>LIFT</v>
      </c>
      <c r="CH400" s="71" t="n">
        <f aca="false">IF(N(AC400)&gt;0,AC400,0)</f>
        <v>0</v>
      </c>
      <c r="CI400" s="65" t="n">
        <f aca="false">IF(ISNUMBER(AF400),1,0)</f>
        <v>0</v>
      </c>
      <c r="CJ400" s="62" t="n">
        <f aca="false">N(AF400)</f>
        <v>0</v>
      </c>
      <c r="CK400" s="62" t="n">
        <f aca="false">N(M400)+N(N400)</f>
        <v>10</v>
      </c>
      <c r="CL400" s="62" t="n">
        <f aca="false">N(M400)</f>
        <v>0</v>
      </c>
      <c r="CM400" s="62" t="n">
        <f aca="false">N(N400)</f>
        <v>10</v>
      </c>
      <c r="CN400" s="62" t="n">
        <f aca="false">ROUNDUP(H400/BZ400,0)</f>
        <v>2</v>
      </c>
      <c r="CO400" s="62" t="n">
        <f aca="false">ROUNDUP(CJ400/BZ400,0)</f>
        <v>0</v>
      </c>
      <c r="CP400" s="65" t="n">
        <f aca="false">IF(CA400=1,0,IFERROR(VLOOKUP(BY400,'Gebinde-Kategorie'!$A$5:$N$45,5,0)+0,0))</f>
        <v>8</v>
      </c>
      <c r="CQ400" s="65" t="n">
        <f aca="false">IFERROR(IF(OR(CF400=1,CF400=2,CF400=3),N(INDEX(Parameter!$I$5:$I$7,CF400)),0),0)</f>
        <v>0</v>
      </c>
      <c r="CR400" s="64" t="n">
        <f aca="false">IF(AND(Parameter!$B$21="Ja",ISNUMBER(W400),N(X400)&gt;0),IFERROR(N(INDEX(Parameter!$L$5:$L$7,W400))*INDEX(Parameter!$E$5:$E$7,W400)*X400/SUMIFS($X$7:$X$1843,$W$7:$W$1843,W400),0),0)</f>
        <v>0</v>
      </c>
      <c r="CS400" s="62" t="n">
        <f aca="false">IF(AND(OR(CG400="L1",CG400="L23",CG400="LIFT"),H400&gt;0),CC400*IF(CR400&gt;0,CR400*MAX(1,H400/X400),IF(CA400=1,CE400,IF(R400&gt;0,CN400/R400,0))/MAX(0.1,N(Parameter!$M$21))),"")</f>
        <v>2.21428571428571</v>
      </c>
      <c r="CT400" s="64" t="n">
        <f aca="false">IF(CS400="","",J400/H400)</f>
        <v>0.615384615384615</v>
      </c>
      <c r="CU400" s="62" t="n">
        <f aca="false">IF(CS400="","",H400*G400)</f>
        <v>142.61</v>
      </c>
      <c r="CV400" s="63" t="n">
        <f aca="false">IF(CS400="","",(CL400+ROUNDUP(CL400+MAX(CM400,2*(J400/MAX(0.1,N(Einkauf!$C$6))-CL400)),0))/2)</f>
        <v>5</v>
      </c>
      <c r="CW400" s="62" t="n">
        <f aca="false">IF(CS400="","",MAX(0,H400-CV400)*G400)</f>
        <v>87.76</v>
      </c>
      <c r="CX400" s="62" t="n">
        <f aca="false">IF(CS400="","",CS400*MAX(0,1-CV400/H400))</f>
        <v>1.36263736263736</v>
      </c>
      <c r="CY400" s="64" t="n">
        <f aca="false">IF(CS400="","",PERCENTRANK($CS$7:$CS$1843,CS400)+PERCENTRANK($CU$7:$CU$1843,CU400)+1-PERCENTRANK($CT$7:$CT$1843,CT400))</f>
        <v>0.917</v>
      </c>
      <c r="CZ400" s="72" t="n">
        <f aca="false">IF(CS400="","",CHOOSE(MATCH(Einkauf!$C$5,Parameter!$G$23:$G$27,0),CY400,CS400,CU400,-CT400,CW400)+ROW()/1000000000)</f>
        <v>0.9170004</v>
      </c>
    </row>
    <row r="401" customFormat="false" ht="15" hidden="false" customHeight="false" outlineLevel="0" collapsed="false">
      <c r="A401" s="60" t="s">
        <v>978</v>
      </c>
      <c r="B401" s="60" t="s">
        <v>979</v>
      </c>
      <c r="C401" s="60" t="s">
        <v>206</v>
      </c>
      <c r="D401" s="60" t="s">
        <v>226</v>
      </c>
      <c r="E401" s="60" t="s">
        <v>227</v>
      </c>
      <c r="F401" s="60" t="s">
        <v>260</v>
      </c>
      <c r="G401" s="61" t="n">
        <v>0.08</v>
      </c>
      <c r="H401" s="62" t="n">
        <f aca="false">MAX(0,IF(AND(Parameter!$B$21="Ja",ISNUMBER(Y401)),Y401,IF(Parameter!$B$20="Jahresanfang 2025 + Export",BS401+BR401,BR401)))</f>
        <v>1784</v>
      </c>
      <c r="I401" s="62" t="n">
        <f aca="false">H401*G401</f>
        <v>142.72</v>
      </c>
      <c r="J401" s="62" t="n">
        <f aca="false">BU401*Parameter!$B$18</f>
        <v>2732</v>
      </c>
      <c r="K401" s="63" t="n">
        <v>1000</v>
      </c>
      <c r="L401" s="64" t="n">
        <v>2.732</v>
      </c>
      <c r="M401" s="62" t="n">
        <v>159</v>
      </c>
      <c r="N401" s="62" t="n">
        <v>3000</v>
      </c>
      <c r="O401" s="65" t="n">
        <v>21</v>
      </c>
      <c r="P401" s="60" t="s">
        <v>344</v>
      </c>
      <c r="Q401" s="62" t="n">
        <v>2000</v>
      </c>
      <c r="R401" s="65" t="n">
        <f aca="false">IF(CA401=1,0,IFERROR(VLOOKUP(BY401,'Gebinde-Kategorie'!$A$5:$N$45,13,0)+0,0))</f>
        <v>26</v>
      </c>
      <c r="S401" s="66"/>
      <c r="T401" s="67"/>
      <c r="U401" s="67"/>
      <c r="V401" s="67"/>
      <c r="W401" s="60"/>
      <c r="X401" s="62"/>
      <c r="Y401" s="62"/>
      <c r="Z401" s="60" t="n">
        <v>3</v>
      </c>
      <c r="AA401" s="60" t="n">
        <f aca="false">IF(A401="","",IF(AND(Parameter!$B$21="Ja",ISNUMBER(W401)),W401,IF(AND(Parameter!$E$27="Ja",ISNUMBER(Z401),CD401&lt;&gt;"Nein"),Z401,IF(CD401="2+3",IF(ISNUMBER(SEARCH("grosser Artikel",BV401)),2,IFERROR(VLOOKUP(BY401,Parameter!$F$35:$G$64,2,0),2)),IF(OR(CD401="Nein",CD401=""),"-",CD401)))))</f>
        <v>3</v>
      </c>
      <c r="AB401" s="67"/>
      <c r="AC401" s="68"/>
      <c r="AD401" s="62" t="n">
        <f aca="false">AW401</f>
        <v>3159</v>
      </c>
      <c r="AE401" s="62" t="n">
        <f aca="false">MAX(AW401,H401)</f>
        <v>3159</v>
      </c>
      <c r="AF401" s="69"/>
      <c r="AG401" s="62" t="n">
        <f aca="false">IF(LEFT(Cockpit!$C$5,1)="A",H401,IF(Parameter!$E$30="MAX-Bestand",IF(CI401=1,CJ401,IF(LEFT(Cockpit!$C$5,1)="B",AM401,MAX(AM401,H401))),ROUNDUP(AK401,0)))</f>
        <v>1784</v>
      </c>
      <c r="AH401" s="62" t="n">
        <f aca="false">IF(CA401=1,0,ROUNDUP(AG401/BZ401,0))</f>
        <v>1</v>
      </c>
      <c r="AI401" s="64" t="n">
        <f aca="false">IF(CR401&gt;0,CR401*MAX(1,AG401/X401),IF(CA401=1,IF(AG401&lt;=0,0,CE401*MAX(1,IF(H401&gt;0,AG401/H401,1))),IF(R401&gt;0,AH401/R401,0))/MAX(0.1,N(Parameter!$M$21)))</f>
        <v>0.0384615384615385</v>
      </c>
      <c r="AJ401" s="62" t="n">
        <f aca="false">AI401*CC401</f>
        <v>5.96153846153846</v>
      </c>
      <c r="AK401" s="63" t="n">
        <f aca="false">IF(LEFT(Cockpit!$C$5,1)="A",H401,IF(CI401=1,(CL401+CJ401)/2,IF(LEFT(Cockpit!$C$5,1)="B",(CL401+AM401)/2,MAX((CL401+AM401)/2,H401))))</f>
        <v>1784</v>
      </c>
      <c r="AL401" s="62" t="n">
        <f aca="false">AK401*G401</f>
        <v>142.72</v>
      </c>
      <c r="AM401" s="62" t="n">
        <f aca="false">ROUNDUP(CL401+MAX(CM401,2*(J401/IF(CH401&gt;0,CH401,MAX(0.1,N(Cockpit!$C$6)))-CL401)),0)</f>
        <v>3159</v>
      </c>
      <c r="AN401" s="63" t="n">
        <f aca="false">IF(AJ401&gt;0,J401/AJ401,-1)</f>
        <v>458.270967741935</v>
      </c>
      <c r="AO401" s="63" t="n">
        <f aca="false">IF(AND(OR(CG401="L1",CG401="L23",CG401="LIFT"),AJ401&gt;0),SUMIFS($AJ$7:$AJ$1843,$CG$7:$CG$1843,CG401,$AN$7:$AN$1843,"&gt;"&amp;AN401)+SUMIFS($AJ$7:$AJ$1843,$CG$7:$CG$1843,CG401,$AN$7:$AN$1843,AN401,$BX$7:$BX$1843,"&lt;="&amp;BX401),"")</f>
        <v>90.6346153846154</v>
      </c>
      <c r="AP401" s="70" t="n">
        <f aca="false">IF(AO401="",0,MAX(0,MIN(1,(IF(CG401="L1",Parameter!$H$5,IF(CG401="L23",Parameter!$H$6+Parameter!$H$7,Parameter!$H$5+Parameter!$H$6+Parameter!$H$7))-(AO401-AJ401))/AJ401)))</f>
        <v>1</v>
      </c>
      <c r="AQ401" s="62" t="n">
        <f aca="false">IF(LEFT(Cockpit!$I$5,1)="A",H401,IF(Parameter!$E$30="MAX-Bestand",IF(CI401=1,CJ401,IF(LEFT(Cockpit!$I$5,1)="B",AW401,MAX(AW401,H401))),ROUNDUP(AU401,0)))</f>
        <v>1784</v>
      </c>
      <c r="AR401" s="62" t="n">
        <f aca="false">IF(CA401=1,0,ROUNDUP(AQ401/BZ401,0))</f>
        <v>1</v>
      </c>
      <c r="AS401" s="64" t="n">
        <f aca="false">IF(CR401&gt;0,CR401*MAX(1,AQ401/X401),IF(CA401=1,IF(AQ401&lt;=0,0,CE401*MAX(1,IF(H401&gt;0,AQ401/H401,1))),IF(R401&gt;0,AR401/R401,0))/MAX(0.1,N(Parameter!$M$21)))</f>
        <v>0.0384615384615385</v>
      </c>
      <c r="AT401" s="62" t="n">
        <f aca="false">AS401*CC401</f>
        <v>5.96153846153846</v>
      </c>
      <c r="AU401" s="63" t="n">
        <f aca="false">IF(LEFT(Cockpit!$I$5,1)="A",H401,IF(CI401=1,(CL401+CJ401)/2,IF(LEFT(Cockpit!$I$5,1)="B",(CL401+AW401)/2,MAX((CL401+AW401)/2,H401))))</f>
        <v>1784</v>
      </c>
      <c r="AV401" s="62" t="n">
        <f aca="false">AU401*G401</f>
        <v>142.72</v>
      </c>
      <c r="AW401" s="62" t="n">
        <f aca="false">ROUNDUP(CL401+MAX(CM401,2*(J401/IF(CH401&gt;0,CH401,MAX(0.1,N(Cockpit!$I$6)))-CL401)),0)</f>
        <v>3159</v>
      </c>
      <c r="AX401" s="63" t="n">
        <f aca="false">IF(AT401&gt;0,J401/AT401,-1)</f>
        <v>458.270967741935</v>
      </c>
      <c r="AY401" s="63" t="n">
        <f aca="false">IF(AND(OR(CG401="L1",CG401="L23",CG401="LIFT"),AT401&gt;0),SUMIFS($AT$7:$AT$1843,$CG$7:$CG$1843,CG401,$AX$7:$AX$1843,"&gt;"&amp;AX401)+SUMIFS($AT$7:$AT$1843,$CG$7:$CG$1843,CG401,$AX$7:$AX$1843,AX401,$BX$7:$BX$1843,"&lt;="&amp;BX401),"")</f>
        <v>101.523351648352</v>
      </c>
      <c r="AZ401" s="70" t="n">
        <f aca="false">IF(AY401="",0,MAX(0,MIN(1,(IF(CG401="L1",Parameter!$H$5,IF(CG401="L23",Parameter!$H$6+Parameter!$H$7,Parameter!$H$5+Parameter!$H$6+Parameter!$H$7))-(AY401-AT401))/AT401)))</f>
        <v>1</v>
      </c>
      <c r="BA401" s="62" t="n">
        <f aca="false">IF(LEFT(Cockpit!$O$5,1)="A",H401,IF(Parameter!$E$30="MAX-Bestand",IF(CI401=1,CJ401,IF(LEFT(Cockpit!$O$5,1)="B",BG401,MAX(BG401,H401))),ROUNDUP(BE401,0)))</f>
        <v>1659</v>
      </c>
      <c r="BB401" s="62" t="n">
        <f aca="false">IF(CA401=1,0,ROUNDUP(BA401/BZ401,0))</f>
        <v>1</v>
      </c>
      <c r="BC401" s="64" t="n">
        <f aca="false">IF(CR401&gt;0,CR401*MAX(1,BA401/X401),IF(CA401=1,IF(BA401&lt;=0,0,CE401*MAX(1,IF(H401&gt;0,BA401/H401,1))),IF(R401&gt;0,BB401/R401,0))/MAX(0.1,N(Parameter!$M$21)))</f>
        <v>0.0384615384615385</v>
      </c>
      <c r="BD401" s="62" t="n">
        <f aca="false">BC401*CC401</f>
        <v>5.96153846153846</v>
      </c>
      <c r="BE401" s="63" t="n">
        <f aca="false">IF(LEFT(Cockpit!$O$5,1)="A",H401,IF(CI401=1,(CL401+CJ401)/2,IF(LEFT(Cockpit!$O$5,1)="B",(CL401+BG401)/2,MAX((CL401+BG401)/2,H401))))</f>
        <v>1659</v>
      </c>
      <c r="BF401" s="62" t="n">
        <f aca="false">BE401*G401</f>
        <v>132.72</v>
      </c>
      <c r="BG401" s="62" t="n">
        <f aca="false">ROUNDUP(CL401+MAX(CM401,2*(J401/IF(CH401&gt;0,CH401,MAX(0.1,N(Cockpit!$O$6)))-CL401)),0)</f>
        <v>3159</v>
      </c>
      <c r="BH401" s="63" t="n">
        <f aca="false">IF(BD401&gt;0,J401/BD401,-1)</f>
        <v>458.270967741935</v>
      </c>
      <c r="BI401" s="63" t="n">
        <f aca="false">IF(AND(OR(CG401="L1",CG401="L23",CG401="LIFT"),BD401&gt;0),SUMIFS($BD$7:$BD$1843,$CG$7:$CG$1843,CG401,$BH$7:$BH$1843,"&gt;"&amp;BH401)+SUMIFS($BD$7:$BD$1843,$CG$7:$CG$1843,CG401,$BH$7:$BH$1843,BH401,$BX$7:$BX$1843,"&lt;="&amp;BX401),"")</f>
        <v>129.928113553114</v>
      </c>
      <c r="BJ401" s="70" t="n">
        <f aca="false">IF(BI401="",0,MAX(0,MIN(1,(IF(CG401="L1",Parameter!$H$5,IF(CG401="L23",Parameter!$H$6+Parameter!$H$7,Parameter!$H$5+Parameter!$H$6+Parameter!$H$7))-(BI401-BD401))/BD401)))</f>
        <v>1</v>
      </c>
      <c r="BK401" s="60" t="str">
        <f aca="false">IF(AJ401&lt;=0,"",IF(CG401="Aussen","Aussenlager",IF(CG401="-","Nicht im Lift",IF(AP401&gt;=1,"Lift",IF(AP401&lt;=0,"Aussenlager","teilweise")))))</f>
        <v>Lift</v>
      </c>
      <c r="BL401" s="60" t="str">
        <f aca="false">IF(AT401&lt;=0,"",IF(CG401="Aussen","Aussenlager",IF(CG401="-","Nicht im Lift",IF(AZ401&gt;=1,"Lift",IF(AZ401&lt;=0,"Aussenlager","teilweise")))))</f>
        <v>Lift</v>
      </c>
      <c r="BM401" s="60" t="str">
        <f aca="false">IF(BD401&lt;=0,"",IF(CG401="Aussen","Aussenlager",IF(CG401="-","Nicht im Lift",IF(BJ401&gt;=1,"Lift",IF(BJ401&lt;=0,"Aussenlager","teilweise")))))</f>
        <v>Lift</v>
      </c>
      <c r="BN401" s="60" t="str">
        <f aca="false">IF(A401="","",IF(BW401=1,"Neu; ","")&amp;IF(AND(BW401=0,BR401&lt;0),"negativer Bestand (Export "&amp;BR401&amp;"); ","")&amp;IF(J401&lt;=0,"Kein Verbrauch; ","")&amp;IF(CR401&gt;0,"Lift "&amp;W401&amp;" lt. Liftbericht (Fach "&amp;X401&amp;" Stk); ",IF(CB401=1,"Gebinde geschätzt ("&amp;T401&amp;"); ",IF(CA401=1,"Lose – Tablare geschätzt; ","")))&amp;IF(H401&gt;AW401,"Überbestand "&amp;ROUND(H401-AW401,0)&amp;" Stk / CHF "&amp;ROUND((H401-AW401)*G401,0)&amp;"; ","")&amp;IF(AND(CI401=1,CJ401&lt;CK401),"MAX &lt; MB+LG; ","")&amp;IF(AND(CQ401&gt;0,CP401*10&gt;CQ401),"zu hoch für Tablar; ","")&amp;IF(AND(BW401=0,OR(CI401=1,AB401&lt;&gt;"",U401&lt;&gt;"",V401&lt;&gt;"",AC401&lt;&gt;"")),"manuell übersteuert; ","")&amp;IF(AND(CA401=0,R401=0),"Gebinde unbekannt / Stellmass fehlt; ","")&amp;IF(AND(CA401=0,N(V401)&lt;=0,N(Q401)&lt;=0),"Menge pro Gebinde fehlt (Ist = 1 Gebinde); ","")&amp;BV401)</f>
        <v/>
      </c>
      <c r="BO401" s="60"/>
      <c r="BP401" s="60"/>
      <c r="BQ401" s="67"/>
      <c r="BR401" s="62" t="n">
        <v>1384</v>
      </c>
      <c r="BS401" s="62" t="n">
        <v>400</v>
      </c>
      <c r="BT401" s="61" t="n">
        <v>110.72</v>
      </c>
      <c r="BU401" s="62" t="n">
        <v>2732</v>
      </c>
      <c r="BV401" s="60"/>
      <c r="BW401" s="65" t="n">
        <v>0</v>
      </c>
      <c r="BX401" s="65" t="n">
        <v>401</v>
      </c>
      <c r="BY401" s="60" t="str">
        <f aca="false">IF(U401&lt;&gt;"",UPPER(TRIM(U401)),IF(CB401=1,UPPER(VLOOKUP(T401,Parameter!$I$27:$K$29,2,0)),IF(P401="","LOSE",P401)))</f>
        <v>S51</v>
      </c>
      <c r="BZ401" s="62" t="n">
        <f aca="false">IF(BY401="LOSE",1,IF(N(V401)&gt;0,V401,IF(CB401=1,MAX(1,N(VLOOKUP(T401,Parameter!$I$27:$K$29,3,0)),H401,N(N401)),IF(N(Q401)&gt;0,Q401,MAX(1,H401)))))</f>
        <v>2000</v>
      </c>
      <c r="CA401" s="65" t="n">
        <f aca="false">IF(BY401="LOSE",1,0)</f>
        <v>0</v>
      </c>
      <c r="CB401" s="65" t="n">
        <f aca="false">IF(AND(U401="",OR(P401="",P401="LOSE"),T401&lt;&gt;"",N(S401)&lt;=0,ISNUMBER(MATCH(T401,Parameter!$I$27:$I$29,0))),1,0)</f>
        <v>0</v>
      </c>
      <c r="CC401" s="65" t="n">
        <f aca="false">IF(CR401&gt;0,INDEX(Parameter!$H$5:$H$7,W401)/INDEX(Parameter!$E$5:$E$7,W401),IF(AND(CA401=0,N(IFERROR(VLOOKUP(BY401,'Gebinde-Kategorie'!$A$5:$N$45,14,0),0))&gt;0),VLOOKUP(BY401,'Gebinde-Kategorie'!$A$5:$N$45,14,0)*10+Parameter!$M$23,Parameter!$M$24))</f>
        <v>155</v>
      </c>
      <c r="CD401" s="60" t="str">
        <f aca="false">IF(AND(Parameter!$B$19="Ja",E401&lt;&gt;"",ISNUMBER(MATCH(E401,Parameter!$I$35:$I$52,0))),VLOOKUP(E401,Parameter!$I$35:$J$52,2,0),IFERROR(VLOOKUP(D401,Parameter!$A$35:$C$64,2,0),"Nein"))</f>
        <v>2+3</v>
      </c>
      <c r="CE401" s="64" t="n">
        <f aca="false">IF(CA401=0,0,IF(N(S401)&gt;0,S401,IFERROR(VLOOKUP(D401,Parameter!$A$35:$C$64,3,0)+0,0)))</f>
        <v>0</v>
      </c>
      <c r="CF401" s="60" t="n">
        <f aca="false">IF(AB401&lt;&gt;"",AB401,AA401)</f>
        <v>3</v>
      </c>
      <c r="CG401" s="60" t="str">
        <f aca="false">IF(OR(CF401=1,CF401=2,CF401=3),IF(Parameter!$E$27="Ja","LIFT",IF(CF401=1,"L1","L23")),IF(CF401="Aussen","Aussen","-"))</f>
        <v>LIFT</v>
      </c>
      <c r="CH401" s="71" t="n">
        <f aca="false">IF(N(AC401)&gt;0,AC401,0)</f>
        <v>0</v>
      </c>
      <c r="CI401" s="65" t="n">
        <f aca="false">IF(ISNUMBER(AF401),1,0)</f>
        <v>0</v>
      </c>
      <c r="CJ401" s="62" t="n">
        <f aca="false">N(AF401)</f>
        <v>0</v>
      </c>
      <c r="CK401" s="62" t="n">
        <f aca="false">N(M401)+N(N401)</f>
        <v>3159</v>
      </c>
      <c r="CL401" s="62" t="n">
        <f aca="false">N(M401)</f>
        <v>159</v>
      </c>
      <c r="CM401" s="62" t="n">
        <f aca="false">N(N401)</f>
        <v>3000</v>
      </c>
      <c r="CN401" s="62" t="n">
        <f aca="false">ROUNDUP(H401/BZ401,0)</f>
        <v>1</v>
      </c>
      <c r="CO401" s="62" t="n">
        <f aca="false">ROUNDUP(CJ401/BZ401,0)</f>
        <v>0</v>
      </c>
      <c r="CP401" s="65" t="n">
        <f aca="false">IF(CA401=1,0,IFERROR(VLOOKUP(BY401,'Gebinde-Kategorie'!$A$5:$N$45,5,0)+0,0))</f>
        <v>11</v>
      </c>
      <c r="CQ401" s="65" t="n">
        <f aca="false">IFERROR(IF(OR(CF401=1,CF401=2,CF401=3),N(INDEX(Parameter!$I$5:$I$7,CF401)),0),0)</f>
        <v>0</v>
      </c>
      <c r="CR401" s="64" t="n">
        <f aca="false">IF(AND(Parameter!$B$21="Ja",ISNUMBER(W401),N(X401)&gt;0),IFERROR(N(INDEX(Parameter!$L$5:$L$7,W401))*INDEX(Parameter!$E$5:$E$7,W401)*X401/SUMIFS($X$7:$X$1843,$W$7:$W$1843,W401),0),0)</f>
        <v>0</v>
      </c>
      <c r="CS401" s="62" t="n">
        <f aca="false">IF(AND(OR(CG401="L1",CG401="L23",CG401="LIFT"),H401&gt;0),CC401*IF(CR401&gt;0,CR401*MAX(1,H401/X401),IF(CA401=1,CE401,IF(R401&gt;0,CN401/R401,0))/MAX(0.1,N(Parameter!$M$21))),"")</f>
        <v>5.96153846153846</v>
      </c>
      <c r="CT401" s="64" t="n">
        <f aca="false">IF(CS401="","",J401/H401)</f>
        <v>1.53139013452915</v>
      </c>
      <c r="CU401" s="62" t="n">
        <f aca="false">IF(CS401="","",H401*G401)</f>
        <v>142.72</v>
      </c>
      <c r="CV401" s="63" t="n">
        <f aca="false">IF(CS401="","",(CL401+ROUNDUP(CL401+MAX(CM401,2*(J401/MAX(0.1,N(Einkauf!$C$6))-CL401)),0))/2)</f>
        <v>1659</v>
      </c>
      <c r="CW401" s="62" t="n">
        <f aca="false">IF(CS401="","",MAX(0,H401-CV401)*G401)</f>
        <v>10</v>
      </c>
      <c r="CX401" s="62" t="n">
        <f aca="false">IF(CS401="","",CS401*MAX(0,1-CV401/H401))</f>
        <v>0.417708692652639</v>
      </c>
      <c r="CY401" s="64" t="n">
        <f aca="false">IF(CS401="","",PERCENTRANK($CS$7:$CS$1843,CS401)+PERCENTRANK($CU$7:$CU$1843,CU401)+1-PERCENTRANK($CT$7:$CT$1843,CT401))</f>
        <v>0.878</v>
      </c>
      <c r="CZ401" s="72" t="n">
        <f aca="false">IF(CS401="","",CHOOSE(MATCH(Einkauf!$C$5,Parameter!$G$23:$G$27,0),CY401,CS401,CU401,-CT401,CW401)+ROW()/1000000000)</f>
        <v>0.878000401</v>
      </c>
    </row>
    <row r="402" customFormat="false" ht="15" hidden="false" customHeight="false" outlineLevel="0" collapsed="false">
      <c r="A402" s="60" t="s">
        <v>980</v>
      </c>
      <c r="B402" s="60" t="s">
        <v>981</v>
      </c>
      <c r="C402" s="60" t="s">
        <v>206</v>
      </c>
      <c r="D402" s="60" t="s">
        <v>215</v>
      </c>
      <c r="E402" s="60"/>
      <c r="F402" s="60" t="s">
        <v>260</v>
      </c>
      <c r="G402" s="61" t="n">
        <v>43</v>
      </c>
      <c r="H402" s="62" t="n">
        <f aca="false">MAX(0,IF(AND(Parameter!$B$21="Ja",ISNUMBER(Y402)),Y402,IF(Parameter!$B$20="Jahresanfang 2025 + Export",BS402+BR402,BR402)))</f>
        <v>10</v>
      </c>
      <c r="I402" s="62" t="n">
        <f aca="false">H402*G402</f>
        <v>430</v>
      </c>
      <c r="J402" s="62" t="n">
        <f aca="false">BU402*Parameter!$B$18</f>
        <v>12</v>
      </c>
      <c r="K402" s="63" t="n">
        <v>2</v>
      </c>
      <c r="L402" s="64" t="n">
        <v>6</v>
      </c>
      <c r="M402" s="62" t="n">
        <v>1</v>
      </c>
      <c r="N402" s="62" t="n">
        <v>10</v>
      </c>
      <c r="O402" s="65" t="n">
        <v>42</v>
      </c>
      <c r="P402" s="60" t="s">
        <v>210</v>
      </c>
      <c r="Q402" s="62"/>
      <c r="R402" s="65" t="n">
        <f aca="false">IF(CA402=1,0,IFERROR(VLOOKUP(BY402,'Gebinde-Kategorie'!$A$5:$N$45,13,0)+0,0))</f>
        <v>12</v>
      </c>
      <c r="S402" s="66"/>
      <c r="T402" s="67" t="s">
        <v>221</v>
      </c>
      <c r="U402" s="67"/>
      <c r="V402" s="67"/>
      <c r="W402" s="60"/>
      <c r="X402" s="62"/>
      <c r="Y402" s="62"/>
      <c r="Z402" s="60" t="n">
        <v>3</v>
      </c>
      <c r="AA402" s="60" t="n">
        <f aca="false">IF(A402="","",IF(AND(Parameter!$B$21="Ja",ISNUMBER(W402)),W402,IF(AND(Parameter!$E$27="Ja",ISNUMBER(Z402),CD402&lt;&gt;"Nein"),Z402,IF(CD402="2+3",IF(ISNUMBER(SEARCH("grosser Artikel",BV402)),2,IFERROR(VLOOKUP(BY402,Parameter!$F$35:$G$64,2,0),2)),IF(OR(CD402="Nein",CD402=""),"-",CD402)))))</f>
        <v>3</v>
      </c>
      <c r="AB402" s="67"/>
      <c r="AC402" s="68"/>
      <c r="AD402" s="62" t="n">
        <f aca="false">AW402</f>
        <v>11</v>
      </c>
      <c r="AE402" s="62" t="n">
        <f aca="false">MAX(AW402,H402)</f>
        <v>11</v>
      </c>
      <c r="AF402" s="69"/>
      <c r="AG402" s="62" t="n">
        <f aca="false">IF(LEFT(Cockpit!$C$5,1)="A",H402,IF(Parameter!$E$30="MAX-Bestand",IF(CI402=1,CJ402,IF(LEFT(Cockpit!$C$5,1)="B",AM402,MAX(AM402,H402))),ROUNDUP(AK402,0)))</f>
        <v>10</v>
      </c>
      <c r="AH402" s="62" t="n">
        <f aca="false">IF(CA402=1,0,ROUNDUP(AG402/BZ402,0))</f>
        <v>1</v>
      </c>
      <c r="AI402" s="64" t="n">
        <f aca="false">IF(CR402&gt;0,CR402*MAX(1,AG402/X402),IF(CA402=1,IF(AG402&lt;=0,0,CE402*MAX(1,IF(H402&gt;0,AG402/H402,1))),IF(R402&gt;0,AH402/R402,0))/MAX(0.1,N(Parameter!$M$21)))</f>
        <v>0.0833333333333333</v>
      </c>
      <c r="AJ402" s="62" t="n">
        <f aca="false">AI402*CC402</f>
        <v>12.0833333333333</v>
      </c>
      <c r="AK402" s="63" t="n">
        <f aca="false">IF(LEFT(Cockpit!$C$5,1)="A",H402,IF(CI402=1,(CL402+CJ402)/2,IF(LEFT(Cockpit!$C$5,1)="B",(CL402+AM402)/2,MAX((CL402+AM402)/2,H402))))</f>
        <v>10</v>
      </c>
      <c r="AL402" s="62" t="n">
        <f aca="false">AK402*G402</f>
        <v>430</v>
      </c>
      <c r="AM402" s="62" t="n">
        <f aca="false">ROUNDUP(CL402+MAX(CM402,2*(J402/IF(CH402&gt;0,CH402,MAX(0.1,N(Cockpit!$C$6)))-CL402)),0)</f>
        <v>11</v>
      </c>
      <c r="AN402" s="63" t="n">
        <f aca="false">IF(AJ402&gt;0,J402/AJ402,-1)</f>
        <v>0.993103448275862</v>
      </c>
      <c r="AO402" s="63" t="n">
        <f aca="false">IF(AND(OR(CG402="L1",CG402="L23",CG402="LIFT"),AJ402&gt;0),SUMIFS($AJ$7:$AJ$1843,$CG$7:$CG$1843,CG402,$AN$7:$AN$1843,"&gt;"&amp;AN402)+SUMIFS($AJ$7:$AJ$1843,$CG$7:$CG$1843,CG402,$AN$7:$AN$1843,AN402,$BX$7:$BX$1843,"&lt;="&amp;BX402),"")</f>
        <v>7062.5260989011</v>
      </c>
      <c r="AP402" s="70" t="n">
        <f aca="false">IF(AO402="",0,MAX(0,MIN(1,(IF(CG402="L1",Parameter!$H$5,IF(CG402="L23",Parameter!$H$6+Parameter!$H$7,Parameter!$H$5+Parameter!$H$6+Parameter!$H$7))-(AO402-AJ402))/AJ402)))</f>
        <v>1</v>
      </c>
      <c r="AQ402" s="62" t="n">
        <f aca="false">IF(LEFT(Cockpit!$I$5,1)="A",H402,IF(Parameter!$E$30="MAX-Bestand",IF(CI402=1,CJ402,IF(LEFT(Cockpit!$I$5,1)="B",AW402,MAX(AW402,H402))),ROUNDUP(AU402,0)))</f>
        <v>10</v>
      </c>
      <c r="AR402" s="62" t="n">
        <f aca="false">IF(CA402=1,0,ROUNDUP(AQ402/BZ402,0))</f>
        <v>1</v>
      </c>
      <c r="AS402" s="64" t="n">
        <f aca="false">IF(CR402&gt;0,CR402*MAX(1,AQ402/X402),IF(CA402=1,IF(AQ402&lt;=0,0,CE402*MAX(1,IF(H402&gt;0,AQ402/H402,1))),IF(R402&gt;0,AR402/R402,0))/MAX(0.1,N(Parameter!$M$21)))</f>
        <v>0.0833333333333333</v>
      </c>
      <c r="AT402" s="62" t="n">
        <f aca="false">AS402*CC402</f>
        <v>12.0833333333333</v>
      </c>
      <c r="AU402" s="63" t="n">
        <f aca="false">IF(LEFT(Cockpit!$I$5,1)="A",H402,IF(CI402=1,(CL402+CJ402)/2,IF(LEFT(Cockpit!$I$5,1)="B",(CL402+AW402)/2,MAX((CL402+AW402)/2,H402))))</f>
        <v>10</v>
      </c>
      <c r="AV402" s="62" t="n">
        <f aca="false">AU402*G402</f>
        <v>430</v>
      </c>
      <c r="AW402" s="62" t="n">
        <f aca="false">ROUNDUP(CL402+MAX(CM402,2*(J402/IF(CH402&gt;0,CH402,MAX(0.1,N(Cockpit!$I$6)))-CL402)),0)</f>
        <v>11</v>
      </c>
      <c r="AX402" s="63" t="n">
        <f aca="false">IF(AT402&gt;0,J402/AT402,-1)</f>
        <v>0.993103448275862</v>
      </c>
      <c r="AY402" s="63" t="n">
        <f aca="false">IF(AND(OR(CG402="L1",CG402="L23",CG402="LIFT"),AT402&gt;0),SUMIFS($AT$7:$AT$1843,$CG$7:$CG$1843,CG402,$AX$7:$AX$1843,"&gt;"&amp;AX402)+SUMIFS($AT$7:$AT$1843,$CG$7:$CG$1843,CG402,$AX$7:$AX$1843,AX402,$BX$7:$BX$1843,"&lt;="&amp;BX402),"")</f>
        <v>8434.20970695971</v>
      </c>
      <c r="AZ402" s="70" t="n">
        <f aca="false">IF(AY402="",0,MAX(0,MIN(1,(IF(CG402="L1",Parameter!$H$5,IF(CG402="L23",Parameter!$H$6+Parameter!$H$7,Parameter!$H$5+Parameter!$H$6+Parameter!$H$7))-(AY402-AT402))/AT402)))</f>
        <v>1</v>
      </c>
      <c r="BA402" s="62" t="n">
        <f aca="false">IF(LEFT(Cockpit!$O$5,1)="A",H402,IF(Parameter!$E$30="MAX-Bestand",IF(CI402=1,CJ402,IF(LEFT(Cockpit!$O$5,1)="B",BG402,MAX(BG402,H402))),ROUNDUP(BE402,0)))</f>
        <v>6</v>
      </c>
      <c r="BB402" s="62" t="n">
        <f aca="false">IF(CA402=1,0,ROUNDUP(BA402/BZ402,0))</f>
        <v>1</v>
      </c>
      <c r="BC402" s="64" t="n">
        <f aca="false">IF(CR402&gt;0,CR402*MAX(1,BA402/X402),IF(CA402=1,IF(BA402&lt;=0,0,CE402*MAX(1,IF(H402&gt;0,BA402/H402,1))),IF(R402&gt;0,BB402/R402,0))/MAX(0.1,N(Parameter!$M$21)))</f>
        <v>0.0833333333333333</v>
      </c>
      <c r="BD402" s="62" t="n">
        <f aca="false">BC402*CC402</f>
        <v>12.0833333333333</v>
      </c>
      <c r="BE402" s="63" t="n">
        <f aca="false">IF(LEFT(Cockpit!$O$5,1)="A",H402,IF(CI402=1,(CL402+CJ402)/2,IF(LEFT(Cockpit!$O$5,1)="B",(CL402+BG402)/2,MAX((CL402+BG402)/2,H402))))</f>
        <v>6</v>
      </c>
      <c r="BF402" s="62" t="n">
        <f aca="false">BE402*G402</f>
        <v>258</v>
      </c>
      <c r="BG402" s="62" t="n">
        <f aca="false">ROUNDUP(CL402+MAX(CM402,2*(J402/IF(CH402&gt;0,CH402,MAX(0.1,N(Cockpit!$O$6)))-CL402)),0)</f>
        <v>11</v>
      </c>
      <c r="BH402" s="63" t="n">
        <f aca="false">IF(BD402&gt;0,J402/BD402,-1)</f>
        <v>0.993103448275862</v>
      </c>
      <c r="BI402" s="63" t="n">
        <f aca="false">IF(AND(OR(CG402="L1",CG402="L23",CG402="LIFT"),BD402&gt;0),SUMIFS($BD$7:$BD$1843,$CG$7:$CG$1843,CG402,$BH$7:$BH$1843,"&gt;"&amp;BH402)+SUMIFS($BD$7:$BD$1843,$CG$7:$CG$1843,CG402,$BH$7:$BH$1843,BH402,$BX$7:$BX$1843,"&lt;="&amp;BX402),"")</f>
        <v>7672.3228021978</v>
      </c>
      <c r="BJ402" s="70" t="n">
        <f aca="false">IF(BI402="",0,MAX(0,MIN(1,(IF(CG402="L1",Parameter!$H$5,IF(CG402="L23",Parameter!$H$6+Parameter!$H$7,Parameter!$H$5+Parameter!$H$6+Parameter!$H$7))-(BI402-BD402))/BD402)))</f>
        <v>1</v>
      </c>
      <c r="BK402" s="60" t="str">
        <f aca="false">IF(AJ402&lt;=0,"",IF(CG402="Aussen","Aussenlager",IF(CG402="-","Nicht im Lift",IF(AP402&gt;=1,"Lift",IF(AP402&lt;=0,"Aussenlager","teilweise")))))</f>
        <v>Lift</v>
      </c>
      <c r="BL402" s="60" t="str">
        <f aca="false">IF(AT402&lt;=0,"",IF(CG402="Aussen","Aussenlager",IF(CG402="-","Nicht im Lift",IF(AZ402&gt;=1,"Lift",IF(AZ402&lt;=0,"Aussenlager","teilweise")))))</f>
        <v>Lift</v>
      </c>
      <c r="BM402" s="60" t="str">
        <f aca="false">IF(BD402&lt;=0,"",IF(CG402="Aussen","Aussenlager",IF(CG402="-","Nicht im Lift",IF(BJ402&gt;=1,"Lift",IF(BJ402&lt;=0,"Aussenlager","teilweise")))))</f>
        <v>Lift</v>
      </c>
      <c r="BN402" s="60" t="str">
        <f aca="false">IF(A402="","",IF(BW402=1,"Neu; ","")&amp;IF(AND(BW402=0,BR402&lt;0),"negativer Bestand (Export "&amp;BR402&amp;"); ","")&amp;IF(J402&lt;=0,"Kein Verbrauch; ","")&amp;IF(CR402&gt;0,"Lift "&amp;W402&amp;" lt. Liftbericht (Fach "&amp;X402&amp;" Stk); ",IF(CB402=1,"Gebinde geschätzt ("&amp;T402&amp;"); ",IF(CA402=1,"Lose – Tablare geschätzt; ","")))&amp;IF(H402&gt;AW402,"Überbestand "&amp;ROUND(H402-AW402,0)&amp;" Stk / CHF "&amp;ROUND((H402-AW402)*G402,0)&amp;"; ","")&amp;IF(AND(CI402=1,CJ402&lt;CK402),"MAX &lt; MB+LG; ","")&amp;IF(AND(CQ402&gt;0,CP402*10&gt;CQ402),"zu hoch für Tablar; ","")&amp;IF(AND(BW402=0,OR(CI402=1,AB402&lt;&gt;"",U402&lt;&gt;"",V402&lt;&gt;"",AC402&lt;&gt;"")),"manuell übersteuert; ","")&amp;IF(AND(CA402=0,R402=0),"Gebinde unbekannt / Stellmass fehlt; ","")&amp;IF(AND(CA402=0,N(V402)&lt;=0,N(Q402)&lt;=0),"Menge pro Gebinde fehlt (Ist = 1 Gebinde); ","")&amp;BV402)</f>
        <v>Gebinde geschätzt (Mittel); Menge pro Gebinde fehlt (Ist = 1 Gebinde); </v>
      </c>
      <c r="BO402" s="60"/>
      <c r="BP402" s="60"/>
      <c r="BQ402" s="67"/>
      <c r="BR402" s="62" t="n">
        <v>6</v>
      </c>
      <c r="BS402" s="62" t="n">
        <v>4</v>
      </c>
      <c r="BT402" s="61" t="n">
        <v>110</v>
      </c>
      <c r="BU402" s="62" t="n">
        <v>12</v>
      </c>
      <c r="BV402" s="60"/>
      <c r="BW402" s="65" t="n">
        <v>0</v>
      </c>
      <c r="BX402" s="65" t="n">
        <v>402</v>
      </c>
      <c r="BY402" s="60" t="str">
        <f aca="false">IF(U402&lt;&gt;"",UPPER(TRIM(U402)),IF(CB402=1,UPPER(VLOOKUP(T402,Parameter!$I$27:$K$29,2,0)),IF(P402="","LOSE",P402)))</f>
        <v>S61</v>
      </c>
      <c r="BZ402" s="62" t="n">
        <f aca="false">IF(BY402="LOSE",1,IF(N(V402)&gt;0,V402,IF(CB402=1,MAX(1,N(VLOOKUP(T402,Parameter!$I$27:$K$29,3,0)),H402,N(N402)),IF(N(Q402)&gt;0,Q402,MAX(1,H402)))))</f>
        <v>10</v>
      </c>
      <c r="CA402" s="65" t="n">
        <f aca="false">IF(BY402="LOSE",1,0)</f>
        <v>0</v>
      </c>
      <c r="CB402" s="65" t="n">
        <f aca="false">IF(AND(U402="",OR(P402="",P402="LOSE"),T402&lt;&gt;"",N(S402)&lt;=0,ISNUMBER(MATCH(T402,Parameter!$I$27:$I$29,0))),1,0)</f>
        <v>1</v>
      </c>
      <c r="CC402" s="65" t="n">
        <f aca="false">IF(CR402&gt;0,INDEX(Parameter!$H$5:$H$7,W402)/INDEX(Parameter!$E$5:$E$7,W402),IF(AND(CA402=0,N(IFERROR(VLOOKUP(BY402,'Gebinde-Kategorie'!$A$5:$N$45,14,0),0))&gt;0),VLOOKUP(BY402,'Gebinde-Kategorie'!$A$5:$N$45,14,0)*10+Parameter!$M$23,Parameter!$M$24))</f>
        <v>145</v>
      </c>
      <c r="CD402" s="60" t="str">
        <f aca="false">IF(AND(Parameter!$B$19="Ja",E402&lt;&gt;"",ISNUMBER(MATCH(E402,Parameter!$I$35:$I$52,0))),VLOOKUP(E402,Parameter!$I$35:$J$52,2,0),IFERROR(VLOOKUP(D402,Parameter!$A$35:$C$64,2,0),"Nein"))</f>
        <v>2+3</v>
      </c>
      <c r="CE402" s="64" t="n">
        <f aca="false">IF(CA402=0,0,IF(N(S402)&gt;0,S402,IFERROR(VLOOKUP(D402,Parameter!$A$35:$C$64,3,0)+0,0)))</f>
        <v>0</v>
      </c>
      <c r="CF402" s="60" t="n">
        <f aca="false">IF(AB402&lt;&gt;"",AB402,AA402)</f>
        <v>3</v>
      </c>
      <c r="CG402" s="60" t="str">
        <f aca="false">IF(OR(CF402=1,CF402=2,CF402=3),IF(Parameter!$E$27="Ja","LIFT",IF(CF402=1,"L1","L23")),IF(CF402="Aussen","Aussen","-"))</f>
        <v>LIFT</v>
      </c>
      <c r="CH402" s="71" t="n">
        <f aca="false">IF(N(AC402)&gt;0,AC402,0)</f>
        <v>0</v>
      </c>
      <c r="CI402" s="65" t="n">
        <f aca="false">IF(ISNUMBER(AF402),1,0)</f>
        <v>0</v>
      </c>
      <c r="CJ402" s="62" t="n">
        <f aca="false">N(AF402)</f>
        <v>0</v>
      </c>
      <c r="CK402" s="62" t="n">
        <f aca="false">N(M402)+N(N402)</f>
        <v>11</v>
      </c>
      <c r="CL402" s="62" t="n">
        <f aca="false">N(M402)</f>
        <v>1</v>
      </c>
      <c r="CM402" s="62" t="n">
        <f aca="false">N(N402)</f>
        <v>10</v>
      </c>
      <c r="CN402" s="62" t="n">
        <f aca="false">ROUNDUP(H402/BZ402,0)</f>
        <v>1</v>
      </c>
      <c r="CO402" s="62" t="n">
        <f aca="false">ROUNDUP(CJ402/BZ402,0)</f>
        <v>0</v>
      </c>
      <c r="CP402" s="65" t="n">
        <f aca="false">IF(CA402=1,0,IFERROR(VLOOKUP(BY402,'Gebinde-Kategorie'!$A$5:$N$45,5,0)+0,0))</f>
        <v>11</v>
      </c>
      <c r="CQ402" s="65" t="n">
        <f aca="false">IFERROR(IF(OR(CF402=1,CF402=2,CF402=3),N(INDEX(Parameter!$I$5:$I$7,CF402)),0),0)</f>
        <v>0</v>
      </c>
      <c r="CR402" s="64" t="n">
        <f aca="false">IF(AND(Parameter!$B$21="Ja",ISNUMBER(W402),N(X402)&gt;0),IFERROR(N(INDEX(Parameter!$L$5:$L$7,W402))*INDEX(Parameter!$E$5:$E$7,W402)*X402/SUMIFS($X$7:$X$1843,$W$7:$W$1843,W402),0),0)</f>
        <v>0</v>
      </c>
      <c r="CS402" s="62" t="n">
        <f aca="false">IF(AND(OR(CG402="L1",CG402="L23",CG402="LIFT"),H402&gt;0),CC402*IF(CR402&gt;0,CR402*MAX(1,H402/X402),IF(CA402=1,CE402,IF(R402&gt;0,CN402/R402,0))/MAX(0.1,N(Parameter!$M$21))),"")</f>
        <v>12.0833333333333</v>
      </c>
      <c r="CT402" s="64" t="n">
        <f aca="false">IF(CS402="","",J402/H402)</f>
        <v>1.2</v>
      </c>
      <c r="CU402" s="62" t="n">
        <f aca="false">IF(CS402="","",H402*G402)</f>
        <v>430</v>
      </c>
      <c r="CV402" s="63" t="n">
        <f aca="false">IF(CS402="","",(CL402+ROUNDUP(CL402+MAX(CM402,2*(J402/MAX(0.1,N(Einkauf!$C$6))-CL402)),0))/2)</f>
        <v>6</v>
      </c>
      <c r="CW402" s="62" t="n">
        <f aca="false">IF(CS402="","",MAX(0,H402-CV402)*G402)</f>
        <v>172</v>
      </c>
      <c r="CX402" s="62" t="n">
        <f aca="false">IF(CS402="","",CS402*MAX(0,1-CV402/H402))</f>
        <v>4.83333333333333</v>
      </c>
      <c r="CY402" s="64" t="n">
        <f aca="false">IF(CS402="","",PERCENTRANK($CS$7:$CS$1843,CS402)+PERCENTRANK($CU$7:$CU$1843,CU402)+1-PERCENTRANK($CT$7:$CT$1843,CT402))</f>
        <v>1.432</v>
      </c>
      <c r="CZ402" s="72" t="n">
        <f aca="false">IF(CS402="","",CHOOSE(MATCH(Einkauf!$C$5,Parameter!$G$23:$G$27,0),CY402,CS402,CU402,-CT402,CW402)+ROW()/1000000000)</f>
        <v>1.432000402</v>
      </c>
    </row>
    <row r="403" customFormat="false" ht="15" hidden="false" customHeight="false" outlineLevel="0" collapsed="false">
      <c r="A403" s="60" t="s">
        <v>982</v>
      </c>
      <c r="B403" s="60" t="s">
        <v>983</v>
      </c>
      <c r="C403" s="60" t="s">
        <v>206</v>
      </c>
      <c r="D403" s="60" t="s">
        <v>215</v>
      </c>
      <c r="E403" s="60" t="s">
        <v>412</v>
      </c>
      <c r="F403" s="60" t="s">
        <v>260</v>
      </c>
      <c r="G403" s="61" t="n">
        <v>406.5</v>
      </c>
      <c r="H403" s="62" t="n">
        <f aca="false">MAX(0,IF(AND(Parameter!$B$21="Ja",ISNUMBER(Y403)),Y403,IF(Parameter!$B$20="Jahresanfang 2025 + Export",BS403+BR403,BR403)))</f>
        <v>1</v>
      </c>
      <c r="I403" s="62" t="n">
        <f aca="false">H403*G403</f>
        <v>406.5</v>
      </c>
      <c r="J403" s="62" t="n">
        <f aca="false">BU403*Parameter!$B$18</f>
        <v>12</v>
      </c>
      <c r="K403" s="63" t="n">
        <v>0.5</v>
      </c>
      <c r="L403" s="64" t="n">
        <v>24</v>
      </c>
      <c r="M403" s="62" t="n">
        <v>0</v>
      </c>
      <c r="N403" s="62" t="n">
        <v>1</v>
      </c>
      <c r="O403" s="65" t="n">
        <v>14</v>
      </c>
      <c r="P403" s="60" t="s">
        <v>210</v>
      </c>
      <c r="Q403" s="62"/>
      <c r="R403" s="65" t="n">
        <f aca="false">IF(CA403=1,0,IFERROR(VLOOKUP(BY403,'Gebinde-Kategorie'!$A$5:$N$45,13,0)+0,0))</f>
        <v>4</v>
      </c>
      <c r="S403" s="66"/>
      <c r="T403" s="67" t="s">
        <v>231</v>
      </c>
      <c r="U403" s="67"/>
      <c r="V403" s="67"/>
      <c r="W403" s="60"/>
      <c r="X403" s="62"/>
      <c r="Y403" s="62"/>
      <c r="Z403" s="60"/>
      <c r="AA403" s="60" t="str">
        <f aca="false">IF(A403="","",IF(AND(Parameter!$B$21="Ja",ISNUMBER(W403)),W403,IF(AND(Parameter!$E$27="Ja",ISNUMBER(Z403),CD403&lt;&gt;"Nein"),Z403,IF(CD403="2+3",IF(ISNUMBER(SEARCH("grosser Artikel",BV403)),2,IFERROR(VLOOKUP(BY403,Parameter!$F$35:$G$64,2,0),2)),IF(OR(CD403="Nein",CD403=""),"-",CD403)))))</f>
        <v>-</v>
      </c>
      <c r="AB403" s="67"/>
      <c r="AC403" s="68"/>
      <c r="AD403" s="62" t="n">
        <f aca="false">AW403</f>
        <v>8</v>
      </c>
      <c r="AE403" s="62" t="n">
        <f aca="false">MAX(AW403,H403)</f>
        <v>8</v>
      </c>
      <c r="AF403" s="69"/>
      <c r="AG403" s="62" t="n">
        <f aca="false">IF(LEFT(Cockpit!$C$5,1)="A",H403,IF(Parameter!$E$30="MAX-Bestand",IF(CI403=1,CJ403,IF(LEFT(Cockpit!$C$5,1)="B",AM403,MAX(AM403,H403))),ROUNDUP(AK403,0)))</f>
        <v>1</v>
      </c>
      <c r="AH403" s="62" t="n">
        <f aca="false">IF(CA403=1,0,ROUNDUP(AG403/BZ403,0))</f>
        <v>1</v>
      </c>
      <c r="AI403" s="64" t="n">
        <f aca="false">IF(CR403&gt;0,CR403*MAX(1,AG403/X403),IF(CA403=1,IF(AG403&lt;=0,0,CE403*MAX(1,IF(H403&gt;0,AG403/H403,1))),IF(R403&gt;0,AH403/R403,0))/MAX(0.1,N(Parameter!$M$21)))</f>
        <v>0.25</v>
      </c>
      <c r="AJ403" s="62" t="n">
        <f aca="false">AI403*CC403</f>
        <v>58.75</v>
      </c>
      <c r="AK403" s="63" t="n">
        <f aca="false">IF(LEFT(Cockpit!$C$5,1)="A",H403,IF(CI403=1,(CL403+CJ403)/2,IF(LEFT(Cockpit!$C$5,1)="B",(CL403+AM403)/2,MAX((CL403+AM403)/2,H403))))</f>
        <v>1</v>
      </c>
      <c r="AL403" s="62" t="n">
        <f aca="false">AK403*G403</f>
        <v>406.5</v>
      </c>
      <c r="AM403" s="62" t="n">
        <f aca="false">ROUNDUP(CL403+MAX(CM403,2*(J403/IF(CH403&gt;0,CH403,MAX(0.1,N(Cockpit!$C$6)))-CL403)),0)</f>
        <v>8</v>
      </c>
      <c r="AN403" s="63" t="n">
        <f aca="false">IF(AJ403&gt;0,J403/AJ403,-1)</f>
        <v>0.204255319148936</v>
      </c>
      <c r="AO403" s="63" t="str">
        <f aca="false">IF(AND(OR(CG403="L1",CG403="L23",CG403="LIFT"),AJ403&gt;0),SUMIFS($AJ$7:$AJ$1843,$CG$7:$CG$1843,CG403,$AN$7:$AN$1843,"&gt;"&amp;AN403)+SUMIFS($AJ$7:$AJ$1843,$CG$7:$CG$1843,CG403,$AN$7:$AN$1843,AN403,$BX$7:$BX$1843,"&lt;="&amp;BX403),"")</f>
        <v/>
      </c>
      <c r="AP403" s="70" t="n">
        <f aca="false">IF(AO403="",0,MAX(0,MIN(1,(IF(CG403="L1",Parameter!$H$5,IF(CG403="L23",Parameter!$H$6+Parameter!$H$7,Parameter!$H$5+Parameter!$H$6+Parameter!$H$7))-(AO403-AJ403))/AJ403)))</f>
        <v>0</v>
      </c>
      <c r="AQ403" s="62" t="n">
        <f aca="false">IF(LEFT(Cockpit!$I$5,1)="A",H403,IF(Parameter!$E$30="MAX-Bestand",IF(CI403=1,CJ403,IF(LEFT(Cockpit!$I$5,1)="B",AW403,MAX(AW403,H403))),ROUNDUP(AU403,0)))</f>
        <v>4</v>
      </c>
      <c r="AR403" s="62" t="n">
        <f aca="false">IF(CA403=1,0,ROUNDUP(AQ403/BZ403,0))</f>
        <v>2</v>
      </c>
      <c r="AS403" s="64" t="n">
        <f aca="false">IF(CR403&gt;0,CR403*MAX(1,AQ403/X403),IF(CA403=1,IF(AQ403&lt;=0,0,CE403*MAX(1,IF(H403&gt;0,AQ403/H403,1))),IF(R403&gt;0,AR403/R403,0))/MAX(0.1,N(Parameter!$M$21)))</f>
        <v>0.5</v>
      </c>
      <c r="AT403" s="62" t="n">
        <f aca="false">AS403*CC403</f>
        <v>117.5</v>
      </c>
      <c r="AU403" s="63" t="n">
        <f aca="false">IF(LEFT(Cockpit!$I$5,1)="A",H403,IF(CI403=1,(CL403+CJ403)/2,IF(LEFT(Cockpit!$I$5,1)="B",(CL403+AW403)/2,MAX((CL403+AW403)/2,H403))))</f>
        <v>4</v>
      </c>
      <c r="AV403" s="62" t="n">
        <f aca="false">AU403*G403</f>
        <v>1626</v>
      </c>
      <c r="AW403" s="62" t="n">
        <f aca="false">ROUNDUP(CL403+MAX(CM403,2*(J403/IF(CH403&gt;0,CH403,MAX(0.1,N(Cockpit!$I$6)))-CL403)),0)</f>
        <v>8</v>
      </c>
      <c r="AX403" s="63" t="n">
        <f aca="false">IF(AT403&gt;0,J403/AT403,-1)</f>
        <v>0.102127659574468</v>
      </c>
      <c r="AY403" s="63" t="str">
        <f aca="false">IF(AND(OR(CG403="L1",CG403="L23",CG403="LIFT"),AT403&gt;0),SUMIFS($AT$7:$AT$1843,$CG$7:$CG$1843,CG403,$AX$7:$AX$1843,"&gt;"&amp;AX403)+SUMIFS($AT$7:$AT$1843,$CG$7:$CG$1843,CG403,$AX$7:$AX$1843,AX403,$BX$7:$BX$1843,"&lt;="&amp;BX403),"")</f>
        <v/>
      </c>
      <c r="AZ403" s="70" t="n">
        <f aca="false">IF(AY403="",0,MAX(0,MIN(1,(IF(CG403="L1",Parameter!$H$5,IF(CG403="L23",Parameter!$H$6+Parameter!$H$7,Parameter!$H$5+Parameter!$H$6+Parameter!$H$7))-(AY403-AT403))/AT403)))</f>
        <v>0</v>
      </c>
      <c r="BA403" s="62" t="n">
        <f aca="false">IF(LEFT(Cockpit!$O$5,1)="A",H403,IF(Parameter!$E$30="MAX-Bestand",IF(CI403=1,CJ403,IF(LEFT(Cockpit!$O$5,1)="B",BG403,MAX(BG403,H403))),ROUNDUP(BE403,0)))</f>
        <v>3</v>
      </c>
      <c r="BB403" s="62" t="n">
        <f aca="false">IF(CA403=1,0,ROUNDUP(BA403/BZ403,0))</f>
        <v>2</v>
      </c>
      <c r="BC403" s="64" t="n">
        <f aca="false">IF(CR403&gt;0,CR403*MAX(1,BA403/X403),IF(CA403=1,IF(BA403&lt;=0,0,CE403*MAX(1,IF(H403&gt;0,BA403/H403,1))),IF(R403&gt;0,BB403/R403,0))/MAX(0.1,N(Parameter!$M$21)))</f>
        <v>0.5</v>
      </c>
      <c r="BD403" s="62" t="n">
        <f aca="false">BC403*CC403</f>
        <v>117.5</v>
      </c>
      <c r="BE403" s="63" t="n">
        <f aca="false">IF(LEFT(Cockpit!$O$5,1)="A",H403,IF(CI403=1,(CL403+CJ403)/2,IF(LEFT(Cockpit!$O$5,1)="B",(CL403+BG403)/2,MAX((CL403+BG403)/2,H403))))</f>
        <v>3</v>
      </c>
      <c r="BF403" s="62" t="n">
        <f aca="false">BE403*G403</f>
        <v>1219.5</v>
      </c>
      <c r="BG403" s="62" t="n">
        <f aca="false">ROUNDUP(CL403+MAX(CM403,2*(J403/IF(CH403&gt;0,CH403,MAX(0.1,N(Cockpit!$O$6)))-CL403)),0)</f>
        <v>6</v>
      </c>
      <c r="BH403" s="63" t="n">
        <f aca="false">IF(BD403&gt;0,J403/BD403,-1)</f>
        <v>0.102127659574468</v>
      </c>
      <c r="BI403" s="63" t="str">
        <f aca="false">IF(AND(OR(CG403="L1",CG403="L23",CG403="LIFT"),BD403&gt;0),SUMIFS($BD$7:$BD$1843,$CG$7:$CG$1843,CG403,$BH$7:$BH$1843,"&gt;"&amp;BH403)+SUMIFS($BD$7:$BD$1843,$CG$7:$CG$1843,CG403,$BH$7:$BH$1843,BH403,$BX$7:$BX$1843,"&lt;="&amp;BX403),"")</f>
        <v/>
      </c>
      <c r="BJ403" s="70" t="n">
        <f aca="false">IF(BI403="",0,MAX(0,MIN(1,(IF(CG403="L1",Parameter!$H$5,IF(CG403="L23",Parameter!$H$6+Parameter!$H$7,Parameter!$H$5+Parameter!$H$6+Parameter!$H$7))-(BI403-BD403))/BD403)))</f>
        <v>0</v>
      </c>
      <c r="BK403" s="60" t="str">
        <f aca="false">IF(AJ403&lt;=0,"",IF(CG403="Aussen","Aussenlager",IF(CG403="-","Nicht im Lift",IF(AP403&gt;=1,"Lift",IF(AP403&lt;=0,"Aussenlager","teilweise")))))</f>
        <v>Nicht im Lift</v>
      </c>
      <c r="BL403" s="60" t="str">
        <f aca="false">IF(AT403&lt;=0,"",IF(CG403="Aussen","Aussenlager",IF(CG403="-","Nicht im Lift",IF(AZ403&gt;=1,"Lift",IF(AZ403&lt;=0,"Aussenlager","teilweise")))))</f>
        <v>Nicht im Lift</v>
      </c>
      <c r="BM403" s="60" t="str">
        <f aca="false">IF(BD403&lt;=0,"",IF(CG403="Aussen","Aussenlager",IF(CG403="-","Nicht im Lift",IF(BJ403&gt;=1,"Lift",IF(BJ403&lt;=0,"Aussenlager","teilweise")))))</f>
        <v>Nicht im Lift</v>
      </c>
      <c r="BN403" s="60" t="str">
        <f aca="false">IF(A403="","",IF(BW403=1,"Neu; ","")&amp;IF(AND(BW403=0,BR403&lt;0),"negativer Bestand (Export "&amp;BR403&amp;"); ","")&amp;IF(J403&lt;=0,"Kein Verbrauch; ","")&amp;IF(CR403&gt;0,"Lift "&amp;W403&amp;" lt. Liftbericht (Fach "&amp;X403&amp;" Stk); ",IF(CB403=1,"Gebinde geschätzt ("&amp;T403&amp;"); ",IF(CA403=1,"Lose – Tablare geschätzt; ","")))&amp;IF(H403&gt;AW403,"Überbestand "&amp;ROUND(H403-AW403,0)&amp;" Stk / CHF "&amp;ROUND((H403-AW403)*G403,0)&amp;"; ","")&amp;IF(AND(CI403=1,CJ403&lt;CK403),"MAX &lt; MB+LG; ","")&amp;IF(AND(CQ403&gt;0,CP403*10&gt;CQ403),"zu hoch für Tablar; ","")&amp;IF(AND(BW403=0,OR(CI403=1,AB403&lt;&gt;"",U403&lt;&gt;"",V403&lt;&gt;"",AC403&lt;&gt;"")),"manuell übersteuert; ","")&amp;IF(AND(CA403=0,R403=0),"Gebinde unbekannt / Stellmass fehlt; ","")&amp;IF(AND(CA403=0,N(V403)&lt;=0,N(Q403)&lt;=0),"Menge pro Gebinde fehlt (Ist = 1 Gebinde); ","")&amp;BV403)</f>
        <v>Gebinde geschätzt (Gross); Menge pro Gebinde fehlt (Ist = 1 Gebinde); </v>
      </c>
      <c r="BO403" s="60"/>
      <c r="BP403" s="60"/>
      <c r="BQ403" s="67"/>
      <c r="BR403" s="62" t="n">
        <v>0</v>
      </c>
      <c r="BS403" s="62" t="n">
        <v>1</v>
      </c>
      <c r="BT403" s="61" t="n">
        <v>108.3</v>
      </c>
      <c r="BU403" s="62" t="n">
        <v>12</v>
      </c>
      <c r="BV403" s="60"/>
      <c r="BW403" s="65" t="n">
        <v>0</v>
      </c>
      <c r="BX403" s="65" t="n">
        <v>403</v>
      </c>
      <c r="BY403" s="60" t="str">
        <f aca="false">IF(U403&lt;&gt;"",UPPER(TRIM(U403)),IF(CB403=1,UPPER(VLOOKUP(T403,Parameter!$I$27:$K$29,2,0)),IF(P403="","LOSE",P403)))</f>
        <v>S81</v>
      </c>
      <c r="BZ403" s="62" t="n">
        <f aca="false">IF(BY403="LOSE",1,IF(N(V403)&gt;0,V403,IF(CB403=1,MAX(1,N(VLOOKUP(T403,Parameter!$I$27:$K$29,3,0)),H403,N(N403)),IF(N(Q403)&gt;0,Q403,MAX(1,H403)))))</f>
        <v>2</v>
      </c>
      <c r="CA403" s="65" t="n">
        <f aca="false">IF(BY403="LOSE",1,0)</f>
        <v>0</v>
      </c>
      <c r="CB403" s="65" t="n">
        <f aca="false">IF(AND(U403="",OR(P403="",P403="LOSE"),T403&lt;&gt;"",N(S403)&lt;=0,ISNUMBER(MATCH(T403,Parameter!$I$27:$I$29,0))),1,0)</f>
        <v>1</v>
      </c>
      <c r="CC403" s="65" t="n">
        <f aca="false">IF(CR403&gt;0,INDEX(Parameter!$H$5:$H$7,W403)/INDEX(Parameter!$E$5:$E$7,W403),IF(AND(CA403=0,N(IFERROR(VLOOKUP(BY403,'Gebinde-Kategorie'!$A$5:$N$45,14,0),0))&gt;0),VLOOKUP(BY403,'Gebinde-Kategorie'!$A$5:$N$45,14,0)*10+Parameter!$M$23,Parameter!$M$24))</f>
        <v>235</v>
      </c>
      <c r="CD403" s="60" t="str">
        <f aca="false">IF(AND(Parameter!$B$19="Ja",E403&lt;&gt;"",ISNUMBER(MATCH(E403,Parameter!$I$35:$I$52,0))),VLOOKUP(E403,Parameter!$I$35:$J$52,2,0),IFERROR(VLOOKUP(D403,Parameter!$A$35:$C$64,2,0),"Nein"))</f>
        <v>Nein</v>
      </c>
      <c r="CE403" s="64" t="n">
        <f aca="false">IF(CA403=0,0,IF(N(S403)&gt;0,S403,IFERROR(VLOOKUP(D403,Parameter!$A$35:$C$64,3,0)+0,0)))</f>
        <v>0</v>
      </c>
      <c r="CF403" s="60" t="str">
        <f aca="false">IF(AB403&lt;&gt;"",AB403,AA403)</f>
        <v>-</v>
      </c>
      <c r="CG403" s="60" t="str">
        <f aca="false">IF(OR(CF403=1,CF403=2,CF403=3),IF(Parameter!$E$27="Ja","LIFT",IF(CF403=1,"L1","L23")),IF(CF403="Aussen","Aussen","-"))</f>
        <v>-</v>
      </c>
      <c r="CH403" s="71" t="n">
        <f aca="false">IF(N(AC403)&gt;0,AC403,0)</f>
        <v>0</v>
      </c>
      <c r="CI403" s="65" t="n">
        <f aca="false">IF(ISNUMBER(AF403),1,0)</f>
        <v>0</v>
      </c>
      <c r="CJ403" s="62" t="n">
        <f aca="false">N(AF403)</f>
        <v>0</v>
      </c>
      <c r="CK403" s="62" t="n">
        <f aca="false">N(M403)+N(N403)</f>
        <v>1</v>
      </c>
      <c r="CL403" s="62" t="n">
        <f aca="false">N(M403)</f>
        <v>0</v>
      </c>
      <c r="CM403" s="62" t="n">
        <f aca="false">N(N403)</f>
        <v>1</v>
      </c>
      <c r="CN403" s="62" t="n">
        <f aca="false">ROUNDUP(H403/BZ403,0)</f>
        <v>1</v>
      </c>
      <c r="CO403" s="62" t="n">
        <f aca="false">ROUNDUP(CJ403/BZ403,0)</f>
        <v>0</v>
      </c>
      <c r="CP403" s="65" t="n">
        <f aca="false">IF(CA403=1,0,IFERROR(VLOOKUP(BY403,'Gebinde-Kategorie'!$A$5:$N$45,5,0)+0,0))</f>
        <v>20</v>
      </c>
      <c r="CQ403" s="65" t="n">
        <f aca="false">IFERROR(IF(OR(CF403=1,CF403=2,CF403=3),N(INDEX(Parameter!$I$5:$I$7,CF403)),0),0)</f>
        <v>0</v>
      </c>
      <c r="CR403" s="64" t="n">
        <f aca="false">IF(AND(Parameter!$B$21="Ja",ISNUMBER(W403),N(X403)&gt;0),IFERROR(N(INDEX(Parameter!$L$5:$L$7,W403))*INDEX(Parameter!$E$5:$E$7,W403)*X403/SUMIFS($X$7:$X$1843,$W$7:$W$1843,W403),0),0)</f>
        <v>0</v>
      </c>
      <c r="CS403" s="62" t="str">
        <f aca="false">IF(AND(OR(CG403="L1",CG403="L23",CG403="LIFT"),H403&gt;0),CC403*IF(CR403&gt;0,CR403*MAX(1,H403/X403),IF(CA403=1,CE403,IF(R403&gt;0,CN403/R403,0))/MAX(0.1,N(Parameter!$M$21))),"")</f>
        <v/>
      </c>
      <c r="CT403" s="64" t="str">
        <f aca="false">IF(CS403="","",J403/H403)</f>
        <v/>
      </c>
      <c r="CU403" s="62" t="str">
        <f aca="false">IF(CS403="","",H403*G403)</f>
        <v/>
      </c>
      <c r="CV403" s="63" t="str">
        <f aca="false">IF(CS403="","",(CL403+ROUNDUP(CL403+MAX(CM403,2*(J403/MAX(0.1,N(Einkauf!$C$6))-CL403)),0))/2)</f>
        <v/>
      </c>
      <c r="CW403" s="62" t="str">
        <f aca="false">IF(CS403="","",MAX(0,H403-CV403)*G403)</f>
        <v/>
      </c>
      <c r="CX403" s="62" t="str">
        <f aca="false">IF(CS403="","",CS403*MAX(0,1-CV403/H403))</f>
        <v/>
      </c>
      <c r="CY403" s="64" t="str">
        <f aca="false">IF(CS403="","",PERCENTRANK($CS$7:$CS$1843,CS403)+PERCENTRANK($CU$7:$CU$1843,CU403)+1-PERCENTRANK($CT$7:$CT$1843,CT403))</f>
        <v/>
      </c>
      <c r="CZ403" s="72" t="str">
        <f aca="false">IF(CS403="","",CHOOSE(MATCH(Einkauf!$C$5,Parameter!$G$23:$G$27,0),CY403,CS403,CU403,-CT403,CW403)+ROW()/1000000000)</f>
        <v/>
      </c>
    </row>
    <row r="404" customFormat="false" ht="15" hidden="false" customHeight="false" outlineLevel="0" collapsed="false">
      <c r="A404" s="60" t="s">
        <v>984</v>
      </c>
      <c r="B404" s="60" t="s">
        <v>985</v>
      </c>
      <c r="C404" s="60" t="s">
        <v>206</v>
      </c>
      <c r="D404" s="60" t="s">
        <v>226</v>
      </c>
      <c r="E404" s="60" t="s">
        <v>227</v>
      </c>
      <c r="F404" s="60" t="s">
        <v>260</v>
      </c>
      <c r="G404" s="61" t="n">
        <v>10.8</v>
      </c>
      <c r="H404" s="62" t="n">
        <f aca="false">MAX(0,IF(AND(Parameter!$B$21="Ja",ISNUMBER(Y404)),Y404,IF(Parameter!$B$20="Jahresanfang 2025 + Export",BS404+BR404,BR404)))</f>
        <v>12</v>
      </c>
      <c r="I404" s="62" t="n">
        <f aca="false">H404*G404</f>
        <v>129.6</v>
      </c>
      <c r="J404" s="62" t="n">
        <f aca="false">BU404*Parameter!$B$18</f>
        <v>7</v>
      </c>
      <c r="K404" s="63" t="n">
        <v>2</v>
      </c>
      <c r="L404" s="64" t="n">
        <v>3.5</v>
      </c>
      <c r="M404" s="62" t="n">
        <v>0</v>
      </c>
      <c r="N404" s="62" t="n">
        <v>5</v>
      </c>
      <c r="O404" s="65" t="n">
        <v>28</v>
      </c>
      <c r="P404" s="60" t="s">
        <v>518</v>
      </c>
      <c r="Q404" s="62" t="n">
        <v>5</v>
      </c>
      <c r="R404" s="65" t="n">
        <f aca="false">IF(CA404=1,0,IFERROR(VLOOKUP(BY404,'Gebinde-Kategorie'!$A$5:$N$45,13,0)+0,0))</f>
        <v>52</v>
      </c>
      <c r="S404" s="66"/>
      <c r="T404" s="67"/>
      <c r="U404" s="67"/>
      <c r="V404" s="67"/>
      <c r="W404" s="60"/>
      <c r="X404" s="62"/>
      <c r="Y404" s="62"/>
      <c r="Z404" s="60" t="n">
        <v>3</v>
      </c>
      <c r="AA404" s="60" t="n">
        <f aca="false">IF(A404="","",IF(AND(Parameter!$B$21="Ja",ISNUMBER(W404)),W404,IF(AND(Parameter!$E$27="Ja",ISNUMBER(Z404),CD404&lt;&gt;"Nein"),Z404,IF(CD404="2+3",IF(ISNUMBER(SEARCH("grosser Artikel",BV404)),2,IFERROR(VLOOKUP(BY404,Parameter!$F$35:$G$64,2,0),2)),IF(OR(CD404="Nein",CD404=""),"-",CD404)))))</f>
        <v>3</v>
      </c>
      <c r="AB404" s="67"/>
      <c r="AC404" s="68"/>
      <c r="AD404" s="62" t="n">
        <f aca="false">AW404</f>
        <v>5</v>
      </c>
      <c r="AE404" s="62" t="n">
        <f aca="false">MAX(AW404,H404)</f>
        <v>12</v>
      </c>
      <c r="AF404" s="69"/>
      <c r="AG404" s="62" t="n">
        <f aca="false">IF(LEFT(Cockpit!$C$5,1)="A",H404,IF(Parameter!$E$30="MAX-Bestand",IF(CI404=1,CJ404,IF(LEFT(Cockpit!$C$5,1)="B",AM404,MAX(AM404,H404))),ROUNDUP(AK404,0)))</f>
        <v>12</v>
      </c>
      <c r="AH404" s="62" t="n">
        <f aca="false">IF(CA404=1,0,ROUNDUP(AG404/BZ404,0))</f>
        <v>3</v>
      </c>
      <c r="AI404" s="64" t="n">
        <f aca="false">IF(CR404&gt;0,CR404*MAX(1,AG404/X404),IF(CA404=1,IF(AG404&lt;=0,0,CE404*MAX(1,IF(H404&gt;0,AG404/H404,1))),IF(R404&gt;0,AH404/R404,0))/MAX(0.1,N(Parameter!$M$21)))</f>
        <v>0.0576923076923077</v>
      </c>
      <c r="AJ404" s="62" t="n">
        <f aca="false">AI404*CC404</f>
        <v>8.94230769230769</v>
      </c>
      <c r="AK404" s="63" t="n">
        <f aca="false">IF(LEFT(Cockpit!$C$5,1)="A",H404,IF(CI404=1,(CL404+CJ404)/2,IF(LEFT(Cockpit!$C$5,1)="B",(CL404+AM404)/2,MAX((CL404+AM404)/2,H404))))</f>
        <v>12</v>
      </c>
      <c r="AL404" s="62" t="n">
        <f aca="false">AK404*G404</f>
        <v>129.6</v>
      </c>
      <c r="AM404" s="62" t="n">
        <f aca="false">ROUNDUP(CL404+MAX(CM404,2*(J404/IF(CH404&gt;0,CH404,MAX(0.1,N(Cockpit!$C$6)))-CL404)),0)</f>
        <v>5</v>
      </c>
      <c r="AN404" s="63" t="n">
        <f aca="false">IF(AJ404&gt;0,J404/AJ404,-1)</f>
        <v>0.782795698924731</v>
      </c>
      <c r="AO404" s="63" t="n">
        <f aca="false">IF(AND(OR(CG404="L1",CG404="L23",CG404="LIFT"),AJ404&gt;0),SUMIFS($AJ$7:$AJ$1843,$CG$7:$CG$1843,CG404,$AN$7:$AN$1843,"&gt;"&amp;AN404)+SUMIFS($AJ$7:$AJ$1843,$CG$7:$CG$1843,CG404,$AN$7:$AN$1843,AN404,$BX$7:$BX$1843,"&lt;="&amp;BX404),"")</f>
        <v>8055.15064102564</v>
      </c>
      <c r="AP404" s="70" t="n">
        <f aca="false">IF(AO404="",0,MAX(0,MIN(1,(IF(CG404="L1",Parameter!$H$5,IF(CG404="L23",Parameter!$H$6+Parameter!$H$7,Parameter!$H$5+Parameter!$H$6+Parameter!$H$7))-(AO404-AJ404))/AJ404)))</f>
        <v>1</v>
      </c>
      <c r="AQ404" s="62" t="n">
        <f aca="false">IF(LEFT(Cockpit!$I$5,1)="A",H404,IF(Parameter!$E$30="MAX-Bestand",IF(CI404=1,CJ404,IF(LEFT(Cockpit!$I$5,1)="B",AW404,MAX(AW404,H404))),ROUNDUP(AU404,0)))</f>
        <v>12</v>
      </c>
      <c r="AR404" s="62" t="n">
        <f aca="false">IF(CA404=1,0,ROUNDUP(AQ404/BZ404,0))</f>
        <v>3</v>
      </c>
      <c r="AS404" s="64" t="n">
        <f aca="false">IF(CR404&gt;0,CR404*MAX(1,AQ404/X404),IF(CA404=1,IF(AQ404&lt;=0,0,CE404*MAX(1,IF(H404&gt;0,AQ404/H404,1))),IF(R404&gt;0,AR404/R404,0))/MAX(0.1,N(Parameter!$M$21)))</f>
        <v>0.0576923076923077</v>
      </c>
      <c r="AT404" s="62" t="n">
        <f aca="false">AS404*CC404</f>
        <v>8.94230769230769</v>
      </c>
      <c r="AU404" s="63" t="n">
        <f aca="false">IF(LEFT(Cockpit!$I$5,1)="A",H404,IF(CI404=1,(CL404+CJ404)/2,IF(LEFT(Cockpit!$I$5,1)="B",(CL404+AW404)/2,MAX((CL404+AW404)/2,H404))))</f>
        <v>12</v>
      </c>
      <c r="AV404" s="62" t="n">
        <f aca="false">AU404*G404</f>
        <v>129.6</v>
      </c>
      <c r="AW404" s="62" t="n">
        <f aca="false">ROUNDUP(CL404+MAX(CM404,2*(J404/IF(CH404&gt;0,CH404,MAX(0.1,N(Cockpit!$I$6)))-CL404)),0)</f>
        <v>5</v>
      </c>
      <c r="AX404" s="63" t="n">
        <f aca="false">IF(AT404&gt;0,J404/AT404,-1)</f>
        <v>0.782795698924731</v>
      </c>
      <c r="AY404" s="63" t="n">
        <f aca="false">IF(AND(OR(CG404="L1",CG404="L23",CG404="LIFT"),AT404&gt;0),SUMIFS($AT$7:$AT$1843,$CG$7:$CG$1843,CG404,$AX$7:$AX$1843,"&gt;"&amp;AX404)+SUMIFS($AT$7:$AT$1843,$CG$7:$CG$1843,CG404,$AX$7:$AX$1843,AX404,$BX$7:$BX$1843,"&lt;="&amp;BX404),"")</f>
        <v>10314.7188644689</v>
      </c>
      <c r="AZ404" s="70" t="n">
        <f aca="false">IF(AY404="",0,MAX(0,MIN(1,(IF(CG404="L1",Parameter!$H$5,IF(CG404="L23",Parameter!$H$6+Parameter!$H$7,Parameter!$H$5+Parameter!$H$6+Parameter!$H$7))-(AY404-AT404))/AT404)))</f>
        <v>1</v>
      </c>
      <c r="BA404" s="62" t="n">
        <f aca="false">IF(LEFT(Cockpit!$O$5,1)="A",H404,IF(Parameter!$E$30="MAX-Bestand",IF(CI404=1,CJ404,IF(LEFT(Cockpit!$O$5,1)="B",BG404,MAX(BG404,H404))),ROUNDUP(BE404,0)))</f>
        <v>3</v>
      </c>
      <c r="BB404" s="62" t="n">
        <f aca="false">IF(CA404=1,0,ROUNDUP(BA404/BZ404,0))</f>
        <v>1</v>
      </c>
      <c r="BC404" s="64" t="n">
        <f aca="false">IF(CR404&gt;0,CR404*MAX(1,BA404/X404),IF(CA404=1,IF(BA404&lt;=0,0,CE404*MAX(1,IF(H404&gt;0,BA404/H404,1))),IF(R404&gt;0,BB404/R404,0))/MAX(0.1,N(Parameter!$M$21)))</f>
        <v>0.0192307692307692</v>
      </c>
      <c r="BD404" s="62" t="n">
        <f aca="false">BC404*CC404</f>
        <v>2.98076923076923</v>
      </c>
      <c r="BE404" s="63" t="n">
        <f aca="false">IF(LEFT(Cockpit!$O$5,1)="A",H404,IF(CI404=1,(CL404+CJ404)/2,IF(LEFT(Cockpit!$O$5,1)="B",(CL404+BG404)/2,MAX((CL404+BG404)/2,H404))))</f>
        <v>2.5</v>
      </c>
      <c r="BF404" s="62" t="n">
        <f aca="false">BE404*G404</f>
        <v>27</v>
      </c>
      <c r="BG404" s="62" t="n">
        <f aca="false">ROUNDUP(CL404+MAX(CM404,2*(J404/IF(CH404&gt;0,CH404,MAX(0.1,N(Cockpit!$O$6)))-CL404)),0)</f>
        <v>5</v>
      </c>
      <c r="BH404" s="63" t="n">
        <f aca="false">IF(BD404&gt;0,J404/BD404,-1)</f>
        <v>2.34838709677419</v>
      </c>
      <c r="BI404" s="63" t="n">
        <f aca="false">IF(AND(OR(CG404="L1",CG404="L23",CG404="LIFT"),BD404&gt;0),SUMIFS($BD$7:$BD$1843,$CG$7:$CG$1843,CG404,$BH$7:$BH$1843,"&gt;"&amp;BH404)+SUMIFS($BD$7:$BD$1843,$CG$7:$CG$1843,CG404,$BH$7:$BH$1843,BH404,$BX$7:$BX$1843,"&lt;="&amp;BX404),"")</f>
        <v>5604.5</v>
      </c>
      <c r="BJ404" s="70" t="n">
        <f aca="false">IF(BI404="",0,MAX(0,MIN(1,(IF(CG404="L1",Parameter!$H$5,IF(CG404="L23",Parameter!$H$6+Parameter!$H$7,Parameter!$H$5+Parameter!$H$6+Parameter!$H$7))-(BI404-BD404))/BD404)))</f>
        <v>1</v>
      </c>
      <c r="BK404" s="60" t="str">
        <f aca="false">IF(AJ404&lt;=0,"",IF(CG404="Aussen","Aussenlager",IF(CG404="-","Nicht im Lift",IF(AP404&gt;=1,"Lift",IF(AP404&lt;=0,"Aussenlager","teilweise")))))</f>
        <v>Lift</v>
      </c>
      <c r="BL404" s="60" t="str">
        <f aca="false">IF(AT404&lt;=0,"",IF(CG404="Aussen","Aussenlager",IF(CG404="-","Nicht im Lift",IF(AZ404&gt;=1,"Lift",IF(AZ404&lt;=0,"Aussenlager","teilweise")))))</f>
        <v>Lift</v>
      </c>
      <c r="BM404" s="60" t="str">
        <f aca="false">IF(BD404&lt;=0,"",IF(CG404="Aussen","Aussenlager",IF(CG404="-","Nicht im Lift",IF(BJ404&gt;=1,"Lift",IF(BJ404&lt;=0,"Aussenlager","teilweise")))))</f>
        <v>Lift</v>
      </c>
      <c r="BN404" s="60" t="str">
        <f aca="false">IF(A404="","",IF(BW404=1,"Neu; ","")&amp;IF(AND(BW404=0,BR404&lt;0),"negativer Bestand (Export "&amp;BR404&amp;"); ","")&amp;IF(J404&lt;=0,"Kein Verbrauch; ","")&amp;IF(CR404&gt;0,"Lift "&amp;W404&amp;" lt. Liftbericht (Fach "&amp;X404&amp;" Stk); ",IF(CB404=1,"Gebinde geschätzt ("&amp;T404&amp;"); ",IF(CA404=1,"Lose – Tablare geschätzt; ","")))&amp;IF(H404&gt;AW404,"Überbestand "&amp;ROUND(H404-AW404,0)&amp;" Stk / CHF "&amp;ROUND((H404-AW404)*G404,0)&amp;"; ","")&amp;IF(AND(CI404=1,CJ404&lt;CK404),"MAX &lt; MB+LG; ","")&amp;IF(AND(CQ404&gt;0,CP404*10&gt;CQ404),"zu hoch für Tablar; ","")&amp;IF(AND(BW404=0,OR(CI404=1,AB404&lt;&gt;"",U404&lt;&gt;"",V404&lt;&gt;"",AC404&lt;&gt;"")),"manuell übersteuert; ","")&amp;IF(AND(CA404=0,R404=0),"Gebinde unbekannt / Stellmass fehlt; ","")&amp;IF(AND(CA404=0,N(V404)&lt;=0,N(Q404)&lt;=0),"Menge pro Gebinde fehlt (Ist = 1 Gebinde); ","")&amp;BV404)</f>
        <v>Überbestand 7 Stk / CHF 76; </v>
      </c>
      <c r="BO404" s="60"/>
      <c r="BP404" s="60"/>
      <c r="BQ404" s="67"/>
      <c r="BR404" s="62" t="n">
        <v>10</v>
      </c>
      <c r="BS404" s="62" t="n">
        <v>2</v>
      </c>
      <c r="BT404" s="61" t="n">
        <v>108</v>
      </c>
      <c r="BU404" s="62" t="n">
        <v>7</v>
      </c>
      <c r="BV404" s="60"/>
      <c r="BW404" s="65" t="n">
        <v>0</v>
      </c>
      <c r="BX404" s="65" t="n">
        <v>404</v>
      </c>
      <c r="BY404" s="60" t="str">
        <f aca="false">IF(U404&lt;&gt;"",UPPER(TRIM(U404)),IF(CB404=1,UPPER(VLOOKUP(T404,Parameter!$I$27:$K$29,2,0)),IF(P404="","LOSE",P404)))</f>
        <v>S33</v>
      </c>
      <c r="BZ404" s="62" t="n">
        <f aca="false">IF(BY404="LOSE",1,IF(N(V404)&gt;0,V404,IF(CB404=1,MAX(1,N(VLOOKUP(T404,Parameter!$I$27:$K$29,3,0)),H404,N(N404)),IF(N(Q404)&gt;0,Q404,MAX(1,H404)))))</f>
        <v>5</v>
      </c>
      <c r="CA404" s="65" t="n">
        <f aca="false">IF(BY404="LOSE",1,0)</f>
        <v>0</v>
      </c>
      <c r="CB404" s="65" t="n">
        <f aca="false">IF(AND(U404="",OR(P404="",P404="LOSE"),T404&lt;&gt;"",N(S404)&lt;=0,ISNUMBER(MATCH(T404,Parameter!$I$27:$I$29,0))),1,0)</f>
        <v>0</v>
      </c>
      <c r="CC404" s="65" t="n">
        <f aca="false">IF(CR404&gt;0,INDEX(Parameter!$H$5:$H$7,W404)/INDEX(Parameter!$E$5:$E$7,W404),IF(AND(CA404=0,N(IFERROR(VLOOKUP(BY404,'Gebinde-Kategorie'!$A$5:$N$45,14,0),0))&gt;0),VLOOKUP(BY404,'Gebinde-Kategorie'!$A$5:$N$45,14,0)*10+Parameter!$M$23,Parameter!$M$24))</f>
        <v>155</v>
      </c>
      <c r="CD404" s="60" t="str">
        <f aca="false">IF(AND(Parameter!$B$19="Ja",E404&lt;&gt;"",ISNUMBER(MATCH(E404,Parameter!$I$35:$I$52,0))),VLOOKUP(E404,Parameter!$I$35:$J$52,2,0),IFERROR(VLOOKUP(D404,Parameter!$A$35:$C$64,2,0),"Nein"))</f>
        <v>2+3</v>
      </c>
      <c r="CE404" s="64" t="n">
        <f aca="false">IF(CA404=0,0,IF(N(S404)&gt;0,S404,IFERROR(VLOOKUP(D404,Parameter!$A$35:$C$64,3,0)+0,0)))</f>
        <v>0</v>
      </c>
      <c r="CF404" s="60" t="n">
        <f aca="false">IF(AB404&lt;&gt;"",AB404,AA404)</f>
        <v>3</v>
      </c>
      <c r="CG404" s="60" t="str">
        <f aca="false">IF(OR(CF404=1,CF404=2,CF404=3),IF(Parameter!$E$27="Ja","LIFT",IF(CF404=1,"L1","L23")),IF(CF404="Aussen","Aussen","-"))</f>
        <v>LIFT</v>
      </c>
      <c r="CH404" s="71" t="n">
        <f aca="false">IF(N(AC404)&gt;0,AC404,0)</f>
        <v>0</v>
      </c>
      <c r="CI404" s="65" t="n">
        <f aca="false">IF(ISNUMBER(AF404),1,0)</f>
        <v>0</v>
      </c>
      <c r="CJ404" s="62" t="n">
        <f aca="false">N(AF404)</f>
        <v>0</v>
      </c>
      <c r="CK404" s="62" t="n">
        <f aca="false">N(M404)+N(N404)</f>
        <v>5</v>
      </c>
      <c r="CL404" s="62" t="n">
        <f aca="false">N(M404)</f>
        <v>0</v>
      </c>
      <c r="CM404" s="62" t="n">
        <f aca="false">N(N404)</f>
        <v>5</v>
      </c>
      <c r="CN404" s="62" t="n">
        <f aca="false">ROUNDUP(H404/BZ404,0)</f>
        <v>3</v>
      </c>
      <c r="CO404" s="62" t="n">
        <f aca="false">ROUNDUP(CJ404/BZ404,0)</f>
        <v>0</v>
      </c>
      <c r="CP404" s="65" t="n">
        <f aca="false">IF(CA404=1,0,IFERROR(VLOOKUP(BY404,'Gebinde-Kategorie'!$A$5:$N$45,5,0)+0,0))</f>
        <v>8</v>
      </c>
      <c r="CQ404" s="65" t="n">
        <f aca="false">IFERROR(IF(OR(CF404=1,CF404=2,CF404=3),N(INDEX(Parameter!$I$5:$I$7,CF404)),0),0)</f>
        <v>0</v>
      </c>
      <c r="CR404" s="64" t="n">
        <f aca="false">IF(AND(Parameter!$B$21="Ja",ISNUMBER(W404),N(X404)&gt;0),IFERROR(N(INDEX(Parameter!$L$5:$L$7,W404))*INDEX(Parameter!$E$5:$E$7,W404)*X404/SUMIFS($X$7:$X$1843,$W$7:$W$1843,W404),0),0)</f>
        <v>0</v>
      </c>
      <c r="CS404" s="62" t="n">
        <f aca="false">IF(AND(OR(CG404="L1",CG404="L23",CG404="LIFT"),H404&gt;0),CC404*IF(CR404&gt;0,CR404*MAX(1,H404/X404),IF(CA404=1,CE404,IF(R404&gt;0,CN404/R404,0))/MAX(0.1,N(Parameter!$M$21))),"")</f>
        <v>8.94230769230769</v>
      </c>
      <c r="CT404" s="64" t="n">
        <f aca="false">IF(CS404="","",J404/H404)</f>
        <v>0.583333333333333</v>
      </c>
      <c r="CU404" s="62" t="n">
        <f aca="false">IF(CS404="","",H404*G404)</f>
        <v>129.6</v>
      </c>
      <c r="CV404" s="63" t="n">
        <f aca="false">IF(CS404="","",(CL404+ROUNDUP(CL404+MAX(CM404,2*(J404/MAX(0.1,N(Einkauf!$C$6))-CL404)),0))/2)</f>
        <v>2.5</v>
      </c>
      <c r="CW404" s="62" t="n">
        <f aca="false">IF(CS404="","",MAX(0,H404-CV404)*G404)</f>
        <v>102.6</v>
      </c>
      <c r="CX404" s="62" t="n">
        <f aca="false">IF(CS404="","",CS404*MAX(0,1-CV404/H404))</f>
        <v>7.07932692307692</v>
      </c>
      <c r="CY404" s="64" t="n">
        <f aca="false">IF(CS404="","",PERCENTRANK($CS$7:$CS$1843,CS404)+PERCENTRANK($CU$7:$CU$1843,CU404)+1-PERCENTRANK($CT$7:$CT$1843,CT404))</f>
        <v>1.271</v>
      </c>
      <c r="CZ404" s="72" t="n">
        <f aca="false">IF(CS404="","",CHOOSE(MATCH(Einkauf!$C$5,Parameter!$G$23:$G$27,0),CY404,CS404,CU404,-CT404,CW404)+ROW()/1000000000)</f>
        <v>1.271000404</v>
      </c>
    </row>
    <row r="405" customFormat="false" ht="15" hidden="false" customHeight="false" outlineLevel="0" collapsed="false">
      <c r="A405" s="60" t="s">
        <v>986</v>
      </c>
      <c r="B405" s="60" t="s">
        <v>987</v>
      </c>
      <c r="C405" s="60" t="s">
        <v>206</v>
      </c>
      <c r="D405" s="60" t="s">
        <v>226</v>
      </c>
      <c r="E405" s="60"/>
      <c r="F405" s="60" t="s">
        <v>260</v>
      </c>
      <c r="G405" s="61" t="n">
        <v>22.9</v>
      </c>
      <c r="H405" s="62" t="n">
        <f aca="false">MAX(0,IF(AND(Parameter!$B$21="Ja",ISNUMBER(Y405)),Y405,IF(Parameter!$B$20="Jahresanfang 2025 + Export",BS405+BR405,BR405)))</f>
        <v>4.685</v>
      </c>
      <c r="I405" s="62" t="n">
        <f aca="false">H405*G405</f>
        <v>107.2865</v>
      </c>
      <c r="J405" s="62" t="n">
        <f aca="false">BU405*Parameter!$B$18</f>
        <v>0</v>
      </c>
      <c r="K405" s="63" t="n">
        <v>0</v>
      </c>
      <c r="L405" s="64" t="n">
        <v>0</v>
      </c>
      <c r="M405" s="62" t="n">
        <v>1</v>
      </c>
      <c r="N405" s="62" t="n">
        <v>5</v>
      </c>
      <c r="O405" s="65" t="n">
        <v>0</v>
      </c>
      <c r="P405" s="60" t="s">
        <v>210</v>
      </c>
      <c r="Q405" s="62"/>
      <c r="R405" s="65" t="n">
        <f aca="false">IF(CA405=1,0,IFERROR(VLOOKUP(BY405,'Gebinde-Kategorie'!$A$5:$N$45,13,0)+0,0))</f>
        <v>26</v>
      </c>
      <c r="S405" s="66"/>
      <c r="T405" s="67" t="s">
        <v>317</v>
      </c>
      <c r="U405" s="67"/>
      <c r="V405" s="67"/>
      <c r="W405" s="60"/>
      <c r="X405" s="62"/>
      <c r="Y405" s="62"/>
      <c r="Z405" s="60" t="n">
        <v>3</v>
      </c>
      <c r="AA405" s="60" t="n">
        <f aca="false">IF(A405="","",IF(AND(Parameter!$B$21="Ja",ISNUMBER(W405)),W405,IF(AND(Parameter!$E$27="Ja",ISNUMBER(Z405),CD405&lt;&gt;"Nein"),Z405,IF(CD405="2+3",IF(ISNUMBER(SEARCH("grosser Artikel",BV405)),2,IFERROR(VLOOKUP(BY405,Parameter!$F$35:$G$64,2,0),2)),IF(OR(CD405="Nein",CD405=""),"-",CD405)))))</f>
        <v>3</v>
      </c>
      <c r="AB405" s="67"/>
      <c r="AC405" s="68"/>
      <c r="AD405" s="62" t="n">
        <f aca="false">AW405</f>
        <v>6</v>
      </c>
      <c r="AE405" s="62" t="n">
        <f aca="false">MAX(AW405,H405)</f>
        <v>6</v>
      </c>
      <c r="AF405" s="69"/>
      <c r="AG405" s="62" t="n">
        <f aca="false">IF(LEFT(Cockpit!$C$5,1)="A",H405,IF(Parameter!$E$30="MAX-Bestand",IF(CI405=1,CJ405,IF(LEFT(Cockpit!$C$5,1)="B",AM405,MAX(AM405,H405))),ROUNDUP(AK405,0)))</f>
        <v>4.685</v>
      </c>
      <c r="AH405" s="62" t="n">
        <f aca="false">IF(CA405=1,0,ROUNDUP(AG405/BZ405,0))</f>
        <v>1</v>
      </c>
      <c r="AI405" s="64" t="n">
        <f aca="false">IF(CR405&gt;0,CR405*MAX(1,AG405/X405),IF(CA405=1,IF(AG405&lt;=0,0,CE405*MAX(1,IF(H405&gt;0,AG405/H405,1))),IF(R405&gt;0,AH405/R405,0))/MAX(0.1,N(Parameter!$M$21)))</f>
        <v>0.0384615384615385</v>
      </c>
      <c r="AJ405" s="62" t="n">
        <f aca="false">AI405*CC405</f>
        <v>5.96153846153846</v>
      </c>
      <c r="AK405" s="63" t="n">
        <f aca="false">IF(LEFT(Cockpit!$C$5,1)="A",H405,IF(CI405=1,(CL405+CJ405)/2,IF(LEFT(Cockpit!$C$5,1)="B",(CL405+AM405)/2,MAX((CL405+AM405)/2,H405))))</f>
        <v>4.685</v>
      </c>
      <c r="AL405" s="62" t="n">
        <f aca="false">AK405*G405</f>
        <v>107.2865</v>
      </c>
      <c r="AM405" s="62" t="n">
        <f aca="false">ROUNDUP(CL405+MAX(CM405,2*(J405/IF(CH405&gt;0,CH405,MAX(0.1,N(Cockpit!$C$6)))-CL405)),0)</f>
        <v>6</v>
      </c>
      <c r="AN405" s="63" t="n">
        <f aca="false">IF(AJ405&gt;0,J405/AJ405,-1)</f>
        <v>0</v>
      </c>
      <c r="AO405" s="63" t="n">
        <f aca="false">IF(AND(OR(CG405="L1",CG405="L23",CG405="LIFT"),AJ405&gt;0),SUMIFS($AJ$7:$AJ$1843,$CG$7:$CG$1843,CG405,$AN$7:$AN$1843,"&gt;"&amp;AN405)+SUMIFS($AJ$7:$AJ$1843,$CG$7:$CG$1843,CG405,$AN$7:$AN$1843,AN405,$BX$7:$BX$1843,"&lt;="&amp;BX405),"")</f>
        <v>28086.2313952526</v>
      </c>
      <c r="AP405" s="70" t="n">
        <f aca="false">IF(AO405="",0,MAX(0,MIN(1,(IF(CG405="L1",Parameter!$H$5,IF(CG405="L23",Parameter!$H$6+Parameter!$H$7,Parameter!$H$5+Parameter!$H$6+Parameter!$H$7))-(AO405-AJ405))/AJ405)))</f>
        <v>1</v>
      </c>
      <c r="AQ405" s="62" t="n">
        <f aca="false">IF(LEFT(Cockpit!$I$5,1)="A",H405,IF(Parameter!$E$30="MAX-Bestand",IF(CI405=1,CJ405,IF(LEFT(Cockpit!$I$5,1)="B",AW405,MAX(AW405,H405))),ROUNDUP(AU405,0)))</f>
        <v>5</v>
      </c>
      <c r="AR405" s="62" t="n">
        <f aca="false">IF(CA405=1,0,ROUNDUP(AQ405/BZ405,0))</f>
        <v>1</v>
      </c>
      <c r="AS405" s="64" t="n">
        <f aca="false">IF(CR405&gt;0,CR405*MAX(1,AQ405/X405),IF(CA405=1,IF(AQ405&lt;=0,0,CE405*MAX(1,IF(H405&gt;0,AQ405/H405,1))),IF(R405&gt;0,AR405/R405,0))/MAX(0.1,N(Parameter!$M$21)))</f>
        <v>0.0384615384615385</v>
      </c>
      <c r="AT405" s="62" t="n">
        <f aca="false">AS405*CC405</f>
        <v>5.96153846153846</v>
      </c>
      <c r="AU405" s="63" t="n">
        <f aca="false">IF(LEFT(Cockpit!$I$5,1)="A",H405,IF(CI405=1,(CL405+CJ405)/2,IF(LEFT(Cockpit!$I$5,1)="B",(CL405+AW405)/2,MAX((CL405+AW405)/2,H405))))</f>
        <v>4.685</v>
      </c>
      <c r="AV405" s="62" t="n">
        <f aca="false">AU405*G405</f>
        <v>107.2865</v>
      </c>
      <c r="AW405" s="62" t="n">
        <f aca="false">ROUNDUP(CL405+MAX(CM405,2*(J405/IF(CH405&gt;0,CH405,MAX(0.1,N(Cockpit!$I$6)))-CL405)),0)</f>
        <v>6</v>
      </c>
      <c r="AX405" s="63" t="n">
        <f aca="false">IF(AT405&gt;0,J405/AT405,-1)</f>
        <v>0</v>
      </c>
      <c r="AY405" s="63" t="n">
        <f aca="false">IF(AND(OR(CG405="L1",CG405="L23",CG405="LIFT"),AT405&gt;0),SUMIFS($AT$7:$AT$1843,$CG$7:$CG$1843,CG405,$AX$7:$AX$1843,"&gt;"&amp;AX405)+SUMIFS($AT$7:$AT$1843,$CG$7:$CG$1843,CG405,$AX$7:$AX$1843,AX405,$BX$7:$BX$1843,"&lt;="&amp;BX405),"")</f>
        <v>33439.38003663</v>
      </c>
      <c r="AZ405" s="70" t="n">
        <f aca="false">IF(AY405="",0,MAX(0,MIN(1,(IF(CG405="L1",Parameter!$H$5,IF(CG405="L23",Parameter!$H$6+Parameter!$H$7,Parameter!$H$5+Parameter!$H$6+Parameter!$H$7))-(AY405-AT405))/AT405)))</f>
        <v>1</v>
      </c>
      <c r="BA405" s="62" t="n">
        <f aca="false">IF(LEFT(Cockpit!$O$5,1)="A",H405,IF(Parameter!$E$30="MAX-Bestand",IF(CI405=1,CJ405,IF(LEFT(Cockpit!$O$5,1)="B",BG405,MAX(BG405,H405))),ROUNDUP(BE405,0)))</f>
        <v>4</v>
      </c>
      <c r="BB405" s="62" t="n">
        <f aca="false">IF(CA405=1,0,ROUNDUP(BA405/BZ405,0))</f>
        <v>1</v>
      </c>
      <c r="BC405" s="64" t="n">
        <f aca="false">IF(CR405&gt;0,CR405*MAX(1,BA405/X405),IF(CA405=1,IF(BA405&lt;=0,0,CE405*MAX(1,IF(H405&gt;0,BA405/H405,1))),IF(R405&gt;0,BB405/R405,0))/MAX(0.1,N(Parameter!$M$21)))</f>
        <v>0.0384615384615385</v>
      </c>
      <c r="BD405" s="62" t="n">
        <f aca="false">BC405*CC405</f>
        <v>5.96153846153846</v>
      </c>
      <c r="BE405" s="63" t="n">
        <f aca="false">IF(LEFT(Cockpit!$O$5,1)="A",H405,IF(CI405=1,(CL405+CJ405)/2,IF(LEFT(Cockpit!$O$5,1)="B",(CL405+BG405)/2,MAX((CL405+BG405)/2,H405))))</f>
        <v>3.5</v>
      </c>
      <c r="BF405" s="62" t="n">
        <f aca="false">BE405*G405</f>
        <v>80.15</v>
      </c>
      <c r="BG405" s="62" t="n">
        <f aca="false">ROUNDUP(CL405+MAX(CM405,2*(J405/IF(CH405&gt;0,CH405,MAX(0.1,N(Cockpit!$O$6)))-CL405)),0)</f>
        <v>6</v>
      </c>
      <c r="BH405" s="63" t="n">
        <f aca="false">IF(BD405&gt;0,J405/BD405,-1)</f>
        <v>0</v>
      </c>
      <c r="BI405" s="63" t="n">
        <f aca="false">IF(AND(OR(CG405="L1",CG405="L23",CG405="LIFT"),BD405&gt;0),SUMIFS($BD$7:$BD$1843,$CG$7:$CG$1843,CG405,$BH$7:$BH$1843,"&gt;"&amp;BH405)+SUMIFS($BD$7:$BD$1843,$CG$7:$CG$1843,CG405,$BH$7:$BH$1843,BH405,$BX$7:$BX$1843,"&lt;="&amp;BX405),"")</f>
        <v>27552.9170081331</v>
      </c>
      <c r="BJ405" s="70" t="n">
        <f aca="false">IF(BI405="",0,MAX(0,MIN(1,(IF(CG405="L1",Parameter!$H$5,IF(CG405="L23",Parameter!$H$6+Parameter!$H$7,Parameter!$H$5+Parameter!$H$6+Parameter!$H$7))-(BI405-BD405))/BD405)))</f>
        <v>1</v>
      </c>
      <c r="BK405" s="60" t="str">
        <f aca="false">IF(AJ405&lt;=0,"",IF(CG405="Aussen","Aussenlager",IF(CG405="-","Nicht im Lift",IF(AP405&gt;=1,"Lift",IF(AP405&lt;=0,"Aussenlager","teilweise")))))</f>
        <v>Lift</v>
      </c>
      <c r="BL405" s="60" t="str">
        <f aca="false">IF(AT405&lt;=0,"",IF(CG405="Aussen","Aussenlager",IF(CG405="-","Nicht im Lift",IF(AZ405&gt;=1,"Lift",IF(AZ405&lt;=0,"Aussenlager","teilweise")))))</f>
        <v>Lift</v>
      </c>
      <c r="BM405" s="60" t="str">
        <f aca="false">IF(BD405&lt;=0,"",IF(CG405="Aussen","Aussenlager",IF(CG405="-","Nicht im Lift",IF(BJ405&gt;=1,"Lift",IF(BJ405&lt;=0,"Aussenlager","teilweise")))))</f>
        <v>Lift</v>
      </c>
      <c r="BN405" s="60" t="str">
        <f aca="false">IF(A405="","",IF(BW405=1,"Neu; ","")&amp;IF(AND(BW405=0,BR405&lt;0),"negativer Bestand (Export "&amp;BR405&amp;"); ","")&amp;IF(J405&lt;=0,"Kein Verbrauch; ","")&amp;IF(CR405&gt;0,"Lift "&amp;W405&amp;" lt. Liftbericht (Fach "&amp;X405&amp;" Stk); ",IF(CB405=1,"Gebinde geschätzt ("&amp;T405&amp;"); ",IF(CA405=1,"Lose – Tablare geschätzt; ","")))&amp;IF(H405&gt;AW405,"Überbestand "&amp;ROUND(H405-AW405,0)&amp;" Stk / CHF "&amp;ROUND((H405-AW405)*G405,0)&amp;"; ","")&amp;IF(AND(CI405=1,CJ405&lt;CK405),"MAX &lt; MB+LG; ","")&amp;IF(AND(CQ405&gt;0,CP405*10&gt;CQ405),"zu hoch für Tablar; ","")&amp;IF(AND(BW405=0,OR(CI405=1,AB405&lt;&gt;"",U405&lt;&gt;"",V405&lt;&gt;"",AC405&lt;&gt;"")),"manuell übersteuert; ","")&amp;IF(AND(CA405=0,R405=0),"Gebinde unbekannt / Stellmass fehlt; ","")&amp;IF(AND(CA405=0,N(V405)&lt;=0,N(Q405)&lt;=0),"Menge pro Gebinde fehlt (Ist = 1 Gebinde); ","")&amp;BV405)</f>
        <v>Kein Verbrauch; Gebinde geschätzt (Klein); Menge pro Gebinde fehlt (Ist = 1 Gebinde); </v>
      </c>
      <c r="BO405" s="60"/>
      <c r="BP405" s="60"/>
      <c r="BQ405" s="67"/>
      <c r="BR405" s="62" t="n">
        <v>4.685</v>
      </c>
      <c r="BS405" s="62" t="n">
        <v>0</v>
      </c>
      <c r="BT405" s="61" t="n">
        <v>107.29</v>
      </c>
      <c r="BU405" s="62" t="n">
        <v>0</v>
      </c>
      <c r="BV405" s="60"/>
      <c r="BW405" s="65" t="n">
        <v>0</v>
      </c>
      <c r="BX405" s="65" t="n">
        <v>405</v>
      </c>
      <c r="BY405" s="60" t="str">
        <f aca="false">IF(U405&lt;&gt;"",UPPER(TRIM(U405)),IF(CB405=1,UPPER(VLOOKUP(T405,Parameter!$I$27:$K$29,2,0)),IF(P405="","LOSE",P405)))</f>
        <v>S51</v>
      </c>
      <c r="BZ405" s="62" t="n">
        <f aca="false">IF(BY405="LOSE",1,IF(N(V405)&gt;0,V405,IF(CB405=1,MAX(1,N(VLOOKUP(T405,Parameter!$I$27:$K$29,3,0)),H405,N(N405)),IF(N(Q405)&gt;0,Q405,MAX(1,H405)))))</f>
        <v>20</v>
      </c>
      <c r="CA405" s="65" t="n">
        <f aca="false">IF(BY405="LOSE",1,0)</f>
        <v>0</v>
      </c>
      <c r="CB405" s="65" t="n">
        <f aca="false">IF(AND(U405="",OR(P405="",P405="LOSE"),T405&lt;&gt;"",N(S405)&lt;=0,ISNUMBER(MATCH(T405,Parameter!$I$27:$I$29,0))),1,0)</f>
        <v>1</v>
      </c>
      <c r="CC405" s="65" t="n">
        <f aca="false">IF(CR405&gt;0,INDEX(Parameter!$H$5:$H$7,W405)/INDEX(Parameter!$E$5:$E$7,W405),IF(AND(CA405=0,N(IFERROR(VLOOKUP(BY405,'Gebinde-Kategorie'!$A$5:$N$45,14,0),0))&gt;0),VLOOKUP(BY405,'Gebinde-Kategorie'!$A$5:$N$45,14,0)*10+Parameter!$M$23,Parameter!$M$24))</f>
        <v>155</v>
      </c>
      <c r="CD405" s="60" t="str">
        <f aca="false">IF(AND(Parameter!$B$19="Ja",E405&lt;&gt;"",ISNUMBER(MATCH(E405,Parameter!$I$35:$I$52,0))),VLOOKUP(E405,Parameter!$I$35:$J$52,2,0),IFERROR(VLOOKUP(D405,Parameter!$A$35:$C$64,2,0),"Nein"))</f>
        <v>2+3</v>
      </c>
      <c r="CE405" s="64" t="n">
        <f aca="false">IF(CA405=0,0,IF(N(S405)&gt;0,S405,IFERROR(VLOOKUP(D405,Parameter!$A$35:$C$64,3,0)+0,0)))</f>
        <v>0</v>
      </c>
      <c r="CF405" s="60" t="n">
        <f aca="false">IF(AB405&lt;&gt;"",AB405,AA405)</f>
        <v>3</v>
      </c>
      <c r="CG405" s="60" t="str">
        <f aca="false">IF(OR(CF405=1,CF405=2,CF405=3),IF(Parameter!$E$27="Ja","LIFT",IF(CF405=1,"L1","L23")),IF(CF405="Aussen","Aussen","-"))</f>
        <v>LIFT</v>
      </c>
      <c r="CH405" s="71" t="n">
        <f aca="false">IF(N(AC405)&gt;0,AC405,0)</f>
        <v>0</v>
      </c>
      <c r="CI405" s="65" t="n">
        <f aca="false">IF(ISNUMBER(AF405),1,0)</f>
        <v>0</v>
      </c>
      <c r="CJ405" s="62" t="n">
        <f aca="false">N(AF405)</f>
        <v>0</v>
      </c>
      <c r="CK405" s="62" t="n">
        <f aca="false">N(M405)+N(N405)</f>
        <v>6</v>
      </c>
      <c r="CL405" s="62" t="n">
        <f aca="false">N(M405)</f>
        <v>1</v>
      </c>
      <c r="CM405" s="62" t="n">
        <f aca="false">N(N405)</f>
        <v>5</v>
      </c>
      <c r="CN405" s="62" t="n">
        <f aca="false">ROUNDUP(H405/BZ405,0)</f>
        <v>1</v>
      </c>
      <c r="CO405" s="62" t="n">
        <f aca="false">ROUNDUP(CJ405/BZ405,0)</f>
        <v>0</v>
      </c>
      <c r="CP405" s="65" t="n">
        <f aca="false">IF(CA405=1,0,IFERROR(VLOOKUP(BY405,'Gebinde-Kategorie'!$A$5:$N$45,5,0)+0,0))</f>
        <v>11</v>
      </c>
      <c r="CQ405" s="65" t="n">
        <f aca="false">IFERROR(IF(OR(CF405=1,CF405=2,CF405=3),N(INDEX(Parameter!$I$5:$I$7,CF405)),0),0)</f>
        <v>0</v>
      </c>
      <c r="CR405" s="64" t="n">
        <f aca="false">IF(AND(Parameter!$B$21="Ja",ISNUMBER(W405),N(X405)&gt;0),IFERROR(N(INDEX(Parameter!$L$5:$L$7,W405))*INDEX(Parameter!$E$5:$E$7,W405)*X405/SUMIFS($X$7:$X$1843,$W$7:$W$1843,W405),0),0)</f>
        <v>0</v>
      </c>
      <c r="CS405" s="62" t="n">
        <f aca="false">IF(AND(OR(CG405="L1",CG405="L23",CG405="LIFT"),H405&gt;0),CC405*IF(CR405&gt;0,CR405*MAX(1,H405/X405),IF(CA405=1,CE405,IF(R405&gt;0,CN405/R405,0))/MAX(0.1,N(Parameter!$M$21))),"")</f>
        <v>5.96153846153846</v>
      </c>
      <c r="CT405" s="64" t="n">
        <f aca="false">IF(CS405="","",J405/H405)</f>
        <v>0</v>
      </c>
      <c r="CU405" s="62" t="n">
        <f aca="false">IF(CS405="","",H405*G405)</f>
        <v>107.2865</v>
      </c>
      <c r="CV405" s="63" t="n">
        <f aca="false">IF(CS405="","",(CL405+ROUNDUP(CL405+MAX(CM405,2*(J405/MAX(0.1,N(Einkauf!$C$6))-CL405)),0))/2)</f>
        <v>3.5</v>
      </c>
      <c r="CW405" s="62" t="n">
        <f aca="false">IF(CS405="","",MAX(0,H405-CV405)*G405)</f>
        <v>27.1365</v>
      </c>
      <c r="CX405" s="62" t="n">
        <f aca="false">IF(CS405="","",CS405*MAX(0,1-CV405/H405))</f>
        <v>1.50788112634431</v>
      </c>
      <c r="CY405" s="64" t="n">
        <f aca="false">IF(CS405="","",PERCENTRANK($CS$7:$CS$1843,CS405)+PERCENTRANK($CU$7:$CU$1843,CU405)+1-PERCENTRANK($CT$7:$CT$1843,CT405))</f>
        <v>1.6</v>
      </c>
      <c r="CZ405" s="72" t="n">
        <f aca="false">IF(CS405="","",CHOOSE(MATCH(Einkauf!$C$5,Parameter!$G$23:$G$27,0),CY405,CS405,CU405,-CT405,CW405)+ROW()/1000000000)</f>
        <v>1.600000405</v>
      </c>
    </row>
    <row r="406" customFormat="false" ht="15" hidden="false" customHeight="false" outlineLevel="0" collapsed="false">
      <c r="A406" s="60" t="s">
        <v>988</v>
      </c>
      <c r="B406" s="60" t="s">
        <v>989</v>
      </c>
      <c r="C406" s="60" t="s">
        <v>206</v>
      </c>
      <c r="D406" s="60" t="s">
        <v>226</v>
      </c>
      <c r="E406" s="60"/>
      <c r="F406" s="60" t="s">
        <v>260</v>
      </c>
      <c r="G406" s="61" t="n">
        <v>4.65</v>
      </c>
      <c r="H406" s="62" t="n">
        <f aca="false">MAX(0,IF(AND(Parameter!$B$21="Ja",ISNUMBER(Y406)),Y406,IF(Parameter!$B$20="Jahresanfang 2025 + Export",BS406+BR406,BR406)))</f>
        <v>23</v>
      </c>
      <c r="I406" s="62" t="n">
        <f aca="false">H406*G406</f>
        <v>106.95</v>
      </c>
      <c r="J406" s="62" t="n">
        <f aca="false">BU406*Parameter!$B$18</f>
        <v>0</v>
      </c>
      <c r="K406" s="63" t="n">
        <v>0</v>
      </c>
      <c r="L406" s="64" t="n">
        <v>0</v>
      </c>
      <c r="M406" s="62" t="n">
        <v>0</v>
      </c>
      <c r="N406" s="62" t="n">
        <v>5</v>
      </c>
      <c r="O406" s="65" t="n">
        <v>9999</v>
      </c>
      <c r="P406" s="60" t="s">
        <v>210</v>
      </c>
      <c r="Q406" s="62"/>
      <c r="R406" s="65" t="n">
        <f aca="false">IF(CA406=1,0,IFERROR(VLOOKUP(BY406,'Gebinde-Kategorie'!$A$5:$N$45,13,0)+0,0))</f>
        <v>26</v>
      </c>
      <c r="S406" s="66"/>
      <c r="T406" s="67" t="s">
        <v>317</v>
      </c>
      <c r="U406" s="67"/>
      <c r="V406" s="67"/>
      <c r="W406" s="60"/>
      <c r="X406" s="62"/>
      <c r="Y406" s="62"/>
      <c r="Z406" s="60" t="n">
        <v>3</v>
      </c>
      <c r="AA406" s="60" t="n">
        <f aca="false">IF(A406="","",IF(AND(Parameter!$B$21="Ja",ISNUMBER(W406)),W406,IF(AND(Parameter!$E$27="Ja",ISNUMBER(Z406),CD406&lt;&gt;"Nein"),Z406,IF(CD406="2+3",IF(ISNUMBER(SEARCH("grosser Artikel",BV406)),2,IFERROR(VLOOKUP(BY406,Parameter!$F$35:$G$64,2,0),2)),IF(OR(CD406="Nein",CD406=""),"-",CD406)))))</f>
        <v>3</v>
      </c>
      <c r="AB406" s="67"/>
      <c r="AC406" s="68"/>
      <c r="AD406" s="62" t="n">
        <f aca="false">AW406</f>
        <v>5</v>
      </c>
      <c r="AE406" s="62" t="n">
        <f aca="false">MAX(AW406,H406)</f>
        <v>23</v>
      </c>
      <c r="AF406" s="69"/>
      <c r="AG406" s="62" t="n">
        <f aca="false">IF(LEFT(Cockpit!$C$5,1)="A",H406,IF(Parameter!$E$30="MAX-Bestand",IF(CI406=1,CJ406,IF(LEFT(Cockpit!$C$5,1)="B",AM406,MAX(AM406,H406))),ROUNDUP(AK406,0)))</f>
        <v>23</v>
      </c>
      <c r="AH406" s="62" t="n">
        <f aca="false">IF(CA406=1,0,ROUNDUP(AG406/BZ406,0))</f>
        <v>1</v>
      </c>
      <c r="AI406" s="64" t="n">
        <f aca="false">IF(CR406&gt;0,CR406*MAX(1,AG406/X406),IF(CA406=1,IF(AG406&lt;=0,0,CE406*MAX(1,IF(H406&gt;0,AG406/H406,1))),IF(R406&gt;0,AH406/R406,0))/MAX(0.1,N(Parameter!$M$21)))</f>
        <v>0.0384615384615385</v>
      </c>
      <c r="AJ406" s="62" t="n">
        <f aca="false">AI406*CC406</f>
        <v>5.96153846153846</v>
      </c>
      <c r="AK406" s="63" t="n">
        <f aca="false">IF(LEFT(Cockpit!$C$5,1)="A",H406,IF(CI406=1,(CL406+CJ406)/2,IF(LEFT(Cockpit!$C$5,1)="B",(CL406+AM406)/2,MAX((CL406+AM406)/2,H406))))</f>
        <v>23</v>
      </c>
      <c r="AL406" s="62" t="n">
        <f aca="false">AK406*G406</f>
        <v>106.95</v>
      </c>
      <c r="AM406" s="62" t="n">
        <f aca="false">ROUNDUP(CL406+MAX(CM406,2*(J406/IF(CH406&gt;0,CH406,MAX(0.1,N(Cockpit!$C$6)))-CL406)),0)</f>
        <v>5</v>
      </c>
      <c r="AN406" s="63" t="n">
        <f aca="false">IF(AJ406&gt;0,J406/AJ406,-1)</f>
        <v>0</v>
      </c>
      <c r="AO406" s="63" t="n">
        <f aca="false">IF(AND(OR(CG406="L1",CG406="L23",CG406="LIFT"),AJ406&gt;0),SUMIFS($AJ$7:$AJ$1843,$CG$7:$CG$1843,CG406,$AN$7:$AN$1843,"&gt;"&amp;AN406)+SUMIFS($AJ$7:$AJ$1843,$CG$7:$CG$1843,CG406,$AN$7:$AN$1843,AN406,$BX$7:$BX$1843,"&lt;="&amp;BX406),"")</f>
        <v>28092.1929337141</v>
      </c>
      <c r="AP406" s="70" t="n">
        <f aca="false">IF(AO406="",0,MAX(0,MIN(1,(IF(CG406="L1",Parameter!$H$5,IF(CG406="L23",Parameter!$H$6+Parameter!$H$7,Parameter!$H$5+Parameter!$H$6+Parameter!$H$7))-(AO406-AJ406))/AJ406)))</f>
        <v>1</v>
      </c>
      <c r="AQ406" s="62" t="n">
        <f aca="false">IF(LEFT(Cockpit!$I$5,1)="A",H406,IF(Parameter!$E$30="MAX-Bestand",IF(CI406=1,CJ406,IF(LEFT(Cockpit!$I$5,1)="B",AW406,MAX(AW406,H406))),ROUNDUP(AU406,0)))</f>
        <v>23</v>
      </c>
      <c r="AR406" s="62" t="n">
        <f aca="false">IF(CA406=1,0,ROUNDUP(AQ406/BZ406,0))</f>
        <v>1</v>
      </c>
      <c r="AS406" s="64" t="n">
        <f aca="false">IF(CR406&gt;0,CR406*MAX(1,AQ406/X406),IF(CA406=1,IF(AQ406&lt;=0,0,CE406*MAX(1,IF(H406&gt;0,AQ406/H406,1))),IF(R406&gt;0,AR406/R406,0))/MAX(0.1,N(Parameter!$M$21)))</f>
        <v>0.0384615384615385</v>
      </c>
      <c r="AT406" s="62" t="n">
        <f aca="false">AS406*CC406</f>
        <v>5.96153846153846</v>
      </c>
      <c r="AU406" s="63" t="n">
        <f aca="false">IF(LEFT(Cockpit!$I$5,1)="A",H406,IF(CI406=1,(CL406+CJ406)/2,IF(LEFT(Cockpit!$I$5,1)="B",(CL406+AW406)/2,MAX((CL406+AW406)/2,H406))))</f>
        <v>23</v>
      </c>
      <c r="AV406" s="62" t="n">
        <f aca="false">AU406*G406</f>
        <v>106.95</v>
      </c>
      <c r="AW406" s="62" t="n">
        <f aca="false">ROUNDUP(CL406+MAX(CM406,2*(J406/IF(CH406&gt;0,CH406,MAX(0.1,N(Cockpit!$I$6)))-CL406)),0)</f>
        <v>5</v>
      </c>
      <c r="AX406" s="63" t="n">
        <f aca="false">IF(AT406&gt;0,J406/AT406,-1)</f>
        <v>0</v>
      </c>
      <c r="AY406" s="63" t="n">
        <f aca="false">IF(AND(OR(CG406="L1",CG406="L23",CG406="LIFT"),AT406&gt;0),SUMIFS($AT$7:$AT$1843,$CG$7:$CG$1843,CG406,$AX$7:$AX$1843,"&gt;"&amp;AX406)+SUMIFS($AT$7:$AT$1843,$CG$7:$CG$1843,CG406,$AX$7:$AX$1843,AX406,$BX$7:$BX$1843,"&lt;="&amp;BX406),"")</f>
        <v>33445.3415750916</v>
      </c>
      <c r="AZ406" s="70" t="n">
        <f aca="false">IF(AY406="",0,MAX(0,MIN(1,(IF(CG406="L1",Parameter!$H$5,IF(CG406="L23",Parameter!$H$6+Parameter!$H$7,Parameter!$H$5+Parameter!$H$6+Parameter!$H$7))-(AY406-AT406))/AT406)))</f>
        <v>1</v>
      </c>
      <c r="BA406" s="62" t="n">
        <f aca="false">IF(LEFT(Cockpit!$O$5,1)="A",H406,IF(Parameter!$E$30="MAX-Bestand",IF(CI406=1,CJ406,IF(LEFT(Cockpit!$O$5,1)="B",BG406,MAX(BG406,H406))),ROUNDUP(BE406,0)))</f>
        <v>3</v>
      </c>
      <c r="BB406" s="62" t="n">
        <f aca="false">IF(CA406=1,0,ROUNDUP(BA406/BZ406,0))</f>
        <v>1</v>
      </c>
      <c r="BC406" s="64" t="n">
        <f aca="false">IF(CR406&gt;0,CR406*MAX(1,BA406/X406),IF(CA406=1,IF(BA406&lt;=0,0,CE406*MAX(1,IF(H406&gt;0,BA406/H406,1))),IF(R406&gt;0,BB406/R406,0))/MAX(0.1,N(Parameter!$M$21)))</f>
        <v>0.0384615384615385</v>
      </c>
      <c r="BD406" s="62" t="n">
        <f aca="false">BC406*CC406</f>
        <v>5.96153846153846</v>
      </c>
      <c r="BE406" s="63" t="n">
        <f aca="false">IF(LEFT(Cockpit!$O$5,1)="A",H406,IF(CI406=1,(CL406+CJ406)/2,IF(LEFT(Cockpit!$O$5,1)="B",(CL406+BG406)/2,MAX((CL406+BG406)/2,H406))))</f>
        <v>2.5</v>
      </c>
      <c r="BF406" s="62" t="n">
        <f aca="false">BE406*G406</f>
        <v>11.625</v>
      </c>
      <c r="BG406" s="62" t="n">
        <f aca="false">ROUNDUP(CL406+MAX(CM406,2*(J406/IF(CH406&gt;0,CH406,MAX(0.1,N(Cockpit!$O$6)))-CL406)),0)</f>
        <v>5</v>
      </c>
      <c r="BH406" s="63" t="n">
        <f aca="false">IF(BD406&gt;0,J406/BD406,-1)</f>
        <v>0</v>
      </c>
      <c r="BI406" s="63" t="n">
        <f aca="false">IF(AND(OR(CG406="L1",CG406="L23",CG406="LIFT"),BD406&gt;0),SUMIFS($BD$7:$BD$1843,$CG$7:$CG$1843,CG406,$BH$7:$BH$1843,"&gt;"&amp;BH406)+SUMIFS($BD$7:$BD$1843,$CG$7:$CG$1843,CG406,$BH$7:$BH$1843,BH406,$BX$7:$BX$1843,"&lt;="&amp;BX406),"")</f>
        <v>27558.8785465947</v>
      </c>
      <c r="BJ406" s="70" t="n">
        <f aca="false">IF(BI406="",0,MAX(0,MIN(1,(IF(CG406="L1",Parameter!$H$5,IF(CG406="L23",Parameter!$H$6+Parameter!$H$7,Parameter!$H$5+Parameter!$H$6+Parameter!$H$7))-(BI406-BD406))/BD406)))</f>
        <v>1</v>
      </c>
      <c r="BK406" s="60" t="str">
        <f aca="false">IF(AJ406&lt;=0,"",IF(CG406="Aussen","Aussenlager",IF(CG406="-","Nicht im Lift",IF(AP406&gt;=1,"Lift",IF(AP406&lt;=0,"Aussenlager","teilweise")))))</f>
        <v>Lift</v>
      </c>
      <c r="BL406" s="60" t="str">
        <f aca="false">IF(AT406&lt;=0,"",IF(CG406="Aussen","Aussenlager",IF(CG406="-","Nicht im Lift",IF(AZ406&gt;=1,"Lift",IF(AZ406&lt;=0,"Aussenlager","teilweise")))))</f>
        <v>Lift</v>
      </c>
      <c r="BM406" s="60" t="str">
        <f aca="false">IF(BD406&lt;=0,"",IF(CG406="Aussen","Aussenlager",IF(CG406="-","Nicht im Lift",IF(BJ406&gt;=1,"Lift",IF(BJ406&lt;=0,"Aussenlager","teilweise")))))</f>
        <v>Lift</v>
      </c>
      <c r="BN406" s="60" t="str">
        <f aca="false">IF(A406="","",IF(BW406=1,"Neu; ","")&amp;IF(AND(BW406=0,BR406&lt;0),"negativer Bestand (Export "&amp;BR406&amp;"); ","")&amp;IF(J406&lt;=0,"Kein Verbrauch; ","")&amp;IF(CR406&gt;0,"Lift "&amp;W406&amp;" lt. Liftbericht (Fach "&amp;X406&amp;" Stk); ",IF(CB406=1,"Gebinde geschätzt ("&amp;T406&amp;"); ",IF(CA406=1,"Lose – Tablare geschätzt; ","")))&amp;IF(H406&gt;AW406,"Überbestand "&amp;ROUND(H406-AW406,0)&amp;" Stk / CHF "&amp;ROUND((H406-AW406)*G406,0)&amp;"; ","")&amp;IF(AND(CI406=1,CJ406&lt;CK406),"MAX &lt; MB+LG; ","")&amp;IF(AND(CQ406&gt;0,CP406*10&gt;CQ406),"zu hoch für Tablar; ","")&amp;IF(AND(BW406=0,OR(CI406=1,AB406&lt;&gt;"",U406&lt;&gt;"",V406&lt;&gt;"",AC406&lt;&gt;"")),"manuell übersteuert; ","")&amp;IF(AND(CA406=0,R406=0),"Gebinde unbekannt / Stellmass fehlt; ","")&amp;IF(AND(CA406=0,N(V406)&lt;=0,N(Q406)&lt;=0),"Menge pro Gebinde fehlt (Ist = 1 Gebinde); ","")&amp;BV406)</f>
        <v>Kein Verbrauch; Gebinde geschätzt (Klein); Überbestand 18 Stk / CHF 84; Menge pro Gebinde fehlt (Ist = 1 Gebinde); </v>
      </c>
      <c r="BO406" s="60"/>
      <c r="BP406" s="60"/>
      <c r="BQ406" s="67"/>
      <c r="BR406" s="62" t="n">
        <v>23</v>
      </c>
      <c r="BS406" s="62" t="n">
        <v>0</v>
      </c>
      <c r="BT406" s="61" t="n">
        <v>106.95</v>
      </c>
      <c r="BU406" s="62" t="n">
        <v>0</v>
      </c>
      <c r="BV406" s="60"/>
      <c r="BW406" s="65" t="n">
        <v>0</v>
      </c>
      <c r="BX406" s="65" t="n">
        <v>406</v>
      </c>
      <c r="BY406" s="60" t="str">
        <f aca="false">IF(U406&lt;&gt;"",UPPER(TRIM(U406)),IF(CB406=1,UPPER(VLOOKUP(T406,Parameter!$I$27:$K$29,2,0)),IF(P406="","LOSE",P406)))</f>
        <v>S51</v>
      </c>
      <c r="BZ406" s="62" t="n">
        <f aca="false">IF(BY406="LOSE",1,IF(N(V406)&gt;0,V406,IF(CB406=1,MAX(1,N(VLOOKUP(T406,Parameter!$I$27:$K$29,3,0)),H406,N(N406)),IF(N(Q406)&gt;0,Q406,MAX(1,H406)))))</f>
        <v>23</v>
      </c>
      <c r="CA406" s="65" t="n">
        <f aca="false">IF(BY406="LOSE",1,0)</f>
        <v>0</v>
      </c>
      <c r="CB406" s="65" t="n">
        <f aca="false">IF(AND(U406="",OR(P406="",P406="LOSE"),T406&lt;&gt;"",N(S406)&lt;=0,ISNUMBER(MATCH(T406,Parameter!$I$27:$I$29,0))),1,0)</f>
        <v>1</v>
      </c>
      <c r="CC406" s="65" t="n">
        <f aca="false">IF(CR406&gt;0,INDEX(Parameter!$H$5:$H$7,W406)/INDEX(Parameter!$E$5:$E$7,W406),IF(AND(CA406=0,N(IFERROR(VLOOKUP(BY406,'Gebinde-Kategorie'!$A$5:$N$45,14,0),0))&gt;0),VLOOKUP(BY406,'Gebinde-Kategorie'!$A$5:$N$45,14,0)*10+Parameter!$M$23,Parameter!$M$24))</f>
        <v>155</v>
      </c>
      <c r="CD406" s="60" t="str">
        <f aca="false">IF(AND(Parameter!$B$19="Ja",E406&lt;&gt;"",ISNUMBER(MATCH(E406,Parameter!$I$35:$I$52,0))),VLOOKUP(E406,Parameter!$I$35:$J$52,2,0),IFERROR(VLOOKUP(D406,Parameter!$A$35:$C$64,2,0),"Nein"))</f>
        <v>2+3</v>
      </c>
      <c r="CE406" s="64" t="n">
        <f aca="false">IF(CA406=0,0,IF(N(S406)&gt;0,S406,IFERROR(VLOOKUP(D406,Parameter!$A$35:$C$64,3,0)+0,0)))</f>
        <v>0</v>
      </c>
      <c r="CF406" s="60" t="n">
        <f aca="false">IF(AB406&lt;&gt;"",AB406,AA406)</f>
        <v>3</v>
      </c>
      <c r="CG406" s="60" t="str">
        <f aca="false">IF(OR(CF406=1,CF406=2,CF406=3),IF(Parameter!$E$27="Ja","LIFT",IF(CF406=1,"L1","L23")),IF(CF406="Aussen","Aussen","-"))</f>
        <v>LIFT</v>
      </c>
      <c r="CH406" s="71" t="n">
        <f aca="false">IF(N(AC406)&gt;0,AC406,0)</f>
        <v>0</v>
      </c>
      <c r="CI406" s="65" t="n">
        <f aca="false">IF(ISNUMBER(AF406),1,0)</f>
        <v>0</v>
      </c>
      <c r="CJ406" s="62" t="n">
        <f aca="false">N(AF406)</f>
        <v>0</v>
      </c>
      <c r="CK406" s="62" t="n">
        <f aca="false">N(M406)+N(N406)</f>
        <v>5</v>
      </c>
      <c r="CL406" s="62" t="n">
        <f aca="false">N(M406)</f>
        <v>0</v>
      </c>
      <c r="CM406" s="62" t="n">
        <f aca="false">N(N406)</f>
        <v>5</v>
      </c>
      <c r="CN406" s="62" t="n">
        <f aca="false">ROUNDUP(H406/BZ406,0)</f>
        <v>1</v>
      </c>
      <c r="CO406" s="62" t="n">
        <f aca="false">ROUNDUP(CJ406/BZ406,0)</f>
        <v>0</v>
      </c>
      <c r="CP406" s="65" t="n">
        <f aca="false">IF(CA406=1,0,IFERROR(VLOOKUP(BY406,'Gebinde-Kategorie'!$A$5:$N$45,5,0)+0,0))</f>
        <v>11</v>
      </c>
      <c r="CQ406" s="65" t="n">
        <f aca="false">IFERROR(IF(OR(CF406=1,CF406=2,CF406=3),N(INDEX(Parameter!$I$5:$I$7,CF406)),0),0)</f>
        <v>0</v>
      </c>
      <c r="CR406" s="64" t="n">
        <f aca="false">IF(AND(Parameter!$B$21="Ja",ISNUMBER(W406),N(X406)&gt;0),IFERROR(N(INDEX(Parameter!$L$5:$L$7,W406))*INDEX(Parameter!$E$5:$E$7,W406)*X406/SUMIFS($X$7:$X$1843,$W$7:$W$1843,W406),0),0)</f>
        <v>0</v>
      </c>
      <c r="CS406" s="62" t="n">
        <f aca="false">IF(AND(OR(CG406="L1",CG406="L23",CG406="LIFT"),H406&gt;0),CC406*IF(CR406&gt;0,CR406*MAX(1,H406/X406),IF(CA406=1,CE406,IF(R406&gt;0,CN406/R406,0))/MAX(0.1,N(Parameter!$M$21))),"")</f>
        <v>5.96153846153846</v>
      </c>
      <c r="CT406" s="64" t="n">
        <f aca="false">IF(CS406="","",J406/H406)</f>
        <v>0</v>
      </c>
      <c r="CU406" s="62" t="n">
        <f aca="false">IF(CS406="","",H406*G406)</f>
        <v>106.95</v>
      </c>
      <c r="CV406" s="63" t="n">
        <f aca="false">IF(CS406="","",(CL406+ROUNDUP(CL406+MAX(CM406,2*(J406/MAX(0.1,N(Einkauf!$C$6))-CL406)),0))/2)</f>
        <v>2.5</v>
      </c>
      <c r="CW406" s="62" t="n">
        <f aca="false">IF(CS406="","",MAX(0,H406-CV406)*G406)</f>
        <v>95.325</v>
      </c>
      <c r="CX406" s="62" t="n">
        <f aca="false">IF(CS406="","",CS406*MAX(0,1-CV406/H406))</f>
        <v>5.31354515050167</v>
      </c>
      <c r="CY406" s="64" t="n">
        <f aca="false">IF(CS406="","",PERCENTRANK($CS$7:$CS$1843,CS406)+PERCENTRANK($CU$7:$CU$1843,CU406)+1-PERCENTRANK($CT$7:$CT$1843,CT406))</f>
        <v>1.599</v>
      </c>
      <c r="CZ406" s="72" t="n">
        <f aca="false">IF(CS406="","",CHOOSE(MATCH(Einkauf!$C$5,Parameter!$G$23:$G$27,0),CY406,CS406,CU406,-CT406,CW406)+ROW()/1000000000)</f>
        <v>1.599000406</v>
      </c>
    </row>
    <row r="407" customFormat="false" ht="15" hidden="false" customHeight="false" outlineLevel="0" collapsed="false">
      <c r="A407" s="60" t="s">
        <v>990</v>
      </c>
      <c r="B407" s="60" t="s">
        <v>991</v>
      </c>
      <c r="C407" s="60" t="s">
        <v>206</v>
      </c>
      <c r="D407" s="60" t="s">
        <v>226</v>
      </c>
      <c r="E407" s="60" t="s">
        <v>227</v>
      </c>
      <c r="F407" s="60" t="s">
        <v>260</v>
      </c>
      <c r="G407" s="61" t="n">
        <v>0.13</v>
      </c>
      <c r="H407" s="62" t="n">
        <f aca="false">MAX(0,IF(AND(Parameter!$B$21="Ja",ISNUMBER(Y407)),Y407,IF(Parameter!$B$20="Jahresanfang 2025 + Export",BS407+BR407,BR407)))</f>
        <v>929</v>
      </c>
      <c r="I407" s="62" t="n">
        <f aca="false">H407*G407</f>
        <v>120.77</v>
      </c>
      <c r="J407" s="62" t="n">
        <f aca="false">BU407*Parameter!$B$18</f>
        <v>678</v>
      </c>
      <c r="K407" s="63" t="n">
        <v>181</v>
      </c>
      <c r="L407" s="64" t="n">
        <v>3.74585635359116</v>
      </c>
      <c r="M407" s="62" t="n">
        <v>39</v>
      </c>
      <c r="N407" s="62" t="n">
        <v>680</v>
      </c>
      <c r="O407" s="65" t="n">
        <v>21</v>
      </c>
      <c r="P407" s="60" t="s">
        <v>518</v>
      </c>
      <c r="Q407" s="62" t="n">
        <v>598</v>
      </c>
      <c r="R407" s="65" t="n">
        <f aca="false">IF(CA407=1,0,IFERROR(VLOOKUP(BY407,'Gebinde-Kategorie'!$A$5:$N$45,13,0)+0,0))</f>
        <v>52</v>
      </c>
      <c r="S407" s="66"/>
      <c r="T407" s="67"/>
      <c r="U407" s="67"/>
      <c r="V407" s="67"/>
      <c r="W407" s="60"/>
      <c r="X407" s="62"/>
      <c r="Y407" s="62"/>
      <c r="Z407" s="60" t="n">
        <v>3</v>
      </c>
      <c r="AA407" s="60" t="n">
        <f aca="false">IF(A407="","",IF(AND(Parameter!$B$21="Ja",ISNUMBER(W407)),W407,IF(AND(Parameter!$E$27="Ja",ISNUMBER(Z407),CD407&lt;&gt;"Nein"),Z407,IF(CD407="2+3",IF(ISNUMBER(SEARCH("grosser Artikel",BV407)),2,IFERROR(VLOOKUP(BY407,Parameter!$F$35:$G$64,2,0),2)),IF(OR(CD407="Nein",CD407=""),"-",CD407)))))</f>
        <v>3</v>
      </c>
      <c r="AB407" s="67"/>
      <c r="AC407" s="68"/>
      <c r="AD407" s="62" t="n">
        <f aca="false">AW407</f>
        <v>719</v>
      </c>
      <c r="AE407" s="62" t="n">
        <f aca="false">MAX(AW407,H407)</f>
        <v>929</v>
      </c>
      <c r="AF407" s="69"/>
      <c r="AG407" s="62" t="n">
        <f aca="false">IF(LEFT(Cockpit!$C$5,1)="A",H407,IF(Parameter!$E$30="MAX-Bestand",IF(CI407=1,CJ407,IF(LEFT(Cockpit!$C$5,1)="B",AM407,MAX(AM407,H407))),ROUNDUP(AK407,0)))</f>
        <v>929</v>
      </c>
      <c r="AH407" s="62" t="n">
        <f aca="false">IF(CA407=1,0,ROUNDUP(AG407/BZ407,0))</f>
        <v>2</v>
      </c>
      <c r="AI407" s="64" t="n">
        <f aca="false">IF(CR407&gt;0,CR407*MAX(1,AG407/X407),IF(CA407=1,IF(AG407&lt;=0,0,CE407*MAX(1,IF(H407&gt;0,AG407/H407,1))),IF(R407&gt;0,AH407/R407,0))/MAX(0.1,N(Parameter!$M$21)))</f>
        <v>0.0384615384615385</v>
      </c>
      <c r="AJ407" s="62" t="n">
        <f aca="false">AI407*CC407</f>
        <v>5.96153846153846</v>
      </c>
      <c r="AK407" s="63" t="n">
        <f aca="false">IF(LEFT(Cockpit!$C$5,1)="A",H407,IF(CI407=1,(CL407+CJ407)/2,IF(LEFT(Cockpit!$C$5,1)="B",(CL407+AM407)/2,MAX((CL407+AM407)/2,H407))))</f>
        <v>929</v>
      </c>
      <c r="AL407" s="62" t="n">
        <f aca="false">AK407*G407</f>
        <v>120.77</v>
      </c>
      <c r="AM407" s="62" t="n">
        <f aca="false">ROUNDUP(CL407+MAX(CM407,2*(J407/IF(CH407&gt;0,CH407,MAX(0.1,N(Cockpit!$C$6)))-CL407)),0)</f>
        <v>719</v>
      </c>
      <c r="AN407" s="63" t="n">
        <f aca="false">IF(AJ407&gt;0,J407/AJ407,-1)</f>
        <v>113.729032258065</v>
      </c>
      <c r="AO407" s="63" t="n">
        <f aca="false">IF(AND(OR(CG407="L1",CG407="L23",CG407="LIFT"),AJ407&gt;0),SUMIFS($AJ$7:$AJ$1843,$CG$7:$CG$1843,CG407,$AN$7:$AN$1843,"&gt;"&amp;AN407)+SUMIFS($AJ$7:$AJ$1843,$CG$7:$CG$1843,CG407,$AN$7:$AN$1843,AN407,$BX$7:$BX$1843,"&lt;="&amp;BX407),"")</f>
        <v>694.615842490843</v>
      </c>
      <c r="AP407" s="70" t="n">
        <f aca="false">IF(AO407="",0,MAX(0,MIN(1,(IF(CG407="L1",Parameter!$H$5,IF(CG407="L23",Parameter!$H$6+Parameter!$H$7,Parameter!$H$5+Parameter!$H$6+Parameter!$H$7))-(AO407-AJ407))/AJ407)))</f>
        <v>1</v>
      </c>
      <c r="AQ407" s="62" t="n">
        <f aca="false">IF(LEFT(Cockpit!$I$5,1)="A",H407,IF(Parameter!$E$30="MAX-Bestand",IF(CI407=1,CJ407,IF(LEFT(Cockpit!$I$5,1)="B",AW407,MAX(AW407,H407))),ROUNDUP(AU407,0)))</f>
        <v>929</v>
      </c>
      <c r="AR407" s="62" t="n">
        <f aca="false">IF(CA407=1,0,ROUNDUP(AQ407/BZ407,0))</f>
        <v>2</v>
      </c>
      <c r="AS407" s="64" t="n">
        <f aca="false">IF(CR407&gt;0,CR407*MAX(1,AQ407/X407),IF(CA407=1,IF(AQ407&lt;=0,0,CE407*MAX(1,IF(H407&gt;0,AQ407/H407,1))),IF(R407&gt;0,AR407/R407,0))/MAX(0.1,N(Parameter!$M$21)))</f>
        <v>0.0384615384615385</v>
      </c>
      <c r="AT407" s="62" t="n">
        <f aca="false">AS407*CC407</f>
        <v>5.96153846153846</v>
      </c>
      <c r="AU407" s="63" t="n">
        <f aca="false">IF(LEFT(Cockpit!$I$5,1)="A",H407,IF(CI407=1,(CL407+CJ407)/2,IF(LEFT(Cockpit!$I$5,1)="B",(CL407+AW407)/2,MAX((CL407+AW407)/2,H407))))</f>
        <v>929</v>
      </c>
      <c r="AV407" s="62" t="n">
        <f aca="false">AU407*G407</f>
        <v>120.77</v>
      </c>
      <c r="AW407" s="62" t="n">
        <f aca="false">ROUNDUP(CL407+MAX(CM407,2*(J407/IF(CH407&gt;0,CH407,MAX(0.1,N(Cockpit!$I$6)))-CL407)),0)</f>
        <v>719</v>
      </c>
      <c r="AX407" s="63" t="n">
        <f aca="false">IF(AT407&gt;0,J407/AT407,-1)</f>
        <v>113.729032258065</v>
      </c>
      <c r="AY407" s="63" t="n">
        <f aca="false">IF(AND(OR(CG407="L1",CG407="L23",CG407="LIFT"),AT407&gt;0),SUMIFS($AT$7:$AT$1843,$CG$7:$CG$1843,CG407,$AX$7:$AX$1843,"&gt;"&amp;AX407)+SUMIFS($AT$7:$AT$1843,$CG$7:$CG$1843,CG407,$AX$7:$AX$1843,AX407,$BX$7:$BX$1843,"&lt;="&amp;BX407),"")</f>
        <v>808.505494505495</v>
      </c>
      <c r="AZ407" s="70" t="n">
        <f aca="false">IF(AY407="",0,MAX(0,MIN(1,(IF(CG407="L1",Parameter!$H$5,IF(CG407="L23",Parameter!$H$6+Parameter!$H$7,Parameter!$H$5+Parameter!$H$6+Parameter!$H$7))-(AY407-AT407))/AT407)))</f>
        <v>1</v>
      </c>
      <c r="BA407" s="62" t="n">
        <f aca="false">IF(LEFT(Cockpit!$O$5,1)="A",H407,IF(Parameter!$E$30="MAX-Bestand",IF(CI407=1,CJ407,IF(LEFT(Cockpit!$O$5,1)="B",BG407,MAX(BG407,H407))),ROUNDUP(BE407,0)))</f>
        <v>379</v>
      </c>
      <c r="BB407" s="62" t="n">
        <f aca="false">IF(CA407=1,0,ROUNDUP(BA407/BZ407,0))</f>
        <v>1</v>
      </c>
      <c r="BC407" s="64" t="n">
        <f aca="false">IF(CR407&gt;0,CR407*MAX(1,BA407/X407),IF(CA407=1,IF(BA407&lt;=0,0,CE407*MAX(1,IF(H407&gt;0,BA407/H407,1))),IF(R407&gt;0,BB407/R407,0))/MAX(0.1,N(Parameter!$M$21)))</f>
        <v>0.0192307692307692</v>
      </c>
      <c r="BD407" s="62" t="n">
        <f aca="false">BC407*CC407</f>
        <v>2.98076923076923</v>
      </c>
      <c r="BE407" s="63" t="n">
        <f aca="false">IF(LEFT(Cockpit!$O$5,1)="A",H407,IF(CI407=1,(CL407+CJ407)/2,IF(LEFT(Cockpit!$O$5,1)="B",(CL407+BG407)/2,MAX((CL407+BG407)/2,H407))))</f>
        <v>379</v>
      </c>
      <c r="BF407" s="62" t="n">
        <f aca="false">BE407*G407</f>
        <v>49.27</v>
      </c>
      <c r="BG407" s="62" t="n">
        <f aca="false">ROUNDUP(CL407+MAX(CM407,2*(J407/IF(CH407&gt;0,CH407,MAX(0.1,N(Cockpit!$O$6)))-CL407)),0)</f>
        <v>719</v>
      </c>
      <c r="BH407" s="63" t="n">
        <f aca="false">IF(BD407&gt;0,J407/BD407,-1)</f>
        <v>227.458064516129</v>
      </c>
      <c r="BI407" s="63" t="n">
        <f aca="false">IF(AND(OR(CG407="L1",CG407="L23",CG407="LIFT"),BD407&gt;0),SUMIFS($BD$7:$BD$1843,$CG$7:$CG$1843,CG407,$BH$7:$BH$1843,"&gt;"&amp;BH407)+SUMIFS($BD$7:$BD$1843,$CG$7:$CG$1843,CG407,$BH$7:$BH$1843,BH407,$BX$7:$BX$1843,"&lt;="&amp;BX407),"")</f>
        <v>397.114010989011</v>
      </c>
      <c r="BJ407" s="70" t="n">
        <f aca="false">IF(BI407="",0,MAX(0,MIN(1,(IF(CG407="L1",Parameter!$H$5,IF(CG407="L23",Parameter!$H$6+Parameter!$H$7,Parameter!$H$5+Parameter!$H$6+Parameter!$H$7))-(BI407-BD407))/BD407)))</f>
        <v>1</v>
      </c>
      <c r="BK407" s="60" t="str">
        <f aca="false">IF(AJ407&lt;=0,"",IF(CG407="Aussen","Aussenlager",IF(CG407="-","Nicht im Lift",IF(AP407&gt;=1,"Lift",IF(AP407&lt;=0,"Aussenlager","teilweise")))))</f>
        <v>Lift</v>
      </c>
      <c r="BL407" s="60" t="str">
        <f aca="false">IF(AT407&lt;=0,"",IF(CG407="Aussen","Aussenlager",IF(CG407="-","Nicht im Lift",IF(AZ407&gt;=1,"Lift",IF(AZ407&lt;=0,"Aussenlager","teilweise")))))</f>
        <v>Lift</v>
      </c>
      <c r="BM407" s="60" t="str">
        <f aca="false">IF(BD407&lt;=0,"",IF(CG407="Aussen","Aussenlager",IF(CG407="-","Nicht im Lift",IF(BJ407&gt;=1,"Lift",IF(BJ407&lt;=0,"Aussenlager","teilweise")))))</f>
        <v>Lift</v>
      </c>
      <c r="BN407" s="60" t="str">
        <f aca="false">IF(A407="","",IF(BW407=1,"Neu; ","")&amp;IF(AND(BW407=0,BR407&lt;0),"negativer Bestand (Export "&amp;BR407&amp;"); ","")&amp;IF(J407&lt;=0,"Kein Verbrauch; ","")&amp;IF(CR407&gt;0,"Lift "&amp;W407&amp;" lt. Liftbericht (Fach "&amp;X407&amp;" Stk); ",IF(CB407=1,"Gebinde geschätzt ("&amp;T407&amp;"); ",IF(CA407=1,"Lose – Tablare geschätzt; ","")))&amp;IF(H407&gt;AW407,"Überbestand "&amp;ROUND(H407-AW407,0)&amp;" Stk / CHF "&amp;ROUND((H407-AW407)*G407,0)&amp;"; ","")&amp;IF(AND(CI407=1,CJ407&lt;CK407),"MAX &lt; MB+LG; ","")&amp;IF(AND(CQ407&gt;0,CP407*10&gt;CQ407),"zu hoch für Tablar; ","")&amp;IF(AND(BW407=0,OR(CI407=1,AB407&lt;&gt;"",U407&lt;&gt;"",V407&lt;&gt;"",AC407&lt;&gt;"")),"manuell übersteuert; ","")&amp;IF(AND(CA407=0,R407=0),"Gebinde unbekannt / Stellmass fehlt; ","")&amp;IF(AND(CA407=0,N(V407)&lt;=0,N(Q407)&lt;=0),"Menge pro Gebinde fehlt (Ist = 1 Gebinde); ","")&amp;BV407)</f>
        <v>Überbestand 210 Stk / CHF 27; </v>
      </c>
      <c r="BO407" s="60"/>
      <c r="BP407" s="60"/>
      <c r="BQ407" s="67"/>
      <c r="BR407" s="62" t="n">
        <v>786</v>
      </c>
      <c r="BS407" s="62" t="n">
        <v>143</v>
      </c>
      <c r="BT407" s="61" t="n">
        <v>106.47</v>
      </c>
      <c r="BU407" s="62" t="n">
        <v>678</v>
      </c>
      <c r="BV407" s="60"/>
      <c r="BW407" s="65" t="n">
        <v>0</v>
      </c>
      <c r="BX407" s="65" t="n">
        <v>407</v>
      </c>
      <c r="BY407" s="60" t="str">
        <f aca="false">IF(U407&lt;&gt;"",UPPER(TRIM(U407)),IF(CB407=1,UPPER(VLOOKUP(T407,Parameter!$I$27:$K$29,2,0)),IF(P407="","LOSE",P407)))</f>
        <v>S33</v>
      </c>
      <c r="BZ407" s="62" t="n">
        <f aca="false">IF(BY407="LOSE",1,IF(N(V407)&gt;0,V407,IF(CB407=1,MAX(1,N(VLOOKUP(T407,Parameter!$I$27:$K$29,3,0)),H407,N(N407)),IF(N(Q407)&gt;0,Q407,MAX(1,H407)))))</f>
        <v>598</v>
      </c>
      <c r="CA407" s="65" t="n">
        <f aca="false">IF(BY407="LOSE",1,0)</f>
        <v>0</v>
      </c>
      <c r="CB407" s="65" t="n">
        <f aca="false">IF(AND(U407="",OR(P407="",P407="LOSE"),T407&lt;&gt;"",N(S407)&lt;=0,ISNUMBER(MATCH(T407,Parameter!$I$27:$I$29,0))),1,0)</f>
        <v>0</v>
      </c>
      <c r="CC407" s="65" t="n">
        <f aca="false">IF(CR407&gt;0,INDEX(Parameter!$H$5:$H$7,W407)/INDEX(Parameter!$E$5:$E$7,W407),IF(AND(CA407=0,N(IFERROR(VLOOKUP(BY407,'Gebinde-Kategorie'!$A$5:$N$45,14,0),0))&gt;0),VLOOKUP(BY407,'Gebinde-Kategorie'!$A$5:$N$45,14,0)*10+Parameter!$M$23,Parameter!$M$24))</f>
        <v>155</v>
      </c>
      <c r="CD407" s="60" t="str">
        <f aca="false">IF(AND(Parameter!$B$19="Ja",E407&lt;&gt;"",ISNUMBER(MATCH(E407,Parameter!$I$35:$I$52,0))),VLOOKUP(E407,Parameter!$I$35:$J$52,2,0),IFERROR(VLOOKUP(D407,Parameter!$A$35:$C$64,2,0),"Nein"))</f>
        <v>2+3</v>
      </c>
      <c r="CE407" s="64" t="n">
        <f aca="false">IF(CA407=0,0,IF(N(S407)&gt;0,S407,IFERROR(VLOOKUP(D407,Parameter!$A$35:$C$64,3,0)+0,0)))</f>
        <v>0</v>
      </c>
      <c r="CF407" s="60" t="n">
        <f aca="false">IF(AB407&lt;&gt;"",AB407,AA407)</f>
        <v>3</v>
      </c>
      <c r="CG407" s="60" t="str">
        <f aca="false">IF(OR(CF407=1,CF407=2,CF407=3),IF(Parameter!$E$27="Ja","LIFT",IF(CF407=1,"L1","L23")),IF(CF407="Aussen","Aussen","-"))</f>
        <v>LIFT</v>
      </c>
      <c r="CH407" s="71" t="n">
        <f aca="false">IF(N(AC407)&gt;0,AC407,0)</f>
        <v>0</v>
      </c>
      <c r="CI407" s="65" t="n">
        <f aca="false">IF(ISNUMBER(AF407),1,0)</f>
        <v>0</v>
      </c>
      <c r="CJ407" s="62" t="n">
        <f aca="false">N(AF407)</f>
        <v>0</v>
      </c>
      <c r="CK407" s="62" t="n">
        <f aca="false">N(M407)+N(N407)</f>
        <v>719</v>
      </c>
      <c r="CL407" s="62" t="n">
        <f aca="false">N(M407)</f>
        <v>39</v>
      </c>
      <c r="CM407" s="62" t="n">
        <f aca="false">N(N407)</f>
        <v>680</v>
      </c>
      <c r="CN407" s="62" t="n">
        <f aca="false">ROUNDUP(H407/BZ407,0)</f>
        <v>2</v>
      </c>
      <c r="CO407" s="62" t="n">
        <f aca="false">ROUNDUP(CJ407/BZ407,0)</f>
        <v>0</v>
      </c>
      <c r="CP407" s="65" t="n">
        <f aca="false">IF(CA407=1,0,IFERROR(VLOOKUP(BY407,'Gebinde-Kategorie'!$A$5:$N$45,5,0)+0,0))</f>
        <v>8</v>
      </c>
      <c r="CQ407" s="65" t="n">
        <f aca="false">IFERROR(IF(OR(CF407=1,CF407=2,CF407=3),N(INDEX(Parameter!$I$5:$I$7,CF407)),0),0)</f>
        <v>0</v>
      </c>
      <c r="CR407" s="64" t="n">
        <f aca="false">IF(AND(Parameter!$B$21="Ja",ISNUMBER(W407),N(X407)&gt;0),IFERROR(N(INDEX(Parameter!$L$5:$L$7,W407))*INDEX(Parameter!$E$5:$E$7,W407)*X407/SUMIFS($X$7:$X$1843,$W$7:$W$1843,W407),0),0)</f>
        <v>0</v>
      </c>
      <c r="CS407" s="62" t="n">
        <f aca="false">IF(AND(OR(CG407="L1",CG407="L23",CG407="LIFT"),H407&gt;0),CC407*IF(CR407&gt;0,CR407*MAX(1,H407/X407),IF(CA407=1,CE407,IF(R407&gt;0,CN407/R407,0))/MAX(0.1,N(Parameter!$M$21))),"")</f>
        <v>5.96153846153846</v>
      </c>
      <c r="CT407" s="64" t="n">
        <f aca="false">IF(CS407="","",J407/H407)</f>
        <v>0.729817007534984</v>
      </c>
      <c r="CU407" s="62" t="n">
        <f aca="false">IF(CS407="","",H407*G407)</f>
        <v>120.77</v>
      </c>
      <c r="CV407" s="63" t="n">
        <f aca="false">IF(CS407="","",(CL407+ROUNDUP(CL407+MAX(CM407,2*(J407/MAX(0.1,N(Einkauf!$C$6))-CL407)),0))/2)</f>
        <v>379</v>
      </c>
      <c r="CW407" s="62" t="n">
        <f aca="false">IF(CS407="","",MAX(0,H407-CV407)*G407)</f>
        <v>71.5</v>
      </c>
      <c r="CX407" s="62" t="n">
        <f aca="false">IF(CS407="","",CS407*MAX(0,1-CV407/H407))</f>
        <v>3.52943611824129</v>
      </c>
      <c r="CY407" s="64" t="n">
        <f aca="false">IF(CS407="","",PERCENTRANK($CS$7:$CS$1843,CS407)+PERCENTRANK($CU$7:$CU$1843,CU407)+1-PERCENTRANK($CT$7:$CT$1843,CT407))</f>
        <v>1.021</v>
      </c>
      <c r="CZ407" s="72" t="n">
        <f aca="false">IF(CS407="","",CHOOSE(MATCH(Einkauf!$C$5,Parameter!$G$23:$G$27,0),CY407,CS407,CU407,-CT407,CW407)+ROW()/1000000000)</f>
        <v>1.021000407</v>
      </c>
    </row>
    <row r="408" customFormat="false" ht="15" hidden="false" customHeight="false" outlineLevel="0" collapsed="false">
      <c r="A408" s="60" t="s">
        <v>992</v>
      </c>
      <c r="B408" s="60" t="s">
        <v>993</v>
      </c>
      <c r="C408" s="60" t="s">
        <v>206</v>
      </c>
      <c r="D408" s="60" t="s">
        <v>226</v>
      </c>
      <c r="E408" s="60" t="s">
        <v>227</v>
      </c>
      <c r="F408" s="60" t="s">
        <v>260</v>
      </c>
      <c r="G408" s="61" t="n">
        <v>2.38</v>
      </c>
      <c r="H408" s="62" t="n">
        <f aca="false">MAX(0,IF(AND(Parameter!$B$21="Ja",ISNUMBER(Y408)),Y408,IF(Parameter!$B$20="Jahresanfang 2025 + Export",BS408+BR408,BR408)))</f>
        <v>97</v>
      </c>
      <c r="I408" s="62" t="n">
        <f aca="false">H408*G408</f>
        <v>230.86</v>
      </c>
      <c r="J408" s="62" t="n">
        <f aca="false">BU408*Parameter!$B$18</f>
        <v>35</v>
      </c>
      <c r="K408" s="63" t="n">
        <v>35.5</v>
      </c>
      <c r="L408" s="64" t="n">
        <v>0.985915492957747</v>
      </c>
      <c r="M408" s="62" t="n">
        <v>2</v>
      </c>
      <c r="N408" s="62" t="n">
        <v>50</v>
      </c>
      <c r="O408" s="65" t="n">
        <v>28</v>
      </c>
      <c r="P408" s="60" t="s">
        <v>370</v>
      </c>
      <c r="Q408" s="62" t="n">
        <v>101</v>
      </c>
      <c r="R408" s="65" t="n">
        <f aca="false">IF(CA408=1,0,IFERROR(VLOOKUP(BY408,'Gebinde-Kategorie'!$A$5:$N$45,13,0)+0,0))</f>
        <v>52</v>
      </c>
      <c r="S408" s="66"/>
      <c r="T408" s="67"/>
      <c r="U408" s="67"/>
      <c r="V408" s="67"/>
      <c r="W408" s="60"/>
      <c r="X408" s="62"/>
      <c r="Y408" s="62"/>
      <c r="Z408" s="60" t="n">
        <v>3</v>
      </c>
      <c r="AA408" s="60" t="n">
        <f aca="false">IF(A408="","",IF(AND(Parameter!$B$21="Ja",ISNUMBER(W408)),W408,IF(AND(Parameter!$E$27="Ja",ISNUMBER(Z408),CD408&lt;&gt;"Nein"),Z408,IF(CD408="2+3",IF(ISNUMBER(SEARCH("grosser Artikel",BV408)),2,IFERROR(VLOOKUP(BY408,Parameter!$F$35:$G$64,2,0),2)),IF(OR(CD408="Nein",CD408=""),"-",CD408)))))</f>
        <v>3</v>
      </c>
      <c r="AB408" s="67"/>
      <c r="AC408" s="68"/>
      <c r="AD408" s="62" t="n">
        <f aca="false">AW408</f>
        <v>52</v>
      </c>
      <c r="AE408" s="62" t="n">
        <f aca="false">MAX(AW408,H408)</f>
        <v>97</v>
      </c>
      <c r="AF408" s="69"/>
      <c r="AG408" s="62" t="n">
        <f aca="false">IF(LEFT(Cockpit!$C$5,1)="A",H408,IF(Parameter!$E$30="MAX-Bestand",IF(CI408=1,CJ408,IF(LEFT(Cockpit!$C$5,1)="B",AM408,MAX(AM408,H408))),ROUNDUP(AK408,0)))</f>
        <v>97</v>
      </c>
      <c r="AH408" s="62" t="n">
        <f aca="false">IF(CA408=1,0,ROUNDUP(AG408/BZ408,0))</f>
        <v>1</v>
      </c>
      <c r="AI408" s="64" t="n">
        <f aca="false">IF(CR408&gt;0,CR408*MAX(1,AG408/X408),IF(CA408=1,IF(AG408&lt;=0,0,CE408*MAX(1,IF(H408&gt;0,AG408/H408,1))),IF(R408&gt;0,AH408/R408,0))/MAX(0.1,N(Parameter!$M$21)))</f>
        <v>0.0192307692307692</v>
      </c>
      <c r="AJ408" s="62" t="n">
        <f aca="false">AI408*CC408</f>
        <v>2.98076923076923</v>
      </c>
      <c r="AK408" s="63" t="n">
        <f aca="false">IF(LEFT(Cockpit!$C$5,1)="A",H408,IF(CI408=1,(CL408+CJ408)/2,IF(LEFT(Cockpit!$C$5,1)="B",(CL408+AM408)/2,MAX((CL408+AM408)/2,H408))))</f>
        <v>97</v>
      </c>
      <c r="AL408" s="62" t="n">
        <f aca="false">AK408*G408</f>
        <v>230.86</v>
      </c>
      <c r="AM408" s="62" t="n">
        <f aca="false">ROUNDUP(CL408+MAX(CM408,2*(J408/IF(CH408&gt;0,CH408,MAX(0.1,N(Cockpit!$C$6)))-CL408)),0)</f>
        <v>52</v>
      </c>
      <c r="AN408" s="63" t="n">
        <f aca="false">IF(AJ408&gt;0,J408/AJ408,-1)</f>
        <v>11.741935483871</v>
      </c>
      <c r="AO408" s="63" t="n">
        <f aca="false">IF(AND(OR(CG408="L1",CG408="L23",CG408="LIFT"),AJ408&gt;0),SUMIFS($AJ$7:$AJ$1843,$CG$7:$CG$1843,CG408,$AN$7:$AN$1843,"&gt;"&amp;AN408)+SUMIFS($AJ$7:$AJ$1843,$CG$7:$CG$1843,CG408,$AN$7:$AN$1843,AN408,$BX$7:$BX$1843,"&lt;="&amp;BX408),"")</f>
        <v>2534.40659340659</v>
      </c>
      <c r="AP408" s="70" t="n">
        <f aca="false">IF(AO408="",0,MAX(0,MIN(1,(IF(CG408="L1",Parameter!$H$5,IF(CG408="L23",Parameter!$H$6+Parameter!$H$7,Parameter!$H$5+Parameter!$H$6+Parameter!$H$7))-(AO408-AJ408))/AJ408)))</f>
        <v>1</v>
      </c>
      <c r="AQ408" s="62" t="n">
        <f aca="false">IF(LEFT(Cockpit!$I$5,1)="A",H408,IF(Parameter!$E$30="MAX-Bestand",IF(CI408=1,CJ408,IF(LEFT(Cockpit!$I$5,1)="B",AW408,MAX(AW408,H408))),ROUNDUP(AU408,0)))</f>
        <v>97</v>
      </c>
      <c r="AR408" s="62" t="n">
        <f aca="false">IF(CA408=1,0,ROUNDUP(AQ408/BZ408,0))</f>
        <v>1</v>
      </c>
      <c r="AS408" s="64" t="n">
        <f aca="false">IF(CR408&gt;0,CR408*MAX(1,AQ408/X408),IF(CA408=1,IF(AQ408&lt;=0,0,CE408*MAX(1,IF(H408&gt;0,AQ408/H408,1))),IF(R408&gt;0,AR408/R408,0))/MAX(0.1,N(Parameter!$M$21)))</f>
        <v>0.0192307692307692</v>
      </c>
      <c r="AT408" s="62" t="n">
        <f aca="false">AS408*CC408</f>
        <v>2.98076923076923</v>
      </c>
      <c r="AU408" s="63" t="n">
        <f aca="false">IF(LEFT(Cockpit!$I$5,1)="A",H408,IF(CI408=1,(CL408+CJ408)/2,IF(LEFT(Cockpit!$I$5,1)="B",(CL408+AW408)/2,MAX((CL408+AW408)/2,H408))))</f>
        <v>97</v>
      </c>
      <c r="AV408" s="62" t="n">
        <f aca="false">AU408*G408</f>
        <v>230.86</v>
      </c>
      <c r="AW408" s="62" t="n">
        <f aca="false">ROUNDUP(CL408+MAX(CM408,2*(J408/IF(CH408&gt;0,CH408,MAX(0.1,N(Cockpit!$I$6)))-CL408)),0)</f>
        <v>52</v>
      </c>
      <c r="AX408" s="63" t="n">
        <f aca="false">IF(AT408&gt;0,J408/AT408,-1)</f>
        <v>11.741935483871</v>
      </c>
      <c r="AY408" s="63" t="n">
        <f aca="false">IF(AND(OR(CG408="L1",CG408="L23",CG408="LIFT"),AT408&gt;0),SUMIFS($AT$7:$AT$1843,$CG$7:$CG$1843,CG408,$AX$7:$AX$1843,"&gt;"&amp;AX408)+SUMIFS($AT$7:$AT$1843,$CG$7:$CG$1843,CG408,$AX$7:$AX$1843,AX408,$BX$7:$BX$1843,"&lt;="&amp;BX408),"")</f>
        <v>3111.70238095238</v>
      </c>
      <c r="AZ408" s="70" t="n">
        <f aca="false">IF(AY408="",0,MAX(0,MIN(1,(IF(CG408="L1",Parameter!$H$5,IF(CG408="L23",Parameter!$H$6+Parameter!$H$7,Parameter!$H$5+Parameter!$H$6+Parameter!$H$7))-(AY408-AT408))/AT408)))</f>
        <v>1</v>
      </c>
      <c r="BA408" s="62" t="n">
        <f aca="false">IF(LEFT(Cockpit!$O$5,1)="A",H408,IF(Parameter!$E$30="MAX-Bestand",IF(CI408=1,CJ408,IF(LEFT(Cockpit!$O$5,1)="B",BG408,MAX(BG408,H408))),ROUNDUP(BE408,0)))</f>
        <v>27</v>
      </c>
      <c r="BB408" s="62" t="n">
        <f aca="false">IF(CA408=1,0,ROUNDUP(BA408/BZ408,0))</f>
        <v>1</v>
      </c>
      <c r="BC408" s="64" t="n">
        <f aca="false">IF(CR408&gt;0,CR408*MAX(1,BA408/X408),IF(CA408=1,IF(BA408&lt;=0,0,CE408*MAX(1,IF(H408&gt;0,BA408/H408,1))),IF(R408&gt;0,BB408/R408,0))/MAX(0.1,N(Parameter!$M$21)))</f>
        <v>0.0192307692307692</v>
      </c>
      <c r="BD408" s="62" t="n">
        <f aca="false">BC408*CC408</f>
        <v>2.98076923076923</v>
      </c>
      <c r="BE408" s="63" t="n">
        <f aca="false">IF(LEFT(Cockpit!$O$5,1)="A",H408,IF(CI408=1,(CL408+CJ408)/2,IF(LEFT(Cockpit!$O$5,1)="B",(CL408+BG408)/2,MAX((CL408+BG408)/2,H408))))</f>
        <v>27</v>
      </c>
      <c r="BF408" s="62" t="n">
        <f aca="false">BE408*G408</f>
        <v>64.26</v>
      </c>
      <c r="BG408" s="62" t="n">
        <f aca="false">ROUNDUP(CL408+MAX(CM408,2*(J408/IF(CH408&gt;0,CH408,MAX(0.1,N(Cockpit!$O$6)))-CL408)),0)</f>
        <v>52</v>
      </c>
      <c r="BH408" s="63" t="n">
        <f aca="false">IF(BD408&gt;0,J408/BD408,-1)</f>
        <v>11.741935483871</v>
      </c>
      <c r="BI408" s="63" t="n">
        <f aca="false">IF(AND(OR(CG408="L1",CG408="L23",CG408="LIFT"),BD408&gt;0),SUMIFS($BD$7:$BD$1843,$CG$7:$CG$1843,CG408,$BH$7:$BH$1843,"&gt;"&amp;BH408)+SUMIFS($BD$7:$BD$1843,$CG$7:$CG$1843,CG408,$BH$7:$BH$1843,BH408,$BX$7:$BX$1843,"&lt;="&amp;BX408),"")</f>
        <v>2580.67490842491</v>
      </c>
      <c r="BJ408" s="70" t="n">
        <f aca="false">IF(BI408="",0,MAX(0,MIN(1,(IF(CG408="L1",Parameter!$H$5,IF(CG408="L23",Parameter!$H$6+Parameter!$H$7,Parameter!$H$5+Parameter!$H$6+Parameter!$H$7))-(BI408-BD408))/BD408)))</f>
        <v>1</v>
      </c>
      <c r="BK408" s="60" t="str">
        <f aca="false">IF(AJ408&lt;=0,"",IF(CG408="Aussen","Aussenlager",IF(CG408="-","Nicht im Lift",IF(AP408&gt;=1,"Lift",IF(AP408&lt;=0,"Aussenlager","teilweise")))))</f>
        <v>Lift</v>
      </c>
      <c r="BL408" s="60" t="str">
        <f aca="false">IF(AT408&lt;=0,"",IF(CG408="Aussen","Aussenlager",IF(CG408="-","Nicht im Lift",IF(AZ408&gt;=1,"Lift",IF(AZ408&lt;=0,"Aussenlager","teilweise")))))</f>
        <v>Lift</v>
      </c>
      <c r="BM408" s="60" t="str">
        <f aca="false">IF(BD408&lt;=0,"",IF(CG408="Aussen","Aussenlager",IF(CG408="-","Nicht im Lift",IF(BJ408&gt;=1,"Lift",IF(BJ408&lt;=0,"Aussenlager","teilweise")))))</f>
        <v>Lift</v>
      </c>
      <c r="BN408" s="60" t="str">
        <f aca="false">IF(A408="","",IF(BW408=1,"Neu; ","")&amp;IF(AND(BW408=0,BR408&lt;0),"negativer Bestand (Export "&amp;BR408&amp;"); ","")&amp;IF(J408&lt;=0,"Kein Verbrauch; ","")&amp;IF(CR408&gt;0,"Lift "&amp;W408&amp;" lt. Liftbericht (Fach "&amp;X408&amp;" Stk); ",IF(CB408=1,"Gebinde geschätzt ("&amp;T408&amp;"); ",IF(CA408=1,"Lose – Tablare geschätzt; ","")))&amp;IF(H408&gt;AW408,"Überbestand "&amp;ROUND(H408-AW408,0)&amp;" Stk / CHF "&amp;ROUND((H408-AW408)*G408,0)&amp;"; ","")&amp;IF(AND(CI408=1,CJ408&lt;CK408),"MAX &lt; MB+LG; ","")&amp;IF(AND(CQ408&gt;0,CP408*10&gt;CQ408),"zu hoch für Tablar; ","")&amp;IF(AND(BW408=0,OR(CI408=1,AB408&lt;&gt;"",U408&lt;&gt;"",V408&lt;&gt;"",AC408&lt;&gt;"")),"manuell übersteuert; ","")&amp;IF(AND(CA408=0,R408=0),"Gebinde unbekannt / Stellmass fehlt; ","")&amp;IF(AND(CA408=0,N(V408)&lt;=0,N(Q408)&lt;=0),"Menge pro Gebinde fehlt (Ist = 1 Gebinde); ","")&amp;BV408)</f>
        <v>Überbestand 45 Stk / CHF 107; Neu</v>
      </c>
      <c r="BO408" s="60"/>
      <c r="BP408" s="60"/>
      <c r="BQ408" s="67"/>
      <c r="BR408" s="62" t="n">
        <v>44</v>
      </c>
      <c r="BS408" s="62" t="n">
        <v>53</v>
      </c>
      <c r="BT408" s="61" t="n">
        <v>104.72</v>
      </c>
      <c r="BU408" s="62" t="n">
        <v>35</v>
      </c>
      <c r="BV408" s="60" t="s">
        <v>668</v>
      </c>
      <c r="BW408" s="65" t="n">
        <v>0</v>
      </c>
      <c r="BX408" s="65" t="n">
        <v>408</v>
      </c>
      <c r="BY408" s="60" t="str">
        <f aca="false">IF(U408&lt;&gt;"",UPPER(TRIM(U408)),IF(CB408=1,UPPER(VLOOKUP(T408,Parameter!$I$27:$K$29,2,0)),IF(P408="","LOSE",P408)))</f>
        <v>S41</v>
      </c>
      <c r="BZ408" s="62" t="n">
        <f aca="false">IF(BY408="LOSE",1,IF(N(V408)&gt;0,V408,IF(CB408=1,MAX(1,N(VLOOKUP(T408,Parameter!$I$27:$K$29,3,0)),H408,N(N408)),IF(N(Q408)&gt;0,Q408,MAX(1,H408)))))</f>
        <v>101</v>
      </c>
      <c r="CA408" s="65" t="n">
        <f aca="false">IF(BY408="LOSE",1,0)</f>
        <v>0</v>
      </c>
      <c r="CB408" s="65" t="n">
        <f aca="false">IF(AND(U408="",OR(P408="",P408="LOSE"),T408&lt;&gt;"",N(S408)&lt;=0,ISNUMBER(MATCH(T408,Parameter!$I$27:$I$29,0))),1,0)</f>
        <v>0</v>
      </c>
      <c r="CC408" s="65" t="n">
        <f aca="false">IF(CR408&gt;0,INDEX(Parameter!$H$5:$H$7,W408)/INDEX(Parameter!$E$5:$E$7,W408),IF(AND(CA408=0,N(IFERROR(VLOOKUP(BY408,'Gebinde-Kategorie'!$A$5:$N$45,14,0),0))&gt;0),VLOOKUP(BY408,'Gebinde-Kategorie'!$A$5:$N$45,14,0)*10+Parameter!$M$23,Parameter!$M$24))</f>
        <v>155</v>
      </c>
      <c r="CD408" s="60" t="str">
        <f aca="false">IF(AND(Parameter!$B$19="Ja",E408&lt;&gt;"",ISNUMBER(MATCH(E408,Parameter!$I$35:$I$52,0))),VLOOKUP(E408,Parameter!$I$35:$J$52,2,0),IFERROR(VLOOKUP(D408,Parameter!$A$35:$C$64,2,0),"Nein"))</f>
        <v>2+3</v>
      </c>
      <c r="CE408" s="64" t="n">
        <f aca="false">IF(CA408=0,0,IF(N(S408)&gt;0,S408,IFERROR(VLOOKUP(D408,Parameter!$A$35:$C$64,3,0)+0,0)))</f>
        <v>0</v>
      </c>
      <c r="CF408" s="60" t="n">
        <f aca="false">IF(AB408&lt;&gt;"",AB408,AA408)</f>
        <v>3</v>
      </c>
      <c r="CG408" s="60" t="str">
        <f aca="false">IF(OR(CF408=1,CF408=2,CF408=3),IF(Parameter!$E$27="Ja","LIFT",IF(CF408=1,"L1","L23")),IF(CF408="Aussen","Aussen","-"))</f>
        <v>LIFT</v>
      </c>
      <c r="CH408" s="71" t="n">
        <f aca="false">IF(N(AC408)&gt;0,AC408,0)</f>
        <v>0</v>
      </c>
      <c r="CI408" s="65" t="n">
        <f aca="false">IF(ISNUMBER(AF408),1,0)</f>
        <v>0</v>
      </c>
      <c r="CJ408" s="62" t="n">
        <f aca="false">N(AF408)</f>
        <v>0</v>
      </c>
      <c r="CK408" s="62" t="n">
        <f aca="false">N(M408)+N(N408)</f>
        <v>52</v>
      </c>
      <c r="CL408" s="62" t="n">
        <f aca="false">N(M408)</f>
        <v>2</v>
      </c>
      <c r="CM408" s="62" t="n">
        <f aca="false">N(N408)</f>
        <v>50</v>
      </c>
      <c r="CN408" s="62" t="n">
        <f aca="false">ROUNDUP(H408/BZ408,0)</f>
        <v>1</v>
      </c>
      <c r="CO408" s="62" t="n">
        <f aca="false">ROUNDUP(CJ408/BZ408,0)</f>
        <v>0</v>
      </c>
      <c r="CP408" s="65" t="n">
        <f aca="false">IF(CA408=1,0,IFERROR(VLOOKUP(BY408,'Gebinde-Kategorie'!$A$5:$N$45,5,0)+0,0))</f>
        <v>11</v>
      </c>
      <c r="CQ408" s="65" t="n">
        <f aca="false">IFERROR(IF(OR(CF408=1,CF408=2,CF408=3),N(INDEX(Parameter!$I$5:$I$7,CF408)),0),0)</f>
        <v>0</v>
      </c>
      <c r="CR408" s="64" t="n">
        <f aca="false">IF(AND(Parameter!$B$21="Ja",ISNUMBER(W408),N(X408)&gt;0),IFERROR(N(INDEX(Parameter!$L$5:$L$7,W408))*INDEX(Parameter!$E$5:$E$7,W408)*X408/SUMIFS($X$7:$X$1843,$W$7:$W$1843,W408),0),0)</f>
        <v>0</v>
      </c>
      <c r="CS408" s="62" t="n">
        <f aca="false">IF(AND(OR(CG408="L1",CG408="L23",CG408="LIFT"),H408&gt;0),CC408*IF(CR408&gt;0,CR408*MAX(1,H408/X408),IF(CA408=1,CE408,IF(R408&gt;0,CN408/R408,0))/MAX(0.1,N(Parameter!$M$21))),"")</f>
        <v>2.98076923076923</v>
      </c>
      <c r="CT408" s="64" t="n">
        <f aca="false">IF(CS408="","",J408/H408)</f>
        <v>0.360824742268041</v>
      </c>
      <c r="CU408" s="62" t="n">
        <f aca="false">IF(CS408="","",H408*G408)</f>
        <v>230.86</v>
      </c>
      <c r="CV408" s="63" t="n">
        <f aca="false">IF(CS408="","",(CL408+ROUNDUP(CL408+MAX(CM408,2*(J408/MAX(0.1,N(Einkauf!$C$6))-CL408)),0))/2)</f>
        <v>27</v>
      </c>
      <c r="CW408" s="62" t="n">
        <f aca="false">IF(CS408="","",MAX(0,H408-CV408)*G408)</f>
        <v>166.6</v>
      </c>
      <c r="CX408" s="62" t="n">
        <f aca="false">IF(CS408="","",CS408*MAX(0,1-CV408/H408))</f>
        <v>2.15107057890563</v>
      </c>
      <c r="CY408" s="64" t="n">
        <f aca="false">IF(CS408="","",PERCENTRANK($CS$7:$CS$1843,CS408)+PERCENTRANK($CU$7:$CU$1843,CU408)+1-PERCENTRANK($CT$7:$CT$1843,CT408))</f>
        <v>1.057</v>
      </c>
      <c r="CZ408" s="72" t="n">
        <f aca="false">IF(CS408="","",CHOOSE(MATCH(Einkauf!$C$5,Parameter!$G$23:$G$27,0),CY408,CS408,CU408,-CT408,CW408)+ROW()/1000000000)</f>
        <v>1.057000408</v>
      </c>
    </row>
    <row r="409" customFormat="false" ht="15" hidden="false" customHeight="false" outlineLevel="0" collapsed="false">
      <c r="A409" s="60" t="s">
        <v>994</v>
      </c>
      <c r="B409" s="60" t="s">
        <v>995</v>
      </c>
      <c r="C409" s="60" t="s">
        <v>206</v>
      </c>
      <c r="D409" s="60" t="s">
        <v>226</v>
      </c>
      <c r="E409" s="60" t="s">
        <v>227</v>
      </c>
      <c r="F409" s="60" t="s">
        <v>260</v>
      </c>
      <c r="G409" s="61" t="n">
        <v>0.35</v>
      </c>
      <c r="H409" s="62" t="n">
        <f aca="false">MAX(0,IF(AND(Parameter!$B$21="Ja",ISNUMBER(Y409)),Y409,IF(Parameter!$B$20="Jahresanfang 2025 + Export",BS409+BR409,BR409)))</f>
        <v>387</v>
      </c>
      <c r="I409" s="62" t="n">
        <f aca="false">H409*G409</f>
        <v>135.45</v>
      </c>
      <c r="J409" s="62" t="n">
        <f aca="false">BU409*Parameter!$B$18</f>
        <v>356</v>
      </c>
      <c r="K409" s="63" t="n">
        <v>94</v>
      </c>
      <c r="L409" s="64" t="n">
        <v>3.78723404255319</v>
      </c>
      <c r="M409" s="62" t="n">
        <v>13</v>
      </c>
      <c r="N409" s="62" t="n">
        <v>400</v>
      </c>
      <c r="O409" s="65" t="n">
        <v>14</v>
      </c>
      <c r="P409" s="60" t="s">
        <v>463</v>
      </c>
      <c r="Q409" s="62" t="n">
        <v>122</v>
      </c>
      <c r="R409" s="65" t="n">
        <f aca="false">IF(CA409=1,0,IFERROR(VLOOKUP(BY409,'Gebinde-Kategorie'!$A$5:$N$45,13,0)+0,0))</f>
        <v>104</v>
      </c>
      <c r="S409" s="66"/>
      <c r="T409" s="67"/>
      <c r="U409" s="67"/>
      <c r="V409" s="67"/>
      <c r="W409" s="60"/>
      <c r="X409" s="62"/>
      <c r="Y409" s="62"/>
      <c r="Z409" s="60" t="n">
        <v>3</v>
      </c>
      <c r="AA409" s="60" t="n">
        <f aca="false">IF(A409="","",IF(AND(Parameter!$B$21="Ja",ISNUMBER(W409)),W409,IF(AND(Parameter!$E$27="Ja",ISNUMBER(Z409),CD409&lt;&gt;"Nein"),Z409,IF(CD409="2+3",IF(ISNUMBER(SEARCH("grosser Artikel",BV409)),2,IFERROR(VLOOKUP(BY409,Parameter!$F$35:$G$64,2,0),2)),IF(OR(CD409="Nein",CD409=""),"-",CD409)))))</f>
        <v>3</v>
      </c>
      <c r="AB409" s="67"/>
      <c r="AC409" s="68"/>
      <c r="AD409" s="62" t="n">
        <f aca="false">AW409</f>
        <v>413</v>
      </c>
      <c r="AE409" s="62" t="n">
        <f aca="false">MAX(AW409,H409)</f>
        <v>413</v>
      </c>
      <c r="AF409" s="69"/>
      <c r="AG409" s="62" t="n">
        <f aca="false">IF(LEFT(Cockpit!$C$5,1)="A",H409,IF(Parameter!$E$30="MAX-Bestand",IF(CI409=1,CJ409,IF(LEFT(Cockpit!$C$5,1)="B",AM409,MAX(AM409,H409))),ROUNDUP(AK409,0)))</f>
        <v>387</v>
      </c>
      <c r="AH409" s="62" t="n">
        <f aca="false">IF(CA409=1,0,ROUNDUP(AG409/BZ409,0))</f>
        <v>4</v>
      </c>
      <c r="AI409" s="64" t="n">
        <f aca="false">IF(CR409&gt;0,CR409*MAX(1,AG409/X409),IF(CA409=1,IF(AG409&lt;=0,0,CE409*MAX(1,IF(H409&gt;0,AG409/H409,1))),IF(R409&gt;0,AH409/R409,0))/MAX(0.1,N(Parameter!$M$21)))</f>
        <v>0.0384615384615385</v>
      </c>
      <c r="AJ409" s="62" t="n">
        <f aca="false">AI409*CC409</f>
        <v>5.96153846153846</v>
      </c>
      <c r="AK409" s="63" t="n">
        <f aca="false">IF(LEFT(Cockpit!$C$5,1)="A",H409,IF(CI409=1,(CL409+CJ409)/2,IF(LEFT(Cockpit!$C$5,1)="B",(CL409+AM409)/2,MAX((CL409+AM409)/2,H409))))</f>
        <v>387</v>
      </c>
      <c r="AL409" s="62" t="n">
        <f aca="false">AK409*G409</f>
        <v>135.45</v>
      </c>
      <c r="AM409" s="62" t="n">
        <f aca="false">ROUNDUP(CL409+MAX(CM409,2*(J409/IF(CH409&gt;0,CH409,MAX(0.1,N(Cockpit!$C$6)))-CL409)),0)</f>
        <v>413</v>
      </c>
      <c r="AN409" s="63" t="n">
        <f aca="false">IF(AJ409&gt;0,J409/AJ409,-1)</f>
        <v>59.7161290322581</v>
      </c>
      <c r="AO409" s="63" t="n">
        <f aca="false">IF(AND(OR(CG409="L1",CG409="L23",CG409="LIFT"),AJ409&gt;0),SUMIFS($AJ$7:$AJ$1843,$CG$7:$CG$1843,CG409,$AN$7:$AN$1843,"&gt;"&amp;AN409)+SUMIFS($AJ$7:$AJ$1843,$CG$7:$CG$1843,CG409,$AN$7:$AN$1843,AN409,$BX$7:$BX$1843,"&lt;="&amp;BX409),"")</f>
        <v>991.391483516484</v>
      </c>
      <c r="AP409" s="70" t="n">
        <f aca="false">IF(AO409="",0,MAX(0,MIN(1,(IF(CG409="L1",Parameter!$H$5,IF(CG409="L23",Parameter!$H$6+Parameter!$H$7,Parameter!$H$5+Parameter!$H$6+Parameter!$H$7))-(AO409-AJ409))/AJ409)))</f>
        <v>1</v>
      </c>
      <c r="AQ409" s="62" t="n">
        <f aca="false">IF(LEFT(Cockpit!$I$5,1)="A",H409,IF(Parameter!$E$30="MAX-Bestand",IF(CI409=1,CJ409,IF(LEFT(Cockpit!$I$5,1)="B",AW409,MAX(AW409,H409))),ROUNDUP(AU409,0)))</f>
        <v>387</v>
      </c>
      <c r="AR409" s="62" t="n">
        <f aca="false">IF(CA409=1,0,ROUNDUP(AQ409/BZ409,0))</f>
        <v>4</v>
      </c>
      <c r="AS409" s="64" t="n">
        <f aca="false">IF(CR409&gt;0,CR409*MAX(1,AQ409/X409),IF(CA409=1,IF(AQ409&lt;=0,0,CE409*MAX(1,IF(H409&gt;0,AQ409/H409,1))),IF(R409&gt;0,AR409/R409,0))/MAX(0.1,N(Parameter!$M$21)))</f>
        <v>0.0384615384615385</v>
      </c>
      <c r="AT409" s="62" t="n">
        <f aca="false">AS409*CC409</f>
        <v>5.96153846153846</v>
      </c>
      <c r="AU409" s="63" t="n">
        <f aca="false">IF(LEFT(Cockpit!$I$5,1)="A",H409,IF(CI409=1,(CL409+CJ409)/2,IF(LEFT(Cockpit!$I$5,1)="B",(CL409+AW409)/2,MAX((CL409+AW409)/2,H409))))</f>
        <v>387</v>
      </c>
      <c r="AV409" s="62" t="n">
        <f aca="false">AU409*G409</f>
        <v>135.45</v>
      </c>
      <c r="AW409" s="62" t="n">
        <f aca="false">ROUNDUP(CL409+MAX(CM409,2*(J409/IF(CH409&gt;0,CH409,MAX(0.1,N(Cockpit!$I$6)))-CL409)),0)</f>
        <v>413</v>
      </c>
      <c r="AX409" s="63" t="n">
        <f aca="false">IF(AT409&gt;0,J409/AT409,-1)</f>
        <v>59.7161290322581</v>
      </c>
      <c r="AY409" s="63" t="n">
        <f aca="false">IF(AND(OR(CG409="L1",CG409="L23",CG409="LIFT"),AT409&gt;0),SUMIFS($AT$7:$AT$1843,$CG$7:$CG$1843,CG409,$AX$7:$AX$1843,"&gt;"&amp;AX409)+SUMIFS($AT$7:$AT$1843,$CG$7:$CG$1843,CG409,$AX$7:$AX$1843,AX409,$BX$7:$BX$1843,"&lt;="&amp;BX409),"")</f>
        <v>1193.77335164835</v>
      </c>
      <c r="AZ409" s="70" t="n">
        <f aca="false">IF(AY409="",0,MAX(0,MIN(1,(IF(CG409="L1",Parameter!$H$5,IF(CG409="L23",Parameter!$H$6+Parameter!$H$7,Parameter!$H$5+Parameter!$H$6+Parameter!$H$7))-(AY409-AT409))/AT409)))</f>
        <v>1</v>
      </c>
      <c r="BA409" s="62" t="n">
        <f aca="false">IF(LEFT(Cockpit!$O$5,1)="A",H409,IF(Parameter!$E$30="MAX-Bestand",IF(CI409=1,CJ409,IF(LEFT(Cockpit!$O$5,1)="B",BG409,MAX(BG409,H409))),ROUNDUP(BE409,0)))</f>
        <v>213</v>
      </c>
      <c r="BB409" s="62" t="n">
        <f aca="false">IF(CA409=1,0,ROUNDUP(BA409/BZ409,0))</f>
        <v>2</v>
      </c>
      <c r="BC409" s="64" t="n">
        <f aca="false">IF(CR409&gt;0,CR409*MAX(1,BA409/X409),IF(CA409=1,IF(BA409&lt;=0,0,CE409*MAX(1,IF(H409&gt;0,BA409/H409,1))),IF(R409&gt;0,BB409/R409,0))/MAX(0.1,N(Parameter!$M$21)))</f>
        <v>0.0192307692307692</v>
      </c>
      <c r="BD409" s="62" t="n">
        <f aca="false">BC409*CC409</f>
        <v>2.98076923076923</v>
      </c>
      <c r="BE409" s="63" t="n">
        <f aca="false">IF(LEFT(Cockpit!$O$5,1)="A",H409,IF(CI409=1,(CL409+CJ409)/2,IF(LEFT(Cockpit!$O$5,1)="B",(CL409+BG409)/2,MAX((CL409+BG409)/2,H409))))</f>
        <v>213</v>
      </c>
      <c r="BF409" s="62" t="n">
        <f aca="false">BE409*G409</f>
        <v>74.55</v>
      </c>
      <c r="BG409" s="62" t="n">
        <f aca="false">ROUNDUP(CL409+MAX(CM409,2*(J409/IF(CH409&gt;0,CH409,MAX(0.1,N(Cockpit!$O$6)))-CL409)),0)</f>
        <v>413</v>
      </c>
      <c r="BH409" s="63" t="n">
        <f aca="false">IF(BD409&gt;0,J409/BD409,-1)</f>
        <v>119.432258064516</v>
      </c>
      <c r="BI409" s="63" t="n">
        <f aca="false">IF(AND(OR(CG409="L1",CG409="L23",CG409="LIFT"),BD409&gt;0),SUMIFS($BD$7:$BD$1843,$CG$7:$CG$1843,CG409,$BH$7:$BH$1843,"&gt;"&amp;BH409)+SUMIFS($BD$7:$BD$1843,$CG$7:$CG$1843,CG409,$BH$7:$BH$1843,BH409,$BX$7:$BX$1843,"&lt;="&amp;BX409),"")</f>
        <v>807.471153846154</v>
      </c>
      <c r="BJ409" s="70" t="n">
        <f aca="false">IF(BI409="",0,MAX(0,MIN(1,(IF(CG409="L1",Parameter!$H$5,IF(CG409="L23",Parameter!$H$6+Parameter!$H$7,Parameter!$H$5+Parameter!$H$6+Parameter!$H$7))-(BI409-BD409))/BD409)))</f>
        <v>1</v>
      </c>
      <c r="BK409" s="60" t="str">
        <f aca="false">IF(AJ409&lt;=0,"",IF(CG409="Aussen","Aussenlager",IF(CG409="-","Nicht im Lift",IF(AP409&gt;=1,"Lift",IF(AP409&lt;=0,"Aussenlager","teilweise")))))</f>
        <v>Lift</v>
      </c>
      <c r="BL409" s="60" t="str">
        <f aca="false">IF(AT409&lt;=0,"",IF(CG409="Aussen","Aussenlager",IF(CG409="-","Nicht im Lift",IF(AZ409&gt;=1,"Lift",IF(AZ409&lt;=0,"Aussenlager","teilweise")))))</f>
        <v>Lift</v>
      </c>
      <c r="BM409" s="60" t="str">
        <f aca="false">IF(BD409&lt;=0,"",IF(CG409="Aussen","Aussenlager",IF(CG409="-","Nicht im Lift",IF(BJ409&gt;=1,"Lift",IF(BJ409&lt;=0,"Aussenlager","teilweise")))))</f>
        <v>Lift</v>
      </c>
      <c r="BN409" s="60" t="str">
        <f aca="false">IF(A409="","",IF(BW409=1,"Neu; ","")&amp;IF(AND(BW409=0,BR409&lt;0),"negativer Bestand (Export "&amp;BR409&amp;"); ","")&amp;IF(J409&lt;=0,"Kein Verbrauch; ","")&amp;IF(CR409&gt;0,"Lift "&amp;W409&amp;" lt. Liftbericht (Fach "&amp;X409&amp;" Stk); ",IF(CB409=1,"Gebinde geschätzt ("&amp;T409&amp;"); ",IF(CA409=1,"Lose – Tablare geschätzt; ","")))&amp;IF(H409&gt;AW409,"Überbestand "&amp;ROUND(H409-AW409,0)&amp;" Stk / CHF "&amp;ROUND((H409-AW409)*G409,0)&amp;"; ","")&amp;IF(AND(CI409=1,CJ409&lt;CK409),"MAX &lt; MB+LG; ","")&amp;IF(AND(CQ409&gt;0,CP409*10&gt;CQ409),"zu hoch für Tablar; ","")&amp;IF(AND(BW409=0,OR(CI409=1,AB409&lt;&gt;"",U409&lt;&gt;"",V409&lt;&gt;"",AC409&lt;&gt;"")),"manuell übersteuert; ","")&amp;IF(AND(CA409=0,R409=0),"Gebinde unbekannt / Stellmass fehlt; ","")&amp;IF(AND(CA409=0,N(V409)&lt;=0,N(Q409)&lt;=0),"Menge pro Gebinde fehlt (Ist = 1 Gebinde); ","")&amp;BV409)</f>
        <v/>
      </c>
      <c r="BO409" s="60"/>
      <c r="BP409" s="60"/>
      <c r="BQ409" s="67"/>
      <c r="BR409" s="62" t="n">
        <v>294</v>
      </c>
      <c r="BS409" s="62" t="n">
        <v>93</v>
      </c>
      <c r="BT409" s="61" t="n">
        <v>103.83</v>
      </c>
      <c r="BU409" s="62" t="n">
        <v>356</v>
      </c>
      <c r="BV409" s="60"/>
      <c r="BW409" s="65" t="n">
        <v>0</v>
      </c>
      <c r="BX409" s="65" t="n">
        <v>409</v>
      </c>
      <c r="BY409" s="60" t="str">
        <f aca="false">IF(U409&lt;&gt;"",UPPER(TRIM(U409)),IF(CB409=1,UPPER(VLOOKUP(T409,Parameter!$I$27:$K$29,2,0)),IF(P409="","LOSE",P409)))</f>
        <v>S32</v>
      </c>
      <c r="BZ409" s="62" t="n">
        <f aca="false">IF(BY409="LOSE",1,IF(N(V409)&gt;0,V409,IF(CB409=1,MAX(1,N(VLOOKUP(T409,Parameter!$I$27:$K$29,3,0)),H409,N(N409)),IF(N(Q409)&gt;0,Q409,MAX(1,H409)))))</f>
        <v>122</v>
      </c>
      <c r="CA409" s="65" t="n">
        <f aca="false">IF(BY409="LOSE",1,0)</f>
        <v>0</v>
      </c>
      <c r="CB409" s="65" t="n">
        <f aca="false">IF(AND(U409="",OR(P409="",P409="LOSE"),T409&lt;&gt;"",N(S409)&lt;=0,ISNUMBER(MATCH(T409,Parameter!$I$27:$I$29,0))),1,0)</f>
        <v>0</v>
      </c>
      <c r="CC409" s="65" t="n">
        <f aca="false">IF(CR409&gt;0,INDEX(Parameter!$H$5:$H$7,W409)/INDEX(Parameter!$E$5:$E$7,W409),IF(AND(CA409=0,N(IFERROR(VLOOKUP(BY409,'Gebinde-Kategorie'!$A$5:$N$45,14,0),0))&gt;0),VLOOKUP(BY409,'Gebinde-Kategorie'!$A$5:$N$45,14,0)*10+Parameter!$M$23,Parameter!$M$24))</f>
        <v>155</v>
      </c>
      <c r="CD409" s="60" t="str">
        <f aca="false">IF(AND(Parameter!$B$19="Ja",E409&lt;&gt;"",ISNUMBER(MATCH(E409,Parameter!$I$35:$I$52,0))),VLOOKUP(E409,Parameter!$I$35:$J$52,2,0),IFERROR(VLOOKUP(D409,Parameter!$A$35:$C$64,2,0),"Nein"))</f>
        <v>2+3</v>
      </c>
      <c r="CE409" s="64" t="n">
        <f aca="false">IF(CA409=0,0,IF(N(S409)&gt;0,S409,IFERROR(VLOOKUP(D409,Parameter!$A$35:$C$64,3,0)+0,0)))</f>
        <v>0</v>
      </c>
      <c r="CF409" s="60" t="n">
        <f aca="false">IF(AB409&lt;&gt;"",AB409,AA409)</f>
        <v>3</v>
      </c>
      <c r="CG409" s="60" t="str">
        <f aca="false">IF(OR(CF409=1,CF409=2,CF409=3),IF(Parameter!$E$27="Ja","LIFT",IF(CF409=1,"L1","L23")),IF(CF409="Aussen","Aussen","-"))</f>
        <v>LIFT</v>
      </c>
      <c r="CH409" s="71" t="n">
        <f aca="false">IF(N(AC409)&gt;0,AC409,0)</f>
        <v>0</v>
      </c>
      <c r="CI409" s="65" t="n">
        <f aca="false">IF(ISNUMBER(AF409),1,0)</f>
        <v>0</v>
      </c>
      <c r="CJ409" s="62" t="n">
        <f aca="false">N(AF409)</f>
        <v>0</v>
      </c>
      <c r="CK409" s="62" t="n">
        <f aca="false">N(M409)+N(N409)</f>
        <v>413</v>
      </c>
      <c r="CL409" s="62" t="n">
        <f aca="false">N(M409)</f>
        <v>13</v>
      </c>
      <c r="CM409" s="62" t="n">
        <f aca="false">N(N409)</f>
        <v>400</v>
      </c>
      <c r="CN409" s="62" t="n">
        <f aca="false">ROUNDUP(H409/BZ409,0)</f>
        <v>4</v>
      </c>
      <c r="CO409" s="62" t="n">
        <f aca="false">ROUNDUP(CJ409/BZ409,0)</f>
        <v>0</v>
      </c>
      <c r="CP409" s="65" t="n">
        <f aca="false">IF(CA409=1,0,IFERROR(VLOOKUP(BY409,'Gebinde-Kategorie'!$A$5:$N$45,5,0)+0,0))</f>
        <v>8</v>
      </c>
      <c r="CQ409" s="65" t="n">
        <f aca="false">IFERROR(IF(OR(CF409=1,CF409=2,CF409=3),N(INDEX(Parameter!$I$5:$I$7,CF409)),0),0)</f>
        <v>0</v>
      </c>
      <c r="CR409" s="64" t="n">
        <f aca="false">IF(AND(Parameter!$B$21="Ja",ISNUMBER(W409),N(X409)&gt;0),IFERROR(N(INDEX(Parameter!$L$5:$L$7,W409))*INDEX(Parameter!$E$5:$E$7,W409)*X409/SUMIFS($X$7:$X$1843,$W$7:$W$1843,W409),0),0)</f>
        <v>0</v>
      </c>
      <c r="CS409" s="62" t="n">
        <f aca="false">IF(AND(OR(CG409="L1",CG409="L23",CG409="LIFT"),H409&gt;0),CC409*IF(CR409&gt;0,CR409*MAX(1,H409/X409),IF(CA409=1,CE409,IF(R409&gt;0,CN409/R409,0))/MAX(0.1,N(Parameter!$M$21))),"")</f>
        <v>5.96153846153846</v>
      </c>
      <c r="CT409" s="64" t="n">
        <f aca="false">IF(CS409="","",J409/H409)</f>
        <v>0.919896640826873</v>
      </c>
      <c r="CU409" s="62" t="n">
        <f aca="false">IF(CS409="","",H409*G409)</f>
        <v>135.45</v>
      </c>
      <c r="CV409" s="63" t="n">
        <f aca="false">IF(CS409="","",(CL409+ROUNDUP(CL409+MAX(CM409,2*(J409/MAX(0.1,N(Einkauf!$C$6))-CL409)),0))/2)</f>
        <v>213</v>
      </c>
      <c r="CW409" s="62" t="n">
        <f aca="false">IF(CS409="","",MAX(0,H409-CV409)*G409)</f>
        <v>60.9</v>
      </c>
      <c r="CX409" s="62" t="n">
        <f aca="false">IF(CS409="","",CS409*MAX(0,1-CV409/H409))</f>
        <v>2.68038163387001</v>
      </c>
      <c r="CY409" s="64" t="n">
        <f aca="false">IF(CS409="","",PERCENTRANK($CS$7:$CS$1843,CS409)+PERCENTRANK($CU$7:$CU$1843,CU409)+1-PERCENTRANK($CT$7:$CT$1843,CT409))</f>
        <v>1.013</v>
      </c>
      <c r="CZ409" s="72" t="n">
        <f aca="false">IF(CS409="","",CHOOSE(MATCH(Einkauf!$C$5,Parameter!$G$23:$G$27,0),CY409,CS409,CU409,-CT409,CW409)+ROW()/1000000000)</f>
        <v>1.013000409</v>
      </c>
    </row>
    <row r="410" customFormat="false" ht="15" hidden="false" customHeight="false" outlineLevel="0" collapsed="false">
      <c r="A410" s="60" t="s">
        <v>996</v>
      </c>
      <c r="B410" s="60" t="s">
        <v>997</v>
      </c>
      <c r="C410" s="60" t="s">
        <v>206</v>
      </c>
      <c r="D410" s="60" t="s">
        <v>226</v>
      </c>
      <c r="E410" s="60"/>
      <c r="F410" s="60" t="s">
        <v>260</v>
      </c>
      <c r="G410" s="61" t="n">
        <v>49.6</v>
      </c>
      <c r="H410" s="62" t="n">
        <f aca="false">MAX(0,IF(AND(Parameter!$B$21="Ja",ISNUMBER(Y410)),Y410,IF(Parameter!$B$20="Jahresanfang 2025 + Export",BS410+BR410,BR410)))</f>
        <v>3</v>
      </c>
      <c r="I410" s="62" t="n">
        <f aca="false">H410*G410</f>
        <v>148.8</v>
      </c>
      <c r="J410" s="62" t="n">
        <f aca="false">BU410*Parameter!$B$18</f>
        <v>0</v>
      </c>
      <c r="K410" s="63" t="n">
        <v>1</v>
      </c>
      <c r="L410" s="64" t="n">
        <v>0</v>
      </c>
      <c r="M410" s="62" t="n">
        <v>0</v>
      </c>
      <c r="N410" s="62" t="n">
        <v>1</v>
      </c>
      <c r="O410" s="65" t="n">
        <v>42</v>
      </c>
      <c r="P410" s="60" t="s">
        <v>275</v>
      </c>
      <c r="Q410" s="62" t="n">
        <v>3</v>
      </c>
      <c r="R410" s="65" t="n">
        <f aca="false">IF(CA410=1,0,IFERROR(VLOOKUP(BY410,'Gebinde-Kategorie'!$A$5:$N$45,13,0)+0,0))</f>
        <v>26</v>
      </c>
      <c r="S410" s="66"/>
      <c r="T410" s="67"/>
      <c r="U410" s="67"/>
      <c r="V410" s="67"/>
      <c r="W410" s="60"/>
      <c r="X410" s="62"/>
      <c r="Y410" s="62"/>
      <c r="Z410" s="60" t="n">
        <v>3</v>
      </c>
      <c r="AA410" s="60" t="n">
        <f aca="false">IF(A410="","",IF(AND(Parameter!$B$21="Ja",ISNUMBER(W410)),W410,IF(AND(Parameter!$E$27="Ja",ISNUMBER(Z410),CD410&lt;&gt;"Nein"),Z410,IF(CD410="2+3",IF(ISNUMBER(SEARCH("grosser Artikel",BV410)),2,IFERROR(VLOOKUP(BY410,Parameter!$F$35:$G$64,2,0),2)),IF(OR(CD410="Nein",CD410=""),"-",CD410)))))</f>
        <v>3</v>
      </c>
      <c r="AB410" s="67"/>
      <c r="AC410" s="68"/>
      <c r="AD410" s="62" t="n">
        <f aca="false">AW410</f>
        <v>1</v>
      </c>
      <c r="AE410" s="62" t="n">
        <f aca="false">MAX(AW410,H410)</f>
        <v>3</v>
      </c>
      <c r="AF410" s="69"/>
      <c r="AG410" s="62" t="n">
        <f aca="false">IF(LEFT(Cockpit!$C$5,1)="A",H410,IF(Parameter!$E$30="MAX-Bestand",IF(CI410=1,CJ410,IF(LEFT(Cockpit!$C$5,1)="B",AM410,MAX(AM410,H410))),ROUNDUP(AK410,0)))</f>
        <v>3</v>
      </c>
      <c r="AH410" s="62" t="n">
        <f aca="false">IF(CA410=1,0,ROUNDUP(AG410/BZ410,0))</f>
        <v>1</v>
      </c>
      <c r="AI410" s="64" t="n">
        <f aca="false">IF(CR410&gt;0,CR410*MAX(1,AG410/X410),IF(CA410=1,IF(AG410&lt;=0,0,CE410*MAX(1,IF(H410&gt;0,AG410/H410,1))),IF(R410&gt;0,AH410/R410,0))/MAX(0.1,N(Parameter!$M$21)))</f>
        <v>0.0384615384615385</v>
      </c>
      <c r="AJ410" s="62" t="n">
        <f aca="false">AI410*CC410</f>
        <v>9.42307692307692</v>
      </c>
      <c r="AK410" s="63" t="n">
        <f aca="false">IF(LEFT(Cockpit!$C$5,1)="A",H410,IF(CI410=1,(CL410+CJ410)/2,IF(LEFT(Cockpit!$C$5,1)="B",(CL410+AM410)/2,MAX((CL410+AM410)/2,H410))))</f>
        <v>3</v>
      </c>
      <c r="AL410" s="62" t="n">
        <f aca="false">AK410*G410</f>
        <v>148.8</v>
      </c>
      <c r="AM410" s="62" t="n">
        <f aca="false">ROUNDUP(CL410+MAX(CM410,2*(J410/IF(CH410&gt;0,CH410,MAX(0.1,N(Cockpit!$C$6)))-CL410)),0)</f>
        <v>1</v>
      </c>
      <c r="AN410" s="63" t="n">
        <f aca="false">IF(AJ410&gt;0,J410/AJ410,-1)</f>
        <v>0</v>
      </c>
      <c r="AO410" s="63" t="n">
        <f aca="false">IF(AND(OR(CG410="L1",CG410="L23",CG410="LIFT"),AJ410&gt;0),SUMIFS($AJ$7:$AJ$1843,$CG$7:$CG$1843,CG410,$AN$7:$AN$1843,"&gt;"&amp;AN410)+SUMIFS($AJ$7:$AJ$1843,$CG$7:$CG$1843,CG410,$AN$7:$AN$1843,AN410,$BX$7:$BX$1843,"&lt;="&amp;BX410),"")</f>
        <v>28101.6160106372</v>
      </c>
      <c r="AP410" s="70" t="n">
        <f aca="false">IF(AO410="",0,MAX(0,MIN(1,(IF(CG410="L1",Parameter!$H$5,IF(CG410="L23",Parameter!$H$6+Parameter!$H$7,Parameter!$H$5+Parameter!$H$6+Parameter!$H$7))-(AO410-AJ410))/AJ410)))</f>
        <v>1</v>
      </c>
      <c r="AQ410" s="62" t="n">
        <f aca="false">IF(LEFT(Cockpit!$I$5,1)="A",H410,IF(Parameter!$E$30="MAX-Bestand",IF(CI410=1,CJ410,IF(LEFT(Cockpit!$I$5,1)="B",AW410,MAX(AW410,H410))),ROUNDUP(AU410,0)))</f>
        <v>3</v>
      </c>
      <c r="AR410" s="62" t="n">
        <f aca="false">IF(CA410=1,0,ROUNDUP(AQ410/BZ410,0))</f>
        <v>1</v>
      </c>
      <c r="AS410" s="64" t="n">
        <f aca="false">IF(CR410&gt;0,CR410*MAX(1,AQ410/X410),IF(CA410=1,IF(AQ410&lt;=0,0,CE410*MAX(1,IF(H410&gt;0,AQ410/H410,1))),IF(R410&gt;0,AR410/R410,0))/MAX(0.1,N(Parameter!$M$21)))</f>
        <v>0.0384615384615385</v>
      </c>
      <c r="AT410" s="62" t="n">
        <f aca="false">AS410*CC410</f>
        <v>9.42307692307692</v>
      </c>
      <c r="AU410" s="63" t="n">
        <f aca="false">IF(LEFT(Cockpit!$I$5,1)="A",H410,IF(CI410=1,(CL410+CJ410)/2,IF(LEFT(Cockpit!$I$5,1)="B",(CL410+AW410)/2,MAX((CL410+AW410)/2,H410))))</f>
        <v>3</v>
      </c>
      <c r="AV410" s="62" t="n">
        <f aca="false">AU410*G410</f>
        <v>148.8</v>
      </c>
      <c r="AW410" s="62" t="n">
        <f aca="false">ROUNDUP(CL410+MAX(CM410,2*(J410/IF(CH410&gt;0,CH410,MAX(0.1,N(Cockpit!$I$6)))-CL410)),0)</f>
        <v>1</v>
      </c>
      <c r="AX410" s="63" t="n">
        <f aca="false">IF(AT410&gt;0,J410/AT410,-1)</f>
        <v>0</v>
      </c>
      <c r="AY410" s="63" t="n">
        <f aca="false">IF(AND(OR(CG410="L1",CG410="L23",CG410="LIFT"),AT410&gt;0),SUMIFS($AT$7:$AT$1843,$CG$7:$CG$1843,CG410,$AX$7:$AX$1843,"&gt;"&amp;AX410)+SUMIFS($AT$7:$AT$1843,$CG$7:$CG$1843,CG410,$AX$7:$AX$1843,AX410,$BX$7:$BX$1843,"&lt;="&amp;BX410),"")</f>
        <v>33454.7646520147</v>
      </c>
      <c r="AZ410" s="70" t="n">
        <f aca="false">IF(AY410="",0,MAX(0,MIN(1,(IF(CG410="L1",Parameter!$H$5,IF(CG410="L23",Parameter!$H$6+Parameter!$H$7,Parameter!$H$5+Parameter!$H$6+Parameter!$H$7))-(AY410-AT410))/AT410)))</f>
        <v>1</v>
      </c>
      <c r="BA410" s="62" t="n">
        <f aca="false">IF(LEFT(Cockpit!$O$5,1)="A",H410,IF(Parameter!$E$30="MAX-Bestand",IF(CI410=1,CJ410,IF(LEFT(Cockpit!$O$5,1)="B",BG410,MAX(BG410,H410))),ROUNDUP(BE410,0)))</f>
        <v>1</v>
      </c>
      <c r="BB410" s="62" t="n">
        <f aca="false">IF(CA410=1,0,ROUNDUP(BA410/BZ410,0))</f>
        <v>1</v>
      </c>
      <c r="BC410" s="64" t="n">
        <f aca="false">IF(CR410&gt;0,CR410*MAX(1,BA410/X410),IF(CA410=1,IF(BA410&lt;=0,0,CE410*MAX(1,IF(H410&gt;0,BA410/H410,1))),IF(R410&gt;0,BB410/R410,0))/MAX(0.1,N(Parameter!$M$21)))</f>
        <v>0.0384615384615385</v>
      </c>
      <c r="BD410" s="62" t="n">
        <f aca="false">BC410*CC410</f>
        <v>9.42307692307692</v>
      </c>
      <c r="BE410" s="63" t="n">
        <f aca="false">IF(LEFT(Cockpit!$O$5,1)="A",H410,IF(CI410=1,(CL410+CJ410)/2,IF(LEFT(Cockpit!$O$5,1)="B",(CL410+BG410)/2,MAX((CL410+BG410)/2,H410))))</f>
        <v>0.5</v>
      </c>
      <c r="BF410" s="62" t="n">
        <f aca="false">BE410*G410</f>
        <v>24.8</v>
      </c>
      <c r="BG410" s="62" t="n">
        <f aca="false">ROUNDUP(CL410+MAX(CM410,2*(J410/IF(CH410&gt;0,CH410,MAX(0.1,N(Cockpit!$O$6)))-CL410)),0)</f>
        <v>1</v>
      </c>
      <c r="BH410" s="63" t="n">
        <f aca="false">IF(BD410&gt;0,J410/BD410,-1)</f>
        <v>0</v>
      </c>
      <c r="BI410" s="63" t="n">
        <f aca="false">IF(AND(OR(CG410="L1",CG410="L23",CG410="LIFT"),BD410&gt;0),SUMIFS($BD$7:$BD$1843,$CG$7:$CG$1843,CG410,$BH$7:$BH$1843,"&gt;"&amp;BH410)+SUMIFS($BD$7:$BD$1843,$CG$7:$CG$1843,CG410,$BH$7:$BH$1843,BH410,$BX$7:$BX$1843,"&lt;="&amp;BX410),"")</f>
        <v>27568.3016235177</v>
      </c>
      <c r="BJ410" s="70" t="n">
        <f aca="false">IF(BI410="",0,MAX(0,MIN(1,(IF(CG410="L1",Parameter!$H$5,IF(CG410="L23",Parameter!$H$6+Parameter!$H$7,Parameter!$H$5+Parameter!$H$6+Parameter!$H$7))-(BI410-BD410))/BD410)))</f>
        <v>1</v>
      </c>
      <c r="BK410" s="60" t="str">
        <f aca="false">IF(AJ410&lt;=0,"",IF(CG410="Aussen","Aussenlager",IF(CG410="-","Nicht im Lift",IF(AP410&gt;=1,"Lift",IF(AP410&lt;=0,"Aussenlager","teilweise")))))</f>
        <v>Lift</v>
      </c>
      <c r="BL410" s="60" t="str">
        <f aca="false">IF(AT410&lt;=0,"",IF(CG410="Aussen","Aussenlager",IF(CG410="-","Nicht im Lift",IF(AZ410&gt;=1,"Lift",IF(AZ410&lt;=0,"Aussenlager","teilweise")))))</f>
        <v>Lift</v>
      </c>
      <c r="BM410" s="60" t="str">
        <f aca="false">IF(BD410&lt;=0,"",IF(CG410="Aussen","Aussenlager",IF(CG410="-","Nicht im Lift",IF(BJ410&gt;=1,"Lift",IF(BJ410&lt;=0,"Aussenlager","teilweise")))))</f>
        <v>Lift</v>
      </c>
      <c r="BN410" s="60" t="str">
        <f aca="false">IF(A410="","",IF(BW410=1,"Neu; ","")&amp;IF(AND(BW410=0,BR410&lt;0),"negativer Bestand (Export "&amp;BR410&amp;"); ","")&amp;IF(J410&lt;=0,"Kein Verbrauch; ","")&amp;IF(CR410&gt;0,"Lift "&amp;W410&amp;" lt. Liftbericht (Fach "&amp;X410&amp;" Stk); ",IF(CB410=1,"Gebinde geschätzt ("&amp;T410&amp;"); ",IF(CA410=1,"Lose – Tablare geschätzt; ","")))&amp;IF(H410&gt;AW410,"Überbestand "&amp;ROUND(H410-AW410,0)&amp;" Stk / CHF "&amp;ROUND((H410-AW410)*G410,0)&amp;"; ","")&amp;IF(AND(CI410=1,CJ410&lt;CK410),"MAX &lt; MB+LG; ","")&amp;IF(AND(CQ410&gt;0,CP410*10&gt;CQ410),"zu hoch für Tablar; ","")&amp;IF(AND(BW410=0,OR(CI410=1,AB410&lt;&gt;"",U410&lt;&gt;"",V410&lt;&gt;"",AC410&lt;&gt;"")),"manuell übersteuert; ","")&amp;IF(AND(CA410=0,R410=0),"Gebinde unbekannt / Stellmass fehlt; ","")&amp;IF(AND(CA410=0,N(V410)&lt;=0,N(Q410)&lt;=0),"Menge pro Gebinde fehlt (Ist = 1 Gebinde); ","")&amp;BV410)</f>
        <v>Kein Verbrauch; Überbestand 2 Stk / CHF 99; </v>
      </c>
      <c r="BO410" s="60"/>
      <c r="BP410" s="60"/>
      <c r="BQ410" s="67"/>
      <c r="BR410" s="62" t="n">
        <v>2</v>
      </c>
      <c r="BS410" s="62" t="n">
        <v>1</v>
      </c>
      <c r="BT410" s="61" t="n">
        <v>103.4</v>
      </c>
      <c r="BU410" s="62" t="n">
        <v>0</v>
      </c>
      <c r="BV410" s="60"/>
      <c r="BW410" s="65" t="n">
        <v>0</v>
      </c>
      <c r="BX410" s="65" t="n">
        <v>410</v>
      </c>
      <c r="BY410" s="60" t="str">
        <f aca="false">IF(U410&lt;&gt;"",UPPER(TRIM(U410)),IF(CB410=1,UPPER(VLOOKUP(T410,Parameter!$I$27:$K$29,2,0)),IF(P410="","LOSE",P410)))</f>
        <v>S52</v>
      </c>
      <c r="BZ410" s="62" t="n">
        <f aca="false">IF(BY410="LOSE",1,IF(N(V410)&gt;0,V410,IF(CB410=1,MAX(1,N(VLOOKUP(T410,Parameter!$I$27:$K$29,3,0)),H410,N(N410)),IF(N(Q410)&gt;0,Q410,MAX(1,H410)))))</f>
        <v>3</v>
      </c>
      <c r="CA410" s="65" t="n">
        <f aca="false">IF(BY410="LOSE",1,0)</f>
        <v>0</v>
      </c>
      <c r="CB410" s="65" t="n">
        <f aca="false">IF(AND(U410="",OR(P410="",P410="LOSE"),T410&lt;&gt;"",N(S410)&lt;=0,ISNUMBER(MATCH(T410,Parameter!$I$27:$I$29,0))),1,0)</f>
        <v>0</v>
      </c>
      <c r="CC410" s="65" t="n">
        <f aca="false">IF(CR410&gt;0,INDEX(Parameter!$H$5:$H$7,W410)/INDEX(Parameter!$E$5:$E$7,W410),IF(AND(CA410=0,N(IFERROR(VLOOKUP(BY410,'Gebinde-Kategorie'!$A$5:$N$45,14,0),0))&gt;0),VLOOKUP(BY410,'Gebinde-Kategorie'!$A$5:$N$45,14,0)*10+Parameter!$M$23,Parameter!$M$24))</f>
        <v>245</v>
      </c>
      <c r="CD410" s="60" t="str">
        <f aca="false">IF(AND(Parameter!$B$19="Ja",E410&lt;&gt;"",ISNUMBER(MATCH(E410,Parameter!$I$35:$I$52,0))),VLOOKUP(E410,Parameter!$I$35:$J$52,2,0),IFERROR(VLOOKUP(D410,Parameter!$A$35:$C$64,2,0),"Nein"))</f>
        <v>2+3</v>
      </c>
      <c r="CE410" s="64" t="n">
        <f aca="false">IF(CA410=0,0,IF(N(S410)&gt;0,S410,IFERROR(VLOOKUP(D410,Parameter!$A$35:$C$64,3,0)+0,0)))</f>
        <v>0</v>
      </c>
      <c r="CF410" s="60" t="n">
        <f aca="false">IF(AB410&lt;&gt;"",AB410,AA410)</f>
        <v>3</v>
      </c>
      <c r="CG410" s="60" t="str">
        <f aca="false">IF(OR(CF410=1,CF410=2,CF410=3),IF(Parameter!$E$27="Ja","LIFT",IF(CF410=1,"L1","L23")),IF(CF410="Aussen","Aussen","-"))</f>
        <v>LIFT</v>
      </c>
      <c r="CH410" s="71" t="n">
        <f aca="false">IF(N(AC410)&gt;0,AC410,0)</f>
        <v>0</v>
      </c>
      <c r="CI410" s="65" t="n">
        <f aca="false">IF(ISNUMBER(AF410),1,0)</f>
        <v>0</v>
      </c>
      <c r="CJ410" s="62" t="n">
        <f aca="false">N(AF410)</f>
        <v>0</v>
      </c>
      <c r="CK410" s="62" t="n">
        <f aca="false">N(M410)+N(N410)</f>
        <v>1</v>
      </c>
      <c r="CL410" s="62" t="n">
        <f aca="false">N(M410)</f>
        <v>0</v>
      </c>
      <c r="CM410" s="62" t="n">
        <f aca="false">N(N410)</f>
        <v>1</v>
      </c>
      <c r="CN410" s="62" t="n">
        <f aca="false">ROUNDUP(H410/BZ410,0)</f>
        <v>1</v>
      </c>
      <c r="CO410" s="62" t="n">
        <f aca="false">ROUNDUP(CJ410/BZ410,0)</f>
        <v>0</v>
      </c>
      <c r="CP410" s="65" t="n">
        <f aca="false">IF(CA410=1,0,IFERROR(VLOOKUP(BY410,'Gebinde-Kategorie'!$A$5:$N$45,5,0)+0,0))</f>
        <v>21</v>
      </c>
      <c r="CQ410" s="65" t="n">
        <f aca="false">IFERROR(IF(OR(CF410=1,CF410=2,CF410=3),N(INDEX(Parameter!$I$5:$I$7,CF410)),0),0)</f>
        <v>0</v>
      </c>
      <c r="CR410" s="64" t="n">
        <f aca="false">IF(AND(Parameter!$B$21="Ja",ISNUMBER(W410),N(X410)&gt;0),IFERROR(N(INDEX(Parameter!$L$5:$L$7,W410))*INDEX(Parameter!$E$5:$E$7,W410)*X410/SUMIFS($X$7:$X$1843,$W$7:$W$1843,W410),0),0)</f>
        <v>0</v>
      </c>
      <c r="CS410" s="62" t="n">
        <f aca="false">IF(AND(OR(CG410="L1",CG410="L23",CG410="LIFT"),H410&gt;0),CC410*IF(CR410&gt;0,CR410*MAX(1,H410/X410),IF(CA410=1,CE410,IF(R410&gt;0,CN410/R410,0))/MAX(0.1,N(Parameter!$M$21))),"")</f>
        <v>9.42307692307692</v>
      </c>
      <c r="CT410" s="64" t="n">
        <f aca="false">IF(CS410="","",J410/H410)</f>
        <v>0</v>
      </c>
      <c r="CU410" s="62" t="n">
        <f aca="false">IF(CS410="","",H410*G410)</f>
        <v>148.8</v>
      </c>
      <c r="CV410" s="63" t="n">
        <f aca="false">IF(CS410="","",(CL410+ROUNDUP(CL410+MAX(CM410,2*(J410/MAX(0.1,N(Einkauf!$C$6))-CL410)),0))/2)</f>
        <v>0.5</v>
      </c>
      <c r="CW410" s="62" t="n">
        <f aca="false">IF(CS410="","",MAX(0,H410-CV410)*G410)</f>
        <v>124</v>
      </c>
      <c r="CX410" s="62" t="n">
        <f aca="false">IF(CS410="","",CS410*MAX(0,1-CV410/H410))</f>
        <v>7.8525641025641</v>
      </c>
      <c r="CY410" s="64" t="n">
        <f aca="false">IF(CS410="","",PERCENTRANK($CS$7:$CS$1843,CS410)+PERCENTRANK($CU$7:$CU$1843,CU410)+1-PERCENTRANK($CT$7:$CT$1843,CT410))</f>
        <v>1.874</v>
      </c>
      <c r="CZ410" s="72" t="n">
        <f aca="false">IF(CS410="","",CHOOSE(MATCH(Einkauf!$C$5,Parameter!$G$23:$G$27,0),CY410,CS410,CU410,-CT410,CW410)+ROW()/1000000000)</f>
        <v>1.87400041</v>
      </c>
    </row>
    <row r="411" customFormat="false" ht="15" hidden="false" customHeight="false" outlineLevel="0" collapsed="false">
      <c r="A411" s="60" t="s">
        <v>998</v>
      </c>
      <c r="B411" s="60" t="s">
        <v>999</v>
      </c>
      <c r="C411" s="60" t="s">
        <v>206</v>
      </c>
      <c r="D411" s="60" t="s">
        <v>226</v>
      </c>
      <c r="E411" s="60"/>
      <c r="F411" s="60" t="s">
        <v>260</v>
      </c>
      <c r="G411" s="61" t="n">
        <v>32.65</v>
      </c>
      <c r="H411" s="62" t="n">
        <f aca="false">MAX(0,IF(AND(Parameter!$B$21="Ja",ISNUMBER(Y411)),Y411,IF(Parameter!$B$20="Jahresanfang 2025 + Export",BS411+BR411,BR411)))</f>
        <v>6</v>
      </c>
      <c r="I411" s="62" t="n">
        <f aca="false">H411*G411</f>
        <v>195.9</v>
      </c>
      <c r="J411" s="62" t="n">
        <f aca="false">BU411*Parameter!$B$18</f>
        <v>9</v>
      </c>
      <c r="K411" s="63" t="n">
        <v>2.5</v>
      </c>
      <c r="L411" s="64" t="n">
        <v>3.6</v>
      </c>
      <c r="M411" s="62" t="n">
        <v>0</v>
      </c>
      <c r="N411" s="62" t="n">
        <v>3</v>
      </c>
      <c r="O411" s="65" t="n">
        <v>14</v>
      </c>
      <c r="P411" s="60" t="s">
        <v>210</v>
      </c>
      <c r="Q411" s="62"/>
      <c r="R411" s="65" t="n">
        <f aca="false">IF(CA411=1,0,IFERROR(VLOOKUP(BY411,'Gebinde-Kategorie'!$A$5:$N$45,13,0)+0,0))</f>
        <v>26</v>
      </c>
      <c r="S411" s="66"/>
      <c r="T411" s="67" t="s">
        <v>317</v>
      </c>
      <c r="U411" s="67"/>
      <c r="V411" s="67"/>
      <c r="W411" s="60"/>
      <c r="X411" s="62"/>
      <c r="Y411" s="62"/>
      <c r="Z411" s="60" t="n">
        <v>3</v>
      </c>
      <c r="AA411" s="60" t="n">
        <f aca="false">IF(A411="","",IF(AND(Parameter!$B$21="Ja",ISNUMBER(W411)),W411,IF(AND(Parameter!$E$27="Ja",ISNUMBER(Z411),CD411&lt;&gt;"Nein"),Z411,IF(CD411="2+3",IF(ISNUMBER(SEARCH("grosser Artikel",BV411)),2,IFERROR(VLOOKUP(BY411,Parameter!$F$35:$G$64,2,0),2)),IF(OR(CD411="Nein",CD411=""),"-",CD411)))))</f>
        <v>3</v>
      </c>
      <c r="AB411" s="67"/>
      <c r="AC411" s="68"/>
      <c r="AD411" s="62" t="n">
        <f aca="false">AW411</f>
        <v>6</v>
      </c>
      <c r="AE411" s="62" t="n">
        <f aca="false">MAX(AW411,H411)</f>
        <v>6</v>
      </c>
      <c r="AF411" s="69"/>
      <c r="AG411" s="62" t="n">
        <f aca="false">IF(LEFT(Cockpit!$C$5,1)="A",H411,IF(Parameter!$E$30="MAX-Bestand",IF(CI411=1,CJ411,IF(LEFT(Cockpit!$C$5,1)="B",AM411,MAX(AM411,H411))),ROUNDUP(AK411,0)))</f>
        <v>6</v>
      </c>
      <c r="AH411" s="62" t="n">
        <f aca="false">IF(CA411=1,0,ROUNDUP(AG411/BZ411,0))</f>
        <v>1</v>
      </c>
      <c r="AI411" s="64" t="n">
        <f aca="false">IF(CR411&gt;0,CR411*MAX(1,AG411/X411),IF(CA411=1,IF(AG411&lt;=0,0,CE411*MAX(1,IF(H411&gt;0,AG411/H411,1))),IF(R411&gt;0,AH411/R411,0))/MAX(0.1,N(Parameter!$M$21)))</f>
        <v>0.0384615384615385</v>
      </c>
      <c r="AJ411" s="62" t="n">
        <f aca="false">AI411*CC411</f>
        <v>5.96153846153846</v>
      </c>
      <c r="AK411" s="63" t="n">
        <f aca="false">IF(LEFT(Cockpit!$C$5,1)="A",H411,IF(CI411=1,(CL411+CJ411)/2,IF(LEFT(Cockpit!$C$5,1)="B",(CL411+AM411)/2,MAX((CL411+AM411)/2,H411))))</f>
        <v>6</v>
      </c>
      <c r="AL411" s="62" t="n">
        <f aca="false">AK411*G411</f>
        <v>195.9</v>
      </c>
      <c r="AM411" s="62" t="n">
        <f aca="false">ROUNDUP(CL411+MAX(CM411,2*(J411/IF(CH411&gt;0,CH411,MAX(0.1,N(Cockpit!$C$6)))-CL411)),0)</f>
        <v>6</v>
      </c>
      <c r="AN411" s="63" t="n">
        <f aca="false">IF(AJ411&gt;0,J411/AJ411,-1)</f>
        <v>1.50967741935484</v>
      </c>
      <c r="AO411" s="63" t="n">
        <f aca="false">IF(AND(OR(CG411="L1",CG411="L23",CG411="LIFT"),AJ411&gt;0),SUMIFS($AJ$7:$AJ$1843,$CG$7:$CG$1843,CG411,$AN$7:$AN$1843,"&gt;"&amp;AN411)+SUMIFS($AJ$7:$AJ$1843,$CG$7:$CG$1843,CG411,$AN$7:$AN$1843,AN411,$BX$7:$BX$1843,"&lt;="&amp;BX411),"")</f>
        <v>6209.92994505495</v>
      </c>
      <c r="AP411" s="70" t="n">
        <f aca="false">IF(AO411="",0,MAX(0,MIN(1,(IF(CG411="L1",Parameter!$H$5,IF(CG411="L23",Parameter!$H$6+Parameter!$H$7,Parameter!$H$5+Parameter!$H$6+Parameter!$H$7))-(AO411-AJ411))/AJ411)))</f>
        <v>1</v>
      </c>
      <c r="AQ411" s="62" t="n">
        <f aca="false">IF(LEFT(Cockpit!$I$5,1)="A",H411,IF(Parameter!$E$30="MAX-Bestand",IF(CI411=1,CJ411,IF(LEFT(Cockpit!$I$5,1)="B",AW411,MAX(AW411,H411))),ROUNDUP(AU411,0)))</f>
        <v>6</v>
      </c>
      <c r="AR411" s="62" t="n">
        <f aca="false">IF(CA411=1,0,ROUNDUP(AQ411/BZ411,0))</f>
        <v>1</v>
      </c>
      <c r="AS411" s="64" t="n">
        <f aca="false">IF(CR411&gt;0,CR411*MAX(1,AQ411/X411),IF(CA411=1,IF(AQ411&lt;=0,0,CE411*MAX(1,IF(H411&gt;0,AQ411/H411,1))),IF(R411&gt;0,AR411/R411,0))/MAX(0.1,N(Parameter!$M$21)))</f>
        <v>0.0384615384615385</v>
      </c>
      <c r="AT411" s="62" t="n">
        <f aca="false">AS411*CC411</f>
        <v>5.96153846153846</v>
      </c>
      <c r="AU411" s="63" t="n">
        <f aca="false">IF(LEFT(Cockpit!$I$5,1)="A",H411,IF(CI411=1,(CL411+CJ411)/2,IF(LEFT(Cockpit!$I$5,1)="B",(CL411+AW411)/2,MAX((CL411+AW411)/2,H411))))</f>
        <v>6</v>
      </c>
      <c r="AV411" s="62" t="n">
        <f aca="false">AU411*G411</f>
        <v>195.9</v>
      </c>
      <c r="AW411" s="62" t="n">
        <f aca="false">ROUNDUP(CL411+MAX(CM411,2*(J411/IF(CH411&gt;0,CH411,MAX(0.1,N(Cockpit!$I$6)))-CL411)),0)</f>
        <v>6</v>
      </c>
      <c r="AX411" s="63" t="n">
        <f aca="false">IF(AT411&gt;0,J411/AT411,-1)</f>
        <v>1.50967741935484</v>
      </c>
      <c r="AY411" s="63" t="n">
        <f aca="false">IF(AND(OR(CG411="L1",CG411="L23",CG411="LIFT"),AT411&gt;0),SUMIFS($AT$7:$AT$1843,$CG$7:$CG$1843,CG411,$AX$7:$AX$1843,"&gt;"&amp;AX411)+SUMIFS($AT$7:$AT$1843,$CG$7:$CG$1843,CG411,$AX$7:$AX$1843,AX411,$BX$7:$BX$1843,"&lt;="&amp;BX411),"")</f>
        <v>7649.81868131868</v>
      </c>
      <c r="AZ411" s="70" t="n">
        <f aca="false">IF(AY411="",0,MAX(0,MIN(1,(IF(CG411="L1",Parameter!$H$5,IF(CG411="L23",Parameter!$H$6+Parameter!$H$7,Parameter!$H$5+Parameter!$H$6+Parameter!$H$7))-(AY411-AT411))/AT411)))</f>
        <v>1</v>
      </c>
      <c r="BA411" s="62" t="n">
        <f aca="false">IF(LEFT(Cockpit!$O$5,1)="A",H411,IF(Parameter!$E$30="MAX-Bestand",IF(CI411=1,CJ411,IF(LEFT(Cockpit!$O$5,1)="B",BG411,MAX(BG411,H411))),ROUNDUP(BE411,0)))</f>
        <v>3</v>
      </c>
      <c r="BB411" s="62" t="n">
        <f aca="false">IF(CA411=1,0,ROUNDUP(BA411/BZ411,0))</f>
        <v>1</v>
      </c>
      <c r="BC411" s="64" t="n">
        <f aca="false">IF(CR411&gt;0,CR411*MAX(1,BA411/X411),IF(CA411=1,IF(BA411&lt;=0,0,CE411*MAX(1,IF(H411&gt;0,BA411/H411,1))),IF(R411&gt;0,BB411/R411,0))/MAX(0.1,N(Parameter!$M$21)))</f>
        <v>0.0384615384615385</v>
      </c>
      <c r="BD411" s="62" t="n">
        <f aca="false">BC411*CC411</f>
        <v>5.96153846153846</v>
      </c>
      <c r="BE411" s="63" t="n">
        <f aca="false">IF(LEFT(Cockpit!$O$5,1)="A",H411,IF(CI411=1,(CL411+CJ411)/2,IF(LEFT(Cockpit!$O$5,1)="B",(CL411+BG411)/2,MAX((CL411+BG411)/2,H411))))</f>
        <v>2.5</v>
      </c>
      <c r="BF411" s="62" t="n">
        <f aca="false">BE411*G411</f>
        <v>81.625</v>
      </c>
      <c r="BG411" s="62" t="n">
        <f aca="false">ROUNDUP(CL411+MAX(CM411,2*(J411/IF(CH411&gt;0,CH411,MAX(0.1,N(Cockpit!$O$6)))-CL411)),0)</f>
        <v>5</v>
      </c>
      <c r="BH411" s="63" t="n">
        <f aca="false">IF(BD411&gt;0,J411/BD411,-1)</f>
        <v>1.50967741935484</v>
      </c>
      <c r="BI411" s="63" t="n">
        <f aca="false">IF(AND(OR(CG411="L1",CG411="L23",CG411="LIFT"),BD411&gt;0),SUMIFS($BD$7:$BD$1843,$CG$7:$CG$1843,CG411,$BH$7:$BH$1843,"&gt;"&amp;BH411)+SUMIFS($BD$7:$BD$1843,$CG$7:$CG$1843,CG411,$BH$7:$BH$1843,BH411,$BX$7:$BX$1843,"&lt;="&amp;BX411),"")</f>
        <v>6462.48305860806</v>
      </c>
      <c r="BJ411" s="70" t="n">
        <f aca="false">IF(BI411="",0,MAX(0,MIN(1,(IF(CG411="L1",Parameter!$H$5,IF(CG411="L23",Parameter!$H$6+Parameter!$H$7,Parameter!$H$5+Parameter!$H$6+Parameter!$H$7))-(BI411-BD411))/BD411)))</f>
        <v>1</v>
      </c>
      <c r="BK411" s="60" t="str">
        <f aca="false">IF(AJ411&lt;=0,"",IF(CG411="Aussen","Aussenlager",IF(CG411="-","Nicht im Lift",IF(AP411&gt;=1,"Lift",IF(AP411&lt;=0,"Aussenlager","teilweise")))))</f>
        <v>Lift</v>
      </c>
      <c r="BL411" s="60" t="str">
        <f aca="false">IF(AT411&lt;=0,"",IF(CG411="Aussen","Aussenlager",IF(CG411="-","Nicht im Lift",IF(AZ411&gt;=1,"Lift",IF(AZ411&lt;=0,"Aussenlager","teilweise")))))</f>
        <v>Lift</v>
      </c>
      <c r="BM411" s="60" t="str">
        <f aca="false">IF(BD411&lt;=0,"",IF(CG411="Aussen","Aussenlager",IF(CG411="-","Nicht im Lift",IF(BJ411&gt;=1,"Lift",IF(BJ411&lt;=0,"Aussenlager","teilweise")))))</f>
        <v>Lift</v>
      </c>
      <c r="BN411" s="60" t="str">
        <f aca="false">IF(A411="","",IF(BW411=1,"Neu; ","")&amp;IF(AND(BW411=0,BR411&lt;0),"negativer Bestand (Export "&amp;BR411&amp;"); ","")&amp;IF(J411&lt;=0,"Kein Verbrauch; ","")&amp;IF(CR411&gt;0,"Lift "&amp;W411&amp;" lt. Liftbericht (Fach "&amp;X411&amp;" Stk); ",IF(CB411=1,"Gebinde geschätzt ("&amp;T411&amp;"); ",IF(CA411=1,"Lose – Tablare geschätzt; ","")))&amp;IF(H411&gt;AW411,"Überbestand "&amp;ROUND(H411-AW411,0)&amp;" Stk / CHF "&amp;ROUND((H411-AW411)*G411,0)&amp;"; ","")&amp;IF(AND(CI411=1,CJ411&lt;CK411),"MAX &lt; MB+LG; ","")&amp;IF(AND(CQ411&gt;0,CP411*10&gt;CQ411),"zu hoch für Tablar; ","")&amp;IF(AND(BW411=0,OR(CI411=1,AB411&lt;&gt;"",U411&lt;&gt;"",V411&lt;&gt;"",AC411&lt;&gt;"")),"manuell übersteuert; ","")&amp;IF(AND(CA411=0,R411=0),"Gebinde unbekannt / Stellmass fehlt; ","")&amp;IF(AND(CA411=0,N(V411)&lt;=0,N(Q411)&lt;=0),"Menge pro Gebinde fehlt (Ist = 1 Gebinde); ","")&amp;BV411)</f>
        <v>Gebinde geschätzt (Klein); Menge pro Gebinde fehlt (Ist = 1 Gebinde); </v>
      </c>
      <c r="BO411" s="60"/>
      <c r="BP411" s="60"/>
      <c r="BQ411" s="67"/>
      <c r="BR411" s="62" t="n">
        <v>3</v>
      </c>
      <c r="BS411" s="62" t="n">
        <v>3</v>
      </c>
      <c r="BT411" s="61" t="n">
        <v>101.19</v>
      </c>
      <c r="BU411" s="62" t="n">
        <v>9</v>
      </c>
      <c r="BV411" s="60"/>
      <c r="BW411" s="65" t="n">
        <v>0</v>
      </c>
      <c r="BX411" s="65" t="n">
        <v>411</v>
      </c>
      <c r="BY411" s="60" t="str">
        <f aca="false">IF(U411&lt;&gt;"",UPPER(TRIM(U411)),IF(CB411=1,UPPER(VLOOKUP(T411,Parameter!$I$27:$K$29,2,0)),IF(P411="","LOSE",P411)))</f>
        <v>S51</v>
      </c>
      <c r="BZ411" s="62" t="n">
        <f aca="false">IF(BY411="LOSE",1,IF(N(V411)&gt;0,V411,IF(CB411=1,MAX(1,N(VLOOKUP(T411,Parameter!$I$27:$K$29,3,0)),H411,N(N411)),IF(N(Q411)&gt;0,Q411,MAX(1,H411)))))</f>
        <v>20</v>
      </c>
      <c r="CA411" s="65" t="n">
        <f aca="false">IF(BY411="LOSE",1,0)</f>
        <v>0</v>
      </c>
      <c r="CB411" s="65" t="n">
        <f aca="false">IF(AND(U411="",OR(P411="",P411="LOSE"),T411&lt;&gt;"",N(S411)&lt;=0,ISNUMBER(MATCH(T411,Parameter!$I$27:$I$29,0))),1,0)</f>
        <v>1</v>
      </c>
      <c r="CC411" s="65" t="n">
        <f aca="false">IF(CR411&gt;0,INDEX(Parameter!$H$5:$H$7,W411)/INDEX(Parameter!$E$5:$E$7,W411),IF(AND(CA411=0,N(IFERROR(VLOOKUP(BY411,'Gebinde-Kategorie'!$A$5:$N$45,14,0),0))&gt;0),VLOOKUP(BY411,'Gebinde-Kategorie'!$A$5:$N$45,14,0)*10+Parameter!$M$23,Parameter!$M$24))</f>
        <v>155</v>
      </c>
      <c r="CD411" s="60" t="str">
        <f aca="false">IF(AND(Parameter!$B$19="Ja",E411&lt;&gt;"",ISNUMBER(MATCH(E411,Parameter!$I$35:$I$52,0))),VLOOKUP(E411,Parameter!$I$35:$J$52,2,0),IFERROR(VLOOKUP(D411,Parameter!$A$35:$C$64,2,0),"Nein"))</f>
        <v>2+3</v>
      </c>
      <c r="CE411" s="64" t="n">
        <f aca="false">IF(CA411=0,0,IF(N(S411)&gt;0,S411,IFERROR(VLOOKUP(D411,Parameter!$A$35:$C$64,3,0)+0,0)))</f>
        <v>0</v>
      </c>
      <c r="CF411" s="60" t="n">
        <f aca="false">IF(AB411&lt;&gt;"",AB411,AA411)</f>
        <v>3</v>
      </c>
      <c r="CG411" s="60" t="str">
        <f aca="false">IF(OR(CF411=1,CF411=2,CF411=3),IF(Parameter!$E$27="Ja","LIFT",IF(CF411=1,"L1","L23")),IF(CF411="Aussen","Aussen","-"))</f>
        <v>LIFT</v>
      </c>
      <c r="CH411" s="71" t="n">
        <f aca="false">IF(N(AC411)&gt;0,AC411,0)</f>
        <v>0</v>
      </c>
      <c r="CI411" s="65" t="n">
        <f aca="false">IF(ISNUMBER(AF411),1,0)</f>
        <v>0</v>
      </c>
      <c r="CJ411" s="62" t="n">
        <f aca="false">N(AF411)</f>
        <v>0</v>
      </c>
      <c r="CK411" s="62" t="n">
        <f aca="false">N(M411)+N(N411)</f>
        <v>3</v>
      </c>
      <c r="CL411" s="62" t="n">
        <f aca="false">N(M411)</f>
        <v>0</v>
      </c>
      <c r="CM411" s="62" t="n">
        <f aca="false">N(N411)</f>
        <v>3</v>
      </c>
      <c r="CN411" s="62" t="n">
        <f aca="false">ROUNDUP(H411/BZ411,0)</f>
        <v>1</v>
      </c>
      <c r="CO411" s="62" t="n">
        <f aca="false">ROUNDUP(CJ411/BZ411,0)</f>
        <v>0</v>
      </c>
      <c r="CP411" s="65" t="n">
        <f aca="false">IF(CA411=1,0,IFERROR(VLOOKUP(BY411,'Gebinde-Kategorie'!$A$5:$N$45,5,0)+0,0))</f>
        <v>11</v>
      </c>
      <c r="CQ411" s="65" t="n">
        <f aca="false">IFERROR(IF(OR(CF411=1,CF411=2,CF411=3),N(INDEX(Parameter!$I$5:$I$7,CF411)),0),0)</f>
        <v>0</v>
      </c>
      <c r="CR411" s="64" t="n">
        <f aca="false">IF(AND(Parameter!$B$21="Ja",ISNUMBER(W411),N(X411)&gt;0),IFERROR(N(INDEX(Parameter!$L$5:$L$7,W411))*INDEX(Parameter!$E$5:$E$7,W411)*X411/SUMIFS($X$7:$X$1843,$W$7:$W$1843,W411),0),0)</f>
        <v>0</v>
      </c>
      <c r="CS411" s="62" t="n">
        <f aca="false">IF(AND(OR(CG411="L1",CG411="L23",CG411="LIFT"),H411&gt;0),CC411*IF(CR411&gt;0,CR411*MAX(1,H411/X411),IF(CA411=1,CE411,IF(R411&gt;0,CN411/R411,0))/MAX(0.1,N(Parameter!$M$21))),"")</f>
        <v>5.96153846153846</v>
      </c>
      <c r="CT411" s="64" t="n">
        <f aca="false">IF(CS411="","",J411/H411)</f>
        <v>1.5</v>
      </c>
      <c r="CU411" s="62" t="n">
        <f aca="false">IF(CS411="","",H411*G411)</f>
        <v>195.9</v>
      </c>
      <c r="CV411" s="63" t="n">
        <f aca="false">IF(CS411="","",(CL411+ROUNDUP(CL411+MAX(CM411,2*(J411/MAX(0.1,N(Einkauf!$C$6))-CL411)),0))/2)</f>
        <v>2.5</v>
      </c>
      <c r="CW411" s="62" t="n">
        <f aca="false">IF(CS411="","",MAX(0,H411-CV411)*G411)</f>
        <v>114.275</v>
      </c>
      <c r="CX411" s="62" t="n">
        <f aca="false">IF(CS411="","",CS411*MAX(0,1-CV411/H411))</f>
        <v>3.4775641025641</v>
      </c>
      <c r="CY411" s="64" t="n">
        <f aca="false">IF(CS411="","",PERCENTRANK($CS$7:$CS$1843,CS411)+PERCENTRANK($CU$7:$CU$1843,CU411)+1-PERCENTRANK($CT$7:$CT$1843,CT411))</f>
        <v>0.937</v>
      </c>
      <c r="CZ411" s="72" t="n">
        <f aca="false">IF(CS411="","",CHOOSE(MATCH(Einkauf!$C$5,Parameter!$G$23:$G$27,0),CY411,CS411,CU411,-CT411,CW411)+ROW()/1000000000)</f>
        <v>0.937000411</v>
      </c>
    </row>
    <row r="412" customFormat="false" ht="15" hidden="false" customHeight="false" outlineLevel="0" collapsed="false">
      <c r="A412" s="60" t="s">
        <v>1000</v>
      </c>
      <c r="B412" s="60" t="s">
        <v>991</v>
      </c>
      <c r="C412" s="60" t="s">
        <v>206</v>
      </c>
      <c r="D412" s="60" t="s">
        <v>226</v>
      </c>
      <c r="E412" s="60"/>
      <c r="F412" s="60" t="s">
        <v>260</v>
      </c>
      <c r="G412" s="61" t="n">
        <v>0.19</v>
      </c>
      <c r="H412" s="62" t="n">
        <f aca="false">MAX(0,IF(AND(Parameter!$B$21="Ja",ISNUMBER(Y412)),Y412,IF(Parameter!$B$20="Jahresanfang 2025 + Export",BS412+BR412,BR412)))</f>
        <v>747</v>
      </c>
      <c r="I412" s="62" t="n">
        <f aca="false">H412*G412</f>
        <v>141.93</v>
      </c>
      <c r="J412" s="62" t="n">
        <f aca="false">BU412*Parameter!$B$18</f>
        <v>740</v>
      </c>
      <c r="K412" s="63" t="n">
        <v>252.5</v>
      </c>
      <c r="L412" s="64" t="n">
        <v>2.93069306930693</v>
      </c>
      <c r="M412" s="62" t="n">
        <v>43</v>
      </c>
      <c r="N412" s="62" t="n">
        <v>800</v>
      </c>
      <c r="O412" s="65" t="n">
        <v>21</v>
      </c>
      <c r="P412" s="60" t="s">
        <v>463</v>
      </c>
      <c r="Q412" s="62" t="n">
        <v>400</v>
      </c>
      <c r="R412" s="65" t="n">
        <f aca="false">IF(CA412=1,0,IFERROR(VLOOKUP(BY412,'Gebinde-Kategorie'!$A$5:$N$45,13,0)+0,0))</f>
        <v>104</v>
      </c>
      <c r="S412" s="66"/>
      <c r="T412" s="67"/>
      <c r="U412" s="67"/>
      <c r="V412" s="67"/>
      <c r="W412" s="60"/>
      <c r="X412" s="62"/>
      <c r="Y412" s="62"/>
      <c r="Z412" s="60" t="n">
        <v>3</v>
      </c>
      <c r="AA412" s="60" t="n">
        <f aca="false">IF(A412="","",IF(AND(Parameter!$B$21="Ja",ISNUMBER(W412)),W412,IF(AND(Parameter!$E$27="Ja",ISNUMBER(Z412),CD412&lt;&gt;"Nein"),Z412,IF(CD412="2+3",IF(ISNUMBER(SEARCH("grosser Artikel",BV412)),2,IFERROR(VLOOKUP(BY412,Parameter!$F$35:$G$64,2,0),2)),IF(OR(CD412="Nein",CD412=""),"-",CD412)))))</f>
        <v>3</v>
      </c>
      <c r="AB412" s="67"/>
      <c r="AC412" s="68"/>
      <c r="AD412" s="62" t="n">
        <f aca="false">AW412</f>
        <v>843</v>
      </c>
      <c r="AE412" s="62" t="n">
        <f aca="false">MAX(AW412,H412)</f>
        <v>843</v>
      </c>
      <c r="AF412" s="69"/>
      <c r="AG412" s="62" t="n">
        <f aca="false">IF(LEFT(Cockpit!$C$5,1)="A",H412,IF(Parameter!$E$30="MAX-Bestand",IF(CI412=1,CJ412,IF(LEFT(Cockpit!$C$5,1)="B",AM412,MAX(AM412,H412))),ROUNDUP(AK412,0)))</f>
        <v>747</v>
      </c>
      <c r="AH412" s="62" t="n">
        <f aca="false">IF(CA412=1,0,ROUNDUP(AG412/BZ412,0))</f>
        <v>2</v>
      </c>
      <c r="AI412" s="64" t="n">
        <f aca="false">IF(CR412&gt;0,CR412*MAX(1,AG412/X412),IF(CA412=1,IF(AG412&lt;=0,0,CE412*MAX(1,IF(H412&gt;0,AG412/H412,1))),IF(R412&gt;0,AH412/R412,0))/MAX(0.1,N(Parameter!$M$21)))</f>
        <v>0.0192307692307692</v>
      </c>
      <c r="AJ412" s="62" t="n">
        <f aca="false">AI412*CC412</f>
        <v>2.98076923076923</v>
      </c>
      <c r="AK412" s="63" t="n">
        <f aca="false">IF(LEFT(Cockpit!$C$5,1)="A",H412,IF(CI412=1,(CL412+CJ412)/2,IF(LEFT(Cockpit!$C$5,1)="B",(CL412+AM412)/2,MAX((CL412+AM412)/2,H412))))</f>
        <v>747</v>
      </c>
      <c r="AL412" s="62" t="n">
        <f aca="false">AK412*G412</f>
        <v>141.93</v>
      </c>
      <c r="AM412" s="62" t="n">
        <f aca="false">ROUNDUP(CL412+MAX(CM412,2*(J412/IF(CH412&gt;0,CH412,MAX(0.1,N(Cockpit!$C$6)))-CL412)),0)</f>
        <v>843</v>
      </c>
      <c r="AN412" s="63" t="n">
        <f aca="false">IF(AJ412&gt;0,J412/AJ412,-1)</f>
        <v>248.258064516129</v>
      </c>
      <c r="AO412" s="63" t="n">
        <f aca="false">IF(AND(OR(CG412="L1",CG412="L23",CG412="LIFT"),AJ412&gt;0),SUMIFS($AJ$7:$AJ$1843,$CG$7:$CG$1843,CG412,$AN$7:$AN$1843,"&gt;"&amp;AN412)+SUMIFS($AJ$7:$AJ$1843,$CG$7:$CG$1843,CG412,$AN$7:$AN$1843,AN412,$BX$7:$BX$1843,"&lt;="&amp;BX412),"")</f>
        <v>285.600732600733</v>
      </c>
      <c r="AP412" s="70" t="n">
        <f aca="false">IF(AO412="",0,MAX(0,MIN(1,(IF(CG412="L1",Parameter!$H$5,IF(CG412="L23",Parameter!$H$6+Parameter!$H$7,Parameter!$H$5+Parameter!$H$6+Parameter!$H$7))-(AO412-AJ412))/AJ412)))</f>
        <v>1</v>
      </c>
      <c r="AQ412" s="62" t="n">
        <f aca="false">IF(LEFT(Cockpit!$I$5,1)="A",H412,IF(Parameter!$E$30="MAX-Bestand",IF(CI412=1,CJ412,IF(LEFT(Cockpit!$I$5,1)="B",AW412,MAX(AW412,H412))),ROUNDUP(AU412,0)))</f>
        <v>747</v>
      </c>
      <c r="AR412" s="62" t="n">
        <f aca="false">IF(CA412=1,0,ROUNDUP(AQ412/BZ412,0))</f>
        <v>2</v>
      </c>
      <c r="AS412" s="64" t="n">
        <f aca="false">IF(CR412&gt;0,CR412*MAX(1,AQ412/X412),IF(CA412=1,IF(AQ412&lt;=0,0,CE412*MAX(1,IF(H412&gt;0,AQ412/H412,1))),IF(R412&gt;0,AR412/R412,0))/MAX(0.1,N(Parameter!$M$21)))</f>
        <v>0.0192307692307692</v>
      </c>
      <c r="AT412" s="62" t="n">
        <f aca="false">AS412*CC412</f>
        <v>2.98076923076923</v>
      </c>
      <c r="AU412" s="63" t="n">
        <f aca="false">IF(LEFT(Cockpit!$I$5,1)="A",H412,IF(CI412=1,(CL412+CJ412)/2,IF(LEFT(Cockpit!$I$5,1)="B",(CL412+AW412)/2,MAX((CL412+AW412)/2,H412))))</f>
        <v>747</v>
      </c>
      <c r="AV412" s="62" t="n">
        <f aca="false">AU412*G412</f>
        <v>141.93</v>
      </c>
      <c r="AW412" s="62" t="n">
        <f aca="false">ROUNDUP(CL412+MAX(CM412,2*(J412/IF(CH412&gt;0,CH412,MAX(0.1,N(Cockpit!$I$6)))-CL412)),0)</f>
        <v>843</v>
      </c>
      <c r="AX412" s="63" t="n">
        <f aca="false">IF(AT412&gt;0,J412/AT412,-1)</f>
        <v>248.258064516129</v>
      </c>
      <c r="AY412" s="63" t="n">
        <f aca="false">IF(AND(OR(CG412="L1",CG412="L23",CG412="LIFT"),AT412&gt;0),SUMIFS($AT$7:$AT$1843,$CG$7:$CG$1843,CG412,$AX$7:$AX$1843,"&gt;"&amp;AX412)+SUMIFS($AT$7:$AT$1843,$CG$7:$CG$1843,CG412,$AX$7:$AX$1843,AX412,$BX$7:$BX$1843,"&lt;="&amp;BX412),"")</f>
        <v>238.663003663004</v>
      </c>
      <c r="AZ412" s="70" t="n">
        <f aca="false">IF(AY412="",0,MAX(0,MIN(1,(IF(CG412="L1",Parameter!$H$5,IF(CG412="L23",Parameter!$H$6+Parameter!$H$7,Parameter!$H$5+Parameter!$H$6+Parameter!$H$7))-(AY412-AT412))/AT412)))</f>
        <v>1</v>
      </c>
      <c r="BA412" s="62" t="n">
        <f aca="false">IF(LEFT(Cockpit!$O$5,1)="A",H412,IF(Parameter!$E$30="MAX-Bestand",IF(CI412=1,CJ412,IF(LEFT(Cockpit!$O$5,1)="B",BG412,MAX(BG412,H412))),ROUNDUP(BE412,0)))</f>
        <v>443</v>
      </c>
      <c r="BB412" s="62" t="n">
        <f aca="false">IF(CA412=1,0,ROUNDUP(BA412/BZ412,0))</f>
        <v>2</v>
      </c>
      <c r="BC412" s="64" t="n">
        <f aca="false">IF(CR412&gt;0,CR412*MAX(1,BA412/X412),IF(CA412=1,IF(BA412&lt;=0,0,CE412*MAX(1,IF(H412&gt;0,BA412/H412,1))),IF(R412&gt;0,BB412/R412,0))/MAX(0.1,N(Parameter!$M$21)))</f>
        <v>0.0192307692307692</v>
      </c>
      <c r="BD412" s="62" t="n">
        <f aca="false">BC412*CC412</f>
        <v>2.98076923076923</v>
      </c>
      <c r="BE412" s="63" t="n">
        <f aca="false">IF(LEFT(Cockpit!$O$5,1)="A",H412,IF(CI412=1,(CL412+CJ412)/2,IF(LEFT(Cockpit!$O$5,1)="B",(CL412+BG412)/2,MAX((CL412+BG412)/2,H412))))</f>
        <v>443</v>
      </c>
      <c r="BF412" s="62" t="n">
        <f aca="false">BE412*G412</f>
        <v>84.17</v>
      </c>
      <c r="BG412" s="62" t="n">
        <f aca="false">ROUNDUP(CL412+MAX(CM412,2*(J412/IF(CH412&gt;0,CH412,MAX(0.1,N(Cockpit!$O$6)))-CL412)),0)</f>
        <v>843</v>
      </c>
      <c r="BH412" s="63" t="n">
        <f aca="false">IF(BD412&gt;0,J412/BD412,-1)</f>
        <v>248.258064516129</v>
      </c>
      <c r="BI412" s="63" t="n">
        <f aca="false">IF(AND(OR(CG412="L1",CG412="L23",CG412="LIFT"),BD412&gt;0),SUMIFS($BD$7:$BD$1843,$CG$7:$CG$1843,CG412,$BH$7:$BH$1843,"&gt;"&amp;BH412)+SUMIFS($BD$7:$BD$1843,$CG$7:$CG$1843,CG412,$BH$7:$BH$1843,BH412,$BX$7:$BX$1843,"&lt;="&amp;BX412),"")</f>
        <v>312.819139194139</v>
      </c>
      <c r="BJ412" s="70" t="n">
        <f aca="false">IF(BI412="",0,MAX(0,MIN(1,(IF(CG412="L1",Parameter!$H$5,IF(CG412="L23",Parameter!$H$6+Parameter!$H$7,Parameter!$H$5+Parameter!$H$6+Parameter!$H$7))-(BI412-BD412))/BD412)))</f>
        <v>1</v>
      </c>
      <c r="BK412" s="60" t="str">
        <f aca="false">IF(AJ412&lt;=0,"",IF(CG412="Aussen","Aussenlager",IF(CG412="-","Nicht im Lift",IF(AP412&gt;=1,"Lift",IF(AP412&lt;=0,"Aussenlager","teilweise")))))</f>
        <v>Lift</v>
      </c>
      <c r="BL412" s="60" t="str">
        <f aca="false">IF(AT412&lt;=0,"",IF(CG412="Aussen","Aussenlager",IF(CG412="-","Nicht im Lift",IF(AZ412&gt;=1,"Lift",IF(AZ412&lt;=0,"Aussenlager","teilweise")))))</f>
        <v>Lift</v>
      </c>
      <c r="BM412" s="60" t="str">
        <f aca="false">IF(BD412&lt;=0,"",IF(CG412="Aussen","Aussenlager",IF(CG412="-","Nicht im Lift",IF(BJ412&gt;=1,"Lift",IF(BJ412&lt;=0,"Aussenlager","teilweise")))))</f>
        <v>Lift</v>
      </c>
      <c r="BN412" s="60" t="str">
        <f aca="false">IF(A412="","",IF(BW412=1,"Neu; ","")&amp;IF(AND(BW412=0,BR412&lt;0),"negativer Bestand (Export "&amp;BR412&amp;"); ","")&amp;IF(J412&lt;=0,"Kein Verbrauch; ","")&amp;IF(CR412&gt;0,"Lift "&amp;W412&amp;" lt. Liftbericht (Fach "&amp;X412&amp;" Stk); ",IF(CB412=1,"Gebinde geschätzt ("&amp;T412&amp;"); ",IF(CA412=1,"Lose – Tablare geschätzt; ","")))&amp;IF(H412&gt;AW412,"Überbestand "&amp;ROUND(H412-AW412,0)&amp;" Stk / CHF "&amp;ROUND((H412-AW412)*G412,0)&amp;"; ","")&amp;IF(AND(CI412=1,CJ412&lt;CK412),"MAX &lt; MB+LG; ","")&amp;IF(AND(CQ412&gt;0,CP412*10&gt;CQ412),"zu hoch für Tablar; ","")&amp;IF(AND(BW412=0,OR(CI412=1,AB412&lt;&gt;"",U412&lt;&gt;"",V412&lt;&gt;"",AC412&lt;&gt;"")),"manuell übersteuert; ","")&amp;IF(AND(CA412=0,R412=0),"Gebinde unbekannt / Stellmass fehlt; ","")&amp;IF(AND(CA412=0,N(V412)&lt;=0,N(Q412)&lt;=0),"Menge pro Gebinde fehlt (Ist = 1 Gebinde); ","")&amp;BV412)</f>
        <v/>
      </c>
      <c r="BO412" s="60"/>
      <c r="BP412" s="60"/>
      <c r="BQ412" s="67"/>
      <c r="BR412" s="62" t="n">
        <v>517</v>
      </c>
      <c r="BS412" s="62" t="n">
        <v>230</v>
      </c>
      <c r="BT412" s="61" t="n">
        <v>100.53</v>
      </c>
      <c r="BU412" s="62" t="n">
        <v>740</v>
      </c>
      <c r="BV412" s="60"/>
      <c r="BW412" s="65" t="n">
        <v>0</v>
      </c>
      <c r="BX412" s="65" t="n">
        <v>412</v>
      </c>
      <c r="BY412" s="60" t="str">
        <f aca="false">IF(U412&lt;&gt;"",UPPER(TRIM(U412)),IF(CB412=1,UPPER(VLOOKUP(T412,Parameter!$I$27:$K$29,2,0)),IF(P412="","LOSE",P412)))</f>
        <v>S32</v>
      </c>
      <c r="BZ412" s="62" t="n">
        <f aca="false">IF(BY412="LOSE",1,IF(N(V412)&gt;0,V412,IF(CB412=1,MAX(1,N(VLOOKUP(T412,Parameter!$I$27:$K$29,3,0)),H412,N(N412)),IF(N(Q412)&gt;0,Q412,MAX(1,H412)))))</f>
        <v>400</v>
      </c>
      <c r="CA412" s="65" t="n">
        <f aca="false">IF(BY412="LOSE",1,0)</f>
        <v>0</v>
      </c>
      <c r="CB412" s="65" t="n">
        <f aca="false">IF(AND(U412="",OR(P412="",P412="LOSE"),T412&lt;&gt;"",N(S412)&lt;=0,ISNUMBER(MATCH(T412,Parameter!$I$27:$I$29,0))),1,0)</f>
        <v>0</v>
      </c>
      <c r="CC412" s="65" t="n">
        <f aca="false">IF(CR412&gt;0,INDEX(Parameter!$H$5:$H$7,W412)/INDEX(Parameter!$E$5:$E$7,W412),IF(AND(CA412=0,N(IFERROR(VLOOKUP(BY412,'Gebinde-Kategorie'!$A$5:$N$45,14,0),0))&gt;0),VLOOKUP(BY412,'Gebinde-Kategorie'!$A$5:$N$45,14,0)*10+Parameter!$M$23,Parameter!$M$24))</f>
        <v>155</v>
      </c>
      <c r="CD412" s="60" t="str">
        <f aca="false">IF(AND(Parameter!$B$19="Ja",E412&lt;&gt;"",ISNUMBER(MATCH(E412,Parameter!$I$35:$I$52,0))),VLOOKUP(E412,Parameter!$I$35:$J$52,2,0),IFERROR(VLOOKUP(D412,Parameter!$A$35:$C$64,2,0),"Nein"))</f>
        <v>2+3</v>
      </c>
      <c r="CE412" s="64" t="n">
        <f aca="false">IF(CA412=0,0,IF(N(S412)&gt;0,S412,IFERROR(VLOOKUP(D412,Parameter!$A$35:$C$64,3,0)+0,0)))</f>
        <v>0</v>
      </c>
      <c r="CF412" s="60" t="n">
        <f aca="false">IF(AB412&lt;&gt;"",AB412,AA412)</f>
        <v>3</v>
      </c>
      <c r="CG412" s="60" t="str">
        <f aca="false">IF(OR(CF412=1,CF412=2,CF412=3),IF(Parameter!$E$27="Ja","LIFT",IF(CF412=1,"L1","L23")),IF(CF412="Aussen","Aussen","-"))</f>
        <v>LIFT</v>
      </c>
      <c r="CH412" s="71" t="n">
        <f aca="false">IF(N(AC412)&gt;0,AC412,0)</f>
        <v>0</v>
      </c>
      <c r="CI412" s="65" t="n">
        <f aca="false">IF(ISNUMBER(AF412),1,0)</f>
        <v>0</v>
      </c>
      <c r="CJ412" s="62" t="n">
        <f aca="false">N(AF412)</f>
        <v>0</v>
      </c>
      <c r="CK412" s="62" t="n">
        <f aca="false">N(M412)+N(N412)</f>
        <v>843</v>
      </c>
      <c r="CL412" s="62" t="n">
        <f aca="false">N(M412)</f>
        <v>43</v>
      </c>
      <c r="CM412" s="62" t="n">
        <f aca="false">N(N412)</f>
        <v>800</v>
      </c>
      <c r="CN412" s="62" t="n">
        <f aca="false">ROUNDUP(H412/BZ412,0)</f>
        <v>2</v>
      </c>
      <c r="CO412" s="62" t="n">
        <f aca="false">ROUNDUP(CJ412/BZ412,0)</f>
        <v>0</v>
      </c>
      <c r="CP412" s="65" t="n">
        <f aca="false">IF(CA412=1,0,IFERROR(VLOOKUP(BY412,'Gebinde-Kategorie'!$A$5:$N$45,5,0)+0,0))</f>
        <v>8</v>
      </c>
      <c r="CQ412" s="65" t="n">
        <f aca="false">IFERROR(IF(OR(CF412=1,CF412=2,CF412=3),N(INDEX(Parameter!$I$5:$I$7,CF412)),0),0)</f>
        <v>0</v>
      </c>
      <c r="CR412" s="64" t="n">
        <f aca="false">IF(AND(Parameter!$B$21="Ja",ISNUMBER(W412),N(X412)&gt;0),IFERROR(N(INDEX(Parameter!$L$5:$L$7,W412))*INDEX(Parameter!$E$5:$E$7,W412)*X412/SUMIFS($X$7:$X$1843,$W$7:$W$1843,W412),0),0)</f>
        <v>0</v>
      </c>
      <c r="CS412" s="62" t="n">
        <f aca="false">IF(AND(OR(CG412="L1",CG412="L23",CG412="LIFT"),H412&gt;0),CC412*IF(CR412&gt;0,CR412*MAX(1,H412/X412),IF(CA412=1,CE412,IF(R412&gt;0,CN412/R412,0))/MAX(0.1,N(Parameter!$M$21))),"")</f>
        <v>2.98076923076923</v>
      </c>
      <c r="CT412" s="64" t="n">
        <f aca="false">IF(CS412="","",J412/H412)</f>
        <v>0.990629183400268</v>
      </c>
      <c r="CU412" s="62" t="n">
        <f aca="false">IF(CS412="","",H412*G412)</f>
        <v>141.93</v>
      </c>
      <c r="CV412" s="63" t="n">
        <f aca="false">IF(CS412="","",(CL412+ROUNDUP(CL412+MAX(CM412,2*(J412/MAX(0.1,N(Einkauf!$C$6))-CL412)),0))/2)</f>
        <v>443</v>
      </c>
      <c r="CW412" s="62" t="n">
        <f aca="false">IF(CS412="","",MAX(0,H412-CV412)*G412)</f>
        <v>57.76</v>
      </c>
      <c r="CX412" s="62" t="n">
        <f aca="false">IF(CS412="","",CS412*MAX(0,1-CV412/H412))</f>
        <v>1.21305735763567</v>
      </c>
      <c r="CY412" s="64" t="n">
        <f aca="false">IF(CS412="","",PERCENTRANK($CS$7:$CS$1843,CS412)+PERCENTRANK($CU$7:$CU$1843,CU412)+1-PERCENTRANK($CT$7:$CT$1843,CT412))</f>
        <v>0.866</v>
      </c>
      <c r="CZ412" s="72" t="n">
        <f aca="false">IF(CS412="","",CHOOSE(MATCH(Einkauf!$C$5,Parameter!$G$23:$G$27,0),CY412,CS412,CU412,-CT412,CW412)+ROW()/1000000000)</f>
        <v>0.866000412</v>
      </c>
    </row>
    <row r="413" customFormat="false" ht="15" hidden="false" customHeight="false" outlineLevel="0" collapsed="false">
      <c r="A413" s="60" t="s">
        <v>1001</v>
      </c>
      <c r="B413" s="60" t="s">
        <v>549</v>
      </c>
      <c r="C413" s="60" t="s">
        <v>206</v>
      </c>
      <c r="D413" s="60" t="s">
        <v>226</v>
      </c>
      <c r="E413" s="60" t="s">
        <v>227</v>
      </c>
      <c r="F413" s="60" t="s">
        <v>260</v>
      </c>
      <c r="G413" s="61" t="n">
        <v>2.79</v>
      </c>
      <c r="H413" s="62" t="n">
        <f aca="false">MAX(0,IF(AND(Parameter!$B$21="Ja",ISNUMBER(Y413)),Y413,IF(Parameter!$B$20="Jahresanfang 2025 + Export",BS413+BR413,BR413)))</f>
        <v>77</v>
      </c>
      <c r="I413" s="62" t="n">
        <f aca="false">H413*G413</f>
        <v>214.83</v>
      </c>
      <c r="J413" s="62" t="n">
        <f aca="false">BU413*Parameter!$B$18</f>
        <v>30</v>
      </c>
      <c r="K413" s="63" t="n">
        <v>29</v>
      </c>
      <c r="L413" s="64" t="n">
        <v>1.03448275862069</v>
      </c>
      <c r="M413" s="62" t="n">
        <v>1</v>
      </c>
      <c r="N413" s="62" t="n">
        <v>30</v>
      </c>
      <c r="O413" s="65" t="n">
        <v>14</v>
      </c>
      <c r="P413" s="60" t="s">
        <v>518</v>
      </c>
      <c r="Q413" s="62" t="n">
        <v>28</v>
      </c>
      <c r="R413" s="65" t="n">
        <f aca="false">IF(CA413=1,0,IFERROR(VLOOKUP(BY413,'Gebinde-Kategorie'!$A$5:$N$45,13,0)+0,0))</f>
        <v>52</v>
      </c>
      <c r="S413" s="66"/>
      <c r="T413" s="67"/>
      <c r="U413" s="67"/>
      <c r="V413" s="67"/>
      <c r="W413" s="60"/>
      <c r="X413" s="62"/>
      <c r="Y413" s="62"/>
      <c r="Z413" s="60" t="n">
        <v>3</v>
      </c>
      <c r="AA413" s="60" t="n">
        <f aca="false">IF(A413="","",IF(AND(Parameter!$B$21="Ja",ISNUMBER(W413)),W413,IF(AND(Parameter!$E$27="Ja",ISNUMBER(Z413),CD413&lt;&gt;"Nein"),Z413,IF(CD413="2+3",IF(ISNUMBER(SEARCH("grosser Artikel",BV413)),2,IFERROR(VLOOKUP(BY413,Parameter!$F$35:$G$64,2,0),2)),IF(OR(CD413="Nein",CD413=""),"-",CD413)))))</f>
        <v>3</v>
      </c>
      <c r="AB413" s="67"/>
      <c r="AC413" s="68"/>
      <c r="AD413" s="62" t="n">
        <f aca="false">AW413</f>
        <v>31</v>
      </c>
      <c r="AE413" s="62" t="n">
        <f aca="false">MAX(AW413,H413)</f>
        <v>77</v>
      </c>
      <c r="AF413" s="69"/>
      <c r="AG413" s="62" t="n">
        <f aca="false">IF(LEFT(Cockpit!$C$5,1)="A",H413,IF(Parameter!$E$30="MAX-Bestand",IF(CI413=1,CJ413,IF(LEFT(Cockpit!$C$5,1)="B",AM413,MAX(AM413,H413))),ROUNDUP(AK413,0)))</f>
        <v>77</v>
      </c>
      <c r="AH413" s="62" t="n">
        <f aca="false">IF(CA413=1,0,ROUNDUP(AG413/BZ413,0))</f>
        <v>3</v>
      </c>
      <c r="AI413" s="64" t="n">
        <f aca="false">IF(CR413&gt;0,CR413*MAX(1,AG413/X413),IF(CA413=1,IF(AG413&lt;=0,0,CE413*MAX(1,IF(H413&gt;0,AG413/H413,1))),IF(R413&gt;0,AH413/R413,0))/MAX(0.1,N(Parameter!$M$21)))</f>
        <v>0.0576923076923077</v>
      </c>
      <c r="AJ413" s="62" t="n">
        <f aca="false">AI413*CC413</f>
        <v>8.94230769230769</v>
      </c>
      <c r="AK413" s="63" t="n">
        <f aca="false">IF(LEFT(Cockpit!$C$5,1)="A",H413,IF(CI413=1,(CL413+CJ413)/2,IF(LEFT(Cockpit!$C$5,1)="B",(CL413+AM413)/2,MAX((CL413+AM413)/2,H413))))</f>
        <v>77</v>
      </c>
      <c r="AL413" s="62" t="n">
        <f aca="false">AK413*G413</f>
        <v>214.83</v>
      </c>
      <c r="AM413" s="62" t="n">
        <f aca="false">ROUNDUP(CL413+MAX(CM413,2*(J413/IF(CH413&gt;0,CH413,MAX(0.1,N(Cockpit!$C$6)))-CL413)),0)</f>
        <v>31</v>
      </c>
      <c r="AN413" s="63" t="n">
        <f aca="false">IF(AJ413&gt;0,J413/AJ413,-1)</f>
        <v>3.35483870967742</v>
      </c>
      <c r="AO413" s="63" t="n">
        <f aca="false">IF(AND(OR(CG413="L1",CG413="L23",CG413="LIFT"),AJ413&gt;0),SUMIFS($AJ$7:$AJ$1843,$CG$7:$CG$1843,CG413,$AN$7:$AN$1843,"&gt;"&amp;AN413)+SUMIFS($AJ$7:$AJ$1843,$CG$7:$CG$1843,CG413,$AN$7:$AN$1843,AN413,$BX$7:$BX$1843,"&lt;="&amp;BX413),"")</f>
        <v>4922.79945054945</v>
      </c>
      <c r="AP413" s="70" t="n">
        <f aca="false">IF(AO413="",0,MAX(0,MIN(1,(IF(CG413="L1",Parameter!$H$5,IF(CG413="L23",Parameter!$H$6+Parameter!$H$7,Parameter!$H$5+Parameter!$H$6+Parameter!$H$7))-(AO413-AJ413))/AJ413)))</f>
        <v>1</v>
      </c>
      <c r="AQ413" s="62" t="n">
        <f aca="false">IF(LEFT(Cockpit!$I$5,1)="A",H413,IF(Parameter!$E$30="MAX-Bestand",IF(CI413=1,CJ413,IF(LEFT(Cockpit!$I$5,1)="B",AW413,MAX(AW413,H413))),ROUNDUP(AU413,0)))</f>
        <v>77</v>
      </c>
      <c r="AR413" s="62" t="n">
        <f aca="false">IF(CA413=1,0,ROUNDUP(AQ413/BZ413,0))</f>
        <v>3</v>
      </c>
      <c r="AS413" s="64" t="n">
        <f aca="false">IF(CR413&gt;0,CR413*MAX(1,AQ413/X413),IF(CA413=1,IF(AQ413&lt;=0,0,CE413*MAX(1,IF(H413&gt;0,AQ413/H413,1))),IF(R413&gt;0,AR413/R413,0))/MAX(0.1,N(Parameter!$M$21)))</f>
        <v>0.0576923076923077</v>
      </c>
      <c r="AT413" s="62" t="n">
        <f aca="false">AS413*CC413</f>
        <v>8.94230769230769</v>
      </c>
      <c r="AU413" s="63" t="n">
        <f aca="false">IF(LEFT(Cockpit!$I$5,1)="A",H413,IF(CI413=1,(CL413+CJ413)/2,IF(LEFT(Cockpit!$I$5,1)="B",(CL413+AW413)/2,MAX((CL413+AW413)/2,H413))))</f>
        <v>77</v>
      </c>
      <c r="AV413" s="62" t="n">
        <f aca="false">AU413*G413</f>
        <v>214.83</v>
      </c>
      <c r="AW413" s="62" t="n">
        <f aca="false">ROUNDUP(CL413+MAX(CM413,2*(J413/IF(CH413&gt;0,CH413,MAX(0.1,N(Cockpit!$I$6)))-CL413)),0)</f>
        <v>31</v>
      </c>
      <c r="AX413" s="63" t="n">
        <f aca="false">IF(AT413&gt;0,J413/AT413,-1)</f>
        <v>3.35483870967742</v>
      </c>
      <c r="AY413" s="63" t="n">
        <f aca="false">IF(AND(OR(CG413="L1",CG413="L23",CG413="LIFT"),AT413&gt;0),SUMIFS($AT$7:$AT$1843,$CG$7:$CG$1843,CG413,$AX$7:$AX$1843,"&gt;"&amp;AX413)+SUMIFS($AT$7:$AT$1843,$CG$7:$CG$1843,CG413,$AX$7:$AX$1843,AX413,$BX$7:$BX$1843,"&lt;="&amp;BX413),"")</f>
        <v>5586.63644688645</v>
      </c>
      <c r="AZ413" s="70" t="n">
        <f aca="false">IF(AY413="",0,MAX(0,MIN(1,(IF(CG413="L1",Parameter!$H$5,IF(CG413="L23",Parameter!$H$6+Parameter!$H$7,Parameter!$H$5+Parameter!$H$6+Parameter!$H$7))-(AY413-AT413))/AT413)))</f>
        <v>1</v>
      </c>
      <c r="BA413" s="62" t="n">
        <f aca="false">IF(LEFT(Cockpit!$O$5,1)="A",H413,IF(Parameter!$E$30="MAX-Bestand",IF(CI413=1,CJ413,IF(LEFT(Cockpit!$O$5,1)="B",BG413,MAX(BG413,H413))),ROUNDUP(BE413,0)))</f>
        <v>16</v>
      </c>
      <c r="BB413" s="62" t="n">
        <f aca="false">IF(CA413=1,0,ROUNDUP(BA413/BZ413,0))</f>
        <v>1</v>
      </c>
      <c r="BC413" s="64" t="n">
        <f aca="false">IF(CR413&gt;0,CR413*MAX(1,BA413/X413),IF(CA413=1,IF(BA413&lt;=0,0,CE413*MAX(1,IF(H413&gt;0,BA413/H413,1))),IF(R413&gt;0,BB413/R413,0))/MAX(0.1,N(Parameter!$M$21)))</f>
        <v>0.0192307692307692</v>
      </c>
      <c r="BD413" s="62" t="n">
        <f aca="false">BC413*CC413</f>
        <v>2.98076923076923</v>
      </c>
      <c r="BE413" s="63" t="n">
        <f aca="false">IF(LEFT(Cockpit!$O$5,1)="A",H413,IF(CI413=1,(CL413+CJ413)/2,IF(LEFT(Cockpit!$O$5,1)="B",(CL413+BG413)/2,MAX((CL413+BG413)/2,H413))))</f>
        <v>16</v>
      </c>
      <c r="BF413" s="62" t="n">
        <f aca="false">BE413*G413</f>
        <v>44.64</v>
      </c>
      <c r="BG413" s="62" t="n">
        <f aca="false">ROUNDUP(CL413+MAX(CM413,2*(J413/IF(CH413&gt;0,CH413,MAX(0.1,N(Cockpit!$O$6)))-CL413)),0)</f>
        <v>31</v>
      </c>
      <c r="BH413" s="63" t="n">
        <f aca="false">IF(BD413&gt;0,J413/BD413,-1)</f>
        <v>10.0645161290323</v>
      </c>
      <c r="BI413" s="63" t="n">
        <f aca="false">IF(AND(OR(CG413="L1",CG413="L23",CG413="LIFT"),BD413&gt;0),SUMIFS($BD$7:$BD$1843,$CG$7:$CG$1843,CG413,$BH$7:$BH$1843,"&gt;"&amp;BH413)+SUMIFS($BD$7:$BD$1843,$CG$7:$CG$1843,CG413,$BH$7:$BH$1843,BH413,$BX$7:$BX$1843,"&lt;="&amp;BX413),"")</f>
        <v>2669.96978021978</v>
      </c>
      <c r="BJ413" s="70" t="n">
        <f aca="false">IF(BI413="",0,MAX(0,MIN(1,(IF(CG413="L1",Parameter!$H$5,IF(CG413="L23",Parameter!$H$6+Parameter!$H$7,Parameter!$H$5+Parameter!$H$6+Parameter!$H$7))-(BI413-BD413))/BD413)))</f>
        <v>1</v>
      </c>
      <c r="BK413" s="60" t="str">
        <f aca="false">IF(AJ413&lt;=0,"",IF(CG413="Aussen","Aussenlager",IF(CG413="-","Nicht im Lift",IF(AP413&gt;=1,"Lift",IF(AP413&lt;=0,"Aussenlager","teilweise")))))</f>
        <v>Lift</v>
      </c>
      <c r="BL413" s="60" t="str">
        <f aca="false">IF(AT413&lt;=0,"",IF(CG413="Aussen","Aussenlager",IF(CG413="-","Nicht im Lift",IF(AZ413&gt;=1,"Lift",IF(AZ413&lt;=0,"Aussenlager","teilweise")))))</f>
        <v>Lift</v>
      </c>
      <c r="BM413" s="60" t="str">
        <f aca="false">IF(BD413&lt;=0,"",IF(CG413="Aussen","Aussenlager",IF(CG413="-","Nicht im Lift",IF(BJ413&gt;=1,"Lift",IF(BJ413&lt;=0,"Aussenlager","teilweise")))))</f>
        <v>Lift</v>
      </c>
      <c r="BN413" s="60" t="str">
        <f aca="false">IF(A413="","",IF(BW413=1,"Neu; ","")&amp;IF(AND(BW413=0,BR413&lt;0),"negativer Bestand (Export "&amp;BR413&amp;"); ","")&amp;IF(J413&lt;=0,"Kein Verbrauch; ","")&amp;IF(CR413&gt;0,"Lift "&amp;W413&amp;" lt. Liftbericht (Fach "&amp;X413&amp;" Stk); ",IF(CB413=1,"Gebinde geschätzt ("&amp;T413&amp;"); ",IF(CA413=1,"Lose – Tablare geschätzt; ","")))&amp;IF(H413&gt;AW413,"Überbestand "&amp;ROUND(H413-AW413,0)&amp;" Stk / CHF "&amp;ROUND((H413-AW413)*G413,0)&amp;"; ","")&amp;IF(AND(CI413=1,CJ413&lt;CK413),"MAX &lt; MB+LG; ","")&amp;IF(AND(CQ413&gt;0,CP413*10&gt;CQ413),"zu hoch für Tablar; ","")&amp;IF(AND(BW413=0,OR(CI413=1,AB413&lt;&gt;"",U413&lt;&gt;"",V413&lt;&gt;"",AC413&lt;&gt;"")),"manuell übersteuert; ","")&amp;IF(AND(CA413=0,R413=0),"Gebinde unbekannt / Stellmass fehlt; ","")&amp;IF(AND(CA413=0,N(V413)&lt;=0,N(Q413)&lt;=0),"Menge pro Gebinde fehlt (Ist = 1 Gebinde); ","")&amp;BV413)</f>
        <v>Überbestand 46 Stk / CHF 128; </v>
      </c>
      <c r="BO413" s="60"/>
      <c r="BP413" s="60"/>
      <c r="BQ413" s="67"/>
      <c r="BR413" s="62" t="n">
        <v>39</v>
      </c>
      <c r="BS413" s="62" t="n">
        <v>38</v>
      </c>
      <c r="BT413" s="61" t="n">
        <v>100.06</v>
      </c>
      <c r="BU413" s="62" t="n">
        <v>30</v>
      </c>
      <c r="BV413" s="60"/>
      <c r="BW413" s="65" t="n">
        <v>0</v>
      </c>
      <c r="BX413" s="65" t="n">
        <v>413</v>
      </c>
      <c r="BY413" s="60" t="str">
        <f aca="false">IF(U413&lt;&gt;"",UPPER(TRIM(U413)),IF(CB413=1,UPPER(VLOOKUP(T413,Parameter!$I$27:$K$29,2,0)),IF(P413="","LOSE",P413)))</f>
        <v>S33</v>
      </c>
      <c r="BZ413" s="62" t="n">
        <f aca="false">IF(BY413="LOSE",1,IF(N(V413)&gt;0,V413,IF(CB413=1,MAX(1,N(VLOOKUP(T413,Parameter!$I$27:$K$29,3,0)),H413,N(N413)),IF(N(Q413)&gt;0,Q413,MAX(1,H413)))))</f>
        <v>28</v>
      </c>
      <c r="CA413" s="65" t="n">
        <f aca="false">IF(BY413="LOSE",1,0)</f>
        <v>0</v>
      </c>
      <c r="CB413" s="65" t="n">
        <f aca="false">IF(AND(U413="",OR(P413="",P413="LOSE"),T413&lt;&gt;"",N(S413)&lt;=0,ISNUMBER(MATCH(T413,Parameter!$I$27:$I$29,0))),1,0)</f>
        <v>0</v>
      </c>
      <c r="CC413" s="65" t="n">
        <f aca="false">IF(CR413&gt;0,INDEX(Parameter!$H$5:$H$7,W413)/INDEX(Parameter!$E$5:$E$7,W413),IF(AND(CA413=0,N(IFERROR(VLOOKUP(BY413,'Gebinde-Kategorie'!$A$5:$N$45,14,0),0))&gt;0),VLOOKUP(BY413,'Gebinde-Kategorie'!$A$5:$N$45,14,0)*10+Parameter!$M$23,Parameter!$M$24))</f>
        <v>155</v>
      </c>
      <c r="CD413" s="60" t="str">
        <f aca="false">IF(AND(Parameter!$B$19="Ja",E413&lt;&gt;"",ISNUMBER(MATCH(E413,Parameter!$I$35:$I$52,0))),VLOOKUP(E413,Parameter!$I$35:$J$52,2,0),IFERROR(VLOOKUP(D413,Parameter!$A$35:$C$64,2,0),"Nein"))</f>
        <v>2+3</v>
      </c>
      <c r="CE413" s="64" t="n">
        <f aca="false">IF(CA413=0,0,IF(N(S413)&gt;0,S413,IFERROR(VLOOKUP(D413,Parameter!$A$35:$C$64,3,0)+0,0)))</f>
        <v>0</v>
      </c>
      <c r="CF413" s="60" t="n">
        <f aca="false">IF(AB413&lt;&gt;"",AB413,AA413)</f>
        <v>3</v>
      </c>
      <c r="CG413" s="60" t="str">
        <f aca="false">IF(OR(CF413=1,CF413=2,CF413=3),IF(Parameter!$E$27="Ja","LIFT",IF(CF413=1,"L1","L23")),IF(CF413="Aussen","Aussen","-"))</f>
        <v>LIFT</v>
      </c>
      <c r="CH413" s="71" t="n">
        <f aca="false">IF(N(AC413)&gt;0,AC413,0)</f>
        <v>0</v>
      </c>
      <c r="CI413" s="65" t="n">
        <f aca="false">IF(ISNUMBER(AF413),1,0)</f>
        <v>0</v>
      </c>
      <c r="CJ413" s="62" t="n">
        <f aca="false">N(AF413)</f>
        <v>0</v>
      </c>
      <c r="CK413" s="62" t="n">
        <f aca="false">N(M413)+N(N413)</f>
        <v>31</v>
      </c>
      <c r="CL413" s="62" t="n">
        <f aca="false">N(M413)</f>
        <v>1</v>
      </c>
      <c r="CM413" s="62" t="n">
        <f aca="false">N(N413)</f>
        <v>30</v>
      </c>
      <c r="CN413" s="62" t="n">
        <f aca="false">ROUNDUP(H413/BZ413,0)</f>
        <v>3</v>
      </c>
      <c r="CO413" s="62" t="n">
        <f aca="false">ROUNDUP(CJ413/BZ413,0)</f>
        <v>0</v>
      </c>
      <c r="CP413" s="65" t="n">
        <f aca="false">IF(CA413=1,0,IFERROR(VLOOKUP(BY413,'Gebinde-Kategorie'!$A$5:$N$45,5,0)+0,0))</f>
        <v>8</v>
      </c>
      <c r="CQ413" s="65" t="n">
        <f aca="false">IFERROR(IF(OR(CF413=1,CF413=2,CF413=3),N(INDEX(Parameter!$I$5:$I$7,CF413)),0),0)</f>
        <v>0</v>
      </c>
      <c r="CR413" s="64" t="n">
        <f aca="false">IF(AND(Parameter!$B$21="Ja",ISNUMBER(W413),N(X413)&gt;0),IFERROR(N(INDEX(Parameter!$L$5:$L$7,W413))*INDEX(Parameter!$E$5:$E$7,W413)*X413/SUMIFS($X$7:$X$1843,$W$7:$W$1843,W413),0),0)</f>
        <v>0</v>
      </c>
      <c r="CS413" s="62" t="n">
        <f aca="false">IF(AND(OR(CG413="L1",CG413="L23",CG413="LIFT"),H413&gt;0),CC413*IF(CR413&gt;0,CR413*MAX(1,H413/X413),IF(CA413=1,CE413,IF(R413&gt;0,CN413/R413,0))/MAX(0.1,N(Parameter!$M$21))),"")</f>
        <v>8.94230769230769</v>
      </c>
      <c r="CT413" s="64" t="n">
        <f aca="false">IF(CS413="","",J413/H413)</f>
        <v>0.38961038961039</v>
      </c>
      <c r="CU413" s="62" t="n">
        <f aca="false">IF(CS413="","",H413*G413)</f>
        <v>214.83</v>
      </c>
      <c r="CV413" s="63" t="n">
        <f aca="false">IF(CS413="","",(CL413+ROUNDUP(CL413+MAX(CM413,2*(J413/MAX(0.1,N(Einkauf!$C$6))-CL413)),0))/2)</f>
        <v>16</v>
      </c>
      <c r="CW413" s="62" t="n">
        <f aca="false">IF(CS413="","",MAX(0,H413-CV413)*G413)</f>
        <v>170.19</v>
      </c>
      <c r="CX413" s="62" t="n">
        <f aca="false">IF(CS413="","",CS413*MAX(0,1-CV413/H413))</f>
        <v>7.08416583416584</v>
      </c>
      <c r="CY413" s="64" t="n">
        <f aca="false">IF(CS413="","",PERCENTRANK($CS$7:$CS$1843,CS413)+PERCENTRANK($CU$7:$CU$1843,CU413)+1-PERCENTRANK($CT$7:$CT$1843,CT413))</f>
        <v>1.393</v>
      </c>
      <c r="CZ413" s="72" t="n">
        <f aca="false">IF(CS413="","",CHOOSE(MATCH(Einkauf!$C$5,Parameter!$G$23:$G$27,0),CY413,CS413,CU413,-CT413,CW413)+ROW()/1000000000)</f>
        <v>1.393000413</v>
      </c>
    </row>
    <row r="414" customFormat="false" ht="15" hidden="false" customHeight="false" outlineLevel="0" collapsed="false">
      <c r="A414" s="60" t="s">
        <v>1002</v>
      </c>
      <c r="B414" s="60" t="s">
        <v>989</v>
      </c>
      <c r="C414" s="60" t="s">
        <v>206</v>
      </c>
      <c r="D414" s="60" t="s">
        <v>226</v>
      </c>
      <c r="E414" s="60" t="s">
        <v>227</v>
      </c>
      <c r="F414" s="60" t="s">
        <v>260</v>
      </c>
      <c r="G414" s="61" t="n">
        <v>3.21</v>
      </c>
      <c r="H414" s="62" t="n">
        <f aca="false">MAX(0,IF(AND(Parameter!$B$21="Ja",ISNUMBER(Y414)),Y414,IF(Parameter!$B$20="Jahresanfang 2025 + Export",BS414+BR414,BR414)))</f>
        <v>62</v>
      </c>
      <c r="I414" s="62" t="n">
        <f aca="false">H414*G414</f>
        <v>199.02</v>
      </c>
      <c r="J414" s="62" t="n">
        <f aca="false">BU414*Parameter!$B$18</f>
        <v>162</v>
      </c>
      <c r="K414" s="63" t="n">
        <v>52.5</v>
      </c>
      <c r="L414" s="64" t="n">
        <v>3.08571428571429</v>
      </c>
      <c r="M414" s="62" t="n">
        <v>9</v>
      </c>
      <c r="N414" s="62" t="n">
        <v>160</v>
      </c>
      <c r="O414" s="65" t="n">
        <v>21</v>
      </c>
      <c r="P414" s="60" t="s">
        <v>463</v>
      </c>
      <c r="Q414" s="62" t="n">
        <v>56</v>
      </c>
      <c r="R414" s="65" t="n">
        <f aca="false">IF(CA414=1,0,IFERROR(VLOOKUP(BY414,'Gebinde-Kategorie'!$A$5:$N$45,13,0)+0,0))</f>
        <v>104</v>
      </c>
      <c r="S414" s="66"/>
      <c r="T414" s="67"/>
      <c r="U414" s="67"/>
      <c r="V414" s="67"/>
      <c r="W414" s="60"/>
      <c r="X414" s="62"/>
      <c r="Y414" s="62"/>
      <c r="Z414" s="60" t="n">
        <v>3</v>
      </c>
      <c r="AA414" s="60" t="n">
        <f aca="false">IF(A414="","",IF(AND(Parameter!$B$21="Ja",ISNUMBER(W414)),W414,IF(AND(Parameter!$E$27="Ja",ISNUMBER(Z414),CD414&lt;&gt;"Nein"),Z414,IF(CD414="2+3",IF(ISNUMBER(SEARCH("grosser Artikel",BV414)),2,IFERROR(VLOOKUP(BY414,Parameter!$F$35:$G$64,2,0),2)),IF(OR(CD414="Nein",CD414=""),"-",CD414)))))</f>
        <v>3</v>
      </c>
      <c r="AB414" s="67"/>
      <c r="AC414" s="68"/>
      <c r="AD414" s="62" t="n">
        <f aca="false">AW414</f>
        <v>169</v>
      </c>
      <c r="AE414" s="62" t="n">
        <f aca="false">MAX(AW414,H414)</f>
        <v>169</v>
      </c>
      <c r="AF414" s="69"/>
      <c r="AG414" s="62" t="n">
        <f aca="false">IF(LEFT(Cockpit!$C$5,1)="A",H414,IF(Parameter!$E$30="MAX-Bestand",IF(CI414=1,CJ414,IF(LEFT(Cockpit!$C$5,1)="B",AM414,MAX(AM414,H414))),ROUNDUP(AK414,0)))</f>
        <v>62</v>
      </c>
      <c r="AH414" s="62" t="n">
        <f aca="false">IF(CA414=1,0,ROUNDUP(AG414/BZ414,0))</f>
        <v>2</v>
      </c>
      <c r="AI414" s="64" t="n">
        <f aca="false">IF(CR414&gt;0,CR414*MAX(1,AG414/X414),IF(CA414=1,IF(AG414&lt;=0,0,CE414*MAX(1,IF(H414&gt;0,AG414/H414,1))),IF(R414&gt;0,AH414/R414,0))/MAX(0.1,N(Parameter!$M$21)))</f>
        <v>0.0192307692307692</v>
      </c>
      <c r="AJ414" s="62" t="n">
        <f aca="false">AI414*CC414</f>
        <v>2.98076923076923</v>
      </c>
      <c r="AK414" s="63" t="n">
        <f aca="false">IF(LEFT(Cockpit!$C$5,1)="A",H414,IF(CI414=1,(CL414+CJ414)/2,IF(LEFT(Cockpit!$C$5,1)="B",(CL414+AM414)/2,MAX((CL414+AM414)/2,H414))))</f>
        <v>62</v>
      </c>
      <c r="AL414" s="62" t="n">
        <f aca="false">AK414*G414</f>
        <v>199.02</v>
      </c>
      <c r="AM414" s="62" t="n">
        <f aca="false">ROUNDUP(CL414+MAX(CM414,2*(J414/IF(CH414&gt;0,CH414,MAX(0.1,N(Cockpit!$C$6)))-CL414)),0)</f>
        <v>169</v>
      </c>
      <c r="AN414" s="63" t="n">
        <f aca="false">IF(AJ414&gt;0,J414/AJ414,-1)</f>
        <v>54.3483870967742</v>
      </c>
      <c r="AO414" s="63" t="n">
        <f aca="false">IF(AND(OR(CG414="L1",CG414="L23",CG414="LIFT"),AJ414&gt;0),SUMIFS($AJ$7:$AJ$1843,$CG$7:$CG$1843,CG414,$AN$7:$AN$1843,"&gt;"&amp;AN414)+SUMIFS($AJ$7:$AJ$1843,$CG$7:$CG$1843,CG414,$AN$7:$AN$1843,AN414,$BX$7:$BX$1843,"&lt;="&amp;BX414),"")</f>
        <v>1001.44093406593</v>
      </c>
      <c r="AP414" s="70" t="n">
        <f aca="false">IF(AO414="",0,MAX(0,MIN(1,(IF(CG414="L1",Parameter!$H$5,IF(CG414="L23",Parameter!$H$6+Parameter!$H$7,Parameter!$H$5+Parameter!$H$6+Parameter!$H$7))-(AO414-AJ414))/AJ414)))</f>
        <v>1</v>
      </c>
      <c r="AQ414" s="62" t="n">
        <f aca="false">IF(LEFT(Cockpit!$I$5,1)="A",H414,IF(Parameter!$E$30="MAX-Bestand",IF(CI414=1,CJ414,IF(LEFT(Cockpit!$I$5,1)="B",AW414,MAX(AW414,H414))),ROUNDUP(AU414,0)))</f>
        <v>89</v>
      </c>
      <c r="AR414" s="62" t="n">
        <f aca="false">IF(CA414=1,0,ROUNDUP(AQ414/BZ414,0))</f>
        <v>2</v>
      </c>
      <c r="AS414" s="64" t="n">
        <f aca="false">IF(CR414&gt;0,CR414*MAX(1,AQ414/X414),IF(CA414=1,IF(AQ414&lt;=0,0,CE414*MAX(1,IF(H414&gt;0,AQ414/H414,1))),IF(R414&gt;0,AR414/R414,0))/MAX(0.1,N(Parameter!$M$21)))</f>
        <v>0.0192307692307692</v>
      </c>
      <c r="AT414" s="62" t="n">
        <f aca="false">AS414*CC414</f>
        <v>2.98076923076923</v>
      </c>
      <c r="AU414" s="63" t="n">
        <f aca="false">IF(LEFT(Cockpit!$I$5,1)="A",H414,IF(CI414=1,(CL414+CJ414)/2,IF(LEFT(Cockpit!$I$5,1)="B",(CL414+AW414)/2,MAX((CL414+AW414)/2,H414))))</f>
        <v>89</v>
      </c>
      <c r="AV414" s="62" t="n">
        <f aca="false">AU414*G414</f>
        <v>285.69</v>
      </c>
      <c r="AW414" s="62" t="n">
        <f aca="false">ROUNDUP(CL414+MAX(CM414,2*(J414/IF(CH414&gt;0,CH414,MAX(0.1,N(Cockpit!$I$6)))-CL414)),0)</f>
        <v>169</v>
      </c>
      <c r="AX414" s="63" t="n">
        <f aca="false">IF(AT414&gt;0,J414/AT414,-1)</f>
        <v>54.3483870967742</v>
      </c>
      <c r="AY414" s="63" t="n">
        <f aca="false">IF(AND(OR(CG414="L1",CG414="L23",CG414="LIFT"),AT414&gt;0),SUMIFS($AT$7:$AT$1843,$CG$7:$CG$1843,CG414,$AX$7:$AX$1843,"&gt;"&amp;AX414)+SUMIFS($AT$7:$AT$1843,$CG$7:$CG$1843,CG414,$AX$7:$AX$1843,AX414,$BX$7:$BX$1843,"&lt;="&amp;BX414),"")</f>
        <v>1285.1369047619</v>
      </c>
      <c r="AZ414" s="70" t="n">
        <f aca="false">IF(AY414="",0,MAX(0,MIN(1,(IF(CG414="L1",Parameter!$H$5,IF(CG414="L23",Parameter!$H$6+Parameter!$H$7,Parameter!$H$5+Parameter!$H$6+Parameter!$H$7))-(AY414-AT414))/AT414)))</f>
        <v>1</v>
      </c>
      <c r="BA414" s="62" t="n">
        <f aca="false">IF(LEFT(Cockpit!$O$5,1)="A",H414,IF(Parameter!$E$30="MAX-Bestand",IF(CI414=1,CJ414,IF(LEFT(Cockpit!$O$5,1)="B",BG414,MAX(BG414,H414))),ROUNDUP(BE414,0)))</f>
        <v>89</v>
      </c>
      <c r="BB414" s="62" t="n">
        <f aca="false">IF(CA414=1,0,ROUNDUP(BA414/BZ414,0))</f>
        <v>2</v>
      </c>
      <c r="BC414" s="64" t="n">
        <f aca="false">IF(CR414&gt;0,CR414*MAX(1,BA414/X414),IF(CA414=1,IF(BA414&lt;=0,0,CE414*MAX(1,IF(H414&gt;0,BA414/H414,1))),IF(R414&gt;0,BB414/R414,0))/MAX(0.1,N(Parameter!$M$21)))</f>
        <v>0.0192307692307692</v>
      </c>
      <c r="BD414" s="62" t="n">
        <f aca="false">BC414*CC414</f>
        <v>2.98076923076923</v>
      </c>
      <c r="BE414" s="63" t="n">
        <f aca="false">IF(LEFT(Cockpit!$O$5,1)="A",H414,IF(CI414=1,(CL414+CJ414)/2,IF(LEFT(Cockpit!$O$5,1)="B",(CL414+BG414)/2,MAX((CL414+BG414)/2,H414))))</f>
        <v>89</v>
      </c>
      <c r="BF414" s="62" t="n">
        <f aca="false">BE414*G414</f>
        <v>285.69</v>
      </c>
      <c r="BG414" s="62" t="n">
        <f aca="false">ROUNDUP(CL414+MAX(CM414,2*(J414/IF(CH414&gt;0,CH414,MAX(0.1,N(Cockpit!$O$6)))-CL414)),0)</f>
        <v>169</v>
      </c>
      <c r="BH414" s="63" t="n">
        <f aca="false">IF(BD414&gt;0,J414/BD414,-1)</f>
        <v>54.3483870967742</v>
      </c>
      <c r="BI414" s="63" t="n">
        <f aca="false">IF(AND(OR(CG414="L1",CG414="L23",CG414="LIFT"),BD414&gt;0),SUMIFS($BD$7:$BD$1843,$CG$7:$CG$1843,CG414,$BH$7:$BH$1843,"&gt;"&amp;BH414)+SUMIFS($BD$7:$BD$1843,$CG$7:$CG$1843,CG414,$BH$7:$BH$1843,BH414,$BX$7:$BX$1843,"&lt;="&amp;BX414),"")</f>
        <v>1139.42673992674</v>
      </c>
      <c r="BJ414" s="70" t="n">
        <f aca="false">IF(BI414="",0,MAX(0,MIN(1,(IF(CG414="L1",Parameter!$H$5,IF(CG414="L23",Parameter!$H$6+Parameter!$H$7,Parameter!$H$5+Parameter!$H$6+Parameter!$H$7))-(BI414-BD414))/BD414)))</f>
        <v>1</v>
      </c>
      <c r="BK414" s="60" t="str">
        <f aca="false">IF(AJ414&lt;=0,"",IF(CG414="Aussen","Aussenlager",IF(CG414="-","Nicht im Lift",IF(AP414&gt;=1,"Lift",IF(AP414&lt;=0,"Aussenlager","teilweise")))))</f>
        <v>Lift</v>
      </c>
      <c r="BL414" s="60" t="str">
        <f aca="false">IF(AT414&lt;=0,"",IF(CG414="Aussen","Aussenlager",IF(CG414="-","Nicht im Lift",IF(AZ414&gt;=1,"Lift",IF(AZ414&lt;=0,"Aussenlager","teilweise")))))</f>
        <v>Lift</v>
      </c>
      <c r="BM414" s="60" t="str">
        <f aca="false">IF(BD414&lt;=0,"",IF(CG414="Aussen","Aussenlager",IF(CG414="-","Nicht im Lift",IF(BJ414&gt;=1,"Lift",IF(BJ414&lt;=0,"Aussenlager","teilweise")))))</f>
        <v>Lift</v>
      </c>
      <c r="BN414" s="60" t="str">
        <f aca="false">IF(A414="","",IF(BW414=1,"Neu; ","")&amp;IF(AND(BW414=0,BR414&lt;0),"negativer Bestand (Export "&amp;BR414&amp;"); ","")&amp;IF(J414&lt;=0,"Kein Verbrauch; ","")&amp;IF(CR414&gt;0,"Lift "&amp;W414&amp;" lt. Liftbericht (Fach "&amp;X414&amp;" Stk); ",IF(CB414=1,"Gebinde geschätzt ("&amp;T414&amp;"); ",IF(CA414=1,"Lose – Tablare geschätzt; ","")))&amp;IF(H414&gt;AW414,"Überbestand "&amp;ROUND(H414-AW414,0)&amp;" Stk / CHF "&amp;ROUND((H414-AW414)*G414,0)&amp;"; ","")&amp;IF(AND(CI414=1,CJ414&lt;CK414),"MAX &lt; MB+LG; ","")&amp;IF(AND(CQ414&gt;0,CP414*10&gt;CQ414),"zu hoch für Tablar; ","")&amp;IF(AND(BW414=0,OR(CI414=1,AB414&lt;&gt;"",U414&lt;&gt;"",V414&lt;&gt;"",AC414&lt;&gt;"")),"manuell übersteuert; ","")&amp;IF(AND(CA414=0,R414=0),"Gebinde unbekannt / Stellmass fehlt; ","")&amp;IF(AND(CA414=0,N(V414)&lt;=0,N(Q414)&lt;=0),"Menge pro Gebinde fehlt (Ist = 1 Gebinde); ","")&amp;BV414)</f>
        <v/>
      </c>
      <c r="BO414" s="60"/>
      <c r="BP414" s="60"/>
      <c r="BQ414" s="67"/>
      <c r="BR414" s="62" t="n">
        <v>30</v>
      </c>
      <c r="BS414" s="62" t="n">
        <v>32</v>
      </c>
      <c r="BT414" s="61" t="n">
        <v>98.5399999999998</v>
      </c>
      <c r="BU414" s="62" t="n">
        <v>162</v>
      </c>
      <c r="BV414" s="60"/>
      <c r="BW414" s="65" t="n">
        <v>0</v>
      </c>
      <c r="BX414" s="65" t="n">
        <v>414</v>
      </c>
      <c r="BY414" s="60" t="str">
        <f aca="false">IF(U414&lt;&gt;"",UPPER(TRIM(U414)),IF(CB414=1,UPPER(VLOOKUP(T414,Parameter!$I$27:$K$29,2,0)),IF(P414="","LOSE",P414)))</f>
        <v>S32</v>
      </c>
      <c r="BZ414" s="62" t="n">
        <f aca="false">IF(BY414="LOSE",1,IF(N(V414)&gt;0,V414,IF(CB414=1,MAX(1,N(VLOOKUP(T414,Parameter!$I$27:$K$29,3,0)),H414,N(N414)),IF(N(Q414)&gt;0,Q414,MAX(1,H414)))))</f>
        <v>56</v>
      </c>
      <c r="CA414" s="65" t="n">
        <f aca="false">IF(BY414="LOSE",1,0)</f>
        <v>0</v>
      </c>
      <c r="CB414" s="65" t="n">
        <f aca="false">IF(AND(U414="",OR(P414="",P414="LOSE"),T414&lt;&gt;"",N(S414)&lt;=0,ISNUMBER(MATCH(T414,Parameter!$I$27:$I$29,0))),1,0)</f>
        <v>0</v>
      </c>
      <c r="CC414" s="65" t="n">
        <f aca="false">IF(CR414&gt;0,INDEX(Parameter!$H$5:$H$7,W414)/INDEX(Parameter!$E$5:$E$7,W414),IF(AND(CA414=0,N(IFERROR(VLOOKUP(BY414,'Gebinde-Kategorie'!$A$5:$N$45,14,0),0))&gt;0),VLOOKUP(BY414,'Gebinde-Kategorie'!$A$5:$N$45,14,0)*10+Parameter!$M$23,Parameter!$M$24))</f>
        <v>155</v>
      </c>
      <c r="CD414" s="60" t="str">
        <f aca="false">IF(AND(Parameter!$B$19="Ja",E414&lt;&gt;"",ISNUMBER(MATCH(E414,Parameter!$I$35:$I$52,0))),VLOOKUP(E414,Parameter!$I$35:$J$52,2,0),IFERROR(VLOOKUP(D414,Parameter!$A$35:$C$64,2,0),"Nein"))</f>
        <v>2+3</v>
      </c>
      <c r="CE414" s="64" t="n">
        <f aca="false">IF(CA414=0,0,IF(N(S414)&gt;0,S414,IFERROR(VLOOKUP(D414,Parameter!$A$35:$C$64,3,0)+0,0)))</f>
        <v>0</v>
      </c>
      <c r="CF414" s="60" t="n">
        <f aca="false">IF(AB414&lt;&gt;"",AB414,AA414)</f>
        <v>3</v>
      </c>
      <c r="CG414" s="60" t="str">
        <f aca="false">IF(OR(CF414=1,CF414=2,CF414=3),IF(Parameter!$E$27="Ja","LIFT",IF(CF414=1,"L1","L23")),IF(CF414="Aussen","Aussen","-"))</f>
        <v>LIFT</v>
      </c>
      <c r="CH414" s="71" t="n">
        <f aca="false">IF(N(AC414)&gt;0,AC414,0)</f>
        <v>0</v>
      </c>
      <c r="CI414" s="65" t="n">
        <f aca="false">IF(ISNUMBER(AF414),1,0)</f>
        <v>0</v>
      </c>
      <c r="CJ414" s="62" t="n">
        <f aca="false">N(AF414)</f>
        <v>0</v>
      </c>
      <c r="CK414" s="62" t="n">
        <f aca="false">N(M414)+N(N414)</f>
        <v>169</v>
      </c>
      <c r="CL414" s="62" t="n">
        <f aca="false">N(M414)</f>
        <v>9</v>
      </c>
      <c r="CM414" s="62" t="n">
        <f aca="false">N(N414)</f>
        <v>160</v>
      </c>
      <c r="CN414" s="62" t="n">
        <f aca="false">ROUNDUP(H414/BZ414,0)</f>
        <v>2</v>
      </c>
      <c r="CO414" s="62" t="n">
        <f aca="false">ROUNDUP(CJ414/BZ414,0)</f>
        <v>0</v>
      </c>
      <c r="CP414" s="65" t="n">
        <f aca="false">IF(CA414=1,0,IFERROR(VLOOKUP(BY414,'Gebinde-Kategorie'!$A$5:$N$45,5,0)+0,0))</f>
        <v>8</v>
      </c>
      <c r="CQ414" s="65" t="n">
        <f aca="false">IFERROR(IF(OR(CF414=1,CF414=2,CF414=3),N(INDEX(Parameter!$I$5:$I$7,CF414)),0),0)</f>
        <v>0</v>
      </c>
      <c r="CR414" s="64" t="n">
        <f aca="false">IF(AND(Parameter!$B$21="Ja",ISNUMBER(W414),N(X414)&gt;0),IFERROR(N(INDEX(Parameter!$L$5:$L$7,W414))*INDEX(Parameter!$E$5:$E$7,W414)*X414/SUMIFS($X$7:$X$1843,$W$7:$W$1843,W414),0),0)</f>
        <v>0</v>
      </c>
      <c r="CS414" s="62" t="n">
        <f aca="false">IF(AND(OR(CG414="L1",CG414="L23",CG414="LIFT"),H414&gt;0),CC414*IF(CR414&gt;0,CR414*MAX(1,H414/X414),IF(CA414=1,CE414,IF(R414&gt;0,CN414/R414,0))/MAX(0.1,N(Parameter!$M$21))),"")</f>
        <v>2.98076923076923</v>
      </c>
      <c r="CT414" s="64" t="n">
        <f aca="false">IF(CS414="","",J414/H414)</f>
        <v>2.61290322580645</v>
      </c>
      <c r="CU414" s="62" t="n">
        <f aca="false">IF(CS414="","",H414*G414)</f>
        <v>199.02</v>
      </c>
      <c r="CV414" s="63" t="n">
        <f aca="false">IF(CS414="","",(CL414+ROUNDUP(CL414+MAX(CM414,2*(J414/MAX(0.1,N(Einkauf!$C$6))-CL414)),0))/2)</f>
        <v>89</v>
      </c>
      <c r="CW414" s="62" t="n">
        <f aca="false">IF(CS414="","",MAX(0,H414-CV414)*G414)</f>
        <v>0</v>
      </c>
      <c r="CX414" s="62" t="n">
        <f aca="false">IF(CS414="","",CS414*MAX(0,1-CV414/H414))</f>
        <v>0</v>
      </c>
      <c r="CY414" s="64" t="n">
        <f aca="false">IF(CS414="","",PERCENTRANK($CS$7:$CS$1843,CS414)+PERCENTRANK($CU$7:$CU$1843,CU414)+1-PERCENTRANK($CT$7:$CT$1843,CT414))</f>
        <v>0.686</v>
      </c>
      <c r="CZ414" s="72" t="n">
        <f aca="false">IF(CS414="","",CHOOSE(MATCH(Einkauf!$C$5,Parameter!$G$23:$G$27,0),CY414,CS414,CU414,-CT414,CW414)+ROW()/1000000000)</f>
        <v>0.686000414</v>
      </c>
    </row>
    <row r="415" customFormat="false" ht="15" hidden="false" customHeight="false" outlineLevel="0" collapsed="false">
      <c r="A415" s="60" t="s">
        <v>1003</v>
      </c>
      <c r="B415" s="60" t="s">
        <v>449</v>
      </c>
      <c r="C415" s="60" t="s">
        <v>206</v>
      </c>
      <c r="D415" s="60" t="s">
        <v>226</v>
      </c>
      <c r="E415" s="60" t="s">
        <v>227</v>
      </c>
      <c r="F415" s="60" t="s">
        <v>260</v>
      </c>
      <c r="G415" s="61" t="n">
        <v>0.12</v>
      </c>
      <c r="H415" s="62" t="n">
        <f aca="false">MAX(0,IF(AND(Parameter!$B$21="Ja",ISNUMBER(Y415)),Y415,IF(Parameter!$B$20="Jahresanfang 2025 + Export",BS415+BR415,BR415)))</f>
        <v>1198</v>
      </c>
      <c r="I415" s="62" t="n">
        <f aca="false">H415*G415</f>
        <v>143.76</v>
      </c>
      <c r="J415" s="62" t="n">
        <f aca="false">BU415*Parameter!$B$18</f>
        <v>2222</v>
      </c>
      <c r="K415" s="63" t="n">
        <v>530.5</v>
      </c>
      <c r="L415" s="64" t="n">
        <v>4.1885014137606</v>
      </c>
      <c r="M415" s="62" t="n">
        <v>86</v>
      </c>
      <c r="N415" s="62" t="n">
        <v>2000</v>
      </c>
      <c r="O415" s="65" t="n">
        <v>14</v>
      </c>
      <c r="P415" s="60" t="s">
        <v>518</v>
      </c>
      <c r="Q415" s="62" t="n">
        <v>432</v>
      </c>
      <c r="R415" s="65" t="n">
        <f aca="false">IF(CA415=1,0,IFERROR(VLOOKUP(BY415,'Gebinde-Kategorie'!$A$5:$N$45,13,0)+0,0))</f>
        <v>52</v>
      </c>
      <c r="S415" s="66"/>
      <c r="T415" s="67"/>
      <c r="U415" s="67"/>
      <c r="V415" s="67"/>
      <c r="W415" s="60"/>
      <c r="X415" s="62"/>
      <c r="Y415" s="62"/>
      <c r="Z415" s="60" t="n">
        <v>3</v>
      </c>
      <c r="AA415" s="60" t="n">
        <f aca="false">IF(A415="","",IF(AND(Parameter!$B$21="Ja",ISNUMBER(W415)),W415,IF(AND(Parameter!$E$27="Ja",ISNUMBER(Z415),CD415&lt;&gt;"Nein"),Z415,IF(CD415="2+3",IF(ISNUMBER(SEARCH("grosser Artikel",BV415)),2,IFERROR(VLOOKUP(BY415,Parameter!$F$35:$G$64,2,0),2)),IF(OR(CD415="Nein",CD415=""),"-",CD415)))))</f>
        <v>3</v>
      </c>
      <c r="AB415" s="67"/>
      <c r="AC415" s="68"/>
      <c r="AD415" s="62" t="n">
        <f aca="false">AW415</f>
        <v>2086</v>
      </c>
      <c r="AE415" s="62" t="n">
        <f aca="false">MAX(AW415,H415)</f>
        <v>2086</v>
      </c>
      <c r="AF415" s="69"/>
      <c r="AG415" s="62" t="n">
        <f aca="false">IF(LEFT(Cockpit!$C$5,1)="A",H415,IF(Parameter!$E$30="MAX-Bestand",IF(CI415=1,CJ415,IF(LEFT(Cockpit!$C$5,1)="B",AM415,MAX(AM415,H415))),ROUNDUP(AK415,0)))</f>
        <v>1198</v>
      </c>
      <c r="AH415" s="62" t="n">
        <f aca="false">IF(CA415=1,0,ROUNDUP(AG415/BZ415,0))</f>
        <v>3</v>
      </c>
      <c r="AI415" s="64" t="n">
        <f aca="false">IF(CR415&gt;0,CR415*MAX(1,AG415/X415),IF(CA415=1,IF(AG415&lt;=0,0,CE415*MAX(1,IF(H415&gt;0,AG415/H415,1))),IF(R415&gt;0,AH415/R415,0))/MAX(0.1,N(Parameter!$M$21)))</f>
        <v>0.0576923076923077</v>
      </c>
      <c r="AJ415" s="62" t="n">
        <f aca="false">AI415*CC415</f>
        <v>8.94230769230769</v>
      </c>
      <c r="AK415" s="63" t="n">
        <f aca="false">IF(LEFT(Cockpit!$C$5,1)="A",H415,IF(CI415=1,(CL415+CJ415)/2,IF(LEFT(Cockpit!$C$5,1)="B",(CL415+AM415)/2,MAX((CL415+AM415)/2,H415))))</f>
        <v>1198</v>
      </c>
      <c r="AL415" s="62" t="n">
        <f aca="false">AK415*G415</f>
        <v>143.76</v>
      </c>
      <c r="AM415" s="62" t="n">
        <f aca="false">ROUNDUP(CL415+MAX(CM415,2*(J415/IF(CH415&gt;0,CH415,MAX(0.1,N(Cockpit!$C$6)))-CL415)),0)</f>
        <v>2086</v>
      </c>
      <c r="AN415" s="63" t="n">
        <f aca="false">IF(AJ415&gt;0,J415/AJ415,-1)</f>
        <v>248.481720430108</v>
      </c>
      <c r="AO415" s="63" t="n">
        <f aca="false">IF(AND(OR(CG415="L1",CG415="L23",CG415="LIFT"),AJ415&gt;0),SUMIFS($AJ$7:$AJ$1843,$CG$7:$CG$1843,CG415,$AN$7:$AN$1843,"&gt;"&amp;AN415)+SUMIFS($AJ$7:$AJ$1843,$CG$7:$CG$1843,CG415,$AN$7:$AN$1843,AN415,$BX$7:$BX$1843,"&lt;="&amp;BX415),"")</f>
        <v>282.619963369963</v>
      </c>
      <c r="AP415" s="70" t="n">
        <f aca="false">IF(AO415="",0,MAX(0,MIN(1,(IF(CG415="L1",Parameter!$H$5,IF(CG415="L23",Parameter!$H$6+Parameter!$H$7,Parameter!$H$5+Parameter!$H$6+Parameter!$H$7))-(AO415-AJ415))/AJ415)))</f>
        <v>1</v>
      </c>
      <c r="AQ415" s="62" t="n">
        <f aca="false">IF(LEFT(Cockpit!$I$5,1)="A",H415,IF(Parameter!$E$30="MAX-Bestand",IF(CI415=1,CJ415,IF(LEFT(Cockpit!$I$5,1)="B",AW415,MAX(AW415,H415))),ROUNDUP(AU415,0)))</f>
        <v>1198</v>
      </c>
      <c r="AR415" s="62" t="n">
        <f aca="false">IF(CA415=1,0,ROUNDUP(AQ415/BZ415,0))</f>
        <v>3</v>
      </c>
      <c r="AS415" s="64" t="n">
        <f aca="false">IF(CR415&gt;0,CR415*MAX(1,AQ415/X415),IF(CA415=1,IF(AQ415&lt;=0,0,CE415*MAX(1,IF(H415&gt;0,AQ415/H415,1))),IF(R415&gt;0,AR415/R415,0))/MAX(0.1,N(Parameter!$M$21)))</f>
        <v>0.0576923076923077</v>
      </c>
      <c r="AT415" s="62" t="n">
        <f aca="false">AS415*CC415</f>
        <v>8.94230769230769</v>
      </c>
      <c r="AU415" s="63" t="n">
        <f aca="false">IF(LEFT(Cockpit!$I$5,1)="A",H415,IF(CI415=1,(CL415+CJ415)/2,IF(LEFT(Cockpit!$I$5,1)="B",(CL415+AW415)/2,MAX((CL415+AW415)/2,H415))))</f>
        <v>1198</v>
      </c>
      <c r="AV415" s="62" t="n">
        <f aca="false">AU415*G415</f>
        <v>143.76</v>
      </c>
      <c r="AW415" s="62" t="n">
        <f aca="false">ROUNDUP(CL415+MAX(CM415,2*(J415/IF(CH415&gt;0,CH415,MAX(0.1,N(Cockpit!$I$6)))-CL415)),0)</f>
        <v>2086</v>
      </c>
      <c r="AX415" s="63" t="n">
        <f aca="false">IF(AT415&gt;0,J415/AT415,-1)</f>
        <v>248.481720430108</v>
      </c>
      <c r="AY415" s="63" t="n">
        <f aca="false">IF(AND(OR(CG415="L1",CG415="L23",CG415="LIFT"),AT415&gt;0),SUMIFS($AT$7:$AT$1843,$CG$7:$CG$1843,CG415,$AX$7:$AX$1843,"&gt;"&amp;AX415)+SUMIFS($AT$7:$AT$1843,$CG$7:$CG$1843,CG415,$AX$7:$AX$1843,AX415,$BX$7:$BX$1843,"&lt;="&amp;BX415),"")</f>
        <v>235.682234432234</v>
      </c>
      <c r="AZ415" s="70" t="n">
        <f aca="false">IF(AY415="",0,MAX(0,MIN(1,(IF(CG415="L1",Parameter!$H$5,IF(CG415="L23",Parameter!$H$6+Parameter!$H$7,Parameter!$H$5+Parameter!$H$6+Parameter!$H$7))-(AY415-AT415))/AT415)))</f>
        <v>1</v>
      </c>
      <c r="BA415" s="62" t="n">
        <f aca="false">IF(LEFT(Cockpit!$O$5,1)="A",H415,IF(Parameter!$E$30="MAX-Bestand",IF(CI415=1,CJ415,IF(LEFT(Cockpit!$O$5,1)="B",BG415,MAX(BG415,H415))),ROUNDUP(BE415,0)))</f>
        <v>1086</v>
      </c>
      <c r="BB415" s="62" t="n">
        <f aca="false">IF(CA415=1,0,ROUNDUP(BA415/BZ415,0))</f>
        <v>3</v>
      </c>
      <c r="BC415" s="64" t="n">
        <f aca="false">IF(CR415&gt;0,CR415*MAX(1,BA415/X415),IF(CA415=1,IF(BA415&lt;=0,0,CE415*MAX(1,IF(H415&gt;0,BA415/H415,1))),IF(R415&gt;0,BB415/R415,0))/MAX(0.1,N(Parameter!$M$21)))</f>
        <v>0.0576923076923077</v>
      </c>
      <c r="BD415" s="62" t="n">
        <f aca="false">BC415*CC415</f>
        <v>8.94230769230769</v>
      </c>
      <c r="BE415" s="63" t="n">
        <f aca="false">IF(LEFT(Cockpit!$O$5,1)="A",H415,IF(CI415=1,(CL415+CJ415)/2,IF(LEFT(Cockpit!$O$5,1)="B",(CL415+BG415)/2,MAX((CL415+BG415)/2,H415))))</f>
        <v>1086</v>
      </c>
      <c r="BF415" s="62" t="n">
        <f aca="false">BE415*G415</f>
        <v>130.32</v>
      </c>
      <c r="BG415" s="62" t="n">
        <f aca="false">ROUNDUP(CL415+MAX(CM415,2*(J415/IF(CH415&gt;0,CH415,MAX(0.1,N(Cockpit!$O$6)))-CL415)),0)</f>
        <v>2086</v>
      </c>
      <c r="BH415" s="63" t="n">
        <f aca="false">IF(BD415&gt;0,J415/BD415,-1)</f>
        <v>248.481720430108</v>
      </c>
      <c r="BI415" s="63" t="n">
        <f aca="false">IF(AND(OR(CG415="L1",CG415="L23",CG415="LIFT"),BD415&gt;0),SUMIFS($BD$7:$BD$1843,$CG$7:$CG$1843,CG415,$BH$7:$BH$1843,"&gt;"&amp;BH415)+SUMIFS($BD$7:$BD$1843,$CG$7:$CG$1843,CG415,$BH$7:$BH$1843,BH415,$BX$7:$BX$1843,"&lt;="&amp;BX415),"")</f>
        <v>309.83836996337</v>
      </c>
      <c r="BJ415" s="70" t="n">
        <f aca="false">IF(BI415="",0,MAX(0,MIN(1,(IF(CG415="L1",Parameter!$H$5,IF(CG415="L23",Parameter!$H$6+Parameter!$H$7,Parameter!$H$5+Parameter!$H$6+Parameter!$H$7))-(BI415-BD415))/BD415)))</f>
        <v>1</v>
      </c>
      <c r="BK415" s="60" t="str">
        <f aca="false">IF(AJ415&lt;=0,"",IF(CG415="Aussen","Aussenlager",IF(CG415="-","Nicht im Lift",IF(AP415&gt;=1,"Lift",IF(AP415&lt;=0,"Aussenlager","teilweise")))))</f>
        <v>Lift</v>
      </c>
      <c r="BL415" s="60" t="str">
        <f aca="false">IF(AT415&lt;=0,"",IF(CG415="Aussen","Aussenlager",IF(CG415="-","Nicht im Lift",IF(AZ415&gt;=1,"Lift",IF(AZ415&lt;=0,"Aussenlager","teilweise")))))</f>
        <v>Lift</v>
      </c>
      <c r="BM415" s="60" t="str">
        <f aca="false">IF(BD415&lt;=0,"",IF(CG415="Aussen","Aussenlager",IF(CG415="-","Nicht im Lift",IF(BJ415&gt;=1,"Lift",IF(BJ415&lt;=0,"Aussenlager","teilweise")))))</f>
        <v>Lift</v>
      </c>
      <c r="BN415" s="60" t="str">
        <f aca="false">IF(A415="","",IF(BW415=1,"Neu; ","")&amp;IF(AND(BW415=0,BR415&lt;0),"negativer Bestand (Export "&amp;BR415&amp;"); ","")&amp;IF(J415&lt;=0,"Kein Verbrauch; ","")&amp;IF(CR415&gt;0,"Lift "&amp;W415&amp;" lt. Liftbericht (Fach "&amp;X415&amp;" Stk); ",IF(CB415=1,"Gebinde geschätzt ("&amp;T415&amp;"); ",IF(CA415=1,"Lose – Tablare geschätzt; ","")))&amp;IF(H415&gt;AW415,"Überbestand "&amp;ROUND(H415-AW415,0)&amp;" Stk / CHF "&amp;ROUND((H415-AW415)*G415,0)&amp;"; ","")&amp;IF(AND(CI415=1,CJ415&lt;CK415),"MAX &lt; MB+LG; ","")&amp;IF(AND(CQ415&gt;0,CP415*10&gt;CQ415),"zu hoch für Tablar; ","")&amp;IF(AND(BW415=0,OR(CI415=1,AB415&lt;&gt;"",U415&lt;&gt;"",V415&lt;&gt;"",AC415&lt;&gt;"")),"manuell übersteuert; ","")&amp;IF(AND(CA415=0,R415=0),"Gebinde unbekannt / Stellmass fehlt; ","")&amp;IF(AND(CA415=0,N(V415)&lt;=0,N(Q415)&lt;=0),"Menge pro Gebinde fehlt (Ist = 1 Gebinde); ","")&amp;BV415)</f>
        <v/>
      </c>
      <c r="BO415" s="60"/>
      <c r="BP415" s="60"/>
      <c r="BQ415" s="67"/>
      <c r="BR415" s="62" t="n">
        <v>771</v>
      </c>
      <c r="BS415" s="62" t="n">
        <v>427</v>
      </c>
      <c r="BT415" s="61" t="n">
        <v>96.7300000000001</v>
      </c>
      <c r="BU415" s="62" t="n">
        <v>2222</v>
      </c>
      <c r="BV415" s="60"/>
      <c r="BW415" s="65" t="n">
        <v>0</v>
      </c>
      <c r="BX415" s="65" t="n">
        <v>415</v>
      </c>
      <c r="BY415" s="60" t="str">
        <f aca="false">IF(U415&lt;&gt;"",UPPER(TRIM(U415)),IF(CB415=1,UPPER(VLOOKUP(T415,Parameter!$I$27:$K$29,2,0)),IF(P415="","LOSE",P415)))</f>
        <v>S33</v>
      </c>
      <c r="BZ415" s="62" t="n">
        <f aca="false">IF(BY415="LOSE",1,IF(N(V415)&gt;0,V415,IF(CB415=1,MAX(1,N(VLOOKUP(T415,Parameter!$I$27:$K$29,3,0)),H415,N(N415)),IF(N(Q415)&gt;0,Q415,MAX(1,H415)))))</f>
        <v>432</v>
      </c>
      <c r="CA415" s="65" t="n">
        <f aca="false">IF(BY415="LOSE",1,0)</f>
        <v>0</v>
      </c>
      <c r="CB415" s="65" t="n">
        <f aca="false">IF(AND(U415="",OR(P415="",P415="LOSE"),T415&lt;&gt;"",N(S415)&lt;=0,ISNUMBER(MATCH(T415,Parameter!$I$27:$I$29,0))),1,0)</f>
        <v>0</v>
      </c>
      <c r="CC415" s="65" t="n">
        <f aca="false">IF(CR415&gt;0,INDEX(Parameter!$H$5:$H$7,W415)/INDEX(Parameter!$E$5:$E$7,W415),IF(AND(CA415=0,N(IFERROR(VLOOKUP(BY415,'Gebinde-Kategorie'!$A$5:$N$45,14,0),0))&gt;0),VLOOKUP(BY415,'Gebinde-Kategorie'!$A$5:$N$45,14,0)*10+Parameter!$M$23,Parameter!$M$24))</f>
        <v>155</v>
      </c>
      <c r="CD415" s="60" t="str">
        <f aca="false">IF(AND(Parameter!$B$19="Ja",E415&lt;&gt;"",ISNUMBER(MATCH(E415,Parameter!$I$35:$I$52,0))),VLOOKUP(E415,Parameter!$I$35:$J$52,2,0),IFERROR(VLOOKUP(D415,Parameter!$A$35:$C$64,2,0),"Nein"))</f>
        <v>2+3</v>
      </c>
      <c r="CE415" s="64" t="n">
        <f aca="false">IF(CA415=0,0,IF(N(S415)&gt;0,S415,IFERROR(VLOOKUP(D415,Parameter!$A$35:$C$64,3,0)+0,0)))</f>
        <v>0</v>
      </c>
      <c r="CF415" s="60" t="n">
        <f aca="false">IF(AB415&lt;&gt;"",AB415,AA415)</f>
        <v>3</v>
      </c>
      <c r="CG415" s="60" t="str">
        <f aca="false">IF(OR(CF415=1,CF415=2,CF415=3),IF(Parameter!$E$27="Ja","LIFT",IF(CF415=1,"L1","L23")),IF(CF415="Aussen","Aussen","-"))</f>
        <v>LIFT</v>
      </c>
      <c r="CH415" s="71" t="n">
        <f aca="false">IF(N(AC415)&gt;0,AC415,0)</f>
        <v>0</v>
      </c>
      <c r="CI415" s="65" t="n">
        <f aca="false">IF(ISNUMBER(AF415),1,0)</f>
        <v>0</v>
      </c>
      <c r="CJ415" s="62" t="n">
        <f aca="false">N(AF415)</f>
        <v>0</v>
      </c>
      <c r="CK415" s="62" t="n">
        <f aca="false">N(M415)+N(N415)</f>
        <v>2086</v>
      </c>
      <c r="CL415" s="62" t="n">
        <f aca="false">N(M415)</f>
        <v>86</v>
      </c>
      <c r="CM415" s="62" t="n">
        <f aca="false">N(N415)</f>
        <v>2000</v>
      </c>
      <c r="CN415" s="62" t="n">
        <f aca="false">ROUNDUP(H415/BZ415,0)</f>
        <v>3</v>
      </c>
      <c r="CO415" s="62" t="n">
        <f aca="false">ROUNDUP(CJ415/BZ415,0)</f>
        <v>0</v>
      </c>
      <c r="CP415" s="65" t="n">
        <f aca="false">IF(CA415=1,0,IFERROR(VLOOKUP(BY415,'Gebinde-Kategorie'!$A$5:$N$45,5,0)+0,0))</f>
        <v>8</v>
      </c>
      <c r="CQ415" s="65" t="n">
        <f aca="false">IFERROR(IF(OR(CF415=1,CF415=2,CF415=3),N(INDEX(Parameter!$I$5:$I$7,CF415)),0),0)</f>
        <v>0</v>
      </c>
      <c r="CR415" s="64" t="n">
        <f aca="false">IF(AND(Parameter!$B$21="Ja",ISNUMBER(W415),N(X415)&gt;0),IFERROR(N(INDEX(Parameter!$L$5:$L$7,W415))*INDEX(Parameter!$E$5:$E$7,W415)*X415/SUMIFS($X$7:$X$1843,$W$7:$W$1843,W415),0),0)</f>
        <v>0</v>
      </c>
      <c r="CS415" s="62" t="n">
        <f aca="false">IF(AND(OR(CG415="L1",CG415="L23",CG415="LIFT"),H415&gt;0),CC415*IF(CR415&gt;0,CR415*MAX(1,H415/X415),IF(CA415=1,CE415,IF(R415&gt;0,CN415/R415,0))/MAX(0.1,N(Parameter!$M$21))),"")</f>
        <v>8.94230769230769</v>
      </c>
      <c r="CT415" s="64" t="n">
        <f aca="false">IF(CS415="","",J415/H415)</f>
        <v>1.85475792988314</v>
      </c>
      <c r="CU415" s="62" t="n">
        <f aca="false">IF(CS415="","",H415*G415)</f>
        <v>143.76</v>
      </c>
      <c r="CV415" s="63" t="n">
        <f aca="false">IF(CS415="","",(CL415+ROUNDUP(CL415+MAX(CM415,2*(J415/MAX(0.1,N(Einkauf!$C$6))-CL415)),0))/2)</f>
        <v>1086</v>
      </c>
      <c r="CW415" s="62" t="n">
        <f aca="false">IF(CS415="","",MAX(0,H415-CV415)*G415)</f>
        <v>13.44</v>
      </c>
      <c r="CX415" s="62" t="n">
        <f aca="false">IF(CS415="","",CS415*MAX(0,1-CV415/H415))</f>
        <v>0.836008732502889</v>
      </c>
      <c r="CY415" s="64" t="n">
        <f aca="false">IF(CS415="","",PERCENTRANK($CS$7:$CS$1843,CS415)+PERCENTRANK($CU$7:$CU$1843,CU415)+1-PERCENTRANK($CT$7:$CT$1843,CT415))</f>
        <v>1.057</v>
      </c>
      <c r="CZ415" s="72" t="n">
        <f aca="false">IF(CS415="","",CHOOSE(MATCH(Einkauf!$C$5,Parameter!$G$23:$G$27,0),CY415,CS415,CU415,-CT415,CW415)+ROW()/1000000000)</f>
        <v>1.057000415</v>
      </c>
    </row>
    <row r="416" customFormat="false" ht="15" hidden="false" customHeight="false" outlineLevel="0" collapsed="false">
      <c r="A416" s="60" t="s">
        <v>1004</v>
      </c>
      <c r="B416" s="60" t="s">
        <v>1005</v>
      </c>
      <c r="C416" s="60" t="s">
        <v>206</v>
      </c>
      <c r="D416" s="60" t="s">
        <v>226</v>
      </c>
      <c r="E416" s="60" t="s">
        <v>227</v>
      </c>
      <c r="F416" s="60" t="s">
        <v>260</v>
      </c>
      <c r="G416" s="61" t="n">
        <v>0.56</v>
      </c>
      <c r="H416" s="62" t="n">
        <f aca="false">MAX(0,IF(AND(Parameter!$B$21="Ja",ISNUMBER(Y416)),Y416,IF(Parameter!$B$20="Jahresanfang 2025 + Export",BS416+BR416,BR416)))</f>
        <v>523</v>
      </c>
      <c r="I416" s="62" t="n">
        <f aca="false">H416*G416</f>
        <v>292.88</v>
      </c>
      <c r="J416" s="62" t="n">
        <f aca="false">BU416*Parameter!$B$18</f>
        <v>383</v>
      </c>
      <c r="K416" s="63" t="n">
        <v>255</v>
      </c>
      <c r="L416" s="64" t="n">
        <v>1.50196078431373</v>
      </c>
      <c r="M416" s="62" t="n">
        <v>22</v>
      </c>
      <c r="N416" s="62" t="n">
        <v>500</v>
      </c>
      <c r="O416" s="65" t="n">
        <v>21</v>
      </c>
      <c r="P416" s="60" t="s">
        <v>370</v>
      </c>
      <c r="Q416" s="62" t="n">
        <v>402</v>
      </c>
      <c r="R416" s="65" t="n">
        <f aca="false">IF(CA416=1,0,IFERROR(VLOOKUP(BY416,'Gebinde-Kategorie'!$A$5:$N$45,13,0)+0,0))</f>
        <v>52</v>
      </c>
      <c r="S416" s="66"/>
      <c r="T416" s="67"/>
      <c r="U416" s="67"/>
      <c r="V416" s="67"/>
      <c r="W416" s="60"/>
      <c r="X416" s="62"/>
      <c r="Y416" s="62"/>
      <c r="Z416" s="60" t="n">
        <v>3</v>
      </c>
      <c r="AA416" s="60" t="n">
        <f aca="false">IF(A416="","",IF(AND(Parameter!$B$21="Ja",ISNUMBER(W416)),W416,IF(AND(Parameter!$E$27="Ja",ISNUMBER(Z416),CD416&lt;&gt;"Nein"),Z416,IF(CD416="2+3",IF(ISNUMBER(SEARCH("grosser Artikel",BV416)),2,IFERROR(VLOOKUP(BY416,Parameter!$F$35:$G$64,2,0),2)),IF(OR(CD416="Nein",CD416=""),"-",CD416)))))</f>
        <v>3</v>
      </c>
      <c r="AB416" s="67"/>
      <c r="AC416" s="68"/>
      <c r="AD416" s="62" t="n">
        <f aca="false">AW416</f>
        <v>522</v>
      </c>
      <c r="AE416" s="62" t="n">
        <f aca="false">MAX(AW416,H416)</f>
        <v>523</v>
      </c>
      <c r="AF416" s="69"/>
      <c r="AG416" s="62" t="n">
        <f aca="false">IF(LEFT(Cockpit!$C$5,1)="A",H416,IF(Parameter!$E$30="MAX-Bestand",IF(CI416=1,CJ416,IF(LEFT(Cockpit!$C$5,1)="B",AM416,MAX(AM416,H416))),ROUNDUP(AK416,0)))</f>
        <v>523</v>
      </c>
      <c r="AH416" s="62" t="n">
        <f aca="false">IF(CA416=1,0,ROUNDUP(AG416/BZ416,0))</f>
        <v>2</v>
      </c>
      <c r="AI416" s="64" t="n">
        <f aca="false">IF(CR416&gt;0,CR416*MAX(1,AG416/X416),IF(CA416=1,IF(AG416&lt;=0,0,CE416*MAX(1,IF(H416&gt;0,AG416/H416,1))),IF(R416&gt;0,AH416/R416,0))/MAX(0.1,N(Parameter!$M$21)))</f>
        <v>0.0384615384615385</v>
      </c>
      <c r="AJ416" s="62" t="n">
        <f aca="false">AI416*CC416</f>
        <v>5.96153846153846</v>
      </c>
      <c r="AK416" s="63" t="n">
        <f aca="false">IF(LEFT(Cockpit!$C$5,1)="A",H416,IF(CI416=1,(CL416+CJ416)/2,IF(LEFT(Cockpit!$C$5,1)="B",(CL416+AM416)/2,MAX((CL416+AM416)/2,H416))))</f>
        <v>523</v>
      </c>
      <c r="AL416" s="62" t="n">
        <f aca="false">AK416*G416</f>
        <v>292.88</v>
      </c>
      <c r="AM416" s="62" t="n">
        <f aca="false">ROUNDUP(CL416+MAX(CM416,2*(J416/IF(CH416&gt;0,CH416,MAX(0.1,N(Cockpit!$C$6)))-CL416)),0)</f>
        <v>522</v>
      </c>
      <c r="AN416" s="63" t="n">
        <f aca="false">IF(AJ416&gt;0,J416/AJ416,-1)</f>
        <v>64.2451612903226</v>
      </c>
      <c r="AO416" s="63" t="n">
        <f aca="false">IF(AND(OR(CG416="L1",CG416="L23",CG416="LIFT"),AJ416&gt;0),SUMIFS($AJ$7:$AJ$1843,$CG$7:$CG$1843,CG416,$AN$7:$AN$1843,"&gt;"&amp;AN416)+SUMIFS($AJ$7:$AJ$1843,$CG$7:$CG$1843,CG416,$AN$7:$AN$1843,AN416,$BX$7:$BX$1843,"&lt;="&amp;BX416),"")</f>
        <v>952.160714285714</v>
      </c>
      <c r="AP416" s="70" t="n">
        <f aca="false">IF(AO416="",0,MAX(0,MIN(1,(IF(CG416="L1",Parameter!$H$5,IF(CG416="L23",Parameter!$H$6+Parameter!$H$7,Parameter!$H$5+Parameter!$H$6+Parameter!$H$7))-(AO416-AJ416))/AJ416)))</f>
        <v>1</v>
      </c>
      <c r="AQ416" s="62" t="n">
        <f aca="false">IF(LEFT(Cockpit!$I$5,1)="A",H416,IF(Parameter!$E$30="MAX-Bestand",IF(CI416=1,CJ416,IF(LEFT(Cockpit!$I$5,1)="B",AW416,MAX(AW416,H416))),ROUNDUP(AU416,0)))</f>
        <v>523</v>
      </c>
      <c r="AR416" s="62" t="n">
        <f aca="false">IF(CA416=1,0,ROUNDUP(AQ416/BZ416,0))</f>
        <v>2</v>
      </c>
      <c r="AS416" s="64" t="n">
        <f aca="false">IF(CR416&gt;0,CR416*MAX(1,AQ416/X416),IF(CA416=1,IF(AQ416&lt;=0,0,CE416*MAX(1,IF(H416&gt;0,AQ416/H416,1))),IF(R416&gt;0,AR416/R416,0))/MAX(0.1,N(Parameter!$M$21)))</f>
        <v>0.0384615384615385</v>
      </c>
      <c r="AT416" s="62" t="n">
        <f aca="false">AS416*CC416</f>
        <v>5.96153846153846</v>
      </c>
      <c r="AU416" s="63" t="n">
        <f aca="false">IF(LEFT(Cockpit!$I$5,1)="A",H416,IF(CI416=1,(CL416+CJ416)/2,IF(LEFT(Cockpit!$I$5,1)="B",(CL416+AW416)/2,MAX((CL416+AW416)/2,H416))))</f>
        <v>523</v>
      </c>
      <c r="AV416" s="62" t="n">
        <f aca="false">AU416*G416</f>
        <v>292.88</v>
      </c>
      <c r="AW416" s="62" t="n">
        <f aca="false">ROUNDUP(CL416+MAX(CM416,2*(J416/IF(CH416&gt;0,CH416,MAX(0.1,N(Cockpit!$I$6)))-CL416)),0)</f>
        <v>522</v>
      </c>
      <c r="AX416" s="63" t="n">
        <f aca="false">IF(AT416&gt;0,J416/AT416,-1)</f>
        <v>64.2451612903226</v>
      </c>
      <c r="AY416" s="63" t="n">
        <f aca="false">IF(AND(OR(CG416="L1",CG416="L23",CG416="LIFT"),AT416&gt;0),SUMIFS($AT$7:$AT$1843,$CG$7:$CG$1843,CG416,$AX$7:$AX$1843,"&gt;"&amp;AX416)+SUMIFS($AT$7:$AT$1843,$CG$7:$CG$1843,CG416,$AX$7:$AX$1843,AX416,$BX$7:$BX$1843,"&lt;="&amp;BX416),"")</f>
        <v>1163.96565934066</v>
      </c>
      <c r="AZ416" s="70" t="n">
        <f aca="false">IF(AY416="",0,MAX(0,MIN(1,(IF(CG416="L1",Parameter!$H$5,IF(CG416="L23",Parameter!$H$6+Parameter!$H$7,Parameter!$H$5+Parameter!$H$6+Parameter!$H$7))-(AY416-AT416))/AT416)))</f>
        <v>1</v>
      </c>
      <c r="BA416" s="62" t="n">
        <f aca="false">IF(LEFT(Cockpit!$O$5,1)="A",H416,IF(Parameter!$E$30="MAX-Bestand",IF(CI416=1,CJ416,IF(LEFT(Cockpit!$O$5,1)="B",BG416,MAX(BG416,H416))),ROUNDUP(BE416,0)))</f>
        <v>272</v>
      </c>
      <c r="BB416" s="62" t="n">
        <f aca="false">IF(CA416=1,0,ROUNDUP(BA416/BZ416,0))</f>
        <v>1</v>
      </c>
      <c r="BC416" s="64" t="n">
        <f aca="false">IF(CR416&gt;0,CR416*MAX(1,BA416/X416),IF(CA416=1,IF(BA416&lt;=0,0,CE416*MAX(1,IF(H416&gt;0,BA416/H416,1))),IF(R416&gt;0,BB416/R416,0))/MAX(0.1,N(Parameter!$M$21)))</f>
        <v>0.0192307692307692</v>
      </c>
      <c r="BD416" s="62" t="n">
        <f aca="false">BC416*CC416</f>
        <v>2.98076923076923</v>
      </c>
      <c r="BE416" s="63" t="n">
        <f aca="false">IF(LEFT(Cockpit!$O$5,1)="A",H416,IF(CI416=1,(CL416+CJ416)/2,IF(LEFT(Cockpit!$O$5,1)="B",(CL416+BG416)/2,MAX((CL416+BG416)/2,H416))))</f>
        <v>272</v>
      </c>
      <c r="BF416" s="62" t="n">
        <f aca="false">BE416*G416</f>
        <v>152.32</v>
      </c>
      <c r="BG416" s="62" t="n">
        <f aca="false">ROUNDUP(CL416+MAX(CM416,2*(J416/IF(CH416&gt;0,CH416,MAX(0.1,N(Cockpit!$O$6)))-CL416)),0)</f>
        <v>522</v>
      </c>
      <c r="BH416" s="63" t="n">
        <f aca="false">IF(BD416&gt;0,J416/BD416,-1)</f>
        <v>128.490322580645</v>
      </c>
      <c r="BI416" s="63" t="n">
        <f aca="false">IF(AND(OR(CG416="L1",CG416="L23",CG416="LIFT"),BD416&gt;0),SUMIFS($BD$7:$BD$1843,$CG$7:$CG$1843,CG416,$BH$7:$BH$1843,"&gt;"&amp;BH416)+SUMIFS($BD$7:$BD$1843,$CG$7:$CG$1843,CG416,$BH$7:$BH$1843,BH416,$BX$7:$BX$1843,"&lt;="&amp;BX416),"")</f>
        <v>769.633241758242</v>
      </c>
      <c r="BJ416" s="70" t="n">
        <f aca="false">IF(BI416="",0,MAX(0,MIN(1,(IF(CG416="L1",Parameter!$H$5,IF(CG416="L23",Parameter!$H$6+Parameter!$H$7,Parameter!$H$5+Parameter!$H$6+Parameter!$H$7))-(BI416-BD416))/BD416)))</f>
        <v>1</v>
      </c>
      <c r="BK416" s="60" t="str">
        <f aca="false">IF(AJ416&lt;=0,"",IF(CG416="Aussen","Aussenlager",IF(CG416="-","Nicht im Lift",IF(AP416&gt;=1,"Lift",IF(AP416&lt;=0,"Aussenlager","teilweise")))))</f>
        <v>Lift</v>
      </c>
      <c r="BL416" s="60" t="str">
        <f aca="false">IF(AT416&lt;=0,"",IF(CG416="Aussen","Aussenlager",IF(CG416="-","Nicht im Lift",IF(AZ416&gt;=1,"Lift",IF(AZ416&lt;=0,"Aussenlager","teilweise")))))</f>
        <v>Lift</v>
      </c>
      <c r="BM416" s="60" t="str">
        <f aca="false">IF(BD416&lt;=0,"",IF(CG416="Aussen","Aussenlager",IF(CG416="-","Nicht im Lift",IF(BJ416&gt;=1,"Lift",IF(BJ416&lt;=0,"Aussenlager","teilweise")))))</f>
        <v>Lift</v>
      </c>
      <c r="BN416" s="60" t="str">
        <f aca="false">IF(A416="","",IF(BW416=1,"Neu; ","")&amp;IF(AND(BW416=0,BR416&lt;0),"negativer Bestand (Export "&amp;BR416&amp;"); ","")&amp;IF(J416&lt;=0,"Kein Verbrauch; ","")&amp;IF(CR416&gt;0,"Lift "&amp;W416&amp;" lt. Liftbericht (Fach "&amp;X416&amp;" Stk); ",IF(CB416=1,"Gebinde geschätzt ("&amp;T416&amp;"); ",IF(CA416=1,"Lose – Tablare geschätzt; ","")))&amp;IF(H416&gt;AW416,"Überbestand "&amp;ROUND(H416-AW416,0)&amp;" Stk / CHF "&amp;ROUND((H416-AW416)*G416,0)&amp;"; ","")&amp;IF(AND(CI416=1,CJ416&lt;CK416),"MAX &lt; MB+LG; ","")&amp;IF(AND(CQ416&gt;0,CP416*10&gt;CQ416),"zu hoch für Tablar; ","")&amp;IF(AND(BW416=0,OR(CI416=1,AB416&lt;&gt;"",U416&lt;&gt;"",V416&lt;&gt;"",AC416&lt;&gt;"")),"manuell übersteuert; ","")&amp;IF(AND(CA416=0,R416=0),"Gebinde unbekannt / Stellmass fehlt; ","")&amp;IF(AND(CA416=0,N(V416)&lt;=0,N(Q416)&lt;=0),"Menge pro Gebinde fehlt (Ist = 1 Gebinde); ","")&amp;BV416)</f>
        <v>Überbestand 1 Stk / CHF 1; </v>
      </c>
      <c r="BO416" s="60"/>
      <c r="BP416" s="60"/>
      <c r="BQ416" s="67"/>
      <c r="BR416" s="62" t="n">
        <v>234</v>
      </c>
      <c r="BS416" s="62" t="n">
        <v>289</v>
      </c>
      <c r="BT416" s="61" t="n">
        <v>95.7399999999999</v>
      </c>
      <c r="BU416" s="62" t="n">
        <v>383</v>
      </c>
      <c r="BV416" s="60"/>
      <c r="BW416" s="65" t="n">
        <v>0</v>
      </c>
      <c r="BX416" s="65" t="n">
        <v>416</v>
      </c>
      <c r="BY416" s="60" t="str">
        <f aca="false">IF(U416&lt;&gt;"",UPPER(TRIM(U416)),IF(CB416=1,UPPER(VLOOKUP(T416,Parameter!$I$27:$K$29,2,0)),IF(P416="","LOSE",P416)))</f>
        <v>S41</v>
      </c>
      <c r="BZ416" s="62" t="n">
        <f aca="false">IF(BY416="LOSE",1,IF(N(V416)&gt;0,V416,IF(CB416=1,MAX(1,N(VLOOKUP(T416,Parameter!$I$27:$K$29,3,0)),H416,N(N416)),IF(N(Q416)&gt;0,Q416,MAX(1,H416)))))</f>
        <v>402</v>
      </c>
      <c r="CA416" s="65" t="n">
        <f aca="false">IF(BY416="LOSE",1,0)</f>
        <v>0</v>
      </c>
      <c r="CB416" s="65" t="n">
        <f aca="false">IF(AND(U416="",OR(P416="",P416="LOSE"),T416&lt;&gt;"",N(S416)&lt;=0,ISNUMBER(MATCH(T416,Parameter!$I$27:$I$29,0))),1,0)</f>
        <v>0</v>
      </c>
      <c r="CC416" s="65" t="n">
        <f aca="false">IF(CR416&gt;0,INDEX(Parameter!$H$5:$H$7,W416)/INDEX(Parameter!$E$5:$E$7,W416),IF(AND(CA416=0,N(IFERROR(VLOOKUP(BY416,'Gebinde-Kategorie'!$A$5:$N$45,14,0),0))&gt;0),VLOOKUP(BY416,'Gebinde-Kategorie'!$A$5:$N$45,14,0)*10+Parameter!$M$23,Parameter!$M$24))</f>
        <v>155</v>
      </c>
      <c r="CD416" s="60" t="str">
        <f aca="false">IF(AND(Parameter!$B$19="Ja",E416&lt;&gt;"",ISNUMBER(MATCH(E416,Parameter!$I$35:$I$52,0))),VLOOKUP(E416,Parameter!$I$35:$J$52,2,0),IFERROR(VLOOKUP(D416,Parameter!$A$35:$C$64,2,0),"Nein"))</f>
        <v>2+3</v>
      </c>
      <c r="CE416" s="64" t="n">
        <f aca="false">IF(CA416=0,0,IF(N(S416)&gt;0,S416,IFERROR(VLOOKUP(D416,Parameter!$A$35:$C$64,3,0)+0,0)))</f>
        <v>0</v>
      </c>
      <c r="CF416" s="60" t="n">
        <f aca="false">IF(AB416&lt;&gt;"",AB416,AA416)</f>
        <v>3</v>
      </c>
      <c r="CG416" s="60" t="str">
        <f aca="false">IF(OR(CF416=1,CF416=2,CF416=3),IF(Parameter!$E$27="Ja","LIFT",IF(CF416=1,"L1","L23")),IF(CF416="Aussen","Aussen","-"))</f>
        <v>LIFT</v>
      </c>
      <c r="CH416" s="71" t="n">
        <f aca="false">IF(N(AC416)&gt;0,AC416,0)</f>
        <v>0</v>
      </c>
      <c r="CI416" s="65" t="n">
        <f aca="false">IF(ISNUMBER(AF416),1,0)</f>
        <v>0</v>
      </c>
      <c r="CJ416" s="62" t="n">
        <f aca="false">N(AF416)</f>
        <v>0</v>
      </c>
      <c r="CK416" s="62" t="n">
        <f aca="false">N(M416)+N(N416)</f>
        <v>522</v>
      </c>
      <c r="CL416" s="62" t="n">
        <f aca="false">N(M416)</f>
        <v>22</v>
      </c>
      <c r="CM416" s="62" t="n">
        <f aca="false">N(N416)</f>
        <v>500</v>
      </c>
      <c r="CN416" s="62" t="n">
        <f aca="false">ROUNDUP(H416/BZ416,0)</f>
        <v>2</v>
      </c>
      <c r="CO416" s="62" t="n">
        <f aca="false">ROUNDUP(CJ416/BZ416,0)</f>
        <v>0</v>
      </c>
      <c r="CP416" s="65" t="n">
        <f aca="false">IF(CA416=1,0,IFERROR(VLOOKUP(BY416,'Gebinde-Kategorie'!$A$5:$N$45,5,0)+0,0))</f>
        <v>11</v>
      </c>
      <c r="CQ416" s="65" t="n">
        <f aca="false">IFERROR(IF(OR(CF416=1,CF416=2,CF416=3),N(INDEX(Parameter!$I$5:$I$7,CF416)),0),0)</f>
        <v>0</v>
      </c>
      <c r="CR416" s="64" t="n">
        <f aca="false">IF(AND(Parameter!$B$21="Ja",ISNUMBER(W416),N(X416)&gt;0),IFERROR(N(INDEX(Parameter!$L$5:$L$7,W416))*INDEX(Parameter!$E$5:$E$7,W416)*X416/SUMIFS($X$7:$X$1843,$W$7:$W$1843,W416),0),0)</f>
        <v>0</v>
      </c>
      <c r="CS416" s="62" t="n">
        <f aca="false">IF(AND(OR(CG416="L1",CG416="L23",CG416="LIFT"),H416&gt;0),CC416*IF(CR416&gt;0,CR416*MAX(1,H416/X416),IF(CA416=1,CE416,IF(R416&gt;0,CN416/R416,0))/MAX(0.1,N(Parameter!$M$21))),"")</f>
        <v>5.96153846153846</v>
      </c>
      <c r="CT416" s="64" t="n">
        <f aca="false">IF(CS416="","",J416/H416)</f>
        <v>0.732313575525813</v>
      </c>
      <c r="CU416" s="62" t="n">
        <f aca="false">IF(CS416="","",H416*G416)</f>
        <v>292.88</v>
      </c>
      <c r="CV416" s="63" t="n">
        <f aca="false">IF(CS416="","",(CL416+ROUNDUP(CL416+MAX(CM416,2*(J416/MAX(0.1,N(Einkauf!$C$6))-CL416)),0))/2)</f>
        <v>272</v>
      </c>
      <c r="CW416" s="62" t="n">
        <f aca="false">IF(CS416="","",MAX(0,H416-CV416)*G416)</f>
        <v>140.56</v>
      </c>
      <c r="CX416" s="62" t="n">
        <f aca="false">IF(CS416="","",CS416*MAX(0,1-CV416/H416))</f>
        <v>2.86108251213414</v>
      </c>
      <c r="CY416" s="64" t="n">
        <f aca="false">IF(CS416="","",PERCENTRANK($CS$7:$CS$1843,CS416)+PERCENTRANK($CU$7:$CU$1843,CU416)+1-PERCENTRANK($CT$7:$CT$1843,CT416))</f>
        <v>1.176</v>
      </c>
      <c r="CZ416" s="72" t="n">
        <f aca="false">IF(CS416="","",CHOOSE(MATCH(Einkauf!$C$5,Parameter!$G$23:$G$27,0),CY416,CS416,CU416,-CT416,CW416)+ROW()/1000000000)</f>
        <v>1.176000416</v>
      </c>
    </row>
    <row r="417" customFormat="false" ht="15" hidden="false" customHeight="false" outlineLevel="0" collapsed="false">
      <c r="A417" s="60" t="s">
        <v>1006</v>
      </c>
      <c r="B417" s="60" t="s">
        <v>1007</v>
      </c>
      <c r="C417" s="60" t="s">
        <v>206</v>
      </c>
      <c r="D417" s="60" t="s">
        <v>226</v>
      </c>
      <c r="E417" s="60" t="s">
        <v>227</v>
      </c>
      <c r="F417" s="60" t="s">
        <v>260</v>
      </c>
      <c r="G417" s="61" t="n">
        <v>19.36</v>
      </c>
      <c r="H417" s="62" t="n">
        <f aca="false">MAX(0,IF(AND(Parameter!$B$21="Ja",ISNUMBER(Y417)),Y417,IF(Parameter!$B$20="Jahresanfang 2025 + Export",BS417+BR417,BR417)))</f>
        <v>13</v>
      </c>
      <c r="I417" s="62" t="n">
        <f aca="false">H417*G417</f>
        <v>251.68</v>
      </c>
      <c r="J417" s="62" t="n">
        <f aca="false">BU417*Parameter!$B$18</f>
        <v>20</v>
      </c>
      <c r="K417" s="63" t="n">
        <v>11.5</v>
      </c>
      <c r="L417" s="64" t="n">
        <v>1.73913043478261</v>
      </c>
      <c r="M417" s="62" t="n">
        <v>1</v>
      </c>
      <c r="N417" s="62" t="n">
        <v>20</v>
      </c>
      <c r="O417" s="65" t="n">
        <v>28</v>
      </c>
      <c r="P417" s="60" t="s">
        <v>344</v>
      </c>
      <c r="Q417" s="62" t="n">
        <v>15</v>
      </c>
      <c r="R417" s="65" t="n">
        <f aca="false">IF(CA417=1,0,IFERROR(VLOOKUP(BY417,'Gebinde-Kategorie'!$A$5:$N$45,13,0)+0,0))</f>
        <v>26</v>
      </c>
      <c r="S417" s="66"/>
      <c r="T417" s="67"/>
      <c r="U417" s="67"/>
      <c r="V417" s="67"/>
      <c r="W417" s="60"/>
      <c r="X417" s="62"/>
      <c r="Y417" s="62"/>
      <c r="Z417" s="60" t="n">
        <v>3</v>
      </c>
      <c r="AA417" s="60" t="n">
        <f aca="false">IF(A417="","",IF(AND(Parameter!$B$21="Ja",ISNUMBER(W417)),W417,IF(AND(Parameter!$E$27="Ja",ISNUMBER(Z417),CD417&lt;&gt;"Nein"),Z417,IF(CD417="2+3",IF(ISNUMBER(SEARCH("grosser Artikel",BV417)),2,IFERROR(VLOOKUP(BY417,Parameter!$F$35:$G$64,2,0),2)),IF(OR(CD417="Nein",CD417=""),"-",CD417)))))</f>
        <v>3</v>
      </c>
      <c r="AB417" s="67"/>
      <c r="AC417" s="68"/>
      <c r="AD417" s="62" t="n">
        <f aca="false">AW417</f>
        <v>21</v>
      </c>
      <c r="AE417" s="62" t="n">
        <f aca="false">MAX(AW417,H417)</f>
        <v>21</v>
      </c>
      <c r="AF417" s="69"/>
      <c r="AG417" s="62" t="n">
        <f aca="false">IF(LEFT(Cockpit!$C$5,1)="A",H417,IF(Parameter!$E$30="MAX-Bestand",IF(CI417=1,CJ417,IF(LEFT(Cockpit!$C$5,1)="B",AM417,MAX(AM417,H417))),ROUNDUP(AK417,0)))</f>
        <v>13</v>
      </c>
      <c r="AH417" s="62" t="n">
        <f aca="false">IF(CA417=1,0,ROUNDUP(AG417/BZ417,0))</f>
        <v>1</v>
      </c>
      <c r="AI417" s="64" t="n">
        <f aca="false">IF(CR417&gt;0,CR417*MAX(1,AG417/X417),IF(CA417=1,IF(AG417&lt;=0,0,CE417*MAX(1,IF(H417&gt;0,AG417/H417,1))),IF(R417&gt;0,AH417/R417,0))/MAX(0.1,N(Parameter!$M$21)))</f>
        <v>0.0384615384615385</v>
      </c>
      <c r="AJ417" s="62" t="n">
        <f aca="false">AI417*CC417</f>
        <v>5.96153846153846</v>
      </c>
      <c r="AK417" s="63" t="n">
        <f aca="false">IF(LEFT(Cockpit!$C$5,1)="A",H417,IF(CI417=1,(CL417+CJ417)/2,IF(LEFT(Cockpit!$C$5,1)="B",(CL417+AM417)/2,MAX((CL417+AM417)/2,H417))))</f>
        <v>13</v>
      </c>
      <c r="AL417" s="62" t="n">
        <f aca="false">AK417*G417</f>
        <v>251.68</v>
      </c>
      <c r="AM417" s="62" t="n">
        <f aca="false">ROUNDUP(CL417+MAX(CM417,2*(J417/IF(CH417&gt;0,CH417,MAX(0.1,N(Cockpit!$C$6)))-CL417)),0)</f>
        <v>21</v>
      </c>
      <c r="AN417" s="63" t="n">
        <f aca="false">IF(AJ417&gt;0,J417/AJ417,-1)</f>
        <v>3.35483870967742</v>
      </c>
      <c r="AO417" s="63" t="n">
        <f aca="false">IF(AND(OR(CG417="L1",CG417="L23",CG417="LIFT"),AJ417&gt;0),SUMIFS($AJ$7:$AJ$1843,$CG$7:$CG$1843,CG417,$AN$7:$AN$1843,"&gt;"&amp;AN417)+SUMIFS($AJ$7:$AJ$1843,$CG$7:$CG$1843,CG417,$AN$7:$AN$1843,AN417,$BX$7:$BX$1843,"&lt;="&amp;BX417),"")</f>
        <v>4928.76098901099</v>
      </c>
      <c r="AP417" s="70" t="n">
        <f aca="false">IF(AO417="",0,MAX(0,MIN(1,(IF(CG417="L1",Parameter!$H$5,IF(CG417="L23",Parameter!$H$6+Parameter!$H$7,Parameter!$H$5+Parameter!$H$6+Parameter!$H$7))-(AO417-AJ417))/AJ417)))</f>
        <v>1</v>
      </c>
      <c r="AQ417" s="62" t="n">
        <f aca="false">IF(LEFT(Cockpit!$I$5,1)="A",H417,IF(Parameter!$E$30="MAX-Bestand",IF(CI417=1,CJ417,IF(LEFT(Cockpit!$I$5,1)="B",AW417,MAX(AW417,H417))),ROUNDUP(AU417,0)))</f>
        <v>13</v>
      </c>
      <c r="AR417" s="62" t="n">
        <f aca="false">IF(CA417=1,0,ROUNDUP(AQ417/BZ417,0))</f>
        <v>1</v>
      </c>
      <c r="AS417" s="64" t="n">
        <f aca="false">IF(CR417&gt;0,CR417*MAX(1,AQ417/X417),IF(CA417=1,IF(AQ417&lt;=0,0,CE417*MAX(1,IF(H417&gt;0,AQ417/H417,1))),IF(R417&gt;0,AR417/R417,0))/MAX(0.1,N(Parameter!$M$21)))</f>
        <v>0.0384615384615385</v>
      </c>
      <c r="AT417" s="62" t="n">
        <f aca="false">AS417*CC417</f>
        <v>5.96153846153846</v>
      </c>
      <c r="AU417" s="63" t="n">
        <f aca="false">IF(LEFT(Cockpit!$I$5,1)="A",H417,IF(CI417=1,(CL417+CJ417)/2,IF(LEFT(Cockpit!$I$5,1)="B",(CL417+AW417)/2,MAX((CL417+AW417)/2,H417))))</f>
        <v>13</v>
      </c>
      <c r="AV417" s="62" t="n">
        <f aca="false">AU417*G417</f>
        <v>251.68</v>
      </c>
      <c r="AW417" s="62" t="n">
        <f aca="false">ROUNDUP(CL417+MAX(CM417,2*(J417/IF(CH417&gt;0,CH417,MAX(0.1,N(Cockpit!$I$6)))-CL417)),0)</f>
        <v>21</v>
      </c>
      <c r="AX417" s="63" t="n">
        <f aca="false">IF(AT417&gt;0,J417/AT417,-1)</f>
        <v>3.35483870967742</v>
      </c>
      <c r="AY417" s="63" t="n">
        <f aca="false">IF(AND(OR(CG417="L1",CG417="L23",CG417="LIFT"),AT417&gt;0),SUMIFS($AT$7:$AT$1843,$CG$7:$CG$1843,CG417,$AX$7:$AX$1843,"&gt;"&amp;AX417)+SUMIFS($AT$7:$AT$1843,$CG$7:$CG$1843,CG417,$AX$7:$AX$1843,AX417,$BX$7:$BX$1843,"&lt;="&amp;BX417),"")</f>
        <v>5592.59798534799</v>
      </c>
      <c r="AZ417" s="70" t="n">
        <f aca="false">IF(AY417="",0,MAX(0,MIN(1,(IF(CG417="L1",Parameter!$H$5,IF(CG417="L23",Parameter!$H$6+Parameter!$H$7,Parameter!$H$5+Parameter!$H$6+Parameter!$H$7))-(AY417-AT417))/AT417)))</f>
        <v>1</v>
      </c>
      <c r="BA417" s="62" t="n">
        <f aca="false">IF(LEFT(Cockpit!$O$5,1)="A",H417,IF(Parameter!$E$30="MAX-Bestand",IF(CI417=1,CJ417,IF(LEFT(Cockpit!$O$5,1)="B",BG417,MAX(BG417,H417))),ROUNDUP(BE417,0)))</f>
        <v>11</v>
      </c>
      <c r="BB417" s="62" t="n">
        <f aca="false">IF(CA417=1,0,ROUNDUP(BA417/BZ417,0))</f>
        <v>1</v>
      </c>
      <c r="BC417" s="64" t="n">
        <f aca="false">IF(CR417&gt;0,CR417*MAX(1,BA417/X417),IF(CA417=1,IF(BA417&lt;=0,0,CE417*MAX(1,IF(H417&gt;0,BA417/H417,1))),IF(R417&gt;0,BB417/R417,0))/MAX(0.1,N(Parameter!$M$21)))</f>
        <v>0.0384615384615385</v>
      </c>
      <c r="BD417" s="62" t="n">
        <f aca="false">BC417*CC417</f>
        <v>5.96153846153846</v>
      </c>
      <c r="BE417" s="63" t="n">
        <f aca="false">IF(LEFT(Cockpit!$O$5,1)="A",H417,IF(CI417=1,(CL417+CJ417)/2,IF(LEFT(Cockpit!$O$5,1)="B",(CL417+BG417)/2,MAX((CL417+BG417)/2,H417))))</f>
        <v>11</v>
      </c>
      <c r="BF417" s="62" t="n">
        <f aca="false">BE417*G417</f>
        <v>212.96</v>
      </c>
      <c r="BG417" s="62" t="n">
        <f aca="false">ROUNDUP(CL417+MAX(CM417,2*(J417/IF(CH417&gt;0,CH417,MAX(0.1,N(Cockpit!$O$6)))-CL417)),0)</f>
        <v>21</v>
      </c>
      <c r="BH417" s="63" t="n">
        <f aca="false">IF(BD417&gt;0,J417/BD417,-1)</f>
        <v>3.35483870967742</v>
      </c>
      <c r="BI417" s="63" t="n">
        <f aca="false">IF(AND(OR(CG417="L1",CG417="L23",CG417="LIFT"),BD417&gt;0),SUMIFS($BD$7:$BD$1843,$CG$7:$CG$1843,CG417,$BH$7:$BH$1843,"&gt;"&amp;BH417)+SUMIFS($BD$7:$BD$1843,$CG$7:$CG$1843,CG417,$BH$7:$BH$1843,BH417,$BX$7:$BX$1843,"&lt;="&amp;BX417),"")</f>
        <v>4578.77747252747</v>
      </c>
      <c r="BJ417" s="70" t="n">
        <f aca="false">IF(BI417="",0,MAX(0,MIN(1,(IF(CG417="L1",Parameter!$H$5,IF(CG417="L23",Parameter!$H$6+Parameter!$H$7,Parameter!$H$5+Parameter!$H$6+Parameter!$H$7))-(BI417-BD417))/BD417)))</f>
        <v>1</v>
      </c>
      <c r="BK417" s="60" t="str">
        <f aca="false">IF(AJ417&lt;=0,"",IF(CG417="Aussen","Aussenlager",IF(CG417="-","Nicht im Lift",IF(AP417&gt;=1,"Lift",IF(AP417&lt;=0,"Aussenlager","teilweise")))))</f>
        <v>Lift</v>
      </c>
      <c r="BL417" s="60" t="str">
        <f aca="false">IF(AT417&lt;=0,"",IF(CG417="Aussen","Aussenlager",IF(CG417="-","Nicht im Lift",IF(AZ417&gt;=1,"Lift",IF(AZ417&lt;=0,"Aussenlager","teilweise")))))</f>
        <v>Lift</v>
      </c>
      <c r="BM417" s="60" t="str">
        <f aca="false">IF(BD417&lt;=0,"",IF(CG417="Aussen","Aussenlager",IF(CG417="-","Nicht im Lift",IF(BJ417&gt;=1,"Lift",IF(BJ417&lt;=0,"Aussenlager","teilweise")))))</f>
        <v>Lift</v>
      </c>
      <c r="BN417" s="60" t="str">
        <f aca="false">IF(A417="","",IF(BW417=1,"Neu; ","")&amp;IF(AND(BW417=0,BR417&lt;0),"negativer Bestand (Export "&amp;BR417&amp;"); ","")&amp;IF(J417&lt;=0,"Kein Verbrauch; ","")&amp;IF(CR417&gt;0,"Lift "&amp;W417&amp;" lt. Liftbericht (Fach "&amp;X417&amp;" Stk); ",IF(CB417=1,"Gebinde geschätzt ("&amp;T417&amp;"); ",IF(CA417=1,"Lose – Tablare geschätzt; ","")))&amp;IF(H417&gt;AW417,"Überbestand "&amp;ROUND(H417-AW417,0)&amp;" Stk / CHF "&amp;ROUND((H417-AW417)*G417,0)&amp;"; ","")&amp;IF(AND(CI417=1,CJ417&lt;CK417),"MAX &lt; MB+LG; ","")&amp;IF(AND(CQ417&gt;0,CP417*10&gt;CQ417),"zu hoch für Tablar; ","")&amp;IF(AND(BW417=0,OR(CI417=1,AB417&lt;&gt;"",U417&lt;&gt;"",V417&lt;&gt;"",AC417&lt;&gt;"")),"manuell übersteuert; ","")&amp;IF(AND(CA417=0,R417=0),"Gebinde unbekannt / Stellmass fehlt; ","")&amp;IF(AND(CA417=0,N(V417)&lt;=0,N(Q417)&lt;=0),"Menge pro Gebinde fehlt (Ist = 1 Gebinde); ","")&amp;BV417)</f>
        <v/>
      </c>
      <c r="BO417" s="60"/>
      <c r="BP417" s="60"/>
      <c r="BQ417" s="67"/>
      <c r="BR417" s="62" t="n">
        <v>6</v>
      </c>
      <c r="BS417" s="62" t="n">
        <v>7</v>
      </c>
      <c r="BT417" s="61" t="n">
        <v>95.2299999999999</v>
      </c>
      <c r="BU417" s="62" t="n">
        <v>20</v>
      </c>
      <c r="BV417" s="60"/>
      <c r="BW417" s="65" t="n">
        <v>0</v>
      </c>
      <c r="BX417" s="65" t="n">
        <v>417</v>
      </c>
      <c r="BY417" s="60" t="str">
        <f aca="false">IF(U417&lt;&gt;"",UPPER(TRIM(U417)),IF(CB417=1,UPPER(VLOOKUP(T417,Parameter!$I$27:$K$29,2,0)),IF(P417="","LOSE",P417)))</f>
        <v>S51</v>
      </c>
      <c r="BZ417" s="62" t="n">
        <f aca="false">IF(BY417="LOSE",1,IF(N(V417)&gt;0,V417,IF(CB417=1,MAX(1,N(VLOOKUP(T417,Parameter!$I$27:$K$29,3,0)),H417,N(N417)),IF(N(Q417)&gt;0,Q417,MAX(1,H417)))))</f>
        <v>15</v>
      </c>
      <c r="CA417" s="65" t="n">
        <f aca="false">IF(BY417="LOSE",1,0)</f>
        <v>0</v>
      </c>
      <c r="CB417" s="65" t="n">
        <f aca="false">IF(AND(U417="",OR(P417="",P417="LOSE"),T417&lt;&gt;"",N(S417)&lt;=0,ISNUMBER(MATCH(T417,Parameter!$I$27:$I$29,0))),1,0)</f>
        <v>0</v>
      </c>
      <c r="CC417" s="65" t="n">
        <f aca="false">IF(CR417&gt;0,INDEX(Parameter!$H$5:$H$7,W417)/INDEX(Parameter!$E$5:$E$7,W417),IF(AND(CA417=0,N(IFERROR(VLOOKUP(BY417,'Gebinde-Kategorie'!$A$5:$N$45,14,0),0))&gt;0),VLOOKUP(BY417,'Gebinde-Kategorie'!$A$5:$N$45,14,0)*10+Parameter!$M$23,Parameter!$M$24))</f>
        <v>155</v>
      </c>
      <c r="CD417" s="60" t="str">
        <f aca="false">IF(AND(Parameter!$B$19="Ja",E417&lt;&gt;"",ISNUMBER(MATCH(E417,Parameter!$I$35:$I$52,0))),VLOOKUP(E417,Parameter!$I$35:$J$52,2,0),IFERROR(VLOOKUP(D417,Parameter!$A$35:$C$64,2,0),"Nein"))</f>
        <v>2+3</v>
      </c>
      <c r="CE417" s="64" t="n">
        <f aca="false">IF(CA417=0,0,IF(N(S417)&gt;0,S417,IFERROR(VLOOKUP(D417,Parameter!$A$35:$C$64,3,0)+0,0)))</f>
        <v>0</v>
      </c>
      <c r="CF417" s="60" t="n">
        <f aca="false">IF(AB417&lt;&gt;"",AB417,AA417)</f>
        <v>3</v>
      </c>
      <c r="CG417" s="60" t="str">
        <f aca="false">IF(OR(CF417=1,CF417=2,CF417=3),IF(Parameter!$E$27="Ja","LIFT",IF(CF417=1,"L1","L23")),IF(CF417="Aussen","Aussen","-"))</f>
        <v>LIFT</v>
      </c>
      <c r="CH417" s="71" t="n">
        <f aca="false">IF(N(AC417)&gt;0,AC417,0)</f>
        <v>0</v>
      </c>
      <c r="CI417" s="65" t="n">
        <f aca="false">IF(ISNUMBER(AF417),1,0)</f>
        <v>0</v>
      </c>
      <c r="CJ417" s="62" t="n">
        <f aca="false">N(AF417)</f>
        <v>0</v>
      </c>
      <c r="CK417" s="62" t="n">
        <f aca="false">N(M417)+N(N417)</f>
        <v>21</v>
      </c>
      <c r="CL417" s="62" t="n">
        <f aca="false">N(M417)</f>
        <v>1</v>
      </c>
      <c r="CM417" s="62" t="n">
        <f aca="false">N(N417)</f>
        <v>20</v>
      </c>
      <c r="CN417" s="62" t="n">
        <f aca="false">ROUNDUP(H417/BZ417,0)</f>
        <v>1</v>
      </c>
      <c r="CO417" s="62" t="n">
        <f aca="false">ROUNDUP(CJ417/BZ417,0)</f>
        <v>0</v>
      </c>
      <c r="CP417" s="65" t="n">
        <f aca="false">IF(CA417=1,0,IFERROR(VLOOKUP(BY417,'Gebinde-Kategorie'!$A$5:$N$45,5,0)+0,0))</f>
        <v>11</v>
      </c>
      <c r="CQ417" s="65" t="n">
        <f aca="false">IFERROR(IF(OR(CF417=1,CF417=2,CF417=3),N(INDEX(Parameter!$I$5:$I$7,CF417)),0),0)</f>
        <v>0</v>
      </c>
      <c r="CR417" s="64" t="n">
        <f aca="false">IF(AND(Parameter!$B$21="Ja",ISNUMBER(W417),N(X417)&gt;0),IFERROR(N(INDEX(Parameter!$L$5:$L$7,W417))*INDEX(Parameter!$E$5:$E$7,W417)*X417/SUMIFS($X$7:$X$1843,$W$7:$W$1843,W417),0),0)</f>
        <v>0</v>
      </c>
      <c r="CS417" s="62" t="n">
        <f aca="false">IF(AND(OR(CG417="L1",CG417="L23",CG417="LIFT"),H417&gt;0),CC417*IF(CR417&gt;0,CR417*MAX(1,H417/X417),IF(CA417=1,CE417,IF(R417&gt;0,CN417/R417,0))/MAX(0.1,N(Parameter!$M$21))),"")</f>
        <v>5.96153846153846</v>
      </c>
      <c r="CT417" s="64" t="n">
        <f aca="false">IF(CS417="","",J417/H417)</f>
        <v>1.53846153846154</v>
      </c>
      <c r="CU417" s="62" t="n">
        <f aca="false">IF(CS417="","",H417*G417)</f>
        <v>251.68</v>
      </c>
      <c r="CV417" s="63" t="n">
        <f aca="false">IF(CS417="","",(CL417+ROUNDUP(CL417+MAX(CM417,2*(J417/MAX(0.1,N(Einkauf!$C$6))-CL417)),0))/2)</f>
        <v>11</v>
      </c>
      <c r="CW417" s="62" t="n">
        <f aca="false">IF(CS417="","",MAX(0,H417-CV417)*G417)</f>
        <v>38.72</v>
      </c>
      <c r="CX417" s="62" t="n">
        <f aca="false">IF(CS417="","",CS417*MAX(0,1-CV417/H417))</f>
        <v>0.91715976331361</v>
      </c>
      <c r="CY417" s="64" t="n">
        <f aca="false">IF(CS417="","",PERCENTRANK($CS$7:$CS$1843,CS417)+PERCENTRANK($CU$7:$CU$1843,CU417)+1-PERCENTRANK($CT$7:$CT$1843,CT417))</f>
        <v>0.967</v>
      </c>
      <c r="CZ417" s="72" t="n">
        <f aca="false">IF(CS417="","",CHOOSE(MATCH(Einkauf!$C$5,Parameter!$G$23:$G$27,0),CY417,CS417,CU417,-CT417,CW417)+ROW()/1000000000)</f>
        <v>0.967000417</v>
      </c>
    </row>
    <row r="418" customFormat="false" ht="15" hidden="false" customHeight="false" outlineLevel="0" collapsed="false">
      <c r="A418" s="60" t="s">
        <v>1008</v>
      </c>
      <c r="B418" s="60" t="s">
        <v>590</v>
      </c>
      <c r="C418" s="60" t="s">
        <v>206</v>
      </c>
      <c r="D418" s="60" t="s">
        <v>226</v>
      </c>
      <c r="E418" s="60"/>
      <c r="F418" s="60" t="s">
        <v>260</v>
      </c>
      <c r="G418" s="61" t="n">
        <v>47.27</v>
      </c>
      <c r="H418" s="62" t="n">
        <f aca="false">MAX(0,IF(AND(Parameter!$B$21="Ja",ISNUMBER(Y418)),Y418,IF(Parameter!$B$20="Jahresanfang 2025 + Export",BS418+BR418,BR418)))</f>
        <v>4</v>
      </c>
      <c r="I418" s="62" t="n">
        <f aca="false">H418*G418</f>
        <v>189.08</v>
      </c>
      <c r="J418" s="62" t="n">
        <f aca="false">BU418*Parameter!$B$18</f>
        <v>0</v>
      </c>
      <c r="K418" s="63" t="n">
        <v>3</v>
      </c>
      <c r="L418" s="64" t="n">
        <v>0</v>
      </c>
      <c r="M418" s="62" t="n">
        <v>0</v>
      </c>
      <c r="N418" s="62" t="n">
        <v>1</v>
      </c>
      <c r="O418" s="65" t="n">
        <v>28</v>
      </c>
      <c r="P418" s="60" t="s">
        <v>210</v>
      </c>
      <c r="Q418" s="62"/>
      <c r="R418" s="65" t="n">
        <f aca="false">IF(CA418=1,0,IFERROR(VLOOKUP(BY418,'Gebinde-Kategorie'!$A$5:$N$45,13,0)+0,0))</f>
        <v>26</v>
      </c>
      <c r="S418" s="66"/>
      <c r="T418" s="67" t="s">
        <v>317</v>
      </c>
      <c r="U418" s="67"/>
      <c r="V418" s="67"/>
      <c r="W418" s="60"/>
      <c r="X418" s="62"/>
      <c r="Y418" s="62"/>
      <c r="Z418" s="60" t="n">
        <v>3</v>
      </c>
      <c r="AA418" s="60" t="n">
        <f aca="false">IF(A418="","",IF(AND(Parameter!$B$21="Ja",ISNUMBER(W418)),W418,IF(AND(Parameter!$E$27="Ja",ISNUMBER(Z418),CD418&lt;&gt;"Nein"),Z418,IF(CD418="2+3",IF(ISNUMBER(SEARCH("grosser Artikel",BV418)),2,IFERROR(VLOOKUP(BY418,Parameter!$F$35:$G$64,2,0),2)),IF(OR(CD418="Nein",CD418=""),"-",CD418)))))</f>
        <v>3</v>
      </c>
      <c r="AB418" s="67"/>
      <c r="AC418" s="68"/>
      <c r="AD418" s="62" t="n">
        <f aca="false">AW418</f>
        <v>1</v>
      </c>
      <c r="AE418" s="62" t="n">
        <f aca="false">MAX(AW418,H418)</f>
        <v>4</v>
      </c>
      <c r="AF418" s="69"/>
      <c r="AG418" s="62" t="n">
        <f aca="false">IF(LEFT(Cockpit!$C$5,1)="A",H418,IF(Parameter!$E$30="MAX-Bestand",IF(CI418=1,CJ418,IF(LEFT(Cockpit!$C$5,1)="B",AM418,MAX(AM418,H418))),ROUNDUP(AK418,0)))</f>
        <v>4</v>
      </c>
      <c r="AH418" s="62" t="n">
        <f aca="false">IF(CA418=1,0,ROUNDUP(AG418/BZ418,0))</f>
        <v>1</v>
      </c>
      <c r="AI418" s="64" t="n">
        <f aca="false">IF(CR418&gt;0,CR418*MAX(1,AG418/X418),IF(CA418=1,IF(AG418&lt;=0,0,CE418*MAX(1,IF(H418&gt;0,AG418/H418,1))),IF(R418&gt;0,AH418/R418,0))/MAX(0.1,N(Parameter!$M$21)))</f>
        <v>0.0384615384615385</v>
      </c>
      <c r="AJ418" s="62" t="n">
        <f aca="false">AI418*CC418</f>
        <v>5.96153846153846</v>
      </c>
      <c r="AK418" s="63" t="n">
        <f aca="false">IF(LEFT(Cockpit!$C$5,1)="A",H418,IF(CI418=1,(CL418+CJ418)/2,IF(LEFT(Cockpit!$C$5,1)="B",(CL418+AM418)/2,MAX((CL418+AM418)/2,H418))))</f>
        <v>4</v>
      </c>
      <c r="AL418" s="62" t="n">
        <f aca="false">AK418*G418</f>
        <v>189.08</v>
      </c>
      <c r="AM418" s="62" t="n">
        <f aca="false">ROUNDUP(CL418+MAX(CM418,2*(J418/IF(CH418&gt;0,CH418,MAX(0.1,N(Cockpit!$C$6)))-CL418)),0)</f>
        <v>1</v>
      </c>
      <c r="AN418" s="63" t="n">
        <f aca="false">IF(AJ418&gt;0,J418/AJ418,-1)</f>
        <v>0</v>
      </c>
      <c r="AO418" s="63" t="n">
        <f aca="false">IF(AND(OR(CG418="L1",CG418="L23",CG418="LIFT"),AJ418&gt;0),SUMIFS($AJ$7:$AJ$1843,$CG$7:$CG$1843,CG418,$AN$7:$AN$1843,"&gt;"&amp;AN418)+SUMIFS($AJ$7:$AJ$1843,$CG$7:$CG$1843,CG418,$AN$7:$AN$1843,AN418,$BX$7:$BX$1843,"&lt;="&amp;BX418),"")</f>
        <v>28107.5775490987</v>
      </c>
      <c r="AP418" s="70" t="n">
        <f aca="false">IF(AO418="",0,MAX(0,MIN(1,(IF(CG418="L1",Parameter!$H$5,IF(CG418="L23",Parameter!$H$6+Parameter!$H$7,Parameter!$H$5+Parameter!$H$6+Parameter!$H$7))-(AO418-AJ418))/AJ418)))</f>
        <v>1</v>
      </c>
      <c r="AQ418" s="62" t="n">
        <f aca="false">IF(LEFT(Cockpit!$I$5,1)="A",H418,IF(Parameter!$E$30="MAX-Bestand",IF(CI418=1,CJ418,IF(LEFT(Cockpit!$I$5,1)="B",AW418,MAX(AW418,H418))),ROUNDUP(AU418,0)))</f>
        <v>4</v>
      </c>
      <c r="AR418" s="62" t="n">
        <f aca="false">IF(CA418=1,0,ROUNDUP(AQ418/BZ418,0))</f>
        <v>1</v>
      </c>
      <c r="AS418" s="64" t="n">
        <f aca="false">IF(CR418&gt;0,CR418*MAX(1,AQ418/X418),IF(CA418=1,IF(AQ418&lt;=0,0,CE418*MAX(1,IF(H418&gt;0,AQ418/H418,1))),IF(R418&gt;0,AR418/R418,0))/MAX(0.1,N(Parameter!$M$21)))</f>
        <v>0.0384615384615385</v>
      </c>
      <c r="AT418" s="62" t="n">
        <f aca="false">AS418*CC418</f>
        <v>5.96153846153846</v>
      </c>
      <c r="AU418" s="63" t="n">
        <f aca="false">IF(LEFT(Cockpit!$I$5,1)="A",H418,IF(CI418=1,(CL418+CJ418)/2,IF(LEFT(Cockpit!$I$5,1)="B",(CL418+AW418)/2,MAX((CL418+AW418)/2,H418))))</f>
        <v>4</v>
      </c>
      <c r="AV418" s="62" t="n">
        <f aca="false">AU418*G418</f>
        <v>189.08</v>
      </c>
      <c r="AW418" s="62" t="n">
        <f aca="false">ROUNDUP(CL418+MAX(CM418,2*(J418/IF(CH418&gt;0,CH418,MAX(0.1,N(Cockpit!$I$6)))-CL418)),0)</f>
        <v>1</v>
      </c>
      <c r="AX418" s="63" t="n">
        <f aca="false">IF(AT418&gt;0,J418/AT418,-1)</f>
        <v>0</v>
      </c>
      <c r="AY418" s="63" t="n">
        <f aca="false">IF(AND(OR(CG418="L1",CG418="L23",CG418="LIFT"),AT418&gt;0),SUMIFS($AT$7:$AT$1843,$CG$7:$CG$1843,CG418,$AX$7:$AX$1843,"&gt;"&amp;AX418)+SUMIFS($AT$7:$AT$1843,$CG$7:$CG$1843,CG418,$AX$7:$AX$1843,AX418,$BX$7:$BX$1843,"&lt;="&amp;BX418),"")</f>
        <v>33460.7261904762</v>
      </c>
      <c r="AZ418" s="70" t="n">
        <f aca="false">IF(AY418="",0,MAX(0,MIN(1,(IF(CG418="L1",Parameter!$H$5,IF(CG418="L23",Parameter!$H$6+Parameter!$H$7,Parameter!$H$5+Parameter!$H$6+Parameter!$H$7))-(AY418-AT418))/AT418)))</f>
        <v>1</v>
      </c>
      <c r="BA418" s="62" t="n">
        <f aca="false">IF(LEFT(Cockpit!$O$5,1)="A",H418,IF(Parameter!$E$30="MAX-Bestand",IF(CI418=1,CJ418,IF(LEFT(Cockpit!$O$5,1)="B",BG418,MAX(BG418,H418))),ROUNDUP(BE418,0)))</f>
        <v>1</v>
      </c>
      <c r="BB418" s="62" t="n">
        <f aca="false">IF(CA418=1,0,ROUNDUP(BA418/BZ418,0))</f>
        <v>1</v>
      </c>
      <c r="BC418" s="64" t="n">
        <f aca="false">IF(CR418&gt;0,CR418*MAX(1,BA418/X418),IF(CA418=1,IF(BA418&lt;=0,0,CE418*MAX(1,IF(H418&gt;0,BA418/H418,1))),IF(R418&gt;0,BB418/R418,0))/MAX(0.1,N(Parameter!$M$21)))</f>
        <v>0.0384615384615385</v>
      </c>
      <c r="BD418" s="62" t="n">
        <f aca="false">BC418*CC418</f>
        <v>5.96153846153846</v>
      </c>
      <c r="BE418" s="63" t="n">
        <f aca="false">IF(LEFT(Cockpit!$O$5,1)="A",H418,IF(CI418=1,(CL418+CJ418)/2,IF(LEFT(Cockpit!$O$5,1)="B",(CL418+BG418)/2,MAX((CL418+BG418)/2,H418))))</f>
        <v>0.5</v>
      </c>
      <c r="BF418" s="62" t="n">
        <f aca="false">BE418*G418</f>
        <v>23.635</v>
      </c>
      <c r="BG418" s="62" t="n">
        <f aca="false">ROUNDUP(CL418+MAX(CM418,2*(J418/IF(CH418&gt;0,CH418,MAX(0.1,N(Cockpit!$O$6)))-CL418)),0)</f>
        <v>1</v>
      </c>
      <c r="BH418" s="63" t="n">
        <f aca="false">IF(BD418&gt;0,J418/BD418,-1)</f>
        <v>0</v>
      </c>
      <c r="BI418" s="63" t="n">
        <f aca="false">IF(AND(OR(CG418="L1",CG418="L23",CG418="LIFT"),BD418&gt;0),SUMIFS($BD$7:$BD$1843,$CG$7:$CG$1843,CG418,$BH$7:$BH$1843,"&gt;"&amp;BH418)+SUMIFS($BD$7:$BD$1843,$CG$7:$CG$1843,CG418,$BH$7:$BH$1843,BH418,$BX$7:$BX$1843,"&lt;="&amp;BX418),"")</f>
        <v>27574.2631619793</v>
      </c>
      <c r="BJ418" s="70" t="n">
        <f aca="false">IF(BI418="",0,MAX(0,MIN(1,(IF(CG418="L1",Parameter!$H$5,IF(CG418="L23",Parameter!$H$6+Parameter!$H$7,Parameter!$H$5+Parameter!$H$6+Parameter!$H$7))-(BI418-BD418))/BD418)))</f>
        <v>1</v>
      </c>
      <c r="BK418" s="60" t="str">
        <f aca="false">IF(AJ418&lt;=0,"",IF(CG418="Aussen","Aussenlager",IF(CG418="-","Nicht im Lift",IF(AP418&gt;=1,"Lift",IF(AP418&lt;=0,"Aussenlager","teilweise")))))</f>
        <v>Lift</v>
      </c>
      <c r="BL418" s="60" t="str">
        <f aca="false">IF(AT418&lt;=0,"",IF(CG418="Aussen","Aussenlager",IF(CG418="-","Nicht im Lift",IF(AZ418&gt;=1,"Lift",IF(AZ418&lt;=0,"Aussenlager","teilweise")))))</f>
        <v>Lift</v>
      </c>
      <c r="BM418" s="60" t="str">
        <f aca="false">IF(BD418&lt;=0,"",IF(CG418="Aussen","Aussenlager",IF(CG418="-","Nicht im Lift",IF(BJ418&gt;=1,"Lift",IF(BJ418&lt;=0,"Aussenlager","teilweise")))))</f>
        <v>Lift</v>
      </c>
      <c r="BN418" s="60" t="str">
        <f aca="false">IF(A418="","",IF(BW418=1,"Neu; ","")&amp;IF(AND(BW418=0,BR418&lt;0),"negativer Bestand (Export "&amp;BR418&amp;"); ","")&amp;IF(J418&lt;=0,"Kein Verbrauch; ","")&amp;IF(CR418&gt;0,"Lift "&amp;W418&amp;" lt. Liftbericht (Fach "&amp;X418&amp;" Stk); ",IF(CB418=1,"Gebinde geschätzt ("&amp;T418&amp;"); ",IF(CA418=1,"Lose – Tablare geschätzt; ","")))&amp;IF(H418&gt;AW418,"Überbestand "&amp;ROUND(H418-AW418,0)&amp;" Stk / CHF "&amp;ROUND((H418-AW418)*G418,0)&amp;"; ","")&amp;IF(AND(CI418=1,CJ418&lt;CK418),"MAX &lt; MB+LG; ","")&amp;IF(AND(CQ418&gt;0,CP418*10&gt;CQ418),"zu hoch für Tablar; ","")&amp;IF(AND(BW418=0,OR(CI418=1,AB418&lt;&gt;"",U418&lt;&gt;"",V418&lt;&gt;"",AC418&lt;&gt;"")),"manuell übersteuert; ","")&amp;IF(AND(CA418=0,R418=0),"Gebinde unbekannt / Stellmass fehlt; ","")&amp;IF(AND(CA418=0,N(V418)&lt;=0,N(Q418)&lt;=0),"Menge pro Gebinde fehlt (Ist = 1 Gebinde); ","")&amp;BV418)</f>
        <v>Kein Verbrauch; Gebinde geschätzt (Klein); Überbestand 3 Stk / CHF 142; Menge pro Gebinde fehlt (Ist = 1 Gebinde); </v>
      </c>
      <c r="BO418" s="60"/>
      <c r="BP418" s="60"/>
      <c r="BQ418" s="67"/>
      <c r="BR418" s="62" t="n">
        <v>2</v>
      </c>
      <c r="BS418" s="62" t="n">
        <v>2</v>
      </c>
      <c r="BT418" s="61" t="n">
        <v>94.54</v>
      </c>
      <c r="BU418" s="62" t="n">
        <v>0</v>
      </c>
      <c r="BV418" s="60"/>
      <c r="BW418" s="65" t="n">
        <v>0</v>
      </c>
      <c r="BX418" s="65" t="n">
        <v>418</v>
      </c>
      <c r="BY418" s="60" t="str">
        <f aca="false">IF(U418&lt;&gt;"",UPPER(TRIM(U418)),IF(CB418=1,UPPER(VLOOKUP(T418,Parameter!$I$27:$K$29,2,0)),IF(P418="","LOSE",P418)))</f>
        <v>S51</v>
      </c>
      <c r="BZ418" s="62" t="n">
        <f aca="false">IF(BY418="LOSE",1,IF(N(V418)&gt;0,V418,IF(CB418=1,MAX(1,N(VLOOKUP(T418,Parameter!$I$27:$K$29,3,0)),H418,N(N418)),IF(N(Q418)&gt;0,Q418,MAX(1,H418)))))</f>
        <v>20</v>
      </c>
      <c r="CA418" s="65" t="n">
        <f aca="false">IF(BY418="LOSE",1,0)</f>
        <v>0</v>
      </c>
      <c r="CB418" s="65" t="n">
        <f aca="false">IF(AND(U418="",OR(P418="",P418="LOSE"),T418&lt;&gt;"",N(S418)&lt;=0,ISNUMBER(MATCH(T418,Parameter!$I$27:$I$29,0))),1,0)</f>
        <v>1</v>
      </c>
      <c r="CC418" s="65" t="n">
        <f aca="false">IF(CR418&gt;0,INDEX(Parameter!$H$5:$H$7,W418)/INDEX(Parameter!$E$5:$E$7,W418),IF(AND(CA418=0,N(IFERROR(VLOOKUP(BY418,'Gebinde-Kategorie'!$A$5:$N$45,14,0),0))&gt;0),VLOOKUP(BY418,'Gebinde-Kategorie'!$A$5:$N$45,14,0)*10+Parameter!$M$23,Parameter!$M$24))</f>
        <v>155</v>
      </c>
      <c r="CD418" s="60" t="str">
        <f aca="false">IF(AND(Parameter!$B$19="Ja",E418&lt;&gt;"",ISNUMBER(MATCH(E418,Parameter!$I$35:$I$52,0))),VLOOKUP(E418,Parameter!$I$35:$J$52,2,0),IFERROR(VLOOKUP(D418,Parameter!$A$35:$C$64,2,0),"Nein"))</f>
        <v>2+3</v>
      </c>
      <c r="CE418" s="64" t="n">
        <f aca="false">IF(CA418=0,0,IF(N(S418)&gt;0,S418,IFERROR(VLOOKUP(D418,Parameter!$A$35:$C$64,3,0)+0,0)))</f>
        <v>0</v>
      </c>
      <c r="CF418" s="60" t="n">
        <f aca="false">IF(AB418&lt;&gt;"",AB418,AA418)</f>
        <v>3</v>
      </c>
      <c r="CG418" s="60" t="str">
        <f aca="false">IF(OR(CF418=1,CF418=2,CF418=3),IF(Parameter!$E$27="Ja","LIFT",IF(CF418=1,"L1","L23")),IF(CF418="Aussen","Aussen","-"))</f>
        <v>LIFT</v>
      </c>
      <c r="CH418" s="71" t="n">
        <f aca="false">IF(N(AC418)&gt;0,AC418,0)</f>
        <v>0</v>
      </c>
      <c r="CI418" s="65" t="n">
        <f aca="false">IF(ISNUMBER(AF418),1,0)</f>
        <v>0</v>
      </c>
      <c r="CJ418" s="62" t="n">
        <f aca="false">N(AF418)</f>
        <v>0</v>
      </c>
      <c r="CK418" s="62" t="n">
        <f aca="false">N(M418)+N(N418)</f>
        <v>1</v>
      </c>
      <c r="CL418" s="62" t="n">
        <f aca="false">N(M418)</f>
        <v>0</v>
      </c>
      <c r="CM418" s="62" t="n">
        <f aca="false">N(N418)</f>
        <v>1</v>
      </c>
      <c r="CN418" s="62" t="n">
        <f aca="false">ROUNDUP(H418/BZ418,0)</f>
        <v>1</v>
      </c>
      <c r="CO418" s="62" t="n">
        <f aca="false">ROUNDUP(CJ418/BZ418,0)</f>
        <v>0</v>
      </c>
      <c r="CP418" s="65" t="n">
        <f aca="false">IF(CA418=1,0,IFERROR(VLOOKUP(BY418,'Gebinde-Kategorie'!$A$5:$N$45,5,0)+0,0))</f>
        <v>11</v>
      </c>
      <c r="CQ418" s="65" t="n">
        <f aca="false">IFERROR(IF(OR(CF418=1,CF418=2,CF418=3),N(INDEX(Parameter!$I$5:$I$7,CF418)),0),0)</f>
        <v>0</v>
      </c>
      <c r="CR418" s="64" t="n">
        <f aca="false">IF(AND(Parameter!$B$21="Ja",ISNUMBER(W418),N(X418)&gt;0),IFERROR(N(INDEX(Parameter!$L$5:$L$7,W418))*INDEX(Parameter!$E$5:$E$7,W418)*X418/SUMIFS($X$7:$X$1843,$W$7:$W$1843,W418),0),0)</f>
        <v>0</v>
      </c>
      <c r="CS418" s="62" t="n">
        <f aca="false">IF(AND(OR(CG418="L1",CG418="L23",CG418="LIFT"),H418&gt;0),CC418*IF(CR418&gt;0,CR418*MAX(1,H418/X418),IF(CA418=1,CE418,IF(R418&gt;0,CN418/R418,0))/MAX(0.1,N(Parameter!$M$21))),"")</f>
        <v>5.96153846153846</v>
      </c>
      <c r="CT418" s="64" t="n">
        <f aca="false">IF(CS418="","",J418/H418)</f>
        <v>0</v>
      </c>
      <c r="CU418" s="62" t="n">
        <f aca="false">IF(CS418="","",H418*G418)</f>
        <v>189.08</v>
      </c>
      <c r="CV418" s="63" t="n">
        <f aca="false">IF(CS418="","",(CL418+ROUNDUP(CL418+MAX(CM418,2*(J418/MAX(0.1,N(Einkauf!$C$6))-CL418)),0))/2)</f>
        <v>0.5</v>
      </c>
      <c r="CW418" s="62" t="n">
        <f aca="false">IF(CS418="","",MAX(0,H418-CV418)*G418)</f>
        <v>165.445</v>
      </c>
      <c r="CX418" s="62" t="n">
        <f aca="false">IF(CS418="","",CS418*MAX(0,1-CV418/H418))</f>
        <v>5.21634615384615</v>
      </c>
      <c r="CY418" s="64" t="n">
        <f aca="false">IF(CS418="","",PERCENTRANK($CS$7:$CS$1843,CS418)+PERCENTRANK($CU$7:$CU$1843,CU418)+1-PERCENTRANK($CT$7:$CT$1843,CT418))</f>
        <v>1.689</v>
      </c>
      <c r="CZ418" s="72" t="n">
        <f aca="false">IF(CS418="","",CHOOSE(MATCH(Einkauf!$C$5,Parameter!$G$23:$G$27,0),CY418,CS418,CU418,-CT418,CW418)+ROW()/1000000000)</f>
        <v>1.689000418</v>
      </c>
    </row>
    <row r="419" customFormat="false" ht="15" hidden="false" customHeight="false" outlineLevel="0" collapsed="false">
      <c r="A419" s="60" t="s">
        <v>1009</v>
      </c>
      <c r="B419" s="60" t="s">
        <v>510</v>
      </c>
      <c r="C419" s="60" t="s">
        <v>206</v>
      </c>
      <c r="D419" s="60" t="s">
        <v>215</v>
      </c>
      <c r="E419" s="60"/>
      <c r="F419" s="60" t="s">
        <v>260</v>
      </c>
      <c r="G419" s="61" t="n">
        <v>0.45</v>
      </c>
      <c r="H419" s="62" t="n">
        <f aca="false">MAX(0,IF(AND(Parameter!$B$21="Ja",ISNUMBER(Y419)),Y419,IF(Parameter!$B$20="Jahresanfang 2025 + Export",BS419+BR419,BR419)))</f>
        <v>210</v>
      </c>
      <c r="I419" s="62" t="n">
        <f aca="false">H419*G419</f>
        <v>94.5</v>
      </c>
      <c r="J419" s="62" t="n">
        <f aca="false">BU419*Parameter!$B$18</f>
        <v>20</v>
      </c>
      <c r="K419" s="63" t="n">
        <v>0</v>
      </c>
      <c r="L419" s="64" t="n">
        <v>0</v>
      </c>
      <c r="M419" s="62" t="n">
        <v>1</v>
      </c>
      <c r="N419" s="62" t="n">
        <v>20</v>
      </c>
      <c r="O419" s="65" t="n">
        <v>31</v>
      </c>
      <c r="P419" s="60" t="s">
        <v>210</v>
      </c>
      <c r="Q419" s="62"/>
      <c r="R419" s="65" t="n">
        <f aca="false">IF(CA419=1,0,IFERROR(VLOOKUP(BY419,'Gebinde-Kategorie'!$A$5:$N$45,13,0)+0,0))</f>
        <v>26</v>
      </c>
      <c r="S419" s="66"/>
      <c r="T419" s="67" t="s">
        <v>317</v>
      </c>
      <c r="U419" s="67"/>
      <c r="V419" s="67"/>
      <c r="W419" s="60"/>
      <c r="X419" s="62"/>
      <c r="Y419" s="62"/>
      <c r="Z419" s="60" t="n">
        <v>3</v>
      </c>
      <c r="AA419" s="60" t="n">
        <f aca="false">IF(A419="","",IF(AND(Parameter!$B$21="Ja",ISNUMBER(W419)),W419,IF(AND(Parameter!$E$27="Ja",ISNUMBER(Z419),CD419&lt;&gt;"Nein"),Z419,IF(CD419="2+3",IF(ISNUMBER(SEARCH("grosser Artikel",BV419)),2,IFERROR(VLOOKUP(BY419,Parameter!$F$35:$G$64,2,0),2)),IF(OR(CD419="Nein",CD419=""),"-",CD419)))))</f>
        <v>3</v>
      </c>
      <c r="AB419" s="67"/>
      <c r="AC419" s="68"/>
      <c r="AD419" s="62" t="n">
        <f aca="false">AW419</f>
        <v>21</v>
      </c>
      <c r="AE419" s="62" t="n">
        <f aca="false">MAX(AW419,H419)</f>
        <v>210</v>
      </c>
      <c r="AF419" s="69"/>
      <c r="AG419" s="62" t="n">
        <f aca="false">IF(LEFT(Cockpit!$C$5,1)="A",H419,IF(Parameter!$E$30="MAX-Bestand",IF(CI419=1,CJ419,IF(LEFT(Cockpit!$C$5,1)="B",AM419,MAX(AM419,H419))),ROUNDUP(AK419,0)))</f>
        <v>210</v>
      </c>
      <c r="AH419" s="62" t="n">
        <f aca="false">IF(CA419=1,0,ROUNDUP(AG419/BZ419,0))</f>
        <v>1</v>
      </c>
      <c r="AI419" s="64" t="n">
        <f aca="false">IF(CR419&gt;0,CR419*MAX(1,AG419/X419),IF(CA419=1,IF(AG419&lt;=0,0,CE419*MAX(1,IF(H419&gt;0,AG419/H419,1))),IF(R419&gt;0,AH419/R419,0))/MAX(0.1,N(Parameter!$M$21)))</f>
        <v>0.0384615384615385</v>
      </c>
      <c r="AJ419" s="62" t="n">
        <f aca="false">AI419*CC419</f>
        <v>5.96153846153846</v>
      </c>
      <c r="AK419" s="63" t="n">
        <f aca="false">IF(LEFT(Cockpit!$C$5,1)="A",H419,IF(CI419=1,(CL419+CJ419)/2,IF(LEFT(Cockpit!$C$5,1)="B",(CL419+AM419)/2,MAX((CL419+AM419)/2,H419))))</f>
        <v>210</v>
      </c>
      <c r="AL419" s="62" t="n">
        <f aca="false">AK419*G419</f>
        <v>94.5</v>
      </c>
      <c r="AM419" s="62" t="n">
        <f aca="false">ROUNDUP(CL419+MAX(CM419,2*(J419/IF(CH419&gt;0,CH419,MAX(0.1,N(Cockpit!$C$6)))-CL419)),0)</f>
        <v>21</v>
      </c>
      <c r="AN419" s="63" t="n">
        <f aca="false">IF(AJ419&gt;0,J419/AJ419,-1)</f>
        <v>3.35483870967742</v>
      </c>
      <c r="AO419" s="63" t="n">
        <f aca="false">IF(AND(OR(CG419="L1",CG419="L23",CG419="LIFT"),AJ419&gt;0),SUMIFS($AJ$7:$AJ$1843,$CG$7:$CG$1843,CG419,$AN$7:$AN$1843,"&gt;"&amp;AN419)+SUMIFS($AJ$7:$AJ$1843,$CG$7:$CG$1843,CG419,$AN$7:$AN$1843,AN419,$BX$7:$BX$1843,"&lt;="&amp;BX419),"")</f>
        <v>4934.72252747253</v>
      </c>
      <c r="AP419" s="70" t="n">
        <f aca="false">IF(AO419="",0,MAX(0,MIN(1,(IF(CG419="L1",Parameter!$H$5,IF(CG419="L23",Parameter!$H$6+Parameter!$H$7,Parameter!$H$5+Parameter!$H$6+Parameter!$H$7))-(AO419-AJ419))/AJ419)))</f>
        <v>1</v>
      </c>
      <c r="AQ419" s="62" t="n">
        <f aca="false">IF(LEFT(Cockpit!$I$5,1)="A",H419,IF(Parameter!$E$30="MAX-Bestand",IF(CI419=1,CJ419,IF(LEFT(Cockpit!$I$5,1)="B",AW419,MAX(AW419,H419))),ROUNDUP(AU419,0)))</f>
        <v>210</v>
      </c>
      <c r="AR419" s="62" t="n">
        <f aca="false">IF(CA419=1,0,ROUNDUP(AQ419/BZ419,0))</f>
        <v>1</v>
      </c>
      <c r="AS419" s="64" t="n">
        <f aca="false">IF(CR419&gt;0,CR419*MAX(1,AQ419/X419),IF(CA419=1,IF(AQ419&lt;=0,0,CE419*MAX(1,IF(H419&gt;0,AQ419/H419,1))),IF(R419&gt;0,AR419/R419,0))/MAX(0.1,N(Parameter!$M$21)))</f>
        <v>0.0384615384615385</v>
      </c>
      <c r="AT419" s="62" t="n">
        <f aca="false">AS419*CC419</f>
        <v>5.96153846153846</v>
      </c>
      <c r="AU419" s="63" t="n">
        <f aca="false">IF(LEFT(Cockpit!$I$5,1)="A",H419,IF(CI419=1,(CL419+CJ419)/2,IF(LEFT(Cockpit!$I$5,1)="B",(CL419+AW419)/2,MAX((CL419+AW419)/2,H419))))</f>
        <v>210</v>
      </c>
      <c r="AV419" s="62" t="n">
        <f aca="false">AU419*G419</f>
        <v>94.5</v>
      </c>
      <c r="AW419" s="62" t="n">
        <f aca="false">ROUNDUP(CL419+MAX(CM419,2*(J419/IF(CH419&gt;0,CH419,MAX(0.1,N(Cockpit!$I$6)))-CL419)),0)</f>
        <v>21</v>
      </c>
      <c r="AX419" s="63" t="n">
        <f aca="false">IF(AT419&gt;0,J419/AT419,-1)</f>
        <v>3.35483870967742</v>
      </c>
      <c r="AY419" s="63" t="n">
        <f aca="false">IF(AND(OR(CG419="L1",CG419="L23",CG419="LIFT"),AT419&gt;0),SUMIFS($AT$7:$AT$1843,$CG$7:$CG$1843,CG419,$AX$7:$AX$1843,"&gt;"&amp;AX419)+SUMIFS($AT$7:$AT$1843,$CG$7:$CG$1843,CG419,$AX$7:$AX$1843,AX419,$BX$7:$BX$1843,"&lt;="&amp;BX419),"")</f>
        <v>5598.55952380952</v>
      </c>
      <c r="AZ419" s="70" t="n">
        <f aca="false">IF(AY419="",0,MAX(0,MIN(1,(IF(CG419="L1",Parameter!$H$5,IF(CG419="L23",Parameter!$H$6+Parameter!$H$7,Parameter!$H$5+Parameter!$H$6+Parameter!$H$7))-(AY419-AT419))/AT419)))</f>
        <v>1</v>
      </c>
      <c r="BA419" s="62" t="n">
        <f aca="false">IF(LEFT(Cockpit!$O$5,1)="A",H419,IF(Parameter!$E$30="MAX-Bestand",IF(CI419=1,CJ419,IF(LEFT(Cockpit!$O$5,1)="B",BG419,MAX(BG419,H419))),ROUNDUP(BE419,0)))</f>
        <v>11</v>
      </c>
      <c r="BB419" s="62" t="n">
        <f aca="false">IF(CA419=1,0,ROUNDUP(BA419/BZ419,0))</f>
        <v>1</v>
      </c>
      <c r="BC419" s="64" t="n">
        <f aca="false">IF(CR419&gt;0,CR419*MAX(1,BA419/X419),IF(CA419=1,IF(BA419&lt;=0,0,CE419*MAX(1,IF(H419&gt;0,BA419/H419,1))),IF(R419&gt;0,BB419/R419,0))/MAX(0.1,N(Parameter!$M$21)))</f>
        <v>0.0384615384615385</v>
      </c>
      <c r="BD419" s="62" t="n">
        <f aca="false">BC419*CC419</f>
        <v>5.96153846153846</v>
      </c>
      <c r="BE419" s="63" t="n">
        <f aca="false">IF(LEFT(Cockpit!$O$5,1)="A",H419,IF(CI419=1,(CL419+CJ419)/2,IF(LEFT(Cockpit!$O$5,1)="B",(CL419+BG419)/2,MAX((CL419+BG419)/2,H419))))</f>
        <v>11</v>
      </c>
      <c r="BF419" s="62" t="n">
        <f aca="false">BE419*G419</f>
        <v>4.95</v>
      </c>
      <c r="BG419" s="62" t="n">
        <f aca="false">ROUNDUP(CL419+MAX(CM419,2*(J419/IF(CH419&gt;0,CH419,MAX(0.1,N(Cockpit!$O$6)))-CL419)),0)</f>
        <v>21</v>
      </c>
      <c r="BH419" s="63" t="n">
        <f aca="false">IF(BD419&gt;0,J419/BD419,-1)</f>
        <v>3.35483870967742</v>
      </c>
      <c r="BI419" s="63" t="n">
        <f aca="false">IF(AND(OR(CG419="L1",CG419="L23",CG419="LIFT"),BD419&gt;0),SUMIFS($BD$7:$BD$1843,$CG$7:$CG$1843,CG419,$BH$7:$BH$1843,"&gt;"&amp;BH419)+SUMIFS($BD$7:$BD$1843,$CG$7:$CG$1843,CG419,$BH$7:$BH$1843,BH419,$BX$7:$BX$1843,"&lt;="&amp;BX419),"")</f>
        <v>4584.73901098901</v>
      </c>
      <c r="BJ419" s="70" t="n">
        <f aca="false">IF(BI419="",0,MAX(0,MIN(1,(IF(CG419="L1",Parameter!$H$5,IF(CG419="L23",Parameter!$H$6+Parameter!$H$7,Parameter!$H$5+Parameter!$H$6+Parameter!$H$7))-(BI419-BD419))/BD419)))</f>
        <v>1</v>
      </c>
      <c r="BK419" s="60" t="str">
        <f aca="false">IF(AJ419&lt;=0,"",IF(CG419="Aussen","Aussenlager",IF(CG419="-","Nicht im Lift",IF(AP419&gt;=1,"Lift",IF(AP419&lt;=0,"Aussenlager","teilweise")))))</f>
        <v>Lift</v>
      </c>
      <c r="BL419" s="60" t="str">
        <f aca="false">IF(AT419&lt;=0,"",IF(CG419="Aussen","Aussenlager",IF(CG419="-","Nicht im Lift",IF(AZ419&gt;=1,"Lift",IF(AZ419&lt;=0,"Aussenlager","teilweise")))))</f>
        <v>Lift</v>
      </c>
      <c r="BM419" s="60" t="str">
        <f aca="false">IF(BD419&lt;=0,"",IF(CG419="Aussen","Aussenlager",IF(CG419="-","Nicht im Lift",IF(BJ419&gt;=1,"Lift",IF(BJ419&lt;=0,"Aussenlager","teilweise")))))</f>
        <v>Lift</v>
      </c>
      <c r="BN419" s="60" t="str">
        <f aca="false">IF(A419="","",IF(BW419=1,"Neu; ","")&amp;IF(AND(BW419=0,BR419&lt;0),"negativer Bestand (Export "&amp;BR419&amp;"); ","")&amp;IF(J419&lt;=0,"Kein Verbrauch; ","")&amp;IF(CR419&gt;0,"Lift "&amp;W419&amp;" lt. Liftbericht (Fach "&amp;X419&amp;" Stk); ",IF(CB419=1,"Gebinde geschätzt ("&amp;T419&amp;"); ",IF(CA419=1,"Lose – Tablare geschätzt; ","")))&amp;IF(H419&gt;AW419,"Überbestand "&amp;ROUND(H419-AW419,0)&amp;" Stk / CHF "&amp;ROUND((H419-AW419)*G419,0)&amp;"; ","")&amp;IF(AND(CI419=1,CJ419&lt;CK419),"MAX &lt; MB+LG; ","")&amp;IF(AND(CQ419&gt;0,CP419*10&gt;CQ419),"zu hoch für Tablar; ","")&amp;IF(AND(BW419=0,OR(CI419=1,AB419&lt;&gt;"",U419&lt;&gt;"",V419&lt;&gt;"",AC419&lt;&gt;"")),"manuell übersteuert; ","")&amp;IF(AND(CA419=0,R419=0),"Gebinde unbekannt / Stellmass fehlt; ","")&amp;IF(AND(CA419=0,N(V419)&lt;=0,N(Q419)&lt;=0),"Menge pro Gebinde fehlt (Ist = 1 Gebinde); ","")&amp;BV419)</f>
        <v>Gebinde geschätzt (Klein); Überbestand 189 Stk / CHF 85; Menge pro Gebinde fehlt (Ist = 1 Gebinde); </v>
      </c>
      <c r="BO419" s="60"/>
      <c r="BP419" s="60"/>
      <c r="BQ419" s="67"/>
      <c r="BR419" s="62" t="n">
        <v>210</v>
      </c>
      <c r="BS419" s="62" t="n">
        <v>0</v>
      </c>
      <c r="BT419" s="61" t="n">
        <v>94.5</v>
      </c>
      <c r="BU419" s="62" t="n">
        <v>20</v>
      </c>
      <c r="BV419" s="60"/>
      <c r="BW419" s="65" t="n">
        <v>0</v>
      </c>
      <c r="BX419" s="65" t="n">
        <v>419</v>
      </c>
      <c r="BY419" s="60" t="str">
        <f aca="false">IF(U419&lt;&gt;"",UPPER(TRIM(U419)),IF(CB419=1,UPPER(VLOOKUP(T419,Parameter!$I$27:$K$29,2,0)),IF(P419="","LOSE",P419)))</f>
        <v>S51</v>
      </c>
      <c r="BZ419" s="62" t="n">
        <f aca="false">IF(BY419="LOSE",1,IF(N(V419)&gt;0,V419,IF(CB419=1,MAX(1,N(VLOOKUP(T419,Parameter!$I$27:$K$29,3,0)),H419,N(N419)),IF(N(Q419)&gt;0,Q419,MAX(1,H419)))))</f>
        <v>210</v>
      </c>
      <c r="CA419" s="65" t="n">
        <f aca="false">IF(BY419="LOSE",1,0)</f>
        <v>0</v>
      </c>
      <c r="CB419" s="65" t="n">
        <f aca="false">IF(AND(U419="",OR(P419="",P419="LOSE"),T419&lt;&gt;"",N(S419)&lt;=0,ISNUMBER(MATCH(T419,Parameter!$I$27:$I$29,0))),1,0)</f>
        <v>1</v>
      </c>
      <c r="CC419" s="65" t="n">
        <f aca="false">IF(CR419&gt;0,INDEX(Parameter!$H$5:$H$7,W419)/INDEX(Parameter!$E$5:$E$7,W419),IF(AND(CA419=0,N(IFERROR(VLOOKUP(BY419,'Gebinde-Kategorie'!$A$5:$N$45,14,0),0))&gt;0),VLOOKUP(BY419,'Gebinde-Kategorie'!$A$5:$N$45,14,0)*10+Parameter!$M$23,Parameter!$M$24))</f>
        <v>155</v>
      </c>
      <c r="CD419" s="60" t="str">
        <f aca="false">IF(AND(Parameter!$B$19="Ja",E419&lt;&gt;"",ISNUMBER(MATCH(E419,Parameter!$I$35:$I$52,0))),VLOOKUP(E419,Parameter!$I$35:$J$52,2,0),IFERROR(VLOOKUP(D419,Parameter!$A$35:$C$64,2,0),"Nein"))</f>
        <v>2+3</v>
      </c>
      <c r="CE419" s="64" t="n">
        <f aca="false">IF(CA419=0,0,IF(N(S419)&gt;0,S419,IFERROR(VLOOKUP(D419,Parameter!$A$35:$C$64,3,0)+0,0)))</f>
        <v>0</v>
      </c>
      <c r="CF419" s="60" t="n">
        <f aca="false">IF(AB419&lt;&gt;"",AB419,AA419)</f>
        <v>3</v>
      </c>
      <c r="CG419" s="60" t="str">
        <f aca="false">IF(OR(CF419=1,CF419=2,CF419=3),IF(Parameter!$E$27="Ja","LIFT",IF(CF419=1,"L1","L23")),IF(CF419="Aussen","Aussen","-"))</f>
        <v>LIFT</v>
      </c>
      <c r="CH419" s="71" t="n">
        <f aca="false">IF(N(AC419)&gt;0,AC419,0)</f>
        <v>0</v>
      </c>
      <c r="CI419" s="65" t="n">
        <f aca="false">IF(ISNUMBER(AF419),1,0)</f>
        <v>0</v>
      </c>
      <c r="CJ419" s="62" t="n">
        <f aca="false">N(AF419)</f>
        <v>0</v>
      </c>
      <c r="CK419" s="62" t="n">
        <f aca="false">N(M419)+N(N419)</f>
        <v>21</v>
      </c>
      <c r="CL419" s="62" t="n">
        <f aca="false">N(M419)</f>
        <v>1</v>
      </c>
      <c r="CM419" s="62" t="n">
        <f aca="false">N(N419)</f>
        <v>20</v>
      </c>
      <c r="CN419" s="62" t="n">
        <f aca="false">ROUNDUP(H419/BZ419,0)</f>
        <v>1</v>
      </c>
      <c r="CO419" s="62" t="n">
        <f aca="false">ROUNDUP(CJ419/BZ419,0)</f>
        <v>0</v>
      </c>
      <c r="CP419" s="65" t="n">
        <f aca="false">IF(CA419=1,0,IFERROR(VLOOKUP(BY419,'Gebinde-Kategorie'!$A$5:$N$45,5,0)+0,0))</f>
        <v>11</v>
      </c>
      <c r="CQ419" s="65" t="n">
        <f aca="false">IFERROR(IF(OR(CF419=1,CF419=2,CF419=3),N(INDEX(Parameter!$I$5:$I$7,CF419)),0),0)</f>
        <v>0</v>
      </c>
      <c r="CR419" s="64" t="n">
        <f aca="false">IF(AND(Parameter!$B$21="Ja",ISNUMBER(W419),N(X419)&gt;0),IFERROR(N(INDEX(Parameter!$L$5:$L$7,W419))*INDEX(Parameter!$E$5:$E$7,W419)*X419/SUMIFS($X$7:$X$1843,$W$7:$W$1843,W419),0),0)</f>
        <v>0</v>
      </c>
      <c r="CS419" s="62" t="n">
        <f aca="false">IF(AND(OR(CG419="L1",CG419="L23",CG419="LIFT"),H419&gt;0),CC419*IF(CR419&gt;0,CR419*MAX(1,H419/X419),IF(CA419=1,CE419,IF(R419&gt;0,CN419/R419,0))/MAX(0.1,N(Parameter!$M$21))),"")</f>
        <v>5.96153846153846</v>
      </c>
      <c r="CT419" s="64" t="n">
        <f aca="false">IF(CS419="","",J419/H419)</f>
        <v>0.0952380952380952</v>
      </c>
      <c r="CU419" s="62" t="n">
        <f aca="false">IF(CS419="","",H419*G419)</f>
        <v>94.5</v>
      </c>
      <c r="CV419" s="63" t="n">
        <f aca="false">IF(CS419="","",(CL419+ROUNDUP(CL419+MAX(CM419,2*(J419/MAX(0.1,N(Einkauf!$C$6))-CL419)),0))/2)</f>
        <v>11</v>
      </c>
      <c r="CW419" s="62" t="n">
        <f aca="false">IF(CS419="","",MAX(0,H419-CV419)*G419)</f>
        <v>89.55</v>
      </c>
      <c r="CX419" s="62" t="n">
        <f aca="false">IF(CS419="","",CS419*MAX(0,1-CV419/H419))</f>
        <v>5.6492673992674</v>
      </c>
      <c r="CY419" s="64" t="n">
        <f aca="false">IF(CS419="","",PERCENTRANK($CS$7:$CS$1843,CS419)+PERCENTRANK($CU$7:$CU$1843,CU419)+1-PERCENTRANK($CT$7:$CT$1843,CT419))</f>
        <v>1.155</v>
      </c>
      <c r="CZ419" s="72" t="n">
        <f aca="false">IF(CS419="","",CHOOSE(MATCH(Einkauf!$C$5,Parameter!$G$23:$G$27,0),CY419,CS419,CU419,-CT419,CW419)+ROW()/1000000000)</f>
        <v>1.155000419</v>
      </c>
    </row>
    <row r="420" customFormat="false" ht="15" hidden="false" customHeight="false" outlineLevel="0" collapsed="false">
      <c r="A420" s="60" t="s">
        <v>1010</v>
      </c>
      <c r="B420" s="60" t="s">
        <v>447</v>
      </c>
      <c r="C420" s="60" t="s">
        <v>206</v>
      </c>
      <c r="D420" s="60" t="s">
        <v>226</v>
      </c>
      <c r="E420" s="60"/>
      <c r="F420" s="60" t="s">
        <v>260</v>
      </c>
      <c r="G420" s="61" t="n">
        <v>0.47</v>
      </c>
      <c r="H420" s="62" t="n">
        <f aca="false">MAX(0,IF(AND(Parameter!$B$21="Ja",ISNUMBER(Y420)),Y420,IF(Parameter!$B$20="Jahresanfang 2025 + Export",BS420+BR420,BR420)))</f>
        <v>200</v>
      </c>
      <c r="I420" s="62" t="n">
        <f aca="false">H420*G420</f>
        <v>94</v>
      </c>
      <c r="J420" s="62" t="n">
        <f aca="false">BU420*Parameter!$B$18</f>
        <v>180</v>
      </c>
      <c r="K420" s="63" t="n">
        <v>10</v>
      </c>
      <c r="L420" s="64" t="n">
        <v>18</v>
      </c>
      <c r="M420" s="62" t="n">
        <v>7</v>
      </c>
      <c r="N420" s="62" t="n">
        <v>200</v>
      </c>
      <c r="O420" s="65" t="n">
        <v>14</v>
      </c>
      <c r="P420" s="60" t="s">
        <v>370</v>
      </c>
      <c r="Q420" s="62" t="n">
        <v>100</v>
      </c>
      <c r="R420" s="65" t="n">
        <f aca="false">IF(CA420=1,0,IFERROR(VLOOKUP(BY420,'Gebinde-Kategorie'!$A$5:$N$45,13,0)+0,0))</f>
        <v>52</v>
      </c>
      <c r="S420" s="66"/>
      <c r="T420" s="67"/>
      <c r="U420" s="67"/>
      <c r="V420" s="67"/>
      <c r="W420" s="60"/>
      <c r="X420" s="62"/>
      <c r="Y420" s="62"/>
      <c r="Z420" s="60" t="n">
        <v>3</v>
      </c>
      <c r="AA420" s="60" t="n">
        <f aca="false">IF(A420="","",IF(AND(Parameter!$B$21="Ja",ISNUMBER(W420)),W420,IF(AND(Parameter!$E$27="Ja",ISNUMBER(Z420),CD420&lt;&gt;"Nein"),Z420,IF(CD420="2+3",IF(ISNUMBER(SEARCH("grosser Artikel",BV420)),2,IFERROR(VLOOKUP(BY420,Parameter!$F$35:$G$64,2,0),2)),IF(OR(CD420="Nein",CD420=""),"-",CD420)))))</f>
        <v>3</v>
      </c>
      <c r="AB420" s="67"/>
      <c r="AC420" s="68"/>
      <c r="AD420" s="62" t="n">
        <f aca="false">AW420</f>
        <v>207</v>
      </c>
      <c r="AE420" s="62" t="n">
        <f aca="false">MAX(AW420,H420)</f>
        <v>207</v>
      </c>
      <c r="AF420" s="69"/>
      <c r="AG420" s="62" t="n">
        <f aca="false">IF(LEFT(Cockpit!$C$5,1)="A",H420,IF(Parameter!$E$30="MAX-Bestand",IF(CI420=1,CJ420,IF(LEFT(Cockpit!$C$5,1)="B",AM420,MAX(AM420,H420))),ROUNDUP(AK420,0)))</f>
        <v>200</v>
      </c>
      <c r="AH420" s="62" t="n">
        <f aca="false">IF(CA420=1,0,ROUNDUP(AG420/BZ420,0))</f>
        <v>2</v>
      </c>
      <c r="AI420" s="64" t="n">
        <f aca="false">IF(CR420&gt;0,CR420*MAX(1,AG420/X420),IF(CA420=1,IF(AG420&lt;=0,0,CE420*MAX(1,IF(H420&gt;0,AG420/H420,1))),IF(R420&gt;0,AH420/R420,0))/MAX(0.1,N(Parameter!$M$21)))</f>
        <v>0.0384615384615385</v>
      </c>
      <c r="AJ420" s="62" t="n">
        <f aca="false">AI420*CC420</f>
        <v>5.96153846153846</v>
      </c>
      <c r="AK420" s="63" t="n">
        <f aca="false">IF(LEFT(Cockpit!$C$5,1)="A",H420,IF(CI420=1,(CL420+CJ420)/2,IF(LEFT(Cockpit!$C$5,1)="B",(CL420+AM420)/2,MAX((CL420+AM420)/2,H420))))</f>
        <v>200</v>
      </c>
      <c r="AL420" s="62" t="n">
        <f aca="false">AK420*G420</f>
        <v>94</v>
      </c>
      <c r="AM420" s="62" t="n">
        <f aca="false">ROUNDUP(CL420+MAX(CM420,2*(J420/IF(CH420&gt;0,CH420,MAX(0.1,N(Cockpit!$C$6)))-CL420)),0)</f>
        <v>207</v>
      </c>
      <c r="AN420" s="63" t="n">
        <f aca="false">IF(AJ420&gt;0,J420/AJ420,-1)</f>
        <v>30.1935483870968</v>
      </c>
      <c r="AO420" s="63" t="n">
        <f aca="false">IF(AND(OR(CG420="L1",CG420="L23",CG420="LIFT"),AJ420&gt;0),SUMIFS($AJ$7:$AJ$1843,$CG$7:$CG$1843,CG420,$AN$7:$AN$1843,"&gt;"&amp;AN420)+SUMIFS($AJ$7:$AJ$1843,$CG$7:$CG$1843,CG420,$AN$7:$AN$1843,AN420,$BX$7:$BX$1843,"&lt;="&amp;BX420),"")</f>
        <v>1487.64652014652</v>
      </c>
      <c r="AP420" s="70" t="n">
        <f aca="false">IF(AO420="",0,MAX(0,MIN(1,(IF(CG420="L1",Parameter!$H$5,IF(CG420="L23",Parameter!$H$6+Parameter!$H$7,Parameter!$H$5+Parameter!$H$6+Parameter!$H$7))-(AO420-AJ420))/AJ420)))</f>
        <v>1</v>
      </c>
      <c r="AQ420" s="62" t="n">
        <f aca="false">IF(LEFT(Cockpit!$I$5,1)="A",H420,IF(Parameter!$E$30="MAX-Bestand",IF(CI420=1,CJ420,IF(LEFT(Cockpit!$I$5,1)="B",AW420,MAX(AW420,H420))),ROUNDUP(AU420,0)))</f>
        <v>200</v>
      </c>
      <c r="AR420" s="62" t="n">
        <f aca="false">IF(CA420=1,0,ROUNDUP(AQ420/BZ420,0))</f>
        <v>2</v>
      </c>
      <c r="AS420" s="64" t="n">
        <f aca="false">IF(CR420&gt;0,CR420*MAX(1,AQ420/X420),IF(CA420=1,IF(AQ420&lt;=0,0,CE420*MAX(1,IF(H420&gt;0,AQ420/H420,1))),IF(R420&gt;0,AR420/R420,0))/MAX(0.1,N(Parameter!$M$21)))</f>
        <v>0.0384615384615385</v>
      </c>
      <c r="AT420" s="62" t="n">
        <f aca="false">AS420*CC420</f>
        <v>5.96153846153846</v>
      </c>
      <c r="AU420" s="63" t="n">
        <f aca="false">IF(LEFT(Cockpit!$I$5,1)="A",H420,IF(CI420=1,(CL420+CJ420)/2,IF(LEFT(Cockpit!$I$5,1)="B",(CL420+AW420)/2,MAX((CL420+AW420)/2,H420))))</f>
        <v>200</v>
      </c>
      <c r="AV420" s="62" t="n">
        <f aca="false">AU420*G420</f>
        <v>94</v>
      </c>
      <c r="AW420" s="62" t="n">
        <f aca="false">ROUNDUP(CL420+MAX(CM420,2*(J420/IF(CH420&gt;0,CH420,MAX(0.1,N(Cockpit!$I$6)))-CL420)),0)</f>
        <v>207</v>
      </c>
      <c r="AX420" s="63" t="n">
        <f aca="false">IF(AT420&gt;0,J420/AT420,-1)</f>
        <v>30.1935483870968</v>
      </c>
      <c r="AY420" s="63" t="n">
        <f aca="false">IF(AND(OR(CG420="L1",CG420="L23",CG420="LIFT"),AT420&gt;0),SUMIFS($AT$7:$AT$1843,$CG$7:$CG$1843,CG420,$AX$7:$AX$1843,"&gt;"&amp;AX420)+SUMIFS($AT$7:$AT$1843,$CG$7:$CG$1843,CG420,$AX$7:$AX$1843,AX420,$BX$7:$BX$1843,"&lt;="&amp;BX420),"")</f>
        <v>1906.27380952381</v>
      </c>
      <c r="AZ420" s="70" t="n">
        <f aca="false">IF(AY420="",0,MAX(0,MIN(1,(IF(CG420="L1",Parameter!$H$5,IF(CG420="L23",Parameter!$H$6+Parameter!$H$7,Parameter!$H$5+Parameter!$H$6+Parameter!$H$7))-(AY420-AT420))/AT420)))</f>
        <v>1</v>
      </c>
      <c r="BA420" s="62" t="n">
        <f aca="false">IF(LEFT(Cockpit!$O$5,1)="A",H420,IF(Parameter!$E$30="MAX-Bestand",IF(CI420=1,CJ420,IF(LEFT(Cockpit!$O$5,1)="B",BG420,MAX(BG420,H420))),ROUNDUP(BE420,0)))</f>
        <v>107</v>
      </c>
      <c r="BB420" s="62" t="n">
        <f aca="false">IF(CA420=1,0,ROUNDUP(BA420/BZ420,0))</f>
        <v>2</v>
      </c>
      <c r="BC420" s="64" t="n">
        <f aca="false">IF(CR420&gt;0,CR420*MAX(1,BA420/X420),IF(CA420=1,IF(BA420&lt;=0,0,CE420*MAX(1,IF(H420&gt;0,BA420/H420,1))),IF(R420&gt;0,BB420/R420,0))/MAX(0.1,N(Parameter!$M$21)))</f>
        <v>0.0384615384615385</v>
      </c>
      <c r="BD420" s="62" t="n">
        <f aca="false">BC420*CC420</f>
        <v>5.96153846153846</v>
      </c>
      <c r="BE420" s="63" t="n">
        <f aca="false">IF(LEFT(Cockpit!$O$5,1)="A",H420,IF(CI420=1,(CL420+CJ420)/2,IF(LEFT(Cockpit!$O$5,1)="B",(CL420+BG420)/2,MAX((CL420+BG420)/2,H420))))</f>
        <v>107</v>
      </c>
      <c r="BF420" s="62" t="n">
        <f aca="false">BE420*G420</f>
        <v>50.29</v>
      </c>
      <c r="BG420" s="62" t="n">
        <f aca="false">ROUNDUP(CL420+MAX(CM420,2*(J420/IF(CH420&gt;0,CH420,MAX(0.1,N(Cockpit!$O$6)))-CL420)),0)</f>
        <v>207</v>
      </c>
      <c r="BH420" s="63" t="n">
        <f aca="false">IF(BD420&gt;0,J420/BD420,-1)</f>
        <v>30.1935483870968</v>
      </c>
      <c r="BI420" s="63" t="n">
        <f aca="false">IF(AND(OR(CG420="L1",CG420="L23",CG420="LIFT"),BD420&gt;0),SUMIFS($BD$7:$BD$1843,$CG$7:$CG$1843,CG420,$BH$7:$BH$1843,"&gt;"&amp;BH420)+SUMIFS($BD$7:$BD$1843,$CG$7:$CG$1843,CG420,$BH$7:$BH$1843,BH420,$BX$7:$BX$1843,"&lt;="&amp;BX420),"")</f>
        <v>1849.69688644689</v>
      </c>
      <c r="BJ420" s="70" t="n">
        <f aca="false">IF(BI420="",0,MAX(0,MIN(1,(IF(CG420="L1",Parameter!$H$5,IF(CG420="L23",Parameter!$H$6+Parameter!$H$7,Parameter!$H$5+Parameter!$H$6+Parameter!$H$7))-(BI420-BD420))/BD420)))</f>
        <v>1</v>
      </c>
      <c r="BK420" s="60" t="str">
        <f aca="false">IF(AJ420&lt;=0,"",IF(CG420="Aussen","Aussenlager",IF(CG420="-","Nicht im Lift",IF(AP420&gt;=1,"Lift",IF(AP420&lt;=0,"Aussenlager","teilweise")))))</f>
        <v>Lift</v>
      </c>
      <c r="BL420" s="60" t="str">
        <f aca="false">IF(AT420&lt;=0,"",IF(CG420="Aussen","Aussenlager",IF(CG420="-","Nicht im Lift",IF(AZ420&gt;=1,"Lift",IF(AZ420&lt;=0,"Aussenlager","teilweise")))))</f>
        <v>Lift</v>
      </c>
      <c r="BM420" s="60" t="str">
        <f aca="false">IF(BD420&lt;=0,"",IF(CG420="Aussen","Aussenlager",IF(CG420="-","Nicht im Lift",IF(BJ420&gt;=1,"Lift",IF(BJ420&lt;=0,"Aussenlager","teilweise")))))</f>
        <v>Lift</v>
      </c>
      <c r="BN420" s="60" t="str">
        <f aca="false">IF(A420="","",IF(BW420=1,"Neu; ","")&amp;IF(AND(BW420=0,BR420&lt;0),"negativer Bestand (Export "&amp;BR420&amp;"); ","")&amp;IF(J420&lt;=0,"Kein Verbrauch; ","")&amp;IF(CR420&gt;0,"Lift "&amp;W420&amp;" lt. Liftbericht (Fach "&amp;X420&amp;" Stk); ",IF(CB420=1,"Gebinde geschätzt ("&amp;T420&amp;"); ",IF(CA420=1,"Lose – Tablare geschätzt; ","")))&amp;IF(H420&gt;AW420,"Überbestand "&amp;ROUND(H420-AW420,0)&amp;" Stk / CHF "&amp;ROUND((H420-AW420)*G420,0)&amp;"; ","")&amp;IF(AND(CI420=1,CJ420&lt;CK420),"MAX &lt; MB+LG; ","")&amp;IF(AND(CQ420&gt;0,CP420*10&gt;CQ420),"zu hoch für Tablar; ","")&amp;IF(AND(BW420=0,OR(CI420=1,AB420&lt;&gt;"",U420&lt;&gt;"",V420&lt;&gt;"",AC420&lt;&gt;"")),"manuell übersteuert; ","")&amp;IF(AND(CA420=0,R420=0),"Gebinde unbekannt / Stellmass fehlt; ","")&amp;IF(AND(CA420=0,N(V420)&lt;=0,N(Q420)&lt;=0),"Menge pro Gebinde fehlt (Ist = 1 Gebinde); ","")&amp;BV420)</f>
        <v/>
      </c>
      <c r="BO420" s="60"/>
      <c r="BP420" s="60"/>
      <c r="BQ420" s="67"/>
      <c r="BR420" s="62" t="n">
        <v>200</v>
      </c>
      <c r="BS420" s="62" t="n">
        <v>0</v>
      </c>
      <c r="BT420" s="61" t="n">
        <v>94</v>
      </c>
      <c r="BU420" s="62" t="n">
        <v>180</v>
      </c>
      <c r="BV420" s="60"/>
      <c r="BW420" s="65" t="n">
        <v>0</v>
      </c>
      <c r="BX420" s="65" t="n">
        <v>420</v>
      </c>
      <c r="BY420" s="60" t="str">
        <f aca="false">IF(U420&lt;&gt;"",UPPER(TRIM(U420)),IF(CB420=1,UPPER(VLOOKUP(T420,Parameter!$I$27:$K$29,2,0)),IF(P420="","LOSE",P420)))</f>
        <v>S41</v>
      </c>
      <c r="BZ420" s="62" t="n">
        <f aca="false">IF(BY420="LOSE",1,IF(N(V420)&gt;0,V420,IF(CB420=1,MAX(1,N(VLOOKUP(T420,Parameter!$I$27:$K$29,3,0)),H420,N(N420)),IF(N(Q420)&gt;0,Q420,MAX(1,H420)))))</f>
        <v>100</v>
      </c>
      <c r="CA420" s="65" t="n">
        <f aca="false">IF(BY420="LOSE",1,0)</f>
        <v>0</v>
      </c>
      <c r="CB420" s="65" t="n">
        <f aca="false">IF(AND(U420="",OR(P420="",P420="LOSE"),T420&lt;&gt;"",N(S420)&lt;=0,ISNUMBER(MATCH(T420,Parameter!$I$27:$I$29,0))),1,0)</f>
        <v>0</v>
      </c>
      <c r="CC420" s="65" t="n">
        <f aca="false">IF(CR420&gt;0,INDEX(Parameter!$H$5:$H$7,W420)/INDEX(Parameter!$E$5:$E$7,W420),IF(AND(CA420=0,N(IFERROR(VLOOKUP(BY420,'Gebinde-Kategorie'!$A$5:$N$45,14,0),0))&gt;0),VLOOKUP(BY420,'Gebinde-Kategorie'!$A$5:$N$45,14,0)*10+Parameter!$M$23,Parameter!$M$24))</f>
        <v>155</v>
      </c>
      <c r="CD420" s="60" t="str">
        <f aca="false">IF(AND(Parameter!$B$19="Ja",E420&lt;&gt;"",ISNUMBER(MATCH(E420,Parameter!$I$35:$I$52,0))),VLOOKUP(E420,Parameter!$I$35:$J$52,2,0),IFERROR(VLOOKUP(D420,Parameter!$A$35:$C$64,2,0),"Nein"))</f>
        <v>2+3</v>
      </c>
      <c r="CE420" s="64" t="n">
        <f aca="false">IF(CA420=0,0,IF(N(S420)&gt;0,S420,IFERROR(VLOOKUP(D420,Parameter!$A$35:$C$64,3,0)+0,0)))</f>
        <v>0</v>
      </c>
      <c r="CF420" s="60" t="n">
        <f aca="false">IF(AB420&lt;&gt;"",AB420,AA420)</f>
        <v>3</v>
      </c>
      <c r="CG420" s="60" t="str">
        <f aca="false">IF(OR(CF420=1,CF420=2,CF420=3),IF(Parameter!$E$27="Ja","LIFT",IF(CF420=1,"L1","L23")),IF(CF420="Aussen","Aussen","-"))</f>
        <v>LIFT</v>
      </c>
      <c r="CH420" s="71" t="n">
        <f aca="false">IF(N(AC420)&gt;0,AC420,0)</f>
        <v>0</v>
      </c>
      <c r="CI420" s="65" t="n">
        <f aca="false">IF(ISNUMBER(AF420),1,0)</f>
        <v>0</v>
      </c>
      <c r="CJ420" s="62" t="n">
        <f aca="false">N(AF420)</f>
        <v>0</v>
      </c>
      <c r="CK420" s="62" t="n">
        <f aca="false">N(M420)+N(N420)</f>
        <v>207</v>
      </c>
      <c r="CL420" s="62" t="n">
        <f aca="false">N(M420)</f>
        <v>7</v>
      </c>
      <c r="CM420" s="62" t="n">
        <f aca="false">N(N420)</f>
        <v>200</v>
      </c>
      <c r="CN420" s="62" t="n">
        <f aca="false">ROUNDUP(H420/BZ420,0)</f>
        <v>2</v>
      </c>
      <c r="CO420" s="62" t="n">
        <f aca="false">ROUNDUP(CJ420/BZ420,0)</f>
        <v>0</v>
      </c>
      <c r="CP420" s="65" t="n">
        <f aca="false">IF(CA420=1,0,IFERROR(VLOOKUP(BY420,'Gebinde-Kategorie'!$A$5:$N$45,5,0)+0,0))</f>
        <v>11</v>
      </c>
      <c r="CQ420" s="65" t="n">
        <f aca="false">IFERROR(IF(OR(CF420=1,CF420=2,CF420=3),N(INDEX(Parameter!$I$5:$I$7,CF420)),0),0)</f>
        <v>0</v>
      </c>
      <c r="CR420" s="64" t="n">
        <f aca="false">IF(AND(Parameter!$B$21="Ja",ISNUMBER(W420),N(X420)&gt;0),IFERROR(N(INDEX(Parameter!$L$5:$L$7,W420))*INDEX(Parameter!$E$5:$E$7,W420)*X420/SUMIFS($X$7:$X$1843,$W$7:$W$1843,W420),0),0)</f>
        <v>0</v>
      </c>
      <c r="CS420" s="62" t="n">
        <f aca="false">IF(AND(OR(CG420="L1",CG420="L23",CG420="LIFT"),H420&gt;0),CC420*IF(CR420&gt;0,CR420*MAX(1,H420/X420),IF(CA420=1,CE420,IF(R420&gt;0,CN420/R420,0))/MAX(0.1,N(Parameter!$M$21))),"")</f>
        <v>5.96153846153846</v>
      </c>
      <c r="CT420" s="64" t="n">
        <f aca="false">IF(CS420="","",J420/H420)</f>
        <v>0.9</v>
      </c>
      <c r="CU420" s="62" t="n">
        <f aca="false">IF(CS420="","",H420*G420)</f>
        <v>94</v>
      </c>
      <c r="CV420" s="63" t="n">
        <f aca="false">IF(CS420="","",(CL420+ROUNDUP(CL420+MAX(CM420,2*(J420/MAX(0.1,N(Einkauf!$C$6))-CL420)),0))/2)</f>
        <v>107</v>
      </c>
      <c r="CW420" s="62" t="n">
        <f aca="false">IF(CS420="","",MAX(0,H420-CV420)*G420)</f>
        <v>43.71</v>
      </c>
      <c r="CX420" s="62" t="n">
        <f aca="false">IF(CS420="","",CS420*MAX(0,1-CV420/H420))</f>
        <v>2.77211538461538</v>
      </c>
      <c r="CY420" s="64" t="n">
        <f aca="false">IF(CS420="","",PERCENTRANK($CS$7:$CS$1843,CS420)+PERCENTRANK($CU$7:$CU$1843,CU420)+1-PERCENTRANK($CT$7:$CT$1843,CT420))</f>
        <v>0.959</v>
      </c>
      <c r="CZ420" s="72" t="n">
        <f aca="false">IF(CS420="","",CHOOSE(MATCH(Einkauf!$C$5,Parameter!$G$23:$G$27,0),CY420,CS420,CU420,-CT420,CW420)+ROW()/1000000000)</f>
        <v>0.95900042</v>
      </c>
    </row>
    <row r="421" customFormat="false" ht="15" hidden="false" customHeight="false" outlineLevel="0" collapsed="false">
      <c r="A421" s="60" t="s">
        <v>1011</v>
      </c>
      <c r="B421" s="60" t="s">
        <v>1012</v>
      </c>
      <c r="C421" s="60" t="s">
        <v>206</v>
      </c>
      <c r="D421" s="60" t="s">
        <v>215</v>
      </c>
      <c r="E421" s="60" t="s">
        <v>227</v>
      </c>
      <c r="F421" s="60" t="s">
        <v>260</v>
      </c>
      <c r="G421" s="61" t="n">
        <v>23.5</v>
      </c>
      <c r="H421" s="62" t="n">
        <f aca="false">MAX(0,IF(AND(Parameter!$B$21="Ja",ISNUMBER(Y421)),Y421,IF(Parameter!$B$20="Jahresanfang 2025 + Export",BS421+BR421,BR421)))</f>
        <v>10</v>
      </c>
      <c r="I421" s="62" t="n">
        <f aca="false">H421*G421</f>
        <v>235</v>
      </c>
      <c r="J421" s="62" t="n">
        <f aca="false">BU421*Parameter!$B$18</f>
        <v>34</v>
      </c>
      <c r="K421" s="63" t="n">
        <v>19</v>
      </c>
      <c r="L421" s="64" t="n">
        <v>1.78947368421053</v>
      </c>
      <c r="M421" s="62" t="n">
        <v>1</v>
      </c>
      <c r="N421" s="62" t="n">
        <v>35</v>
      </c>
      <c r="O421" s="65" t="n">
        <v>21</v>
      </c>
      <c r="P421" s="60" t="s">
        <v>275</v>
      </c>
      <c r="Q421" s="62" t="n">
        <v>28</v>
      </c>
      <c r="R421" s="65" t="n">
        <f aca="false">IF(CA421=1,0,IFERROR(VLOOKUP(BY421,'Gebinde-Kategorie'!$A$5:$N$45,13,0)+0,0))</f>
        <v>26</v>
      </c>
      <c r="S421" s="66"/>
      <c r="T421" s="67"/>
      <c r="U421" s="67"/>
      <c r="V421" s="67"/>
      <c r="W421" s="60"/>
      <c r="X421" s="62"/>
      <c r="Y421" s="62"/>
      <c r="Z421" s="60" t="n">
        <v>3</v>
      </c>
      <c r="AA421" s="60" t="n">
        <f aca="false">IF(A421="","",IF(AND(Parameter!$B$21="Ja",ISNUMBER(W421)),W421,IF(AND(Parameter!$E$27="Ja",ISNUMBER(Z421),CD421&lt;&gt;"Nein"),Z421,IF(CD421="2+3",IF(ISNUMBER(SEARCH("grosser Artikel",BV421)),2,IFERROR(VLOOKUP(BY421,Parameter!$F$35:$G$64,2,0),2)),IF(OR(CD421="Nein",CD421=""),"-",CD421)))))</f>
        <v>3</v>
      </c>
      <c r="AB421" s="67"/>
      <c r="AC421" s="68"/>
      <c r="AD421" s="62" t="n">
        <f aca="false">AW421</f>
        <v>36</v>
      </c>
      <c r="AE421" s="62" t="n">
        <f aca="false">MAX(AW421,H421)</f>
        <v>36</v>
      </c>
      <c r="AF421" s="69"/>
      <c r="AG421" s="62" t="n">
        <f aca="false">IF(LEFT(Cockpit!$C$5,1)="A",H421,IF(Parameter!$E$30="MAX-Bestand",IF(CI421=1,CJ421,IF(LEFT(Cockpit!$C$5,1)="B",AM421,MAX(AM421,H421))),ROUNDUP(AK421,0)))</f>
        <v>10</v>
      </c>
      <c r="AH421" s="62" t="n">
        <f aca="false">IF(CA421=1,0,ROUNDUP(AG421/BZ421,0))</f>
        <v>1</v>
      </c>
      <c r="AI421" s="64" t="n">
        <f aca="false">IF(CR421&gt;0,CR421*MAX(1,AG421/X421),IF(CA421=1,IF(AG421&lt;=0,0,CE421*MAX(1,IF(H421&gt;0,AG421/H421,1))),IF(R421&gt;0,AH421/R421,0))/MAX(0.1,N(Parameter!$M$21)))</f>
        <v>0.0384615384615385</v>
      </c>
      <c r="AJ421" s="62" t="n">
        <f aca="false">AI421*CC421</f>
        <v>9.42307692307692</v>
      </c>
      <c r="AK421" s="63" t="n">
        <f aca="false">IF(LEFT(Cockpit!$C$5,1)="A",H421,IF(CI421=1,(CL421+CJ421)/2,IF(LEFT(Cockpit!$C$5,1)="B",(CL421+AM421)/2,MAX((CL421+AM421)/2,H421))))</f>
        <v>10</v>
      </c>
      <c r="AL421" s="62" t="n">
        <f aca="false">AK421*G421</f>
        <v>235</v>
      </c>
      <c r="AM421" s="62" t="n">
        <f aca="false">ROUNDUP(CL421+MAX(CM421,2*(J421/IF(CH421&gt;0,CH421,MAX(0.1,N(Cockpit!$C$6)))-CL421)),0)</f>
        <v>36</v>
      </c>
      <c r="AN421" s="63" t="n">
        <f aca="false">IF(AJ421&gt;0,J421/AJ421,-1)</f>
        <v>3.60816326530612</v>
      </c>
      <c r="AO421" s="63" t="n">
        <f aca="false">IF(AND(OR(CG421="L1",CG421="L23",CG421="LIFT"),AJ421&gt;0),SUMIFS($AJ$7:$AJ$1843,$CG$7:$CG$1843,CG421,$AN$7:$AN$1843,"&gt;"&amp;AN421)+SUMIFS($AJ$7:$AJ$1843,$CG$7:$CG$1843,CG421,$AN$7:$AN$1843,AN421,$BX$7:$BX$1843,"&lt;="&amp;BX421),"")</f>
        <v>4841.72573260073</v>
      </c>
      <c r="AP421" s="70" t="n">
        <f aca="false">IF(AO421="",0,MAX(0,MIN(1,(IF(CG421="L1",Parameter!$H$5,IF(CG421="L23",Parameter!$H$6+Parameter!$H$7,Parameter!$H$5+Parameter!$H$6+Parameter!$H$7))-(AO421-AJ421))/AJ421)))</f>
        <v>1</v>
      </c>
      <c r="AQ421" s="62" t="n">
        <f aca="false">IF(LEFT(Cockpit!$I$5,1)="A",H421,IF(Parameter!$E$30="MAX-Bestand",IF(CI421=1,CJ421,IF(LEFT(Cockpit!$I$5,1)="B",AW421,MAX(AW421,H421))),ROUNDUP(AU421,0)))</f>
        <v>19</v>
      </c>
      <c r="AR421" s="62" t="n">
        <f aca="false">IF(CA421=1,0,ROUNDUP(AQ421/BZ421,0))</f>
        <v>1</v>
      </c>
      <c r="AS421" s="64" t="n">
        <f aca="false">IF(CR421&gt;0,CR421*MAX(1,AQ421/X421),IF(CA421=1,IF(AQ421&lt;=0,0,CE421*MAX(1,IF(H421&gt;0,AQ421/H421,1))),IF(R421&gt;0,AR421/R421,0))/MAX(0.1,N(Parameter!$M$21)))</f>
        <v>0.0384615384615385</v>
      </c>
      <c r="AT421" s="62" t="n">
        <f aca="false">AS421*CC421</f>
        <v>9.42307692307692</v>
      </c>
      <c r="AU421" s="63" t="n">
        <f aca="false">IF(LEFT(Cockpit!$I$5,1)="A",H421,IF(CI421=1,(CL421+CJ421)/2,IF(LEFT(Cockpit!$I$5,1)="B",(CL421+AW421)/2,MAX((CL421+AW421)/2,H421))))</f>
        <v>18.5</v>
      </c>
      <c r="AV421" s="62" t="n">
        <f aca="false">AU421*G421</f>
        <v>434.75</v>
      </c>
      <c r="AW421" s="62" t="n">
        <f aca="false">ROUNDUP(CL421+MAX(CM421,2*(J421/IF(CH421&gt;0,CH421,MAX(0.1,N(Cockpit!$I$6)))-CL421)),0)</f>
        <v>36</v>
      </c>
      <c r="AX421" s="63" t="n">
        <f aca="false">IF(AT421&gt;0,J421/AT421,-1)</f>
        <v>3.60816326530612</v>
      </c>
      <c r="AY421" s="63" t="n">
        <f aca="false">IF(AND(OR(CG421="L1",CG421="L23",CG421="LIFT"),AT421&gt;0),SUMIFS($AT$7:$AT$1843,$CG$7:$CG$1843,CG421,$AX$7:$AX$1843,"&gt;"&amp;AX421)+SUMIFS($AT$7:$AT$1843,$CG$7:$CG$1843,CG421,$AX$7:$AX$1843,AX421,$BX$7:$BX$1843,"&lt;="&amp;BX421),"")</f>
        <v>5419.31272893773</v>
      </c>
      <c r="AZ421" s="70" t="n">
        <f aca="false">IF(AY421="",0,MAX(0,MIN(1,(IF(CG421="L1",Parameter!$H$5,IF(CG421="L23",Parameter!$H$6+Parameter!$H$7,Parameter!$H$5+Parameter!$H$6+Parameter!$H$7))-(AY421-AT421))/AT421)))</f>
        <v>1</v>
      </c>
      <c r="BA421" s="62" t="n">
        <f aca="false">IF(LEFT(Cockpit!$O$5,1)="A",H421,IF(Parameter!$E$30="MAX-Bestand",IF(CI421=1,CJ421,IF(LEFT(Cockpit!$O$5,1)="B",BG421,MAX(BG421,H421))),ROUNDUP(BE421,0)))</f>
        <v>19</v>
      </c>
      <c r="BB421" s="62" t="n">
        <f aca="false">IF(CA421=1,0,ROUNDUP(BA421/BZ421,0))</f>
        <v>1</v>
      </c>
      <c r="BC421" s="64" t="n">
        <f aca="false">IF(CR421&gt;0,CR421*MAX(1,BA421/X421),IF(CA421=1,IF(BA421&lt;=0,0,CE421*MAX(1,IF(H421&gt;0,BA421/H421,1))),IF(R421&gt;0,BB421/R421,0))/MAX(0.1,N(Parameter!$M$21)))</f>
        <v>0.0384615384615385</v>
      </c>
      <c r="BD421" s="62" t="n">
        <f aca="false">BC421*CC421</f>
        <v>9.42307692307692</v>
      </c>
      <c r="BE421" s="63" t="n">
        <f aca="false">IF(LEFT(Cockpit!$O$5,1)="A",H421,IF(CI421=1,(CL421+CJ421)/2,IF(LEFT(Cockpit!$O$5,1)="B",(CL421+BG421)/2,MAX((CL421+BG421)/2,H421))))</f>
        <v>18.5</v>
      </c>
      <c r="BF421" s="62" t="n">
        <f aca="false">BE421*G421</f>
        <v>434.75</v>
      </c>
      <c r="BG421" s="62" t="n">
        <f aca="false">ROUNDUP(CL421+MAX(CM421,2*(J421/IF(CH421&gt;0,CH421,MAX(0.1,N(Cockpit!$O$6)))-CL421)),0)</f>
        <v>36</v>
      </c>
      <c r="BH421" s="63" t="n">
        <f aca="false">IF(BD421&gt;0,J421/BD421,-1)</f>
        <v>3.60816326530612</v>
      </c>
      <c r="BI421" s="63" t="n">
        <f aca="false">IF(AND(OR(CG421="L1",CG421="L23",CG421="LIFT"),BD421&gt;0),SUMIFS($BD$7:$BD$1843,$CG$7:$CG$1843,CG421,$BH$7:$BH$1843,"&gt;"&amp;BH421)+SUMIFS($BD$7:$BD$1843,$CG$7:$CG$1843,CG421,$BH$7:$BH$1843,BH421,$BX$7:$BX$1843,"&lt;="&amp;BX421),"")</f>
        <v>4433.80952380952</v>
      </c>
      <c r="BJ421" s="70" t="n">
        <f aca="false">IF(BI421="",0,MAX(0,MIN(1,(IF(CG421="L1",Parameter!$H$5,IF(CG421="L23",Parameter!$H$6+Parameter!$H$7,Parameter!$H$5+Parameter!$H$6+Parameter!$H$7))-(BI421-BD421))/BD421)))</f>
        <v>1</v>
      </c>
      <c r="BK421" s="60" t="str">
        <f aca="false">IF(AJ421&lt;=0,"",IF(CG421="Aussen","Aussenlager",IF(CG421="-","Nicht im Lift",IF(AP421&gt;=1,"Lift",IF(AP421&lt;=0,"Aussenlager","teilweise")))))</f>
        <v>Lift</v>
      </c>
      <c r="BL421" s="60" t="str">
        <f aca="false">IF(AT421&lt;=0,"",IF(CG421="Aussen","Aussenlager",IF(CG421="-","Nicht im Lift",IF(AZ421&gt;=1,"Lift",IF(AZ421&lt;=0,"Aussenlager","teilweise")))))</f>
        <v>Lift</v>
      </c>
      <c r="BM421" s="60" t="str">
        <f aca="false">IF(BD421&lt;=0,"",IF(CG421="Aussen","Aussenlager",IF(CG421="-","Nicht im Lift",IF(BJ421&gt;=1,"Lift",IF(BJ421&lt;=0,"Aussenlager","teilweise")))))</f>
        <v>Lift</v>
      </c>
      <c r="BN421" s="60" t="str">
        <f aca="false">IF(A421="","",IF(BW421=1,"Neu; ","")&amp;IF(AND(BW421=0,BR421&lt;0),"negativer Bestand (Export "&amp;BR421&amp;"); ","")&amp;IF(J421&lt;=0,"Kein Verbrauch; ","")&amp;IF(CR421&gt;0,"Lift "&amp;W421&amp;" lt. Liftbericht (Fach "&amp;X421&amp;" Stk); ",IF(CB421=1,"Gebinde geschätzt ("&amp;T421&amp;"); ",IF(CA421=1,"Lose – Tablare geschätzt; ","")))&amp;IF(H421&gt;AW421,"Überbestand "&amp;ROUND(H421-AW421,0)&amp;" Stk / CHF "&amp;ROUND((H421-AW421)*G421,0)&amp;"; ","")&amp;IF(AND(CI421=1,CJ421&lt;CK421),"MAX &lt; MB+LG; ","")&amp;IF(AND(CQ421&gt;0,CP421*10&gt;CQ421),"zu hoch für Tablar; ","")&amp;IF(AND(BW421=0,OR(CI421=1,AB421&lt;&gt;"",U421&lt;&gt;"",V421&lt;&gt;"",AC421&lt;&gt;"")),"manuell übersteuert; ","")&amp;IF(AND(CA421=0,R421=0),"Gebinde unbekannt / Stellmass fehlt; ","")&amp;IF(AND(CA421=0,N(V421)&lt;=0,N(Q421)&lt;=0),"Menge pro Gebinde fehlt (Ist = 1 Gebinde); ","")&amp;BV421)</f>
        <v>Neu</v>
      </c>
      <c r="BO421" s="60"/>
      <c r="BP421" s="60"/>
      <c r="BQ421" s="67"/>
      <c r="BR421" s="62" t="n">
        <v>4</v>
      </c>
      <c r="BS421" s="62" t="n">
        <v>6</v>
      </c>
      <c r="BT421" s="61" t="n">
        <v>94</v>
      </c>
      <c r="BU421" s="62" t="n">
        <v>34</v>
      </c>
      <c r="BV421" s="60" t="s">
        <v>668</v>
      </c>
      <c r="BW421" s="65" t="n">
        <v>0</v>
      </c>
      <c r="BX421" s="65" t="n">
        <v>421</v>
      </c>
      <c r="BY421" s="60" t="str">
        <f aca="false">IF(U421&lt;&gt;"",UPPER(TRIM(U421)),IF(CB421=1,UPPER(VLOOKUP(T421,Parameter!$I$27:$K$29,2,0)),IF(P421="","LOSE",P421)))</f>
        <v>S52</v>
      </c>
      <c r="BZ421" s="62" t="n">
        <f aca="false">IF(BY421="LOSE",1,IF(N(V421)&gt;0,V421,IF(CB421=1,MAX(1,N(VLOOKUP(T421,Parameter!$I$27:$K$29,3,0)),H421,N(N421)),IF(N(Q421)&gt;0,Q421,MAX(1,H421)))))</f>
        <v>28</v>
      </c>
      <c r="CA421" s="65" t="n">
        <f aca="false">IF(BY421="LOSE",1,0)</f>
        <v>0</v>
      </c>
      <c r="CB421" s="65" t="n">
        <f aca="false">IF(AND(U421="",OR(P421="",P421="LOSE"),T421&lt;&gt;"",N(S421)&lt;=0,ISNUMBER(MATCH(T421,Parameter!$I$27:$I$29,0))),1,0)</f>
        <v>0</v>
      </c>
      <c r="CC421" s="65" t="n">
        <f aca="false">IF(CR421&gt;0,INDEX(Parameter!$H$5:$H$7,W421)/INDEX(Parameter!$E$5:$E$7,W421),IF(AND(CA421=0,N(IFERROR(VLOOKUP(BY421,'Gebinde-Kategorie'!$A$5:$N$45,14,0),0))&gt;0),VLOOKUP(BY421,'Gebinde-Kategorie'!$A$5:$N$45,14,0)*10+Parameter!$M$23,Parameter!$M$24))</f>
        <v>245</v>
      </c>
      <c r="CD421" s="60" t="str">
        <f aca="false">IF(AND(Parameter!$B$19="Ja",E421&lt;&gt;"",ISNUMBER(MATCH(E421,Parameter!$I$35:$I$52,0))),VLOOKUP(E421,Parameter!$I$35:$J$52,2,0),IFERROR(VLOOKUP(D421,Parameter!$A$35:$C$64,2,0),"Nein"))</f>
        <v>2+3</v>
      </c>
      <c r="CE421" s="64" t="n">
        <f aca="false">IF(CA421=0,0,IF(N(S421)&gt;0,S421,IFERROR(VLOOKUP(D421,Parameter!$A$35:$C$64,3,0)+0,0)))</f>
        <v>0</v>
      </c>
      <c r="CF421" s="60" t="n">
        <f aca="false">IF(AB421&lt;&gt;"",AB421,AA421)</f>
        <v>3</v>
      </c>
      <c r="CG421" s="60" t="str">
        <f aca="false">IF(OR(CF421=1,CF421=2,CF421=3),IF(Parameter!$E$27="Ja","LIFT",IF(CF421=1,"L1","L23")),IF(CF421="Aussen","Aussen","-"))</f>
        <v>LIFT</v>
      </c>
      <c r="CH421" s="71" t="n">
        <f aca="false">IF(N(AC421)&gt;0,AC421,0)</f>
        <v>0</v>
      </c>
      <c r="CI421" s="65" t="n">
        <f aca="false">IF(ISNUMBER(AF421),1,0)</f>
        <v>0</v>
      </c>
      <c r="CJ421" s="62" t="n">
        <f aca="false">N(AF421)</f>
        <v>0</v>
      </c>
      <c r="CK421" s="62" t="n">
        <f aca="false">N(M421)+N(N421)</f>
        <v>36</v>
      </c>
      <c r="CL421" s="62" t="n">
        <f aca="false">N(M421)</f>
        <v>1</v>
      </c>
      <c r="CM421" s="62" t="n">
        <f aca="false">N(N421)</f>
        <v>35</v>
      </c>
      <c r="CN421" s="62" t="n">
        <f aca="false">ROUNDUP(H421/BZ421,0)</f>
        <v>1</v>
      </c>
      <c r="CO421" s="62" t="n">
        <f aca="false">ROUNDUP(CJ421/BZ421,0)</f>
        <v>0</v>
      </c>
      <c r="CP421" s="65" t="n">
        <f aca="false">IF(CA421=1,0,IFERROR(VLOOKUP(BY421,'Gebinde-Kategorie'!$A$5:$N$45,5,0)+0,0))</f>
        <v>21</v>
      </c>
      <c r="CQ421" s="65" t="n">
        <f aca="false">IFERROR(IF(OR(CF421=1,CF421=2,CF421=3),N(INDEX(Parameter!$I$5:$I$7,CF421)),0),0)</f>
        <v>0</v>
      </c>
      <c r="CR421" s="64" t="n">
        <f aca="false">IF(AND(Parameter!$B$21="Ja",ISNUMBER(W421),N(X421)&gt;0),IFERROR(N(INDEX(Parameter!$L$5:$L$7,W421))*INDEX(Parameter!$E$5:$E$7,W421)*X421/SUMIFS($X$7:$X$1843,$W$7:$W$1843,W421),0),0)</f>
        <v>0</v>
      </c>
      <c r="CS421" s="62" t="n">
        <f aca="false">IF(AND(OR(CG421="L1",CG421="L23",CG421="LIFT"),H421&gt;0),CC421*IF(CR421&gt;0,CR421*MAX(1,H421/X421),IF(CA421=1,CE421,IF(R421&gt;0,CN421/R421,0))/MAX(0.1,N(Parameter!$M$21))),"")</f>
        <v>9.42307692307692</v>
      </c>
      <c r="CT421" s="64" t="n">
        <f aca="false">IF(CS421="","",J421/H421)</f>
        <v>3.4</v>
      </c>
      <c r="CU421" s="62" t="n">
        <f aca="false">IF(CS421="","",H421*G421)</f>
        <v>235</v>
      </c>
      <c r="CV421" s="63" t="n">
        <f aca="false">IF(CS421="","",(CL421+ROUNDUP(CL421+MAX(CM421,2*(J421/MAX(0.1,N(Einkauf!$C$6))-CL421)),0))/2)</f>
        <v>18.5</v>
      </c>
      <c r="CW421" s="62" t="n">
        <f aca="false">IF(CS421="","",MAX(0,H421-CV421)*G421)</f>
        <v>0</v>
      </c>
      <c r="CX421" s="62" t="n">
        <f aca="false">IF(CS421="","",CS421*MAX(0,1-CV421/H421))</f>
        <v>0</v>
      </c>
      <c r="CY421" s="64" t="n">
        <f aca="false">IF(CS421="","",PERCENTRANK($CS$7:$CS$1843,CS421)+PERCENTRANK($CU$7:$CU$1843,CU421)+1-PERCENTRANK($CT$7:$CT$1843,CT421))</f>
        <v>1.033</v>
      </c>
      <c r="CZ421" s="72" t="n">
        <f aca="false">IF(CS421="","",CHOOSE(MATCH(Einkauf!$C$5,Parameter!$G$23:$G$27,0),CY421,CS421,CU421,-CT421,CW421)+ROW()/1000000000)</f>
        <v>1.033000421</v>
      </c>
    </row>
    <row r="422" customFormat="false" ht="15" hidden="false" customHeight="false" outlineLevel="0" collapsed="false">
      <c r="A422" s="60" t="s">
        <v>1013</v>
      </c>
      <c r="B422" s="60" t="s">
        <v>1014</v>
      </c>
      <c r="C422" s="60" t="s">
        <v>206</v>
      </c>
      <c r="D422" s="60" t="s">
        <v>226</v>
      </c>
      <c r="E422" s="60" t="s">
        <v>227</v>
      </c>
      <c r="F422" s="60" t="s">
        <v>260</v>
      </c>
      <c r="G422" s="61" t="n">
        <v>3.86</v>
      </c>
      <c r="H422" s="62" t="n">
        <f aca="false">MAX(0,IF(AND(Parameter!$B$21="Ja",ISNUMBER(Y422)),Y422,IF(Parameter!$B$20="Jahresanfang 2025 + Export",BS422+BR422,BR422)))</f>
        <v>139</v>
      </c>
      <c r="I422" s="62" t="n">
        <f aca="false">H422*G422</f>
        <v>536.54</v>
      </c>
      <c r="J422" s="62" t="n">
        <f aca="false">BU422*Parameter!$B$18</f>
        <v>137</v>
      </c>
      <c r="K422" s="63" t="n">
        <v>98</v>
      </c>
      <c r="L422" s="64" t="n">
        <v>1.39795918367347</v>
      </c>
      <c r="M422" s="62" t="n">
        <v>5</v>
      </c>
      <c r="N422" s="62" t="n">
        <v>135</v>
      </c>
      <c r="O422" s="65" t="n">
        <v>14</v>
      </c>
      <c r="P422" s="60" t="s">
        <v>344</v>
      </c>
      <c r="Q422" s="62" t="n">
        <v>45</v>
      </c>
      <c r="R422" s="65" t="n">
        <f aca="false">IF(CA422=1,0,IFERROR(VLOOKUP(BY422,'Gebinde-Kategorie'!$A$5:$N$45,13,0)+0,0))</f>
        <v>26</v>
      </c>
      <c r="S422" s="66"/>
      <c r="T422" s="67"/>
      <c r="U422" s="67"/>
      <c r="V422" s="67"/>
      <c r="W422" s="60"/>
      <c r="X422" s="62"/>
      <c r="Y422" s="62"/>
      <c r="Z422" s="60" t="n">
        <v>3</v>
      </c>
      <c r="AA422" s="60" t="n">
        <f aca="false">IF(A422="","",IF(AND(Parameter!$B$21="Ja",ISNUMBER(W422)),W422,IF(AND(Parameter!$E$27="Ja",ISNUMBER(Z422),CD422&lt;&gt;"Nein"),Z422,IF(CD422="2+3",IF(ISNUMBER(SEARCH("grosser Artikel",BV422)),2,IFERROR(VLOOKUP(BY422,Parameter!$F$35:$G$64,2,0),2)),IF(OR(CD422="Nein",CD422=""),"-",CD422)))))</f>
        <v>3</v>
      </c>
      <c r="AB422" s="67"/>
      <c r="AC422" s="68"/>
      <c r="AD422" s="62" t="n">
        <f aca="false">AW422</f>
        <v>140</v>
      </c>
      <c r="AE422" s="62" t="n">
        <f aca="false">MAX(AW422,H422)</f>
        <v>140</v>
      </c>
      <c r="AF422" s="69"/>
      <c r="AG422" s="62" t="n">
        <f aca="false">IF(LEFT(Cockpit!$C$5,1)="A",H422,IF(Parameter!$E$30="MAX-Bestand",IF(CI422=1,CJ422,IF(LEFT(Cockpit!$C$5,1)="B",AM422,MAX(AM422,H422))),ROUNDUP(AK422,0)))</f>
        <v>139</v>
      </c>
      <c r="AH422" s="62" t="n">
        <f aca="false">IF(CA422=1,0,ROUNDUP(AG422/BZ422,0))</f>
        <v>4</v>
      </c>
      <c r="AI422" s="64" t="n">
        <f aca="false">IF(CR422&gt;0,CR422*MAX(1,AG422/X422),IF(CA422=1,IF(AG422&lt;=0,0,CE422*MAX(1,IF(H422&gt;0,AG422/H422,1))),IF(R422&gt;0,AH422/R422,0))/MAX(0.1,N(Parameter!$M$21)))</f>
        <v>0.153846153846154</v>
      </c>
      <c r="AJ422" s="62" t="n">
        <f aca="false">AI422*CC422</f>
        <v>23.8461538461538</v>
      </c>
      <c r="AK422" s="63" t="n">
        <f aca="false">IF(LEFT(Cockpit!$C$5,1)="A",H422,IF(CI422=1,(CL422+CJ422)/2,IF(LEFT(Cockpit!$C$5,1)="B",(CL422+AM422)/2,MAX((CL422+AM422)/2,H422))))</f>
        <v>139</v>
      </c>
      <c r="AL422" s="62" t="n">
        <f aca="false">AK422*G422</f>
        <v>536.54</v>
      </c>
      <c r="AM422" s="62" t="n">
        <f aca="false">ROUNDUP(CL422+MAX(CM422,2*(J422/IF(CH422&gt;0,CH422,MAX(0.1,N(Cockpit!$C$6)))-CL422)),0)</f>
        <v>140</v>
      </c>
      <c r="AN422" s="63" t="n">
        <f aca="false">IF(AJ422&gt;0,J422/AJ422,-1)</f>
        <v>5.74516129032258</v>
      </c>
      <c r="AO422" s="63" t="n">
        <f aca="false">IF(AND(OR(CG422="L1",CG422="L23",CG422="LIFT"),AJ422&gt;0),SUMIFS($AJ$7:$AJ$1843,$CG$7:$CG$1843,CG422,$AN$7:$AN$1843,"&gt;"&amp;AN422)+SUMIFS($AJ$7:$AJ$1843,$CG$7:$CG$1843,CG422,$AN$7:$AN$1843,AN422,$BX$7:$BX$1843,"&lt;="&amp;BX422),"")</f>
        <v>3564.64148351648</v>
      </c>
      <c r="AP422" s="70" t="n">
        <f aca="false">IF(AO422="",0,MAX(0,MIN(1,(IF(CG422="L1",Parameter!$H$5,IF(CG422="L23",Parameter!$H$6+Parameter!$H$7,Parameter!$H$5+Parameter!$H$6+Parameter!$H$7))-(AO422-AJ422))/AJ422)))</f>
        <v>1</v>
      </c>
      <c r="AQ422" s="62" t="n">
        <f aca="false">IF(LEFT(Cockpit!$I$5,1)="A",H422,IF(Parameter!$E$30="MAX-Bestand",IF(CI422=1,CJ422,IF(LEFT(Cockpit!$I$5,1)="B",AW422,MAX(AW422,H422))),ROUNDUP(AU422,0)))</f>
        <v>139</v>
      </c>
      <c r="AR422" s="62" t="n">
        <f aca="false">IF(CA422=1,0,ROUNDUP(AQ422/BZ422,0))</f>
        <v>4</v>
      </c>
      <c r="AS422" s="64" t="n">
        <f aca="false">IF(CR422&gt;0,CR422*MAX(1,AQ422/X422),IF(CA422=1,IF(AQ422&lt;=0,0,CE422*MAX(1,IF(H422&gt;0,AQ422/H422,1))),IF(R422&gt;0,AR422/R422,0))/MAX(0.1,N(Parameter!$M$21)))</f>
        <v>0.153846153846154</v>
      </c>
      <c r="AT422" s="62" t="n">
        <f aca="false">AS422*CC422</f>
        <v>23.8461538461538</v>
      </c>
      <c r="AU422" s="63" t="n">
        <f aca="false">IF(LEFT(Cockpit!$I$5,1)="A",H422,IF(CI422=1,(CL422+CJ422)/2,IF(LEFT(Cockpit!$I$5,1)="B",(CL422+AW422)/2,MAX((CL422+AW422)/2,H422))))</f>
        <v>139</v>
      </c>
      <c r="AV422" s="62" t="n">
        <f aca="false">AU422*G422</f>
        <v>536.54</v>
      </c>
      <c r="AW422" s="62" t="n">
        <f aca="false">ROUNDUP(CL422+MAX(CM422,2*(J422/IF(CH422&gt;0,CH422,MAX(0.1,N(Cockpit!$I$6)))-CL422)),0)</f>
        <v>140</v>
      </c>
      <c r="AX422" s="63" t="n">
        <f aca="false">IF(AT422&gt;0,J422/AT422,-1)</f>
        <v>5.74516129032258</v>
      </c>
      <c r="AY422" s="63" t="n">
        <f aca="false">IF(AND(OR(CG422="L1",CG422="L23",CG422="LIFT"),AT422&gt;0),SUMIFS($AT$7:$AT$1843,$CG$7:$CG$1843,CG422,$AX$7:$AX$1843,"&gt;"&amp;AX422)+SUMIFS($AT$7:$AT$1843,$CG$7:$CG$1843,CG422,$AX$7:$AX$1843,AX422,$BX$7:$BX$1843,"&lt;="&amp;BX422),"")</f>
        <v>4218.38232600733</v>
      </c>
      <c r="AZ422" s="70" t="n">
        <f aca="false">IF(AY422="",0,MAX(0,MIN(1,(IF(CG422="L1",Parameter!$H$5,IF(CG422="L23",Parameter!$H$6+Parameter!$H$7,Parameter!$H$5+Parameter!$H$6+Parameter!$H$7))-(AY422-AT422))/AT422)))</f>
        <v>1</v>
      </c>
      <c r="BA422" s="62" t="n">
        <f aca="false">IF(LEFT(Cockpit!$O$5,1)="A",H422,IF(Parameter!$E$30="MAX-Bestand",IF(CI422=1,CJ422,IF(LEFT(Cockpit!$O$5,1)="B",BG422,MAX(BG422,H422))),ROUNDUP(BE422,0)))</f>
        <v>73</v>
      </c>
      <c r="BB422" s="62" t="n">
        <f aca="false">IF(CA422=1,0,ROUNDUP(BA422/BZ422,0))</f>
        <v>2</v>
      </c>
      <c r="BC422" s="64" t="n">
        <f aca="false">IF(CR422&gt;0,CR422*MAX(1,BA422/X422),IF(CA422=1,IF(BA422&lt;=0,0,CE422*MAX(1,IF(H422&gt;0,BA422/H422,1))),IF(R422&gt;0,BB422/R422,0))/MAX(0.1,N(Parameter!$M$21)))</f>
        <v>0.0769230769230769</v>
      </c>
      <c r="BD422" s="62" t="n">
        <f aca="false">BC422*CC422</f>
        <v>11.9230769230769</v>
      </c>
      <c r="BE422" s="63" t="n">
        <f aca="false">IF(LEFT(Cockpit!$O$5,1)="A",H422,IF(CI422=1,(CL422+CJ422)/2,IF(LEFT(Cockpit!$O$5,1)="B",(CL422+BG422)/2,MAX((CL422+BG422)/2,H422))))</f>
        <v>72.5</v>
      </c>
      <c r="BF422" s="62" t="n">
        <f aca="false">BE422*G422</f>
        <v>279.85</v>
      </c>
      <c r="BG422" s="62" t="n">
        <f aca="false">ROUNDUP(CL422+MAX(CM422,2*(J422/IF(CH422&gt;0,CH422,MAX(0.1,N(Cockpit!$O$6)))-CL422)),0)</f>
        <v>140</v>
      </c>
      <c r="BH422" s="63" t="n">
        <f aca="false">IF(BD422&gt;0,J422/BD422,-1)</f>
        <v>11.4903225806452</v>
      </c>
      <c r="BI422" s="63" t="n">
        <f aca="false">IF(AND(OR(CG422="L1",CG422="L23",CG422="LIFT"),BD422&gt;0),SUMIFS($BD$7:$BD$1843,$CG$7:$CG$1843,CG422,$BH$7:$BH$1843,"&gt;"&amp;BH422)+SUMIFS($BD$7:$BD$1843,$CG$7:$CG$1843,CG422,$BH$7:$BH$1843,BH422,$BX$7:$BX$1843,"&lt;="&amp;BX422),"")</f>
        <v>2604.52106227106</v>
      </c>
      <c r="BJ422" s="70" t="n">
        <f aca="false">IF(BI422="",0,MAX(0,MIN(1,(IF(CG422="L1",Parameter!$H$5,IF(CG422="L23",Parameter!$H$6+Parameter!$H$7,Parameter!$H$5+Parameter!$H$6+Parameter!$H$7))-(BI422-BD422))/BD422)))</f>
        <v>1</v>
      </c>
      <c r="BK422" s="60" t="str">
        <f aca="false">IF(AJ422&lt;=0,"",IF(CG422="Aussen","Aussenlager",IF(CG422="-","Nicht im Lift",IF(AP422&gt;=1,"Lift",IF(AP422&lt;=0,"Aussenlager","teilweise")))))</f>
        <v>Lift</v>
      </c>
      <c r="BL422" s="60" t="str">
        <f aca="false">IF(AT422&lt;=0,"",IF(CG422="Aussen","Aussenlager",IF(CG422="-","Nicht im Lift",IF(AZ422&gt;=1,"Lift",IF(AZ422&lt;=0,"Aussenlager","teilweise")))))</f>
        <v>Lift</v>
      </c>
      <c r="BM422" s="60" t="str">
        <f aca="false">IF(BD422&lt;=0,"",IF(CG422="Aussen","Aussenlager",IF(CG422="-","Nicht im Lift",IF(BJ422&gt;=1,"Lift",IF(BJ422&lt;=0,"Aussenlager","teilweise")))))</f>
        <v>Lift</v>
      </c>
      <c r="BN422" s="60" t="str">
        <f aca="false">IF(A422="","",IF(BW422=1,"Neu; ","")&amp;IF(AND(BW422=0,BR422&lt;0),"negativer Bestand (Export "&amp;BR422&amp;"); ","")&amp;IF(J422&lt;=0,"Kein Verbrauch; ","")&amp;IF(CR422&gt;0,"Lift "&amp;W422&amp;" lt. Liftbericht (Fach "&amp;X422&amp;" Stk); ",IF(CB422=1,"Gebinde geschätzt ("&amp;T422&amp;"); ",IF(CA422=1,"Lose – Tablare geschätzt; ","")))&amp;IF(H422&gt;AW422,"Überbestand "&amp;ROUND(H422-AW422,0)&amp;" Stk / CHF "&amp;ROUND((H422-AW422)*G422,0)&amp;"; ","")&amp;IF(AND(CI422=1,CJ422&lt;CK422),"MAX &lt; MB+LG; ","")&amp;IF(AND(CQ422&gt;0,CP422*10&gt;CQ422),"zu hoch für Tablar; ","")&amp;IF(AND(BW422=0,OR(CI422=1,AB422&lt;&gt;"",U422&lt;&gt;"",V422&lt;&gt;"",AC422&lt;&gt;"")),"manuell übersteuert; ","")&amp;IF(AND(CA422=0,R422=0),"Gebinde unbekannt / Stellmass fehlt; ","")&amp;IF(AND(CA422=0,N(V422)&lt;=0,N(Q422)&lt;=0),"Menge pro Gebinde fehlt (Ist = 1 Gebinde); ","")&amp;BV422)</f>
        <v/>
      </c>
      <c r="BO422" s="60"/>
      <c r="BP422" s="60"/>
      <c r="BQ422" s="67"/>
      <c r="BR422" s="62" t="n">
        <v>48</v>
      </c>
      <c r="BS422" s="62" t="n">
        <v>91</v>
      </c>
      <c r="BT422" s="61" t="n">
        <v>93.37</v>
      </c>
      <c r="BU422" s="62" t="n">
        <v>137</v>
      </c>
      <c r="BV422" s="60"/>
      <c r="BW422" s="65" t="n">
        <v>0</v>
      </c>
      <c r="BX422" s="65" t="n">
        <v>422</v>
      </c>
      <c r="BY422" s="60" t="str">
        <f aca="false">IF(U422&lt;&gt;"",UPPER(TRIM(U422)),IF(CB422=1,UPPER(VLOOKUP(T422,Parameter!$I$27:$K$29,2,0)),IF(P422="","LOSE",P422)))</f>
        <v>S51</v>
      </c>
      <c r="BZ422" s="62" t="n">
        <f aca="false">IF(BY422="LOSE",1,IF(N(V422)&gt;0,V422,IF(CB422=1,MAX(1,N(VLOOKUP(T422,Parameter!$I$27:$K$29,3,0)),H422,N(N422)),IF(N(Q422)&gt;0,Q422,MAX(1,H422)))))</f>
        <v>45</v>
      </c>
      <c r="CA422" s="65" t="n">
        <f aca="false">IF(BY422="LOSE",1,0)</f>
        <v>0</v>
      </c>
      <c r="CB422" s="65" t="n">
        <f aca="false">IF(AND(U422="",OR(P422="",P422="LOSE"),T422&lt;&gt;"",N(S422)&lt;=0,ISNUMBER(MATCH(T422,Parameter!$I$27:$I$29,0))),1,0)</f>
        <v>0</v>
      </c>
      <c r="CC422" s="65" t="n">
        <f aca="false">IF(CR422&gt;0,INDEX(Parameter!$H$5:$H$7,W422)/INDEX(Parameter!$E$5:$E$7,W422),IF(AND(CA422=0,N(IFERROR(VLOOKUP(BY422,'Gebinde-Kategorie'!$A$5:$N$45,14,0),0))&gt;0),VLOOKUP(BY422,'Gebinde-Kategorie'!$A$5:$N$45,14,0)*10+Parameter!$M$23,Parameter!$M$24))</f>
        <v>155</v>
      </c>
      <c r="CD422" s="60" t="str">
        <f aca="false">IF(AND(Parameter!$B$19="Ja",E422&lt;&gt;"",ISNUMBER(MATCH(E422,Parameter!$I$35:$I$52,0))),VLOOKUP(E422,Parameter!$I$35:$J$52,2,0),IFERROR(VLOOKUP(D422,Parameter!$A$35:$C$64,2,0),"Nein"))</f>
        <v>2+3</v>
      </c>
      <c r="CE422" s="64" t="n">
        <f aca="false">IF(CA422=0,0,IF(N(S422)&gt;0,S422,IFERROR(VLOOKUP(D422,Parameter!$A$35:$C$64,3,0)+0,0)))</f>
        <v>0</v>
      </c>
      <c r="CF422" s="60" t="n">
        <f aca="false">IF(AB422&lt;&gt;"",AB422,AA422)</f>
        <v>3</v>
      </c>
      <c r="CG422" s="60" t="str">
        <f aca="false">IF(OR(CF422=1,CF422=2,CF422=3),IF(Parameter!$E$27="Ja","LIFT",IF(CF422=1,"L1","L23")),IF(CF422="Aussen","Aussen","-"))</f>
        <v>LIFT</v>
      </c>
      <c r="CH422" s="71" t="n">
        <f aca="false">IF(N(AC422)&gt;0,AC422,0)</f>
        <v>0</v>
      </c>
      <c r="CI422" s="65" t="n">
        <f aca="false">IF(ISNUMBER(AF422),1,0)</f>
        <v>0</v>
      </c>
      <c r="CJ422" s="62" t="n">
        <f aca="false">N(AF422)</f>
        <v>0</v>
      </c>
      <c r="CK422" s="62" t="n">
        <f aca="false">N(M422)+N(N422)</f>
        <v>140</v>
      </c>
      <c r="CL422" s="62" t="n">
        <f aca="false">N(M422)</f>
        <v>5</v>
      </c>
      <c r="CM422" s="62" t="n">
        <f aca="false">N(N422)</f>
        <v>135</v>
      </c>
      <c r="CN422" s="62" t="n">
        <f aca="false">ROUNDUP(H422/BZ422,0)</f>
        <v>4</v>
      </c>
      <c r="CO422" s="62" t="n">
        <f aca="false">ROUNDUP(CJ422/BZ422,0)</f>
        <v>0</v>
      </c>
      <c r="CP422" s="65" t="n">
        <f aca="false">IF(CA422=1,0,IFERROR(VLOOKUP(BY422,'Gebinde-Kategorie'!$A$5:$N$45,5,0)+0,0))</f>
        <v>11</v>
      </c>
      <c r="CQ422" s="65" t="n">
        <f aca="false">IFERROR(IF(OR(CF422=1,CF422=2,CF422=3),N(INDEX(Parameter!$I$5:$I$7,CF422)),0),0)</f>
        <v>0</v>
      </c>
      <c r="CR422" s="64" t="n">
        <f aca="false">IF(AND(Parameter!$B$21="Ja",ISNUMBER(W422),N(X422)&gt;0),IFERROR(N(INDEX(Parameter!$L$5:$L$7,W422))*INDEX(Parameter!$E$5:$E$7,W422)*X422/SUMIFS($X$7:$X$1843,$W$7:$W$1843,W422),0),0)</f>
        <v>0</v>
      </c>
      <c r="CS422" s="62" t="n">
        <f aca="false">IF(AND(OR(CG422="L1",CG422="L23",CG422="LIFT"),H422&gt;0),CC422*IF(CR422&gt;0,CR422*MAX(1,H422/X422),IF(CA422=1,CE422,IF(R422&gt;0,CN422/R422,0))/MAX(0.1,N(Parameter!$M$21))),"")</f>
        <v>23.8461538461538</v>
      </c>
      <c r="CT422" s="64" t="n">
        <f aca="false">IF(CS422="","",J422/H422)</f>
        <v>0.985611510791367</v>
      </c>
      <c r="CU422" s="62" t="n">
        <f aca="false">IF(CS422="","",H422*G422)</f>
        <v>536.54</v>
      </c>
      <c r="CV422" s="63" t="n">
        <f aca="false">IF(CS422="","",(CL422+ROUNDUP(CL422+MAX(CM422,2*(J422/MAX(0.1,N(Einkauf!$C$6))-CL422)),0))/2)</f>
        <v>72.5</v>
      </c>
      <c r="CW422" s="62" t="n">
        <f aca="false">IF(CS422="","",MAX(0,H422-CV422)*G422)</f>
        <v>256.69</v>
      </c>
      <c r="CX422" s="62" t="n">
        <f aca="false">IF(CS422="","",CS422*MAX(0,1-CV422/H422))</f>
        <v>11.4084117321527</v>
      </c>
      <c r="CY422" s="64" t="n">
        <f aca="false">IF(CS422="","",PERCENTRANK($CS$7:$CS$1843,CS422)+PERCENTRANK($CU$7:$CU$1843,CU422)+1-PERCENTRANK($CT$7:$CT$1843,CT422))</f>
        <v>1.711</v>
      </c>
      <c r="CZ422" s="72" t="n">
        <f aca="false">IF(CS422="","",CHOOSE(MATCH(Einkauf!$C$5,Parameter!$G$23:$G$27,0),CY422,CS422,CU422,-CT422,CW422)+ROW()/1000000000)</f>
        <v>1.711000422</v>
      </c>
    </row>
    <row r="423" customFormat="false" ht="15" hidden="false" customHeight="false" outlineLevel="0" collapsed="false">
      <c r="A423" s="60" t="s">
        <v>1015</v>
      </c>
      <c r="B423" s="60" t="s">
        <v>1016</v>
      </c>
      <c r="C423" s="60" t="s">
        <v>206</v>
      </c>
      <c r="D423" s="60" t="s">
        <v>226</v>
      </c>
      <c r="E423" s="60"/>
      <c r="F423" s="60" t="s">
        <v>260</v>
      </c>
      <c r="G423" s="61" t="n">
        <v>13.78</v>
      </c>
      <c r="H423" s="62" t="n">
        <f aca="false">MAX(0,IF(AND(Parameter!$B$21="Ja",ISNUMBER(Y423)),Y423,IF(Parameter!$B$20="Jahresanfang 2025 + Export",BS423+BR423,BR423)))</f>
        <v>9</v>
      </c>
      <c r="I423" s="62" t="n">
        <f aca="false">H423*G423</f>
        <v>124.02</v>
      </c>
      <c r="J423" s="62" t="n">
        <f aca="false">BU423*Parameter!$B$18</f>
        <v>1</v>
      </c>
      <c r="K423" s="63" t="n">
        <v>4</v>
      </c>
      <c r="L423" s="64" t="n">
        <v>0.25</v>
      </c>
      <c r="M423" s="62" t="n">
        <v>5</v>
      </c>
      <c r="N423" s="62" t="n">
        <v>1</v>
      </c>
      <c r="O423" s="65" t="n">
        <v>14</v>
      </c>
      <c r="P423" s="60" t="s">
        <v>344</v>
      </c>
      <c r="Q423" s="62" t="n">
        <v>9</v>
      </c>
      <c r="R423" s="65" t="n">
        <f aca="false">IF(CA423=1,0,IFERROR(VLOOKUP(BY423,'Gebinde-Kategorie'!$A$5:$N$45,13,0)+0,0))</f>
        <v>26</v>
      </c>
      <c r="S423" s="66"/>
      <c r="T423" s="67"/>
      <c r="U423" s="67"/>
      <c r="V423" s="67"/>
      <c r="W423" s="60"/>
      <c r="X423" s="62"/>
      <c r="Y423" s="62"/>
      <c r="Z423" s="60" t="n">
        <v>3</v>
      </c>
      <c r="AA423" s="60" t="n">
        <f aca="false">IF(A423="","",IF(AND(Parameter!$B$21="Ja",ISNUMBER(W423)),W423,IF(AND(Parameter!$E$27="Ja",ISNUMBER(Z423),CD423&lt;&gt;"Nein"),Z423,IF(CD423="2+3",IF(ISNUMBER(SEARCH("grosser Artikel",BV423)),2,IFERROR(VLOOKUP(BY423,Parameter!$F$35:$G$64,2,0),2)),IF(OR(CD423="Nein",CD423=""),"-",CD423)))))</f>
        <v>3</v>
      </c>
      <c r="AB423" s="67"/>
      <c r="AC423" s="68"/>
      <c r="AD423" s="62" t="n">
        <f aca="false">AW423</f>
        <v>6</v>
      </c>
      <c r="AE423" s="62" t="n">
        <f aca="false">MAX(AW423,H423)</f>
        <v>9</v>
      </c>
      <c r="AF423" s="69"/>
      <c r="AG423" s="62" t="n">
        <f aca="false">IF(LEFT(Cockpit!$C$5,1)="A",H423,IF(Parameter!$E$30="MAX-Bestand",IF(CI423=1,CJ423,IF(LEFT(Cockpit!$C$5,1)="B",AM423,MAX(AM423,H423))),ROUNDUP(AK423,0)))</f>
        <v>9</v>
      </c>
      <c r="AH423" s="62" t="n">
        <f aca="false">IF(CA423=1,0,ROUNDUP(AG423/BZ423,0))</f>
        <v>1</v>
      </c>
      <c r="AI423" s="64" t="n">
        <f aca="false">IF(CR423&gt;0,CR423*MAX(1,AG423/X423),IF(CA423=1,IF(AG423&lt;=0,0,CE423*MAX(1,IF(H423&gt;0,AG423/H423,1))),IF(R423&gt;0,AH423/R423,0))/MAX(0.1,N(Parameter!$M$21)))</f>
        <v>0.0384615384615385</v>
      </c>
      <c r="AJ423" s="62" t="n">
        <f aca="false">AI423*CC423</f>
        <v>5.96153846153846</v>
      </c>
      <c r="AK423" s="63" t="n">
        <f aca="false">IF(LEFT(Cockpit!$C$5,1)="A",H423,IF(CI423=1,(CL423+CJ423)/2,IF(LEFT(Cockpit!$C$5,1)="B",(CL423+AM423)/2,MAX((CL423+AM423)/2,H423))))</f>
        <v>9</v>
      </c>
      <c r="AL423" s="62" t="n">
        <f aca="false">AK423*G423</f>
        <v>124.02</v>
      </c>
      <c r="AM423" s="62" t="n">
        <f aca="false">ROUNDUP(CL423+MAX(CM423,2*(J423/IF(CH423&gt;0,CH423,MAX(0.1,N(Cockpit!$C$6)))-CL423)),0)</f>
        <v>6</v>
      </c>
      <c r="AN423" s="63" t="n">
        <f aca="false">IF(AJ423&gt;0,J423/AJ423,-1)</f>
        <v>0.167741935483871</v>
      </c>
      <c r="AO423" s="63" t="n">
        <f aca="false">IF(AND(OR(CG423="L1",CG423="L23",CG423="LIFT"),AJ423&gt;0),SUMIFS($AJ$7:$AJ$1843,$CG$7:$CG$1843,CG423,$AN$7:$AN$1843,"&gt;"&amp;AN423)+SUMIFS($AJ$7:$AJ$1843,$CG$7:$CG$1843,CG423,$AN$7:$AN$1843,AN423,$BX$7:$BX$1843,"&lt;="&amp;BX423),"")</f>
        <v>12685.6952593075</v>
      </c>
      <c r="AP423" s="70" t="n">
        <f aca="false">IF(AO423="",0,MAX(0,MIN(1,(IF(CG423="L1",Parameter!$H$5,IF(CG423="L23",Parameter!$H$6+Parameter!$H$7,Parameter!$H$5+Parameter!$H$6+Parameter!$H$7))-(AO423-AJ423))/AJ423)))</f>
        <v>1</v>
      </c>
      <c r="AQ423" s="62" t="n">
        <f aca="false">IF(LEFT(Cockpit!$I$5,1)="A",H423,IF(Parameter!$E$30="MAX-Bestand",IF(CI423=1,CJ423,IF(LEFT(Cockpit!$I$5,1)="B",AW423,MAX(AW423,H423))),ROUNDUP(AU423,0)))</f>
        <v>9</v>
      </c>
      <c r="AR423" s="62" t="n">
        <f aca="false">IF(CA423=1,0,ROUNDUP(AQ423/BZ423,0))</f>
        <v>1</v>
      </c>
      <c r="AS423" s="64" t="n">
        <f aca="false">IF(CR423&gt;0,CR423*MAX(1,AQ423/X423),IF(CA423=1,IF(AQ423&lt;=0,0,CE423*MAX(1,IF(H423&gt;0,AQ423/H423,1))),IF(R423&gt;0,AR423/R423,0))/MAX(0.1,N(Parameter!$M$21)))</f>
        <v>0.0384615384615385</v>
      </c>
      <c r="AT423" s="62" t="n">
        <f aca="false">AS423*CC423</f>
        <v>5.96153846153846</v>
      </c>
      <c r="AU423" s="63" t="n">
        <f aca="false">IF(LEFT(Cockpit!$I$5,1)="A",H423,IF(CI423=1,(CL423+CJ423)/2,IF(LEFT(Cockpit!$I$5,1)="B",(CL423+AW423)/2,MAX((CL423+AW423)/2,H423))))</f>
        <v>9</v>
      </c>
      <c r="AV423" s="62" t="n">
        <f aca="false">AU423*G423</f>
        <v>124.02</v>
      </c>
      <c r="AW423" s="62" t="n">
        <f aca="false">ROUNDUP(CL423+MAX(CM423,2*(J423/IF(CH423&gt;0,CH423,MAX(0.1,N(Cockpit!$I$6)))-CL423)),0)</f>
        <v>6</v>
      </c>
      <c r="AX423" s="63" t="n">
        <f aca="false">IF(AT423&gt;0,J423/AT423,-1)</f>
        <v>0.167741935483871</v>
      </c>
      <c r="AY423" s="63" t="n">
        <f aca="false">IF(AND(OR(CG423="L1",CG423="L23",CG423="LIFT"),AT423&gt;0),SUMIFS($AT$7:$AT$1843,$CG$7:$CG$1843,CG423,$AX$7:$AX$1843,"&gt;"&amp;AX423)+SUMIFS($AT$7:$AT$1843,$CG$7:$CG$1843,CG423,$AX$7:$AX$1843,AX423,$BX$7:$BX$1843,"&lt;="&amp;BX423),"")</f>
        <v>15602.4528388278</v>
      </c>
      <c r="AZ423" s="70" t="n">
        <f aca="false">IF(AY423="",0,MAX(0,MIN(1,(IF(CG423="L1",Parameter!$H$5,IF(CG423="L23",Parameter!$H$6+Parameter!$H$7,Parameter!$H$5+Parameter!$H$6+Parameter!$H$7))-(AY423-AT423))/AT423)))</f>
        <v>1</v>
      </c>
      <c r="BA423" s="62" t="n">
        <f aca="false">IF(LEFT(Cockpit!$O$5,1)="A",H423,IF(Parameter!$E$30="MAX-Bestand",IF(CI423=1,CJ423,IF(LEFT(Cockpit!$O$5,1)="B",BG423,MAX(BG423,H423))),ROUNDUP(BE423,0)))</f>
        <v>6</v>
      </c>
      <c r="BB423" s="62" t="n">
        <f aca="false">IF(CA423=1,0,ROUNDUP(BA423/BZ423,0))</f>
        <v>1</v>
      </c>
      <c r="BC423" s="64" t="n">
        <f aca="false">IF(CR423&gt;0,CR423*MAX(1,BA423/X423),IF(CA423=1,IF(BA423&lt;=0,0,CE423*MAX(1,IF(H423&gt;0,BA423/H423,1))),IF(R423&gt;0,BB423/R423,0))/MAX(0.1,N(Parameter!$M$21)))</f>
        <v>0.0384615384615385</v>
      </c>
      <c r="BD423" s="62" t="n">
        <f aca="false">BC423*CC423</f>
        <v>5.96153846153846</v>
      </c>
      <c r="BE423" s="63" t="n">
        <f aca="false">IF(LEFT(Cockpit!$O$5,1)="A",H423,IF(CI423=1,(CL423+CJ423)/2,IF(LEFT(Cockpit!$O$5,1)="B",(CL423+BG423)/2,MAX((CL423+BG423)/2,H423))))</f>
        <v>5.5</v>
      </c>
      <c r="BF423" s="62" t="n">
        <f aca="false">BE423*G423</f>
        <v>75.79</v>
      </c>
      <c r="BG423" s="62" t="n">
        <f aca="false">ROUNDUP(CL423+MAX(CM423,2*(J423/IF(CH423&gt;0,CH423,MAX(0.1,N(Cockpit!$O$6)))-CL423)),0)</f>
        <v>6</v>
      </c>
      <c r="BH423" s="63" t="n">
        <f aca="false">IF(BD423&gt;0,J423/BD423,-1)</f>
        <v>0.167741935483871</v>
      </c>
      <c r="BI423" s="63" t="n">
        <f aca="false">IF(AND(OR(CG423="L1",CG423="L23",CG423="LIFT"),BD423&gt;0),SUMIFS($BD$7:$BD$1843,$CG$7:$CG$1843,CG423,$BH$7:$BH$1843,"&gt;"&amp;BH423)+SUMIFS($BD$7:$BD$1843,$CG$7:$CG$1843,CG423,$BH$7:$BH$1843,BH423,$BX$7:$BX$1843,"&lt;="&amp;BX423),"")</f>
        <v>13398.7911285983</v>
      </c>
      <c r="BJ423" s="70" t="n">
        <f aca="false">IF(BI423="",0,MAX(0,MIN(1,(IF(CG423="L1",Parameter!$H$5,IF(CG423="L23",Parameter!$H$6+Parameter!$H$7,Parameter!$H$5+Parameter!$H$6+Parameter!$H$7))-(BI423-BD423))/BD423)))</f>
        <v>1</v>
      </c>
      <c r="BK423" s="60" t="str">
        <f aca="false">IF(AJ423&lt;=0,"",IF(CG423="Aussen","Aussenlager",IF(CG423="-","Nicht im Lift",IF(AP423&gt;=1,"Lift",IF(AP423&lt;=0,"Aussenlager","teilweise")))))</f>
        <v>Lift</v>
      </c>
      <c r="BL423" s="60" t="str">
        <f aca="false">IF(AT423&lt;=0,"",IF(CG423="Aussen","Aussenlager",IF(CG423="-","Nicht im Lift",IF(AZ423&gt;=1,"Lift",IF(AZ423&lt;=0,"Aussenlager","teilweise")))))</f>
        <v>Lift</v>
      </c>
      <c r="BM423" s="60" t="str">
        <f aca="false">IF(BD423&lt;=0,"",IF(CG423="Aussen","Aussenlager",IF(CG423="-","Nicht im Lift",IF(BJ423&gt;=1,"Lift",IF(BJ423&lt;=0,"Aussenlager","teilweise")))))</f>
        <v>Lift</v>
      </c>
      <c r="BN423" s="60" t="str">
        <f aca="false">IF(A423="","",IF(BW423=1,"Neu; ","")&amp;IF(AND(BW423=0,BR423&lt;0),"negativer Bestand (Export "&amp;BR423&amp;"); ","")&amp;IF(J423&lt;=0,"Kein Verbrauch; ","")&amp;IF(CR423&gt;0,"Lift "&amp;W423&amp;" lt. Liftbericht (Fach "&amp;X423&amp;" Stk); ",IF(CB423=1,"Gebinde geschätzt ("&amp;T423&amp;"); ",IF(CA423=1,"Lose – Tablare geschätzt; ","")))&amp;IF(H423&gt;AW423,"Überbestand "&amp;ROUND(H423-AW423,0)&amp;" Stk / CHF "&amp;ROUND((H423-AW423)*G423,0)&amp;"; ","")&amp;IF(AND(CI423=1,CJ423&lt;CK423),"MAX &lt; MB+LG; ","")&amp;IF(AND(CQ423&gt;0,CP423*10&gt;CQ423),"zu hoch für Tablar; ","")&amp;IF(AND(BW423=0,OR(CI423=1,AB423&lt;&gt;"",U423&lt;&gt;"",V423&lt;&gt;"",AC423&lt;&gt;"")),"manuell übersteuert; ","")&amp;IF(AND(CA423=0,R423=0),"Gebinde unbekannt / Stellmass fehlt; ","")&amp;IF(AND(CA423=0,N(V423)&lt;=0,N(Q423)&lt;=0),"Menge pro Gebinde fehlt (Ist = 1 Gebinde); ","")&amp;BV423)</f>
        <v>Überbestand 3 Stk / CHF 41; liegend gelagert</v>
      </c>
      <c r="BO423" s="60"/>
      <c r="BP423" s="60"/>
      <c r="BQ423" s="67"/>
      <c r="BR423" s="62" t="n">
        <v>7</v>
      </c>
      <c r="BS423" s="62" t="n">
        <v>2</v>
      </c>
      <c r="BT423" s="61" t="n">
        <v>91.76</v>
      </c>
      <c r="BU423" s="62" t="n">
        <v>1</v>
      </c>
      <c r="BV423" s="60" t="s">
        <v>1017</v>
      </c>
      <c r="BW423" s="65" t="n">
        <v>0</v>
      </c>
      <c r="BX423" s="65" t="n">
        <v>423</v>
      </c>
      <c r="BY423" s="60" t="str">
        <f aca="false">IF(U423&lt;&gt;"",UPPER(TRIM(U423)),IF(CB423=1,UPPER(VLOOKUP(T423,Parameter!$I$27:$K$29,2,0)),IF(P423="","LOSE",P423)))</f>
        <v>S51</v>
      </c>
      <c r="BZ423" s="62" t="n">
        <f aca="false">IF(BY423="LOSE",1,IF(N(V423)&gt;0,V423,IF(CB423=1,MAX(1,N(VLOOKUP(T423,Parameter!$I$27:$K$29,3,0)),H423,N(N423)),IF(N(Q423)&gt;0,Q423,MAX(1,H423)))))</f>
        <v>9</v>
      </c>
      <c r="CA423" s="65" t="n">
        <f aca="false">IF(BY423="LOSE",1,0)</f>
        <v>0</v>
      </c>
      <c r="CB423" s="65" t="n">
        <f aca="false">IF(AND(U423="",OR(P423="",P423="LOSE"),T423&lt;&gt;"",N(S423)&lt;=0,ISNUMBER(MATCH(T423,Parameter!$I$27:$I$29,0))),1,0)</f>
        <v>0</v>
      </c>
      <c r="CC423" s="65" t="n">
        <f aca="false">IF(CR423&gt;0,INDEX(Parameter!$H$5:$H$7,W423)/INDEX(Parameter!$E$5:$E$7,W423),IF(AND(CA423=0,N(IFERROR(VLOOKUP(BY423,'Gebinde-Kategorie'!$A$5:$N$45,14,0),0))&gt;0),VLOOKUP(BY423,'Gebinde-Kategorie'!$A$5:$N$45,14,0)*10+Parameter!$M$23,Parameter!$M$24))</f>
        <v>155</v>
      </c>
      <c r="CD423" s="60" t="str">
        <f aca="false">IF(AND(Parameter!$B$19="Ja",E423&lt;&gt;"",ISNUMBER(MATCH(E423,Parameter!$I$35:$I$52,0))),VLOOKUP(E423,Parameter!$I$35:$J$52,2,0),IFERROR(VLOOKUP(D423,Parameter!$A$35:$C$64,2,0),"Nein"))</f>
        <v>2+3</v>
      </c>
      <c r="CE423" s="64" t="n">
        <f aca="false">IF(CA423=0,0,IF(N(S423)&gt;0,S423,IFERROR(VLOOKUP(D423,Parameter!$A$35:$C$64,3,0)+0,0)))</f>
        <v>0</v>
      </c>
      <c r="CF423" s="60" t="n">
        <f aca="false">IF(AB423&lt;&gt;"",AB423,AA423)</f>
        <v>3</v>
      </c>
      <c r="CG423" s="60" t="str">
        <f aca="false">IF(OR(CF423=1,CF423=2,CF423=3),IF(Parameter!$E$27="Ja","LIFT",IF(CF423=1,"L1","L23")),IF(CF423="Aussen","Aussen","-"))</f>
        <v>LIFT</v>
      </c>
      <c r="CH423" s="71" t="n">
        <f aca="false">IF(N(AC423)&gt;0,AC423,0)</f>
        <v>0</v>
      </c>
      <c r="CI423" s="65" t="n">
        <f aca="false">IF(ISNUMBER(AF423),1,0)</f>
        <v>0</v>
      </c>
      <c r="CJ423" s="62" t="n">
        <f aca="false">N(AF423)</f>
        <v>0</v>
      </c>
      <c r="CK423" s="62" t="n">
        <f aca="false">N(M423)+N(N423)</f>
        <v>6</v>
      </c>
      <c r="CL423" s="62" t="n">
        <f aca="false">N(M423)</f>
        <v>5</v>
      </c>
      <c r="CM423" s="62" t="n">
        <f aca="false">N(N423)</f>
        <v>1</v>
      </c>
      <c r="CN423" s="62" t="n">
        <f aca="false">ROUNDUP(H423/BZ423,0)</f>
        <v>1</v>
      </c>
      <c r="CO423" s="62" t="n">
        <f aca="false">ROUNDUP(CJ423/BZ423,0)</f>
        <v>0</v>
      </c>
      <c r="CP423" s="65" t="n">
        <f aca="false">IF(CA423=1,0,IFERROR(VLOOKUP(BY423,'Gebinde-Kategorie'!$A$5:$N$45,5,0)+0,0))</f>
        <v>11</v>
      </c>
      <c r="CQ423" s="65" t="n">
        <f aca="false">IFERROR(IF(OR(CF423=1,CF423=2,CF423=3),N(INDEX(Parameter!$I$5:$I$7,CF423)),0),0)</f>
        <v>0</v>
      </c>
      <c r="CR423" s="64" t="n">
        <f aca="false">IF(AND(Parameter!$B$21="Ja",ISNUMBER(W423),N(X423)&gt;0),IFERROR(N(INDEX(Parameter!$L$5:$L$7,W423))*INDEX(Parameter!$E$5:$E$7,W423)*X423/SUMIFS($X$7:$X$1843,$W$7:$W$1843,W423),0),0)</f>
        <v>0</v>
      </c>
      <c r="CS423" s="62" t="n">
        <f aca="false">IF(AND(OR(CG423="L1",CG423="L23",CG423="LIFT"),H423&gt;0),CC423*IF(CR423&gt;0,CR423*MAX(1,H423/X423),IF(CA423=1,CE423,IF(R423&gt;0,CN423/R423,0))/MAX(0.1,N(Parameter!$M$21))),"")</f>
        <v>5.96153846153846</v>
      </c>
      <c r="CT423" s="64" t="n">
        <f aca="false">IF(CS423="","",J423/H423)</f>
        <v>0.111111111111111</v>
      </c>
      <c r="CU423" s="62" t="n">
        <f aca="false">IF(CS423="","",H423*G423)</f>
        <v>124.02</v>
      </c>
      <c r="CV423" s="63" t="n">
        <f aca="false">IF(CS423="","",(CL423+ROUNDUP(CL423+MAX(CM423,2*(J423/MAX(0.1,N(Einkauf!$C$6))-CL423)),0))/2)</f>
        <v>5.5</v>
      </c>
      <c r="CW423" s="62" t="n">
        <f aca="false">IF(CS423="","",MAX(0,H423-CV423)*G423)</f>
        <v>48.23</v>
      </c>
      <c r="CX423" s="62" t="n">
        <f aca="false">IF(CS423="","",CS423*MAX(0,1-CV423/H423))</f>
        <v>2.31837606837607</v>
      </c>
      <c r="CY423" s="64" t="n">
        <f aca="false">IF(CS423="","",PERCENTRANK($CS$7:$CS$1843,CS423)+PERCENTRANK($CU$7:$CU$1843,CU423)+1-PERCENTRANK($CT$7:$CT$1843,CT423))</f>
        <v>1.187</v>
      </c>
      <c r="CZ423" s="72" t="n">
        <f aca="false">IF(CS423="","",CHOOSE(MATCH(Einkauf!$C$5,Parameter!$G$23:$G$27,0),CY423,CS423,CU423,-CT423,CW423)+ROW()/1000000000)</f>
        <v>1.187000423</v>
      </c>
    </row>
    <row r="424" customFormat="false" ht="15" hidden="false" customHeight="false" outlineLevel="0" collapsed="false">
      <c r="A424" s="60" t="s">
        <v>1018</v>
      </c>
      <c r="B424" s="60" t="s">
        <v>1019</v>
      </c>
      <c r="C424" s="60" t="s">
        <v>206</v>
      </c>
      <c r="D424" s="60" t="s">
        <v>226</v>
      </c>
      <c r="E424" s="60" t="s">
        <v>227</v>
      </c>
      <c r="F424" s="60" t="s">
        <v>260</v>
      </c>
      <c r="G424" s="61" t="n">
        <v>2.67</v>
      </c>
      <c r="H424" s="62" t="n">
        <f aca="false">MAX(0,IF(AND(Parameter!$B$21="Ja",ISNUMBER(Y424)),Y424,IF(Parameter!$B$20="Jahresanfang 2025 + Export",BS424+BR424,BR424)))</f>
        <v>45</v>
      </c>
      <c r="I424" s="62" t="n">
        <f aca="false">H424*G424</f>
        <v>120.15</v>
      </c>
      <c r="J424" s="62" t="n">
        <f aca="false">BU424*Parameter!$B$18</f>
        <v>13</v>
      </c>
      <c r="K424" s="63" t="n">
        <v>19.5</v>
      </c>
      <c r="L424" s="64" t="n">
        <v>0.666666666666667</v>
      </c>
      <c r="M424" s="62" t="n">
        <v>0</v>
      </c>
      <c r="N424" s="62" t="n">
        <v>20</v>
      </c>
      <c r="O424" s="65" t="n">
        <v>14</v>
      </c>
      <c r="P424" s="60" t="s">
        <v>463</v>
      </c>
      <c r="Q424" s="62" t="n">
        <v>35</v>
      </c>
      <c r="R424" s="65" t="n">
        <f aca="false">IF(CA424=1,0,IFERROR(VLOOKUP(BY424,'Gebinde-Kategorie'!$A$5:$N$45,13,0)+0,0))</f>
        <v>104</v>
      </c>
      <c r="S424" s="66"/>
      <c r="T424" s="67"/>
      <c r="U424" s="67"/>
      <c r="V424" s="67"/>
      <c r="W424" s="60"/>
      <c r="X424" s="62"/>
      <c r="Y424" s="62"/>
      <c r="Z424" s="60" t="n">
        <v>3</v>
      </c>
      <c r="AA424" s="60" t="n">
        <f aca="false">IF(A424="","",IF(AND(Parameter!$B$21="Ja",ISNUMBER(W424)),W424,IF(AND(Parameter!$E$27="Ja",ISNUMBER(Z424),CD424&lt;&gt;"Nein"),Z424,IF(CD424="2+3",IF(ISNUMBER(SEARCH("grosser Artikel",BV424)),2,IFERROR(VLOOKUP(BY424,Parameter!$F$35:$G$64,2,0),2)),IF(OR(CD424="Nein",CD424=""),"-",CD424)))))</f>
        <v>3</v>
      </c>
      <c r="AB424" s="67"/>
      <c r="AC424" s="68"/>
      <c r="AD424" s="62" t="n">
        <f aca="false">AW424</f>
        <v>20</v>
      </c>
      <c r="AE424" s="62" t="n">
        <f aca="false">MAX(AW424,H424)</f>
        <v>45</v>
      </c>
      <c r="AF424" s="69"/>
      <c r="AG424" s="62" t="n">
        <f aca="false">IF(LEFT(Cockpit!$C$5,1)="A",H424,IF(Parameter!$E$30="MAX-Bestand",IF(CI424=1,CJ424,IF(LEFT(Cockpit!$C$5,1)="B",AM424,MAX(AM424,H424))),ROUNDUP(AK424,0)))</f>
        <v>45</v>
      </c>
      <c r="AH424" s="62" t="n">
        <f aca="false">IF(CA424=1,0,ROUNDUP(AG424/BZ424,0))</f>
        <v>2</v>
      </c>
      <c r="AI424" s="64" t="n">
        <f aca="false">IF(CR424&gt;0,CR424*MAX(1,AG424/X424),IF(CA424=1,IF(AG424&lt;=0,0,CE424*MAX(1,IF(H424&gt;0,AG424/H424,1))),IF(R424&gt;0,AH424/R424,0))/MAX(0.1,N(Parameter!$M$21)))</f>
        <v>0.0192307692307692</v>
      </c>
      <c r="AJ424" s="62" t="n">
        <f aca="false">AI424*CC424</f>
        <v>2.98076923076923</v>
      </c>
      <c r="AK424" s="63" t="n">
        <f aca="false">IF(LEFT(Cockpit!$C$5,1)="A",H424,IF(CI424=1,(CL424+CJ424)/2,IF(LEFT(Cockpit!$C$5,1)="B",(CL424+AM424)/2,MAX((CL424+AM424)/2,H424))))</f>
        <v>45</v>
      </c>
      <c r="AL424" s="62" t="n">
        <f aca="false">AK424*G424</f>
        <v>120.15</v>
      </c>
      <c r="AM424" s="62" t="n">
        <f aca="false">ROUNDUP(CL424+MAX(CM424,2*(J424/IF(CH424&gt;0,CH424,MAX(0.1,N(Cockpit!$C$6)))-CL424)),0)</f>
        <v>20</v>
      </c>
      <c r="AN424" s="63" t="n">
        <f aca="false">IF(AJ424&gt;0,J424/AJ424,-1)</f>
        <v>4.36129032258065</v>
      </c>
      <c r="AO424" s="63" t="n">
        <f aca="false">IF(AND(OR(CG424="L1",CG424="L23",CG424="LIFT"),AJ424&gt;0),SUMIFS($AJ$7:$AJ$1843,$CG$7:$CG$1843,CG424,$AN$7:$AN$1843,"&gt;"&amp;AN424)+SUMIFS($AJ$7:$AJ$1843,$CG$7:$CG$1843,CG424,$AN$7:$AN$1843,AN424,$BX$7:$BX$1843,"&lt;="&amp;BX424),"")</f>
        <v>4183.59294871795</v>
      </c>
      <c r="AP424" s="70" t="n">
        <f aca="false">IF(AO424="",0,MAX(0,MIN(1,(IF(CG424="L1",Parameter!$H$5,IF(CG424="L23",Parameter!$H$6+Parameter!$H$7,Parameter!$H$5+Parameter!$H$6+Parameter!$H$7))-(AO424-AJ424))/AJ424)))</f>
        <v>1</v>
      </c>
      <c r="AQ424" s="62" t="n">
        <f aca="false">IF(LEFT(Cockpit!$I$5,1)="A",H424,IF(Parameter!$E$30="MAX-Bestand",IF(CI424=1,CJ424,IF(LEFT(Cockpit!$I$5,1)="B",AW424,MAX(AW424,H424))),ROUNDUP(AU424,0)))</f>
        <v>45</v>
      </c>
      <c r="AR424" s="62" t="n">
        <f aca="false">IF(CA424=1,0,ROUNDUP(AQ424/BZ424,0))</f>
        <v>2</v>
      </c>
      <c r="AS424" s="64" t="n">
        <f aca="false">IF(CR424&gt;0,CR424*MAX(1,AQ424/X424),IF(CA424=1,IF(AQ424&lt;=0,0,CE424*MAX(1,IF(H424&gt;0,AQ424/H424,1))),IF(R424&gt;0,AR424/R424,0))/MAX(0.1,N(Parameter!$M$21)))</f>
        <v>0.0192307692307692</v>
      </c>
      <c r="AT424" s="62" t="n">
        <f aca="false">AS424*CC424</f>
        <v>2.98076923076923</v>
      </c>
      <c r="AU424" s="63" t="n">
        <f aca="false">IF(LEFT(Cockpit!$I$5,1)="A",H424,IF(CI424=1,(CL424+CJ424)/2,IF(LEFT(Cockpit!$I$5,1)="B",(CL424+AW424)/2,MAX((CL424+AW424)/2,H424))))</f>
        <v>45</v>
      </c>
      <c r="AV424" s="62" t="n">
        <f aca="false">AU424*G424</f>
        <v>120.15</v>
      </c>
      <c r="AW424" s="62" t="n">
        <f aca="false">ROUNDUP(CL424+MAX(CM424,2*(J424/IF(CH424&gt;0,CH424,MAX(0.1,N(Cockpit!$I$6)))-CL424)),0)</f>
        <v>20</v>
      </c>
      <c r="AX424" s="63" t="n">
        <f aca="false">IF(AT424&gt;0,J424/AT424,-1)</f>
        <v>4.36129032258065</v>
      </c>
      <c r="AY424" s="63" t="n">
        <f aca="false">IF(AND(OR(CG424="L1",CG424="L23",CG424="LIFT"),AT424&gt;0),SUMIFS($AT$7:$AT$1843,$CG$7:$CG$1843,CG424,$AX$7:$AX$1843,"&gt;"&amp;AX424)+SUMIFS($AT$7:$AT$1843,$CG$7:$CG$1843,CG424,$AX$7:$AX$1843,AX424,$BX$7:$BX$1843,"&lt;="&amp;BX424),"")</f>
        <v>4751.08379120879</v>
      </c>
      <c r="AZ424" s="70" t="n">
        <f aca="false">IF(AY424="",0,MAX(0,MIN(1,(IF(CG424="L1",Parameter!$H$5,IF(CG424="L23",Parameter!$H$6+Parameter!$H$7,Parameter!$H$5+Parameter!$H$6+Parameter!$H$7))-(AY424-AT424))/AT424)))</f>
        <v>1</v>
      </c>
      <c r="BA424" s="62" t="n">
        <f aca="false">IF(LEFT(Cockpit!$O$5,1)="A",H424,IF(Parameter!$E$30="MAX-Bestand",IF(CI424=1,CJ424,IF(LEFT(Cockpit!$O$5,1)="B",BG424,MAX(BG424,H424))),ROUNDUP(BE424,0)))</f>
        <v>10</v>
      </c>
      <c r="BB424" s="62" t="n">
        <f aca="false">IF(CA424=1,0,ROUNDUP(BA424/BZ424,0))</f>
        <v>1</v>
      </c>
      <c r="BC424" s="64" t="n">
        <f aca="false">IF(CR424&gt;0,CR424*MAX(1,BA424/X424),IF(CA424=1,IF(BA424&lt;=0,0,CE424*MAX(1,IF(H424&gt;0,BA424/H424,1))),IF(R424&gt;0,BB424/R424,0))/MAX(0.1,N(Parameter!$M$21)))</f>
        <v>0.00961538461538462</v>
      </c>
      <c r="BD424" s="62" t="n">
        <f aca="false">BC424*CC424</f>
        <v>1.49038461538462</v>
      </c>
      <c r="BE424" s="63" t="n">
        <f aca="false">IF(LEFT(Cockpit!$O$5,1)="A",H424,IF(CI424=1,(CL424+CJ424)/2,IF(LEFT(Cockpit!$O$5,1)="B",(CL424+BG424)/2,MAX((CL424+BG424)/2,H424))))</f>
        <v>10</v>
      </c>
      <c r="BF424" s="62" t="n">
        <f aca="false">BE424*G424</f>
        <v>26.7</v>
      </c>
      <c r="BG424" s="62" t="n">
        <f aca="false">ROUNDUP(CL424+MAX(CM424,2*(J424/IF(CH424&gt;0,CH424,MAX(0.1,N(Cockpit!$O$6)))-CL424)),0)</f>
        <v>20</v>
      </c>
      <c r="BH424" s="63" t="n">
        <f aca="false">IF(BD424&gt;0,J424/BD424,-1)</f>
        <v>8.72258064516129</v>
      </c>
      <c r="BI424" s="63" t="n">
        <f aca="false">IF(AND(OR(CG424="L1",CG424="L23",CG424="LIFT"),BD424&gt;0),SUMIFS($BD$7:$BD$1843,$CG$7:$CG$1843,CG424,$BH$7:$BH$1843,"&gt;"&amp;BH424)+SUMIFS($BD$7:$BD$1843,$CG$7:$CG$1843,CG424,$BH$7:$BH$1843,BH424,$BX$7:$BX$1843,"&lt;="&amp;BX424),"")</f>
        <v>2890.68772893773</v>
      </c>
      <c r="BJ424" s="70" t="n">
        <f aca="false">IF(BI424="",0,MAX(0,MIN(1,(IF(CG424="L1",Parameter!$H$5,IF(CG424="L23",Parameter!$H$6+Parameter!$H$7,Parameter!$H$5+Parameter!$H$6+Parameter!$H$7))-(BI424-BD424))/BD424)))</f>
        <v>1</v>
      </c>
      <c r="BK424" s="60" t="str">
        <f aca="false">IF(AJ424&lt;=0,"",IF(CG424="Aussen","Aussenlager",IF(CG424="-","Nicht im Lift",IF(AP424&gt;=1,"Lift",IF(AP424&lt;=0,"Aussenlager","teilweise")))))</f>
        <v>Lift</v>
      </c>
      <c r="BL424" s="60" t="str">
        <f aca="false">IF(AT424&lt;=0,"",IF(CG424="Aussen","Aussenlager",IF(CG424="-","Nicht im Lift",IF(AZ424&gt;=1,"Lift",IF(AZ424&lt;=0,"Aussenlager","teilweise")))))</f>
        <v>Lift</v>
      </c>
      <c r="BM424" s="60" t="str">
        <f aca="false">IF(BD424&lt;=0,"",IF(CG424="Aussen","Aussenlager",IF(CG424="-","Nicht im Lift",IF(BJ424&gt;=1,"Lift",IF(BJ424&lt;=0,"Aussenlager","teilweise")))))</f>
        <v>Lift</v>
      </c>
      <c r="BN424" s="60" t="str">
        <f aca="false">IF(A424="","",IF(BW424=1,"Neu; ","")&amp;IF(AND(BW424=0,BR424&lt;0),"negativer Bestand (Export "&amp;BR424&amp;"); ","")&amp;IF(J424&lt;=0,"Kein Verbrauch; ","")&amp;IF(CR424&gt;0,"Lift "&amp;W424&amp;" lt. Liftbericht (Fach "&amp;X424&amp;" Stk); ",IF(CB424=1,"Gebinde geschätzt ("&amp;T424&amp;"); ",IF(CA424=1,"Lose – Tablare geschätzt; ","")))&amp;IF(H424&gt;AW424,"Überbestand "&amp;ROUND(H424-AW424,0)&amp;" Stk / CHF "&amp;ROUND((H424-AW424)*G424,0)&amp;"; ","")&amp;IF(AND(CI424=1,CJ424&lt;CK424),"MAX &lt; MB+LG; ","")&amp;IF(AND(CQ424&gt;0,CP424*10&gt;CQ424),"zu hoch für Tablar; ","")&amp;IF(AND(BW424=0,OR(CI424=1,AB424&lt;&gt;"",U424&lt;&gt;"",V424&lt;&gt;"",AC424&lt;&gt;"")),"manuell übersteuert; ","")&amp;IF(AND(CA424=0,R424=0),"Gebinde unbekannt / Stellmass fehlt; ","")&amp;IF(AND(CA424=0,N(V424)&lt;=0,N(Q424)&lt;=0),"Menge pro Gebinde fehlt (Ist = 1 Gebinde); ","")&amp;BV424)</f>
        <v>Überbestand 25 Stk / CHF 67; </v>
      </c>
      <c r="BO424" s="60"/>
      <c r="BP424" s="60"/>
      <c r="BQ424" s="67"/>
      <c r="BR424" s="62" t="n">
        <v>34</v>
      </c>
      <c r="BS424" s="62" t="n">
        <v>11</v>
      </c>
      <c r="BT424" s="61" t="n">
        <v>90.23</v>
      </c>
      <c r="BU424" s="62" t="n">
        <v>13</v>
      </c>
      <c r="BV424" s="60"/>
      <c r="BW424" s="65" t="n">
        <v>0</v>
      </c>
      <c r="BX424" s="65" t="n">
        <v>424</v>
      </c>
      <c r="BY424" s="60" t="str">
        <f aca="false">IF(U424&lt;&gt;"",UPPER(TRIM(U424)),IF(CB424=1,UPPER(VLOOKUP(T424,Parameter!$I$27:$K$29,2,0)),IF(P424="","LOSE",P424)))</f>
        <v>S32</v>
      </c>
      <c r="BZ424" s="62" t="n">
        <f aca="false">IF(BY424="LOSE",1,IF(N(V424)&gt;0,V424,IF(CB424=1,MAX(1,N(VLOOKUP(T424,Parameter!$I$27:$K$29,3,0)),H424,N(N424)),IF(N(Q424)&gt;0,Q424,MAX(1,H424)))))</f>
        <v>35</v>
      </c>
      <c r="CA424" s="65" t="n">
        <f aca="false">IF(BY424="LOSE",1,0)</f>
        <v>0</v>
      </c>
      <c r="CB424" s="65" t="n">
        <f aca="false">IF(AND(U424="",OR(P424="",P424="LOSE"),T424&lt;&gt;"",N(S424)&lt;=0,ISNUMBER(MATCH(T424,Parameter!$I$27:$I$29,0))),1,0)</f>
        <v>0</v>
      </c>
      <c r="CC424" s="65" t="n">
        <f aca="false">IF(CR424&gt;0,INDEX(Parameter!$H$5:$H$7,W424)/INDEX(Parameter!$E$5:$E$7,W424),IF(AND(CA424=0,N(IFERROR(VLOOKUP(BY424,'Gebinde-Kategorie'!$A$5:$N$45,14,0),0))&gt;0),VLOOKUP(BY424,'Gebinde-Kategorie'!$A$5:$N$45,14,0)*10+Parameter!$M$23,Parameter!$M$24))</f>
        <v>155</v>
      </c>
      <c r="CD424" s="60" t="str">
        <f aca="false">IF(AND(Parameter!$B$19="Ja",E424&lt;&gt;"",ISNUMBER(MATCH(E424,Parameter!$I$35:$I$52,0))),VLOOKUP(E424,Parameter!$I$35:$J$52,2,0),IFERROR(VLOOKUP(D424,Parameter!$A$35:$C$64,2,0),"Nein"))</f>
        <v>2+3</v>
      </c>
      <c r="CE424" s="64" t="n">
        <f aca="false">IF(CA424=0,0,IF(N(S424)&gt;0,S424,IFERROR(VLOOKUP(D424,Parameter!$A$35:$C$64,3,0)+0,0)))</f>
        <v>0</v>
      </c>
      <c r="CF424" s="60" t="n">
        <f aca="false">IF(AB424&lt;&gt;"",AB424,AA424)</f>
        <v>3</v>
      </c>
      <c r="CG424" s="60" t="str">
        <f aca="false">IF(OR(CF424=1,CF424=2,CF424=3),IF(Parameter!$E$27="Ja","LIFT",IF(CF424=1,"L1","L23")),IF(CF424="Aussen","Aussen","-"))</f>
        <v>LIFT</v>
      </c>
      <c r="CH424" s="71" t="n">
        <f aca="false">IF(N(AC424)&gt;0,AC424,0)</f>
        <v>0</v>
      </c>
      <c r="CI424" s="65" t="n">
        <f aca="false">IF(ISNUMBER(AF424),1,0)</f>
        <v>0</v>
      </c>
      <c r="CJ424" s="62" t="n">
        <f aca="false">N(AF424)</f>
        <v>0</v>
      </c>
      <c r="CK424" s="62" t="n">
        <f aca="false">N(M424)+N(N424)</f>
        <v>20</v>
      </c>
      <c r="CL424" s="62" t="n">
        <f aca="false">N(M424)</f>
        <v>0</v>
      </c>
      <c r="CM424" s="62" t="n">
        <f aca="false">N(N424)</f>
        <v>20</v>
      </c>
      <c r="CN424" s="62" t="n">
        <f aca="false">ROUNDUP(H424/BZ424,0)</f>
        <v>2</v>
      </c>
      <c r="CO424" s="62" t="n">
        <f aca="false">ROUNDUP(CJ424/BZ424,0)</f>
        <v>0</v>
      </c>
      <c r="CP424" s="65" t="n">
        <f aca="false">IF(CA424=1,0,IFERROR(VLOOKUP(BY424,'Gebinde-Kategorie'!$A$5:$N$45,5,0)+0,0))</f>
        <v>8</v>
      </c>
      <c r="CQ424" s="65" t="n">
        <f aca="false">IFERROR(IF(OR(CF424=1,CF424=2,CF424=3),N(INDEX(Parameter!$I$5:$I$7,CF424)),0),0)</f>
        <v>0</v>
      </c>
      <c r="CR424" s="64" t="n">
        <f aca="false">IF(AND(Parameter!$B$21="Ja",ISNUMBER(W424),N(X424)&gt;0),IFERROR(N(INDEX(Parameter!$L$5:$L$7,W424))*INDEX(Parameter!$E$5:$E$7,W424)*X424/SUMIFS($X$7:$X$1843,$W$7:$W$1843,W424),0),0)</f>
        <v>0</v>
      </c>
      <c r="CS424" s="62" t="n">
        <f aca="false">IF(AND(OR(CG424="L1",CG424="L23",CG424="LIFT"),H424&gt;0),CC424*IF(CR424&gt;0,CR424*MAX(1,H424/X424),IF(CA424=1,CE424,IF(R424&gt;0,CN424/R424,0))/MAX(0.1,N(Parameter!$M$21))),"")</f>
        <v>2.98076923076923</v>
      </c>
      <c r="CT424" s="64" t="n">
        <f aca="false">IF(CS424="","",J424/H424)</f>
        <v>0.288888888888889</v>
      </c>
      <c r="CU424" s="62" t="n">
        <f aca="false">IF(CS424="","",H424*G424)</f>
        <v>120.15</v>
      </c>
      <c r="CV424" s="63" t="n">
        <f aca="false">IF(CS424="","",(CL424+ROUNDUP(CL424+MAX(CM424,2*(J424/MAX(0.1,N(Einkauf!$C$6))-CL424)),0))/2)</f>
        <v>10</v>
      </c>
      <c r="CW424" s="62" t="n">
        <f aca="false">IF(CS424="","",MAX(0,H424-CV424)*G424)</f>
        <v>93.45</v>
      </c>
      <c r="CX424" s="62" t="n">
        <f aca="false">IF(CS424="","",CS424*MAX(0,1-CV424/H424))</f>
        <v>2.31837606837607</v>
      </c>
      <c r="CY424" s="64" t="n">
        <f aca="false">IF(CS424="","",PERCENTRANK($CS$7:$CS$1843,CS424)+PERCENTRANK($CU$7:$CU$1843,CU424)+1-PERCENTRANK($CT$7:$CT$1843,CT424))</f>
        <v>0.97</v>
      </c>
      <c r="CZ424" s="72" t="n">
        <f aca="false">IF(CS424="","",CHOOSE(MATCH(Einkauf!$C$5,Parameter!$G$23:$G$27,0),CY424,CS424,CU424,-CT424,CW424)+ROW()/1000000000)</f>
        <v>0.970000424</v>
      </c>
    </row>
    <row r="425" customFormat="false" ht="15" hidden="false" customHeight="false" outlineLevel="0" collapsed="false">
      <c r="A425" s="60" t="s">
        <v>1020</v>
      </c>
      <c r="B425" s="60" t="s">
        <v>1021</v>
      </c>
      <c r="C425" s="60" t="s">
        <v>206</v>
      </c>
      <c r="D425" s="60" t="s">
        <v>215</v>
      </c>
      <c r="E425" s="60" t="s">
        <v>227</v>
      </c>
      <c r="F425" s="60" t="s">
        <v>260</v>
      </c>
      <c r="G425" s="61" t="n">
        <v>74.27</v>
      </c>
      <c r="H425" s="62" t="n">
        <f aca="false">MAX(0,IF(AND(Parameter!$B$21="Ja",ISNUMBER(Y425)),Y425,IF(Parameter!$B$20="Jahresanfang 2025 + Export",BS425+BR425,BR425)))</f>
        <v>3</v>
      </c>
      <c r="I425" s="62" t="n">
        <f aca="false">H425*G425</f>
        <v>222.81</v>
      </c>
      <c r="J425" s="62" t="n">
        <f aca="false">BU425*Parameter!$B$18</f>
        <v>26</v>
      </c>
      <c r="K425" s="63" t="n">
        <v>1.5</v>
      </c>
      <c r="L425" s="64" t="n">
        <v>17.3333333333333</v>
      </c>
      <c r="M425" s="62" t="n">
        <v>2</v>
      </c>
      <c r="N425" s="62" t="n">
        <v>2</v>
      </c>
      <c r="O425" s="65" t="n">
        <v>21</v>
      </c>
      <c r="P425" s="60" t="s">
        <v>210</v>
      </c>
      <c r="Q425" s="62"/>
      <c r="R425" s="65" t="n">
        <f aca="false">IF(CA425=1,0,IFERROR(VLOOKUP(BY425,'Gebinde-Kategorie'!$A$5:$N$45,13,0)+0,0))</f>
        <v>4</v>
      </c>
      <c r="S425" s="66"/>
      <c r="T425" s="67" t="s">
        <v>231</v>
      </c>
      <c r="U425" s="67"/>
      <c r="V425" s="67"/>
      <c r="W425" s="60"/>
      <c r="X425" s="62"/>
      <c r="Y425" s="62"/>
      <c r="Z425" s="60" t="n">
        <v>2</v>
      </c>
      <c r="AA425" s="60" t="n">
        <f aca="false">IF(A425="","",IF(AND(Parameter!$B$21="Ja",ISNUMBER(W425)),W425,IF(AND(Parameter!$E$27="Ja",ISNUMBER(Z425),CD425&lt;&gt;"Nein"),Z425,IF(CD425="2+3",IF(ISNUMBER(SEARCH("grosser Artikel",BV425)),2,IFERROR(VLOOKUP(BY425,Parameter!$F$35:$G$64,2,0),2)),IF(OR(CD425="Nein",CD425=""),"-",CD425)))))</f>
        <v>2</v>
      </c>
      <c r="AB425" s="67"/>
      <c r="AC425" s="68"/>
      <c r="AD425" s="62" t="n">
        <f aca="false">AW425</f>
        <v>16</v>
      </c>
      <c r="AE425" s="62" t="n">
        <f aca="false">MAX(AW425,H425)</f>
        <v>16</v>
      </c>
      <c r="AF425" s="69"/>
      <c r="AG425" s="62" t="n">
        <f aca="false">IF(LEFT(Cockpit!$C$5,1)="A",H425,IF(Parameter!$E$30="MAX-Bestand",IF(CI425=1,CJ425,IF(LEFT(Cockpit!$C$5,1)="B",AM425,MAX(AM425,H425))),ROUNDUP(AK425,0)))</f>
        <v>3</v>
      </c>
      <c r="AH425" s="62" t="n">
        <f aca="false">IF(CA425=1,0,ROUNDUP(AG425/BZ425,0))</f>
        <v>1</v>
      </c>
      <c r="AI425" s="64" t="n">
        <f aca="false">IF(CR425&gt;0,CR425*MAX(1,AG425/X425),IF(CA425=1,IF(AG425&lt;=0,0,CE425*MAX(1,IF(H425&gt;0,AG425/H425,1))),IF(R425&gt;0,AH425/R425,0))/MAX(0.1,N(Parameter!$M$21)))</f>
        <v>0.25</v>
      </c>
      <c r="AJ425" s="62" t="n">
        <f aca="false">AI425*CC425</f>
        <v>58.75</v>
      </c>
      <c r="AK425" s="63" t="n">
        <f aca="false">IF(LEFT(Cockpit!$C$5,1)="A",H425,IF(CI425=1,(CL425+CJ425)/2,IF(LEFT(Cockpit!$C$5,1)="B",(CL425+AM425)/2,MAX((CL425+AM425)/2,H425))))</f>
        <v>3</v>
      </c>
      <c r="AL425" s="62" t="n">
        <f aca="false">AK425*G425</f>
        <v>222.81</v>
      </c>
      <c r="AM425" s="62" t="n">
        <f aca="false">ROUNDUP(CL425+MAX(CM425,2*(J425/IF(CH425&gt;0,CH425,MAX(0.1,N(Cockpit!$C$6)))-CL425)),0)</f>
        <v>16</v>
      </c>
      <c r="AN425" s="63" t="n">
        <f aca="false">IF(AJ425&gt;0,J425/AJ425,-1)</f>
        <v>0.442553191489362</v>
      </c>
      <c r="AO425" s="63" t="n">
        <f aca="false">IF(AND(OR(CG425="L1",CG425="L23",CG425="LIFT"),AJ425&gt;0),SUMIFS($AJ$7:$AJ$1843,$CG$7:$CG$1843,CG425,$AN$7:$AN$1843,"&gt;"&amp;AN425)+SUMIFS($AJ$7:$AJ$1843,$CG$7:$CG$1843,CG425,$AN$7:$AN$1843,AN425,$BX$7:$BX$1843,"&lt;="&amp;BX425),"")</f>
        <v>9924.49356128805</v>
      </c>
      <c r="AP425" s="70" t="n">
        <f aca="false">IF(AO425="",0,MAX(0,MIN(1,(IF(CG425="L1",Parameter!$H$5,IF(CG425="L23",Parameter!$H$6+Parameter!$H$7,Parameter!$H$5+Parameter!$H$6+Parameter!$H$7))-(AO425-AJ425))/AJ425)))</f>
        <v>1</v>
      </c>
      <c r="AQ425" s="62" t="n">
        <f aca="false">IF(LEFT(Cockpit!$I$5,1)="A",H425,IF(Parameter!$E$30="MAX-Bestand",IF(CI425=1,CJ425,IF(LEFT(Cockpit!$I$5,1)="B",AW425,MAX(AW425,H425))),ROUNDUP(AU425,0)))</f>
        <v>9</v>
      </c>
      <c r="AR425" s="62" t="n">
        <f aca="false">IF(CA425=1,0,ROUNDUP(AQ425/BZ425,0))</f>
        <v>3</v>
      </c>
      <c r="AS425" s="64" t="n">
        <f aca="false">IF(CR425&gt;0,CR425*MAX(1,AQ425/X425),IF(CA425=1,IF(AQ425&lt;=0,0,CE425*MAX(1,IF(H425&gt;0,AQ425/H425,1))),IF(R425&gt;0,AR425/R425,0))/MAX(0.1,N(Parameter!$M$21)))</f>
        <v>0.75</v>
      </c>
      <c r="AT425" s="62" t="n">
        <f aca="false">AS425*CC425</f>
        <v>176.25</v>
      </c>
      <c r="AU425" s="63" t="n">
        <f aca="false">IF(LEFT(Cockpit!$I$5,1)="A",H425,IF(CI425=1,(CL425+CJ425)/2,IF(LEFT(Cockpit!$I$5,1)="B",(CL425+AW425)/2,MAX((CL425+AW425)/2,H425))))</f>
        <v>9</v>
      </c>
      <c r="AV425" s="62" t="n">
        <f aca="false">AU425*G425</f>
        <v>668.43</v>
      </c>
      <c r="AW425" s="62" t="n">
        <f aca="false">ROUNDUP(CL425+MAX(CM425,2*(J425/IF(CH425&gt;0,CH425,MAX(0.1,N(Cockpit!$I$6)))-CL425)),0)</f>
        <v>16</v>
      </c>
      <c r="AX425" s="63" t="n">
        <f aca="false">IF(AT425&gt;0,J425/AT425,-1)</f>
        <v>0.147517730496454</v>
      </c>
      <c r="AY425" s="63" t="n">
        <f aca="false">IF(AND(OR(CG425="L1",CG425="L23",CG425="LIFT"),AT425&gt;0),SUMIFS($AT$7:$AT$1843,$CG$7:$CG$1843,CG425,$AX$7:$AX$1843,"&gt;"&amp;AX425)+SUMIFS($AT$7:$AT$1843,$CG$7:$CG$1843,CG425,$AX$7:$AX$1843,AX425,$BX$7:$BX$1843,"&lt;="&amp;BX425),"")</f>
        <v>17046.8887724799</v>
      </c>
      <c r="AZ425" s="70" t="n">
        <f aca="false">IF(AY425="",0,MAX(0,MIN(1,(IF(CG425="L1",Parameter!$H$5,IF(CG425="L23",Parameter!$H$6+Parameter!$H$7,Parameter!$H$5+Parameter!$H$6+Parameter!$H$7))-(AY425-AT425))/AT425)))</f>
        <v>1</v>
      </c>
      <c r="BA425" s="62" t="n">
        <f aca="false">IF(LEFT(Cockpit!$O$5,1)="A",H425,IF(Parameter!$E$30="MAX-Bestand",IF(CI425=1,CJ425,IF(LEFT(Cockpit!$O$5,1)="B",BG425,MAX(BG425,H425))),ROUNDUP(BE425,0)))</f>
        <v>7</v>
      </c>
      <c r="BB425" s="62" t="n">
        <f aca="false">IF(CA425=1,0,ROUNDUP(BA425/BZ425,0))</f>
        <v>3</v>
      </c>
      <c r="BC425" s="64" t="n">
        <f aca="false">IF(CR425&gt;0,CR425*MAX(1,BA425/X425),IF(CA425=1,IF(BA425&lt;=0,0,CE425*MAX(1,IF(H425&gt;0,BA425/H425,1))),IF(R425&gt;0,BB425/R425,0))/MAX(0.1,N(Parameter!$M$21)))</f>
        <v>0.75</v>
      </c>
      <c r="BD425" s="62" t="n">
        <f aca="false">BC425*CC425</f>
        <v>176.25</v>
      </c>
      <c r="BE425" s="63" t="n">
        <f aca="false">IF(LEFT(Cockpit!$O$5,1)="A",H425,IF(CI425=1,(CL425+CJ425)/2,IF(LEFT(Cockpit!$O$5,1)="B",(CL425+BG425)/2,MAX((CL425+BG425)/2,H425))))</f>
        <v>6.5</v>
      </c>
      <c r="BF425" s="62" t="n">
        <f aca="false">BE425*G425</f>
        <v>482.755</v>
      </c>
      <c r="BG425" s="62" t="n">
        <f aca="false">ROUNDUP(CL425+MAX(CM425,2*(J425/IF(CH425&gt;0,CH425,MAX(0.1,N(Cockpit!$O$6)))-CL425)),0)</f>
        <v>11</v>
      </c>
      <c r="BH425" s="63" t="n">
        <f aca="false">IF(BD425&gt;0,J425/BD425,-1)</f>
        <v>0.147517730496454</v>
      </c>
      <c r="BI425" s="63" t="n">
        <f aca="false">IF(AND(OR(CG425="L1",CG425="L23",CG425="LIFT"),BD425&gt;0),SUMIFS($BD$7:$BD$1843,$CG$7:$CG$1843,CG425,$BH$7:$BH$1843,"&gt;"&amp;BH425)+SUMIFS($BD$7:$BD$1843,$CG$7:$CG$1843,CG425,$BH$7:$BH$1843,BH425,$BX$7:$BX$1843,"&lt;="&amp;BX425),"")</f>
        <v>13821.3872824445</v>
      </c>
      <c r="BJ425" s="70" t="n">
        <f aca="false">IF(BI425="",0,MAX(0,MIN(1,(IF(CG425="L1",Parameter!$H$5,IF(CG425="L23",Parameter!$H$6+Parameter!$H$7,Parameter!$H$5+Parameter!$H$6+Parameter!$H$7))-(BI425-BD425))/BD425)))</f>
        <v>1</v>
      </c>
      <c r="BK425" s="60" t="str">
        <f aca="false">IF(AJ425&lt;=0,"",IF(CG425="Aussen","Aussenlager",IF(CG425="-","Nicht im Lift",IF(AP425&gt;=1,"Lift",IF(AP425&lt;=0,"Aussenlager","teilweise")))))</f>
        <v>Lift</v>
      </c>
      <c r="BL425" s="60" t="str">
        <f aca="false">IF(AT425&lt;=0,"",IF(CG425="Aussen","Aussenlager",IF(CG425="-","Nicht im Lift",IF(AZ425&gt;=1,"Lift",IF(AZ425&lt;=0,"Aussenlager","teilweise")))))</f>
        <v>Lift</v>
      </c>
      <c r="BM425" s="60" t="str">
        <f aca="false">IF(BD425&lt;=0,"",IF(CG425="Aussen","Aussenlager",IF(CG425="-","Nicht im Lift",IF(BJ425&gt;=1,"Lift",IF(BJ425&lt;=0,"Aussenlager","teilweise")))))</f>
        <v>Lift</v>
      </c>
      <c r="BN425" s="60" t="str">
        <f aca="false">IF(A425="","",IF(BW425=1,"Neu; ","")&amp;IF(AND(BW425=0,BR425&lt;0),"negativer Bestand (Export "&amp;BR425&amp;"); ","")&amp;IF(J425&lt;=0,"Kein Verbrauch; ","")&amp;IF(CR425&gt;0,"Lift "&amp;W425&amp;" lt. Liftbericht (Fach "&amp;X425&amp;" Stk); ",IF(CB425=1,"Gebinde geschätzt ("&amp;T425&amp;"); ",IF(CA425=1,"Lose – Tablare geschätzt; ","")))&amp;IF(H425&gt;AW425,"Überbestand "&amp;ROUND(H425-AW425,0)&amp;" Stk / CHF "&amp;ROUND((H425-AW425)*G425,0)&amp;"; ","")&amp;IF(AND(CI425=1,CJ425&lt;CK425),"MAX &lt; MB+LG; ","")&amp;IF(AND(CQ425&gt;0,CP425*10&gt;CQ425),"zu hoch für Tablar; ","")&amp;IF(AND(BW425=0,OR(CI425=1,AB425&lt;&gt;"",U425&lt;&gt;"",V425&lt;&gt;"",AC425&lt;&gt;"")),"manuell übersteuert; ","")&amp;IF(AND(CA425=0,R425=0),"Gebinde unbekannt / Stellmass fehlt; ","")&amp;IF(AND(CA425=0,N(V425)&lt;=0,N(Q425)&lt;=0),"Menge pro Gebinde fehlt (Ist = 1 Gebinde); ","")&amp;BV425)</f>
        <v>Gebinde geschätzt (Gross); Menge pro Gebinde fehlt (Ist = 1 Gebinde); grosser Artikel &amp; nicht im KTL</v>
      </c>
      <c r="BO425" s="60"/>
      <c r="BP425" s="60"/>
      <c r="BQ425" s="67"/>
      <c r="BR425" s="62" t="n">
        <v>1</v>
      </c>
      <c r="BS425" s="62" t="n">
        <v>2</v>
      </c>
      <c r="BT425" s="61" t="n">
        <v>90.0999999999997</v>
      </c>
      <c r="BU425" s="62" t="n">
        <v>26</v>
      </c>
      <c r="BV425" s="60" t="s">
        <v>303</v>
      </c>
      <c r="BW425" s="65" t="n">
        <v>0</v>
      </c>
      <c r="BX425" s="65" t="n">
        <v>425</v>
      </c>
      <c r="BY425" s="60" t="str">
        <f aca="false">IF(U425&lt;&gt;"",UPPER(TRIM(U425)),IF(CB425=1,UPPER(VLOOKUP(T425,Parameter!$I$27:$K$29,2,0)),IF(P425="","LOSE",P425)))</f>
        <v>S81</v>
      </c>
      <c r="BZ425" s="62" t="n">
        <f aca="false">IF(BY425="LOSE",1,IF(N(V425)&gt;0,V425,IF(CB425=1,MAX(1,N(VLOOKUP(T425,Parameter!$I$27:$K$29,3,0)),H425,N(N425)),IF(N(Q425)&gt;0,Q425,MAX(1,H425)))))</f>
        <v>3</v>
      </c>
      <c r="CA425" s="65" t="n">
        <f aca="false">IF(BY425="LOSE",1,0)</f>
        <v>0</v>
      </c>
      <c r="CB425" s="65" t="n">
        <f aca="false">IF(AND(U425="",OR(P425="",P425="LOSE"),T425&lt;&gt;"",N(S425)&lt;=0,ISNUMBER(MATCH(T425,Parameter!$I$27:$I$29,0))),1,0)</f>
        <v>1</v>
      </c>
      <c r="CC425" s="65" t="n">
        <f aca="false">IF(CR425&gt;0,INDEX(Parameter!$H$5:$H$7,W425)/INDEX(Parameter!$E$5:$E$7,W425),IF(AND(CA425=0,N(IFERROR(VLOOKUP(BY425,'Gebinde-Kategorie'!$A$5:$N$45,14,0),0))&gt;0),VLOOKUP(BY425,'Gebinde-Kategorie'!$A$5:$N$45,14,0)*10+Parameter!$M$23,Parameter!$M$24))</f>
        <v>235</v>
      </c>
      <c r="CD425" s="60" t="str">
        <f aca="false">IF(AND(Parameter!$B$19="Ja",E425&lt;&gt;"",ISNUMBER(MATCH(E425,Parameter!$I$35:$I$52,0))),VLOOKUP(E425,Parameter!$I$35:$J$52,2,0),IFERROR(VLOOKUP(D425,Parameter!$A$35:$C$64,2,0),"Nein"))</f>
        <v>2+3</v>
      </c>
      <c r="CE425" s="64" t="n">
        <f aca="false">IF(CA425=0,0,IF(N(S425)&gt;0,S425,IFERROR(VLOOKUP(D425,Parameter!$A$35:$C$64,3,0)+0,0)))</f>
        <v>0</v>
      </c>
      <c r="CF425" s="60" t="n">
        <f aca="false">IF(AB425&lt;&gt;"",AB425,AA425)</f>
        <v>2</v>
      </c>
      <c r="CG425" s="60" t="str">
        <f aca="false">IF(OR(CF425=1,CF425=2,CF425=3),IF(Parameter!$E$27="Ja","LIFT",IF(CF425=1,"L1","L23")),IF(CF425="Aussen","Aussen","-"))</f>
        <v>LIFT</v>
      </c>
      <c r="CH425" s="71" t="n">
        <f aca="false">IF(N(AC425)&gt;0,AC425,0)</f>
        <v>0</v>
      </c>
      <c r="CI425" s="65" t="n">
        <f aca="false">IF(ISNUMBER(AF425),1,0)</f>
        <v>0</v>
      </c>
      <c r="CJ425" s="62" t="n">
        <f aca="false">N(AF425)</f>
        <v>0</v>
      </c>
      <c r="CK425" s="62" t="n">
        <f aca="false">N(M425)+N(N425)</f>
        <v>4</v>
      </c>
      <c r="CL425" s="62" t="n">
        <f aca="false">N(M425)</f>
        <v>2</v>
      </c>
      <c r="CM425" s="62" t="n">
        <f aca="false">N(N425)</f>
        <v>2</v>
      </c>
      <c r="CN425" s="62" t="n">
        <f aca="false">ROUNDUP(H425/BZ425,0)</f>
        <v>1</v>
      </c>
      <c r="CO425" s="62" t="n">
        <f aca="false">ROUNDUP(CJ425/BZ425,0)</f>
        <v>0</v>
      </c>
      <c r="CP425" s="65" t="n">
        <f aca="false">IF(CA425=1,0,IFERROR(VLOOKUP(BY425,'Gebinde-Kategorie'!$A$5:$N$45,5,0)+0,0))</f>
        <v>20</v>
      </c>
      <c r="CQ425" s="65" t="n">
        <f aca="false">IFERROR(IF(OR(CF425=1,CF425=2,CF425=3),N(INDEX(Parameter!$I$5:$I$7,CF425)),0),0)</f>
        <v>0</v>
      </c>
      <c r="CR425" s="64" t="n">
        <f aca="false">IF(AND(Parameter!$B$21="Ja",ISNUMBER(W425),N(X425)&gt;0),IFERROR(N(INDEX(Parameter!$L$5:$L$7,W425))*INDEX(Parameter!$E$5:$E$7,W425)*X425/SUMIFS($X$7:$X$1843,$W$7:$W$1843,W425),0),0)</f>
        <v>0</v>
      </c>
      <c r="CS425" s="62" t="n">
        <f aca="false">IF(AND(OR(CG425="L1",CG425="L23",CG425="LIFT"),H425&gt;0),CC425*IF(CR425&gt;0,CR425*MAX(1,H425/X425),IF(CA425=1,CE425,IF(R425&gt;0,CN425/R425,0))/MAX(0.1,N(Parameter!$M$21))),"")</f>
        <v>58.75</v>
      </c>
      <c r="CT425" s="64" t="n">
        <f aca="false">IF(CS425="","",J425/H425)</f>
        <v>8.66666666666667</v>
      </c>
      <c r="CU425" s="62" t="n">
        <f aca="false">IF(CS425="","",H425*G425)</f>
        <v>222.81</v>
      </c>
      <c r="CV425" s="63" t="n">
        <f aca="false">IF(CS425="","",(CL425+ROUNDUP(CL425+MAX(CM425,2*(J425/MAX(0.1,N(Einkauf!$C$6))-CL425)),0))/2)</f>
        <v>6.5</v>
      </c>
      <c r="CW425" s="62" t="n">
        <f aca="false">IF(CS425="","",MAX(0,H425-CV425)*G425)</f>
        <v>0</v>
      </c>
      <c r="CX425" s="62" t="n">
        <f aca="false">IF(CS425="","",CS425*MAX(0,1-CV425/H425))</f>
        <v>0</v>
      </c>
      <c r="CY425" s="64" t="n">
        <f aca="false">IF(CS425="","",PERCENTRANK($CS$7:$CS$1843,CS425)+PERCENTRANK($CU$7:$CU$1843,CU425)+1-PERCENTRANK($CT$7:$CT$1843,CT425))</f>
        <v>1.288</v>
      </c>
      <c r="CZ425" s="72" t="n">
        <f aca="false">IF(CS425="","",CHOOSE(MATCH(Einkauf!$C$5,Parameter!$G$23:$G$27,0),CY425,CS425,CU425,-CT425,CW425)+ROW()/1000000000)</f>
        <v>1.288000425</v>
      </c>
    </row>
    <row r="426" customFormat="false" ht="15" hidden="false" customHeight="false" outlineLevel="0" collapsed="false">
      <c r="A426" s="60" t="s">
        <v>1022</v>
      </c>
      <c r="B426" s="60" t="s">
        <v>1023</v>
      </c>
      <c r="C426" s="60" t="s">
        <v>206</v>
      </c>
      <c r="D426" s="60" t="s">
        <v>226</v>
      </c>
      <c r="E426" s="60"/>
      <c r="F426" s="60" t="s">
        <v>260</v>
      </c>
      <c r="G426" s="61" t="n">
        <v>0.1</v>
      </c>
      <c r="H426" s="62" t="n">
        <f aca="false">MAX(0,IF(AND(Parameter!$B$21="Ja",ISNUMBER(Y426)),Y426,IF(Parameter!$B$20="Jahresanfang 2025 + Export",BS426+BR426,BR426)))</f>
        <v>1000</v>
      </c>
      <c r="I426" s="62" t="n">
        <f aca="false">H426*G426</f>
        <v>100</v>
      </c>
      <c r="J426" s="62" t="n">
        <f aca="false">BU426*Parameter!$B$18</f>
        <v>701</v>
      </c>
      <c r="K426" s="63" t="n">
        <v>551.5</v>
      </c>
      <c r="L426" s="64" t="n">
        <v>1.27107887579329</v>
      </c>
      <c r="M426" s="62" t="n">
        <v>40</v>
      </c>
      <c r="N426" s="62" t="n">
        <v>1000</v>
      </c>
      <c r="O426" s="65" t="n">
        <v>21</v>
      </c>
      <c r="P426" s="60" t="s">
        <v>344</v>
      </c>
      <c r="Q426" s="62" t="n">
        <v>1000</v>
      </c>
      <c r="R426" s="65" t="n">
        <f aca="false">IF(CA426=1,0,IFERROR(VLOOKUP(BY426,'Gebinde-Kategorie'!$A$5:$N$45,13,0)+0,0))</f>
        <v>26</v>
      </c>
      <c r="S426" s="66"/>
      <c r="T426" s="67"/>
      <c r="U426" s="67"/>
      <c r="V426" s="67"/>
      <c r="W426" s="60"/>
      <c r="X426" s="62"/>
      <c r="Y426" s="62"/>
      <c r="Z426" s="60" t="n">
        <v>3</v>
      </c>
      <c r="AA426" s="60" t="n">
        <f aca="false">IF(A426="","",IF(AND(Parameter!$B$21="Ja",ISNUMBER(W426)),W426,IF(AND(Parameter!$E$27="Ja",ISNUMBER(Z426),CD426&lt;&gt;"Nein"),Z426,IF(CD426="2+3",IF(ISNUMBER(SEARCH("grosser Artikel",BV426)),2,IFERROR(VLOOKUP(BY426,Parameter!$F$35:$G$64,2,0),2)),IF(OR(CD426="Nein",CD426=""),"-",CD426)))))</f>
        <v>3</v>
      </c>
      <c r="AB426" s="67"/>
      <c r="AC426" s="68"/>
      <c r="AD426" s="62" t="n">
        <f aca="false">AW426</f>
        <v>1040</v>
      </c>
      <c r="AE426" s="62" t="n">
        <f aca="false">MAX(AW426,H426)</f>
        <v>1040</v>
      </c>
      <c r="AF426" s="69"/>
      <c r="AG426" s="62" t="n">
        <f aca="false">IF(LEFT(Cockpit!$C$5,1)="A",H426,IF(Parameter!$E$30="MAX-Bestand",IF(CI426=1,CJ426,IF(LEFT(Cockpit!$C$5,1)="B",AM426,MAX(AM426,H426))),ROUNDUP(AK426,0)))</f>
        <v>1000</v>
      </c>
      <c r="AH426" s="62" t="n">
        <f aca="false">IF(CA426=1,0,ROUNDUP(AG426/BZ426,0))</f>
        <v>1</v>
      </c>
      <c r="AI426" s="64" t="n">
        <f aca="false">IF(CR426&gt;0,CR426*MAX(1,AG426/X426),IF(CA426=1,IF(AG426&lt;=0,0,CE426*MAX(1,IF(H426&gt;0,AG426/H426,1))),IF(R426&gt;0,AH426/R426,0))/MAX(0.1,N(Parameter!$M$21)))</f>
        <v>0.0384615384615385</v>
      </c>
      <c r="AJ426" s="62" t="n">
        <f aca="false">AI426*CC426</f>
        <v>5.96153846153846</v>
      </c>
      <c r="AK426" s="63" t="n">
        <f aca="false">IF(LEFT(Cockpit!$C$5,1)="A",H426,IF(CI426=1,(CL426+CJ426)/2,IF(LEFT(Cockpit!$C$5,1)="B",(CL426+AM426)/2,MAX((CL426+AM426)/2,H426))))</f>
        <v>1000</v>
      </c>
      <c r="AL426" s="62" t="n">
        <f aca="false">AK426*G426</f>
        <v>100</v>
      </c>
      <c r="AM426" s="62" t="n">
        <f aca="false">ROUNDUP(CL426+MAX(CM426,2*(J426/IF(CH426&gt;0,CH426,MAX(0.1,N(Cockpit!$C$6)))-CL426)),0)</f>
        <v>1040</v>
      </c>
      <c r="AN426" s="63" t="n">
        <f aca="false">IF(AJ426&gt;0,J426/AJ426,-1)</f>
        <v>117.587096774194</v>
      </c>
      <c r="AO426" s="63" t="n">
        <f aca="false">IF(AND(OR(CG426="L1",CG426="L23",CG426="LIFT"),AJ426&gt;0),SUMIFS($AJ$7:$AJ$1843,$CG$7:$CG$1843,CG426,$AN$7:$AN$1843,"&gt;"&amp;AN426)+SUMIFS($AJ$7:$AJ$1843,$CG$7:$CG$1843,CG426,$AN$7:$AN$1843,AN426,$BX$7:$BX$1843,"&lt;="&amp;BX426),"")</f>
        <v>687.163919413919</v>
      </c>
      <c r="AP426" s="70" t="n">
        <f aca="false">IF(AO426="",0,MAX(0,MIN(1,(IF(CG426="L1",Parameter!$H$5,IF(CG426="L23",Parameter!$H$6+Parameter!$H$7,Parameter!$H$5+Parameter!$H$6+Parameter!$H$7))-(AO426-AJ426))/AJ426)))</f>
        <v>1</v>
      </c>
      <c r="AQ426" s="62" t="n">
        <f aca="false">IF(LEFT(Cockpit!$I$5,1)="A",H426,IF(Parameter!$E$30="MAX-Bestand",IF(CI426=1,CJ426,IF(LEFT(Cockpit!$I$5,1)="B",AW426,MAX(AW426,H426))),ROUNDUP(AU426,0)))</f>
        <v>1000</v>
      </c>
      <c r="AR426" s="62" t="n">
        <f aca="false">IF(CA426=1,0,ROUNDUP(AQ426/BZ426,0))</f>
        <v>1</v>
      </c>
      <c r="AS426" s="64" t="n">
        <f aca="false">IF(CR426&gt;0,CR426*MAX(1,AQ426/X426),IF(CA426=1,IF(AQ426&lt;=0,0,CE426*MAX(1,IF(H426&gt;0,AQ426/H426,1))),IF(R426&gt;0,AR426/R426,0))/MAX(0.1,N(Parameter!$M$21)))</f>
        <v>0.0384615384615385</v>
      </c>
      <c r="AT426" s="62" t="n">
        <f aca="false">AS426*CC426</f>
        <v>5.96153846153846</v>
      </c>
      <c r="AU426" s="63" t="n">
        <f aca="false">IF(LEFT(Cockpit!$I$5,1)="A",H426,IF(CI426=1,(CL426+CJ426)/2,IF(LEFT(Cockpit!$I$5,1)="B",(CL426+AW426)/2,MAX((CL426+AW426)/2,H426))))</f>
        <v>1000</v>
      </c>
      <c r="AV426" s="62" t="n">
        <f aca="false">AU426*G426</f>
        <v>100</v>
      </c>
      <c r="AW426" s="62" t="n">
        <f aca="false">ROUNDUP(CL426+MAX(CM426,2*(J426/IF(CH426&gt;0,CH426,MAX(0.1,N(Cockpit!$I$6)))-CL426)),0)</f>
        <v>1040</v>
      </c>
      <c r="AX426" s="63" t="n">
        <f aca="false">IF(AT426&gt;0,J426/AT426,-1)</f>
        <v>117.587096774194</v>
      </c>
      <c r="AY426" s="63" t="n">
        <f aca="false">IF(AND(OR(CG426="L1",CG426="L23",CG426="LIFT"),AT426&gt;0),SUMIFS($AT$7:$AT$1843,$CG$7:$CG$1843,CG426,$AX$7:$AX$1843,"&gt;"&amp;AX426)+SUMIFS($AT$7:$AT$1843,$CG$7:$CG$1843,CG426,$AX$7:$AX$1843,AX426,$BX$7:$BX$1843,"&lt;="&amp;BX426),"")</f>
        <v>801.053571428571</v>
      </c>
      <c r="AZ426" s="70" t="n">
        <f aca="false">IF(AY426="",0,MAX(0,MIN(1,(IF(CG426="L1",Parameter!$H$5,IF(CG426="L23",Parameter!$H$6+Parameter!$H$7,Parameter!$H$5+Parameter!$H$6+Parameter!$H$7))-(AY426-AT426))/AT426)))</f>
        <v>1</v>
      </c>
      <c r="BA426" s="62" t="n">
        <f aca="false">IF(LEFT(Cockpit!$O$5,1)="A",H426,IF(Parameter!$E$30="MAX-Bestand",IF(CI426=1,CJ426,IF(LEFT(Cockpit!$O$5,1)="B",BG426,MAX(BG426,H426))),ROUNDUP(BE426,0)))</f>
        <v>540</v>
      </c>
      <c r="BB426" s="62" t="n">
        <f aca="false">IF(CA426=1,0,ROUNDUP(BA426/BZ426,0))</f>
        <v>1</v>
      </c>
      <c r="BC426" s="64" t="n">
        <f aca="false">IF(CR426&gt;0,CR426*MAX(1,BA426/X426),IF(CA426=1,IF(BA426&lt;=0,0,CE426*MAX(1,IF(H426&gt;0,BA426/H426,1))),IF(R426&gt;0,BB426/R426,0))/MAX(0.1,N(Parameter!$M$21)))</f>
        <v>0.0384615384615385</v>
      </c>
      <c r="BD426" s="62" t="n">
        <f aca="false">BC426*CC426</f>
        <v>5.96153846153846</v>
      </c>
      <c r="BE426" s="63" t="n">
        <f aca="false">IF(LEFT(Cockpit!$O$5,1)="A",H426,IF(CI426=1,(CL426+CJ426)/2,IF(LEFT(Cockpit!$O$5,1)="B",(CL426+BG426)/2,MAX((CL426+BG426)/2,H426))))</f>
        <v>540</v>
      </c>
      <c r="BF426" s="62" t="n">
        <f aca="false">BE426*G426</f>
        <v>54</v>
      </c>
      <c r="BG426" s="62" t="n">
        <f aca="false">ROUNDUP(CL426+MAX(CM426,2*(J426/IF(CH426&gt;0,CH426,MAX(0.1,N(Cockpit!$O$6)))-CL426)),0)</f>
        <v>1040</v>
      </c>
      <c r="BH426" s="63" t="n">
        <f aca="false">IF(BD426&gt;0,J426/BD426,-1)</f>
        <v>117.587096774194</v>
      </c>
      <c r="BI426" s="63" t="n">
        <f aca="false">IF(AND(OR(CG426="L1",CG426="L23",CG426="LIFT"),BD426&gt;0),SUMIFS($BD$7:$BD$1843,$CG$7:$CG$1843,CG426,$BH$7:$BH$1843,"&gt;"&amp;BH426)+SUMIFS($BD$7:$BD$1843,$CG$7:$CG$1843,CG426,$BH$7:$BH$1843,BH426,$BX$7:$BX$1843,"&lt;="&amp;BX426),"")</f>
        <v>823.962912087912</v>
      </c>
      <c r="BJ426" s="70" t="n">
        <f aca="false">IF(BI426="",0,MAX(0,MIN(1,(IF(CG426="L1",Parameter!$H$5,IF(CG426="L23",Parameter!$H$6+Parameter!$H$7,Parameter!$H$5+Parameter!$H$6+Parameter!$H$7))-(BI426-BD426))/BD426)))</f>
        <v>1</v>
      </c>
      <c r="BK426" s="60" t="str">
        <f aca="false">IF(AJ426&lt;=0,"",IF(CG426="Aussen","Aussenlager",IF(CG426="-","Nicht im Lift",IF(AP426&gt;=1,"Lift",IF(AP426&lt;=0,"Aussenlager","teilweise")))))</f>
        <v>Lift</v>
      </c>
      <c r="BL426" s="60" t="str">
        <f aca="false">IF(AT426&lt;=0,"",IF(CG426="Aussen","Aussenlager",IF(CG426="-","Nicht im Lift",IF(AZ426&gt;=1,"Lift",IF(AZ426&lt;=0,"Aussenlager","teilweise")))))</f>
        <v>Lift</v>
      </c>
      <c r="BM426" s="60" t="str">
        <f aca="false">IF(BD426&lt;=0,"",IF(CG426="Aussen","Aussenlager",IF(CG426="-","Nicht im Lift",IF(BJ426&gt;=1,"Lift",IF(BJ426&lt;=0,"Aussenlager","teilweise")))))</f>
        <v>Lift</v>
      </c>
      <c r="BN426" s="60" t="str">
        <f aca="false">IF(A426="","",IF(BW426=1,"Neu; ","")&amp;IF(AND(BW426=0,BR426&lt;0),"negativer Bestand (Export "&amp;BR426&amp;"); ","")&amp;IF(J426&lt;=0,"Kein Verbrauch; ","")&amp;IF(CR426&gt;0,"Lift "&amp;W426&amp;" lt. Liftbericht (Fach "&amp;X426&amp;" Stk); ",IF(CB426=1,"Gebinde geschätzt ("&amp;T426&amp;"); ",IF(CA426=1,"Lose – Tablare geschätzt; ","")))&amp;IF(H426&gt;AW426,"Überbestand "&amp;ROUND(H426-AW426,0)&amp;" Stk / CHF "&amp;ROUND((H426-AW426)*G426,0)&amp;"; ","")&amp;IF(AND(CI426=1,CJ426&lt;CK426),"MAX &lt; MB+LG; ","")&amp;IF(AND(CQ426&gt;0,CP426*10&gt;CQ426),"zu hoch für Tablar; ","")&amp;IF(AND(BW426=0,OR(CI426=1,AB426&lt;&gt;"",U426&lt;&gt;"",V426&lt;&gt;"",AC426&lt;&gt;"")),"manuell übersteuert; ","")&amp;IF(AND(CA426=0,R426=0),"Gebinde unbekannt / Stellmass fehlt; ","")&amp;IF(AND(CA426=0,N(V426)&lt;=0,N(Q426)&lt;=0),"Menge pro Gebinde fehlt (Ist = 1 Gebinde); ","")&amp;BV426)</f>
        <v/>
      </c>
      <c r="BO426" s="60"/>
      <c r="BP426" s="60"/>
      <c r="BQ426" s="67"/>
      <c r="BR426" s="62" t="n">
        <v>900</v>
      </c>
      <c r="BS426" s="62" t="n">
        <v>100</v>
      </c>
      <c r="BT426" s="61" t="n">
        <v>90</v>
      </c>
      <c r="BU426" s="62" t="n">
        <v>701</v>
      </c>
      <c r="BV426" s="60"/>
      <c r="BW426" s="65" t="n">
        <v>0</v>
      </c>
      <c r="BX426" s="65" t="n">
        <v>426</v>
      </c>
      <c r="BY426" s="60" t="str">
        <f aca="false">IF(U426&lt;&gt;"",UPPER(TRIM(U426)),IF(CB426=1,UPPER(VLOOKUP(T426,Parameter!$I$27:$K$29,2,0)),IF(P426="","LOSE",P426)))</f>
        <v>S51</v>
      </c>
      <c r="BZ426" s="62" t="n">
        <f aca="false">IF(BY426="LOSE",1,IF(N(V426)&gt;0,V426,IF(CB426=1,MAX(1,N(VLOOKUP(T426,Parameter!$I$27:$K$29,3,0)),H426,N(N426)),IF(N(Q426)&gt;0,Q426,MAX(1,H426)))))</f>
        <v>1000</v>
      </c>
      <c r="CA426" s="65" t="n">
        <f aca="false">IF(BY426="LOSE",1,0)</f>
        <v>0</v>
      </c>
      <c r="CB426" s="65" t="n">
        <f aca="false">IF(AND(U426="",OR(P426="",P426="LOSE"),T426&lt;&gt;"",N(S426)&lt;=0,ISNUMBER(MATCH(T426,Parameter!$I$27:$I$29,0))),1,0)</f>
        <v>0</v>
      </c>
      <c r="CC426" s="65" t="n">
        <f aca="false">IF(CR426&gt;0,INDEX(Parameter!$H$5:$H$7,W426)/INDEX(Parameter!$E$5:$E$7,W426),IF(AND(CA426=0,N(IFERROR(VLOOKUP(BY426,'Gebinde-Kategorie'!$A$5:$N$45,14,0),0))&gt;0),VLOOKUP(BY426,'Gebinde-Kategorie'!$A$5:$N$45,14,0)*10+Parameter!$M$23,Parameter!$M$24))</f>
        <v>155</v>
      </c>
      <c r="CD426" s="60" t="str">
        <f aca="false">IF(AND(Parameter!$B$19="Ja",E426&lt;&gt;"",ISNUMBER(MATCH(E426,Parameter!$I$35:$I$52,0))),VLOOKUP(E426,Parameter!$I$35:$J$52,2,0),IFERROR(VLOOKUP(D426,Parameter!$A$35:$C$64,2,0),"Nein"))</f>
        <v>2+3</v>
      </c>
      <c r="CE426" s="64" t="n">
        <f aca="false">IF(CA426=0,0,IF(N(S426)&gt;0,S426,IFERROR(VLOOKUP(D426,Parameter!$A$35:$C$64,3,0)+0,0)))</f>
        <v>0</v>
      </c>
      <c r="CF426" s="60" t="n">
        <f aca="false">IF(AB426&lt;&gt;"",AB426,AA426)</f>
        <v>3</v>
      </c>
      <c r="CG426" s="60" t="str">
        <f aca="false">IF(OR(CF426=1,CF426=2,CF426=3),IF(Parameter!$E$27="Ja","LIFT",IF(CF426=1,"L1","L23")),IF(CF426="Aussen","Aussen","-"))</f>
        <v>LIFT</v>
      </c>
      <c r="CH426" s="71" t="n">
        <f aca="false">IF(N(AC426)&gt;0,AC426,0)</f>
        <v>0</v>
      </c>
      <c r="CI426" s="65" t="n">
        <f aca="false">IF(ISNUMBER(AF426),1,0)</f>
        <v>0</v>
      </c>
      <c r="CJ426" s="62" t="n">
        <f aca="false">N(AF426)</f>
        <v>0</v>
      </c>
      <c r="CK426" s="62" t="n">
        <f aca="false">N(M426)+N(N426)</f>
        <v>1040</v>
      </c>
      <c r="CL426" s="62" t="n">
        <f aca="false">N(M426)</f>
        <v>40</v>
      </c>
      <c r="CM426" s="62" t="n">
        <f aca="false">N(N426)</f>
        <v>1000</v>
      </c>
      <c r="CN426" s="62" t="n">
        <f aca="false">ROUNDUP(H426/BZ426,0)</f>
        <v>1</v>
      </c>
      <c r="CO426" s="62" t="n">
        <f aca="false">ROUNDUP(CJ426/BZ426,0)</f>
        <v>0</v>
      </c>
      <c r="CP426" s="65" t="n">
        <f aca="false">IF(CA426=1,0,IFERROR(VLOOKUP(BY426,'Gebinde-Kategorie'!$A$5:$N$45,5,0)+0,0))</f>
        <v>11</v>
      </c>
      <c r="CQ426" s="65" t="n">
        <f aca="false">IFERROR(IF(OR(CF426=1,CF426=2,CF426=3),N(INDEX(Parameter!$I$5:$I$7,CF426)),0),0)</f>
        <v>0</v>
      </c>
      <c r="CR426" s="64" t="n">
        <f aca="false">IF(AND(Parameter!$B$21="Ja",ISNUMBER(W426),N(X426)&gt;0),IFERROR(N(INDEX(Parameter!$L$5:$L$7,W426))*INDEX(Parameter!$E$5:$E$7,W426)*X426/SUMIFS($X$7:$X$1843,$W$7:$W$1843,W426),0),0)</f>
        <v>0</v>
      </c>
      <c r="CS426" s="62" t="n">
        <f aca="false">IF(AND(OR(CG426="L1",CG426="L23",CG426="LIFT"),H426&gt;0),CC426*IF(CR426&gt;0,CR426*MAX(1,H426/X426),IF(CA426=1,CE426,IF(R426&gt;0,CN426/R426,0))/MAX(0.1,N(Parameter!$M$21))),"")</f>
        <v>5.96153846153846</v>
      </c>
      <c r="CT426" s="64" t="n">
        <f aca="false">IF(CS426="","",J426/H426)</f>
        <v>0.701</v>
      </c>
      <c r="CU426" s="62" t="n">
        <f aca="false">IF(CS426="","",H426*G426)</f>
        <v>100</v>
      </c>
      <c r="CV426" s="63" t="n">
        <f aca="false">IF(CS426="","",(CL426+ROUNDUP(CL426+MAX(CM426,2*(J426/MAX(0.1,N(Einkauf!$C$6))-CL426)),0))/2)</f>
        <v>540</v>
      </c>
      <c r="CW426" s="62" t="n">
        <f aca="false">IF(CS426="","",MAX(0,H426-CV426)*G426)</f>
        <v>46</v>
      </c>
      <c r="CX426" s="62" t="n">
        <f aca="false">IF(CS426="","",CS426*MAX(0,1-CV426/H426))</f>
        <v>2.74230769230769</v>
      </c>
      <c r="CY426" s="64" t="n">
        <f aca="false">IF(CS426="","",PERCENTRANK($CS$7:$CS$1843,CS426)+PERCENTRANK($CU$7:$CU$1843,CU426)+1-PERCENTRANK($CT$7:$CT$1843,CT426))</f>
        <v>1.001</v>
      </c>
      <c r="CZ426" s="72" t="n">
        <f aca="false">IF(CS426="","",CHOOSE(MATCH(Einkauf!$C$5,Parameter!$G$23:$G$27,0),CY426,CS426,CU426,-CT426,CW426)+ROW()/1000000000)</f>
        <v>1.001000426</v>
      </c>
    </row>
    <row r="427" customFormat="false" ht="15" hidden="false" customHeight="false" outlineLevel="0" collapsed="false">
      <c r="A427" s="60" t="s">
        <v>1024</v>
      </c>
      <c r="B427" s="60" t="s">
        <v>1025</v>
      </c>
      <c r="C427" s="60" t="s">
        <v>206</v>
      </c>
      <c r="D427" s="60" t="s">
        <v>226</v>
      </c>
      <c r="E427" s="60" t="s">
        <v>227</v>
      </c>
      <c r="F427" s="60" t="s">
        <v>260</v>
      </c>
      <c r="G427" s="61" t="n">
        <v>11.9</v>
      </c>
      <c r="H427" s="62" t="n">
        <f aca="false">MAX(0,IF(AND(Parameter!$B$21="Ja",ISNUMBER(Y427)),Y427,IF(Parameter!$B$20="Jahresanfang 2025 + Export",BS427+BR427,BR427)))</f>
        <v>13</v>
      </c>
      <c r="I427" s="62" t="n">
        <f aca="false">H427*G427</f>
        <v>154.7</v>
      </c>
      <c r="J427" s="62" t="n">
        <f aca="false">BU427*Parameter!$B$18</f>
        <v>19</v>
      </c>
      <c r="K427" s="63" t="n">
        <v>7</v>
      </c>
      <c r="L427" s="64" t="n">
        <v>2.71428571428571</v>
      </c>
      <c r="M427" s="62" t="n">
        <v>0</v>
      </c>
      <c r="N427" s="62" t="n">
        <v>20</v>
      </c>
      <c r="O427" s="65" t="n">
        <v>14</v>
      </c>
      <c r="P427" s="60" t="s">
        <v>518</v>
      </c>
      <c r="Q427" s="62" t="n">
        <v>12</v>
      </c>
      <c r="R427" s="65" t="n">
        <f aca="false">IF(CA427=1,0,IFERROR(VLOOKUP(BY427,'Gebinde-Kategorie'!$A$5:$N$45,13,0)+0,0))</f>
        <v>52</v>
      </c>
      <c r="S427" s="66"/>
      <c r="T427" s="67"/>
      <c r="U427" s="67"/>
      <c r="V427" s="67"/>
      <c r="W427" s="60"/>
      <c r="X427" s="62"/>
      <c r="Y427" s="62"/>
      <c r="Z427" s="60" t="n">
        <v>3</v>
      </c>
      <c r="AA427" s="60" t="n">
        <f aca="false">IF(A427="","",IF(AND(Parameter!$B$21="Ja",ISNUMBER(W427)),W427,IF(AND(Parameter!$E$27="Ja",ISNUMBER(Z427),CD427&lt;&gt;"Nein"),Z427,IF(CD427="2+3",IF(ISNUMBER(SEARCH("grosser Artikel",BV427)),2,IFERROR(VLOOKUP(BY427,Parameter!$F$35:$G$64,2,0),2)),IF(OR(CD427="Nein",CD427=""),"-",CD427)))))</f>
        <v>3</v>
      </c>
      <c r="AB427" s="67"/>
      <c r="AC427" s="68"/>
      <c r="AD427" s="62" t="n">
        <f aca="false">AW427</f>
        <v>20</v>
      </c>
      <c r="AE427" s="62" t="n">
        <f aca="false">MAX(AW427,H427)</f>
        <v>20</v>
      </c>
      <c r="AF427" s="69"/>
      <c r="AG427" s="62" t="n">
        <f aca="false">IF(LEFT(Cockpit!$C$5,1)="A",H427,IF(Parameter!$E$30="MAX-Bestand",IF(CI427=1,CJ427,IF(LEFT(Cockpit!$C$5,1)="B",AM427,MAX(AM427,H427))),ROUNDUP(AK427,0)))</f>
        <v>13</v>
      </c>
      <c r="AH427" s="62" t="n">
        <f aca="false">IF(CA427=1,0,ROUNDUP(AG427/BZ427,0))</f>
        <v>2</v>
      </c>
      <c r="AI427" s="64" t="n">
        <f aca="false">IF(CR427&gt;0,CR427*MAX(1,AG427/X427),IF(CA427=1,IF(AG427&lt;=0,0,CE427*MAX(1,IF(H427&gt;0,AG427/H427,1))),IF(R427&gt;0,AH427/R427,0))/MAX(0.1,N(Parameter!$M$21)))</f>
        <v>0.0384615384615385</v>
      </c>
      <c r="AJ427" s="62" t="n">
        <f aca="false">AI427*CC427</f>
        <v>5.96153846153846</v>
      </c>
      <c r="AK427" s="63" t="n">
        <f aca="false">IF(LEFT(Cockpit!$C$5,1)="A",H427,IF(CI427=1,(CL427+CJ427)/2,IF(LEFT(Cockpit!$C$5,1)="B",(CL427+AM427)/2,MAX((CL427+AM427)/2,H427))))</f>
        <v>13</v>
      </c>
      <c r="AL427" s="62" t="n">
        <f aca="false">AK427*G427</f>
        <v>154.7</v>
      </c>
      <c r="AM427" s="62" t="n">
        <f aca="false">ROUNDUP(CL427+MAX(CM427,2*(J427/IF(CH427&gt;0,CH427,MAX(0.1,N(Cockpit!$C$6)))-CL427)),0)</f>
        <v>20</v>
      </c>
      <c r="AN427" s="63" t="n">
        <f aca="false">IF(AJ427&gt;0,J427/AJ427,-1)</f>
        <v>3.18709677419355</v>
      </c>
      <c r="AO427" s="63" t="n">
        <f aca="false">IF(AND(OR(CG427="L1",CG427="L23",CG427="LIFT"),AJ427&gt;0),SUMIFS($AJ$7:$AJ$1843,$CG$7:$CG$1843,CG427,$AN$7:$AN$1843,"&gt;"&amp;AN427)+SUMIFS($AJ$7:$AJ$1843,$CG$7:$CG$1843,CG427,$AN$7:$AN$1843,AN427,$BX$7:$BX$1843,"&lt;="&amp;BX427),"")</f>
        <v>4975.12316849817</v>
      </c>
      <c r="AP427" s="70" t="n">
        <f aca="false">IF(AO427="",0,MAX(0,MIN(1,(IF(CG427="L1",Parameter!$H$5,IF(CG427="L23",Parameter!$H$6+Parameter!$H$7,Parameter!$H$5+Parameter!$H$6+Parameter!$H$7))-(AO427-AJ427))/AJ427)))</f>
        <v>1</v>
      </c>
      <c r="AQ427" s="62" t="n">
        <f aca="false">IF(LEFT(Cockpit!$I$5,1)="A",H427,IF(Parameter!$E$30="MAX-Bestand",IF(CI427=1,CJ427,IF(LEFT(Cockpit!$I$5,1)="B",AW427,MAX(AW427,H427))),ROUNDUP(AU427,0)))</f>
        <v>13</v>
      </c>
      <c r="AR427" s="62" t="n">
        <f aca="false">IF(CA427=1,0,ROUNDUP(AQ427/BZ427,0))</f>
        <v>2</v>
      </c>
      <c r="AS427" s="64" t="n">
        <f aca="false">IF(CR427&gt;0,CR427*MAX(1,AQ427/X427),IF(CA427=1,IF(AQ427&lt;=0,0,CE427*MAX(1,IF(H427&gt;0,AQ427/H427,1))),IF(R427&gt;0,AR427/R427,0))/MAX(0.1,N(Parameter!$M$21)))</f>
        <v>0.0384615384615385</v>
      </c>
      <c r="AT427" s="62" t="n">
        <f aca="false">AS427*CC427</f>
        <v>5.96153846153846</v>
      </c>
      <c r="AU427" s="63" t="n">
        <f aca="false">IF(LEFT(Cockpit!$I$5,1)="A",H427,IF(CI427=1,(CL427+CJ427)/2,IF(LEFT(Cockpit!$I$5,1)="B",(CL427+AW427)/2,MAX((CL427+AW427)/2,H427))))</f>
        <v>13</v>
      </c>
      <c r="AV427" s="62" t="n">
        <f aca="false">AU427*G427</f>
        <v>154.7</v>
      </c>
      <c r="AW427" s="62" t="n">
        <f aca="false">ROUNDUP(CL427+MAX(CM427,2*(J427/IF(CH427&gt;0,CH427,MAX(0.1,N(Cockpit!$I$6)))-CL427)),0)</f>
        <v>20</v>
      </c>
      <c r="AX427" s="63" t="n">
        <f aca="false">IF(AT427&gt;0,J427/AT427,-1)</f>
        <v>3.18709677419355</v>
      </c>
      <c r="AY427" s="63" t="n">
        <f aca="false">IF(AND(OR(CG427="L1",CG427="L23",CG427="LIFT"),AT427&gt;0),SUMIFS($AT$7:$AT$1843,$CG$7:$CG$1843,CG427,$AX$7:$AX$1843,"&gt;"&amp;AX427)+SUMIFS($AT$7:$AT$1843,$CG$7:$CG$1843,CG427,$AX$7:$AX$1843,AX427,$BX$7:$BX$1843,"&lt;="&amp;BX427),"")</f>
        <v>5684.37683150183</v>
      </c>
      <c r="AZ427" s="70" t="n">
        <f aca="false">IF(AY427="",0,MAX(0,MIN(1,(IF(CG427="L1",Parameter!$H$5,IF(CG427="L23",Parameter!$H$6+Parameter!$H$7,Parameter!$H$5+Parameter!$H$6+Parameter!$H$7))-(AY427-AT427))/AT427)))</f>
        <v>1</v>
      </c>
      <c r="BA427" s="62" t="n">
        <f aca="false">IF(LEFT(Cockpit!$O$5,1)="A",H427,IF(Parameter!$E$30="MAX-Bestand",IF(CI427=1,CJ427,IF(LEFT(Cockpit!$O$5,1)="B",BG427,MAX(BG427,H427))),ROUNDUP(BE427,0)))</f>
        <v>10</v>
      </c>
      <c r="BB427" s="62" t="n">
        <f aca="false">IF(CA427=1,0,ROUNDUP(BA427/BZ427,0))</f>
        <v>1</v>
      </c>
      <c r="BC427" s="64" t="n">
        <f aca="false">IF(CR427&gt;0,CR427*MAX(1,BA427/X427),IF(CA427=1,IF(BA427&lt;=0,0,CE427*MAX(1,IF(H427&gt;0,BA427/H427,1))),IF(R427&gt;0,BB427/R427,0))/MAX(0.1,N(Parameter!$M$21)))</f>
        <v>0.0192307692307692</v>
      </c>
      <c r="BD427" s="62" t="n">
        <f aca="false">BC427*CC427</f>
        <v>2.98076923076923</v>
      </c>
      <c r="BE427" s="63" t="n">
        <f aca="false">IF(LEFT(Cockpit!$O$5,1)="A",H427,IF(CI427=1,(CL427+CJ427)/2,IF(LEFT(Cockpit!$O$5,1)="B",(CL427+BG427)/2,MAX((CL427+BG427)/2,H427))))</f>
        <v>10</v>
      </c>
      <c r="BF427" s="62" t="n">
        <f aca="false">BE427*G427</f>
        <v>119</v>
      </c>
      <c r="BG427" s="62" t="n">
        <f aca="false">ROUNDUP(CL427+MAX(CM427,2*(J427/IF(CH427&gt;0,CH427,MAX(0.1,N(Cockpit!$O$6)))-CL427)),0)</f>
        <v>20</v>
      </c>
      <c r="BH427" s="63" t="n">
        <f aca="false">IF(BD427&gt;0,J427/BD427,-1)</f>
        <v>6.3741935483871</v>
      </c>
      <c r="BI427" s="63" t="n">
        <f aca="false">IF(AND(OR(CG427="L1",CG427="L23",CG427="LIFT"),BD427&gt;0),SUMIFS($BD$7:$BD$1843,$CG$7:$CG$1843,CG427,$BH$7:$BH$1843,"&gt;"&amp;BH427)+SUMIFS($BD$7:$BD$1843,$CG$7:$CG$1843,CG427,$BH$7:$BH$1843,BH427,$BX$7:$BX$1843,"&lt;="&amp;BX427),"")</f>
        <v>3390.96382783883</v>
      </c>
      <c r="BJ427" s="70" t="n">
        <f aca="false">IF(BI427="",0,MAX(0,MIN(1,(IF(CG427="L1",Parameter!$H$5,IF(CG427="L23",Parameter!$H$6+Parameter!$H$7,Parameter!$H$5+Parameter!$H$6+Parameter!$H$7))-(BI427-BD427))/BD427)))</f>
        <v>1</v>
      </c>
      <c r="BK427" s="60" t="str">
        <f aca="false">IF(AJ427&lt;=0,"",IF(CG427="Aussen","Aussenlager",IF(CG427="-","Nicht im Lift",IF(AP427&gt;=1,"Lift",IF(AP427&lt;=0,"Aussenlager","teilweise")))))</f>
        <v>Lift</v>
      </c>
      <c r="BL427" s="60" t="str">
        <f aca="false">IF(AT427&lt;=0,"",IF(CG427="Aussen","Aussenlager",IF(CG427="-","Nicht im Lift",IF(AZ427&gt;=1,"Lift",IF(AZ427&lt;=0,"Aussenlager","teilweise")))))</f>
        <v>Lift</v>
      </c>
      <c r="BM427" s="60" t="str">
        <f aca="false">IF(BD427&lt;=0,"",IF(CG427="Aussen","Aussenlager",IF(CG427="-","Nicht im Lift",IF(BJ427&gt;=1,"Lift",IF(BJ427&lt;=0,"Aussenlager","teilweise")))))</f>
        <v>Lift</v>
      </c>
      <c r="BN427" s="60" t="str">
        <f aca="false">IF(A427="","",IF(BW427=1,"Neu; ","")&amp;IF(AND(BW427=0,BR427&lt;0),"negativer Bestand (Export "&amp;BR427&amp;"); ","")&amp;IF(J427&lt;=0,"Kein Verbrauch; ","")&amp;IF(CR427&gt;0,"Lift "&amp;W427&amp;" lt. Liftbericht (Fach "&amp;X427&amp;" Stk); ",IF(CB427=1,"Gebinde geschätzt ("&amp;T427&amp;"); ",IF(CA427=1,"Lose – Tablare geschätzt; ","")))&amp;IF(H427&gt;AW427,"Überbestand "&amp;ROUND(H427-AW427,0)&amp;" Stk / CHF "&amp;ROUND((H427-AW427)*G427,0)&amp;"; ","")&amp;IF(AND(CI427=1,CJ427&lt;CK427),"MAX &lt; MB+LG; ","")&amp;IF(AND(CQ427&gt;0,CP427*10&gt;CQ427),"zu hoch für Tablar; ","")&amp;IF(AND(BW427=0,OR(CI427=1,AB427&lt;&gt;"",U427&lt;&gt;"",V427&lt;&gt;"",AC427&lt;&gt;"")),"manuell übersteuert; ","")&amp;IF(AND(CA427=0,R427=0),"Gebinde unbekannt / Stellmass fehlt; ","")&amp;IF(AND(CA427=0,N(V427)&lt;=0,N(Q427)&lt;=0),"Menge pro Gebinde fehlt (Ist = 1 Gebinde); ","")&amp;BV427)</f>
        <v/>
      </c>
      <c r="BO427" s="60"/>
      <c r="BP427" s="60"/>
      <c r="BQ427" s="67"/>
      <c r="BR427" s="62" t="n">
        <v>6</v>
      </c>
      <c r="BS427" s="62" t="n">
        <v>7</v>
      </c>
      <c r="BT427" s="61" t="n">
        <v>87.92</v>
      </c>
      <c r="BU427" s="62" t="n">
        <v>19</v>
      </c>
      <c r="BV427" s="60"/>
      <c r="BW427" s="65" t="n">
        <v>0</v>
      </c>
      <c r="BX427" s="65" t="n">
        <v>427</v>
      </c>
      <c r="BY427" s="60" t="str">
        <f aca="false">IF(U427&lt;&gt;"",UPPER(TRIM(U427)),IF(CB427=1,UPPER(VLOOKUP(T427,Parameter!$I$27:$K$29,2,0)),IF(P427="","LOSE",P427)))</f>
        <v>S33</v>
      </c>
      <c r="BZ427" s="62" t="n">
        <f aca="false">IF(BY427="LOSE",1,IF(N(V427)&gt;0,V427,IF(CB427=1,MAX(1,N(VLOOKUP(T427,Parameter!$I$27:$K$29,3,0)),H427,N(N427)),IF(N(Q427)&gt;0,Q427,MAX(1,H427)))))</f>
        <v>12</v>
      </c>
      <c r="CA427" s="65" t="n">
        <f aca="false">IF(BY427="LOSE",1,0)</f>
        <v>0</v>
      </c>
      <c r="CB427" s="65" t="n">
        <f aca="false">IF(AND(U427="",OR(P427="",P427="LOSE"),T427&lt;&gt;"",N(S427)&lt;=0,ISNUMBER(MATCH(T427,Parameter!$I$27:$I$29,0))),1,0)</f>
        <v>0</v>
      </c>
      <c r="CC427" s="65" t="n">
        <f aca="false">IF(CR427&gt;0,INDEX(Parameter!$H$5:$H$7,W427)/INDEX(Parameter!$E$5:$E$7,W427),IF(AND(CA427=0,N(IFERROR(VLOOKUP(BY427,'Gebinde-Kategorie'!$A$5:$N$45,14,0),0))&gt;0),VLOOKUP(BY427,'Gebinde-Kategorie'!$A$5:$N$45,14,0)*10+Parameter!$M$23,Parameter!$M$24))</f>
        <v>155</v>
      </c>
      <c r="CD427" s="60" t="str">
        <f aca="false">IF(AND(Parameter!$B$19="Ja",E427&lt;&gt;"",ISNUMBER(MATCH(E427,Parameter!$I$35:$I$52,0))),VLOOKUP(E427,Parameter!$I$35:$J$52,2,0),IFERROR(VLOOKUP(D427,Parameter!$A$35:$C$64,2,0),"Nein"))</f>
        <v>2+3</v>
      </c>
      <c r="CE427" s="64" t="n">
        <f aca="false">IF(CA427=0,0,IF(N(S427)&gt;0,S427,IFERROR(VLOOKUP(D427,Parameter!$A$35:$C$64,3,0)+0,0)))</f>
        <v>0</v>
      </c>
      <c r="CF427" s="60" t="n">
        <f aca="false">IF(AB427&lt;&gt;"",AB427,AA427)</f>
        <v>3</v>
      </c>
      <c r="CG427" s="60" t="str">
        <f aca="false">IF(OR(CF427=1,CF427=2,CF427=3),IF(Parameter!$E$27="Ja","LIFT",IF(CF427=1,"L1","L23")),IF(CF427="Aussen","Aussen","-"))</f>
        <v>LIFT</v>
      </c>
      <c r="CH427" s="71" t="n">
        <f aca="false">IF(N(AC427)&gt;0,AC427,0)</f>
        <v>0</v>
      </c>
      <c r="CI427" s="65" t="n">
        <f aca="false">IF(ISNUMBER(AF427),1,0)</f>
        <v>0</v>
      </c>
      <c r="CJ427" s="62" t="n">
        <f aca="false">N(AF427)</f>
        <v>0</v>
      </c>
      <c r="CK427" s="62" t="n">
        <f aca="false">N(M427)+N(N427)</f>
        <v>20</v>
      </c>
      <c r="CL427" s="62" t="n">
        <f aca="false">N(M427)</f>
        <v>0</v>
      </c>
      <c r="CM427" s="62" t="n">
        <f aca="false">N(N427)</f>
        <v>20</v>
      </c>
      <c r="CN427" s="62" t="n">
        <f aca="false">ROUNDUP(H427/BZ427,0)</f>
        <v>2</v>
      </c>
      <c r="CO427" s="62" t="n">
        <f aca="false">ROUNDUP(CJ427/BZ427,0)</f>
        <v>0</v>
      </c>
      <c r="CP427" s="65" t="n">
        <f aca="false">IF(CA427=1,0,IFERROR(VLOOKUP(BY427,'Gebinde-Kategorie'!$A$5:$N$45,5,0)+0,0))</f>
        <v>8</v>
      </c>
      <c r="CQ427" s="65" t="n">
        <f aca="false">IFERROR(IF(OR(CF427=1,CF427=2,CF427=3),N(INDEX(Parameter!$I$5:$I$7,CF427)),0),0)</f>
        <v>0</v>
      </c>
      <c r="CR427" s="64" t="n">
        <f aca="false">IF(AND(Parameter!$B$21="Ja",ISNUMBER(W427),N(X427)&gt;0),IFERROR(N(INDEX(Parameter!$L$5:$L$7,W427))*INDEX(Parameter!$E$5:$E$7,W427)*X427/SUMIFS($X$7:$X$1843,$W$7:$W$1843,W427),0),0)</f>
        <v>0</v>
      </c>
      <c r="CS427" s="62" t="n">
        <f aca="false">IF(AND(OR(CG427="L1",CG427="L23",CG427="LIFT"),H427&gt;0),CC427*IF(CR427&gt;0,CR427*MAX(1,H427/X427),IF(CA427=1,CE427,IF(R427&gt;0,CN427/R427,0))/MAX(0.1,N(Parameter!$M$21))),"")</f>
        <v>5.96153846153846</v>
      </c>
      <c r="CT427" s="64" t="n">
        <f aca="false">IF(CS427="","",J427/H427)</f>
        <v>1.46153846153846</v>
      </c>
      <c r="CU427" s="62" t="n">
        <f aca="false">IF(CS427="","",H427*G427)</f>
        <v>154.7</v>
      </c>
      <c r="CV427" s="63" t="n">
        <f aca="false">IF(CS427="","",(CL427+ROUNDUP(CL427+MAX(CM427,2*(J427/MAX(0.1,N(Einkauf!$C$6))-CL427)),0))/2)</f>
        <v>10</v>
      </c>
      <c r="CW427" s="62" t="n">
        <f aca="false">IF(CS427="","",MAX(0,H427-CV427)*G427)</f>
        <v>35.7</v>
      </c>
      <c r="CX427" s="62" t="n">
        <f aca="false">IF(CS427="","",CS427*MAX(0,1-CV427/H427))</f>
        <v>1.37573964497041</v>
      </c>
      <c r="CY427" s="64" t="n">
        <f aca="false">IF(CS427="","",PERCENTRANK($CS$7:$CS$1843,CS427)+PERCENTRANK($CU$7:$CU$1843,CU427)+1-PERCENTRANK($CT$7:$CT$1843,CT427))</f>
        <v>0.902</v>
      </c>
      <c r="CZ427" s="72" t="n">
        <f aca="false">IF(CS427="","",CHOOSE(MATCH(Einkauf!$C$5,Parameter!$G$23:$G$27,0),CY427,CS427,CU427,-CT427,CW427)+ROW()/1000000000)</f>
        <v>0.902000427</v>
      </c>
    </row>
    <row r="428" customFormat="false" ht="15" hidden="false" customHeight="false" outlineLevel="0" collapsed="false">
      <c r="A428" s="60" t="s">
        <v>1026</v>
      </c>
      <c r="B428" s="60" t="s">
        <v>631</v>
      </c>
      <c r="C428" s="60" t="s">
        <v>206</v>
      </c>
      <c r="D428" s="60" t="s">
        <v>226</v>
      </c>
      <c r="E428" s="60" t="s">
        <v>227</v>
      </c>
      <c r="F428" s="60" t="s">
        <v>260</v>
      </c>
      <c r="G428" s="61" t="n">
        <v>43.94</v>
      </c>
      <c r="H428" s="62" t="n">
        <f aca="false">MAX(0,IF(AND(Parameter!$B$21="Ja",ISNUMBER(Y428)),Y428,IF(Parameter!$B$20="Jahresanfang 2025 + Export",BS428+BR428,BR428)))</f>
        <v>67</v>
      </c>
      <c r="I428" s="62" t="n">
        <f aca="false">H428*G428</f>
        <v>2943.98</v>
      </c>
      <c r="J428" s="62" t="n">
        <f aca="false">BU428*Parameter!$B$18</f>
        <v>0</v>
      </c>
      <c r="K428" s="63" t="n">
        <v>66</v>
      </c>
      <c r="L428" s="64" t="n">
        <v>0</v>
      </c>
      <c r="M428" s="62" t="n">
        <v>0</v>
      </c>
      <c r="N428" s="62" t="n">
        <v>1</v>
      </c>
      <c r="O428" s="65" t="n">
        <v>35</v>
      </c>
      <c r="P428" s="60" t="s">
        <v>468</v>
      </c>
      <c r="Q428" s="62" t="n">
        <v>65</v>
      </c>
      <c r="R428" s="65" t="n">
        <f aca="false">IF(CA428=1,0,IFERROR(VLOOKUP(BY428,'Gebinde-Kategorie'!$A$5:$N$45,13,0)+0,0))</f>
        <v>140</v>
      </c>
      <c r="S428" s="66"/>
      <c r="T428" s="67"/>
      <c r="U428" s="67"/>
      <c r="V428" s="67"/>
      <c r="W428" s="60"/>
      <c r="X428" s="62"/>
      <c r="Y428" s="62"/>
      <c r="Z428" s="60" t="n">
        <v>1</v>
      </c>
      <c r="AA428" s="60" t="n">
        <f aca="false">IF(A428="","",IF(AND(Parameter!$B$21="Ja",ISNUMBER(W428)),W428,IF(AND(Parameter!$E$27="Ja",ISNUMBER(Z428),CD428&lt;&gt;"Nein"),Z428,IF(CD428="2+3",IF(ISNUMBER(SEARCH("grosser Artikel",BV428)),2,IFERROR(VLOOKUP(BY428,Parameter!$F$35:$G$64,2,0),2)),IF(OR(CD428="Nein",CD428=""),"-",CD428)))))</f>
        <v>1</v>
      </c>
      <c r="AB428" s="67"/>
      <c r="AC428" s="68"/>
      <c r="AD428" s="62" t="n">
        <f aca="false">AW428</f>
        <v>1</v>
      </c>
      <c r="AE428" s="62" t="n">
        <f aca="false">MAX(AW428,H428)</f>
        <v>67</v>
      </c>
      <c r="AF428" s="69"/>
      <c r="AG428" s="62" t="n">
        <f aca="false">IF(LEFT(Cockpit!$C$5,1)="A",H428,IF(Parameter!$E$30="MAX-Bestand",IF(CI428=1,CJ428,IF(LEFT(Cockpit!$C$5,1)="B",AM428,MAX(AM428,H428))),ROUNDUP(AK428,0)))</f>
        <v>67</v>
      </c>
      <c r="AH428" s="62" t="n">
        <f aca="false">IF(CA428=1,0,ROUNDUP(AG428/BZ428,0))</f>
        <v>2</v>
      </c>
      <c r="AI428" s="64" t="n">
        <f aca="false">IF(CR428&gt;0,CR428*MAX(1,AG428/X428),IF(CA428=1,IF(AG428&lt;=0,0,CE428*MAX(1,IF(H428&gt;0,AG428/H428,1))),IF(R428&gt;0,AH428/R428,0))/MAX(0.1,N(Parameter!$M$21)))</f>
        <v>0.0142857142857143</v>
      </c>
      <c r="AJ428" s="62" t="n">
        <f aca="false">AI428*CC428</f>
        <v>2.21428571428571</v>
      </c>
      <c r="AK428" s="63" t="n">
        <f aca="false">IF(LEFT(Cockpit!$C$5,1)="A",H428,IF(CI428=1,(CL428+CJ428)/2,IF(LEFT(Cockpit!$C$5,1)="B",(CL428+AM428)/2,MAX((CL428+AM428)/2,H428))))</f>
        <v>67</v>
      </c>
      <c r="AL428" s="62" t="n">
        <f aca="false">AK428*G428</f>
        <v>2943.98</v>
      </c>
      <c r="AM428" s="62" t="n">
        <f aca="false">ROUNDUP(CL428+MAX(CM428,2*(J428/IF(CH428&gt;0,CH428,MAX(0.1,N(Cockpit!$C$6)))-CL428)),0)</f>
        <v>1</v>
      </c>
      <c r="AN428" s="63" t="n">
        <f aca="false">IF(AJ428&gt;0,J428/AJ428,-1)</f>
        <v>0</v>
      </c>
      <c r="AO428" s="63" t="n">
        <f aca="false">IF(AND(OR(CG428="L1",CG428="L23",CG428="LIFT"),AJ428&gt;0),SUMIFS($AJ$7:$AJ$1843,$CG$7:$CG$1843,CG428,$AN$7:$AN$1843,"&gt;"&amp;AN428)+SUMIFS($AJ$7:$AJ$1843,$CG$7:$CG$1843,CG428,$AN$7:$AN$1843,AN428,$BX$7:$BX$1843,"&lt;="&amp;BX428),"")</f>
        <v>28109.791834813</v>
      </c>
      <c r="AP428" s="70" t="n">
        <f aca="false">IF(AO428="",0,MAX(0,MIN(1,(IF(CG428="L1",Parameter!$H$5,IF(CG428="L23",Parameter!$H$6+Parameter!$H$7,Parameter!$H$5+Parameter!$H$6+Parameter!$H$7))-(AO428-AJ428))/AJ428)))</f>
        <v>1</v>
      </c>
      <c r="AQ428" s="62" t="n">
        <f aca="false">IF(LEFT(Cockpit!$I$5,1)="A",H428,IF(Parameter!$E$30="MAX-Bestand",IF(CI428=1,CJ428,IF(LEFT(Cockpit!$I$5,1)="B",AW428,MAX(AW428,H428))),ROUNDUP(AU428,0)))</f>
        <v>67</v>
      </c>
      <c r="AR428" s="62" t="n">
        <f aca="false">IF(CA428=1,0,ROUNDUP(AQ428/BZ428,0))</f>
        <v>2</v>
      </c>
      <c r="AS428" s="64" t="n">
        <f aca="false">IF(CR428&gt;0,CR428*MAX(1,AQ428/X428),IF(CA428=1,IF(AQ428&lt;=0,0,CE428*MAX(1,IF(H428&gt;0,AQ428/H428,1))),IF(R428&gt;0,AR428/R428,0))/MAX(0.1,N(Parameter!$M$21)))</f>
        <v>0.0142857142857143</v>
      </c>
      <c r="AT428" s="62" t="n">
        <f aca="false">AS428*CC428</f>
        <v>2.21428571428571</v>
      </c>
      <c r="AU428" s="63" t="n">
        <f aca="false">IF(LEFT(Cockpit!$I$5,1)="A",H428,IF(CI428=1,(CL428+CJ428)/2,IF(LEFT(Cockpit!$I$5,1)="B",(CL428+AW428)/2,MAX((CL428+AW428)/2,H428))))</f>
        <v>67</v>
      </c>
      <c r="AV428" s="62" t="n">
        <f aca="false">AU428*G428</f>
        <v>2943.98</v>
      </c>
      <c r="AW428" s="62" t="n">
        <f aca="false">ROUNDUP(CL428+MAX(CM428,2*(J428/IF(CH428&gt;0,CH428,MAX(0.1,N(Cockpit!$I$6)))-CL428)),0)</f>
        <v>1</v>
      </c>
      <c r="AX428" s="63" t="n">
        <f aca="false">IF(AT428&gt;0,J428/AT428,-1)</f>
        <v>0</v>
      </c>
      <c r="AY428" s="63" t="n">
        <f aca="false">IF(AND(OR(CG428="L1",CG428="L23",CG428="LIFT"),AT428&gt;0),SUMIFS($AT$7:$AT$1843,$CG$7:$CG$1843,CG428,$AX$7:$AX$1843,"&gt;"&amp;AX428)+SUMIFS($AT$7:$AT$1843,$CG$7:$CG$1843,CG428,$AX$7:$AX$1843,AX428,$BX$7:$BX$1843,"&lt;="&amp;BX428),"")</f>
        <v>33462.9404761905</v>
      </c>
      <c r="AZ428" s="70" t="n">
        <f aca="false">IF(AY428="",0,MAX(0,MIN(1,(IF(CG428="L1",Parameter!$H$5,IF(CG428="L23",Parameter!$H$6+Parameter!$H$7,Parameter!$H$5+Parameter!$H$6+Parameter!$H$7))-(AY428-AT428))/AT428)))</f>
        <v>1</v>
      </c>
      <c r="BA428" s="62" t="n">
        <f aca="false">IF(LEFT(Cockpit!$O$5,1)="A",H428,IF(Parameter!$E$30="MAX-Bestand",IF(CI428=1,CJ428,IF(LEFT(Cockpit!$O$5,1)="B",BG428,MAX(BG428,H428))),ROUNDUP(BE428,0)))</f>
        <v>1</v>
      </c>
      <c r="BB428" s="62" t="n">
        <f aca="false">IF(CA428=1,0,ROUNDUP(BA428/BZ428,0))</f>
        <v>1</v>
      </c>
      <c r="BC428" s="64" t="n">
        <f aca="false">IF(CR428&gt;0,CR428*MAX(1,BA428/X428),IF(CA428=1,IF(BA428&lt;=0,0,CE428*MAX(1,IF(H428&gt;0,BA428/H428,1))),IF(R428&gt;0,BB428/R428,0))/MAX(0.1,N(Parameter!$M$21)))</f>
        <v>0.00714285714285714</v>
      </c>
      <c r="BD428" s="62" t="n">
        <f aca="false">BC428*CC428</f>
        <v>1.10714285714286</v>
      </c>
      <c r="BE428" s="63" t="n">
        <f aca="false">IF(LEFT(Cockpit!$O$5,1)="A",H428,IF(CI428=1,(CL428+CJ428)/2,IF(LEFT(Cockpit!$O$5,1)="B",(CL428+BG428)/2,MAX((CL428+BG428)/2,H428))))</f>
        <v>0.5</v>
      </c>
      <c r="BF428" s="62" t="n">
        <f aca="false">BE428*G428</f>
        <v>21.97</v>
      </c>
      <c r="BG428" s="62" t="n">
        <f aca="false">ROUNDUP(CL428+MAX(CM428,2*(J428/IF(CH428&gt;0,CH428,MAX(0.1,N(Cockpit!$O$6)))-CL428)),0)</f>
        <v>1</v>
      </c>
      <c r="BH428" s="63" t="n">
        <f aca="false">IF(BD428&gt;0,J428/BD428,-1)</f>
        <v>0</v>
      </c>
      <c r="BI428" s="63" t="n">
        <f aca="false">IF(AND(OR(CG428="L1",CG428="L23",CG428="LIFT"),BD428&gt;0),SUMIFS($BD$7:$BD$1843,$CG$7:$CG$1843,CG428,$BH$7:$BH$1843,"&gt;"&amp;BH428)+SUMIFS($BD$7:$BD$1843,$CG$7:$CG$1843,CG428,$BH$7:$BH$1843,BH428,$BX$7:$BX$1843,"&lt;="&amp;BX428),"")</f>
        <v>27575.3703048364</v>
      </c>
      <c r="BJ428" s="70" t="n">
        <f aca="false">IF(BI428="",0,MAX(0,MIN(1,(IF(CG428="L1",Parameter!$H$5,IF(CG428="L23",Parameter!$H$6+Parameter!$H$7,Parameter!$H$5+Parameter!$H$6+Parameter!$H$7))-(BI428-BD428))/BD428)))</f>
        <v>1</v>
      </c>
      <c r="BK428" s="60" t="str">
        <f aca="false">IF(AJ428&lt;=0,"",IF(CG428="Aussen","Aussenlager",IF(CG428="-","Nicht im Lift",IF(AP428&gt;=1,"Lift",IF(AP428&lt;=0,"Aussenlager","teilweise")))))</f>
        <v>Lift</v>
      </c>
      <c r="BL428" s="60" t="str">
        <f aca="false">IF(AT428&lt;=0,"",IF(CG428="Aussen","Aussenlager",IF(CG428="-","Nicht im Lift",IF(AZ428&gt;=1,"Lift",IF(AZ428&lt;=0,"Aussenlager","teilweise")))))</f>
        <v>Lift</v>
      </c>
      <c r="BM428" s="60" t="str">
        <f aca="false">IF(BD428&lt;=0,"",IF(CG428="Aussen","Aussenlager",IF(CG428="-","Nicht im Lift",IF(BJ428&gt;=1,"Lift",IF(BJ428&lt;=0,"Aussenlager","teilweise")))))</f>
        <v>Lift</v>
      </c>
      <c r="BN428" s="60" t="str">
        <f aca="false">IF(A428="","",IF(BW428=1,"Neu; ","")&amp;IF(AND(BW428=0,BR428&lt;0),"negativer Bestand (Export "&amp;BR428&amp;"); ","")&amp;IF(J428&lt;=0,"Kein Verbrauch; ","")&amp;IF(CR428&gt;0,"Lift "&amp;W428&amp;" lt. Liftbericht (Fach "&amp;X428&amp;" Stk); ",IF(CB428=1,"Gebinde geschätzt ("&amp;T428&amp;"); ",IF(CA428=1,"Lose – Tablare geschätzt; ","")))&amp;IF(H428&gt;AW428,"Überbestand "&amp;ROUND(H428-AW428,0)&amp;" Stk / CHF "&amp;ROUND((H428-AW428)*G428,0)&amp;"; ","")&amp;IF(AND(CI428=1,CJ428&lt;CK428),"MAX &lt; MB+LG; ","")&amp;IF(AND(CQ428&gt;0,CP428*10&gt;CQ428),"zu hoch für Tablar; ","")&amp;IF(AND(BW428=0,OR(CI428=1,AB428&lt;&gt;"",U428&lt;&gt;"",V428&lt;&gt;"",AC428&lt;&gt;"")),"manuell übersteuert; ","")&amp;IF(AND(CA428=0,R428=0),"Gebinde unbekannt / Stellmass fehlt; ","")&amp;IF(AND(CA428=0,N(V428)&lt;=0,N(Q428)&lt;=0),"Menge pro Gebinde fehlt (Ist = 1 Gebinde); ","")&amp;BV428)</f>
        <v>Kein Verbrauch; Überbestand 66 Stk / CHF 2900; Neu</v>
      </c>
      <c r="BO428" s="60"/>
      <c r="BP428" s="60"/>
      <c r="BQ428" s="67"/>
      <c r="BR428" s="62" t="n">
        <v>2</v>
      </c>
      <c r="BS428" s="62" t="n">
        <v>65</v>
      </c>
      <c r="BT428" s="61" t="n">
        <v>87.88</v>
      </c>
      <c r="BU428" s="62" t="n">
        <v>0</v>
      </c>
      <c r="BV428" s="60" t="s">
        <v>668</v>
      </c>
      <c r="BW428" s="65" t="n">
        <v>0</v>
      </c>
      <c r="BX428" s="65" t="n">
        <v>428</v>
      </c>
      <c r="BY428" s="60" t="str">
        <f aca="false">IF(U428&lt;&gt;"",UPPER(TRIM(U428)),IF(CB428=1,UPPER(VLOOKUP(T428,Parameter!$I$27:$K$29,2,0)),IF(P428="","LOSE",P428)))</f>
        <v>S22</v>
      </c>
      <c r="BZ428" s="62" t="n">
        <f aca="false">IF(BY428="LOSE",1,IF(N(V428)&gt;0,V428,IF(CB428=1,MAX(1,N(VLOOKUP(T428,Parameter!$I$27:$K$29,3,0)),H428,N(N428)),IF(N(Q428)&gt;0,Q428,MAX(1,H428)))))</f>
        <v>65</v>
      </c>
      <c r="CA428" s="65" t="n">
        <f aca="false">IF(BY428="LOSE",1,0)</f>
        <v>0</v>
      </c>
      <c r="CB428" s="65" t="n">
        <f aca="false">IF(AND(U428="",OR(P428="",P428="LOSE"),T428&lt;&gt;"",N(S428)&lt;=0,ISNUMBER(MATCH(T428,Parameter!$I$27:$I$29,0))),1,0)</f>
        <v>0</v>
      </c>
      <c r="CC428" s="65" t="n">
        <f aca="false">IF(CR428&gt;0,INDEX(Parameter!$H$5:$H$7,W428)/INDEX(Parameter!$E$5:$E$7,W428),IF(AND(CA428=0,N(IFERROR(VLOOKUP(BY428,'Gebinde-Kategorie'!$A$5:$N$45,14,0),0))&gt;0),VLOOKUP(BY428,'Gebinde-Kategorie'!$A$5:$N$45,14,0)*10+Parameter!$M$23,Parameter!$M$24))</f>
        <v>155</v>
      </c>
      <c r="CD428" s="60" t="str">
        <f aca="false">IF(AND(Parameter!$B$19="Ja",E428&lt;&gt;"",ISNUMBER(MATCH(E428,Parameter!$I$35:$I$52,0))),VLOOKUP(E428,Parameter!$I$35:$J$52,2,0),IFERROR(VLOOKUP(D428,Parameter!$A$35:$C$64,2,0),"Nein"))</f>
        <v>2+3</v>
      </c>
      <c r="CE428" s="64" t="n">
        <f aca="false">IF(CA428=0,0,IF(N(S428)&gt;0,S428,IFERROR(VLOOKUP(D428,Parameter!$A$35:$C$64,3,0)+0,0)))</f>
        <v>0</v>
      </c>
      <c r="CF428" s="60" t="n">
        <f aca="false">IF(AB428&lt;&gt;"",AB428,AA428)</f>
        <v>1</v>
      </c>
      <c r="CG428" s="60" t="str">
        <f aca="false">IF(OR(CF428=1,CF428=2,CF428=3),IF(Parameter!$E$27="Ja","LIFT",IF(CF428=1,"L1","L23")),IF(CF428="Aussen","Aussen","-"))</f>
        <v>LIFT</v>
      </c>
      <c r="CH428" s="71" t="n">
        <f aca="false">IF(N(AC428)&gt;0,AC428,0)</f>
        <v>0</v>
      </c>
      <c r="CI428" s="65" t="n">
        <f aca="false">IF(ISNUMBER(AF428),1,0)</f>
        <v>0</v>
      </c>
      <c r="CJ428" s="62" t="n">
        <f aca="false">N(AF428)</f>
        <v>0</v>
      </c>
      <c r="CK428" s="62" t="n">
        <f aca="false">N(M428)+N(N428)</f>
        <v>1</v>
      </c>
      <c r="CL428" s="62" t="n">
        <f aca="false">N(M428)</f>
        <v>0</v>
      </c>
      <c r="CM428" s="62" t="n">
        <f aca="false">N(N428)</f>
        <v>1</v>
      </c>
      <c r="CN428" s="62" t="n">
        <f aca="false">ROUNDUP(H428/BZ428,0)</f>
        <v>2</v>
      </c>
      <c r="CO428" s="62" t="n">
        <f aca="false">ROUNDUP(CJ428/BZ428,0)</f>
        <v>0</v>
      </c>
      <c r="CP428" s="65" t="n">
        <f aca="false">IF(CA428=1,0,IFERROR(VLOOKUP(BY428,'Gebinde-Kategorie'!$A$5:$N$45,5,0)+0,0))</f>
        <v>8</v>
      </c>
      <c r="CQ428" s="65" t="n">
        <f aca="false">IFERROR(IF(OR(CF428=1,CF428=2,CF428=3),N(INDEX(Parameter!$I$5:$I$7,CF428)),0),0)</f>
        <v>0</v>
      </c>
      <c r="CR428" s="64" t="n">
        <f aca="false">IF(AND(Parameter!$B$21="Ja",ISNUMBER(W428),N(X428)&gt;0),IFERROR(N(INDEX(Parameter!$L$5:$L$7,W428))*INDEX(Parameter!$E$5:$E$7,W428)*X428/SUMIFS($X$7:$X$1843,$W$7:$W$1843,W428),0),0)</f>
        <v>0</v>
      </c>
      <c r="CS428" s="62" t="n">
        <f aca="false">IF(AND(OR(CG428="L1",CG428="L23",CG428="LIFT"),H428&gt;0),CC428*IF(CR428&gt;0,CR428*MAX(1,H428/X428),IF(CA428=1,CE428,IF(R428&gt;0,CN428/R428,0))/MAX(0.1,N(Parameter!$M$21))),"")</f>
        <v>2.21428571428571</v>
      </c>
      <c r="CT428" s="64" t="n">
        <f aca="false">IF(CS428="","",J428/H428)</f>
        <v>0</v>
      </c>
      <c r="CU428" s="62" t="n">
        <f aca="false">IF(CS428="","",H428*G428)</f>
        <v>2943.98</v>
      </c>
      <c r="CV428" s="63" t="n">
        <f aca="false">IF(CS428="","",(CL428+ROUNDUP(CL428+MAX(CM428,2*(J428/MAX(0.1,N(Einkauf!$C$6))-CL428)),0))/2)</f>
        <v>0.5</v>
      </c>
      <c r="CW428" s="62" t="n">
        <f aca="false">IF(CS428="","",MAX(0,H428-CV428)*G428)</f>
        <v>2922.01</v>
      </c>
      <c r="CX428" s="62" t="n">
        <f aca="false">IF(CS428="","",CS428*MAX(0,1-CV428/H428))</f>
        <v>2.19776119402985</v>
      </c>
      <c r="CY428" s="64" t="n">
        <f aca="false">IF(CS428="","",PERCENTRANK($CS$7:$CS$1843,CS428)+PERCENTRANK($CU$7:$CU$1843,CU428)+1-PERCENTRANK($CT$7:$CT$1843,CT428))</f>
        <v>2.026</v>
      </c>
      <c r="CZ428" s="72" t="n">
        <f aca="false">IF(CS428="","",CHOOSE(MATCH(Einkauf!$C$5,Parameter!$G$23:$G$27,0),CY428,CS428,CU428,-CT428,CW428)+ROW()/1000000000)</f>
        <v>2.026000428</v>
      </c>
    </row>
    <row r="429" customFormat="false" ht="15" hidden="false" customHeight="false" outlineLevel="0" collapsed="false">
      <c r="A429" s="60" t="s">
        <v>1027</v>
      </c>
      <c r="B429" s="60" t="s">
        <v>989</v>
      </c>
      <c r="C429" s="60" t="s">
        <v>206</v>
      </c>
      <c r="D429" s="60" t="s">
        <v>226</v>
      </c>
      <c r="E429" s="60"/>
      <c r="F429" s="60" t="s">
        <v>260</v>
      </c>
      <c r="G429" s="61" t="n">
        <v>2.85</v>
      </c>
      <c r="H429" s="62" t="n">
        <f aca="false">MAX(0,IF(AND(Parameter!$B$21="Ja",ISNUMBER(Y429)),Y429,IF(Parameter!$B$20="Jahresanfang 2025 + Export",BS429+BR429,BR429)))</f>
        <v>30</v>
      </c>
      <c r="I429" s="62" t="n">
        <f aca="false">H429*G429</f>
        <v>85.5</v>
      </c>
      <c r="J429" s="62" t="n">
        <f aca="false">BU429*Parameter!$B$18</f>
        <v>0</v>
      </c>
      <c r="K429" s="63" t="n">
        <v>0</v>
      </c>
      <c r="L429" s="64" t="n">
        <v>0</v>
      </c>
      <c r="M429" s="62" t="n">
        <v>0</v>
      </c>
      <c r="N429" s="62" t="n">
        <v>20</v>
      </c>
      <c r="O429" s="65" t="n">
        <v>9999</v>
      </c>
      <c r="P429" s="60" t="s">
        <v>210</v>
      </c>
      <c r="Q429" s="62"/>
      <c r="R429" s="65" t="n">
        <f aca="false">IF(CA429=1,0,IFERROR(VLOOKUP(BY429,'Gebinde-Kategorie'!$A$5:$N$45,13,0)+0,0))</f>
        <v>26</v>
      </c>
      <c r="S429" s="66"/>
      <c r="T429" s="67" t="s">
        <v>317</v>
      </c>
      <c r="U429" s="67"/>
      <c r="V429" s="67"/>
      <c r="W429" s="60"/>
      <c r="X429" s="62"/>
      <c r="Y429" s="62"/>
      <c r="Z429" s="60" t="n">
        <v>3</v>
      </c>
      <c r="AA429" s="60" t="n">
        <f aca="false">IF(A429="","",IF(AND(Parameter!$B$21="Ja",ISNUMBER(W429)),W429,IF(AND(Parameter!$E$27="Ja",ISNUMBER(Z429),CD429&lt;&gt;"Nein"),Z429,IF(CD429="2+3",IF(ISNUMBER(SEARCH("grosser Artikel",BV429)),2,IFERROR(VLOOKUP(BY429,Parameter!$F$35:$G$64,2,0),2)),IF(OR(CD429="Nein",CD429=""),"-",CD429)))))</f>
        <v>3</v>
      </c>
      <c r="AB429" s="67"/>
      <c r="AC429" s="68"/>
      <c r="AD429" s="62" t="n">
        <f aca="false">AW429</f>
        <v>20</v>
      </c>
      <c r="AE429" s="62" t="n">
        <f aca="false">MAX(AW429,H429)</f>
        <v>30</v>
      </c>
      <c r="AF429" s="69"/>
      <c r="AG429" s="62" t="n">
        <f aca="false">IF(LEFT(Cockpit!$C$5,1)="A",H429,IF(Parameter!$E$30="MAX-Bestand",IF(CI429=1,CJ429,IF(LEFT(Cockpit!$C$5,1)="B",AM429,MAX(AM429,H429))),ROUNDUP(AK429,0)))</f>
        <v>30</v>
      </c>
      <c r="AH429" s="62" t="n">
        <f aca="false">IF(CA429=1,0,ROUNDUP(AG429/BZ429,0))</f>
        <v>1</v>
      </c>
      <c r="AI429" s="64" t="n">
        <f aca="false">IF(CR429&gt;0,CR429*MAX(1,AG429/X429),IF(CA429=1,IF(AG429&lt;=0,0,CE429*MAX(1,IF(H429&gt;0,AG429/H429,1))),IF(R429&gt;0,AH429/R429,0))/MAX(0.1,N(Parameter!$M$21)))</f>
        <v>0.0384615384615385</v>
      </c>
      <c r="AJ429" s="62" t="n">
        <f aca="false">AI429*CC429</f>
        <v>5.96153846153846</v>
      </c>
      <c r="AK429" s="63" t="n">
        <f aca="false">IF(LEFT(Cockpit!$C$5,1)="A",H429,IF(CI429=1,(CL429+CJ429)/2,IF(LEFT(Cockpit!$C$5,1)="B",(CL429+AM429)/2,MAX((CL429+AM429)/2,H429))))</f>
        <v>30</v>
      </c>
      <c r="AL429" s="62" t="n">
        <f aca="false">AK429*G429</f>
        <v>85.5</v>
      </c>
      <c r="AM429" s="62" t="n">
        <f aca="false">ROUNDUP(CL429+MAX(CM429,2*(J429/IF(CH429&gt;0,CH429,MAX(0.1,N(Cockpit!$C$6)))-CL429)),0)</f>
        <v>20</v>
      </c>
      <c r="AN429" s="63" t="n">
        <f aca="false">IF(AJ429&gt;0,J429/AJ429,-1)</f>
        <v>0</v>
      </c>
      <c r="AO429" s="63" t="n">
        <f aca="false">IF(AND(OR(CG429="L1",CG429="L23",CG429="LIFT"),AJ429&gt;0),SUMIFS($AJ$7:$AJ$1843,$CG$7:$CG$1843,CG429,$AN$7:$AN$1843,"&gt;"&amp;AN429)+SUMIFS($AJ$7:$AJ$1843,$CG$7:$CG$1843,CG429,$AN$7:$AN$1843,AN429,$BX$7:$BX$1843,"&lt;="&amp;BX429),"")</f>
        <v>28115.7533732746</v>
      </c>
      <c r="AP429" s="70" t="n">
        <f aca="false">IF(AO429="",0,MAX(0,MIN(1,(IF(CG429="L1",Parameter!$H$5,IF(CG429="L23",Parameter!$H$6+Parameter!$H$7,Parameter!$H$5+Parameter!$H$6+Parameter!$H$7))-(AO429-AJ429))/AJ429)))</f>
        <v>1</v>
      </c>
      <c r="AQ429" s="62" t="n">
        <f aca="false">IF(LEFT(Cockpit!$I$5,1)="A",H429,IF(Parameter!$E$30="MAX-Bestand",IF(CI429=1,CJ429,IF(LEFT(Cockpit!$I$5,1)="B",AW429,MAX(AW429,H429))),ROUNDUP(AU429,0)))</f>
        <v>30</v>
      </c>
      <c r="AR429" s="62" t="n">
        <f aca="false">IF(CA429=1,0,ROUNDUP(AQ429/BZ429,0))</f>
        <v>1</v>
      </c>
      <c r="AS429" s="64" t="n">
        <f aca="false">IF(CR429&gt;0,CR429*MAX(1,AQ429/X429),IF(CA429=1,IF(AQ429&lt;=0,0,CE429*MAX(1,IF(H429&gt;0,AQ429/H429,1))),IF(R429&gt;0,AR429/R429,0))/MAX(0.1,N(Parameter!$M$21)))</f>
        <v>0.0384615384615385</v>
      </c>
      <c r="AT429" s="62" t="n">
        <f aca="false">AS429*CC429</f>
        <v>5.96153846153846</v>
      </c>
      <c r="AU429" s="63" t="n">
        <f aca="false">IF(LEFT(Cockpit!$I$5,1)="A",H429,IF(CI429=1,(CL429+CJ429)/2,IF(LEFT(Cockpit!$I$5,1)="B",(CL429+AW429)/2,MAX((CL429+AW429)/2,H429))))</f>
        <v>30</v>
      </c>
      <c r="AV429" s="62" t="n">
        <f aca="false">AU429*G429</f>
        <v>85.5</v>
      </c>
      <c r="AW429" s="62" t="n">
        <f aca="false">ROUNDUP(CL429+MAX(CM429,2*(J429/IF(CH429&gt;0,CH429,MAX(0.1,N(Cockpit!$I$6)))-CL429)),0)</f>
        <v>20</v>
      </c>
      <c r="AX429" s="63" t="n">
        <f aca="false">IF(AT429&gt;0,J429/AT429,-1)</f>
        <v>0</v>
      </c>
      <c r="AY429" s="63" t="n">
        <f aca="false">IF(AND(OR(CG429="L1",CG429="L23",CG429="LIFT"),AT429&gt;0),SUMIFS($AT$7:$AT$1843,$CG$7:$CG$1843,CG429,$AX$7:$AX$1843,"&gt;"&amp;AX429)+SUMIFS($AT$7:$AT$1843,$CG$7:$CG$1843,CG429,$AX$7:$AX$1843,AX429,$BX$7:$BX$1843,"&lt;="&amp;BX429),"")</f>
        <v>33468.902014652</v>
      </c>
      <c r="AZ429" s="70" t="n">
        <f aca="false">IF(AY429="",0,MAX(0,MIN(1,(IF(CG429="L1",Parameter!$H$5,IF(CG429="L23",Parameter!$H$6+Parameter!$H$7,Parameter!$H$5+Parameter!$H$6+Parameter!$H$7))-(AY429-AT429))/AT429)))</f>
        <v>1</v>
      </c>
      <c r="BA429" s="62" t="n">
        <f aca="false">IF(LEFT(Cockpit!$O$5,1)="A",H429,IF(Parameter!$E$30="MAX-Bestand",IF(CI429=1,CJ429,IF(LEFT(Cockpit!$O$5,1)="B",BG429,MAX(BG429,H429))),ROUNDUP(BE429,0)))</f>
        <v>10</v>
      </c>
      <c r="BB429" s="62" t="n">
        <f aca="false">IF(CA429=1,0,ROUNDUP(BA429/BZ429,0))</f>
        <v>1</v>
      </c>
      <c r="BC429" s="64" t="n">
        <f aca="false">IF(CR429&gt;0,CR429*MAX(1,BA429/X429),IF(CA429=1,IF(BA429&lt;=0,0,CE429*MAX(1,IF(H429&gt;0,BA429/H429,1))),IF(R429&gt;0,BB429/R429,0))/MAX(0.1,N(Parameter!$M$21)))</f>
        <v>0.0384615384615385</v>
      </c>
      <c r="BD429" s="62" t="n">
        <f aca="false">BC429*CC429</f>
        <v>5.96153846153846</v>
      </c>
      <c r="BE429" s="63" t="n">
        <f aca="false">IF(LEFT(Cockpit!$O$5,1)="A",H429,IF(CI429=1,(CL429+CJ429)/2,IF(LEFT(Cockpit!$O$5,1)="B",(CL429+BG429)/2,MAX((CL429+BG429)/2,H429))))</f>
        <v>10</v>
      </c>
      <c r="BF429" s="62" t="n">
        <f aca="false">BE429*G429</f>
        <v>28.5</v>
      </c>
      <c r="BG429" s="62" t="n">
        <f aca="false">ROUNDUP(CL429+MAX(CM429,2*(J429/IF(CH429&gt;0,CH429,MAX(0.1,N(Cockpit!$O$6)))-CL429)),0)</f>
        <v>20</v>
      </c>
      <c r="BH429" s="63" t="n">
        <f aca="false">IF(BD429&gt;0,J429/BD429,-1)</f>
        <v>0</v>
      </c>
      <c r="BI429" s="63" t="n">
        <f aca="false">IF(AND(OR(CG429="L1",CG429="L23",CG429="LIFT"),BD429&gt;0),SUMIFS($BD$7:$BD$1843,$CG$7:$CG$1843,CG429,$BH$7:$BH$1843,"&gt;"&amp;BH429)+SUMIFS($BD$7:$BD$1843,$CG$7:$CG$1843,CG429,$BH$7:$BH$1843,BH429,$BX$7:$BX$1843,"&lt;="&amp;BX429),"")</f>
        <v>27581.3318432979</v>
      </c>
      <c r="BJ429" s="70" t="n">
        <f aca="false">IF(BI429="",0,MAX(0,MIN(1,(IF(CG429="L1",Parameter!$H$5,IF(CG429="L23",Parameter!$H$6+Parameter!$H$7,Parameter!$H$5+Parameter!$H$6+Parameter!$H$7))-(BI429-BD429))/BD429)))</f>
        <v>1</v>
      </c>
      <c r="BK429" s="60" t="str">
        <f aca="false">IF(AJ429&lt;=0,"",IF(CG429="Aussen","Aussenlager",IF(CG429="-","Nicht im Lift",IF(AP429&gt;=1,"Lift",IF(AP429&lt;=0,"Aussenlager","teilweise")))))</f>
        <v>Lift</v>
      </c>
      <c r="BL429" s="60" t="str">
        <f aca="false">IF(AT429&lt;=0,"",IF(CG429="Aussen","Aussenlager",IF(CG429="-","Nicht im Lift",IF(AZ429&gt;=1,"Lift",IF(AZ429&lt;=0,"Aussenlager","teilweise")))))</f>
        <v>Lift</v>
      </c>
      <c r="BM429" s="60" t="str">
        <f aca="false">IF(BD429&lt;=0,"",IF(CG429="Aussen","Aussenlager",IF(CG429="-","Nicht im Lift",IF(BJ429&gt;=1,"Lift",IF(BJ429&lt;=0,"Aussenlager","teilweise")))))</f>
        <v>Lift</v>
      </c>
      <c r="BN429" s="60" t="str">
        <f aca="false">IF(A429="","",IF(BW429=1,"Neu; ","")&amp;IF(AND(BW429=0,BR429&lt;0),"negativer Bestand (Export "&amp;BR429&amp;"); ","")&amp;IF(J429&lt;=0,"Kein Verbrauch; ","")&amp;IF(CR429&gt;0,"Lift "&amp;W429&amp;" lt. Liftbericht (Fach "&amp;X429&amp;" Stk); ",IF(CB429=1,"Gebinde geschätzt ("&amp;T429&amp;"); ",IF(CA429=1,"Lose – Tablare geschätzt; ","")))&amp;IF(H429&gt;AW429,"Überbestand "&amp;ROUND(H429-AW429,0)&amp;" Stk / CHF "&amp;ROUND((H429-AW429)*G429,0)&amp;"; ","")&amp;IF(AND(CI429=1,CJ429&lt;CK429),"MAX &lt; MB+LG; ","")&amp;IF(AND(CQ429&gt;0,CP429*10&gt;CQ429),"zu hoch für Tablar; ","")&amp;IF(AND(BW429=0,OR(CI429=1,AB429&lt;&gt;"",U429&lt;&gt;"",V429&lt;&gt;"",AC429&lt;&gt;"")),"manuell übersteuert; ","")&amp;IF(AND(CA429=0,R429=0),"Gebinde unbekannt / Stellmass fehlt; ","")&amp;IF(AND(CA429=0,N(V429)&lt;=0,N(Q429)&lt;=0),"Menge pro Gebinde fehlt (Ist = 1 Gebinde); ","")&amp;BV429)</f>
        <v>Kein Verbrauch; Gebinde geschätzt (Klein); Überbestand 10 Stk / CHF 29; Menge pro Gebinde fehlt (Ist = 1 Gebinde); </v>
      </c>
      <c r="BO429" s="60"/>
      <c r="BP429" s="60"/>
      <c r="BQ429" s="67"/>
      <c r="BR429" s="62" t="n">
        <v>30</v>
      </c>
      <c r="BS429" s="62" t="n">
        <v>0</v>
      </c>
      <c r="BT429" s="61" t="n">
        <v>85.5</v>
      </c>
      <c r="BU429" s="62" t="n">
        <v>0</v>
      </c>
      <c r="BV429" s="60"/>
      <c r="BW429" s="65" t="n">
        <v>0</v>
      </c>
      <c r="BX429" s="65" t="n">
        <v>429</v>
      </c>
      <c r="BY429" s="60" t="str">
        <f aca="false">IF(U429&lt;&gt;"",UPPER(TRIM(U429)),IF(CB429=1,UPPER(VLOOKUP(T429,Parameter!$I$27:$K$29,2,0)),IF(P429="","LOSE",P429)))</f>
        <v>S51</v>
      </c>
      <c r="BZ429" s="62" t="n">
        <f aca="false">IF(BY429="LOSE",1,IF(N(V429)&gt;0,V429,IF(CB429=1,MAX(1,N(VLOOKUP(T429,Parameter!$I$27:$K$29,3,0)),H429,N(N429)),IF(N(Q429)&gt;0,Q429,MAX(1,H429)))))</f>
        <v>30</v>
      </c>
      <c r="CA429" s="65" t="n">
        <f aca="false">IF(BY429="LOSE",1,0)</f>
        <v>0</v>
      </c>
      <c r="CB429" s="65" t="n">
        <f aca="false">IF(AND(U429="",OR(P429="",P429="LOSE"),T429&lt;&gt;"",N(S429)&lt;=0,ISNUMBER(MATCH(T429,Parameter!$I$27:$I$29,0))),1,0)</f>
        <v>1</v>
      </c>
      <c r="CC429" s="65" t="n">
        <f aca="false">IF(CR429&gt;0,INDEX(Parameter!$H$5:$H$7,W429)/INDEX(Parameter!$E$5:$E$7,W429),IF(AND(CA429=0,N(IFERROR(VLOOKUP(BY429,'Gebinde-Kategorie'!$A$5:$N$45,14,0),0))&gt;0),VLOOKUP(BY429,'Gebinde-Kategorie'!$A$5:$N$45,14,0)*10+Parameter!$M$23,Parameter!$M$24))</f>
        <v>155</v>
      </c>
      <c r="CD429" s="60" t="str">
        <f aca="false">IF(AND(Parameter!$B$19="Ja",E429&lt;&gt;"",ISNUMBER(MATCH(E429,Parameter!$I$35:$I$52,0))),VLOOKUP(E429,Parameter!$I$35:$J$52,2,0),IFERROR(VLOOKUP(D429,Parameter!$A$35:$C$64,2,0),"Nein"))</f>
        <v>2+3</v>
      </c>
      <c r="CE429" s="64" t="n">
        <f aca="false">IF(CA429=0,0,IF(N(S429)&gt;0,S429,IFERROR(VLOOKUP(D429,Parameter!$A$35:$C$64,3,0)+0,0)))</f>
        <v>0</v>
      </c>
      <c r="CF429" s="60" t="n">
        <f aca="false">IF(AB429&lt;&gt;"",AB429,AA429)</f>
        <v>3</v>
      </c>
      <c r="CG429" s="60" t="str">
        <f aca="false">IF(OR(CF429=1,CF429=2,CF429=3),IF(Parameter!$E$27="Ja","LIFT",IF(CF429=1,"L1","L23")),IF(CF429="Aussen","Aussen","-"))</f>
        <v>LIFT</v>
      </c>
      <c r="CH429" s="71" t="n">
        <f aca="false">IF(N(AC429)&gt;0,AC429,0)</f>
        <v>0</v>
      </c>
      <c r="CI429" s="65" t="n">
        <f aca="false">IF(ISNUMBER(AF429),1,0)</f>
        <v>0</v>
      </c>
      <c r="CJ429" s="62" t="n">
        <f aca="false">N(AF429)</f>
        <v>0</v>
      </c>
      <c r="CK429" s="62" t="n">
        <f aca="false">N(M429)+N(N429)</f>
        <v>20</v>
      </c>
      <c r="CL429" s="62" t="n">
        <f aca="false">N(M429)</f>
        <v>0</v>
      </c>
      <c r="CM429" s="62" t="n">
        <f aca="false">N(N429)</f>
        <v>20</v>
      </c>
      <c r="CN429" s="62" t="n">
        <f aca="false">ROUNDUP(H429/BZ429,0)</f>
        <v>1</v>
      </c>
      <c r="CO429" s="62" t="n">
        <f aca="false">ROUNDUP(CJ429/BZ429,0)</f>
        <v>0</v>
      </c>
      <c r="CP429" s="65" t="n">
        <f aca="false">IF(CA429=1,0,IFERROR(VLOOKUP(BY429,'Gebinde-Kategorie'!$A$5:$N$45,5,0)+0,0))</f>
        <v>11</v>
      </c>
      <c r="CQ429" s="65" t="n">
        <f aca="false">IFERROR(IF(OR(CF429=1,CF429=2,CF429=3),N(INDEX(Parameter!$I$5:$I$7,CF429)),0),0)</f>
        <v>0</v>
      </c>
      <c r="CR429" s="64" t="n">
        <f aca="false">IF(AND(Parameter!$B$21="Ja",ISNUMBER(W429),N(X429)&gt;0),IFERROR(N(INDEX(Parameter!$L$5:$L$7,W429))*INDEX(Parameter!$E$5:$E$7,W429)*X429/SUMIFS($X$7:$X$1843,$W$7:$W$1843,W429),0),0)</f>
        <v>0</v>
      </c>
      <c r="CS429" s="62" t="n">
        <f aca="false">IF(AND(OR(CG429="L1",CG429="L23",CG429="LIFT"),H429&gt;0),CC429*IF(CR429&gt;0,CR429*MAX(1,H429/X429),IF(CA429=1,CE429,IF(R429&gt;0,CN429/R429,0))/MAX(0.1,N(Parameter!$M$21))),"")</f>
        <v>5.96153846153846</v>
      </c>
      <c r="CT429" s="64" t="n">
        <f aca="false">IF(CS429="","",J429/H429)</f>
        <v>0</v>
      </c>
      <c r="CU429" s="62" t="n">
        <f aca="false">IF(CS429="","",H429*G429)</f>
        <v>85.5</v>
      </c>
      <c r="CV429" s="63" t="n">
        <f aca="false">IF(CS429="","",(CL429+ROUNDUP(CL429+MAX(CM429,2*(J429/MAX(0.1,N(Einkauf!$C$6))-CL429)),0))/2)</f>
        <v>10</v>
      </c>
      <c r="CW429" s="62" t="n">
        <f aca="false">IF(CS429="","",MAX(0,H429-CV429)*G429)</f>
        <v>57</v>
      </c>
      <c r="CX429" s="62" t="n">
        <f aca="false">IF(CS429="","",CS429*MAX(0,1-CV429/H429))</f>
        <v>3.97435897435898</v>
      </c>
      <c r="CY429" s="64" t="n">
        <f aca="false">IF(CS429="","",PERCENTRANK($CS$7:$CS$1843,CS429)+PERCENTRANK($CU$7:$CU$1843,CU429)+1-PERCENTRANK($CT$7:$CT$1843,CT429))</f>
        <v>1.567</v>
      </c>
      <c r="CZ429" s="72" t="n">
        <f aca="false">IF(CS429="","",CHOOSE(MATCH(Einkauf!$C$5,Parameter!$G$23:$G$27,0),CY429,CS429,CU429,-CT429,CW429)+ROW()/1000000000)</f>
        <v>1.567000429</v>
      </c>
    </row>
    <row r="430" customFormat="false" ht="15" hidden="false" customHeight="false" outlineLevel="0" collapsed="false">
      <c r="A430" s="60" t="s">
        <v>1028</v>
      </c>
      <c r="B430" s="60" t="s">
        <v>613</v>
      </c>
      <c r="C430" s="60" t="s">
        <v>206</v>
      </c>
      <c r="D430" s="60" t="s">
        <v>226</v>
      </c>
      <c r="E430" s="60" t="s">
        <v>227</v>
      </c>
      <c r="F430" s="60" t="s">
        <v>260</v>
      </c>
      <c r="G430" s="61" t="n">
        <v>6.17</v>
      </c>
      <c r="H430" s="62" t="n">
        <f aca="false">MAX(0,IF(AND(Parameter!$B$21="Ja",ISNUMBER(Y430)),Y430,IF(Parameter!$B$20="Jahresanfang 2025 + Export",BS430+BR430,BR430)))</f>
        <v>75</v>
      </c>
      <c r="I430" s="62" t="n">
        <f aca="false">H430*G430</f>
        <v>462.75</v>
      </c>
      <c r="J430" s="62" t="n">
        <f aca="false">BU430*Parameter!$B$18</f>
        <v>258</v>
      </c>
      <c r="K430" s="63" t="n">
        <v>86.5</v>
      </c>
      <c r="L430" s="64" t="n">
        <v>2.98265895953757</v>
      </c>
      <c r="M430" s="62" t="n">
        <v>16</v>
      </c>
      <c r="N430" s="62" t="n">
        <v>100</v>
      </c>
      <c r="O430" s="65" t="n">
        <v>21</v>
      </c>
      <c r="P430" s="60" t="s">
        <v>370</v>
      </c>
      <c r="Q430" s="62" t="n">
        <v>166</v>
      </c>
      <c r="R430" s="65" t="n">
        <f aca="false">IF(CA430=1,0,IFERROR(VLOOKUP(BY430,'Gebinde-Kategorie'!$A$5:$N$45,13,0)+0,0))</f>
        <v>52</v>
      </c>
      <c r="S430" s="66"/>
      <c r="T430" s="67"/>
      <c r="U430" s="67"/>
      <c r="V430" s="67"/>
      <c r="W430" s="60"/>
      <c r="X430" s="62"/>
      <c r="Y430" s="62"/>
      <c r="Z430" s="60" t="n">
        <v>3</v>
      </c>
      <c r="AA430" s="60" t="n">
        <f aca="false">IF(A430="","",IF(AND(Parameter!$B$21="Ja",ISNUMBER(W430)),W430,IF(AND(Parameter!$E$27="Ja",ISNUMBER(Z430),CD430&lt;&gt;"Nein"),Z430,IF(CD430="2+3",IF(ISNUMBER(SEARCH("grosser Artikel",BV430)),2,IFERROR(VLOOKUP(BY430,Parameter!$F$35:$G$64,2,0),2)),IF(OR(CD430="Nein",CD430=""),"-",CD430)))))</f>
        <v>3</v>
      </c>
      <c r="AB430" s="67"/>
      <c r="AC430" s="68"/>
      <c r="AD430" s="62" t="n">
        <f aca="false">AW430</f>
        <v>156</v>
      </c>
      <c r="AE430" s="62" t="n">
        <f aca="false">MAX(AW430,H430)</f>
        <v>156</v>
      </c>
      <c r="AF430" s="69"/>
      <c r="AG430" s="62" t="n">
        <f aca="false">IF(LEFT(Cockpit!$C$5,1)="A",H430,IF(Parameter!$E$30="MAX-Bestand",IF(CI430=1,CJ430,IF(LEFT(Cockpit!$C$5,1)="B",AM430,MAX(AM430,H430))),ROUNDUP(AK430,0)))</f>
        <v>75</v>
      </c>
      <c r="AH430" s="62" t="n">
        <f aca="false">IF(CA430=1,0,ROUNDUP(AG430/BZ430,0))</f>
        <v>1</v>
      </c>
      <c r="AI430" s="64" t="n">
        <f aca="false">IF(CR430&gt;0,CR430*MAX(1,AG430/X430),IF(CA430=1,IF(AG430&lt;=0,0,CE430*MAX(1,IF(H430&gt;0,AG430/H430,1))),IF(R430&gt;0,AH430/R430,0))/MAX(0.1,N(Parameter!$M$21)))</f>
        <v>0.0192307692307692</v>
      </c>
      <c r="AJ430" s="62" t="n">
        <f aca="false">AI430*CC430</f>
        <v>2.98076923076923</v>
      </c>
      <c r="AK430" s="63" t="n">
        <f aca="false">IF(LEFT(Cockpit!$C$5,1)="A",H430,IF(CI430=1,(CL430+CJ430)/2,IF(LEFT(Cockpit!$C$5,1)="B",(CL430+AM430)/2,MAX((CL430+AM430)/2,H430))))</f>
        <v>75</v>
      </c>
      <c r="AL430" s="62" t="n">
        <f aca="false">AK430*G430</f>
        <v>462.75</v>
      </c>
      <c r="AM430" s="62" t="n">
        <f aca="false">ROUNDUP(CL430+MAX(CM430,2*(J430/IF(CH430&gt;0,CH430,MAX(0.1,N(Cockpit!$C$6)))-CL430)),0)</f>
        <v>156</v>
      </c>
      <c r="AN430" s="63" t="n">
        <f aca="false">IF(AJ430&gt;0,J430/AJ430,-1)</f>
        <v>86.5548387096774</v>
      </c>
      <c r="AO430" s="63" t="n">
        <f aca="false">IF(AND(OR(CG430="L1",CG430="L23",CG430="LIFT"),AJ430&gt;0),SUMIFS($AJ$7:$AJ$1843,$CG$7:$CG$1843,CG430,$AN$7:$AN$1843,"&gt;"&amp;AN430)+SUMIFS($AJ$7:$AJ$1843,$CG$7:$CG$1843,CG430,$AN$7:$AN$1843,AN430,$BX$7:$BX$1843,"&lt;="&amp;BX430),"")</f>
        <v>838.368131868132</v>
      </c>
      <c r="AP430" s="70" t="n">
        <f aca="false">IF(AO430="",0,MAX(0,MIN(1,(IF(CG430="L1",Parameter!$H$5,IF(CG430="L23",Parameter!$H$6+Parameter!$H$7,Parameter!$H$5+Parameter!$H$6+Parameter!$H$7))-(AO430-AJ430))/AJ430)))</f>
        <v>1</v>
      </c>
      <c r="AQ430" s="62" t="n">
        <f aca="false">IF(LEFT(Cockpit!$I$5,1)="A",H430,IF(Parameter!$E$30="MAX-Bestand",IF(CI430=1,CJ430,IF(LEFT(Cockpit!$I$5,1)="B",AW430,MAX(AW430,H430))),ROUNDUP(AU430,0)))</f>
        <v>86</v>
      </c>
      <c r="AR430" s="62" t="n">
        <f aca="false">IF(CA430=1,0,ROUNDUP(AQ430/BZ430,0))</f>
        <v>1</v>
      </c>
      <c r="AS430" s="64" t="n">
        <f aca="false">IF(CR430&gt;0,CR430*MAX(1,AQ430/X430),IF(CA430=1,IF(AQ430&lt;=0,0,CE430*MAX(1,IF(H430&gt;0,AQ430/H430,1))),IF(R430&gt;0,AR430/R430,0))/MAX(0.1,N(Parameter!$M$21)))</f>
        <v>0.0192307692307692</v>
      </c>
      <c r="AT430" s="62" t="n">
        <f aca="false">AS430*CC430</f>
        <v>2.98076923076923</v>
      </c>
      <c r="AU430" s="63" t="n">
        <f aca="false">IF(LEFT(Cockpit!$I$5,1)="A",H430,IF(CI430=1,(CL430+CJ430)/2,IF(LEFT(Cockpit!$I$5,1)="B",(CL430+AW430)/2,MAX((CL430+AW430)/2,H430))))</f>
        <v>86</v>
      </c>
      <c r="AV430" s="62" t="n">
        <f aca="false">AU430*G430</f>
        <v>530.62</v>
      </c>
      <c r="AW430" s="62" t="n">
        <f aca="false">ROUNDUP(CL430+MAX(CM430,2*(J430/IF(CH430&gt;0,CH430,MAX(0.1,N(Cockpit!$I$6)))-CL430)),0)</f>
        <v>156</v>
      </c>
      <c r="AX430" s="63" t="n">
        <f aca="false">IF(AT430&gt;0,J430/AT430,-1)</f>
        <v>86.5548387096774</v>
      </c>
      <c r="AY430" s="63" t="n">
        <f aca="false">IF(AND(OR(CG430="L1",CG430="L23",CG430="LIFT"),AT430&gt;0),SUMIFS($AT$7:$AT$1843,$CG$7:$CG$1843,CG430,$AX$7:$AX$1843,"&gt;"&amp;AX430)+SUMIFS($AT$7:$AT$1843,$CG$7:$CG$1843,CG430,$AX$7:$AX$1843,AX430,$BX$7:$BX$1843,"&lt;="&amp;BX430),"")</f>
        <v>1051.28021978022</v>
      </c>
      <c r="AZ430" s="70" t="n">
        <f aca="false">IF(AY430="",0,MAX(0,MIN(1,(IF(CG430="L1",Parameter!$H$5,IF(CG430="L23",Parameter!$H$6+Parameter!$H$7,Parameter!$H$5+Parameter!$H$6+Parameter!$H$7))-(AY430-AT430))/AT430)))</f>
        <v>1</v>
      </c>
      <c r="BA430" s="62" t="n">
        <f aca="false">IF(LEFT(Cockpit!$O$5,1)="A",H430,IF(Parameter!$E$30="MAX-Bestand",IF(CI430=1,CJ430,IF(LEFT(Cockpit!$O$5,1)="B",BG430,MAX(BG430,H430))),ROUNDUP(BE430,0)))</f>
        <v>66</v>
      </c>
      <c r="BB430" s="62" t="n">
        <f aca="false">IF(CA430=1,0,ROUNDUP(BA430/BZ430,0))</f>
        <v>1</v>
      </c>
      <c r="BC430" s="64" t="n">
        <f aca="false">IF(CR430&gt;0,CR430*MAX(1,BA430/X430),IF(CA430=1,IF(BA430&lt;=0,0,CE430*MAX(1,IF(H430&gt;0,BA430/H430,1))),IF(R430&gt;0,BB430/R430,0))/MAX(0.1,N(Parameter!$M$21)))</f>
        <v>0.0192307692307692</v>
      </c>
      <c r="BD430" s="62" t="n">
        <f aca="false">BC430*CC430</f>
        <v>2.98076923076923</v>
      </c>
      <c r="BE430" s="63" t="n">
        <f aca="false">IF(LEFT(Cockpit!$O$5,1)="A",H430,IF(CI430=1,(CL430+CJ430)/2,IF(LEFT(Cockpit!$O$5,1)="B",(CL430+BG430)/2,MAX((CL430+BG430)/2,H430))))</f>
        <v>66</v>
      </c>
      <c r="BF430" s="62" t="n">
        <f aca="false">BE430*G430</f>
        <v>407.22</v>
      </c>
      <c r="BG430" s="62" t="n">
        <f aca="false">ROUNDUP(CL430+MAX(CM430,2*(J430/IF(CH430&gt;0,CH430,MAX(0.1,N(Cockpit!$O$6)))-CL430)),0)</f>
        <v>116</v>
      </c>
      <c r="BH430" s="63" t="n">
        <f aca="false">IF(BD430&gt;0,J430/BD430,-1)</f>
        <v>86.5548387096774</v>
      </c>
      <c r="BI430" s="63" t="n">
        <f aca="false">IF(AND(OR(CG430="L1",CG430="L23",CG430="LIFT"),BD430&gt;0),SUMIFS($BD$7:$BD$1843,$CG$7:$CG$1843,CG430,$BH$7:$BH$1843,"&gt;"&amp;BH430)+SUMIFS($BD$7:$BD$1843,$CG$7:$CG$1843,CG430,$BH$7:$BH$1843,BH430,$BX$7:$BX$1843,"&lt;="&amp;BX430),"")</f>
        <v>985.429487179487</v>
      </c>
      <c r="BJ430" s="70" t="n">
        <f aca="false">IF(BI430="",0,MAX(0,MIN(1,(IF(CG430="L1",Parameter!$H$5,IF(CG430="L23",Parameter!$H$6+Parameter!$H$7,Parameter!$H$5+Parameter!$H$6+Parameter!$H$7))-(BI430-BD430))/BD430)))</f>
        <v>1</v>
      </c>
      <c r="BK430" s="60" t="str">
        <f aca="false">IF(AJ430&lt;=0,"",IF(CG430="Aussen","Aussenlager",IF(CG430="-","Nicht im Lift",IF(AP430&gt;=1,"Lift",IF(AP430&lt;=0,"Aussenlager","teilweise")))))</f>
        <v>Lift</v>
      </c>
      <c r="BL430" s="60" t="str">
        <f aca="false">IF(AT430&lt;=0,"",IF(CG430="Aussen","Aussenlager",IF(CG430="-","Nicht im Lift",IF(AZ430&gt;=1,"Lift",IF(AZ430&lt;=0,"Aussenlager","teilweise")))))</f>
        <v>Lift</v>
      </c>
      <c r="BM430" s="60" t="str">
        <f aca="false">IF(BD430&lt;=0,"",IF(CG430="Aussen","Aussenlager",IF(CG430="-","Nicht im Lift",IF(BJ430&gt;=1,"Lift",IF(BJ430&lt;=0,"Aussenlager","teilweise")))))</f>
        <v>Lift</v>
      </c>
      <c r="BN430" s="60" t="str">
        <f aca="false">IF(A430="","",IF(BW430=1,"Neu; ","")&amp;IF(AND(BW430=0,BR430&lt;0),"negativer Bestand (Export "&amp;BR430&amp;"); ","")&amp;IF(J430&lt;=0,"Kein Verbrauch; ","")&amp;IF(CR430&gt;0,"Lift "&amp;W430&amp;" lt. Liftbericht (Fach "&amp;X430&amp;" Stk); ",IF(CB430=1,"Gebinde geschätzt ("&amp;T430&amp;"); ",IF(CA430=1,"Lose – Tablare geschätzt; ","")))&amp;IF(H430&gt;AW430,"Überbestand "&amp;ROUND(H430-AW430,0)&amp;" Stk / CHF "&amp;ROUND((H430-AW430)*G430,0)&amp;"; ","")&amp;IF(AND(CI430=1,CJ430&lt;CK430),"MAX &lt; MB+LG; ","")&amp;IF(AND(CQ430&gt;0,CP430*10&gt;CQ430),"zu hoch für Tablar; ","")&amp;IF(AND(BW430=0,OR(CI430=1,AB430&lt;&gt;"",U430&lt;&gt;"",V430&lt;&gt;"",AC430&lt;&gt;"")),"manuell übersteuert; ","")&amp;IF(AND(CA430=0,R430=0),"Gebinde unbekannt / Stellmass fehlt; ","")&amp;IF(AND(CA430=0,N(V430)&lt;=0,N(Q430)&lt;=0),"Menge pro Gebinde fehlt (Ist = 1 Gebinde); ","")&amp;BV430)</f>
        <v/>
      </c>
      <c r="BO430" s="60"/>
      <c r="BP430" s="60"/>
      <c r="BQ430" s="67"/>
      <c r="BR430" s="62" t="n">
        <v>7</v>
      </c>
      <c r="BS430" s="62" t="n">
        <v>68</v>
      </c>
      <c r="BT430" s="61" t="n">
        <v>84.0599999999997</v>
      </c>
      <c r="BU430" s="62" t="n">
        <v>258</v>
      </c>
      <c r="BV430" s="60"/>
      <c r="BW430" s="65" t="n">
        <v>0</v>
      </c>
      <c r="BX430" s="65" t="n">
        <v>430</v>
      </c>
      <c r="BY430" s="60" t="str">
        <f aca="false">IF(U430&lt;&gt;"",UPPER(TRIM(U430)),IF(CB430=1,UPPER(VLOOKUP(T430,Parameter!$I$27:$K$29,2,0)),IF(P430="","LOSE",P430)))</f>
        <v>S41</v>
      </c>
      <c r="BZ430" s="62" t="n">
        <f aca="false">IF(BY430="LOSE",1,IF(N(V430)&gt;0,V430,IF(CB430=1,MAX(1,N(VLOOKUP(T430,Parameter!$I$27:$K$29,3,0)),H430,N(N430)),IF(N(Q430)&gt;0,Q430,MAX(1,H430)))))</f>
        <v>166</v>
      </c>
      <c r="CA430" s="65" t="n">
        <f aca="false">IF(BY430="LOSE",1,0)</f>
        <v>0</v>
      </c>
      <c r="CB430" s="65" t="n">
        <f aca="false">IF(AND(U430="",OR(P430="",P430="LOSE"),T430&lt;&gt;"",N(S430)&lt;=0,ISNUMBER(MATCH(T430,Parameter!$I$27:$I$29,0))),1,0)</f>
        <v>0</v>
      </c>
      <c r="CC430" s="65" t="n">
        <f aca="false">IF(CR430&gt;0,INDEX(Parameter!$H$5:$H$7,W430)/INDEX(Parameter!$E$5:$E$7,W430),IF(AND(CA430=0,N(IFERROR(VLOOKUP(BY430,'Gebinde-Kategorie'!$A$5:$N$45,14,0),0))&gt;0),VLOOKUP(BY430,'Gebinde-Kategorie'!$A$5:$N$45,14,0)*10+Parameter!$M$23,Parameter!$M$24))</f>
        <v>155</v>
      </c>
      <c r="CD430" s="60" t="str">
        <f aca="false">IF(AND(Parameter!$B$19="Ja",E430&lt;&gt;"",ISNUMBER(MATCH(E430,Parameter!$I$35:$I$52,0))),VLOOKUP(E430,Parameter!$I$35:$J$52,2,0),IFERROR(VLOOKUP(D430,Parameter!$A$35:$C$64,2,0),"Nein"))</f>
        <v>2+3</v>
      </c>
      <c r="CE430" s="64" t="n">
        <f aca="false">IF(CA430=0,0,IF(N(S430)&gt;0,S430,IFERROR(VLOOKUP(D430,Parameter!$A$35:$C$64,3,0)+0,0)))</f>
        <v>0</v>
      </c>
      <c r="CF430" s="60" t="n">
        <f aca="false">IF(AB430&lt;&gt;"",AB430,AA430)</f>
        <v>3</v>
      </c>
      <c r="CG430" s="60" t="str">
        <f aca="false">IF(OR(CF430=1,CF430=2,CF430=3),IF(Parameter!$E$27="Ja","LIFT",IF(CF430=1,"L1","L23")),IF(CF430="Aussen","Aussen","-"))</f>
        <v>LIFT</v>
      </c>
      <c r="CH430" s="71" t="n">
        <f aca="false">IF(N(AC430)&gt;0,AC430,0)</f>
        <v>0</v>
      </c>
      <c r="CI430" s="65" t="n">
        <f aca="false">IF(ISNUMBER(AF430),1,0)</f>
        <v>0</v>
      </c>
      <c r="CJ430" s="62" t="n">
        <f aca="false">N(AF430)</f>
        <v>0</v>
      </c>
      <c r="CK430" s="62" t="n">
        <f aca="false">N(M430)+N(N430)</f>
        <v>116</v>
      </c>
      <c r="CL430" s="62" t="n">
        <f aca="false">N(M430)</f>
        <v>16</v>
      </c>
      <c r="CM430" s="62" t="n">
        <f aca="false">N(N430)</f>
        <v>100</v>
      </c>
      <c r="CN430" s="62" t="n">
        <f aca="false">ROUNDUP(H430/BZ430,0)</f>
        <v>1</v>
      </c>
      <c r="CO430" s="62" t="n">
        <f aca="false">ROUNDUP(CJ430/BZ430,0)</f>
        <v>0</v>
      </c>
      <c r="CP430" s="65" t="n">
        <f aca="false">IF(CA430=1,0,IFERROR(VLOOKUP(BY430,'Gebinde-Kategorie'!$A$5:$N$45,5,0)+0,0))</f>
        <v>11</v>
      </c>
      <c r="CQ430" s="65" t="n">
        <f aca="false">IFERROR(IF(OR(CF430=1,CF430=2,CF430=3),N(INDEX(Parameter!$I$5:$I$7,CF430)),0),0)</f>
        <v>0</v>
      </c>
      <c r="CR430" s="64" t="n">
        <f aca="false">IF(AND(Parameter!$B$21="Ja",ISNUMBER(W430),N(X430)&gt;0),IFERROR(N(INDEX(Parameter!$L$5:$L$7,W430))*INDEX(Parameter!$E$5:$E$7,W430)*X430/SUMIFS($X$7:$X$1843,$W$7:$W$1843,W430),0),0)</f>
        <v>0</v>
      </c>
      <c r="CS430" s="62" t="n">
        <f aca="false">IF(AND(OR(CG430="L1",CG430="L23",CG430="LIFT"),H430&gt;0),CC430*IF(CR430&gt;0,CR430*MAX(1,H430/X430),IF(CA430=1,CE430,IF(R430&gt;0,CN430/R430,0))/MAX(0.1,N(Parameter!$M$21))),"")</f>
        <v>2.98076923076923</v>
      </c>
      <c r="CT430" s="64" t="n">
        <f aca="false">IF(CS430="","",J430/H430)</f>
        <v>3.44</v>
      </c>
      <c r="CU430" s="62" t="n">
        <f aca="false">IF(CS430="","",H430*G430)</f>
        <v>462.75</v>
      </c>
      <c r="CV430" s="63" t="n">
        <f aca="false">IF(CS430="","",(CL430+ROUNDUP(CL430+MAX(CM430,2*(J430/MAX(0.1,N(Einkauf!$C$6))-CL430)),0))/2)</f>
        <v>66</v>
      </c>
      <c r="CW430" s="62" t="n">
        <f aca="false">IF(CS430="","",MAX(0,H430-CV430)*G430)</f>
        <v>55.53</v>
      </c>
      <c r="CX430" s="62" t="n">
        <f aca="false">IF(CS430="","",CS430*MAX(0,1-CV430/H430))</f>
        <v>0.357692307692308</v>
      </c>
      <c r="CY430" s="64" t="n">
        <f aca="false">IF(CS430="","",PERCENTRANK($CS$7:$CS$1843,CS430)+PERCENTRANK($CU$7:$CU$1843,CU430)+1-PERCENTRANK($CT$7:$CT$1843,CT430))</f>
        <v>0.798</v>
      </c>
      <c r="CZ430" s="72" t="n">
        <f aca="false">IF(CS430="","",CHOOSE(MATCH(Einkauf!$C$5,Parameter!$G$23:$G$27,0),CY430,CS430,CU430,-CT430,CW430)+ROW()/1000000000)</f>
        <v>0.79800043</v>
      </c>
    </row>
    <row r="431" customFormat="false" ht="15" hidden="false" customHeight="false" outlineLevel="0" collapsed="false">
      <c r="A431" s="60" t="s">
        <v>1029</v>
      </c>
      <c r="B431" s="60" t="s">
        <v>537</v>
      </c>
      <c r="C431" s="60" t="s">
        <v>206</v>
      </c>
      <c r="D431" s="60" t="s">
        <v>226</v>
      </c>
      <c r="E431" s="60" t="s">
        <v>227</v>
      </c>
      <c r="F431" s="60" t="s">
        <v>260</v>
      </c>
      <c r="G431" s="61" t="n">
        <v>3.27</v>
      </c>
      <c r="H431" s="62" t="n">
        <f aca="false">MAX(0,IF(AND(Parameter!$B$21="Ja",ISNUMBER(Y431)),Y431,IF(Parameter!$B$20="Jahresanfang 2025 + Export",BS431+BR431,BR431)))</f>
        <v>155</v>
      </c>
      <c r="I431" s="62" t="n">
        <f aca="false">H431*G431</f>
        <v>506.85</v>
      </c>
      <c r="J431" s="62" t="n">
        <f aca="false">BU431*Parameter!$B$18</f>
        <v>158</v>
      </c>
      <c r="K431" s="63" t="n">
        <v>126.5</v>
      </c>
      <c r="L431" s="64" t="n">
        <v>1.24901185770751</v>
      </c>
      <c r="M431" s="62" t="n">
        <v>9</v>
      </c>
      <c r="N431" s="62" t="n">
        <v>160</v>
      </c>
      <c r="O431" s="65" t="n">
        <v>21</v>
      </c>
      <c r="P431" s="60" t="s">
        <v>463</v>
      </c>
      <c r="Q431" s="62" t="n">
        <v>125</v>
      </c>
      <c r="R431" s="65" t="n">
        <f aca="false">IF(CA431=1,0,IFERROR(VLOOKUP(BY431,'Gebinde-Kategorie'!$A$5:$N$45,13,0)+0,0))</f>
        <v>104</v>
      </c>
      <c r="S431" s="66"/>
      <c r="T431" s="67"/>
      <c r="U431" s="67"/>
      <c r="V431" s="67"/>
      <c r="W431" s="60"/>
      <c r="X431" s="62"/>
      <c r="Y431" s="62"/>
      <c r="Z431" s="60" t="n">
        <v>3</v>
      </c>
      <c r="AA431" s="60" t="n">
        <f aca="false">IF(A431="","",IF(AND(Parameter!$B$21="Ja",ISNUMBER(W431)),W431,IF(AND(Parameter!$E$27="Ja",ISNUMBER(Z431),CD431&lt;&gt;"Nein"),Z431,IF(CD431="2+3",IF(ISNUMBER(SEARCH("grosser Artikel",BV431)),2,IFERROR(VLOOKUP(BY431,Parameter!$F$35:$G$64,2,0),2)),IF(OR(CD431="Nein",CD431=""),"-",CD431)))))</f>
        <v>3</v>
      </c>
      <c r="AB431" s="67"/>
      <c r="AC431" s="68"/>
      <c r="AD431" s="62" t="n">
        <f aca="false">AW431</f>
        <v>169</v>
      </c>
      <c r="AE431" s="62" t="n">
        <f aca="false">MAX(AW431,H431)</f>
        <v>169</v>
      </c>
      <c r="AF431" s="69"/>
      <c r="AG431" s="62" t="n">
        <f aca="false">IF(LEFT(Cockpit!$C$5,1)="A",H431,IF(Parameter!$E$30="MAX-Bestand",IF(CI431=1,CJ431,IF(LEFT(Cockpit!$C$5,1)="B",AM431,MAX(AM431,H431))),ROUNDUP(AK431,0)))</f>
        <v>155</v>
      </c>
      <c r="AH431" s="62" t="n">
        <f aca="false">IF(CA431=1,0,ROUNDUP(AG431/BZ431,0))</f>
        <v>2</v>
      </c>
      <c r="AI431" s="64" t="n">
        <f aca="false">IF(CR431&gt;0,CR431*MAX(1,AG431/X431),IF(CA431=1,IF(AG431&lt;=0,0,CE431*MAX(1,IF(H431&gt;0,AG431/H431,1))),IF(R431&gt;0,AH431/R431,0))/MAX(0.1,N(Parameter!$M$21)))</f>
        <v>0.0192307692307692</v>
      </c>
      <c r="AJ431" s="62" t="n">
        <f aca="false">AI431*CC431</f>
        <v>2.98076923076923</v>
      </c>
      <c r="AK431" s="63" t="n">
        <f aca="false">IF(LEFT(Cockpit!$C$5,1)="A",H431,IF(CI431=1,(CL431+CJ431)/2,IF(LEFT(Cockpit!$C$5,1)="B",(CL431+AM431)/2,MAX((CL431+AM431)/2,H431))))</f>
        <v>155</v>
      </c>
      <c r="AL431" s="62" t="n">
        <f aca="false">AK431*G431</f>
        <v>506.85</v>
      </c>
      <c r="AM431" s="62" t="n">
        <f aca="false">ROUNDUP(CL431+MAX(CM431,2*(J431/IF(CH431&gt;0,CH431,MAX(0.1,N(Cockpit!$C$6)))-CL431)),0)</f>
        <v>169</v>
      </c>
      <c r="AN431" s="63" t="n">
        <f aca="false">IF(AJ431&gt;0,J431/AJ431,-1)</f>
        <v>53.0064516129032</v>
      </c>
      <c r="AO431" s="63" t="n">
        <f aca="false">IF(AND(OR(CG431="L1",CG431="L23",CG431="LIFT"),AJ431&gt;0),SUMIFS($AJ$7:$AJ$1843,$CG$7:$CG$1843,CG431,$AN$7:$AN$1843,"&gt;"&amp;AN431)+SUMIFS($AJ$7:$AJ$1843,$CG$7:$CG$1843,CG431,$AN$7:$AN$1843,AN431,$BX$7:$BX$1843,"&lt;="&amp;BX431),"")</f>
        <v>1014.95192307692</v>
      </c>
      <c r="AP431" s="70" t="n">
        <f aca="false">IF(AO431="",0,MAX(0,MIN(1,(IF(CG431="L1",Parameter!$H$5,IF(CG431="L23",Parameter!$H$6+Parameter!$H$7,Parameter!$H$5+Parameter!$H$6+Parameter!$H$7))-(AO431-AJ431))/AJ431)))</f>
        <v>1</v>
      </c>
      <c r="AQ431" s="62" t="n">
        <f aca="false">IF(LEFT(Cockpit!$I$5,1)="A",H431,IF(Parameter!$E$30="MAX-Bestand",IF(CI431=1,CJ431,IF(LEFT(Cockpit!$I$5,1)="B",AW431,MAX(AW431,H431))),ROUNDUP(AU431,0)))</f>
        <v>155</v>
      </c>
      <c r="AR431" s="62" t="n">
        <f aca="false">IF(CA431=1,0,ROUNDUP(AQ431/BZ431,0))</f>
        <v>2</v>
      </c>
      <c r="AS431" s="64" t="n">
        <f aca="false">IF(CR431&gt;0,CR431*MAX(1,AQ431/X431),IF(CA431=1,IF(AQ431&lt;=0,0,CE431*MAX(1,IF(H431&gt;0,AQ431/H431,1))),IF(R431&gt;0,AR431/R431,0))/MAX(0.1,N(Parameter!$M$21)))</f>
        <v>0.0192307692307692</v>
      </c>
      <c r="AT431" s="62" t="n">
        <f aca="false">AS431*CC431</f>
        <v>2.98076923076923</v>
      </c>
      <c r="AU431" s="63" t="n">
        <f aca="false">IF(LEFT(Cockpit!$I$5,1)="A",H431,IF(CI431=1,(CL431+CJ431)/2,IF(LEFT(Cockpit!$I$5,1)="B",(CL431+AW431)/2,MAX((CL431+AW431)/2,H431))))</f>
        <v>155</v>
      </c>
      <c r="AV431" s="62" t="n">
        <f aca="false">AU431*G431</f>
        <v>506.85</v>
      </c>
      <c r="AW431" s="62" t="n">
        <f aca="false">ROUNDUP(CL431+MAX(CM431,2*(J431/IF(CH431&gt;0,CH431,MAX(0.1,N(Cockpit!$I$6)))-CL431)),0)</f>
        <v>169</v>
      </c>
      <c r="AX431" s="63" t="n">
        <f aca="false">IF(AT431&gt;0,J431/AT431,-1)</f>
        <v>53.0064516129032</v>
      </c>
      <c r="AY431" s="63" t="n">
        <f aca="false">IF(AND(OR(CG431="L1",CG431="L23",CG431="LIFT"),AT431&gt;0),SUMIFS($AT$7:$AT$1843,$CG$7:$CG$1843,CG431,$AX$7:$AX$1843,"&gt;"&amp;AX431)+SUMIFS($AT$7:$AT$1843,$CG$7:$CG$1843,CG431,$AX$7:$AX$1843,AX431,$BX$7:$BX$1843,"&lt;="&amp;BX431),"")</f>
        <v>1298.64789377289</v>
      </c>
      <c r="AZ431" s="70" t="n">
        <f aca="false">IF(AY431="",0,MAX(0,MIN(1,(IF(CG431="L1",Parameter!$H$5,IF(CG431="L23",Parameter!$H$6+Parameter!$H$7,Parameter!$H$5+Parameter!$H$6+Parameter!$H$7))-(AY431-AT431))/AT431)))</f>
        <v>1</v>
      </c>
      <c r="BA431" s="62" t="n">
        <f aca="false">IF(LEFT(Cockpit!$O$5,1)="A",H431,IF(Parameter!$E$30="MAX-Bestand",IF(CI431=1,CJ431,IF(LEFT(Cockpit!$O$5,1)="B",BG431,MAX(BG431,H431))),ROUNDUP(BE431,0)))</f>
        <v>89</v>
      </c>
      <c r="BB431" s="62" t="n">
        <f aca="false">IF(CA431=1,0,ROUNDUP(BA431/BZ431,0))</f>
        <v>1</v>
      </c>
      <c r="BC431" s="64" t="n">
        <f aca="false">IF(CR431&gt;0,CR431*MAX(1,BA431/X431),IF(CA431=1,IF(BA431&lt;=0,0,CE431*MAX(1,IF(H431&gt;0,BA431/H431,1))),IF(R431&gt;0,BB431/R431,0))/MAX(0.1,N(Parameter!$M$21)))</f>
        <v>0.00961538461538462</v>
      </c>
      <c r="BD431" s="62" t="n">
        <f aca="false">BC431*CC431</f>
        <v>1.49038461538462</v>
      </c>
      <c r="BE431" s="63" t="n">
        <f aca="false">IF(LEFT(Cockpit!$O$5,1)="A",H431,IF(CI431=1,(CL431+CJ431)/2,IF(LEFT(Cockpit!$O$5,1)="B",(CL431+BG431)/2,MAX((CL431+BG431)/2,H431))))</f>
        <v>89</v>
      </c>
      <c r="BF431" s="62" t="n">
        <f aca="false">BE431*G431</f>
        <v>291.03</v>
      </c>
      <c r="BG431" s="62" t="n">
        <f aca="false">ROUNDUP(CL431+MAX(CM431,2*(J431/IF(CH431&gt;0,CH431,MAX(0.1,N(Cockpit!$O$6)))-CL431)),0)</f>
        <v>169</v>
      </c>
      <c r="BH431" s="63" t="n">
        <f aca="false">IF(BD431&gt;0,J431/BD431,-1)</f>
        <v>106.012903225806</v>
      </c>
      <c r="BI431" s="63" t="n">
        <f aca="false">IF(AND(OR(CG431="L1",CG431="L23",CG431="LIFT"),BD431&gt;0),SUMIFS($BD$7:$BD$1843,$CG$7:$CG$1843,CG431,$BH$7:$BH$1843,"&gt;"&amp;BH431)+SUMIFS($BD$7:$BD$1843,$CG$7:$CG$1843,CG431,$BH$7:$BH$1843,BH431,$BX$7:$BX$1843,"&lt;="&amp;BX431),"")</f>
        <v>886.93315018315</v>
      </c>
      <c r="BJ431" s="70" t="n">
        <f aca="false">IF(BI431="",0,MAX(0,MIN(1,(IF(CG431="L1",Parameter!$H$5,IF(CG431="L23",Parameter!$H$6+Parameter!$H$7,Parameter!$H$5+Parameter!$H$6+Parameter!$H$7))-(BI431-BD431))/BD431)))</f>
        <v>1</v>
      </c>
      <c r="BK431" s="60" t="str">
        <f aca="false">IF(AJ431&lt;=0,"",IF(CG431="Aussen","Aussenlager",IF(CG431="-","Nicht im Lift",IF(AP431&gt;=1,"Lift",IF(AP431&lt;=0,"Aussenlager","teilweise")))))</f>
        <v>Lift</v>
      </c>
      <c r="BL431" s="60" t="str">
        <f aca="false">IF(AT431&lt;=0,"",IF(CG431="Aussen","Aussenlager",IF(CG431="-","Nicht im Lift",IF(AZ431&gt;=1,"Lift",IF(AZ431&lt;=0,"Aussenlager","teilweise")))))</f>
        <v>Lift</v>
      </c>
      <c r="BM431" s="60" t="str">
        <f aca="false">IF(BD431&lt;=0,"",IF(CG431="Aussen","Aussenlager",IF(CG431="-","Nicht im Lift",IF(BJ431&gt;=1,"Lift",IF(BJ431&lt;=0,"Aussenlager","teilweise")))))</f>
        <v>Lift</v>
      </c>
      <c r="BN431" s="60" t="str">
        <f aca="false">IF(A431="","",IF(BW431=1,"Neu; ","")&amp;IF(AND(BW431=0,BR431&lt;0),"negativer Bestand (Export "&amp;BR431&amp;"); ","")&amp;IF(J431&lt;=0,"Kein Verbrauch; ","")&amp;IF(CR431&gt;0,"Lift "&amp;W431&amp;" lt. Liftbericht (Fach "&amp;X431&amp;" Stk); ",IF(CB431=1,"Gebinde geschätzt ("&amp;T431&amp;"); ",IF(CA431=1,"Lose – Tablare geschätzt; ","")))&amp;IF(H431&gt;AW431,"Überbestand "&amp;ROUND(H431-AW431,0)&amp;" Stk / CHF "&amp;ROUND((H431-AW431)*G431,0)&amp;"; ","")&amp;IF(AND(CI431=1,CJ431&lt;CK431),"MAX &lt; MB+LG; ","")&amp;IF(AND(CQ431&gt;0,CP431*10&gt;CQ431),"zu hoch für Tablar; ","")&amp;IF(AND(BW431=0,OR(CI431=1,AB431&lt;&gt;"",U431&lt;&gt;"",V431&lt;&gt;"",AC431&lt;&gt;"")),"manuell übersteuert; ","")&amp;IF(AND(CA431=0,R431=0),"Gebinde unbekannt / Stellmass fehlt; ","")&amp;IF(AND(CA431=0,N(V431)&lt;=0,N(Q431)&lt;=0),"Menge pro Gebinde fehlt (Ist = 1 Gebinde); ","")&amp;BV431)</f>
        <v/>
      </c>
      <c r="BO431" s="60"/>
      <c r="BP431" s="60"/>
      <c r="BQ431" s="67"/>
      <c r="BR431" s="62" t="n">
        <v>44</v>
      </c>
      <c r="BS431" s="62" t="n">
        <v>111</v>
      </c>
      <c r="BT431" s="61" t="n">
        <v>83.9600000000007</v>
      </c>
      <c r="BU431" s="62" t="n">
        <v>158</v>
      </c>
      <c r="BV431" s="60"/>
      <c r="BW431" s="65" t="n">
        <v>0</v>
      </c>
      <c r="BX431" s="65" t="n">
        <v>431</v>
      </c>
      <c r="BY431" s="60" t="str">
        <f aca="false">IF(U431&lt;&gt;"",UPPER(TRIM(U431)),IF(CB431=1,UPPER(VLOOKUP(T431,Parameter!$I$27:$K$29,2,0)),IF(P431="","LOSE",P431)))</f>
        <v>S32</v>
      </c>
      <c r="BZ431" s="62" t="n">
        <f aca="false">IF(BY431="LOSE",1,IF(N(V431)&gt;0,V431,IF(CB431=1,MAX(1,N(VLOOKUP(T431,Parameter!$I$27:$K$29,3,0)),H431,N(N431)),IF(N(Q431)&gt;0,Q431,MAX(1,H431)))))</f>
        <v>125</v>
      </c>
      <c r="CA431" s="65" t="n">
        <f aca="false">IF(BY431="LOSE",1,0)</f>
        <v>0</v>
      </c>
      <c r="CB431" s="65" t="n">
        <f aca="false">IF(AND(U431="",OR(P431="",P431="LOSE"),T431&lt;&gt;"",N(S431)&lt;=0,ISNUMBER(MATCH(T431,Parameter!$I$27:$I$29,0))),1,0)</f>
        <v>0</v>
      </c>
      <c r="CC431" s="65" t="n">
        <f aca="false">IF(CR431&gt;0,INDEX(Parameter!$H$5:$H$7,W431)/INDEX(Parameter!$E$5:$E$7,W431),IF(AND(CA431=0,N(IFERROR(VLOOKUP(BY431,'Gebinde-Kategorie'!$A$5:$N$45,14,0),0))&gt;0),VLOOKUP(BY431,'Gebinde-Kategorie'!$A$5:$N$45,14,0)*10+Parameter!$M$23,Parameter!$M$24))</f>
        <v>155</v>
      </c>
      <c r="CD431" s="60" t="str">
        <f aca="false">IF(AND(Parameter!$B$19="Ja",E431&lt;&gt;"",ISNUMBER(MATCH(E431,Parameter!$I$35:$I$52,0))),VLOOKUP(E431,Parameter!$I$35:$J$52,2,0),IFERROR(VLOOKUP(D431,Parameter!$A$35:$C$64,2,0),"Nein"))</f>
        <v>2+3</v>
      </c>
      <c r="CE431" s="64" t="n">
        <f aca="false">IF(CA431=0,0,IF(N(S431)&gt;0,S431,IFERROR(VLOOKUP(D431,Parameter!$A$35:$C$64,3,0)+0,0)))</f>
        <v>0</v>
      </c>
      <c r="CF431" s="60" t="n">
        <f aca="false">IF(AB431&lt;&gt;"",AB431,AA431)</f>
        <v>3</v>
      </c>
      <c r="CG431" s="60" t="str">
        <f aca="false">IF(OR(CF431=1,CF431=2,CF431=3),IF(Parameter!$E$27="Ja","LIFT",IF(CF431=1,"L1","L23")),IF(CF431="Aussen","Aussen","-"))</f>
        <v>LIFT</v>
      </c>
      <c r="CH431" s="71" t="n">
        <f aca="false">IF(N(AC431)&gt;0,AC431,0)</f>
        <v>0</v>
      </c>
      <c r="CI431" s="65" t="n">
        <f aca="false">IF(ISNUMBER(AF431),1,0)</f>
        <v>0</v>
      </c>
      <c r="CJ431" s="62" t="n">
        <f aca="false">N(AF431)</f>
        <v>0</v>
      </c>
      <c r="CK431" s="62" t="n">
        <f aca="false">N(M431)+N(N431)</f>
        <v>169</v>
      </c>
      <c r="CL431" s="62" t="n">
        <f aca="false">N(M431)</f>
        <v>9</v>
      </c>
      <c r="CM431" s="62" t="n">
        <f aca="false">N(N431)</f>
        <v>160</v>
      </c>
      <c r="CN431" s="62" t="n">
        <f aca="false">ROUNDUP(H431/BZ431,0)</f>
        <v>2</v>
      </c>
      <c r="CO431" s="62" t="n">
        <f aca="false">ROUNDUP(CJ431/BZ431,0)</f>
        <v>0</v>
      </c>
      <c r="CP431" s="65" t="n">
        <f aca="false">IF(CA431=1,0,IFERROR(VLOOKUP(BY431,'Gebinde-Kategorie'!$A$5:$N$45,5,0)+0,0))</f>
        <v>8</v>
      </c>
      <c r="CQ431" s="65" t="n">
        <f aca="false">IFERROR(IF(OR(CF431=1,CF431=2,CF431=3),N(INDEX(Parameter!$I$5:$I$7,CF431)),0),0)</f>
        <v>0</v>
      </c>
      <c r="CR431" s="64" t="n">
        <f aca="false">IF(AND(Parameter!$B$21="Ja",ISNUMBER(W431),N(X431)&gt;0),IFERROR(N(INDEX(Parameter!$L$5:$L$7,W431))*INDEX(Parameter!$E$5:$E$7,W431)*X431/SUMIFS($X$7:$X$1843,$W$7:$W$1843,W431),0),0)</f>
        <v>0</v>
      </c>
      <c r="CS431" s="62" t="n">
        <f aca="false">IF(AND(OR(CG431="L1",CG431="L23",CG431="LIFT"),H431&gt;0),CC431*IF(CR431&gt;0,CR431*MAX(1,H431/X431),IF(CA431=1,CE431,IF(R431&gt;0,CN431/R431,0))/MAX(0.1,N(Parameter!$M$21))),"")</f>
        <v>2.98076923076923</v>
      </c>
      <c r="CT431" s="64" t="n">
        <f aca="false">IF(CS431="","",J431/H431)</f>
        <v>1.01935483870968</v>
      </c>
      <c r="CU431" s="62" t="n">
        <f aca="false">IF(CS431="","",H431*G431)</f>
        <v>506.85</v>
      </c>
      <c r="CV431" s="63" t="n">
        <f aca="false">IF(CS431="","",(CL431+ROUNDUP(CL431+MAX(CM431,2*(J431/MAX(0.1,N(Einkauf!$C$6))-CL431)),0))/2)</f>
        <v>89</v>
      </c>
      <c r="CW431" s="62" t="n">
        <f aca="false">IF(CS431="","",MAX(0,H431-CV431)*G431)</f>
        <v>215.82</v>
      </c>
      <c r="CX431" s="62" t="n">
        <f aca="false">IF(CS431="","",CS431*MAX(0,1-CV431/H431))</f>
        <v>1.26923076923077</v>
      </c>
      <c r="CY431" s="64" t="n">
        <f aca="false">IF(CS431="","",PERCENTRANK($CS$7:$CS$1843,CS431)+PERCENTRANK($CU$7:$CU$1843,CU431)+1-PERCENTRANK($CT$7:$CT$1843,CT431))</f>
        <v>1.058</v>
      </c>
      <c r="CZ431" s="72" t="n">
        <f aca="false">IF(CS431="","",CHOOSE(MATCH(Einkauf!$C$5,Parameter!$G$23:$G$27,0),CY431,CS431,CU431,-CT431,CW431)+ROW()/1000000000)</f>
        <v>1.058000431</v>
      </c>
    </row>
    <row r="432" customFormat="false" ht="15" hidden="false" customHeight="false" outlineLevel="0" collapsed="false">
      <c r="A432" s="60" t="s">
        <v>1030</v>
      </c>
      <c r="B432" s="60" t="s">
        <v>1031</v>
      </c>
      <c r="C432" s="60" t="s">
        <v>206</v>
      </c>
      <c r="D432" s="60" t="s">
        <v>226</v>
      </c>
      <c r="E432" s="60"/>
      <c r="F432" s="60" t="s">
        <v>260</v>
      </c>
      <c r="G432" s="61" t="n">
        <v>75.18</v>
      </c>
      <c r="H432" s="62" t="n">
        <f aca="false">MAX(0,IF(AND(Parameter!$B$21="Ja",ISNUMBER(Y432)),Y432,IF(Parameter!$B$20="Jahresanfang 2025 + Export",BS432+BR432,BR432)))</f>
        <v>8</v>
      </c>
      <c r="I432" s="62" t="n">
        <f aca="false">H432*G432</f>
        <v>601.44</v>
      </c>
      <c r="J432" s="62" t="n">
        <f aca="false">BU432*Parameter!$B$18</f>
        <v>5</v>
      </c>
      <c r="K432" s="63" t="n">
        <v>8.5</v>
      </c>
      <c r="L432" s="64" t="n">
        <v>0.588235294117647</v>
      </c>
      <c r="M432" s="62" t="n">
        <v>0</v>
      </c>
      <c r="N432" s="62" t="n">
        <v>10</v>
      </c>
      <c r="O432" s="65" t="n">
        <v>21</v>
      </c>
      <c r="P432" s="60" t="s">
        <v>443</v>
      </c>
      <c r="Q432" s="62" t="n">
        <v>10</v>
      </c>
      <c r="R432" s="65" t="n">
        <f aca="false">IF(CA432=1,0,IFERROR(VLOOKUP(BY432,'Gebinde-Kategorie'!$A$5:$N$45,13,0)+0,0))</f>
        <v>280</v>
      </c>
      <c r="S432" s="66"/>
      <c r="T432" s="67"/>
      <c r="U432" s="67"/>
      <c r="V432" s="67"/>
      <c r="W432" s="60"/>
      <c r="X432" s="62"/>
      <c r="Y432" s="62"/>
      <c r="Z432" s="60" t="n">
        <v>1</v>
      </c>
      <c r="AA432" s="60" t="n">
        <f aca="false">IF(A432="","",IF(AND(Parameter!$B$21="Ja",ISNUMBER(W432)),W432,IF(AND(Parameter!$E$27="Ja",ISNUMBER(Z432),CD432&lt;&gt;"Nein"),Z432,IF(CD432="2+3",IF(ISNUMBER(SEARCH("grosser Artikel",BV432)),2,IFERROR(VLOOKUP(BY432,Parameter!$F$35:$G$64,2,0),2)),IF(OR(CD432="Nein",CD432=""),"-",CD432)))))</f>
        <v>1</v>
      </c>
      <c r="AB432" s="67"/>
      <c r="AC432" s="68"/>
      <c r="AD432" s="62" t="n">
        <f aca="false">AW432</f>
        <v>10</v>
      </c>
      <c r="AE432" s="62" t="n">
        <f aca="false">MAX(AW432,H432)</f>
        <v>10</v>
      </c>
      <c r="AF432" s="69"/>
      <c r="AG432" s="62" t="n">
        <f aca="false">IF(LEFT(Cockpit!$C$5,1)="A",H432,IF(Parameter!$E$30="MAX-Bestand",IF(CI432=1,CJ432,IF(LEFT(Cockpit!$C$5,1)="B",AM432,MAX(AM432,H432))),ROUNDUP(AK432,0)))</f>
        <v>8</v>
      </c>
      <c r="AH432" s="62" t="n">
        <f aca="false">IF(CA432=1,0,ROUNDUP(AG432/BZ432,0))</f>
        <v>1</v>
      </c>
      <c r="AI432" s="64" t="n">
        <f aca="false">IF(CR432&gt;0,CR432*MAX(1,AG432/X432),IF(CA432=1,IF(AG432&lt;=0,0,CE432*MAX(1,IF(H432&gt;0,AG432/H432,1))),IF(R432&gt;0,AH432/R432,0))/MAX(0.1,N(Parameter!$M$21)))</f>
        <v>0.00357142857142857</v>
      </c>
      <c r="AJ432" s="62" t="n">
        <f aca="false">AI432*CC432</f>
        <v>0.553571428571429</v>
      </c>
      <c r="AK432" s="63" t="n">
        <f aca="false">IF(LEFT(Cockpit!$C$5,1)="A",H432,IF(CI432=1,(CL432+CJ432)/2,IF(LEFT(Cockpit!$C$5,1)="B",(CL432+AM432)/2,MAX((CL432+AM432)/2,H432))))</f>
        <v>8</v>
      </c>
      <c r="AL432" s="62" t="n">
        <f aca="false">AK432*G432</f>
        <v>601.44</v>
      </c>
      <c r="AM432" s="62" t="n">
        <f aca="false">ROUNDUP(CL432+MAX(CM432,2*(J432/IF(CH432&gt;0,CH432,MAX(0.1,N(Cockpit!$C$6)))-CL432)),0)</f>
        <v>10</v>
      </c>
      <c r="AN432" s="63" t="n">
        <f aca="false">IF(AJ432&gt;0,J432/AJ432,-1)</f>
        <v>9.03225806451613</v>
      </c>
      <c r="AO432" s="63" t="n">
        <f aca="false">IF(AND(OR(CG432="L1",CG432="L23",CG432="LIFT"),AJ432&gt;0),SUMIFS($AJ$7:$AJ$1843,$CG$7:$CG$1843,CG432,$AN$7:$AN$1843,"&gt;"&amp;AN432)+SUMIFS($AJ$7:$AJ$1843,$CG$7:$CG$1843,CG432,$AN$7:$AN$1843,AN432,$BX$7:$BX$1843,"&lt;="&amp;BX432),"")</f>
        <v>2922.44230769231</v>
      </c>
      <c r="AP432" s="70" t="n">
        <f aca="false">IF(AO432="",0,MAX(0,MIN(1,(IF(CG432="L1",Parameter!$H$5,IF(CG432="L23",Parameter!$H$6+Parameter!$H$7,Parameter!$H$5+Parameter!$H$6+Parameter!$H$7))-(AO432-AJ432))/AJ432)))</f>
        <v>1</v>
      </c>
      <c r="AQ432" s="62" t="n">
        <f aca="false">IF(LEFT(Cockpit!$I$5,1)="A",H432,IF(Parameter!$E$30="MAX-Bestand",IF(CI432=1,CJ432,IF(LEFT(Cockpit!$I$5,1)="B",AW432,MAX(AW432,H432))),ROUNDUP(AU432,0)))</f>
        <v>8</v>
      </c>
      <c r="AR432" s="62" t="n">
        <f aca="false">IF(CA432=1,0,ROUNDUP(AQ432/BZ432,0))</f>
        <v>1</v>
      </c>
      <c r="AS432" s="64" t="n">
        <f aca="false">IF(CR432&gt;0,CR432*MAX(1,AQ432/X432),IF(CA432=1,IF(AQ432&lt;=0,0,CE432*MAX(1,IF(H432&gt;0,AQ432/H432,1))),IF(R432&gt;0,AR432/R432,0))/MAX(0.1,N(Parameter!$M$21)))</f>
        <v>0.00357142857142857</v>
      </c>
      <c r="AT432" s="62" t="n">
        <f aca="false">AS432*CC432</f>
        <v>0.553571428571429</v>
      </c>
      <c r="AU432" s="63" t="n">
        <f aca="false">IF(LEFT(Cockpit!$I$5,1)="A",H432,IF(CI432=1,(CL432+CJ432)/2,IF(LEFT(Cockpit!$I$5,1)="B",(CL432+AW432)/2,MAX((CL432+AW432)/2,H432))))</f>
        <v>8</v>
      </c>
      <c r="AV432" s="62" t="n">
        <f aca="false">AU432*G432</f>
        <v>601.44</v>
      </c>
      <c r="AW432" s="62" t="n">
        <f aca="false">ROUNDUP(CL432+MAX(CM432,2*(J432/IF(CH432&gt;0,CH432,MAX(0.1,N(Cockpit!$I$6)))-CL432)),0)</f>
        <v>10</v>
      </c>
      <c r="AX432" s="63" t="n">
        <f aca="false">IF(AT432&gt;0,J432/AT432,-1)</f>
        <v>9.03225806451613</v>
      </c>
      <c r="AY432" s="63" t="n">
        <f aca="false">IF(AND(OR(CG432="L1",CG432="L23",CG432="LIFT"),AT432&gt;0),SUMIFS($AT$7:$AT$1843,$CG$7:$CG$1843,CG432,$AX$7:$AX$1843,"&gt;"&amp;AX432)+SUMIFS($AT$7:$AT$1843,$CG$7:$CG$1843,CG432,$AX$7:$AX$1843,AX432,$BX$7:$BX$1843,"&lt;="&amp;BX432),"")</f>
        <v>3537.4304029304</v>
      </c>
      <c r="AZ432" s="70" t="n">
        <f aca="false">IF(AY432="",0,MAX(0,MIN(1,(IF(CG432="L1",Parameter!$H$5,IF(CG432="L23",Parameter!$H$6+Parameter!$H$7,Parameter!$H$5+Parameter!$H$6+Parameter!$H$7))-(AY432-AT432))/AT432)))</f>
        <v>1</v>
      </c>
      <c r="BA432" s="62" t="n">
        <f aca="false">IF(LEFT(Cockpit!$O$5,1)="A",H432,IF(Parameter!$E$30="MAX-Bestand",IF(CI432=1,CJ432,IF(LEFT(Cockpit!$O$5,1)="B",BG432,MAX(BG432,H432))),ROUNDUP(BE432,0)))</f>
        <v>5</v>
      </c>
      <c r="BB432" s="62" t="n">
        <f aca="false">IF(CA432=1,0,ROUNDUP(BA432/BZ432,0))</f>
        <v>1</v>
      </c>
      <c r="BC432" s="64" t="n">
        <f aca="false">IF(CR432&gt;0,CR432*MAX(1,BA432/X432),IF(CA432=1,IF(BA432&lt;=0,0,CE432*MAX(1,IF(H432&gt;0,BA432/H432,1))),IF(R432&gt;0,BB432/R432,0))/MAX(0.1,N(Parameter!$M$21)))</f>
        <v>0.00357142857142857</v>
      </c>
      <c r="BD432" s="62" t="n">
        <f aca="false">BC432*CC432</f>
        <v>0.553571428571429</v>
      </c>
      <c r="BE432" s="63" t="n">
        <f aca="false">IF(LEFT(Cockpit!$O$5,1)="A",H432,IF(CI432=1,(CL432+CJ432)/2,IF(LEFT(Cockpit!$O$5,1)="B",(CL432+BG432)/2,MAX((CL432+BG432)/2,H432))))</f>
        <v>5</v>
      </c>
      <c r="BF432" s="62" t="n">
        <f aca="false">BE432*G432</f>
        <v>375.9</v>
      </c>
      <c r="BG432" s="62" t="n">
        <f aca="false">ROUNDUP(CL432+MAX(CM432,2*(J432/IF(CH432&gt;0,CH432,MAX(0.1,N(Cockpit!$O$6)))-CL432)),0)</f>
        <v>10</v>
      </c>
      <c r="BH432" s="63" t="n">
        <f aca="false">IF(BD432&gt;0,J432/BD432,-1)</f>
        <v>9.03225806451613</v>
      </c>
      <c r="BI432" s="63" t="n">
        <f aca="false">IF(AND(OR(CG432="L1",CG432="L23",CG432="LIFT"),BD432&gt;0),SUMIFS($BD$7:$BD$1843,$CG$7:$CG$1843,CG432,$BH$7:$BH$1843,"&gt;"&amp;BH432)+SUMIFS($BD$7:$BD$1843,$CG$7:$CG$1843,CG432,$BH$7:$BH$1843,BH432,$BX$7:$BX$1843,"&lt;="&amp;BX432),"")</f>
        <v>2878.59432234432</v>
      </c>
      <c r="BJ432" s="70" t="n">
        <f aca="false">IF(BI432="",0,MAX(0,MIN(1,(IF(CG432="L1",Parameter!$H$5,IF(CG432="L23",Parameter!$H$6+Parameter!$H$7,Parameter!$H$5+Parameter!$H$6+Parameter!$H$7))-(BI432-BD432))/BD432)))</f>
        <v>1</v>
      </c>
      <c r="BK432" s="60" t="str">
        <f aca="false">IF(AJ432&lt;=0,"",IF(CG432="Aussen","Aussenlager",IF(CG432="-","Nicht im Lift",IF(AP432&gt;=1,"Lift",IF(AP432&lt;=0,"Aussenlager","teilweise")))))</f>
        <v>Lift</v>
      </c>
      <c r="BL432" s="60" t="str">
        <f aca="false">IF(AT432&lt;=0,"",IF(CG432="Aussen","Aussenlager",IF(CG432="-","Nicht im Lift",IF(AZ432&gt;=1,"Lift",IF(AZ432&lt;=0,"Aussenlager","teilweise")))))</f>
        <v>Lift</v>
      </c>
      <c r="BM432" s="60" t="str">
        <f aca="false">IF(BD432&lt;=0,"",IF(CG432="Aussen","Aussenlager",IF(CG432="-","Nicht im Lift",IF(BJ432&gt;=1,"Lift",IF(BJ432&lt;=0,"Aussenlager","teilweise")))))</f>
        <v>Lift</v>
      </c>
      <c r="BN432" s="60" t="str">
        <f aca="false">IF(A432="","",IF(BW432=1,"Neu; ","")&amp;IF(AND(BW432=0,BR432&lt;0),"negativer Bestand (Export "&amp;BR432&amp;"); ","")&amp;IF(J432&lt;=0,"Kein Verbrauch; ","")&amp;IF(CR432&gt;0,"Lift "&amp;W432&amp;" lt. Liftbericht (Fach "&amp;X432&amp;" Stk); ",IF(CB432=1,"Gebinde geschätzt ("&amp;T432&amp;"); ",IF(CA432=1,"Lose – Tablare geschätzt; ","")))&amp;IF(H432&gt;AW432,"Überbestand "&amp;ROUND(H432-AW432,0)&amp;" Stk / CHF "&amp;ROUND((H432-AW432)*G432,0)&amp;"; ","")&amp;IF(AND(CI432=1,CJ432&lt;CK432),"MAX &lt; MB+LG; ","")&amp;IF(AND(CQ432&gt;0,CP432*10&gt;CQ432),"zu hoch für Tablar; ","")&amp;IF(AND(BW432=0,OR(CI432=1,AB432&lt;&gt;"",U432&lt;&gt;"",V432&lt;&gt;"",AC432&lt;&gt;"")),"manuell übersteuert; ","")&amp;IF(AND(CA432=0,R432=0),"Gebinde unbekannt / Stellmass fehlt; ","")&amp;IF(AND(CA432=0,N(V432)&lt;=0,N(Q432)&lt;=0),"Menge pro Gebinde fehlt (Ist = 1 Gebinde); ","")&amp;BV432)</f>
        <v>negativer Bestand (Export -1); </v>
      </c>
      <c r="BO432" s="60"/>
      <c r="BP432" s="60"/>
      <c r="BQ432" s="67"/>
      <c r="BR432" s="62" t="n">
        <v>-1</v>
      </c>
      <c r="BS432" s="62" t="n">
        <v>9</v>
      </c>
      <c r="BT432" s="61" t="n">
        <v>80.7900000000001</v>
      </c>
      <c r="BU432" s="62" t="n">
        <v>5</v>
      </c>
      <c r="BV432" s="60"/>
      <c r="BW432" s="65" t="n">
        <v>0</v>
      </c>
      <c r="BX432" s="65" t="n">
        <v>432</v>
      </c>
      <c r="BY432" s="60" t="str">
        <f aca="false">IF(U432&lt;&gt;"",UPPER(TRIM(U432)),IF(CB432=1,UPPER(VLOOKUP(T432,Parameter!$I$27:$K$29,2,0)),IF(P432="","LOSE",P432)))</f>
        <v>S21</v>
      </c>
      <c r="BZ432" s="62" t="n">
        <f aca="false">IF(BY432="LOSE",1,IF(N(V432)&gt;0,V432,IF(CB432=1,MAX(1,N(VLOOKUP(T432,Parameter!$I$27:$K$29,3,0)),H432,N(N432)),IF(N(Q432)&gt;0,Q432,MAX(1,H432)))))</f>
        <v>10</v>
      </c>
      <c r="CA432" s="65" t="n">
        <f aca="false">IF(BY432="LOSE",1,0)</f>
        <v>0</v>
      </c>
      <c r="CB432" s="65" t="n">
        <f aca="false">IF(AND(U432="",OR(P432="",P432="LOSE"),T432&lt;&gt;"",N(S432)&lt;=0,ISNUMBER(MATCH(T432,Parameter!$I$27:$I$29,0))),1,0)</f>
        <v>0</v>
      </c>
      <c r="CC432" s="65" t="n">
        <f aca="false">IF(CR432&gt;0,INDEX(Parameter!$H$5:$H$7,W432)/INDEX(Parameter!$E$5:$E$7,W432),IF(AND(CA432=0,N(IFERROR(VLOOKUP(BY432,'Gebinde-Kategorie'!$A$5:$N$45,14,0),0))&gt;0),VLOOKUP(BY432,'Gebinde-Kategorie'!$A$5:$N$45,14,0)*10+Parameter!$M$23,Parameter!$M$24))</f>
        <v>155</v>
      </c>
      <c r="CD432" s="60" t="str">
        <f aca="false">IF(AND(Parameter!$B$19="Ja",E432&lt;&gt;"",ISNUMBER(MATCH(E432,Parameter!$I$35:$I$52,0))),VLOOKUP(E432,Parameter!$I$35:$J$52,2,0),IFERROR(VLOOKUP(D432,Parameter!$A$35:$C$64,2,0),"Nein"))</f>
        <v>2+3</v>
      </c>
      <c r="CE432" s="64" t="n">
        <f aca="false">IF(CA432=0,0,IF(N(S432)&gt;0,S432,IFERROR(VLOOKUP(D432,Parameter!$A$35:$C$64,3,0)+0,0)))</f>
        <v>0</v>
      </c>
      <c r="CF432" s="60" t="n">
        <f aca="false">IF(AB432&lt;&gt;"",AB432,AA432)</f>
        <v>1</v>
      </c>
      <c r="CG432" s="60" t="str">
        <f aca="false">IF(OR(CF432=1,CF432=2,CF432=3),IF(Parameter!$E$27="Ja","LIFT",IF(CF432=1,"L1","L23")),IF(CF432="Aussen","Aussen","-"))</f>
        <v>LIFT</v>
      </c>
      <c r="CH432" s="71" t="n">
        <f aca="false">IF(N(AC432)&gt;0,AC432,0)</f>
        <v>0</v>
      </c>
      <c r="CI432" s="65" t="n">
        <f aca="false">IF(ISNUMBER(AF432),1,0)</f>
        <v>0</v>
      </c>
      <c r="CJ432" s="62" t="n">
        <f aca="false">N(AF432)</f>
        <v>0</v>
      </c>
      <c r="CK432" s="62" t="n">
        <f aca="false">N(M432)+N(N432)</f>
        <v>10</v>
      </c>
      <c r="CL432" s="62" t="n">
        <f aca="false">N(M432)</f>
        <v>0</v>
      </c>
      <c r="CM432" s="62" t="n">
        <f aca="false">N(N432)</f>
        <v>10</v>
      </c>
      <c r="CN432" s="62" t="n">
        <f aca="false">ROUNDUP(H432/BZ432,0)</f>
        <v>1</v>
      </c>
      <c r="CO432" s="62" t="n">
        <f aca="false">ROUNDUP(CJ432/BZ432,0)</f>
        <v>0</v>
      </c>
      <c r="CP432" s="65" t="n">
        <f aca="false">IF(CA432=1,0,IFERROR(VLOOKUP(BY432,'Gebinde-Kategorie'!$A$5:$N$45,5,0)+0,0))</f>
        <v>8</v>
      </c>
      <c r="CQ432" s="65" t="n">
        <f aca="false">IFERROR(IF(OR(CF432=1,CF432=2,CF432=3),N(INDEX(Parameter!$I$5:$I$7,CF432)),0),0)</f>
        <v>0</v>
      </c>
      <c r="CR432" s="64" t="n">
        <f aca="false">IF(AND(Parameter!$B$21="Ja",ISNUMBER(W432),N(X432)&gt;0),IFERROR(N(INDEX(Parameter!$L$5:$L$7,W432))*INDEX(Parameter!$E$5:$E$7,W432)*X432/SUMIFS($X$7:$X$1843,$W$7:$W$1843,W432),0),0)</f>
        <v>0</v>
      </c>
      <c r="CS432" s="62" t="n">
        <f aca="false">IF(AND(OR(CG432="L1",CG432="L23",CG432="LIFT"),H432&gt;0),CC432*IF(CR432&gt;0,CR432*MAX(1,H432/X432),IF(CA432=1,CE432,IF(R432&gt;0,CN432/R432,0))/MAX(0.1,N(Parameter!$M$21))),"")</f>
        <v>0.553571428571429</v>
      </c>
      <c r="CT432" s="64" t="n">
        <f aca="false">IF(CS432="","",J432/H432)</f>
        <v>0.625</v>
      </c>
      <c r="CU432" s="62" t="n">
        <f aca="false">IF(CS432="","",H432*G432)</f>
        <v>601.44</v>
      </c>
      <c r="CV432" s="63" t="n">
        <f aca="false">IF(CS432="","",(CL432+ROUNDUP(CL432+MAX(CM432,2*(J432/MAX(0.1,N(Einkauf!$C$6))-CL432)),0))/2)</f>
        <v>5</v>
      </c>
      <c r="CW432" s="62" t="n">
        <f aca="false">IF(CS432="","",MAX(0,H432-CV432)*G432)</f>
        <v>225.54</v>
      </c>
      <c r="CX432" s="62" t="n">
        <f aca="false">IF(CS432="","",CS432*MAX(0,1-CV432/H432))</f>
        <v>0.207589285714286</v>
      </c>
      <c r="CY432" s="64" t="n">
        <f aca="false">IF(CS432="","",PERCENTRANK($CS$7:$CS$1843,CS432)+PERCENTRANK($CU$7:$CU$1843,CU432)+1-PERCENTRANK($CT$7:$CT$1843,CT432))</f>
        <v>0.977</v>
      </c>
      <c r="CZ432" s="72" t="n">
        <f aca="false">IF(CS432="","",CHOOSE(MATCH(Einkauf!$C$5,Parameter!$G$23:$G$27,0),CY432,CS432,CU432,-CT432,CW432)+ROW()/1000000000)</f>
        <v>0.977000432</v>
      </c>
    </row>
    <row r="433" customFormat="false" ht="15" hidden="false" customHeight="false" outlineLevel="0" collapsed="false">
      <c r="A433" s="60" t="s">
        <v>1032</v>
      </c>
      <c r="B433" s="60" t="s">
        <v>1033</v>
      </c>
      <c r="C433" s="60" t="s">
        <v>206</v>
      </c>
      <c r="D433" s="60" t="s">
        <v>226</v>
      </c>
      <c r="E433" s="60" t="s">
        <v>227</v>
      </c>
      <c r="F433" s="60" t="s">
        <v>260</v>
      </c>
      <c r="G433" s="61" t="n">
        <v>9.53</v>
      </c>
      <c r="H433" s="62" t="n">
        <f aca="false">MAX(0,IF(AND(Parameter!$B$21="Ja",ISNUMBER(Y433)),Y433,IF(Parameter!$B$20="Jahresanfang 2025 + Export",BS433+BR433,BR433)))</f>
        <v>19</v>
      </c>
      <c r="I433" s="62" t="n">
        <f aca="false">H433*G433</f>
        <v>181.07</v>
      </c>
      <c r="J433" s="62" t="n">
        <f aca="false">BU433*Parameter!$B$18</f>
        <v>129</v>
      </c>
      <c r="K433" s="63" t="n">
        <v>11.5</v>
      </c>
      <c r="L433" s="64" t="n">
        <v>11.2173913043478</v>
      </c>
      <c r="M433" s="62" t="n">
        <v>5</v>
      </c>
      <c r="N433" s="62" t="n">
        <v>25</v>
      </c>
      <c r="O433" s="65" t="n">
        <v>14</v>
      </c>
      <c r="P433" s="60" t="s">
        <v>268</v>
      </c>
      <c r="Q433" s="62" t="n">
        <v>40</v>
      </c>
      <c r="R433" s="65" t="n">
        <f aca="false">IF(CA433=1,0,IFERROR(VLOOKUP(BY433,'Gebinde-Kategorie'!$A$5:$N$45,13,0)+0,0))</f>
        <v>12</v>
      </c>
      <c r="S433" s="66"/>
      <c r="T433" s="67"/>
      <c r="U433" s="67"/>
      <c r="V433" s="67"/>
      <c r="W433" s="60"/>
      <c r="X433" s="62"/>
      <c r="Y433" s="62"/>
      <c r="Z433" s="60" t="n">
        <v>3</v>
      </c>
      <c r="AA433" s="60" t="n">
        <f aca="false">IF(A433="","",IF(AND(Parameter!$B$21="Ja",ISNUMBER(W433)),W433,IF(AND(Parameter!$E$27="Ja",ISNUMBER(Z433),CD433&lt;&gt;"Nein"),Z433,IF(CD433="2+3",IF(ISNUMBER(SEARCH("grosser Artikel",BV433)),2,IFERROR(VLOOKUP(BY433,Parameter!$F$35:$G$64,2,0),2)),IF(OR(CD433="Nein",CD433=""),"-",CD433)))))</f>
        <v>3</v>
      </c>
      <c r="AB433" s="67"/>
      <c r="AC433" s="68"/>
      <c r="AD433" s="62" t="n">
        <f aca="false">AW433</f>
        <v>81</v>
      </c>
      <c r="AE433" s="62" t="n">
        <f aca="false">MAX(AW433,H433)</f>
        <v>81</v>
      </c>
      <c r="AF433" s="69"/>
      <c r="AG433" s="62" t="n">
        <f aca="false">IF(LEFT(Cockpit!$C$5,1)="A",H433,IF(Parameter!$E$30="MAX-Bestand",IF(CI433=1,CJ433,IF(LEFT(Cockpit!$C$5,1)="B",AM433,MAX(AM433,H433))),ROUNDUP(AK433,0)))</f>
        <v>19</v>
      </c>
      <c r="AH433" s="62" t="n">
        <f aca="false">IF(CA433=1,0,ROUNDUP(AG433/BZ433,0))</f>
        <v>1</v>
      </c>
      <c r="AI433" s="64" t="n">
        <f aca="false">IF(CR433&gt;0,CR433*MAX(1,AG433/X433),IF(CA433=1,IF(AG433&lt;=0,0,CE433*MAX(1,IF(H433&gt;0,AG433/H433,1))),IF(R433&gt;0,AH433/R433,0))/MAX(0.1,N(Parameter!$M$21)))</f>
        <v>0.0833333333333333</v>
      </c>
      <c r="AJ433" s="62" t="n">
        <f aca="false">AI433*CC433</f>
        <v>28.75</v>
      </c>
      <c r="AK433" s="63" t="n">
        <f aca="false">IF(LEFT(Cockpit!$C$5,1)="A",H433,IF(CI433=1,(CL433+CJ433)/2,IF(LEFT(Cockpit!$C$5,1)="B",(CL433+AM433)/2,MAX((CL433+AM433)/2,H433))))</f>
        <v>19</v>
      </c>
      <c r="AL433" s="62" t="n">
        <f aca="false">AK433*G433</f>
        <v>181.07</v>
      </c>
      <c r="AM433" s="62" t="n">
        <f aca="false">ROUNDUP(CL433+MAX(CM433,2*(J433/IF(CH433&gt;0,CH433,MAX(0.1,N(Cockpit!$C$6)))-CL433)),0)</f>
        <v>81</v>
      </c>
      <c r="AN433" s="63" t="n">
        <f aca="false">IF(AJ433&gt;0,J433/AJ433,-1)</f>
        <v>4.48695652173913</v>
      </c>
      <c r="AO433" s="63" t="n">
        <f aca="false">IF(AND(OR(CG433="L1",CG433="L23",CG433="LIFT"),AJ433&gt;0),SUMIFS($AJ$7:$AJ$1843,$CG$7:$CG$1843,CG433,$AN$7:$AN$1843,"&gt;"&amp;AN433)+SUMIFS($AJ$7:$AJ$1843,$CG$7:$CG$1843,CG433,$AN$7:$AN$1843,AN433,$BX$7:$BX$1843,"&lt;="&amp;BX433),"")</f>
        <v>4177.63141025641</v>
      </c>
      <c r="AP433" s="70" t="n">
        <f aca="false">IF(AO433="",0,MAX(0,MIN(1,(IF(CG433="L1",Parameter!$H$5,IF(CG433="L23",Parameter!$H$6+Parameter!$H$7,Parameter!$H$5+Parameter!$H$6+Parameter!$H$7))-(AO433-AJ433))/AJ433)))</f>
        <v>1</v>
      </c>
      <c r="AQ433" s="62" t="n">
        <f aca="false">IF(LEFT(Cockpit!$I$5,1)="A",H433,IF(Parameter!$E$30="MAX-Bestand",IF(CI433=1,CJ433,IF(LEFT(Cockpit!$I$5,1)="B",AW433,MAX(AW433,H433))),ROUNDUP(AU433,0)))</f>
        <v>43</v>
      </c>
      <c r="AR433" s="62" t="n">
        <f aca="false">IF(CA433=1,0,ROUNDUP(AQ433/BZ433,0))</f>
        <v>2</v>
      </c>
      <c r="AS433" s="64" t="n">
        <f aca="false">IF(CR433&gt;0,CR433*MAX(1,AQ433/X433),IF(CA433=1,IF(AQ433&lt;=0,0,CE433*MAX(1,IF(H433&gt;0,AQ433/H433,1))),IF(R433&gt;0,AR433/R433,0))/MAX(0.1,N(Parameter!$M$21)))</f>
        <v>0.166666666666667</v>
      </c>
      <c r="AT433" s="62" t="n">
        <f aca="false">AS433*CC433</f>
        <v>57.5</v>
      </c>
      <c r="AU433" s="63" t="n">
        <f aca="false">IF(LEFT(Cockpit!$I$5,1)="A",H433,IF(CI433=1,(CL433+CJ433)/2,IF(LEFT(Cockpit!$I$5,1)="B",(CL433+AW433)/2,MAX((CL433+AW433)/2,H433))))</f>
        <v>43</v>
      </c>
      <c r="AV433" s="62" t="n">
        <f aca="false">AU433*G433</f>
        <v>409.79</v>
      </c>
      <c r="AW433" s="62" t="n">
        <f aca="false">ROUNDUP(CL433+MAX(CM433,2*(J433/IF(CH433&gt;0,CH433,MAX(0.1,N(Cockpit!$I$6)))-CL433)),0)</f>
        <v>81</v>
      </c>
      <c r="AX433" s="63" t="n">
        <f aca="false">IF(AT433&gt;0,J433/AT433,-1)</f>
        <v>2.24347826086957</v>
      </c>
      <c r="AY433" s="63" t="n">
        <f aca="false">IF(AND(OR(CG433="L1",CG433="L23",CG433="LIFT"),AT433&gt;0),SUMIFS($AT$7:$AT$1843,$CG$7:$CG$1843,CG433,$AX$7:$AX$1843,"&gt;"&amp;AX433)+SUMIFS($AT$7:$AT$1843,$CG$7:$CG$1843,CG433,$AX$7:$AX$1843,AX433,$BX$7:$BX$1843,"&lt;="&amp;BX433),"")</f>
        <v>6586.36950549451</v>
      </c>
      <c r="AZ433" s="70" t="n">
        <f aca="false">IF(AY433="",0,MAX(0,MIN(1,(IF(CG433="L1",Parameter!$H$5,IF(CG433="L23",Parameter!$H$6+Parameter!$H$7,Parameter!$H$5+Parameter!$H$6+Parameter!$H$7))-(AY433-AT433))/AT433)))</f>
        <v>1</v>
      </c>
      <c r="BA433" s="62" t="n">
        <f aca="false">IF(LEFT(Cockpit!$O$5,1)="A",H433,IF(Parameter!$E$30="MAX-Bestand",IF(CI433=1,CJ433,IF(LEFT(Cockpit!$O$5,1)="B",BG433,MAX(BG433,H433))),ROUNDUP(BE433,0)))</f>
        <v>33</v>
      </c>
      <c r="BB433" s="62" t="n">
        <f aca="false">IF(CA433=1,0,ROUNDUP(BA433/BZ433,0))</f>
        <v>1</v>
      </c>
      <c r="BC433" s="64" t="n">
        <f aca="false">IF(CR433&gt;0,CR433*MAX(1,BA433/X433),IF(CA433=1,IF(BA433&lt;=0,0,CE433*MAX(1,IF(H433&gt;0,BA433/H433,1))),IF(R433&gt;0,BB433/R433,0))/MAX(0.1,N(Parameter!$M$21)))</f>
        <v>0.0833333333333333</v>
      </c>
      <c r="BD433" s="62" t="n">
        <f aca="false">BC433*CC433</f>
        <v>28.75</v>
      </c>
      <c r="BE433" s="63" t="n">
        <f aca="false">IF(LEFT(Cockpit!$O$5,1)="A",H433,IF(CI433=1,(CL433+CJ433)/2,IF(LEFT(Cockpit!$O$5,1)="B",(CL433+BG433)/2,MAX((CL433+BG433)/2,H433))))</f>
        <v>32.5</v>
      </c>
      <c r="BF433" s="62" t="n">
        <f aca="false">BE433*G433</f>
        <v>309.725</v>
      </c>
      <c r="BG433" s="62" t="n">
        <f aca="false">ROUNDUP(CL433+MAX(CM433,2*(J433/IF(CH433&gt;0,CH433,MAX(0.1,N(Cockpit!$O$6)))-CL433)),0)</f>
        <v>60</v>
      </c>
      <c r="BH433" s="63" t="n">
        <f aca="false">IF(BD433&gt;0,J433/BD433,-1)</f>
        <v>4.48695652173913</v>
      </c>
      <c r="BI433" s="63" t="n">
        <f aca="false">IF(AND(OR(CG433="L1",CG433="L23",CG433="LIFT"),BD433&gt;0),SUMIFS($BD$7:$BD$1843,$CG$7:$CG$1843,CG433,$BH$7:$BH$1843,"&gt;"&amp;BH433)+SUMIFS($BD$7:$BD$1843,$CG$7:$CG$1843,CG433,$BH$7:$BH$1843,BH433,$BX$7:$BX$1843,"&lt;="&amp;BX433),"")</f>
        <v>3941.7152014652</v>
      </c>
      <c r="BJ433" s="70" t="n">
        <f aca="false">IF(BI433="",0,MAX(0,MIN(1,(IF(CG433="L1",Parameter!$H$5,IF(CG433="L23",Parameter!$H$6+Parameter!$H$7,Parameter!$H$5+Parameter!$H$6+Parameter!$H$7))-(BI433-BD433))/BD433)))</f>
        <v>1</v>
      </c>
      <c r="BK433" s="60" t="str">
        <f aca="false">IF(AJ433&lt;=0,"",IF(CG433="Aussen","Aussenlager",IF(CG433="-","Nicht im Lift",IF(AP433&gt;=1,"Lift",IF(AP433&lt;=0,"Aussenlager","teilweise")))))</f>
        <v>Lift</v>
      </c>
      <c r="BL433" s="60" t="str">
        <f aca="false">IF(AT433&lt;=0,"",IF(CG433="Aussen","Aussenlager",IF(CG433="-","Nicht im Lift",IF(AZ433&gt;=1,"Lift",IF(AZ433&lt;=0,"Aussenlager","teilweise")))))</f>
        <v>Lift</v>
      </c>
      <c r="BM433" s="60" t="str">
        <f aca="false">IF(BD433&lt;=0,"",IF(CG433="Aussen","Aussenlager",IF(CG433="-","Nicht im Lift",IF(BJ433&gt;=1,"Lift",IF(BJ433&lt;=0,"Aussenlager","teilweise")))))</f>
        <v>Lift</v>
      </c>
      <c r="BN433" s="60" t="str">
        <f aca="false">IF(A433="","",IF(BW433=1,"Neu; ","")&amp;IF(AND(BW433=0,BR433&lt;0),"negativer Bestand (Export "&amp;BR433&amp;"); ","")&amp;IF(J433&lt;=0,"Kein Verbrauch; ","")&amp;IF(CR433&gt;0,"Lift "&amp;W433&amp;" lt. Liftbericht (Fach "&amp;X433&amp;" Stk); ",IF(CB433=1,"Gebinde geschätzt ("&amp;T433&amp;"); ",IF(CA433=1,"Lose – Tablare geschätzt; ","")))&amp;IF(H433&gt;AW433,"Überbestand "&amp;ROUND(H433-AW433,0)&amp;" Stk / CHF "&amp;ROUND((H433-AW433)*G433,0)&amp;"; ","")&amp;IF(AND(CI433=1,CJ433&lt;CK433),"MAX &lt; MB+LG; ","")&amp;IF(AND(CQ433&gt;0,CP433*10&gt;CQ433),"zu hoch für Tablar; ","")&amp;IF(AND(BW433=0,OR(CI433=1,AB433&lt;&gt;"",U433&lt;&gt;"",V433&lt;&gt;"",AC433&lt;&gt;"")),"manuell übersteuert; ","")&amp;IF(AND(CA433=0,R433=0),"Gebinde unbekannt / Stellmass fehlt; ","")&amp;IF(AND(CA433=0,N(V433)&lt;=0,N(Q433)&lt;=0),"Menge pro Gebinde fehlt (Ist = 1 Gebinde); ","")&amp;BV433)</f>
        <v/>
      </c>
      <c r="BO433" s="60"/>
      <c r="BP433" s="60"/>
      <c r="BQ433" s="67"/>
      <c r="BR433" s="62" t="n">
        <v>8</v>
      </c>
      <c r="BS433" s="62" t="n">
        <v>11</v>
      </c>
      <c r="BT433" s="61" t="n">
        <v>79.4300000000001</v>
      </c>
      <c r="BU433" s="62" t="n">
        <v>129</v>
      </c>
      <c r="BV433" s="60"/>
      <c r="BW433" s="65" t="n">
        <v>0</v>
      </c>
      <c r="BX433" s="65" t="n">
        <v>433</v>
      </c>
      <c r="BY433" s="60" t="str">
        <f aca="false">IF(U433&lt;&gt;"",UPPER(TRIM(U433)),IF(CB433=1,UPPER(VLOOKUP(T433,Parameter!$I$27:$K$29,2,0)),IF(P433="","LOSE",P433)))</f>
        <v>S63</v>
      </c>
      <c r="BZ433" s="62" t="n">
        <f aca="false">IF(BY433="LOSE",1,IF(N(V433)&gt;0,V433,IF(CB433=1,MAX(1,N(VLOOKUP(T433,Parameter!$I$27:$K$29,3,0)),H433,N(N433)),IF(N(Q433)&gt;0,Q433,MAX(1,H433)))))</f>
        <v>40</v>
      </c>
      <c r="CA433" s="65" t="n">
        <f aca="false">IF(BY433="LOSE",1,0)</f>
        <v>0</v>
      </c>
      <c r="CB433" s="65" t="n">
        <f aca="false">IF(AND(U433="",OR(P433="",P433="LOSE"),T433&lt;&gt;"",N(S433)&lt;=0,ISNUMBER(MATCH(T433,Parameter!$I$27:$I$29,0))),1,0)</f>
        <v>0</v>
      </c>
      <c r="CC433" s="65" t="n">
        <f aca="false">IF(CR433&gt;0,INDEX(Parameter!$H$5:$H$7,W433)/INDEX(Parameter!$E$5:$E$7,W433),IF(AND(CA433=0,N(IFERROR(VLOOKUP(BY433,'Gebinde-Kategorie'!$A$5:$N$45,14,0),0))&gt;0),VLOOKUP(BY433,'Gebinde-Kategorie'!$A$5:$N$45,14,0)*10+Parameter!$M$23,Parameter!$M$24))</f>
        <v>345</v>
      </c>
      <c r="CD433" s="60" t="str">
        <f aca="false">IF(AND(Parameter!$B$19="Ja",E433&lt;&gt;"",ISNUMBER(MATCH(E433,Parameter!$I$35:$I$52,0))),VLOOKUP(E433,Parameter!$I$35:$J$52,2,0),IFERROR(VLOOKUP(D433,Parameter!$A$35:$C$64,2,0),"Nein"))</f>
        <v>2+3</v>
      </c>
      <c r="CE433" s="64" t="n">
        <f aca="false">IF(CA433=0,0,IF(N(S433)&gt;0,S433,IFERROR(VLOOKUP(D433,Parameter!$A$35:$C$64,3,0)+0,0)))</f>
        <v>0</v>
      </c>
      <c r="CF433" s="60" t="n">
        <f aca="false">IF(AB433&lt;&gt;"",AB433,AA433)</f>
        <v>3</v>
      </c>
      <c r="CG433" s="60" t="str">
        <f aca="false">IF(OR(CF433=1,CF433=2,CF433=3),IF(Parameter!$E$27="Ja","LIFT",IF(CF433=1,"L1","L23")),IF(CF433="Aussen","Aussen","-"))</f>
        <v>LIFT</v>
      </c>
      <c r="CH433" s="71" t="n">
        <f aca="false">IF(N(AC433)&gt;0,AC433,0)</f>
        <v>0</v>
      </c>
      <c r="CI433" s="65" t="n">
        <f aca="false">IF(ISNUMBER(AF433),1,0)</f>
        <v>0</v>
      </c>
      <c r="CJ433" s="62" t="n">
        <f aca="false">N(AF433)</f>
        <v>0</v>
      </c>
      <c r="CK433" s="62" t="n">
        <f aca="false">N(M433)+N(N433)</f>
        <v>30</v>
      </c>
      <c r="CL433" s="62" t="n">
        <f aca="false">N(M433)</f>
        <v>5</v>
      </c>
      <c r="CM433" s="62" t="n">
        <f aca="false">N(N433)</f>
        <v>25</v>
      </c>
      <c r="CN433" s="62" t="n">
        <f aca="false">ROUNDUP(H433/BZ433,0)</f>
        <v>1</v>
      </c>
      <c r="CO433" s="62" t="n">
        <f aca="false">ROUNDUP(CJ433/BZ433,0)</f>
        <v>0</v>
      </c>
      <c r="CP433" s="65" t="n">
        <f aca="false">IF(CA433=1,0,IFERROR(VLOOKUP(BY433,'Gebinde-Kategorie'!$A$5:$N$45,5,0)+0,0))</f>
        <v>31</v>
      </c>
      <c r="CQ433" s="65" t="n">
        <f aca="false">IFERROR(IF(OR(CF433=1,CF433=2,CF433=3),N(INDEX(Parameter!$I$5:$I$7,CF433)),0),0)</f>
        <v>0</v>
      </c>
      <c r="CR433" s="64" t="n">
        <f aca="false">IF(AND(Parameter!$B$21="Ja",ISNUMBER(W433),N(X433)&gt;0),IFERROR(N(INDEX(Parameter!$L$5:$L$7,W433))*INDEX(Parameter!$E$5:$E$7,W433)*X433/SUMIFS($X$7:$X$1843,$W$7:$W$1843,W433),0),0)</f>
        <v>0</v>
      </c>
      <c r="CS433" s="62" t="n">
        <f aca="false">IF(AND(OR(CG433="L1",CG433="L23",CG433="LIFT"),H433&gt;0),CC433*IF(CR433&gt;0,CR433*MAX(1,H433/X433),IF(CA433=1,CE433,IF(R433&gt;0,CN433/R433,0))/MAX(0.1,N(Parameter!$M$21))),"")</f>
        <v>28.75</v>
      </c>
      <c r="CT433" s="64" t="n">
        <f aca="false">IF(CS433="","",J433/H433)</f>
        <v>6.78947368421053</v>
      </c>
      <c r="CU433" s="62" t="n">
        <f aca="false">IF(CS433="","",H433*G433)</f>
        <v>181.07</v>
      </c>
      <c r="CV433" s="63" t="n">
        <f aca="false">IF(CS433="","",(CL433+ROUNDUP(CL433+MAX(CM433,2*(J433/MAX(0.1,N(Einkauf!$C$6))-CL433)),0))/2)</f>
        <v>32.5</v>
      </c>
      <c r="CW433" s="62" t="n">
        <f aca="false">IF(CS433="","",MAX(0,H433-CV433)*G433)</f>
        <v>0</v>
      </c>
      <c r="CX433" s="62" t="n">
        <f aca="false">IF(CS433="","",CS433*MAX(0,1-CV433/H433))</f>
        <v>0</v>
      </c>
      <c r="CY433" s="64" t="n">
        <f aca="false">IF(CS433="","",PERCENTRANK($CS$7:$CS$1843,CS433)+PERCENTRANK($CU$7:$CU$1843,CU433)+1-PERCENTRANK($CT$7:$CT$1843,CT433))</f>
        <v>1.169</v>
      </c>
      <c r="CZ433" s="72" t="n">
        <f aca="false">IF(CS433="","",CHOOSE(MATCH(Einkauf!$C$5,Parameter!$G$23:$G$27,0),CY433,CS433,CU433,-CT433,CW433)+ROW()/1000000000)</f>
        <v>1.169000433</v>
      </c>
    </row>
    <row r="434" customFormat="false" ht="15" hidden="false" customHeight="false" outlineLevel="0" collapsed="false">
      <c r="A434" s="60" t="s">
        <v>1034</v>
      </c>
      <c r="B434" s="60" t="s">
        <v>1035</v>
      </c>
      <c r="C434" s="60" t="s">
        <v>206</v>
      </c>
      <c r="D434" s="60" t="s">
        <v>226</v>
      </c>
      <c r="E434" s="60"/>
      <c r="F434" s="60" t="s">
        <v>260</v>
      </c>
      <c r="G434" s="61" t="n">
        <v>16.05</v>
      </c>
      <c r="H434" s="62" t="n">
        <f aca="false">MAX(0,IF(AND(Parameter!$B$21="Ja",ISNUMBER(Y434)),Y434,IF(Parameter!$B$20="Jahresanfang 2025 + Export",BS434+BR434,BR434)))</f>
        <v>4.91</v>
      </c>
      <c r="I434" s="62" t="n">
        <f aca="false">H434*G434</f>
        <v>78.8055</v>
      </c>
      <c r="J434" s="62" t="n">
        <f aca="false">BU434*Parameter!$B$18</f>
        <v>0</v>
      </c>
      <c r="K434" s="63" t="n">
        <v>0</v>
      </c>
      <c r="L434" s="64" t="n">
        <v>0</v>
      </c>
      <c r="M434" s="62" t="n">
        <v>1</v>
      </c>
      <c r="N434" s="62" t="n">
        <v>5</v>
      </c>
      <c r="O434" s="65" t="n">
        <v>0</v>
      </c>
      <c r="P434" s="60" t="s">
        <v>210</v>
      </c>
      <c r="Q434" s="62"/>
      <c r="R434" s="65" t="n">
        <f aca="false">IF(CA434=1,0,IFERROR(VLOOKUP(BY434,'Gebinde-Kategorie'!$A$5:$N$45,13,0)+0,0))</f>
        <v>26</v>
      </c>
      <c r="S434" s="66"/>
      <c r="T434" s="67" t="s">
        <v>317</v>
      </c>
      <c r="U434" s="67"/>
      <c r="V434" s="67"/>
      <c r="W434" s="60"/>
      <c r="X434" s="62"/>
      <c r="Y434" s="62"/>
      <c r="Z434" s="60" t="n">
        <v>3</v>
      </c>
      <c r="AA434" s="60" t="n">
        <f aca="false">IF(A434="","",IF(AND(Parameter!$B$21="Ja",ISNUMBER(W434)),W434,IF(AND(Parameter!$E$27="Ja",ISNUMBER(Z434),CD434&lt;&gt;"Nein"),Z434,IF(CD434="2+3",IF(ISNUMBER(SEARCH("grosser Artikel",BV434)),2,IFERROR(VLOOKUP(BY434,Parameter!$F$35:$G$64,2,0),2)),IF(OR(CD434="Nein",CD434=""),"-",CD434)))))</f>
        <v>3</v>
      </c>
      <c r="AB434" s="67"/>
      <c r="AC434" s="68"/>
      <c r="AD434" s="62" t="n">
        <f aca="false">AW434</f>
        <v>6</v>
      </c>
      <c r="AE434" s="62" t="n">
        <f aca="false">MAX(AW434,H434)</f>
        <v>6</v>
      </c>
      <c r="AF434" s="69"/>
      <c r="AG434" s="62" t="n">
        <f aca="false">IF(LEFT(Cockpit!$C$5,1)="A",H434,IF(Parameter!$E$30="MAX-Bestand",IF(CI434=1,CJ434,IF(LEFT(Cockpit!$C$5,1)="B",AM434,MAX(AM434,H434))),ROUNDUP(AK434,0)))</f>
        <v>4.91</v>
      </c>
      <c r="AH434" s="62" t="n">
        <f aca="false">IF(CA434=1,0,ROUNDUP(AG434/BZ434,0))</f>
        <v>1</v>
      </c>
      <c r="AI434" s="64" t="n">
        <f aca="false">IF(CR434&gt;0,CR434*MAX(1,AG434/X434),IF(CA434=1,IF(AG434&lt;=0,0,CE434*MAX(1,IF(H434&gt;0,AG434/H434,1))),IF(R434&gt;0,AH434/R434,0))/MAX(0.1,N(Parameter!$M$21)))</f>
        <v>0.0384615384615385</v>
      </c>
      <c r="AJ434" s="62" t="n">
        <f aca="false">AI434*CC434</f>
        <v>5.96153846153846</v>
      </c>
      <c r="AK434" s="63" t="n">
        <f aca="false">IF(LEFT(Cockpit!$C$5,1)="A",H434,IF(CI434=1,(CL434+CJ434)/2,IF(LEFT(Cockpit!$C$5,1)="B",(CL434+AM434)/2,MAX((CL434+AM434)/2,H434))))</f>
        <v>4.91</v>
      </c>
      <c r="AL434" s="62" t="n">
        <f aca="false">AK434*G434</f>
        <v>78.8055</v>
      </c>
      <c r="AM434" s="62" t="n">
        <f aca="false">ROUNDUP(CL434+MAX(CM434,2*(J434/IF(CH434&gt;0,CH434,MAX(0.1,N(Cockpit!$C$6)))-CL434)),0)</f>
        <v>6</v>
      </c>
      <c r="AN434" s="63" t="n">
        <f aca="false">IF(AJ434&gt;0,J434/AJ434,-1)</f>
        <v>0</v>
      </c>
      <c r="AO434" s="63" t="n">
        <f aca="false">IF(AND(OR(CG434="L1",CG434="L23",CG434="LIFT"),AJ434&gt;0),SUMIFS($AJ$7:$AJ$1843,$CG$7:$CG$1843,CG434,$AN$7:$AN$1843,"&gt;"&amp;AN434)+SUMIFS($AJ$7:$AJ$1843,$CG$7:$CG$1843,CG434,$AN$7:$AN$1843,AN434,$BX$7:$BX$1843,"&lt;="&amp;BX434),"")</f>
        <v>28121.7149117361</v>
      </c>
      <c r="AP434" s="70" t="n">
        <f aca="false">IF(AO434="",0,MAX(0,MIN(1,(IF(CG434="L1",Parameter!$H$5,IF(CG434="L23",Parameter!$H$6+Parameter!$H$7,Parameter!$H$5+Parameter!$H$6+Parameter!$H$7))-(AO434-AJ434))/AJ434)))</f>
        <v>1</v>
      </c>
      <c r="AQ434" s="62" t="n">
        <f aca="false">IF(LEFT(Cockpit!$I$5,1)="A",H434,IF(Parameter!$E$30="MAX-Bestand",IF(CI434=1,CJ434,IF(LEFT(Cockpit!$I$5,1)="B",AW434,MAX(AW434,H434))),ROUNDUP(AU434,0)))</f>
        <v>5</v>
      </c>
      <c r="AR434" s="62" t="n">
        <f aca="false">IF(CA434=1,0,ROUNDUP(AQ434/BZ434,0))</f>
        <v>1</v>
      </c>
      <c r="AS434" s="64" t="n">
        <f aca="false">IF(CR434&gt;0,CR434*MAX(1,AQ434/X434),IF(CA434=1,IF(AQ434&lt;=0,0,CE434*MAX(1,IF(H434&gt;0,AQ434/H434,1))),IF(R434&gt;0,AR434/R434,0))/MAX(0.1,N(Parameter!$M$21)))</f>
        <v>0.0384615384615385</v>
      </c>
      <c r="AT434" s="62" t="n">
        <f aca="false">AS434*CC434</f>
        <v>5.96153846153846</v>
      </c>
      <c r="AU434" s="63" t="n">
        <f aca="false">IF(LEFT(Cockpit!$I$5,1)="A",H434,IF(CI434=1,(CL434+CJ434)/2,IF(LEFT(Cockpit!$I$5,1)="B",(CL434+AW434)/2,MAX((CL434+AW434)/2,H434))))</f>
        <v>4.91</v>
      </c>
      <c r="AV434" s="62" t="n">
        <f aca="false">AU434*G434</f>
        <v>78.8055</v>
      </c>
      <c r="AW434" s="62" t="n">
        <f aca="false">ROUNDUP(CL434+MAX(CM434,2*(J434/IF(CH434&gt;0,CH434,MAX(0.1,N(Cockpit!$I$6)))-CL434)),0)</f>
        <v>6</v>
      </c>
      <c r="AX434" s="63" t="n">
        <f aca="false">IF(AT434&gt;0,J434/AT434,-1)</f>
        <v>0</v>
      </c>
      <c r="AY434" s="63" t="n">
        <f aca="false">IF(AND(OR(CG434="L1",CG434="L23",CG434="LIFT"),AT434&gt;0),SUMIFS($AT$7:$AT$1843,$CG$7:$CG$1843,CG434,$AX$7:$AX$1843,"&gt;"&amp;AX434)+SUMIFS($AT$7:$AT$1843,$CG$7:$CG$1843,CG434,$AX$7:$AX$1843,AX434,$BX$7:$BX$1843,"&lt;="&amp;BX434),"")</f>
        <v>33474.8635531136</v>
      </c>
      <c r="AZ434" s="70" t="n">
        <f aca="false">IF(AY434="",0,MAX(0,MIN(1,(IF(CG434="L1",Parameter!$H$5,IF(CG434="L23",Parameter!$H$6+Parameter!$H$7,Parameter!$H$5+Parameter!$H$6+Parameter!$H$7))-(AY434-AT434))/AT434)))</f>
        <v>1</v>
      </c>
      <c r="BA434" s="62" t="n">
        <f aca="false">IF(LEFT(Cockpit!$O$5,1)="A",H434,IF(Parameter!$E$30="MAX-Bestand",IF(CI434=1,CJ434,IF(LEFT(Cockpit!$O$5,1)="B",BG434,MAX(BG434,H434))),ROUNDUP(BE434,0)))</f>
        <v>4</v>
      </c>
      <c r="BB434" s="62" t="n">
        <f aca="false">IF(CA434=1,0,ROUNDUP(BA434/BZ434,0))</f>
        <v>1</v>
      </c>
      <c r="BC434" s="64" t="n">
        <f aca="false">IF(CR434&gt;0,CR434*MAX(1,BA434/X434),IF(CA434=1,IF(BA434&lt;=0,0,CE434*MAX(1,IF(H434&gt;0,BA434/H434,1))),IF(R434&gt;0,BB434/R434,0))/MAX(0.1,N(Parameter!$M$21)))</f>
        <v>0.0384615384615385</v>
      </c>
      <c r="BD434" s="62" t="n">
        <f aca="false">BC434*CC434</f>
        <v>5.96153846153846</v>
      </c>
      <c r="BE434" s="63" t="n">
        <f aca="false">IF(LEFT(Cockpit!$O$5,1)="A",H434,IF(CI434=1,(CL434+CJ434)/2,IF(LEFT(Cockpit!$O$5,1)="B",(CL434+BG434)/2,MAX((CL434+BG434)/2,H434))))</f>
        <v>3.5</v>
      </c>
      <c r="BF434" s="62" t="n">
        <f aca="false">BE434*G434</f>
        <v>56.175</v>
      </c>
      <c r="BG434" s="62" t="n">
        <f aca="false">ROUNDUP(CL434+MAX(CM434,2*(J434/IF(CH434&gt;0,CH434,MAX(0.1,N(Cockpit!$O$6)))-CL434)),0)</f>
        <v>6</v>
      </c>
      <c r="BH434" s="63" t="n">
        <f aca="false">IF(BD434&gt;0,J434/BD434,-1)</f>
        <v>0</v>
      </c>
      <c r="BI434" s="63" t="n">
        <f aca="false">IF(AND(OR(CG434="L1",CG434="L23",CG434="LIFT"),BD434&gt;0),SUMIFS($BD$7:$BD$1843,$CG$7:$CG$1843,CG434,$BH$7:$BH$1843,"&gt;"&amp;BH434)+SUMIFS($BD$7:$BD$1843,$CG$7:$CG$1843,CG434,$BH$7:$BH$1843,BH434,$BX$7:$BX$1843,"&lt;="&amp;BX434),"")</f>
        <v>27587.2933817595</v>
      </c>
      <c r="BJ434" s="70" t="n">
        <f aca="false">IF(BI434="",0,MAX(0,MIN(1,(IF(CG434="L1",Parameter!$H$5,IF(CG434="L23",Parameter!$H$6+Parameter!$H$7,Parameter!$H$5+Parameter!$H$6+Parameter!$H$7))-(BI434-BD434))/BD434)))</f>
        <v>1</v>
      </c>
      <c r="BK434" s="60" t="str">
        <f aca="false">IF(AJ434&lt;=0,"",IF(CG434="Aussen","Aussenlager",IF(CG434="-","Nicht im Lift",IF(AP434&gt;=1,"Lift",IF(AP434&lt;=0,"Aussenlager","teilweise")))))</f>
        <v>Lift</v>
      </c>
      <c r="BL434" s="60" t="str">
        <f aca="false">IF(AT434&lt;=0,"",IF(CG434="Aussen","Aussenlager",IF(CG434="-","Nicht im Lift",IF(AZ434&gt;=1,"Lift",IF(AZ434&lt;=0,"Aussenlager","teilweise")))))</f>
        <v>Lift</v>
      </c>
      <c r="BM434" s="60" t="str">
        <f aca="false">IF(BD434&lt;=0,"",IF(CG434="Aussen","Aussenlager",IF(CG434="-","Nicht im Lift",IF(BJ434&gt;=1,"Lift",IF(BJ434&lt;=0,"Aussenlager","teilweise")))))</f>
        <v>Lift</v>
      </c>
      <c r="BN434" s="60" t="str">
        <f aca="false">IF(A434="","",IF(BW434=1,"Neu; ","")&amp;IF(AND(BW434=0,BR434&lt;0),"negativer Bestand (Export "&amp;BR434&amp;"); ","")&amp;IF(J434&lt;=0,"Kein Verbrauch; ","")&amp;IF(CR434&gt;0,"Lift "&amp;W434&amp;" lt. Liftbericht (Fach "&amp;X434&amp;" Stk); ",IF(CB434=1,"Gebinde geschätzt ("&amp;T434&amp;"); ",IF(CA434=1,"Lose – Tablare geschätzt; ","")))&amp;IF(H434&gt;AW434,"Überbestand "&amp;ROUND(H434-AW434,0)&amp;" Stk / CHF "&amp;ROUND((H434-AW434)*G434,0)&amp;"; ","")&amp;IF(AND(CI434=1,CJ434&lt;CK434),"MAX &lt; MB+LG; ","")&amp;IF(AND(CQ434&gt;0,CP434*10&gt;CQ434),"zu hoch für Tablar; ","")&amp;IF(AND(BW434=0,OR(CI434=1,AB434&lt;&gt;"",U434&lt;&gt;"",V434&lt;&gt;"",AC434&lt;&gt;"")),"manuell übersteuert; ","")&amp;IF(AND(CA434=0,R434=0),"Gebinde unbekannt / Stellmass fehlt; ","")&amp;IF(AND(CA434=0,N(V434)&lt;=0,N(Q434)&lt;=0),"Menge pro Gebinde fehlt (Ist = 1 Gebinde); ","")&amp;BV434)</f>
        <v>Kein Verbrauch; Gebinde geschätzt (Klein); Menge pro Gebinde fehlt (Ist = 1 Gebinde); </v>
      </c>
      <c r="BO434" s="60"/>
      <c r="BP434" s="60"/>
      <c r="BQ434" s="67"/>
      <c r="BR434" s="62" t="n">
        <v>4.91</v>
      </c>
      <c r="BS434" s="62" t="n">
        <v>0</v>
      </c>
      <c r="BT434" s="61" t="n">
        <v>78.81</v>
      </c>
      <c r="BU434" s="62" t="n">
        <v>0</v>
      </c>
      <c r="BV434" s="60"/>
      <c r="BW434" s="65" t="n">
        <v>0</v>
      </c>
      <c r="BX434" s="65" t="n">
        <v>434</v>
      </c>
      <c r="BY434" s="60" t="str">
        <f aca="false">IF(U434&lt;&gt;"",UPPER(TRIM(U434)),IF(CB434=1,UPPER(VLOOKUP(T434,Parameter!$I$27:$K$29,2,0)),IF(P434="","LOSE",P434)))</f>
        <v>S51</v>
      </c>
      <c r="BZ434" s="62" t="n">
        <f aca="false">IF(BY434="LOSE",1,IF(N(V434)&gt;0,V434,IF(CB434=1,MAX(1,N(VLOOKUP(T434,Parameter!$I$27:$K$29,3,0)),H434,N(N434)),IF(N(Q434)&gt;0,Q434,MAX(1,H434)))))</f>
        <v>20</v>
      </c>
      <c r="CA434" s="65" t="n">
        <f aca="false">IF(BY434="LOSE",1,0)</f>
        <v>0</v>
      </c>
      <c r="CB434" s="65" t="n">
        <f aca="false">IF(AND(U434="",OR(P434="",P434="LOSE"),T434&lt;&gt;"",N(S434)&lt;=0,ISNUMBER(MATCH(T434,Parameter!$I$27:$I$29,0))),1,0)</f>
        <v>1</v>
      </c>
      <c r="CC434" s="65" t="n">
        <f aca="false">IF(CR434&gt;0,INDEX(Parameter!$H$5:$H$7,W434)/INDEX(Parameter!$E$5:$E$7,W434),IF(AND(CA434=0,N(IFERROR(VLOOKUP(BY434,'Gebinde-Kategorie'!$A$5:$N$45,14,0),0))&gt;0),VLOOKUP(BY434,'Gebinde-Kategorie'!$A$5:$N$45,14,0)*10+Parameter!$M$23,Parameter!$M$24))</f>
        <v>155</v>
      </c>
      <c r="CD434" s="60" t="str">
        <f aca="false">IF(AND(Parameter!$B$19="Ja",E434&lt;&gt;"",ISNUMBER(MATCH(E434,Parameter!$I$35:$I$52,0))),VLOOKUP(E434,Parameter!$I$35:$J$52,2,0),IFERROR(VLOOKUP(D434,Parameter!$A$35:$C$64,2,0),"Nein"))</f>
        <v>2+3</v>
      </c>
      <c r="CE434" s="64" t="n">
        <f aca="false">IF(CA434=0,0,IF(N(S434)&gt;0,S434,IFERROR(VLOOKUP(D434,Parameter!$A$35:$C$64,3,0)+0,0)))</f>
        <v>0</v>
      </c>
      <c r="CF434" s="60" t="n">
        <f aca="false">IF(AB434&lt;&gt;"",AB434,AA434)</f>
        <v>3</v>
      </c>
      <c r="CG434" s="60" t="str">
        <f aca="false">IF(OR(CF434=1,CF434=2,CF434=3),IF(Parameter!$E$27="Ja","LIFT",IF(CF434=1,"L1","L23")),IF(CF434="Aussen","Aussen","-"))</f>
        <v>LIFT</v>
      </c>
      <c r="CH434" s="71" t="n">
        <f aca="false">IF(N(AC434)&gt;0,AC434,0)</f>
        <v>0</v>
      </c>
      <c r="CI434" s="65" t="n">
        <f aca="false">IF(ISNUMBER(AF434),1,0)</f>
        <v>0</v>
      </c>
      <c r="CJ434" s="62" t="n">
        <f aca="false">N(AF434)</f>
        <v>0</v>
      </c>
      <c r="CK434" s="62" t="n">
        <f aca="false">N(M434)+N(N434)</f>
        <v>6</v>
      </c>
      <c r="CL434" s="62" t="n">
        <f aca="false">N(M434)</f>
        <v>1</v>
      </c>
      <c r="CM434" s="62" t="n">
        <f aca="false">N(N434)</f>
        <v>5</v>
      </c>
      <c r="CN434" s="62" t="n">
        <f aca="false">ROUNDUP(H434/BZ434,0)</f>
        <v>1</v>
      </c>
      <c r="CO434" s="62" t="n">
        <f aca="false">ROUNDUP(CJ434/BZ434,0)</f>
        <v>0</v>
      </c>
      <c r="CP434" s="65" t="n">
        <f aca="false">IF(CA434=1,0,IFERROR(VLOOKUP(BY434,'Gebinde-Kategorie'!$A$5:$N$45,5,0)+0,0))</f>
        <v>11</v>
      </c>
      <c r="CQ434" s="65" t="n">
        <f aca="false">IFERROR(IF(OR(CF434=1,CF434=2,CF434=3),N(INDEX(Parameter!$I$5:$I$7,CF434)),0),0)</f>
        <v>0</v>
      </c>
      <c r="CR434" s="64" t="n">
        <f aca="false">IF(AND(Parameter!$B$21="Ja",ISNUMBER(W434),N(X434)&gt;0),IFERROR(N(INDEX(Parameter!$L$5:$L$7,W434))*INDEX(Parameter!$E$5:$E$7,W434)*X434/SUMIFS($X$7:$X$1843,$W$7:$W$1843,W434),0),0)</f>
        <v>0</v>
      </c>
      <c r="CS434" s="62" t="n">
        <f aca="false">IF(AND(OR(CG434="L1",CG434="L23",CG434="LIFT"),H434&gt;0),CC434*IF(CR434&gt;0,CR434*MAX(1,H434/X434),IF(CA434=1,CE434,IF(R434&gt;0,CN434/R434,0))/MAX(0.1,N(Parameter!$M$21))),"")</f>
        <v>5.96153846153846</v>
      </c>
      <c r="CT434" s="64" t="n">
        <f aca="false">IF(CS434="","",J434/H434)</f>
        <v>0</v>
      </c>
      <c r="CU434" s="62" t="n">
        <f aca="false">IF(CS434="","",H434*G434)</f>
        <v>78.8055</v>
      </c>
      <c r="CV434" s="63" t="n">
        <f aca="false">IF(CS434="","",(CL434+ROUNDUP(CL434+MAX(CM434,2*(J434/MAX(0.1,N(Einkauf!$C$6))-CL434)),0))/2)</f>
        <v>3.5</v>
      </c>
      <c r="CW434" s="62" t="n">
        <f aca="false">IF(CS434="","",MAX(0,H434-CV434)*G434)</f>
        <v>22.6305</v>
      </c>
      <c r="CX434" s="62" t="n">
        <f aca="false">IF(CS434="","",CS434*MAX(0,1-CV434/H434))</f>
        <v>1.71196929343569</v>
      </c>
      <c r="CY434" s="64" t="n">
        <f aca="false">IF(CS434="","",PERCENTRANK($CS$7:$CS$1843,CS434)+PERCENTRANK($CU$7:$CU$1843,CU434)+1-PERCENTRANK($CT$7:$CT$1843,CT434))</f>
        <v>1.552</v>
      </c>
      <c r="CZ434" s="72" t="n">
        <f aca="false">IF(CS434="","",CHOOSE(MATCH(Einkauf!$C$5,Parameter!$G$23:$G$27,0),CY434,CS434,CU434,-CT434,CW434)+ROW()/1000000000)</f>
        <v>1.552000434</v>
      </c>
    </row>
    <row r="435" customFormat="false" ht="15" hidden="false" customHeight="false" outlineLevel="0" collapsed="false">
      <c r="A435" s="60" t="s">
        <v>1036</v>
      </c>
      <c r="B435" s="60" t="s">
        <v>449</v>
      </c>
      <c r="C435" s="60" t="s">
        <v>206</v>
      </c>
      <c r="D435" s="60" t="s">
        <v>1037</v>
      </c>
      <c r="E435" s="60"/>
      <c r="F435" s="60" t="s">
        <v>260</v>
      </c>
      <c r="G435" s="61" t="n">
        <v>1.96</v>
      </c>
      <c r="H435" s="62" t="n">
        <f aca="false">MAX(0,IF(AND(Parameter!$B$21="Ja",ISNUMBER(Y435)),Y435,IF(Parameter!$B$20="Jahresanfang 2025 + Export",BS435+BR435,BR435)))</f>
        <v>40</v>
      </c>
      <c r="I435" s="62" t="n">
        <f aca="false">H435*G435</f>
        <v>78.4</v>
      </c>
      <c r="J435" s="62" t="n">
        <f aca="false">BU435*Parameter!$B$18</f>
        <v>60</v>
      </c>
      <c r="K435" s="63" t="n">
        <v>20</v>
      </c>
      <c r="L435" s="64" t="n">
        <v>3</v>
      </c>
      <c r="M435" s="62" t="n">
        <v>0</v>
      </c>
      <c r="N435" s="62" t="n">
        <v>100</v>
      </c>
      <c r="O435" s="65" t="n">
        <v>28</v>
      </c>
      <c r="P435" s="60" t="s">
        <v>210</v>
      </c>
      <c r="Q435" s="62"/>
      <c r="R435" s="65" t="n">
        <f aca="false">IF(CA435=1,0,IFERROR(VLOOKUP(BY435,'Gebinde-Kategorie'!$A$5:$N$45,13,0)+0,0))</f>
        <v>0</v>
      </c>
      <c r="S435" s="66"/>
      <c r="T435" s="67"/>
      <c r="U435" s="67"/>
      <c r="V435" s="67"/>
      <c r="W435" s="60"/>
      <c r="X435" s="62"/>
      <c r="Y435" s="62"/>
      <c r="Z435" s="60"/>
      <c r="AA435" s="60" t="str">
        <f aca="false">IF(A435="","",IF(AND(Parameter!$B$21="Ja",ISNUMBER(W435)),W435,IF(AND(Parameter!$E$27="Ja",ISNUMBER(Z435),CD435&lt;&gt;"Nein"),Z435,IF(CD435="2+3",IF(ISNUMBER(SEARCH("grosser Artikel",BV435)),2,IFERROR(VLOOKUP(BY435,Parameter!$F$35:$G$64,2,0),2)),IF(OR(CD435="Nein",CD435=""),"-",CD435)))))</f>
        <v>-</v>
      </c>
      <c r="AB435" s="67"/>
      <c r="AC435" s="68"/>
      <c r="AD435" s="62" t="n">
        <f aca="false">AW435</f>
        <v>100</v>
      </c>
      <c r="AE435" s="62" t="n">
        <f aca="false">MAX(AW435,H435)</f>
        <v>100</v>
      </c>
      <c r="AF435" s="69"/>
      <c r="AG435" s="62" t="n">
        <f aca="false">IF(LEFT(Cockpit!$C$5,1)="A",H435,IF(Parameter!$E$30="MAX-Bestand",IF(CI435=1,CJ435,IF(LEFT(Cockpit!$C$5,1)="B",AM435,MAX(AM435,H435))),ROUNDUP(AK435,0)))</f>
        <v>40</v>
      </c>
      <c r="AH435" s="62" t="n">
        <f aca="false">IF(CA435=1,0,ROUNDUP(AG435/BZ435,0))</f>
        <v>0</v>
      </c>
      <c r="AI435" s="64" t="n">
        <f aca="false">IF(CR435&gt;0,CR435*MAX(1,AG435/X435),IF(CA435=1,IF(AG435&lt;=0,0,CE435*MAX(1,IF(H435&gt;0,AG435/H435,1))),IF(R435&gt;0,AH435/R435,0))/MAX(0.1,N(Parameter!$M$21)))</f>
        <v>0.15</v>
      </c>
      <c r="AJ435" s="62" t="n">
        <f aca="false">AI435*CC435</f>
        <v>35.25</v>
      </c>
      <c r="AK435" s="63" t="n">
        <f aca="false">IF(LEFT(Cockpit!$C$5,1)="A",H435,IF(CI435=1,(CL435+CJ435)/2,IF(LEFT(Cockpit!$C$5,1)="B",(CL435+AM435)/2,MAX((CL435+AM435)/2,H435))))</f>
        <v>40</v>
      </c>
      <c r="AL435" s="62" t="n">
        <f aca="false">AK435*G435</f>
        <v>78.4</v>
      </c>
      <c r="AM435" s="62" t="n">
        <f aca="false">ROUNDUP(CL435+MAX(CM435,2*(J435/IF(CH435&gt;0,CH435,MAX(0.1,N(Cockpit!$C$6)))-CL435)),0)</f>
        <v>100</v>
      </c>
      <c r="AN435" s="63" t="n">
        <f aca="false">IF(AJ435&gt;0,J435/AJ435,-1)</f>
        <v>1.70212765957447</v>
      </c>
      <c r="AO435" s="63" t="str">
        <f aca="false">IF(AND(OR(CG435="L1",CG435="L23",CG435="LIFT"),AJ435&gt;0),SUMIFS($AJ$7:$AJ$1843,$CG$7:$CG$1843,CG435,$AN$7:$AN$1843,"&gt;"&amp;AN435)+SUMIFS($AJ$7:$AJ$1843,$CG$7:$CG$1843,CG435,$AN$7:$AN$1843,AN435,$BX$7:$BX$1843,"&lt;="&amp;BX435),"")</f>
        <v/>
      </c>
      <c r="AP435" s="70" t="n">
        <f aca="false">IF(AO435="",0,MAX(0,MIN(1,(IF(CG435="L1",Parameter!$H$5,IF(CG435="L23",Parameter!$H$6+Parameter!$H$7,Parameter!$H$5+Parameter!$H$6+Parameter!$H$7))-(AO435-AJ435))/AJ435)))</f>
        <v>0</v>
      </c>
      <c r="AQ435" s="62" t="n">
        <f aca="false">IF(LEFT(Cockpit!$I$5,1)="A",H435,IF(Parameter!$E$30="MAX-Bestand",IF(CI435=1,CJ435,IF(LEFT(Cockpit!$I$5,1)="B",AW435,MAX(AW435,H435))),ROUNDUP(AU435,0)))</f>
        <v>50</v>
      </c>
      <c r="AR435" s="62" t="n">
        <f aca="false">IF(CA435=1,0,ROUNDUP(AQ435/BZ435,0))</f>
        <v>0</v>
      </c>
      <c r="AS435" s="64" t="n">
        <f aca="false">IF(CR435&gt;0,CR435*MAX(1,AQ435/X435),IF(CA435=1,IF(AQ435&lt;=0,0,CE435*MAX(1,IF(H435&gt;0,AQ435/H435,1))),IF(R435&gt;0,AR435/R435,0))/MAX(0.1,N(Parameter!$M$21)))</f>
        <v>0.1875</v>
      </c>
      <c r="AT435" s="62" t="n">
        <f aca="false">AS435*CC435</f>
        <v>44.0625</v>
      </c>
      <c r="AU435" s="63" t="n">
        <f aca="false">IF(LEFT(Cockpit!$I$5,1)="A",H435,IF(CI435=1,(CL435+CJ435)/2,IF(LEFT(Cockpit!$I$5,1)="B",(CL435+AW435)/2,MAX((CL435+AW435)/2,H435))))</f>
        <v>50</v>
      </c>
      <c r="AV435" s="62" t="n">
        <f aca="false">AU435*G435</f>
        <v>98</v>
      </c>
      <c r="AW435" s="62" t="n">
        <f aca="false">ROUNDUP(CL435+MAX(CM435,2*(J435/IF(CH435&gt;0,CH435,MAX(0.1,N(Cockpit!$I$6)))-CL435)),0)</f>
        <v>100</v>
      </c>
      <c r="AX435" s="63" t="n">
        <f aca="false">IF(AT435&gt;0,J435/AT435,-1)</f>
        <v>1.36170212765957</v>
      </c>
      <c r="AY435" s="63" t="str">
        <f aca="false">IF(AND(OR(CG435="L1",CG435="L23",CG435="LIFT"),AT435&gt;0),SUMIFS($AT$7:$AT$1843,$CG$7:$CG$1843,CG435,$AX$7:$AX$1843,"&gt;"&amp;AX435)+SUMIFS($AT$7:$AT$1843,$CG$7:$CG$1843,CG435,$AX$7:$AX$1843,AX435,$BX$7:$BX$1843,"&lt;="&amp;BX435),"")</f>
        <v/>
      </c>
      <c r="AZ435" s="70" t="n">
        <f aca="false">IF(AY435="",0,MAX(0,MIN(1,(IF(CG435="L1",Parameter!$H$5,IF(CG435="L23",Parameter!$H$6+Parameter!$H$7,Parameter!$H$5+Parameter!$H$6+Parameter!$H$7))-(AY435-AT435))/AT435)))</f>
        <v>0</v>
      </c>
      <c r="BA435" s="62" t="n">
        <f aca="false">IF(LEFT(Cockpit!$O$5,1)="A",H435,IF(Parameter!$E$30="MAX-Bestand",IF(CI435=1,CJ435,IF(LEFT(Cockpit!$O$5,1)="B",BG435,MAX(BG435,H435))),ROUNDUP(BE435,0)))</f>
        <v>50</v>
      </c>
      <c r="BB435" s="62" t="n">
        <f aca="false">IF(CA435=1,0,ROUNDUP(BA435/BZ435,0))</f>
        <v>0</v>
      </c>
      <c r="BC435" s="64" t="n">
        <f aca="false">IF(CR435&gt;0,CR435*MAX(1,BA435/X435),IF(CA435=1,IF(BA435&lt;=0,0,CE435*MAX(1,IF(H435&gt;0,BA435/H435,1))),IF(R435&gt;0,BB435/R435,0))/MAX(0.1,N(Parameter!$M$21)))</f>
        <v>0.1875</v>
      </c>
      <c r="BD435" s="62" t="n">
        <f aca="false">BC435*CC435</f>
        <v>44.0625</v>
      </c>
      <c r="BE435" s="63" t="n">
        <f aca="false">IF(LEFT(Cockpit!$O$5,1)="A",H435,IF(CI435=1,(CL435+CJ435)/2,IF(LEFT(Cockpit!$O$5,1)="B",(CL435+BG435)/2,MAX((CL435+BG435)/2,H435))))</f>
        <v>50</v>
      </c>
      <c r="BF435" s="62" t="n">
        <f aca="false">BE435*G435</f>
        <v>98</v>
      </c>
      <c r="BG435" s="62" t="n">
        <f aca="false">ROUNDUP(CL435+MAX(CM435,2*(J435/IF(CH435&gt;0,CH435,MAX(0.1,N(Cockpit!$O$6)))-CL435)),0)</f>
        <v>100</v>
      </c>
      <c r="BH435" s="63" t="n">
        <f aca="false">IF(BD435&gt;0,J435/BD435,-1)</f>
        <v>1.36170212765957</v>
      </c>
      <c r="BI435" s="63" t="str">
        <f aca="false">IF(AND(OR(CG435="L1",CG435="L23",CG435="LIFT"),BD435&gt;0),SUMIFS($BD$7:$BD$1843,$CG$7:$CG$1843,CG435,$BH$7:$BH$1843,"&gt;"&amp;BH435)+SUMIFS($BD$7:$BD$1843,$CG$7:$CG$1843,CG435,$BH$7:$BH$1843,BH435,$BX$7:$BX$1843,"&lt;="&amp;BX435),"")</f>
        <v/>
      </c>
      <c r="BJ435" s="70" t="n">
        <f aca="false">IF(BI435="",0,MAX(0,MIN(1,(IF(CG435="L1",Parameter!$H$5,IF(CG435="L23",Parameter!$H$6+Parameter!$H$7,Parameter!$H$5+Parameter!$H$6+Parameter!$H$7))-(BI435-BD435))/BD435)))</f>
        <v>0</v>
      </c>
      <c r="BK435" s="60" t="str">
        <f aca="false">IF(AJ435&lt;=0,"",IF(CG435="Aussen","Aussenlager",IF(CG435="-","Nicht im Lift",IF(AP435&gt;=1,"Lift",IF(AP435&lt;=0,"Aussenlager","teilweise")))))</f>
        <v>Nicht im Lift</v>
      </c>
      <c r="BL435" s="60" t="str">
        <f aca="false">IF(AT435&lt;=0,"",IF(CG435="Aussen","Aussenlager",IF(CG435="-","Nicht im Lift",IF(AZ435&gt;=1,"Lift",IF(AZ435&lt;=0,"Aussenlager","teilweise")))))</f>
        <v>Nicht im Lift</v>
      </c>
      <c r="BM435" s="60" t="str">
        <f aca="false">IF(BD435&lt;=0,"",IF(CG435="Aussen","Aussenlager",IF(CG435="-","Nicht im Lift",IF(BJ435&gt;=1,"Lift",IF(BJ435&lt;=0,"Aussenlager","teilweise")))))</f>
        <v>Nicht im Lift</v>
      </c>
      <c r="BN435" s="60" t="str">
        <f aca="false">IF(A435="","",IF(BW435=1,"Neu; ","")&amp;IF(AND(BW435=0,BR435&lt;0),"negativer Bestand (Export "&amp;BR435&amp;"); ","")&amp;IF(J435&lt;=0,"Kein Verbrauch; ","")&amp;IF(CR435&gt;0,"Lift "&amp;W435&amp;" lt. Liftbericht (Fach "&amp;X435&amp;" Stk); ",IF(CB435=1,"Gebinde geschätzt ("&amp;T435&amp;"); ",IF(CA435=1,"Lose – Tablare geschätzt; ","")))&amp;IF(H435&gt;AW435,"Überbestand "&amp;ROUND(H435-AW435,0)&amp;" Stk / CHF "&amp;ROUND((H435-AW435)*G435,0)&amp;"; ","")&amp;IF(AND(CI435=1,CJ435&lt;CK435),"MAX &lt; MB+LG; ","")&amp;IF(AND(CQ435&gt;0,CP435*10&gt;CQ435),"zu hoch für Tablar; ","")&amp;IF(AND(BW435=0,OR(CI435=1,AB435&lt;&gt;"",U435&lt;&gt;"",V435&lt;&gt;"",AC435&lt;&gt;"")),"manuell übersteuert; ","")&amp;IF(AND(CA435=0,R435=0),"Gebinde unbekannt / Stellmass fehlt; ","")&amp;IF(AND(CA435=0,N(V435)&lt;=0,N(Q435)&lt;=0),"Menge pro Gebinde fehlt (Ist = 1 Gebinde); ","")&amp;BV435)</f>
        <v>Lose – Tablare geschätzt; </v>
      </c>
      <c r="BO435" s="60"/>
      <c r="BP435" s="60"/>
      <c r="BQ435" s="67"/>
      <c r="BR435" s="62" t="n">
        <v>40</v>
      </c>
      <c r="BS435" s="62" t="n">
        <v>0</v>
      </c>
      <c r="BT435" s="61" t="n">
        <v>78.4</v>
      </c>
      <c r="BU435" s="62" t="n">
        <v>60</v>
      </c>
      <c r="BV435" s="60"/>
      <c r="BW435" s="65" t="n">
        <v>0</v>
      </c>
      <c r="BX435" s="65" t="n">
        <v>435</v>
      </c>
      <c r="BY435" s="60" t="str">
        <f aca="false">IF(U435&lt;&gt;"",UPPER(TRIM(U435)),IF(CB435=1,UPPER(VLOOKUP(T435,Parameter!$I$27:$K$29,2,0)),IF(P435="","LOSE",P435)))</f>
        <v>LOSE</v>
      </c>
      <c r="BZ435" s="62" t="n">
        <f aca="false">IF(BY435="LOSE",1,IF(N(V435)&gt;0,V435,IF(CB435=1,MAX(1,N(VLOOKUP(T435,Parameter!$I$27:$K$29,3,0)),H435,N(N435)),IF(N(Q435)&gt;0,Q435,MAX(1,H435)))))</f>
        <v>1</v>
      </c>
      <c r="CA435" s="65" t="n">
        <f aca="false">IF(BY435="LOSE",1,0)</f>
        <v>1</v>
      </c>
      <c r="CB435" s="65" t="n">
        <f aca="false">IF(AND(U435="",OR(P435="",P435="LOSE"),T435&lt;&gt;"",N(S435)&lt;=0,ISNUMBER(MATCH(T435,Parameter!$I$27:$I$29,0))),1,0)</f>
        <v>0</v>
      </c>
      <c r="CC435" s="65" t="n">
        <f aca="false">IF(CR435&gt;0,INDEX(Parameter!$H$5:$H$7,W435)/INDEX(Parameter!$E$5:$E$7,W435),IF(AND(CA435=0,N(IFERROR(VLOOKUP(BY435,'Gebinde-Kategorie'!$A$5:$N$45,14,0),0))&gt;0),VLOOKUP(BY435,'Gebinde-Kategorie'!$A$5:$N$45,14,0)*10+Parameter!$M$23,Parameter!$M$24))</f>
        <v>235</v>
      </c>
      <c r="CD435" s="60" t="str">
        <f aca="false">IF(AND(Parameter!$B$19="Ja",E435&lt;&gt;"",ISNUMBER(MATCH(E435,Parameter!$I$35:$I$52,0))),VLOOKUP(E435,Parameter!$I$35:$J$52,2,0),IFERROR(VLOOKUP(D435,Parameter!$A$35:$C$64,2,0),"Nein"))</f>
        <v>Nein</v>
      </c>
      <c r="CE435" s="64" t="n">
        <f aca="false">IF(CA435=0,0,IF(N(S435)&gt;0,S435,IFERROR(VLOOKUP(D435,Parameter!$A$35:$C$64,3,0)+0,0)))</f>
        <v>0.15</v>
      </c>
      <c r="CF435" s="60" t="str">
        <f aca="false">IF(AB435&lt;&gt;"",AB435,AA435)</f>
        <v>-</v>
      </c>
      <c r="CG435" s="60" t="str">
        <f aca="false">IF(OR(CF435=1,CF435=2,CF435=3),IF(Parameter!$E$27="Ja","LIFT",IF(CF435=1,"L1","L23")),IF(CF435="Aussen","Aussen","-"))</f>
        <v>-</v>
      </c>
      <c r="CH435" s="71" t="n">
        <f aca="false">IF(N(AC435)&gt;0,AC435,0)</f>
        <v>0</v>
      </c>
      <c r="CI435" s="65" t="n">
        <f aca="false">IF(ISNUMBER(AF435),1,0)</f>
        <v>0</v>
      </c>
      <c r="CJ435" s="62" t="n">
        <f aca="false">N(AF435)</f>
        <v>0</v>
      </c>
      <c r="CK435" s="62" t="n">
        <f aca="false">N(M435)+N(N435)</f>
        <v>100</v>
      </c>
      <c r="CL435" s="62" t="n">
        <f aca="false">N(M435)</f>
        <v>0</v>
      </c>
      <c r="CM435" s="62" t="n">
        <f aca="false">N(N435)</f>
        <v>100</v>
      </c>
      <c r="CN435" s="62" t="n">
        <f aca="false">ROUNDUP(H435/BZ435,0)</f>
        <v>40</v>
      </c>
      <c r="CO435" s="62" t="n">
        <f aca="false">ROUNDUP(CJ435/BZ435,0)</f>
        <v>0</v>
      </c>
      <c r="CP435" s="65" t="n">
        <f aca="false">IF(CA435=1,0,IFERROR(VLOOKUP(BY435,'Gebinde-Kategorie'!$A$5:$N$45,5,0)+0,0))</f>
        <v>0</v>
      </c>
      <c r="CQ435" s="65" t="n">
        <f aca="false">IFERROR(IF(OR(CF435=1,CF435=2,CF435=3),N(INDEX(Parameter!$I$5:$I$7,CF435)),0),0)</f>
        <v>0</v>
      </c>
      <c r="CR435" s="64" t="n">
        <f aca="false">IF(AND(Parameter!$B$21="Ja",ISNUMBER(W435),N(X435)&gt;0),IFERROR(N(INDEX(Parameter!$L$5:$L$7,W435))*INDEX(Parameter!$E$5:$E$7,W435)*X435/SUMIFS($X$7:$X$1843,$W$7:$W$1843,W435),0),0)</f>
        <v>0</v>
      </c>
      <c r="CS435" s="62" t="str">
        <f aca="false">IF(AND(OR(CG435="L1",CG435="L23",CG435="LIFT"),H435&gt;0),CC435*IF(CR435&gt;0,CR435*MAX(1,H435/X435),IF(CA435=1,CE435,IF(R435&gt;0,CN435/R435,0))/MAX(0.1,N(Parameter!$M$21))),"")</f>
        <v/>
      </c>
      <c r="CT435" s="64" t="str">
        <f aca="false">IF(CS435="","",J435/H435)</f>
        <v/>
      </c>
      <c r="CU435" s="62" t="str">
        <f aca="false">IF(CS435="","",H435*G435)</f>
        <v/>
      </c>
      <c r="CV435" s="63" t="str">
        <f aca="false">IF(CS435="","",(CL435+ROUNDUP(CL435+MAX(CM435,2*(J435/MAX(0.1,N(Einkauf!$C$6))-CL435)),0))/2)</f>
        <v/>
      </c>
      <c r="CW435" s="62" t="str">
        <f aca="false">IF(CS435="","",MAX(0,H435-CV435)*G435)</f>
        <v/>
      </c>
      <c r="CX435" s="62" t="str">
        <f aca="false">IF(CS435="","",CS435*MAX(0,1-CV435/H435))</f>
        <v/>
      </c>
      <c r="CY435" s="64" t="str">
        <f aca="false">IF(CS435="","",PERCENTRANK($CS$7:$CS$1843,CS435)+PERCENTRANK($CU$7:$CU$1843,CU435)+1-PERCENTRANK($CT$7:$CT$1843,CT435))</f>
        <v/>
      </c>
      <c r="CZ435" s="72" t="str">
        <f aca="false">IF(CS435="","",CHOOSE(MATCH(Einkauf!$C$5,Parameter!$G$23:$G$27,0),CY435,CS435,CU435,-CT435,CW435)+ROW()/1000000000)</f>
        <v/>
      </c>
    </row>
    <row r="436" customFormat="false" ht="15" hidden="false" customHeight="false" outlineLevel="0" collapsed="false">
      <c r="A436" s="60" t="s">
        <v>1038</v>
      </c>
      <c r="B436" s="60" t="s">
        <v>897</v>
      </c>
      <c r="C436" s="60" t="s">
        <v>206</v>
      </c>
      <c r="D436" s="60" t="s">
        <v>226</v>
      </c>
      <c r="E436" s="60" t="s">
        <v>227</v>
      </c>
      <c r="F436" s="60" t="s">
        <v>260</v>
      </c>
      <c r="G436" s="61" t="n">
        <v>0.02</v>
      </c>
      <c r="H436" s="62" t="n">
        <f aca="false">MAX(0,IF(AND(Parameter!$B$21="Ja",ISNUMBER(Y436)),Y436,IF(Parameter!$B$20="Jahresanfang 2025 + Export",BS436+BR436,BR436)))</f>
        <v>4000</v>
      </c>
      <c r="I436" s="62" t="n">
        <f aca="false">H436*G436</f>
        <v>80</v>
      </c>
      <c r="J436" s="62" t="n">
        <f aca="false">BU436*Parameter!$B$18</f>
        <v>105</v>
      </c>
      <c r="K436" s="63" t="n">
        <v>52.5</v>
      </c>
      <c r="L436" s="64" t="n">
        <v>2</v>
      </c>
      <c r="M436" s="62" t="n">
        <v>100</v>
      </c>
      <c r="N436" s="62" t="n">
        <v>1000</v>
      </c>
      <c r="O436" s="65" t="n">
        <v>14</v>
      </c>
      <c r="P436" s="60" t="s">
        <v>370</v>
      </c>
      <c r="Q436" s="62" t="n">
        <v>2000</v>
      </c>
      <c r="R436" s="65" t="n">
        <f aca="false">IF(CA436=1,0,IFERROR(VLOOKUP(BY436,'Gebinde-Kategorie'!$A$5:$N$45,13,0)+0,0))</f>
        <v>52</v>
      </c>
      <c r="S436" s="66"/>
      <c r="T436" s="67"/>
      <c r="U436" s="67"/>
      <c r="V436" s="67"/>
      <c r="W436" s="60"/>
      <c r="X436" s="62"/>
      <c r="Y436" s="62"/>
      <c r="Z436" s="60" t="n">
        <v>3</v>
      </c>
      <c r="AA436" s="60" t="n">
        <f aca="false">IF(A436="","",IF(AND(Parameter!$B$21="Ja",ISNUMBER(W436)),W436,IF(AND(Parameter!$E$27="Ja",ISNUMBER(Z436),CD436&lt;&gt;"Nein"),Z436,IF(CD436="2+3",IF(ISNUMBER(SEARCH("grosser Artikel",BV436)),2,IFERROR(VLOOKUP(BY436,Parameter!$F$35:$G$64,2,0),2)),IF(OR(CD436="Nein",CD436=""),"-",CD436)))))</f>
        <v>3</v>
      </c>
      <c r="AB436" s="67"/>
      <c r="AC436" s="68"/>
      <c r="AD436" s="62" t="n">
        <f aca="false">AW436</f>
        <v>1100</v>
      </c>
      <c r="AE436" s="62" t="n">
        <f aca="false">MAX(AW436,H436)</f>
        <v>4000</v>
      </c>
      <c r="AF436" s="69"/>
      <c r="AG436" s="62" t="n">
        <f aca="false">IF(LEFT(Cockpit!$C$5,1)="A",H436,IF(Parameter!$E$30="MAX-Bestand",IF(CI436=1,CJ436,IF(LEFT(Cockpit!$C$5,1)="B",AM436,MAX(AM436,H436))),ROUNDUP(AK436,0)))</f>
        <v>4000</v>
      </c>
      <c r="AH436" s="62" t="n">
        <f aca="false">IF(CA436=1,0,ROUNDUP(AG436/BZ436,0))</f>
        <v>2</v>
      </c>
      <c r="AI436" s="64" t="n">
        <f aca="false">IF(CR436&gt;0,CR436*MAX(1,AG436/X436),IF(CA436=1,IF(AG436&lt;=0,0,CE436*MAX(1,IF(H436&gt;0,AG436/H436,1))),IF(R436&gt;0,AH436/R436,0))/MAX(0.1,N(Parameter!$M$21)))</f>
        <v>0.0384615384615385</v>
      </c>
      <c r="AJ436" s="62" t="n">
        <f aca="false">AI436*CC436</f>
        <v>5.96153846153846</v>
      </c>
      <c r="AK436" s="63" t="n">
        <f aca="false">IF(LEFT(Cockpit!$C$5,1)="A",H436,IF(CI436=1,(CL436+CJ436)/2,IF(LEFT(Cockpit!$C$5,1)="B",(CL436+AM436)/2,MAX((CL436+AM436)/2,H436))))</f>
        <v>4000</v>
      </c>
      <c r="AL436" s="62" t="n">
        <f aca="false">AK436*G436</f>
        <v>80</v>
      </c>
      <c r="AM436" s="62" t="n">
        <f aca="false">ROUNDUP(CL436+MAX(CM436,2*(J436/IF(CH436&gt;0,CH436,MAX(0.1,N(Cockpit!$C$6)))-CL436)),0)</f>
        <v>1100</v>
      </c>
      <c r="AN436" s="63" t="n">
        <f aca="false">IF(AJ436&gt;0,J436/AJ436,-1)</f>
        <v>17.6129032258065</v>
      </c>
      <c r="AO436" s="63" t="n">
        <f aca="false">IF(AND(OR(CG436="L1",CG436="L23",CG436="LIFT"),AJ436&gt;0),SUMIFS($AJ$7:$AJ$1843,$CG$7:$CG$1843,CG436,$AN$7:$AN$1843,"&gt;"&amp;AN436)+SUMIFS($AJ$7:$AJ$1843,$CG$7:$CG$1843,CG436,$AN$7:$AN$1843,AN436,$BX$7:$BX$1843,"&lt;="&amp;BX436),"")</f>
        <v>1949.52518315018</v>
      </c>
      <c r="AP436" s="70" t="n">
        <f aca="false">IF(AO436="",0,MAX(0,MIN(1,(IF(CG436="L1",Parameter!$H$5,IF(CG436="L23",Parameter!$H$6+Parameter!$H$7,Parameter!$H$5+Parameter!$H$6+Parameter!$H$7))-(AO436-AJ436))/AJ436)))</f>
        <v>1</v>
      </c>
      <c r="AQ436" s="62" t="n">
        <f aca="false">IF(LEFT(Cockpit!$I$5,1)="A",H436,IF(Parameter!$E$30="MAX-Bestand",IF(CI436=1,CJ436,IF(LEFT(Cockpit!$I$5,1)="B",AW436,MAX(AW436,H436))),ROUNDUP(AU436,0)))</f>
        <v>4000</v>
      </c>
      <c r="AR436" s="62" t="n">
        <f aca="false">IF(CA436=1,0,ROUNDUP(AQ436/BZ436,0))</f>
        <v>2</v>
      </c>
      <c r="AS436" s="64" t="n">
        <f aca="false">IF(CR436&gt;0,CR436*MAX(1,AQ436/X436),IF(CA436=1,IF(AQ436&lt;=0,0,CE436*MAX(1,IF(H436&gt;0,AQ436/H436,1))),IF(R436&gt;0,AR436/R436,0))/MAX(0.1,N(Parameter!$M$21)))</f>
        <v>0.0384615384615385</v>
      </c>
      <c r="AT436" s="62" t="n">
        <f aca="false">AS436*CC436</f>
        <v>5.96153846153846</v>
      </c>
      <c r="AU436" s="63" t="n">
        <f aca="false">IF(LEFT(Cockpit!$I$5,1)="A",H436,IF(CI436=1,(CL436+CJ436)/2,IF(LEFT(Cockpit!$I$5,1)="B",(CL436+AW436)/2,MAX((CL436+AW436)/2,H436))))</f>
        <v>4000</v>
      </c>
      <c r="AV436" s="62" t="n">
        <f aca="false">AU436*G436</f>
        <v>80</v>
      </c>
      <c r="AW436" s="62" t="n">
        <f aca="false">ROUNDUP(CL436+MAX(CM436,2*(J436/IF(CH436&gt;0,CH436,MAX(0.1,N(Cockpit!$I$6)))-CL436)),0)</f>
        <v>1100</v>
      </c>
      <c r="AX436" s="63" t="n">
        <f aca="false">IF(AT436&gt;0,J436/AT436,-1)</f>
        <v>17.6129032258065</v>
      </c>
      <c r="AY436" s="63" t="n">
        <f aca="false">IF(AND(OR(CG436="L1",CG436="L23",CG436="LIFT"),AT436&gt;0),SUMIFS($AT$7:$AT$1843,$CG$7:$CG$1843,CG436,$AX$7:$AX$1843,"&gt;"&amp;AX436)+SUMIFS($AT$7:$AT$1843,$CG$7:$CG$1843,CG436,$AX$7:$AX$1843,AX436,$BX$7:$BX$1843,"&lt;="&amp;BX436),"")</f>
        <v>2586.64606227106</v>
      </c>
      <c r="AZ436" s="70" t="n">
        <f aca="false">IF(AY436="",0,MAX(0,MIN(1,(IF(CG436="L1",Parameter!$H$5,IF(CG436="L23",Parameter!$H$6+Parameter!$H$7,Parameter!$H$5+Parameter!$H$6+Parameter!$H$7))-(AY436-AT436))/AT436)))</f>
        <v>1</v>
      </c>
      <c r="BA436" s="62" t="n">
        <f aca="false">IF(LEFT(Cockpit!$O$5,1)="A",H436,IF(Parameter!$E$30="MAX-Bestand",IF(CI436=1,CJ436,IF(LEFT(Cockpit!$O$5,1)="B",BG436,MAX(BG436,H436))),ROUNDUP(BE436,0)))</f>
        <v>600</v>
      </c>
      <c r="BB436" s="62" t="n">
        <f aca="false">IF(CA436=1,0,ROUNDUP(BA436/BZ436,0))</f>
        <v>1</v>
      </c>
      <c r="BC436" s="64" t="n">
        <f aca="false">IF(CR436&gt;0,CR436*MAX(1,BA436/X436),IF(CA436=1,IF(BA436&lt;=0,0,CE436*MAX(1,IF(H436&gt;0,BA436/H436,1))),IF(R436&gt;0,BB436/R436,0))/MAX(0.1,N(Parameter!$M$21)))</f>
        <v>0.0192307692307692</v>
      </c>
      <c r="BD436" s="62" t="n">
        <f aca="false">BC436*CC436</f>
        <v>2.98076923076923</v>
      </c>
      <c r="BE436" s="63" t="n">
        <f aca="false">IF(LEFT(Cockpit!$O$5,1)="A",H436,IF(CI436=1,(CL436+CJ436)/2,IF(LEFT(Cockpit!$O$5,1)="B",(CL436+BG436)/2,MAX((CL436+BG436)/2,H436))))</f>
        <v>600</v>
      </c>
      <c r="BF436" s="62" t="n">
        <f aca="false">BE436*G436</f>
        <v>12</v>
      </c>
      <c r="BG436" s="62" t="n">
        <f aca="false">ROUNDUP(CL436+MAX(CM436,2*(J436/IF(CH436&gt;0,CH436,MAX(0.1,N(Cockpit!$O$6)))-CL436)),0)</f>
        <v>1100</v>
      </c>
      <c r="BH436" s="63" t="n">
        <f aca="false">IF(BD436&gt;0,J436/BD436,-1)</f>
        <v>35.2258064516129</v>
      </c>
      <c r="BI436" s="63" t="n">
        <f aca="false">IF(AND(OR(CG436="L1",CG436="L23",CG436="LIFT"),BD436&gt;0),SUMIFS($BD$7:$BD$1843,$CG$7:$CG$1843,CG436,$BH$7:$BH$1843,"&gt;"&amp;BH436)+SUMIFS($BD$7:$BD$1843,$CG$7:$CG$1843,CG436,$BH$7:$BH$1843,BH436,$BX$7:$BX$1843,"&lt;="&amp;BX436),"")</f>
        <v>1535.80128205128</v>
      </c>
      <c r="BJ436" s="70" t="n">
        <f aca="false">IF(BI436="",0,MAX(0,MIN(1,(IF(CG436="L1",Parameter!$H$5,IF(CG436="L23",Parameter!$H$6+Parameter!$H$7,Parameter!$H$5+Parameter!$H$6+Parameter!$H$7))-(BI436-BD436))/BD436)))</f>
        <v>1</v>
      </c>
      <c r="BK436" s="60" t="str">
        <f aca="false">IF(AJ436&lt;=0,"",IF(CG436="Aussen","Aussenlager",IF(CG436="-","Nicht im Lift",IF(AP436&gt;=1,"Lift",IF(AP436&lt;=0,"Aussenlager","teilweise")))))</f>
        <v>Lift</v>
      </c>
      <c r="BL436" s="60" t="str">
        <f aca="false">IF(AT436&lt;=0,"",IF(CG436="Aussen","Aussenlager",IF(CG436="-","Nicht im Lift",IF(AZ436&gt;=1,"Lift",IF(AZ436&lt;=0,"Aussenlager","teilweise")))))</f>
        <v>Lift</v>
      </c>
      <c r="BM436" s="60" t="str">
        <f aca="false">IF(BD436&lt;=0,"",IF(CG436="Aussen","Aussenlager",IF(CG436="-","Nicht im Lift",IF(BJ436&gt;=1,"Lift",IF(BJ436&lt;=0,"Aussenlager","teilweise")))))</f>
        <v>Lift</v>
      </c>
      <c r="BN436" s="60" t="str">
        <f aca="false">IF(A436="","",IF(BW436=1,"Neu; ","")&amp;IF(AND(BW436=0,BR436&lt;0),"negativer Bestand (Export "&amp;BR436&amp;"); ","")&amp;IF(J436&lt;=0,"Kein Verbrauch; ","")&amp;IF(CR436&gt;0,"Lift "&amp;W436&amp;" lt. Liftbericht (Fach "&amp;X436&amp;" Stk); ",IF(CB436=1,"Gebinde geschätzt ("&amp;T436&amp;"); ",IF(CA436=1,"Lose – Tablare geschätzt; ","")))&amp;IF(H436&gt;AW436,"Überbestand "&amp;ROUND(H436-AW436,0)&amp;" Stk / CHF "&amp;ROUND((H436-AW436)*G436,0)&amp;"; ","")&amp;IF(AND(CI436=1,CJ436&lt;CK436),"MAX &lt; MB+LG; ","")&amp;IF(AND(CQ436&gt;0,CP436*10&gt;CQ436),"zu hoch für Tablar; ","")&amp;IF(AND(BW436=0,OR(CI436=1,AB436&lt;&gt;"",U436&lt;&gt;"",V436&lt;&gt;"",AC436&lt;&gt;"")),"manuell übersteuert; ","")&amp;IF(AND(CA436=0,R436=0),"Gebinde unbekannt / Stellmass fehlt; ","")&amp;IF(AND(CA436=0,N(V436)&lt;=0,N(Q436)&lt;=0),"Menge pro Gebinde fehlt (Ist = 1 Gebinde); ","")&amp;BV436)</f>
        <v>Überbestand 2900 Stk / CHF 58; </v>
      </c>
      <c r="BO436" s="60"/>
      <c r="BP436" s="60"/>
      <c r="BQ436" s="67"/>
      <c r="BR436" s="62" t="n">
        <v>3895</v>
      </c>
      <c r="BS436" s="62" t="n">
        <v>105</v>
      </c>
      <c r="BT436" s="61" t="n">
        <v>77.9</v>
      </c>
      <c r="BU436" s="62" t="n">
        <v>105</v>
      </c>
      <c r="BV436" s="60"/>
      <c r="BW436" s="65" t="n">
        <v>0</v>
      </c>
      <c r="BX436" s="65" t="n">
        <v>436</v>
      </c>
      <c r="BY436" s="60" t="str">
        <f aca="false">IF(U436&lt;&gt;"",UPPER(TRIM(U436)),IF(CB436=1,UPPER(VLOOKUP(T436,Parameter!$I$27:$K$29,2,0)),IF(P436="","LOSE",P436)))</f>
        <v>S41</v>
      </c>
      <c r="BZ436" s="62" t="n">
        <f aca="false">IF(BY436="LOSE",1,IF(N(V436)&gt;0,V436,IF(CB436=1,MAX(1,N(VLOOKUP(T436,Parameter!$I$27:$K$29,3,0)),H436,N(N436)),IF(N(Q436)&gt;0,Q436,MAX(1,H436)))))</f>
        <v>2000</v>
      </c>
      <c r="CA436" s="65" t="n">
        <f aca="false">IF(BY436="LOSE",1,0)</f>
        <v>0</v>
      </c>
      <c r="CB436" s="65" t="n">
        <f aca="false">IF(AND(U436="",OR(P436="",P436="LOSE"),T436&lt;&gt;"",N(S436)&lt;=0,ISNUMBER(MATCH(T436,Parameter!$I$27:$I$29,0))),1,0)</f>
        <v>0</v>
      </c>
      <c r="CC436" s="65" t="n">
        <f aca="false">IF(CR436&gt;0,INDEX(Parameter!$H$5:$H$7,W436)/INDEX(Parameter!$E$5:$E$7,W436),IF(AND(CA436=0,N(IFERROR(VLOOKUP(BY436,'Gebinde-Kategorie'!$A$5:$N$45,14,0),0))&gt;0),VLOOKUP(BY436,'Gebinde-Kategorie'!$A$5:$N$45,14,0)*10+Parameter!$M$23,Parameter!$M$24))</f>
        <v>155</v>
      </c>
      <c r="CD436" s="60" t="str">
        <f aca="false">IF(AND(Parameter!$B$19="Ja",E436&lt;&gt;"",ISNUMBER(MATCH(E436,Parameter!$I$35:$I$52,0))),VLOOKUP(E436,Parameter!$I$35:$J$52,2,0),IFERROR(VLOOKUP(D436,Parameter!$A$35:$C$64,2,0),"Nein"))</f>
        <v>2+3</v>
      </c>
      <c r="CE436" s="64" t="n">
        <f aca="false">IF(CA436=0,0,IF(N(S436)&gt;0,S436,IFERROR(VLOOKUP(D436,Parameter!$A$35:$C$64,3,0)+0,0)))</f>
        <v>0</v>
      </c>
      <c r="CF436" s="60" t="n">
        <f aca="false">IF(AB436&lt;&gt;"",AB436,AA436)</f>
        <v>3</v>
      </c>
      <c r="CG436" s="60" t="str">
        <f aca="false">IF(OR(CF436=1,CF436=2,CF436=3),IF(Parameter!$E$27="Ja","LIFT",IF(CF436=1,"L1","L23")),IF(CF436="Aussen","Aussen","-"))</f>
        <v>LIFT</v>
      </c>
      <c r="CH436" s="71" t="n">
        <f aca="false">IF(N(AC436)&gt;0,AC436,0)</f>
        <v>0</v>
      </c>
      <c r="CI436" s="65" t="n">
        <f aca="false">IF(ISNUMBER(AF436),1,0)</f>
        <v>0</v>
      </c>
      <c r="CJ436" s="62" t="n">
        <f aca="false">N(AF436)</f>
        <v>0</v>
      </c>
      <c r="CK436" s="62" t="n">
        <f aca="false">N(M436)+N(N436)</f>
        <v>1100</v>
      </c>
      <c r="CL436" s="62" t="n">
        <f aca="false">N(M436)</f>
        <v>100</v>
      </c>
      <c r="CM436" s="62" t="n">
        <f aca="false">N(N436)</f>
        <v>1000</v>
      </c>
      <c r="CN436" s="62" t="n">
        <f aca="false">ROUNDUP(H436/BZ436,0)</f>
        <v>2</v>
      </c>
      <c r="CO436" s="62" t="n">
        <f aca="false">ROUNDUP(CJ436/BZ436,0)</f>
        <v>0</v>
      </c>
      <c r="CP436" s="65" t="n">
        <f aca="false">IF(CA436=1,0,IFERROR(VLOOKUP(BY436,'Gebinde-Kategorie'!$A$5:$N$45,5,0)+0,0))</f>
        <v>11</v>
      </c>
      <c r="CQ436" s="65" t="n">
        <f aca="false">IFERROR(IF(OR(CF436=1,CF436=2,CF436=3),N(INDEX(Parameter!$I$5:$I$7,CF436)),0),0)</f>
        <v>0</v>
      </c>
      <c r="CR436" s="64" t="n">
        <f aca="false">IF(AND(Parameter!$B$21="Ja",ISNUMBER(W436),N(X436)&gt;0),IFERROR(N(INDEX(Parameter!$L$5:$L$7,W436))*INDEX(Parameter!$E$5:$E$7,W436)*X436/SUMIFS($X$7:$X$1843,$W$7:$W$1843,W436),0),0)</f>
        <v>0</v>
      </c>
      <c r="CS436" s="62" t="n">
        <f aca="false">IF(AND(OR(CG436="L1",CG436="L23",CG436="LIFT"),H436&gt;0),CC436*IF(CR436&gt;0,CR436*MAX(1,H436/X436),IF(CA436=1,CE436,IF(R436&gt;0,CN436/R436,0))/MAX(0.1,N(Parameter!$M$21))),"")</f>
        <v>5.96153846153846</v>
      </c>
      <c r="CT436" s="64" t="n">
        <f aca="false">IF(CS436="","",J436/H436)</f>
        <v>0.02625</v>
      </c>
      <c r="CU436" s="62" t="n">
        <f aca="false">IF(CS436="","",H436*G436)</f>
        <v>80</v>
      </c>
      <c r="CV436" s="63" t="n">
        <f aca="false">IF(CS436="","",(CL436+ROUNDUP(CL436+MAX(CM436,2*(J436/MAX(0.1,N(Einkauf!$C$6))-CL436)),0))/2)</f>
        <v>600</v>
      </c>
      <c r="CW436" s="62" t="n">
        <f aca="false">IF(CS436="","",MAX(0,H436-CV436)*G436)</f>
        <v>68</v>
      </c>
      <c r="CX436" s="62" t="n">
        <f aca="false">IF(CS436="","",CS436*MAX(0,1-CV436/H436))</f>
        <v>5.06730769230769</v>
      </c>
      <c r="CY436" s="64" t="n">
        <f aca="false">IF(CS436="","",PERCENTRANK($CS$7:$CS$1843,CS436)+PERCENTRANK($CU$7:$CU$1843,CU436)+1-PERCENTRANK($CT$7:$CT$1843,CT436))</f>
        <v>1.165</v>
      </c>
      <c r="CZ436" s="72" t="n">
        <f aca="false">IF(CS436="","",CHOOSE(MATCH(Einkauf!$C$5,Parameter!$G$23:$G$27,0),CY436,CS436,CU436,-CT436,CW436)+ROW()/1000000000)</f>
        <v>1.165000436</v>
      </c>
    </row>
    <row r="437" customFormat="false" ht="15" hidden="false" customHeight="false" outlineLevel="0" collapsed="false">
      <c r="A437" s="60" t="s">
        <v>1039</v>
      </c>
      <c r="B437" s="60" t="s">
        <v>1040</v>
      </c>
      <c r="C437" s="60" t="s">
        <v>206</v>
      </c>
      <c r="D437" s="60" t="s">
        <v>226</v>
      </c>
      <c r="E437" s="60" t="s">
        <v>227</v>
      </c>
      <c r="F437" s="60" t="s">
        <v>260</v>
      </c>
      <c r="G437" s="61" t="n">
        <v>13.18</v>
      </c>
      <c r="H437" s="62" t="n">
        <f aca="false">MAX(0,IF(AND(Parameter!$B$21="Ja",ISNUMBER(Y437)),Y437,IF(Parameter!$B$20="Jahresanfang 2025 + Export",BS437+BR437,BR437)))</f>
        <v>25</v>
      </c>
      <c r="I437" s="62" t="n">
        <f aca="false">H437*G437</f>
        <v>329.5</v>
      </c>
      <c r="J437" s="62" t="n">
        <f aca="false">BU437*Parameter!$B$18</f>
        <v>30</v>
      </c>
      <c r="K437" s="63" t="n">
        <v>27</v>
      </c>
      <c r="L437" s="64" t="n">
        <v>1.11111111111111</v>
      </c>
      <c r="M437" s="62" t="n">
        <v>2</v>
      </c>
      <c r="N437" s="62" t="n">
        <v>30</v>
      </c>
      <c r="O437" s="65" t="n">
        <v>35</v>
      </c>
      <c r="P437" s="60" t="s">
        <v>228</v>
      </c>
      <c r="Q437" s="62" t="n">
        <v>25</v>
      </c>
      <c r="R437" s="65" t="n">
        <f aca="false">IF(CA437=1,0,IFERROR(VLOOKUP(BY437,'Gebinde-Kategorie'!$A$5:$N$45,13,0)+0,0))</f>
        <v>12</v>
      </c>
      <c r="S437" s="66"/>
      <c r="T437" s="67"/>
      <c r="U437" s="67"/>
      <c r="V437" s="67"/>
      <c r="W437" s="60"/>
      <c r="X437" s="62"/>
      <c r="Y437" s="62"/>
      <c r="Z437" s="60" t="n">
        <v>3</v>
      </c>
      <c r="AA437" s="60" t="n">
        <f aca="false">IF(A437="","",IF(AND(Parameter!$B$21="Ja",ISNUMBER(W437)),W437,IF(AND(Parameter!$E$27="Ja",ISNUMBER(Z437),CD437&lt;&gt;"Nein"),Z437,IF(CD437="2+3",IF(ISNUMBER(SEARCH("grosser Artikel",BV437)),2,IFERROR(VLOOKUP(BY437,Parameter!$F$35:$G$64,2,0),2)),IF(OR(CD437="Nein",CD437=""),"-",CD437)))))</f>
        <v>3</v>
      </c>
      <c r="AB437" s="67"/>
      <c r="AC437" s="68"/>
      <c r="AD437" s="62" t="n">
        <f aca="false">AW437</f>
        <v>32</v>
      </c>
      <c r="AE437" s="62" t="n">
        <f aca="false">MAX(AW437,H437)</f>
        <v>32</v>
      </c>
      <c r="AF437" s="69"/>
      <c r="AG437" s="62" t="n">
        <f aca="false">IF(LEFT(Cockpit!$C$5,1)="A",H437,IF(Parameter!$E$30="MAX-Bestand",IF(CI437=1,CJ437,IF(LEFT(Cockpit!$C$5,1)="B",AM437,MAX(AM437,H437))),ROUNDUP(AK437,0)))</f>
        <v>25</v>
      </c>
      <c r="AH437" s="62" t="n">
        <f aca="false">IF(CA437=1,0,ROUNDUP(AG437/BZ437,0))</f>
        <v>1</v>
      </c>
      <c r="AI437" s="64" t="n">
        <f aca="false">IF(CR437&gt;0,CR437*MAX(1,AG437/X437),IF(CA437=1,IF(AG437&lt;=0,0,CE437*MAX(1,IF(H437&gt;0,AG437/H437,1))),IF(R437&gt;0,AH437/R437,0))/MAX(0.1,N(Parameter!$M$21)))</f>
        <v>0.0833333333333333</v>
      </c>
      <c r="AJ437" s="62" t="n">
        <f aca="false">AI437*CC437</f>
        <v>12.0833333333333</v>
      </c>
      <c r="AK437" s="63" t="n">
        <f aca="false">IF(LEFT(Cockpit!$C$5,1)="A",H437,IF(CI437=1,(CL437+CJ437)/2,IF(LEFT(Cockpit!$C$5,1)="B",(CL437+AM437)/2,MAX((CL437+AM437)/2,H437))))</f>
        <v>25</v>
      </c>
      <c r="AL437" s="62" t="n">
        <f aca="false">AK437*G437</f>
        <v>329.5</v>
      </c>
      <c r="AM437" s="62" t="n">
        <f aca="false">ROUNDUP(CL437+MAX(CM437,2*(J437/IF(CH437&gt;0,CH437,MAX(0.1,N(Cockpit!$C$6)))-CL437)),0)</f>
        <v>32</v>
      </c>
      <c r="AN437" s="63" t="n">
        <f aca="false">IF(AJ437&gt;0,J437/AJ437,-1)</f>
        <v>2.48275862068966</v>
      </c>
      <c r="AO437" s="63" t="n">
        <f aca="false">IF(AND(OR(CG437="L1",CG437="L23",CG437="LIFT"),AJ437&gt;0),SUMIFS($AJ$7:$AJ$1843,$CG$7:$CG$1843,CG437,$AN$7:$AN$1843,"&gt;"&amp;AN437)+SUMIFS($AJ$7:$AJ$1843,$CG$7:$CG$1843,CG437,$AN$7:$AN$1843,AN437,$BX$7:$BX$1843,"&lt;="&amp;BX437),"")</f>
        <v>5452.41620879121</v>
      </c>
      <c r="AP437" s="70" t="n">
        <f aca="false">IF(AO437="",0,MAX(0,MIN(1,(IF(CG437="L1",Parameter!$H$5,IF(CG437="L23",Parameter!$H$6+Parameter!$H$7,Parameter!$H$5+Parameter!$H$6+Parameter!$H$7))-(AO437-AJ437))/AJ437)))</f>
        <v>1</v>
      </c>
      <c r="AQ437" s="62" t="n">
        <f aca="false">IF(LEFT(Cockpit!$I$5,1)="A",H437,IF(Parameter!$E$30="MAX-Bestand",IF(CI437=1,CJ437,IF(LEFT(Cockpit!$I$5,1)="B",AW437,MAX(AW437,H437))),ROUNDUP(AU437,0)))</f>
        <v>25</v>
      </c>
      <c r="AR437" s="62" t="n">
        <f aca="false">IF(CA437=1,0,ROUNDUP(AQ437/BZ437,0))</f>
        <v>1</v>
      </c>
      <c r="AS437" s="64" t="n">
        <f aca="false">IF(CR437&gt;0,CR437*MAX(1,AQ437/X437),IF(CA437=1,IF(AQ437&lt;=0,0,CE437*MAX(1,IF(H437&gt;0,AQ437/H437,1))),IF(R437&gt;0,AR437/R437,0))/MAX(0.1,N(Parameter!$M$21)))</f>
        <v>0.0833333333333333</v>
      </c>
      <c r="AT437" s="62" t="n">
        <f aca="false">AS437*CC437</f>
        <v>12.0833333333333</v>
      </c>
      <c r="AU437" s="63" t="n">
        <f aca="false">IF(LEFT(Cockpit!$I$5,1)="A",H437,IF(CI437=1,(CL437+CJ437)/2,IF(LEFT(Cockpit!$I$5,1)="B",(CL437+AW437)/2,MAX((CL437+AW437)/2,H437))))</f>
        <v>25</v>
      </c>
      <c r="AV437" s="62" t="n">
        <f aca="false">AU437*G437</f>
        <v>329.5</v>
      </c>
      <c r="AW437" s="62" t="n">
        <f aca="false">ROUNDUP(CL437+MAX(CM437,2*(J437/IF(CH437&gt;0,CH437,MAX(0.1,N(Cockpit!$I$6)))-CL437)),0)</f>
        <v>32</v>
      </c>
      <c r="AX437" s="63" t="n">
        <f aca="false">IF(AT437&gt;0,J437/AT437,-1)</f>
        <v>2.48275862068966</v>
      </c>
      <c r="AY437" s="63" t="n">
        <f aca="false">IF(AND(OR(CG437="L1",CG437="L23",CG437="LIFT"),AT437&gt;0),SUMIFS($AT$7:$AT$1843,$CG$7:$CG$1843,CG437,$AX$7:$AX$1843,"&gt;"&amp;AX437)+SUMIFS($AT$7:$AT$1843,$CG$7:$CG$1843,CG437,$AX$7:$AX$1843,AX437,$BX$7:$BX$1843,"&lt;="&amp;BX437),"")</f>
        <v>6225.64423076923</v>
      </c>
      <c r="AZ437" s="70" t="n">
        <f aca="false">IF(AY437="",0,MAX(0,MIN(1,(IF(CG437="L1",Parameter!$H$5,IF(CG437="L23",Parameter!$H$6+Parameter!$H$7,Parameter!$H$5+Parameter!$H$6+Parameter!$H$7))-(AY437-AT437))/AT437)))</f>
        <v>1</v>
      </c>
      <c r="BA437" s="62" t="n">
        <f aca="false">IF(LEFT(Cockpit!$O$5,1)="A",H437,IF(Parameter!$E$30="MAX-Bestand",IF(CI437=1,CJ437,IF(LEFT(Cockpit!$O$5,1)="B",BG437,MAX(BG437,H437))),ROUNDUP(BE437,0)))</f>
        <v>17</v>
      </c>
      <c r="BB437" s="62" t="n">
        <f aca="false">IF(CA437=1,0,ROUNDUP(BA437/BZ437,0))</f>
        <v>1</v>
      </c>
      <c r="BC437" s="64" t="n">
        <f aca="false">IF(CR437&gt;0,CR437*MAX(1,BA437/X437),IF(CA437=1,IF(BA437&lt;=0,0,CE437*MAX(1,IF(H437&gt;0,BA437/H437,1))),IF(R437&gt;0,BB437/R437,0))/MAX(0.1,N(Parameter!$M$21)))</f>
        <v>0.0833333333333333</v>
      </c>
      <c r="BD437" s="62" t="n">
        <f aca="false">BC437*CC437</f>
        <v>12.0833333333333</v>
      </c>
      <c r="BE437" s="63" t="n">
        <f aca="false">IF(LEFT(Cockpit!$O$5,1)="A",H437,IF(CI437=1,(CL437+CJ437)/2,IF(LEFT(Cockpit!$O$5,1)="B",(CL437+BG437)/2,MAX((CL437+BG437)/2,H437))))</f>
        <v>17</v>
      </c>
      <c r="BF437" s="62" t="n">
        <f aca="false">BE437*G437</f>
        <v>224.06</v>
      </c>
      <c r="BG437" s="62" t="n">
        <f aca="false">ROUNDUP(CL437+MAX(CM437,2*(J437/IF(CH437&gt;0,CH437,MAX(0.1,N(Cockpit!$O$6)))-CL437)),0)</f>
        <v>32</v>
      </c>
      <c r="BH437" s="63" t="n">
        <f aca="false">IF(BD437&gt;0,J437/BD437,-1)</f>
        <v>2.48275862068966</v>
      </c>
      <c r="BI437" s="63" t="n">
        <f aca="false">IF(AND(OR(CG437="L1",CG437="L23",CG437="LIFT"),BD437&gt;0),SUMIFS($BD$7:$BD$1843,$CG$7:$CG$1843,CG437,$BH$7:$BH$1843,"&gt;"&amp;BH437)+SUMIFS($BD$7:$BD$1843,$CG$7:$CG$1843,CG437,$BH$7:$BH$1843,BH437,$BX$7:$BX$1843,"&lt;="&amp;BX437),"")</f>
        <v>5382.83333333333</v>
      </c>
      <c r="BJ437" s="70" t="n">
        <f aca="false">IF(BI437="",0,MAX(0,MIN(1,(IF(CG437="L1",Parameter!$H$5,IF(CG437="L23",Parameter!$H$6+Parameter!$H$7,Parameter!$H$5+Parameter!$H$6+Parameter!$H$7))-(BI437-BD437))/BD437)))</f>
        <v>1</v>
      </c>
      <c r="BK437" s="60" t="str">
        <f aca="false">IF(AJ437&lt;=0,"",IF(CG437="Aussen","Aussenlager",IF(CG437="-","Nicht im Lift",IF(AP437&gt;=1,"Lift",IF(AP437&lt;=0,"Aussenlager","teilweise")))))</f>
        <v>Lift</v>
      </c>
      <c r="BL437" s="60" t="str">
        <f aca="false">IF(AT437&lt;=0,"",IF(CG437="Aussen","Aussenlager",IF(CG437="-","Nicht im Lift",IF(AZ437&gt;=1,"Lift",IF(AZ437&lt;=0,"Aussenlager","teilweise")))))</f>
        <v>Lift</v>
      </c>
      <c r="BM437" s="60" t="str">
        <f aca="false">IF(BD437&lt;=0,"",IF(CG437="Aussen","Aussenlager",IF(CG437="-","Nicht im Lift",IF(BJ437&gt;=1,"Lift",IF(BJ437&lt;=0,"Aussenlager","teilweise")))))</f>
        <v>Lift</v>
      </c>
      <c r="BN437" s="60" t="str">
        <f aca="false">IF(A437="","",IF(BW437=1,"Neu; ","")&amp;IF(AND(BW437=0,BR437&lt;0),"negativer Bestand (Export "&amp;BR437&amp;"); ","")&amp;IF(J437&lt;=0,"Kein Verbrauch; ","")&amp;IF(CR437&gt;0,"Lift "&amp;W437&amp;" lt. Liftbericht (Fach "&amp;X437&amp;" Stk); ",IF(CB437=1,"Gebinde geschätzt ("&amp;T437&amp;"); ",IF(CA437=1,"Lose – Tablare geschätzt; ","")))&amp;IF(H437&gt;AW437,"Überbestand "&amp;ROUND(H437-AW437,0)&amp;" Stk / CHF "&amp;ROUND((H437-AW437)*G437,0)&amp;"; ","")&amp;IF(AND(CI437=1,CJ437&lt;CK437),"MAX &lt; MB+LG; ","")&amp;IF(AND(CQ437&gt;0,CP437*10&gt;CQ437),"zu hoch für Tablar; ","")&amp;IF(AND(BW437=0,OR(CI437=1,AB437&lt;&gt;"",U437&lt;&gt;"",V437&lt;&gt;"",AC437&lt;&gt;"")),"manuell übersteuert; ","")&amp;IF(AND(CA437=0,R437=0),"Gebinde unbekannt / Stellmass fehlt; ","")&amp;IF(AND(CA437=0,N(V437)&lt;=0,N(Q437)&lt;=0),"Menge pro Gebinde fehlt (Ist = 1 Gebinde); ","")&amp;BV437)</f>
        <v/>
      </c>
      <c r="BO437" s="60"/>
      <c r="BP437" s="60"/>
      <c r="BQ437" s="67"/>
      <c r="BR437" s="62" t="n">
        <v>5</v>
      </c>
      <c r="BS437" s="62" t="n">
        <v>20</v>
      </c>
      <c r="BT437" s="61" t="n">
        <v>77.5</v>
      </c>
      <c r="BU437" s="62" t="n">
        <v>30</v>
      </c>
      <c r="BV437" s="60"/>
      <c r="BW437" s="65" t="n">
        <v>0</v>
      </c>
      <c r="BX437" s="65" t="n">
        <v>437</v>
      </c>
      <c r="BY437" s="60" t="str">
        <f aca="false">IF(U437&lt;&gt;"",UPPER(TRIM(U437)),IF(CB437=1,UPPER(VLOOKUP(T437,Parameter!$I$27:$K$29,2,0)),IF(P437="","LOSE",P437)))</f>
        <v>S61</v>
      </c>
      <c r="BZ437" s="62" t="n">
        <f aca="false">IF(BY437="LOSE",1,IF(N(V437)&gt;0,V437,IF(CB437=1,MAX(1,N(VLOOKUP(T437,Parameter!$I$27:$K$29,3,0)),H437,N(N437)),IF(N(Q437)&gt;0,Q437,MAX(1,H437)))))</f>
        <v>25</v>
      </c>
      <c r="CA437" s="65" t="n">
        <f aca="false">IF(BY437="LOSE",1,0)</f>
        <v>0</v>
      </c>
      <c r="CB437" s="65" t="n">
        <f aca="false">IF(AND(U437="",OR(P437="",P437="LOSE"),T437&lt;&gt;"",N(S437)&lt;=0,ISNUMBER(MATCH(T437,Parameter!$I$27:$I$29,0))),1,0)</f>
        <v>0</v>
      </c>
      <c r="CC437" s="65" t="n">
        <f aca="false">IF(CR437&gt;0,INDEX(Parameter!$H$5:$H$7,W437)/INDEX(Parameter!$E$5:$E$7,W437),IF(AND(CA437=0,N(IFERROR(VLOOKUP(BY437,'Gebinde-Kategorie'!$A$5:$N$45,14,0),0))&gt;0),VLOOKUP(BY437,'Gebinde-Kategorie'!$A$5:$N$45,14,0)*10+Parameter!$M$23,Parameter!$M$24))</f>
        <v>145</v>
      </c>
      <c r="CD437" s="60" t="str">
        <f aca="false">IF(AND(Parameter!$B$19="Ja",E437&lt;&gt;"",ISNUMBER(MATCH(E437,Parameter!$I$35:$I$52,0))),VLOOKUP(E437,Parameter!$I$35:$J$52,2,0),IFERROR(VLOOKUP(D437,Parameter!$A$35:$C$64,2,0),"Nein"))</f>
        <v>2+3</v>
      </c>
      <c r="CE437" s="64" t="n">
        <f aca="false">IF(CA437=0,0,IF(N(S437)&gt;0,S437,IFERROR(VLOOKUP(D437,Parameter!$A$35:$C$64,3,0)+0,0)))</f>
        <v>0</v>
      </c>
      <c r="CF437" s="60" t="n">
        <f aca="false">IF(AB437&lt;&gt;"",AB437,AA437)</f>
        <v>3</v>
      </c>
      <c r="CG437" s="60" t="str">
        <f aca="false">IF(OR(CF437=1,CF437=2,CF437=3),IF(Parameter!$E$27="Ja","LIFT",IF(CF437=1,"L1","L23")),IF(CF437="Aussen","Aussen","-"))</f>
        <v>LIFT</v>
      </c>
      <c r="CH437" s="71" t="n">
        <f aca="false">IF(N(AC437)&gt;0,AC437,0)</f>
        <v>0</v>
      </c>
      <c r="CI437" s="65" t="n">
        <f aca="false">IF(ISNUMBER(AF437),1,0)</f>
        <v>0</v>
      </c>
      <c r="CJ437" s="62" t="n">
        <f aca="false">N(AF437)</f>
        <v>0</v>
      </c>
      <c r="CK437" s="62" t="n">
        <f aca="false">N(M437)+N(N437)</f>
        <v>32</v>
      </c>
      <c r="CL437" s="62" t="n">
        <f aca="false">N(M437)</f>
        <v>2</v>
      </c>
      <c r="CM437" s="62" t="n">
        <f aca="false">N(N437)</f>
        <v>30</v>
      </c>
      <c r="CN437" s="62" t="n">
        <f aca="false">ROUNDUP(H437/BZ437,0)</f>
        <v>1</v>
      </c>
      <c r="CO437" s="62" t="n">
        <f aca="false">ROUNDUP(CJ437/BZ437,0)</f>
        <v>0</v>
      </c>
      <c r="CP437" s="65" t="n">
        <f aca="false">IF(CA437=1,0,IFERROR(VLOOKUP(BY437,'Gebinde-Kategorie'!$A$5:$N$45,5,0)+0,0))</f>
        <v>11</v>
      </c>
      <c r="CQ437" s="65" t="n">
        <f aca="false">IFERROR(IF(OR(CF437=1,CF437=2,CF437=3),N(INDEX(Parameter!$I$5:$I$7,CF437)),0),0)</f>
        <v>0</v>
      </c>
      <c r="CR437" s="64" t="n">
        <f aca="false">IF(AND(Parameter!$B$21="Ja",ISNUMBER(W437),N(X437)&gt;0),IFERROR(N(INDEX(Parameter!$L$5:$L$7,W437))*INDEX(Parameter!$E$5:$E$7,W437)*X437/SUMIFS($X$7:$X$1843,$W$7:$W$1843,W437),0),0)</f>
        <v>0</v>
      </c>
      <c r="CS437" s="62" t="n">
        <f aca="false">IF(AND(OR(CG437="L1",CG437="L23",CG437="LIFT"),H437&gt;0),CC437*IF(CR437&gt;0,CR437*MAX(1,H437/X437),IF(CA437=1,CE437,IF(R437&gt;0,CN437/R437,0))/MAX(0.1,N(Parameter!$M$21))),"")</f>
        <v>12.0833333333333</v>
      </c>
      <c r="CT437" s="64" t="n">
        <f aca="false">IF(CS437="","",J437/H437)</f>
        <v>1.2</v>
      </c>
      <c r="CU437" s="62" t="n">
        <f aca="false">IF(CS437="","",H437*G437)</f>
        <v>329.5</v>
      </c>
      <c r="CV437" s="63" t="n">
        <f aca="false">IF(CS437="","",(CL437+ROUNDUP(CL437+MAX(CM437,2*(J437/MAX(0.1,N(Einkauf!$C$6))-CL437)),0))/2)</f>
        <v>17</v>
      </c>
      <c r="CW437" s="62" t="n">
        <f aca="false">IF(CS437="","",MAX(0,H437-CV437)*G437)</f>
        <v>105.44</v>
      </c>
      <c r="CX437" s="62" t="n">
        <f aca="false">IF(CS437="","",CS437*MAX(0,1-CV437/H437))</f>
        <v>3.86666666666667</v>
      </c>
      <c r="CY437" s="64" t="n">
        <f aca="false">IF(CS437="","",PERCENTRANK($CS$7:$CS$1843,CS437)+PERCENTRANK($CU$7:$CU$1843,CU437)+1-PERCENTRANK($CT$7:$CT$1843,CT437))</f>
        <v>1.385</v>
      </c>
      <c r="CZ437" s="72" t="n">
        <f aca="false">IF(CS437="","",CHOOSE(MATCH(Einkauf!$C$5,Parameter!$G$23:$G$27,0),CY437,CS437,CU437,-CT437,CW437)+ROW()/1000000000)</f>
        <v>1.385000437</v>
      </c>
    </row>
    <row r="438" customFormat="false" ht="15" hidden="false" customHeight="false" outlineLevel="0" collapsed="false">
      <c r="A438" s="60" t="s">
        <v>1041</v>
      </c>
      <c r="B438" s="60" t="s">
        <v>1042</v>
      </c>
      <c r="C438" s="60" t="s">
        <v>206</v>
      </c>
      <c r="D438" s="60" t="s">
        <v>226</v>
      </c>
      <c r="E438" s="60" t="s">
        <v>227</v>
      </c>
      <c r="F438" s="60" t="s">
        <v>260</v>
      </c>
      <c r="G438" s="61" t="n">
        <v>19.07</v>
      </c>
      <c r="H438" s="62" t="n">
        <f aca="false">MAX(0,IF(AND(Parameter!$B$21="Ja",ISNUMBER(Y438)),Y438,IF(Parameter!$B$20="Jahresanfang 2025 + Export",BS438+BR438,BR438)))</f>
        <v>10</v>
      </c>
      <c r="I438" s="62" t="n">
        <f aca="false">H438*G438</f>
        <v>190.7</v>
      </c>
      <c r="J438" s="62" t="n">
        <f aca="false">BU438*Parameter!$B$18</f>
        <v>0</v>
      </c>
      <c r="K438" s="63" t="n">
        <v>7.5</v>
      </c>
      <c r="L438" s="64" t="n">
        <v>0</v>
      </c>
      <c r="M438" s="62" t="n">
        <v>0</v>
      </c>
      <c r="N438" s="62" t="n">
        <v>1</v>
      </c>
      <c r="O438" s="65" t="n">
        <v>42</v>
      </c>
      <c r="P438" s="60" t="s">
        <v>518</v>
      </c>
      <c r="Q438" s="62" t="n">
        <v>9</v>
      </c>
      <c r="R438" s="65" t="n">
        <f aca="false">IF(CA438=1,0,IFERROR(VLOOKUP(BY438,'Gebinde-Kategorie'!$A$5:$N$45,13,0)+0,0))</f>
        <v>52</v>
      </c>
      <c r="S438" s="66"/>
      <c r="T438" s="67"/>
      <c r="U438" s="67"/>
      <c r="V438" s="67"/>
      <c r="W438" s="60"/>
      <c r="X438" s="62"/>
      <c r="Y438" s="62"/>
      <c r="Z438" s="60" t="n">
        <v>3</v>
      </c>
      <c r="AA438" s="60" t="n">
        <f aca="false">IF(A438="","",IF(AND(Parameter!$B$21="Ja",ISNUMBER(W438)),W438,IF(AND(Parameter!$E$27="Ja",ISNUMBER(Z438),CD438&lt;&gt;"Nein"),Z438,IF(CD438="2+3",IF(ISNUMBER(SEARCH("grosser Artikel",BV438)),2,IFERROR(VLOOKUP(BY438,Parameter!$F$35:$G$64,2,0),2)),IF(OR(CD438="Nein",CD438=""),"-",CD438)))))</f>
        <v>3</v>
      </c>
      <c r="AB438" s="67"/>
      <c r="AC438" s="68"/>
      <c r="AD438" s="62" t="n">
        <f aca="false">AW438</f>
        <v>1</v>
      </c>
      <c r="AE438" s="62" t="n">
        <f aca="false">MAX(AW438,H438)</f>
        <v>10</v>
      </c>
      <c r="AF438" s="69"/>
      <c r="AG438" s="62" t="n">
        <f aca="false">IF(LEFT(Cockpit!$C$5,1)="A",H438,IF(Parameter!$E$30="MAX-Bestand",IF(CI438=1,CJ438,IF(LEFT(Cockpit!$C$5,1)="B",AM438,MAX(AM438,H438))),ROUNDUP(AK438,0)))</f>
        <v>10</v>
      </c>
      <c r="AH438" s="62" t="n">
        <f aca="false">IF(CA438=1,0,ROUNDUP(AG438/BZ438,0))</f>
        <v>2</v>
      </c>
      <c r="AI438" s="64" t="n">
        <f aca="false">IF(CR438&gt;0,CR438*MAX(1,AG438/X438),IF(CA438=1,IF(AG438&lt;=0,0,CE438*MAX(1,IF(H438&gt;0,AG438/H438,1))),IF(R438&gt;0,AH438/R438,0))/MAX(0.1,N(Parameter!$M$21)))</f>
        <v>0.0384615384615385</v>
      </c>
      <c r="AJ438" s="62" t="n">
        <f aca="false">AI438*CC438</f>
        <v>5.96153846153846</v>
      </c>
      <c r="AK438" s="63" t="n">
        <f aca="false">IF(LEFT(Cockpit!$C$5,1)="A",H438,IF(CI438=1,(CL438+CJ438)/2,IF(LEFT(Cockpit!$C$5,1)="B",(CL438+AM438)/2,MAX((CL438+AM438)/2,H438))))</f>
        <v>10</v>
      </c>
      <c r="AL438" s="62" t="n">
        <f aca="false">AK438*G438</f>
        <v>190.7</v>
      </c>
      <c r="AM438" s="62" t="n">
        <f aca="false">ROUNDUP(CL438+MAX(CM438,2*(J438/IF(CH438&gt;0,CH438,MAX(0.1,N(Cockpit!$C$6)))-CL438)),0)</f>
        <v>1</v>
      </c>
      <c r="AN438" s="63" t="n">
        <f aca="false">IF(AJ438&gt;0,J438/AJ438,-1)</f>
        <v>0</v>
      </c>
      <c r="AO438" s="63" t="n">
        <f aca="false">IF(AND(OR(CG438="L1",CG438="L23",CG438="LIFT"),AJ438&gt;0),SUMIFS($AJ$7:$AJ$1843,$CG$7:$CG$1843,CG438,$AN$7:$AN$1843,"&gt;"&amp;AN438)+SUMIFS($AJ$7:$AJ$1843,$CG$7:$CG$1843,CG438,$AN$7:$AN$1843,AN438,$BX$7:$BX$1843,"&lt;="&amp;BX438),"")</f>
        <v>28127.6764501976</v>
      </c>
      <c r="AP438" s="70" t="n">
        <f aca="false">IF(AO438="",0,MAX(0,MIN(1,(IF(CG438="L1",Parameter!$H$5,IF(CG438="L23",Parameter!$H$6+Parameter!$H$7,Parameter!$H$5+Parameter!$H$6+Parameter!$H$7))-(AO438-AJ438))/AJ438)))</f>
        <v>1</v>
      </c>
      <c r="AQ438" s="62" t="n">
        <f aca="false">IF(LEFT(Cockpit!$I$5,1)="A",H438,IF(Parameter!$E$30="MAX-Bestand",IF(CI438=1,CJ438,IF(LEFT(Cockpit!$I$5,1)="B",AW438,MAX(AW438,H438))),ROUNDUP(AU438,0)))</f>
        <v>10</v>
      </c>
      <c r="AR438" s="62" t="n">
        <f aca="false">IF(CA438=1,0,ROUNDUP(AQ438/BZ438,0))</f>
        <v>2</v>
      </c>
      <c r="AS438" s="64" t="n">
        <f aca="false">IF(CR438&gt;0,CR438*MAX(1,AQ438/X438),IF(CA438=1,IF(AQ438&lt;=0,0,CE438*MAX(1,IF(H438&gt;0,AQ438/H438,1))),IF(R438&gt;0,AR438/R438,0))/MAX(0.1,N(Parameter!$M$21)))</f>
        <v>0.0384615384615385</v>
      </c>
      <c r="AT438" s="62" t="n">
        <f aca="false">AS438*CC438</f>
        <v>5.96153846153846</v>
      </c>
      <c r="AU438" s="63" t="n">
        <f aca="false">IF(LEFT(Cockpit!$I$5,1)="A",H438,IF(CI438=1,(CL438+CJ438)/2,IF(LEFT(Cockpit!$I$5,1)="B",(CL438+AW438)/2,MAX((CL438+AW438)/2,H438))))</f>
        <v>10</v>
      </c>
      <c r="AV438" s="62" t="n">
        <f aca="false">AU438*G438</f>
        <v>190.7</v>
      </c>
      <c r="AW438" s="62" t="n">
        <f aca="false">ROUNDUP(CL438+MAX(CM438,2*(J438/IF(CH438&gt;0,CH438,MAX(0.1,N(Cockpit!$I$6)))-CL438)),0)</f>
        <v>1</v>
      </c>
      <c r="AX438" s="63" t="n">
        <f aca="false">IF(AT438&gt;0,J438/AT438,-1)</f>
        <v>0</v>
      </c>
      <c r="AY438" s="63" t="n">
        <f aca="false">IF(AND(OR(CG438="L1",CG438="L23",CG438="LIFT"),AT438&gt;0),SUMIFS($AT$7:$AT$1843,$CG$7:$CG$1843,CG438,$AX$7:$AX$1843,"&gt;"&amp;AX438)+SUMIFS($AT$7:$AT$1843,$CG$7:$CG$1843,CG438,$AX$7:$AX$1843,AX438,$BX$7:$BX$1843,"&lt;="&amp;BX438),"")</f>
        <v>33480.8250915751</v>
      </c>
      <c r="AZ438" s="70" t="n">
        <f aca="false">IF(AY438="",0,MAX(0,MIN(1,(IF(CG438="L1",Parameter!$H$5,IF(CG438="L23",Parameter!$H$6+Parameter!$H$7,Parameter!$H$5+Parameter!$H$6+Parameter!$H$7))-(AY438-AT438))/AT438)))</f>
        <v>1</v>
      </c>
      <c r="BA438" s="62" t="n">
        <f aca="false">IF(LEFT(Cockpit!$O$5,1)="A",H438,IF(Parameter!$E$30="MAX-Bestand",IF(CI438=1,CJ438,IF(LEFT(Cockpit!$O$5,1)="B",BG438,MAX(BG438,H438))),ROUNDUP(BE438,0)))</f>
        <v>1</v>
      </c>
      <c r="BB438" s="62" t="n">
        <f aca="false">IF(CA438=1,0,ROUNDUP(BA438/BZ438,0))</f>
        <v>1</v>
      </c>
      <c r="BC438" s="64" t="n">
        <f aca="false">IF(CR438&gt;0,CR438*MAX(1,BA438/X438),IF(CA438=1,IF(BA438&lt;=0,0,CE438*MAX(1,IF(H438&gt;0,BA438/H438,1))),IF(R438&gt;0,BB438/R438,0))/MAX(0.1,N(Parameter!$M$21)))</f>
        <v>0.0192307692307692</v>
      </c>
      <c r="BD438" s="62" t="n">
        <f aca="false">BC438*CC438</f>
        <v>2.98076923076923</v>
      </c>
      <c r="BE438" s="63" t="n">
        <f aca="false">IF(LEFT(Cockpit!$O$5,1)="A",H438,IF(CI438=1,(CL438+CJ438)/2,IF(LEFT(Cockpit!$O$5,1)="B",(CL438+BG438)/2,MAX((CL438+BG438)/2,H438))))</f>
        <v>0.5</v>
      </c>
      <c r="BF438" s="62" t="n">
        <f aca="false">BE438*G438</f>
        <v>9.535</v>
      </c>
      <c r="BG438" s="62" t="n">
        <f aca="false">ROUNDUP(CL438+MAX(CM438,2*(J438/IF(CH438&gt;0,CH438,MAX(0.1,N(Cockpit!$O$6)))-CL438)),0)</f>
        <v>1</v>
      </c>
      <c r="BH438" s="63" t="n">
        <f aca="false">IF(BD438&gt;0,J438/BD438,-1)</f>
        <v>0</v>
      </c>
      <c r="BI438" s="63" t="n">
        <f aca="false">IF(AND(OR(CG438="L1",CG438="L23",CG438="LIFT"),BD438&gt;0),SUMIFS($BD$7:$BD$1843,$CG$7:$CG$1843,CG438,$BH$7:$BH$1843,"&gt;"&amp;BH438)+SUMIFS($BD$7:$BD$1843,$CG$7:$CG$1843,CG438,$BH$7:$BH$1843,BH438,$BX$7:$BX$1843,"&lt;="&amp;BX438),"")</f>
        <v>27590.2741509903</v>
      </c>
      <c r="BJ438" s="70" t="n">
        <f aca="false">IF(BI438="",0,MAX(0,MIN(1,(IF(CG438="L1",Parameter!$H$5,IF(CG438="L23",Parameter!$H$6+Parameter!$H$7,Parameter!$H$5+Parameter!$H$6+Parameter!$H$7))-(BI438-BD438))/BD438)))</f>
        <v>1</v>
      </c>
      <c r="BK438" s="60" t="str">
        <f aca="false">IF(AJ438&lt;=0,"",IF(CG438="Aussen","Aussenlager",IF(CG438="-","Nicht im Lift",IF(AP438&gt;=1,"Lift",IF(AP438&lt;=0,"Aussenlager","teilweise")))))</f>
        <v>Lift</v>
      </c>
      <c r="BL438" s="60" t="str">
        <f aca="false">IF(AT438&lt;=0,"",IF(CG438="Aussen","Aussenlager",IF(CG438="-","Nicht im Lift",IF(AZ438&gt;=1,"Lift",IF(AZ438&lt;=0,"Aussenlager","teilweise")))))</f>
        <v>Lift</v>
      </c>
      <c r="BM438" s="60" t="str">
        <f aca="false">IF(BD438&lt;=0,"",IF(CG438="Aussen","Aussenlager",IF(CG438="-","Nicht im Lift",IF(BJ438&gt;=1,"Lift",IF(BJ438&lt;=0,"Aussenlager","teilweise")))))</f>
        <v>Lift</v>
      </c>
      <c r="BN438" s="60" t="str">
        <f aca="false">IF(A438="","",IF(BW438=1,"Neu; ","")&amp;IF(AND(BW438=0,BR438&lt;0),"negativer Bestand (Export "&amp;BR438&amp;"); ","")&amp;IF(J438&lt;=0,"Kein Verbrauch; ","")&amp;IF(CR438&gt;0,"Lift "&amp;W438&amp;" lt. Liftbericht (Fach "&amp;X438&amp;" Stk); ",IF(CB438=1,"Gebinde geschätzt ("&amp;T438&amp;"); ",IF(CA438=1,"Lose – Tablare geschätzt; ","")))&amp;IF(H438&gt;AW438,"Überbestand "&amp;ROUND(H438-AW438,0)&amp;" Stk / CHF "&amp;ROUND((H438-AW438)*G438,0)&amp;"; ","")&amp;IF(AND(CI438=1,CJ438&lt;CK438),"MAX &lt; MB+LG; ","")&amp;IF(AND(CQ438&gt;0,CP438*10&gt;CQ438),"zu hoch für Tablar; ","")&amp;IF(AND(BW438=0,OR(CI438=1,AB438&lt;&gt;"",U438&lt;&gt;"",V438&lt;&gt;"",AC438&lt;&gt;"")),"manuell übersteuert; ","")&amp;IF(AND(CA438=0,R438=0),"Gebinde unbekannt / Stellmass fehlt; ","")&amp;IF(AND(CA438=0,N(V438)&lt;=0,N(Q438)&lt;=0),"Menge pro Gebinde fehlt (Ist = 1 Gebinde); ","")&amp;BV438)</f>
        <v>Kein Verbrauch; Überbestand 9 Stk / CHF 172; </v>
      </c>
      <c r="BO438" s="60"/>
      <c r="BP438" s="60"/>
      <c r="BQ438" s="67"/>
      <c r="BR438" s="62" t="n">
        <v>4</v>
      </c>
      <c r="BS438" s="62" t="n">
        <v>6</v>
      </c>
      <c r="BT438" s="61" t="n">
        <v>76.28</v>
      </c>
      <c r="BU438" s="62" t="n">
        <v>0</v>
      </c>
      <c r="BV438" s="60"/>
      <c r="BW438" s="65" t="n">
        <v>0</v>
      </c>
      <c r="BX438" s="65" t="n">
        <v>438</v>
      </c>
      <c r="BY438" s="60" t="str">
        <f aca="false">IF(U438&lt;&gt;"",UPPER(TRIM(U438)),IF(CB438=1,UPPER(VLOOKUP(T438,Parameter!$I$27:$K$29,2,0)),IF(P438="","LOSE",P438)))</f>
        <v>S33</v>
      </c>
      <c r="BZ438" s="62" t="n">
        <f aca="false">IF(BY438="LOSE",1,IF(N(V438)&gt;0,V438,IF(CB438=1,MAX(1,N(VLOOKUP(T438,Parameter!$I$27:$K$29,3,0)),H438,N(N438)),IF(N(Q438)&gt;0,Q438,MAX(1,H438)))))</f>
        <v>9</v>
      </c>
      <c r="CA438" s="65" t="n">
        <f aca="false">IF(BY438="LOSE",1,0)</f>
        <v>0</v>
      </c>
      <c r="CB438" s="65" t="n">
        <f aca="false">IF(AND(U438="",OR(P438="",P438="LOSE"),T438&lt;&gt;"",N(S438)&lt;=0,ISNUMBER(MATCH(T438,Parameter!$I$27:$I$29,0))),1,0)</f>
        <v>0</v>
      </c>
      <c r="CC438" s="65" t="n">
        <f aca="false">IF(CR438&gt;0,INDEX(Parameter!$H$5:$H$7,W438)/INDEX(Parameter!$E$5:$E$7,W438),IF(AND(CA438=0,N(IFERROR(VLOOKUP(BY438,'Gebinde-Kategorie'!$A$5:$N$45,14,0),0))&gt;0),VLOOKUP(BY438,'Gebinde-Kategorie'!$A$5:$N$45,14,0)*10+Parameter!$M$23,Parameter!$M$24))</f>
        <v>155</v>
      </c>
      <c r="CD438" s="60" t="str">
        <f aca="false">IF(AND(Parameter!$B$19="Ja",E438&lt;&gt;"",ISNUMBER(MATCH(E438,Parameter!$I$35:$I$52,0))),VLOOKUP(E438,Parameter!$I$35:$J$52,2,0),IFERROR(VLOOKUP(D438,Parameter!$A$35:$C$64,2,0),"Nein"))</f>
        <v>2+3</v>
      </c>
      <c r="CE438" s="64" t="n">
        <f aca="false">IF(CA438=0,0,IF(N(S438)&gt;0,S438,IFERROR(VLOOKUP(D438,Parameter!$A$35:$C$64,3,0)+0,0)))</f>
        <v>0</v>
      </c>
      <c r="CF438" s="60" t="n">
        <f aca="false">IF(AB438&lt;&gt;"",AB438,AA438)</f>
        <v>3</v>
      </c>
      <c r="CG438" s="60" t="str">
        <f aca="false">IF(OR(CF438=1,CF438=2,CF438=3),IF(Parameter!$E$27="Ja","LIFT",IF(CF438=1,"L1","L23")),IF(CF438="Aussen","Aussen","-"))</f>
        <v>LIFT</v>
      </c>
      <c r="CH438" s="71" t="n">
        <f aca="false">IF(N(AC438)&gt;0,AC438,0)</f>
        <v>0</v>
      </c>
      <c r="CI438" s="65" t="n">
        <f aca="false">IF(ISNUMBER(AF438),1,0)</f>
        <v>0</v>
      </c>
      <c r="CJ438" s="62" t="n">
        <f aca="false">N(AF438)</f>
        <v>0</v>
      </c>
      <c r="CK438" s="62" t="n">
        <f aca="false">N(M438)+N(N438)</f>
        <v>1</v>
      </c>
      <c r="CL438" s="62" t="n">
        <f aca="false">N(M438)</f>
        <v>0</v>
      </c>
      <c r="CM438" s="62" t="n">
        <f aca="false">N(N438)</f>
        <v>1</v>
      </c>
      <c r="CN438" s="62" t="n">
        <f aca="false">ROUNDUP(H438/BZ438,0)</f>
        <v>2</v>
      </c>
      <c r="CO438" s="62" t="n">
        <f aca="false">ROUNDUP(CJ438/BZ438,0)</f>
        <v>0</v>
      </c>
      <c r="CP438" s="65" t="n">
        <f aca="false">IF(CA438=1,0,IFERROR(VLOOKUP(BY438,'Gebinde-Kategorie'!$A$5:$N$45,5,0)+0,0))</f>
        <v>8</v>
      </c>
      <c r="CQ438" s="65" t="n">
        <f aca="false">IFERROR(IF(OR(CF438=1,CF438=2,CF438=3),N(INDEX(Parameter!$I$5:$I$7,CF438)),0),0)</f>
        <v>0</v>
      </c>
      <c r="CR438" s="64" t="n">
        <f aca="false">IF(AND(Parameter!$B$21="Ja",ISNUMBER(W438),N(X438)&gt;0),IFERROR(N(INDEX(Parameter!$L$5:$L$7,W438))*INDEX(Parameter!$E$5:$E$7,W438)*X438/SUMIFS($X$7:$X$1843,$W$7:$W$1843,W438),0),0)</f>
        <v>0</v>
      </c>
      <c r="CS438" s="62" t="n">
        <f aca="false">IF(AND(OR(CG438="L1",CG438="L23",CG438="LIFT"),H438&gt;0),CC438*IF(CR438&gt;0,CR438*MAX(1,H438/X438),IF(CA438=1,CE438,IF(R438&gt;0,CN438/R438,0))/MAX(0.1,N(Parameter!$M$21))),"")</f>
        <v>5.96153846153846</v>
      </c>
      <c r="CT438" s="64" t="n">
        <f aca="false">IF(CS438="","",J438/H438)</f>
        <v>0</v>
      </c>
      <c r="CU438" s="62" t="n">
        <f aca="false">IF(CS438="","",H438*G438)</f>
        <v>190.7</v>
      </c>
      <c r="CV438" s="63" t="n">
        <f aca="false">IF(CS438="","",(CL438+ROUNDUP(CL438+MAX(CM438,2*(J438/MAX(0.1,N(Einkauf!$C$6))-CL438)),0))/2)</f>
        <v>0.5</v>
      </c>
      <c r="CW438" s="62" t="n">
        <f aca="false">IF(CS438="","",MAX(0,H438-CV438)*G438)</f>
        <v>181.165</v>
      </c>
      <c r="CX438" s="62" t="n">
        <f aca="false">IF(CS438="","",CS438*MAX(0,1-CV438/H438))</f>
        <v>5.66346153846154</v>
      </c>
      <c r="CY438" s="64" t="n">
        <f aca="false">IF(CS438="","",PERCENTRANK($CS$7:$CS$1843,CS438)+PERCENTRANK($CU$7:$CU$1843,CU438)+1-PERCENTRANK($CT$7:$CT$1843,CT438))</f>
        <v>1.691</v>
      </c>
      <c r="CZ438" s="72" t="n">
        <f aca="false">IF(CS438="","",CHOOSE(MATCH(Einkauf!$C$5,Parameter!$G$23:$G$27,0),CY438,CS438,CU438,-CT438,CW438)+ROW()/1000000000)</f>
        <v>1.691000438</v>
      </c>
    </row>
    <row r="439" customFormat="false" ht="15" hidden="false" customHeight="false" outlineLevel="0" collapsed="false">
      <c r="A439" s="60" t="s">
        <v>1043</v>
      </c>
      <c r="B439" s="60" t="s">
        <v>1044</v>
      </c>
      <c r="C439" s="60" t="s">
        <v>206</v>
      </c>
      <c r="D439" s="60" t="s">
        <v>226</v>
      </c>
      <c r="E439" s="60"/>
      <c r="F439" s="60" t="s">
        <v>260</v>
      </c>
      <c r="G439" s="61" t="n">
        <v>2.99</v>
      </c>
      <c r="H439" s="62" t="n">
        <f aca="false">MAX(0,IF(AND(Parameter!$B$21="Ja",ISNUMBER(Y439)),Y439,IF(Parameter!$B$20="Jahresanfang 2025 + Export",BS439+BR439,BR439)))</f>
        <v>25</v>
      </c>
      <c r="I439" s="62" t="n">
        <f aca="false">H439*G439</f>
        <v>74.75</v>
      </c>
      <c r="J439" s="62" t="n">
        <f aca="false">BU439*Parameter!$B$18</f>
        <v>0</v>
      </c>
      <c r="K439" s="63" t="n">
        <v>0</v>
      </c>
      <c r="L439" s="64" t="n">
        <v>0</v>
      </c>
      <c r="M439" s="62" t="n">
        <v>0</v>
      </c>
      <c r="N439" s="62" t="n">
        <v>5</v>
      </c>
      <c r="O439" s="65" t="n">
        <v>90</v>
      </c>
      <c r="P439" s="60" t="s">
        <v>210</v>
      </c>
      <c r="Q439" s="62"/>
      <c r="R439" s="65" t="n">
        <f aca="false">IF(CA439=1,0,IFERROR(VLOOKUP(BY439,'Gebinde-Kategorie'!$A$5:$N$45,13,0)+0,0))</f>
        <v>12</v>
      </c>
      <c r="S439" s="66"/>
      <c r="T439" s="67" t="s">
        <v>221</v>
      </c>
      <c r="U439" s="67"/>
      <c r="V439" s="67"/>
      <c r="W439" s="60"/>
      <c r="X439" s="62"/>
      <c r="Y439" s="62"/>
      <c r="Z439" s="60" t="n">
        <v>3</v>
      </c>
      <c r="AA439" s="60" t="n">
        <f aca="false">IF(A439="","",IF(AND(Parameter!$B$21="Ja",ISNUMBER(W439)),W439,IF(AND(Parameter!$E$27="Ja",ISNUMBER(Z439),CD439&lt;&gt;"Nein"),Z439,IF(CD439="2+3",IF(ISNUMBER(SEARCH("grosser Artikel",BV439)),2,IFERROR(VLOOKUP(BY439,Parameter!$F$35:$G$64,2,0),2)),IF(OR(CD439="Nein",CD439=""),"-",CD439)))))</f>
        <v>3</v>
      </c>
      <c r="AB439" s="67"/>
      <c r="AC439" s="68"/>
      <c r="AD439" s="62" t="n">
        <f aca="false">AW439</f>
        <v>5</v>
      </c>
      <c r="AE439" s="62" t="n">
        <f aca="false">MAX(AW439,H439)</f>
        <v>25</v>
      </c>
      <c r="AF439" s="69"/>
      <c r="AG439" s="62" t="n">
        <f aca="false">IF(LEFT(Cockpit!$C$5,1)="A",H439,IF(Parameter!$E$30="MAX-Bestand",IF(CI439=1,CJ439,IF(LEFT(Cockpit!$C$5,1)="B",AM439,MAX(AM439,H439))),ROUNDUP(AK439,0)))</f>
        <v>25</v>
      </c>
      <c r="AH439" s="62" t="n">
        <f aca="false">IF(CA439=1,0,ROUNDUP(AG439/BZ439,0))</f>
        <v>1</v>
      </c>
      <c r="AI439" s="64" t="n">
        <f aca="false">IF(CR439&gt;0,CR439*MAX(1,AG439/X439),IF(CA439=1,IF(AG439&lt;=0,0,CE439*MAX(1,IF(H439&gt;0,AG439/H439,1))),IF(R439&gt;0,AH439/R439,0))/MAX(0.1,N(Parameter!$M$21)))</f>
        <v>0.0833333333333333</v>
      </c>
      <c r="AJ439" s="62" t="n">
        <f aca="false">AI439*CC439</f>
        <v>12.0833333333333</v>
      </c>
      <c r="AK439" s="63" t="n">
        <f aca="false">IF(LEFT(Cockpit!$C$5,1)="A",H439,IF(CI439=1,(CL439+CJ439)/2,IF(LEFT(Cockpit!$C$5,1)="B",(CL439+AM439)/2,MAX((CL439+AM439)/2,H439))))</f>
        <v>25</v>
      </c>
      <c r="AL439" s="62" t="n">
        <f aca="false">AK439*G439</f>
        <v>74.75</v>
      </c>
      <c r="AM439" s="62" t="n">
        <f aca="false">ROUNDUP(CL439+MAX(CM439,2*(J439/IF(CH439&gt;0,CH439,MAX(0.1,N(Cockpit!$C$6)))-CL439)),0)</f>
        <v>5</v>
      </c>
      <c r="AN439" s="63" t="n">
        <f aca="false">IF(AJ439&gt;0,J439/AJ439,-1)</f>
        <v>0</v>
      </c>
      <c r="AO439" s="63" t="n">
        <f aca="false">IF(AND(OR(CG439="L1",CG439="L23",CG439="LIFT"),AJ439&gt;0),SUMIFS($AJ$7:$AJ$1843,$CG$7:$CG$1843,CG439,$AN$7:$AN$1843,"&gt;"&amp;AN439)+SUMIFS($AJ$7:$AJ$1843,$CG$7:$CG$1843,CG439,$AN$7:$AN$1843,AN439,$BX$7:$BX$1843,"&lt;="&amp;BX439),"")</f>
        <v>28139.759783531</v>
      </c>
      <c r="AP439" s="70" t="n">
        <f aca="false">IF(AO439="",0,MAX(0,MIN(1,(IF(CG439="L1",Parameter!$H$5,IF(CG439="L23",Parameter!$H$6+Parameter!$H$7,Parameter!$H$5+Parameter!$H$6+Parameter!$H$7))-(AO439-AJ439))/AJ439)))</f>
        <v>1</v>
      </c>
      <c r="AQ439" s="62" t="n">
        <f aca="false">IF(LEFT(Cockpit!$I$5,1)="A",H439,IF(Parameter!$E$30="MAX-Bestand",IF(CI439=1,CJ439,IF(LEFT(Cockpit!$I$5,1)="B",AW439,MAX(AW439,H439))),ROUNDUP(AU439,0)))</f>
        <v>25</v>
      </c>
      <c r="AR439" s="62" t="n">
        <f aca="false">IF(CA439=1,0,ROUNDUP(AQ439/BZ439,0))</f>
        <v>1</v>
      </c>
      <c r="AS439" s="64" t="n">
        <f aca="false">IF(CR439&gt;0,CR439*MAX(1,AQ439/X439),IF(CA439=1,IF(AQ439&lt;=0,0,CE439*MAX(1,IF(H439&gt;0,AQ439/H439,1))),IF(R439&gt;0,AR439/R439,0))/MAX(0.1,N(Parameter!$M$21)))</f>
        <v>0.0833333333333333</v>
      </c>
      <c r="AT439" s="62" t="n">
        <f aca="false">AS439*CC439</f>
        <v>12.0833333333333</v>
      </c>
      <c r="AU439" s="63" t="n">
        <f aca="false">IF(LEFT(Cockpit!$I$5,1)="A",H439,IF(CI439=1,(CL439+CJ439)/2,IF(LEFT(Cockpit!$I$5,1)="B",(CL439+AW439)/2,MAX((CL439+AW439)/2,H439))))</f>
        <v>25</v>
      </c>
      <c r="AV439" s="62" t="n">
        <f aca="false">AU439*G439</f>
        <v>74.75</v>
      </c>
      <c r="AW439" s="62" t="n">
        <f aca="false">ROUNDUP(CL439+MAX(CM439,2*(J439/IF(CH439&gt;0,CH439,MAX(0.1,N(Cockpit!$I$6)))-CL439)),0)</f>
        <v>5</v>
      </c>
      <c r="AX439" s="63" t="n">
        <f aca="false">IF(AT439&gt;0,J439/AT439,-1)</f>
        <v>0</v>
      </c>
      <c r="AY439" s="63" t="n">
        <f aca="false">IF(AND(OR(CG439="L1",CG439="L23",CG439="LIFT"),AT439&gt;0),SUMIFS($AT$7:$AT$1843,$CG$7:$CG$1843,CG439,$AX$7:$AX$1843,"&gt;"&amp;AX439)+SUMIFS($AT$7:$AT$1843,$CG$7:$CG$1843,CG439,$AX$7:$AX$1843,AX439,$BX$7:$BX$1843,"&lt;="&amp;BX439),"")</f>
        <v>33492.9084249084</v>
      </c>
      <c r="AZ439" s="70" t="n">
        <f aca="false">IF(AY439="",0,MAX(0,MIN(1,(IF(CG439="L1",Parameter!$H$5,IF(CG439="L23",Parameter!$H$6+Parameter!$H$7,Parameter!$H$5+Parameter!$H$6+Parameter!$H$7))-(AY439-AT439))/AT439)))</f>
        <v>1</v>
      </c>
      <c r="BA439" s="62" t="n">
        <f aca="false">IF(LEFT(Cockpit!$O$5,1)="A",H439,IF(Parameter!$E$30="MAX-Bestand",IF(CI439=1,CJ439,IF(LEFT(Cockpit!$O$5,1)="B",BG439,MAX(BG439,H439))),ROUNDUP(BE439,0)))</f>
        <v>3</v>
      </c>
      <c r="BB439" s="62" t="n">
        <f aca="false">IF(CA439=1,0,ROUNDUP(BA439/BZ439,0))</f>
        <v>1</v>
      </c>
      <c r="BC439" s="64" t="n">
        <f aca="false">IF(CR439&gt;0,CR439*MAX(1,BA439/X439),IF(CA439=1,IF(BA439&lt;=0,0,CE439*MAX(1,IF(H439&gt;0,BA439/H439,1))),IF(R439&gt;0,BB439/R439,0))/MAX(0.1,N(Parameter!$M$21)))</f>
        <v>0.0833333333333333</v>
      </c>
      <c r="BD439" s="62" t="n">
        <f aca="false">BC439*CC439</f>
        <v>12.0833333333333</v>
      </c>
      <c r="BE439" s="63" t="n">
        <f aca="false">IF(LEFT(Cockpit!$O$5,1)="A",H439,IF(CI439=1,(CL439+CJ439)/2,IF(LEFT(Cockpit!$O$5,1)="B",(CL439+BG439)/2,MAX((CL439+BG439)/2,H439))))</f>
        <v>2.5</v>
      </c>
      <c r="BF439" s="62" t="n">
        <f aca="false">BE439*G439</f>
        <v>7.475</v>
      </c>
      <c r="BG439" s="62" t="n">
        <f aca="false">ROUNDUP(CL439+MAX(CM439,2*(J439/IF(CH439&gt;0,CH439,MAX(0.1,N(Cockpit!$O$6)))-CL439)),0)</f>
        <v>5</v>
      </c>
      <c r="BH439" s="63" t="n">
        <f aca="false">IF(BD439&gt;0,J439/BD439,-1)</f>
        <v>0</v>
      </c>
      <c r="BI439" s="63" t="n">
        <f aca="false">IF(AND(OR(CG439="L1",CG439="L23",CG439="LIFT"),BD439&gt;0),SUMIFS($BD$7:$BD$1843,$CG$7:$CG$1843,CG439,$BH$7:$BH$1843,"&gt;"&amp;BH439)+SUMIFS($BD$7:$BD$1843,$CG$7:$CG$1843,CG439,$BH$7:$BH$1843,BH439,$BX$7:$BX$1843,"&lt;="&amp;BX439),"")</f>
        <v>27602.3574843236</v>
      </c>
      <c r="BJ439" s="70" t="n">
        <f aca="false">IF(BI439="",0,MAX(0,MIN(1,(IF(CG439="L1",Parameter!$H$5,IF(CG439="L23",Parameter!$H$6+Parameter!$H$7,Parameter!$H$5+Parameter!$H$6+Parameter!$H$7))-(BI439-BD439))/BD439)))</f>
        <v>1</v>
      </c>
      <c r="BK439" s="60" t="str">
        <f aca="false">IF(AJ439&lt;=0,"",IF(CG439="Aussen","Aussenlager",IF(CG439="-","Nicht im Lift",IF(AP439&gt;=1,"Lift",IF(AP439&lt;=0,"Aussenlager","teilweise")))))</f>
        <v>Lift</v>
      </c>
      <c r="BL439" s="60" t="str">
        <f aca="false">IF(AT439&lt;=0,"",IF(CG439="Aussen","Aussenlager",IF(CG439="-","Nicht im Lift",IF(AZ439&gt;=1,"Lift",IF(AZ439&lt;=0,"Aussenlager","teilweise")))))</f>
        <v>Lift</v>
      </c>
      <c r="BM439" s="60" t="str">
        <f aca="false">IF(BD439&lt;=0,"",IF(CG439="Aussen","Aussenlager",IF(CG439="-","Nicht im Lift",IF(BJ439&gt;=1,"Lift",IF(BJ439&lt;=0,"Aussenlager","teilweise")))))</f>
        <v>Lift</v>
      </c>
      <c r="BN439" s="60" t="str">
        <f aca="false">IF(A439="","",IF(BW439=1,"Neu; ","")&amp;IF(AND(BW439=0,BR439&lt;0),"negativer Bestand (Export "&amp;BR439&amp;"); ","")&amp;IF(J439&lt;=0,"Kein Verbrauch; ","")&amp;IF(CR439&gt;0,"Lift "&amp;W439&amp;" lt. Liftbericht (Fach "&amp;X439&amp;" Stk); ",IF(CB439=1,"Gebinde geschätzt ("&amp;T439&amp;"); ",IF(CA439=1,"Lose – Tablare geschätzt; ","")))&amp;IF(H439&gt;AW439,"Überbestand "&amp;ROUND(H439-AW439,0)&amp;" Stk / CHF "&amp;ROUND((H439-AW439)*G439,0)&amp;"; ","")&amp;IF(AND(CI439=1,CJ439&lt;CK439),"MAX &lt; MB+LG; ","")&amp;IF(AND(CQ439&gt;0,CP439*10&gt;CQ439),"zu hoch für Tablar; ","")&amp;IF(AND(BW439=0,OR(CI439=1,AB439&lt;&gt;"",U439&lt;&gt;"",V439&lt;&gt;"",AC439&lt;&gt;"")),"manuell übersteuert; ","")&amp;IF(AND(CA439=0,R439=0),"Gebinde unbekannt / Stellmass fehlt; ","")&amp;IF(AND(CA439=0,N(V439)&lt;=0,N(Q439)&lt;=0),"Menge pro Gebinde fehlt (Ist = 1 Gebinde); ","")&amp;BV439)</f>
        <v>Kein Verbrauch; Gebinde geschätzt (Mittel); Überbestand 20 Stk / CHF 60; Menge pro Gebinde fehlt (Ist = 1 Gebinde); </v>
      </c>
      <c r="BO439" s="60"/>
      <c r="BP439" s="60"/>
      <c r="BQ439" s="67"/>
      <c r="BR439" s="62" t="n">
        <v>25</v>
      </c>
      <c r="BS439" s="62" t="n">
        <v>0</v>
      </c>
      <c r="BT439" s="61" t="n">
        <v>74.75</v>
      </c>
      <c r="BU439" s="62" t="n">
        <v>0</v>
      </c>
      <c r="BV439" s="60"/>
      <c r="BW439" s="65" t="n">
        <v>0</v>
      </c>
      <c r="BX439" s="65" t="n">
        <v>439</v>
      </c>
      <c r="BY439" s="60" t="str">
        <f aca="false">IF(U439&lt;&gt;"",UPPER(TRIM(U439)),IF(CB439=1,UPPER(VLOOKUP(T439,Parameter!$I$27:$K$29,2,0)),IF(P439="","LOSE",P439)))</f>
        <v>S61</v>
      </c>
      <c r="BZ439" s="62" t="n">
        <f aca="false">IF(BY439="LOSE",1,IF(N(V439)&gt;0,V439,IF(CB439=1,MAX(1,N(VLOOKUP(T439,Parameter!$I$27:$K$29,3,0)),H439,N(N439)),IF(N(Q439)&gt;0,Q439,MAX(1,H439)))))</f>
        <v>25</v>
      </c>
      <c r="CA439" s="65" t="n">
        <f aca="false">IF(BY439="LOSE",1,0)</f>
        <v>0</v>
      </c>
      <c r="CB439" s="65" t="n">
        <f aca="false">IF(AND(U439="",OR(P439="",P439="LOSE"),T439&lt;&gt;"",N(S439)&lt;=0,ISNUMBER(MATCH(T439,Parameter!$I$27:$I$29,0))),1,0)</f>
        <v>1</v>
      </c>
      <c r="CC439" s="65" t="n">
        <f aca="false">IF(CR439&gt;0,INDEX(Parameter!$H$5:$H$7,W439)/INDEX(Parameter!$E$5:$E$7,W439),IF(AND(CA439=0,N(IFERROR(VLOOKUP(BY439,'Gebinde-Kategorie'!$A$5:$N$45,14,0),0))&gt;0),VLOOKUP(BY439,'Gebinde-Kategorie'!$A$5:$N$45,14,0)*10+Parameter!$M$23,Parameter!$M$24))</f>
        <v>145</v>
      </c>
      <c r="CD439" s="60" t="str">
        <f aca="false">IF(AND(Parameter!$B$19="Ja",E439&lt;&gt;"",ISNUMBER(MATCH(E439,Parameter!$I$35:$I$52,0))),VLOOKUP(E439,Parameter!$I$35:$J$52,2,0),IFERROR(VLOOKUP(D439,Parameter!$A$35:$C$64,2,0),"Nein"))</f>
        <v>2+3</v>
      </c>
      <c r="CE439" s="64" t="n">
        <f aca="false">IF(CA439=0,0,IF(N(S439)&gt;0,S439,IFERROR(VLOOKUP(D439,Parameter!$A$35:$C$64,3,0)+0,0)))</f>
        <v>0</v>
      </c>
      <c r="CF439" s="60" t="n">
        <f aca="false">IF(AB439&lt;&gt;"",AB439,AA439)</f>
        <v>3</v>
      </c>
      <c r="CG439" s="60" t="str">
        <f aca="false">IF(OR(CF439=1,CF439=2,CF439=3),IF(Parameter!$E$27="Ja","LIFT",IF(CF439=1,"L1","L23")),IF(CF439="Aussen","Aussen","-"))</f>
        <v>LIFT</v>
      </c>
      <c r="CH439" s="71" t="n">
        <f aca="false">IF(N(AC439)&gt;0,AC439,0)</f>
        <v>0</v>
      </c>
      <c r="CI439" s="65" t="n">
        <f aca="false">IF(ISNUMBER(AF439),1,0)</f>
        <v>0</v>
      </c>
      <c r="CJ439" s="62" t="n">
        <f aca="false">N(AF439)</f>
        <v>0</v>
      </c>
      <c r="CK439" s="62" t="n">
        <f aca="false">N(M439)+N(N439)</f>
        <v>5</v>
      </c>
      <c r="CL439" s="62" t="n">
        <f aca="false">N(M439)</f>
        <v>0</v>
      </c>
      <c r="CM439" s="62" t="n">
        <f aca="false">N(N439)</f>
        <v>5</v>
      </c>
      <c r="CN439" s="62" t="n">
        <f aca="false">ROUNDUP(H439/BZ439,0)</f>
        <v>1</v>
      </c>
      <c r="CO439" s="62" t="n">
        <f aca="false">ROUNDUP(CJ439/BZ439,0)</f>
        <v>0</v>
      </c>
      <c r="CP439" s="65" t="n">
        <f aca="false">IF(CA439=1,0,IFERROR(VLOOKUP(BY439,'Gebinde-Kategorie'!$A$5:$N$45,5,0)+0,0))</f>
        <v>11</v>
      </c>
      <c r="CQ439" s="65" t="n">
        <f aca="false">IFERROR(IF(OR(CF439=1,CF439=2,CF439=3),N(INDEX(Parameter!$I$5:$I$7,CF439)),0),0)</f>
        <v>0</v>
      </c>
      <c r="CR439" s="64" t="n">
        <f aca="false">IF(AND(Parameter!$B$21="Ja",ISNUMBER(W439),N(X439)&gt;0),IFERROR(N(INDEX(Parameter!$L$5:$L$7,W439))*INDEX(Parameter!$E$5:$E$7,W439)*X439/SUMIFS($X$7:$X$1843,$W$7:$W$1843,W439),0),0)</f>
        <v>0</v>
      </c>
      <c r="CS439" s="62" t="n">
        <f aca="false">IF(AND(OR(CG439="L1",CG439="L23",CG439="LIFT"),H439&gt;0),CC439*IF(CR439&gt;0,CR439*MAX(1,H439/X439),IF(CA439=1,CE439,IF(R439&gt;0,CN439/R439,0))/MAX(0.1,N(Parameter!$M$21))),"")</f>
        <v>12.0833333333333</v>
      </c>
      <c r="CT439" s="64" t="n">
        <f aca="false">IF(CS439="","",J439/H439)</f>
        <v>0</v>
      </c>
      <c r="CU439" s="62" t="n">
        <f aca="false">IF(CS439="","",H439*G439)</f>
        <v>74.75</v>
      </c>
      <c r="CV439" s="63" t="n">
        <f aca="false">IF(CS439="","",(CL439+ROUNDUP(CL439+MAX(CM439,2*(J439/MAX(0.1,N(Einkauf!$C$6))-CL439)),0))/2)</f>
        <v>2.5</v>
      </c>
      <c r="CW439" s="62" t="n">
        <f aca="false">IF(CS439="","",MAX(0,H439-CV439)*G439)</f>
        <v>67.275</v>
      </c>
      <c r="CX439" s="62" t="n">
        <f aca="false">IF(CS439="","",CS439*MAX(0,1-CV439/H439))</f>
        <v>10.875</v>
      </c>
      <c r="CY439" s="64" t="n">
        <f aca="false">IF(CS439="","",PERCENTRANK($CS$7:$CS$1843,CS439)+PERCENTRANK($CU$7:$CU$1843,CU439)+1-PERCENTRANK($CT$7:$CT$1843,CT439))</f>
        <v>1.848</v>
      </c>
      <c r="CZ439" s="72" t="n">
        <f aca="false">IF(CS439="","",CHOOSE(MATCH(Einkauf!$C$5,Parameter!$G$23:$G$27,0),CY439,CS439,CU439,-CT439,CW439)+ROW()/1000000000)</f>
        <v>1.848000439</v>
      </c>
    </row>
    <row r="440" customFormat="false" ht="15" hidden="false" customHeight="false" outlineLevel="0" collapsed="false">
      <c r="A440" s="60" t="s">
        <v>1045</v>
      </c>
      <c r="B440" s="60" t="s">
        <v>1046</v>
      </c>
      <c r="C440" s="60" t="s">
        <v>206</v>
      </c>
      <c r="D440" s="60" t="s">
        <v>226</v>
      </c>
      <c r="E440" s="60"/>
      <c r="F440" s="60" t="s">
        <v>260</v>
      </c>
      <c r="G440" s="61" t="n">
        <v>7.88</v>
      </c>
      <c r="H440" s="62" t="n">
        <f aca="false">MAX(0,IF(AND(Parameter!$B$21="Ja",ISNUMBER(Y440)),Y440,IF(Parameter!$B$20="Jahresanfang 2025 + Export",BS440+BR440,BR440)))</f>
        <v>63</v>
      </c>
      <c r="I440" s="62" t="n">
        <f aca="false">H440*G440</f>
        <v>496.44</v>
      </c>
      <c r="J440" s="62" t="n">
        <f aca="false">BU440*Parameter!$B$18</f>
        <v>1</v>
      </c>
      <c r="K440" s="63" t="n">
        <v>54</v>
      </c>
      <c r="L440" s="64" t="n">
        <v>0.0185185185185185</v>
      </c>
      <c r="M440" s="62" t="n">
        <v>0</v>
      </c>
      <c r="N440" s="62" t="n">
        <v>1</v>
      </c>
      <c r="O440" s="65" t="n">
        <v>70</v>
      </c>
      <c r="P440" s="60" t="s">
        <v>228</v>
      </c>
      <c r="Q440" s="62" t="n">
        <v>55</v>
      </c>
      <c r="R440" s="65" t="n">
        <f aca="false">IF(CA440=1,0,IFERROR(VLOOKUP(BY440,'Gebinde-Kategorie'!$A$5:$N$45,13,0)+0,0))</f>
        <v>12</v>
      </c>
      <c r="S440" s="66"/>
      <c r="T440" s="67"/>
      <c r="U440" s="67"/>
      <c r="V440" s="67"/>
      <c r="W440" s="60"/>
      <c r="X440" s="62"/>
      <c r="Y440" s="62"/>
      <c r="Z440" s="60" t="n">
        <v>3</v>
      </c>
      <c r="AA440" s="60" t="n">
        <f aca="false">IF(A440="","",IF(AND(Parameter!$B$21="Ja",ISNUMBER(W440)),W440,IF(AND(Parameter!$E$27="Ja",ISNUMBER(Z440),CD440&lt;&gt;"Nein"),Z440,IF(CD440="2+3",IF(ISNUMBER(SEARCH("grosser Artikel",BV440)),2,IFERROR(VLOOKUP(BY440,Parameter!$F$35:$G$64,2,0),2)),IF(OR(CD440="Nein",CD440=""),"-",CD440)))))</f>
        <v>3</v>
      </c>
      <c r="AB440" s="67"/>
      <c r="AC440" s="68"/>
      <c r="AD440" s="62" t="n">
        <f aca="false">AW440</f>
        <v>1</v>
      </c>
      <c r="AE440" s="62" t="n">
        <f aca="false">MAX(AW440,H440)</f>
        <v>63</v>
      </c>
      <c r="AF440" s="69"/>
      <c r="AG440" s="62" t="n">
        <f aca="false">IF(LEFT(Cockpit!$C$5,1)="A",H440,IF(Parameter!$E$30="MAX-Bestand",IF(CI440=1,CJ440,IF(LEFT(Cockpit!$C$5,1)="B",AM440,MAX(AM440,H440))),ROUNDUP(AK440,0)))</f>
        <v>63</v>
      </c>
      <c r="AH440" s="62" t="n">
        <f aca="false">IF(CA440=1,0,ROUNDUP(AG440/BZ440,0))</f>
        <v>2</v>
      </c>
      <c r="AI440" s="64" t="n">
        <f aca="false">IF(CR440&gt;0,CR440*MAX(1,AG440/X440),IF(CA440=1,IF(AG440&lt;=0,0,CE440*MAX(1,IF(H440&gt;0,AG440/H440,1))),IF(R440&gt;0,AH440/R440,0))/MAX(0.1,N(Parameter!$M$21)))</f>
        <v>0.166666666666667</v>
      </c>
      <c r="AJ440" s="62" t="n">
        <f aca="false">AI440*CC440</f>
        <v>24.1666666666667</v>
      </c>
      <c r="AK440" s="63" t="n">
        <f aca="false">IF(LEFT(Cockpit!$C$5,1)="A",H440,IF(CI440=1,(CL440+CJ440)/2,IF(LEFT(Cockpit!$C$5,1)="B",(CL440+AM440)/2,MAX((CL440+AM440)/2,H440))))</f>
        <v>63</v>
      </c>
      <c r="AL440" s="62" t="n">
        <f aca="false">AK440*G440</f>
        <v>496.44</v>
      </c>
      <c r="AM440" s="62" t="n">
        <f aca="false">ROUNDUP(CL440+MAX(CM440,2*(J440/IF(CH440&gt;0,CH440,MAX(0.1,N(Cockpit!$C$6)))-CL440)),0)</f>
        <v>1</v>
      </c>
      <c r="AN440" s="63" t="n">
        <f aca="false">IF(AJ440&gt;0,J440/AJ440,-1)</f>
        <v>0.0413793103448276</v>
      </c>
      <c r="AO440" s="63" t="n">
        <f aca="false">IF(AND(OR(CG440="L1",CG440="L23",CG440="LIFT"),AJ440&gt;0),SUMIFS($AJ$7:$AJ$1843,$CG$7:$CG$1843,CG440,$AN$7:$AN$1843,"&gt;"&amp;AN440)+SUMIFS($AJ$7:$AJ$1843,$CG$7:$CG$1843,CG440,$AN$7:$AN$1843,AN440,$BX$7:$BX$1843,"&lt;="&amp;BX440),"")</f>
        <v>19673.14075402</v>
      </c>
      <c r="AP440" s="70" t="n">
        <f aca="false">IF(AO440="",0,MAX(0,MIN(1,(IF(CG440="L1",Parameter!$H$5,IF(CG440="L23",Parameter!$H$6+Parameter!$H$7,Parameter!$H$5+Parameter!$H$6+Parameter!$H$7))-(AO440-AJ440))/AJ440)))</f>
        <v>1</v>
      </c>
      <c r="AQ440" s="62" t="n">
        <f aca="false">IF(LEFT(Cockpit!$I$5,1)="A",H440,IF(Parameter!$E$30="MAX-Bestand",IF(CI440=1,CJ440,IF(LEFT(Cockpit!$I$5,1)="B",AW440,MAX(AW440,H440))),ROUNDUP(AU440,0)))</f>
        <v>63</v>
      </c>
      <c r="AR440" s="62" t="n">
        <f aca="false">IF(CA440=1,0,ROUNDUP(AQ440/BZ440,0))</f>
        <v>2</v>
      </c>
      <c r="AS440" s="64" t="n">
        <f aca="false">IF(CR440&gt;0,CR440*MAX(1,AQ440/X440),IF(CA440=1,IF(AQ440&lt;=0,0,CE440*MAX(1,IF(H440&gt;0,AQ440/H440,1))),IF(R440&gt;0,AR440/R440,0))/MAX(0.1,N(Parameter!$M$21)))</f>
        <v>0.166666666666667</v>
      </c>
      <c r="AT440" s="62" t="n">
        <f aca="false">AS440*CC440</f>
        <v>24.1666666666667</v>
      </c>
      <c r="AU440" s="63" t="n">
        <f aca="false">IF(LEFT(Cockpit!$I$5,1)="A",H440,IF(CI440=1,(CL440+CJ440)/2,IF(LEFT(Cockpit!$I$5,1)="B",(CL440+AW440)/2,MAX((CL440+AW440)/2,H440))))</f>
        <v>63</v>
      </c>
      <c r="AV440" s="62" t="n">
        <f aca="false">AU440*G440</f>
        <v>496.44</v>
      </c>
      <c r="AW440" s="62" t="n">
        <f aca="false">ROUNDUP(CL440+MAX(CM440,2*(J440/IF(CH440&gt;0,CH440,MAX(0.1,N(Cockpit!$I$6)))-CL440)),0)</f>
        <v>1</v>
      </c>
      <c r="AX440" s="63" t="n">
        <f aca="false">IF(AT440&gt;0,J440/AT440,-1)</f>
        <v>0.0413793103448276</v>
      </c>
      <c r="AY440" s="63" t="n">
        <f aca="false">IF(AND(OR(CG440="L1",CG440="L23",CG440="LIFT"),AT440&gt;0),SUMIFS($AT$7:$AT$1843,$CG$7:$CG$1843,CG440,$AX$7:$AX$1843,"&gt;"&amp;AX440)+SUMIFS($AT$7:$AT$1843,$CG$7:$CG$1843,CG440,$AX$7:$AX$1843,AX440,$BX$7:$BX$1843,"&lt;="&amp;BX440),"")</f>
        <v>24732.5393953974</v>
      </c>
      <c r="AZ440" s="70" t="n">
        <f aca="false">IF(AY440="",0,MAX(0,MIN(1,(IF(CG440="L1",Parameter!$H$5,IF(CG440="L23",Parameter!$H$6+Parameter!$H$7,Parameter!$H$5+Parameter!$H$6+Parameter!$H$7))-(AY440-AT440))/AT440)))</f>
        <v>1</v>
      </c>
      <c r="BA440" s="62" t="n">
        <f aca="false">IF(LEFT(Cockpit!$O$5,1)="A",H440,IF(Parameter!$E$30="MAX-Bestand",IF(CI440=1,CJ440,IF(LEFT(Cockpit!$O$5,1)="B",BG440,MAX(BG440,H440))),ROUNDUP(BE440,0)))</f>
        <v>1</v>
      </c>
      <c r="BB440" s="62" t="n">
        <f aca="false">IF(CA440=1,0,ROUNDUP(BA440/BZ440,0))</f>
        <v>1</v>
      </c>
      <c r="BC440" s="64" t="n">
        <f aca="false">IF(CR440&gt;0,CR440*MAX(1,BA440/X440),IF(CA440=1,IF(BA440&lt;=0,0,CE440*MAX(1,IF(H440&gt;0,BA440/H440,1))),IF(R440&gt;0,BB440/R440,0))/MAX(0.1,N(Parameter!$M$21)))</f>
        <v>0.0833333333333333</v>
      </c>
      <c r="BD440" s="62" t="n">
        <f aca="false">BC440*CC440</f>
        <v>12.0833333333333</v>
      </c>
      <c r="BE440" s="63" t="n">
        <f aca="false">IF(LEFT(Cockpit!$O$5,1)="A",H440,IF(CI440=1,(CL440+CJ440)/2,IF(LEFT(Cockpit!$O$5,1)="B",(CL440+BG440)/2,MAX((CL440+BG440)/2,H440))))</f>
        <v>0.5</v>
      </c>
      <c r="BF440" s="62" t="n">
        <f aca="false">BE440*G440</f>
        <v>3.94</v>
      </c>
      <c r="BG440" s="62" t="n">
        <f aca="false">ROUNDUP(CL440+MAX(CM440,2*(J440/IF(CH440&gt;0,CH440,MAX(0.1,N(Cockpit!$O$6)))-CL440)),0)</f>
        <v>1</v>
      </c>
      <c r="BH440" s="63" t="n">
        <f aca="false">IF(BD440&gt;0,J440/BD440,-1)</f>
        <v>0.0827586206896552</v>
      </c>
      <c r="BI440" s="63" t="n">
        <f aca="false">IF(AND(OR(CG440="L1",CG440="L23",CG440="LIFT"),BD440&gt;0),SUMIFS($BD$7:$BD$1843,$CG$7:$CG$1843,CG440,$BH$7:$BH$1843,"&gt;"&amp;BH440)+SUMIFS($BD$7:$BD$1843,$CG$7:$CG$1843,CG440,$BH$7:$BH$1843,BH440,$BX$7:$BX$1843,"&lt;="&amp;BX440),"")</f>
        <v>18274.8122426067</v>
      </c>
      <c r="BJ440" s="70" t="n">
        <f aca="false">IF(BI440="",0,MAX(0,MIN(1,(IF(CG440="L1",Parameter!$H$5,IF(CG440="L23",Parameter!$H$6+Parameter!$H$7,Parameter!$H$5+Parameter!$H$6+Parameter!$H$7))-(BI440-BD440))/BD440)))</f>
        <v>1</v>
      </c>
      <c r="BK440" s="60" t="str">
        <f aca="false">IF(AJ440&lt;=0,"",IF(CG440="Aussen","Aussenlager",IF(CG440="-","Nicht im Lift",IF(AP440&gt;=1,"Lift",IF(AP440&lt;=0,"Aussenlager","teilweise")))))</f>
        <v>Lift</v>
      </c>
      <c r="BL440" s="60" t="str">
        <f aca="false">IF(AT440&lt;=0,"",IF(CG440="Aussen","Aussenlager",IF(CG440="-","Nicht im Lift",IF(AZ440&gt;=1,"Lift",IF(AZ440&lt;=0,"Aussenlager","teilweise")))))</f>
        <v>Lift</v>
      </c>
      <c r="BM440" s="60" t="str">
        <f aca="false">IF(BD440&lt;=0,"",IF(CG440="Aussen","Aussenlager",IF(CG440="-","Nicht im Lift",IF(BJ440&gt;=1,"Lift",IF(BJ440&lt;=0,"Aussenlager","teilweise")))))</f>
        <v>Lift</v>
      </c>
      <c r="BN440" s="60" t="str">
        <f aca="false">IF(A440="","",IF(BW440=1,"Neu; ","")&amp;IF(AND(BW440=0,BR440&lt;0),"negativer Bestand (Export "&amp;BR440&amp;"); ","")&amp;IF(J440&lt;=0,"Kein Verbrauch; ","")&amp;IF(CR440&gt;0,"Lift "&amp;W440&amp;" lt. Liftbericht (Fach "&amp;X440&amp;" Stk); ",IF(CB440=1,"Gebinde geschätzt ("&amp;T440&amp;"); ",IF(CA440=1,"Lose – Tablare geschätzt; ","")))&amp;IF(H440&gt;AW440,"Überbestand "&amp;ROUND(H440-AW440,0)&amp;" Stk / CHF "&amp;ROUND((H440-AW440)*G440,0)&amp;"; ","")&amp;IF(AND(CI440=1,CJ440&lt;CK440),"MAX &lt; MB+LG; ","")&amp;IF(AND(CQ440&gt;0,CP440*10&gt;CQ440),"zu hoch für Tablar; ","")&amp;IF(AND(BW440=0,OR(CI440=1,AB440&lt;&gt;"",U440&lt;&gt;"",V440&lt;&gt;"",AC440&lt;&gt;"")),"manuell übersteuert; ","")&amp;IF(AND(CA440=0,R440=0),"Gebinde unbekannt / Stellmass fehlt; ","")&amp;IF(AND(CA440=0,N(V440)&lt;=0,N(Q440)&lt;=0),"Menge pro Gebinde fehlt (Ist = 1 Gebinde); ","")&amp;BV440)</f>
        <v>Überbestand 62 Stk / CHF 489; i.o</v>
      </c>
      <c r="BO440" s="60"/>
      <c r="BP440" s="60"/>
      <c r="BQ440" s="67"/>
      <c r="BR440" s="62" t="n">
        <v>8</v>
      </c>
      <c r="BS440" s="62" t="n">
        <v>55</v>
      </c>
      <c r="BT440" s="61" t="n">
        <v>74.66</v>
      </c>
      <c r="BU440" s="62" t="n">
        <v>1</v>
      </c>
      <c r="BV440" s="60" t="s">
        <v>578</v>
      </c>
      <c r="BW440" s="65" t="n">
        <v>0</v>
      </c>
      <c r="BX440" s="65" t="n">
        <v>440</v>
      </c>
      <c r="BY440" s="60" t="str">
        <f aca="false">IF(U440&lt;&gt;"",UPPER(TRIM(U440)),IF(CB440=1,UPPER(VLOOKUP(T440,Parameter!$I$27:$K$29,2,0)),IF(P440="","LOSE",P440)))</f>
        <v>S61</v>
      </c>
      <c r="BZ440" s="62" t="n">
        <f aca="false">IF(BY440="LOSE",1,IF(N(V440)&gt;0,V440,IF(CB440=1,MAX(1,N(VLOOKUP(T440,Parameter!$I$27:$K$29,3,0)),H440,N(N440)),IF(N(Q440)&gt;0,Q440,MAX(1,H440)))))</f>
        <v>55</v>
      </c>
      <c r="CA440" s="65" t="n">
        <f aca="false">IF(BY440="LOSE",1,0)</f>
        <v>0</v>
      </c>
      <c r="CB440" s="65" t="n">
        <f aca="false">IF(AND(U440="",OR(P440="",P440="LOSE"),T440&lt;&gt;"",N(S440)&lt;=0,ISNUMBER(MATCH(T440,Parameter!$I$27:$I$29,0))),1,0)</f>
        <v>0</v>
      </c>
      <c r="CC440" s="65" t="n">
        <f aca="false">IF(CR440&gt;0,INDEX(Parameter!$H$5:$H$7,W440)/INDEX(Parameter!$E$5:$E$7,W440),IF(AND(CA440=0,N(IFERROR(VLOOKUP(BY440,'Gebinde-Kategorie'!$A$5:$N$45,14,0),0))&gt;0),VLOOKUP(BY440,'Gebinde-Kategorie'!$A$5:$N$45,14,0)*10+Parameter!$M$23,Parameter!$M$24))</f>
        <v>145</v>
      </c>
      <c r="CD440" s="60" t="str">
        <f aca="false">IF(AND(Parameter!$B$19="Ja",E440&lt;&gt;"",ISNUMBER(MATCH(E440,Parameter!$I$35:$I$52,0))),VLOOKUP(E440,Parameter!$I$35:$J$52,2,0),IFERROR(VLOOKUP(D440,Parameter!$A$35:$C$64,2,0),"Nein"))</f>
        <v>2+3</v>
      </c>
      <c r="CE440" s="64" t="n">
        <f aca="false">IF(CA440=0,0,IF(N(S440)&gt;0,S440,IFERROR(VLOOKUP(D440,Parameter!$A$35:$C$64,3,0)+0,0)))</f>
        <v>0</v>
      </c>
      <c r="CF440" s="60" t="n">
        <f aca="false">IF(AB440&lt;&gt;"",AB440,AA440)</f>
        <v>3</v>
      </c>
      <c r="CG440" s="60" t="str">
        <f aca="false">IF(OR(CF440=1,CF440=2,CF440=3),IF(Parameter!$E$27="Ja","LIFT",IF(CF440=1,"L1","L23")),IF(CF440="Aussen","Aussen","-"))</f>
        <v>LIFT</v>
      </c>
      <c r="CH440" s="71" t="n">
        <f aca="false">IF(N(AC440)&gt;0,AC440,0)</f>
        <v>0</v>
      </c>
      <c r="CI440" s="65" t="n">
        <f aca="false">IF(ISNUMBER(AF440),1,0)</f>
        <v>0</v>
      </c>
      <c r="CJ440" s="62" t="n">
        <f aca="false">N(AF440)</f>
        <v>0</v>
      </c>
      <c r="CK440" s="62" t="n">
        <f aca="false">N(M440)+N(N440)</f>
        <v>1</v>
      </c>
      <c r="CL440" s="62" t="n">
        <f aca="false">N(M440)</f>
        <v>0</v>
      </c>
      <c r="CM440" s="62" t="n">
        <f aca="false">N(N440)</f>
        <v>1</v>
      </c>
      <c r="CN440" s="62" t="n">
        <f aca="false">ROUNDUP(H440/BZ440,0)</f>
        <v>2</v>
      </c>
      <c r="CO440" s="62" t="n">
        <f aca="false">ROUNDUP(CJ440/BZ440,0)</f>
        <v>0</v>
      </c>
      <c r="CP440" s="65" t="n">
        <f aca="false">IF(CA440=1,0,IFERROR(VLOOKUP(BY440,'Gebinde-Kategorie'!$A$5:$N$45,5,0)+0,0))</f>
        <v>11</v>
      </c>
      <c r="CQ440" s="65" t="n">
        <f aca="false">IFERROR(IF(OR(CF440=1,CF440=2,CF440=3),N(INDEX(Parameter!$I$5:$I$7,CF440)),0),0)</f>
        <v>0</v>
      </c>
      <c r="CR440" s="64" t="n">
        <f aca="false">IF(AND(Parameter!$B$21="Ja",ISNUMBER(W440),N(X440)&gt;0),IFERROR(N(INDEX(Parameter!$L$5:$L$7,W440))*INDEX(Parameter!$E$5:$E$7,W440)*X440/SUMIFS($X$7:$X$1843,$W$7:$W$1843,W440),0),0)</f>
        <v>0</v>
      </c>
      <c r="CS440" s="62" t="n">
        <f aca="false">IF(AND(OR(CG440="L1",CG440="L23",CG440="LIFT"),H440&gt;0),CC440*IF(CR440&gt;0,CR440*MAX(1,H440/X440),IF(CA440=1,CE440,IF(R440&gt;0,CN440/R440,0))/MAX(0.1,N(Parameter!$M$21))),"")</f>
        <v>24.1666666666667</v>
      </c>
      <c r="CT440" s="64" t="n">
        <f aca="false">IF(CS440="","",J440/H440)</f>
        <v>0.0158730158730159</v>
      </c>
      <c r="CU440" s="62" t="n">
        <f aca="false">IF(CS440="","",H440*G440)</f>
        <v>496.44</v>
      </c>
      <c r="CV440" s="63" t="n">
        <f aca="false">IF(CS440="","",(CL440+ROUNDUP(CL440+MAX(CM440,2*(J440/MAX(0.1,N(Einkauf!$C$6))-CL440)),0))/2)</f>
        <v>0.5</v>
      </c>
      <c r="CW440" s="62" t="n">
        <f aca="false">IF(CS440="","",MAX(0,H440-CV440)*G440)</f>
        <v>492.5</v>
      </c>
      <c r="CX440" s="62" t="n">
        <f aca="false">IF(CS440="","",CS440*MAX(0,1-CV440/H440))</f>
        <v>23.9748677248677</v>
      </c>
      <c r="CY440" s="64" t="n">
        <f aca="false">IF(CS440="","",PERCENTRANK($CS$7:$CS$1843,CS440)+PERCENTRANK($CU$7:$CU$1843,CU440)+1-PERCENTRANK($CT$7:$CT$1843,CT440))</f>
        <v>1.949</v>
      </c>
      <c r="CZ440" s="72" t="n">
        <f aca="false">IF(CS440="","",CHOOSE(MATCH(Einkauf!$C$5,Parameter!$G$23:$G$27,0),CY440,CS440,CU440,-CT440,CW440)+ROW()/1000000000)</f>
        <v>1.94900044</v>
      </c>
    </row>
    <row r="441" customFormat="false" ht="15" hidden="false" customHeight="false" outlineLevel="0" collapsed="false">
      <c r="A441" s="60" t="s">
        <v>1047</v>
      </c>
      <c r="B441" s="60" t="s">
        <v>1048</v>
      </c>
      <c r="C441" s="60" t="s">
        <v>206</v>
      </c>
      <c r="D441" s="60" t="s">
        <v>226</v>
      </c>
      <c r="E441" s="60"/>
      <c r="F441" s="60" t="s">
        <v>260</v>
      </c>
      <c r="G441" s="61" t="n">
        <v>73.69</v>
      </c>
      <c r="H441" s="62" t="n">
        <f aca="false">MAX(0,IF(AND(Parameter!$B$21="Ja",ISNUMBER(Y441)),Y441,IF(Parameter!$B$20="Jahresanfang 2025 + Export",BS441+BR441,BR441)))</f>
        <v>6</v>
      </c>
      <c r="I441" s="62" t="n">
        <f aca="false">H441*G441</f>
        <v>442.14</v>
      </c>
      <c r="J441" s="62" t="n">
        <f aca="false">BU441*Parameter!$B$18</f>
        <v>0</v>
      </c>
      <c r="K441" s="63" t="n">
        <v>5.5</v>
      </c>
      <c r="L441" s="64" t="n">
        <v>0</v>
      </c>
      <c r="M441" s="62" t="n">
        <v>0</v>
      </c>
      <c r="N441" s="62" t="n">
        <v>1</v>
      </c>
      <c r="O441" s="65" t="n">
        <v>14</v>
      </c>
      <c r="P441" s="60" t="s">
        <v>468</v>
      </c>
      <c r="Q441" s="62" t="n">
        <v>2</v>
      </c>
      <c r="R441" s="65" t="n">
        <f aca="false">IF(CA441=1,0,IFERROR(VLOOKUP(BY441,'Gebinde-Kategorie'!$A$5:$N$45,13,0)+0,0))</f>
        <v>140</v>
      </c>
      <c r="S441" s="66"/>
      <c r="T441" s="67"/>
      <c r="U441" s="67"/>
      <c r="V441" s="67"/>
      <c r="W441" s="60"/>
      <c r="X441" s="62"/>
      <c r="Y441" s="62"/>
      <c r="Z441" s="60" t="n">
        <v>3</v>
      </c>
      <c r="AA441" s="60" t="n">
        <f aca="false">IF(A441="","",IF(AND(Parameter!$B$21="Ja",ISNUMBER(W441)),W441,IF(AND(Parameter!$E$27="Ja",ISNUMBER(Z441),CD441&lt;&gt;"Nein"),Z441,IF(CD441="2+3",IF(ISNUMBER(SEARCH("grosser Artikel",BV441)),2,IFERROR(VLOOKUP(BY441,Parameter!$F$35:$G$64,2,0),2)),IF(OR(CD441="Nein",CD441=""),"-",CD441)))))</f>
        <v>3</v>
      </c>
      <c r="AB441" s="67"/>
      <c r="AC441" s="68"/>
      <c r="AD441" s="62" t="n">
        <f aca="false">AW441</f>
        <v>1</v>
      </c>
      <c r="AE441" s="62" t="n">
        <f aca="false">MAX(AW441,H441)</f>
        <v>6</v>
      </c>
      <c r="AF441" s="69"/>
      <c r="AG441" s="62" t="n">
        <f aca="false">IF(LEFT(Cockpit!$C$5,1)="A",H441,IF(Parameter!$E$30="MAX-Bestand",IF(CI441=1,CJ441,IF(LEFT(Cockpit!$C$5,1)="B",AM441,MAX(AM441,H441))),ROUNDUP(AK441,0)))</f>
        <v>6</v>
      </c>
      <c r="AH441" s="62" t="n">
        <f aca="false">IF(CA441=1,0,ROUNDUP(AG441/BZ441,0))</f>
        <v>3</v>
      </c>
      <c r="AI441" s="64" t="n">
        <f aca="false">IF(CR441&gt;0,CR441*MAX(1,AG441/X441),IF(CA441=1,IF(AG441&lt;=0,0,CE441*MAX(1,IF(H441&gt;0,AG441/H441,1))),IF(R441&gt;0,AH441/R441,0))/MAX(0.1,N(Parameter!$M$21)))</f>
        <v>0.0214285714285714</v>
      </c>
      <c r="AJ441" s="62" t="n">
        <f aca="false">AI441*CC441</f>
        <v>3.32142857142857</v>
      </c>
      <c r="AK441" s="63" t="n">
        <f aca="false">IF(LEFT(Cockpit!$C$5,1)="A",H441,IF(CI441=1,(CL441+CJ441)/2,IF(LEFT(Cockpit!$C$5,1)="B",(CL441+AM441)/2,MAX((CL441+AM441)/2,H441))))</f>
        <v>6</v>
      </c>
      <c r="AL441" s="62" t="n">
        <f aca="false">AK441*G441</f>
        <v>442.14</v>
      </c>
      <c r="AM441" s="62" t="n">
        <f aca="false">ROUNDUP(CL441+MAX(CM441,2*(J441/IF(CH441&gt;0,CH441,MAX(0.1,N(Cockpit!$C$6)))-CL441)),0)</f>
        <v>1</v>
      </c>
      <c r="AN441" s="63" t="n">
        <f aca="false">IF(AJ441&gt;0,J441/AJ441,-1)</f>
        <v>0</v>
      </c>
      <c r="AO441" s="63" t="n">
        <f aca="false">IF(AND(OR(CG441="L1",CG441="L23",CG441="LIFT"),AJ441&gt;0),SUMIFS($AJ$7:$AJ$1843,$CG$7:$CG$1843,CG441,$AN$7:$AN$1843,"&gt;"&amp;AN441)+SUMIFS($AJ$7:$AJ$1843,$CG$7:$CG$1843,CG441,$AN$7:$AN$1843,AN441,$BX$7:$BX$1843,"&lt;="&amp;BX441),"")</f>
        <v>28143.0812121024</v>
      </c>
      <c r="AP441" s="70" t="n">
        <f aca="false">IF(AO441="",0,MAX(0,MIN(1,(IF(CG441="L1",Parameter!$H$5,IF(CG441="L23",Parameter!$H$6+Parameter!$H$7,Parameter!$H$5+Parameter!$H$6+Parameter!$H$7))-(AO441-AJ441))/AJ441)))</f>
        <v>1</v>
      </c>
      <c r="AQ441" s="62" t="n">
        <f aca="false">IF(LEFT(Cockpit!$I$5,1)="A",H441,IF(Parameter!$E$30="MAX-Bestand",IF(CI441=1,CJ441,IF(LEFT(Cockpit!$I$5,1)="B",AW441,MAX(AW441,H441))),ROUNDUP(AU441,0)))</f>
        <v>6</v>
      </c>
      <c r="AR441" s="62" t="n">
        <f aca="false">IF(CA441=1,0,ROUNDUP(AQ441/BZ441,0))</f>
        <v>3</v>
      </c>
      <c r="AS441" s="64" t="n">
        <f aca="false">IF(CR441&gt;0,CR441*MAX(1,AQ441/X441),IF(CA441=1,IF(AQ441&lt;=0,0,CE441*MAX(1,IF(H441&gt;0,AQ441/H441,1))),IF(R441&gt;0,AR441/R441,0))/MAX(0.1,N(Parameter!$M$21)))</f>
        <v>0.0214285714285714</v>
      </c>
      <c r="AT441" s="62" t="n">
        <f aca="false">AS441*CC441</f>
        <v>3.32142857142857</v>
      </c>
      <c r="AU441" s="63" t="n">
        <f aca="false">IF(LEFT(Cockpit!$I$5,1)="A",H441,IF(CI441=1,(CL441+CJ441)/2,IF(LEFT(Cockpit!$I$5,1)="B",(CL441+AW441)/2,MAX((CL441+AW441)/2,H441))))</f>
        <v>6</v>
      </c>
      <c r="AV441" s="62" t="n">
        <f aca="false">AU441*G441</f>
        <v>442.14</v>
      </c>
      <c r="AW441" s="62" t="n">
        <f aca="false">ROUNDUP(CL441+MAX(CM441,2*(J441/IF(CH441&gt;0,CH441,MAX(0.1,N(Cockpit!$I$6)))-CL441)),0)</f>
        <v>1</v>
      </c>
      <c r="AX441" s="63" t="n">
        <f aca="false">IF(AT441&gt;0,J441/AT441,-1)</f>
        <v>0</v>
      </c>
      <c r="AY441" s="63" t="n">
        <f aca="false">IF(AND(OR(CG441="L1",CG441="L23",CG441="LIFT"),AT441&gt;0),SUMIFS($AT$7:$AT$1843,$CG$7:$CG$1843,CG441,$AX$7:$AX$1843,"&gt;"&amp;AX441)+SUMIFS($AT$7:$AT$1843,$CG$7:$CG$1843,CG441,$AX$7:$AX$1843,AX441,$BX$7:$BX$1843,"&lt;="&amp;BX441),"")</f>
        <v>33496.2298534799</v>
      </c>
      <c r="AZ441" s="70" t="n">
        <f aca="false">IF(AY441="",0,MAX(0,MIN(1,(IF(CG441="L1",Parameter!$H$5,IF(CG441="L23",Parameter!$H$6+Parameter!$H$7,Parameter!$H$5+Parameter!$H$6+Parameter!$H$7))-(AY441-AT441))/AT441)))</f>
        <v>1</v>
      </c>
      <c r="BA441" s="62" t="n">
        <f aca="false">IF(LEFT(Cockpit!$O$5,1)="A",H441,IF(Parameter!$E$30="MAX-Bestand",IF(CI441=1,CJ441,IF(LEFT(Cockpit!$O$5,1)="B",BG441,MAX(BG441,H441))),ROUNDUP(BE441,0)))</f>
        <v>1</v>
      </c>
      <c r="BB441" s="62" t="n">
        <f aca="false">IF(CA441=1,0,ROUNDUP(BA441/BZ441,0))</f>
        <v>1</v>
      </c>
      <c r="BC441" s="64" t="n">
        <f aca="false">IF(CR441&gt;0,CR441*MAX(1,BA441/X441),IF(CA441=1,IF(BA441&lt;=0,0,CE441*MAX(1,IF(H441&gt;0,BA441/H441,1))),IF(R441&gt;0,BB441/R441,0))/MAX(0.1,N(Parameter!$M$21)))</f>
        <v>0.00714285714285714</v>
      </c>
      <c r="BD441" s="62" t="n">
        <f aca="false">BC441*CC441</f>
        <v>1.10714285714286</v>
      </c>
      <c r="BE441" s="63" t="n">
        <f aca="false">IF(LEFT(Cockpit!$O$5,1)="A",H441,IF(CI441=1,(CL441+CJ441)/2,IF(LEFT(Cockpit!$O$5,1)="B",(CL441+BG441)/2,MAX((CL441+BG441)/2,H441))))</f>
        <v>0.5</v>
      </c>
      <c r="BF441" s="62" t="n">
        <f aca="false">BE441*G441</f>
        <v>36.845</v>
      </c>
      <c r="BG441" s="62" t="n">
        <f aca="false">ROUNDUP(CL441+MAX(CM441,2*(J441/IF(CH441&gt;0,CH441,MAX(0.1,N(Cockpit!$O$6)))-CL441)),0)</f>
        <v>1</v>
      </c>
      <c r="BH441" s="63" t="n">
        <f aca="false">IF(BD441&gt;0,J441/BD441,-1)</f>
        <v>0</v>
      </c>
      <c r="BI441" s="63" t="n">
        <f aca="false">IF(AND(OR(CG441="L1",CG441="L23",CG441="LIFT"),BD441&gt;0),SUMIFS($BD$7:$BD$1843,$CG$7:$CG$1843,CG441,$BH$7:$BH$1843,"&gt;"&amp;BH441)+SUMIFS($BD$7:$BD$1843,$CG$7:$CG$1843,CG441,$BH$7:$BH$1843,BH441,$BX$7:$BX$1843,"&lt;="&amp;BX441),"")</f>
        <v>27603.4646271807</v>
      </c>
      <c r="BJ441" s="70" t="n">
        <f aca="false">IF(BI441="",0,MAX(0,MIN(1,(IF(CG441="L1",Parameter!$H$5,IF(CG441="L23",Parameter!$H$6+Parameter!$H$7,Parameter!$H$5+Parameter!$H$6+Parameter!$H$7))-(BI441-BD441))/BD441)))</f>
        <v>1</v>
      </c>
      <c r="BK441" s="60" t="str">
        <f aca="false">IF(AJ441&lt;=0,"",IF(CG441="Aussen","Aussenlager",IF(CG441="-","Nicht im Lift",IF(AP441&gt;=1,"Lift",IF(AP441&lt;=0,"Aussenlager","teilweise")))))</f>
        <v>Lift</v>
      </c>
      <c r="BL441" s="60" t="str">
        <f aca="false">IF(AT441&lt;=0,"",IF(CG441="Aussen","Aussenlager",IF(CG441="-","Nicht im Lift",IF(AZ441&gt;=1,"Lift",IF(AZ441&lt;=0,"Aussenlager","teilweise")))))</f>
        <v>Lift</v>
      </c>
      <c r="BM441" s="60" t="str">
        <f aca="false">IF(BD441&lt;=0,"",IF(CG441="Aussen","Aussenlager",IF(CG441="-","Nicht im Lift",IF(BJ441&gt;=1,"Lift",IF(BJ441&lt;=0,"Aussenlager","teilweise")))))</f>
        <v>Lift</v>
      </c>
      <c r="BN441" s="60" t="str">
        <f aca="false">IF(A441="","",IF(BW441=1,"Neu; ","")&amp;IF(AND(BW441=0,BR441&lt;0),"negativer Bestand (Export "&amp;BR441&amp;"); ","")&amp;IF(J441&lt;=0,"Kein Verbrauch; ","")&amp;IF(CR441&gt;0,"Lift "&amp;W441&amp;" lt. Liftbericht (Fach "&amp;X441&amp;" Stk); ",IF(CB441=1,"Gebinde geschätzt ("&amp;T441&amp;"); ",IF(CA441=1,"Lose – Tablare geschätzt; ","")))&amp;IF(H441&gt;AW441,"Überbestand "&amp;ROUND(H441-AW441,0)&amp;" Stk / CHF "&amp;ROUND((H441-AW441)*G441,0)&amp;"; ","")&amp;IF(AND(CI441=1,CJ441&lt;CK441),"MAX &lt; MB+LG; ","")&amp;IF(AND(CQ441&gt;0,CP441*10&gt;CQ441),"zu hoch für Tablar; ","")&amp;IF(AND(BW441=0,OR(CI441=1,AB441&lt;&gt;"",U441&lt;&gt;"",V441&lt;&gt;"",AC441&lt;&gt;"")),"manuell übersteuert; ","")&amp;IF(AND(CA441=0,R441=0),"Gebinde unbekannt / Stellmass fehlt; ","")&amp;IF(AND(CA441=0,N(V441)&lt;=0,N(Q441)&lt;=0),"Menge pro Gebinde fehlt (Ist = 1 Gebinde); ","")&amp;BV441)</f>
        <v>Kein Verbrauch; Überbestand 5 Stk / CHF 368; i.o</v>
      </c>
      <c r="BO441" s="60"/>
      <c r="BP441" s="60"/>
      <c r="BQ441" s="67"/>
      <c r="BR441" s="62" t="n">
        <v>1</v>
      </c>
      <c r="BS441" s="62" t="n">
        <v>5</v>
      </c>
      <c r="BT441" s="61" t="n">
        <v>73.69</v>
      </c>
      <c r="BU441" s="62" t="n">
        <v>0</v>
      </c>
      <c r="BV441" s="60" t="s">
        <v>578</v>
      </c>
      <c r="BW441" s="65" t="n">
        <v>0</v>
      </c>
      <c r="BX441" s="65" t="n">
        <v>441</v>
      </c>
      <c r="BY441" s="60" t="str">
        <f aca="false">IF(U441&lt;&gt;"",UPPER(TRIM(U441)),IF(CB441=1,UPPER(VLOOKUP(T441,Parameter!$I$27:$K$29,2,0)),IF(P441="","LOSE",P441)))</f>
        <v>S22</v>
      </c>
      <c r="BZ441" s="62" t="n">
        <f aca="false">IF(BY441="LOSE",1,IF(N(V441)&gt;0,V441,IF(CB441=1,MAX(1,N(VLOOKUP(T441,Parameter!$I$27:$K$29,3,0)),H441,N(N441)),IF(N(Q441)&gt;0,Q441,MAX(1,H441)))))</f>
        <v>2</v>
      </c>
      <c r="CA441" s="65" t="n">
        <f aca="false">IF(BY441="LOSE",1,0)</f>
        <v>0</v>
      </c>
      <c r="CB441" s="65" t="n">
        <f aca="false">IF(AND(U441="",OR(P441="",P441="LOSE"),T441&lt;&gt;"",N(S441)&lt;=0,ISNUMBER(MATCH(T441,Parameter!$I$27:$I$29,0))),1,0)</f>
        <v>0</v>
      </c>
      <c r="CC441" s="65" t="n">
        <f aca="false">IF(CR441&gt;0,INDEX(Parameter!$H$5:$H$7,W441)/INDEX(Parameter!$E$5:$E$7,W441),IF(AND(CA441=0,N(IFERROR(VLOOKUP(BY441,'Gebinde-Kategorie'!$A$5:$N$45,14,0),0))&gt;0),VLOOKUP(BY441,'Gebinde-Kategorie'!$A$5:$N$45,14,0)*10+Parameter!$M$23,Parameter!$M$24))</f>
        <v>155</v>
      </c>
      <c r="CD441" s="60" t="str">
        <f aca="false">IF(AND(Parameter!$B$19="Ja",E441&lt;&gt;"",ISNUMBER(MATCH(E441,Parameter!$I$35:$I$52,0))),VLOOKUP(E441,Parameter!$I$35:$J$52,2,0),IFERROR(VLOOKUP(D441,Parameter!$A$35:$C$64,2,0),"Nein"))</f>
        <v>2+3</v>
      </c>
      <c r="CE441" s="64" t="n">
        <f aca="false">IF(CA441=0,0,IF(N(S441)&gt;0,S441,IFERROR(VLOOKUP(D441,Parameter!$A$35:$C$64,3,0)+0,0)))</f>
        <v>0</v>
      </c>
      <c r="CF441" s="60" t="n">
        <f aca="false">IF(AB441&lt;&gt;"",AB441,AA441)</f>
        <v>3</v>
      </c>
      <c r="CG441" s="60" t="str">
        <f aca="false">IF(OR(CF441=1,CF441=2,CF441=3),IF(Parameter!$E$27="Ja","LIFT",IF(CF441=1,"L1","L23")),IF(CF441="Aussen","Aussen","-"))</f>
        <v>LIFT</v>
      </c>
      <c r="CH441" s="71" t="n">
        <f aca="false">IF(N(AC441)&gt;0,AC441,0)</f>
        <v>0</v>
      </c>
      <c r="CI441" s="65" t="n">
        <f aca="false">IF(ISNUMBER(AF441),1,0)</f>
        <v>0</v>
      </c>
      <c r="CJ441" s="62" t="n">
        <f aca="false">N(AF441)</f>
        <v>0</v>
      </c>
      <c r="CK441" s="62" t="n">
        <f aca="false">N(M441)+N(N441)</f>
        <v>1</v>
      </c>
      <c r="CL441" s="62" t="n">
        <f aca="false">N(M441)</f>
        <v>0</v>
      </c>
      <c r="CM441" s="62" t="n">
        <f aca="false">N(N441)</f>
        <v>1</v>
      </c>
      <c r="CN441" s="62" t="n">
        <f aca="false">ROUNDUP(H441/BZ441,0)</f>
        <v>3</v>
      </c>
      <c r="CO441" s="62" t="n">
        <f aca="false">ROUNDUP(CJ441/BZ441,0)</f>
        <v>0</v>
      </c>
      <c r="CP441" s="65" t="n">
        <f aca="false">IF(CA441=1,0,IFERROR(VLOOKUP(BY441,'Gebinde-Kategorie'!$A$5:$N$45,5,0)+0,0))</f>
        <v>8</v>
      </c>
      <c r="CQ441" s="65" t="n">
        <f aca="false">IFERROR(IF(OR(CF441=1,CF441=2,CF441=3),N(INDEX(Parameter!$I$5:$I$7,CF441)),0),0)</f>
        <v>0</v>
      </c>
      <c r="CR441" s="64" t="n">
        <f aca="false">IF(AND(Parameter!$B$21="Ja",ISNUMBER(W441),N(X441)&gt;0),IFERROR(N(INDEX(Parameter!$L$5:$L$7,W441))*INDEX(Parameter!$E$5:$E$7,W441)*X441/SUMIFS($X$7:$X$1843,$W$7:$W$1843,W441),0),0)</f>
        <v>0</v>
      </c>
      <c r="CS441" s="62" t="n">
        <f aca="false">IF(AND(OR(CG441="L1",CG441="L23",CG441="LIFT"),H441&gt;0),CC441*IF(CR441&gt;0,CR441*MAX(1,H441/X441),IF(CA441=1,CE441,IF(R441&gt;0,CN441/R441,0))/MAX(0.1,N(Parameter!$M$21))),"")</f>
        <v>3.32142857142857</v>
      </c>
      <c r="CT441" s="64" t="n">
        <f aca="false">IF(CS441="","",J441/H441)</f>
        <v>0</v>
      </c>
      <c r="CU441" s="62" t="n">
        <f aca="false">IF(CS441="","",H441*G441)</f>
        <v>442.14</v>
      </c>
      <c r="CV441" s="63" t="n">
        <f aca="false">IF(CS441="","",(CL441+ROUNDUP(CL441+MAX(CM441,2*(J441/MAX(0.1,N(Einkauf!$C$6))-CL441)),0))/2)</f>
        <v>0.5</v>
      </c>
      <c r="CW441" s="62" t="n">
        <f aca="false">IF(CS441="","",MAX(0,H441-CV441)*G441)</f>
        <v>405.295</v>
      </c>
      <c r="CX441" s="62" t="n">
        <f aca="false">IF(CS441="","",CS441*MAX(0,1-CV441/H441))</f>
        <v>3.04464285714286</v>
      </c>
      <c r="CY441" s="64" t="n">
        <f aca="false">IF(CS441="","",PERCENTRANK($CS$7:$CS$1843,CS441)+PERCENTRANK($CU$7:$CU$1843,CU441)+1-PERCENTRANK($CT$7:$CT$1843,CT441))</f>
        <v>1.836</v>
      </c>
      <c r="CZ441" s="72" t="n">
        <f aca="false">IF(CS441="","",CHOOSE(MATCH(Einkauf!$C$5,Parameter!$G$23:$G$27,0),CY441,CS441,CU441,-CT441,CW441)+ROW()/1000000000)</f>
        <v>1.836000441</v>
      </c>
    </row>
    <row r="442" customFormat="false" ht="15" hidden="false" customHeight="false" outlineLevel="0" collapsed="false">
      <c r="A442" s="60" t="s">
        <v>1049</v>
      </c>
      <c r="B442" s="60" t="s">
        <v>934</v>
      </c>
      <c r="C442" s="60" t="s">
        <v>206</v>
      </c>
      <c r="D442" s="60" t="s">
        <v>226</v>
      </c>
      <c r="E442" s="60" t="s">
        <v>227</v>
      </c>
      <c r="F442" s="60" t="s">
        <v>260</v>
      </c>
      <c r="G442" s="61" t="n">
        <v>7.1</v>
      </c>
      <c r="H442" s="62" t="n">
        <f aca="false">MAX(0,IF(AND(Parameter!$B$21="Ja",ISNUMBER(Y442)),Y442,IF(Parameter!$B$20="Jahresanfang 2025 + Export",BS442+BR442,BR442)))</f>
        <v>17</v>
      </c>
      <c r="I442" s="62" t="n">
        <f aca="false">H442*G442</f>
        <v>120.7</v>
      </c>
      <c r="J442" s="62" t="n">
        <f aca="false">BU442*Parameter!$B$18</f>
        <v>22</v>
      </c>
      <c r="K442" s="63" t="n">
        <v>7</v>
      </c>
      <c r="L442" s="64" t="n">
        <v>3.14285714285714</v>
      </c>
      <c r="M442" s="62" t="n">
        <v>0</v>
      </c>
      <c r="N442" s="62" t="n">
        <v>20</v>
      </c>
      <c r="O442" s="65" t="n">
        <v>14</v>
      </c>
      <c r="P442" s="60" t="s">
        <v>468</v>
      </c>
      <c r="Q442" s="62" t="n">
        <v>32</v>
      </c>
      <c r="R442" s="65" t="n">
        <f aca="false">IF(CA442=1,0,IFERROR(VLOOKUP(BY442,'Gebinde-Kategorie'!$A$5:$N$45,13,0)+0,0))</f>
        <v>140</v>
      </c>
      <c r="S442" s="66"/>
      <c r="T442" s="67"/>
      <c r="U442" s="67"/>
      <c r="V442" s="67"/>
      <c r="W442" s="60"/>
      <c r="X442" s="62"/>
      <c r="Y442" s="62"/>
      <c r="Z442" s="60" t="n">
        <v>1</v>
      </c>
      <c r="AA442" s="60" t="n">
        <f aca="false">IF(A442="","",IF(AND(Parameter!$B$21="Ja",ISNUMBER(W442)),W442,IF(AND(Parameter!$E$27="Ja",ISNUMBER(Z442),CD442&lt;&gt;"Nein"),Z442,IF(CD442="2+3",IF(ISNUMBER(SEARCH("grosser Artikel",BV442)),2,IFERROR(VLOOKUP(BY442,Parameter!$F$35:$G$64,2,0),2)),IF(OR(CD442="Nein",CD442=""),"-",CD442)))))</f>
        <v>1</v>
      </c>
      <c r="AB442" s="67"/>
      <c r="AC442" s="68"/>
      <c r="AD442" s="62" t="n">
        <f aca="false">AW442</f>
        <v>20</v>
      </c>
      <c r="AE442" s="62" t="n">
        <f aca="false">MAX(AW442,H442)</f>
        <v>20</v>
      </c>
      <c r="AF442" s="69"/>
      <c r="AG442" s="62" t="n">
        <f aca="false">IF(LEFT(Cockpit!$C$5,1)="A",H442,IF(Parameter!$E$30="MAX-Bestand",IF(CI442=1,CJ442,IF(LEFT(Cockpit!$C$5,1)="B",AM442,MAX(AM442,H442))),ROUNDUP(AK442,0)))</f>
        <v>17</v>
      </c>
      <c r="AH442" s="62" t="n">
        <f aca="false">IF(CA442=1,0,ROUNDUP(AG442/BZ442,0))</f>
        <v>1</v>
      </c>
      <c r="AI442" s="64" t="n">
        <f aca="false">IF(CR442&gt;0,CR442*MAX(1,AG442/X442),IF(CA442=1,IF(AG442&lt;=0,0,CE442*MAX(1,IF(H442&gt;0,AG442/H442,1))),IF(R442&gt;0,AH442/R442,0))/MAX(0.1,N(Parameter!$M$21)))</f>
        <v>0.00714285714285714</v>
      </c>
      <c r="AJ442" s="62" t="n">
        <f aca="false">AI442*CC442</f>
        <v>1.10714285714286</v>
      </c>
      <c r="AK442" s="63" t="n">
        <f aca="false">IF(LEFT(Cockpit!$C$5,1)="A",H442,IF(CI442=1,(CL442+CJ442)/2,IF(LEFT(Cockpit!$C$5,1)="B",(CL442+AM442)/2,MAX((CL442+AM442)/2,H442))))</f>
        <v>17</v>
      </c>
      <c r="AL442" s="62" t="n">
        <f aca="false">AK442*G442</f>
        <v>120.7</v>
      </c>
      <c r="AM442" s="62" t="n">
        <f aca="false">ROUNDUP(CL442+MAX(CM442,2*(J442/IF(CH442&gt;0,CH442,MAX(0.1,N(Cockpit!$C$6)))-CL442)),0)</f>
        <v>20</v>
      </c>
      <c r="AN442" s="63" t="n">
        <f aca="false">IF(AJ442&gt;0,J442/AJ442,-1)</f>
        <v>19.8709677419355</v>
      </c>
      <c r="AO442" s="63" t="n">
        <f aca="false">IF(AND(OR(CG442="L1",CG442="L23",CG442="LIFT"),AJ442&gt;0),SUMIFS($AJ$7:$AJ$1843,$CG$7:$CG$1843,CG442,$AN$7:$AN$1843,"&gt;"&amp;AN442)+SUMIFS($AJ$7:$AJ$1843,$CG$7:$CG$1843,CG442,$AN$7:$AN$1843,AN442,$BX$7:$BX$1843,"&lt;="&amp;BX442),"")</f>
        <v>1656.7326007326</v>
      </c>
      <c r="AP442" s="70" t="n">
        <f aca="false">IF(AO442="",0,MAX(0,MIN(1,(IF(CG442="L1",Parameter!$H$5,IF(CG442="L23",Parameter!$H$6+Parameter!$H$7,Parameter!$H$5+Parameter!$H$6+Parameter!$H$7))-(AO442-AJ442))/AJ442)))</f>
        <v>1</v>
      </c>
      <c r="AQ442" s="62" t="n">
        <f aca="false">IF(LEFT(Cockpit!$I$5,1)="A",H442,IF(Parameter!$E$30="MAX-Bestand",IF(CI442=1,CJ442,IF(LEFT(Cockpit!$I$5,1)="B",AW442,MAX(AW442,H442))),ROUNDUP(AU442,0)))</f>
        <v>17</v>
      </c>
      <c r="AR442" s="62" t="n">
        <f aca="false">IF(CA442=1,0,ROUNDUP(AQ442/BZ442,0))</f>
        <v>1</v>
      </c>
      <c r="AS442" s="64" t="n">
        <f aca="false">IF(CR442&gt;0,CR442*MAX(1,AQ442/X442),IF(CA442=1,IF(AQ442&lt;=0,0,CE442*MAX(1,IF(H442&gt;0,AQ442/H442,1))),IF(R442&gt;0,AR442/R442,0))/MAX(0.1,N(Parameter!$M$21)))</f>
        <v>0.00714285714285714</v>
      </c>
      <c r="AT442" s="62" t="n">
        <f aca="false">AS442*CC442</f>
        <v>1.10714285714286</v>
      </c>
      <c r="AU442" s="63" t="n">
        <f aca="false">IF(LEFT(Cockpit!$I$5,1)="A",H442,IF(CI442=1,(CL442+CJ442)/2,IF(LEFT(Cockpit!$I$5,1)="B",(CL442+AW442)/2,MAX((CL442+AW442)/2,H442))))</f>
        <v>17</v>
      </c>
      <c r="AV442" s="62" t="n">
        <f aca="false">AU442*G442</f>
        <v>120.7</v>
      </c>
      <c r="AW442" s="62" t="n">
        <f aca="false">ROUNDUP(CL442+MAX(CM442,2*(J442/IF(CH442&gt;0,CH442,MAX(0.1,N(Cockpit!$I$6)))-CL442)),0)</f>
        <v>20</v>
      </c>
      <c r="AX442" s="63" t="n">
        <f aca="false">IF(AT442&gt;0,J442/AT442,-1)</f>
        <v>19.8709677419355</v>
      </c>
      <c r="AY442" s="63" t="n">
        <f aca="false">IF(AND(OR(CG442="L1",CG442="L23",CG442="LIFT"),AT442&gt;0),SUMIFS($AT$7:$AT$1843,$CG$7:$CG$1843,CG442,$AX$7:$AX$1843,"&gt;"&amp;AX442)+SUMIFS($AT$7:$AT$1843,$CG$7:$CG$1843,CG442,$AX$7:$AX$1843,AX442,$BX$7:$BX$1843,"&lt;="&amp;BX442),"")</f>
        <v>2293.85347985348</v>
      </c>
      <c r="AZ442" s="70" t="n">
        <f aca="false">IF(AY442="",0,MAX(0,MIN(1,(IF(CG442="L1",Parameter!$H$5,IF(CG442="L23",Parameter!$H$6+Parameter!$H$7,Parameter!$H$5+Parameter!$H$6+Parameter!$H$7))-(AY442-AT442))/AT442)))</f>
        <v>1</v>
      </c>
      <c r="BA442" s="62" t="n">
        <f aca="false">IF(LEFT(Cockpit!$O$5,1)="A",H442,IF(Parameter!$E$30="MAX-Bestand",IF(CI442=1,CJ442,IF(LEFT(Cockpit!$O$5,1)="B",BG442,MAX(BG442,H442))),ROUNDUP(BE442,0)))</f>
        <v>10</v>
      </c>
      <c r="BB442" s="62" t="n">
        <f aca="false">IF(CA442=1,0,ROUNDUP(BA442/BZ442,0))</f>
        <v>1</v>
      </c>
      <c r="BC442" s="64" t="n">
        <f aca="false">IF(CR442&gt;0,CR442*MAX(1,BA442/X442),IF(CA442=1,IF(BA442&lt;=0,0,CE442*MAX(1,IF(H442&gt;0,BA442/H442,1))),IF(R442&gt;0,BB442/R442,0))/MAX(0.1,N(Parameter!$M$21)))</f>
        <v>0.00714285714285714</v>
      </c>
      <c r="BD442" s="62" t="n">
        <f aca="false">BC442*CC442</f>
        <v>1.10714285714286</v>
      </c>
      <c r="BE442" s="63" t="n">
        <f aca="false">IF(LEFT(Cockpit!$O$5,1)="A",H442,IF(CI442=1,(CL442+CJ442)/2,IF(LEFT(Cockpit!$O$5,1)="B",(CL442+BG442)/2,MAX((CL442+BG442)/2,H442))))</f>
        <v>10</v>
      </c>
      <c r="BF442" s="62" t="n">
        <f aca="false">BE442*G442</f>
        <v>71</v>
      </c>
      <c r="BG442" s="62" t="n">
        <f aca="false">ROUNDUP(CL442+MAX(CM442,2*(J442/IF(CH442&gt;0,CH442,MAX(0.1,N(Cockpit!$O$6)))-CL442)),0)</f>
        <v>20</v>
      </c>
      <c r="BH442" s="63" t="n">
        <f aca="false">IF(BD442&gt;0,J442/BD442,-1)</f>
        <v>19.8709677419355</v>
      </c>
      <c r="BI442" s="63" t="n">
        <f aca="false">IF(AND(OR(CG442="L1",CG442="L23",CG442="LIFT"),BD442&gt;0),SUMIFS($BD$7:$BD$1843,$CG$7:$CG$1843,CG442,$BH$7:$BH$1843,"&gt;"&amp;BH442)+SUMIFS($BD$7:$BD$1843,$CG$7:$CG$1843,CG442,$BH$7:$BH$1843,BH442,$BX$7:$BX$1843,"&lt;="&amp;BX442),"")</f>
        <v>2224.62087912088</v>
      </c>
      <c r="BJ442" s="70" t="n">
        <f aca="false">IF(BI442="",0,MAX(0,MIN(1,(IF(CG442="L1",Parameter!$H$5,IF(CG442="L23",Parameter!$H$6+Parameter!$H$7,Parameter!$H$5+Parameter!$H$6+Parameter!$H$7))-(BI442-BD442))/BD442)))</f>
        <v>1</v>
      </c>
      <c r="BK442" s="60" t="str">
        <f aca="false">IF(AJ442&lt;=0,"",IF(CG442="Aussen","Aussenlager",IF(CG442="-","Nicht im Lift",IF(AP442&gt;=1,"Lift",IF(AP442&lt;=0,"Aussenlager","teilweise")))))</f>
        <v>Lift</v>
      </c>
      <c r="BL442" s="60" t="str">
        <f aca="false">IF(AT442&lt;=0,"",IF(CG442="Aussen","Aussenlager",IF(CG442="-","Nicht im Lift",IF(AZ442&gt;=1,"Lift",IF(AZ442&lt;=0,"Aussenlager","teilweise")))))</f>
        <v>Lift</v>
      </c>
      <c r="BM442" s="60" t="str">
        <f aca="false">IF(BD442&lt;=0,"",IF(CG442="Aussen","Aussenlager",IF(CG442="-","Nicht im Lift",IF(BJ442&gt;=1,"Lift",IF(BJ442&lt;=0,"Aussenlager","teilweise")))))</f>
        <v>Lift</v>
      </c>
      <c r="BN442" s="60" t="str">
        <f aca="false">IF(A442="","",IF(BW442=1,"Neu; ","")&amp;IF(AND(BW442=0,BR442&lt;0),"negativer Bestand (Export "&amp;BR442&amp;"); ","")&amp;IF(J442&lt;=0,"Kein Verbrauch; ","")&amp;IF(CR442&gt;0,"Lift "&amp;W442&amp;" lt. Liftbericht (Fach "&amp;X442&amp;" Stk); ",IF(CB442=1,"Gebinde geschätzt ("&amp;T442&amp;"); ",IF(CA442=1,"Lose – Tablare geschätzt; ","")))&amp;IF(H442&gt;AW442,"Überbestand "&amp;ROUND(H442-AW442,0)&amp;" Stk / CHF "&amp;ROUND((H442-AW442)*G442,0)&amp;"; ","")&amp;IF(AND(CI442=1,CJ442&lt;CK442),"MAX &lt; MB+LG; ","")&amp;IF(AND(CQ442&gt;0,CP442*10&gt;CQ442),"zu hoch für Tablar; ","")&amp;IF(AND(BW442=0,OR(CI442=1,AB442&lt;&gt;"",U442&lt;&gt;"",V442&lt;&gt;"",AC442&lt;&gt;"")),"manuell übersteuert; ","")&amp;IF(AND(CA442=0,R442=0),"Gebinde unbekannt / Stellmass fehlt; ","")&amp;IF(AND(CA442=0,N(V442)&lt;=0,N(Q442)&lt;=0),"Menge pro Gebinde fehlt (Ist = 1 Gebinde); ","")&amp;BV442)</f>
        <v/>
      </c>
      <c r="BO442" s="60"/>
      <c r="BP442" s="60"/>
      <c r="BQ442" s="67"/>
      <c r="BR442" s="62" t="n">
        <v>10</v>
      </c>
      <c r="BS442" s="62" t="n">
        <v>7</v>
      </c>
      <c r="BT442" s="61" t="n">
        <v>73.38</v>
      </c>
      <c r="BU442" s="62" t="n">
        <v>22</v>
      </c>
      <c r="BV442" s="60"/>
      <c r="BW442" s="65" t="n">
        <v>0</v>
      </c>
      <c r="BX442" s="65" t="n">
        <v>442</v>
      </c>
      <c r="BY442" s="60" t="str">
        <f aca="false">IF(U442&lt;&gt;"",UPPER(TRIM(U442)),IF(CB442=1,UPPER(VLOOKUP(T442,Parameter!$I$27:$K$29,2,0)),IF(P442="","LOSE",P442)))</f>
        <v>S22</v>
      </c>
      <c r="BZ442" s="62" t="n">
        <f aca="false">IF(BY442="LOSE",1,IF(N(V442)&gt;0,V442,IF(CB442=1,MAX(1,N(VLOOKUP(T442,Parameter!$I$27:$K$29,3,0)),H442,N(N442)),IF(N(Q442)&gt;0,Q442,MAX(1,H442)))))</f>
        <v>32</v>
      </c>
      <c r="CA442" s="65" t="n">
        <f aca="false">IF(BY442="LOSE",1,0)</f>
        <v>0</v>
      </c>
      <c r="CB442" s="65" t="n">
        <f aca="false">IF(AND(U442="",OR(P442="",P442="LOSE"),T442&lt;&gt;"",N(S442)&lt;=0,ISNUMBER(MATCH(T442,Parameter!$I$27:$I$29,0))),1,0)</f>
        <v>0</v>
      </c>
      <c r="CC442" s="65" t="n">
        <f aca="false">IF(CR442&gt;0,INDEX(Parameter!$H$5:$H$7,W442)/INDEX(Parameter!$E$5:$E$7,W442),IF(AND(CA442=0,N(IFERROR(VLOOKUP(BY442,'Gebinde-Kategorie'!$A$5:$N$45,14,0),0))&gt;0),VLOOKUP(BY442,'Gebinde-Kategorie'!$A$5:$N$45,14,0)*10+Parameter!$M$23,Parameter!$M$24))</f>
        <v>155</v>
      </c>
      <c r="CD442" s="60" t="str">
        <f aca="false">IF(AND(Parameter!$B$19="Ja",E442&lt;&gt;"",ISNUMBER(MATCH(E442,Parameter!$I$35:$I$52,0))),VLOOKUP(E442,Parameter!$I$35:$J$52,2,0),IFERROR(VLOOKUP(D442,Parameter!$A$35:$C$64,2,0),"Nein"))</f>
        <v>2+3</v>
      </c>
      <c r="CE442" s="64" t="n">
        <f aca="false">IF(CA442=0,0,IF(N(S442)&gt;0,S442,IFERROR(VLOOKUP(D442,Parameter!$A$35:$C$64,3,0)+0,0)))</f>
        <v>0</v>
      </c>
      <c r="CF442" s="60" t="n">
        <f aca="false">IF(AB442&lt;&gt;"",AB442,AA442)</f>
        <v>1</v>
      </c>
      <c r="CG442" s="60" t="str">
        <f aca="false">IF(OR(CF442=1,CF442=2,CF442=3),IF(Parameter!$E$27="Ja","LIFT",IF(CF442=1,"L1","L23")),IF(CF442="Aussen","Aussen","-"))</f>
        <v>LIFT</v>
      </c>
      <c r="CH442" s="71" t="n">
        <f aca="false">IF(N(AC442)&gt;0,AC442,0)</f>
        <v>0</v>
      </c>
      <c r="CI442" s="65" t="n">
        <f aca="false">IF(ISNUMBER(AF442),1,0)</f>
        <v>0</v>
      </c>
      <c r="CJ442" s="62" t="n">
        <f aca="false">N(AF442)</f>
        <v>0</v>
      </c>
      <c r="CK442" s="62" t="n">
        <f aca="false">N(M442)+N(N442)</f>
        <v>20</v>
      </c>
      <c r="CL442" s="62" t="n">
        <f aca="false">N(M442)</f>
        <v>0</v>
      </c>
      <c r="CM442" s="62" t="n">
        <f aca="false">N(N442)</f>
        <v>20</v>
      </c>
      <c r="CN442" s="62" t="n">
        <f aca="false">ROUNDUP(H442/BZ442,0)</f>
        <v>1</v>
      </c>
      <c r="CO442" s="62" t="n">
        <f aca="false">ROUNDUP(CJ442/BZ442,0)</f>
        <v>0</v>
      </c>
      <c r="CP442" s="65" t="n">
        <f aca="false">IF(CA442=1,0,IFERROR(VLOOKUP(BY442,'Gebinde-Kategorie'!$A$5:$N$45,5,0)+0,0))</f>
        <v>8</v>
      </c>
      <c r="CQ442" s="65" t="n">
        <f aca="false">IFERROR(IF(OR(CF442=1,CF442=2,CF442=3),N(INDEX(Parameter!$I$5:$I$7,CF442)),0),0)</f>
        <v>0</v>
      </c>
      <c r="CR442" s="64" t="n">
        <f aca="false">IF(AND(Parameter!$B$21="Ja",ISNUMBER(W442),N(X442)&gt;0),IFERROR(N(INDEX(Parameter!$L$5:$L$7,W442))*INDEX(Parameter!$E$5:$E$7,W442)*X442/SUMIFS($X$7:$X$1843,$W$7:$W$1843,W442),0),0)</f>
        <v>0</v>
      </c>
      <c r="CS442" s="62" t="n">
        <f aca="false">IF(AND(OR(CG442="L1",CG442="L23",CG442="LIFT"),H442&gt;0),CC442*IF(CR442&gt;0,CR442*MAX(1,H442/X442),IF(CA442=1,CE442,IF(R442&gt;0,CN442/R442,0))/MAX(0.1,N(Parameter!$M$21))),"")</f>
        <v>1.10714285714286</v>
      </c>
      <c r="CT442" s="64" t="n">
        <f aca="false">IF(CS442="","",J442/H442)</f>
        <v>1.29411764705882</v>
      </c>
      <c r="CU442" s="62" t="n">
        <f aca="false">IF(CS442="","",H442*G442)</f>
        <v>120.7</v>
      </c>
      <c r="CV442" s="63" t="n">
        <f aca="false">IF(CS442="","",(CL442+ROUNDUP(CL442+MAX(CM442,2*(J442/MAX(0.1,N(Einkauf!$C$6))-CL442)),0))/2)</f>
        <v>10</v>
      </c>
      <c r="CW442" s="62" t="n">
        <f aca="false">IF(CS442="","",MAX(0,H442-CV442)*G442)</f>
        <v>49.7</v>
      </c>
      <c r="CX442" s="62" t="n">
        <f aca="false">IF(CS442="","",CS442*MAX(0,1-CV442/H442))</f>
        <v>0.455882352941176</v>
      </c>
      <c r="CY442" s="64" t="n">
        <f aca="false">IF(CS442="","",PERCENTRANK($CS$7:$CS$1843,CS442)+PERCENTRANK($CU$7:$CU$1843,CU442)+1-PERCENTRANK($CT$7:$CT$1843,CT442))</f>
        <v>0.5804</v>
      </c>
      <c r="CZ442" s="72" t="n">
        <f aca="false">IF(CS442="","",CHOOSE(MATCH(Einkauf!$C$5,Parameter!$G$23:$G$27,0),CY442,CS442,CU442,-CT442,CW442)+ROW()/1000000000)</f>
        <v>0.580400442</v>
      </c>
    </row>
    <row r="443" customFormat="false" ht="15" hidden="false" customHeight="false" outlineLevel="0" collapsed="false">
      <c r="A443" s="60" t="s">
        <v>1050</v>
      </c>
      <c r="B443" s="60" t="s">
        <v>1051</v>
      </c>
      <c r="C443" s="60" t="s">
        <v>206</v>
      </c>
      <c r="D443" s="60" t="s">
        <v>226</v>
      </c>
      <c r="E443" s="60"/>
      <c r="F443" s="60" t="s">
        <v>260</v>
      </c>
      <c r="G443" s="61" t="n">
        <v>6.65</v>
      </c>
      <c r="H443" s="62" t="n">
        <f aca="false">MAX(0,IF(AND(Parameter!$B$21="Ja",ISNUMBER(Y443)),Y443,IF(Parameter!$B$20="Jahresanfang 2025 + Export",BS443+BR443,BR443)))</f>
        <v>53</v>
      </c>
      <c r="I443" s="62" t="n">
        <f aca="false">H443*G443</f>
        <v>352.45</v>
      </c>
      <c r="J443" s="62" t="n">
        <f aca="false">BU443*Parameter!$B$18</f>
        <v>1</v>
      </c>
      <c r="K443" s="63" t="n">
        <v>47.5</v>
      </c>
      <c r="L443" s="64" t="n">
        <v>0.0210526315789474</v>
      </c>
      <c r="M443" s="62" t="n">
        <v>0</v>
      </c>
      <c r="N443" s="62" t="n">
        <v>1</v>
      </c>
      <c r="O443" s="65" t="n">
        <v>70</v>
      </c>
      <c r="P443" s="60" t="s">
        <v>518</v>
      </c>
      <c r="Q443" s="62" t="n">
        <v>55</v>
      </c>
      <c r="R443" s="65" t="n">
        <f aca="false">IF(CA443=1,0,IFERROR(VLOOKUP(BY443,'Gebinde-Kategorie'!$A$5:$N$45,13,0)+0,0))</f>
        <v>52</v>
      </c>
      <c r="S443" s="66"/>
      <c r="T443" s="67"/>
      <c r="U443" s="67"/>
      <c r="V443" s="67"/>
      <c r="W443" s="60"/>
      <c r="X443" s="62"/>
      <c r="Y443" s="62"/>
      <c r="Z443" s="60" t="n">
        <v>3</v>
      </c>
      <c r="AA443" s="60" t="n">
        <f aca="false">IF(A443="","",IF(AND(Parameter!$B$21="Ja",ISNUMBER(W443)),W443,IF(AND(Parameter!$E$27="Ja",ISNUMBER(Z443),CD443&lt;&gt;"Nein"),Z443,IF(CD443="2+3",IF(ISNUMBER(SEARCH("grosser Artikel",BV443)),2,IFERROR(VLOOKUP(BY443,Parameter!$F$35:$G$64,2,0),2)),IF(OR(CD443="Nein",CD443=""),"-",CD443)))))</f>
        <v>3</v>
      </c>
      <c r="AB443" s="67"/>
      <c r="AC443" s="68"/>
      <c r="AD443" s="62" t="n">
        <f aca="false">AW443</f>
        <v>1</v>
      </c>
      <c r="AE443" s="62" t="n">
        <f aca="false">MAX(AW443,H443)</f>
        <v>53</v>
      </c>
      <c r="AF443" s="69"/>
      <c r="AG443" s="62" t="n">
        <f aca="false">IF(LEFT(Cockpit!$C$5,1)="A",H443,IF(Parameter!$E$30="MAX-Bestand",IF(CI443=1,CJ443,IF(LEFT(Cockpit!$C$5,1)="B",AM443,MAX(AM443,H443))),ROUNDUP(AK443,0)))</f>
        <v>53</v>
      </c>
      <c r="AH443" s="62" t="n">
        <f aca="false">IF(CA443=1,0,ROUNDUP(AG443/BZ443,0))</f>
        <v>1</v>
      </c>
      <c r="AI443" s="64" t="n">
        <f aca="false">IF(CR443&gt;0,CR443*MAX(1,AG443/X443),IF(CA443=1,IF(AG443&lt;=0,0,CE443*MAX(1,IF(H443&gt;0,AG443/H443,1))),IF(R443&gt;0,AH443/R443,0))/MAX(0.1,N(Parameter!$M$21)))</f>
        <v>0.0192307692307692</v>
      </c>
      <c r="AJ443" s="62" t="n">
        <f aca="false">AI443*CC443</f>
        <v>2.98076923076923</v>
      </c>
      <c r="AK443" s="63" t="n">
        <f aca="false">IF(LEFT(Cockpit!$C$5,1)="A",H443,IF(CI443=1,(CL443+CJ443)/2,IF(LEFT(Cockpit!$C$5,1)="B",(CL443+AM443)/2,MAX((CL443+AM443)/2,H443))))</f>
        <v>53</v>
      </c>
      <c r="AL443" s="62" t="n">
        <f aca="false">AK443*G443</f>
        <v>352.45</v>
      </c>
      <c r="AM443" s="62" t="n">
        <f aca="false">ROUNDUP(CL443+MAX(CM443,2*(J443/IF(CH443&gt;0,CH443,MAX(0.1,N(Cockpit!$C$6)))-CL443)),0)</f>
        <v>1</v>
      </c>
      <c r="AN443" s="63" t="n">
        <f aca="false">IF(AJ443&gt;0,J443/AJ443,-1)</f>
        <v>0.335483870967742</v>
      </c>
      <c r="AO443" s="63" t="n">
        <f aca="false">IF(AND(OR(CG443="L1",CG443="L23",CG443="LIFT"),AJ443&gt;0),SUMIFS($AJ$7:$AJ$1843,$CG$7:$CG$1843,CG443,$AN$7:$AN$1843,"&gt;"&amp;AN443)+SUMIFS($AJ$7:$AJ$1843,$CG$7:$CG$1843,CG443,$AN$7:$AN$1843,AN443,$BX$7:$BX$1843,"&lt;="&amp;BX443),"")</f>
        <v>11177.0770394859</v>
      </c>
      <c r="AP443" s="70" t="n">
        <f aca="false">IF(AO443="",0,MAX(0,MIN(1,(IF(CG443="L1",Parameter!$H$5,IF(CG443="L23",Parameter!$H$6+Parameter!$H$7,Parameter!$H$5+Parameter!$H$6+Parameter!$H$7))-(AO443-AJ443))/AJ443)))</f>
        <v>1</v>
      </c>
      <c r="AQ443" s="62" t="n">
        <f aca="false">IF(LEFT(Cockpit!$I$5,1)="A",H443,IF(Parameter!$E$30="MAX-Bestand",IF(CI443=1,CJ443,IF(LEFT(Cockpit!$I$5,1)="B",AW443,MAX(AW443,H443))),ROUNDUP(AU443,0)))</f>
        <v>53</v>
      </c>
      <c r="AR443" s="62" t="n">
        <f aca="false">IF(CA443=1,0,ROUNDUP(AQ443/BZ443,0))</f>
        <v>1</v>
      </c>
      <c r="AS443" s="64" t="n">
        <f aca="false">IF(CR443&gt;0,CR443*MAX(1,AQ443/X443),IF(CA443=1,IF(AQ443&lt;=0,0,CE443*MAX(1,IF(H443&gt;0,AQ443/H443,1))),IF(R443&gt;0,AR443/R443,0))/MAX(0.1,N(Parameter!$M$21)))</f>
        <v>0.0192307692307692</v>
      </c>
      <c r="AT443" s="62" t="n">
        <f aca="false">AS443*CC443</f>
        <v>2.98076923076923</v>
      </c>
      <c r="AU443" s="63" t="n">
        <f aca="false">IF(LEFT(Cockpit!$I$5,1)="A",H443,IF(CI443=1,(CL443+CJ443)/2,IF(LEFT(Cockpit!$I$5,1)="B",(CL443+AW443)/2,MAX((CL443+AW443)/2,H443))))</f>
        <v>53</v>
      </c>
      <c r="AV443" s="62" t="n">
        <f aca="false">AU443*G443</f>
        <v>352.45</v>
      </c>
      <c r="AW443" s="62" t="n">
        <f aca="false">ROUNDUP(CL443+MAX(CM443,2*(J443/IF(CH443&gt;0,CH443,MAX(0.1,N(Cockpit!$I$6)))-CL443)),0)</f>
        <v>1</v>
      </c>
      <c r="AX443" s="63" t="n">
        <f aca="false">IF(AT443&gt;0,J443/AT443,-1)</f>
        <v>0.335483870967742</v>
      </c>
      <c r="AY443" s="63" t="n">
        <f aca="false">IF(AND(OR(CG443="L1",CG443="L23",CG443="LIFT"),AT443&gt;0),SUMIFS($AT$7:$AT$1843,$CG$7:$CG$1843,CG443,$AX$7:$AX$1843,"&gt;"&amp;AX443)+SUMIFS($AT$7:$AT$1843,$CG$7:$CG$1843,CG443,$AX$7:$AX$1843,AX443,$BX$7:$BX$1843,"&lt;="&amp;BX443),"")</f>
        <v>13699.2916666667</v>
      </c>
      <c r="AZ443" s="70" t="n">
        <f aca="false">IF(AY443="",0,MAX(0,MIN(1,(IF(CG443="L1",Parameter!$H$5,IF(CG443="L23",Parameter!$H$6+Parameter!$H$7,Parameter!$H$5+Parameter!$H$6+Parameter!$H$7))-(AY443-AT443))/AT443)))</f>
        <v>1</v>
      </c>
      <c r="BA443" s="62" t="n">
        <f aca="false">IF(LEFT(Cockpit!$O$5,1)="A",H443,IF(Parameter!$E$30="MAX-Bestand",IF(CI443=1,CJ443,IF(LEFT(Cockpit!$O$5,1)="B",BG443,MAX(BG443,H443))),ROUNDUP(BE443,0)))</f>
        <v>1</v>
      </c>
      <c r="BB443" s="62" t="n">
        <f aca="false">IF(CA443=1,0,ROUNDUP(BA443/BZ443,0))</f>
        <v>1</v>
      </c>
      <c r="BC443" s="64" t="n">
        <f aca="false">IF(CR443&gt;0,CR443*MAX(1,BA443/X443),IF(CA443=1,IF(BA443&lt;=0,0,CE443*MAX(1,IF(H443&gt;0,BA443/H443,1))),IF(R443&gt;0,BB443/R443,0))/MAX(0.1,N(Parameter!$M$21)))</f>
        <v>0.0192307692307692</v>
      </c>
      <c r="BD443" s="62" t="n">
        <f aca="false">BC443*CC443</f>
        <v>2.98076923076923</v>
      </c>
      <c r="BE443" s="63" t="n">
        <f aca="false">IF(LEFT(Cockpit!$O$5,1)="A",H443,IF(CI443=1,(CL443+CJ443)/2,IF(LEFT(Cockpit!$O$5,1)="B",(CL443+BG443)/2,MAX((CL443+BG443)/2,H443))))</f>
        <v>0.5</v>
      </c>
      <c r="BF443" s="62" t="n">
        <f aca="false">BE443*G443</f>
        <v>3.325</v>
      </c>
      <c r="BG443" s="62" t="n">
        <f aca="false">ROUNDUP(CL443+MAX(CM443,2*(J443/IF(CH443&gt;0,CH443,MAX(0.1,N(Cockpit!$O$6)))-CL443)),0)</f>
        <v>1</v>
      </c>
      <c r="BH443" s="63" t="n">
        <f aca="false">IF(BD443&gt;0,J443/BD443,-1)</f>
        <v>0.335483870967742</v>
      </c>
      <c r="BI443" s="63" t="n">
        <f aca="false">IF(AND(OR(CG443="L1",CG443="L23",CG443="LIFT"),BD443&gt;0),SUMIFS($BD$7:$BD$1843,$CG$7:$CG$1843,CG443,$BH$7:$BH$1843,"&gt;"&amp;BH443)+SUMIFS($BD$7:$BD$1843,$CG$7:$CG$1843,CG443,$BH$7:$BH$1843,BH443,$BX$7:$BX$1843,"&lt;="&amp;BX443),"")</f>
        <v>11556.211996337</v>
      </c>
      <c r="BJ443" s="70" t="n">
        <f aca="false">IF(BI443="",0,MAX(0,MIN(1,(IF(CG443="L1",Parameter!$H$5,IF(CG443="L23",Parameter!$H$6+Parameter!$H$7,Parameter!$H$5+Parameter!$H$6+Parameter!$H$7))-(BI443-BD443))/BD443)))</f>
        <v>1</v>
      </c>
      <c r="BK443" s="60" t="str">
        <f aca="false">IF(AJ443&lt;=0,"",IF(CG443="Aussen","Aussenlager",IF(CG443="-","Nicht im Lift",IF(AP443&gt;=1,"Lift",IF(AP443&lt;=0,"Aussenlager","teilweise")))))</f>
        <v>Lift</v>
      </c>
      <c r="BL443" s="60" t="str">
        <f aca="false">IF(AT443&lt;=0,"",IF(CG443="Aussen","Aussenlager",IF(CG443="-","Nicht im Lift",IF(AZ443&gt;=1,"Lift",IF(AZ443&lt;=0,"Aussenlager","teilweise")))))</f>
        <v>Lift</v>
      </c>
      <c r="BM443" s="60" t="str">
        <f aca="false">IF(BD443&lt;=0,"",IF(CG443="Aussen","Aussenlager",IF(CG443="-","Nicht im Lift",IF(BJ443&gt;=1,"Lift",IF(BJ443&lt;=0,"Aussenlager","teilweise")))))</f>
        <v>Lift</v>
      </c>
      <c r="BN443" s="60" t="str">
        <f aca="false">IF(A443="","",IF(BW443=1,"Neu; ","")&amp;IF(AND(BW443=0,BR443&lt;0),"negativer Bestand (Export "&amp;BR443&amp;"); ","")&amp;IF(J443&lt;=0,"Kein Verbrauch; ","")&amp;IF(CR443&gt;0,"Lift "&amp;W443&amp;" lt. Liftbericht (Fach "&amp;X443&amp;" Stk); ",IF(CB443=1,"Gebinde geschätzt ("&amp;T443&amp;"); ",IF(CA443=1,"Lose – Tablare geschätzt; ","")))&amp;IF(H443&gt;AW443,"Überbestand "&amp;ROUND(H443-AW443,0)&amp;" Stk / CHF "&amp;ROUND((H443-AW443)*G443,0)&amp;"; ","")&amp;IF(AND(CI443=1,CJ443&lt;CK443),"MAX &lt; MB+LG; ","")&amp;IF(AND(CQ443&gt;0,CP443*10&gt;CQ443),"zu hoch für Tablar; ","")&amp;IF(AND(BW443=0,OR(CI443=1,AB443&lt;&gt;"",U443&lt;&gt;"",V443&lt;&gt;"",AC443&lt;&gt;"")),"manuell übersteuert; ","")&amp;IF(AND(CA443=0,R443=0),"Gebinde unbekannt / Stellmass fehlt; ","")&amp;IF(AND(CA443=0,N(V443)&lt;=0,N(Q443)&lt;=0),"Menge pro Gebinde fehlt (Ist = 1 Gebinde); ","")&amp;BV443)</f>
        <v>Überbestand 52 Stk / CHF 346; </v>
      </c>
      <c r="BO443" s="60"/>
      <c r="BP443" s="60"/>
      <c r="BQ443" s="67"/>
      <c r="BR443" s="62" t="n">
        <v>11</v>
      </c>
      <c r="BS443" s="62" t="n">
        <v>42</v>
      </c>
      <c r="BT443" s="61" t="n">
        <v>73.15</v>
      </c>
      <c r="BU443" s="62" t="n">
        <v>1</v>
      </c>
      <c r="BV443" s="60"/>
      <c r="BW443" s="65" t="n">
        <v>0</v>
      </c>
      <c r="BX443" s="65" t="n">
        <v>443</v>
      </c>
      <c r="BY443" s="60" t="str">
        <f aca="false">IF(U443&lt;&gt;"",UPPER(TRIM(U443)),IF(CB443=1,UPPER(VLOOKUP(T443,Parameter!$I$27:$K$29,2,0)),IF(P443="","LOSE",P443)))</f>
        <v>S33</v>
      </c>
      <c r="BZ443" s="62" t="n">
        <f aca="false">IF(BY443="LOSE",1,IF(N(V443)&gt;0,V443,IF(CB443=1,MAX(1,N(VLOOKUP(T443,Parameter!$I$27:$K$29,3,0)),H443,N(N443)),IF(N(Q443)&gt;0,Q443,MAX(1,H443)))))</f>
        <v>55</v>
      </c>
      <c r="CA443" s="65" t="n">
        <f aca="false">IF(BY443="LOSE",1,0)</f>
        <v>0</v>
      </c>
      <c r="CB443" s="65" t="n">
        <f aca="false">IF(AND(U443="",OR(P443="",P443="LOSE"),T443&lt;&gt;"",N(S443)&lt;=0,ISNUMBER(MATCH(T443,Parameter!$I$27:$I$29,0))),1,0)</f>
        <v>0</v>
      </c>
      <c r="CC443" s="65" t="n">
        <f aca="false">IF(CR443&gt;0,INDEX(Parameter!$H$5:$H$7,W443)/INDEX(Parameter!$E$5:$E$7,W443),IF(AND(CA443=0,N(IFERROR(VLOOKUP(BY443,'Gebinde-Kategorie'!$A$5:$N$45,14,0),0))&gt;0),VLOOKUP(BY443,'Gebinde-Kategorie'!$A$5:$N$45,14,0)*10+Parameter!$M$23,Parameter!$M$24))</f>
        <v>155</v>
      </c>
      <c r="CD443" s="60" t="str">
        <f aca="false">IF(AND(Parameter!$B$19="Ja",E443&lt;&gt;"",ISNUMBER(MATCH(E443,Parameter!$I$35:$I$52,0))),VLOOKUP(E443,Parameter!$I$35:$J$52,2,0),IFERROR(VLOOKUP(D443,Parameter!$A$35:$C$64,2,0),"Nein"))</f>
        <v>2+3</v>
      </c>
      <c r="CE443" s="64" t="n">
        <f aca="false">IF(CA443=0,0,IF(N(S443)&gt;0,S443,IFERROR(VLOOKUP(D443,Parameter!$A$35:$C$64,3,0)+0,0)))</f>
        <v>0</v>
      </c>
      <c r="CF443" s="60" t="n">
        <f aca="false">IF(AB443&lt;&gt;"",AB443,AA443)</f>
        <v>3</v>
      </c>
      <c r="CG443" s="60" t="str">
        <f aca="false">IF(OR(CF443=1,CF443=2,CF443=3),IF(Parameter!$E$27="Ja","LIFT",IF(CF443=1,"L1","L23")),IF(CF443="Aussen","Aussen","-"))</f>
        <v>LIFT</v>
      </c>
      <c r="CH443" s="71" t="n">
        <f aca="false">IF(N(AC443)&gt;0,AC443,0)</f>
        <v>0</v>
      </c>
      <c r="CI443" s="65" t="n">
        <f aca="false">IF(ISNUMBER(AF443),1,0)</f>
        <v>0</v>
      </c>
      <c r="CJ443" s="62" t="n">
        <f aca="false">N(AF443)</f>
        <v>0</v>
      </c>
      <c r="CK443" s="62" t="n">
        <f aca="false">N(M443)+N(N443)</f>
        <v>1</v>
      </c>
      <c r="CL443" s="62" t="n">
        <f aca="false">N(M443)</f>
        <v>0</v>
      </c>
      <c r="CM443" s="62" t="n">
        <f aca="false">N(N443)</f>
        <v>1</v>
      </c>
      <c r="CN443" s="62" t="n">
        <f aca="false">ROUNDUP(H443/BZ443,0)</f>
        <v>1</v>
      </c>
      <c r="CO443" s="62" t="n">
        <f aca="false">ROUNDUP(CJ443/BZ443,0)</f>
        <v>0</v>
      </c>
      <c r="CP443" s="65" t="n">
        <f aca="false">IF(CA443=1,0,IFERROR(VLOOKUP(BY443,'Gebinde-Kategorie'!$A$5:$N$45,5,0)+0,0))</f>
        <v>8</v>
      </c>
      <c r="CQ443" s="65" t="n">
        <f aca="false">IFERROR(IF(OR(CF443=1,CF443=2,CF443=3),N(INDEX(Parameter!$I$5:$I$7,CF443)),0),0)</f>
        <v>0</v>
      </c>
      <c r="CR443" s="64" t="n">
        <f aca="false">IF(AND(Parameter!$B$21="Ja",ISNUMBER(W443),N(X443)&gt;0),IFERROR(N(INDEX(Parameter!$L$5:$L$7,W443))*INDEX(Parameter!$E$5:$E$7,W443)*X443/SUMIFS($X$7:$X$1843,$W$7:$W$1843,W443),0),0)</f>
        <v>0</v>
      </c>
      <c r="CS443" s="62" t="n">
        <f aca="false">IF(AND(OR(CG443="L1",CG443="L23",CG443="LIFT"),H443&gt;0),CC443*IF(CR443&gt;0,CR443*MAX(1,H443/X443),IF(CA443=1,CE443,IF(R443&gt;0,CN443/R443,0))/MAX(0.1,N(Parameter!$M$21))),"")</f>
        <v>2.98076923076923</v>
      </c>
      <c r="CT443" s="64" t="n">
        <f aca="false">IF(CS443="","",J443/H443)</f>
        <v>0.0188679245283019</v>
      </c>
      <c r="CU443" s="62" t="n">
        <f aca="false">IF(CS443="","",H443*G443)</f>
        <v>352.45</v>
      </c>
      <c r="CV443" s="63" t="n">
        <f aca="false">IF(CS443="","",(CL443+ROUNDUP(CL443+MAX(CM443,2*(J443/MAX(0.1,N(Einkauf!$C$6))-CL443)),0))/2)</f>
        <v>0.5</v>
      </c>
      <c r="CW443" s="62" t="n">
        <f aca="false">IF(CS443="","",MAX(0,H443-CV443)*G443)</f>
        <v>349.125</v>
      </c>
      <c r="CX443" s="62" t="n">
        <f aca="false">IF(CS443="","",CS443*MAX(0,1-CV443/H443))</f>
        <v>2.95264876632801</v>
      </c>
      <c r="CY443" s="64" t="n">
        <f aca="false">IF(CS443="","",PERCENTRANK($CS$7:$CS$1843,CS443)+PERCENTRANK($CU$7:$CU$1843,CU443)+1-PERCENTRANK($CT$7:$CT$1843,CT443))</f>
        <v>1.287</v>
      </c>
      <c r="CZ443" s="72" t="n">
        <f aca="false">IF(CS443="","",CHOOSE(MATCH(Einkauf!$C$5,Parameter!$G$23:$G$27,0),CY443,CS443,CU443,-CT443,CW443)+ROW()/1000000000)</f>
        <v>1.287000443</v>
      </c>
    </row>
    <row r="444" customFormat="false" ht="15" hidden="false" customHeight="false" outlineLevel="0" collapsed="false">
      <c r="A444" s="60" t="s">
        <v>1052</v>
      </c>
      <c r="B444" s="60" t="s">
        <v>471</v>
      </c>
      <c r="C444" s="60" t="s">
        <v>206</v>
      </c>
      <c r="D444" s="60" t="s">
        <v>226</v>
      </c>
      <c r="E444" s="60"/>
      <c r="F444" s="60" t="s">
        <v>260</v>
      </c>
      <c r="G444" s="61" t="n">
        <v>36.06</v>
      </c>
      <c r="H444" s="62" t="n">
        <f aca="false">MAX(0,IF(AND(Parameter!$B$21="Ja",ISNUMBER(Y444)),Y444,IF(Parameter!$B$20="Jahresanfang 2025 + Export",BS444+BR444,BR444)))</f>
        <v>61</v>
      </c>
      <c r="I444" s="62" t="n">
        <f aca="false">H444*G444</f>
        <v>2199.66</v>
      </c>
      <c r="J444" s="62" t="n">
        <f aca="false">BU444*Parameter!$B$18</f>
        <v>68</v>
      </c>
      <c r="K444" s="63" t="n">
        <v>60</v>
      </c>
      <c r="L444" s="64" t="n">
        <v>1.13333333333333</v>
      </c>
      <c r="M444" s="62" t="n">
        <v>13</v>
      </c>
      <c r="N444" s="62" t="n">
        <v>70</v>
      </c>
      <c r="O444" s="65" t="n">
        <v>70</v>
      </c>
      <c r="P444" s="60" t="s">
        <v>335</v>
      </c>
      <c r="Q444" s="62" t="n">
        <v>55</v>
      </c>
      <c r="R444" s="65" t="n">
        <f aca="false">IF(CA444=1,0,IFERROR(VLOOKUP(BY444,'Gebinde-Kategorie'!$A$5:$N$45,13,0)+0,0))</f>
        <v>12</v>
      </c>
      <c r="S444" s="66"/>
      <c r="T444" s="67"/>
      <c r="U444" s="67"/>
      <c r="V444" s="67"/>
      <c r="W444" s="60"/>
      <c r="X444" s="62"/>
      <c r="Y444" s="62"/>
      <c r="Z444" s="60" t="n">
        <v>3</v>
      </c>
      <c r="AA444" s="60" t="n">
        <f aca="false">IF(A444="","",IF(AND(Parameter!$B$21="Ja",ISNUMBER(W444)),W444,IF(AND(Parameter!$E$27="Ja",ISNUMBER(Z444),CD444&lt;&gt;"Nein"),Z444,IF(CD444="2+3",IF(ISNUMBER(SEARCH("grosser Artikel",BV444)),2,IFERROR(VLOOKUP(BY444,Parameter!$F$35:$G$64,2,0),2)),IF(OR(CD444="Nein",CD444=""),"-",CD444)))))</f>
        <v>3</v>
      </c>
      <c r="AB444" s="67"/>
      <c r="AC444" s="68"/>
      <c r="AD444" s="62" t="n">
        <f aca="false">AW444</f>
        <v>83</v>
      </c>
      <c r="AE444" s="62" t="n">
        <f aca="false">MAX(AW444,H444)</f>
        <v>83</v>
      </c>
      <c r="AF444" s="69"/>
      <c r="AG444" s="62" t="n">
        <f aca="false">IF(LEFT(Cockpit!$C$5,1)="A",H444,IF(Parameter!$E$30="MAX-Bestand",IF(CI444=1,CJ444,IF(LEFT(Cockpit!$C$5,1)="B",AM444,MAX(AM444,H444))),ROUNDUP(AK444,0)))</f>
        <v>61</v>
      </c>
      <c r="AH444" s="62" t="n">
        <f aca="false">IF(CA444=1,0,ROUNDUP(AG444/BZ444,0))</f>
        <v>2</v>
      </c>
      <c r="AI444" s="64" t="n">
        <f aca="false">IF(CR444&gt;0,CR444*MAX(1,AG444/X444),IF(CA444=1,IF(AG444&lt;=0,0,CE444*MAX(1,IF(H444&gt;0,AG444/H444,1))),IF(R444&gt;0,AH444/R444,0))/MAX(0.1,N(Parameter!$M$21)))</f>
        <v>0.166666666666667</v>
      </c>
      <c r="AJ444" s="62" t="n">
        <f aca="false">AI444*CC444</f>
        <v>40.8333333333333</v>
      </c>
      <c r="AK444" s="63" t="n">
        <f aca="false">IF(LEFT(Cockpit!$C$5,1)="A",H444,IF(CI444=1,(CL444+CJ444)/2,IF(LEFT(Cockpit!$C$5,1)="B",(CL444+AM444)/2,MAX((CL444+AM444)/2,H444))))</f>
        <v>61</v>
      </c>
      <c r="AL444" s="62" t="n">
        <f aca="false">AK444*G444</f>
        <v>2199.66</v>
      </c>
      <c r="AM444" s="62" t="n">
        <f aca="false">ROUNDUP(CL444+MAX(CM444,2*(J444/IF(CH444&gt;0,CH444,MAX(0.1,N(Cockpit!$C$6)))-CL444)),0)</f>
        <v>83</v>
      </c>
      <c r="AN444" s="63" t="n">
        <f aca="false">IF(AJ444&gt;0,J444/AJ444,-1)</f>
        <v>1.66530612244898</v>
      </c>
      <c r="AO444" s="63" t="n">
        <f aca="false">IF(AND(OR(CG444="L1",CG444="L23",CG444="LIFT"),AJ444&gt;0),SUMIFS($AJ$7:$AJ$1843,$CG$7:$CG$1843,CG444,$AN$7:$AN$1843,"&gt;"&amp;AN444)+SUMIFS($AJ$7:$AJ$1843,$CG$7:$CG$1843,CG444,$AN$7:$AN$1843,AN444,$BX$7:$BX$1843,"&lt;="&amp;BX444),"")</f>
        <v>6104.60943223443</v>
      </c>
      <c r="AP444" s="70" t="n">
        <f aca="false">IF(AO444="",0,MAX(0,MIN(1,(IF(CG444="L1",Parameter!$H$5,IF(CG444="L23",Parameter!$H$6+Parameter!$H$7,Parameter!$H$5+Parameter!$H$6+Parameter!$H$7))-(AO444-AJ444))/AJ444)))</f>
        <v>1</v>
      </c>
      <c r="AQ444" s="62" t="n">
        <f aca="false">IF(LEFT(Cockpit!$I$5,1)="A",H444,IF(Parameter!$E$30="MAX-Bestand",IF(CI444=1,CJ444,IF(LEFT(Cockpit!$I$5,1)="B",AW444,MAX(AW444,H444))),ROUNDUP(AU444,0)))</f>
        <v>61</v>
      </c>
      <c r="AR444" s="62" t="n">
        <f aca="false">IF(CA444=1,0,ROUNDUP(AQ444/BZ444,0))</f>
        <v>2</v>
      </c>
      <c r="AS444" s="64" t="n">
        <f aca="false">IF(CR444&gt;0,CR444*MAX(1,AQ444/X444),IF(CA444=1,IF(AQ444&lt;=0,0,CE444*MAX(1,IF(H444&gt;0,AQ444/H444,1))),IF(R444&gt;0,AR444/R444,0))/MAX(0.1,N(Parameter!$M$21)))</f>
        <v>0.166666666666667</v>
      </c>
      <c r="AT444" s="62" t="n">
        <f aca="false">AS444*CC444</f>
        <v>40.8333333333333</v>
      </c>
      <c r="AU444" s="63" t="n">
        <f aca="false">IF(LEFT(Cockpit!$I$5,1)="A",H444,IF(CI444=1,(CL444+CJ444)/2,IF(LEFT(Cockpit!$I$5,1)="B",(CL444+AW444)/2,MAX((CL444+AW444)/2,H444))))</f>
        <v>61</v>
      </c>
      <c r="AV444" s="62" t="n">
        <f aca="false">AU444*G444</f>
        <v>2199.66</v>
      </c>
      <c r="AW444" s="62" t="n">
        <f aca="false">ROUNDUP(CL444+MAX(CM444,2*(J444/IF(CH444&gt;0,CH444,MAX(0.1,N(Cockpit!$I$6)))-CL444)),0)</f>
        <v>83</v>
      </c>
      <c r="AX444" s="63" t="n">
        <f aca="false">IF(AT444&gt;0,J444/AT444,-1)</f>
        <v>1.66530612244898</v>
      </c>
      <c r="AY444" s="63" t="n">
        <f aca="false">IF(AND(OR(CG444="L1",CG444="L23",CG444="LIFT"),AT444&gt;0),SUMIFS($AT$7:$AT$1843,$CG$7:$CG$1843,CG444,$AX$7:$AX$1843,"&gt;"&amp;AX444)+SUMIFS($AT$7:$AT$1843,$CG$7:$CG$1843,CG444,$AX$7:$AX$1843,AX444,$BX$7:$BX$1843,"&lt;="&amp;BX444),"")</f>
        <v>7544.49816849817</v>
      </c>
      <c r="AZ444" s="70" t="n">
        <f aca="false">IF(AY444="",0,MAX(0,MIN(1,(IF(CG444="L1",Parameter!$H$5,IF(CG444="L23",Parameter!$H$6+Parameter!$H$7,Parameter!$H$5+Parameter!$H$6+Parameter!$H$7))-(AY444-AT444))/AT444)))</f>
        <v>1</v>
      </c>
      <c r="BA444" s="62" t="n">
        <f aca="false">IF(LEFT(Cockpit!$O$5,1)="A",H444,IF(Parameter!$E$30="MAX-Bestand",IF(CI444=1,CJ444,IF(LEFT(Cockpit!$O$5,1)="B",BG444,MAX(BG444,H444))),ROUNDUP(BE444,0)))</f>
        <v>48</v>
      </c>
      <c r="BB444" s="62" t="n">
        <f aca="false">IF(CA444=1,0,ROUNDUP(BA444/BZ444,0))</f>
        <v>1</v>
      </c>
      <c r="BC444" s="64" t="n">
        <f aca="false">IF(CR444&gt;0,CR444*MAX(1,BA444/X444),IF(CA444=1,IF(BA444&lt;=0,0,CE444*MAX(1,IF(H444&gt;0,BA444/H444,1))),IF(R444&gt;0,BB444/R444,0))/MAX(0.1,N(Parameter!$M$21)))</f>
        <v>0.0833333333333333</v>
      </c>
      <c r="BD444" s="62" t="n">
        <f aca="false">BC444*CC444</f>
        <v>20.4166666666667</v>
      </c>
      <c r="BE444" s="63" t="n">
        <f aca="false">IF(LEFT(Cockpit!$O$5,1)="A",H444,IF(CI444=1,(CL444+CJ444)/2,IF(LEFT(Cockpit!$O$5,1)="B",(CL444+BG444)/2,MAX((CL444+BG444)/2,H444))))</f>
        <v>48</v>
      </c>
      <c r="BF444" s="62" t="n">
        <f aca="false">BE444*G444</f>
        <v>1730.88</v>
      </c>
      <c r="BG444" s="62" t="n">
        <f aca="false">ROUNDUP(CL444+MAX(CM444,2*(J444/IF(CH444&gt;0,CH444,MAX(0.1,N(Cockpit!$O$6)))-CL444)),0)</f>
        <v>83</v>
      </c>
      <c r="BH444" s="63" t="n">
        <f aca="false">IF(BD444&gt;0,J444/BD444,-1)</f>
        <v>3.33061224489796</v>
      </c>
      <c r="BI444" s="63" t="n">
        <f aca="false">IF(AND(OR(CG444="L1",CG444="L23",CG444="LIFT"),BD444&gt;0),SUMIFS($BD$7:$BD$1843,$CG$7:$CG$1843,CG444,$BH$7:$BH$1843,"&gt;"&amp;BH444)+SUMIFS($BD$7:$BD$1843,$CG$7:$CG$1843,CG444,$BH$7:$BH$1843,BH444,$BX$7:$BX$1843,"&lt;="&amp;BX444),"")</f>
        <v>4621.54990842491</v>
      </c>
      <c r="BJ444" s="70" t="n">
        <f aca="false">IF(BI444="",0,MAX(0,MIN(1,(IF(CG444="L1",Parameter!$H$5,IF(CG444="L23",Parameter!$H$6+Parameter!$H$7,Parameter!$H$5+Parameter!$H$6+Parameter!$H$7))-(BI444-BD444))/BD444)))</f>
        <v>1</v>
      </c>
      <c r="BK444" s="60" t="str">
        <f aca="false">IF(AJ444&lt;=0,"",IF(CG444="Aussen","Aussenlager",IF(CG444="-","Nicht im Lift",IF(AP444&gt;=1,"Lift",IF(AP444&lt;=0,"Aussenlager","teilweise")))))</f>
        <v>Lift</v>
      </c>
      <c r="BL444" s="60" t="str">
        <f aca="false">IF(AT444&lt;=0,"",IF(CG444="Aussen","Aussenlager",IF(CG444="-","Nicht im Lift",IF(AZ444&gt;=1,"Lift",IF(AZ444&lt;=0,"Aussenlager","teilweise")))))</f>
        <v>Lift</v>
      </c>
      <c r="BM444" s="60" t="str">
        <f aca="false">IF(BD444&lt;=0,"",IF(CG444="Aussen","Aussenlager",IF(CG444="-","Nicht im Lift",IF(BJ444&gt;=1,"Lift",IF(BJ444&lt;=0,"Aussenlager","teilweise")))))</f>
        <v>Lift</v>
      </c>
      <c r="BN444" s="60" t="str">
        <f aca="false">IF(A444="","",IF(BW444=1,"Neu; ","")&amp;IF(AND(BW444=0,BR444&lt;0),"negativer Bestand (Export "&amp;BR444&amp;"); ","")&amp;IF(J444&lt;=0,"Kein Verbrauch; ","")&amp;IF(CR444&gt;0,"Lift "&amp;W444&amp;" lt. Liftbericht (Fach "&amp;X444&amp;" Stk); ",IF(CB444=1,"Gebinde geschätzt ("&amp;T444&amp;"); ",IF(CA444=1,"Lose – Tablare geschätzt; ","")))&amp;IF(H444&gt;AW444,"Überbestand "&amp;ROUND(H444-AW444,0)&amp;" Stk / CHF "&amp;ROUND((H444-AW444)*G444,0)&amp;"; ","")&amp;IF(AND(CI444=1,CJ444&lt;CK444),"MAX &lt; MB+LG; ","")&amp;IF(AND(CQ444&gt;0,CP444*10&gt;CQ444),"zu hoch für Tablar; ","")&amp;IF(AND(BW444=0,OR(CI444=1,AB444&lt;&gt;"",U444&lt;&gt;"",V444&lt;&gt;"",AC444&lt;&gt;"")),"manuell übersteuert; ","")&amp;IF(AND(CA444=0,R444=0),"Gebinde unbekannt / Stellmass fehlt; ","")&amp;IF(AND(CA444=0,N(V444)&lt;=0,N(Q444)&lt;=0),"Menge pro Gebinde fehlt (Ist = 1 Gebinde); ","")&amp;BV444)</f>
        <v/>
      </c>
      <c r="BO444" s="60"/>
      <c r="BP444" s="60"/>
      <c r="BQ444" s="67"/>
      <c r="BR444" s="62" t="n">
        <v>4</v>
      </c>
      <c r="BS444" s="62" t="n">
        <v>57</v>
      </c>
      <c r="BT444" s="61" t="n">
        <v>72.9900000000001</v>
      </c>
      <c r="BU444" s="62" t="n">
        <v>68</v>
      </c>
      <c r="BV444" s="60"/>
      <c r="BW444" s="65" t="n">
        <v>0</v>
      </c>
      <c r="BX444" s="65" t="n">
        <v>444</v>
      </c>
      <c r="BY444" s="60" t="str">
        <f aca="false">IF(U444&lt;&gt;"",UPPER(TRIM(U444)),IF(CB444=1,UPPER(VLOOKUP(T444,Parameter!$I$27:$K$29,2,0)),IF(P444="","LOSE",P444)))</f>
        <v>S62</v>
      </c>
      <c r="BZ444" s="62" t="n">
        <f aca="false">IF(BY444="LOSE",1,IF(N(V444)&gt;0,V444,IF(CB444=1,MAX(1,N(VLOOKUP(T444,Parameter!$I$27:$K$29,3,0)),H444,N(N444)),IF(N(Q444)&gt;0,Q444,MAX(1,H444)))))</f>
        <v>55</v>
      </c>
      <c r="CA444" s="65" t="n">
        <f aca="false">IF(BY444="LOSE",1,0)</f>
        <v>0</v>
      </c>
      <c r="CB444" s="65" t="n">
        <f aca="false">IF(AND(U444="",OR(P444="",P444="LOSE"),T444&lt;&gt;"",N(S444)&lt;=0,ISNUMBER(MATCH(T444,Parameter!$I$27:$I$29,0))),1,0)</f>
        <v>0</v>
      </c>
      <c r="CC444" s="65" t="n">
        <f aca="false">IF(CR444&gt;0,INDEX(Parameter!$H$5:$H$7,W444)/INDEX(Parameter!$E$5:$E$7,W444),IF(AND(CA444=0,N(IFERROR(VLOOKUP(BY444,'Gebinde-Kategorie'!$A$5:$N$45,14,0),0))&gt;0),VLOOKUP(BY444,'Gebinde-Kategorie'!$A$5:$N$45,14,0)*10+Parameter!$M$23,Parameter!$M$24))</f>
        <v>245</v>
      </c>
      <c r="CD444" s="60" t="str">
        <f aca="false">IF(AND(Parameter!$B$19="Ja",E444&lt;&gt;"",ISNUMBER(MATCH(E444,Parameter!$I$35:$I$52,0))),VLOOKUP(E444,Parameter!$I$35:$J$52,2,0),IFERROR(VLOOKUP(D444,Parameter!$A$35:$C$64,2,0),"Nein"))</f>
        <v>2+3</v>
      </c>
      <c r="CE444" s="64" t="n">
        <f aca="false">IF(CA444=0,0,IF(N(S444)&gt;0,S444,IFERROR(VLOOKUP(D444,Parameter!$A$35:$C$64,3,0)+0,0)))</f>
        <v>0</v>
      </c>
      <c r="CF444" s="60" t="n">
        <f aca="false">IF(AB444&lt;&gt;"",AB444,AA444)</f>
        <v>3</v>
      </c>
      <c r="CG444" s="60" t="str">
        <f aca="false">IF(OR(CF444=1,CF444=2,CF444=3),IF(Parameter!$E$27="Ja","LIFT",IF(CF444=1,"L1","L23")),IF(CF444="Aussen","Aussen","-"))</f>
        <v>LIFT</v>
      </c>
      <c r="CH444" s="71" t="n">
        <f aca="false">IF(N(AC444)&gt;0,AC444,0)</f>
        <v>0</v>
      </c>
      <c r="CI444" s="65" t="n">
        <f aca="false">IF(ISNUMBER(AF444),1,0)</f>
        <v>0</v>
      </c>
      <c r="CJ444" s="62" t="n">
        <f aca="false">N(AF444)</f>
        <v>0</v>
      </c>
      <c r="CK444" s="62" t="n">
        <f aca="false">N(M444)+N(N444)</f>
        <v>83</v>
      </c>
      <c r="CL444" s="62" t="n">
        <f aca="false">N(M444)</f>
        <v>13</v>
      </c>
      <c r="CM444" s="62" t="n">
        <f aca="false">N(N444)</f>
        <v>70</v>
      </c>
      <c r="CN444" s="62" t="n">
        <f aca="false">ROUNDUP(H444/BZ444,0)</f>
        <v>2</v>
      </c>
      <c r="CO444" s="62" t="n">
        <f aca="false">ROUNDUP(CJ444/BZ444,0)</f>
        <v>0</v>
      </c>
      <c r="CP444" s="65" t="n">
        <f aca="false">IF(CA444=1,0,IFERROR(VLOOKUP(BY444,'Gebinde-Kategorie'!$A$5:$N$45,5,0)+0,0))</f>
        <v>21</v>
      </c>
      <c r="CQ444" s="65" t="n">
        <f aca="false">IFERROR(IF(OR(CF444=1,CF444=2,CF444=3),N(INDEX(Parameter!$I$5:$I$7,CF444)),0),0)</f>
        <v>0</v>
      </c>
      <c r="CR444" s="64" t="n">
        <f aca="false">IF(AND(Parameter!$B$21="Ja",ISNUMBER(W444),N(X444)&gt;0),IFERROR(N(INDEX(Parameter!$L$5:$L$7,W444))*INDEX(Parameter!$E$5:$E$7,W444)*X444/SUMIFS($X$7:$X$1843,$W$7:$W$1843,W444),0),0)</f>
        <v>0</v>
      </c>
      <c r="CS444" s="62" t="n">
        <f aca="false">IF(AND(OR(CG444="L1",CG444="L23",CG444="LIFT"),H444&gt;0),CC444*IF(CR444&gt;0,CR444*MAX(1,H444/X444),IF(CA444=1,CE444,IF(R444&gt;0,CN444/R444,0))/MAX(0.1,N(Parameter!$M$21))),"")</f>
        <v>40.8333333333333</v>
      </c>
      <c r="CT444" s="64" t="n">
        <f aca="false">IF(CS444="","",J444/H444)</f>
        <v>1.11475409836066</v>
      </c>
      <c r="CU444" s="62" t="n">
        <f aca="false">IF(CS444="","",H444*G444)</f>
        <v>2199.66</v>
      </c>
      <c r="CV444" s="63" t="n">
        <f aca="false">IF(CS444="","",(CL444+ROUNDUP(CL444+MAX(CM444,2*(J444/MAX(0.1,N(Einkauf!$C$6))-CL444)),0))/2)</f>
        <v>48</v>
      </c>
      <c r="CW444" s="62" t="n">
        <f aca="false">IF(CS444="","",MAX(0,H444-CV444)*G444)</f>
        <v>468.78</v>
      </c>
      <c r="CX444" s="62" t="n">
        <f aca="false">IF(CS444="","",CS444*MAX(0,1-CV444/H444))</f>
        <v>8.70218579234973</v>
      </c>
      <c r="CY444" s="64" t="n">
        <f aca="false">IF(CS444="","",PERCENTRANK($CS$7:$CS$1843,CS444)+PERCENTRANK($CU$7:$CU$1843,CU444)+1-PERCENTRANK($CT$7:$CT$1843,CT444))</f>
        <v>1.991</v>
      </c>
      <c r="CZ444" s="72" t="n">
        <f aca="false">IF(CS444="","",CHOOSE(MATCH(Einkauf!$C$5,Parameter!$G$23:$G$27,0),CY444,CS444,CU444,-CT444,CW444)+ROW()/1000000000)</f>
        <v>1.991000444</v>
      </c>
    </row>
    <row r="445" customFormat="false" ht="15" hidden="false" customHeight="false" outlineLevel="0" collapsed="false">
      <c r="A445" s="60" t="s">
        <v>1053</v>
      </c>
      <c r="B445" s="60" t="s">
        <v>703</v>
      </c>
      <c r="C445" s="60" t="s">
        <v>206</v>
      </c>
      <c r="D445" s="60" t="s">
        <v>226</v>
      </c>
      <c r="E445" s="60" t="s">
        <v>227</v>
      </c>
      <c r="F445" s="60" t="s">
        <v>260</v>
      </c>
      <c r="G445" s="61" t="n">
        <v>4.81</v>
      </c>
      <c r="H445" s="62" t="n">
        <f aca="false">MAX(0,IF(AND(Parameter!$B$21="Ja",ISNUMBER(Y445)),Y445,IF(Parameter!$B$20="Jahresanfang 2025 + Export",BS445+BR445,BR445)))</f>
        <v>172</v>
      </c>
      <c r="I445" s="62" t="n">
        <f aca="false">H445*G445</f>
        <v>827.32</v>
      </c>
      <c r="J445" s="62" t="n">
        <f aca="false">BU445*Parameter!$B$18</f>
        <v>618</v>
      </c>
      <c r="K445" s="63" t="n">
        <v>163.5</v>
      </c>
      <c r="L445" s="64" t="n">
        <v>3.77981651376147</v>
      </c>
      <c r="M445" s="62" t="n">
        <v>36</v>
      </c>
      <c r="N445" s="62" t="n">
        <v>60</v>
      </c>
      <c r="O445" s="65" t="n">
        <v>21</v>
      </c>
      <c r="P445" s="60" t="s">
        <v>463</v>
      </c>
      <c r="Q445" s="62" t="n">
        <v>246</v>
      </c>
      <c r="R445" s="65" t="n">
        <f aca="false">IF(CA445=1,0,IFERROR(VLOOKUP(BY445,'Gebinde-Kategorie'!$A$5:$N$45,13,0)+0,0))</f>
        <v>104</v>
      </c>
      <c r="S445" s="66"/>
      <c r="T445" s="67"/>
      <c r="U445" s="67"/>
      <c r="V445" s="67"/>
      <c r="W445" s="60"/>
      <c r="X445" s="62"/>
      <c r="Y445" s="62"/>
      <c r="Z445" s="60" t="n">
        <v>2</v>
      </c>
      <c r="AA445" s="60" t="n">
        <f aca="false">IF(A445="","",IF(AND(Parameter!$B$21="Ja",ISNUMBER(W445)),W445,IF(AND(Parameter!$E$27="Ja",ISNUMBER(Z445),CD445&lt;&gt;"Nein"),Z445,IF(CD445="2+3",IF(ISNUMBER(SEARCH("grosser Artikel",BV445)),2,IFERROR(VLOOKUP(BY445,Parameter!$F$35:$G$64,2,0),2)),IF(OR(CD445="Nein",CD445=""),"-",CD445)))))</f>
        <v>2</v>
      </c>
      <c r="AB445" s="67"/>
      <c r="AC445" s="68"/>
      <c r="AD445" s="62" t="n">
        <f aca="false">AW445</f>
        <v>376</v>
      </c>
      <c r="AE445" s="62" t="n">
        <f aca="false">MAX(AW445,H445)</f>
        <v>376</v>
      </c>
      <c r="AF445" s="69"/>
      <c r="AG445" s="62" t="n">
        <f aca="false">IF(LEFT(Cockpit!$C$5,1)="A",H445,IF(Parameter!$E$30="MAX-Bestand",IF(CI445=1,CJ445,IF(LEFT(Cockpit!$C$5,1)="B",AM445,MAX(AM445,H445))),ROUNDUP(AK445,0)))</f>
        <v>172</v>
      </c>
      <c r="AH445" s="62" t="n">
        <f aca="false">IF(CA445=1,0,ROUNDUP(AG445/BZ445,0))</f>
        <v>1</v>
      </c>
      <c r="AI445" s="64" t="n">
        <f aca="false">IF(CR445&gt;0,CR445*MAX(1,AG445/X445),IF(CA445=1,IF(AG445&lt;=0,0,CE445*MAX(1,IF(H445&gt;0,AG445/H445,1))),IF(R445&gt;0,AH445/R445,0))/MAX(0.1,N(Parameter!$M$21)))</f>
        <v>0.00961538461538462</v>
      </c>
      <c r="AJ445" s="62" t="n">
        <f aca="false">AI445*CC445</f>
        <v>1.49038461538462</v>
      </c>
      <c r="AK445" s="63" t="n">
        <f aca="false">IF(LEFT(Cockpit!$C$5,1)="A",H445,IF(CI445=1,(CL445+CJ445)/2,IF(LEFT(Cockpit!$C$5,1)="B",(CL445+AM445)/2,MAX((CL445+AM445)/2,H445))))</f>
        <v>172</v>
      </c>
      <c r="AL445" s="62" t="n">
        <f aca="false">AK445*G445</f>
        <v>827.32</v>
      </c>
      <c r="AM445" s="62" t="n">
        <f aca="false">ROUNDUP(CL445+MAX(CM445,2*(J445/IF(CH445&gt;0,CH445,MAX(0.1,N(Cockpit!$C$6)))-CL445)),0)</f>
        <v>376</v>
      </c>
      <c r="AN445" s="63" t="n">
        <f aca="false">IF(AJ445&gt;0,J445/AJ445,-1)</f>
        <v>414.658064516129</v>
      </c>
      <c r="AO445" s="63" t="n">
        <f aca="false">IF(AND(OR(CG445="L1",CG445="L23",CG445="LIFT"),AJ445&gt;0),SUMIFS($AJ$7:$AJ$1843,$CG$7:$CG$1843,CG445,$AN$7:$AN$1843,"&gt;"&amp;AN445)+SUMIFS($AJ$7:$AJ$1843,$CG$7:$CG$1843,CG445,$AN$7:$AN$1843,AN445,$BX$7:$BX$1843,"&lt;="&amp;BX445),"")</f>
        <v>171.565476190476</v>
      </c>
      <c r="AP445" s="70" t="n">
        <f aca="false">IF(AO445="",0,MAX(0,MIN(1,(IF(CG445="L1",Parameter!$H$5,IF(CG445="L23",Parameter!$H$6+Parameter!$H$7,Parameter!$H$5+Parameter!$H$6+Parameter!$H$7))-(AO445-AJ445))/AJ445)))</f>
        <v>1</v>
      </c>
      <c r="AQ445" s="62" t="n">
        <f aca="false">IF(LEFT(Cockpit!$I$5,1)="A",H445,IF(Parameter!$E$30="MAX-Bestand",IF(CI445=1,CJ445,IF(LEFT(Cockpit!$I$5,1)="B",AW445,MAX(AW445,H445))),ROUNDUP(AU445,0)))</f>
        <v>206</v>
      </c>
      <c r="AR445" s="62" t="n">
        <f aca="false">IF(CA445=1,0,ROUNDUP(AQ445/BZ445,0))</f>
        <v>1</v>
      </c>
      <c r="AS445" s="64" t="n">
        <f aca="false">IF(CR445&gt;0,CR445*MAX(1,AQ445/X445),IF(CA445=1,IF(AQ445&lt;=0,0,CE445*MAX(1,IF(H445&gt;0,AQ445/H445,1))),IF(R445&gt;0,AR445/R445,0))/MAX(0.1,N(Parameter!$M$21)))</f>
        <v>0.00961538461538462</v>
      </c>
      <c r="AT445" s="62" t="n">
        <f aca="false">AS445*CC445</f>
        <v>1.49038461538462</v>
      </c>
      <c r="AU445" s="63" t="n">
        <f aca="false">IF(LEFT(Cockpit!$I$5,1)="A",H445,IF(CI445=1,(CL445+CJ445)/2,IF(LEFT(Cockpit!$I$5,1)="B",(CL445+AW445)/2,MAX((CL445+AW445)/2,H445))))</f>
        <v>206</v>
      </c>
      <c r="AV445" s="62" t="n">
        <f aca="false">AU445*G445</f>
        <v>990.86</v>
      </c>
      <c r="AW445" s="62" t="n">
        <f aca="false">ROUNDUP(CL445+MAX(CM445,2*(J445/IF(CH445&gt;0,CH445,MAX(0.1,N(Cockpit!$I$6)))-CL445)),0)</f>
        <v>376</v>
      </c>
      <c r="AX445" s="63" t="n">
        <f aca="false">IF(AT445&gt;0,J445/AT445,-1)</f>
        <v>414.658064516129</v>
      </c>
      <c r="AY445" s="63" t="n">
        <f aca="false">IF(AND(OR(CG445="L1",CG445="L23",CG445="LIFT"),AT445&gt;0),SUMIFS($AT$7:$AT$1843,$CG$7:$CG$1843,CG445,$AX$7:$AX$1843,"&gt;"&amp;AX445)+SUMIFS($AT$7:$AT$1843,$CG$7:$CG$1843,CG445,$AX$7:$AX$1843,AX445,$BX$7:$BX$1843,"&lt;="&amp;BX445),"")</f>
        <v>104.120879120879</v>
      </c>
      <c r="AZ445" s="70" t="n">
        <f aca="false">IF(AY445="",0,MAX(0,MIN(1,(IF(CG445="L1",Parameter!$H$5,IF(CG445="L23",Parameter!$H$6+Parameter!$H$7,Parameter!$H$5+Parameter!$H$6+Parameter!$H$7))-(AY445-AT445))/AT445)))</f>
        <v>1</v>
      </c>
      <c r="BA445" s="62" t="n">
        <f aca="false">IF(LEFT(Cockpit!$O$5,1)="A",H445,IF(Parameter!$E$30="MAX-Bestand",IF(CI445=1,CJ445,IF(LEFT(Cockpit!$O$5,1)="B",BG445,MAX(BG445,H445))),ROUNDUP(BE445,0)))</f>
        <v>155</v>
      </c>
      <c r="BB445" s="62" t="n">
        <f aca="false">IF(CA445=1,0,ROUNDUP(BA445/BZ445,0))</f>
        <v>1</v>
      </c>
      <c r="BC445" s="64" t="n">
        <f aca="false">IF(CR445&gt;0,CR445*MAX(1,BA445/X445),IF(CA445=1,IF(BA445&lt;=0,0,CE445*MAX(1,IF(H445&gt;0,BA445/H445,1))),IF(R445&gt;0,BB445/R445,0))/MAX(0.1,N(Parameter!$M$21)))</f>
        <v>0.00961538461538462</v>
      </c>
      <c r="BD445" s="62" t="n">
        <f aca="false">BC445*CC445</f>
        <v>1.49038461538462</v>
      </c>
      <c r="BE445" s="63" t="n">
        <f aca="false">IF(LEFT(Cockpit!$O$5,1)="A",H445,IF(CI445=1,(CL445+CJ445)/2,IF(LEFT(Cockpit!$O$5,1)="B",(CL445+BG445)/2,MAX((CL445+BG445)/2,H445))))</f>
        <v>154.5</v>
      </c>
      <c r="BF445" s="62" t="n">
        <f aca="false">BE445*G445</f>
        <v>743.145</v>
      </c>
      <c r="BG445" s="62" t="n">
        <f aca="false">ROUNDUP(CL445+MAX(CM445,2*(J445/IF(CH445&gt;0,CH445,MAX(0.1,N(Cockpit!$O$6)))-CL445)),0)</f>
        <v>273</v>
      </c>
      <c r="BH445" s="63" t="n">
        <f aca="false">IF(BD445&gt;0,J445/BD445,-1)</f>
        <v>414.658064516129</v>
      </c>
      <c r="BI445" s="63" t="n">
        <f aca="false">IF(AND(OR(CG445="L1",CG445="L23",CG445="LIFT"),BD445&gt;0),SUMIFS($BD$7:$BD$1843,$CG$7:$CG$1843,CG445,$BH$7:$BH$1843,"&gt;"&amp;BH445)+SUMIFS($BD$7:$BD$1843,$CG$7:$CG$1843,CG445,$BH$7:$BH$1843,BH445,$BX$7:$BX$1843,"&lt;="&amp;BX445),"")</f>
        <v>175.78021978022</v>
      </c>
      <c r="BJ445" s="70" t="n">
        <f aca="false">IF(BI445="",0,MAX(0,MIN(1,(IF(CG445="L1",Parameter!$H$5,IF(CG445="L23",Parameter!$H$6+Parameter!$H$7,Parameter!$H$5+Parameter!$H$6+Parameter!$H$7))-(BI445-BD445))/BD445)))</f>
        <v>1</v>
      </c>
      <c r="BK445" s="60" t="str">
        <f aca="false">IF(AJ445&lt;=0,"",IF(CG445="Aussen","Aussenlager",IF(CG445="-","Nicht im Lift",IF(AP445&gt;=1,"Lift",IF(AP445&lt;=0,"Aussenlager","teilweise")))))</f>
        <v>Lift</v>
      </c>
      <c r="BL445" s="60" t="str">
        <f aca="false">IF(AT445&lt;=0,"",IF(CG445="Aussen","Aussenlager",IF(CG445="-","Nicht im Lift",IF(AZ445&gt;=1,"Lift",IF(AZ445&lt;=0,"Aussenlager","teilweise")))))</f>
        <v>Lift</v>
      </c>
      <c r="BM445" s="60" t="str">
        <f aca="false">IF(BD445&lt;=0,"",IF(CG445="Aussen","Aussenlager",IF(CG445="-","Nicht im Lift",IF(BJ445&gt;=1,"Lift",IF(BJ445&lt;=0,"Aussenlager","teilweise")))))</f>
        <v>Lift</v>
      </c>
      <c r="BN445" s="60" t="str">
        <f aca="false">IF(A445="","",IF(BW445=1,"Neu; ","")&amp;IF(AND(BW445=0,BR445&lt;0),"negativer Bestand (Export "&amp;BR445&amp;"); ","")&amp;IF(J445&lt;=0,"Kein Verbrauch; ","")&amp;IF(CR445&gt;0,"Lift "&amp;W445&amp;" lt. Liftbericht (Fach "&amp;X445&amp;" Stk); ",IF(CB445=1,"Gebinde geschätzt ("&amp;T445&amp;"); ",IF(CA445=1,"Lose – Tablare geschätzt; ","")))&amp;IF(H445&gt;AW445,"Überbestand "&amp;ROUND(H445-AW445,0)&amp;" Stk / CHF "&amp;ROUND((H445-AW445)*G445,0)&amp;"; ","")&amp;IF(AND(CI445=1,CJ445&lt;CK445),"MAX &lt; MB+LG; ","")&amp;IF(AND(CQ445&gt;0,CP445*10&gt;CQ445),"zu hoch für Tablar; ","")&amp;IF(AND(BW445=0,OR(CI445=1,AB445&lt;&gt;"",U445&lt;&gt;"",V445&lt;&gt;"",AC445&lt;&gt;"")),"manuell übersteuert; ","")&amp;IF(AND(CA445=0,R445=0),"Gebinde unbekannt / Stellmass fehlt; ","")&amp;IF(AND(CA445=0,N(V445)&lt;=0,N(Q445)&lt;=0),"Menge pro Gebinde fehlt (Ist = 1 Gebinde); ","")&amp;BV445)</f>
        <v/>
      </c>
      <c r="BO445" s="60"/>
      <c r="BP445" s="60"/>
      <c r="BQ445" s="67"/>
      <c r="BR445" s="62" t="n">
        <v>8</v>
      </c>
      <c r="BS445" s="62" t="n">
        <v>164</v>
      </c>
      <c r="BT445" s="61" t="n">
        <v>72.9199999999998</v>
      </c>
      <c r="BU445" s="62" t="n">
        <v>618</v>
      </c>
      <c r="BV445" s="60"/>
      <c r="BW445" s="65" t="n">
        <v>0</v>
      </c>
      <c r="BX445" s="65" t="n">
        <v>445</v>
      </c>
      <c r="BY445" s="60" t="str">
        <f aca="false">IF(U445&lt;&gt;"",UPPER(TRIM(U445)),IF(CB445=1,UPPER(VLOOKUP(T445,Parameter!$I$27:$K$29,2,0)),IF(P445="","LOSE",P445)))</f>
        <v>S32</v>
      </c>
      <c r="BZ445" s="62" t="n">
        <f aca="false">IF(BY445="LOSE",1,IF(N(V445)&gt;0,V445,IF(CB445=1,MAX(1,N(VLOOKUP(T445,Parameter!$I$27:$K$29,3,0)),H445,N(N445)),IF(N(Q445)&gt;0,Q445,MAX(1,H445)))))</f>
        <v>246</v>
      </c>
      <c r="CA445" s="65" t="n">
        <f aca="false">IF(BY445="LOSE",1,0)</f>
        <v>0</v>
      </c>
      <c r="CB445" s="65" t="n">
        <f aca="false">IF(AND(U445="",OR(P445="",P445="LOSE"),T445&lt;&gt;"",N(S445)&lt;=0,ISNUMBER(MATCH(T445,Parameter!$I$27:$I$29,0))),1,0)</f>
        <v>0</v>
      </c>
      <c r="CC445" s="65" t="n">
        <f aca="false">IF(CR445&gt;0,INDEX(Parameter!$H$5:$H$7,W445)/INDEX(Parameter!$E$5:$E$7,W445),IF(AND(CA445=0,N(IFERROR(VLOOKUP(BY445,'Gebinde-Kategorie'!$A$5:$N$45,14,0),0))&gt;0),VLOOKUP(BY445,'Gebinde-Kategorie'!$A$5:$N$45,14,0)*10+Parameter!$M$23,Parameter!$M$24))</f>
        <v>155</v>
      </c>
      <c r="CD445" s="60" t="str">
        <f aca="false">IF(AND(Parameter!$B$19="Ja",E445&lt;&gt;"",ISNUMBER(MATCH(E445,Parameter!$I$35:$I$52,0))),VLOOKUP(E445,Parameter!$I$35:$J$52,2,0),IFERROR(VLOOKUP(D445,Parameter!$A$35:$C$64,2,0),"Nein"))</f>
        <v>2+3</v>
      </c>
      <c r="CE445" s="64" t="n">
        <f aca="false">IF(CA445=0,0,IF(N(S445)&gt;0,S445,IFERROR(VLOOKUP(D445,Parameter!$A$35:$C$64,3,0)+0,0)))</f>
        <v>0</v>
      </c>
      <c r="CF445" s="60" t="n">
        <f aca="false">IF(AB445&lt;&gt;"",AB445,AA445)</f>
        <v>2</v>
      </c>
      <c r="CG445" s="60" t="str">
        <f aca="false">IF(OR(CF445=1,CF445=2,CF445=3),IF(Parameter!$E$27="Ja","LIFT",IF(CF445=1,"L1","L23")),IF(CF445="Aussen","Aussen","-"))</f>
        <v>LIFT</v>
      </c>
      <c r="CH445" s="71" t="n">
        <f aca="false">IF(N(AC445)&gt;0,AC445,0)</f>
        <v>0</v>
      </c>
      <c r="CI445" s="65" t="n">
        <f aca="false">IF(ISNUMBER(AF445),1,0)</f>
        <v>0</v>
      </c>
      <c r="CJ445" s="62" t="n">
        <f aca="false">N(AF445)</f>
        <v>0</v>
      </c>
      <c r="CK445" s="62" t="n">
        <f aca="false">N(M445)+N(N445)</f>
        <v>96</v>
      </c>
      <c r="CL445" s="62" t="n">
        <f aca="false">N(M445)</f>
        <v>36</v>
      </c>
      <c r="CM445" s="62" t="n">
        <f aca="false">N(N445)</f>
        <v>60</v>
      </c>
      <c r="CN445" s="62" t="n">
        <f aca="false">ROUNDUP(H445/BZ445,0)</f>
        <v>1</v>
      </c>
      <c r="CO445" s="62" t="n">
        <f aca="false">ROUNDUP(CJ445/BZ445,0)</f>
        <v>0</v>
      </c>
      <c r="CP445" s="65" t="n">
        <f aca="false">IF(CA445=1,0,IFERROR(VLOOKUP(BY445,'Gebinde-Kategorie'!$A$5:$N$45,5,0)+0,0))</f>
        <v>8</v>
      </c>
      <c r="CQ445" s="65" t="n">
        <f aca="false">IFERROR(IF(OR(CF445=1,CF445=2,CF445=3),N(INDEX(Parameter!$I$5:$I$7,CF445)),0),0)</f>
        <v>0</v>
      </c>
      <c r="CR445" s="64" t="n">
        <f aca="false">IF(AND(Parameter!$B$21="Ja",ISNUMBER(W445),N(X445)&gt;0),IFERROR(N(INDEX(Parameter!$L$5:$L$7,W445))*INDEX(Parameter!$E$5:$E$7,W445)*X445/SUMIFS($X$7:$X$1843,$W$7:$W$1843,W445),0),0)</f>
        <v>0</v>
      </c>
      <c r="CS445" s="62" t="n">
        <f aca="false">IF(AND(OR(CG445="L1",CG445="L23",CG445="LIFT"),H445&gt;0),CC445*IF(CR445&gt;0,CR445*MAX(1,H445/X445),IF(CA445=1,CE445,IF(R445&gt;0,CN445/R445,0))/MAX(0.1,N(Parameter!$M$21))),"")</f>
        <v>1.49038461538462</v>
      </c>
      <c r="CT445" s="64" t="n">
        <f aca="false">IF(CS445="","",J445/H445)</f>
        <v>3.59302325581395</v>
      </c>
      <c r="CU445" s="62" t="n">
        <f aca="false">IF(CS445="","",H445*G445)</f>
        <v>827.32</v>
      </c>
      <c r="CV445" s="63" t="n">
        <f aca="false">IF(CS445="","",(CL445+ROUNDUP(CL445+MAX(CM445,2*(J445/MAX(0.1,N(Einkauf!$C$6))-CL445)),0))/2)</f>
        <v>154.5</v>
      </c>
      <c r="CW445" s="62" t="n">
        <f aca="false">IF(CS445="","",MAX(0,H445-CV445)*G445)</f>
        <v>84.175</v>
      </c>
      <c r="CX445" s="62" t="n">
        <f aca="false">IF(CS445="","",CS445*MAX(0,1-CV445/H445))</f>
        <v>0.151637969588551</v>
      </c>
      <c r="CY445" s="64" t="n">
        <f aca="false">IF(CS445="","",PERCENTRANK($CS$7:$CS$1843,CS445)+PERCENTRANK($CU$7:$CU$1843,CU445)+1-PERCENTRANK($CT$7:$CT$1843,CT445))</f>
        <v>0.81</v>
      </c>
      <c r="CZ445" s="72" t="n">
        <f aca="false">IF(CS445="","",CHOOSE(MATCH(Einkauf!$C$5,Parameter!$G$23:$G$27,0),CY445,CS445,CU445,-CT445,CW445)+ROW()/1000000000)</f>
        <v>0.810000445</v>
      </c>
    </row>
    <row r="446" customFormat="false" ht="15" hidden="false" customHeight="false" outlineLevel="0" collapsed="false">
      <c r="A446" s="60" t="s">
        <v>1054</v>
      </c>
      <c r="B446" s="60" t="s">
        <v>1055</v>
      </c>
      <c r="C446" s="60" t="s">
        <v>206</v>
      </c>
      <c r="D446" s="60" t="s">
        <v>215</v>
      </c>
      <c r="E446" s="60" t="s">
        <v>215</v>
      </c>
      <c r="F446" s="60" t="s">
        <v>260</v>
      </c>
      <c r="G446" s="61" t="n">
        <v>2338.25</v>
      </c>
      <c r="H446" s="62" t="n">
        <f aca="false">MAX(0,IF(AND(Parameter!$B$21="Ja",ISNUMBER(Y446)),Y446,IF(Parameter!$B$20="Jahresanfang 2025 + Export",BS446+BR446,BR446)))</f>
        <v>0</v>
      </c>
      <c r="I446" s="62" t="n">
        <f aca="false">H446*G446</f>
        <v>0</v>
      </c>
      <c r="J446" s="62" t="n">
        <f aca="false">BU446*Parameter!$B$18</f>
        <v>4</v>
      </c>
      <c r="K446" s="63" t="n">
        <v>2.5</v>
      </c>
      <c r="L446" s="64" t="n">
        <v>1.6</v>
      </c>
      <c r="M446" s="62" t="n">
        <v>1</v>
      </c>
      <c r="N446" s="62" t="n">
        <v>1</v>
      </c>
      <c r="O446" s="65" t="n">
        <v>56</v>
      </c>
      <c r="P446" s="60" t="s">
        <v>210</v>
      </c>
      <c r="Q446" s="62"/>
      <c r="R446" s="65" t="n">
        <f aca="false">IF(CA446=1,0,IFERROR(VLOOKUP(BY446,'Gebinde-Kategorie'!$A$5:$N$45,13,0)+0,0))</f>
        <v>0</v>
      </c>
      <c r="S446" s="66"/>
      <c r="T446" s="67"/>
      <c r="U446" s="67"/>
      <c r="V446" s="67"/>
      <c r="W446" s="60" t="n">
        <v>1</v>
      </c>
      <c r="X446" s="62" t="n">
        <v>2</v>
      </c>
      <c r="Y446" s="62" t="n">
        <v>0</v>
      </c>
      <c r="Z446" s="60" t="n">
        <v>1</v>
      </c>
      <c r="AA446" s="60" t="n">
        <f aca="false">IF(A446="","",IF(AND(Parameter!$B$21="Ja",ISNUMBER(W446)),W446,IF(AND(Parameter!$E$27="Ja",ISNUMBER(Z446),CD446&lt;&gt;"Nein"),Z446,IF(CD446="2+3",IF(ISNUMBER(SEARCH("grosser Artikel",BV446)),2,IFERROR(VLOOKUP(BY446,Parameter!$F$35:$G$64,2,0),2)),IF(OR(CD446="Nein",CD446=""),"-",CD446)))))</f>
        <v>1</v>
      </c>
      <c r="AB446" s="67"/>
      <c r="AC446" s="68"/>
      <c r="AD446" s="62" t="n">
        <f aca="false">AW446</f>
        <v>2</v>
      </c>
      <c r="AE446" s="62" t="n">
        <f aca="false">MAX(AW446,H446)</f>
        <v>2</v>
      </c>
      <c r="AF446" s="69"/>
      <c r="AG446" s="62" t="n">
        <f aca="false">IF(LEFT(Cockpit!$C$5,1)="A",H446,IF(Parameter!$E$30="MAX-Bestand",IF(CI446=1,CJ446,IF(LEFT(Cockpit!$C$5,1)="B",AM446,MAX(AM446,H446))),ROUNDUP(AK446,0)))</f>
        <v>0</v>
      </c>
      <c r="AH446" s="62" t="n">
        <f aca="false">IF(CA446=1,0,ROUNDUP(AG446/BZ446,0))</f>
        <v>0</v>
      </c>
      <c r="AI446" s="64" t="n">
        <f aca="false">IF(CR446&gt;0,CR446*MAX(1,AG446/X446),IF(CA446=1,IF(AG446&lt;=0,0,CE446*MAX(1,IF(H446&gt;0,AG446/H446,1))),IF(R446&gt;0,AH446/R446,0))/MAX(0.1,N(Parameter!$M$21)))</f>
        <v>0.160075329566855</v>
      </c>
      <c r="AJ446" s="62" t="n">
        <f aca="false">AI446*CC446</f>
        <v>38.0979284369115</v>
      </c>
      <c r="AK446" s="63" t="n">
        <f aca="false">IF(LEFT(Cockpit!$C$5,1)="A",H446,IF(CI446=1,(CL446+CJ446)/2,IF(LEFT(Cockpit!$C$5,1)="B",(CL446+AM446)/2,MAX((CL446+AM446)/2,H446))))</f>
        <v>0</v>
      </c>
      <c r="AL446" s="62" t="n">
        <f aca="false">AK446*G446</f>
        <v>0</v>
      </c>
      <c r="AM446" s="62" t="n">
        <f aca="false">ROUNDUP(CL446+MAX(CM446,2*(J446/IF(CH446&gt;0,CH446,MAX(0.1,N(Cockpit!$C$6)))-CL446)),0)</f>
        <v>2</v>
      </c>
      <c r="AN446" s="63" t="n">
        <f aca="false">IF(AJ446&gt;0,J446/AJ446,-1)</f>
        <v>0.104992585269402</v>
      </c>
      <c r="AO446" s="63" t="n">
        <f aca="false">IF(AND(OR(CG446="L1",CG446="L23",CG446="LIFT"),AJ446&gt;0),SUMIFS($AJ$7:$AJ$1843,$CG$7:$CG$1843,CG446,$AN$7:$AN$1843,"&gt;"&amp;AN446)+SUMIFS($AJ$7:$AJ$1843,$CG$7:$CG$1843,CG446,$AN$7:$AN$1843,AN446,$BX$7:$BX$1843,"&lt;="&amp;BX446),"")</f>
        <v>15590.1844306823</v>
      </c>
      <c r="AP446" s="70" t="n">
        <f aca="false">IF(AO446="",0,MAX(0,MIN(1,(IF(CG446="L1",Parameter!$H$5,IF(CG446="L23",Parameter!$H$6+Parameter!$H$7,Parameter!$H$5+Parameter!$H$6+Parameter!$H$7))-(AO446-AJ446))/AJ446)))</f>
        <v>1</v>
      </c>
      <c r="AQ446" s="62" t="n">
        <f aca="false">IF(LEFT(Cockpit!$I$5,1)="A",H446,IF(Parameter!$E$30="MAX-Bestand",IF(CI446=1,CJ446,IF(LEFT(Cockpit!$I$5,1)="B",AW446,MAX(AW446,H446))),ROUNDUP(AU446,0)))</f>
        <v>2</v>
      </c>
      <c r="AR446" s="62" t="n">
        <f aca="false">IF(CA446=1,0,ROUNDUP(AQ446/BZ446,0))</f>
        <v>0</v>
      </c>
      <c r="AS446" s="64" t="n">
        <f aca="false">IF(CR446&gt;0,CR446*MAX(1,AQ446/X446),IF(CA446=1,IF(AQ446&lt;=0,0,CE446*MAX(1,IF(H446&gt;0,AQ446/H446,1))),IF(R446&gt;0,AR446/R446,0))/MAX(0.1,N(Parameter!$M$21)))</f>
        <v>0.160075329566855</v>
      </c>
      <c r="AT446" s="62" t="n">
        <f aca="false">AS446*CC446</f>
        <v>38.0979284369115</v>
      </c>
      <c r="AU446" s="63" t="n">
        <f aca="false">IF(LEFT(Cockpit!$I$5,1)="A",H446,IF(CI446=1,(CL446+CJ446)/2,IF(LEFT(Cockpit!$I$5,1)="B",(CL446+AW446)/2,MAX((CL446+AW446)/2,H446))))</f>
        <v>1.5</v>
      </c>
      <c r="AV446" s="62" t="n">
        <f aca="false">AU446*G446</f>
        <v>3507.375</v>
      </c>
      <c r="AW446" s="62" t="n">
        <f aca="false">ROUNDUP(CL446+MAX(CM446,2*(J446/IF(CH446&gt;0,CH446,MAX(0.1,N(Cockpit!$I$6)))-CL446)),0)</f>
        <v>2</v>
      </c>
      <c r="AX446" s="63" t="n">
        <f aca="false">IF(AT446&gt;0,J446/AT446,-1)</f>
        <v>0.104992585269402</v>
      </c>
      <c r="AY446" s="63" t="n">
        <f aca="false">IF(AND(OR(CG446="L1",CG446="L23",CG446="LIFT"),AT446&gt;0),SUMIFS($AT$7:$AT$1843,$CG$7:$CG$1843,CG446,$AX$7:$AX$1843,"&gt;"&amp;AX446)+SUMIFS($AT$7:$AT$1843,$CG$7:$CG$1843,CG446,$AX$7:$AX$1843,AX446,$BX$7:$BX$1843,"&lt;="&amp;BX446),"")</f>
        <v>19614.5830720598</v>
      </c>
      <c r="AZ446" s="70" t="n">
        <f aca="false">IF(AY446="",0,MAX(0,MIN(1,(IF(CG446="L1",Parameter!$H$5,IF(CG446="L23",Parameter!$H$6+Parameter!$H$7,Parameter!$H$5+Parameter!$H$6+Parameter!$H$7))-(AY446-AT446))/AT446)))</f>
        <v>1</v>
      </c>
      <c r="BA446" s="62" t="n">
        <f aca="false">IF(LEFT(Cockpit!$O$5,1)="A",H446,IF(Parameter!$E$30="MAX-Bestand",IF(CI446=1,CJ446,IF(LEFT(Cockpit!$O$5,1)="B",BG446,MAX(BG446,H446))),ROUNDUP(BE446,0)))</f>
        <v>2</v>
      </c>
      <c r="BB446" s="62" t="n">
        <f aca="false">IF(CA446=1,0,ROUNDUP(BA446/BZ446,0))</f>
        <v>0</v>
      </c>
      <c r="BC446" s="64" t="n">
        <f aca="false">IF(CR446&gt;0,CR446*MAX(1,BA446/X446),IF(CA446=1,IF(BA446&lt;=0,0,CE446*MAX(1,IF(H446&gt;0,BA446/H446,1))),IF(R446&gt;0,BB446/R446,0))/MAX(0.1,N(Parameter!$M$21)))</f>
        <v>0.160075329566855</v>
      </c>
      <c r="BD446" s="62" t="n">
        <f aca="false">BC446*CC446</f>
        <v>38.0979284369115</v>
      </c>
      <c r="BE446" s="63" t="n">
        <f aca="false">IF(LEFT(Cockpit!$O$5,1)="A",H446,IF(CI446=1,(CL446+CJ446)/2,IF(LEFT(Cockpit!$O$5,1)="B",(CL446+BG446)/2,MAX((CL446+BG446)/2,H446))))</f>
        <v>1.5</v>
      </c>
      <c r="BF446" s="62" t="n">
        <f aca="false">BE446*G446</f>
        <v>3507.375</v>
      </c>
      <c r="BG446" s="62" t="n">
        <f aca="false">ROUNDUP(CL446+MAX(CM446,2*(J446/IF(CH446&gt;0,CH446,MAX(0.1,N(Cockpit!$O$6)))-CL446)),0)</f>
        <v>2</v>
      </c>
      <c r="BH446" s="63" t="n">
        <f aca="false">IF(BD446&gt;0,J446/BD446,-1)</f>
        <v>0.104992585269402</v>
      </c>
      <c r="BI446" s="63" t="n">
        <f aca="false">IF(AND(OR(CG446="L1",CG446="L23",CG446="LIFT"),BD446&gt;0),SUMIFS($BD$7:$BD$1843,$CG$7:$CG$1843,CG446,$BH$7:$BH$1843,"&gt;"&amp;BH446)+SUMIFS($BD$7:$BD$1843,$CG$7:$CG$1843,CG446,$BH$7:$BH$1843,BH446,$BX$7:$BX$1843,"&lt;="&amp;BX446),"")</f>
        <v>17215.3956845885</v>
      </c>
      <c r="BJ446" s="70" t="n">
        <f aca="false">IF(BI446="",0,MAX(0,MIN(1,(IF(CG446="L1",Parameter!$H$5,IF(CG446="L23",Parameter!$H$6+Parameter!$H$7,Parameter!$H$5+Parameter!$H$6+Parameter!$H$7))-(BI446-BD446))/BD446)))</f>
        <v>1</v>
      </c>
      <c r="BK446" s="60" t="str">
        <f aca="false">IF(AJ446&lt;=0,"",IF(CG446="Aussen","Aussenlager",IF(CG446="-","Nicht im Lift",IF(AP446&gt;=1,"Lift",IF(AP446&lt;=0,"Aussenlager","teilweise")))))</f>
        <v>Lift</v>
      </c>
      <c r="BL446" s="60" t="str">
        <f aca="false">IF(AT446&lt;=0,"",IF(CG446="Aussen","Aussenlager",IF(CG446="-","Nicht im Lift",IF(AZ446&gt;=1,"Lift",IF(AZ446&lt;=0,"Aussenlager","teilweise")))))</f>
        <v>Lift</v>
      </c>
      <c r="BM446" s="60" t="str">
        <f aca="false">IF(BD446&lt;=0,"",IF(CG446="Aussen","Aussenlager",IF(CG446="-","Nicht im Lift",IF(BJ446&gt;=1,"Lift",IF(BJ446&lt;=0,"Aussenlager","teilweise")))))</f>
        <v>Lift</v>
      </c>
      <c r="BN446" s="60" t="str">
        <f aca="false">IF(A446="","",IF(BW446=1,"Neu; ","")&amp;IF(AND(BW446=0,BR446&lt;0),"negativer Bestand (Export "&amp;BR446&amp;"); ","")&amp;IF(J446&lt;=0,"Kein Verbrauch; ","")&amp;IF(CR446&gt;0,"Lift "&amp;W446&amp;" lt. Liftbericht (Fach "&amp;X446&amp;" Stk); ",IF(CB446=1,"Gebinde geschätzt ("&amp;T446&amp;"); ",IF(CA446=1,"Lose – Tablare geschätzt; ","")))&amp;IF(H446&gt;AW446,"Überbestand "&amp;ROUND(H446-AW446,0)&amp;" Stk / CHF "&amp;ROUND((H446-AW446)*G446,0)&amp;"; ","")&amp;IF(AND(CI446=1,CJ446&lt;CK446),"MAX &lt; MB+LG; ","")&amp;IF(AND(CQ446&gt;0,CP446*10&gt;CQ446),"zu hoch für Tablar; ","")&amp;IF(AND(BW446=0,OR(CI446=1,AB446&lt;&gt;"",U446&lt;&gt;"",V446&lt;&gt;"",AC446&lt;&gt;"")),"manuell übersteuert; ","")&amp;IF(AND(CA446=0,R446=0),"Gebinde unbekannt / Stellmass fehlt; ","")&amp;IF(AND(CA446=0,N(V446)&lt;=0,N(Q446)&lt;=0),"Menge pro Gebinde fehlt (Ist = 1 Gebinde); ","")&amp;BV446)</f>
        <v>Lift 1 lt. Liftbericht (Fach 2 Stk); </v>
      </c>
      <c r="BO446" s="60"/>
      <c r="BP446" s="60"/>
      <c r="BQ446" s="67"/>
      <c r="BR446" s="62" t="n">
        <v>0</v>
      </c>
      <c r="BS446" s="62" t="n">
        <v>2</v>
      </c>
      <c r="BT446" s="61" t="n">
        <v>72.2999999999997</v>
      </c>
      <c r="BU446" s="62" t="n">
        <v>4</v>
      </c>
      <c r="BV446" s="60"/>
      <c r="BW446" s="65" t="n">
        <v>0</v>
      </c>
      <c r="BX446" s="65" t="n">
        <v>446</v>
      </c>
      <c r="BY446" s="60" t="str">
        <f aca="false">IF(U446&lt;&gt;"",UPPER(TRIM(U446)),IF(CB446=1,UPPER(VLOOKUP(T446,Parameter!$I$27:$K$29,2,0)),IF(P446="","LOSE",P446)))</f>
        <v>LOSE</v>
      </c>
      <c r="BZ446" s="62" t="n">
        <f aca="false">IF(BY446="LOSE",1,IF(N(V446)&gt;0,V446,IF(CB446=1,MAX(1,N(VLOOKUP(T446,Parameter!$I$27:$K$29,3,0)),H446,N(N446)),IF(N(Q446)&gt;0,Q446,MAX(1,H446)))))</f>
        <v>1</v>
      </c>
      <c r="CA446" s="65" t="n">
        <f aca="false">IF(BY446="LOSE",1,0)</f>
        <v>1</v>
      </c>
      <c r="CB446" s="65" t="n">
        <f aca="false">IF(AND(U446="",OR(P446="",P446="LOSE"),T446&lt;&gt;"",N(S446)&lt;=0,ISNUMBER(MATCH(T446,Parameter!$I$27:$I$29,0))),1,0)</f>
        <v>0</v>
      </c>
      <c r="CC446" s="65" t="n">
        <f aca="false">IF(CR446&gt;0,INDEX(Parameter!$H$5:$H$7,W446)/INDEX(Parameter!$E$5:$E$7,W446),IF(AND(CA446=0,N(IFERROR(VLOOKUP(BY446,'Gebinde-Kategorie'!$A$5:$N$45,14,0),0))&gt;0),VLOOKUP(BY446,'Gebinde-Kategorie'!$A$5:$N$45,14,0)*10+Parameter!$M$23,Parameter!$M$24))</f>
        <v>238</v>
      </c>
      <c r="CD446" s="60" t="str">
        <f aca="false">IF(AND(Parameter!$B$19="Ja",E446&lt;&gt;"",ISNUMBER(MATCH(E446,Parameter!$I$35:$I$52,0))),VLOOKUP(E446,Parameter!$I$35:$J$52,2,0),IFERROR(VLOOKUP(D446,Parameter!$A$35:$C$64,2,0),"Nein"))</f>
        <v>Nein</v>
      </c>
      <c r="CE446" s="64" t="n">
        <f aca="false">IF(CA446=0,0,IF(N(S446)&gt;0,S446,IFERROR(VLOOKUP(D446,Parameter!$A$35:$C$64,3,0)+0,0)))</f>
        <v>0.15</v>
      </c>
      <c r="CF446" s="60" t="n">
        <f aca="false">IF(AB446&lt;&gt;"",AB446,AA446)</f>
        <v>1</v>
      </c>
      <c r="CG446" s="60" t="str">
        <f aca="false">IF(OR(CF446=1,CF446=2,CF446=3),IF(Parameter!$E$27="Ja","LIFT",IF(CF446=1,"L1","L23")),IF(CF446="Aussen","Aussen","-"))</f>
        <v>LIFT</v>
      </c>
      <c r="CH446" s="71" t="n">
        <f aca="false">IF(N(AC446)&gt;0,AC446,0)</f>
        <v>0</v>
      </c>
      <c r="CI446" s="65" t="n">
        <f aca="false">IF(ISNUMBER(AF446),1,0)</f>
        <v>0</v>
      </c>
      <c r="CJ446" s="62" t="n">
        <f aca="false">N(AF446)</f>
        <v>0</v>
      </c>
      <c r="CK446" s="62" t="n">
        <f aca="false">N(M446)+N(N446)</f>
        <v>2</v>
      </c>
      <c r="CL446" s="62" t="n">
        <f aca="false">N(M446)</f>
        <v>1</v>
      </c>
      <c r="CM446" s="62" t="n">
        <f aca="false">N(N446)</f>
        <v>1</v>
      </c>
      <c r="CN446" s="62" t="n">
        <f aca="false">ROUNDUP(H446/BZ446,0)</f>
        <v>0</v>
      </c>
      <c r="CO446" s="62" t="n">
        <f aca="false">ROUNDUP(CJ446/BZ446,0)</f>
        <v>0</v>
      </c>
      <c r="CP446" s="65" t="n">
        <f aca="false">IF(CA446=1,0,IFERROR(VLOOKUP(BY446,'Gebinde-Kategorie'!$A$5:$N$45,5,0)+0,0))</f>
        <v>0</v>
      </c>
      <c r="CQ446" s="65" t="n">
        <f aca="false">IFERROR(IF(OR(CF446=1,CF446=2,CF446=3),N(INDEX(Parameter!$I$5:$I$7,CF446)),0),0)</f>
        <v>0</v>
      </c>
      <c r="CR446" s="64" t="n">
        <f aca="false">IF(AND(Parameter!$B$21="Ja",ISNUMBER(W446),N(X446)&gt;0),IFERROR(N(INDEX(Parameter!$L$5:$L$7,W446))*INDEX(Parameter!$E$5:$E$7,W446)*X446/SUMIFS($X$7:$X$1843,$W$7:$W$1843,W446),0),0)</f>
        <v>0.160075329566855</v>
      </c>
      <c r="CS446" s="62" t="str">
        <f aca="false">IF(AND(OR(CG446="L1",CG446="L23",CG446="LIFT"),H446&gt;0),CC446*IF(CR446&gt;0,CR446*MAX(1,H446/X446),IF(CA446=1,CE446,IF(R446&gt;0,CN446/R446,0))/MAX(0.1,N(Parameter!$M$21))),"")</f>
        <v/>
      </c>
      <c r="CT446" s="64" t="str">
        <f aca="false">IF(CS446="","",J446/H446)</f>
        <v/>
      </c>
      <c r="CU446" s="62" t="str">
        <f aca="false">IF(CS446="","",H446*G446)</f>
        <v/>
      </c>
      <c r="CV446" s="63" t="str">
        <f aca="false">IF(CS446="","",(CL446+ROUNDUP(CL446+MAX(CM446,2*(J446/MAX(0.1,N(Einkauf!$C$6))-CL446)),0))/2)</f>
        <v/>
      </c>
      <c r="CW446" s="62" t="str">
        <f aca="false">IF(CS446="","",MAX(0,H446-CV446)*G446)</f>
        <v/>
      </c>
      <c r="CX446" s="62" t="str">
        <f aca="false">IF(CS446="","",CS446*MAX(0,1-CV446/H446))</f>
        <v/>
      </c>
      <c r="CY446" s="64" t="str">
        <f aca="false">IF(CS446="","",PERCENTRANK($CS$7:$CS$1843,CS446)+PERCENTRANK($CU$7:$CU$1843,CU446)+1-PERCENTRANK($CT$7:$CT$1843,CT446))</f>
        <v/>
      </c>
      <c r="CZ446" s="72" t="str">
        <f aca="false">IF(CS446="","",CHOOSE(MATCH(Einkauf!$C$5,Parameter!$G$23:$G$27,0),CY446,CS446,CU446,-CT446,CW446)+ROW()/1000000000)</f>
        <v/>
      </c>
    </row>
    <row r="447" customFormat="false" ht="15" hidden="false" customHeight="false" outlineLevel="0" collapsed="false">
      <c r="A447" s="60" t="s">
        <v>1056</v>
      </c>
      <c r="B447" s="60" t="s">
        <v>1057</v>
      </c>
      <c r="C447" s="60" t="s">
        <v>206</v>
      </c>
      <c r="D447" s="60" t="s">
        <v>226</v>
      </c>
      <c r="E447" s="60" t="s">
        <v>227</v>
      </c>
      <c r="F447" s="60" t="s">
        <v>260</v>
      </c>
      <c r="G447" s="61" t="n">
        <v>0.12</v>
      </c>
      <c r="H447" s="62" t="n">
        <f aca="false">MAX(0,IF(AND(Parameter!$B$21="Ja",ISNUMBER(Y447)),Y447,IF(Parameter!$B$20="Jahresanfang 2025 + Export",BS447+BR447,BR447)))</f>
        <v>798</v>
      </c>
      <c r="I447" s="62" t="n">
        <f aca="false">H447*G447</f>
        <v>95.76</v>
      </c>
      <c r="J447" s="62" t="n">
        <f aca="false">BU447*Parameter!$B$18</f>
        <v>1150</v>
      </c>
      <c r="K447" s="63" t="n">
        <v>378.5</v>
      </c>
      <c r="L447" s="64" t="n">
        <v>3.03830911492735</v>
      </c>
      <c r="M447" s="62" t="n">
        <v>67</v>
      </c>
      <c r="N447" s="62" t="n">
        <v>1000</v>
      </c>
      <c r="O447" s="65" t="n">
        <v>21</v>
      </c>
      <c r="P447" s="60" t="s">
        <v>275</v>
      </c>
      <c r="Q447" s="62" t="n">
        <v>1500</v>
      </c>
      <c r="R447" s="65" t="n">
        <f aca="false">IF(CA447=1,0,IFERROR(VLOOKUP(BY447,'Gebinde-Kategorie'!$A$5:$N$45,13,0)+0,0))</f>
        <v>26</v>
      </c>
      <c r="S447" s="66"/>
      <c r="T447" s="67"/>
      <c r="U447" s="67"/>
      <c r="V447" s="67"/>
      <c r="W447" s="60"/>
      <c r="X447" s="62"/>
      <c r="Y447" s="62"/>
      <c r="Z447" s="60" t="n">
        <v>3</v>
      </c>
      <c r="AA447" s="60" t="n">
        <f aca="false">IF(A447="","",IF(AND(Parameter!$B$21="Ja",ISNUMBER(W447)),W447,IF(AND(Parameter!$E$27="Ja",ISNUMBER(Z447),CD447&lt;&gt;"Nein"),Z447,IF(CD447="2+3",IF(ISNUMBER(SEARCH("grosser Artikel",BV447)),2,IFERROR(VLOOKUP(BY447,Parameter!$F$35:$G$64,2,0),2)),IF(OR(CD447="Nein",CD447=""),"-",CD447)))))</f>
        <v>3</v>
      </c>
      <c r="AB447" s="67"/>
      <c r="AC447" s="68"/>
      <c r="AD447" s="62" t="n">
        <f aca="false">AW447</f>
        <v>1067</v>
      </c>
      <c r="AE447" s="62" t="n">
        <f aca="false">MAX(AW447,H447)</f>
        <v>1067</v>
      </c>
      <c r="AF447" s="69"/>
      <c r="AG447" s="62" t="n">
        <f aca="false">IF(LEFT(Cockpit!$C$5,1)="A",H447,IF(Parameter!$E$30="MAX-Bestand",IF(CI447=1,CJ447,IF(LEFT(Cockpit!$C$5,1)="B",AM447,MAX(AM447,H447))),ROUNDUP(AK447,0)))</f>
        <v>798</v>
      </c>
      <c r="AH447" s="62" t="n">
        <f aca="false">IF(CA447=1,0,ROUNDUP(AG447/BZ447,0))</f>
        <v>1</v>
      </c>
      <c r="AI447" s="64" t="n">
        <f aca="false">IF(CR447&gt;0,CR447*MAX(1,AG447/X447),IF(CA447=1,IF(AG447&lt;=0,0,CE447*MAX(1,IF(H447&gt;0,AG447/H447,1))),IF(R447&gt;0,AH447/R447,0))/MAX(0.1,N(Parameter!$M$21)))</f>
        <v>0.0384615384615385</v>
      </c>
      <c r="AJ447" s="62" t="n">
        <f aca="false">AI447*CC447</f>
        <v>9.42307692307692</v>
      </c>
      <c r="AK447" s="63" t="n">
        <f aca="false">IF(LEFT(Cockpit!$C$5,1)="A",H447,IF(CI447=1,(CL447+CJ447)/2,IF(LEFT(Cockpit!$C$5,1)="B",(CL447+AM447)/2,MAX((CL447+AM447)/2,H447))))</f>
        <v>798</v>
      </c>
      <c r="AL447" s="62" t="n">
        <f aca="false">AK447*G447</f>
        <v>95.76</v>
      </c>
      <c r="AM447" s="62" t="n">
        <f aca="false">ROUNDUP(CL447+MAX(CM447,2*(J447/IF(CH447&gt;0,CH447,MAX(0.1,N(Cockpit!$C$6)))-CL447)),0)</f>
        <v>1067</v>
      </c>
      <c r="AN447" s="63" t="n">
        <f aca="false">IF(AJ447&gt;0,J447/AJ447,-1)</f>
        <v>122.040816326531</v>
      </c>
      <c r="AO447" s="63" t="n">
        <f aca="false">IF(AND(OR(CG447="L1",CG447="L23",CG447="LIFT"),AJ447&gt;0),SUMIFS($AJ$7:$AJ$1843,$CG$7:$CG$1843,CG447,$AN$7:$AN$1843,"&gt;"&amp;AN447)+SUMIFS($AJ$7:$AJ$1843,$CG$7:$CG$1843,CG447,$AN$7:$AN$1843,AN447,$BX$7:$BX$1843,"&lt;="&amp;BX447),"")</f>
        <v>668.798534798535</v>
      </c>
      <c r="AP447" s="70" t="n">
        <f aca="false">IF(AO447="",0,MAX(0,MIN(1,(IF(CG447="L1",Parameter!$H$5,IF(CG447="L23",Parameter!$H$6+Parameter!$H$7,Parameter!$H$5+Parameter!$H$6+Parameter!$H$7))-(AO447-AJ447))/AJ447)))</f>
        <v>1</v>
      </c>
      <c r="AQ447" s="62" t="n">
        <f aca="false">IF(LEFT(Cockpit!$I$5,1)="A",H447,IF(Parameter!$E$30="MAX-Bestand",IF(CI447=1,CJ447,IF(LEFT(Cockpit!$I$5,1)="B",AW447,MAX(AW447,H447))),ROUNDUP(AU447,0)))</f>
        <v>798</v>
      </c>
      <c r="AR447" s="62" t="n">
        <f aca="false">IF(CA447=1,0,ROUNDUP(AQ447/BZ447,0))</f>
        <v>1</v>
      </c>
      <c r="AS447" s="64" t="n">
        <f aca="false">IF(CR447&gt;0,CR447*MAX(1,AQ447/X447),IF(CA447=1,IF(AQ447&lt;=0,0,CE447*MAX(1,IF(H447&gt;0,AQ447/H447,1))),IF(R447&gt;0,AR447/R447,0))/MAX(0.1,N(Parameter!$M$21)))</f>
        <v>0.0384615384615385</v>
      </c>
      <c r="AT447" s="62" t="n">
        <f aca="false">AS447*CC447</f>
        <v>9.42307692307692</v>
      </c>
      <c r="AU447" s="63" t="n">
        <f aca="false">IF(LEFT(Cockpit!$I$5,1)="A",H447,IF(CI447=1,(CL447+CJ447)/2,IF(LEFT(Cockpit!$I$5,1)="B",(CL447+AW447)/2,MAX((CL447+AW447)/2,H447))))</f>
        <v>798</v>
      </c>
      <c r="AV447" s="62" t="n">
        <f aca="false">AU447*G447</f>
        <v>95.76</v>
      </c>
      <c r="AW447" s="62" t="n">
        <f aca="false">ROUNDUP(CL447+MAX(CM447,2*(J447/IF(CH447&gt;0,CH447,MAX(0.1,N(Cockpit!$I$6)))-CL447)),0)</f>
        <v>1067</v>
      </c>
      <c r="AX447" s="63" t="n">
        <f aca="false">IF(AT447&gt;0,J447/AT447,-1)</f>
        <v>122.040816326531</v>
      </c>
      <c r="AY447" s="63" t="n">
        <f aca="false">IF(AND(OR(CG447="L1",CG447="L23",CG447="LIFT"),AT447&gt;0),SUMIFS($AT$7:$AT$1843,$CG$7:$CG$1843,CG447,$AX$7:$AX$1843,"&gt;"&amp;AX447)+SUMIFS($AT$7:$AT$1843,$CG$7:$CG$1843,CG447,$AX$7:$AX$1843,AX447,$BX$7:$BX$1843,"&lt;="&amp;BX447),"")</f>
        <v>781.581043956044</v>
      </c>
      <c r="AZ447" s="70" t="n">
        <f aca="false">IF(AY447="",0,MAX(0,MIN(1,(IF(CG447="L1",Parameter!$H$5,IF(CG447="L23",Parameter!$H$6+Parameter!$H$7,Parameter!$H$5+Parameter!$H$6+Parameter!$H$7))-(AY447-AT447))/AT447)))</f>
        <v>1</v>
      </c>
      <c r="BA447" s="62" t="n">
        <f aca="false">IF(LEFT(Cockpit!$O$5,1)="A",H447,IF(Parameter!$E$30="MAX-Bestand",IF(CI447=1,CJ447,IF(LEFT(Cockpit!$O$5,1)="B",BG447,MAX(BG447,H447))),ROUNDUP(BE447,0)))</f>
        <v>567</v>
      </c>
      <c r="BB447" s="62" t="n">
        <f aca="false">IF(CA447=1,0,ROUNDUP(BA447/BZ447,0))</f>
        <v>1</v>
      </c>
      <c r="BC447" s="64" t="n">
        <f aca="false">IF(CR447&gt;0,CR447*MAX(1,BA447/X447),IF(CA447=1,IF(BA447&lt;=0,0,CE447*MAX(1,IF(H447&gt;0,BA447/H447,1))),IF(R447&gt;0,BB447/R447,0))/MAX(0.1,N(Parameter!$M$21)))</f>
        <v>0.0384615384615385</v>
      </c>
      <c r="BD447" s="62" t="n">
        <f aca="false">BC447*CC447</f>
        <v>9.42307692307692</v>
      </c>
      <c r="BE447" s="63" t="n">
        <f aca="false">IF(LEFT(Cockpit!$O$5,1)="A",H447,IF(CI447=1,(CL447+CJ447)/2,IF(LEFT(Cockpit!$O$5,1)="B",(CL447+BG447)/2,MAX((CL447+BG447)/2,H447))))</f>
        <v>567</v>
      </c>
      <c r="BF447" s="62" t="n">
        <f aca="false">BE447*G447</f>
        <v>68.04</v>
      </c>
      <c r="BG447" s="62" t="n">
        <f aca="false">ROUNDUP(CL447+MAX(CM447,2*(J447/IF(CH447&gt;0,CH447,MAX(0.1,N(Cockpit!$O$6)))-CL447)),0)</f>
        <v>1067</v>
      </c>
      <c r="BH447" s="63" t="n">
        <f aca="false">IF(BD447&gt;0,J447/BD447,-1)</f>
        <v>122.040816326531</v>
      </c>
      <c r="BI447" s="63" t="n">
        <f aca="false">IF(AND(OR(CG447="L1",CG447="L23",CG447="LIFT"),BD447&gt;0),SUMIFS($BD$7:$BD$1843,$CG$7:$CG$1843,CG447,$BH$7:$BH$1843,"&gt;"&amp;BH447)+SUMIFS($BD$7:$BD$1843,$CG$7:$CG$1843,CG447,$BH$7:$BH$1843,BH447,$BX$7:$BX$1843,"&lt;="&amp;BX447),"")</f>
        <v>792.567307692308</v>
      </c>
      <c r="BJ447" s="70" t="n">
        <f aca="false">IF(BI447="",0,MAX(0,MIN(1,(IF(CG447="L1",Parameter!$H$5,IF(CG447="L23",Parameter!$H$6+Parameter!$H$7,Parameter!$H$5+Parameter!$H$6+Parameter!$H$7))-(BI447-BD447))/BD447)))</f>
        <v>1</v>
      </c>
      <c r="BK447" s="60" t="str">
        <f aca="false">IF(AJ447&lt;=0,"",IF(CG447="Aussen","Aussenlager",IF(CG447="-","Nicht im Lift",IF(AP447&gt;=1,"Lift",IF(AP447&lt;=0,"Aussenlager","teilweise")))))</f>
        <v>Lift</v>
      </c>
      <c r="BL447" s="60" t="str">
        <f aca="false">IF(AT447&lt;=0,"",IF(CG447="Aussen","Aussenlager",IF(CG447="-","Nicht im Lift",IF(AZ447&gt;=1,"Lift",IF(AZ447&lt;=0,"Aussenlager","teilweise")))))</f>
        <v>Lift</v>
      </c>
      <c r="BM447" s="60" t="str">
        <f aca="false">IF(BD447&lt;=0,"",IF(CG447="Aussen","Aussenlager",IF(CG447="-","Nicht im Lift",IF(BJ447&gt;=1,"Lift",IF(BJ447&lt;=0,"Aussenlager","teilweise")))))</f>
        <v>Lift</v>
      </c>
      <c r="BN447" s="60" t="str">
        <f aca="false">IF(A447="","",IF(BW447=1,"Neu; ","")&amp;IF(AND(BW447=0,BR447&lt;0),"negativer Bestand (Export "&amp;BR447&amp;"); ","")&amp;IF(J447&lt;=0,"Kein Verbrauch; ","")&amp;IF(CR447&gt;0,"Lift "&amp;W447&amp;" lt. Liftbericht (Fach "&amp;X447&amp;" Stk); ",IF(CB447=1,"Gebinde geschätzt ("&amp;T447&amp;"); ",IF(CA447=1,"Lose – Tablare geschätzt; ","")))&amp;IF(H447&gt;AW447,"Überbestand "&amp;ROUND(H447-AW447,0)&amp;" Stk / CHF "&amp;ROUND((H447-AW447)*G447,0)&amp;"; ","")&amp;IF(AND(CI447=1,CJ447&lt;CK447),"MAX &lt; MB+LG; ","")&amp;IF(AND(CQ447&gt;0,CP447*10&gt;CQ447),"zu hoch für Tablar; ","")&amp;IF(AND(BW447=0,OR(CI447=1,AB447&lt;&gt;"",U447&lt;&gt;"",V447&lt;&gt;"",AC447&lt;&gt;"")),"manuell übersteuert; ","")&amp;IF(AND(CA447=0,R447=0),"Gebinde unbekannt / Stellmass fehlt; ","")&amp;IF(AND(CA447=0,N(V447)&lt;=0,N(Q447)&lt;=0),"Menge pro Gebinde fehlt (Ist = 1 Gebinde); ","")&amp;BV447)</f>
        <v/>
      </c>
      <c r="BO447" s="60"/>
      <c r="BP447" s="60"/>
      <c r="BQ447" s="67"/>
      <c r="BR447" s="62" t="n">
        <v>598</v>
      </c>
      <c r="BS447" s="62" t="n">
        <v>200</v>
      </c>
      <c r="BT447" s="61" t="n">
        <v>71.76</v>
      </c>
      <c r="BU447" s="62" t="n">
        <v>1150</v>
      </c>
      <c r="BV447" s="60"/>
      <c r="BW447" s="65" t="n">
        <v>0</v>
      </c>
      <c r="BX447" s="65" t="n">
        <v>447</v>
      </c>
      <c r="BY447" s="60" t="str">
        <f aca="false">IF(U447&lt;&gt;"",UPPER(TRIM(U447)),IF(CB447=1,UPPER(VLOOKUP(T447,Parameter!$I$27:$K$29,2,0)),IF(P447="","LOSE",P447)))</f>
        <v>S52</v>
      </c>
      <c r="BZ447" s="62" t="n">
        <f aca="false">IF(BY447="LOSE",1,IF(N(V447)&gt;0,V447,IF(CB447=1,MAX(1,N(VLOOKUP(T447,Parameter!$I$27:$K$29,3,0)),H447,N(N447)),IF(N(Q447)&gt;0,Q447,MAX(1,H447)))))</f>
        <v>1500</v>
      </c>
      <c r="CA447" s="65" t="n">
        <f aca="false">IF(BY447="LOSE",1,0)</f>
        <v>0</v>
      </c>
      <c r="CB447" s="65" t="n">
        <f aca="false">IF(AND(U447="",OR(P447="",P447="LOSE"),T447&lt;&gt;"",N(S447)&lt;=0,ISNUMBER(MATCH(T447,Parameter!$I$27:$I$29,0))),1,0)</f>
        <v>0</v>
      </c>
      <c r="CC447" s="65" t="n">
        <f aca="false">IF(CR447&gt;0,INDEX(Parameter!$H$5:$H$7,W447)/INDEX(Parameter!$E$5:$E$7,W447),IF(AND(CA447=0,N(IFERROR(VLOOKUP(BY447,'Gebinde-Kategorie'!$A$5:$N$45,14,0),0))&gt;0),VLOOKUP(BY447,'Gebinde-Kategorie'!$A$5:$N$45,14,0)*10+Parameter!$M$23,Parameter!$M$24))</f>
        <v>245</v>
      </c>
      <c r="CD447" s="60" t="str">
        <f aca="false">IF(AND(Parameter!$B$19="Ja",E447&lt;&gt;"",ISNUMBER(MATCH(E447,Parameter!$I$35:$I$52,0))),VLOOKUP(E447,Parameter!$I$35:$J$52,2,0),IFERROR(VLOOKUP(D447,Parameter!$A$35:$C$64,2,0),"Nein"))</f>
        <v>2+3</v>
      </c>
      <c r="CE447" s="64" t="n">
        <f aca="false">IF(CA447=0,0,IF(N(S447)&gt;0,S447,IFERROR(VLOOKUP(D447,Parameter!$A$35:$C$64,3,0)+0,0)))</f>
        <v>0</v>
      </c>
      <c r="CF447" s="60" t="n">
        <f aca="false">IF(AB447&lt;&gt;"",AB447,AA447)</f>
        <v>3</v>
      </c>
      <c r="CG447" s="60" t="str">
        <f aca="false">IF(OR(CF447=1,CF447=2,CF447=3),IF(Parameter!$E$27="Ja","LIFT",IF(CF447=1,"L1","L23")),IF(CF447="Aussen","Aussen","-"))</f>
        <v>LIFT</v>
      </c>
      <c r="CH447" s="71" t="n">
        <f aca="false">IF(N(AC447)&gt;0,AC447,0)</f>
        <v>0</v>
      </c>
      <c r="CI447" s="65" t="n">
        <f aca="false">IF(ISNUMBER(AF447),1,0)</f>
        <v>0</v>
      </c>
      <c r="CJ447" s="62" t="n">
        <f aca="false">N(AF447)</f>
        <v>0</v>
      </c>
      <c r="CK447" s="62" t="n">
        <f aca="false">N(M447)+N(N447)</f>
        <v>1067</v>
      </c>
      <c r="CL447" s="62" t="n">
        <f aca="false">N(M447)</f>
        <v>67</v>
      </c>
      <c r="CM447" s="62" t="n">
        <f aca="false">N(N447)</f>
        <v>1000</v>
      </c>
      <c r="CN447" s="62" t="n">
        <f aca="false">ROUNDUP(H447/BZ447,0)</f>
        <v>1</v>
      </c>
      <c r="CO447" s="62" t="n">
        <f aca="false">ROUNDUP(CJ447/BZ447,0)</f>
        <v>0</v>
      </c>
      <c r="CP447" s="65" t="n">
        <f aca="false">IF(CA447=1,0,IFERROR(VLOOKUP(BY447,'Gebinde-Kategorie'!$A$5:$N$45,5,0)+0,0))</f>
        <v>21</v>
      </c>
      <c r="CQ447" s="65" t="n">
        <f aca="false">IFERROR(IF(OR(CF447=1,CF447=2,CF447=3),N(INDEX(Parameter!$I$5:$I$7,CF447)),0),0)</f>
        <v>0</v>
      </c>
      <c r="CR447" s="64" t="n">
        <f aca="false">IF(AND(Parameter!$B$21="Ja",ISNUMBER(W447),N(X447)&gt;0),IFERROR(N(INDEX(Parameter!$L$5:$L$7,W447))*INDEX(Parameter!$E$5:$E$7,W447)*X447/SUMIFS($X$7:$X$1843,$W$7:$W$1843,W447),0),0)</f>
        <v>0</v>
      </c>
      <c r="CS447" s="62" t="n">
        <f aca="false">IF(AND(OR(CG447="L1",CG447="L23",CG447="LIFT"),H447&gt;0),CC447*IF(CR447&gt;0,CR447*MAX(1,H447/X447),IF(CA447=1,CE447,IF(R447&gt;0,CN447/R447,0))/MAX(0.1,N(Parameter!$M$21))),"")</f>
        <v>9.42307692307692</v>
      </c>
      <c r="CT447" s="64" t="n">
        <f aca="false">IF(CS447="","",J447/H447)</f>
        <v>1.44110275689223</v>
      </c>
      <c r="CU447" s="62" t="n">
        <f aca="false">IF(CS447="","",H447*G447)</f>
        <v>95.76</v>
      </c>
      <c r="CV447" s="63" t="n">
        <f aca="false">IF(CS447="","",(CL447+ROUNDUP(CL447+MAX(CM447,2*(J447/MAX(0.1,N(Einkauf!$C$6))-CL447)),0))/2)</f>
        <v>567</v>
      </c>
      <c r="CW447" s="62" t="n">
        <f aca="false">IF(CS447="","",MAX(0,H447-CV447)*G447)</f>
        <v>27.72</v>
      </c>
      <c r="CX447" s="62" t="n">
        <f aca="false">IF(CS447="","",CS447*MAX(0,1-CV447/H447))</f>
        <v>2.72773279352227</v>
      </c>
      <c r="CY447" s="64" t="n">
        <f aca="false">IF(CS447="","",PERCENTRANK($CS$7:$CS$1843,CS447)+PERCENTRANK($CU$7:$CU$1843,CU447)+1-PERCENTRANK($CT$7:$CT$1843,CT447))</f>
        <v>1.055</v>
      </c>
      <c r="CZ447" s="72" t="n">
        <f aca="false">IF(CS447="","",CHOOSE(MATCH(Einkauf!$C$5,Parameter!$G$23:$G$27,0),CY447,CS447,CU447,-CT447,CW447)+ROW()/1000000000)</f>
        <v>1.055000447</v>
      </c>
    </row>
    <row r="448" customFormat="false" ht="15" hidden="false" customHeight="false" outlineLevel="0" collapsed="false">
      <c r="A448" s="60" t="s">
        <v>1058</v>
      </c>
      <c r="B448" s="60" t="s">
        <v>897</v>
      </c>
      <c r="C448" s="60" t="s">
        <v>206</v>
      </c>
      <c r="D448" s="60" t="s">
        <v>226</v>
      </c>
      <c r="E448" s="60" t="s">
        <v>227</v>
      </c>
      <c r="F448" s="60" t="s">
        <v>260</v>
      </c>
      <c r="G448" s="61" t="n">
        <v>0.13</v>
      </c>
      <c r="H448" s="62" t="n">
        <f aca="false">MAX(0,IF(AND(Parameter!$B$21="Ja",ISNUMBER(Y448)),Y448,IF(Parameter!$B$20="Jahresanfang 2025 + Export",BS448+BR448,BR448)))</f>
        <v>1000</v>
      </c>
      <c r="I448" s="62" t="n">
        <f aca="false">H448*G448</f>
        <v>130</v>
      </c>
      <c r="J448" s="62" t="n">
        <f aca="false">BU448*Parameter!$B$18</f>
        <v>2250</v>
      </c>
      <c r="K448" s="63" t="n">
        <v>575</v>
      </c>
      <c r="L448" s="64" t="n">
        <v>3.91304347826087</v>
      </c>
      <c r="M448" s="62" t="n">
        <v>200</v>
      </c>
      <c r="N448" s="62" t="n">
        <v>500</v>
      </c>
      <c r="O448" s="65" t="n">
        <v>14</v>
      </c>
      <c r="P448" s="60" t="s">
        <v>344</v>
      </c>
      <c r="Q448" s="62" t="n">
        <v>600</v>
      </c>
      <c r="R448" s="65" t="n">
        <f aca="false">IF(CA448=1,0,IFERROR(VLOOKUP(BY448,'Gebinde-Kategorie'!$A$5:$N$45,13,0)+0,0))</f>
        <v>26</v>
      </c>
      <c r="S448" s="66"/>
      <c r="T448" s="67"/>
      <c r="U448" s="67"/>
      <c r="V448" s="67"/>
      <c r="W448" s="60"/>
      <c r="X448" s="62"/>
      <c r="Y448" s="62"/>
      <c r="Z448" s="60" t="n">
        <v>3</v>
      </c>
      <c r="AA448" s="60" t="n">
        <f aca="false">IF(A448="","",IF(AND(Parameter!$B$21="Ja",ISNUMBER(W448)),W448,IF(AND(Parameter!$E$27="Ja",ISNUMBER(Z448),CD448&lt;&gt;"Nein"),Z448,IF(CD448="2+3",IF(ISNUMBER(SEARCH("grosser Artikel",BV448)),2,IFERROR(VLOOKUP(BY448,Parameter!$F$35:$G$64,2,0),2)),IF(OR(CD448="Nein",CD448=""),"-",CD448)))))</f>
        <v>3</v>
      </c>
      <c r="AB448" s="67"/>
      <c r="AC448" s="68"/>
      <c r="AD448" s="62" t="n">
        <f aca="false">AW448</f>
        <v>1300</v>
      </c>
      <c r="AE448" s="62" t="n">
        <f aca="false">MAX(AW448,H448)</f>
        <v>1300</v>
      </c>
      <c r="AF448" s="69"/>
      <c r="AG448" s="62" t="n">
        <f aca="false">IF(LEFT(Cockpit!$C$5,1)="A",H448,IF(Parameter!$E$30="MAX-Bestand",IF(CI448=1,CJ448,IF(LEFT(Cockpit!$C$5,1)="B",AM448,MAX(AM448,H448))),ROUNDUP(AK448,0)))</f>
        <v>1000</v>
      </c>
      <c r="AH448" s="62" t="n">
        <f aca="false">IF(CA448=1,0,ROUNDUP(AG448/BZ448,0))</f>
        <v>2</v>
      </c>
      <c r="AI448" s="64" t="n">
        <f aca="false">IF(CR448&gt;0,CR448*MAX(1,AG448/X448),IF(CA448=1,IF(AG448&lt;=0,0,CE448*MAX(1,IF(H448&gt;0,AG448/H448,1))),IF(R448&gt;0,AH448/R448,0))/MAX(0.1,N(Parameter!$M$21)))</f>
        <v>0.0769230769230769</v>
      </c>
      <c r="AJ448" s="62" t="n">
        <f aca="false">AI448*CC448</f>
        <v>11.9230769230769</v>
      </c>
      <c r="AK448" s="63" t="n">
        <f aca="false">IF(LEFT(Cockpit!$C$5,1)="A",H448,IF(CI448=1,(CL448+CJ448)/2,IF(LEFT(Cockpit!$C$5,1)="B",(CL448+AM448)/2,MAX((CL448+AM448)/2,H448))))</f>
        <v>1000</v>
      </c>
      <c r="AL448" s="62" t="n">
        <f aca="false">AK448*G448</f>
        <v>130</v>
      </c>
      <c r="AM448" s="62" t="n">
        <f aca="false">ROUNDUP(CL448+MAX(CM448,2*(J448/IF(CH448&gt;0,CH448,MAX(0.1,N(Cockpit!$C$6)))-CL448)),0)</f>
        <v>1300</v>
      </c>
      <c r="AN448" s="63" t="n">
        <f aca="false">IF(AJ448&gt;0,J448/AJ448,-1)</f>
        <v>188.709677419355</v>
      </c>
      <c r="AO448" s="63" t="n">
        <f aca="false">IF(AND(OR(CG448="L1",CG448="L23",CG448="LIFT"),AJ448&gt;0),SUMIFS($AJ$7:$AJ$1843,$CG$7:$CG$1843,CG448,$AN$7:$AN$1843,"&gt;"&amp;AN448)+SUMIFS($AJ$7:$AJ$1843,$CG$7:$CG$1843,CG448,$AN$7:$AN$1843,AN448,$BX$7:$BX$1843,"&lt;="&amp;BX448),"")</f>
        <v>376.235347985348</v>
      </c>
      <c r="AP448" s="70" t="n">
        <f aca="false">IF(AO448="",0,MAX(0,MIN(1,(IF(CG448="L1",Parameter!$H$5,IF(CG448="L23",Parameter!$H$6+Parameter!$H$7,Parameter!$H$5+Parameter!$H$6+Parameter!$H$7))-(AO448-AJ448))/AJ448)))</f>
        <v>1</v>
      </c>
      <c r="AQ448" s="62" t="n">
        <f aca="false">IF(LEFT(Cockpit!$I$5,1)="A",H448,IF(Parameter!$E$30="MAX-Bestand",IF(CI448=1,CJ448,IF(LEFT(Cockpit!$I$5,1)="B",AW448,MAX(AW448,H448))),ROUNDUP(AU448,0)))</f>
        <v>1000</v>
      </c>
      <c r="AR448" s="62" t="n">
        <f aca="false">IF(CA448=1,0,ROUNDUP(AQ448/BZ448,0))</f>
        <v>2</v>
      </c>
      <c r="AS448" s="64" t="n">
        <f aca="false">IF(CR448&gt;0,CR448*MAX(1,AQ448/X448),IF(CA448=1,IF(AQ448&lt;=0,0,CE448*MAX(1,IF(H448&gt;0,AQ448/H448,1))),IF(R448&gt;0,AR448/R448,0))/MAX(0.1,N(Parameter!$M$21)))</f>
        <v>0.0769230769230769</v>
      </c>
      <c r="AT448" s="62" t="n">
        <f aca="false">AS448*CC448</f>
        <v>11.9230769230769</v>
      </c>
      <c r="AU448" s="63" t="n">
        <f aca="false">IF(LEFT(Cockpit!$I$5,1)="A",H448,IF(CI448=1,(CL448+CJ448)/2,IF(LEFT(Cockpit!$I$5,1)="B",(CL448+AW448)/2,MAX((CL448+AW448)/2,H448))))</f>
        <v>1000</v>
      </c>
      <c r="AV448" s="62" t="n">
        <f aca="false">AU448*G448</f>
        <v>130</v>
      </c>
      <c r="AW448" s="62" t="n">
        <f aca="false">ROUNDUP(CL448+MAX(CM448,2*(J448/IF(CH448&gt;0,CH448,MAX(0.1,N(Cockpit!$I$6)))-CL448)),0)</f>
        <v>1300</v>
      </c>
      <c r="AX448" s="63" t="n">
        <f aca="false">IF(AT448&gt;0,J448/AT448,-1)</f>
        <v>188.709677419355</v>
      </c>
      <c r="AY448" s="63" t="n">
        <f aca="false">IF(AND(OR(CG448="L1",CG448="L23",CG448="LIFT"),AT448&gt;0),SUMIFS($AT$7:$AT$1843,$CG$7:$CG$1843,CG448,$AX$7:$AX$1843,"&gt;"&amp;AX448)+SUMIFS($AT$7:$AT$1843,$CG$7:$CG$1843,CG448,$AX$7:$AX$1843,AX448,$BX$7:$BX$1843,"&lt;="&amp;BX448),"")</f>
        <v>493.872252747253</v>
      </c>
      <c r="AZ448" s="70" t="n">
        <f aca="false">IF(AY448="",0,MAX(0,MIN(1,(IF(CG448="L1",Parameter!$H$5,IF(CG448="L23",Parameter!$H$6+Parameter!$H$7,Parameter!$H$5+Parameter!$H$6+Parameter!$H$7))-(AY448-AT448))/AT448)))</f>
        <v>1</v>
      </c>
      <c r="BA448" s="62" t="n">
        <f aca="false">IF(LEFT(Cockpit!$O$5,1)="A",H448,IF(Parameter!$E$30="MAX-Bestand",IF(CI448=1,CJ448,IF(LEFT(Cockpit!$O$5,1)="B",BG448,MAX(BG448,H448))),ROUNDUP(BE448,0)))</f>
        <v>563</v>
      </c>
      <c r="BB448" s="62" t="n">
        <f aca="false">IF(CA448=1,0,ROUNDUP(BA448/BZ448,0))</f>
        <v>1</v>
      </c>
      <c r="BC448" s="64" t="n">
        <f aca="false">IF(CR448&gt;0,CR448*MAX(1,BA448/X448),IF(CA448=1,IF(BA448&lt;=0,0,CE448*MAX(1,IF(H448&gt;0,BA448/H448,1))),IF(R448&gt;0,BB448/R448,0))/MAX(0.1,N(Parameter!$M$21)))</f>
        <v>0.0384615384615385</v>
      </c>
      <c r="BD448" s="62" t="n">
        <f aca="false">BC448*CC448</f>
        <v>5.96153846153846</v>
      </c>
      <c r="BE448" s="63" t="n">
        <f aca="false">IF(LEFT(Cockpit!$O$5,1)="A",H448,IF(CI448=1,(CL448+CJ448)/2,IF(LEFT(Cockpit!$O$5,1)="B",(CL448+BG448)/2,MAX((CL448+BG448)/2,H448))))</f>
        <v>562.5</v>
      </c>
      <c r="BF448" s="62" t="n">
        <f aca="false">BE448*G448</f>
        <v>73.125</v>
      </c>
      <c r="BG448" s="62" t="n">
        <f aca="false">ROUNDUP(CL448+MAX(CM448,2*(J448/IF(CH448&gt;0,CH448,MAX(0.1,N(Cockpit!$O$6)))-CL448)),0)</f>
        <v>925</v>
      </c>
      <c r="BH448" s="63" t="n">
        <f aca="false">IF(BD448&gt;0,J448/BD448,-1)</f>
        <v>377.41935483871</v>
      </c>
      <c r="BI448" s="63" t="n">
        <f aca="false">IF(AND(OR(CG448="L1",CG448="L23",CG448="LIFT"),BD448&gt;0),SUMIFS($BD$7:$BD$1843,$CG$7:$CG$1843,CG448,$BH$7:$BH$1843,"&gt;"&amp;BH448)+SUMIFS($BD$7:$BD$1843,$CG$7:$CG$1843,CG448,$BH$7:$BH$1843,BH448,$BX$7:$BX$1843,"&lt;="&amp;BX448),"")</f>
        <v>212.378205128205</v>
      </c>
      <c r="BJ448" s="70" t="n">
        <f aca="false">IF(BI448="",0,MAX(0,MIN(1,(IF(CG448="L1",Parameter!$H$5,IF(CG448="L23",Parameter!$H$6+Parameter!$H$7,Parameter!$H$5+Parameter!$H$6+Parameter!$H$7))-(BI448-BD448))/BD448)))</f>
        <v>1</v>
      </c>
      <c r="BK448" s="60" t="str">
        <f aca="false">IF(AJ448&lt;=0,"",IF(CG448="Aussen","Aussenlager",IF(CG448="-","Nicht im Lift",IF(AP448&gt;=1,"Lift",IF(AP448&lt;=0,"Aussenlager","teilweise")))))</f>
        <v>Lift</v>
      </c>
      <c r="BL448" s="60" t="str">
        <f aca="false">IF(AT448&lt;=0,"",IF(CG448="Aussen","Aussenlager",IF(CG448="-","Nicht im Lift",IF(AZ448&gt;=1,"Lift",IF(AZ448&lt;=0,"Aussenlager","teilweise")))))</f>
        <v>Lift</v>
      </c>
      <c r="BM448" s="60" t="str">
        <f aca="false">IF(BD448&lt;=0,"",IF(CG448="Aussen","Aussenlager",IF(CG448="-","Nicht im Lift",IF(BJ448&gt;=1,"Lift",IF(BJ448&lt;=0,"Aussenlager","teilweise")))))</f>
        <v>Lift</v>
      </c>
      <c r="BN448" s="60" t="str">
        <f aca="false">IF(A448="","",IF(BW448=1,"Neu; ","")&amp;IF(AND(BW448=0,BR448&lt;0),"negativer Bestand (Export "&amp;BR448&amp;"); ","")&amp;IF(J448&lt;=0,"Kein Verbrauch; ","")&amp;IF(CR448&gt;0,"Lift "&amp;W448&amp;" lt. Liftbericht (Fach "&amp;X448&amp;" Stk); ",IF(CB448=1,"Gebinde geschätzt ("&amp;T448&amp;"); ",IF(CA448=1,"Lose – Tablare geschätzt; ","")))&amp;IF(H448&gt;AW448,"Überbestand "&amp;ROUND(H448-AW448,0)&amp;" Stk / CHF "&amp;ROUND((H448-AW448)*G448,0)&amp;"; ","")&amp;IF(AND(CI448=1,CJ448&lt;CK448),"MAX &lt; MB+LG; ","")&amp;IF(AND(CQ448&gt;0,CP448*10&gt;CQ448),"zu hoch für Tablar; ","")&amp;IF(AND(BW448=0,OR(CI448=1,AB448&lt;&gt;"",U448&lt;&gt;"",V448&lt;&gt;"",AC448&lt;&gt;"")),"manuell übersteuert; ","")&amp;IF(AND(CA448=0,R448=0),"Gebinde unbekannt / Stellmass fehlt; ","")&amp;IF(AND(CA448=0,N(V448)&lt;=0,N(Q448)&lt;=0),"Menge pro Gebinde fehlt (Ist = 1 Gebinde); ","")&amp;BV448)</f>
        <v/>
      </c>
      <c r="BO448" s="60"/>
      <c r="BP448" s="60"/>
      <c r="BQ448" s="67"/>
      <c r="BR448" s="62" t="n">
        <v>550</v>
      </c>
      <c r="BS448" s="62" t="n">
        <v>450</v>
      </c>
      <c r="BT448" s="61" t="n">
        <v>71.5</v>
      </c>
      <c r="BU448" s="62" t="n">
        <v>2250</v>
      </c>
      <c r="BV448" s="60"/>
      <c r="BW448" s="65" t="n">
        <v>0</v>
      </c>
      <c r="BX448" s="65" t="n">
        <v>448</v>
      </c>
      <c r="BY448" s="60" t="str">
        <f aca="false">IF(U448&lt;&gt;"",UPPER(TRIM(U448)),IF(CB448=1,UPPER(VLOOKUP(T448,Parameter!$I$27:$K$29,2,0)),IF(P448="","LOSE",P448)))</f>
        <v>S51</v>
      </c>
      <c r="BZ448" s="62" t="n">
        <f aca="false">IF(BY448="LOSE",1,IF(N(V448)&gt;0,V448,IF(CB448=1,MAX(1,N(VLOOKUP(T448,Parameter!$I$27:$K$29,3,0)),H448,N(N448)),IF(N(Q448)&gt;0,Q448,MAX(1,H448)))))</f>
        <v>600</v>
      </c>
      <c r="CA448" s="65" t="n">
        <f aca="false">IF(BY448="LOSE",1,0)</f>
        <v>0</v>
      </c>
      <c r="CB448" s="65" t="n">
        <f aca="false">IF(AND(U448="",OR(P448="",P448="LOSE"),T448&lt;&gt;"",N(S448)&lt;=0,ISNUMBER(MATCH(T448,Parameter!$I$27:$I$29,0))),1,0)</f>
        <v>0</v>
      </c>
      <c r="CC448" s="65" t="n">
        <f aca="false">IF(CR448&gt;0,INDEX(Parameter!$H$5:$H$7,W448)/INDEX(Parameter!$E$5:$E$7,W448),IF(AND(CA448=0,N(IFERROR(VLOOKUP(BY448,'Gebinde-Kategorie'!$A$5:$N$45,14,0),0))&gt;0),VLOOKUP(BY448,'Gebinde-Kategorie'!$A$5:$N$45,14,0)*10+Parameter!$M$23,Parameter!$M$24))</f>
        <v>155</v>
      </c>
      <c r="CD448" s="60" t="str">
        <f aca="false">IF(AND(Parameter!$B$19="Ja",E448&lt;&gt;"",ISNUMBER(MATCH(E448,Parameter!$I$35:$I$52,0))),VLOOKUP(E448,Parameter!$I$35:$J$52,2,0),IFERROR(VLOOKUP(D448,Parameter!$A$35:$C$64,2,0),"Nein"))</f>
        <v>2+3</v>
      </c>
      <c r="CE448" s="64" t="n">
        <f aca="false">IF(CA448=0,0,IF(N(S448)&gt;0,S448,IFERROR(VLOOKUP(D448,Parameter!$A$35:$C$64,3,0)+0,0)))</f>
        <v>0</v>
      </c>
      <c r="CF448" s="60" t="n">
        <f aca="false">IF(AB448&lt;&gt;"",AB448,AA448)</f>
        <v>3</v>
      </c>
      <c r="CG448" s="60" t="str">
        <f aca="false">IF(OR(CF448=1,CF448=2,CF448=3),IF(Parameter!$E$27="Ja","LIFT",IF(CF448=1,"L1","L23")),IF(CF448="Aussen","Aussen","-"))</f>
        <v>LIFT</v>
      </c>
      <c r="CH448" s="71" t="n">
        <f aca="false">IF(N(AC448)&gt;0,AC448,0)</f>
        <v>0</v>
      </c>
      <c r="CI448" s="65" t="n">
        <f aca="false">IF(ISNUMBER(AF448),1,0)</f>
        <v>0</v>
      </c>
      <c r="CJ448" s="62" t="n">
        <f aca="false">N(AF448)</f>
        <v>0</v>
      </c>
      <c r="CK448" s="62" t="n">
        <f aca="false">N(M448)+N(N448)</f>
        <v>700</v>
      </c>
      <c r="CL448" s="62" t="n">
        <f aca="false">N(M448)</f>
        <v>200</v>
      </c>
      <c r="CM448" s="62" t="n">
        <f aca="false">N(N448)</f>
        <v>500</v>
      </c>
      <c r="CN448" s="62" t="n">
        <f aca="false">ROUNDUP(H448/BZ448,0)</f>
        <v>2</v>
      </c>
      <c r="CO448" s="62" t="n">
        <f aca="false">ROUNDUP(CJ448/BZ448,0)</f>
        <v>0</v>
      </c>
      <c r="CP448" s="65" t="n">
        <f aca="false">IF(CA448=1,0,IFERROR(VLOOKUP(BY448,'Gebinde-Kategorie'!$A$5:$N$45,5,0)+0,0))</f>
        <v>11</v>
      </c>
      <c r="CQ448" s="65" t="n">
        <f aca="false">IFERROR(IF(OR(CF448=1,CF448=2,CF448=3),N(INDEX(Parameter!$I$5:$I$7,CF448)),0),0)</f>
        <v>0</v>
      </c>
      <c r="CR448" s="64" t="n">
        <f aca="false">IF(AND(Parameter!$B$21="Ja",ISNUMBER(W448),N(X448)&gt;0),IFERROR(N(INDEX(Parameter!$L$5:$L$7,W448))*INDEX(Parameter!$E$5:$E$7,W448)*X448/SUMIFS($X$7:$X$1843,$W$7:$W$1843,W448),0),0)</f>
        <v>0</v>
      </c>
      <c r="CS448" s="62" t="n">
        <f aca="false">IF(AND(OR(CG448="L1",CG448="L23",CG448="LIFT"),H448&gt;0),CC448*IF(CR448&gt;0,CR448*MAX(1,H448/X448),IF(CA448=1,CE448,IF(R448&gt;0,CN448/R448,0))/MAX(0.1,N(Parameter!$M$21))),"")</f>
        <v>11.9230769230769</v>
      </c>
      <c r="CT448" s="64" t="n">
        <f aca="false">IF(CS448="","",J448/H448)</f>
        <v>2.25</v>
      </c>
      <c r="CU448" s="62" t="n">
        <f aca="false">IF(CS448="","",H448*G448)</f>
        <v>130</v>
      </c>
      <c r="CV448" s="63" t="n">
        <f aca="false">IF(CS448="","",(CL448+ROUNDUP(CL448+MAX(CM448,2*(J448/MAX(0.1,N(Einkauf!$C$6))-CL448)),0))/2)</f>
        <v>562.5</v>
      </c>
      <c r="CW448" s="62" t="n">
        <f aca="false">IF(CS448="","",MAX(0,H448-CV448)*G448)</f>
        <v>56.875</v>
      </c>
      <c r="CX448" s="62" t="n">
        <f aca="false">IF(CS448="","",CS448*MAX(0,1-CV448/H448))</f>
        <v>5.21634615384615</v>
      </c>
      <c r="CY448" s="64" t="n">
        <f aca="false">IF(CS448="","",PERCENTRANK($CS$7:$CS$1843,CS448)+PERCENTRANK($CU$7:$CU$1843,CU448)+1-PERCENTRANK($CT$7:$CT$1843,CT448))</f>
        <v>1.075</v>
      </c>
      <c r="CZ448" s="72" t="n">
        <f aca="false">IF(CS448="","",CHOOSE(MATCH(Einkauf!$C$5,Parameter!$G$23:$G$27,0),CY448,CS448,CU448,-CT448,CW448)+ROW()/1000000000)</f>
        <v>1.075000448</v>
      </c>
    </row>
    <row r="449" customFormat="false" ht="15" hidden="false" customHeight="false" outlineLevel="0" collapsed="false">
      <c r="A449" s="60" t="s">
        <v>1059</v>
      </c>
      <c r="B449" s="60" t="s">
        <v>510</v>
      </c>
      <c r="C449" s="60" t="s">
        <v>206</v>
      </c>
      <c r="D449" s="60" t="s">
        <v>226</v>
      </c>
      <c r="E449" s="60" t="s">
        <v>227</v>
      </c>
      <c r="F449" s="60" t="s">
        <v>260</v>
      </c>
      <c r="G449" s="61" t="n">
        <v>1.16</v>
      </c>
      <c r="H449" s="62" t="n">
        <f aca="false">MAX(0,IF(AND(Parameter!$B$21="Ja",ISNUMBER(Y449)),Y449,IF(Parameter!$B$20="Jahresanfang 2025 + Export",BS449+BR449,BR449)))</f>
        <v>201</v>
      </c>
      <c r="I449" s="62" t="n">
        <f aca="false">H449*G449</f>
        <v>233.16</v>
      </c>
      <c r="J449" s="62" t="n">
        <f aca="false">BU449*Parameter!$B$18</f>
        <v>233</v>
      </c>
      <c r="K449" s="63" t="n">
        <v>140</v>
      </c>
      <c r="L449" s="64" t="n">
        <v>1.66428571428571</v>
      </c>
      <c r="M449" s="62" t="n">
        <v>9</v>
      </c>
      <c r="N449" s="62" t="n">
        <v>235</v>
      </c>
      <c r="O449" s="65" t="n">
        <v>14</v>
      </c>
      <c r="P449" s="60" t="s">
        <v>370</v>
      </c>
      <c r="Q449" s="62" t="n">
        <v>178</v>
      </c>
      <c r="R449" s="65" t="n">
        <f aca="false">IF(CA449=1,0,IFERROR(VLOOKUP(BY449,'Gebinde-Kategorie'!$A$5:$N$45,13,0)+0,0))</f>
        <v>52</v>
      </c>
      <c r="S449" s="66"/>
      <c r="T449" s="67"/>
      <c r="U449" s="67"/>
      <c r="V449" s="67"/>
      <c r="W449" s="60"/>
      <c r="X449" s="62"/>
      <c r="Y449" s="62"/>
      <c r="Z449" s="60" t="n">
        <v>3</v>
      </c>
      <c r="AA449" s="60" t="n">
        <f aca="false">IF(A449="","",IF(AND(Parameter!$B$21="Ja",ISNUMBER(W449)),W449,IF(AND(Parameter!$E$27="Ja",ISNUMBER(Z449),CD449&lt;&gt;"Nein"),Z449,IF(CD449="2+3",IF(ISNUMBER(SEARCH("grosser Artikel",BV449)),2,IFERROR(VLOOKUP(BY449,Parameter!$F$35:$G$64,2,0),2)),IF(OR(CD449="Nein",CD449=""),"-",CD449)))))</f>
        <v>3</v>
      </c>
      <c r="AB449" s="67"/>
      <c r="AC449" s="68"/>
      <c r="AD449" s="62" t="n">
        <f aca="false">AW449</f>
        <v>244</v>
      </c>
      <c r="AE449" s="62" t="n">
        <f aca="false">MAX(AW449,H449)</f>
        <v>244</v>
      </c>
      <c r="AF449" s="69"/>
      <c r="AG449" s="62" t="n">
        <f aca="false">IF(LEFT(Cockpit!$C$5,1)="A",H449,IF(Parameter!$E$30="MAX-Bestand",IF(CI449=1,CJ449,IF(LEFT(Cockpit!$C$5,1)="B",AM449,MAX(AM449,H449))),ROUNDUP(AK449,0)))</f>
        <v>201</v>
      </c>
      <c r="AH449" s="62" t="n">
        <f aca="false">IF(CA449=1,0,ROUNDUP(AG449/BZ449,0))</f>
        <v>2</v>
      </c>
      <c r="AI449" s="64" t="n">
        <f aca="false">IF(CR449&gt;0,CR449*MAX(1,AG449/X449),IF(CA449=1,IF(AG449&lt;=0,0,CE449*MAX(1,IF(H449&gt;0,AG449/H449,1))),IF(R449&gt;0,AH449/R449,0))/MAX(0.1,N(Parameter!$M$21)))</f>
        <v>0.0384615384615385</v>
      </c>
      <c r="AJ449" s="62" t="n">
        <f aca="false">AI449*CC449</f>
        <v>5.96153846153846</v>
      </c>
      <c r="AK449" s="63" t="n">
        <f aca="false">IF(LEFT(Cockpit!$C$5,1)="A",H449,IF(CI449=1,(CL449+CJ449)/2,IF(LEFT(Cockpit!$C$5,1)="B",(CL449+AM449)/2,MAX((CL449+AM449)/2,H449))))</f>
        <v>201</v>
      </c>
      <c r="AL449" s="62" t="n">
        <f aca="false">AK449*G449</f>
        <v>233.16</v>
      </c>
      <c r="AM449" s="62" t="n">
        <f aca="false">ROUNDUP(CL449+MAX(CM449,2*(J449/IF(CH449&gt;0,CH449,MAX(0.1,N(Cockpit!$C$6)))-CL449)),0)</f>
        <v>244</v>
      </c>
      <c r="AN449" s="63" t="n">
        <f aca="false">IF(AJ449&gt;0,J449/AJ449,-1)</f>
        <v>39.0838709677419</v>
      </c>
      <c r="AO449" s="63" t="n">
        <f aca="false">IF(AND(OR(CG449="L1",CG449="L23",CG449="LIFT"),AJ449&gt;0),SUMIFS($AJ$7:$AJ$1843,$CG$7:$CG$1843,CG449,$AN$7:$AN$1843,"&gt;"&amp;AN449)+SUMIFS($AJ$7:$AJ$1843,$CG$7:$CG$1843,CG449,$AN$7:$AN$1843,AN449,$BX$7:$BX$1843,"&lt;="&amp;BX449),"")</f>
        <v>1190.46153846154</v>
      </c>
      <c r="AP449" s="70" t="n">
        <f aca="false">IF(AO449="",0,MAX(0,MIN(1,(IF(CG449="L1",Parameter!$H$5,IF(CG449="L23",Parameter!$H$6+Parameter!$H$7,Parameter!$H$5+Parameter!$H$6+Parameter!$H$7))-(AO449-AJ449))/AJ449)))</f>
        <v>1</v>
      </c>
      <c r="AQ449" s="62" t="n">
        <f aca="false">IF(LEFT(Cockpit!$I$5,1)="A",H449,IF(Parameter!$E$30="MAX-Bestand",IF(CI449=1,CJ449,IF(LEFT(Cockpit!$I$5,1)="B",AW449,MAX(AW449,H449))),ROUNDUP(AU449,0)))</f>
        <v>201</v>
      </c>
      <c r="AR449" s="62" t="n">
        <f aca="false">IF(CA449=1,0,ROUNDUP(AQ449/BZ449,0))</f>
        <v>2</v>
      </c>
      <c r="AS449" s="64" t="n">
        <f aca="false">IF(CR449&gt;0,CR449*MAX(1,AQ449/X449),IF(CA449=1,IF(AQ449&lt;=0,0,CE449*MAX(1,IF(H449&gt;0,AQ449/H449,1))),IF(R449&gt;0,AR449/R449,0))/MAX(0.1,N(Parameter!$M$21)))</f>
        <v>0.0384615384615385</v>
      </c>
      <c r="AT449" s="62" t="n">
        <f aca="false">AS449*CC449</f>
        <v>5.96153846153846</v>
      </c>
      <c r="AU449" s="63" t="n">
        <f aca="false">IF(LEFT(Cockpit!$I$5,1)="A",H449,IF(CI449=1,(CL449+CJ449)/2,IF(LEFT(Cockpit!$I$5,1)="B",(CL449+AW449)/2,MAX((CL449+AW449)/2,H449))))</f>
        <v>201</v>
      </c>
      <c r="AV449" s="62" t="n">
        <f aca="false">AU449*G449</f>
        <v>233.16</v>
      </c>
      <c r="AW449" s="62" t="n">
        <f aca="false">ROUNDUP(CL449+MAX(CM449,2*(J449/IF(CH449&gt;0,CH449,MAX(0.1,N(Cockpit!$I$6)))-CL449)),0)</f>
        <v>244</v>
      </c>
      <c r="AX449" s="63" t="n">
        <f aca="false">IF(AT449&gt;0,J449/AT449,-1)</f>
        <v>39.0838709677419</v>
      </c>
      <c r="AY449" s="63" t="n">
        <f aca="false">IF(AND(OR(CG449="L1",CG449="L23",CG449="LIFT"),AT449&gt;0),SUMIFS($AT$7:$AT$1843,$CG$7:$CG$1843,CG449,$AX$7:$AX$1843,"&gt;"&amp;AX449)+SUMIFS($AT$7:$AT$1843,$CG$7:$CG$1843,CG449,$AX$7:$AX$1843,AX449,$BX$7:$BX$1843,"&lt;="&amp;BX449),"")</f>
        <v>1509.01327838828</v>
      </c>
      <c r="AZ449" s="70" t="n">
        <f aca="false">IF(AY449="",0,MAX(0,MIN(1,(IF(CG449="L1",Parameter!$H$5,IF(CG449="L23",Parameter!$H$6+Parameter!$H$7,Parameter!$H$5+Parameter!$H$6+Parameter!$H$7))-(AY449-AT449))/AT449)))</f>
        <v>1</v>
      </c>
      <c r="BA449" s="62" t="n">
        <f aca="false">IF(LEFT(Cockpit!$O$5,1)="A",H449,IF(Parameter!$E$30="MAX-Bestand",IF(CI449=1,CJ449,IF(LEFT(Cockpit!$O$5,1)="B",BG449,MAX(BG449,H449))),ROUNDUP(BE449,0)))</f>
        <v>127</v>
      </c>
      <c r="BB449" s="62" t="n">
        <f aca="false">IF(CA449=1,0,ROUNDUP(BA449/BZ449,0))</f>
        <v>1</v>
      </c>
      <c r="BC449" s="64" t="n">
        <f aca="false">IF(CR449&gt;0,CR449*MAX(1,BA449/X449),IF(CA449=1,IF(BA449&lt;=0,0,CE449*MAX(1,IF(H449&gt;0,BA449/H449,1))),IF(R449&gt;0,BB449/R449,0))/MAX(0.1,N(Parameter!$M$21)))</f>
        <v>0.0192307692307692</v>
      </c>
      <c r="BD449" s="62" t="n">
        <f aca="false">BC449*CC449</f>
        <v>2.98076923076923</v>
      </c>
      <c r="BE449" s="63" t="n">
        <f aca="false">IF(LEFT(Cockpit!$O$5,1)="A",H449,IF(CI449=1,(CL449+CJ449)/2,IF(LEFT(Cockpit!$O$5,1)="B",(CL449+BG449)/2,MAX((CL449+BG449)/2,H449))))</f>
        <v>126.5</v>
      </c>
      <c r="BF449" s="62" t="n">
        <f aca="false">BE449*G449</f>
        <v>146.74</v>
      </c>
      <c r="BG449" s="62" t="n">
        <f aca="false">ROUNDUP(CL449+MAX(CM449,2*(J449/IF(CH449&gt;0,CH449,MAX(0.1,N(Cockpit!$O$6)))-CL449)),0)</f>
        <v>244</v>
      </c>
      <c r="BH449" s="63" t="n">
        <f aca="false">IF(BD449&gt;0,J449/BD449,-1)</f>
        <v>78.1677419354839</v>
      </c>
      <c r="BI449" s="63" t="n">
        <f aca="false">IF(AND(OR(CG449="L1",CG449="L23",CG449="LIFT"),BD449&gt;0),SUMIFS($BD$7:$BD$1843,$CG$7:$CG$1843,CG449,$BH$7:$BH$1843,"&gt;"&amp;BH449)+SUMIFS($BD$7:$BD$1843,$CG$7:$CG$1843,CG449,$BH$7:$BH$1843,BH449,$BX$7:$BX$1843,"&lt;="&amp;BX449),"")</f>
        <v>995.478937728938</v>
      </c>
      <c r="BJ449" s="70" t="n">
        <f aca="false">IF(BI449="",0,MAX(0,MIN(1,(IF(CG449="L1",Parameter!$H$5,IF(CG449="L23",Parameter!$H$6+Parameter!$H$7,Parameter!$H$5+Parameter!$H$6+Parameter!$H$7))-(BI449-BD449))/BD449)))</f>
        <v>1</v>
      </c>
      <c r="BK449" s="60" t="str">
        <f aca="false">IF(AJ449&lt;=0,"",IF(CG449="Aussen","Aussenlager",IF(CG449="-","Nicht im Lift",IF(AP449&gt;=1,"Lift",IF(AP449&lt;=0,"Aussenlager","teilweise")))))</f>
        <v>Lift</v>
      </c>
      <c r="BL449" s="60" t="str">
        <f aca="false">IF(AT449&lt;=0,"",IF(CG449="Aussen","Aussenlager",IF(CG449="-","Nicht im Lift",IF(AZ449&gt;=1,"Lift",IF(AZ449&lt;=0,"Aussenlager","teilweise")))))</f>
        <v>Lift</v>
      </c>
      <c r="BM449" s="60" t="str">
        <f aca="false">IF(BD449&lt;=0,"",IF(CG449="Aussen","Aussenlager",IF(CG449="-","Nicht im Lift",IF(BJ449&gt;=1,"Lift",IF(BJ449&lt;=0,"Aussenlager","teilweise")))))</f>
        <v>Lift</v>
      </c>
      <c r="BN449" s="60" t="str">
        <f aca="false">IF(A449="","",IF(BW449=1,"Neu; ","")&amp;IF(AND(BW449=0,BR449&lt;0),"negativer Bestand (Export "&amp;BR449&amp;"); ","")&amp;IF(J449&lt;=0,"Kein Verbrauch; ","")&amp;IF(CR449&gt;0,"Lift "&amp;W449&amp;" lt. Liftbericht (Fach "&amp;X449&amp;" Stk); ",IF(CB449=1,"Gebinde geschätzt ("&amp;T449&amp;"); ",IF(CA449=1,"Lose – Tablare geschätzt; ","")))&amp;IF(H449&gt;AW449,"Überbestand "&amp;ROUND(H449-AW449,0)&amp;" Stk / CHF "&amp;ROUND((H449-AW449)*G449,0)&amp;"; ","")&amp;IF(AND(CI449=1,CJ449&lt;CK449),"MAX &lt; MB+LG; ","")&amp;IF(AND(CQ449&gt;0,CP449*10&gt;CQ449),"zu hoch für Tablar; ","")&amp;IF(AND(BW449=0,OR(CI449=1,AB449&lt;&gt;"",U449&lt;&gt;"",V449&lt;&gt;"",AC449&lt;&gt;"")),"manuell übersteuert; ","")&amp;IF(AND(CA449=0,R449=0),"Gebinde unbekannt / Stellmass fehlt; ","")&amp;IF(AND(CA449=0,N(V449)&lt;=0,N(Q449)&lt;=0),"Menge pro Gebinde fehlt (Ist = 1 Gebinde); ","")&amp;BV449)</f>
        <v/>
      </c>
      <c r="BO449" s="60"/>
      <c r="BP449" s="60"/>
      <c r="BQ449" s="67"/>
      <c r="BR449" s="62" t="n">
        <v>62</v>
      </c>
      <c r="BS449" s="62" t="n">
        <v>139</v>
      </c>
      <c r="BT449" s="61" t="n">
        <v>69.18</v>
      </c>
      <c r="BU449" s="62" t="n">
        <v>233</v>
      </c>
      <c r="BV449" s="60"/>
      <c r="BW449" s="65" t="n">
        <v>0</v>
      </c>
      <c r="BX449" s="65" t="n">
        <v>449</v>
      </c>
      <c r="BY449" s="60" t="str">
        <f aca="false">IF(U449&lt;&gt;"",UPPER(TRIM(U449)),IF(CB449=1,UPPER(VLOOKUP(T449,Parameter!$I$27:$K$29,2,0)),IF(P449="","LOSE",P449)))</f>
        <v>S41</v>
      </c>
      <c r="BZ449" s="62" t="n">
        <f aca="false">IF(BY449="LOSE",1,IF(N(V449)&gt;0,V449,IF(CB449=1,MAX(1,N(VLOOKUP(T449,Parameter!$I$27:$K$29,3,0)),H449,N(N449)),IF(N(Q449)&gt;0,Q449,MAX(1,H449)))))</f>
        <v>178</v>
      </c>
      <c r="CA449" s="65" t="n">
        <f aca="false">IF(BY449="LOSE",1,0)</f>
        <v>0</v>
      </c>
      <c r="CB449" s="65" t="n">
        <f aca="false">IF(AND(U449="",OR(P449="",P449="LOSE"),T449&lt;&gt;"",N(S449)&lt;=0,ISNUMBER(MATCH(T449,Parameter!$I$27:$I$29,0))),1,0)</f>
        <v>0</v>
      </c>
      <c r="CC449" s="65" t="n">
        <f aca="false">IF(CR449&gt;0,INDEX(Parameter!$H$5:$H$7,W449)/INDEX(Parameter!$E$5:$E$7,W449),IF(AND(CA449=0,N(IFERROR(VLOOKUP(BY449,'Gebinde-Kategorie'!$A$5:$N$45,14,0),0))&gt;0),VLOOKUP(BY449,'Gebinde-Kategorie'!$A$5:$N$45,14,0)*10+Parameter!$M$23,Parameter!$M$24))</f>
        <v>155</v>
      </c>
      <c r="CD449" s="60" t="str">
        <f aca="false">IF(AND(Parameter!$B$19="Ja",E449&lt;&gt;"",ISNUMBER(MATCH(E449,Parameter!$I$35:$I$52,0))),VLOOKUP(E449,Parameter!$I$35:$J$52,2,0),IFERROR(VLOOKUP(D449,Parameter!$A$35:$C$64,2,0),"Nein"))</f>
        <v>2+3</v>
      </c>
      <c r="CE449" s="64" t="n">
        <f aca="false">IF(CA449=0,0,IF(N(S449)&gt;0,S449,IFERROR(VLOOKUP(D449,Parameter!$A$35:$C$64,3,0)+0,0)))</f>
        <v>0</v>
      </c>
      <c r="CF449" s="60" t="n">
        <f aca="false">IF(AB449&lt;&gt;"",AB449,AA449)</f>
        <v>3</v>
      </c>
      <c r="CG449" s="60" t="str">
        <f aca="false">IF(OR(CF449=1,CF449=2,CF449=3),IF(Parameter!$E$27="Ja","LIFT",IF(CF449=1,"L1","L23")),IF(CF449="Aussen","Aussen","-"))</f>
        <v>LIFT</v>
      </c>
      <c r="CH449" s="71" t="n">
        <f aca="false">IF(N(AC449)&gt;0,AC449,0)</f>
        <v>0</v>
      </c>
      <c r="CI449" s="65" t="n">
        <f aca="false">IF(ISNUMBER(AF449),1,0)</f>
        <v>0</v>
      </c>
      <c r="CJ449" s="62" t="n">
        <f aca="false">N(AF449)</f>
        <v>0</v>
      </c>
      <c r="CK449" s="62" t="n">
        <f aca="false">N(M449)+N(N449)</f>
        <v>244</v>
      </c>
      <c r="CL449" s="62" t="n">
        <f aca="false">N(M449)</f>
        <v>9</v>
      </c>
      <c r="CM449" s="62" t="n">
        <f aca="false">N(N449)</f>
        <v>235</v>
      </c>
      <c r="CN449" s="62" t="n">
        <f aca="false">ROUNDUP(H449/BZ449,0)</f>
        <v>2</v>
      </c>
      <c r="CO449" s="62" t="n">
        <f aca="false">ROUNDUP(CJ449/BZ449,0)</f>
        <v>0</v>
      </c>
      <c r="CP449" s="65" t="n">
        <f aca="false">IF(CA449=1,0,IFERROR(VLOOKUP(BY449,'Gebinde-Kategorie'!$A$5:$N$45,5,0)+0,0))</f>
        <v>11</v>
      </c>
      <c r="CQ449" s="65" t="n">
        <f aca="false">IFERROR(IF(OR(CF449=1,CF449=2,CF449=3),N(INDEX(Parameter!$I$5:$I$7,CF449)),0),0)</f>
        <v>0</v>
      </c>
      <c r="CR449" s="64" t="n">
        <f aca="false">IF(AND(Parameter!$B$21="Ja",ISNUMBER(W449),N(X449)&gt;0),IFERROR(N(INDEX(Parameter!$L$5:$L$7,W449))*INDEX(Parameter!$E$5:$E$7,W449)*X449/SUMIFS($X$7:$X$1843,$W$7:$W$1843,W449),0),0)</f>
        <v>0</v>
      </c>
      <c r="CS449" s="62" t="n">
        <f aca="false">IF(AND(OR(CG449="L1",CG449="L23",CG449="LIFT"),H449&gt;0),CC449*IF(CR449&gt;0,CR449*MAX(1,H449/X449),IF(CA449=1,CE449,IF(R449&gt;0,CN449/R449,0))/MAX(0.1,N(Parameter!$M$21))),"")</f>
        <v>5.96153846153846</v>
      </c>
      <c r="CT449" s="64" t="n">
        <f aca="false">IF(CS449="","",J449/H449)</f>
        <v>1.1592039800995</v>
      </c>
      <c r="CU449" s="62" t="n">
        <f aca="false">IF(CS449="","",H449*G449)</f>
        <v>233.16</v>
      </c>
      <c r="CV449" s="63" t="n">
        <f aca="false">IF(CS449="","",(CL449+ROUNDUP(CL449+MAX(CM449,2*(J449/MAX(0.1,N(Einkauf!$C$6))-CL449)),0))/2)</f>
        <v>126.5</v>
      </c>
      <c r="CW449" s="62" t="n">
        <f aca="false">IF(CS449="","",MAX(0,H449-CV449)*G449)</f>
        <v>86.42</v>
      </c>
      <c r="CX449" s="62" t="n">
        <f aca="false">IF(CS449="","",CS449*MAX(0,1-CV449/H449))</f>
        <v>2.20962495216227</v>
      </c>
      <c r="CY449" s="64" t="n">
        <f aca="false">IF(CS449="","",PERCENTRANK($CS$7:$CS$1843,CS449)+PERCENTRANK($CU$7:$CU$1843,CU449)+1-PERCENTRANK($CT$7:$CT$1843,CT449))</f>
        <v>1.017</v>
      </c>
      <c r="CZ449" s="72" t="n">
        <f aca="false">IF(CS449="","",CHOOSE(MATCH(Einkauf!$C$5,Parameter!$G$23:$G$27,0),CY449,CS449,CU449,-CT449,CW449)+ROW()/1000000000)</f>
        <v>1.017000449</v>
      </c>
    </row>
    <row r="450" customFormat="false" ht="15" hidden="false" customHeight="false" outlineLevel="0" collapsed="false">
      <c r="A450" s="60" t="s">
        <v>1060</v>
      </c>
      <c r="B450" s="60" t="s">
        <v>510</v>
      </c>
      <c r="C450" s="60" t="s">
        <v>206</v>
      </c>
      <c r="D450" s="60" t="s">
        <v>226</v>
      </c>
      <c r="E450" s="60" t="s">
        <v>227</v>
      </c>
      <c r="F450" s="60" t="s">
        <v>260</v>
      </c>
      <c r="G450" s="61" t="n">
        <v>0.16</v>
      </c>
      <c r="H450" s="62" t="n">
        <f aca="false">MAX(0,IF(AND(Parameter!$B$21="Ja",ISNUMBER(Y450)),Y450,IF(Parameter!$B$20="Jahresanfang 2025 + Export",BS450+BR450,BR450)))</f>
        <v>570</v>
      </c>
      <c r="I450" s="62" t="n">
        <f aca="false">H450*G450</f>
        <v>91.2</v>
      </c>
      <c r="J450" s="62" t="n">
        <f aca="false">BU450*Parameter!$B$18</f>
        <v>790</v>
      </c>
      <c r="K450" s="63" t="n">
        <v>186</v>
      </c>
      <c r="L450" s="64" t="n">
        <v>4.24731182795699</v>
      </c>
      <c r="M450" s="62" t="n">
        <v>30</v>
      </c>
      <c r="N450" s="62" t="n">
        <v>790</v>
      </c>
      <c r="O450" s="65" t="n">
        <v>14</v>
      </c>
      <c r="P450" s="60" t="s">
        <v>443</v>
      </c>
      <c r="Q450" s="62" t="n">
        <v>262</v>
      </c>
      <c r="R450" s="65" t="n">
        <f aca="false">IF(CA450=1,0,IFERROR(VLOOKUP(BY450,'Gebinde-Kategorie'!$A$5:$N$45,13,0)+0,0))</f>
        <v>280</v>
      </c>
      <c r="S450" s="66"/>
      <c r="T450" s="67"/>
      <c r="U450" s="67"/>
      <c r="V450" s="67"/>
      <c r="W450" s="60"/>
      <c r="X450" s="62"/>
      <c r="Y450" s="62"/>
      <c r="Z450" s="60" t="n">
        <v>2</v>
      </c>
      <c r="AA450" s="60" t="n">
        <f aca="false">IF(A450="","",IF(AND(Parameter!$B$21="Ja",ISNUMBER(W450)),W450,IF(AND(Parameter!$E$27="Ja",ISNUMBER(Z450),CD450&lt;&gt;"Nein"),Z450,IF(CD450="2+3",IF(ISNUMBER(SEARCH("grosser Artikel",BV450)),2,IFERROR(VLOOKUP(BY450,Parameter!$F$35:$G$64,2,0),2)),IF(OR(CD450="Nein",CD450=""),"-",CD450)))))</f>
        <v>2</v>
      </c>
      <c r="AB450" s="67"/>
      <c r="AC450" s="68"/>
      <c r="AD450" s="62" t="n">
        <f aca="false">AW450</f>
        <v>820</v>
      </c>
      <c r="AE450" s="62" t="n">
        <f aca="false">MAX(AW450,H450)</f>
        <v>820</v>
      </c>
      <c r="AF450" s="69"/>
      <c r="AG450" s="62" t="n">
        <f aca="false">IF(LEFT(Cockpit!$C$5,1)="A",H450,IF(Parameter!$E$30="MAX-Bestand",IF(CI450=1,CJ450,IF(LEFT(Cockpit!$C$5,1)="B",AM450,MAX(AM450,H450))),ROUNDUP(AK450,0)))</f>
        <v>570</v>
      </c>
      <c r="AH450" s="62" t="n">
        <f aca="false">IF(CA450=1,0,ROUNDUP(AG450/BZ450,0))</f>
        <v>3</v>
      </c>
      <c r="AI450" s="64" t="n">
        <f aca="false">IF(CR450&gt;0,CR450*MAX(1,AG450/X450),IF(CA450=1,IF(AG450&lt;=0,0,CE450*MAX(1,IF(H450&gt;0,AG450/H450,1))),IF(R450&gt;0,AH450/R450,0))/MAX(0.1,N(Parameter!$M$21)))</f>
        <v>0.0107142857142857</v>
      </c>
      <c r="AJ450" s="62" t="n">
        <f aca="false">AI450*CC450</f>
        <v>1.66071428571429</v>
      </c>
      <c r="AK450" s="63" t="n">
        <f aca="false">IF(LEFT(Cockpit!$C$5,1)="A",H450,IF(CI450=1,(CL450+CJ450)/2,IF(LEFT(Cockpit!$C$5,1)="B",(CL450+AM450)/2,MAX((CL450+AM450)/2,H450))))</f>
        <v>570</v>
      </c>
      <c r="AL450" s="62" t="n">
        <f aca="false">AK450*G450</f>
        <v>91.2</v>
      </c>
      <c r="AM450" s="62" t="n">
        <f aca="false">ROUNDUP(CL450+MAX(CM450,2*(J450/IF(CH450&gt;0,CH450,MAX(0.1,N(Cockpit!$C$6)))-CL450)),0)</f>
        <v>820</v>
      </c>
      <c r="AN450" s="63" t="n">
        <f aca="false">IF(AJ450&gt;0,J450/AJ450,-1)</f>
        <v>475.698924731183</v>
      </c>
      <c r="AO450" s="63" t="n">
        <f aca="false">IF(AND(OR(CG450="L1",CG450="L23",CG450="LIFT"),AJ450&gt;0),SUMIFS($AJ$7:$AJ$1843,$CG$7:$CG$1843,CG450,$AN$7:$AN$1843,"&gt;"&amp;AN450)+SUMIFS($AJ$7:$AJ$1843,$CG$7:$CG$1843,CG450,$AN$7:$AN$1843,AN450,$BX$7:$BX$1843,"&lt;="&amp;BX450),"")</f>
        <v>84.6730769230769</v>
      </c>
      <c r="AP450" s="70" t="n">
        <f aca="false">IF(AO450="",0,MAX(0,MIN(1,(IF(CG450="L1",Parameter!$H$5,IF(CG450="L23",Parameter!$H$6+Parameter!$H$7,Parameter!$H$5+Parameter!$H$6+Parameter!$H$7))-(AO450-AJ450))/AJ450)))</f>
        <v>1</v>
      </c>
      <c r="AQ450" s="62" t="n">
        <f aca="false">IF(LEFT(Cockpit!$I$5,1)="A",H450,IF(Parameter!$E$30="MAX-Bestand",IF(CI450=1,CJ450,IF(LEFT(Cockpit!$I$5,1)="B",AW450,MAX(AW450,H450))),ROUNDUP(AU450,0)))</f>
        <v>570</v>
      </c>
      <c r="AR450" s="62" t="n">
        <f aca="false">IF(CA450=1,0,ROUNDUP(AQ450/BZ450,0))</f>
        <v>3</v>
      </c>
      <c r="AS450" s="64" t="n">
        <f aca="false">IF(CR450&gt;0,CR450*MAX(1,AQ450/X450),IF(CA450=1,IF(AQ450&lt;=0,0,CE450*MAX(1,IF(H450&gt;0,AQ450/H450,1))),IF(R450&gt;0,AR450/R450,0))/MAX(0.1,N(Parameter!$M$21)))</f>
        <v>0.0107142857142857</v>
      </c>
      <c r="AT450" s="62" t="n">
        <f aca="false">AS450*CC450</f>
        <v>1.66071428571429</v>
      </c>
      <c r="AU450" s="63" t="n">
        <f aca="false">IF(LEFT(Cockpit!$I$5,1)="A",H450,IF(CI450=1,(CL450+CJ450)/2,IF(LEFT(Cockpit!$I$5,1)="B",(CL450+AW450)/2,MAX((CL450+AW450)/2,H450))))</f>
        <v>570</v>
      </c>
      <c r="AV450" s="62" t="n">
        <f aca="false">AU450*G450</f>
        <v>91.2</v>
      </c>
      <c r="AW450" s="62" t="n">
        <f aca="false">ROUNDUP(CL450+MAX(CM450,2*(J450/IF(CH450&gt;0,CH450,MAX(0.1,N(Cockpit!$I$6)))-CL450)),0)</f>
        <v>820</v>
      </c>
      <c r="AX450" s="63" t="n">
        <f aca="false">IF(AT450&gt;0,J450/AT450,-1)</f>
        <v>475.698924731183</v>
      </c>
      <c r="AY450" s="63" t="n">
        <f aca="false">IF(AND(OR(CG450="L1",CG450="L23",CG450="LIFT"),AT450&gt;0),SUMIFS($AT$7:$AT$1843,$CG$7:$CG$1843,CG450,$AX$7:$AX$1843,"&gt;"&amp;AX450)+SUMIFS($AT$7:$AT$1843,$CG$7:$CG$1843,CG450,$AX$7:$AX$1843,AX450,$BX$7:$BX$1843,"&lt;="&amp;BX450),"")</f>
        <v>95.5618131868132</v>
      </c>
      <c r="AZ450" s="70" t="n">
        <f aca="false">IF(AY450="",0,MAX(0,MIN(1,(IF(CG450="L1",Parameter!$H$5,IF(CG450="L23",Parameter!$H$6+Parameter!$H$7,Parameter!$H$5+Parameter!$H$6+Parameter!$H$7))-(AY450-AT450))/AT450)))</f>
        <v>1</v>
      </c>
      <c r="BA450" s="62" t="n">
        <f aca="false">IF(LEFT(Cockpit!$O$5,1)="A",H450,IF(Parameter!$E$30="MAX-Bestand",IF(CI450=1,CJ450,IF(LEFT(Cockpit!$O$5,1)="B",BG450,MAX(BG450,H450))),ROUNDUP(BE450,0)))</f>
        <v>425</v>
      </c>
      <c r="BB450" s="62" t="n">
        <f aca="false">IF(CA450=1,0,ROUNDUP(BA450/BZ450,0))</f>
        <v>2</v>
      </c>
      <c r="BC450" s="64" t="n">
        <f aca="false">IF(CR450&gt;0,CR450*MAX(1,BA450/X450),IF(CA450=1,IF(BA450&lt;=0,0,CE450*MAX(1,IF(H450&gt;0,BA450/H450,1))),IF(R450&gt;0,BB450/R450,0))/MAX(0.1,N(Parameter!$M$21)))</f>
        <v>0.00714285714285714</v>
      </c>
      <c r="BD450" s="62" t="n">
        <f aca="false">BC450*CC450</f>
        <v>1.10714285714286</v>
      </c>
      <c r="BE450" s="63" t="n">
        <f aca="false">IF(LEFT(Cockpit!$O$5,1)="A",H450,IF(CI450=1,(CL450+CJ450)/2,IF(LEFT(Cockpit!$O$5,1)="B",(CL450+BG450)/2,MAX((CL450+BG450)/2,H450))))</f>
        <v>425</v>
      </c>
      <c r="BF450" s="62" t="n">
        <f aca="false">BE450*G450</f>
        <v>68</v>
      </c>
      <c r="BG450" s="62" t="n">
        <f aca="false">ROUNDUP(CL450+MAX(CM450,2*(J450/IF(CH450&gt;0,CH450,MAX(0.1,N(Cockpit!$O$6)))-CL450)),0)</f>
        <v>820</v>
      </c>
      <c r="BH450" s="63" t="n">
        <f aca="false">IF(BD450&gt;0,J450/BD450,-1)</f>
        <v>713.548387096774</v>
      </c>
      <c r="BI450" s="63" t="n">
        <f aca="false">IF(AND(OR(CG450="L1",CG450="L23",CG450="LIFT"),BD450&gt;0),SUMIFS($BD$7:$BD$1843,$CG$7:$CG$1843,CG450,$BH$7:$BH$1843,"&gt;"&amp;BH450)+SUMIFS($BD$7:$BD$1843,$CG$7:$CG$1843,CG450,$BH$7:$BH$1843,BH450,$BX$7:$BX$1843,"&lt;="&amp;BX450),"")</f>
        <v>33.5123626373626</v>
      </c>
      <c r="BJ450" s="70" t="n">
        <f aca="false">IF(BI450="",0,MAX(0,MIN(1,(IF(CG450="L1",Parameter!$H$5,IF(CG450="L23",Parameter!$H$6+Parameter!$H$7,Parameter!$H$5+Parameter!$H$6+Parameter!$H$7))-(BI450-BD450))/BD450)))</f>
        <v>1</v>
      </c>
      <c r="BK450" s="60" t="str">
        <f aca="false">IF(AJ450&lt;=0,"",IF(CG450="Aussen","Aussenlager",IF(CG450="-","Nicht im Lift",IF(AP450&gt;=1,"Lift",IF(AP450&lt;=0,"Aussenlager","teilweise")))))</f>
        <v>Lift</v>
      </c>
      <c r="BL450" s="60" t="str">
        <f aca="false">IF(AT450&lt;=0,"",IF(CG450="Aussen","Aussenlager",IF(CG450="-","Nicht im Lift",IF(AZ450&gt;=1,"Lift",IF(AZ450&lt;=0,"Aussenlager","teilweise")))))</f>
        <v>Lift</v>
      </c>
      <c r="BM450" s="60" t="str">
        <f aca="false">IF(BD450&lt;=0,"",IF(CG450="Aussen","Aussenlager",IF(CG450="-","Nicht im Lift",IF(BJ450&gt;=1,"Lift",IF(BJ450&lt;=0,"Aussenlager","teilweise")))))</f>
        <v>Lift</v>
      </c>
      <c r="BN450" s="60" t="str">
        <f aca="false">IF(A450="","",IF(BW450=1,"Neu; ","")&amp;IF(AND(BW450=0,BR450&lt;0),"negativer Bestand (Export "&amp;BR450&amp;"); ","")&amp;IF(J450&lt;=0,"Kein Verbrauch; ","")&amp;IF(CR450&gt;0,"Lift "&amp;W450&amp;" lt. Liftbericht (Fach "&amp;X450&amp;" Stk); ",IF(CB450=1,"Gebinde geschätzt ("&amp;T450&amp;"); ",IF(CA450=1,"Lose – Tablare geschätzt; ","")))&amp;IF(H450&gt;AW450,"Überbestand "&amp;ROUND(H450-AW450,0)&amp;" Stk / CHF "&amp;ROUND((H450-AW450)*G450,0)&amp;"; ","")&amp;IF(AND(CI450=1,CJ450&lt;CK450),"MAX &lt; MB+LG; ","")&amp;IF(AND(CQ450&gt;0,CP450*10&gt;CQ450),"zu hoch für Tablar; ","")&amp;IF(AND(BW450=0,OR(CI450=1,AB450&lt;&gt;"",U450&lt;&gt;"",V450&lt;&gt;"",AC450&lt;&gt;"")),"manuell übersteuert; ","")&amp;IF(AND(CA450=0,R450=0),"Gebinde unbekannt / Stellmass fehlt; ","")&amp;IF(AND(CA450=0,N(V450)&lt;=0,N(Q450)&lt;=0),"Menge pro Gebinde fehlt (Ist = 1 Gebinde); ","")&amp;BV450)</f>
        <v/>
      </c>
      <c r="BO450" s="60"/>
      <c r="BP450" s="60"/>
      <c r="BQ450" s="67"/>
      <c r="BR450" s="62" t="n">
        <v>450</v>
      </c>
      <c r="BS450" s="62" t="n">
        <v>120</v>
      </c>
      <c r="BT450" s="61" t="n">
        <v>67</v>
      </c>
      <c r="BU450" s="62" t="n">
        <v>790</v>
      </c>
      <c r="BV450" s="60"/>
      <c r="BW450" s="65" t="n">
        <v>0</v>
      </c>
      <c r="BX450" s="65" t="n">
        <v>450</v>
      </c>
      <c r="BY450" s="60" t="str">
        <f aca="false">IF(U450&lt;&gt;"",UPPER(TRIM(U450)),IF(CB450=1,UPPER(VLOOKUP(T450,Parameter!$I$27:$K$29,2,0)),IF(P450="","LOSE",P450)))</f>
        <v>S21</v>
      </c>
      <c r="BZ450" s="62" t="n">
        <f aca="false">IF(BY450="LOSE",1,IF(N(V450)&gt;0,V450,IF(CB450=1,MAX(1,N(VLOOKUP(T450,Parameter!$I$27:$K$29,3,0)),H450,N(N450)),IF(N(Q450)&gt;0,Q450,MAX(1,H450)))))</f>
        <v>262</v>
      </c>
      <c r="CA450" s="65" t="n">
        <f aca="false">IF(BY450="LOSE",1,0)</f>
        <v>0</v>
      </c>
      <c r="CB450" s="65" t="n">
        <f aca="false">IF(AND(U450="",OR(P450="",P450="LOSE"),T450&lt;&gt;"",N(S450)&lt;=0,ISNUMBER(MATCH(T450,Parameter!$I$27:$I$29,0))),1,0)</f>
        <v>0</v>
      </c>
      <c r="CC450" s="65" t="n">
        <f aca="false">IF(CR450&gt;0,INDEX(Parameter!$H$5:$H$7,W450)/INDEX(Parameter!$E$5:$E$7,W450),IF(AND(CA450=0,N(IFERROR(VLOOKUP(BY450,'Gebinde-Kategorie'!$A$5:$N$45,14,0),0))&gt;0),VLOOKUP(BY450,'Gebinde-Kategorie'!$A$5:$N$45,14,0)*10+Parameter!$M$23,Parameter!$M$24))</f>
        <v>155</v>
      </c>
      <c r="CD450" s="60" t="str">
        <f aca="false">IF(AND(Parameter!$B$19="Ja",E450&lt;&gt;"",ISNUMBER(MATCH(E450,Parameter!$I$35:$I$52,0))),VLOOKUP(E450,Parameter!$I$35:$J$52,2,0),IFERROR(VLOOKUP(D450,Parameter!$A$35:$C$64,2,0),"Nein"))</f>
        <v>2+3</v>
      </c>
      <c r="CE450" s="64" t="n">
        <f aca="false">IF(CA450=0,0,IF(N(S450)&gt;0,S450,IFERROR(VLOOKUP(D450,Parameter!$A$35:$C$64,3,0)+0,0)))</f>
        <v>0</v>
      </c>
      <c r="CF450" s="60" t="n">
        <f aca="false">IF(AB450&lt;&gt;"",AB450,AA450)</f>
        <v>2</v>
      </c>
      <c r="CG450" s="60" t="str">
        <f aca="false">IF(OR(CF450=1,CF450=2,CF450=3),IF(Parameter!$E$27="Ja","LIFT",IF(CF450=1,"L1","L23")),IF(CF450="Aussen","Aussen","-"))</f>
        <v>LIFT</v>
      </c>
      <c r="CH450" s="71" t="n">
        <f aca="false">IF(N(AC450)&gt;0,AC450,0)</f>
        <v>0</v>
      </c>
      <c r="CI450" s="65" t="n">
        <f aca="false">IF(ISNUMBER(AF450),1,0)</f>
        <v>0</v>
      </c>
      <c r="CJ450" s="62" t="n">
        <f aca="false">N(AF450)</f>
        <v>0</v>
      </c>
      <c r="CK450" s="62" t="n">
        <f aca="false">N(M450)+N(N450)</f>
        <v>820</v>
      </c>
      <c r="CL450" s="62" t="n">
        <f aca="false">N(M450)</f>
        <v>30</v>
      </c>
      <c r="CM450" s="62" t="n">
        <f aca="false">N(N450)</f>
        <v>790</v>
      </c>
      <c r="CN450" s="62" t="n">
        <f aca="false">ROUNDUP(H450/BZ450,0)</f>
        <v>3</v>
      </c>
      <c r="CO450" s="62" t="n">
        <f aca="false">ROUNDUP(CJ450/BZ450,0)</f>
        <v>0</v>
      </c>
      <c r="CP450" s="65" t="n">
        <f aca="false">IF(CA450=1,0,IFERROR(VLOOKUP(BY450,'Gebinde-Kategorie'!$A$5:$N$45,5,0)+0,0))</f>
        <v>8</v>
      </c>
      <c r="CQ450" s="65" t="n">
        <f aca="false">IFERROR(IF(OR(CF450=1,CF450=2,CF450=3),N(INDEX(Parameter!$I$5:$I$7,CF450)),0),0)</f>
        <v>0</v>
      </c>
      <c r="CR450" s="64" t="n">
        <f aca="false">IF(AND(Parameter!$B$21="Ja",ISNUMBER(W450),N(X450)&gt;0),IFERROR(N(INDEX(Parameter!$L$5:$L$7,W450))*INDEX(Parameter!$E$5:$E$7,W450)*X450/SUMIFS($X$7:$X$1843,$W$7:$W$1843,W450),0),0)</f>
        <v>0</v>
      </c>
      <c r="CS450" s="62" t="n">
        <f aca="false">IF(AND(OR(CG450="L1",CG450="L23",CG450="LIFT"),H450&gt;0),CC450*IF(CR450&gt;0,CR450*MAX(1,H450/X450),IF(CA450=1,CE450,IF(R450&gt;0,CN450/R450,0))/MAX(0.1,N(Parameter!$M$21))),"")</f>
        <v>1.66071428571429</v>
      </c>
      <c r="CT450" s="64" t="n">
        <f aca="false">IF(CS450="","",J450/H450)</f>
        <v>1.3859649122807</v>
      </c>
      <c r="CU450" s="62" t="n">
        <f aca="false">IF(CS450="","",H450*G450)</f>
        <v>91.2</v>
      </c>
      <c r="CV450" s="63" t="n">
        <f aca="false">IF(CS450="","",(CL450+ROUNDUP(CL450+MAX(CM450,2*(J450/MAX(0.1,N(Einkauf!$C$6))-CL450)),0))/2)</f>
        <v>425</v>
      </c>
      <c r="CW450" s="62" t="n">
        <f aca="false">IF(CS450="","",MAX(0,H450-CV450)*G450)</f>
        <v>23.2</v>
      </c>
      <c r="CX450" s="62" t="n">
        <f aca="false">IF(CS450="","",CS450*MAX(0,1-CV450/H450))</f>
        <v>0.422462406015038</v>
      </c>
      <c r="CY450" s="64" t="n">
        <f aca="false">IF(CS450="","",PERCENTRANK($CS$7:$CS$1843,CS450)+PERCENTRANK($CU$7:$CU$1843,CU450)+1-PERCENTRANK($CT$7:$CT$1843,CT450))</f>
        <v>0.667</v>
      </c>
      <c r="CZ450" s="72" t="n">
        <f aca="false">IF(CS450="","",CHOOSE(MATCH(Einkauf!$C$5,Parameter!$G$23:$G$27,0),CY450,CS450,CU450,-CT450,CW450)+ROW()/1000000000)</f>
        <v>0.66700045</v>
      </c>
    </row>
    <row r="451" customFormat="false" ht="15" hidden="false" customHeight="false" outlineLevel="0" collapsed="false">
      <c r="A451" s="60" t="s">
        <v>1061</v>
      </c>
      <c r="B451" s="60" t="s">
        <v>1062</v>
      </c>
      <c r="C451" s="60" t="s">
        <v>206</v>
      </c>
      <c r="D451" s="60" t="s">
        <v>215</v>
      </c>
      <c r="E451" s="60"/>
      <c r="F451" s="60" t="s">
        <v>260</v>
      </c>
      <c r="G451" s="61" t="n">
        <v>33.5</v>
      </c>
      <c r="H451" s="62" t="n">
        <f aca="false">MAX(0,IF(AND(Parameter!$B$21="Ja",ISNUMBER(Y451)),Y451,IF(Parameter!$B$20="Jahresanfang 2025 + Export",BS451+BR451,BR451)))</f>
        <v>16</v>
      </c>
      <c r="I451" s="62" t="n">
        <f aca="false">H451*G451</f>
        <v>536</v>
      </c>
      <c r="J451" s="62" t="n">
        <f aca="false">BU451*Parameter!$B$18</f>
        <v>8</v>
      </c>
      <c r="K451" s="63" t="n">
        <v>17.5</v>
      </c>
      <c r="L451" s="64" t="n">
        <v>0.457142857142857</v>
      </c>
      <c r="M451" s="62" t="n">
        <v>1</v>
      </c>
      <c r="N451" s="62" t="n">
        <v>10</v>
      </c>
      <c r="O451" s="65" t="n">
        <v>56</v>
      </c>
      <c r="P451" s="60" t="s">
        <v>265</v>
      </c>
      <c r="Q451" s="62" t="n">
        <v>24</v>
      </c>
      <c r="R451" s="65" t="n">
        <f aca="false">IF(CA451=1,0,IFERROR(VLOOKUP(BY451,'Gebinde-Kategorie'!$A$5:$N$45,13,0)+0,0))</f>
        <v>4</v>
      </c>
      <c r="S451" s="66"/>
      <c r="T451" s="67"/>
      <c r="U451" s="67"/>
      <c r="V451" s="67"/>
      <c r="W451" s="60"/>
      <c r="X451" s="62"/>
      <c r="Y451" s="62"/>
      <c r="Z451" s="60" t="n">
        <v>2</v>
      </c>
      <c r="AA451" s="60" t="n">
        <f aca="false">IF(A451="","",IF(AND(Parameter!$B$21="Ja",ISNUMBER(W451)),W451,IF(AND(Parameter!$E$27="Ja",ISNUMBER(Z451),CD451&lt;&gt;"Nein"),Z451,IF(CD451="2+3",IF(ISNUMBER(SEARCH("grosser Artikel",BV451)),2,IFERROR(VLOOKUP(BY451,Parameter!$F$35:$G$64,2,0),2)),IF(OR(CD451="Nein",CD451=""),"-",CD451)))))</f>
        <v>2</v>
      </c>
      <c r="AB451" s="67"/>
      <c r="AC451" s="68"/>
      <c r="AD451" s="62" t="n">
        <f aca="false">AW451</f>
        <v>11</v>
      </c>
      <c r="AE451" s="62" t="n">
        <f aca="false">MAX(AW451,H451)</f>
        <v>16</v>
      </c>
      <c r="AF451" s="69"/>
      <c r="AG451" s="62" t="n">
        <f aca="false">IF(LEFT(Cockpit!$C$5,1)="A",H451,IF(Parameter!$E$30="MAX-Bestand",IF(CI451=1,CJ451,IF(LEFT(Cockpit!$C$5,1)="B",AM451,MAX(AM451,H451))),ROUNDUP(AK451,0)))</f>
        <v>16</v>
      </c>
      <c r="AH451" s="62" t="n">
        <f aca="false">IF(CA451=1,0,ROUNDUP(AG451/BZ451,0))</f>
        <v>1</v>
      </c>
      <c r="AI451" s="64" t="n">
        <f aca="false">IF(CR451&gt;0,CR451*MAX(1,AG451/X451),IF(CA451=1,IF(AG451&lt;=0,0,CE451*MAX(1,IF(H451&gt;0,AG451/H451,1))),IF(R451&gt;0,AH451/R451,0))/MAX(0.1,N(Parameter!$M$21)))</f>
        <v>0.25</v>
      </c>
      <c r="AJ451" s="62" t="n">
        <f aca="false">AI451*CC451</f>
        <v>58.75</v>
      </c>
      <c r="AK451" s="63" t="n">
        <f aca="false">IF(LEFT(Cockpit!$C$5,1)="A",H451,IF(CI451=1,(CL451+CJ451)/2,IF(LEFT(Cockpit!$C$5,1)="B",(CL451+AM451)/2,MAX((CL451+AM451)/2,H451))))</f>
        <v>16</v>
      </c>
      <c r="AL451" s="62" t="n">
        <f aca="false">AK451*G451</f>
        <v>536</v>
      </c>
      <c r="AM451" s="62" t="n">
        <f aca="false">ROUNDUP(CL451+MAX(CM451,2*(J451/IF(CH451&gt;0,CH451,MAX(0.1,N(Cockpit!$C$6)))-CL451)),0)</f>
        <v>11</v>
      </c>
      <c r="AN451" s="63" t="n">
        <f aca="false">IF(AJ451&gt;0,J451/AJ451,-1)</f>
        <v>0.136170212765957</v>
      </c>
      <c r="AO451" s="63" t="n">
        <f aca="false">IF(AND(OR(CG451="L1",CG451="L23",CG451="LIFT"),AJ451&gt;0),SUMIFS($AJ$7:$AJ$1843,$CG$7:$CG$1843,CG451,$AN$7:$AN$1843,"&gt;"&amp;AN451)+SUMIFS($AJ$7:$AJ$1843,$CG$7:$CG$1843,CG451,$AN$7:$AN$1843,AN451,$BX$7:$BX$1843,"&lt;="&amp;BX451),"")</f>
        <v>13211.592695205</v>
      </c>
      <c r="AP451" s="70" t="n">
        <f aca="false">IF(AO451="",0,MAX(0,MIN(1,(IF(CG451="L1",Parameter!$H$5,IF(CG451="L23",Parameter!$H$6+Parameter!$H$7,Parameter!$H$5+Parameter!$H$6+Parameter!$H$7))-(AO451-AJ451))/AJ451)))</f>
        <v>1</v>
      </c>
      <c r="AQ451" s="62" t="n">
        <f aca="false">IF(LEFT(Cockpit!$I$5,1)="A",H451,IF(Parameter!$E$30="MAX-Bestand",IF(CI451=1,CJ451,IF(LEFT(Cockpit!$I$5,1)="B",AW451,MAX(AW451,H451))),ROUNDUP(AU451,0)))</f>
        <v>16</v>
      </c>
      <c r="AR451" s="62" t="n">
        <f aca="false">IF(CA451=1,0,ROUNDUP(AQ451/BZ451,0))</f>
        <v>1</v>
      </c>
      <c r="AS451" s="64" t="n">
        <f aca="false">IF(CR451&gt;0,CR451*MAX(1,AQ451/X451),IF(CA451=1,IF(AQ451&lt;=0,0,CE451*MAX(1,IF(H451&gt;0,AQ451/H451,1))),IF(R451&gt;0,AR451/R451,0))/MAX(0.1,N(Parameter!$M$21)))</f>
        <v>0.25</v>
      </c>
      <c r="AT451" s="62" t="n">
        <f aca="false">AS451*CC451</f>
        <v>58.75</v>
      </c>
      <c r="AU451" s="63" t="n">
        <f aca="false">IF(LEFT(Cockpit!$I$5,1)="A",H451,IF(CI451=1,(CL451+CJ451)/2,IF(LEFT(Cockpit!$I$5,1)="B",(CL451+AW451)/2,MAX((CL451+AW451)/2,H451))))</f>
        <v>16</v>
      </c>
      <c r="AV451" s="62" t="n">
        <f aca="false">AU451*G451</f>
        <v>536</v>
      </c>
      <c r="AW451" s="62" t="n">
        <f aca="false">ROUNDUP(CL451+MAX(CM451,2*(J451/IF(CH451&gt;0,CH451,MAX(0.1,N(Cockpit!$I$6)))-CL451)),0)</f>
        <v>11</v>
      </c>
      <c r="AX451" s="63" t="n">
        <f aca="false">IF(AT451&gt;0,J451/AT451,-1)</f>
        <v>0.136170212765957</v>
      </c>
      <c r="AY451" s="63" t="n">
        <f aca="false">IF(AND(OR(CG451="L1",CG451="L23",CG451="LIFT"),AT451&gt;0),SUMIFS($AT$7:$AT$1843,$CG$7:$CG$1843,CG451,$AX$7:$AX$1843,"&gt;"&amp;AX451)+SUMIFS($AT$7:$AT$1843,$CG$7:$CG$1843,CG451,$AX$7:$AX$1843,AX451,$BX$7:$BX$1843,"&lt;="&amp;BX451),"")</f>
        <v>17235.9913365824</v>
      </c>
      <c r="AZ451" s="70" t="n">
        <f aca="false">IF(AY451="",0,MAX(0,MIN(1,(IF(CG451="L1",Parameter!$H$5,IF(CG451="L23",Parameter!$H$6+Parameter!$H$7,Parameter!$H$5+Parameter!$H$6+Parameter!$H$7))-(AY451-AT451))/AT451)))</f>
        <v>1</v>
      </c>
      <c r="BA451" s="62" t="n">
        <f aca="false">IF(LEFT(Cockpit!$O$5,1)="A",H451,IF(Parameter!$E$30="MAX-Bestand",IF(CI451=1,CJ451,IF(LEFT(Cockpit!$O$5,1)="B",BG451,MAX(BG451,H451))),ROUNDUP(BE451,0)))</f>
        <v>6</v>
      </c>
      <c r="BB451" s="62" t="n">
        <f aca="false">IF(CA451=1,0,ROUNDUP(BA451/BZ451,0))</f>
        <v>1</v>
      </c>
      <c r="BC451" s="64" t="n">
        <f aca="false">IF(CR451&gt;0,CR451*MAX(1,BA451/X451),IF(CA451=1,IF(BA451&lt;=0,0,CE451*MAX(1,IF(H451&gt;0,BA451/H451,1))),IF(R451&gt;0,BB451/R451,0))/MAX(0.1,N(Parameter!$M$21)))</f>
        <v>0.25</v>
      </c>
      <c r="BD451" s="62" t="n">
        <f aca="false">BC451*CC451</f>
        <v>58.75</v>
      </c>
      <c r="BE451" s="63" t="n">
        <f aca="false">IF(LEFT(Cockpit!$O$5,1)="A",H451,IF(CI451=1,(CL451+CJ451)/2,IF(LEFT(Cockpit!$O$5,1)="B",(CL451+BG451)/2,MAX((CL451+BG451)/2,H451))))</f>
        <v>6</v>
      </c>
      <c r="BF451" s="62" t="n">
        <f aca="false">BE451*G451</f>
        <v>201</v>
      </c>
      <c r="BG451" s="62" t="n">
        <f aca="false">ROUNDUP(CL451+MAX(CM451,2*(J451/IF(CH451&gt;0,CH451,MAX(0.1,N(Cockpit!$O$6)))-CL451)),0)</f>
        <v>11</v>
      </c>
      <c r="BH451" s="63" t="n">
        <f aca="false">IF(BD451&gt;0,J451/BD451,-1)</f>
        <v>0.136170212765957</v>
      </c>
      <c r="BI451" s="63" t="n">
        <f aca="false">IF(AND(OR(CG451="L1",CG451="L23",CG451="LIFT"),BD451&gt;0),SUMIFS($BD$7:$BD$1843,$CG$7:$CG$1843,CG451,$BH$7:$BH$1843,"&gt;"&amp;BH451)+SUMIFS($BD$7:$BD$1843,$CG$7:$CG$1843,CG451,$BH$7:$BH$1843,BH451,$BX$7:$BX$1843,"&lt;="&amp;BX451),"")</f>
        <v>13920.9706157778</v>
      </c>
      <c r="BJ451" s="70" t="n">
        <f aca="false">IF(BI451="",0,MAX(0,MIN(1,(IF(CG451="L1",Parameter!$H$5,IF(CG451="L23",Parameter!$H$6+Parameter!$H$7,Parameter!$H$5+Parameter!$H$6+Parameter!$H$7))-(BI451-BD451))/BD451)))</f>
        <v>1</v>
      </c>
      <c r="BK451" s="60" t="str">
        <f aca="false">IF(AJ451&lt;=0,"",IF(CG451="Aussen","Aussenlager",IF(CG451="-","Nicht im Lift",IF(AP451&gt;=1,"Lift",IF(AP451&lt;=0,"Aussenlager","teilweise")))))</f>
        <v>Lift</v>
      </c>
      <c r="BL451" s="60" t="str">
        <f aca="false">IF(AT451&lt;=0,"",IF(CG451="Aussen","Aussenlager",IF(CG451="-","Nicht im Lift",IF(AZ451&gt;=1,"Lift",IF(AZ451&lt;=0,"Aussenlager","teilweise")))))</f>
        <v>Lift</v>
      </c>
      <c r="BM451" s="60" t="str">
        <f aca="false">IF(BD451&lt;=0,"",IF(CG451="Aussen","Aussenlager",IF(CG451="-","Nicht im Lift",IF(BJ451&gt;=1,"Lift",IF(BJ451&lt;=0,"Aussenlager","teilweise")))))</f>
        <v>Lift</v>
      </c>
      <c r="BN451" s="60" t="str">
        <f aca="false">IF(A451="","",IF(BW451=1,"Neu; ","")&amp;IF(AND(BW451=0,BR451&lt;0),"negativer Bestand (Export "&amp;BR451&amp;"); ","")&amp;IF(J451&lt;=0,"Kein Verbrauch; ","")&amp;IF(CR451&gt;0,"Lift "&amp;W451&amp;" lt. Liftbericht (Fach "&amp;X451&amp;" Stk); ",IF(CB451=1,"Gebinde geschätzt ("&amp;T451&amp;"); ",IF(CA451=1,"Lose – Tablare geschätzt; ","")))&amp;IF(H451&gt;AW451,"Überbestand "&amp;ROUND(H451-AW451,0)&amp;" Stk / CHF "&amp;ROUND((H451-AW451)*G451,0)&amp;"; ","")&amp;IF(AND(CI451=1,CJ451&lt;CK451),"MAX &lt; MB+LG; ","")&amp;IF(AND(CQ451&gt;0,CP451*10&gt;CQ451),"zu hoch für Tablar; ","")&amp;IF(AND(BW451=0,OR(CI451=1,AB451&lt;&gt;"",U451&lt;&gt;"",V451&lt;&gt;"",AC451&lt;&gt;"")),"manuell übersteuert; ","")&amp;IF(AND(CA451=0,R451=0),"Gebinde unbekannt / Stellmass fehlt; ","")&amp;IF(AND(CA451=0,N(V451)&lt;=0,N(Q451)&lt;=0),"Menge pro Gebinde fehlt (Ist = 1 Gebinde); ","")&amp;BV451)</f>
        <v>Überbestand 5 Stk / CHF 168; </v>
      </c>
      <c r="BO451" s="60"/>
      <c r="BP451" s="60"/>
      <c r="BQ451" s="67"/>
      <c r="BR451" s="62" t="n">
        <v>2</v>
      </c>
      <c r="BS451" s="62" t="n">
        <v>14</v>
      </c>
      <c r="BT451" s="61" t="n">
        <v>67</v>
      </c>
      <c r="BU451" s="62" t="n">
        <v>8</v>
      </c>
      <c r="BV451" s="60"/>
      <c r="BW451" s="65" t="n">
        <v>0</v>
      </c>
      <c r="BX451" s="65" t="n">
        <v>451</v>
      </c>
      <c r="BY451" s="60" t="str">
        <f aca="false">IF(U451&lt;&gt;"",UPPER(TRIM(U451)),IF(CB451=1,UPPER(VLOOKUP(T451,Parameter!$I$27:$K$29,2,0)),IF(P451="","LOSE",P451)))</f>
        <v>S81</v>
      </c>
      <c r="BZ451" s="62" t="n">
        <f aca="false">IF(BY451="LOSE",1,IF(N(V451)&gt;0,V451,IF(CB451=1,MAX(1,N(VLOOKUP(T451,Parameter!$I$27:$K$29,3,0)),H451,N(N451)),IF(N(Q451)&gt;0,Q451,MAX(1,H451)))))</f>
        <v>24</v>
      </c>
      <c r="CA451" s="65" t="n">
        <f aca="false">IF(BY451="LOSE",1,0)</f>
        <v>0</v>
      </c>
      <c r="CB451" s="65" t="n">
        <f aca="false">IF(AND(U451="",OR(P451="",P451="LOSE"),T451&lt;&gt;"",N(S451)&lt;=0,ISNUMBER(MATCH(T451,Parameter!$I$27:$I$29,0))),1,0)</f>
        <v>0</v>
      </c>
      <c r="CC451" s="65" t="n">
        <f aca="false">IF(CR451&gt;0,INDEX(Parameter!$H$5:$H$7,W451)/INDEX(Parameter!$E$5:$E$7,W451),IF(AND(CA451=0,N(IFERROR(VLOOKUP(BY451,'Gebinde-Kategorie'!$A$5:$N$45,14,0),0))&gt;0),VLOOKUP(BY451,'Gebinde-Kategorie'!$A$5:$N$45,14,0)*10+Parameter!$M$23,Parameter!$M$24))</f>
        <v>235</v>
      </c>
      <c r="CD451" s="60" t="str">
        <f aca="false">IF(AND(Parameter!$B$19="Ja",E451&lt;&gt;"",ISNUMBER(MATCH(E451,Parameter!$I$35:$I$52,0))),VLOOKUP(E451,Parameter!$I$35:$J$52,2,0),IFERROR(VLOOKUP(D451,Parameter!$A$35:$C$64,2,0),"Nein"))</f>
        <v>2+3</v>
      </c>
      <c r="CE451" s="64" t="n">
        <f aca="false">IF(CA451=0,0,IF(N(S451)&gt;0,S451,IFERROR(VLOOKUP(D451,Parameter!$A$35:$C$64,3,0)+0,0)))</f>
        <v>0</v>
      </c>
      <c r="CF451" s="60" t="n">
        <f aca="false">IF(AB451&lt;&gt;"",AB451,AA451)</f>
        <v>2</v>
      </c>
      <c r="CG451" s="60" t="str">
        <f aca="false">IF(OR(CF451=1,CF451=2,CF451=3),IF(Parameter!$E$27="Ja","LIFT",IF(CF451=1,"L1","L23")),IF(CF451="Aussen","Aussen","-"))</f>
        <v>LIFT</v>
      </c>
      <c r="CH451" s="71" t="n">
        <f aca="false">IF(N(AC451)&gt;0,AC451,0)</f>
        <v>0</v>
      </c>
      <c r="CI451" s="65" t="n">
        <f aca="false">IF(ISNUMBER(AF451),1,0)</f>
        <v>0</v>
      </c>
      <c r="CJ451" s="62" t="n">
        <f aca="false">N(AF451)</f>
        <v>0</v>
      </c>
      <c r="CK451" s="62" t="n">
        <f aca="false">N(M451)+N(N451)</f>
        <v>11</v>
      </c>
      <c r="CL451" s="62" t="n">
        <f aca="false">N(M451)</f>
        <v>1</v>
      </c>
      <c r="CM451" s="62" t="n">
        <f aca="false">N(N451)</f>
        <v>10</v>
      </c>
      <c r="CN451" s="62" t="n">
        <f aca="false">ROUNDUP(H451/BZ451,0)</f>
        <v>1</v>
      </c>
      <c r="CO451" s="62" t="n">
        <f aca="false">ROUNDUP(CJ451/BZ451,0)</f>
        <v>0</v>
      </c>
      <c r="CP451" s="65" t="n">
        <f aca="false">IF(CA451=1,0,IFERROR(VLOOKUP(BY451,'Gebinde-Kategorie'!$A$5:$N$45,5,0)+0,0))</f>
        <v>20</v>
      </c>
      <c r="CQ451" s="65" t="n">
        <f aca="false">IFERROR(IF(OR(CF451=1,CF451=2,CF451=3),N(INDEX(Parameter!$I$5:$I$7,CF451)),0),0)</f>
        <v>0</v>
      </c>
      <c r="CR451" s="64" t="n">
        <f aca="false">IF(AND(Parameter!$B$21="Ja",ISNUMBER(W451),N(X451)&gt;0),IFERROR(N(INDEX(Parameter!$L$5:$L$7,W451))*INDEX(Parameter!$E$5:$E$7,W451)*X451/SUMIFS($X$7:$X$1843,$W$7:$W$1843,W451),0),0)</f>
        <v>0</v>
      </c>
      <c r="CS451" s="62" t="n">
        <f aca="false">IF(AND(OR(CG451="L1",CG451="L23",CG451="LIFT"),H451&gt;0),CC451*IF(CR451&gt;0,CR451*MAX(1,H451/X451),IF(CA451=1,CE451,IF(R451&gt;0,CN451/R451,0))/MAX(0.1,N(Parameter!$M$21))),"")</f>
        <v>58.75</v>
      </c>
      <c r="CT451" s="64" t="n">
        <f aca="false">IF(CS451="","",J451/H451)</f>
        <v>0.5</v>
      </c>
      <c r="CU451" s="62" t="n">
        <f aca="false">IF(CS451="","",H451*G451)</f>
        <v>536</v>
      </c>
      <c r="CV451" s="63" t="n">
        <f aca="false">IF(CS451="","",(CL451+ROUNDUP(CL451+MAX(CM451,2*(J451/MAX(0.1,N(Einkauf!$C$6))-CL451)),0))/2)</f>
        <v>6</v>
      </c>
      <c r="CW451" s="62" t="n">
        <f aca="false">IF(CS451="","",MAX(0,H451-CV451)*G451)</f>
        <v>335</v>
      </c>
      <c r="CX451" s="62" t="n">
        <f aca="false">IF(CS451="","",CS451*MAX(0,1-CV451/H451))</f>
        <v>36.71875</v>
      </c>
      <c r="CY451" s="64" t="n">
        <f aca="false">IF(CS451="","",PERCENTRANK($CS$7:$CS$1843,CS451)+PERCENTRANK($CU$7:$CU$1843,CU451)+1-PERCENTRANK($CT$7:$CT$1843,CT451))</f>
        <v>1.896</v>
      </c>
      <c r="CZ451" s="72" t="n">
        <f aca="false">IF(CS451="","",CHOOSE(MATCH(Einkauf!$C$5,Parameter!$G$23:$G$27,0),CY451,CS451,CU451,-CT451,CW451)+ROW()/1000000000)</f>
        <v>1.896000451</v>
      </c>
    </row>
    <row r="452" customFormat="false" ht="15" hidden="false" customHeight="false" outlineLevel="0" collapsed="false">
      <c r="A452" s="60" t="s">
        <v>1063</v>
      </c>
      <c r="B452" s="60" t="s">
        <v>1064</v>
      </c>
      <c r="C452" s="60" t="s">
        <v>206</v>
      </c>
      <c r="D452" s="60" t="s">
        <v>226</v>
      </c>
      <c r="E452" s="60"/>
      <c r="F452" s="60" t="s">
        <v>260</v>
      </c>
      <c r="G452" s="61" t="n">
        <v>4.42</v>
      </c>
      <c r="H452" s="62" t="n">
        <f aca="false">MAX(0,IF(AND(Parameter!$B$21="Ja",ISNUMBER(Y452)),Y452,IF(Parameter!$B$20="Jahresanfang 2025 + Export",BS452+BR452,BR452)))</f>
        <v>15</v>
      </c>
      <c r="I452" s="62" t="n">
        <f aca="false">H452*G452</f>
        <v>66.3</v>
      </c>
      <c r="J452" s="62" t="n">
        <f aca="false">BU452*Parameter!$B$18</f>
        <v>0</v>
      </c>
      <c r="K452" s="63" t="n">
        <v>7.5</v>
      </c>
      <c r="L452" s="64" t="n">
        <v>0</v>
      </c>
      <c r="M452" s="62" t="n">
        <v>0</v>
      </c>
      <c r="N452" s="62" t="n">
        <v>1</v>
      </c>
      <c r="O452" s="65" t="n">
        <v>28</v>
      </c>
      <c r="P452" s="60" t="s">
        <v>468</v>
      </c>
      <c r="Q452" s="62" t="n">
        <v>15</v>
      </c>
      <c r="R452" s="65" t="n">
        <f aca="false">IF(CA452=1,0,IFERROR(VLOOKUP(BY452,'Gebinde-Kategorie'!$A$5:$N$45,13,0)+0,0))</f>
        <v>140</v>
      </c>
      <c r="S452" s="66"/>
      <c r="T452" s="67"/>
      <c r="U452" s="67"/>
      <c r="V452" s="67"/>
      <c r="W452" s="60"/>
      <c r="X452" s="62"/>
      <c r="Y452" s="62"/>
      <c r="Z452" s="60" t="n">
        <v>1</v>
      </c>
      <c r="AA452" s="60" t="n">
        <f aca="false">IF(A452="","",IF(AND(Parameter!$B$21="Ja",ISNUMBER(W452)),W452,IF(AND(Parameter!$E$27="Ja",ISNUMBER(Z452),CD452&lt;&gt;"Nein"),Z452,IF(CD452="2+3",IF(ISNUMBER(SEARCH("grosser Artikel",BV452)),2,IFERROR(VLOOKUP(BY452,Parameter!$F$35:$G$64,2,0),2)),IF(OR(CD452="Nein",CD452=""),"-",CD452)))))</f>
        <v>1</v>
      </c>
      <c r="AB452" s="67"/>
      <c r="AC452" s="68"/>
      <c r="AD452" s="62" t="n">
        <f aca="false">AW452</f>
        <v>1</v>
      </c>
      <c r="AE452" s="62" t="n">
        <f aca="false">MAX(AW452,H452)</f>
        <v>15</v>
      </c>
      <c r="AF452" s="69"/>
      <c r="AG452" s="62" t="n">
        <f aca="false">IF(LEFT(Cockpit!$C$5,1)="A",H452,IF(Parameter!$E$30="MAX-Bestand",IF(CI452=1,CJ452,IF(LEFT(Cockpit!$C$5,1)="B",AM452,MAX(AM452,H452))),ROUNDUP(AK452,0)))</f>
        <v>15</v>
      </c>
      <c r="AH452" s="62" t="n">
        <f aca="false">IF(CA452=1,0,ROUNDUP(AG452/BZ452,0))</f>
        <v>1</v>
      </c>
      <c r="AI452" s="64" t="n">
        <f aca="false">IF(CR452&gt;0,CR452*MAX(1,AG452/X452),IF(CA452=1,IF(AG452&lt;=0,0,CE452*MAX(1,IF(H452&gt;0,AG452/H452,1))),IF(R452&gt;0,AH452/R452,0))/MAX(0.1,N(Parameter!$M$21)))</f>
        <v>0.00714285714285714</v>
      </c>
      <c r="AJ452" s="62" t="n">
        <f aca="false">AI452*CC452</f>
        <v>1.10714285714286</v>
      </c>
      <c r="AK452" s="63" t="n">
        <f aca="false">IF(LEFT(Cockpit!$C$5,1)="A",H452,IF(CI452=1,(CL452+CJ452)/2,IF(LEFT(Cockpit!$C$5,1)="B",(CL452+AM452)/2,MAX((CL452+AM452)/2,H452))))</f>
        <v>15</v>
      </c>
      <c r="AL452" s="62" t="n">
        <f aca="false">AK452*G452</f>
        <v>66.3</v>
      </c>
      <c r="AM452" s="62" t="n">
        <f aca="false">ROUNDUP(CL452+MAX(CM452,2*(J452/IF(CH452&gt;0,CH452,MAX(0.1,N(Cockpit!$C$6)))-CL452)),0)</f>
        <v>1</v>
      </c>
      <c r="AN452" s="63" t="n">
        <f aca="false">IF(AJ452&gt;0,J452/AJ452,-1)</f>
        <v>0</v>
      </c>
      <c r="AO452" s="63" t="n">
        <f aca="false">IF(AND(OR(CG452="L1",CG452="L23",CG452="LIFT"),AJ452&gt;0),SUMIFS($AJ$7:$AJ$1843,$CG$7:$CG$1843,CG452,$AN$7:$AN$1843,"&gt;"&amp;AN452)+SUMIFS($AJ$7:$AJ$1843,$CG$7:$CG$1843,CG452,$AN$7:$AN$1843,AN452,$BX$7:$BX$1843,"&lt;="&amp;BX452),"")</f>
        <v>28144.1883549595</v>
      </c>
      <c r="AP452" s="70" t="n">
        <f aca="false">IF(AO452="",0,MAX(0,MIN(1,(IF(CG452="L1",Parameter!$H$5,IF(CG452="L23",Parameter!$H$6+Parameter!$H$7,Parameter!$H$5+Parameter!$H$6+Parameter!$H$7))-(AO452-AJ452))/AJ452)))</f>
        <v>1</v>
      </c>
      <c r="AQ452" s="62" t="n">
        <f aca="false">IF(LEFT(Cockpit!$I$5,1)="A",H452,IF(Parameter!$E$30="MAX-Bestand",IF(CI452=1,CJ452,IF(LEFT(Cockpit!$I$5,1)="B",AW452,MAX(AW452,H452))),ROUNDUP(AU452,0)))</f>
        <v>15</v>
      </c>
      <c r="AR452" s="62" t="n">
        <f aca="false">IF(CA452=1,0,ROUNDUP(AQ452/BZ452,0))</f>
        <v>1</v>
      </c>
      <c r="AS452" s="64" t="n">
        <f aca="false">IF(CR452&gt;0,CR452*MAX(1,AQ452/X452),IF(CA452=1,IF(AQ452&lt;=0,0,CE452*MAX(1,IF(H452&gt;0,AQ452/H452,1))),IF(R452&gt;0,AR452/R452,0))/MAX(0.1,N(Parameter!$M$21)))</f>
        <v>0.00714285714285714</v>
      </c>
      <c r="AT452" s="62" t="n">
        <f aca="false">AS452*CC452</f>
        <v>1.10714285714286</v>
      </c>
      <c r="AU452" s="63" t="n">
        <f aca="false">IF(LEFT(Cockpit!$I$5,1)="A",H452,IF(CI452=1,(CL452+CJ452)/2,IF(LEFT(Cockpit!$I$5,1)="B",(CL452+AW452)/2,MAX((CL452+AW452)/2,H452))))</f>
        <v>15</v>
      </c>
      <c r="AV452" s="62" t="n">
        <f aca="false">AU452*G452</f>
        <v>66.3</v>
      </c>
      <c r="AW452" s="62" t="n">
        <f aca="false">ROUNDUP(CL452+MAX(CM452,2*(J452/IF(CH452&gt;0,CH452,MAX(0.1,N(Cockpit!$I$6)))-CL452)),0)</f>
        <v>1</v>
      </c>
      <c r="AX452" s="63" t="n">
        <f aca="false">IF(AT452&gt;0,J452/AT452,-1)</f>
        <v>0</v>
      </c>
      <c r="AY452" s="63" t="n">
        <f aca="false">IF(AND(OR(CG452="L1",CG452="L23",CG452="LIFT"),AT452&gt;0),SUMIFS($AT$7:$AT$1843,$CG$7:$CG$1843,CG452,$AX$7:$AX$1843,"&gt;"&amp;AX452)+SUMIFS($AT$7:$AT$1843,$CG$7:$CG$1843,CG452,$AX$7:$AX$1843,AX452,$BX$7:$BX$1843,"&lt;="&amp;BX452),"")</f>
        <v>33497.336996337</v>
      </c>
      <c r="AZ452" s="70" t="n">
        <f aca="false">IF(AY452="",0,MAX(0,MIN(1,(IF(CG452="L1",Parameter!$H$5,IF(CG452="L23",Parameter!$H$6+Parameter!$H$7,Parameter!$H$5+Parameter!$H$6+Parameter!$H$7))-(AY452-AT452))/AT452)))</f>
        <v>1</v>
      </c>
      <c r="BA452" s="62" t="n">
        <f aca="false">IF(LEFT(Cockpit!$O$5,1)="A",H452,IF(Parameter!$E$30="MAX-Bestand",IF(CI452=1,CJ452,IF(LEFT(Cockpit!$O$5,1)="B",BG452,MAX(BG452,H452))),ROUNDUP(BE452,0)))</f>
        <v>1</v>
      </c>
      <c r="BB452" s="62" t="n">
        <f aca="false">IF(CA452=1,0,ROUNDUP(BA452/BZ452,0))</f>
        <v>1</v>
      </c>
      <c r="BC452" s="64" t="n">
        <f aca="false">IF(CR452&gt;0,CR452*MAX(1,BA452/X452),IF(CA452=1,IF(BA452&lt;=0,0,CE452*MAX(1,IF(H452&gt;0,BA452/H452,1))),IF(R452&gt;0,BB452/R452,0))/MAX(0.1,N(Parameter!$M$21)))</f>
        <v>0.00714285714285714</v>
      </c>
      <c r="BD452" s="62" t="n">
        <f aca="false">BC452*CC452</f>
        <v>1.10714285714286</v>
      </c>
      <c r="BE452" s="63" t="n">
        <f aca="false">IF(LEFT(Cockpit!$O$5,1)="A",H452,IF(CI452=1,(CL452+CJ452)/2,IF(LEFT(Cockpit!$O$5,1)="B",(CL452+BG452)/2,MAX((CL452+BG452)/2,H452))))</f>
        <v>0.5</v>
      </c>
      <c r="BF452" s="62" t="n">
        <f aca="false">BE452*G452</f>
        <v>2.21</v>
      </c>
      <c r="BG452" s="62" t="n">
        <f aca="false">ROUNDUP(CL452+MAX(CM452,2*(J452/IF(CH452&gt;0,CH452,MAX(0.1,N(Cockpit!$O$6)))-CL452)),0)</f>
        <v>1</v>
      </c>
      <c r="BH452" s="63" t="n">
        <f aca="false">IF(BD452&gt;0,J452/BD452,-1)</f>
        <v>0</v>
      </c>
      <c r="BI452" s="63" t="n">
        <f aca="false">IF(AND(OR(CG452="L1",CG452="L23",CG452="LIFT"),BD452&gt;0),SUMIFS($BD$7:$BD$1843,$CG$7:$CG$1843,CG452,$BH$7:$BH$1843,"&gt;"&amp;BH452)+SUMIFS($BD$7:$BD$1843,$CG$7:$CG$1843,CG452,$BH$7:$BH$1843,BH452,$BX$7:$BX$1843,"&lt;="&amp;BX452),"")</f>
        <v>27604.5717700379</v>
      </c>
      <c r="BJ452" s="70" t="n">
        <f aca="false">IF(BI452="",0,MAX(0,MIN(1,(IF(CG452="L1",Parameter!$H$5,IF(CG452="L23",Parameter!$H$6+Parameter!$H$7,Parameter!$H$5+Parameter!$H$6+Parameter!$H$7))-(BI452-BD452))/BD452)))</f>
        <v>1</v>
      </c>
      <c r="BK452" s="60" t="str">
        <f aca="false">IF(AJ452&lt;=0,"",IF(CG452="Aussen","Aussenlager",IF(CG452="-","Nicht im Lift",IF(AP452&gt;=1,"Lift",IF(AP452&lt;=0,"Aussenlager","teilweise")))))</f>
        <v>Lift</v>
      </c>
      <c r="BL452" s="60" t="str">
        <f aca="false">IF(AT452&lt;=0,"",IF(CG452="Aussen","Aussenlager",IF(CG452="-","Nicht im Lift",IF(AZ452&gt;=1,"Lift",IF(AZ452&lt;=0,"Aussenlager","teilweise")))))</f>
        <v>Lift</v>
      </c>
      <c r="BM452" s="60" t="str">
        <f aca="false">IF(BD452&lt;=0,"",IF(CG452="Aussen","Aussenlager",IF(CG452="-","Nicht im Lift",IF(BJ452&gt;=1,"Lift",IF(BJ452&lt;=0,"Aussenlager","teilweise")))))</f>
        <v>Lift</v>
      </c>
      <c r="BN452" s="60" t="str">
        <f aca="false">IF(A452="","",IF(BW452=1,"Neu; ","")&amp;IF(AND(BW452=0,BR452&lt;0),"negativer Bestand (Export "&amp;BR452&amp;"); ","")&amp;IF(J452&lt;=0,"Kein Verbrauch; ","")&amp;IF(CR452&gt;0,"Lift "&amp;W452&amp;" lt. Liftbericht (Fach "&amp;X452&amp;" Stk); ",IF(CB452=1,"Gebinde geschätzt ("&amp;T452&amp;"); ",IF(CA452=1,"Lose – Tablare geschätzt; ","")))&amp;IF(H452&gt;AW452,"Überbestand "&amp;ROUND(H452-AW452,0)&amp;" Stk / CHF "&amp;ROUND((H452-AW452)*G452,0)&amp;"; ","")&amp;IF(AND(CI452=1,CJ452&lt;CK452),"MAX &lt; MB+LG; ","")&amp;IF(AND(CQ452&gt;0,CP452*10&gt;CQ452),"zu hoch für Tablar; ","")&amp;IF(AND(BW452=0,OR(CI452=1,AB452&lt;&gt;"",U452&lt;&gt;"",V452&lt;&gt;"",AC452&lt;&gt;"")),"manuell übersteuert; ","")&amp;IF(AND(CA452=0,R452=0),"Gebinde unbekannt / Stellmass fehlt; ","")&amp;IF(AND(CA452=0,N(V452)&lt;=0,N(Q452)&lt;=0),"Menge pro Gebinde fehlt (Ist = 1 Gebinde); ","")&amp;BV452)</f>
        <v>Kein Verbrauch; Überbestand 14 Stk / CHF 62; </v>
      </c>
      <c r="BO452" s="60"/>
      <c r="BP452" s="60"/>
      <c r="BQ452" s="67"/>
      <c r="BR452" s="62" t="n">
        <v>15</v>
      </c>
      <c r="BS452" s="62" t="n">
        <v>0</v>
      </c>
      <c r="BT452" s="61" t="n">
        <v>66.3</v>
      </c>
      <c r="BU452" s="62" t="n">
        <v>0</v>
      </c>
      <c r="BV452" s="60"/>
      <c r="BW452" s="65" t="n">
        <v>0</v>
      </c>
      <c r="BX452" s="65" t="n">
        <v>452</v>
      </c>
      <c r="BY452" s="60" t="str">
        <f aca="false">IF(U452&lt;&gt;"",UPPER(TRIM(U452)),IF(CB452=1,UPPER(VLOOKUP(T452,Parameter!$I$27:$K$29,2,0)),IF(P452="","LOSE",P452)))</f>
        <v>S22</v>
      </c>
      <c r="BZ452" s="62" t="n">
        <f aca="false">IF(BY452="LOSE",1,IF(N(V452)&gt;0,V452,IF(CB452=1,MAX(1,N(VLOOKUP(T452,Parameter!$I$27:$K$29,3,0)),H452,N(N452)),IF(N(Q452)&gt;0,Q452,MAX(1,H452)))))</f>
        <v>15</v>
      </c>
      <c r="CA452" s="65" t="n">
        <f aca="false">IF(BY452="LOSE",1,0)</f>
        <v>0</v>
      </c>
      <c r="CB452" s="65" t="n">
        <f aca="false">IF(AND(U452="",OR(P452="",P452="LOSE"),T452&lt;&gt;"",N(S452)&lt;=0,ISNUMBER(MATCH(T452,Parameter!$I$27:$I$29,0))),1,0)</f>
        <v>0</v>
      </c>
      <c r="CC452" s="65" t="n">
        <f aca="false">IF(CR452&gt;0,INDEX(Parameter!$H$5:$H$7,W452)/INDEX(Parameter!$E$5:$E$7,W452),IF(AND(CA452=0,N(IFERROR(VLOOKUP(BY452,'Gebinde-Kategorie'!$A$5:$N$45,14,0),0))&gt;0),VLOOKUP(BY452,'Gebinde-Kategorie'!$A$5:$N$45,14,0)*10+Parameter!$M$23,Parameter!$M$24))</f>
        <v>155</v>
      </c>
      <c r="CD452" s="60" t="str">
        <f aca="false">IF(AND(Parameter!$B$19="Ja",E452&lt;&gt;"",ISNUMBER(MATCH(E452,Parameter!$I$35:$I$52,0))),VLOOKUP(E452,Parameter!$I$35:$J$52,2,0),IFERROR(VLOOKUP(D452,Parameter!$A$35:$C$64,2,0),"Nein"))</f>
        <v>2+3</v>
      </c>
      <c r="CE452" s="64" t="n">
        <f aca="false">IF(CA452=0,0,IF(N(S452)&gt;0,S452,IFERROR(VLOOKUP(D452,Parameter!$A$35:$C$64,3,0)+0,0)))</f>
        <v>0</v>
      </c>
      <c r="CF452" s="60" t="n">
        <f aca="false">IF(AB452&lt;&gt;"",AB452,AA452)</f>
        <v>1</v>
      </c>
      <c r="CG452" s="60" t="str">
        <f aca="false">IF(OR(CF452=1,CF452=2,CF452=3),IF(Parameter!$E$27="Ja","LIFT",IF(CF452=1,"L1","L23")),IF(CF452="Aussen","Aussen","-"))</f>
        <v>LIFT</v>
      </c>
      <c r="CH452" s="71" t="n">
        <f aca="false">IF(N(AC452)&gt;0,AC452,0)</f>
        <v>0</v>
      </c>
      <c r="CI452" s="65" t="n">
        <f aca="false">IF(ISNUMBER(AF452),1,0)</f>
        <v>0</v>
      </c>
      <c r="CJ452" s="62" t="n">
        <f aca="false">N(AF452)</f>
        <v>0</v>
      </c>
      <c r="CK452" s="62" t="n">
        <f aca="false">N(M452)+N(N452)</f>
        <v>1</v>
      </c>
      <c r="CL452" s="62" t="n">
        <f aca="false">N(M452)</f>
        <v>0</v>
      </c>
      <c r="CM452" s="62" t="n">
        <f aca="false">N(N452)</f>
        <v>1</v>
      </c>
      <c r="CN452" s="62" t="n">
        <f aca="false">ROUNDUP(H452/BZ452,0)</f>
        <v>1</v>
      </c>
      <c r="CO452" s="62" t="n">
        <f aca="false">ROUNDUP(CJ452/BZ452,0)</f>
        <v>0</v>
      </c>
      <c r="CP452" s="65" t="n">
        <f aca="false">IF(CA452=1,0,IFERROR(VLOOKUP(BY452,'Gebinde-Kategorie'!$A$5:$N$45,5,0)+0,0))</f>
        <v>8</v>
      </c>
      <c r="CQ452" s="65" t="n">
        <f aca="false">IFERROR(IF(OR(CF452=1,CF452=2,CF452=3),N(INDEX(Parameter!$I$5:$I$7,CF452)),0),0)</f>
        <v>0</v>
      </c>
      <c r="CR452" s="64" t="n">
        <f aca="false">IF(AND(Parameter!$B$21="Ja",ISNUMBER(W452),N(X452)&gt;0),IFERROR(N(INDEX(Parameter!$L$5:$L$7,W452))*INDEX(Parameter!$E$5:$E$7,W452)*X452/SUMIFS($X$7:$X$1843,$W$7:$W$1843,W452),0),0)</f>
        <v>0</v>
      </c>
      <c r="CS452" s="62" t="n">
        <f aca="false">IF(AND(OR(CG452="L1",CG452="L23",CG452="LIFT"),H452&gt;0),CC452*IF(CR452&gt;0,CR452*MAX(1,H452/X452),IF(CA452=1,CE452,IF(R452&gt;0,CN452/R452,0))/MAX(0.1,N(Parameter!$M$21))),"")</f>
        <v>1.10714285714286</v>
      </c>
      <c r="CT452" s="64" t="n">
        <f aca="false">IF(CS452="","",J452/H452)</f>
        <v>0</v>
      </c>
      <c r="CU452" s="62" t="n">
        <f aca="false">IF(CS452="","",H452*G452)</f>
        <v>66.3</v>
      </c>
      <c r="CV452" s="63" t="n">
        <f aca="false">IF(CS452="","",(CL452+ROUNDUP(CL452+MAX(CM452,2*(J452/MAX(0.1,N(Einkauf!$C$6))-CL452)),0))/2)</f>
        <v>0.5</v>
      </c>
      <c r="CW452" s="62" t="n">
        <f aca="false">IF(CS452="","",MAX(0,H452-CV452)*G452)</f>
        <v>64.09</v>
      </c>
      <c r="CX452" s="62" t="n">
        <f aca="false">IF(CS452="","",CS452*MAX(0,1-CV452/H452))</f>
        <v>1.0702380952381</v>
      </c>
      <c r="CY452" s="64" t="n">
        <f aca="false">IF(CS452="","",PERCENTRANK($CS$7:$CS$1843,CS452)+PERCENTRANK($CU$7:$CU$1843,CU452)+1-PERCENTRANK($CT$7:$CT$1843,CT452))</f>
        <v>1.2324</v>
      </c>
      <c r="CZ452" s="72" t="n">
        <f aca="false">IF(CS452="","",CHOOSE(MATCH(Einkauf!$C$5,Parameter!$G$23:$G$27,0),CY452,CS452,CU452,-CT452,CW452)+ROW()/1000000000)</f>
        <v>1.232400452</v>
      </c>
    </row>
    <row r="453" customFormat="false" ht="15" hidden="false" customHeight="false" outlineLevel="0" collapsed="false">
      <c r="A453" s="60" t="s">
        <v>1065</v>
      </c>
      <c r="B453" s="60" t="s">
        <v>1066</v>
      </c>
      <c r="C453" s="60" t="s">
        <v>206</v>
      </c>
      <c r="D453" s="60" t="s">
        <v>215</v>
      </c>
      <c r="E453" s="60" t="s">
        <v>507</v>
      </c>
      <c r="F453" s="60" t="s">
        <v>260</v>
      </c>
      <c r="G453" s="61" t="n">
        <v>10.4</v>
      </c>
      <c r="H453" s="62" t="n">
        <f aca="false">MAX(0,IF(AND(Parameter!$B$21="Ja",ISNUMBER(Y453)),Y453,IF(Parameter!$B$20="Jahresanfang 2025 + Export",BS453+BR453,BR453)))</f>
        <v>25</v>
      </c>
      <c r="I453" s="62" t="n">
        <f aca="false">H453*G453</f>
        <v>260</v>
      </c>
      <c r="J453" s="62" t="n">
        <f aca="false">BU453*Parameter!$B$18</f>
        <v>33</v>
      </c>
      <c r="K453" s="63" t="n">
        <v>17.5</v>
      </c>
      <c r="L453" s="64" t="n">
        <v>1.88571428571429</v>
      </c>
      <c r="M453" s="62" t="n">
        <v>1</v>
      </c>
      <c r="N453" s="62" t="n">
        <v>15</v>
      </c>
      <c r="O453" s="65" t="n">
        <v>21</v>
      </c>
      <c r="P453" s="60" t="s">
        <v>210</v>
      </c>
      <c r="Q453" s="62"/>
      <c r="R453" s="65" t="n">
        <f aca="false">IF(CA453=1,0,IFERROR(VLOOKUP(BY453,'Gebinde-Kategorie'!$A$5:$N$45,13,0)+0,0))</f>
        <v>4</v>
      </c>
      <c r="S453" s="66"/>
      <c r="T453" s="67" t="s">
        <v>231</v>
      </c>
      <c r="U453" s="67"/>
      <c r="V453" s="67"/>
      <c r="W453" s="60"/>
      <c r="X453" s="62"/>
      <c r="Y453" s="62"/>
      <c r="Z453" s="60"/>
      <c r="AA453" s="60" t="str">
        <f aca="false">IF(A453="","",IF(AND(Parameter!$B$21="Ja",ISNUMBER(W453)),W453,IF(AND(Parameter!$E$27="Ja",ISNUMBER(Z453),CD453&lt;&gt;"Nein"),Z453,IF(CD453="2+3",IF(ISNUMBER(SEARCH("grosser Artikel",BV453)),2,IFERROR(VLOOKUP(BY453,Parameter!$F$35:$G$64,2,0),2)),IF(OR(CD453="Nein",CD453=""),"-",CD453)))))</f>
        <v>-</v>
      </c>
      <c r="AB453" s="67"/>
      <c r="AC453" s="68"/>
      <c r="AD453" s="62" t="n">
        <f aca="false">AW453</f>
        <v>21</v>
      </c>
      <c r="AE453" s="62" t="n">
        <f aca="false">MAX(AW453,H453)</f>
        <v>25</v>
      </c>
      <c r="AF453" s="69"/>
      <c r="AG453" s="62" t="n">
        <f aca="false">IF(LEFT(Cockpit!$C$5,1)="A",H453,IF(Parameter!$E$30="MAX-Bestand",IF(CI453=1,CJ453,IF(LEFT(Cockpit!$C$5,1)="B",AM453,MAX(AM453,H453))),ROUNDUP(AK453,0)))</f>
        <v>25</v>
      </c>
      <c r="AH453" s="62" t="n">
        <f aca="false">IF(CA453=1,0,ROUNDUP(AG453/BZ453,0))</f>
        <v>1</v>
      </c>
      <c r="AI453" s="64" t="n">
        <f aca="false">IF(CR453&gt;0,CR453*MAX(1,AG453/X453),IF(CA453=1,IF(AG453&lt;=0,0,CE453*MAX(1,IF(H453&gt;0,AG453/H453,1))),IF(R453&gt;0,AH453/R453,0))/MAX(0.1,N(Parameter!$M$21)))</f>
        <v>0.25</v>
      </c>
      <c r="AJ453" s="62" t="n">
        <f aca="false">AI453*CC453</f>
        <v>58.75</v>
      </c>
      <c r="AK453" s="63" t="n">
        <f aca="false">IF(LEFT(Cockpit!$C$5,1)="A",H453,IF(CI453=1,(CL453+CJ453)/2,IF(LEFT(Cockpit!$C$5,1)="B",(CL453+AM453)/2,MAX((CL453+AM453)/2,H453))))</f>
        <v>25</v>
      </c>
      <c r="AL453" s="62" t="n">
        <f aca="false">AK453*G453</f>
        <v>260</v>
      </c>
      <c r="AM453" s="62" t="n">
        <f aca="false">ROUNDUP(CL453+MAX(CM453,2*(J453/IF(CH453&gt;0,CH453,MAX(0.1,N(Cockpit!$C$6)))-CL453)),0)</f>
        <v>21</v>
      </c>
      <c r="AN453" s="63" t="n">
        <f aca="false">IF(AJ453&gt;0,J453/AJ453,-1)</f>
        <v>0.561702127659575</v>
      </c>
      <c r="AO453" s="63" t="str">
        <f aca="false">IF(AND(OR(CG453="L1",CG453="L23",CG453="LIFT"),AJ453&gt;0),SUMIFS($AJ$7:$AJ$1843,$CG$7:$CG$1843,CG453,$AN$7:$AN$1843,"&gt;"&amp;AN453)+SUMIFS($AJ$7:$AJ$1843,$CG$7:$CG$1843,CG453,$AN$7:$AN$1843,AN453,$BX$7:$BX$1843,"&lt;="&amp;BX453),"")</f>
        <v/>
      </c>
      <c r="AP453" s="70" t="n">
        <f aca="false">IF(AO453="",0,MAX(0,MIN(1,(IF(CG453="L1",Parameter!$H$5,IF(CG453="L23",Parameter!$H$6+Parameter!$H$7,Parameter!$H$5+Parameter!$H$6+Parameter!$H$7))-(AO453-AJ453))/AJ453)))</f>
        <v>0</v>
      </c>
      <c r="AQ453" s="62" t="n">
        <f aca="false">IF(LEFT(Cockpit!$I$5,1)="A",H453,IF(Parameter!$E$30="MAX-Bestand",IF(CI453=1,CJ453,IF(LEFT(Cockpit!$I$5,1)="B",AW453,MAX(AW453,H453))),ROUNDUP(AU453,0)))</f>
        <v>25</v>
      </c>
      <c r="AR453" s="62" t="n">
        <f aca="false">IF(CA453=1,0,ROUNDUP(AQ453/BZ453,0))</f>
        <v>1</v>
      </c>
      <c r="AS453" s="64" t="n">
        <f aca="false">IF(CR453&gt;0,CR453*MAX(1,AQ453/X453),IF(CA453=1,IF(AQ453&lt;=0,0,CE453*MAX(1,IF(H453&gt;0,AQ453/H453,1))),IF(R453&gt;0,AR453/R453,0))/MAX(0.1,N(Parameter!$M$21)))</f>
        <v>0.25</v>
      </c>
      <c r="AT453" s="62" t="n">
        <f aca="false">AS453*CC453</f>
        <v>58.75</v>
      </c>
      <c r="AU453" s="63" t="n">
        <f aca="false">IF(LEFT(Cockpit!$I$5,1)="A",H453,IF(CI453=1,(CL453+CJ453)/2,IF(LEFT(Cockpit!$I$5,1)="B",(CL453+AW453)/2,MAX((CL453+AW453)/2,H453))))</f>
        <v>25</v>
      </c>
      <c r="AV453" s="62" t="n">
        <f aca="false">AU453*G453</f>
        <v>260</v>
      </c>
      <c r="AW453" s="62" t="n">
        <f aca="false">ROUNDUP(CL453+MAX(CM453,2*(J453/IF(CH453&gt;0,CH453,MAX(0.1,N(Cockpit!$I$6)))-CL453)),0)</f>
        <v>21</v>
      </c>
      <c r="AX453" s="63" t="n">
        <f aca="false">IF(AT453&gt;0,J453/AT453,-1)</f>
        <v>0.561702127659575</v>
      </c>
      <c r="AY453" s="63" t="str">
        <f aca="false">IF(AND(OR(CG453="L1",CG453="L23",CG453="LIFT"),AT453&gt;0),SUMIFS($AT$7:$AT$1843,$CG$7:$CG$1843,CG453,$AX$7:$AX$1843,"&gt;"&amp;AX453)+SUMIFS($AT$7:$AT$1843,$CG$7:$CG$1843,CG453,$AX$7:$AX$1843,AX453,$BX$7:$BX$1843,"&lt;="&amp;BX453),"")</f>
        <v/>
      </c>
      <c r="AZ453" s="70" t="n">
        <f aca="false">IF(AY453="",0,MAX(0,MIN(1,(IF(CG453="L1",Parameter!$H$5,IF(CG453="L23",Parameter!$H$6+Parameter!$H$7,Parameter!$H$5+Parameter!$H$6+Parameter!$H$7))-(AY453-AT453))/AT453)))</f>
        <v>0</v>
      </c>
      <c r="BA453" s="62" t="n">
        <f aca="false">IF(LEFT(Cockpit!$O$5,1)="A",H453,IF(Parameter!$E$30="MAX-Bestand",IF(CI453=1,CJ453,IF(LEFT(Cockpit!$O$5,1)="B",BG453,MAX(BG453,H453))),ROUNDUP(BE453,0)))</f>
        <v>9</v>
      </c>
      <c r="BB453" s="62" t="n">
        <f aca="false">IF(CA453=1,0,ROUNDUP(BA453/BZ453,0))</f>
        <v>1</v>
      </c>
      <c r="BC453" s="64" t="n">
        <f aca="false">IF(CR453&gt;0,CR453*MAX(1,BA453/X453),IF(CA453=1,IF(BA453&lt;=0,0,CE453*MAX(1,IF(H453&gt;0,BA453/H453,1))),IF(R453&gt;0,BB453/R453,0))/MAX(0.1,N(Parameter!$M$21)))</f>
        <v>0.25</v>
      </c>
      <c r="BD453" s="62" t="n">
        <f aca="false">BC453*CC453</f>
        <v>58.75</v>
      </c>
      <c r="BE453" s="63" t="n">
        <f aca="false">IF(LEFT(Cockpit!$O$5,1)="A",H453,IF(CI453=1,(CL453+CJ453)/2,IF(LEFT(Cockpit!$O$5,1)="B",(CL453+BG453)/2,MAX((CL453+BG453)/2,H453))))</f>
        <v>8.5</v>
      </c>
      <c r="BF453" s="62" t="n">
        <f aca="false">BE453*G453</f>
        <v>88.4</v>
      </c>
      <c r="BG453" s="62" t="n">
        <f aca="false">ROUNDUP(CL453+MAX(CM453,2*(J453/IF(CH453&gt;0,CH453,MAX(0.1,N(Cockpit!$O$6)))-CL453)),0)</f>
        <v>16</v>
      </c>
      <c r="BH453" s="63" t="n">
        <f aca="false">IF(BD453&gt;0,J453/BD453,-1)</f>
        <v>0.561702127659575</v>
      </c>
      <c r="BI453" s="63" t="str">
        <f aca="false">IF(AND(OR(CG453="L1",CG453="L23",CG453="LIFT"),BD453&gt;0),SUMIFS($BD$7:$BD$1843,$CG$7:$CG$1843,CG453,$BH$7:$BH$1843,"&gt;"&amp;BH453)+SUMIFS($BD$7:$BD$1843,$CG$7:$CG$1843,CG453,$BH$7:$BH$1843,BH453,$BX$7:$BX$1843,"&lt;="&amp;BX453),"")</f>
        <v/>
      </c>
      <c r="BJ453" s="70" t="n">
        <f aca="false">IF(BI453="",0,MAX(0,MIN(1,(IF(CG453="L1",Parameter!$H$5,IF(CG453="L23",Parameter!$H$6+Parameter!$H$7,Parameter!$H$5+Parameter!$H$6+Parameter!$H$7))-(BI453-BD453))/BD453)))</f>
        <v>0</v>
      </c>
      <c r="BK453" s="60" t="str">
        <f aca="false">IF(AJ453&lt;=0,"",IF(CG453="Aussen","Aussenlager",IF(CG453="-","Nicht im Lift",IF(AP453&gt;=1,"Lift",IF(AP453&lt;=0,"Aussenlager","teilweise")))))</f>
        <v>Nicht im Lift</v>
      </c>
      <c r="BL453" s="60" t="str">
        <f aca="false">IF(AT453&lt;=0,"",IF(CG453="Aussen","Aussenlager",IF(CG453="-","Nicht im Lift",IF(AZ453&gt;=1,"Lift",IF(AZ453&lt;=0,"Aussenlager","teilweise")))))</f>
        <v>Nicht im Lift</v>
      </c>
      <c r="BM453" s="60" t="str">
        <f aca="false">IF(BD453&lt;=0,"",IF(CG453="Aussen","Aussenlager",IF(CG453="-","Nicht im Lift",IF(BJ453&gt;=1,"Lift",IF(BJ453&lt;=0,"Aussenlager","teilweise")))))</f>
        <v>Nicht im Lift</v>
      </c>
      <c r="BN453" s="60" t="str">
        <f aca="false">IF(A453="","",IF(BW453=1,"Neu; ","")&amp;IF(AND(BW453=0,BR453&lt;0),"negativer Bestand (Export "&amp;BR453&amp;"); ","")&amp;IF(J453&lt;=0,"Kein Verbrauch; ","")&amp;IF(CR453&gt;0,"Lift "&amp;W453&amp;" lt. Liftbericht (Fach "&amp;X453&amp;" Stk); ",IF(CB453=1,"Gebinde geschätzt ("&amp;T453&amp;"); ",IF(CA453=1,"Lose – Tablare geschätzt; ","")))&amp;IF(H453&gt;AW453,"Überbestand "&amp;ROUND(H453-AW453,0)&amp;" Stk / CHF "&amp;ROUND((H453-AW453)*G453,0)&amp;"; ","")&amp;IF(AND(CI453=1,CJ453&lt;CK453),"MAX &lt; MB+LG; ","")&amp;IF(AND(CQ453&gt;0,CP453*10&gt;CQ453),"zu hoch für Tablar; ","")&amp;IF(AND(BW453=0,OR(CI453=1,AB453&lt;&gt;"",U453&lt;&gt;"",V453&lt;&gt;"",AC453&lt;&gt;"")),"manuell übersteuert; ","")&amp;IF(AND(CA453=0,R453=0),"Gebinde unbekannt / Stellmass fehlt; ","")&amp;IF(AND(CA453=0,N(V453)&lt;=0,N(Q453)&lt;=0),"Menge pro Gebinde fehlt (Ist = 1 Gebinde); ","")&amp;BV453)</f>
        <v>Gebinde geschätzt (Gross); Überbestand 4 Stk / CHF 42; Menge pro Gebinde fehlt (Ist = 1 Gebinde); </v>
      </c>
      <c r="BO453" s="60"/>
      <c r="BP453" s="60"/>
      <c r="BQ453" s="67"/>
      <c r="BR453" s="62" t="n">
        <v>5</v>
      </c>
      <c r="BS453" s="62" t="n">
        <v>20</v>
      </c>
      <c r="BT453" s="61" t="n">
        <v>66</v>
      </c>
      <c r="BU453" s="62" t="n">
        <v>33</v>
      </c>
      <c r="BV453" s="60"/>
      <c r="BW453" s="65" t="n">
        <v>0</v>
      </c>
      <c r="BX453" s="65" t="n">
        <v>453</v>
      </c>
      <c r="BY453" s="60" t="str">
        <f aca="false">IF(U453&lt;&gt;"",UPPER(TRIM(U453)),IF(CB453=1,UPPER(VLOOKUP(T453,Parameter!$I$27:$K$29,2,0)),IF(P453="","LOSE",P453)))</f>
        <v>S81</v>
      </c>
      <c r="BZ453" s="62" t="n">
        <f aca="false">IF(BY453="LOSE",1,IF(N(V453)&gt;0,V453,IF(CB453=1,MAX(1,N(VLOOKUP(T453,Parameter!$I$27:$K$29,3,0)),H453,N(N453)),IF(N(Q453)&gt;0,Q453,MAX(1,H453)))))</f>
        <v>25</v>
      </c>
      <c r="CA453" s="65" t="n">
        <f aca="false">IF(BY453="LOSE",1,0)</f>
        <v>0</v>
      </c>
      <c r="CB453" s="65" t="n">
        <f aca="false">IF(AND(U453="",OR(P453="",P453="LOSE"),T453&lt;&gt;"",N(S453)&lt;=0,ISNUMBER(MATCH(T453,Parameter!$I$27:$I$29,0))),1,0)</f>
        <v>1</v>
      </c>
      <c r="CC453" s="65" t="n">
        <f aca="false">IF(CR453&gt;0,INDEX(Parameter!$H$5:$H$7,W453)/INDEX(Parameter!$E$5:$E$7,W453),IF(AND(CA453=0,N(IFERROR(VLOOKUP(BY453,'Gebinde-Kategorie'!$A$5:$N$45,14,0),0))&gt;0),VLOOKUP(BY453,'Gebinde-Kategorie'!$A$5:$N$45,14,0)*10+Parameter!$M$23,Parameter!$M$24))</f>
        <v>235</v>
      </c>
      <c r="CD453" s="60" t="str">
        <f aca="false">IF(AND(Parameter!$B$19="Ja",E453&lt;&gt;"",ISNUMBER(MATCH(E453,Parameter!$I$35:$I$52,0))),VLOOKUP(E453,Parameter!$I$35:$J$52,2,0),IFERROR(VLOOKUP(D453,Parameter!$A$35:$C$64,2,0),"Nein"))</f>
        <v>Nein</v>
      </c>
      <c r="CE453" s="64" t="n">
        <f aca="false">IF(CA453=0,0,IF(N(S453)&gt;0,S453,IFERROR(VLOOKUP(D453,Parameter!$A$35:$C$64,3,0)+0,0)))</f>
        <v>0</v>
      </c>
      <c r="CF453" s="60" t="str">
        <f aca="false">IF(AB453&lt;&gt;"",AB453,AA453)</f>
        <v>-</v>
      </c>
      <c r="CG453" s="60" t="str">
        <f aca="false">IF(OR(CF453=1,CF453=2,CF453=3),IF(Parameter!$E$27="Ja","LIFT",IF(CF453=1,"L1","L23")),IF(CF453="Aussen","Aussen","-"))</f>
        <v>-</v>
      </c>
      <c r="CH453" s="71" t="n">
        <f aca="false">IF(N(AC453)&gt;0,AC453,0)</f>
        <v>0</v>
      </c>
      <c r="CI453" s="65" t="n">
        <f aca="false">IF(ISNUMBER(AF453),1,0)</f>
        <v>0</v>
      </c>
      <c r="CJ453" s="62" t="n">
        <f aca="false">N(AF453)</f>
        <v>0</v>
      </c>
      <c r="CK453" s="62" t="n">
        <f aca="false">N(M453)+N(N453)</f>
        <v>16</v>
      </c>
      <c r="CL453" s="62" t="n">
        <f aca="false">N(M453)</f>
        <v>1</v>
      </c>
      <c r="CM453" s="62" t="n">
        <f aca="false">N(N453)</f>
        <v>15</v>
      </c>
      <c r="CN453" s="62" t="n">
        <f aca="false">ROUNDUP(H453/BZ453,0)</f>
        <v>1</v>
      </c>
      <c r="CO453" s="62" t="n">
        <f aca="false">ROUNDUP(CJ453/BZ453,0)</f>
        <v>0</v>
      </c>
      <c r="CP453" s="65" t="n">
        <f aca="false">IF(CA453=1,0,IFERROR(VLOOKUP(BY453,'Gebinde-Kategorie'!$A$5:$N$45,5,0)+0,0))</f>
        <v>20</v>
      </c>
      <c r="CQ453" s="65" t="n">
        <f aca="false">IFERROR(IF(OR(CF453=1,CF453=2,CF453=3),N(INDEX(Parameter!$I$5:$I$7,CF453)),0),0)</f>
        <v>0</v>
      </c>
      <c r="CR453" s="64" t="n">
        <f aca="false">IF(AND(Parameter!$B$21="Ja",ISNUMBER(W453),N(X453)&gt;0),IFERROR(N(INDEX(Parameter!$L$5:$L$7,W453))*INDEX(Parameter!$E$5:$E$7,W453)*X453/SUMIFS($X$7:$X$1843,$W$7:$W$1843,W453),0),0)</f>
        <v>0</v>
      </c>
      <c r="CS453" s="62" t="str">
        <f aca="false">IF(AND(OR(CG453="L1",CG453="L23",CG453="LIFT"),H453&gt;0),CC453*IF(CR453&gt;0,CR453*MAX(1,H453/X453),IF(CA453=1,CE453,IF(R453&gt;0,CN453/R453,0))/MAX(0.1,N(Parameter!$M$21))),"")</f>
        <v/>
      </c>
      <c r="CT453" s="64" t="str">
        <f aca="false">IF(CS453="","",J453/H453)</f>
        <v/>
      </c>
      <c r="CU453" s="62" t="str">
        <f aca="false">IF(CS453="","",H453*G453)</f>
        <v/>
      </c>
      <c r="CV453" s="63" t="str">
        <f aca="false">IF(CS453="","",(CL453+ROUNDUP(CL453+MAX(CM453,2*(J453/MAX(0.1,N(Einkauf!$C$6))-CL453)),0))/2)</f>
        <v/>
      </c>
      <c r="CW453" s="62" t="str">
        <f aca="false">IF(CS453="","",MAX(0,H453-CV453)*G453)</f>
        <v/>
      </c>
      <c r="CX453" s="62" t="str">
        <f aca="false">IF(CS453="","",CS453*MAX(0,1-CV453/H453))</f>
        <v/>
      </c>
      <c r="CY453" s="64" t="str">
        <f aca="false">IF(CS453="","",PERCENTRANK($CS$7:$CS$1843,CS453)+PERCENTRANK($CU$7:$CU$1843,CU453)+1-PERCENTRANK($CT$7:$CT$1843,CT453))</f>
        <v/>
      </c>
      <c r="CZ453" s="72" t="str">
        <f aca="false">IF(CS453="","",CHOOSE(MATCH(Einkauf!$C$5,Parameter!$G$23:$G$27,0),CY453,CS453,CU453,-CT453,CW453)+ROW()/1000000000)</f>
        <v/>
      </c>
    </row>
    <row r="454" customFormat="false" ht="15" hidden="false" customHeight="false" outlineLevel="0" collapsed="false">
      <c r="A454" s="60" t="s">
        <v>1067</v>
      </c>
      <c r="B454" s="60" t="s">
        <v>1068</v>
      </c>
      <c r="C454" s="60" t="s">
        <v>206</v>
      </c>
      <c r="D454" s="60" t="s">
        <v>226</v>
      </c>
      <c r="E454" s="60" t="s">
        <v>227</v>
      </c>
      <c r="F454" s="60" t="s">
        <v>260</v>
      </c>
      <c r="G454" s="61" t="n">
        <v>7.1</v>
      </c>
      <c r="H454" s="62" t="n">
        <f aca="false">MAX(0,IF(AND(Parameter!$B$21="Ja",ISNUMBER(Y454)),Y454,IF(Parameter!$B$20="Jahresanfang 2025 + Export",BS454+BR454,BR454)))</f>
        <v>69</v>
      </c>
      <c r="I454" s="62" t="n">
        <f aca="false">H454*G454</f>
        <v>489.9</v>
      </c>
      <c r="J454" s="62" t="n">
        <f aca="false">BU454*Parameter!$B$18</f>
        <v>172</v>
      </c>
      <c r="K454" s="63" t="n">
        <v>76.5</v>
      </c>
      <c r="L454" s="64" t="n">
        <v>2.2483660130719</v>
      </c>
      <c r="M454" s="62" t="n">
        <v>4</v>
      </c>
      <c r="N454" s="62" t="n">
        <v>170</v>
      </c>
      <c r="O454" s="65" t="n">
        <v>21</v>
      </c>
      <c r="P454" s="60" t="s">
        <v>463</v>
      </c>
      <c r="Q454" s="62" t="n">
        <v>136</v>
      </c>
      <c r="R454" s="65" t="n">
        <f aca="false">IF(CA454=1,0,IFERROR(VLOOKUP(BY454,'Gebinde-Kategorie'!$A$5:$N$45,13,0)+0,0))</f>
        <v>104</v>
      </c>
      <c r="S454" s="66"/>
      <c r="T454" s="67"/>
      <c r="U454" s="67"/>
      <c r="V454" s="67"/>
      <c r="W454" s="60"/>
      <c r="X454" s="62"/>
      <c r="Y454" s="62"/>
      <c r="Z454" s="60" t="n">
        <v>2</v>
      </c>
      <c r="AA454" s="60" t="n">
        <f aca="false">IF(A454="","",IF(AND(Parameter!$B$21="Ja",ISNUMBER(W454)),W454,IF(AND(Parameter!$E$27="Ja",ISNUMBER(Z454),CD454&lt;&gt;"Nein"),Z454,IF(CD454="2+3",IF(ISNUMBER(SEARCH("grosser Artikel",BV454)),2,IFERROR(VLOOKUP(BY454,Parameter!$F$35:$G$64,2,0),2)),IF(OR(CD454="Nein",CD454=""),"-",CD454)))))</f>
        <v>2</v>
      </c>
      <c r="AB454" s="67"/>
      <c r="AC454" s="68"/>
      <c r="AD454" s="62" t="n">
        <f aca="false">AW454</f>
        <v>174</v>
      </c>
      <c r="AE454" s="62" t="n">
        <f aca="false">MAX(AW454,H454)</f>
        <v>174</v>
      </c>
      <c r="AF454" s="69"/>
      <c r="AG454" s="62" t="n">
        <f aca="false">IF(LEFT(Cockpit!$C$5,1)="A",H454,IF(Parameter!$E$30="MAX-Bestand",IF(CI454=1,CJ454,IF(LEFT(Cockpit!$C$5,1)="B",AM454,MAX(AM454,H454))),ROUNDUP(AK454,0)))</f>
        <v>69</v>
      </c>
      <c r="AH454" s="62" t="n">
        <f aca="false">IF(CA454=1,0,ROUNDUP(AG454/BZ454,0))</f>
        <v>1</v>
      </c>
      <c r="AI454" s="64" t="n">
        <f aca="false">IF(CR454&gt;0,CR454*MAX(1,AG454/X454),IF(CA454=1,IF(AG454&lt;=0,0,CE454*MAX(1,IF(H454&gt;0,AG454/H454,1))),IF(R454&gt;0,AH454/R454,0))/MAX(0.1,N(Parameter!$M$21)))</f>
        <v>0.00961538461538462</v>
      </c>
      <c r="AJ454" s="62" t="n">
        <f aca="false">AI454*CC454</f>
        <v>1.49038461538462</v>
      </c>
      <c r="AK454" s="63" t="n">
        <f aca="false">IF(LEFT(Cockpit!$C$5,1)="A",H454,IF(CI454=1,(CL454+CJ454)/2,IF(LEFT(Cockpit!$C$5,1)="B",(CL454+AM454)/2,MAX((CL454+AM454)/2,H454))))</f>
        <v>69</v>
      </c>
      <c r="AL454" s="62" t="n">
        <f aca="false">AK454*G454</f>
        <v>489.9</v>
      </c>
      <c r="AM454" s="62" t="n">
        <f aca="false">ROUNDUP(CL454+MAX(CM454,2*(J454/IF(CH454&gt;0,CH454,MAX(0.1,N(Cockpit!$C$6)))-CL454)),0)</f>
        <v>174</v>
      </c>
      <c r="AN454" s="63" t="n">
        <f aca="false">IF(AJ454&gt;0,J454/AJ454,-1)</f>
        <v>115.406451612903</v>
      </c>
      <c r="AO454" s="63" t="n">
        <f aca="false">IF(AND(OR(CG454="L1",CG454="L23",CG454="LIFT"),AJ454&gt;0),SUMIFS($AJ$7:$AJ$1843,$CG$7:$CG$1843,CG454,$AN$7:$AN$1843,"&gt;"&amp;AN454)+SUMIFS($AJ$7:$AJ$1843,$CG$7:$CG$1843,CG454,$AN$7:$AN$1843,AN454,$BX$7:$BX$1843,"&lt;="&amp;BX454),"")</f>
        <v>688.654304029304</v>
      </c>
      <c r="AP454" s="70" t="n">
        <f aca="false">IF(AO454="",0,MAX(0,MIN(1,(IF(CG454="L1",Parameter!$H$5,IF(CG454="L23",Parameter!$H$6+Parameter!$H$7,Parameter!$H$5+Parameter!$H$6+Parameter!$H$7))-(AO454-AJ454))/AJ454)))</f>
        <v>1</v>
      </c>
      <c r="AQ454" s="62" t="n">
        <f aca="false">IF(LEFT(Cockpit!$I$5,1)="A",H454,IF(Parameter!$E$30="MAX-Bestand",IF(CI454=1,CJ454,IF(LEFT(Cockpit!$I$5,1)="B",AW454,MAX(AW454,H454))),ROUNDUP(AU454,0)))</f>
        <v>89</v>
      </c>
      <c r="AR454" s="62" t="n">
        <f aca="false">IF(CA454=1,0,ROUNDUP(AQ454/BZ454,0))</f>
        <v>1</v>
      </c>
      <c r="AS454" s="64" t="n">
        <f aca="false">IF(CR454&gt;0,CR454*MAX(1,AQ454/X454),IF(CA454=1,IF(AQ454&lt;=0,0,CE454*MAX(1,IF(H454&gt;0,AQ454/H454,1))),IF(R454&gt;0,AR454/R454,0))/MAX(0.1,N(Parameter!$M$21)))</f>
        <v>0.00961538461538462</v>
      </c>
      <c r="AT454" s="62" t="n">
        <f aca="false">AS454*CC454</f>
        <v>1.49038461538462</v>
      </c>
      <c r="AU454" s="63" t="n">
        <f aca="false">IF(LEFT(Cockpit!$I$5,1)="A",H454,IF(CI454=1,(CL454+CJ454)/2,IF(LEFT(Cockpit!$I$5,1)="B",(CL454+AW454)/2,MAX((CL454+AW454)/2,H454))))</f>
        <v>89</v>
      </c>
      <c r="AV454" s="62" t="n">
        <f aca="false">AU454*G454</f>
        <v>631.9</v>
      </c>
      <c r="AW454" s="62" t="n">
        <f aca="false">ROUNDUP(CL454+MAX(CM454,2*(J454/IF(CH454&gt;0,CH454,MAX(0.1,N(Cockpit!$I$6)))-CL454)),0)</f>
        <v>174</v>
      </c>
      <c r="AX454" s="63" t="n">
        <f aca="false">IF(AT454&gt;0,J454/AT454,-1)</f>
        <v>115.406451612903</v>
      </c>
      <c r="AY454" s="63" t="n">
        <f aca="false">IF(AND(OR(CG454="L1",CG454="L23",CG454="LIFT"),AT454&gt;0),SUMIFS($AT$7:$AT$1843,$CG$7:$CG$1843,CG454,$AX$7:$AX$1843,"&gt;"&amp;AX454)+SUMIFS($AT$7:$AT$1843,$CG$7:$CG$1843,CG454,$AX$7:$AX$1843,AX454,$BX$7:$BX$1843,"&lt;="&amp;BX454),"")</f>
        <v>802.543956043956</v>
      </c>
      <c r="AZ454" s="70" t="n">
        <f aca="false">IF(AY454="",0,MAX(0,MIN(1,(IF(CG454="L1",Parameter!$H$5,IF(CG454="L23",Parameter!$H$6+Parameter!$H$7,Parameter!$H$5+Parameter!$H$6+Parameter!$H$7))-(AY454-AT454))/AT454)))</f>
        <v>1</v>
      </c>
      <c r="BA454" s="62" t="n">
        <f aca="false">IF(LEFT(Cockpit!$O$5,1)="A",H454,IF(Parameter!$E$30="MAX-Bestand",IF(CI454=1,CJ454,IF(LEFT(Cockpit!$O$5,1)="B",BG454,MAX(BG454,H454))),ROUNDUP(BE454,0)))</f>
        <v>89</v>
      </c>
      <c r="BB454" s="62" t="n">
        <f aca="false">IF(CA454=1,0,ROUNDUP(BA454/BZ454,0))</f>
        <v>1</v>
      </c>
      <c r="BC454" s="64" t="n">
        <f aca="false">IF(CR454&gt;0,CR454*MAX(1,BA454/X454),IF(CA454=1,IF(BA454&lt;=0,0,CE454*MAX(1,IF(H454&gt;0,BA454/H454,1))),IF(R454&gt;0,BB454/R454,0))/MAX(0.1,N(Parameter!$M$21)))</f>
        <v>0.00961538461538462</v>
      </c>
      <c r="BD454" s="62" t="n">
        <f aca="false">BC454*CC454</f>
        <v>1.49038461538462</v>
      </c>
      <c r="BE454" s="63" t="n">
        <f aca="false">IF(LEFT(Cockpit!$O$5,1)="A",H454,IF(CI454=1,(CL454+CJ454)/2,IF(LEFT(Cockpit!$O$5,1)="B",(CL454+BG454)/2,MAX((CL454+BG454)/2,H454))))</f>
        <v>89</v>
      </c>
      <c r="BF454" s="62" t="n">
        <f aca="false">BE454*G454</f>
        <v>631.9</v>
      </c>
      <c r="BG454" s="62" t="n">
        <f aca="false">ROUNDUP(CL454+MAX(CM454,2*(J454/IF(CH454&gt;0,CH454,MAX(0.1,N(Cockpit!$O$6)))-CL454)),0)</f>
        <v>174</v>
      </c>
      <c r="BH454" s="63" t="n">
        <f aca="false">IF(BD454&gt;0,J454/BD454,-1)</f>
        <v>115.406451612903</v>
      </c>
      <c r="BI454" s="63" t="n">
        <f aca="false">IF(AND(OR(CG454="L1",CG454="L23",CG454="LIFT"),BD454&gt;0),SUMIFS($BD$7:$BD$1843,$CG$7:$CG$1843,CG454,$BH$7:$BH$1843,"&gt;"&amp;BH454)+SUMIFS($BD$7:$BD$1843,$CG$7:$CG$1843,CG454,$BH$7:$BH$1843,BH454,$BX$7:$BX$1843,"&lt;="&amp;BX454),"")</f>
        <v>825.453296703297</v>
      </c>
      <c r="BJ454" s="70" t="n">
        <f aca="false">IF(BI454="",0,MAX(0,MIN(1,(IF(CG454="L1",Parameter!$H$5,IF(CG454="L23",Parameter!$H$6+Parameter!$H$7,Parameter!$H$5+Parameter!$H$6+Parameter!$H$7))-(BI454-BD454))/BD454)))</f>
        <v>1</v>
      </c>
      <c r="BK454" s="60" t="str">
        <f aca="false">IF(AJ454&lt;=0,"",IF(CG454="Aussen","Aussenlager",IF(CG454="-","Nicht im Lift",IF(AP454&gt;=1,"Lift",IF(AP454&lt;=0,"Aussenlager","teilweise")))))</f>
        <v>Lift</v>
      </c>
      <c r="BL454" s="60" t="str">
        <f aca="false">IF(AT454&lt;=0,"",IF(CG454="Aussen","Aussenlager",IF(CG454="-","Nicht im Lift",IF(AZ454&gt;=1,"Lift",IF(AZ454&lt;=0,"Aussenlager","teilweise")))))</f>
        <v>Lift</v>
      </c>
      <c r="BM454" s="60" t="str">
        <f aca="false">IF(BD454&lt;=0,"",IF(CG454="Aussen","Aussenlager",IF(CG454="-","Nicht im Lift",IF(BJ454&gt;=1,"Lift",IF(BJ454&lt;=0,"Aussenlager","teilweise")))))</f>
        <v>Lift</v>
      </c>
      <c r="BN454" s="60" t="str">
        <f aca="false">IF(A454="","",IF(BW454=1,"Neu; ","")&amp;IF(AND(BW454=0,BR454&lt;0),"negativer Bestand (Export "&amp;BR454&amp;"); ","")&amp;IF(J454&lt;=0,"Kein Verbrauch; ","")&amp;IF(CR454&gt;0,"Lift "&amp;W454&amp;" lt. Liftbericht (Fach "&amp;X454&amp;" Stk); ",IF(CB454=1,"Gebinde geschätzt ("&amp;T454&amp;"); ",IF(CA454=1,"Lose – Tablare geschätzt; ","")))&amp;IF(H454&gt;AW454,"Überbestand "&amp;ROUND(H454-AW454,0)&amp;" Stk / CHF "&amp;ROUND((H454-AW454)*G454,0)&amp;"; ","")&amp;IF(AND(CI454=1,CJ454&lt;CK454),"MAX &lt; MB+LG; ","")&amp;IF(AND(CQ454&gt;0,CP454*10&gt;CQ454),"zu hoch für Tablar; ","")&amp;IF(AND(BW454=0,OR(CI454=1,AB454&lt;&gt;"",U454&lt;&gt;"",V454&lt;&gt;"",AC454&lt;&gt;"")),"manuell übersteuert; ","")&amp;IF(AND(CA454=0,R454=0),"Gebinde unbekannt / Stellmass fehlt; ","")&amp;IF(AND(CA454=0,N(V454)&lt;=0,N(Q454)&lt;=0),"Menge pro Gebinde fehlt (Ist = 1 Gebinde); ","")&amp;BV454)</f>
        <v/>
      </c>
      <c r="BO454" s="60"/>
      <c r="BP454" s="60"/>
      <c r="BQ454" s="67"/>
      <c r="BR454" s="62" t="n">
        <v>9</v>
      </c>
      <c r="BS454" s="62" t="n">
        <v>60</v>
      </c>
      <c r="BT454" s="61" t="n">
        <v>63.9000000000007</v>
      </c>
      <c r="BU454" s="62" t="n">
        <v>172</v>
      </c>
      <c r="BV454" s="60"/>
      <c r="BW454" s="65" t="n">
        <v>0</v>
      </c>
      <c r="BX454" s="65" t="n">
        <v>454</v>
      </c>
      <c r="BY454" s="60" t="str">
        <f aca="false">IF(U454&lt;&gt;"",UPPER(TRIM(U454)),IF(CB454=1,UPPER(VLOOKUP(T454,Parameter!$I$27:$K$29,2,0)),IF(P454="","LOSE",P454)))</f>
        <v>S32</v>
      </c>
      <c r="BZ454" s="62" t="n">
        <f aca="false">IF(BY454="LOSE",1,IF(N(V454)&gt;0,V454,IF(CB454=1,MAX(1,N(VLOOKUP(T454,Parameter!$I$27:$K$29,3,0)),H454,N(N454)),IF(N(Q454)&gt;0,Q454,MAX(1,H454)))))</f>
        <v>136</v>
      </c>
      <c r="CA454" s="65" t="n">
        <f aca="false">IF(BY454="LOSE",1,0)</f>
        <v>0</v>
      </c>
      <c r="CB454" s="65" t="n">
        <f aca="false">IF(AND(U454="",OR(P454="",P454="LOSE"),T454&lt;&gt;"",N(S454)&lt;=0,ISNUMBER(MATCH(T454,Parameter!$I$27:$I$29,0))),1,0)</f>
        <v>0</v>
      </c>
      <c r="CC454" s="65" t="n">
        <f aca="false">IF(CR454&gt;0,INDEX(Parameter!$H$5:$H$7,W454)/INDEX(Parameter!$E$5:$E$7,W454),IF(AND(CA454=0,N(IFERROR(VLOOKUP(BY454,'Gebinde-Kategorie'!$A$5:$N$45,14,0),0))&gt;0),VLOOKUP(BY454,'Gebinde-Kategorie'!$A$5:$N$45,14,0)*10+Parameter!$M$23,Parameter!$M$24))</f>
        <v>155</v>
      </c>
      <c r="CD454" s="60" t="str">
        <f aca="false">IF(AND(Parameter!$B$19="Ja",E454&lt;&gt;"",ISNUMBER(MATCH(E454,Parameter!$I$35:$I$52,0))),VLOOKUP(E454,Parameter!$I$35:$J$52,2,0),IFERROR(VLOOKUP(D454,Parameter!$A$35:$C$64,2,0),"Nein"))</f>
        <v>2+3</v>
      </c>
      <c r="CE454" s="64" t="n">
        <f aca="false">IF(CA454=0,0,IF(N(S454)&gt;0,S454,IFERROR(VLOOKUP(D454,Parameter!$A$35:$C$64,3,0)+0,0)))</f>
        <v>0</v>
      </c>
      <c r="CF454" s="60" t="n">
        <f aca="false">IF(AB454&lt;&gt;"",AB454,AA454)</f>
        <v>2</v>
      </c>
      <c r="CG454" s="60" t="str">
        <f aca="false">IF(OR(CF454=1,CF454=2,CF454=3),IF(Parameter!$E$27="Ja","LIFT",IF(CF454=1,"L1","L23")),IF(CF454="Aussen","Aussen","-"))</f>
        <v>LIFT</v>
      </c>
      <c r="CH454" s="71" t="n">
        <f aca="false">IF(N(AC454)&gt;0,AC454,0)</f>
        <v>0</v>
      </c>
      <c r="CI454" s="65" t="n">
        <f aca="false">IF(ISNUMBER(AF454),1,0)</f>
        <v>0</v>
      </c>
      <c r="CJ454" s="62" t="n">
        <f aca="false">N(AF454)</f>
        <v>0</v>
      </c>
      <c r="CK454" s="62" t="n">
        <f aca="false">N(M454)+N(N454)</f>
        <v>174</v>
      </c>
      <c r="CL454" s="62" t="n">
        <f aca="false">N(M454)</f>
        <v>4</v>
      </c>
      <c r="CM454" s="62" t="n">
        <f aca="false">N(N454)</f>
        <v>170</v>
      </c>
      <c r="CN454" s="62" t="n">
        <f aca="false">ROUNDUP(H454/BZ454,0)</f>
        <v>1</v>
      </c>
      <c r="CO454" s="62" t="n">
        <f aca="false">ROUNDUP(CJ454/BZ454,0)</f>
        <v>0</v>
      </c>
      <c r="CP454" s="65" t="n">
        <f aca="false">IF(CA454=1,0,IFERROR(VLOOKUP(BY454,'Gebinde-Kategorie'!$A$5:$N$45,5,0)+0,0))</f>
        <v>8</v>
      </c>
      <c r="CQ454" s="65" t="n">
        <f aca="false">IFERROR(IF(OR(CF454=1,CF454=2,CF454=3),N(INDEX(Parameter!$I$5:$I$7,CF454)),0),0)</f>
        <v>0</v>
      </c>
      <c r="CR454" s="64" t="n">
        <f aca="false">IF(AND(Parameter!$B$21="Ja",ISNUMBER(W454),N(X454)&gt;0),IFERROR(N(INDEX(Parameter!$L$5:$L$7,W454))*INDEX(Parameter!$E$5:$E$7,W454)*X454/SUMIFS($X$7:$X$1843,$W$7:$W$1843,W454),0),0)</f>
        <v>0</v>
      </c>
      <c r="CS454" s="62" t="n">
        <f aca="false">IF(AND(OR(CG454="L1",CG454="L23",CG454="LIFT"),H454&gt;0),CC454*IF(CR454&gt;0,CR454*MAX(1,H454/X454),IF(CA454=1,CE454,IF(R454&gt;0,CN454/R454,0))/MAX(0.1,N(Parameter!$M$21))),"")</f>
        <v>1.49038461538462</v>
      </c>
      <c r="CT454" s="64" t="n">
        <f aca="false">IF(CS454="","",J454/H454)</f>
        <v>2.49275362318841</v>
      </c>
      <c r="CU454" s="62" t="n">
        <f aca="false">IF(CS454="","",H454*G454)</f>
        <v>489.9</v>
      </c>
      <c r="CV454" s="63" t="n">
        <f aca="false">IF(CS454="","",(CL454+ROUNDUP(CL454+MAX(CM454,2*(J454/MAX(0.1,N(Einkauf!$C$6))-CL454)),0))/2)</f>
        <v>89</v>
      </c>
      <c r="CW454" s="62" t="n">
        <f aca="false">IF(CS454="","",MAX(0,H454-CV454)*G454)</f>
        <v>0</v>
      </c>
      <c r="CX454" s="62" t="n">
        <f aca="false">IF(CS454="","",CS454*MAX(0,1-CV454/H454))</f>
        <v>0</v>
      </c>
      <c r="CY454" s="64" t="n">
        <f aca="false">IF(CS454="","",PERCENTRANK($CS$7:$CS$1843,CS454)+PERCENTRANK($CU$7:$CU$1843,CU454)+1-PERCENTRANK($CT$7:$CT$1843,CT454))</f>
        <v>0.773</v>
      </c>
      <c r="CZ454" s="72" t="n">
        <f aca="false">IF(CS454="","",CHOOSE(MATCH(Einkauf!$C$5,Parameter!$G$23:$G$27,0),CY454,CS454,CU454,-CT454,CW454)+ROW()/1000000000)</f>
        <v>0.773000454</v>
      </c>
    </row>
    <row r="455" customFormat="false" ht="15" hidden="false" customHeight="false" outlineLevel="0" collapsed="false">
      <c r="A455" s="60" t="s">
        <v>1069</v>
      </c>
      <c r="B455" s="60" t="s">
        <v>1064</v>
      </c>
      <c r="C455" s="60" t="s">
        <v>206</v>
      </c>
      <c r="D455" s="60" t="s">
        <v>226</v>
      </c>
      <c r="E455" s="60" t="s">
        <v>227</v>
      </c>
      <c r="F455" s="60" t="s">
        <v>260</v>
      </c>
      <c r="G455" s="61" t="n">
        <v>1.04</v>
      </c>
      <c r="H455" s="62" t="n">
        <f aca="false">MAX(0,IF(AND(Parameter!$B$21="Ja",ISNUMBER(Y455)),Y455,IF(Parameter!$B$20="Jahresanfang 2025 + Export",BS455+BR455,BR455)))</f>
        <v>97</v>
      </c>
      <c r="I455" s="62" t="n">
        <f aca="false">H455*G455</f>
        <v>100.88</v>
      </c>
      <c r="J455" s="62" t="n">
        <f aca="false">BU455*Parameter!$B$18</f>
        <v>30</v>
      </c>
      <c r="K455" s="63" t="n">
        <v>46</v>
      </c>
      <c r="L455" s="64" t="n">
        <v>0.652173913043478</v>
      </c>
      <c r="M455" s="62" t="n">
        <v>1</v>
      </c>
      <c r="N455" s="62" t="n">
        <v>50</v>
      </c>
      <c r="O455" s="65" t="n">
        <v>21</v>
      </c>
      <c r="P455" s="60" t="s">
        <v>463</v>
      </c>
      <c r="Q455" s="62" t="n">
        <v>79</v>
      </c>
      <c r="R455" s="65" t="n">
        <f aca="false">IF(CA455=1,0,IFERROR(VLOOKUP(BY455,'Gebinde-Kategorie'!$A$5:$N$45,13,0)+0,0))</f>
        <v>104</v>
      </c>
      <c r="S455" s="66"/>
      <c r="T455" s="67"/>
      <c r="U455" s="67"/>
      <c r="V455" s="67"/>
      <c r="W455" s="60"/>
      <c r="X455" s="62"/>
      <c r="Y455" s="62"/>
      <c r="Z455" s="60" t="n">
        <v>3</v>
      </c>
      <c r="AA455" s="60" t="n">
        <f aca="false">IF(A455="","",IF(AND(Parameter!$B$21="Ja",ISNUMBER(W455)),W455,IF(AND(Parameter!$E$27="Ja",ISNUMBER(Z455),CD455&lt;&gt;"Nein"),Z455,IF(CD455="2+3",IF(ISNUMBER(SEARCH("grosser Artikel",BV455)),2,IFERROR(VLOOKUP(BY455,Parameter!$F$35:$G$64,2,0),2)),IF(OR(CD455="Nein",CD455=""),"-",CD455)))))</f>
        <v>3</v>
      </c>
      <c r="AB455" s="67"/>
      <c r="AC455" s="68"/>
      <c r="AD455" s="62" t="n">
        <f aca="false">AW455</f>
        <v>51</v>
      </c>
      <c r="AE455" s="62" t="n">
        <f aca="false">MAX(AW455,H455)</f>
        <v>97</v>
      </c>
      <c r="AF455" s="69"/>
      <c r="AG455" s="62" t="n">
        <f aca="false">IF(LEFT(Cockpit!$C$5,1)="A",H455,IF(Parameter!$E$30="MAX-Bestand",IF(CI455=1,CJ455,IF(LEFT(Cockpit!$C$5,1)="B",AM455,MAX(AM455,H455))),ROUNDUP(AK455,0)))</f>
        <v>97</v>
      </c>
      <c r="AH455" s="62" t="n">
        <f aca="false">IF(CA455=1,0,ROUNDUP(AG455/BZ455,0))</f>
        <v>2</v>
      </c>
      <c r="AI455" s="64" t="n">
        <f aca="false">IF(CR455&gt;0,CR455*MAX(1,AG455/X455),IF(CA455=1,IF(AG455&lt;=0,0,CE455*MAX(1,IF(H455&gt;0,AG455/H455,1))),IF(R455&gt;0,AH455/R455,0))/MAX(0.1,N(Parameter!$M$21)))</f>
        <v>0.0192307692307692</v>
      </c>
      <c r="AJ455" s="62" t="n">
        <f aca="false">AI455*CC455</f>
        <v>2.98076923076923</v>
      </c>
      <c r="AK455" s="63" t="n">
        <f aca="false">IF(LEFT(Cockpit!$C$5,1)="A",H455,IF(CI455=1,(CL455+CJ455)/2,IF(LEFT(Cockpit!$C$5,1)="B",(CL455+AM455)/2,MAX((CL455+AM455)/2,H455))))</f>
        <v>97</v>
      </c>
      <c r="AL455" s="62" t="n">
        <f aca="false">AK455*G455</f>
        <v>100.88</v>
      </c>
      <c r="AM455" s="62" t="n">
        <f aca="false">ROUNDUP(CL455+MAX(CM455,2*(J455/IF(CH455&gt;0,CH455,MAX(0.1,N(Cockpit!$C$6)))-CL455)),0)</f>
        <v>51</v>
      </c>
      <c r="AN455" s="63" t="n">
        <f aca="false">IF(AJ455&gt;0,J455/AJ455,-1)</f>
        <v>10.0645161290323</v>
      </c>
      <c r="AO455" s="63" t="n">
        <f aca="false">IF(AND(OR(CG455="L1",CG455="L23",CG455="LIFT"),AJ455&gt;0),SUMIFS($AJ$7:$AJ$1843,$CG$7:$CG$1843,CG455,$AN$7:$AN$1843,"&gt;"&amp;AN455)+SUMIFS($AJ$7:$AJ$1843,$CG$7:$CG$1843,CG455,$AN$7:$AN$1843,AN455,$BX$7:$BX$1843,"&lt;="&amp;BX455),"")</f>
        <v>2600.64194139194</v>
      </c>
      <c r="AP455" s="70" t="n">
        <f aca="false">IF(AO455="",0,MAX(0,MIN(1,(IF(CG455="L1",Parameter!$H$5,IF(CG455="L23",Parameter!$H$6+Parameter!$H$7,Parameter!$H$5+Parameter!$H$6+Parameter!$H$7))-(AO455-AJ455))/AJ455)))</f>
        <v>1</v>
      </c>
      <c r="AQ455" s="62" t="n">
        <f aca="false">IF(LEFT(Cockpit!$I$5,1)="A",H455,IF(Parameter!$E$30="MAX-Bestand",IF(CI455=1,CJ455,IF(LEFT(Cockpit!$I$5,1)="B",AW455,MAX(AW455,H455))),ROUNDUP(AU455,0)))</f>
        <v>97</v>
      </c>
      <c r="AR455" s="62" t="n">
        <f aca="false">IF(CA455=1,0,ROUNDUP(AQ455/BZ455,0))</f>
        <v>2</v>
      </c>
      <c r="AS455" s="64" t="n">
        <f aca="false">IF(CR455&gt;0,CR455*MAX(1,AQ455/X455),IF(CA455=1,IF(AQ455&lt;=0,0,CE455*MAX(1,IF(H455&gt;0,AQ455/H455,1))),IF(R455&gt;0,AR455/R455,0))/MAX(0.1,N(Parameter!$M$21)))</f>
        <v>0.0192307692307692</v>
      </c>
      <c r="AT455" s="62" t="n">
        <f aca="false">AS455*CC455</f>
        <v>2.98076923076923</v>
      </c>
      <c r="AU455" s="63" t="n">
        <f aca="false">IF(LEFT(Cockpit!$I$5,1)="A",H455,IF(CI455=1,(CL455+CJ455)/2,IF(LEFT(Cockpit!$I$5,1)="B",(CL455+AW455)/2,MAX((CL455+AW455)/2,H455))))</f>
        <v>97</v>
      </c>
      <c r="AV455" s="62" t="n">
        <f aca="false">AU455*G455</f>
        <v>100.88</v>
      </c>
      <c r="AW455" s="62" t="n">
        <f aca="false">ROUNDUP(CL455+MAX(CM455,2*(J455/IF(CH455&gt;0,CH455,MAX(0.1,N(Cockpit!$I$6)))-CL455)),0)</f>
        <v>51</v>
      </c>
      <c r="AX455" s="63" t="n">
        <f aca="false">IF(AT455&gt;0,J455/AT455,-1)</f>
        <v>10.0645161290323</v>
      </c>
      <c r="AY455" s="63" t="n">
        <f aca="false">IF(AND(OR(CG455="L1",CG455="L23",CG455="LIFT"),AT455&gt;0),SUMIFS($AT$7:$AT$1843,$CG$7:$CG$1843,CG455,$AX$7:$AX$1843,"&gt;"&amp;AX455)+SUMIFS($AT$7:$AT$1843,$CG$7:$CG$1843,CG455,$AX$7:$AX$1843,AX455,$BX$7:$BX$1843,"&lt;="&amp;BX455),"")</f>
        <v>3196.78388278388</v>
      </c>
      <c r="AZ455" s="70" t="n">
        <f aca="false">IF(AY455="",0,MAX(0,MIN(1,(IF(CG455="L1",Parameter!$H$5,IF(CG455="L23",Parameter!$H$6+Parameter!$H$7,Parameter!$H$5+Parameter!$H$6+Parameter!$H$7))-(AY455-AT455))/AT455)))</f>
        <v>1</v>
      </c>
      <c r="BA455" s="62" t="n">
        <f aca="false">IF(LEFT(Cockpit!$O$5,1)="A",H455,IF(Parameter!$E$30="MAX-Bestand",IF(CI455=1,CJ455,IF(LEFT(Cockpit!$O$5,1)="B",BG455,MAX(BG455,H455))),ROUNDUP(BE455,0)))</f>
        <v>26</v>
      </c>
      <c r="BB455" s="62" t="n">
        <f aca="false">IF(CA455=1,0,ROUNDUP(BA455/BZ455,0))</f>
        <v>1</v>
      </c>
      <c r="BC455" s="64" t="n">
        <f aca="false">IF(CR455&gt;0,CR455*MAX(1,BA455/X455),IF(CA455=1,IF(BA455&lt;=0,0,CE455*MAX(1,IF(H455&gt;0,BA455/H455,1))),IF(R455&gt;0,BB455/R455,0))/MAX(0.1,N(Parameter!$M$21)))</f>
        <v>0.00961538461538462</v>
      </c>
      <c r="BD455" s="62" t="n">
        <f aca="false">BC455*CC455</f>
        <v>1.49038461538462</v>
      </c>
      <c r="BE455" s="63" t="n">
        <f aca="false">IF(LEFT(Cockpit!$O$5,1)="A",H455,IF(CI455=1,(CL455+CJ455)/2,IF(LEFT(Cockpit!$O$5,1)="B",(CL455+BG455)/2,MAX((CL455+BG455)/2,H455))))</f>
        <v>26</v>
      </c>
      <c r="BF455" s="62" t="n">
        <f aca="false">BE455*G455</f>
        <v>27.04</v>
      </c>
      <c r="BG455" s="62" t="n">
        <f aca="false">ROUNDUP(CL455+MAX(CM455,2*(J455/IF(CH455&gt;0,CH455,MAX(0.1,N(Cockpit!$O$6)))-CL455)),0)</f>
        <v>51</v>
      </c>
      <c r="BH455" s="63" t="n">
        <f aca="false">IF(BD455&gt;0,J455/BD455,-1)</f>
        <v>20.1290322580645</v>
      </c>
      <c r="BI455" s="63" t="n">
        <f aca="false">IF(AND(OR(CG455="L1",CG455="L23",CG455="LIFT"),BD455&gt;0),SUMIFS($BD$7:$BD$1843,$CG$7:$CG$1843,CG455,$BH$7:$BH$1843,"&gt;"&amp;BH455)+SUMIFS($BD$7:$BD$1843,$CG$7:$CG$1843,CG455,$BH$7:$BH$1843,BH455,$BX$7:$BX$1843,"&lt;="&amp;BX455),"")</f>
        <v>2220.53296703297</v>
      </c>
      <c r="BJ455" s="70" t="n">
        <f aca="false">IF(BI455="",0,MAX(0,MIN(1,(IF(CG455="L1",Parameter!$H$5,IF(CG455="L23",Parameter!$H$6+Parameter!$H$7,Parameter!$H$5+Parameter!$H$6+Parameter!$H$7))-(BI455-BD455))/BD455)))</f>
        <v>1</v>
      </c>
      <c r="BK455" s="60" t="str">
        <f aca="false">IF(AJ455&lt;=0,"",IF(CG455="Aussen","Aussenlager",IF(CG455="-","Nicht im Lift",IF(AP455&gt;=1,"Lift",IF(AP455&lt;=0,"Aussenlager","teilweise")))))</f>
        <v>Lift</v>
      </c>
      <c r="BL455" s="60" t="str">
        <f aca="false">IF(AT455&lt;=0,"",IF(CG455="Aussen","Aussenlager",IF(CG455="-","Nicht im Lift",IF(AZ455&gt;=1,"Lift",IF(AZ455&lt;=0,"Aussenlager","teilweise")))))</f>
        <v>Lift</v>
      </c>
      <c r="BM455" s="60" t="str">
        <f aca="false">IF(BD455&lt;=0,"",IF(CG455="Aussen","Aussenlager",IF(CG455="-","Nicht im Lift",IF(BJ455&gt;=1,"Lift",IF(BJ455&lt;=0,"Aussenlager","teilweise")))))</f>
        <v>Lift</v>
      </c>
      <c r="BN455" s="60" t="str">
        <f aca="false">IF(A455="","",IF(BW455=1,"Neu; ","")&amp;IF(AND(BW455=0,BR455&lt;0),"negativer Bestand (Export "&amp;BR455&amp;"); ","")&amp;IF(J455&lt;=0,"Kein Verbrauch; ","")&amp;IF(CR455&gt;0,"Lift "&amp;W455&amp;" lt. Liftbericht (Fach "&amp;X455&amp;" Stk); ",IF(CB455=1,"Gebinde geschätzt ("&amp;T455&amp;"); ",IF(CA455=1,"Lose – Tablare geschätzt; ","")))&amp;IF(H455&gt;AW455,"Überbestand "&amp;ROUND(H455-AW455,0)&amp;" Stk / CHF "&amp;ROUND((H455-AW455)*G455,0)&amp;"; ","")&amp;IF(AND(CI455=1,CJ455&lt;CK455),"MAX &lt; MB+LG; ","")&amp;IF(AND(CQ455&gt;0,CP455*10&gt;CQ455),"zu hoch für Tablar; ","")&amp;IF(AND(BW455=0,OR(CI455=1,AB455&lt;&gt;"",U455&lt;&gt;"",V455&lt;&gt;"",AC455&lt;&gt;"")),"manuell übersteuert; ","")&amp;IF(AND(CA455=0,R455=0),"Gebinde unbekannt / Stellmass fehlt; ","")&amp;IF(AND(CA455=0,N(V455)&lt;=0,N(Q455)&lt;=0),"Menge pro Gebinde fehlt (Ist = 1 Gebinde); ","")&amp;BV455)</f>
        <v>Überbestand 46 Stk / CHF 48; </v>
      </c>
      <c r="BO455" s="60"/>
      <c r="BP455" s="60"/>
      <c r="BQ455" s="67"/>
      <c r="BR455" s="62" t="n">
        <v>61</v>
      </c>
      <c r="BS455" s="62" t="n">
        <v>36</v>
      </c>
      <c r="BT455" s="61" t="n">
        <v>63.08</v>
      </c>
      <c r="BU455" s="62" t="n">
        <v>30</v>
      </c>
      <c r="BV455" s="60"/>
      <c r="BW455" s="65" t="n">
        <v>0</v>
      </c>
      <c r="BX455" s="65" t="n">
        <v>455</v>
      </c>
      <c r="BY455" s="60" t="str">
        <f aca="false">IF(U455&lt;&gt;"",UPPER(TRIM(U455)),IF(CB455=1,UPPER(VLOOKUP(T455,Parameter!$I$27:$K$29,2,0)),IF(P455="","LOSE",P455)))</f>
        <v>S32</v>
      </c>
      <c r="BZ455" s="62" t="n">
        <f aca="false">IF(BY455="LOSE",1,IF(N(V455)&gt;0,V455,IF(CB455=1,MAX(1,N(VLOOKUP(T455,Parameter!$I$27:$K$29,3,0)),H455,N(N455)),IF(N(Q455)&gt;0,Q455,MAX(1,H455)))))</f>
        <v>79</v>
      </c>
      <c r="CA455" s="65" t="n">
        <f aca="false">IF(BY455="LOSE",1,0)</f>
        <v>0</v>
      </c>
      <c r="CB455" s="65" t="n">
        <f aca="false">IF(AND(U455="",OR(P455="",P455="LOSE"),T455&lt;&gt;"",N(S455)&lt;=0,ISNUMBER(MATCH(T455,Parameter!$I$27:$I$29,0))),1,0)</f>
        <v>0</v>
      </c>
      <c r="CC455" s="65" t="n">
        <f aca="false">IF(CR455&gt;0,INDEX(Parameter!$H$5:$H$7,W455)/INDEX(Parameter!$E$5:$E$7,W455),IF(AND(CA455=0,N(IFERROR(VLOOKUP(BY455,'Gebinde-Kategorie'!$A$5:$N$45,14,0),0))&gt;0),VLOOKUP(BY455,'Gebinde-Kategorie'!$A$5:$N$45,14,0)*10+Parameter!$M$23,Parameter!$M$24))</f>
        <v>155</v>
      </c>
      <c r="CD455" s="60" t="str">
        <f aca="false">IF(AND(Parameter!$B$19="Ja",E455&lt;&gt;"",ISNUMBER(MATCH(E455,Parameter!$I$35:$I$52,0))),VLOOKUP(E455,Parameter!$I$35:$J$52,2,0),IFERROR(VLOOKUP(D455,Parameter!$A$35:$C$64,2,0),"Nein"))</f>
        <v>2+3</v>
      </c>
      <c r="CE455" s="64" t="n">
        <f aca="false">IF(CA455=0,0,IF(N(S455)&gt;0,S455,IFERROR(VLOOKUP(D455,Parameter!$A$35:$C$64,3,0)+0,0)))</f>
        <v>0</v>
      </c>
      <c r="CF455" s="60" t="n">
        <f aca="false">IF(AB455&lt;&gt;"",AB455,AA455)</f>
        <v>3</v>
      </c>
      <c r="CG455" s="60" t="str">
        <f aca="false">IF(OR(CF455=1,CF455=2,CF455=3),IF(Parameter!$E$27="Ja","LIFT",IF(CF455=1,"L1","L23")),IF(CF455="Aussen","Aussen","-"))</f>
        <v>LIFT</v>
      </c>
      <c r="CH455" s="71" t="n">
        <f aca="false">IF(N(AC455)&gt;0,AC455,0)</f>
        <v>0</v>
      </c>
      <c r="CI455" s="65" t="n">
        <f aca="false">IF(ISNUMBER(AF455),1,0)</f>
        <v>0</v>
      </c>
      <c r="CJ455" s="62" t="n">
        <f aca="false">N(AF455)</f>
        <v>0</v>
      </c>
      <c r="CK455" s="62" t="n">
        <f aca="false">N(M455)+N(N455)</f>
        <v>51</v>
      </c>
      <c r="CL455" s="62" t="n">
        <f aca="false">N(M455)</f>
        <v>1</v>
      </c>
      <c r="CM455" s="62" t="n">
        <f aca="false">N(N455)</f>
        <v>50</v>
      </c>
      <c r="CN455" s="62" t="n">
        <f aca="false">ROUNDUP(H455/BZ455,0)</f>
        <v>2</v>
      </c>
      <c r="CO455" s="62" t="n">
        <f aca="false">ROUNDUP(CJ455/BZ455,0)</f>
        <v>0</v>
      </c>
      <c r="CP455" s="65" t="n">
        <f aca="false">IF(CA455=1,0,IFERROR(VLOOKUP(BY455,'Gebinde-Kategorie'!$A$5:$N$45,5,0)+0,0))</f>
        <v>8</v>
      </c>
      <c r="CQ455" s="65" t="n">
        <f aca="false">IFERROR(IF(OR(CF455=1,CF455=2,CF455=3),N(INDEX(Parameter!$I$5:$I$7,CF455)),0),0)</f>
        <v>0</v>
      </c>
      <c r="CR455" s="64" t="n">
        <f aca="false">IF(AND(Parameter!$B$21="Ja",ISNUMBER(W455),N(X455)&gt;0),IFERROR(N(INDEX(Parameter!$L$5:$L$7,W455))*INDEX(Parameter!$E$5:$E$7,W455)*X455/SUMIFS($X$7:$X$1843,$W$7:$W$1843,W455),0),0)</f>
        <v>0</v>
      </c>
      <c r="CS455" s="62" t="n">
        <f aca="false">IF(AND(OR(CG455="L1",CG455="L23",CG455="LIFT"),H455&gt;0),CC455*IF(CR455&gt;0,CR455*MAX(1,H455/X455),IF(CA455=1,CE455,IF(R455&gt;0,CN455/R455,0))/MAX(0.1,N(Parameter!$M$21))),"")</f>
        <v>2.98076923076923</v>
      </c>
      <c r="CT455" s="64" t="n">
        <f aca="false">IF(CS455="","",J455/H455)</f>
        <v>0.309278350515464</v>
      </c>
      <c r="CU455" s="62" t="n">
        <f aca="false">IF(CS455="","",H455*G455)</f>
        <v>100.88</v>
      </c>
      <c r="CV455" s="63" t="n">
        <f aca="false">IF(CS455="","",(CL455+ROUNDUP(CL455+MAX(CM455,2*(J455/MAX(0.1,N(Einkauf!$C$6))-CL455)),0))/2)</f>
        <v>26</v>
      </c>
      <c r="CW455" s="62" t="n">
        <f aca="false">IF(CS455="","",MAX(0,H455-CV455)*G455)</f>
        <v>73.84</v>
      </c>
      <c r="CX455" s="62" t="n">
        <f aca="false">IF(CS455="","",CS455*MAX(0,1-CV455/H455))</f>
        <v>2.18180015860428</v>
      </c>
      <c r="CY455" s="64" t="n">
        <f aca="false">IF(CS455="","",PERCENTRANK($CS$7:$CS$1843,CS455)+PERCENTRANK($CU$7:$CU$1843,CU455)+1-PERCENTRANK($CT$7:$CT$1843,CT455))</f>
        <v>0.946</v>
      </c>
      <c r="CZ455" s="72" t="n">
        <f aca="false">IF(CS455="","",CHOOSE(MATCH(Einkauf!$C$5,Parameter!$G$23:$G$27,0),CY455,CS455,CU455,-CT455,CW455)+ROW()/1000000000)</f>
        <v>0.946000455</v>
      </c>
    </row>
    <row r="456" customFormat="false" ht="15" hidden="false" customHeight="false" outlineLevel="0" collapsed="false">
      <c r="A456" s="60" t="s">
        <v>1070</v>
      </c>
      <c r="B456" s="60" t="s">
        <v>1071</v>
      </c>
      <c r="C456" s="60" t="s">
        <v>206</v>
      </c>
      <c r="D456" s="60" t="s">
        <v>226</v>
      </c>
      <c r="E456" s="60" t="s">
        <v>227</v>
      </c>
      <c r="F456" s="60" t="s">
        <v>260</v>
      </c>
      <c r="G456" s="61" t="n">
        <v>53.1</v>
      </c>
      <c r="H456" s="62" t="n">
        <f aca="false">MAX(0,IF(AND(Parameter!$B$21="Ja",ISNUMBER(Y456)),Y456,IF(Parameter!$B$20="Jahresanfang 2025 + Export",BS456+BR456,BR456)))</f>
        <v>20</v>
      </c>
      <c r="I456" s="62" t="n">
        <f aca="false">H456*G456</f>
        <v>1062</v>
      </c>
      <c r="J456" s="62" t="n">
        <f aca="false">BU456*Parameter!$B$18</f>
        <v>1</v>
      </c>
      <c r="K456" s="63" t="n">
        <v>20</v>
      </c>
      <c r="L456" s="64" t="n">
        <v>0.05</v>
      </c>
      <c r="M456" s="62" t="n">
        <v>0</v>
      </c>
      <c r="N456" s="62" t="n">
        <v>1</v>
      </c>
      <c r="O456" s="65" t="n">
        <v>21</v>
      </c>
      <c r="P456" s="60" t="s">
        <v>443</v>
      </c>
      <c r="Q456" s="62" t="n">
        <v>100</v>
      </c>
      <c r="R456" s="65" t="n">
        <f aca="false">IF(CA456=1,0,IFERROR(VLOOKUP(BY456,'Gebinde-Kategorie'!$A$5:$N$45,13,0)+0,0))</f>
        <v>280</v>
      </c>
      <c r="S456" s="66"/>
      <c r="T456" s="67"/>
      <c r="U456" s="67"/>
      <c r="V456" s="67"/>
      <c r="W456" s="60"/>
      <c r="X456" s="62"/>
      <c r="Y456" s="62"/>
      <c r="Z456" s="60" t="n">
        <v>1</v>
      </c>
      <c r="AA456" s="60" t="n">
        <f aca="false">IF(A456="","",IF(AND(Parameter!$B$21="Ja",ISNUMBER(W456)),W456,IF(AND(Parameter!$E$27="Ja",ISNUMBER(Z456),CD456&lt;&gt;"Nein"),Z456,IF(CD456="2+3",IF(ISNUMBER(SEARCH("grosser Artikel",BV456)),2,IFERROR(VLOOKUP(BY456,Parameter!$F$35:$G$64,2,0),2)),IF(OR(CD456="Nein",CD456=""),"-",CD456)))))</f>
        <v>1</v>
      </c>
      <c r="AB456" s="67"/>
      <c r="AC456" s="68"/>
      <c r="AD456" s="62" t="n">
        <f aca="false">AW456</f>
        <v>1</v>
      </c>
      <c r="AE456" s="62" t="n">
        <f aca="false">MAX(AW456,H456)</f>
        <v>20</v>
      </c>
      <c r="AF456" s="69"/>
      <c r="AG456" s="62" t="n">
        <f aca="false">IF(LEFT(Cockpit!$C$5,1)="A",H456,IF(Parameter!$E$30="MAX-Bestand",IF(CI456=1,CJ456,IF(LEFT(Cockpit!$C$5,1)="B",AM456,MAX(AM456,H456))),ROUNDUP(AK456,0)))</f>
        <v>20</v>
      </c>
      <c r="AH456" s="62" t="n">
        <f aca="false">IF(CA456=1,0,ROUNDUP(AG456/BZ456,0))</f>
        <v>1</v>
      </c>
      <c r="AI456" s="64" t="n">
        <f aca="false">IF(CR456&gt;0,CR456*MAX(1,AG456/X456),IF(CA456=1,IF(AG456&lt;=0,0,CE456*MAX(1,IF(H456&gt;0,AG456/H456,1))),IF(R456&gt;0,AH456/R456,0))/MAX(0.1,N(Parameter!$M$21)))</f>
        <v>0.00357142857142857</v>
      </c>
      <c r="AJ456" s="62" t="n">
        <f aca="false">AI456*CC456</f>
        <v>0.553571428571429</v>
      </c>
      <c r="AK456" s="63" t="n">
        <f aca="false">IF(LEFT(Cockpit!$C$5,1)="A",H456,IF(CI456=1,(CL456+CJ456)/2,IF(LEFT(Cockpit!$C$5,1)="B",(CL456+AM456)/2,MAX((CL456+AM456)/2,H456))))</f>
        <v>20</v>
      </c>
      <c r="AL456" s="62" t="n">
        <f aca="false">AK456*G456</f>
        <v>1062</v>
      </c>
      <c r="AM456" s="62" t="n">
        <f aca="false">ROUNDUP(CL456+MAX(CM456,2*(J456/IF(CH456&gt;0,CH456,MAX(0.1,N(Cockpit!$C$6)))-CL456)),0)</f>
        <v>1</v>
      </c>
      <c r="AN456" s="63" t="n">
        <f aca="false">IF(AJ456&gt;0,J456/AJ456,-1)</f>
        <v>1.80645161290323</v>
      </c>
      <c r="AO456" s="63" t="n">
        <f aca="false">IF(AND(OR(CG456="L1",CG456="L23",CG456="LIFT"),AJ456&gt;0),SUMIFS($AJ$7:$AJ$1843,$CG$7:$CG$1843,CG456,$AN$7:$AN$1843,"&gt;"&amp;AN456)+SUMIFS($AJ$7:$AJ$1843,$CG$7:$CG$1843,CG456,$AN$7:$AN$1843,AN456,$BX$7:$BX$1843,"&lt;="&amp;BX456),"")</f>
        <v>5962.57600732601</v>
      </c>
      <c r="AP456" s="70" t="n">
        <f aca="false">IF(AO456="",0,MAX(0,MIN(1,(IF(CG456="L1",Parameter!$H$5,IF(CG456="L23",Parameter!$H$6+Parameter!$H$7,Parameter!$H$5+Parameter!$H$6+Parameter!$H$7))-(AO456-AJ456))/AJ456)))</f>
        <v>1</v>
      </c>
      <c r="AQ456" s="62" t="n">
        <f aca="false">IF(LEFT(Cockpit!$I$5,1)="A",H456,IF(Parameter!$E$30="MAX-Bestand",IF(CI456=1,CJ456,IF(LEFT(Cockpit!$I$5,1)="B",AW456,MAX(AW456,H456))),ROUNDUP(AU456,0)))</f>
        <v>20</v>
      </c>
      <c r="AR456" s="62" t="n">
        <f aca="false">IF(CA456=1,0,ROUNDUP(AQ456/BZ456,0))</f>
        <v>1</v>
      </c>
      <c r="AS456" s="64" t="n">
        <f aca="false">IF(CR456&gt;0,CR456*MAX(1,AQ456/X456),IF(CA456=1,IF(AQ456&lt;=0,0,CE456*MAX(1,IF(H456&gt;0,AQ456/H456,1))),IF(R456&gt;0,AR456/R456,0))/MAX(0.1,N(Parameter!$M$21)))</f>
        <v>0.00357142857142857</v>
      </c>
      <c r="AT456" s="62" t="n">
        <f aca="false">AS456*CC456</f>
        <v>0.553571428571429</v>
      </c>
      <c r="AU456" s="63" t="n">
        <f aca="false">IF(LEFT(Cockpit!$I$5,1)="A",H456,IF(CI456=1,(CL456+CJ456)/2,IF(LEFT(Cockpit!$I$5,1)="B",(CL456+AW456)/2,MAX((CL456+AW456)/2,H456))))</f>
        <v>20</v>
      </c>
      <c r="AV456" s="62" t="n">
        <f aca="false">AU456*G456</f>
        <v>1062</v>
      </c>
      <c r="AW456" s="62" t="n">
        <f aca="false">ROUNDUP(CL456+MAX(CM456,2*(J456/IF(CH456&gt;0,CH456,MAX(0.1,N(Cockpit!$I$6)))-CL456)),0)</f>
        <v>1</v>
      </c>
      <c r="AX456" s="63" t="n">
        <f aca="false">IF(AT456&gt;0,J456/AT456,-1)</f>
        <v>1.80645161290323</v>
      </c>
      <c r="AY456" s="63" t="n">
        <f aca="false">IF(AND(OR(CG456="L1",CG456="L23",CG456="LIFT"),AT456&gt;0),SUMIFS($AT$7:$AT$1843,$CG$7:$CG$1843,CG456,$AX$7:$AX$1843,"&gt;"&amp;AX456)+SUMIFS($AT$7:$AT$1843,$CG$7:$CG$1843,CG456,$AX$7:$AX$1843,AX456,$BX$7:$BX$1843,"&lt;="&amp;BX456),"")</f>
        <v>7400.0989010989</v>
      </c>
      <c r="AZ456" s="70" t="n">
        <f aca="false">IF(AY456="",0,MAX(0,MIN(1,(IF(CG456="L1",Parameter!$H$5,IF(CG456="L23",Parameter!$H$6+Parameter!$H$7,Parameter!$H$5+Parameter!$H$6+Parameter!$H$7))-(AY456-AT456))/AT456)))</f>
        <v>1</v>
      </c>
      <c r="BA456" s="62" t="n">
        <f aca="false">IF(LEFT(Cockpit!$O$5,1)="A",H456,IF(Parameter!$E$30="MAX-Bestand",IF(CI456=1,CJ456,IF(LEFT(Cockpit!$O$5,1)="B",BG456,MAX(BG456,H456))),ROUNDUP(BE456,0)))</f>
        <v>1</v>
      </c>
      <c r="BB456" s="62" t="n">
        <f aca="false">IF(CA456=1,0,ROUNDUP(BA456/BZ456,0))</f>
        <v>1</v>
      </c>
      <c r="BC456" s="64" t="n">
        <f aca="false">IF(CR456&gt;0,CR456*MAX(1,BA456/X456),IF(CA456=1,IF(BA456&lt;=0,0,CE456*MAX(1,IF(H456&gt;0,BA456/H456,1))),IF(R456&gt;0,BB456/R456,0))/MAX(0.1,N(Parameter!$M$21)))</f>
        <v>0.00357142857142857</v>
      </c>
      <c r="BD456" s="62" t="n">
        <f aca="false">BC456*CC456</f>
        <v>0.553571428571429</v>
      </c>
      <c r="BE456" s="63" t="n">
        <f aca="false">IF(LEFT(Cockpit!$O$5,1)="A",H456,IF(CI456=1,(CL456+CJ456)/2,IF(LEFT(Cockpit!$O$5,1)="B",(CL456+BG456)/2,MAX((CL456+BG456)/2,H456))))</f>
        <v>0.5</v>
      </c>
      <c r="BF456" s="62" t="n">
        <f aca="false">BE456*G456</f>
        <v>26.55</v>
      </c>
      <c r="BG456" s="62" t="n">
        <f aca="false">ROUNDUP(CL456+MAX(CM456,2*(J456/IF(CH456&gt;0,CH456,MAX(0.1,N(Cockpit!$O$6)))-CL456)),0)</f>
        <v>1</v>
      </c>
      <c r="BH456" s="63" t="n">
        <f aca="false">IF(BD456&gt;0,J456/BD456,-1)</f>
        <v>1.80645161290323</v>
      </c>
      <c r="BI456" s="63" t="n">
        <f aca="false">IF(AND(OR(CG456="L1",CG456="L23",CG456="LIFT"),BD456&gt;0),SUMIFS($BD$7:$BD$1843,$CG$7:$CG$1843,CG456,$BH$7:$BH$1843,"&gt;"&amp;BH456)+SUMIFS($BD$7:$BD$1843,$CG$7:$CG$1843,CG456,$BH$7:$BH$1843,BH456,$BX$7:$BX$1843,"&lt;="&amp;BX456),"")</f>
        <v>6088.01968864469</v>
      </c>
      <c r="BJ456" s="70" t="n">
        <f aca="false">IF(BI456="",0,MAX(0,MIN(1,(IF(CG456="L1",Parameter!$H$5,IF(CG456="L23",Parameter!$H$6+Parameter!$H$7,Parameter!$H$5+Parameter!$H$6+Parameter!$H$7))-(BI456-BD456))/BD456)))</f>
        <v>1</v>
      </c>
      <c r="BK456" s="60" t="str">
        <f aca="false">IF(AJ456&lt;=0,"",IF(CG456="Aussen","Aussenlager",IF(CG456="-","Nicht im Lift",IF(AP456&gt;=1,"Lift",IF(AP456&lt;=0,"Aussenlager","teilweise")))))</f>
        <v>Lift</v>
      </c>
      <c r="BL456" s="60" t="str">
        <f aca="false">IF(AT456&lt;=0,"",IF(CG456="Aussen","Aussenlager",IF(CG456="-","Nicht im Lift",IF(AZ456&gt;=1,"Lift",IF(AZ456&lt;=0,"Aussenlager","teilweise")))))</f>
        <v>Lift</v>
      </c>
      <c r="BM456" s="60" t="str">
        <f aca="false">IF(BD456&lt;=0,"",IF(CG456="Aussen","Aussenlager",IF(CG456="-","Nicht im Lift",IF(BJ456&gt;=1,"Lift",IF(BJ456&lt;=0,"Aussenlager","teilweise")))))</f>
        <v>Lift</v>
      </c>
      <c r="BN456" s="60" t="str">
        <f aca="false">IF(A456="","",IF(BW456=1,"Neu; ","")&amp;IF(AND(BW456=0,BR456&lt;0),"negativer Bestand (Export "&amp;BR456&amp;"); ","")&amp;IF(J456&lt;=0,"Kein Verbrauch; ","")&amp;IF(CR456&gt;0,"Lift "&amp;W456&amp;" lt. Liftbericht (Fach "&amp;X456&amp;" Stk); ",IF(CB456=1,"Gebinde geschätzt ("&amp;T456&amp;"); ",IF(CA456=1,"Lose – Tablare geschätzt; ","")))&amp;IF(H456&gt;AW456,"Überbestand "&amp;ROUND(H456-AW456,0)&amp;" Stk / CHF "&amp;ROUND((H456-AW456)*G456,0)&amp;"; ","")&amp;IF(AND(CI456=1,CJ456&lt;CK456),"MAX &lt; MB+LG; ","")&amp;IF(AND(CQ456&gt;0,CP456*10&gt;CQ456),"zu hoch für Tablar; ","")&amp;IF(AND(BW456=0,OR(CI456=1,AB456&lt;&gt;"",U456&lt;&gt;"",V456&lt;&gt;"",AC456&lt;&gt;"")),"manuell übersteuert; ","")&amp;IF(AND(CA456=0,R456=0),"Gebinde unbekannt / Stellmass fehlt; ","")&amp;IF(AND(CA456=0,N(V456)&lt;=0,N(Q456)&lt;=0),"Menge pro Gebinde fehlt (Ist = 1 Gebinde); ","")&amp;BV456)</f>
        <v>Überbestand 19 Stk / CHF 1009; Verb.Lager</v>
      </c>
      <c r="BO456" s="60"/>
      <c r="BP456" s="60"/>
      <c r="BQ456" s="67"/>
      <c r="BR456" s="62" t="n">
        <v>0</v>
      </c>
      <c r="BS456" s="62" t="n">
        <v>20</v>
      </c>
      <c r="BT456" s="61" t="n">
        <v>61</v>
      </c>
      <c r="BU456" s="62" t="n">
        <v>1</v>
      </c>
      <c r="BV456" s="60" t="s">
        <v>1072</v>
      </c>
      <c r="BW456" s="65" t="n">
        <v>0</v>
      </c>
      <c r="BX456" s="65" t="n">
        <v>456</v>
      </c>
      <c r="BY456" s="60" t="str">
        <f aca="false">IF(U456&lt;&gt;"",UPPER(TRIM(U456)),IF(CB456=1,UPPER(VLOOKUP(T456,Parameter!$I$27:$K$29,2,0)),IF(P456="","LOSE",P456)))</f>
        <v>S21</v>
      </c>
      <c r="BZ456" s="62" t="n">
        <f aca="false">IF(BY456="LOSE",1,IF(N(V456)&gt;0,V456,IF(CB456=1,MAX(1,N(VLOOKUP(T456,Parameter!$I$27:$K$29,3,0)),H456,N(N456)),IF(N(Q456)&gt;0,Q456,MAX(1,H456)))))</f>
        <v>100</v>
      </c>
      <c r="CA456" s="65" t="n">
        <f aca="false">IF(BY456="LOSE",1,0)</f>
        <v>0</v>
      </c>
      <c r="CB456" s="65" t="n">
        <f aca="false">IF(AND(U456="",OR(P456="",P456="LOSE"),T456&lt;&gt;"",N(S456)&lt;=0,ISNUMBER(MATCH(T456,Parameter!$I$27:$I$29,0))),1,0)</f>
        <v>0</v>
      </c>
      <c r="CC456" s="65" t="n">
        <f aca="false">IF(CR456&gt;0,INDEX(Parameter!$H$5:$H$7,W456)/INDEX(Parameter!$E$5:$E$7,W456),IF(AND(CA456=0,N(IFERROR(VLOOKUP(BY456,'Gebinde-Kategorie'!$A$5:$N$45,14,0),0))&gt;0),VLOOKUP(BY456,'Gebinde-Kategorie'!$A$5:$N$45,14,0)*10+Parameter!$M$23,Parameter!$M$24))</f>
        <v>155</v>
      </c>
      <c r="CD456" s="60" t="str">
        <f aca="false">IF(AND(Parameter!$B$19="Ja",E456&lt;&gt;"",ISNUMBER(MATCH(E456,Parameter!$I$35:$I$52,0))),VLOOKUP(E456,Parameter!$I$35:$J$52,2,0),IFERROR(VLOOKUP(D456,Parameter!$A$35:$C$64,2,0),"Nein"))</f>
        <v>2+3</v>
      </c>
      <c r="CE456" s="64" t="n">
        <f aca="false">IF(CA456=0,0,IF(N(S456)&gt;0,S456,IFERROR(VLOOKUP(D456,Parameter!$A$35:$C$64,3,0)+0,0)))</f>
        <v>0</v>
      </c>
      <c r="CF456" s="60" t="n">
        <f aca="false">IF(AB456&lt;&gt;"",AB456,AA456)</f>
        <v>1</v>
      </c>
      <c r="CG456" s="60" t="str">
        <f aca="false">IF(OR(CF456=1,CF456=2,CF456=3),IF(Parameter!$E$27="Ja","LIFT",IF(CF456=1,"L1","L23")),IF(CF456="Aussen","Aussen","-"))</f>
        <v>LIFT</v>
      </c>
      <c r="CH456" s="71" t="n">
        <f aca="false">IF(N(AC456)&gt;0,AC456,0)</f>
        <v>0</v>
      </c>
      <c r="CI456" s="65" t="n">
        <f aca="false">IF(ISNUMBER(AF456),1,0)</f>
        <v>0</v>
      </c>
      <c r="CJ456" s="62" t="n">
        <f aca="false">N(AF456)</f>
        <v>0</v>
      </c>
      <c r="CK456" s="62" t="n">
        <f aca="false">N(M456)+N(N456)</f>
        <v>1</v>
      </c>
      <c r="CL456" s="62" t="n">
        <f aca="false">N(M456)</f>
        <v>0</v>
      </c>
      <c r="CM456" s="62" t="n">
        <f aca="false">N(N456)</f>
        <v>1</v>
      </c>
      <c r="CN456" s="62" t="n">
        <f aca="false">ROUNDUP(H456/BZ456,0)</f>
        <v>1</v>
      </c>
      <c r="CO456" s="62" t="n">
        <f aca="false">ROUNDUP(CJ456/BZ456,0)</f>
        <v>0</v>
      </c>
      <c r="CP456" s="65" t="n">
        <f aca="false">IF(CA456=1,0,IFERROR(VLOOKUP(BY456,'Gebinde-Kategorie'!$A$5:$N$45,5,0)+0,0))</f>
        <v>8</v>
      </c>
      <c r="CQ456" s="65" t="n">
        <f aca="false">IFERROR(IF(OR(CF456=1,CF456=2,CF456=3),N(INDEX(Parameter!$I$5:$I$7,CF456)),0),0)</f>
        <v>0</v>
      </c>
      <c r="CR456" s="64" t="n">
        <f aca="false">IF(AND(Parameter!$B$21="Ja",ISNUMBER(W456),N(X456)&gt;0),IFERROR(N(INDEX(Parameter!$L$5:$L$7,W456))*INDEX(Parameter!$E$5:$E$7,W456)*X456/SUMIFS($X$7:$X$1843,$W$7:$W$1843,W456),0),0)</f>
        <v>0</v>
      </c>
      <c r="CS456" s="62" t="n">
        <f aca="false">IF(AND(OR(CG456="L1",CG456="L23",CG456="LIFT"),H456&gt;0),CC456*IF(CR456&gt;0,CR456*MAX(1,H456/X456),IF(CA456=1,CE456,IF(R456&gt;0,CN456/R456,0))/MAX(0.1,N(Parameter!$M$21))),"")</f>
        <v>0.553571428571429</v>
      </c>
      <c r="CT456" s="64" t="n">
        <f aca="false">IF(CS456="","",J456/H456)</f>
        <v>0.05</v>
      </c>
      <c r="CU456" s="62" t="n">
        <f aca="false">IF(CS456="","",H456*G456)</f>
        <v>1062</v>
      </c>
      <c r="CV456" s="63" t="n">
        <f aca="false">IF(CS456="","",(CL456+ROUNDUP(CL456+MAX(CM456,2*(J456/MAX(0.1,N(Einkauf!$C$6))-CL456)),0))/2)</f>
        <v>0.5</v>
      </c>
      <c r="CW456" s="62" t="n">
        <f aca="false">IF(CS456="","",MAX(0,H456-CV456)*G456)</f>
        <v>1035.45</v>
      </c>
      <c r="CX456" s="62" t="n">
        <f aca="false">IF(CS456="","",CS456*MAX(0,1-CV456/H456))</f>
        <v>0.539732142857143</v>
      </c>
      <c r="CY456" s="64" t="n">
        <f aca="false">IF(CS456="","",PERCENTRANK($CS$7:$CS$1843,CS456)+PERCENTRANK($CU$7:$CU$1843,CU456)+1-PERCENTRANK($CT$7:$CT$1843,CT456))</f>
        <v>1.256</v>
      </c>
      <c r="CZ456" s="72" t="n">
        <f aca="false">IF(CS456="","",CHOOSE(MATCH(Einkauf!$C$5,Parameter!$G$23:$G$27,0),CY456,CS456,CU456,-CT456,CW456)+ROW()/1000000000)</f>
        <v>1.256000456</v>
      </c>
    </row>
    <row r="457" customFormat="false" ht="15" hidden="false" customHeight="false" outlineLevel="0" collapsed="false">
      <c r="A457" s="60" t="s">
        <v>1073</v>
      </c>
      <c r="B457" s="60" t="s">
        <v>1074</v>
      </c>
      <c r="C457" s="60" t="s">
        <v>206</v>
      </c>
      <c r="D457" s="60" t="s">
        <v>226</v>
      </c>
      <c r="E457" s="60" t="s">
        <v>227</v>
      </c>
      <c r="F457" s="60" t="s">
        <v>260</v>
      </c>
      <c r="G457" s="61" t="n">
        <v>24.9</v>
      </c>
      <c r="H457" s="62" t="n">
        <f aca="false">MAX(0,IF(AND(Parameter!$B$21="Ja",ISNUMBER(Y457)),Y457,IF(Parameter!$B$20="Jahresanfang 2025 + Export",BS457+BR457,BR457)))</f>
        <v>5</v>
      </c>
      <c r="I457" s="62" t="n">
        <f aca="false">H457*G457</f>
        <v>124.5</v>
      </c>
      <c r="J457" s="62" t="n">
        <f aca="false">BU457*Parameter!$B$18</f>
        <v>1</v>
      </c>
      <c r="K457" s="63" t="n">
        <v>3</v>
      </c>
      <c r="L457" s="64" t="n">
        <v>0.333333333333333</v>
      </c>
      <c r="M457" s="62" t="n">
        <v>2</v>
      </c>
      <c r="N457" s="62" t="n">
        <v>1</v>
      </c>
      <c r="O457" s="65" t="n">
        <v>28</v>
      </c>
      <c r="P457" s="60" t="s">
        <v>344</v>
      </c>
      <c r="Q457" s="62" t="n">
        <v>4</v>
      </c>
      <c r="R457" s="65" t="n">
        <f aca="false">IF(CA457=1,0,IFERROR(VLOOKUP(BY457,'Gebinde-Kategorie'!$A$5:$N$45,13,0)+0,0))</f>
        <v>26</v>
      </c>
      <c r="S457" s="66"/>
      <c r="T457" s="67"/>
      <c r="U457" s="67"/>
      <c r="V457" s="67"/>
      <c r="W457" s="60"/>
      <c r="X457" s="62"/>
      <c r="Y457" s="62"/>
      <c r="Z457" s="60" t="n">
        <v>3</v>
      </c>
      <c r="AA457" s="60" t="n">
        <f aca="false">IF(A457="","",IF(AND(Parameter!$B$21="Ja",ISNUMBER(W457)),W457,IF(AND(Parameter!$E$27="Ja",ISNUMBER(Z457),CD457&lt;&gt;"Nein"),Z457,IF(CD457="2+3",IF(ISNUMBER(SEARCH("grosser Artikel",BV457)),2,IFERROR(VLOOKUP(BY457,Parameter!$F$35:$G$64,2,0),2)),IF(OR(CD457="Nein",CD457=""),"-",CD457)))))</f>
        <v>3</v>
      </c>
      <c r="AB457" s="67"/>
      <c r="AC457" s="68"/>
      <c r="AD457" s="62" t="n">
        <f aca="false">AW457</f>
        <v>3</v>
      </c>
      <c r="AE457" s="62" t="n">
        <f aca="false">MAX(AW457,H457)</f>
        <v>5</v>
      </c>
      <c r="AF457" s="69"/>
      <c r="AG457" s="62" t="n">
        <f aca="false">IF(LEFT(Cockpit!$C$5,1)="A",H457,IF(Parameter!$E$30="MAX-Bestand",IF(CI457=1,CJ457,IF(LEFT(Cockpit!$C$5,1)="B",AM457,MAX(AM457,H457))),ROUNDUP(AK457,0)))</f>
        <v>5</v>
      </c>
      <c r="AH457" s="62" t="n">
        <f aca="false">IF(CA457=1,0,ROUNDUP(AG457/BZ457,0))</f>
        <v>2</v>
      </c>
      <c r="AI457" s="64" t="n">
        <f aca="false">IF(CR457&gt;0,CR457*MAX(1,AG457/X457),IF(CA457=1,IF(AG457&lt;=0,0,CE457*MAX(1,IF(H457&gt;0,AG457/H457,1))),IF(R457&gt;0,AH457/R457,0))/MAX(0.1,N(Parameter!$M$21)))</f>
        <v>0.0769230769230769</v>
      </c>
      <c r="AJ457" s="62" t="n">
        <f aca="false">AI457*CC457</f>
        <v>11.9230769230769</v>
      </c>
      <c r="AK457" s="63" t="n">
        <f aca="false">IF(LEFT(Cockpit!$C$5,1)="A",H457,IF(CI457=1,(CL457+CJ457)/2,IF(LEFT(Cockpit!$C$5,1)="B",(CL457+AM457)/2,MAX((CL457+AM457)/2,H457))))</f>
        <v>5</v>
      </c>
      <c r="AL457" s="62" t="n">
        <f aca="false">AK457*G457</f>
        <v>124.5</v>
      </c>
      <c r="AM457" s="62" t="n">
        <f aca="false">ROUNDUP(CL457+MAX(CM457,2*(J457/IF(CH457&gt;0,CH457,MAX(0.1,N(Cockpit!$C$6)))-CL457)),0)</f>
        <v>3</v>
      </c>
      <c r="AN457" s="63" t="n">
        <f aca="false">IF(AJ457&gt;0,J457/AJ457,-1)</f>
        <v>0.0838709677419355</v>
      </c>
      <c r="AO457" s="63" t="n">
        <f aca="false">IF(AND(OR(CG457="L1",CG457="L23",CG457="LIFT"),AJ457&gt;0),SUMIFS($AJ$7:$AJ$1843,$CG$7:$CG$1843,CG457,$AN$7:$AN$1843,"&gt;"&amp;AN457)+SUMIFS($AJ$7:$AJ$1843,$CG$7:$CG$1843,CG457,$AN$7:$AN$1843,AN457,$BX$7:$BX$1843,"&lt;="&amp;BX457),"")</f>
        <v>16650.3702194698</v>
      </c>
      <c r="AP457" s="70" t="n">
        <f aca="false">IF(AO457="",0,MAX(0,MIN(1,(IF(CG457="L1",Parameter!$H$5,IF(CG457="L23",Parameter!$H$6+Parameter!$H$7,Parameter!$H$5+Parameter!$H$6+Parameter!$H$7))-(AO457-AJ457))/AJ457)))</f>
        <v>1</v>
      </c>
      <c r="AQ457" s="62" t="n">
        <f aca="false">IF(LEFT(Cockpit!$I$5,1)="A",H457,IF(Parameter!$E$30="MAX-Bestand",IF(CI457=1,CJ457,IF(LEFT(Cockpit!$I$5,1)="B",AW457,MAX(AW457,H457))),ROUNDUP(AU457,0)))</f>
        <v>5</v>
      </c>
      <c r="AR457" s="62" t="n">
        <f aca="false">IF(CA457=1,0,ROUNDUP(AQ457/BZ457,0))</f>
        <v>2</v>
      </c>
      <c r="AS457" s="64" t="n">
        <f aca="false">IF(CR457&gt;0,CR457*MAX(1,AQ457/X457),IF(CA457=1,IF(AQ457&lt;=0,0,CE457*MAX(1,IF(H457&gt;0,AQ457/H457,1))),IF(R457&gt;0,AR457/R457,0))/MAX(0.1,N(Parameter!$M$21)))</f>
        <v>0.0769230769230769</v>
      </c>
      <c r="AT457" s="62" t="n">
        <f aca="false">AS457*CC457</f>
        <v>11.9230769230769</v>
      </c>
      <c r="AU457" s="63" t="n">
        <f aca="false">IF(LEFT(Cockpit!$I$5,1)="A",H457,IF(CI457=1,(CL457+CJ457)/2,IF(LEFT(Cockpit!$I$5,1)="B",(CL457+AW457)/2,MAX((CL457+AW457)/2,H457))))</f>
        <v>5</v>
      </c>
      <c r="AV457" s="62" t="n">
        <f aca="false">AU457*G457</f>
        <v>124.5</v>
      </c>
      <c r="AW457" s="62" t="n">
        <f aca="false">ROUNDUP(CL457+MAX(CM457,2*(J457/IF(CH457&gt;0,CH457,MAX(0.1,N(Cockpit!$I$6)))-CL457)),0)</f>
        <v>3</v>
      </c>
      <c r="AX457" s="63" t="n">
        <f aca="false">IF(AT457&gt;0,J457/AT457,-1)</f>
        <v>0.0838709677419355</v>
      </c>
      <c r="AY457" s="63" t="n">
        <f aca="false">IF(AND(OR(CG457="L1",CG457="L23",CG457="LIFT"),AT457&gt;0),SUMIFS($AT$7:$AT$1843,$CG$7:$CG$1843,CG457,$AX$7:$AX$1843,"&gt;"&amp;AX457)+SUMIFS($AT$7:$AT$1843,$CG$7:$CG$1843,CG457,$AX$7:$AX$1843,AX457,$BX$7:$BX$1843,"&lt;="&amp;BX457),"")</f>
        <v>21673.5188608473</v>
      </c>
      <c r="AZ457" s="70" t="n">
        <f aca="false">IF(AY457="",0,MAX(0,MIN(1,(IF(CG457="L1",Parameter!$H$5,IF(CG457="L23",Parameter!$H$6+Parameter!$H$7,Parameter!$H$5+Parameter!$H$6+Parameter!$H$7))-(AY457-AT457))/AT457)))</f>
        <v>1</v>
      </c>
      <c r="BA457" s="62" t="n">
        <f aca="false">IF(LEFT(Cockpit!$O$5,1)="A",H457,IF(Parameter!$E$30="MAX-Bestand",IF(CI457=1,CJ457,IF(LEFT(Cockpit!$O$5,1)="B",BG457,MAX(BG457,H457))),ROUNDUP(BE457,0)))</f>
        <v>3</v>
      </c>
      <c r="BB457" s="62" t="n">
        <f aca="false">IF(CA457=1,0,ROUNDUP(BA457/BZ457,0))</f>
        <v>1</v>
      </c>
      <c r="BC457" s="64" t="n">
        <f aca="false">IF(CR457&gt;0,CR457*MAX(1,BA457/X457),IF(CA457=1,IF(BA457&lt;=0,0,CE457*MAX(1,IF(H457&gt;0,BA457/H457,1))),IF(R457&gt;0,BB457/R457,0))/MAX(0.1,N(Parameter!$M$21)))</f>
        <v>0.0384615384615385</v>
      </c>
      <c r="BD457" s="62" t="n">
        <f aca="false">BC457*CC457</f>
        <v>5.96153846153846</v>
      </c>
      <c r="BE457" s="63" t="n">
        <f aca="false">IF(LEFT(Cockpit!$O$5,1)="A",H457,IF(CI457=1,(CL457+CJ457)/2,IF(LEFT(Cockpit!$O$5,1)="B",(CL457+BG457)/2,MAX((CL457+BG457)/2,H457))))</f>
        <v>2.5</v>
      </c>
      <c r="BF457" s="62" t="n">
        <f aca="false">BE457*G457</f>
        <v>62.25</v>
      </c>
      <c r="BG457" s="62" t="n">
        <f aca="false">ROUNDUP(CL457+MAX(CM457,2*(J457/IF(CH457&gt;0,CH457,MAX(0.1,N(Cockpit!$O$6)))-CL457)),0)</f>
        <v>3</v>
      </c>
      <c r="BH457" s="63" t="n">
        <f aca="false">IF(BD457&gt;0,J457/BD457,-1)</f>
        <v>0.167741935483871</v>
      </c>
      <c r="BI457" s="63" t="n">
        <f aca="false">IF(AND(OR(CG457="L1",CG457="L23",CG457="LIFT"),BD457&gt;0),SUMIFS($BD$7:$BD$1843,$CG$7:$CG$1843,CG457,$BH$7:$BH$1843,"&gt;"&amp;BH457)+SUMIFS($BD$7:$BD$1843,$CG$7:$CG$1843,CG457,$BH$7:$BH$1843,BH457,$BX$7:$BX$1843,"&lt;="&amp;BX457),"")</f>
        <v>13404.7526670599</v>
      </c>
      <c r="BJ457" s="70" t="n">
        <f aca="false">IF(BI457="",0,MAX(0,MIN(1,(IF(CG457="L1",Parameter!$H$5,IF(CG457="L23",Parameter!$H$6+Parameter!$H$7,Parameter!$H$5+Parameter!$H$6+Parameter!$H$7))-(BI457-BD457))/BD457)))</f>
        <v>1</v>
      </c>
      <c r="BK457" s="60" t="str">
        <f aca="false">IF(AJ457&lt;=0,"",IF(CG457="Aussen","Aussenlager",IF(CG457="-","Nicht im Lift",IF(AP457&gt;=1,"Lift",IF(AP457&lt;=0,"Aussenlager","teilweise")))))</f>
        <v>Lift</v>
      </c>
      <c r="BL457" s="60" t="str">
        <f aca="false">IF(AT457&lt;=0,"",IF(CG457="Aussen","Aussenlager",IF(CG457="-","Nicht im Lift",IF(AZ457&gt;=1,"Lift",IF(AZ457&lt;=0,"Aussenlager","teilweise")))))</f>
        <v>Lift</v>
      </c>
      <c r="BM457" s="60" t="str">
        <f aca="false">IF(BD457&lt;=0,"",IF(CG457="Aussen","Aussenlager",IF(CG457="-","Nicht im Lift",IF(BJ457&gt;=1,"Lift",IF(BJ457&lt;=0,"Aussenlager","teilweise")))))</f>
        <v>Lift</v>
      </c>
      <c r="BN457" s="60" t="str">
        <f aca="false">IF(A457="","",IF(BW457=1,"Neu; ","")&amp;IF(AND(BW457=0,BR457&lt;0),"negativer Bestand (Export "&amp;BR457&amp;"); ","")&amp;IF(J457&lt;=0,"Kein Verbrauch; ","")&amp;IF(CR457&gt;0,"Lift "&amp;W457&amp;" lt. Liftbericht (Fach "&amp;X457&amp;" Stk); ",IF(CB457=1,"Gebinde geschätzt ("&amp;T457&amp;"); ",IF(CA457=1,"Lose – Tablare geschätzt; ","")))&amp;IF(H457&gt;AW457,"Überbestand "&amp;ROUND(H457-AW457,0)&amp;" Stk / CHF "&amp;ROUND((H457-AW457)*G457,0)&amp;"; ","")&amp;IF(AND(CI457=1,CJ457&lt;CK457),"MAX &lt; MB+LG; ","")&amp;IF(AND(CQ457&gt;0,CP457*10&gt;CQ457),"zu hoch für Tablar; ","")&amp;IF(AND(BW457=0,OR(CI457=1,AB457&lt;&gt;"",U457&lt;&gt;"",V457&lt;&gt;"",AC457&lt;&gt;"")),"manuell übersteuert; ","")&amp;IF(AND(CA457=0,R457=0),"Gebinde unbekannt / Stellmass fehlt; ","")&amp;IF(AND(CA457=0,N(V457)&lt;=0,N(Q457)&lt;=0),"Menge pro Gebinde fehlt (Ist = 1 Gebinde); ","")&amp;BV457)</f>
        <v>Überbestand 2 Stk / CHF 50; Neu</v>
      </c>
      <c r="BO457" s="60"/>
      <c r="BP457" s="60"/>
      <c r="BQ457" s="67"/>
      <c r="BR457" s="62" t="n">
        <v>2</v>
      </c>
      <c r="BS457" s="62" t="n">
        <v>3</v>
      </c>
      <c r="BT457" s="61" t="n">
        <v>60.29</v>
      </c>
      <c r="BU457" s="62" t="n">
        <v>1</v>
      </c>
      <c r="BV457" s="60" t="s">
        <v>668</v>
      </c>
      <c r="BW457" s="65" t="n">
        <v>0</v>
      </c>
      <c r="BX457" s="65" t="n">
        <v>457</v>
      </c>
      <c r="BY457" s="60" t="str">
        <f aca="false">IF(U457&lt;&gt;"",UPPER(TRIM(U457)),IF(CB457=1,UPPER(VLOOKUP(T457,Parameter!$I$27:$K$29,2,0)),IF(P457="","LOSE",P457)))</f>
        <v>S51</v>
      </c>
      <c r="BZ457" s="62" t="n">
        <f aca="false">IF(BY457="LOSE",1,IF(N(V457)&gt;0,V457,IF(CB457=1,MAX(1,N(VLOOKUP(T457,Parameter!$I$27:$K$29,3,0)),H457,N(N457)),IF(N(Q457)&gt;0,Q457,MAX(1,H457)))))</f>
        <v>4</v>
      </c>
      <c r="CA457" s="65" t="n">
        <f aca="false">IF(BY457="LOSE",1,0)</f>
        <v>0</v>
      </c>
      <c r="CB457" s="65" t="n">
        <f aca="false">IF(AND(U457="",OR(P457="",P457="LOSE"),T457&lt;&gt;"",N(S457)&lt;=0,ISNUMBER(MATCH(T457,Parameter!$I$27:$I$29,0))),1,0)</f>
        <v>0</v>
      </c>
      <c r="CC457" s="65" t="n">
        <f aca="false">IF(CR457&gt;0,INDEX(Parameter!$H$5:$H$7,W457)/INDEX(Parameter!$E$5:$E$7,W457),IF(AND(CA457=0,N(IFERROR(VLOOKUP(BY457,'Gebinde-Kategorie'!$A$5:$N$45,14,0),0))&gt;0),VLOOKUP(BY457,'Gebinde-Kategorie'!$A$5:$N$45,14,0)*10+Parameter!$M$23,Parameter!$M$24))</f>
        <v>155</v>
      </c>
      <c r="CD457" s="60" t="str">
        <f aca="false">IF(AND(Parameter!$B$19="Ja",E457&lt;&gt;"",ISNUMBER(MATCH(E457,Parameter!$I$35:$I$52,0))),VLOOKUP(E457,Parameter!$I$35:$J$52,2,0),IFERROR(VLOOKUP(D457,Parameter!$A$35:$C$64,2,0),"Nein"))</f>
        <v>2+3</v>
      </c>
      <c r="CE457" s="64" t="n">
        <f aca="false">IF(CA457=0,0,IF(N(S457)&gt;0,S457,IFERROR(VLOOKUP(D457,Parameter!$A$35:$C$64,3,0)+0,0)))</f>
        <v>0</v>
      </c>
      <c r="CF457" s="60" t="n">
        <f aca="false">IF(AB457&lt;&gt;"",AB457,AA457)</f>
        <v>3</v>
      </c>
      <c r="CG457" s="60" t="str">
        <f aca="false">IF(OR(CF457=1,CF457=2,CF457=3),IF(Parameter!$E$27="Ja","LIFT",IF(CF457=1,"L1","L23")),IF(CF457="Aussen","Aussen","-"))</f>
        <v>LIFT</v>
      </c>
      <c r="CH457" s="71" t="n">
        <f aca="false">IF(N(AC457)&gt;0,AC457,0)</f>
        <v>0</v>
      </c>
      <c r="CI457" s="65" t="n">
        <f aca="false">IF(ISNUMBER(AF457),1,0)</f>
        <v>0</v>
      </c>
      <c r="CJ457" s="62" t="n">
        <f aca="false">N(AF457)</f>
        <v>0</v>
      </c>
      <c r="CK457" s="62" t="n">
        <f aca="false">N(M457)+N(N457)</f>
        <v>3</v>
      </c>
      <c r="CL457" s="62" t="n">
        <f aca="false">N(M457)</f>
        <v>2</v>
      </c>
      <c r="CM457" s="62" t="n">
        <f aca="false">N(N457)</f>
        <v>1</v>
      </c>
      <c r="CN457" s="62" t="n">
        <f aca="false">ROUNDUP(H457/BZ457,0)</f>
        <v>2</v>
      </c>
      <c r="CO457" s="62" t="n">
        <f aca="false">ROUNDUP(CJ457/BZ457,0)</f>
        <v>0</v>
      </c>
      <c r="CP457" s="65" t="n">
        <f aca="false">IF(CA457=1,0,IFERROR(VLOOKUP(BY457,'Gebinde-Kategorie'!$A$5:$N$45,5,0)+0,0))</f>
        <v>11</v>
      </c>
      <c r="CQ457" s="65" t="n">
        <f aca="false">IFERROR(IF(OR(CF457=1,CF457=2,CF457=3),N(INDEX(Parameter!$I$5:$I$7,CF457)),0),0)</f>
        <v>0</v>
      </c>
      <c r="CR457" s="64" t="n">
        <f aca="false">IF(AND(Parameter!$B$21="Ja",ISNUMBER(W457),N(X457)&gt;0),IFERROR(N(INDEX(Parameter!$L$5:$L$7,W457))*INDEX(Parameter!$E$5:$E$7,W457)*X457/SUMIFS($X$7:$X$1843,$W$7:$W$1843,W457),0),0)</f>
        <v>0</v>
      </c>
      <c r="CS457" s="62" t="n">
        <f aca="false">IF(AND(OR(CG457="L1",CG457="L23",CG457="LIFT"),H457&gt;0),CC457*IF(CR457&gt;0,CR457*MAX(1,H457/X457),IF(CA457=1,CE457,IF(R457&gt;0,CN457/R457,0))/MAX(0.1,N(Parameter!$M$21))),"")</f>
        <v>11.9230769230769</v>
      </c>
      <c r="CT457" s="64" t="n">
        <f aca="false">IF(CS457="","",J457/H457)</f>
        <v>0.2</v>
      </c>
      <c r="CU457" s="62" t="n">
        <f aca="false">IF(CS457="","",H457*G457)</f>
        <v>124.5</v>
      </c>
      <c r="CV457" s="63" t="n">
        <f aca="false">IF(CS457="","",(CL457+ROUNDUP(CL457+MAX(CM457,2*(J457/MAX(0.1,N(Einkauf!$C$6))-CL457)),0))/2)</f>
        <v>2.5</v>
      </c>
      <c r="CW457" s="62" t="n">
        <f aca="false">IF(CS457="","",MAX(0,H457-CV457)*G457)</f>
        <v>62.25</v>
      </c>
      <c r="CX457" s="62" t="n">
        <f aca="false">IF(CS457="","",CS457*MAX(0,1-CV457/H457))</f>
        <v>5.96153846153846</v>
      </c>
      <c r="CY457" s="64" t="n">
        <f aca="false">IF(CS457="","",PERCENTRANK($CS$7:$CS$1843,CS457)+PERCENTRANK($CU$7:$CU$1843,CU457)+1-PERCENTRANK($CT$7:$CT$1843,CT457))</f>
        <v>1.423</v>
      </c>
      <c r="CZ457" s="72" t="n">
        <f aca="false">IF(CS457="","",CHOOSE(MATCH(Einkauf!$C$5,Parameter!$G$23:$G$27,0),CY457,CS457,CU457,-CT457,CW457)+ROW()/1000000000)</f>
        <v>1.423000457</v>
      </c>
    </row>
    <row r="458" customFormat="false" ht="15" hidden="false" customHeight="false" outlineLevel="0" collapsed="false">
      <c r="A458" s="60" t="s">
        <v>1075</v>
      </c>
      <c r="B458" s="60" t="s">
        <v>1076</v>
      </c>
      <c r="C458" s="60" t="s">
        <v>206</v>
      </c>
      <c r="D458" s="60" t="s">
        <v>226</v>
      </c>
      <c r="E458" s="60" t="s">
        <v>227</v>
      </c>
      <c r="F458" s="60" t="s">
        <v>260</v>
      </c>
      <c r="G458" s="61" t="n">
        <v>29.6</v>
      </c>
      <c r="H458" s="62" t="n">
        <f aca="false">MAX(0,IF(AND(Parameter!$B$21="Ja",ISNUMBER(Y458)),Y458,IF(Parameter!$B$20="Jahresanfang 2025 + Export",BS458+BR458,BR458)))</f>
        <v>14</v>
      </c>
      <c r="I458" s="62" t="n">
        <f aca="false">H458*G458</f>
        <v>414.4</v>
      </c>
      <c r="J458" s="62" t="n">
        <f aca="false">BU458*Parameter!$B$18</f>
        <v>0</v>
      </c>
      <c r="K458" s="63" t="n">
        <v>12.5</v>
      </c>
      <c r="L458" s="64" t="n">
        <v>0</v>
      </c>
      <c r="M458" s="62" t="n">
        <v>0</v>
      </c>
      <c r="N458" s="62" t="n">
        <v>1</v>
      </c>
      <c r="O458" s="65" t="n">
        <v>14</v>
      </c>
      <c r="P458" s="60" t="s">
        <v>518</v>
      </c>
      <c r="Q458" s="62" t="n">
        <v>16</v>
      </c>
      <c r="R458" s="65" t="n">
        <f aca="false">IF(CA458=1,0,IFERROR(VLOOKUP(BY458,'Gebinde-Kategorie'!$A$5:$N$45,13,0)+0,0))</f>
        <v>52</v>
      </c>
      <c r="S458" s="66"/>
      <c r="T458" s="67"/>
      <c r="U458" s="67"/>
      <c r="V458" s="67"/>
      <c r="W458" s="60"/>
      <c r="X458" s="62"/>
      <c r="Y458" s="62"/>
      <c r="Z458" s="60" t="n">
        <v>3</v>
      </c>
      <c r="AA458" s="60" t="n">
        <f aca="false">IF(A458="","",IF(AND(Parameter!$B$21="Ja",ISNUMBER(W458)),W458,IF(AND(Parameter!$E$27="Ja",ISNUMBER(Z458),CD458&lt;&gt;"Nein"),Z458,IF(CD458="2+3",IF(ISNUMBER(SEARCH("grosser Artikel",BV458)),2,IFERROR(VLOOKUP(BY458,Parameter!$F$35:$G$64,2,0),2)),IF(OR(CD458="Nein",CD458=""),"-",CD458)))))</f>
        <v>3</v>
      </c>
      <c r="AB458" s="67"/>
      <c r="AC458" s="68"/>
      <c r="AD458" s="62" t="n">
        <f aca="false">AW458</f>
        <v>1</v>
      </c>
      <c r="AE458" s="62" t="n">
        <f aca="false">MAX(AW458,H458)</f>
        <v>14</v>
      </c>
      <c r="AF458" s="69"/>
      <c r="AG458" s="62" t="n">
        <f aca="false">IF(LEFT(Cockpit!$C$5,1)="A",H458,IF(Parameter!$E$30="MAX-Bestand",IF(CI458=1,CJ458,IF(LEFT(Cockpit!$C$5,1)="B",AM458,MAX(AM458,H458))),ROUNDUP(AK458,0)))</f>
        <v>14</v>
      </c>
      <c r="AH458" s="62" t="n">
        <f aca="false">IF(CA458=1,0,ROUNDUP(AG458/BZ458,0))</f>
        <v>1</v>
      </c>
      <c r="AI458" s="64" t="n">
        <f aca="false">IF(CR458&gt;0,CR458*MAX(1,AG458/X458),IF(CA458=1,IF(AG458&lt;=0,0,CE458*MAX(1,IF(H458&gt;0,AG458/H458,1))),IF(R458&gt;0,AH458/R458,0))/MAX(0.1,N(Parameter!$M$21)))</f>
        <v>0.0192307692307692</v>
      </c>
      <c r="AJ458" s="62" t="n">
        <f aca="false">AI458*CC458</f>
        <v>2.98076923076923</v>
      </c>
      <c r="AK458" s="63" t="n">
        <f aca="false">IF(LEFT(Cockpit!$C$5,1)="A",H458,IF(CI458=1,(CL458+CJ458)/2,IF(LEFT(Cockpit!$C$5,1)="B",(CL458+AM458)/2,MAX((CL458+AM458)/2,H458))))</f>
        <v>14</v>
      </c>
      <c r="AL458" s="62" t="n">
        <f aca="false">AK458*G458</f>
        <v>414.4</v>
      </c>
      <c r="AM458" s="62" t="n">
        <f aca="false">ROUNDUP(CL458+MAX(CM458,2*(J458/IF(CH458&gt;0,CH458,MAX(0.1,N(Cockpit!$C$6)))-CL458)),0)</f>
        <v>1</v>
      </c>
      <c r="AN458" s="63" t="n">
        <f aca="false">IF(AJ458&gt;0,J458/AJ458,-1)</f>
        <v>0</v>
      </c>
      <c r="AO458" s="63" t="n">
        <f aca="false">IF(AND(OR(CG458="L1",CG458="L23",CG458="LIFT"),AJ458&gt;0),SUMIFS($AJ$7:$AJ$1843,$CG$7:$CG$1843,CG458,$AN$7:$AN$1843,"&gt;"&amp;AN458)+SUMIFS($AJ$7:$AJ$1843,$CG$7:$CG$1843,CG458,$AN$7:$AN$1843,AN458,$BX$7:$BX$1843,"&lt;="&amp;BX458),"")</f>
        <v>28147.1691241903</v>
      </c>
      <c r="AP458" s="70" t="n">
        <f aca="false">IF(AO458="",0,MAX(0,MIN(1,(IF(CG458="L1",Parameter!$H$5,IF(CG458="L23",Parameter!$H$6+Parameter!$H$7,Parameter!$H$5+Parameter!$H$6+Parameter!$H$7))-(AO458-AJ458))/AJ458)))</f>
        <v>1</v>
      </c>
      <c r="AQ458" s="62" t="n">
        <f aca="false">IF(LEFT(Cockpit!$I$5,1)="A",H458,IF(Parameter!$E$30="MAX-Bestand",IF(CI458=1,CJ458,IF(LEFT(Cockpit!$I$5,1)="B",AW458,MAX(AW458,H458))),ROUNDUP(AU458,0)))</f>
        <v>14</v>
      </c>
      <c r="AR458" s="62" t="n">
        <f aca="false">IF(CA458=1,0,ROUNDUP(AQ458/BZ458,0))</f>
        <v>1</v>
      </c>
      <c r="AS458" s="64" t="n">
        <f aca="false">IF(CR458&gt;0,CR458*MAX(1,AQ458/X458),IF(CA458=1,IF(AQ458&lt;=0,0,CE458*MAX(1,IF(H458&gt;0,AQ458/H458,1))),IF(R458&gt;0,AR458/R458,0))/MAX(0.1,N(Parameter!$M$21)))</f>
        <v>0.0192307692307692</v>
      </c>
      <c r="AT458" s="62" t="n">
        <f aca="false">AS458*CC458</f>
        <v>2.98076923076923</v>
      </c>
      <c r="AU458" s="63" t="n">
        <f aca="false">IF(LEFT(Cockpit!$I$5,1)="A",H458,IF(CI458=1,(CL458+CJ458)/2,IF(LEFT(Cockpit!$I$5,1)="B",(CL458+AW458)/2,MAX((CL458+AW458)/2,H458))))</f>
        <v>14</v>
      </c>
      <c r="AV458" s="62" t="n">
        <f aca="false">AU458*G458</f>
        <v>414.4</v>
      </c>
      <c r="AW458" s="62" t="n">
        <f aca="false">ROUNDUP(CL458+MAX(CM458,2*(J458/IF(CH458&gt;0,CH458,MAX(0.1,N(Cockpit!$I$6)))-CL458)),0)</f>
        <v>1</v>
      </c>
      <c r="AX458" s="63" t="n">
        <f aca="false">IF(AT458&gt;0,J458/AT458,-1)</f>
        <v>0</v>
      </c>
      <c r="AY458" s="63" t="n">
        <f aca="false">IF(AND(OR(CG458="L1",CG458="L23",CG458="LIFT"),AT458&gt;0),SUMIFS($AT$7:$AT$1843,$CG$7:$CG$1843,CG458,$AX$7:$AX$1843,"&gt;"&amp;AX458)+SUMIFS($AT$7:$AT$1843,$CG$7:$CG$1843,CG458,$AX$7:$AX$1843,AX458,$BX$7:$BX$1843,"&lt;="&amp;BX458),"")</f>
        <v>33500.3177655678</v>
      </c>
      <c r="AZ458" s="70" t="n">
        <f aca="false">IF(AY458="",0,MAX(0,MIN(1,(IF(CG458="L1",Parameter!$H$5,IF(CG458="L23",Parameter!$H$6+Parameter!$H$7,Parameter!$H$5+Parameter!$H$6+Parameter!$H$7))-(AY458-AT458))/AT458)))</f>
        <v>1</v>
      </c>
      <c r="BA458" s="62" t="n">
        <f aca="false">IF(LEFT(Cockpit!$O$5,1)="A",H458,IF(Parameter!$E$30="MAX-Bestand",IF(CI458=1,CJ458,IF(LEFT(Cockpit!$O$5,1)="B",BG458,MAX(BG458,H458))),ROUNDUP(BE458,0)))</f>
        <v>1</v>
      </c>
      <c r="BB458" s="62" t="n">
        <f aca="false">IF(CA458=1,0,ROUNDUP(BA458/BZ458,0))</f>
        <v>1</v>
      </c>
      <c r="BC458" s="64" t="n">
        <f aca="false">IF(CR458&gt;0,CR458*MAX(1,BA458/X458),IF(CA458=1,IF(BA458&lt;=0,0,CE458*MAX(1,IF(H458&gt;0,BA458/H458,1))),IF(R458&gt;0,BB458/R458,0))/MAX(0.1,N(Parameter!$M$21)))</f>
        <v>0.0192307692307692</v>
      </c>
      <c r="BD458" s="62" t="n">
        <f aca="false">BC458*CC458</f>
        <v>2.98076923076923</v>
      </c>
      <c r="BE458" s="63" t="n">
        <f aca="false">IF(LEFT(Cockpit!$O$5,1)="A",H458,IF(CI458=1,(CL458+CJ458)/2,IF(LEFT(Cockpit!$O$5,1)="B",(CL458+BG458)/2,MAX((CL458+BG458)/2,H458))))</f>
        <v>0.5</v>
      </c>
      <c r="BF458" s="62" t="n">
        <f aca="false">BE458*G458</f>
        <v>14.8</v>
      </c>
      <c r="BG458" s="62" t="n">
        <f aca="false">ROUNDUP(CL458+MAX(CM458,2*(J458/IF(CH458&gt;0,CH458,MAX(0.1,N(Cockpit!$O$6)))-CL458)),0)</f>
        <v>1</v>
      </c>
      <c r="BH458" s="63" t="n">
        <f aca="false">IF(BD458&gt;0,J458/BD458,-1)</f>
        <v>0</v>
      </c>
      <c r="BI458" s="63" t="n">
        <f aca="false">IF(AND(OR(CG458="L1",CG458="L23",CG458="LIFT"),BD458&gt;0),SUMIFS($BD$7:$BD$1843,$CG$7:$CG$1843,CG458,$BH$7:$BH$1843,"&gt;"&amp;BH458)+SUMIFS($BD$7:$BD$1843,$CG$7:$CG$1843,CG458,$BH$7:$BH$1843,BH458,$BX$7:$BX$1843,"&lt;="&amp;BX458),"")</f>
        <v>27607.5525392686</v>
      </c>
      <c r="BJ458" s="70" t="n">
        <f aca="false">IF(BI458="",0,MAX(0,MIN(1,(IF(CG458="L1",Parameter!$H$5,IF(CG458="L23",Parameter!$H$6+Parameter!$H$7,Parameter!$H$5+Parameter!$H$6+Parameter!$H$7))-(BI458-BD458))/BD458)))</f>
        <v>1</v>
      </c>
      <c r="BK458" s="60" t="str">
        <f aca="false">IF(AJ458&lt;=0,"",IF(CG458="Aussen","Aussenlager",IF(CG458="-","Nicht im Lift",IF(AP458&gt;=1,"Lift",IF(AP458&lt;=0,"Aussenlager","teilweise")))))</f>
        <v>Lift</v>
      </c>
      <c r="BL458" s="60" t="str">
        <f aca="false">IF(AT458&lt;=0,"",IF(CG458="Aussen","Aussenlager",IF(CG458="-","Nicht im Lift",IF(AZ458&gt;=1,"Lift",IF(AZ458&lt;=0,"Aussenlager","teilweise")))))</f>
        <v>Lift</v>
      </c>
      <c r="BM458" s="60" t="str">
        <f aca="false">IF(BD458&lt;=0,"",IF(CG458="Aussen","Aussenlager",IF(CG458="-","Nicht im Lift",IF(BJ458&gt;=1,"Lift",IF(BJ458&lt;=0,"Aussenlager","teilweise")))))</f>
        <v>Lift</v>
      </c>
      <c r="BN458" s="60" t="str">
        <f aca="false">IF(A458="","",IF(BW458=1,"Neu; ","")&amp;IF(AND(BW458=0,BR458&lt;0),"negativer Bestand (Export "&amp;BR458&amp;"); ","")&amp;IF(J458&lt;=0,"Kein Verbrauch; ","")&amp;IF(CR458&gt;0,"Lift "&amp;W458&amp;" lt. Liftbericht (Fach "&amp;X458&amp;" Stk); ",IF(CB458=1,"Gebinde geschätzt ("&amp;T458&amp;"); ",IF(CA458=1,"Lose – Tablare geschätzt; ","")))&amp;IF(H458&gt;AW458,"Überbestand "&amp;ROUND(H458-AW458,0)&amp;" Stk / CHF "&amp;ROUND((H458-AW458)*G458,0)&amp;"; ","")&amp;IF(AND(CI458=1,CJ458&lt;CK458),"MAX &lt; MB+LG; ","")&amp;IF(AND(CQ458&gt;0,CP458*10&gt;CQ458),"zu hoch für Tablar; ","")&amp;IF(AND(BW458=0,OR(CI458=1,AB458&lt;&gt;"",U458&lt;&gt;"",V458&lt;&gt;"",AC458&lt;&gt;"")),"manuell übersteuert; ","")&amp;IF(AND(CA458=0,R458=0),"Gebinde unbekannt / Stellmass fehlt; ","")&amp;IF(AND(CA458=0,N(V458)&lt;=0,N(Q458)&lt;=0),"Menge pro Gebinde fehlt (Ist = 1 Gebinde); ","")&amp;BV458)</f>
        <v>Kein Verbrauch; Überbestand 13 Stk / CHF 385; Überbestand</v>
      </c>
      <c r="BO458" s="60"/>
      <c r="BP458" s="60"/>
      <c r="BQ458" s="67"/>
      <c r="BR458" s="62" t="n">
        <v>2</v>
      </c>
      <c r="BS458" s="62" t="n">
        <v>12</v>
      </c>
      <c r="BT458" s="61" t="n">
        <v>59.2</v>
      </c>
      <c r="BU458" s="62" t="n">
        <v>0</v>
      </c>
      <c r="BV458" s="60" t="s">
        <v>434</v>
      </c>
      <c r="BW458" s="65" t="n">
        <v>0</v>
      </c>
      <c r="BX458" s="65" t="n">
        <v>458</v>
      </c>
      <c r="BY458" s="60" t="str">
        <f aca="false">IF(U458&lt;&gt;"",UPPER(TRIM(U458)),IF(CB458=1,UPPER(VLOOKUP(T458,Parameter!$I$27:$K$29,2,0)),IF(P458="","LOSE",P458)))</f>
        <v>S33</v>
      </c>
      <c r="BZ458" s="62" t="n">
        <f aca="false">IF(BY458="LOSE",1,IF(N(V458)&gt;0,V458,IF(CB458=1,MAX(1,N(VLOOKUP(T458,Parameter!$I$27:$K$29,3,0)),H458,N(N458)),IF(N(Q458)&gt;0,Q458,MAX(1,H458)))))</f>
        <v>16</v>
      </c>
      <c r="CA458" s="65" t="n">
        <f aca="false">IF(BY458="LOSE",1,0)</f>
        <v>0</v>
      </c>
      <c r="CB458" s="65" t="n">
        <f aca="false">IF(AND(U458="",OR(P458="",P458="LOSE"),T458&lt;&gt;"",N(S458)&lt;=0,ISNUMBER(MATCH(T458,Parameter!$I$27:$I$29,0))),1,0)</f>
        <v>0</v>
      </c>
      <c r="CC458" s="65" t="n">
        <f aca="false">IF(CR458&gt;0,INDEX(Parameter!$H$5:$H$7,W458)/INDEX(Parameter!$E$5:$E$7,W458),IF(AND(CA458=0,N(IFERROR(VLOOKUP(BY458,'Gebinde-Kategorie'!$A$5:$N$45,14,0),0))&gt;0),VLOOKUP(BY458,'Gebinde-Kategorie'!$A$5:$N$45,14,0)*10+Parameter!$M$23,Parameter!$M$24))</f>
        <v>155</v>
      </c>
      <c r="CD458" s="60" t="str">
        <f aca="false">IF(AND(Parameter!$B$19="Ja",E458&lt;&gt;"",ISNUMBER(MATCH(E458,Parameter!$I$35:$I$52,0))),VLOOKUP(E458,Parameter!$I$35:$J$52,2,0),IFERROR(VLOOKUP(D458,Parameter!$A$35:$C$64,2,0),"Nein"))</f>
        <v>2+3</v>
      </c>
      <c r="CE458" s="64" t="n">
        <f aca="false">IF(CA458=0,0,IF(N(S458)&gt;0,S458,IFERROR(VLOOKUP(D458,Parameter!$A$35:$C$64,3,0)+0,0)))</f>
        <v>0</v>
      </c>
      <c r="CF458" s="60" t="n">
        <f aca="false">IF(AB458&lt;&gt;"",AB458,AA458)</f>
        <v>3</v>
      </c>
      <c r="CG458" s="60" t="str">
        <f aca="false">IF(OR(CF458=1,CF458=2,CF458=3),IF(Parameter!$E$27="Ja","LIFT",IF(CF458=1,"L1","L23")),IF(CF458="Aussen","Aussen","-"))</f>
        <v>LIFT</v>
      </c>
      <c r="CH458" s="71" t="n">
        <f aca="false">IF(N(AC458)&gt;0,AC458,0)</f>
        <v>0</v>
      </c>
      <c r="CI458" s="65" t="n">
        <f aca="false">IF(ISNUMBER(AF458),1,0)</f>
        <v>0</v>
      </c>
      <c r="CJ458" s="62" t="n">
        <f aca="false">N(AF458)</f>
        <v>0</v>
      </c>
      <c r="CK458" s="62" t="n">
        <f aca="false">N(M458)+N(N458)</f>
        <v>1</v>
      </c>
      <c r="CL458" s="62" t="n">
        <f aca="false">N(M458)</f>
        <v>0</v>
      </c>
      <c r="CM458" s="62" t="n">
        <f aca="false">N(N458)</f>
        <v>1</v>
      </c>
      <c r="CN458" s="62" t="n">
        <f aca="false">ROUNDUP(H458/BZ458,0)</f>
        <v>1</v>
      </c>
      <c r="CO458" s="62" t="n">
        <f aca="false">ROUNDUP(CJ458/BZ458,0)</f>
        <v>0</v>
      </c>
      <c r="CP458" s="65" t="n">
        <f aca="false">IF(CA458=1,0,IFERROR(VLOOKUP(BY458,'Gebinde-Kategorie'!$A$5:$N$45,5,0)+0,0))</f>
        <v>8</v>
      </c>
      <c r="CQ458" s="65" t="n">
        <f aca="false">IFERROR(IF(OR(CF458=1,CF458=2,CF458=3),N(INDEX(Parameter!$I$5:$I$7,CF458)),0),0)</f>
        <v>0</v>
      </c>
      <c r="CR458" s="64" t="n">
        <f aca="false">IF(AND(Parameter!$B$21="Ja",ISNUMBER(W458),N(X458)&gt;0),IFERROR(N(INDEX(Parameter!$L$5:$L$7,W458))*INDEX(Parameter!$E$5:$E$7,W458)*X458/SUMIFS($X$7:$X$1843,$W$7:$W$1843,W458),0),0)</f>
        <v>0</v>
      </c>
      <c r="CS458" s="62" t="n">
        <f aca="false">IF(AND(OR(CG458="L1",CG458="L23",CG458="LIFT"),H458&gt;0),CC458*IF(CR458&gt;0,CR458*MAX(1,H458/X458),IF(CA458=1,CE458,IF(R458&gt;0,CN458/R458,0))/MAX(0.1,N(Parameter!$M$21))),"")</f>
        <v>2.98076923076923</v>
      </c>
      <c r="CT458" s="64" t="n">
        <f aca="false">IF(CS458="","",J458/H458)</f>
        <v>0</v>
      </c>
      <c r="CU458" s="62" t="n">
        <f aca="false">IF(CS458="","",H458*G458)</f>
        <v>414.4</v>
      </c>
      <c r="CV458" s="63" t="n">
        <f aca="false">IF(CS458="","",(CL458+ROUNDUP(CL458+MAX(CM458,2*(J458/MAX(0.1,N(Einkauf!$C$6))-CL458)),0))/2)</f>
        <v>0.5</v>
      </c>
      <c r="CW458" s="62" t="n">
        <f aca="false">IF(CS458="","",MAX(0,H458-CV458)*G458)</f>
        <v>399.6</v>
      </c>
      <c r="CX458" s="62" t="n">
        <f aca="false">IF(CS458="","",CS458*MAX(0,1-CV458/H458))</f>
        <v>2.87431318681319</v>
      </c>
      <c r="CY458" s="64" t="n">
        <f aca="false">IF(CS458="","",PERCENTRANK($CS$7:$CS$1843,CS458)+PERCENTRANK($CU$7:$CU$1843,CU458)+1-PERCENTRANK($CT$7:$CT$1843,CT458))</f>
        <v>1.694</v>
      </c>
      <c r="CZ458" s="72" t="n">
        <f aca="false">IF(CS458="","",CHOOSE(MATCH(Einkauf!$C$5,Parameter!$G$23:$G$27,0),CY458,CS458,CU458,-CT458,CW458)+ROW()/1000000000)</f>
        <v>1.694000458</v>
      </c>
    </row>
    <row r="459" customFormat="false" ht="15" hidden="false" customHeight="false" outlineLevel="0" collapsed="false">
      <c r="A459" s="60" t="s">
        <v>1077</v>
      </c>
      <c r="B459" s="60" t="s">
        <v>1078</v>
      </c>
      <c r="C459" s="60" t="s">
        <v>206</v>
      </c>
      <c r="D459" s="60" t="s">
        <v>226</v>
      </c>
      <c r="E459" s="60" t="s">
        <v>227</v>
      </c>
      <c r="F459" s="60" t="s">
        <v>260</v>
      </c>
      <c r="G459" s="61" t="n">
        <v>0.09</v>
      </c>
      <c r="H459" s="62" t="n">
        <f aca="false">MAX(0,IF(AND(Parameter!$B$21="Ja",ISNUMBER(Y459)),Y459,IF(Parameter!$B$20="Jahresanfang 2025 + Export",BS459+BR459,BR459)))</f>
        <v>1451</v>
      </c>
      <c r="I459" s="62" t="n">
        <f aca="false">H459*G459</f>
        <v>130.59</v>
      </c>
      <c r="J459" s="62" t="n">
        <f aca="false">BU459*Parameter!$B$18</f>
        <v>100</v>
      </c>
      <c r="K459" s="63" t="n">
        <v>1405</v>
      </c>
      <c r="L459" s="64" t="n">
        <v>0.0711743772241993</v>
      </c>
      <c r="M459" s="62" t="n">
        <v>5</v>
      </c>
      <c r="N459" s="62" t="n">
        <v>100</v>
      </c>
      <c r="O459" s="65" t="n">
        <v>21</v>
      </c>
      <c r="P459" s="60" t="s">
        <v>344</v>
      </c>
      <c r="Q459" s="62" t="n">
        <v>2900</v>
      </c>
      <c r="R459" s="65" t="n">
        <f aca="false">IF(CA459=1,0,IFERROR(VLOOKUP(BY459,'Gebinde-Kategorie'!$A$5:$N$45,13,0)+0,0))</f>
        <v>26</v>
      </c>
      <c r="S459" s="66"/>
      <c r="T459" s="67"/>
      <c r="U459" s="67"/>
      <c r="V459" s="67"/>
      <c r="W459" s="60"/>
      <c r="X459" s="62"/>
      <c r="Y459" s="62"/>
      <c r="Z459" s="60" t="n">
        <v>3</v>
      </c>
      <c r="AA459" s="60" t="n">
        <f aca="false">IF(A459="","",IF(AND(Parameter!$B$21="Ja",ISNUMBER(W459)),W459,IF(AND(Parameter!$E$27="Ja",ISNUMBER(Z459),CD459&lt;&gt;"Nein"),Z459,IF(CD459="2+3",IF(ISNUMBER(SEARCH("grosser Artikel",BV459)),2,IFERROR(VLOOKUP(BY459,Parameter!$F$35:$G$64,2,0),2)),IF(OR(CD459="Nein",CD459=""),"-",CD459)))))</f>
        <v>3</v>
      </c>
      <c r="AB459" s="67"/>
      <c r="AC459" s="68"/>
      <c r="AD459" s="62" t="n">
        <f aca="false">AW459</f>
        <v>105</v>
      </c>
      <c r="AE459" s="62" t="n">
        <f aca="false">MAX(AW459,H459)</f>
        <v>1451</v>
      </c>
      <c r="AF459" s="69"/>
      <c r="AG459" s="62" t="n">
        <f aca="false">IF(LEFT(Cockpit!$C$5,1)="A",H459,IF(Parameter!$E$30="MAX-Bestand",IF(CI459=1,CJ459,IF(LEFT(Cockpit!$C$5,1)="B",AM459,MAX(AM459,H459))),ROUNDUP(AK459,0)))</f>
        <v>1451</v>
      </c>
      <c r="AH459" s="62" t="n">
        <f aca="false">IF(CA459=1,0,ROUNDUP(AG459/BZ459,0))</f>
        <v>1</v>
      </c>
      <c r="AI459" s="64" t="n">
        <f aca="false">IF(CR459&gt;0,CR459*MAX(1,AG459/X459),IF(CA459=1,IF(AG459&lt;=0,0,CE459*MAX(1,IF(H459&gt;0,AG459/H459,1))),IF(R459&gt;0,AH459/R459,0))/MAX(0.1,N(Parameter!$M$21)))</f>
        <v>0.0384615384615385</v>
      </c>
      <c r="AJ459" s="62" t="n">
        <f aca="false">AI459*CC459</f>
        <v>5.96153846153846</v>
      </c>
      <c r="AK459" s="63" t="n">
        <f aca="false">IF(LEFT(Cockpit!$C$5,1)="A",H459,IF(CI459=1,(CL459+CJ459)/2,IF(LEFT(Cockpit!$C$5,1)="B",(CL459+AM459)/2,MAX((CL459+AM459)/2,H459))))</f>
        <v>1451</v>
      </c>
      <c r="AL459" s="62" t="n">
        <f aca="false">AK459*G459</f>
        <v>130.59</v>
      </c>
      <c r="AM459" s="62" t="n">
        <f aca="false">ROUNDUP(CL459+MAX(CM459,2*(J459/IF(CH459&gt;0,CH459,MAX(0.1,N(Cockpit!$C$6)))-CL459)),0)</f>
        <v>105</v>
      </c>
      <c r="AN459" s="63" t="n">
        <f aca="false">IF(AJ459&gt;0,J459/AJ459,-1)</f>
        <v>16.7741935483871</v>
      </c>
      <c r="AO459" s="63" t="n">
        <f aca="false">IF(AND(OR(CG459="L1",CG459="L23",CG459="LIFT"),AJ459&gt;0),SUMIFS($AJ$7:$AJ$1843,$CG$7:$CG$1843,CG459,$AN$7:$AN$1843,"&gt;"&amp;AN459)+SUMIFS($AJ$7:$AJ$1843,$CG$7:$CG$1843,CG459,$AN$7:$AN$1843,AN459,$BX$7:$BX$1843,"&lt;="&amp;BX459),"")</f>
        <v>2015.69505494506</v>
      </c>
      <c r="AP459" s="70" t="n">
        <f aca="false">IF(AO459="",0,MAX(0,MIN(1,(IF(CG459="L1",Parameter!$H$5,IF(CG459="L23",Parameter!$H$6+Parameter!$H$7,Parameter!$H$5+Parameter!$H$6+Parameter!$H$7))-(AO459-AJ459))/AJ459)))</f>
        <v>1</v>
      </c>
      <c r="AQ459" s="62" t="n">
        <f aca="false">IF(LEFT(Cockpit!$I$5,1)="A",H459,IF(Parameter!$E$30="MAX-Bestand",IF(CI459=1,CJ459,IF(LEFT(Cockpit!$I$5,1)="B",AW459,MAX(AW459,H459))),ROUNDUP(AU459,0)))</f>
        <v>1451</v>
      </c>
      <c r="AR459" s="62" t="n">
        <f aca="false">IF(CA459=1,0,ROUNDUP(AQ459/BZ459,0))</f>
        <v>1</v>
      </c>
      <c r="AS459" s="64" t="n">
        <f aca="false">IF(CR459&gt;0,CR459*MAX(1,AQ459/X459),IF(CA459=1,IF(AQ459&lt;=0,0,CE459*MAX(1,IF(H459&gt;0,AQ459/H459,1))),IF(R459&gt;0,AR459/R459,0))/MAX(0.1,N(Parameter!$M$21)))</f>
        <v>0.0384615384615385</v>
      </c>
      <c r="AT459" s="62" t="n">
        <f aca="false">AS459*CC459</f>
        <v>5.96153846153846</v>
      </c>
      <c r="AU459" s="63" t="n">
        <f aca="false">IF(LEFT(Cockpit!$I$5,1)="A",H459,IF(CI459=1,(CL459+CJ459)/2,IF(LEFT(Cockpit!$I$5,1)="B",(CL459+AW459)/2,MAX((CL459+AW459)/2,H459))))</f>
        <v>1451</v>
      </c>
      <c r="AV459" s="62" t="n">
        <f aca="false">AU459*G459</f>
        <v>130.59</v>
      </c>
      <c r="AW459" s="62" t="n">
        <f aca="false">ROUNDUP(CL459+MAX(CM459,2*(J459/IF(CH459&gt;0,CH459,MAX(0.1,N(Cockpit!$I$6)))-CL459)),0)</f>
        <v>105</v>
      </c>
      <c r="AX459" s="63" t="n">
        <f aca="false">IF(AT459&gt;0,J459/AT459,-1)</f>
        <v>16.7741935483871</v>
      </c>
      <c r="AY459" s="63" t="n">
        <f aca="false">IF(AND(OR(CG459="L1",CG459="L23",CG459="LIFT"),AT459&gt;0),SUMIFS($AT$7:$AT$1843,$CG$7:$CG$1843,CG459,$AX$7:$AX$1843,"&gt;"&amp;AX459)+SUMIFS($AT$7:$AT$1843,$CG$7:$CG$1843,CG459,$AX$7:$AX$1843,AX459,$BX$7:$BX$1843,"&lt;="&amp;BX459),"")</f>
        <v>2652.81593406593</v>
      </c>
      <c r="AZ459" s="70" t="n">
        <f aca="false">IF(AY459="",0,MAX(0,MIN(1,(IF(CG459="L1",Parameter!$H$5,IF(CG459="L23",Parameter!$H$6+Parameter!$H$7,Parameter!$H$5+Parameter!$H$6+Parameter!$H$7))-(AY459-AT459))/AT459)))</f>
        <v>1</v>
      </c>
      <c r="BA459" s="62" t="n">
        <f aca="false">IF(LEFT(Cockpit!$O$5,1)="A",H459,IF(Parameter!$E$30="MAX-Bestand",IF(CI459=1,CJ459,IF(LEFT(Cockpit!$O$5,1)="B",BG459,MAX(BG459,H459))),ROUNDUP(BE459,0)))</f>
        <v>55</v>
      </c>
      <c r="BB459" s="62" t="n">
        <f aca="false">IF(CA459=1,0,ROUNDUP(BA459/BZ459,0))</f>
        <v>1</v>
      </c>
      <c r="BC459" s="64" t="n">
        <f aca="false">IF(CR459&gt;0,CR459*MAX(1,BA459/X459),IF(CA459=1,IF(BA459&lt;=0,0,CE459*MAX(1,IF(H459&gt;0,BA459/H459,1))),IF(R459&gt;0,BB459/R459,0))/MAX(0.1,N(Parameter!$M$21)))</f>
        <v>0.0384615384615385</v>
      </c>
      <c r="BD459" s="62" t="n">
        <f aca="false">BC459*CC459</f>
        <v>5.96153846153846</v>
      </c>
      <c r="BE459" s="63" t="n">
        <f aca="false">IF(LEFT(Cockpit!$O$5,1)="A",H459,IF(CI459=1,(CL459+CJ459)/2,IF(LEFT(Cockpit!$O$5,1)="B",(CL459+BG459)/2,MAX((CL459+BG459)/2,H459))))</f>
        <v>55</v>
      </c>
      <c r="BF459" s="62" t="n">
        <f aca="false">BE459*G459</f>
        <v>4.95</v>
      </c>
      <c r="BG459" s="62" t="n">
        <f aca="false">ROUNDUP(CL459+MAX(CM459,2*(J459/IF(CH459&gt;0,CH459,MAX(0.1,N(Cockpit!$O$6)))-CL459)),0)</f>
        <v>105</v>
      </c>
      <c r="BH459" s="63" t="n">
        <f aca="false">IF(BD459&gt;0,J459/BD459,-1)</f>
        <v>16.7741935483871</v>
      </c>
      <c r="BI459" s="63" t="n">
        <f aca="false">IF(AND(OR(CG459="L1",CG459="L23",CG459="LIFT"),BD459&gt;0),SUMIFS($BD$7:$BD$1843,$CG$7:$CG$1843,CG459,$BH$7:$BH$1843,"&gt;"&amp;BH459)+SUMIFS($BD$7:$BD$1843,$CG$7:$CG$1843,CG459,$BH$7:$BH$1843,BH459,$BX$7:$BX$1843,"&lt;="&amp;BX459),"")</f>
        <v>2338.83379120879</v>
      </c>
      <c r="BJ459" s="70" t="n">
        <f aca="false">IF(BI459="",0,MAX(0,MIN(1,(IF(CG459="L1",Parameter!$H$5,IF(CG459="L23",Parameter!$H$6+Parameter!$H$7,Parameter!$H$5+Parameter!$H$6+Parameter!$H$7))-(BI459-BD459))/BD459)))</f>
        <v>1</v>
      </c>
      <c r="BK459" s="60" t="str">
        <f aca="false">IF(AJ459&lt;=0,"",IF(CG459="Aussen","Aussenlager",IF(CG459="-","Nicht im Lift",IF(AP459&gt;=1,"Lift",IF(AP459&lt;=0,"Aussenlager","teilweise")))))</f>
        <v>Lift</v>
      </c>
      <c r="BL459" s="60" t="str">
        <f aca="false">IF(AT459&lt;=0,"",IF(CG459="Aussen","Aussenlager",IF(CG459="-","Nicht im Lift",IF(AZ459&gt;=1,"Lift",IF(AZ459&lt;=0,"Aussenlager","teilweise")))))</f>
        <v>Lift</v>
      </c>
      <c r="BM459" s="60" t="str">
        <f aca="false">IF(BD459&lt;=0,"",IF(CG459="Aussen","Aussenlager",IF(CG459="-","Nicht im Lift",IF(BJ459&gt;=1,"Lift",IF(BJ459&lt;=0,"Aussenlager","teilweise")))))</f>
        <v>Lift</v>
      </c>
      <c r="BN459" s="60" t="str">
        <f aca="false">IF(A459="","",IF(BW459=1,"Neu; ","")&amp;IF(AND(BW459=0,BR459&lt;0),"negativer Bestand (Export "&amp;BR459&amp;"); ","")&amp;IF(J459&lt;=0,"Kein Verbrauch; ","")&amp;IF(CR459&gt;0,"Lift "&amp;W459&amp;" lt. Liftbericht (Fach "&amp;X459&amp;" Stk); ",IF(CB459=1,"Gebinde geschätzt ("&amp;T459&amp;"); ",IF(CA459=1,"Lose – Tablare geschätzt; ","")))&amp;IF(H459&gt;AW459,"Überbestand "&amp;ROUND(H459-AW459,0)&amp;" Stk / CHF "&amp;ROUND((H459-AW459)*G459,0)&amp;"; ","")&amp;IF(AND(CI459=1,CJ459&lt;CK459),"MAX &lt; MB+LG; ","")&amp;IF(AND(CQ459&gt;0,CP459*10&gt;CQ459),"zu hoch für Tablar; ","")&amp;IF(AND(BW459=0,OR(CI459=1,AB459&lt;&gt;"",U459&lt;&gt;"",V459&lt;&gt;"",AC459&lt;&gt;"")),"manuell übersteuert; ","")&amp;IF(AND(CA459=0,R459=0),"Gebinde unbekannt / Stellmass fehlt; ","")&amp;IF(AND(CA459=0,N(V459)&lt;=0,N(Q459)&lt;=0),"Menge pro Gebinde fehlt (Ist = 1 Gebinde); ","")&amp;BV459)</f>
        <v>negativer Bestand (Export -349); Überbestand 1346 Stk / CHF 121; Verb.Lager</v>
      </c>
      <c r="BO459" s="60"/>
      <c r="BP459" s="60"/>
      <c r="BQ459" s="67"/>
      <c r="BR459" s="62" t="n">
        <v>-349</v>
      </c>
      <c r="BS459" s="62" t="n">
        <v>1800</v>
      </c>
      <c r="BT459" s="61" t="n">
        <v>58.59</v>
      </c>
      <c r="BU459" s="62" t="n">
        <v>100</v>
      </c>
      <c r="BV459" s="60" t="s">
        <v>1072</v>
      </c>
      <c r="BW459" s="65" t="n">
        <v>0</v>
      </c>
      <c r="BX459" s="65" t="n">
        <v>459</v>
      </c>
      <c r="BY459" s="60" t="str">
        <f aca="false">IF(U459&lt;&gt;"",UPPER(TRIM(U459)),IF(CB459=1,UPPER(VLOOKUP(T459,Parameter!$I$27:$K$29,2,0)),IF(P459="","LOSE",P459)))</f>
        <v>S51</v>
      </c>
      <c r="BZ459" s="62" t="n">
        <f aca="false">IF(BY459="LOSE",1,IF(N(V459)&gt;0,V459,IF(CB459=1,MAX(1,N(VLOOKUP(T459,Parameter!$I$27:$K$29,3,0)),H459,N(N459)),IF(N(Q459)&gt;0,Q459,MAX(1,H459)))))</f>
        <v>2900</v>
      </c>
      <c r="CA459" s="65" t="n">
        <f aca="false">IF(BY459="LOSE",1,0)</f>
        <v>0</v>
      </c>
      <c r="CB459" s="65" t="n">
        <f aca="false">IF(AND(U459="",OR(P459="",P459="LOSE"),T459&lt;&gt;"",N(S459)&lt;=0,ISNUMBER(MATCH(T459,Parameter!$I$27:$I$29,0))),1,0)</f>
        <v>0</v>
      </c>
      <c r="CC459" s="65" t="n">
        <f aca="false">IF(CR459&gt;0,INDEX(Parameter!$H$5:$H$7,W459)/INDEX(Parameter!$E$5:$E$7,W459),IF(AND(CA459=0,N(IFERROR(VLOOKUP(BY459,'Gebinde-Kategorie'!$A$5:$N$45,14,0),0))&gt;0),VLOOKUP(BY459,'Gebinde-Kategorie'!$A$5:$N$45,14,0)*10+Parameter!$M$23,Parameter!$M$24))</f>
        <v>155</v>
      </c>
      <c r="CD459" s="60" t="str">
        <f aca="false">IF(AND(Parameter!$B$19="Ja",E459&lt;&gt;"",ISNUMBER(MATCH(E459,Parameter!$I$35:$I$52,0))),VLOOKUP(E459,Parameter!$I$35:$J$52,2,0),IFERROR(VLOOKUP(D459,Parameter!$A$35:$C$64,2,0),"Nein"))</f>
        <v>2+3</v>
      </c>
      <c r="CE459" s="64" t="n">
        <f aca="false">IF(CA459=0,0,IF(N(S459)&gt;0,S459,IFERROR(VLOOKUP(D459,Parameter!$A$35:$C$64,3,0)+0,0)))</f>
        <v>0</v>
      </c>
      <c r="CF459" s="60" t="n">
        <f aca="false">IF(AB459&lt;&gt;"",AB459,AA459)</f>
        <v>3</v>
      </c>
      <c r="CG459" s="60" t="str">
        <f aca="false">IF(OR(CF459=1,CF459=2,CF459=3),IF(Parameter!$E$27="Ja","LIFT",IF(CF459=1,"L1","L23")),IF(CF459="Aussen","Aussen","-"))</f>
        <v>LIFT</v>
      </c>
      <c r="CH459" s="71" t="n">
        <f aca="false">IF(N(AC459)&gt;0,AC459,0)</f>
        <v>0</v>
      </c>
      <c r="CI459" s="65" t="n">
        <f aca="false">IF(ISNUMBER(AF459),1,0)</f>
        <v>0</v>
      </c>
      <c r="CJ459" s="62" t="n">
        <f aca="false">N(AF459)</f>
        <v>0</v>
      </c>
      <c r="CK459" s="62" t="n">
        <f aca="false">N(M459)+N(N459)</f>
        <v>105</v>
      </c>
      <c r="CL459" s="62" t="n">
        <f aca="false">N(M459)</f>
        <v>5</v>
      </c>
      <c r="CM459" s="62" t="n">
        <f aca="false">N(N459)</f>
        <v>100</v>
      </c>
      <c r="CN459" s="62" t="n">
        <f aca="false">ROUNDUP(H459/BZ459,0)</f>
        <v>1</v>
      </c>
      <c r="CO459" s="62" t="n">
        <f aca="false">ROUNDUP(CJ459/BZ459,0)</f>
        <v>0</v>
      </c>
      <c r="CP459" s="65" t="n">
        <f aca="false">IF(CA459=1,0,IFERROR(VLOOKUP(BY459,'Gebinde-Kategorie'!$A$5:$N$45,5,0)+0,0))</f>
        <v>11</v>
      </c>
      <c r="CQ459" s="65" t="n">
        <f aca="false">IFERROR(IF(OR(CF459=1,CF459=2,CF459=3),N(INDEX(Parameter!$I$5:$I$7,CF459)),0),0)</f>
        <v>0</v>
      </c>
      <c r="CR459" s="64" t="n">
        <f aca="false">IF(AND(Parameter!$B$21="Ja",ISNUMBER(W459),N(X459)&gt;0),IFERROR(N(INDEX(Parameter!$L$5:$L$7,W459))*INDEX(Parameter!$E$5:$E$7,W459)*X459/SUMIFS($X$7:$X$1843,$W$7:$W$1843,W459),0),0)</f>
        <v>0</v>
      </c>
      <c r="CS459" s="62" t="n">
        <f aca="false">IF(AND(OR(CG459="L1",CG459="L23",CG459="LIFT"),H459&gt;0),CC459*IF(CR459&gt;0,CR459*MAX(1,H459/X459),IF(CA459=1,CE459,IF(R459&gt;0,CN459/R459,0))/MAX(0.1,N(Parameter!$M$21))),"")</f>
        <v>5.96153846153846</v>
      </c>
      <c r="CT459" s="64" t="n">
        <f aca="false">IF(CS459="","",J459/H459)</f>
        <v>0.0689179875947622</v>
      </c>
      <c r="CU459" s="62" t="n">
        <f aca="false">IF(CS459="","",H459*G459)</f>
        <v>130.59</v>
      </c>
      <c r="CV459" s="63" t="n">
        <f aca="false">IF(CS459="","",(CL459+ROUNDUP(CL459+MAX(CM459,2*(J459/MAX(0.1,N(Einkauf!$C$6))-CL459)),0))/2)</f>
        <v>55</v>
      </c>
      <c r="CW459" s="62" t="n">
        <f aca="false">IF(CS459="","",MAX(0,H459-CV459)*G459)</f>
        <v>125.64</v>
      </c>
      <c r="CX459" s="62" t="n">
        <f aca="false">IF(CS459="","",CS459*MAX(0,1-CV459/H459))</f>
        <v>5.73556698298256</v>
      </c>
      <c r="CY459" s="64" t="n">
        <f aca="false">IF(CS459="","",PERCENTRANK($CS$7:$CS$1843,CS459)+PERCENTRANK($CU$7:$CU$1843,CU459)+1-PERCENTRANK($CT$7:$CT$1843,CT459))</f>
        <v>1.216</v>
      </c>
      <c r="CZ459" s="72" t="n">
        <f aca="false">IF(CS459="","",CHOOSE(MATCH(Einkauf!$C$5,Parameter!$G$23:$G$27,0),CY459,CS459,CU459,-CT459,CW459)+ROW()/1000000000)</f>
        <v>1.216000459</v>
      </c>
    </row>
    <row r="460" customFormat="false" ht="15" hidden="false" customHeight="false" outlineLevel="0" collapsed="false">
      <c r="A460" s="60" t="s">
        <v>1079</v>
      </c>
      <c r="B460" s="60" t="s">
        <v>447</v>
      </c>
      <c r="C460" s="60" t="s">
        <v>206</v>
      </c>
      <c r="D460" s="60" t="s">
        <v>226</v>
      </c>
      <c r="E460" s="60" t="s">
        <v>227</v>
      </c>
      <c r="F460" s="60" t="s">
        <v>260</v>
      </c>
      <c r="G460" s="61" t="n">
        <v>0.13</v>
      </c>
      <c r="H460" s="62" t="n">
        <f aca="false">MAX(0,IF(AND(Parameter!$B$21="Ja",ISNUMBER(Y460)),Y460,IF(Parameter!$B$20="Jahresanfang 2025 + Export",BS460+BR460,BR460)))</f>
        <v>714</v>
      </c>
      <c r="I460" s="62" t="n">
        <f aca="false">H460*G460</f>
        <v>92.82</v>
      </c>
      <c r="J460" s="62" t="n">
        <f aca="false">BU460*Parameter!$B$18</f>
        <v>1442</v>
      </c>
      <c r="K460" s="63" t="n">
        <v>310</v>
      </c>
      <c r="L460" s="64" t="n">
        <v>4.65161290322581</v>
      </c>
      <c r="M460" s="62" t="n">
        <v>84</v>
      </c>
      <c r="N460" s="62" t="n">
        <v>500</v>
      </c>
      <c r="O460" s="65" t="n">
        <v>21</v>
      </c>
      <c r="P460" s="60" t="s">
        <v>344</v>
      </c>
      <c r="Q460" s="62" t="n">
        <v>271</v>
      </c>
      <c r="R460" s="65" t="n">
        <f aca="false">IF(CA460=1,0,IFERROR(VLOOKUP(BY460,'Gebinde-Kategorie'!$A$5:$N$45,13,0)+0,0))</f>
        <v>26</v>
      </c>
      <c r="S460" s="66"/>
      <c r="T460" s="67"/>
      <c r="U460" s="67"/>
      <c r="V460" s="67"/>
      <c r="W460" s="60"/>
      <c r="X460" s="62"/>
      <c r="Y460" s="62"/>
      <c r="Z460" s="60" t="n">
        <v>3</v>
      </c>
      <c r="AA460" s="60" t="n">
        <f aca="false">IF(A460="","",IF(AND(Parameter!$B$21="Ja",ISNUMBER(W460)),W460,IF(AND(Parameter!$E$27="Ja",ISNUMBER(Z460),CD460&lt;&gt;"Nein"),Z460,IF(CD460="2+3",IF(ISNUMBER(SEARCH("grosser Artikel",BV460)),2,IFERROR(VLOOKUP(BY460,Parameter!$F$35:$G$64,2,0),2)),IF(OR(CD460="Nein",CD460=""),"-",CD460)))))</f>
        <v>3</v>
      </c>
      <c r="AB460" s="67"/>
      <c r="AC460" s="68"/>
      <c r="AD460" s="62" t="n">
        <f aca="false">AW460</f>
        <v>878</v>
      </c>
      <c r="AE460" s="62" t="n">
        <f aca="false">MAX(AW460,H460)</f>
        <v>878</v>
      </c>
      <c r="AF460" s="69"/>
      <c r="AG460" s="62" t="n">
        <f aca="false">IF(LEFT(Cockpit!$C$5,1)="A",H460,IF(Parameter!$E$30="MAX-Bestand",IF(CI460=1,CJ460,IF(LEFT(Cockpit!$C$5,1)="B",AM460,MAX(AM460,H460))),ROUNDUP(AK460,0)))</f>
        <v>714</v>
      </c>
      <c r="AH460" s="62" t="n">
        <f aca="false">IF(CA460=1,0,ROUNDUP(AG460/BZ460,0))</f>
        <v>3</v>
      </c>
      <c r="AI460" s="64" t="n">
        <f aca="false">IF(CR460&gt;0,CR460*MAX(1,AG460/X460),IF(CA460=1,IF(AG460&lt;=0,0,CE460*MAX(1,IF(H460&gt;0,AG460/H460,1))),IF(R460&gt;0,AH460/R460,0))/MAX(0.1,N(Parameter!$M$21)))</f>
        <v>0.115384615384615</v>
      </c>
      <c r="AJ460" s="62" t="n">
        <f aca="false">AI460*CC460</f>
        <v>17.8846153846154</v>
      </c>
      <c r="AK460" s="63" t="n">
        <f aca="false">IF(LEFT(Cockpit!$C$5,1)="A",H460,IF(CI460=1,(CL460+CJ460)/2,IF(LEFT(Cockpit!$C$5,1)="B",(CL460+AM460)/2,MAX((CL460+AM460)/2,H460))))</f>
        <v>714</v>
      </c>
      <c r="AL460" s="62" t="n">
        <f aca="false">AK460*G460</f>
        <v>92.82</v>
      </c>
      <c r="AM460" s="62" t="n">
        <f aca="false">ROUNDUP(CL460+MAX(CM460,2*(J460/IF(CH460&gt;0,CH460,MAX(0.1,N(Cockpit!$C$6)))-CL460)),0)</f>
        <v>878</v>
      </c>
      <c r="AN460" s="63" t="n">
        <f aca="false">IF(AJ460&gt;0,J460/AJ460,-1)</f>
        <v>80.6279569892473</v>
      </c>
      <c r="AO460" s="63" t="n">
        <f aca="false">IF(AND(OR(CG460="L1",CG460="L23",CG460="LIFT"),AJ460&gt;0),SUMIFS($AJ$7:$AJ$1843,$CG$7:$CG$1843,CG460,$AN$7:$AN$1843,"&gt;"&amp;AN460)+SUMIFS($AJ$7:$AJ$1843,$CG$7:$CG$1843,CG460,$AN$7:$AN$1843,AN460,$BX$7:$BX$1843,"&lt;="&amp;BX460),"")</f>
        <v>860.340659340659</v>
      </c>
      <c r="AP460" s="70" t="n">
        <f aca="false">IF(AO460="",0,MAX(0,MIN(1,(IF(CG460="L1",Parameter!$H$5,IF(CG460="L23",Parameter!$H$6+Parameter!$H$7,Parameter!$H$5+Parameter!$H$6+Parameter!$H$7))-(AO460-AJ460))/AJ460)))</f>
        <v>1</v>
      </c>
      <c r="AQ460" s="62" t="n">
        <f aca="false">IF(LEFT(Cockpit!$I$5,1)="A",H460,IF(Parameter!$E$30="MAX-Bestand",IF(CI460=1,CJ460,IF(LEFT(Cockpit!$I$5,1)="B",AW460,MAX(AW460,H460))),ROUNDUP(AU460,0)))</f>
        <v>714</v>
      </c>
      <c r="AR460" s="62" t="n">
        <f aca="false">IF(CA460=1,0,ROUNDUP(AQ460/BZ460,0))</f>
        <v>3</v>
      </c>
      <c r="AS460" s="64" t="n">
        <f aca="false">IF(CR460&gt;0,CR460*MAX(1,AQ460/X460),IF(CA460=1,IF(AQ460&lt;=0,0,CE460*MAX(1,IF(H460&gt;0,AQ460/H460,1))),IF(R460&gt;0,AR460/R460,0))/MAX(0.1,N(Parameter!$M$21)))</f>
        <v>0.115384615384615</v>
      </c>
      <c r="AT460" s="62" t="n">
        <f aca="false">AS460*CC460</f>
        <v>17.8846153846154</v>
      </c>
      <c r="AU460" s="63" t="n">
        <f aca="false">IF(LEFT(Cockpit!$I$5,1)="A",H460,IF(CI460=1,(CL460+CJ460)/2,IF(LEFT(Cockpit!$I$5,1)="B",(CL460+AW460)/2,MAX((CL460+AW460)/2,H460))))</f>
        <v>714</v>
      </c>
      <c r="AV460" s="62" t="n">
        <f aca="false">AU460*G460</f>
        <v>92.82</v>
      </c>
      <c r="AW460" s="62" t="n">
        <f aca="false">ROUNDUP(CL460+MAX(CM460,2*(J460/IF(CH460&gt;0,CH460,MAX(0.1,N(Cockpit!$I$6)))-CL460)),0)</f>
        <v>878</v>
      </c>
      <c r="AX460" s="63" t="n">
        <f aca="false">IF(AT460&gt;0,J460/AT460,-1)</f>
        <v>80.6279569892473</v>
      </c>
      <c r="AY460" s="63" t="n">
        <f aca="false">IF(AND(OR(CG460="L1",CG460="L23",CG460="LIFT"),AT460&gt;0),SUMIFS($AT$7:$AT$1843,$CG$7:$CG$1843,CG460,$AX$7:$AX$1843,"&gt;"&amp;AX460)+SUMIFS($AT$7:$AT$1843,$CG$7:$CG$1843,CG460,$AX$7:$AX$1843,AX460,$BX$7:$BX$1843,"&lt;="&amp;BX460),"")</f>
        <v>1073.25274725275</v>
      </c>
      <c r="AZ460" s="70" t="n">
        <f aca="false">IF(AY460="",0,MAX(0,MIN(1,(IF(CG460="L1",Parameter!$H$5,IF(CG460="L23",Parameter!$H$6+Parameter!$H$7,Parameter!$H$5+Parameter!$H$6+Parameter!$H$7))-(AY460-AT460))/AT460)))</f>
        <v>1</v>
      </c>
      <c r="BA460" s="62" t="n">
        <f aca="false">IF(LEFT(Cockpit!$O$5,1)="A",H460,IF(Parameter!$E$30="MAX-Bestand",IF(CI460=1,CJ460,IF(LEFT(Cockpit!$O$5,1)="B",BG460,MAX(BG460,H460))),ROUNDUP(BE460,0)))</f>
        <v>361</v>
      </c>
      <c r="BB460" s="62" t="n">
        <f aca="false">IF(CA460=1,0,ROUNDUP(BA460/BZ460,0))</f>
        <v>2</v>
      </c>
      <c r="BC460" s="64" t="n">
        <f aca="false">IF(CR460&gt;0,CR460*MAX(1,BA460/X460),IF(CA460=1,IF(BA460&lt;=0,0,CE460*MAX(1,IF(H460&gt;0,BA460/H460,1))),IF(R460&gt;0,BB460/R460,0))/MAX(0.1,N(Parameter!$M$21)))</f>
        <v>0.0769230769230769</v>
      </c>
      <c r="BD460" s="62" t="n">
        <f aca="false">BC460*CC460</f>
        <v>11.9230769230769</v>
      </c>
      <c r="BE460" s="63" t="n">
        <f aca="false">IF(LEFT(Cockpit!$O$5,1)="A",H460,IF(CI460=1,(CL460+CJ460)/2,IF(LEFT(Cockpit!$O$5,1)="B",(CL460+BG460)/2,MAX((CL460+BG460)/2,H460))))</f>
        <v>360.5</v>
      </c>
      <c r="BF460" s="62" t="n">
        <f aca="false">BE460*G460</f>
        <v>46.865</v>
      </c>
      <c r="BG460" s="62" t="n">
        <f aca="false">ROUNDUP(CL460+MAX(CM460,2*(J460/IF(CH460&gt;0,CH460,MAX(0.1,N(Cockpit!$O$6)))-CL460)),0)</f>
        <v>637</v>
      </c>
      <c r="BH460" s="63" t="n">
        <f aca="false">IF(BD460&gt;0,J460/BD460,-1)</f>
        <v>120.941935483871</v>
      </c>
      <c r="BI460" s="63" t="n">
        <f aca="false">IF(AND(OR(CG460="L1",CG460="L23",CG460="LIFT"),BD460&gt;0),SUMIFS($BD$7:$BD$1843,$CG$7:$CG$1843,CG460,$BH$7:$BH$1843,"&gt;"&amp;BH460)+SUMIFS($BD$7:$BD$1843,$CG$7:$CG$1843,CG460,$BH$7:$BH$1843,BH460,$BX$7:$BX$1843,"&lt;="&amp;BX460),"")</f>
        <v>804.490384615385</v>
      </c>
      <c r="BJ460" s="70" t="n">
        <f aca="false">IF(BI460="",0,MAX(0,MIN(1,(IF(CG460="L1",Parameter!$H$5,IF(CG460="L23",Parameter!$H$6+Parameter!$H$7,Parameter!$H$5+Parameter!$H$6+Parameter!$H$7))-(BI460-BD460))/BD460)))</f>
        <v>1</v>
      </c>
      <c r="BK460" s="60" t="str">
        <f aca="false">IF(AJ460&lt;=0,"",IF(CG460="Aussen","Aussenlager",IF(CG460="-","Nicht im Lift",IF(AP460&gt;=1,"Lift",IF(AP460&lt;=0,"Aussenlager","teilweise")))))</f>
        <v>Lift</v>
      </c>
      <c r="BL460" s="60" t="str">
        <f aca="false">IF(AT460&lt;=0,"",IF(CG460="Aussen","Aussenlager",IF(CG460="-","Nicht im Lift",IF(AZ460&gt;=1,"Lift",IF(AZ460&lt;=0,"Aussenlager","teilweise")))))</f>
        <v>Lift</v>
      </c>
      <c r="BM460" s="60" t="str">
        <f aca="false">IF(BD460&lt;=0,"",IF(CG460="Aussen","Aussenlager",IF(CG460="-","Nicht im Lift",IF(BJ460&gt;=1,"Lift",IF(BJ460&lt;=0,"Aussenlager","teilweise")))))</f>
        <v>Lift</v>
      </c>
      <c r="BN460" s="60" t="str">
        <f aca="false">IF(A460="","",IF(BW460=1,"Neu; ","")&amp;IF(AND(BW460=0,BR460&lt;0),"negativer Bestand (Export "&amp;BR460&amp;"); ","")&amp;IF(J460&lt;=0,"Kein Verbrauch; ","")&amp;IF(CR460&gt;0,"Lift "&amp;W460&amp;" lt. Liftbericht (Fach "&amp;X460&amp;" Stk); ",IF(CB460=1,"Gebinde geschätzt ("&amp;T460&amp;"); ",IF(CA460=1,"Lose – Tablare geschätzt; ","")))&amp;IF(H460&gt;AW460,"Überbestand "&amp;ROUND(H460-AW460,0)&amp;" Stk / CHF "&amp;ROUND((H460-AW460)*G460,0)&amp;"; ","")&amp;IF(AND(CI460=1,CJ460&lt;CK460),"MAX &lt; MB+LG; ","")&amp;IF(AND(CQ460&gt;0,CP460*10&gt;CQ460),"zu hoch für Tablar; ","")&amp;IF(AND(BW460=0,OR(CI460=1,AB460&lt;&gt;"",U460&lt;&gt;"",V460&lt;&gt;"",AC460&lt;&gt;"")),"manuell übersteuert; ","")&amp;IF(AND(CA460=0,R460=0),"Gebinde unbekannt / Stellmass fehlt; ","")&amp;IF(AND(CA460=0,N(V460)&lt;=0,N(Q460)&lt;=0),"Menge pro Gebinde fehlt (Ist = 1 Gebinde); ","")&amp;BV460)</f>
        <v/>
      </c>
      <c r="BO460" s="60"/>
      <c r="BP460" s="60"/>
      <c r="BQ460" s="67"/>
      <c r="BR460" s="62" t="n">
        <v>424</v>
      </c>
      <c r="BS460" s="62" t="n">
        <v>290</v>
      </c>
      <c r="BT460" s="61" t="n">
        <v>57.94</v>
      </c>
      <c r="BU460" s="62" t="n">
        <v>1442</v>
      </c>
      <c r="BV460" s="60"/>
      <c r="BW460" s="65" t="n">
        <v>0</v>
      </c>
      <c r="BX460" s="65" t="n">
        <v>460</v>
      </c>
      <c r="BY460" s="60" t="str">
        <f aca="false">IF(U460&lt;&gt;"",UPPER(TRIM(U460)),IF(CB460=1,UPPER(VLOOKUP(T460,Parameter!$I$27:$K$29,2,0)),IF(P460="","LOSE",P460)))</f>
        <v>S51</v>
      </c>
      <c r="BZ460" s="62" t="n">
        <f aca="false">IF(BY460="LOSE",1,IF(N(V460)&gt;0,V460,IF(CB460=1,MAX(1,N(VLOOKUP(T460,Parameter!$I$27:$K$29,3,0)),H460,N(N460)),IF(N(Q460)&gt;0,Q460,MAX(1,H460)))))</f>
        <v>271</v>
      </c>
      <c r="CA460" s="65" t="n">
        <f aca="false">IF(BY460="LOSE",1,0)</f>
        <v>0</v>
      </c>
      <c r="CB460" s="65" t="n">
        <f aca="false">IF(AND(U460="",OR(P460="",P460="LOSE"),T460&lt;&gt;"",N(S460)&lt;=0,ISNUMBER(MATCH(T460,Parameter!$I$27:$I$29,0))),1,0)</f>
        <v>0</v>
      </c>
      <c r="CC460" s="65" t="n">
        <f aca="false">IF(CR460&gt;0,INDEX(Parameter!$H$5:$H$7,W460)/INDEX(Parameter!$E$5:$E$7,W460),IF(AND(CA460=0,N(IFERROR(VLOOKUP(BY460,'Gebinde-Kategorie'!$A$5:$N$45,14,0),0))&gt;0),VLOOKUP(BY460,'Gebinde-Kategorie'!$A$5:$N$45,14,0)*10+Parameter!$M$23,Parameter!$M$24))</f>
        <v>155</v>
      </c>
      <c r="CD460" s="60" t="str">
        <f aca="false">IF(AND(Parameter!$B$19="Ja",E460&lt;&gt;"",ISNUMBER(MATCH(E460,Parameter!$I$35:$I$52,0))),VLOOKUP(E460,Parameter!$I$35:$J$52,2,0),IFERROR(VLOOKUP(D460,Parameter!$A$35:$C$64,2,0),"Nein"))</f>
        <v>2+3</v>
      </c>
      <c r="CE460" s="64" t="n">
        <f aca="false">IF(CA460=0,0,IF(N(S460)&gt;0,S460,IFERROR(VLOOKUP(D460,Parameter!$A$35:$C$64,3,0)+0,0)))</f>
        <v>0</v>
      </c>
      <c r="CF460" s="60" t="n">
        <f aca="false">IF(AB460&lt;&gt;"",AB460,AA460)</f>
        <v>3</v>
      </c>
      <c r="CG460" s="60" t="str">
        <f aca="false">IF(OR(CF460=1,CF460=2,CF460=3),IF(Parameter!$E$27="Ja","LIFT",IF(CF460=1,"L1","L23")),IF(CF460="Aussen","Aussen","-"))</f>
        <v>LIFT</v>
      </c>
      <c r="CH460" s="71" t="n">
        <f aca="false">IF(N(AC460)&gt;0,AC460,0)</f>
        <v>0</v>
      </c>
      <c r="CI460" s="65" t="n">
        <f aca="false">IF(ISNUMBER(AF460),1,0)</f>
        <v>0</v>
      </c>
      <c r="CJ460" s="62" t="n">
        <f aca="false">N(AF460)</f>
        <v>0</v>
      </c>
      <c r="CK460" s="62" t="n">
        <f aca="false">N(M460)+N(N460)</f>
        <v>584</v>
      </c>
      <c r="CL460" s="62" t="n">
        <f aca="false">N(M460)</f>
        <v>84</v>
      </c>
      <c r="CM460" s="62" t="n">
        <f aca="false">N(N460)</f>
        <v>500</v>
      </c>
      <c r="CN460" s="62" t="n">
        <f aca="false">ROUNDUP(H460/BZ460,0)</f>
        <v>3</v>
      </c>
      <c r="CO460" s="62" t="n">
        <f aca="false">ROUNDUP(CJ460/BZ460,0)</f>
        <v>0</v>
      </c>
      <c r="CP460" s="65" t="n">
        <f aca="false">IF(CA460=1,0,IFERROR(VLOOKUP(BY460,'Gebinde-Kategorie'!$A$5:$N$45,5,0)+0,0))</f>
        <v>11</v>
      </c>
      <c r="CQ460" s="65" t="n">
        <f aca="false">IFERROR(IF(OR(CF460=1,CF460=2,CF460=3),N(INDEX(Parameter!$I$5:$I$7,CF460)),0),0)</f>
        <v>0</v>
      </c>
      <c r="CR460" s="64" t="n">
        <f aca="false">IF(AND(Parameter!$B$21="Ja",ISNUMBER(W460),N(X460)&gt;0),IFERROR(N(INDEX(Parameter!$L$5:$L$7,W460))*INDEX(Parameter!$E$5:$E$7,W460)*X460/SUMIFS($X$7:$X$1843,$W$7:$W$1843,W460),0),0)</f>
        <v>0</v>
      </c>
      <c r="CS460" s="62" t="n">
        <f aca="false">IF(AND(OR(CG460="L1",CG460="L23",CG460="LIFT"),H460&gt;0),CC460*IF(CR460&gt;0,CR460*MAX(1,H460/X460),IF(CA460=1,CE460,IF(R460&gt;0,CN460/R460,0))/MAX(0.1,N(Parameter!$M$21))),"")</f>
        <v>17.8846153846154</v>
      </c>
      <c r="CT460" s="64" t="n">
        <f aca="false">IF(CS460="","",J460/H460)</f>
        <v>2.01960784313726</v>
      </c>
      <c r="CU460" s="62" t="n">
        <f aca="false">IF(CS460="","",H460*G460)</f>
        <v>92.82</v>
      </c>
      <c r="CV460" s="63" t="n">
        <f aca="false">IF(CS460="","",(CL460+ROUNDUP(CL460+MAX(CM460,2*(J460/MAX(0.1,N(Einkauf!$C$6))-CL460)),0))/2)</f>
        <v>360.5</v>
      </c>
      <c r="CW460" s="62" t="n">
        <f aca="false">IF(CS460="","",MAX(0,H460-CV460)*G460)</f>
        <v>45.955</v>
      </c>
      <c r="CX460" s="62" t="n">
        <f aca="false">IF(CS460="","",CS460*MAX(0,1-CV460/H460))</f>
        <v>8.85463800904978</v>
      </c>
      <c r="CY460" s="64" t="n">
        <f aca="false">IF(CS460="","",PERCENTRANK($CS$7:$CS$1843,CS460)+PERCENTRANK($CU$7:$CU$1843,CU460)+1-PERCENTRANK($CT$7:$CT$1843,CT460))</f>
        <v>1.159</v>
      </c>
      <c r="CZ460" s="72" t="n">
        <f aca="false">IF(CS460="","",CHOOSE(MATCH(Einkauf!$C$5,Parameter!$G$23:$G$27,0),CY460,CS460,CU460,-CT460,CW460)+ROW()/1000000000)</f>
        <v>1.15900046</v>
      </c>
    </row>
    <row r="461" customFormat="false" ht="15" hidden="false" customHeight="false" outlineLevel="0" collapsed="false">
      <c r="A461" s="60" t="s">
        <v>1080</v>
      </c>
      <c r="B461" s="60" t="s">
        <v>1081</v>
      </c>
      <c r="C461" s="60" t="s">
        <v>206</v>
      </c>
      <c r="D461" s="60" t="s">
        <v>226</v>
      </c>
      <c r="E461" s="60" t="s">
        <v>227</v>
      </c>
      <c r="F461" s="60" t="s">
        <v>260</v>
      </c>
      <c r="G461" s="61" t="n">
        <v>31.29</v>
      </c>
      <c r="H461" s="62" t="n">
        <f aca="false">MAX(0,IF(AND(Parameter!$B$21="Ja",ISNUMBER(Y461)),Y461,IF(Parameter!$B$20="Jahresanfang 2025 + Export",BS461+BR461,BR461)))</f>
        <v>184</v>
      </c>
      <c r="I461" s="62" t="n">
        <f aca="false">H461*G461</f>
        <v>5757.36</v>
      </c>
      <c r="J461" s="62" t="n">
        <f aca="false">BU461*Parameter!$B$18</f>
        <v>202</v>
      </c>
      <c r="K461" s="63" t="n">
        <v>137</v>
      </c>
      <c r="L461" s="64" t="n">
        <v>1.47445255474453</v>
      </c>
      <c r="M461" s="62" t="n">
        <v>11</v>
      </c>
      <c r="N461" s="62" t="n">
        <v>150</v>
      </c>
      <c r="O461" s="65" t="n">
        <v>21</v>
      </c>
      <c r="P461" s="60" t="s">
        <v>268</v>
      </c>
      <c r="Q461" s="62" t="n">
        <v>228</v>
      </c>
      <c r="R461" s="65" t="n">
        <f aca="false">IF(CA461=1,0,IFERROR(VLOOKUP(BY461,'Gebinde-Kategorie'!$A$5:$N$45,13,0)+0,0))</f>
        <v>12</v>
      </c>
      <c r="S461" s="66"/>
      <c r="T461" s="67"/>
      <c r="U461" s="67"/>
      <c r="V461" s="67"/>
      <c r="W461" s="60"/>
      <c r="X461" s="62"/>
      <c r="Y461" s="62"/>
      <c r="Z461" s="60" t="n">
        <v>3</v>
      </c>
      <c r="AA461" s="60" t="n">
        <f aca="false">IF(A461="","",IF(AND(Parameter!$B$21="Ja",ISNUMBER(W461)),W461,IF(AND(Parameter!$E$27="Ja",ISNUMBER(Z461),CD461&lt;&gt;"Nein"),Z461,IF(CD461="2+3",IF(ISNUMBER(SEARCH("grosser Artikel",BV461)),2,IFERROR(VLOOKUP(BY461,Parameter!$F$35:$G$64,2,0),2)),IF(OR(CD461="Nein",CD461=""),"-",CD461)))))</f>
        <v>3</v>
      </c>
      <c r="AB461" s="67"/>
      <c r="AC461" s="68"/>
      <c r="AD461" s="62" t="n">
        <f aca="false">AW461</f>
        <v>161</v>
      </c>
      <c r="AE461" s="62" t="n">
        <f aca="false">MAX(AW461,H461)</f>
        <v>184</v>
      </c>
      <c r="AF461" s="69"/>
      <c r="AG461" s="62" t="n">
        <f aca="false">IF(LEFT(Cockpit!$C$5,1)="A",H461,IF(Parameter!$E$30="MAX-Bestand",IF(CI461=1,CJ461,IF(LEFT(Cockpit!$C$5,1)="B",AM461,MAX(AM461,H461))),ROUNDUP(AK461,0)))</f>
        <v>184</v>
      </c>
      <c r="AH461" s="62" t="n">
        <f aca="false">IF(CA461=1,0,ROUNDUP(AG461/BZ461,0))</f>
        <v>1</v>
      </c>
      <c r="AI461" s="64" t="n">
        <f aca="false">IF(CR461&gt;0,CR461*MAX(1,AG461/X461),IF(CA461=1,IF(AG461&lt;=0,0,CE461*MAX(1,IF(H461&gt;0,AG461/H461,1))),IF(R461&gt;0,AH461/R461,0))/MAX(0.1,N(Parameter!$M$21)))</f>
        <v>0.0833333333333333</v>
      </c>
      <c r="AJ461" s="62" t="n">
        <f aca="false">AI461*CC461</f>
        <v>28.75</v>
      </c>
      <c r="AK461" s="63" t="n">
        <f aca="false">IF(LEFT(Cockpit!$C$5,1)="A",H461,IF(CI461=1,(CL461+CJ461)/2,IF(LEFT(Cockpit!$C$5,1)="B",(CL461+AM461)/2,MAX((CL461+AM461)/2,H461))))</f>
        <v>184</v>
      </c>
      <c r="AL461" s="62" t="n">
        <f aca="false">AK461*G461</f>
        <v>5757.36</v>
      </c>
      <c r="AM461" s="62" t="n">
        <f aca="false">ROUNDUP(CL461+MAX(CM461,2*(J461/IF(CH461&gt;0,CH461,MAX(0.1,N(Cockpit!$C$6)))-CL461)),0)</f>
        <v>161</v>
      </c>
      <c r="AN461" s="63" t="n">
        <f aca="false">IF(AJ461&gt;0,J461/AJ461,-1)</f>
        <v>7.02608695652174</v>
      </c>
      <c r="AO461" s="63" t="n">
        <f aca="false">IF(AND(OR(CG461="L1",CG461="L23",CG461="LIFT"),AJ461&gt;0),SUMIFS($AJ$7:$AJ$1843,$CG$7:$CG$1843,CG461,$AN$7:$AN$1843,"&gt;"&amp;AN461)+SUMIFS($AJ$7:$AJ$1843,$CG$7:$CG$1843,CG461,$AN$7:$AN$1843,AN461,$BX$7:$BX$1843,"&lt;="&amp;BX461),"")</f>
        <v>3218.8869047619</v>
      </c>
      <c r="AP461" s="70" t="n">
        <f aca="false">IF(AO461="",0,MAX(0,MIN(1,(IF(CG461="L1",Parameter!$H$5,IF(CG461="L23",Parameter!$H$6+Parameter!$H$7,Parameter!$H$5+Parameter!$H$6+Parameter!$H$7))-(AO461-AJ461))/AJ461)))</f>
        <v>1</v>
      </c>
      <c r="AQ461" s="62" t="n">
        <f aca="false">IF(LEFT(Cockpit!$I$5,1)="A",H461,IF(Parameter!$E$30="MAX-Bestand",IF(CI461=1,CJ461,IF(LEFT(Cockpit!$I$5,1)="B",AW461,MAX(AW461,H461))),ROUNDUP(AU461,0)))</f>
        <v>184</v>
      </c>
      <c r="AR461" s="62" t="n">
        <f aca="false">IF(CA461=1,0,ROUNDUP(AQ461/BZ461,0))</f>
        <v>1</v>
      </c>
      <c r="AS461" s="64" t="n">
        <f aca="false">IF(CR461&gt;0,CR461*MAX(1,AQ461/X461),IF(CA461=1,IF(AQ461&lt;=0,0,CE461*MAX(1,IF(H461&gt;0,AQ461/H461,1))),IF(R461&gt;0,AR461/R461,0))/MAX(0.1,N(Parameter!$M$21)))</f>
        <v>0.0833333333333333</v>
      </c>
      <c r="AT461" s="62" t="n">
        <f aca="false">AS461*CC461</f>
        <v>28.75</v>
      </c>
      <c r="AU461" s="63" t="n">
        <f aca="false">IF(LEFT(Cockpit!$I$5,1)="A",H461,IF(CI461=1,(CL461+CJ461)/2,IF(LEFT(Cockpit!$I$5,1)="B",(CL461+AW461)/2,MAX((CL461+AW461)/2,H461))))</f>
        <v>184</v>
      </c>
      <c r="AV461" s="62" t="n">
        <f aca="false">AU461*G461</f>
        <v>5757.36</v>
      </c>
      <c r="AW461" s="62" t="n">
        <f aca="false">ROUNDUP(CL461+MAX(CM461,2*(J461/IF(CH461&gt;0,CH461,MAX(0.1,N(Cockpit!$I$6)))-CL461)),0)</f>
        <v>161</v>
      </c>
      <c r="AX461" s="63" t="n">
        <f aca="false">IF(AT461&gt;0,J461/AT461,-1)</f>
        <v>7.02608695652174</v>
      </c>
      <c r="AY461" s="63" t="n">
        <f aca="false">IF(AND(OR(CG461="L1",CG461="L23",CG461="LIFT"),AT461&gt;0),SUMIFS($AT$7:$AT$1843,$CG$7:$CG$1843,CG461,$AX$7:$AX$1843,"&gt;"&amp;AX461)+SUMIFS($AT$7:$AT$1843,$CG$7:$CG$1843,CG461,$AX$7:$AX$1843,AX461,$BX$7:$BX$1843,"&lt;="&amp;BX461),"")</f>
        <v>3879.19826007326</v>
      </c>
      <c r="AZ461" s="70" t="n">
        <f aca="false">IF(AY461="",0,MAX(0,MIN(1,(IF(CG461="L1",Parameter!$H$5,IF(CG461="L23",Parameter!$H$6+Parameter!$H$7,Parameter!$H$5+Parameter!$H$6+Parameter!$H$7))-(AY461-AT461))/AT461)))</f>
        <v>1</v>
      </c>
      <c r="BA461" s="62" t="n">
        <f aca="false">IF(LEFT(Cockpit!$O$5,1)="A",H461,IF(Parameter!$E$30="MAX-Bestand",IF(CI461=1,CJ461,IF(LEFT(Cockpit!$O$5,1)="B",BG461,MAX(BG461,H461))),ROUNDUP(BE461,0)))</f>
        <v>86</v>
      </c>
      <c r="BB461" s="62" t="n">
        <f aca="false">IF(CA461=1,0,ROUNDUP(BA461/BZ461,0))</f>
        <v>1</v>
      </c>
      <c r="BC461" s="64" t="n">
        <f aca="false">IF(CR461&gt;0,CR461*MAX(1,BA461/X461),IF(CA461=1,IF(BA461&lt;=0,0,CE461*MAX(1,IF(H461&gt;0,BA461/H461,1))),IF(R461&gt;0,BB461/R461,0))/MAX(0.1,N(Parameter!$M$21)))</f>
        <v>0.0833333333333333</v>
      </c>
      <c r="BD461" s="62" t="n">
        <f aca="false">BC461*CC461</f>
        <v>28.75</v>
      </c>
      <c r="BE461" s="63" t="n">
        <f aca="false">IF(LEFT(Cockpit!$O$5,1)="A",H461,IF(CI461=1,(CL461+CJ461)/2,IF(LEFT(Cockpit!$O$5,1)="B",(CL461+BG461)/2,MAX((CL461+BG461)/2,H461))))</f>
        <v>86</v>
      </c>
      <c r="BF461" s="62" t="n">
        <f aca="false">BE461*G461</f>
        <v>2690.94</v>
      </c>
      <c r="BG461" s="62" t="n">
        <f aca="false">ROUNDUP(CL461+MAX(CM461,2*(J461/IF(CH461&gt;0,CH461,MAX(0.1,N(Cockpit!$O$6)))-CL461)),0)</f>
        <v>161</v>
      </c>
      <c r="BH461" s="63" t="n">
        <f aca="false">IF(BD461&gt;0,J461/BD461,-1)</f>
        <v>7.02608695652174</v>
      </c>
      <c r="BI461" s="63" t="n">
        <f aca="false">IF(AND(OR(CG461="L1",CG461="L23",CG461="LIFT"),BD461&gt;0),SUMIFS($BD$7:$BD$1843,$CG$7:$CG$1843,CG461,$BH$7:$BH$1843,"&gt;"&amp;BH461)+SUMIFS($BD$7:$BD$1843,$CG$7:$CG$1843,CG461,$BH$7:$BH$1843,BH461,$BX$7:$BX$1843,"&lt;="&amp;BX461),"")</f>
        <v>3312.59844322344</v>
      </c>
      <c r="BJ461" s="70" t="n">
        <f aca="false">IF(BI461="",0,MAX(0,MIN(1,(IF(CG461="L1",Parameter!$H$5,IF(CG461="L23",Parameter!$H$6+Parameter!$H$7,Parameter!$H$5+Parameter!$H$6+Parameter!$H$7))-(BI461-BD461))/BD461)))</f>
        <v>1</v>
      </c>
      <c r="BK461" s="60" t="str">
        <f aca="false">IF(AJ461&lt;=0,"",IF(CG461="Aussen","Aussenlager",IF(CG461="-","Nicht im Lift",IF(AP461&gt;=1,"Lift",IF(AP461&lt;=0,"Aussenlager","teilweise")))))</f>
        <v>Lift</v>
      </c>
      <c r="BL461" s="60" t="str">
        <f aca="false">IF(AT461&lt;=0,"",IF(CG461="Aussen","Aussenlager",IF(CG461="-","Nicht im Lift",IF(AZ461&gt;=1,"Lift",IF(AZ461&lt;=0,"Aussenlager","teilweise")))))</f>
        <v>Lift</v>
      </c>
      <c r="BM461" s="60" t="str">
        <f aca="false">IF(BD461&lt;=0,"",IF(CG461="Aussen","Aussenlager",IF(CG461="-","Nicht im Lift",IF(BJ461&gt;=1,"Lift",IF(BJ461&lt;=0,"Aussenlager","teilweise")))))</f>
        <v>Lift</v>
      </c>
      <c r="BN461" s="60" t="str">
        <f aca="false">IF(A461="","",IF(BW461=1,"Neu; ","")&amp;IF(AND(BW461=0,BR461&lt;0),"negativer Bestand (Export "&amp;BR461&amp;"); ","")&amp;IF(J461&lt;=0,"Kein Verbrauch; ","")&amp;IF(CR461&gt;0,"Lift "&amp;W461&amp;" lt. Liftbericht (Fach "&amp;X461&amp;" Stk); ",IF(CB461=1,"Gebinde geschätzt ("&amp;T461&amp;"); ",IF(CA461=1,"Lose – Tablare geschätzt; ","")))&amp;IF(H461&gt;AW461,"Überbestand "&amp;ROUND(H461-AW461,0)&amp;" Stk / CHF "&amp;ROUND((H461-AW461)*G461,0)&amp;"; ","")&amp;IF(AND(CI461=1,CJ461&lt;CK461),"MAX &lt; MB+LG; ","")&amp;IF(AND(CQ461&gt;0,CP461*10&gt;CQ461),"zu hoch für Tablar; ","")&amp;IF(AND(BW461=0,OR(CI461=1,AB461&lt;&gt;"",U461&lt;&gt;"",V461&lt;&gt;"",AC461&lt;&gt;"")),"manuell übersteuert; ","")&amp;IF(AND(CA461=0,R461=0),"Gebinde unbekannt / Stellmass fehlt; ","")&amp;IF(AND(CA461=0,N(V461)&lt;=0,N(Q461)&lt;=0),"Menge pro Gebinde fehlt (Ist = 1 Gebinde); ","")&amp;BV461)</f>
        <v>Überbestand 23 Stk / CHF 720; </v>
      </c>
      <c r="BO461" s="60"/>
      <c r="BP461" s="60"/>
      <c r="BQ461" s="67"/>
      <c r="BR461" s="62" t="n">
        <v>25</v>
      </c>
      <c r="BS461" s="62" t="n">
        <v>159</v>
      </c>
      <c r="BT461" s="61" t="n">
        <v>57.6100000000038</v>
      </c>
      <c r="BU461" s="62" t="n">
        <v>202</v>
      </c>
      <c r="BV461" s="60"/>
      <c r="BW461" s="65" t="n">
        <v>0</v>
      </c>
      <c r="BX461" s="65" t="n">
        <v>461</v>
      </c>
      <c r="BY461" s="60" t="str">
        <f aca="false">IF(U461&lt;&gt;"",UPPER(TRIM(U461)),IF(CB461=1,UPPER(VLOOKUP(T461,Parameter!$I$27:$K$29,2,0)),IF(P461="","LOSE",P461)))</f>
        <v>S63</v>
      </c>
      <c r="BZ461" s="62" t="n">
        <f aca="false">IF(BY461="LOSE",1,IF(N(V461)&gt;0,V461,IF(CB461=1,MAX(1,N(VLOOKUP(T461,Parameter!$I$27:$K$29,3,0)),H461,N(N461)),IF(N(Q461)&gt;0,Q461,MAX(1,H461)))))</f>
        <v>228</v>
      </c>
      <c r="CA461" s="65" t="n">
        <f aca="false">IF(BY461="LOSE",1,0)</f>
        <v>0</v>
      </c>
      <c r="CB461" s="65" t="n">
        <f aca="false">IF(AND(U461="",OR(P461="",P461="LOSE"),T461&lt;&gt;"",N(S461)&lt;=0,ISNUMBER(MATCH(T461,Parameter!$I$27:$I$29,0))),1,0)</f>
        <v>0</v>
      </c>
      <c r="CC461" s="65" t="n">
        <f aca="false">IF(CR461&gt;0,INDEX(Parameter!$H$5:$H$7,W461)/INDEX(Parameter!$E$5:$E$7,W461),IF(AND(CA461=0,N(IFERROR(VLOOKUP(BY461,'Gebinde-Kategorie'!$A$5:$N$45,14,0),0))&gt;0),VLOOKUP(BY461,'Gebinde-Kategorie'!$A$5:$N$45,14,0)*10+Parameter!$M$23,Parameter!$M$24))</f>
        <v>345</v>
      </c>
      <c r="CD461" s="60" t="str">
        <f aca="false">IF(AND(Parameter!$B$19="Ja",E461&lt;&gt;"",ISNUMBER(MATCH(E461,Parameter!$I$35:$I$52,0))),VLOOKUP(E461,Parameter!$I$35:$J$52,2,0),IFERROR(VLOOKUP(D461,Parameter!$A$35:$C$64,2,0),"Nein"))</f>
        <v>2+3</v>
      </c>
      <c r="CE461" s="64" t="n">
        <f aca="false">IF(CA461=0,0,IF(N(S461)&gt;0,S461,IFERROR(VLOOKUP(D461,Parameter!$A$35:$C$64,3,0)+0,0)))</f>
        <v>0</v>
      </c>
      <c r="CF461" s="60" t="n">
        <f aca="false">IF(AB461&lt;&gt;"",AB461,AA461)</f>
        <v>3</v>
      </c>
      <c r="CG461" s="60" t="str">
        <f aca="false">IF(OR(CF461=1,CF461=2,CF461=3),IF(Parameter!$E$27="Ja","LIFT",IF(CF461=1,"L1","L23")),IF(CF461="Aussen","Aussen","-"))</f>
        <v>LIFT</v>
      </c>
      <c r="CH461" s="71" t="n">
        <f aca="false">IF(N(AC461)&gt;0,AC461,0)</f>
        <v>0</v>
      </c>
      <c r="CI461" s="65" t="n">
        <f aca="false">IF(ISNUMBER(AF461),1,0)</f>
        <v>0</v>
      </c>
      <c r="CJ461" s="62" t="n">
        <f aca="false">N(AF461)</f>
        <v>0</v>
      </c>
      <c r="CK461" s="62" t="n">
        <f aca="false">N(M461)+N(N461)</f>
        <v>161</v>
      </c>
      <c r="CL461" s="62" t="n">
        <f aca="false">N(M461)</f>
        <v>11</v>
      </c>
      <c r="CM461" s="62" t="n">
        <f aca="false">N(N461)</f>
        <v>150</v>
      </c>
      <c r="CN461" s="62" t="n">
        <f aca="false">ROUNDUP(H461/BZ461,0)</f>
        <v>1</v>
      </c>
      <c r="CO461" s="62" t="n">
        <f aca="false">ROUNDUP(CJ461/BZ461,0)</f>
        <v>0</v>
      </c>
      <c r="CP461" s="65" t="n">
        <f aca="false">IF(CA461=1,0,IFERROR(VLOOKUP(BY461,'Gebinde-Kategorie'!$A$5:$N$45,5,0)+0,0))</f>
        <v>31</v>
      </c>
      <c r="CQ461" s="65" t="n">
        <f aca="false">IFERROR(IF(OR(CF461=1,CF461=2,CF461=3),N(INDEX(Parameter!$I$5:$I$7,CF461)),0),0)</f>
        <v>0</v>
      </c>
      <c r="CR461" s="64" t="n">
        <f aca="false">IF(AND(Parameter!$B$21="Ja",ISNUMBER(W461),N(X461)&gt;0),IFERROR(N(INDEX(Parameter!$L$5:$L$7,W461))*INDEX(Parameter!$E$5:$E$7,W461)*X461/SUMIFS($X$7:$X$1843,$W$7:$W$1843,W461),0),0)</f>
        <v>0</v>
      </c>
      <c r="CS461" s="62" t="n">
        <f aca="false">IF(AND(OR(CG461="L1",CG461="L23",CG461="LIFT"),H461&gt;0),CC461*IF(CR461&gt;0,CR461*MAX(1,H461/X461),IF(CA461=1,CE461,IF(R461&gt;0,CN461/R461,0))/MAX(0.1,N(Parameter!$M$21))),"")</f>
        <v>28.75</v>
      </c>
      <c r="CT461" s="64" t="n">
        <f aca="false">IF(CS461="","",J461/H461)</f>
        <v>1.09782608695652</v>
      </c>
      <c r="CU461" s="62" t="n">
        <f aca="false">IF(CS461="","",H461*G461)</f>
        <v>5757.36</v>
      </c>
      <c r="CV461" s="63" t="n">
        <f aca="false">IF(CS461="","",(CL461+ROUNDUP(CL461+MAX(CM461,2*(J461/MAX(0.1,N(Einkauf!$C$6))-CL461)),0))/2)</f>
        <v>86</v>
      </c>
      <c r="CW461" s="62" t="n">
        <f aca="false">IF(CS461="","",MAX(0,H461-CV461)*G461)</f>
        <v>3066.42</v>
      </c>
      <c r="CX461" s="62" t="n">
        <f aca="false">IF(CS461="","",CS461*MAX(0,1-CV461/H461))</f>
        <v>15.3125</v>
      </c>
      <c r="CY461" s="64" t="n">
        <f aca="false">IF(CS461="","",PERCENTRANK($CS$7:$CS$1843,CS461)+PERCENTRANK($CU$7:$CU$1843,CU461)+1-PERCENTRANK($CT$7:$CT$1843,CT461))</f>
        <v>2.052</v>
      </c>
      <c r="CZ461" s="72" t="n">
        <f aca="false">IF(CS461="","",CHOOSE(MATCH(Einkauf!$C$5,Parameter!$G$23:$G$27,0),CY461,CS461,CU461,-CT461,CW461)+ROW()/1000000000)</f>
        <v>2.052000461</v>
      </c>
    </row>
    <row r="462" customFormat="false" ht="15" hidden="false" customHeight="false" outlineLevel="0" collapsed="false">
      <c r="A462" s="60" t="s">
        <v>1082</v>
      </c>
      <c r="B462" s="60" t="s">
        <v>1083</v>
      </c>
      <c r="C462" s="60" t="s">
        <v>206</v>
      </c>
      <c r="D462" s="60" t="s">
        <v>226</v>
      </c>
      <c r="E462" s="60" t="s">
        <v>227</v>
      </c>
      <c r="F462" s="60" t="s">
        <v>260</v>
      </c>
      <c r="G462" s="61" t="n">
        <v>42.77</v>
      </c>
      <c r="H462" s="62" t="n">
        <f aca="false">MAX(0,IF(AND(Parameter!$B$21="Ja",ISNUMBER(Y462)),Y462,IF(Parameter!$B$20="Jahresanfang 2025 + Export",BS462+BR462,BR462)))</f>
        <v>8</v>
      </c>
      <c r="I462" s="62" t="n">
        <f aca="false">H462*G462</f>
        <v>342.16</v>
      </c>
      <c r="J462" s="62" t="n">
        <f aca="false">BU462*Parameter!$B$18</f>
        <v>3</v>
      </c>
      <c r="K462" s="63" t="n">
        <v>7.5</v>
      </c>
      <c r="L462" s="64" t="n">
        <v>0.4</v>
      </c>
      <c r="M462" s="62" t="n">
        <v>0</v>
      </c>
      <c r="N462" s="62" t="n">
        <v>5</v>
      </c>
      <c r="O462" s="65" t="n">
        <v>21</v>
      </c>
      <c r="P462" s="60" t="s">
        <v>463</v>
      </c>
      <c r="Q462" s="62" t="n">
        <v>11</v>
      </c>
      <c r="R462" s="65" t="n">
        <f aca="false">IF(CA462=1,0,IFERROR(VLOOKUP(BY462,'Gebinde-Kategorie'!$A$5:$N$45,13,0)+0,0))</f>
        <v>104</v>
      </c>
      <c r="S462" s="66"/>
      <c r="T462" s="67"/>
      <c r="U462" s="67"/>
      <c r="V462" s="67"/>
      <c r="W462" s="60"/>
      <c r="X462" s="62"/>
      <c r="Y462" s="62"/>
      <c r="Z462" s="60" t="n">
        <v>2</v>
      </c>
      <c r="AA462" s="60" t="n">
        <f aca="false">IF(A462="","",IF(AND(Parameter!$B$21="Ja",ISNUMBER(W462)),W462,IF(AND(Parameter!$E$27="Ja",ISNUMBER(Z462),CD462&lt;&gt;"Nein"),Z462,IF(CD462="2+3",IF(ISNUMBER(SEARCH("grosser Artikel",BV462)),2,IFERROR(VLOOKUP(BY462,Parameter!$F$35:$G$64,2,0),2)),IF(OR(CD462="Nein",CD462=""),"-",CD462)))))</f>
        <v>2</v>
      </c>
      <c r="AB462" s="67"/>
      <c r="AC462" s="68"/>
      <c r="AD462" s="62" t="n">
        <f aca="false">AW462</f>
        <v>5</v>
      </c>
      <c r="AE462" s="62" t="n">
        <f aca="false">MAX(AW462,H462)</f>
        <v>8</v>
      </c>
      <c r="AF462" s="69"/>
      <c r="AG462" s="62" t="n">
        <f aca="false">IF(LEFT(Cockpit!$C$5,1)="A",H462,IF(Parameter!$E$30="MAX-Bestand",IF(CI462=1,CJ462,IF(LEFT(Cockpit!$C$5,1)="B",AM462,MAX(AM462,H462))),ROUNDUP(AK462,0)))</f>
        <v>8</v>
      </c>
      <c r="AH462" s="62" t="n">
        <f aca="false">IF(CA462=1,0,ROUNDUP(AG462/BZ462,0))</f>
        <v>1</v>
      </c>
      <c r="AI462" s="64" t="n">
        <f aca="false">IF(CR462&gt;0,CR462*MAX(1,AG462/X462),IF(CA462=1,IF(AG462&lt;=0,0,CE462*MAX(1,IF(H462&gt;0,AG462/H462,1))),IF(R462&gt;0,AH462/R462,0))/MAX(0.1,N(Parameter!$M$21)))</f>
        <v>0.00961538461538462</v>
      </c>
      <c r="AJ462" s="62" t="n">
        <f aca="false">AI462*CC462</f>
        <v>1.49038461538462</v>
      </c>
      <c r="AK462" s="63" t="n">
        <f aca="false">IF(LEFT(Cockpit!$C$5,1)="A",H462,IF(CI462=1,(CL462+CJ462)/2,IF(LEFT(Cockpit!$C$5,1)="B",(CL462+AM462)/2,MAX((CL462+AM462)/2,H462))))</f>
        <v>8</v>
      </c>
      <c r="AL462" s="62" t="n">
        <f aca="false">AK462*G462</f>
        <v>342.16</v>
      </c>
      <c r="AM462" s="62" t="n">
        <f aca="false">ROUNDUP(CL462+MAX(CM462,2*(J462/IF(CH462&gt;0,CH462,MAX(0.1,N(Cockpit!$C$6)))-CL462)),0)</f>
        <v>5</v>
      </c>
      <c r="AN462" s="63" t="n">
        <f aca="false">IF(AJ462&gt;0,J462/AJ462,-1)</f>
        <v>2.01290322580645</v>
      </c>
      <c r="AO462" s="63" t="n">
        <f aca="false">IF(AND(OR(CG462="L1",CG462="L23",CG462="LIFT"),AJ462&gt;0),SUMIFS($AJ$7:$AJ$1843,$CG$7:$CG$1843,CG462,$AN$7:$AN$1843,"&gt;"&amp;AN462)+SUMIFS($AJ$7:$AJ$1843,$CG$7:$CG$1843,CG462,$AN$7:$AN$1843,AN462,$BX$7:$BX$1843,"&lt;="&amp;BX462),"")</f>
        <v>5781.90750915751</v>
      </c>
      <c r="AP462" s="70" t="n">
        <f aca="false">IF(AO462="",0,MAX(0,MIN(1,(IF(CG462="L1",Parameter!$H$5,IF(CG462="L23",Parameter!$H$6+Parameter!$H$7,Parameter!$H$5+Parameter!$H$6+Parameter!$H$7))-(AO462-AJ462))/AJ462)))</f>
        <v>1</v>
      </c>
      <c r="AQ462" s="62" t="n">
        <f aca="false">IF(LEFT(Cockpit!$I$5,1)="A",H462,IF(Parameter!$E$30="MAX-Bestand",IF(CI462=1,CJ462,IF(LEFT(Cockpit!$I$5,1)="B",AW462,MAX(AW462,H462))),ROUNDUP(AU462,0)))</f>
        <v>8</v>
      </c>
      <c r="AR462" s="62" t="n">
        <f aca="false">IF(CA462=1,0,ROUNDUP(AQ462/BZ462,0))</f>
        <v>1</v>
      </c>
      <c r="AS462" s="64" t="n">
        <f aca="false">IF(CR462&gt;0,CR462*MAX(1,AQ462/X462),IF(CA462=1,IF(AQ462&lt;=0,0,CE462*MAX(1,IF(H462&gt;0,AQ462/H462,1))),IF(R462&gt;0,AR462/R462,0))/MAX(0.1,N(Parameter!$M$21)))</f>
        <v>0.00961538461538462</v>
      </c>
      <c r="AT462" s="62" t="n">
        <f aca="false">AS462*CC462</f>
        <v>1.49038461538462</v>
      </c>
      <c r="AU462" s="63" t="n">
        <f aca="false">IF(LEFT(Cockpit!$I$5,1)="A",H462,IF(CI462=1,(CL462+CJ462)/2,IF(LEFT(Cockpit!$I$5,1)="B",(CL462+AW462)/2,MAX((CL462+AW462)/2,H462))))</f>
        <v>8</v>
      </c>
      <c r="AV462" s="62" t="n">
        <f aca="false">AU462*G462</f>
        <v>342.16</v>
      </c>
      <c r="AW462" s="62" t="n">
        <f aca="false">ROUNDUP(CL462+MAX(CM462,2*(J462/IF(CH462&gt;0,CH462,MAX(0.1,N(Cockpit!$I$6)))-CL462)),0)</f>
        <v>5</v>
      </c>
      <c r="AX462" s="63" t="n">
        <f aca="false">IF(AT462&gt;0,J462/AT462,-1)</f>
        <v>2.01290322580645</v>
      </c>
      <c r="AY462" s="63" t="n">
        <f aca="false">IF(AND(OR(CG462="L1",CG462="L23",CG462="LIFT"),AT462&gt;0),SUMIFS($AT$7:$AT$1843,$CG$7:$CG$1843,CG462,$AX$7:$AX$1843,"&gt;"&amp;AX462)+SUMIFS($AT$7:$AT$1843,$CG$7:$CG$1843,CG462,$AX$7:$AX$1843,AX462,$BX$7:$BX$1843,"&lt;="&amp;BX462),"")</f>
        <v>7149.84706959707</v>
      </c>
      <c r="AZ462" s="70" t="n">
        <f aca="false">IF(AY462="",0,MAX(0,MIN(1,(IF(CG462="L1",Parameter!$H$5,IF(CG462="L23",Parameter!$H$6+Parameter!$H$7,Parameter!$H$5+Parameter!$H$6+Parameter!$H$7))-(AY462-AT462))/AT462)))</f>
        <v>1</v>
      </c>
      <c r="BA462" s="62" t="n">
        <f aca="false">IF(LEFT(Cockpit!$O$5,1)="A",H462,IF(Parameter!$E$30="MAX-Bestand",IF(CI462=1,CJ462,IF(LEFT(Cockpit!$O$5,1)="B",BG462,MAX(BG462,H462))),ROUNDUP(BE462,0)))</f>
        <v>3</v>
      </c>
      <c r="BB462" s="62" t="n">
        <f aca="false">IF(CA462=1,0,ROUNDUP(BA462/BZ462,0))</f>
        <v>1</v>
      </c>
      <c r="BC462" s="64" t="n">
        <f aca="false">IF(CR462&gt;0,CR462*MAX(1,BA462/X462),IF(CA462=1,IF(BA462&lt;=0,0,CE462*MAX(1,IF(H462&gt;0,BA462/H462,1))),IF(R462&gt;0,BB462/R462,0))/MAX(0.1,N(Parameter!$M$21)))</f>
        <v>0.00961538461538462</v>
      </c>
      <c r="BD462" s="62" t="n">
        <f aca="false">BC462*CC462</f>
        <v>1.49038461538462</v>
      </c>
      <c r="BE462" s="63" t="n">
        <f aca="false">IF(LEFT(Cockpit!$O$5,1)="A",H462,IF(CI462=1,(CL462+CJ462)/2,IF(LEFT(Cockpit!$O$5,1)="B",(CL462+BG462)/2,MAX((CL462+BG462)/2,H462))))</f>
        <v>2.5</v>
      </c>
      <c r="BF462" s="62" t="n">
        <f aca="false">BE462*G462</f>
        <v>106.925</v>
      </c>
      <c r="BG462" s="62" t="n">
        <f aca="false">ROUNDUP(CL462+MAX(CM462,2*(J462/IF(CH462&gt;0,CH462,MAX(0.1,N(Cockpit!$O$6)))-CL462)),0)</f>
        <v>5</v>
      </c>
      <c r="BH462" s="63" t="n">
        <f aca="false">IF(BD462&gt;0,J462/BD462,-1)</f>
        <v>2.01290322580645</v>
      </c>
      <c r="BI462" s="63" t="n">
        <f aca="false">IF(AND(OR(CG462="L1",CG462="L23",CG462="LIFT"),BD462&gt;0),SUMIFS($BD$7:$BD$1843,$CG$7:$CG$1843,CG462,$BH$7:$BH$1843,"&gt;"&amp;BH462)+SUMIFS($BD$7:$BD$1843,$CG$7:$CG$1843,CG462,$BH$7:$BH$1843,BH462,$BX$7:$BX$1843,"&lt;="&amp;BX462),"")</f>
        <v>5860.6217948718</v>
      </c>
      <c r="BJ462" s="70" t="n">
        <f aca="false">IF(BI462="",0,MAX(0,MIN(1,(IF(CG462="L1",Parameter!$H$5,IF(CG462="L23",Parameter!$H$6+Parameter!$H$7,Parameter!$H$5+Parameter!$H$6+Parameter!$H$7))-(BI462-BD462))/BD462)))</f>
        <v>1</v>
      </c>
      <c r="BK462" s="60" t="str">
        <f aca="false">IF(AJ462&lt;=0,"",IF(CG462="Aussen","Aussenlager",IF(CG462="-","Nicht im Lift",IF(AP462&gt;=1,"Lift",IF(AP462&lt;=0,"Aussenlager","teilweise")))))</f>
        <v>Lift</v>
      </c>
      <c r="BL462" s="60" t="str">
        <f aca="false">IF(AT462&lt;=0,"",IF(CG462="Aussen","Aussenlager",IF(CG462="-","Nicht im Lift",IF(AZ462&gt;=1,"Lift",IF(AZ462&lt;=0,"Aussenlager","teilweise")))))</f>
        <v>Lift</v>
      </c>
      <c r="BM462" s="60" t="str">
        <f aca="false">IF(BD462&lt;=0,"",IF(CG462="Aussen","Aussenlager",IF(CG462="-","Nicht im Lift",IF(BJ462&gt;=1,"Lift",IF(BJ462&lt;=0,"Aussenlager","teilweise")))))</f>
        <v>Lift</v>
      </c>
      <c r="BN462" s="60" t="str">
        <f aca="false">IF(A462="","",IF(BW462=1,"Neu; ","")&amp;IF(AND(BW462=0,BR462&lt;0),"negativer Bestand (Export "&amp;BR462&amp;"); ","")&amp;IF(J462&lt;=0,"Kein Verbrauch; ","")&amp;IF(CR462&gt;0,"Lift "&amp;W462&amp;" lt. Liftbericht (Fach "&amp;X462&amp;" Stk); ",IF(CB462=1,"Gebinde geschätzt ("&amp;T462&amp;"); ",IF(CA462=1,"Lose – Tablare geschätzt; ","")))&amp;IF(H462&gt;AW462,"Überbestand "&amp;ROUND(H462-AW462,0)&amp;" Stk / CHF "&amp;ROUND((H462-AW462)*G462,0)&amp;"; ","")&amp;IF(AND(CI462=1,CJ462&lt;CK462),"MAX &lt; MB+LG; ","")&amp;IF(AND(CQ462&gt;0,CP462*10&gt;CQ462),"zu hoch für Tablar; ","")&amp;IF(AND(BW462=0,OR(CI462=1,AB462&lt;&gt;"",U462&lt;&gt;"",V462&lt;&gt;"",AC462&lt;&gt;"")),"manuell übersteuert; ","")&amp;IF(AND(CA462=0,R462=0),"Gebinde unbekannt / Stellmass fehlt; ","")&amp;IF(AND(CA462=0,N(V462)&lt;=0,N(Q462)&lt;=0),"Menge pro Gebinde fehlt (Ist = 1 Gebinde); ","")&amp;BV462)</f>
        <v>Überbestand 3 Stk / CHF 128; Neu</v>
      </c>
      <c r="BO462" s="60"/>
      <c r="BP462" s="60"/>
      <c r="BQ462" s="67"/>
      <c r="BR462" s="62" t="n">
        <v>1</v>
      </c>
      <c r="BS462" s="62" t="n">
        <v>7</v>
      </c>
      <c r="BT462" s="61" t="n">
        <v>57.47</v>
      </c>
      <c r="BU462" s="62" t="n">
        <v>3</v>
      </c>
      <c r="BV462" s="60" t="s">
        <v>668</v>
      </c>
      <c r="BW462" s="65" t="n">
        <v>0</v>
      </c>
      <c r="BX462" s="65" t="n">
        <v>462</v>
      </c>
      <c r="BY462" s="60" t="str">
        <f aca="false">IF(U462&lt;&gt;"",UPPER(TRIM(U462)),IF(CB462=1,UPPER(VLOOKUP(T462,Parameter!$I$27:$K$29,2,0)),IF(P462="","LOSE",P462)))</f>
        <v>S32</v>
      </c>
      <c r="BZ462" s="62" t="n">
        <f aca="false">IF(BY462="LOSE",1,IF(N(V462)&gt;0,V462,IF(CB462=1,MAX(1,N(VLOOKUP(T462,Parameter!$I$27:$K$29,3,0)),H462,N(N462)),IF(N(Q462)&gt;0,Q462,MAX(1,H462)))))</f>
        <v>11</v>
      </c>
      <c r="CA462" s="65" t="n">
        <f aca="false">IF(BY462="LOSE",1,0)</f>
        <v>0</v>
      </c>
      <c r="CB462" s="65" t="n">
        <f aca="false">IF(AND(U462="",OR(P462="",P462="LOSE"),T462&lt;&gt;"",N(S462)&lt;=0,ISNUMBER(MATCH(T462,Parameter!$I$27:$I$29,0))),1,0)</f>
        <v>0</v>
      </c>
      <c r="CC462" s="65" t="n">
        <f aca="false">IF(CR462&gt;0,INDEX(Parameter!$H$5:$H$7,W462)/INDEX(Parameter!$E$5:$E$7,W462),IF(AND(CA462=0,N(IFERROR(VLOOKUP(BY462,'Gebinde-Kategorie'!$A$5:$N$45,14,0),0))&gt;0),VLOOKUP(BY462,'Gebinde-Kategorie'!$A$5:$N$45,14,0)*10+Parameter!$M$23,Parameter!$M$24))</f>
        <v>155</v>
      </c>
      <c r="CD462" s="60" t="str">
        <f aca="false">IF(AND(Parameter!$B$19="Ja",E462&lt;&gt;"",ISNUMBER(MATCH(E462,Parameter!$I$35:$I$52,0))),VLOOKUP(E462,Parameter!$I$35:$J$52,2,0),IFERROR(VLOOKUP(D462,Parameter!$A$35:$C$64,2,0),"Nein"))</f>
        <v>2+3</v>
      </c>
      <c r="CE462" s="64" t="n">
        <f aca="false">IF(CA462=0,0,IF(N(S462)&gt;0,S462,IFERROR(VLOOKUP(D462,Parameter!$A$35:$C$64,3,0)+0,0)))</f>
        <v>0</v>
      </c>
      <c r="CF462" s="60" t="n">
        <f aca="false">IF(AB462&lt;&gt;"",AB462,AA462)</f>
        <v>2</v>
      </c>
      <c r="CG462" s="60" t="str">
        <f aca="false">IF(OR(CF462=1,CF462=2,CF462=3),IF(Parameter!$E$27="Ja","LIFT",IF(CF462=1,"L1","L23")),IF(CF462="Aussen","Aussen","-"))</f>
        <v>LIFT</v>
      </c>
      <c r="CH462" s="71" t="n">
        <f aca="false">IF(N(AC462)&gt;0,AC462,0)</f>
        <v>0</v>
      </c>
      <c r="CI462" s="65" t="n">
        <f aca="false">IF(ISNUMBER(AF462),1,0)</f>
        <v>0</v>
      </c>
      <c r="CJ462" s="62" t="n">
        <f aca="false">N(AF462)</f>
        <v>0</v>
      </c>
      <c r="CK462" s="62" t="n">
        <f aca="false">N(M462)+N(N462)</f>
        <v>5</v>
      </c>
      <c r="CL462" s="62" t="n">
        <f aca="false">N(M462)</f>
        <v>0</v>
      </c>
      <c r="CM462" s="62" t="n">
        <f aca="false">N(N462)</f>
        <v>5</v>
      </c>
      <c r="CN462" s="62" t="n">
        <f aca="false">ROUNDUP(H462/BZ462,0)</f>
        <v>1</v>
      </c>
      <c r="CO462" s="62" t="n">
        <f aca="false">ROUNDUP(CJ462/BZ462,0)</f>
        <v>0</v>
      </c>
      <c r="CP462" s="65" t="n">
        <f aca="false">IF(CA462=1,0,IFERROR(VLOOKUP(BY462,'Gebinde-Kategorie'!$A$5:$N$45,5,0)+0,0))</f>
        <v>8</v>
      </c>
      <c r="CQ462" s="65" t="n">
        <f aca="false">IFERROR(IF(OR(CF462=1,CF462=2,CF462=3),N(INDEX(Parameter!$I$5:$I$7,CF462)),0),0)</f>
        <v>0</v>
      </c>
      <c r="CR462" s="64" t="n">
        <f aca="false">IF(AND(Parameter!$B$21="Ja",ISNUMBER(W462),N(X462)&gt;0),IFERROR(N(INDEX(Parameter!$L$5:$L$7,W462))*INDEX(Parameter!$E$5:$E$7,W462)*X462/SUMIFS($X$7:$X$1843,$W$7:$W$1843,W462),0),0)</f>
        <v>0</v>
      </c>
      <c r="CS462" s="62" t="n">
        <f aca="false">IF(AND(OR(CG462="L1",CG462="L23",CG462="LIFT"),H462&gt;0),CC462*IF(CR462&gt;0,CR462*MAX(1,H462/X462),IF(CA462=1,CE462,IF(R462&gt;0,CN462/R462,0))/MAX(0.1,N(Parameter!$M$21))),"")</f>
        <v>1.49038461538462</v>
      </c>
      <c r="CT462" s="64" t="n">
        <f aca="false">IF(CS462="","",J462/H462)</f>
        <v>0.375</v>
      </c>
      <c r="CU462" s="62" t="n">
        <f aca="false">IF(CS462="","",H462*G462)</f>
        <v>342.16</v>
      </c>
      <c r="CV462" s="63" t="n">
        <f aca="false">IF(CS462="","",(CL462+ROUNDUP(CL462+MAX(CM462,2*(J462/MAX(0.1,N(Einkauf!$C$6))-CL462)),0))/2)</f>
        <v>2.5</v>
      </c>
      <c r="CW462" s="62" t="n">
        <f aca="false">IF(CS462="","",MAX(0,H462-CV462)*G462)</f>
        <v>235.235</v>
      </c>
      <c r="CX462" s="62" t="n">
        <f aca="false">IF(CS462="","",CS462*MAX(0,1-CV462/H462))</f>
        <v>1.02463942307692</v>
      </c>
      <c r="CY462" s="64" t="n">
        <f aca="false">IF(CS462="","",PERCENTRANK($CS$7:$CS$1843,CS462)+PERCENTRANK($CU$7:$CU$1843,CU462)+1-PERCENTRANK($CT$7:$CT$1843,CT462))</f>
        <v>1.047</v>
      </c>
      <c r="CZ462" s="72" t="n">
        <f aca="false">IF(CS462="","",CHOOSE(MATCH(Einkauf!$C$5,Parameter!$G$23:$G$27,0),CY462,CS462,CU462,-CT462,CW462)+ROW()/1000000000)</f>
        <v>1.047000462</v>
      </c>
    </row>
    <row r="463" customFormat="false" ht="15" hidden="false" customHeight="false" outlineLevel="0" collapsed="false">
      <c r="A463" s="60" t="s">
        <v>1084</v>
      </c>
      <c r="B463" s="60" t="s">
        <v>590</v>
      </c>
      <c r="C463" s="60" t="s">
        <v>206</v>
      </c>
      <c r="D463" s="60" t="s">
        <v>226</v>
      </c>
      <c r="E463" s="60"/>
      <c r="F463" s="60" t="s">
        <v>260</v>
      </c>
      <c r="G463" s="61" t="n">
        <v>57.39</v>
      </c>
      <c r="H463" s="62" t="n">
        <f aca="false">MAX(0,IF(AND(Parameter!$B$21="Ja",ISNUMBER(Y463)),Y463,IF(Parameter!$B$20="Jahresanfang 2025 + Export",BS463+BR463,BR463)))</f>
        <v>3</v>
      </c>
      <c r="I463" s="62" t="n">
        <f aca="false">H463*G463</f>
        <v>172.17</v>
      </c>
      <c r="J463" s="62" t="n">
        <f aca="false">BU463*Parameter!$B$18</f>
        <v>1</v>
      </c>
      <c r="K463" s="63" t="n">
        <v>2.5</v>
      </c>
      <c r="L463" s="64" t="n">
        <v>0.4</v>
      </c>
      <c r="M463" s="62" t="n">
        <v>0</v>
      </c>
      <c r="N463" s="62" t="n">
        <v>1</v>
      </c>
      <c r="O463" s="65" t="n">
        <v>28</v>
      </c>
      <c r="P463" s="60" t="s">
        <v>370</v>
      </c>
      <c r="Q463" s="62" t="n">
        <v>3</v>
      </c>
      <c r="R463" s="65" t="n">
        <f aca="false">IF(CA463=1,0,IFERROR(VLOOKUP(BY463,'Gebinde-Kategorie'!$A$5:$N$45,13,0)+0,0))</f>
        <v>52</v>
      </c>
      <c r="S463" s="66"/>
      <c r="T463" s="67"/>
      <c r="U463" s="67"/>
      <c r="V463" s="67"/>
      <c r="W463" s="60"/>
      <c r="X463" s="62"/>
      <c r="Y463" s="62"/>
      <c r="Z463" s="60" t="n">
        <v>3</v>
      </c>
      <c r="AA463" s="60" t="n">
        <f aca="false">IF(A463="","",IF(AND(Parameter!$B$21="Ja",ISNUMBER(W463)),W463,IF(AND(Parameter!$E$27="Ja",ISNUMBER(Z463),CD463&lt;&gt;"Nein"),Z463,IF(CD463="2+3",IF(ISNUMBER(SEARCH("grosser Artikel",BV463)),2,IFERROR(VLOOKUP(BY463,Parameter!$F$35:$G$64,2,0),2)),IF(OR(CD463="Nein",CD463=""),"-",CD463)))))</f>
        <v>3</v>
      </c>
      <c r="AB463" s="67"/>
      <c r="AC463" s="68"/>
      <c r="AD463" s="62" t="n">
        <f aca="false">AW463</f>
        <v>1</v>
      </c>
      <c r="AE463" s="62" t="n">
        <f aca="false">MAX(AW463,H463)</f>
        <v>3</v>
      </c>
      <c r="AF463" s="69"/>
      <c r="AG463" s="62" t="n">
        <f aca="false">IF(LEFT(Cockpit!$C$5,1)="A",H463,IF(Parameter!$E$30="MAX-Bestand",IF(CI463=1,CJ463,IF(LEFT(Cockpit!$C$5,1)="B",AM463,MAX(AM463,H463))),ROUNDUP(AK463,0)))</f>
        <v>3</v>
      </c>
      <c r="AH463" s="62" t="n">
        <f aca="false">IF(CA463=1,0,ROUNDUP(AG463/BZ463,0))</f>
        <v>1</v>
      </c>
      <c r="AI463" s="64" t="n">
        <f aca="false">IF(CR463&gt;0,CR463*MAX(1,AG463/X463),IF(CA463=1,IF(AG463&lt;=0,0,CE463*MAX(1,IF(H463&gt;0,AG463/H463,1))),IF(R463&gt;0,AH463/R463,0))/MAX(0.1,N(Parameter!$M$21)))</f>
        <v>0.0192307692307692</v>
      </c>
      <c r="AJ463" s="62" t="n">
        <f aca="false">AI463*CC463</f>
        <v>2.98076923076923</v>
      </c>
      <c r="AK463" s="63" t="n">
        <f aca="false">IF(LEFT(Cockpit!$C$5,1)="A",H463,IF(CI463=1,(CL463+CJ463)/2,IF(LEFT(Cockpit!$C$5,1)="B",(CL463+AM463)/2,MAX((CL463+AM463)/2,H463))))</f>
        <v>3</v>
      </c>
      <c r="AL463" s="62" t="n">
        <f aca="false">AK463*G463</f>
        <v>172.17</v>
      </c>
      <c r="AM463" s="62" t="n">
        <f aca="false">ROUNDUP(CL463+MAX(CM463,2*(J463/IF(CH463&gt;0,CH463,MAX(0.1,N(Cockpit!$C$6)))-CL463)),0)</f>
        <v>1</v>
      </c>
      <c r="AN463" s="63" t="n">
        <f aca="false">IF(AJ463&gt;0,J463/AJ463,-1)</f>
        <v>0.335483870967742</v>
      </c>
      <c r="AO463" s="63" t="n">
        <f aca="false">IF(AND(OR(CG463="L1",CG463="L23",CG463="LIFT"),AJ463&gt;0),SUMIFS($AJ$7:$AJ$1843,$CG$7:$CG$1843,CG463,$AN$7:$AN$1843,"&gt;"&amp;AN463)+SUMIFS($AJ$7:$AJ$1843,$CG$7:$CG$1843,CG463,$AN$7:$AN$1843,AN463,$BX$7:$BX$1843,"&lt;="&amp;BX463),"")</f>
        <v>11180.0578087167</v>
      </c>
      <c r="AP463" s="70" t="n">
        <f aca="false">IF(AO463="",0,MAX(0,MIN(1,(IF(CG463="L1",Parameter!$H$5,IF(CG463="L23",Parameter!$H$6+Parameter!$H$7,Parameter!$H$5+Parameter!$H$6+Parameter!$H$7))-(AO463-AJ463))/AJ463)))</f>
        <v>1</v>
      </c>
      <c r="AQ463" s="62" t="n">
        <f aca="false">IF(LEFT(Cockpit!$I$5,1)="A",H463,IF(Parameter!$E$30="MAX-Bestand",IF(CI463=1,CJ463,IF(LEFT(Cockpit!$I$5,1)="B",AW463,MAX(AW463,H463))),ROUNDUP(AU463,0)))</f>
        <v>3</v>
      </c>
      <c r="AR463" s="62" t="n">
        <f aca="false">IF(CA463=1,0,ROUNDUP(AQ463/BZ463,0))</f>
        <v>1</v>
      </c>
      <c r="AS463" s="64" t="n">
        <f aca="false">IF(CR463&gt;0,CR463*MAX(1,AQ463/X463),IF(CA463=1,IF(AQ463&lt;=0,0,CE463*MAX(1,IF(H463&gt;0,AQ463/H463,1))),IF(R463&gt;0,AR463/R463,0))/MAX(0.1,N(Parameter!$M$21)))</f>
        <v>0.0192307692307692</v>
      </c>
      <c r="AT463" s="62" t="n">
        <f aca="false">AS463*CC463</f>
        <v>2.98076923076923</v>
      </c>
      <c r="AU463" s="63" t="n">
        <f aca="false">IF(LEFT(Cockpit!$I$5,1)="A",H463,IF(CI463=1,(CL463+CJ463)/2,IF(LEFT(Cockpit!$I$5,1)="B",(CL463+AW463)/2,MAX((CL463+AW463)/2,H463))))</f>
        <v>3</v>
      </c>
      <c r="AV463" s="62" t="n">
        <f aca="false">AU463*G463</f>
        <v>172.17</v>
      </c>
      <c r="AW463" s="62" t="n">
        <f aca="false">ROUNDUP(CL463+MAX(CM463,2*(J463/IF(CH463&gt;0,CH463,MAX(0.1,N(Cockpit!$I$6)))-CL463)),0)</f>
        <v>1</v>
      </c>
      <c r="AX463" s="63" t="n">
        <f aca="false">IF(AT463&gt;0,J463/AT463,-1)</f>
        <v>0.335483870967742</v>
      </c>
      <c r="AY463" s="63" t="n">
        <f aca="false">IF(AND(OR(CG463="L1",CG463="L23",CG463="LIFT"),AT463&gt;0),SUMIFS($AT$7:$AT$1843,$CG$7:$CG$1843,CG463,$AX$7:$AX$1843,"&gt;"&amp;AX463)+SUMIFS($AT$7:$AT$1843,$CG$7:$CG$1843,CG463,$AX$7:$AX$1843,AX463,$BX$7:$BX$1843,"&lt;="&amp;BX463),"")</f>
        <v>13702.2724358974</v>
      </c>
      <c r="AZ463" s="70" t="n">
        <f aca="false">IF(AY463="",0,MAX(0,MIN(1,(IF(CG463="L1",Parameter!$H$5,IF(CG463="L23",Parameter!$H$6+Parameter!$H$7,Parameter!$H$5+Parameter!$H$6+Parameter!$H$7))-(AY463-AT463))/AT463)))</f>
        <v>1</v>
      </c>
      <c r="BA463" s="62" t="n">
        <f aca="false">IF(LEFT(Cockpit!$O$5,1)="A",H463,IF(Parameter!$E$30="MAX-Bestand",IF(CI463=1,CJ463,IF(LEFT(Cockpit!$O$5,1)="B",BG463,MAX(BG463,H463))),ROUNDUP(BE463,0)))</f>
        <v>1</v>
      </c>
      <c r="BB463" s="62" t="n">
        <f aca="false">IF(CA463=1,0,ROUNDUP(BA463/BZ463,0))</f>
        <v>1</v>
      </c>
      <c r="BC463" s="64" t="n">
        <f aca="false">IF(CR463&gt;0,CR463*MAX(1,BA463/X463),IF(CA463=1,IF(BA463&lt;=0,0,CE463*MAX(1,IF(H463&gt;0,BA463/H463,1))),IF(R463&gt;0,BB463/R463,0))/MAX(0.1,N(Parameter!$M$21)))</f>
        <v>0.0192307692307692</v>
      </c>
      <c r="BD463" s="62" t="n">
        <f aca="false">BC463*CC463</f>
        <v>2.98076923076923</v>
      </c>
      <c r="BE463" s="63" t="n">
        <f aca="false">IF(LEFT(Cockpit!$O$5,1)="A",H463,IF(CI463=1,(CL463+CJ463)/2,IF(LEFT(Cockpit!$O$5,1)="B",(CL463+BG463)/2,MAX((CL463+BG463)/2,H463))))</f>
        <v>0.5</v>
      </c>
      <c r="BF463" s="62" t="n">
        <f aca="false">BE463*G463</f>
        <v>28.695</v>
      </c>
      <c r="BG463" s="62" t="n">
        <f aca="false">ROUNDUP(CL463+MAX(CM463,2*(J463/IF(CH463&gt;0,CH463,MAX(0.1,N(Cockpit!$O$6)))-CL463)),0)</f>
        <v>1</v>
      </c>
      <c r="BH463" s="63" t="n">
        <f aca="false">IF(BD463&gt;0,J463/BD463,-1)</f>
        <v>0.335483870967742</v>
      </c>
      <c r="BI463" s="63" t="n">
        <f aca="false">IF(AND(OR(CG463="L1",CG463="L23",CG463="LIFT"),BD463&gt;0),SUMIFS($BD$7:$BD$1843,$CG$7:$CG$1843,CG463,$BH$7:$BH$1843,"&gt;"&amp;BH463)+SUMIFS($BD$7:$BD$1843,$CG$7:$CG$1843,CG463,$BH$7:$BH$1843,BH463,$BX$7:$BX$1843,"&lt;="&amp;BX463),"")</f>
        <v>11559.1927655678</v>
      </c>
      <c r="BJ463" s="70" t="n">
        <f aca="false">IF(BI463="",0,MAX(0,MIN(1,(IF(CG463="L1",Parameter!$H$5,IF(CG463="L23",Parameter!$H$6+Parameter!$H$7,Parameter!$H$5+Parameter!$H$6+Parameter!$H$7))-(BI463-BD463))/BD463)))</f>
        <v>1</v>
      </c>
      <c r="BK463" s="60" t="str">
        <f aca="false">IF(AJ463&lt;=0,"",IF(CG463="Aussen","Aussenlager",IF(CG463="-","Nicht im Lift",IF(AP463&gt;=1,"Lift",IF(AP463&lt;=0,"Aussenlager","teilweise")))))</f>
        <v>Lift</v>
      </c>
      <c r="BL463" s="60" t="str">
        <f aca="false">IF(AT463&lt;=0,"",IF(CG463="Aussen","Aussenlager",IF(CG463="-","Nicht im Lift",IF(AZ463&gt;=1,"Lift",IF(AZ463&lt;=0,"Aussenlager","teilweise")))))</f>
        <v>Lift</v>
      </c>
      <c r="BM463" s="60" t="str">
        <f aca="false">IF(BD463&lt;=0,"",IF(CG463="Aussen","Aussenlager",IF(CG463="-","Nicht im Lift",IF(BJ463&gt;=1,"Lift",IF(BJ463&lt;=0,"Aussenlager","teilweise")))))</f>
        <v>Lift</v>
      </c>
      <c r="BN463" s="60" t="str">
        <f aca="false">IF(A463="","",IF(BW463=1,"Neu; ","")&amp;IF(AND(BW463=0,BR463&lt;0),"negativer Bestand (Export "&amp;BR463&amp;"); ","")&amp;IF(J463&lt;=0,"Kein Verbrauch; ","")&amp;IF(CR463&gt;0,"Lift "&amp;W463&amp;" lt. Liftbericht (Fach "&amp;X463&amp;" Stk); ",IF(CB463=1,"Gebinde geschätzt ("&amp;T463&amp;"); ",IF(CA463=1,"Lose – Tablare geschätzt; ","")))&amp;IF(H463&gt;AW463,"Überbestand "&amp;ROUND(H463-AW463,0)&amp;" Stk / CHF "&amp;ROUND((H463-AW463)*G463,0)&amp;"; ","")&amp;IF(AND(CI463=1,CJ463&lt;CK463),"MAX &lt; MB+LG; ","")&amp;IF(AND(CQ463&gt;0,CP463*10&gt;CQ463),"zu hoch für Tablar; ","")&amp;IF(AND(BW463=0,OR(CI463=1,AB463&lt;&gt;"",U463&lt;&gt;"",V463&lt;&gt;"",AC463&lt;&gt;"")),"manuell übersteuert; ","")&amp;IF(AND(CA463=0,R463=0),"Gebinde unbekannt / Stellmass fehlt; ","")&amp;IF(AND(CA463=0,N(V463)&lt;=0,N(Q463)&lt;=0),"Menge pro Gebinde fehlt (Ist = 1 Gebinde); ","")&amp;BV463)</f>
        <v>Überbestand 2 Stk / CHF 115; </v>
      </c>
      <c r="BO463" s="60"/>
      <c r="BP463" s="60"/>
      <c r="BQ463" s="67"/>
      <c r="BR463" s="62" t="n">
        <v>1</v>
      </c>
      <c r="BS463" s="62" t="n">
        <v>2</v>
      </c>
      <c r="BT463" s="61" t="n">
        <v>57.39</v>
      </c>
      <c r="BU463" s="62" t="n">
        <v>1</v>
      </c>
      <c r="BV463" s="60"/>
      <c r="BW463" s="65" t="n">
        <v>0</v>
      </c>
      <c r="BX463" s="65" t="n">
        <v>463</v>
      </c>
      <c r="BY463" s="60" t="str">
        <f aca="false">IF(U463&lt;&gt;"",UPPER(TRIM(U463)),IF(CB463=1,UPPER(VLOOKUP(T463,Parameter!$I$27:$K$29,2,0)),IF(P463="","LOSE",P463)))</f>
        <v>S41</v>
      </c>
      <c r="BZ463" s="62" t="n">
        <f aca="false">IF(BY463="LOSE",1,IF(N(V463)&gt;0,V463,IF(CB463=1,MAX(1,N(VLOOKUP(T463,Parameter!$I$27:$K$29,3,0)),H463,N(N463)),IF(N(Q463)&gt;0,Q463,MAX(1,H463)))))</f>
        <v>3</v>
      </c>
      <c r="CA463" s="65" t="n">
        <f aca="false">IF(BY463="LOSE",1,0)</f>
        <v>0</v>
      </c>
      <c r="CB463" s="65" t="n">
        <f aca="false">IF(AND(U463="",OR(P463="",P463="LOSE"),T463&lt;&gt;"",N(S463)&lt;=0,ISNUMBER(MATCH(T463,Parameter!$I$27:$I$29,0))),1,0)</f>
        <v>0</v>
      </c>
      <c r="CC463" s="65" t="n">
        <f aca="false">IF(CR463&gt;0,INDEX(Parameter!$H$5:$H$7,W463)/INDEX(Parameter!$E$5:$E$7,W463),IF(AND(CA463=0,N(IFERROR(VLOOKUP(BY463,'Gebinde-Kategorie'!$A$5:$N$45,14,0),0))&gt;0),VLOOKUP(BY463,'Gebinde-Kategorie'!$A$5:$N$45,14,0)*10+Parameter!$M$23,Parameter!$M$24))</f>
        <v>155</v>
      </c>
      <c r="CD463" s="60" t="str">
        <f aca="false">IF(AND(Parameter!$B$19="Ja",E463&lt;&gt;"",ISNUMBER(MATCH(E463,Parameter!$I$35:$I$52,0))),VLOOKUP(E463,Parameter!$I$35:$J$52,2,0),IFERROR(VLOOKUP(D463,Parameter!$A$35:$C$64,2,0),"Nein"))</f>
        <v>2+3</v>
      </c>
      <c r="CE463" s="64" t="n">
        <f aca="false">IF(CA463=0,0,IF(N(S463)&gt;0,S463,IFERROR(VLOOKUP(D463,Parameter!$A$35:$C$64,3,0)+0,0)))</f>
        <v>0</v>
      </c>
      <c r="CF463" s="60" t="n">
        <f aca="false">IF(AB463&lt;&gt;"",AB463,AA463)</f>
        <v>3</v>
      </c>
      <c r="CG463" s="60" t="str">
        <f aca="false">IF(OR(CF463=1,CF463=2,CF463=3),IF(Parameter!$E$27="Ja","LIFT",IF(CF463=1,"L1","L23")),IF(CF463="Aussen","Aussen","-"))</f>
        <v>LIFT</v>
      </c>
      <c r="CH463" s="71" t="n">
        <f aca="false">IF(N(AC463)&gt;0,AC463,0)</f>
        <v>0</v>
      </c>
      <c r="CI463" s="65" t="n">
        <f aca="false">IF(ISNUMBER(AF463),1,0)</f>
        <v>0</v>
      </c>
      <c r="CJ463" s="62" t="n">
        <f aca="false">N(AF463)</f>
        <v>0</v>
      </c>
      <c r="CK463" s="62" t="n">
        <f aca="false">N(M463)+N(N463)</f>
        <v>1</v>
      </c>
      <c r="CL463" s="62" t="n">
        <f aca="false">N(M463)</f>
        <v>0</v>
      </c>
      <c r="CM463" s="62" t="n">
        <f aca="false">N(N463)</f>
        <v>1</v>
      </c>
      <c r="CN463" s="62" t="n">
        <f aca="false">ROUNDUP(H463/BZ463,0)</f>
        <v>1</v>
      </c>
      <c r="CO463" s="62" t="n">
        <f aca="false">ROUNDUP(CJ463/BZ463,0)</f>
        <v>0</v>
      </c>
      <c r="CP463" s="65" t="n">
        <f aca="false">IF(CA463=1,0,IFERROR(VLOOKUP(BY463,'Gebinde-Kategorie'!$A$5:$N$45,5,0)+0,0))</f>
        <v>11</v>
      </c>
      <c r="CQ463" s="65" t="n">
        <f aca="false">IFERROR(IF(OR(CF463=1,CF463=2,CF463=3),N(INDEX(Parameter!$I$5:$I$7,CF463)),0),0)</f>
        <v>0</v>
      </c>
      <c r="CR463" s="64" t="n">
        <f aca="false">IF(AND(Parameter!$B$21="Ja",ISNUMBER(W463),N(X463)&gt;0),IFERROR(N(INDEX(Parameter!$L$5:$L$7,W463))*INDEX(Parameter!$E$5:$E$7,W463)*X463/SUMIFS($X$7:$X$1843,$W$7:$W$1843,W463),0),0)</f>
        <v>0</v>
      </c>
      <c r="CS463" s="62" t="n">
        <f aca="false">IF(AND(OR(CG463="L1",CG463="L23",CG463="LIFT"),H463&gt;0),CC463*IF(CR463&gt;0,CR463*MAX(1,H463/X463),IF(CA463=1,CE463,IF(R463&gt;0,CN463/R463,0))/MAX(0.1,N(Parameter!$M$21))),"")</f>
        <v>2.98076923076923</v>
      </c>
      <c r="CT463" s="64" t="n">
        <f aca="false">IF(CS463="","",J463/H463)</f>
        <v>0.333333333333333</v>
      </c>
      <c r="CU463" s="62" t="n">
        <f aca="false">IF(CS463="","",H463*G463)</f>
        <v>172.17</v>
      </c>
      <c r="CV463" s="63" t="n">
        <f aca="false">IF(CS463="","",(CL463+ROUNDUP(CL463+MAX(CM463,2*(J463/MAX(0.1,N(Einkauf!$C$6))-CL463)),0))/2)</f>
        <v>0.5</v>
      </c>
      <c r="CW463" s="62" t="n">
        <f aca="false">IF(CS463="","",MAX(0,H463-CV463)*G463)</f>
        <v>143.475</v>
      </c>
      <c r="CX463" s="62" t="n">
        <f aca="false">IF(CS463="","",CS463*MAX(0,1-CV463/H463))</f>
        <v>2.48397435897436</v>
      </c>
      <c r="CY463" s="64" t="n">
        <f aca="false">IF(CS463="","",PERCENTRANK($CS$7:$CS$1843,CS463)+PERCENTRANK($CU$7:$CU$1843,CU463)+1-PERCENTRANK($CT$7:$CT$1843,CT463))</f>
        <v>1.023</v>
      </c>
      <c r="CZ463" s="72" t="n">
        <f aca="false">IF(CS463="","",CHOOSE(MATCH(Einkauf!$C$5,Parameter!$G$23:$G$27,0),CY463,CS463,CU463,-CT463,CW463)+ROW()/1000000000)</f>
        <v>1.023000463</v>
      </c>
    </row>
    <row r="464" customFormat="false" ht="15" hidden="false" customHeight="false" outlineLevel="0" collapsed="false">
      <c r="A464" s="60" t="s">
        <v>1085</v>
      </c>
      <c r="B464" s="60" t="s">
        <v>631</v>
      </c>
      <c r="C464" s="60" t="s">
        <v>206</v>
      </c>
      <c r="D464" s="60" t="s">
        <v>226</v>
      </c>
      <c r="E464" s="60" t="s">
        <v>227</v>
      </c>
      <c r="F464" s="60" t="s">
        <v>260</v>
      </c>
      <c r="G464" s="61" t="n">
        <v>2.2</v>
      </c>
      <c r="H464" s="62" t="n">
        <f aca="false">MAX(0,IF(AND(Parameter!$B$21="Ja",ISNUMBER(Y464)),Y464,IF(Parameter!$B$20="Jahresanfang 2025 + Export",BS464+BR464,BR464)))</f>
        <v>50</v>
      </c>
      <c r="I464" s="62" t="n">
        <f aca="false">H464*G464</f>
        <v>110</v>
      </c>
      <c r="J464" s="62" t="n">
        <f aca="false">BU464*Parameter!$B$18</f>
        <v>11</v>
      </c>
      <c r="K464" s="63" t="n">
        <v>21</v>
      </c>
      <c r="L464" s="64" t="n">
        <v>0.523809523809524</v>
      </c>
      <c r="M464" s="62" t="n">
        <v>1</v>
      </c>
      <c r="N464" s="62" t="n">
        <v>10</v>
      </c>
      <c r="O464" s="65" t="n">
        <v>21</v>
      </c>
      <c r="P464" s="60" t="s">
        <v>443</v>
      </c>
      <c r="Q464" s="62" t="n">
        <v>48</v>
      </c>
      <c r="R464" s="65" t="n">
        <f aca="false">IF(CA464=1,0,IFERROR(VLOOKUP(BY464,'Gebinde-Kategorie'!$A$5:$N$45,13,0)+0,0))</f>
        <v>280</v>
      </c>
      <c r="S464" s="66"/>
      <c r="T464" s="67"/>
      <c r="U464" s="67"/>
      <c r="V464" s="67"/>
      <c r="W464" s="60"/>
      <c r="X464" s="62"/>
      <c r="Y464" s="62"/>
      <c r="Z464" s="60" t="n">
        <v>1</v>
      </c>
      <c r="AA464" s="60" t="n">
        <f aca="false">IF(A464="","",IF(AND(Parameter!$B$21="Ja",ISNUMBER(W464)),W464,IF(AND(Parameter!$E$27="Ja",ISNUMBER(Z464),CD464&lt;&gt;"Nein"),Z464,IF(CD464="2+3",IF(ISNUMBER(SEARCH("grosser Artikel",BV464)),2,IFERROR(VLOOKUP(BY464,Parameter!$F$35:$G$64,2,0),2)),IF(OR(CD464="Nein",CD464=""),"-",CD464)))))</f>
        <v>1</v>
      </c>
      <c r="AB464" s="67"/>
      <c r="AC464" s="68"/>
      <c r="AD464" s="62" t="n">
        <f aca="false">AW464</f>
        <v>11</v>
      </c>
      <c r="AE464" s="62" t="n">
        <f aca="false">MAX(AW464,H464)</f>
        <v>50</v>
      </c>
      <c r="AF464" s="69"/>
      <c r="AG464" s="62" t="n">
        <f aca="false">IF(LEFT(Cockpit!$C$5,1)="A",H464,IF(Parameter!$E$30="MAX-Bestand",IF(CI464=1,CJ464,IF(LEFT(Cockpit!$C$5,1)="B",AM464,MAX(AM464,H464))),ROUNDUP(AK464,0)))</f>
        <v>50</v>
      </c>
      <c r="AH464" s="62" t="n">
        <f aca="false">IF(CA464=1,0,ROUNDUP(AG464/BZ464,0))</f>
        <v>2</v>
      </c>
      <c r="AI464" s="64" t="n">
        <f aca="false">IF(CR464&gt;0,CR464*MAX(1,AG464/X464),IF(CA464=1,IF(AG464&lt;=0,0,CE464*MAX(1,IF(H464&gt;0,AG464/H464,1))),IF(R464&gt;0,AH464/R464,0))/MAX(0.1,N(Parameter!$M$21)))</f>
        <v>0.00714285714285714</v>
      </c>
      <c r="AJ464" s="62" t="n">
        <f aca="false">AI464*CC464</f>
        <v>1.10714285714286</v>
      </c>
      <c r="AK464" s="63" t="n">
        <f aca="false">IF(LEFT(Cockpit!$C$5,1)="A",H464,IF(CI464=1,(CL464+CJ464)/2,IF(LEFT(Cockpit!$C$5,1)="B",(CL464+AM464)/2,MAX((CL464+AM464)/2,H464))))</f>
        <v>50</v>
      </c>
      <c r="AL464" s="62" t="n">
        <f aca="false">AK464*G464</f>
        <v>110</v>
      </c>
      <c r="AM464" s="62" t="n">
        <f aca="false">ROUNDUP(CL464+MAX(CM464,2*(J464/IF(CH464&gt;0,CH464,MAX(0.1,N(Cockpit!$C$6)))-CL464)),0)</f>
        <v>11</v>
      </c>
      <c r="AN464" s="63" t="n">
        <f aca="false">IF(AJ464&gt;0,J464/AJ464,-1)</f>
        <v>9.93548387096774</v>
      </c>
      <c r="AO464" s="63" t="n">
        <f aca="false">IF(AND(OR(CG464="L1",CG464="L23",CG464="LIFT"),AJ464&gt;0),SUMIFS($AJ$7:$AJ$1843,$CG$7:$CG$1843,CG464,$AN$7:$AN$1843,"&gt;"&amp;AN464)+SUMIFS($AJ$7:$AJ$1843,$CG$7:$CG$1843,CG464,$AN$7:$AN$1843,AN464,$BX$7:$BX$1843,"&lt;="&amp;BX464),"")</f>
        <v>2603.23946886447</v>
      </c>
      <c r="AP464" s="70" t="n">
        <f aca="false">IF(AO464="",0,MAX(0,MIN(1,(IF(CG464="L1",Parameter!$H$5,IF(CG464="L23",Parameter!$H$6+Parameter!$H$7,Parameter!$H$5+Parameter!$H$6+Parameter!$H$7))-(AO464-AJ464))/AJ464)))</f>
        <v>1</v>
      </c>
      <c r="AQ464" s="62" t="n">
        <f aca="false">IF(LEFT(Cockpit!$I$5,1)="A",H464,IF(Parameter!$E$30="MAX-Bestand",IF(CI464=1,CJ464,IF(LEFT(Cockpit!$I$5,1)="B",AW464,MAX(AW464,H464))),ROUNDUP(AU464,0)))</f>
        <v>50</v>
      </c>
      <c r="AR464" s="62" t="n">
        <f aca="false">IF(CA464=1,0,ROUNDUP(AQ464/BZ464,0))</f>
        <v>2</v>
      </c>
      <c r="AS464" s="64" t="n">
        <f aca="false">IF(CR464&gt;0,CR464*MAX(1,AQ464/X464),IF(CA464=1,IF(AQ464&lt;=0,0,CE464*MAX(1,IF(H464&gt;0,AQ464/H464,1))),IF(R464&gt;0,AR464/R464,0))/MAX(0.1,N(Parameter!$M$21)))</f>
        <v>0.00714285714285714</v>
      </c>
      <c r="AT464" s="62" t="n">
        <f aca="false">AS464*CC464</f>
        <v>1.10714285714286</v>
      </c>
      <c r="AU464" s="63" t="n">
        <f aca="false">IF(LEFT(Cockpit!$I$5,1)="A",H464,IF(CI464=1,(CL464+CJ464)/2,IF(LEFT(Cockpit!$I$5,1)="B",(CL464+AW464)/2,MAX((CL464+AW464)/2,H464))))</f>
        <v>50</v>
      </c>
      <c r="AV464" s="62" t="n">
        <f aca="false">AU464*G464</f>
        <v>110</v>
      </c>
      <c r="AW464" s="62" t="n">
        <f aca="false">ROUNDUP(CL464+MAX(CM464,2*(J464/IF(CH464&gt;0,CH464,MAX(0.1,N(Cockpit!$I$6)))-CL464)),0)</f>
        <v>11</v>
      </c>
      <c r="AX464" s="63" t="n">
        <f aca="false">IF(AT464&gt;0,J464/AT464,-1)</f>
        <v>9.93548387096774</v>
      </c>
      <c r="AY464" s="63" t="n">
        <f aca="false">IF(AND(OR(CG464="L1",CG464="L23",CG464="LIFT"),AT464&gt;0),SUMIFS($AT$7:$AT$1843,$CG$7:$CG$1843,CG464,$AX$7:$AX$1843,"&gt;"&amp;AX464)+SUMIFS($AT$7:$AT$1843,$CG$7:$CG$1843,CG464,$AX$7:$AX$1843,AX464,$BX$7:$BX$1843,"&lt;="&amp;BX464),"")</f>
        <v>3199.38141025641</v>
      </c>
      <c r="AZ464" s="70" t="n">
        <f aca="false">IF(AY464="",0,MAX(0,MIN(1,(IF(CG464="L1",Parameter!$H$5,IF(CG464="L23",Parameter!$H$6+Parameter!$H$7,Parameter!$H$5+Parameter!$H$6+Parameter!$H$7))-(AY464-AT464))/AT464)))</f>
        <v>1</v>
      </c>
      <c r="BA464" s="62" t="n">
        <f aca="false">IF(LEFT(Cockpit!$O$5,1)="A",H464,IF(Parameter!$E$30="MAX-Bestand",IF(CI464=1,CJ464,IF(LEFT(Cockpit!$O$5,1)="B",BG464,MAX(BG464,H464))),ROUNDUP(BE464,0)))</f>
        <v>6</v>
      </c>
      <c r="BB464" s="62" t="n">
        <f aca="false">IF(CA464=1,0,ROUNDUP(BA464/BZ464,0))</f>
        <v>1</v>
      </c>
      <c r="BC464" s="64" t="n">
        <f aca="false">IF(CR464&gt;0,CR464*MAX(1,BA464/X464),IF(CA464=1,IF(BA464&lt;=0,0,CE464*MAX(1,IF(H464&gt;0,BA464/H464,1))),IF(R464&gt;0,BB464/R464,0))/MAX(0.1,N(Parameter!$M$21)))</f>
        <v>0.00357142857142857</v>
      </c>
      <c r="BD464" s="62" t="n">
        <f aca="false">BC464*CC464</f>
        <v>0.553571428571429</v>
      </c>
      <c r="BE464" s="63" t="n">
        <f aca="false">IF(LEFT(Cockpit!$O$5,1)="A",H464,IF(CI464=1,(CL464+CJ464)/2,IF(LEFT(Cockpit!$O$5,1)="B",(CL464+BG464)/2,MAX((CL464+BG464)/2,H464))))</f>
        <v>6</v>
      </c>
      <c r="BF464" s="62" t="n">
        <f aca="false">BE464*G464</f>
        <v>13.2</v>
      </c>
      <c r="BG464" s="62" t="n">
        <f aca="false">ROUNDUP(CL464+MAX(CM464,2*(J464/IF(CH464&gt;0,CH464,MAX(0.1,N(Cockpit!$O$6)))-CL464)),0)</f>
        <v>11</v>
      </c>
      <c r="BH464" s="63" t="n">
        <f aca="false">IF(BD464&gt;0,J464/BD464,-1)</f>
        <v>19.8709677419355</v>
      </c>
      <c r="BI464" s="63" t="n">
        <f aca="false">IF(AND(OR(CG464="L1",CG464="L23",CG464="LIFT"),BD464&gt;0),SUMIFS($BD$7:$BD$1843,$CG$7:$CG$1843,CG464,$BH$7:$BH$1843,"&gt;"&amp;BH464)+SUMIFS($BD$7:$BD$1843,$CG$7:$CG$1843,CG464,$BH$7:$BH$1843,BH464,$BX$7:$BX$1843,"&lt;="&amp;BX464),"")</f>
        <v>2225.17445054945</v>
      </c>
      <c r="BJ464" s="70" t="n">
        <f aca="false">IF(BI464="",0,MAX(0,MIN(1,(IF(CG464="L1",Parameter!$H$5,IF(CG464="L23",Parameter!$H$6+Parameter!$H$7,Parameter!$H$5+Parameter!$H$6+Parameter!$H$7))-(BI464-BD464))/BD464)))</f>
        <v>1</v>
      </c>
      <c r="BK464" s="60" t="str">
        <f aca="false">IF(AJ464&lt;=0,"",IF(CG464="Aussen","Aussenlager",IF(CG464="-","Nicht im Lift",IF(AP464&gt;=1,"Lift",IF(AP464&lt;=0,"Aussenlager","teilweise")))))</f>
        <v>Lift</v>
      </c>
      <c r="BL464" s="60" t="str">
        <f aca="false">IF(AT464&lt;=0,"",IF(CG464="Aussen","Aussenlager",IF(CG464="-","Nicht im Lift",IF(AZ464&gt;=1,"Lift",IF(AZ464&lt;=0,"Aussenlager","teilweise")))))</f>
        <v>Lift</v>
      </c>
      <c r="BM464" s="60" t="str">
        <f aca="false">IF(BD464&lt;=0,"",IF(CG464="Aussen","Aussenlager",IF(CG464="-","Nicht im Lift",IF(BJ464&gt;=1,"Lift",IF(BJ464&lt;=0,"Aussenlager","teilweise")))))</f>
        <v>Lift</v>
      </c>
      <c r="BN464" s="60" t="str">
        <f aca="false">IF(A464="","",IF(BW464=1,"Neu; ","")&amp;IF(AND(BW464=0,BR464&lt;0),"negativer Bestand (Export "&amp;BR464&amp;"); ","")&amp;IF(J464&lt;=0,"Kein Verbrauch; ","")&amp;IF(CR464&gt;0,"Lift "&amp;W464&amp;" lt. Liftbericht (Fach "&amp;X464&amp;" Stk); ",IF(CB464=1,"Gebinde geschätzt ("&amp;T464&amp;"); ",IF(CA464=1,"Lose – Tablare geschätzt; ","")))&amp;IF(H464&gt;AW464,"Überbestand "&amp;ROUND(H464-AW464,0)&amp;" Stk / CHF "&amp;ROUND((H464-AW464)*G464,0)&amp;"; ","")&amp;IF(AND(CI464=1,CJ464&lt;CK464),"MAX &lt; MB+LG; ","")&amp;IF(AND(CQ464&gt;0,CP464*10&gt;CQ464),"zu hoch für Tablar; ","")&amp;IF(AND(BW464=0,OR(CI464=1,AB464&lt;&gt;"",U464&lt;&gt;"",V464&lt;&gt;"",AC464&lt;&gt;"")),"manuell übersteuert; ","")&amp;IF(AND(CA464=0,R464=0),"Gebinde unbekannt / Stellmass fehlt; ","")&amp;IF(AND(CA464=0,N(V464)&lt;=0,N(Q464)&lt;=0),"Menge pro Gebinde fehlt (Ist = 1 Gebinde); ","")&amp;BV464)</f>
        <v>Überbestand 39 Stk / CHF 86; </v>
      </c>
      <c r="BO464" s="60"/>
      <c r="BP464" s="60"/>
      <c r="BQ464" s="67"/>
      <c r="BR464" s="62" t="n">
        <v>26</v>
      </c>
      <c r="BS464" s="62" t="n">
        <v>24</v>
      </c>
      <c r="BT464" s="61" t="n">
        <v>57.2</v>
      </c>
      <c r="BU464" s="62" t="n">
        <v>11</v>
      </c>
      <c r="BV464" s="60"/>
      <c r="BW464" s="65" t="n">
        <v>0</v>
      </c>
      <c r="BX464" s="65" t="n">
        <v>464</v>
      </c>
      <c r="BY464" s="60" t="str">
        <f aca="false">IF(U464&lt;&gt;"",UPPER(TRIM(U464)),IF(CB464=1,UPPER(VLOOKUP(T464,Parameter!$I$27:$K$29,2,0)),IF(P464="","LOSE",P464)))</f>
        <v>S21</v>
      </c>
      <c r="BZ464" s="62" t="n">
        <f aca="false">IF(BY464="LOSE",1,IF(N(V464)&gt;0,V464,IF(CB464=1,MAX(1,N(VLOOKUP(T464,Parameter!$I$27:$K$29,3,0)),H464,N(N464)),IF(N(Q464)&gt;0,Q464,MAX(1,H464)))))</f>
        <v>48</v>
      </c>
      <c r="CA464" s="65" t="n">
        <f aca="false">IF(BY464="LOSE",1,0)</f>
        <v>0</v>
      </c>
      <c r="CB464" s="65" t="n">
        <f aca="false">IF(AND(U464="",OR(P464="",P464="LOSE"),T464&lt;&gt;"",N(S464)&lt;=0,ISNUMBER(MATCH(T464,Parameter!$I$27:$I$29,0))),1,0)</f>
        <v>0</v>
      </c>
      <c r="CC464" s="65" t="n">
        <f aca="false">IF(CR464&gt;0,INDEX(Parameter!$H$5:$H$7,W464)/INDEX(Parameter!$E$5:$E$7,W464),IF(AND(CA464=0,N(IFERROR(VLOOKUP(BY464,'Gebinde-Kategorie'!$A$5:$N$45,14,0),0))&gt;0),VLOOKUP(BY464,'Gebinde-Kategorie'!$A$5:$N$45,14,0)*10+Parameter!$M$23,Parameter!$M$24))</f>
        <v>155</v>
      </c>
      <c r="CD464" s="60" t="str">
        <f aca="false">IF(AND(Parameter!$B$19="Ja",E464&lt;&gt;"",ISNUMBER(MATCH(E464,Parameter!$I$35:$I$52,0))),VLOOKUP(E464,Parameter!$I$35:$J$52,2,0),IFERROR(VLOOKUP(D464,Parameter!$A$35:$C$64,2,0),"Nein"))</f>
        <v>2+3</v>
      </c>
      <c r="CE464" s="64" t="n">
        <f aca="false">IF(CA464=0,0,IF(N(S464)&gt;0,S464,IFERROR(VLOOKUP(D464,Parameter!$A$35:$C$64,3,0)+0,0)))</f>
        <v>0</v>
      </c>
      <c r="CF464" s="60" t="n">
        <f aca="false">IF(AB464&lt;&gt;"",AB464,AA464)</f>
        <v>1</v>
      </c>
      <c r="CG464" s="60" t="str">
        <f aca="false">IF(OR(CF464=1,CF464=2,CF464=3),IF(Parameter!$E$27="Ja","LIFT",IF(CF464=1,"L1","L23")),IF(CF464="Aussen","Aussen","-"))</f>
        <v>LIFT</v>
      </c>
      <c r="CH464" s="71" t="n">
        <f aca="false">IF(N(AC464)&gt;0,AC464,0)</f>
        <v>0</v>
      </c>
      <c r="CI464" s="65" t="n">
        <f aca="false">IF(ISNUMBER(AF464),1,0)</f>
        <v>0</v>
      </c>
      <c r="CJ464" s="62" t="n">
        <f aca="false">N(AF464)</f>
        <v>0</v>
      </c>
      <c r="CK464" s="62" t="n">
        <f aca="false">N(M464)+N(N464)</f>
        <v>11</v>
      </c>
      <c r="CL464" s="62" t="n">
        <f aca="false">N(M464)</f>
        <v>1</v>
      </c>
      <c r="CM464" s="62" t="n">
        <f aca="false">N(N464)</f>
        <v>10</v>
      </c>
      <c r="CN464" s="62" t="n">
        <f aca="false">ROUNDUP(H464/BZ464,0)</f>
        <v>2</v>
      </c>
      <c r="CO464" s="62" t="n">
        <f aca="false">ROUNDUP(CJ464/BZ464,0)</f>
        <v>0</v>
      </c>
      <c r="CP464" s="65" t="n">
        <f aca="false">IF(CA464=1,0,IFERROR(VLOOKUP(BY464,'Gebinde-Kategorie'!$A$5:$N$45,5,0)+0,0))</f>
        <v>8</v>
      </c>
      <c r="CQ464" s="65" t="n">
        <f aca="false">IFERROR(IF(OR(CF464=1,CF464=2,CF464=3),N(INDEX(Parameter!$I$5:$I$7,CF464)),0),0)</f>
        <v>0</v>
      </c>
      <c r="CR464" s="64" t="n">
        <f aca="false">IF(AND(Parameter!$B$21="Ja",ISNUMBER(W464),N(X464)&gt;0),IFERROR(N(INDEX(Parameter!$L$5:$L$7,W464))*INDEX(Parameter!$E$5:$E$7,W464)*X464/SUMIFS($X$7:$X$1843,$W$7:$W$1843,W464),0),0)</f>
        <v>0</v>
      </c>
      <c r="CS464" s="62" t="n">
        <f aca="false">IF(AND(OR(CG464="L1",CG464="L23",CG464="LIFT"),H464&gt;0),CC464*IF(CR464&gt;0,CR464*MAX(1,H464/X464),IF(CA464=1,CE464,IF(R464&gt;0,CN464/R464,0))/MAX(0.1,N(Parameter!$M$21))),"")</f>
        <v>1.10714285714286</v>
      </c>
      <c r="CT464" s="64" t="n">
        <f aca="false">IF(CS464="","",J464/H464)</f>
        <v>0.22</v>
      </c>
      <c r="CU464" s="62" t="n">
        <f aca="false">IF(CS464="","",H464*G464)</f>
        <v>110</v>
      </c>
      <c r="CV464" s="63" t="n">
        <f aca="false">IF(CS464="","",(CL464+ROUNDUP(CL464+MAX(CM464,2*(J464/MAX(0.1,N(Einkauf!$C$6))-CL464)),0))/2)</f>
        <v>6</v>
      </c>
      <c r="CW464" s="62" t="n">
        <f aca="false">IF(CS464="","",MAX(0,H464-CV464)*G464)</f>
        <v>96.8</v>
      </c>
      <c r="CX464" s="62" t="n">
        <f aca="false">IF(CS464="","",CS464*MAX(0,1-CV464/H464))</f>
        <v>0.974285714285714</v>
      </c>
      <c r="CY464" s="64" t="n">
        <f aca="false">IF(CS464="","",PERCENTRANK($CS$7:$CS$1843,CS464)+PERCENTRANK($CU$7:$CU$1843,CU464)+1-PERCENTRANK($CT$7:$CT$1843,CT464))</f>
        <v>0.8224</v>
      </c>
      <c r="CZ464" s="72" t="n">
        <f aca="false">IF(CS464="","",CHOOSE(MATCH(Einkauf!$C$5,Parameter!$G$23:$G$27,0),CY464,CS464,CU464,-CT464,CW464)+ROW()/1000000000)</f>
        <v>0.822400464</v>
      </c>
    </row>
    <row r="465" customFormat="false" ht="15" hidden="false" customHeight="false" outlineLevel="0" collapsed="false">
      <c r="A465" s="60" t="s">
        <v>1086</v>
      </c>
      <c r="B465" s="60" t="s">
        <v>631</v>
      </c>
      <c r="C465" s="60" t="s">
        <v>206</v>
      </c>
      <c r="D465" s="60" t="s">
        <v>226</v>
      </c>
      <c r="E465" s="60"/>
      <c r="F465" s="60" t="s">
        <v>260</v>
      </c>
      <c r="G465" s="61" t="n">
        <v>1.9</v>
      </c>
      <c r="H465" s="62" t="n">
        <f aca="false">MAX(0,IF(AND(Parameter!$B$21="Ja",ISNUMBER(Y465)),Y465,IF(Parameter!$B$20="Jahresanfang 2025 + Export",BS465+BR465,BR465)))</f>
        <v>30</v>
      </c>
      <c r="I465" s="62" t="n">
        <f aca="false">H465*G465</f>
        <v>57</v>
      </c>
      <c r="J465" s="62" t="n">
        <f aca="false">BU465*Parameter!$B$18</f>
        <v>0</v>
      </c>
      <c r="K465" s="63" t="n">
        <v>0</v>
      </c>
      <c r="L465" s="64" t="n">
        <v>0</v>
      </c>
      <c r="M465" s="62" t="n">
        <v>0</v>
      </c>
      <c r="N465" s="62" t="n">
        <v>30</v>
      </c>
      <c r="O465" s="65" t="n">
        <v>9999</v>
      </c>
      <c r="P465" s="60" t="s">
        <v>210</v>
      </c>
      <c r="Q465" s="62"/>
      <c r="R465" s="65" t="n">
        <f aca="false">IF(CA465=1,0,IFERROR(VLOOKUP(BY465,'Gebinde-Kategorie'!$A$5:$N$45,13,0)+0,0))</f>
        <v>26</v>
      </c>
      <c r="S465" s="66"/>
      <c r="T465" s="67" t="s">
        <v>317</v>
      </c>
      <c r="U465" s="67"/>
      <c r="V465" s="67"/>
      <c r="W465" s="60"/>
      <c r="X465" s="62"/>
      <c r="Y465" s="62"/>
      <c r="Z465" s="60" t="n">
        <v>3</v>
      </c>
      <c r="AA465" s="60" t="n">
        <f aca="false">IF(A465="","",IF(AND(Parameter!$B$21="Ja",ISNUMBER(W465)),W465,IF(AND(Parameter!$E$27="Ja",ISNUMBER(Z465),CD465&lt;&gt;"Nein"),Z465,IF(CD465="2+3",IF(ISNUMBER(SEARCH("grosser Artikel",BV465)),2,IFERROR(VLOOKUP(BY465,Parameter!$F$35:$G$64,2,0),2)),IF(OR(CD465="Nein",CD465=""),"-",CD465)))))</f>
        <v>3</v>
      </c>
      <c r="AB465" s="67"/>
      <c r="AC465" s="68"/>
      <c r="AD465" s="62" t="n">
        <f aca="false">AW465</f>
        <v>30</v>
      </c>
      <c r="AE465" s="62" t="n">
        <f aca="false">MAX(AW465,H465)</f>
        <v>30</v>
      </c>
      <c r="AF465" s="69"/>
      <c r="AG465" s="62" t="n">
        <f aca="false">IF(LEFT(Cockpit!$C$5,1)="A",H465,IF(Parameter!$E$30="MAX-Bestand",IF(CI465=1,CJ465,IF(LEFT(Cockpit!$C$5,1)="B",AM465,MAX(AM465,H465))),ROUNDUP(AK465,0)))</f>
        <v>30</v>
      </c>
      <c r="AH465" s="62" t="n">
        <f aca="false">IF(CA465=1,0,ROUNDUP(AG465/BZ465,0))</f>
        <v>1</v>
      </c>
      <c r="AI465" s="64" t="n">
        <f aca="false">IF(CR465&gt;0,CR465*MAX(1,AG465/X465),IF(CA465=1,IF(AG465&lt;=0,0,CE465*MAX(1,IF(H465&gt;0,AG465/H465,1))),IF(R465&gt;0,AH465/R465,0))/MAX(0.1,N(Parameter!$M$21)))</f>
        <v>0.0384615384615385</v>
      </c>
      <c r="AJ465" s="62" t="n">
        <f aca="false">AI465*CC465</f>
        <v>5.96153846153846</v>
      </c>
      <c r="AK465" s="63" t="n">
        <f aca="false">IF(LEFT(Cockpit!$C$5,1)="A",H465,IF(CI465=1,(CL465+CJ465)/2,IF(LEFT(Cockpit!$C$5,1)="B",(CL465+AM465)/2,MAX((CL465+AM465)/2,H465))))</f>
        <v>30</v>
      </c>
      <c r="AL465" s="62" t="n">
        <f aca="false">AK465*G465</f>
        <v>57</v>
      </c>
      <c r="AM465" s="62" t="n">
        <f aca="false">ROUNDUP(CL465+MAX(CM465,2*(J465/IF(CH465&gt;0,CH465,MAX(0.1,N(Cockpit!$C$6)))-CL465)),0)</f>
        <v>30</v>
      </c>
      <c r="AN465" s="63" t="n">
        <f aca="false">IF(AJ465&gt;0,J465/AJ465,-1)</f>
        <v>0</v>
      </c>
      <c r="AO465" s="63" t="n">
        <f aca="false">IF(AND(OR(CG465="L1",CG465="L23",CG465="LIFT"),AJ465&gt;0),SUMIFS($AJ$7:$AJ$1843,$CG$7:$CG$1843,CG465,$AN$7:$AN$1843,"&gt;"&amp;AN465)+SUMIFS($AJ$7:$AJ$1843,$CG$7:$CG$1843,CG465,$AN$7:$AN$1843,AN465,$BX$7:$BX$1843,"&lt;="&amp;BX465),"")</f>
        <v>28153.1306626519</v>
      </c>
      <c r="AP465" s="70" t="n">
        <f aca="false">IF(AO465="",0,MAX(0,MIN(1,(IF(CG465="L1",Parameter!$H$5,IF(CG465="L23",Parameter!$H$6+Parameter!$H$7,Parameter!$H$5+Parameter!$H$6+Parameter!$H$7))-(AO465-AJ465))/AJ465)))</f>
        <v>1</v>
      </c>
      <c r="AQ465" s="62" t="n">
        <f aca="false">IF(LEFT(Cockpit!$I$5,1)="A",H465,IF(Parameter!$E$30="MAX-Bestand",IF(CI465=1,CJ465,IF(LEFT(Cockpit!$I$5,1)="B",AW465,MAX(AW465,H465))),ROUNDUP(AU465,0)))</f>
        <v>30</v>
      </c>
      <c r="AR465" s="62" t="n">
        <f aca="false">IF(CA465=1,0,ROUNDUP(AQ465/BZ465,0))</f>
        <v>1</v>
      </c>
      <c r="AS465" s="64" t="n">
        <f aca="false">IF(CR465&gt;0,CR465*MAX(1,AQ465/X465),IF(CA465=1,IF(AQ465&lt;=0,0,CE465*MAX(1,IF(H465&gt;0,AQ465/H465,1))),IF(R465&gt;0,AR465/R465,0))/MAX(0.1,N(Parameter!$M$21)))</f>
        <v>0.0384615384615385</v>
      </c>
      <c r="AT465" s="62" t="n">
        <f aca="false">AS465*CC465</f>
        <v>5.96153846153846</v>
      </c>
      <c r="AU465" s="63" t="n">
        <f aca="false">IF(LEFT(Cockpit!$I$5,1)="A",H465,IF(CI465=1,(CL465+CJ465)/2,IF(LEFT(Cockpit!$I$5,1)="B",(CL465+AW465)/2,MAX((CL465+AW465)/2,H465))))</f>
        <v>30</v>
      </c>
      <c r="AV465" s="62" t="n">
        <f aca="false">AU465*G465</f>
        <v>57</v>
      </c>
      <c r="AW465" s="62" t="n">
        <f aca="false">ROUNDUP(CL465+MAX(CM465,2*(J465/IF(CH465&gt;0,CH465,MAX(0.1,N(Cockpit!$I$6)))-CL465)),0)</f>
        <v>30</v>
      </c>
      <c r="AX465" s="63" t="n">
        <f aca="false">IF(AT465&gt;0,J465/AT465,-1)</f>
        <v>0</v>
      </c>
      <c r="AY465" s="63" t="n">
        <f aca="false">IF(AND(OR(CG465="L1",CG465="L23",CG465="LIFT"),AT465&gt;0),SUMIFS($AT$7:$AT$1843,$CG$7:$CG$1843,CG465,$AX$7:$AX$1843,"&gt;"&amp;AX465)+SUMIFS($AT$7:$AT$1843,$CG$7:$CG$1843,CG465,$AX$7:$AX$1843,AX465,$BX$7:$BX$1843,"&lt;="&amp;BX465),"")</f>
        <v>33506.2793040293</v>
      </c>
      <c r="AZ465" s="70" t="n">
        <f aca="false">IF(AY465="",0,MAX(0,MIN(1,(IF(CG465="L1",Parameter!$H$5,IF(CG465="L23",Parameter!$H$6+Parameter!$H$7,Parameter!$H$5+Parameter!$H$6+Parameter!$H$7))-(AY465-AT465))/AT465)))</f>
        <v>1</v>
      </c>
      <c r="BA465" s="62" t="n">
        <f aca="false">IF(LEFT(Cockpit!$O$5,1)="A",H465,IF(Parameter!$E$30="MAX-Bestand",IF(CI465=1,CJ465,IF(LEFT(Cockpit!$O$5,1)="B",BG465,MAX(BG465,H465))),ROUNDUP(BE465,0)))</f>
        <v>15</v>
      </c>
      <c r="BB465" s="62" t="n">
        <f aca="false">IF(CA465=1,0,ROUNDUP(BA465/BZ465,0))</f>
        <v>1</v>
      </c>
      <c r="BC465" s="64" t="n">
        <f aca="false">IF(CR465&gt;0,CR465*MAX(1,BA465/X465),IF(CA465=1,IF(BA465&lt;=0,0,CE465*MAX(1,IF(H465&gt;0,BA465/H465,1))),IF(R465&gt;0,BB465/R465,0))/MAX(0.1,N(Parameter!$M$21)))</f>
        <v>0.0384615384615385</v>
      </c>
      <c r="BD465" s="62" t="n">
        <f aca="false">BC465*CC465</f>
        <v>5.96153846153846</v>
      </c>
      <c r="BE465" s="63" t="n">
        <f aca="false">IF(LEFT(Cockpit!$O$5,1)="A",H465,IF(CI465=1,(CL465+CJ465)/2,IF(LEFT(Cockpit!$O$5,1)="B",(CL465+BG465)/2,MAX((CL465+BG465)/2,H465))))</f>
        <v>15</v>
      </c>
      <c r="BF465" s="62" t="n">
        <f aca="false">BE465*G465</f>
        <v>28.5</v>
      </c>
      <c r="BG465" s="62" t="n">
        <f aca="false">ROUNDUP(CL465+MAX(CM465,2*(J465/IF(CH465&gt;0,CH465,MAX(0.1,N(Cockpit!$O$6)))-CL465)),0)</f>
        <v>30</v>
      </c>
      <c r="BH465" s="63" t="n">
        <f aca="false">IF(BD465&gt;0,J465/BD465,-1)</f>
        <v>0</v>
      </c>
      <c r="BI465" s="63" t="n">
        <f aca="false">IF(AND(OR(CG465="L1",CG465="L23",CG465="LIFT"),BD465&gt;0),SUMIFS($BD$7:$BD$1843,$CG$7:$CG$1843,CG465,$BH$7:$BH$1843,"&gt;"&amp;BH465)+SUMIFS($BD$7:$BD$1843,$CG$7:$CG$1843,CG465,$BH$7:$BH$1843,BH465,$BX$7:$BX$1843,"&lt;="&amp;BX465),"")</f>
        <v>27613.5140777302</v>
      </c>
      <c r="BJ465" s="70" t="n">
        <f aca="false">IF(BI465="",0,MAX(0,MIN(1,(IF(CG465="L1",Parameter!$H$5,IF(CG465="L23",Parameter!$H$6+Parameter!$H$7,Parameter!$H$5+Parameter!$H$6+Parameter!$H$7))-(BI465-BD465))/BD465)))</f>
        <v>1</v>
      </c>
      <c r="BK465" s="60" t="str">
        <f aca="false">IF(AJ465&lt;=0,"",IF(CG465="Aussen","Aussenlager",IF(CG465="-","Nicht im Lift",IF(AP465&gt;=1,"Lift",IF(AP465&lt;=0,"Aussenlager","teilweise")))))</f>
        <v>Lift</v>
      </c>
      <c r="BL465" s="60" t="str">
        <f aca="false">IF(AT465&lt;=0,"",IF(CG465="Aussen","Aussenlager",IF(CG465="-","Nicht im Lift",IF(AZ465&gt;=1,"Lift",IF(AZ465&lt;=0,"Aussenlager","teilweise")))))</f>
        <v>Lift</v>
      </c>
      <c r="BM465" s="60" t="str">
        <f aca="false">IF(BD465&lt;=0,"",IF(CG465="Aussen","Aussenlager",IF(CG465="-","Nicht im Lift",IF(BJ465&gt;=1,"Lift",IF(BJ465&lt;=0,"Aussenlager","teilweise")))))</f>
        <v>Lift</v>
      </c>
      <c r="BN465" s="60" t="str">
        <f aca="false">IF(A465="","",IF(BW465=1,"Neu; ","")&amp;IF(AND(BW465=0,BR465&lt;0),"negativer Bestand (Export "&amp;BR465&amp;"); ","")&amp;IF(J465&lt;=0,"Kein Verbrauch; ","")&amp;IF(CR465&gt;0,"Lift "&amp;W465&amp;" lt. Liftbericht (Fach "&amp;X465&amp;" Stk); ",IF(CB465=1,"Gebinde geschätzt ("&amp;T465&amp;"); ",IF(CA465=1,"Lose – Tablare geschätzt; ","")))&amp;IF(H465&gt;AW465,"Überbestand "&amp;ROUND(H465-AW465,0)&amp;" Stk / CHF "&amp;ROUND((H465-AW465)*G465,0)&amp;"; ","")&amp;IF(AND(CI465=1,CJ465&lt;CK465),"MAX &lt; MB+LG; ","")&amp;IF(AND(CQ465&gt;0,CP465*10&gt;CQ465),"zu hoch für Tablar; ","")&amp;IF(AND(BW465=0,OR(CI465=1,AB465&lt;&gt;"",U465&lt;&gt;"",V465&lt;&gt;"",AC465&lt;&gt;"")),"manuell übersteuert; ","")&amp;IF(AND(CA465=0,R465=0),"Gebinde unbekannt / Stellmass fehlt; ","")&amp;IF(AND(CA465=0,N(V465)&lt;=0,N(Q465)&lt;=0),"Menge pro Gebinde fehlt (Ist = 1 Gebinde); ","")&amp;BV465)</f>
        <v>Kein Verbrauch; Gebinde geschätzt (Klein); Menge pro Gebinde fehlt (Ist = 1 Gebinde); </v>
      </c>
      <c r="BO465" s="60"/>
      <c r="BP465" s="60"/>
      <c r="BQ465" s="67"/>
      <c r="BR465" s="62" t="n">
        <v>30</v>
      </c>
      <c r="BS465" s="62" t="n">
        <v>0</v>
      </c>
      <c r="BT465" s="61" t="n">
        <v>57</v>
      </c>
      <c r="BU465" s="62" t="n">
        <v>0</v>
      </c>
      <c r="BV465" s="60"/>
      <c r="BW465" s="65" t="n">
        <v>0</v>
      </c>
      <c r="BX465" s="65" t="n">
        <v>465</v>
      </c>
      <c r="BY465" s="60" t="str">
        <f aca="false">IF(U465&lt;&gt;"",UPPER(TRIM(U465)),IF(CB465=1,UPPER(VLOOKUP(T465,Parameter!$I$27:$K$29,2,0)),IF(P465="","LOSE",P465)))</f>
        <v>S51</v>
      </c>
      <c r="BZ465" s="62" t="n">
        <f aca="false">IF(BY465="LOSE",1,IF(N(V465)&gt;0,V465,IF(CB465=1,MAX(1,N(VLOOKUP(T465,Parameter!$I$27:$K$29,3,0)),H465,N(N465)),IF(N(Q465)&gt;0,Q465,MAX(1,H465)))))</f>
        <v>30</v>
      </c>
      <c r="CA465" s="65" t="n">
        <f aca="false">IF(BY465="LOSE",1,0)</f>
        <v>0</v>
      </c>
      <c r="CB465" s="65" t="n">
        <f aca="false">IF(AND(U465="",OR(P465="",P465="LOSE"),T465&lt;&gt;"",N(S465)&lt;=0,ISNUMBER(MATCH(T465,Parameter!$I$27:$I$29,0))),1,0)</f>
        <v>1</v>
      </c>
      <c r="CC465" s="65" t="n">
        <f aca="false">IF(CR465&gt;0,INDEX(Parameter!$H$5:$H$7,W465)/INDEX(Parameter!$E$5:$E$7,W465),IF(AND(CA465=0,N(IFERROR(VLOOKUP(BY465,'Gebinde-Kategorie'!$A$5:$N$45,14,0),0))&gt;0),VLOOKUP(BY465,'Gebinde-Kategorie'!$A$5:$N$45,14,0)*10+Parameter!$M$23,Parameter!$M$24))</f>
        <v>155</v>
      </c>
      <c r="CD465" s="60" t="str">
        <f aca="false">IF(AND(Parameter!$B$19="Ja",E465&lt;&gt;"",ISNUMBER(MATCH(E465,Parameter!$I$35:$I$52,0))),VLOOKUP(E465,Parameter!$I$35:$J$52,2,0),IFERROR(VLOOKUP(D465,Parameter!$A$35:$C$64,2,0),"Nein"))</f>
        <v>2+3</v>
      </c>
      <c r="CE465" s="64" t="n">
        <f aca="false">IF(CA465=0,0,IF(N(S465)&gt;0,S465,IFERROR(VLOOKUP(D465,Parameter!$A$35:$C$64,3,0)+0,0)))</f>
        <v>0</v>
      </c>
      <c r="CF465" s="60" t="n">
        <f aca="false">IF(AB465&lt;&gt;"",AB465,AA465)</f>
        <v>3</v>
      </c>
      <c r="CG465" s="60" t="str">
        <f aca="false">IF(OR(CF465=1,CF465=2,CF465=3),IF(Parameter!$E$27="Ja","LIFT",IF(CF465=1,"L1","L23")),IF(CF465="Aussen","Aussen","-"))</f>
        <v>LIFT</v>
      </c>
      <c r="CH465" s="71" t="n">
        <f aca="false">IF(N(AC465)&gt;0,AC465,0)</f>
        <v>0</v>
      </c>
      <c r="CI465" s="65" t="n">
        <f aca="false">IF(ISNUMBER(AF465),1,0)</f>
        <v>0</v>
      </c>
      <c r="CJ465" s="62" t="n">
        <f aca="false">N(AF465)</f>
        <v>0</v>
      </c>
      <c r="CK465" s="62" t="n">
        <f aca="false">N(M465)+N(N465)</f>
        <v>30</v>
      </c>
      <c r="CL465" s="62" t="n">
        <f aca="false">N(M465)</f>
        <v>0</v>
      </c>
      <c r="CM465" s="62" t="n">
        <f aca="false">N(N465)</f>
        <v>30</v>
      </c>
      <c r="CN465" s="62" t="n">
        <f aca="false">ROUNDUP(H465/BZ465,0)</f>
        <v>1</v>
      </c>
      <c r="CO465" s="62" t="n">
        <f aca="false">ROUNDUP(CJ465/BZ465,0)</f>
        <v>0</v>
      </c>
      <c r="CP465" s="65" t="n">
        <f aca="false">IF(CA465=1,0,IFERROR(VLOOKUP(BY465,'Gebinde-Kategorie'!$A$5:$N$45,5,0)+0,0))</f>
        <v>11</v>
      </c>
      <c r="CQ465" s="65" t="n">
        <f aca="false">IFERROR(IF(OR(CF465=1,CF465=2,CF465=3),N(INDEX(Parameter!$I$5:$I$7,CF465)),0),0)</f>
        <v>0</v>
      </c>
      <c r="CR465" s="64" t="n">
        <f aca="false">IF(AND(Parameter!$B$21="Ja",ISNUMBER(W465),N(X465)&gt;0),IFERROR(N(INDEX(Parameter!$L$5:$L$7,W465))*INDEX(Parameter!$E$5:$E$7,W465)*X465/SUMIFS($X$7:$X$1843,$W$7:$W$1843,W465),0),0)</f>
        <v>0</v>
      </c>
      <c r="CS465" s="62" t="n">
        <f aca="false">IF(AND(OR(CG465="L1",CG465="L23",CG465="LIFT"),H465&gt;0),CC465*IF(CR465&gt;0,CR465*MAX(1,H465/X465),IF(CA465=1,CE465,IF(R465&gt;0,CN465/R465,0))/MAX(0.1,N(Parameter!$M$21))),"")</f>
        <v>5.96153846153846</v>
      </c>
      <c r="CT465" s="64" t="n">
        <f aca="false">IF(CS465="","",J465/H465)</f>
        <v>0</v>
      </c>
      <c r="CU465" s="62" t="n">
        <f aca="false">IF(CS465="","",H465*G465)</f>
        <v>57</v>
      </c>
      <c r="CV465" s="63" t="n">
        <f aca="false">IF(CS465="","",(CL465+ROUNDUP(CL465+MAX(CM465,2*(J465/MAX(0.1,N(Einkauf!$C$6))-CL465)),0))/2)</f>
        <v>15</v>
      </c>
      <c r="CW465" s="62" t="n">
        <f aca="false">IF(CS465="","",MAX(0,H465-CV465)*G465)</f>
        <v>28.5</v>
      </c>
      <c r="CX465" s="62" t="n">
        <f aca="false">IF(CS465="","",CS465*MAX(0,1-CV465/H465))</f>
        <v>2.98076923076923</v>
      </c>
      <c r="CY465" s="64" t="n">
        <f aca="false">IF(CS465="","",PERCENTRANK($CS$7:$CS$1843,CS465)+PERCENTRANK($CU$7:$CU$1843,CU465)+1-PERCENTRANK($CT$7:$CT$1843,CT465))</f>
        <v>1.52</v>
      </c>
      <c r="CZ465" s="72" t="n">
        <f aca="false">IF(CS465="","",CHOOSE(MATCH(Einkauf!$C$5,Parameter!$G$23:$G$27,0),CY465,CS465,CU465,-CT465,CW465)+ROW()/1000000000)</f>
        <v>1.520000465</v>
      </c>
    </row>
    <row r="466" customFormat="false" ht="15" hidden="false" customHeight="false" outlineLevel="0" collapsed="false">
      <c r="A466" s="60" t="s">
        <v>1087</v>
      </c>
      <c r="B466" s="60" t="s">
        <v>449</v>
      </c>
      <c r="C466" s="60" t="s">
        <v>206</v>
      </c>
      <c r="D466" s="60" t="s">
        <v>226</v>
      </c>
      <c r="E466" s="60" t="s">
        <v>227</v>
      </c>
      <c r="F466" s="60" t="s">
        <v>260</v>
      </c>
      <c r="G466" s="61" t="n">
        <v>0.17</v>
      </c>
      <c r="H466" s="62" t="n">
        <f aca="false">MAX(0,IF(AND(Parameter!$B$21="Ja",ISNUMBER(Y466)),Y466,IF(Parameter!$B$20="Jahresanfang 2025 + Export",BS466+BR466,BR466)))</f>
        <v>858</v>
      </c>
      <c r="I466" s="62" t="n">
        <f aca="false">H466*G466</f>
        <v>145.86</v>
      </c>
      <c r="J466" s="62" t="n">
        <f aca="false">BU466*Parameter!$B$18</f>
        <v>2868</v>
      </c>
      <c r="K466" s="63" t="n">
        <v>709</v>
      </c>
      <c r="L466" s="64" t="n">
        <v>4.04513399153738</v>
      </c>
      <c r="M466" s="62" t="n">
        <v>167</v>
      </c>
      <c r="N466" s="62" t="n">
        <v>2000</v>
      </c>
      <c r="O466" s="65" t="n">
        <v>21</v>
      </c>
      <c r="P466" s="60" t="s">
        <v>370</v>
      </c>
      <c r="Q466" s="62" t="n">
        <v>895</v>
      </c>
      <c r="R466" s="65" t="n">
        <f aca="false">IF(CA466=1,0,IFERROR(VLOOKUP(BY466,'Gebinde-Kategorie'!$A$5:$N$45,13,0)+0,0))</f>
        <v>52</v>
      </c>
      <c r="S466" s="66"/>
      <c r="T466" s="67"/>
      <c r="U466" s="67"/>
      <c r="V466" s="67"/>
      <c r="W466" s="60"/>
      <c r="X466" s="62"/>
      <c r="Y466" s="62"/>
      <c r="Z466" s="60" t="n">
        <v>3</v>
      </c>
      <c r="AA466" s="60" t="n">
        <f aca="false">IF(A466="","",IF(AND(Parameter!$B$21="Ja",ISNUMBER(W466)),W466,IF(AND(Parameter!$E$27="Ja",ISNUMBER(Z466),CD466&lt;&gt;"Nein"),Z466,IF(CD466="2+3",IF(ISNUMBER(SEARCH("grosser Artikel",BV466)),2,IFERROR(VLOOKUP(BY466,Parameter!$F$35:$G$64,2,0),2)),IF(OR(CD466="Nein",CD466=""),"-",CD466)))))</f>
        <v>3</v>
      </c>
      <c r="AB466" s="67"/>
      <c r="AC466" s="68"/>
      <c r="AD466" s="62" t="n">
        <f aca="false">AW466</f>
        <v>2167</v>
      </c>
      <c r="AE466" s="62" t="n">
        <f aca="false">MAX(AW466,H466)</f>
        <v>2167</v>
      </c>
      <c r="AF466" s="69"/>
      <c r="AG466" s="62" t="n">
        <f aca="false">IF(LEFT(Cockpit!$C$5,1)="A",H466,IF(Parameter!$E$30="MAX-Bestand",IF(CI466=1,CJ466,IF(LEFT(Cockpit!$C$5,1)="B",AM466,MAX(AM466,H466))),ROUNDUP(AK466,0)))</f>
        <v>858</v>
      </c>
      <c r="AH466" s="62" t="n">
        <f aca="false">IF(CA466=1,0,ROUNDUP(AG466/BZ466,0))</f>
        <v>1</v>
      </c>
      <c r="AI466" s="64" t="n">
        <f aca="false">IF(CR466&gt;0,CR466*MAX(1,AG466/X466),IF(CA466=1,IF(AG466&lt;=0,0,CE466*MAX(1,IF(H466&gt;0,AG466/H466,1))),IF(R466&gt;0,AH466/R466,0))/MAX(0.1,N(Parameter!$M$21)))</f>
        <v>0.0192307692307692</v>
      </c>
      <c r="AJ466" s="62" t="n">
        <f aca="false">AI466*CC466</f>
        <v>2.98076923076923</v>
      </c>
      <c r="AK466" s="63" t="n">
        <f aca="false">IF(LEFT(Cockpit!$C$5,1)="A",H466,IF(CI466=1,(CL466+CJ466)/2,IF(LEFT(Cockpit!$C$5,1)="B",(CL466+AM466)/2,MAX((CL466+AM466)/2,H466))))</f>
        <v>858</v>
      </c>
      <c r="AL466" s="62" t="n">
        <f aca="false">AK466*G466</f>
        <v>145.86</v>
      </c>
      <c r="AM466" s="62" t="n">
        <f aca="false">ROUNDUP(CL466+MAX(CM466,2*(J466/IF(CH466&gt;0,CH466,MAX(0.1,N(Cockpit!$C$6)))-CL466)),0)</f>
        <v>2167</v>
      </c>
      <c r="AN466" s="63" t="n">
        <f aca="false">IF(AJ466&gt;0,J466/AJ466,-1)</f>
        <v>962.167741935484</v>
      </c>
      <c r="AO466" s="63" t="n">
        <f aca="false">IF(AND(OR(CG466="L1",CG466="L23",CG466="LIFT"),AJ466&gt;0),SUMIFS($AJ$7:$AJ$1843,$CG$7:$CG$1843,CG466,$AN$7:$AN$1843,"&gt;"&amp;AN466)+SUMIFS($AJ$7:$AJ$1843,$CG$7:$CG$1843,CG466,$AN$7:$AN$1843,AN466,$BX$7:$BX$1843,"&lt;="&amp;BX466),"")</f>
        <v>16.010989010989</v>
      </c>
      <c r="AP466" s="70" t="n">
        <f aca="false">IF(AO466="",0,MAX(0,MIN(1,(IF(CG466="L1",Parameter!$H$5,IF(CG466="L23",Parameter!$H$6+Parameter!$H$7,Parameter!$H$5+Parameter!$H$6+Parameter!$H$7))-(AO466-AJ466))/AJ466)))</f>
        <v>1</v>
      </c>
      <c r="AQ466" s="62" t="n">
        <f aca="false">IF(LEFT(Cockpit!$I$5,1)="A",H466,IF(Parameter!$E$30="MAX-Bestand",IF(CI466=1,CJ466,IF(LEFT(Cockpit!$I$5,1)="B",AW466,MAX(AW466,H466))),ROUNDUP(AU466,0)))</f>
        <v>1167</v>
      </c>
      <c r="AR466" s="62" t="n">
        <f aca="false">IF(CA466=1,0,ROUNDUP(AQ466/BZ466,0))</f>
        <v>2</v>
      </c>
      <c r="AS466" s="64" t="n">
        <f aca="false">IF(CR466&gt;0,CR466*MAX(1,AQ466/X466),IF(CA466=1,IF(AQ466&lt;=0,0,CE466*MAX(1,IF(H466&gt;0,AQ466/H466,1))),IF(R466&gt;0,AR466/R466,0))/MAX(0.1,N(Parameter!$M$21)))</f>
        <v>0.0384615384615385</v>
      </c>
      <c r="AT466" s="62" t="n">
        <f aca="false">AS466*CC466</f>
        <v>5.96153846153846</v>
      </c>
      <c r="AU466" s="63" t="n">
        <f aca="false">IF(LEFT(Cockpit!$I$5,1)="A",H466,IF(CI466=1,(CL466+CJ466)/2,IF(LEFT(Cockpit!$I$5,1)="B",(CL466+AW466)/2,MAX((CL466+AW466)/2,H466))))</f>
        <v>1167</v>
      </c>
      <c r="AV466" s="62" t="n">
        <f aca="false">AU466*G466</f>
        <v>198.39</v>
      </c>
      <c r="AW466" s="62" t="n">
        <f aca="false">ROUNDUP(CL466+MAX(CM466,2*(J466/IF(CH466&gt;0,CH466,MAX(0.1,N(Cockpit!$I$6)))-CL466)),0)</f>
        <v>2167</v>
      </c>
      <c r="AX466" s="63" t="n">
        <f aca="false">IF(AT466&gt;0,J466/AT466,-1)</f>
        <v>481.083870967742</v>
      </c>
      <c r="AY466" s="63" t="n">
        <f aca="false">IF(AND(OR(CG466="L1",CG466="L23",CG466="LIFT"),AT466&gt;0),SUMIFS($AT$7:$AT$1843,$CG$7:$CG$1843,CG466,$AX$7:$AX$1843,"&gt;"&amp;AX466)+SUMIFS($AT$7:$AT$1843,$CG$7:$CG$1843,CG466,$AX$7:$AX$1843,AX466,$BX$7:$BX$1843,"&lt;="&amp;BX466),"")</f>
        <v>92.4107142857143</v>
      </c>
      <c r="AZ466" s="70" t="n">
        <f aca="false">IF(AY466="",0,MAX(0,MIN(1,(IF(CG466="L1",Parameter!$H$5,IF(CG466="L23",Parameter!$H$6+Parameter!$H$7,Parameter!$H$5+Parameter!$H$6+Parameter!$H$7))-(AY466-AT466))/AT466)))</f>
        <v>1</v>
      </c>
      <c r="BA466" s="62" t="n">
        <f aca="false">IF(LEFT(Cockpit!$O$5,1)="A",H466,IF(Parameter!$E$30="MAX-Bestand",IF(CI466=1,CJ466,IF(LEFT(Cockpit!$O$5,1)="B",BG466,MAX(BG466,H466))),ROUNDUP(BE466,0)))</f>
        <v>1167</v>
      </c>
      <c r="BB466" s="62" t="n">
        <f aca="false">IF(CA466=1,0,ROUNDUP(BA466/BZ466,0))</f>
        <v>2</v>
      </c>
      <c r="BC466" s="64" t="n">
        <f aca="false">IF(CR466&gt;0,CR466*MAX(1,BA466/X466),IF(CA466=1,IF(BA466&lt;=0,0,CE466*MAX(1,IF(H466&gt;0,BA466/H466,1))),IF(R466&gt;0,BB466/R466,0))/MAX(0.1,N(Parameter!$M$21)))</f>
        <v>0.0384615384615385</v>
      </c>
      <c r="BD466" s="62" t="n">
        <f aca="false">BC466*CC466</f>
        <v>5.96153846153846</v>
      </c>
      <c r="BE466" s="63" t="n">
        <f aca="false">IF(LEFT(Cockpit!$O$5,1)="A",H466,IF(CI466=1,(CL466+CJ466)/2,IF(LEFT(Cockpit!$O$5,1)="B",(CL466+BG466)/2,MAX((CL466+BG466)/2,H466))))</f>
        <v>1167</v>
      </c>
      <c r="BF466" s="62" t="n">
        <f aca="false">BE466*G466</f>
        <v>198.39</v>
      </c>
      <c r="BG466" s="62" t="n">
        <f aca="false">ROUNDUP(CL466+MAX(CM466,2*(J466/IF(CH466&gt;0,CH466,MAX(0.1,N(Cockpit!$O$6)))-CL466)),0)</f>
        <v>2167</v>
      </c>
      <c r="BH466" s="63" t="n">
        <f aca="false">IF(BD466&gt;0,J466/BD466,-1)</f>
        <v>481.083870967742</v>
      </c>
      <c r="BI466" s="63" t="n">
        <f aca="false">IF(AND(OR(CG466="L1",CG466="L23",CG466="LIFT"),BD466&gt;0),SUMIFS($BD$7:$BD$1843,$CG$7:$CG$1843,CG466,$BH$7:$BH$1843,"&gt;"&amp;BH466)+SUMIFS($BD$7:$BD$1843,$CG$7:$CG$1843,CG466,$BH$7:$BH$1843,BH466,$BX$7:$BX$1843,"&lt;="&amp;BX466),"")</f>
        <v>122.47619047619</v>
      </c>
      <c r="BJ466" s="70" t="n">
        <f aca="false">IF(BI466="",0,MAX(0,MIN(1,(IF(CG466="L1",Parameter!$H$5,IF(CG466="L23",Parameter!$H$6+Parameter!$H$7,Parameter!$H$5+Parameter!$H$6+Parameter!$H$7))-(BI466-BD466))/BD466)))</f>
        <v>1</v>
      </c>
      <c r="BK466" s="60" t="str">
        <f aca="false">IF(AJ466&lt;=0,"",IF(CG466="Aussen","Aussenlager",IF(CG466="-","Nicht im Lift",IF(AP466&gt;=1,"Lift",IF(AP466&lt;=0,"Aussenlager","teilweise")))))</f>
        <v>Lift</v>
      </c>
      <c r="BL466" s="60" t="str">
        <f aca="false">IF(AT466&lt;=0,"",IF(CG466="Aussen","Aussenlager",IF(CG466="-","Nicht im Lift",IF(AZ466&gt;=1,"Lift",IF(AZ466&lt;=0,"Aussenlager","teilweise")))))</f>
        <v>Lift</v>
      </c>
      <c r="BM466" s="60" t="str">
        <f aca="false">IF(BD466&lt;=0,"",IF(CG466="Aussen","Aussenlager",IF(CG466="-","Nicht im Lift",IF(BJ466&gt;=1,"Lift",IF(BJ466&lt;=0,"Aussenlager","teilweise")))))</f>
        <v>Lift</v>
      </c>
      <c r="BN466" s="60" t="str">
        <f aca="false">IF(A466="","",IF(BW466=1,"Neu; ","")&amp;IF(AND(BW466=0,BR466&lt;0),"negativer Bestand (Export "&amp;BR466&amp;"); ","")&amp;IF(J466&lt;=0,"Kein Verbrauch; ","")&amp;IF(CR466&gt;0,"Lift "&amp;W466&amp;" lt. Liftbericht (Fach "&amp;X466&amp;" Stk); ",IF(CB466=1,"Gebinde geschätzt ("&amp;T466&amp;"); ",IF(CA466=1,"Lose – Tablare geschätzt; ","")))&amp;IF(H466&gt;AW466,"Überbestand "&amp;ROUND(H466-AW466,0)&amp;" Stk / CHF "&amp;ROUND((H466-AW466)*G466,0)&amp;"; ","")&amp;IF(AND(CI466=1,CJ466&lt;CK466),"MAX &lt; MB+LG; ","")&amp;IF(AND(CQ466&gt;0,CP466*10&gt;CQ466),"zu hoch für Tablar; ","")&amp;IF(AND(BW466=0,OR(CI466=1,AB466&lt;&gt;"",U466&lt;&gt;"",V466&lt;&gt;"",AC466&lt;&gt;"")),"manuell übersteuert; ","")&amp;IF(AND(CA466=0,R466=0),"Gebinde unbekannt / Stellmass fehlt; ","")&amp;IF(AND(CA466=0,N(V466)&lt;=0,N(Q466)&lt;=0),"Menge pro Gebinde fehlt (Ist = 1 Gebinde); ","")&amp;BV466)</f>
        <v/>
      </c>
      <c r="BO466" s="60"/>
      <c r="BP466" s="60"/>
      <c r="BQ466" s="67"/>
      <c r="BR466" s="62" t="n">
        <v>334</v>
      </c>
      <c r="BS466" s="62" t="n">
        <v>524</v>
      </c>
      <c r="BT466" s="61" t="n">
        <v>56.7799999999999</v>
      </c>
      <c r="BU466" s="62" t="n">
        <v>2868</v>
      </c>
      <c r="BV466" s="60"/>
      <c r="BW466" s="65" t="n">
        <v>0</v>
      </c>
      <c r="BX466" s="65" t="n">
        <v>466</v>
      </c>
      <c r="BY466" s="60" t="str">
        <f aca="false">IF(U466&lt;&gt;"",UPPER(TRIM(U466)),IF(CB466=1,UPPER(VLOOKUP(T466,Parameter!$I$27:$K$29,2,0)),IF(P466="","LOSE",P466)))</f>
        <v>S41</v>
      </c>
      <c r="BZ466" s="62" t="n">
        <f aca="false">IF(BY466="LOSE",1,IF(N(V466)&gt;0,V466,IF(CB466=1,MAX(1,N(VLOOKUP(T466,Parameter!$I$27:$K$29,3,0)),H466,N(N466)),IF(N(Q466)&gt;0,Q466,MAX(1,H466)))))</f>
        <v>895</v>
      </c>
      <c r="CA466" s="65" t="n">
        <f aca="false">IF(BY466="LOSE",1,0)</f>
        <v>0</v>
      </c>
      <c r="CB466" s="65" t="n">
        <f aca="false">IF(AND(U466="",OR(P466="",P466="LOSE"),T466&lt;&gt;"",N(S466)&lt;=0,ISNUMBER(MATCH(T466,Parameter!$I$27:$I$29,0))),1,0)</f>
        <v>0</v>
      </c>
      <c r="CC466" s="65" t="n">
        <f aca="false">IF(CR466&gt;0,INDEX(Parameter!$H$5:$H$7,W466)/INDEX(Parameter!$E$5:$E$7,W466),IF(AND(CA466=0,N(IFERROR(VLOOKUP(BY466,'Gebinde-Kategorie'!$A$5:$N$45,14,0),0))&gt;0),VLOOKUP(BY466,'Gebinde-Kategorie'!$A$5:$N$45,14,0)*10+Parameter!$M$23,Parameter!$M$24))</f>
        <v>155</v>
      </c>
      <c r="CD466" s="60" t="str">
        <f aca="false">IF(AND(Parameter!$B$19="Ja",E466&lt;&gt;"",ISNUMBER(MATCH(E466,Parameter!$I$35:$I$52,0))),VLOOKUP(E466,Parameter!$I$35:$J$52,2,0),IFERROR(VLOOKUP(D466,Parameter!$A$35:$C$64,2,0),"Nein"))</f>
        <v>2+3</v>
      </c>
      <c r="CE466" s="64" t="n">
        <f aca="false">IF(CA466=0,0,IF(N(S466)&gt;0,S466,IFERROR(VLOOKUP(D466,Parameter!$A$35:$C$64,3,0)+0,0)))</f>
        <v>0</v>
      </c>
      <c r="CF466" s="60" t="n">
        <f aca="false">IF(AB466&lt;&gt;"",AB466,AA466)</f>
        <v>3</v>
      </c>
      <c r="CG466" s="60" t="str">
        <f aca="false">IF(OR(CF466=1,CF466=2,CF466=3),IF(Parameter!$E$27="Ja","LIFT",IF(CF466=1,"L1","L23")),IF(CF466="Aussen","Aussen","-"))</f>
        <v>LIFT</v>
      </c>
      <c r="CH466" s="71" t="n">
        <f aca="false">IF(N(AC466)&gt;0,AC466,0)</f>
        <v>0</v>
      </c>
      <c r="CI466" s="65" t="n">
        <f aca="false">IF(ISNUMBER(AF466),1,0)</f>
        <v>0</v>
      </c>
      <c r="CJ466" s="62" t="n">
        <f aca="false">N(AF466)</f>
        <v>0</v>
      </c>
      <c r="CK466" s="62" t="n">
        <f aca="false">N(M466)+N(N466)</f>
        <v>2167</v>
      </c>
      <c r="CL466" s="62" t="n">
        <f aca="false">N(M466)</f>
        <v>167</v>
      </c>
      <c r="CM466" s="62" t="n">
        <f aca="false">N(N466)</f>
        <v>2000</v>
      </c>
      <c r="CN466" s="62" t="n">
        <f aca="false">ROUNDUP(H466/BZ466,0)</f>
        <v>1</v>
      </c>
      <c r="CO466" s="62" t="n">
        <f aca="false">ROUNDUP(CJ466/BZ466,0)</f>
        <v>0</v>
      </c>
      <c r="CP466" s="65" t="n">
        <f aca="false">IF(CA466=1,0,IFERROR(VLOOKUP(BY466,'Gebinde-Kategorie'!$A$5:$N$45,5,0)+0,0))</f>
        <v>11</v>
      </c>
      <c r="CQ466" s="65" t="n">
        <f aca="false">IFERROR(IF(OR(CF466=1,CF466=2,CF466=3),N(INDEX(Parameter!$I$5:$I$7,CF466)),0),0)</f>
        <v>0</v>
      </c>
      <c r="CR466" s="64" t="n">
        <f aca="false">IF(AND(Parameter!$B$21="Ja",ISNUMBER(W466),N(X466)&gt;0),IFERROR(N(INDEX(Parameter!$L$5:$L$7,W466))*INDEX(Parameter!$E$5:$E$7,W466)*X466/SUMIFS($X$7:$X$1843,$W$7:$W$1843,W466),0),0)</f>
        <v>0</v>
      </c>
      <c r="CS466" s="62" t="n">
        <f aca="false">IF(AND(OR(CG466="L1",CG466="L23",CG466="LIFT"),H466&gt;0),CC466*IF(CR466&gt;0,CR466*MAX(1,H466/X466),IF(CA466=1,CE466,IF(R466&gt;0,CN466/R466,0))/MAX(0.1,N(Parameter!$M$21))),"")</f>
        <v>2.98076923076923</v>
      </c>
      <c r="CT466" s="64" t="n">
        <f aca="false">IF(CS466="","",J466/H466)</f>
        <v>3.34265734265734</v>
      </c>
      <c r="CU466" s="62" t="n">
        <f aca="false">IF(CS466="","",H466*G466)</f>
        <v>145.86</v>
      </c>
      <c r="CV466" s="63" t="n">
        <f aca="false">IF(CS466="","",(CL466+ROUNDUP(CL466+MAX(CM466,2*(J466/MAX(0.1,N(Einkauf!$C$6))-CL466)),0))/2)</f>
        <v>1167</v>
      </c>
      <c r="CW466" s="62" t="n">
        <f aca="false">IF(CS466="","",MAX(0,H466-CV466)*G466)</f>
        <v>0</v>
      </c>
      <c r="CX466" s="62" t="n">
        <f aca="false">IF(CS466="","",CS466*MAX(0,1-CV466/H466))</f>
        <v>0</v>
      </c>
      <c r="CY466" s="64" t="n">
        <f aca="false">IF(CS466="","",PERCENTRANK($CS$7:$CS$1843,CS466)+PERCENTRANK($CU$7:$CU$1843,CU466)+1-PERCENTRANK($CT$7:$CT$1843,CT466))</f>
        <v>0.599</v>
      </c>
      <c r="CZ466" s="72" t="n">
        <f aca="false">IF(CS466="","",CHOOSE(MATCH(Einkauf!$C$5,Parameter!$G$23:$G$27,0),CY466,CS466,CU466,-CT466,CW466)+ROW()/1000000000)</f>
        <v>0.599000466</v>
      </c>
    </row>
    <row r="467" customFormat="false" ht="15" hidden="false" customHeight="false" outlineLevel="0" collapsed="false">
      <c r="A467" s="60" t="s">
        <v>1088</v>
      </c>
      <c r="B467" s="60" t="s">
        <v>510</v>
      </c>
      <c r="C467" s="60" t="s">
        <v>206</v>
      </c>
      <c r="D467" s="60" t="s">
        <v>226</v>
      </c>
      <c r="E467" s="60" t="s">
        <v>227</v>
      </c>
      <c r="F467" s="60" t="s">
        <v>260</v>
      </c>
      <c r="G467" s="61" t="n">
        <v>0.15</v>
      </c>
      <c r="H467" s="62" t="n">
        <f aca="false">MAX(0,IF(AND(Parameter!$B$21="Ja",ISNUMBER(Y467)),Y467,IF(Parameter!$B$20="Jahresanfang 2025 + Export",BS467+BR467,BR467)))</f>
        <v>537</v>
      </c>
      <c r="I467" s="62" t="n">
        <f aca="false">H467*G467</f>
        <v>80.55</v>
      </c>
      <c r="J467" s="62" t="n">
        <f aca="false">BU467*Parameter!$B$18</f>
        <v>714</v>
      </c>
      <c r="K467" s="63" t="n">
        <v>234.5</v>
      </c>
      <c r="L467" s="64" t="n">
        <v>3.04477611940299</v>
      </c>
      <c r="M467" s="62" t="n">
        <v>27</v>
      </c>
      <c r="N467" s="62" t="n">
        <v>715</v>
      </c>
      <c r="O467" s="65" t="n">
        <v>14</v>
      </c>
      <c r="P467" s="60" t="s">
        <v>468</v>
      </c>
      <c r="Q467" s="62" t="n">
        <v>194</v>
      </c>
      <c r="R467" s="65" t="n">
        <f aca="false">IF(CA467=1,0,IFERROR(VLOOKUP(BY467,'Gebinde-Kategorie'!$A$5:$N$45,13,0)+0,0))</f>
        <v>140</v>
      </c>
      <c r="S467" s="66"/>
      <c r="T467" s="67"/>
      <c r="U467" s="67"/>
      <c r="V467" s="67"/>
      <c r="W467" s="60"/>
      <c r="X467" s="62"/>
      <c r="Y467" s="62"/>
      <c r="Z467" s="60" t="n">
        <v>3</v>
      </c>
      <c r="AA467" s="60" t="n">
        <f aca="false">IF(A467="","",IF(AND(Parameter!$B$21="Ja",ISNUMBER(W467)),W467,IF(AND(Parameter!$E$27="Ja",ISNUMBER(Z467),CD467&lt;&gt;"Nein"),Z467,IF(CD467="2+3",IF(ISNUMBER(SEARCH("grosser Artikel",BV467)),2,IFERROR(VLOOKUP(BY467,Parameter!$F$35:$G$64,2,0),2)),IF(OR(CD467="Nein",CD467=""),"-",CD467)))))</f>
        <v>3</v>
      </c>
      <c r="AB467" s="67"/>
      <c r="AC467" s="68"/>
      <c r="AD467" s="62" t="n">
        <f aca="false">AW467</f>
        <v>742</v>
      </c>
      <c r="AE467" s="62" t="n">
        <f aca="false">MAX(AW467,H467)</f>
        <v>742</v>
      </c>
      <c r="AF467" s="69"/>
      <c r="AG467" s="62" t="n">
        <f aca="false">IF(LEFT(Cockpit!$C$5,1)="A",H467,IF(Parameter!$E$30="MAX-Bestand",IF(CI467=1,CJ467,IF(LEFT(Cockpit!$C$5,1)="B",AM467,MAX(AM467,H467))),ROUNDUP(AK467,0)))</f>
        <v>537</v>
      </c>
      <c r="AH467" s="62" t="n">
        <f aca="false">IF(CA467=1,0,ROUNDUP(AG467/BZ467,0))</f>
        <v>3</v>
      </c>
      <c r="AI467" s="64" t="n">
        <f aca="false">IF(CR467&gt;0,CR467*MAX(1,AG467/X467),IF(CA467=1,IF(AG467&lt;=0,0,CE467*MAX(1,IF(H467&gt;0,AG467/H467,1))),IF(R467&gt;0,AH467/R467,0))/MAX(0.1,N(Parameter!$M$21)))</f>
        <v>0.0214285714285714</v>
      </c>
      <c r="AJ467" s="62" t="n">
        <f aca="false">AI467*CC467</f>
        <v>3.32142857142857</v>
      </c>
      <c r="AK467" s="63" t="n">
        <f aca="false">IF(LEFT(Cockpit!$C$5,1)="A",H467,IF(CI467=1,(CL467+CJ467)/2,IF(LEFT(Cockpit!$C$5,1)="B",(CL467+AM467)/2,MAX((CL467+AM467)/2,H467))))</f>
        <v>537</v>
      </c>
      <c r="AL467" s="62" t="n">
        <f aca="false">AK467*G467</f>
        <v>80.55</v>
      </c>
      <c r="AM467" s="62" t="n">
        <f aca="false">ROUNDUP(CL467+MAX(CM467,2*(J467/IF(CH467&gt;0,CH467,MAX(0.1,N(Cockpit!$C$6)))-CL467)),0)</f>
        <v>742</v>
      </c>
      <c r="AN467" s="63" t="n">
        <f aca="false">IF(AJ467&gt;0,J467/AJ467,-1)</f>
        <v>214.967741935484</v>
      </c>
      <c r="AO467" s="63" t="n">
        <f aca="false">IF(AND(OR(CG467="L1",CG467="L23",CG467="LIFT"),AJ467&gt;0),SUMIFS($AJ$7:$AJ$1843,$CG$7:$CG$1843,CG467,$AN$7:$AN$1843,"&gt;"&amp;AN467)+SUMIFS($AJ$7:$AJ$1843,$CG$7:$CG$1843,CG467,$AN$7:$AN$1843,AN467,$BX$7:$BX$1843,"&lt;="&amp;BX467),"")</f>
        <v>319.47847985348</v>
      </c>
      <c r="AP467" s="70" t="n">
        <f aca="false">IF(AO467="",0,MAX(0,MIN(1,(IF(CG467="L1",Parameter!$H$5,IF(CG467="L23",Parameter!$H$6+Parameter!$H$7,Parameter!$H$5+Parameter!$H$6+Parameter!$H$7))-(AO467-AJ467))/AJ467)))</f>
        <v>1</v>
      </c>
      <c r="AQ467" s="62" t="n">
        <f aca="false">IF(LEFT(Cockpit!$I$5,1)="A",H467,IF(Parameter!$E$30="MAX-Bestand",IF(CI467=1,CJ467,IF(LEFT(Cockpit!$I$5,1)="B",AW467,MAX(AW467,H467))),ROUNDUP(AU467,0)))</f>
        <v>537</v>
      </c>
      <c r="AR467" s="62" t="n">
        <f aca="false">IF(CA467=1,0,ROUNDUP(AQ467/BZ467,0))</f>
        <v>3</v>
      </c>
      <c r="AS467" s="64" t="n">
        <f aca="false">IF(CR467&gt;0,CR467*MAX(1,AQ467/X467),IF(CA467=1,IF(AQ467&lt;=0,0,CE467*MAX(1,IF(H467&gt;0,AQ467/H467,1))),IF(R467&gt;0,AR467/R467,0))/MAX(0.1,N(Parameter!$M$21)))</f>
        <v>0.0214285714285714</v>
      </c>
      <c r="AT467" s="62" t="n">
        <f aca="false">AS467*CC467</f>
        <v>3.32142857142857</v>
      </c>
      <c r="AU467" s="63" t="n">
        <f aca="false">IF(LEFT(Cockpit!$I$5,1)="A",H467,IF(CI467=1,(CL467+CJ467)/2,IF(LEFT(Cockpit!$I$5,1)="B",(CL467+AW467)/2,MAX((CL467+AW467)/2,H467))))</f>
        <v>537</v>
      </c>
      <c r="AV467" s="62" t="n">
        <f aca="false">AU467*G467</f>
        <v>80.55</v>
      </c>
      <c r="AW467" s="62" t="n">
        <f aca="false">ROUNDUP(CL467+MAX(CM467,2*(J467/IF(CH467&gt;0,CH467,MAX(0.1,N(Cockpit!$I$6)))-CL467)),0)</f>
        <v>742</v>
      </c>
      <c r="AX467" s="63" t="n">
        <f aca="false">IF(AT467&gt;0,J467/AT467,-1)</f>
        <v>214.967741935484</v>
      </c>
      <c r="AY467" s="63" t="n">
        <f aca="false">IF(AND(OR(CG467="L1",CG467="L23",CG467="LIFT"),AT467&gt;0),SUMIFS($AT$7:$AT$1843,$CG$7:$CG$1843,CG467,$AX$7:$AX$1843,"&gt;"&amp;AX467)+SUMIFS($AT$7:$AT$1843,$CG$7:$CG$1843,CG467,$AX$7:$AX$1843,AX467,$BX$7:$BX$1843,"&lt;="&amp;BX467),"")</f>
        <v>428.653846153846</v>
      </c>
      <c r="AZ467" s="70" t="n">
        <f aca="false">IF(AY467="",0,MAX(0,MIN(1,(IF(CG467="L1",Parameter!$H$5,IF(CG467="L23",Parameter!$H$6+Parameter!$H$7,Parameter!$H$5+Parameter!$H$6+Parameter!$H$7))-(AY467-AT467))/AT467)))</f>
        <v>1</v>
      </c>
      <c r="BA467" s="62" t="n">
        <f aca="false">IF(LEFT(Cockpit!$O$5,1)="A",H467,IF(Parameter!$E$30="MAX-Bestand",IF(CI467=1,CJ467,IF(LEFT(Cockpit!$O$5,1)="B",BG467,MAX(BG467,H467))),ROUNDUP(BE467,0)))</f>
        <v>385</v>
      </c>
      <c r="BB467" s="62" t="n">
        <f aca="false">IF(CA467=1,0,ROUNDUP(BA467/BZ467,0))</f>
        <v>2</v>
      </c>
      <c r="BC467" s="64" t="n">
        <f aca="false">IF(CR467&gt;0,CR467*MAX(1,BA467/X467),IF(CA467=1,IF(BA467&lt;=0,0,CE467*MAX(1,IF(H467&gt;0,BA467/H467,1))),IF(R467&gt;0,BB467/R467,0))/MAX(0.1,N(Parameter!$M$21)))</f>
        <v>0.0142857142857143</v>
      </c>
      <c r="BD467" s="62" t="n">
        <f aca="false">BC467*CC467</f>
        <v>2.21428571428571</v>
      </c>
      <c r="BE467" s="63" t="n">
        <f aca="false">IF(LEFT(Cockpit!$O$5,1)="A",H467,IF(CI467=1,(CL467+CJ467)/2,IF(LEFT(Cockpit!$O$5,1)="B",(CL467+BG467)/2,MAX((CL467+BG467)/2,H467))))</f>
        <v>384.5</v>
      </c>
      <c r="BF467" s="62" t="n">
        <f aca="false">BE467*G467</f>
        <v>57.675</v>
      </c>
      <c r="BG467" s="62" t="n">
        <f aca="false">ROUNDUP(CL467+MAX(CM467,2*(J467/IF(CH467&gt;0,CH467,MAX(0.1,N(Cockpit!$O$6)))-CL467)),0)</f>
        <v>742</v>
      </c>
      <c r="BH467" s="63" t="n">
        <f aca="false">IF(BD467&gt;0,J467/BD467,-1)</f>
        <v>322.451612903226</v>
      </c>
      <c r="BI467" s="63" t="n">
        <f aca="false">IF(AND(OR(CG467="L1",CG467="L23",CG467="LIFT"),BD467&gt;0),SUMIFS($BD$7:$BD$1843,$CG$7:$CG$1843,CG467,$BH$7:$BH$1843,"&gt;"&amp;BH467)+SUMIFS($BD$7:$BD$1843,$CG$7:$CG$1843,CG467,$BH$7:$BH$1843,BH467,$BX$7:$BX$1843,"&lt;="&amp;BX467),"")</f>
        <v>255.794413919414</v>
      </c>
      <c r="BJ467" s="70" t="n">
        <f aca="false">IF(BI467="",0,MAX(0,MIN(1,(IF(CG467="L1",Parameter!$H$5,IF(CG467="L23",Parameter!$H$6+Parameter!$H$7,Parameter!$H$5+Parameter!$H$6+Parameter!$H$7))-(BI467-BD467))/BD467)))</f>
        <v>1</v>
      </c>
      <c r="BK467" s="60" t="str">
        <f aca="false">IF(AJ467&lt;=0,"",IF(CG467="Aussen","Aussenlager",IF(CG467="-","Nicht im Lift",IF(AP467&gt;=1,"Lift",IF(AP467&lt;=0,"Aussenlager","teilweise")))))</f>
        <v>Lift</v>
      </c>
      <c r="BL467" s="60" t="str">
        <f aca="false">IF(AT467&lt;=0,"",IF(CG467="Aussen","Aussenlager",IF(CG467="-","Nicht im Lift",IF(AZ467&gt;=1,"Lift",IF(AZ467&lt;=0,"Aussenlager","teilweise")))))</f>
        <v>Lift</v>
      </c>
      <c r="BM467" s="60" t="str">
        <f aca="false">IF(BD467&lt;=0,"",IF(CG467="Aussen","Aussenlager",IF(CG467="-","Nicht im Lift",IF(BJ467&gt;=1,"Lift",IF(BJ467&lt;=0,"Aussenlager","teilweise")))))</f>
        <v>Lift</v>
      </c>
      <c r="BN467" s="60" t="str">
        <f aca="false">IF(A467="","",IF(BW467=1,"Neu; ","")&amp;IF(AND(BW467=0,BR467&lt;0),"negativer Bestand (Export "&amp;BR467&amp;"); ","")&amp;IF(J467&lt;=0,"Kein Verbrauch; ","")&amp;IF(CR467&gt;0,"Lift "&amp;W467&amp;" lt. Liftbericht (Fach "&amp;X467&amp;" Stk); ",IF(CB467=1,"Gebinde geschätzt ("&amp;T467&amp;"); ",IF(CA467=1,"Lose – Tablare geschätzt; ","")))&amp;IF(H467&gt;AW467,"Überbestand "&amp;ROUND(H467-AW467,0)&amp;" Stk / CHF "&amp;ROUND((H467-AW467)*G467,0)&amp;"; ","")&amp;IF(AND(CI467=1,CJ467&lt;CK467),"MAX &lt; MB+LG; ","")&amp;IF(AND(CQ467&gt;0,CP467*10&gt;CQ467),"zu hoch für Tablar; ","")&amp;IF(AND(BW467=0,OR(CI467=1,AB467&lt;&gt;"",U467&lt;&gt;"",V467&lt;&gt;"",AC467&lt;&gt;"")),"manuell übersteuert; ","")&amp;IF(AND(CA467=0,R467=0),"Gebinde unbekannt / Stellmass fehlt; ","")&amp;IF(AND(CA467=0,N(V467)&lt;=0,N(Q467)&lt;=0),"Menge pro Gebinde fehlt (Ist = 1 Gebinde); ","")&amp;BV467)</f>
        <v/>
      </c>
      <c r="BO467" s="60"/>
      <c r="BP467" s="60"/>
      <c r="BQ467" s="67"/>
      <c r="BR467" s="62" t="n">
        <v>392</v>
      </c>
      <c r="BS467" s="62" t="n">
        <v>145</v>
      </c>
      <c r="BT467" s="61" t="n">
        <v>55.98</v>
      </c>
      <c r="BU467" s="62" t="n">
        <v>714</v>
      </c>
      <c r="BV467" s="60"/>
      <c r="BW467" s="65" t="n">
        <v>0</v>
      </c>
      <c r="BX467" s="65" t="n">
        <v>467</v>
      </c>
      <c r="BY467" s="60" t="str">
        <f aca="false">IF(U467&lt;&gt;"",UPPER(TRIM(U467)),IF(CB467=1,UPPER(VLOOKUP(T467,Parameter!$I$27:$K$29,2,0)),IF(P467="","LOSE",P467)))</f>
        <v>S22</v>
      </c>
      <c r="BZ467" s="62" t="n">
        <f aca="false">IF(BY467="LOSE",1,IF(N(V467)&gt;0,V467,IF(CB467=1,MAX(1,N(VLOOKUP(T467,Parameter!$I$27:$K$29,3,0)),H467,N(N467)),IF(N(Q467)&gt;0,Q467,MAX(1,H467)))))</f>
        <v>194</v>
      </c>
      <c r="CA467" s="65" t="n">
        <f aca="false">IF(BY467="LOSE",1,0)</f>
        <v>0</v>
      </c>
      <c r="CB467" s="65" t="n">
        <f aca="false">IF(AND(U467="",OR(P467="",P467="LOSE"),T467&lt;&gt;"",N(S467)&lt;=0,ISNUMBER(MATCH(T467,Parameter!$I$27:$I$29,0))),1,0)</f>
        <v>0</v>
      </c>
      <c r="CC467" s="65" t="n">
        <f aca="false">IF(CR467&gt;0,INDEX(Parameter!$H$5:$H$7,W467)/INDEX(Parameter!$E$5:$E$7,W467),IF(AND(CA467=0,N(IFERROR(VLOOKUP(BY467,'Gebinde-Kategorie'!$A$5:$N$45,14,0),0))&gt;0),VLOOKUP(BY467,'Gebinde-Kategorie'!$A$5:$N$45,14,0)*10+Parameter!$M$23,Parameter!$M$24))</f>
        <v>155</v>
      </c>
      <c r="CD467" s="60" t="str">
        <f aca="false">IF(AND(Parameter!$B$19="Ja",E467&lt;&gt;"",ISNUMBER(MATCH(E467,Parameter!$I$35:$I$52,0))),VLOOKUP(E467,Parameter!$I$35:$J$52,2,0),IFERROR(VLOOKUP(D467,Parameter!$A$35:$C$64,2,0),"Nein"))</f>
        <v>2+3</v>
      </c>
      <c r="CE467" s="64" t="n">
        <f aca="false">IF(CA467=0,0,IF(N(S467)&gt;0,S467,IFERROR(VLOOKUP(D467,Parameter!$A$35:$C$64,3,0)+0,0)))</f>
        <v>0</v>
      </c>
      <c r="CF467" s="60" t="n">
        <f aca="false">IF(AB467&lt;&gt;"",AB467,AA467)</f>
        <v>3</v>
      </c>
      <c r="CG467" s="60" t="str">
        <f aca="false">IF(OR(CF467=1,CF467=2,CF467=3),IF(Parameter!$E$27="Ja","LIFT",IF(CF467=1,"L1","L23")),IF(CF467="Aussen","Aussen","-"))</f>
        <v>LIFT</v>
      </c>
      <c r="CH467" s="71" t="n">
        <f aca="false">IF(N(AC467)&gt;0,AC467,0)</f>
        <v>0</v>
      </c>
      <c r="CI467" s="65" t="n">
        <f aca="false">IF(ISNUMBER(AF467),1,0)</f>
        <v>0</v>
      </c>
      <c r="CJ467" s="62" t="n">
        <f aca="false">N(AF467)</f>
        <v>0</v>
      </c>
      <c r="CK467" s="62" t="n">
        <f aca="false">N(M467)+N(N467)</f>
        <v>742</v>
      </c>
      <c r="CL467" s="62" t="n">
        <f aca="false">N(M467)</f>
        <v>27</v>
      </c>
      <c r="CM467" s="62" t="n">
        <f aca="false">N(N467)</f>
        <v>715</v>
      </c>
      <c r="CN467" s="62" t="n">
        <f aca="false">ROUNDUP(H467/BZ467,0)</f>
        <v>3</v>
      </c>
      <c r="CO467" s="62" t="n">
        <f aca="false">ROUNDUP(CJ467/BZ467,0)</f>
        <v>0</v>
      </c>
      <c r="CP467" s="65" t="n">
        <f aca="false">IF(CA467=1,0,IFERROR(VLOOKUP(BY467,'Gebinde-Kategorie'!$A$5:$N$45,5,0)+0,0))</f>
        <v>8</v>
      </c>
      <c r="CQ467" s="65" t="n">
        <f aca="false">IFERROR(IF(OR(CF467=1,CF467=2,CF467=3),N(INDEX(Parameter!$I$5:$I$7,CF467)),0),0)</f>
        <v>0</v>
      </c>
      <c r="CR467" s="64" t="n">
        <f aca="false">IF(AND(Parameter!$B$21="Ja",ISNUMBER(W467),N(X467)&gt;0),IFERROR(N(INDEX(Parameter!$L$5:$L$7,W467))*INDEX(Parameter!$E$5:$E$7,W467)*X467/SUMIFS($X$7:$X$1843,$W$7:$W$1843,W467),0),0)</f>
        <v>0</v>
      </c>
      <c r="CS467" s="62" t="n">
        <f aca="false">IF(AND(OR(CG467="L1",CG467="L23",CG467="LIFT"),H467&gt;0),CC467*IF(CR467&gt;0,CR467*MAX(1,H467/X467),IF(CA467=1,CE467,IF(R467&gt;0,CN467/R467,0))/MAX(0.1,N(Parameter!$M$21))),"")</f>
        <v>3.32142857142857</v>
      </c>
      <c r="CT467" s="64" t="n">
        <f aca="false">IF(CS467="","",J467/H467)</f>
        <v>1.32960893854749</v>
      </c>
      <c r="CU467" s="62" t="n">
        <f aca="false">IF(CS467="","",H467*G467)</f>
        <v>80.55</v>
      </c>
      <c r="CV467" s="63" t="n">
        <f aca="false">IF(CS467="","",(CL467+ROUNDUP(CL467+MAX(CM467,2*(J467/MAX(0.1,N(Einkauf!$C$6))-CL467)),0))/2)</f>
        <v>384.5</v>
      </c>
      <c r="CW467" s="62" t="n">
        <f aca="false">IF(CS467="","",MAX(0,H467-CV467)*G467)</f>
        <v>22.875</v>
      </c>
      <c r="CX467" s="62" t="n">
        <f aca="false">IF(CS467="","",CS467*MAX(0,1-CV467/H467))</f>
        <v>0.943236233040702</v>
      </c>
      <c r="CY467" s="64" t="n">
        <f aca="false">IF(CS467="","",PERCENTRANK($CS$7:$CS$1843,CS467)+PERCENTRANK($CU$7:$CU$1843,CU467)+1-PERCENTRANK($CT$7:$CT$1843,CT467))</f>
        <v>0.806</v>
      </c>
      <c r="CZ467" s="72" t="n">
        <f aca="false">IF(CS467="","",CHOOSE(MATCH(Einkauf!$C$5,Parameter!$G$23:$G$27,0),CY467,CS467,CU467,-CT467,CW467)+ROW()/1000000000)</f>
        <v>0.806000467</v>
      </c>
    </row>
    <row r="468" customFormat="false" ht="15" hidden="false" customHeight="false" outlineLevel="0" collapsed="false">
      <c r="A468" s="60" t="s">
        <v>1089</v>
      </c>
      <c r="B468" s="60" t="s">
        <v>1090</v>
      </c>
      <c r="C468" s="60" t="s">
        <v>206</v>
      </c>
      <c r="D468" s="60" t="s">
        <v>226</v>
      </c>
      <c r="E468" s="60"/>
      <c r="F468" s="60" t="s">
        <v>260</v>
      </c>
      <c r="G468" s="61" t="n">
        <v>7.36</v>
      </c>
      <c r="H468" s="62" t="n">
        <f aca="false">MAX(0,IF(AND(Parameter!$B$21="Ja",ISNUMBER(Y468)),Y468,IF(Parameter!$B$20="Jahresanfang 2025 + Export",BS468+BR468,BR468)))</f>
        <v>17</v>
      </c>
      <c r="I468" s="62" t="n">
        <f aca="false">H468*G468</f>
        <v>125.12</v>
      </c>
      <c r="J468" s="62" t="n">
        <f aca="false">BU468*Parameter!$B$18</f>
        <v>1</v>
      </c>
      <c r="K468" s="63" t="n">
        <v>7.5</v>
      </c>
      <c r="L468" s="64" t="n">
        <v>0.133333333333333</v>
      </c>
      <c r="M468" s="62" t="n">
        <v>0</v>
      </c>
      <c r="N468" s="62" t="n">
        <v>1</v>
      </c>
      <c r="O468" s="65" t="n">
        <v>21</v>
      </c>
      <c r="P468" s="60" t="s">
        <v>210</v>
      </c>
      <c r="Q468" s="62"/>
      <c r="R468" s="65" t="n">
        <f aca="false">IF(CA468=1,0,IFERROR(VLOOKUP(BY468,'Gebinde-Kategorie'!$A$5:$N$45,13,0)+0,0))</f>
        <v>26</v>
      </c>
      <c r="S468" s="66"/>
      <c r="T468" s="67" t="s">
        <v>317</v>
      </c>
      <c r="U468" s="67"/>
      <c r="V468" s="67"/>
      <c r="W468" s="60"/>
      <c r="X468" s="62"/>
      <c r="Y468" s="62"/>
      <c r="Z468" s="60" t="n">
        <v>3</v>
      </c>
      <c r="AA468" s="60" t="n">
        <f aca="false">IF(A468="","",IF(AND(Parameter!$B$21="Ja",ISNUMBER(W468)),W468,IF(AND(Parameter!$E$27="Ja",ISNUMBER(Z468),CD468&lt;&gt;"Nein"),Z468,IF(CD468="2+3",IF(ISNUMBER(SEARCH("grosser Artikel",BV468)),2,IFERROR(VLOOKUP(BY468,Parameter!$F$35:$G$64,2,0),2)),IF(OR(CD468="Nein",CD468=""),"-",CD468)))))</f>
        <v>3</v>
      </c>
      <c r="AB468" s="67"/>
      <c r="AC468" s="68"/>
      <c r="AD468" s="62" t="n">
        <f aca="false">AW468</f>
        <v>1</v>
      </c>
      <c r="AE468" s="62" t="n">
        <f aca="false">MAX(AW468,H468)</f>
        <v>17</v>
      </c>
      <c r="AF468" s="69"/>
      <c r="AG468" s="62" t="n">
        <f aca="false">IF(LEFT(Cockpit!$C$5,1)="A",H468,IF(Parameter!$E$30="MAX-Bestand",IF(CI468=1,CJ468,IF(LEFT(Cockpit!$C$5,1)="B",AM468,MAX(AM468,H468))),ROUNDUP(AK468,0)))</f>
        <v>17</v>
      </c>
      <c r="AH468" s="62" t="n">
        <f aca="false">IF(CA468=1,0,ROUNDUP(AG468/BZ468,0))</f>
        <v>1</v>
      </c>
      <c r="AI468" s="64" t="n">
        <f aca="false">IF(CR468&gt;0,CR468*MAX(1,AG468/X468),IF(CA468=1,IF(AG468&lt;=0,0,CE468*MAX(1,IF(H468&gt;0,AG468/H468,1))),IF(R468&gt;0,AH468/R468,0))/MAX(0.1,N(Parameter!$M$21)))</f>
        <v>0.0384615384615385</v>
      </c>
      <c r="AJ468" s="62" t="n">
        <f aca="false">AI468*CC468</f>
        <v>5.96153846153846</v>
      </c>
      <c r="AK468" s="63" t="n">
        <f aca="false">IF(LEFT(Cockpit!$C$5,1)="A",H468,IF(CI468=1,(CL468+CJ468)/2,IF(LEFT(Cockpit!$C$5,1)="B",(CL468+AM468)/2,MAX((CL468+AM468)/2,H468))))</f>
        <v>17</v>
      </c>
      <c r="AL468" s="62" t="n">
        <f aca="false">AK468*G468</f>
        <v>125.12</v>
      </c>
      <c r="AM468" s="62" t="n">
        <f aca="false">ROUNDUP(CL468+MAX(CM468,2*(J468/IF(CH468&gt;0,CH468,MAX(0.1,N(Cockpit!$C$6)))-CL468)),0)</f>
        <v>1</v>
      </c>
      <c r="AN468" s="63" t="n">
        <f aca="false">IF(AJ468&gt;0,J468/AJ468,-1)</f>
        <v>0.167741935483871</v>
      </c>
      <c r="AO468" s="63" t="n">
        <f aca="false">IF(AND(OR(CG468="L1",CG468="L23",CG468="LIFT"),AJ468&gt;0),SUMIFS($AJ$7:$AJ$1843,$CG$7:$CG$1843,CG468,$AN$7:$AN$1843,"&gt;"&amp;AN468)+SUMIFS($AJ$7:$AJ$1843,$CG$7:$CG$1843,CG468,$AN$7:$AN$1843,AN468,$BX$7:$BX$1843,"&lt;="&amp;BX468),"")</f>
        <v>12691.6567977691</v>
      </c>
      <c r="AP468" s="70" t="n">
        <f aca="false">IF(AO468="",0,MAX(0,MIN(1,(IF(CG468="L1",Parameter!$H$5,IF(CG468="L23",Parameter!$H$6+Parameter!$H$7,Parameter!$H$5+Parameter!$H$6+Parameter!$H$7))-(AO468-AJ468))/AJ468)))</f>
        <v>1</v>
      </c>
      <c r="AQ468" s="62" t="n">
        <f aca="false">IF(LEFT(Cockpit!$I$5,1)="A",H468,IF(Parameter!$E$30="MAX-Bestand",IF(CI468=1,CJ468,IF(LEFT(Cockpit!$I$5,1)="B",AW468,MAX(AW468,H468))),ROUNDUP(AU468,0)))</f>
        <v>17</v>
      </c>
      <c r="AR468" s="62" t="n">
        <f aca="false">IF(CA468=1,0,ROUNDUP(AQ468/BZ468,0))</f>
        <v>1</v>
      </c>
      <c r="AS468" s="64" t="n">
        <f aca="false">IF(CR468&gt;0,CR468*MAX(1,AQ468/X468),IF(CA468=1,IF(AQ468&lt;=0,0,CE468*MAX(1,IF(H468&gt;0,AQ468/H468,1))),IF(R468&gt;0,AR468/R468,0))/MAX(0.1,N(Parameter!$M$21)))</f>
        <v>0.0384615384615385</v>
      </c>
      <c r="AT468" s="62" t="n">
        <f aca="false">AS468*CC468</f>
        <v>5.96153846153846</v>
      </c>
      <c r="AU468" s="63" t="n">
        <f aca="false">IF(LEFT(Cockpit!$I$5,1)="A",H468,IF(CI468=1,(CL468+CJ468)/2,IF(LEFT(Cockpit!$I$5,1)="B",(CL468+AW468)/2,MAX((CL468+AW468)/2,H468))))</f>
        <v>17</v>
      </c>
      <c r="AV468" s="62" t="n">
        <f aca="false">AU468*G468</f>
        <v>125.12</v>
      </c>
      <c r="AW468" s="62" t="n">
        <f aca="false">ROUNDUP(CL468+MAX(CM468,2*(J468/IF(CH468&gt;0,CH468,MAX(0.1,N(Cockpit!$I$6)))-CL468)),0)</f>
        <v>1</v>
      </c>
      <c r="AX468" s="63" t="n">
        <f aca="false">IF(AT468&gt;0,J468/AT468,-1)</f>
        <v>0.167741935483871</v>
      </c>
      <c r="AY468" s="63" t="n">
        <f aca="false">IF(AND(OR(CG468="L1",CG468="L23",CG468="LIFT"),AT468&gt;0),SUMIFS($AT$7:$AT$1843,$CG$7:$CG$1843,CG468,$AX$7:$AX$1843,"&gt;"&amp;AX468)+SUMIFS($AT$7:$AT$1843,$CG$7:$CG$1843,CG468,$AX$7:$AX$1843,AX468,$BX$7:$BX$1843,"&lt;="&amp;BX468),"")</f>
        <v>15608.4143772894</v>
      </c>
      <c r="AZ468" s="70" t="n">
        <f aca="false">IF(AY468="",0,MAX(0,MIN(1,(IF(CG468="L1",Parameter!$H$5,IF(CG468="L23",Parameter!$H$6+Parameter!$H$7,Parameter!$H$5+Parameter!$H$6+Parameter!$H$7))-(AY468-AT468))/AT468)))</f>
        <v>1</v>
      </c>
      <c r="BA468" s="62" t="n">
        <f aca="false">IF(LEFT(Cockpit!$O$5,1)="A",H468,IF(Parameter!$E$30="MAX-Bestand",IF(CI468=1,CJ468,IF(LEFT(Cockpit!$O$5,1)="B",BG468,MAX(BG468,H468))),ROUNDUP(BE468,0)))</f>
        <v>1</v>
      </c>
      <c r="BB468" s="62" t="n">
        <f aca="false">IF(CA468=1,0,ROUNDUP(BA468/BZ468,0))</f>
        <v>1</v>
      </c>
      <c r="BC468" s="64" t="n">
        <f aca="false">IF(CR468&gt;0,CR468*MAX(1,BA468/X468),IF(CA468=1,IF(BA468&lt;=0,0,CE468*MAX(1,IF(H468&gt;0,BA468/H468,1))),IF(R468&gt;0,BB468/R468,0))/MAX(0.1,N(Parameter!$M$21)))</f>
        <v>0.0384615384615385</v>
      </c>
      <c r="BD468" s="62" t="n">
        <f aca="false">BC468*CC468</f>
        <v>5.96153846153846</v>
      </c>
      <c r="BE468" s="63" t="n">
        <f aca="false">IF(LEFT(Cockpit!$O$5,1)="A",H468,IF(CI468=1,(CL468+CJ468)/2,IF(LEFT(Cockpit!$O$5,1)="B",(CL468+BG468)/2,MAX((CL468+BG468)/2,H468))))</f>
        <v>0.5</v>
      </c>
      <c r="BF468" s="62" t="n">
        <f aca="false">BE468*G468</f>
        <v>3.68</v>
      </c>
      <c r="BG468" s="62" t="n">
        <f aca="false">ROUNDUP(CL468+MAX(CM468,2*(J468/IF(CH468&gt;0,CH468,MAX(0.1,N(Cockpit!$O$6)))-CL468)),0)</f>
        <v>1</v>
      </c>
      <c r="BH468" s="63" t="n">
        <f aca="false">IF(BD468&gt;0,J468/BD468,-1)</f>
        <v>0.167741935483871</v>
      </c>
      <c r="BI468" s="63" t="n">
        <f aca="false">IF(AND(OR(CG468="L1",CG468="L23",CG468="LIFT"),BD468&gt;0),SUMIFS($BD$7:$BD$1843,$CG$7:$CG$1843,CG468,$BH$7:$BH$1843,"&gt;"&amp;BH468)+SUMIFS($BD$7:$BD$1843,$CG$7:$CG$1843,CG468,$BH$7:$BH$1843,BH468,$BX$7:$BX$1843,"&lt;="&amp;BX468),"")</f>
        <v>13410.7142055214</v>
      </c>
      <c r="BJ468" s="70" t="n">
        <f aca="false">IF(BI468="",0,MAX(0,MIN(1,(IF(CG468="L1",Parameter!$H$5,IF(CG468="L23",Parameter!$H$6+Parameter!$H$7,Parameter!$H$5+Parameter!$H$6+Parameter!$H$7))-(BI468-BD468))/BD468)))</f>
        <v>1</v>
      </c>
      <c r="BK468" s="60" t="str">
        <f aca="false">IF(AJ468&lt;=0,"",IF(CG468="Aussen","Aussenlager",IF(CG468="-","Nicht im Lift",IF(AP468&gt;=1,"Lift",IF(AP468&lt;=0,"Aussenlager","teilweise")))))</f>
        <v>Lift</v>
      </c>
      <c r="BL468" s="60" t="str">
        <f aca="false">IF(AT468&lt;=0,"",IF(CG468="Aussen","Aussenlager",IF(CG468="-","Nicht im Lift",IF(AZ468&gt;=1,"Lift",IF(AZ468&lt;=0,"Aussenlager","teilweise")))))</f>
        <v>Lift</v>
      </c>
      <c r="BM468" s="60" t="str">
        <f aca="false">IF(BD468&lt;=0,"",IF(CG468="Aussen","Aussenlager",IF(CG468="-","Nicht im Lift",IF(BJ468&gt;=1,"Lift",IF(BJ468&lt;=0,"Aussenlager","teilweise")))))</f>
        <v>Lift</v>
      </c>
      <c r="BN468" s="60" t="str">
        <f aca="false">IF(A468="","",IF(BW468=1,"Neu; ","")&amp;IF(AND(BW468=0,BR468&lt;0),"negativer Bestand (Export "&amp;BR468&amp;"); ","")&amp;IF(J468&lt;=0,"Kein Verbrauch; ","")&amp;IF(CR468&gt;0,"Lift "&amp;W468&amp;" lt. Liftbericht (Fach "&amp;X468&amp;" Stk); ",IF(CB468=1,"Gebinde geschätzt ("&amp;T468&amp;"); ",IF(CA468=1,"Lose – Tablare geschätzt; ","")))&amp;IF(H468&gt;AW468,"Überbestand "&amp;ROUND(H468-AW468,0)&amp;" Stk / CHF "&amp;ROUND((H468-AW468)*G468,0)&amp;"; ","")&amp;IF(AND(CI468=1,CJ468&lt;CK468),"MAX &lt; MB+LG; ","")&amp;IF(AND(CQ468&gt;0,CP468*10&gt;CQ468),"zu hoch für Tablar; ","")&amp;IF(AND(BW468=0,OR(CI468=1,AB468&lt;&gt;"",U468&lt;&gt;"",V468&lt;&gt;"",AC468&lt;&gt;"")),"manuell übersteuert; ","")&amp;IF(AND(CA468=0,R468=0),"Gebinde unbekannt / Stellmass fehlt; ","")&amp;IF(AND(CA468=0,N(V468)&lt;=0,N(Q468)&lt;=0),"Menge pro Gebinde fehlt (Ist = 1 Gebinde); ","")&amp;BV468)</f>
        <v>Gebinde geschätzt (Klein); Überbestand 16 Stk / CHF 118; Menge pro Gebinde fehlt (Ist = 1 Gebinde); </v>
      </c>
      <c r="BO468" s="60"/>
      <c r="BP468" s="60"/>
      <c r="BQ468" s="67"/>
      <c r="BR468" s="62" t="n">
        <v>9</v>
      </c>
      <c r="BS468" s="62" t="n">
        <v>8</v>
      </c>
      <c r="BT468" s="61" t="n">
        <v>55.36</v>
      </c>
      <c r="BU468" s="62" t="n">
        <v>1</v>
      </c>
      <c r="BV468" s="60"/>
      <c r="BW468" s="65" t="n">
        <v>0</v>
      </c>
      <c r="BX468" s="65" t="n">
        <v>468</v>
      </c>
      <c r="BY468" s="60" t="str">
        <f aca="false">IF(U468&lt;&gt;"",UPPER(TRIM(U468)),IF(CB468=1,UPPER(VLOOKUP(T468,Parameter!$I$27:$K$29,2,0)),IF(P468="","LOSE",P468)))</f>
        <v>S51</v>
      </c>
      <c r="BZ468" s="62" t="n">
        <f aca="false">IF(BY468="LOSE",1,IF(N(V468)&gt;0,V468,IF(CB468=1,MAX(1,N(VLOOKUP(T468,Parameter!$I$27:$K$29,3,0)),H468,N(N468)),IF(N(Q468)&gt;0,Q468,MAX(1,H468)))))</f>
        <v>20</v>
      </c>
      <c r="CA468" s="65" t="n">
        <f aca="false">IF(BY468="LOSE",1,0)</f>
        <v>0</v>
      </c>
      <c r="CB468" s="65" t="n">
        <f aca="false">IF(AND(U468="",OR(P468="",P468="LOSE"),T468&lt;&gt;"",N(S468)&lt;=0,ISNUMBER(MATCH(T468,Parameter!$I$27:$I$29,0))),1,0)</f>
        <v>1</v>
      </c>
      <c r="CC468" s="65" t="n">
        <f aca="false">IF(CR468&gt;0,INDEX(Parameter!$H$5:$H$7,W468)/INDEX(Parameter!$E$5:$E$7,W468),IF(AND(CA468=0,N(IFERROR(VLOOKUP(BY468,'Gebinde-Kategorie'!$A$5:$N$45,14,0),0))&gt;0),VLOOKUP(BY468,'Gebinde-Kategorie'!$A$5:$N$45,14,0)*10+Parameter!$M$23,Parameter!$M$24))</f>
        <v>155</v>
      </c>
      <c r="CD468" s="60" t="str">
        <f aca="false">IF(AND(Parameter!$B$19="Ja",E468&lt;&gt;"",ISNUMBER(MATCH(E468,Parameter!$I$35:$I$52,0))),VLOOKUP(E468,Parameter!$I$35:$J$52,2,0),IFERROR(VLOOKUP(D468,Parameter!$A$35:$C$64,2,0),"Nein"))</f>
        <v>2+3</v>
      </c>
      <c r="CE468" s="64" t="n">
        <f aca="false">IF(CA468=0,0,IF(N(S468)&gt;0,S468,IFERROR(VLOOKUP(D468,Parameter!$A$35:$C$64,3,0)+0,0)))</f>
        <v>0</v>
      </c>
      <c r="CF468" s="60" t="n">
        <f aca="false">IF(AB468&lt;&gt;"",AB468,AA468)</f>
        <v>3</v>
      </c>
      <c r="CG468" s="60" t="str">
        <f aca="false">IF(OR(CF468=1,CF468=2,CF468=3),IF(Parameter!$E$27="Ja","LIFT",IF(CF468=1,"L1","L23")),IF(CF468="Aussen","Aussen","-"))</f>
        <v>LIFT</v>
      </c>
      <c r="CH468" s="71" t="n">
        <f aca="false">IF(N(AC468)&gt;0,AC468,0)</f>
        <v>0</v>
      </c>
      <c r="CI468" s="65" t="n">
        <f aca="false">IF(ISNUMBER(AF468),1,0)</f>
        <v>0</v>
      </c>
      <c r="CJ468" s="62" t="n">
        <f aca="false">N(AF468)</f>
        <v>0</v>
      </c>
      <c r="CK468" s="62" t="n">
        <f aca="false">N(M468)+N(N468)</f>
        <v>1</v>
      </c>
      <c r="CL468" s="62" t="n">
        <f aca="false">N(M468)</f>
        <v>0</v>
      </c>
      <c r="CM468" s="62" t="n">
        <f aca="false">N(N468)</f>
        <v>1</v>
      </c>
      <c r="CN468" s="62" t="n">
        <f aca="false">ROUNDUP(H468/BZ468,0)</f>
        <v>1</v>
      </c>
      <c r="CO468" s="62" t="n">
        <f aca="false">ROUNDUP(CJ468/BZ468,0)</f>
        <v>0</v>
      </c>
      <c r="CP468" s="65" t="n">
        <f aca="false">IF(CA468=1,0,IFERROR(VLOOKUP(BY468,'Gebinde-Kategorie'!$A$5:$N$45,5,0)+0,0))</f>
        <v>11</v>
      </c>
      <c r="CQ468" s="65" t="n">
        <f aca="false">IFERROR(IF(OR(CF468=1,CF468=2,CF468=3),N(INDEX(Parameter!$I$5:$I$7,CF468)),0),0)</f>
        <v>0</v>
      </c>
      <c r="CR468" s="64" t="n">
        <f aca="false">IF(AND(Parameter!$B$21="Ja",ISNUMBER(W468),N(X468)&gt;0),IFERROR(N(INDEX(Parameter!$L$5:$L$7,W468))*INDEX(Parameter!$E$5:$E$7,W468)*X468/SUMIFS($X$7:$X$1843,$W$7:$W$1843,W468),0),0)</f>
        <v>0</v>
      </c>
      <c r="CS468" s="62" t="n">
        <f aca="false">IF(AND(OR(CG468="L1",CG468="L23",CG468="LIFT"),H468&gt;0),CC468*IF(CR468&gt;0,CR468*MAX(1,H468/X468),IF(CA468=1,CE468,IF(R468&gt;0,CN468/R468,0))/MAX(0.1,N(Parameter!$M$21))),"")</f>
        <v>5.96153846153846</v>
      </c>
      <c r="CT468" s="64" t="n">
        <f aca="false">IF(CS468="","",J468/H468)</f>
        <v>0.0588235294117647</v>
      </c>
      <c r="CU468" s="62" t="n">
        <f aca="false">IF(CS468="","",H468*G468)</f>
        <v>125.12</v>
      </c>
      <c r="CV468" s="63" t="n">
        <f aca="false">IF(CS468="","",(CL468+ROUNDUP(CL468+MAX(CM468,2*(J468/MAX(0.1,N(Einkauf!$C$6))-CL468)),0))/2)</f>
        <v>0.5</v>
      </c>
      <c r="CW468" s="62" t="n">
        <f aca="false">IF(CS468="","",MAX(0,H468-CV468)*G468)</f>
        <v>121.44</v>
      </c>
      <c r="CX468" s="62" t="n">
        <f aca="false">IF(CS468="","",CS468*MAX(0,1-CV468/H468))</f>
        <v>5.78619909502262</v>
      </c>
      <c r="CY468" s="64" t="n">
        <f aca="false">IF(CS468="","",PERCENTRANK($CS$7:$CS$1843,CS468)+PERCENTRANK($CU$7:$CU$1843,CU468)+1-PERCENTRANK($CT$7:$CT$1843,CT468))</f>
        <v>1.214</v>
      </c>
      <c r="CZ468" s="72" t="n">
        <f aca="false">IF(CS468="","",CHOOSE(MATCH(Einkauf!$C$5,Parameter!$G$23:$G$27,0),CY468,CS468,CU468,-CT468,CW468)+ROW()/1000000000)</f>
        <v>1.214000468</v>
      </c>
    </row>
    <row r="469" customFormat="false" ht="15" hidden="false" customHeight="false" outlineLevel="0" collapsed="false">
      <c r="A469" s="60" t="s">
        <v>1091</v>
      </c>
      <c r="B469" s="60" t="s">
        <v>471</v>
      </c>
      <c r="C469" s="60" t="s">
        <v>206</v>
      </c>
      <c r="D469" s="60" t="s">
        <v>215</v>
      </c>
      <c r="E469" s="60"/>
      <c r="F469" s="60" t="s">
        <v>260</v>
      </c>
      <c r="G469" s="61" t="n">
        <v>54.97</v>
      </c>
      <c r="H469" s="62" t="n">
        <f aca="false">MAX(0,IF(AND(Parameter!$B$21="Ja",ISNUMBER(Y469)),Y469,IF(Parameter!$B$20="Jahresanfang 2025 + Export",BS469+BR469,BR469)))</f>
        <v>1</v>
      </c>
      <c r="I469" s="62" t="n">
        <f aca="false">H469*G469</f>
        <v>54.97</v>
      </c>
      <c r="J469" s="62" t="n">
        <f aca="false">BU469*Parameter!$B$18</f>
        <v>0</v>
      </c>
      <c r="K469" s="63" t="n">
        <v>0.5</v>
      </c>
      <c r="L469" s="64" t="n">
        <v>0</v>
      </c>
      <c r="M469" s="62" t="n">
        <v>0</v>
      </c>
      <c r="N469" s="62" t="n">
        <v>1</v>
      </c>
      <c r="O469" s="65" t="n">
        <v>63</v>
      </c>
      <c r="P469" s="60" t="s">
        <v>210</v>
      </c>
      <c r="Q469" s="62"/>
      <c r="R469" s="65" t="n">
        <f aca="false">IF(CA469=1,0,IFERROR(VLOOKUP(BY469,'Gebinde-Kategorie'!$A$5:$N$45,13,0)+0,0))</f>
        <v>12</v>
      </c>
      <c r="S469" s="66"/>
      <c r="T469" s="67" t="s">
        <v>221</v>
      </c>
      <c r="U469" s="67"/>
      <c r="V469" s="67"/>
      <c r="W469" s="60"/>
      <c r="X469" s="62"/>
      <c r="Y469" s="62"/>
      <c r="Z469" s="60" t="n">
        <v>3</v>
      </c>
      <c r="AA469" s="60" t="n">
        <f aca="false">IF(A469="","",IF(AND(Parameter!$B$21="Ja",ISNUMBER(W469)),W469,IF(AND(Parameter!$E$27="Ja",ISNUMBER(Z469),CD469&lt;&gt;"Nein"),Z469,IF(CD469="2+3",IF(ISNUMBER(SEARCH("grosser Artikel",BV469)),2,IFERROR(VLOOKUP(BY469,Parameter!$F$35:$G$64,2,0),2)),IF(OR(CD469="Nein",CD469=""),"-",CD469)))))</f>
        <v>3</v>
      </c>
      <c r="AB469" s="67"/>
      <c r="AC469" s="68"/>
      <c r="AD469" s="62" t="n">
        <f aca="false">AW469</f>
        <v>1</v>
      </c>
      <c r="AE469" s="62" t="n">
        <f aca="false">MAX(AW469,H469)</f>
        <v>1</v>
      </c>
      <c r="AF469" s="69"/>
      <c r="AG469" s="62" t="n">
        <f aca="false">IF(LEFT(Cockpit!$C$5,1)="A",H469,IF(Parameter!$E$30="MAX-Bestand",IF(CI469=1,CJ469,IF(LEFT(Cockpit!$C$5,1)="B",AM469,MAX(AM469,H469))),ROUNDUP(AK469,0)))</f>
        <v>1</v>
      </c>
      <c r="AH469" s="62" t="n">
        <f aca="false">IF(CA469=1,0,ROUNDUP(AG469/BZ469,0))</f>
        <v>1</v>
      </c>
      <c r="AI469" s="64" t="n">
        <f aca="false">IF(CR469&gt;0,CR469*MAX(1,AG469/X469),IF(CA469=1,IF(AG469&lt;=0,0,CE469*MAX(1,IF(H469&gt;0,AG469/H469,1))),IF(R469&gt;0,AH469/R469,0))/MAX(0.1,N(Parameter!$M$21)))</f>
        <v>0.0833333333333333</v>
      </c>
      <c r="AJ469" s="62" t="n">
        <f aca="false">AI469*CC469</f>
        <v>12.0833333333333</v>
      </c>
      <c r="AK469" s="63" t="n">
        <f aca="false">IF(LEFT(Cockpit!$C$5,1)="A",H469,IF(CI469=1,(CL469+CJ469)/2,IF(LEFT(Cockpit!$C$5,1)="B",(CL469+AM469)/2,MAX((CL469+AM469)/2,H469))))</f>
        <v>1</v>
      </c>
      <c r="AL469" s="62" t="n">
        <f aca="false">AK469*G469</f>
        <v>54.97</v>
      </c>
      <c r="AM469" s="62" t="n">
        <f aca="false">ROUNDUP(CL469+MAX(CM469,2*(J469/IF(CH469&gt;0,CH469,MAX(0.1,N(Cockpit!$C$6)))-CL469)),0)</f>
        <v>1</v>
      </c>
      <c r="AN469" s="63" t="n">
        <f aca="false">IF(AJ469&gt;0,J469/AJ469,-1)</f>
        <v>0</v>
      </c>
      <c r="AO469" s="63" t="n">
        <f aca="false">IF(AND(OR(CG469="L1",CG469="L23",CG469="LIFT"),AJ469&gt;0),SUMIFS($AJ$7:$AJ$1843,$CG$7:$CG$1843,CG469,$AN$7:$AN$1843,"&gt;"&amp;AN469)+SUMIFS($AJ$7:$AJ$1843,$CG$7:$CG$1843,CG469,$AN$7:$AN$1843,AN469,$BX$7:$BX$1843,"&lt;="&amp;BX469),"")</f>
        <v>28165.2139959852</v>
      </c>
      <c r="AP469" s="70" t="n">
        <f aca="false">IF(AO469="",0,MAX(0,MIN(1,(IF(CG469="L1",Parameter!$H$5,IF(CG469="L23",Parameter!$H$6+Parameter!$H$7,Parameter!$H$5+Parameter!$H$6+Parameter!$H$7))-(AO469-AJ469))/AJ469)))</f>
        <v>1</v>
      </c>
      <c r="AQ469" s="62" t="n">
        <f aca="false">IF(LEFT(Cockpit!$I$5,1)="A",H469,IF(Parameter!$E$30="MAX-Bestand",IF(CI469=1,CJ469,IF(LEFT(Cockpit!$I$5,1)="B",AW469,MAX(AW469,H469))),ROUNDUP(AU469,0)))</f>
        <v>1</v>
      </c>
      <c r="AR469" s="62" t="n">
        <f aca="false">IF(CA469=1,0,ROUNDUP(AQ469/BZ469,0))</f>
        <v>1</v>
      </c>
      <c r="AS469" s="64" t="n">
        <f aca="false">IF(CR469&gt;0,CR469*MAX(1,AQ469/X469),IF(CA469=1,IF(AQ469&lt;=0,0,CE469*MAX(1,IF(H469&gt;0,AQ469/H469,1))),IF(R469&gt;0,AR469/R469,0))/MAX(0.1,N(Parameter!$M$21)))</f>
        <v>0.0833333333333333</v>
      </c>
      <c r="AT469" s="62" t="n">
        <f aca="false">AS469*CC469</f>
        <v>12.0833333333333</v>
      </c>
      <c r="AU469" s="63" t="n">
        <f aca="false">IF(LEFT(Cockpit!$I$5,1)="A",H469,IF(CI469=1,(CL469+CJ469)/2,IF(LEFT(Cockpit!$I$5,1)="B",(CL469+AW469)/2,MAX((CL469+AW469)/2,H469))))</f>
        <v>1</v>
      </c>
      <c r="AV469" s="62" t="n">
        <f aca="false">AU469*G469</f>
        <v>54.97</v>
      </c>
      <c r="AW469" s="62" t="n">
        <f aca="false">ROUNDUP(CL469+MAX(CM469,2*(J469/IF(CH469&gt;0,CH469,MAX(0.1,N(Cockpit!$I$6)))-CL469)),0)</f>
        <v>1</v>
      </c>
      <c r="AX469" s="63" t="n">
        <f aca="false">IF(AT469&gt;0,J469/AT469,-1)</f>
        <v>0</v>
      </c>
      <c r="AY469" s="63" t="n">
        <f aca="false">IF(AND(OR(CG469="L1",CG469="L23",CG469="LIFT"),AT469&gt;0),SUMIFS($AT$7:$AT$1843,$CG$7:$CG$1843,CG469,$AX$7:$AX$1843,"&gt;"&amp;AX469)+SUMIFS($AT$7:$AT$1843,$CG$7:$CG$1843,CG469,$AX$7:$AX$1843,AX469,$BX$7:$BX$1843,"&lt;="&amp;BX469),"")</f>
        <v>33518.3626373626</v>
      </c>
      <c r="AZ469" s="70" t="n">
        <f aca="false">IF(AY469="",0,MAX(0,MIN(1,(IF(CG469="L1",Parameter!$H$5,IF(CG469="L23",Parameter!$H$6+Parameter!$H$7,Parameter!$H$5+Parameter!$H$6+Parameter!$H$7))-(AY469-AT469))/AT469)))</f>
        <v>1</v>
      </c>
      <c r="BA469" s="62" t="n">
        <f aca="false">IF(LEFT(Cockpit!$O$5,1)="A",H469,IF(Parameter!$E$30="MAX-Bestand",IF(CI469=1,CJ469,IF(LEFT(Cockpit!$O$5,1)="B",BG469,MAX(BG469,H469))),ROUNDUP(BE469,0)))</f>
        <v>1</v>
      </c>
      <c r="BB469" s="62" t="n">
        <f aca="false">IF(CA469=1,0,ROUNDUP(BA469/BZ469,0))</f>
        <v>1</v>
      </c>
      <c r="BC469" s="64" t="n">
        <f aca="false">IF(CR469&gt;0,CR469*MAX(1,BA469/X469),IF(CA469=1,IF(BA469&lt;=0,0,CE469*MAX(1,IF(H469&gt;0,BA469/H469,1))),IF(R469&gt;0,BB469/R469,0))/MAX(0.1,N(Parameter!$M$21)))</f>
        <v>0.0833333333333333</v>
      </c>
      <c r="BD469" s="62" t="n">
        <f aca="false">BC469*CC469</f>
        <v>12.0833333333333</v>
      </c>
      <c r="BE469" s="63" t="n">
        <f aca="false">IF(LEFT(Cockpit!$O$5,1)="A",H469,IF(CI469=1,(CL469+CJ469)/2,IF(LEFT(Cockpit!$O$5,1)="B",(CL469+BG469)/2,MAX((CL469+BG469)/2,H469))))</f>
        <v>0.5</v>
      </c>
      <c r="BF469" s="62" t="n">
        <f aca="false">BE469*G469</f>
        <v>27.485</v>
      </c>
      <c r="BG469" s="62" t="n">
        <f aca="false">ROUNDUP(CL469+MAX(CM469,2*(J469/IF(CH469&gt;0,CH469,MAX(0.1,N(Cockpit!$O$6)))-CL469)),0)</f>
        <v>1</v>
      </c>
      <c r="BH469" s="63" t="n">
        <f aca="false">IF(BD469&gt;0,J469/BD469,-1)</f>
        <v>0</v>
      </c>
      <c r="BI469" s="63" t="n">
        <f aca="false">IF(AND(OR(CG469="L1",CG469="L23",CG469="LIFT"),BD469&gt;0),SUMIFS($BD$7:$BD$1843,$CG$7:$CG$1843,CG469,$BH$7:$BH$1843,"&gt;"&amp;BH469)+SUMIFS($BD$7:$BD$1843,$CG$7:$CG$1843,CG469,$BH$7:$BH$1843,BH469,$BX$7:$BX$1843,"&lt;="&amp;BX469),"")</f>
        <v>27625.5974110635</v>
      </c>
      <c r="BJ469" s="70" t="n">
        <f aca="false">IF(BI469="",0,MAX(0,MIN(1,(IF(CG469="L1",Parameter!$H$5,IF(CG469="L23",Parameter!$H$6+Parameter!$H$7,Parameter!$H$5+Parameter!$H$6+Parameter!$H$7))-(BI469-BD469))/BD469)))</f>
        <v>1</v>
      </c>
      <c r="BK469" s="60" t="str">
        <f aca="false">IF(AJ469&lt;=0,"",IF(CG469="Aussen","Aussenlager",IF(CG469="-","Nicht im Lift",IF(AP469&gt;=1,"Lift",IF(AP469&lt;=0,"Aussenlager","teilweise")))))</f>
        <v>Lift</v>
      </c>
      <c r="BL469" s="60" t="str">
        <f aca="false">IF(AT469&lt;=0,"",IF(CG469="Aussen","Aussenlager",IF(CG469="-","Nicht im Lift",IF(AZ469&gt;=1,"Lift",IF(AZ469&lt;=0,"Aussenlager","teilweise")))))</f>
        <v>Lift</v>
      </c>
      <c r="BM469" s="60" t="str">
        <f aca="false">IF(BD469&lt;=0,"",IF(CG469="Aussen","Aussenlager",IF(CG469="-","Nicht im Lift",IF(BJ469&gt;=1,"Lift",IF(BJ469&lt;=0,"Aussenlager","teilweise")))))</f>
        <v>Lift</v>
      </c>
      <c r="BN469" s="60" t="str">
        <f aca="false">IF(A469="","",IF(BW469=1,"Neu; ","")&amp;IF(AND(BW469=0,BR469&lt;0),"negativer Bestand (Export "&amp;BR469&amp;"); ","")&amp;IF(J469&lt;=0,"Kein Verbrauch; ","")&amp;IF(CR469&gt;0,"Lift "&amp;W469&amp;" lt. Liftbericht (Fach "&amp;X469&amp;" Stk); ",IF(CB469=1,"Gebinde geschätzt ("&amp;T469&amp;"); ",IF(CA469=1,"Lose – Tablare geschätzt; ","")))&amp;IF(H469&gt;AW469,"Überbestand "&amp;ROUND(H469-AW469,0)&amp;" Stk / CHF "&amp;ROUND((H469-AW469)*G469,0)&amp;"; ","")&amp;IF(AND(CI469=1,CJ469&lt;CK469),"MAX &lt; MB+LG; ","")&amp;IF(AND(CQ469&gt;0,CP469*10&gt;CQ469),"zu hoch für Tablar; ","")&amp;IF(AND(BW469=0,OR(CI469=1,AB469&lt;&gt;"",U469&lt;&gt;"",V469&lt;&gt;"",AC469&lt;&gt;"")),"manuell übersteuert; ","")&amp;IF(AND(CA469=0,R469=0),"Gebinde unbekannt / Stellmass fehlt; ","")&amp;IF(AND(CA469=0,N(V469)&lt;=0,N(Q469)&lt;=0),"Menge pro Gebinde fehlt (Ist = 1 Gebinde); ","")&amp;BV469)</f>
        <v>Kein Verbrauch; Gebinde geschätzt (Mittel); Menge pro Gebinde fehlt (Ist = 1 Gebinde); </v>
      </c>
      <c r="BO469" s="60"/>
      <c r="BP469" s="60"/>
      <c r="BQ469" s="67"/>
      <c r="BR469" s="62" t="n">
        <v>1</v>
      </c>
      <c r="BS469" s="62" t="n">
        <v>0</v>
      </c>
      <c r="BT469" s="61" t="n">
        <v>54.97</v>
      </c>
      <c r="BU469" s="62" t="n">
        <v>0</v>
      </c>
      <c r="BV469" s="60"/>
      <c r="BW469" s="65" t="n">
        <v>0</v>
      </c>
      <c r="BX469" s="65" t="n">
        <v>469</v>
      </c>
      <c r="BY469" s="60" t="str">
        <f aca="false">IF(U469&lt;&gt;"",UPPER(TRIM(U469)),IF(CB469=1,UPPER(VLOOKUP(T469,Parameter!$I$27:$K$29,2,0)),IF(P469="","LOSE",P469)))</f>
        <v>S61</v>
      </c>
      <c r="BZ469" s="62" t="n">
        <f aca="false">IF(BY469="LOSE",1,IF(N(V469)&gt;0,V469,IF(CB469=1,MAX(1,N(VLOOKUP(T469,Parameter!$I$27:$K$29,3,0)),H469,N(N469)),IF(N(Q469)&gt;0,Q469,MAX(1,H469)))))</f>
        <v>4</v>
      </c>
      <c r="CA469" s="65" t="n">
        <f aca="false">IF(BY469="LOSE",1,0)</f>
        <v>0</v>
      </c>
      <c r="CB469" s="65" t="n">
        <f aca="false">IF(AND(U469="",OR(P469="",P469="LOSE"),T469&lt;&gt;"",N(S469)&lt;=0,ISNUMBER(MATCH(T469,Parameter!$I$27:$I$29,0))),1,0)</f>
        <v>1</v>
      </c>
      <c r="CC469" s="65" t="n">
        <f aca="false">IF(CR469&gt;0,INDEX(Parameter!$H$5:$H$7,W469)/INDEX(Parameter!$E$5:$E$7,W469),IF(AND(CA469=0,N(IFERROR(VLOOKUP(BY469,'Gebinde-Kategorie'!$A$5:$N$45,14,0),0))&gt;0),VLOOKUP(BY469,'Gebinde-Kategorie'!$A$5:$N$45,14,0)*10+Parameter!$M$23,Parameter!$M$24))</f>
        <v>145</v>
      </c>
      <c r="CD469" s="60" t="str">
        <f aca="false">IF(AND(Parameter!$B$19="Ja",E469&lt;&gt;"",ISNUMBER(MATCH(E469,Parameter!$I$35:$I$52,0))),VLOOKUP(E469,Parameter!$I$35:$J$52,2,0),IFERROR(VLOOKUP(D469,Parameter!$A$35:$C$64,2,0),"Nein"))</f>
        <v>2+3</v>
      </c>
      <c r="CE469" s="64" t="n">
        <f aca="false">IF(CA469=0,0,IF(N(S469)&gt;0,S469,IFERROR(VLOOKUP(D469,Parameter!$A$35:$C$64,3,0)+0,0)))</f>
        <v>0</v>
      </c>
      <c r="CF469" s="60" t="n">
        <f aca="false">IF(AB469&lt;&gt;"",AB469,AA469)</f>
        <v>3</v>
      </c>
      <c r="CG469" s="60" t="str">
        <f aca="false">IF(OR(CF469=1,CF469=2,CF469=3),IF(Parameter!$E$27="Ja","LIFT",IF(CF469=1,"L1","L23")),IF(CF469="Aussen","Aussen","-"))</f>
        <v>LIFT</v>
      </c>
      <c r="CH469" s="71" t="n">
        <f aca="false">IF(N(AC469)&gt;0,AC469,0)</f>
        <v>0</v>
      </c>
      <c r="CI469" s="65" t="n">
        <f aca="false">IF(ISNUMBER(AF469),1,0)</f>
        <v>0</v>
      </c>
      <c r="CJ469" s="62" t="n">
        <f aca="false">N(AF469)</f>
        <v>0</v>
      </c>
      <c r="CK469" s="62" t="n">
        <f aca="false">N(M469)+N(N469)</f>
        <v>1</v>
      </c>
      <c r="CL469" s="62" t="n">
        <f aca="false">N(M469)</f>
        <v>0</v>
      </c>
      <c r="CM469" s="62" t="n">
        <f aca="false">N(N469)</f>
        <v>1</v>
      </c>
      <c r="CN469" s="62" t="n">
        <f aca="false">ROUNDUP(H469/BZ469,0)</f>
        <v>1</v>
      </c>
      <c r="CO469" s="62" t="n">
        <f aca="false">ROUNDUP(CJ469/BZ469,0)</f>
        <v>0</v>
      </c>
      <c r="CP469" s="65" t="n">
        <f aca="false">IF(CA469=1,0,IFERROR(VLOOKUP(BY469,'Gebinde-Kategorie'!$A$5:$N$45,5,0)+0,0))</f>
        <v>11</v>
      </c>
      <c r="CQ469" s="65" t="n">
        <f aca="false">IFERROR(IF(OR(CF469=1,CF469=2,CF469=3),N(INDEX(Parameter!$I$5:$I$7,CF469)),0),0)</f>
        <v>0</v>
      </c>
      <c r="CR469" s="64" t="n">
        <f aca="false">IF(AND(Parameter!$B$21="Ja",ISNUMBER(W469),N(X469)&gt;0),IFERROR(N(INDEX(Parameter!$L$5:$L$7,W469))*INDEX(Parameter!$E$5:$E$7,W469)*X469/SUMIFS($X$7:$X$1843,$W$7:$W$1843,W469),0),0)</f>
        <v>0</v>
      </c>
      <c r="CS469" s="62" t="n">
        <f aca="false">IF(AND(OR(CG469="L1",CG469="L23",CG469="LIFT"),H469&gt;0),CC469*IF(CR469&gt;0,CR469*MAX(1,H469/X469),IF(CA469=1,CE469,IF(R469&gt;0,CN469/R469,0))/MAX(0.1,N(Parameter!$M$21))),"")</f>
        <v>12.0833333333333</v>
      </c>
      <c r="CT469" s="64" t="n">
        <f aca="false">IF(CS469="","",J469/H469)</f>
        <v>0</v>
      </c>
      <c r="CU469" s="62" t="n">
        <f aca="false">IF(CS469="","",H469*G469)</f>
        <v>54.97</v>
      </c>
      <c r="CV469" s="63" t="n">
        <f aca="false">IF(CS469="","",(CL469+ROUNDUP(CL469+MAX(CM469,2*(J469/MAX(0.1,N(Einkauf!$C$6))-CL469)),0))/2)</f>
        <v>0.5</v>
      </c>
      <c r="CW469" s="62" t="n">
        <f aca="false">IF(CS469="","",MAX(0,H469-CV469)*G469)</f>
        <v>27.485</v>
      </c>
      <c r="CX469" s="62" t="n">
        <f aca="false">IF(CS469="","",CS469*MAX(0,1-CV469/H469))</f>
        <v>6.04166666666667</v>
      </c>
      <c r="CY469" s="64" t="n">
        <f aca="false">IF(CS469="","",PERCENTRANK($CS$7:$CS$1843,CS469)+PERCENTRANK($CU$7:$CU$1843,CU469)+1-PERCENTRANK($CT$7:$CT$1843,CT469))</f>
        <v>1.816</v>
      </c>
      <c r="CZ469" s="72" t="n">
        <f aca="false">IF(CS469="","",CHOOSE(MATCH(Einkauf!$C$5,Parameter!$G$23:$G$27,0),CY469,CS469,CU469,-CT469,CW469)+ROW()/1000000000)</f>
        <v>1.816000469</v>
      </c>
    </row>
    <row r="470" customFormat="false" ht="15" hidden="false" customHeight="false" outlineLevel="0" collapsed="false">
      <c r="A470" s="60" t="s">
        <v>1092</v>
      </c>
      <c r="B470" s="60" t="s">
        <v>1093</v>
      </c>
      <c r="C470" s="60" t="s">
        <v>206</v>
      </c>
      <c r="D470" s="60" t="s">
        <v>226</v>
      </c>
      <c r="E470" s="60"/>
      <c r="F470" s="60" t="s">
        <v>260</v>
      </c>
      <c r="G470" s="61" t="n">
        <v>54.56</v>
      </c>
      <c r="H470" s="62" t="n">
        <f aca="false">MAX(0,IF(AND(Parameter!$B$21="Ja",ISNUMBER(Y470)),Y470,IF(Parameter!$B$20="Jahresanfang 2025 + Export",BS470+BR470,BR470)))</f>
        <v>32</v>
      </c>
      <c r="I470" s="62" t="n">
        <f aca="false">H470*G470</f>
        <v>1745.92</v>
      </c>
      <c r="J470" s="62" t="n">
        <f aca="false">BU470*Parameter!$B$18</f>
        <v>0</v>
      </c>
      <c r="K470" s="63" t="n">
        <v>31.5</v>
      </c>
      <c r="L470" s="64" t="n">
        <v>0</v>
      </c>
      <c r="M470" s="62" t="n">
        <v>0</v>
      </c>
      <c r="N470" s="62" t="n">
        <v>1</v>
      </c>
      <c r="O470" s="65" t="n">
        <v>28</v>
      </c>
      <c r="P470" s="60" t="s">
        <v>268</v>
      </c>
      <c r="Q470" s="62" t="n">
        <v>40</v>
      </c>
      <c r="R470" s="65" t="n">
        <f aca="false">IF(CA470=1,0,IFERROR(VLOOKUP(BY470,'Gebinde-Kategorie'!$A$5:$N$45,13,0)+0,0))</f>
        <v>12</v>
      </c>
      <c r="S470" s="66"/>
      <c r="T470" s="67"/>
      <c r="U470" s="67"/>
      <c r="V470" s="67"/>
      <c r="W470" s="60"/>
      <c r="X470" s="62"/>
      <c r="Y470" s="62"/>
      <c r="Z470" s="60" t="n">
        <v>3</v>
      </c>
      <c r="AA470" s="60" t="n">
        <f aca="false">IF(A470="","",IF(AND(Parameter!$B$21="Ja",ISNUMBER(W470)),W470,IF(AND(Parameter!$E$27="Ja",ISNUMBER(Z470),CD470&lt;&gt;"Nein"),Z470,IF(CD470="2+3",IF(ISNUMBER(SEARCH("grosser Artikel",BV470)),2,IFERROR(VLOOKUP(BY470,Parameter!$F$35:$G$64,2,0),2)),IF(OR(CD470="Nein",CD470=""),"-",CD470)))))</f>
        <v>3</v>
      </c>
      <c r="AB470" s="67"/>
      <c r="AC470" s="68"/>
      <c r="AD470" s="62" t="n">
        <f aca="false">AW470</f>
        <v>1</v>
      </c>
      <c r="AE470" s="62" t="n">
        <f aca="false">MAX(AW470,H470)</f>
        <v>32</v>
      </c>
      <c r="AF470" s="69"/>
      <c r="AG470" s="62" t="n">
        <f aca="false">IF(LEFT(Cockpit!$C$5,1)="A",H470,IF(Parameter!$E$30="MAX-Bestand",IF(CI470=1,CJ470,IF(LEFT(Cockpit!$C$5,1)="B",AM470,MAX(AM470,H470))),ROUNDUP(AK470,0)))</f>
        <v>32</v>
      </c>
      <c r="AH470" s="62" t="n">
        <f aca="false">IF(CA470=1,0,ROUNDUP(AG470/BZ470,0))</f>
        <v>1</v>
      </c>
      <c r="AI470" s="64" t="n">
        <f aca="false">IF(CR470&gt;0,CR470*MAX(1,AG470/X470),IF(CA470=1,IF(AG470&lt;=0,0,CE470*MAX(1,IF(H470&gt;0,AG470/H470,1))),IF(R470&gt;0,AH470/R470,0))/MAX(0.1,N(Parameter!$M$21)))</f>
        <v>0.0833333333333333</v>
      </c>
      <c r="AJ470" s="62" t="n">
        <f aca="false">AI470*CC470</f>
        <v>28.75</v>
      </c>
      <c r="AK470" s="63" t="n">
        <f aca="false">IF(LEFT(Cockpit!$C$5,1)="A",H470,IF(CI470=1,(CL470+CJ470)/2,IF(LEFT(Cockpit!$C$5,1)="B",(CL470+AM470)/2,MAX((CL470+AM470)/2,H470))))</f>
        <v>32</v>
      </c>
      <c r="AL470" s="62" t="n">
        <f aca="false">AK470*G470</f>
        <v>1745.92</v>
      </c>
      <c r="AM470" s="62" t="n">
        <f aca="false">ROUNDUP(CL470+MAX(CM470,2*(J470/IF(CH470&gt;0,CH470,MAX(0.1,N(Cockpit!$C$6)))-CL470)),0)</f>
        <v>1</v>
      </c>
      <c r="AN470" s="63" t="n">
        <f aca="false">IF(AJ470&gt;0,J470/AJ470,-1)</f>
        <v>0</v>
      </c>
      <c r="AO470" s="63" t="n">
        <f aca="false">IF(AND(OR(CG470="L1",CG470="L23",CG470="LIFT"),AJ470&gt;0),SUMIFS($AJ$7:$AJ$1843,$CG$7:$CG$1843,CG470,$AN$7:$AN$1843,"&gt;"&amp;AN470)+SUMIFS($AJ$7:$AJ$1843,$CG$7:$CG$1843,CG470,$AN$7:$AN$1843,AN470,$BX$7:$BX$1843,"&lt;="&amp;BX470),"")</f>
        <v>28193.9639959852</v>
      </c>
      <c r="AP470" s="70" t="n">
        <f aca="false">IF(AO470="",0,MAX(0,MIN(1,(IF(CG470="L1",Parameter!$H$5,IF(CG470="L23",Parameter!$H$6+Parameter!$H$7,Parameter!$H$5+Parameter!$H$6+Parameter!$H$7))-(AO470-AJ470))/AJ470)))</f>
        <v>1</v>
      </c>
      <c r="AQ470" s="62" t="n">
        <f aca="false">IF(LEFT(Cockpit!$I$5,1)="A",H470,IF(Parameter!$E$30="MAX-Bestand",IF(CI470=1,CJ470,IF(LEFT(Cockpit!$I$5,1)="B",AW470,MAX(AW470,H470))),ROUNDUP(AU470,0)))</f>
        <v>32</v>
      </c>
      <c r="AR470" s="62" t="n">
        <f aca="false">IF(CA470=1,0,ROUNDUP(AQ470/BZ470,0))</f>
        <v>1</v>
      </c>
      <c r="AS470" s="64" t="n">
        <f aca="false">IF(CR470&gt;0,CR470*MAX(1,AQ470/X470),IF(CA470=1,IF(AQ470&lt;=0,0,CE470*MAX(1,IF(H470&gt;0,AQ470/H470,1))),IF(R470&gt;0,AR470/R470,0))/MAX(0.1,N(Parameter!$M$21)))</f>
        <v>0.0833333333333333</v>
      </c>
      <c r="AT470" s="62" t="n">
        <f aca="false">AS470*CC470</f>
        <v>28.75</v>
      </c>
      <c r="AU470" s="63" t="n">
        <f aca="false">IF(LEFT(Cockpit!$I$5,1)="A",H470,IF(CI470=1,(CL470+CJ470)/2,IF(LEFT(Cockpit!$I$5,1)="B",(CL470+AW470)/2,MAX((CL470+AW470)/2,H470))))</f>
        <v>32</v>
      </c>
      <c r="AV470" s="62" t="n">
        <f aca="false">AU470*G470</f>
        <v>1745.92</v>
      </c>
      <c r="AW470" s="62" t="n">
        <f aca="false">ROUNDUP(CL470+MAX(CM470,2*(J470/IF(CH470&gt;0,CH470,MAX(0.1,N(Cockpit!$I$6)))-CL470)),0)</f>
        <v>1</v>
      </c>
      <c r="AX470" s="63" t="n">
        <f aca="false">IF(AT470&gt;0,J470/AT470,-1)</f>
        <v>0</v>
      </c>
      <c r="AY470" s="63" t="n">
        <f aca="false">IF(AND(OR(CG470="L1",CG470="L23",CG470="LIFT"),AT470&gt;0),SUMIFS($AT$7:$AT$1843,$CG$7:$CG$1843,CG470,$AX$7:$AX$1843,"&gt;"&amp;AX470)+SUMIFS($AT$7:$AT$1843,$CG$7:$CG$1843,CG470,$AX$7:$AX$1843,AX470,$BX$7:$BX$1843,"&lt;="&amp;BX470),"")</f>
        <v>33547.1126373626</v>
      </c>
      <c r="AZ470" s="70" t="n">
        <f aca="false">IF(AY470="",0,MAX(0,MIN(1,(IF(CG470="L1",Parameter!$H$5,IF(CG470="L23",Parameter!$H$6+Parameter!$H$7,Parameter!$H$5+Parameter!$H$6+Parameter!$H$7))-(AY470-AT470))/AT470)))</f>
        <v>1</v>
      </c>
      <c r="BA470" s="62" t="n">
        <f aca="false">IF(LEFT(Cockpit!$O$5,1)="A",H470,IF(Parameter!$E$30="MAX-Bestand",IF(CI470=1,CJ470,IF(LEFT(Cockpit!$O$5,1)="B",BG470,MAX(BG470,H470))),ROUNDUP(BE470,0)))</f>
        <v>1</v>
      </c>
      <c r="BB470" s="62" t="n">
        <f aca="false">IF(CA470=1,0,ROUNDUP(BA470/BZ470,0))</f>
        <v>1</v>
      </c>
      <c r="BC470" s="64" t="n">
        <f aca="false">IF(CR470&gt;0,CR470*MAX(1,BA470/X470),IF(CA470=1,IF(BA470&lt;=0,0,CE470*MAX(1,IF(H470&gt;0,BA470/H470,1))),IF(R470&gt;0,BB470/R470,0))/MAX(0.1,N(Parameter!$M$21)))</f>
        <v>0.0833333333333333</v>
      </c>
      <c r="BD470" s="62" t="n">
        <f aca="false">BC470*CC470</f>
        <v>28.75</v>
      </c>
      <c r="BE470" s="63" t="n">
        <f aca="false">IF(LEFT(Cockpit!$O$5,1)="A",H470,IF(CI470=1,(CL470+CJ470)/2,IF(LEFT(Cockpit!$O$5,1)="B",(CL470+BG470)/2,MAX((CL470+BG470)/2,H470))))</f>
        <v>0.5</v>
      </c>
      <c r="BF470" s="62" t="n">
        <f aca="false">BE470*G470</f>
        <v>27.28</v>
      </c>
      <c r="BG470" s="62" t="n">
        <f aca="false">ROUNDUP(CL470+MAX(CM470,2*(J470/IF(CH470&gt;0,CH470,MAX(0.1,N(Cockpit!$O$6)))-CL470)),0)</f>
        <v>1</v>
      </c>
      <c r="BH470" s="63" t="n">
        <f aca="false">IF(BD470&gt;0,J470/BD470,-1)</f>
        <v>0</v>
      </c>
      <c r="BI470" s="63" t="n">
        <f aca="false">IF(AND(OR(CG470="L1",CG470="L23",CG470="LIFT"),BD470&gt;0),SUMIFS($BD$7:$BD$1843,$CG$7:$CG$1843,CG470,$BH$7:$BH$1843,"&gt;"&amp;BH470)+SUMIFS($BD$7:$BD$1843,$CG$7:$CG$1843,CG470,$BH$7:$BH$1843,BH470,$BX$7:$BX$1843,"&lt;="&amp;BX470),"")</f>
        <v>27654.3474110635</v>
      </c>
      <c r="BJ470" s="70" t="n">
        <f aca="false">IF(BI470="",0,MAX(0,MIN(1,(IF(CG470="L1",Parameter!$H$5,IF(CG470="L23",Parameter!$H$6+Parameter!$H$7,Parameter!$H$5+Parameter!$H$6+Parameter!$H$7))-(BI470-BD470))/BD470)))</f>
        <v>1</v>
      </c>
      <c r="BK470" s="60" t="str">
        <f aca="false">IF(AJ470&lt;=0,"",IF(CG470="Aussen","Aussenlager",IF(CG470="-","Nicht im Lift",IF(AP470&gt;=1,"Lift",IF(AP470&lt;=0,"Aussenlager","teilweise")))))</f>
        <v>Lift</v>
      </c>
      <c r="BL470" s="60" t="str">
        <f aca="false">IF(AT470&lt;=0,"",IF(CG470="Aussen","Aussenlager",IF(CG470="-","Nicht im Lift",IF(AZ470&gt;=1,"Lift",IF(AZ470&lt;=0,"Aussenlager","teilweise")))))</f>
        <v>Lift</v>
      </c>
      <c r="BM470" s="60" t="str">
        <f aca="false">IF(BD470&lt;=0,"",IF(CG470="Aussen","Aussenlager",IF(CG470="-","Nicht im Lift",IF(BJ470&gt;=1,"Lift",IF(BJ470&lt;=0,"Aussenlager","teilweise")))))</f>
        <v>Lift</v>
      </c>
      <c r="BN470" s="60" t="str">
        <f aca="false">IF(A470="","",IF(BW470=1,"Neu; ","")&amp;IF(AND(BW470=0,BR470&lt;0),"negativer Bestand (Export "&amp;BR470&amp;"); ","")&amp;IF(J470&lt;=0,"Kein Verbrauch; ","")&amp;IF(CR470&gt;0,"Lift "&amp;W470&amp;" lt. Liftbericht (Fach "&amp;X470&amp;" Stk); ",IF(CB470=1,"Gebinde geschätzt ("&amp;T470&amp;"); ",IF(CA470=1,"Lose – Tablare geschätzt; ","")))&amp;IF(H470&gt;AW470,"Überbestand "&amp;ROUND(H470-AW470,0)&amp;" Stk / CHF "&amp;ROUND((H470-AW470)*G470,0)&amp;"; ","")&amp;IF(AND(CI470=1,CJ470&lt;CK470),"MAX &lt; MB+LG; ","")&amp;IF(AND(CQ470&gt;0,CP470*10&gt;CQ470),"zu hoch für Tablar; ","")&amp;IF(AND(BW470=0,OR(CI470=1,AB470&lt;&gt;"",U470&lt;&gt;"",V470&lt;&gt;"",AC470&lt;&gt;"")),"manuell übersteuert; ","")&amp;IF(AND(CA470=0,R470=0),"Gebinde unbekannt / Stellmass fehlt; ","")&amp;IF(AND(CA470=0,N(V470)&lt;=0,N(Q470)&lt;=0),"Menge pro Gebinde fehlt (Ist = 1 Gebinde); ","")&amp;BV470)</f>
        <v>Kein Verbrauch; Überbestand 31 Stk / CHF 1691; </v>
      </c>
      <c r="BO470" s="60"/>
      <c r="BP470" s="60"/>
      <c r="BQ470" s="67"/>
      <c r="BR470" s="62" t="n">
        <v>1</v>
      </c>
      <c r="BS470" s="62" t="n">
        <v>31</v>
      </c>
      <c r="BT470" s="61" t="n">
        <v>54.56</v>
      </c>
      <c r="BU470" s="62" t="n">
        <v>0</v>
      </c>
      <c r="BV470" s="60"/>
      <c r="BW470" s="65" t="n">
        <v>0</v>
      </c>
      <c r="BX470" s="65" t="n">
        <v>470</v>
      </c>
      <c r="BY470" s="60" t="str">
        <f aca="false">IF(U470&lt;&gt;"",UPPER(TRIM(U470)),IF(CB470=1,UPPER(VLOOKUP(T470,Parameter!$I$27:$K$29,2,0)),IF(P470="","LOSE",P470)))</f>
        <v>S63</v>
      </c>
      <c r="BZ470" s="62" t="n">
        <f aca="false">IF(BY470="LOSE",1,IF(N(V470)&gt;0,V470,IF(CB470=1,MAX(1,N(VLOOKUP(T470,Parameter!$I$27:$K$29,3,0)),H470,N(N470)),IF(N(Q470)&gt;0,Q470,MAX(1,H470)))))</f>
        <v>40</v>
      </c>
      <c r="CA470" s="65" t="n">
        <f aca="false">IF(BY470="LOSE",1,0)</f>
        <v>0</v>
      </c>
      <c r="CB470" s="65" t="n">
        <f aca="false">IF(AND(U470="",OR(P470="",P470="LOSE"),T470&lt;&gt;"",N(S470)&lt;=0,ISNUMBER(MATCH(T470,Parameter!$I$27:$I$29,0))),1,0)</f>
        <v>0</v>
      </c>
      <c r="CC470" s="65" t="n">
        <f aca="false">IF(CR470&gt;0,INDEX(Parameter!$H$5:$H$7,W470)/INDEX(Parameter!$E$5:$E$7,W470),IF(AND(CA470=0,N(IFERROR(VLOOKUP(BY470,'Gebinde-Kategorie'!$A$5:$N$45,14,0),0))&gt;0),VLOOKUP(BY470,'Gebinde-Kategorie'!$A$5:$N$45,14,0)*10+Parameter!$M$23,Parameter!$M$24))</f>
        <v>345</v>
      </c>
      <c r="CD470" s="60" t="str">
        <f aca="false">IF(AND(Parameter!$B$19="Ja",E470&lt;&gt;"",ISNUMBER(MATCH(E470,Parameter!$I$35:$I$52,0))),VLOOKUP(E470,Parameter!$I$35:$J$52,2,0),IFERROR(VLOOKUP(D470,Parameter!$A$35:$C$64,2,0),"Nein"))</f>
        <v>2+3</v>
      </c>
      <c r="CE470" s="64" t="n">
        <f aca="false">IF(CA470=0,0,IF(N(S470)&gt;0,S470,IFERROR(VLOOKUP(D470,Parameter!$A$35:$C$64,3,0)+0,0)))</f>
        <v>0</v>
      </c>
      <c r="CF470" s="60" t="n">
        <f aca="false">IF(AB470&lt;&gt;"",AB470,AA470)</f>
        <v>3</v>
      </c>
      <c r="CG470" s="60" t="str">
        <f aca="false">IF(OR(CF470=1,CF470=2,CF470=3),IF(Parameter!$E$27="Ja","LIFT",IF(CF470=1,"L1","L23")),IF(CF470="Aussen","Aussen","-"))</f>
        <v>LIFT</v>
      </c>
      <c r="CH470" s="71" t="n">
        <f aca="false">IF(N(AC470)&gt;0,AC470,0)</f>
        <v>0</v>
      </c>
      <c r="CI470" s="65" t="n">
        <f aca="false">IF(ISNUMBER(AF470),1,0)</f>
        <v>0</v>
      </c>
      <c r="CJ470" s="62" t="n">
        <f aca="false">N(AF470)</f>
        <v>0</v>
      </c>
      <c r="CK470" s="62" t="n">
        <f aca="false">N(M470)+N(N470)</f>
        <v>1</v>
      </c>
      <c r="CL470" s="62" t="n">
        <f aca="false">N(M470)</f>
        <v>0</v>
      </c>
      <c r="CM470" s="62" t="n">
        <f aca="false">N(N470)</f>
        <v>1</v>
      </c>
      <c r="CN470" s="62" t="n">
        <f aca="false">ROUNDUP(H470/BZ470,0)</f>
        <v>1</v>
      </c>
      <c r="CO470" s="62" t="n">
        <f aca="false">ROUNDUP(CJ470/BZ470,0)</f>
        <v>0</v>
      </c>
      <c r="CP470" s="65" t="n">
        <f aca="false">IF(CA470=1,0,IFERROR(VLOOKUP(BY470,'Gebinde-Kategorie'!$A$5:$N$45,5,0)+0,0))</f>
        <v>31</v>
      </c>
      <c r="CQ470" s="65" t="n">
        <f aca="false">IFERROR(IF(OR(CF470=1,CF470=2,CF470=3),N(INDEX(Parameter!$I$5:$I$7,CF470)),0),0)</f>
        <v>0</v>
      </c>
      <c r="CR470" s="64" t="n">
        <f aca="false">IF(AND(Parameter!$B$21="Ja",ISNUMBER(W470),N(X470)&gt;0),IFERROR(N(INDEX(Parameter!$L$5:$L$7,W470))*INDEX(Parameter!$E$5:$E$7,W470)*X470/SUMIFS($X$7:$X$1843,$W$7:$W$1843,W470),0),0)</f>
        <v>0</v>
      </c>
      <c r="CS470" s="62" t="n">
        <f aca="false">IF(AND(OR(CG470="L1",CG470="L23",CG470="LIFT"),H470&gt;0),CC470*IF(CR470&gt;0,CR470*MAX(1,H470/X470),IF(CA470=1,CE470,IF(R470&gt;0,CN470/R470,0))/MAX(0.1,N(Parameter!$M$21))),"")</f>
        <v>28.75</v>
      </c>
      <c r="CT470" s="64" t="n">
        <f aca="false">IF(CS470="","",J470/H470)</f>
        <v>0</v>
      </c>
      <c r="CU470" s="62" t="n">
        <f aca="false">IF(CS470="","",H470*G470)</f>
        <v>1745.92</v>
      </c>
      <c r="CV470" s="63" t="n">
        <f aca="false">IF(CS470="","",(CL470+ROUNDUP(CL470+MAX(CM470,2*(J470/MAX(0.1,N(Einkauf!$C$6))-CL470)),0))/2)</f>
        <v>0.5</v>
      </c>
      <c r="CW470" s="62" t="n">
        <f aca="false">IF(CS470="","",MAX(0,H470-CV470)*G470)</f>
        <v>1718.64</v>
      </c>
      <c r="CX470" s="62" t="n">
        <f aca="false">IF(CS470="","",CS470*MAX(0,1-CV470/H470))</f>
        <v>28.30078125</v>
      </c>
      <c r="CY470" s="64" t="n">
        <f aca="false">IF(CS470="","",PERCENTRANK($CS$7:$CS$1843,CS470)+PERCENTRANK($CU$7:$CU$1843,CU470)+1-PERCENTRANK($CT$7:$CT$1843,CT470))</f>
        <v>2.566</v>
      </c>
      <c r="CZ470" s="72" t="n">
        <f aca="false">IF(CS470="","",CHOOSE(MATCH(Einkauf!$C$5,Parameter!$G$23:$G$27,0),CY470,CS470,CU470,-CT470,CW470)+ROW()/1000000000)</f>
        <v>2.56600047</v>
      </c>
    </row>
    <row r="471" customFormat="false" ht="15" hidden="false" customHeight="false" outlineLevel="0" collapsed="false">
      <c r="A471" s="60" t="s">
        <v>1094</v>
      </c>
      <c r="B471" s="60" t="s">
        <v>797</v>
      </c>
      <c r="C471" s="60" t="s">
        <v>206</v>
      </c>
      <c r="D471" s="60" t="s">
        <v>226</v>
      </c>
      <c r="E471" s="60"/>
      <c r="F471" s="60" t="s">
        <v>260</v>
      </c>
      <c r="G471" s="61" t="n">
        <v>43.08</v>
      </c>
      <c r="H471" s="62" t="n">
        <f aca="false">MAX(0,IF(AND(Parameter!$B$21="Ja",ISNUMBER(Y471)),Y471,IF(Parameter!$B$20="Jahresanfang 2025 + Export",BS471+BR471,BR471)))</f>
        <v>15</v>
      </c>
      <c r="I471" s="62" t="n">
        <f aca="false">H471*G471</f>
        <v>646.2</v>
      </c>
      <c r="J471" s="62" t="n">
        <f aca="false">BU471*Parameter!$B$18</f>
        <v>8</v>
      </c>
      <c r="K471" s="63" t="n">
        <v>17.5</v>
      </c>
      <c r="L471" s="64" t="n">
        <v>0.457142857142857</v>
      </c>
      <c r="M471" s="62" t="n">
        <v>0</v>
      </c>
      <c r="N471" s="62" t="n">
        <v>10</v>
      </c>
      <c r="O471" s="65" t="n">
        <v>35</v>
      </c>
      <c r="P471" s="60" t="s">
        <v>468</v>
      </c>
      <c r="Q471" s="62" t="n">
        <v>11</v>
      </c>
      <c r="R471" s="65" t="n">
        <f aca="false">IF(CA471=1,0,IFERROR(VLOOKUP(BY471,'Gebinde-Kategorie'!$A$5:$N$45,13,0)+0,0))</f>
        <v>140</v>
      </c>
      <c r="S471" s="66"/>
      <c r="T471" s="67"/>
      <c r="U471" s="67"/>
      <c r="V471" s="67"/>
      <c r="W471" s="60"/>
      <c r="X471" s="62"/>
      <c r="Y471" s="62"/>
      <c r="Z471" s="60" t="n">
        <v>1</v>
      </c>
      <c r="AA471" s="60" t="n">
        <f aca="false">IF(A471="","",IF(AND(Parameter!$B$21="Ja",ISNUMBER(W471)),W471,IF(AND(Parameter!$E$27="Ja",ISNUMBER(Z471),CD471&lt;&gt;"Nein"),Z471,IF(CD471="2+3",IF(ISNUMBER(SEARCH("grosser Artikel",BV471)),2,IFERROR(VLOOKUP(BY471,Parameter!$F$35:$G$64,2,0),2)),IF(OR(CD471="Nein",CD471=""),"-",CD471)))))</f>
        <v>1</v>
      </c>
      <c r="AB471" s="67"/>
      <c r="AC471" s="68"/>
      <c r="AD471" s="62" t="n">
        <f aca="false">AW471</f>
        <v>10</v>
      </c>
      <c r="AE471" s="62" t="n">
        <f aca="false">MAX(AW471,H471)</f>
        <v>15</v>
      </c>
      <c r="AF471" s="69"/>
      <c r="AG471" s="62" t="n">
        <f aca="false">IF(LEFT(Cockpit!$C$5,1)="A",H471,IF(Parameter!$E$30="MAX-Bestand",IF(CI471=1,CJ471,IF(LEFT(Cockpit!$C$5,1)="B",AM471,MAX(AM471,H471))),ROUNDUP(AK471,0)))</f>
        <v>15</v>
      </c>
      <c r="AH471" s="62" t="n">
        <f aca="false">IF(CA471=1,0,ROUNDUP(AG471/BZ471,0))</f>
        <v>2</v>
      </c>
      <c r="AI471" s="64" t="n">
        <f aca="false">IF(CR471&gt;0,CR471*MAX(1,AG471/X471),IF(CA471=1,IF(AG471&lt;=0,0,CE471*MAX(1,IF(H471&gt;0,AG471/H471,1))),IF(R471&gt;0,AH471/R471,0))/MAX(0.1,N(Parameter!$M$21)))</f>
        <v>0.0142857142857143</v>
      </c>
      <c r="AJ471" s="62" t="n">
        <f aca="false">AI471*CC471</f>
        <v>2.21428571428571</v>
      </c>
      <c r="AK471" s="63" t="n">
        <f aca="false">IF(LEFT(Cockpit!$C$5,1)="A",H471,IF(CI471=1,(CL471+CJ471)/2,IF(LEFT(Cockpit!$C$5,1)="B",(CL471+AM471)/2,MAX((CL471+AM471)/2,H471))))</f>
        <v>15</v>
      </c>
      <c r="AL471" s="62" t="n">
        <f aca="false">AK471*G471</f>
        <v>646.2</v>
      </c>
      <c r="AM471" s="62" t="n">
        <f aca="false">ROUNDUP(CL471+MAX(CM471,2*(J471/IF(CH471&gt;0,CH471,MAX(0.1,N(Cockpit!$C$6)))-CL471)),0)</f>
        <v>10</v>
      </c>
      <c r="AN471" s="63" t="n">
        <f aca="false">IF(AJ471&gt;0,J471/AJ471,-1)</f>
        <v>3.61290322580645</v>
      </c>
      <c r="AO471" s="63" t="n">
        <f aca="false">IF(AND(OR(CG471="L1",CG471="L23",CG471="LIFT"),AJ471&gt;0),SUMIFS($AJ$7:$AJ$1843,$CG$7:$CG$1843,CG471,$AN$7:$AN$1843,"&gt;"&amp;AN471)+SUMIFS($AJ$7:$AJ$1843,$CG$7:$CG$1843,CG471,$AN$7:$AN$1843,AN471,$BX$7:$BX$1843,"&lt;="&amp;BX471),"")</f>
        <v>4824.55265567766</v>
      </c>
      <c r="AP471" s="70" t="n">
        <f aca="false">IF(AO471="",0,MAX(0,MIN(1,(IF(CG471="L1",Parameter!$H$5,IF(CG471="L23",Parameter!$H$6+Parameter!$H$7,Parameter!$H$5+Parameter!$H$6+Parameter!$H$7))-(AO471-AJ471))/AJ471)))</f>
        <v>1</v>
      </c>
      <c r="AQ471" s="62" t="n">
        <f aca="false">IF(LEFT(Cockpit!$I$5,1)="A",H471,IF(Parameter!$E$30="MAX-Bestand",IF(CI471=1,CJ471,IF(LEFT(Cockpit!$I$5,1)="B",AW471,MAX(AW471,H471))),ROUNDUP(AU471,0)))</f>
        <v>15</v>
      </c>
      <c r="AR471" s="62" t="n">
        <f aca="false">IF(CA471=1,0,ROUNDUP(AQ471/BZ471,0))</f>
        <v>2</v>
      </c>
      <c r="AS471" s="64" t="n">
        <f aca="false">IF(CR471&gt;0,CR471*MAX(1,AQ471/X471),IF(CA471=1,IF(AQ471&lt;=0,0,CE471*MAX(1,IF(H471&gt;0,AQ471/H471,1))),IF(R471&gt;0,AR471/R471,0))/MAX(0.1,N(Parameter!$M$21)))</f>
        <v>0.0142857142857143</v>
      </c>
      <c r="AT471" s="62" t="n">
        <f aca="false">AS471*CC471</f>
        <v>2.21428571428571</v>
      </c>
      <c r="AU471" s="63" t="n">
        <f aca="false">IF(LEFT(Cockpit!$I$5,1)="A",H471,IF(CI471=1,(CL471+CJ471)/2,IF(LEFT(Cockpit!$I$5,1)="B",(CL471+AW471)/2,MAX((CL471+AW471)/2,H471))))</f>
        <v>15</v>
      </c>
      <c r="AV471" s="62" t="n">
        <f aca="false">AU471*G471</f>
        <v>646.2</v>
      </c>
      <c r="AW471" s="62" t="n">
        <f aca="false">ROUNDUP(CL471+MAX(CM471,2*(J471/IF(CH471&gt;0,CH471,MAX(0.1,N(Cockpit!$I$6)))-CL471)),0)</f>
        <v>10</v>
      </c>
      <c r="AX471" s="63" t="n">
        <f aca="false">IF(AT471&gt;0,J471/AT471,-1)</f>
        <v>3.61290322580645</v>
      </c>
      <c r="AY471" s="63" t="n">
        <f aca="false">IF(AND(OR(CG471="L1",CG471="L23",CG471="LIFT"),AT471&gt;0),SUMIFS($AT$7:$AT$1843,$CG$7:$CG$1843,CG471,$AX$7:$AX$1843,"&gt;"&amp;AX471)+SUMIFS($AT$7:$AT$1843,$CG$7:$CG$1843,CG471,$AX$7:$AX$1843,AX471,$BX$7:$BX$1843,"&lt;="&amp;BX471),"")</f>
        <v>5402.13965201465</v>
      </c>
      <c r="AZ471" s="70" t="n">
        <f aca="false">IF(AY471="",0,MAX(0,MIN(1,(IF(CG471="L1",Parameter!$H$5,IF(CG471="L23",Parameter!$H$6+Parameter!$H$7,Parameter!$H$5+Parameter!$H$6+Parameter!$H$7))-(AY471-AT471))/AT471)))</f>
        <v>1</v>
      </c>
      <c r="BA471" s="62" t="n">
        <f aca="false">IF(LEFT(Cockpit!$O$5,1)="A",H471,IF(Parameter!$E$30="MAX-Bestand",IF(CI471=1,CJ471,IF(LEFT(Cockpit!$O$5,1)="B",BG471,MAX(BG471,H471))),ROUNDUP(BE471,0)))</f>
        <v>5</v>
      </c>
      <c r="BB471" s="62" t="n">
        <f aca="false">IF(CA471=1,0,ROUNDUP(BA471/BZ471,0))</f>
        <v>1</v>
      </c>
      <c r="BC471" s="64" t="n">
        <f aca="false">IF(CR471&gt;0,CR471*MAX(1,BA471/X471),IF(CA471=1,IF(BA471&lt;=0,0,CE471*MAX(1,IF(H471&gt;0,BA471/H471,1))),IF(R471&gt;0,BB471/R471,0))/MAX(0.1,N(Parameter!$M$21)))</f>
        <v>0.00714285714285714</v>
      </c>
      <c r="BD471" s="62" t="n">
        <f aca="false">BC471*CC471</f>
        <v>1.10714285714286</v>
      </c>
      <c r="BE471" s="63" t="n">
        <f aca="false">IF(LEFT(Cockpit!$O$5,1)="A",H471,IF(CI471=1,(CL471+CJ471)/2,IF(LEFT(Cockpit!$O$5,1)="B",(CL471+BG471)/2,MAX((CL471+BG471)/2,H471))))</f>
        <v>5</v>
      </c>
      <c r="BF471" s="62" t="n">
        <f aca="false">BE471*G471</f>
        <v>215.4</v>
      </c>
      <c r="BG471" s="62" t="n">
        <f aca="false">ROUNDUP(CL471+MAX(CM471,2*(J471/IF(CH471&gt;0,CH471,MAX(0.1,N(Cockpit!$O$6)))-CL471)),0)</f>
        <v>10</v>
      </c>
      <c r="BH471" s="63" t="n">
        <f aca="false">IF(BD471&gt;0,J471/BD471,-1)</f>
        <v>7.2258064516129</v>
      </c>
      <c r="BI471" s="63" t="n">
        <f aca="false">IF(AND(OR(CG471="L1",CG471="L23",CG471="LIFT"),BD471&gt;0),SUMIFS($BD$7:$BD$1843,$CG$7:$CG$1843,CG471,$BH$7:$BH$1843,"&gt;"&amp;BH471)+SUMIFS($BD$7:$BD$1843,$CG$7:$CG$1843,CG471,$BH$7:$BH$1843,BH471,$BX$7:$BX$1843,"&lt;="&amp;BX471),"")</f>
        <v>3238.69139194139</v>
      </c>
      <c r="BJ471" s="70" t="n">
        <f aca="false">IF(BI471="",0,MAX(0,MIN(1,(IF(CG471="L1",Parameter!$H$5,IF(CG471="L23",Parameter!$H$6+Parameter!$H$7,Parameter!$H$5+Parameter!$H$6+Parameter!$H$7))-(BI471-BD471))/BD471)))</f>
        <v>1</v>
      </c>
      <c r="BK471" s="60" t="str">
        <f aca="false">IF(AJ471&lt;=0,"",IF(CG471="Aussen","Aussenlager",IF(CG471="-","Nicht im Lift",IF(AP471&gt;=1,"Lift",IF(AP471&lt;=0,"Aussenlager","teilweise")))))</f>
        <v>Lift</v>
      </c>
      <c r="BL471" s="60" t="str">
        <f aca="false">IF(AT471&lt;=0,"",IF(CG471="Aussen","Aussenlager",IF(CG471="-","Nicht im Lift",IF(AZ471&gt;=1,"Lift",IF(AZ471&lt;=0,"Aussenlager","teilweise")))))</f>
        <v>Lift</v>
      </c>
      <c r="BM471" s="60" t="str">
        <f aca="false">IF(BD471&lt;=0,"",IF(CG471="Aussen","Aussenlager",IF(CG471="-","Nicht im Lift",IF(BJ471&gt;=1,"Lift",IF(BJ471&lt;=0,"Aussenlager","teilweise")))))</f>
        <v>Lift</v>
      </c>
      <c r="BN471" s="60" t="str">
        <f aca="false">IF(A471="","",IF(BW471=1,"Neu; ","")&amp;IF(AND(BW471=0,BR471&lt;0),"negativer Bestand (Export "&amp;BR471&amp;"); ","")&amp;IF(J471&lt;=0,"Kein Verbrauch; ","")&amp;IF(CR471&gt;0,"Lift "&amp;W471&amp;" lt. Liftbericht (Fach "&amp;X471&amp;" Stk); ",IF(CB471=1,"Gebinde geschätzt ("&amp;T471&amp;"); ",IF(CA471=1,"Lose – Tablare geschätzt; ","")))&amp;IF(H471&gt;AW471,"Überbestand "&amp;ROUND(H471-AW471,0)&amp;" Stk / CHF "&amp;ROUND((H471-AW471)*G471,0)&amp;"; ","")&amp;IF(AND(CI471=1,CJ471&lt;CK471),"MAX &lt; MB+LG; ","")&amp;IF(AND(CQ471&gt;0,CP471*10&gt;CQ471),"zu hoch für Tablar; ","")&amp;IF(AND(BW471=0,OR(CI471=1,AB471&lt;&gt;"",U471&lt;&gt;"",V471&lt;&gt;"",AC471&lt;&gt;"")),"manuell übersteuert; ","")&amp;IF(AND(CA471=0,R471=0),"Gebinde unbekannt / Stellmass fehlt; ","")&amp;IF(AND(CA471=0,N(V471)&lt;=0,N(Q471)&lt;=0),"Menge pro Gebinde fehlt (Ist = 1 Gebinde); ","")&amp;BV471)</f>
        <v>Überbestand 5 Stk / CHF 215; </v>
      </c>
      <c r="BO471" s="60"/>
      <c r="BP471" s="60"/>
      <c r="BQ471" s="67"/>
      <c r="BR471" s="62" t="n">
        <v>1</v>
      </c>
      <c r="BS471" s="62" t="n">
        <v>14</v>
      </c>
      <c r="BT471" s="61" t="n">
        <v>53.8600000000001</v>
      </c>
      <c r="BU471" s="62" t="n">
        <v>8</v>
      </c>
      <c r="BV471" s="60"/>
      <c r="BW471" s="65" t="n">
        <v>0</v>
      </c>
      <c r="BX471" s="65" t="n">
        <v>471</v>
      </c>
      <c r="BY471" s="60" t="str">
        <f aca="false">IF(U471&lt;&gt;"",UPPER(TRIM(U471)),IF(CB471=1,UPPER(VLOOKUP(T471,Parameter!$I$27:$K$29,2,0)),IF(P471="","LOSE",P471)))</f>
        <v>S22</v>
      </c>
      <c r="BZ471" s="62" t="n">
        <f aca="false">IF(BY471="LOSE",1,IF(N(V471)&gt;0,V471,IF(CB471=1,MAX(1,N(VLOOKUP(T471,Parameter!$I$27:$K$29,3,0)),H471,N(N471)),IF(N(Q471)&gt;0,Q471,MAX(1,H471)))))</f>
        <v>11</v>
      </c>
      <c r="CA471" s="65" t="n">
        <f aca="false">IF(BY471="LOSE",1,0)</f>
        <v>0</v>
      </c>
      <c r="CB471" s="65" t="n">
        <f aca="false">IF(AND(U471="",OR(P471="",P471="LOSE"),T471&lt;&gt;"",N(S471)&lt;=0,ISNUMBER(MATCH(T471,Parameter!$I$27:$I$29,0))),1,0)</f>
        <v>0</v>
      </c>
      <c r="CC471" s="65" t="n">
        <f aca="false">IF(CR471&gt;0,INDEX(Parameter!$H$5:$H$7,W471)/INDEX(Parameter!$E$5:$E$7,W471),IF(AND(CA471=0,N(IFERROR(VLOOKUP(BY471,'Gebinde-Kategorie'!$A$5:$N$45,14,0),0))&gt;0),VLOOKUP(BY471,'Gebinde-Kategorie'!$A$5:$N$45,14,0)*10+Parameter!$M$23,Parameter!$M$24))</f>
        <v>155</v>
      </c>
      <c r="CD471" s="60" t="str">
        <f aca="false">IF(AND(Parameter!$B$19="Ja",E471&lt;&gt;"",ISNUMBER(MATCH(E471,Parameter!$I$35:$I$52,0))),VLOOKUP(E471,Parameter!$I$35:$J$52,2,0),IFERROR(VLOOKUP(D471,Parameter!$A$35:$C$64,2,0),"Nein"))</f>
        <v>2+3</v>
      </c>
      <c r="CE471" s="64" t="n">
        <f aca="false">IF(CA471=0,0,IF(N(S471)&gt;0,S471,IFERROR(VLOOKUP(D471,Parameter!$A$35:$C$64,3,0)+0,0)))</f>
        <v>0</v>
      </c>
      <c r="CF471" s="60" t="n">
        <f aca="false">IF(AB471&lt;&gt;"",AB471,AA471)</f>
        <v>1</v>
      </c>
      <c r="CG471" s="60" t="str">
        <f aca="false">IF(OR(CF471=1,CF471=2,CF471=3),IF(Parameter!$E$27="Ja","LIFT",IF(CF471=1,"L1","L23")),IF(CF471="Aussen","Aussen","-"))</f>
        <v>LIFT</v>
      </c>
      <c r="CH471" s="71" t="n">
        <f aca="false">IF(N(AC471)&gt;0,AC471,0)</f>
        <v>0</v>
      </c>
      <c r="CI471" s="65" t="n">
        <f aca="false">IF(ISNUMBER(AF471),1,0)</f>
        <v>0</v>
      </c>
      <c r="CJ471" s="62" t="n">
        <f aca="false">N(AF471)</f>
        <v>0</v>
      </c>
      <c r="CK471" s="62" t="n">
        <f aca="false">N(M471)+N(N471)</f>
        <v>10</v>
      </c>
      <c r="CL471" s="62" t="n">
        <f aca="false">N(M471)</f>
        <v>0</v>
      </c>
      <c r="CM471" s="62" t="n">
        <f aca="false">N(N471)</f>
        <v>10</v>
      </c>
      <c r="CN471" s="62" t="n">
        <f aca="false">ROUNDUP(H471/BZ471,0)</f>
        <v>2</v>
      </c>
      <c r="CO471" s="62" t="n">
        <f aca="false">ROUNDUP(CJ471/BZ471,0)</f>
        <v>0</v>
      </c>
      <c r="CP471" s="65" t="n">
        <f aca="false">IF(CA471=1,0,IFERROR(VLOOKUP(BY471,'Gebinde-Kategorie'!$A$5:$N$45,5,0)+0,0))</f>
        <v>8</v>
      </c>
      <c r="CQ471" s="65" t="n">
        <f aca="false">IFERROR(IF(OR(CF471=1,CF471=2,CF471=3),N(INDEX(Parameter!$I$5:$I$7,CF471)),0),0)</f>
        <v>0</v>
      </c>
      <c r="CR471" s="64" t="n">
        <f aca="false">IF(AND(Parameter!$B$21="Ja",ISNUMBER(W471),N(X471)&gt;0),IFERROR(N(INDEX(Parameter!$L$5:$L$7,W471))*INDEX(Parameter!$E$5:$E$7,W471)*X471/SUMIFS($X$7:$X$1843,$W$7:$W$1843,W471),0),0)</f>
        <v>0</v>
      </c>
      <c r="CS471" s="62" t="n">
        <f aca="false">IF(AND(OR(CG471="L1",CG471="L23",CG471="LIFT"),H471&gt;0),CC471*IF(CR471&gt;0,CR471*MAX(1,H471/X471),IF(CA471=1,CE471,IF(R471&gt;0,CN471/R471,0))/MAX(0.1,N(Parameter!$M$21))),"")</f>
        <v>2.21428571428571</v>
      </c>
      <c r="CT471" s="64" t="n">
        <f aca="false">IF(CS471="","",J471/H471)</f>
        <v>0.533333333333333</v>
      </c>
      <c r="CU471" s="62" t="n">
        <f aca="false">IF(CS471="","",H471*G471)</f>
        <v>646.2</v>
      </c>
      <c r="CV471" s="63" t="n">
        <f aca="false">IF(CS471="","",(CL471+ROUNDUP(CL471+MAX(CM471,2*(J471/MAX(0.1,N(Einkauf!$C$6))-CL471)),0))/2)</f>
        <v>5</v>
      </c>
      <c r="CW471" s="62" t="n">
        <f aca="false">IF(CS471="","",MAX(0,H471-CV471)*G471)</f>
        <v>430.8</v>
      </c>
      <c r="CX471" s="62" t="n">
        <f aca="false">IF(CS471="","",CS471*MAX(0,1-CV471/H471))</f>
        <v>1.47619047619048</v>
      </c>
      <c r="CY471" s="64" t="n">
        <f aca="false">IF(CS471="","",PERCENTRANK($CS$7:$CS$1843,CS471)+PERCENTRANK($CU$7:$CU$1843,CU471)+1-PERCENTRANK($CT$7:$CT$1843,CT471))</f>
        <v>1.205</v>
      </c>
      <c r="CZ471" s="72" t="n">
        <f aca="false">IF(CS471="","",CHOOSE(MATCH(Einkauf!$C$5,Parameter!$G$23:$G$27,0),CY471,CS471,CU471,-CT471,CW471)+ROW()/1000000000)</f>
        <v>1.205000471</v>
      </c>
    </row>
    <row r="472" customFormat="false" ht="15" hidden="false" customHeight="false" outlineLevel="0" collapsed="false">
      <c r="A472" s="60" t="s">
        <v>1095</v>
      </c>
      <c r="B472" s="60" t="s">
        <v>1096</v>
      </c>
      <c r="C472" s="60" t="s">
        <v>206</v>
      </c>
      <c r="D472" s="60" t="s">
        <v>892</v>
      </c>
      <c r="E472" s="60" t="s">
        <v>227</v>
      </c>
      <c r="F472" s="60" t="s">
        <v>260</v>
      </c>
      <c r="G472" s="61" t="n">
        <v>4.4</v>
      </c>
      <c r="H472" s="62" t="n">
        <f aca="false">MAX(0,IF(AND(Parameter!$B$21="Ja",ISNUMBER(Y472)),Y472,IF(Parameter!$B$20="Jahresanfang 2025 + Export",BS472+BR472,BR472)))</f>
        <v>12</v>
      </c>
      <c r="I472" s="62" t="n">
        <f aca="false">H472*G472</f>
        <v>52.8</v>
      </c>
      <c r="J472" s="62" t="n">
        <f aca="false">BU472*Parameter!$B$18</f>
        <v>60</v>
      </c>
      <c r="K472" s="63" t="n">
        <v>0</v>
      </c>
      <c r="L472" s="64" t="n">
        <v>0</v>
      </c>
      <c r="M472" s="62" t="n">
        <v>0</v>
      </c>
      <c r="N472" s="62" t="n">
        <v>12</v>
      </c>
      <c r="O472" s="65" t="n">
        <v>14</v>
      </c>
      <c r="P472" s="60" t="s">
        <v>275</v>
      </c>
      <c r="Q472" s="62" t="n">
        <v>131</v>
      </c>
      <c r="R472" s="65" t="n">
        <f aca="false">IF(CA472=1,0,IFERROR(VLOOKUP(BY472,'Gebinde-Kategorie'!$A$5:$N$45,13,0)+0,0))</f>
        <v>26</v>
      </c>
      <c r="S472" s="66"/>
      <c r="T472" s="67"/>
      <c r="U472" s="67"/>
      <c r="V472" s="67"/>
      <c r="W472" s="60"/>
      <c r="X472" s="62"/>
      <c r="Y472" s="62"/>
      <c r="Z472" s="60" t="n">
        <v>3</v>
      </c>
      <c r="AA472" s="60" t="n">
        <f aca="false">IF(A472="","",IF(AND(Parameter!$B$21="Ja",ISNUMBER(W472)),W472,IF(AND(Parameter!$E$27="Ja",ISNUMBER(Z472),CD472&lt;&gt;"Nein"),Z472,IF(CD472="2+3",IF(ISNUMBER(SEARCH("grosser Artikel",BV472)),2,IFERROR(VLOOKUP(BY472,Parameter!$F$35:$G$64,2,0),2)),IF(OR(CD472="Nein",CD472=""),"-",CD472)))))</f>
        <v>3</v>
      </c>
      <c r="AB472" s="67"/>
      <c r="AC472" s="68"/>
      <c r="AD472" s="62" t="n">
        <f aca="false">AW472</f>
        <v>40</v>
      </c>
      <c r="AE472" s="62" t="n">
        <f aca="false">MAX(AW472,H472)</f>
        <v>40</v>
      </c>
      <c r="AF472" s="69"/>
      <c r="AG472" s="62" t="n">
        <f aca="false">IF(LEFT(Cockpit!$C$5,1)="A",H472,IF(Parameter!$E$30="MAX-Bestand",IF(CI472=1,CJ472,IF(LEFT(Cockpit!$C$5,1)="B",AM472,MAX(AM472,H472))),ROUNDUP(AK472,0)))</f>
        <v>12</v>
      </c>
      <c r="AH472" s="62" t="n">
        <f aca="false">IF(CA472=1,0,ROUNDUP(AG472/BZ472,0))</f>
        <v>1</v>
      </c>
      <c r="AI472" s="64" t="n">
        <f aca="false">IF(CR472&gt;0,CR472*MAX(1,AG472/X472),IF(CA472=1,IF(AG472&lt;=0,0,CE472*MAX(1,IF(H472&gt;0,AG472/H472,1))),IF(R472&gt;0,AH472/R472,0))/MAX(0.1,N(Parameter!$M$21)))</f>
        <v>0.0384615384615385</v>
      </c>
      <c r="AJ472" s="62" t="n">
        <f aca="false">AI472*CC472</f>
        <v>9.42307692307692</v>
      </c>
      <c r="AK472" s="63" t="n">
        <f aca="false">IF(LEFT(Cockpit!$C$5,1)="A",H472,IF(CI472=1,(CL472+CJ472)/2,IF(LEFT(Cockpit!$C$5,1)="B",(CL472+AM472)/2,MAX((CL472+AM472)/2,H472))))</f>
        <v>12</v>
      </c>
      <c r="AL472" s="62" t="n">
        <f aca="false">AK472*G472</f>
        <v>52.8</v>
      </c>
      <c r="AM472" s="62" t="n">
        <f aca="false">ROUNDUP(CL472+MAX(CM472,2*(J472/IF(CH472&gt;0,CH472,MAX(0.1,N(Cockpit!$C$6)))-CL472)),0)</f>
        <v>40</v>
      </c>
      <c r="AN472" s="63" t="n">
        <f aca="false">IF(AJ472&gt;0,J472/AJ472,-1)</f>
        <v>6.36734693877551</v>
      </c>
      <c r="AO472" s="63" t="n">
        <f aca="false">IF(AND(OR(CG472="L1",CG472="L23",CG472="LIFT"),AJ472&gt;0),SUMIFS($AJ$7:$AJ$1843,$CG$7:$CG$1843,CG472,$AN$7:$AN$1843,"&gt;"&amp;AN472)+SUMIFS($AJ$7:$AJ$1843,$CG$7:$CG$1843,CG472,$AN$7:$AN$1843,AN472,$BX$7:$BX$1843,"&lt;="&amp;BX472),"")</f>
        <v>3441.2586996337</v>
      </c>
      <c r="AP472" s="70" t="n">
        <f aca="false">IF(AO472="",0,MAX(0,MIN(1,(IF(CG472="L1",Parameter!$H$5,IF(CG472="L23",Parameter!$H$6+Parameter!$H$7,Parameter!$H$5+Parameter!$H$6+Parameter!$H$7))-(AO472-AJ472))/AJ472)))</f>
        <v>1</v>
      </c>
      <c r="AQ472" s="62" t="n">
        <f aca="false">IF(LEFT(Cockpit!$I$5,1)="A",H472,IF(Parameter!$E$30="MAX-Bestand",IF(CI472=1,CJ472,IF(LEFT(Cockpit!$I$5,1)="B",AW472,MAX(AW472,H472))),ROUNDUP(AU472,0)))</f>
        <v>20</v>
      </c>
      <c r="AR472" s="62" t="n">
        <f aca="false">IF(CA472=1,0,ROUNDUP(AQ472/BZ472,0))</f>
        <v>1</v>
      </c>
      <c r="AS472" s="64" t="n">
        <f aca="false">IF(CR472&gt;0,CR472*MAX(1,AQ472/X472),IF(CA472=1,IF(AQ472&lt;=0,0,CE472*MAX(1,IF(H472&gt;0,AQ472/H472,1))),IF(R472&gt;0,AR472/R472,0))/MAX(0.1,N(Parameter!$M$21)))</f>
        <v>0.0384615384615385</v>
      </c>
      <c r="AT472" s="62" t="n">
        <f aca="false">AS472*CC472</f>
        <v>9.42307692307692</v>
      </c>
      <c r="AU472" s="63" t="n">
        <f aca="false">IF(LEFT(Cockpit!$I$5,1)="A",H472,IF(CI472=1,(CL472+CJ472)/2,IF(LEFT(Cockpit!$I$5,1)="B",(CL472+AW472)/2,MAX((CL472+AW472)/2,H472))))</f>
        <v>20</v>
      </c>
      <c r="AV472" s="62" t="n">
        <f aca="false">AU472*G472</f>
        <v>88</v>
      </c>
      <c r="AW472" s="62" t="n">
        <f aca="false">ROUNDUP(CL472+MAX(CM472,2*(J472/IF(CH472&gt;0,CH472,MAX(0.1,N(Cockpit!$I$6)))-CL472)),0)</f>
        <v>40</v>
      </c>
      <c r="AX472" s="63" t="n">
        <f aca="false">IF(AT472&gt;0,J472/AT472,-1)</f>
        <v>6.36734693877551</v>
      </c>
      <c r="AY472" s="63" t="n">
        <f aca="false">IF(AND(OR(CG472="L1",CG472="L23",CG472="LIFT"),AT472&gt;0),SUMIFS($AT$7:$AT$1843,$CG$7:$CG$1843,CG472,$AX$7:$AX$1843,"&gt;"&amp;AX472)+SUMIFS($AT$7:$AT$1843,$CG$7:$CG$1843,CG472,$AX$7:$AX$1843,AX472,$BX$7:$BX$1843,"&lt;="&amp;BX472),"")</f>
        <v>4127.33928571429</v>
      </c>
      <c r="AZ472" s="70" t="n">
        <f aca="false">IF(AY472="",0,MAX(0,MIN(1,(IF(CG472="L1",Parameter!$H$5,IF(CG472="L23",Parameter!$H$6+Parameter!$H$7,Parameter!$H$5+Parameter!$H$6+Parameter!$H$7))-(AY472-AT472))/AT472)))</f>
        <v>1</v>
      </c>
      <c r="BA472" s="62" t="n">
        <f aca="false">IF(LEFT(Cockpit!$O$5,1)="A",H472,IF(Parameter!$E$30="MAX-Bestand",IF(CI472=1,CJ472,IF(LEFT(Cockpit!$O$5,1)="B",BG472,MAX(BG472,H472))),ROUNDUP(BE472,0)))</f>
        <v>15</v>
      </c>
      <c r="BB472" s="62" t="n">
        <f aca="false">IF(CA472=1,0,ROUNDUP(BA472/BZ472,0))</f>
        <v>1</v>
      </c>
      <c r="BC472" s="64" t="n">
        <f aca="false">IF(CR472&gt;0,CR472*MAX(1,BA472/X472),IF(CA472=1,IF(BA472&lt;=0,0,CE472*MAX(1,IF(H472&gt;0,BA472/H472,1))),IF(R472&gt;0,BB472/R472,0))/MAX(0.1,N(Parameter!$M$21)))</f>
        <v>0.0384615384615385</v>
      </c>
      <c r="BD472" s="62" t="n">
        <f aca="false">BC472*CC472</f>
        <v>9.42307692307692</v>
      </c>
      <c r="BE472" s="63" t="n">
        <f aca="false">IF(LEFT(Cockpit!$O$5,1)="A",H472,IF(CI472=1,(CL472+CJ472)/2,IF(LEFT(Cockpit!$O$5,1)="B",(CL472+BG472)/2,MAX((CL472+BG472)/2,H472))))</f>
        <v>15</v>
      </c>
      <c r="BF472" s="62" t="n">
        <f aca="false">BE472*G472</f>
        <v>66</v>
      </c>
      <c r="BG472" s="62" t="n">
        <f aca="false">ROUNDUP(CL472+MAX(CM472,2*(J472/IF(CH472&gt;0,CH472,MAX(0.1,N(Cockpit!$O$6)))-CL472)),0)</f>
        <v>30</v>
      </c>
      <c r="BH472" s="63" t="n">
        <f aca="false">IF(BD472&gt;0,J472/BD472,-1)</f>
        <v>6.36734693877551</v>
      </c>
      <c r="BI472" s="63" t="n">
        <f aca="false">IF(AND(OR(CG472="L1",CG472="L23",CG472="LIFT"),BD472&gt;0),SUMIFS($BD$7:$BD$1843,$CG$7:$CG$1843,CG472,$BH$7:$BH$1843,"&gt;"&amp;BH472)+SUMIFS($BD$7:$BD$1843,$CG$7:$CG$1843,CG472,$BH$7:$BH$1843,BH472,$BX$7:$BX$1843,"&lt;="&amp;BX472),"")</f>
        <v>3400.38690476191</v>
      </c>
      <c r="BJ472" s="70" t="n">
        <f aca="false">IF(BI472="",0,MAX(0,MIN(1,(IF(CG472="L1",Parameter!$H$5,IF(CG472="L23",Parameter!$H$6+Parameter!$H$7,Parameter!$H$5+Parameter!$H$6+Parameter!$H$7))-(BI472-BD472))/BD472)))</f>
        <v>1</v>
      </c>
      <c r="BK472" s="60" t="str">
        <f aca="false">IF(AJ472&lt;=0,"",IF(CG472="Aussen","Aussenlager",IF(CG472="-","Nicht im Lift",IF(AP472&gt;=1,"Lift",IF(AP472&lt;=0,"Aussenlager","teilweise")))))</f>
        <v>Lift</v>
      </c>
      <c r="BL472" s="60" t="str">
        <f aca="false">IF(AT472&lt;=0,"",IF(CG472="Aussen","Aussenlager",IF(CG472="-","Nicht im Lift",IF(AZ472&gt;=1,"Lift",IF(AZ472&lt;=0,"Aussenlager","teilweise")))))</f>
        <v>Lift</v>
      </c>
      <c r="BM472" s="60" t="str">
        <f aca="false">IF(BD472&lt;=0,"",IF(CG472="Aussen","Aussenlager",IF(CG472="-","Nicht im Lift",IF(BJ472&gt;=1,"Lift",IF(BJ472&lt;=0,"Aussenlager","teilweise")))))</f>
        <v>Lift</v>
      </c>
      <c r="BN472" s="60" t="str">
        <f aca="false">IF(A472="","",IF(BW472=1,"Neu; ","")&amp;IF(AND(BW472=0,BR472&lt;0),"negativer Bestand (Export "&amp;BR472&amp;"); ","")&amp;IF(J472&lt;=0,"Kein Verbrauch; ","")&amp;IF(CR472&gt;0,"Lift "&amp;W472&amp;" lt. Liftbericht (Fach "&amp;X472&amp;" Stk); ",IF(CB472=1,"Gebinde geschätzt ("&amp;T472&amp;"); ",IF(CA472=1,"Lose – Tablare geschätzt; ","")))&amp;IF(H472&gt;AW472,"Überbestand "&amp;ROUND(H472-AW472,0)&amp;" Stk / CHF "&amp;ROUND((H472-AW472)*G472,0)&amp;"; ","")&amp;IF(AND(CI472=1,CJ472&lt;CK472),"MAX &lt; MB+LG; ","")&amp;IF(AND(CQ472&gt;0,CP472*10&gt;CQ472),"zu hoch für Tablar; ","")&amp;IF(AND(BW472=0,OR(CI472=1,AB472&lt;&gt;"",U472&lt;&gt;"",V472&lt;&gt;"",AC472&lt;&gt;"")),"manuell übersteuert; ","")&amp;IF(AND(CA472=0,R472=0),"Gebinde unbekannt / Stellmass fehlt; ","")&amp;IF(AND(CA472=0,N(V472)&lt;=0,N(Q472)&lt;=0),"Menge pro Gebinde fehlt (Ist = 1 Gebinde); ","")&amp;BV472)</f>
        <v/>
      </c>
      <c r="BO472" s="60"/>
      <c r="BP472" s="60"/>
      <c r="BQ472" s="67"/>
      <c r="BR472" s="62" t="n">
        <v>12</v>
      </c>
      <c r="BS472" s="62" t="n">
        <v>0</v>
      </c>
      <c r="BT472" s="61" t="n">
        <v>52.8</v>
      </c>
      <c r="BU472" s="62" t="n">
        <v>60</v>
      </c>
      <c r="BV472" s="60"/>
      <c r="BW472" s="65" t="n">
        <v>0</v>
      </c>
      <c r="BX472" s="65" t="n">
        <v>472</v>
      </c>
      <c r="BY472" s="60" t="str">
        <f aca="false">IF(U472&lt;&gt;"",UPPER(TRIM(U472)),IF(CB472=1,UPPER(VLOOKUP(T472,Parameter!$I$27:$K$29,2,0)),IF(P472="","LOSE",P472)))</f>
        <v>S52</v>
      </c>
      <c r="BZ472" s="62" t="n">
        <f aca="false">IF(BY472="LOSE",1,IF(N(V472)&gt;0,V472,IF(CB472=1,MAX(1,N(VLOOKUP(T472,Parameter!$I$27:$K$29,3,0)),H472,N(N472)),IF(N(Q472)&gt;0,Q472,MAX(1,H472)))))</f>
        <v>131</v>
      </c>
      <c r="CA472" s="65" t="n">
        <f aca="false">IF(BY472="LOSE",1,0)</f>
        <v>0</v>
      </c>
      <c r="CB472" s="65" t="n">
        <f aca="false">IF(AND(U472="",OR(P472="",P472="LOSE"),T472&lt;&gt;"",N(S472)&lt;=0,ISNUMBER(MATCH(T472,Parameter!$I$27:$I$29,0))),1,0)</f>
        <v>0</v>
      </c>
      <c r="CC472" s="65" t="n">
        <f aca="false">IF(CR472&gt;0,INDEX(Parameter!$H$5:$H$7,W472)/INDEX(Parameter!$E$5:$E$7,W472),IF(AND(CA472=0,N(IFERROR(VLOOKUP(BY472,'Gebinde-Kategorie'!$A$5:$N$45,14,0),0))&gt;0),VLOOKUP(BY472,'Gebinde-Kategorie'!$A$5:$N$45,14,0)*10+Parameter!$M$23,Parameter!$M$24))</f>
        <v>245</v>
      </c>
      <c r="CD472" s="60" t="str">
        <f aca="false">IF(AND(Parameter!$B$19="Ja",E472&lt;&gt;"",ISNUMBER(MATCH(E472,Parameter!$I$35:$I$52,0))),VLOOKUP(E472,Parameter!$I$35:$J$52,2,0),IFERROR(VLOOKUP(D472,Parameter!$A$35:$C$64,2,0),"Nein"))</f>
        <v>2+3</v>
      </c>
      <c r="CE472" s="64" t="n">
        <f aca="false">IF(CA472=0,0,IF(N(S472)&gt;0,S472,IFERROR(VLOOKUP(D472,Parameter!$A$35:$C$64,3,0)+0,0)))</f>
        <v>0</v>
      </c>
      <c r="CF472" s="60" t="n">
        <f aca="false">IF(AB472&lt;&gt;"",AB472,AA472)</f>
        <v>3</v>
      </c>
      <c r="CG472" s="60" t="str">
        <f aca="false">IF(OR(CF472=1,CF472=2,CF472=3),IF(Parameter!$E$27="Ja","LIFT",IF(CF472=1,"L1","L23")),IF(CF472="Aussen","Aussen","-"))</f>
        <v>LIFT</v>
      </c>
      <c r="CH472" s="71" t="n">
        <f aca="false">IF(N(AC472)&gt;0,AC472,0)</f>
        <v>0</v>
      </c>
      <c r="CI472" s="65" t="n">
        <f aca="false">IF(ISNUMBER(AF472),1,0)</f>
        <v>0</v>
      </c>
      <c r="CJ472" s="62" t="n">
        <f aca="false">N(AF472)</f>
        <v>0</v>
      </c>
      <c r="CK472" s="62" t="n">
        <f aca="false">N(M472)+N(N472)</f>
        <v>12</v>
      </c>
      <c r="CL472" s="62" t="n">
        <f aca="false">N(M472)</f>
        <v>0</v>
      </c>
      <c r="CM472" s="62" t="n">
        <f aca="false">N(N472)</f>
        <v>12</v>
      </c>
      <c r="CN472" s="62" t="n">
        <f aca="false">ROUNDUP(H472/BZ472,0)</f>
        <v>1</v>
      </c>
      <c r="CO472" s="62" t="n">
        <f aca="false">ROUNDUP(CJ472/BZ472,0)</f>
        <v>0</v>
      </c>
      <c r="CP472" s="65" t="n">
        <f aca="false">IF(CA472=1,0,IFERROR(VLOOKUP(BY472,'Gebinde-Kategorie'!$A$5:$N$45,5,0)+0,0))</f>
        <v>21</v>
      </c>
      <c r="CQ472" s="65" t="n">
        <f aca="false">IFERROR(IF(OR(CF472=1,CF472=2,CF472=3),N(INDEX(Parameter!$I$5:$I$7,CF472)),0),0)</f>
        <v>0</v>
      </c>
      <c r="CR472" s="64" t="n">
        <f aca="false">IF(AND(Parameter!$B$21="Ja",ISNUMBER(W472),N(X472)&gt;0),IFERROR(N(INDEX(Parameter!$L$5:$L$7,W472))*INDEX(Parameter!$E$5:$E$7,W472)*X472/SUMIFS($X$7:$X$1843,$W$7:$W$1843,W472),0),0)</f>
        <v>0</v>
      </c>
      <c r="CS472" s="62" t="n">
        <f aca="false">IF(AND(OR(CG472="L1",CG472="L23",CG472="LIFT"),H472&gt;0),CC472*IF(CR472&gt;0,CR472*MAX(1,H472/X472),IF(CA472=1,CE472,IF(R472&gt;0,CN472/R472,0))/MAX(0.1,N(Parameter!$M$21))),"")</f>
        <v>9.42307692307692</v>
      </c>
      <c r="CT472" s="64" t="n">
        <f aca="false">IF(CS472="","",J472/H472)</f>
        <v>5</v>
      </c>
      <c r="CU472" s="62" t="n">
        <f aca="false">IF(CS472="","",H472*G472)</f>
        <v>52.8</v>
      </c>
      <c r="CV472" s="63" t="n">
        <f aca="false">IF(CS472="","",(CL472+ROUNDUP(CL472+MAX(CM472,2*(J472/MAX(0.1,N(Einkauf!$C$6))-CL472)),0))/2)</f>
        <v>15</v>
      </c>
      <c r="CW472" s="62" t="n">
        <f aca="false">IF(CS472="","",MAX(0,H472-CV472)*G472)</f>
        <v>0</v>
      </c>
      <c r="CX472" s="62" t="n">
        <f aca="false">IF(CS472="","",CS472*MAX(0,1-CV472/H472))</f>
        <v>0</v>
      </c>
      <c r="CY472" s="64" t="n">
        <f aca="false">IF(CS472="","",PERCENTRANK($CS$7:$CS$1843,CS472)+PERCENTRANK($CU$7:$CU$1843,CU472)+1-PERCENTRANK($CT$7:$CT$1843,CT472))</f>
        <v>0.775</v>
      </c>
      <c r="CZ472" s="72" t="n">
        <f aca="false">IF(CS472="","",CHOOSE(MATCH(Einkauf!$C$5,Parameter!$G$23:$G$27,0),CY472,CS472,CU472,-CT472,CW472)+ROW()/1000000000)</f>
        <v>0.775000472</v>
      </c>
    </row>
    <row r="473" customFormat="false" ht="15" hidden="false" customHeight="false" outlineLevel="0" collapsed="false">
      <c r="A473" s="60" t="s">
        <v>1097</v>
      </c>
      <c r="B473" s="60" t="s">
        <v>903</v>
      </c>
      <c r="C473" s="60" t="s">
        <v>206</v>
      </c>
      <c r="D473" s="60" t="s">
        <v>226</v>
      </c>
      <c r="E473" s="60"/>
      <c r="F473" s="60" t="s">
        <v>260</v>
      </c>
      <c r="G473" s="61" t="n">
        <v>2.4</v>
      </c>
      <c r="H473" s="62" t="n">
        <f aca="false">MAX(0,IF(AND(Parameter!$B$21="Ja",ISNUMBER(Y473)),Y473,IF(Parameter!$B$20="Jahresanfang 2025 + Export",BS473+BR473,BR473)))</f>
        <v>22</v>
      </c>
      <c r="I473" s="62" t="n">
        <f aca="false">H473*G473</f>
        <v>52.8</v>
      </c>
      <c r="J473" s="62" t="n">
        <f aca="false">BU473*Parameter!$B$18</f>
        <v>4</v>
      </c>
      <c r="K473" s="63" t="n">
        <v>3</v>
      </c>
      <c r="L473" s="64" t="n">
        <v>1.33333333333333</v>
      </c>
      <c r="M473" s="62" t="n">
        <v>0</v>
      </c>
      <c r="N473" s="62" t="n">
        <v>5</v>
      </c>
      <c r="O473" s="65" t="n">
        <v>14</v>
      </c>
      <c r="P473" s="60" t="s">
        <v>443</v>
      </c>
      <c r="Q473" s="62" t="n">
        <v>3</v>
      </c>
      <c r="R473" s="65" t="n">
        <f aca="false">IF(CA473=1,0,IFERROR(VLOOKUP(BY473,'Gebinde-Kategorie'!$A$5:$N$45,13,0)+0,0))</f>
        <v>280</v>
      </c>
      <c r="S473" s="66"/>
      <c r="T473" s="67"/>
      <c r="U473" s="67"/>
      <c r="V473" s="67"/>
      <c r="W473" s="60"/>
      <c r="X473" s="62"/>
      <c r="Y473" s="62"/>
      <c r="Z473" s="60" t="n">
        <v>3</v>
      </c>
      <c r="AA473" s="60" t="n">
        <f aca="false">IF(A473="","",IF(AND(Parameter!$B$21="Ja",ISNUMBER(W473)),W473,IF(AND(Parameter!$E$27="Ja",ISNUMBER(Z473),CD473&lt;&gt;"Nein"),Z473,IF(CD473="2+3",IF(ISNUMBER(SEARCH("grosser Artikel",BV473)),2,IFERROR(VLOOKUP(BY473,Parameter!$F$35:$G$64,2,0),2)),IF(OR(CD473="Nein",CD473=""),"-",CD473)))))</f>
        <v>3</v>
      </c>
      <c r="AB473" s="67"/>
      <c r="AC473" s="68"/>
      <c r="AD473" s="62" t="n">
        <f aca="false">AW473</f>
        <v>5</v>
      </c>
      <c r="AE473" s="62" t="n">
        <f aca="false">MAX(AW473,H473)</f>
        <v>22</v>
      </c>
      <c r="AF473" s="69"/>
      <c r="AG473" s="62" t="n">
        <f aca="false">IF(LEFT(Cockpit!$C$5,1)="A",H473,IF(Parameter!$E$30="MAX-Bestand",IF(CI473=1,CJ473,IF(LEFT(Cockpit!$C$5,1)="B",AM473,MAX(AM473,H473))),ROUNDUP(AK473,0)))</f>
        <v>22</v>
      </c>
      <c r="AH473" s="62" t="n">
        <f aca="false">IF(CA473=1,0,ROUNDUP(AG473/BZ473,0))</f>
        <v>8</v>
      </c>
      <c r="AI473" s="64" t="n">
        <f aca="false">IF(CR473&gt;0,CR473*MAX(1,AG473/X473),IF(CA473=1,IF(AG473&lt;=0,0,CE473*MAX(1,IF(H473&gt;0,AG473/H473,1))),IF(R473&gt;0,AH473/R473,0))/MAX(0.1,N(Parameter!$M$21)))</f>
        <v>0.0285714285714286</v>
      </c>
      <c r="AJ473" s="62" t="n">
        <f aca="false">AI473*CC473</f>
        <v>4.42857142857143</v>
      </c>
      <c r="AK473" s="63" t="n">
        <f aca="false">IF(LEFT(Cockpit!$C$5,1)="A",H473,IF(CI473=1,(CL473+CJ473)/2,IF(LEFT(Cockpit!$C$5,1)="B",(CL473+AM473)/2,MAX((CL473+AM473)/2,H473))))</f>
        <v>22</v>
      </c>
      <c r="AL473" s="62" t="n">
        <f aca="false">AK473*G473</f>
        <v>52.8</v>
      </c>
      <c r="AM473" s="62" t="n">
        <f aca="false">ROUNDUP(CL473+MAX(CM473,2*(J473/IF(CH473&gt;0,CH473,MAX(0.1,N(Cockpit!$C$6)))-CL473)),0)</f>
        <v>5</v>
      </c>
      <c r="AN473" s="63" t="n">
        <f aca="false">IF(AJ473&gt;0,J473/AJ473,-1)</f>
        <v>0.903225806451613</v>
      </c>
      <c r="AO473" s="63" t="n">
        <f aca="false">IF(AND(OR(CG473="L1",CG473="L23",CG473="LIFT"),AJ473&gt;0),SUMIFS($AJ$7:$AJ$1843,$CG$7:$CG$1843,CG473,$AN$7:$AN$1843,"&gt;"&amp;AN473)+SUMIFS($AJ$7:$AJ$1843,$CG$7:$CG$1843,CG473,$AN$7:$AN$1843,AN473,$BX$7:$BX$1843,"&lt;="&amp;BX473),"")</f>
        <v>7616.63415750916</v>
      </c>
      <c r="AP473" s="70" t="n">
        <f aca="false">IF(AO473="",0,MAX(0,MIN(1,(IF(CG473="L1",Parameter!$H$5,IF(CG473="L23",Parameter!$H$6+Parameter!$H$7,Parameter!$H$5+Parameter!$H$6+Parameter!$H$7))-(AO473-AJ473))/AJ473)))</f>
        <v>1</v>
      </c>
      <c r="AQ473" s="62" t="n">
        <f aca="false">IF(LEFT(Cockpit!$I$5,1)="A",H473,IF(Parameter!$E$30="MAX-Bestand",IF(CI473=1,CJ473,IF(LEFT(Cockpit!$I$5,1)="B",AW473,MAX(AW473,H473))),ROUNDUP(AU473,0)))</f>
        <v>22</v>
      </c>
      <c r="AR473" s="62" t="n">
        <f aca="false">IF(CA473=1,0,ROUNDUP(AQ473/BZ473,0))</f>
        <v>8</v>
      </c>
      <c r="AS473" s="64" t="n">
        <f aca="false">IF(CR473&gt;0,CR473*MAX(1,AQ473/X473),IF(CA473=1,IF(AQ473&lt;=0,0,CE473*MAX(1,IF(H473&gt;0,AQ473/H473,1))),IF(R473&gt;0,AR473/R473,0))/MAX(0.1,N(Parameter!$M$21)))</f>
        <v>0.0285714285714286</v>
      </c>
      <c r="AT473" s="62" t="n">
        <f aca="false">AS473*CC473</f>
        <v>4.42857142857143</v>
      </c>
      <c r="AU473" s="63" t="n">
        <f aca="false">IF(LEFT(Cockpit!$I$5,1)="A",H473,IF(CI473=1,(CL473+CJ473)/2,IF(LEFT(Cockpit!$I$5,1)="B",(CL473+AW473)/2,MAX((CL473+AW473)/2,H473))))</f>
        <v>22</v>
      </c>
      <c r="AV473" s="62" t="n">
        <f aca="false">AU473*G473</f>
        <v>52.8</v>
      </c>
      <c r="AW473" s="62" t="n">
        <f aca="false">ROUNDUP(CL473+MAX(CM473,2*(J473/IF(CH473&gt;0,CH473,MAX(0.1,N(Cockpit!$I$6)))-CL473)),0)</f>
        <v>5</v>
      </c>
      <c r="AX473" s="63" t="n">
        <f aca="false">IF(AT473&gt;0,J473/AT473,-1)</f>
        <v>0.903225806451613</v>
      </c>
      <c r="AY473" s="63" t="n">
        <f aca="false">IF(AND(OR(CG473="L1",CG473="L23",CG473="LIFT"),AT473&gt;0),SUMIFS($AT$7:$AT$1843,$CG$7:$CG$1843,CG473,$AX$7:$AX$1843,"&gt;"&amp;AX473)+SUMIFS($AT$7:$AT$1843,$CG$7:$CG$1843,CG473,$AX$7:$AX$1843,AX473,$BX$7:$BX$1843,"&lt;="&amp;BX473),"")</f>
        <v>9191.07417582418</v>
      </c>
      <c r="AZ473" s="70" t="n">
        <f aca="false">IF(AY473="",0,MAX(0,MIN(1,(IF(CG473="L1",Parameter!$H$5,IF(CG473="L23",Parameter!$H$6+Parameter!$H$7,Parameter!$H$5+Parameter!$H$6+Parameter!$H$7))-(AY473-AT473))/AT473)))</f>
        <v>1</v>
      </c>
      <c r="BA473" s="62" t="n">
        <f aca="false">IF(LEFT(Cockpit!$O$5,1)="A",H473,IF(Parameter!$E$30="MAX-Bestand",IF(CI473=1,CJ473,IF(LEFT(Cockpit!$O$5,1)="B",BG473,MAX(BG473,H473))),ROUNDUP(BE473,0)))</f>
        <v>3</v>
      </c>
      <c r="BB473" s="62" t="n">
        <f aca="false">IF(CA473=1,0,ROUNDUP(BA473/BZ473,0))</f>
        <v>1</v>
      </c>
      <c r="BC473" s="64" t="n">
        <f aca="false">IF(CR473&gt;0,CR473*MAX(1,BA473/X473),IF(CA473=1,IF(BA473&lt;=0,0,CE473*MAX(1,IF(H473&gt;0,BA473/H473,1))),IF(R473&gt;0,BB473/R473,0))/MAX(0.1,N(Parameter!$M$21)))</f>
        <v>0.00357142857142857</v>
      </c>
      <c r="BD473" s="62" t="n">
        <f aca="false">BC473*CC473</f>
        <v>0.553571428571429</v>
      </c>
      <c r="BE473" s="63" t="n">
        <f aca="false">IF(LEFT(Cockpit!$O$5,1)="A",H473,IF(CI473=1,(CL473+CJ473)/2,IF(LEFT(Cockpit!$O$5,1)="B",(CL473+BG473)/2,MAX((CL473+BG473)/2,H473))))</f>
        <v>2.5</v>
      </c>
      <c r="BF473" s="62" t="n">
        <f aca="false">BE473*G473</f>
        <v>6</v>
      </c>
      <c r="BG473" s="62" t="n">
        <f aca="false">ROUNDUP(CL473+MAX(CM473,2*(J473/IF(CH473&gt;0,CH473,MAX(0.1,N(Cockpit!$O$6)))-CL473)),0)</f>
        <v>5</v>
      </c>
      <c r="BH473" s="63" t="n">
        <f aca="false">IF(BD473&gt;0,J473/BD473,-1)</f>
        <v>7.2258064516129</v>
      </c>
      <c r="BI473" s="63" t="n">
        <f aca="false">IF(AND(OR(CG473="L1",CG473="L23",CG473="LIFT"),BD473&gt;0),SUMIFS($BD$7:$BD$1843,$CG$7:$CG$1843,CG473,$BH$7:$BH$1843,"&gt;"&amp;BH473)+SUMIFS($BD$7:$BD$1843,$CG$7:$CG$1843,CG473,$BH$7:$BH$1843,BH473,$BX$7:$BX$1843,"&lt;="&amp;BX473),"")</f>
        <v>3239.24496336996</v>
      </c>
      <c r="BJ473" s="70" t="n">
        <f aca="false">IF(BI473="",0,MAX(0,MIN(1,(IF(CG473="L1",Parameter!$H$5,IF(CG473="L23",Parameter!$H$6+Parameter!$H$7,Parameter!$H$5+Parameter!$H$6+Parameter!$H$7))-(BI473-BD473))/BD473)))</f>
        <v>1</v>
      </c>
      <c r="BK473" s="60" t="str">
        <f aca="false">IF(AJ473&lt;=0,"",IF(CG473="Aussen","Aussenlager",IF(CG473="-","Nicht im Lift",IF(AP473&gt;=1,"Lift",IF(AP473&lt;=0,"Aussenlager","teilweise")))))</f>
        <v>Lift</v>
      </c>
      <c r="BL473" s="60" t="str">
        <f aca="false">IF(AT473&lt;=0,"",IF(CG473="Aussen","Aussenlager",IF(CG473="-","Nicht im Lift",IF(AZ473&gt;=1,"Lift",IF(AZ473&lt;=0,"Aussenlager","teilweise")))))</f>
        <v>Lift</v>
      </c>
      <c r="BM473" s="60" t="str">
        <f aca="false">IF(BD473&lt;=0,"",IF(CG473="Aussen","Aussenlager",IF(CG473="-","Nicht im Lift",IF(BJ473&gt;=1,"Lift",IF(BJ473&lt;=0,"Aussenlager","teilweise")))))</f>
        <v>Lift</v>
      </c>
      <c r="BN473" s="60" t="str">
        <f aca="false">IF(A473="","",IF(BW473=1,"Neu; ","")&amp;IF(AND(BW473=0,BR473&lt;0),"negativer Bestand (Export "&amp;BR473&amp;"); ","")&amp;IF(J473&lt;=0,"Kein Verbrauch; ","")&amp;IF(CR473&gt;0,"Lift "&amp;W473&amp;" lt. Liftbericht (Fach "&amp;X473&amp;" Stk); ",IF(CB473=1,"Gebinde geschätzt ("&amp;T473&amp;"); ",IF(CA473=1,"Lose – Tablare geschätzt; ","")))&amp;IF(H473&gt;AW473,"Überbestand "&amp;ROUND(H473-AW473,0)&amp;" Stk / CHF "&amp;ROUND((H473-AW473)*G473,0)&amp;"; ","")&amp;IF(AND(CI473=1,CJ473&lt;CK473),"MAX &lt; MB+LG; ","")&amp;IF(AND(CQ473&gt;0,CP473*10&gt;CQ473),"zu hoch für Tablar; ","")&amp;IF(AND(BW473=0,OR(CI473=1,AB473&lt;&gt;"",U473&lt;&gt;"",V473&lt;&gt;"",AC473&lt;&gt;"")),"manuell übersteuert; ","")&amp;IF(AND(CA473=0,R473=0),"Gebinde unbekannt / Stellmass fehlt; ","")&amp;IF(AND(CA473=0,N(V473)&lt;=0,N(Q473)&lt;=0),"Menge pro Gebinde fehlt (Ist = 1 Gebinde); ","")&amp;BV473)</f>
        <v>Überbestand 17 Stk / CHF 41; </v>
      </c>
      <c r="BO473" s="60"/>
      <c r="BP473" s="60"/>
      <c r="BQ473" s="67"/>
      <c r="BR473" s="62" t="n">
        <v>22</v>
      </c>
      <c r="BS473" s="62" t="n">
        <v>0</v>
      </c>
      <c r="BT473" s="61" t="n">
        <v>52.8</v>
      </c>
      <c r="BU473" s="62" t="n">
        <v>4</v>
      </c>
      <c r="BV473" s="60"/>
      <c r="BW473" s="65" t="n">
        <v>0</v>
      </c>
      <c r="BX473" s="65" t="n">
        <v>473</v>
      </c>
      <c r="BY473" s="60" t="str">
        <f aca="false">IF(U473&lt;&gt;"",UPPER(TRIM(U473)),IF(CB473=1,UPPER(VLOOKUP(T473,Parameter!$I$27:$K$29,2,0)),IF(P473="","LOSE",P473)))</f>
        <v>S21</v>
      </c>
      <c r="BZ473" s="62" t="n">
        <f aca="false">IF(BY473="LOSE",1,IF(N(V473)&gt;0,V473,IF(CB473=1,MAX(1,N(VLOOKUP(T473,Parameter!$I$27:$K$29,3,0)),H473,N(N473)),IF(N(Q473)&gt;0,Q473,MAX(1,H473)))))</f>
        <v>3</v>
      </c>
      <c r="CA473" s="65" t="n">
        <f aca="false">IF(BY473="LOSE",1,0)</f>
        <v>0</v>
      </c>
      <c r="CB473" s="65" t="n">
        <f aca="false">IF(AND(U473="",OR(P473="",P473="LOSE"),T473&lt;&gt;"",N(S473)&lt;=0,ISNUMBER(MATCH(T473,Parameter!$I$27:$I$29,0))),1,0)</f>
        <v>0</v>
      </c>
      <c r="CC473" s="65" t="n">
        <f aca="false">IF(CR473&gt;0,INDEX(Parameter!$H$5:$H$7,W473)/INDEX(Parameter!$E$5:$E$7,W473),IF(AND(CA473=0,N(IFERROR(VLOOKUP(BY473,'Gebinde-Kategorie'!$A$5:$N$45,14,0),0))&gt;0),VLOOKUP(BY473,'Gebinde-Kategorie'!$A$5:$N$45,14,0)*10+Parameter!$M$23,Parameter!$M$24))</f>
        <v>155</v>
      </c>
      <c r="CD473" s="60" t="str">
        <f aca="false">IF(AND(Parameter!$B$19="Ja",E473&lt;&gt;"",ISNUMBER(MATCH(E473,Parameter!$I$35:$I$52,0))),VLOOKUP(E473,Parameter!$I$35:$J$52,2,0),IFERROR(VLOOKUP(D473,Parameter!$A$35:$C$64,2,0),"Nein"))</f>
        <v>2+3</v>
      </c>
      <c r="CE473" s="64" t="n">
        <f aca="false">IF(CA473=0,0,IF(N(S473)&gt;0,S473,IFERROR(VLOOKUP(D473,Parameter!$A$35:$C$64,3,0)+0,0)))</f>
        <v>0</v>
      </c>
      <c r="CF473" s="60" t="n">
        <f aca="false">IF(AB473&lt;&gt;"",AB473,AA473)</f>
        <v>3</v>
      </c>
      <c r="CG473" s="60" t="str">
        <f aca="false">IF(OR(CF473=1,CF473=2,CF473=3),IF(Parameter!$E$27="Ja","LIFT",IF(CF473=1,"L1","L23")),IF(CF473="Aussen","Aussen","-"))</f>
        <v>LIFT</v>
      </c>
      <c r="CH473" s="71" t="n">
        <f aca="false">IF(N(AC473)&gt;0,AC473,0)</f>
        <v>0</v>
      </c>
      <c r="CI473" s="65" t="n">
        <f aca="false">IF(ISNUMBER(AF473),1,0)</f>
        <v>0</v>
      </c>
      <c r="CJ473" s="62" t="n">
        <f aca="false">N(AF473)</f>
        <v>0</v>
      </c>
      <c r="CK473" s="62" t="n">
        <f aca="false">N(M473)+N(N473)</f>
        <v>5</v>
      </c>
      <c r="CL473" s="62" t="n">
        <f aca="false">N(M473)</f>
        <v>0</v>
      </c>
      <c r="CM473" s="62" t="n">
        <f aca="false">N(N473)</f>
        <v>5</v>
      </c>
      <c r="CN473" s="62" t="n">
        <f aca="false">ROUNDUP(H473/BZ473,0)</f>
        <v>8</v>
      </c>
      <c r="CO473" s="62" t="n">
        <f aca="false">ROUNDUP(CJ473/BZ473,0)</f>
        <v>0</v>
      </c>
      <c r="CP473" s="65" t="n">
        <f aca="false">IF(CA473=1,0,IFERROR(VLOOKUP(BY473,'Gebinde-Kategorie'!$A$5:$N$45,5,0)+0,0))</f>
        <v>8</v>
      </c>
      <c r="CQ473" s="65" t="n">
        <f aca="false">IFERROR(IF(OR(CF473=1,CF473=2,CF473=3),N(INDEX(Parameter!$I$5:$I$7,CF473)),0),0)</f>
        <v>0</v>
      </c>
      <c r="CR473" s="64" t="n">
        <f aca="false">IF(AND(Parameter!$B$21="Ja",ISNUMBER(W473),N(X473)&gt;0),IFERROR(N(INDEX(Parameter!$L$5:$L$7,W473))*INDEX(Parameter!$E$5:$E$7,W473)*X473/SUMIFS($X$7:$X$1843,$W$7:$W$1843,W473),0),0)</f>
        <v>0</v>
      </c>
      <c r="CS473" s="62" t="n">
        <f aca="false">IF(AND(OR(CG473="L1",CG473="L23",CG473="LIFT"),H473&gt;0),CC473*IF(CR473&gt;0,CR473*MAX(1,H473/X473),IF(CA473=1,CE473,IF(R473&gt;0,CN473/R473,0))/MAX(0.1,N(Parameter!$M$21))),"")</f>
        <v>4.42857142857143</v>
      </c>
      <c r="CT473" s="64" t="n">
        <f aca="false">IF(CS473="","",J473/H473)</f>
        <v>0.181818181818182</v>
      </c>
      <c r="CU473" s="62" t="n">
        <f aca="false">IF(CS473="","",H473*G473)</f>
        <v>52.8</v>
      </c>
      <c r="CV473" s="63" t="n">
        <f aca="false">IF(CS473="","",(CL473+ROUNDUP(CL473+MAX(CM473,2*(J473/MAX(0.1,N(Einkauf!$C$6))-CL473)),0))/2)</f>
        <v>2.5</v>
      </c>
      <c r="CW473" s="62" t="n">
        <f aca="false">IF(CS473="","",MAX(0,H473-CV473)*G473)</f>
        <v>46.8</v>
      </c>
      <c r="CX473" s="62" t="n">
        <f aca="false">IF(CS473="","",CS473*MAX(0,1-CV473/H473))</f>
        <v>3.92532467532468</v>
      </c>
      <c r="CY473" s="64" t="n">
        <f aca="false">IF(CS473="","",PERCENTRANK($CS$7:$CS$1843,CS473)+PERCENTRANK($CU$7:$CU$1843,CU473)+1-PERCENTRANK($CT$7:$CT$1843,CT473))</f>
        <v>1.031</v>
      </c>
      <c r="CZ473" s="72" t="n">
        <f aca="false">IF(CS473="","",CHOOSE(MATCH(Einkauf!$C$5,Parameter!$G$23:$G$27,0),CY473,CS473,CU473,-CT473,CW473)+ROW()/1000000000)</f>
        <v>1.031000473</v>
      </c>
    </row>
    <row r="474" customFormat="false" ht="15" hidden="false" customHeight="false" outlineLevel="0" collapsed="false">
      <c r="A474" s="60" t="s">
        <v>1098</v>
      </c>
      <c r="B474" s="60" t="s">
        <v>1099</v>
      </c>
      <c r="C474" s="60" t="s">
        <v>206</v>
      </c>
      <c r="D474" s="60" t="s">
        <v>226</v>
      </c>
      <c r="E474" s="60" t="s">
        <v>227</v>
      </c>
      <c r="F474" s="60" t="s">
        <v>260</v>
      </c>
      <c r="G474" s="61" t="n">
        <v>1.13</v>
      </c>
      <c r="H474" s="62" t="n">
        <f aca="false">MAX(0,IF(AND(Parameter!$B$21="Ja",ISNUMBER(Y474)),Y474,IF(Parameter!$B$20="Jahresanfang 2025 + Export",BS474+BR474,BR474)))</f>
        <v>60</v>
      </c>
      <c r="I474" s="62" t="n">
        <f aca="false">H474*G474</f>
        <v>67.8</v>
      </c>
      <c r="J474" s="62" t="n">
        <f aca="false">BU474*Parameter!$B$18</f>
        <v>71</v>
      </c>
      <c r="K474" s="63" t="n">
        <v>56.5</v>
      </c>
      <c r="L474" s="64" t="n">
        <v>1.25663716814159</v>
      </c>
      <c r="M474" s="62" t="n">
        <v>2</v>
      </c>
      <c r="N474" s="62" t="n">
        <v>70</v>
      </c>
      <c r="O474" s="65" t="n">
        <v>14</v>
      </c>
      <c r="P474" s="60" t="s">
        <v>468</v>
      </c>
      <c r="Q474" s="62" t="n">
        <v>40</v>
      </c>
      <c r="R474" s="65" t="n">
        <f aca="false">IF(CA474=1,0,IFERROR(VLOOKUP(BY474,'Gebinde-Kategorie'!$A$5:$N$45,13,0)+0,0))</f>
        <v>140</v>
      </c>
      <c r="S474" s="66"/>
      <c r="T474" s="67"/>
      <c r="U474" s="67"/>
      <c r="V474" s="67"/>
      <c r="W474" s="60"/>
      <c r="X474" s="62"/>
      <c r="Y474" s="62"/>
      <c r="Z474" s="60" t="n">
        <v>1</v>
      </c>
      <c r="AA474" s="60" t="n">
        <f aca="false">IF(A474="","",IF(AND(Parameter!$B$21="Ja",ISNUMBER(W474)),W474,IF(AND(Parameter!$E$27="Ja",ISNUMBER(Z474),CD474&lt;&gt;"Nein"),Z474,IF(CD474="2+3",IF(ISNUMBER(SEARCH("grosser Artikel",BV474)),2,IFERROR(VLOOKUP(BY474,Parameter!$F$35:$G$64,2,0),2)),IF(OR(CD474="Nein",CD474=""),"-",CD474)))))</f>
        <v>1</v>
      </c>
      <c r="AB474" s="67"/>
      <c r="AC474" s="68"/>
      <c r="AD474" s="62" t="n">
        <f aca="false">AW474</f>
        <v>72</v>
      </c>
      <c r="AE474" s="62" t="n">
        <f aca="false">MAX(AW474,H474)</f>
        <v>72</v>
      </c>
      <c r="AF474" s="69"/>
      <c r="AG474" s="62" t="n">
        <f aca="false">IF(LEFT(Cockpit!$C$5,1)="A",H474,IF(Parameter!$E$30="MAX-Bestand",IF(CI474=1,CJ474,IF(LEFT(Cockpit!$C$5,1)="B",AM474,MAX(AM474,H474))),ROUNDUP(AK474,0)))</f>
        <v>60</v>
      </c>
      <c r="AH474" s="62" t="n">
        <f aca="false">IF(CA474=1,0,ROUNDUP(AG474/BZ474,0))</f>
        <v>2</v>
      </c>
      <c r="AI474" s="64" t="n">
        <f aca="false">IF(CR474&gt;0,CR474*MAX(1,AG474/X474),IF(CA474=1,IF(AG474&lt;=0,0,CE474*MAX(1,IF(H474&gt;0,AG474/H474,1))),IF(R474&gt;0,AH474/R474,0))/MAX(0.1,N(Parameter!$M$21)))</f>
        <v>0.0142857142857143</v>
      </c>
      <c r="AJ474" s="62" t="n">
        <f aca="false">AI474*CC474</f>
        <v>2.21428571428571</v>
      </c>
      <c r="AK474" s="63" t="n">
        <f aca="false">IF(LEFT(Cockpit!$C$5,1)="A",H474,IF(CI474=1,(CL474+CJ474)/2,IF(LEFT(Cockpit!$C$5,1)="B",(CL474+AM474)/2,MAX((CL474+AM474)/2,H474))))</f>
        <v>60</v>
      </c>
      <c r="AL474" s="62" t="n">
        <f aca="false">AK474*G474</f>
        <v>67.8</v>
      </c>
      <c r="AM474" s="62" t="n">
        <f aca="false">ROUNDUP(CL474+MAX(CM474,2*(J474/IF(CH474&gt;0,CH474,MAX(0.1,N(Cockpit!$C$6)))-CL474)),0)</f>
        <v>72</v>
      </c>
      <c r="AN474" s="63" t="n">
        <f aca="false">IF(AJ474&gt;0,J474/AJ474,-1)</f>
        <v>32.0645161290323</v>
      </c>
      <c r="AO474" s="63" t="n">
        <f aca="false">IF(AND(OR(CG474="L1",CG474="L23",CG474="LIFT"),AJ474&gt;0),SUMIFS($AJ$7:$AJ$1843,$CG$7:$CG$1843,CG474,$AN$7:$AN$1843,"&gt;"&amp;AN474)+SUMIFS($AJ$7:$AJ$1843,$CG$7:$CG$1843,CG474,$AN$7:$AN$1843,AN474,$BX$7:$BX$1843,"&lt;="&amp;BX474),"")</f>
        <v>1355.17857142857</v>
      </c>
      <c r="AP474" s="70" t="n">
        <f aca="false">IF(AO474="",0,MAX(0,MIN(1,(IF(CG474="L1",Parameter!$H$5,IF(CG474="L23",Parameter!$H$6+Parameter!$H$7,Parameter!$H$5+Parameter!$H$6+Parameter!$H$7))-(AO474-AJ474))/AJ474)))</f>
        <v>1</v>
      </c>
      <c r="AQ474" s="62" t="n">
        <f aca="false">IF(LEFT(Cockpit!$I$5,1)="A",H474,IF(Parameter!$E$30="MAX-Bestand",IF(CI474=1,CJ474,IF(LEFT(Cockpit!$I$5,1)="B",AW474,MAX(AW474,H474))),ROUNDUP(AU474,0)))</f>
        <v>60</v>
      </c>
      <c r="AR474" s="62" t="n">
        <f aca="false">IF(CA474=1,0,ROUNDUP(AQ474/BZ474,0))</f>
        <v>2</v>
      </c>
      <c r="AS474" s="64" t="n">
        <f aca="false">IF(CR474&gt;0,CR474*MAX(1,AQ474/X474),IF(CA474=1,IF(AQ474&lt;=0,0,CE474*MAX(1,IF(H474&gt;0,AQ474/H474,1))),IF(R474&gt;0,AR474/R474,0))/MAX(0.1,N(Parameter!$M$21)))</f>
        <v>0.0142857142857143</v>
      </c>
      <c r="AT474" s="62" t="n">
        <f aca="false">AS474*CC474</f>
        <v>2.21428571428571</v>
      </c>
      <c r="AU474" s="63" t="n">
        <f aca="false">IF(LEFT(Cockpit!$I$5,1)="A",H474,IF(CI474=1,(CL474+CJ474)/2,IF(LEFT(Cockpit!$I$5,1)="B",(CL474+AW474)/2,MAX((CL474+AW474)/2,H474))))</f>
        <v>60</v>
      </c>
      <c r="AV474" s="62" t="n">
        <f aca="false">AU474*G474</f>
        <v>67.8</v>
      </c>
      <c r="AW474" s="62" t="n">
        <f aca="false">ROUNDUP(CL474+MAX(CM474,2*(J474/IF(CH474&gt;0,CH474,MAX(0.1,N(Cockpit!$I$6)))-CL474)),0)</f>
        <v>72</v>
      </c>
      <c r="AX474" s="63" t="n">
        <f aca="false">IF(AT474&gt;0,J474/AT474,-1)</f>
        <v>32.0645161290323</v>
      </c>
      <c r="AY474" s="63" t="n">
        <f aca="false">IF(AND(OR(CG474="L1",CG474="L23",CG474="LIFT"),AT474&gt;0),SUMIFS($AT$7:$AT$1843,$CG$7:$CG$1843,CG474,$AX$7:$AX$1843,"&gt;"&amp;AX474)+SUMIFS($AT$7:$AT$1843,$CG$7:$CG$1843,CG474,$AX$7:$AX$1843,AX474,$BX$7:$BX$1843,"&lt;="&amp;BX474),"")</f>
        <v>1748.4445970696</v>
      </c>
      <c r="AZ474" s="70" t="n">
        <f aca="false">IF(AY474="",0,MAX(0,MIN(1,(IF(CG474="L1",Parameter!$H$5,IF(CG474="L23",Parameter!$H$6+Parameter!$H$7,Parameter!$H$5+Parameter!$H$6+Parameter!$H$7))-(AY474-AT474))/AT474)))</f>
        <v>1</v>
      </c>
      <c r="BA474" s="62" t="n">
        <f aca="false">IF(LEFT(Cockpit!$O$5,1)="A",H474,IF(Parameter!$E$30="MAX-Bestand",IF(CI474=1,CJ474,IF(LEFT(Cockpit!$O$5,1)="B",BG474,MAX(BG474,H474))),ROUNDUP(BE474,0)))</f>
        <v>37</v>
      </c>
      <c r="BB474" s="62" t="n">
        <f aca="false">IF(CA474=1,0,ROUNDUP(BA474/BZ474,0))</f>
        <v>1</v>
      </c>
      <c r="BC474" s="64" t="n">
        <f aca="false">IF(CR474&gt;0,CR474*MAX(1,BA474/X474),IF(CA474=1,IF(BA474&lt;=0,0,CE474*MAX(1,IF(H474&gt;0,BA474/H474,1))),IF(R474&gt;0,BB474/R474,0))/MAX(0.1,N(Parameter!$M$21)))</f>
        <v>0.00714285714285714</v>
      </c>
      <c r="BD474" s="62" t="n">
        <f aca="false">BC474*CC474</f>
        <v>1.10714285714286</v>
      </c>
      <c r="BE474" s="63" t="n">
        <f aca="false">IF(LEFT(Cockpit!$O$5,1)="A",H474,IF(CI474=1,(CL474+CJ474)/2,IF(LEFT(Cockpit!$O$5,1)="B",(CL474+BG474)/2,MAX((CL474+BG474)/2,H474))))</f>
        <v>37</v>
      </c>
      <c r="BF474" s="62" t="n">
        <f aca="false">BE474*G474</f>
        <v>41.81</v>
      </c>
      <c r="BG474" s="62" t="n">
        <f aca="false">ROUNDUP(CL474+MAX(CM474,2*(J474/IF(CH474&gt;0,CH474,MAX(0.1,N(Cockpit!$O$6)))-CL474)),0)</f>
        <v>72</v>
      </c>
      <c r="BH474" s="63" t="n">
        <f aca="false">IF(BD474&gt;0,J474/BD474,-1)</f>
        <v>64.1290322580645</v>
      </c>
      <c r="BI474" s="63" t="n">
        <f aca="false">IF(AND(OR(CG474="L1",CG474="L23",CG474="LIFT"),BD474&gt;0),SUMIFS($BD$7:$BD$1843,$CG$7:$CG$1843,CG474,$BH$7:$BH$1843,"&gt;"&amp;BH474)+SUMIFS($BD$7:$BD$1843,$CG$7:$CG$1843,CG474,$BH$7:$BH$1843,BH474,$BX$7:$BX$1843,"&lt;="&amp;BX474),"")</f>
        <v>1052.93498168498</v>
      </c>
      <c r="BJ474" s="70" t="n">
        <f aca="false">IF(BI474="",0,MAX(0,MIN(1,(IF(CG474="L1",Parameter!$H$5,IF(CG474="L23",Parameter!$H$6+Parameter!$H$7,Parameter!$H$5+Parameter!$H$6+Parameter!$H$7))-(BI474-BD474))/BD474)))</f>
        <v>1</v>
      </c>
      <c r="BK474" s="60" t="str">
        <f aca="false">IF(AJ474&lt;=0,"",IF(CG474="Aussen","Aussenlager",IF(CG474="-","Nicht im Lift",IF(AP474&gt;=1,"Lift",IF(AP474&lt;=0,"Aussenlager","teilweise")))))</f>
        <v>Lift</v>
      </c>
      <c r="BL474" s="60" t="str">
        <f aca="false">IF(AT474&lt;=0,"",IF(CG474="Aussen","Aussenlager",IF(CG474="-","Nicht im Lift",IF(AZ474&gt;=1,"Lift",IF(AZ474&lt;=0,"Aussenlager","teilweise")))))</f>
        <v>Lift</v>
      </c>
      <c r="BM474" s="60" t="str">
        <f aca="false">IF(BD474&lt;=0,"",IF(CG474="Aussen","Aussenlager",IF(CG474="-","Nicht im Lift",IF(BJ474&gt;=1,"Lift",IF(BJ474&lt;=0,"Aussenlager","teilweise")))))</f>
        <v>Lift</v>
      </c>
      <c r="BN474" s="60" t="str">
        <f aca="false">IF(A474="","",IF(BW474=1,"Neu; ","")&amp;IF(AND(BW474=0,BR474&lt;0),"negativer Bestand (Export "&amp;BR474&amp;"); ","")&amp;IF(J474&lt;=0,"Kein Verbrauch; ","")&amp;IF(CR474&gt;0,"Lift "&amp;W474&amp;" lt. Liftbericht (Fach "&amp;X474&amp;" Stk); ",IF(CB474=1,"Gebinde geschätzt ("&amp;T474&amp;"); ",IF(CA474=1,"Lose – Tablare geschätzt; ","")))&amp;IF(H474&gt;AW474,"Überbestand "&amp;ROUND(H474-AW474,0)&amp;" Stk / CHF "&amp;ROUND((H474-AW474)*G474,0)&amp;"; ","")&amp;IF(AND(CI474=1,CJ474&lt;CK474),"MAX &lt; MB+LG; ","")&amp;IF(AND(CQ474&gt;0,CP474*10&gt;CQ474),"zu hoch für Tablar; ","")&amp;IF(AND(BW474=0,OR(CI474=1,AB474&lt;&gt;"",U474&lt;&gt;"",V474&lt;&gt;"",AC474&lt;&gt;"")),"manuell übersteuert; ","")&amp;IF(AND(CA474=0,R474=0),"Gebinde unbekannt / Stellmass fehlt; ","")&amp;IF(AND(CA474=0,N(V474)&lt;=0,N(Q474)&lt;=0),"Menge pro Gebinde fehlt (Ist = 1 Gebinde); ","")&amp;BV474)</f>
        <v/>
      </c>
      <c r="BO474" s="60"/>
      <c r="BP474" s="60"/>
      <c r="BQ474" s="67"/>
      <c r="BR474" s="62" t="n">
        <v>46</v>
      </c>
      <c r="BS474" s="62" t="n">
        <v>14</v>
      </c>
      <c r="BT474" s="61" t="n">
        <v>52.68</v>
      </c>
      <c r="BU474" s="62" t="n">
        <v>71</v>
      </c>
      <c r="BV474" s="60"/>
      <c r="BW474" s="65" t="n">
        <v>0</v>
      </c>
      <c r="BX474" s="65" t="n">
        <v>474</v>
      </c>
      <c r="BY474" s="60" t="str">
        <f aca="false">IF(U474&lt;&gt;"",UPPER(TRIM(U474)),IF(CB474=1,UPPER(VLOOKUP(T474,Parameter!$I$27:$K$29,2,0)),IF(P474="","LOSE",P474)))</f>
        <v>S22</v>
      </c>
      <c r="BZ474" s="62" t="n">
        <f aca="false">IF(BY474="LOSE",1,IF(N(V474)&gt;0,V474,IF(CB474=1,MAX(1,N(VLOOKUP(T474,Parameter!$I$27:$K$29,3,0)),H474,N(N474)),IF(N(Q474)&gt;0,Q474,MAX(1,H474)))))</f>
        <v>40</v>
      </c>
      <c r="CA474" s="65" t="n">
        <f aca="false">IF(BY474="LOSE",1,0)</f>
        <v>0</v>
      </c>
      <c r="CB474" s="65" t="n">
        <f aca="false">IF(AND(U474="",OR(P474="",P474="LOSE"),T474&lt;&gt;"",N(S474)&lt;=0,ISNUMBER(MATCH(T474,Parameter!$I$27:$I$29,0))),1,0)</f>
        <v>0</v>
      </c>
      <c r="CC474" s="65" t="n">
        <f aca="false">IF(CR474&gt;0,INDEX(Parameter!$H$5:$H$7,W474)/INDEX(Parameter!$E$5:$E$7,W474),IF(AND(CA474=0,N(IFERROR(VLOOKUP(BY474,'Gebinde-Kategorie'!$A$5:$N$45,14,0),0))&gt;0),VLOOKUP(BY474,'Gebinde-Kategorie'!$A$5:$N$45,14,0)*10+Parameter!$M$23,Parameter!$M$24))</f>
        <v>155</v>
      </c>
      <c r="CD474" s="60" t="str">
        <f aca="false">IF(AND(Parameter!$B$19="Ja",E474&lt;&gt;"",ISNUMBER(MATCH(E474,Parameter!$I$35:$I$52,0))),VLOOKUP(E474,Parameter!$I$35:$J$52,2,0),IFERROR(VLOOKUP(D474,Parameter!$A$35:$C$64,2,0),"Nein"))</f>
        <v>2+3</v>
      </c>
      <c r="CE474" s="64" t="n">
        <f aca="false">IF(CA474=0,0,IF(N(S474)&gt;0,S474,IFERROR(VLOOKUP(D474,Parameter!$A$35:$C$64,3,0)+0,0)))</f>
        <v>0</v>
      </c>
      <c r="CF474" s="60" t="n">
        <f aca="false">IF(AB474&lt;&gt;"",AB474,AA474)</f>
        <v>1</v>
      </c>
      <c r="CG474" s="60" t="str">
        <f aca="false">IF(OR(CF474=1,CF474=2,CF474=3),IF(Parameter!$E$27="Ja","LIFT",IF(CF474=1,"L1","L23")),IF(CF474="Aussen","Aussen","-"))</f>
        <v>LIFT</v>
      </c>
      <c r="CH474" s="71" t="n">
        <f aca="false">IF(N(AC474)&gt;0,AC474,0)</f>
        <v>0</v>
      </c>
      <c r="CI474" s="65" t="n">
        <f aca="false">IF(ISNUMBER(AF474),1,0)</f>
        <v>0</v>
      </c>
      <c r="CJ474" s="62" t="n">
        <f aca="false">N(AF474)</f>
        <v>0</v>
      </c>
      <c r="CK474" s="62" t="n">
        <f aca="false">N(M474)+N(N474)</f>
        <v>72</v>
      </c>
      <c r="CL474" s="62" t="n">
        <f aca="false">N(M474)</f>
        <v>2</v>
      </c>
      <c r="CM474" s="62" t="n">
        <f aca="false">N(N474)</f>
        <v>70</v>
      </c>
      <c r="CN474" s="62" t="n">
        <f aca="false">ROUNDUP(H474/BZ474,0)</f>
        <v>2</v>
      </c>
      <c r="CO474" s="62" t="n">
        <f aca="false">ROUNDUP(CJ474/BZ474,0)</f>
        <v>0</v>
      </c>
      <c r="CP474" s="65" t="n">
        <f aca="false">IF(CA474=1,0,IFERROR(VLOOKUP(BY474,'Gebinde-Kategorie'!$A$5:$N$45,5,0)+0,0))</f>
        <v>8</v>
      </c>
      <c r="CQ474" s="65" t="n">
        <f aca="false">IFERROR(IF(OR(CF474=1,CF474=2,CF474=3),N(INDEX(Parameter!$I$5:$I$7,CF474)),0),0)</f>
        <v>0</v>
      </c>
      <c r="CR474" s="64" t="n">
        <f aca="false">IF(AND(Parameter!$B$21="Ja",ISNUMBER(W474),N(X474)&gt;0),IFERROR(N(INDEX(Parameter!$L$5:$L$7,W474))*INDEX(Parameter!$E$5:$E$7,W474)*X474/SUMIFS($X$7:$X$1843,$W$7:$W$1843,W474),0),0)</f>
        <v>0</v>
      </c>
      <c r="CS474" s="62" t="n">
        <f aca="false">IF(AND(OR(CG474="L1",CG474="L23",CG474="LIFT"),H474&gt;0),CC474*IF(CR474&gt;0,CR474*MAX(1,H474/X474),IF(CA474=1,CE474,IF(R474&gt;0,CN474/R474,0))/MAX(0.1,N(Parameter!$M$21))),"")</f>
        <v>2.21428571428571</v>
      </c>
      <c r="CT474" s="64" t="n">
        <f aca="false">IF(CS474="","",J474/H474)</f>
        <v>1.18333333333333</v>
      </c>
      <c r="CU474" s="62" t="n">
        <f aca="false">IF(CS474="","",H474*G474)</f>
        <v>67.8</v>
      </c>
      <c r="CV474" s="63" t="n">
        <f aca="false">IF(CS474="","",(CL474+ROUNDUP(CL474+MAX(CM474,2*(J474/MAX(0.1,N(Einkauf!$C$6))-CL474)),0))/2)</f>
        <v>37</v>
      </c>
      <c r="CW474" s="62" t="n">
        <f aca="false">IF(CS474="","",MAX(0,H474-CV474)*G474)</f>
        <v>25.99</v>
      </c>
      <c r="CX474" s="62" t="n">
        <f aca="false">IF(CS474="","",CS474*MAX(0,1-CV474/H474))</f>
        <v>0.848809523809524</v>
      </c>
      <c r="CY474" s="64" t="n">
        <f aca="false">IF(CS474="","",PERCENTRANK($CS$7:$CS$1843,CS474)+PERCENTRANK($CU$7:$CU$1843,CU474)+1-PERCENTRANK($CT$7:$CT$1843,CT474))</f>
        <v>0.666</v>
      </c>
      <c r="CZ474" s="72" t="n">
        <f aca="false">IF(CS474="","",CHOOSE(MATCH(Einkauf!$C$5,Parameter!$G$23:$G$27,0),CY474,CS474,CU474,-CT474,CW474)+ROW()/1000000000)</f>
        <v>0.666000474</v>
      </c>
    </row>
    <row r="475" customFormat="false" ht="15" hidden="false" customHeight="false" outlineLevel="0" collapsed="false">
      <c r="A475" s="60" t="s">
        <v>1100</v>
      </c>
      <c r="B475" s="60" t="s">
        <v>1101</v>
      </c>
      <c r="C475" s="60" t="s">
        <v>206</v>
      </c>
      <c r="D475" s="60" t="s">
        <v>1037</v>
      </c>
      <c r="E475" s="60"/>
      <c r="F475" s="60" t="s">
        <v>260</v>
      </c>
      <c r="G475" s="61" t="n">
        <v>1.63</v>
      </c>
      <c r="H475" s="62" t="n">
        <f aca="false">MAX(0,IF(AND(Parameter!$B$21="Ja",ISNUMBER(Y475)),Y475,IF(Parameter!$B$20="Jahresanfang 2025 + Export",BS475+BR475,BR475)))</f>
        <v>32</v>
      </c>
      <c r="I475" s="62" t="n">
        <f aca="false">H475*G475</f>
        <v>52.16</v>
      </c>
      <c r="J475" s="62" t="n">
        <f aca="false">BU475*Parameter!$B$18</f>
        <v>118</v>
      </c>
      <c r="K475" s="63" t="n">
        <v>16</v>
      </c>
      <c r="L475" s="64" t="n">
        <v>7.375</v>
      </c>
      <c r="M475" s="62" t="n">
        <v>0</v>
      </c>
      <c r="N475" s="62" t="n">
        <v>50</v>
      </c>
      <c r="O475" s="65" t="n">
        <v>21</v>
      </c>
      <c r="P475" s="60" t="s">
        <v>210</v>
      </c>
      <c r="Q475" s="62"/>
      <c r="R475" s="65" t="n">
        <f aca="false">IF(CA475=1,0,IFERROR(VLOOKUP(BY475,'Gebinde-Kategorie'!$A$5:$N$45,13,0)+0,0))</f>
        <v>0</v>
      </c>
      <c r="S475" s="66"/>
      <c r="T475" s="67"/>
      <c r="U475" s="67"/>
      <c r="V475" s="67"/>
      <c r="W475" s="60"/>
      <c r="X475" s="62"/>
      <c r="Y475" s="62"/>
      <c r="Z475" s="60"/>
      <c r="AA475" s="60" t="str">
        <f aca="false">IF(A475="","",IF(AND(Parameter!$B$21="Ja",ISNUMBER(W475)),W475,IF(AND(Parameter!$E$27="Ja",ISNUMBER(Z475),CD475&lt;&gt;"Nein"),Z475,IF(CD475="2+3",IF(ISNUMBER(SEARCH("grosser Artikel",BV475)),2,IFERROR(VLOOKUP(BY475,Parameter!$F$35:$G$64,2,0),2)),IF(OR(CD475="Nein",CD475=""),"-",CD475)))))</f>
        <v>-</v>
      </c>
      <c r="AB475" s="67"/>
      <c r="AC475" s="68"/>
      <c r="AD475" s="62" t="n">
        <f aca="false">AW475</f>
        <v>79</v>
      </c>
      <c r="AE475" s="62" t="n">
        <f aca="false">MAX(AW475,H475)</f>
        <v>79</v>
      </c>
      <c r="AF475" s="69"/>
      <c r="AG475" s="62" t="n">
        <f aca="false">IF(LEFT(Cockpit!$C$5,1)="A",H475,IF(Parameter!$E$30="MAX-Bestand",IF(CI475=1,CJ475,IF(LEFT(Cockpit!$C$5,1)="B",AM475,MAX(AM475,H475))),ROUNDUP(AK475,0)))</f>
        <v>32</v>
      </c>
      <c r="AH475" s="62" t="n">
        <f aca="false">IF(CA475=1,0,ROUNDUP(AG475/BZ475,0))</f>
        <v>0</v>
      </c>
      <c r="AI475" s="64" t="n">
        <f aca="false">IF(CR475&gt;0,CR475*MAX(1,AG475/X475),IF(CA475=1,IF(AG475&lt;=0,0,CE475*MAX(1,IF(H475&gt;0,AG475/H475,1))),IF(R475&gt;0,AH475/R475,0))/MAX(0.1,N(Parameter!$M$21)))</f>
        <v>0.15</v>
      </c>
      <c r="AJ475" s="62" t="n">
        <f aca="false">AI475*CC475</f>
        <v>35.25</v>
      </c>
      <c r="AK475" s="63" t="n">
        <f aca="false">IF(LEFT(Cockpit!$C$5,1)="A",H475,IF(CI475=1,(CL475+CJ475)/2,IF(LEFT(Cockpit!$C$5,1)="B",(CL475+AM475)/2,MAX((CL475+AM475)/2,H475))))</f>
        <v>32</v>
      </c>
      <c r="AL475" s="62" t="n">
        <f aca="false">AK475*G475</f>
        <v>52.16</v>
      </c>
      <c r="AM475" s="62" t="n">
        <f aca="false">ROUNDUP(CL475+MAX(CM475,2*(J475/IF(CH475&gt;0,CH475,MAX(0.1,N(Cockpit!$C$6)))-CL475)),0)</f>
        <v>79</v>
      </c>
      <c r="AN475" s="63" t="n">
        <f aca="false">IF(AJ475&gt;0,J475/AJ475,-1)</f>
        <v>3.34751773049645</v>
      </c>
      <c r="AO475" s="63" t="str">
        <f aca="false">IF(AND(OR(CG475="L1",CG475="L23",CG475="LIFT"),AJ475&gt;0),SUMIFS($AJ$7:$AJ$1843,$CG$7:$CG$1843,CG475,$AN$7:$AN$1843,"&gt;"&amp;AN475)+SUMIFS($AJ$7:$AJ$1843,$CG$7:$CG$1843,CG475,$AN$7:$AN$1843,AN475,$BX$7:$BX$1843,"&lt;="&amp;BX475),"")</f>
        <v/>
      </c>
      <c r="AP475" s="70" t="n">
        <f aca="false">IF(AO475="",0,MAX(0,MIN(1,(IF(CG475="L1",Parameter!$H$5,IF(CG475="L23",Parameter!$H$6+Parameter!$H$7,Parameter!$H$5+Parameter!$H$6+Parameter!$H$7))-(AO475-AJ475))/AJ475)))</f>
        <v>0</v>
      </c>
      <c r="AQ475" s="62" t="n">
        <f aca="false">IF(LEFT(Cockpit!$I$5,1)="A",H475,IF(Parameter!$E$30="MAX-Bestand",IF(CI475=1,CJ475,IF(LEFT(Cockpit!$I$5,1)="B",AW475,MAX(AW475,H475))),ROUNDUP(AU475,0)))</f>
        <v>40</v>
      </c>
      <c r="AR475" s="62" t="n">
        <f aca="false">IF(CA475=1,0,ROUNDUP(AQ475/BZ475,0))</f>
        <v>0</v>
      </c>
      <c r="AS475" s="64" t="n">
        <f aca="false">IF(CR475&gt;0,CR475*MAX(1,AQ475/X475),IF(CA475=1,IF(AQ475&lt;=0,0,CE475*MAX(1,IF(H475&gt;0,AQ475/H475,1))),IF(R475&gt;0,AR475/R475,0))/MAX(0.1,N(Parameter!$M$21)))</f>
        <v>0.1875</v>
      </c>
      <c r="AT475" s="62" t="n">
        <f aca="false">AS475*CC475</f>
        <v>44.0625</v>
      </c>
      <c r="AU475" s="63" t="n">
        <f aca="false">IF(LEFT(Cockpit!$I$5,1)="A",H475,IF(CI475=1,(CL475+CJ475)/2,IF(LEFT(Cockpit!$I$5,1)="B",(CL475+AW475)/2,MAX((CL475+AW475)/2,H475))))</f>
        <v>39.5</v>
      </c>
      <c r="AV475" s="62" t="n">
        <f aca="false">AU475*G475</f>
        <v>64.385</v>
      </c>
      <c r="AW475" s="62" t="n">
        <f aca="false">ROUNDUP(CL475+MAX(CM475,2*(J475/IF(CH475&gt;0,CH475,MAX(0.1,N(Cockpit!$I$6)))-CL475)),0)</f>
        <v>79</v>
      </c>
      <c r="AX475" s="63" t="n">
        <f aca="false">IF(AT475&gt;0,J475/AT475,-1)</f>
        <v>2.67801418439716</v>
      </c>
      <c r="AY475" s="63" t="str">
        <f aca="false">IF(AND(OR(CG475="L1",CG475="L23",CG475="LIFT"),AT475&gt;0),SUMIFS($AT$7:$AT$1843,$CG$7:$CG$1843,CG475,$AX$7:$AX$1843,"&gt;"&amp;AX475)+SUMIFS($AT$7:$AT$1843,$CG$7:$CG$1843,CG475,$AX$7:$AX$1843,AX475,$BX$7:$BX$1843,"&lt;="&amp;BX475),"")</f>
        <v/>
      </c>
      <c r="AZ475" s="70" t="n">
        <f aca="false">IF(AY475="",0,MAX(0,MIN(1,(IF(CG475="L1",Parameter!$H$5,IF(CG475="L23",Parameter!$H$6+Parameter!$H$7,Parameter!$H$5+Parameter!$H$6+Parameter!$H$7))-(AY475-AT475))/AT475)))</f>
        <v>0</v>
      </c>
      <c r="BA475" s="62" t="n">
        <f aca="false">IF(LEFT(Cockpit!$O$5,1)="A",H475,IF(Parameter!$E$30="MAX-Bestand",IF(CI475=1,CJ475,IF(LEFT(Cockpit!$O$5,1)="B",BG475,MAX(BG475,H475))),ROUNDUP(BE475,0)))</f>
        <v>30</v>
      </c>
      <c r="BB475" s="62" t="n">
        <f aca="false">IF(CA475=1,0,ROUNDUP(BA475/BZ475,0))</f>
        <v>0</v>
      </c>
      <c r="BC475" s="64" t="n">
        <f aca="false">IF(CR475&gt;0,CR475*MAX(1,BA475/X475),IF(CA475=1,IF(BA475&lt;=0,0,CE475*MAX(1,IF(H475&gt;0,BA475/H475,1))),IF(R475&gt;0,BB475/R475,0))/MAX(0.1,N(Parameter!$M$21)))</f>
        <v>0.15</v>
      </c>
      <c r="BD475" s="62" t="n">
        <f aca="false">BC475*CC475</f>
        <v>35.25</v>
      </c>
      <c r="BE475" s="63" t="n">
        <f aca="false">IF(LEFT(Cockpit!$O$5,1)="A",H475,IF(CI475=1,(CL475+CJ475)/2,IF(LEFT(Cockpit!$O$5,1)="B",(CL475+BG475)/2,MAX((CL475+BG475)/2,H475))))</f>
        <v>29.5</v>
      </c>
      <c r="BF475" s="62" t="n">
        <f aca="false">BE475*G475</f>
        <v>48.085</v>
      </c>
      <c r="BG475" s="62" t="n">
        <f aca="false">ROUNDUP(CL475+MAX(CM475,2*(J475/IF(CH475&gt;0,CH475,MAX(0.1,N(Cockpit!$O$6)))-CL475)),0)</f>
        <v>59</v>
      </c>
      <c r="BH475" s="63" t="n">
        <f aca="false">IF(BD475&gt;0,J475/BD475,-1)</f>
        <v>3.34751773049645</v>
      </c>
      <c r="BI475" s="63" t="str">
        <f aca="false">IF(AND(OR(CG475="L1",CG475="L23",CG475="LIFT"),BD475&gt;0),SUMIFS($BD$7:$BD$1843,$CG$7:$CG$1843,CG475,$BH$7:$BH$1843,"&gt;"&amp;BH475)+SUMIFS($BD$7:$BD$1843,$CG$7:$CG$1843,CG475,$BH$7:$BH$1843,BH475,$BX$7:$BX$1843,"&lt;="&amp;BX475),"")</f>
        <v/>
      </c>
      <c r="BJ475" s="70" t="n">
        <f aca="false">IF(BI475="",0,MAX(0,MIN(1,(IF(CG475="L1",Parameter!$H$5,IF(CG475="L23",Parameter!$H$6+Parameter!$H$7,Parameter!$H$5+Parameter!$H$6+Parameter!$H$7))-(BI475-BD475))/BD475)))</f>
        <v>0</v>
      </c>
      <c r="BK475" s="60" t="str">
        <f aca="false">IF(AJ475&lt;=0,"",IF(CG475="Aussen","Aussenlager",IF(CG475="-","Nicht im Lift",IF(AP475&gt;=1,"Lift",IF(AP475&lt;=0,"Aussenlager","teilweise")))))</f>
        <v>Nicht im Lift</v>
      </c>
      <c r="BL475" s="60" t="str">
        <f aca="false">IF(AT475&lt;=0,"",IF(CG475="Aussen","Aussenlager",IF(CG475="-","Nicht im Lift",IF(AZ475&gt;=1,"Lift",IF(AZ475&lt;=0,"Aussenlager","teilweise")))))</f>
        <v>Nicht im Lift</v>
      </c>
      <c r="BM475" s="60" t="str">
        <f aca="false">IF(BD475&lt;=0,"",IF(CG475="Aussen","Aussenlager",IF(CG475="-","Nicht im Lift",IF(BJ475&gt;=1,"Lift",IF(BJ475&lt;=0,"Aussenlager","teilweise")))))</f>
        <v>Nicht im Lift</v>
      </c>
      <c r="BN475" s="60" t="str">
        <f aca="false">IF(A475="","",IF(BW475=1,"Neu; ","")&amp;IF(AND(BW475=0,BR475&lt;0),"negativer Bestand (Export "&amp;BR475&amp;"); ","")&amp;IF(J475&lt;=0,"Kein Verbrauch; ","")&amp;IF(CR475&gt;0,"Lift "&amp;W475&amp;" lt. Liftbericht (Fach "&amp;X475&amp;" Stk); ",IF(CB475=1,"Gebinde geschätzt ("&amp;T475&amp;"); ",IF(CA475=1,"Lose – Tablare geschätzt; ","")))&amp;IF(H475&gt;AW475,"Überbestand "&amp;ROUND(H475-AW475,0)&amp;" Stk / CHF "&amp;ROUND((H475-AW475)*G475,0)&amp;"; ","")&amp;IF(AND(CI475=1,CJ475&lt;CK475),"MAX &lt; MB+LG; ","")&amp;IF(AND(CQ475&gt;0,CP475*10&gt;CQ475),"zu hoch für Tablar; ","")&amp;IF(AND(BW475=0,OR(CI475=1,AB475&lt;&gt;"",U475&lt;&gt;"",V475&lt;&gt;"",AC475&lt;&gt;"")),"manuell übersteuert; ","")&amp;IF(AND(CA475=0,R475=0),"Gebinde unbekannt / Stellmass fehlt; ","")&amp;IF(AND(CA475=0,N(V475)&lt;=0,N(Q475)&lt;=0),"Menge pro Gebinde fehlt (Ist = 1 Gebinde); ","")&amp;BV475)</f>
        <v>Lose – Tablare geschätzt; </v>
      </c>
      <c r="BO475" s="60"/>
      <c r="BP475" s="60"/>
      <c r="BQ475" s="67"/>
      <c r="BR475" s="62" t="n">
        <v>32</v>
      </c>
      <c r="BS475" s="62" t="n">
        <v>0</v>
      </c>
      <c r="BT475" s="61" t="n">
        <v>52.16</v>
      </c>
      <c r="BU475" s="62" t="n">
        <v>118</v>
      </c>
      <c r="BV475" s="60"/>
      <c r="BW475" s="65" t="n">
        <v>0</v>
      </c>
      <c r="BX475" s="65" t="n">
        <v>475</v>
      </c>
      <c r="BY475" s="60" t="str">
        <f aca="false">IF(U475&lt;&gt;"",UPPER(TRIM(U475)),IF(CB475=1,UPPER(VLOOKUP(T475,Parameter!$I$27:$K$29,2,0)),IF(P475="","LOSE",P475)))</f>
        <v>LOSE</v>
      </c>
      <c r="BZ475" s="62" t="n">
        <f aca="false">IF(BY475="LOSE",1,IF(N(V475)&gt;0,V475,IF(CB475=1,MAX(1,N(VLOOKUP(T475,Parameter!$I$27:$K$29,3,0)),H475,N(N475)),IF(N(Q475)&gt;0,Q475,MAX(1,H475)))))</f>
        <v>1</v>
      </c>
      <c r="CA475" s="65" t="n">
        <f aca="false">IF(BY475="LOSE",1,0)</f>
        <v>1</v>
      </c>
      <c r="CB475" s="65" t="n">
        <f aca="false">IF(AND(U475="",OR(P475="",P475="LOSE"),T475&lt;&gt;"",N(S475)&lt;=0,ISNUMBER(MATCH(T475,Parameter!$I$27:$I$29,0))),1,0)</f>
        <v>0</v>
      </c>
      <c r="CC475" s="65" t="n">
        <f aca="false">IF(CR475&gt;0,INDEX(Parameter!$H$5:$H$7,W475)/INDEX(Parameter!$E$5:$E$7,W475),IF(AND(CA475=0,N(IFERROR(VLOOKUP(BY475,'Gebinde-Kategorie'!$A$5:$N$45,14,0),0))&gt;0),VLOOKUP(BY475,'Gebinde-Kategorie'!$A$5:$N$45,14,0)*10+Parameter!$M$23,Parameter!$M$24))</f>
        <v>235</v>
      </c>
      <c r="CD475" s="60" t="str">
        <f aca="false">IF(AND(Parameter!$B$19="Ja",E475&lt;&gt;"",ISNUMBER(MATCH(E475,Parameter!$I$35:$I$52,0))),VLOOKUP(E475,Parameter!$I$35:$J$52,2,0),IFERROR(VLOOKUP(D475,Parameter!$A$35:$C$64,2,0),"Nein"))</f>
        <v>Nein</v>
      </c>
      <c r="CE475" s="64" t="n">
        <f aca="false">IF(CA475=0,0,IF(N(S475)&gt;0,S475,IFERROR(VLOOKUP(D475,Parameter!$A$35:$C$64,3,0)+0,0)))</f>
        <v>0.15</v>
      </c>
      <c r="CF475" s="60" t="str">
        <f aca="false">IF(AB475&lt;&gt;"",AB475,AA475)</f>
        <v>-</v>
      </c>
      <c r="CG475" s="60" t="str">
        <f aca="false">IF(OR(CF475=1,CF475=2,CF475=3),IF(Parameter!$E$27="Ja","LIFT",IF(CF475=1,"L1","L23")),IF(CF475="Aussen","Aussen","-"))</f>
        <v>-</v>
      </c>
      <c r="CH475" s="71" t="n">
        <f aca="false">IF(N(AC475)&gt;0,AC475,0)</f>
        <v>0</v>
      </c>
      <c r="CI475" s="65" t="n">
        <f aca="false">IF(ISNUMBER(AF475),1,0)</f>
        <v>0</v>
      </c>
      <c r="CJ475" s="62" t="n">
        <f aca="false">N(AF475)</f>
        <v>0</v>
      </c>
      <c r="CK475" s="62" t="n">
        <f aca="false">N(M475)+N(N475)</f>
        <v>50</v>
      </c>
      <c r="CL475" s="62" t="n">
        <f aca="false">N(M475)</f>
        <v>0</v>
      </c>
      <c r="CM475" s="62" t="n">
        <f aca="false">N(N475)</f>
        <v>50</v>
      </c>
      <c r="CN475" s="62" t="n">
        <f aca="false">ROUNDUP(H475/BZ475,0)</f>
        <v>32</v>
      </c>
      <c r="CO475" s="62" t="n">
        <f aca="false">ROUNDUP(CJ475/BZ475,0)</f>
        <v>0</v>
      </c>
      <c r="CP475" s="65" t="n">
        <f aca="false">IF(CA475=1,0,IFERROR(VLOOKUP(BY475,'Gebinde-Kategorie'!$A$5:$N$45,5,0)+0,0))</f>
        <v>0</v>
      </c>
      <c r="CQ475" s="65" t="n">
        <f aca="false">IFERROR(IF(OR(CF475=1,CF475=2,CF475=3),N(INDEX(Parameter!$I$5:$I$7,CF475)),0),0)</f>
        <v>0</v>
      </c>
      <c r="CR475" s="64" t="n">
        <f aca="false">IF(AND(Parameter!$B$21="Ja",ISNUMBER(W475),N(X475)&gt;0),IFERROR(N(INDEX(Parameter!$L$5:$L$7,W475))*INDEX(Parameter!$E$5:$E$7,W475)*X475/SUMIFS($X$7:$X$1843,$W$7:$W$1843,W475),0),0)</f>
        <v>0</v>
      </c>
      <c r="CS475" s="62" t="str">
        <f aca="false">IF(AND(OR(CG475="L1",CG475="L23",CG475="LIFT"),H475&gt;0),CC475*IF(CR475&gt;0,CR475*MAX(1,H475/X475),IF(CA475=1,CE475,IF(R475&gt;0,CN475/R475,0))/MAX(0.1,N(Parameter!$M$21))),"")</f>
        <v/>
      </c>
      <c r="CT475" s="64" t="str">
        <f aca="false">IF(CS475="","",J475/H475)</f>
        <v/>
      </c>
      <c r="CU475" s="62" t="str">
        <f aca="false">IF(CS475="","",H475*G475)</f>
        <v/>
      </c>
      <c r="CV475" s="63" t="str">
        <f aca="false">IF(CS475="","",(CL475+ROUNDUP(CL475+MAX(CM475,2*(J475/MAX(0.1,N(Einkauf!$C$6))-CL475)),0))/2)</f>
        <v/>
      </c>
      <c r="CW475" s="62" t="str">
        <f aca="false">IF(CS475="","",MAX(0,H475-CV475)*G475)</f>
        <v/>
      </c>
      <c r="CX475" s="62" t="str">
        <f aca="false">IF(CS475="","",CS475*MAX(0,1-CV475/H475))</f>
        <v/>
      </c>
      <c r="CY475" s="64" t="str">
        <f aca="false">IF(CS475="","",PERCENTRANK($CS$7:$CS$1843,CS475)+PERCENTRANK($CU$7:$CU$1843,CU475)+1-PERCENTRANK($CT$7:$CT$1843,CT475))</f>
        <v/>
      </c>
      <c r="CZ475" s="72" t="str">
        <f aca="false">IF(CS475="","",CHOOSE(MATCH(Einkauf!$C$5,Parameter!$G$23:$G$27,0),CY475,CS475,CU475,-CT475,CW475)+ROW()/1000000000)</f>
        <v/>
      </c>
    </row>
    <row r="476" customFormat="false" ht="15" hidden="false" customHeight="false" outlineLevel="0" collapsed="false">
      <c r="A476" s="60" t="s">
        <v>1102</v>
      </c>
      <c r="B476" s="60" t="s">
        <v>1103</v>
      </c>
      <c r="C476" s="60" t="s">
        <v>206</v>
      </c>
      <c r="D476" s="60" t="s">
        <v>226</v>
      </c>
      <c r="E476" s="60"/>
      <c r="F476" s="60" t="s">
        <v>260</v>
      </c>
      <c r="G476" s="61" t="n">
        <v>51.57</v>
      </c>
      <c r="H476" s="62" t="n">
        <f aca="false">MAX(0,IF(AND(Parameter!$B$21="Ja",ISNUMBER(Y476)),Y476,IF(Parameter!$B$20="Jahresanfang 2025 + Export",BS476+BR476,BR476)))</f>
        <v>1</v>
      </c>
      <c r="I476" s="62" t="n">
        <f aca="false">H476*G476</f>
        <v>51.57</v>
      </c>
      <c r="J476" s="62" t="n">
        <f aca="false">BU476*Parameter!$B$18</f>
        <v>1</v>
      </c>
      <c r="K476" s="63" t="n">
        <v>0.5</v>
      </c>
      <c r="L476" s="64" t="n">
        <v>2</v>
      </c>
      <c r="M476" s="62" t="n">
        <v>0</v>
      </c>
      <c r="N476" s="62" t="n">
        <v>1</v>
      </c>
      <c r="O476" s="65" t="n">
        <v>28</v>
      </c>
      <c r="P476" s="60" t="s">
        <v>210</v>
      </c>
      <c r="Q476" s="62"/>
      <c r="R476" s="65" t="n">
        <f aca="false">IF(CA476=1,0,IFERROR(VLOOKUP(BY476,'Gebinde-Kategorie'!$A$5:$N$45,13,0)+0,0))</f>
        <v>4</v>
      </c>
      <c r="S476" s="66"/>
      <c r="T476" s="67" t="s">
        <v>231</v>
      </c>
      <c r="U476" s="67"/>
      <c r="V476" s="67"/>
      <c r="W476" s="60"/>
      <c r="X476" s="62"/>
      <c r="Y476" s="62"/>
      <c r="Z476" s="60" t="n">
        <v>2</v>
      </c>
      <c r="AA476" s="60" t="n">
        <f aca="false">IF(A476="","",IF(AND(Parameter!$B$21="Ja",ISNUMBER(W476)),W476,IF(AND(Parameter!$E$27="Ja",ISNUMBER(Z476),CD476&lt;&gt;"Nein"),Z476,IF(CD476="2+3",IF(ISNUMBER(SEARCH("grosser Artikel",BV476)),2,IFERROR(VLOOKUP(BY476,Parameter!$F$35:$G$64,2,0),2)),IF(OR(CD476="Nein",CD476=""),"-",CD476)))))</f>
        <v>2</v>
      </c>
      <c r="AB476" s="67"/>
      <c r="AC476" s="68"/>
      <c r="AD476" s="62" t="n">
        <f aca="false">AW476</f>
        <v>1</v>
      </c>
      <c r="AE476" s="62" t="n">
        <f aca="false">MAX(AW476,H476)</f>
        <v>1</v>
      </c>
      <c r="AF476" s="69"/>
      <c r="AG476" s="62" t="n">
        <f aca="false">IF(LEFT(Cockpit!$C$5,1)="A",H476,IF(Parameter!$E$30="MAX-Bestand",IF(CI476=1,CJ476,IF(LEFT(Cockpit!$C$5,1)="B",AM476,MAX(AM476,H476))),ROUNDUP(AK476,0)))</f>
        <v>1</v>
      </c>
      <c r="AH476" s="62" t="n">
        <f aca="false">IF(CA476=1,0,ROUNDUP(AG476/BZ476,0))</f>
        <v>1</v>
      </c>
      <c r="AI476" s="64" t="n">
        <f aca="false">IF(CR476&gt;0,CR476*MAX(1,AG476/X476),IF(CA476=1,IF(AG476&lt;=0,0,CE476*MAX(1,IF(H476&gt;0,AG476/H476,1))),IF(R476&gt;0,AH476/R476,0))/MAX(0.1,N(Parameter!$M$21)))</f>
        <v>0.25</v>
      </c>
      <c r="AJ476" s="62" t="n">
        <f aca="false">AI476*CC476</f>
        <v>58.75</v>
      </c>
      <c r="AK476" s="63" t="n">
        <f aca="false">IF(LEFT(Cockpit!$C$5,1)="A",H476,IF(CI476=1,(CL476+CJ476)/2,IF(LEFT(Cockpit!$C$5,1)="B",(CL476+AM476)/2,MAX((CL476+AM476)/2,H476))))</f>
        <v>1</v>
      </c>
      <c r="AL476" s="62" t="n">
        <f aca="false">AK476*G476</f>
        <v>51.57</v>
      </c>
      <c r="AM476" s="62" t="n">
        <f aca="false">ROUNDUP(CL476+MAX(CM476,2*(J476/IF(CH476&gt;0,CH476,MAX(0.1,N(Cockpit!$C$6)))-CL476)),0)</f>
        <v>1</v>
      </c>
      <c r="AN476" s="63" t="n">
        <f aca="false">IF(AJ476&gt;0,J476/AJ476,-1)</f>
        <v>0.0170212765957447</v>
      </c>
      <c r="AO476" s="63" t="n">
        <f aca="false">IF(AND(OR(CG476="L1",CG476="L23",CG476="LIFT"),AJ476&gt;0),SUMIFS($AJ$7:$AJ$1843,$CG$7:$CG$1843,CG476,$AN$7:$AN$1843,"&gt;"&amp;AN476)+SUMIFS($AJ$7:$AJ$1843,$CG$7:$CG$1843,CG476,$AN$7:$AN$1843,AN476,$BX$7:$BX$1843,"&lt;="&amp;BX476),"")</f>
        <v>23645.9208858467</v>
      </c>
      <c r="AP476" s="70" t="n">
        <f aca="false">IF(AO476="",0,MAX(0,MIN(1,(IF(CG476="L1",Parameter!$H$5,IF(CG476="L23",Parameter!$H$6+Parameter!$H$7,Parameter!$H$5+Parameter!$H$6+Parameter!$H$7))-(AO476-AJ476))/AJ476)))</f>
        <v>1</v>
      </c>
      <c r="AQ476" s="62" t="n">
        <f aca="false">IF(LEFT(Cockpit!$I$5,1)="A",H476,IF(Parameter!$E$30="MAX-Bestand",IF(CI476=1,CJ476,IF(LEFT(Cockpit!$I$5,1)="B",AW476,MAX(AW476,H476))),ROUNDUP(AU476,0)))</f>
        <v>1</v>
      </c>
      <c r="AR476" s="62" t="n">
        <f aca="false">IF(CA476=1,0,ROUNDUP(AQ476/BZ476,0))</f>
        <v>1</v>
      </c>
      <c r="AS476" s="64" t="n">
        <f aca="false">IF(CR476&gt;0,CR476*MAX(1,AQ476/X476),IF(CA476=1,IF(AQ476&lt;=0,0,CE476*MAX(1,IF(H476&gt;0,AQ476/H476,1))),IF(R476&gt;0,AR476/R476,0))/MAX(0.1,N(Parameter!$M$21)))</f>
        <v>0.25</v>
      </c>
      <c r="AT476" s="62" t="n">
        <f aca="false">AS476*CC476</f>
        <v>58.75</v>
      </c>
      <c r="AU476" s="63" t="n">
        <f aca="false">IF(LEFT(Cockpit!$I$5,1)="A",H476,IF(CI476=1,(CL476+CJ476)/2,IF(LEFT(Cockpit!$I$5,1)="B",(CL476+AW476)/2,MAX((CL476+AW476)/2,H476))))</f>
        <v>1</v>
      </c>
      <c r="AV476" s="62" t="n">
        <f aca="false">AU476*G476</f>
        <v>51.57</v>
      </c>
      <c r="AW476" s="62" t="n">
        <f aca="false">ROUNDUP(CL476+MAX(CM476,2*(J476/IF(CH476&gt;0,CH476,MAX(0.1,N(Cockpit!$I$6)))-CL476)),0)</f>
        <v>1</v>
      </c>
      <c r="AX476" s="63" t="n">
        <f aca="false">IF(AT476&gt;0,J476/AT476,-1)</f>
        <v>0.0170212765957447</v>
      </c>
      <c r="AY476" s="63" t="n">
        <f aca="false">IF(AND(OR(CG476="L1",CG476="L23",CG476="LIFT"),AT476&gt;0),SUMIFS($AT$7:$AT$1843,$CG$7:$CG$1843,CG476,$AX$7:$AX$1843,"&gt;"&amp;AX476)+SUMIFS($AT$7:$AT$1843,$CG$7:$CG$1843,CG476,$AX$7:$AX$1843,AX476,$BX$7:$BX$1843,"&lt;="&amp;BX476),"")</f>
        <v>28881.5695272242</v>
      </c>
      <c r="AZ476" s="70" t="n">
        <f aca="false">IF(AY476="",0,MAX(0,MIN(1,(IF(CG476="L1",Parameter!$H$5,IF(CG476="L23",Parameter!$H$6+Parameter!$H$7,Parameter!$H$5+Parameter!$H$6+Parameter!$H$7))-(AY476-AT476))/AT476)))</f>
        <v>1</v>
      </c>
      <c r="BA476" s="62" t="n">
        <f aca="false">IF(LEFT(Cockpit!$O$5,1)="A",H476,IF(Parameter!$E$30="MAX-Bestand",IF(CI476=1,CJ476,IF(LEFT(Cockpit!$O$5,1)="B",BG476,MAX(BG476,H476))),ROUNDUP(BE476,0)))</f>
        <v>1</v>
      </c>
      <c r="BB476" s="62" t="n">
        <f aca="false">IF(CA476=1,0,ROUNDUP(BA476/BZ476,0))</f>
        <v>1</v>
      </c>
      <c r="BC476" s="64" t="n">
        <f aca="false">IF(CR476&gt;0,CR476*MAX(1,BA476/X476),IF(CA476=1,IF(BA476&lt;=0,0,CE476*MAX(1,IF(H476&gt;0,BA476/H476,1))),IF(R476&gt;0,BB476/R476,0))/MAX(0.1,N(Parameter!$M$21)))</f>
        <v>0.25</v>
      </c>
      <c r="BD476" s="62" t="n">
        <f aca="false">BC476*CC476</f>
        <v>58.75</v>
      </c>
      <c r="BE476" s="63" t="n">
        <f aca="false">IF(LEFT(Cockpit!$O$5,1)="A",H476,IF(CI476=1,(CL476+CJ476)/2,IF(LEFT(Cockpit!$O$5,1)="B",(CL476+BG476)/2,MAX((CL476+BG476)/2,H476))))</f>
        <v>0.5</v>
      </c>
      <c r="BF476" s="62" t="n">
        <f aca="false">BE476*G476</f>
        <v>25.785</v>
      </c>
      <c r="BG476" s="62" t="n">
        <f aca="false">ROUNDUP(CL476+MAX(CM476,2*(J476/IF(CH476&gt;0,CH476,MAX(0.1,N(Cockpit!$O$6)))-CL476)),0)</f>
        <v>1</v>
      </c>
      <c r="BH476" s="63" t="n">
        <f aca="false">IF(BD476&gt;0,J476/BD476,-1)</f>
        <v>0.0170212765957447</v>
      </c>
      <c r="BI476" s="63" t="n">
        <f aca="false">IF(AND(OR(CG476="L1",CG476="L23",CG476="LIFT"),BD476&gt;0),SUMIFS($BD$7:$BD$1843,$CG$7:$CG$1843,CG476,$BH$7:$BH$1843,"&gt;"&amp;BH476)+SUMIFS($BD$7:$BD$1843,$CG$7:$CG$1843,CG476,$BH$7:$BH$1843,BH476,$BX$7:$BX$1843,"&lt;="&amp;BX476),"")</f>
        <v>24427.3180371888</v>
      </c>
      <c r="BJ476" s="70" t="n">
        <f aca="false">IF(BI476="",0,MAX(0,MIN(1,(IF(CG476="L1",Parameter!$H$5,IF(CG476="L23",Parameter!$H$6+Parameter!$H$7,Parameter!$H$5+Parameter!$H$6+Parameter!$H$7))-(BI476-BD476))/BD476)))</f>
        <v>1</v>
      </c>
      <c r="BK476" s="60" t="str">
        <f aca="false">IF(AJ476&lt;=0,"",IF(CG476="Aussen","Aussenlager",IF(CG476="-","Nicht im Lift",IF(AP476&gt;=1,"Lift",IF(AP476&lt;=0,"Aussenlager","teilweise")))))</f>
        <v>Lift</v>
      </c>
      <c r="BL476" s="60" t="str">
        <f aca="false">IF(AT476&lt;=0,"",IF(CG476="Aussen","Aussenlager",IF(CG476="-","Nicht im Lift",IF(AZ476&gt;=1,"Lift",IF(AZ476&lt;=0,"Aussenlager","teilweise")))))</f>
        <v>Lift</v>
      </c>
      <c r="BM476" s="60" t="str">
        <f aca="false">IF(BD476&lt;=0,"",IF(CG476="Aussen","Aussenlager",IF(CG476="-","Nicht im Lift",IF(BJ476&gt;=1,"Lift",IF(BJ476&lt;=0,"Aussenlager","teilweise")))))</f>
        <v>Lift</v>
      </c>
      <c r="BN476" s="60" t="str">
        <f aca="false">IF(A476="","",IF(BW476=1,"Neu; ","")&amp;IF(AND(BW476=0,BR476&lt;0),"negativer Bestand (Export "&amp;BR476&amp;"); ","")&amp;IF(J476&lt;=0,"Kein Verbrauch; ","")&amp;IF(CR476&gt;0,"Lift "&amp;W476&amp;" lt. Liftbericht (Fach "&amp;X476&amp;" Stk); ",IF(CB476=1,"Gebinde geschätzt ("&amp;T476&amp;"); ",IF(CA476=1,"Lose – Tablare geschätzt; ","")))&amp;IF(H476&gt;AW476,"Überbestand "&amp;ROUND(H476-AW476,0)&amp;" Stk / CHF "&amp;ROUND((H476-AW476)*G476,0)&amp;"; ","")&amp;IF(AND(CI476=1,CJ476&lt;CK476),"MAX &lt; MB+LG; ","")&amp;IF(AND(CQ476&gt;0,CP476*10&gt;CQ476),"zu hoch für Tablar; ","")&amp;IF(AND(BW476=0,OR(CI476=1,AB476&lt;&gt;"",U476&lt;&gt;"",V476&lt;&gt;"",AC476&lt;&gt;"")),"manuell übersteuert; ","")&amp;IF(AND(CA476=0,R476=0),"Gebinde unbekannt / Stellmass fehlt; ","")&amp;IF(AND(CA476=0,N(V476)&lt;=0,N(Q476)&lt;=0),"Menge pro Gebinde fehlt (Ist = 1 Gebinde); ","")&amp;BV476)</f>
        <v>Gebinde geschätzt (Gross); Menge pro Gebinde fehlt (Ist = 1 Gebinde); </v>
      </c>
      <c r="BO476" s="60"/>
      <c r="BP476" s="60"/>
      <c r="BQ476" s="67"/>
      <c r="BR476" s="62" t="n">
        <v>1</v>
      </c>
      <c r="BS476" s="62" t="n">
        <v>0</v>
      </c>
      <c r="BT476" s="61" t="n">
        <v>51.57</v>
      </c>
      <c r="BU476" s="62" t="n">
        <v>1</v>
      </c>
      <c r="BV476" s="60"/>
      <c r="BW476" s="65" t="n">
        <v>0</v>
      </c>
      <c r="BX476" s="65" t="n">
        <v>476</v>
      </c>
      <c r="BY476" s="60" t="str">
        <f aca="false">IF(U476&lt;&gt;"",UPPER(TRIM(U476)),IF(CB476=1,UPPER(VLOOKUP(T476,Parameter!$I$27:$K$29,2,0)),IF(P476="","LOSE",P476)))</f>
        <v>S81</v>
      </c>
      <c r="BZ476" s="62" t="n">
        <f aca="false">IF(BY476="LOSE",1,IF(N(V476)&gt;0,V476,IF(CB476=1,MAX(1,N(VLOOKUP(T476,Parameter!$I$27:$K$29,3,0)),H476,N(N476)),IF(N(Q476)&gt;0,Q476,MAX(1,H476)))))</f>
        <v>2</v>
      </c>
      <c r="CA476" s="65" t="n">
        <f aca="false">IF(BY476="LOSE",1,0)</f>
        <v>0</v>
      </c>
      <c r="CB476" s="65" t="n">
        <f aca="false">IF(AND(U476="",OR(P476="",P476="LOSE"),T476&lt;&gt;"",N(S476)&lt;=0,ISNUMBER(MATCH(T476,Parameter!$I$27:$I$29,0))),1,0)</f>
        <v>1</v>
      </c>
      <c r="CC476" s="65" t="n">
        <f aca="false">IF(CR476&gt;0,INDEX(Parameter!$H$5:$H$7,W476)/INDEX(Parameter!$E$5:$E$7,W476),IF(AND(CA476=0,N(IFERROR(VLOOKUP(BY476,'Gebinde-Kategorie'!$A$5:$N$45,14,0),0))&gt;0),VLOOKUP(BY476,'Gebinde-Kategorie'!$A$5:$N$45,14,0)*10+Parameter!$M$23,Parameter!$M$24))</f>
        <v>235</v>
      </c>
      <c r="CD476" s="60" t="str">
        <f aca="false">IF(AND(Parameter!$B$19="Ja",E476&lt;&gt;"",ISNUMBER(MATCH(E476,Parameter!$I$35:$I$52,0))),VLOOKUP(E476,Parameter!$I$35:$J$52,2,0),IFERROR(VLOOKUP(D476,Parameter!$A$35:$C$64,2,0),"Nein"))</f>
        <v>2+3</v>
      </c>
      <c r="CE476" s="64" t="n">
        <f aca="false">IF(CA476=0,0,IF(N(S476)&gt;0,S476,IFERROR(VLOOKUP(D476,Parameter!$A$35:$C$64,3,0)+0,0)))</f>
        <v>0</v>
      </c>
      <c r="CF476" s="60" t="n">
        <f aca="false">IF(AB476&lt;&gt;"",AB476,AA476)</f>
        <v>2</v>
      </c>
      <c r="CG476" s="60" t="str">
        <f aca="false">IF(OR(CF476=1,CF476=2,CF476=3),IF(Parameter!$E$27="Ja","LIFT",IF(CF476=1,"L1","L23")),IF(CF476="Aussen","Aussen","-"))</f>
        <v>LIFT</v>
      </c>
      <c r="CH476" s="71" t="n">
        <f aca="false">IF(N(AC476)&gt;0,AC476,0)</f>
        <v>0</v>
      </c>
      <c r="CI476" s="65" t="n">
        <f aca="false">IF(ISNUMBER(AF476),1,0)</f>
        <v>0</v>
      </c>
      <c r="CJ476" s="62" t="n">
        <f aca="false">N(AF476)</f>
        <v>0</v>
      </c>
      <c r="CK476" s="62" t="n">
        <f aca="false">N(M476)+N(N476)</f>
        <v>1</v>
      </c>
      <c r="CL476" s="62" t="n">
        <f aca="false">N(M476)</f>
        <v>0</v>
      </c>
      <c r="CM476" s="62" t="n">
        <f aca="false">N(N476)</f>
        <v>1</v>
      </c>
      <c r="CN476" s="62" t="n">
        <f aca="false">ROUNDUP(H476/BZ476,0)</f>
        <v>1</v>
      </c>
      <c r="CO476" s="62" t="n">
        <f aca="false">ROUNDUP(CJ476/BZ476,0)</f>
        <v>0</v>
      </c>
      <c r="CP476" s="65" t="n">
        <f aca="false">IF(CA476=1,0,IFERROR(VLOOKUP(BY476,'Gebinde-Kategorie'!$A$5:$N$45,5,0)+0,0))</f>
        <v>20</v>
      </c>
      <c r="CQ476" s="65" t="n">
        <f aca="false">IFERROR(IF(OR(CF476=1,CF476=2,CF476=3),N(INDEX(Parameter!$I$5:$I$7,CF476)),0),0)</f>
        <v>0</v>
      </c>
      <c r="CR476" s="64" t="n">
        <f aca="false">IF(AND(Parameter!$B$21="Ja",ISNUMBER(W476),N(X476)&gt;0),IFERROR(N(INDEX(Parameter!$L$5:$L$7,W476))*INDEX(Parameter!$E$5:$E$7,W476)*X476/SUMIFS($X$7:$X$1843,$W$7:$W$1843,W476),0),0)</f>
        <v>0</v>
      </c>
      <c r="CS476" s="62" t="n">
        <f aca="false">IF(AND(OR(CG476="L1",CG476="L23",CG476="LIFT"),H476&gt;0),CC476*IF(CR476&gt;0,CR476*MAX(1,H476/X476),IF(CA476=1,CE476,IF(R476&gt;0,CN476/R476,0))/MAX(0.1,N(Parameter!$M$21))),"")</f>
        <v>58.75</v>
      </c>
      <c r="CT476" s="64" t="n">
        <f aca="false">IF(CS476="","",J476/H476)</f>
        <v>1</v>
      </c>
      <c r="CU476" s="62" t="n">
        <f aca="false">IF(CS476="","",H476*G476)</f>
        <v>51.57</v>
      </c>
      <c r="CV476" s="63" t="n">
        <f aca="false">IF(CS476="","",(CL476+ROUNDUP(CL476+MAX(CM476,2*(J476/MAX(0.1,N(Einkauf!$C$6))-CL476)),0))/2)</f>
        <v>0.5</v>
      </c>
      <c r="CW476" s="62" t="n">
        <f aca="false">IF(CS476="","",MAX(0,H476-CV476)*G476)</f>
        <v>25.785</v>
      </c>
      <c r="CX476" s="62" t="n">
        <f aca="false">IF(CS476="","",CS476*MAX(0,1-CV476/H476))</f>
        <v>29.375</v>
      </c>
      <c r="CY476" s="64" t="n">
        <f aca="false">IF(CS476="","",PERCENTRANK($CS$7:$CS$1843,CS476)+PERCENTRANK($CU$7:$CU$1843,CU476)+1-PERCENTRANK($CT$7:$CT$1843,CT476))</f>
        <v>1.434</v>
      </c>
      <c r="CZ476" s="72" t="n">
        <f aca="false">IF(CS476="","",CHOOSE(MATCH(Einkauf!$C$5,Parameter!$G$23:$G$27,0),CY476,CS476,CU476,-CT476,CW476)+ROW()/1000000000)</f>
        <v>1.434000476</v>
      </c>
    </row>
    <row r="477" customFormat="false" ht="15" hidden="false" customHeight="false" outlineLevel="0" collapsed="false">
      <c r="A477" s="60" t="s">
        <v>1104</v>
      </c>
      <c r="B477" s="60" t="s">
        <v>1105</v>
      </c>
      <c r="C477" s="60" t="s">
        <v>206</v>
      </c>
      <c r="D477" s="60" t="s">
        <v>226</v>
      </c>
      <c r="E477" s="60"/>
      <c r="F477" s="60" t="s">
        <v>260</v>
      </c>
      <c r="G477" s="61" t="n">
        <v>51</v>
      </c>
      <c r="H477" s="62" t="n">
        <f aca="false">MAX(0,IF(AND(Parameter!$B$21="Ja",ISNUMBER(Y477)),Y477,IF(Parameter!$B$20="Jahresanfang 2025 + Export",BS477+BR477,BR477)))</f>
        <v>8</v>
      </c>
      <c r="I477" s="62" t="n">
        <f aca="false">H477*G477</f>
        <v>408</v>
      </c>
      <c r="J477" s="62" t="n">
        <f aca="false">BU477*Parameter!$B$18</f>
        <v>0</v>
      </c>
      <c r="K477" s="63" t="n">
        <v>7.5</v>
      </c>
      <c r="L477" s="64" t="n">
        <v>0</v>
      </c>
      <c r="M477" s="62" t="n">
        <v>0</v>
      </c>
      <c r="N477" s="62" t="n">
        <v>1</v>
      </c>
      <c r="O477" s="65" t="n">
        <v>28</v>
      </c>
      <c r="P477" s="60" t="s">
        <v>344</v>
      </c>
      <c r="Q477" s="62" t="n">
        <v>10</v>
      </c>
      <c r="R477" s="65" t="n">
        <f aca="false">IF(CA477=1,0,IFERROR(VLOOKUP(BY477,'Gebinde-Kategorie'!$A$5:$N$45,13,0)+0,0))</f>
        <v>26</v>
      </c>
      <c r="S477" s="66"/>
      <c r="T477" s="67"/>
      <c r="U477" s="67"/>
      <c r="V477" s="67"/>
      <c r="W477" s="60"/>
      <c r="X477" s="62"/>
      <c r="Y477" s="62"/>
      <c r="Z477" s="60" t="n">
        <v>3</v>
      </c>
      <c r="AA477" s="60" t="n">
        <f aca="false">IF(A477="","",IF(AND(Parameter!$B$21="Ja",ISNUMBER(W477)),W477,IF(AND(Parameter!$E$27="Ja",ISNUMBER(Z477),CD477&lt;&gt;"Nein"),Z477,IF(CD477="2+3",IF(ISNUMBER(SEARCH("grosser Artikel",BV477)),2,IFERROR(VLOOKUP(BY477,Parameter!$F$35:$G$64,2,0),2)),IF(OR(CD477="Nein",CD477=""),"-",CD477)))))</f>
        <v>3</v>
      </c>
      <c r="AB477" s="67"/>
      <c r="AC477" s="68"/>
      <c r="AD477" s="62" t="n">
        <f aca="false">AW477</f>
        <v>1</v>
      </c>
      <c r="AE477" s="62" t="n">
        <f aca="false">MAX(AW477,H477)</f>
        <v>8</v>
      </c>
      <c r="AF477" s="69"/>
      <c r="AG477" s="62" t="n">
        <f aca="false">IF(LEFT(Cockpit!$C$5,1)="A",H477,IF(Parameter!$E$30="MAX-Bestand",IF(CI477=1,CJ477,IF(LEFT(Cockpit!$C$5,1)="B",AM477,MAX(AM477,H477))),ROUNDUP(AK477,0)))</f>
        <v>8</v>
      </c>
      <c r="AH477" s="62" t="n">
        <f aca="false">IF(CA477=1,0,ROUNDUP(AG477/BZ477,0))</f>
        <v>1</v>
      </c>
      <c r="AI477" s="64" t="n">
        <f aca="false">IF(CR477&gt;0,CR477*MAX(1,AG477/X477),IF(CA477=1,IF(AG477&lt;=0,0,CE477*MAX(1,IF(H477&gt;0,AG477/H477,1))),IF(R477&gt;0,AH477/R477,0))/MAX(0.1,N(Parameter!$M$21)))</f>
        <v>0.0384615384615385</v>
      </c>
      <c r="AJ477" s="62" t="n">
        <f aca="false">AI477*CC477</f>
        <v>5.96153846153846</v>
      </c>
      <c r="AK477" s="63" t="n">
        <f aca="false">IF(LEFT(Cockpit!$C$5,1)="A",H477,IF(CI477=1,(CL477+CJ477)/2,IF(LEFT(Cockpit!$C$5,1)="B",(CL477+AM477)/2,MAX((CL477+AM477)/2,H477))))</f>
        <v>8</v>
      </c>
      <c r="AL477" s="62" t="n">
        <f aca="false">AK477*G477</f>
        <v>408</v>
      </c>
      <c r="AM477" s="62" t="n">
        <f aca="false">ROUNDUP(CL477+MAX(CM477,2*(J477/IF(CH477&gt;0,CH477,MAX(0.1,N(Cockpit!$C$6)))-CL477)),0)</f>
        <v>1</v>
      </c>
      <c r="AN477" s="63" t="n">
        <f aca="false">IF(AJ477&gt;0,J477/AJ477,-1)</f>
        <v>0</v>
      </c>
      <c r="AO477" s="63" t="n">
        <f aca="false">IF(AND(OR(CG477="L1",CG477="L23",CG477="LIFT"),AJ477&gt;0),SUMIFS($AJ$7:$AJ$1843,$CG$7:$CG$1843,CG477,$AN$7:$AN$1843,"&gt;"&amp;AN477)+SUMIFS($AJ$7:$AJ$1843,$CG$7:$CG$1843,CG477,$AN$7:$AN$1843,AN477,$BX$7:$BX$1843,"&lt;="&amp;BX477),"")</f>
        <v>28199.9255344467</v>
      </c>
      <c r="AP477" s="70" t="n">
        <f aca="false">IF(AO477="",0,MAX(0,MIN(1,(IF(CG477="L1",Parameter!$H$5,IF(CG477="L23",Parameter!$H$6+Parameter!$H$7,Parameter!$H$5+Parameter!$H$6+Parameter!$H$7))-(AO477-AJ477))/AJ477)))</f>
        <v>1</v>
      </c>
      <c r="AQ477" s="62" t="n">
        <f aca="false">IF(LEFT(Cockpit!$I$5,1)="A",H477,IF(Parameter!$E$30="MAX-Bestand",IF(CI477=1,CJ477,IF(LEFT(Cockpit!$I$5,1)="B",AW477,MAX(AW477,H477))),ROUNDUP(AU477,0)))</f>
        <v>8</v>
      </c>
      <c r="AR477" s="62" t="n">
        <f aca="false">IF(CA477=1,0,ROUNDUP(AQ477/BZ477,0))</f>
        <v>1</v>
      </c>
      <c r="AS477" s="64" t="n">
        <f aca="false">IF(CR477&gt;0,CR477*MAX(1,AQ477/X477),IF(CA477=1,IF(AQ477&lt;=0,0,CE477*MAX(1,IF(H477&gt;0,AQ477/H477,1))),IF(R477&gt;0,AR477/R477,0))/MAX(0.1,N(Parameter!$M$21)))</f>
        <v>0.0384615384615385</v>
      </c>
      <c r="AT477" s="62" t="n">
        <f aca="false">AS477*CC477</f>
        <v>5.96153846153846</v>
      </c>
      <c r="AU477" s="63" t="n">
        <f aca="false">IF(LEFT(Cockpit!$I$5,1)="A",H477,IF(CI477=1,(CL477+CJ477)/2,IF(LEFT(Cockpit!$I$5,1)="B",(CL477+AW477)/2,MAX((CL477+AW477)/2,H477))))</f>
        <v>8</v>
      </c>
      <c r="AV477" s="62" t="n">
        <f aca="false">AU477*G477</f>
        <v>408</v>
      </c>
      <c r="AW477" s="62" t="n">
        <f aca="false">ROUNDUP(CL477+MAX(CM477,2*(J477/IF(CH477&gt;0,CH477,MAX(0.1,N(Cockpit!$I$6)))-CL477)),0)</f>
        <v>1</v>
      </c>
      <c r="AX477" s="63" t="n">
        <f aca="false">IF(AT477&gt;0,J477/AT477,-1)</f>
        <v>0</v>
      </c>
      <c r="AY477" s="63" t="n">
        <f aca="false">IF(AND(OR(CG477="L1",CG477="L23",CG477="LIFT"),AT477&gt;0),SUMIFS($AT$7:$AT$1843,$CG$7:$CG$1843,CG477,$AX$7:$AX$1843,"&gt;"&amp;AX477)+SUMIFS($AT$7:$AT$1843,$CG$7:$CG$1843,CG477,$AX$7:$AX$1843,AX477,$BX$7:$BX$1843,"&lt;="&amp;BX477),"")</f>
        <v>33553.0741758242</v>
      </c>
      <c r="AZ477" s="70" t="n">
        <f aca="false">IF(AY477="",0,MAX(0,MIN(1,(IF(CG477="L1",Parameter!$H$5,IF(CG477="L23",Parameter!$H$6+Parameter!$H$7,Parameter!$H$5+Parameter!$H$6+Parameter!$H$7))-(AY477-AT477))/AT477)))</f>
        <v>1</v>
      </c>
      <c r="BA477" s="62" t="n">
        <f aca="false">IF(LEFT(Cockpit!$O$5,1)="A",H477,IF(Parameter!$E$30="MAX-Bestand",IF(CI477=1,CJ477,IF(LEFT(Cockpit!$O$5,1)="B",BG477,MAX(BG477,H477))),ROUNDUP(BE477,0)))</f>
        <v>1</v>
      </c>
      <c r="BB477" s="62" t="n">
        <f aca="false">IF(CA477=1,0,ROUNDUP(BA477/BZ477,0))</f>
        <v>1</v>
      </c>
      <c r="BC477" s="64" t="n">
        <f aca="false">IF(CR477&gt;0,CR477*MAX(1,BA477/X477),IF(CA477=1,IF(BA477&lt;=0,0,CE477*MAX(1,IF(H477&gt;0,BA477/H477,1))),IF(R477&gt;0,BB477/R477,0))/MAX(0.1,N(Parameter!$M$21)))</f>
        <v>0.0384615384615385</v>
      </c>
      <c r="BD477" s="62" t="n">
        <f aca="false">BC477*CC477</f>
        <v>5.96153846153846</v>
      </c>
      <c r="BE477" s="63" t="n">
        <f aca="false">IF(LEFT(Cockpit!$O$5,1)="A",H477,IF(CI477=1,(CL477+CJ477)/2,IF(LEFT(Cockpit!$O$5,1)="B",(CL477+BG477)/2,MAX((CL477+BG477)/2,H477))))</f>
        <v>0.5</v>
      </c>
      <c r="BF477" s="62" t="n">
        <f aca="false">BE477*G477</f>
        <v>25.5</v>
      </c>
      <c r="BG477" s="62" t="n">
        <f aca="false">ROUNDUP(CL477+MAX(CM477,2*(J477/IF(CH477&gt;0,CH477,MAX(0.1,N(Cockpit!$O$6)))-CL477)),0)</f>
        <v>1</v>
      </c>
      <c r="BH477" s="63" t="n">
        <f aca="false">IF(BD477&gt;0,J477/BD477,-1)</f>
        <v>0</v>
      </c>
      <c r="BI477" s="63" t="n">
        <f aca="false">IF(AND(OR(CG477="L1",CG477="L23",CG477="LIFT"),BD477&gt;0),SUMIFS($BD$7:$BD$1843,$CG$7:$CG$1843,CG477,$BH$7:$BH$1843,"&gt;"&amp;BH477)+SUMIFS($BD$7:$BD$1843,$CG$7:$CG$1843,CG477,$BH$7:$BH$1843,BH477,$BX$7:$BX$1843,"&lt;="&amp;BX477),"")</f>
        <v>27660.3089495251</v>
      </c>
      <c r="BJ477" s="70" t="n">
        <f aca="false">IF(BI477="",0,MAX(0,MIN(1,(IF(CG477="L1",Parameter!$H$5,IF(CG477="L23",Parameter!$H$6+Parameter!$H$7,Parameter!$H$5+Parameter!$H$6+Parameter!$H$7))-(BI477-BD477))/BD477)))</f>
        <v>1</v>
      </c>
      <c r="BK477" s="60" t="str">
        <f aca="false">IF(AJ477&lt;=0,"",IF(CG477="Aussen","Aussenlager",IF(CG477="-","Nicht im Lift",IF(AP477&gt;=1,"Lift",IF(AP477&lt;=0,"Aussenlager","teilweise")))))</f>
        <v>Lift</v>
      </c>
      <c r="BL477" s="60" t="str">
        <f aca="false">IF(AT477&lt;=0,"",IF(CG477="Aussen","Aussenlager",IF(CG477="-","Nicht im Lift",IF(AZ477&gt;=1,"Lift",IF(AZ477&lt;=0,"Aussenlager","teilweise")))))</f>
        <v>Lift</v>
      </c>
      <c r="BM477" s="60" t="str">
        <f aca="false">IF(BD477&lt;=0,"",IF(CG477="Aussen","Aussenlager",IF(CG477="-","Nicht im Lift",IF(BJ477&gt;=1,"Lift",IF(BJ477&lt;=0,"Aussenlager","teilweise")))))</f>
        <v>Lift</v>
      </c>
      <c r="BN477" s="60" t="str">
        <f aca="false">IF(A477="","",IF(BW477=1,"Neu; ","")&amp;IF(AND(BW477=0,BR477&lt;0),"negativer Bestand (Export "&amp;BR477&amp;"); ","")&amp;IF(J477&lt;=0,"Kein Verbrauch; ","")&amp;IF(CR477&gt;0,"Lift "&amp;W477&amp;" lt. Liftbericht (Fach "&amp;X477&amp;" Stk); ",IF(CB477=1,"Gebinde geschätzt ("&amp;T477&amp;"); ",IF(CA477=1,"Lose – Tablare geschätzt; ","")))&amp;IF(H477&gt;AW477,"Überbestand "&amp;ROUND(H477-AW477,0)&amp;" Stk / CHF "&amp;ROUND((H477-AW477)*G477,0)&amp;"; ","")&amp;IF(AND(CI477=1,CJ477&lt;CK477),"MAX &lt; MB+LG; ","")&amp;IF(AND(CQ477&gt;0,CP477*10&gt;CQ477),"zu hoch für Tablar; ","")&amp;IF(AND(BW477=0,OR(CI477=1,AB477&lt;&gt;"",U477&lt;&gt;"",V477&lt;&gt;"",AC477&lt;&gt;"")),"manuell übersteuert; ","")&amp;IF(AND(CA477=0,R477=0),"Gebinde unbekannt / Stellmass fehlt; ","")&amp;IF(AND(CA477=0,N(V477)&lt;=0,N(Q477)&lt;=0),"Menge pro Gebinde fehlt (Ist = 1 Gebinde); ","")&amp;BV477)</f>
        <v>Kein Verbrauch; Überbestand 7 Stk / CHF 357; Neuer Art.</v>
      </c>
      <c r="BO477" s="60"/>
      <c r="BP477" s="60"/>
      <c r="BQ477" s="67"/>
      <c r="BR477" s="62" t="n">
        <v>1</v>
      </c>
      <c r="BS477" s="62" t="n">
        <v>7</v>
      </c>
      <c r="BT477" s="61" t="n">
        <v>51</v>
      </c>
      <c r="BU477" s="62" t="n">
        <v>0</v>
      </c>
      <c r="BV477" s="60" t="s">
        <v>554</v>
      </c>
      <c r="BW477" s="65" t="n">
        <v>0</v>
      </c>
      <c r="BX477" s="65" t="n">
        <v>477</v>
      </c>
      <c r="BY477" s="60" t="str">
        <f aca="false">IF(U477&lt;&gt;"",UPPER(TRIM(U477)),IF(CB477=1,UPPER(VLOOKUP(T477,Parameter!$I$27:$K$29,2,0)),IF(P477="","LOSE",P477)))</f>
        <v>S51</v>
      </c>
      <c r="BZ477" s="62" t="n">
        <f aca="false">IF(BY477="LOSE",1,IF(N(V477)&gt;0,V477,IF(CB477=1,MAX(1,N(VLOOKUP(T477,Parameter!$I$27:$K$29,3,0)),H477,N(N477)),IF(N(Q477)&gt;0,Q477,MAX(1,H477)))))</f>
        <v>10</v>
      </c>
      <c r="CA477" s="65" t="n">
        <f aca="false">IF(BY477="LOSE",1,0)</f>
        <v>0</v>
      </c>
      <c r="CB477" s="65" t="n">
        <f aca="false">IF(AND(U477="",OR(P477="",P477="LOSE"),T477&lt;&gt;"",N(S477)&lt;=0,ISNUMBER(MATCH(T477,Parameter!$I$27:$I$29,0))),1,0)</f>
        <v>0</v>
      </c>
      <c r="CC477" s="65" t="n">
        <f aca="false">IF(CR477&gt;0,INDEX(Parameter!$H$5:$H$7,W477)/INDEX(Parameter!$E$5:$E$7,W477),IF(AND(CA477=0,N(IFERROR(VLOOKUP(BY477,'Gebinde-Kategorie'!$A$5:$N$45,14,0),0))&gt;0),VLOOKUP(BY477,'Gebinde-Kategorie'!$A$5:$N$45,14,0)*10+Parameter!$M$23,Parameter!$M$24))</f>
        <v>155</v>
      </c>
      <c r="CD477" s="60" t="str">
        <f aca="false">IF(AND(Parameter!$B$19="Ja",E477&lt;&gt;"",ISNUMBER(MATCH(E477,Parameter!$I$35:$I$52,0))),VLOOKUP(E477,Parameter!$I$35:$J$52,2,0),IFERROR(VLOOKUP(D477,Parameter!$A$35:$C$64,2,0),"Nein"))</f>
        <v>2+3</v>
      </c>
      <c r="CE477" s="64" t="n">
        <f aca="false">IF(CA477=0,0,IF(N(S477)&gt;0,S477,IFERROR(VLOOKUP(D477,Parameter!$A$35:$C$64,3,0)+0,0)))</f>
        <v>0</v>
      </c>
      <c r="CF477" s="60" t="n">
        <f aca="false">IF(AB477&lt;&gt;"",AB477,AA477)</f>
        <v>3</v>
      </c>
      <c r="CG477" s="60" t="str">
        <f aca="false">IF(OR(CF477=1,CF477=2,CF477=3),IF(Parameter!$E$27="Ja","LIFT",IF(CF477=1,"L1","L23")),IF(CF477="Aussen","Aussen","-"))</f>
        <v>LIFT</v>
      </c>
      <c r="CH477" s="71" t="n">
        <f aca="false">IF(N(AC477)&gt;0,AC477,0)</f>
        <v>0</v>
      </c>
      <c r="CI477" s="65" t="n">
        <f aca="false">IF(ISNUMBER(AF477),1,0)</f>
        <v>0</v>
      </c>
      <c r="CJ477" s="62" t="n">
        <f aca="false">N(AF477)</f>
        <v>0</v>
      </c>
      <c r="CK477" s="62" t="n">
        <f aca="false">N(M477)+N(N477)</f>
        <v>1</v>
      </c>
      <c r="CL477" s="62" t="n">
        <f aca="false">N(M477)</f>
        <v>0</v>
      </c>
      <c r="CM477" s="62" t="n">
        <f aca="false">N(N477)</f>
        <v>1</v>
      </c>
      <c r="CN477" s="62" t="n">
        <f aca="false">ROUNDUP(H477/BZ477,0)</f>
        <v>1</v>
      </c>
      <c r="CO477" s="62" t="n">
        <f aca="false">ROUNDUP(CJ477/BZ477,0)</f>
        <v>0</v>
      </c>
      <c r="CP477" s="65" t="n">
        <f aca="false">IF(CA477=1,0,IFERROR(VLOOKUP(BY477,'Gebinde-Kategorie'!$A$5:$N$45,5,0)+0,0))</f>
        <v>11</v>
      </c>
      <c r="CQ477" s="65" t="n">
        <f aca="false">IFERROR(IF(OR(CF477=1,CF477=2,CF477=3),N(INDEX(Parameter!$I$5:$I$7,CF477)),0),0)</f>
        <v>0</v>
      </c>
      <c r="CR477" s="64" t="n">
        <f aca="false">IF(AND(Parameter!$B$21="Ja",ISNUMBER(W477),N(X477)&gt;0),IFERROR(N(INDEX(Parameter!$L$5:$L$7,W477))*INDEX(Parameter!$E$5:$E$7,W477)*X477/SUMIFS($X$7:$X$1843,$W$7:$W$1843,W477),0),0)</f>
        <v>0</v>
      </c>
      <c r="CS477" s="62" t="n">
        <f aca="false">IF(AND(OR(CG477="L1",CG477="L23",CG477="LIFT"),H477&gt;0),CC477*IF(CR477&gt;0,CR477*MAX(1,H477/X477),IF(CA477=1,CE477,IF(R477&gt;0,CN477/R477,0))/MAX(0.1,N(Parameter!$M$21))),"")</f>
        <v>5.96153846153846</v>
      </c>
      <c r="CT477" s="64" t="n">
        <f aca="false">IF(CS477="","",J477/H477)</f>
        <v>0</v>
      </c>
      <c r="CU477" s="62" t="n">
        <f aca="false">IF(CS477="","",H477*G477)</f>
        <v>408</v>
      </c>
      <c r="CV477" s="63" t="n">
        <f aca="false">IF(CS477="","",(CL477+ROUNDUP(CL477+MAX(CM477,2*(J477/MAX(0.1,N(Einkauf!$C$6))-CL477)),0))/2)</f>
        <v>0.5</v>
      </c>
      <c r="CW477" s="62" t="n">
        <f aca="false">IF(CS477="","",MAX(0,H477-CV477)*G477)</f>
        <v>382.5</v>
      </c>
      <c r="CX477" s="62" t="n">
        <f aca="false">IF(CS477="","",CS477*MAX(0,1-CV477/H477))</f>
        <v>5.58894230769231</v>
      </c>
      <c r="CY477" s="64" t="n">
        <f aca="false">IF(CS477="","",PERCENTRANK($CS$7:$CS$1843,CS477)+PERCENTRANK($CU$7:$CU$1843,CU477)+1-PERCENTRANK($CT$7:$CT$1843,CT477))</f>
        <v>1.838</v>
      </c>
      <c r="CZ477" s="72" t="n">
        <f aca="false">IF(CS477="","",CHOOSE(MATCH(Einkauf!$C$5,Parameter!$G$23:$G$27,0),CY477,CS477,CU477,-CT477,CW477)+ROW()/1000000000)</f>
        <v>1.838000477</v>
      </c>
    </row>
    <row r="478" customFormat="false" ht="15" hidden="false" customHeight="false" outlineLevel="0" collapsed="false">
      <c r="A478" s="60" t="s">
        <v>1106</v>
      </c>
      <c r="B478" s="60" t="s">
        <v>1107</v>
      </c>
      <c r="C478" s="60" t="s">
        <v>206</v>
      </c>
      <c r="D478" s="60" t="s">
        <v>226</v>
      </c>
      <c r="E478" s="60" t="s">
        <v>227</v>
      </c>
      <c r="F478" s="60" t="s">
        <v>260</v>
      </c>
      <c r="G478" s="61" t="n">
        <v>6.71</v>
      </c>
      <c r="H478" s="62" t="n">
        <f aca="false">MAX(0,IF(AND(Parameter!$B$21="Ja",ISNUMBER(Y478)),Y478,IF(Parameter!$B$20="Jahresanfang 2025 + Export",BS478+BR478,BR478)))</f>
        <v>10</v>
      </c>
      <c r="I478" s="62" t="n">
        <f aca="false">H478*G478</f>
        <v>67.1</v>
      </c>
      <c r="J478" s="62" t="n">
        <f aca="false">BU478*Parameter!$B$18</f>
        <v>12</v>
      </c>
      <c r="K478" s="63" t="n">
        <v>2.5</v>
      </c>
      <c r="L478" s="64" t="n">
        <v>4.8</v>
      </c>
      <c r="M478" s="62" t="n">
        <v>0</v>
      </c>
      <c r="N478" s="62" t="n">
        <v>10</v>
      </c>
      <c r="O478" s="65" t="n">
        <v>14</v>
      </c>
      <c r="P478" s="60" t="s">
        <v>518</v>
      </c>
      <c r="Q478" s="62" t="n">
        <v>15</v>
      </c>
      <c r="R478" s="65" t="n">
        <f aca="false">IF(CA478=1,0,IFERROR(VLOOKUP(BY478,'Gebinde-Kategorie'!$A$5:$N$45,13,0)+0,0))</f>
        <v>52</v>
      </c>
      <c r="S478" s="66"/>
      <c r="T478" s="67"/>
      <c r="U478" s="67"/>
      <c r="V478" s="67"/>
      <c r="W478" s="60"/>
      <c r="X478" s="62"/>
      <c r="Y478" s="62"/>
      <c r="Z478" s="60" t="n">
        <v>3</v>
      </c>
      <c r="AA478" s="60" t="n">
        <f aca="false">IF(A478="","",IF(AND(Parameter!$B$21="Ja",ISNUMBER(W478)),W478,IF(AND(Parameter!$E$27="Ja",ISNUMBER(Z478),CD478&lt;&gt;"Nein"),Z478,IF(CD478="2+3",IF(ISNUMBER(SEARCH("grosser Artikel",BV478)),2,IFERROR(VLOOKUP(BY478,Parameter!$F$35:$G$64,2,0),2)),IF(OR(CD478="Nein",CD478=""),"-",CD478)))))</f>
        <v>3</v>
      </c>
      <c r="AB478" s="67"/>
      <c r="AC478" s="68"/>
      <c r="AD478" s="62" t="n">
        <f aca="false">AW478</f>
        <v>10</v>
      </c>
      <c r="AE478" s="62" t="n">
        <f aca="false">MAX(AW478,H478)</f>
        <v>10</v>
      </c>
      <c r="AF478" s="69"/>
      <c r="AG478" s="62" t="n">
        <f aca="false">IF(LEFT(Cockpit!$C$5,1)="A",H478,IF(Parameter!$E$30="MAX-Bestand",IF(CI478=1,CJ478,IF(LEFT(Cockpit!$C$5,1)="B",AM478,MAX(AM478,H478))),ROUNDUP(AK478,0)))</f>
        <v>10</v>
      </c>
      <c r="AH478" s="62" t="n">
        <f aca="false">IF(CA478=1,0,ROUNDUP(AG478/BZ478,0))</f>
        <v>1</v>
      </c>
      <c r="AI478" s="64" t="n">
        <f aca="false">IF(CR478&gt;0,CR478*MAX(1,AG478/X478),IF(CA478=1,IF(AG478&lt;=0,0,CE478*MAX(1,IF(H478&gt;0,AG478/H478,1))),IF(R478&gt;0,AH478/R478,0))/MAX(0.1,N(Parameter!$M$21)))</f>
        <v>0.0192307692307692</v>
      </c>
      <c r="AJ478" s="62" t="n">
        <f aca="false">AI478*CC478</f>
        <v>2.98076923076923</v>
      </c>
      <c r="AK478" s="63" t="n">
        <f aca="false">IF(LEFT(Cockpit!$C$5,1)="A",H478,IF(CI478=1,(CL478+CJ478)/2,IF(LEFT(Cockpit!$C$5,1)="B",(CL478+AM478)/2,MAX((CL478+AM478)/2,H478))))</f>
        <v>10</v>
      </c>
      <c r="AL478" s="62" t="n">
        <f aca="false">AK478*G478</f>
        <v>67.1</v>
      </c>
      <c r="AM478" s="62" t="n">
        <f aca="false">ROUNDUP(CL478+MAX(CM478,2*(J478/IF(CH478&gt;0,CH478,MAX(0.1,N(Cockpit!$C$6)))-CL478)),0)</f>
        <v>10</v>
      </c>
      <c r="AN478" s="63" t="n">
        <f aca="false">IF(AJ478&gt;0,J478/AJ478,-1)</f>
        <v>4.0258064516129</v>
      </c>
      <c r="AO478" s="63" t="n">
        <f aca="false">IF(AND(OR(CG478="L1",CG478="L23",CG478="LIFT"),AJ478&gt;0),SUMIFS($AJ$7:$AJ$1843,$CG$7:$CG$1843,CG478,$AN$7:$AN$1843,"&gt;"&amp;AN478)+SUMIFS($AJ$7:$AJ$1843,$CG$7:$CG$1843,CG478,$AN$7:$AN$1843,AN478,$BX$7:$BX$1843,"&lt;="&amp;BX478),"")</f>
        <v>4339.3141025641</v>
      </c>
      <c r="AP478" s="70" t="n">
        <f aca="false">IF(AO478="",0,MAX(0,MIN(1,(IF(CG478="L1",Parameter!$H$5,IF(CG478="L23",Parameter!$H$6+Parameter!$H$7,Parameter!$H$5+Parameter!$H$6+Parameter!$H$7))-(AO478-AJ478))/AJ478)))</f>
        <v>1</v>
      </c>
      <c r="AQ478" s="62" t="n">
        <f aca="false">IF(LEFT(Cockpit!$I$5,1)="A",H478,IF(Parameter!$E$30="MAX-Bestand",IF(CI478=1,CJ478,IF(LEFT(Cockpit!$I$5,1)="B",AW478,MAX(AW478,H478))),ROUNDUP(AU478,0)))</f>
        <v>10</v>
      </c>
      <c r="AR478" s="62" t="n">
        <f aca="false">IF(CA478=1,0,ROUNDUP(AQ478/BZ478,0))</f>
        <v>1</v>
      </c>
      <c r="AS478" s="64" t="n">
        <f aca="false">IF(CR478&gt;0,CR478*MAX(1,AQ478/X478),IF(CA478=1,IF(AQ478&lt;=0,0,CE478*MAX(1,IF(H478&gt;0,AQ478/H478,1))),IF(R478&gt;0,AR478/R478,0))/MAX(0.1,N(Parameter!$M$21)))</f>
        <v>0.0192307692307692</v>
      </c>
      <c r="AT478" s="62" t="n">
        <f aca="false">AS478*CC478</f>
        <v>2.98076923076923</v>
      </c>
      <c r="AU478" s="63" t="n">
        <f aca="false">IF(LEFT(Cockpit!$I$5,1)="A",H478,IF(CI478=1,(CL478+CJ478)/2,IF(LEFT(Cockpit!$I$5,1)="B",(CL478+AW478)/2,MAX((CL478+AW478)/2,H478))))</f>
        <v>10</v>
      </c>
      <c r="AV478" s="62" t="n">
        <f aca="false">AU478*G478</f>
        <v>67.1</v>
      </c>
      <c r="AW478" s="62" t="n">
        <f aca="false">ROUNDUP(CL478+MAX(CM478,2*(J478/IF(CH478&gt;0,CH478,MAX(0.1,N(Cockpit!$I$6)))-CL478)),0)</f>
        <v>10</v>
      </c>
      <c r="AX478" s="63" t="n">
        <f aca="false">IF(AT478&gt;0,J478/AT478,-1)</f>
        <v>4.0258064516129</v>
      </c>
      <c r="AY478" s="63" t="n">
        <f aca="false">IF(AND(OR(CG478="L1",CG478="L23",CG478="LIFT"),AT478&gt;0),SUMIFS($AT$7:$AT$1843,$CG$7:$CG$1843,CG478,$AX$7:$AX$1843,"&gt;"&amp;AX478)+SUMIFS($AT$7:$AT$1843,$CG$7:$CG$1843,CG478,$AX$7:$AX$1843,AX478,$BX$7:$BX$1843,"&lt;="&amp;BX478),"")</f>
        <v>4936.38827838828</v>
      </c>
      <c r="AZ478" s="70" t="n">
        <f aca="false">IF(AY478="",0,MAX(0,MIN(1,(IF(CG478="L1",Parameter!$H$5,IF(CG478="L23",Parameter!$H$6+Parameter!$H$7,Parameter!$H$5+Parameter!$H$6+Parameter!$H$7))-(AY478-AT478))/AT478)))</f>
        <v>1</v>
      </c>
      <c r="BA478" s="62" t="n">
        <f aca="false">IF(LEFT(Cockpit!$O$5,1)="A",H478,IF(Parameter!$E$30="MAX-Bestand",IF(CI478=1,CJ478,IF(LEFT(Cockpit!$O$5,1)="B",BG478,MAX(BG478,H478))),ROUNDUP(BE478,0)))</f>
        <v>5</v>
      </c>
      <c r="BB478" s="62" t="n">
        <f aca="false">IF(CA478=1,0,ROUNDUP(BA478/BZ478,0))</f>
        <v>1</v>
      </c>
      <c r="BC478" s="64" t="n">
        <f aca="false">IF(CR478&gt;0,CR478*MAX(1,BA478/X478),IF(CA478=1,IF(BA478&lt;=0,0,CE478*MAX(1,IF(H478&gt;0,BA478/H478,1))),IF(R478&gt;0,BB478/R478,0))/MAX(0.1,N(Parameter!$M$21)))</f>
        <v>0.0192307692307692</v>
      </c>
      <c r="BD478" s="62" t="n">
        <f aca="false">BC478*CC478</f>
        <v>2.98076923076923</v>
      </c>
      <c r="BE478" s="63" t="n">
        <f aca="false">IF(LEFT(Cockpit!$O$5,1)="A",H478,IF(CI478=1,(CL478+CJ478)/2,IF(LEFT(Cockpit!$O$5,1)="B",(CL478+BG478)/2,MAX((CL478+BG478)/2,H478))))</f>
        <v>5</v>
      </c>
      <c r="BF478" s="62" t="n">
        <f aca="false">BE478*G478</f>
        <v>33.55</v>
      </c>
      <c r="BG478" s="62" t="n">
        <f aca="false">ROUNDUP(CL478+MAX(CM478,2*(J478/IF(CH478&gt;0,CH478,MAX(0.1,N(Cockpit!$O$6)))-CL478)),0)</f>
        <v>10</v>
      </c>
      <c r="BH478" s="63" t="n">
        <f aca="false">IF(BD478&gt;0,J478/BD478,-1)</f>
        <v>4.0258064516129</v>
      </c>
      <c r="BI478" s="63" t="n">
        <f aca="false">IF(AND(OR(CG478="L1",CG478="L23",CG478="LIFT"),BD478&gt;0),SUMIFS($BD$7:$BD$1843,$CG$7:$CG$1843,CG478,$BH$7:$BH$1843,"&gt;"&amp;BH478)+SUMIFS($BD$7:$BD$1843,$CG$7:$CG$1843,CG478,$BH$7:$BH$1843,BH478,$BX$7:$BX$1843,"&lt;="&amp;BX478),"")</f>
        <v>4046.50686813187</v>
      </c>
      <c r="BJ478" s="70" t="n">
        <f aca="false">IF(BI478="",0,MAX(0,MIN(1,(IF(CG478="L1",Parameter!$H$5,IF(CG478="L23",Parameter!$H$6+Parameter!$H$7,Parameter!$H$5+Parameter!$H$6+Parameter!$H$7))-(BI478-BD478))/BD478)))</f>
        <v>1</v>
      </c>
      <c r="BK478" s="60" t="str">
        <f aca="false">IF(AJ478&lt;=0,"",IF(CG478="Aussen","Aussenlager",IF(CG478="-","Nicht im Lift",IF(AP478&gt;=1,"Lift",IF(AP478&lt;=0,"Aussenlager","teilweise")))))</f>
        <v>Lift</v>
      </c>
      <c r="BL478" s="60" t="str">
        <f aca="false">IF(AT478&lt;=0,"",IF(CG478="Aussen","Aussenlager",IF(CG478="-","Nicht im Lift",IF(AZ478&gt;=1,"Lift",IF(AZ478&lt;=0,"Aussenlager","teilweise")))))</f>
        <v>Lift</v>
      </c>
      <c r="BM478" s="60" t="str">
        <f aca="false">IF(BD478&lt;=0,"",IF(CG478="Aussen","Aussenlager",IF(CG478="-","Nicht im Lift",IF(BJ478&gt;=1,"Lift",IF(BJ478&lt;=0,"Aussenlager","teilweise")))))</f>
        <v>Lift</v>
      </c>
      <c r="BN478" s="60" t="str">
        <f aca="false">IF(A478="","",IF(BW478=1,"Neu; ","")&amp;IF(AND(BW478=0,BR478&lt;0),"negativer Bestand (Export "&amp;BR478&amp;"); ","")&amp;IF(J478&lt;=0,"Kein Verbrauch; ","")&amp;IF(CR478&gt;0,"Lift "&amp;W478&amp;" lt. Liftbericht (Fach "&amp;X478&amp;" Stk); ",IF(CB478=1,"Gebinde geschätzt ("&amp;T478&amp;"); ",IF(CA478=1,"Lose – Tablare geschätzt; ","")))&amp;IF(H478&gt;AW478,"Überbestand "&amp;ROUND(H478-AW478,0)&amp;" Stk / CHF "&amp;ROUND((H478-AW478)*G478,0)&amp;"; ","")&amp;IF(AND(CI478=1,CJ478&lt;CK478),"MAX &lt; MB+LG; ","")&amp;IF(AND(CQ478&gt;0,CP478*10&gt;CQ478),"zu hoch für Tablar; ","")&amp;IF(AND(BW478=0,OR(CI478=1,AB478&lt;&gt;"",U478&lt;&gt;"",V478&lt;&gt;"",AC478&lt;&gt;"")),"manuell übersteuert; ","")&amp;IF(AND(CA478=0,R478=0),"Gebinde unbekannt / Stellmass fehlt; ","")&amp;IF(AND(CA478=0,N(V478)&lt;=0,N(Q478)&lt;=0),"Menge pro Gebinde fehlt (Ist = 1 Gebinde); ","")&amp;BV478)</f>
        <v/>
      </c>
      <c r="BO478" s="60"/>
      <c r="BP478" s="60"/>
      <c r="BQ478" s="67"/>
      <c r="BR478" s="62" t="n">
        <v>7</v>
      </c>
      <c r="BS478" s="62" t="n">
        <v>3</v>
      </c>
      <c r="BT478" s="61" t="n">
        <v>50.21</v>
      </c>
      <c r="BU478" s="62" t="n">
        <v>12</v>
      </c>
      <c r="BV478" s="60"/>
      <c r="BW478" s="65" t="n">
        <v>0</v>
      </c>
      <c r="BX478" s="65" t="n">
        <v>478</v>
      </c>
      <c r="BY478" s="60" t="str">
        <f aca="false">IF(U478&lt;&gt;"",UPPER(TRIM(U478)),IF(CB478=1,UPPER(VLOOKUP(T478,Parameter!$I$27:$K$29,2,0)),IF(P478="","LOSE",P478)))</f>
        <v>S33</v>
      </c>
      <c r="BZ478" s="62" t="n">
        <f aca="false">IF(BY478="LOSE",1,IF(N(V478)&gt;0,V478,IF(CB478=1,MAX(1,N(VLOOKUP(T478,Parameter!$I$27:$K$29,3,0)),H478,N(N478)),IF(N(Q478)&gt;0,Q478,MAX(1,H478)))))</f>
        <v>15</v>
      </c>
      <c r="CA478" s="65" t="n">
        <f aca="false">IF(BY478="LOSE",1,0)</f>
        <v>0</v>
      </c>
      <c r="CB478" s="65" t="n">
        <f aca="false">IF(AND(U478="",OR(P478="",P478="LOSE"),T478&lt;&gt;"",N(S478)&lt;=0,ISNUMBER(MATCH(T478,Parameter!$I$27:$I$29,0))),1,0)</f>
        <v>0</v>
      </c>
      <c r="CC478" s="65" t="n">
        <f aca="false">IF(CR478&gt;0,INDEX(Parameter!$H$5:$H$7,W478)/INDEX(Parameter!$E$5:$E$7,W478),IF(AND(CA478=0,N(IFERROR(VLOOKUP(BY478,'Gebinde-Kategorie'!$A$5:$N$45,14,0),0))&gt;0),VLOOKUP(BY478,'Gebinde-Kategorie'!$A$5:$N$45,14,0)*10+Parameter!$M$23,Parameter!$M$24))</f>
        <v>155</v>
      </c>
      <c r="CD478" s="60" t="str">
        <f aca="false">IF(AND(Parameter!$B$19="Ja",E478&lt;&gt;"",ISNUMBER(MATCH(E478,Parameter!$I$35:$I$52,0))),VLOOKUP(E478,Parameter!$I$35:$J$52,2,0),IFERROR(VLOOKUP(D478,Parameter!$A$35:$C$64,2,0),"Nein"))</f>
        <v>2+3</v>
      </c>
      <c r="CE478" s="64" t="n">
        <f aca="false">IF(CA478=0,0,IF(N(S478)&gt;0,S478,IFERROR(VLOOKUP(D478,Parameter!$A$35:$C$64,3,0)+0,0)))</f>
        <v>0</v>
      </c>
      <c r="CF478" s="60" t="n">
        <f aca="false">IF(AB478&lt;&gt;"",AB478,AA478)</f>
        <v>3</v>
      </c>
      <c r="CG478" s="60" t="str">
        <f aca="false">IF(OR(CF478=1,CF478=2,CF478=3),IF(Parameter!$E$27="Ja","LIFT",IF(CF478=1,"L1","L23")),IF(CF478="Aussen","Aussen","-"))</f>
        <v>LIFT</v>
      </c>
      <c r="CH478" s="71" t="n">
        <f aca="false">IF(N(AC478)&gt;0,AC478,0)</f>
        <v>0</v>
      </c>
      <c r="CI478" s="65" t="n">
        <f aca="false">IF(ISNUMBER(AF478),1,0)</f>
        <v>0</v>
      </c>
      <c r="CJ478" s="62" t="n">
        <f aca="false">N(AF478)</f>
        <v>0</v>
      </c>
      <c r="CK478" s="62" t="n">
        <f aca="false">N(M478)+N(N478)</f>
        <v>10</v>
      </c>
      <c r="CL478" s="62" t="n">
        <f aca="false">N(M478)</f>
        <v>0</v>
      </c>
      <c r="CM478" s="62" t="n">
        <f aca="false">N(N478)</f>
        <v>10</v>
      </c>
      <c r="CN478" s="62" t="n">
        <f aca="false">ROUNDUP(H478/BZ478,0)</f>
        <v>1</v>
      </c>
      <c r="CO478" s="62" t="n">
        <f aca="false">ROUNDUP(CJ478/BZ478,0)</f>
        <v>0</v>
      </c>
      <c r="CP478" s="65" t="n">
        <f aca="false">IF(CA478=1,0,IFERROR(VLOOKUP(BY478,'Gebinde-Kategorie'!$A$5:$N$45,5,0)+0,0))</f>
        <v>8</v>
      </c>
      <c r="CQ478" s="65" t="n">
        <f aca="false">IFERROR(IF(OR(CF478=1,CF478=2,CF478=3),N(INDEX(Parameter!$I$5:$I$7,CF478)),0),0)</f>
        <v>0</v>
      </c>
      <c r="CR478" s="64" t="n">
        <f aca="false">IF(AND(Parameter!$B$21="Ja",ISNUMBER(W478),N(X478)&gt;0),IFERROR(N(INDEX(Parameter!$L$5:$L$7,W478))*INDEX(Parameter!$E$5:$E$7,W478)*X478/SUMIFS($X$7:$X$1843,$W$7:$W$1843,W478),0),0)</f>
        <v>0</v>
      </c>
      <c r="CS478" s="62" t="n">
        <f aca="false">IF(AND(OR(CG478="L1",CG478="L23",CG478="LIFT"),H478&gt;0),CC478*IF(CR478&gt;0,CR478*MAX(1,H478/X478),IF(CA478=1,CE478,IF(R478&gt;0,CN478/R478,0))/MAX(0.1,N(Parameter!$M$21))),"")</f>
        <v>2.98076923076923</v>
      </c>
      <c r="CT478" s="64" t="n">
        <f aca="false">IF(CS478="","",J478/H478)</f>
        <v>1.2</v>
      </c>
      <c r="CU478" s="62" t="n">
        <f aca="false">IF(CS478="","",H478*G478)</f>
        <v>67.1</v>
      </c>
      <c r="CV478" s="63" t="n">
        <f aca="false">IF(CS478="","",(CL478+ROUNDUP(CL478+MAX(CM478,2*(J478/MAX(0.1,N(Einkauf!$C$6))-CL478)),0))/2)</f>
        <v>5</v>
      </c>
      <c r="CW478" s="62" t="n">
        <f aca="false">IF(CS478="","",MAX(0,H478-CV478)*G478)</f>
        <v>33.55</v>
      </c>
      <c r="CX478" s="62" t="n">
        <f aca="false">IF(CS478="","",CS478*MAX(0,1-CV478/H478))</f>
        <v>1.49038461538462</v>
      </c>
      <c r="CY478" s="64" t="n">
        <f aca="false">IF(CS478="","",PERCENTRANK($CS$7:$CS$1843,CS478)+PERCENTRANK($CU$7:$CU$1843,CU478)+1-PERCENTRANK($CT$7:$CT$1843,CT478))</f>
        <v>0.675</v>
      </c>
      <c r="CZ478" s="72" t="n">
        <f aca="false">IF(CS478="","",CHOOSE(MATCH(Einkauf!$C$5,Parameter!$G$23:$G$27,0),CY478,CS478,CU478,-CT478,CW478)+ROW()/1000000000)</f>
        <v>0.675000478</v>
      </c>
    </row>
    <row r="479" customFormat="false" ht="15" hidden="false" customHeight="false" outlineLevel="0" collapsed="false">
      <c r="A479" s="60" t="s">
        <v>1108</v>
      </c>
      <c r="B479" s="60" t="s">
        <v>989</v>
      </c>
      <c r="C479" s="60" t="s">
        <v>206</v>
      </c>
      <c r="D479" s="60" t="s">
        <v>226</v>
      </c>
      <c r="E479" s="60" t="s">
        <v>227</v>
      </c>
      <c r="F479" s="60" t="s">
        <v>260</v>
      </c>
      <c r="G479" s="61" t="n">
        <v>6.27</v>
      </c>
      <c r="H479" s="62" t="n">
        <f aca="false">MAX(0,IF(AND(Parameter!$B$21="Ja",ISNUMBER(Y479)),Y479,IF(Parameter!$B$20="Jahresanfang 2025 + Export",BS479+BR479,BR479)))</f>
        <v>208</v>
      </c>
      <c r="I479" s="62" t="n">
        <f aca="false">H479*G479</f>
        <v>1304.16</v>
      </c>
      <c r="J479" s="62" t="n">
        <f aca="false">BU479*Parameter!$B$18</f>
        <v>0</v>
      </c>
      <c r="K479" s="63" t="n">
        <v>204.5</v>
      </c>
      <c r="L479" s="64" t="n">
        <v>0</v>
      </c>
      <c r="M479" s="62" t="n">
        <v>0</v>
      </c>
      <c r="N479" s="62" t="n">
        <v>1</v>
      </c>
      <c r="O479" s="65" t="n">
        <v>35</v>
      </c>
      <c r="P479" s="60" t="s">
        <v>228</v>
      </c>
      <c r="Q479" s="62" t="n">
        <v>210</v>
      </c>
      <c r="R479" s="65" t="n">
        <f aca="false">IF(CA479=1,0,IFERROR(VLOOKUP(BY479,'Gebinde-Kategorie'!$A$5:$N$45,13,0)+0,0))</f>
        <v>12</v>
      </c>
      <c r="S479" s="66"/>
      <c r="T479" s="67"/>
      <c r="U479" s="67"/>
      <c r="V479" s="67"/>
      <c r="W479" s="60"/>
      <c r="X479" s="62"/>
      <c r="Y479" s="62"/>
      <c r="Z479" s="60" t="n">
        <v>3</v>
      </c>
      <c r="AA479" s="60" t="n">
        <f aca="false">IF(A479="","",IF(AND(Parameter!$B$21="Ja",ISNUMBER(W479)),W479,IF(AND(Parameter!$E$27="Ja",ISNUMBER(Z479),CD479&lt;&gt;"Nein"),Z479,IF(CD479="2+3",IF(ISNUMBER(SEARCH("grosser Artikel",BV479)),2,IFERROR(VLOOKUP(BY479,Parameter!$F$35:$G$64,2,0),2)),IF(OR(CD479="Nein",CD479=""),"-",CD479)))))</f>
        <v>3</v>
      </c>
      <c r="AB479" s="67"/>
      <c r="AC479" s="68"/>
      <c r="AD479" s="62" t="n">
        <f aca="false">AW479</f>
        <v>1</v>
      </c>
      <c r="AE479" s="62" t="n">
        <f aca="false">MAX(AW479,H479)</f>
        <v>208</v>
      </c>
      <c r="AF479" s="69"/>
      <c r="AG479" s="62" t="n">
        <f aca="false">IF(LEFT(Cockpit!$C$5,1)="A",H479,IF(Parameter!$E$30="MAX-Bestand",IF(CI479=1,CJ479,IF(LEFT(Cockpit!$C$5,1)="B",AM479,MAX(AM479,H479))),ROUNDUP(AK479,0)))</f>
        <v>208</v>
      </c>
      <c r="AH479" s="62" t="n">
        <f aca="false">IF(CA479=1,0,ROUNDUP(AG479/BZ479,0))</f>
        <v>1</v>
      </c>
      <c r="AI479" s="64" t="n">
        <f aca="false">IF(CR479&gt;0,CR479*MAX(1,AG479/X479),IF(CA479=1,IF(AG479&lt;=0,0,CE479*MAX(1,IF(H479&gt;0,AG479/H479,1))),IF(R479&gt;0,AH479/R479,0))/MAX(0.1,N(Parameter!$M$21)))</f>
        <v>0.0833333333333333</v>
      </c>
      <c r="AJ479" s="62" t="n">
        <f aca="false">AI479*CC479</f>
        <v>12.0833333333333</v>
      </c>
      <c r="AK479" s="63" t="n">
        <f aca="false">IF(LEFT(Cockpit!$C$5,1)="A",H479,IF(CI479=1,(CL479+CJ479)/2,IF(LEFT(Cockpit!$C$5,1)="B",(CL479+AM479)/2,MAX((CL479+AM479)/2,H479))))</f>
        <v>208</v>
      </c>
      <c r="AL479" s="62" t="n">
        <f aca="false">AK479*G479</f>
        <v>1304.16</v>
      </c>
      <c r="AM479" s="62" t="n">
        <f aca="false">ROUNDUP(CL479+MAX(CM479,2*(J479/IF(CH479&gt;0,CH479,MAX(0.1,N(Cockpit!$C$6)))-CL479)),0)</f>
        <v>1</v>
      </c>
      <c r="AN479" s="63" t="n">
        <f aca="false">IF(AJ479&gt;0,J479/AJ479,-1)</f>
        <v>0</v>
      </c>
      <c r="AO479" s="63" t="n">
        <f aca="false">IF(AND(OR(CG479="L1",CG479="L23",CG479="LIFT"),AJ479&gt;0),SUMIFS($AJ$7:$AJ$1843,$CG$7:$CG$1843,CG479,$AN$7:$AN$1843,"&gt;"&amp;AN479)+SUMIFS($AJ$7:$AJ$1843,$CG$7:$CG$1843,CG479,$AN$7:$AN$1843,AN479,$BX$7:$BX$1843,"&lt;="&amp;BX479),"")</f>
        <v>28212.0088677801</v>
      </c>
      <c r="AP479" s="70" t="n">
        <f aca="false">IF(AO479="",0,MAX(0,MIN(1,(IF(CG479="L1",Parameter!$H$5,IF(CG479="L23",Parameter!$H$6+Parameter!$H$7,Parameter!$H$5+Parameter!$H$6+Parameter!$H$7))-(AO479-AJ479))/AJ479)))</f>
        <v>1</v>
      </c>
      <c r="AQ479" s="62" t="n">
        <f aca="false">IF(LEFT(Cockpit!$I$5,1)="A",H479,IF(Parameter!$E$30="MAX-Bestand",IF(CI479=1,CJ479,IF(LEFT(Cockpit!$I$5,1)="B",AW479,MAX(AW479,H479))),ROUNDUP(AU479,0)))</f>
        <v>208</v>
      </c>
      <c r="AR479" s="62" t="n">
        <f aca="false">IF(CA479=1,0,ROUNDUP(AQ479/BZ479,0))</f>
        <v>1</v>
      </c>
      <c r="AS479" s="64" t="n">
        <f aca="false">IF(CR479&gt;0,CR479*MAX(1,AQ479/X479),IF(CA479=1,IF(AQ479&lt;=0,0,CE479*MAX(1,IF(H479&gt;0,AQ479/H479,1))),IF(R479&gt;0,AR479/R479,0))/MAX(0.1,N(Parameter!$M$21)))</f>
        <v>0.0833333333333333</v>
      </c>
      <c r="AT479" s="62" t="n">
        <f aca="false">AS479*CC479</f>
        <v>12.0833333333333</v>
      </c>
      <c r="AU479" s="63" t="n">
        <f aca="false">IF(LEFT(Cockpit!$I$5,1)="A",H479,IF(CI479=1,(CL479+CJ479)/2,IF(LEFT(Cockpit!$I$5,1)="B",(CL479+AW479)/2,MAX((CL479+AW479)/2,H479))))</f>
        <v>208</v>
      </c>
      <c r="AV479" s="62" t="n">
        <f aca="false">AU479*G479</f>
        <v>1304.16</v>
      </c>
      <c r="AW479" s="62" t="n">
        <f aca="false">ROUNDUP(CL479+MAX(CM479,2*(J479/IF(CH479&gt;0,CH479,MAX(0.1,N(Cockpit!$I$6)))-CL479)),0)</f>
        <v>1</v>
      </c>
      <c r="AX479" s="63" t="n">
        <f aca="false">IF(AT479&gt;0,J479/AT479,-1)</f>
        <v>0</v>
      </c>
      <c r="AY479" s="63" t="n">
        <f aca="false">IF(AND(OR(CG479="L1",CG479="L23",CG479="LIFT"),AT479&gt;0),SUMIFS($AT$7:$AT$1843,$CG$7:$CG$1843,CG479,$AX$7:$AX$1843,"&gt;"&amp;AX479)+SUMIFS($AT$7:$AT$1843,$CG$7:$CG$1843,CG479,$AX$7:$AX$1843,AX479,$BX$7:$BX$1843,"&lt;="&amp;BX479),"")</f>
        <v>33565.1575091575</v>
      </c>
      <c r="AZ479" s="70" t="n">
        <f aca="false">IF(AY479="",0,MAX(0,MIN(1,(IF(CG479="L1",Parameter!$H$5,IF(CG479="L23",Parameter!$H$6+Parameter!$H$7,Parameter!$H$5+Parameter!$H$6+Parameter!$H$7))-(AY479-AT479))/AT479)))</f>
        <v>1</v>
      </c>
      <c r="BA479" s="62" t="n">
        <f aca="false">IF(LEFT(Cockpit!$O$5,1)="A",H479,IF(Parameter!$E$30="MAX-Bestand",IF(CI479=1,CJ479,IF(LEFT(Cockpit!$O$5,1)="B",BG479,MAX(BG479,H479))),ROUNDUP(BE479,0)))</f>
        <v>1</v>
      </c>
      <c r="BB479" s="62" t="n">
        <f aca="false">IF(CA479=1,0,ROUNDUP(BA479/BZ479,0))</f>
        <v>1</v>
      </c>
      <c r="BC479" s="64" t="n">
        <f aca="false">IF(CR479&gt;0,CR479*MAX(1,BA479/X479),IF(CA479=1,IF(BA479&lt;=0,0,CE479*MAX(1,IF(H479&gt;0,BA479/H479,1))),IF(R479&gt;0,BB479/R479,0))/MAX(0.1,N(Parameter!$M$21)))</f>
        <v>0.0833333333333333</v>
      </c>
      <c r="BD479" s="62" t="n">
        <f aca="false">BC479*CC479</f>
        <v>12.0833333333333</v>
      </c>
      <c r="BE479" s="63" t="n">
        <f aca="false">IF(LEFT(Cockpit!$O$5,1)="A",H479,IF(CI479=1,(CL479+CJ479)/2,IF(LEFT(Cockpit!$O$5,1)="B",(CL479+BG479)/2,MAX((CL479+BG479)/2,H479))))</f>
        <v>0.5</v>
      </c>
      <c r="BF479" s="62" t="n">
        <f aca="false">BE479*G479</f>
        <v>3.135</v>
      </c>
      <c r="BG479" s="62" t="n">
        <f aca="false">ROUNDUP(CL479+MAX(CM479,2*(J479/IF(CH479&gt;0,CH479,MAX(0.1,N(Cockpit!$O$6)))-CL479)),0)</f>
        <v>1</v>
      </c>
      <c r="BH479" s="63" t="n">
        <f aca="false">IF(BD479&gt;0,J479/BD479,-1)</f>
        <v>0</v>
      </c>
      <c r="BI479" s="63" t="n">
        <f aca="false">IF(AND(OR(CG479="L1",CG479="L23",CG479="LIFT"),BD479&gt;0),SUMIFS($BD$7:$BD$1843,$CG$7:$CG$1843,CG479,$BH$7:$BH$1843,"&gt;"&amp;BH479)+SUMIFS($BD$7:$BD$1843,$CG$7:$CG$1843,CG479,$BH$7:$BH$1843,BH479,$BX$7:$BX$1843,"&lt;="&amp;BX479),"")</f>
        <v>27672.3922828584</v>
      </c>
      <c r="BJ479" s="70" t="n">
        <f aca="false">IF(BI479="",0,MAX(0,MIN(1,(IF(CG479="L1",Parameter!$H$5,IF(CG479="L23",Parameter!$H$6+Parameter!$H$7,Parameter!$H$5+Parameter!$H$6+Parameter!$H$7))-(BI479-BD479))/BD479)))</f>
        <v>1</v>
      </c>
      <c r="BK479" s="60" t="str">
        <f aca="false">IF(AJ479&lt;=0,"",IF(CG479="Aussen","Aussenlager",IF(CG479="-","Nicht im Lift",IF(AP479&gt;=1,"Lift",IF(AP479&lt;=0,"Aussenlager","teilweise")))))</f>
        <v>Lift</v>
      </c>
      <c r="BL479" s="60" t="str">
        <f aca="false">IF(AT479&lt;=0,"",IF(CG479="Aussen","Aussenlager",IF(CG479="-","Nicht im Lift",IF(AZ479&gt;=1,"Lift",IF(AZ479&lt;=0,"Aussenlager","teilweise")))))</f>
        <v>Lift</v>
      </c>
      <c r="BM479" s="60" t="str">
        <f aca="false">IF(BD479&lt;=0,"",IF(CG479="Aussen","Aussenlager",IF(CG479="-","Nicht im Lift",IF(BJ479&gt;=1,"Lift",IF(BJ479&lt;=0,"Aussenlager","teilweise")))))</f>
        <v>Lift</v>
      </c>
      <c r="BN479" s="60" t="str">
        <f aca="false">IF(A479="","",IF(BW479=1,"Neu; ","")&amp;IF(AND(BW479=0,BR479&lt;0),"negativer Bestand (Export "&amp;BR479&amp;"); ","")&amp;IF(J479&lt;=0,"Kein Verbrauch; ","")&amp;IF(CR479&gt;0,"Lift "&amp;W479&amp;" lt. Liftbericht (Fach "&amp;X479&amp;" Stk); ",IF(CB479=1,"Gebinde geschätzt ("&amp;T479&amp;"); ",IF(CA479=1,"Lose – Tablare geschätzt; ","")))&amp;IF(H479&gt;AW479,"Überbestand "&amp;ROUND(H479-AW479,0)&amp;" Stk / CHF "&amp;ROUND((H479-AW479)*G479,0)&amp;"; ","")&amp;IF(AND(CI479=1,CJ479&lt;CK479),"MAX &lt; MB+LG; ","")&amp;IF(AND(CQ479&gt;0,CP479*10&gt;CQ479),"zu hoch für Tablar; ","")&amp;IF(AND(BW479=0,OR(CI479=1,AB479&lt;&gt;"",U479&lt;&gt;"",V479&lt;&gt;"",AC479&lt;&gt;"")),"manuell übersteuert; ","")&amp;IF(AND(CA479=0,R479=0),"Gebinde unbekannt / Stellmass fehlt; ","")&amp;IF(AND(CA479=0,N(V479)&lt;=0,N(Q479)&lt;=0),"Menge pro Gebinde fehlt (Ist = 1 Gebinde); ","")&amp;BV479)</f>
        <v>Kein Verbrauch; Überbestand 207 Stk / CHF 1298; </v>
      </c>
      <c r="BO479" s="60"/>
      <c r="BP479" s="60"/>
      <c r="BQ479" s="67"/>
      <c r="BR479" s="62" t="n">
        <v>8</v>
      </c>
      <c r="BS479" s="62" t="n">
        <v>200</v>
      </c>
      <c r="BT479" s="61" t="n">
        <v>50.16</v>
      </c>
      <c r="BU479" s="62" t="n">
        <v>0</v>
      </c>
      <c r="BV479" s="60"/>
      <c r="BW479" s="65" t="n">
        <v>0</v>
      </c>
      <c r="BX479" s="65" t="n">
        <v>479</v>
      </c>
      <c r="BY479" s="60" t="str">
        <f aca="false">IF(U479&lt;&gt;"",UPPER(TRIM(U479)),IF(CB479=1,UPPER(VLOOKUP(T479,Parameter!$I$27:$K$29,2,0)),IF(P479="","LOSE",P479)))</f>
        <v>S61</v>
      </c>
      <c r="BZ479" s="62" t="n">
        <f aca="false">IF(BY479="LOSE",1,IF(N(V479)&gt;0,V479,IF(CB479=1,MAX(1,N(VLOOKUP(T479,Parameter!$I$27:$K$29,3,0)),H479,N(N479)),IF(N(Q479)&gt;0,Q479,MAX(1,H479)))))</f>
        <v>210</v>
      </c>
      <c r="CA479" s="65" t="n">
        <f aca="false">IF(BY479="LOSE",1,0)</f>
        <v>0</v>
      </c>
      <c r="CB479" s="65" t="n">
        <f aca="false">IF(AND(U479="",OR(P479="",P479="LOSE"),T479&lt;&gt;"",N(S479)&lt;=0,ISNUMBER(MATCH(T479,Parameter!$I$27:$I$29,0))),1,0)</f>
        <v>0</v>
      </c>
      <c r="CC479" s="65" t="n">
        <f aca="false">IF(CR479&gt;0,INDEX(Parameter!$H$5:$H$7,W479)/INDEX(Parameter!$E$5:$E$7,W479),IF(AND(CA479=0,N(IFERROR(VLOOKUP(BY479,'Gebinde-Kategorie'!$A$5:$N$45,14,0),0))&gt;0),VLOOKUP(BY479,'Gebinde-Kategorie'!$A$5:$N$45,14,0)*10+Parameter!$M$23,Parameter!$M$24))</f>
        <v>145</v>
      </c>
      <c r="CD479" s="60" t="str">
        <f aca="false">IF(AND(Parameter!$B$19="Ja",E479&lt;&gt;"",ISNUMBER(MATCH(E479,Parameter!$I$35:$I$52,0))),VLOOKUP(E479,Parameter!$I$35:$J$52,2,0),IFERROR(VLOOKUP(D479,Parameter!$A$35:$C$64,2,0),"Nein"))</f>
        <v>2+3</v>
      </c>
      <c r="CE479" s="64" t="n">
        <f aca="false">IF(CA479=0,0,IF(N(S479)&gt;0,S479,IFERROR(VLOOKUP(D479,Parameter!$A$35:$C$64,3,0)+0,0)))</f>
        <v>0</v>
      </c>
      <c r="CF479" s="60" t="n">
        <f aca="false">IF(AB479&lt;&gt;"",AB479,AA479)</f>
        <v>3</v>
      </c>
      <c r="CG479" s="60" t="str">
        <f aca="false">IF(OR(CF479=1,CF479=2,CF479=3),IF(Parameter!$E$27="Ja","LIFT",IF(CF479=1,"L1","L23")),IF(CF479="Aussen","Aussen","-"))</f>
        <v>LIFT</v>
      </c>
      <c r="CH479" s="71" t="n">
        <f aca="false">IF(N(AC479)&gt;0,AC479,0)</f>
        <v>0</v>
      </c>
      <c r="CI479" s="65" t="n">
        <f aca="false">IF(ISNUMBER(AF479),1,0)</f>
        <v>0</v>
      </c>
      <c r="CJ479" s="62" t="n">
        <f aca="false">N(AF479)</f>
        <v>0</v>
      </c>
      <c r="CK479" s="62" t="n">
        <f aca="false">N(M479)+N(N479)</f>
        <v>1</v>
      </c>
      <c r="CL479" s="62" t="n">
        <f aca="false">N(M479)</f>
        <v>0</v>
      </c>
      <c r="CM479" s="62" t="n">
        <f aca="false">N(N479)</f>
        <v>1</v>
      </c>
      <c r="CN479" s="62" t="n">
        <f aca="false">ROUNDUP(H479/BZ479,0)</f>
        <v>1</v>
      </c>
      <c r="CO479" s="62" t="n">
        <f aca="false">ROUNDUP(CJ479/BZ479,0)</f>
        <v>0</v>
      </c>
      <c r="CP479" s="65" t="n">
        <f aca="false">IF(CA479=1,0,IFERROR(VLOOKUP(BY479,'Gebinde-Kategorie'!$A$5:$N$45,5,0)+0,0))</f>
        <v>11</v>
      </c>
      <c r="CQ479" s="65" t="n">
        <f aca="false">IFERROR(IF(OR(CF479=1,CF479=2,CF479=3),N(INDEX(Parameter!$I$5:$I$7,CF479)),0),0)</f>
        <v>0</v>
      </c>
      <c r="CR479" s="64" t="n">
        <f aca="false">IF(AND(Parameter!$B$21="Ja",ISNUMBER(W479),N(X479)&gt;0),IFERROR(N(INDEX(Parameter!$L$5:$L$7,W479))*INDEX(Parameter!$E$5:$E$7,W479)*X479/SUMIFS($X$7:$X$1843,$W$7:$W$1843,W479),0),0)</f>
        <v>0</v>
      </c>
      <c r="CS479" s="62" t="n">
        <f aca="false">IF(AND(OR(CG479="L1",CG479="L23",CG479="LIFT"),H479&gt;0),CC479*IF(CR479&gt;0,CR479*MAX(1,H479/X479),IF(CA479=1,CE479,IF(R479&gt;0,CN479/R479,0))/MAX(0.1,N(Parameter!$M$21))),"")</f>
        <v>12.0833333333333</v>
      </c>
      <c r="CT479" s="64" t="n">
        <f aca="false">IF(CS479="","",J479/H479)</f>
        <v>0</v>
      </c>
      <c r="CU479" s="62" t="n">
        <f aca="false">IF(CS479="","",H479*G479)</f>
        <v>1304.16</v>
      </c>
      <c r="CV479" s="63" t="n">
        <f aca="false">IF(CS479="","",(CL479+ROUNDUP(CL479+MAX(CM479,2*(J479/MAX(0.1,N(Einkauf!$C$6))-CL479)),0))/2)</f>
        <v>0.5</v>
      </c>
      <c r="CW479" s="62" t="n">
        <f aca="false">IF(CS479="","",MAX(0,H479-CV479)*G479)</f>
        <v>1301.025</v>
      </c>
      <c r="CX479" s="62" t="n">
        <f aca="false">IF(CS479="","",CS479*MAX(0,1-CV479/H479))</f>
        <v>12.0542868589744</v>
      </c>
      <c r="CY479" s="64" t="n">
        <f aca="false">IF(CS479="","",PERCENTRANK($CS$7:$CS$1843,CS479)+PERCENTRANK($CU$7:$CU$1843,CU479)+1-PERCENTRANK($CT$7:$CT$1843,CT479))</f>
        <v>2.352</v>
      </c>
      <c r="CZ479" s="72" t="n">
        <f aca="false">IF(CS479="","",CHOOSE(MATCH(Einkauf!$C$5,Parameter!$G$23:$G$27,0),CY479,CS479,CU479,-CT479,CW479)+ROW()/1000000000)</f>
        <v>2.352000479</v>
      </c>
    </row>
    <row r="480" customFormat="false" ht="15" hidden="false" customHeight="false" outlineLevel="0" collapsed="false">
      <c r="A480" s="60" t="s">
        <v>1109</v>
      </c>
      <c r="B480" s="60" t="s">
        <v>1110</v>
      </c>
      <c r="C480" s="60" t="s">
        <v>206</v>
      </c>
      <c r="D480" s="60" t="s">
        <v>226</v>
      </c>
      <c r="E480" s="60"/>
      <c r="F480" s="60" t="s">
        <v>260</v>
      </c>
      <c r="G480" s="61" t="n">
        <v>2</v>
      </c>
      <c r="H480" s="62" t="n">
        <f aca="false">MAX(0,IF(AND(Parameter!$B$21="Ja",ISNUMBER(Y480)),Y480,IF(Parameter!$B$20="Jahresanfang 2025 + Export",BS480+BR480,BR480)))</f>
        <v>25</v>
      </c>
      <c r="I480" s="62" t="n">
        <f aca="false">H480*G480</f>
        <v>50</v>
      </c>
      <c r="J480" s="62" t="n">
        <f aca="false">BU480*Parameter!$B$18</f>
        <v>0</v>
      </c>
      <c r="K480" s="63" t="n">
        <v>0</v>
      </c>
      <c r="L480" s="64" t="n">
        <v>0</v>
      </c>
      <c r="M480" s="62" t="n">
        <v>0</v>
      </c>
      <c r="N480" s="62" t="n">
        <v>5</v>
      </c>
      <c r="O480" s="65" t="n">
        <v>9999</v>
      </c>
      <c r="P480" s="60" t="s">
        <v>210</v>
      </c>
      <c r="Q480" s="62"/>
      <c r="R480" s="65" t="n">
        <f aca="false">IF(CA480=1,0,IFERROR(VLOOKUP(BY480,'Gebinde-Kategorie'!$A$5:$N$45,13,0)+0,0))</f>
        <v>26</v>
      </c>
      <c r="S480" s="66"/>
      <c r="T480" s="67" t="s">
        <v>317</v>
      </c>
      <c r="U480" s="67"/>
      <c r="V480" s="67"/>
      <c r="W480" s="60"/>
      <c r="X480" s="62"/>
      <c r="Y480" s="62"/>
      <c r="Z480" s="60" t="n">
        <v>3</v>
      </c>
      <c r="AA480" s="60" t="n">
        <f aca="false">IF(A480="","",IF(AND(Parameter!$B$21="Ja",ISNUMBER(W480)),W480,IF(AND(Parameter!$E$27="Ja",ISNUMBER(Z480),CD480&lt;&gt;"Nein"),Z480,IF(CD480="2+3",IF(ISNUMBER(SEARCH("grosser Artikel",BV480)),2,IFERROR(VLOOKUP(BY480,Parameter!$F$35:$G$64,2,0),2)),IF(OR(CD480="Nein",CD480=""),"-",CD480)))))</f>
        <v>3</v>
      </c>
      <c r="AB480" s="67"/>
      <c r="AC480" s="68"/>
      <c r="AD480" s="62" t="n">
        <f aca="false">AW480</f>
        <v>5</v>
      </c>
      <c r="AE480" s="62" t="n">
        <f aca="false">MAX(AW480,H480)</f>
        <v>25</v>
      </c>
      <c r="AF480" s="69"/>
      <c r="AG480" s="62" t="n">
        <f aca="false">IF(LEFT(Cockpit!$C$5,1)="A",H480,IF(Parameter!$E$30="MAX-Bestand",IF(CI480=1,CJ480,IF(LEFT(Cockpit!$C$5,1)="B",AM480,MAX(AM480,H480))),ROUNDUP(AK480,0)))</f>
        <v>25</v>
      </c>
      <c r="AH480" s="62" t="n">
        <f aca="false">IF(CA480=1,0,ROUNDUP(AG480/BZ480,0))</f>
        <v>1</v>
      </c>
      <c r="AI480" s="64" t="n">
        <f aca="false">IF(CR480&gt;0,CR480*MAX(1,AG480/X480),IF(CA480=1,IF(AG480&lt;=0,0,CE480*MAX(1,IF(H480&gt;0,AG480/H480,1))),IF(R480&gt;0,AH480/R480,0))/MAX(0.1,N(Parameter!$M$21)))</f>
        <v>0.0384615384615385</v>
      </c>
      <c r="AJ480" s="62" t="n">
        <f aca="false">AI480*CC480</f>
        <v>5.96153846153846</v>
      </c>
      <c r="AK480" s="63" t="n">
        <f aca="false">IF(LEFT(Cockpit!$C$5,1)="A",H480,IF(CI480=1,(CL480+CJ480)/2,IF(LEFT(Cockpit!$C$5,1)="B",(CL480+AM480)/2,MAX((CL480+AM480)/2,H480))))</f>
        <v>25</v>
      </c>
      <c r="AL480" s="62" t="n">
        <f aca="false">AK480*G480</f>
        <v>50</v>
      </c>
      <c r="AM480" s="62" t="n">
        <f aca="false">ROUNDUP(CL480+MAX(CM480,2*(J480/IF(CH480&gt;0,CH480,MAX(0.1,N(Cockpit!$C$6)))-CL480)),0)</f>
        <v>5</v>
      </c>
      <c r="AN480" s="63" t="n">
        <f aca="false">IF(AJ480&gt;0,J480/AJ480,-1)</f>
        <v>0</v>
      </c>
      <c r="AO480" s="63" t="n">
        <f aca="false">IF(AND(OR(CG480="L1",CG480="L23",CG480="LIFT"),AJ480&gt;0),SUMIFS($AJ$7:$AJ$1843,$CG$7:$CG$1843,CG480,$AN$7:$AN$1843,"&gt;"&amp;AN480)+SUMIFS($AJ$7:$AJ$1843,$CG$7:$CG$1843,CG480,$AN$7:$AN$1843,AN480,$BX$7:$BX$1843,"&lt;="&amp;BX480),"")</f>
        <v>28217.9704062416</v>
      </c>
      <c r="AP480" s="70" t="n">
        <f aca="false">IF(AO480="",0,MAX(0,MIN(1,(IF(CG480="L1",Parameter!$H$5,IF(CG480="L23",Parameter!$H$6+Parameter!$H$7,Parameter!$H$5+Parameter!$H$6+Parameter!$H$7))-(AO480-AJ480))/AJ480)))</f>
        <v>1</v>
      </c>
      <c r="AQ480" s="62" t="n">
        <f aca="false">IF(LEFT(Cockpit!$I$5,1)="A",H480,IF(Parameter!$E$30="MAX-Bestand",IF(CI480=1,CJ480,IF(LEFT(Cockpit!$I$5,1)="B",AW480,MAX(AW480,H480))),ROUNDUP(AU480,0)))</f>
        <v>25</v>
      </c>
      <c r="AR480" s="62" t="n">
        <f aca="false">IF(CA480=1,0,ROUNDUP(AQ480/BZ480,0))</f>
        <v>1</v>
      </c>
      <c r="AS480" s="64" t="n">
        <f aca="false">IF(CR480&gt;0,CR480*MAX(1,AQ480/X480),IF(CA480=1,IF(AQ480&lt;=0,0,CE480*MAX(1,IF(H480&gt;0,AQ480/H480,1))),IF(R480&gt;0,AR480/R480,0))/MAX(0.1,N(Parameter!$M$21)))</f>
        <v>0.0384615384615385</v>
      </c>
      <c r="AT480" s="62" t="n">
        <f aca="false">AS480*CC480</f>
        <v>5.96153846153846</v>
      </c>
      <c r="AU480" s="63" t="n">
        <f aca="false">IF(LEFT(Cockpit!$I$5,1)="A",H480,IF(CI480=1,(CL480+CJ480)/2,IF(LEFT(Cockpit!$I$5,1)="B",(CL480+AW480)/2,MAX((CL480+AW480)/2,H480))))</f>
        <v>25</v>
      </c>
      <c r="AV480" s="62" t="n">
        <f aca="false">AU480*G480</f>
        <v>50</v>
      </c>
      <c r="AW480" s="62" t="n">
        <f aca="false">ROUNDUP(CL480+MAX(CM480,2*(J480/IF(CH480&gt;0,CH480,MAX(0.1,N(Cockpit!$I$6)))-CL480)),0)</f>
        <v>5</v>
      </c>
      <c r="AX480" s="63" t="n">
        <f aca="false">IF(AT480&gt;0,J480/AT480,-1)</f>
        <v>0</v>
      </c>
      <c r="AY480" s="63" t="n">
        <f aca="false">IF(AND(OR(CG480="L1",CG480="L23",CG480="LIFT"),AT480&gt;0),SUMIFS($AT$7:$AT$1843,$CG$7:$CG$1843,CG480,$AX$7:$AX$1843,"&gt;"&amp;AX480)+SUMIFS($AT$7:$AT$1843,$CG$7:$CG$1843,CG480,$AX$7:$AX$1843,AX480,$BX$7:$BX$1843,"&lt;="&amp;BX480),"")</f>
        <v>33571.119047619</v>
      </c>
      <c r="AZ480" s="70" t="n">
        <f aca="false">IF(AY480="",0,MAX(0,MIN(1,(IF(CG480="L1",Parameter!$H$5,IF(CG480="L23",Parameter!$H$6+Parameter!$H$7,Parameter!$H$5+Parameter!$H$6+Parameter!$H$7))-(AY480-AT480))/AT480)))</f>
        <v>1</v>
      </c>
      <c r="BA480" s="62" t="n">
        <f aca="false">IF(LEFT(Cockpit!$O$5,1)="A",H480,IF(Parameter!$E$30="MAX-Bestand",IF(CI480=1,CJ480,IF(LEFT(Cockpit!$O$5,1)="B",BG480,MAX(BG480,H480))),ROUNDUP(BE480,0)))</f>
        <v>3</v>
      </c>
      <c r="BB480" s="62" t="n">
        <f aca="false">IF(CA480=1,0,ROUNDUP(BA480/BZ480,0))</f>
        <v>1</v>
      </c>
      <c r="BC480" s="64" t="n">
        <f aca="false">IF(CR480&gt;0,CR480*MAX(1,BA480/X480),IF(CA480=1,IF(BA480&lt;=0,0,CE480*MAX(1,IF(H480&gt;0,BA480/H480,1))),IF(R480&gt;0,BB480/R480,0))/MAX(0.1,N(Parameter!$M$21)))</f>
        <v>0.0384615384615385</v>
      </c>
      <c r="BD480" s="62" t="n">
        <f aca="false">BC480*CC480</f>
        <v>5.96153846153846</v>
      </c>
      <c r="BE480" s="63" t="n">
        <f aca="false">IF(LEFT(Cockpit!$O$5,1)="A",H480,IF(CI480=1,(CL480+CJ480)/2,IF(LEFT(Cockpit!$O$5,1)="B",(CL480+BG480)/2,MAX((CL480+BG480)/2,H480))))</f>
        <v>2.5</v>
      </c>
      <c r="BF480" s="62" t="n">
        <f aca="false">BE480*G480</f>
        <v>5</v>
      </c>
      <c r="BG480" s="62" t="n">
        <f aca="false">ROUNDUP(CL480+MAX(CM480,2*(J480/IF(CH480&gt;0,CH480,MAX(0.1,N(Cockpit!$O$6)))-CL480)),0)</f>
        <v>5</v>
      </c>
      <c r="BH480" s="63" t="n">
        <f aca="false">IF(BD480&gt;0,J480/BD480,-1)</f>
        <v>0</v>
      </c>
      <c r="BI480" s="63" t="n">
        <f aca="false">IF(AND(OR(CG480="L1",CG480="L23",CG480="LIFT"),BD480&gt;0),SUMIFS($BD$7:$BD$1843,$CG$7:$CG$1843,CG480,$BH$7:$BH$1843,"&gt;"&amp;BH480)+SUMIFS($BD$7:$BD$1843,$CG$7:$CG$1843,CG480,$BH$7:$BH$1843,BH480,$BX$7:$BX$1843,"&lt;="&amp;BX480),"")</f>
        <v>27678.3538213199</v>
      </c>
      <c r="BJ480" s="70" t="n">
        <f aca="false">IF(BI480="",0,MAX(0,MIN(1,(IF(CG480="L1",Parameter!$H$5,IF(CG480="L23",Parameter!$H$6+Parameter!$H$7,Parameter!$H$5+Parameter!$H$6+Parameter!$H$7))-(BI480-BD480))/BD480)))</f>
        <v>1</v>
      </c>
      <c r="BK480" s="60" t="str">
        <f aca="false">IF(AJ480&lt;=0,"",IF(CG480="Aussen","Aussenlager",IF(CG480="-","Nicht im Lift",IF(AP480&gt;=1,"Lift",IF(AP480&lt;=0,"Aussenlager","teilweise")))))</f>
        <v>Lift</v>
      </c>
      <c r="BL480" s="60" t="str">
        <f aca="false">IF(AT480&lt;=0,"",IF(CG480="Aussen","Aussenlager",IF(CG480="-","Nicht im Lift",IF(AZ480&gt;=1,"Lift",IF(AZ480&lt;=0,"Aussenlager","teilweise")))))</f>
        <v>Lift</v>
      </c>
      <c r="BM480" s="60" t="str">
        <f aca="false">IF(BD480&lt;=0,"",IF(CG480="Aussen","Aussenlager",IF(CG480="-","Nicht im Lift",IF(BJ480&gt;=1,"Lift",IF(BJ480&lt;=0,"Aussenlager","teilweise")))))</f>
        <v>Lift</v>
      </c>
      <c r="BN480" s="60" t="str">
        <f aca="false">IF(A480="","",IF(BW480=1,"Neu; ","")&amp;IF(AND(BW480=0,BR480&lt;0),"negativer Bestand (Export "&amp;BR480&amp;"); ","")&amp;IF(J480&lt;=0,"Kein Verbrauch; ","")&amp;IF(CR480&gt;0,"Lift "&amp;W480&amp;" lt. Liftbericht (Fach "&amp;X480&amp;" Stk); ",IF(CB480=1,"Gebinde geschätzt ("&amp;T480&amp;"); ",IF(CA480=1,"Lose – Tablare geschätzt; ","")))&amp;IF(H480&gt;AW480,"Überbestand "&amp;ROUND(H480-AW480,0)&amp;" Stk / CHF "&amp;ROUND((H480-AW480)*G480,0)&amp;"; ","")&amp;IF(AND(CI480=1,CJ480&lt;CK480),"MAX &lt; MB+LG; ","")&amp;IF(AND(CQ480&gt;0,CP480*10&gt;CQ480),"zu hoch für Tablar; ","")&amp;IF(AND(BW480=0,OR(CI480=1,AB480&lt;&gt;"",U480&lt;&gt;"",V480&lt;&gt;"",AC480&lt;&gt;"")),"manuell übersteuert; ","")&amp;IF(AND(CA480=0,R480=0),"Gebinde unbekannt / Stellmass fehlt; ","")&amp;IF(AND(CA480=0,N(V480)&lt;=0,N(Q480)&lt;=0),"Menge pro Gebinde fehlt (Ist = 1 Gebinde); ","")&amp;BV480)</f>
        <v>Kein Verbrauch; Gebinde geschätzt (Klein); Überbestand 20 Stk / CHF 40; Menge pro Gebinde fehlt (Ist = 1 Gebinde); </v>
      </c>
      <c r="BO480" s="60"/>
      <c r="BP480" s="60"/>
      <c r="BQ480" s="67"/>
      <c r="BR480" s="62" t="n">
        <v>25</v>
      </c>
      <c r="BS480" s="62" t="n">
        <v>0</v>
      </c>
      <c r="BT480" s="61" t="n">
        <v>50</v>
      </c>
      <c r="BU480" s="62" t="n">
        <v>0</v>
      </c>
      <c r="BV480" s="60"/>
      <c r="BW480" s="65" t="n">
        <v>0</v>
      </c>
      <c r="BX480" s="65" t="n">
        <v>480</v>
      </c>
      <c r="BY480" s="60" t="str">
        <f aca="false">IF(U480&lt;&gt;"",UPPER(TRIM(U480)),IF(CB480=1,UPPER(VLOOKUP(T480,Parameter!$I$27:$K$29,2,0)),IF(P480="","LOSE",P480)))</f>
        <v>S51</v>
      </c>
      <c r="BZ480" s="62" t="n">
        <f aca="false">IF(BY480="LOSE",1,IF(N(V480)&gt;0,V480,IF(CB480=1,MAX(1,N(VLOOKUP(T480,Parameter!$I$27:$K$29,3,0)),H480,N(N480)),IF(N(Q480)&gt;0,Q480,MAX(1,H480)))))</f>
        <v>25</v>
      </c>
      <c r="CA480" s="65" t="n">
        <f aca="false">IF(BY480="LOSE",1,0)</f>
        <v>0</v>
      </c>
      <c r="CB480" s="65" t="n">
        <f aca="false">IF(AND(U480="",OR(P480="",P480="LOSE"),T480&lt;&gt;"",N(S480)&lt;=0,ISNUMBER(MATCH(T480,Parameter!$I$27:$I$29,0))),1,0)</f>
        <v>1</v>
      </c>
      <c r="CC480" s="65" t="n">
        <f aca="false">IF(CR480&gt;0,INDEX(Parameter!$H$5:$H$7,W480)/INDEX(Parameter!$E$5:$E$7,W480),IF(AND(CA480=0,N(IFERROR(VLOOKUP(BY480,'Gebinde-Kategorie'!$A$5:$N$45,14,0),0))&gt;0),VLOOKUP(BY480,'Gebinde-Kategorie'!$A$5:$N$45,14,0)*10+Parameter!$M$23,Parameter!$M$24))</f>
        <v>155</v>
      </c>
      <c r="CD480" s="60" t="str">
        <f aca="false">IF(AND(Parameter!$B$19="Ja",E480&lt;&gt;"",ISNUMBER(MATCH(E480,Parameter!$I$35:$I$52,0))),VLOOKUP(E480,Parameter!$I$35:$J$52,2,0),IFERROR(VLOOKUP(D480,Parameter!$A$35:$C$64,2,0),"Nein"))</f>
        <v>2+3</v>
      </c>
      <c r="CE480" s="64" t="n">
        <f aca="false">IF(CA480=0,0,IF(N(S480)&gt;0,S480,IFERROR(VLOOKUP(D480,Parameter!$A$35:$C$64,3,0)+0,0)))</f>
        <v>0</v>
      </c>
      <c r="CF480" s="60" t="n">
        <f aca="false">IF(AB480&lt;&gt;"",AB480,AA480)</f>
        <v>3</v>
      </c>
      <c r="CG480" s="60" t="str">
        <f aca="false">IF(OR(CF480=1,CF480=2,CF480=3),IF(Parameter!$E$27="Ja","LIFT",IF(CF480=1,"L1","L23")),IF(CF480="Aussen","Aussen","-"))</f>
        <v>LIFT</v>
      </c>
      <c r="CH480" s="71" t="n">
        <f aca="false">IF(N(AC480)&gt;0,AC480,0)</f>
        <v>0</v>
      </c>
      <c r="CI480" s="65" t="n">
        <f aca="false">IF(ISNUMBER(AF480),1,0)</f>
        <v>0</v>
      </c>
      <c r="CJ480" s="62" t="n">
        <f aca="false">N(AF480)</f>
        <v>0</v>
      </c>
      <c r="CK480" s="62" t="n">
        <f aca="false">N(M480)+N(N480)</f>
        <v>5</v>
      </c>
      <c r="CL480" s="62" t="n">
        <f aca="false">N(M480)</f>
        <v>0</v>
      </c>
      <c r="CM480" s="62" t="n">
        <f aca="false">N(N480)</f>
        <v>5</v>
      </c>
      <c r="CN480" s="62" t="n">
        <f aca="false">ROUNDUP(H480/BZ480,0)</f>
        <v>1</v>
      </c>
      <c r="CO480" s="62" t="n">
        <f aca="false">ROUNDUP(CJ480/BZ480,0)</f>
        <v>0</v>
      </c>
      <c r="CP480" s="65" t="n">
        <f aca="false">IF(CA480=1,0,IFERROR(VLOOKUP(BY480,'Gebinde-Kategorie'!$A$5:$N$45,5,0)+0,0))</f>
        <v>11</v>
      </c>
      <c r="CQ480" s="65" t="n">
        <f aca="false">IFERROR(IF(OR(CF480=1,CF480=2,CF480=3),N(INDEX(Parameter!$I$5:$I$7,CF480)),0),0)</f>
        <v>0</v>
      </c>
      <c r="CR480" s="64" t="n">
        <f aca="false">IF(AND(Parameter!$B$21="Ja",ISNUMBER(W480),N(X480)&gt;0),IFERROR(N(INDEX(Parameter!$L$5:$L$7,W480))*INDEX(Parameter!$E$5:$E$7,W480)*X480/SUMIFS($X$7:$X$1843,$W$7:$W$1843,W480),0),0)</f>
        <v>0</v>
      </c>
      <c r="CS480" s="62" t="n">
        <f aca="false">IF(AND(OR(CG480="L1",CG480="L23",CG480="LIFT"),H480&gt;0),CC480*IF(CR480&gt;0,CR480*MAX(1,H480/X480),IF(CA480=1,CE480,IF(R480&gt;0,CN480/R480,0))/MAX(0.1,N(Parameter!$M$21))),"")</f>
        <v>5.96153846153846</v>
      </c>
      <c r="CT480" s="64" t="n">
        <f aca="false">IF(CS480="","",J480/H480)</f>
        <v>0</v>
      </c>
      <c r="CU480" s="62" t="n">
        <f aca="false">IF(CS480="","",H480*G480)</f>
        <v>50</v>
      </c>
      <c r="CV480" s="63" t="n">
        <f aca="false">IF(CS480="","",(CL480+ROUNDUP(CL480+MAX(CM480,2*(J480/MAX(0.1,N(Einkauf!$C$6))-CL480)),0))/2)</f>
        <v>2.5</v>
      </c>
      <c r="CW480" s="62" t="n">
        <f aca="false">IF(CS480="","",MAX(0,H480-CV480)*G480)</f>
        <v>45</v>
      </c>
      <c r="CX480" s="62" t="n">
        <f aca="false">IF(CS480="","",CS480*MAX(0,1-CV480/H480))</f>
        <v>5.36538461538462</v>
      </c>
      <c r="CY480" s="64" t="n">
        <f aca="false">IF(CS480="","",PERCENTRANK($CS$7:$CS$1843,CS480)+PERCENTRANK($CU$7:$CU$1843,CU480)+1-PERCENTRANK($CT$7:$CT$1843,CT480))</f>
        <v>1.509</v>
      </c>
      <c r="CZ480" s="72" t="n">
        <f aca="false">IF(CS480="","",CHOOSE(MATCH(Einkauf!$C$5,Parameter!$G$23:$G$27,0),CY480,CS480,CU480,-CT480,CW480)+ROW()/1000000000)</f>
        <v>1.50900048</v>
      </c>
    </row>
    <row r="481" customFormat="false" ht="15" hidden="false" customHeight="false" outlineLevel="0" collapsed="false">
      <c r="A481" s="60" t="s">
        <v>1111</v>
      </c>
      <c r="B481" s="60" t="s">
        <v>1112</v>
      </c>
      <c r="C481" s="60" t="s">
        <v>206</v>
      </c>
      <c r="D481" s="60" t="s">
        <v>226</v>
      </c>
      <c r="E481" s="60" t="s">
        <v>227</v>
      </c>
      <c r="F481" s="60" t="s">
        <v>260</v>
      </c>
      <c r="G481" s="61" t="n">
        <v>45.76</v>
      </c>
      <c r="H481" s="62" t="n">
        <f aca="false">MAX(0,IF(AND(Parameter!$B$21="Ja",ISNUMBER(Y481)),Y481,IF(Parameter!$B$20="Jahresanfang 2025 + Export",BS481+BR481,BR481)))</f>
        <v>16</v>
      </c>
      <c r="I481" s="62" t="n">
        <f aca="false">H481*G481</f>
        <v>732.16</v>
      </c>
      <c r="J481" s="62" t="n">
        <f aca="false">BU481*Parameter!$B$18</f>
        <v>20</v>
      </c>
      <c r="K481" s="63" t="n">
        <v>12.5</v>
      </c>
      <c r="L481" s="64" t="n">
        <v>1.6</v>
      </c>
      <c r="M481" s="62" t="n">
        <v>1</v>
      </c>
      <c r="N481" s="62" t="n">
        <v>20</v>
      </c>
      <c r="O481" s="65" t="n">
        <v>18</v>
      </c>
      <c r="P481" s="60" t="s">
        <v>518</v>
      </c>
      <c r="Q481" s="62" t="n">
        <v>15</v>
      </c>
      <c r="R481" s="65" t="n">
        <f aca="false">IF(CA481=1,0,IFERROR(VLOOKUP(BY481,'Gebinde-Kategorie'!$A$5:$N$45,13,0)+0,0))</f>
        <v>52</v>
      </c>
      <c r="S481" s="66"/>
      <c r="T481" s="67"/>
      <c r="U481" s="67"/>
      <c r="V481" s="67"/>
      <c r="W481" s="60"/>
      <c r="X481" s="62"/>
      <c r="Y481" s="62"/>
      <c r="Z481" s="60" t="n">
        <v>3</v>
      </c>
      <c r="AA481" s="60" t="n">
        <f aca="false">IF(A481="","",IF(AND(Parameter!$B$21="Ja",ISNUMBER(W481)),W481,IF(AND(Parameter!$E$27="Ja",ISNUMBER(Z481),CD481&lt;&gt;"Nein"),Z481,IF(CD481="2+3",IF(ISNUMBER(SEARCH("grosser Artikel",BV481)),2,IFERROR(VLOOKUP(BY481,Parameter!$F$35:$G$64,2,0),2)),IF(OR(CD481="Nein",CD481=""),"-",CD481)))))</f>
        <v>3</v>
      </c>
      <c r="AB481" s="67"/>
      <c r="AC481" s="68"/>
      <c r="AD481" s="62" t="n">
        <f aca="false">AW481</f>
        <v>21</v>
      </c>
      <c r="AE481" s="62" t="n">
        <f aca="false">MAX(AW481,H481)</f>
        <v>21</v>
      </c>
      <c r="AF481" s="69"/>
      <c r="AG481" s="62" t="n">
        <f aca="false">IF(LEFT(Cockpit!$C$5,1)="A",H481,IF(Parameter!$E$30="MAX-Bestand",IF(CI481=1,CJ481,IF(LEFT(Cockpit!$C$5,1)="B",AM481,MAX(AM481,H481))),ROUNDUP(AK481,0)))</f>
        <v>16</v>
      </c>
      <c r="AH481" s="62" t="n">
        <f aca="false">IF(CA481=1,0,ROUNDUP(AG481/BZ481,0))</f>
        <v>2</v>
      </c>
      <c r="AI481" s="64" t="n">
        <f aca="false">IF(CR481&gt;0,CR481*MAX(1,AG481/X481),IF(CA481=1,IF(AG481&lt;=0,0,CE481*MAX(1,IF(H481&gt;0,AG481/H481,1))),IF(R481&gt;0,AH481/R481,0))/MAX(0.1,N(Parameter!$M$21)))</f>
        <v>0.0384615384615385</v>
      </c>
      <c r="AJ481" s="62" t="n">
        <f aca="false">AI481*CC481</f>
        <v>5.96153846153846</v>
      </c>
      <c r="AK481" s="63" t="n">
        <f aca="false">IF(LEFT(Cockpit!$C$5,1)="A",H481,IF(CI481=1,(CL481+CJ481)/2,IF(LEFT(Cockpit!$C$5,1)="B",(CL481+AM481)/2,MAX((CL481+AM481)/2,H481))))</f>
        <v>16</v>
      </c>
      <c r="AL481" s="62" t="n">
        <f aca="false">AK481*G481</f>
        <v>732.16</v>
      </c>
      <c r="AM481" s="62" t="n">
        <f aca="false">ROUNDUP(CL481+MAX(CM481,2*(J481/IF(CH481&gt;0,CH481,MAX(0.1,N(Cockpit!$C$6)))-CL481)),0)</f>
        <v>21</v>
      </c>
      <c r="AN481" s="63" t="n">
        <f aca="false">IF(AJ481&gt;0,J481/AJ481,-1)</f>
        <v>3.35483870967742</v>
      </c>
      <c r="AO481" s="63" t="n">
        <f aca="false">IF(AND(OR(CG481="L1",CG481="L23",CG481="LIFT"),AJ481&gt;0),SUMIFS($AJ$7:$AJ$1843,$CG$7:$CG$1843,CG481,$AN$7:$AN$1843,"&gt;"&amp;AN481)+SUMIFS($AJ$7:$AJ$1843,$CG$7:$CG$1843,CG481,$AN$7:$AN$1843,AN481,$BX$7:$BX$1843,"&lt;="&amp;BX481),"")</f>
        <v>4940.68406593407</v>
      </c>
      <c r="AP481" s="70" t="n">
        <f aca="false">IF(AO481="",0,MAX(0,MIN(1,(IF(CG481="L1",Parameter!$H$5,IF(CG481="L23",Parameter!$H$6+Parameter!$H$7,Parameter!$H$5+Parameter!$H$6+Parameter!$H$7))-(AO481-AJ481))/AJ481)))</f>
        <v>1</v>
      </c>
      <c r="AQ481" s="62" t="n">
        <f aca="false">IF(LEFT(Cockpit!$I$5,1)="A",H481,IF(Parameter!$E$30="MAX-Bestand",IF(CI481=1,CJ481,IF(LEFT(Cockpit!$I$5,1)="B",AW481,MAX(AW481,H481))),ROUNDUP(AU481,0)))</f>
        <v>16</v>
      </c>
      <c r="AR481" s="62" t="n">
        <f aca="false">IF(CA481=1,0,ROUNDUP(AQ481/BZ481,0))</f>
        <v>2</v>
      </c>
      <c r="AS481" s="64" t="n">
        <f aca="false">IF(CR481&gt;0,CR481*MAX(1,AQ481/X481),IF(CA481=1,IF(AQ481&lt;=0,0,CE481*MAX(1,IF(H481&gt;0,AQ481/H481,1))),IF(R481&gt;0,AR481/R481,0))/MAX(0.1,N(Parameter!$M$21)))</f>
        <v>0.0384615384615385</v>
      </c>
      <c r="AT481" s="62" t="n">
        <f aca="false">AS481*CC481</f>
        <v>5.96153846153846</v>
      </c>
      <c r="AU481" s="63" t="n">
        <f aca="false">IF(LEFT(Cockpit!$I$5,1)="A",H481,IF(CI481=1,(CL481+CJ481)/2,IF(LEFT(Cockpit!$I$5,1)="B",(CL481+AW481)/2,MAX((CL481+AW481)/2,H481))))</f>
        <v>16</v>
      </c>
      <c r="AV481" s="62" t="n">
        <f aca="false">AU481*G481</f>
        <v>732.16</v>
      </c>
      <c r="AW481" s="62" t="n">
        <f aca="false">ROUNDUP(CL481+MAX(CM481,2*(J481/IF(CH481&gt;0,CH481,MAX(0.1,N(Cockpit!$I$6)))-CL481)),0)</f>
        <v>21</v>
      </c>
      <c r="AX481" s="63" t="n">
        <f aca="false">IF(AT481&gt;0,J481/AT481,-1)</f>
        <v>3.35483870967742</v>
      </c>
      <c r="AY481" s="63" t="n">
        <f aca="false">IF(AND(OR(CG481="L1",CG481="L23",CG481="LIFT"),AT481&gt;0),SUMIFS($AT$7:$AT$1843,$CG$7:$CG$1843,CG481,$AX$7:$AX$1843,"&gt;"&amp;AX481)+SUMIFS($AT$7:$AT$1843,$CG$7:$CG$1843,CG481,$AX$7:$AX$1843,AX481,$BX$7:$BX$1843,"&lt;="&amp;BX481),"")</f>
        <v>5604.52106227106</v>
      </c>
      <c r="AZ481" s="70" t="n">
        <f aca="false">IF(AY481="",0,MAX(0,MIN(1,(IF(CG481="L1",Parameter!$H$5,IF(CG481="L23",Parameter!$H$6+Parameter!$H$7,Parameter!$H$5+Parameter!$H$6+Parameter!$H$7))-(AY481-AT481))/AT481)))</f>
        <v>1</v>
      </c>
      <c r="BA481" s="62" t="n">
        <f aca="false">IF(LEFT(Cockpit!$O$5,1)="A",H481,IF(Parameter!$E$30="MAX-Bestand",IF(CI481=1,CJ481,IF(LEFT(Cockpit!$O$5,1)="B",BG481,MAX(BG481,H481))),ROUNDUP(BE481,0)))</f>
        <v>11</v>
      </c>
      <c r="BB481" s="62" t="n">
        <f aca="false">IF(CA481=1,0,ROUNDUP(BA481/BZ481,0))</f>
        <v>1</v>
      </c>
      <c r="BC481" s="64" t="n">
        <f aca="false">IF(CR481&gt;0,CR481*MAX(1,BA481/X481),IF(CA481=1,IF(BA481&lt;=0,0,CE481*MAX(1,IF(H481&gt;0,BA481/H481,1))),IF(R481&gt;0,BB481/R481,0))/MAX(0.1,N(Parameter!$M$21)))</f>
        <v>0.0192307692307692</v>
      </c>
      <c r="BD481" s="62" t="n">
        <f aca="false">BC481*CC481</f>
        <v>2.98076923076923</v>
      </c>
      <c r="BE481" s="63" t="n">
        <f aca="false">IF(LEFT(Cockpit!$O$5,1)="A",H481,IF(CI481=1,(CL481+CJ481)/2,IF(LEFT(Cockpit!$O$5,1)="B",(CL481+BG481)/2,MAX((CL481+BG481)/2,H481))))</f>
        <v>11</v>
      </c>
      <c r="BF481" s="62" t="n">
        <f aca="false">BE481*G481</f>
        <v>503.36</v>
      </c>
      <c r="BG481" s="62" t="n">
        <f aca="false">ROUNDUP(CL481+MAX(CM481,2*(J481/IF(CH481&gt;0,CH481,MAX(0.1,N(Cockpit!$O$6)))-CL481)),0)</f>
        <v>21</v>
      </c>
      <c r="BH481" s="63" t="n">
        <f aca="false">IF(BD481&gt;0,J481/BD481,-1)</f>
        <v>6.70967741935484</v>
      </c>
      <c r="BI481" s="63" t="n">
        <f aca="false">IF(AND(OR(CG481="L1",CG481="L23",CG481="LIFT"),BD481&gt;0),SUMIFS($BD$7:$BD$1843,$CG$7:$CG$1843,CG481,$BH$7:$BH$1843,"&gt;"&amp;BH481)+SUMIFS($BD$7:$BD$1843,$CG$7:$CG$1843,CG481,$BH$7:$BH$1843,BH481,$BX$7:$BX$1843,"&lt;="&amp;BX481),"")</f>
        <v>3380.53113553114</v>
      </c>
      <c r="BJ481" s="70" t="n">
        <f aca="false">IF(BI481="",0,MAX(0,MIN(1,(IF(CG481="L1",Parameter!$H$5,IF(CG481="L23",Parameter!$H$6+Parameter!$H$7,Parameter!$H$5+Parameter!$H$6+Parameter!$H$7))-(BI481-BD481))/BD481)))</f>
        <v>1</v>
      </c>
      <c r="BK481" s="60" t="str">
        <f aca="false">IF(AJ481&lt;=0,"",IF(CG481="Aussen","Aussenlager",IF(CG481="-","Nicht im Lift",IF(AP481&gt;=1,"Lift",IF(AP481&lt;=0,"Aussenlager","teilweise")))))</f>
        <v>Lift</v>
      </c>
      <c r="BL481" s="60" t="str">
        <f aca="false">IF(AT481&lt;=0,"",IF(CG481="Aussen","Aussenlager",IF(CG481="-","Nicht im Lift",IF(AZ481&gt;=1,"Lift",IF(AZ481&lt;=0,"Aussenlager","teilweise")))))</f>
        <v>Lift</v>
      </c>
      <c r="BM481" s="60" t="str">
        <f aca="false">IF(BD481&lt;=0,"",IF(CG481="Aussen","Aussenlager",IF(CG481="-","Nicht im Lift",IF(BJ481&gt;=1,"Lift",IF(BJ481&lt;=0,"Aussenlager","teilweise")))))</f>
        <v>Lift</v>
      </c>
      <c r="BN481" s="60" t="str">
        <f aca="false">IF(A481="","",IF(BW481=1,"Neu; ","")&amp;IF(AND(BW481=0,BR481&lt;0),"negativer Bestand (Export "&amp;BR481&amp;"); ","")&amp;IF(J481&lt;=0,"Kein Verbrauch; ","")&amp;IF(CR481&gt;0,"Lift "&amp;W481&amp;" lt. Liftbericht (Fach "&amp;X481&amp;" Stk); ",IF(CB481=1,"Gebinde geschätzt ("&amp;T481&amp;"); ",IF(CA481=1,"Lose – Tablare geschätzt; ","")))&amp;IF(H481&gt;AW481,"Überbestand "&amp;ROUND(H481-AW481,0)&amp;" Stk / CHF "&amp;ROUND((H481-AW481)*G481,0)&amp;"; ","")&amp;IF(AND(CI481=1,CJ481&lt;CK481),"MAX &lt; MB+LG; ","")&amp;IF(AND(CQ481&gt;0,CP481*10&gt;CQ481),"zu hoch für Tablar; ","")&amp;IF(AND(BW481=0,OR(CI481=1,AB481&lt;&gt;"",U481&lt;&gt;"",V481&lt;&gt;"",AC481&lt;&gt;"")),"manuell übersteuert; ","")&amp;IF(AND(CA481=0,R481=0),"Gebinde unbekannt / Stellmass fehlt; ","")&amp;IF(AND(CA481=0,N(V481)&lt;=0,N(Q481)&lt;=0),"Menge pro Gebinde fehlt (Ist = 1 Gebinde); ","")&amp;BV481)</f>
        <v/>
      </c>
      <c r="BO481" s="60"/>
      <c r="BP481" s="60"/>
      <c r="BQ481" s="67"/>
      <c r="BR481" s="62" t="n">
        <v>1</v>
      </c>
      <c r="BS481" s="62" t="n">
        <v>15</v>
      </c>
      <c r="BT481" s="61" t="n">
        <v>48.31</v>
      </c>
      <c r="BU481" s="62" t="n">
        <v>20</v>
      </c>
      <c r="BV481" s="60"/>
      <c r="BW481" s="65" t="n">
        <v>0</v>
      </c>
      <c r="BX481" s="65" t="n">
        <v>481</v>
      </c>
      <c r="BY481" s="60" t="str">
        <f aca="false">IF(U481&lt;&gt;"",UPPER(TRIM(U481)),IF(CB481=1,UPPER(VLOOKUP(T481,Parameter!$I$27:$K$29,2,0)),IF(P481="","LOSE",P481)))</f>
        <v>S33</v>
      </c>
      <c r="BZ481" s="62" t="n">
        <f aca="false">IF(BY481="LOSE",1,IF(N(V481)&gt;0,V481,IF(CB481=1,MAX(1,N(VLOOKUP(T481,Parameter!$I$27:$K$29,3,0)),H481,N(N481)),IF(N(Q481)&gt;0,Q481,MAX(1,H481)))))</f>
        <v>15</v>
      </c>
      <c r="CA481" s="65" t="n">
        <f aca="false">IF(BY481="LOSE",1,0)</f>
        <v>0</v>
      </c>
      <c r="CB481" s="65" t="n">
        <f aca="false">IF(AND(U481="",OR(P481="",P481="LOSE"),T481&lt;&gt;"",N(S481)&lt;=0,ISNUMBER(MATCH(T481,Parameter!$I$27:$I$29,0))),1,0)</f>
        <v>0</v>
      </c>
      <c r="CC481" s="65" t="n">
        <f aca="false">IF(CR481&gt;0,INDEX(Parameter!$H$5:$H$7,W481)/INDEX(Parameter!$E$5:$E$7,W481),IF(AND(CA481=0,N(IFERROR(VLOOKUP(BY481,'Gebinde-Kategorie'!$A$5:$N$45,14,0),0))&gt;0),VLOOKUP(BY481,'Gebinde-Kategorie'!$A$5:$N$45,14,0)*10+Parameter!$M$23,Parameter!$M$24))</f>
        <v>155</v>
      </c>
      <c r="CD481" s="60" t="str">
        <f aca="false">IF(AND(Parameter!$B$19="Ja",E481&lt;&gt;"",ISNUMBER(MATCH(E481,Parameter!$I$35:$I$52,0))),VLOOKUP(E481,Parameter!$I$35:$J$52,2,0),IFERROR(VLOOKUP(D481,Parameter!$A$35:$C$64,2,0),"Nein"))</f>
        <v>2+3</v>
      </c>
      <c r="CE481" s="64" t="n">
        <f aca="false">IF(CA481=0,0,IF(N(S481)&gt;0,S481,IFERROR(VLOOKUP(D481,Parameter!$A$35:$C$64,3,0)+0,0)))</f>
        <v>0</v>
      </c>
      <c r="CF481" s="60" t="n">
        <f aca="false">IF(AB481&lt;&gt;"",AB481,AA481)</f>
        <v>3</v>
      </c>
      <c r="CG481" s="60" t="str">
        <f aca="false">IF(OR(CF481=1,CF481=2,CF481=3),IF(Parameter!$E$27="Ja","LIFT",IF(CF481=1,"L1","L23")),IF(CF481="Aussen","Aussen","-"))</f>
        <v>LIFT</v>
      </c>
      <c r="CH481" s="71" t="n">
        <f aca="false">IF(N(AC481)&gt;0,AC481,0)</f>
        <v>0</v>
      </c>
      <c r="CI481" s="65" t="n">
        <f aca="false">IF(ISNUMBER(AF481),1,0)</f>
        <v>0</v>
      </c>
      <c r="CJ481" s="62" t="n">
        <f aca="false">N(AF481)</f>
        <v>0</v>
      </c>
      <c r="CK481" s="62" t="n">
        <f aca="false">N(M481)+N(N481)</f>
        <v>21</v>
      </c>
      <c r="CL481" s="62" t="n">
        <f aca="false">N(M481)</f>
        <v>1</v>
      </c>
      <c r="CM481" s="62" t="n">
        <f aca="false">N(N481)</f>
        <v>20</v>
      </c>
      <c r="CN481" s="62" t="n">
        <f aca="false">ROUNDUP(H481/BZ481,0)</f>
        <v>2</v>
      </c>
      <c r="CO481" s="62" t="n">
        <f aca="false">ROUNDUP(CJ481/BZ481,0)</f>
        <v>0</v>
      </c>
      <c r="CP481" s="65" t="n">
        <f aca="false">IF(CA481=1,0,IFERROR(VLOOKUP(BY481,'Gebinde-Kategorie'!$A$5:$N$45,5,0)+0,0))</f>
        <v>8</v>
      </c>
      <c r="CQ481" s="65" t="n">
        <f aca="false">IFERROR(IF(OR(CF481=1,CF481=2,CF481=3),N(INDEX(Parameter!$I$5:$I$7,CF481)),0),0)</f>
        <v>0</v>
      </c>
      <c r="CR481" s="64" t="n">
        <f aca="false">IF(AND(Parameter!$B$21="Ja",ISNUMBER(W481),N(X481)&gt;0),IFERROR(N(INDEX(Parameter!$L$5:$L$7,W481))*INDEX(Parameter!$E$5:$E$7,W481)*X481/SUMIFS($X$7:$X$1843,$W$7:$W$1843,W481),0),0)</f>
        <v>0</v>
      </c>
      <c r="CS481" s="62" t="n">
        <f aca="false">IF(AND(OR(CG481="L1",CG481="L23",CG481="LIFT"),H481&gt;0),CC481*IF(CR481&gt;0,CR481*MAX(1,H481/X481),IF(CA481=1,CE481,IF(R481&gt;0,CN481/R481,0))/MAX(0.1,N(Parameter!$M$21))),"")</f>
        <v>5.96153846153846</v>
      </c>
      <c r="CT481" s="64" t="n">
        <f aca="false">IF(CS481="","",J481/H481)</f>
        <v>1.25</v>
      </c>
      <c r="CU481" s="62" t="n">
        <f aca="false">IF(CS481="","",H481*G481)</f>
        <v>732.16</v>
      </c>
      <c r="CV481" s="63" t="n">
        <f aca="false">IF(CS481="","",(CL481+ROUNDUP(CL481+MAX(CM481,2*(J481/MAX(0.1,N(Einkauf!$C$6))-CL481)),0))/2)</f>
        <v>11</v>
      </c>
      <c r="CW481" s="62" t="n">
        <f aca="false">IF(CS481="","",MAX(0,H481-CV481)*G481)</f>
        <v>228.8</v>
      </c>
      <c r="CX481" s="62" t="n">
        <f aca="false">IF(CS481="","",CS481*MAX(0,1-CV481/H481))</f>
        <v>1.86298076923077</v>
      </c>
      <c r="CY481" s="64" t="n">
        <f aca="false">IF(CS481="","",PERCENTRANK($CS$7:$CS$1843,CS481)+PERCENTRANK($CU$7:$CU$1843,CU481)+1-PERCENTRANK($CT$7:$CT$1843,CT481))</f>
        <v>1.219</v>
      </c>
      <c r="CZ481" s="72" t="n">
        <f aca="false">IF(CS481="","",CHOOSE(MATCH(Einkauf!$C$5,Parameter!$G$23:$G$27,0),CY481,CS481,CU481,-CT481,CW481)+ROW()/1000000000)</f>
        <v>1.219000481</v>
      </c>
    </row>
    <row r="482" customFormat="false" ht="15" hidden="false" customHeight="false" outlineLevel="0" collapsed="false">
      <c r="A482" s="60" t="s">
        <v>1113</v>
      </c>
      <c r="B482" s="60" t="s">
        <v>416</v>
      </c>
      <c r="C482" s="60" t="s">
        <v>206</v>
      </c>
      <c r="D482" s="60" t="s">
        <v>226</v>
      </c>
      <c r="E482" s="60"/>
      <c r="F482" s="60" t="s">
        <v>260</v>
      </c>
      <c r="G482" s="61" t="n">
        <v>1.92</v>
      </c>
      <c r="H482" s="62" t="n">
        <f aca="false">MAX(0,IF(AND(Parameter!$B$21="Ja",ISNUMBER(Y482)),Y482,IF(Parameter!$B$20="Jahresanfang 2025 + Export",BS482+BR482,BR482)))</f>
        <v>25</v>
      </c>
      <c r="I482" s="62" t="n">
        <f aca="false">H482*G482</f>
        <v>48</v>
      </c>
      <c r="J482" s="62" t="n">
        <f aca="false">BU482*Parameter!$B$18</f>
        <v>0</v>
      </c>
      <c r="K482" s="63" t="n">
        <v>0</v>
      </c>
      <c r="L482" s="64" t="n">
        <v>0</v>
      </c>
      <c r="M482" s="62" t="n">
        <v>0</v>
      </c>
      <c r="N482" s="62" t="n">
        <v>1</v>
      </c>
      <c r="O482" s="65" t="n">
        <v>9999</v>
      </c>
      <c r="P482" s="60" t="s">
        <v>210</v>
      </c>
      <c r="Q482" s="62"/>
      <c r="R482" s="65" t="n">
        <f aca="false">IF(CA482=1,0,IFERROR(VLOOKUP(BY482,'Gebinde-Kategorie'!$A$5:$N$45,13,0)+0,0))</f>
        <v>26</v>
      </c>
      <c r="S482" s="66"/>
      <c r="T482" s="67" t="s">
        <v>317</v>
      </c>
      <c r="U482" s="67"/>
      <c r="V482" s="67"/>
      <c r="W482" s="60"/>
      <c r="X482" s="62"/>
      <c r="Y482" s="62"/>
      <c r="Z482" s="60" t="n">
        <v>3</v>
      </c>
      <c r="AA482" s="60" t="n">
        <f aca="false">IF(A482="","",IF(AND(Parameter!$B$21="Ja",ISNUMBER(W482)),W482,IF(AND(Parameter!$E$27="Ja",ISNUMBER(Z482),CD482&lt;&gt;"Nein"),Z482,IF(CD482="2+3",IF(ISNUMBER(SEARCH("grosser Artikel",BV482)),2,IFERROR(VLOOKUP(BY482,Parameter!$F$35:$G$64,2,0),2)),IF(OR(CD482="Nein",CD482=""),"-",CD482)))))</f>
        <v>3</v>
      </c>
      <c r="AB482" s="67"/>
      <c r="AC482" s="68"/>
      <c r="AD482" s="62" t="n">
        <f aca="false">AW482</f>
        <v>1</v>
      </c>
      <c r="AE482" s="62" t="n">
        <f aca="false">MAX(AW482,H482)</f>
        <v>25</v>
      </c>
      <c r="AF482" s="69"/>
      <c r="AG482" s="62" t="n">
        <f aca="false">IF(LEFT(Cockpit!$C$5,1)="A",H482,IF(Parameter!$E$30="MAX-Bestand",IF(CI482=1,CJ482,IF(LEFT(Cockpit!$C$5,1)="B",AM482,MAX(AM482,H482))),ROUNDUP(AK482,0)))</f>
        <v>25</v>
      </c>
      <c r="AH482" s="62" t="n">
        <f aca="false">IF(CA482=1,0,ROUNDUP(AG482/BZ482,0))</f>
        <v>1</v>
      </c>
      <c r="AI482" s="64" t="n">
        <f aca="false">IF(CR482&gt;0,CR482*MAX(1,AG482/X482),IF(CA482=1,IF(AG482&lt;=0,0,CE482*MAX(1,IF(H482&gt;0,AG482/H482,1))),IF(R482&gt;0,AH482/R482,0))/MAX(0.1,N(Parameter!$M$21)))</f>
        <v>0.0384615384615385</v>
      </c>
      <c r="AJ482" s="62" t="n">
        <f aca="false">AI482*CC482</f>
        <v>5.96153846153846</v>
      </c>
      <c r="AK482" s="63" t="n">
        <f aca="false">IF(LEFT(Cockpit!$C$5,1)="A",H482,IF(CI482=1,(CL482+CJ482)/2,IF(LEFT(Cockpit!$C$5,1)="B",(CL482+AM482)/2,MAX((CL482+AM482)/2,H482))))</f>
        <v>25</v>
      </c>
      <c r="AL482" s="62" t="n">
        <f aca="false">AK482*G482</f>
        <v>48</v>
      </c>
      <c r="AM482" s="62" t="n">
        <f aca="false">ROUNDUP(CL482+MAX(CM482,2*(J482/IF(CH482&gt;0,CH482,MAX(0.1,N(Cockpit!$C$6)))-CL482)),0)</f>
        <v>1</v>
      </c>
      <c r="AN482" s="63" t="n">
        <f aca="false">IF(AJ482&gt;0,J482/AJ482,-1)</f>
        <v>0</v>
      </c>
      <c r="AO482" s="63" t="n">
        <f aca="false">IF(AND(OR(CG482="L1",CG482="L23",CG482="LIFT"),AJ482&gt;0),SUMIFS($AJ$7:$AJ$1843,$CG$7:$CG$1843,CG482,$AN$7:$AN$1843,"&gt;"&amp;AN482)+SUMIFS($AJ$7:$AJ$1843,$CG$7:$CG$1843,CG482,$AN$7:$AN$1843,AN482,$BX$7:$BX$1843,"&lt;="&amp;BX482),"")</f>
        <v>28223.9319447031</v>
      </c>
      <c r="AP482" s="70" t="n">
        <f aca="false">IF(AO482="",0,MAX(0,MIN(1,(IF(CG482="L1",Parameter!$H$5,IF(CG482="L23",Parameter!$H$6+Parameter!$H$7,Parameter!$H$5+Parameter!$H$6+Parameter!$H$7))-(AO482-AJ482))/AJ482)))</f>
        <v>1</v>
      </c>
      <c r="AQ482" s="62" t="n">
        <f aca="false">IF(LEFT(Cockpit!$I$5,1)="A",H482,IF(Parameter!$E$30="MAX-Bestand",IF(CI482=1,CJ482,IF(LEFT(Cockpit!$I$5,1)="B",AW482,MAX(AW482,H482))),ROUNDUP(AU482,0)))</f>
        <v>25</v>
      </c>
      <c r="AR482" s="62" t="n">
        <f aca="false">IF(CA482=1,0,ROUNDUP(AQ482/BZ482,0))</f>
        <v>1</v>
      </c>
      <c r="AS482" s="64" t="n">
        <f aca="false">IF(CR482&gt;0,CR482*MAX(1,AQ482/X482),IF(CA482=1,IF(AQ482&lt;=0,0,CE482*MAX(1,IF(H482&gt;0,AQ482/H482,1))),IF(R482&gt;0,AR482/R482,0))/MAX(0.1,N(Parameter!$M$21)))</f>
        <v>0.0384615384615385</v>
      </c>
      <c r="AT482" s="62" t="n">
        <f aca="false">AS482*CC482</f>
        <v>5.96153846153846</v>
      </c>
      <c r="AU482" s="63" t="n">
        <f aca="false">IF(LEFT(Cockpit!$I$5,1)="A",H482,IF(CI482=1,(CL482+CJ482)/2,IF(LEFT(Cockpit!$I$5,1)="B",(CL482+AW482)/2,MAX((CL482+AW482)/2,H482))))</f>
        <v>25</v>
      </c>
      <c r="AV482" s="62" t="n">
        <f aca="false">AU482*G482</f>
        <v>48</v>
      </c>
      <c r="AW482" s="62" t="n">
        <f aca="false">ROUNDUP(CL482+MAX(CM482,2*(J482/IF(CH482&gt;0,CH482,MAX(0.1,N(Cockpit!$I$6)))-CL482)),0)</f>
        <v>1</v>
      </c>
      <c r="AX482" s="63" t="n">
        <f aca="false">IF(AT482&gt;0,J482/AT482,-1)</f>
        <v>0</v>
      </c>
      <c r="AY482" s="63" t="n">
        <f aca="false">IF(AND(OR(CG482="L1",CG482="L23",CG482="LIFT"),AT482&gt;0),SUMIFS($AT$7:$AT$1843,$CG$7:$CG$1843,CG482,$AX$7:$AX$1843,"&gt;"&amp;AX482)+SUMIFS($AT$7:$AT$1843,$CG$7:$CG$1843,CG482,$AX$7:$AX$1843,AX482,$BX$7:$BX$1843,"&lt;="&amp;BX482),"")</f>
        <v>33577.0805860806</v>
      </c>
      <c r="AZ482" s="70" t="n">
        <f aca="false">IF(AY482="",0,MAX(0,MIN(1,(IF(CG482="L1",Parameter!$H$5,IF(CG482="L23",Parameter!$H$6+Parameter!$H$7,Parameter!$H$5+Parameter!$H$6+Parameter!$H$7))-(AY482-AT482))/AT482)))</f>
        <v>1</v>
      </c>
      <c r="BA482" s="62" t="n">
        <f aca="false">IF(LEFT(Cockpit!$O$5,1)="A",H482,IF(Parameter!$E$30="MAX-Bestand",IF(CI482=1,CJ482,IF(LEFT(Cockpit!$O$5,1)="B",BG482,MAX(BG482,H482))),ROUNDUP(BE482,0)))</f>
        <v>1</v>
      </c>
      <c r="BB482" s="62" t="n">
        <f aca="false">IF(CA482=1,0,ROUNDUP(BA482/BZ482,0))</f>
        <v>1</v>
      </c>
      <c r="BC482" s="64" t="n">
        <f aca="false">IF(CR482&gt;0,CR482*MAX(1,BA482/X482),IF(CA482=1,IF(BA482&lt;=0,0,CE482*MAX(1,IF(H482&gt;0,BA482/H482,1))),IF(R482&gt;0,BB482/R482,0))/MAX(0.1,N(Parameter!$M$21)))</f>
        <v>0.0384615384615385</v>
      </c>
      <c r="BD482" s="62" t="n">
        <f aca="false">BC482*CC482</f>
        <v>5.96153846153846</v>
      </c>
      <c r="BE482" s="63" t="n">
        <f aca="false">IF(LEFT(Cockpit!$O$5,1)="A",H482,IF(CI482=1,(CL482+CJ482)/2,IF(LEFT(Cockpit!$O$5,1)="B",(CL482+BG482)/2,MAX((CL482+BG482)/2,H482))))</f>
        <v>0.5</v>
      </c>
      <c r="BF482" s="62" t="n">
        <f aca="false">BE482*G482</f>
        <v>0.96</v>
      </c>
      <c r="BG482" s="62" t="n">
        <f aca="false">ROUNDUP(CL482+MAX(CM482,2*(J482/IF(CH482&gt;0,CH482,MAX(0.1,N(Cockpit!$O$6)))-CL482)),0)</f>
        <v>1</v>
      </c>
      <c r="BH482" s="63" t="n">
        <f aca="false">IF(BD482&gt;0,J482/BD482,-1)</f>
        <v>0</v>
      </c>
      <c r="BI482" s="63" t="n">
        <f aca="false">IF(AND(OR(CG482="L1",CG482="L23",CG482="LIFT"),BD482&gt;0),SUMIFS($BD$7:$BD$1843,$CG$7:$CG$1843,CG482,$BH$7:$BH$1843,"&gt;"&amp;BH482)+SUMIFS($BD$7:$BD$1843,$CG$7:$CG$1843,CG482,$BH$7:$BH$1843,BH482,$BX$7:$BX$1843,"&lt;="&amp;BX482),"")</f>
        <v>27684.3153597815</v>
      </c>
      <c r="BJ482" s="70" t="n">
        <f aca="false">IF(BI482="",0,MAX(0,MIN(1,(IF(CG482="L1",Parameter!$H$5,IF(CG482="L23",Parameter!$H$6+Parameter!$H$7,Parameter!$H$5+Parameter!$H$6+Parameter!$H$7))-(BI482-BD482))/BD482)))</f>
        <v>1</v>
      </c>
      <c r="BK482" s="60" t="str">
        <f aca="false">IF(AJ482&lt;=0,"",IF(CG482="Aussen","Aussenlager",IF(CG482="-","Nicht im Lift",IF(AP482&gt;=1,"Lift",IF(AP482&lt;=0,"Aussenlager","teilweise")))))</f>
        <v>Lift</v>
      </c>
      <c r="BL482" s="60" t="str">
        <f aca="false">IF(AT482&lt;=0,"",IF(CG482="Aussen","Aussenlager",IF(CG482="-","Nicht im Lift",IF(AZ482&gt;=1,"Lift",IF(AZ482&lt;=0,"Aussenlager","teilweise")))))</f>
        <v>Lift</v>
      </c>
      <c r="BM482" s="60" t="str">
        <f aca="false">IF(BD482&lt;=0,"",IF(CG482="Aussen","Aussenlager",IF(CG482="-","Nicht im Lift",IF(BJ482&gt;=1,"Lift",IF(BJ482&lt;=0,"Aussenlager","teilweise")))))</f>
        <v>Lift</v>
      </c>
      <c r="BN482" s="60" t="str">
        <f aca="false">IF(A482="","",IF(BW482=1,"Neu; ","")&amp;IF(AND(BW482=0,BR482&lt;0),"negativer Bestand (Export "&amp;BR482&amp;"); ","")&amp;IF(J482&lt;=0,"Kein Verbrauch; ","")&amp;IF(CR482&gt;0,"Lift "&amp;W482&amp;" lt. Liftbericht (Fach "&amp;X482&amp;" Stk); ",IF(CB482=1,"Gebinde geschätzt ("&amp;T482&amp;"); ",IF(CA482=1,"Lose – Tablare geschätzt; ","")))&amp;IF(H482&gt;AW482,"Überbestand "&amp;ROUND(H482-AW482,0)&amp;" Stk / CHF "&amp;ROUND((H482-AW482)*G482,0)&amp;"; ","")&amp;IF(AND(CI482=1,CJ482&lt;CK482),"MAX &lt; MB+LG; ","")&amp;IF(AND(CQ482&gt;0,CP482*10&gt;CQ482),"zu hoch für Tablar; ","")&amp;IF(AND(BW482=0,OR(CI482=1,AB482&lt;&gt;"",U482&lt;&gt;"",V482&lt;&gt;"",AC482&lt;&gt;"")),"manuell übersteuert; ","")&amp;IF(AND(CA482=0,R482=0),"Gebinde unbekannt / Stellmass fehlt; ","")&amp;IF(AND(CA482=0,N(V482)&lt;=0,N(Q482)&lt;=0),"Menge pro Gebinde fehlt (Ist = 1 Gebinde); ","")&amp;BV482)</f>
        <v>Kein Verbrauch; Gebinde geschätzt (Klein); Überbestand 24 Stk / CHF 46; Menge pro Gebinde fehlt (Ist = 1 Gebinde); </v>
      </c>
      <c r="BO482" s="60"/>
      <c r="BP482" s="60"/>
      <c r="BQ482" s="67"/>
      <c r="BR482" s="62" t="n">
        <v>25</v>
      </c>
      <c r="BS482" s="62" t="n">
        <v>0</v>
      </c>
      <c r="BT482" s="61" t="n">
        <v>48</v>
      </c>
      <c r="BU482" s="62" t="n">
        <v>0</v>
      </c>
      <c r="BV482" s="60"/>
      <c r="BW482" s="65" t="n">
        <v>0</v>
      </c>
      <c r="BX482" s="65" t="n">
        <v>482</v>
      </c>
      <c r="BY482" s="60" t="str">
        <f aca="false">IF(U482&lt;&gt;"",UPPER(TRIM(U482)),IF(CB482=1,UPPER(VLOOKUP(T482,Parameter!$I$27:$K$29,2,0)),IF(P482="","LOSE",P482)))</f>
        <v>S51</v>
      </c>
      <c r="BZ482" s="62" t="n">
        <f aca="false">IF(BY482="LOSE",1,IF(N(V482)&gt;0,V482,IF(CB482=1,MAX(1,N(VLOOKUP(T482,Parameter!$I$27:$K$29,3,0)),H482,N(N482)),IF(N(Q482)&gt;0,Q482,MAX(1,H482)))))</f>
        <v>25</v>
      </c>
      <c r="CA482" s="65" t="n">
        <f aca="false">IF(BY482="LOSE",1,0)</f>
        <v>0</v>
      </c>
      <c r="CB482" s="65" t="n">
        <f aca="false">IF(AND(U482="",OR(P482="",P482="LOSE"),T482&lt;&gt;"",N(S482)&lt;=0,ISNUMBER(MATCH(T482,Parameter!$I$27:$I$29,0))),1,0)</f>
        <v>1</v>
      </c>
      <c r="CC482" s="65" t="n">
        <f aca="false">IF(CR482&gt;0,INDEX(Parameter!$H$5:$H$7,W482)/INDEX(Parameter!$E$5:$E$7,W482),IF(AND(CA482=0,N(IFERROR(VLOOKUP(BY482,'Gebinde-Kategorie'!$A$5:$N$45,14,0),0))&gt;0),VLOOKUP(BY482,'Gebinde-Kategorie'!$A$5:$N$45,14,0)*10+Parameter!$M$23,Parameter!$M$24))</f>
        <v>155</v>
      </c>
      <c r="CD482" s="60" t="str">
        <f aca="false">IF(AND(Parameter!$B$19="Ja",E482&lt;&gt;"",ISNUMBER(MATCH(E482,Parameter!$I$35:$I$52,0))),VLOOKUP(E482,Parameter!$I$35:$J$52,2,0),IFERROR(VLOOKUP(D482,Parameter!$A$35:$C$64,2,0),"Nein"))</f>
        <v>2+3</v>
      </c>
      <c r="CE482" s="64" t="n">
        <f aca="false">IF(CA482=0,0,IF(N(S482)&gt;0,S482,IFERROR(VLOOKUP(D482,Parameter!$A$35:$C$64,3,0)+0,0)))</f>
        <v>0</v>
      </c>
      <c r="CF482" s="60" t="n">
        <f aca="false">IF(AB482&lt;&gt;"",AB482,AA482)</f>
        <v>3</v>
      </c>
      <c r="CG482" s="60" t="str">
        <f aca="false">IF(OR(CF482=1,CF482=2,CF482=3),IF(Parameter!$E$27="Ja","LIFT",IF(CF482=1,"L1","L23")),IF(CF482="Aussen","Aussen","-"))</f>
        <v>LIFT</v>
      </c>
      <c r="CH482" s="71" t="n">
        <f aca="false">IF(N(AC482)&gt;0,AC482,0)</f>
        <v>0</v>
      </c>
      <c r="CI482" s="65" t="n">
        <f aca="false">IF(ISNUMBER(AF482),1,0)</f>
        <v>0</v>
      </c>
      <c r="CJ482" s="62" t="n">
        <f aca="false">N(AF482)</f>
        <v>0</v>
      </c>
      <c r="CK482" s="62" t="n">
        <f aca="false">N(M482)+N(N482)</f>
        <v>1</v>
      </c>
      <c r="CL482" s="62" t="n">
        <f aca="false">N(M482)</f>
        <v>0</v>
      </c>
      <c r="CM482" s="62" t="n">
        <f aca="false">N(N482)</f>
        <v>1</v>
      </c>
      <c r="CN482" s="62" t="n">
        <f aca="false">ROUNDUP(H482/BZ482,0)</f>
        <v>1</v>
      </c>
      <c r="CO482" s="62" t="n">
        <f aca="false">ROUNDUP(CJ482/BZ482,0)</f>
        <v>0</v>
      </c>
      <c r="CP482" s="65" t="n">
        <f aca="false">IF(CA482=1,0,IFERROR(VLOOKUP(BY482,'Gebinde-Kategorie'!$A$5:$N$45,5,0)+0,0))</f>
        <v>11</v>
      </c>
      <c r="CQ482" s="65" t="n">
        <f aca="false">IFERROR(IF(OR(CF482=1,CF482=2,CF482=3),N(INDEX(Parameter!$I$5:$I$7,CF482)),0),0)</f>
        <v>0</v>
      </c>
      <c r="CR482" s="64" t="n">
        <f aca="false">IF(AND(Parameter!$B$21="Ja",ISNUMBER(W482),N(X482)&gt;0),IFERROR(N(INDEX(Parameter!$L$5:$L$7,W482))*INDEX(Parameter!$E$5:$E$7,W482)*X482/SUMIFS($X$7:$X$1843,$W$7:$W$1843,W482),0),0)</f>
        <v>0</v>
      </c>
      <c r="CS482" s="62" t="n">
        <f aca="false">IF(AND(OR(CG482="L1",CG482="L23",CG482="LIFT"),H482&gt;0),CC482*IF(CR482&gt;0,CR482*MAX(1,H482/X482),IF(CA482=1,CE482,IF(R482&gt;0,CN482/R482,0))/MAX(0.1,N(Parameter!$M$21))),"")</f>
        <v>5.96153846153846</v>
      </c>
      <c r="CT482" s="64" t="n">
        <f aca="false">IF(CS482="","",J482/H482)</f>
        <v>0</v>
      </c>
      <c r="CU482" s="62" t="n">
        <f aca="false">IF(CS482="","",H482*G482)</f>
        <v>48</v>
      </c>
      <c r="CV482" s="63" t="n">
        <f aca="false">IF(CS482="","",(CL482+ROUNDUP(CL482+MAX(CM482,2*(J482/MAX(0.1,N(Einkauf!$C$6))-CL482)),0))/2)</f>
        <v>0.5</v>
      </c>
      <c r="CW482" s="62" t="n">
        <f aca="false">IF(CS482="","",MAX(0,H482-CV482)*G482)</f>
        <v>47.04</v>
      </c>
      <c r="CX482" s="62" t="n">
        <f aca="false">IF(CS482="","",CS482*MAX(0,1-CV482/H482))</f>
        <v>5.84230769230769</v>
      </c>
      <c r="CY482" s="64" t="n">
        <f aca="false">IF(CS482="","",PERCENTRANK($CS$7:$CS$1843,CS482)+PERCENTRANK($CU$7:$CU$1843,CU482)+1-PERCENTRANK($CT$7:$CT$1843,CT482))</f>
        <v>1.502</v>
      </c>
      <c r="CZ482" s="72" t="n">
        <f aca="false">IF(CS482="","",CHOOSE(MATCH(Einkauf!$C$5,Parameter!$G$23:$G$27,0),CY482,CS482,CU482,-CT482,CW482)+ROW()/1000000000)</f>
        <v>1.502000482</v>
      </c>
    </row>
    <row r="483" customFormat="false" ht="15" hidden="false" customHeight="false" outlineLevel="0" collapsed="false">
      <c r="A483" s="60" t="s">
        <v>1114</v>
      </c>
      <c r="B483" s="60" t="s">
        <v>1115</v>
      </c>
      <c r="C483" s="60" t="s">
        <v>206</v>
      </c>
      <c r="D483" s="60" t="s">
        <v>215</v>
      </c>
      <c r="E483" s="60"/>
      <c r="F483" s="60" t="s">
        <v>260</v>
      </c>
      <c r="G483" s="61" t="n">
        <v>48</v>
      </c>
      <c r="H483" s="62" t="n">
        <f aca="false">MAX(0,IF(AND(Parameter!$B$21="Ja",ISNUMBER(Y483)),Y483,IF(Parameter!$B$20="Jahresanfang 2025 + Export",BS483+BR483,BR483)))</f>
        <v>4</v>
      </c>
      <c r="I483" s="62" t="n">
        <f aca="false">H483*G483</f>
        <v>192</v>
      </c>
      <c r="J483" s="62" t="n">
        <f aca="false">BU483*Parameter!$B$18</f>
        <v>0</v>
      </c>
      <c r="K483" s="63" t="n">
        <v>3.5</v>
      </c>
      <c r="L483" s="64" t="n">
        <v>0</v>
      </c>
      <c r="M483" s="62" t="n">
        <v>0</v>
      </c>
      <c r="N483" s="62" t="n">
        <v>1</v>
      </c>
      <c r="O483" s="65" t="n">
        <v>21</v>
      </c>
      <c r="P483" s="60" t="s">
        <v>210</v>
      </c>
      <c r="Q483" s="62"/>
      <c r="R483" s="65" t="n">
        <f aca="false">IF(CA483=1,0,IFERROR(VLOOKUP(BY483,'Gebinde-Kategorie'!$A$5:$N$45,13,0)+0,0))</f>
        <v>12</v>
      </c>
      <c r="S483" s="66"/>
      <c r="T483" s="67" t="s">
        <v>221</v>
      </c>
      <c r="U483" s="67"/>
      <c r="V483" s="67"/>
      <c r="W483" s="60"/>
      <c r="X483" s="62"/>
      <c r="Y483" s="62"/>
      <c r="Z483" s="60" t="n">
        <v>3</v>
      </c>
      <c r="AA483" s="60" t="n">
        <f aca="false">IF(A483="","",IF(AND(Parameter!$B$21="Ja",ISNUMBER(W483)),W483,IF(AND(Parameter!$E$27="Ja",ISNUMBER(Z483),CD483&lt;&gt;"Nein"),Z483,IF(CD483="2+3",IF(ISNUMBER(SEARCH("grosser Artikel",BV483)),2,IFERROR(VLOOKUP(BY483,Parameter!$F$35:$G$64,2,0),2)),IF(OR(CD483="Nein",CD483=""),"-",CD483)))))</f>
        <v>3</v>
      </c>
      <c r="AB483" s="67"/>
      <c r="AC483" s="68"/>
      <c r="AD483" s="62" t="n">
        <f aca="false">AW483</f>
        <v>1</v>
      </c>
      <c r="AE483" s="62" t="n">
        <f aca="false">MAX(AW483,H483)</f>
        <v>4</v>
      </c>
      <c r="AF483" s="69"/>
      <c r="AG483" s="62" t="n">
        <f aca="false">IF(LEFT(Cockpit!$C$5,1)="A",H483,IF(Parameter!$E$30="MAX-Bestand",IF(CI483=1,CJ483,IF(LEFT(Cockpit!$C$5,1)="B",AM483,MAX(AM483,H483))),ROUNDUP(AK483,0)))</f>
        <v>4</v>
      </c>
      <c r="AH483" s="62" t="n">
        <f aca="false">IF(CA483=1,0,ROUNDUP(AG483/BZ483,0))</f>
        <v>1</v>
      </c>
      <c r="AI483" s="64" t="n">
        <f aca="false">IF(CR483&gt;0,CR483*MAX(1,AG483/X483),IF(CA483=1,IF(AG483&lt;=0,0,CE483*MAX(1,IF(H483&gt;0,AG483/H483,1))),IF(R483&gt;0,AH483/R483,0))/MAX(0.1,N(Parameter!$M$21)))</f>
        <v>0.0833333333333333</v>
      </c>
      <c r="AJ483" s="62" t="n">
        <f aca="false">AI483*CC483</f>
        <v>12.0833333333333</v>
      </c>
      <c r="AK483" s="63" t="n">
        <f aca="false">IF(LEFT(Cockpit!$C$5,1)="A",H483,IF(CI483=1,(CL483+CJ483)/2,IF(LEFT(Cockpit!$C$5,1)="B",(CL483+AM483)/2,MAX((CL483+AM483)/2,H483))))</f>
        <v>4</v>
      </c>
      <c r="AL483" s="62" t="n">
        <f aca="false">AK483*G483</f>
        <v>192</v>
      </c>
      <c r="AM483" s="62" t="n">
        <f aca="false">ROUNDUP(CL483+MAX(CM483,2*(J483/IF(CH483&gt;0,CH483,MAX(0.1,N(Cockpit!$C$6)))-CL483)),0)</f>
        <v>1</v>
      </c>
      <c r="AN483" s="63" t="n">
        <f aca="false">IF(AJ483&gt;0,J483/AJ483,-1)</f>
        <v>0</v>
      </c>
      <c r="AO483" s="63" t="n">
        <f aca="false">IF(AND(OR(CG483="L1",CG483="L23",CG483="LIFT"),AJ483&gt;0),SUMIFS($AJ$7:$AJ$1843,$CG$7:$CG$1843,CG483,$AN$7:$AN$1843,"&gt;"&amp;AN483)+SUMIFS($AJ$7:$AJ$1843,$CG$7:$CG$1843,CG483,$AN$7:$AN$1843,AN483,$BX$7:$BX$1843,"&lt;="&amp;BX483),"")</f>
        <v>28236.0152780365</v>
      </c>
      <c r="AP483" s="70" t="n">
        <f aca="false">IF(AO483="",0,MAX(0,MIN(1,(IF(CG483="L1",Parameter!$H$5,IF(CG483="L23",Parameter!$H$6+Parameter!$H$7,Parameter!$H$5+Parameter!$H$6+Parameter!$H$7))-(AO483-AJ483))/AJ483)))</f>
        <v>1</v>
      </c>
      <c r="AQ483" s="62" t="n">
        <f aca="false">IF(LEFT(Cockpit!$I$5,1)="A",H483,IF(Parameter!$E$30="MAX-Bestand",IF(CI483=1,CJ483,IF(LEFT(Cockpit!$I$5,1)="B",AW483,MAX(AW483,H483))),ROUNDUP(AU483,0)))</f>
        <v>4</v>
      </c>
      <c r="AR483" s="62" t="n">
        <f aca="false">IF(CA483=1,0,ROUNDUP(AQ483/BZ483,0))</f>
        <v>1</v>
      </c>
      <c r="AS483" s="64" t="n">
        <f aca="false">IF(CR483&gt;0,CR483*MAX(1,AQ483/X483),IF(CA483=1,IF(AQ483&lt;=0,0,CE483*MAX(1,IF(H483&gt;0,AQ483/H483,1))),IF(R483&gt;0,AR483/R483,0))/MAX(0.1,N(Parameter!$M$21)))</f>
        <v>0.0833333333333333</v>
      </c>
      <c r="AT483" s="62" t="n">
        <f aca="false">AS483*CC483</f>
        <v>12.0833333333333</v>
      </c>
      <c r="AU483" s="63" t="n">
        <f aca="false">IF(LEFT(Cockpit!$I$5,1)="A",H483,IF(CI483=1,(CL483+CJ483)/2,IF(LEFT(Cockpit!$I$5,1)="B",(CL483+AW483)/2,MAX((CL483+AW483)/2,H483))))</f>
        <v>4</v>
      </c>
      <c r="AV483" s="62" t="n">
        <f aca="false">AU483*G483</f>
        <v>192</v>
      </c>
      <c r="AW483" s="62" t="n">
        <f aca="false">ROUNDUP(CL483+MAX(CM483,2*(J483/IF(CH483&gt;0,CH483,MAX(0.1,N(Cockpit!$I$6)))-CL483)),0)</f>
        <v>1</v>
      </c>
      <c r="AX483" s="63" t="n">
        <f aca="false">IF(AT483&gt;0,J483/AT483,-1)</f>
        <v>0</v>
      </c>
      <c r="AY483" s="63" t="n">
        <f aca="false">IF(AND(OR(CG483="L1",CG483="L23",CG483="LIFT"),AT483&gt;0),SUMIFS($AT$7:$AT$1843,$CG$7:$CG$1843,CG483,$AX$7:$AX$1843,"&gt;"&amp;AX483)+SUMIFS($AT$7:$AT$1843,$CG$7:$CG$1843,CG483,$AX$7:$AX$1843,AX483,$BX$7:$BX$1843,"&lt;="&amp;BX483),"")</f>
        <v>33589.1639194139</v>
      </c>
      <c r="AZ483" s="70" t="n">
        <f aca="false">IF(AY483="",0,MAX(0,MIN(1,(IF(CG483="L1",Parameter!$H$5,IF(CG483="L23",Parameter!$H$6+Parameter!$H$7,Parameter!$H$5+Parameter!$H$6+Parameter!$H$7))-(AY483-AT483))/AT483)))</f>
        <v>1</v>
      </c>
      <c r="BA483" s="62" t="n">
        <f aca="false">IF(LEFT(Cockpit!$O$5,1)="A",H483,IF(Parameter!$E$30="MAX-Bestand",IF(CI483=1,CJ483,IF(LEFT(Cockpit!$O$5,1)="B",BG483,MAX(BG483,H483))),ROUNDUP(BE483,0)))</f>
        <v>1</v>
      </c>
      <c r="BB483" s="62" t="n">
        <f aca="false">IF(CA483=1,0,ROUNDUP(BA483/BZ483,0))</f>
        <v>1</v>
      </c>
      <c r="BC483" s="64" t="n">
        <f aca="false">IF(CR483&gt;0,CR483*MAX(1,BA483/X483),IF(CA483=1,IF(BA483&lt;=0,0,CE483*MAX(1,IF(H483&gt;0,BA483/H483,1))),IF(R483&gt;0,BB483/R483,0))/MAX(0.1,N(Parameter!$M$21)))</f>
        <v>0.0833333333333333</v>
      </c>
      <c r="BD483" s="62" t="n">
        <f aca="false">BC483*CC483</f>
        <v>12.0833333333333</v>
      </c>
      <c r="BE483" s="63" t="n">
        <f aca="false">IF(LEFT(Cockpit!$O$5,1)="A",H483,IF(CI483=1,(CL483+CJ483)/2,IF(LEFT(Cockpit!$O$5,1)="B",(CL483+BG483)/2,MAX((CL483+BG483)/2,H483))))</f>
        <v>0.5</v>
      </c>
      <c r="BF483" s="62" t="n">
        <f aca="false">BE483*G483</f>
        <v>24</v>
      </c>
      <c r="BG483" s="62" t="n">
        <f aca="false">ROUNDUP(CL483+MAX(CM483,2*(J483/IF(CH483&gt;0,CH483,MAX(0.1,N(Cockpit!$O$6)))-CL483)),0)</f>
        <v>1</v>
      </c>
      <c r="BH483" s="63" t="n">
        <f aca="false">IF(BD483&gt;0,J483/BD483,-1)</f>
        <v>0</v>
      </c>
      <c r="BI483" s="63" t="n">
        <f aca="false">IF(AND(OR(CG483="L1",CG483="L23",CG483="LIFT"),BD483&gt;0),SUMIFS($BD$7:$BD$1843,$CG$7:$CG$1843,CG483,$BH$7:$BH$1843,"&gt;"&amp;BH483)+SUMIFS($BD$7:$BD$1843,$CG$7:$CG$1843,CG483,$BH$7:$BH$1843,BH483,$BX$7:$BX$1843,"&lt;="&amp;BX483),"")</f>
        <v>27696.3986931148</v>
      </c>
      <c r="BJ483" s="70" t="n">
        <f aca="false">IF(BI483="",0,MAX(0,MIN(1,(IF(CG483="L1",Parameter!$H$5,IF(CG483="L23",Parameter!$H$6+Parameter!$H$7,Parameter!$H$5+Parameter!$H$6+Parameter!$H$7))-(BI483-BD483))/BD483)))</f>
        <v>1</v>
      </c>
      <c r="BK483" s="60" t="str">
        <f aca="false">IF(AJ483&lt;=0,"",IF(CG483="Aussen","Aussenlager",IF(CG483="-","Nicht im Lift",IF(AP483&gt;=1,"Lift",IF(AP483&lt;=0,"Aussenlager","teilweise")))))</f>
        <v>Lift</v>
      </c>
      <c r="BL483" s="60" t="str">
        <f aca="false">IF(AT483&lt;=0,"",IF(CG483="Aussen","Aussenlager",IF(CG483="-","Nicht im Lift",IF(AZ483&gt;=1,"Lift",IF(AZ483&lt;=0,"Aussenlager","teilweise")))))</f>
        <v>Lift</v>
      </c>
      <c r="BM483" s="60" t="str">
        <f aca="false">IF(BD483&lt;=0,"",IF(CG483="Aussen","Aussenlager",IF(CG483="-","Nicht im Lift",IF(BJ483&gt;=1,"Lift",IF(BJ483&lt;=0,"Aussenlager","teilweise")))))</f>
        <v>Lift</v>
      </c>
      <c r="BN483" s="60" t="str">
        <f aca="false">IF(A483="","",IF(BW483=1,"Neu; ","")&amp;IF(AND(BW483=0,BR483&lt;0),"negativer Bestand (Export "&amp;BR483&amp;"); ","")&amp;IF(J483&lt;=0,"Kein Verbrauch; ","")&amp;IF(CR483&gt;0,"Lift "&amp;W483&amp;" lt. Liftbericht (Fach "&amp;X483&amp;" Stk); ",IF(CB483=1,"Gebinde geschätzt ("&amp;T483&amp;"); ",IF(CA483=1,"Lose – Tablare geschätzt; ","")))&amp;IF(H483&gt;AW483,"Überbestand "&amp;ROUND(H483-AW483,0)&amp;" Stk / CHF "&amp;ROUND((H483-AW483)*G483,0)&amp;"; ","")&amp;IF(AND(CI483=1,CJ483&lt;CK483),"MAX &lt; MB+LG; ","")&amp;IF(AND(CQ483&gt;0,CP483*10&gt;CQ483),"zu hoch für Tablar; ","")&amp;IF(AND(BW483=0,OR(CI483=1,AB483&lt;&gt;"",U483&lt;&gt;"",V483&lt;&gt;"",AC483&lt;&gt;"")),"manuell übersteuert; ","")&amp;IF(AND(CA483=0,R483=0),"Gebinde unbekannt / Stellmass fehlt; ","")&amp;IF(AND(CA483=0,N(V483)&lt;=0,N(Q483)&lt;=0),"Menge pro Gebinde fehlt (Ist = 1 Gebinde); ","")&amp;BV483)</f>
        <v>Kein Verbrauch; Gebinde geschätzt (Mittel); Überbestand 3 Stk / CHF 144; Menge pro Gebinde fehlt (Ist = 1 Gebinde); </v>
      </c>
      <c r="BO483" s="60"/>
      <c r="BP483" s="60"/>
      <c r="BQ483" s="67"/>
      <c r="BR483" s="62" t="n">
        <v>1</v>
      </c>
      <c r="BS483" s="62" t="n">
        <v>3</v>
      </c>
      <c r="BT483" s="61" t="n">
        <v>48</v>
      </c>
      <c r="BU483" s="62" t="n">
        <v>0</v>
      </c>
      <c r="BV483" s="60"/>
      <c r="BW483" s="65" t="n">
        <v>0</v>
      </c>
      <c r="BX483" s="65" t="n">
        <v>483</v>
      </c>
      <c r="BY483" s="60" t="str">
        <f aca="false">IF(U483&lt;&gt;"",UPPER(TRIM(U483)),IF(CB483=1,UPPER(VLOOKUP(T483,Parameter!$I$27:$K$29,2,0)),IF(P483="","LOSE",P483)))</f>
        <v>S61</v>
      </c>
      <c r="BZ483" s="62" t="n">
        <f aca="false">IF(BY483="LOSE",1,IF(N(V483)&gt;0,V483,IF(CB483=1,MAX(1,N(VLOOKUP(T483,Parameter!$I$27:$K$29,3,0)),H483,N(N483)),IF(N(Q483)&gt;0,Q483,MAX(1,H483)))))</f>
        <v>4</v>
      </c>
      <c r="CA483" s="65" t="n">
        <f aca="false">IF(BY483="LOSE",1,0)</f>
        <v>0</v>
      </c>
      <c r="CB483" s="65" t="n">
        <f aca="false">IF(AND(U483="",OR(P483="",P483="LOSE"),T483&lt;&gt;"",N(S483)&lt;=0,ISNUMBER(MATCH(T483,Parameter!$I$27:$I$29,0))),1,0)</f>
        <v>1</v>
      </c>
      <c r="CC483" s="65" t="n">
        <f aca="false">IF(CR483&gt;0,INDEX(Parameter!$H$5:$H$7,W483)/INDEX(Parameter!$E$5:$E$7,W483),IF(AND(CA483=0,N(IFERROR(VLOOKUP(BY483,'Gebinde-Kategorie'!$A$5:$N$45,14,0),0))&gt;0),VLOOKUP(BY483,'Gebinde-Kategorie'!$A$5:$N$45,14,0)*10+Parameter!$M$23,Parameter!$M$24))</f>
        <v>145</v>
      </c>
      <c r="CD483" s="60" t="str">
        <f aca="false">IF(AND(Parameter!$B$19="Ja",E483&lt;&gt;"",ISNUMBER(MATCH(E483,Parameter!$I$35:$I$52,0))),VLOOKUP(E483,Parameter!$I$35:$J$52,2,0),IFERROR(VLOOKUP(D483,Parameter!$A$35:$C$64,2,0),"Nein"))</f>
        <v>2+3</v>
      </c>
      <c r="CE483" s="64" t="n">
        <f aca="false">IF(CA483=0,0,IF(N(S483)&gt;0,S483,IFERROR(VLOOKUP(D483,Parameter!$A$35:$C$64,3,0)+0,0)))</f>
        <v>0</v>
      </c>
      <c r="CF483" s="60" t="n">
        <f aca="false">IF(AB483&lt;&gt;"",AB483,AA483)</f>
        <v>3</v>
      </c>
      <c r="CG483" s="60" t="str">
        <f aca="false">IF(OR(CF483=1,CF483=2,CF483=3),IF(Parameter!$E$27="Ja","LIFT",IF(CF483=1,"L1","L23")),IF(CF483="Aussen","Aussen","-"))</f>
        <v>LIFT</v>
      </c>
      <c r="CH483" s="71" t="n">
        <f aca="false">IF(N(AC483)&gt;0,AC483,0)</f>
        <v>0</v>
      </c>
      <c r="CI483" s="65" t="n">
        <f aca="false">IF(ISNUMBER(AF483),1,0)</f>
        <v>0</v>
      </c>
      <c r="CJ483" s="62" t="n">
        <f aca="false">N(AF483)</f>
        <v>0</v>
      </c>
      <c r="CK483" s="62" t="n">
        <f aca="false">N(M483)+N(N483)</f>
        <v>1</v>
      </c>
      <c r="CL483" s="62" t="n">
        <f aca="false">N(M483)</f>
        <v>0</v>
      </c>
      <c r="CM483" s="62" t="n">
        <f aca="false">N(N483)</f>
        <v>1</v>
      </c>
      <c r="CN483" s="62" t="n">
        <f aca="false">ROUNDUP(H483/BZ483,0)</f>
        <v>1</v>
      </c>
      <c r="CO483" s="62" t="n">
        <f aca="false">ROUNDUP(CJ483/BZ483,0)</f>
        <v>0</v>
      </c>
      <c r="CP483" s="65" t="n">
        <f aca="false">IF(CA483=1,0,IFERROR(VLOOKUP(BY483,'Gebinde-Kategorie'!$A$5:$N$45,5,0)+0,0))</f>
        <v>11</v>
      </c>
      <c r="CQ483" s="65" t="n">
        <f aca="false">IFERROR(IF(OR(CF483=1,CF483=2,CF483=3),N(INDEX(Parameter!$I$5:$I$7,CF483)),0),0)</f>
        <v>0</v>
      </c>
      <c r="CR483" s="64" t="n">
        <f aca="false">IF(AND(Parameter!$B$21="Ja",ISNUMBER(W483),N(X483)&gt;0),IFERROR(N(INDEX(Parameter!$L$5:$L$7,W483))*INDEX(Parameter!$E$5:$E$7,W483)*X483/SUMIFS($X$7:$X$1843,$W$7:$W$1843,W483),0),0)</f>
        <v>0</v>
      </c>
      <c r="CS483" s="62" t="n">
        <f aca="false">IF(AND(OR(CG483="L1",CG483="L23",CG483="LIFT"),H483&gt;0),CC483*IF(CR483&gt;0,CR483*MAX(1,H483/X483),IF(CA483=1,CE483,IF(R483&gt;0,CN483/R483,0))/MAX(0.1,N(Parameter!$M$21))),"")</f>
        <v>12.0833333333333</v>
      </c>
      <c r="CT483" s="64" t="n">
        <f aca="false">IF(CS483="","",J483/H483)</f>
        <v>0</v>
      </c>
      <c r="CU483" s="62" t="n">
        <f aca="false">IF(CS483="","",H483*G483)</f>
        <v>192</v>
      </c>
      <c r="CV483" s="63" t="n">
        <f aca="false">IF(CS483="","",(CL483+ROUNDUP(CL483+MAX(CM483,2*(J483/MAX(0.1,N(Einkauf!$C$6))-CL483)),0))/2)</f>
        <v>0.5</v>
      </c>
      <c r="CW483" s="62" t="n">
        <f aca="false">IF(CS483="","",MAX(0,H483-CV483)*G483)</f>
        <v>168</v>
      </c>
      <c r="CX483" s="62" t="n">
        <f aca="false">IF(CS483="","",CS483*MAX(0,1-CV483/H483))</f>
        <v>10.5729166666667</v>
      </c>
      <c r="CY483" s="64" t="n">
        <f aca="false">IF(CS483="","",PERCENTRANK($CS$7:$CS$1843,CS483)+PERCENTRANK($CU$7:$CU$1843,CU483)+1-PERCENTRANK($CT$7:$CT$1843,CT483))</f>
        <v>1.995</v>
      </c>
      <c r="CZ483" s="72" t="n">
        <f aca="false">IF(CS483="","",CHOOSE(MATCH(Einkauf!$C$5,Parameter!$G$23:$G$27,0),CY483,CS483,CU483,-CT483,CW483)+ROW()/1000000000)</f>
        <v>1.995000483</v>
      </c>
    </row>
    <row r="484" customFormat="false" ht="15" hidden="false" customHeight="false" outlineLevel="0" collapsed="false">
      <c r="A484" s="60" t="s">
        <v>1116</v>
      </c>
      <c r="B484" s="60" t="s">
        <v>761</v>
      </c>
      <c r="C484" s="60" t="s">
        <v>206</v>
      </c>
      <c r="D484" s="60" t="s">
        <v>226</v>
      </c>
      <c r="E484" s="60"/>
      <c r="F484" s="60" t="s">
        <v>260</v>
      </c>
      <c r="G484" s="61" t="n">
        <v>9.11</v>
      </c>
      <c r="H484" s="62" t="n">
        <f aca="false">MAX(0,IF(AND(Parameter!$B$21="Ja",ISNUMBER(Y484)),Y484,IF(Parameter!$B$20="Jahresanfang 2025 + Export",BS484+BR484,BR484)))</f>
        <v>5</v>
      </c>
      <c r="I484" s="62" t="n">
        <f aca="false">H484*G484</f>
        <v>45.55</v>
      </c>
      <c r="J484" s="62" t="n">
        <f aca="false">BU484*Parameter!$B$18</f>
        <v>15</v>
      </c>
      <c r="K484" s="63" t="n">
        <v>2.5</v>
      </c>
      <c r="L484" s="64" t="n">
        <v>6</v>
      </c>
      <c r="M484" s="62" t="n">
        <v>1</v>
      </c>
      <c r="N484" s="62" t="n">
        <v>15</v>
      </c>
      <c r="O484" s="65" t="n">
        <v>28</v>
      </c>
      <c r="P484" s="60" t="s">
        <v>370</v>
      </c>
      <c r="Q484" s="62" t="n">
        <v>10</v>
      </c>
      <c r="R484" s="65" t="n">
        <f aca="false">IF(CA484=1,0,IFERROR(VLOOKUP(BY484,'Gebinde-Kategorie'!$A$5:$N$45,13,0)+0,0))</f>
        <v>52</v>
      </c>
      <c r="S484" s="66"/>
      <c r="T484" s="67"/>
      <c r="U484" s="67"/>
      <c r="V484" s="67"/>
      <c r="W484" s="60"/>
      <c r="X484" s="62"/>
      <c r="Y484" s="62"/>
      <c r="Z484" s="60" t="n">
        <v>3</v>
      </c>
      <c r="AA484" s="60" t="n">
        <f aca="false">IF(A484="","",IF(AND(Parameter!$B$21="Ja",ISNUMBER(W484)),W484,IF(AND(Parameter!$E$27="Ja",ISNUMBER(Z484),CD484&lt;&gt;"Nein"),Z484,IF(CD484="2+3",IF(ISNUMBER(SEARCH("grosser Artikel",BV484)),2,IFERROR(VLOOKUP(BY484,Parameter!$F$35:$G$64,2,0),2)),IF(OR(CD484="Nein",CD484=""),"-",CD484)))))</f>
        <v>3</v>
      </c>
      <c r="AB484" s="67"/>
      <c r="AC484" s="68"/>
      <c r="AD484" s="62" t="n">
        <f aca="false">AW484</f>
        <v>16</v>
      </c>
      <c r="AE484" s="62" t="n">
        <f aca="false">MAX(AW484,H484)</f>
        <v>16</v>
      </c>
      <c r="AF484" s="69"/>
      <c r="AG484" s="62" t="n">
        <f aca="false">IF(LEFT(Cockpit!$C$5,1)="A",H484,IF(Parameter!$E$30="MAX-Bestand",IF(CI484=1,CJ484,IF(LEFT(Cockpit!$C$5,1)="B",AM484,MAX(AM484,H484))),ROUNDUP(AK484,0)))</f>
        <v>5</v>
      </c>
      <c r="AH484" s="62" t="n">
        <f aca="false">IF(CA484=1,0,ROUNDUP(AG484/BZ484,0))</f>
        <v>1</v>
      </c>
      <c r="AI484" s="64" t="n">
        <f aca="false">IF(CR484&gt;0,CR484*MAX(1,AG484/X484),IF(CA484=1,IF(AG484&lt;=0,0,CE484*MAX(1,IF(H484&gt;0,AG484/H484,1))),IF(R484&gt;0,AH484/R484,0))/MAX(0.1,N(Parameter!$M$21)))</f>
        <v>0.0192307692307692</v>
      </c>
      <c r="AJ484" s="62" t="n">
        <f aca="false">AI484*CC484</f>
        <v>2.98076923076923</v>
      </c>
      <c r="AK484" s="63" t="n">
        <f aca="false">IF(LEFT(Cockpit!$C$5,1)="A",H484,IF(CI484=1,(CL484+CJ484)/2,IF(LEFT(Cockpit!$C$5,1)="B",(CL484+AM484)/2,MAX((CL484+AM484)/2,H484))))</f>
        <v>5</v>
      </c>
      <c r="AL484" s="62" t="n">
        <f aca="false">AK484*G484</f>
        <v>45.55</v>
      </c>
      <c r="AM484" s="62" t="n">
        <f aca="false">ROUNDUP(CL484+MAX(CM484,2*(J484/IF(CH484&gt;0,CH484,MAX(0.1,N(Cockpit!$C$6)))-CL484)),0)</f>
        <v>16</v>
      </c>
      <c r="AN484" s="63" t="n">
        <f aca="false">IF(AJ484&gt;0,J484/AJ484,-1)</f>
        <v>5.03225806451613</v>
      </c>
      <c r="AO484" s="63" t="n">
        <f aca="false">IF(AND(OR(CG484="L1",CG484="L23",CG484="LIFT"),AJ484&gt;0),SUMIFS($AJ$7:$AJ$1843,$CG$7:$CG$1843,CG484,$AN$7:$AN$1843,"&gt;"&amp;AN484)+SUMIFS($AJ$7:$AJ$1843,$CG$7:$CG$1843,CG484,$AN$7:$AN$1843,AN484,$BX$7:$BX$1843,"&lt;="&amp;BX484),"")</f>
        <v>3888.12408424908</v>
      </c>
      <c r="AP484" s="70" t="n">
        <f aca="false">IF(AO484="",0,MAX(0,MIN(1,(IF(CG484="L1",Parameter!$H$5,IF(CG484="L23",Parameter!$H$6+Parameter!$H$7,Parameter!$H$5+Parameter!$H$6+Parameter!$H$7))-(AO484-AJ484))/AJ484)))</f>
        <v>1</v>
      </c>
      <c r="AQ484" s="62" t="n">
        <f aca="false">IF(LEFT(Cockpit!$I$5,1)="A",H484,IF(Parameter!$E$30="MAX-Bestand",IF(CI484=1,CJ484,IF(LEFT(Cockpit!$I$5,1)="B",AW484,MAX(AW484,H484))),ROUNDUP(AU484,0)))</f>
        <v>9</v>
      </c>
      <c r="AR484" s="62" t="n">
        <f aca="false">IF(CA484=1,0,ROUNDUP(AQ484/BZ484,0))</f>
        <v>1</v>
      </c>
      <c r="AS484" s="64" t="n">
        <f aca="false">IF(CR484&gt;0,CR484*MAX(1,AQ484/X484),IF(CA484=1,IF(AQ484&lt;=0,0,CE484*MAX(1,IF(H484&gt;0,AQ484/H484,1))),IF(R484&gt;0,AR484/R484,0))/MAX(0.1,N(Parameter!$M$21)))</f>
        <v>0.0192307692307692</v>
      </c>
      <c r="AT484" s="62" t="n">
        <f aca="false">AS484*CC484</f>
        <v>2.98076923076923</v>
      </c>
      <c r="AU484" s="63" t="n">
        <f aca="false">IF(LEFT(Cockpit!$I$5,1)="A",H484,IF(CI484=1,(CL484+CJ484)/2,IF(LEFT(Cockpit!$I$5,1)="B",(CL484+AW484)/2,MAX((CL484+AW484)/2,H484))))</f>
        <v>8.5</v>
      </c>
      <c r="AV484" s="62" t="n">
        <f aca="false">AU484*G484</f>
        <v>77.435</v>
      </c>
      <c r="AW484" s="62" t="n">
        <f aca="false">ROUNDUP(CL484+MAX(CM484,2*(J484/IF(CH484&gt;0,CH484,MAX(0.1,N(Cockpit!$I$6)))-CL484)),0)</f>
        <v>16</v>
      </c>
      <c r="AX484" s="63" t="n">
        <f aca="false">IF(AT484&gt;0,J484/AT484,-1)</f>
        <v>5.03225806451613</v>
      </c>
      <c r="AY484" s="63" t="n">
        <f aca="false">IF(AND(OR(CG484="L1",CG484="L23",CG484="LIFT"),AT484&gt;0),SUMIFS($AT$7:$AT$1843,$CG$7:$CG$1843,CG484,$AX$7:$AX$1843,"&gt;"&amp;AX484)+SUMIFS($AT$7:$AT$1843,$CG$7:$CG$1843,CG484,$AX$7:$AX$1843,AX484,$BX$7:$BX$1843,"&lt;="&amp;BX484),"")</f>
        <v>4484.36492673993</v>
      </c>
      <c r="AZ484" s="70" t="n">
        <f aca="false">IF(AY484="",0,MAX(0,MIN(1,(IF(CG484="L1",Parameter!$H$5,IF(CG484="L23",Parameter!$H$6+Parameter!$H$7,Parameter!$H$5+Parameter!$H$6+Parameter!$H$7))-(AY484-AT484))/AT484)))</f>
        <v>1</v>
      </c>
      <c r="BA484" s="62" t="n">
        <f aca="false">IF(LEFT(Cockpit!$O$5,1)="A",H484,IF(Parameter!$E$30="MAX-Bestand",IF(CI484=1,CJ484,IF(LEFT(Cockpit!$O$5,1)="B",BG484,MAX(BG484,H484))),ROUNDUP(BE484,0)))</f>
        <v>9</v>
      </c>
      <c r="BB484" s="62" t="n">
        <f aca="false">IF(CA484=1,0,ROUNDUP(BA484/BZ484,0))</f>
        <v>1</v>
      </c>
      <c r="BC484" s="64" t="n">
        <f aca="false">IF(CR484&gt;0,CR484*MAX(1,BA484/X484),IF(CA484=1,IF(BA484&lt;=0,0,CE484*MAX(1,IF(H484&gt;0,BA484/H484,1))),IF(R484&gt;0,BB484/R484,0))/MAX(0.1,N(Parameter!$M$21)))</f>
        <v>0.0192307692307692</v>
      </c>
      <c r="BD484" s="62" t="n">
        <f aca="false">BC484*CC484</f>
        <v>2.98076923076923</v>
      </c>
      <c r="BE484" s="63" t="n">
        <f aca="false">IF(LEFT(Cockpit!$O$5,1)="A",H484,IF(CI484=1,(CL484+CJ484)/2,IF(LEFT(Cockpit!$O$5,1)="B",(CL484+BG484)/2,MAX((CL484+BG484)/2,H484))))</f>
        <v>8.5</v>
      </c>
      <c r="BF484" s="62" t="n">
        <f aca="false">BE484*G484</f>
        <v>77.435</v>
      </c>
      <c r="BG484" s="62" t="n">
        <f aca="false">ROUNDUP(CL484+MAX(CM484,2*(J484/IF(CH484&gt;0,CH484,MAX(0.1,N(Cockpit!$O$6)))-CL484)),0)</f>
        <v>16</v>
      </c>
      <c r="BH484" s="63" t="n">
        <f aca="false">IF(BD484&gt;0,J484/BD484,-1)</f>
        <v>5.03225806451613</v>
      </c>
      <c r="BI484" s="63" t="n">
        <f aca="false">IF(AND(OR(CG484="L1",CG484="L23",CG484="LIFT"),BD484&gt;0),SUMIFS($BD$7:$BD$1843,$CG$7:$CG$1843,CG484,$BH$7:$BH$1843,"&gt;"&amp;BH484)+SUMIFS($BD$7:$BD$1843,$CG$7:$CG$1843,CG484,$BH$7:$BH$1843,BH484,$BX$7:$BX$1843,"&lt;="&amp;BX484),"")</f>
        <v>3700.41575091575</v>
      </c>
      <c r="BJ484" s="70" t="n">
        <f aca="false">IF(BI484="",0,MAX(0,MIN(1,(IF(CG484="L1",Parameter!$H$5,IF(CG484="L23",Parameter!$H$6+Parameter!$H$7,Parameter!$H$5+Parameter!$H$6+Parameter!$H$7))-(BI484-BD484))/BD484)))</f>
        <v>1</v>
      </c>
      <c r="BK484" s="60" t="str">
        <f aca="false">IF(AJ484&lt;=0,"",IF(CG484="Aussen","Aussenlager",IF(CG484="-","Nicht im Lift",IF(AP484&gt;=1,"Lift",IF(AP484&lt;=0,"Aussenlager","teilweise")))))</f>
        <v>Lift</v>
      </c>
      <c r="BL484" s="60" t="str">
        <f aca="false">IF(AT484&lt;=0,"",IF(CG484="Aussen","Aussenlager",IF(CG484="-","Nicht im Lift",IF(AZ484&gt;=1,"Lift",IF(AZ484&lt;=0,"Aussenlager","teilweise")))))</f>
        <v>Lift</v>
      </c>
      <c r="BM484" s="60" t="str">
        <f aca="false">IF(BD484&lt;=0,"",IF(CG484="Aussen","Aussenlager",IF(CG484="-","Nicht im Lift",IF(BJ484&gt;=1,"Lift",IF(BJ484&lt;=0,"Aussenlager","teilweise")))))</f>
        <v>Lift</v>
      </c>
      <c r="BN484" s="60" t="str">
        <f aca="false">IF(A484="","",IF(BW484=1,"Neu; ","")&amp;IF(AND(BW484=0,BR484&lt;0),"negativer Bestand (Export "&amp;BR484&amp;"); ","")&amp;IF(J484&lt;=0,"Kein Verbrauch; ","")&amp;IF(CR484&gt;0,"Lift "&amp;W484&amp;" lt. Liftbericht (Fach "&amp;X484&amp;" Stk); ",IF(CB484=1,"Gebinde geschätzt ("&amp;T484&amp;"); ",IF(CA484=1,"Lose – Tablare geschätzt; ","")))&amp;IF(H484&gt;AW484,"Überbestand "&amp;ROUND(H484-AW484,0)&amp;" Stk / CHF "&amp;ROUND((H484-AW484)*G484,0)&amp;"; ","")&amp;IF(AND(CI484=1,CJ484&lt;CK484),"MAX &lt; MB+LG; ","")&amp;IF(AND(CQ484&gt;0,CP484*10&gt;CQ484),"zu hoch für Tablar; ","")&amp;IF(AND(BW484=0,OR(CI484=1,AB484&lt;&gt;"",U484&lt;&gt;"",V484&lt;&gt;"",AC484&lt;&gt;"")),"manuell übersteuert; ","")&amp;IF(AND(CA484=0,R484=0),"Gebinde unbekannt / Stellmass fehlt; ","")&amp;IF(AND(CA484=0,N(V484)&lt;=0,N(Q484)&lt;=0),"Menge pro Gebinde fehlt (Ist = 1 Gebinde); ","")&amp;BV484)</f>
        <v/>
      </c>
      <c r="BO484" s="60"/>
      <c r="BP484" s="60"/>
      <c r="BQ484" s="67"/>
      <c r="BR484" s="62" t="n">
        <v>5</v>
      </c>
      <c r="BS484" s="62" t="n">
        <v>0</v>
      </c>
      <c r="BT484" s="61" t="n">
        <v>45.55</v>
      </c>
      <c r="BU484" s="62" t="n">
        <v>15</v>
      </c>
      <c r="BV484" s="60"/>
      <c r="BW484" s="65" t="n">
        <v>0</v>
      </c>
      <c r="BX484" s="65" t="n">
        <v>484</v>
      </c>
      <c r="BY484" s="60" t="str">
        <f aca="false">IF(U484&lt;&gt;"",UPPER(TRIM(U484)),IF(CB484=1,UPPER(VLOOKUP(T484,Parameter!$I$27:$K$29,2,0)),IF(P484="","LOSE",P484)))</f>
        <v>S41</v>
      </c>
      <c r="BZ484" s="62" t="n">
        <f aca="false">IF(BY484="LOSE",1,IF(N(V484)&gt;0,V484,IF(CB484=1,MAX(1,N(VLOOKUP(T484,Parameter!$I$27:$K$29,3,0)),H484,N(N484)),IF(N(Q484)&gt;0,Q484,MAX(1,H484)))))</f>
        <v>10</v>
      </c>
      <c r="CA484" s="65" t="n">
        <f aca="false">IF(BY484="LOSE",1,0)</f>
        <v>0</v>
      </c>
      <c r="CB484" s="65" t="n">
        <f aca="false">IF(AND(U484="",OR(P484="",P484="LOSE"),T484&lt;&gt;"",N(S484)&lt;=0,ISNUMBER(MATCH(T484,Parameter!$I$27:$I$29,0))),1,0)</f>
        <v>0</v>
      </c>
      <c r="CC484" s="65" t="n">
        <f aca="false">IF(CR484&gt;0,INDEX(Parameter!$H$5:$H$7,W484)/INDEX(Parameter!$E$5:$E$7,W484),IF(AND(CA484=0,N(IFERROR(VLOOKUP(BY484,'Gebinde-Kategorie'!$A$5:$N$45,14,0),0))&gt;0),VLOOKUP(BY484,'Gebinde-Kategorie'!$A$5:$N$45,14,0)*10+Parameter!$M$23,Parameter!$M$24))</f>
        <v>155</v>
      </c>
      <c r="CD484" s="60" t="str">
        <f aca="false">IF(AND(Parameter!$B$19="Ja",E484&lt;&gt;"",ISNUMBER(MATCH(E484,Parameter!$I$35:$I$52,0))),VLOOKUP(E484,Parameter!$I$35:$J$52,2,0),IFERROR(VLOOKUP(D484,Parameter!$A$35:$C$64,2,0),"Nein"))</f>
        <v>2+3</v>
      </c>
      <c r="CE484" s="64" t="n">
        <f aca="false">IF(CA484=0,0,IF(N(S484)&gt;0,S484,IFERROR(VLOOKUP(D484,Parameter!$A$35:$C$64,3,0)+0,0)))</f>
        <v>0</v>
      </c>
      <c r="CF484" s="60" t="n">
        <f aca="false">IF(AB484&lt;&gt;"",AB484,AA484)</f>
        <v>3</v>
      </c>
      <c r="CG484" s="60" t="str">
        <f aca="false">IF(OR(CF484=1,CF484=2,CF484=3),IF(Parameter!$E$27="Ja","LIFT",IF(CF484=1,"L1","L23")),IF(CF484="Aussen","Aussen","-"))</f>
        <v>LIFT</v>
      </c>
      <c r="CH484" s="71" t="n">
        <f aca="false">IF(N(AC484)&gt;0,AC484,0)</f>
        <v>0</v>
      </c>
      <c r="CI484" s="65" t="n">
        <f aca="false">IF(ISNUMBER(AF484),1,0)</f>
        <v>0</v>
      </c>
      <c r="CJ484" s="62" t="n">
        <f aca="false">N(AF484)</f>
        <v>0</v>
      </c>
      <c r="CK484" s="62" t="n">
        <f aca="false">N(M484)+N(N484)</f>
        <v>16</v>
      </c>
      <c r="CL484" s="62" t="n">
        <f aca="false">N(M484)</f>
        <v>1</v>
      </c>
      <c r="CM484" s="62" t="n">
        <f aca="false">N(N484)</f>
        <v>15</v>
      </c>
      <c r="CN484" s="62" t="n">
        <f aca="false">ROUNDUP(H484/BZ484,0)</f>
        <v>1</v>
      </c>
      <c r="CO484" s="62" t="n">
        <f aca="false">ROUNDUP(CJ484/BZ484,0)</f>
        <v>0</v>
      </c>
      <c r="CP484" s="65" t="n">
        <f aca="false">IF(CA484=1,0,IFERROR(VLOOKUP(BY484,'Gebinde-Kategorie'!$A$5:$N$45,5,0)+0,0))</f>
        <v>11</v>
      </c>
      <c r="CQ484" s="65" t="n">
        <f aca="false">IFERROR(IF(OR(CF484=1,CF484=2,CF484=3),N(INDEX(Parameter!$I$5:$I$7,CF484)),0),0)</f>
        <v>0</v>
      </c>
      <c r="CR484" s="64" t="n">
        <f aca="false">IF(AND(Parameter!$B$21="Ja",ISNUMBER(W484),N(X484)&gt;0),IFERROR(N(INDEX(Parameter!$L$5:$L$7,W484))*INDEX(Parameter!$E$5:$E$7,W484)*X484/SUMIFS($X$7:$X$1843,$W$7:$W$1843,W484),0),0)</f>
        <v>0</v>
      </c>
      <c r="CS484" s="62" t="n">
        <f aca="false">IF(AND(OR(CG484="L1",CG484="L23",CG484="LIFT"),H484&gt;0),CC484*IF(CR484&gt;0,CR484*MAX(1,H484/X484),IF(CA484=1,CE484,IF(R484&gt;0,CN484/R484,0))/MAX(0.1,N(Parameter!$M$21))),"")</f>
        <v>2.98076923076923</v>
      </c>
      <c r="CT484" s="64" t="n">
        <f aca="false">IF(CS484="","",J484/H484)</f>
        <v>3</v>
      </c>
      <c r="CU484" s="62" t="n">
        <f aca="false">IF(CS484="","",H484*G484)</f>
        <v>45.55</v>
      </c>
      <c r="CV484" s="63" t="n">
        <f aca="false">IF(CS484="","",(CL484+ROUNDUP(CL484+MAX(CM484,2*(J484/MAX(0.1,N(Einkauf!$C$6))-CL484)),0))/2)</f>
        <v>8.5</v>
      </c>
      <c r="CW484" s="62" t="n">
        <f aca="false">IF(CS484="","",MAX(0,H484-CV484)*G484)</f>
        <v>0</v>
      </c>
      <c r="CX484" s="62" t="n">
        <f aca="false">IF(CS484="","",CS484*MAX(0,1-CV484/H484))</f>
        <v>0</v>
      </c>
      <c r="CY484" s="64" t="n">
        <f aca="false">IF(CS484="","",PERCENTRANK($CS$7:$CS$1843,CS484)+PERCENTRANK($CU$7:$CU$1843,CU484)+1-PERCENTRANK($CT$7:$CT$1843,CT484))</f>
        <v>0.47</v>
      </c>
      <c r="CZ484" s="72" t="n">
        <f aca="false">IF(CS484="","",CHOOSE(MATCH(Einkauf!$C$5,Parameter!$G$23:$G$27,0),CY484,CS484,CU484,-CT484,CW484)+ROW()/1000000000)</f>
        <v>0.470000484</v>
      </c>
    </row>
    <row r="485" customFormat="false" ht="15" hidden="false" customHeight="false" outlineLevel="0" collapsed="false">
      <c r="A485" s="60" t="s">
        <v>1117</v>
      </c>
      <c r="B485" s="60" t="s">
        <v>1118</v>
      </c>
      <c r="C485" s="60" t="s">
        <v>206</v>
      </c>
      <c r="D485" s="60" t="s">
        <v>226</v>
      </c>
      <c r="E485" s="60" t="s">
        <v>227</v>
      </c>
      <c r="F485" s="60" t="s">
        <v>260</v>
      </c>
      <c r="G485" s="61" t="n">
        <v>0.66</v>
      </c>
      <c r="H485" s="62" t="n">
        <f aca="false">MAX(0,IF(AND(Parameter!$B$21="Ja",ISNUMBER(Y485)),Y485,IF(Parameter!$B$20="Jahresanfang 2025 + Export",BS485+BR485,BR485)))</f>
        <v>253</v>
      </c>
      <c r="I485" s="62" t="n">
        <f aca="false">H485*G485</f>
        <v>166.98</v>
      </c>
      <c r="J485" s="62" t="n">
        <f aca="false">BU485*Parameter!$B$18</f>
        <v>37</v>
      </c>
      <c r="K485" s="63" t="n">
        <v>110.5</v>
      </c>
      <c r="L485" s="64" t="n">
        <v>0.334841628959276</v>
      </c>
      <c r="M485" s="62" t="n">
        <v>1</v>
      </c>
      <c r="N485" s="62" t="n">
        <v>35</v>
      </c>
      <c r="O485" s="65" t="n">
        <v>14</v>
      </c>
      <c r="P485" s="60" t="s">
        <v>463</v>
      </c>
      <c r="Q485" s="62" t="n">
        <v>94</v>
      </c>
      <c r="R485" s="65" t="n">
        <f aca="false">IF(CA485=1,0,IFERROR(VLOOKUP(BY485,'Gebinde-Kategorie'!$A$5:$N$45,13,0)+0,0))</f>
        <v>104</v>
      </c>
      <c r="S485" s="66"/>
      <c r="T485" s="67"/>
      <c r="U485" s="67"/>
      <c r="V485" s="67"/>
      <c r="W485" s="60"/>
      <c r="X485" s="62"/>
      <c r="Y485" s="62"/>
      <c r="Z485" s="60" t="n">
        <v>3</v>
      </c>
      <c r="AA485" s="60" t="n">
        <f aca="false">IF(A485="","",IF(AND(Parameter!$B$21="Ja",ISNUMBER(W485)),W485,IF(AND(Parameter!$E$27="Ja",ISNUMBER(Z485),CD485&lt;&gt;"Nein"),Z485,IF(CD485="2+3",IF(ISNUMBER(SEARCH("grosser Artikel",BV485)),2,IFERROR(VLOOKUP(BY485,Parameter!$F$35:$G$64,2,0),2)),IF(OR(CD485="Nein",CD485=""),"-",CD485)))))</f>
        <v>3</v>
      </c>
      <c r="AB485" s="67"/>
      <c r="AC485" s="68"/>
      <c r="AD485" s="62" t="n">
        <f aca="false">AW485</f>
        <v>36</v>
      </c>
      <c r="AE485" s="62" t="n">
        <f aca="false">MAX(AW485,H485)</f>
        <v>253</v>
      </c>
      <c r="AF485" s="69"/>
      <c r="AG485" s="62" t="n">
        <f aca="false">IF(LEFT(Cockpit!$C$5,1)="A",H485,IF(Parameter!$E$30="MAX-Bestand",IF(CI485=1,CJ485,IF(LEFT(Cockpit!$C$5,1)="B",AM485,MAX(AM485,H485))),ROUNDUP(AK485,0)))</f>
        <v>253</v>
      </c>
      <c r="AH485" s="62" t="n">
        <f aca="false">IF(CA485=1,0,ROUNDUP(AG485/BZ485,0))</f>
        <v>3</v>
      </c>
      <c r="AI485" s="64" t="n">
        <f aca="false">IF(CR485&gt;0,CR485*MAX(1,AG485/X485),IF(CA485=1,IF(AG485&lt;=0,0,CE485*MAX(1,IF(H485&gt;0,AG485/H485,1))),IF(R485&gt;0,AH485/R485,0))/MAX(0.1,N(Parameter!$M$21)))</f>
        <v>0.0288461538461538</v>
      </c>
      <c r="AJ485" s="62" t="n">
        <f aca="false">AI485*CC485</f>
        <v>4.47115384615385</v>
      </c>
      <c r="AK485" s="63" t="n">
        <f aca="false">IF(LEFT(Cockpit!$C$5,1)="A",H485,IF(CI485=1,(CL485+CJ485)/2,IF(LEFT(Cockpit!$C$5,1)="B",(CL485+AM485)/2,MAX((CL485+AM485)/2,H485))))</f>
        <v>253</v>
      </c>
      <c r="AL485" s="62" t="n">
        <f aca="false">AK485*G485</f>
        <v>166.98</v>
      </c>
      <c r="AM485" s="62" t="n">
        <f aca="false">ROUNDUP(CL485+MAX(CM485,2*(J485/IF(CH485&gt;0,CH485,MAX(0.1,N(Cockpit!$C$6)))-CL485)),0)</f>
        <v>36</v>
      </c>
      <c r="AN485" s="63" t="n">
        <f aca="false">IF(AJ485&gt;0,J485/AJ485,-1)</f>
        <v>8.2752688172043</v>
      </c>
      <c r="AO485" s="63" t="n">
        <f aca="false">IF(AND(OR(CG485="L1",CG485="L23",CG485="LIFT"),AJ485&gt;0),SUMIFS($AJ$7:$AJ$1843,$CG$7:$CG$1843,CG485,$AN$7:$AN$1843,"&gt;"&amp;AN485)+SUMIFS($AJ$7:$AJ$1843,$CG$7:$CG$1843,CG485,$AN$7:$AN$1843,AN485,$BX$7:$BX$1843,"&lt;="&amp;BX485),"")</f>
        <v>2998.28846153846</v>
      </c>
      <c r="AP485" s="70" t="n">
        <f aca="false">IF(AO485="",0,MAX(0,MIN(1,(IF(CG485="L1",Parameter!$H$5,IF(CG485="L23",Parameter!$H$6+Parameter!$H$7,Parameter!$H$5+Parameter!$H$6+Parameter!$H$7))-(AO485-AJ485))/AJ485)))</f>
        <v>1</v>
      </c>
      <c r="AQ485" s="62" t="n">
        <f aca="false">IF(LEFT(Cockpit!$I$5,1)="A",H485,IF(Parameter!$E$30="MAX-Bestand",IF(CI485=1,CJ485,IF(LEFT(Cockpit!$I$5,1)="B",AW485,MAX(AW485,H485))),ROUNDUP(AU485,0)))</f>
        <v>253</v>
      </c>
      <c r="AR485" s="62" t="n">
        <f aca="false">IF(CA485=1,0,ROUNDUP(AQ485/BZ485,0))</f>
        <v>3</v>
      </c>
      <c r="AS485" s="64" t="n">
        <f aca="false">IF(CR485&gt;0,CR485*MAX(1,AQ485/X485),IF(CA485=1,IF(AQ485&lt;=0,0,CE485*MAX(1,IF(H485&gt;0,AQ485/H485,1))),IF(R485&gt;0,AR485/R485,0))/MAX(0.1,N(Parameter!$M$21)))</f>
        <v>0.0288461538461538</v>
      </c>
      <c r="AT485" s="62" t="n">
        <f aca="false">AS485*CC485</f>
        <v>4.47115384615385</v>
      </c>
      <c r="AU485" s="63" t="n">
        <f aca="false">IF(LEFT(Cockpit!$I$5,1)="A",H485,IF(CI485=1,(CL485+CJ485)/2,IF(LEFT(Cockpit!$I$5,1)="B",(CL485+AW485)/2,MAX((CL485+AW485)/2,H485))))</f>
        <v>253</v>
      </c>
      <c r="AV485" s="62" t="n">
        <f aca="false">AU485*G485</f>
        <v>166.98</v>
      </c>
      <c r="AW485" s="62" t="n">
        <f aca="false">ROUNDUP(CL485+MAX(CM485,2*(J485/IF(CH485&gt;0,CH485,MAX(0.1,N(Cockpit!$I$6)))-CL485)),0)</f>
        <v>36</v>
      </c>
      <c r="AX485" s="63" t="n">
        <f aca="false">IF(AT485&gt;0,J485/AT485,-1)</f>
        <v>8.2752688172043</v>
      </c>
      <c r="AY485" s="63" t="n">
        <f aca="false">IF(AND(OR(CG485="L1",CG485="L23",CG485="LIFT"),AT485&gt;0),SUMIFS($AT$7:$AT$1843,$CG$7:$CG$1843,CG485,$AX$7:$AX$1843,"&gt;"&amp;AX485)+SUMIFS($AT$7:$AT$1843,$CG$7:$CG$1843,CG485,$AX$7:$AX$1843,AX485,$BX$7:$BX$1843,"&lt;="&amp;BX485),"")</f>
        <v>3584.52655677656</v>
      </c>
      <c r="AZ485" s="70" t="n">
        <f aca="false">IF(AY485="",0,MAX(0,MIN(1,(IF(CG485="L1",Parameter!$H$5,IF(CG485="L23",Parameter!$H$6+Parameter!$H$7,Parameter!$H$5+Parameter!$H$6+Parameter!$H$7))-(AY485-AT485))/AT485)))</f>
        <v>1</v>
      </c>
      <c r="BA485" s="62" t="n">
        <f aca="false">IF(LEFT(Cockpit!$O$5,1)="A",H485,IF(Parameter!$E$30="MAX-Bestand",IF(CI485=1,CJ485,IF(LEFT(Cockpit!$O$5,1)="B",BG485,MAX(BG485,H485))),ROUNDUP(BE485,0)))</f>
        <v>19</v>
      </c>
      <c r="BB485" s="62" t="n">
        <f aca="false">IF(CA485=1,0,ROUNDUP(BA485/BZ485,0))</f>
        <v>1</v>
      </c>
      <c r="BC485" s="64" t="n">
        <f aca="false">IF(CR485&gt;0,CR485*MAX(1,BA485/X485),IF(CA485=1,IF(BA485&lt;=0,0,CE485*MAX(1,IF(H485&gt;0,BA485/H485,1))),IF(R485&gt;0,BB485/R485,0))/MAX(0.1,N(Parameter!$M$21)))</f>
        <v>0.00961538461538462</v>
      </c>
      <c r="BD485" s="62" t="n">
        <f aca="false">BC485*CC485</f>
        <v>1.49038461538462</v>
      </c>
      <c r="BE485" s="63" t="n">
        <f aca="false">IF(LEFT(Cockpit!$O$5,1)="A",H485,IF(CI485=1,(CL485+CJ485)/2,IF(LEFT(Cockpit!$O$5,1)="B",(CL485+BG485)/2,MAX((CL485+BG485)/2,H485))))</f>
        <v>18.5</v>
      </c>
      <c r="BF485" s="62" t="n">
        <f aca="false">BE485*G485</f>
        <v>12.21</v>
      </c>
      <c r="BG485" s="62" t="n">
        <f aca="false">ROUNDUP(CL485+MAX(CM485,2*(J485/IF(CH485&gt;0,CH485,MAX(0.1,N(Cockpit!$O$6)))-CL485)),0)</f>
        <v>36</v>
      </c>
      <c r="BH485" s="63" t="n">
        <f aca="false">IF(BD485&gt;0,J485/BD485,-1)</f>
        <v>24.8258064516129</v>
      </c>
      <c r="BI485" s="63" t="n">
        <f aca="false">IF(AND(OR(CG485="L1",CG485="L23",CG485="LIFT"),BD485&gt;0),SUMIFS($BD$7:$BD$1843,$CG$7:$CG$1843,CG485,$BH$7:$BH$1843,"&gt;"&amp;BH485)+SUMIFS($BD$7:$BD$1843,$CG$7:$CG$1843,CG485,$BH$7:$BH$1843,BH485,$BX$7:$BX$1843,"&lt;="&amp;BX485),"")</f>
        <v>2087.91208791209</v>
      </c>
      <c r="BJ485" s="70" t="n">
        <f aca="false">IF(BI485="",0,MAX(0,MIN(1,(IF(CG485="L1",Parameter!$H$5,IF(CG485="L23",Parameter!$H$6+Parameter!$H$7,Parameter!$H$5+Parameter!$H$6+Parameter!$H$7))-(BI485-BD485))/BD485)))</f>
        <v>1</v>
      </c>
      <c r="BK485" s="60" t="str">
        <f aca="false">IF(AJ485&lt;=0,"",IF(CG485="Aussen","Aussenlager",IF(CG485="-","Nicht im Lift",IF(AP485&gt;=1,"Lift",IF(AP485&lt;=0,"Aussenlager","teilweise")))))</f>
        <v>Lift</v>
      </c>
      <c r="BL485" s="60" t="str">
        <f aca="false">IF(AT485&lt;=0,"",IF(CG485="Aussen","Aussenlager",IF(CG485="-","Nicht im Lift",IF(AZ485&gt;=1,"Lift",IF(AZ485&lt;=0,"Aussenlager","teilweise")))))</f>
        <v>Lift</v>
      </c>
      <c r="BM485" s="60" t="str">
        <f aca="false">IF(BD485&lt;=0,"",IF(CG485="Aussen","Aussenlager",IF(CG485="-","Nicht im Lift",IF(BJ485&gt;=1,"Lift",IF(BJ485&lt;=0,"Aussenlager","teilweise")))))</f>
        <v>Lift</v>
      </c>
      <c r="BN485" s="60" t="str">
        <f aca="false">IF(A485="","",IF(BW485=1,"Neu; ","")&amp;IF(AND(BW485=0,BR485&lt;0),"negativer Bestand (Export "&amp;BR485&amp;"); ","")&amp;IF(J485&lt;=0,"Kein Verbrauch; ","")&amp;IF(CR485&gt;0,"Lift "&amp;W485&amp;" lt. Liftbericht (Fach "&amp;X485&amp;" Stk); ",IF(CB485=1,"Gebinde geschätzt ("&amp;T485&amp;"); ",IF(CA485=1,"Lose – Tablare geschätzt; ","")))&amp;IF(H485&gt;AW485,"Überbestand "&amp;ROUND(H485-AW485,0)&amp;" Stk / CHF "&amp;ROUND((H485-AW485)*G485,0)&amp;"; ","")&amp;IF(AND(CI485=1,CJ485&lt;CK485),"MAX &lt; MB+LG; ","")&amp;IF(AND(CQ485&gt;0,CP485*10&gt;CQ485),"zu hoch für Tablar; ","")&amp;IF(AND(BW485=0,OR(CI485=1,AB485&lt;&gt;"",U485&lt;&gt;"",V485&lt;&gt;"",AC485&lt;&gt;"")),"manuell übersteuert; ","")&amp;IF(AND(CA485=0,R485=0),"Gebinde unbekannt / Stellmass fehlt; ","")&amp;IF(AND(CA485=0,N(V485)&lt;=0,N(Q485)&lt;=0),"Menge pro Gebinde fehlt (Ist = 1 Gebinde); ","")&amp;BV485)</f>
        <v>Überbestand 217 Stk / CHF 143; </v>
      </c>
      <c r="BO485" s="60"/>
      <c r="BP485" s="60"/>
      <c r="BQ485" s="67"/>
      <c r="BR485" s="62" t="n">
        <v>93</v>
      </c>
      <c r="BS485" s="62" t="n">
        <v>160</v>
      </c>
      <c r="BT485" s="61" t="n">
        <v>45.38</v>
      </c>
      <c r="BU485" s="62" t="n">
        <v>37</v>
      </c>
      <c r="BV485" s="60"/>
      <c r="BW485" s="65" t="n">
        <v>0</v>
      </c>
      <c r="BX485" s="65" t="n">
        <v>485</v>
      </c>
      <c r="BY485" s="60" t="str">
        <f aca="false">IF(U485&lt;&gt;"",UPPER(TRIM(U485)),IF(CB485=1,UPPER(VLOOKUP(T485,Parameter!$I$27:$K$29,2,0)),IF(P485="","LOSE",P485)))</f>
        <v>S32</v>
      </c>
      <c r="BZ485" s="62" t="n">
        <f aca="false">IF(BY485="LOSE",1,IF(N(V485)&gt;0,V485,IF(CB485=1,MAX(1,N(VLOOKUP(T485,Parameter!$I$27:$K$29,3,0)),H485,N(N485)),IF(N(Q485)&gt;0,Q485,MAX(1,H485)))))</f>
        <v>94</v>
      </c>
      <c r="CA485" s="65" t="n">
        <f aca="false">IF(BY485="LOSE",1,0)</f>
        <v>0</v>
      </c>
      <c r="CB485" s="65" t="n">
        <f aca="false">IF(AND(U485="",OR(P485="",P485="LOSE"),T485&lt;&gt;"",N(S485)&lt;=0,ISNUMBER(MATCH(T485,Parameter!$I$27:$I$29,0))),1,0)</f>
        <v>0</v>
      </c>
      <c r="CC485" s="65" t="n">
        <f aca="false">IF(CR485&gt;0,INDEX(Parameter!$H$5:$H$7,W485)/INDEX(Parameter!$E$5:$E$7,W485),IF(AND(CA485=0,N(IFERROR(VLOOKUP(BY485,'Gebinde-Kategorie'!$A$5:$N$45,14,0),0))&gt;0),VLOOKUP(BY485,'Gebinde-Kategorie'!$A$5:$N$45,14,0)*10+Parameter!$M$23,Parameter!$M$24))</f>
        <v>155</v>
      </c>
      <c r="CD485" s="60" t="str">
        <f aca="false">IF(AND(Parameter!$B$19="Ja",E485&lt;&gt;"",ISNUMBER(MATCH(E485,Parameter!$I$35:$I$52,0))),VLOOKUP(E485,Parameter!$I$35:$J$52,2,0),IFERROR(VLOOKUP(D485,Parameter!$A$35:$C$64,2,0),"Nein"))</f>
        <v>2+3</v>
      </c>
      <c r="CE485" s="64" t="n">
        <f aca="false">IF(CA485=0,0,IF(N(S485)&gt;0,S485,IFERROR(VLOOKUP(D485,Parameter!$A$35:$C$64,3,0)+0,0)))</f>
        <v>0</v>
      </c>
      <c r="CF485" s="60" t="n">
        <f aca="false">IF(AB485&lt;&gt;"",AB485,AA485)</f>
        <v>3</v>
      </c>
      <c r="CG485" s="60" t="str">
        <f aca="false">IF(OR(CF485=1,CF485=2,CF485=3),IF(Parameter!$E$27="Ja","LIFT",IF(CF485=1,"L1","L23")),IF(CF485="Aussen","Aussen","-"))</f>
        <v>LIFT</v>
      </c>
      <c r="CH485" s="71" t="n">
        <f aca="false">IF(N(AC485)&gt;0,AC485,0)</f>
        <v>0</v>
      </c>
      <c r="CI485" s="65" t="n">
        <f aca="false">IF(ISNUMBER(AF485),1,0)</f>
        <v>0</v>
      </c>
      <c r="CJ485" s="62" t="n">
        <f aca="false">N(AF485)</f>
        <v>0</v>
      </c>
      <c r="CK485" s="62" t="n">
        <f aca="false">N(M485)+N(N485)</f>
        <v>36</v>
      </c>
      <c r="CL485" s="62" t="n">
        <f aca="false">N(M485)</f>
        <v>1</v>
      </c>
      <c r="CM485" s="62" t="n">
        <f aca="false">N(N485)</f>
        <v>35</v>
      </c>
      <c r="CN485" s="62" t="n">
        <f aca="false">ROUNDUP(H485/BZ485,0)</f>
        <v>3</v>
      </c>
      <c r="CO485" s="62" t="n">
        <f aca="false">ROUNDUP(CJ485/BZ485,0)</f>
        <v>0</v>
      </c>
      <c r="CP485" s="65" t="n">
        <f aca="false">IF(CA485=1,0,IFERROR(VLOOKUP(BY485,'Gebinde-Kategorie'!$A$5:$N$45,5,0)+0,0))</f>
        <v>8</v>
      </c>
      <c r="CQ485" s="65" t="n">
        <f aca="false">IFERROR(IF(OR(CF485=1,CF485=2,CF485=3),N(INDEX(Parameter!$I$5:$I$7,CF485)),0),0)</f>
        <v>0</v>
      </c>
      <c r="CR485" s="64" t="n">
        <f aca="false">IF(AND(Parameter!$B$21="Ja",ISNUMBER(W485),N(X485)&gt;0),IFERROR(N(INDEX(Parameter!$L$5:$L$7,W485))*INDEX(Parameter!$E$5:$E$7,W485)*X485/SUMIFS($X$7:$X$1843,$W$7:$W$1843,W485),0),0)</f>
        <v>0</v>
      </c>
      <c r="CS485" s="62" t="n">
        <f aca="false">IF(AND(OR(CG485="L1",CG485="L23",CG485="LIFT"),H485&gt;0),CC485*IF(CR485&gt;0,CR485*MAX(1,H485/X485),IF(CA485=1,CE485,IF(R485&gt;0,CN485/R485,0))/MAX(0.1,N(Parameter!$M$21))),"")</f>
        <v>4.47115384615385</v>
      </c>
      <c r="CT485" s="64" t="n">
        <f aca="false">IF(CS485="","",J485/H485)</f>
        <v>0.146245059288538</v>
      </c>
      <c r="CU485" s="62" t="n">
        <f aca="false">IF(CS485="","",H485*G485)</f>
        <v>166.98</v>
      </c>
      <c r="CV485" s="63" t="n">
        <f aca="false">IF(CS485="","",(CL485+ROUNDUP(CL485+MAX(CM485,2*(J485/MAX(0.1,N(Einkauf!$C$6))-CL485)),0))/2)</f>
        <v>18.5</v>
      </c>
      <c r="CW485" s="62" t="n">
        <f aca="false">IF(CS485="","",MAX(0,H485-CV485)*G485)</f>
        <v>154.77</v>
      </c>
      <c r="CX485" s="62" t="n">
        <f aca="false">IF(CS485="","",CS485*MAX(0,1-CV485/H485))</f>
        <v>4.14421176649438</v>
      </c>
      <c r="CY485" s="64" t="n">
        <f aca="false">IF(CS485="","",PERCENTRANK($CS$7:$CS$1843,CS485)+PERCENTRANK($CU$7:$CU$1843,CU485)+1-PERCENTRANK($CT$7:$CT$1843,CT485))</f>
        <v>1.206</v>
      </c>
      <c r="CZ485" s="72" t="n">
        <f aca="false">IF(CS485="","",CHOOSE(MATCH(Einkauf!$C$5,Parameter!$G$23:$G$27,0),CY485,CS485,CU485,-CT485,CW485)+ROW()/1000000000)</f>
        <v>1.206000485</v>
      </c>
    </row>
    <row r="486" customFormat="false" ht="15" hidden="false" customHeight="false" outlineLevel="0" collapsed="false">
      <c r="A486" s="60" t="s">
        <v>1119</v>
      </c>
      <c r="B486" s="60" t="s">
        <v>1120</v>
      </c>
      <c r="C486" s="60" t="s">
        <v>206</v>
      </c>
      <c r="D486" s="60" t="s">
        <v>215</v>
      </c>
      <c r="E486" s="60"/>
      <c r="F486" s="60" t="s">
        <v>260</v>
      </c>
      <c r="G486" s="61" t="n">
        <v>0.09</v>
      </c>
      <c r="H486" s="62" t="n">
        <f aca="false">MAX(0,IF(AND(Parameter!$B$21="Ja",ISNUMBER(Y486)),Y486,IF(Parameter!$B$20="Jahresanfang 2025 + Export",BS486+BR486,BR486)))</f>
        <v>500</v>
      </c>
      <c r="I486" s="62" t="n">
        <f aca="false">H486*G486</f>
        <v>45</v>
      </c>
      <c r="J486" s="62" t="n">
        <f aca="false">BU486*Parameter!$B$18</f>
        <v>0</v>
      </c>
      <c r="K486" s="63" t="n">
        <v>250</v>
      </c>
      <c r="L486" s="64" t="n">
        <v>0</v>
      </c>
      <c r="M486" s="62" t="n">
        <v>0</v>
      </c>
      <c r="N486" s="62" t="n">
        <v>1</v>
      </c>
      <c r="O486" s="65" t="n">
        <v>105</v>
      </c>
      <c r="P486" s="60" t="s">
        <v>210</v>
      </c>
      <c r="Q486" s="62"/>
      <c r="R486" s="65" t="n">
        <f aca="false">IF(CA486=1,0,IFERROR(VLOOKUP(BY486,'Gebinde-Kategorie'!$A$5:$N$45,13,0)+0,0))</f>
        <v>26</v>
      </c>
      <c r="S486" s="66"/>
      <c r="T486" s="67" t="s">
        <v>317</v>
      </c>
      <c r="U486" s="67"/>
      <c r="V486" s="67"/>
      <c r="W486" s="60"/>
      <c r="X486" s="62"/>
      <c r="Y486" s="62"/>
      <c r="Z486" s="60" t="n">
        <v>3</v>
      </c>
      <c r="AA486" s="60" t="n">
        <f aca="false">IF(A486="","",IF(AND(Parameter!$B$21="Ja",ISNUMBER(W486)),W486,IF(AND(Parameter!$E$27="Ja",ISNUMBER(Z486),CD486&lt;&gt;"Nein"),Z486,IF(CD486="2+3",IF(ISNUMBER(SEARCH("grosser Artikel",BV486)),2,IFERROR(VLOOKUP(BY486,Parameter!$F$35:$G$64,2,0),2)),IF(OR(CD486="Nein",CD486=""),"-",CD486)))))</f>
        <v>3</v>
      </c>
      <c r="AB486" s="67"/>
      <c r="AC486" s="68"/>
      <c r="AD486" s="62" t="n">
        <f aca="false">AW486</f>
        <v>1</v>
      </c>
      <c r="AE486" s="62" t="n">
        <f aca="false">MAX(AW486,H486)</f>
        <v>500</v>
      </c>
      <c r="AF486" s="69"/>
      <c r="AG486" s="62" t="n">
        <f aca="false">IF(LEFT(Cockpit!$C$5,1)="A",H486,IF(Parameter!$E$30="MAX-Bestand",IF(CI486=1,CJ486,IF(LEFT(Cockpit!$C$5,1)="B",AM486,MAX(AM486,H486))),ROUNDUP(AK486,0)))</f>
        <v>500</v>
      </c>
      <c r="AH486" s="62" t="n">
        <f aca="false">IF(CA486=1,0,ROUNDUP(AG486/BZ486,0))</f>
        <v>1</v>
      </c>
      <c r="AI486" s="64" t="n">
        <f aca="false">IF(CR486&gt;0,CR486*MAX(1,AG486/X486),IF(CA486=1,IF(AG486&lt;=0,0,CE486*MAX(1,IF(H486&gt;0,AG486/H486,1))),IF(R486&gt;0,AH486/R486,0))/MAX(0.1,N(Parameter!$M$21)))</f>
        <v>0.0384615384615385</v>
      </c>
      <c r="AJ486" s="62" t="n">
        <f aca="false">AI486*CC486</f>
        <v>5.96153846153846</v>
      </c>
      <c r="AK486" s="63" t="n">
        <f aca="false">IF(LEFT(Cockpit!$C$5,1)="A",H486,IF(CI486=1,(CL486+CJ486)/2,IF(LEFT(Cockpit!$C$5,1)="B",(CL486+AM486)/2,MAX((CL486+AM486)/2,H486))))</f>
        <v>500</v>
      </c>
      <c r="AL486" s="62" t="n">
        <f aca="false">AK486*G486</f>
        <v>45</v>
      </c>
      <c r="AM486" s="62" t="n">
        <f aca="false">ROUNDUP(CL486+MAX(CM486,2*(J486/IF(CH486&gt;0,CH486,MAX(0.1,N(Cockpit!$C$6)))-CL486)),0)</f>
        <v>1</v>
      </c>
      <c r="AN486" s="63" t="n">
        <f aca="false">IF(AJ486&gt;0,J486/AJ486,-1)</f>
        <v>0</v>
      </c>
      <c r="AO486" s="63" t="n">
        <f aca="false">IF(AND(OR(CG486="L1",CG486="L23",CG486="LIFT"),AJ486&gt;0),SUMIFS($AJ$7:$AJ$1843,$CG$7:$CG$1843,CG486,$AN$7:$AN$1843,"&gt;"&amp;AN486)+SUMIFS($AJ$7:$AJ$1843,$CG$7:$CG$1843,CG486,$AN$7:$AN$1843,AN486,$BX$7:$BX$1843,"&lt;="&amp;BX486),"")</f>
        <v>28241.976816498</v>
      </c>
      <c r="AP486" s="70" t="n">
        <f aca="false">IF(AO486="",0,MAX(0,MIN(1,(IF(CG486="L1",Parameter!$H$5,IF(CG486="L23",Parameter!$H$6+Parameter!$H$7,Parameter!$H$5+Parameter!$H$6+Parameter!$H$7))-(AO486-AJ486))/AJ486)))</f>
        <v>1</v>
      </c>
      <c r="AQ486" s="62" t="n">
        <f aca="false">IF(LEFT(Cockpit!$I$5,1)="A",H486,IF(Parameter!$E$30="MAX-Bestand",IF(CI486=1,CJ486,IF(LEFT(Cockpit!$I$5,1)="B",AW486,MAX(AW486,H486))),ROUNDUP(AU486,0)))</f>
        <v>500</v>
      </c>
      <c r="AR486" s="62" t="n">
        <f aca="false">IF(CA486=1,0,ROUNDUP(AQ486/BZ486,0))</f>
        <v>1</v>
      </c>
      <c r="AS486" s="64" t="n">
        <f aca="false">IF(CR486&gt;0,CR486*MAX(1,AQ486/X486),IF(CA486=1,IF(AQ486&lt;=0,0,CE486*MAX(1,IF(H486&gt;0,AQ486/H486,1))),IF(R486&gt;0,AR486/R486,0))/MAX(0.1,N(Parameter!$M$21)))</f>
        <v>0.0384615384615385</v>
      </c>
      <c r="AT486" s="62" t="n">
        <f aca="false">AS486*CC486</f>
        <v>5.96153846153846</v>
      </c>
      <c r="AU486" s="63" t="n">
        <f aca="false">IF(LEFT(Cockpit!$I$5,1)="A",H486,IF(CI486=1,(CL486+CJ486)/2,IF(LEFT(Cockpit!$I$5,1)="B",(CL486+AW486)/2,MAX((CL486+AW486)/2,H486))))</f>
        <v>500</v>
      </c>
      <c r="AV486" s="62" t="n">
        <f aca="false">AU486*G486</f>
        <v>45</v>
      </c>
      <c r="AW486" s="62" t="n">
        <f aca="false">ROUNDUP(CL486+MAX(CM486,2*(J486/IF(CH486&gt;0,CH486,MAX(0.1,N(Cockpit!$I$6)))-CL486)),0)</f>
        <v>1</v>
      </c>
      <c r="AX486" s="63" t="n">
        <f aca="false">IF(AT486&gt;0,J486/AT486,-1)</f>
        <v>0</v>
      </c>
      <c r="AY486" s="63" t="n">
        <f aca="false">IF(AND(OR(CG486="L1",CG486="L23",CG486="LIFT"),AT486&gt;0),SUMIFS($AT$7:$AT$1843,$CG$7:$CG$1843,CG486,$AX$7:$AX$1843,"&gt;"&amp;AX486)+SUMIFS($AT$7:$AT$1843,$CG$7:$CG$1843,CG486,$AX$7:$AX$1843,AX486,$BX$7:$BX$1843,"&lt;="&amp;BX486),"")</f>
        <v>33595.1254578755</v>
      </c>
      <c r="AZ486" s="70" t="n">
        <f aca="false">IF(AY486="",0,MAX(0,MIN(1,(IF(CG486="L1",Parameter!$H$5,IF(CG486="L23",Parameter!$H$6+Parameter!$H$7,Parameter!$H$5+Parameter!$H$6+Parameter!$H$7))-(AY486-AT486))/AT486)))</f>
        <v>1</v>
      </c>
      <c r="BA486" s="62" t="n">
        <f aca="false">IF(LEFT(Cockpit!$O$5,1)="A",H486,IF(Parameter!$E$30="MAX-Bestand",IF(CI486=1,CJ486,IF(LEFT(Cockpit!$O$5,1)="B",BG486,MAX(BG486,H486))),ROUNDUP(BE486,0)))</f>
        <v>1</v>
      </c>
      <c r="BB486" s="62" t="n">
        <f aca="false">IF(CA486=1,0,ROUNDUP(BA486/BZ486,0))</f>
        <v>1</v>
      </c>
      <c r="BC486" s="64" t="n">
        <f aca="false">IF(CR486&gt;0,CR486*MAX(1,BA486/X486),IF(CA486=1,IF(BA486&lt;=0,0,CE486*MAX(1,IF(H486&gt;0,BA486/H486,1))),IF(R486&gt;0,BB486/R486,0))/MAX(0.1,N(Parameter!$M$21)))</f>
        <v>0.0384615384615385</v>
      </c>
      <c r="BD486" s="62" t="n">
        <f aca="false">BC486*CC486</f>
        <v>5.96153846153846</v>
      </c>
      <c r="BE486" s="63" t="n">
        <f aca="false">IF(LEFT(Cockpit!$O$5,1)="A",H486,IF(CI486=1,(CL486+CJ486)/2,IF(LEFT(Cockpit!$O$5,1)="B",(CL486+BG486)/2,MAX((CL486+BG486)/2,H486))))</f>
        <v>0.5</v>
      </c>
      <c r="BF486" s="62" t="n">
        <f aca="false">BE486*G486</f>
        <v>0.045</v>
      </c>
      <c r="BG486" s="62" t="n">
        <f aca="false">ROUNDUP(CL486+MAX(CM486,2*(J486/IF(CH486&gt;0,CH486,MAX(0.1,N(Cockpit!$O$6)))-CL486)),0)</f>
        <v>1</v>
      </c>
      <c r="BH486" s="63" t="n">
        <f aca="false">IF(BD486&gt;0,J486/BD486,-1)</f>
        <v>0</v>
      </c>
      <c r="BI486" s="63" t="n">
        <f aca="false">IF(AND(OR(CG486="L1",CG486="L23",CG486="LIFT"),BD486&gt;0),SUMIFS($BD$7:$BD$1843,$CG$7:$CG$1843,CG486,$BH$7:$BH$1843,"&gt;"&amp;BH486)+SUMIFS($BD$7:$BD$1843,$CG$7:$CG$1843,CG486,$BH$7:$BH$1843,BH486,$BX$7:$BX$1843,"&lt;="&amp;BX486),"")</f>
        <v>27702.3602315763</v>
      </c>
      <c r="BJ486" s="70" t="n">
        <f aca="false">IF(BI486="",0,MAX(0,MIN(1,(IF(CG486="L1",Parameter!$H$5,IF(CG486="L23",Parameter!$H$6+Parameter!$H$7,Parameter!$H$5+Parameter!$H$6+Parameter!$H$7))-(BI486-BD486))/BD486)))</f>
        <v>1</v>
      </c>
      <c r="BK486" s="60" t="str">
        <f aca="false">IF(AJ486&lt;=0,"",IF(CG486="Aussen","Aussenlager",IF(CG486="-","Nicht im Lift",IF(AP486&gt;=1,"Lift",IF(AP486&lt;=0,"Aussenlager","teilweise")))))</f>
        <v>Lift</v>
      </c>
      <c r="BL486" s="60" t="str">
        <f aca="false">IF(AT486&lt;=0,"",IF(CG486="Aussen","Aussenlager",IF(CG486="-","Nicht im Lift",IF(AZ486&gt;=1,"Lift",IF(AZ486&lt;=0,"Aussenlager","teilweise")))))</f>
        <v>Lift</v>
      </c>
      <c r="BM486" s="60" t="str">
        <f aca="false">IF(BD486&lt;=0,"",IF(CG486="Aussen","Aussenlager",IF(CG486="-","Nicht im Lift",IF(BJ486&gt;=1,"Lift",IF(BJ486&lt;=0,"Aussenlager","teilweise")))))</f>
        <v>Lift</v>
      </c>
      <c r="BN486" s="60" t="str">
        <f aca="false">IF(A486="","",IF(BW486=1,"Neu; ","")&amp;IF(AND(BW486=0,BR486&lt;0),"negativer Bestand (Export "&amp;BR486&amp;"); ","")&amp;IF(J486&lt;=0,"Kein Verbrauch; ","")&amp;IF(CR486&gt;0,"Lift "&amp;W486&amp;" lt. Liftbericht (Fach "&amp;X486&amp;" Stk); ",IF(CB486=1,"Gebinde geschätzt ("&amp;T486&amp;"); ",IF(CA486=1,"Lose – Tablare geschätzt; ","")))&amp;IF(H486&gt;AW486,"Überbestand "&amp;ROUND(H486-AW486,0)&amp;" Stk / CHF "&amp;ROUND((H486-AW486)*G486,0)&amp;"; ","")&amp;IF(AND(CI486=1,CJ486&lt;CK486),"MAX &lt; MB+LG; ","")&amp;IF(AND(CQ486&gt;0,CP486*10&gt;CQ486),"zu hoch für Tablar; ","")&amp;IF(AND(BW486=0,OR(CI486=1,AB486&lt;&gt;"",U486&lt;&gt;"",V486&lt;&gt;"",AC486&lt;&gt;"")),"manuell übersteuert; ","")&amp;IF(AND(CA486=0,R486=0),"Gebinde unbekannt / Stellmass fehlt; ","")&amp;IF(AND(CA486=0,N(V486)&lt;=0,N(Q486)&lt;=0),"Menge pro Gebinde fehlt (Ist = 1 Gebinde); ","")&amp;BV486)</f>
        <v>Kein Verbrauch; Gebinde geschätzt (Klein); Überbestand 499 Stk / CHF 45; Menge pro Gebinde fehlt (Ist = 1 Gebinde); </v>
      </c>
      <c r="BO486" s="60"/>
      <c r="BP486" s="60"/>
      <c r="BQ486" s="67"/>
      <c r="BR486" s="62" t="n">
        <v>500</v>
      </c>
      <c r="BS486" s="62" t="n">
        <v>0</v>
      </c>
      <c r="BT486" s="61" t="n">
        <v>45</v>
      </c>
      <c r="BU486" s="62" t="n">
        <v>0</v>
      </c>
      <c r="BV486" s="60"/>
      <c r="BW486" s="65" t="n">
        <v>0</v>
      </c>
      <c r="BX486" s="65" t="n">
        <v>486</v>
      </c>
      <c r="BY486" s="60" t="str">
        <f aca="false">IF(U486&lt;&gt;"",UPPER(TRIM(U486)),IF(CB486=1,UPPER(VLOOKUP(T486,Parameter!$I$27:$K$29,2,0)),IF(P486="","LOSE",P486)))</f>
        <v>S51</v>
      </c>
      <c r="BZ486" s="62" t="n">
        <f aca="false">IF(BY486="LOSE",1,IF(N(V486)&gt;0,V486,IF(CB486=1,MAX(1,N(VLOOKUP(T486,Parameter!$I$27:$K$29,3,0)),H486,N(N486)),IF(N(Q486)&gt;0,Q486,MAX(1,H486)))))</f>
        <v>500</v>
      </c>
      <c r="CA486" s="65" t="n">
        <f aca="false">IF(BY486="LOSE",1,0)</f>
        <v>0</v>
      </c>
      <c r="CB486" s="65" t="n">
        <f aca="false">IF(AND(U486="",OR(P486="",P486="LOSE"),T486&lt;&gt;"",N(S486)&lt;=0,ISNUMBER(MATCH(T486,Parameter!$I$27:$I$29,0))),1,0)</f>
        <v>1</v>
      </c>
      <c r="CC486" s="65" t="n">
        <f aca="false">IF(CR486&gt;0,INDEX(Parameter!$H$5:$H$7,W486)/INDEX(Parameter!$E$5:$E$7,W486),IF(AND(CA486=0,N(IFERROR(VLOOKUP(BY486,'Gebinde-Kategorie'!$A$5:$N$45,14,0),0))&gt;0),VLOOKUP(BY486,'Gebinde-Kategorie'!$A$5:$N$45,14,0)*10+Parameter!$M$23,Parameter!$M$24))</f>
        <v>155</v>
      </c>
      <c r="CD486" s="60" t="str">
        <f aca="false">IF(AND(Parameter!$B$19="Ja",E486&lt;&gt;"",ISNUMBER(MATCH(E486,Parameter!$I$35:$I$52,0))),VLOOKUP(E486,Parameter!$I$35:$J$52,2,0),IFERROR(VLOOKUP(D486,Parameter!$A$35:$C$64,2,0),"Nein"))</f>
        <v>2+3</v>
      </c>
      <c r="CE486" s="64" t="n">
        <f aca="false">IF(CA486=0,0,IF(N(S486)&gt;0,S486,IFERROR(VLOOKUP(D486,Parameter!$A$35:$C$64,3,0)+0,0)))</f>
        <v>0</v>
      </c>
      <c r="CF486" s="60" t="n">
        <f aca="false">IF(AB486&lt;&gt;"",AB486,AA486)</f>
        <v>3</v>
      </c>
      <c r="CG486" s="60" t="str">
        <f aca="false">IF(OR(CF486=1,CF486=2,CF486=3),IF(Parameter!$E$27="Ja","LIFT",IF(CF486=1,"L1","L23")),IF(CF486="Aussen","Aussen","-"))</f>
        <v>LIFT</v>
      </c>
      <c r="CH486" s="71" t="n">
        <f aca="false">IF(N(AC486)&gt;0,AC486,0)</f>
        <v>0</v>
      </c>
      <c r="CI486" s="65" t="n">
        <f aca="false">IF(ISNUMBER(AF486),1,0)</f>
        <v>0</v>
      </c>
      <c r="CJ486" s="62" t="n">
        <f aca="false">N(AF486)</f>
        <v>0</v>
      </c>
      <c r="CK486" s="62" t="n">
        <f aca="false">N(M486)+N(N486)</f>
        <v>1</v>
      </c>
      <c r="CL486" s="62" t="n">
        <f aca="false">N(M486)</f>
        <v>0</v>
      </c>
      <c r="CM486" s="62" t="n">
        <f aca="false">N(N486)</f>
        <v>1</v>
      </c>
      <c r="CN486" s="62" t="n">
        <f aca="false">ROUNDUP(H486/BZ486,0)</f>
        <v>1</v>
      </c>
      <c r="CO486" s="62" t="n">
        <f aca="false">ROUNDUP(CJ486/BZ486,0)</f>
        <v>0</v>
      </c>
      <c r="CP486" s="65" t="n">
        <f aca="false">IF(CA486=1,0,IFERROR(VLOOKUP(BY486,'Gebinde-Kategorie'!$A$5:$N$45,5,0)+0,0))</f>
        <v>11</v>
      </c>
      <c r="CQ486" s="65" t="n">
        <f aca="false">IFERROR(IF(OR(CF486=1,CF486=2,CF486=3),N(INDEX(Parameter!$I$5:$I$7,CF486)),0),0)</f>
        <v>0</v>
      </c>
      <c r="CR486" s="64" t="n">
        <f aca="false">IF(AND(Parameter!$B$21="Ja",ISNUMBER(W486),N(X486)&gt;0),IFERROR(N(INDEX(Parameter!$L$5:$L$7,W486))*INDEX(Parameter!$E$5:$E$7,W486)*X486/SUMIFS($X$7:$X$1843,$W$7:$W$1843,W486),0),0)</f>
        <v>0</v>
      </c>
      <c r="CS486" s="62" t="n">
        <f aca="false">IF(AND(OR(CG486="L1",CG486="L23",CG486="LIFT"),H486&gt;0),CC486*IF(CR486&gt;0,CR486*MAX(1,H486/X486),IF(CA486=1,CE486,IF(R486&gt;0,CN486/R486,0))/MAX(0.1,N(Parameter!$M$21))),"")</f>
        <v>5.96153846153846</v>
      </c>
      <c r="CT486" s="64" t="n">
        <f aca="false">IF(CS486="","",J486/H486)</f>
        <v>0</v>
      </c>
      <c r="CU486" s="62" t="n">
        <f aca="false">IF(CS486="","",H486*G486)</f>
        <v>45</v>
      </c>
      <c r="CV486" s="63" t="n">
        <f aca="false">IF(CS486="","",(CL486+ROUNDUP(CL486+MAX(CM486,2*(J486/MAX(0.1,N(Einkauf!$C$6))-CL486)),0))/2)</f>
        <v>0.5</v>
      </c>
      <c r="CW486" s="62" t="n">
        <f aca="false">IF(CS486="","",MAX(0,H486-CV486)*G486)</f>
        <v>44.955</v>
      </c>
      <c r="CX486" s="62" t="n">
        <f aca="false">IF(CS486="","",CS486*MAX(0,1-CV486/H486))</f>
        <v>5.95557692307692</v>
      </c>
      <c r="CY486" s="64" t="n">
        <f aca="false">IF(CS486="","",PERCENTRANK($CS$7:$CS$1843,CS486)+PERCENTRANK($CU$7:$CU$1843,CU486)+1-PERCENTRANK($CT$7:$CT$1843,CT486))</f>
        <v>1.498</v>
      </c>
      <c r="CZ486" s="72" t="n">
        <f aca="false">IF(CS486="","",CHOOSE(MATCH(Einkauf!$C$5,Parameter!$G$23:$G$27,0),CY486,CS486,CU486,-CT486,CW486)+ROW()/1000000000)</f>
        <v>1.498000486</v>
      </c>
    </row>
    <row r="487" customFormat="false" ht="15" hidden="false" customHeight="false" outlineLevel="0" collapsed="false">
      <c r="A487" s="60" t="s">
        <v>1121</v>
      </c>
      <c r="B487" s="60" t="s">
        <v>1122</v>
      </c>
      <c r="C487" s="60" t="s">
        <v>206</v>
      </c>
      <c r="D487" s="60" t="s">
        <v>226</v>
      </c>
      <c r="E487" s="60"/>
      <c r="F487" s="60" t="s">
        <v>260</v>
      </c>
      <c r="G487" s="61" t="n">
        <v>1.49</v>
      </c>
      <c r="H487" s="62" t="n">
        <f aca="false">MAX(0,IF(AND(Parameter!$B$21="Ja",ISNUMBER(Y487)),Y487,IF(Parameter!$B$20="Jahresanfang 2025 + Export",BS487+BR487,BR487)))</f>
        <v>30</v>
      </c>
      <c r="I487" s="62" t="n">
        <f aca="false">H487*G487</f>
        <v>44.7</v>
      </c>
      <c r="J487" s="62" t="n">
        <f aca="false">BU487*Parameter!$B$18</f>
        <v>0</v>
      </c>
      <c r="K487" s="63" t="n">
        <v>0</v>
      </c>
      <c r="L487" s="64" t="n">
        <v>0</v>
      </c>
      <c r="M487" s="62" t="n">
        <v>0</v>
      </c>
      <c r="N487" s="62" t="n">
        <v>10</v>
      </c>
      <c r="O487" s="65" t="n">
        <v>9999</v>
      </c>
      <c r="P487" s="60" t="s">
        <v>210</v>
      </c>
      <c r="Q487" s="62"/>
      <c r="R487" s="65" t="n">
        <f aca="false">IF(CA487=1,0,IFERROR(VLOOKUP(BY487,'Gebinde-Kategorie'!$A$5:$N$45,13,0)+0,0))</f>
        <v>26</v>
      </c>
      <c r="S487" s="66"/>
      <c r="T487" s="67" t="s">
        <v>317</v>
      </c>
      <c r="U487" s="67"/>
      <c r="V487" s="67"/>
      <c r="W487" s="60"/>
      <c r="X487" s="62"/>
      <c r="Y487" s="62"/>
      <c r="Z487" s="60" t="n">
        <v>3</v>
      </c>
      <c r="AA487" s="60" t="n">
        <f aca="false">IF(A487="","",IF(AND(Parameter!$B$21="Ja",ISNUMBER(W487)),W487,IF(AND(Parameter!$E$27="Ja",ISNUMBER(Z487),CD487&lt;&gt;"Nein"),Z487,IF(CD487="2+3",IF(ISNUMBER(SEARCH("grosser Artikel",BV487)),2,IFERROR(VLOOKUP(BY487,Parameter!$F$35:$G$64,2,0),2)),IF(OR(CD487="Nein",CD487=""),"-",CD487)))))</f>
        <v>3</v>
      </c>
      <c r="AB487" s="67"/>
      <c r="AC487" s="68"/>
      <c r="AD487" s="62" t="n">
        <f aca="false">AW487</f>
        <v>10</v>
      </c>
      <c r="AE487" s="62" t="n">
        <f aca="false">MAX(AW487,H487)</f>
        <v>30</v>
      </c>
      <c r="AF487" s="69"/>
      <c r="AG487" s="62" t="n">
        <f aca="false">IF(LEFT(Cockpit!$C$5,1)="A",H487,IF(Parameter!$E$30="MAX-Bestand",IF(CI487=1,CJ487,IF(LEFT(Cockpit!$C$5,1)="B",AM487,MAX(AM487,H487))),ROUNDUP(AK487,0)))</f>
        <v>30</v>
      </c>
      <c r="AH487" s="62" t="n">
        <f aca="false">IF(CA487=1,0,ROUNDUP(AG487/BZ487,0))</f>
        <v>1</v>
      </c>
      <c r="AI487" s="64" t="n">
        <f aca="false">IF(CR487&gt;0,CR487*MAX(1,AG487/X487),IF(CA487=1,IF(AG487&lt;=0,0,CE487*MAX(1,IF(H487&gt;0,AG487/H487,1))),IF(R487&gt;0,AH487/R487,0))/MAX(0.1,N(Parameter!$M$21)))</f>
        <v>0.0384615384615385</v>
      </c>
      <c r="AJ487" s="62" t="n">
        <f aca="false">AI487*CC487</f>
        <v>5.96153846153846</v>
      </c>
      <c r="AK487" s="63" t="n">
        <f aca="false">IF(LEFT(Cockpit!$C$5,1)="A",H487,IF(CI487=1,(CL487+CJ487)/2,IF(LEFT(Cockpit!$C$5,1)="B",(CL487+AM487)/2,MAX((CL487+AM487)/2,H487))))</f>
        <v>30</v>
      </c>
      <c r="AL487" s="62" t="n">
        <f aca="false">AK487*G487</f>
        <v>44.7</v>
      </c>
      <c r="AM487" s="62" t="n">
        <f aca="false">ROUNDUP(CL487+MAX(CM487,2*(J487/IF(CH487&gt;0,CH487,MAX(0.1,N(Cockpit!$C$6)))-CL487)),0)</f>
        <v>10</v>
      </c>
      <c r="AN487" s="63" t="n">
        <f aca="false">IF(AJ487&gt;0,J487/AJ487,-1)</f>
        <v>0</v>
      </c>
      <c r="AO487" s="63" t="n">
        <f aca="false">IF(AND(OR(CG487="L1",CG487="L23",CG487="LIFT"),AJ487&gt;0),SUMIFS($AJ$7:$AJ$1843,$CG$7:$CG$1843,CG487,$AN$7:$AN$1843,"&gt;"&amp;AN487)+SUMIFS($AJ$7:$AJ$1843,$CG$7:$CG$1843,CG487,$AN$7:$AN$1843,AN487,$BX$7:$BX$1843,"&lt;="&amp;BX487),"")</f>
        <v>28247.9383549595</v>
      </c>
      <c r="AP487" s="70" t="n">
        <f aca="false">IF(AO487="",0,MAX(0,MIN(1,(IF(CG487="L1",Parameter!$H$5,IF(CG487="L23",Parameter!$H$6+Parameter!$H$7,Parameter!$H$5+Parameter!$H$6+Parameter!$H$7))-(AO487-AJ487))/AJ487)))</f>
        <v>1</v>
      </c>
      <c r="AQ487" s="62" t="n">
        <f aca="false">IF(LEFT(Cockpit!$I$5,1)="A",H487,IF(Parameter!$E$30="MAX-Bestand",IF(CI487=1,CJ487,IF(LEFT(Cockpit!$I$5,1)="B",AW487,MAX(AW487,H487))),ROUNDUP(AU487,0)))</f>
        <v>30</v>
      </c>
      <c r="AR487" s="62" t="n">
        <f aca="false">IF(CA487=1,0,ROUNDUP(AQ487/BZ487,0))</f>
        <v>1</v>
      </c>
      <c r="AS487" s="64" t="n">
        <f aca="false">IF(CR487&gt;0,CR487*MAX(1,AQ487/X487),IF(CA487=1,IF(AQ487&lt;=0,0,CE487*MAX(1,IF(H487&gt;0,AQ487/H487,1))),IF(R487&gt;0,AR487/R487,0))/MAX(0.1,N(Parameter!$M$21)))</f>
        <v>0.0384615384615385</v>
      </c>
      <c r="AT487" s="62" t="n">
        <f aca="false">AS487*CC487</f>
        <v>5.96153846153846</v>
      </c>
      <c r="AU487" s="63" t="n">
        <f aca="false">IF(LEFT(Cockpit!$I$5,1)="A",H487,IF(CI487=1,(CL487+CJ487)/2,IF(LEFT(Cockpit!$I$5,1)="B",(CL487+AW487)/2,MAX((CL487+AW487)/2,H487))))</f>
        <v>30</v>
      </c>
      <c r="AV487" s="62" t="n">
        <f aca="false">AU487*G487</f>
        <v>44.7</v>
      </c>
      <c r="AW487" s="62" t="n">
        <f aca="false">ROUNDUP(CL487+MAX(CM487,2*(J487/IF(CH487&gt;0,CH487,MAX(0.1,N(Cockpit!$I$6)))-CL487)),0)</f>
        <v>10</v>
      </c>
      <c r="AX487" s="63" t="n">
        <f aca="false">IF(AT487&gt;0,J487/AT487,-1)</f>
        <v>0</v>
      </c>
      <c r="AY487" s="63" t="n">
        <f aca="false">IF(AND(OR(CG487="L1",CG487="L23",CG487="LIFT"),AT487&gt;0),SUMIFS($AT$7:$AT$1843,$CG$7:$CG$1843,CG487,$AX$7:$AX$1843,"&gt;"&amp;AX487)+SUMIFS($AT$7:$AT$1843,$CG$7:$CG$1843,CG487,$AX$7:$AX$1843,AX487,$BX$7:$BX$1843,"&lt;="&amp;BX487),"")</f>
        <v>33601.086996337</v>
      </c>
      <c r="AZ487" s="70" t="n">
        <f aca="false">IF(AY487="",0,MAX(0,MIN(1,(IF(CG487="L1",Parameter!$H$5,IF(CG487="L23",Parameter!$H$6+Parameter!$H$7,Parameter!$H$5+Parameter!$H$6+Parameter!$H$7))-(AY487-AT487))/AT487)))</f>
        <v>1</v>
      </c>
      <c r="BA487" s="62" t="n">
        <f aca="false">IF(LEFT(Cockpit!$O$5,1)="A",H487,IF(Parameter!$E$30="MAX-Bestand",IF(CI487=1,CJ487,IF(LEFT(Cockpit!$O$5,1)="B",BG487,MAX(BG487,H487))),ROUNDUP(BE487,0)))</f>
        <v>5</v>
      </c>
      <c r="BB487" s="62" t="n">
        <f aca="false">IF(CA487=1,0,ROUNDUP(BA487/BZ487,0))</f>
        <v>1</v>
      </c>
      <c r="BC487" s="64" t="n">
        <f aca="false">IF(CR487&gt;0,CR487*MAX(1,BA487/X487),IF(CA487=1,IF(BA487&lt;=0,0,CE487*MAX(1,IF(H487&gt;0,BA487/H487,1))),IF(R487&gt;0,BB487/R487,0))/MAX(0.1,N(Parameter!$M$21)))</f>
        <v>0.0384615384615385</v>
      </c>
      <c r="BD487" s="62" t="n">
        <f aca="false">BC487*CC487</f>
        <v>5.96153846153846</v>
      </c>
      <c r="BE487" s="63" t="n">
        <f aca="false">IF(LEFT(Cockpit!$O$5,1)="A",H487,IF(CI487=1,(CL487+CJ487)/2,IF(LEFT(Cockpit!$O$5,1)="B",(CL487+BG487)/2,MAX((CL487+BG487)/2,H487))))</f>
        <v>5</v>
      </c>
      <c r="BF487" s="62" t="n">
        <f aca="false">BE487*G487</f>
        <v>7.45</v>
      </c>
      <c r="BG487" s="62" t="n">
        <f aca="false">ROUNDUP(CL487+MAX(CM487,2*(J487/IF(CH487&gt;0,CH487,MAX(0.1,N(Cockpit!$O$6)))-CL487)),0)</f>
        <v>10</v>
      </c>
      <c r="BH487" s="63" t="n">
        <f aca="false">IF(BD487&gt;0,J487/BD487,-1)</f>
        <v>0</v>
      </c>
      <c r="BI487" s="63" t="n">
        <f aca="false">IF(AND(OR(CG487="L1",CG487="L23",CG487="LIFT"),BD487&gt;0),SUMIFS($BD$7:$BD$1843,$CG$7:$CG$1843,CG487,$BH$7:$BH$1843,"&gt;"&amp;BH487)+SUMIFS($BD$7:$BD$1843,$CG$7:$CG$1843,CG487,$BH$7:$BH$1843,BH487,$BX$7:$BX$1843,"&lt;="&amp;BX487),"")</f>
        <v>27708.3217700379</v>
      </c>
      <c r="BJ487" s="70" t="n">
        <f aca="false">IF(BI487="",0,MAX(0,MIN(1,(IF(CG487="L1",Parameter!$H$5,IF(CG487="L23",Parameter!$H$6+Parameter!$H$7,Parameter!$H$5+Parameter!$H$6+Parameter!$H$7))-(BI487-BD487))/BD487)))</f>
        <v>1</v>
      </c>
      <c r="BK487" s="60" t="str">
        <f aca="false">IF(AJ487&lt;=0,"",IF(CG487="Aussen","Aussenlager",IF(CG487="-","Nicht im Lift",IF(AP487&gt;=1,"Lift",IF(AP487&lt;=0,"Aussenlager","teilweise")))))</f>
        <v>Lift</v>
      </c>
      <c r="BL487" s="60" t="str">
        <f aca="false">IF(AT487&lt;=0,"",IF(CG487="Aussen","Aussenlager",IF(CG487="-","Nicht im Lift",IF(AZ487&gt;=1,"Lift",IF(AZ487&lt;=0,"Aussenlager","teilweise")))))</f>
        <v>Lift</v>
      </c>
      <c r="BM487" s="60" t="str">
        <f aca="false">IF(BD487&lt;=0,"",IF(CG487="Aussen","Aussenlager",IF(CG487="-","Nicht im Lift",IF(BJ487&gt;=1,"Lift",IF(BJ487&lt;=0,"Aussenlager","teilweise")))))</f>
        <v>Lift</v>
      </c>
      <c r="BN487" s="60" t="str">
        <f aca="false">IF(A487="","",IF(BW487=1,"Neu; ","")&amp;IF(AND(BW487=0,BR487&lt;0),"negativer Bestand (Export "&amp;BR487&amp;"); ","")&amp;IF(J487&lt;=0,"Kein Verbrauch; ","")&amp;IF(CR487&gt;0,"Lift "&amp;W487&amp;" lt. Liftbericht (Fach "&amp;X487&amp;" Stk); ",IF(CB487=1,"Gebinde geschätzt ("&amp;T487&amp;"); ",IF(CA487=1,"Lose – Tablare geschätzt; ","")))&amp;IF(H487&gt;AW487,"Überbestand "&amp;ROUND(H487-AW487,0)&amp;" Stk / CHF "&amp;ROUND((H487-AW487)*G487,0)&amp;"; ","")&amp;IF(AND(CI487=1,CJ487&lt;CK487),"MAX &lt; MB+LG; ","")&amp;IF(AND(CQ487&gt;0,CP487*10&gt;CQ487),"zu hoch für Tablar; ","")&amp;IF(AND(BW487=0,OR(CI487=1,AB487&lt;&gt;"",U487&lt;&gt;"",V487&lt;&gt;"",AC487&lt;&gt;"")),"manuell übersteuert; ","")&amp;IF(AND(CA487=0,R487=0),"Gebinde unbekannt / Stellmass fehlt; ","")&amp;IF(AND(CA487=0,N(V487)&lt;=0,N(Q487)&lt;=0),"Menge pro Gebinde fehlt (Ist = 1 Gebinde); ","")&amp;BV487)</f>
        <v>Kein Verbrauch; Gebinde geschätzt (Klein); Überbestand 20 Stk / CHF 30; Menge pro Gebinde fehlt (Ist = 1 Gebinde); </v>
      </c>
      <c r="BO487" s="60"/>
      <c r="BP487" s="60"/>
      <c r="BQ487" s="67"/>
      <c r="BR487" s="62" t="n">
        <v>30</v>
      </c>
      <c r="BS487" s="62" t="n">
        <v>0</v>
      </c>
      <c r="BT487" s="61" t="n">
        <v>44.7</v>
      </c>
      <c r="BU487" s="62" t="n">
        <v>0</v>
      </c>
      <c r="BV487" s="60"/>
      <c r="BW487" s="65" t="n">
        <v>0</v>
      </c>
      <c r="BX487" s="65" t="n">
        <v>487</v>
      </c>
      <c r="BY487" s="60" t="str">
        <f aca="false">IF(U487&lt;&gt;"",UPPER(TRIM(U487)),IF(CB487=1,UPPER(VLOOKUP(T487,Parameter!$I$27:$K$29,2,0)),IF(P487="","LOSE",P487)))</f>
        <v>S51</v>
      </c>
      <c r="BZ487" s="62" t="n">
        <f aca="false">IF(BY487="LOSE",1,IF(N(V487)&gt;0,V487,IF(CB487=1,MAX(1,N(VLOOKUP(T487,Parameter!$I$27:$K$29,3,0)),H487,N(N487)),IF(N(Q487)&gt;0,Q487,MAX(1,H487)))))</f>
        <v>30</v>
      </c>
      <c r="CA487" s="65" t="n">
        <f aca="false">IF(BY487="LOSE",1,0)</f>
        <v>0</v>
      </c>
      <c r="CB487" s="65" t="n">
        <f aca="false">IF(AND(U487="",OR(P487="",P487="LOSE"),T487&lt;&gt;"",N(S487)&lt;=0,ISNUMBER(MATCH(T487,Parameter!$I$27:$I$29,0))),1,0)</f>
        <v>1</v>
      </c>
      <c r="CC487" s="65" t="n">
        <f aca="false">IF(CR487&gt;0,INDEX(Parameter!$H$5:$H$7,W487)/INDEX(Parameter!$E$5:$E$7,W487),IF(AND(CA487=0,N(IFERROR(VLOOKUP(BY487,'Gebinde-Kategorie'!$A$5:$N$45,14,0),0))&gt;0),VLOOKUP(BY487,'Gebinde-Kategorie'!$A$5:$N$45,14,0)*10+Parameter!$M$23,Parameter!$M$24))</f>
        <v>155</v>
      </c>
      <c r="CD487" s="60" t="str">
        <f aca="false">IF(AND(Parameter!$B$19="Ja",E487&lt;&gt;"",ISNUMBER(MATCH(E487,Parameter!$I$35:$I$52,0))),VLOOKUP(E487,Parameter!$I$35:$J$52,2,0),IFERROR(VLOOKUP(D487,Parameter!$A$35:$C$64,2,0),"Nein"))</f>
        <v>2+3</v>
      </c>
      <c r="CE487" s="64" t="n">
        <f aca="false">IF(CA487=0,0,IF(N(S487)&gt;0,S487,IFERROR(VLOOKUP(D487,Parameter!$A$35:$C$64,3,0)+0,0)))</f>
        <v>0</v>
      </c>
      <c r="CF487" s="60" t="n">
        <f aca="false">IF(AB487&lt;&gt;"",AB487,AA487)</f>
        <v>3</v>
      </c>
      <c r="CG487" s="60" t="str">
        <f aca="false">IF(OR(CF487=1,CF487=2,CF487=3),IF(Parameter!$E$27="Ja","LIFT",IF(CF487=1,"L1","L23")),IF(CF487="Aussen","Aussen","-"))</f>
        <v>LIFT</v>
      </c>
      <c r="CH487" s="71" t="n">
        <f aca="false">IF(N(AC487)&gt;0,AC487,0)</f>
        <v>0</v>
      </c>
      <c r="CI487" s="65" t="n">
        <f aca="false">IF(ISNUMBER(AF487),1,0)</f>
        <v>0</v>
      </c>
      <c r="CJ487" s="62" t="n">
        <f aca="false">N(AF487)</f>
        <v>0</v>
      </c>
      <c r="CK487" s="62" t="n">
        <f aca="false">N(M487)+N(N487)</f>
        <v>10</v>
      </c>
      <c r="CL487" s="62" t="n">
        <f aca="false">N(M487)</f>
        <v>0</v>
      </c>
      <c r="CM487" s="62" t="n">
        <f aca="false">N(N487)</f>
        <v>10</v>
      </c>
      <c r="CN487" s="62" t="n">
        <f aca="false">ROUNDUP(H487/BZ487,0)</f>
        <v>1</v>
      </c>
      <c r="CO487" s="62" t="n">
        <f aca="false">ROUNDUP(CJ487/BZ487,0)</f>
        <v>0</v>
      </c>
      <c r="CP487" s="65" t="n">
        <f aca="false">IF(CA487=1,0,IFERROR(VLOOKUP(BY487,'Gebinde-Kategorie'!$A$5:$N$45,5,0)+0,0))</f>
        <v>11</v>
      </c>
      <c r="CQ487" s="65" t="n">
        <f aca="false">IFERROR(IF(OR(CF487=1,CF487=2,CF487=3),N(INDEX(Parameter!$I$5:$I$7,CF487)),0),0)</f>
        <v>0</v>
      </c>
      <c r="CR487" s="64" t="n">
        <f aca="false">IF(AND(Parameter!$B$21="Ja",ISNUMBER(W487),N(X487)&gt;0),IFERROR(N(INDEX(Parameter!$L$5:$L$7,W487))*INDEX(Parameter!$E$5:$E$7,W487)*X487/SUMIFS($X$7:$X$1843,$W$7:$W$1843,W487),0),0)</f>
        <v>0</v>
      </c>
      <c r="CS487" s="62" t="n">
        <f aca="false">IF(AND(OR(CG487="L1",CG487="L23",CG487="LIFT"),H487&gt;0),CC487*IF(CR487&gt;0,CR487*MAX(1,H487/X487),IF(CA487=1,CE487,IF(R487&gt;0,CN487/R487,0))/MAX(0.1,N(Parameter!$M$21))),"")</f>
        <v>5.96153846153846</v>
      </c>
      <c r="CT487" s="64" t="n">
        <f aca="false">IF(CS487="","",J487/H487)</f>
        <v>0</v>
      </c>
      <c r="CU487" s="62" t="n">
        <f aca="false">IF(CS487="","",H487*G487)</f>
        <v>44.7</v>
      </c>
      <c r="CV487" s="63" t="n">
        <f aca="false">IF(CS487="","",(CL487+ROUNDUP(CL487+MAX(CM487,2*(J487/MAX(0.1,N(Einkauf!$C$6))-CL487)),0))/2)</f>
        <v>5</v>
      </c>
      <c r="CW487" s="62" t="n">
        <f aca="false">IF(CS487="","",MAX(0,H487-CV487)*G487)</f>
        <v>37.25</v>
      </c>
      <c r="CX487" s="62" t="n">
        <f aca="false">IF(CS487="","",CS487*MAX(0,1-CV487/H487))</f>
        <v>4.96794871794872</v>
      </c>
      <c r="CY487" s="64" t="n">
        <f aca="false">IF(CS487="","",PERCENTRANK($CS$7:$CS$1843,CS487)+PERCENTRANK($CU$7:$CU$1843,CU487)+1-PERCENTRANK($CT$7:$CT$1843,CT487))</f>
        <v>1.497</v>
      </c>
      <c r="CZ487" s="72" t="n">
        <f aca="false">IF(CS487="","",CHOOSE(MATCH(Einkauf!$C$5,Parameter!$G$23:$G$27,0),CY487,CS487,CU487,-CT487,CW487)+ROW()/1000000000)</f>
        <v>1.497000487</v>
      </c>
    </row>
    <row r="488" customFormat="false" ht="15" hidden="false" customHeight="false" outlineLevel="0" collapsed="false">
      <c r="A488" s="60" t="s">
        <v>1123</v>
      </c>
      <c r="B488" s="60" t="s">
        <v>574</v>
      </c>
      <c r="C488" s="60" t="s">
        <v>209</v>
      </c>
      <c r="D488" s="60" t="s">
        <v>226</v>
      </c>
      <c r="E488" s="60"/>
      <c r="F488" s="60" t="s">
        <v>260</v>
      </c>
      <c r="G488" s="61" t="n">
        <v>14.75</v>
      </c>
      <c r="H488" s="62" t="n">
        <f aca="false">MAX(0,IF(AND(Parameter!$B$21="Ja",ISNUMBER(Y488)),Y488,IF(Parameter!$B$20="Jahresanfang 2025 + Export",BS488+BR488,BR488)))</f>
        <v>45</v>
      </c>
      <c r="I488" s="62" t="n">
        <f aca="false">H488*G488</f>
        <v>663.75</v>
      </c>
      <c r="J488" s="62" t="n">
        <f aca="false">BU488*Parameter!$B$18</f>
        <v>0</v>
      </c>
      <c r="K488" s="63" t="n">
        <v>43.5</v>
      </c>
      <c r="L488" s="64" t="n">
        <v>0</v>
      </c>
      <c r="M488" s="62" t="n">
        <v>0</v>
      </c>
      <c r="N488" s="62" t="n">
        <v>1</v>
      </c>
      <c r="O488" s="65" t="n">
        <v>21</v>
      </c>
      <c r="P488" s="60" t="s">
        <v>210</v>
      </c>
      <c r="Q488" s="62"/>
      <c r="R488" s="65" t="n">
        <f aca="false">IF(CA488=1,0,IFERROR(VLOOKUP(BY488,'Gebinde-Kategorie'!$A$5:$N$45,13,0)+0,0))</f>
        <v>26</v>
      </c>
      <c r="S488" s="66"/>
      <c r="T488" s="67" t="s">
        <v>317</v>
      </c>
      <c r="U488" s="67"/>
      <c r="V488" s="67"/>
      <c r="W488" s="60"/>
      <c r="X488" s="62"/>
      <c r="Y488" s="62"/>
      <c r="Z488" s="60" t="n">
        <v>3</v>
      </c>
      <c r="AA488" s="60" t="n">
        <f aca="false">IF(A488="","",IF(AND(Parameter!$B$21="Ja",ISNUMBER(W488)),W488,IF(AND(Parameter!$E$27="Ja",ISNUMBER(Z488),CD488&lt;&gt;"Nein"),Z488,IF(CD488="2+3",IF(ISNUMBER(SEARCH("grosser Artikel",BV488)),2,IFERROR(VLOOKUP(BY488,Parameter!$F$35:$G$64,2,0),2)),IF(OR(CD488="Nein",CD488=""),"-",CD488)))))</f>
        <v>3</v>
      </c>
      <c r="AB488" s="67"/>
      <c r="AC488" s="68"/>
      <c r="AD488" s="62" t="n">
        <f aca="false">AW488</f>
        <v>1</v>
      </c>
      <c r="AE488" s="62" t="n">
        <f aca="false">MAX(AW488,H488)</f>
        <v>45</v>
      </c>
      <c r="AF488" s="69"/>
      <c r="AG488" s="62" t="n">
        <f aca="false">IF(LEFT(Cockpit!$C$5,1)="A",H488,IF(Parameter!$E$30="MAX-Bestand",IF(CI488=1,CJ488,IF(LEFT(Cockpit!$C$5,1)="B",AM488,MAX(AM488,H488))),ROUNDUP(AK488,0)))</f>
        <v>45</v>
      </c>
      <c r="AH488" s="62" t="n">
        <f aca="false">IF(CA488=1,0,ROUNDUP(AG488/BZ488,0))</f>
        <v>1</v>
      </c>
      <c r="AI488" s="64" t="n">
        <f aca="false">IF(CR488&gt;0,CR488*MAX(1,AG488/X488),IF(CA488=1,IF(AG488&lt;=0,0,CE488*MAX(1,IF(H488&gt;0,AG488/H488,1))),IF(R488&gt;0,AH488/R488,0))/MAX(0.1,N(Parameter!$M$21)))</f>
        <v>0.0384615384615385</v>
      </c>
      <c r="AJ488" s="62" t="n">
        <f aca="false">AI488*CC488</f>
        <v>5.96153846153846</v>
      </c>
      <c r="AK488" s="63" t="n">
        <f aca="false">IF(LEFT(Cockpit!$C$5,1)="A",H488,IF(CI488=1,(CL488+CJ488)/2,IF(LEFT(Cockpit!$C$5,1)="B",(CL488+AM488)/2,MAX((CL488+AM488)/2,H488))))</f>
        <v>45</v>
      </c>
      <c r="AL488" s="62" t="n">
        <f aca="false">AK488*G488</f>
        <v>663.75</v>
      </c>
      <c r="AM488" s="62" t="n">
        <f aca="false">ROUNDUP(CL488+MAX(CM488,2*(J488/IF(CH488&gt;0,CH488,MAX(0.1,N(Cockpit!$C$6)))-CL488)),0)</f>
        <v>1</v>
      </c>
      <c r="AN488" s="63" t="n">
        <f aca="false">IF(AJ488&gt;0,J488/AJ488,-1)</f>
        <v>0</v>
      </c>
      <c r="AO488" s="63" t="n">
        <f aca="false">IF(AND(OR(CG488="L1",CG488="L23",CG488="LIFT"),AJ488&gt;0),SUMIFS($AJ$7:$AJ$1843,$CG$7:$CG$1843,CG488,$AN$7:$AN$1843,"&gt;"&amp;AN488)+SUMIFS($AJ$7:$AJ$1843,$CG$7:$CG$1843,CG488,$AN$7:$AN$1843,AN488,$BX$7:$BX$1843,"&lt;="&amp;BX488),"")</f>
        <v>28253.8998934211</v>
      </c>
      <c r="AP488" s="70" t="n">
        <f aca="false">IF(AO488="",0,MAX(0,MIN(1,(IF(CG488="L1",Parameter!$H$5,IF(CG488="L23",Parameter!$H$6+Parameter!$H$7,Parameter!$H$5+Parameter!$H$6+Parameter!$H$7))-(AO488-AJ488))/AJ488)))</f>
        <v>1</v>
      </c>
      <c r="AQ488" s="62" t="n">
        <f aca="false">IF(LEFT(Cockpit!$I$5,1)="A",H488,IF(Parameter!$E$30="MAX-Bestand",IF(CI488=1,CJ488,IF(LEFT(Cockpit!$I$5,1)="B",AW488,MAX(AW488,H488))),ROUNDUP(AU488,0)))</f>
        <v>45</v>
      </c>
      <c r="AR488" s="62" t="n">
        <f aca="false">IF(CA488=1,0,ROUNDUP(AQ488/BZ488,0))</f>
        <v>1</v>
      </c>
      <c r="AS488" s="64" t="n">
        <f aca="false">IF(CR488&gt;0,CR488*MAX(1,AQ488/X488),IF(CA488=1,IF(AQ488&lt;=0,0,CE488*MAX(1,IF(H488&gt;0,AQ488/H488,1))),IF(R488&gt;0,AR488/R488,0))/MAX(0.1,N(Parameter!$M$21)))</f>
        <v>0.0384615384615385</v>
      </c>
      <c r="AT488" s="62" t="n">
        <f aca="false">AS488*CC488</f>
        <v>5.96153846153846</v>
      </c>
      <c r="AU488" s="63" t="n">
        <f aca="false">IF(LEFT(Cockpit!$I$5,1)="A",H488,IF(CI488=1,(CL488+CJ488)/2,IF(LEFT(Cockpit!$I$5,1)="B",(CL488+AW488)/2,MAX((CL488+AW488)/2,H488))))</f>
        <v>45</v>
      </c>
      <c r="AV488" s="62" t="n">
        <f aca="false">AU488*G488</f>
        <v>663.75</v>
      </c>
      <c r="AW488" s="62" t="n">
        <f aca="false">ROUNDUP(CL488+MAX(CM488,2*(J488/IF(CH488&gt;0,CH488,MAX(0.1,N(Cockpit!$I$6)))-CL488)),0)</f>
        <v>1</v>
      </c>
      <c r="AX488" s="63" t="n">
        <f aca="false">IF(AT488&gt;0,J488/AT488,-1)</f>
        <v>0</v>
      </c>
      <c r="AY488" s="63" t="n">
        <f aca="false">IF(AND(OR(CG488="L1",CG488="L23",CG488="LIFT"),AT488&gt;0),SUMIFS($AT$7:$AT$1843,$CG$7:$CG$1843,CG488,$AX$7:$AX$1843,"&gt;"&amp;AX488)+SUMIFS($AT$7:$AT$1843,$CG$7:$CG$1843,CG488,$AX$7:$AX$1843,AX488,$BX$7:$BX$1843,"&lt;="&amp;BX488),"")</f>
        <v>33607.0485347985</v>
      </c>
      <c r="AZ488" s="70" t="n">
        <f aca="false">IF(AY488="",0,MAX(0,MIN(1,(IF(CG488="L1",Parameter!$H$5,IF(CG488="L23",Parameter!$H$6+Parameter!$H$7,Parameter!$H$5+Parameter!$H$6+Parameter!$H$7))-(AY488-AT488))/AT488)))</f>
        <v>1</v>
      </c>
      <c r="BA488" s="62" t="n">
        <f aca="false">IF(LEFT(Cockpit!$O$5,1)="A",H488,IF(Parameter!$E$30="MAX-Bestand",IF(CI488=1,CJ488,IF(LEFT(Cockpit!$O$5,1)="B",BG488,MAX(BG488,H488))),ROUNDUP(BE488,0)))</f>
        <v>1</v>
      </c>
      <c r="BB488" s="62" t="n">
        <f aca="false">IF(CA488=1,0,ROUNDUP(BA488/BZ488,0))</f>
        <v>1</v>
      </c>
      <c r="BC488" s="64" t="n">
        <f aca="false">IF(CR488&gt;0,CR488*MAX(1,BA488/X488),IF(CA488=1,IF(BA488&lt;=0,0,CE488*MAX(1,IF(H488&gt;0,BA488/H488,1))),IF(R488&gt;0,BB488/R488,0))/MAX(0.1,N(Parameter!$M$21)))</f>
        <v>0.0384615384615385</v>
      </c>
      <c r="BD488" s="62" t="n">
        <f aca="false">BC488*CC488</f>
        <v>5.96153846153846</v>
      </c>
      <c r="BE488" s="63" t="n">
        <f aca="false">IF(LEFT(Cockpit!$O$5,1)="A",H488,IF(CI488=1,(CL488+CJ488)/2,IF(LEFT(Cockpit!$O$5,1)="B",(CL488+BG488)/2,MAX((CL488+BG488)/2,H488))))</f>
        <v>0.5</v>
      </c>
      <c r="BF488" s="62" t="n">
        <f aca="false">BE488*G488</f>
        <v>7.375</v>
      </c>
      <c r="BG488" s="62" t="n">
        <f aca="false">ROUNDUP(CL488+MAX(CM488,2*(J488/IF(CH488&gt;0,CH488,MAX(0.1,N(Cockpit!$O$6)))-CL488)),0)</f>
        <v>1</v>
      </c>
      <c r="BH488" s="63" t="n">
        <f aca="false">IF(BD488&gt;0,J488/BD488,-1)</f>
        <v>0</v>
      </c>
      <c r="BI488" s="63" t="n">
        <f aca="false">IF(AND(OR(CG488="L1",CG488="L23",CG488="LIFT"),BD488&gt;0),SUMIFS($BD$7:$BD$1843,$CG$7:$CG$1843,CG488,$BH$7:$BH$1843,"&gt;"&amp;BH488)+SUMIFS($BD$7:$BD$1843,$CG$7:$CG$1843,CG488,$BH$7:$BH$1843,BH488,$BX$7:$BX$1843,"&lt;="&amp;BX488),"")</f>
        <v>27714.2833084994</v>
      </c>
      <c r="BJ488" s="70" t="n">
        <f aca="false">IF(BI488="",0,MAX(0,MIN(1,(IF(CG488="L1",Parameter!$H$5,IF(CG488="L23",Parameter!$H$6+Parameter!$H$7,Parameter!$H$5+Parameter!$H$6+Parameter!$H$7))-(BI488-BD488))/BD488)))</f>
        <v>1</v>
      </c>
      <c r="BK488" s="60" t="str">
        <f aca="false">IF(AJ488&lt;=0,"",IF(CG488="Aussen","Aussenlager",IF(CG488="-","Nicht im Lift",IF(AP488&gt;=1,"Lift",IF(AP488&lt;=0,"Aussenlager","teilweise")))))</f>
        <v>Lift</v>
      </c>
      <c r="BL488" s="60" t="str">
        <f aca="false">IF(AT488&lt;=0,"",IF(CG488="Aussen","Aussenlager",IF(CG488="-","Nicht im Lift",IF(AZ488&gt;=1,"Lift",IF(AZ488&lt;=0,"Aussenlager","teilweise")))))</f>
        <v>Lift</v>
      </c>
      <c r="BM488" s="60" t="str">
        <f aca="false">IF(BD488&lt;=0,"",IF(CG488="Aussen","Aussenlager",IF(CG488="-","Nicht im Lift",IF(BJ488&gt;=1,"Lift",IF(BJ488&lt;=0,"Aussenlager","teilweise")))))</f>
        <v>Lift</v>
      </c>
      <c r="BN488" s="60" t="str">
        <f aca="false">IF(A488="","",IF(BW488=1,"Neu; ","")&amp;IF(AND(BW488=0,BR488&lt;0),"negativer Bestand (Export "&amp;BR488&amp;"); ","")&amp;IF(J488&lt;=0,"Kein Verbrauch; ","")&amp;IF(CR488&gt;0,"Lift "&amp;W488&amp;" lt. Liftbericht (Fach "&amp;X488&amp;" Stk); ",IF(CB488=1,"Gebinde geschätzt ("&amp;T488&amp;"); ",IF(CA488=1,"Lose – Tablare geschätzt; ","")))&amp;IF(H488&gt;AW488,"Überbestand "&amp;ROUND(H488-AW488,0)&amp;" Stk / CHF "&amp;ROUND((H488-AW488)*G488,0)&amp;"; ","")&amp;IF(AND(CI488=1,CJ488&lt;CK488),"MAX &lt; MB+LG; ","")&amp;IF(AND(CQ488&gt;0,CP488*10&gt;CQ488),"zu hoch für Tablar; ","")&amp;IF(AND(BW488=0,OR(CI488=1,AB488&lt;&gt;"",U488&lt;&gt;"",V488&lt;&gt;"",AC488&lt;&gt;"")),"manuell übersteuert; ","")&amp;IF(AND(CA488=0,R488=0),"Gebinde unbekannt / Stellmass fehlt; ","")&amp;IF(AND(CA488=0,N(V488)&lt;=0,N(Q488)&lt;=0),"Menge pro Gebinde fehlt (Ist = 1 Gebinde); ","")&amp;BV488)</f>
        <v>Kein Verbrauch; Gebinde geschätzt (Klein); Überbestand 44 Stk / CHF 649; Menge pro Gebinde fehlt (Ist = 1 Gebinde); </v>
      </c>
      <c r="BO488" s="60"/>
      <c r="BP488" s="60"/>
      <c r="BQ488" s="67"/>
      <c r="BR488" s="62" t="n">
        <v>3</v>
      </c>
      <c r="BS488" s="62" t="n">
        <v>42</v>
      </c>
      <c r="BT488" s="61" t="n">
        <v>44.25</v>
      </c>
      <c r="BU488" s="62" t="n">
        <v>0</v>
      </c>
      <c r="BV488" s="60"/>
      <c r="BW488" s="65" t="n">
        <v>0</v>
      </c>
      <c r="BX488" s="65" t="n">
        <v>488</v>
      </c>
      <c r="BY488" s="60" t="str">
        <f aca="false">IF(U488&lt;&gt;"",UPPER(TRIM(U488)),IF(CB488=1,UPPER(VLOOKUP(T488,Parameter!$I$27:$K$29,2,0)),IF(P488="","LOSE",P488)))</f>
        <v>S51</v>
      </c>
      <c r="BZ488" s="62" t="n">
        <f aca="false">IF(BY488="LOSE",1,IF(N(V488)&gt;0,V488,IF(CB488=1,MAX(1,N(VLOOKUP(T488,Parameter!$I$27:$K$29,3,0)),H488,N(N488)),IF(N(Q488)&gt;0,Q488,MAX(1,H488)))))</f>
        <v>45</v>
      </c>
      <c r="CA488" s="65" t="n">
        <f aca="false">IF(BY488="LOSE",1,0)</f>
        <v>0</v>
      </c>
      <c r="CB488" s="65" t="n">
        <f aca="false">IF(AND(U488="",OR(P488="",P488="LOSE"),T488&lt;&gt;"",N(S488)&lt;=0,ISNUMBER(MATCH(T488,Parameter!$I$27:$I$29,0))),1,0)</f>
        <v>1</v>
      </c>
      <c r="CC488" s="65" t="n">
        <f aca="false">IF(CR488&gt;0,INDEX(Parameter!$H$5:$H$7,W488)/INDEX(Parameter!$E$5:$E$7,W488),IF(AND(CA488=0,N(IFERROR(VLOOKUP(BY488,'Gebinde-Kategorie'!$A$5:$N$45,14,0),0))&gt;0),VLOOKUP(BY488,'Gebinde-Kategorie'!$A$5:$N$45,14,0)*10+Parameter!$M$23,Parameter!$M$24))</f>
        <v>155</v>
      </c>
      <c r="CD488" s="60" t="str">
        <f aca="false">IF(AND(Parameter!$B$19="Ja",E488&lt;&gt;"",ISNUMBER(MATCH(E488,Parameter!$I$35:$I$52,0))),VLOOKUP(E488,Parameter!$I$35:$J$52,2,0),IFERROR(VLOOKUP(D488,Parameter!$A$35:$C$64,2,0),"Nein"))</f>
        <v>2+3</v>
      </c>
      <c r="CE488" s="64" t="n">
        <f aca="false">IF(CA488=0,0,IF(N(S488)&gt;0,S488,IFERROR(VLOOKUP(D488,Parameter!$A$35:$C$64,3,0)+0,0)))</f>
        <v>0</v>
      </c>
      <c r="CF488" s="60" t="n">
        <f aca="false">IF(AB488&lt;&gt;"",AB488,AA488)</f>
        <v>3</v>
      </c>
      <c r="CG488" s="60" t="str">
        <f aca="false">IF(OR(CF488=1,CF488=2,CF488=3),IF(Parameter!$E$27="Ja","LIFT",IF(CF488=1,"L1","L23")),IF(CF488="Aussen","Aussen","-"))</f>
        <v>LIFT</v>
      </c>
      <c r="CH488" s="71" t="n">
        <f aca="false">IF(N(AC488)&gt;0,AC488,0)</f>
        <v>0</v>
      </c>
      <c r="CI488" s="65" t="n">
        <f aca="false">IF(ISNUMBER(AF488),1,0)</f>
        <v>0</v>
      </c>
      <c r="CJ488" s="62" t="n">
        <f aca="false">N(AF488)</f>
        <v>0</v>
      </c>
      <c r="CK488" s="62" t="n">
        <f aca="false">N(M488)+N(N488)</f>
        <v>1</v>
      </c>
      <c r="CL488" s="62" t="n">
        <f aca="false">N(M488)</f>
        <v>0</v>
      </c>
      <c r="CM488" s="62" t="n">
        <f aca="false">N(N488)</f>
        <v>1</v>
      </c>
      <c r="CN488" s="62" t="n">
        <f aca="false">ROUNDUP(H488/BZ488,0)</f>
        <v>1</v>
      </c>
      <c r="CO488" s="62" t="n">
        <f aca="false">ROUNDUP(CJ488/BZ488,0)</f>
        <v>0</v>
      </c>
      <c r="CP488" s="65" t="n">
        <f aca="false">IF(CA488=1,0,IFERROR(VLOOKUP(BY488,'Gebinde-Kategorie'!$A$5:$N$45,5,0)+0,0))</f>
        <v>11</v>
      </c>
      <c r="CQ488" s="65" t="n">
        <f aca="false">IFERROR(IF(OR(CF488=1,CF488=2,CF488=3),N(INDEX(Parameter!$I$5:$I$7,CF488)),0),0)</f>
        <v>0</v>
      </c>
      <c r="CR488" s="64" t="n">
        <f aca="false">IF(AND(Parameter!$B$21="Ja",ISNUMBER(W488),N(X488)&gt;0),IFERROR(N(INDEX(Parameter!$L$5:$L$7,W488))*INDEX(Parameter!$E$5:$E$7,W488)*X488/SUMIFS($X$7:$X$1843,$W$7:$W$1843,W488),0),0)</f>
        <v>0</v>
      </c>
      <c r="CS488" s="62" t="n">
        <f aca="false">IF(AND(OR(CG488="L1",CG488="L23",CG488="LIFT"),H488&gt;0),CC488*IF(CR488&gt;0,CR488*MAX(1,H488/X488),IF(CA488=1,CE488,IF(R488&gt;0,CN488/R488,0))/MAX(0.1,N(Parameter!$M$21))),"")</f>
        <v>5.96153846153846</v>
      </c>
      <c r="CT488" s="64" t="n">
        <f aca="false">IF(CS488="","",J488/H488)</f>
        <v>0</v>
      </c>
      <c r="CU488" s="62" t="n">
        <f aca="false">IF(CS488="","",H488*G488)</f>
        <v>663.75</v>
      </c>
      <c r="CV488" s="63" t="n">
        <f aca="false">IF(CS488="","",(CL488+ROUNDUP(CL488+MAX(CM488,2*(J488/MAX(0.1,N(Einkauf!$C$6))-CL488)),0))/2)</f>
        <v>0.5</v>
      </c>
      <c r="CW488" s="62" t="n">
        <f aca="false">IF(CS488="","",MAX(0,H488-CV488)*G488)</f>
        <v>656.375</v>
      </c>
      <c r="CX488" s="62" t="n">
        <f aca="false">IF(CS488="","",CS488*MAX(0,1-CV488/H488))</f>
        <v>5.89529914529915</v>
      </c>
      <c r="CY488" s="64" t="n">
        <f aca="false">IF(CS488="","",PERCENTRANK($CS$7:$CS$1843,CS488)+PERCENTRANK($CU$7:$CU$1843,CU488)+1-PERCENTRANK($CT$7:$CT$1843,CT488))</f>
        <v>1.927</v>
      </c>
      <c r="CZ488" s="72" t="n">
        <f aca="false">IF(CS488="","",CHOOSE(MATCH(Einkauf!$C$5,Parameter!$G$23:$G$27,0),CY488,CS488,CU488,-CT488,CW488)+ROW()/1000000000)</f>
        <v>1.927000488</v>
      </c>
    </row>
    <row r="489" customFormat="false" ht="15" hidden="false" customHeight="false" outlineLevel="0" collapsed="false">
      <c r="A489" s="60" t="s">
        <v>1124</v>
      </c>
      <c r="B489" s="60" t="s">
        <v>1125</v>
      </c>
      <c r="C489" s="60" t="s">
        <v>206</v>
      </c>
      <c r="D489" s="60" t="s">
        <v>226</v>
      </c>
      <c r="E489" s="60" t="s">
        <v>227</v>
      </c>
      <c r="F489" s="60" t="s">
        <v>260</v>
      </c>
      <c r="G489" s="61" t="n">
        <v>3.74</v>
      </c>
      <c r="H489" s="62" t="n">
        <f aca="false">MAX(0,IF(AND(Parameter!$B$21="Ja",ISNUMBER(Y489)),Y489,IF(Parameter!$B$20="Jahresanfang 2025 + Export",BS489+BR489,BR489)))</f>
        <v>52</v>
      </c>
      <c r="I489" s="62" t="n">
        <f aca="false">H489*G489</f>
        <v>194.48</v>
      </c>
      <c r="J489" s="62" t="n">
        <f aca="false">BU489*Parameter!$B$18</f>
        <v>16</v>
      </c>
      <c r="K489" s="63" t="n">
        <v>55</v>
      </c>
      <c r="L489" s="64" t="n">
        <v>0.290909090909091</v>
      </c>
      <c r="M489" s="62" t="n">
        <v>2</v>
      </c>
      <c r="N489" s="62" t="n">
        <v>50</v>
      </c>
      <c r="O489" s="65" t="n">
        <v>35</v>
      </c>
      <c r="P489" s="60" t="s">
        <v>370</v>
      </c>
      <c r="Q489" s="62" t="n">
        <v>78</v>
      </c>
      <c r="R489" s="65" t="n">
        <f aca="false">IF(CA489=1,0,IFERROR(VLOOKUP(BY489,'Gebinde-Kategorie'!$A$5:$N$45,13,0)+0,0))</f>
        <v>52</v>
      </c>
      <c r="S489" s="66"/>
      <c r="T489" s="67"/>
      <c r="U489" s="67"/>
      <c r="V489" s="67"/>
      <c r="W489" s="60"/>
      <c r="X489" s="62"/>
      <c r="Y489" s="62"/>
      <c r="Z489" s="60" t="n">
        <v>3</v>
      </c>
      <c r="AA489" s="60" t="n">
        <f aca="false">IF(A489="","",IF(AND(Parameter!$B$21="Ja",ISNUMBER(W489)),W489,IF(AND(Parameter!$E$27="Ja",ISNUMBER(Z489),CD489&lt;&gt;"Nein"),Z489,IF(CD489="2+3",IF(ISNUMBER(SEARCH("grosser Artikel",BV489)),2,IFERROR(VLOOKUP(BY489,Parameter!$F$35:$G$64,2,0),2)),IF(OR(CD489="Nein",CD489=""),"-",CD489)))))</f>
        <v>3</v>
      </c>
      <c r="AB489" s="67"/>
      <c r="AC489" s="68"/>
      <c r="AD489" s="62" t="n">
        <f aca="false">AW489</f>
        <v>52</v>
      </c>
      <c r="AE489" s="62" t="n">
        <f aca="false">MAX(AW489,H489)</f>
        <v>52</v>
      </c>
      <c r="AF489" s="69"/>
      <c r="AG489" s="62" t="n">
        <f aca="false">IF(LEFT(Cockpit!$C$5,1)="A",H489,IF(Parameter!$E$30="MAX-Bestand",IF(CI489=1,CJ489,IF(LEFT(Cockpit!$C$5,1)="B",AM489,MAX(AM489,H489))),ROUNDUP(AK489,0)))</f>
        <v>52</v>
      </c>
      <c r="AH489" s="62" t="n">
        <f aca="false">IF(CA489=1,0,ROUNDUP(AG489/BZ489,0))</f>
        <v>1</v>
      </c>
      <c r="AI489" s="64" t="n">
        <f aca="false">IF(CR489&gt;0,CR489*MAX(1,AG489/X489),IF(CA489=1,IF(AG489&lt;=0,0,CE489*MAX(1,IF(H489&gt;0,AG489/H489,1))),IF(R489&gt;0,AH489/R489,0))/MAX(0.1,N(Parameter!$M$21)))</f>
        <v>0.0192307692307692</v>
      </c>
      <c r="AJ489" s="62" t="n">
        <f aca="false">AI489*CC489</f>
        <v>2.98076923076923</v>
      </c>
      <c r="AK489" s="63" t="n">
        <f aca="false">IF(LEFT(Cockpit!$C$5,1)="A",H489,IF(CI489=1,(CL489+CJ489)/2,IF(LEFT(Cockpit!$C$5,1)="B",(CL489+AM489)/2,MAX((CL489+AM489)/2,H489))))</f>
        <v>52</v>
      </c>
      <c r="AL489" s="62" t="n">
        <f aca="false">AK489*G489</f>
        <v>194.48</v>
      </c>
      <c r="AM489" s="62" t="n">
        <f aca="false">ROUNDUP(CL489+MAX(CM489,2*(J489/IF(CH489&gt;0,CH489,MAX(0.1,N(Cockpit!$C$6)))-CL489)),0)</f>
        <v>52</v>
      </c>
      <c r="AN489" s="63" t="n">
        <f aca="false">IF(AJ489&gt;0,J489/AJ489,-1)</f>
        <v>5.36774193548387</v>
      </c>
      <c r="AO489" s="63" t="n">
        <f aca="false">IF(AND(OR(CG489="L1",CG489="L23",CG489="LIFT"),AJ489&gt;0),SUMIFS($AJ$7:$AJ$1843,$CG$7:$CG$1843,CG489,$AN$7:$AN$1843,"&gt;"&amp;AN489)+SUMIFS($AJ$7:$AJ$1843,$CG$7:$CG$1843,CG489,$AN$7:$AN$1843,AN489,$BX$7:$BX$1843,"&lt;="&amp;BX489),"")</f>
        <v>3723.21062271062</v>
      </c>
      <c r="AP489" s="70" t="n">
        <f aca="false">IF(AO489="",0,MAX(0,MIN(1,(IF(CG489="L1",Parameter!$H$5,IF(CG489="L23",Parameter!$H$6+Parameter!$H$7,Parameter!$H$5+Parameter!$H$6+Parameter!$H$7))-(AO489-AJ489))/AJ489)))</f>
        <v>1</v>
      </c>
      <c r="AQ489" s="62" t="n">
        <f aca="false">IF(LEFT(Cockpit!$I$5,1)="A",H489,IF(Parameter!$E$30="MAX-Bestand",IF(CI489=1,CJ489,IF(LEFT(Cockpit!$I$5,1)="B",AW489,MAX(AW489,H489))),ROUNDUP(AU489,0)))</f>
        <v>52</v>
      </c>
      <c r="AR489" s="62" t="n">
        <f aca="false">IF(CA489=1,0,ROUNDUP(AQ489/BZ489,0))</f>
        <v>1</v>
      </c>
      <c r="AS489" s="64" t="n">
        <f aca="false">IF(CR489&gt;0,CR489*MAX(1,AQ489/X489),IF(CA489=1,IF(AQ489&lt;=0,0,CE489*MAX(1,IF(H489&gt;0,AQ489/H489,1))),IF(R489&gt;0,AR489/R489,0))/MAX(0.1,N(Parameter!$M$21)))</f>
        <v>0.0192307692307692</v>
      </c>
      <c r="AT489" s="62" t="n">
        <f aca="false">AS489*CC489</f>
        <v>2.98076923076923</v>
      </c>
      <c r="AU489" s="63" t="n">
        <f aca="false">IF(LEFT(Cockpit!$I$5,1)="A",H489,IF(CI489=1,(CL489+CJ489)/2,IF(LEFT(Cockpit!$I$5,1)="B",(CL489+AW489)/2,MAX((CL489+AW489)/2,H489))))</f>
        <v>52</v>
      </c>
      <c r="AV489" s="62" t="n">
        <f aca="false">AU489*G489</f>
        <v>194.48</v>
      </c>
      <c r="AW489" s="62" t="n">
        <f aca="false">ROUNDUP(CL489+MAX(CM489,2*(J489/IF(CH489&gt;0,CH489,MAX(0.1,N(Cockpit!$I$6)))-CL489)),0)</f>
        <v>52</v>
      </c>
      <c r="AX489" s="63" t="n">
        <f aca="false">IF(AT489&gt;0,J489/AT489,-1)</f>
        <v>5.36774193548387</v>
      </c>
      <c r="AY489" s="63" t="n">
        <f aca="false">IF(AND(OR(CG489="L1",CG489="L23",CG489="LIFT"),AT489&gt;0),SUMIFS($AT$7:$AT$1843,$CG$7:$CG$1843,CG489,$AX$7:$AX$1843,"&gt;"&amp;AX489)+SUMIFS($AT$7:$AT$1843,$CG$7:$CG$1843,CG489,$AX$7:$AX$1843,AX489,$BX$7:$BX$1843,"&lt;="&amp;BX489),"")</f>
        <v>4376.95146520147</v>
      </c>
      <c r="AZ489" s="70" t="n">
        <f aca="false">IF(AY489="",0,MAX(0,MIN(1,(IF(CG489="L1",Parameter!$H$5,IF(CG489="L23",Parameter!$H$6+Parameter!$H$7,Parameter!$H$5+Parameter!$H$6+Parameter!$H$7))-(AY489-AT489))/AT489)))</f>
        <v>1</v>
      </c>
      <c r="BA489" s="62" t="n">
        <f aca="false">IF(LEFT(Cockpit!$O$5,1)="A",H489,IF(Parameter!$E$30="MAX-Bestand",IF(CI489=1,CJ489,IF(LEFT(Cockpit!$O$5,1)="B",BG489,MAX(BG489,H489))),ROUNDUP(BE489,0)))</f>
        <v>27</v>
      </c>
      <c r="BB489" s="62" t="n">
        <f aca="false">IF(CA489=1,0,ROUNDUP(BA489/BZ489,0))</f>
        <v>1</v>
      </c>
      <c r="BC489" s="64" t="n">
        <f aca="false">IF(CR489&gt;0,CR489*MAX(1,BA489/X489),IF(CA489=1,IF(BA489&lt;=0,0,CE489*MAX(1,IF(H489&gt;0,BA489/H489,1))),IF(R489&gt;0,BB489/R489,0))/MAX(0.1,N(Parameter!$M$21)))</f>
        <v>0.0192307692307692</v>
      </c>
      <c r="BD489" s="62" t="n">
        <f aca="false">BC489*CC489</f>
        <v>2.98076923076923</v>
      </c>
      <c r="BE489" s="63" t="n">
        <f aca="false">IF(LEFT(Cockpit!$O$5,1)="A",H489,IF(CI489=1,(CL489+CJ489)/2,IF(LEFT(Cockpit!$O$5,1)="B",(CL489+BG489)/2,MAX((CL489+BG489)/2,H489))))</f>
        <v>27</v>
      </c>
      <c r="BF489" s="62" t="n">
        <f aca="false">BE489*G489</f>
        <v>100.98</v>
      </c>
      <c r="BG489" s="62" t="n">
        <f aca="false">ROUNDUP(CL489+MAX(CM489,2*(J489/IF(CH489&gt;0,CH489,MAX(0.1,N(Cockpit!$O$6)))-CL489)),0)</f>
        <v>52</v>
      </c>
      <c r="BH489" s="63" t="n">
        <f aca="false">IF(BD489&gt;0,J489/BD489,-1)</f>
        <v>5.36774193548387</v>
      </c>
      <c r="BI489" s="63" t="n">
        <f aca="false">IF(AND(OR(CG489="L1",CG489="L23",CG489="LIFT"),BD489&gt;0),SUMIFS($BD$7:$BD$1843,$CG$7:$CG$1843,CG489,$BH$7:$BH$1843,"&gt;"&amp;BH489)+SUMIFS($BD$7:$BD$1843,$CG$7:$CG$1843,CG489,$BH$7:$BH$1843,BH489,$BX$7:$BX$1843,"&lt;="&amp;BX489),"")</f>
        <v>3688.49267399267</v>
      </c>
      <c r="BJ489" s="70" t="n">
        <f aca="false">IF(BI489="",0,MAX(0,MIN(1,(IF(CG489="L1",Parameter!$H$5,IF(CG489="L23",Parameter!$H$6+Parameter!$H$7,Parameter!$H$5+Parameter!$H$6+Parameter!$H$7))-(BI489-BD489))/BD489)))</f>
        <v>1</v>
      </c>
      <c r="BK489" s="60" t="str">
        <f aca="false">IF(AJ489&lt;=0,"",IF(CG489="Aussen","Aussenlager",IF(CG489="-","Nicht im Lift",IF(AP489&gt;=1,"Lift",IF(AP489&lt;=0,"Aussenlager","teilweise")))))</f>
        <v>Lift</v>
      </c>
      <c r="BL489" s="60" t="str">
        <f aca="false">IF(AT489&lt;=0,"",IF(CG489="Aussen","Aussenlager",IF(CG489="-","Nicht im Lift",IF(AZ489&gt;=1,"Lift",IF(AZ489&lt;=0,"Aussenlager","teilweise")))))</f>
        <v>Lift</v>
      </c>
      <c r="BM489" s="60" t="str">
        <f aca="false">IF(BD489&lt;=0,"",IF(CG489="Aussen","Aussenlager",IF(CG489="-","Nicht im Lift",IF(BJ489&gt;=1,"Lift",IF(BJ489&lt;=0,"Aussenlager","teilweise")))))</f>
        <v>Lift</v>
      </c>
      <c r="BN489" s="60" t="str">
        <f aca="false">IF(A489="","",IF(BW489=1,"Neu; ","")&amp;IF(AND(BW489=0,BR489&lt;0),"negativer Bestand (Export "&amp;BR489&amp;"); ","")&amp;IF(J489&lt;=0,"Kein Verbrauch; ","")&amp;IF(CR489&gt;0,"Lift "&amp;W489&amp;" lt. Liftbericht (Fach "&amp;X489&amp;" Stk); ",IF(CB489=1,"Gebinde geschätzt ("&amp;T489&amp;"); ",IF(CA489=1,"Lose – Tablare geschätzt; ","")))&amp;IF(H489&gt;AW489,"Überbestand "&amp;ROUND(H489-AW489,0)&amp;" Stk / CHF "&amp;ROUND((H489-AW489)*G489,0)&amp;"; ","")&amp;IF(AND(CI489=1,CJ489&lt;CK489),"MAX &lt; MB+LG; ","")&amp;IF(AND(CQ489&gt;0,CP489*10&gt;CQ489),"zu hoch für Tablar; ","")&amp;IF(AND(BW489=0,OR(CI489=1,AB489&lt;&gt;"",U489&lt;&gt;"",V489&lt;&gt;"",AC489&lt;&gt;"")),"manuell übersteuert; ","")&amp;IF(AND(CA489=0,R489=0),"Gebinde unbekannt / Stellmass fehlt; ","")&amp;IF(AND(CA489=0,N(V489)&lt;=0,N(Q489)&lt;=0),"Menge pro Gebinde fehlt (Ist = 1 Gebinde); ","")&amp;BV489)</f>
        <v>Neu</v>
      </c>
      <c r="BO489" s="60"/>
      <c r="BP489" s="60"/>
      <c r="BQ489" s="67"/>
      <c r="BR489" s="62" t="n">
        <v>10</v>
      </c>
      <c r="BS489" s="62" t="n">
        <v>42</v>
      </c>
      <c r="BT489" s="61" t="n">
        <v>44.12</v>
      </c>
      <c r="BU489" s="62" t="n">
        <v>16</v>
      </c>
      <c r="BV489" s="60" t="s">
        <v>668</v>
      </c>
      <c r="BW489" s="65" t="n">
        <v>0</v>
      </c>
      <c r="BX489" s="65" t="n">
        <v>489</v>
      </c>
      <c r="BY489" s="60" t="str">
        <f aca="false">IF(U489&lt;&gt;"",UPPER(TRIM(U489)),IF(CB489=1,UPPER(VLOOKUP(T489,Parameter!$I$27:$K$29,2,0)),IF(P489="","LOSE",P489)))</f>
        <v>S41</v>
      </c>
      <c r="BZ489" s="62" t="n">
        <f aca="false">IF(BY489="LOSE",1,IF(N(V489)&gt;0,V489,IF(CB489=1,MAX(1,N(VLOOKUP(T489,Parameter!$I$27:$K$29,3,0)),H489,N(N489)),IF(N(Q489)&gt;0,Q489,MAX(1,H489)))))</f>
        <v>78</v>
      </c>
      <c r="CA489" s="65" t="n">
        <f aca="false">IF(BY489="LOSE",1,0)</f>
        <v>0</v>
      </c>
      <c r="CB489" s="65" t="n">
        <f aca="false">IF(AND(U489="",OR(P489="",P489="LOSE"),T489&lt;&gt;"",N(S489)&lt;=0,ISNUMBER(MATCH(T489,Parameter!$I$27:$I$29,0))),1,0)</f>
        <v>0</v>
      </c>
      <c r="CC489" s="65" t="n">
        <f aca="false">IF(CR489&gt;0,INDEX(Parameter!$H$5:$H$7,W489)/INDEX(Parameter!$E$5:$E$7,W489),IF(AND(CA489=0,N(IFERROR(VLOOKUP(BY489,'Gebinde-Kategorie'!$A$5:$N$45,14,0),0))&gt;0),VLOOKUP(BY489,'Gebinde-Kategorie'!$A$5:$N$45,14,0)*10+Parameter!$M$23,Parameter!$M$24))</f>
        <v>155</v>
      </c>
      <c r="CD489" s="60" t="str">
        <f aca="false">IF(AND(Parameter!$B$19="Ja",E489&lt;&gt;"",ISNUMBER(MATCH(E489,Parameter!$I$35:$I$52,0))),VLOOKUP(E489,Parameter!$I$35:$J$52,2,0),IFERROR(VLOOKUP(D489,Parameter!$A$35:$C$64,2,0),"Nein"))</f>
        <v>2+3</v>
      </c>
      <c r="CE489" s="64" t="n">
        <f aca="false">IF(CA489=0,0,IF(N(S489)&gt;0,S489,IFERROR(VLOOKUP(D489,Parameter!$A$35:$C$64,3,0)+0,0)))</f>
        <v>0</v>
      </c>
      <c r="CF489" s="60" t="n">
        <f aca="false">IF(AB489&lt;&gt;"",AB489,AA489)</f>
        <v>3</v>
      </c>
      <c r="CG489" s="60" t="str">
        <f aca="false">IF(OR(CF489=1,CF489=2,CF489=3),IF(Parameter!$E$27="Ja","LIFT",IF(CF489=1,"L1","L23")),IF(CF489="Aussen","Aussen","-"))</f>
        <v>LIFT</v>
      </c>
      <c r="CH489" s="71" t="n">
        <f aca="false">IF(N(AC489)&gt;0,AC489,0)</f>
        <v>0</v>
      </c>
      <c r="CI489" s="65" t="n">
        <f aca="false">IF(ISNUMBER(AF489),1,0)</f>
        <v>0</v>
      </c>
      <c r="CJ489" s="62" t="n">
        <f aca="false">N(AF489)</f>
        <v>0</v>
      </c>
      <c r="CK489" s="62" t="n">
        <f aca="false">N(M489)+N(N489)</f>
        <v>52</v>
      </c>
      <c r="CL489" s="62" t="n">
        <f aca="false">N(M489)</f>
        <v>2</v>
      </c>
      <c r="CM489" s="62" t="n">
        <f aca="false">N(N489)</f>
        <v>50</v>
      </c>
      <c r="CN489" s="62" t="n">
        <f aca="false">ROUNDUP(H489/BZ489,0)</f>
        <v>1</v>
      </c>
      <c r="CO489" s="62" t="n">
        <f aca="false">ROUNDUP(CJ489/BZ489,0)</f>
        <v>0</v>
      </c>
      <c r="CP489" s="65" t="n">
        <f aca="false">IF(CA489=1,0,IFERROR(VLOOKUP(BY489,'Gebinde-Kategorie'!$A$5:$N$45,5,0)+0,0))</f>
        <v>11</v>
      </c>
      <c r="CQ489" s="65" t="n">
        <f aca="false">IFERROR(IF(OR(CF489=1,CF489=2,CF489=3),N(INDEX(Parameter!$I$5:$I$7,CF489)),0),0)</f>
        <v>0</v>
      </c>
      <c r="CR489" s="64" t="n">
        <f aca="false">IF(AND(Parameter!$B$21="Ja",ISNUMBER(W489),N(X489)&gt;0),IFERROR(N(INDEX(Parameter!$L$5:$L$7,W489))*INDEX(Parameter!$E$5:$E$7,W489)*X489/SUMIFS($X$7:$X$1843,$W$7:$W$1843,W489),0),0)</f>
        <v>0</v>
      </c>
      <c r="CS489" s="62" t="n">
        <f aca="false">IF(AND(OR(CG489="L1",CG489="L23",CG489="LIFT"),H489&gt;0),CC489*IF(CR489&gt;0,CR489*MAX(1,H489/X489),IF(CA489=1,CE489,IF(R489&gt;0,CN489/R489,0))/MAX(0.1,N(Parameter!$M$21))),"")</f>
        <v>2.98076923076923</v>
      </c>
      <c r="CT489" s="64" t="n">
        <f aca="false">IF(CS489="","",J489/H489)</f>
        <v>0.307692307692308</v>
      </c>
      <c r="CU489" s="62" t="n">
        <f aca="false">IF(CS489="","",H489*G489)</f>
        <v>194.48</v>
      </c>
      <c r="CV489" s="63" t="n">
        <f aca="false">IF(CS489="","",(CL489+ROUNDUP(CL489+MAX(CM489,2*(J489/MAX(0.1,N(Einkauf!$C$6))-CL489)),0))/2)</f>
        <v>27</v>
      </c>
      <c r="CW489" s="62" t="n">
        <f aca="false">IF(CS489="","",MAX(0,H489-CV489)*G489)</f>
        <v>93.5</v>
      </c>
      <c r="CX489" s="62" t="n">
        <f aca="false">IF(CS489="","",CS489*MAX(0,1-CV489/H489))</f>
        <v>1.43306213017751</v>
      </c>
      <c r="CY489" s="64" t="n">
        <f aca="false">IF(CS489="","",PERCENTRANK($CS$7:$CS$1843,CS489)+PERCENTRANK($CU$7:$CU$1843,CU489)+1-PERCENTRANK($CT$7:$CT$1843,CT489))</f>
        <v>1.048</v>
      </c>
      <c r="CZ489" s="72" t="n">
        <f aca="false">IF(CS489="","",CHOOSE(MATCH(Einkauf!$C$5,Parameter!$G$23:$G$27,0),CY489,CS489,CU489,-CT489,CW489)+ROW()/1000000000)</f>
        <v>1.048000489</v>
      </c>
    </row>
    <row r="490" customFormat="false" ht="15" hidden="false" customHeight="false" outlineLevel="0" collapsed="false">
      <c r="A490" s="60" t="s">
        <v>1126</v>
      </c>
      <c r="B490" s="60" t="s">
        <v>549</v>
      </c>
      <c r="C490" s="60" t="s">
        <v>206</v>
      </c>
      <c r="D490" s="60" t="s">
        <v>226</v>
      </c>
      <c r="E490" s="60" t="s">
        <v>227</v>
      </c>
      <c r="F490" s="60" t="s">
        <v>260</v>
      </c>
      <c r="G490" s="61" t="n">
        <v>2.3</v>
      </c>
      <c r="H490" s="62" t="n">
        <f aca="false">MAX(0,IF(AND(Parameter!$B$21="Ja",ISNUMBER(Y490)),Y490,IF(Parameter!$B$20="Jahresanfang 2025 + Export",BS490+BR490,BR490)))</f>
        <v>69</v>
      </c>
      <c r="I490" s="62" t="n">
        <f aca="false">H490*G490</f>
        <v>158.7</v>
      </c>
      <c r="J490" s="62" t="n">
        <f aca="false">BU490*Parameter!$B$18</f>
        <v>116</v>
      </c>
      <c r="K490" s="63" t="n">
        <v>85</v>
      </c>
      <c r="L490" s="64" t="n">
        <v>1.36470588235294</v>
      </c>
      <c r="M490" s="62" t="n">
        <v>6</v>
      </c>
      <c r="N490" s="62" t="n">
        <v>115</v>
      </c>
      <c r="O490" s="65" t="n">
        <v>21</v>
      </c>
      <c r="P490" s="60" t="s">
        <v>344</v>
      </c>
      <c r="Q490" s="62" t="n">
        <v>295</v>
      </c>
      <c r="R490" s="65" t="n">
        <f aca="false">IF(CA490=1,0,IFERROR(VLOOKUP(BY490,'Gebinde-Kategorie'!$A$5:$N$45,13,0)+0,0))</f>
        <v>26</v>
      </c>
      <c r="S490" s="66"/>
      <c r="T490" s="67"/>
      <c r="U490" s="67"/>
      <c r="V490" s="67"/>
      <c r="W490" s="60"/>
      <c r="X490" s="62"/>
      <c r="Y490" s="62"/>
      <c r="Z490" s="60" t="n">
        <v>3</v>
      </c>
      <c r="AA490" s="60" t="n">
        <f aca="false">IF(A490="","",IF(AND(Parameter!$B$21="Ja",ISNUMBER(W490)),W490,IF(AND(Parameter!$E$27="Ja",ISNUMBER(Z490),CD490&lt;&gt;"Nein"),Z490,IF(CD490="2+3",IF(ISNUMBER(SEARCH("grosser Artikel",BV490)),2,IFERROR(VLOOKUP(BY490,Parameter!$F$35:$G$64,2,0),2)),IF(OR(CD490="Nein",CD490=""),"-",CD490)))))</f>
        <v>3</v>
      </c>
      <c r="AB490" s="67"/>
      <c r="AC490" s="68"/>
      <c r="AD490" s="62" t="n">
        <f aca="false">AW490</f>
        <v>121</v>
      </c>
      <c r="AE490" s="62" t="n">
        <f aca="false">MAX(AW490,H490)</f>
        <v>121</v>
      </c>
      <c r="AF490" s="69"/>
      <c r="AG490" s="62" t="n">
        <f aca="false">IF(LEFT(Cockpit!$C$5,1)="A",H490,IF(Parameter!$E$30="MAX-Bestand",IF(CI490=1,CJ490,IF(LEFT(Cockpit!$C$5,1)="B",AM490,MAX(AM490,H490))),ROUNDUP(AK490,0)))</f>
        <v>69</v>
      </c>
      <c r="AH490" s="62" t="n">
        <f aca="false">IF(CA490=1,0,ROUNDUP(AG490/BZ490,0))</f>
        <v>1</v>
      </c>
      <c r="AI490" s="64" t="n">
        <f aca="false">IF(CR490&gt;0,CR490*MAX(1,AG490/X490),IF(CA490=1,IF(AG490&lt;=0,0,CE490*MAX(1,IF(H490&gt;0,AG490/H490,1))),IF(R490&gt;0,AH490/R490,0))/MAX(0.1,N(Parameter!$M$21)))</f>
        <v>0.0384615384615385</v>
      </c>
      <c r="AJ490" s="62" t="n">
        <f aca="false">AI490*CC490</f>
        <v>5.96153846153846</v>
      </c>
      <c r="AK490" s="63" t="n">
        <f aca="false">IF(LEFT(Cockpit!$C$5,1)="A",H490,IF(CI490=1,(CL490+CJ490)/2,IF(LEFT(Cockpit!$C$5,1)="B",(CL490+AM490)/2,MAX((CL490+AM490)/2,H490))))</f>
        <v>69</v>
      </c>
      <c r="AL490" s="62" t="n">
        <f aca="false">AK490*G490</f>
        <v>158.7</v>
      </c>
      <c r="AM490" s="62" t="n">
        <f aca="false">ROUNDUP(CL490+MAX(CM490,2*(J490/IF(CH490&gt;0,CH490,MAX(0.1,N(Cockpit!$C$6)))-CL490)),0)</f>
        <v>121</v>
      </c>
      <c r="AN490" s="63" t="n">
        <f aca="false">IF(AJ490&gt;0,J490/AJ490,-1)</f>
        <v>19.458064516129</v>
      </c>
      <c r="AO490" s="63" t="n">
        <f aca="false">IF(AND(OR(CG490="L1",CG490="L23",CG490="LIFT"),AJ490&gt;0),SUMIFS($AJ$7:$AJ$1843,$CG$7:$CG$1843,CG490,$AN$7:$AN$1843,"&gt;"&amp;AN490)+SUMIFS($AJ$7:$AJ$1843,$CG$7:$CG$1843,CG490,$AN$7:$AN$1843,AN490,$BX$7:$BX$1843,"&lt;="&amp;BX490),"")</f>
        <v>1725.05128205128</v>
      </c>
      <c r="AP490" s="70" t="n">
        <f aca="false">IF(AO490="",0,MAX(0,MIN(1,(IF(CG490="L1",Parameter!$H$5,IF(CG490="L23",Parameter!$H$6+Parameter!$H$7,Parameter!$H$5+Parameter!$H$6+Parameter!$H$7))-(AO490-AJ490))/AJ490)))</f>
        <v>1</v>
      </c>
      <c r="AQ490" s="62" t="n">
        <f aca="false">IF(LEFT(Cockpit!$I$5,1)="A",H490,IF(Parameter!$E$30="MAX-Bestand",IF(CI490=1,CJ490,IF(LEFT(Cockpit!$I$5,1)="B",AW490,MAX(AW490,H490))),ROUNDUP(AU490,0)))</f>
        <v>69</v>
      </c>
      <c r="AR490" s="62" t="n">
        <f aca="false">IF(CA490=1,0,ROUNDUP(AQ490/BZ490,0))</f>
        <v>1</v>
      </c>
      <c r="AS490" s="64" t="n">
        <f aca="false">IF(CR490&gt;0,CR490*MAX(1,AQ490/X490),IF(CA490=1,IF(AQ490&lt;=0,0,CE490*MAX(1,IF(H490&gt;0,AQ490/H490,1))),IF(R490&gt;0,AR490/R490,0))/MAX(0.1,N(Parameter!$M$21)))</f>
        <v>0.0384615384615385</v>
      </c>
      <c r="AT490" s="62" t="n">
        <f aca="false">AS490*CC490</f>
        <v>5.96153846153846</v>
      </c>
      <c r="AU490" s="63" t="n">
        <f aca="false">IF(LEFT(Cockpit!$I$5,1)="A",H490,IF(CI490=1,(CL490+CJ490)/2,IF(LEFT(Cockpit!$I$5,1)="B",(CL490+AW490)/2,MAX((CL490+AW490)/2,H490))))</f>
        <v>69</v>
      </c>
      <c r="AV490" s="62" t="n">
        <f aca="false">AU490*G490</f>
        <v>158.7</v>
      </c>
      <c r="AW490" s="62" t="n">
        <f aca="false">ROUNDUP(CL490+MAX(CM490,2*(J490/IF(CH490&gt;0,CH490,MAX(0.1,N(Cockpit!$I$6)))-CL490)),0)</f>
        <v>121</v>
      </c>
      <c r="AX490" s="63" t="n">
        <f aca="false">IF(AT490&gt;0,J490/AT490,-1)</f>
        <v>19.458064516129</v>
      </c>
      <c r="AY490" s="63" t="n">
        <f aca="false">IF(AND(OR(CG490="L1",CG490="L23",CG490="LIFT"),AT490&gt;0),SUMIFS($AT$7:$AT$1843,$CG$7:$CG$1843,CG490,$AX$7:$AX$1843,"&gt;"&amp;AX490)+SUMIFS($AT$7:$AT$1843,$CG$7:$CG$1843,CG490,$AX$7:$AX$1843,AX490,$BX$7:$BX$1843,"&lt;="&amp;BX490),"")</f>
        <v>2362.17216117216</v>
      </c>
      <c r="AZ490" s="70" t="n">
        <f aca="false">IF(AY490="",0,MAX(0,MIN(1,(IF(CG490="L1",Parameter!$H$5,IF(CG490="L23",Parameter!$H$6+Parameter!$H$7,Parameter!$H$5+Parameter!$H$6+Parameter!$H$7))-(AY490-AT490))/AT490)))</f>
        <v>1</v>
      </c>
      <c r="BA490" s="62" t="n">
        <f aca="false">IF(LEFT(Cockpit!$O$5,1)="A",H490,IF(Parameter!$E$30="MAX-Bestand",IF(CI490=1,CJ490,IF(LEFT(Cockpit!$O$5,1)="B",BG490,MAX(BG490,H490))),ROUNDUP(BE490,0)))</f>
        <v>64</v>
      </c>
      <c r="BB490" s="62" t="n">
        <f aca="false">IF(CA490=1,0,ROUNDUP(BA490/BZ490,0))</f>
        <v>1</v>
      </c>
      <c r="BC490" s="64" t="n">
        <f aca="false">IF(CR490&gt;0,CR490*MAX(1,BA490/X490),IF(CA490=1,IF(BA490&lt;=0,0,CE490*MAX(1,IF(H490&gt;0,BA490/H490,1))),IF(R490&gt;0,BB490/R490,0))/MAX(0.1,N(Parameter!$M$21)))</f>
        <v>0.0384615384615385</v>
      </c>
      <c r="BD490" s="62" t="n">
        <f aca="false">BC490*CC490</f>
        <v>5.96153846153846</v>
      </c>
      <c r="BE490" s="63" t="n">
        <f aca="false">IF(LEFT(Cockpit!$O$5,1)="A",H490,IF(CI490=1,(CL490+CJ490)/2,IF(LEFT(Cockpit!$O$5,1)="B",(CL490+BG490)/2,MAX((CL490+BG490)/2,H490))))</f>
        <v>63.5</v>
      </c>
      <c r="BF490" s="62" t="n">
        <f aca="false">BE490*G490</f>
        <v>146.05</v>
      </c>
      <c r="BG490" s="62" t="n">
        <f aca="false">ROUNDUP(CL490+MAX(CM490,2*(J490/IF(CH490&gt;0,CH490,MAX(0.1,N(Cockpit!$O$6)))-CL490)),0)</f>
        <v>121</v>
      </c>
      <c r="BH490" s="63" t="n">
        <f aca="false">IF(BD490&gt;0,J490/BD490,-1)</f>
        <v>19.458064516129</v>
      </c>
      <c r="BI490" s="63" t="n">
        <f aca="false">IF(AND(OR(CG490="L1",CG490="L23",CG490="LIFT"),BD490&gt;0),SUMIFS($BD$7:$BD$1843,$CG$7:$CG$1843,CG490,$BH$7:$BH$1843,"&gt;"&amp;BH490)+SUMIFS($BD$7:$BD$1843,$CG$7:$CG$1843,CG490,$BH$7:$BH$1843,BH490,$BX$7:$BX$1843,"&lt;="&amp;BX490),"")</f>
        <v>2251.08928571429</v>
      </c>
      <c r="BJ490" s="70" t="n">
        <f aca="false">IF(BI490="",0,MAX(0,MIN(1,(IF(CG490="L1",Parameter!$H$5,IF(CG490="L23",Parameter!$H$6+Parameter!$H$7,Parameter!$H$5+Parameter!$H$6+Parameter!$H$7))-(BI490-BD490))/BD490)))</f>
        <v>1</v>
      </c>
      <c r="BK490" s="60" t="str">
        <f aca="false">IF(AJ490&lt;=0,"",IF(CG490="Aussen","Aussenlager",IF(CG490="-","Nicht im Lift",IF(AP490&gt;=1,"Lift",IF(AP490&lt;=0,"Aussenlager","teilweise")))))</f>
        <v>Lift</v>
      </c>
      <c r="BL490" s="60" t="str">
        <f aca="false">IF(AT490&lt;=0,"",IF(CG490="Aussen","Aussenlager",IF(CG490="-","Nicht im Lift",IF(AZ490&gt;=1,"Lift",IF(AZ490&lt;=0,"Aussenlager","teilweise")))))</f>
        <v>Lift</v>
      </c>
      <c r="BM490" s="60" t="str">
        <f aca="false">IF(BD490&lt;=0,"",IF(CG490="Aussen","Aussenlager",IF(CG490="-","Nicht im Lift",IF(BJ490&gt;=1,"Lift",IF(BJ490&lt;=0,"Aussenlager","teilweise")))))</f>
        <v>Lift</v>
      </c>
      <c r="BN490" s="60" t="str">
        <f aca="false">IF(A490="","",IF(BW490=1,"Neu; ","")&amp;IF(AND(BW490=0,BR490&lt;0),"negativer Bestand (Export "&amp;BR490&amp;"); ","")&amp;IF(J490&lt;=0,"Kein Verbrauch; ","")&amp;IF(CR490&gt;0,"Lift "&amp;W490&amp;" lt. Liftbericht (Fach "&amp;X490&amp;" Stk); ",IF(CB490=1,"Gebinde geschätzt ("&amp;T490&amp;"); ",IF(CA490=1,"Lose – Tablare geschätzt; ","")))&amp;IF(H490&gt;AW490,"Überbestand "&amp;ROUND(H490-AW490,0)&amp;" Stk / CHF "&amp;ROUND((H490-AW490)*G490,0)&amp;"; ","")&amp;IF(AND(CI490=1,CJ490&lt;CK490),"MAX &lt; MB+LG; ","")&amp;IF(AND(CQ490&gt;0,CP490*10&gt;CQ490),"zu hoch für Tablar; ","")&amp;IF(AND(BW490=0,OR(CI490=1,AB490&lt;&gt;"",U490&lt;&gt;"",V490&lt;&gt;"",AC490&lt;&gt;"")),"manuell übersteuert; ","")&amp;IF(AND(CA490=0,R490=0),"Gebinde unbekannt / Stellmass fehlt; ","")&amp;IF(AND(CA490=0,N(V490)&lt;=0,N(Q490)&lt;=0),"Menge pro Gebinde fehlt (Ist = 1 Gebinde); ","")&amp;BV490)</f>
        <v/>
      </c>
      <c r="BO490" s="60"/>
      <c r="BP490" s="60"/>
      <c r="BQ490" s="67"/>
      <c r="BR490" s="62" t="n">
        <v>26</v>
      </c>
      <c r="BS490" s="62" t="n">
        <v>43</v>
      </c>
      <c r="BT490" s="61" t="n">
        <v>42.8399999999994</v>
      </c>
      <c r="BU490" s="62" t="n">
        <v>116</v>
      </c>
      <c r="BV490" s="60"/>
      <c r="BW490" s="65" t="n">
        <v>0</v>
      </c>
      <c r="BX490" s="65" t="n">
        <v>490</v>
      </c>
      <c r="BY490" s="60" t="str">
        <f aca="false">IF(U490&lt;&gt;"",UPPER(TRIM(U490)),IF(CB490=1,UPPER(VLOOKUP(T490,Parameter!$I$27:$K$29,2,0)),IF(P490="","LOSE",P490)))</f>
        <v>S51</v>
      </c>
      <c r="BZ490" s="62" t="n">
        <f aca="false">IF(BY490="LOSE",1,IF(N(V490)&gt;0,V490,IF(CB490=1,MAX(1,N(VLOOKUP(T490,Parameter!$I$27:$K$29,3,0)),H490,N(N490)),IF(N(Q490)&gt;0,Q490,MAX(1,H490)))))</f>
        <v>295</v>
      </c>
      <c r="CA490" s="65" t="n">
        <f aca="false">IF(BY490="LOSE",1,0)</f>
        <v>0</v>
      </c>
      <c r="CB490" s="65" t="n">
        <f aca="false">IF(AND(U490="",OR(P490="",P490="LOSE"),T490&lt;&gt;"",N(S490)&lt;=0,ISNUMBER(MATCH(T490,Parameter!$I$27:$I$29,0))),1,0)</f>
        <v>0</v>
      </c>
      <c r="CC490" s="65" t="n">
        <f aca="false">IF(CR490&gt;0,INDEX(Parameter!$H$5:$H$7,W490)/INDEX(Parameter!$E$5:$E$7,W490),IF(AND(CA490=0,N(IFERROR(VLOOKUP(BY490,'Gebinde-Kategorie'!$A$5:$N$45,14,0),0))&gt;0),VLOOKUP(BY490,'Gebinde-Kategorie'!$A$5:$N$45,14,0)*10+Parameter!$M$23,Parameter!$M$24))</f>
        <v>155</v>
      </c>
      <c r="CD490" s="60" t="str">
        <f aca="false">IF(AND(Parameter!$B$19="Ja",E490&lt;&gt;"",ISNUMBER(MATCH(E490,Parameter!$I$35:$I$52,0))),VLOOKUP(E490,Parameter!$I$35:$J$52,2,0),IFERROR(VLOOKUP(D490,Parameter!$A$35:$C$64,2,0),"Nein"))</f>
        <v>2+3</v>
      </c>
      <c r="CE490" s="64" t="n">
        <f aca="false">IF(CA490=0,0,IF(N(S490)&gt;0,S490,IFERROR(VLOOKUP(D490,Parameter!$A$35:$C$64,3,0)+0,0)))</f>
        <v>0</v>
      </c>
      <c r="CF490" s="60" t="n">
        <f aca="false">IF(AB490&lt;&gt;"",AB490,AA490)</f>
        <v>3</v>
      </c>
      <c r="CG490" s="60" t="str">
        <f aca="false">IF(OR(CF490=1,CF490=2,CF490=3),IF(Parameter!$E$27="Ja","LIFT",IF(CF490=1,"L1","L23")),IF(CF490="Aussen","Aussen","-"))</f>
        <v>LIFT</v>
      </c>
      <c r="CH490" s="71" t="n">
        <f aca="false">IF(N(AC490)&gt;0,AC490,0)</f>
        <v>0</v>
      </c>
      <c r="CI490" s="65" t="n">
        <f aca="false">IF(ISNUMBER(AF490),1,0)</f>
        <v>0</v>
      </c>
      <c r="CJ490" s="62" t="n">
        <f aca="false">N(AF490)</f>
        <v>0</v>
      </c>
      <c r="CK490" s="62" t="n">
        <f aca="false">N(M490)+N(N490)</f>
        <v>121</v>
      </c>
      <c r="CL490" s="62" t="n">
        <f aca="false">N(M490)</f>
        <v>6</v>
      </c>
      <c r="CM490" s="62" t="n">
        <f aca="false">N(N490)</f>
        <v>115</v>
      </c>
      <c r="CN490" s="62" t="n">
        <f aca="false">ROUNDUP(H490/BZ490,0)</f>
        <v>1</v>
      </c>
      <c r="CO490" s="62" t="n">
        <f aca="false">ROUNDUP(CJ490/BZ490,0)</f>
        <v>0</v>
      </c>
      <c r="CP490" s="65" t="n">
        <f aca="false">IF(CA490=1,0,IFERROR(VLOOKUP(BY490,'Gebinde-Kategorie'!$A$5:$N$45,5,0)+0,0))</f>
        <v>11</v>
      </c>
      <c r="CQ490" s="65" t="n">
        <f aca="false">IFERROR(IF(OR(CF490=1,CF490=2,CF490=3),N(INDEX(Parameter!$I$5:$I$7,CF490)),0),0)</f>
        <v>0</v>
      </c>
      <c r="CR490" s="64" t="n">
        <f aca="false">IF(AND(Parameter!$B$21="Ja",ISNUMBER(W490),N(X490)&gt;0),IFERROR(N(INDEX(Parameter!$L$5:$L$7,W490))*INDEX(Parameter!$E$5:$E$7,W490)*X490/SUMIFS($X$7:$X$1843,$W$7:$W$1843,W490),0),0)</f>
        <v>0</v>
      </c>
      <c r="CS490" s="62" t="n">
        <f aca="false">IF(AND(OR(CG490="L1",CG490="L23",CG490="LIFT"),H490&gt;0),CC490*IF(CR490&gt;0,CR490*MAX(1,H490/X490),IF(CA490=1,CE490,IF(R490&gt;0,CN490/R490,0))/MAX(0.1,N(Parameter!$M$21))),"")</f>
        <v>5.96153846153846</v>
      </c>
      <c r="CT490" s="64" t="n">
        <f aca="false">IF(CS490="","",J490/H490)</f>
        <v>1.68115942028986</v>
      </c>
      <c r="CU490" s="62" t="n">
        <f aca="false">IF(CS490="","",H490*G490)</f>
        <v>158.7</v>
      </c>
      <c r="CV490" s="63" t="n">
        <f aca="false">IF(CS490="","",(CL490+ROUNDUP(CL490+MAX(CM490,2*(J490/MAX(0.1,N(Einkauf!$C$6))-CL490)),0))/2)</f>
        <v>63.5</v>
      </c>
      <c r="CW490" s="62" t="n">
        <f aca="false">IF(CS490="","",MAX(0,H490-CV490)*G490)</f>
        <v>12.65</v>
      </c>
      <c r="CX490" s="62" t="n">
        <f aca="false">IF(CS490="","",CS490*MAX(0,1-CV490/H490))</f>
        <v>0.475195094760312</v>
      </c>
      <c r="CY490" s="64" t="n">
        <f aca="false">IF(CS490="","",PERCENTRANK($CS$7:$CS$1843,CS490)+PERCENTRANK($CU$7:$CU$1843,CU490)+1-PERCENTRANK($CT$7:$CT$1843,CT490))</f>
        <v>0.872</v>
      </c>
      <c r="CZ490" s="72" t="n">
        <f aca="false">IF(CS490="","",CHOOSE(MATCH(Einkauf!$C$5,Parameter!$G$23:$G$27,0),CY490,CS490,CU490,-CT490,CW490)+ROW()/1000000000)</f>
        <v>0.87200049</v>
      </c>
    </row>
    <row r="491" customFormat="false" ht="15" hidden="false" customHeight="false" outlineLevel="0" collapsed="false">
      <c r="A491" s="60" t="s">
        <v>1127</v>
      </c>
      <c r="B491" s="60" t="s">
        <v>447</v>
      </c>
      <c r="C491" s="60" t="s">
        <v>206</v>
      </c>
      <c r="D491" s="60" t="s">
        <v>226</v>
      </c>
      <c r="E491" s="60" t="s">
        <v>227</v>
      </c>
      <c r="F491" s="60" t="s">
        <v>260</v>
      </c>
      <c r="G491" s="61" t="n">
        <v>0.36</v>
      </c>
      <c r="H491" s="62" t="n">
        <f aca="false">MAX(0,IF(AND(Parameter!$B$21="Ja",ISNUMBER(Y491)),Y491,IF(Parameter!$B$20="Jahresanfang 2025 + Export",BS491+BR491,BR491)))</f>
        <v>209</v>
      </c>
      <c r="I491" s="62" t="n">
        <f aca="false">H491*G491</f>
        <v>75.24</v>
      </c>
      <c r="J491" s="62" t="n">
        <f aca="false">BU491*Parameter!$B$18</f>
        <v>222</v>
      </c>
      <c r="K491" s="63" t="n">
        <v>105.5</v>
      </c>
      <c r="L491" s="64" t="n">
        <v>2.1042654028436</v>
      </c>
      <c r="M491" s="62" t="n">
        <v>12</v>
      </c>
      <c r="N491" s="62" t="n">
        <v>225</v>
      </c>
      <c r="O491" s="65" t="n">
        <v>21</v>
      </c>
      <c r="P491" s="60" t="s">
        <v>344</v>
      </c>
      <c r="Q491" s="62" t="n">
        <v>90</v>
      </c>
      <c r="R491" s="65" t="n">
        <f aca="false">IF(CA491=1,0,IFERROR(VLOOKUP(BY491,'Gebinde-Kategorie'!$A$5:$N$45,13,0)+0,0))</f>
        <v>26</v>
      </c>
      <c r="S491" s="66"/>
      <c r="T491" s="67"/>
      <c r="U491" s="67"/>
      <c r="V491" s="67"/>
      <c r="W491" s="60"/>
      <c r="X491" s="62"/>
      <c r="Y491" s="62"/>
      <c r="Z491" s="60" t="n">
        <v>3</v>
      </c>
      <c r="AA491" s="60" t="n">
        <f aca="false">IF(A491="","",IF(AND(Parameter!$B$21="Ja",ISNUMBER(W491)),W491,IF(AND(Parameter!$E$27="Ja",ISNUMBER(Z491),CD491&lt;&gt;"Nein"),Z491,IF(CD491="2+3",IF(ISNUMBER(SEARCH("grosser Artikel",BV491)),2,IFERROR(VLOOKUP(BY491,Parameter!$F$35:$G$64,2,0),2)),IF(OR(CD491="Nein",CD491=""),"-",CD491)))))</f>
        <v>3</v>
      </c>
      <c r="AB491" s="67"/>
      <c r="AC491" s="68"/>
      <c r="AD491" s="62" t="n">
        <f aca="false">AW491</f>
        <v>237</v>
      </c>
      <c r="AE491" s="62" t="n">
        <f aca="false">MAX(AW491,H491)</f>
        <v>237</v>
      </c>
      <c r="AF491" s="69"/>
      <c r="AG491" s="62" t="n">
        <f aca="false">IF(LEFT(Cockpit!$C$5,1)="A",H491,IF(Parameter!$E$30="MAX-Bestand",IF(CI491=1,CJ491,IF(LEFT(Cockpit!$C$5,1)="B",AM491,MAX(AM491,H491))),ROUNDUP(AK491,0)))</f>
        <v>209</v>
      </c>
      <c r="AH491" s="62" t="n">
        <f aca="false">IF(CA491=1,0,ROUNDUP(AG491/BZ491,0))</f>
        <v>3</v>
      </c>
      <c r="AI491" s="64" t="n">
        <f aca="false">IF(CR491&gt;0,CR491*MAX(1,AG491/X491),IF(CA491=1,IF(AG491&lt;=0,0,CE491*MAX(1,IF(H491&gt;0,AG491/H491,1))),IF(R491&gt;0,AH491/R491,0))/MAX(0.1,N(Parameter!$M$21)))</f>
        <v>0.115384615384615</v>
      </c>
      <c r="AJ491" s="62" t="n">
        <f aca="false">AI491*CC491</f>
        <v>17.8846153846154</v>
      </c>
      <c r="AK491" s="63" t="n">
        <f aca="false">IF(LEFT(Cockpit!$C$5,1)="A",H491,IF(CI491=1,(CL491+CJ491)/2,IF(LEFT(Cockpit!$C$5,1)="B",(CL491+AM491)/2,MAX((CL491+AM491)/2,H491))))</f>
        <v>209</v>
      </c>
      <c r="AL491" s="62" t="n">
        <f aca="false">AK491*G491</f>
        <v>75.24</v>
      </c>
      <c r="AM491" s="62" t="n">
        <f aca="false">ROUNDUP(CL491+MAX(CM491,2*(J491/IF(CH491&gt;0,CH491,MAX(0.1,N(Cockpit!$C$6)))-CL491)),0)</f>
        <v>237</v>
      </c>
      <c r="AN491" s="63" t="n">
        <f aca="false">IF(AJ491&gt;0,J491/AJ491,-1)</f>
        <v>12.4129032258065</v>
      </c>
      <c r="AO491" s="63" t="n">
        <f aca="false">IF(AND(OR(CG491="L1",CG491="L23",CG491="LIFT"),AJ491&gt;0),SUMIFS($AJ$7:$AJ$1843,$CG$7:$CG$1843,CG491,$AN$7:$AN$1843,"&gt;"&amp;AN491)+SUMIFS($AJ$7:$AJ$1843,$CG$7:$CG$1843,CG491,$AN$7:$AN$1843,AN491,$BX$7:$BX$1843,"&lt;="&amp;BX491),"")</f>
        <v>2492.51556776557</v>
      </c>
      <c r="AP491" s="70" t="n">
        <f aca="false">IF(AO491="",0,MAX(0,MIN(1,(IF(CG491="L1",Parameter!$H$5,IF(CG491="L23",Parameter!$H$6+Parameter!$H$7,Parameter!$H$5+Parameter!$H$6+Parameter!$H$7))-(AO491-AJ491))/AJ491)))</f>
        <v>1</v>
      </c>
      <c r="AQ491" s="62" t="n">
        <f aca="false">IF(LEFT(Cockpit!$I$5,1)="A",H491,IF(Parameter!$E$30="MAX-Bestand",IF(CI491=1,CJ491,IF(LEFT(Cockpit!$I$5,1)="B",AW491,MAX(AW491,H491))),ROUNDUP(AU491,0)))</f>
        <v>209</v>
      </c>
      <c r="AR491" s="62" t="n">
        <f aca="false">IF(CA491=1,0,ROUNDUP(AQ491/BZ491,0))</f>
        <v>3</v>
      </c>
      <c r="AS491" s="64" t="n">
        <f aca="false">IF(CR491&gt;0,CR491*MAX(1,AQ491/X491),IF(CA491=1,IF(AQ491&lt;=0,0,CE491*MAX(1,IF(H491&gt;0,AQ491/H491,1))),IF(R491&gt;0,AR491/R491,0))/MAX(0.1,N(Parameter!$M$21)))</f>
        <v>0.115384615384615</v>
      </c>
      <c r="AT491" s="62" t="n">
        <f aca="false">AS491*CC491</f>
        <v>17.8846153846154</v>
      </c>
      <c r="AU491" s="63" t="n">
        <f aca="false">IF(LEFT(Cockpit!$I$5,1)="A",H491,IF(CI491=1,(CL491+CJ491)/2,IF(LEFT(Cockpit!$I$5,1)="B",(CL491+AW491)/2,MAX((CL491+AW491)/2,H491))))</f>
        <v>209</v>
      </c>
      <c r="AV491" s="62" t="n">
        <f aca="false">AU491*G491</f>
        <v>75.24</v>
      </c>
      <c r="AW491" s="62" t="n">
        <f aca="false">ROUNDUP(CL491+MAX(CM491,2*(J491/IF(CH491&gt;0,CH491,MAX(0.1,N(Cockpit!$I$6)))-CL491)),0)</f>
        <v>237</v>
      </c>
      <c r="AX491" s="63" t="n">
        <f aca="false">IF(AT491&gt;0,J491/AT491,-1)</f>
        <v>12.4129032258065</v>
      </c>
      <c r="AY491" s="63" t="n">
        <f aca="false">IF(AND(OR(CG491="L1",CG491="L23",CG491="LIFT"),AT491&gt;0),SUMIFS($AT$7:$AT$1843,$CG$7:$CG$1843,CG491,$AX$7:$AX$1843,"&gt;"&amp;AX491)+SUMIFS($AT$7:$AT$1843,$CG$7:$CG$1843,CG491,$AX$7:$AX$1843,AX491,$BX$7:$BX$1843,"&lt;="&amp;BX491),"")</f>
        <v>3081.89468864469</v>
      </c>
      <c r="AZ491" s="70" t="n">
        <f aca="false">IF(AY491="",0,MAX(0,MIN(1,(IF(CG491="L1",Parameter!$H$5,IF(CG491="L23",Parameter!$H$6+Parameter!$H$7,Parameter!$H$5+Parameter!$H$6+Parameter!$H$7))-(AY491-AT491))/AT491)))</f>
        <v>1</v>
      </c>
      <c r="BA491" s="62" t="n">
        <f aca="false">IF(LEFT(Cockpit!$O$5,1)="A",H491,IF(Parameter!$E$30="MAX-Bestand",IF(CI491=1,CJ491,IF(LEFT(Cockpit!$O$5,1)="B",BG491,MAX(BG491,H491))),ROUNDUP(BE491,0)))</f>
        <v>125</v>
      </c>
      <c r="BB491" s="62" t="n">
        <f aca="false">IF(CA491=1,0,ROUNDUP(BA491/BZ491,0))</f>
        <v>2</v>
      </c>
      <c r="BC491" s="64" t="n">
        <f aca="false">IF(CR491&gt;0,CR491*MAX(1,BA491/X491),IF(CA491=1,IF(BA491&lt;=0,0,CE491*MAX(1,IF(H491&gt;0,BA491/H491,1))),IF(R491&gt;0,BB491/R491,0))/MAX(0.1,N(Parameter!$M$21)))</f>
        <v>0.0769230769230769</v>
      </c>
      <c r="BD491" s="62" t="n">
        <f aca="false">BC491*CC491</f>
        <v>11.9230769230769</v>
      </c>
      <c r="BE491" s="63" t="n">
        <f aca="false">IF(LEFT(Cockpit!$O$5,1)="A",H491,IF(CI491=1,(CL491+CJ491)/2,IF(LEFT(Cockpit!$O$5,1)="B",(CL491+BG491)/2,MAX((CL491+BG491)/2,H491))))</f>
        <v>124.5</v>
      </c>
      <c r="BF491" s="62" t="n">
        <f aca="false">BE491*G491</f>
        <v>44.82</v>
      </c>
      <c r="BG491" s="62" t="n">
        <f aca="false">ROUNDUP(CL491+MAX(CM491,2*(J491/IF(CH491&gt;0,CH491,MAX(0.1,N(Cockpit!$O$6)))-CL491)),0)</f>
        <v>237</v>
      </c>
      <c r="BH491" s="63" t="n">
        <f aca="false">IF(BD491&gt;0,J491/BD491,-1)</f>
        <v>18.6193548387097</v>
      </c>
      <c r="BI491" s="63" t="n">
        <f aca="false">IF(AND(OR(CG491="L1",CG491="L23",CG491="LIFT"),BD491&gt;0),SUMIFS($BD$7:$BD$1843,$CG$7:$CG$1843,CG491,$BH$7:$BH$1843,"&gt;"&amp;BH491)+SUMIFS($BD$7:$BD$1843,$CG$7:$CG$1843,CG491,$BH$7:$BH$1843,BH491,$BX$7:$BX$1843,"&lt;="&amp;BX491),"")</f>
        <v>2288.82967032967</v>
      </c>
      <c r="BJ491" s="70" t="n">
        <f aca="false">IF(BI491="",0,MAX(0,MIN(1,(IF(CG491="L1",Parameter!$H$5,IF(CG491="L23",Parameter!$H$6+Parameter!$H$7,Parameter!$H$5+Parameter!$H$6+Parameter!$H$7))-(BI491-BD491))/BD491)))</f>
        <v>1</v>
      </c>
      <c r="BK491" s="60" t="str">
        <f aca="false">IF(AJ491&lt;=0,"",IF(CG491="Aussen","Aussenlager",IF(CG491="-","Nicht im Lift",IF(AP491&gt;=1,"Lift",IF(AP491&lt;=0,"Aussenlager","teilweise")))))</f>
        <v>Lift</v>
      </c>
      <c r="BL491" s="60" t="str">
        <f aca="false">IF(AT491&lt;=0,"",IF(CG491="Aussen","Aussenlager",IF(CG491="-","Nicht im Lift",IF(AZ491&gt;=1,"Lift",IF(AZ491&lt;=0,"Aussenlager","teilweise")))))</f>
        <v>Lift</v>
      </c>
      <c r="BM491" s="60" t="str">
        <f aca="false">IF(BD491&lt;=0,"",IF(CG491="Aussen","Aussenlager",IF(CG491="-","Nicht im Lift",IF(BJ491&gt;=1,"Lift",IF(BJ491&lt;=0,"Aussenlager","teilweise")))))</f>
        <v>Lift</v>
      </c>
      <c r="BN491" s="60" t="str">
        <f aca="false">IF(A491="","",IF(BW491=1,"Neu; ","")&amp;IF(AND(BW491=0,BR491&lt;0),"negativer Bestand (Export "&amp;BR491&amp;"); ","")&amp;IF(J491&lt;=0,"Kein Verbrauch; ","")&amp;IF(CR491&gt;0,"Lift "&amp;W491&amp;" lt. Liftbericht (Fach "&amp;X491&amp;" Stk); ",IF(CB491=1,"Gebinde geschätzt ("&amp;T491&amp;"); ",IF(CA491=1,"Lose – Tablare geschätzt; ","")))&amp;IF(H491&gt;AW491,"Überbestand "&amp;ROUND(H491-AW491,0)&amp;" Stk / CHF "&amp;ROUND((H491-AW491)*G491,0)&amp;"; ","")&amp;IF(AND(CI491=1,CJ491&lt;CK491),"MAX &lt; MB+LG; ","")&amp;IF(AND(CQ491&gt;0,CP491*10&gt;CQ491),"zu hoch für Tablar; ","")&amp;IF(AND(BW491=0,OR(CI491=1,AB491&lt;&gt;"",U491&lt;&gt;"",V491&lt;&gt;"",AC491&lt;&gt;"")),"manuell übersteuert; ","")&amp;IF(AND(CA491=0,R491=0),"Gebinde unbekannt / Stellmass fehlt; ","")&amp;IF(AND(CA491=0,N(V491)&lt;=0,N(Q491)&lt;=0),"Menge pro Gebinde fehlt (Ist = 1 Gebinde); ","")&amp;BV491)</f>
        <v/>
      </c>
      <c r="BO491" s="60"/>
      <c r="BP491" s="60"/>
      <c r="BQ491" s="67"/>
      <c r="BR491" s="62" t="n">
        <v>117</v>
      </c>
      <c r="BS491" s="62" t="n">
        <v>92</v>
      </c>
      <c r="BT491" s="61" t="n">
        <v>42.12</v>
      </c>
      <c r="BU491" s="62" t="n">
        <v>222</v>
      </c>
      <c r="BV491" s="60"/>
      <c r="BW491" s="65" t="n">
        <v>0</v>
      </c>
      <c r="BX491" s="65" t="n">
        <v>491</v>
      </c>
      <c r="BY491" s="60" t="str">
        <f aca="false">IF(U491&lt;&gt;"",UPPER(TRIM(U491)),IF(CB491=1,UPPER(VLOOKUP(T491,Parameter!$I$27:$K$29,2,0)),IF(P491="","LOSE",P491)))</f>
        <v>S51</v>
      </c>
      <c r="BZ491" s="62" t="n">
        <f aca="false">IF(BY491="LOSE",1,IF(N(V491)&gt;0,V491,IF(CB491=1,MAX(1,N(VLOOKUP(T491,Parameter!$I$27:$K$29,3,0)),H491,N(N491)),IF(N(Q491)&gt;0,Q491,MAX(1,H491)))))</f>
        <v>90</v>
      </c>
      <c r="CA491" s="65" t="n">
        <f aca="false">IF(BY491="LOSE",1,0)</f>
        <v>0</v>
      </c>
      <c r="CB491" s="65" t="n">
        <f aca="false">IF(AND(U491="",OR(P491="",P491="LOSE"),T491&lt;&gt;"",N(S491)&lt;=0,ISNUMBER(MATCH(T491,Parameter!$I$27:$I$29,0))),1,0)</f>
        <v>0</v>
      </c>
      <c r="CC491" s="65" t="n">
        <f aca="false">IF(CR491&gt;0,INDEX(Parameter!$H$5:$H$7,W491)/INDEX(Parameter!$E$5:$E$7,W491),IF(AND(CA491=0,N(IFERROR(VLOOKUP(BY491,'Gebinde-Kategorie'!$A$5:$N$45,14,0),0))&gt;0),VLOOKUP(BY491,'Gebinde-Kategorie'!$A$5:$N$45,14,0)*10+Parameter!$M$23,Parameter!$M$24))</f>
        <v>155</v>
      </c>
      <c r="CD491" s="60" t="str">
        <f aca="false">IF(AND(Parameter!$B$19="Ja",E491&lt;&gt;"",ISNUMBER(MATCH(E491,Parameter!$I$35:$I$52,0))),VLOOKUP(E491,Parameter!$I$35:$J$52,2,0),IFERROR(VLOOKUP(D491,Parameter!$A$35:$C$64,2,0),"Nein"))</f>
        <v>2+3</v>
      </c>
      <c r="CE491" s="64" t="n">
        <f aca="false">IF(CA491=0,0,IF(N(S491)&gt;0,S491,IFERROR(VLOOKUP(D491,Parameter!$A$35:$C$64,3,0)+0,0)))</f>
        <v>0</v>
      </c>
      <c r="CF491" s="60" t="n">
        <f aca="false">IF(AB491&lt;&gt;"",AB491,AA491)</f>
        <v>3</v>
      </c>
      <c r="CG491" s="60" t="str">
        <f aca="false">IF(OR(CF491=1,CF491=2,CF491=3),IF(Parameter!$E$27="Ja","LIFT",IF(CF491=1,"L1","L23")),IF(CF491="Aussen","Aussen","-"))</f>
        <v>LIFT</v>
      </c>
      <c r="CH491" s="71" t="n">
        <f aca="false">IF(N(AC491)&gt;0,AC491,0)</f>
        <v>0</v>
      </c>
      <c r="CI491" s="65" t="n">
        <f aca="false">IF(ISNUMBER(AF491),1,0)</f>
        <v>0</v>
      </c>
      <c r="CJ491" s="62" t="n">
        <f aca="false">N(AF491)</f>
        <v>0</v>
      </c>
      <c r="CK491" s="62" t="n">
        <f aca="false">N(M491)+N(N491)</f>
        <v>237</v>
      </c>
      <c r="CL491" s="62" t="n">
        <f aca="false">N(M491)</f>
        <v>12</v>
      </c>
      <c r="CM491" s="62" t="n">
        <f aca="false">N(N491)</f>
        <v>225</v>
      </c>
      <c r="CN491" s="62" t="n">
        <f aca="false">ROUNDUP(H491/BZ491,0)</f>
        <v>3</v>
      </c>
      <c r="CO491" s="62" t="n">
        <f aca="false">ROUNDUP(CJ491/BZ491,0)</f>
        <v>0</v>
      </c>
      <c r="CP491" s="65" t="n">
        <f aca="false">IF(CA491=1,0,IFERROR(VLOOKUP(BY491,'Gebinde-Kategorie'!$A$5:$N$45,5,0)+0,0))</f>
        <v>11</v>
      </c>
      <c r="CQ491" s="65" t="n">
        <f aca="false">IFERROR(IF(OR(CF491=1,CF491=2,CF491=3),N(INDEX(Parameter!$I$5:$I$7,CF491)),0),0)</f>
        <v>0</v>
      </c>
      <c r="CR491" s="64" t="n">
        <f aca="false">IF(AND(Parameter!$B$21="Ja",ISNUMBER(W491),N(X491)&gt;0),IFERROR(N(INDEX(Parameter!$L$5:$L$7,W491))*INDEX(Parameter!$E$5:$E$7,W491)*X491/SUMIFS($X$7:$X$1843,$W$7:$W$1843,W491),0),0)</f>
        <v>0</v>
      </c>
      <c r="CS491" s="62" t="n">
        <f aca="false">IF(AND(OR(CG491="L1",CG491="L23",CG491="LIFT"),H491&gt;0),CC491*IF(CR491&gt;0,CR491*MAX(1,H491/X491),IF(CA491=1,CE491,IF(R491&gt;0,CN491/R491,0))/MAX(0.1,N(Parameter!$M$21))),"")</f>
        <v>17.8846153846154</v>
      </c>
      <c r="CT491" s="64" t="n">
        <f aca="false">IF(CS491="","",J491/H491)</f>
        <v>1.0622009569378</v>
      </c>
      <c r="CU491" s="62" t="n">
        <f aca="false">IF(CS491="","",H491*G491)</f>
        <v>75.24</v>
      </c>
      <c r="CV491" s="63" t="n">
        <f aca="false">IF(CS491="","",(CL491+ROUNDUP(CL491+MAX(CM491,2*(J491/MAX(0.1,N(Einkauf!$C$6))-CL491)),0))/2)</f>
        <v>124.5</v>
      </c>
      <c r="CW491" s="62" t="n">
        <f aca="false">IF(CS491="","",MAX(0,H491-CV491)*G491)</f>
        <v>30.42</v>
      </c>
      <c r="CX491" s="62" t="n">
        <f aca="false">IF(CS491="","",CS491*MAX(0,1-CV491/H491))</f>
        <v>7.23086124401914</v>
      </c>
      <c r="CY491" s="64" t="n">
        <f aca="false">IF(CS491="","",PERCENTRANK($CS$7:$CS$1843,CS491)+PERCENTRANK($CU$7:$CU$1843,CU491)+1-PERCENTRANK($CT$7:$CT$1843,CT491))</f>
        <v>1.266</v>
      </c>
      <c r="CZ491" s="72" t="n">
        <f aca="false">IF(CS491="","",CHOOSE(MATCH(Einkauf!$C$5,Parameter!$G$23:$G$27,0),CY491,CS491,CU491,-CT491,CW491)+ROW()/1000000000)</f>
        <v>1.266000491</v>
      </c>
    </row>
    <row r="492" customFormat="false" ht="15" hidden="false" customHeight="false" outlineLevel="0" collapsed="false">
      <c r="A492" s="60" t="s">
        <v>1128</v>
      </c>
      <c r="B492" s="60" t="s">
        <v>1129</v>
      </c>
      <c r="C492" s="60" t="s">
        <v>206</v>
      </c>
      <c r="D492" s="60" t="s">
        <v>226</v>
      </c>
      <c r="E492" s="60" t="s">
        <v>227</v>
      </c>
      <c r="F492" s="60" t="s">
        <v>260</v>
      </c>
      <c r="G492" s="61" t="n">
        <v>16.51</v>
      </c>
      <c r="H492" s="62" t="n">
        <f aca="false">MAX(0,IF(AND(Parameter!$B$21="Ja",ISNUMBER(Y492)),Y492,IF(Parameter!$B$20="Jahresanfang 2025 + Export",BS492+BR492,BR492)))</f>
        <v>28</v>
      </c>
      <c r="I492" s="62" t="n">
        <f aca="false">H492*G492</f>
        <v>462.28</v>
      </c>
      <c r="J492" s="62" t="n">
        <f aca="false">BU492*Parameter!$B$18</f>
        <v>13</v>
      </c>
      <c r="K492" s="63" t="n">
        <v>18.5</v>
      </c>
      <c r="L492" s="64" t="n">
        <v>0.702702702702703</v>
      </c>
      <c r="M492" s="62" t="n">
        <v>1</v>
      </c>
      <c r="N492" s="62" t="n">
        <v>15</v>
      </c>
      <c r="O492" s="65" t="n">
        <v>28</v>
      </c>
      <c r="P492" s="60" t="s">
        <v>275</v>
      </c>
      <c r="Q492" s="62" t="n">
        <v>32</v>
      </c>
      <c r="R492" s="65" t="n">
        <f aca="false">IF(CA492=1,0,IFERROR(VLOOKUP(BY492,'Gebinde-Kategorie'!$A$5:$N$45,13,0)+0,0))</f>
        <v>26</v>
      </c>
      <c r="S492" s="66"/>
      <c r="T492" s="67"/>
      <c r="U492" s="67"/>
      <c r="V492" s="67"/>
      <c r="W492" s="60"/>
      <c r="X492" s="62"/>
      <c r="Y492" s="62"/>
      <c r="Z492" s="60" t="n">
        <v>3</v>
      </c>
      <c r="AA492" s="60" t="n">
        <f aca="false">IF(A492="","",IF(AND(Parameter!$B$21="Ja",ISNUMBER(W492)),W492,IF(AND(Parameter!$E$27="Ja",ISNUMBER(Z492),CD492&lt;&gt;"Nein"),Z492,IF(CD492="2+3",IF(ISNUMBER(SEARCH("grosser Artikel",BV492)),2,IFERROR(VLOOKUP(BY492,Parameter!$F$35:$G$64,2,0),2)),IF(OR(CD492="Nein",CD492=""),"-",CD492)))))</f>
        <v>3</v>
      </c>
      <c r="AB492" s="67"/>
      <c r="AC492" s="68"/>
      <c r="AD492" s="62" t="n">
        <f aca="false">AW492</f>
        <v>16</v>
      </c>
      <c r="AE492" s="62" t="n">
        <f aca="false">MAX(AW492,H492)</f>
        <v>28</v>
      </c>
      <c r="AF492" s="69"/>
      <c r="AG492" s="62" t="n">
        <f aca="false">IF(LEFT(Cockpit!$C$5,1)="A",H492,IF(Parameter!$E$30="MAX-Bestand",IF(CI492=1,CJ492,IF(LEFT(Cockpit!$C$5,1)="B",AM492,MAX(AM492,H492))),ROUNDUP(AK492,0)))</f>
        <v>28</v>
      </c>
      <c r="AH492" s="62" t="n">
        <f aca="false">IF(CA492=1,0,ROUNDUP(AG492/BZ492,0))</f>
        <v>1</v>
      </c>
      <c r="AI492" s="64" t="n">
        <f aca="false">IF(CR492&gt;0,CR492*MAX(1,AG492/X492),IF(CA492=1,IF(AG492&lt;=0,0,CE492*MAX(1,IF(H492&gt;0,AG492/H492,1))),IF(R492&gt;0,AH492/R492,0))/MAX(0.1,N(Parameter!$M$21)))</f>
        <v>0.0384615384615385</v>
      </c>
      <c r="AJ492" s="62" t="n">
        <f aca="false">AI492*CC492</f>
        <v>9.42307692307692</v>
      </c>
      <c r="AK492" s="63" t="n">
        <f aca="false">IF(LEFT(Cockpit!$C$5,1)="A",H492,IF(CI492=1,(CL492+CJ492)/2,IF(LEFT(Cockpit!$C$5,1)="B",(CL492+AM492)/2,MAX((CL492+AM492)/2,H492))))</f>
        <v>28</v>
      </c>
      <c r="AL492" s="62" t="n">
        <f aca="false">AK492*G492</f>
        <v>462.28</v>
      </c>
      <c r="AM492" s="62" t="n">
        <f aca="false">ROUNDUP(CL492+MAX(CM492,2*(J492/IF(CH492&gt;0,CH492,MAX(0.1,N(Cockpit!$C$6)))-CL492)),0)</f>
        <v>16</v>
      </c>
      <c r="AN492" s="63" t="n">
        <f aca="false">IF(AJ492&gt;0,J492/AJ492,-1)</f>
        <v>1.37959183673469</v>
      </c>
      <c r="AO492" s="63" t="n">
        <f aca="false">IF(AND(OR(CG492="L1",CG492="L23",CG492="LIFT"),AJ492&gt;0),SUMIFS($AJ$7:$AJ$1843,$CG$7:$CG$1843,CG492,$AN$7:$AN$1843,"&gt;"&amp;AN492)+SUMIFS($AJ$7:$AJ$1843,$CG$7:$CG$1843,CG492,$AN$7:$AN$1843,AN492,$BX$7:$BX$1843,"&lt;="&amp;BX492),"")</f>
        <v>6319.22481684982</v>
      </c>
      <c r="AP492" s="70" t="n">
        <f aca="false">IF(AO492="",0,MAX(0,MIN(1,(IF(CG492="L1",Parameter!$H$5,IF(CG492="L23",Parameter!$H$6+Parameter!$H$7,Parameter!$H$5+Parameter!$H$6+Parameter!$H$7))-(AO492-AJ492))/AJ492)))</f>
        <v>1</v>
      </c>
      <c r="AQ492" s="62" t="n">
        <f aca="false">IF(LEFT(Cockpit!$I$5,1)="A",H492,IF(Parameter!$E$30="MAX-Bestand",IF(CI492=1,CJ492,IF(LEFT(Cockpit!$I$5,1)="B",AW492,MAX(AW492,H492))),ROUNDUP(AU492,0)))</f>
        <v>28</v>
      </c>
      <c r="AR492" s="62" t="n">
        <f aca="false">IF(CA492=1,0,ROUNDUP(AQ492/BZ492,0))</f>
        <v>1</v>
      </c>
      <c r="AS492" s="64" t="n">
        <f aca="false">IF(CR492&gt;0,CR492*MAX(1,AQ492/X492),IF(CA492=1,IF(AQ492&lt;=0,0,CE492*MAX(1,IF(H492&gt;0,AQ492/H492,1))),IF(R492&gt;0,AR492/R492,0))/MAX(0.1,N(Parameter!$M$21)))</f>
        <v>0.0384615384615385</v>
      </c>
      <c r="AT492" s="62" t="n">
        <f aca="false">AS492*CC492</f>
        <v>9.42307692307692</v>
      </c>
      <c r="AU492" s="63" t="n">
        <f aca="false">IF(LEFT(Cockpit!$I$5,1)="A",H492,IF(CI492=1,(CL492+CJ492)/2,IF(LEFT(Cockpit!$I$5,1)="B",(CL492+AW492)/2,MAX((CL492+AW492)/2,H492))))</f>
        <v>28</v>
      </c>
      <c r="AV492" s="62" t="n">
        <f aca="false">AU492*G492</f>
        <v>462.28</v>
      </c>
      <c r="AW492" s="62" t="n">
        <f aca="false">ROUNDUP(CL492+MAX(CM492,2*(J492/IF(CH492&gt;0,CH492,MAX(0.1,N(Cockpit!$I$6)))-CL492)),0)</f>
        <v>16</v>
      </c>
      <c r="AX492" s="63" t="n">
        <f aca="false">IF(AT492&gt;0,J492/AT492,-1)</f>
        <v>1.37959183673469</v>
      </c>
      <c r="AY492" s="63" t="n">
        <f aca="false">IF(AND(OR(CG492="L1",CG492="L23",CG492="LIFT"),AT492&gt;0),SUMIFS($AT$7:$AT$1843,$CG$7:$CG$1843,CG492,$AX$7:$AX$1843,"&gt;"&amp;AX492)+SUMIFS($AT$7:$AT$1843,$CG$7:$CG$1843,CG492,$AX$7:$AX$1843,AX492,$BX$7:$BX$1843,"&lt;="&amp;BX492),"")</f>
        <v>7837.44688644689</v>
      </c>
      <c r="AZ492" s="70" t="n">
        <f aca="false">IF(AY492="",0,MAX(0,MIN(1,(IF(CG492="L1",Parameter!$H$5,IF(CG492="L23",Parameter!$H$6+Parameter!$H$7,Parameter!$H$5+Parameter!$H$6+Parameter!$H$7))-(AY492-AT492))/AT492)))</f>
        <v>1</v>
      </c>
      <c r="BA492" s="62" t="n">
        <f aca="false">IF(LEFT(Cockpit!$O$5,1)="A",H492,IF(Parameter!$E$30="MAX-Bestand",IF(CI492=1,CJ492,IF(LEFT(Cockpit!$O$5,1)="B",BG492,MAX(BG492,H492))),ROUNDUP(BE492,0)))</f>
        <v>9</v>
      </c>
      <c r="BB492" s="62" t="n">
        <f aca="false">IF(CA492=1,0,ROUNDUP(BA492/BZ492,0))</f>
        <v>1</v>
      </c>
      <c r="BC492" s="64" t="n">
        <f aca="false">IF(CR492&gt;0,CR492*MAX(1,BA492/X492),IF(CA492=1,IF(BA492&lt;=0,0,CE492*MAX(1,IF(H492&gt;0,BA492/H492,1))),IF(R492&gt;0,BB492/R492,0))/MAX(0.1,N(Parameter!$M$21)))</f>
        <v>0.0384615384615385</v>
      </c>
      <c r="BD492" s="62" t="n">
        <f aca="false">BC492*CC492</f>
        <v>9.42307692307692</v>
      </c>
      <c r="BE492" s="63" t="n">
        <f aca="false">IF(LEFT(Cockpit!$O$5,1)="A",H492,IF(CI492=1,(CL492+CJ492)/2,IF(LEFT(Cockpit!$O$5,1)="B",(CL492+BG492)/2,MAX((CL492+BG492)/2,H492))))</f>
        <v>8.5</v>
      </c>
      <c r="BF492" s="62" t="n">
        <f aca="false">BE492*G492</f>
        <v>140.335</v>
      </c>
      <c r="BG492" s="62" t="n">
        <f aca="false">ROUNDUP(CL492+MAX(CM492,2*(J492/IF(CH492&gt;0,CH492,MAX(0.1,N(Cockpit!$O$6)))-CL492)),0)</f>
        <v>16</v>
      </c>
      <c r="BH492" s="63" t="n">
        <f aca="false">IF(BD492&gt;0,J492/BD492,-1)</f>
        <v>1.37959183673469</v>
      </c>
      <c r="BI492" s="63" t="n">
        <f aca="false">IF(AND(OR(CG492="L1",CG492="L23",CG492="LIFT"),BD492&gt;0),SUMIFS($BD$7:$BD$1843,$CG$7:$CG$1843,CG492,$BH$7:$BH$1843,"&gt;"&amp;BH492)+SUMIFS($BD$7:$BD$1843,$CG$7:$CG$1843,CG492,$BH$7:$BH$1843,BH492,$BX$7:$BX$1843,"&lt;="&amp;BX492),"")</f>
        <v>6712.93177655678</v>
      </c>
      <c r="BJ492" s="70" t="n">
        <f aca="false">IF(BI492="",0,MAX(0,MIN(1,(IF(CG492="L1",Parameter!$H$5,IF(CG492="L23",Parameter!$H$6+Parameter!$H$7,Parameter!$H$5+Parameter!$H$6+Parameter!$H$7))-(BI492-BD492))/BD492)))</f>
        <v>1</v>
      </c>
      <c r="BK492" s="60" t="str">
        <f aca="false">IF(AJ492&lt;=0,"",IF(CG492="Aussen","Aussenlager",IF(CG492="-","Nicht im Lift",IF(AP492&gt;=1,"Lift",IF(AP492&lt;=0,"Aussenlager","teilweise")))))</f>
        <v>Lift</v>
      </c>
      <c r="BL492" s="60" t="str">
        <f aca="false">IF(AT492&lt;=0,"",IF(CG492="Aussen","Aussenlager",IF(CG492="-","Nicht im Lift",IF(AZ492&gt;=1,"Lift",IF(AZ492&lt;=0,"Aussenlager","teilweise")))))</f>
        <v>Lift</v>
      </c>
      <c r="BM492" s="60" t="str">
        <f aca="false">IF(BD492&lt;=0,"",IF(CG492="Aussen","Aussenlager",IF(CG492="-","Nicht im Lift",IF(BJ492&gt;=1,"Lift",IF(BJ492&lt;=0,"Aussenlager","teilweise")))))</f>
        <v>Lift</v>
      </c>
      <c r="BN492" s="60" t="str">
        <f aca="false">IF(A492="","",IF(BW492=1,"Neu; ","")&amp;IF(AND(BW492=0,BR492&lt;0),"negativer Bestand (Export "&amp;BR492&amp;"); ","")&amp;IF(J492&lt;=0,"Kein Verbrauch; ","")&amp;IF(CR492&gt;0,"Lift "&amp;W492&amp;" lt. Liftbericht (Fach "&amp;X492&amp;" Stk); ",IF(CB492=1,"Gebinde geschätzt ("&amp;T492&amp;"); ",IF(CA492=1,"Lose – Tablare geschätzt; ","")))&amp;IF(H492&gt;AW492,"Überbestand "&amp;ROUND(H492-AW492,0)&amp;" Stk / CHF "&amp;ROUND((H492-AW492)*G492,0)&amp;"; ","")&amp;IF(AND(CI492=1,CJ492&lt;CK492),"MAX &lt; MB+LG; ","")&amp;IF(AND(CQ492&gt;0,CP492*10&gt;CQ492),"zu hoch für Tablar; ","")&amp;IF(AND(BW492=0,OR(CI492=1,AB492&lt;&gt;"",U492&lt;&gt;"",V492&lt;&gt;"",AC492&lt;&gt;"")),"manuell übersteuert; ","")&amp;IF(AND(CA492=0,R492=0),"Gebinde unbekannt / Stellmass fehlt; ","")&amp;IF(AND(CA492=0,N(V492)&lt;=0,N(Q492)&lt;=0),"Menge pro Gebinde fehlt (Ist = 1 Gebinde); ","")&amp;BV492)</f>
        <v>Überbestand 12 Stk / CHF 198; </v>
      </c>
      <c r="BO492" s="60"/>
      <c r="BP492" s="60"/>
      <c r="BQ492" s="67"/>
      <c r="BR492" s="62" t="n">
        <v>3</v>
      </c>
      <c r="BS492" s="62" t="n">
        <v>25</v>
      </c>
      <c r="BT492" s="61" t="n">
        <v>41.5300000000001</v>
      </c>
      <c r="BU492" s="62" t="n">
        <v>13</v>
      </c>
      <c r="BV492" s="60"/>
      <c r="BW492" s="65" t="n">
        <v>0</v>
      </c>
      <c r="BX492" s="65" t="n">
        <v>492</v>
      </c>
      <c r="BY492" s="60" t="str">
        <f aca="false">IF(U492&lt;&gt;"",UPPER(TRIM(U492)),IF(CB492=1,UPPER(VLOOKUP(T492,Parameter!$I$27:$K$29,2,0)),IF(P492="","LOSE",P492)))</f>
        <v>S52</v>
      </c>
      <c r="BZ492" s="62" t="n">
        <f aca="false">IF(BY492="LOSE",1,IF(N(V492)&gt;0,V492,IF(CB492=1,MAX(1,N(VLOOKUP(T492,Parameter!$I$27:$K$29,3,0)),H492,N(N492)),IF(N(Q492)&gt;0,Q492,MAX(1,H492)))))</f>
        <v>32</v>
      </c>
      <c r="CA492" s="65" t="n">
        <f aca="false">IF(BY492="LOSE",1,0)</f>
        <v>0</v>
      </c>
      <c r="CB492" s="65" t="n">
        <f aca="false">IF(AND(U492="",OR(P492="",P492="LOSE"),T492&lt;&gt;"",N(S492)&lt;=0,ISNUMBER(MATCH(T492,Parameter!$I$27:$I$29,0))),1,0)</f>
        <v>0</v>
      </c>
      <c r="CC492" s="65" t="n">
        <f aca="false">IF(CR492&gt;0,INDEX(Parameter!$H$5:$H$7,W492)/INDEX(Parameter!$E$5:$E$7,W492),IF(AND(CA492=0,N(IFERROR(VLOOKUP(BY492,'Gebinde-Kategorie'!$A$5:$N$45,14,0),0))&gt;0),VLOOKUP(BY492,'Gebinde-Kategorie'!$A$5:$N$45,14,0)*10+Parameter!$M$23,Parameter!$M$24))</f>
        <v>245</v>
      </c>
      <c r="CD492" s="60" t="str">
        <f aca="false">IF(AND(Parameter!$B$19="Ja",E492&lt;&gt;"",ISNUMBER(MATCH(E492,Parameter!$I$35:$I$52,0))),VLOOKUP(E492,Parameter!$I$35:$J$52,2,0),IFERROR(VLOOKUP(D492,Parameter!$A$35:$C$64,2,0),"Nein"))</f>
        <v>2+3</v>
      </c>
      <c r="CE492" s="64" t="n">
        <f aca="false">IF(CA492=0,0,IF(N(S492)&gt;0,S492,IFERROR(VLOOKUP(D492,Parameter!$A$35:$C$64,3,0)+0,0)))</f>
        <v>0</v>
      </c>
      <c r="CF492" s="60" t="n">
        <f aca="false">IF(AB492&lt;&gt;"",AB492,AA492)</f>
        <v>3</v>
      </c>
      <c r="CG492" s="60" t="str">
        <f aca="false">IF(OR(CF492=1,CF492=2,CF492=3),IF(Parameter!$E$27="Ja","LIFT",IF(CF492=1,"L1","L23")),IF(CF492="Aussen","Aussen","-"))</f>
        <v>LIFT</v>
      </c>
      <c r="CH492" s="71" t="n">
        <f aca="false">IF(N(AC492)&gt;0,AC492,0)</f>
        <v>0</v>
      </c>
      <c r="CI492" s="65" t="n">
        <f aca="false">IF(ISNUMBER(AF492),1,0)</f>
        <v>0</v>
      </c>
      <c r="CJ492" s="62" t="n">
        <f aca="false">N(AF492)</f>
        <v>0</v>
      </c>
      <c r="CK492" s="62" t="n">
        <f aca="false">N(M492)+N(N492)</f>
        <v>16</v>
      </c>
      <c r="CL492" s="62" t="n">
        <f aca="false">N(M492)</f>
        <v>1</v>
      </c>
      <c r="CM492" s="62" t="n">
        <f aca="false">N(N492)</f>
        <v>15</v>
      </c>
      <c r="CN492" s="62" t="n">
        <f aca="false">ROUNDUP(H492/BZ492,0)</f>
        <v>1</v>
      </c>
      <c r="CO492" s="62" t="n">
        <f aca="false">ROUNDUP(CJ492/BZ492,0)</f>
        <v>0</v>
      </c>
      <c r="CP492" s="65" t="n">
        <f aca="false">IF(CA492=1,0,IFERROR(VLOOKUP(BY492,'Gebinde-Kategorie'!$A$5:$N$45,5,0)+0,0))</f>
        <v>21</v>
      </c>
      <c r="CQ492" s="65" t="n">
        <f aca="false">IFERROR(IF(OR(CF492=1,CF492=2,CF492=3),N(INDEX(Parameter!$I$5:$I$7,CF492)),0),0)</f>
        <v>0</v>
      </c>
      <c r="CR492" s="64" t="n">
        <f aca="false">IF(AND(Parameter!$B$21="Ja",ISNUMBER(W492),N(X492)&gt;0),IFERROR(N(INDEX(Parameter!$L$5:$L$7,W492))*INDEX(Parameter!$E$5:$E$7,W492)*X492/SUMIFS($X$7:$X$1843,$W$7:$W$1843,W492),0),0)</f>
        <v>0</v>
      </c>
      <c r="CS492" s="62" t="n">
        <f aca="false">IF(AND(OR(CG492="L1",CG492="L23",CG492="LIFT"),H492&gt;0),CC492*IF(CR492&gt;0,CR492*MAX(1,H492/X492),IF(CA492=1,CE492,IF(R492&gt;0,CN492/R492,0))/MAX(0.1,N(Parameter!$M$21))),"")</f>
        <v>9.42307692307692</v>
      </c>
      <c r="CT492" s="64" t="n">
        <f aca="false">IF(CS492="","",J492/H492)</f>
        <v>0.464285714285714</v>
      </c>
      <c r="CU492" s="62" t="n">
        <f aca="false">IF(CS492="","",H492*G492)</f>
        <v>462.28</v>
      </c>
      <c r="CV492" s="63" t="n">
        <f aca="false">IF(CS492="","",(CL492+ROUNDUP(CL492+MAX(CM492,2*(J492/MAX(0.1,N(Einkauf!$C$6))-CL492)),0))/2)</f>
        <v>8.5</v>
      </c>
      <c r="CW492" s="62" t="n">
        <f aca="false">IF(CS492="","",MAX(0,H492-CV492)*G492)</f>
        <v>321.945</v>
      </c>
      <c r="CX492" s="62" t="n">
        <f aca="false">IF(CS492="","",CS492*MAX(0,1-CV492/H492))</f>
        <v>6.5625</v>
      </c>
      <c r="CY492" s="64" t="n">
        <f aca="false">IF(CS492="","",PERCENTRANK($CS$7:$CS$1843,CS492)+PERCENTRANK($CU$7:$CU$1843,CU492)+1-PERCENTRANK($CT$7:$CT$1843,CT492))</f>
        <v>1.528</v>
      </c>
      <c r="CZ492" s="72" t="n">
        <f aca="false">IF(CS492="","",CHOOSE(MATCH(Einkauf!$C$5,Parameter!$G$23:$G$27,0),CY492,CS492,CU492,-CT492,CW492)+ROW()/1000000000)</f>
        <v>1.528000492</v>
      </c>
    </row>
    <row r="493" customFormat="false" ht="15" hidden="false" customHeight="false" outlineLevel="0" collapsed="false">
      <c r="A493" s="60" t="s">
        <v>1130</v>
      </c>
      <c r="B493" s="60" t="s">
        <v>1078</v>
      </c>
      <c r="C493" s="60" t="s">
        <v>206</v>
      </c>
      <c r="D493" s="60" t="s">
        <v>226</v>
      </c>
      <c r="E493" s="60" t="s">
        <v>227</v>
      </c>
      <c r="F493" s="60" t="s">
        <v>260</v>
      </c>
      <c r="G493" s="61" t="n">
        <v>0.03</v>
      </c>
      <c r="H493" s="62" t="n">
        <f aca="false">MAX(0,IF(AND(Parameter!$B$21="Ja",ISNUMBER(Y493)),Y493,IF(Parameter!$B$20="Jahresanfang 2025 + Export",BS493+BR493,BR493)))</f>
        <v>3691</v>
      </c>
      <c r="I493" s="62" t="n">
        <f aca="false">H493*G493</f>
        <v>110.73</v>
      </c>
      <c r="J493" s="62" t="n">
        <f aca="false">BU493*Parameter!$B$18</f>
        <v>100</v>
      </c>
      <c r="K493" s="63" t="n">
        <v>1870</v>
      </c>
      <c r="L493" s="64" t="n">
        <v>0.053475935828877</v>
      </c>
      <c r="M493" s="62" t="n">
        <v>3</v>
      </c>
      <c r="N493" s="62" t="n">
        <v>100</v>
      </c>
      <c r="O493" s="65" t="n">
        <v>14</v>
      </c>
      <c r="P493" s="60" t="s">
        <v>344</v>
      </c>
      <c r="Q493" s="62" t="n">
        <v>4200</v>
      </c>
      <c r="R493" s="65" t="n">
        <f aca="false">IF(CA493=1,0,IFERROR(VLOOKUP(BY493,'Gebinde-Kategorie'!$A$5:$N$45,13,0)+0,0))</f>
        <v>26</v>
      </c>
      <c r="S493" s="66"/>
      <c r="T493" s="67"/>
      <c r="U493" s="67"/>
      <c r="V493" s="67"/>
      <c r="W493" s="60"/>
      <c r="X493" s="62"/>
      <c r="Y493" s="62"/>
      <c r="Z493" s="60" t="n">
        <v>3</v>
      </c>
      <c r="AA493" s="60" t="n">
        <f aca="false">IF(A493="","",IF(AND(Parameter!$B$21="Ja",ISNUMBER(W493)),W493,IF(AND(Parameter!$E$27="Ja",ISNUMBER(Z493),CD493&lt;&gt;"Nein"),Z493,IF(CD493="2+3",IF(ISNUMBER(SEARCH("grosser Artikel",BV493)),2,IFERROR(VLOOKUP(BY493,Parameter!$F$35:$G$64,2,0),2)),IF(OR(CD493="Nein",CD493=""),"-",CD493)))))</f>
        <v>3</v>
      </c>
      <c r="AB493" s="67"/>
      <c r="AC493" s="68"/>
      <c r="AD493" s="62" t="n">
        <f aca="false">AW493</f>
        <v>103</v>
      </c>
      <c r="AE493" s="62" t="n">
        <f aca="false">MAX(AW493,H493)</f>
        <v>3691</v>
      </c>
      <c r="AF493" s="69"/>
      <c r="AG493" s="62" t="n">
        <f aca="false">IF(LEFT(Cockpit!$C$5,1)="A",H493,IF(Parameter!$E$30="MAX-Bestand",IF(CI493=1,CJ493,IF(LEFT(Cockpit!$C$5,1)="B",AM493,MAX(AM493,H493))),ROUNDUP(AK493,0)))</f>
        <v>3691</v>
      </c>
      <c r="AH493" s="62" t="n">
        <f aca="false">IF(CA493=1,0,ROUNDUP(AG493/BZ493,0))</f>
        <v>1</v>
      </c>
      <c r="AI493" s="64" t="n">
        <f aca="false">IF(CR493&gt;0,CR493*MAX(1,AG493/X493),IF(CA493=1,IF(AG493&lt;=0,0,CE493*MAX(1,IF(H493&gt;0,AG493/H493,1))),IF(R493&gt;0,AH493/R493,0))/MAX(0.1,N(Parameter!$M$21)))</f>
        <v>0.0384615384615385</v>
      </c>
      <c r="AJ493" s="62" t="n">
        <f aca="false">AI493*CC493</f>
        <v>5.96153846153846</v>
      </c>
      <c r="AK493" s="63" t="n">
        <f aca="false">IF(LEFT(Cockpit!$C$5,1)="A",H493,IF(CI493=1,(CL493+CJ493)/2,IF(LEFT(Cockpit!$C$5,1)="B",(CL493+AM493)/2,MAX((CL493+AM493)/2,H493))))</f>
        <v>3691</v>
      </c>
      <c r="AL493" s="62" t="n">
        <f aca="false">AK493*G493</f>
        <v>110.73</v>
      </c>
      <c r="AM493" s="62" t="n">
        <f aca="false">ROUNDUP(CL493+MAX(CM493,2*(J493/IF(CH493&gt;0,CH493,MAX(0.1,N(Cockpit!$C$6)))-CL493)),0)</f>
        <v>103</v>
      </c>
      <c r="AN493" s="63" t="n">
        <f aca="false">IF(AJ493&gt;0,J493/AJ493,-1)</f>
        <v>16.7741935483871</v>
      </c>
      <c r="AO493" s="63" t="n">
        <f aca="false">IF(AND(OR(CG493="L1",CG493="L23",CG493="LIFT"),AJ493&gt;0),SUMIFS($AJ$7:$AJ$1843,$CG$7:$CG$1843,CG493,$AN$7:$AN$1843,"&gt;"&amp;AN493)+SUMIFS($AJ$7:$AJ$1843,$CG$7:$CG$1843,CG493,$AN$7:$AN$1843,AN493,$BX$7:$BX$1843,"&lt;="&amp;BX493),"")</f>
        <v>2021.65659340659</v>
      </c>
      <c r="AP493" s="70" t="n">
        <f aca="false">IF(AO493="",0,MAX(0,MIN(1,(IF(CG493="L1",Parameter!$H$5,IF(CG493="L23",Parameter!$H$6+Parameter!$H$7,Parameter!$H$5+Parameter!$H$6+Parameter!$H$7))-(AO493-AJ493))/AJ493)))</f>
        <v>1</v>
      </c>
      <c r="AQ493" s="62" t="n">
        <f aca="false">IF(LEFT(Cockpit!$I$5,1)="A",H493,IF(Parameter!$E$30="MAX-Bestand",IF(CI493=1,CJ493,IF(LEFT(Cockpit!$I$5,1)="B",AW493,MAX(AW493,H493))),ROUNDUP(AU493,0)))</f>
        <v>3691</v>
      </c>
      <c r="AR493" s="62" t="n">
        <f aca="false">IF(CA493=1,0,ROUNDUP(AQ493/BZ493,0))</f>
        <v>1</v>
      </c>
      <c r="AS493" s="64" t="n">
        <f aca="false">IF(CR493&gt;0,CR493*MAX(1,AQ493/X493),IF(CA493=1,IF(AQ493&lt;=0,0,CE493*MAX(1,IF(H493&gt;0,AQ493/H493,1))),IF(R493&gt;0,AR493/R493,0))/MAX(0.1,N(Parameter!$M$21)))</f>
        <v>0.0384615384615385</v>
      </c>
      <c r="AT493" s="62" t="n">
        <f aca="false">AS493*CC493</f>
        <v>5.96153846153846</v>
      </c>
      <c r="AU493" s="63" t="n">
        <f aca="false">IF(LEFT(Cockpit!$I$5,1)="A",H493,IF(CI493=1,(CL493+CJ493)/2,IF(LEFT(Cockpit!$I$5,1)="B",(CL493+AW493)/2,MAX((CL493+AW493)/2,H493))))</f>
        <v>3691</v>
      </c>
      <c r="AV493" s="62" t="n">
        <f aca="false">AU493*G493</f>
        <v>110.73</v>
      </c>
      <c r="AW493" s="62" t="n">
        <f aca="false">ROUNDUP(CL493+MAX(CM493,2*(J493/IF(CH493&gt;0,CH493,MAX(0.1,N(Cockpit!$I$6)))-CL493)),0)</f>
        <v>103</v>
      </c>
      <c r="AX493" s="63" t="n">
        <f aca="false">IF(AT493&gt;0,J493/AT493,-1)</f>
        <v>16.7741935483871</v>
      </c>
      <c r="AY493" s="63" t="n">
        <f aca="false">IF(AND(OR(CG493="L1",CG493="L23",CG493="LIFT"),AT493&gt;0),SUMIFS($AT$7:$AT$1843,$CG$7:$CG$1843,CG493,$AX$7:$AX$1843,"&gt;"&amp;AX493)+SUMIFS($AT$7:$AT$1843,$CG$7:$CG$1843,CG493,$AX$7:$AX$1843,AX493,$BX$7:$BX$1843,"&lt;="&amp;BX493),"")</f>
        <v>2658.77747252747</v>
      </c>
      <c r="AZ493" s="70" t="n">
        <f aca="false">IF(AY493="",0,MAX(0,MIN(1,(IF(CG493="L1",Parameter!$H$5,IF(CG493="L23",Parameter!$H$6+Parameter!$H$7,Parameter!$H$5+Parameter!$H$6+Parameter!$H$7))-(AY493-AT493))/AT493)))</f>
        <v>1</v>
      </c>
      <c r="BA493" s="62" t="n">
        <f aca="false">IF(LEFT(Cockpit!$O$5,1)="A",H493,IF(Parameter!$E$30="MAX-Bestand",IF(CI493=1,CJ493,IF(LEFT(Cockpit!$O$5,1)="B",BG493,MAX(BG493,H493))),ROUNDUP(BE493,0)))</f>
        <v>53</v>
      </c>
      <c r="BB493" s="62" t="n">
        <f aca="false">IF(CA493=1,0,ROUNDUP(BA493/BZ493,0))</f>
        <v>1</v>
      </c>
      <c r="BC493" s="64" t="n">
        <f aca="false">IF(CR493&gt;0,CR493*MAX(1,BA493/X493),IF(CA493=1,IF(BA493&lt;=0,0,CE493*MAX(1,IF(H493&gt;0,BA493/H493,1))),IF(R493&gt;0,BB493/R493,0))/MAX(0.1,N(Parameter!$M$21)))</f>
        <v>0.0384615384615385</v>
      </c>
      <c r="BD493" s="62" t="n">
        <f aca="false">BC493*CC493</f>
        <v>5.96153846153846</v>
      </c>
      <c r="BE493" s="63" t="n">
        <f aca="false">IF(LEFT(Cockpit!$O$5,1)="A",H493,IF(CI493=1,(CL493+CJ493)/2,IF(LEFT(Cockpit!$O$5,1)="B",(CL493+BG493)/2,MAX((CL493+BG493)/2,H493))))</f>
        <v>53</v>
      </c>
      <c r="BF493" s="62" t="n">
        <f aca="false">BE493*G493</f>
        <v>1.59</v>
      </c>
      <c r="BG493" s="62" t="n">
        <f aca="false">ROUNDUP(CL493+MAX(CM493,2*(J493/IF(CH493&gt;0,CH493,MAX(0.1,N(Cockpit!$O$6)))-CL493)),0)</f>
        <v>103</v>
      </c>
      <c r="BH493" s="63" t="n">
        <f aca="false">IF(BD493&gt;0,J493/BD493,-1)</f>
        <v>16.7741935483871</v>
      </c>
      <c r="BI493" s="63" t="n">
        <f aca="false">IF(AND(OR(CG493="L1",CG493="L23",CG493="LIFT"),BD493&gt;0),SUMIFS($BD$7:$BD$1843,$CG$7:$CG$1843,CG493,$BH$7:$BH$1843,"&gt;"&amp;BH493)+SUMIFS($BD$7:$BD$1843,$CG$7:$CG$1843,CG493,$BH$7:$BH$1843,BH493,$BX$7:$BX$1843,"&lt;="&amp;BX493),"")</f>
        <v>2344.79532967033</v>
      </c>
      <c r="BJ493" s="70" t="n">
        <f aca="false">IF(BI493="",0,MAX(0,MIN(1,(IF(CG493="L1",Parameter!$H$5,IF(CG493="L23",Parameter!$H$6+Parameter!$H$7,Parameter!$H$5+Parameter!$H$6+Parameter!$H$7))-(BI493-BD493))/BD493)))</f>
        <v>1</v>
      </c>
      <c r="BK493" s="60" t="str">
        <f aca="false">IF(AJ493&lt;=0,"",IF(CG493="Aussen","Aussenlager",IF(CG493="-","Nicht im Lift",IF(AP493&gt;=1,"Lift",IF(AP493&lt;=0,"Aussenlager","teilweise")))))</f>
        <v>Lift</v>
      </c>
      <c r="BL493" s="60" t="str">
        <f aca="false">IF(AT493&lt;=0,"",IF(CG493="Aussen","Aussenlager",IF(CG493="-","Nicht im Lift",IF(AZ493&gt;=1,"Lift",IF(AZ493&lt;=0,"Aussenlager","teilweise")))))</f>
        <v>Lift</v>
      </c>
      <c r="BM493" s="60" t="str">
        <f aca="false">IF(BD493&lt;=0,"",IF(CG493="Aussen","Aussenlager",IF(CG493="-","Nicht im Lift",IF(BJ493&gt;=1,"Lift",IF(BJ493&lt;=0,"Aussenlager","teilweise")))))</f>
        <v>Lift</v>
      </c>
      <c r="BN493" s="60" t="str">
        <f aca="false">IF(A493="","",IF(BW493=1,"Neu; ","")&amp;IF(AND(BW493=0,BR493&lt;0),"negativer Bestand (Export "&amp;BR493&amp;"); ","")&amp;IF(J493&lt;=0,"Kein Verbrauch; ","")&amp;IF(CR493&gt;0,"Lift "&amp;W493&amp;" lt. Liftbericht (Fach "&amp;X493&amp;" Stk); ",IF(CB493=1,"Gebinde geschätzt ("&amp;T493&amp;"); ",IF(CA493=1,"Lose – Tablare geschätzt; ","")))&amp;IF(H493&gt;AW493,"Überbestand "&amp;ROUND(H493-AW493,0)&amp;" Stk / CHF "&amp;ROUND((H493-AW493)*G493,0)&amp;"; ","")&amp;IF(AND(CI493=1,CJ493&lt;CK493),"MAX &lt; MB+LG; ","")&amp;IF(AND(CQ493&gt;0,CP493*10&gt;CQ493),"zu hoch für Tablar; ","")&amp;IF(AND(BW493=0,OR(CI493=1,AB493&lt;&gt;"",U493&lt;&gt;"",V493&lt;&gt;"",AC493&lt;&gt;"")),"manuell übersteuert; ","")&amp;IF(AND(CA493=0,R493=0),"Gebinde unbekannt / Stellmass fehlt; ","")&amp;IF(AND(CA493=0,N(V493)&lt;=0,N(Q493)&lt;=0),"Menge pro Gebinde fehlt (Ist = 1 Gebinde); ","")&amp;BV493)</f>
        <v>Überbestand 3588 Stk / CHF 108; Verb.Lager</v>
      </c>
      <c r="BO493" s="60"/>
      <c r="BP493" s="60"/>
      <c r="BQ493" s="67"/>
      <c r="BR493" s="62" t="n">
        <v>191</v>
      </c>
      <c r="BS493" s="62" t="n">
        <v>3500</v>
      </c>
      <c r="BT493" s="61" t="n">
        <v>40.73</v>
      </c>
      <c r="BU493" s="62" t="n">
        <v>100</v>
      </c>
      <c r="BV493" s="60" t="s">
        <v>1072</v>
      </c>
      <c r="BW493" s="65" t="n">
        <v>0</v>
      </c>
      <c r="BX493" s="65" t="n">
        <v>493</v>
      </c>
      <c r="BY493" s="60" t="str">
        <f aca="false">IF(U493&lt;&gt;"",UPPER(TRIM(U493)),IF(CB493=1,UPPER(VLOOKUP(T493,Parameter!$I$27:$K$29,2,0)),IF(P493="","LOSE",P493)))</f>
        <v>S51</v>
      </c>
      <c r="BZ493" s="62" t="n">
        <f aca="false">IF(BY493="LOSE",1,IF(N(V493)&gt;0,V493,IF(CB493=1,MAX(1,N(VLOOKUP(T493,Parameter!$I$27:$K$29,3,0)),H493,N(N493)),IF(N(Q493)&gt;0,Q493,MAX(1,H493)))))</f>
        <v>4200</v>
      </c>
      <c r="CA493" s="65" t="n">
        <f aca="false">IF(BY493="LOSE",1,0)</f>
        <v>0</v>
      </c>
      <c r="CB493" s="65" t="n">
        <f aca="false">IF(AND(U493="",OR(P493="",P493="LOSE"),T493&lt;&gt;"",N(S493)&lt;=0,ISNUMBER(MATCH(T493,Parameter!$I$27:$I$29,0))),1,0)</f>
        <v>0</v>
      </c>
      <c r="CC493" s="65" t="n">
        <f aca="false">IF(CR493&gt;0,INDEX(Parameter!$H$5:$H$7,W493)/INDEX(Parameter!$E$5:$E$7,W493),IF(AND(CA493=0,N(IFERROR(VLOOKUP(BY493,'Gebinde-Kategorie'!$A$5:$N$45,14,0),0))&gt;0),VLOOKUP(BY493,'Gebinde-Kategorie'!$A$5:$N$45,14,0)*10+Parameter!$M$23,Parameter!$M$24))</f>
        <v>155</v>
      </c>
      <c r="CD493" s="60" t="str">
        <f aca="false">IF(AND(Parameter!$B$19="Ja",E493&lt;&gt;"",ISNUMBER(MATCH(E493,Parameter!$I$35:$I$52,0))),VLOOKUP(E493,Parameter!$I$35:$J$52,2,0),IFERROR(VLOOKUP(D493,Parameter!$A$35:$C$64,2,0),"Nein"))</f>
        <v>2+3</v>
      </c>
      <c r="CE493" s="64" t="n">
        <f aca="false">IF(CA493=0,0,IF(N(S493)&gt;0,S493,IFERROR(VLOOKUP(D493,Parameter!$A$35:$C$64,3,0)+0,0)))</f>
        <v>0</v>
      </c>
      <c r="CF493" s="60" t="n">
        <f aca="false">IF(AB493&lt;&gt;"",AB493,AA493)</f>
        <v>3</v>
      </c>
      <c r="CG493" s="60" t="str">
        <f aca="false">IF(OR(CF493=1,CF493=2,CF493=3),IF(Parameter!$E$27="Ja","LIFT",IF(CF493=1,"L1","L23")),IF(CF493="Aussen","Aussen","-"))</f>
        <v>LIFT</v>
      </c>
      <c r="CH493" s="71" t="n">
        <f aca="false">IF(N(AC493)&gt;0,AC493,0)</f>
        <v>0</v>
      </c>
      <c r="CI493" s="65" t="n">
        <f aca="false">IF(ISNUMBER(AF493),1,0)</f>
        <v>0</v>
      </c>
      <c r="CJ493" s="62" t="n">
        <f aca="false">N(AF493)</f>
        <v>0</v>
      </c>
      <c r="CK493" s="62" t="n">
        <f aca="false">N(M493)+N(N493)</f>
        <v>103</v>
      </c>
      <c r="CL493" s="62" t="n">
        <f aca="false">N(M493)</f>
        <v>3</v>
      </c>
      <c r="CM493" s="62" t="n">
        <f aca="false">N(N493)</f>
        <v>100</v>
      </c>
      <c r="CN493" s="62" t="n">
        <f aca="false">ROUNDUP(H493/BZ493,0)</f>
        <v>1</v>
      </c>
      <c r="CO493" s="62" t="n">
        <f aca="false">ROUNDUP(CJ493/BZ493,0)</f>
        <v>0</v>
      </c>
      <c r="CP493" s="65" t="n">
        <f aca="false">IF(CA493=1,0,IFERROR(VLOOKUP(BY493,'Gebinde-Kategorie'!$A$5:$N$45,5,0)+0,0))</f>
        <v>11</v>
      </c>
      <c r="CQ493" s="65" t="n">
        <f aca="false">IFERROR(IF(OR(CF493=1,CF493=2,CF493=3),N(INDEX(Parameter!$I$5:$I$7,CF493)),0),0)</f>
        <v>0</v>
      </c>
      <c r="CR493" s="64" t="n">
        <f aca="false">IF(AND(Parameter!$B$21="Ja",ISNUMBER(W493),N(X493)&gt;0),IFERROR(N(INDEX(Parameter!$L$5:$L$7,W493))*INDEX(Parameter!$E$5:$E$7,W493)*X493/SUMIFS($X$7:$X$1843,$W$7:$W$1843,W493),0),0)</f>
        <v>0</v>
      </c>
      <c r="CS493" s="62" t="n">
        <f aca="false">IF(AND(OR(CG493="L1",CG493="L23",CG493="LIFT"),H493&gt;0),CC493*IF(CR493&gt;0,CR493*MAX(1,H493/X493),IF(CA493=1,CE493,IF(R493&gt;0,CN493/R493,0))/MAX(0.1,N(Parameter!$M$21))),"")</f>
        <v>5.96153846153846</v>
      </c>
      <c r="CT493" s="64" t="n">
        <f aca="false">IF(CS493="","",J493/H493)</f>
        <v>0.0270929287455974</v>
      </c>
      <c r="CU493" s="62" t="n">
        <f aca="false">IF(CS493="","",H493*G493)</f>
        <v>110.73</v>
      </c>
      <c r="CV493" s="63" t="n">
        <f aca="false">IF(CS493="","",(CL493+ROUNDUP(CL493+MAX(CM493,2*(J493/MAX(0.1,N(Einkauf!$C$6))-CL493)),0))/2)</f>
        <v>53</v>
      </c>
      <c r="CW493" s="62" t="n">
        <f aca="false">IF(CS493="","",MAX(0,H493-CV493)*G493)</f>
        <v>109.14</v>
      </c>
      <c r="CX493" s="62" t="n">
        <f aca="false">IF(CS493="","",CS493*MAX(0,1-CV493/H493))</f>
        <v>5.87593522705958</v>
      </c>
      <c r="CY493" s="64" t="n">
        <f aca="false">IF(CS493="","",PERCENTRANK($CS$7:$CS$1843,CS493)+PERCENTRANK($CU$7:$CU$1843,CU493)+1-PERCENTRANK($CT$7:$CT$1843,CT493))</f>
        <v>1.213</v>
      </c>
      <c r="CZ493" s="72" t="n">
        <f aca="false">IF(CS493="","",CHOOSE(MATCH(Einkauf!$C$5,Parameter!$G$23:$G$27,0),CY493,CS493,CU493,-CT493,CW493)+ROW()/1000000000)</f>
        <v>1.213000493</v>
      </c>
    </row>
    <row r="494" customFormat="false" ht="15" hidden="false" customHeight="false" outlineLevel="0" collapsed="false">
      <c r="A494" s="60" t="s">
        <v>1131</v>
      </c>
      <c r="B494" s="60" t="s">
        <v>1132</v>
      </c>
      <c r="C494" s="60" t="s">
        <v>206</v>
      </c>
      <c r="D494" s="60" t="s">
        <v>226</v>
      </c>
      <c r="E494" s="60"/>
      <c r="F494" s="60" t="s">
        <v>260</v>
      </c>
      <c r="G494" s="61" t="n">
        <v>13.45</v>
      </c>
      <c r="H494" s="62" t="n">
        <f aca="false">MAX(0,IF(AND(Parameter!$B$21="Ja",ISNUMBER(Y494)),Y494,IF(Parameter!$B$20="Jahresanfang 2025 + Export",BS494+BR494,BR494)))</f>
        <v>3</v>
      </c>
      <c r="I494" s="62" t="n">
        <f aca="false">H494*G494</f>
        <v>40.35</v>
      </c>
      <c r="J494" s="62" t="n">
        <f aca="false">BU494*Parameter!$B$18</f>
        <v>4</v>
      </c>
      <c r="K494" s="63" t="n">
        <v>3</v>
      </c>
      <c r="L494" s="64" t="n">
        <v>1.33333333333333</v>
      </c>
      <c r="M494" s="62" t="n">
        <v>0</v>
      </c>
      <c r="N494" s="62" t="n">
        <v>5</v>
      </c>
      <c r="O494" s="65" t="n">
        <v>14</v>
      </c>
      <c r="P494" s="60" t="s">
        <v>443</v>
      </c>
      <c r="Q494" s="62" t="n">
        <v>4</v>
      </c>
      <c r="R494" s="65" t="n">
        <f aca="false">IF(CA494=1,0,IFERROR(VLOOKUP(BY494,'Gebinde-Kategorie'!$A$5:$N$45,13,0)+0,0))</f>
        <v>280</v>
      </c>
      <c r="S494" s="66"/>
      <c r="T494" s="67"/>
      <c r="U494" s="67"/>
      <c r="V494" s="67"/>
      <c r="W494" s="60"/>
      <c r="X494" s="62"/>
      <c r="Y494" s="62"/>
      <c r="Z494" s="60" t="n">
        <v>3</v>
      </c>
      <c r="AA494" s="60" t="n">
        <f aca="false">IF(A494="","",IF(AND(Parameter!$B$21="Ja",ISNUMBER(W494)),W494,IF(AND(Parameter!$E$27="Ja",ISNUMBER(Z494),CD494&lt;&gt;"Nein"),Z494,IF(CD494="2+3",IF(ISNUMBER(SEARCH("grosser Artikel",BV494)),2,IFERROR(VLOOKUP(BY494,Parameter!$F$35:$G$64,2,0),2)),IF(OR(CD494="Nein",CD494=""),"-",CD494)))))</f>
        <v>3</v>
      </c>
      <c r="AB494" s="67"/>
      <c r="AC494" s="68"/>
      <c r="AD494" s="62" t="n">
        <f aca="false">AW494</f>
        <v>5</v>
      </c>
      <c r="AE494" s="62" t="n">
        <f aca="false">MAX(AW494,H494)</f>
        <v>5</v>
      </c>
      <c r="AF494" s="69"/>
      <c r="AG494" s="62" t="n">
        <f aca="false">IF(LEFT(Cockpit!$C$5,1)="A",H494,IF(Parameter!$E$30="MAX-Bestand",IF(CI494=1,CJ494,IF(LEFT(Cockpit!$C$5,1)="B",AM494,MAX(AM494,H494))),ROUNDUP(AK494,0)))</f>
        <v>3</v>
      </c>
      <c r="AH494" s="62" t="n">
        <f aca="false">IF(CA494=1,0,ROUNDUP(AG494/BZ494,0))</f>
        <v>1</v>
      </c>
      <c r="AI494" s="64" t="n">
        <f aca="false">IF(CR494&gt;0,CR494*MAX(1,AG494/X494),IF(CA494=1,IF(AG494&lt;=0,0,CE494*MAX(1,IF(H494&gt;0,AG494/H494,1))),IF(R494&gt;0,AH494/R494,0))/MAX(0.1,N(Parameter!$M$21)))</f>
        <v>0.00357142857142857</v>
      </c>
      <c r="AJ494" s="62" t="n">
        <f aca="false">AI494*CC494</f>
        <v>0.553571428571429</v>
      </c>
      <c r="AK494" s="63" t="n">
        <f aca="false">IF(LEFT(Cockpit!$C$5,1)="A",H494,IF(CI494=1,(CL494+CJ494)/2,IF(LEFT(Cockpit!$C$5,1)="B",(CL494+AM494)/2,MAX((CL494+AM494)/2,H494))))</f>
        <v>3</v>
      </c>
      <c r="AL494" s="62" t="n">
        <f aca="false">AK494*G494</f>
        <v>40.35</v>
      </c>
      <c r="AM494" s="62" t="n">
        <f aca="false">ROUNDUP(CL494+MAX(CM494,2*(J494/IF(CH494&gt;0,CH494,MAX(0.1,N(Cockpit!$C$6)))-CL494)),0)</f>
        <v>5</v>
      </c>
      <c r="AN494" s="63" t="n">
        <f aca="false">IF(AJ494&gt;0,J494/AJ494,-1)</f>
        <v>7.2258064516129</v>
      </c>
      <c r="AO494" s="63" t="n">
        <f aca="false">IF(AND(OR(CG494="L1",CG494="L23",CG494="LIFT"),AJ494&gt;0),SUMIFS($AJ$7:$AJ$1843,$CG$7:$CG$1843,CG494,$AN$7:$AN$1843,"&gt;"&amp;AN494)+SUMIFS($AJ$7:$AJ$1843,$CG$7:$CG$1843,CG494,$AN$7:$AN$1843,AN494,$BX$7:$BX$1843,"&lt;="&amp;BX494),"")</f>
        <v>3155.0293040293</v>
      </c>
      <c r="AP494" s="70" t="n">
        <f aca="false">IF(AO494="",0,MAX(0,MIN(1,(IF(CG494="L1",Parameter!$H$5,IF(CG494="L23",Parameter!$H$6+Parameter!$H$7,Parameter!$H$5+Parameter!$H$6+Parameter!$H$7))-(AO494-AJ494))/AJ494)))</f>
        <v>1</v>
      </c>
      <c r="AQ494" s="62" t="n">
        <f aca="false">IF(LEFT(Cockpit!$I$5,1)="A",H494,IF(Parameter!$E$30="MAX-Bestand",IF(CI494=1,CJ494,IF(LEFT(Cockpit!$I$5,1)="B",AW494,MAX(AW494,H494))),ROUNDUP(AU494,0)))</f>
        <v>3</v>
      </c>
      <c r="AR494" s="62" t="n">
        <f aca="false">IF(CA494=1,0,ROUNDUP(AQ494/BZ494,0))</f>
        <v>1</v>
      </c>
      <c r="AS494" s="64" t="n">
        <f aca="false">IF(CR494&gt;0,CR494*MAX(1,AQ494/X494),IF(CA494=1,IF(AQ494&lt;=0,0,CE494*MAX(1,IF(H494&gt;0,AQ494/H494,1))),IF(R494&gt;0,AR494/R494,0))/MAX(0.1,N(Parameter!$M$21)))</f>
        <v>0.00357142857142857</v>
      </c>
      <c r="AT494" s="62" t="n">
        <f aca="false">AS494*CC494</f>
        <v>0.553571428571429</v>
      </c>
      <c r="AU494" s="63" t="n">
        <f aca="false">IF(LEFT(Cockpit!$I$5,1)="A",H494,IF(CI494=1,(CL494+CJ494)/2,IF(LEFT(Cockpit!$I$5,1)="B",(CL494+AW494)/2,MAX((CL494+AW494)/2,H494))))</f>
        <v>3</v>
      </c>
      <c r="AV494" s="62" t="n">
        <f aca="false">AU494*G494</f>
        <v>40.35</v>
      </c>
      <c r="AW494" s="62" t="n">
        <f aca="false">ROUNDUP(CL494+MAX(CM494,2*(J494/IF(CH494&gt;0,CH494,MAX(0.1,N(Cockpit!$I$6)))-CL494)),0)</f>
        <v>5</v>
      </c>
      <c r="AX494" s="63" t="n">
        <f aca="false">IF(AT494&gt;0,J494/AT494,-1)</f>
        <v>7.2258064516129</v>
      </c>
      <c r="AY494" s="63" t="n">
        <f aca="false">IF(AND(OR(CG494="L1",CG494="L23",CG494="LIFT"),AT494&gt;0),SUMIFS($AT$7:$AT$1843,$CG$7:$CG$1843,CG494,$AX$7:$AX$1843,"&gt;"&amp;AX494)+SUMIFS($AT$7:$AT$1843,$CG$7:$CG$1843,CG494,$AX$7:$AX$1843,AX494,$BX$7:$BX$1843,"&lt;="&amp;BX494),"")</f>
        <v>3815.34065934066</v>
      </c>
      <c r="AZ494" s="70" t="n">
        <f aca="false">IF(AY494="",0,MAX(0,MIN(1,(IF(CG494="L1",Parameter!$H$5,IF(CG494="L23",Parameter!$H$6+Parameter!$H$7,Parameter!$H$5+Parameter!$H$6+Parameter!$H$7))-(AY494-AT494))/AT494)))</f>
        <v>1</v>
      </c>
      <c r="BA494" s="62" t="n">
        <f aca="false">IF(LEFT(Cockpit!$O$5,1)="A",H494,IF(Parameter!$E$30="MAX-Bestand",IF(CI494=1,CJ494,IF(LEFT(Cockpit!$O$5,1)="B",BG494,MAX(BG494,H494))),ROUNDUP(BE494,0)))</f>
        <v>3</v>
      </c>
      <c r="BB494" s="62" t="n">
        <f aca="false">IF(CA494=1,0,ROUNDUP(BA494/BZ494,0))</f>
        <v>1</v>
      </c>
      <c r="BC494" s="64" t="n">
        <f aca="false">IF(CR494&gt;0,CR494*MAX(1,BA494/X494),IF(CA494=1,IF(BA494&lt;=0,0,CE494*MAX(1,IF(H494&gt;0,BA494/H494,1))),IF(R494&gt;0,BB494/R494,0))/MAX(0.1,N(Parameter!$M$21)))</f>
        <v>0.00357142857142857</v>
      </c>
      <c r="BD494" s="62" t="n">
        <f aca="false">BC494*CC494</f>
        <v>0.553571428571429</v>
      </c>
      <c r="BE494" s="63" t="n">
        <f aca="false">IF(LEFT(Cockpit!$O$5,1)="A",H494,IF(CI494=1,(CL494+CJ494)/2,IF(LEFT(Cockpit!$O$5,1)="B",(CL494+BG494)/2,MAX((CL494+BG494)/2,H494))))</f>
        <v>2.5</v>
      </c>
      <c r="BF494" s="62" t="n">
        <f aca="false">BE494*G494</f>
        <v>33.625</v>
      </c>
      <c r="BG494" s="62" t="n">
        <f aca="false">ROUNDUP(CL494+MAX(CM494,2*(J494/IF(CH494&gt;0,CH494,MAX(0.1,N(Cockpit!$O$6)))-CL494)),0)</f>
        <v>5</v>
      </c>
      <c r="BH494" s="63" t="n">
        <f aca="false">IF(BD494&gt;0,J494/BD494,-1)</f>
        <v>7.2258064516129</v>
      </c>
      <c r="BI494" s="63" t="n">
        <f aca="false">IF(AND(OR(CG494="L1",CG494="L23",CG494="LIFT"),BD494&gt;0),SUMIFS($BD$7:$BD$1843,$CG$7:$CG$1843,CG494,$BH$7:$BH$1843,"&gt;"&amp;BH494)+SUMIFS($BD$7:$BD$1843,$CG$7:$CG$1843,CG494,$BH$7:$BH$1843,BH494,$BX$7:$BX$1843,"&lt;="&amp;BX494),"")</f>
        <v>3239.79853479854</v>
      </c>
      <c r="BJ494" s="70" t="n">
        <f aca="false">IF(BI494="",0,MAX(0,MIN(1,(IF(CG494="L1",Parameter!$H$5,IF(CG494="L23",Parameter!$H$6+Parameter!$H$7,Parameter!$H$5+Parameter!$H$6+Parameter!$H$7))-(BI494-BD494))/BD494)))</f>
        <v>1</v>
      </c>
      <c r="BK494" s="60" t="str">
        <f aca="false">IF(AJ494&lt;=0,"",IF(CG494="Aussen","Aussenlager",IF(CG494="-","Nicht im Lift",IF(AP494&gt;=1,"Lift",IF(AP494&lt;=0,"Aussenlager","teilweise")))))</f>
        <v>Lift</v>
      </c>
      <c r="BL494" s="60" t="str">
        <f aca="false">IF(AT494&lt;=0,"",IF(CG494="Aussen","Aussenlager",IF(CG494="-","Nicht im Lift",IF(AZ494&gt;=1,"Lift",IF(AZ494&lt;=0,"Aussenlager","teilweise")))))</f>
        <v>Lift</v>
      </c>
      <c r="BM494" s="60" t="str">
        <f aca="false">IF(BD494&lt;=0,"",IF(CG494="Aussen","Aussenlager",IF(CG494="-","Nicht im Lift",IF(BJ494&gt;=1,"Lift",IF(BJ494&lt;=0,"Aussenlager","teilweise")))))</f>
        <v>Lift</v>
      </c>
      <c r="BN494" s="60" t="str">
        <f aca="false">IF(A494="","",IF(BW494=1,"Neu; ","")&amp;IF(AND(BW494=0,BR494&lt;0),"negativer Bestand (Export "&amp;BR494&amp;"); ","")&amp;IF(J494&lt;=0,"Kein Verbrauch; ","")&amp;IF(CR494&gt;0,"Lift "&amp;W494&amp;" lt. Liftbericht (Fach "&amp;X494&amp;" Stk); ",IF(CB494=1,"Gebinde geschätzt ("&amp;T494&amp;"); ",IF(CA494=1,"Lose – Tablare geschätzt; ","")))&amp;IF(H494&gt;AW494,"Überbestand "&amp;ROUND(H494-AW494,0)&amp;" Stk / CHF "&amp;ROUND((H494-AW494)*G494,0)&amp;"; ","")&amp;IF(AND(CI494=1,CJ494&lt;CK494),"MAX &lt; MB+LG; ","")&amp;IF(AND(CQ494&gt;0,CP494*10&gt;CQ494),"zu hoch für Tablar; ","")&amp;IF(AND(BW494=0,OR(CI494=1,AB494&lt;&gt;"",U494&lt;&gt;"",V494&lt;&gt;"",AC494&lt;&gt;"")),"manuell übersteuert; ","")&amp;IF(AND(CA494=0,R494=0),"Gebinde unbekannt / Stellmass fehlt; ","")&amp;IF(AND(CA494=0,N(V494)&lt;=0,N(Q494)&lt;=0),"Menge pro Gebinde fehlt (Ist = 1 Gebinde); ","")&amp;BV494)</f>
        <v/>
      </c>
      <c r="BO494" s="60"/>
      <c r="BP494" s="60"/>
      <c r="BQ494" s="67"/>
      <c r="BR494" s="62" t="n">
        <v>3</v>
      </c>
      <c r="BS494" s="62" t="n">
        <v>0</v>
      </c>
      <c r="BT494" s="61" t="n">
        <v>40.35</v>
      </c>
      <c r="BU494" s="62" t="n">
        <v>4</v>
      </c>
      <c r="BV494" s="60"/>
      <c r="BW494" s="65" t="n">
        <v>0</v>
      </c>
      <c r="BX494" s="65" t="n">
        <v>494</v>
      </c>
      <c r="BY494" s="60" t="str">
        <f aca="false">IF(U494&lt;&gt;"",UPPER(TRIM(U494)),IF(CB494=1,UPPER(VLOOKUP(T494,Parameter!$I$27:$K$29,2,0)),IF(P494="","LOSE",P494)))</f>
        <v>S21</v>
      </c>
      <c r="BZ494" s="62" t="n">
        <f aca="false">IF(BY494="LOSE",1,IF(N(V494)&gt;0,V494,IF(CB494=1,MAX(1,N(VLOOKUP(T494,Parameter!$I$27:$K$29,3,0)),H494,N(N494)),IF(N(Q494)&gt;0,Q494,MAX(1,H494)))))</f>
        <v>4</v>
      </c>
      <c r="CA494" s="65" t="n">
        <f aca="false">IF(BY494="LOSE",1,0)</f>
        <v>0</v>
      </c>
      <c r="CB494" s="65" t="n">
        <f aca="false">IF(AND(U494="",OR(P494="",P494="LOSE"),T494&lt;&gt;"",N(S494)&lt;=0,ISNUMBER(MATCH(T494,Parameter!$I$27:$I$29,0))),1,0)</f>
        <v>0</v>
      </c>
      <c r="CC494" s="65" t="n">
        <f aca="false">IF(CR494&gt;0,INDEX(Parameter!$H$5:$H$7,W494)/INDEX(Parameter!$E$5:$E$7,W494),IF(AND(CA494=0,N(IFERROR(VLOOKUP(BY494,'Gebinde-Kategorie'!$A$5:$N$45,14,0),0))&gt;0),VLOOKUP(BY494,'Gebinde-Kategorie'!$A$5:$N$45,14,0)*10+Parameter!$M$23,Parameter!$M$24))</f>
        <v>155</v>
      </c>
      <c r="CD494" s="60" t="str">
        <f aca="false">IF(AND(Parameter!$B$19="Ja",E494&lt;&gt;"",ISNUMBER(MATCH(E494,Parameter!$I$35:$I$52,0))),VLOOKUP(E494,Parameter!$I$35:$J$52,2,0),IFERROR(VLOOKUP(D494,Parameter!$A$35:$C$64,2,0),"Nein"))</f>
        <v>2+3</v>
      </c>
      <c r="CE494" s="64" t="n">
        <f aca="false">IF(CA494=0,0,IF(N(S494)&gt;0,S494,IFERROR(VLOOKUP(D494,Parameter!$A$35:$C$64,3,0)+0,0)))</f>
        <v>0</v>
      </c>
      <c r="CF494" s="60" t="n">
        <f aca="false">IF(AB494&lt;&gt;"",AB494,AA494)</f>
        <v>3</v>
      </c>
      <c r="CG494" s="60" t="str">
        <f aca="false">IF(OR(CF494=1,CF494=2,CF494=3),IF(Parameter!$E$27="Ja","LIFT",IF(CF494=1,"L1","L23")),IF(CF494="Aussen","Aussen","-"))</f>
        <v>LIFT</v>
      </c>
      <c r="CH494" s="71" t="n">
        <f aca="false">IF(N(AC494)&gt;0,AC494,0)</f>
        <v>0</v>
      </c>
      <c r="CI494" s="65" t="n">
        <f aca="false">IF(ISNUMBER(AF494),1,0)</f>
        <v>0</v>
      </c>
      <c r="CJ494" s="62" t="n">
        <f aca="false">N(AF494)</f>
        <v>0</v>
      </c>
      <c r="CK494" s="62" t="n">
        <f aca="false">N(M494)+N(N494)</f>
        <v>5</v>
      </c>
      <c r="CL494" s="62" t="n">
        <f aca="false">N(M494)</f>
        <v>0</v>
      </c>
      <c r="CM494" s="62" t="n">
        <f aca="false">N(N494)</f>
        <v>5</v>
      </c>
      <c r="CN494" s="62" t="n">
        <f aca="false">ROUNDUP(H494/BZ494,0)</f>
        <v>1</v>
      </c>
      <c r="CO494" s="62" t="n">
        <f aca="false">ROUNDUP(CJ494/BZ494,0)</f>
        <v>0</v>
      </c>
      <c r="CP494" s="65" t="n">
        <f aca="false">IF(CA494=1,0,IFERROR(VLOOKUP(BY494,'Gebinde-Kategorie'!$A$5:$N$45,5,0)+0,0))</f>
        <v>8</v>
      </c>
      <c r="CQ494" s="65" t="n">
        <f aca="false">IFERROR(IF(OR(CF494=1,CF494=2,CF494=3),N(INDEX(Parameter!$I$5:$I$7,CF494)),0),0)</f>
        <v>0</v>
      </c>
      <c r="CR494" s="64" t="n">
        <f aca="false">IF(AND(Parameter!$B$21="Ja",ISNUMBER(W494),N(X494)&gt;0),IFERROR(N(INDEX(Parameter!$L$5:$L$7,W494))*INDEX(Parameter!$E$5:$E$7,W494)*X494/SUMIFS($X$7:$X$1843,$W$7:$W$1843,W494),0),0)</f>
        <v>0</v>
      </c>
      <c r="CS494" s="62" t="n">
        <f aca="false">IF(AND(OR(CG494="L1",CG494="L23",CG494="LIFT"),H494&gt;0),CC494*IF(CR494&gt;0,CR494*MAX(1,H494/X494),IF(CA494=1,CE494,IF(R494&gt;0,CN494/R494,0))/MAX(0.1,N(Parameter!$M$21))),"")</f>
        <v>0.553571428571429</v>
      </c>
      <c r="CT494" s="64" t="n">
        <f aca="false">IF(CS494="","",J494/H494)</f>
        <v>1.33333333333333</v>
      </c>
      <c r="CU494" s="62" t="n">
        <f aca="false">IF(CS494="","",H494*G494)</f>
        <v>40.35</v>
      </c>
      <c r="CV494" s="63" t="n">
        <f aca="false">IF(CS494="","",(CL494+ROUNDUP(CL494+MAX(CM494,2*(J494/MAX(0.1,N(Einkauf!$C$6))-CL494)),0))/2)</f>
        <v>2.5</v>
      </c>
      <c r="CW494" s="62" t="n">
        <f aca="false">IF(CS494="","",MAX(0,H494-CV494)*G494)</f>
        <v>6.725</v>
      </c>
      <c r="CX494" s="62" t="n">
        <f aca="false">IF(CS494="","",CS494*MAX(0,1-CV494/H494))</f>
        <v>0.0922619047619048</v>
      </c>
      <c r="CY494" s="64" t="n">
        <f aca="false">IF(CS494="","",PERCENTRANK($CS$7:$CS$1843,CS494)+PERCENTRANK($CU$7:$CU$1843,CU494)+1-PERCENTRANK($CT$7:$CT$1843,CT494))</f>
        <v>0.398</v>
      </c>
      <c r="CZ494" s="72" t="n">
        <f aca="false">IF(CS494="","",CHOOSE(MATCH(Einkauf!$C$5,Parameter!$G$23:$G$27,0),CY494,CS494,CU494,-CT494,CW494)+ROW()/1000000000)</f>
        <v>0.398000494</v>
      </c>
    </row>
    <row r="495" customFormat="false" ht="15" hidden="false" customHeight="false" outlineLevel="0" collapsed="false">
      <c r="A495" s="60" t="s">
        <v>1133</v>
      </c>
      <c r="B495" s="60" t="s">
        <v>1134</v>
      </c>
      <c r="C495" s="60" t="s">
        <v>206</v>
      </c>
      <c r="D495" s="60" t="s">
        <v>226</v>
      </c>
      <c r="E495" s="60" t="s">
        <v>227</v>
      </c>
      <c r="F495" s="60" t="s">
        <v>260</v>
      </c>
      <c r="G495" s="61" t="n">
        <v>5.09</v>
      </c>
      <c r="H495" s="62" t="n">
        <f aca="false">MAX(0,IF(AND(Parameter!$B$21="Ja",ISNUMBER(Y495)),Y495,IF(Parameter!$B$20="Jahresanfang 2025 + Export",BS495+BR495,BR495)))</f>
        <v>11</v>
      </c>
      <c r="I495" s="62" t="n">
        <f aca="false">H495*G495</f>
        <v>55.99</v>
      </c>
      <c r="J495" s="62" t="n">
        <f aca="false">BU495*Parameter!$B$18</f>
        <v>6</v>
      </c>
      <c r="K495" s="63" t="n">
        <v>4</v>
      </c>
      <c r="L495" s="64" t="n">
        <v>1.5</v>
      </c>
      <c r="M495" s="62" t="n">
        <v>0</v>
      </c>
      <c r="N495" s="62" t="n">
        <v>10</v>
      </c>
      <c r="O495" s="65" t="n">
        <v>30</v>
      </c>
      <c r="P495" s="60" t="s">
        <v>463</v>
      </c>
      <c r="Q495" s="62" t="n">
        <v>6</v>
      </c>
      <c r="R495" s="65" t="n">
        <f aca="false">IF(CA495=1,0,IFERROR(VLOOKUP(BY495,'Gebinde-Kategorie'!$A$5:$N$45,13,0)+0,0))</f>
        <v>104</v>
      </c>
      <c r="S495" s="66"/>
      <c r="T495" s="67"/>
      <c r="U495" s="67"/>
      <c r="V495" s="67"/>
      <c r="W495" s="60"/>
      <c r="X495" s="62"/>
      <c r="Y495" s="62"/>
      <c r="Z495" s="60" t="n">
        <v>3</v>
      </c>
      <c r="AA495" s="60" t="n">
        <f aca="false">IF(A495="","",IF(AND(Parameter!$B$21="Ja",ISNUMBER(W495)),W495,IF(AND(Parameter!$E$27="Ja",ISNUMBER(Z495),CD495&lt;&gt;"Nein"),Z495,IF(CD495="2+3",IF(ISNUMBER(SEARCH("grosser Artikel",BV495)),2,IFERROR(VLOOKUP(BY495,Parameter!$F$35:$G$64,2,0),2)),IF(OR(CD495="Nein",CD495=""),"-",CD495)))))</f>
        <v>3</v>
      </c>
      <c r="AB495" s="67"/>
      <c r="AC495" s="68"/>
      <c r="AD495" s="62" t="n">
        <f aca="false">AW495</f>
        <v>10</v>
      </c>
      <c r="AE495" s="62" t="n">
        <f aca="false">MAX(AW495,H495)</f>
        <v>11</v>
      </c>
      <c r="AF495" s="69"/>
      <c r="AG495" s="62" t="n">
        <f aca="false">IF(LEFT(Cockpit!$C$5,1)="A",H495,IF(Parameter!$E$30="MAX-Bestand",IF(CI495=1,CJ495,IF(LEFT(Cockpit!$C$5,1)="B",AM495,MAX(AM495,H495))),ROUNDUP(AK495,0)))</f>
        <v>11</v>
      </c>
      <c r="AH495" s="62" t="n">
        <f aca="false">IF(CA495=1,0,ROUNDUP(AG495/BZ495,0))</f>
        <v>2</v>
      </c>
      <c r="AI495" s="64" t="n">
        <f aca="false">IF(CR495&gt;0,CR495*MAX(1,AG495/X495),IF(CA495=1,IF(AG495&lt;=0,0,CE495*MAX(1,IF(H495&gt;0,AG495/H495,1))),IF(R495&gt;0,AH495/R495,0))/MAX(0.1,N(Parameter!$M$21)))</f>
        <v>0.0192307692307692</v>
      </c>
      <c r="AJ495" s="62" t="n">
        <f aca="false">AI495*CC495</f>
        <v>2.98076923076923</v>
      </c>
      <c r="AK495" s="63" t="n">
        <f aca="false">IF(LEFT(Cockpit!$C$5,1)="A",H495,IF(CI495=1,(CL495+CJ495)/2,IF(LEFT(Cockpit!$C$5,1)="B",(CL495+AM495)/2,MAX((CL495+AM495)/2,H495))))</f>
        <v>11</v>
      </c>
      <c r="AL495" s="62" t="n">
        <f aca="false">AK495*G495</f>
        <v>55.99</v>
      </c>
      <c r="AM495" s="62" t="n">
        <f aca="false">ROUNDUP(CL495+MAX(CM495,2*(J495/IF(CH495&gt;0,CH495,MAX(0.1,N(Cockpit!$C$6)))-CL495)),0)</f>
        <v>10</v>
      </c>
      <c r="AN495" s="63" t="n">
        <f aca="false">IF(AJ495&gt;0,J495/AJ495,-1)</f>
        <v>2.01290322580645</v>
      </c>
      <c r="AO495" s="63" t="n">
        <f aca="false">IF(AND(OR(CG495="L1",CG495="L23",CG495="LIFT"),AJ495&gt;0),SUMIFS($AJ$7:$AJ$1843,$CG$7:$CG$1843,CG495,$AN$7:$AN$1843,"&gt;"&amp;AN495)+SUMIFS($AJ$7:$AJ$1843,$CG$7:$CG$1843,CG495,$AN$7:$AN$1843,AN495,$BX$7:$BX$1843,"&lt;="&amp;BX495),"")</f>
        <v>5784.88827838828</v>
      </c>
      <c r="AP495" s="70" t="n">
        <f aca="false">IF(AO495="",0,MAX(0,MIN(1,(IF(CG495="L1",Parameter!$H$5,IF(CG495="L23",Parameter!$H$6+Parameter!$H$7,Parameter!$H$5+Parameter!$H$6+Parameter!$H$7))-(AO495-AJ495))/AJ495)))</f>
        <v>1</v>
      </c>
      <c r="AQ495" s="62" t="n">
        <f aca="false">IF(LEFT(Cockpit!$I$5,1)="A",H495,IF(Parameter!$E$30="MAX-Bestand",IF(CI495=1,CJ495,IF(LEFT(Cockpit!$I$5,1)="B",AW495,MAX(AW495,H495))),ROUNDUP(AU495,0)))</f>
        <v>11</v>
      </c>
      <c r="AR495" s="62" t="n">
        <f aca="false">IF(CA495=1,0,ROUNDUP(AQ495/BZ495,0))</f>
        <v>2</v>
      </c>
      <c r="AS495" s="64" t="n">
        <f aca="false">IF(CR495&gt;0,CR495*MAX(1,AQ495/X495),IF(CA495=1,IF(AQ495&lt;=0,0,CE495*MAX(1,IF(H495&gt;0,AQ495/H495,1))),IF(R495&gt;0,AR495/R495,0))/MAX(0.1,N(Parameter!$M$21)))</f>
        <v>0.0192307692307692</v>
      </c>
      <c r="AT495" s="62" t="n">
        <f aca="false">AS495*CC495</f>
        <v>2.98076923076923</v>
      </c>
      <c r="AU495" s="63" t="n">
        <f aca="false">IF(LEFT(Cockpit!$I$5,1)="A",H495,IF(CI495=1,(CL495+CJ495)/2,IF(LEFT(Cockpit!$I$5,1)="B",(CL495+AW495)/2,MAX((CL495+AW495)/2,H495))))</f>
        <v>11</v>
      </c>
      <c r="AV495" s="62" t="n">
        <f aca="false">AU495*G495</f>
        <v>55.99</v>
      </c>
      <c r="AW495" s="62" t="n">
        <f aca="false">ROUNDUP(CL495+MAX(CM495,2*(J495/IF(CH495&gt;0,CH495,MAX(0.1,N(Cockpit!$I$6)))-CL495)),0)</f>
        <v>10</v>
      </c>
      <c r="AX495" s="63" t="n">
        <f aca="false">IF(AT495&gt;0,J495/AT495,-1)</f>
        <v>2.01290322580645</v>
      </c>
      <c r="AY495" s="63" t="n">
        <f aca="false">IF(AND(OR(CG495="L1",CG495="L23",CG495="LIFT"),AT495&gt;0),SUMIFS($AT$7:$AT$1843,$CG$7:$CG$1843,CG495,$AX$7:$AX$1843,"&gt;"&amp;AX495)+SUMIFS($AT$7:$AT$1843,$CG$7:$CG$1843,CG495,$AX$7:$AX$1843,AX495,$BX$7:$BX$1843,"&lt;="&amp;BX495),"")</f>
        <v>7152.82783882784</v>
      </c>
      <c r="AZ495" s="70" t="n">
        <f aca="false">IF(AY495="",0,MAX(0,MIN(1,(IF(CG495="L1",Parameter!$H$5,IF(CG495="L23",Parameter!$H$6+Parameter!$H$7,Parameter!$H$5+Parameter!$H$6+Parameter!$H$7))-(AY495-AT495))/AT495)))</f>
        <v>1</v>
      </c>
      <c r="BA495" s="62" t="n">
        <f aca="false">IF(LEFT(Cockpit!$O$5,1)="A",H495,IF(Parameter!$E$30="MAX-Bestand",IF(CI495=1,CJ495,IF(LEFT(Cockpit!$O$5,1)="B",BG495,MAX(BG495,H495))),ROUNDUP(BE495,0)))</f>
        <v>5</v>
      </c>
      <c r="BB495" s="62" t="n">
        <f aca="false">IF(CA495=1,0,ROUNDUP(BA495/BZ495,0))</f>
        <v>1</v>
      </c>
      <c r="BC495" s="64" t="n">
        <f aca="false">IF(CR495&gt;0,CR495*MAX(1,BA495/X495),IF(CA495=1,IF(BA495&lt;=0,0,CE495*MAX(1,IF(H495&gt;0,BA495/H495,1))),IF(R495&gt;0,BB495/R495,0))/MAX(0.1,N(Parameter!$M$21)))</f>
        <v>0.00961538461538462</v>
      </c>
      <c r="BD495" s="62" t="n">
        <f aca="false">BC495*CC495</f>
        <v>1.49038461538462</v>
      </c>
      <c r="BE495" s="63" t="n">
        <f aca="false">IF(LEFT(Cockpit!$O$5,1)="A",H495,IF(CI495=1,(CL495+CJ495)/2,IF(LEFT(Cockpit!$O$5,1)="B",(CL495+BG495)/2,MAX((CL495+BG495)/2,H495))))</f>
        <v>5</v>
      </c>
      <c r="BF495" s="62" t="n">
        <f aca="false">BE495*G495</f>
        <v>25.45</v>
      </c>
      <c r="BG495" s="62" t="n">
        <f aca="false">ROUNDUP(CL495+MAX(CM495,2*(J495/IF(CH495&gt;0,CH495,MAX(0.1,N(Cockpit!$O$6)))-CL495)),0)</f>
        <v>10</v>
      </c>
      <c r="BH495" s="63" t="n">
        <f aca="false">IF(BD495&gt;0,J495/BD495,-1)</f>
        <v>4.0258064516129</v>
      </c>
      <c r="BI495" s="63" t="n">
        <f aca="false">IF(AND(OR(CG495="L1",CG495="L23",CG495="LIFT"),BD495&gt;0),SUMIFS($BD$7:$BD$1843,$CG$7:$CG$1843,CG495,$BH$7:$BH$1843,"&gt;"&amp;BH495)+SUMIFS($BD$7:$BD$1843,$CG$7:$CG$1843,CG495,$BH$7:$BH$1843,BH495,$BX$7:$BX$1843,"&lt;="&amp;BX495),"")</f>
        <v>4047.99725274725</v>
      </c>
      <c r="BJ495" s="70" t="n">
        <f aca="false">IF(BI495="",0,MAX(0,MIN(1,(IF(CG495="L1",Parameter!$H$5,IF(CG495="L23",Parameter!$H$6+Parameter!$H$7,Parameter!$H$5+Parameter!$H$6+Parameter!$H$7))-(BI495-BD495))/BD495)))</f>
        <v>1</v>
      </c>
      <c r="BK495" s="60" t="str">
        <f aca="false">IF(AJ495&lt;=0,"",IF(CG495="Aussen","Aussenlager",IF(CG495="-","Nicht im Lift",IF(AP495&gt;=1,"Lift",IF(AP495&lt;=0,"Aussenlager","teilweise")))))</f>
        <v>Lift</v>
      </c>
      <c r="BL495" s="60" t="str">
        <f aca="false">IF(AT495&lt;=0,"",IF(CG495="Aussen","Aussenlager",IF(CG495="-","Nicht im Lift",IF(AZ495&gt;=1,"Lift",IF(AZ495&lt;=0,"Aussenlager","teilweise")))))</f>
        <v>Lift</v>
      </c>
      <c r="BM495" s="60" t="str">
        <f aca="false">IF(BD495&lt;=0,"",IF(CG495="Aussen","Aussenlager",IF(CG495="-","Nicht im Lift",IF(BJ495&gt;=1,"Lift",IF(BJ495&lt;=0,"Aussenlager","teilweise")))))</f>
        <v>Lift</v>
      </c>
      <c r="BN495" s="60" t="str">
        <f aca="false">IF(A495="","",IF(BW495=1,"Neu; ","")&amp;IF(AND(BW495=0,BR495&lt;0),"negativer Bestand (Export "&amp;BR495&amp;"); ","")&amp;IF(J495&lt;=0,"Kein Verbrauch; ","")&amp;IF(CR495&gt;0,"Lift "&amp;W495&amp;" lt. Liftbericht (Fach "&amp;X495&amp;" Stk); ",IF(CB495=1,"Gebinde geschätzt ("&amp;T495&amp;"); ",IF(CA495=1,"Lose – Tablare geschätzt; ","")))&amp;IF(H495&gt;AW495,"Überbestand "&amp;ROUND(H495-AW495,0)&amp;" Stk / CHF "&amp;ROUND((H495-AW495)*G495,0)&amp;"; ","")&amp;IF(AND(CI495=1,CJ495&lt;CK495),"MAX &lt; MB+LG; ","")&amp;IF(AND(CQ495&gt;0,CP495*10&gt;CQ495),"zu hoch für Tablar; ","")&amp;IF(AND(BW495=0,OR(CI495=1,AB495&lt;&gt;"",U495&lt;&gt;"",V495&lt;&gt;"",AC495&lt;&gt;"")),"manuell übersteuert; ","")&amp;IF(AND(CA495=0,R495=0),"Gebinde unbekannt / Stellmass fehlt; ","")&amp;IF(AND(CA495=0,N(V495)&lt;=0,N(Q495)&lt;=0),"Menge pro Gebinde fehlt (Ist = 1 Gebinde); ","")&amp;BV495)</f>
        <v>Überbestand 1 Stk / CHF 5; </v>
      </c>
      <c r="BO495" s="60"/>
      <c r="BP495" s="60"/>
      <c r="BQ495" s="67"/>
      <c r="BR495" s="62" t="n">
        <v>8</v>
      </c>
      <c r="BS495" s="62" t="n">
        <v>3</v>
      </c>
      <c r="BT495" s="61" t="n">
        <v>40.18</v>
      </c>
      <c r="BU495" s="62" t="n">
        <v>6</v>
      </c>
      <c r="BV495" s="60"/>
      <c r="BW495" s="65" t="n">
        <v>0</v>
      </c>
      <c r="BX495" s="65" t="n">
        <v>495</v>
      </c>
      <c r="BY495" s="60" t="str">
        <f aca="false">IF(U495&lt;&gt;"",UPPER(TRIM(U495)),IF(CB495=1,UPPER(VLOOKUP(T495,Parameter!$I$27:$K$29,2,0)),IF(P495="","LOSE",P495)))</f>
        <v>S32</v>
      </c>
      <c r="BZ495" s="62" t="n">
        <f aca="false">IF(BY495="LOSE",1,IF(N(V495)&gt;0,V495,IF(CB495=1,MAX(1,N(VLOOKUP(T495,Parameter!$I$27:$K$29,3,0)),H495,N(N495)),IF(N(Q495)&gt;0,Q495,MAX(1,H495)))))</f>
        <v>6</v>
      </c>
      <c r="CA495" s="65" t="n">
        <f aca="false">IF(BY495="LOSE",1,0)</f>
        <v>0</v>
      </c>
      <c r="CB495" s="65" t="n">
        <f aca="false">IF(AND(U495="",OR(P495="",P495="LOSE"),T495&lt;&gt;"",N(S495)&lt;=0,ISNUMBER(MATCH(T495,Parameter!$I$27:$I$29,0))),1,0)</f>
        <v>0</v>
      </c>
      <c r="CC495" s="65" t="n">
        <f aca="false">IF(CR495&gt;0,INDEX(Parameter!$H$5:$H$7,W495)/INDEX(Parameter!$E$5:$E$7,W495),IF(AND(CA495=0,N(IFERROR(VLOOKUP(BY495,'Gebinde-Kategorie'!$A$5:$N$45,14,0),0))&gt;0),VLOOKUP(BY495,'Gebinde-Kategorie'!$A$5:$N$45,14,0)*10+Parameter!$M$23,Parameter!$M$24))</f>
        <v>155</v>
      </c>
      <c r="CD495" s="60" t="str">
        <f aca="false">IF(AND(Parameter!$B$19="Ja",E495&lt;&gt;"",ISNUMBER(MATCH(E495,Parameter!$I$35:$I$52,0))),VLOOKUP(E495,Parameter!$I$35:$J$52,2,0),IFERROR(VLOOKUP(D495,Parameter!$A$35:$C$64,2,0),"Nein"))</f>
        <v>2+3</v>
      </c>
      <c r="CE495" s="64" t="n">
        <f aca="false">IF(CA495=0,0,IF(N(S495)&gt;0,S495,IFERROR(VLOOKUP(D495,Parameter!$A$35:$C$64,3,0)+0,0)))</f>
        <v>0</v>
      </c>
      <c r="CF495" s="60" t="n">
        <f aca="false">IF(AB495&lt;&gt;"",AB495,AA495)</f>
        <v>3</v>
      </c>
      <c r="CG495" s="60" t="str">
        <f aca="false">IF(OR(CF495=1,CF495=2,CF495=3),IF(Parameter!$E$27="Ja","LIFT",IF(CF495=1,"L1","L23")),IF(CF495="Aussen","Aussen","-"))</f>
        <v>LIFT</v>
      </c>
      <c r="CH495" s="71" t="n">
        <f aca="false">IF(N(AC495)&gt;0,AC495,0)</f>
        <v>0</v>
      </c>
      <c r="CI495" s="65" t="n">
        <f aca="false">IF(ISNUMBER(AF495),1,0)</f>
        <v>0</v>
      </c>
      <c r="CJ495" s="62" t="n">
        <f aca="false">N(AF495)</f>
        <v>0</v>
      </c>
      <c r="CK495" s="62" t="n">
        <f aca="false">N(M495)+N(N495)</f>
        <v>10</v>
      </c>
      <c r="CL495" s="62" t="n">
        <f aca="false">N(M495)</f>
        <v>0</v>
      </c>
      <c r="CM495" s="62" t="n">
        <f aca="false">N(N495)</f>
        <v>10</v>
      </c>
      <c r="CN495" s="62" t="n">
        <f aca="false">ROUNDUP(H495/BZ495,0)</f>
        <v>2</v>
      </c>
      <c r="CO495" s="62" t="n">
        <f aca="false">ROUNDUP(CJ495/BZ495,0)</f>
        <v>0</v>
      </c>
      <c r="CP495" s="65" t="n">
        <f aca="false">IF(CA495=1,0,IFERROR(VLOOKUP(BY495,'Gebinde-Kategorie'!$A$5:$N$45,5,0)+0,0))</f>
        <v>8</v>
      </c>
      <c r="CQ495" s="65" t="n">
        <f aca="false">IFERROR(IF(OR(CF495=1,CF495=2,CF495=3),N(INDEX(Parameter!$I$5:$I$7,CF495)),0),0)</f>
        <v>0</v>
      </c>
      <c r="CR495" s="64" t="n">
        <f aca="false">IF(AND(Parameter!$B$21="Ja",ISNUMBER(W495),N(X495)&gt;0),IFERROR(N(INDEX(Parameter!$L$5:$L$7,W495))*INDEX(Parameter!$E$5:$E$7,W495)*X495/SUMIFS($X$7:$X$1843,$W$7:$W$1843,W495),0),0)</f>
        <v>0</v>
      </c>
      <c r="CS495" s="62" t="n">
        <f aca="false">IF(AND(OR(CG495="L1",CG495="L23",CG495="LIFT"),H495&gt;0),CC495*IF(CR495&gt;0,CR495*MAX(1,H495/X495),IF(CA495=1,CE495,IF(R495&gt;0,CN495/R495,0))/MAX(0.1,N(Parameter!$M$21))),"")</f>
        <v>2.98076923076923</v>
      </c>
      <c r="CT495" s="64" t="n">
        <f aca="false">IF(CS495="","",J495/H495)</f>
        <v>0.545454545454545</v>
      </c>
      <c r="CU495" s="62" t="n">
        <f aca="false">IF(CS495="","",H495*G495)</f>
        <v>55.99</v>
      </c>
      <c r="CV495" s="63" t="n">
        <f aca="false">IF(CS495="","",(CL495+ROUNDUP(CL495+MAX(CM495,2*(J495/MAX(0.1,N(Einkauf!$C$6))-CL495)),0))/2)</f>
        <v>5</v>
      </c>
      <c r="CW495" s="62" t="n">
        <f aca="false">IF(CS495="","",MAX(0,H495-CV495)*G495)</f>
        <v>30.54</v>
      </c>
      <c r="CX495" s="62" t="n">
        <f aca="false">IF(CS495="","",CS495*MAX(0,1-CV495/H495))</f>
        <v>1.62587412587413</v>
      </c>
      <c r="CY495" s="64" t="n">
        <f aca="false">IF(CS495="","",PERCENTRANK($CS$7:$CS$1843,CS495)+PERCENTRANK($CU$7:$CU$1843,CU495)+1-PERCENTRANK($CT$7:$CT$1843,CT495))</f>
        <v>0.808</v>
      </c>
      <c r="CZ495" s="72" t="n">
        <f aca="false">IF(CS495="","",CHOOSE(MATCH(Einkauf!$C$5,Parameter!$G$23:$G$27,0),CY495,CS495,CU495,-CT495,CW495)+ROW()/1000000000)</f>
        <v>0.808000495</v>
      </c>
    </row>
    <row r="496" customFormat="false" ht="15" hidden="false" customHeight="false" outlineLevel="0" collapsed="false">
      <c r="A496" s="60" t="s">
        <v>1135</v>
      </c>
      <c r="B496" s="60" t="s">
        <v>547</v>
      </c>
      <c r="C496" s="60" t="s">
        <v>206</v>
      </c>
      <c r="D496" s="60" t="s">
        <v>226</v>
      </c>
      <c r="E496" s="60" t="s">
        <v>227</v>
      </c>
      <c r="F496" s="60" t="s">
        <v>260</v>
      </c>
      <c r="G496" s="61" t="n">
        <v>32.17</v>
      </c>
      <c r="H496" s="62" t="n">
        <f aca="false">MAX(0,IF(AND(Parameter!$B$21="Ja",ISNUMBER(Y496)),Y496,IF(Parameter!$B$20="Jahresanfang 2025 + Export",BS496+BR496,BR496)))</f>
        <v>4</v>
      </c>
      <c r="I496" s="62" t="n">
        <f aca="false">H496*G496</f>
        <v>128.68</v>
      </c>
      <c r="J496" s="62" t="n">
        <f aca="false">BU496*Parameter!$B$18</f>
        <v>8</v>
      </c>
      <c r="K496" s="63" t="n">
        <v>5.5</v>
      </c>
      <c r="L496" s="64" t="n">
        <v>1.45454545454546</v>
      </c>
      <c r="M496" s="62" t="n">
        <v>0</v>
      </c>
      <c r="N496" s="62" t="n">
        <v>10</v>
      </c>
      <c r="O496" s="65" t="n">
        <v>28</v>
      </c>
      <c r="P496" s="60" t="s">
        <v>370</v>
      </c>
      <c r="Q496" s="62" t="n">
        <v>14</v>
      </c>
      <c r="R496" s="65" t="n">
        <f aca="false">IF(CA496=1,0,IFERROR(VLOOKUP(BY496,'Gebinde-Kategorie'!$A$5:$N$45,13,0)+0,0))</f>
        <v>52</v>
      </c>
      <c r="S496" s="66"/>
      <c r="T496" s="67"/>
      <c r="U496" s="67"/>
      <c r="V496" s="67"/>
      <c r="W496" s="60"/>
      <c r="X496" s="62"/>
      <c r="Y496" s="62"/>
      <c r="Z496" s="60" t="n">
        <v>3</v>
      </c>
      <c r="AA496" s="60" t="n">
        <f aca="false">IF(A496="","",IF(AND(Parameter!$B$21="Ja",ISNUMBER(W496)),W496,IF(AND(Parameter!$E$27="Ja",ISNUMBER(Z496),CD496&lt;&gt;"Nein"),Z496,IF(CD496="2+3",IF(ISNUMBER(SEARCH("grosser Artikel",BV496)),2,IFERROR(VLOOKUP(BY496,Parameter!$F$35:$G$64,2,0),2)),IF(OR(CD496="Nein",CD496=""),"-",CD496)))))</f>
        <v>3</v>
      </c>
      <c r="AB496" s="67"/>
      <c r="AC496" s="68"/>
      <c r="AD496" s="62" t="n">
        <f aca="false">AW496</f>
        <v>10</v>
      </c>
      <c r="AE496" s="62" t="n">
        <f aca="false">MAX(AW496,H496)</f>
        <v>10</v>
      </c>
      <c r="AF496" s="69"/>
      <c r="AG496" s="62" t="n">
        <f aca="false">IF(LEFT(Cockpit!$C$5,1)="A",H496,IF(Parameter!$E$30="MAX-Bestand",IF(CI496=1,CJ496,IF(LEFT(Cockpit!$C$5,1)="B",AM496,MAX(AM496,H496))),ROUNDUP(AK496,0)))</f>
        <v>4</v>
      </c>
      <c r="AH496" s="62" t="n">
        <f aca="false">IF(CA496=1,0,ROUNDUP(AG496/BZ496,0))</f>
        <v>1</v>
      </c>
      <c r="AI496" s="64" t="n">
        <f aca="false">IF(CR496&gt;0,CR496*MAX(1,AG496/X496),IF(CA496=1,IF(AG496&lt;=0,0,CE496*MAX(1,IF(H496&gt;0,AG496/H496,1))),IF(R496&gt;0,AH496/R496,0))/MAX(0.1,N(Parameter!$M$21)))</f>
        <v>0.0192307692307692</v>
      </c>
      <c r="AJ496" s="62" t="n">
        <f aca="false">AI496*CC496</f>
        <v>2.98076923076923</v>
      </c>
      <c r="AK496" s="63" t="n">
        <f aca="false">IF(LEFT(Cockpit!$C$5,1)="A",H496,IF(CI496=1,(CL496+CJ496)/2,IF(LEFT(Cockpit!$C$5,1)="B",(CL496+AM496)/2,MAX((CL496+AM496)/2,H496))))</f>
        <v>4</v>
      </c>
      <c r="AL496" s="62" t="n">
        <f aca="false">AK496*G496</f>
        <v>128.68</v>
      </c>
      <c r="AM496" s="62" t="n">
        <f aca="false">ROUNDUP(CL496+MAX(CM496,2*(J496/IF(CH496&gt;0,CH496,MAX(0.1,N(Cockpit!$C$6)))-CL496)),0)</f>
        <v>10</v>
      </c>
      <c r="AN496" s="63" t="n">
        <f aca="false">IF(AJ496&gt;0,J496/AJ496,-1)</f>
        <v>2.68387096774194</v>
      </c>
      <c r="AO496" s="63" t="n">
        <f aca="false">IF(AND(OR(CG496="L1",CG496="L23",CG496="LIFT"),AJ496&gt;0),SUMIFS($AJ$7:$AJ$1843,$CG$7:$CG$1843,CG496,$AN$7:$AN$1843,"&gt;"&amp;AN496)+SUMIFS($AJ$7:$AJ$1843,$CG$7:$CG$1843,CG496,$AN$7:$AN$1843,AN496,$BX$7:$BX$1843,"&lt;="&amp;BX496),"")</f>
        <v>5321.96749084249</v>
      </c>
      <c r="AP496" s="70" t="n">
        <f aca="false">IF(AO496="",0,MAX(0,MIN(1,(IF(CG496="L1",Parameter!$H$5,IF(CG496="L23",Parameter!$H$6+Parameter!$H$7,Parameter!$H$5+Parameter!$H$6+Parameter!$H$7))-(AO496-AJ496))/AJ496)))</f>
        <v>1</v>
      </c>
      <c r="AQ496" s="62" t="n">
        <f aca="false">IF(LEFT(Cockpit!$I$5,1)="A",H496,IF(Parameter!$E$30="MAX-Bestand",IF(CI496=1,CJ496,IF(LEFT(Cockpit!$I$5,1)="B",AW496,MAX(AW496,H496))),ROUNDUP(AU496,0)))</f>
        <v>5</v>
      </c>
      <c r="AR496" s="62" t="n">
        <f aca="false">IF(CA496=1,0,ROUNDUP(AQ496/BZ496,0))</f>
        <v>1</v>
      </c>
      <c r="AS496" s="64" t="n">
        <f aca="false">IF(CR496&gt;0,CR496*MAX(1,AQ496/X496),IF(CA496=1,IF(AQ496&lt;=0,0,CE496*MAX(1,IF(H496&gt;0,AQ496/H496,1))),IF(R496&gt;0,AR496/R496,0))/MAX(0.1,N(Parameter!$M$21)))</f>
        <v>0.0192307692307692</v>
      </c>
      <c r="AT496" s="62" t="n">
        <f aca="false">AS496*CC496</f>
        <v>2.98076923076923</v>
      </c>
      <c r="AU496" s="63" t="n">
        <f aca="false">IF(LEFT(Cockpit!$I$5,1)="A",H496,IF(CI496=1,(CL496+CJ496)/2,IF(LEFT(Cockpit!$I$5,1)="B",(CL496+AW496)/2,MAX((CL496+AW496)/2,H496))))</f>
        <v>5</v>
      </c>
      <c r="AV496" s="62" t="n">
        <f aca="false">AU496*G496</f>
        <v>160.85</v>
      </c>
      <c r="AW496" s="62" t="n">
        <f aca="false">ROUNDUP(CL496+MAX(CM496,2*(J496/IF(CH496&gt;0,CH496,MAX(0.1,N(Cockpit!$I$6)))-CL496)),0)</f>
        <v>10</v>
      </c>
      <c r="AX496" s="63" t="n">
        <f aca="false">IF(AT496&gt;0,J496/AT496,-1)</f>
        <v>2.68387096774194</v>
      </c>
      <c r="AY496" s="63" t="n">
        <f aca="false">IF(AND(OR(CG496="L1",CG496="L23",CG496="LIFT"),AT496&gt;0),SUMIFS($AT$7:$AT$1843,$CG$7:$CG$1843,CG496,$AX$7:$AX$1843,"&gt;"&amp;AX496)+SUMIFS($AT$7:$AT$1843,$CG$7:$CG$1843,CG496,$AX$7:$AX$1843,AX496,$BX$7:$BX$1843,"&lt;="&amp;BX496),"")</f>
        <v>6156.44551282051</v>
      </c>
      <c r="AZ496" s="70" t="n">
        <f aca="false">IF(AY496="",0,MAX(0,MIN(1,(IF(CG496="L1",Parameter!$H$5,IF(CG496="L23",Parameter!$H$6+Parameter!$H$7,Parameter!$H$5+Parameter!$H$6+Parameter!$H$7))-(AY496-AT496))/AT496)))</f>
        <v>1</v>
      </c>
      <c r="BA496" s="62" t="n">
        <f aca="false">IF(LEFT(Cockpit!$O$5,1)="A",H496,IF(Parameter!$E$30="MAX-Bestand",IF(CI496=1,CJ496,IF(LEFT(Cockpit!$O$5,1)="B",BG496,MAX(BG496,H496))),ROUNDUP(BE496,0)))</f>
        <v>5</v>
      </c>
      <c r="BB496" s="62" t="n">
        <f aca="false">IF(CA496=1,0,ROUNDUP(BA496/BZ496,0))</f>
        <v>1</v>
      </c>
      <c r="BC496" s="64" t="n">
        <f aca="false">IF(CR496&gt;0,CR496*MAX(1,BA496/X496),IF(CA496=1,IF(BA496&lt;=0,0,CE496*MAX(1,IF(H496&gt;0,BA496/H496,1))),IF(R496&gt;0,BB496/R496,0))/MAX(0.1,N(Parameter!$M$21)))</f>
        <v>0.0192307692307692</v>
      </c>
      <c r="BD496" s="62" t="n">
        <f aca="false">BC496*CC496</f>
        <v>2.98076923076923</v>
      </c>
      <c r="BE496" s="63" t="n">
        <f aca="false">IF(LEFT(Cockpit!$O$5,1)="A",H496,IF(CI496=1,(CL496+CJ496)/2,IF(LEFT(Cockpit!$O$5,1)="B",(CL496+BG496)/2,MAX((CL496+BG496)/2,H496))))</f>
        <v>5</v>
      </c>
      <c r="BF496" s="62" t="n">
        <f aca="false">BE496*G496</f>
        <v>160.85</v>
      </c>
      <c r="BG496" s="62" t="n">
        <f aca="false">ROUNDUP(CL496+MAX(CM496,2*(J496/IF(CH496&gt;0,CH496,MAX(0.1,N(Cockpit!$O$6)))-CL496)),0)</f>
        <v>10</v>
      </c>
      <c r="BH496" s="63" t="n">
        <f aca="false">IF(BD496&gt;0,J496/BD496,-1)</f>
        <v>2.68387096774194</v>
      </c>
      <c r="BI496" s="63" t="n">
        <f aca="false">IF(AND(OR(CG496="L1",CG496="L23",CG496="LIFT"),BD496&gt;0),SUMIFS($BD$7:$BD$1843,$CG$7:$CG$1843,CG496,$BH$7:$BH$1843,"&gt;"&amp;BH496)+SUMIFS($BD$7:$BD$1843,$CG$7:$CG$1843,CG496,$BH$7:$BH$1843,BH496,$BX$7:$BX$1843,"&lt;="&amp;BX496),"")</f>
        <v>5334.5</v>
      </c>
      <c r="BJ496" s="70" t="n">
        <f aca="false">IF(BI496="",0,MAX(0,MIN(1,(IF(CG496="L1",Parameter!$H$5,IF(CG496="L23",Parameter!$H$6+Parameter!$H$7,Parameter!$H$5+Parameter!$H$6+Parameter!$H$7))-(BI496-BD496))/BD496)))</f>
        <v>1</v>
      </c>
      <c r="BK496" s="60" t="str">
        <f aca="false">IF(AJ496&lt;=0,"",IF(CG496="Aussen","Aussenlager",IF(CG496="-","Nicht im Lift",IF(AP496&gt;=1,"Lift",IF(AP496&lt;=0,"Aussenlager","teilweise")))))</f>
        <v>Lift</v>
      </c>
      <c r="BL496" s="60" t="str">
        <f aca="false">IF(AT496&lt;=0,"",IF(CG496="Aussen","Aussenlager",IF(CG496="-","Nicht im Lift",IF(AZ496&gt;=1,"Lift",IF(AZ496&lt;=0,"Aussenlager","teilweise")))))</f>
        <v>Lift</v>
      </c>
      <c r="BM496" s="60" t="str">
        <f aca="false">IF(BD496&lt;=0,"",IF(CG496="Aussen","Aussenlager",IF(CG496="-","Nicht im Lift",IF(BJ496&gt;=1,"Lift",IF(BJ496&lt;=0,"Aussenlager","teilweise")))))</f>
        <v>Lift</v>
      </c>
      <c r="BN496" s="60" t="str">
        <f aca="false">IF(A496="","",IF(BW496=1,"Neu; ","")&amp;IF(AND(BW496=0,BR496&lt;0),"negativer Bestand (Export "&amp;BR496&amp;"); ","")&amp;IF(J496&lt;=0,"Kein Verbrauch; ","")&amp;IF(CR496&gt;0,"Lift "&amp;W496&amp;" lt. Liftbericht (Fach "&amp;X496&amp;" Stk); ",IF(CB496=1,"Gebinde geschätzt ("&amp;T496&amp;"); ",IF(CA496=1,"Lose – Tablare geschätzt; ","")))&amp;IF(H496&gt;AW496,"Überbestand "&amp;ROUND(H496-AW496,0)&amp;" Stk / CHF "&amp;ROUND((H496-AW496)*G496,0)&amp;"; ","")&amp;IF(AND(CI496=1,CJ496&lt;CK496),"MAX &lt; MB+LG; ","")&amp;IF(AND(CQ496&gt;0,CP496*10&gt;CQ496),"zu hoch für Tablar; ","")&amp;IF(AND(BW496=0,OR(CI496=1,AB496&lt;&gt;"",U496&lt;&gt;"",V496&lt;&gt;"",AC496&lt;&gt;"")),"manuell übersteuert; ","")&amp;IF(AND(CA496=0,R496=0),"Gebinde unbekannt / Stellmass fehlt; ","")&amp;IF(AND(CA496=0,N(V496)&lt;=0,N(Q496)&lt;=0),"Menge pro Gebinde fehlt (Ist = 1 Gebinde); ","")&amp;BV496)</f>
        <v>negativer Bestand (Export -1); </v>
      </c>
      <c r="BO496" s="60"/>
      <c r="BP496" s="60"/>
      <c r="BQ496" s="67"/>
      <c r="BR496" s="62" t="n">
        <v>-1</v>
      </c>
      <c r="BS496" s="62" t="n">
        <v>5</v>
      </c>
      <c r="BT496" s="61" t="n">
        <v>39.68</v>
      </c>
      <c r="BU496" s="62" t="n">
        <v>8</v>
      </c>
      <c r="BV496" s="60"/>
      <c r="BW496" s="65" t="n">
        <v>0</v>
      </c>
      <c r="BX496" s="65" t="n">
        <v>496</v>
      </c>
      <c r="BY496" s="60" t="str">
        <f aca="false">IF(U496&lt;&gt;"",UPPER(TRIM(U496)),IF(CB496=1,UPPER(VLOOKUP(T496,Parameter!$I$27:$K$29,2,0)),IF(P496="","LOSE",P496)))</f>
        <v>S41</v>
      </c>
      <c r="BZ496" s="62" t="n">
        <f aca="false">IF(BY496="LOSE",1,IF(N(V496)&gt;0,V496,IF(CB496=1,MAX(1,N(VLOOKUP(T496,Parameter!$I$27:$K$29,3,0)),H496,N(N496)),IF(N(Q496)&gt;0,Q496,MAX(1,H496)))))</f>
        <v>14</v>
      </c>
      <c r="CA496" s="65" t="n">
        <f aca="false">IF(BY496="LOSE",1,0)</f>
        <v>0</v>
      </c>
      <c r="CB496" s="65" t="n">
        <f aca="false">IF(AND(U496="",OR(P496="",P496="LOSE"),T496&lt;&gt;"",N(S496)&lt;=0,ISNUMBER(MATCH(T496,Parameter!$I$27:$I$29,0))),1,0)</f>
        <v>0</v>
      </c>
      <c r="CC496" s="65" t="n">
        <f aca="false">IF(CR496&gt;0,INDEX(Parameter!$H$5:$H$7,W496)/INDEX(Parameter!$E$5:$E$7,W496),IF(AND(CA496=0,N(IFERROR(VLOOKUP(BY496,'Gebinde-Kategorie'!$A$5:$N$45,14,0),0))&gt;0),VLOOKUP(BY496,'Gebinde-Kategorie'!$A$5:$N$45,14,0)*10+Parameter!$M$23,Parameter!$M$24))</f>
        <v>155</v>
      </c>
      <c r="CD496" s="60" t="str">
        <f aca="false">IF(AND(Parameter!$B$19="Ja",E496&lt;&gt;"",ISNUMBER(MATCH(E496,Parameter!$I$35:$I$52,0))),VLOOKUP(E496,Parameter!$I$35:$J$52,2,0),IFERROR(VLOOKUP(D496,Parameter!$A$35:$C$64,2,0),"Nein"))</f>
        <v>2+3</v>
      </c>
      <c r="CE496" s="64" t="n">
        <f aca="false">IF(CA496=0,0,IF(N(S496)&gt;0,S496,IFERROR(VLOOKUP(D496,Parameter!$A$35:$C$64,3,0)+0,0)))</f>
        <v>0</v>
      </c>
      <c r="CF496" s="60" t="n">
        <f aca="false">IF(AB496&lt;&gt;"",AB496,AA496)</f>
        <v>3</v>
      </c>
      <c r="CG496" s="60" t="str">
        <f aca="false">IF(OR(CF496=1,CF496=2,CF496=3),IF(Parameter!$E$27="Ja","LIFT",IF(CF496=1,"L1","L23")),IF(CF496="Aussen","Aussen","-"))</f>
        <v>LIFT</v>
      </c>
      <c r="CH496" s="71" t="n">
        <f aca="false">IF(N(AC496)&gt;0,AC496,0)</f>
        <v>0</v>
      </c>
      <c r="CI496" s="65" t="n">
        <f aca="false">IF(ISNUMBER(AF496),1,0)</f>
        <v>0</v>
      </c>
      <c r="CJ496" s="62" t="n">
        <f aca="false">N(AF496)</f>
        <v>0</v>
      </c>
      <c r="CK496" s="62" t="n">
        <f aca="false">N(M496)+N(N496)</f>
        <v>10</v>
      </c>
      <c r="CL496" s="62" t="n">
        <f aca="false">N(M496)</f>
        <v>0</v>
      </c>
      <c r="CM496" s="62" t="n">
        <f aca="false">N(N496)</f>
        <v>10</v>
      </c>
      <c r="CN496" s="62" t="n">
        <f aca="false">ROUNDUP(H496/BZ496,0)</f>
        <v>1</v>
      </c>
      <c r="CO496" s="62" t="n">
        <f aca="false">ROUNDUP(CJ496/BZ496,0)</f>
        <v>0</v>
      </c>
      <c r="CP496" s="65" t="n">
        <f aca="false">IF(CA496=1,0,IFERROR(VLOOKUP(BY496,'Gebinde-Kategorie'!$A$5:$N$45,5,0)+0,0))</f>
        <v>11</v>
      </c>
      <c r="CQ496" s="65" t="n">
        <f aca="false">IFERROR(IF(OR(CF496=1,CF496=2,CF496=3),N(INDEX(Parameter!$I$5:$I$7,CF496)),0),0)</f>
        <v>0</v>
      </c>
      <c r="CR496" s="64" t="n">
        <f aca="false">IF(AND(Parameter!$B$21="Ja",ISNUMBER(W496),N(X496)&gt;0),IFERROR(N(INDEX(Parameter!$L$5:$L$7,W496))*INDEX(Parameter!$E$5:$E$7,W496)*X496/SUMIFS($X$7:$X$1843,$W$7:$W$1843,W496),0),0)</f>
        <v>0</v>
      </c>
      <c r="CS496" s="62" t="n">
        <f aca="false">IF(AND(OR(CG496="L1",CG496="L23",CG496="LIFT"),H496&gt;0),CC496*IF(CR496&gt;0,CR496*MAX(1,H496/X496),IF(CA496=1,CE496,IF(R496&gt;0,CN496/R496,0))/MAX(0.1,N(Parameter!$M$21))),"")</f>
        <v>2.98076923076923</v>
      </c>
      <c r="CT496" s="64" t="n">
        <f aca="false">IF(CS496="","",J496/H496)</f>
        <v>2</v>
      </c>
      <c r="CU496" s="62" t="n">
        <f aca="false">IF(CS496="","",H496*G496)</f>
        <v>128.68</v>
      </c>
      <c r="CV496" s="63" t="n">
        <f aca="false">IF(CS496="","",(CL496+ROUNDUP(CL496+MAX(CM496,2*(J496/MAX(0.1,N(Einkauf!$C$6))-CL496)),0))/2)</f>
        <v>5</v>
      </c>
      <c r="CW496" s="62" t="n">
        <f aca="false">IF(CS496="","",MAX(0,H496-CV496)*G496)</f>
        <v>0</v>
      </c>
      <c r="CX496" s="62" t="n">
        <f aca="false">IF(CS496="","",CS496*MAX(0,1-CV496/H496))</f>
        <v>0</v>
      </c>
      <c r="CY496" s="64" t="n">
        <f aca="false">IF(CS496="","",PERCENTRANK($CS$7:$CS$1843,CS496)+PERCENTRANK($CU$7:$CU$1843,CU496)+1-PERCENTRANK($CT$7:$CT$1843,CT496))</f>
        <v>0.671</v>
      </c>
      <c r="CZ496" s="72" t="n">
        <f aca="false">IF(CS496="","",CHOOSE(MATCH(Einkauf!$C$5,Parameter!$G$23:$G$27,0),CY496,CS496,CU496,-CT496,CW496)+ROW()/1000000000)</f>
        <v>0.671000496</v>
      </c>
    </row>
    <row r="497" customFormat="false" ht="15" hidden="false" customHeight="false" outlineLevel="0" collapsed="false">
      <c r="A497" s="60" t="s">
        <v>1136</v>
      </c>
      <c r="B497" s="60" t="s">
        <v>1137</v>
      </c>
      <c r="C497" s="60" t="s">
        <v>206</v>
      </c>
      <c r="D497" s="60" t="s">
        <v>226</v>
      </c>
      <c r="E497" s="60"/>
      <c r="F497" s="60" t="s">
        <v>260</v>
      </c>
      <c r="G497" s="61" t="n">
        <v>7.55</v>
      </c>
      <c r="H497" s="62" t="n">
        <f aca="false">MAX(0,IF(AND(Parameter!$B$21="Ja",ISNUMBER(Y497)),Y497,IF(Parameter!$B$20="Jahresanfang 2025 + Export",BS497+BR497,BR497)))</f>
        <v>5</v>
      </c>
      <c r="I497" s="62" t="n">
        <f aca="false">H497*G497</f>
        <v>37.75</v>
      </c>
      <c r="J497" s="62" t="n">
        <f aca="false">BU497*Parameter!$B$18</f>
        <v>2</v>
      </c>
      <c r="K497" s="63" t="n">
        <v>1.5</v>
      </c>
      <c r="L497" s="64" t="n">
        <v>1.33333333333333</v>
      </c>
      <c r="M497" s="62" t="n">
        <v>0</v>
      </c>
      <c r="N497" s="62" t="n">
        <v>1</v>
      </c>
      <c r="O497" s="65" t="n">
        <v>14</v>
      </c>
      <c r="P497" s="60" t="s">
        <v>443</v>
      </c>
      <c r="Q497" s="62" t="n">
        <v>5</v>
      </c>
      <c r="R497" s="65" t="n">
        <f aca="false">IF(CA497=1,0,IFERROR(VLOOKUP(BY497,'Gebinde-Kategorie'!$A$5:$N$45,13,0)+0,0))</f>
        <v>280</v>
      </c>
      <c r="S497" s="66"/>
      <c r="T497" s="67"/>
      <c r="U497" s="67"/>
      <c r="V497" s="67"/>
      <c r="W497" s="60"/>
      <c r="X497" s="62"/>
      <c r="Y497" s="62"/>
      <c r="Z497" s="60" t="n">
        <v>3</v>
      </c>
      <c r="AA497" s="60" t="n">
        <f aca="false">IF(A497="","",IF(AND(Parameter!$B$21="Ja",ISNUMBER(W497)),W497,IF(AND(Parameter!$E$27="Ja",ISNUMBER(Z497),CD497&lt;&gt;"Nein"),Z497,IF(CD497="2+3",IF(ISNUMBER(SEARCH("grosser Artikel",BV497)),2,IFERROR(VLOOKUP(BY497,Parameter!$F$35:$G$64,2,0),2)),IF(OR(CD497="Nein",CD497=""),"-",CD497)))))</f>
        <v>3</v>
      </c>
      <c r="AB497" s="67"/>
      <c r="AC497" s="68"/>
      <c r="AD497" s="62" t="n">
        <f aca="false">AW497</f>
        <v>2</v>
      </c>
      <c r="AE497" s="62" t="n">
        <f aca="false">MAX(AW497,H497)</f>
        <v>5</v>
      </c>
      <c r="AF497" s="69"/>
      <c r="AG497" s="62" t="n">
        <f aca="false">IF(LEFT(Cockpit!$C$5,1)="A",H497,IF(Parameter!$E$30="MAX-Bestand",IF(CI497=1,CJ497,IF(LEFT(Cockpit!$C$5,1)="B",AM497,MAX(AM497,H497))),ROUNDUP(AK497,0)))</f>
        <v>5</v>
      </c>
      <c r="AH497" s="62" t="n">
        <f aca="false">IF(CA497=1,0,ROUNDUP(AG497/BZ497,0))</f>
        <v>1</v>
      </c>
      <c r="AI497" s="64" t="n">
        <f aca="false">IF(CR497&gt;0,CR497*MAX(1,AG497/X497),IF(CA497=1,IF(AG497&lt;=0,0,CE497*MAX(1,IF(H497&gt;0,AG497/H497,1))),IF(R497&gt;0,AH497/R497,0))/MAX(0.1,N(Parameter!$M$21)))</f>
        <v>0.00357142857142857</v>
      </c>
      <c r="AJ497" s="62" t="n">
        <f aca="false">AI497*CC497</f>
        <v>0.553571428571429</v>
      </c>
      <c r="AK497" s="63" t="n">
        <f aca="false">IF(LEFT(Cockpit!$C$5,1)="A",H497,IF(CI497=1,(CL497+CJ497)/2,IF(LEFT(Cockpit!$C$5,1)="B",(CL497+AM497)/2,MAX((CL497+AM497)/2,H497))))</f>
        <v>5</v>
      </c>
      <c r="AL497" s="62" t="n">
        <f aca="false">AK497*G497</f>
        <v>37.75</v>
      </c>
      <c r="AM497" s="62" t="n">
        <f aca="false">ROUNDUP(CL497+MAX(CM497,2*(J497/IF(CH497&gt;0,CH497,MAX(0.1,N(Cockpit!$C$6)))-CL497)),0)</f>
        <v>2</v>
      </c>
      <c r="AN497" s="63" t="n">
        <f aca="false">IF(AJ497&gt;0,J497/AJ497,-1)</f>
        <v>3.61290322580645</v>
      </c>
      <c r="AO497" s="63" t="n">
        <f aca="false">IF(AND(OR(CG497="L1",CG497="L23",CG497="LIFT"),AJ497&gt;0),SUMIFS($AJ$7:$AJ$1843,$CG$7:$CG$1843,CG497,$AN$7:$AN$1843,"&gt;"&amp;AN497)+SUMIFS($AJ$7:$AJ$1843,$CG$7:$CG$1843,CG497,$AN$7:$AN$1843,AN497,$BX$7:$BX$1843,"&lt;="&amp;BX497),"")</f>
        <v>4825.10622710623</v>
      </c>
      <c r="AP497" s="70" t="n">
        <f aca="false">IF(AO497="",0,MAX(0,MIN(1,(IF(CG497="L1",Parameter!$H$5,IF(CG497="L23",Parameter!$H$6+Parameter!$H$7,Parameter!$H$5+Parameter!$H$6+Parameter!$H$7))-(AO497-AJ497))/AJ497)))</f>
        <v>1</v>
      </c>
      <c r="AQ497" s="62" t="n">
        <f aca="false">IF(LEFT(Cockpit!$I$5,1)="A",H497,IF(Parameter!$E$30="MAX-Bestand",IF(CI497=1,CJ497,IF(LEFT(Cockpit!$I$5,1)="B",AW497,MAX(AW497,H497))),ROUNDUP(AU497,0)))</f>
        <v>5</v>
      </c>
      <c r="AR497" s="62" t="n">
        <f aca="false">IF(CA497=1,0,ROUNDUP(AQ497/BZ497,0))</f>
        <v>1</v>
      </c>
      <c r="AS497" s="64" t="n">
        <f aca="false">IF(CR497&gt;0,CR497*MAX(1,AQ497/X497),IF(CA497=1,IF(AQ497&lt;=0,0,CE497*MAX(1,IF(H497&gt;0,AQ497/H497,1))),IF(R497&gt;0,AR497/R497,0))/MAX(0.1,N(Parameter!$M$21)))</f>
        <v>0.00357142857142857</v>
      </c>
      <c r="AT497" s="62" t="n">
        <f aca="false">AS497*CC497</f>
        <v>0.553571428571429</v>
      </c>
      <c r="AU497" s="63" t="n">
        <f aca="false">IF(LEFT(Cockpit!$I$5,1)="A",H497,IF(CI497=1,(CL497+CJ497)/2,IF(LEFT(Cockpit!$I$5,1)="B",(CL497+AW497)/2,MAX((CL497+AW497)/2,H497))))</f>
        <v>5</v>
      </c>
      <c r="AV497" s="62" t="n">
        <f aca="false">AU497*G497</f>
        <v>37.75</v>
      </c>
      <c r="AW497" s="62" t="n">
        <f aca="false">ROUNDUP(CL497+MAX(CM497,2*(J497/IF(CH497&gt;0,CH497,MAX(0.1,N(Cockpit!$I$6)))-CL497)),0)</f>
        <v>2</v>
      </c>
      <c r="AX497" s="63" t="n">
        <f aca="false">IF(AT497&gt;0,J497/AT497,-1)</f>
        <v>3.61290322580645</v>
      </c>
      <c r="AY497" s="63" t="n">
        <f aca="false">IF(AND(OR(CG497="L1",CG497="L23",CG497="LIFT"),AT497&gt;0),SUMIFS($AT$7:$AT$1843,$CG$7:$CG$1843,CG497,$AX$7:$AX$1843,"&gt;"&amp;AX497)+SUMIFS($AT$7:$AT$1843,$CG$7:$CG$1843,CG497,$AX$7:$AX$1843,AX497,$BX$7:$BX$1843,"&lt;="&amp;BX497),"")</f>
        <v>5402.69322344322</v>
      </c>
      <c r="AZ497" s="70" t="n">
        <f aca="false">IF(AY497="",0,MAX(0,MIN(1,(IF(CG497="L1",Parameter!$H$5,IF(CG497="L23",Parameter!$H$6+Parameter!$H$7,Parameter!$H$5+Parameter!$H$6+Parameter!$H$7))-(AY497-AT497))/AT497)))</f>
        <v>1</v>
      </c>
      <c r="BA497" s="62" t="n">
        <f aca="false">IF(LEFT(Cockpit!$O$5,1)="A",H497,IF(Parameter!$E$30="MAX-Bestand",IF(CI497=1,CJ497,IF(LEFT(Cockpit!$O$5,1)="B",BG497,MAX(BG497,H497))),ROUNDUP(BE497,0)))</f>
        <v>1</v>
      </c>
      <c r="BB497" s="62" t="n">
        <f aca="false">IF(CA497=1,0,ROUNDUP(BA497/BZ497,0))</f>
        <v>1</v>
      </c>
      <c r="BC497" s="64" t="n">
        <f aca="false">IF(CR497&gt;0,CR497*MAX(1,BA497/X497),IF(CA497=1,IF(BA497&lt;=0,0,CE497*MAX(1,IF(H497&gt;0,BA497/H497,1))),IF(R497&gt;0,BB497/R497,0))/MAX(0.1,N(Parameter!$M$21)))</f>
        <v>0.00357142857142857</v>
      </c>
      <c r="BD497" s="62" t="n">
        <f aca="false">BC497*CC497</f>
        <v>0.553571428571429</v>
      </c>
      <c r="BE497" s="63" t="n">
        <f aca="false">IF(LEFT(Cockpit!$O$5,1)="A",H497,IF(CI497=1,(CL497+CJ497)/2,IF(LEFT(Cockpit!$O$5,1)="B",(CL497+BG497)/2,MAX((CL497+BG497)/2,H497))))</f>
        <v>0.5</v>
      </c>
      <c r="BF497" s="62" t="n">
        <f aca="false">BE497*G497</f>
        <v>3.775</v>
      </c>
      <c r="BG497" s="62" t="n">
        <f aca="false">ROUNDUP(CL497+MAX(CM497,2*(J497/IF(CH497&gt;0,CH497,MAX(0.1,N(Cockpit!$O$6)))-CL497)),0)</f>
        <v>1</v>
      </c>
      <c r="BH497" s="63" t="n">
        <f aca="false">IF(BD497&gt;0,J497/BD497,-1)</f>
        <v>3.61290322580645</v>
      </c>
      <c r="BI497" s="63" t="n">
        <f aca="false">IF(AND(OR(CG497="L1",CG497="L23",CG497="LIFT"),BD497&gt;0),SUMIFS($BD$7:$BD$1843,$CG$7:$CG$1843,CG497,$BH$7:$BH$1843,"&gt;"&amp;BH497)+SUMIFS($BD$7:$BD$1843,$CG$7:$CG$1843,CG497,$BH$7:$BH$1843,BH497,$BX$7:$BX$1843,"&lt;="&amp;BX497),"")</f>
        <v>4417.19001831502</v>
      </c>
      <c r="BJ497" s="70" t="n">
        <f aca="false">IF(BI497="",0,MAX(0,MIN(1,(IF(CG497="L1",Parameter!$H$5,IF(CG497="L23",Parameter!$H$6+Parameter!$H$7,Parameter!$H$5+Parameter!$H$6+Parameter!$H$7))-(BI497-BD497))/BD497)))</f>
        <v>1</v>
      </c>
      <c r="BK497" s="60" t="str">
        <f aca="false">IF(AJ497&lt;=0,"",IF(CG497="Aussen","Aussenlager",IF(CG497="-","Nicht im Lift",IF(AP497&gt;=1,"Lift",IF(AP497&lt;=0,"Aussenlager","teilweise")))))</f>
        <v>Lift</v>
      </c>
      <c r="BL497" s="60" t="str">
        <f aca="false">IF(AT497&lt;=0,"",IF(CG497="Aussen","Aussenlager",IF(CG497="-","Nicht im Lift",IF(AZ497&gt;=1,"Lift",IF(AZ497&lt;=0,"Aussenlager","teilweise")))))</f>
        <v>Lift</v>
      </c>
      <c r="BM497" s="60" t="str">
        <f aca="false">IF(BD497&lt;=0,"",IF(CG497="Aussen","Aussenlager",IF(CG497="-","Nicht im Lift",IF(BJ497&gt;=1,"Lift",IF(BJ497&lt;=0,"Aussenlager","teilweise")))))</f>
        <v>Lift</v>
      </c>
      <c r="BN497" s="60" t="str">
        <f aca="false">IF(A497="","",IF(BW497=1,"Neu; ","")&amp;IF(AND(BW497=0,BR497&lt;0),"negativer Bestand (Export "&amp;BR497&amp;"); ","")&amp;IF(J497&lt;=0,"Kein Verbrauch; ","")&amp;IF(CR497&gt;0,"Lift "&amp;W497&amp;" lt. Liftbericht (Fach "&amp;X497&amp;" Stk); ",IF(CB497=1,"Gebinde geschätzt ("&amp;T497&amp;"); ",IF(CA497=1,"Lose – Tablare geschätzt; ","")))&amp;IF(H497&gt;AW497,"Überbestand "&amp;ROUND(H497-AW497,0)&amp;" Stk / CHF "&amp;ROUND((H497-AW497)*G497,0)&amp;"; ","")&amp;IF(AND(CI497=1,CJ497&lt;CK497),"MAX &lt; MB+LG; ","")&amp;IF(AND(CQ497&gt;0,CP497*10&gt;CQ497),"zu hoch für Tablar; ","")&amp;IF(AND(BW497=0,OR(CI497=1,AB497&lt;&gt;"",U497&lt;&gt;"",V497&lt;&gt;"",AC497&lt;&gt;"")),"manuell übersteuert; ","")&amp;IF(AND(CA497=0,R497=0),"Gebinde unbekannt / Stellmass fehlt; ","")&amp;IF(AND(CA497=0,N(V497)&lt;=0,N(Q497)&lt;=0),"Menge pro Gebinde fehlt (Ist = 1 Gebinde); ","")&amp;BV497)</f>
        <v>Überbestand 3 Stk / CHF 23; </v>
      </c>
      <c r="BO497" s="60"/>
      <c r="BP497" s="60"/>
      <c r="BQ497" s="67"/>
      <c r="BR497" s="62" t="n">
        <v>5</v>
      </c>
      <c r="BS497" s="62" t="n">
        <v>0</v>
      </c>
      <c r="BT497" s="61" t="n">
        <v>37.75</v>
      </c>
      <c r="BU497" s="62" t="n">
        <v>2</v>
      </c>
      <c r="BV497" s="60"/>
      <c r="BW497" s="65" t="n">
        <v>0</v>
      </c>
      <c r="BX497" s="65" t="n">
        <v>497</v>
      </c>
      <c r="BY497" s="60" t="str">
        <f aca="false">IF(U497&lt;&gt;"",UPPER(TRIM(U497)),IF(CB497=1,UPPER(VLOOKUP(T497,Parameter!$I$27:$K$29,2,0)),IF(P497="","LOSE",P497)))</f>
        <v>S21</v>
      </c>
      <c r="BZ497" s="62" t="n">
        <f aca="false">IF(BY497="LOSE",1,IF(N(V497)&gt;0,V497,IF(CB497=1,MAX(1,N(VLOOKUP(T497,Parameter!$I$27:$K$29,3,0)),H497,N(N497)),IF(N(Q497)&gt;0,Q497,MAX(1,H497)))))</f>
        <v>5</v>
      </c>
      <c r="CA497" s="65" t="n">
        <f aca="false">IF(BY497="LOSE",1,0)</f>
        <v>0</v>
      </c>
      <c r="CB497" s="65" t="n">
        <f aca="false">IF(AND(U497="",OR(P497="",P497="LOSE"),T497&lt;&gt;"",N(S497)&lt;=0,ISNUMBER(MATCH(T497,Parameter!$I$27:$I$29,0))),1,0)</f>
        <v>0</v>
      </c>
      <c r="CC497" s="65" t="n">
        <f aca="false">IF(CR497&gt;0,INDEX(Parameter!$H$5:$H$7,W497)/INDEX(Parameter!$E$5:$E$7,W497),IF(AND(CA497=0,N(IFERROR(VLOOKUP(BY497,'Gebinde-Kategorie'!$A$5:$N$45,14,0),0))&gt;0),VLOOKUP(BY497,'Gebinde-Kategorie'!$A$5:$N$45,14,0)*10+Parameter!$M$23,Parameter!$M$24))</f>
        <v>155</v>
      </c>
      <c r="CD497" s="60" t="str">
        <f aca="false">IF(AND(Parameter!$B$19="Ja",E497&lt;&gt;"",ISNUMBER(MATCH(E497,Parameter!$I$35:$I$52,0))),VLOOKUP(E497,Parameter!$I$35:$J$52,2,0),IFERROR(VLOOKUP(D497,Parameter!$A$35:$C$64,2,0),"Nein"))</f>
        <v>2+3</v>
      </c>
      <c r="CE497" s="64" t="n">
        <f aca="false">IF(CA497=0,0,IF(N(S497)&gt;0,S497,IFERROR(VLOOKUP(D497,Parameter!$A$35:$C$64,3,0)+0,0)))</f>
        <v>0</v>
      </c>
      <c r="CF497" s="60" t="n">
        <f aca="false">IF(AB497&lt;&gt;"",AB497,AA497)</f>
        <v>3</v>
      </c>
      <c r="CG497" s="60" t="str">
        <f aca="false">IF(OR(CF497=1,CF497=2,CF497=3),IF(Parameter!$E$27="Ja","LIFT",IF(CF497=1,"L1","L23")),IF(CF497="Aussen","Aussen","-"))</f>
        <v>LIFT</v>
      </c>
      <c r="CH497" s="71" t="n">
        <f aca="false">IF(N(AC497)&gt;0,AC497,0)</f>
        <v>0</v>
      </c>
      <c r="CI497" s="65" t="n">
        <f aca="false">IF(ISNUMBER(AF497),1,0)</f>
        <v>0</v>
      </c>
      <c r="CJ497" s="62" t="n">
        <f aca="false">N(AF497)</f>
        <v>0</v>
      </c>
      <c r="CK497" s="62" t="n">
        <f aca="false">N(M497)+N(N497)</f>
        <v>1</v>
      </c>
      <c r="CL497" s="62" t="n">
        <f aca="false">N(M497)</f>
        <v>0</v>
      </c>
      <c r="CM497" s="62" t="n">
        <f aca="false">N(N497)</f>
        <v>1</v>
      </c>
      <c r="CN497" s="62" t="n">
        <f aca="false">ROUNDUP(H497/BZ497,0)</f>
        <v>1</v>
      </c>
      <c r="CO497" s="62" t="n">
        <f aca="false">ROUNDUP(CJ497/BZ497,0)</f>
        <v>0</v>
      </c>
      <c r="CP497" s="65" t="n">
        <f aca="false">IF(CA497=1,0,IFERROR(VLOOKUP(BY497,'Gebinde-Kategorie'!$A$5:$N$45,5,0)+0,0))</f>
        <v>8</v>
      </c>
      <c r="CQ497" s="65" t="n">
        <f aca="false">IFERROR(IF(OR(CF497=1,CF497=2,CF497=3),N(INDEX(Parameter!$I$5:$I$7,CF497)),0),0)</f>
        <v>0</v>
      </c>
      <c r="CR497" s="64" t="n">
        <f aca="false">IF(AND(Parameter!$B$21="Ja",ISNUMBER(W497),N(X497)&gt;0),IFERROR(N(INDEX(Parameter!$L$5:$L$7,W497))*INDEX(Parameter!$E$5:$E$7,W497)*X497/SUMIFS($X$7:$X$1843,$W$7:$W$1843,W497),0),0)</f>
        <v>0</v>
      </c>
      <c r="CS497" s="62" t="n">
        <f aca="false">IF(AND(OR(CG497="L1",CG497="L23",CG497="LIFT"),H497&gt;0),CC497*IF(CR497&gt;0,CR497*MAX(1,H497/X497),IF(CA497=1,CE497,IF(R497&gt;0,CN497/R497,0))/MAX(0.1,N(Parameter!$M$21))),"")</f>
        <v>0.553571428571429</v>
      </c>
      <c r="CT497" s="64" t="n">
        <f aca="false">IF(CS497="","",J497/H497)</f>
        <v>0.4</v>
      </c>
      <c r="CU497" s="62" t="n">
        <f aca="false">IF(CS497="","",H497*G497)</f>
        <v>37.75</v>
      </c>
      <c r="CV497" s="63" t="n">
        <f aca="false">IF(CS497="","",(CL497+ROUNDUP(CL497+MAX(CM497,2*(J497/MAX(0.1,N(Einkauf!$C$6))-CL497)),0))/2)</f>
        <v>0.5</v>
      </c>
      <c r="CW497" s="62" t="n">
        <f aca="false">IF(CS497="","",MAX(0,H497-CV497)*G497)</f>
        <v>33.975</v>
      </c>
      <c r="CX497" s="62" t="n">
        <f aca="false">IF(CS497="","",CS497*MAX(0,1-CV497/H497))</f>
        <v>0.498214285714286</v>
      </c>
      <c r="CY497" s="64" t="n">
        <f aca="false">IF(CS497="","",PERCENTRANK($CS$7:$CS$1843,CS497)+PERCENTRANK($CU$7:$CU$1843,CU497)+1-PERCENTRANK($CT$7:$CT$1843,CT497))</f>
        <v>0.604</v>
      </c>
      <c r="CZ497" s="72" t="n">
        <f aca="false">IF(CS497="","",CHOOSE(MATCH(Einkauf!$C$5,Parameter!$G$23:$G$27,0),CY497,CS497,CU497,-CT497,CW497)+ROW()/1000000000)</f>
        <v>0.604000497</v>
      </c>
    </row>
    <row r="498" customFormat="false" ht="15" hidden="false" customHeight="false" outlineLevel="0" collapsed="false">
      <c r="A498" s="60" t="s">
        <v>1138</v>
      </c>
      <c r="B498" s="60" t="s">
        <v>897</v>
      </c>
      <c r="C498" s="60" t="s">
        <v>206</v>
      </c>
      <c r="D498" s="60" t="s">
        <v>226</v>
      </c>
      <c r="E498" s="60" t="s">
        <v>227</v>
      </c>
      <c r="F498" s="60" t="s">
        <v>260</v>
      </c>
      <c r="G498" s="61" t="n">
        <v>0.05</v>
      </c>
      <c r="H498" s="62" t="n">
        <f aca="false">MAX(0,IF(AND(Parameter!$B$21="Ja",ISNUMBER(Y498)),Y498,IF(Parameter!$B$20="Jahresanfang 2025 + Export",BS498+BR498,BR498)))</f>
        <v>1092</v>
      </c>
      <c r="I498" s="62" t="n">
        <f aca="false">H498*G498</f>
        <v>54.6</v>
      </c>
      <c r="J498" s="62" t="n">
        <f aca="false">BU498*Parameter!$B$18</f>
        <v>2145</v>
      </c>
      <c r="K498" s="63" t="n">
        <v>714.5</v>
      </c>
      <c r="L498" s="64" t="n">
        <v>3.00209937018894</v>
      </c>
      <c r="M498" s="62" t="n">
        <v>400</v>
      </c>
      <c r="N498" s="62" t="n">
        <v>500</v>
      </c>
      <c r="O498" s="65" t="n">
        <v>14</v>
      </c>
      <c r="P498" s="60" t="s">
        <v>344</v>
      </c>
      <c r="Q498" s="62" t="n">
        <v>600</v>
      </c>
      <c r="R498" s="65" t="n">
        <f aca="false">IF(CA498=1,0,IFERROR(VLOOKUP(BY498,'Gebinde-Kategorie'!$A$5:$N$45,13,0)+0,0))</f>
        <v>26</v>
      </c>
      <c r="S498" s="66"/>
      <c r="T498" s="67"/>
      <c r="U498" s="67"/>
      <c r="V498" s="67"/>
      <c r="W498" s="60"/>
      <c r="X498" s="62"/>
      <c r="Y498" s="62"/>
      <c r="Z498" s="60" t="n">
        <v>3</v>
      </c>
      <c r="AA498" s="60" t="n">
        <f aca="false">IF(A498="","",IF(AND(Parameter!$B$21="Ja",ISNUMBER(W498)),W498,IF(AND(Parameter!$E$27="Ja",ISNUMBER(Z498),CD498&lt;&gt;"Nein"),Z498,IF(CD498="2+3",IF(ISNUMBER(SEARCH("grosser Artikel",BV498)),2,IFERROR(VLOOKUP(BY498,Parameter!$F$35:$G$64,2,0),2)),IF(OR(CD498="Nein",CD498=""),"-",CD498)))))</f>
        <v>3</v>
      </c>
      <c r="AB498" s="67"/>
      <c r="AC498" s="68"/>
      <c r="AD498" s="62" t="n">
        <f aca="false">AW498</f>
        <v>1030</v>
      </c>
      <c r="AE498" s="62" t="n">
        <f aca="false">MAX(AW498,H498)</f>
        <v>1092</v>
      </c>
      <c r="AF498" s="69"/>
      <c r="AG498" s="62" t="n">
        <f aca="false">IF(LEFT(Cockpit!$C$5,1)="A",H498,IF(Parameter!$E$30="MAX-Bestand",IF(CI498=1,CJ498,IF(LEFT(Cockpit!$C$5,1)="B",AM498,MAX(AM498,H498))),ROUNDUP(AK498,0)))</f>
        <v>1092</v>
      </c>
      <c r="AH498" s="62" t="n">
        <f aca="false">IF(CA498=1,0,ROUNDUP(AG498/BZ498,0))</f>
        <v>2</v>
      </c>
      <c r="AI498" s="64" t="n">
        <f aca="false">IF(CR498&gt;0,CR498*MAX(1,AG498/X498),IF(CA498=1,IF(AG498&lt;=0,0,CE498*MAX(1,IF(H498&gt;0,AG498/H498,1))),IF(R498&gt;0,AH498/R498,0))/MAX(0.1,N(Parameter!$M$21)))</f>
        <v>0.0769230769230769</v>
      </c>
      <c r="AJ498" s="62" t="n">
        <f aca="false">AI498*CC498</f>
        <v>11.9230769230769</v>
      </c>
      <c r="AK498" s="63" t="n">
        <f aca="false">IF(LEFT(Cockpit!$C$5,1)="A",H498,IF(CI498=1,(CL498+CJ498)/2,IF(LEFT(Cockpit!$C$5,1)="B",(CL498+AM498)/2,MAX((CL498+AM498)/2,H498))))</f>
        <v>1092</v>
      </c>
      <c r="AL498" s="62" t="n">
        <f aca="false">AK498*G498</f>
        <v>54.6</v>
      </c>
      <c r="AM498" s="62" t="n">
        <f aca="false">ROUNDUP(CL498+MAX(CM498,2*(J498/IF(CH498&gt;0,CH498,MAX(0.1,N(Cockpit!$C$6)))-CL498)),0)</f>
        <v>1030</v>
      </c>
      <c r="AN498" s="63" t="n">
        <f aca="false">IF(AJ498&gt;0,J498/AJ498,-1)</f>
        <v>179.903225806452</v>
      </c>
      <c r="AO498" s="63" t="n">
        <f aca="false">IF(AND(OR(CG498="L1",CG498="L23",CG498="LIFT"),AJ498&gt;0),SUMIFS($AJ$7:$AJ$1843,$CG$7:$CG$1843,CG498,$AN$7:$AN$1843,"&gt;"&amp;AN498)+SUMIFS($AJ$7:$AJ$1843,$CG$7:$CG$1843,CG498,$AN$7:$AN$1843,AN498,$BX$7:$BX$1843,"&lt;="&amp;BX498),"")</f>
        <v>397.782051282051</v>
      </c>
      <c r="AP498" s="70" t="n">
        <f aca="false">IF(AO498="",0,MAX(0,MIN(1,(IF(CG498="L1",Parameter!$H$5,IF(CG498="L23",Parameter!$H$6+Parameter!$H$7,Parameter!$H$5+Parameter!$H$6+Parameter!$H$7))-(AO498-AJ498))/AJ498)))</f>
        <v>1</v>
      </c>
      <c r="AQ498" s="62" t="n">
        <f aca="false">IF(LEFT(Cockpit!$I$5,1)="A",H498,IF(Parameter!$E$30="MAX-Bestand",IF(CI498=1,CJ498,IF(LEFT(Cockpit!$I$5,1)="B",AW498,MAX(AW498,H498))),ROUNDUP(AU498,0)))</f>
        <v>1092</v>
      </c>
      <c r="AR498" s="62" t="n">
        <f aca="false">IF(CA498=1,0,ROUNDUP(AQ498/BZ498,0))</f>
        <v>2</v>
      </c>
      <c r="AS498" s="64" t="n">
        <f aca="false">IF(CR498&gt;0,CR498*MAX(1,AQ498/X498),IF(CA498=1,IF(AQ498&lt;=0,0,CE498*MAX(1,IF(H498&gt;0,AQ498/H498,1))),IF(R498&gt;0,AR498/R498,0))/MAX(0.1,N(Parameter!$M$21)))</f>
        <v>0.0769230769230769</v>
      </c>
      <c r="AT498" s="62" t="n">
        <f aca="false">AS498*CC498</f>
        <v>11.9230769230769</v>
      </c>
      <c r="AU498" s="63" t="n">
        <f aca="false">IF(LEFT(Cockpit!$I$5,1)="A",H498,IF(CI498=1,(CL498+CJ498)/2,IF(LEFT(Cockpit!$I$5,1)="B",(CL498+AW498)/2,MAX((CL498+AW498)/2,H498))))</f>
        <v>1092</v>
      </c>
      <c r="AV498" s="62" t="n">
        <f aca="false">AU498*G498</f>
        <v>54.6</v>
      </c>
      <c r="AW498" s="62" t="n">
        <f aca="false">ROUNDUP(CL498+MAX(CM498,2*(J498/IF(CH498&gt;0,CH498,MAX(0.1,N(Cockpit!$I$6)))-CL498)),0)</f>
        <v>1030</v>
      </c>
      <c r="AX498" s="63" t="n">
        <f aca="false">IF(AT498&gt;0,J498/AT498,-1)</f>
        <v>179.903225806452</v>
      </c>
      <c r="AY498" s="63" t="n">
        <f aca="false">IF(AND(OR(CG498="L1",CG498="L23",CG498="LIFT"),AT498&gt;0),SUMIFS($AT$7:$AT$1843,$CG$7:$CG$1843,CG498,$AX$7:$AX$1843,"&gt;"&amp;AX498)+SUMIFS($AT$7:$AT$1843,$CG$7:$CG$1843,CG498,$AX$7:$AX$1843,AX498,$BX$7:$BX$1843,"&lt;="&amp;BX498),"")</f>
        <v>515.418956043956</v>
      </c>
      <c r="AZ498" s="70" t="n">
        <f aca="false">IF(AY498="",0,MAX(0,MIN(1,(IF(CG498="L1",Parameter!$H$5,IF(CG498="L23",Parameter!$H$6+Parameter!$H$7,Parameter!$H$5+Parameter!$H$6+Parameter!$H$7))-(AY498-AT498))/AT498)))</f>
        <v>1</v>
      </c>
      <c r="BA498" s="62" t="n">
        <f aca="false">IF(LEFT(Cockpit!$O$5,1)="A",H498,IF(Parameter!$E$30="MAX-Bestand",IF(CI498=1,CJ498,IF(LEFT(Cockpit!$O$5,1)="B",BG498,MAX(BG498,H498))),ROUNDUP(BE498,0)))</f>
        <v>650</v>
      </c>
      <c r="BB498" s="62" t="n">
        <f aca="false">IF(CA498=1,0,ROUNDUP(BA498/BZ498,0))</f>
        <v>2</v>
      </c>
      <c r="BC498" s="64" t="n">
        <f aca="false">IF(CR498&gt;0,CR498*MAX(1,BA498/X498),IF(CA498=1,IF(BA498&lt;=0,0,CE498*MAX(1,IF(H498&gt;0,BA498/H498,1))),IF(R498&gt;0,BB498/R498,0))/MAX(0.1,N(Parameter!$M$21)))</f>
        <v>0.0769230769230769</v>
      </c>
      <c r="BD498" s="62" t="n">
        <f aca="false">BC498*CC498</f>
        <v>11.9230769230769</v>
      </c>
      <c r="BE498" s="63" t="n">
        <f aca="false">IF(LEFT(Cockpit!$O$5,1)="A",H498,IF(CI498=1,(CL498+CJ498)/2,IF(LEFT(Cockpit!$O$5,1)="B",(CL498+BG498)/2,MAX((CL498+BG498)/2,H498))))</f>
        <v>650</v>
      </c>
      <c r="BF498" s="62" t="n">
        <f aca="false">BE498*G498</f>
        <v>32.5</v>
      </c>
      <c r="BG498" s="62" t="n">
        <f aca="false">ROUNDUP(CL498+MAX(CM498,2*(J498/IF(CH498&gt;0,CH498,MAX(0.1,N(Cockpit!$O$6)))-CL498)),0)</f>
        <v>900</v>
      </c>
      <c r="BH498" s="63" t="n">
        <f aca="false">IF(BD498&gt;0,J498/BD498,-1)</f>
        <v>179.903225806452</v>
      </c>
      <c r="BI498" s="63" t="n">
        <f aca="false">IF(AND(OR(CG498="L1",CG498="L23",CG498="LIFT"),BD498&gt;0),SUMIFS($BD$7:$BD$1843,$CG$7:$CG$1843,CG498,$BH$7:$BH$1843,"&gt;"&amp;BH498)+SUMIFS($BD$7:$BD$1843,$CG$7:$CG$1843,CG498,$BH$7:$BH$1843,BH498,$BX$7:$BX$1843,"&lt;="&amp;BX498),"")</f>
        <v>508.108516483517</v>
      </c>
      <c r="BJ498" s="70" t="n">
        <f aca="false">IF(BI498="",0,MAX(0,MIN(1,(IF(CG498="L1",Parameter!$H$5,IF(CG498="L23",Parameter!$H$6+Parameter!$H$7,Parameter!$H$5+Parameter!$H$6+Parameter!$H$7))-(BI498-BD498))/BD498)))</f>
        <v>1</v>
      </c>
      <c r="BK498" s="60" t="str">
        <f aca="false">IF(AJ498&lt;=0,"",IF(CG498="Aussen","Aussenlager",IF(CG498="-","Nicht im Lift",IF(AP498&gt;=1,"Lift",IF(AP498&lt;=0,"Aussenlager","teilweise")))))</f>
        <v>Lift</v>
      </c>
      <c r="BL498" s="60" t="str">
        <f aca="false">IF(AT498&lt;=0,"",IF(CG498="Aussen","Aussenlager",IF(CG498="-","Nicht im Lift",IF(AZ498&gt;=1,"Lift",IF(AZ498&lt;=0,"Aussenlager","teilweise")))))</f>
        <v>Lift</v>
      </c>
      <c r="BM498" s="60" t="str">
        <f aca="false">IF(BD498&lt;=0,"",IF(CG498="Aussen","Aussenlager",IF(CG498="-","Nicht im Lift",IF(BJ498&gt;=1,"Lift",IF(BJ498&lt;=0,"Aussenlager","teilweise")))))</f>
        <v>Lift</v>
      </c>
      <c r="BN498" s="60" t="str">
        <f aca="false">IF(A498="","",IF(BW498=1,"Neu; ","")&amp;IF(AND(BW498=0,BR498&lt;0),"negativer Bestand (Export "&amp;BR498&amp;"); ","")&amp;IF(J498&lt;=0,"Kein Verbrauch; ","")&amp;IF(CR498&gt;0,"Lift "&amp;W498&amp;" lt. Liftbericht (Fach "&amp;X498&amp;" Stk); ",IF(CB498=1,"Gebinde geschätzt ("&amp;T498&amp;"); ",IF(CA498=1,"Lose – Tablare geschätzt; ","")))&amp;IF(H498&gt;AW498,"Überbestand "&amp;ROUND(H498-AW498,0)&amp;" Stk / CHF "&amp;ROUND((H498-AW498)*G498,0)&amp;"; ","")&amp;IF(AND(CI498=1,CJ498&lt;CK498),"MAX &lt; MB+LG; ","")&amp;IF(AND(CQ498&gt;0,CP498*10&gt;CQ498),"zu hoch für Tablar; ","")&amp;IF(AND(BW498=0,OR(CI498=1,AB498&lt;&gt;"",U498&lt;&gt;"",V498&lt;&gt;"",AC498&lt;&gt;"")),"manuell übersteuert; ","")&amp;IF(AND(CA498=0,R498=0),"Gebinde unbekannt / Stellmass fehlt; ","")&amp;IF(AND(CA498=0,N(V498)&lt;=0,N(Q498)&lt;=0),"Menge pro Gebinde fehlt (Ist = 1 Gebinde); ","")&amp;BV498)</f>
        <v>Überbestand 62 Stk / CHF 3; </v>
      </c>
      <c r="BO498" s="60"/>
      <c r="BP498" s="60"/>
      <c r="BQ498" s="67"/>
      <c r="BR498" s="62" t="n">
        <v>755</v>
      </c>
      <c r="BS498" s="62" t="n">
        <v>337</v>
      </c>
      <c r="BT498" s="61" t="n">
        <v>37.75</v>
      </c>
      <c r="BU498" s="62" t="n">
        <v>2145</v>
      </c>
      <c r="BV498" s="60"/>
      <c r="BW498" s="65" t="n">
        <v>0</v>
      </c>
      <c r="BX498" s="65" t="n">
        <v>498</v>
      </c>
      <c r="BY498" s="60" t="str">
        <f aca="false">IF(U498&lt;&gt;"",UPPER(TRIM(U498)),IF(CB498=1,UPPER(VLOOKUP(T498,Parameter!$I$27:$K$29,2,0)),IF(P498="","LOSE",P498)))</f>
        <v>S51</v>
      </c>
      <c r="BZ498" s="62" t="n">
        <f aca="false">IF(BY498="LOSE",1,IF(N(V498)&gt;0,V498,IF(CB498=1,MAX(1,N(VLOOKUP(T498,Parameter!$I$27:$K$29,3,0)),H498,N(N498)),IF(N(Q498)&gt;0,Q498,MAX(1,H498)))))</f>
        <v>600</v>
      </c>
      <c r="CA498" s="65" t="n">
        <f aca="false">IF(BY498="LOSE",1,0)</f>
        <v>0</v>
      </c>
      <c r="CB498" s="65" t="n">
        <f aca="false">IF(AND(U498="",OR(P498="",P498="LOSE"),T498&lt;&gt;"",N(S498)&lt;=0,ISNUMBER(MATCH(T498,Parameter!$I$27:$I$29,0))),1,0)</f>
        <v>0</v>
      </c>
      <c r="CC498" s="65" t="n">
        <f aca="false">IF(CR498&gt;0,INDEX(Parameter!$H$5:$H$7,W498)/INDEX(Parameter!$E$5:$E$7,W498),IF(AND(CA498=0,N(IFERROR(VLOOKUP(BY498,'Gebinde-Kategorie'!$A$5:$N$45,14,0),0))&gt;0),VLOOKUP(BY498,'Gebinde-Kategorie'!$A$5:$N$45,14,0)*10+Parameter!$M$23,Parameter!$M$24))</f>
        <v>155</v>
      </c>
      <c r="CD498" s="60" t="str">
        <f aca="false">IF(AND(Parameter!$B$19="Ja",E498&lt;&gt;"",ISNUMBER(MATCH(E498,Parameter!$I$35:$I$52,0))),VLOOKUP(E498,Parameter!$I$35:$J$52,2,0),IFERROR(VLOOKUP(D498,Parameter!$A$35:$C$64,2,0),"Nein"))</f>
        <v>2+3</v>
      </c>
      <c r="CE498" s="64" t="n">
        <f aca="false">IF(CA498=0,0,IF(N(S498)&gt;0,S498,IFERROR(VLOOKUP(D498,Parameter!$A$35:$C$64,3,0)+0,0)))</f>
        <v>0</v>
      </c>
      <c r="CF498" s="60" t="n">
        <f aca="false">IF(AB498&lt;&gt;"",AB498,AA498)</f>
        <v>3</v>
      </c>
      <c r="CG498" s="60" t="str">
        <f aca="false">IF(OR(CF498=1,CF498=2,CF498=3),IF(Parameter!$E$27="Ja","LIFT",IF(CF498=1,"L1","L23")),IF(CF498="Aussen","Aussen","-"))</f>
        <v>LIFT</v>
      </c>
      <c r="CH498" s="71" t="n">
        <f aca="false">IF(N(AC498)&gt;0,AC498,0)</f>
        <v>0</v>
      </c>
      <c r="CI498" s="65" t="n">
        <f aca="false">IF(ISNUMBER(AF498),1,0)</f>
        <v>0</v>
      </c>
      <c r="CJ498" s="62" t="n">
        <f aca="false">N(AF498)</f>
        <v>0</v>
      </c>
      <c r="CK498" s="62" t="n">
        <f aca="false">N(M498)+N(N498)</f>
        <v>900</v>
      </c>
      <c r="CL498" s="62" t="n">
        <f aca="false">N(M498)</f>
        <v>400</v>
      </c>
      <c r="CM498" s="62" t="n">
        <f aca="false">N(N498)</f>
        <v>500</v>
      </c>
      <c r="CN498" s="62" t="n">
        <f aca="false">ROUNDUP(H498/BZ498,0)</f>
        <v>2</v>
      </c>
      <c r="CO498" s="62" t="n">
        <f aca="false">ROUNDUP(CJ498/BZ498,0)</f>
        <v>0</v>
      </c>
      <c r="CP498" s="65" t="n">
        <f aca="false">IF(CA498=1,0,IFERROR(VLOOKUP(BY498,'Gebinde-Kategorie'!$A$5:$N$45,5,0)+0,0))</f>
        <v>11</v>
      </c>
      <c r="CQ498" s="65" t="n">
        <f aca="false">IFERROR(IF(OR(CF498=1,CF498=2,CF498=3),N(INDEX(Parameter!$I$5:$I$7,CF498)),0),0)</f>
        <v>0</v>
      </c>
      <c r="CR498" s="64" t="n">
        <f aca="false">IF(AND(Parameter!$B$21="Ja",ISNUMBER(W498),N(X498)&gt;0),IFERROR(N(INDEX(Parameter!$L$5:$L$7,W498))*INDEX(Parameter!$E$5:$E$7,W498)*X498/SUMIFS($X$7:$X$1843,$W$7:$W$1843,W498),0),0)</f>
        <v>0</v>
      </c>
      <c r="CS498" s="62" t="n">
        <f aca="false">IF(AND(OR(CG498="L1",CG498="L23",CG498="LIFT"),H498&gt;0),CC498*IF(CR498&gt;0,CR498*MAX(1,H498/X498),IF(CA498=1,CE498,IF(R498&gt;0,CN498/R498,0))/MAX(0.1,N(Parameter!$M$21))),"")</f>
        <v>11.9230769230769</v>
      </c>
      <c r="CT498" s="64" t="n">
        <f aca="false">IF(CS498="","",J498/H498)</f>
        <v>1.96428571428571</v>
      </c>
      <c r="CU498" s="62" t="n">
        <f aca="false">IF(CS498="","",H498*G498)</f>
        <v>54.6</v>
      </c>
      <c r="CV498" s="63" t="n">
        <f aca="false">IF(CS498="","",(CL498+ROUNDUP(CL498+MAX(CM498,2*(J498/MAX(0.1,N(Einkauf!$C$6))-CL498)),0))/2)</f>
        <v>650</v>
      </c>
      <c r="CW498" s="62" t="n">
        <f aca="false">IF(CS498="","",MAX(0,H498-CV498)*G498)</f>
        <v>22.1</v>
      </c>
      <c r="CX498" s="62" t="n">
        <f aca="false">IF(CS498="","",CS498*MAX(0,1-CV498/H498))</f>
        <v>4.82600732600733</v>
      </c>
      <c r="CY498" s="64" t="n">
        <f aca="false">IF(CS498="","",PERCENTRANK($CS$7:$CS$1843,CS498)+PERCENTRANK($CU$7:$CU$1843,CU498)+1-PERCENTRANK($CT$7:$CT$1843,CT498))</f>
        <v>0.982</v>
      </c>
      <c r="CZ498" s="72" t="n">
        <f aca="false">IF(CS498="","",CHOOSE(MATCH(Einkauf!$C$5,Parameter!$G$23:$G$27,0),CY498,CS498,CU498,-CT498,CW498)+ROW()/1000000000)</f>
        <v>0.982000498</v>
      </c>
    </row>
    <row r="499" customFormat="false" ht="15" hidden="false" customHeight="false" outlineLevel="0" collapsed="false">
      <c r="A499" s="60" t="s">
        <v>1139</v>
      </c>
      <c r="B499" s="60" t="s">
        <v>793</v>
      </c>
      <c r="C499" s="60" t="s">
        <v>206</v>
      </c>
      <c r="D499" s="60" t="s">
        <v>226</v>
      </c>
      <c r="E499" s="60" t="s">
        <v>227</v>
      </c>
      <c r="F499" s="60" t="s">
        <v>260</v>
      </c>
      <c r="G499" s="61" t="n">
        <v>11.49</v>
      </c>
      <c r="H499" s="62" t="n">
        <f aca="false">MAX(0,IF(AND(Parameter!$B$21="Ja",ISNUMBER(Y499)),Y499,IF(Parameter!$B$20="Jahresanfang 2025 + Export",BS499+BR499,BR499)))</f>
        <v>8</v>
      </c>
      <c r="I499" s="62" t="n">
        <f aca="false">H499*G499</f>
        <v>91.92</v>
      </c>
      <c r="J499" s="62" t="n">
        <f aca="false">BU499*Parameter!$B$18</f>
        <v>5</v>
      </c>
      <c r="K499" s="63" t="n">
        <v>4</v>
      </c>
      <c r="L499" s="64" t="n">
        <v>1.25</v>
      </c>
      <c r="M499" s="62" t="n">
        <v>0</v>
      </c>
      <c r="N499" s="62" t="n">
        <v>5</v>
      </c>
      <c r="O499" s="65" t="n">
        <v>14</v>
      </c>
      <c r="P499" s="60" t="s">
        <v>463</v>
      </c>
      <c r="Q499" s="62" t="n">
        <v>10</v>
      </c>
      <c r="R499" s="65" t="n">
        <f aca="false">IF(CA499=1,0,IFERROR(VLOOKUP(BY499,'Gebinde-Kategorie'!$A$5:$N$45,13,0)+0,0))</f>
        <v>104</v>
      </c>
      <c r="S499" s="66"/>
      <c r="T499" s="67"/>
      <c r="U499" s="67"/>
      <c r="V499" s="67"/>
      <c r="W499" s="60"/>
      <c r="X499" s="62"/>
      <c r="Y499" s="62"/>
      <c r="Z499" s="60" t="n">
        <v>1</v>
      </c>
      <c r="AA499" s="60" t="n">
        <f aca="false">IF(A499="","",IF(AND(Parameter!$B$21="Ja",ISNUMBER(W499)),W499,IF(AND(Parameter!$E$27="Ja",ISNUMBER(Z499),CD499&lt;&gt;"Nein"),Z499,IF(CD499="2+3",IF(ISNUMBER(SEARCH("grosser Artikel",BV499)),2,IFERROR(VLOOKUP(BY499,Parameter!$F$35:$G$64,2,0),2)),IF(OR(CD499="Nein",CD499=""),"-",CD499)))))</f>
        <v>1</v>
      </c>
      <c r="AB499" s="67"/>
      <c r="AC499" s="68"/>
      <c r="AD499" s="62" t="n">
        <f aca="false">AW499</f>
        <v>5</v>
      </c>
      <c r="AE499" s="62" t="n">
        <f aca="false">MAX(AW499,H499)</f>
        <v>8</v>
      </c>
      <c r="AF499" s="69"/>
      <c r="AG499" s="62" t="n">
        <f aca="false">IF(LEFT(Cockpit!$C$5,1)="A",H499,IF(Parameter!$E$30="MAX-Bestand",IF(CI499=1,CJ499,IF(LEFT(Cockpit!$C$5,1)="B",AM499,MAX(AM499,H499))),ROUNDUP(AK499,0)))</f>
        <v>8</v>
      </c>
      <c r="AH499" s="62" t="n">
        <f aca="false">IF(CA499=1,0,ROUNDUP(AG499/BZ499,0))</f>
        <v>1</v>
      </c>
      <c r="AI499" s="64" t="n">
        <f aca="false">IF(CR499&gt;0,CR499*MAX(1,AG499/X499),IF(CA499=1,IF(AG499&lt;=0,0,CE499*MAX(1,IF(H499&gt;0,AG499/H499,1))),IF(R499&gt;0,AH499/R499,0))/MAX(0.1,N(Parameter!$M$21)))</f>
        <v>0.00961538461538462</v>
      </c>
      <c r="AJ499" s="62" t="n">
        <f aca="false">AI499*CC499</f>
        <v>1.49038461538462</v>
      </c>
      <c r="AK499" s="63" t="n">
        <f aca="false">IF(LEFT(Cockpit!$C$5,1)="A",H499,IF(CI499=1,(CL499+CJ499)/2,IF(LEFT(Cockpit!$C$5,1)="B",(CL499+AM499)/2,MAX((CL499+AM499)/2,H499))))</f>
        <v>8</v>
      </c>
      <c r="AL499" s="62" t="n">
        <f aca="false">AK499*G499</f>
        <v>91.92</v>
      </c>
      <c r="AM499" s="62" t="n">
        <f aca="false">ROUNDUP(CL499+MAX(CM499,2*(J499/IF(CH499&gt;0,CH499,MAX(0.1,N(Cockpit!$C$6)))-CL499)),0)</f>
        <v>5</v>
      </c>
      <c r="AN499" s="63" t="n">
        <f aca="false">IF(AJ499&gt;0,J499/AJ499,-1)</f>
        <v>3.35483870967742</v>
      </c>
      <c r="AO499" s="63" t="n">
        <f aca="false">IF(AND(OR(CG499="L1",CG499="L23",CG499="LIFT"),AJ499&gt;0),SUMIFS($AJ$7:$AJ$1843,$CG$7:$CG$1843,CG499,$AN$7:$AN$1843,"&gt;"&amp;AN499)+SUMIFS($AJ$7:$AJ$1843,$CG$7:$CG$1843,CG499,$AN$7:$AN$1843,AN499,$BX$7:$BX$1843,"&lt;="&amp;BX499),"")</f>
        <v>4942.17445054945</v>
      </c>
      <c r="AP499" s="70" t="n">
        <f aca="false">IF(AO499="",0,MAX(0,MIN(1,(IF(CG499="L1",Parameter!$H$5,IF(CG499="L23",Parameter!$H$6+Parameter!$H$7,Parameter!$H$5+Parameter!$H$6+Parameter!$H$7))-(AO499-AJ499))/AJ499)))</f>
        <v>1</v>
      </c>
      <c r="AQ499" s="62" t="n">
        <f aca="false">IF(LEFT(Cockpit!$I$5,1)="A",H499,IF(Parameter!$E$30="MAX-Bestand",IF(CI499=1,CJ499,IF(LEFT(Cockpit!$I$5,1)="B",AW499,MAX(AW499,H499))),ROUNDUP(AU499,0)))</f>
        <v>8</v>
      </c>
      <c r="AR499" s="62" t="n">
        <f aca="false">IF(CA499=1,0,ROUNDUP(AQ499/BZ499,0))</f>
        <v>1</v>
      </c>
      <c r="AS499" s="64" t="n">
        <f aca="false">IF(CR499&gt;0,CR499*MAX(1,AQ499/X499),IF(CA499=1,IF(AQ499&lt;=0,0,CE499*MAX(1,IF(H499&gt;0,AQ499/H499,1))),IF(R499&gt;0,AR499/R499,0))/MAX(0.1,N(Parameter!$M$21)))</f>
        <v>0.00961538461538462</v>
      </c>
      <c r="AT499" s="62" t="n">
        <f aca="false">AS499*CC499</f>
        <v>1.49038461538462</v>
      </c>
      <c r="AU499" s="63" t="n">
        <f aca="false">IF(LEFT(Cockpit!$I$5,1)="A",H499,IF(CI499=1,(CL499+CJ499)/2,IF(LEFT(Cockpit!$I$5,1)="B",(CL499+AW499)/2,MAX((CL499+AW499)/2,H499))))</f>
        <v>8</v>
      </c>
      <c r="AV499" s="62" t="n">
        <f aca="false">AU499*G499</f>
        <v>91.92</v>
      </c>
      <c r="AW499" s="62" t="n">
        <f aca="false">ROUNDUP(CL499+MAX(CM499,2*(J499/IF(CH499&gt;0,CH499,MAX(0.1,N(Cockpit!$I$6)))-CL499)),0)</f>
        <v>5</v>
      </c>
      <c r="AX499" s="63" t="n">
        <f aca="false">IF(AT499&gt;0,J499/AT499,-1)</f>
        <v>3.35483870967742</v>
      </c>
      <c r="AY499" s="63" t="n">
        <f aca="false">IF(AND(OR(CG499="L1",CG499="L23",CG499="LIFT"),AT499&gt;0),SUMIFS($AT$7:$AT$1843,$CG$7:$CG$1843,CG499,$AX$7:$AX$1843,"&gt;"&amp;AX499)+SUMIFS($AT$7:$AT$1843,$CG$7:$CG$1843,CG499,$AX$7:$AX$1843,AX499,$BX$7:$BX$1843,"&lt;="&amp;BX499),"")</f>
        <v>5606.01144688645</v>
      </c>
      <c r="AZ499" s="70" t="n">
        <f aca="false">IF(AY499="",0,MAX(0,MIN(1,(IF(CG499="L1",Parameter!$H$5,IF(CG499="L23",Parameter!$H$6+Parameter!$H$7,Parameter!$H$5+Parameter!$H$6+Parameter!$H$7))-(AY499-AT499))/AT499)))</f>
        <v>1</v>
      </c>
      <c r="BA499" s="62" t="n">
        <f aca="false">IF(LEFT(Cockpit!$O$5,1)="A",H499,IF(Parameter!$E$30="MAX-Bestand",IF(CI499=1,CJ499,IF(LEFT(Cockpit!$O$5,1)="B",BG499,MAX(BG499,H499))),ROUNDUP(BE499,0)))</f>
        <v>3</v>
      </c>
      <c r="BB499" s="62" t="n">
        <f aca="false">IF(CA499=1,0,ROUNDUP(BA499/BZ499,0))</f>
        <v>1</v>
      </c>
      <c r="BC499" s="64" t="n">
        <f aca="false">IF(CR499&gt;0,CR499*MAX(1,BA499/X499),IF(CA499=1,IF(BA499&lt;=0,0,CE499*MAX(1,IF(H499&gt;0,BA499/H499,1))),IF(R499&gt;0,BB499/R499,0))/MAX(0.1,N(Parameter!$M$21)))</f>
        <v>0.00961538461538462</v>
      </c>
      <c r="BD499" s="62" t="n">
        <f aca="false">BC499*CC499</f>
        <v>1.49038461538462</v>
      </c>
      <c r="BE499" s="63" t="n">
        <f aca="false">IF(LEFT(Cockpit!$O$5,1)="A",H499,IF(CI499=1,(CL499+CJ499)/2,IF(LEFT(Cockpit!$O$5,1)="B",(CL499+BG499)/2,MAX((CL499+BG499)/2,H499))))</f>
        <v>2.5</v>
      </c>
      <c r="BF499" s="62" t="n">
        <f aca="false">BE499*G499</f>
        <v>28.725</v>
      </c>
      <c r="BG499" s="62" t="n">
        <f aca="false">ROUNDUP(CL499+MAX(CM499,2*(J499/IF(CH499&gt;0,CH499,MAX(0.1,N(Cockpit!$O$6)))-CL499)),0)</f>
        <v>5</v>
      </c>
      <c r="BH499" s="63" t="n">
        <f aca="false">IF(BD499&gt;0,J499/BD499,-1)</f>
        <v>3.35483870967742</v>
      </c>
      <c r="BI499" s="63" t="n">
        <f aca="false">IF(AND(OR(CG499="L1",CG499="L23",CG499="LIFT"),BD499&gt;0),SUMIFS($BD$7:$BD$1843,$CG$7:$CG$1843,CG499,$BH$7:$BH$1843,"&gt;"&amp;BH499)+SUMIFS($BD$7:$BD$1843,$CG$7:$CG$1843,CG499,$BH$7:$BH$1843,BH499,$BX$7:$BX$1843,"&lt;="&amp;BX499),"")</f>
        <v>4586.2293956044</v>
      </c>
      <c r="BJ499" s="70" t="n">
        <f aca="false">IF(BI499="",0,MAX(0,MIN(1,(IF(CG499="L1",Parameter!$H$5,IF(CG499="L23",Parameter!$H$6+Parameter!$H$7,Parameter!$H$5+Parameter!$H$6+Parameter!$H$7))-(BI499-BD499))/BD499)))</f>
        <v>1</v>
      </c>
      <c r="BK499" s="60" t="str">
        <f aca="false">IF(AJ499&lt;=0,"",IF(CG499="Aussen","Aussenlager",IF(CG499="-","Nicht im Lift",IF(AP499&gt;=1,"Lift",IF(AP499&lt;=0,"Aussenlager","teilweise")))))</f>
        <v>Lift</v>
      </c>
      <c r="BL499" s="60" t="str">
        <f aca="false">IF(AT499&lt;=0,"",IF(CG499="Aussen","Aussenlager",IF(CG499="-","Nicht im Lift",IF(AZ499&gt;=1,"Lift",IF(AZ499&lt;=0,"Aussenlager","teilweise")))))</f>
        <v>Lift</v>
      </c>
      <c r="BM499" s="60" t="str">
        <f aca="false">IF(BD499&lt;=0,"",IF(CG499="Aussen","Aussenlager",IF(CG499="-","Nicht im Lift",IF(BJ499&gt;=1,"Lift",IF(BJ499&lt;=0,"Aussenlager","teilweise")))))</f>
        <v>Lift</v>
      </c>
      <c r="BN499" s="60" t="str">
        <f aca="false">IF(A499="","",IF(BW499=1,"Neu; ","")&amp;IF(AND(BW499=0,BR499&lt;0),"negativer Bestand (Export "&amp;BR499&amp;"); ","")&amp;IF(J499&lt;=0,"Kein Verbrauch; ","")&amp;IF(CR499&gt;0,"Lift "&amp;W499&amp;" lt. Liftbericht (Fach "&amp;X499&amp;" Stk); ",IF(CB499=1,"Gebinde geschätzt ("&amp;T499&amp;"); ",IF(CA499=1,"Lose – Tablare geschätzt; ","")))&amp;IF(H499&gt;AW499,"Überbestand "&amp;ROUND(H499-AW499,0)&amp;" Stk / CHF "&amp;ROUND((H499-AW499)*G499,0)&amp;"; ","")&amp;IF(AND(CI499=1,CJ499&lt;CK499),"MAX &lt; MB+LG; ","")&amp;IF(AND(CQ499&gt;0,CP499*10&gt;CQ499),"zu hoch für Tablar; ","")&amp;IF(AND(BW499=0,OR(CI499=1,AB499&lt;&gt;"",U499&lt;&gt;"",V499&lt;&gt;"",AC499&lt;&gt;"")),"manuell übersteuert; ","")&amp;IF(AND(CA499=0,R499=0),"Gebinde unbekannt / Stellmass fehlt; ","")&amp;IF(AND(CA499=0,N(V499)&lt;=0,N(Q499)&lt;=0),"Menge pro Gebinde fehlt (Ist = 1 Gebinde); ","")&amp;BV499)</f>
        <v>Überbestand 3 Stk / CHF 34; </v>
      </c>
      <c r="BO499" s="60"/>
      <c r="BP499" s="60"/>
      <c r="BQ499" s="67"/>
      <c r="BR499" s="62" t="n">
        <v>4</v>
      </c>
      <c r="BS499" s="62" t="n">
        <v>4</v>
      </c>
      <c r="BT499" s="61" t="n">
        <v>37.64</v>
      </c>
      <c r="BU499" s="62" t="n">
        <v>5</v>
      </c>
      <c r="BV499" s="60"/>
      <c r="BW499" s="65" t="n">
        <v>0</v>
      </c>
      <c r="BX499" s="65" t="n">
        <v>499</v>
      </c>
      <c r="BY499" s="60" t="str">
        <f aca="false">IF(U499&lt;&gt;"",UPPER(TRIM(U499)),IF(CB499=1,UPPER(VLOOKUP(T499,Parameter!$I$27:$K$29,2,0)),IF(P499="","LOSE",P499)))</f>
        <v>S32</v>
      </c>
      <c r="BZ499" s="62" t="n">
        <f aca="false">IF(BY499="LOSE",1,IF(N(V499)&gt;0,V499,IF(CB499=1,MAX(1,N(VLOOKUP(T499,Parameter!$I$27:$K$29,3,0)),H499,N(N499)),IF(N(Q499)&gt;0,Q499,MAX(1,H499)))))</f>
        <v>10</v>
      </c>
      <c r="CA499" s="65" t="n">
        <f aca="false">IF(BY499="LOSE",1,0)</f>
        <v>0</v>
      </c>
      <c r="CB499" s="65" t="n">
        <f aca="false">IF(AND(U499="",OR(P499="",P499="LOSE"),T499&lt;&gt;"",N(S499)&lt;=0,ISNUMBER(MATCH(T499,Parameter!$I$27:$I$29,0))),1,0)</f>
        <v>0</v>
      </c>
      <c r="CC499" s="65" t="n">
        <f aca="false">IF(CR499&gt;0,INDEX(Parameter!$H$5:$H$7,W499)/INDEX(Parameter!$E$5:$E$7,W499),IF(AND(CA499=0,N(IFERROR(VLOOKUP(BY499,'Gebinde-Kategorie'!$A$5:$N$45,14,0),0))&gt;0),VLOOKUP(BY499,'Gebinde-Kategorie'!$A$5:$N$45,14,0)*10+Parameter!$M$23,Parameter!$M$24))</f>
        <v>155</v>
      </c>
      <c r="CD499" s="60" t="str">
        <f aca="false">IF(AND(Parameter!$B$19="Ja",E499&lt;&gt;"",ISNUMBER(MATCH(E499,Parameter!$I$35:$I$52,0))),VLOOKUP(E499,Parameter!$I$35:$J$52,2,0),IFERROR(VLOOKUP(D499,Parameter!$A$35:$C$64,2,0),"Nein"))</f>
        <v>2+3</v>
      </c>
      <c r="CE499" s="64" t="n">
        <f aca="false">IF(CA499=0,0,IF(N(S499)&gt;0,S499,IFERROR(VLOOKUP(D499,Parameter!$A$35:$C$64,3,0)+0,0)))</f>
        <v>0</v>
      </c>
      <c r="CF499" s="60" t="n">
        <f aca="false">IF(AB499&lt;&gt;"",AB499,AA499)</f>
        <v>1</v>
      </c>
      <c r="CG499" s="60" t="str">
        <f aca="false">IF(OR(CF499=1,CF499=2,CF499=3),IF(Parameter!$E$27="Ja","LIFT",IF(CF499=1,"L1","L23")),IF(CF499="Aussen","Aussen","-"))</f>
        <v>LIFT</v>
      </c>
      <c r="CH499" s="71" t="n">
        <f aca="false">IF(N(AC499)&gt;0,AC499,0)</f>
        <v>0</v>
      </c>
      <c r="CI499" s="65" t="n">
        <f aca="false">IF(ISNUMBER(AF499),1,0)</f>
        <v>0</v>
      </c>
      <c r="CJ499" s="62" t="n">
        <f aca="false">N(AF499)</f>
        <v>0</v>
      </c>
      <c r="CK499" s="62" t="n">
        <f aca="false">N(M499)+N(N499)</f>
        <v>5</v>
      </c>
      <c r="CL499" s="62" t="n">
        <f aca="false">N(M499)</f>
        <v>0</v>
      </c>
      <c r="CM499" s="62" t="n">
        <f aca="false">N(N499)</f>
        <v>5</v>
      </c>
      <c r="CN499" s="62" t="n">
        <f aca="false">ROUNDUP(H499/BZ499,0)</f>
        <v>1</v>
      </c>
      <c r="CO499" s="62" t="n">
        <f aca="false">ROUNDUP(CJ499/BZ499,0)</f>
        <v>0</v>
      </c>
      <c r="CP499" s="65" t="n">
        <f aca="false">IF(CA499=1,0,IFERROR(VLOOKUP(BY499,'Gebinde-Kategorie'!$A$5:$N$45,5,0)+0,0))</f>
        <v>8</v>
      </c>
      <c r="CQ499" s="65" t="n">
        <f aca="false">IFERROR(IF(OR(CF499=1,CF499=2,CF499=3),N(INDEX(Parameter!$I$5:$I$7,CF499)),0),0)</f>
        <v>0</v>
      </c>
      <c r="CR499" s="64" t="n">
        <f aca="false">IF(AND(Parameter!$B$21="Ja",ISNUMBER(W499),N(X499)&gt;0),IFERROR(N(INDEX(Parameter!$L$5:$L$7,W499))*INDEX(Parameter!$E$5:$E$7,W499)*X499/SUMIFS($X$7:$X$1843,$W$7:$W$1843,W499),0),0)</f>
        <v>0</v>
      </c>
      <c r="CS499" s="62" t="n">
        <f aca="false">IF(AND(OR(CG499="L1",CG499="L23",CG499="LIFT"),H499&gt;0),CC499*IF(CR499&gt;0,CR499*MAX(1,H499/X499),IF(CA499=1,CE499,IF(R499&gt;0,CN499/R499,0))/MAX(0.1,N(Parameter!$M$21))),"")</f>
        <v>1.49038461538462</v>
      </c>
      <c r="CT499" s="64" t="n">
        <f aca="false">IF(CS499="","",J499/H499)</f>
        <v>0.625</v>
      </c>
      <c r="CU499" s="62" t="n">
        <f aca="false">IF(CS499="","",H499*G499)</f>
        <v>91.92</v>
      </c>
      <c r="CV499" s="63" t="n">
        <f aca="false">IF(CS499="","",(CL499+ROUNDUP(CL499+MAX(CM499,2*(J499/MAX(0.1,N(Einkauf!$C$6))-CL499)),0))/2)</f>
        <v>2.5</v>
      </c>
      <c r="CW499" s="62" t="n">
        <f aca="false">IF(CS499="","",MAX(0,H499-CV499)*G499)</f>
        <v>63.195</v>
      </c>
      <c r="CX499" s="62" t="n">
        <f aca="false">IF(CS499="","",CS499*MAX(0,1-CV499/H499))</f>
        <v>1.02463942307692</v>
      </c>
      <c r="CY499" s="64" t="n">
        <f aca="false">IF(CS499="","",PERCENTRANK($CS$7:$CS$1843,CS499)+PERCENTRANK($CU$7:$CU$1843,CU499)+1-PERCENTRANK($CT$7:$CT$1843,CT499))</f>
        <v>0.762</v>
      </c>
      <c r="CZ499" s="72" t="n">
        <f aca="false">IF(CS499="","",CHOOSE(MATCH(Einkauf!$C$5,Parameter!$G$23:$G$27,0),CY499,CS499,CU499,-CT499,CW499)+ROW()/1000000000)</f>
        <v>0.762000499</v>
      </c>
    </row>
    <row r="500" customFormat="false" ht="15" hidden="false" customHeight="false" outlineLevel="0" collapsed="false">
      <c r="A500" s="60" t="s">
        <v>1140</v>
      </c>
      <c r="B500" s="60" t="s">
        <v>1141</v>
      </c>
      <c r="C500" s="60" t="s">
        <v>206</v>
      </c>
      <c r="D500" s="60" t="s">
        <v>226</v>
      </c>
      <c r="E500" s="60"/>
      <c r="F500" s="60" t="s">
        <v>260</v>
      </c>
      <c r="G500" s="61" t="n">
        <v>22.94</v>
      </c>
      <c r="H500" s="62" t="n">
        <f aca="false">MAX(0,IF(AND(Parameter!$B$21="Ja",ISNUMBER(Y500)),Y500,IF(Parameter!$B$20="Jahresanfang 2025 + Export",BS500+BR500,BR500)))</f>
        <v>64</v>
      </c>
      <c r="I500" s="62" t="n">
        <f aca="false">H500*G500</f>
        <v>1468.16</v>
      </c>
      <c r="J500" s="62" t="n">
        <f aca="false">BU500*Parameter!$B$18</f>
        <v>1</v>
      </c>
      <c r="K500" s="63" t="n">
        <v>57</v>
      </c>
      <c r="L500" s="64" t="n">
        <v>0.0175438596491228</v>
      </c>
      <c r="M500" s="62" t="n">
        <v>0</v>
      </c>
      <c r="N500" s="62" t="n">
        <v>1</v>
      </c>
      <c r="O500" s="65" t="n">
        <v>63</v>
      </c>
      <c r="P500" s="60" t="s">
        <v>344</v>
      </c>
      <c r="Q500" s="62" t="n">
        <v>55</v>
      </c>
      <c r="R500" s="65" t="n">
        <f aca="false">IF(CA500=1,0,IFERROR(VLOOKUP(BY500,'Gebinde-Kategorie'!$A$5:$N$45,13,0)+0,0))</f>
        <v>26</v>
      </c>
      <c r="S500" s="66"/>
      <c r="T500" s="67"/>
      <c r="U500" s="67"/>
      <c r="V500" s="67"/>
      <c r="W500" s="60"/>
      <c r="X500" s="62"/>
      <c r="Y500" s="62"/>
      <c r="Z500" s="60" t="n">
        <v>3</v>
      </c>
      <c r="AA500" s="60" t="n">
        <f aca="false">IF(A500="","",IF(AND(Parameter!$B$21="Ja",ISNUMBER(W500)),W500,IF(AND(Parameter!$E$27="Ja",ISNUMBER(Z500),CD500&lt;&gt;"Nein"),Z500,IF(CD500="2+3",IF(ISNUMBER(SEARCH("grosser Artikel",BV500)),2,IFERROR(VLOOKUP(BY500,Parameter!$F$35:$G$64,2,0),2)),IF(OR(CD500="Nein",CD500=""),"-",CD500)))))</f>
        <v>3</v>
      </c>
      <c r="AB500" s="67"/>
      <c r="AC500" s="68"/>
      <c r="AD500" s="62" t="n">
        <f aca="false">AW500</f>
        <v>1</v>
      </c>
      <c r="AE500" s="62" t="n">
        <f aca="false">MAX(AW500,H500)</f>
        <v>64</v>
      </c>
      <c r="AF500" s="69"/>
      <c r="AG500" s="62" t="n">
        <f aca="false">IF(LEFT(Cockpit!$C$5,1)="A",H500,IF(Parameter!$E$30="MAX-Bestand",IF(CI500=1,CJ500,IF(LEFT(Cockpit!$C$5,1)="B",AM500,MAX(AM500,H500))),ROUNDUP(AK500,0)))</f>
        <v>64</v>
      </c>
      <c r="AH500" s="62" t="n">
        <f aca="false">IF(CA500=1,0,ROUNDUP(AG500/BZ500,0))</f>
        <v>2</v>
      </c>
      <c r="AI500" s="64" t="n">
        <f aca="false">IF(CR500&gt;0,CR500*MAX(1,AG500/X500),IF(CA500=1,IF(AG500&lt;=0,0,CE500*MAX(1,IF(H500&gt;0,AG500/H500,1))),IF(R500&gt;0,AH500/R500,0))/MAX(0.1,N(Parameter!$M$21)))</f>
        <v>0.0769230769230769</v>
      </c>
      <c r="AJ500" s="62" t="n">
        <f aca="false">AI500*CC500</f>
        <v>11.9230769230769</v>
      </c>
      <c r="AK500" s="63" t="n">
        <f aca="false">IF(LEFT(Cockpit!$C$5,1)="A",H500,IF(CI500=1,(CL500+CJ500)/2,IF(LEFT(Cockpit!$C$5,1)="B",(CL500+AM500)/2,MAX((CL500+AM500)/2,H500))))</f>
        <v>64</v>
      </c>
      <c r="AL500" s="62" t="n">
        <f aca="false">AK500*G500</f>
        <v>1468.16</v>
      </c>
      <c r="AM500" s="62" t="n">
        <f aca="false">ROUNDUP(CL500+MAX(CM500,2*(J500/IF(CH500&gt;0,CH500,MAX(0.1,N(Cockpit!$C$6)))-CL500)),0)</f>
        <v>1</v>
      </c>
      <c r="AN500" s="63" t="n">
        <f aca="false">IF(AJ500&gt;0,J500/AJ500,-1)</f>
        <v>0.0838709677419355</v>
      </c>
      <c r="AO500" s="63" t="n">
        <f aca="false">IF(AND(OR(CG500="L1",CG500="L23",CG500="LIFT"),AJ500&gt;0),SUMIFS($AJ$7:$AJ$1843,$CG$7:$CG$1843,CG500,$AN$7:$AN$1843,"&gt;"&amp;AN500)+SUMIFS($AJ$7:$AJ$1843,$CG$7:$CG$1843,CG500,$AN$7:$AN$1843,AN500,$BX$7:$BX$1843,"&lt;="&amp;BX500),"")</f>
        <v>16662.2932963929</v>
      </c>
      <c r="AP500" s="70" t="n">
        <f aca="false">IF(AO500="",0,MAX(0,MIN(1,(IF(CG500="L1",Parameter!$H$5,IF(CG500="L23",Parameter!$H$6+Parameter!$H$7,Parameter!$H$5+Parameter!$H$6+Parameter!$H$7))-(AO500-AJ500))/AJ500)))</f>
        <v>1</v>
      </c>
      <c r="AQ500" s="62" t="n">
        <f aca="false">IF(LEFT(Cockpit!$I$5,1)="A",H500,IF(Parameter!$E$30="MAX-Bestand",IF(CI500=1,CJ500,IF(LEFT(Cockpit!$I$5,1)="B",AW500,MAX(AW500,H500))),ROUNDUP(AU500,0)))</f>
        <v>64</v>
      </c>
      <c r="AR500" s="62" t="n">
        <f aca="false">IF(CA500=1,0,ROUNDUP(AQ500/BZ500,0))</f>
        <v>2</v>
      </c>
      <c r="AS500" s="64" t="n">
        <f aca="false">IF(CR500&gt;0,CR500*MAX(1,AQ500/X500),IF(CA500=1,IF(AQ500&lt;=0,0,CE500*MAX(1,IF(H500&gt;0,AQ500/H500,1))),IF(R500&gt;0,AR500/R500,0))/MAX(0.1,N(Parameter!$M$21)))</f>
        <v>0.0769230769230769</v>
      </c>
      <c r="AT500" s="62" t="n">
        <f aca="false">AS500*CC500</f>
        <v>11.9230769230769</v>
      </c>
      <c r="AU500" s="63" t="n">
        <f aca="false">IF(LEFT(Cockpit!$I$5,1)="A",H500,IF(CI500=1,(CL500+CJ500)/2,IF(LEFT(Cockpit!$I$5,1)="B",(CL500+AW500)/2,MAX((CL500+AW500)/2,H500))))</f>
        <v>64</v>
      </c>
      <c r="AV500" s="62" t="n">
        <f aca="false">AU500*G500</f>
        <v>1468.16</v>
      </c>
      <c r="AW500" s="62" t="n">
        <f aca="false">ROUNDUP(CL500+MAX(CM500,2*(J500/IF(CH500&gt;0,CH500,MAX(0.1,N(Cockpit!$I$6)))-CL500)),0)</f>
        <v>1</v>
      </c>
      <c r="AX500" s="63" t="n">
        <f aca="false">IF(AT500&gt;0,J500/AT500,-1)</f>
        <v>0.0838709677419355</v>
      </c>
      <c r="AY500" s="63" t="n">
        <f aca="false">IF(AND(OR(CG500="L1",CG500="L23",CG500="LIFT"),AT500&gt;0),SUMIFS($AT$7:$AT$1843,$CG$7:$CG$1843,CG500,$AX$7:$AX$1843,"&gt;"&amp;AX500)+SUMIFS($AT$7:$AT$1843,$CG$7:$CG$1843,CG500,$AX$7:$AX$1843,AX500,$BX$7:$BX$1843,"&lt;="&amp;BX500),"")</f>
        <v>21685.4419377703</v>
      </c>
      <c r="AZ500" s="70" t="n">
        <f aca="false">IF(AY500="",0,MAX(0,MIN(1,(IF(CG500="L1",Parameter!$H$5,IF(CG500="L23",Parameter!$H$6+Parameter!$H$7,Parameter!$H$5+Parameter!$H$6+Parameter!$H$7))-(AY500-AT500))/AT500)))</f>
        <v>1</v>
      </c>
      <c r="BA500" s="62" t="n">
        <f aca="false">IF(LEFT(Cockpit!$O$5,1)="A",H500,IF(Parameter!$E$30="MAX-Bestand",IF(CI500=1,CJ500,IF(LEFT(Cockpit!$O$5,1)="B",BG500,MAX(BG500,H500))),ROUNDUP(BE500,0)))</f>
        <v>1</v>
      </c>
      <c r="BB500" s="62" t="n">
        <f aca="false">IF(CA500=1,0,ROUNDUP(BA500/BZ500,0))</f>
        <v>1</v>
      </c>
      <c r="BC500" s="64" t="n">
        <f aca="false">IF(CR500&gt;0,CR500*MAX(1,BA500/X500),IF(CA500=1,IF(BA500&lt;=0,0,CE500*MAX(1,IF(H500&gt;0,BA500/H500,1))),IF(R500&gt;0,BB500/R500,0))/MAX(0.1,N(Parameter!$M$21)))</f>
        <v>0.0384615384615385</v>
      </c>
      <c r="BD500" s="62" t="n">
        <f aca="false">BC500*CC500</f>
        <v>5.96153846153846</v>
      </c>
      <c r="BE500" s="63" t="n">
        <f aca="false">IF(LEFT(Cockpit!$O$5,1)="A",H500,IF(CI500=1,(CL500+CJ500)/2,IF(LEFT(Cockpit!$O$5,1)="B",(CL500+BG500)/2,MAX((CL500+BG500)/2,H500))))</f>
        <v>0.5</v>
      </c>
      <c r="BF500" s="62" t="n">
        <f aca="false">BE500*G500</f>
        <v>11.47</v>
      </c>
      <c r="BG500" s="62" t="n">
        <f aca="false">ROUNDUP(CL500+MAX(CM500,2*(J500/IF(CH500&gt;0,CH500,MAX(0.1,N(Cockpit!$O$6)))-CL500)),0)</f>
        <v>1</v>
      </c>
      <c r="BH500" s="63" t="n">
        <f aca="false">IF(BD500&gt;0,J500/BD500,-1)</f>
        <v>0.167741935483871</v>
      </c>
      <c r="BI500" s="63" t="n">
        <f aca="false">IF(AND(OR(CG500="L1",CG500="L23",CG500="LIFT"),BD500&gt;0),SUMIFS($BD$7:$BD$1843,$CG$7:$CG$1843,CG500,$BH$7:$BH$1843,"&gt;"&amp;BH500)+SUMIFS($BD$7:$BD$1843,$CG$7:$CG$1843,CG500,$BH$7:$BH$1843,BH500,$BX$7:$BX$1843,"&lt;="&amp;BX500),"")</f>
        <v>13416.6757439829</v>
      </c>
      <c r="BJ500" s="70" t="n">
        <f aca="false">IF(BI500="",0,MAX(0,MIN(1,(IF(CG500="L1",Parameter!$H$5,IF(CG500="L23",Parameter!$H$6+Parameter!$H$7,Parameter!$H$5+Parameter!$H$6+Parameter!$H$7))-(BI500-BD500))/BD500)))</f>
        <v>1</v>
      </c>
      <c r="BK500" s="60" t="str">
        <f aca="false">IF(AJ500&lt;=0,"",IF(CG500="Aussen","Aussenlager",IF(CG500="-","Nicht im Lift",IF(AP500&gt;=1,"Lift",IF(AP500&lt;=0,"Aussenlager","teilweise")))))</f>
        <v>Lift</v>
      </c>
      <c r="BL500" s="60" t="str">
        <f aca="false">IF(AT500&lt;=0,"",IF(CG500="Aussen","Aussenlager",IF(CG500="-","Nicht im Lift",IF(AZ500&gt;=1,"Lift",IF(AZ500&lt;=0,"Aussenlager","teilweise")))))</f>
        <v>Lift</v>
      </c>
      <c r="BM500" s="60" t="str">
        <f aca="false">IF(BD500&lt;=0,"",IF(CG500="Aussen","Aussenlager",IF(CG500="-","Nicht im Lift",IF(BJ500&gt;=1,"Lift",IF(BJ500&lt;=0,"Aussenlager","teilweise")))))</f>
        <v>Lift</v>
      </c>
      <c r="BN500" s="60" t="str">
        <f aca="false">IF(A500="","",IF(BW500=1,"Neu; ","")&amp;IF(AND(BW500=0,BR500&lt;0),"negativer Bestand (Export "&amp;BR500&amp;"); ","")&amp;IF(J500&lt;=0,"Kein Verbrauch; ","")&amp;IF(CR500&gt;0,"Lift "&amp;W500&amp;" lt. Liftbericht (Fach "&amp;X500&amp;" Stk); ",IF(CB500=1,"Gebinde geschätzt ("&amp;T500&amp;"); ",IF(CA500=1,"Lose – Tablare geschätzt; ","")))&amp;IF(H500&gt;AW500,"Überbestand "&amp;ROUND(H500-AW500,0)&amp;" Stk / CHF "&amp;ROUND((H500-AW500)*G500,0)&amp;"; ","")&amp;IF(AND(CI500=1,CJ500&lt;CK500),"MAX &lt; MB+LG; ","")&amp;IF(AND(CQ500&gt;0,CP500*10&gt;CQ500),"zu hoch für Tablar; ","")&amp;IF(AND(BW500=0,OR(CI500=1,AB500&lt;&gt;"",U500&lt;&gt;"",V500&lt;&gt;"",AC500&lt;&gt;"")),"manuell übersteuert; ","")&amp;IF(AND(CA500=0,R500=0),"Gebinde unbekannt / Stellmass fehlt; ","")&amp;IF(AND(CA500=0,N(V500)&lt;=0,N(Q500)&lt;=0),"Menge pro Gebinde fehlt (Ist = 1 Gebinde); ","")&amp;BV500)</f>
        <v>Überbestand 63 Stk / CHF 1445; </v>
      </c>
      <c r="BO500" s="60"/>
      <c r="BP500" s="60"/>
      <c r="BQ500" s="67"/>
      <c r="BR500" s="62" t="n">
        <v>4</v>
      </c>
      <c r="BS500" s="62" t="n">
        <v>60</v>
      </c>
      <c r="BT500" s="61" t="n">
        <v>37.4</v>
      </c>
      <c r="BU500" s="62" t="n">
        <v>1</v>
      </c>
      <c r="BV500" s="60"/>
      <c r="BW500" s="65" t="n">
        <v>0</v>
      </c>
      <c r="BX500" s="65" t="n">
        <v>500</v>
      </c>
      <c r="BY500" s="60" t="str">
        <f aca="false">IF(U500&lt;&gt;"",UPPER(TRIM(U500)),IF(CB500=1,UPPER(VLOOKUP(T500,Parameter!$I$27:$K$29,2,0)),IF(P500="","LOSE",P500)))</f>
        <v>S51</v>
      </c>
      <c r="BZ500" s="62" t="n">
        <f aca="false">IF(BY500="LOSE",1,IF(N(V500)&gt;0,V500,IF(CB500=1,MAX(1,N(VLOOKUP(T500,Parameter!$I$27:$K$29,3,0)),H500,N(N500)),IF(N(Q500)&gt;0,Q500,MAX(1,H500)))))</f>
        <v>55</v>
      </c>
      <c r="CA500" s="65" t="n">
        <f aca="false">IF(BY500="LOSE",1,0)</f>
        <v>0</v>
      </c>
      <c r="CB500" s="65" t="n">
        <f aca="false">IF(AND(U500="",OR(P500="",P500="LOSE"),T500&lt;&gt;"",N(S500)&lt;=0,ISNUMBER(MATCH(T500,Parameter!$I$27:$I$29,0))),1,0)</f>
        <v>0</v>
      </c>
      <c r="CC500" s="65" t="n">
        <f aca="false">IF(CR500&gt;0,INDEX(Parameter!$H$5:$H$7,W500)/INDEX(Parameter!$E$5:$E$7,W500),IF(AND(CA500=0,N(IFERROR(VLOOKUP(BY500,'Gebinde-Kategorie'!$A$5:$N$45,14,0),0))&gt;0),VLOOKUP(BY500,'Gebinde-Kategorie'!$A$5:$N$45,14,0)*10+Parameter!$M$23,Parameter!$M$24))</f>
        <v>155</v>
      </c>
      <c r="CD500" s="60" t="str">
        <f aca="false">IF(AND(Parameter!$B$19="Ja",E500&lt;&gt;"",ISNUMBER(MATCH(E500,Parameter!$I$35:$I$52,0))),VLOOKUP(E500,Parameter!$I$35:$J$52,2,0),IFERROR(VLOOKUP(D500,Parameter!$A$35:$C$64,2,0),"Nein"))</f>
        <v>2+3</v>
      </c>
      <c r="CE500" s="64" t="n">
        <f aca="false">IF(CA500=0,0,IF(N(S500)&gt;0,S500,IFERROR(VLOOKUP(D500,Parameter!$A$35:$C$64,3,0)+0,0)))</f>
        <v>0</v>
      </c>
      <c r="CF500" s="60" t="n">
        <f aca="false">IF(AB500&lt;&gt;"",AB500,AA500)</f>
        <v>3</v>
      </c>
      <c r="CG500" s="60" t="str">
        <f aca="false">IF(OR(CF500=1,CF500=2,CF500=3),IF(Parameter!$E$27="Ja","LIFT",IF(CF500=1,"L1","L23")),IF(CF500="Aussen","Aussen","-"))</f>
        <v>LIFT</v>
      </c>
      <c r="CH500" s="71" t="n">
        <f aca="false">IF(N(AC500)&gt;0,AC500,0)</f>
        <v>0</v>
      </c>
      <c r="CI500" s="65" t="n">
        <f aca="false">IF(ISNUMBER(AF500),1,0)</f>
        <v>0</v>
      </c>
      <c r="CJ500" s="62" t="n">
        <f aca="false">N(AF500)</f>
        <v>0</v>
      </c>
      <c r="CK500" s="62" t="n">
        <f aca="false">N(M500)+N(N500)</f>
        <v>1</v>
      </c>
      <c r="CL500" s="62" t="n">
        <f aca="false">N(M500)</f>
        <v>0</v>
      </c>
      <c r="CM500" s="62" t="n">
        <f aca="false">N(N500)</f>
        <v>1</v>
      </c>
      <c r="CN500" s="62" t="n">
        <f aca="false">ROUNDUP(H500/BZ500,0)</f>
        <v>2</v>
      </c>
      <c r="CO500" s="62" t="n">
        <f aca="false">ROUNDUP(CJ500/BZ500,0)</f>
        <v>0</v>
      </c>
      <c r="CP500" s="65" t="n">
        <f aca="false">IF(CA500=1,0,IFERROR(VLOOKUP(BY500,'Gebinde-Kategorie'!$A$5:$N$45,5,0)+0,0))</f>
        <v>11</v>
      </c>
      <c r="CQ500" s="65" t="n">
        <f aca="false">IFERROR(IF(OR(CF500=1,CF500=2,CF500=3),N(INDEX(Parameter!$I$5:$I$7,CF500)),0),0)</f>
        <v>0</v>
      </c>
      <c r="CR500" s="64" t="n">
        <f aca="false">IF(AND(Parameter!$B$21="Ja",ISNUMBER(W500),N(X500)&gt;0),IFERROR(N(INDEX(Parameter!$L$5:$L$7,W500))*INDEX(Parameter!$E$5:$E$7,W500)*X500/SUMIFS($X$7:$X$1843,$W$7:$W$1843,W500),0),0)</f>
        <v>0</v>
      </c>
      <c r="CS500" s="62" t="n">
        <f aca="false">IF(AND(OR(CG500="L1",CG500="L23",CG500="LIFT"),H500&gt;0),CC500*IF(CR500&gt;0,CR500*MAX(1,H500/X500),IF(CA500=1,CE500,IF(R500&gt;0,CN500/R500,0))/MAX(0.1,N(Parameter!$M$21))),"")</f>
        <v>11.9230769230769</v>
      </c>
      <c r="CT500" s="64" t="n">
        <f aca="false">IF(CS500="","",J500/H500)</f>
        <v>0.015625</v>
      </c>
      <c r="CU500" s="62" t="n">
        <f aca="false">IF(CS500="","",H500*G500)</f>
        <v>1468.16</v>
      </c>
      <c r="CV500" s="63" t="n">
        <f aca="false">IF(CS500="","",(CL500+ROUNDUP(CL500+MAX(CM500,2*(J500/MAX(0.1,N(Einkauf!$C$6))-CL500)),0))/2)</f>
        <v>0.5</v>
      </c>
      <c r="CW500" s="62" t="n">
        <f aca="false">IF(CS500="","",MAX(0,H500-CV500)*G500)</f>
        <v>1456.69</v>
      </c>
      <c r="CX500" s="62" t="n">
        <f aca="false">IF(CS500="","",CS500*MAX(0,1-CV500/H500))</f>
        <v>11.8299278846154</v>
      </c>
      <c r="CY500" s="64" t="n">
        <f aca="false">IF(CS500="","",PERCENTRANK($CS$7:$CS$1843,CS500)+PERCENTRANK($CU$7:$CU$1843,CU500)+1-PERCENTRANK($CT$7:$CT$1843,CT500))</f>
        <v>1.97</v>
      </c>
      <c r="CZ500" s="72" t="n">
        <f aca="false">IF(CS500="","",CHOOSE(MATCH(Einkauf!$C$5,Parameter!$G$23:$G$27,0),CY500,CS500,CU500,-CT500,CW500)+ROW()/1000000000)</f>
        <v>1.9700005</v>
      </c>
    </row>
    <row r="501" customFormat="false" ht="15" hidden="false" customHeight="false" outlineLevel="0" collapsed="false">
      <c r="A501" s="60" t="s">
        <v>1142</v>
      </c>
      <c r="B501" s="60" t="s">
        <v>703</v>
      </c>
      <c r="C501" s="60" t="s">
        <v>206</v>
      </c>
      <c r="D501" s="60" t="s">
        <v>226</v>
      </c>
      <c r="E501" s="60" t="s">
        <v>227</v>
      </c>
      <c r="F501" s="60" t="s">
        <v>260</v>
      </c>
      <c r="G501" s="61" t="n">
        <v>9.38</v>
      </c>
      <c r="H501" s="62" t="n">
        <f aca="false">MAX(0,IF(AND(Parameter!$B$21="Ja",ISNUMBER(Y501)),Y501,IF(Parameter!$B$20="Jahresanfang 2025 + Export",BS501+BR501,BR501)))</f>
        <v>92</v>
      </c>
      <c r="I501" s="62" t="n">
        <f aca="false">H501*G501</f>
        <v>862.96</v>
      </c>
      <c r="J501" s="62" t="n">
        <f aca="false">BU501*Parameter!$B$18</f>
        <v>262</v>
      </c>
      <c r="K501" s="63" t="n">
        <v>95</v>
      </c>
      <c r="L501" s="64" t="n">
        <v>2.75789473684211</v>
      </c>
      <c r="M501" s="62" t="n">
        <v>15</v>
      </c>
      <c r="N501" s="62" t="n">
        <v>100</v>
      </c>
      <c r="O501" s="65" t="n">
        <v>21</v>
      </c>
      <c r="P501" s="60" t="s">
        <v>344</v>
      </c>
      <c r="Q501" s="62" t="n">
        <v>454</v>
      </c>
      <c r="R501" s="65" t="n">
        <f aca="false">IF(CA501=1,0,IFERROR(VLOOKUP(BY501,'Gebinde-Kategorie'!$A$5:$N$45,13,0)+0,0))</f>
        <v>26</v>
      </c>
      <c r="S501" s="66"/>
      <c r="T501" s="67"/>
      <c r="U501" s="67"/>
      <c r="V501" s="67"/>
      <c r="W501" s="60"/>
      <c r="X501" s="62"/>
      <c r="Y501" s="62"/>
      <c r="Z501" s="60" t="n">
        <v>3</v>
      </c>
      <c r="AA501" s="60" t="n">
        <f aca="false">IF(A501="","",IF(AND(Parameter!$B$21="Ja",ISNUMBER(W501)),W501,IF(AND(Parameter!$E$27="Ja",ISNUMBER(Z501),CD501&lt;&gt;"Nein"),Z501,IF(CD501="2+3",IF(ISNUMBER(SEARCH("grosser Artikel",BV501)),2,IFERROR(VLOOKUP(BY501,Parameter!$F$35:$G$64,2,0),2)),IF(OR(CD501="Nein",CD501=""),"-",CD501)))))</f>
        <v>3</v>
      </c>
      <c r="AB501" s="67"/>
      <c r="AC501" s="68"/>
      <c r="AD501" s="62" t="n">
        <f aca="false">AW501</f>
        <v>160</v>
      </c>
      <c r="AE501" s="62" t="n">
        <f aca="false">MAX(AW501,H501)</f>
        <v>160</v>
      </c>
      <c r="AF501" s="69"/>
      <c r="AG501" s="62" t="n">
        <f aca="false">IF(LEFT(Cockpit!$C$5,1)="A",H501,IF(Parameter!$E$30="MAX-Bestand",IF(CI501=1,CJ501,IF(LEFT(Cockpit!$C$5,1)="B",AM501,MAX(AM501,H501))),ROUNDUP(AK501,0)))</f>
        <v>92</v>
      </c>
      <c r="AH501" s="62" t="n">
        <f aca="false">IF(CA501=1,0,ROUNDUP(AG501/BZ501,0))</f>
        <v>1</v>
      </c>
      <c r="AI501" s="64" t="n">
        <f aca="false">IF(CR501&gt;0,CR501*MAX(1,AG501/X501),IF(CA501=1,IF(AG501&lt;=0,0,CE501*MAX(1,IF(H501&gt;0,AG501/H501,1))),IF(R501&gt;0,AH501/R501,0))/MAX(0.1,N(Parameter!$M$21)))</f>
        <v>0.0384615384615385</v>
      </c>
      <c r="AJ501" s="62" t="n">
        <f aca="false">AI501*CC501</f>
        <v>5.96153846153846</v>
      </c>
      <c r="AK501" s="63" t="n">
        <f aca="false">IF(LEFT(Cockpit!$C$5,1)="A",H501,IF(CI501=1,(CL501+CJ501)/2,IF(LEFT(Cockpit!$C$5,1)="B",(CL501+AM501)/2,MAX((CL501+AM501)/2,H501))))</f>
        <v>92</v>
      </c>
      <c r="AL501" s="62" t="n">
        <f aca="false">AK501*G501</f>
        <v>862.96</v>
      </c>
      <c r="AM501" s="62" t="n">
        <f aca="false">ROUNDUP(CL501+MAX(CM501,2*(J501/IF(CH501&gt;0,CH501,MAX(0.1,N(Cockpit!$C$6)))-CL501)),0)</f>
        <v>160</v>
      </c>
      <c r="AN501" s="63" t="n">
        <f aca="false">IF(AJ501&gt;0,J501/AJ501,-1)</f>
        <v>43.9483870967742</v>
      </c>
      <c r="AO501" s="63" t="n">
        <f aca="false">IF(AND(OR(CG501="L1",CG501="L23",CG501="LIFT"),AJ501&gt;0),SUMIFS($AJ$7:$AJ$1843,$CG$7:$CG$1843,CG501,$AN$7:$AN$1843,"&gt;"&amp;AN501)+SUMIFS($AJ$7:$AJ$1843,$CG$7:$CG$1843,CG501,$AN$7:$AN$1843,AN501,$BX$7:$BX$1843,"&lt;="&amp;BX501),"")</f>
        <v>1172.57692307692</v>
      </c>
      <c r="AP501" s="70" t="n">
        <f aca="false">IF(AO501="",0,MAX(0,MIN(1,(IF(CG501="L1",Parameter!$H$5,IF(CG501="L23",Parameter!$H$6+Parameter!$H$7,Parameter!$H$5+Parameter!$H$6+Parameter!$H$7))-(AO501-AJ501))/AJ501)))</f>
        <v>1</v>
      </c>
      <c r="AQ501" s="62" t="n">
        <f aca="false">IF(LEFT(Cockpit!$I$5,1)="A",H501,IF(Parameter!$E$30="MAX-Bestand",IF(CI501=1,CJ501,IF(LEFT(Cockpit!$I$5,1)="B",AW501,MAX(AW501,H501))),ROUNDUP(AU501,0)))</f>
        <v>92</v>
      </c>
      <c r="AR501" s="62" t="n">
        <f aca="false">IF(CA501=1,0,ROUNDUP(AQ501/BZ501,0))</f>
        <v>1</v>
      </c>
      <c r="AS501" s="64" t="n">
        <f aca="false">IF(CR501&gt;0,CR501*MAX(1,AQ501/X501),IF(CA501=1,IF(AQ501&lt;=0,0,CE501*MAX(1,IF(H501&gt;0,AQ501/H501,1))),IF(R501&gt;0,AR501/R501,0))/MAX(0.1,N(Parameter!$M$21)))</f>
        <v>0.0384615384615385</v>
      </c>
      <c r="AT501" s="62" t="n">
        <f aca="false">AS501*CC501</f>
        <v>5.96153846153846</v>
      </c>
      <c r="AU501" s="63" t="n">
        <f aca="false">IF(LEFT(Cockpit!$I$5,1)="A",H501,IF(CI501=1,(CL501+CJ501)/2,IF(LEFT(Cockpit!$I$5,1)="B",(CL501+AW501)/2,MAX((CL501+AW501)/2,H501))))</f>
        <v>92</v>
      </c>
      <c r="AV501" s="62" t="n">
        <f aca="false">AU501*G501</f>
        <v>862.96</v>
      </c>
      <c r="AW501" s="62" t="n">
        <f aca="false">ROUNDUP(CL501+MAX(CM501,2*(J501/IF(CH501&gt;0,CH501,MAX(0.1,N(Cockpit!$I$6)))-CL501)),0)</f>
        <v>160</v>
      </c>
      <c r="AX501" s="63" t="n">
        <f aca="false">IF(AT501&gt;0,J501/AT501,-1)</f>
        <v>43.9483870967742</v>
      </c>
      <c r="AY501" s="63" t="n">
        <f aca="false">IF(AND(OR(CG501="L1",CG501="L23",CG501="LIFT"),AT501&gt;0),SUMIFS($AT$7:$AT$1843,$CG$7:$CG$1843,CG501,$AX$7:$AX$1843,"&gt;"&amp;AX501)+SUMIFS($AT$7:$AT$1843,$CG$7:$CG$1843,CG501,$AX$7:$AX$1843,AX501,$BX$7:$BX$1843,"&lt;="&amp;BX501),"")</f>
        <v>1458.78891941392</v>
      </c>
      <c r="AZ501" s="70" t="n">
        <f aca="false">IF(AY501="",0,MAX(0,MIN(1,(IF(CG501="L1",Parameter!$H$5,IF(CG501="L23",Parameter!$H$6+Parameter!$H$7,Parameter!$H$5+Parameter!$H$6+Parameter!$H$7))-(AY501-AT501))/AT501)))</f>
        <v>1</v>
      </c>
      <c r="BA501" s="62" t="n">
        <f aca="false">IF(LEFT(Cockpit!$O$5,1)="A",H501,IF(Parameter!$E$30="MAX-Bestand",IF(CI501=1,CJ501,IF(LEFT(Cockpit!$O$5,1)="B",BG501,MAX(BG501,H501))),ROUNDUP(BE501,0)))</f>
        <v>66</v>
      </c>
      <c r="BB501" s="62" t="n">
        <f aca="false">IF(CA501=1,0,ROUNDUP(BA501/BZ501,0))</f>
        <v>1</v>
      </c>
      <c r="BC501" s="64" t="n">
        <f aca="false">IF(CR501&gt;0,CR501*MAX(1,BA501/X501),IF(CA501=1,IF(BA501&lt;=0,0,CE501*MAX(1,IF(H501&gt;0,BA501/H501,1))),IF(R501&gt;0,BB501/R501,0))/MAX(0.1,N(Parameter!$M$21)))</f>
        <v>0.0384615384615385</v>
      </c>
      <c r="BD501" s="62" t="n">
        <f aca="false">BC501*CC501</f>
        <v>5.96153846153846</v>
      </c>
      <c r="BE501" s="63" t="n">
        <f aca="false">IF(LEFT(Cockpit!$O$5,1)="A",H501,IF(CI501=1,(CL501+CJ501)/2,IF(LEFT(Cockpit!$O$5,1)="B",(CL501+BG501)/2,MAX((CL501+BG501)/2,H501))))</f>
        <v>65.5</v>
      </c>
      <c r="BF501" s="62" t="n">
        <f aca="false">BE501*G501</f>
        <v>614.39</v>
      </c>
      <c r="BG501" s="62" t="n">
        <f aca="false">ROUNDUP(CL501+MAX(CM501,2*(J501/IF(CH501&gt;0,CH501,MAX(0.1,N(Cockpit!$O$6)))-CL501)),0)</f>
        <v>116</v>
      </c>
      <c r="BH501" s="63" t="n">
        <f aca="false">IF(BD501&gt;0,J501/BD501,-1)</f>
        <v>43.9483870967742</v>
      </c>
      <c r="BI501" s="63" t="n">
        <f aca="false">IF(AND(OR(CG501="L1",CG501="L23",CG501="LIFT"),BD501&gt;0),SUMIFS($BD$7:$BD$1843,$CG$7:$CG$1843,CG501,$BH$7:$BH$1843,"&gt;"&amp;BH501)+SUMIFS($BD$7:$BD$1843,$CG$7:$CG$1843,CG501,$BH$7:$BH$1843,BH501,$BX$7:$BX$1843,"&lt;="&amp;BX501),"")</f>
        <v>1234.55906593407</v>
      </c>
      <c r="BJ501" s="70" t="n">
        <f aca="false">IF(BI501="",0,MAX(0,MIN(1,(IF(CG501="L1",Parameter!$H$5,IF(CG501="L23",Parameter!$H$6+Parameter!$H$7,Parameter!$H$5+Parameter!$H$6+Parameter!$H$7))-(BI501-BD501))/BD501)))</f>
        <v>1</v>
      </c>
      <c r="BK501" s="60" t="str">
        <f aca="false">IF(AJ501&lt;=0,"",IF(CG501="Aussen","Aussenlager",IF(CG501="-","Nicht im Lift",IF(AP501&gt;=1,"Lift",IF(AP501&lt;=0,"Aussenlager","teilweise")))))</f>
        <v>Lift</v>
      </c>
      <c r="BL501" s="60" t="str">
        <f aca="false">IF(AT501&lt;=0,"",IF(CG501="Aussen","Aussenlager",IF(CG501="-","Nicht im Lift",IF(AZ501&gt;=1,"Lift",IF(AZ501&lt;=0,"Aussenlager","teilweise")))))</f>
        <v>Lift</v>
      </c>
      <c r="BM501" s="60" t="str">
        <f aca="false">IF(BD501&lt;=0,"",IF(CG501="Aussen","Aussenlager",IF(CG501="-","Nicht im Lift",IF(BJ501&gt;=1,"Lift",IF(BJ501&lt;=0,"Aussenlager","teilweise")))))</f>
        <v>Lift</v>
      </c>
      <c r="BN501" s="60" t="str">
        <f aca="false">IF(A501="","",IF(BW501=1,"Neu; ","")&amp;IF(AND(BW501=0,BR501&lt;0),"negativer Bestand (Export "&amp;BR501&amp;"); ","")&amp;IF(J501&lt;=0,"Kein Verbrauch; ","")&amp;IF(CR501&gt;0,"Lift "&amp;W501&amp;" lt. Liftbericht (Fach "&amp;X501&amp;" Stk); ",IF(CB501=1,"Gebinde geschätzt ("&amp;T501&amp;"); ",IF(CA501=1,"Lose – Tablare geschätzt; ","")))&amp;IF(H501&gt;AW501,"Überbestand "&amp;ROUND(H501-AW501,0)&amp;" Stk / CHF "&amp;ROUND((H501-AW501)*G501,0)&amp;"; ","")&amp;IF(AND(CI501=1,CJ501&lt;CK501),"MAX &lt; MB+LG; ","")&amp;IF(AND(CQ501&gt;0,CP501*10&gt;CQ501),"zu hoch für Tablar; ","")&amp;IF(AND(BW501=0,OR(CI501=1,AB501&lt;&gt;"",U501&lt;&gt;"",V501&lt;&gt;"",AC501&lt;&gt;"")),"manuell übersteuert; ","")&amp;IF(AND(CA501=0,R501=0),"Gebinde unbekannt / Stellmass fehlt; ","")&amp;IF(AND(CA501=0,N(V501)&lt;=0,N(Q501)&lt;=0),"Menge pro Gebinde fehlt (Ist = 1 Gebinde); ","")&amp;BV501)</f>
        <v/>
      </c>
      <c r="BO501" s="60"/>
      <c r="BP501" s="60"/>
      <c r="BQ501" s="67"/>
      <c r="BR501" s="62" t="n">
        <v>28</v>
      </c>
      <c r="BS501" s="62" t="n">
        <v>64</v>
      </c>
      <c r="BT501" s="61" t="n">
        <v>37.3599999999999</v>
      </c>
      <c r="BU501" s="62" t="n">
        <v>262</v>
      </c>
      <c r="BV501" s="60"/>
      <c r="BW501" s="65" t="n">
        <v>0</v>
      </c>
      <c r="BX501" s="65" t="n">
        <v>501</v>
      </c>
      <c r="BY501" s="60" t="str">
        <f aca="false">IF(U501&lt;&gt;"",UPPER(TRIM(U501)),IF(CB501=1,UPPER(VLOOKUP(T501,Parameter!$I$27:$K$29,2,0)),IF(P501="","LOSE",P501)))</f>
        <v>S51</v>
      </c>
      <c r="BZ501" s="62" t="n">
        <f aca="false">IF(BY501="LOSE",1,IF(N(V501)&gt;0,V501,IF(CB501=1,MAX(1,N(VLOOKUP(T501,Parameter!$I$27:$K$29,3,0)),H501,N(N501)),IF(N(Q501)&gt;0,Q501,MAX(1,H501)))))</f>
        <v>454</v>
      </c>
      <c r="CA501" s="65" t="n">
        <f aca="false">IF(BY501="LOSE",1,0)</f>
        <v>0</v>
      </c>
      <c r="CB501" s="65" t="n">
        <f aca="false">IF(AND(U501="",OR(P501="",P501="LOSE"),T501&lt;&gt;"",N(S501)&lt;=0,ISNUMBER(MATCH(T501,Parameter!$I$27:$I$29,0))),1,0)</f>
        <v>0</v>
      </c>
      <c r="CC501" s="65" t="n">
        <f aca="false">IF(CR501&gt;0,INDEX(Parameter!$H$5:$H$7,W501)/INDEX(Parameter!$E$5:$E$7,W501),IF(AND(CA501=0,N(IFERROR(VLOOKUP(BY501,'Gebinde-Kategorie'!$A$5:$N$45,14,0),0))&gt;0),VLOOKUP(BY501,'Gebinde-Kategorie'!$A$5:$N$45,14,0)*10+Parameter!$M$23,Parameter!$M$24))</f>
        <v>155</v>
      </c>
      <c r="CD501" s="60" t="str">
        <f aca="false">IF(AND(Parameter!$B$19="Ja",E501&lt;&gt;"",ISNUMBER(MATCH(E501,Parameter!$I$35:$I$52,0))),VLOOKUP(E501,Parameter!$I$35:$J$52,2,0),IFERROR(VLOOKUP(D501,Parameter!$A$35:$C$64,2,0),"Nein"))</f>
        <v>2+3</v>
      </c>
      <c r="CE501" s="64" t="n">
        <f aca="false">IF(CA501=0,0,IF(N(S501)&gt;0,S501,IFERROR(VLOOKUP(D501,Parameter!$A$35:$C$64,3,0)+0,0)))</f>
        <v>0</v>
      </c>
      <c r="CF501" s="60" t="n">
        <f aca="false">IF(AB501&lt;&gt;"",AB501,AA501)</f>
        <v>3</v>
      </c>
      <c r="CG501" s="60" t="str">
        <f aca="false">IF(OR(CF501=1,CF501=2,CF501=3),IF(Parameter!$E$27="Ja","LIFT",IF(CF501=1,"L1","L23")),IF(CF501="Aussen","Aussen","-"))</f>
        <v>LIFT</v>
      </c>
      <c r="CH501" s="71" t="n">
        <f aca="false">IF(N(AC501)&gt;0,AC501,0)</f>
        <v>0</v>
      </c>
      <c r="CI501" s="65" t="n">
        <f aca="false">IF(ISNUMBER(AF501),1,0)</f>
        <v>0</v>
      </c>
      <c r="CJ501" s="62" t="n">
        <f aca="false">N(AF501)</f>
        <v>0</v>
      </c>
      <c r="CK501" s="62" t="n">
        <f aca="false">N(M501)+N(N501)</f>
        <v>115</v>
      </c>
      <c r="CL501" s="62" t="n">
        <f aca="false">N(M501)</f>
        <v>15</v>
      </c>
      <c r="CM501" s="62" t="n">
        <f aca="false">N(N501)</f>
        <v>100</v>
      </c>
      <c r="CN501" s="62" t="n">
        <f aca="false">ROUNDUP(H501/BZ501,0)</f>
        <v>1</v>
      </c>
      <c r="CO501" s="62" t="n">
        <f aca="false">ROUNDUP(CJ501/BZ501,0)</f>
        <v>0</v>
      </c>
      <c r="CP501" s="65" t="n">
        <f aca="false">IF(CA501=1,0,IFERROR(VLOOKUP(BY501,'Gebinde-Kategorie'!$A$5:$N$45,5,0)+0,0))</f>
        <v>11</v>
      </c>
      <c r="CQ501" s="65" t="n">
        <f aca="false">IFERROR(IF(OR(CF501=1,CF501=2,CF501=3),N(INDEX(Parameter!$I$5:$I$7,CF501)),0),0)</f>
        <v>0</v>
      </c>
      <c r="CR501" s="64" t="n">
        <f aca="false">IF(AND(Parameter!$B$21="Ja",ISNUMBER(W501),N(X501)&gt;0),IFERROR(N(INDEX(Parameter!$L$5:$L$7,W501))*INDEX(Parameter!$E$5:$E$7,W501)*X501/SUMIFS($X$7:$X$1843,$W$7:$W$1843,W501),0),0)</f>
        <v>0</v>
      </c>
      <c r="CS501" s="62" t="n">
        <f aca="false">IF(AND(OR(CG501="L1",CG501="L23",CG501="LIFT"),H501&gt;0),CC501*IF(CR501&gt;0,CR501*MAX(1,H501/X501),IF(CA501=1,CE501,IF(R501&gt;0,CN501/R501,0))/MAX(0.1,N(Parameter!$M$21))),"")</f>
        <v>5.96153846153846</v>
      </c>
      <c r="CT501" s="64" t="n">
        <f aca="false">IF(CS501="","",J501/H501)</f>
        <v>2.84782608695652</v>
      </c>
      <c r="CU501" s="62" t="n">
        <f aca="false">IF(CS501="","",H501*G501)</f>
        <v>862.96</v>
      </c>
      <c r="CV501" s="63" t="n">
        <f aca="false">IF(CS501="","",(CL501+ROUNDUP(CL501+MAX(CM501,2*(J501/MAX(0.1,N(Einkauf!$C$6))-CL501)),0))/2)</f>
        <v>65.5</v>
      </c>
      <c r="CW501" s="62" t="n">
        <f aca="false">IF(CS501="","",MAX(0,H501-CV501)*G501)</f>
        <v>248.57</v>
      </c>
      <c r="CX501" s="62" t="n">
        <f aca="false">IF(CS501="","",CS501*MAX(0,1-CV501/H501))</f>
        <v>1.71718227424749</v>
      </c>
      <c r="CY501" s="64" t="n">
        <f aca="false">IF(CS501="","",PERCENTRANK($CS$7:$CS$1843,CS501)+PERCENTRANK($CU$7:$CU$1843,CU501)+1-PERCENTRANK($CT$7:$CT$1843,CT501))</f>
        <v>1.098</v>
      </c>
      <c r="CZ501" s="72" t="n">
        <f aca="false">IF(CS501="","",CHOOSE(MATCH(Einkauf!$C$5,Parameter!$G$23:$G$27,0),CY501,CS501,CU501,-CT501,CW501)+ROW()/1000000000)</f>
        <v>1.098000501</v>
      </c>
    </row>
    <row r="502" customFormat="false" ht="15" hidden="false" customHeight="false" outlineLevel="0" collapsed="false">
      <c r="A502" s="60" t="s">
        <v>1143</v>
      </c>
      <c r="B502" s="60" t="s">
        <v>1144</v>
      </c>
      <c r="C502" s="60" t="s">
        <v>206</v>
      </c>
      <c r="D502" s="60" t="s">
        <v>226</v>
      </c>
      <c r="E502" s="60" t="s">
        <v>227</v>
      </c>
      <c r="F502" s="60" t="s">
        <v>260</v>
      </c>
      <c r="G502" s="61" t="n">
        <v>12.02</v>
      </c>
      <c r="H502" s="62" t="n">
        <f aca="false">MAX(0,IF(AND(Parameter!$B$21="Ja",ISNUMBER(Y502)),Y502,IF(Parameter!$B$20="Jahresanfang 2025 + Export",BS502+BR502,BR502)))</f>
        <v>25</v>
      </c>
      <c r="I502" s="62" t="n">
        <f aca="false">H502*G502</f>
        <v>300.5</v>
      </c>
      <c r="J502" s="62" t="n">
        <f aca="false">BU502*Parameter!$B$18</f>
        <v>30</v>
      </c>
      <c r="K502" s="63" t="n">
        <v>22.5</v>
      </c>
      <c r="L502" s="64" t="n">
        <v>1.33333333333333</v>
      </c>
      <c r="M502" s="62" t="n">
        <v>2</v>
      </c>
      <c r="N502" s="62" t="n">
        <v>30</v>
      </c>
      <c r="O502" s="65" t="n">
        <v>28</v>
      </c>
      <c r="P502" s="60" t="s">
        <v>468</v>
      </c>
      <c r="Q502" s="62" t="n">
        <v>22</v>
      </c>
      <c r="R502" s="65" t="n">
        <f aca="false">IF(CA502=1,0,IFERROR(VLOOKUP(BY502,'Gebinde-Kategorie'!$A$5:$N$45,13,0)+0,0))</f>
        <v>140</v>
      </c>
      <c r="S502" s="66"/>
      <c r="T502" s="67"/>
      <c r="U502" s="67"/>
      <c r="V502" s="67"/>
      <c r="W502" s="60"/>
      <c r="X502" s="62"/>
      <c r="Y502" s="62"/>
      <c r="Z502" s="60" t="n">
        <v>1</v>
      </c>
      <c r="AA502" s="60" t="n">
        <f aca="false">IF(A502="","",IF(AND(Parameter!$B$21="Ja",ISNUMBER(W502)),W502,IF(AND(Parameter!$E$27="Ja",ISNUMBER(Z502),CD502&lt;&gt;"Nein"),Z502,IF(CD502="2+3",IF(ISNUMBER(SEARCH("grosser Artikel",BV502)),2,IFERROR(VLOOKUP(BY502,Parameter!$F$35:$G$64,2,0),2)),IF(OR(CD502="Nein",CD502=""),"-",CD502)))))</f>
        <v>1</v>
      </c>
      <c r="AB502" s="67"/>
      <c r="AC502" s="68"/>
      <c r="AD502" s="62" t="n">
        <f aca="false">AW502</f>
        <v>32</v>
      </c>
      <c r="AE502" s="62" t="n">
        <f aca="false">MAX(AW502,H502)</f>
        <v>32</v>
      </c>
      <c r="AF502" s="69"/>
      <c r="AG502" s="62" t="n">
        <f aca="false">IF(LEFT(Cockpit!$C$5,1)="A",H502,IF(Parameter!$E$30="MAX-Bestand",IF(CI502=1,CJ502,IF(LEFT(Cockpit!$C$5,1)="B",AM502,MAX(AM502,H502))),ROUNDUP(AK502,0)))</f>
        <v>25</v>
      </c>
      <c r="AH502" s="62" t="n">
        <f aca="false">IF(CA502=1,0,ROUNDUP(AG502/BZ502,0))</f>
        <v>2</v>
      </c>
      <c r="AI502" s="64" t="n">
        <f aca="false">IF(CR502&gt;0,CR502*MAX(1,AG502/X502),IF(CA502=1,IF(AG502&lt;=0,0,CE502*MAX(1,IF(H502&gt;0,AG502/H502,1))),IF(R502&gt;0,AH502/R502,0))/MAX(0.1,N(Parameter!$M$21)))</f>
        <v>0.0142857142857143</v>
      </c>
      <c r="AJ502" s="62" t="n">
        <f aca="false">AI502*CC502</f>
        <v>2.21428571428571</v>
      </c>
      <c r="AK502" s="63" t="n">
        <f aca="false">IF(LEFT(Cockpit!$C$5,1)="A",H502,IF(CI502=1,(CL502+CJ502)/2,IF(LEFT(Cockpit!$C$5,1)="B",(CL502+AM502)/2,MAX((CL502+AM502)/2,H502))))</f>
        <v>25</v>
      </c>
      <c r="AL502" s="62" t="n">
        <f aca="false">AK502*G502</f>
        <v>300.5</v>
      </c>
      <c r="AM502" s="62" t="n">
        <f aca="false">ROUNDUP(CL502+MAX(CM502,2*(J502/IF(CH502&gt;0,CH502,MAX(0.1,N(Cockpit!$C$6)))-CL502)),0)</f>
        <v>32</v>
      </c>
      <c r="AN502" s="63" t="n">
        <f aca="false">IF(AJ502&gt;0,J502/AJ502,-1)</f>
        <v>13.5483870967742</v>
      </c>
      <c r="AO502" s="63" t="n">
        <f aca="false">IF(AND(OR(CG502="L1",CG502="L23",CG502="LIFT"),AJ502&gt;0),SUMIFS($AJ$7:$AJ$1843,$CG$7:$CG$1843,CG502,$AN$7:$AN$1843,"&gt;"&amp;AN502)+SUMIFS($AJ$7:$AJ$1843,$CG$7:$CG$1843,CG502,$AN$7:$AN$1843,AN502,$BX$7:$BX$1843,"&lt;="&amp;BX502),"")</f>
        <v>2340.6217948718</v>
      </c>
      <c r="AP502" s="70" t="n">
        <f aca="false">IF(AO502="",0,MAX(0,MIN(1,(IF(CG502="L1",Parameter!$H$5,IF(CG502="L23",Parameter!$H$6+Parameter!$H$7,Parameter!$H$5+Parameter!$H$6+Parameter!$H$7))-(AO502-AJ502))/AJ502)))</f>
        <v>1</v>
      </c>
      <c r="AQ502" s="62" t="n">
        <f aca="false">IF(LEFT(Cockpit!$I$5,1)="A",H502,IF(Parameter!$E$30="MAX-Bestand",IF(CI502=1,CJ502,IF(LEFT(Cockpit!$I$5,1)="B",AW502,MAX(AW502,H502))),ROUNDUP(AU502,0)))</f>
        <v>25</v>
      </c>
      <c r="AR502" s="62" t="n">
        <f aca="false">IF(CA502=1,0,ROUNDUP(AQ502/BZ502,0))</f>
        <v>2</v>
      </c>
      <c r="AS502" s="64" t="n">
        <f aca="false">IF(CR502&gt;0,CR502*MAX(1,AQ502/X502),IF(CA502=1,IF(AQ502&lt;=0,0,CE502*MAX(1,IF(H502&gt;0,AQ502/H502,1))),IF(R502&gt;0,AR502/R502,0))/MAX(0.1,N(Parameter!$M$21)))</f>
        <v>0.0142857142857143</v>
      </c>
      <c r="AT502" s="62" t="n">
        <f aca="false">AS502*CC502</f>
        <v>2.21428571428571</v>
      </c>
      <c r="AU502" s="63" t="n">
        <f aca="false">IF(LEFT(Cockpit!$I$5,1)="A",H502,IF(CI502=1,(CL502+CJ502)/2,IF(LEFT(Cockpit!$I$5,1)="B",(CL502+AW502)/2,MAX((CL502+AW502)/2,H502))))</f>
        <v>25</v>
      </c>
      <c r="AV502" s="62" t="n">
        <f aca="false">AU502*G502</f>
        <v>300.5</v>
      </c>
      <c r="AW502" s="62" t="n">
        <f aca="false">ROUNDUP(CL502+MAX(CM502,2*(J502/IF(CH502&gt;0,CH502,MAX(0.1,N(Cockpit!$I$6)))-CL502)),0)</f>
        <v>32</v>
      </c>
      <c r="AX502" s="63" t="n">
        <f aca="false">IF(AT502&gt;0,J502/AT502,-1)</f>
        <v>13.5483870967742</v>
      </c>
      <c r="AY502" s="63" t="n">
        <f aca="false">IF(AND(OR(CG502="L1",CG502="L23",CG502="LIFT"),AT502&gt;0),SUMIFS($AT$7:$AT$1843,$CG$7:$CG$1843,CG502,$AX$7:$AX$1843,"&gt;"&amp;AX502)+SUMIFS($AT$7:$AT$1843,$CG$7:$CG$1843,CG502,$AX$7:$AX$1843,AX502,$BX$7:$BX$1843,"&lt;="&amp;BX502),"")</f>
        <v>2959.80860805861</v>
      </c>
      <c r="AZ502" s="70" t="n">
        <f aca="false">IF(AY502="",0,MAX(0,MIN(1,(IF(CG502="L1",Parameter!$H$5,IF(CG502="L23",Parameter!$H$6+Parameter!$H$7,Parameter!$H$5+Parameter!$H$6+Parameter!$H$7))-(AY502-AT502))/AT502)))</f>
        <v>1</v>
      </c>
      <c r="BA502" s="62" t="n">
        <f aca="false">IF(LEFT(Cockpit!$O$5,1)="A",H502,IF(Parameter!$E$30="MAX-Bestand",IF(CI502=1,CJ502,IF(LEFT(Cockpit!$O$5,1)="B",BG502,MAX(BG502,H502))),ROUNDUP(BE502,0)))</f>
        <v>17</v>
      </c>
      <c r="BB502" s="62" t="n">
        <f aca="false">IF(CA502=1,0,ROUNDUP(BA502/BZ502,0))</f>
        <v>1</v>
      </c>
      <c r="BC502" s="64" t="n">
        <f aca="false">IF(CR502&gt;0,CR502*MAX(1,BA502/X502),IF(CA502=1,IF(BA502&lt;=0,0,CE502*MAX(1,IF(H502&gt;0,BA502/H502,1))),IF(R502&gt;0,BB502/R502,0))/MAX(0.1,N(Parameter!$M$21)))</f>
        <v>0.00714285714285714</v>
      </c>
      <c r="BD502" s="62" t="n">
        <f aca="false">BC502*CC502</f>
        <v>1.10714285714286</v>
      </c>
      <c r="BE502" s="63" t="n">
        <f aca="false">IF(LEFT(Cockpit!$O$5,1)="A",H502,IF(CI502=1,(CL502+CJ502)/2,IF(LEFT(Cockpit!$O$5,1)="B",(CL502+BG502)/2,MAX((CL502+BG502)/2,H502))))</f>
        <v>17</v>
      </c>
      <c r="BF502" s="62" t="n">
        <f aca="false">BE502*G502</f>
        <v>204.34</v>
      </c>
      <c r="BG502" s="62" t="n">
        <f aca="false">ROUNDUP(CL502+MAX(CM502,2*(J502/IF(CH502&gt;0,CH502,MAX(0.1,N(Cockpit!$O$6)))-CL502)),0)</f>
        <v>32</v>
      </c>
      <c r="BH502" s="63" t="n">
        <f aca="false">IF(BD502&gt;0,J502/BD502,-1)</f>
        <v>27.0967741935484</v>
      </c>
      <c r="BI502" s="63" t="n">
        <f aca="false">IF(AND(OR(CG502="L1",CG502="L23",CG502="LIFT"),BD502&gt;0),SUMIFS($BD$7:$BD$1843,$CG$7:$CG$1843,CG502,$BH$7:$BH$1843,"&gt;"&amp;BH502)+SUMIFS($BD$7:$BD$1843,$CG$7:$CG$1843,CG502,$BH$7:$BH$1843,BH502,$BX$7:$BX$1843,"&lt;="&amp;BX502),"")</f>
        <v>1945.80402930403</v>
      </c>
      <c r="BJ502" s="70" t="n">
        <f aca="false">IF(BI502="",0,MAX(0,MIN(1,(IF(CG502="L1",Parameter!$H$5,IF(CG502="L23",Parameter!$H$6+Parameter!$H$7,Parameter!$H$5+Parameter!$H$6+Parameter!$H$7))-(BI502-BD502))/BD502)))</f>
        <v>1</v>
      </c>
      <c r="BK502" s="60" t="str">
        <f aca="false">IF(AJ502&lt;=0,"",IF(CG502="Aussen","Aussenlager",IF(CG502="-","Nicht im Lift",IF(AP502&gt;=1,"Lift",IF(AP502&lt;=0,"Aussenlager","teilweise")))))</f>
        <v>Lift</v>
      </c>
      <c r="BL502" s="60" t="str">
        <f aca="false">IF(AT502&lt;=0,"",IF(CG502="Aussen","Aussenlager",IF(CG502="-","Nicht im Lift",IF(AZ502&gt;=1,"Lift",IF(AZ502&lt;=0,"Aussenlager","teilweise")))))</f>
        <v>Lift</v>
      </c>
      <c r="BM502" s="60" t="str">
        <f aca="false">IF(BD502&lt;=0,"",IF(CG502="Aussen","Aussenlager",IF(CG502="-","Nicht im Lift",IF(BJ502&gt;=1,"Lift",IF(BJ502&lt;=0,"Aussenlager","teilweise")))))</f>
        <v>Lift</v>
      </c>
      <c r="BN502" s="60" t="str">
        <f aca="false">IF(A502="","",IF(BW502=1,"Neu; ","")&amp;IF(AND(BW502=0,BR502&lt;0),"negativer Bestand (Export "&amp;BR502&amp;"); ","")&amp;IF(J502&lt;=0,"Kein Verbrauch; ","")&amp;IF(CR502&gt;0,"Lift "&amp;W502&amp;" lt. Liftbericht (Fach "&amp;X502&amp;" Stk); ",IF(CB502=1,"Gebinde geschätzt ("&amp;T502&amp;"); ",IF(CA502=1,"Lose – Tablare geschätzt; ","")))&amp;IF(H502&gt;AW502,"Überbestand "&amp;ROUND(H502-AW502,0)&amp;" Stk / CHF "&amp;ROUND((H502-AW502)*G502,0)&amp;"; ","")&amp;IF(AND(CI502=1,CJ502&lt;CK502),"MAX &lt; MB+LG; ","")&amp;IF(AND(CQ502&gt;0,CP502*10&gt;CQ502),"zu hoch für Tablar; ","")&amp;IF(AND(BW502=0,OR(CI502=1,AB502&lt;&gt;"",U502&lt;&gt;"",V502&lt;&gt;"",AC502&lt;&gt;"")),"manuell übersteuert; ","")&amp;IF(AND(CA502=0,R502=0),"Gebinde unbekannt / Stellmass fehlt; ","")&amp;IF(AND(CA502=0,N(V502)&lt;=0,N(Q502)&lt;=0),"Menge pro Gebinde fehlt (Ist = 1 Gebinde); ","")&amp;BV502)</f>
        <v/>
      </c>
      <c r="BO502" s="60"/>
      <c r="BP502" s="60"/>
      <c r="BQ502" s="67"/>
      <c r="BR502" s="62" t="n">
        <v>0</v>
      </c>
      <c r="BS502" s="62" t="n">
        <v>25</v>
      </c>
      <c r="BT502" s="61" t="n">
        <v>36.4999999999999</v>
      </c>
      <c r="BU502" s="62" t="n">
        <v>30</v>
      </c>
      <c r="BV502" s="60"/>
      <c r="BW502" s="65" t="n">
        <v>0</v>
      </c>
      <c r="BX502" s="65" t="n">
        <v>502</v>
      </c>
      <c r="BY502" s="60" t="str">
        <f aca="false">IF(U502&lt;&gt;"",UPPER(TRIM(U502)),IF(CB502=1,UPPER(VLOOKUP(T502,Parameter!$I$27:$K$29,2,0)),IF(P502="","LOSE",P502)))</f>
        <v>S22</v>
      </c>
      <c r="BZ502" s="62" t="n">
        <f aca="false">IF(BY502="LOSE",1,IF(N(V502)&gt;0,V502,IF(CB502=1,MAX(1,N(VLOOKUP(T502,Parameter!$I$27:$K$29,3,0)),H502,N(N502)),IF(N(Q502)&gt;0,Q502,MAX(1,H502)))))</f>
        <v>22</v>
      </c>
      <c r="CA502" s="65" t="n">
        <f aca="false">IF(BY502="LOSE",1,0)</f>
        <v>0</v>
      </c>
      <c r="CB502" s="65" t="n">
        <f aca="false">IF(AND(U502="",OR(P502="",P502="LOSE"),T502&lt;&gt;"",N(S502)&lt;=0,ISNUMBER(MATCH(T502,Parameter!$I$27:$I$29,0))),1,0)</f>
        <v>0</v>
      </c>
      <c r="CC502" s="65" t="n">
        <f aca="false">IF(CR502&gt;0,INDEX(Parameter!$H$5:$H$7,W502)/INDEX(Parameter!$E$5:$E$7,W502),IF(AND(CA502=0,N(IFERROR(VLOOKUP(BY502,'Gebinde-Kategorie'!$A$5:$N$45,14,0),0))&gt;0),VLOOKUP(BY502,'Gebinde-Kategorie'!$A$5:$N$45,14,0)*10+Parameter!$M$23,Parameter!$M$24))</f>
        <v>155</v>
      </c>
      <c r="CD502" s="60" t="str">
        <f aca="false">IF(AND(Parameter!$B$19="Ja",E502&lt;&gt;"",ISNUMBER(MATCH(E502,Parameter!$I$35:$I$52,0))),VLOOKUP(E502,Parameter!$I$35:$J$52,2,0),IFERROR(VLOOKUP(D502,Parameter!$A$35:$C$64,2,0),"Nein"))</f>
        <v>2+3</v>
      </c>
      <c r="CE502" s="64" t="n">
        <f aca="false">IF(CA502=0,0,IF(N(S502)&gt;0,S502,IFERROR(VLOOKUP(D502,Parameter!$A$35:$C$64,3,0)+0,0)))</f>
        <v>0</v>
      </c>
      <c r="CF502" s="60" t="n">
        <f aca="false">IF(AB502&lt;&gt;"",AB502,AA502)</f>
        <v>1</v>
      </c>
      <c r="CG502" s="60" t="str">
        <f aca="false">IF(OR(CF502=1,CF502=2,CF502=3),IF(Parameter!$E$27="Ja","LIFT",IF(CF502=1,"L1","L23")),IF(CF502="Aussen","Aussen","-"))</f>
        <v>LIFT</v>
      </c>
      <c r="CH502" s="71" t="n">
        <f aca="false">IF(N(AC502)&gt;0,AC502,0)</f>
        <v>0</v>
      </c>
      <c r="CI502" s="65" t="n">
        <f aca="false">IF(ISNUMBER(AF502),1,0)</f>
        <v>0</v>
      </c>
      <c r="CJ502" s="62" t="n">
        <f aca="false">N(AF502)</f>
        <v>0</v>
      </c>
      <c r="CK502" s="62" t="n">
        <f aca="false">N(M502)+N(N502)</f>
        <v>32</v>
      </c>
      <c r="CL502" s="62" t="n">
        <f aca="false">N(M502)</f>
        <v>2</v>
      </c>
      <c r="CM502" s="62" t="n">
        <f aca="false">N(N502)</f>
        <v>30</v>
      </c>
      <c r="CN502" s="62" t="n">
        <f aca="false">ROUNDUP(H502/BZ502,0)</f>
        <v>2</v>
      </c>
      <c r="CO502" s="62" t="n">
        <f aca="false">ROUNDUP(CJ502/BZ502,0)</f>
        <v>0</v>
      </c>
      <c r="CP502" s="65" t="n">
        <f aca="false">IF(CA502=1,0,IFERROR(VLOOKUP(BY502,'Gebinde-Kategorie'!$A$5:$N$45,5,0)+0,0))</f>
        <v>8</v>
      </c>
      <c r="CQ502" s="65" t="n">
        <f aca="false">IFERROR(IF(OR(CF502=1,CF502=2,CF502=3),N(INDEX(Parameter!$I$5:$I$7,CF502)),0),0)</f>
        <v>0</v>
      </c>
      <c r="CR502" s="64" t="n">
        <f aca="false">IF(AND(Parameter!$B$21="Ja",ISNUMBER(W502),N(X502)&gt;0),IFERROR(N(INDEX(Parameter!$L$5:$L$7,W502))*INDEX(Parameter!$E$5:$E$7,W502)*X502/SUMIFS($X$7:$X$1843,$W$7:$W$1843,W502),0),0)</f>
        <v>0</v>
      </c>
      <c r="CS502" s="62" t="n">
        <f aca="false">IF(AND(OR(CG502="L1",CG502="L23",CG502="LIFT"),H502&gt;0),CC502*IF(CR502&gt;0,CR502*MAX(1,H502/X502),IF(CA502=1,CE502,IF(R502&gt;0,CN502/R502,0))/MAX(0.1,N(Parameter!$M$21))),"")</f>
        <v>2.21428571428571</v>
      </c>
      <c r="CT502" s="64" t="n">
        <f aca="false">IF(CS502="","",J502/H502)</f>
        <v>1.2</v>
      </c>
      <c r="CU502" s="62" t="n">
        <f aca="false">IF(CS502="","",H502*G502)</f>
        <v>300.5</v>
      </c>
      <c r="CV502" s="63" t="n">
        <f aca="false">IF(CS502="","",(CL502+ROUNDUP(CL502+MAX(CM502,2*(J502/MAX(0.1,N(Einkauf!$C$6))-CL502)),0))/2)</f>
        <v>17</v>
      </c>
      <c r="CW502" s="62" t="n">
        <f aca="false">IF(CS502="","",MAX(0,H502-CV502)*G502)</f>
        <v>96.16</v>
      </c>
      <c r="CX502" s="62" t="n">
        <f aca="false">IF(CS502="","",CS502*MAX(0,1-CV502/H502))</f>
        <v>0.708571428571429</v>
      </c>
      <c r="CY502" s="64" t="n">
        <f aca="false">IF(CS502="","",PERCENTRANK($CS$7:$CS$1843,CS502)+PERCENTRANK($CU$7:$CU$1843,CU502)+1-PERCENTRANK($CT$7:$CT$1843,CT502))</f>
        <v>0.905</v>
      </c>
      <c r="CZ502" s="72" t="n">
        <f aca="false">IF(CS502="","",CHOOSE(MATCH(Einkauf!$C$5,Parameter!$G$23:$G$27,0),CY502,CS502,CU502,-CT502,CW502)+ROW()/1000000000)</f>
        <v>0.905000502</v>
      </c>
    </row>
    <row r="503" customFormat="false" ht="15" hidden="false" customHeight="false" outlineLevel="0" collapsed="false">
      <c r="A503" s="60" t="s">
        <v>1145</v>
      </c>
      <c r="B503" s="60" t="s">
        <v>1146</v>
      </c>
      <c r="C503" s="60" t="s">
        <v>206</v>
      </c>
      <c r="D503" s="60" t="s">
        <v>226</v>
      </c>
      <c r="E503" s="60" t="s">
        <v>227</v>
      </c>
      <c r="F503" s="60" t="s">
        <v>260</v>
      </c>
      <c r="G503" s="61" t="n">
        <v>2.38</v>
      </c>
      <c r="H503" s="62" t="n">
        <f aca="false">MAX(0,IF(AND(Parameter!$B$21="Ja",ISNUMBER(Y503)),Y503,IF(Parameter!$B$20="Jahresanfang 2025 + Export",BS503+BR503,BR503)))</f>
        <v>120</v>
      </c>
      <c r="I503" s="62" t="n">
        <f aca="false">H503*G503</f>
        <v>285.6</v>
      </c>
      <c r="J503" s="62" t="n">
        <f aca="false">BU503*Parameter!$B$18</f>
        <v>0</v>
      </c>
      <c r="K503" s="63" t="n">
        <v>112.5</v>
      </c>
      <c r="L503" s="64" t="n">
        <v>0</v>
      </c>
      <c r="M503" s="62" t="n">
        <v>2</v>
      </c>
      <c r="N503" s="62" t="n">
        <v>50</v>
      </c>
      <c r="O503" s="65" t="n">
        <v>28</v>
      </c>
      <c r="P503" s="60" t="s">
        <v>370</v>
      </c>
      <c r="Q503" s="62" t="n">
        <v>106</v>
      </c>
      <c r="R503" s="65" t="n">
        <f aca="false">IF(CA503=1,0,IFERROR(VLOOKUP(BY503,'Gebinde-Kategorie'!$A$5:$N$45,13,0)+0,0))</f>
        <v>52</v>
      </c>
      <c r="S503" s="66"/>
      <c r="T503" s="67"/>
      <c r="U503" s="67"/>
      <c r="V503" s="67"/>
      <c r="W503" s="60"/>
      <c r="X503" s="62"/>
      <c r="Y503" s="62"/>
      <c r="Z503" s="60" t="n">
        <v>3</v>
      </c>
      <c r="AA503" s="60" t="n">
        <f aca="false">IF(A503="","",IF(AND(Parameter!$B$21="Ja",ISNUMBER(W503)),W503,IF(AND(Parameter!$E$27="Ja",ISNUMBER(Z503),CD503&lt;&gt;"Nein"),Z503,IF(CD503="2+3",IF(ISNUMBER(SEARCH("grosser Artikel",BV503)),2,IFERROR(VLOOKUP(BY503,Parameter!$F$35:$G$64,2,0),2)),IF(OR(CD503="Nein",CD503=""),"-",CD503)))))</f>
        <v>3</v>
      </c>
      <c r="AB503" s="67"/>
      <c r="AC503" s="68"/>
      <c r="AD503" s="62" t="n">
        <f aca="false">AW503</f>
        <v>52</v>
      </c>
      <c r="AE503" s="62" t="n">
        <f aca="false">MAX(AW503,H503)</f>
        <v>120</v>
      </c>
      <c r="AF503" s="69"/>
      <c r="AG503" s="62" t="n">
        <f aca="false">IF(LEFT(Cockpit!$C$5,1)="A",H503,IF(Parameter!$E$30="MAX-Bestand",IF(CI503=1,CJ503,IF(LEFT(Cockpit!$C$5,1)="B",AM503,MAX(AM503,H503))),ROUNDUP(AK503,0)))</f>
        <v>120</v>
      </c>
      <c r="AH503" s="62" t="n">
        <f aca="false">IF(CA503=1,0,ROUNDUP(AG503/BZ503,0))</f>
        <v>2</v>
      </c>
      <c r="AI503" s="64" t="n">
        <f aca="false">IF(CR503&gt;0,CR503*MAX(1,AG503/X503),IF(CA503=1,IF(AG503&lt;=0,0,CE503*MAX(1,IF(H503&gt;0,AG503/H503,1))),IF(R503&gt;0,AH503/R503,0))/MAX(0.1,N(Parameter!$M$21)))</f>
        <v>0.0384615384615385</v>
      </c>
      <c r="AJ503" s="62" t="n">
        <f aca="false">AI503*CC503</f>
        <v>5.96153846153846</v>
      </c>
      <c r="AK503" s="63" t="n">
        <f aca="false">IF(LEFT(Cockpit!$C$5,1)="A",H503,IF(CI503=1,(CL503+CJ503)/2,IF(LEFT(Cockpit!$C$5,1)="B",(CL503+AM503)/2,MAX((CL503+AM503)/2,H503))))</f>
        <v>120</v>
      </c>
      <c r="AL503" s="62" t="n">
        <f aca="false">AK503*G503</f>
        <v>285.6</v>
      </c>
      <c r="AM503" s="62" t="n">
        <f aca="false">ROUNDUP(CL503+MAX(CM503,2*(J503/IF(CH503&gt;0,CH503,MAX(0.1,N(Cockpit!$C$6)))-CL503)),0)</f>
        <v>52</v>
      </c>
      <c r="AN503" s="63" t="n">
        <f aca="false">IF(AJ503&gt;0,J503/AJ503,-1)</f>
        <v>0</v>
      </c>
      <c r="AO503" s="63" t="n">
        <f aca="false">IF(AND(OR(CG503="L1",CG503="L23",CG503="LIFT"),AJ503&gt;0),SUMIFS($AJ$7:$AJ$1843,$CG$7:$CG$1843,CG503,$AN$7:$AN$1843,"&gt;"&amp;AN503)+SUMIFS($AJ$7:$AJ$1843,$CG$7:$CG$1843,CG503,$AN$7:$AN$1843,AN503,$BX$7:$BX$1843,"&lt;="&amp;BX503),"")</f>
        <v>28259.8614318826</v>
      </c>
      <c r="AP503" s="70" t="n">
        <f aca="false">IF(AO503="",0,MAX(0,MIN(1,(IF(CG503="L1",Parameter!$H$5,IF(CG503="L23",Parameter!$H$6+Parameter!$H$7,Parameter!$H$5+Parameter!$H$6+Parameter!$H$7))-(AO503-AJ503))/AJ503)))</f>
        <v>1</v>
      </c>
      <c r="AQ503" s="62" t="n">
        <f aca="false">IF(LEFT(Cockpit!$I$5,1)="A",H503,IF(Parameter!$E$30="MAX-Bestand",IF(CI503=1,CJ503,IF(LEFT(Cockpit!$I$5,1)="B",AW503,MAX(AW503,H503))),ROUNDUP(AU503,0)))</f>
        <v>120</v>
      </c>
      <c r="AR503" s="62" t="n">
        <f aca="false">IF(CA503=1,0,ROUNDUP(AQ503/BZ503,0))</f>
        <v>2</v>
      </c>
      <c r="AS503" s="64" t="n">
        <f aca="false">IF(CR503&gt;0,CR503*MAX(1,AQ503/X503),IF(CA503=1,IF(AQ503&lt;=0,0,CE503*MAX(1,IF(H503&gt;0,AQ503/H503,1))),IF(R503&gt;0,AR503/R503,0))/MAX(0.1,N(Parameter!$M$21)))</f>
        <v>0.0384615384615385</v>
      </c>
      <c r="AT503" s="62" t="n">
        <f aca="false">AS503*CC503</f>
        <v>5.96153846153846</v>
      </c>
      <c r="AU503" s="63" t="n">
        <f aca="false">IF(LEFT(Cockpit!$I$5,1)="A",H503,IF(CI503=1,(CL503+CJ503)/2,IF(LEFT(Cockpit!$I$5,1)="B",(CL503+AW503)/2,MAX((CL503+AW503)/2,H503))))</f>
        <v>120</v>
      </c>
      <c r="AV503" s="62" t="n">
        <f aca="false">AU503*G503</f>
        <v>285.6</v>
      </c>
      <c r="AW503" s="62" t="n">
        <f aca="false">ROUNDUP(CL503+MAX(CM503,2*(J503/IF(CH503&gt;0,CH503,MAX(0.1,N(Cockpit!$I$6)))-CL503)),0)</f>
        <v>52</v>
      </c>
      <c r="AX503" s="63" t="n">
        <f aca="false">IF(AT503&gt;0,J503/AT503,-1)</f>
        <v>0</v>
      </c>
      <c r="AY503" s="63" t="n">
        <f aca="false">IF(AND(OR(CG503="L1",CG503="L23",CG503="LIFT"),AT503&gt;0),SUMIFS($AT$7:$AT$1843,$CG$7:$CG$1843,CG503,$AX$7:$AX$1843,"&gt;"&amp;AX503)+SUMIFS($AT$7:$AT$1843,$CG$7:$CG$1843,CG503,$AX$7:$AX$1843,AX503,$BX$7:$BX$1843,"&lt;="&amp;BX503),"")</f>
        <v>33613.0100732601</v>
      </c>
      <c r="AZ503" s="70" t="n">
        <f aca="false">IF(AY503="",0,MAX(0,MIN(1,(IF(CG503="L1",Parameter!$H$5,IF(CG503="L23",Parameter!$H$6+Parameter!$H$7,Parameter!$H$5+Parameter!$H$6+Parameter!$H$7))-(AY503-AT503))/AT503)))</f>
        <v>1</v>
      </c>
      <c r="BA503" s="62" t="n">
        <f aca="false">IF(LEFT(Cockpit!$O$5,1)="A",H503,IF(Parameter!$E$30="MAX-Bestand",IF(CI503=1,CJ503,IF(LEFT(Cockpit!$O$5,1)="B",BG503,MAX(BG503,H503))),ROUNDUP(BE503,0)))</f>
        <v>27</v>
      </c>
      <c r="BB503" s="62" t="n">
        <f aca="false">IF(CA503=1,0,ROUNDUP(BA503/BZ503,0))</f>
        <v>1</v>
      </c>
      <c r="BC503" s="64" t="n">
        <f aca="false">IF(CR503&gt;0,CR503*MAX(1,BA503/X503),IF(CA503=1,IF(BA503&lt;=0,0,CE503*MAX(1,IF(H503&gt;0,BA503/H503,1))),IF(R503&gt;0,BB503/R503,0))/MAX(0.1,N(Parameter!$M$21)))</f>
        <v>0.0192307692307692</v>
      </c>
      <c r="BD503" s="62" t="n">
        <f aca="false">BC503*CC503</f>
        <v>2.98076923076923</v>
      </c>
      <c r="BE503" s="63" t="n">
        <f aca="false">IF(LEFT(Cockpit!$O$5,1)="A",H503,IF(CI503=1,(CL503+CJ503)/2,IF(LEFT(Cockpit!$O$5,1)="B",(CL503+BG503)/2,MAX((CL503+BG503)/2,H503))))</f>
        <v>27</v>
      </c>
      <c r="BF503" s="62" t="n">
        <f aca="false">BE503*G503</f>
        <v>64.26</v>
      </c>
      <c r="BG503" s="62" t="n">
        <f aca="false">ROUNDUP(CL503+MAX(CM503,2*(J503/IF(CH503&gt;0,CH503,MAX(0.1,N(Cockpit!$O$6)))-CL503)),0)</f>
        <v>52</v>
      </c>
      <c r="BH503" s="63" t="n">
        <f aca="false">IF(BD503&gt;0,J503/BD503,-1)</f>
        <v>0</v>
      </c>
      <c r="BI503" s="63" t="n">
        <f aca="false">IF(AND(OR(CG503="L1",CG503="L23",CG503="LIFT"),BD503&gt;0),SUMIFS($BD$7:$BD$1843,$CG$7:$CG$1843,CG503,$BH$7:$BH$1843,"&gt;"&amp;BH503)+SUMIFS($BD$7:$BD$1843,$CG$7:$CG$1843,CG503,$BH$7:$BH$1843,BH503,$BX$7:$BX$1843,"&lt;="&amp;BX503),"")</f>
        <v>27717.2640777302</v>
      </c>
      <c r="BJ503" s="70" t="n">
        <f aca="false">IF(BI503="",0,MAX(0,MIN(1,(IF(CG503="L1",Parameter!$H$5,IF(CG503="L23",Parameter!$H$6+Parameter!$H$7,Parameter!$H$5+Parameter!$H$6+Parameter!$H$7))-(BI503-BD503))/BD503)))</f>
        <v>1</v>
      </c>
      <c r="BK503" s="60" t="str">
        <f aca="false">IF(AJ503&lt;=0,"",IF(CG503="Aussen","Aussenlager",IF(CG503="-","Nicht im Lift",IF(AP503&gt;=1,"Lift",IF(AP503&lt;=0,"Aussenlager","teilweise")))))</f>
        <v>Lift</v>
      </c>
      <c r="BL503" s="60" t="str">
        <f aca="false">IF(AT503&lt;=0,"",IF(CG503="Aussen","Aussenlager",IF(CG503="-","Nicht im Lift",IF(AZ503&gt;=1,"Lift",IF(AZ503&lt;=0,"Aussenlager","teilweise")))))</f>
        <v>Lift</v>
      </c>
      <c r="BM503" s="60" t="str">
        <f aca="false">IF(BD503&lt;=0,"",IF(CG503="Aussen","Aussenlager",IF(CG503="-","Nicht im Lift",IF(BJ503&gt;=1,"Lift",IF(BJ503&lt;=0,"Aussenlager","teilweise")))))</f>
        <v>Lift</v>
      </c>
      <c r="BN503" s="60" t="str">
        <f aca="false">IF(A503="","",IF(BW503=1,"Neu; ","")&amp;IF(AND(BW503=0,BR503&lt;0),"negativer Bestand (Export "&amp;BR503&amp;"); ","")&amp;IF(J503&lt;=0,"Kein Verbrauch; ","")&amp;IF(CR503&gt;0,"Lift "&amp;W503&amp;" lt. Liftbericht (Fach "&amp;X503&amp;" Stk); ",IF(CB503=1,"Gebinde geschätzt ("&amp;T503&amp;"); ",IF(CA503=1,"Lose – Tablare geschätzt; ","")))&amp;IF(H503&gt;AW503,"Überbestand "&amp;ROUND(H503-AW503,0)&amp;" Stk / CHF "&amp;ROUND((H503-AW503)*G503,0)&amp;"; ","")&amp;IF(AND(CI503=1,CJ503&lt;CK503),"MAX &lt; MB+LG; ","")&amp;IF(AND(CQ503&gt;0,CP503*10&gt;CQ503),"zu hoch für Tablar; ","")&amp;IF(AND(BW503=0,OR(CI503=1,AB503&lt;&gt;"",U503&lt;&gt;"",V503&lt;&gt;"",AC503&lt;&gt;"")),"manuell übersteuert; ","")&amp;IF(AND(CA503=0,R503=0),"Gebinde unbekannt / Stellmass fehlt; ","")&amp;IF(AND(CA503=0,N(V503)&lt;=0,N(Q503)&lt;=0),"Menge pro Gebinde fehlt (Ist = 1 Gebinde); ","")&amp;BV503)</f>
        <v>Kein Verbrauch; Überbestand 68 Stk / CHF 162; Neu</v>
      </c>
      <c r="BO503" s="60"/>
      <c r="BP503" s="60"/>
      <c r="BQ503" s="67"/>
      <c r="BR503" s="62" t="n">
        <v>15</v>
      </c>
      <c r="BS503" s="62" t="n">
        <v>105</v>
      </c>
      <c r="BT503" s="61" t="n">
        <v>35.7</v>
      </c>
      <c r="BU503" s="62" t="n">
        <v>0</v>
      </c>
      <c r="BV503" s="60" t="s">
        <v>668</v>
      </c>
      <c r="BW503" s="65" t="n">
        <v>0</v>
      </c>
      <c r="BX503" s="65" t="n">
        <v>503</v>
      </c>
      <c r="BY503" s="60" t="str">
        <f aca="false">IF(U503&lt;&gt;"",UPPER(TRIM(U503)),IF(CB503=1,UPPER(VLOOKUP(T503,Parameter!$I$27:$K$29,2,0)),IF(P503="","LOSE",P503)))</f>
        <v>S41</v>
      </c>
      <c r="BZ503" s="62" t="n">
        <f aca="false">IF(BY503="LOSE",1,IF(N(V503)&gt;0,V503,IF(CB503=1,MAX(1,N(VLOOKUP(T503,Parameter!$I$27:$K$29,3,0)),H503,N(N503)),IF(N(Q503)&gt;0,Q503,MAX(1,H503)))))</f>
        <v>106</v>
      </c>
      <c r="CA503" s="65" t="n">
        <f aca="false">IF(BY503="LOSE",1,0)</f>
        <v>0</v>
      </c>
      <c r="CB503" s="65" t="n">
        <f aca="false">IF(AND(U503="",OR(P503="",P503="LOSE"),T503&lt;&gt;"",N(S503)&lt;=0,ISNUMBER(MATCH(T503,Parameter!$I$27:$I$29,0))),1,0)</f>
        <v>0</v>
      </c>
      <c r="CC503" s="65" t="n">
        <f aca="false">IF(CR503&gt;0,INDEX(Parameter!$H$5:$H$7,W503)/INDEX(Parameter!$E$5:$E$7,W503),IF(AND(CA503=0,N(IFERROR(VLOOKUP(BY503,'Gebinde-Kategorie'!$A$5:$N$45,14,0),0))&gt;0),VLOOKUP(BY503,'Gebinde-Kategorie'!$A$5:$N$45,14,0)*10+Parameter!$M$23,Parameter!$M$24))</f>
        <v>155</v>
      </c>
      <c r="CD503" s="60" t="str">
        <f aca="false">IF(AND(Parameter!$B$19="Ja",E503&lt;&gt;"",ISNUMBER(MATCH(E503,Parameter!$I$35:$I$52,0))),VLOOKUP(E503,Parameter!$I$35:$J$52,2,0),IFERROR(VLOOKUP(D503,Parameter!$A$35:$C$64,2,0),"Nein"))</f>
        <v>2+3</v>
      </c>
      <c r="CE503" s="64" t="n">
        <f aca="false">IF(CA503=0,0,IF(N(S503)&gt;0,S503,IFERROR(VLOOKUP(D503,Parameter!$A$35:$C$64,3,0)+0,0)))</f>
        <v>0</v>
      </c>
      <c r="CF503" s="60" t="n">
        <f aca="false">IF(AB503&lt;&gt;"",AB503,AA503)</f>
        <v>3</v>
      </c>
      <c r="CG503" s="60" t="str">
        <f aca="false">IF(OR(CF503=1,CF503=2,CF503=3),IF(Parameter!$E$27="Ja","LIFT",IF(CF503=1,"L1","L23")),IF(CF503="Aussen","Aussen","-"))</f>
        <v>LIFT</v>
      </c>
      <c r="CH503" s="71" t="n">
        <f aca="false">IF(N(AC503)&gt;0,AC503,0)</f>
        <v>0</v>
      </c>
      <c r="CI503" s="65" t="n">
        <f aca="false">IF(ISNUMBER(AF503),1,0)</f>
        <v>0</v>
      </c>
      <c r="CJ503" s="62" t="n">
        <f aca="false">N(AF503)</f>
        <v>0</v>
      </c>
      <c r="CK503" s="62" t="n">
        <f aca="false">N(M503)+N(N503)</f>
        <v>52</v>
      </c>
      <c r="CL503" s="62" t="n">
        <f aca="false">N(M503)</f>
        <v>2</v>
      </c>
      <c r="CM503" s="62" t="n">
        <f aca="false">N(N503)</f>
        <v>50</v>
      </c>
      <c r="CN503" s="62" t="n">
        <f aca="false">ROUNDUP(H503/BZ503,0)</f>
        <v>2</v>
      </c>
      <c r="CO503" s="62" t="n">
        <f aca="false">ROUNDUP(CJ503/BZ503,0)</f>
        <v>0</v>
      </c>
      <c r="CP503" s="65" t="n">
        <f aca="false">IF(CA503=1,0,IFERROR(VLOOKUP(BY503,'Gebinde-Kategorie'!$A$5:$N$45,5,0)+0,0))</f>
        <v>11</v>
      </c>
      <c r="CQ503" s="65" t="n">
        <f aca="false">IFERROR(IF(OR(CF503=1,CF503=2,CF503=3),N(INDEX(Parameter!$I$5:$I$7,CF503)),0),0)</f>
        <v>0</v>
      </c>
      <c r="CR503" s="64" t="n">
        <f aca="false">IF(AND(Parameter!$B$21="Ja",ISNUMBER(W503),N(X503)&gt;0),IFERROR(N(INDEX(Parameter!$L$5:$L$7,W503))*INDEX(Parameter!$E$5:$E$7,W503)*X503/SUMIFS($X$7:$X$1843,$W$7:$W$1843,W503),0),0)</f>
        <v>0</v>
      </c>
      <c r="CS503" s="62" t="n">
        <f aca="false">IF(AND(OR(CG503="L1",CG503="L23",CG503="LIFT"),H503&gt;0),CC503*IF(CR503&gt;0,CR503*MAX(1,H503/X503),IF(CA503=1,CE503,IF(R503&gt;0,CN503/R503,0))/MAX(0.1,N(Parameter!$M$21))),"")</f>
        <v>5.96153846153846</v>
      </c>
      <c r="CT503" s="64" t="n">
        <f aca="false">IF(CS503="","",J503/H503)</f>
        <v>0</v>
      </c>
      <c r="CU503" s="62" t="n">
        <f aca="false">IF(CS503="","",H503*G503)</f>
        <v>285.6</v>
      </c>
      <c r="CV503" s="63" t="n">
        <f aca="false">IF(CS503="","",(CL503+ROUNDUP(CL503+MAX(CM503,2*(J503/MAX(0.1,N(Einkauf!$C$6))-CL503)),0))/2)</f>
        <v>27</v>
      </c>
      <c r="CW503" s="62" t="n">
        <f aca="false">IF(CS503="","",MAX(0,H503-CV503)*G503)</f>
        <v>221.34</v>
      </c>
      <c r="CX503" s="62" t="n">
        <f aca="false">IF(CS503="","",CS503*MAX(0,1-CV503/H503))</f>
        <v>4.62019230769231</v>
      </c>
      <c r="CY503" s="64" t="n">
        <f aca="false">IF(CS503="","",PERCENTRANK($CS$7:$CS$1843,CS503)+PERCENTRANK($CU$7:$CU$1843,CU503)+1-PERCENTRANK($CT$7:$CT$1843,CT503))</f>
        <v>1.762</v>
      </c>
      <c r="CZ503" s="72" t="n">
        <f aca="false">IF(CS503="","",CHOOSE(MATCH(Einkauf!$C$5,Parameter!$G$23:$G$27,0),CY503,CS503,CU503,-CT503,CW503)+ROW()/1000000000)</f>
        <v>1.762000503</v>
      </c>
    </row>
    <row r="504" customFormat="false" ht="15" hidden="false" customHeight="false" outlineLevel="0" collapsed="false">
      <c r="A504" s="60" t="s">
        <v>1147</v>
      </c>
      <c r="B504" s="60" t="s">
        <v>1148</v>
      </c>
      <c r="C504" s="60" t="s">
        <v>206</v>
      </c>
      <c r="D504" s="60" t="s">
        <v>226</v>
      </c>
      <c r="E504" s="60" t="s">
        <v>227</v>
      </c>
      <c r="F504" s="60" t="s">
        <v>260</v>
      </c>
      <c r="G504" s="61" t="n">
        <v>0.21</v>
      </c>
      <c r="H504" s="62" t="n">
        <f aca="false">MAX(0,IF(AND(Parameter!$B$21="Ja",ISNUMBER(Y504)),Y504,IF(Parameter!$B$20="Jahresanfang 2025 + Export",BS504+BR504,BR504)))</f>
        <v>1570</v>
      </c>
      <c r="I504" s="62" t="n">
        <f aca="false">H504*G504</f>
        <v>329.7</v>
      </c>
      <c r="J504" s="62" t="n">
        <f aca="false">BU504*Parameter!$B$18</f>
        <v>0</v>
      </c>
      <c r="K504" s="63" t="n">
        <v>1200</v>
      </c>
      <c r="L504" s="64" t="n">
        <v>0</v>
      </c>
      <c r="M504" s="62" t="n">
        <v>0</v>
      </c>
      <c r="N504" s="62" t="n">
        <v>1</v>
      </c>
      <c r="O504" s="65" t="n">
        <v>14</v>
      </c>
      <c r="P504" s="60" t="s">
        <v>468</v>
      </c>
      <c r="Q504" s="62" t="n">
        <v>8000</v>
      </c>
      <c r="R504" s="65" t="n">
        <f aca="false">IF(CA504=1,0,IFERROR(VLOOKUP(BY504,'Gebinde-Kategorie'!$A$5:$N$45,13,0)+0,0))</f>
        <v>140</v>
      </c>
      <c r="S504" s="66"/>
      <c r="T504" s="67"/>
      <c r="U504" s="67"/>
      <c r="V504" s="67"/>
      <c r="W504" s="60"/>
      <c r="X504" s="62"/>
      <c r="Y504" s="62"/>
      <c r="Z504" s="60" t="n">
        <v>1</v>
      </c>
      <c r="AA504" s="60" t="n">
        <f aca="false">IF(A504="","",IF(AND(Parameter!$B$21="Ja",ISNUMBER(W504)),W504,IF(AND(Parameter!$E$27="Ja",ISNUMBER(Z504),CD504&lt;&gt;"Nein"),Z504,IF(CD504="2+3",IF(ISNUMBER(SEARCH("grosser Artikel",BV504)),2,IFERROR(VLOOKUP(BY504,Parameter!$F$35:$G$64,2,0),2)),IF(OR(CD504="Nein",CD504=""),"-",CD504)))))</f>
        <v>1</v>
      </c>
      <c r="AB504" s="67"/>
      <c r="AC504" s="68"/>
      <c r="AD504" s="62" t="n">
        <f aca="false">AW504</f>
        <v>1</v>
      </c>
      <c r="AE504" s="62" t="n">
        <f aca="false">MAX(AW504,H504)</f>
        <v>1570</v>
      </c>
      <c r="AF504" s="69"/>
      <c r="AG504" s="62" t="n">
        <f aca="false">IF(LEFT(Cockpit!$C$5,1)="A",H504,IF(Parameter!$E$30="MAX-Bestand",IF(CI504=1,CJ504,IF(LEFT(Cockpit!$C$5,1)="B",AM504,MAX(AM504,H504))),ROUNDUP(AK504,0)))</f>
        <v>1570</v>
      </c>
      <c r="AH504" s="62" t="n">
        <f aca="false">IF(CA504=1,0,ROUNDUP(AG504/BZ504,0))</f>
        <v>1</v>
      </c>
      <c r="AI504" s="64" t="n">
        <f aca="false">IF(CR504&gt;0,CR504*MAX(1,AG504/X504),IF(CA504=1,IF(AG504&lt;=0,0,CE504*MAX(1,IF(H504&gt;0,AG504/H504,1))),IF(R504&gt;0,AH504/R504,0))/MAX(0.1,N(Parameter!$M$21)))</f>
        <v>0.00714285714285714</v>
      </c>
      <c r="AJ504" s="62" t="n">
        <f aca="false">AI504*CC504</f>
        <v>1.10714285714286</v>
      </c>
      <c r="AK504" s="63" t="n">
        <f aca="false">IF(LEFT(Cockpit!$C$5,1)="A",H504,IF(CI504=1,(CL504+CJ504)/2,IF(LEFT(Cockpit!$C$5,1)="B",(CL504+AM504)/2,MAX((CL504+AM504)/2,H504))))</f>
        <v>1570</v>
      </c>
      <c r="AL504" s="62" t="n">
        <f aca="false">AK504*G504</f>
        <v>329.7</v>
      </c>
      <c r="AM504" s="62" t="n">
        <f aca="false">ROUNDUP(CL504+MAX(CM504,2*(J504/IF(CH504&gt;0,CH504,MAX(0.1,N(Cockpit!$C$6)))-CL504)),0)</f>
        <v>1</v>
      </c>
      <c r="AN504" s="63" t="n">
        <f aca="false">IF(AJ504&gt;0,J504/AJ504,-1)</f>
        <v>0</v>
      </c>
      <c r="AO504" s="63" t="n">
        <f aca="false">IF(AND(OR(CG504="L1",CG504="L23",CG504="LIFT"),AJ504&gt;0),SUMIFS($AJ$7:$AJ$1843,$CG$7:$CG$1843,CG504,$AN$7:$AN$1843,"&gt;"&amp;AN504)+SUMIFS($AJ$7:$AJ$1843,$CG$7:$CG$1843,CG504,$AN$7:$AN$1843,AN504,$BX$7:$BX$1843,"&lt;="&amp;BX504),"")</f>
        <v>28260.9685747398</v>
      </c>
      <c r="AP504" s="70" t="n">
        <f aca="false">IF(AO504="",0,MAX(0,MIN(1,(IF(CG504="L1",Parameter!$H$5,IF(CG504="L23",Parameter!$H$6+Parameter!$H$7,Parameter!$H$5+Parameter!$H$6+Parameter!$H$7))-(AO504-AJ504))/AJ504)))</f>
        <v>1</v>
      </c>
      <c r="AQ504" s="62" t="n">
        <f aca="false">IF(LEFT(Cockpit!$I$5,1)="A",H504,IF(Parameter!$E$30="MAX-Bestand",IF(CI504=1,CJ504,IF(LEFT(Cockpit!$I$5,1)="B",AW504,MAX(AW504,H504))),ROUNDUP(AU504,0)))</f>
        <v>1570</v>
      </c>
      <c r="AR504" s="62" t="n">
        <f aca="false">IF(CA504=1,0,ROUNDUP(AQ504/BZ504,0))</f>
        <v>1</v>
      </c>
      <c r="AS504" s="64" t="n">
        <f aca="false">IF(CR504&gt;0,CR504*MAX(1,AQ504/X504),IF(CA504=1,IF(AQ504&lt;=0,0,CE504*MAX(1,IF(H504&gt;0,AQ504/H504,1))),IF(R504&gt;0,AR504/R504,0))/MAX(0.1,N(Parameter!$M$21)))</f>
        <v>0.00714285714285714</v>
      </c>
      <c r="AT504" s="62" t="n">
        <f aca="false">AS504*CC504</f>
        <v>1.10714285714286</v>
      </c>
      <c r="AU504" s="63" t="n">
        <f aca="false">IF(LEFT(Cockpit!$I$5,1)="A",H504,IF(CI504=1,(CL504+CJ504)/2,IF(LEFT(Cockpit!$I$5,1)="B",(CL504+AW504)/2,MAX((CL504+AW504)/2,H504))))</f>
        <v>1570</v>
      </c>
      <c r="AV504" s="62" t="n">
        <f aca="false">AU504*G504</f>
        <v>329.7</v>
      </c>
      <c r="AW504" s="62" t="n">
        <f aca="false">ROUNDUP(CL504+MAX(CM504,2*(J504/IF(CH504&gt;0,CH504,MAX(0.1,N(Cockpit!$I$6)))-CL504)),0)</f>
        <v>1</v>
      </c>
      <c r="AX504" s="63" t="n">
        <f aca="false">IF(AT504&gt;0,J504/AT504,-1)</f>
        <v>0</v>
      </c>
      <c r="AY504" s="63" t="n">
        <f aca="false">IF(AND(OR(CG504="L1",CG504="L23",CG504="LIFT"),AT504&gt;0),SUMIFS($AT$7:$AT$1843,$CG$7:$CG$1843,CG504,$AX$7:$AX$1843,"&gt;"&amp;AX504)+SUMIFS($AT$7:$AT$1843,$CG$7:$CG$1843,CG504,$AX$7:$AX$1843,AX504,$BX$7:$BX$1843,"&lt;="&amp;BX504),"")</f>
        <v>33614.1172161172</v>
      </c>
      <c r="AZ504" s="70" t="n">
        <f aca="false">IF(AY504="",0,MAX(0,MIN(1,(IF(CG504="L1",Parameter!$H$5,IF(CG504="L23",Parameter!$H$6+Parameter!$H$7,Parameter!$H$5+Parameter!$H$6+Parameter!$H$7))-(AY504-AT504))/AT504)))</f>
        <v>1</v>
      </c>
      <c r="BA504" s="62" t="n">
        <f aca="false">IF(LEFT(Cockpit!$O$5,1)="A",H504,IF(Parameter!$E$30="MAX-Bestand",IF(CI504=1,CJ504,IF(LEFT(Cockpit!$O$5,1)="B",BG504,MAX(BG504,H504))),ROUNDUP(BE504,0)))</f>
        <v>1</v>
      </c>
      <c r="BB504" s="62" t="n">
        <f aca="false">IF(CA504=1,0,ROUNDUP(BA504/BZ504,0))</f>
        <v>1</v>
      </c>
      <c r="BC504" s="64" t="n">
        <f aca="false">IF(CR504&gt;0,CR504*MAX(1,BA504/X504),IF(CA504=1,IF(BA504&lt;=0,0,CE504*MAX(1,IF(H504&gt;0,BA504/H504,1))),IF(R504&gt;0,BB504/R504,0))/MAX(0.1,N(Parameter!$M$21)))</f>
        <v>0.00714285714285714</v>
      </c>
      <c r="BD504" s="62" t="n">
        <f aca="false">BC504*CC504</f>
        <v>1.10714285714286</v>
      </c>
      <c r="BE504" s="63" t="n">
        <f aca="false">IF(LEFT(Cockpit!$O$5,1)="A",H504,IF(CI504=1,(CL504+CJ504)/2,IF(LEFT(Cockpit!$O$5,1)="B",(CL504+BG504)/2,MAX((CL504+BG504)/2,H504))))</f>
        <v>0.5</v>
      </c>
      <c r="BF504" s="62" t="n">
        <f aca="false">BE504*G504</f>
        <v>0.105</v>
      </c>
      <c r="BG504" s="62" t="n">
        <f aca="false">ROUNDUP(CL504+MAX(CM504,2*(J504/IF(CH504&gt;0,CH504,MAX(0.1,N(Cockpit!$O$6)))-CL504)),0)</f>
        <v>1</v>
      </c>
      <c r="BH504" s="63" t="n">
        <f aca="false">IF(BD504&gt;0,J504/BD504,-1)</f>
        <v>0</v>
      </c>
      <c r="BI504" s="63" t="n">
        <f aca="false">IF(AND(OR(CG504="L1",CG504="L23",CG504="LIFT"),BD504&gt;0),SUMIFS($BD$7:$BD$1843,$CG$7:$CG$1843,CG504,$BH$7:$BH$1843,"&gt;"&amp;BH504)+SUMIFS($BD$7:$BD$1843,$CG$7:$CG$1843,CG504,$BH$7:$BH$1843,BH504,$BX$7:$BX$1843,"&lt;="&amp;BX504),"")</f>
        <v>27718.3712205873</v>
      </c>
      <c r="BJ504" s="70" t="n">
        <f aca="false">IF(BI504="",0,MAX(0,MIN(1,(IF(CG504="L1",Parameter!$H$5,IF(CG504="L23",Parameter!$H$6+Parameter!$H$7,Parameter!$H$5+Parameter!$H$6+Parameter!$H$7))-(BI504-BD504))/BD504)))</f>
        <v>1</v>
      </c>
      <c r="BK504" s="60" t="str">
        <f aca="false">IF(AJ504&lt;=0,"",IF(CG504="Aussen","Aussenlager",IF(CG504="-","Nicht im Lift",IF(AP504&gt;=1,"Lift",IF(AP504&lt;=0,"Aussenlager","teilweise")))))</f>
        <v>Lift</v>
      </c>
      <c r="BL504" s="60" t="str">
        <f aca="false">IF(AT504&lt;=0,"",IF(CG504="Aussen","Aussenlager",IF(CG504="-","Nicht im Lift",IF(AZ504&gt;=1,"Lift",IF(AZ504&lt;=0,"Aussenlager","teilweise")))))</f>
        <v>Lift</v>
      </c>
      <c r="BM504" s="60" t="str">
        <f aca="false">IF(BD504&lt;=0,"",IF(CG504="Aussen","Aussenlager",IF(CG504="-","Nicht im Lift",IF(BJ504&gt;=1,"Lift",IF(BJ504&lt;=0,"Aussenlager","teilweise")))))</f>
        <v>Lift</v>
      </c>
      <c r="BN504" s="60" t="str">
        <f aca="false">IF(A504="","",IF(BW504=1,"Neu; ","")&amp;IF(AND(BW504=0,BR504&lt;0),"negativer Bestand (Export "&amp;BR504&amp;"); ","")&amp;IF(J504&lt;=0,"Kein Verbrauch; ","")&amp;IF(CR504&gt;0,"Lift "&amp;W504&amp;" lt. Liftbericht (Fach "&amp;X504&amp;" Stk); ",IF(CB504=1,"Gebinde geschätzt ("&amp;T504&amp;"); ",IF(CA504=1,"Lose – Tablare geschätzt; ","")))&amp;IF(H504&gt;AW504,"Überbestand "&amp;ROUND(H504-AW504,0)&amp;" Stk / CHF "&amp;ROUND((H504-AW504)*G504,0)&amp;"; ","")&amp;IF(AND(CI504=1,CJ504&lt;CK504),"MAX &lt; MB+LG; ","")&amp;IF(AND(CQ504&gt;0,CP504*10&gt;CQ504),"zu hoch für Tablar; ","")&amp;IF(AND(BW504=0,OR(CI504=1,AB504&lt;&gt;"",U504&lt;&gt;"",V504&lt;&gt;"",AC504&lt;&gt;"")),"manuell übersteuert; ","")&amp;IF(AND(CA504=0,R504=0),"Gebinde unbekannt / Stellmass fehlt; ","")&amp;IF(AND(CA504=0,N(V504)&lt;=0,N(Q504)&lt;=0),"Menge pro Gebinde fehlt (Ist = 1 Gebinde); ","")&amp;BV504)</f>
        <v>Kein Verbrauch; Überbestand 1569 Stk / CHF 329; </v>
      </c>
      <c r="BO504" s="60"/>
      <c r="BP504" s="60"/>
      <c r="BQ504" s="67"/>
      <c r="BR504" s="62" t="n">
        <v>170</v>
      </c>
      <c r="BS504" s="62" t="n">
        <v>1400</v>
      </c>
      <c r="BT504" s="61" t="n">
        <v>35.7</v>
      </c>
      <c r="BU504" s="62" t="n">
        <v>0</v>
      </c>
      <c r="BV504" s="60"/>
      <c r="BW504" s="65" t="n">
        <v>0</v>
      </c>
      <c r="BX504" s="65" t="n">
        <v>504</v>
      </c>
      <c r="BY504" s="60" t="str">
        <f aca="false">IF(U504&lt;&gt;"",UPPER(TRIM(U504)),IF(CB504=1,UPPER(VLOOKUP(T504,Parameter!$I$27:$K$29,2,0)),IF(P504="","LOSE",P504)))</f>
        <v>S22</v>
      </c>
      <c r="BZ504" s="62" t="n">
        <f aca="false">IF(BY504="LOSE",1,IF(N(V504)&gt;0,V504,IF(CB504=1,MAX(1,N(VLOOKUP(T504,Parameter!$I$27:$K$29,3,0)),H504,N(N504)),IF(N(Q504)&gt;0,Q504,MAX(1,H504)))))</f>
        <v>8000</v>
      </c>
      <c r="CA504" s="65" t="n">
        <f aca="false">IF(BY504="LOSE",1,0)</f>
        <v>0</v>
      </c>
      <c r="CB504" s="65" t="n">
        <f aca="false">IF(AND(U504="",OR(P504="",P504="LOSE"),T504&lt;&gt;"",N(S504)&lt;=0,ISNUMBER(MATCH(T504,Parameter!$I$27:$I$29,0))),1,0)</f>
        <v>0</v>
      </c>
      <c r="CC504" s="65" t="n">
        <f aca="false">IF(CR504&gt;0,INDEX(Parameter!$H$5:$H$7,W504)/INDEX(Parameter!$E$5:$E$7,W504),IF(AND(CA504=0,N(IFERROR(VLOOKUP(BY504,'Gebinde-Kategorie'!$A$5:$N$45,14,0),0))&gt;0),VLOOKUP(BY504,'Gebinde-Kategorie'!$A$5:$N$45,14,0)*10+Parameter!$M$23,Parameter!$M$24))</f>
        <v>155</v>
      </c>
      <c r="CD504" s="60" t="str">
        <f aca="false">IF(AND(Parameter!$B$19="Ja",E504&lt;&gt;"",ISNUMBER(MATCH(E504,Parameter!$I$35:$I$52,0))),VLOOKUP(E504,Parameter!$I$35:$J$52,2,0),IFERROR(VLOOKUP(D504,Parameter!$A$35:$C$64,2,0),"Nein"))</f>
        <v>2+3</v>
      </c>
      <c r="CE504" s="64" t="n">
        <f aca="false">IF(CA504=0,0,IF(N(S504)&gt;0,S504,IFERROR(VLOOKUP(D504,Parameter!$A$35:$C$64,3,0)+0,0)))</f>
        <v>0</v>
      </c>
      <c r="CF504" s="60" t="n">
        <f aca="false">IF(AB504&lt;&gt;"",AB504,AA504)</f>
        <v>1</v>
      </c>
      <c r="CG504" s="60" t="str">
        <f aca="false">IF(OR(CF504=1,CF504=2,CF504=3),IF(Parameter!$E$27="Ja","LIFT",IF(CF504=1,"L1","L23")),IF(CF504="Aussen","Aussen","-"))</f>
        <v>LIFT</v>
      </c>
      <c r="CH504" s="71" t="n">
        <f aca="false">IF(N(AC504)&gt;0,AC504,0)</f>
        <v>0</v>
      </c>
      <c r="CI504" s="65" t="n">
        <f aca="false">IF(ISNUMBER(AF504),1,0)</f>
        <v>0</v>
      </c>
      <c r="CJ504" s="62" t="n">
        <f aca="false">N(AF504)</f>
        <v>0</v>
      </c>
      <c r="CK504" s="62" t="n">
        <f aca="false">N(M504)+N(N504)</f>
        <v>1</v>
      </c>
      <c r="CL504" s="62" t="n">
        <f aca="false">N(M504)</f>
        <v>0</v>
      </c>
      <c r="CM504" s="62" t="n">
        <f aca="false">N(N504)</f>
        <v>1</v>
      </c>
      <c r="CN504" s="62" t="n">
        <f aca="false">ROUNDUP(H504/BZ504,0)</f>
        <v>1</v>
      </c>
      <c r="CO504" s="62" t="n">
        <f aca="false">ROUNDUP(CJ504/BZ504,0)</f>
        <v>0</v>
      </c>
      <c r="CP504" s="65" t="n">
        <f aca="false">IF(CA504=1,0,IFERROR(VLOOKUP(BY504,'Gebinde-Kategorie'!$A$5:$N$45,5,0)+0,0))</f>
        <v>8</v>
      </c>
      <c r="CQ504" s="65" t="n">
        <f aca="false">IFERROR(IF(OR(CF504=1,CF504=2,CF504=3),N(INDEX(Parameter!$I$5:$I$7,CF504)),0),0)</f>
        <v>0</v>
      </c>
      <c r="CR504" s="64" t="n">
        <f aca="false">IF(AND(Parameter!$B$21="Ja",ISNUMBER(W504),N(X504)&gt;0),IFERROR(N(INDEX(Parameter!$L$5:$L$7,W504))*INDEX(Parameter!$E$5:$E$7,W504)*X504/SUMIFS($X$7:$X$1843,$W$7:$W$1843,W504),0),0)</f>
        <v>0</v>
      </c>
      <c r="CS504" s="62" t="n">
        <f aca="false">IF(AND(OR(CG504="L1",CG504="L23",CG504="LIFT"),H504&gt;0),CC504*IF(CR504&gt;0,CR504*MAX(1,H504/X504),IF(CA504=1,CE504,IF(R504&gt;0,CN504/R504,0))/MAX(0.1,N(Parameter!$M$21))),"")</f>
        <v>1.10714285714286</v>
      </c>
      <c r="CT504" s="64" t="n">
        <f aca="false">IF(CS504="","",J504/H504)</f>
        <v>0</v>
      </c>
      <c r="CU504" s="62" t="n">
        <f aca="false">IF(CS504="","",H504*G504)</f>
        <v>329.7</v>
      </c>
      <c r="CV504" s="63" t="n">
        <f aca="false">IF(CS504="","",(CL504+ROUNDUP(CL504+MAX(CM504,2*(J504/MAX(0.1,N(Einkauf!$C$6))-CL504)),0))/2)</f>
        <v>0.5</v>
      </c>
      <c r="CW504" s="62" t="n">
        <f aca="false">IF(CS504="","",MAX(0,H504-CV504)*G504)</f>
        <v>329.595</v>
      </c>
      <c r="CX504" s="62" t="n">
        <f aca="false">IF(CS504="","",CS504*MAX(0,1-CV504/H504))</f>
        <v>1.10679026387625</v>
      </c>
      <c r="CY504" s="64" t="n">
        <f aca="false">IF(CS504="","",PERCENTRANK($CS$7:$CS$1843,CS504)+PERCENTRANK($CU$7:$CU$1843,CU504)+1-PERCENTRANK($CT$7:$CT$1843,CT504))</f>
        <v>1.4984</v>
      </c>
      <c r="CZ504" s="72" t="n">
        <f aca="false">IF(CS504="","",CHOOSE(MATCH(Einkauf!$C$5,Parameter!$G$23:$G$27,0),CY504,CS504,CU504,-CT504,CW504)+ROW()/1000000000)</f>
        <v>1.498400504</v>
      </c>
    </row>
    <row r="505" customFormat="false" ht="15" hidden="false" customHeight="false" outlineLevel="0" collapsed="false">
      <c r="A505" s="60" t="s">
        <v>1149</v>
      </c>
      <c r="B505" s="60" t="s">
        <v>1150</v>
      </c>
      <c r="C505" s="60" t="s">
        <v>206</v>
      </c>
      <c r="D505" s="60" t="s">
        <v>226</v>
      </c>
      <c r="E505" s="60" t="s">
        <v>227</v>
      </c>
      <c r="F505" s="60" t="s">
        <v>260</v>
      </c>
      <c r="G505" s="61" t="n">
        <v>17.5</v>
      </c>
      <c r="H505" s="62" t="n">
        <f aca="false">MAX(0,IF(AND(Parameter!$B$21="Ja",ISNUMBER(Y505)),Y505,IF(Parameter!$B$20="Jahresanfang 2025 + Export",BS505+BR505,BR505)))</f>
        <v>30</v>
      </c>
      <c r="I505" s="62" t="n">
        <f aca="false">H505*G505</f>
        <v>525</v>
      </c>
      <c r="J505" s="62" t="n">
        <f aca="false">BU505*Parameter!$B$18</f>
        <v>0</v>
      </c>
      <c r="K505" s="63" t="n">
        <v>29</v>
      </c>
      <c r="L505" s="64" t="n">
        <v>0</v>
      </c>
      <c r="M505" s="62" t="n">
        <v>0</v>
      </c>
      <c r="N505" s="62" t="n">
        <v>1</v>
      </c>
      <c r="O505" s="65" t="n">
        <v>35</v>
      </c>
      <c r="P505" s="60" t="s">
        <v>370</v>
      </c>
      <c r="Q505" s="62" t="n">
        <v>30</v>
      </c>
      <c r="R505" s="65" t="n">
        <f aca="false">IF(CA505=1,0,IFERROR(VLOOKUP(BY505,'Gebinde-Kategorie'!$A$5:$N$45,13,0)+0,0))</f>
        <v>52</v>
      </c>
      <c r="S505" s="66"/>
      <c r="T505" s="67"/>
      <c r="U505" s="67"/>
      <c r="V505" s="67"/>
      <c r="W505" s="60"/>
      <c r="X505" s="62"/>
      <c r="Y505" s="62"/>
      <c r="Z505" s="60" t="n">
        <v>3</v>
      </c>
      <c r="AA505" s="60" t="n">
        <f aca="false">IF(A505="","",IF(AND(Parameter!$B$21="Ja",ISNUMBER(W505)),W505,IF(AND(Parameter!$E$27="Ja",ISNUMBER(Z505),CD505&lt;&gt;"Nein"),Z505,IF(CD505="2+3",IF(ISNUMBER(SEARCH("grosser Artikel",BV505)),2,IFERROR(VLOOKUP(BY505,Parameter!$F$35:$G$64,2,0),2)),IF(OR(CD505="Nein",CD505=""),"-",CD505)))))</f>
        <v>3</v>
      </c>
      <c r="AB505" s="67"/>
      <c r="AC505" s="68"/>
      <c r="AD505" s="62" t="n">
        <f aca="false">AW505</f>
        <v>1</v>
      </c>
      <c r="AE505" s="62" t="n">
        <f aca="false">MAX(AW505,H505)</f>
        <v>30</v>
      </c>
      <c r="AF505" s="69"/>
      <c r="AG505" s="62" t="n">
        <f aca="false">IF(LEFT(Cockpit!$C$5,1)="A",H505,IF(Parameter!$E$30="MAX-Bestand",IF(CI505=1,CJ505,IF(LEFT(Cockpit!$C$5,1)="B",AM505,MAX(AM505,H505))),ROUNDUP(AK505,0)))</f>
        <v>30</v>
      </c>
      <c r="AH505" s="62" t="n">
        <f aca="false">IF(CA505=1,0,ROUNDUP(AG505/BZ505,0))</f>
        <v>1</v>
      </c>
      <c r="AI505" s="64" t="n">
        <f aca="false">IF(CR505&gt;0,CR505*MAX(1,AG505/X505),IF(CA505=1,IF(AG505&lt;=0,0,CE505*MAX(1,IF(H505&gt;0,AG505/H505,1))),IF(R505&gt;0,AH505/R505,0))/MAX(0.1,N(Parameter!$M$21)))</f>
        <v>0.0192307692307692</v>
      </c>
      <c r="AJ505" s="62" t="n">
        <f aca="false">AI505*CC505</f>
        <v>2.98076923076923</v>
      </c>
      <c r="AK505" s="63" t="n">
        <f aca="false">IF(LEFT(Cockpit!$C$5,1)="A",H505,IF(CI505=1,(CL505+CJ505)/2,IF(LEFT(Cockpit!$C$5,1)="B",(CL505+AM505)/2,MAX((CL505+AM505)/2,H505))))</f>
        <v>30</v>
      </c>
      <c r="AL505" s="62" t="n">
        <f aca="false">AK505*G505</f>
        <v>525</v>
      </c>
      <c r="AM505" s="62" t="n">
        <f aca="false">ROUNDUP(CL505+MAX(CM505,2*(J505/IF(CH505&gt;0,CH505,MAX(0.1,N(Cockpit!$C$6)))-CL505)),0)</f>
        <v>1</v>
      </c>
      <c r="AN505" s="63" t="n">
        <f aca="false">IF(AJ505&gt;0,J505/AJ505,-1)</f>
        <v>0</v>
      </c>
      <c r="AO505" s="63" t="n">
        <f aca="false">IF(AND(OR(CG505="L1",CG505="L23",CG505="LIFT"),AJ505&gt;0),SUMIFS($AJ$7:$AJ$1843,$CG$7:$CG$1843,CG505,$AN$7:$AN$1843,"&gt;"&amp;AN505)+SUMIFS($AJ$7:$AJ$1843,$CG$7:$CG$1843,CG505,$AN$7:$AN$1843,AN505,$BX$7:$BX$1843,"&lt;="&amp;BX505),"")</f>
        <v>28263.9493439705</v>
      </c>
      <c r="AP505" s="70" t="n">
        <f aca="false">IF(AO505="",0,MAX(0,MIN(1,(IF(CG505="L1",Parameter!$H$5,IF(CG505="L23",Parameter!$H$6+Parameter!$H$7,Parameter!$H$5+Parameter!$H$6+Parameter!$H$7))-(AO505-AJ505))/AJ505)))</f>
        <v>1</v>
      </c>
      <c r="AQ505" s="62" t="n">
        <f aca="false">IF(LEFT(Cockpit!$I$5,1)="A",H505,IF(Parameter!$E$30="MAX-Bestand",IF(CI505=1,CJ505,IF(LEFT(Cockpit!$I$5,1)="B",AW505,MAX(AW505,H505))),ROUNDUP(AU505,0)))</f>
        <v>30</v>
      </c>
      <c r="AR505" s="62" t="n">
        <f aca="false">IF(CA505=1,0,ROUNDUP(AQ505/BZ505,0))</f>
        <v>1</v>
      </c>
      <c r="AS505" s="64" t="n">
        <f aca="false">IF(CR505&gt;0,CR505*MAX(1,AQ505/X505),IF(CA505=1,IF(AQ505&lt;=0,0,CE505*MAX(1,IF(H505&gt;0,AQ505/H505,1))),IF(R505&gt;0,AR505/R505,0))/MAX(0.1,N(Parameter!$M$21)))</f>
        <v>0.0192307692307692</v>
      </c>
      <c r="AT505" s="62" t="n">
        <f aca="false">AS505*CC505</f>
        <v>2.98076923076923</v>
      </c>
      <c r="AU505" s="63" t="n">
        <f aca="false">IF(LEFT(Cockpit!$I$5,1)="A",H505,IF(CI505=1,(CL505+CJ505)/2,IF(LEFT(Cockpit!$I$5,1)="B",(CL505+AW505)/2,MAX((CL505+AW505)/2,H505))))</f>
        <v>30</v>
      </c>
      <c r="AV505" s="62" t="n">
        <f aca="false">AU505*G505</f>
        <v>525</v>
      </c>
      <c r="AW505" s="62" t="n">
        <f aca="false">ROUNDUP(CL505+MAX(CM505,2*(J505/IF(CH505&gt;0,CH505,MAX(0.1,N(Cockpit!$I$6)))-CL505)),0)</f>
        <v>1</v>
      </c>
      <c r="AX505" s="63" t="n">
        <f aca="false">IF(AT505&gt;0,J505/AT505,-1)</f>
        <v>0</v>
      </c>
      <c r="AY505" s="63" t="n">
        <f aca="false">IF(AND(OR(CG505="L1",CG505="L23",CG505="LIFT"),AT505&gt;0),SUMIFS($AT$7:$AT$1843,$CG$7:$CG$1843,CG505,$AX$7:$AX$1843,"&gt;"&amp;AX505)+SUMIFS($AT$7:$AT$1843,$CG$7:$CG$1843,CG505,$AX$7:$AX$1843,AX505,$BX$7:$BX$1843,"&lt;="&amp;BX505),"")</f>
        <v>33617.097985348</v>
      </c>
      <c r="AZ505" s="70" t="n">
        <f aca="false">IF(AY505="",0,MAX(0,MIN(1,(IF(CG505="L1",Parameter!$H$5,IF(CG505="L23",Parameter!$H$6+Parameter!$H$7,Parameter!$H$5+Parameter!$H$6+Parameter!$H$7))-(AY505-AT505))/AT505)))</f>
        <v>1</v>
      </c>
      <c r="BA505" s="62" t="n">
        <f aca="false">IF(LEFT(Cockpit!$O$5,1)="A",H505,IF(Parameter!$E$30="MAX-Bestand",IF(CI505=1,CJ505,IF(LEFT(Cockpit!$O$5,1)="B",BG505,MAX(BG505,H505))),ROUNDUP(BE505,0)))</f>
        <v>1</v>
      </c>
      <c r="BB505" s="62" t="n">
        <f aca="false">IF(CA505=1,0,ROUNDUP(BA505/BZ505,0))</f>
        <v>1</v>
      </c>
      <c r="BC505" s="64" t="n">
        <f aca="false">IF(CR505&gt;0,CR505*MAX(1,BA505/X505),IF(CA505=1,IF(BA505&lt;=0,0,CE505*MAX(1,IF(H505&gt;0,BA505/H505,1))),IF(R505&gt;0,BB505/R505,0))/MAX(0.1,N(Parameter!$M$21)))</f>
        <v>0.0192307692307692</v>
      </c>
      <c r="BD505" s="62" t="n">
        <f aca="false">BC505*CC505</f>
        <v>2.98076923076923</v>
      </c>
      <c r="BE505" s="63" t="n">
        <f aca="false">IF(LEFT(Cockpit!$O$5,1)="A",H505,IF(CI505=1,(CL505+CJ505)/2,IF(LEFT(Cockpit!$O$5,1)="B",(CL505+BG505)/2,MAX((CL505+BG505)/2,H505))))</f>
        <v>0.5</v>
      </c>
      <c r="BF505" s="62" t="n">
        <f aca="false">BE505*G505</f>
        <v>8.75</v>
      </c>
      <c r="BG505" s="62" t="n">
        <f aca="false">ROUNDUP(CL505+MAX(CM505,2*(J505/IF(CH505&gt;0,CH505,MAX(0.1,N(Cockpit!$O$6)))-CL505)),0)</f>
        <v>1</v>
      </c>
      <c r="BH505" s="63" t="n">
        <f aca="false">IF(BD505&gt;0,J505/BD505,-1)</f>
        <v>0</v>
      </c>
      <c r="BI505" s="63" t="n">
        <f aca="false">IF(AND(OR(CG505="L1",CG505="L23",CG505="LIFT"),BD505&gt;0),SUMIFS($BD$7:$BD$1843,$CG$7:$CG$1843,CG505,$BH$7:$BH$1843,"&gt;"&amp;BH505)+SUMIFS($BD$7:$BD$1843,$CG$7:$CG$1843,CG505,$BH$7:$BH$1843,BH505,$BX$7:$BX$1843,"&lt;="&amp;BX505),"")</f>
        <v>27721.3519898181</v>
      </c>
      <c r="BJ505" s="70" t="n">
        <f aca="false">IF(BI505="",0,MAX(0,MIN(1,(IF(CG505="L1",Parameter!$H$5,IF(CG505="L23",Parameter!$H$6+Parameter!$H$7,Parameter!$H$5+Parameter!$H$6+Parameter!$H$7))-(BI505-BD505))/BD505)))</f>
        <v>1</v>
      </c>
      <c r="BK505" s="60" t="str">
        <f aca="false">IF(AJ505&lt;=0,"",IF(CG505="Aussen","Aussenlager",IF(CG505="-","Nicht im Lift",IF(AP505&gt;=1,"Lift",IF(AP505&lt;=0,"Aussenlager","teilweise")))))</f>
        <v>Lift</v>
      </c>
      <c r="BL505" s="60" t="str">
        <f aca="false">IF(AT505&lt;=0,"",IF(CG505="Aussen","Aussenlager",IF(CG505="-","Nicht im Lift",IF(AZ505&gt;=1,"Lift",IF(AZ505&lt;=0,"Aussenlager","teilweise")))))</f>
        <v>Lift</v>
      </c>
      <c r="BM505" s="60" t="str">
        <f aca="false">IF(BD505&lt;=0,"",IF(CG505="Aussen","Aussenlager",IF(CG505="-","Nicht im Lift",IF(BJ505&gt;=1,"Lift",IF(BJ505&lt;=0,"Aussenlager","teilweise")))))</f>
        <v>Lift</v>
      </c>
      <c r="BN505" s="60" t="str">
        <f aca="false">IF(A505="","",IF(BW505=1,"Neu; ","")&amp;IF(AND(BW505=0,BR505&lt;0),"negativer Bestand (Export "&amp;BR505&amp;"); ","")&amp;IF(J505&lt;=0,"Kein Verbrauch; ","")&amp;IF(CR505&gt;0,"Lift "&amp;W505&amp;" lt. Liftbericht (Fach "&amp;X505&amp;" Stk); ",IF(CB505=1,"Gebinde geschätzt ("&amp;T505&amp;"); ",IF(CA505=1,"Lose – Tablare geschätzt; ","")))&amp;IF(H505&gt;AW505,"Überbestand "&amp;ROUND(H505-AW505,0)&amp;" Stk / CHF "&amp;ROUND((H505-AW505)*G505,0)&amp;"; ","")&amp;IF(AND(CI505=1,CJ505&lt;CK505),"MAX &lt; MB+LG; ","")&amp;IF(AND(CQ505&gt;0,CP505*10&gt;CQ505),"zu hoch für Tablar; ","")&amp;IF(AND(BW505=0,OR(CI505=1,AB505&lt;&gt;"",U505&lt;&gt;"",V505&lt;&gt;"",AC505&lt;&gt;"")),"manuell übersteuert; ","")&amp;IF(AND(CA505=0,R505=0),"Gebinde unbekannt / Stellmass fehlt; ","")&amp;IF(AND(CA505=0,N(V505)&lt;=0,N(Q505)&lt;=0),"Menge pro Gebinde fehlt (Ist = 1 Gebinde); ","")&amp;BV505)</f>
        <v>Kein Verbrauch; Überbestand 29 Stk / CHF 508; </v>
      </c>
      <c r="BO505" s="60"/>
      <c r="BP505" s="60"/>
      <c r="BQ505" s="67"/>
      <c r="BR505" s="62" t="n">
        <v>2</v>
      </c>
      <c r="BS505" s="62" t="n">
        <v>28</v>
      </c>
      <c r="BT505" s="61" t="n">
        <v>35</v>
      </c>
      <c r="BU505" s="62" t="n">
        <v>0</v>
      </c>
      <c r="BV505" s="60"/>
      <c r="BW505" s="65" t="n">
        <v>0</v>
      </c>
      <c r="BX505" s="65" t="n">
        <v>505</v>
      </c>
      <c r="BY505" s="60" t="str">
        <f aca="false">IF(U505&lt;&gt;"",UPPER(TRIM(U505)),IF(CB505=1,UPPER(VLOOKUP(T505,Parameter!$I$27:$K$29,2,0)),IF(P505="","LOSE",P505)))</f>
        <v>S41</v>
      </c>
      <c r="BZ505" s="62" t="n">
        <f aca="false">IF(BY505="LOSE",1,IF(N(V505)&gt;0,V505,IF(CB505=1,MAX(1,N(VLOOKUP(T505,Parameter!$I$27:$K$29,3,0)),H505,N(N505)),IF(N(Q505)&gt;0,Q505,MAX(1,H505)))))</f>
        <v>30</v>
      </c>
      <c r="CA505" s="65" t="n">
        <f aca="false">IF(BY505="LOSE",1,0)</f>
        <v>0</v>
      </c>
      <c r="CB505" s="65" t="n">
        <f aca="false">IF(AND(U505="",OR(P505="",P505="LOSE"),T505&lt;&gt;"",N(S505)&lt;=0,ISNUMBER(MATCH(T505,Parameter!$I$27:$I$29,0))),1,0)</f>
        <v>0</v>
      </c>
      <c r="CC505" s="65" t="n">
        <f aca="false">IF(CR505&gt;0,INDEX(Parameter!$H$5:$H$7,W505)/INDEX(Parameter!$E$5:$E$7,W505),IF(AND(CA505=0,N(IFERROR(VLOOKUP(BY505,'Gebinde-Kategorie'!$A$5:$N$45,14,0),0))&gt;0),VLOOKUP(BY505,'Gebinde-Kategorie'!$A$5:$N$45,14,0)*10+Parameter!$M$23,Parameter!$M$24))</f>
        <v>155</v>
      </c>
      <c r="CD505" s="60" t="str">
        <f aca="false">IF(AND(Parameter!$B$19="Ja",E505&lt;&gt;"",ISNUMBER(MATCH(E505,Parameter!$I$35:$I$52,0))),VLOOKUP(E505,Parameter!$I$35:$J$52,2,0),IFERROR(VLOOKUP(D505,Parameter!$A$35:$C$64,2,0),"Nein"))</f>
        <v>2+3</v>
      </c>
      <c r="CE505" s="64" t="n">
        <f aca="false">IF(CA505=0,0,IF(N(S505)&gt;0,S505,IFERROR(VLOOKUP(D505,Parameter!$A$35:$C$64,3,0)+0,0)))</f>
        <v>0</v>
      </c>
      <c r="CF505" s="60" t="n">
        <f aca="false">IF(AB505&lt;&gt;"",AB505,AA505)</f>
        <v>3</v>
      </c>
      <c r="CG505" s="60" t="str">
        <f aca="false">IF(OR(CF505=1,CF505=2,CF505=3),IF(Parameter!$E$27="Ja","LIFT",IF(CF505=1,"L1","L23")),IF(CF505="Aussen","Aussen","-"))</f>
        <v>LIFT</v>
      </c>
      <c r="CH505" s="71" t="n">
        <f aca="false">IF(N(AC505)&gt;0,AC505,0)</f>
        <v>0</v>
      </c>
      <c r="CI505" s="65" t="n">
        <f aca="false">IF(ISNUMBER(AF505),1,0)</f>
        <v>0</v>
      </c>
      <c r="CJ505" s="62" t="n">
        <f aca="false">N(AF505)</f>
        <v>0</v>
      </c>
      <c r="CK505" s="62" t="n">
        <f aca="false">N(M505)+N(N505)</f>
        <v>1</v>
      </c>
      <c r="CL505" s="62" t="n">
        <f aca="false">N(M505)</f>
        <v>0</v>
      </c>
      <c r="CM505" s="62" t="n">
        <f aca="false">N(N505)</f>
        <v>1</v>
      </c>
      <c r="CN505" s="62" t="n">
        <f aca="false">ROUNDUP(H505/BZ505,0)</f>
        <v>1</v>
      </c>
      <c r="CO505" s="62" t="n">
        <f aca="false">ROUNDUP(CJ505/BZ505,0)</f>
        <v>0</v>
      </c>
      <c r="CP505" s="65" t="n">
        <f aca="false">IF(CA505=1,0,IFERROR(VLOOKUP(BY505,'Gebinde-Kategorie'!$A$5:$N$45,5,0)+0,0))</f>
        <v>11</v>
      </c>
      <c r="CQ505" s="65" t="n">
        <f aca="false">IFERROR(IF(OR(CF505=1,CF505=2,CF505=3),N(INDEX(Parameter!$I$5:$I$7,CF505)),0),0)</f>
        <v>0</v>
      </c>
      <c r="CR505" s="64" t="n">
        <f aca="false">IF(AND(Parameter!$B$21="Ja",ISNUMBER(W505),N(X505)&gt;0),IFERROR(N(INDEX(Parameter!$L$5:$L$7,W505))*INDEX(Parameter!$E$5:$E$7,W505)*X505/SUMIFS($X$7:$X$1843,$W$7:$W$1843,W505),0),0)</f>
        <v>0</v>
      </c>
      <c r="CS505" s="62" t="n">
        <f aca="false">IF(AND(OR(CG505="L1",CG505="L23",CG505="LIFT"),H505&gt;0),CC505*IF(CR505&gt;0,CR505*MAX(1,H505/X505),IF(CA505=1,CE505,IF(R505&gt;0,CN505/R505,0))/MAX(0.1,N(Parameter!$M$21))),"")</f>
        <v>2.98076923076923</v>
      </c>
      <c r="CT505" s="64" t="n">
        <f aca="false">IF(CS505="","",J505/H505)</f>
        <v>0</v>
      </c>
      <c r="CU505" s="62" t="n">
        <f aca="false">IF(CS505="","",H505*G505)</f>
        <v>525</v>
      </c>
      <c r="CV505" s="63" t="n">
        <f aca="false">IF(CS505="","",(CL505+ROUNDUP(CL505+MAX(CM505,2*(J505/MAX(0.1,N(Einkauf!$C$6))-CL505)),0))/2)</f>
        <v>0.5</v>
      </c>
      <c r="CW505" s="62" t="n">
        <f aca="false">IF(CS505="","",MAX(0,H505-CV505)*G505)</f>
        <v>516.25</v>
      </c>
      <c r="CX505" s="62" t="n">
        <f aca="false">IF(CS505="","",CS505*MAX(0,1-CV505/H505))</f>
        <v>2.93108974358974</v>
      </c>
      <c r="CY505" s="64" t="n">
        <f aca="false">IF(CS505="","",PERCENTRANK($CS$7:$CS$1843,CS505)+PERCENTRANK($CU$7:$CU$1843,CU505)+1-PERCENTRANK($CT$7:$CT$1843,CT505))</f>
        <v>1.738</v>
      </c>
      <c r="CZ505" s="72" t="n">
        <f aca="false">IF(CS505="","",CHOOSE(MATCH(Einkauf!$C$5,Parameter!$G$23:$G$27,0),CY505,CS505,CU505,-CT505,CW505)+ROW()/1000000000)</f>
        <v>1.738000505</v>
      </c>
    </row>
    <row r="506" customFormat="false" ht="15" hidden="false" customHeight="false" outlineLevel="0" collapsed="false">
      <c r="A506" s="60" t="s">
        <v>1151</v>
      </c>
      <c r="B506" s="60" t="s">
        <v>445</v>
      </c>
      <c r="C506" s="60" t="s">
        <v>206</v>
      </c>
      <c r="D506" s="60" t="s">
        <v>1037</v>
      </c>
      <c r="E506" s="60"/>
      <c r="F506" s="60" t="s">
        <v>260</v>
      </c>
      <c r="G506" s="61" t="n">
        <v>0.82</v>
      </c>
      <c r="H506" s="62" t="n">
        <f aca="false">MAX(0,IF(AND(Parameter!$B$21="Ja",ISNUMBER(Y506)),Y506,IF(Parameter!$B$20="Jahresanfang 2025 + Export",BS506+BR506,BR506)))</f>
        <v>42</v>
      </c>
      <c r="I506" s="62" t="n">
        <f aca="false">H506*G506</f>
        <v>34.44</v>
      </c>
      <c r="J506" s="62" t="n">
        <f aca="false">BU506*Parameter!$B$18</f>
        <v>158</v>
      </c>
      <c r="K506" s="63" t="n">
        <v>21</v>
      </c>
      <c r="L506" s="64" t="n">
        <v>7.52380952380952</v>
      </c>
      <c r="M506" s="62" t="n">
        <v>0</v>
      </c>
      <c r="N506" s="62" t="n">
        <v>100</v>
      </c>
      <c r="O506" s="65" t="n">
        <v>21</v>
      </c>
      <c r="P506" s="60" t="s">
        <v>210</v>
      </c>
      <c r="Q506" s="62"/>
      <c r="R506" s="65" t="n">
        <f aca="false">IF(CA506=1,0,IFERROR(VLOOKUP(BY506,'Gebinde-Kategorie'!$A$5:$N$45,13,0)+0,0))</f>
        <v>0</v>
      </c>
      <c r="S506" s="66"/>
      <c r="T506" s="67"/>
      <c r="U506" s="67"/>
      <c r="V506" s="67"/>
      <c r="W506" s="60"/>
      <c r="X506" s="62"/>
      <c r="Y506" s="62"/>
      <c r="Z506" s="60"/>
      <c r="AA506" s="60" t="str">
        <f aca="false">IF(A506="","",IF(AND(Parameter!$B$21="Ja",ISNUMBER(W506)),W506,IF(AND(Parameter!$E$27="Ja",ISNUMBER(Z506),CD506&lt;&gt;"Nein"),Z506,IF(CD506="2+3",IF(ISNUMBER(SEARCH("grosser Artikel",BV506)),2,IFERROR(VLOOKUP(BY506,Parameter!$F$35:$G$64,2,0),2)),IF(OR(CD506="Nein",CD506=""),"-",CD506)))))</f>
        <v>-</v>
      </c>
      <c r="AB506" s="67"/>
      <c r="AC506" s="68"/>
      <c r="AD506" s="62" t="n">
        <f aca="false">AW506</f>
        <v>106</v>
      </c>
      <c r="AE506" s="62" t="n">
        <f aca="false">MAX(AW506,H506)</f>
        <v>106</v>
      </c>
      <c r="AF506" s="69"/>
      <c r="AG506" s="62" t="n">
        <f aca="false">IF(LEFT(Cockpit!$C$5,1)="A",H506,IF(Parameter!$E$30="MAX-Bestand",IF(CI506=1,CJ506,IF(LEFT(Cockpit!$C$5,1)="B",AM506,MAX(AM506,H506))),ROUNDUP(AK506,0)))</f>
        <v>42</v>
      </c>
      <c r="AH506" s="62" t="n">
        <f aca="false">IF(CA506=1,0,ROUNDUP(AG506/BZ506,0))</f>
        <v>0</v>
      </c>
      <c r="AI506" s="64" t="n">
        <f aca="false">IF(CR506&gt;0,CR506*MAX(1,AG506/X506),IF(CA506=1,IF(AG506&lt;=0,0,CE506*MAX(1,IF(H506&gt;0,AG506/H506,1))),IF(R506&gt;0,AH506/R506,0))/MAX(0.1,N(Parameter!$M$21)))</f>
        <v>0.15</v>
      </c>
      <c r="AJ506" s="62" t="n">
        <f aca="false">AI506*CC506</f>
        <v>35.25</v>
      </c>
      <c r="AK506" s="63" t="n">
        <f aca="false">IF(LEFT(Cockpit!$C$5,1)="A",H506,IF(CI506=1,(CL506+CJ506)/2,IF(LEFT(Cockpit!$C$5,1)="B",(CL506+AM506)/2,MAX((CL506+AM506)/2,H506))))</f>
        <v>42</v>
      </c>
      <c r="AL506" s="62" t="n">
        <f aca="false">AK506*G506</f>
        <v>34.44</v>
      </c>
      <c r="AM506" s="62" t="n">
        <f aca="false">ROUNDUP(CL506+MAX(CM506,2*(J506/IF(CH506&gt;0,CH506,MAX(0.1,N(Cockpit!$C$6)))-CL506)),0)</f>
        <v>106</v>
      </c>
      <c r="AN506" s="63" t="n">
        <f aca="false">IF(AJ506&gt;0,J506/AJ506,-1)</f>
        <v>4.4822695035461</v>
      </c>
      <c r="AO506" s="63" t="str">
        <f aca="false">IF(AND(OR(CG506="L1",CG506="L23",CG506="LIFT"),AJ506&gt;0),SUMIFS($AJ$7:$AJ$1843,$CG$7:$CG$1843,CG506,$AN$7:$AN$1843,"&gt;"&amp;AN506)+SUMIFS($AJ$7:$AJ$1843,$CG$7:$CG$1843,CG506,$AN$7:$AN$1843,AN506,$BX$7:$BX$1843,"&lt;="&amp;BX506),"")</f>
        <v/>
      </c>
      <c r="AP506" s="70" t="n">
        <f aca="false">IF(AO506="",0,MAX(0,MIN(1,(IF(CG506="L1",Parameter!$H$5,IF(CG506="L23",Parameter!$H$6+Parameter!$H$7,Parameter!$H$5+Parameter!$H$6+Parameter!$H$7))-(AO506-AJ506))/AJ506)))</f>
        <v>0</v>
      </c>
      <c r="AQ506" s="62" t="n">
        <f aca="false">IF(LEFT(Cockpit!$I$5,1)="A",H506,IF(Parameter!$E$30="MAX-Bestand",IF(CI506=1,CJ506,IF(LEFT(Cockpit!$I$5,1)="B",AW506,MAX(AW506,H506))),ROUNDUP(AU506,0)))</f>
        <v>53</v>
      </c>
      <c r="AR506" s="62" t="n">
        <f aca="false">IF(CA506=1,0,ROUNDUP(AQ506/BZ506,0))</f>
        <v>0</v>
      </c>
      <c r="AS506" s="64" t="n">
        <f aca="false">IF(CR506&gt;0,CR506*MAX(1,AQ506/X506),IF(CA506=1,IF(AQ506&lt;=0,0,CE506*MAX(1,IF(H506&gt;0,AQ506/H506,1))),IF(R506&gt;0,AR506/R506,0))/MAX(0.1,N(Parameter!$M$21)))</f>
        <v>0.189285714285714</v>
      </c>
      <c r="AT506" s="62" t="n">
        <f aca="false">AS506*CC506</f>
        <v>44.4821428571429</v>
      </c>
      <c r="AU506" s="63" t="n">
        <f aca="false">IF(LEFT(Cockpit!$I$5,1)="A",H506,IF(CI506=1,(CL506+CJ506)/2,IF(LEFT(Cockpit!$I$5,1)="B",(CL506+AW506)/2,MAX((CL506+AW506)/2,H506))))</f>
        <v>53</v>
      </c>
      <c r="AV506" s="62" t="n">
        <f aca="false">AU506*G506</f>
        <v>43.46</v>
      </c>
      <c r="AW506" s="62" t="n">
        <f aca="false">ROUNDUP(CL506+MAX(CM506,2*(J506/IF(CH506&gt;0,CH506,MAX(0.1,N(Cockpit!$I$6)))-CL506)),0)</f>
        <v>106</v>
      </c>
      <c r="AX506" s="63" t="n">
        <f aca="false">IF(AT506&gt;0,J506/AT506,-1)</f>
        <v>3.55198715375351</v>
      </c>
      <c r="AY506" s="63" t="str">
        <f aca="false">IF(AND(OR(CG506="L1",CG506="L23",CG506="LIFT"),AT506&gt;0),SUMIFS($AT$7:$AT$1843,$CG$7:$CG$1843,CG506,$AX$7:$AX$1843,"&gt;"&amp;AX506)+SUMIFS($AT$7:$AT$1843,$CG$7:$CG$1843,CG506,$AX$7:$AX$1843,AX506,$BX$7:$BX$1843,"&lt;="&amp;BX506),"")</f>
        <v/>
      </c>
      <c r="AZ506" s="70" t="n">
        <f aca="false">IF(AY506="",0,MAX(0,MIN(1,(IF(CG506="L1",Parameter!$H$5,IF(CG506="L23",Parameter!$H$6+Parameter!$H$7,Parameter!$H$5+Parameter!$H$6+Parameter!$H$7))-(AY506-AT506))/AT506)))</f>
        <v>0</v>
      </c>
      <c r="BA506" s="62" t="n">
        <f aca="false">IF(LEFT(Cockpit!$O$5,1)="A",H506,IF(Parameter!$E$30="MAX-Bestand",IF(CI506=1,CJ506,IF(LEFT(Cockpit!$O$5,1)="B",BG506,MAX(BG506,H506))),ROUNDUP(BE506,0)))</f>
        <v>50</v>
      </c>
      <c r="BB506" s="62" t="n">
        <f aca="false">IF(CA506=1,0,ROUNDUP(BA506/BZ506,0))</f>
        <v>0</v>
      </c>
      <c r="BC506" s="64" t="n">
        <f aca="false">IF(CR506&gt;0,CR506*MAX(1,BA506/X506),IF(CA506=1,IF(BA506&lt;=0,0,CE506*MAX(1,IF(H506&gt;0,BA506/H506,1))),IF(R506&gt;0,BB506/R506,0))/MAX(0.1,N(Parameter!$M$21)))</f>
        <v>0.178571428571429</v>
      </c>
      <c r="BD506" s="62" t="n">
        <f aca="false">BC506*CC506</f>
        <v>41.9642857142857</v>
      </c>
      <c r="BE506" s="63" t="n">
        <f aca="false">IF(LEFT(Cockpit!$O$5,1)="A",H506,IF(CI506=1,(CL506+CJ506)/2,IF(LEFT(Cockpit!$O$5,1)="B",(CL506+BG506)/2,MAX((CL506+BG506)/2,H506))))</f>
        <v>50</v>
      </c>
      <c r="BF506" s="62" t="n">
        <f aca="false">BE506*G506</f>
        <v>41</v>
      </c>
      <c r="BG506" s="62" t="n">
        <f aca="false">ROUNDUP(CL506+MAX(CM506,2*(J506/IF(CH506&gt;0,CH506,MAX(0.1,N(Cockpit!$O$6)))-CL506)),0)</f>
        <v>100</v>
      </c>
      <c r="BH506" s="63" t="n">
        <f aca="false">IF(BD506&gt;0,J506/BD506,-1)</f>
        <v>3.76510638297872</v>
      </c>
      <c r="BI506" s="63" t="str">
        <f aca="false">IF(AND(OR(CG506="L1",CG506="L23",CG506="LIFT"),BD506&gt;0),SUMIFS($BD$7:$BD$1843,$CG$7:$CG$1843,CG506,$BH$7:$BH$1843,"&gt;"&amp;BH506)+SUMIFS($BD$7:$BD$1843,$CG$7:$CG$1843,CG506,$BH$7:$BH$1843,BH506,$BX$7:$BX$1843,"&lt;="&amp;BX506),"")</f>
        <v/>
      </c>
      <c r="BJ506" s="70" t="n">
        <f aca="false">IF(BI506="",0,MAX(0,MIN(1,(IF(CG506="L1",Parameter!$H$5,IF(CG506="L23",Parameter!$H$6+Parameter!$H$7,Parameter!$H$5+Parameter!$H$6+Parameter!$H$7))-(BI506-BD506))/BD506)))</f>
        <v>0</v>
      </c>
      <c r="BK506" s="60" t="str">
        <f aca="false">IF(AJ506&lt;=0,"",IF(CG506="Aussen","Aussenlager",IF(CG506="-","Nicht im Lift",IF(AP506&gt;=1,"Lift",IF(AP506&lt;=0,"Aussenlager","teilweise")))))</f>
        <v>Nicht im Lift</v>
      </c>
      <c r="BL506" s="60" t="str">
        <f aca="false">IF(AT506&lt;=0,"",IF(CG506="Aussen","Aussenlager",IF(CG506="-","Nicht im Lift",IF(AZ506&gt;=1,"Lift",IF(AZ506&lt;=0,"Aussenlager","teilweise")))))</f>
        <v>Nicht im Lift</v>
      </c>
      <c r="BM506" s="60" t="str">
        <f aca="false">IF(BD506&lt;=0,"",IF(CG506="Aussen","Aussenlager",IF(CG506="-","Nicht im Lift",IF(BJ506&gt;=1,"Lift",IF(BJ506&lt;=0,"Aussenlager","teilweise")))))</f>
        <v>Nicht im Lift</v>
      </c>
      <c r="BN506" s="60" t="str">
        <f aca="false">IF(A506="","",IF(BW506=1,"Neu; ","")&amp;IF(AND(BW506=0,BR506&lt;0),"negativer Bestand (Export "&amp;BR506&amp;"); ","")&amp;IF(J506&lt;=0,"Kein Verbrauch; ","")&amp;IF(CR506&gt;0,"Lift "&amp;W506&amp;" lt. Liftbericht (Fach "&amp;X506&amp;" Stk); ",IF(CB506=1,"Gebinde geschätzt ("&amp;T506&amp;"); ",IF(CA506=1,"Lose – Tablare geschätzt; ","")))&amp;IF(H506&gt;AW506,"Überbestand "&amp;ROUND(H506-AW506,0)&amp;" Stk / CHF "&amp;ROUND((H506-AW506)*G506,0)&amp;"; ","")&amp;IF(AND(CI506=1,CJ506&lt;CK506),"MAX &lt; MB+LG; ","")&amp;IF(AND(CQ506&gt;0,CP506*10&gt;CQ506),"zu hoch für Tablar; ","")&amp;IF(AND(BW506=0,OR(CI506=1,AB506&lt;&gt;"",U506&lt;&gt;"",V506&lt;&gt;"",AC506&lt;&gt;"")),"manuell übersteuert; ","")&amp;IF(AND(CA506=0,R506=0),"Gebinde unbekannt / Stellmass fehlt; ","")&amp;IF(AND(CA506=0,N(V506)&lt;=0,N(Q506)&lt;=0),"Menge pro Gebinde fehlt (Ist = 1 Gebinde); ","")&amp;BV506)</f>
        <v>Lose – Tablare geschätzt; </v>
      </c>
      <c r="BO506" s="60"/>
      <c r="BP506" s="60"/>
      <c r="BQ506" s="67"/>
      <c r="BR506" s="62" t="n">
        <v>42</v>
      </c>
      <c r="BS506" s="62" t="n">
        <v>0</v>
      </c>
      <c r="BT506" s="61" t="n">
        <v>34.44</v>
      </c>
      <c r="BU506" s="62" t="n">
        <v>158</v>
      </c>
      <c r="BV506" s="60"/>
      <c r="BW506" s="65" t="n">
        <v>0</v>
      </c>
      <c r="BX506" s="65" t="n">
        <v>506</v>
      </c>
      <c r="BY506" s="60" t="str">
        <f aca="false">IF(U506&lt;&gt;"",UPPER(TRIM(U506)),IF(CB506=1,UPPER(VLOOKUP(T506,Parameter!$I$27:$K$29,2,0)),IF(P506="","LOSE",P506)))</f>
        <v>LOSE</v>
      </c>
      <c r="BZ506" s="62" t="n">
        <f aca="false">IF(BY506="LOSE",1,IF(N(V506)&gt;0,V506,IF(CB506=1,MAX(1,N(VLOOKUP(T506,Parameter!$I$27:$K$29,3,0)),H506,N(N506)),IF(N(Q506)&gt;0,Q506,MAX(1,H506)))))</f>
        <v>1</v>
      </c>
      <c r="CA506" s="65" t="n">
        <f aca="false">IF(BY506="LOSE",1,0)</f>
        <v>1</v>
      </c>
      <c r="CB506" s="65" t="n">
        <f aca="false">IF(AND(U506="",OR(P506="",P506="LOSE"),T506&lt;&gt;"",N(S506)&lt;=0,ISNUMBER(MATCH(T506,Parameter!$I$27:$I$29,0))),1,0)</f>
        <v>0</v>
      </c>
      <c r="CC506" s="65" t="n">
        <f aca="false">IF(CR506&gt;0,INDEX(Parameter!$H$5:$H$7,W506)/INDEX(Parameter!$E$5:$E$7,W506),IF(AND(CA506=0,N(IFERROR(VLOOKUP(BY506,'Gebinde-Kategorie'!$A$5:$N$45,14,0),0))&gt;0),VLOOKUP(BY506,'Gebinde-Kategorie'!$A$5:$N$45,14,0)*10+Parameter!$M$23,Parameter!$M$24))</f>
        <v>235</v>
      </c>
      <c r="CD506" s="60" t="str">
        <f aca="false">IF(AND(Parameter!$B$19="Ja",E506&lt;&gt;"",ISNUMBER(MATCH(E506,Parameter!$I$35:$I$52,0))),VLOOKUP(E506,Parameter!$I$35:$J$52,2,0),IFERROR(VLOOKUP(D506,Parameter!$A$35:$C$64,2,0),"Nein"))</f>
        <v>Nein</v>
      </c>
      <c r="CE506" s="64" t="n">
        <f aca="false">IF(CA506=0,0,IF(N(S506)&gt;0,S506,IFERROR(VLOOKUP(D506,Parameter!$A$35:$C$64,3,0)+0,0)))</f>
        <v>0.15</v>
      </c>
      <c r="CF506" s="60" t="str">
        <f aca="false">IF(AB506&lt;&gt;"",AB506,AA506)</f>
        <v>-</v>
      </c>
      <c r="CG506" s="60" t="str">
        <f aca="false">IF(OR(CF506=1,CF506=2,CF506=3),IF(Parameter!$E$27="Ja","LIFT",IF(CF506=1,"L1","L23")),IF(CF506="Aussen","Aussen","-"))</f>
        <v>-</v>
      </c>
      <c r="CH506" s="71" t="n">
        <f aca="false">IF(N(AC506)&gt;0,AC506,0)</f>
        <v>0</v>
      </c>
      <c r="CI506" s="65" t="n">
        <f aca="false">IF(ISNUMBER(AF506),1,0)</f>
        <v>0</v>
      </c>
      <c r="CJ506" s="62" t="n">
        <f aca="false">N(AF506)</f>
        <v>0</v>
      </c>
      <c r="CK506" s="62" t="n">
        <f aca="false">N(M506)+N(N506)</f>
        <v>100</v>
      </c>
      <c r="CL506" s="62" t="n">
        <f aca="false">N(M506)</f>
        <v>0</v>
      </c>
      <c r="CM506" s="62" t="n">
        <f aca="false">N(N506)</f>
        <v>100</v>
      </c>
      <c r="CN506" s="62" t="n">
        <f aca="false">ROUNDUP(H506/BZ506,0)</f>
        <v>42</v>
      </c>
      <c r="CO506" s="62" t="n">
        <f aca="false">ROUNDUP(CJ506/BZ506,0)</f>
        <v>0</v>
      </c>
      <c r="CP506" s="65" t="n">
        <f aca="false">IF(CA506=1,0,IFERROR(VLOOKUP(BY506,'Gebinde-Kategorie'!$A$5:$N$45,5,0)+0,0))</f>
        <v>0</v>
      </c>
      <c r="CQ506" s="65" t="n">
        <f aca="false">IFERROR(IF(OR(CF506=1,CF506=2,CF506=3),N(INDEX(Parameter!$I$5:$I$7,CF506)),0),0)</f>
        <v>0</v>
      </c>
      <c r="CR506" s="64" t="n">
        <f aca="false">IF(AND(Parameter!$B$21="Ja",ISNUMBER(W506),N(X506)&gt;0),IFERROR(N(INDEX(Parameter!$L$5:$L$7,W506))*INDEX(Parameter!$E$5:$E$7,W506)*X506/SUMIFS($X$7:$X$1843,$W$7:$W$1843,W506),0),0)</f>
        <v>0</v>
      </c>
      <c r="CS506" s="62" t="str">
        <f aca="false">IF(AND(OR(CG506="L1",CG506="L23",CG506="LIFT"),H506&gt;0),CC506*IF(CR506&gt;0,CR506*MAX(1,H506/X506),IF(CA506=1,CE506,IF(R506&gt;0,CN506/R506,0))/MAX(0.1,N(Parameter!$M$21))),"")</f>
        <v/>
      </c>
      <c r="CT506" s="64" t="str">
        <f aca="false">IF(CS506="","",J506/H506)</f>
        <v/>
      </c>
      <c r="CU506" s="62" t="str">
        <f aca="false">IF(CS506="","",H506*G506)</f>
        <v/>
      </c>
      <c r="CV506" s="63" t="str">
        <f aca="false">IF(CS506="","",(CL506+ROUNDUP(CL506+MAX(CM506,2*(J506/MAX(0.1,N(Einkauf!$C$6))-CL506)),0))/2)</f>
        <v/>
      </c>
      <c r="CW506" s="62" t="str">
        <f aca="false">IF(CS506="","",MAX(0,H506-CV506)*G506)</f>
        <v/>
      </c>
      <c r="CX506" s="62" t="str">
        <f aca="false">IF(CS506="","",CS506*MAX(0,1-CV506/H506))</f>
        <v/>
      </c>
      <c r="CY506" s="64" t="str">
        <f aca="false">IF(CS506="","",PERCENTRANK($CS$7:$CS$1843,CS506)+PERCENTRANK($CU$7:$CU$1843,CU506)+1-PERCENTRANK($CT$7:$CT$1843,CT506))</f>
        <v/>
      </c>
      <c r="CZ506" s="72" t="str">
        <f aca="false">IF(CS506="","",CHOOSE(MATCH(Einkauf!$C$5,Parameter!$G$23:$G$27,0),CY506,CS506,CU506,-CT506,CW506)+ROW()/1000000000)</f>
        <v/>
      </c>
    </row>
    <row r="507" customFormat="false" ht="15" hidden="false" customHeight="false" outlineLevel="0" collapsed="false">
      <c r="A507" s="60" t="s">
        <v>1152</v>
      </c>
      <c r="B507" s="60" t="s">
        <v>1153</v>
      </c>
      <c r="C507" s="60" t="s">
        <v>206</v>
      </c>
      <c r="D507" s="60" t="s">
        <v>215</v>
      </c>
      <c r="E507" s="60" t="s">
        <v>227</v>
      </c>
      <c r="F507" s="60" t="s">
        <v>260</v>
      </c>
      <c r="G507" s="61" t="n">
        <v>199.84</v>
      </c>
      <c r="H507" s="62" t="n">
        <f aca="false">MAX(0,IF(AND(Parameter!$B$21="Ja",ISNUMBER(Y507)),Y507,IF(Parameter!$B$20="Jahresanfang 2025 + Export",BS507+BR507,BR507)))</f>
        <v>17</v>
      </c>
      <c r="I507" s="62" t="n">
        <f aca="false">H507*G507</f>
        <v>3397.28</v>
      </c>
      <c r="J507" s="62" t="n">
        <f aca="false">BU507*Parameter!$B$18</f>
        <v>18</v>
      </c>
      <c r="K507" s="63" t="n">
        <v>30</v>
      </c>
      <c r="L507" s="64" t="n">
        <v>0.6</v>
      </c>
      <c r="M507" s="62" t="n">
        <v>2</v>
      </c>
      <c r="N507" s="62" t="n">
        <v>15</v>
      </c>
      <c r="O507" s="65" t="n">
        <v>44</v>
      </c>
      <c r="P507" s="60" t="s">
        <v>216</v>
      </c>
      <c r="Q507" s="62" t="n">
        <v>17</v>
      </c>
      <c r="R507" s="65" t="n">
        <f aca="false">IF(CA507=1,0,IFERROR(VLOOKUP(BY507,'Gebinde-Kategorie'!$A$5:$N$45,13,0)+0,0))</f>
        <v>6</v>
      </c>
      <c r="S507" s="66"/>
      <c r="T507" s="67"/>
      <c r="U507" s="67"/>
      <c r="V507" s="67"/>
      <c r="W507" s="60"/>
      <c r="X507" s="62"/>
      <c r="Y507" s="62"/>
      <c r="Z507" s="60" t="n">
        <v>2</v>
      </c>
      <c r="AA507" s="60" t="n">
        <f aca="false">IF(A507="","",IF(AND(Parameter!$B$21="Ja",ISNUMBER(W507)),W507,IF(AND(Parameter!$E$27="Ja",ISNUMBER(Z507),CD507&lt;&gt;"Nein"),Z507,IF(CD507="2+3",IF(ISNUMBER(SEARCH("grosser Artikel",BV507)),2,IFERROR(VLOOKUP(BY507,Parameter!$F$35:$G$64,2,0),2)),IF(OR(CD507="Nein",CD507=""),"-",CD507)))))</f>
        <v>2</v>
      </c>
      <c r="AB507" s="67"/>
      <c r="AC507" s="68"/>
      <c r="AD507" s="62" t="n">
        <f aca="false">AW507</f>
        <v>17</v>
      </c>
      <c r="AE507" s="62" t="n">
        <f aca="false">MAX(AW507,H507)</f>
        <v>17</v>
      </c>
      <c r="AF507" s="69"/>
      <c r="AG507" s="62" t="n">
        <f aca="false">IF(LEFT(Cockpit!$C$5,1)="A",H507,IF(Parameter!$E$30="MAX-Bestand",IF(CI507=1,CJ507,IF(LEFT(Cockpit!$C$5,1)="B",AM507,MAX(AM507,H507))),ROUNDUP(AK507,0)))</f>
        <v>17</v>
      </c>
      <c r="AH507" s="62" t="n">
        <f aca="false">IF(CA507=1,0,ROUNDUP(AG507/BZ507,0))</f>
        <v>1</v>
      </c>
      <c r="AI507" s="64" t="n">
        <f aca="false">IF(CR507&gt;0,CR507*MAX(1,AG507/X507),IF(CA507=1,IF(AG507&lt;=0,0,CE507*MAX(1,IF(H507&gt;0,AG507/H507,1))),IF(R507&gt;0,AH507/R507,0))/MAX(0.1,N(Parameter!$M$21)))</f>
        <v>0.166666666666667</v>
      </c>
      <c r="AJ507" s="62" t="n">
        <f aca="false">AI507*CC507</f>
        <v>39.1666666666667</v>
      </c>
      <c r="AK507" s="63" t="n">
        <f aca="false">IF(LEFT(Cockpit!$C$5,1)="A",H507,IF(CI507=1,(CL507+CJ507)/2,IF(LEFT(Cockpit!$C$5,1)="B",(CL507+AM507)/2,MAX((CL507+AM507)/2,H507))))</f>
        <v>17</v>
      </c>
      <c r="AL507" s="62" t="n">
        <f aca="false">AK507*G507</f>
        <v>3397.28</v>
      </c>
      <c r="AM507" s="62" t="n">
        <f aca="false">ROUNDUP(CL507+MAX(CM507,2*(J507/IF(CH507&gt;0,CH507,MAX(0.1,N(Cockpit!$C$6)))-CL507)),0)</f>
        <v>17</v>
      </c>
      <c r="AN507" s="63" t="n">
        <f aca="false">IF(AJ507&gt;0,J507/AJ507,-1)</f>
        <v>0.459574468085106</v>
      </c>
      <c r="AO507" s="63" t="n">
        <f aca="false">IF(AND(OR(CG507="L1",CG507="L23",CG507="LIFT"),AJ507&gt;0),SUMIFS($AJ$7:$AJ$1843,$CG$7:$CG$1843,CG507,$AN$7:$AN$1843,"&gt;"&amp;AN507)+SUMIFS($AJ$7:$AJ$1843,$CG$7:$CG$1843,CG507,$AN$7:$AN$1843,AN507,$BX$7:$BX$1843,"&lt;="&amp;BX507),"")</f>
        <v>9778.51050267999</v>
      </c>
      <c r="AP507" s="70" t="n">
        <f aca="false">IF(AO507="",0,MAX(0,MIN(1,(IF(CG507="L1",Parameter!$H$5,IF(CG507="L23",Parameter!$H$6+Parameter!$H$7,Parameter!$H$5+Parameter!$H$6+Parameter!$H$7))-(AO507-AJ507))/AJ507)))</f>
        <v>1</v>
      </c>
      <c r="AQ507" s="62" t="n">
        <f aca="false">IF(LEFT(Cockpit!$I$5,1)="A",H507,IF(Parameter!$E$30="MAX-Bestand",IF(CI507=1,CJ507,IF(LEFT(Cockpit!$I$5,1)="B",AW507,MAX(AW507,H507))),ROUNDUP(AU507,0)))</f>
        <v>17</v>
      </c>
      <c r="AR507" s="62" t="n">
        <f aca="false">IF(CA507=1,0,ROUNDUP(AQ507/BZ507,0))</f>
        <v>1</v>
      </c>
      <c r="AS507" s="64" t="n">
        <f aca="false">IF(CR507&gt;0,CR507*MAX(1,AQ507/X507),IF(CA507=1,IF(AQ507&lt;=0,0,CE507*MAX(1,IF(H507&gt;0,AQ507/H507,1))),IF(R507&gt;0,AR507/R507,0))/MAX(0.1,N(Parameter!$M$21)))</f>
        <v>0.166666666666667</v>
      </c>
      <c r="AT507" s="62" t="n">
        <f aca="false">AS507*CC507</f>
        <v>39.1666666666667</v>
      </c>
      <c r="AU507" s="63" t="n">
        <f aca="false">IF(LEFT(Cockpit!$I$5,1)="A",H507,IF(CI507=1,(CL507+CJ507)/2,IF(LEFT(Cockpit!$I$5,1)="B",(CL507+AW507)/2,MAX((CL507+AW507)/2,H507))))</f>
        <v>17</v>
      </c>
      <c r="AV507" s="62" t="n">
        <f aca="false">AU507*G507</f>
        <v>3397.28</v>
      </c>
      <c r="AW507" s="62" t="n">
        <f aca="false">ROUNDUP(CL507+MAX(CM507,2*(J507/IF(CH507&gt;0,CH507,MAX(0.1,N(Cockpit!$I$6)))-CL507)),0)</f>
        <v>17</v>
      </c>
      <c r="AX507" s="63" t="n">
        <f aca="false">IF(AT507&gt;0,J507/AT507,-1)</f>
        <v>0.459574468085106</v>
      </c>
      <c r="AY507" s="63" t="n">
        <f aca="false">IF(AND(OR(CG507="L1",CG507="L23",CG507="LIFT"),AT507&gt;0),SUMIFS($AT$7:$AT$1843,$CG$7:$CG$1843,CG507,$AX$7:$AX$1843,"&gt;"&amp;AX507)+SUMIFS($AT$7:$AT$1843,$CG$7:$CG$1843,CG507,$AX$7:$AX$1843,AX507,$BX$7:$BX$1843,"&lt;="&amp;BX507),"")</f>
        <v>12192.3470695971</v>
      </c>
      <c r="AZ507" s="70" t="n">
        <f aca="false">IF(AY507="",0,MAX(0,MIN(1,(IF(CG507="L1",Parameter!$H$5,IF(CG507="L23",Parameter!$H$6+Parameter!$H$7,Parameter!$H$5+Parameter!$H$6+Parameter!$H$7))-(AY507-AT507))/AT507)))</f>
        <v>1</v>
      </c>
      <c r="BA507" s="62" t="n">
        <f aca="false">IF(LEFT(Cockpit!$O$5,1)="A",H507,IF(Parameter!$E$30="MAX-Bestand",IF(CI507=1,CJ507,IF(LEFT(Cockpit!$O$5,1)="B",BG507,MAX(BG507,H507))),ROUNDUP(BE507,0)))</f>
        <v>10</v>
      </c>
      <c r="BB507" s="62" t="n">
        <f aca="false">IF(CA507=1,0,ROUNDUP(BA507/BZ507,0))</f>
        <v>1</v>
      </c>
      <c r="BC507" s="64" t="n">
        <f aca="false">IF(CR507&gt;0,CR507*MAX(1,BA507/X507),IF(CA507=1,IF(BA507&lt;=0,0,CE507*MAX(1,IF(H507&gt;0,BA507/H507,1))),IF(R507&gt;0,BB507/R507,0))/MAX(0.1,N(Parameter!$M$21)))</f>
        <v>0.166666666666667</v>
      </c>
      <c r="BD507" s="62" t="n">
        <f aca="false">BC507*CC507</f>
        <v>39.1666666666667</v>
      </c>
      <c r="BE507" s="63" t="n">
        <f aca="false">IF(LEFT(Cockpit!$O$5,1)="A",H507,IF(CI507=1,(CL507+CJ507)/2,IF(LEFT(Cockpit!$O$5,1)="B",(CL507+BG507)/2,MAX((CL507+BG507)/2,H507))))</f>
        <v>9.5</v>
      </c>
      <c r="BF507" s="62" t="n">
        <f aca="false">BE507*G507</f>
        <v>1898.48</v>
      </c>
      <c r="BG507" s="62" t="n">
        <f aca="false">ROUNDUP(CL507+MAX(CM507,2*(J507/IF(CH507&gt;0,CH507,MAX(0.1,N(Cockpit!$O$6)))-CL507)),0)</f>
        <v>17</v>
      </c>
      <c r="BH507" s="63" t="n">
        <f aca="false">IF(BD507&gt;0,J507/BD507,-1)</f>
        <v>0.459574468085106</v>
      </c>
      <c r="BI507" s="63" t="n">
        <f aca="false">IF(AND(OR(CG507="L1",CG507="L23",CG507="LIFT"),BD507&gt;0),SUMIFS($BD$7:$BD$1843,$CG$7:$CG$1843,CG507,$BH$7:$BH$1843,"&gt;"&amp;BH507)+SUMIFS($BD$7:$BD$1843,$CG$7:$CG$1843,CG507,$BH$7:$BH$1843,BH507,$BX$7:$BX$1843,"&lt;="&amp;BX507),"")</f>
        <v>10498.2632783883</v>
      </c>
      <c r="BJ507" s="70" t="n">
        <f aca="false">IF(BI507="",0,MAX(0,MIN(1,(IF(CG507="L1",Parameter!$H$5,IF(CG507="L23",Parameter!$H$6+Parameter!$H$7,Parameter!$H$5+Parameter!$H$6+Parameter!$H$7))-(BI507-BD507))/BD507)))</f>
        <v>1</v>
      </c>
      <c r="BK507" s="60" t="str">
        <f aca="false">IF(AJ507&lt;=0,"",IF(CG507="Aussen","Aussenlager",IF(CG507="-","Nicht im Lift",IF(AP507&gt;=1,"Lift",IF(AP507&lt;=0,"Aussenlager","teilweise")))))</f>
        <v>Lift</v>
      </c>
      <c r="BL507" s="60" t="str">
        <f aca="false">IF(AT507&lt;=0,"",IF(CG507="Aussen","Aussenlager",IF(CG507="-","Nicht im Lift",IF(AZ507&gt;=1,"Lift",IF(AZ507&lt;=0,"Aussenlager","teilweise")))))</f>
        <v>Lift</v>
      </c>
      <c r="BM507" s="60" t="str">
        <f aca="false">IF(BD507&lt;=0,"",IF(CG507="Aussen","Aussenlager",IF(CG507="-","Nicht im Lift",IF(BJ507&gt;=1,"Lift",IF(BJ507&lt;=0,"Aussenlager","teilweise")))))</f>
        <v>Lift</v>
      </c>
      <c r="BN507" s="60" t="str">
        <f aca="false">IF(A507="","",IF(BW507=1,"Neu; ","")&amp;IF(AND(BW507=0,BR507&lt;0),"negativer Bestand (Export "&amp;BR507&amp;"); ","")&amp;IF(J507&lt;=0,"Kein Verbrauch; ","")&amp;IF(CR507&gt;0,"Lift "&amp;W507&amp;" lt. Liftbericht (Fach "&amp;X507&amp;" Stk); ",IF(CB507=1,"Gebinde geschätzt ("&amp;T507&amp;"); ",IF(CA507=1,"Lose – Tablare geschätzt; ","")))&amp;IF(H507&gt;AW507,"Überbestand "&amp;ROUND(H507-AW507,0)&amp;" Stk / CHF "&amp;ROUND((H507-AW507)*G507,0)&amp;"; ","")&amp;IF(AND(CI507=1,CJ507&lt;CK507),"MAX &lt; MB+LG; ","")&amp;IF(AND(CQ507&gt;0,CP507*10&gt;CQ507),"zu hoch für Tablar; ","")&amp;IF(AND(BW507=0,OR(CI507=1,AB507&lt;&gt;"",U507&lt;&gt;"",V507&lt;&gt;"",AC507&lt;&gt;"")),"manuell übersteuert; ","")&amp;IF(AND(CA507=0,R507=0),"Gebinde unbekannt / Stellmass fehlt; ","")&amp;IF(AND(CA507=0,N(V507)&lt;=0,N(Q507)&lt;=0),"Menge pro Gebinde fehlt (Ist = 1 Gebinde); ","")&amp;BV507)</f>
        <v>negativer Bestand (Export -2); grosser Artikel &amp; nicht im KTL</v>
      </c>
      <c r="BO507" s="60"/>
      <c r="BP507" s="60"/>
      <c r="BQ507" s="67"/>
      <c r="BR507" s="62" t="n">
        <v>-2</v>
      </c>
      <c r="BS507" s="62" t="n">
        <v>19</v>
      </c>
      <c r="BT507" s="61" t="n">
        <v>34.2799999999952</v>
      </c>
      <c r="BU507" s="62" t="n">
        <v>18</v>
      </c>
      <c r="BV507" s="60" t="s">
        <v>303</v>
      </c>
      <c r="BW507" s="65" t="n">
        <v>0</v>
      </c>
      <c r="BX507" s="65" t="n">
        <v>507</v>
      </c>
      <c r="BY507" s="60" t="str">
        <f aca="false">IF(U507&lt;&gt;"",UPPER(TRIM(U507)),IF(CB507=1,UPPER(VLOOKUP(T507,Parameter!$I$27:$K$29,2,0)),IF(P507="","LOSE",P507)))</f>
        <v>S71</v>
      </c>
      <c r="BZ507" s="62" t="n">
        <f aca="false">IF(BY507="LOSE",1,IF(N(V507)&gt;0,V507,IF(CB507=1,MAX(1,N(VLOOKUP(T507,Parameter!$I$27:$K$29,3,0)),H507,N(N507)),IF(N(Q507)&gt;0,Q507,MAX(1,H507)))))</f>
        <v>17</v>
      </c>
      <c r="CA507" s="65" t="n">
        <f aca="false">IF(BY507="LOSE",1,0)</f>
        <v>0</v>
      </c>
      <c r="CB507" s="65" t="n">
        <f aca="false">IF(AND(U507="",OR(P507="",P507="LOSE"),T507&lt;&gt;"",N(S507)&lt;=0,ISNUMBER(MATCH(T507,Parameter!$I$27:$I$29,0))),1,0)</f>
        <v>0</v>
      </c>
      <c r="CC507" s="65" t="n">
        <f aca="false">IF(CR507&gt;0,INDEX(Parameter!$H$5:$H$7,W507)/INDEX(Parameter!$E$5:$E$7,W507),IF(AND(CA507=0,N(IFERROR(VLOOKUP(BY507,'Gebinde-Kategorie'!$A$5:$N$45,14,0),0))&gt;0),VLOOKUP(BY507,'Gebinde-Kategorie'!$A$5:$N$45,14,0)*10+Parameter!$M$23,Parameter!$M$24))</f>
        <v>235</v>
      </c>
      <c r="CD507" s="60" t="str">
        <f aca="false">IF(AND(Parameter!$B$19="Ja",E507&lt;&gt;"",ISNUMBER(MATCH(E507,Parameter!$I$35:$I$52,0))),VLOOKUP(E507,Parameter!$I$35:$J$52,2,0),IFERROR(VLOOKUP(D507,Parameter!$A$35:$C$64,2,0),"Nein"))</f>
        <v>2+3</v>
      </c>
      <c r="CE507" s="64" t="n">
        <f aca="false">IF(CA507=0,0,IF(N(S507)&gt;0,S507,IFERROR(VLOOKUP(D507,Parameter!$A$35:$C$64,3,0)+0,0)))</f>
        <v>0</v>
      </c>
      <c r="CF507" s="60" t="n">
        <f aca="false">IF(AB507&lt;&gt;"",AB507,AA507)</f>
        <v>2</v>
      </c>
      <c r="CG507" s="60" t="str">
        <f aca="false">IF(OR(CF507=1,CF507=2,CF507=3),IF(Parameter!$E$27="Ja","LIFT",IF(CF507=1,"L1","L23")),IF(CF507="Aussen","Aussen","-"))</f>
        <v>LIFT</v>
      </c>
      <c r="CH507" s="71" t="n">
        <f aca="false">IF(N(AC507)&gt;0,AC507,0)</f>
        <v>0</v>
      </c>
      <c r="CI507" s="65" t="n">
        <f aca="false">IF(ISNUMBER(AF507),1,0)</f>
        <v>0</v>
      </c>
      <c r="CJ507" s="62" t="n">
        <f aca="false">N(AF507)</f>
        <v>0</v>
      </c>
      <c r="CK507" s="62" t="n">
        <f aca="false">N(M507)+N(N507)</f>
        <v>17</v>
      </c>
      <c r="CL507" s="62" t="n">
        <f aca="false">N(M507)</f>
        <v>2</v>
      </c>
      <c r="CM507" s="62" t="n">
        <f aca="false">N(N507)</f>
        <v>15</v>
      </c>
      <c r="CN507" s="62" t="n">
        <f aca="false">ROUNDUP(H507/BZ507,0)</f>
        <v>1</v>
      </c>
      <c r="CO507" s="62" t="n">
        <f aca="false">ROUNDUP(CJ507/BZ507,0)</f>
        <v>0</v>
      </c>
      <c r="CP507" s="65" t="n">
        <f aca="false">IF(CA507=1,0,IFERROR(VLOOKUP(BY507,'Gebinde-Kategorie'!$A$5:$N$45,5,0)+0,0))</f>
        <v>20</v>
      </c>
      <c r="CQ507" s="65" t="n">
        <f aca="false">IFERROR(IF(OR(CF507=1,CF507=2,CF507=3),N(INDEX(Parameter!$I$5:$I$7,CF507)),0),0)</f>
        <v>0</v>
      </c>
      <c r="CR507" s="64" t="n">
        <f aca="false">IF(AND(Parameter!$B$21="Ja",ISNUMBER(W507),N(X507)&gt;0),IFERROR(N(INDEX(Parameter!$L$5:$L$7,W507))*INDEX(Parameter!$E$5:$E$7,W507)*X507/SUMIFS($X$7:$X$1843,$W$7:$W$1843,W507),0),0)</f>
        <v>0</v>
      </c>
      <c r="CS507" s="62" t="n">
        <f aca="false">IF(AND(OR(CG507="L1",CG507="L23",CG507="LIFT"),H507&gt;0),CC507*IF(CR507&gt;0,CR507*MAX(1,H507/X507),IF(CA507=1,CE507,IF(R507&gt;0,CN507/R507,0))/MAX(0.1,N(Parameter!$M$21))),"")</f>
        <v>39.1666666666667</v>
      </c>
      <c r="CT507" s="64" t="n">
        <f aca="false">IF(CS507="","",J507/H507)</f>
        <v>1.05882352941176</v>
      </c>
      <c r="CU507" s="62" t="n">
        <f aca="false">IF(CS507="","",H507*G507)</f>
        <v>3397.28</v>
      </c>
      <c r="CV507" s="63" t="n">
        <f aca="false">IF(CS507="","",(CL507+ROUNDUP(CL507+MAX(CM507,2*(J507/MAX(0.1,N(Einkauf!$C$6))-CL507)),0))/2)</f>
        <v>9.5</v>
      </c>
      <c r="CW507" s="62" t="n">
        <f aca="false">IF(CS507="","",MAX(0,H507-CV507)*G507)</f>
        <v>1498.8</v>
      </c>
      <c r="CX507" s="62" t="n">
        <f aca="false">IF(CS507="","",CS507*MAX(0,1-CV507/H507))</f>
        <v>17.2794117647059</v>
      </c>
      <c r="CY507" s="64" t="n">
        <f aca="false">IF(CS507="","",PERCENTRANK($CS$7:$CS$1843,CS507)+PERCENTRANK($CU$7:$CU$1843,CU507)+1-PERCENTRANK($CT$7:$CT$1843,CT507))</f>
        <v>2.032</v>
      </c>
      <c r="CZ507" s="72" t="n">
        <f aca="false">IF(CS507="","",CHOOSE(MATCH(Einkauf!$C$5,Parameter!$G$23:$G$27,0),CY507,CS507,CU507,-CT507,CW507)+ROW()/1000000000)</f>
        <v>2.032000507</v>
      </c>
    </row>
    <row r="508" customFormat="false" ht="15" hidden="false" customHeight="false" outlineLevel="0" collapsed="false">
      <c r="A508" s="60" t="s">
        <v>1154</v>
      </c>
      <c r="B508" s="60" t="s">
        <v>1155</v>
      </c>
      <c r="C508" s="60" t="s">
        <v>206</v>
      </c>
      <c r="D508" s="60" t="s">
        <v>226</v>
      </c>
      <c r="E508" s="60" t="s">
        <v>227</v>
      </c>
      <c r="F508" s="60" t="s">
        <v>260</v>
      </c>
      <c r="G508" s="61" t="n">
        <v>34</v>
      </c>
      <c r="H508" s="62" t="n">
        <f aca="false">MAX(0,IF(AND(Parameter!$B$21="Ja",ISNUMBER(Y508)),Y508,IF(Parameter!$B$20="Jahresanfang 2025 + Export",BS508+BR508,BR508)))</f>
        <v>2</v>
      </c>
      <c r="I508" s="62" t="n">
        <f aca="false">H508*G508</f>
        <v>68</v>
      </c>
      <c r="J508" s="62" t="n">
        <f aca="false">BU508*Parameter!$B$18</f>
        <v>0</v>
      </c>
      <c r="K508" s="63" t="n">
        <v>1.5</v>
      </c>
      <c r="L508" s="64" t="n">
        <v>0</v>
      </c>
      <c r="M508" s="62" t="n">
        <v>0</v>
      </c>
      <c r="N508" s="62" t="n">
        <v>1</v>
      </c>
      <c r="O508" s="65" t="n">
        <v>63</v>
      </c>
      <c r="P508" s="60" t="s">
        <v>443</v>
      </c>
      <c r="Q508" s="62" t="n">
        <v>2</v>
      </c>
      <c r="R508" s="65" t="n">
        <f aca="false">IF(CA508=1,0,IFERROR(VLOOKUP(BY508,'Gebinde-Kategorie'!$A$5:$N$45,13,0)+0,0))</f>
        <v>280</v>
      </c>
      <c r="S508" s="66"/>
      <c r="T508" s="67"/>
      <c r="U508" s="67"/>
      <c r="V508" s="67"/>
      <c r="W508" s="60"/>
      <c r="X508" s="62"/>
      <c r="Y508" s="62"/>
      <c r="Z508" s="60" t="n">
        <v>3</v>
      </c>
      <c r="AA508" s="60" t="n">
        <f aca="false">IF(A508="","",IF(AND(Parameter!$B$21="Ja",ISNUMBER(W508)),W508,IF(AND(Parameter!$E$27="Ja",ISNUMBER(Z508),CD508&lt;&gt;"Nein"),Z508,IF(CD508="2+3",IF(ISNUMBER(SEARCH("grosser Artikel",BV508)),2,IFERROR(VLOOKUP(BY508,Parameter!$F$35:$G$64,2,0),2)),IF(OR(CD508="Nein",CD508=""),"-",CD508)))))</f>
        <v>3</v>
      </c>
      <c r="AB508" s="67"/>
      <c r="AC508" s="68"/>
      <c r="AD508" s="62" t="n">
        <f aca="false">AW508</f>
        <v>1</v>
      </c>
      <c r="AE508" s="62" t="n">
        <f aca="false">MAX(AW508,H508)</f>
        <v>2</v>
      </c>
      <c r="AF508" s="69"/>
      <c r="AG508" s="62" t="n">
        <f aca="false">IF(LEFT(Cockpit!$C$5,1)="A",H508,IF(Parameter!$E$30="MAX-Bestand",IF(CI508=1,CJ508,IF(LEFT(Cockpit!$C$5,1)="B",AM508,MAX(AM508,H508))),ROUNDUP(AK508,0)))</f>
        <v>2</v>
      </c>
      <c r="AH508" s="62" t="n">
        <f aca="false">IF(CA508=1,0,ROUNDUP(AG508/BZ508,0))</f>
        <v>1</v>
      </c>
      <c r="AI508" s="64" t="n">
        <f aca="false">IF(CR508&gt;0,CR508*MAX(1,AG508/X508),IF(CA508=1,IF(AG508&lt;=0,0,CE508*MAX(1,IF(H508&gt;0,AG508/H508,1))),IF(R508&gt;0,AH508/R508,0))/MAX(0.1,N(Parameter!$M$21)))</f>
        <v>0.00357142857142857</v>
      </c>
      <c r="AJ508" s="62" t="n">
        <f aca="false">AI508*CC508</f>
        <v>0.553571428571429</v>
      </c>
      <c r="AK508" s="63" t="n">
        <f aca="false">IF(LEFT(Cockpit!$C$5,1)="A",H508,IF(CI508=1,(CL508+CJ508)/2,IF(LEFT(Cockpit!$C$5,1)="B",(CL508+AM508)/2,MAX((CL508+AM508)/2,H508))))</f>
        <v>2</v>
      </c>
      <c r="AL508" s="62" t="n">
        <f aca="false">AK508*G508</f>
        <v>68</v>
      </c>
      <c r="AM508" s="62" t="n">
        <f aca="false">ROUNDUP(CL508+MAX(CM508,2*(J508/IF(CH508&gt;0,CH508,MAX(0.1,N(Cockpit!$C$6)))-CL508)),0)</f>
        <v>1</v>
      </c>
      <c r="AN508" s="63" t="n">
        <f aca="false">IF(AJ508&gt;0,J508/AJ508,-1)</f>
        <v>0</v>
      </c>
      <c r="AO508" s="63" t="n">
        <f aca="false">IF(AND(OR(CG508="L1",CG508="L23",CG508="LIFT"),AJ508&gt;0),SUMIFS($AJ$7:$AJ$1843,$CG$7:$CG$1843,CG508,$AN$7:$AN$1843,"&gt;"&amp;AN508)+SUMIFS($AJ$7:$AJ$1843,$CG$7:$CG$1843,CG508,$AN$7:$AN$1843,AN508,$BX$7:$BX$1843,"&lt;="&amp;BX508),"")</f>
        <v>28264.5029153991</v>
      </c>
      <c r="AP508" s="70" t="n">
        <f aca="false">IF(AO508="",0,MAX(0,MIN(1,(IF(CG508="L1",Parameter!$H$5,IF(CG508="L23",Parameter!$H$6+Parameter!$H$7,Parameter!$H$5+Parameter!$H$6+Parameter!$H$7))-(AO508-AJ508))/AJ508)))</f>
        <v>1</v>
      </c>
      <c r="AQ508" s="62" t="n">
        <f aca="false">IF(LEFT(Cockpit!$I$5,1)="A",H508,IF(Parameter!$E$30="MAX-Bestand",IF(CI508=1,CJ508,IF(LEFT(Cockpit!$I$5,1)="B",AW508,MAX(AW508,H508))),ROUNDUP(AU508,0)))</f>
        <v>2</v>
      </c>
      <c r="AR508" s="62" t="n">
        <f aca="false">IF(CA508=1,0,ROUNDUP(AQ508/BZ508,0))</f>
        <v>1</v>
      </c>
      <c r="AS508" s="64" t="n">
        <f aca="false">IF(CR508&gt;0,CR508*MAX(1,AQ508/X508),IF(CA508=1,IF(AQ508&lt;=0,0,CE508*MAX(1,IF(H508&gt;0,AQ508/H508,1))),IF(R508&gt;0,AR508/R508,0))/MAX(0.1,N(Parameter!$M$21)))</f>
        <v>0.00357142857142857</v>
      </c>
      <c r="AT508" s="62" t="n">
        <f aca="false">AS508*CC508</f>
        <v>0.553571428571429</v>
      </c>
      <c r="AU508" s="63" t="n">
        <f aca="false">IF(LEFT(Cockpit!$I$5,1)="A",H508,IF(CI508=1,(CL508+CJ508)/2,IF(LEFT(Cockpit!$I$5,1)="B",(CL508+AW508)/2,MAX((CL508+AW508)/2,H508))))</f>
        <v>2</v>
      </c>
      <c r="AV508" s="62" t="n">
        <f aca="false">AU508*G508</f>
        <v>68</v>
      </c>
      <c r="AW508" s="62" t="n">
        <f aca="false">ROUNDUP(CL508+MAX(CM508,2*(J508/IF(CH508&gt;0,CH508,MAX(0.1,N(Cockpit!$I$6)))-CL508)),0)</f>
        <v>1</v>
      </c>
      <c r="AX508" s="63" t="n">
        <f aca="false">IF(AT508&gt;0,J508/AT508,-1)</f>
        <v>0</v>
      </c>
      <c r="AY508" s="63" t="n">
        <f aca="false">IF(AND(OR(CG508="L1",CG508="L23",CG508="LIFT"),AT508&gt;0),SUMIFS($AT$7:$AT$1843,$CG$7:$CG$1843,CG508,$AX$7:$AX$1843,"&gt;"&amp;AX508)+SUMIFS($AT$7:$AT$1843,$CG$7:$CG$1843,CG508,$AX$7:$AX$1843,AX508,$BX$7:$BX$1843,"&lt;="&amp;BX508),"")</f>
        <v>33617.6515567766</v>
      </c>
      <c r="AZ508" s="70" t="n">
        <f aca="false">IF(AY508="",0,MAX(0,MIN(1,(IF(CG508="L1",Parameter!$H$5,IF(CG508="L23",Parameter!$H$6+Parameter!$H$7,Parameter!$H$5+Parameter!$H$6+Parameter!$H$7))-(AY508-AT508))/AT508)))</f>
        <v>1</v>
      </c>
      <c r="BA508" s="62" t="n">
        <f aca="false">IF(LEFT(Cockpit!$O$5,1)="A",H508,IF(Parameter!$E$30="MAX-Bestand",IF(CI508=1,CJ508,IF(LEFT(Cockpit!$O$5,1)="B",BG508,MAX(BG508,H508))),ROUNDUP(BE508,0)))</f>
        <v>1</v>
      </c>
      <c r="BB508" s="62" t="n">
        <f aca="false">IF(CA508=1,0,ROUNDUP(BA508/BZ508,0))</f>
        <v>1</v>
      </c>
      <c r="BC508" s="64" t="n">
        <f aca="false">IF(CR508&gt;0,CR508*MAX(1,BA508/X508),IF(CA508=1,IF(BA508&lt;=0,0,CE508*MAX(1,IF(H508&gt;0,BA508/H508,1))),IF(R508&gt;0,BB508/R508,0))/MAX(0.1,N(Parameter!$M$21)))</f>
        <v>0.00357142857142857</v>
      </c>
      <c r="BD508" s="62" t="n">
        <f aca="false">BC508*CC508</f>
        <v>0.553571428571429</v>
      </c>
      <c r="BE508" s="63" t="n">
        <f aca="false">IF(LEFT(Cockpit!$O$5,1)="A",H508,IF(CI508=1,(CL508+CJ508)/2,IF(LEFT(Cockpit!$O$5,1)="B",(CL508+BG508)/2,MAX((CL508+BG508)/2,H508))))</f>
        <v>0.5</v>
      </c>
      <c r="BF508" s="62" t="n">
        <f aca="false">BE508*G508</f>
        <v>17</v>
      </c>
      <c r="BG508" s="62" t="n">
        <f aca="false">ROUNDUP(CL508+MAX(CM508,2*(J508/IF(CH508&gt;0,CH508,MAX(0.1,N(Cockpit!$O$6)))-CL508)),0)</f>
        <v>1</v>
      </c>
      <c r="BH508" s="63" t="n">
        <f aca="false">IF(BD508&gt;0,J508/BD508,-1)</f>
        <v>0</v>
      </c>
      <c r="BI508" s="63" t="n">
        <f aca="false">IF(AND(OR(CG508="L1",CG508="L23",CG508="LIFT"),BD508&gt;0),SUMIFS($BD$7:$BD$1843,$CG$7:$CG$1843,CG508,$BH$7:$BH$1843,"&gt;"&amp;BH508)+SUMIFS($BD$7:$BD$1843,$CG$7:$CG$1843,CG508,$BH$7:$BH$1843,BH508,$BX$7:$BX$1843,"&lt;="&amp;BX508),"")</f>
        <v>27721.9055612467</v>
      </c>
      <c r="BJ508" s="70" t="n">
        <f aca="false">IF(BI508="",0,MAX(0,MIN(1,(IF(CG508="L1",Parameter!$H$5,IF(CG508="L23",Parameter!$H$6+Parameter!$H$7,Parameter!$H$5+Parameter!$H$6+Parameter!$H$7))-(BI508-BD508))/BD508)))</f>
        <v>1</v>
      </c>
      <c r="BK508" s="60" t="str">
        <f aca="false">IF(AJ508&lt;=0,"",IF(CG508="Aussen","Aussenlager",IF(CG508="-","Nicht im Lift",IF(AP508&gt;=1,"Lift",IF(AP508&lt;=0,"Aussenlager","teilweise")))))</f>
        <v>Lift</v>
      </c>
      <c r="BL508" s="60" t="str">
        <f aca="false">IF(AT508&lt;=0,"",IF(CG508="Aussen","Aussenlager",IF(CG508="-","Nicht im Lift",IF(AZ508&gt;=1,"Lift",IF(AZ508&lt;=0,"Aussenlager","teilweise")))))</f>
        <v>Lift</v>
      </c>
      <c r="BM508" s="60" t="str">
        <f aca="false">IF(BD508&lt;=0,"",IF(CG508="Aussen","Aussenlager",IF(CG508="-","Nicht im Lift",IF(BJ508&gt;=1,"Lift",IF(BJ508&lt;=0,"Aussenlager","teilweise")))))</f>
        <v>Lift</v>
      </c>
      <c r="BN508" s="60" t="str">
        <f aca="false">IF(A508="","",IF(BW508=1,"Neu; ","")&amp;IF(AND(BW508=0,BR508&lt;0),"negativer Bestand (Export "&amp;BR508&amp;"); ","")&amp;IF(J508&lt;=0,"Kein Verbrauch; ","")&amp;IF(CR508&gt;0,"Lift "&amp;W508&amp;" lt. Liftbericht (Fach "&amp;X508&amp;" Stk); ",IF(CB508=1,"Gebinde geschätzt ("&amp;T508&amp;"); ",IF(CA508=1,"Lose – Tablare geschätzt; ","")))&amp;IF(H508&gt;AW508,"Überbestand "&amp;ROUND(H508-AW508,0)&amp;" Stk / CHF "&amp;ROUND((H508-AW508)*G508,0)&amp;"; ","")&amp;IF(AND(CI508=1,CJ508&lt;CK508),"MAX &lt; MB+LG; ","")&amp;IF(AND(CQ508&gt;0,CP508*10&gt;CQ508),"zu hoch für Tablar; ","")&amp;IF(AND(BW508=0,OR(CI508=1,AB508&lt;&gt;"",U508&lt;&gt;"",V508&lt;&gt;"",AC508&lt;&gt;"")),"manuell übersteuert; ","")&amp;IF(AND(CA508=0,R508=0),"Gebinde unbekannt / Stellmass fehlt; ","")&amp;IF(AND(CA508=0,N(V508)&lt;=0,N(Q508)&lt;=0),"Menge pro Gebinde fehlt (Ist = 1 Gebinde); ","")&amp;BV508)</f>
        <v>Kein Verbrauch; Überbestand 1 Stk / CHF 34; </v>
      </c>
      <c r="BO508" s="60"/>
      <c r="BP508" s="60"/>
      <c r="BQ508" s="67"/>
      <c r="BR508" s="62" t="n">
        <v>1</v>
      </c>
      <c r="BS508" s="62" t="n">
        <v>1</v>
      </c>
      <c r="BT508" s="61" t="n">
        <v>34</v>
      </c>
      <c r="BU508" s="62" t="n">
        <v>0</v>
      </c>
      <c r="BV508" s="60"/>
      <c r="BW508" s="65" t="n">
        <v>0</v>
      </c>
      <c r="BX508" s="65" t="n">
        <v>508</v>
      </c>
      <c r="BY508" s="60" t="str">
        <f aca="false">IF(U508&lt;&gt;"",UPPER(TRIM(U508)),IF(CB508=1,UPPER(VLOOKUP(T508,Parameter!$I$27:$K$29,2,0)),IF(P508="","LOSE",P508)))</f>
        <v>S21</v>
      </c>
      <c r="BZ508" s="62" t="n">
        <f aca="false">IF(BY508="LOSE",1,IF(N(V508)&gt;0,V508,IF(CB508=1,MAX(1,N(VLOOKUP(T508,Parameter!$I$27:$K$29,3,0)),H508,N(N508)),IF(N(Q508)&gt;0,Q508,MAX(1,H508)))))</f>
        <v>2</v>
      </c>
      <c r="CA508" s="65" t="n">
        <f aca="false">IF(BY508="LOSE",1,0)</f>
        <v>0</v>
      </c>
      <c r="CB508" s="65" t="n">
        <f aca="false">IF(AND(U508="",OR(P508="",P508="LOSE"),T508&lt;&gt;"",N(S508)&lt;=0,ISNUMBER(MATCH(T508,Parameter!$I$27:$I$29,0))),1,0)</f>
        <v>0</v>
      </c>
      <c r="CC508" s="65" t="n">
        <f aca="false">IF(CR508&gt;0,INDEX(Parameter!$H$5:$H$7,W508)/INDEX(Parameter!$E$5:$E$7,W508),IF(AND(CA508=0,N(IFERROR(VLOOKUP(BY508,'Gebinde-Kategorie'!$A$5:$N$45,14,0),0))&gt;0),VLOOKUP(BY508,'Gebinde-Kategorie'!$A$5:$N$45,14,0)*10+Parameter!$M$23,Parameter!$M$24))</f>
        <v>155</v>
      </c>
      <c r="CD508" s="60" t="str">
        <f aca="false">IF(AND(Parameter!$B$19="Ja",E508&lt;&gt;"",ISNUMBER(MATCH(E508,Parameter!$I$35:$I$52,0))),VLOOKUP(E508,Parameter!$I$35:$J$52,2,0),IFERROR(VLOOKUP(D508,Parameter!$A$35:$C$64,2,0),"Nein"))</f>
        <v>2+3</v>
      </c>
      <c r="CE508" s="64" t="n">
        <f aca="false">IF(CA508=0,0,IF(N(S508)&gt;0,S508,IFERROR(VLOOKUP(D508,Parameter!$A$35:$C$64,3,0)+0,0)))</f>
        <v>0</v>
      </c>
      <c r="CF508" s="60" t="n">
        <f aca="false">IF(AB508&lt;&gt;"",AB508,AA508)</f>
        <v>3</v>
      </c>
      <c r="CG508" s="60" t="str">
        <f aca="false">IF(OR(CF508=1,CF508=2,CF508=3),IF(Parameter!$E$27="Ja","LIFT",IF(CF508=1,"L1","L23")),IF(CF508="Aussen","Aussen","-"))</f>
        <v>LIFT</v>
      </c>
      <c r="CH508" s="71" t="n">
        <f aca="false">IF(N(AC508)&gt;0,AC508,0)</f>
        <v>0</v>
      </c>
      <c r="CI508" s="65" t="n">
        <f aca="false">IF(ISNUMBER(AF508),1,0)</f>
        <v>0</v>
      </c>
      <c r="CJ508" s="62" t="n">
        <f aca="false">N(AF508)</f>
        <v>0</v>
      </c>
      <c r="CK508" s="62" t="n">
        <f aca="false">N(M508)+N(N508)</f>
        <v>1</v>
      </c>
      <c r="CL508" s="62" t="n">
        <f aca="false">N(M508)</f>
        <v>0</v>
      </c>
      <c r="CM508" s="62" t="n">
        <f aca="false">N(N508)</f>
        <v>1</v>
      </c>
      <c r="CN508" s="62" t="n">
        <f aca="false">ROUNDUP(H508/BZ508,0)</f>
        <v>1</v>
      </c>
      <c r="CO508" s="62" t="n">
        <f aca="false">ROUNDUP(CJ508/BZ508,0)</f>
        <v>0</v>
      </c>
      <c r="CP508" s="65" t="n">
        <f aca="false">IF(CA508=1,0,IFERROR(VLOOKUP(BY508,'Gebinde-Kategorie'!$A$5:$N$45,5,0)+0,0))</f>
        <v>8</v>
      </c>
      <c r="CQ508" s="65" t="n">
        <f aca="false">IFERROR(IF(OR(CF508=1,CF508=2,CF508=3),N(INDEX(Parameter!$I$5:$I$7,CF508)),0),0)</f>
        <v>0</v>
      </c>
      <c r="CR508" s="64" t="n">
        <f aca="false">IF(AND(Parameter!$B$21="Ja",ISNUMBER(W508),N(X508)&gt;0),IFERROR(N(INDEX(Parameter!$L$5:$L$7,W508))*INDEX(Parameter!$E$5:$E$7,W508)*X508/SUMIFS($X$7:$X$1843,$W$7:$W$1843,W508),0),0)</f>
        <v>0</v>
      </c>
      <c r="CS508" s="62" t="n">
        <f aca="false">IF(AND(OR(CG508="L1",CG508="L23",CG508="LIFT"),H508&gt;0),CC508*IF(CR508&gt;0,CR508*MAX(1,H508/X508),IF(CA508=1,CE508,IF(R508&gt;0,CN508/R508,0))/MAX(0.1,N(Parameter!$M$21))),"")</f>
        <v>0.553571428571429</v>
      </c>
      <c r="CT508" s="64" t="n">
        <f aca="false">IF(CS508="","",J508/H508)</f>
        <v>0</v>
      </c>
      <c r="CU508" s="62" t="n">
        <f aca="false">IF(CS508="","",H508*G508)</f>
        <v>68</v>
      </c>
      <c r="CV508" s="63" t="n">
        <f aca="false">IF(CS508="","",(CL508+ROUNDUP(CL508+MAX(CM508,2*(J508/MAX(0.1,N(Einkauf!$C$6))-CL508)),0))/2)</f>
        <v>0.5</v>
      </c>
      <c r="CW508" s="62" t="n">
        <f aca="false">IF(CS508="","",MAX(0,H508-CV508)*G508)</f>
        <v>51</v>
      </c>
      <c r="CX508" s="62" t="n">
        <f aca="false">IF(CS508="","",CS508*MAX(0,1-CV508/H508))</f>
        <v>0.415178571428571</v>
      </c>
      <c r="CY508" s="64" t="n">
        <f aca="false">IF(CS508="","",PERCENTRANK($CS$7:$CS$1843,CS508)+PERCENTRANK($CU$7:$CU$1843,CU508)+1-PERCENTRANK($CT$7:$CT$1843,CT508))</f>
        <v>1.181</v>
      </c>
      <c r="CZ508" s="72" t="n">
        <f aca="false">IF(CS508="","",CHOOSE(MATCH(Einkauf!$C$5,Parameter!$G$23:$G$27,0),CY508,CS508,CU508,-CT508,CW508)+ROW()/1000000000)</f>
        <v>1.181000508</v>
      </c>
    </row>
    <row r="509" customFormat="false" ht="15" hidden="false" customHeight="false" outlineLevel="0" collapsed="false">
      <c r="A509" s="60" t="s">
        <v>1156</v>
      </c>
      <c r="B509" s="60" t="s">
        <v>510</v>
      </c>
      <c r="C509" s="60" t="s">
        <v>206</v>
      </c>
      <c r="D509" s="60" t="s">
        <v>226</v>
      </c>
      <c r="E509" s="60" t="s">
        <v>227</v>
      </c>
      <c r="F509" s="60" t="s">
        <v>260</v>
      </c>
      <c r="G509" s="61" t="n">
        <v>0.52</v>
      </c>
      <c r="H509" s="62" t="n">
        <f aca="false">MAX(0,IF(AND(Parameter!$B$21="Ja",ISNUMBER(Y509)),Y509,IF(Parameter!$B$20="Jahresanfang 2025 + Export",BS509+BR509,BR509)))</f>
        <v>507</v>
      </c>
      <c r="I509" s="62" t="n">
        <f aca="false">H509*G509</f>
        <v>263.64</v>
      </c>
      <c r="J509" s="62" t="n">
        <f aca="false">BU509*Parameter!$B$18</f>
        <v>688</v>
      </c>
      <c r="K509" s="63" t="n">
        <v>356.5</v>
      </c>
      <c r="L509" s="64" t="n">
        <v>1.92987377279102</v>
      </c>
      <c r="M509" s="62" t="n">
        <v>26</v>
      </c>
      <c r="N509" s="62" t="n">
        <v>690</v>
      </c>
      <c r="O509" s="65" t="n">
        <v>14</v>
      </c>
      <c r="P509" s="60" t="s">
        <v>275</v>
      </c>
      <c r="Q509" s="62" t="n">
        <v>865</v>
      </c>
      <c r="R509" s="65" t="n">
        <f aca="false">IF(CA509=1,0,IFERROR(VLOOKUP(BY509,'Gebinde-Kategorie'!$A$5:$N$45,13,0)+0,0))</f>
        <v>26</v>
      </c>
      <c r="S509" s="66"/>
      <c r="T509" s="67"/>
      <c r="U509" s="67"/>
      <c r="V509" s="67"/>
      <c r="W509" s="60"/>
      <c r="X509" s="62"/>
      <c r="Y509" s="62"/>
      <c r="Z509" s="60" t="n">
        <v>3</v>
      </c>
      <c r="AA509" s="60" t="n">
        <f aca="false">IF(A509="","",IF(AND(Parameter!$B$21="Ja",ISNUMBER(W509)),W509,IF(AND(Parameter!$E$27="Ja",ISNUMBER(Z509),CD509&lt;&gt;"Nein"),Z509,IF(CD509="2+3",IF(ISNUMBER(SEARCH("grosser Artikel",BV509)),2,IFERROR(VLOOKUP(BY509,Parameter!$F$35:$G$64,2,0),2)),IF(OR(CD509="Nein",CD509=""),"-",CD509)))))</f>
        <v>3</v>
      </c>
      <c r="AB509" s="67"/>
      <c r="AC509" s="68"/>
      <c r="AD509" s="62" t="n">
        <f aca="false">AW509</f>
        <v>716</v>
      </c>
      <c r="AE509" s="62" t="n">
        <f aca="false">MAX(AW509,H509)</f>
        <v>716</v>
      </c>
      <c r="AF509" s="69"/>
      <c r="AG509" s="62" t="n">
        <f aca="false">IF(LEFT(Cockpit!$C$5,1)="A",H509,IF(Parameter!$E$30="MAX-Bestand",IF(CI509=1,CJ509,IF(LEFT(Cockpit!$C$5,1)="B",AM509,MAX(AM509,H509))),ROUNDUP(AK509,0)))</f>
        <v>507</v>
      </c>
      <c r="AH509" s="62" t="n">
        <f aca="false">IF(CA509=1,0,ROUNDUP(AG509/BZ509,0))</f>
        <v>1</v>
      </c>
      <c r="AI509" s="64" t="n">
        <f aca="false">IF(CR509&gt;0,CR509*MAX(1,AG509/X509),IF(CA509=1,IF(AG509&lt;=0,0,CE509*MAX(1,IF(H509&gt;0,AG509/H509,1))),IF(R509&gt;0,AH509/R509,0))/MAX(0.1,N(Parameter!$M$21)))</f>
        <v>0.0384615384615385</v>
      </c>
      <c r="AJ509" s="62" t="n">
        <f aca="false">AI509*CC509</f>
        <v>9.42307692307692</v>
      </c>
      <c r="AK509" s="63" t="n">
        <f aca="false">IF(LEFT(Cockpit!$C$5,1)="A",H509,IF(CI509=1,(CL509+CJ509)/2,IF(LEFT(Cockpit!$C$5,1)="B",(CL509+AM509)/2,MAX((CL509+AM509)/2,H509))))</f>
        <v>507</v>
      </c>
      <c r="AL509" s="62" t="n">
        <f aca="false">AK509*G509</f>
        <v>263.64</v>
      </c>
      <c r="AM509" s="62" t="n">
        <f aca="false">ROUNDUP(CL509+MAX(CM509,2*(J509/IF(CH509&gt;0,CH509,MAX(0.1,N(Cockpit!$C$6)))-CL509)),0)</f>
        <v>716</v>
      </c>
      <c r="AN509" s="63" t="n">
        <f aca="false">IF(AJ509&gt;0,J509/AJ509,-1)</f>
        <v>73.0122448979592</v>
      </c>
      <c r="AO509" s="63" t="n">
        <f aca="false">IF(AND(OR(CG509="L1",CG509="L23",CG509="LIFT"),AJ509&gt;0),SUMIFS($AJ$7:$AJ$1843,$CG$7:$CG$1843,CG509,$AN$7:$AN$1843,"&gt;"&amp;AN509)+SUMIFS($AJ$7:$AJ$1843,$CG$7:$CG$1843,CG509,$AN$7:$AN$1843,AN509,$BX$7:$BX$1843,"&lt;="&amp;BX509),"")</f>
        <v>876.832417582418</v>
      </c>
      <c r="AP509" s="70" t="n">
        <f aca="false">IF(AO509="",0,MAX(0,MIN(1,(IF(CG509="L1",Parameter!$H$5,IF(CG509="L23",Parameter!$H$6+Parameter!$H$7,Parameter!$H$5+Parameter!$H$6+Parameter!$H$7))-(AO509-AJ509))/AJ509)))</f>
        <v>1</v>
      </c>
      <c r="AQ509" s="62" t="n">
        <f aca="false">IF(LEFT(Cockpit!$I$5,1)="A",H509,IF(Parameter!$E$30="MAX-Bestand",IF(CI509=1,CJ509,IF(LEFT(Cockpit!$I$5,1)="B",AW509,MAX(AW509,H509))),ROUNDUP(AU509,0)))</f>
        <v>507</v>
      </c>
      <c r="AR509" s="62" t="n">
        <f aca="false">IF(CA509=1,0,ROUNDUP(AQ509/BZ509,0))</f>
        <v>1</v>
      </c>
      <c r="AS509" s="64" t="n">
        <f aca="false">IF(CR509&gt;0,CR509*MAX(1,AQ509/X509),IF(CA509=1,IF(AQ509&lt;=0,0,CE509*MAX(1,IF(H509&gt;0,AQ509/H509,1))),IF(R509&gt;0,AR509/R509,0))/MAX(0.1,N(Parameter!$M$21)))</f>
        <v>0.0384615384615385</v>
      </c>
      <c r="AT509" s="62" t="n">
        <f aca="false">AS509*CC509</f>
        <v>9.42307692307692</v>
      </c>
      <c r="AU509" s="63" t="n">
        <f aca="false">IF(LEFT(Cockpit!$I$5,1)="A",H509,IF(CI509=1,(CL509+CJ509)/2,IF(LEFT(Cockpit!$I$5,1)="B",(CL509+AW509)/2,MAX((CL509+AW509)/2,H509))))</f>
        <v>507</v>
      </c>
      <c r="AV509" s="62" t="n">
        <f aca="false">AU509*G509</f>
        <v>263.64</v>
      </c>
      <c r="AW509" s="62" t="n">
        <f aca="false">ROUNDUP(CL509+MAX(CM509,2*(J509/IF(CH509&gt;0,CH509,MAX(0.1,N(Cockpit!$I$6)))-CL509)),0)</f>
        <v>716</v>
      </c>
      <c r="AX509" s="63" t="n">
        <f aca="false">IF(AT509&gt;0,J509/AT509,-1)</f>
        <v>73.0122448979592</v>
      </c>
      <c r="AY509" s="63" t="n">
        <f aca="false">IF(AND(OR(CG509="L1",CG509="L23",CG509="LIFT"),AT509&gt;0),SUMIFS($AT$7:$AT$1843,$CG$7:$CG$1843,CG509,$AX$7:$AX$1843,"&gt;"&amp;AX509)+SUMIFS($AT$7:$AT$1843,$CG$7:$CG$1843,CG509,$AX$7:$AX$1843,AX509,$BX$7:$BX$1843,"&lt;="&amp;BX509),"")</f>
        <v>1089.74450549451</v>
      </c>
      <c r="AZ509" s="70" t="n">
        <f aca="false">IF(AY509="",0,MAX(0,MIN(1,(IF(CG509="L1",Parameter!$H$5,IF(CG509="L23",Parameter!$H$6+Parameter!$H$7,Parameter!$H$5+Parameter!$H$6+Parameter!$H$7))-(AY509-AT509))/AT509)))</f>
        <v>1</v>
      </c>
      <c r="BA509" s="62" t="n">
        <f aca="false">IF(LEFT(Cockpit!$O$5,1)="A",H509,IF(Parameter!$E$30="MAX-Bestand",IF(CI509=1,CJ509,IF(LEFT(Cockpit!$O$5,1)="B",BG509,MAX(BG509,H509))),ROUNDUP(BE509,0)))</f>
        <v>371</v>
      </c>
      <c r="BB509" s="62" t="n">
        <f aca="false">IF(CA509=1,0,ROUNDUP(BA509/BZ509,0))</f>
        <v>1</v>
      </c>
      <c r="BC509" s="64" t="n">
        <f aca="false">IF(CR509&gt;0,CR509*MAX(1,BA509/X509),IF(CA509=1,IF(BA509&lt;=0,0,CE509*MAX(1,IF(H509&gt;0,BA509/H509,1))),IF(R509&gt;0,BB509/R509,0))/MAX(0.1,N(Parameter!$M$21)))</f>
        <v>0.0384615384615385</v>
      </c>
      <c r="BD509" s="62" t="n">
        <f aca="false">BC509*CC509</f>
        <v>9.42307692307692</v>
      </c>
      <c r="BE509" s="63" t="n">
        <f aca="false">IF(LEFT(Cockpit!$O$5,1)="A",H509,IF(CI509=1,(CL509+CJ509)/2,IF(LEFT(Cockpit!$O$5,1)="B",(CL509+BG509)/2,MAX((CL509+BG509)/2,H509))))</f>
        <v>371</v>
      </c>
      <c r="BF509" s="62" t="n">
        <f aca="false">BE509*G509</f>
        <v>192.92</v>
      </c>
      <c r="BG509" s="62" t="n">
        <f aca="false">ROUNDUP(CL509+MAX(CM509,2*(J509/IF(CH509&gt;0,CH509,MAX(0.1,N(Cockpit!$O$6)))-CL509)),0)</f>
        <v>716</v>
      </c>
      <c r="BH509" s="63" t="n">
        <f aca="false">IF(BD509&gt;0,J509/BD509,-1)</f>
        <v>73.0122448979592</v>
      </c>
      <c r="BI509" s="63" t="n">
        <f aca="false">IF(AND(OR(CG509="L1",CG509="L23",CG509="LIFT"),BD509&gt;0),SUMIFS($BD$7:$BD$1843,$CG$7:$CG$1843,CG509,$BH$7:$BH$1843,"&gt;"&amp;BH509)+SUMIFS($BD$7:$BD$1843,$CG$7:$CG$1843,CG509,$BH$7:$BH$1843,BH509,$BX$7:$BX$1843,"&lt;="&amp;BX509),"")</f>
        <v>1007.88278388278</v>
      </c>
      <c r="BJ509" s="70" t="n">
        <f aca="false">IF(BI509="",0,MAX(0,MIN(1,(IF(CG509="L1",Parameter!$H$5,IF(CG509="L23",Parameter!$H$6+Parameter!$H$7,Parameter!$H$5+Parameter!$H$6+Parameter!$H$7))-(BI509-BD509))/BD509)))</f>
        <v>1</v>
      </c>
      <c r="BK509" s="60" t="str">
        <f aca="false">IF(AJ509&lt;=0,"",IF(CG509="Aussen","Aussenlager",IF(CG509="-","Nicht im Lift",IF(AP509&gt;=1,"Lift",IF(AP509&lt;=0,"Aussenlager","teilweise")))))</f>
        <v>Lift</v>
      </c>
      <c r="BL509" s="60" t="str">
        <f aca="false">IF(AT509&lt;=0,"",IF(CG509="Aussen","Aussenlager",IF(CG509="-","Nicht im Lift",IF(AZ509&gt;=1,"Lift",IF(AZ509&lt;=0,"Aussenlager","teilweise")))))</f>
        <v>Lift</v>
      </c>
      <c r="BM509" s="60" t="str">
        <f aca="false">IF(BD509&lt;=0,"",IF(CG509="Aussen","Aussenlager",IF(CG509="-","Nicht im Lift",IF(BJ509&gt;=1,"Lift",IF(BJ509&lt;=0,"Aussenlager","teilweise")))))</f>
        <v>Lift</v>
      </c>
      <c r="BN509" s="60" t="str">
        <f aca="false">IF(A509="","",IF(BW509=1,"Neu; ","")&amp;IF(AND(BW509=0,BR509&lt;0),"negativer Bestand (Export "&amp;BR509&amp;"); ","")&amp;IF(J509&lt;=0,"Kein Verbrauch; ","")&amp;IF(CR509&gt;0,"Lift "&amp;W509&amp;" lt. Liftbericht (Fach "&amp;X509&amp;" Stk); ",IF(CB509=1,"Gebinde geschätzt ("&amp;T509&amp;"); ",IF(CA509=1,"Lose – Tablare geschätzt; ","")))&amp;IF(H509&gt;AW509,"Überbestand "&amp;ROUND(H509-AW509,0)&amp;" Stk / CHF "&amp;ROUND((H509-AW509)*G509,0)&amp;"; ","")&amp;IF(AND(CI509=1,CJ509&lt;CK509),"MAX &lt; MB+LG; ","")&amp;IF(AND(CQ509&gt;0,CP509*10&gt;CQ509),"zu hoch für Tablar; ","")&amp;IF(AND(BW509=0,OR(CI509=1,AB509&lt;&gt;"",U509&lt;&gt;"",V509&lt;&gt;"",AC509&lt;&gt;"")),"manuell übersteuert; ","")&amp;IF(AND(CA509=0,R509=0),"Gebinde unbekannt / Stellmass fehlt; ","")&amp;IF(AND(CA509=0,N(V509)&lt;=0,N(Q509)&lt;=0),"Menge pro Gebinde fehlt (Ist = 1 Gebinde); ","")&amp;BV509)</f>
        <v/>
      </c>
      <c r="BO509" s="60"/>
      <c r="BP509" s="60"/>
      <c r="BQ509" s="67"/>
      <c r="BR509" s="62" t="n">
        <v>141</v>
      </c>
      <c r="BS509" s="62" t="n">
        <v>366</v>
      </c>
      <c r="BT509" s="61" t="n">
        <v>33.8299999999996</v>
      </c>
      <c r="BU509" s="62" t="n">
        <v>688</v>
      </c>
      <c r="BV509" s="60"/>
      <c r="BW509" s="65" t="n">
        <v>0</v>
      </c>
      <c r="BX509" s="65" t="n">
        <v>509</v>
      </c>
      <c r="BY509" s="60" t="str">
        <f aca="false">IF(U509&lt;&gt;"",UPPER(TRIM(U509)),IF(CB509=1,UPPER(VLOOKUP(T509,Parameter!$I$27:$K$29,2,0)),IF(P509="","LOSE",P509)))</f>
        <v>S52</v>
      </c>
      <c r="BZ509" s="62" t="n">
        <f aca="false">IF(BY509="LOSE",1,IF(N(V509)&gt;0,V509,IF(CB509=1,MAX(1,N(VLOOKUP(T509,Parameter!$I$27:$K$29,3,0)),H509,N(N509)),IF(N(Q509)&gt;0,Q509,MAX(1,H509)))))</f>
        <v>865</v>
      </c>
      <c r="CA509" s="65" t="n">
        <f aca="false">IF(BY509="LOSE",1,0)</f>
        <v>0</v>
      </c>
      <c r="CB509" s="65" t="n">
        <f aca="false">IF(AND(U509="",OR(P509="",P509="LOSE"),T509&lt;&gt;"",N(S509)&lt;=0,ISNUMBER(MATCH(T509,Parameter!$I$27:$I$29,0))),1,0)</f>
        <v>0</v>
      </c>
      <c r="CC509" s="65" t="n">
        <f aca="false">IF(CR509&gt;0,INDEX(Parameter!$H$5:$H$7,W509)/INDEX(Parameter!$E$5:$E$7,W509),IF(AND(CA509=0,N(IFERROR(VLOOKUP(BY509,'Gebinde-Kategorie'!$A$5:$N$45,14,0),0))&gt;0),VLOOKUP(BY509,'Gebinde-Kategorie'!$A$5:$N$45,14,0)*10+Parameter!$M$23,Parameter!$M$24))</f>
        <v>245</v>
      </c>
      <c r="CD509" s="60" t="str">
        <f aca="false">IF(AND(Parameter!$B$19="Ja",E509&lt;&gt;"",ISNUMBER(MATCH(E509,Parameter!$I$35:$I$52,0))),VLOOKUP(E509,Parameter!$I$35:$J$52,2,0),IFERROR(VLOOKUP(D509,Parameter!$A$35:$C$64,2,0),"Nein"))</f>
        <v>2+3</v>
      </c>
      <c r="CE509" s="64" t="n">
        <f aca="false">IF(CA509=0,0,IF(N(S509)&gt;0,S509,IFERROR(VLOOKUP(D509,Parameter!$A$35:$C$64,3,0)+0,0)))</f>
        <v>0</v>
      </c>
      <c r="CF509" s="60" t="n">
        <f aca="false">IF(AB509&lt;&gt;"",AB509,AA509)</f>
        <v>3</v>
      </c>
      <c r="CG509" s="60" t="str">
        <f aca="false">IF(OR(CF509=1,CF509=2,CF509=3),IF(Parameter!$E$27="Ja","LIFT",IF(CF509=1,"L1","L23")),IF(CF509="Aussen","Aussen","-"))</f>
        <v>LIFT</v>
      </c>
      <c r="CH509" s="71" t="n">
        <f aca="false">IF(N(AC509)&gt;0,AC509,0)</f>
        <v>0</v>
      </c>
      <c r="CI509" s="65" t="n">
        <f aca="false">IF(ISNUMBER(AF509),1,0)</f>
        <v>0</v>
      </c>
      <c r="CJ509" s="62" t="n">
        <f aca="false">N(AF509)</f>
        <v>0</v>
      </c>
      <c r="CK509" s="62" t="n">
        <f aca="false">N(M509)+N(N509)</f>
        <v>716</v>
      </c>
      <c r="CL509" s="62" t="n">
        <f aca="false">N(M509)</f>
        <v>26</v>
      </c>
      <c r="CM509" s="62" t="n">
        <f aca="false">N(N509)</f>
        <v>690</v>
      </c>
      <c r="CN509" s="62" t="n">
        <f aca="false">ROUNDUP(H509/BZ509,0)</f>
        <v>1</v>
      </c>
      <c r="CO509" s="62" t="n">
        <f aca="false">ROUNDUP(CJ509/BZ509,0)</f>
        <v>0</v>
      </c>
      <c r="CP509" s="65" t="n">
        <f aca="false">IF(CA509=1,0,IFERROR(VLOOKUP(BY509,'Gebinde-Kategorie'!$A$5:$N$45,5,0)+0,0))</f>
        <v>21</v>
      </c>
      <c r="CQ509" s="65" t="n">
        <f aca="false">IFERROR(IF(OR(CF509=1,CF509=2,CF509=3),N(INDEX(Parameter!$I$5:$I$7,CF509)),0),0)</f>
        <v>0</v>
      </c>
      <c r="CR509" s="64" t="n">
        <f aca="false">IF(AND(Parameter!$B$21="Ja",ISNUMBER(W509),N(X509)&gt;0),IFERROR(N(INDEX(Parameter!$L$5:$L$7,W509))*INDEX(Parameter!$E$5:$E$7,W509)*X509/SUMIFS($X$7:$X$1843,$W$7:$W$1843,W509),0),0)</f>
        <v>0</v>
      </c>
      <c r="CS509" s="62" t="n">
        <f aca="false">IF(AND(OR(CG509="L1",CG509="L23",CG509="LIFT"),H509&gt;0),CC509*IF(CR509&gt;0,CR509*MAX(1,H509/X509),IF(CA509=1,CE509,IF(R509&gt;0,CN509/R509,0))/MAX(0.1,N(Parameter!$M$21))),"")</f>
        <v>9.42307692307692</v>
      </c>
      <c r="CT509" s="64" t="n">
        <f aca="false">IF(CS509="","",J509/H509)</f>
        <v>1.35700197238659</v>
      </c>
      <c r="CU509" s="62" t="n">
        <f aca="false">IF(CS509="","",H509*G509)</f>
        <v>263.64</v>
      </c>
      <c r="CV509" s="63" t="n">
        <f aca="false">IF(CS509="","",(CL509+ROUNDUP(CL509+MAX(CM509,2*(J509/MAX(0.1,N(Einkauf!$C$6))-CL509)),0))/2)</f>
        <v>371</v>
      </c>
      <c r="CW509" s="62" t="n">
        <f aca="false">IF(CS509="","",MAX(0,H509-CV509)*G509)</f>
        <v>70.72</v>
      </c>
      <c r="CX509" s="62" t="n">
        <f aca="false">IF(CS509="","",CS509*MAX(0,1-CV509/H509))</f>
        <v>2.5276892732514</v>
      </c>
      <c r="CY509" s="64" t="n">
        <f aca="false">IF(CS509="","",PERCENTRANK($CS$7:$CS$1843,CS509)+PERCENTRANK($CU$7:$CU$1843,CU509)+1-PERCENTRANK($CT$7:$CT$1843,CT509))</f>
        <v>1.221</v>
      </c>
      <c r="CZ509" s="72" t="n">
        <f aca="false">IF(CS509="","",CHOOSE(MATCH(Einkauf!$C$5,Parameter!$G$23:$G$27,0),CY509,CS509,CU509,-CT509,CW509)+ROW()/1000000000)</f>
        <v>1.221000509</v>
      </c>
    </row>
    <row r="510" customFormat="false" ht="15" hidden="false" customHeight="false" outlineLevel="0" collapsed="false">
      <c r="A510" s="60" t="s">
        <v>1157</v>
      </c>
      <c r="B510" s="60" t="s">
        <v>631</v>
      </c>
      <c r="C510" s="60" t="s">
        <v>206</v>
      </c>
      <c r="D510" s="60" t="s">
        <v>226</v>
      </c>
      <c r="E510" s="60"/>
      <c r="F510" s="60" t="s">
        <v>260</v>
      </c>
      <c r="G510" s="61" t="n">
        <v>2.6</v>
      </c>
      <c r="H510" s="62" t="n">
        <f aca="false">MAX(0,IF(AND(Parameter!$B$21="Ja",ISNUMBER(Y510)),Y510,IF(Parameter!$B$20="Jahresanfang 2025 + Export",BS510+BR510,BR510)))</f>
        <v>13</v>
      </c>
      <c r="I510" s="62" t="n">
        <f aca="false">H510*G510</f>
        <v>33.8</v>
      </c>
      <c r="J510" s="62" t="n">
        <f aca="false">BU510*Parameter!$B$18</f>
        <v>1</v>
      </c>
      <c r="K510" s="63" t="n">
        <v>9.5</v>
      </c>
      <c r="L510" s="64" t="n">
        <v>0.105263157894737</v>
      </c>
      <c r="M510" s="62" t="n">
        <v>0</v>
      </c>
      <c r="N510" s="62" t="n">
        <v>1</v>
      </c>
      <c r="O510" s="65" t="n">
        <v>14</v>
      </c>
      <c r="P510" s="60" t="s">
        <v>443</v>
      </c>
      <c r="Q510" s="62" t="n">
        <v>20</v>
      </c>
      <c r="R510" s="65" t="n">
        <f aca="false">IF(CA510=1,0,IFERROR(VLOOKUP(BY510,'Gebinde-Kategorie'!$A$5:$N$45,13,0)+0,0))</f>
        <v>280</v>
      </c>
      <c r="S510" s="66"/>
      <c r="T510" s="67"/>
      <c r="U510" s="67"/>
      <c r="V510" s="67"/>
      <c r="W510" s="60"/>
      <c r="X510" s="62"/>
      <c r="Y510" s="62"/>
      <c r="Z510" s="60" t="n">
        <v>3</v>
      </c>
      <c r="AA510" s="60" t="n">
        <f aca="false">IF(A510="","",IF(AND(Parameter!$B$21="Ja",ISNUMBER(W510)),W510,IF(AND(Parameter!$E$27="Ja",ISNUMBER(Z510),CD510&lt;&gt;"Nein"),Z510,IF(CD510="2+3",IF(ISNUMBER(SEARCH("grosser Artikel",BV510)),2,IFERROR(VLOOKUP(BY510,Parameter!$F$35:$G$64,2,0),2)),IF(OR(CD510="Nein",CD510=""),"-",CD510)))))</f>
        <v>3</v>
      </c>
      <c r="AB510" s="67"/>
      <c r="AC510" s="68"/>
      <c r="AD510" s="62" t="n">
        <f aca="false">AW510</f>
        <v>1</v>
      </c>
      <c r="AE510" s="62" t="n">
        <f aca="false">MAX(AW510,H510)</f>
        <v>13</v>
      </c>
      <c r="AF510" s="69"/>
      <c r="AG510" s="62" t="n">
        <f aca="false">IF(LEFT(Cockpit!$C$5,1)="A",H510,IF(Parameter!$E$30="MAX-Bestand",IF(CI510=1,CJ510,IF(LEFT(Cockpit!$C$5,1)="B",AM510,MAX(AM510,H510))),ROUNDUP(AK510,0)))</f>
        <v>13</v>
      </c>
      <c r="AH510" s="62" t="n">
        <f aca="false">IF(CA510=1,0,ROUNDUP(AG510/BZ510,0))</f>
        <v>1</v>
      </c>
      <c r="AI510" s="64" t="n">
        <f aca="false">IF(CR510&gt;0,CR510*MAX(1,AG510/X510),IF(CA510=1,IF(AG510&lt;=0,0,CE510*MAX(1,IF(H510&gt;0,AG510/H510,1))),IF(R510&gt;0,AH510/R510,0))/MAX(0.1,N(Parameter!$M$21)))</f>
        <v>0.00357142857142857</v>
      </c>
      <c r="AJ510" s="62" t="n">
        <f aca="false">AI510*CC510</f>
        <v>0.553571428571429</v>
      </c>
      <c r="AK510" s="63" t="n">
        <f aca="false">IF(LEFT(Cockpit!$C$5,1)="A",H510,IF(CI510=1,(CL510+CJ510)/2,IF(LEFT(Cockpit!$C$5,1)="B",(CL510+AM510)/2,MAX((CL510+AM510)/2,H510))))</f>
        <v>13</v>
      </c>
      <c r="AL510" s="62" t="n">
        <f aca="false">AK510*G510</f>
        <v>33.8</v>
      </c>
      <c r="AM510" s="62" t="n">
        <f aca="false">ROUNDUP(CL510+MAX(CM510,2*(J510/IF(CH510&gt;0,CH510,MAX(0.1,N(Cockpit!$C$6)))-CL510)),0)</f>
        <v>1</v>
      </c>
      <c r="AN510" s="63" t="n">
        <f aca="false">IF(AJ510&gt;0,J510/AJ510,-1)</f>
        <v>1.80645161290323</v>
      </c>
      <c r="AO510" s="63" t="n">
        <f aca="false">IF(AND(OR(CG510="L1",CG510="L23",CG510="LIFT"),AJ510&gt;0),SUMIFS($AJ$7:$AJ$1843,$CG$7:$CG$1843,CG510,$AN$7:$AN$1843,"&gt;"&amp;AN510)+SUMIFS($AJ$7:$AJ$1843,$CG$7:$CG$1843,CG510,$AN$7:$AN$1843,AN510,$BX$7:$BX$1843,"&lt;="&amp;BX510),"")</f>
        <v>5963.12957875458</v>
      </c>
      <c r="AP510" s="70" t="n">
        <f aca="false">IF(AO510="",0,MAX(0,MIN(1,(IF(CG510="L1",Parameter!$H$5,IF(CG510="L23",Parameter!$H$6+Parameter!$H$7,Parameter!$H$5+Parameter!$H$6+Parameter!$H$7))-(AO510-AJ510))/AJ510)))</f>
        <v>1</v>
      </c>
      <c r="AQ510" s="62" t="n">
        <f aca="false">IF(LEFT(Cockpit!$I$5,1)="A",H510,IF(Parameter!$E$30="MAX-Bestand",IF(CI510=1,CJ510,IF(LEFT(Cockpit!$I$5,1)="B",AW510,MAX(AW510,H510))),ROUNDUP(AU510,0)))</f>
        <v>13</v>
      </c>
      <c r="AR510" s="62" t="n">
        <f aca="false">IF(CA510=1,0,ROUNDUP(AQ510/BZ510,0))</f>
        <v>1</v>
      </c>
      <c r="AS510" s="64" t="n">
        <f aca="false">IF(CR510&gt;0,CR510*MAX(1,AQ510/X510),IF(CA510=1,IF(AQ510&lt;=0,0,CE510*MAX(1,IF(H510&gt;0,AQ510/H510,1))),IF(R510&gt;0,AR510/R510,0))/MAX(0.1,N(Parameter!$M$21)))</f>
        <v>0.00357142857142857</v>
      </c>
      <c r="AT510" s="62" t="n">
        <f aca="false">AS510*CC510</f>
        <v>0.553571428571429</v>
      </c>
      <c r="AU510" s="63" t="n">
        <f aca="false">IF(LEFT(Cockpit!$I$5,1)="A",H510,IF(CI510=1,(CL510+CJ510)/2,IF(LEFT(Cockpit!$I$5,1)="B",(CL510+AW510)/2,MAX((CL510+AW510)/2,H510))))</f>
        <v>13</v>
      </c>
      <c r="AV510" s="62" t="n">
        <f aca="false">AU510*G510</f>
        <v>33.8</v>
      </c>
      <c r="AW510" s="62" t="n">
        <f aca="false">ROUNDUP(CL510+MAX(CM510,2*(J510/IF(CH510&gt;0,CH510,MAX(0.1,N(Cockpit!$I$6)))-CL510)),0)</f>
        <v>1</v>
      </c>
      <c r="AX510" s="63" t="n">
        <f aca="false">IF(AT510&gt;0,J510/AT510,-1)</f>
        <v>1.80645161290323</v>
      </c>
      <c r="AY510" s="63" t="n">
        <f aca="false">IF(AND(OR(CG510="L1",CG510="L23",CG510="LIFT"),AT510&gt;0),SUMIFS($AT$7:$AT$1843,$CG$7:$CG$1843,CG510,$AX$7:$AX$1843,"&gt;"&amp;AX510)+SUMIFS($AT$7:$AT$1843,$CG$7:$CG$1843,CG510,$AX$7:$AX$1843,AX510,$BX$7:$BX$1843,"&lt;="&amp;BX510),"")</f>
        <v>7400.65247252747</v>
      </c>
      <c r="AZ510" s="70" t="n">
        <f aca="false">IF(AY510="",0,MAX(0,MIN(1,(IF(CG510="L1",Parameter!$H$5,IF(CG510="L23",Parameter!$H$6+Parameter!$H$7,Parameter!$H$5+Parameter!$H$6+Parameter!$H$7))-(AY510-AT510))/AT510)))</f>
        <v>1</v>
      </c>
      <c r="BA510" s="62" t="n">
        <f aca="false">IF(LEFT(Cockpit!$O$5,1)="A",H510,IF(Parameter!$E$30="MAX-Bestand",IF(CI510=1,CJ510,IF(LEFT(Cockpit!$O$5,1)="B",BG510,MAX(BG510,H510))),ROUNDUP(BE510,0)))</f>
        <v>1</v>
      </c>
      <c r="BB510" s="62" t="n">
        <f aca="false">IF(CA510=1,0,ROUNDUP(BA510/BZ510,0))</f>
        <v>1</v>
      </c>
      <c r="BC510" s="64" t="n">
        <f aca="false">IF(CR510&gt;0,CR510*MAX(1,BA510/X510),IF(CA510=1,IF(BA510&lt;=0,0,CE510*MAX(1,IF(H510&gt;0,BA510/H510,1))),IF(R510&gt;0,BB510/R510,0))/MAX(0.1,N(Parameter!$M$21)))</f>
        <v>0.00357142857142857</v>
      </c>
      <c r="BD510" s="62" t="n">
        <f aca="false">BC510*CC510</f>
        <v>0.553571428571429</v>
      </c>
      <c r="BE510" s="63" t="n">
        <f aca="false">IF(LEFT(Cockpit!$O$5,1)="A",H510,IF(CI510=1,(CL510+CJ510)/2,IF(LEFT(Cockpit!$O$5,1)="B",(CL510+BG510)/2,MAX((CL510+BG510)/2,H510))))</f>
        <v>0.5</v>
      </c>
      <c r="BF510" s="62" t="n">
        <f aca="false">BE510*G510</f>
        <v>1.3</v>
      </c>
      <c r="BG510" s="62" t="n">
        <f aca="false">ROUNDUP(CL510+MAX(CM510,2*(J510/IF(CH510&gt;0,CH510,MAX(0.1,N(Cockpit!$O$6)))-CL510)),0)</f>
        <v>1</v>
      </c>
      <c r="BH510" s="63" t="n">
        <f aca="false">IF(BD510&gt;0,J510/BD510,-1)</f>
        <v>1.80645161290323</v>
      </c>
      <c r="BI510" s="63" t="n">
        <f aca="false">IF(AND(OR(CG510="L1",CG510="L23",CG510="LIFT"),BD510&gt;0),SUMIFS($BD$7:$BD$1843,$CG$7:$CG$1843,CG510,$BH$7:$BH$1843,"&gt;"&amp;BH510)+SUMIFS($BD$7:$BD$1843,$CG$7:$CG$1843,CG510,$BH$7:$BH$1843,BH510,$BX$7:$BX$1843,"&lt;="&amp;BX510),"")</f>
        <v>6088.57326007326</v>
      </c>
      <c r="BJ510" s="70" t="n">
        <f aca="false">IF(BI510="",0,MAX(0,MIN(1,(IF(CG510="L1",Parameter!$H$5,IF(CG510="L23",Parameter!$H$6+Parameter!$H$7,Parameter!$H$5+Parameter!$H$6+Parameter!$H$7))-(BI510-BD510))/BD510)))</f>
        <v>1</v>
      </c>
      <c r="BK510" s="60" t="str">
        <f aca="false">IF(AJ510&lt;=0,"",IF(CG510="Aussen","Aussenlager",IF(CG510="-","Nicht im Lift",IF(AP510&gt;=1,"Lift",IF(AP510&lt;=0,"Aussenlager","teilweise")))))</f>
        <v>Lift</v>
      </c>
      <c r="BL510" s="60" t="str">
        <f aca="false">IF(AT510&lt;=0,"",IF(CG510="Aussen","Aussenlager",IF(CG510="-","Nicht im Lift",IF(AZ510&gt;=1,"Lift",IF(AZ510&lt;=0,"Aussenlager","teilweise")))))</f>
        <v>Lift</v>
      </c>
      <c r="BM510" s="60" t="str">
        <f aca="false">IF(BD510&lt;=0,"",IF(CG510="Aussen","Aussenlager",IF(CG510="-","Nicht im Lift",IF(BJ510&gt;=1,"Lift",IF(BJ510&lt;=0,"Aussenlager","teilweise")))))</f>
        <v>Lift</v>
      </c>
      <c r="BN510" s="60" t="str">
        <f aca="false">IF(A510="","",IF(BW510=1,"Neu; ","")&amp;IF(AND(BW510=0,BR510&lt;0),"negativer Bestand (Export "&amp;BR510&amp;"); ","")&amp;IF(J510&lt;=0,"Kein Verbrauch; ","")&amp;IF(CR510&gt;0,"Lift "&amp;W510&amp;" lt. Liftbericht (Fach "&amp;X510&amp;" Stk); ",IF(CB510=1,"Gebinde geschätzt ("&amp;T510&amp;"); ",IF(CA510=1,"Lose – Tablare geschätzt; ","")))&amp;IF(H510&gt;AW510,"Überbestand "&amp;ROUND(H510-AW510,0)&amp;" Stk / CHF "&amp;ROUND((H510-AW510)*G510,0)&amp;"; ","")&amp;IF(AND(CI510=1,CJ510&lt;CK510),"MAX &lt; MB+LG; ","")&amp;IF(AND(CQ510&gt;0,CP510*10&gt;CQ510),"zu hoch für Tablar; ","")&amp;IF(AND(BW510=0,OR(CI510=1,AB510&lt;&gt;"",U510&lt;&gt;"",V510&lt;&gt;"",AC510&lt;&gt;"")),"manuell übersteuert; ","")&amp;IF(AND(CA510=0,R510=0),"Gebinde unbekannt / Stellmass fehlt; ","")&amp;IF(AND(CA510=0,N(V510)&lt;=0,N(Q510)&lt;=0),"Menge pro Gebinde fehlt (Ist = 1 Gebinde); ","")&amp;BV510)</f>
        <v>Überbestand 12 Stk / CHF 31; </v>
      </c>
      <c r="BO510" s="60"/>
      <c r="BP510" s="60"/>
      <c r="BQ510" s="67"/>
      <c r="BR510" s="62" t="n">
        <v>13</v>
      </c>
      <c r="BS510" s="62" t="n">
        <v>0</v>
      </c>
      <c r="BT510" s="61" t="n">
        <v>33.8</v>
      </c>
      <c r="BU510" s="62" t="n">
        <v>1</v>
      </c>
      <c r="BV510" s="60"/>
      <c r="BW510" s="65" t="n">
        <v>0</v>
      </c>
      <c r="BX510" s="65" t="n">
        <v>510</v>
      </c>
      <c r="BY510" s="60" t="str">
        <f aca="false">IF(U510&lt;&gt;"",UPPER(TRIM(U510)),IF(CB510=1,UPPER(VLOOKUP(T510,Parameter!$I$27:$K$29,2,0)),IF(P510="","LOSE",P510)))</f>
        <v>S21</v>
      </c>
      <c r="BZ510" s="62" t="n">
        <f aca="false">IF(BY510="LOSE",1,IF(N(V510)&gt;0,V510,IF(CB510=1,MAX(1,N(VLOOKUP(T510,Parameter!$I$27:$K$29,3,0)),H510,N(N510)),IF(N(Q510)&gt;0,Q510,MAX(1,H510)))))</f>
        <v>20</v>
      </c>
      <c r="CA510" s="65" t="n">
        <f aca="false">IF(BY510="LOSE",1,0)</f>
        <v>0</v>
      </c>
      <c r="CB510" s="65" t="n">
        <f aca="false">IF(AND(U510="",OR(P510="",P510="LOSE"),T510&lt;&gt;"",N(S510)&lt;=0,ISNUMBER(MATCH(T510,Parameter!$I$27:$I$29,0))),1,0)</f>
        <v>0</v>
      </c>
      <c r="CC510" s="65" t="n">
        <f aca="false">IF(CR510&gt;0,INDEX(Parameter!$H$5:$H$7,W510)/INDEX(Parameter!$E$5:$E$7,W510),IF(AND(CA510=0,N(IFERROR(VLOOKUP(BY510,'Gebinde-Kategorie'!$A$5:$N$45,14,0),0))&gt;0),VLOOKUP(BY510,'Gebinde-Kategorie'!$A$5:$N$45,14,0)*10+Parameter!$M$23,Parameter!$M$24))</f>
        <v>155</v>
      </c>
      <c r="CD510" s="60" t="str">
        <f aca="false">IF(AND(Parameter!$B$19="Ja",E510&lt;&gt;"",ISNUMBER(MATCH(E510,Parameter!$I$35:$I$52,0))),VLOOKUP(E510,Parameter!$I$35:$J$52,2,0),IFERROR(VLOOKUP(D510,Parameter!$A$35:$C$64,2,0),"Nein"))</f>
        <v>2+3</v>
      </c>
      <c r="CE510" s="64" t="n">
        <f aca="false">IF(CA510=0,0,IF(N(S510)&gt;0,S510,IFERROR(VLOOKUP(D510,Parameter!$A$35:$C$64,3,0)+0,0)))</f>
        <v>0</v>
      </c>
      <c r="CF510" s="60" t="n">
        <f aca="false">IF(AB510&lt;&gt;"",AB510,AA510)</f>
        <v>3</v>
      </c>
      <c r="CG510" s="60" t="str">
        <f aca="false">IF(OR(CF510=1,CF510=2,CF510=3),IF(Parameter!$E$27="Ja","LIFT",IF(CF510=1,"L1","L23")),IF(CF510="Aussen","Aussen","-"))</f>
        <v>LIFT</v>
      </c>
      <c r="CH510" s="71" t="n">
        <f aca="false">IF(N(AC510)&gt;0,AC510,0)</f>
        <v>0</v>
      </c>
      <c r="CI510" s="65" t="n">
        <f aca="false">IF(ISNUMBER(AF510),1,0)</f>
        <v>0</v>
      </c>
      <c r="CJ510" s="62" t="n">
        <f aca="false">N(AF510)</f>
        <v>0</v>
      </c>
      <c r="CK510" s="62" t="n">
        <f aca="false">N(M510)+N(N510)</f>
        <v>1</v>
      </c>
      <c r="CL510" s="62" t="n">
        <f aca="false">N(M510)</f>
        <v>0</v>
      </c>
      <c r="CM510" s="62" t="n">
        <f aca="false">N(N510)</f>
        <v>1</v>
      </c>
      <c r="CN510" s="62" t="n">
        <f aca="false">ROUNDUP(H510/BZ510,0)</f>
        <v>1</v>
      </c>
      <c r="CO510" s="62" t="n">
        <f aca="false">ROUNDUP(CJ510/BZ510,0)</f>
        <v>0</v>
      </c>
      <c r="CP510" s="65" t="n">
        <f aca="false">IF(CA510=1,0,IFERROR(VLOOKUP(BY510,'Gebinde-Kategorie'!$A$5:$N$45,5,0)+0,0))</f>
        <v>8</v>
      </c>
      <c r="CQ510" s="65" t="n">
        <f aca="false">IFERROR(IF(OR(CF510=1,CF510=2,CF510=3),N(INDEX(Parameter!$I$5:$I$7,CF510)),0),0)</f>
        <v>0</v>
      </c>
      <c r="CR510" s="64" t="n">
        <f aca="false">IF(AND(Parameter!$B$21="Ja",ISNUMBER(W510),N(X510)&gt;0),IFERROR(N(INDEX(Parameter!$L$5:$L$7,W510))*INDEX(Parameter!$E$5:$E$7,W510)*X510/SUMIFS($X$7:$X$1843,$W$7:$W$1843,W510),0),0)</f>
        <v>0</v>
      </c>
      <c r="CS510" s="62" t="n">
        <f aca="false">IF(AND(OR(CG510="L1",CG510="L23",CG510="LIFT"),H510&gt;0),CC510*IF(CR510&gt;0,CR510*MAX(1,H510/X510),IF(CA510=1,CE510,IF(R510&gt;0,CN510/R510,0))/MAX(0.1,N(Parameter!$M$21))),"")</f>
        <v>0.553571428571429</v>
      </c>
      <c r="CT510" s="64" t="n">
        <f aca="false">IF(CS510="","",J510/H510)</f>
        <v>0.0769230769230769</v>
      </c>
      <c r="CU510" s="62" t="n">
        <f aca="false">IF(CS510="","",H510*G510)</f>
        <v>33.8</v>
      </c>
      <c r="CV510" s="63" t="n">
        <f aca="false">IF(CS510="","",(CL510+ROUNDUP(CL510+MAX(CM510,2*(J510/MAX(0.1,N(Einkauf!$C$6))-CL510)),0))/2)</f>
        <v>0.5</v>
      </c>
      <c r="CW510" s="62" t="n">
        <f aca="false">IF(CS510="","",MAX(0,H510-CV510)*G510)</f>
        <v>32.5</v>
      </c>
      <c r="CX510" s="62" t="n">
        <f aca="false">IF(CS510="","",CS510*MAX(0,1-CV510/H510))</f>
        <v>0.53228021978022</v>
      </c>
      <c r="CY510" s="64" t="n">
        <f aca="false">IF(CS510="","",PERCENTRANK($CS$7:$CS$1843,CS510)+PERCENTRANK($CU$7:$CU$1843,CU510)+1-PERCENTRANK($CT$7:$CT$1843,CT510))</f>
        <v>0.705</v>
      </c>
      <c r="CZ510" s="72" t="n">
        <f aca="false">IF(CS510="","",CHOOSE(MATCH(Einkauf!$C$5,Parameter!$G$23:$G$27,0),CY510,CS510,CU510,-CT510,CW510)+ROW()/1000000000)</f>
        <v>0.70500051</v>
      </c>
    </row>
    <row r="511" customFormat="false" ht="15" hidden="false" customHeight="false" outlineLevel="0" collapsed="false">
      <c r="A511" s="60" t="s">
        <v>1158</v>
      </c>
      <c r="B511" s="60" t="s">
        <v>531</v>
      </c>
      <c r="C511" s="60" t="s">
        <v>206</v>
      </c>
      <c r="D511" s="60" t="s">
        <v>226</v>
      </c>
      <c r="E511" s="60" t="s">
        <v>227</v>
      </c>
      <c r="F511" s="60" t="s">
        <v>260</v>
      </c>
      <c r="G511" s="61" t="n">
        <v>18.95</v>
      </c>
      <c r="H511" s="62" t="n">
        <f aca="false">MAX(0,IF(AND(Parameter!$B$21="Ja",ISNUMBER(Y511)),Y511,IF(Parameter!$B$20="Jahresanfang 2025 + Export",BS511+BR511,BR511)))</f>
        <v>60</v>
      </c>
      <c r="I511" s="62" t="n">
        <f aca="false">H511*G511</f>
        <v>1137</v>
      </c>
      <c r="J511" s="62" t="n">
        <f aca="false">BU511*Parameter!$B$18</f>
        <v>286</v>
      </c>
      <c r="K511" s="63" t="n">
        <v>72.5</v>
      </c>
      <c r="L511" s="64" t="n">
        <v>3.9448275862069</v>
      </c>
      <c r="M511" s="62" t="n">
        <v>5</v>
      </c>
      <c r="N511" s="62" t="n">
        <v>185</v>
      </c>
      <c r="O511" s="65" t="n">
        <v>7</v>
      </c>
      <c r="P511" s="60" t="s">
        <v>344</v>
      </c>
      <c r="Q511" s="62" t="n">
        <v>255</v>
      </c>
      <c r="R511" s="65" t="n">
        <f aca="false">IF(CA511=1,0,IFERROR(VLOOKUP(BY511,'Gebinde-Kategorie'!$A$5:$N$45,13,0)+0,0))</f>
        <v>26</v>
      </c>
      <c r="S511" s="66"/>
      <c r="T511" s="67"/>
      <c r="U511" s="67"/>
      <c r="V511" s="67"/>
      <c r="W511" s="60"/>
      <c r="X511" s="62"/>
      <c r="Y511" s="62"/>
      <c r="Z511" s="60" t="n">
        <v>3</v>
      </c>
      <c r="AA511" s="60" t="n">
        <f aca="false">IF(A511="","",IF(AND(Parameter!$B$21="Ja",ISNUMBER(W511)),W511,IF(AND(Parameter!$E$27="Ja",ISNUMBER(Z511),CD511&lt;&gt;"Nein"),Z511,IF(CD511="2+3",IF(ISNUMBER(SEARCH("grosser Artikel",BV511)),2,IFERROR(VLOOKUP(BY511,Parameter!$F$35:$G$64,2,0),2)),IF(OR(CD511="Nein",CD511=""),"-",CD511)))))</f>
        <v>3</v>
      </c>
      <c r="AB511" s="67"/>
      <c r="AC511" s="68"/>
      <c r="AD511" s="62" t="n">
        <f aca="false">AW511</f>
        <v>190</v>
      </c>
      <c r="AE511" s="62" t="n">
        <f aca="false">MAX(AW511,H511)</f>
        <v>190</v>
      </c>
      <c r="AF511" s="69"/>
      <c r="AG511" s="62" t="n">
        <f aca="false">IF(LEFT(Cockpit!$C$5,1)="A",H511,IF(Parameter!$E$30="MAX-Bestand",IF(CI511=1,CJ511,IF(LEFT(Cockpit!$C$5,1)="B",AM511,MAX(AM511,H511))),ROUNDUP(AK511,0)))</f>
        <v>60</v>
      </c>
      <c r="AH511" s="62" t="n">
        <f aca="false">IF(CA511=1,0,ROUNDUP(AG511/BZ511,0))</f>
        <v>1</v>
      </c>
      <c r="AI511" s="64" t="n">
        <f aca="false">IF(CR511&gt;0,CR511*MAX(1,AG511/X511),IF(CA511=1,IF(AG511&lt;=0,0,CE511*MAX(1,IF(H511&gt;0,AG511/H511,1))),IF(R511&gt;0,AH511/R511,0))/MAX(0.1,N(Parameter!$M$21)))</f>
        <v>0.0384615384615385</v>
      </c>
      <c r="AJ511" s="62" t="n">
        <f aca="false">AI511*CC511</f>
        <v>5.96153846153846</v>
      </c>
      <c r="AK511" s="63" t="n">
        <f aca="false">IF(LEFT(Cockpit!$C$5,1)="A",H511,IF(CI511=1,(CL511+CJ511)/2,IF(LEFT(Cockpit!$C$5,1)="B",(CL511+AM511)/2,MAX((CL511+AM511)/2,H511))))</f>
        <v>60</v>
      </c>
      <c r="AL511" s="62" t="n">
        <f aca="false">AK511*G511</f>
        <v>1137</v>
      </c>
      <c r="AM511" s="62" t="n">
        <f aca="false">ROUNDUP(CL511+MAX(CM511,2*(J511/IF(CH511&gt;0,CH511,MAX(0.1,N(Cockpit!$C$6)))-CL511)),0)</f>
        <v>190</v>
      </c>
      <c r="AN511" s="63" t="n">
        <f aca="false">IF(AJ511&gt;0,J511/AJ511,-1)</f>
        <v>47.9741935483871</v>
      </c>
      <c r="AO511" s="63" t="n">
        <f aca="false">IF(AND(OR(CG511="L1",CG511="L23",CG511="LIFT"),AJ511&gt;0),SUMIFS($AJ$7:$AJ$1843,$CG$7:$CG$1843,CG511,$AN$7:$AN$1843,"&gt;"&amp;AN511)+SUMIFS($AJ$7:$AJ$1843,$CG$7:$CG$1843,CG511,$AN$7:$AN$1843,AN511,$BX$7:$BX$1843,"&lt;="&amp;BX511),"")</f>
        <v>1148.94368131868</v>
      </c>
      <c r="AP511" s="70" t="n">
        <f aca="false">IF(AO511="",0,MAX(0,MIN(1,(IF(CG511="L1",Parameter!$H$5,IF(CG511="L23",Parameter!$H$6+Parameter!$H$7,Parameter!$H$5+Parameter!$H$6+Parameter!$H$7))-(AO511-AJ511))/AJ511)))</f>
        <v>1</v>
      </c>
      <c r="AQ511" s="62" t="n">
        <f aca="false">IF(LEFT(Cockpit!$I$5,1)="A",H511,IF(Parameter!$E$30="MAX-Bestand",IF(CI511=1,CJ511,IF(LEFT(Cockpit!$I$5,1)="B",AW511,MAX(AW511,H511))),ROUNDUP(AU511,0)))</f>
        <v>98</v>
      </c>
      <c r="AR511" s="62" t="n">
        <f aca="false">IF(CA511=1,0,ROUNDUP(AQ511/BZ511,0))</f>
        <v>1</v>
      </c>
      <c r="AS511" s="64" t="n">
        <f aca="false">IF(CR511&gt;0,CR511*MAX(1,AQ511/X511),IF(CA511=1,IF(AQ511&lt;=0,0,CE511*MAX(1,IF(H511&gt;0,AQ511/H511,1))),IF(R511&gt;0,AR511/R511,0))/MAX(0.1,N(Parameter!$M$21)))</f>
        <v>0.0384615384615385</v>
      </c>
      <c r="AT511" s="62" t="n">
        <f aca="false">AS511*CC511</f>
        <v>5.96153846153846</v>
      </c>
      <c r="AU511" s="63" t="n">
        <f aca="false">IF(LEFT(Cockpit!$I$5,1)="A",H511,IF(CI511=1,(CL511+CJ511)/2,IF(LEFT(Cockpit!$I$5,1)="B",(CL511+AW511)/2,MAX((CL511+AW511)/2,H511))))</f>
        <v>97.5</v>
      </c>
      <c r="AV511" s="62" t="n">
        <f aca="false">AU511*G511</f>
        <v>1847.625</v>
      </c>
      <c r="AW511" s="62" t="n">
        <f aca="false">ROUNDUP(CL511+MAX(CM511,2*(J511/IF(CH511&gt;0,CH511,MAX(0.1,N(Cockpit!$I$6)))-CL511)),0)</f>
        <v>190</v>
      </c>
      <c r="AX511" s="63" t="n">
        <f aca="false">IF(AT511&gt;0,J511/AT511,-1)</f>
        <v>47.9741935483871</v>
      </c>
      <c r="AY511" s="63" t="n">
        <f aca="false">IF(AND(OR(CG511="L1",CG511="L23",CG511="LIFT"),AT511&gt;0),SUMIFS($AT$7:$AT$1843,$CG$7:$CG$1843,CG511,$AX$7:$AX$1843,"&gt;"&amp;AX511)+SUMIFS($AT$7:$AT$1843,$CG$7:$CG$1843,CG511,$AX$7:$AX$1843,AX511,$BX$7:$BX$1843,"&lt;="&amp;BX511),"")</f>
        <v>1395.97298534799</v>
      </c>
      <c r="AZ511" s="70" t="n">
        <f aca="false">IF(AY511="",0,MAX(0,MIN(1,(IF(CG511="L1",Parameter!$H$5,IF(CG511="L23",Parameter!$H$6+Parameter!$H$7,Parameter!$H$5+Parameter!$H$6+Parameter!$H$7))-(AY511-AT511))/AT511)))</f>
        <v>1</v>
      </c>
      <c r="BA511" s="62" t="n">
        <f aca="false">IF(LEFT(Cockpit!$O$5,1)="A",H511,IF(Parameter!$E$30="MAX-Bestand",IF(CI511=1,CJ511,IF(LEFT(Cockpit!$O$5,1)="B",BG511,MAX(BG511,H511))),ROUNDUP(BE511,0)))</f>
        <v>98</v>
      </c>
      <c r="BB511" s="62" t="n">
        <f aca="false">IF(CA511=1,0,ROUNDUP(BA511/BZ511,0))</f>
        <v>1</v>
      </c>
      <c r="BC511" s="64" t="n">
        <f aca="false">IF(CR511&gt;0,CR511*MAX(1,BA511/X511),IF(CA511=1,IF(BA511&lt;=0,0,CE511*MAX(1,IF(H511&gt;0,BA511/H511,1))),IF(R511&gt;0,BB511/R511,0))/MAX(0.1,N(Parameter!$M$21)))</f>
        <v>0.0384615384615385</v>
      </c>
      <c r="BD511" s="62" t="n">
        <f aca="false">BC511*CC511</f>
        <v>5.96153846153846</v>
      </c>
      <c r="BE511" s="63" t="n">
        <f aca="false">IF(LEFT(Cockpit!$O$5,1)="A",H511,IF(CI511=1,(CL511+CJ511)/2,IF(LEFT(Cockpit!$O$5,1)="B",(CL511+BG511)/2,MAX((CL511+BG511)/2,H511))))</f>
        <v>97.5</v>
      </c>
      <c r="BF511" s="62" t="n">
        <f aca="false">BE511*G511</f>
        <v>1847.625</v>
      </c>
      <c r="BG511" s="62" t="n">
        <f aca="false">ROUNDUP(CL511+MAX(CM511,2*(J511/IF(CH511&gt;0,CH511,MAX(0.1,N(Cockpit!$O$6)))-CL511)),0)</f>
        <v>190</v>
      </c>
      <c r="BH511" s="63" t="n">
        <f aca="false">IF(BD511&gt;0,J511/BD511,-1)</f>
        <v>47.9741935483871</v>
      </c>
      <c r="BI511" s="63" t="n">
        <f aca="false">IF(AND(OR(CG511="L1",CG511="L23",CG511="LIFT"),BD511&gt;0),SUMIFS($BD$7:$BD$1843,$CG$7:$CG$1843,CG511,$BH$7:$BH$1843,"&gt;"&amp;BH511)+SUMIFS($BD$7:$BD$1843,$CG$7:$CG$1843,CG511,$BH$7:$BH$1843,BH511,$BX$7:$BX$1843,"&lt;="&amp;BX511),"")</f>
        <v>1214.07692307692</v>
      </c>
      <c r="BJ511" s="70" t="n">
        <f aca="false">IF(BI511="",0,MAX(0,MIN(1,(IF(CG511="L1",Parameter!$H$5,IF(CG511="L23",Parameter!$H$6+Parameter!$H$7,Parameter!$H$5+Parameter!$H$6+Parameter!$H$7))-(BI511-BD511))/BD511)))</f>
        <v>1</v>
      </c>
      <c r="BK511" s="60" t="str">
        <f aca="false">IF(AJ511&lt;=0,"",IF(CG511="Aussen","Aussenlager",IF(CG511="-","Nicht im Lift",IF(AP511&gt;=1,"Lift",IF(AP511&lt;=0,"Aussenlager","teilweise")))))</f>
        <v>Lift</v>
      </c>
      <c r="BL511" s="60" t="str">
        <f aca="false">IF(AT511&lt;=0,"",IF(CG511="Aussen","Aussenlager",IF(CG511="-","Nicht im Lift",IF(AZ511&gt;=1,"Lift",IF(AZ511&lt;=0,"Aussenlager","teilweise")))))</f>
        <v>Lift</v>
      </c>
      <c r="BM511" s="60" t="str">
        <f aca="false">IF(BD511&lt;=0,"",IF(CG511="Aussen","Aussenlager",IF(CG511="-","Nicht im Lift",IF(BJ511&gt;=1,"Lift",IF(BJ511&lt;=0,"Aussenlager","teilweise")))))</f>
        <v>Lift</v>
      </c>
      <c r="BN511" s="60" t="str">
        <f aca="false">IF(A511="","",IF(BW511=1,"Neu; ","")&amp;IF(AND(BW511=0,BR511&lt;0),"negativer Bestand (Export "&amp;BR511&amp;"); ","")&amp;IF(J511&lt;=0,"Kein Verbrauch; ","")&amp;IF(CR511&gt;0,"Lift "&amp;W511&amp;" lt. Liftbericht (Fach "&amp;X511&amp;" Stk); ",IF(CB511=1,"Gebinde geschätzt ("&amp;T511&amp;"); ",IF(CA511=1,"Lose – Tablare geschätzt; ","")))&amp;IF(H511&gt;AW511,"Überbestand "&amp;ROUND(H511-AW511,0)&amp;" Stk / CHF "&amp;ROUND((H511-AW511)*G511,0)&amp;"; ","")&amp;IF(AND(CI511=1,CJ511&lt;CK511),"MAX &lt; MB+LG; ","")&amp;IF(AND(CQ511&gt;0,CP511*10&gt;CQ511),"zu hoch für Tablar; ","")&amp;IF(AND(BW511=0,OR(CI511=1,AB511&lt;&gt;"",U511&lt;&gt;"",V511&lt;&gt;"",AC511&lt;&gt;"")),"manuell übersteuert; ","")&amp;IF(AND(CA511=0,R511=0),"Gebinde unbekannt / Stellmass fehlt; ","")&amp;IF(AND(CA511=0,N(V511)&lt;=0,N(Q511)&lt;=0),"Menge pro Gebinde fehlt (Ist = 1 Gebinde); ","")&amp;BV511)</f>
        <v/>
      </c>
      <c r="BO511" s="60"/>
      <c r="BP511" s="60"/>
      <c r="BQ511" s="67"/>
      <c r="BR511" s="62" t="n">
        <v>5</v>
      </c>
      <c r="BS511" s="62" t="n">
        <v>55</v>
      </c>
      <c r="BT511" s="61" t="n">
        <v>33.6900000000001</v>
      </c>
      <c r="BU511" s="62" t="n">
        <v>286</v>
      </c>
      <c r="BV511" s="60"/>
      <c r="BW511" s="65" t="n">
        <v>0</v>
      </c>
      <c r="BX511" s="65" t="n">
        <v>511</v>
      </c>
      <c r="BY511" s="60" t="str">
        <f aca="false">IF(U511&lt;&gt;"",UPPER(TRIM(U511)),IF(CB511=1,UPPER(VLOOKUP(T511,Parameter!$I$27:$K$29,2,0)),IF(P511="","LOSE",P511)))</f>
        <v>S51</v>
      </c>
      <c r="BZ511" s="62" t="n">
        <f aca="false">IF(BY511="LOSE",1,IF(N(V511)&gt;0,V511,IF(CB511=1,MAX(1,N(VLOOKUP(T511,Parameter!$I$27:$K$29,3,0)),H511,N(N511)),IF(N(Q511)&gt;0,Q511,MAX(1,H511)))))</f>
        <v>255</v>
      </c>
      <c r="CA511" s="65" t="n">
        <f aca="false">IF(BY511="LOSE",1,0)</f>
        <v>0</v>
      </c>
      <c r="CB511" s="65" t="n">
        <f aca="false">IF(AND(U511="",OR(P511="",P511="LOSE"),T511&lt;&gt;"",N(S511)&lt;=0,ISNUMBER(MATCH(T511,Parameter!$I$27:$I$29,0))),1,0)</f>
        <v>0</v>
      </c>
      <c r="CC511" s="65" t="n">
        <f aca="false">IF(CR511&gt;0,INDEX(Parameter!$H$5:$H$7,W511)/INDEX(Parameter!$E$5:$E$7,W511),IF(AND(CA511=0,N(IFERROR(VLOOKUP(BY511,'Gebinde-Kategorie'!$A$5:$N$45,14,0),0))&gt;0),VLOOKUP(BY511,'Gebinde-Kategorie'!$A$5:$N$45,14,0)*10+Parameter!$M$23,Parameter!$M$24))</f>
        <v>155</v>
      </c>
      <c r="CD511" s="60" t="str">
        <f aca="false">IF(AND(Parameter!$B$19="Ja",E511&lt;&gt;"",ISNUMBER(MATCH(E511,Parameter!$I$35:$I$52,0))),VLOOKUP(E511,Parameter!$I$35:$J$52,2,0),IFERROR(VLOOKUP(D511,Parameter!$A$35:$C$64,2,0),"Nein"))</f>
        <v>2+3</v>
      </c>
      <c r="CE511" s="64" t="n">
        <f aca="false">IF(CA511=0,0,IF(N(S511)&gt;0,S511,IFERROR(VLOOKUP(D511,Parameter!$A$35:$C$64,3,0)+0,0)))</f>
        <v>0</v>
      </c>
      <c r="CF511" s="60" t="n">
        <f aca="false">IF(AB511&lt;&gt;"",AB511,AA511)</f>
        <v>3</v>
      </c>
      <c r="CG511" s="60" t="str">
        <f aca="false">IF(OR(CF511=1,CF511=2,CF511=3),IF(Parameter!$E$27="Ja","LIFT",IF(CF511=1,"L1","L23")),IF(CF511="Aussen","Aussen","-"))</f>
        <v>LIFT</v>
      </c>
      <c r="CH511" s="71" t="n">
        <f aca="false">IF(N(AC511)&gt;0,AC511,0)</f>
        <v>0</v>
      </c>
      <c r="CI511" s="65" t="n">
        <f aca="false">IF(ISNUMBER(AF511),1,0)</f>
        <v>0</v>
      </c>
      <c r="CJ511" s="62" t="n">
        <f aca="false">N(AF511)</f>
        <v>0</v>
      </c>
      <c r="CK511" s="62" t="n">
        <f aca="false">N(M511)+N(N511)</f>
        <v>190</v>
      </c>
      <c r="CL511" s="62" t="n">
        <f aca="false">N(M511)</f>
        <v>5</v>
      </c>
      <c r="CM511" s="62" t="n">
        <f aca="false">N(N511)</f>
        <v>185</v>
      </c>
      <c r="CN511" s="62" t="n">
        <f aca="false">ROUNDUP(H511/BZ511,0)</f>
        <v>1</v>
      </c>
      <c r="CO511" s="62" t="n">
        <f aca="false">ROUNDUP(CJ511/BZ511,0)</f>
        <v>0</v>
      </c>
      <c r="CP511" s="65" t="n">
        <f aca="false">IF(CA511=1,0,IFERROR(VLOOKUP(BY511,'Gebinde-Kategorie'!$A$5:$N$45,5,0)+0,0))</f>
        <v>11</v>
      </c>
      <c r="CQ511" s="65" t="n">
        <f aca="false">IFERROR(IF(OR(CF511=1,CF511=2,CF511=3),N(INDEX(Parameter!$I$5:$I$7,CF511)),0),0)</f>
        <v>0</v>
      </c>
      <c r="CR511" s="64" t="n">
        <f aca="false">IF(AND(Parameter!$B$21="Ja",ISNUMBER(W511),N(X511)&gt;0),IFERROR(N(INDEX(Parameter!$L$5:$L$7,W511))*INDEX(Parameter!$E$5:$E$7,W511)*X511/SUMIFS($X$7:$X$1843,$W$7:$W$1843,W511),0),0)</f>
        <v>0</v>
      </c>
      <c r="CS511" s="62" t="n">
        <f aca="false">IF(AND(OR(CG511="L1",CG511="L23",CG511="LIFT"),H511&gt;0),CC511*IF(CR511&gt;0,CR511*MAX(1,H511/X511),IF(CA511=1,CE511,IF(R511&gt;0,CN511/R511,0))/MAX(0.1,N(Parameter!$M$21))),"")</f>
        <v>5.96153846153846</v>
      </c>
      <c r="CT511" s="64" t="n">
        <f aca="false">IF(CS511="","",J511/H511)</f>
        <v>4.76666666666667</v>
      </c>
      <c r="CU511" s="62" t="n">
        <f aca="false">IF(CS511="","",H511*G511)</f>
        <v>1137</v>
      </c>
      <c r="CV511" s="63" t="n">
        <f aca="false">IF(CS511="","",(CL511+ROUNDUP(CL511+MAX(CM511,2*(J511/MAX(0.1,N(Einkauf!$C$6))-CL511)),0))/2)</f>
        <v>97.5</v>
      </c>
      <c r="CW511" s="62" t="n">
        <f aca="false">IF(CS511="","",MAX(0,H511-CV511)*G511)</f>
        <v>0</v>
      </c>
      <c r="CX511" s="62" t="n">
        <f aca="false">IF(CS511="","",CS511*MAX(0,1-CV511/H511))</f>
        <v>0</v>
      </c>
      <c r="CY511" s="64" t="n">
        <f aca="false">IF(CS511="","",PERCENTRANK($CS$7:$CS$1843,CS511)+PERCENTRANK($CU$7:$CU$1843,CU511)+1-PERCENTRANK($CT$7:$CT$1843,CT511))</f>
        <v>1.075</v>
      </c>
      <c r="CZ511" s="72" t="n">
        <f aca="false">IF(CS511="","",CHOOSE(MATCH(Einkauf!$C$5,Parameter!$G$23:$G$27,0),CY511,CS511,CU511,-CT511,CW511)+ROW()/1000000000)</f>
        <v>1.075000511</v>
      </c>
    </row>
    <row r="512" customFormat="false" ht="15" hidden="false" customHeight="false" outlineLevel="0" collapsed="false">
      <c r="A512" s="60" t="s">
        <v>1159</v>
      </c>
      <c r="B512" s="60" t="s">
        <v>1160</v>
      </c>
      <c r="C512" s="60" t="s">
        <v>206</v>
      </c>
      <c r="D512" s="60" t="s">
        <v>226</v>
      </c>
      <c r="E512" s="60" t="s">
        <v>227</v>
      </c>
      <c r="F512" s="60" t="s">
        <v>260</v>
      </c>
      <c r="G512" s="61" t="n">
        <v>43.1</v>
      </c>
      <c r="H512" s="62" t="n">
        <f aca="false">MAX(0,IF(AND(Parameter!$B$21="Ja",ISNUMBER(Y512)),Y512,IF(Parameter!$B$20="Jahresanfang 2025 + Export",BS512+BR512,BR512)))</f>
        <v>7</v>
      </c>
      <c r="I512" s="62" t="n">
        <f aca="false">H512*G512</f>
        <v>301.7</v>
      </c>
      <c r="J512" s="62" t="n">
        <f aca="false">BU512*Parameter!$B$18</f>
        <v>22</v>
      </c>
      <c r="K512" s="63" t="n">
        <v>9</v>
      </c>
      <c r="L512" s="64" t="n">
        <v>2.44444444444445</v>
      </c>
      <c r="M512" s="62" t="n">
        <v>1</v>
      </c>
      <c r="N512" s="62" t="n">
        <v>20</v>
      </c>
      <c r="O512" s="65" t="n">
        <v>28</v>
      </c>
      <c r="P512" s="60" t="s">
        <v>344</v>
      </c>
      <c r="Q512" s="62" t="n">
        <v>16</v>
      </c>
      <c r="R512" s="65" t="n">
        <f aca="false">IF(CA512=1,0,IFERROR(VLOOKUP(BY512,'Gebinde-Kategorie'!$A$5:$N$45,13,0)+0,0))</f>
        <v>26</v>
      </c>
      <c r="S512" s="66"/>
      <c r="T512" s="67"/>
      <c r="U512" s="67"/>
      <c r="V512" s="67"/>
      <c r="W512" s="60"/>
      <c r="X512" s="62"/>
      <c r="Y512" s="62"/>
      <c r="Z512" s="60" t="n">
        <v>3</v>
      </c>
      <c r="AA512" s="60" t="n">
        <f aca="false">IF(A512="","",IF(AND(Parameter!$B$21="Ja",ISNUMBER(W512)),W512,IF(AND(Parameter!$E$27="Ja",ISNUMBER(Z512),CD512&lt;&gt;"Nein"),Z512,IF(CD512="2+3",IF(ISNUMBER(SEARCH("grosser Artikel",BV512)),2,IFERROR(VLOOKUP(BY512,Parameter!$F$35:$G$64,2,0),2)),IF(OR(CD512="Nein",CD512=""),"-",CD512)))))</f>
        <v>3</v>
      </c>
      <c r="AB512" s="67"/>
      <c r="AC512" s="68"/>
      <c r="AD512" s="62" t="n">
        <f aca="false">AW512</f>
        <v>21</v>
      </c>
      <c r="AE512" s="62" t="n">
        <f aca="false">MAX(AW512,H512)</f>
        <v>21</v>
      </c>
      <c r="AF512" s="69"/>
      <c r="AG512" s="62" t="n">
        <f aca="false">IF(LEFT(Cockpit!$C$5,1)="A",H512,IF(Parameter!$E$30="MAX-Bestand",IF(CI512=1,CJ512,IF(LEFT(Cockpit!$C$5,1)="B",AM512,MAX(AM512,H512))),ROUNDUP(AK512,0)))</f>
        <v>7</v>
      </c>
      <c r="AH512" s="62" t="n">
        <f aca="false">IF(CA512=1,0,ROUNDUP(AG512/BZ512,0))</f>
        <v>1</v>
      </c>
      <c r="AI512" s="64" t="n">
        <f aca="false">IF(CR512&gt;0,CR512*MAX(1,AG512/X512),IF(CA512=1,IF(AG512&lt;=0,0,CE512*MAX(1,IF(H512&gt;0,AG512/H512,1))),IF(R512&gt;0,AH512/R512,0))/MAX(0.1,N(Parameter!$M$21)))</f>
        <v>0.0384615384615385</v>
      </c>
      <c r="AJ512" s="62" t="n">
        <f aca="false">AI512*CC512</f>
        <v>5.96153846153846</v>
      </c>
      <c r="AK512" s="63" t="n">
        <f aca="false">IF(LEFT(Cockpit!$C$5,1)="A",H512,IF(CI512=1,(CL512+CJ512)/2,IF(LEFT(Cockpit!$C$5,1)="B",(CL512+AM512)/2,MAX((CL512+AM512)/2,H512))))</f>
        <v>7</v>
      </c>
      <c r="AL512" s="62" t="n">
        <f aca="false">AK512*G512</f>
        <v>301.7</v>
      </c>
      <c r="AM512" s="62" t="n">
        <f aca="false">ROUNDUP(CL512+MAX(CM512,2*(J512/IF(CH512&gt;0,CH512,MAX(0.1,N(Cockpit!$C$6)))-CL512)),0)</f>
        <v>21</v>
      </c>
      <c r="AN512" s="63" t="n">
        <f aca="false">IF(AJ512&gt;0,J512/AJ512,-1)</f>
        <v>3.69032258064516</v>
      </c>
      <c r="AO512" s="63" t="n">
        <f aca="false">IF(AND(OR(CG512="L1",CG512="L23",CG512="LIFT"),AJ512&gt;0),SUMIFS($AJ$7:$AJ$1843,$CG$7:$CG$1843,CG512,$AN$7:$AN$1843,"&gt;"&amp;AN512)+SUMIFS($AJ$7:$AJ$1843,$CG$7:$CG$1843,CG512,$AN$7:$AN$1843,AN512,$BX$7:$BX$1843,"&lt;="&amp;BX512),"")</f>
        <v>4772.77564102564</v>
      </c>
      <c r="AP512" s="70" t="n">
        <f aca="false">IF(AO512="",0,MAX(0,MIN(1,(IF(CG512="L1",Parameter!$H$5,IF(CG512="L23",Parameter!$H$6+Parameter!$H$7,Parameter!$H$5+Parameter!$H$6+Parameter!$H$7))-(AO512-AJ512))/AJ512)))</f>
        <v>1</v>
      </c>
      <c r="AQ512" s="62" t="n">
        <f aca="false">IF(LEFT(Cockpit!$I$5,1)="A",H512,IF(Parameter!$E$30="MAX-Bestand",IF(CI512=1,CJ512,IF(LEFT(Cockpit!$I$5,1)="B",AW512,MAX(AW512,H512))),ROUNDUP(AU512,0)))</f>
        <v>11</v>
      </c>
      <c r="AR512" s="62" t="n">
        <f aca="false">IF(CA512=1,0,ROUNDUP(AQ512/BZ512,0))</f>
        <v>1</v>
      </c>
      <c r="AS512" s="64" t="n">
        <f aca="false">IF(CR512&gt;0,CR512*MAX(1,AQ512/X512),IF(CA512=1,IF(AQ512&lt;=0,0,CE512*MAX(1,IF(H512&gt;0,AQ512/H512,1))),IF(R512&gt;0,AR512/R512,0))/MAX(0.1,N(Parameter!$M$21)))</f>
        <v>0.0384615384615385</v>
      </c>
      <c r="AT512" s="62" t="n">
        <f aca="false">AS512*CC512</f>
        <v>5.96153846153846</v>
      </c>
      <c r="AU512" s="63" t="n">
        <f aca="false">IF(LEFT(Cockpit!$I$5,1)="A",H512,IF(CI512=1,(CL512+CJ512)/2,IF(LEFT(Cockpit!$I$5,1)="B",(CL512+AW512)/2,MAX((CL512+AW512)/2,H512))))</f>
        <v>11</v>
      </c>
      <c r="AV512" s="62" t="n">
        <f aca="false">AU512*G512</f>
        <v>474.1</v>
      </c>
      <c r="AW512" s="62" t="n">
        <f aca="false">ROUNDUP(CL512+MAX(CM512,2*(J512/IF(CH512&gt;0,CH512,MAX(0.1,N(Cockpit!$I$6)))-CL512)),0)</f>
        <v>21</v>
      </c>
      <c r="AX512" s="63" t="n">
        <f aca="false">IF(AT512&gt;0,J512/AT512,-1)</f>
        <v>3.69032258064516</v>
      </c>
      <c r="AY512" s="63" t="n">
        <f aca="false">IF(AND(OR(CG512="L1",CG512="L23",CG512="LIFT"),AT512&gt;0),SUMIFS($AT$7:$AT$1843,$CG$7:$CG$1843,CG512,$AX$7:$AX$1843,"&gt;"&amp;AX512)+SUMIFS($AT$7:$AT$1843,$CG$7:$CG$1843,CG512,$AX$7:$AX$1843,AX512,$BX$7:$BX$1843,"&lt;="&amp;BX512),"")</f>
        <v>5391.19597069597</v>
      </c>
      <c r="AZ512" s="70" t="n">
        <f aca="false">IF(AY512="",0,MAX(0,MIN(1,(IF(CG512="L1",Parameter!$H$5,IF(CG512="L23",Parameter!$H$6+Parameter!$H$7,Parameter!$H$5+Parameter!$H$6+Parameter!$H$7))-(AY512-AT512))/AT512)))</f>
        <v>1</v>
      </c>
      <c r="BA512" s="62" t="n">
        <f aca="false">IF(LEFT(Cockpit!$O$5,1)="A",H512,IF(Parameter!$E$30="MAX-Bestand",IF(CI512=1,CJ512,IF(LEFT(Cockpit!$O$5,1)="B",BG512,MAX(BG512,H512))),ROUNDUP(BE512,0)))</f>
        <v>11</v>
      </c>
      <c r="BB512" s="62" t="n">
        <f aca="false">IF(CA512=1,0,ROUNDUP(BA512/BZ512,0))</f>
        <v>1</v>
      </c>
      <c r="BC512" s="64" t="n">
        <f aca="false">IF(CR512&gt;0,CR512*MAX(1,BA512/X512),IF(CA512=1,IF(BA512&lt;=0,0,CE512*MAX(1,IF(H512&gt;0,BA512/H512,1))),IF(R512&gt;0,BB512/R512,0))/MAX(0.1,N(Parameter!$M$21)))</f>
        <v>0.0384615384615385</v>
      </c>
      <c r="BD512" s="62" t="n">
        <f aca="false">BC512*CC512</f>
        <v>5.96153846153846</v>
      </c>
      <c r="BE512" s="63" t="n">
        <f aca="false">IF(LEFT(Cockpit!$O$5,1)="A",H512,IF(CI512=1,(CL512+CJ512)/2,IF(LEFT(Cockpit!$O$5,1)="B",(CL512+BG512)/2,MAX((CL512+BG512)/2,H512))))</f>
        <v>11</v>
      </c>
      <c r="BF512" s="62" t="n">
        <f aca="false">BE512*G512</f>
        <v>474.1</v>
      </c>
      <c r="BG512" s="62" t="n">
        <f aca="false">ROUNDUP(CL512+MAX(CM512,2*(J512/IF(CH512&gt;0,CH512,MAX(0.1,N(Cockpit!$O$6)))-CL512)),0)</f>
        <v>21</v>
      </c>
      <c r="BH512" s="63" t="n">
        <f aca="false">IF(BD512&gt;0,J512/BD512,-1)</f>
        <v>3.69032258064516</v>
      </c>
      <c r="BI512" s="63" t="n">
        <f aca="false">IF(AND(OR(CG512="L1",CG512="L23",CG512="LIFT"),BD512&gt;0),SUMIFS($BD$7:$BD$1843,$CG$7:$CG$1843,CG512,$BH$7:$BH$1843,"&gt;"&amp;BH512)+SUMIFS($BD$7:$BD$1843,$CG$7:$CG$1843,CG512,$BH$7:$BH$1843,BH512,$BX$7:$BX$1843,"&lt;="&amp;BX512),"")</f>
        <v>4409.56776556777</v>
      </c>
      <c r="BJ512" s="70" t="n">
        <f aca="false">IF(BI512="",0,MAX(0,MIN(1,(IF(CG512="L1",Parameter!$H$5,IF(CG512="L23",Parameter!$H$6+Parameter!$H$7,Parameter!$H$5+Parameter!$H$6+Parameter!$H$7))-(BI512-BD512))/BD512)))</f>
        <v>1</v>
      </c>
      <c r="BK512" s="60" t="str">
        <f aca="false">IF(AJ512&lt;=0,"",IF(CG512="Aussen","Aussenlager",IF(CG512="-","Nicht im Lift",IF(AP512&gt;=1,"Lift",IF(AP512&lt;=0,"Aussenlager","teilweise")))))</f>
        <v>Lift</v>
      </c>
      <c r="BL512" s="60" t="str">
        <f aca="false">IF(AT512&lt;=0,"",IF(CG512="Aussen","Aussenlager",IF(CG512="-","Nicht im Lift",IF(AZ512&gt;=1,"Lift",IF(AZ512&lt;=0,"Aussenlager","teilweise")))))</f>
        <v>Lift</v>
      </c>
      <c r="BM512" s="60" t="str">
        <f aca="false">IF(BD512&lt;=0,"",IF(CG512="Aussen","Aussenlager",IF(CG512="-","Nicht im Lift",IF(BJ512&gt;=1,"Lift",IF(BJ512&lt;=0,"Aussenlager","teilweise")))))</f>
        <v>Lift</v>
      </c>
      <c r="BN512" s="60" t="str">
        <f aca="false">IF(A512="","",IF(BW512=1,"Neu; ","")&amp;IF(AND(BW512=0,BR512&lt;0),"negativer Bestand (Export "&amp;BR512&amp;"); ","")&amp;IF(J512&lt;=0,"Kein Verbrauch; ","")&amp;IF(CR512&gt;0,"Lift "&amp;W512&amp;" lt. Liftbericht (Fach "&amp;X512&amp;" Stk); ",IF(CB512=1,"Gebinde geschätzt ("&amp;T512&amp;"); ",IF(CA512=1,"Lose – Tablare geschätzt; ","")))&amp;IF(H512&gt;AW512,"Überbestand "&amp;ROUND(H512-AW512,0)&amp;" Stk / CHF "&amp;ROUND((H512-AW512)*G512,0)&amp;"; ","")&amp;IF(AND(CI512=1,CJ512&lt;CK512),"MAX &lt; MB+LG; ","")&amp;IF(AND(CQ512&gt;0,CP512*10&gt;CQ512),"zu hoch für Tablar; ","")&amp;IF(AND(BW512=0,OR(CI512=1,AB512&lt;&gt;"",U512&lt;&gt;"",V512&lt;&gt;"",AC512&lt;&gt;"")),"manuell übersteuert; ","")&amp;IF(AND(CA512=0,R512=0),"Gebinde unbekannt / Stellmass fehlt; ","")&amp;IF(AND(CA512=0,N(V512)&lt;=0,N(Q512)&lt;=0),"Menge pro Gebinde fehlt (Ist = 1 Gebinde); ","")&amp;BV512)</f>
        <v/>
      </c>
      <c r="BO512" s="60"/>
      <c r="BP512" s="60"/>
      <c r="BQ512" s="67"/>
      <c r="BR512" s="62" t="n">
        <v>1</v>
      </c>
      <c r="BS512" s="62" t="n">
        <v>6</v>
      </c>
      <c r="BT512" s="61" t="n">
        <v>32.7200000000002</v>
      </c>
      <c r="BU512" s="62" t="n">
        <v>22</v>
      </c>
      <c r="BV512" s="60"/>
      <c r="BW512" s="65" t="n">
        <v>0</v>
      </c>
      <c r="BX512" s="65" t="n">
        <v>512</v>
      </c>
      <c r="BY512" s="60" t="str">
        <f aca="false">IF(U512&lt;&gt;"",UPPER(TRIM(U512)),IF(CB512=1,UPPER(VLOOKUP(T512,Parameter!$I$27:$K$29,2,0)),IF(P512="","LOSE",P512)))</f>
        <v>S51</v>
      </c>
      <c r="BZ512" s="62" t="n">
        <f aca="false">IF(BY512="LOSE",1,IF(N(V512)&gt;0,V512,IF(CB512=1,MAX(1,N(VLOOKUP(T512,Parameter!$I$27:$K$29,3,0)),H512,N(N512)),IF(N(Q512)&gt;0,Q512,MAX(1,H512)))))</f>
        <v>16</v>
      </c>
      <c r="CA512" s="65" t="n">
        <f aca="false">IF(BY512="LOSE",1,0)</f>
        <v>0</v>
      </c>
      <c r="CB512" s="65" t="n">
        <f aca="false">IF(AND(U512="",OR(P512="",P512="LOSE"),T512&lt;&gt;"",N(S512)&lt;=0,ISNUMBER(MATCH(T512,Parameter!$I$27:$I$29,0))),1,0)</f>
        <v>0</v>
      </c>
      <c r="CC512" s="65" t="n">
        <f aca="false">IF(CR512&gt;0,INDEX(Parameter!$H$5:$H$7,W512)/INDEX(Parameter!$E$5:$E$7,W512),IF(AND(CA512=0,N(IFERROR(VLOOKUP(BY512,'Gebinde-Kategorie'!$A$5:$N$45,14,0),0))&gt;0),VLOOKUP(BY512,'Gebinde-Kategorie'!$A$5:$N$45,14,0)*10+Parameter!$M$23,Parameter!$M$24))</f>
        <v>155</v>
      </c>
      <c r="CD512" s="60" t="str">
        <f aca="false">IF(AND(Parameter!$B$19="Ja",E512&lt;&gt;"",ISNUMBER(MATCH(E512,Parameter!$I$35:$I$52,0))),VLOOKUP(E512,Parameter!$I$35:$J$52,2,0),IFERROR(VLOOKUP(D512,Parameter!$A$35:$C$64,2,0),"Nein"))</f>
        <v>2+3</v>
      </c>
      <c r="CE512" s="64" t="n">
        <f aca="false">IF(CA512=0,0,IF(N(S512)&gt;0,S512,IFERROR(VLOOKUP(D512,Parameter!$A$35:$C$64,3,0)+0,0)))</f>
        <v>0</v>
      </c>
      <c r="CF512" s="60" t="n">
        <f aca="false">IF(AB512&lt;&gt;"",AB512,AA512)</f>
        <v>3</v>
      </c>
      <c r="CG512" s="60" t="str">
        <f aca="false">IF(OR(CF512=1,CF512=2,CF512=3),IF(Parameter!$E$27="Ja","LIFT",IF(CF512=1,"L1","L23")),IF(CF512="Aussen","Aussen","-"))</f>
        <v>LIFT</v>
      </c>
      <c r="CH512" s="71" t="n">
        <f aca="false">IF(N(AC512)&gt;0,AC512,0)</f>
        <v>0</v>
      </c>
      <c r="CI512" s="65" t="n">
        <f aca="false">IF(ISNUMBER(AF512),1,0)</f>
        <v>0</v>
      </c>
      <c r="CJ512" s="62" t="n">
        <f aca="false">N(AF512)</f>
        <v>0</v>
      </c>
      <c r="CK512" s="62" t="n">
        <f aca="false">N(M512)+N(N512)</f>
        <v>21</v>
      </c>
      <c r="CL512" s="62" t="n">
        <f aca="false">N(M512)</f>
        <v>1</v>
      </c>
      <c r="CM512" s="62" t="n">
        <f aca="false">N(N512)</f>
        <v>20</v>
      </c>
      <c r="CN512" s="62" t="n">
        <f aca="false">ROUNDUP(H512/BZ512,0)</f>
        <v>1</v>
      </c>
      <c r="CO512" s="62" t="n">
        <f aca="false">ROUNDUP(CJ512/BZ512,0)</f>
        <v>0</v>
      </c>
      <c r="CP512" s="65" t="n">
        <f aca="false">IF(CA512=1,0,IFERROR(VLOOKUP(BY512,'Gebinde-Kategorie'!$A$5:$N$45,5,0)+0,0))</f>
        <v>11</v>
      </c>
      <c r="CQ512" s="65" t="n">
        <f aca="false">IFERROR(IF(OR(CF512=1,CF512=2,CF512=3),N(INDEX(Parameter!$I$5:$I$7,CF512)),0),0)</f>
        <v>0</v>
      </c>
      <c r="CR512" s="64" t="n">
        <f aca="false">IF(AND(Parameter!$B$21="Ja",ISNUMBER(W512),N(X512)&gt;0),IFERROR(N(INDEX(Parameter!$L$5:$L$7,W512))*INDEX(Parameter!$E$5:$E$7,W512)*X512/SUMIFS($X$7:$X$1843,$W$7:$W$1843,W512),0),0)</f>
        <v>0</v>
      </c>
      <c r="CS512" s="62" t="n">
        <f aca="false">IF(AND(OR(CG512="L1",CG512="L23",CG512="LIFT"),H512&gt;0),CC512*IF(CR512&gt;0,CR512*MAX(1,H512/X512),IF(CA512=1,CE512,IF(R512&gt;0,CN512/R512,0))/MAX(0.1,N(Parameter!$M$21))),"")</f>
        <v>5.96153846153846</v>
      </c>
      <c r="CT512" s="64" t="n">
        <f aca="false">IF(CS512="","",J512/H512)</f>
        <v>3.14285714285714</v>
      </c>
      <c r="CU512" s="62" t="n">
        <f aca="false">IF(CS512="","",H512*G512)</f>
        <v>301.7</v>
      </c>
      <c r="CV512" s="63" t="n">
        <f aca="false">IF(CS512="","",(CL512+ROUNDUP(CL512+MAX(CM512,2*(J512/MAX(0.1,N(Einkauf!$C$6))-CL512)),0))/2)</f>
        <v>11</v>
      </c>
      <c r="CW512" s="62" t="n">
        <f aca="false">IF(CS512="","",MAX(0,H512-CV512)*G512)</f>
        <v>0</v>
      </c>
      <c r="CX512" s="62" t="n">
        <f aca="false">IF(CS512="","",CS512*MAX(0,1-CV512/H512))</f>
        <v>0</v>
      </c>
      <c r="CY512" s="64" t="n">
        <f aca="false">IF(CS512="","",PERCENTRANK($CS$7:$CS$1843,CS512)+PERCENTRANK($CU$7:$CU$1843,CU512)+1-PERCENTRANK($CT$7:$CT$1843,CT512))</f>
        <v>0.88</v>
      </c>
      <c r="CZ512" s="72" t="n">
        <f aca="false">IF(CS512="","",CHOOSE(MATCH(Einkauf!$C$5,Parameter!$G$23:$G$27,0),CY512,CS512,CU512,-CT512,CW512)+ROW()/1000000000)</f>
        <v>0.880000512</v>
      </c>
    </row>
    <row r="513" customFormat="false" ht="15" hidden="false" customHeight="false" outlineLevel="0" collapsed="false">
      <c r="A513" s="60" t="s">
        <v>1161</v>
      </c>
      <c r="B513" s="60" t="s">
        <v>510</v>
      </c>
      <c r="C513" s="60" t="s">
        <v>206</v>
      </c>
      <c r="D513" s="60" t="s">
        <v>226</v>
      </c>
      <c r="E513" s="60" t="s">
        <v>227</v>
      </c>
      <c r="F513" s="60" t="s">
        <v>260</v>
      </c>
      <c r="G513" s="61" t="n">
        <v>0.24</v>
      </c>
      <c r="H513" s="62" t="n">
        <f aca="false">MAX(0,IF(AND(Parameter!$B$21="Ja",ISNUMBER(Y513)),Y513,IF(Parameter!$B$20="Jahresanfang 2025 + Export",BS513+BR513,BR513)))</f>
        <v>203</v>
      </c>
      <c r="I513" s="62" t="n">
        <f aca="false">H513*G513</f>
        <v>48.72</v>
      </c>
      <c r="J513" s="62" t="n">
        <f aca="false">BU513*Parameter!$B$18</f>
        <v>211</v>
      </c>
      <c r="K513" s="63" t="n">
        <v>95</v>
      </c>
      <c r="L513" s="64" t="n">
        <v>2.22105263157895</v>
      </c>
      <c r="M513" s="62" t="n">
        <v>8</v>
      </c>
      <c r="N513" s="62" t="n">
        <v>210</v>
      </c>
      <c r="O513" s="65" t="n">
        <v>14</v>
      </c>
      <c r="P513" s="60" t="s">
        <v>370</v>
      </c>
      <c r="Q513" s="62" t="n">
        <v>45</v>
      </c>
      <c r="R513" s="65" t="n">
        <f aca="false">IF(CA513=1,0,IFERROR(VLOOKUP(BY513,'Gebinde-Kategorie'!$A$5:$N$45,13,0)+0,0))</f>
        <v>52</v>
      </c>
      <c r="S513" s="66"/>
      <c r="T513" s="67"/>
      <c r="U513" s="67"/>
      <c r="V513" s="67"/>
      <c r="W513" s="60"/>
      <c r="X513" s="62"/>
      <c r="Y513" s="62"/>
      <c r="Z513" s="60" t="n">
        <v>3</v>
      </c>
      <c r="AA513" s="60" t="n">
        <f aca="false">IF(A513="","",IF(AND(Parameter!$B$21="Ja",ISNUMBER(W513)),W513,IF(AND(Parameter!$E$27="Ja",ISNUMBER(Z513),CD513&lt;&gt;"Nein"),Z513,IF(CD513="2+3",IF(ISNUMBER(SEARCH("grosser Artikel",BV513)),2,IFERROR(VLOOKUP(BY513,Parameter!$F$35:$G$64,2,0),2)),IF(OR(CD513="Nein",CD513=""),"-",CD513)))))</f>
        <v>3</v>
      </c>
      <c r="AB513" s="67"/>
      <c r="AC513" s="68"/>
      <c r="AD513" s="62" t="n">
        <f aca="false">AW513</f>
        <v>218</v>
      </c>
      <c r="AE513" s="62" t="n">
        <f aca="false">MAX(AW513,H513)</f>
        <v>218</v>
      </c>
      <c r="AF513" s="69"/>
      <c r="AG513" s="62" t="n">
        <f aca="false">IF(LEFT(Cockpit!$C$5,1)="A",H513,IF(Parameter!$E$30="MAX-Bestand",IF(CI513=1,CJ513,IF(LEFT(Cockpit!$C$5,1)="B",AM513,MAX(AM513,H513))),ROUNDUP(AK513,0)))</f>
        <v>203</v>
      </c>
      <c r="AH513" s="62" t="n">
        <f aca="false">IF(CA513=1,0,ROUNDUP(AG513/BZ513,0))</f>
        <v>5</v>
      </c>
      <c r="AI513" s="64" t="n">
        <f aca="false">IF(CR513&gt;0,CR513*MAX(1,AG513/X513),IF(CA513=1,IF(AG513&lt;=0,0,CE513*MAX(1,IF(H513&gt;0,AG513/H513,1))),IF(R513&gt;0,AH513/R513,0))/MAX(0.1,N(Parameter!$M$21)))</f>
        <v>0.0961538461538462</v>
      </c>
      <c r="AJ513" s="62" t="n">
        <f aca="false">AI513*CC513</f>
        <v>14.9038461538462</v>
      </c>
      <c r="AK513" s="63" t="n">
        <f aca="false">IF(LEFT(Cockpit!$C$5,1)="A",H513,IF(CI513=1,(CL513+CJ513)/2,IF(LEFT(Cockpit!$C$5,1)="B",(CL513+AM513)/2,MAX((CL513+AM513)/2,H513))))</f>
        <v>203</v>
      </c>
      <c r="AL513" s="62" t="n">
        <f aca="false">AK513*G513</f>
        <v>48.72</v>
      </c>
      <c r="AM513" s="62" t="n">
        <f aca="false">ROUNDUP(CL513+MAX(CM513,2*(J513/IF(CH513&gt;0,CH513,MAX(0.1,N(Cockpit!$C$6)))-CL513)),0)</f>
        <v>218</v>
      </c>
      <c r="AN513" s="63" t="n">
        <f aca="false">IF(AJ513&gt;0,J513/AJ513,-1)</f>
        <v>14.1574193548387</v>
      </c>
      <c r="AO513" s="63" t="n">
        <f aca="false">IF(AND(OR(CG513="L1",CG513="L23",CG513="LIFT"),AJ513&gt;0),SUMIFS($AJ$7:$AJ$1843,$CG$7:$CG$1843,CG513,$AN$7:$AN$1843,"&gt;"&amp;AN513)+SUMIFS($AJ$7:$AJ$1843,$CG$7:$CG$1843,CG513,$AN$7:$AN$1843,AN513,$BX$7:$BX$1843,"&lt;="&amp;BX513),"")</f>
        <v>2114.59340659341</v>
      </c>
      <c r="AP513" s="70" t="n">
        <f aca="false">IF(AO513="",0,MAX(0,MIN(1,(IF(CG513="L1",Parameter!$H$5,IF(CG513="L23",Parameter!$H$6+Parameter!$H$7,Parameter!$H$5+Parameter!$H$6+Parameter!$H$7))-(AO513-AJ513))/AJ513)))</f>
        <v>1</v>
      </c>
      <c r="AQ513" s="62" t="n">
        <f aca="false">IF(LEFT(Cockpit!$I$5,1)="A",H513,IF(Parameter!$E$30="MAX-Bestand",IF(CI513=1,CJ513,IF(LEFT(Cockpit!$I$5,1)="B",AW513,MAX(AW513,H513))),ROUNDUP(AU513,0)))</f>
        <v>203</v>
      </c>
      <c r="AR513" s="62" t="n">
        <f aca="false">IF(CA513=1,0,ROUNDUP(AQ513/BZ513,0))</f>
        <v>5</v>
      </c>
      <c r="AS513" s="64" t="n">
        <f aca="false">IF(CR513&gt;0,CR513*MAX(1,AQ513/X513),IF(CA513=1,IF(AQ513&lt;=0,0,CE513*MAX(1,IF(H513&gt;0,AQ513/H513,1))),IF(R513&gt;0,AR513/R513,0))/MAX(0.1,N(Parameter!$M$21)))</f>
        <v>0.0961538461538462</v>
      </c>
      <c r="AT513" s="62" t="n">
        <f aca="false">AS513*CC513</f>
        <v>14.9038461538462</v>
      </c>
      <c r="AU513" s="63" t="n">
        <f aca="false">IF(LEFT(Cockpit!$I$5,1)="A",H513,IF(CI513=1,(CL513+CJ513)/2,IF(LEFT(Cockpit!$I$5,1)="B",(CL513+AW513)/2,MAX((CL513+AW513)/2,H513))))</f>
        <v>203</v>
      </c>
      <c r="AV513" s="62" t="n">
        <f aca="false">AU513*G513</f>
        <v>48.72</v>
      </c>
      <c r="AW513" s="62" t="n">
        <f aca="false">ROUNDUP(CL513+MAX(CM513,2*(J513/IF(CH513&gt;0,CH513,MAX(0.1,N(Cockpit!$I$6)))-CL513)),0)</f>
        <v>218</v>
      </c>
      <c r="AX513" s="63" t="n">
        <f aca="false">IF(AT513&gt;0,J513/AT513,-1)</f>
        <v>14.1574193548387</v>
      </c>
      <c r="AY513" s="63" t="n">
        <f aca="false">IF(AND(OR(CG513="L1",CG513="L23",CG513="LIFT"),AT513&gt;0),SUMIFS($AT$7:$AT$1843,$CG$7:$CG$1843,CG513,$AX$7:$AX$1843,"&gt;"&amp;AX513)+SUMIFS($AT$7:$AT$1843,$CG$7:$CG$1843,CG513,$AX$7:$AX$1843,AX513,$BX$7:$BX$1843,"&lt;="&amp;BX513),"")</f>
        <v>2762.53021978022</v>
      </c>
      <c r="AZ513" s="70" t="n">
        <f aca="false">IF(AY513="",0,MAX(0,MIN(1,(IF(CG513="L1",Parameter!$H$5,IF(CG513="L23",Parameter!$H$6+Parameter!$H$7,Parameter!$H$5+Parameter!$H$6+Parameter!$H$7))-(AY513-AT513))/AT513)))</f>
        <v>1</v>
      </c>
      <c r="BA513" s="62" t="n">
        <f aca="false">IF(LEFT(Cockpit!$O$5,1)="A",H513,IF(Parameter!$E$30="MAX-Bestand",IF(CI513=1,CJ513,IF(LEFT(Cockpit!$O$5,1)="B",BG513,MAX(BG513,H513))),ROUNDUP(BE513,0)))</f>
        <v>113</v>
      </c>
      <c r="BB513" s="62" t="n">
        <f aca="false">IF(CA513=1,0,ROUNDUP(BA513/BZ513,0))</f>
        <v>3</v>
      </c>
      <c r="BC513" s="64" t="n">
        <f aca="false">IF(CR513&gt;0,CR513*MAX(1,BA513/X513),IF(CA513=1,IF(BA513&lt;=0,0,CE513*MAX(1,IF(H513&gt;0,BA513/H513,1))),IF(R513&gt;0,BB513/R513,0))/MAX(0.1,N(Parameter!$M$21)))</f>
        <v>0.0576923076923077</v>
      </c>
      <c r="BD513" s="62" t="n">
        <f aca="false">BC513*CC513</f>
        <v>8.94230769230769</v>
      </c>
      <c r="BE513" s="63" t="n">
        <f aca="false">IF(LEFT(Cockpit!$O$5,1)="A",H513,IF(CI513=1,(CL513+CJ513)/2,IF(LEFT(Cockpit!$O$5,1)="B",(CL513+BG513)/2,MAX((CL513+BG513)/2,H513))))</f>
        <v>113</v>
      </c>
      <c r="BF513" s="62" t="n">
        <f aca="false">BE513*G513</f>
        <v>27.12</v>
      </c>
      <c r="BG513" s="62" t="n">
        <f aca="false">ROUNDUP(CL513+MAX(CM513,2*(J513/IF(CH513&gt;0,CH513,MAX(0.1,N(Cockpit!$O$6)))-CL513)),0)</f>
        <v>218</v>
      </c>
      <c r="BH513" s="63" t="n">
        <f aca="false">IF(BD513&gt;0,J513/BD513,-1)</f>
        <v>23.5956989247312</v>
      </c>
      <c r="BI513" s="63" t="n">
        <f aca="false">IF(AND(OR(CG513="L1",CG513="L23",CG513="LIFT"),BD513&gt;0),SUMIFS($BD$7:$BD$1843,$CG$7:$CG$1843,CG513,$BH$7:$BH$1843,"&gt;"&amp;BH513)+SUMIFS($BD$7:$BD$1843,$CG$7:$CG$1843,CG513,$BH$7:$BH$1843,BH513,$BX$7:$BX$1843,"&lt;="&amp;BX513),"")</f>
        <v>2136.08516483517</v>
      </c>
      <c r="BJ513" s="70" t="n">
        <f aca="false">IF(BI513="",0,MAX(0,MIN(1,(IF(CG513="L1",Parameter!$H$5,IF(CG513="L23",Parameter!$H$6+Parameter!$H$7,Parameter!$H$5+Parameter!$H$6+Parameter!$H$7))-(BI513-BD513))/BD513)))</f>
        <v>1</v>
      </c>
      <c r="BK513" s="60" t="str">
        <f aca="false">IF(AJ513&lt;=0,"",IF(CG513="Aussen","Aussenlager",IF(CG513="-","Nicht im Lift",IF(AP513&gt;=1,"Lift",IF(AP513&lt;=0,"Aussenlager","teilweise")))))</f>
        <v>Lift</v>
      </c>
      <c r="BL513" s="60" t="str">
        <f aca="false">IF(AT513&lt;=0,"",IF(CG513="Aussen","Aussenlager",IF(CG513="-","Nicht im Lift",IF(AZ513&gt;=1,"Lift",IF(AZ513&lt;=0,"Aussenlager","teilweise")))))</f>
        <v>Lift</v>
      </c>
      <c r="BM513" s="60" t="str">
        <f aca="false">IF(BD513&lt;=0,"",IF(CG513="Aussen","Aussenlager",IF(CG513="-","Nicht im Lift",IF(BJ513&gt;=1,"Lift",IF(BJ513&lt;=0,"Aussenlager","teilweise")))))</f>
        <v>Lift</v>
      </c>
      <c r="BN513" s="60" t="str">
        <f aca="false">IF(A513="","",IF(BW513=1,"Neu; ","")&amp;IF(AND(BW513=0,BR513&lt;0),"negativer Bestand (Export "&amp;BR513&amp;"); ","")&amp;IF(J513&lt;=0,"Kein Verbrauch; ","")&amp;IF(CR513&gt;0,"Lift "&amp;W513&amp;" lt. Liftbericht (Fach "&amp;X513&amp;" Stk); ",IF(CB513=1,"Gebinde geschätzt ("&amp;T513&amp;"); ",IF(CA513=1,"Lose – Tablare geschätzt; ","")))&amp;IF(H513&gt;AW513,"Überbestand "&amp;ROUND(H513-AW513,0)&amp;" Stk / CHF "&amp;ROUND((H513-AW513)*G513,0)&amp;"; ","")&amp;IF(AND(CI513=1,CJ513&lt;CK513),"MAX &lt; MB+LG; ","")&amp;IF(AND(CQ513&gt;0,CP513*10&gt;CQ513),"zu hoch für Tablar; ","")&amp;IF(AND(BW513=0,OR(CI513=1,AB513&lt;&gt;"",U513&lt;&gt;"",V513&lt;&gt;"",AC513&lt;&gt;"")),"manuell übersteuert; ","")&amp;IF(AND(CA513=0,R513=0),"Gebinde unbekannt / Stellmass fehlt; ","")&amp;IF(AND(CA513=0,N(V513)&lt;=0,N(Q513)&lt;=0),"Menge pro Gebinde fehlt (Ist = 1 Gebinde); ","")&amp;BV513)</f>
        <v/>
      </c>
      <c r="BO513" s="60"/>
      <c r="BP513" s="60"/>
      <c r="BQ513" s="67"/>
      <c r="BR513" s="62" t="n">
        <v>132</v>
      </c>
      <c r="BS513" s="62" t="n">
        <v>71</v>
      </c>
      <c r="BT513" s="61" t="n">
        <v>32.39</v>
      </c>
      <c r="BU513" s="62" t="n">
        <v>211</v>
      </c>
      <c r="BV513" s="60"/>
      <c r="BW513" s="65" t="n">
        <v>0</v>
      </c>
      <c r="BX513" s="65" t="n">
        <v>513</v>
      </c>
      <c r="BY513" s="60" t="str">
        <f aca="false">IF(U513&lt;&gt;"",UPPER(TRIM(U513)),IF(CB513=1,UPPER(VLOOKUP(T513,Parameter!$I$27:$K$29,2,0)),IF(P513="","LOSE",P513)))</f>
        <v>S41</v>
      </c>
      <c r="BZ513" s="62" t="n">
        <f aca="false">IF(BY513="LOSE",1,IF(N(V513)&gt;0,V513,IF(CB513=1,MAX(1,N(VLOOKUP(T513,Parameter!$I$27:$K$29,3,0)),H513,N(N513)),IF(N(Q513)&gt;0,Q513,MAX(1,H513)))))</f>
        <v>45</v>
      </c>
      <c r="CA513" s="65" t="n">
        <f aca="false">IF(BY513="LOSE",1,0)</f>
        <v>0</v>
      </c>
      <c r="CB513" s="65" t="n">
        <f aca="false">IF(AND(U513="",OR(P513="",P513="LOSE"),T513&lt;&gt;"",N(S513)&lt;=0,ISNUMBER(MATCH(T513,Parameter!$I$27:$I$29,0))),1,0)</f>
        <v>0</v>
      </c>
      <c r="CC513" s="65" t="n">
        <f aca="false">IF(CR513&gt;0,INDEX(Parameter!$H$5:$H$7,W513)/INDEX(Parameter!$E$5:$E$7,W513),IF(AND(CA513=0,N(IFERROR(VLOOKUP(BY513,'Gebinde-Kategorie'!$A$5:$N$45,14,0),0))&gt;0),VLOOKUP(BY513,'Gebinde-Kategorie'!$A$5:$N$45,14,0)*10+Parameter!$M$23,Parameter!$M$24))</f>
        <v>155</v>
      </c>
      <c r="CD513" s="60" t="str">
        <f aca="false">IF(AND(Parameter!$B$19="Ja",E513&lt;&gt;"",ISNUMBER(MATCH(E513,Parameter!$I$35:$I$52,0))),VLOOKUP(E513,Parameter!$I$35:$J$52,2,0),IFERROR(VLOOKUP(D513,Parameter!$A$35:$C$64,2,0),"Nein"))</f>
        <v>2+3</v>
      </c>
      <c r="CE513" s="64" t="n">
        <f aca="false">IF(CA513=0,0,IF(N(S513)&gt;0,S513,IFERROR(VLOOKUP(D513,Parameter!$A$35:$C$64,3,0)+0,0)))</f>
        <v>0</v>
      </c>
      <c r="CF513" s="60" t="n">
        <f aca="false">IF(AB513&lt;&gt;"",AB513,AA513)</f>
        <v>3</v>
      </c>
      <c r="CG513" s="60" t="str">
        <f aca="false">IF(OR(CF513=1,CF513=2,CF513=3),IF(Parameter!$E$27="Ja","LIFT",IF(CF513=1,"L1","L23")),IF(CF513="Aussen","Aussen","-"))</f>
        <v>LIFT</v>
      </c>
      <c r="CH513" s="71" t="n">
        <f aca="false">IF(N(AC513)&gt;0,AC513,0)</f>
        <v>0</v>
      </c>
      <c r="CI513" s="65" t="n">
        <f aca="false">IF(ISNUMBER(AF513),1,0)</f>
        <v>0</v>
      </c>
      <c r="CJ513" s="62" t="n">
        <f aca="false">N(AF513)</f>
        <v>0</v>
      </c>
      <c r="CK513" s="62" t="n">
        <f aca="false">N(M513)+N(N513)</f>
        <v>218</v>
      </c>
      <c r="CL513" s="62" t="n">
        <f aca="false">N(M513)</f>
        <v>8</v>
      </c>
      <c r="CM513" s="62" t="n">
        <f aca="false">N(N513)</f>
        <v>210</v>
      </c>
      <c r="CN513" s="62" t="n">
        <f aca="false">ROUNDUP(H513/BZ513,0)</f>
        <v>5</v>
      </c>
      <c r="CO513" s="62" t="n">
        <f aca="false">ROUNDUP(CJ513/BZ513,0)</f>
        <v>0</v>
      </c>
      <c r="CP513" s="65" t="n">
        <f aca="false">IF(CA513=1,0,IFERROR(VLOOKUP(BY513,'Gebinde-Kategorie'!$A$5:$N$45,5,0)+0,0))</f>
        <v>11</v>
      </c>
      <c r="CQ513" s="65" t="n">
        <f aca="false">IFERROR(IF(OR(CF513=1,CF513=2,CF513=3),N(INDEX(Parameter!$I$5:$I$7,CF513)),0),0)</f>
        <v>0</v>
      </c>
      <c r="CR513" s="64" t="n">
        <f aca="false">IF(AND(Parameter!$B$21="Ja",ISNUMBER(W513),N(X513)&gt;0),IFERROR(N(INDEX(Parameter!$L$5:$L$7,W513))*INDEX(Parameter!$E$5:$E$7,W513)*X513/SUMIFS($X$7:$X$1843,$W$7:$W$1843,W513),0),0)</f>
        <v>0</v>
      </c>
      <c r="CS513" s="62" t="n">
        <f aca="false">IF(AND(OR(CG513="L1",CG513="L23",CG513="LIFT"),H513&gt;0),CC513*IF(CR513&gt;0,CR513*MAX(1,H513/X513),IF(CA513=1,CE513,IF(R513&gt;0,CN513/R513,0))/MAX(0.1,N(Parameter!$M$21))),"")</f>
        <v>14.9038461538462</v>
      </c>
      <c r="CT513" s="64" t="n">
        <f aca="false">IF(CS513="","",J513/H513)</f>
        <v>1.03940886699507</v>
      </c>
      <c r="CU513" s="62" t="n">
        <f aca="false">IF(CS513="","",H513*G513)</f>
        <v>48.72</v>
      </c>
      <c r="CV513" s="63" t="n">
        <f aca="false">IF(CS513="","",(CL513+ROUNDUP(CL513+MAX(CM513,2*(J513/MAX(0.1,N(Einkauf!$C$6))-CL513)),0))/2)</f>
        <v>113</v>
      </c>
      <c r="CW513" s="62" t="n">
        <f aca="false">IF(CS513="","",MAX(0,H513-CV513)*G513)</f>
        <v>21.6</v>
      </c>
      <c r="CX513" s="62" t="n">
        <f aca="false">IF(CS513="","",CS513*MAX(0,1-CV513/H513))</f>
        <v>6.60761652140963</v>
      </c>
      <c r="CY513" s="64" t="n">
        <f aca="false">IF(CS513="","",PERCENTRANK($CS$7:$CS$1843,CS513)+PERCENTRANK($CU$7:$CU$1843,CU513)+1-PERCENTRANK($CT$7:$CT$1843,CT513))</f>
        <v>1.227</v>
      </c>
      <c r="CZ513" s="72" t="n">
        <f aca="false">IF(CS513="","",CHOOSE(MATCH(Einkauf!$C$5,Parameter!$G$23:$G$27,0),CY513,CS513,CU513,-CT513,CW513)+ROW()/1000000000)</f>
        <v>1.227000513</v>
      </c>
    </row>
    <row r="514" customFormat="false" ht="15" hidden="false" customHeight="false" outlineLevel="0" collapsed="false">
      <c r="A514" s="60" t="s">
        <v>1162</v>
      </c>
      <c r="B514" s="60" t="s">
        <v>1163</v>
      </c>
      <c r="C514" s="60" t="s">
        <v>206</v>
      </c>
      <c r="D514" s="60" t="s">
        <v>226</v>
      </c>
      <c r="E514" s="60" t="s">
        <v>227</v>
      </c>
      <c r="F514" s="60" t="s">
        <v>260</v>
      </c>
      <c r="G514" s="61" t="n">
        <v>2.68</v>
      </c>
      <c r="H514" s="62" t="n">
        <f aca="false">MAX(0,IF(AND(Parameter!$B$21="Ja",ISNUMBER(Y514)),Y514,IF(Parameter!$B$20="Jahresanfang 2025 + Export",BS514+BR514,BR514)))</f>
        <v>22</v>
      </c>
      <c r="I514" s="62" t="n">
        <f aca="false">H514*G514</f>
        <v>58.96</v>
      </c>
      <c r="J514" s="62" t="n">
        <f aca="false">BU514*Parameter!$B$18</f>
        <v>0</v>
      </c>
      <c r="K514" s="63" t="n">
        <v>16</v>
      </c>
      <c r="L514" s="64" t="n">
        <v>0</v>
      </c>
      <c r="M514" s="62" t="n">
        <v>0</v>
      </c>
      <c r="N514" s="62" t="n">
        <v>1</v>
      </c>
      <c r="O514" s="65" t="n">
        <v>14</v>
      </c>
      <c r="P514" s="60" t="s">
        <v>275</v>
      </c>
      <c r="Q514" s="62" t="n">
        <v>20</v>
      </c>
      <c r="R514" s="65" t="n">
        <f aca="false">IF(CA514=1,0,IFERROR(VLOOKUP(BY514,'Gebinde-Kategorie'!$A$5:$N$45,13,0)+0,0))</f>
        <v>26</v>
      </c>
      <c r="S514" s="66"/>
      <c r="T514" s="67"/>
      <c r="U514" s="67"/>
      <c r="V514" s="67"/>
      <c r="W514" s="60"/>
      <c r="X514" s="62"/>
      <c r="Y514" s="62"/>
      <c r="Z514" s="60" t="n">
        <v>3</v>
      </c>
      <c r="AA514" s="60" t="n">
        <f aca="false">IF(A514="","",IF(AND(Parameter!$B$21="Ja",ISNUMBER(W514)),W514,IF(AND(Parameter!$E$27="Ja",ISNUMBER(Z514),CD514&lt;&gt;"Nein"),Z514,IF(CD514="2+3",IF(ISNUMBER(SEARCH("grosser Artikel",BV514)),2,IFERROR(VLOOKUP(BY514,Parameter!$F$35:$G$64,2,0),2)),IF(OR(CD514="Nein",CD514=""),"-",CD514)))))</f>
        <v>3</v>
      </c>
      <c r="AB514" s="67"/>
      <c r="AC514" s="68"/>
      <c r="AD514" s="62" t="n">
        <f aca="false">AW514</f>
        <v>1</v>
      </c>
      <c r="AE514" s="62" t="n">
        <f aca="false">MAX(AW514,H514)</f>
        <v>22</v>
      </c>
      <c r="AF514" s="69"/>
      <c r="AG514" s="62" t="n">
        <f aca="false">IF(LEFT(Cockpit!$C$5,1)="A",H514,IF(Parameter!$E$30="MAX-Bestand",IF(CI514=1,CJ514,IF(LEFT(Cockpit!$C$5,1)="B",AM514,MAX(AM514,H514))),ROUNDUP(AK514,0)))</f>
        <v>22</v>
      </c>
      <c r="AH514" s="62" t="n">
        <f aca="false">IF(CA514=1,0,ROUNDUP(AG514/BZ514,0))</f>
        <v>2</v>
      </c>
      <c r="AI514" s="64" t="n">
        <f aca="false">IF(CR514&gt;0,CR514*MAX(1,AG514/X514),IF(CA514=1,IF(AG514&lt;=0,0,CE514*MAX(1,IF(H514&gt;0,AG514/H514,1))),IF(R514&gt;0,AH514/R514,0))/MAX(0.1,N(Parameter!$M$21)))</f>
        <v>0.0769230769230769</v>
      </c>
      <c r="AJ514" s="62" t="n">
        <f aca="false">AI514*CC514</f>
        <v>18.8461538461538</v>
      </c>
      <c r="AK514" s="63" t="n">
        <f aca="false">IF(LEFT(Cockpit!$C$5,1)="A",H514,IF(CI514=1,(CL514+CJ514)/2,IF(LEFT(Cockpit!$C$5,1)="B",(CL514+AM514)/2,MAX((CL514+AM514)/2,H514))))</f>
        <v>22</v>
      </c>
      <c r="AL514" s="62" t="n">
        <f aca="false">AK514*G514</f>
        <v>58.96</v>
      </c>
      <c r="AM514" s="62" t="n">
        <f aca="false">ROUNDUP(CL514+MAX(CM514,2*(J514/IF(CH514&gt;0,CH514,MAX(0.1,N(Cockpit!$C$6)))-CL514)),0)</f>
        <v>1</v>
      </c>
      <c r="AN514" s="63" t="n">
        <f aca="false">IF(AJ514&gt;0,J514/AJ514,-1)</f>
        <v>0</v>
      </c>
      <c r="AO514" s="63" t="n">
        <f aca="false">IF(AND(OR(CG514="L1",CG514="L23",CG514="LIFT"),AJ514&gt;0),SUMIFS($AJ$7:$AJ$1843,$CG$7:$CG$1843,CG514,$AN$7:$AN$1843,"&gt;"&amp;AN514)+SUMIFS($AJ$7:$AJ$1843,$CG$7:$CG$1843,CG514,$AN$7:$AN$1843,AN514,$BX$7:$BX$1843,"&lt;="&amp;BX514),"")</f>
        <v>28283.3490692453</v>
      </c>
      <c r="AP514" s="70" t="n">
        <f aca="false">IF(AO514="",0,MAX(0,MIN(1,(IF(CG514="L1",Parameter!$H$5,IF(CG514="L23",Parameter!$H$6+Parameter!$H$7,Parameter!$H$5+Parameter!$H$6+Parameter!$H$7))-(AO514-AJ514))/AJ514)))</f>
        <v>1</v>
      </c>
      <c r="AQ514" s="62" t="n">
        <f aca="false">IF(LEFT(Cockpit!$I$5,1)="A",H514,IF(Parameter!$E$30="MAX-Bestand",IF(CI514=1,CJ514,IF(LEFT(Cockpit!$I$5,1)="B",AW514,MAX(AW514,H514))),ROUNDUP(AU514,0)))</f>
        <v>22</v>
      </c>
      <c r="AR514" s="62" t="n">
        <f aca="false">IF(CA514=1,0,ROUNDUP(AQ514/BZ514,0))</f>
        <v>2</v>
      </c>
      <c r="AS514" s="64" t="n">
        <f aca="false">IF(CR514&gt;0,CR514*MAX(1,AQ514/X514),IF(CA514=1,IF(AQ514&lt;=0,0,CE514*MAX(1,IF(H514&gt;0,AQ514/H514,1))),IF(R514&gt;0,AR514/R514,0))/MAX(0.1,N(Parameter!$M$21)))</f>
        <v>0.0769230769230769</v>
      </c>
      <c r="AT514" s="62" t="n">
        <f aca="false">AS514*CC514</f>
        <v>18.8461538461538</v>
      </c>
      <c r="AU514" s="63" t="n">
        <f aca="false">IF(LEFT(Cockpit!$I$5,1)="A",H514,IF(CI514=1,(CL514+CJ514)/2,IF(LEFT(Cockpit!$I$5,1)="B",(CL514+AW514)/2,MAX((CL514+AW514)/2,H514))))</f>
        <v>22</v>
      </c>
      <c r="AV514" s="62" t="n">
        <f aca="false">AU514*G514</f>
        <v>58.96</v>
      </c>
      <c r="AW514" s="62" t="n">
        <f aca="false">ROUNDUP(CL514+MAX(CM514,2*(J514/IF(CH514&gt;0,CH514,MAX(0.1,N(Cockpit!$I$6)))-CL514)),0)</f>
        <v>1</v>
      </c>
      <c r="AX514" s="63" t="n">
        <f aca="false">IF(AT514&gt;0,J514/AT514,-1)</f>
        <v>0</v>
      </c>
      <c r="AY514" s="63" t="n">
        <f aca="false">IF(AND(OR(CG514="L1",CG514="L23",CG514="LIFT"),AT514&gt;0),SUMIFS($AT$7:$AT$1843,$CG$7:$CG$1843,CG514,$AX$7:$AX$1843,"&gt;"&amp;AX514)+SUMIFS($AT$7:$AT$1843,$CG$7:$CG$1843,CG514,$AX$7:$AX$1843,AX514,$BX$7:$BX$1843,"&lt;="&amp;BX514),"")</f>
        <v>33636.4977106227</v>
      </c>
      <c r="AZ514" s="70" t="n">
        <f aca="false">IF(AY514="",0,MAX(0,MIN(1,(IF(CG514="L1",Parameter!$H$5,IF(CG514="L23",Parameter!$H$6+Parameter!$H$7,Parameter!$H$5+Parameter!$H$6+Parameter!$H$7))-(AY514-AT514))/AT514)))</f>
        <v>1</v>
      </c>
      <c r="BA514" s="62" t="n">
        <f aca="false">IF(LEFT(Cockpit!$O$5,1)="A",H514,IF(Parameter!$E$30="MAX-Bestand",IF(CI514=1,CJ514,IF(LEFT(Cockpit!$O$5,1)="B",BG514,MAX(BG514,H514))),ROUNDUP(BE514,0)))</f>
        <v>1</v>
      </c>
      <c r="BB514" s="62" t="n">
        <f aca="false">IF(CA514=1,0,ROUNDUP(BA514/BZ514,0))</f>
        <v>1</v>
      </c>
      <c r="BC514" s="64" t="n">
        <f aca="false">IF(CR514&gt;0,CR514*MAX(1,BA514/X514),IF(CA514=1,IF(BA514&lt;=0,0,CE514*MAX(1,IF(H514&gt;0,BA514/H514,1))),IF(R514&gt;0,BB514/R514,0))/MAX(0.1,N(Parameter!$M$21)))</f>
        <v>0.0384615384615385</v>
      </c>
      <c r="BD514" s="62" t="n">
        <f aca="false">BC514*CC514</f>
        <v>9.42307692307692</v>
      </c>
      <c r="BE514" s="63" t="n">
        <f aca="false">IF(LEFT(Cockpit!$O$5,1)="A",H514,IF(CI514=1,(CL514+CJ514)/2,IF(LEFT(Cockpit!$O$5,1)="B",(CL514+BG514)/2,MAX((CL514+BG514)/2,H514))))</f>
        <v>0.5</v>
      </c>
      <c r="BF514" s="62" t="n">
        <f aca="false">BE514*G514</f>
        <v>1.34</v>
      </c>
      <c r="BG514" s="62" t="n">
        <f aca="false">ROUNDUP(CL514+MAX(CM514,2*(J514/IF(CH514&gt;0,CH514,MAX(0.1,N(Cockpit!$O$6)))-CL514)),0)</f>
        <v>1</v>
      </c>
      <c r="BH514" s="63" t="n">
        <f aca="false">IF(BD514&gt;0,J514/BD514,-1)</f>
        <v>0</v>
      </c>
      <c r="BI514" s="63" t="n">
        <f aca="false">IF(AND(OR(CG514="L1",CG514="L23",CG514="LIFT"),BD514&gt;0),SUMIFS($BD$7:$BD$1843,$CG$7:$CG$1843,CG514,$BH$7:$BH$1843,"&gt;"&amp;BH514)+SUMIFS($BD$7:$BD$1843,$CG$7:$CG$1843,CG514,$BH$7:$BH$1843,BH514,$BX$7:$BX$1843,"&lt;="&amp;BX514),"")</f>
        <v>27731.3286381697</v>
      </c>
      <c r="BJ514" s="70" t="n">
        <f aca="false">IF(BI514="",0,MAX(0,MIN(1,(IF(CG514="L1",Parameter!$H$5,IF(CG514="L23",Parameter!$H$6+Parameter!$H$7,Parameter!$H$5+Parameter!$H$6+Parameter!$H$7))-(BI514-BD514))/BD514)))</f>
        <v>1</v>
      </c>
      <c r="BK514" s="60" t="str">
        <f aca="false">IF(AJ514&lt;=0,"",IF(CG514="Aussen","Aussenlager",IF(CG514="-","Nicht im Lift",IF(AP514&gt;=1,"Lift",IF(AP514&lt;=0,"Aussenlager","teilweise")))))</f>
        <v>Lift</v>
      </c>
      <c r="BL514" s="60" t="str">
        <f aca="false">IF(AT514&lt;=0,"",IF(CG514="Aussen","Aussenlager",IF(CG514="-","Nicht im Lift",IF(AZ514&gt;=1,"Lift",IF(AZ514&lt;=0,"Aussenlager","teilweise")))))</f>
        <v>Lift</v>
      </c>
      <c r="BM514" s="60" t="str">
        <f aca="false">IF(BD514&lt;=0,"",IF(CG514="Aussen","Aussenlager",IF(CG514="-","Nicht im Lift",IF(BJ514&gt;=1,"Lift",IF(BJ514&lt;=0,"Aussenlager","teilweise")))))</f>
        <v>Lift</v>
      </c>
      <c r="BN514" s="60" t="str">
        <f aca="false">IF(A514="","",IF(BW514=1,"Neu; ","")&amp;IF(AND(BW514=0,BR514&lt;0),"negativer Bestand (Export "&amp;BR514&amp;"); ","")&amp;IF(J514&lt;=0,"Kein Verbrauch; ","")&amp;IF(CR514&gt;0,"Lift "&amp;W514&amp;" lt. Liftbericht (Fach "&amp;X514&amp;" Stk); ",IF(CB514=1,"Gebinde geschätzt ("&amp;T514&amp;"); ",IF(CA514=1,"Lose – Tablare geschätzt; ","")))&amp;IF(H514&gt;AW514,"Überbestand "&amp;ROUND(H514-AW514,0)&amp;" Stk / CHF "&amp;ROUND((H514-AW514)*G514,0)&amp;"; ","")&amp;IF(AND(CI514=1,CJ514&lt;CK514),"MAX &lt; MB+LG; ","")&amp;IF(AND(CQ514&gt;0,CP514*10&gt;CQ514),"zu hoch für Tablar; ","")&amp;IF(AND(BW514=0,OR(CI514=1,AB514&lt;&gt;"",U514&lt;&gt;"",V514&lt;&gt;"",AC514&lt;&gt;"")),"manuell übersteuert; ","")&amp;IF(AND(CA514=0,R514=0),"Gebinde unbekannt / Stellmass fehlt; ","")&amp;IF(AND(CA514=0,N(V514)&lt;=0,N(Q514)&lt;=0),"Menge pro Gebinde fehlt (Ist = 1 Gebinde); ","")&amp;BV514)</f>
        <v>Kein Verbrauch; Überbestand 21 Stk / CHF 56; Überbestand</v>
      </c>
      <c r="BO514" s="60"/>
      <c r="BP514" s="60"/>
      <c r="BQ514" s="67"/>
      <c r="BR514" s="62" t="n">
        <v>12</v>
      </c>
      <c r="BS514" s="62" t="n">
        <v>10</v>
      </c>
      <c r="BT514" s="61" t="n">
        <v>32.16</v>
      </c>
      <c r="BU514" s="62" t="n">
        <v>0</v>
      </c>
      <c r="BV514" s="60" t="s">
        <v>434</v>
      </c>
      <c r="BW514" s="65" t="n">
        <v>0</v>
      </c>
      <c r="BX514" s="65" t="n">
        <v>514</v>
      </c>
      <c r="BY514" s="60" t="str">
        <f aca="false">IF(U514&lt;&gt;"",UPPER(TRIM(U514)),IF(CB514=1,UPPER(VLOOKUP(T514,Parameter!$I$27:$K$29,2,0)),IF(P514="","LOSE",P514)))</f>
        <v>S52</v>
      </c>
      <c r="BZ514" s="62" t="n">
        <f aca="false">IF(BY514="LOSE",1,IF(N(V514)&gt;0,V514,IF(CB514=1,MAX(1,N(VLOOKUP(T514,Parameter!$I$27:$K$29,3,0)),H514,N(N514)),IF(N(Q514)&gt;0,Q514,MAX(1,H514)))))</f>
        <v>20</v>
      </c>
      <c r="CA514" s="65" t="n">
        <f aca="false">IF(BY514="LOSE",1,0)</f>
        <v>0</v>
      </c>
      <c r="CB514" s="65" t="n">
        <f aca="false">IF(AND(U514="",OR(P514="",P514="LOSE"),T514&lt;&gt;"",N(S514)&lt;=0,ISNUMBER(MATCH(T514,Parameter!$I$27:$I$29,0))),1,0)</f>
        <v>0</v>
      </c>
      <c r="CC514" s="65" t="n">
        <f aca="false">IF(CR514&gt;0,INDEX(Parameter!$H$5:$H$7,W514)/INDEX(Parameter!$E$5:$E$7,W514),IF(AND(CA514=0,N(IFERROR(VLOOKUP(BY514,'Gebinde-Kategorie'!$A$5:$N$45,14,0),0))&gt;0),VLOOKUP(BY514,'Gebinde-Kategorie'!$A$5:$N$45,14,0)*10+Parameter!$M$23,Parameter!$M$24))</f>
        <v>245</v>
      </c>
      <c r="CD514" s="60" t="str">
        <f aca="false">IF(AND(Parameter!$B$19="Ja",E514&lt;&gt;"",ISNUMBER(MATCH(E514,Parameter!$I$35:$I$52,0))),VLOOKUP(E514,Parameter!$I$35:$J$52,2,0),IFERROR(VLOOKUP(D514,Parameter!$A$35:$C$64,2,0),"Nein"))</f>
        <v>2+3</v>
      </c>
      <c r="CE514" s="64" t="n">
        <f aca="false">IF(CA514=0,0,IF(N(S514)&gt;0,S514,IFERROR(VLOOKUP(D514,Parameter!$A$35:$C$64,3,0)+0,0)))</f>
        <v>0</v>
      </c>
      <c r="CF514" s="60" t="n">
        <f aca="false">IF(AB514&lt;&gt;"",AB514,AA514)</f>
        <v>3</v>
      </c>
      <c r="CG514" s="60" t="str">
        <f aca="false">IF(OR(CF514=1,CF514=2,CF514=3),IF(Parameter!$E$27="Ja","LIFT",IF(CF514=1,"L1","L23")),IF(CF514="Aussen","Aussen","-"))</f>
        <v>LIFT</v>
      </c>
      <c r="CH514" s="71" t="n">
        <f aca="false">IF(N(AC514)&gt;0,AC514,0)</f>
        <v>0</v>
      </c>
      <c r="CI514" s="65" t="n">
        <f aca="false">IF(ISNUMBER(AF514),1,0)</f>
        <v>0</v>
      </c>
      <c r="CJ514" s="62" t="n">
        <f aca="false">N(AF514)</f>
        <v>0</v>
      </c>
      <c r="CK514" s="62" t="n">
        <f aca="false">N(M514)+N(N514)</f>
        <v>1</v>
      </c>
      <c r="CL514" s="62" t="n">
        <f aca="false">N(M514)</f>
        <v>0</v>
      </c>
      <c r="CM514" s="62" t="n">
        <f aca="false">N(N514)</f>
        <v>1</v>
      </c>
      <c r="CN514" s="62" t="n">
        <f aca="false">ROUNDUP(H514/BZ514,0)</f>
        <v>2</v>
      </c>
      <c r="CO514" s="62" t="n">
        <f aca="false">ROUNDUP(CJ514/BZ514,0)</f>
        <v>0</v>
      </c>
      <c r="CP514" s="65" t="n">
        <f aca="false">IF(CA514=1,0,IFERROR(VLOOKUP(BY514,'Gebinde-Kategorie'!$A$5:$N$45,5,0)+0,0))</f>
        <v>21</v>
      </c>
      <c r="CQ514" s="65" t="n">
        <f aca="false">IFERROR(IF(OR(CF514=1,CF514=2,CF514=3),N(INDEX(Parameter!$I$5:$I$7,CF514)),0),0)</f>
        <v>0</v>
      </c>
      <c r="CR514" s="64" t="n">
        <f aca="false">IF(AND(Parameter!$B$21="Ja",ISNUMBER(W514),N(X514)&gt;0),IFERROR(N(INDEX(Parameter!$L$5:$L$7,W514))*INDEX(Parameter!$E$5:$E$7,W514)*X514/SUMIFS($X$7:$X$1843,$W$7:$W$1843,W514),0),0)</f>
        <v>0</v>
      </c>
      <c r="CS514" s="62" t="n">
        <f aca="false">IF(AND(OR(CG514="L1",CG514="L23",CG514="LIFT"),H514&gt;0),CC514*IF(CR514&gt;0,CR514*MAX(1,H514/X514),IF(CA514=1,CE514,IF(R514&gt;0,CN514/R514,0))/MAX(0.1,N(Parameter!$M$21))),"")</f>
        <v>18.8461538461538</v>
      </c>
      <c r="CT514" s="64" t="n">
        <f aca="false">IF(CS514="","",J514/H514)</f>
        <v>0</v>
      </c>
      <c r="CU514" s="62" t="n">
        <f aca="false">IF(CS514="","",H514*G514)</f>
        <v>58.96</v>
      </c>
      <c r="CV514" s="63" t="n">
        <f aca="false">IF(CS514="","",(CL514+ROUNDUP(CL514+MAX(CM514,2*(J514/MAX(0.1,N(Einkauf!$C$6))-CL514)),0))/2)</f>
        <v>0.5</v>
      </c>
      <c r="CW514" s="62" t="n">
        <f aca="false">IF(CS514="","",MAX(0,H514-CV514)*G514)</f>
        <v>57.62</v>
      </c>
      <c r="CX514" s="62" t="n">
        <f aca="false">IF(CS514="","",CS514*MAX(0,1-CV514/H514))</f>
        <v>18.4178321678322</v>
      </c>
      <c r="CY514" s="64" t="n">
        <f aca="false">IF(CS514="","",PERCENTRANK($CS$7:$CS$1843,CS514)+PERCENTRANK($CU$7:$CU$1843,CU514)+1-PERCENTRANK($CT$7:$CT$1843,CT514))</f>
        <v>1.933</v>
      </c>
      <c r="CZ514" s="72" t="n">
        <f aca="false">IF(CS514="","",CHOOSE(MATCH(Einkauf!$C$5,Parameter!$G$23:$G$27,0),CY514,CS514,CU514,-CT514,CW514)+ROW()/1000000000)</f>
        <v>1.933000514</v>
      </c>
    </row>
    <row r="515" customFormat="false" ht="15" hidden="false" customHeight="false" outlineLevel="0" collapsed="false">
      <c r="A515" s="60" t="s">
        <v>1164</v>
      </c>
      <c r="B515" s="60" t="s">
        <v>1165</v>
      </c>
      <c r="C515" s="60" t="s">
        <v>206</v>
      </c>
      <c r="D515" s="60" t="s">
        <v>226</v>
      </c>
      <c r="E515" s="60" t="s">
        <v>507</v>
      </c>
      <c r="F515" s="60" t="s">
        <v>260</v>
      </c>
      <c r="G515" s="61" t="n">
        <v>5.23</v>
      </c>
      <c r="H515" s="62" t="n">
        <f aca="false">MAX(0,IF(AND(Parameter!$B$21="Ja",ISNUMBER(Y515)),Y515,IF(Parameter!$B$20="Jahresanfang 2025 + Export",BS515+BR515,BR515)))</f>
        <v>102</v>
      </c>
      <c r="I515" s="62" t="n">
        <f aca="false">H515*G515</f>
        <v>533.46</v>
      </c>
      <c r="J515" s="62" t="n">
        <f aca="false">BU515*Parameter!$B$18</f>
        <v>19</v>
      </c>
      <c r="K515" s="63" t="n">
        <v>86.5</v>
      </c>
      <c r="L515" s="64" t="n">
        <v>0.219653179190751</v>
      </c>
      <c r="M515" s="62" t="n">
        <v>2</v>
      </c>
      <c r="N515" s="62" t="n">
        <v>108</v>
      </c>
      <c r="O515" s="65" t="n">
        <v>42</v>
      </c>
      <c r="P515" s="60" t="s">
        <v>335</v>
      </c>
      <c r="Q515" s="62" t="n">
        <v>70</v>
      </c>
      <c r="R515" s="65" t="n">
        <f aca="false">IF(CA515=1,0,IFERROR(VLOOKUP(BY515,'Gebinde-Kategorie'!$A$5:$N$45,13,0)+0,0))</f>
        <v>12</v>
      </c>
      <c r="S515" s="66"/>
      <c r="T515" s="67"/>
      <c r="U515" s="67"/>
      <c r="V515" s="67"/>
      <c r="W515" s="60"/>
      <c r="X515" s="62"/>
      <c r="Y515" s="62"/>
      <c r="Z515" s="60"/>
      <c r="AA515" s="60" t="str">
        <f aca="false">IF(A515="","",IF(AND(Parameter!$B$21="Ja",ISNUMBER(W515)),W515,IF(AND(Parameter!$E$27="Ja",ISNUMBER(Z515),CD515&lt;&gt;"Nein"),Z515,IF(CD515="2+3",IF(ISNUMBER(SEARCH("grosser Artikel",BV515)),2,IFERROR(VLOOKUP(BY515,Parameter!$F$35:$G$64,2,0),2)),IF(OR(CD515="Nein",CD515=""),"-",CD515)))))</f>
        <v>-</v>
      </c>
      <c r="AB515" s="67"/>
      <c r="AC515" s="68"/>
      <c r="AD515" s="62" t="n">
        <f aca="false">AW515</f>
        <v>110</v>
      </c>
      <c r="AE515" s="62" t="n">
        <f aca="false">MAX(AW515,H515)</f>
        <v>110</v>
      </c>
      <c r="AF515" s="69"/>
      <c r="AG515" s="62" t="n">
        <f aca="false">IF(LEFT(Cockpit!$C$5,1)="A",H515,IF(Parameter!$E$30="MAX-Bestand",IF(CI515=1,CJ515,IF(LEFT(Cockpit!$C$5,1)="B",AM515,MAX(AM515,H515))),ROUNDUP(AK515,0)))</f>
        <v>102</v>
      </c>
      <c r="AH515" s="62" t="n">
        <f aca="false">IF(CA515=1,0,ROUNDUP(AG515/BZ515,0))</f>
        <v>2</v>
      </c>
      <c r="AI515" s="64" t="n">
        <f aca="false">IF(CR515&gt;0,CR515*MAX(1,AG515/X515),IF(CA515=1,IF(AG515&lt;=0,0,CE515*MAX(1,IF(H515&gt;0,AG515/H515,1))),IF(R515&gt;0,AH515/R515,0))/MAX(0.1,N(Parameter!$M$21)))</f>
        <v>0.166666666666667</v>
      </c>
      <c r="AJ515" s="62" t="n">
        <f aca="false">AI515*CC515</f>
        <v>40.8333333333333</v>
      </c>
      <c r="AK515" s="63" t="n">
        <f aca="false">IF(LEFT(Cockpit!$C$5,1)="A",H515,IF(CI515=1,(CL515+CJ515)/2,IF(LEFT(Cockpit!$C$5,1)="B",(CL515+AM515)/2,MAX((CL515+AM515)/2,H515))))</f>
        <v>102</v>
      </c>
      <c r="AL515" s="62" t="n">
        <f aca="false">AK515*G515</f>
        <v>533.46</v>
      </c>
      <c r="AM515" s="62" t="n">
        <f aca="false">ROUNDUP(CL515+MAX(CM515,2*(J515/IF(CH515&gt;0,CH515,MAX(0.1,N(Cockpit!$C$6)))-CL515)),0)</f>
        <v>110</v>
      </c>
      <c r="AN515" s="63" t="n">
        <f aca="false">IF(AJ515&gt;0,J515/AJ515,-1)</f>
        <v>0.46530612244898</v>
      </c>
      <c r="AO515" s="63" t="str">
        <f aca="false">IF(AND(OR(CG515="L1",CG515="L23",CG515="LIFT"),AJ515&gt;0),SUMIFS($AJ$7:$AJ$1843,$CG$7:$CG$1843,CG515,$AN$7:$AN$1843,"&gt;"&amp;AN515)+SUMIFS($AJ$7:$AJ$1843,$CG$7:$CG$1843,CG515,$AN$7:$AN$1843,AN515,$BX$7:$BX$1843,"&lt;="&amp;BX515),"")</f>
        <v/>
      </c>
      <c r="AP515" s="70" t="n">
        <f aca="false">IF(AO515="",0,MAX(0,MIN(1,(IF(CG515="L1",Parameter!$H$5,IF(CG515="L23",Parameter!$H$6+Parameter!$H$7,Parameter!$H$5+Parameter!$H$6+Parameter!$H$7))-(AO515-AJ515))/AJ515)))</f>
        <v>0</v>
      </c>
      <c r="AQ515" s="62" t="n">
        <f aca="false">IF(LEFT(Cockpit!$I$5,1)="A",H515,IF(Parameter!$E$30="MAX-Bestand",IF(CI515=1,CJ515,IF(LEFT(Cockpit!$I$5,1)="B",AW515,MAX(AW515,H515))),ROUNDUP(AU515,0)))</f>
        <v>102</v>
      </c>
      <c r="AR515" s="62" t="n">
        <f aca="false">IF(CA515=1,0,ROUNDUP(AQ515/BZ515,0))</f>
        <v>2</v>
      </c>
      <c r="AS515" s="64" t="n">
        <f aca="false">IF(CR515&gt;0,CR515*MAX(1,AQ515/X515),IF(CA515=1,IF(AQ515&lt;=0,0,CE515*MAX(1,IF(H515&gt;0,AQ515/H515,1))),IF(R515&gt;0,AR515/R515,0))/MAX(0.1,N(Parameter!$M$21)))</f>
        <v>0.166666666666667</v>
      </c>
      <c r="AT515" s="62" t="n">
        <f aca="false">AS515*CC515</f>
        <v>40.8333333333333</v>
      </c>
      <c r="AU515" s="63" t="n">
        <f aca="false">IF(LEFT(Cockpit!$I$5,1)="A",H515,IF(CI515=1,(CL515+CJ515)/2,IF(LEFT(Cockpit!$I$5,1)="B",(CL515+AW515)/2,MAX((CL515+AW515)/2,H515))))</f>
        <v>102</v>
      </c>
      <c r="AV515" s="62" t="n">
        <f aca="false">AU515*G515</f>
        <v>533.46</v>
      </c>
      <c r="AW515" s="62" t="n">
        <f aca="false">ROUNDUP(CL515+MAX(CM515,2*(J515/IF(CH515&gt;0,CH515,MAX(0.1,N(Cockpit!$I$6)))-CL515)),0)</f>
        <v>110</v>
      </c>
      <c r="AX515" s="63" t="n">
        <f aca="false">IF(AT515&gt;0,J515/AT515,-1)</f>
        <v>0.46530612244898</v>
      </c>
      <c r="AY515" s="63" t="str">
        <f aca="false">IF(AND(OR(CG515="L1",CG515="L23",CG515="LIFT"),AT515&gt;0),SUMIFS($AT$7:$AT$1843,$CG$7:$CG$1843,CG515,$AX$7:$AX$1843,"&gt;"&amp;AX515)+SUMIFS($AT$7:$AT$1843,$CG$7:$CG$1843,CG515,$AX$7:$AX$1843,AX515,$BX$7:$BX$1843,"&lt;="&amp;BX515),"")</f>
        <v/>
      </c>
      <c r="AZ515" s="70" t="n">
        <f aca="false">IF(AY515="",0,MAX(0,MIN(1,(IF(CG515="L1",Parameter!$H$5,IF(CG515="L23",Parameter!$H$6+Parameter!$H$7,Parameter!$H$5+Parameter!$H$6+Parameter!$H$7))-(AY515-AT515))/AT515)))</f>
        <v>0</v>
      </c>
      <c r="BA515" s="62" t="n">
        <f aca="false">IF(LEFT(Cockpit!$O$5,1)="A",H515,IF(Parameter!$E$30="MAX-Bestand",IF(CI515=1,CJ515,IF(LEFT(Cockpit!$O$5,1)="B",BG515,MAX(BG515,H515))),ROUNDUP(BE515,0)))</f>
        <v>56</v>
      </c>
      <c r="BB515" s="62" t="n">
        <f aca="false">IF(CA515=1,0,ROUNDUP(BA515/BZ515,0))</f>
        <v>1</v>
      </c>
      <c r="BC515" s="64" t="n">
        <f aca="false">IF(CR515&gt;0,CR515*MAX(1,BA515/X515),IF(CA515=1,IF(BA515&lt;=0,0,CE515*MAX(1,IF(H515&gt;0,BA515/H515,1))),IF(R515&gt;0,BB515/R515,0))/MAX(0.1,N(Parameter!$M$21)))</f>
        <v>0.0833333333333333</v>
      </c>
      <c r="BD515" s="62" t="n">
        <f aca="false">BC515*CC515</f>
        <v>20.4166666666667</v>
      </c>
      <c r="BE515" s="63" t="n">
        <f aca="false">IF(LEFT(Cockpit!$O$5,1)="A",H515,IF(CI515=1,(CL515+CJ515)/2,IF(LEFT(Cockpit!$O$5,1)="B",(CL515+BG515)/2,MAX((CL515+BG515)/2,H515))))</f>
        <v>56</v>
      </c>
      <c r="BF515" s="62" t="n">
        <f aca="false">BE515*G515</f>
        <v>292.88</v>
      </c>
      <c r="BG515" s="62" t="n">
        <f aca="false">ROUNDUP(CL515+MAX(CM515,2*(J515/IF(CH515&gt;0,CH515,MAX(0.1,N(Cockpit!$O$6)))-CL515)),0)</f>
        <v>110</v>
      </c>
      <c r="BH515" s="63" t="n">
        <f aca="false">IF(BD515&gt;0,J515/BD515,-1)</f>
        <v>0.930612244897959</v>
      </c>
      <c r="BI515" s="63" t="str">
        <f aca="false">IF(AND(OR(CG515="L1",CG515="L23",CG515="LIFT"),BD515&gt;0),SUMIFS($BD$7:$BD$1843,$CG$7:$CG$1843,CG515,$BH$7:$BH$1843,"&gt;"&amp;BH515)+SUMIFS($BD$7:$BD$1843,$CG$7:$CG$1843,CG515,$BH$7:$BH$1843,BH515,$BX$7:$BX$1843,"&lt;="&amp;BX515),"")</f>
        <v/>
      </c>
      <c r="BJ515" s="70" t="n">
        <f aca="false">IF(BI515="",0,MAX(0,MIN(1,(IF(CG515="L1",Parameter!$H$5,IF(CG515="L23",Parameter!$H$6+Parameter!$H$7,Parameter!$H$5+Parameter!$H$6+Parameter!$H$7))-(BI515-BD515))/BD515)))</f>
        <v>0</v>
      </c>
      <c r="BK515" s="60" t="str">
        <f aca="false">IF(AJ515&lt;=0,"",IF(CG515="Aussen","Aussenlager",IF(CG515="-","Nicht im Lift",IF(AP515&gt;=1,"Lift",IF(AP515&lt;=0,"Aussenlager","teilweise")))))</f>
        <v>Nicht im Lift</v>
      </c>
      <c r="BL515" s="60" t="str">
        <f aca="false">IF(AT515&lt;=0,"",IF(CG515="Aussen","Aussenlager",IF(CG515="-","Nicht im Lift",IF(AZ515&gt;=1,"Lift",IF(AZ515&lt;=0,"Aussenlager","teilweise")))))</f>
        <v>Nicht im Lift</v>
      </c>
      <c r="BM515" s="60" t="str">
        <f aca="false">IF(BD515&lt;=0,"",IF(CG515="Aussen","Aussenlager",IF(CG515="-","Nicht im Lift",IF(BJ515&gt;=1,"Lift",IF(BJ515&lt;=0,"Aussenlager","teilweise")))))</f>
        <v>Nicht im Lift</v>
      </c>
      <c r="BN515" s="60" t="str">
        <f aca="false">IF(A515="","",IF(BW515=1,"Neu; ","")&amp;IF(AND(BW515=0,BR515&lt;0),"negativer Bestand (Export "&amp;BR515&amp;"); ","")&amp;IF(J515&lt;=0,"Kein Verbrauch; ","")&amp;IF(CR515&gt;0,"Lift "&amp;W515&amp;" lt. Liftbericht (Fach "&amp;X515&amp;" Stk); ",IF(CB515=1,"Gebinde geschätzt ("&amp;T515&amp;"); ",IF(CA515=1,"Lose – Tablare geschätzt; ","")))&amp;IF(H515&gt;AW515,"Überbestand "&amp;ROUND(H515-AW515,0)&amp;" Stk / CHF "&amp;ROUND((H515-AW515)*G515,0)&amp;"; ","")&amp;IF(AND(CI515=1,CJ515&lt;CK515),"MAX &lt; MB+LG; ","")&amp;IF(AND(CQ515&gt;0,CP515*10&gt;CQ515),"zu hoch für Tablar; ","")&amp;IF(AND(BW515=0,OR(CI515=1,AB515&lt;&gt;"",U515&lt;&gt;"",V515&lt;&gt;"",AC515&lt;&gt;"")),"manuell übersteuert; ","")&amp;IF(AND(CA515=0,R515=0),"Gebinde unbekannt / Stellmass fehlt; ","")&amp;IF(AND(CA515=0,N(V515)&lt;=0,N(Q515)&lt;=0),"Menge pro Gebinde fehlt (Ist = 1 Gebinde); ","")&amp;BV515)</f>
        <v/>
      </c>
      <c r="BO515" s="60"/>
      <c r="BP515" s="60"/>
      <c r="BQ515" s="67"/>
      <c r="BR515" s="62" t="n">
        <v>6</v>
      </c>
      <c r="BS515" s="62" t="n">
        <v>96</v>
      </c>
      <c r="BT515" s="61" t="n">
        <v>31.38</v>
      </c>
      <c r="BU515" s="62" t="n">
        <v>19</v>
      </c>
      <c r="BV515" s="60"/>
      <c r="BW515" s="65" t="n">
        <v>0</v>
      </c>
      <c r="BX515" s="65" t="n">
        <v>515</v>
      </c>
      <c r="BY515" s="60" t="str">
        <f aca="false">IF(U515&lt;&gt;"",UPPER(TRIM(U515)),IF(CB515=1,UPPER(VLOOKUP(T515,Parameter!$I$27:$K$29,2,0)),IF(P515="","LOSE",P515)))</f>
        <v>S62</v>
      </c>
      <c r="BZ515" s="62" t="n">
        <f aca="false">IF(BY515="LOSE",1,IF(N(V515)&gt;0,V515,IF(CB515=1,MAX(1,N(VLOOKUP(T515,Parameter!$I$27:$K$29,3,0)),H515,N(N515)),IF(N(Q515)&gt;0,Q515,MAX(1,H515)))))</f>
        <v>70</v>
      </c>
      <c r="CA515" s="65" t="n">
        <f aca="false">IF(BY515="LOSE",1,0)</f>
        <v>0</v>
      </c>
      <c r="CB515" s="65" t="n">
        <f aca="false">IF(AND(U515="",OR(P515="",P515="LOSE"),T515&lt;&gt;"",N(S515)&lt;=0,ISNUMBER(MATCH(T515,Parameter!$I$27:$I$29,0))),1,0)</f>
        <v>0</v>
      </c>
      <c r="CC515" s="65" t="n">
        <f aca="false">IF(CR515&gt;0,INDEX(Parameter!$H$5:$H$7,W515)/INDEX(Parameter!$E$5:$E$7,W515),IF(AND(CA515=0,N(IFERROR(VLOOKUP(BY515,'Gebinde-Kategorie'!$A$5:$N$45,14,0),0))&gt;0),VLOOKUP(BY515,'Gebinde-Kategorie'!$A$5:$N$45,14,0)*10+Parameter!$M$23,Parameter!$M$24))</f>
        <v>245</v>
      </c>
      <c r="CD515" s="60" t="str">
        <f aca="false">IF(AND(Parameter!$B$19="Ja",E515&lt;&gt;"",ISNUMBER(MATCH(E515,Parameter!$I$35:$I$52,0))),VLOOKUP(E515,Parameter!$I$35:$J$52,2,0),IFERROR(VLOOKUP(D515,Parameter!$A$35:$C$64,2,0),"Nein"))</f>
        <v>Nein</v>
      </c>
      <c r="CE515" s="64" t="n">
        <f aca="false">IF(CA515=0,0,IF(N(S515)&gt;0,S515,IFERROR(VLOOKUP(D515,Parameter!$A$35:$C$64,3,0)+0,0)))</f>
        <v>0</v>
      </c>
      <c r="CF515" s="60" t="str">
        <f aca="false">IF(AB515&lt;&gt;"",AB515,AA515)</f>
        <v>-</v>
      </c>
      <c r="CG515" s="60" t="str">
        <f aca="false">IF(OR(CF515=1,CF515=2,CF515=3),IF(Parameter!$E$27="Ja","LIFT",IF(CF515=1,"L1","L23")),IF(CF515="Aussen","Aussen","-"))</f>
        <v>-</v>
      </c>
      <c r="CH515" s="71" t="n">
        <f aca="false">IF(N(AC515)&gt;0,AC515,0)</f>
        <v>0</v>
      </c>
      <c r="CI515" s="65" t="n">
        <f aca="false">IF(ISNUMBER(AF515),1,0)</f>
        <v>0</v>
      </c>
      <c r="CJ515" s="62" t="n">
        <f aca="false">N(AF515)</f>
        <v>0</v>
      </c>
      <c r="CK515" s="62" t="n">
        <f aca="false">N(M515)+N(N515)</f>
        <v>110</v>
      </c>
      <c r="CL515" s="62" t="n">
        <f aca="false">N(M515)</f>
        <v>2</v>
      </c>
      <c r="CM515" s="62" t="n">
        <f aca="false">N(N515)</f>
        <v>108</v>
      </c>
      <c r="CN515" s="62" t="n">
        <f aca="false">ROUNDUP(H515/BZ515,0)</f>
        <v>2</v>
      </c>
      <c r="CO515" s="62" t="n">
        <f aca="false">ROUNDUP(CJ515/BZ515,0)</f>
        <v>0</v>
      </c>
      <c r="CP515" s="65" t="n">
        <f aca="false">IF(CA515=1,0,IFERROR(VLOOKUP(BY515,'Gebinde-Kategorie'!$A$5:$N$45,5,0)+0,0))</f>
        <v>21</v>
      </c>
      <c r="CQ515" s="65" t="n">
        <f aca="false">IFERROR(IF(OR(CF515=1,CF515=2,CF515=3),N(INDEX(Parameter!$I$5:$I$7,CF515)),0),0)</f>
        <v>0</v>
      </c>
      <c r="CR515" s="64" t="n">
        <f aca="false">IF(AND(Parameter!$B$21="Ja",ISNUMBER(W515),N(X515)&gt;0),IFERROR(N(INDEX(Parameter!$L$5:$L$7,W515))*INDEX(Parameter!$E$5:$E$7,W515)*X515/SUMIFS($X$7:$X$1843,$W$7:$W$1843,W515),0),0)</f>
        <v>0</v>
      </c>
      <c r="CS515" s="62" t="str">
        <f aca="false">IF(AND(OR(CG515="L1",CG515="L23",CG515="LIFT"),H515&gt;0),CC515*IF(CR515&gt;0,CR515*MAX(1,H515/X515),IF(CA515=1,CE515,IF(R515&gt;0,CN515/R515,0))/MAX(0.1,N(Parameter!$M$21))),"")</f>
        <v/>
      </c>
      <c r="CT515" s="64" t="str">
        <f aca="false">IF(CS515="","",J515/H515)</f>
        <v/>
      </c>
      <c r="CU515" s="62" t="str">
        <f aca="false">IF(CS515="","",H515*G515)</f>
        <v/>
      </c>
      <c r="CV515" s="63" t="str">
        <f aca="false">IF(CS515="","",(CL515+ROUNDUP(CL515+MAX(CM515,2*(J515/MAX(0.1,N(Einkauf!$C$6))-CL515)),0))/2)</f>
        <v/>
      </c>
      <c r="CW515" s="62" t="str">
        <f aca="false">IF(CS515="","",MAX(0,H515-CV515)*G515)</f>
        <v/>
      </c>
      <c r="CX515" s="62" t="str">
        <f aca="false">IF(CS515="","",CS515*MAX(0,1-CV515/H515))</f>
        <v/>
      </c>
      <c r="CY515" s="64" t="str">
        <f aca="false">IF(CS515="","",PERCENTRANK($CS$7:$CS$1843,CS515)+PERCENTRANK($CU$7:$CU$1843,CU515)+1-PERCENTRANK($CT$7:$CT$1843,CT515))</f>
        <v/>
      </c>
      <c r="CZ515" s="72" t="str">
        <f aca="false">IF(CS515="","",CHOOSE(MATCH(Einkauf!$C$5,Parameter!$G$23:$G$27,0),CY515,CS515,CU515,-CT515,CW515)+ROW()/1000000000)</f>
        <v/>
      </c>
    </row>
    <row r="516" customFormat="false" ht="15" hidden="false" customHeight="false" outlineLevel="0" collapsed="false">
      <c r="A516" s="60" t="s">
        <v>1166</v>
      </c>
      <c r="B516" s="60" t="s">
        <v>510</v>
      </c>
      <c r="C516" s="60" t="s">
        <v>206</v>
      </c>
      <c r="D516" s="60" t="s">
        <v>226</v>
      </c>
      <c r="E516" s="60" t="s">
        <v>227</v>
      </c>
      <c r="F516" s="60" t="s">
        <v>260</v>
      </c>
      <c r="G516" s="61" t="n">
        <v>0.14</v>
      </c>
      <c r="H516" s="62" t="n">
        <f aca="false">MAX(0,IF(AND(Parameter!$B$21="Ja",ISNUMBER(Y516)),Y516,IF(Parameter!$B$20="Jahresanfang 2025 + Export",BS516+BR516,BR516)))</f>
        <v>355</v>
      </c>
      <c r="I516" s="62" t="n">
        <f aca="false">H516*G516</f>
        <v>49.7</v>
      </c>
      <c r="J516" s="62" t="n">
        <f aca="false">BU516*Parameter!$B$18</f>
        <v>360</v>
      </c>
      <c r="K516" s="63" t="n">
        <v>84.5</v>
      </c>
      <c r="L516" s="64" t="n">
        <v>4.2603550295858</v>
      </c>
      <c r="M516" s="62" t="n">
        <v>14</v>
      </c>
      <c r="N516" s="62" t="n">
        <v>360</v>
      </c>
      <c r="O516" s="65" t="n">
        <v>14</v>
      </c>
      <c r="P516" s="60" t="s">
        <v>468</v>
      </c>
      <c r="Q516" s="62" t="n">
        <v>81</v>
      </c>
      <c r="R516" s="65" t="n">
        <f aca="false">IF(CA516=1,0,IFERROR(VLOOKUP(BY516,'Gebinde-Kategorie'!$A$5:$N$45,13,0)+0,0))</f>
        <v>140</v>
      </c>
      <c r="S516" s="66"/>
      <c r="T516" s="67"/>
      <c r="U516" s="67"/>
      <c r="V516" s="67"/>
      <c r="W516" s="60"/>
      <c r="X516" s="62"/>
      <c r="Y516" s="62"/>
      <c r="Z516" s="60" t="n">
        <v>3</v>
      </c>
      <c r="AA516" s="60" t="n">
        <f aca="false">IF(A516="","",IF(AND(Parameter!$B$21="Ja",ISNUMBER(W516)),W516,IF(AND(Parameter!$E$27="Ja",ISNUMBER(Z516),CD516&lt;&gt;"Nein"),Z516,IF(CD516="2+3",IF(ISNUMBER(SEARCH("grosser Artikel",BV516)),2,IFERROR(VLOOKUP(BY516,Parameter!$F$35:$G$64,2,0),2)),IF(OR(CD516="Nein",CD516=""),"-",CD516)))))</f>
        <v>3</v>
      </c>
      <c r="AB516" s="67"/>
      <c r="AC516" s="68"/>
      <c r="AD516" s="62" t="n">
        <f aca="false">AW516</f>
        <v>374</v>
      </c>
      <c r="AE516" s="62" t="n">
        <f aca="false">MAX(AW516,H516)</f>
        <v>374</v>
      </c>
      <c r="AF516" s="69"/>
      <c r="AG516" s="62" t="n">
        <f aca="false">IF(LEFT(Cockpit!$C$5,1)="A",H516,IF(Parameter!$E$30="MAX-Bestand",IF(CI516=1,CJ516,IF(LEFT(Cockpit!$C$5,1)="B",AM516,MAX(AM516,H516))),ROUNDUP(AK516,0)))</f>
        <v>355</v>
      </c>
      <c r="AH516" s="62" t="n">
        <f aca="false">IF(CA516=1,0,ROUNDUP(AG516/BZ516,0))</f>
        <v>5</v>
      </c>
      <c r="AI516" s="64" t="n">
        <f aca="false">IF(CR516&gt;0,CR516*MAX(1,AG516/X516),IF(CA516=1,IF(AG516&lt;=0,0,CE516*MAX(1,IF(H516&gt;0,AG516/H516,1))),IF(R516&gt;0,AH516/R516,0))/MAX(0.1,N(Parameter!$M$21)))</f>
        <v>0.0357142857142857</v>
      </c>
      <c r="AJ516" s="62" t="n">
        <f aca="false">AI516*CC516</f>
        <v>5.53571428571429</v>
      </c>
      <c r="AK516" s="63" t="n">
        <f aca="false">IF(LEFT(Cockpit!$C$5,1)="A",H516,IF(CI516=1,(CL516+CJ516)/2,IF(LEFT(Cockpit!$C$5,1)="B",(CL516+AM516)/2,MAX((CL516+AM516)/2,H516))))</f>
        <v>355</v>
      </c>
      <c r="AL516" s="62" t="n">
        <f aca="false">AK516*G516</f>
        <v>49.7</v>
      </c>
      <c r="AM516" s="62" t="n">
        <f aca="false">ROUNDUP(CL516+MAX(CM516,2*(J516/IF(CH516&gt;0,CH516,MAX(0.1,N(Cockpit!$C$6)))-CL516)),0)</f>
        <v>374</v>
      </c>
      <c r="AN516" s="63" t="n">
        <f aca="false">IF(AJ516&gt;0,J516/AJ516,-1)</f>
        <v>65.0322580645161</v>
      </c>
      <c r="AO516" s="63" t="n">
        <f aca="false">IF(AND(OR(CG516="L1",CG516="L23",CG516="LIFT"),AJ516&gt;0),SUMIFS($AJ$7:$AJ$1843,$CG$7:$CG$1843,CG516,$AN$7:$AN$1843,"&gt;"&amp;AN516)+SUMIFS($AJ$7:$AJ$1843,$CG$7:$CG$1843,CG516,$AN$7:$AN$1843,AN516,$BX$7:$BX$1843,"&lt;="&amp;BX516),"")</f>
        <v>940.237637362637</v>
      </c>
      <c r="AP516" s="70" t="n">
        <f aca="false">IF(AO516="",0,MAX(0,MIN(1,(IF(CG516="L1",Parameter!$H$5,IF(CG516="L23",Parameter!$H$6+Parameter!$H$7,Parameter!$H$5+Parameter!$H$6+Parameter!$H$7))-(AO516-AJ516))/AJ516)))</f>
        <v>1</v>
      </c>
      <c r="AQ516" s="62" t="n">
        <f aca="false">IF(LEFT(Cockpit!$I$5,1)="A",H516,IF(Parameter!$E$30="MAX-Bestand",IF(CI516=1,CJ516,IF(LEFT(Cockpit!$I$5,1)="B",AW516,MAX(AW516,H516))),ROUNDUP(AU516,0)))</f>
        <v>355</v>
      </c>
      <c r="AR516" s="62" t="n">
        <f aca="false">IF(CA516=1,0,ROUNDUP(AQ516/BZ516,0))</f>
        <v>5</v>
      </c>
      <c r="AS516" s="64" t="n">
        <f aca="false">IF(CR516&gt;0,CR516*MAX(1,AQ516/X516),IF(CA516=1,IF(AQ516&lt;=0,0,CE516*MAX(1,IF(H516&gt;0,AQ516/H516,1))),IF(R516&gt;0,AR516/R516,0))/MAX(0.1,N(Parameter!$M$21)))</f>
        <v>0.0357142857142857</v>
      </c>
      <c r="AT516" s="62" t="n">
        <f aca="false">AS516*CC516</f>
        <v>5.53571428571429</v>
      </c>
      <c r="AU516" s="63" t="n">
        <f aca="false">IF(LEFT(Cockpit!$I$5,1)="A",H516,IF(CI516=1,(CL516+CJ516)/2,IF(LEFT(Cockpit!$I$5,1)="B",(CL516+AW516)/2,MAX((CL516+AW516)/2,H516))))</f>
        <v>355</v>
      </c>
      <c r="AV516" s="62" t="n">
        <f aca="false">AU516*G516</f>
        <v>49.7</v>
      </c>
      <c r="AW516" s="62" t="n">
        <f aca="false">ROUNDUP(CL516+MAX(CM516,2*(J516/IF(CH516&gt;0,CH516,MAX(0.1,N(Cockpit!$I$6)))-CL516)),0)</f>
        <v>374</v>
      </c>
      <c r="AX516" s="63" t="n">
        <f aca="false">IF(AT516&gt;0,J516/AT516,-1)</f>
        <v>65.0322580645161</v>
      </c>
      <c r="AY516" s="63" t="n">
        <f aca="false">IF(AND(OR(CG516="L1",CG516="L23",CG516="LIFT"),AT516&gt;0),SUMIFS($AT$7:$AT$1843,$CG$7:$CG$1843,CG516,$AX$7:$AX$1843,"&gt;"&amp;AX516)+SUMIFS($AT$7:$AT$1843,$CG$7:$CG$1843,CG516,$AX$7:$AX$1843,AX516,$BX$7:$BX$1843,"&lt;="&amp;BX516),"")</f>
        <v>1152.04258241758</v>
      </c>
      <c r="AZ516" s="70" t="n">
        <f aca="false">IF(AY516="",0,MAX(0,MIN(1,(IF(CG516="L1",Parameter!$H$5,IF(CG516="L23",Parameter!$H$6+Parameter!$H$7,Parameter!$H$5+Parameter!$H$6+Parameter!$H$7))-(AY516-AT516))/AT516)))</f>
        <v>1</v>
      </c>
      <c r="BA516" s="62" t="n">
        <f aca="false">IF(LEFT(Cockpit!$O$5,1)="A",H516,IF(Parameter!$E$30="MAX-Bestand",IF(CI516=1,CJ516,IF(LEFT(Cockpit!$O$5,1)="B",BG516,MAX(BG516,H516))),ROUNDUP(BE516,0)))</f>
        <v>194</v>
      </c>
      <c r="BB516" s="62" t="n">
        <f aca="false">IF(CA516=1,0,ROUNDUP(BA516/BZ516,0))</f>
        <v>3</v>
      </c>
      <c r="BC516" s="64" t="n">
        <f aca="false">IF(CR516&gt;0,CR516*MAX(1,BA516/X516),IF(CA516=1,IF(BA516&lt;=0,0,CE516*MAX(1,IF(H516&gt;0,BA516/H516,1))),IF(R516&gt;0,BB516/R516,0))/MAX(0.1,N(Parameter!$M$21)))</f>
        <v>0.0214285714285714</v>
      </c>
      <c r="BD516" s="62" t="n">
        <f aca="false">BC516*CC516</f>
        <v>3.32142857142857</v>
      </c>
      <c r="BE516" s="63" t="n">
        <f aca="false">IF(LEFT(Cockpit!$O$5,1)="A",H516,IF(CI516=1,(CL516+CJ516)/2,IF(LEFT(Cockpit!$O$5,1)="B",(CL516+BG516)/2,MAX((CL516+BG516)/2,H516))))</f>
        <v>194</v>
      </c>
      <c r="BF516" s="62" t="n">
        <f aca="false">BE516*G516</f>
        <v>27.16</v>
      </c>
      <c r="BG516" s="62" t="n">
        <f aca="false">ROUNDUP(CL516+MAX(CM516,2*(J516/IF(CH516&gt;0,CH516,MAX(0.1,N(Cockpit!$O$6)))-CL516)),0)</f>
        <v>374</v>
      </c>
      <c r="BH516" s="63" t="n">
        <f aca="false">IF(BD516&gt;0,J516/BD516,-1)</f>
        <v>108.387096774194</v>
      </c>
      <c r="BI516" s="63" t="n">
        <f aca="false">IF(AND(OR(CG516="L1",CG516="L23",CG516="LIFT"),BD516&gt;0),SUMIFS($BD$7:$BD$1843,$CG$7:$CG$1843,CG516,$BH$7:$BH$1843,"&gt;"&amp;BH516)+SUMIFS($BD$7:$BD$1843,$CG$7:$CG$1843,CG516,$BH$7:$BH$1843,BH516,$BX$7:$BX$1843,"&lt;="&amp;BX516),"")</f>
        <v>880.971611721612</v>
      </c>
      <c r="BJ516" s="70" t="n">
        <f aca="false">IF(BI516="",0,MAX(0,MIN(1,(IF(CG516="L1",Parameter!$H$5,IF(CG516="L23",Parameter!$H$6+Parameter!$H$7,Parameter!$H$5+Parameter!$H$6+Parameter!$H$7))-(BI516-BD516))/BD516)))</f>
        <v>1</v>
      </c>
      <c r="BK516" s="60" t="str">
        <f aca="false">IF(AJ516&lt;=0,"",IF(CG516="Aussen","Aussenlager",IF(CG516="-","Nicht im Lift",IF(AP516&gt;=1,"Lift",IF(AP516&lt;=0,"Aussenlager","teilweise")))))</f>
        <v>Lift</v>
      </c>
      <c r="BL516" s="60" t="str">
        <f aca="false">IF(AT516&lt;=0,"",IF(CG516="Aussen","Aussenlager",IF(CG516="-","Nicht im Lift",IF(AZ516&gt;=1,"Lift",IF(AZ516&lt;=0,"Aussenlager","teilweise")))))</f>
        <v>Lift</v>
      </c>
      <c r="BM516" s="60" t="str">
        <f aca="false">IF(BD516&lt;=0,"",IF(CG516="Aussen","Aussenlager",IF(CG516="-","Nicht im Lift",IF(BJ516&gt;=1,"Lift",IF(BJ516&lt;=0,"Aussenlager","teilweise")))))</f>
        <v>Lift</v>
      </c>
      <c r="BN516" s="60" t="str">
        <f aca="false">IF(A516="","",IF(BW516=1,"Neu; ","")&amp;IF(AND(BW516=0,BR516&lt;0),"negativer Bestand (Export "&amp;BR516&amp;"); ","")&amp;IF(J516&lt;=0,"Kein Verbrauch; ","")&amp;IF(CR516&gt;0,"Lift "&amp;W516&amp;" lt. Liftbericht (Fach "&amp;X516&amp;" Stk); ",IF(CB516=1,"Gebinde geschätzt ("&amp;T516&amp;"); ",IF(CA516=1,"Lose – Tablare geschätzt; ","")))&amp;IF(H516&gt;AW516,"Überbestand "&amp;ROUND(H516-AW516,0)&amp;" Stk / CHF "&amp;ROUND((H516-AW516)*G516,0)&amp;"; ","")&amp;IF(AND(CI516=1,CJ516&lt;CK516),"MAX &lt; MB+LG; ","")&amp;IF(AND(CQ516&gt;0,CP516*10&gt;CQ516),"zu hoch für Tablar; ","")&amp;IF(AND(BW516=0,OR(CI516=1,AB516&lt;&gt;"",U516&lt;&gt;"",V516&lt;&gt;"",AC516&lt;&gt;"")),"manuell übersteuert; ","")&amp;IF(AND(CA516=0,R516=0),"Gebinde unbekannt / Stellmass fehlt; ","")&amp;IF(AND(CA516=0,N(V516)&lt;=0,N(Q516)&lt;=0),"Menge pro Gebinde fehlt (Ist = 1 Gebinde); ","")&amp;BV516)</f>
        <v/>
      </c>
      <c r="BO516" s="60"/>
      <c r="BP516" s="60"/>
      <c r="BQ516" s="67"/>
      <c r="BR516" s="62" t="n">
        <v>266</v>
      </c>
      <c r="BS516" s="62" t="n">
        <v>89</v>
      </c>
      <c r="BT516" s="61" t="n">
        <v>31.01</v>
      </c>
      <c r="BU516" s="62" t="n">
        <v>360</v>
      </c>
      <c r="BV516" s="60"/>
      <c r="BW516" s="65" t="n">
        <v>0</v>
      </c>
      <c r="BX516" s="65" t="n">
        <v>516</v>
      </c>
      <c r="BY516" s="60" t="str">
        <f aca="false">IF(U516&lt;&gt;"",UPPER(TRIM(U516)),IF(CB516=1,UPPER(VLOOKUP(T516,Parameter!$I$27:$K$29,2,0)),IF(P516="","LOSE",P516)))</f>
        <v>S22</v>
      </c>
      <c r="BZ516" s="62" t="n">
        <f aca="false">IF(BY516="LOSE",1,IF(N(V516)&gt;0,V516,IF(CB516=1,MAX(1,N(VLOOKUP(T516,Parameter!$I$27:$K$29,3,0)),H516,N(N516)),IF(N(Q516)&gt;0,Q516,MAX(1,H516)))))</f>
        <v>81</v>
      </c>
      <c r="CA516" s="65" t="n">
        <f aca="false">IF(BY516="LOSE",1,0)</f>
        <v>0</v>
      </c>
      <c r="CB516" s="65" t="n">
        <f aca="false">IF(AND(U516="",OR(P516="",P516="LOSE"),T516&lt;&gt;"",N(S516)&lt;=0,ISNUMBER(MATCH(T516,Parameter!$I$27:$I$29,0))),1,0)</f>
        <v>0</v>
      </c>
      <c r="CC516" s="65" t="n">
        <f aca="false">IF(CR516&gt;0,INDEX(Parameter!$H$5:$H$7,W516)/INDEX(Parameter!$E$5:$E$7,W516),IF(AND(CA516=0,N(IFERROR(VLOOKUP(BY516,'Gebinde-Kategorie'!$A$5:$N$45,14,0),0))&gt;0),VLOOKUP(BY516,'Gebinde-Kategorie'!$A$5:$N$45,14,0)*10+Parameter!$M$23,Parameter!$M$24))</f>
        <v>155</v>
      </c>
      <c r="CD516" s="60" t="str">
        <f aca="false">IF(AND(Parameter!$B$19="Ja",E516&lt;&gt;"",ISNUMBER(MATCH(E516,Parameter!$I$35:$I$52,0))),VLOOKUP(E516,Parameter!$I$35:$J$52,2,0),IFERROR(VLOOKUP(D516,Parameter!$A$35:$C$64,2,0),"Nein"))</f>
        <v>2+3</v>
      </c>
      <c r="CE516" s="64" t="n">
        <f aca="false">IF(CA516=0,0,IF(N(S516)&gt;0,S516,IFERROR(VLOOKUP(D516,Parameter!$A$35:$C$64,3,0)+0,0)))</f>
        <v>0</v>
      </c>
      <c r="CF516" s="60" t="n">
        <f aca="false">IF(AB516&lt;&gt;"",AB516,AA516)</f>
        <v>3</v>
      </c>
      <c r="CG516" s="60" t="str">
        <f aca="false">IF(OR(CF516=1,CF516=2,CF516=3),IF(Parameter!$E$27="Ja","LIFT",IF(CF516=1,"L1","L23")),IF(CF516="Aussen","Aussen","-"))</f>
        <v>LIFT</v>
      </c>
      <c r="CH516" s="71" t="n">
        <f aca="false">IF(N(AC516)&gt;0,AC516,0)</f>
        <v>0</v>
      </c>
      <c r="CI516" s="65" t="n">
        <f aca="false">IF(ISNUMBER(AF516),1,0)</f>
        <v>0</v>
      </c>
      <c r="CJ516" s="62" t="n">
        <f aca="false">N(AF516)</f>
        <v>0</v>
      </c>
      <c r="CK516" s="62" t="n">
        <f aca="false">N(M516)+N(N516)</f>
        <v>374</v>
      </c>
      <c r="CL516" s="62" t="n">
        <f aca="false">N(M516)</f>
        <v>14</v>
      </c>
      <c r="CM516" s="62" t="n">
        <f aca="false">N(N516)</f>
        <v>360</v>
      </c>
      <c r="CN516" s="62" t="n">
        <f aca="false">ROUNDUP(H516/BZ516,0)</f>
        <v>5</v>
      </c>
      <c r="CO516" s="62" t="n">
        <f aca="false">ROUNDUP(CJ516/BZ516,0)</f>
        <v>0</v>
      </c>
      <c r="CP516" s="65" t="n">
        <f aca="false">IF(CA516=1,0,IFERROR(VLOOKUP(BY516,'Gebinde-Kategorie'!$A$5:$N$45,5,0)+0,0))</f>
        <v>8</v>
      </c>
      <c r="CQ516" s="65" t="n">
        <f aca="false">IFERROR(IF(OR(CF516=1,CF516=2,CF516=3),N(INDEX(Parameter!$I$5:$I$7,CF516)),0),0)</f>
        <v>0</v>
      </c>
      <c r="CR516" s="64" t="n">
        <f aca="false">IF(AND(Parameter!$B$21="Ja",ISNUMBER(W516),N(X516)&gt;0),IFERROR(N(INDEX(Parameter!$L$5:$L$7,W516))*INDEX(Parameter!$E$5:$E$7,W516)*X516/SUMIFS($X$7:$X$1843,$W$7:$W$1843,W516),0),0)</f>
        <v>0</v>
      </c>
      <c r="CS516" s="62" t="n">
        <f aca="false">IF(AND(OR(CG516="L1",CG516="L23",CG516="LIFT"),H516&gt;0),CC516*IF(CR516&gt;0,CR516*MAX(1,H516/X516),IF(CA516=1,CE516,IF(R516&gt;0,CN516/R516,0))/MAX(0.1,N(Parameter!$M$21))),"")</f>
        <v>5.53571428571429</v>
      </c>
      <c r="CT516" s="64" t="n">
        <f aca="false">IF(CS516="","",J516/H516)</f>
        <v>1.01408450704225</v>
      </c>
      <c r="CU516" s="62" t="n">
        <f aca="false">IF(CS516="","",H516*G516)</f>
        <v>49.7</v>
      </c>
      <c r="CV516" s="63" t="n">
        <f aca="false">IF(CS516="","",(CL516+ROUNDUP(CL516+MAX(CM516,2*(J516/MAX(0.1,N(Einkauf!$C$6))-CL516)),0))/2)</f>
        <v>194</v>
      </c>
      <c r="CW516" s="62" t="n">
        <f aca="false">IF(CS516="","",MAX(0,H516-CV516)*G516)</f>
        <v>22.54</v>
      </c>
      <c r="CX516" s="62" t="n">
        <f aca="false">IF(CS516="","",CS516*MAX(0,1-CV516/H516))</f>
        <v>2.51056338028169</v>
      </c>
      <c r="CY516" s="64" t="n">
        <f aca="false">IF(CS516="","",PERCENTRANK($CS$7:$CS$1843,CS516)+PERCENTRANK($CU$7:$CU$1843,CU516)+1-PERCENTRANK($CT$7:$CT$1843,CT516))</f>
        <v>0.837</v>
      </c>
      <c r="CZ516" s="72" t="n">
        <f aca="false">IF(CS516="","",CHOOSE(MATCH(Einkauf!$C$5,Parameter!$G$23:$G$27,0),CY516,CS516,CU516,-CT516,CW516)+ROW()/1000000000)</f>
        <v>0.837000516</v>
      </c>
    </row>
    <row r="517" customFormat="false" ht="15" hidden="false" customHeight="false" outlineLevel="0" collapsed="false">
      <c r="A517" s="60" t="s">
        <v>1167</v>
      </c>
      <c r="B517" s="60" t="s">
        <v>836</v>
      </c>
      <c r="C517" s="60" t="s">
        <v>206</v>
      </c>
      <c r="D517" s="60" t="s">
        <v>226</v>
      </c>
      <c r="E517" s="60"/>
      <c r="F517" s="60" t="s">
        <v>260</v>
      </c>
      <c r="G517" s="61" t="n">
        <v>27.04</v>
      </c>
      <c r="H517" s="62" t="n">
        <f aca="false">MAX(0,IF(AND(Parameter!$B$21="Ja",ISNUMBER(Y517)),Y517,IF(Parameter!$B$20="Jahresanfang 2025 + Export",BS517+BR517,BR517)))</f>
        <v>5</v>
      </c>
      <c r="I517" s="62" t="n">
        <f aca="false">H517*G517</f>
        <v>135.2</v>
      </c>
      <c r="J517" s="62" t="n">
        <f aca="false">BU517*Parameter!$B$18</f>
        <v>5</v>
      </c>
      <c r="K517" s="63" t="n">
        <v>4</v>
      </c>
      <c r="L517" s="64" t="n">
        <v>1.25</v>
      </c>
      <c r="M517" s="62" t="n">
        <v>5</v>
      </c>
      <c r="N517" s="62" t="n">
        <v>5</v>
      </c>
      <c r="O517" s="65" t="n">
        <v>14</v>
      </c>
      <c r="P517" s="60" t="s">
        <v>370</v>
      </c>
      <c r="Q517" s="62" t="n">
        <v>5</v>
      </c>
      <c r="R517" s="65" t="n">
        <f aca="false">IF(CA517=1,0,IFERROR(VLOOKUP(BY517,'Gebinde-Kategorie'!$A$5:$N$45,13,0)+0,0))</f>
        <v>52</v>
      </c>
      <c r="S517" s="66"/>
      <c r="T517" s="67"/>
      <c r="U517" s="67"/>
      <c r="V517" s="67"/>
      <c r="W517" s="60"/>
      <c r="X517" s="62"/>
      <c r="Y517" s="62"/>
      <c r="Z517" s="60" t="n">
        <v>3</v>
      </c>
      <c r="AA517" s="60" t="n">
        <f aca="false">IF(A517="","",IF(AND(Parameter!$B$21="Ja",ISNUMBER(W517)),W517,IF(AND(Parameter!$E$27="Ja",ISNUMBER(Z517),CD517&lt;&gt;"Nein"),Z517,IF(CD517="2+3",IF(ISNUMBER(SEARCH("grosser Artikel",BV517)),2,IFERROR(VLOOKUP(BY517,Parameter!$F$35:$G$64,2,0),2)),IF(OR(CD517="Nein",CD517=""),"-",CD517)))))</f>
        <v>3</v>
      </c>
      <c r="AB517" s="67"/>
      <c r="AC517" s="68"/>
      <c r="AD517" s="62" t="n">
        <f aca="false">AW517</f>
        <v>10</v>
      </c>
      <c r="AE517" s="62" t="n">
        <f aca="false">MAX(AW517,H517)</f>
        <v>10</v>
      </c>
      <c r="AF517" s="69"/>
      <c r="AG517" s="62" t="n">
        <f aca="false">IF(LEFT(Cockpit!$C$5,1)="A",H517,IF(Parameter!$E$30="MAX-Bestand",IF(CI517=1,CJ517,IF(LEFT(Cockpit!$C$5,1)="B",AM517,MAX(AM517,H517))),ROUNDUP(AK517,0)))</f>
        <v>5</v>
      </c>
      <c r="AH517" s="62" t="n">
        <f aca="false">IF(CA517=1,0,ROUNDUP(AG517/BZ517,0))</f>
        <v>1</v>
      </c>
      <c r="AI517" s="64" t="n">
        <f aca="false">IF(CR517&gt;0,CR517*MAX(1,AG517/X517),IF(CA517=1,IF(AG517&lt;=0,0,CE517*MAX(1,IF(H517&gt;0,AG517/H517,1))),IF(R517&gt;0,AH517/R517,0))/MAX(0.1,N(Parameter!$M$21)))</f>
        <v>0.0192307692307692</v>
      </c>
      <c r="AJ517" s="62" t="n">
        <f aca="false">AI517*CC517</f>
        <v>2.98076923076923</v>
      </c>
      <c r="AK517" s="63" t="n">
        <f aca="false">IF(LEFT(Cockpit!$C$5,1)="A",H517,IF(CI517=1,(CL517+CJ517)/2,IF(LEFT(Cockpit!$C$5,1)="B",(CL517+AM517)/2,MAX((CL517+AM517)/2,H517))))</f>
        <v>5</v>
      </c>
      <c r="AL517" s="62" t="n">
        <f aca="false">AK517*G517</f>
        <v>135.2</v>
      </c>
      <c r="AM517" s="62" t="n">
        <f aca="false">ROUNDUP(CL517+MAX(CM517,2*(J517/IF(CH517&gt;0,CH517,MAX(0.1,N(Cockpit!$C$6)))-CL517)),0)</f>
        <v>10</v>
      </c>
      <c r="AN517" s="63" t="n">
        <f aca="false">IF(AJ517&gt;0,J517/AJ517,-1)</f>
        <v>1.67741935483871</v>
      </c>
      <c r="AO517" s="63" t="n">
        <f aca="false">IF(AND(OR(CG517="L1",CG517="L23",CG517="LIFT"),AJ517&gt;0),SUMIFS($AJ$7:$AJ$1843,$CG$7:$CG$1843,CG517,$AN$7:$AN$1843,"&gt;"&amp;AN517)+SUMIFS($AJ$7:$AJ$1843,$CG$7:$CG$1843,CG517,$AN$7:$AN$1843,AN517,$BX$7:$BX$1843,"&lt;="&amp;BX517),"")</f>
        <v>6048.87225274725</v>
      </c>
      <c r="AP517" s="70" t="n">
        <f aca="false">IF(AO517="",0,MAX(0,MIN(1,(IF(CG517="L1",Parameter!$H$5,IF(CG517="L23",Parameter!$H$6+Parameter!$H$7,Parameter!$H$5+Parameter!$H$6+Parameter!$H$7))-(AO517-AJ517))/AJ517)))</f>
        <v>1</v>
      </c>
      <c r="AQ517" s="62" t="n">
        <f aca="false">IF(LEFT(Cockpit!$I$5,1)="A",H517,IF(Parameter!$E$30="MAX-Bestand",IF(CI517=1,CJ517,IF(LEFT(Cockpit!$I$5,1)="B",AW517,MAX(AW517,H517))),ROUNDUP(AU517,0)))</f>
        <v>8</v>
      </c>
      <c r="AR517" s="62" t="n">
        <f aca="false">IF(CA517=1,0,ROUNDUP(AQ517/BZ517,0))</f>
        <v>2</v>
      </c>
      <c r="AS517" s="64" t="n">
        <f aca="false">IF(CR517&gt;0,CR517*MAX(1,AQ517/X517),IF(CA517=1,IF(AQ517&lt;=0,0,CE517*MAX(1,IF(H517&gt;0,AQ517/H517,1))),IF(R517&gt;0,AR517/R517,0))/MAX(0.1,N(Parameter!$M$21)))</f>
        <v>0.0384615384615385</v>
      </c>
      <c r="AT517" s="62" t="n">
        <f aca="false">AS517*CC517</f>
        <v>5.96153846153846</v>
      </c>
      <c r="AU517" s="63" t="n">
        <f aca="false">IF(LEFT(Cockpit!$I$5,1)="A",H517,IF(CI517=1,(CL517+CJ517)/2,IF(LEFT(Cockpit!$I$5,1)="B",(CL517+AW517)/2,MAX((CL517+AW517)/2,H517))))</f>
        <v>7.5</v>
      </c>
      <c r="AV517" s="62" t="n">
        <f aca="false">AU517*G517</f>
        <v>202.8</v>
      </c>
      <c r="AW517" s="62" t="n">
        <f aca="false">ROUNDUP(CL517+MAX(CM517,2*(J517/IF(CH517&gt;0,CH517,MAX(0.1,N(Cockpit!$I$6)))-CL517)),0)</f>
        <v>10</v>
      </c>
      <c r="AX517" s="63" t="n">
        <f aca="false">IF(AT517&gt;0,J517/AT517,-1)</f>
        <v>0.838709677419355</v>
      </c>
      <c r="AY517" s="63" t="n">
        <f aca="false">IF(AND(OR(CG517="L1",CG517="L23",CG517="LIFT"),AT517&gt;0),SUMIFS($AT$7:$AT$1843,$CG$7:$CG$1843,CG517,$AX$7:$AX$1843,"&gt;"&amp;AX517)+SUMIFS($AT$7:$AT$1843,$CG$7:$CG$1843,CG517,$AX$7:$AX$1843,AX517,$BX$7:$BX$1843,"&lt;="&amp;BX517),"")</f>
        <v>9634.14194139194</v>
      </c>
      <c r="AZ517" s="70" t="n">
        <f aca="false">IF(AY517="",0,MAX(0,MIN(1,(IF(CG517="L1",Parameter!$H$5,IF(CG517="L23",Parameter!$H$6+Parameter!$H$7,Parameter!$H$5+Parameter!$H$6+Parameter!$H$7))-(AY517-AT517))/AT517)))</f>
        <v>1</v>
      </c>
      <c r="BA517" s="62" t="n">
        <f aca="false">IF(LEFT(Cockpit!$O$5,1)="A",H517,IF(Parameter!$E$30="MAX-Bestand",IF(CI517=1,CJ517,IF(LEFT(Cockpit!$O$5,1)="B",BG517,MAX(BG517,H517))),ROUNDUP(BE517,0)))</f>
        <v>8</v>
      </c>
      <c r="BB517" s="62" t="n">
        <f aca="false">IF(CA517=1,0,ROUNDUP(BA517/BZ517,0))</f>
        <v>2</v>
      </c>
      <c r="BC517" s="64" t="n">
        <f aca="false">IF(CR517&gt;0,CR517*MAX(1,BA517/X517),IF(CA517=1,IF(BA517&lt;=0,0,CE517*MAX(1,IF(H517&gt;0,BA517/H517,1))),IF(R517&gt;0,BB517/R517,0))/MAX(0.1,N(Parameter!$M$21)))</f>
        <v>0.0384615384615385</v>
      </c>
      <c r="BD517" s="62" t="n">
        <f aca="false">BC517*CC517</f>
        <v>5.96153846153846</v>
      </c>
      <c r="BE517" s="63" t="n">
        <f aca="false">IF(LEFT(Cockpit!$O$5,1)="A",H517,IF(CI517=1,(CL517+CJ517)/2,IF(LEFT(Cockpit!$O$5,1)="B",(CL517+BG517)/2,MAX((CL517+BG517)/2,H517))))</f>
        <v>7.5</v>
      </c>
      <c r="BF517" s="62" t="n">
        <f aca="false">BE517*G517</f>
        <v>202.8</v>
      </c>
      <c r="BG517" s="62" t="n">
        <f aca="false">ROUNDUP(CL517+MAX(CM517,2*(J517/IF(CH517&gt;0,CH517,MAX(0.1,N(Cockpit!$O$6)))-CL517)),0)</f>
        <v>10</v>
      </c>
      <c r="BH517" s="63" t="n">
        <f aca="false">IF(BD517&gt;0,J517/BD517,-1)</f>
        <v>0.838709677419355</v>
      </c>
      <c r="BI517" s="63" t="n">
        <f aca="false">IF(AND(OR(CG517="L1",CG517="L23",CG517="LIFT"),BD517&gt;0),SUMIFS($BD$7:$BD$1843,$CG$7:$CG$1843,CG517,$BH$7:$BH$1843,"&gt;"&amp;BH517)+SUMIFS($BD$7:$BD$1843,$CG$7:$CG$1843,CG517,$BH$7:$BH$1843,BH517,$BX$7:$BX$1843,"&lt;="&amp;BX517),"")</f>
        <v>8595.21840659341</v>
      </c>
      <c r="BJ517" s="70" t="n">
        <f aca="false">IF(BI517="",0,MAX(0,MIN(1,(IF(CG517="L1",Parameter!$H$5,IF(CG517="L23",Parameter!$H$6+Parameter!$H$7,Parameter!$H$5+Parameter!$H$6+Parameter!$H$7))-(BI517-BD517))/BD517)))</f>
        <v>1</v>
      </c>
      <c r="BK517" s="60" t="str">
        <f aca="false">IF(AJ517&lt;=0,"",IF(CG517="Aussen","Aussenlager",IF(CG517="-","Nicht im Lift",IF(AP517&gt;=1,"Lift",IF(AP517&lt;=0,"Aussenlager","teilweise")))))</f>
        <v>Lift</v>
      </c>
      <c r="BL517" s="60" t="str">
        <f aca="false">IF(AT517&lt;=0,"",IF(CG517="Aussen","Aussenlager",IF(CG517="-","Nicht im Lift",IF(AZ517&gt;=1,"Lift",IF(AZ517&lt;=0,"Aussenlager","teilweise")))))</f>
        <v>Lift</v>
      </c>
      <c r="BM517" s="60" t="str">
        <f aca="false">IF(BD517&lt;=0,"",IF(CG517="Aussen","Aussenlager",IF(CG517="-","Nicht im Lift",IF(BJ517&gt;=1,"Lift",IF(BJ517&lt;=0,"Aussenlager","teilweise")))))</f>
        <v>Lift</v>
      </c>
      <c r="BN517" s="60" t="str">
        <f aca="false">IF(A517="","",IF(BW517=1,"Neu; ","")&amp;IF(AND(BW517=0,BR517&lt;0),"negativer Bestand (Export "&amp;BR517&amp;"); ","")&amp;IF(J517&lt;=0,"Kein Verbrauch; ","")&amp;IF(CR517&gt;0,"Lift "&amp;W517&amp;" lt. Liftbericht (Fach "&amp;X517&amp;" Stk); ",IF(CB517=1,"Gebinde geschätzt ("&amp;T517&amp;"); ",IF(CA517=1,"Lose – Tablare geschätzt; ","")))&amp;IF(H517&gt;AW517,"Überbestand "&amp;ROUND(H517-AW517,0)&amp;" Stk / CHF "&amp;ROUND((H517-AW517)*G517,0)&amp;"; ","")&amp;IF(AND(CI517=1,CJ517&lt;CK517),"MAX &lt; MB+LG; ","")&amp;IF(AND(CQ517&gt;0,CP517*10&gt;CQ517),"zu hoch für Tablar; ","")&amp;IF(AND(BW517=0,OR(CI517=1,AB517&lt;&gt;"",U517&lt;&gt;"",V517&lt;&gt;"",AC517&lt;&gt;"")),"manuell übersteuert; ","")&amp;IF(AND(CA517=0,R517=0),"Gebinde unbekannt / Stellmass fehlt; ","")&amp;IF(AND(CA517=0,N(V517)&lt;=0,N(Q517)&lt;=0),"Menge pro Gebinde fehlt (Ist = 1 Gebinde); ","")&amp;BV517)</f>
        <v/>
      </c>
      <c r="BO517" s="60"/>
      <c r="BP517" s="60"/>
      <c r="BQ517" s="67"/>
      <c r="BR517" s="62" t="n">
        <v>1</v>
      </c>
      <c r="BS517" s="62" t="n">
        <v>4</v>
      </c>
      <c r="BT517" s="61" t="n">
        <v>30.96</v>
      </c>
      <c r="BU517" s="62" t="n">
        <v>5</v>
      </c>
      <c r="BV517" s="60"/>
      <c r="BW517" s="65" t="n">
        <v>0</v>
      </c>
      <c r="BX517" s="65" t="n">
        <v>517</v>
      </c>
      <c r="BY517" s="60" t="str">
        <f aca="false">IF(U517&lt;&gt;"",UPPER(TRIM(U517)),IF(CB517=1,UPPER(VLOOKUP(T517,Parameter!$I$27:$K$29,2,0)),IF(P517="","LOSE",P517)))</f>
        <v>S41</v>
      </c>
      <c r="BZ517" s="62" t="n">
        <f aca="false">IF(BY517="LOSE",1,IF(N(V517)&gt;0,V517,IF(CB517=1,MAX(1,N(VLOOKUP(T517,Parameter!$I$27:$K$29,3,0)),H517,N(N517)),IF(N(Q517)&gt;0,Q517,MAX(1,H517)))))</f>
        <v>5</v>
      </c>
      <c r="CA517" s="65" t="n">
        <f aca="false">IF(BY517="LOSE",1,0)</f>
        <v>0</v>
      </c>
      <c r="CB517" s="65" t="n">
        <f aca="false">IF(AND(U517="",OR(P517="",P517="LOSE"),T517&lt;&gt;"",N(S517)&lt;=0,ISNUMBER(MATCH(T517,Parameter!$I$27:$I$29,0))),1,0)</f>
        <v>0</v>
      </c>
      <c r="CC517" s="65" t="n">
        <f aca="false">IF(CR517&gt;0,INDEX(Parameter!$H$5:$H$7,W517)/INDEX(Parameter!$E$5:$E$7,W517),IF(AND(CA517=0,N(IFERROR(VLOOKUP(BY517,'Gebinde-Kategorie'!$A$5:$N$45,14,0),0))&gt;0),VLOOKUP(BY517,'Gebinde-Kategorie'!$A$5:$N$45,14,0)*10+Parameter!$M$23,Parameter!$M$24))</f>
        <v>155</v>
      </c>
      <c r="CD517" s="60" t="str">
        <f aca="false">IF(AND(Parameter!$B$19="Ja",E517&lt;&gt;"",ISNUMBER(MATCH(E517,Parameter!$I$35:$I$52,0))),VLOOKUP(E517,Parameter!$I$35:$J$52,2,0),IFERROR(VLOOKUP(D517,Parameter!$A$35:$C$64,2,0),"Nein"))</f>
        <v>2+3</v>
      </c>
      <c r="CE517" s="64" t="n">
        <f aca="false">IF(CA517=0,0,IF(N(S517)&gt;0,S517,IFERROR(VLOOKUP(D517,Parameter!$A$35:$C$64,3,0)+0,0)))</f>
        <v>0</v>
      </c>
      <c r="CF517" s="60" t="n">
        <f aca="false">IF(AB517&lt;&gt;"",AB517,AA517)</f>
        <v>3</v>
      </c>
      <c r="CG517" s="60" t="str">
        <f aca="false">IF(OR(CF517=1,CF517=2,CF517=3),IF(Parameter!$E$27="Ja","LIFT",IF(CF517=1,"L1","L23")),IF(CF517="Aussen","Aussen","-"))</f>
        <v>LIFT</v>
      </c>
      <c r="CH517" s="71" t="n">
        <f aca="false">IF(N(AC517)&gt;0,AC517,0)</f>
        <v>0</v>
      </c>
      <c r="CI517" s="65" t="n">
        <f aca="false">IF(ISNUMBER(AF517),1,0)</f>
        <v>0</v>
      </c>
      <c r="CJ517" s="62" t="n">
        <f aca="false">N(AF517)</f>
        <v>0</v>
      </c>
      <c r="CK517" s="62" t="n">
        <f aca="false">N(M517)+N(N517)</f>
        <v>10</v>
      </c>
      <c r="CL517" s="62" t="n">
        <f aca="false">N(M517)</f>
        <v>5</v>
      </c>
      <c r="CM517" s="62" t="n">
        <f aca="false">N(N517)</f>
        <v>5</v>
      </c>
      <c r="CN517" s="62" t="n">
        <f aca="false">ROUNDUP(H517/BZ517,0)</f>
        <v>1</v>
      </c>
      <c r="CO517" s="62" t="n">
        <f aca="false">ROUNDUP(CJ517/BZ517,0)</f>
        <v>0</v>
      </c>
      <c r="CP517" s="65" t="n">
        <f aca="false">IF(CA517=1,0,IFERROR(VLOOKUP(BY517,'Gebinde-Kategorie'!$A$5:$N$45,5,0)+0,0))</f>
        <v>11</v>
      </c>
      <c r="CQ517" s="65" t="n">
        <f aca="false">IFERROR(IF(OR(CF517=1,CF517=2,CF517=3),N(INDEX(Parameter!$I$5:$I$7,CF517)),0),0)</f>
        <v>0</v>
      </c>
      <c r="CR517" s="64" t="n">
        <f aca="false">IF(AND(Parameter!$B$21="Ja",ISNUMBER(W517),N(X517)&gt;0),IFERROR(N(INDEX(Parameter!$L$5:$L$7,W517))*INDEX(Parameter!$E$5:$E$7,W517)*X517/SUMIFS($X$7:$X$1843,$W$7:$W$1843,W517),0),0)</f>
        <v>0</v>
      </c>
      <c r="CS517" s="62" t="n">
        <f aca="false">IF(AND(OR(CG517="L1",CG517="L23",CG517="LIFT"),H517&gt;0),CC517*IF(CR517&gt;0,CR517*MAX(1,H517/X517),IF(CA517=1,CE517,IF(R517&gt;0,CN517/R517,0))/MAX(0.1,N(Parameter!$M$21))),"")</f>
        <v>2.98076923076923</v>
      </c>
      <c r="CT517" s="64" t="n">
        <f aca="false">IF(CS517="","",J517/H517)</f>
        <v>1</v>
      </c>
      <c r="CU517" s="62" t="n">
        <f aca="false">IF(CS517="","",H517*G517)</f>
        <v>135.2</v>
      </c>
      <c r="CV517" s="63" t="n">
        <f aca="false">IF(CS517="","",(CL517+ROUNDUP(CL517+MAX(CM517,2*(J517/MAX(0.1,N(Einkauf!$C$6))-CL517)),0))/2)</f>
        <v>7.5</v>
      </c>
      <c r="CW517" s="62" t="n">
        <f aca="false">IF(CS517="","",MAX(0,H517-CV517)*G517)</f>
        <v>0</v>
      </c>
      <c r="CX517" s="62" t="n">
        <f aca="false">IF(CS517="","",CS517*MAX(0,1-CV517/H517))</f>
        <v>0</v>
      </c>
      <c r="CY517" s="64" t="n">
        <f aca="false">IF(CS517="","",PERCENTRANK($CS$7:$CS$1843,CS517)+PERCENTRANK($CU$7:$CU$1843,CU517)+1-PERCENTRANK($CT$7:$CT$1843,CT517))</f>
        <v>0.857</v>
      </c>
      <c r="CZ517" s="72" t="n">
        <f aca="false">IF(CS517="","",CHOOSE(MATCH(Einkauf!$C$5,Parameter!$G$23:$G$27,0),CY517,CS517,CU517,-CT517,CW517)+ROW()/1000000000)</f>
        <v>0.857000517</v>
      </c>
    </row>
    <row r="518" customFormat="false" ht="15" hidden="false" customHeight="false" outlineLevel="0" collapsed="false">
      <c r="A518" s="60" t="s">
        <v>1168</v>
      </c>
      <c r="B518" s="60" t="s">
        <v>1169</v>
      </c>
      <c r="C518" s="60" t="s">
        <v>206</v>
      </c>
      <c r="D518" s="60" t="s">
        <v>226</v>
      </c>
      <c r="E518" s="60"/>
      <c r="F518" s="60" t="s">
        <v>260</v>
      </c>
      <c r="G518" s="61" t="n">
        <v>3.19</v>
      </c>
      <c r="H518" s="62" t="n">
        <f aca="false">MAX(0,IF(AND(Parameter!$B$21="Ja",ISNUMBER(Y518)),Y518,IF(Parameter!$B$20="Jahresanfang 2025 + Export",BS518+BR518,BR518)))</f>
        <v>18</v>
      </c>
      <c r="I518" s="62" t="n">
        <f aca="false">H518*G518</f>
        <v>57.42</v>
      </c>
      <c r="J518" s="62" t="n">
        <f aca="false">BU518*Parameter!$B$18</f>
        <v>19</v>
      </c>
      <c r="K518" s="63" t="n">
        <v>9</v>
      </c>
      <c r="L518" s="64" t="n">
        <v>2.11111111111111</v>
      </c>
      <c r="M518" s="62" t="n">
        <v>0</v>
      </c>
      <c r="N518" s="62" t="n">
        <v>20</v>
      </c>
      <c r="O518" s="65" t="n">
        <v>14</v>
      </c>
      <c r="P518" s="60" t="s">
        <v>468</v>
      </c>
      <c r="Q518" s="62" t="n">
        <v>10</v>
      </c>
      <c r="R518" s="65" t="n">
        <f aca="false">IF(CA518=1,0,IFERROR(VLOOKUP(BY518,'Gebinde-Kategorie'!$A$5:$N$45,13,0)+0,0))</f>
        <v>140</v>
      </c>
      <c r="S518" s="66"/>
      <c r="T518" s="67"/>
      <c r="U518" s="67"/>
      <c r="V518" s="67"/>
      <c r="W518" s="60"/>
      <c r="X518" s="62"/>
      <c r="Y518" s="62"/>
      <c r="Z518" s="60" t="n">
        <v>1</v>
      </c>
      <c r="AA518" s="60" t="n">
        <f aca="false">IF(A518="","",IF(AND(Parameter!$B$21="Ja",ISNUMBER(W518)),W518,IF(AND(Parameter!$E$27="Ja",ISNUMBER(Z518),CD518&lt;&gt;"Nein"),Z518,IF(CD518="2+3",IF(ISNUMBER(SEARCH("grosser Artikel",BV518)),2,IFERROR(VLOOKUP(BY518,Parameter!$F$35:$G$64,2,0),2)),IF(OR(CD518="Nein",CD518=""),"-",CD518)))))</f>
        <v>1</v>
      </c>
      <c r="AB518" s="67"/>
      <c r="AC518" s="68"/>
      <c r="AD518" s="62" t="n">
        <f aca="false">AW518</f>
        <v>20</v>
      </c>
      <c r="AE518" s="62" t="n">
        <f aca="false">MAX(AW518,H518)</f>
        <v>20</v>
      </c>
      <c r="AF518" s="69"/>
      <c r="AG518" s="62" t="n">
        <f aca="false">IF(LEFT(Cockpit!$C$5,1)="A",H518,IF(Parameter!$E$30="MAX-Bestand",IF(CI518=1,CJ518,IF(LEFT(Cockpit!$C$5,1)="B",AM518,MAX(AM518,H518))),ROUNDUP(AK518,0)))</f>
        <v>18</v>
      </c>
      <c r="AH518" s="62" t="n">
        <f aca="false">IF(CA518=1,0,ROUNDUP(AG518/BZ518,0))</f>
        <v>2</v>
      </c>
      <c r="AI518" s="64" t="n">
        <f aca="false">IF(CR518&gt;0,CR518*MAX(1,AG518/X518),IF(CA518=1,IF(AG518&lt;=0,0,CE518*MAX(1,IF(H518&gt;0,AG518/H518,1))),IF(R518&gt;0,AH518/R518,0))/MAX(0.1,N(Parameter!$M$21)))</f>
        <v>0.0142857142857143</v>
      </c>
      <c r="AJ518" s="62" t="n">
        <f aca="false">AI518*CC518</f>
        <v>2.21428571428571</v>
      </c>
      <c r="AK518" s="63" t="n">
        <f aca="false">IF(LEFT(Cockpit!$C$5,1)="A",H518,IF(CI518=1,(CL518+CJ518)/2,IF(LEFT(Cockpit!$C$5,1)="B",(CL518+AM518)/2,MAX((CL518+AM518)/2,H518))))</f>
        <v>18</v>
      </c>
      <c r="AL518" s="62" t="n">
        <f aca="false">AK518*G518</f>
        <v>57.42</v>
      </c>
      <c r="AM518" s="62" t="n">
        <f aca="false">ROUNDUP(CL518+MAX(CM518,2*(J518/IF(CH518&gt;0,CH518,MAX(0.1,N(Cockpit!$C$6)))-CL518)),0)</f>
        <v>20</v>
      </c>
      <c r="AN518" s="63" t="n">
        <f aca="false">IF(AJ518&gt;0,J518/AJ518,-1)</f>
        <v>8.58064516129032</v>
      </c>
      <c r="AO518" s="63" t="n">
        <f aca="false">IF(AND(OR(CG518="L1",CG518="L23",CG518="LIFT"),AJ518&gt;0),SUMIFS($AJ$7:$AJ$1843,$CG$7:$CG$1843,CG518,$AN$7:$AN$1843,"&gt;"&amp;AN518)+SUMIFS($AJ$7:$AJ$1843,$CG$7:$CG$1843,CG518,$AN$7:$AN$1843,AN518,$BX$7:$BX$1843,"&lt;="&amp;BX518),"")</f>
        <v>2984.875</v>
      </c>
      <c r="AP518" s="70" t="n">
        <f aca="false">IF(AO518="",0,MAX(0,MIN(1,(IF(CG518="L1",Parameter!$H$5,IF(CG518="L23",Parameter!$H$6+Parameter!$H$7,Parameter!$H$5+Parameter!$H$6+Parameter!$H$7))-(AO518-AJ518))/AJ518)))</f>
        <v>1</v>
      </c>
      <c r="AQ518" s="62" t="n">
        <f aca="false">IF(LEFT(Cockpit!$I$5,1)="A",H518,IF(Parameter!$E$30="MAX-Bestand",IF(CI518=1,CJ518,IF(LEFT(Cockpit!$I$5,1)="B",AW518,MAX(AW518,H518))),ROUNDUP(AU518,0)))</f>
        <v>18</v>
      </c>
      <c r="AR518" s="62" t="n">
        <f aca="false">IF(CA518=1,0,ROUNDUP(AQ518/BZ518,0))</f>
        <v>2</v>
      </c>
      <c r="AS518" s="64" t="n">
        <f aca="false">IF(CR518&gt;0,CR518*MAX(1,AQ518/X518),IF(CA518=1,IF(AQ518&lt;=0,0,CE518*MAX(1,IF(H518&gt;0,AQ518/H518,1))),IF(R518&gt;0,AR518/R518,0))/MAX(0.1,N(Parameter!$M$21)))</f>
        <v>0.0142857142857143</v>
      </c>
      <c r="AT518" s="62" t="n">
        <f aca="false">AS518*CC518</f>
        <v>2.21428571428571</v>
      </c>
      <c r="AU518" s="63" t="n">
        <f aca="false">IF(LEFT(Cockpit!$I$5,1)="A",H518,IF(CI518=1,(CL518+CJ518)/2,IF(LEFT(Cockpit!$I$5,1)="B",(CL518+AW518)/2,MAX((CL518+AW518)/2,H518))))</f>
        <v>18</v>
      </c>
      <c r="AV518" s="62" t="n">
        <f aca="false">AU518*G518</f>
        <v>57.42</v>
      </c>
      <c r="AW518" s="62" t="n">
        <f aca="false">ROUNDUP(CL518+MAX(CM518,2*(J518/IF(CH518&gt;0,CH518,MAX(0.1,N(Cockpit!$I$6)))-CL518)),0)</f>
        <v>20</v>
      </c>
      <c r="AX518" s="63" t="n">
        <f aca="false">IF(AT518&gt;0,J518/AT518,-1)</f>
        <v>8.58064516129032</v>
      </c>
      <c r="AY518" s="63" t="n">
        <f aca="false">IF(AND(OR(CG518="L1",CG518="L23",CG518="LIFT"),AT518&gt;0),SUMIFS($AT$7:$AT$1843,$CG$7:$CG$1843,CG518,$AX$7:$AX$1843,"&gt;"&amp;AX518)+SUMIFS($AT$7:$AT$1843,$CG$7:$CG$1843,CG518,$AX$7:$AX$1843,AX518,$BX$7:$BX$1843,"&lt;="&amp;BX518),"")</f>
        <v>3571.1130952381</v>
      </c>
      <c r="AZ518" s="70" t="n">
        <f aca="false">IF(AY518="",0,MAX(0,MIN(1,(IF(CG518="L1",Parameter!$H$5,IF(CG518="L23",Parameter!$H$6+Parameter!$H$7,Parameter!$H$5+Parameter!$H$6+Parameter!$H$7))-(AY518-AT518))/AT518)))</f>
        <v>1</v>
      </c>
      <c r="BA518" s="62" t="n">
        <f aca="false">IF(LEFT(Cockpit!$O$5,1)="A",H518,IF(Parameter!$E$30="MAX-Bestand",IF(CI518=1,CJ518,IF(LEFT(Cockpit!$O$5,1)="B",BG518,MAX(BG518,H518))),ROUNDUP(BE518,0)))</f>
        <v>10</v>
      </c>
      <c r="BB518" s="62" t="n">
        <f aca="false">IF(CA518=1,0,ROUNDUP(BA518/BZ518,0))</f>
        <v>1</v>
      </c>
      <c r="BC518" s="64" t="n">
        <f aca="false">IF(CR518&gt;0,CR518*MAX(1,BA518/X518),IF(CA518=1,IF(BA518&lt;=0,0,CE518*MAX(1,IF(H518&gt;0,BA518/H518,1))),IF(R518&gt;0,BB518/R518,0))/MAX(0.1,N(Parameter!$M$21)))</f>
        <v>0.00714285714285714</v>
      </c>
      <c r="BD518" s="62" t="n">
        <f aca="false">BC518*CC518</f>
        <v>1.10714285714286</v>
      </c>
      <c r="BE518" s="63" t="n">
        <f aca="false">IF(LEFT(Cockpit!$O$5,1)="A",H518,IF(CI518=1,(CL518+CJ518)/2,IF(LEFT(Cockpit!$O$5,1)="B",(CL518+BG518)/2,MAX((CL518+BG518)/2,H518))))</f>
        <v>10</v>
      </c>
      <c r="BF518" s="62" t="n">
        <f aca="false">BE518*G518</f>
        <v>31.9</v>
      </c>
      <c r="BG518" s="62" t="n">
        <f aca="false">ROUNDUP(CL518+MAX(CM518,2*(J518/IF(CH518&gt;0,CH518,MAX(0.1,N(Cockpit!$O$6)))-CL518)),0)</f>
        <v>20</v>
      </c>
      <c r="BH518" s="63" t="n">
        <f aca="false">IF(BD518&gt;0,J518/BD518,-1)</f>
        <v>17.1612903225806</v>
      </c>
      <c r="BI518" s="63" t="n">
        <f aca="false">IF(AND(OR(CG518="L1",CG518="L23",CG518="LIFT"),BD518&gt;0),SUMIFS($BD$7:$BD$1843,$CG$7:$CG$1843,CG518,$BH$7:$BH$1843,"&gt;"&amp;BH518)+SUMIFS($BD$7:$BD$1843,$CG$7:$CG$1843,CG518,$BH$7:$BH$1843,BH518,$BX$7:$BX$1843,"&lt;="&amp;BX518),"")</f>
        <v>2322.43956043956</v>
      </c>
      <c r="BJ518" s="70" t="n">
        <f aca="false">IF(BI518="",0,MAX(0,MIN(1,(IF(CG518="L1",Parameter!$H$5,IF(CG518="L23",Parameter!$H$6+Parameter!$H$7,Parameter!$H$5+Parameter!$H$6+Parameter!$H$7))-(BI518-BD518))/BD518)))</f>
        <v>1</v>
      </c>
      <c r="BK518" s="60" t="str">
        <f aca="false">IF(AJ518&lt;=0,"",IF(CG518="Aussen","Aussenlager",IF(CG518="-","Nicht im Lift",IF(AP518&gt;=1,"Lift",IF(AP518&lt;=0,"Aussenlager","teilweise")))))</f>
        <v>Lift</v>
      </c>
      <c r="BL518" s="60" t="str">
        <f aca="false">IF(AT518&lt;=0,"",IF(CG518="Aussen","Aussenlager",IF(CG518="-","Nicht im Lift",IF(AZ518&gt;=1,"Lift",IF(AZ518&lt;=0,"Aussenlager","teilweise")))))</f>
        <v>Lift</v>
      </c>
      <c r="BM518" s="60" t="str">
        <f aca="false">IF(BD518&lt;=0,"",IF(CG518="Aussen","Aussenlager",IF(CG518="-","Nicht im Lift",IF(BJ518&gt;=1,"Lift",IF(BJ518&lt;=0,"Aussenlager","teilweise")))))</f>
        <v>Lift</v>
      </c>
      <c r="BN518" s="60" t="str">
        <f aca="false">IF(A518="","",IF(BW518=1,"Neu; ","")&amp;IF(AND(BW518=0,BR518&lt;0),"negativer Bestand (Export "&amp;BR518&amp;"); ","")&amp;IF(J518&lt;=0,"Kein Verbrauch; ","")&amp;IF(CR518&gt;0,"Lift "&amp;W518&amp;" lt. Liftbericht (Fach "&amp;X518&amp;" Stk); ",IF(CB518=1,"Gebinde geschätzt ("&amp;T518&amp;"); ",IF(CA518=1,"Lose – Tablare geschätzt; ","")))&amp;IF(H518&gt;AW518,"Überbestand "&amp;ROUND(H518-AW518,0)&amp;" Stk / CHF "&amp;ROUND((H518-AW518)*G518,0)&amp;"; ","")&amp;IF(AND(CI518=1,CJ518&lt;CK518),"MAX &lt; MB+LG; ","")&amp;IF(AND(CQ518&gt;0,CP518*10&gt;CQ518),"zu hoch für Tablar; ","")&amp;IF(AND(BW518=0,OR(CI518=1,AB518&lt;&gt;"",U518&lt;&gt;"",V518&lt;&gt;"",AC518&lt;&gt;"")),"manuell übersteuert; ","")&amp;IF(AND(CA518=0,R518=0),"Gebinde unbekannt / Stellmass fehlt; ","")&amp;IF(AND(CA518=0,N(V518)&lt;=0,N(Q518)&lt;=0),"Menge pro Gebinde fehlt (Ist = 1 Gebinde); ","")&amp;BV518)</f>
        <v/>
      </c>
      <c r="BO518" s="60"/>
      <c r="BP518" s="60"/>
      <c r="BQ518" s="67"/>
      <c r="BR518" s="62" t="n">
        <v>8</v>
      </c>
      <c r="BS518" s="62" t="n">
        <v>10</v>
      </c>
      <c r="BT518" s="61" t="n">
        <v>30.52</v>
      </c>
      <c r="BU518" s="62" t="n">
        <v>19</v>
      </c>
      <c r="BV518" s="60"/>
      <c r="BW518" s="65" t="n">
        <v>0</v>
      </c>
      <c r="BX518" s="65" t="n">
        <v>518</v>
      </c>
      <c r="BY518" s="60" t="str">
        <f aca="false">IF(U518&lt;&gt;"",UPPER(TRIM(U518)),IF(CB518=1,UPPER(VLOOKUP(T518,Parameter!$I$27:$K$29,2,0)),IF(P518="","LOSE",P518)))</f>
        <v>S22</v>
      </c>
      <c r="BZ518" s="62" t="n">
        <f aca="false">IF(BY518="LOSE",1,IF(N(V518)&gt;0,V518,IF(CB518=1,MAX(1,N(VLOOKUP(T518,Parameter!$I$27:$K$29,3,0)),H518,N(N518)),IF(N(Q518)&gt;0,Q518,MAX(1,H518)))))</f>
        <v>10</v>
      </c>
      <c r="CA518" s="65" t="n">
        <f aca="false">IF(BY518="LOSE",1,0)</f>
        <v>0</v>
      </c>
      <c r="CB518" s="65" t="n">
        <f aca="false">IF(AND(U518="",OR(P518="",P518="LOSE"),T518&lt;&gt;"",N(S518)&lt;=0,ISNUMBER(MATCH(T518,Parameter!$I$27:$I$29,0))),1,0)</f>
        <v>0</v>
      </c>
      <c r="CC518" s="65" t="n">
        <f aca="false">IF(CR518&gt;0,INDEX(Parameter!$H$5:$H$7,W518)/INDEX(Parameter!$E$5:$E$7,W518),IF(AND(CA518=0,N(IFERROR(VLOOKUP(BY518,'Gebinde-Kategorie'!$A$5:$N$45,14,0),0))&gt;0),VLOOKUP(BY518,'Gebinde-Kategorie'!$A$5:$N$45,14,0)*10+Parameter!$M$23,Parameter!$M$24))</f>
        <v>155</v>
      </c>
      <c r="CD518" s="60" t="str">
        <f aca="false">IF(AND(Parameter!$B$19="Ja",E518&lt;&gt;"",ISNUMBER(MATCH(E518,Parameter!$I$35:$I$52,0))),VLOOKUP(E518,Parameter!$I$35:$J$52,2,0),IFERROR(VLOOKUP(D518,Parameter!$A$35:$C$64,2,0),"Nein"))</f>
        <v>2+3</v>
      </c>
      <c r="CE518" s="64" t="n">
        <f aca="false">IF(CA518=0,0,IF(N(S518)&gt;0,S518,IFERROR(VLOOKUP(D518,Parameter!$A$35:$C$64,3,0)+0,0)))</f>
        <v>0</v>
      </c>
      <c r="CF518" s="60" t="n">
        <f aca="false">IF(AB518&lt;&gt;"",AB518,AA518)</f>
        <v>1</v>
      </c>
      <c r="CG518" s="60" t="str">
        <f aca="false">IF(OR(CF518=1,CF518=2,CF518=3),IF(Parameter!$E$27="Ja","LIFT",IF(CF518=1,"L1","L23")),IF(CF518="Aussen","Aussen","-"))</f>
        <v>LIFT</v>
      </c>
      <c r="CH518" s="71" t="n">
        <f aca="false">IF(N(AC518)&gt;0,AC518,0)</f>
        <v>0</v>
      </c>
      <c r="CI518" s="65" t="n">
        <f aca="false">IF(ISNUMBER(AF518),1,0)</f>
        <v>0</v>
      </c>
      <c r="CJ518" s="62" t="n">
        <f aca="false">N(AF518)</f>
        <v>0</v>
      </c>
      <c r="CK518" s="62" t="n">
        <f aca="false">N(M518)+N(N518)</f>
        <v>20</v>
      </c>
      <c r="CL518" s="62" t="n">
        <f aca="false">N(M518)</f>
        <v>0</v>
      </c>
      <c r="CM518" s="62" t="n">
        <f aca="false">N(N518)</f>
        <v>20</v>
      </c>
      <c r="CN518" s="62" t="n">
        <f aca="false">ROUNDUP(H518/BZ518,0)</f>
        <v>2</v>
      </c>
      <c r="CO518" s="62" t="n">
        <f aca="false">ROUNDUP(CJ518/BZ518,0)</f>
        <v>0</v>
      </c>
      <c r="CP518" s="65" t="n">
        <f aca="false">IF(CA518=1,0,IFERROR(VLOOKUP(BY518,'Gebinde-Kategorie'!$A$5:$N$45,5,0)+0,0))</f>
        <v>8</v>
      </c>
      <c r="CQ518" s="65" t="n">
        <f aca="false">IFERROR(IF(OR(CF518=1,CF518=2,CF518=3),N(INDEX(Parameter!$I$5:$I$7,CF518)),0),0)</f>
        <v>0</v>
      </c>
      <c r="CR518" s="64" t="n">
        <f aca="false">IF(AND(Parameter!$B$21="Ja",ISNUMBER(W518),N(X518)&gt;0),IFERROR(N(INDEX(Parameter!$L$5:$L$7,W518))*INDEX(Parameter!$E$5:$E$7,W518)*X518/SUMIFS($X$7:$X$1843,$W$7:$W$1843,W518),0),0)</f>
        <v>0</v>
      </c>
      <c r="CS518" s="62" t="n">
        <f aca="false">IF(AND(OR(CG518="L1",CG518="L23",CG518="LIFT"),H518&gt;0),CC518*IF(CR518&gt;0,CR518*MAX(1,H518/X518),IF(CA518=1,CE518,IF(R518&gt;0,CN518/R518,0))/MAX(0.1,N(Parameter!$M$21))),"")</f>
        <v>2.21428571428571</v>
      </c>
      <c r="CT518" s="64" t="n">
        <f aca="false">IF(CS518="","",J518/H518)</f>
        <v>1.05555555555556</v>
      </c>
      <c r="CU518" s="62" t="n">
        <f aca="false">IF(CS518="","",H518*G518)</f>
        <v>57.42</v>
      </c>
      <c r="CV518" s="63" t="n">
        <f aca="false">IF(CS518="","",(CL518+ROUNDUP(CL518+MAX(CM518,2*(J518/MAX(0.1,N(Einkauf!$C$6))-CL518)),0))/2)</f>
        <v>10</v>
      </c>
      <c r="CW518" s="62" t="n">
        <f aca="false">IF(CS518="","",MAX(0,H518-CV518)*G518)</f>
        <v>25.52</v>
      </c>
      <c r="CX518" s="62" t="n">
        <f aca="false">IF(CS518="","",CS518*MAX(0,1-CV518/H518))</f>
        <v>0.984126984126984</v>
      </c>
      <c r="CY518" s="64" t="n">
        <f aca="false">IF(CS518="","",PERCENTRANK($CS$7:$CS$1843,CS518)+PERCENTRANK($CU$7:$CU$1843,CU518)+1-PERCENTRANK($CT$7:$CT$1843,CT518))</f>
        <v>0.687</v>
      </c>
      <c r="CZ518" s="72" t="n">
        <f aca="false">IF(CS518="","",CHOOSE(MATCH(Einkauf!$C$5,Parameter!$G$23:$G$27,0),CY518,CS518,CU518,-CT518,CW518)+ROW()/1000000000)</f>
        <v>0.687000518</v>
      </c>
    </row>
    <row r="519" customFormat="false" ht="15" hidden="false" customHeight="false" outlineLevel="0" collapsed="false">
      <c r="A519" s="60" t="s">
        <v>1170</v>
      </c>
      <c r="B519" s="60" t="s">
        <v>445</v>
      </c>
      <c r="C519" s="60" t="s">
        <v>206</v>
      </c>
      <c r="D519" s="60" t="s">
        <v>1037</v>
      </c>
      <c r="E519" s="60"/>
      <c r="F519" s="60" t="s">
        <v>260</v>
      </c>
      <c r="G519" s="61" t="n">
        <v>15.2</v>
      </c>
      <c r="H519" s="62" t="n">
        <f aca="false">MAX(0,IF(AND(Parameter!$B$21="Ja",ISNUMBER(Y519)),Y519,IF(Parameter!$B$20="Jahresanfang 2025 + Export",BS519+BR519,BR519)))</f>
        <v>2</v>
      </c>
      <c r="I519" s="62" t="n">
        <f aca="false">H519*G519</f>
        <v>30.4</v>
      </c>
      <c r="J519" s="62" t="n">
        <f aca="false">BU519*Parameter!$B$18</f>
        <v>48</v>
      </c>
      <c r="K519" s="63" t="n">
        <v>1</v>
      </c>
      <c r="L519" s="64" t="n">
        <v>48</v>
      </c>
      <c r="M519" s="62" t="n">
        <v>0</v>
      </c>
      <c r="N519" s="62" t="n">
        <v>50</v>
      </c>
      <c r="O519" s="65" t="n">
        <v>21</v>
      </c>
      <c r="P519" s="60" t="s">
        <v>210</v>
      </c>
      <c r="Q519" s="62"/>
      <c r="R519" s="65" t="n">
        <f aca="false">IF(CA519=1,0,IFERROR(VLOOKUP(BY519,'Gebinde-Kategorie'!$A$5:$N$45,13,0)+0,0))</f>
        <v>0</v>
      </c>
      <c r="S519" s="66"/>
      <c r="T519" s="67"/>
      <c r="U519" s="67"/>
      <c r="V519" s="67"/>
      <c r="W519" s="60"/>
      <c r="X519" s="62"/>
      <c r="Y519" s="62"/>
      <c r="Z519" s="60"/>
      <c r="AA519" s="60" t="str">
        <f aca="false">IF(A519="","",IF(AND(Parameter!$B$21="Ja",ISNUMBER(W519)),W519,IF(AND(Parameter!$E$27="Ja",ISNUMBER(Z519),CD519&lt;&gt;"Nein"),Z519,IF(CD519="2+3",IF(ISNUMBER(SEARCH("grosser Artikel",BV519)),2,IFERROR(VLOOKUP(BY519,Parameter!$F$35:$G$64,2,0),2)),IF(OR(CD519="Nein",CD519=""),"-",CD519)))))</f>
        <v>-</v>
      </c>
      <c r="AB519" s="67"/>
      <c r="AC519" s="68"/>
      <c r="AD519" s="62" t="n">
        <f aca="false">AW519</f>
        <v>50</v>
      </c>
      <c r="AE519" s="62" t="n">
        <f aca="false">MAX(AW519,H519)</f>
        <v>50</v>
      </c>
      <c r="AF519" s="69"/>
      <c r="AG519" s="62" t="n">
        <f aca="false">IF(LEFT(Cockpit!$C$5,1)="A",H519,IF(Parameter!$E$30="MAX-Bestand",IF(CI519=1,CJ519,IF(LEFT(Cockpit!$C$5,1)="B",AM519,MAX(AM519,H519))),ROUNDUP(AK519,0)))</f>
        <v>2</v>
      </c>
      <c r="AH519" s="62" t="n">
        <f aca="false">IF(CA519=1,0,ROUNDUP(AG519/BZ519,0))</f>
        <v>0</v>
      </c>
      <c r="AI519" s="64" t="n">
        <f aca="false">IF(CR519&gt;0,CR519*MAX(1,AG519/X519),IF(CA519=1,IF(AG519&lt;=0,0,CE519*MAX(1,IF(H519&gt;0,AG519/H519,1))),IF(R519&gt;0,AH519/R519,0))/MAX(0.1,N(Parameter!$M$21)))</f>
        <v>0.15</v>
      </c>
      <c r="AJ519" s="62" t="n">
        <f aca="false">AI519*CC519</f>
        <v>35.25</v>
      </c>
      <c r="AK519" s="63" t="n">
        <f aca="false">IF(LEFT(Cockpit!$C$5,1)="A",H519,IF(CI519=1,(CL519+CJ519)/2,IF(LEFT(Cockpit!$C$5,1)="B",(CL519+AM519)/2,MAX((CL519+AM519)/2,H519))))</f>
        <v>2</v>
      </c>
      <c r="AL519" s="62" t="n">
        <f aca="false">AK519*G519</f>
        <v>30.4</v>
      </c>
      <c r="AM519" s="62" t="n">
        <f aca="false">ROUNDUP(CL519+MAX(CM519,2*(J519/IF(CH519&gt;0,CH519,MAX(0.1,N(Cockpit!$C$6)))-CL519)),0)</f>
        <v>50</v>
      </c>
      <c r="AN519" s="63" t="n">
        <f aca="false">IF(AJ519&gt;0,J519/AJ519,-1)</f>
        <v>1.36170212765957</v>
      </c>
      <c r="AO519" s="63" t="str">
        <f aca="false">IF(AND(OR(CG519="L1",CG519="L23",CG519="LIFT"),AJ519&gt;0),SUMIFS($AJ$7:$AJ$1843,$CG$7:$CG$1843,CG519,$AN$7:$AN$1843,"&gt;"&amp;AN519)+SUMIFS($AJ$7:$AJ$1843,$CG$7:$CG$1843,CG519,$AN$7:$AN$1843,AN519,$BX$7:$BX$1843,"&lt;="&amp;BX519),"")</f>
        <v/>
      </c>
      <c r="AP519" s="70" t="n">
        <f aca="false">IF(AO519="",0,MAX(0,MIN(1,(IF(CG519="L1",Parameter!$H$5,IF(CG519="L23",Parameter!$H$6+Parameter!$H$7,Parameter!$H$5+Parameter!$H$6+Parameter!$H$7))-(AO519-AJ519))/AJ519)))</f>
        <v>0</v>
      </c>
      <c r="AQ519" s="62" t="n">
        <f aca="false">IF(LEFT(Cockpit!$I$5,1)="A",H519,IF(Parameter!$E$30="MAX-Bestand",IF(CI519=1,CJ519,IF(LEFT(Cockpit!$I$5,1)="B",AW519,MAX(AW519,H519))),ROUNDUP(AU519,0)))</f>
        <v>25</v>
      </c>
      <c r="AR519" s="62" t="n">
        <f aca="false">IF(CA519=1,0,ROUNDUP(AQ519/BZ519,0))</f>
        <v>0</v>
      </c>
      <c r="AS519" s="64" t="n">
        <f aca="false">IF(CR519&gt;0,CR519*MAX(1,AQ519/X519),IF(CA519=1,IF(AQ519&lt;=0,0,CE519*MAX(1,IF(H519&gt;0,AQ519/H519,1))),IF(R519&gt;0,AR519/R519,0))/MAX(0.1,N(Parameter!$M$21)))</f>
        <v>1.875</v>
      </c>
      <c r="AT519" s="62" t="n">
        <f aca="false">AS519*CC519</f>
        <v>440.625</v>
      </c>
      <c r="AU519" s="63" t="n">
        <f aca="false">IF(LEFT(Cockpit!$I$5,1)="A",H519,IF(CI519=1,(CL519+CJ519)/2,IF(LEFT(Cockpit!$I$5,1)="B",(CL519+AW519)/2,MAX((CL519+AW519)/2,H519))))</f>
        <v>25</v>
      </c>
      <c r="AV519" s="62" t="n">
        <f aca="false">AU519*G519</f>
        <v>380</v>
      </c>
      <c r="AW519" s="62" t="n">
        <f aca="false">ROUNDUP(CL519+MAX(CM519,2*(J519/IF(CH519&gt;0,CH519,MAX(0.1,N(Cockpit!$I$6)))-CL519)),0)</f>
        <v>50</v>
      </c>
      <c r="AX519" s="63" t="n">
        <f aca="false">IF(AT519&gt;0,J519/AT519,-1)</f>
        <v>0.108936170212766</v>
      </c>
      <c r="AY519" s="63" t="str">
        <f aca="false">IF(AND(OR(CG519="L1",CG519="L23",CG519="LIFT"),AT519&gt;0),SUMIFS($AT$7:$AT$1843,$CG$7:$CG$1843,CG519,$AX$7:$AX$1843,"&gt;"&amp;AX519)+SUMIFS($AT$7:$AT$1843,$CG$7:$CG$1843,CG519,$AX$7:$AX$1843,AX519,$BX$7:$BX$1843,"&lt;="&amp;BX519),"")</f>
        <v/>
      </c>
      <c r="AZ519" s="70" t="n">
        <f aca="false">IF(AY519="",0,MAX(0,MIN(1,(IF(CG519="L1",Parameter!$H$5,IF(CG519="L23",Parameter!$H$6+Parameter!$H$7,Parameter!$H$5+Parameter!$H$6+Parameter!$H$7))-(AY519-AT519))/AT519)))</f>
        <v>0</v>
      </c>
      <c r="BA519" s="62" t="n">
        <f aca="false">IF(LEFT(Cockpit!$O$5,1)="A",H519,IF(Parameter!$E$30="MAX-Bestand",IF(CI519=1,CJ519,IF(LEFT(Cockpit!$O$5,1)="B",BG519,MAX(BG519,H519))),ROUNDUP(BE519,0)))</f>
        <v>25</v>
      </c>
      <c r="BB519" s="62" t="n">
        <f aca="false">IF(CA519=1,0,ROUNDUP(BA519/BZ519,0))</f>
        <v>0</v>
      </c>
      <c r="BC519" s="64" t="n">
        <f aca="false">IF(CR519&gt;0,CR519*MAX(1,BA519/X519),IF(CA519=1,IF(BA519&lt;=0,0,CE519*MAX(1,IF(H519&gt;0,BA519/H519,1))),IF(R519&gt;0,BB519/R519,0))/MAX(0.1,N(Parameter!$M$21)))</f>
        <v>1.875</v>
      </c>
      <c r="BD519" s="62" t="n">
        <f aca="false">BC519*CC519</f>
        <v>440.625</v>
      </c>
      <c r="BE519" s="63" t="n">
        <f aca="false">IF(LEFT(Cockpit!$O$5,1)="A",H519,IF(CI519=1,(CL519+CJ519)/2,IF(LEFT(Cockpit!$O$5,1)="B",(CL519+BG519)/2,MAX((CL519+BG519)/2,H519))))</f>
        <v>25</v>
      </c>
      <c r="BF519" s="62" t="n">
        <f aca="false">BE519*G519</f>
        <v>380</v>
      </c>
      <c r="BG519" s="62" t="n">
        <f aca="false">ROUNDUP(CL519+MAX(CM519,2*(J519/IF(CH519&gt;0,CH519,MAX(0.1,N(Cockpit!$O$6)))-CL519)),0)</f>
        <v>50</v>
      </c>
      <c r="BH519" s="63" t="n">
        <f aca="false">IF(BD519&gt;0,J519/BD519,-1)</f>
        <v>0.108936170212766</v>
      </c>
      <c r="BI519" s="63" t="str">
        <f aca="false">IF(AND(OR(CG519="L1",CG519="L23",CG519="LIFT"),BD519&gt;0),SUMIFS($BD$7:$BD$1843,$CG$7:$CG$1843,CG519,$BH$7:$BH$1843,"&gt;"&amp;BH519)+SUMIFS($BD$7:$BD$1843,$CG$7:$CG$1843,CG519,$BH$7:$BH$1843,BH519,$BX$7:$BX$1843,"&lt;="&amp;BX519),"")</f>
        <v/>
      </c>
      <c r="BJ519" s="70" t="n">
        <f aca="false">IF(BI519="",0,MAX(0,MIN(1,(IF(CG519="L1",Parameter!$H$5,IF(CG519="L23",Parameter!$H$6+Parameter!$H$7,Parameter!$H$5+Parameter!$H$6+Parameter!$H$7))-(BI519-BD519))/BD519)))</f>
        <v>0</v>
      </c>
      <c r="BK519" s="60" t="str">
        <f aca="false">IF(AJ519&lt;=0,"",IF(CG519="Aussen","Aussenlager",IF(CG519="-","Nicht im Lift",IF(AP519&gt;=1,"Lift",IF(AP519&lt;=0,"Aussenlager","teilweise")))))</f>
        <v>Nicht im Lift</v>
      </c>
      <c r="BL519" s="60" t="str">
        <f aca="false">IF(AT519&lt;=0,"",IF(CG519="Aussen","Aussenlager",IF(CG519="-","Nicht im Lift",IF(AZ519&gt;=1,"Lift",IF(AZ519&lt;=0,"Aussenlager","teilweise")))))</f>
        <v>Nicht im Lift</v>
      </c>
      <c r="BM519" s="60" t="str">
        <f aca="false">IF(BD519&lt;=0,"",IF(CG519="Aussen","Aussenlager",IF(CG519="-","Nicht im Lift",IF(BJ519&gt;=1,"Lift",IF(BJ519&lt;=0,"Aussenlager","teilweise")))))</f>
        <v>Nicht im Lift</v>
      </c>
      <c r="BN519" s="60" t="str">
        <f aca="false">IF(A519="","",IF(BW519=1,"Neu; ","")&amp;IF(AND(BW519=0,BR519&lt;0),"negativer Bestand (Export "&amp;BR519&amp;"); ","")&amp;IF(J519&lt;=0,"Kein Verbrauch; ","")&amp;IF(CR519&gt;0,"Lift "&amp;W519&amp;" lt. Liftbericht (Fach "&amp;X519&amp;" Stk); ",IF(CB519=1,"Gebinde geschätzt ("&amp;T519&amp;"); ",IF(CA519=1,"Lose – Tablare geschätzt; ","")))&amp;IF(H519&gt;AW519,"Überbestand "&amp;ROUND(H519-AW519,0)&amp;" Stk / CHF "&amp;ROUND((H519-AW519)*G519,0)&amp;"; ","")&amp;IF(AND(CI519=1,CJ519&lt;CK519),"MAX &lt; MB+LG; ","")&amp;IF(AND(CQ519&gt;0,CP519*10&gt;CQ519),"zu hoch für Tablar; ","")&amp;IF(AND(BW519=0,OR(CI519=1,AB519&lt;&gt;"",U519&lt;&gt;"",V519&lt;&gt;"",AC519&lt;&gt;"")),"manuell übersteuert; ","")&amp;IF(AND(CA519=0,R519=0),"Gebinde unbekannt / Stellmass fehlt; ","")&amp;IF(AND(CA519=0,N(V519)&lt;=0,N(Q519)&lt;=0),"Menge pro Gebinde fehlt (Ist = 1 Gebinde); ","")&amp;BV519)</f>
        <v>Lose – Tablare geschätzt; </v>
      </c>
      <c r="BO519" s="60"/>
      <c r="BP519" s="60"/>
      <c r="BQ519" s="67"/>
      <c r="BR519" s="62" t="n">
        <v>2</v>
      </c>
      <c r="BS519" s="62" t="n">
        <v>0</v>
      </c>
      <c r="BT519" s="61" t="n">
        <v>30.4</v>
      </c>
      <c r="BU519" s="62" t="n">
        <v>48</v>
      </c>
      <c r="BV519" s="60"/>
      <c r="BW519" s="65" t="n">
        <v>0</v>
      </c>
      <c r="BX519" s="65" t="n">
        <v>519</v>
      </c>
      <c r="BY519" s="60" t="str">
        <f aca="false">IF(U519&lt;&gt;"",UPPER(TRIM(U519)),IF(CB519=1,UPPER(VLOOKUP(T519,Parameter!$I$27:$K$29,2,0)),IF(P519="","LOSE",P519)))</f>
        <v>LOSE</v>
      </c>
      <c r="BZ519" s="62" t="n">
        <f aca="false">IF(BY519="LOSE",1,IF(N(V519)&gt;0,V519,IF(CB519=1,MAX(1,N(VLOOKUP(T519,Parameter!$I$27:$K$29,3,0)),H519,N(N519)),IF(N(Q519)&gt;0,Q519,MAX(1,H519)))))</f>
        <v>1</v>
      </c>
      <c r="CA519" s="65" t="n">
        <f aca="false">IF(BY519="LOSE",1,0)</f>
        <v>1</v>
      </c>
      <c r="CB519" s="65" t="n">
        <f aca="false">IF(AND(U519="",OR(P519="",P519="LOSE"),T519&lt;&gt;"",N(S519)&lt;=0,ISNUMBER(MATCH(T519,Parameter!$I$27:$I$29,0))),1,0)</f>
        <v>0</v>
      </c>
      <c r="CC519" s="65" t="n">
        <f aca="false">IF(CR519&gt;0,INDEX(Parameter!$H$5:$H$7,W519)/INDEX(Parameter!$E$5:$E$7,W519),IF(AND(CA519=0,N(IFERROR(VLOOKUP(BY519,'Gebinde-Kategorie'!$A$5:$N$45,14,0),0))&gt;0),VLOOKUP(BY519,'Gebinde-Kategorie'!$A$5:$N$45,14,0)*10+Parameter!$M$23,Parameter!$M$24))</f>
        <v>235</v>
      </c>
      <c r="CD519" s="60" t="str">
        <f aca="false">IF(AND(Parameter!$B$19="Ja",E519&lt;&gt;"",ISNUMBER(MATCH(E519,Parameter!$I$35:$I$52,0))),VLOOKUP(E519,Parameter!$I$35:$J$52,2,0),IFERROR(VLOOKUP(D519,Parameter!$A$35:$C$64,2,0),"Nein"))</f>
        <v>Nein</v>
      </c>
      <c r="CE519" s="64" t="n">
        <f aca="false">IF(CA519=0,0,IF(N(S519)&gt;0,S519,IFERROR(VLOOKUP(D519,Parameter!$A$35:$C$64,3,0)+0,0)))</f>
        <v>0.15</v>
      </c>
      <c r="CF519" s="60" t="str">
        <f aca="false">IF(AB519&lt;&gt;"",AB519,AA519)</f>
        <v>-</v>
      </c>
      <c r="CG519" s="60" t="str">
        <f aca="false">IF(OR(CF519=1,CF519=2,CF519=3),IF(Parameter!$E$27="Ja","LIFT",IF(CF519=1,"L1","L23")),IF(CF519="Aussen","Aussen","-"))</f>
        <v>-</v>
      </c>
      <c r="CH519" s="71" t="n">
        <f aca="false">IF(N(AC519)&gt;0,AC519,0)</f>
        <v>0</v>
      </c>
      <c r="CI519" s="65" t="n">
        <f aca="false">IF(ISNUMBER(AF519),1,0)</f>
        <v>0</v>
      </c>
      <c r="CJ519" s="62" t="n">
        <f aca="false">N(AF519)</f>
        <v>0</v>
      </c>
      <c r="CK519" s="62" t="n">
        <f aca="false">N(M519)+N(N519)</f>
        <v>50</v>
      </c>
      <c r="CL519" s="62" t="n">
        <f aca="false">N(M519)</f>
        <v>0</v>
      </c>
      <c r="CM519" s="62" t="n">
        <f aca="false">N(N519)</f>
        <v>50</v>
      </c>
      <c r="CN519" s="62" t="n">
        <f aca="false">ROUNDUP(H519/BZ519,0)</f>
        <v>2</v>
      </c>
      <c r="CO519" s="62" t="n">
        <f aca="false">ROUNDUP(CJ519/BZ519,0)</f>
        <v>0</v>
      </c>
      <c r="CP519" s="65" t="n">
        <f aca="false">IF(CA519=1,0,IFERROR(VLOOKUP(BY519,'Gebinde-Kategorie'!$A$5:$N$45,5,0)+0,0))</f>
        <v>0</v>
      </c>
      <c r="CQ519" s="65" t="n">
        <f aca="false">IFERROR(IF(OR(CF519=1,CF519=2,CF519=3),N(INDEX(Parameter!$I$5:$I$7,CF519)),0),0)</f>
        <v>0</v>
      </c>
      <c r="CR519" s="64" t="n">
        <f aca="false">IF(AND(Parameter!$B$21="Ja",ISNUMBER(W519),N(X519)&gt;0),IFERROR(N(INDEX(Parameter!$L$5:$L$7,W519))*INDEX(Parameter!$E$5:$E$7,W519)*X519/SUMIFS($X$7:$X$1843,$W$7:$W$1843,W519),0),0)</f>
        <v>0</v>
      </c>
      <c r="CS519" s="62" t="str">
        <f aca="false">IF(AND(OR(CG519="L1",CG519="L23",CG519="LIFT"),H519&gt;0),CC519*IF(CR519&gt;0,CR519*MAX(1,H519/X519),IF(CA519=1,CE519,IF(R519&gt;0,CN519/R519,0))/MAX(0.1,N(Parameter!$M$21))),"")</f>
        <v/>
      </c>
      <c r="CT519" s="64" t="str">
        <f aca="false">IF(CS519="","",J519/H519)</f>
        <v/>
      </c>
      <c r="CU519" s="62" t="str">
        <f aca="false">IF(CS519="","",H519*G519)</f>
        <v/>
      </c>
      <c r="CV519" s="63" t="str">
        <f aca="false">IF(CS519="","",(CL519+ROUNDUP(CL519+MAX(CM519,2*(J519/MAX(0.1,N(Einkauf!$C$6))-CL519)),0))/2)</f>
        <v/>
      </c>
      <c r="CW519" s="62" t="str">
        <f aca="false">IF(CS519="","",MAX(0,H519-CV519)*G519)</f>
        <v/>
      </c>
      <c r="CX519" s="62" t="str">
        <f aca="false">IF(CS519="","",CS519*MAX(0,1-CV519/H519))</f>
        <v/>
      </c>
      <c r="CY519" s="64" t="str">
        <f aca="false">IF(CS519="","",PERCENTRANK($CS$7:$CS$1843,CS519)+PERCENTRANK($CU$7:$CU$1843,CU519)+1-PERCENTRANK($CT$7:$CT$1843,CT519))</f>
        <v/>
      </c>
      <c r="CZ519" s="72" t="str">
        <f aca="false">IF(CS519="","",CHOOSE(MATCH(Einkauf!$C$5,Parameter!$G$23:$G$27,0),CY519,CS519,CU519,-CT519,CW519)+ROW()/1000000000)</f>
        <v/>
      </c>
    </row>
    <row r="520" customFormat="false" ht="15" hidden="false" customHeight="false" outlineLevel="0" collapsed="false">
      <c r="A520" s="60" t="s">
        <v>1171</v>
      </c>
      <c r="B520" s="60" t="s">
        <v>1172</v>
      </c>
      <c r="C520" s="60" t="s">
        <v>206</v>
      </c>
      <c r="D520" s="60" t="s">
        <v>226</v>
      </c>
      <c r="E520" s="60"/>
      <c r="F520" s="60" t="s">
        <v>260</v>
      </c>
      <c r="G520" s="61" t="n">
        <v>29.12</v>
      </c>
      <c r="H520" s="62" t="n">
        <f aca="false">MAX(0,IF(AND(Parameter!$B$21="Ja",ISNUMBER(Y520)),Y520,IF(Parameter!$B$20="Jahresanfang 2025 + Export",BS520+BR520,BR520)))</f>
        <v>1</v>
      </c>
      <c r="I520" s="62" t="n">
        <f aca="false">H520*G520</f>
        <v>29.12</v>
      </c>
      <c r="J520" s="62" t="n">
        <f aca="false">BU520*Parameter!$B$18</f>
        <v>0</v>
      </c>
      <c r="K520" s="63" t="n">
        <v>1</v>
      </c>
      <c r="L520" s="64" t="n">
        <v>0</v>
      </c>
      <c r="M520" s="62" t="n">
        <v>0</v>
      </c>
      <c r="N520" s="62" t="n">
        <v>1</v>
      </c>
      <c r="O520" s="65" t="n">
        <v>15</v>
      </c>
      <c r="P520" s="60" t="s">
        <v>370</v>
      </c>
      <c r="Q520" s="62" t="n">
        <v>2</v>
      </c>
      <c r="R520" s="65" t="n">
        <f aca="false">IF(CA520=1,0,IFERROR(VLOOKUP(BY520,'Gebinde-Kategorie'!$A$5:$N$45,13,0)+0,0))</f>
        <v>52</v>
      </c>
      <c r="S520" s="66"/>
      <c r="T520" s="67"/>
      <c r="U520" s="67"/>
      <c r="V520" s="67"/>
      <c r="W520" s="60"/>
      <c r="X520" s="62"/>
      <c r="Y520" s="62"/>
      <c r="Z520" s="60" t="n">
        <v>3</v>
      </c>
      <c r="AA520" s="60" t="n">
        <f aca="false">IF(A520="","",IF(AND(Parameter!$B$21="Ja",ISNUMBER(W520)),W520,IF(AND(Parameter!$E$27="Ja",ISNUMBER(Z520),CD520&lt;&gt;"Nein"),Z520,IF(CD520="2+3",IF(ISNUMBER(SEARCH("grosser Artikel",BV520)),2,IFERROR(VLOOKUP(BY520,Parameter!$F$35:$G$64,2,0),2)),IF(OR(CD520="Nein",CD520=""),"-",CD520)))))</f>
        <v>3</v>
      </c>
      <c r="AB520" s="67"/>
      <c r="AC520" s="68"/>
      <c r="AD520" s="62" t="n">
        <f aca="false">AW520</f>
        <v>1</v>
      </c>
      <c r="AE520" s="62" t="n">
        <f aca="false">MAX(AW520,H520)</f>
        <v>1</v>
      </c>
      <c r="AF520" s="69"/>
      <c r="AG520" s="62" t="n">
        <f aca="false">IF(LEFT(Cockpit!$C$5,1)="A",H520,IF(Parameter!$E$30="MAX-Bestand",IF(CI520=1,CJ520,IF(LEFT(Cockpit!$C$5,1)="B",AM520,MAX(AM520,H520))),ROUNDUP(AK520,0)))</f>
        <v>1</v>
      </c>
      <c r="AH520" s="62" t="n">
        <f aca="false">IF(CA520=1,0,ROUNDUP(AG520/BZ520,0))</f>
        <v>1</v>
      </c>
      <c r="AI520" s="64" t="n">
        <f aca="false">IF(CR520&gt;0,CR520*MAX(1,AG520/X520),IF(CA520=1,IF(AG520&lt;=0,0,CE520*MAX(1,IF(H520&gt;0,AG520/H520,1))),IF(R520&gt;0,AH520/R520,0))/MAX(0.1,N(Parameter!$M$21)))</f>
        <v>0.0192307692307692</v>
      </c>
      <c r="AJ520" s="62" t="n">
        <f aca="false">AI520*CC520</f>
        <v>2.98076923076923</v>
      </c>
      <c r="AK520" s="63" t="n">
        <f aca="false">IF(LEFT(Cockpit!$C$5,1)="A",H520,IF(CI520=1,(CL520+CJ520)/2,IF(LEFT(Cockpit!$C$5,1)="B",(CL520+AM520)/2,MAX((CL520+AM520)/2,H520))))</f>
        <v>1</v>
      </c>
      <c r="AL520" s="62" t="n">
        <f aca="false">AK520*G520</f>
        <v>29.12</v>
      </c>
      <c r="AM520" s="62" t="n">
        <f aca="false">ROUNDUP(CL520+MAX(CM520,2*(J520/IF(CH520&gt;0,CH520,MAX(0.1,N(Cockpit!$C$6)))-CL520)),0)</f>
        <v>1</v>
      </c>
      <c r="AN520" s="63" t="n">
        <f aca="false">IF(AJ520&gt;0,J520/AJ520,-1)</f>
        <v>0</v>
      </c>
      <c r="AO520" s="63" t="n">
        <f aca="false">IF(AND(OR(CG520="L1",CG520="L23",CG520="LIFT"),AJ520&gt;0),SUMIFS($AJ$7:$AJ$1843,$CG$7:$CG$1843,CG520,$AN$7:$AN$1843,"&gt;"&amp;AN520)+SUMIFS($AJ$7:$AJ$1843,$CG$7:$CG$1843,CG520,$AN$7:$AN$1843,AN520,$BX$7:$BX$1843,"&lt;="&amp;BX520),"")</f>
        <v>28286.329838476</v>
      </c>
      <c r="AP520" s="70" t="n">
        <f aca="false">IF(AO520="",0,MAX(0,MIN(1,(IF(CG520="L1",Parameter!$H$5,IF(CG520="L23",Parameter!$H$6+Parameter!$H$7,Parameter!$H$5+Parameter!$H$6+Parameter!$H$7))-(AO520-AJ520))/AJ520)))</f>
        <v>1</v>
      </c>
      <c r="AQ520" s="62" t="n">
        <f aca="false">IF(LEFT(Cockpit!$I$5,1)="A",H520,IF(Parameter!$E$30="MAX-Bestand",IF(CI520=1,CJ520,IF(LEFT(Cockpit!$I$5,1)="B",AW520,MAX(AW520,H520))),ROUNDUP(AU520,0)))</f>
        <v>1</v>
      </c>
      <c r="AR520" s="62" t="n">
        <f aca="false">IF(CA520=1,0,ROUNDUP(AQ520/BZ520,0))</f>
        <v>1</v>
      </c>
      <c r="AS520" s="64" t="n">
        <f aca="false">IF(CR520&gt;0,CR520*MAX(1,AQ520/X520),IF(CA520=1,IF(AQ520&lt;=0,0,CE520*MAX(1,IF(H520&gt;0,AQ520/H520,1))),IF(R520&gt;0,AR520/R520,0))/MAX(0.1,N(Parameter!$M$21)))</f>
        <v>0.0192307692307692</v>
      </c>
      <c r="AT520" s="62" t="n">
        <f aca="false">AS520*CC520</f>
        <v>2.98076923076923</v>
      </c>
      <c r="AU520" s="63" t="n">
        <f aca="false">IF(LEFT(Cockpit!$I$5,1)="A",H520,IF(CI520=1,(CL520+CJ520)/2,IF(LEFT(Cockpit!$I$5,1)="B",(CL520+AW520)/2,MAX((CL520+AW520)/2,H520))))</f>
        <v>1</v>
      </c>
      <c r="AV520" s="62" t="n">
        <f aca="false">AU520*G520</f>
        <v>29.12</v>
      </c>
      <c r="AW520" s="62" t="n">
        <f aca="false">ROUNDUP(CL520+MAX(CM520,2*(J520/IF(CH520&gt;0,CH520,MAX(0.1,N(Cockpit!$I$6)))-CL520)),0)</f>
        <v>1</v>
      </c>
      <c r="AX520" s="63" t="n">
        <f aca="false">IF(AT520&gt;0,J520/AT520,-1)</f>
        <v>0</v>
      </c>
      <c r="AY520" s="63" t="n">
        <f aca="false">IF(AND(OR(CG520="L1",CG520="L23",CG520="LIFT"),AT520&gt;0),SUMIFS($AT$7:$AT$1843,$CG$7:$CG$1843,CG520,$AX$7:$AX$1843,"&gt;"&amp;AX520)+SUMIFS($AT$7:$AT$1843,$CG$7:$CG$1843,CG520,$AX$7:$AX$1843,AX520,$BX$7:$BX$1843,"&lt;="&amp;BX520),"")</f>
        <v>33639.4784798535</v>
      </c>
      <c r="AZ520" s="70" t="n">
        <f aca="false">IF(AY520="",0,MAX(0,MIN(1,(IF(CG520="L1",Parameter!$H$5,IF(CG520="L23",Parameter!$H$6+Parameter!$H$7,Parameter!$H$5+Parameter!$H$6+Parameter!$H$7))-(AY520-AT520))/AT520)))</f>
        <v>1</v>
      </c>
      <c r="BA520" s="62" t="n">
        <f aca="false">IF(LEFT(Cockpit!$O$5,1)="A",H520,IF(Parameter!$E$30="MAX-Bestand",IF(CI520=1,CJ520,IF(LEFT(Cockpit!$O$5,1)="B",BG520,MAX(BG520,H520))),ROUNDUP(BE520,0)))</f>
        <v>1</v>
      </c>
      <c r="BB520" s="62" t="n">
        <f aca="false">IF(CA520=1,0,ROUNDUP(BA520/BZ520,0))</f>
        <v>1</v>
      </c>
      <c r="BC520" s="64" t="n">
        <f aca="false">IF(CR520&gt;0,CR520*MAX(1,BA520/X520),IF(CA520=1,IF(BA520&lt;=0,0,CE520*MAX(1,IF(H520&gt;0,BA520/H520,1))),IF(R520&gt;0,BB520/R520,0))/MAX(0.1,N(Parameter!$M$21)))</f>
        <v>0.0192307692307692</v>
      </c>
      <c r="BD520" s="62" t="n">
        <f aca="false">BC520*CC520</f>
        <v>2.98076923076923</v>
      </c>
      <c r="BE520" s="63" t="n">
        <f aca="false">IF(LEFT(Cockpit!$O$5,1)="A",H520,IF(CI520=1,(CL520+CJ520)/2,IF(LEFT(Cockpit!$O$5,1)="B",(CL520+BG520)/2,MAX((CL520+BG520)/2,H520))))</f>
        <v>0.5</v>
      </c>
      <c r="BF520" s="62" t="n">
        <f aca="false">BE520*G520</f>
        <v>14.56</v>
      </c>
      <c r="BG520" s="62" t="n">
        <f aca="false">ROUNDUP(CL520+MAX(CM520,2*(J520/IF(CH520&gt;0,CH520,MAX(0.1,N(Cockpit!$O$6)))-CL520)),0)</f>
        <v>1</v>
      </c>
      <c r="BH520" s="63" t="n">
        <f aca="false">IF(BD520&gt;0,J520/BD520,-1)</f>
        <v>0</v>
      </c>
      <c r="BI520" s="63" t="n">
        <f aca="false">IF(AND(OR(CG520="L1",CG520="L23",CG520="LIFT"),BD520&gt;0),SUMIFS($BD$7:$BD$1843,$CG$7:$CG$1843,CG520,$BH$7:$BH$1843,"&gt;"&amp;BH520)+SUMIFS($BD$7:$BD$1843,$CG$7:$CG$1843,CG520,$BH$7:$BH$1843,BH520,$BX$7:$BX$1843,"&lt;="&amp;BX520),"")</f>
        <v>27734.3094074005</v>
      </c>
      <c r="BJ520" s="70" t="n">
        <f aca="false">IF(BI520="",0,MAX(0,MIN(1,(IF(CG520="L1",Parameter!$H$5,IF(CG520="L23",Parameter!$H$6+Parameter!$H$7,Parameter!$H$5+Parameter!$H$6+Parameter!$H$7))-(BI520-BD520))/BD520)))</f>
        <v>1</v>
      </c>
      <c r="BK520" s="60" t="str">
        <f aca="false">IF(AJ520&lt;=0,"",IF(CG520="Aussen","Aussenlager",IF(CG520="-","Nicht im Lift",IF(AP520&gt;=1,"Lift",IF(AP520&lt;=0,"Aussenlager","teilweise")))))</f>
        <v>Lift</v>
      </c>
      <c r="BL520" s="60" t="str">
        <f aca="false">IF(AT520&lt;=0,"",IF(CG520="Aussen","Aussenlager",IF(CG520="-","Nicht im Lift",IF(AZ520&gt;=1,"Lift",IF(AZ520&lt;=0,"Aussenlager","teilweise")))))</f>
        <v>Lift</v>
      </c>
      <c r="BM520" s="60" t="str">
        <f aca="false">IF(BD520&lt;=0,"",IF(CG520="Aussen","Aussenlager",IF(CG520="-","Nicht im Lift",IF(BJ520&gt;=1,"Lift",IF(BJ520&lt;=0,"Aussenlager","teilweise")))))</f>
        <v>Lift</v>
      </c>
      <c r="BN520" s="60" t="str">
        <f aca="false">IF(A520="","",IF(BW520=1,"Neu; ","")&amp;IF(AND(BW520=0,BR520&lt;0),"negativer Bestand (Export "&amp;BR520&amp;"); ","")&amp;IF(J520&lt;=0,"Kein Verbrauch; ","")&amp;IF(CR520&gt;0,"Lift "&amp;W520&amp;" lt. Liftbericht (Fach "&amp;X520&amp;" Stk); ",IF(CB520=1,"Gebinde geschätzt ("&amp;T520&amp;"); ",IF(CA520=1,"Lose – Tablare geschätzt; ","")))&amp;IF(H520&gt;AW520,"Überbestand "&amp;ROUND(H520-AW520,0)&amp;" Stk / CHF "&amp;ROUND((H520-AW520)*G520,0)&amp;"; ","")&amp;IF(AND(CI520=1,CJ520&lt;CK520),"MAX &lt; MB+LG; ","")&amp;IF(AND(CQ520&gt;0,CP520*10&gt;CQ520),"zu hoch für Tablar; ","")&amp;IF(AND(BW520=0,OR(CI520=1,AB520&lt;&gt;"",U520&lt;&gt;"",V520&lt;&gt;"",AC520&lt;&gt;"")),"manuell übersteuert; ","")&amp;IF(AND(CA520=0,R520=0),"Gebinde unbekannt / Stellmass fehlt; ","")&amp;IF(AND(CA520=0,N(V520)&lt;=0,N(Q520)&lt;=0),"Menge pro Gebinde fehlt (Ist = 1 Gebinde); ","")&amp;BV520)</f>
        <v>Kein Verbrauch; </v>
      </c>
      <c r="BO520" s="60"/>
      <c r="BP520" s="60"/>
      <c r="BQ520" s="67"/>
      <c r="BR520" s="62" t="n">
        <v>1</v>
      </c>
      <c r="BS520" s="62" t="n">
        <v>0</v>
      </c>
      <c r="BT520" s="61" t="n">
        <v>29.12</v>
      </c>
      <c r="BU520" s="62" t="n">
        <v>0</v>
      </c>
      <c r="BV520" s="60"/>
      <c r="BW520" s="65" t="n">
        <v>0</v>
      </c>
      <c r="BX520" s="65" t="n">
        <v>520</v>
      </c>
      <c r="BY520" s="60" t="str">
        <f aca="false">IF(U520&lt;&gt;"",UPPER(TRIM(U520)),IF(CB520=1,UPPER(VLOOKUP(T520,Parameter!$I$27:$K$29,2,0)),IF(P520="","LOSE",P520)))</f>
        <v>S41</v>
      </c>
      <c r="BZ520" s="62" t="n">
        <f aca="false">IF(BY520="LOSE",1,IF(N(V520)&gt;0,V520,IF(CB520=1,MAX(1,N(VLOOKUP(T520,Parameter!$I$27:$K$29,3,0)),H520,N(N520)),IF(N(Q520)&gt;0,Q520,MAX(1,H520)))))</f>
        <v>2</v>
      </c>
      <c r="CA520" s="65" t="n">
        <f aca="false">IF(BY520="LOSE",1,0)</f>
        <v>0</v>
      </c>
      <c r="CB520" s="65" t="n">
        <f aca="false">IF(AND(U520="",OR(P520="",P520="LOSE"),T520&lt;&gt;"",N(S520)&lt;=0,ISNUMBER(MATCH(T520,Parameter!$I$27:$I$29,0))),1,0)</f>
        <v>0</v>
      </c>
      <c r="CC520" s="65" t="n">
        <f aca="false">IF(CR520&gt;0,INDEX(Parameter!$H$5:$H$7,W520)/INDEX(Parameter!$E$5:$E$7,W520),IF(AND(CA520=0,N(IFERROR(VLOOKUP(BY520,'Gebinde-Kategorie'!$A$5:$N$45,14,0),0))&gt;0),VLOOKUP(BY520,'Gebinde-Kategorie'!$A$5:$N$45,14,0)*10+Parameter!$M$23,Parameter!$M$24))</f>
        <v>155</v>
      </c>
      <c r="CD520" s="60" t="str">
        <f aca="false">IF(AND(Parameter!$B$19="Ja",E520&lt;&gt;"",ISNUMBER(MATCH(E520,Parameter!$I$35:$I$52,0))),VLOOKUP(E520,Parameter!$I$35:$J$52,2,0),IFERROR(VLOOKUP(D520,Parameter!$A$35:$C$64,2,0),"Nein"))</f>
        <v>2+3</v>
      </c>
      <c r="CE520" s="64" t="n">
        <f aca="false">IF(CA520=0,0,IF(N(S520)&gt;0,S520,IFERROR(VLOOKUP(D520,Parameter!$A$35:$C$64,3,0)+0,0)))</f>
        <v>0</v>
      </c>
      <c r="CF520" s="60" t="n">
        <f aca="false">IF(AB520&lt;&gt;"",AB520,AA520)</f>
        <v>3</v>
      </c>
      <c r="CG520" s="60" t="str">
        <f aca="false">IF(OR(CF520=1,CF520=2,CF520=3),IF(Parameter!$E$27="Ja","LIFT",IF(CF520=1,"L1","L23")),IF(CF520="Aussen","Aussen","-"))</f>
        <v>LIFT</v>
      </c>
      <c r="CH520" s="71" t="n">
        <f aca="false">IF(N(AC520)&gt;0,AC520,0)</f>
        <v>0</v>
      </c>
      <c r="CI520" s="65" t="n">
        <f aca="false">IF(ISNUMBER(AF520),1,0)</f>
        <v>0</v>
      </c>
      <c r="CJ520" s="62" t="n">
        <f aca="false">N(AF520)</f>
        <v>0</v>
      </c>
      <c r="CK520" s="62" t="n">
        <f aca="false">N(M520)+N(N520)</f>
        <v>1</v>
      </c>
      <c r="CL520" s="62" t="n">
        <f aca="false">N(M520)</f>
        <v>0</v>
      </c>
      <c r="CM520" s="62" t="n">
        <f aca="false">N(N520)</f>
        <v>1</v>
      </c>
      <c r="CN520" s="62" t="n">
        <f aca="false">ROUNDUP(H520/BZ520,0)</f>
        <v>1</v>
      </c>
      <c r="CO520" s="62" t="n">
        <f aca="false">ROUNDUP(CJ520/BZ520,0)</f>
        <v>0</v>
      </c>
      <c r="CP520" s="65" t="n">
        <f aca="false">IF(CA520=1,0,IFERROR(VLOOKUP(BY520,'Gebinde-Kategorie'!$A$5:$N$45,5,0)+0,0))</f>
        <v>11</v>
      </c>
      <c r="CQ520" s="65" t="n">
        <f aca="false">IFERROR(IF(OR(CF520=1,CF520=2,CF520=3),N(INDEX(Parameter!$I$5:$I$7,CF520)),0),0)</f>
        <v>0</v>
      </c>
      <c r="CR520" s="64" t="n">
        <f aca="false">IF(AND(Parameter!$B$21="Ja",ISNUMBER(W520),N(X520)&gt;0),IFERROR(N(INDEX(Parameter!$L$5:$L$7,W520))*INDEX(Parameter!$E$5:$E$7,W520)*X520/SUMIFS($X$7:$X$1843,$W$7:$W$1843,W520),0),0)</f>
        <v>0</v>
      </c>
      <c r="CS520" s="62" t="n">
        <f aca="false">IF(AND(OR(CG520="L1",CG520="L23",CG520="LIFT"),H520&gt;0),CC520*IF(CR520&gt;0,CR520*MAX(1,H520/X520),IF(CA520=1,CE520,IF(R520&gt;0,CN520/R520,0))/MAX(0.1,N(Parameter!$M$21))),"")</f>
        <v>2.98076923076923</v>
      </c>
      <c r="CT520" s="64" t="n">
        <f aca="false">IF(CS520="","",J520/H520)</f>
        <v>0</v>
      </c>
      <c r="CU520" s="62" t="n">
        <f aca="false">IF(CS520="","",H520*G520)</f>
        <v>29.12</v>
      </c>
      <c r="CV520" s="63" t="n">
        <f aca="false">IF(CS520="","",(CL520+ROUNDUP(CL520+MAX(CM520,2*(J520/MAX(0.1,N(Einkauf!$C$6))-CL520)),0))/2)</f>
        <v>0.5</v>
      </c>
      <c r="CW520" s="62" t="n">
        <f aca="false">IF(CS520="","",MAX(0,H520-CV520)*G520)</f>
        <v>14.56</v>
      </c>
      <c r="CX520" s="62" t="n">
        <f aca="false">IF(CS520="","",CS520*MAX(0,1-CV520/H520))</f>
        <v>1.49038461538462</v>
      </c>
      <c r="CY520" s="64" t="n">
        <f aca="false">IF(CS520="","",PERCENTRANK($CS$7:$CS$1843,CS520)+PERCENTRANK($CU$7:$CU$1843,CU520)+1-PERCENTRANK($CT$7:$CT$1843,CT520))</f>
        <v>1.322</v>
      </c>
      <c r="CZ520" s="72" t="n">
        <f aca="false">IF(CS520="","",CHOOSE(MATCH(Einkauf!$C$5,Parameter!$G$23:$G$27,0),CY520,CS520,CU520,-CT520,CW520)+ROW()/1000000000)</f>
        <v>1.32200052</v>
      </c>
    </row>
    <row r="521" customFormat="false" ht="15" hidden="false" customHeight="false" outlineLevel="0" collapsed="false">
      <c r="A521" s="60" t="s">
        <v>1173</v>
      </c>
      <c r="B521" s="60" t="s">
        <v>631</v>
      </c>
      <c r="C521" s="60" t="s">
        <v>206</v>
      </c>
      <c r="D521" s="60" t="s">
        <v>226</v>
      </c>
      <c r="E521" s="60"/>
      <c r="F521" s="60" t="s">
        <v>260</v>
      </c>
      <c r="G521" s="61" t="n">
        <v>5.8</v>
      </c>
      <c r="H521" s="62" t="n">
        <f aca="false">MAX(0,IF(AND(Parameter!$B$21="Ja",ISNUMBER(Y521)),Y521,IF(Parameter!$B$20="Jahresanfang 2025 + Export",BS521+BR521,BR521)))</f>
        <v>5</v>
      </c>
      <c r="I521" s="62" t="n">
        <f aca="false">H521*G521</f>
        <v>29</v>
      </c>
      <c r="J521" s="62" t="n">
        <f aca="false">BU521*Parameter!$B$18</f>
        <v>2</v>
      </c>
      <c r="K521" s="63" t="n">
        <v>1.5</v>
      </c>
      <c r="L521" s="64" t="n">
        <v>1.33333333333333</v>
      </c>
      <c r="M521" s="62" t="n">
        <v>0</v>
      </c>
      <c r="N521" s="62" t="n">
        <v>1</v>
      </c>
      <c r="O521" s="65" t="n">
        <v>14</v>
      </c>
      <c r="P521" s="60" t="s">
        <v>443</v>
      </c>
      <c r="Q521" s="62" t="n">
        <v>20</v>
      </c>
      <c r="R521" s="65" t="n">
        <f aca="false">IF(CA521=1,0,IFERROR(VLOOKUP(BY521,'Gebinde-Kategorie'!$A$5:$N$45,13,0)+0,0))</f>
        <v>280</v>
      </c>
      <c r="S521" s="66"/>
      <c r="T521" s="67"/>
      <c r="U521" s="67"/>
      <c r="V521" s="67"/>
      <c r="W521" s="60"/>
      <c r="X521" s="62"/>
      <c r="Y521" s="62"/>
      <c r="Z521" s="60" t="n">
        <v>3</v>
      </c>
      <c r="AA521" s="60" t="n">
        <f aca="false">IF(A521="","",IF(AND(Parameter!$B$21="Ja",ISNUMBER(W521)),W521,IF(AND(Parameter!$E$27="Ja",ISNUMBER(Z521),CD521&lt;&gt;"Nein"),Z521,IF(CD521="2+3",IF(ISNUMBER(SEARCH("grosser Artikel",BV521)),2,IFERROR(VLOOKUP(BY521,Parameter!$F$35:$G$64,2,0),2)),IF(OR(CD521="Nein",CD521=""),"-",CD521)))))</f>
        <v>3</v>
      </c>
      <c r="AB521" s="67"/>
      <c r="AC521" s="68"/>
      <c r="AD521" s="62" t="n">
        <f aca="false">AW521</f>
        <v>2</v>
      </c>
      <c r="AE521" s="62" t="n">
        <f aca="false">MAX(AW521,H521)</f>
        <v>5</v>
      </c>
      <c r="AF521" s="69"/>
      <c r="AG521" s="62" t="n">
        <f aca="false">IF(LEFT(Cockpit!$C$5,1)="A",H521,IF(Parameter!$E$30="MAX-Bestand",IF(CI521=1,CJ521,IF(LEFT(Cockpit!$C$5,1)="B",AM521,MAX(AM521,H521))),ROUNDUP(AK521,0)))</f>
        <v>5</v>
      </c>
      <c r="AH521" s="62" t="n">
        <f aca="false">IF(CA521=1,0,ROUNDUP(AG521/BZ521,0))</f>
        <v>1</v>
      </c>
      <c r="AI521" s="64" t="n">
        <f aca="false">IF(CR521&gt;0,CR521*MAX(1,AG521/X521),IF(CA521=1,IF(AG521&lt;=0,0,CE521*MAX(1,IF(H521&gt;0,AG521/H521,1))),IF(R521&gt;0,AH521/R521,0))/MAX(0.1,N(Parameter!$M$21)))</f>
        <v>0.00357142857142857</v>
      </c>
      <c r="AJ521" s="62" t="n">
        <f aca="false">AI521*CC521</f>
        <v>0.553571428571429</v>
      </c>
      <c r="AK521" s="63" t="n">
        <f aca="false">IF(LEFT(Cockpit!$C$5,1)="A",H521,IF(CI521=1,(CL521+CJ521)/2,IF(LEFT(Cockpit!$C$5,1)="B",(CL521+AM521)/2,MAX((CL521+AM521)/2,H521))))</f>
        <v>5</v>
      </c>
      <c r="AL521" s="62" t="n">
        <f aca="false">AK521*G521</f>
        <v>29</v>
      </c>
      <c r="AM521" s="62" t="n">
        <f aca="false">ROUNDUP(CL521+MAX(CM521,2*(J521/IF(CH521&gt;0,CH521,MAX(0.1,N(Cockpit!$C$6)))-CL521)),0)</f>
        <v>2</v>
      </c>
      <c r="AN521" s="63" t="n">
        <f aca="false">IF(AJ521&gt;0,J521/AJ521,-1)</f>
        <v>3.61290322580645</v>
      </c>
      <c r="AO521" s="63" t="n">
        <f aca="false">IF(AND(OR(CG521="L1",CG521="L23",CG521="LIFT"),AJ521&gt;0),SUMIFS($AJ$7:$AJ$1843,$CG$7:$CG$1843,CG521,$AN$7:$AN$1843,"&gt;"&amp;AN521)+SUMIFS($AJ$7:$AJ$1843,$CG$7:$CG$1843,CG521,$AN$7:$AN$1843,AN521,$BX$7:$BX$1843,"&lt;="&amp;BX521),"")</f>
        <v>4825.6597985348</v>
      </c>
      <c r="AP521" s="70" t="n">
        <f aca="false">IF(AO521="",0,MAX(0,MIN(1,(IF(CG521="L1",Parameter!$H$5,IF(CG521="L23",Parameter!$H$6+Parameter!$H$7,Parameter!$H$5+Parameter!$H$6+Parameter!$H$7))-(AO521-AJ521))/AJ521)))</f>
        <v>1</v>
      </c>
      <c r="AQ521" s="62" t="n">
        <f aca="false">IF(LEFT(Cockpit!$I$5,1)="A",H521,IF(Parameter!$E$30="MAX-Bestand",IF(CI521=1,CJ521,IF(LEFT(Cockpit!$I$5,1)="B",AW521,MAX(AW521,H521))),ROUNDUP(AU521,0)))</f>
        <v>5</v>
      </c>
      <c r="AR521" s="62" t="n">
        <f aca="false">IF(CA521=1,0,ROUNDUP(AQ521/BZ521,0))</f>
        <v>1</v>
      </c>
      <c r="AS521" s="64" t="n">
        <f aca="false">IF(CR521&gt;0,CR521*MAX(1,AQ521/X521),IF(CA521=1,IF(AQ521&lt;=0,0,CE521*MAX(1,IF(H521&gt;0,AQ521/H521,1))),IF(R521&gt;0,AR521/R521,0))/MAX(0.1,N(Parameter!$M$21)))</f>
        <v>0.00357142857142857</v>
      </c>
      <c r="AT521" s="62" t="n">
        <f aca="false">AS521*CC521</f>
        <v>0.553571428571429</v>
      </c>
      <c r="AU521" s="63" t="n">
        <f aca="false">IF(LEFT(Cockpit!$I$5,1)="A",H521,IF(CI521=1,(CL521+CJ521)/2,IF(LEFT(Cockpit!$I$5,1)="B",(CL521+AW521)/2,MAX((CL521+AW521)/2,H521))))</f>
        <v>5</v>
      </c>
      <c r="AV521" s="62" t="n">
        <f aca="false">AU521*G521</f>
        <v>29</v>
      </c>
      <c r="AW521" s="62" t="n">
        <f aca="false">ROUNDUP(CL521+MAX(CM521,2*(J521/IF(CH521&gt;0,CH521,MAX(0.1,N(Cockpit!$I$6)))-CL521)),0)</f>
        <v>2</v>
      </c>
      <c r="AX521" s="63" t="n">
        <f aca="false">IF(AT521&gt;0,J521/AT521,-1)</f>
        <v>3.61290322580645</v>
      </c>
      <c r="AY521" s="63" t="n">
        <f aca="false">IF(AND(OR(CG521="L1",CG521="L23",CG521="LIFT"),AT521&gt;0),SUMIFS($AT$7:$AT$1843,$CG$7:$CG$1843,CG521,$AX$7:$AX$1843,"&gt;"&amp;AX521)+SUMIFS($AT$7:$AT$1843,$CG$7:$CG$1843,CG521,$AX$7:$AX$1843,AX521,$BX$7:$BX$1843,"&lt;="&amp;BX521),"")</f>
        <v>5403.2467948718</v>
      </c>
      <c r="AZ521" s="70" t="n">
        <f aca="false">IF(AY521="",0,MAX(0,MIN(1,(IF(CG521="L1",Parameter!$H$5,IF(CG521="L23",Parameter!$H$6+Parameter!$H$7,Parameter!$H$5+Parameter!$H$6+Parameter!$H$7))-(AY521-AT521))/AT521)))</f>
        <v>1</v>
      </c>
      <c r="BA521" s="62" t="n">
        <f aca="false">IF(LEFT(Cockpit!$O$5,1)="A",H521,IF(Parameter!$E$30="MAX-Bestand",IF(CI521=1,CJ521,IF(LEFT(Cockpit!$O$5,1)="B",BG521,MAX(BG521,H521))),ROUNDUP(BE521,0)))</f>
        <v>1</v>
      </c>
      <c r="BB521" s="62" t="n">
        <f aca="false">IF(CA521=1,0,ROUNDUP(BA521/BZ521,0))</f>
        <v>1</v>
      </c>
      <c r="BC521" s="64" t="n">
        <f aca="false">IF(CR521&gt;0,CR521*MAX(1,BA521/X521),IF(CA521=1,IF(BA521&lt;=0,0,CE521*MAX(1,IF(H521&gt;0,BA521/H521,1))),IF(R521&gt;0,BB521/R521,0))/MAX(0.1,N(Parameter!$M$21)))</f>
        <v>0.00357142857142857</v>
      </c>
      <c r="BD521" s="62" t="n">
        <f aca="false">BC521*CC521</f>
        <v>0.553571428571429</v>
      </c>
      <c r="BE521" s="63" t="n">
        <f aca="false">IF(LEFT(Cockpit!$O$5,1)="A",H521,IF(CI521=1,(CL521+CJ521)/2,IF(LEFT(Cockpit!$O$5,1)="B",(CL521+BG521)/2,MAX((CL521+BG521)/2,H521))))</f>
        <v>0.5</v>
      </c>
      <c r="BF521" s="62" t="n">
        <f aca="false">BE521*G521</f>
        <v>2.9</v>
      </c>
      <c r="BG521" s="62" t="n">
        <f aca="false">ROUNDUP(CL521+MAX(CM521,2*(J521/IF(CH521&gt;0,CH521,MAX(0.1,N(Cockpit!$O$6)))-CL521)),0)</f>
        <v>1</v>
      </c>
      <c r="BH521" s="63" t="n">
        <f aca="false">IF(BD521&gt;0,J521/BD521,-1)</f>
        <v>3.61290322580645</v>
      </c>
      <c r="BI521" s="63" t="n">
        <f aca="false">IF(AND(OR(CG521="L1",CG521="L23",CG521="LIFT"),BD521&gt;0),SUMIFS($BD$7:$BD$1843,$CG$7:$CG$1843,CG521,$BH$7:$BH$1843,"&gt;"&amp;BH521)+SUMIFS($BD$7:$BD$1843,$CG$7:$CG$1843,CG521,$BH$7:$BH$1843,BH521,$BX$7:$BX$1843,"&lt;="&amp;BX521),"")</f>
        <v>4417.74358974359</v>
      </c>
      <c r="BJ521" s="70" t="n">
        <f aca="false">IF(BI521="",0,MAX(0,MIN(1,(IF(CG521="L1",Parameter!$H$5,IF(CG521="L23",Parameter!$H$6+Parameter!$H$7,Parameter!$H$5+Parameter!$H$6+Parameter!$H$7))-(BI521-BD521))/BD521)))</f>
        <v>1</v>
      </c>
      <c r="BK521" s="60" t="str">
        <f aca="false">IF(AJ521&lt;=0,"",IF(CG521="Aussen","Aussenlager",IF(CG521="-","Nicht im Lift",IF(AP521&gt;=1,"Lift",IF(AP521&lt;=0,"Aussenlager","teilweise")))))</f>
        <v>Lift</v>
      </c>
      <c r="BL521" s="60" t="str">
        <f aca="false">IF(AT521&lt;=0,"",IF(CG521="Aussen","Aussenlager",IF(CG521="-","Nicht im Lift",IF(AZ521&gt;=1,"Lift",IF(AZ521&lt;=0,"Aussenlager","teilweise")))))</f>
        <v>Lift</v>
      </c>
      <c r="BM521" s="60" t="str">
        <f aca="false">IF(BD521&lt;=0,"",IF(CG521="Aussen","Aussenlager",IF(CG521="-","Nicht im Lift",IF(BJ521&gt;=1,"Lift",IF(BJ521&lt;=0,"Aussenlager","teilweise")))))</f>
        <v>Lift</v>
      </c>
      <c r="BN521" s="60" t="str">
        <f aca="false">IF(A521="","",IF(BW521=1,"Neu; ","")&amp;IF(AND(BW521=0,BR521&lt;0),"negativer Bestand (Export "&amp;BR521&amp;"); ","")&amp;IF(J521&lt;=0,"Kein Verbrauch; ","")&amp;IF(CR521&gt;0,"Lift "&amp;W521&amp;" lt. Liftbericht (Fach "&amp;X521&amp;" Stk); ",IF(CB521=1,"Gebinde geschätzt ("&amp;T521&amp;"); ",IF(CA521=1,"Lose – Tablare geschätzt; ","")))&amp;IF(H521&gt;AW521,"Überbestand "&amp;ROUND(H521-AW521,0)&amp;" Stk / CHF "&amp;ROUND((H521-AW521)*G521,0)&amp;"; ","")&amp;IF(AND(CI521=1,CJ521&lt;CK521),"MAX &lt; MB+LG; ","")&amp;IF(AND(CQ521&gt;0,CP521*10&gt;CQ521),"zu hoch für Tablar; ","")&amp;IF(AND(BW521=0,OR(CI521=1,AB521&lt;&gt;"",U521&lt;&gt;"",V521&lt;&gt;"",AC521&lt;&gt;"")),"manuell übersteuert; ","")&amp;IF(AND(CA521=0,R521=0),"Gebinde unbekannt / Stellmass fehlt; ","")&amp;IF(AND(CA521=0,N(V521)&lt;=0,N(Q521)&lt;=0),"Menge pro Gebinde fehlt (Ist = 1 Gebinde); ","")&amp;BV521)</f>
        <v>Überbestand 3 Stk / CHF 17; </v>
      </c>
      <c r="BO521" s="60"/>
      <c r="BP521" s="60"/>
      <c r="BQ521" s="67"/>
      <c r="BR521" s="62" t="n">
        <v>5</v>
      </c>
      <c r="BS521" s="62" t="n">
        <v>0</v>
      </c>
      <c r="BT521" s="61" t="n">
        <v>29</v>
      </c>
      <c r="BU521" s="62" t="n">
        <v>2</v>
      </c>
      <c r="BV521" s="60"/>
      <c r="BW521" s="65" t="n">
        <v>0</v>
      </c>
      <c r="BX521" s="65" t="n">
        <v>521</v>
      </c>
      <c r="BY521" s="60" t="str">
        <f aca="false">IF(U521&lt;&gt;"",UPPER(TRIM(U521)),IF(CB521=1,UPPER(VLOOKUP(T521,Parameter!$I$27:$K$29,2,0)),IF(P521="","LOSE",P521)))</f>
        <v>S21</v>
      </c>
      <c r="BZ521" s="62" t="n">
        <f aca="false">IF(BY521="LOSE",1,IF(N(V521)&gt;0,V521,IF(CB521=1,MAX(1,N(VLOOKUP(T521,Parameter!$I$27:$K$29,3,0)),H521,N(N521)),IF(N(Q521)&gt;0,Q521,MAX(1,H521)))))</f>
        <v>20</v>
      </c>
      <c r="CA521" s="65" t="n">
        <f aca="false">IF(BY521="LOSE",1,0)</f>
        <v>0</v>
      </c>
      <c r="CB521" s="65" t="n">
        <f aca="false">IF(AND(U521="",OR(P521="",P521="LOSE"),T521&lt;&gt;"",N(S521)&lt;=0,ISNUMBER(MATCH(T521,Parameter!$I$27:$I$29,0))),1,0)</f>
        <v>0</v>
      </c>
      <c r="CC521" s="65" t="n">
        <f aca="false">IF(CR521&gt;0,INDEX(Parameter!$H$5:$H$7,W521)/INDEX(Parameter!$E$5:$E$7,W521),IF(AND(CA521=0,N(IFERROR(VLOOKUP(BY521,'Gebinde-Kategorie'!$A$5:$N$45,14,0),0))&gt;0),VLOOKUP(BY521,'Gebinde-Kategorie'!$A$5:$N$45,14,0)*10+Parameter!$M$23,Parameter!$M$24))</f>
        <v>155</v>
      </c>
      <c r="CD521" s="60" t="str">
        <f aca="false">IF(AND(Parameter!$B$19="Ja",E521&lt;&gt;"",ISNUMBER(MATCH(E521,Parameter!$I$35:$I$52,0))),VLOOKUP(E521,Parameter!$I$35:$J$52,2,0),IFERROR(VLOOKUP(D521,Parameter!$A$35:$C$64,2,0),"Nein"))</f>
        <v>2+3</v>
      </c>
      <c r="CE521" s="64" t="n">
        <f aca="false">IF(CA521=0,0,IF(N(S521)&gt;0,S521,IFERROR(VLOOKUP(D521,Parameter!$A$35:$C$64,3,0)+0,0)))</f>
        <v>0</v>
      </c>
      <c r="CF521" s="60" t="n">
        <f aca="false">IF(AB521&lt;&gt;"",AB521,AA521)</f>
        <v>3</v>
      </c>
      <c r="CG521" s="60" t="str">
        <f aca="false">IF(OR(CF521=1,CF521=2,CF521=3),IF(Parameter!$E$27="Ja","LIFT",IF(CF521=1,"L1","L23")),IF(CF521="Aussen","Aussen","-"))</f>
        <v>LIFT</v>
      </c>
      <c r="CH521" s="71" t="n">
        <f aca="false">IF(N(AC521)&gt;0,AC521,0)</f>
        <v>0</v>
      </c>
      <c r="CI521" s="65" t="n">
        <f aca="false">IF(ISNUMBER(AF521),1,0)</f>
        <v>0</v>
      </c>
      <c r="CJ521" s="62" t="n">
        <f aca="false">N(AF521)</f>
        <v>0</v>
      </c>
      <c r="CK521" s="62" t="n">
        <f aca="false">N(M521)+N(N521)</f>
        <v>1</v>
      </c>
      <c r="CL521" s="62" t="n">
        <f aca="false">N(M521)</f>
        <v>0</v>
      </c>
      <c r="CM521" s="62" t="n">
        <f aca="false">N(N521)</f>
        <v>1</v>
      </c>
      <c r="CN521" s="62" t="n">
        <f aca="false">ROUNDUP(H521/BZ521,0)</f>
        <v>1</v>
      </c>
      <c r="CO521" s="62" t="n">
        <f aca="false">ROUNDUP(CJ521/BZ521,0)</f>
        <v>0</v>
      </c>
      <c r="CP521" s="65" t="n">
        <f aca="false">IF(CA521=1,0,IFERROR(VLOOKUP(BY521,'Gebinde-Kategorie'!$A$5:$N$45,5,0)+0,0))</f>
        <v>8</v>
      </c>
      <c r="CQ521" s="65" t="n">
        <f aca="false">IFERROR(IF(OR(CF521=1,CF521=2,CF521=3),N(INDEX(Parameter!$I$5:$I$7,CF521)),0),0)</f>
        <v>0</v>
      </c>
      <c r="CR521" s="64" t="n">
        <f aca="false">IF(AND(Parameter!$B$21="Ja",ISNUMBER(W521),N(X521)&gt;0),IFERROR(N(INDEX(Parameter!$L$5:$L$7,W521))*INDEX(Parameter!$E$5:$E$7,W521)*X521/SUMIFS($X$7:$X$1843,$W$7:$W$1843,W521),0),0)</f>
        <v>0</v>
      </c>
      <c r="CS521" s="62" t="n">
        <f aca="false">IF(AND(OR(CG521="L1",CG521="L23",CG521="LIFT"),H521&gt;0),CC521*IF(CR521&gt;0,CR521*MAX(1,H521/X521),IF(CA521=1,CE521,IF(R521&gt;0,CN521/R521,0))/MAX(0.1,N(Parameter!$M$21))),"")</f>
        <v>0.553571428571429</v>
      </c>
      <c r="CT521" s="64" t="n">
        <f aca="false">IF(CS521="","",J521/H521)</f>
        <v>0.4</v>
      </c>
      <c r="CU521" s="62" t="n">
        <f aca="false">IF(CS521="","",H521*G521)</f>
        <v>29</v>
      </c>
      <c r="CV521" s="63" t="n">
        <f aca="false">IF(CS521="","",(CL521+ROUNDUP(CL521+MAX(CM521,2*(J521/MAX(0.1,N(Einkauf!$C$6))-CL521)),0))/2)</f>
        <v>0.5</v>
      </c>
      <c r="CW521" s="62" t="n">
        <f aca="false">IF(CS521="","",MAX(0,H521-CV521)*G521)</f>
        <v>26.1</v>
      </c>
      <c r="CX521" s="62" t="n">
        <f aca="false">IF(CS521="","",CS521*MAX(0,1-CV521/H521))</f>
        <v>0.498214285714286</v>
      </c>
      <c r="CY521" s="64" t="n">
        <f aca="false">IF(CS521="","",PERCENTRANK($CS$7:$CS$1843,CS521)+PERCENTRANK($CU$7:$CU$1843,CU521)+1-PERCENTRANK($CT$7:$CT$1843,CT521))</f>
        <v>0.585</v>
      </c>
      <c r="CZ521" s="72" t="n">
        <f aca="false">IF(CS521="","",CHOOSE(MATCH(Einkauf!$C$5,Parameter!$G$23:$G$27,0),CY521,CS521,CU521,-CT521,CW521)+ROW()/1000000000)</f>
        <v>0.585000521</v>
      </c>
    </row>
    <row r="522" customFormat="false" ht="15" hidden="false" customHeight="false" outlineLevel="0" collapsed="false">
      <c r="A522" s="60" t="s">
        <v>1174</v>
      </c>
      <c r="B522" s="60" t="s">
        <v>449</v>
      </c>
      <c r="C522" s="60" t="s">
        <v>206</v>
      </c>
      <c r="D522" s="60" t="s">
        <v>226</v>
      </c>
      <c r="E522" s="60" t="s">
        <v>227</v>
      </c>
      <c r="F522" s="60" t="s">
        <v>260</v>
      </c>
      <c r="G522" s="61" t="n">
        <v>0.05</v>
      </c>
      <c r="H522" s="62" t="n">
        <f aca="false">MAX(0,IF(AND(Parameter!$B$21="Ja",ISNUMBER(Y522)),Y522,IF(Parameter!$B$20="Jahresanfang 2025 + Export",BS522+BR522,BR522)))</f>
        <v>1831</v>
      </c>
      <c r="I522" s="62" t="n">
        <f aca="false">H522*G522</f>
        <v>91.55</v>
      </c>
      <c r="J522" s="62" t="n">
        <f aca="false">BU522*Parameter!$B$18</f>
        <v>2038</v>
      </c>
      <c r="K522" s="63" t="n">
        <v>968</v>
      </c>
      <c r="L522" s="64" t="n">
        <v>2.10537190082645</v>
      </c>
      <c r="M522" s="62" t="n">
        <v>118</v>
      </c>
      <c r="N522" s="62" t="n">
        <v>2000</v>
      </c>
      <c r="O522" s="65" t="n">
        <v>21</v>
      </c>
      <c r="P522" s="60" t="s">
        <v>370</v>
      </c>
      <c r="Q522" s="62" t="n">
        <v>1546</v>
      </c>
      <c r="R522" s="65" t="n">
        <f aca="false">IF(CA522=1,0,IFERROR(VLOOKUP(BY522,'Gebinde-Kategorie'!$A$5:$N$45,13,0)+0,0))</f>
        <v>52</v>
      </c>
      <c r="S522" s="66"/>
      <c r="T522" s="67"/>
      <c r="U522" s="67"/>
      <c r="V522" s="67"/>
      <c r="W522" s="60"/>
      <c r="X522" s="62"/>
      <c r="Y522" s="62"/>
      <c r="Z522" s="60" t="n">
        <v>3</v>
      </c>
      <c r="AA522" s="60" t="n">
        <f aca="false">IF(A522="","",IF(AND(Parameter!$B$21="Ja",ISNUMBER(W522)),W522,IF(AND(Parameter!$E$27="Ja",ISNUMBER(Z522),CD522&lt;&gt;"Nein"),Z522,IF(CD522="2+3",IF(ISNUMBER(SEARCH("grosser Artikel",BV522)),2,IFERROR(VLOOKUP(BY522,Parameter!$F$35:$G$64,2,0),2)),IF(OR(CD522="Nein",CD522=""),"-",CD522)))))</f>
        <v>3</v>
      </c>
      <c r="AB522" s="67"/>
      <c r="AC522" s="68"/>
      <c r="AD522" s="62" t="n">
        <f aca="false">AW522</f>
        <v>2118</v>
      </c>
      <c r="AE522" s="62" t="n">
        <f aca="false">MAX(AW522,H522)</f>
        <v>2118</v>
      </c>
      <c r="AF522" s="69"/>
      <c r="AG522" s="62" t="n">
        <f aca="false">IF(LEFT(Cockpit!$C$5,1)="A",H522,IF(Parameter!$E$30="MAX-Bestand",IF(CI522=1,CJ522,IF(LEFT(Cockpit!$C$5,1)="B",AM522,MAX(AM522,H522))),ROUNDUP(AK522,0)))</f>
        <v>1831</v>
      </c>
      <c r="AH522" s="62" t="n">
        <f aca="false">IF(CA522=1,0,ROUNDUP(AG522/BZ522,0))</f>
        <v>2</v>
      </c>
      <c r="AI522" s="64" t="n">
        <f aca="false">IF(CR522&gt;0,CR522*MAX(1,AG522/X522),IF(CA522=1,IF(AG522&lt;=0,0,CE522*MAX(1,IF(H522&gt;0,AG522/H522,1))),IF(R522&gt;0,AH522/R522,0))/MAX(0.1,N(Parameter!$M$21)))</f>
        <v>0.0384615384615385</v>
      </c>
      <c r="AJ522" s="62" t="n">
        <f aca="false">AI522*CC522</f>
        <v>5.96153846153846</v>
      </c>
      <c r="AK522" s="63" t="n">
        <f aca="false">IF(LEFT(Cockpit!$C$5,1)="A",H522,IF(CI522=1,(CL522+CJ522)/2,IF(LEFT(Cockpit!$C$5,1)="B",(CL522+AM522)/2,MAX((CL522+AM522)/2,H522))))</f>
        <v>1831</v>
      </c>
      <c r="AL522" s="62" t="n">
        <f aca="false">AK522*G522</f>
        <v>91.55</v>
      </c>
      <c r="AM522" s="62" t="n">
        <f aca="false">ROUNDUP(CL522+MAX(CM522,2*(J522/IF(CH522&gt;0,CH522,MAX(0.1,N(Cockpit!$C$6)))-CL522)),0)</f>
        <v>2118</v>
      </c>
      <c r="AN522" s="63" t="n">
        <f aca="false">IF(AJ522&gt;0,J522/AJ522,-1)</f>
        <v>341.858064516129</v>
      </c>
      <c r="AO522" s="63" t="n">
        <f aca="false">IF(AND(OR(CG522="L1",CG522="L23",CG522="LIFT"),AJ522&gt;0),SUMIFS($AJ$7:$AJ$1843,$CG$7:$CG$1843,CG522,$AN$7:$AN$1843,"&gt;"&amp;AN522)+SUMIFS($AJ$7:$AJ$1843,$CG$7:$CG$1843,CG522,$AN$7:$AN$1843,AN522,$BX$7:$BX$1843,"&lt;="&amp;BX522),"")</f>
        <v>231.285714285714</v>
      </c>
      <c r="AP522" s="70" t="n">
        <f aca="false">IF(AO522="",0,MAX(0,MIN(1,(IF(CG522="L1",Parameter!$H$5,IF(CG522="L23",Parameter!$H$6+Parameter!$H$7,Parameter!$H$5+Parameter!$H$6+Parameter!$H$7))-(AO522-AJ522))/AJ522)))</f>
        <v>1</v>
      </c>
      <c r="AQ522" s="62" t="n">
        <f aca="false">IF(LEFT(Cockpit!$I$5,1)="A",H522,IF(Parameter!$E$30="MAX-Bestand",IF(CI522=1,CJ522,IF(LEFT(Cockpit!$I$5,1)="B",AW522,MAX(AW522,H522))),ROUNDUP(AU522,0)))</f>
        <v>1831</v>
      </c>
      <c r="AR522" s="62" t="n">
        <f aca="false">IF(CA522=1,0,ROUNDUP(AQ522/BZ522,0))</f>
        <v>2</v>
      </c>
      <c r="AS522" s="64" t="n">
        <f aca="false">IF(CR522&gt;0,CR522*MAX(1,AQ522/X522),IF(CA522=1,IF(AQ522&lt;=0,0,CE522*MAX(1,IF(H522&gt;0,AQ522/H522,1))),IF(R522&gt;0,AR522/R522,0))/MAX(0.1,N(Parameter!$M$21)))</f>
        <v>0.0384615384615385</v>
      </c>
      <c r="AT522" s="62" t="n">
        <f aca="false">AS522*CC522</f>
        <v>5.96153846153846</v>
      </c>
      <c r="AU522" s="63" t="n">
        <f aca="false">IF(LEFT(Cockpit!$I$5,1)="A",H522,IF(CI522=1,(CL522+CJ522)/2,IF(LEFT(Cockpit!$I$5,1)="B",(CL522+AW522)/2,MAX((CL522+AW522)/2,H522))))</f>
        <v>1831</v>
      </c>
      <c r="AV522" s="62" t="n">
        <f aca="false">AU522*G522</f>
        <v>91.55</v>
      </c>
      <c r="AW522" s="62" t="n">
        <f aca="false">ROUNDUP(CL522+MAX(CM522,2*(J522/IF(CH522&gt;0,CH522,MAX(0.1,N(Cockpit!$I$6)))-CL522)),0)</f>
        <v>2118</v>
      </c>
      <c r="AX522" s="63" t="n">
        <f aca="false">IF(AT522&gt;0,J522/AT522,-1)</f>
        <v>341.858064516129</v>
      </c>
      <c r="AY522" s="63" t="n">
        <f aca="false">IF(AND(OR(CG522="L1",CG522="L23",CG522="LIFT"),AT522&gt;0),SUMIFS($AT$7:$AT$1843,$CG$7:$CG$1843,CG522,$AX$7:$AX$1843,"&gt;"&amp;AX522)+SUMIFS($AT$7:$AT$1843,$CG$7:$CG$1843,CG522,$AX$7:$AX$1843,AX522,$BX$7:$BX$1843,"&lt;="&amp;BX522),"")</f>
        <v>165.501831501832</v>
      </c>
      <c r="AZ522" s="70" t="n">
        <f aca="false">IF(AY522="",0,MAX(0,MIN(1,(IF(CG522="L1",Parameter!$H$5,IF(CG522="L23",Parameter!$H$6+Parameter!$H$7,Parameter!$H$5+Parameter!$H$6+Parameter!$H$7))-(AY522-AT522))/AT522)))</f>
        <v>1</v>
      </c>
      <c r="BA522" s="62" t="n">
        <f aca="false">IF(LEFT(Cockpit!$O$5,1)="A",H522,IF(Parameter!$E$30="MAX-Bestand",IF(CI522=1,CJ522,IF(LEFT(Cockpit!$O$5,1)="B",BG522,MAX(BG522,H522))),ROUNDUP(BE522,0)))</f>
        <v>1118</v>
      </c>
      <c r="BB522" s="62" t="n">
        <f aca="false">IF(CA522=1,0,ROUNDUP(BA522/BZ522,0))</f>
        <v>1</v>
      </c>
      <c r="BC522" s="64" t="n">
        <f aca="false">IF(CR522&gt;0,CR522*MAX(1,BA522/X522),IF(CA522=1,IF(BA522&lt;=0,0,CE522*MAX(1,IF(H522&gt;0,BA522/H522,1))),IF(R522&gt;0,BB522/R522,0))/MAX(0.1,N(Parameter!$M$21)))</f>
        <v>0.0192307692307692</v>
      </c>
      <c r="BD522" s="62" t="n">
        <f aca="false">BC522*CC522</f>
        <v>2.98076923076923</v>
      </c>
      <c r="BE522" s="63" t="n">
        <f aca="false">IF(LEFT(Cockpit!$O$5,1)="A",H522,IF(CI522=1,(CL522+CJ522)/2,IF(LEFT(Cockpit!$O$5,1)="B",(CL522+BG522)/2,MAX((CL522+BG522)/2,H522))))</f>
        <v>1118</v>
      </c>
      <c r="BF522" s="62" t="n">
        <f aca="false">BE522*G522</f>
        <v>55.9</v>
      </c>
      <c r="BG522" s="62" t="n">
        <f aca="false">ROUNDUP(CL522+MAX(CM522,2*(J522/IF(CH522&gt;0,CH522,MAX(0.1,N(Cockpit!$O$6)))-CL522)),0)</f>
        <v>2118</v>
      </c>
      <c r="BH522" s="63" t="n">
        <f aca="false">IF(BD522&gt;0,J522/BD522,-1)</f>
        <v>683.716129032258</v>
      </c>
      <c r="BI522" s="63" t="n">
        <f aca="false">IF(AND(OR(CG522="L1",CG522="L23",CG522="LIFT"),BD522&gt;0),SUMIFS($BD$7:$BD$1843,$CG$7:$CG$1843,CG522,$BH$7:$BH$1843,"&gt;"&amp;BH522)+SUMIFS($BD$7:$BD$1843,$CG$7:$CG$1843,CG522,$BH$7:$BH$1843,BH522,$BX$7:$BX$1843,"&lt;="&amp;BX522),"")</f>
        <v>37.9835164835165</v>
      </c>
      <c r="BJ522" s="70" t="n">
        <f aca="false">IF(BI522="",0,MAX(0,MIN(1,(IF(CG522="L1",Parameter!$H$5,IF(CG522="L23",Parameter!$H$6+Parameter!$H$7,Parameter!$H$5+Parameter!$H$6+Parameter!$H$7))-(BI522-BD522))/BD522)))</f>
        <v>1</v>
      </c>
      <c r="BK522" s="60" t="str">
        <f aca="false">IF(AJ522&lt;=0,"",IF(CG522="Aussen","Aussenlager",IF(CG522="-","Nicht im Lift",IF(AP522&gt;=1,"Lift",IF(AP522&lt;=0,"Aussenlager","teilweise")))))</f>
        <v>Lift</v>
      </c>
      <c r="BL522" s="60" t="str">
        <f aca="false">IF(AT522&lt;=0,"",IF(CG522="Aussen","Aussenlager",IF(CG522="-","Nicht im Lift",IF(AZ522&gt;=1,"Lift",IF(AZ522&lt;=0,"Aussenlager","teilweise")))))</f>
        <v>Lift</v>
      </c>
      <c r="BM522" s="60" t="str">
        <f aca="false">IF(BD522&lt;=0,"",IF(CG522="Aussen","Aussenlager",IF(CG522="-","Nicht im Lift",IF(BJ522&gt;=1,"Lift",IF(BJ522&lt;=0,"Aussenlager","teilweise")))))</f>
        <v>Lift</v>
      </c>
      <c r="BN522" s="60" t="str">
        <f aca="false">IF(A522="","",IF(BW522=1,"Neu; ","")&amp;IF(AND(BW522=0,BR522&lt;0),"negativer Bestand (Export "&amp;BR522&amp;"); ","")&amp;IF(J522&lt;=0,"Kein Verbrauch; ","")&amp;IF(CR522&gt;0,"Lift "&amp;W522&amp;" lt. Liftbericht (Fach "&amp;X522&amp;" Stk); ",IF(CB522=1,"Gebinde geschätzt ("&amp;T522&amp;"); ",IF(CA522=1,"Lose – Tablare geschätzt; ","")))&amp;IF(H522&gt;AW522,"Überbestand "&amp;ROUND(H522-AW522,0)&amp;" Stk / CHF "&amp;ROUND((H522-AW522)*G522,0)&amp;"; ","")&amp;IF(AND(CI522=1,CJ522&lt;CK522),"MAX &lt; MB+LG; ","")&amp;IF(AND(CQ522&gt;0,CP522*10&gt;CQ522),"zu hoch für Tablar; ","")&amp;IF(AND(BW522=0,OR(CI522=1,AB522&lt;&gt;"",U522&lt;&gt;"",V522&lt;&gt;"",AC522&lt;&gt;"")),"manuell übersteuert; ","")&amp;IF(AND(CA522=0,R522=0),"Gebinde unbekannt / Stellmass fehlt; ","")&amp;IF(AND(CA522=0,N(V522)&lt;=0,N(Q522)&lt;=0),"Menge pro Gebinde fehlt (Ist = 1 Gebinde); ","")&amp;BV522)</f>
        <v/>
      </c>
      <c r="BO522" s="60"/>
      <c r="BP522" s="60"/>
      <c r="BQ522" s="67"/>
      <c r="BR522" s="62" t="n">
        <v>577</v>
      </c>
      <c r="BS522" s="62" t="n">
        <v>1254</v>
      </c>
      <c r="BT522" s="61" t="n">
        <v>28.8499999999999</v>
      </c>
      <c r="BU522" s="62" t="n">
        <v>2038</v>
      </c>
      <c r="BV522" s="60"/>
      <c r="BW522" s="65" t="n">
        <v>0</v>
      </c>
      <c r="BX522" s="65" t="n">
        <v>522</v>
      </c>
      <c r="BY522" s="60" t="str">
        <f aca="false">IF(U522&lt;&gt;"",UPPER(TRIM(U522)),IF(CB522=1,UPPER(VLOOKUP(T522,Parameter!$I$27:$K$29,2,0)),IF(P522="","LOSE",P522)))</f>
        <v>S41</v>
      </c>
      <c r="BZ522" s="62" t="n">
        <f aca="false">IF(BY522="LOSE",1,IF(N(V522)&gt;0,V522,IF(CB522=1,MAX(1,N(VLOOKUP(T522,Parameter!$I$27:$K$29,3,0)),H522,N(N522)),IF(N(Q522)&gt;0,Q522,MAX(1,H522)))))</f>
        <v>1546</v>
      </c>
      <c r="CA522" s="65" t="n">
        <f aca="false">IF(BY522="LOSE",1,0)</f>
        <v>0</v>
      </c>
      <c r="CB522" s="65" t="n">
        <f aca="false">IF(AND(U522="",OR(P522="",P522="LOSE"),T522&lt;&gt;"",N(S522)&lt;=0,ISNUMBER(MATCH(T522,Parameter!$I$27:$I$29,0))),1,0)</f>
        <v>0</v>
      </c>
      <c r="CC522" s="65" t="n">
        <f aca="false">IF(CR522&gt;0,INDEX(Parameter!$H$5:$H$7,W522)/INDEX(Parameter!$E$5:$E$7,W522),IF(AND(CA522=0,N(IFERROR(VLOOKUP(BY522,'Gebinde-Kategorie'!$A$5:$N$45,14,0),0))&gt;0),VLOOKUP(BY522,'Gebinde-Kategorie'!$A$5:$N$45,14,0)*10+Parameter!$M$23,Parameter!$M$24))</f>
        <v>155</v>
      </c>
      <c r="CD522" s="60" t="str">
        <f aca="false">IF(AND(Parameter!$B$19="Ja",E522&lt;&gt;"",ISNUMBER(MATCH(E522,Parameter!$I$35:$I$52,0))),VLOOKUP(E522,Parameter!$I$35:$J$52,2,0),IFERROR(VLOOKUP(D522,Parameter!$A$35:$C$64,2,0),"Nein"))</f>
        <v>2+3</v>
      </c>
      <c r="CE522" s="64" t="n">
        <f aca="false">IF(CA522=0,0,IF(N(S522)&gt;0,S522,IFERROR(VLOOKUP(D522,Parameter!$A$35:$C$64,3,0)+0,0)))</f>
        <v>0</v>
      </c>
      <c r="CF522" s="60" t="n">
        <f aca="false">IF(AB522&lt;&gt;"",AB522,AA522)</f>
        <v>3</v>
      </c>
      <c r="CG522" s="60" t="str">
        <f aca="false">IF(OR(CF522=1,CF522=2,CF522=3),IF(Parameter!$E$27="Ja","LIFT",IF(CF522=1,"L1","L23")),IF(CF522="Aussen","Aussen","-"))</f>
        <v>LIFT</v>
      </c>
      <c r="CH522" s="71" t="n">
        <f aca="false">IF(N(AC522)&gt;0,AC522,0)</f>
        <v>0</v>
      </c>
      <c r="CI522" s="65" t="n">
        <f aca="false">IF(ISNUMBER(AF522),1,0)</f>
        <v>0</v>
      </c>
      <c r="CJ522" s="62" t="n">
        <f aca="false">N(AF522)</f>
        <v>0</v>
      </c>
      <c r="CK522" s="62" t="n">
        <f aca="false">N(M522)+N(N522)</f>
        <v>2118</v>
      </c>
      <c r="CL522" s="62" t="n">
        <f aca="false">N(M522)</f>
        <v>118</v>
      </c>
      <c r="CM522" s="62" t="n">
        <f aca="false">N(N522)</f>
        <v>2000</v>
      </c>
      <c r="CN522" s="62" t="n">
        <f aca="false">ROUNDUP(H522/BZ522,0)</f>
        <v>2</v>
      </c>
      <c r="CO522" s="62" t="n">
        <f aca="false">ROUNDUP(CJ522/BZ522,0)</f>
        <v>0</v>
      </c>
      <c r="CP522" s="65" t="n">
        <f aca="false">IF(CA522=1,0,IFERROR(VLOOKUP(BY522,'Gebinde-Kategorie'!$A$5:$N$45,5,0)+0,0))</f>
        <v>11</v>
      </c>
      <c r="CQ522" s="65" t="n">
        <f aca="false">IFERROR(IF(OR(CF522=1,CF522=2,CF522=3),N(INDEX(Parameter!$I$5:$I$7,CF522)),0),0)</f>
        <v>0</v>
      </c>
      <c r="CR522" s="64" t="n">
        <f aca="false">IF(AND(Parameter!$B$21="Ja",ISNUMBER(W522),N(X522)&gt;0),IFERROR(N(INDEX(Parameter!$L$5:$L$7,W522))*INDEX(Parameter!$E$5:$E$7,W522)*X522/SUMIFS($X$7:$X$1843,$W$7:$W$1843,W522),0),0)</f>
        <v>0</v>
      </c>
      <c r="CS522" s="62" t="n">
        <f aca="false">IF(AND(OR(CG522="L1",CG522="L23",CG522="LIFT"),H522&gt;0),CC522*IF(CR522&gt;0,CR522*MAX(1,H522/X522),IF(CA522=1,CE522,IF(R522&gt;0,CN522/R522,0))/MAX(0.1,N(Parameter!$M$21))),"")</f>
        <v>5.96153846153846</v>
      </c>
      <c r="CT522" s="64" t="n">
        <f aca="false">IF(CS522="","",J522/H522)</f>
        <v>1.11305297651557</v>
      </c>
      <c r="CU522" s="62" t="n">
        <f aca="false">IF(CS522="","",H522*G522)</f>
        <v>91.55</v>
      </c>
      <c r="CV522" s="63" t="n">
        <f aca="false">IF(CS522="","",(CL522+ROUNDUP(CL522+MAX(CM522,2*(J522/MAX(0.1,N(Einkauf!$C$6))-CL522)),0))/2)</f>
        <v>1118</v>
      </c>
      <c r="CW522" s="62" t="n">
        <f aca="false">IF(CS522="","",MAX(0,H522-CV522)*G522)</f>
        <v>35.65</v>
      </c>
      <c r="CX522" s="62" t="n">
        <f aca="false">IF(CS522="","",CS522*MAX(0,1-CV522/H522))</f>
        <v>2.32145107759526</v>
      </c>
      <c r="CY522" s="64" t="n">
        <f aca="false">IF(CS522="","",PERCENTRANK($CS$7:$CS$1843,CS522)+PERCENTRANK($CU$7:$CU$1843,CU522)+1-PERCENTRANK($CT$7:$CT$1843,CT522))</f>
        <v>0.882</v>
      </c>
      <c r="CZ522" s="72" t="n">
        <f aca="false">IF(CS522="","",CHOOSE(MATCH(Einkauf!$C$5,Parameter!$G$23:$G$27,0),CY522,CS522,CU522,-CT522,CW522)+ROW()/1000000000)</f>
        <v>0.882000522</v>
      </c>
    </row>
    <row r="523" customFormat="false" ht="15" hidden="false" customHeight="false" outlineLevel="0" collapsed="false">
      <c r="A523" s="60" t="s">
        <v>1175</v>
      </c>
      <c r="B523" s="60" t="s">
        <v>1176</v>
      </c>
      <c r="C523" s="60" t="s">
        <v>206</v>
      </c>
      <c r="D523" s="60" t="s">
        <v>226</v>
      </c>
      <c r="E523" s="60" t="s">
        <v>227</v>
      </c>
      <c r="F523" s="60" t="s">
        <v>260</v>
      </c>
      <c r="G523" s="61" t="n">
        <v>121.7</v>
      </c>
      <c r="H523" s="62" t="n">
        <f aca="false">MAX(0,IF(AND(Parameter!$B$21="Ja",ISNUMBER(Y523)),Y523,IF(Parameter!$B$20="Jahresanfang 2025 + Export",BS523+BR523,BR523)))</f>
        <v>1</v>
      </c>
      <c r="I523" s="62" t="n">
        <f aca="false">H523*G523</f>
        <v>121.7</v>
      </c>
      <c r="J523" s="62" t="n">
        <f aca="false">BU523*Parameter!$B$18</f>
        <v>1</v>
      </c>
      <c r="K523" s="63" t="n">
        <v>1</v>
      </c>
      <c r="L523" s="64" t="n">
        <v>1</v>
      </c>
      <c r="M523" s="62" t="n">
        <v>0</v>
      </c>
      <c r="N523" s="62" t="n">
        <v>1</v>
      </c>
      <c r="O523" s="65" t="n">
        <v>35</v>
      </c>
      <c r="P523" s="60" t="s">
        <v>344</v>
      </c>
      <c r="Q523" s="62" t="n">
        <v>3</v>
      </c>
      <c r="R523" s="65" t="n">
        <f aca="false">IF(CA523=1,0,IFERROR(VLOOKUP(BY523,'Gebinde-Kategorie'!$A$5:$N$45,13,0)+0,0))</f>
        <v>26</v>
      </c>
      <c r="S523" s="66"/>
      <c r="T523" s="67"/>
      <c r="U523" s="67"/>
      <c r="V523" s="67"/>
      <c r="W523" s="60"/>
      <c r="X523" s="62"/>
      <c r="Y523" s="62"/>
      <c r="Z523" s="60" t="n">
        <v>3</v>
      </c>
      <c r="AA523" s="60" t="n">
        <f aca="false">IF(A523="","",IF(AND(Parameter!$B$21="Ja",ISNUMBER(W523)),W523,IF(AND(Parameter!$E$27="Ja",ISNUMBER(Z523),CD523&lt;&gt;"Nein"),Z523,IF(CD523="2+3",IF(ISNUMBER(SEARCH("grosser Artikel",BV523)),2,IFERROR(VLOOKUP(BY523,Parameter!$F$35:$G$64,2,0),2)),IF(OR(CD523="Nein",CD523=""),"-",CD523)))))</f>
        <v>3</v>
      </c>
      <c r="AB523" s="67"/>
      <c r="AC523" s="68"/>
      <c r="AD523" s="62" t="n">
        <f aca="false">AW523</f>
        <v>1</v>
      </c>
      <c r="AE523" s="62" t="n">
        <f aca="false">MAX(AW523,H523)</f>
        <v>1</v>
      </c>
      <c r="AF523" s="69"/>
      <c r="AG523" s="62" t="n">
        <f aca="false">IF(LEFT(Cockpit!$C$5,1)="A",H523,IF(Parameter!$E$30="MAX-Bestand",IF(CI523=1,CJ523,IF(LEFT(Cockpit!$C$5,1)="B",AM523,MAX(AM523,H523))),ROUNDUP(AK523,0)))</f>
        <v>1</v>
      </c>
      <c r="AH523" s="62" t="n">
        <f aca="false">IF(CA523=1,0,ROUNDUP(AG523/BZ523,0))</f>
        <v>1</v>
      </c>
      <c r="AI523" s="64" t="n">
        <f aca="false">IF(CR523&gt;0,CR523*MAX(1,AG523/X523),IF(CA523=1,IF(AG523&lt;=0,0,CE523*MAX(1,IF(H523&gt;0,AG523/H523,1))),IF(R523&gt;0,AH523/R523,0))/MAX(0.1,N(Parameter!$M$21)))</f>
        <v>0.0384615384615385</v>
      </c>
      <c r="AJ523" s="62" t="n">
        <f aca="false">AI523*CC523</f>
        <v>5.96153846153846</v>
      </c>
      <c r="AK523" s="63" t="n">
        <f aca="false">IF(LEFT(Cockpit!$C$5,1)="A",H523,IF(CI523=1,(CL523+CJ523)/2,IF(LEFT(Cockpit!$C$5,1)="B",(CL523+AM523)/2,MAX((CL523+AM523)/2,H523))))</f>
        <v>1</v>
      </c>
      <c r="AL523" s="62" t="n">
        <f aca="false">AK523*G523</f>
        <v>121.7</v>
      </c>
      <c r="AM523" s="62" t="n">
        <f aca="false">ROUNDUP(CL523+MAX(CM523,2*(J523/IF(CH523&gt;0,CH523,MAX(0.1,N(Cockpit!$C$6)))-CL523)),0)</f>
        <v>1</v>
      </c>
      <c r="AN523" s="63" t="n">
        <f aca="false">IF(AJ523&gt;0,J523/AJ523,-1)</f>
        <v>0.167741935483871</v>
      </c>
      <c r="AO523" s="63" t="n">
        <f aca="false">IF(AND(OR(CG523="L1",CG523="L23",CG523="LIFT"),AJ523&gt;0),SUMIFS($AJ$7:$AJ$1843,$CG$7:$CG$1843,CG523,$AN$7:$AN$1843,"&gt;"&amp;AN523)+SUMIFS($AJ$7:$AJ$1843,$CG$7:$CG$1843,CG523,$AN$7:$AN$1843,AN523,$BX$7:$BX$1843,"&lt;="&amp;BX523),"")</f>
        <v>12697.6183362306</v>
      </c>
      <c r="AP523" s="70" t="n">
        <f aca="false">IF(AO523="",0,MAX(0,MIN(1,(IF(CG523="L1",Parameter!$H$5,IF(CG523="L23",Parameter!$H$6+Parameter!$H$7,Parameter!$H$5+Parameter!$H$6+Parameter!$H$7))-(AO523-AJ523))/AJ523)))</f>
        <v>1</v>
      </c>
      <c r="AQ523" s="62" t="n">
        <f aca="false">IF(LEFT(Cockpit!$I$5,1)="A",H523,IF(Parameter!$E$30="MAX-Bestand",IF(CI523=1,CJ523,IF(LEFT(Cockpit!$I$5,1)="B",AW523,MAX(AW523,H523))),ROUNDUP(AU523,0)))</f>
        <v>1</v>
      </c>
      <c r="AR523" s="62" t="n">
        <f aca="false">IF(CA523=1,0,ROUNDUP(AQ523/BZ523,0))</f>
        <v>1</v>
      </c>
      <c r="AS523" s="64" t="n">
        <f aca="false">IF(CR523&gt;0,CR523*MAX(1,AQ523/X523),IF(CA523=1,IF(AQ523&lt;=0,0,CE523*MAX(1,IF(H523&gt;0,AQ523/H523,1))),IF(R523&gt;0,AR523/R523,0))/MAX(0.1,N(Parameter!$M$21)))</f>
        <v>0.0384615384615385</v>
      </c>
      <c r="AT523" s="62" t="n">
        <f aca="false">AS523*CC523</f>
        <v>5.96153846153846</v>
      </c>
      <c r="AU523" s="63" t="n">
        <f aca="false">IF(LEFT(Cockpit!$I$5,1)="A",H523,IF(CI523=1,(CL523+CJ523)/2,IF(LEFT(Cockpit!$I$5,1)="B",(CL523+AW523)/2,MAX((CL523+AW523)/2,H523))))</f>
        <v>1</v>
      </c>
      <c r="AV523" s="62" t="n">
        <f aca="false">AU523*G523</f>
        <v>121.7</v>
      </c>
      <c r="AW523" s="62" t="n">
        <f aca="false">ROUNDUP(CL523+MAX(CM523,2*(J523/IF(CH523&gt;0,CH523,MAX(0.1,N(Cockpit!$I$6)))-CL523)),0)</f>
        <v>1</v>
      </c>
      <c r="AX523" s="63" t="n">
        <f aca="false">IF(AT523&gt;0,J523/AT523,-1)</f>
        <v>0.167741935483871</v>
      </c>
      <c r="AY523" s="63" t="n">
        <f aca="false">IF(AND(OR(CG523="L1",CG523="L23",CG523="LIFT"),AT523&gt;0),SUMIFS($AT$7:$AT$1843,$CG$7:$CG$1843,CG523,$AX$7:$AX$1843,"&gt;"&amp;AX523)+SUMIFS($AT$7:$AT$1843,$CG$7:$CG$1843,CG523,$AX$7:$AX$1843,AX523,$BX$7:$BX$1843,"&lt;="&amp;BX523),"")</f>
        <v>15614.3759157509</v>
      </c>
      <c r="AZ523" s="70" t="n">
        <f aca="false">IF(AY523="",0,MAX(0,MIN(1,(IF(CG523="L1",Parameter!$H$5,IF(CG523="L23",Parameter!$H$6+Parameter!$H$7,Parameter!$H$5+Parameter!$H$6+Parameter!$H$7))-(AY523-AT523))/AT523)))</f>
        <v>1</v>
      </c>
      <c r="BA523" s="62" t="n">
        <f aca="false">IF(LEFT(Cockpit!$O$5,1)="A",H523,IF(Parameter!$E$30="MAX-Bestand",IF(CI523=1,CJ523,IF(LEFT(Cockpit!$O$5,1)="B",BG523,MAX(BG523,H523))),ROUNDUP(BE523,0)))</f>
        <v>1</v>
      </c>
      <c r="BB523" s="62" t="n">
        <f aca="false">IF(CA523=1,0,ROUNDUP(BA523/BZ523,0))</f>
        <v>1</v>
      </c>
      <c r="BC523" s="64" t="n">
        <f aca="false">IF(CR523&gt;0,CR523*MAX(1,BA523/X523),IF(CA523=1,IF(BA523&lt;=0,0,CE523*MAX(1,IF(H523&gt;0,BA523/H523,1))),IF(R523&gt;0,BB523/R523,0))/MAX(0.1,N(Parameter!$M$21)))</f>
        <v>0.0384615384615385</v>
      </c>
      <c r="BD523" s="62" t="n">
        <f aca="false">BC523*CC523</f>
        <v>5.96153846153846</v>
      </c>
      <c r="BE523" s="63" t="n">
        <f aca="false">IF(LEFT(Cockpit!$O$5,1)="A",H523,IF(CI523=1,(CL523+CJ523)/2,IF(LEFT(Cockpit!$O$5,1)="B",(CL523+BG523)/2,MAX((CL523+BG523)/2,H523))))</f>
        <v>0.5</v>
      </c>
      <c r="BF523" s="62" t="n">
        <f aca="false">BE523*G523</f>
        <v>60.85</v>
      </c>
      <c r="BG523" s="62" t="n">
        <f aca="false">ROUNDUP(CL523+MAX(CM523,2*(J523/IF(CH523&gt;0,CH523,MAX(0.1,N(Cockpit!$O$6)))-CL523)),0)</f>
        <v>1</v>
      </c>
      <c r="BH523" s="63" t="n">
        <f aca="false">IF(BD523&gt;0,J523/BD523,-1)</f>
        <v>0.167741935483871</v>
      </c>
      <c r="BI523" s="63" t="n">
        <f aca="false">IF(AND(OR(CG523="L1",CG523="L23",CG523="LIFT"),BD523&gt;0),SUMIFS($BD$7:$BD$1843,$CG$7:$CG$1843,CG523,$BH$7:$BH$1843,"&gt;"&amp;BH523)+SUMIFS($BD$7:$BD$1843,$CG$7:$CG$1843,CG523,$BH$7:$BH$1843,BH523,$BX$7:$BX$1843,"&lt;="&amp;BX523),"")</f>
        <v>13422.6372824445</v>
      </c>
      <c r="BJ523" s="70" t="n">
        <f aca="false">IF(BI523="",0,MAX(0,MIN(1,(IF(CG523="L1",Parameter!$H$5,IF(CG523="L23",Parameter!$H$6+Parameter!$H$7,Parameter!$H$5+Parameter!$H$6+Parameter!$H$7))-(BI523-BD523))/BD523)))</f>
        <v>1</v>
      </c>
      <c r="BK523" s="60" t="str">
        <f aca="false">IF(AJ523&lt;=0,"",IF(CG523="Aussen","Aussenlager",IF(CG523="-","Nicht im Lift",IF(AP523&gt;=1,"Lift",IF(AP523&lt;=0,"Aussenlager","teilweise")))))</f>
        <v>Lift</v>
      </c>
      <c r="BL523" s="60" t="str">
        <f aca="false">IF(AT523&lt;=0,"",IF(CG523="Aussen","Aussenlager",IF(CG523="-","Nicht im Lift",IF(AZ523&gt;=1,"Lift",IF(AZ523&lt;=0,"Aussenlager","teilweise")))))</f>
        <v>Lift</v>
      </c>
      <c r="BM523" s="60" t="str">
        <f aca="false">IF(BD523&lt;=0,"",IF(CG523="Aussen","Aussenlager",IF(CG523="-","Nicht im Lift",IF(BJ523&gt;=1,"Lift",IF(BJ523&lt;=0,"Aussenlager","teilweise")))))</f>
        <v>Lift</v>
      </c>
      <c r="BN523" s="60" t="str">
        <f aca="false">IF(A523="","",IF(BW523=1,"Neu; ","")&amp;IF(AND(BW523=0,BR523&lt;0),"negativer Bestand (Export "&amp;BR523&amp;"); ","")&amp;IF(J523&lt;=0,"Kein Verbrauch; ","")&amp;IF(CR523&gt;0,"Lift "&amp;W523&amp;" lt. Liftbericht (Fach "&amp;X523&amp;" Stk); ",IF(CB523=1,"Gebinde geschätzt ("&amp;T523&amp;"); ",IF(CA523=1,"Lose – Tablare geschätzt; ","")))&amp;IF(H523&gt;AW523,"Überbestand "&amp;ROUND(H523-AW523,0)&amp;" Stk / CHF "&amp;ROUND((H523-AW523)*G523,0)&amp;"; ","")&amp;IF(AND(CI523=1,CJ523&lt;CK523),"MAX &lt; MB+LG; ","")&amp;IF(AND(CQ523&gt;0,CP523*10&gt;CQ523),"zu hoch für Tablar; ","")&amp;IF(AND(BW523=0,OR(CI523=1,AB523&lt;&gt;"",U523&lt;&gt;"",V523&lt;&gt;"",AC523&lt;&gt;"")),"manuell übersteuert; ","")&amp;IF(AND(CA523=0,R523=0),"Gebinde unbekannt / Stellmass fehlt; ","")&amp;IF(AND(CA523=0,N(V523)&lt;=0,N(Q523)&lt;=0),"Menge pro Gebinde fehlt (Ist = 1 Gebinde); ","")&amp;BV523)</f>
        <v/>
      </c>
      <c r="BO523" s="60"/>
      <c r="BP523" s="60"/>
      <c r="BQ523" s="67"/>
      <c r="BR523" s="62" t="n">
        <v>0</v>
      </c>
      <c r="BS523" s="62" t="n">
        <v>1</v>
      </c>
      <c r="BT523" s="61" t="n">
        <v>28.1</v>
      </c>
      <c r="BU523" s="62" t="n">
        <v>1</v>
      </c>
      <c r="BV523" s="60"/>
      <c r="BW523" s="65" t="n">
        <v>0</v>
      </c>
      <c r="BX523" s="65" t="n">
        <v>523</v>
      </c>
      <c r="BY523" s="60" t="str">
        <f aca="false">IF(U523&lt;&gt;"",UPPER(TRIM(U523)),IF(CB523=1,UPPER(VLOOKUP(T523,Parameter!$I$27:$K$29,2,0)),IF(P523="","LOSE",P523)))</f>
        <v>S51</v>
      </c>
      <c r="BZ523" s="62" t="n">
        <f aca="false">IF(BY523="LOSE",1,IF(N(V523)&gt;0,V523,IF(CB523=1,MAX(1,N(VLOOKUP(T523,Parameter!$I$27:$K$29,3,0)),H523,N(N523)),IF(N(Q523)&gt;0,Q523,MAX(1,H523)))))</f>
        <v>3</v>
      </c>
      <c r="CA523" s="65" t="n">
        <f aca="false">IF(BY523="LOSE",1,0)</f>
        <v>0</v>
      </c>
      <c r="CB523" s="65" t="n">
        <f aca="false">IF(AND(U523="",OR(P523="",P523="LOSE"),T523&lt;&gt;"",N(S523)&lt;=0,ISNUMBER(MATCH(T523,Parameter!$I$27:$I$29,0))),1,0)</f>
        <v>0</v>
      </c>
      <c r="CC523" s="65" t="n">
        <f aca="false">IF(CR523&gt;0,INDEX(Parameter!$H$5:$H$7,W523)/INDEX(Parameter!$E$5:$E$7,W523),IF(AND(CA523=0,N(IFERROR(VLOOKUP(BY523,'Gebinde-Kategorie'!$A$5:$N$45,14,0),0))&gt;0),VLOOKUP(BY523,'Gebinde-Kategorie'!$A$5:$N$45,14,0)*10+Parameter!$M$23,Parameter!$M$24))</f>
        <v>155</v>
      </c>
      <c r="CD523" s="60" t="str">
        <f aca="false">IF(AND(Parameter!$B$19="Ja",E523&lt;&gt;"",ISNUMBER(MATCH(E523,Parameter!$I$35:$I$52,0))),VLOOKUP(E523,Parameter!$I$35:$J$52,2,0),IFERROR(VLOOKUP(D523,Parameter!$A$35:$C$64,2,0),"Nein"))</f>
        <v>2+3</v>
      </c>
      <c r="CE523" s="64" t="n">
        <f aca="false">IF(CA523=0,0,IF(N(S523)&gt;0,S523,IFERROR(VLOOKUP(D523,Parameter!$A$35:$C$64,3,0)+0,0)))</f>
        <v>0</v>
      </c>
      <c r="CF523" s="60" t="n">
        <f aca="false">IF(AB523&lt;&gt;"",AB523,AA523)</f>
        <v>3</v>
      </c>
      <c r="CG523" s="60" t="str">
        <f aca="false">IF(OR(CF523=1,CF523=2,CF523=3),IF(Parameter!$E$27="Ja","LIFT",IF(CF523=1,"L1","L23")),IF(CF523="Aussen","Aussen","-"))</f>
        <v>LIFT</v>
      </c>
      <c r="CH523" s="71" t="n">
        <f aca="false">IF(N(AC523)&gt;0,AC523,0)</f>
        <v>0</v>
      </c>
      <c r="CI523" s="65" t="n">
        <f aca="false">IF(ISNUMBER(AF523),1,0)</f>
        <v>0</v>
      </c>
      <c r="CJ523" s="62" t="n">
        <f aca="false">N(AF523)</f>
        <v>0</v>
      </c>
      <c r="CK523" s="62" t="n">
        <f aca="false">N(M523)+N(N523)</f>
        <v>1</v>
      </c>
      <c r="CL523" s="62" t="n">
        <f aca="false">N(M523)</f>
        <v>0</v>
      </c>
      <c r="CM523" s="62" t="n">
        <f aca="false">N(N523)</f>
        <v>1</v>
      </c>
      <c r="CN523" s="62" t="n">
        <f aca="false">ROUNDUP(H523/BZ523,0)</f>
        <v>1</v>
      </c>
      <c r="CO523" s="62" t="n">
        <f aca="false">ROUNDUP(CJ523/BZ523,0)</f>
        <v>0</v>
      </c>
      <c r="CP523" s="65" t="n">
        <f aca="false">IF(CA523=1,0,IFERROR(VLOOKUP(BY523,'Gebinde-Kategorie'!$A$5:$N$45,5,0)+0,0))</f>
        <v>11</v>
      </c>
      <c r="CQ523" s="65" t="n">
        <f aca="false">IFERROR(IF(OR(CF523=1,CF523=2,CF523=3),N(INDEX(Parameter!$I$5:$I$7,CF523)),0),0)</f>
        <v>0</v>
      </c>
      <c r="CR523" s="64" t="n">
        <f aca="false">IF(AND(Parameter!$B$21="Ja",ISNUMBER(W523),N(X523)&gt;0),IFERROR(N(INDEX(Parameter!$L$5:$L$7,W523))*INDEX(Parameter!$E$5:$E$7,W523)*X523/SUMIFS($X$7:$X$1843,$W$7:$W$1843,W523),0),0)</f>
        <v>0</v>
      </c>
      <c r="CS523" s="62" t="n">
        <f aca="false">IF(AND(OR(CG523="L1",CG523="L23",CG523="LIFT"),H523&gt;0),CC523*IF(CR523&gt;0,CR523*MAX(1,H523/X523),IF(CA523=1,CE523,IF(R523&gt;0,CN523/R523,0))/MAX(0.1,N(Parameter!$M$21))),"")</f>
        <v>5.96153846153846</v>
      </c>
      <c r="CT523" s="64" t="n">
        <f aca="false">IF(CS523="","",J523/H523)</f>
        <v>1</v>
      </c>
      <c r="CU523" s="62" t="n">
        <f aca="false">IF(CS523="","",H523*G523)</f>
        <v>121.7</v>
      </c>
      <c r="CV523" s="63" t="n">
        <f aca="false">IF(CS523="","",(CL523+ROUNDUP(CL523+MAX(CM523,2*(J523/MAX(0.1,N(Einkauf!$C$6))-CL523)),0))/2)</f>
        <v>0.5</v>
      </c>
      <c r="CW523" s="62" t="n">
        <f aca="false">IF(CS523="","",MAX(0,H523-CV523)*G523)</f>
        <v>60.85</v>
      </c>
      <c r="CX523" s="62" t="n">
        <f aca="false">IF(CS523="","",CS523*MAX(0,1-CV523/H523))</f>
        <v>2.98076923076923</v>
      </c>
      <c r="CY523" s="64" t="n">
        <f aca="false">IF(CS523="","",PERCENTRANK($CS$7:$CS$1843,CS523)+PERCENTRANK($CU$7:$CU$1843,CU523)+1-PERCENTRANK($CT$7:$CT$1843,CT523))</f>
        <v>0.983</v>
      </c>
      <c r="CZ523" s="72" t="n">
        <f aca="false">IF(CS523="","",CHOOSE(MATCH(Einkauf!$C$5,Parameter!$G$23:$G$27,0),CY523,CS523,CU523,-CT523,CW523)+ROW()/1000000000)</f>
        <v>0.983000523</v>
      </c>
    </row>
    <row r="524" customFormat="false" ht="15" hidden="false" customHeight="false" outlineLevel="0" collapsed="false">
      <c r="A524" s="60" t="s">
        <v>1177</v>
      </c>
      <c r="B524" s="60" t="s">
        <v>1178</v>
      </c>
      <c r="C524" s="60" t="s">
        <v>206</v>
      </c>
      <c r="D524" s="60" t="s">
        <v>226</v>
      </c>
      <c r="E524" s="60" t="s">
        <v>227</v>
      </c>
      <c r="F524" s="60" t="s">
        <v>260</v>
      </c>
      <c r="G524" s="61" t="n">
        <v>13.95</v>
      </c>
      <c r="H524" s="62" t="n">
        <f aca="false">MAX(0,IF(AND(Parameter!$B$21="Ja",ISNUMBER(Y524)),Y524,IF(Parameter!$B$20="Jahresanfang 2025 + Export",BS524+BR524,BR524)))</f>
        <v>6</v>
      </c>
      <c r="I524" s="62" t="n">
        <f aca="false">H524*G524</f>
        <v>83.7</v>
      </c>
      <c r="J524" s="62" t="n">
        <f aca="false">BU524*Parameter!$B$18</f>
        <v>0</v>
      </c>
      <c r="K524" s="63" t="n">
        <v>4</v>
      </c>
      <c r="L524" s="64" t="n">
        <v>0</v>
      </c>
      <c r="M524" s="62" t="n">
        <v>0</v>
      </c>
      <c r="N524" s="62" t="n">
        <v>1</v>
      </c>
      <c r="O524" s="65" t="n">
        <v>14</v>
      </c>
      <c r="P524" s="60" t="s">
        <v>370</v>
      </c>
      <c r="Q524" s="62" t="n">
        <v>1</v>
      </c>
      <c r="R524" s="65" t="n">
        <f aca="false">IF(CA524=1,0,IFERROR(VLOOKUP(BY524,'Gebinde-Kategorie'!$A$5:$N$45,13,0)+0,0))</f>
        <v>52</v>
      </c>
      <c r="S524" s="66"/>
      <c r="T524" s="67"/>
      <c r="U524" s="67"/>
      <c r="V524" s="67"/>
      <c r="W524" s="60"/>
      <c r="X524" s="62"/>
      <c r="Y524" s="62"/>
      <c r="Z524" s="60" t="n">
        <v>3</v>
      </c>
      <c r="AA524" s="60" t="n">
        <f aca="false">IF(A524="","",IF(AND(Parameter!$B$21="Ja",ISNUMBER(W524)),W524,IF(AND(Parameter!$E$27="Ja",ISNUMBER(Z524),CD524&lt;&gt;"Nein"),Z524,IF(CD524="2+3",IF(ISNUMBER(SEARCH("grosser Artikel",BV524)),2,IFERROR(VLOOKUP(BY524,Parameter!$F$35:$G$64,2,0),2)),IF(OR(CD524="Nein",CD524=""),"-",CD524)))))</f>
        <v>3</v>
      </c>
      <c r="AB524" s="67"/>
      <c r="AC524" s="68"/>
      <c r="AD524" s="62" t="n">
        <f aca="false">AW524</f>
        <v>1</v>
      </c>
      <c r="AE524" s="62" t="n">
        <f aca="false">MAX(AW524,H524)</f>
        <v>6</v>
      </c>
      <c r="AF524" s="69"/>
      <c r="AG524" s="62" t="n">
        <f aca="false">IF(LEFT(Cockpit!$C$5,1)="A",H524,IF(Parameter!$E$30="MAX-Bestand",IF(CI524=1,CJ524,IF(LEFT(Cockpit!$C$5,1)="B",AM524,MAX(AM524,H524))),ROUNDUP(AK524,0)))</f>
        <v>6</v>
      </c>
      <c r="AH524" s="62" t="n">
        <f aca="false">IF(CA524=1,0,ROUNDUP(AG524/BZ524,0))</f>
        <v>6</v>
      </c>
      <c r="AI524" s="64" t="n">
        <f aca="false">IF(CR524&gt;0,CR524*MAX(1,AG524/X524),IF(CA524=1,IF(AG524&lt;=0,0,CE524*MAX(1,IF(H524&gt;0,AG524/H524,1))),IF(R524&gt;0,AH524/R524,0))/MAX(0.1,N(Parameter!$M$21)))</f>
        <v>0.115384615384615</v>
      </c>
      <c r="AJ524" s="62" t="n">
        <f aca="false">AI524*CC524</f>
        <v>17.8846153846154</v>
      </c>
      <c r="AK524" s="63" t="n">
        <f aca="false">IF(LEFT(Cockpit!$C$5,1)="A",H524,IF(CI524=1,(CL524+CJ524)/2,IF(LEFT(Cockpit!$C$5,1)="B",(CL524+AM524)/2,MAX((CL524+AM524)/2,H524))))</f>
        <v>6</v>
      </c>
      <c r="AL524" s="62" t="n">
        <f aca="false">AK524*G524</f>
        <v>83.7</v>
      </c>
      <c r="AM524" s="62" t="n">
        <f aca="false">ROUNDUP(CL524+MAX(CM524,2*(J524/IF(CH524&gt;0,CH524,MAX(0.1,N(Cockpit!$C$6)))-CL524)),0)</f>
        <v>1</v>
      </c>
      <c r="AN524" s="63" t="n">
        <f aca="false">IF(AJ524&gt;0,J524/AJ524,-1)</f>
        <v>0</v>
      </c>
      <c r="AO524" s="63" t="n">
        <f aca="false">IF(AND(OR(CG524="L1",CG524="L23",CG524="LIFT"),AJ524&gt;0),SUMIFS($AJ$7:$AJ$1843,$CG$7:$CG$1843,CG524,$AN$7:$AN$1843,"&gt;"&amp;AN524)+SUMIFS($AJ$7:$AJ$1843,$CG$7:$CG$1843,CG524,$AN$7:$AN$1843,AN524,$BX$7:$BX$1843,"&lt;="&amp;BX524),"")</f>
        <v>28304.2144538606</v>
      </c>
      <c r="AP524" s="70" t="n">
        <f aca="false">IF(AO524="",0,MAX(0,MIN(1,(IF(CG524="L1",Parameter!$H$5,IF(CG524="L23",Parameter!$H$6+Parameter!$H$7,Parameter!$H$5+Parameter!$H$6+Parameter!$H$7))-(AO524-AJ524))/AJ524)))</f>
        <v>1</v>
      </c>
      <c r="AQ524" s="62" t="n">
        <f aca="false">IF(LEFT(Cockpit!$I$5,1)="A",H524,IF(Parameter!$E$30="MAX-Bestand",IF(CI524=1,CJ524,IF(LEFT(Cockpit!$I$5,1)="B",AW524,MAX(AW524,H524))),ROUNDUP(AU524,0)))</f>
        <v>6</v>
      </c>
      <c r="AR524" s="62" t="n">
        <f aca="false">IF(CA524=1,0,ROUNDUP(AQ524/BZ524,0))</f>
        <v>6</v>
      </c>
      <c r="AS524" s="64" t="n">
        <f aca="false">IF(CR524&gt;0,CR524*MAX(1,AQ524/X524),IF(CA524=1,IF(AQ524&lt;=0,0,CE524*MAX(1,IF(H524&gt;0,AQ524/H524,1))),IF(R524&gt;0,AR524/R524,0))/MAX(0.1,N(Parameter!$M$21)))</f>
        <v>0.115384615384615</v>
      </c>
      <c r="AT524" s="62" t="n">
        <f aca="false">AS524*CC524</f>
        <v>17.8846153846154</v>
      </c>
      <c r="AU524" s="63" t="n">
        <f aca="false">IF(LEFT(Cockpit!$I$5,1)="A",H524,IF(CI524=1,(CL524+CJ524)/2,IF(LEFT(Cockpit!$I$5,1)="B",(CL524+AW524)/2,MAX((CL524+AW524)/2,H524))))</f>
        <v>6</v>
      </c>
      <c r="AV524" s="62" t="n">
        <f aca="false">AU524*G524</f>
        <v>83.7</v>
      </c>
      <c r="AW524" s="62" t="n">
        <f aca="false">ROUNDUP(CL524+MAX(CM524,2*(J524/IF(CH524&gt;0,CH524,MAX(0.1,N(Cockpit!$I$6)))-CL524)),0)</f>
        <v>1</v>
      </c>
      <c r="AX524" s="63" t="n">
        <f aca="false">IF(AT524&gt;0,J524/AT524,-1)</f>
        <v>0</v>
      </c>
      <c r="AY524" s="63" t="n">
        <f aca="false">IF(AND(OR(CG524="L1",CG524="L23",CG524="LIFT"),AT524&gt;0),SUMIFS($AT$7:$AT$1843,$CG$7:$CG$1843,CG524,$AX$7:$AX$1843,"&gt;"&amp;AX524)+SUMIFS($AT$7:$AT$1843,$CG$7:$CG$1843,CG524,$AX$7:$AX$1843,AX524,$BX$7:$BX$1843,"&lt;="&amp;BX524),"")</f>
        <v>33657.3630952381</v>
      </c>
      <c r="AZ524" s="70" t="n">
        <f aca="false">IF(AY524="",0,MAX(0,MIN(1,(IF(CG524="L1",Parameter!$H$5,IF(CG524="L23",Parameter!$H$6+Parameter!$H$7,Parameter!$H$5+Parameter!$H$6+Parameter!$H$7))-(AY524-AT524))/AT524)))</f>
        <v>1</v>
      </c>
      <c r="BA524" s="62" t="n">
        <f aca="false">IF(LEFT(Cockpit!$O$5,1)="A",H524,IF(Parameter!$E$30="MAX-Bestand",IF(CI524=1,CJ524,IF(LEFT(Cockpit!$O$5,1)="B",BG524,MAX(BG524,H524))),ROUNDUP(BE524,0)))</f>
        <v>1</v>
      </c>
      <c r="BB524" s="62" t="n">
        <f aca="false">IF(CA524=1,0,ROUNDUP(BA524/BZ524,0))</f>
        <v>1</v>
      </c>
      <c r="BC524" s="64" t="n">
        <f aca="false">IF(CR524&gt;0,CR524*MAX(1,BA524/X524),IF(CA524=1,IF(BA524&lt;=0,0,CE524*MAX(1,IF(H524&gt;0,BA524/H524,1))),IF(R524&gt;0,BB524/R524,0))/MAX(0.1,N(Parameter!$M$21)))</f>
        <v>0.0192307692307692</v>
      </c>
      <c r="BD524" s="62" t="n">
        <f aca="false">BC524*CC524</f>
        <v>2.98076923076923</v>
      </c>
      <c r="BE524" s="63" t="n">
        <f aca="false">IF(LEFT(Cockpit!$O$5,1)="A",H524,IF(CI524=1,(CL524+CJ524)/2,IF(LEFT(Cockpit!$O$5,1)="B",(CL524+BG524)/2,MAX((CL524+BG524)/2,H524))))</f>
        <v>0.5</v>
      </c>
      <c r="BF524" s="62" t="n">
        <f aca="false">BE524*G524</f>
        <v>6.975</v>
      </c>
      <c r="BG524" s="62" t="n">
        <f aca="false">ROUNDUP(CL524+MAX(CM524,2*(J524/IF(CH524&gt;0,CH524,MAX(0.1,N(Cockpit!$O$6)))-CL524)),0)</f>
        <v>1</v>
      </c>
      <c r="BH524" s="63" t="n">
        <f aca="false">IF(BD524&gt;0,J524/BD524,-1)</f>
        <v>0</v>
      </c>
      <c r="BI524" s="63" t="n">
        <f aca="false">IF(AND(OR(CG524="L1",CG524="L23",CG524="LIFT"),BD524&gt;0),SUMIFS($BD$7:$BD$1843,$CG$7:$CG$1843,CG524,$BH$7:$BH$1843,"&gt;"&amp;BH524)+SUMIFS($BD$7:$BD$1843,$CG$7:$CG$1843,CG524,$BH$7:$BH$1843,BH524,$BX$7:$BX$1843,"&lt;="&amp;BX524),"")</f>
        <v>27737.2901766313</v>
      </c>
      <c r="BJ524" s="70" t="n">
        <f aca="false">IF(BI524="",0,MAX(0,MIN(1,(IF(CG524="L1",Parameter!$H$5,IF(CG524="L23",Parameter!$H$6+Parameter!$H$7,Parameter!$H$5+Parameter!$H$6+Parameter!$H$7))-(BI524-BD524))/BD524)))</f>
        <v>1</v>
      </c>
      <c r="BK524" s="60" t="str">
        <f aca="false">IF(AJ524&lt;=0,"",IF(CG524="Aussen","Aussenlager",IF(CG524="-","Nicht im Lift",IF(AP524&gt;=1,"Lift",IF(AP524&lt;=0,"Aussenlager","teilweise")))))</f>
        <v>Lift</v>
      </c>
      <c r="BL524" s="60" t="str">
        <f aca="false">IF(AT524&lt;=0,"",IF(CG524="Aussen","Aussenlager",IF(CG524="-","Nicht im Lift",IF(AZ524&gt;=1,"Lift",IF(AZ524&lt;=0,"Aussenlager","teilweise")))))</f>
        <v>Lift</v>
      </c>
      <c r="BM524" s="60" t="str">
        <f aca="false">IF(BD524&lt;=0,"",IF(CG524="Aussen","Aussenlager",IF(CG524="-","Nicht im Lift",IF(BJ524&gt;=1,"Lift",IF(BJ524&lt;=0,"Aussenlager","teilweise")))))</f>
        <v>Lift</v>
      </c>
      <c r="BN524" s="60" t="str">
        <f aca="false">IF(A524="","",IF(BW524=1,"Neu; ","")&amp;IF(AND(BW524=0,BR524&lt;0),"negativer Bestand (Export "&amp;BR524&amp;"); ","")&amp;IF(J524&lt;=0,"Kein Verbrauch; ","")&amp;IF(CR524&gt;0,"Lift "&amp;W524&amp;" lt. Liftbericht (Fach "&amp;X524&amp;" Stk); ",IF(CB524=1,"Gebinde geschätzt ("&amp;T524&amp;"); ",IF(CA524=1,"Lose – Tablare geschätzt; ","")))&amp;IF(H524&gt;AW524,"Überbestand "&amp;ROUND(H524-AW524,0)&amp;" Stk / CHF "&amp;ROUND((H524-AW524)*G524,0)&amp;"; ","")&amp;IF(AND(CI524=1,CJ524&lt;CK524),"MAX &lt; MB+LG; ","")&amp;IF(AND(CQ524&gt;0,CP524*10&gt;CQ524),"zu hoch für Tablar; ","")&amp;IF(AND(BW524=0,OR(CI524=1,AB524&lt;&gt;"",U524&lt;&gt;"",V524&lt;&gt;"",AC524&lt;&gt;"")),"manuell übersteuert; ","")&amp;IF(AND(CA524=0,R524=0),"Gebinde unbekannt / Stellmass fehlt; ","")&amp;IF(AND(CA524=0,N(V524)&lt;=0,N(Q524)&lt;=0),"Menge pro Gebinde fehlt (Ist = 1 Gebinde); ","")&amp;BV524)</f>
        <v>Kein Verbrauch; Überbestand 5 Stk / CHF 70; </v>
      </c>
      <c r="BO524" s="60"/>
      <c r="BP524" s="60"/>
      <c r="BQ524" s="67"/>
      <c r="BR524" s="62" t="n">
        <v>2</v>
      </c>
      <c r="BS524" s="62" t="n">
        <v>4</v>
      </c>
      <c r="BT524" s="61" t="n">
        <v>28.02</v>
      </c>
      <c r="BU524" s="62" t="n">
        <v>0</v>
      </c>
      <c r="BV524" s="60"/>
      <c r="BW524" s="65" t="n">
        <v>0</v>
      </c>
      <c r="BX524" s="65" t="n">
        <v>524</v>
      </c>
      <c r="BY524" s="60" t="str">
        <f aca="false">IF(U524&lt;&gt;"",UPPER(TRIM(U524)),IF(CB524=1,UPPER(VLOOKUP(T524,Parameter!$I$27:$K$29,2,0)),IF(P524="","LOSE",P524)))</f>
        <v>S41</v>
      </c>
      <c r="BZ524" s="62" t="n">
        <f aca="false">IF(BY524="LOSE",1,IF(N(V524)&gt;0,V524,IF(CB524=1,MAX(1,N(VLOOKUP(T524,Parameter!$I$27:$K$29,3,0)),H524,N(N524)),IF(N(Q524)&gt;0,Q524,MAX(1,H524)))))</f>
        <v>1</v>
      </c>
      <c r="CA524" s="65" t="n">
        <f aca="false">IF(BY524="LOSE",1,0)</f>
        <v>0</v>
      </c>
      <c r="CB524" s="65" t="n">
        <f aca="false">IF(AND(U524="",OR(P524="",P524="LOSE"),T524&lt;&gt;"",N(S524)&lt;=0,ISNUMBER(MATCH(T524,Parameter!$I$27:$I$29,0))),1,0)</f>
        <v>0</v>
      </c>
      <c r="CC524" s="65" t="n">
        <f aca="false">IF(CR524&gt;0,INDEX(Parameter!$H$5:$H$7,W524)/INDEX(Parameter!$E$5:$E$7,W524),IF(AND(CA524=0,N(IFERROR(VLOOKUP(BY524,'Gebinde-Kategorie'!$A$5:$N$45,14,0),0))&gt;0),VLOOKUP(BY524,'Gebinde-Kategorie'!$A$5:$N$45,14,0)*10+Parameter!$M$23,Parameter!$M$24))</f>
        <v>155</v>
      </c>
      <c r="CD524" s="60" t="str">
        <f aca="false">IF(AND(Parameter!$B$19="Ja",E524&lt;&gt;"",ISNUMBER(MATCH(E524,Parameter!$I$35:$I$52,0))),VLOOKUP(E524,Parameter!$I$35:$J$52,2,0),IFERROR(VLOOKUP(D524,Parameter!$A$35:$C$64,2,0),"Nein"))</f>
        <v>2+3</v>
      </c>
      <c r="CE524" s="64" t="n">
        <f aca="false">IF(CA524=0,0,IF(N(S524)&gt;0,S524,IFERROR(VLOOKUP(D524,Parameter!$A$35:$C$64,3,0)+0,0)))</f>
        <v>0</v>
      </c>
      <c r="CF524" s="60" t="n">
        <f aca="false">IF(AB524&lt;&gt;"",AB524,AA524)</f>
        <v>3</v>
      </c>
      <c r="CG524" s="60" t="str">
        <f aca="false">IF(OR(CF524=1,CF524=2,CF524=3),IF(Parameter!$E$27="Ja","LIFT",IF(CF524=1,"L1","L23")),IF(CF524="Aussen","Aussen","-"))</f>
        <v>LIFT</v>
      </c>
      <c r="CH524" s="71" t="n">
        <f aca="false">IF(N(AC524)&gt;0,AC524,0)</f>
        <v>0</v>
      </c>
      <c r="CI524" s="65" t="n">
        <f aca="false">IF(ISNUMBER(AF524),1,0)</f>
        <v>0</v>
      </c>
      <c r="CJ524" s="62" t="n">
        <f aca="false">N(AF524)</f>
        <v>0</v>
      </c>
      <c r="CK524" s="62" t="n">
        <f aca="false">N(M524)+N(N524)</f>
        <v>1</v>
      </c>
      <c r="CL524" s="62" t="n">
        <f aca="false">N(M524)</f>
        <v>0</v>
      </c>
      <c r="CM524" s="62" t="n">
        <f aca="false">N(N524)</f>
        <v>1</v>
      </c>
      <c r="CN524" s="62" t="n">
        <f aca="false">ROUNDUP(H524/BZ524,0)</f>
        <v>6</v>
      </c>
      <c r="CO524" s="62" t="n">
        <f aca="false">ROUNDUP(CJ524/BZ524,0)</f>
        <v>0</v>
      </c>
      <c r="CP524" s="65" t="n">
        <f aca="false">IF(CA524=1,0,IFERROR(VLOOKUP(BY524,'Gebinde-Kategorie'!$A$5:$N$45,5,0)+0,0))</f>
        <v>11</v>
      </c>
      <c r="CQ524" s="65" t="n">
        <f aca="false">IFERROR(IF(OR(CF524=1,CF524=2,CF524=3),N(INDEX(Parameter!$I$5:$I$7,CF524)),0),0)</f>
        <v>0</v>
      </c>
      <c r="CR524" s="64" t="n">
        <f aca="false">IF(AND(Parameter!$B$21="Ja",ISNUMBER(W524),N(X524)&gt;0),IFERROR(N(INDEX(Parameter!$L$5:$L$7,W524))*INDEX(Parameter!$E$5:$E$7,W524)*X524/SUMIFS($X$7:$X$1843,$W$7:$W$1843,W524),0),0)</f>
        <v>0</v>
      </c>
      <c r="CS524" s="62" t="n">
        <f aca="false">IF(AND(OR(CG524="L1",CG524="L23",CG524="LIFT"),H524&gt;0),CC524*IF(CR524&gt;0,CR524*MAX(1,H524/X524),IF(CA524=1,CE524,IF(R524&gt;0,CN524/R524,0))/MAX(0.1,N(Parameter!$M$21))),"")</f>
        <v>17.8846153846154</v>
      </c>
      <c r="CT524" s="64" t="n">
        <f aca="false">IF(CS524="","",J524/H524)</f>
        <v>0</v>
      </c>
      <c r="CU524" s="62" t="n">
        <f aca="false">IF(CS524="","",H524*G524)</f>
        <v>83.7</v>
      </c>
      <c r="CV524" s="63" t="n">
        <f aca="false">IF(CS524="","",(CL524+ROUNDUP(CL524+MAX(CM524,2*(J524/MAX(0.1,N(Einkauf!$C$6))-CL524)),0))/2)</f>
        <v>0.5</v>
      </c>
      <c r="CW524" s="62" t="n">
        <f aca="false">IF(CS524="","",MAX(0,H524-CV524)*G524)</f>
        <v>76.725</v>
      </c>
      <c r="CX524" s="62" t="n">
        <f aca="false">IF(CS524="","",CS524*MAX(0,1-CV524/H524))</f>
        <v>16.3942307692308</v>
      </c>
      <c r="CY524" s="64" t="n">
        <f aca="false">IF(CS524="","",PERCENTRANK($CS$7:$CS$1843,CS524)+PERCENTRANK($CU$7:$CU$1843,CU524)+1-PERCENTRANK($CT$7:$CT$1843,CT524))</f>
        <v>1.965</v>
      </c>
      <c r="CZ524" s="72" t="n">
        <f aca="false">IF(CS524="","",CHOOSE(MATCH(Einkauf!$C$5,Parameter!$G$23:$G$27,0),CY524,CS524,CU524,-CT524,CW524)+ROW()/1000000000)</f>
        <v>1.965000524</v>
      </c>
    </row>
    <row r="525" customFormat="false" ht="15" hidden="false" customHeight="false" outlineLevel="0" collapsed="false">
      <c r="A525" s="60" t="s">
        <v>1179</v>
      </c>
      <c r="B525" s="60" t="s">
        <v>991</v>
      </c>
      <c r="C525" s="60" t="s">
        <v>206</v>
      </c>
      <c r="D525" s="60" t="s">
        <v>226</v>
      </c>
      <c r="E525" s="60"/>
      <c r="F525" s="60" t="s">
        <v>260</v>
      </c>
      <c r="G525" s="61" t="n">
        <v>0.14</v>
      </c>
      <c r="H525" s="62" t="n">
        <f aca="false">MAX(0,IF(AND(Parameter!$B$21="Ja",ISNUMBER(Y525)),Y525,IF(Parameter!$B$20="Jahresanfang 2025 + Export",BS525+BR525,BR525)))</f>
        <v>200</v>
      </c>
      <c r="I525" s="62" t="n">
        <f aca="false">H525*G525</f>
        <v>28</v>
      </c>
      <c r="J525" s="62" t="n">
        <f aca="false">BU525*Parameter!$B$18</f>
        <v>200</v>
      </c>
      <c r="K525" s="63" t="n">
        <v>0</v>
      </c>
      <c r="L525" s="64" t="n">
        <v>0</v>
      </c>
      <c r="M525" s="62" t="n">
        <v>12</v>
      </c>
      <c r="N525" s="62" t="n">
        <v>200</v>
      </c>
      <c r="O525" s="65" t="n">
        <v>21</v>
      </c>
      <c r="P525" s="60" t="s">
        <v>210</v>
      </c>
      <c r="Q525" s="62"/>
      <c r="R525" s="65" t="n">
        <f aca="false">IF(CA525=1,0,IFERROR(VLOOKUP(BY525,'Gebinde-Kategorie'!$A$5:$N$45,13,0)+0,0))</f>
        <v>26</v>
      </c>
      <c r="S525" s="66"/>
      <c r="T525" s="67" t="s">
        <v>317</v>
      </c>
      <c r="U525" s="67"/>
      <c r="V525" s="67"/>
      <c r="W525" s="60"/>
      <c r="X525" s="62"/>
      <c r="Y525" s="62"/>
      <c r="Z525" s="60" t="n">
        <v>3</v>
      </c>
      <c r="AA525" s="60" t="n">
        <f aca="false">IF(A525="","",IF(AND(Parameter!$B$21="Ja",ISNUMBER(W525)),W525,IF(AND(Parameter!$E$27="Ja",ISNUMBER(Z525),CD525&lt;&gt;"Nein"),Z525,IF(CD525="2+3",IF(ISNUMBER(SEARCH("grosser Artikel",BV525)),2,IFERROR(VLOOKUP(BY525,Parameter!$F$35:$G$64,2,0),2)),IF(OR(CD525="Nein",CD525=""),"-",CD525)))))</f>
        <v>3</v>
      </c>
      <c r="AB525" s="67"/>
      <c r="AC525" s="68"/>
      <c r="AD525" s="62" t="n">
        <f aca="false">AW525</f>
        <v>212</v>
      </c>
      <c r="AE525" s="62" t="n">
        <f aca="false">MAX(AW525,H525)</f>
        <v>212</v>
      </c>
      <c r="AF525" s="69"/>
      <c r="AG525" s="62" t="n">
        <f aca="false">IF(LEFT(Cockpit!$C$5,1)="A",H525,IF(Parameter!$E$30="MAX-Bestand",IF(CI525=1,CJ525,IF(LEFT(Cockpit!$C$5,1)="B",AM525,MAX(AM525,H525))),ROUNDUP(AK525,0)))</f>
        <v>200</v>
      </c>
      <c r="AH525" s="62" t="n">
        <f aca="false">IF(CA525=1,0,ROUNDUP(AG525/BZ525,0))</f>
        <v>1</v>
      </c>
      <c r="AI525" s="64" t="n">
        <f aca="false">IF(CR525&gt;0,CR525*MAX(1,AG525/X525),IF(CA525=1,IF(AG525&lt;=0,0,CE525*MAX(1,IF(H525&gt;0,AG525/H525,1))),IF(R525&gt;0,AH525/R525,0))/MAX(0.1,N(Parameter!$M$21)))</f>
        <v>0.0384615384615385</v>
      </c>
      <c r="AJ525" s="62" t="n">
        <f aca="false">AI525*CC525</f>
        <v>5.96153846153846</v>
      </c>
      <c r="AK525" s="63" t="n">
        <f aca="false">IF(LEFT(Cockpit!$C$5,1)="A",H525,IF(CI525=1,(CL525+CJ525)/2,IF(LEFT(Cockpit!$C$5,1)="B",(CL525+AM525)/2,MAX((CL525+AM525)/2,H525))))</f>
        <v>200</v>
      </c>
      <c r="AL525" s="62" t="n">
        <f aca="false">AK525*G525</f>
        <v>28</v>
      </c>
      <c r="AM525" s="62" t="n">
        <f aca="false">ROUNDUP(CL525+MAX(CM525,2*(J525/IF(CH525&gt;0,CH525,MAX(0.1,N(Cockpit!$C$6)))-CL525)),0)</f>
        <v>212</v>
      </c>
      <c r="AN525" s="63" t="n">
        <f aca="false">IF(AJ525&gt;0,J525/AJ525,-1)</f>
        <v>33.5483870967742</v>
      </c>
      <c r="AO525" s="63" t="n">
        <f aca="false">IF(AND(OR(CG525="L1",CG525="L23",CG525="LIFT"),AJ525&gt;0),SUMIFS($AJ$7:$AJ$1843,$CG$7:$CG$1843,CG525,$AN$7:$AN$1843,"&gt;"&amp;AN525)+SUMIFS($AJ$7:$AJ$1843,$CG$7:$CG$1843,CG525,$AN$7:$AN$1843,AN525,$BX$7:$BX$1843,"&lt;="&amp;BX525),"")</f>
        <v>1322.60302197802</v>
      </c>
      <c r="AP525" s="70" t="n">
        <f aca="false">IF(AO525="",0,MAX(0,MIN(1,(IF(CG525="L1",Parameter!$H$5,IF(CG525="L23",Parameter!$H$6+Parameter!$H$7,Parameter!$H$5+Parameter!$H$6+Parameter!$H$7))-(AO525-AJ525))/AJ525)))</f>
        <v>1</v>
      </c>
      <c r="AQ525" s="62" t="n">
        <f aca="false">IF(LEFT(Cockpit!$I$5,1)="A",H525,IF(Parameter!$E$30="MAX-Bestand",IF(CI525=1,CJ525,IF(LEFT(Cockpit!$I$5,1)="B",AW525,MAX(AW525,H525))),ROUNDUP(AU525,0)))</f>
        <v>200</v>
      </c>
      <c r="AR525" s="62" t="n">
        <f aca="false">IF(CA525=1,0,ROUNDUP(AQ525/BZ525,0))</f>
        <v>1</v>
      </c>
      <c r="AS525" s="64" t="n">
        <f aca="false">IF(CR525&gt;0,CR525*MAX(1,AQ525/X525),IF(CA525=1,IF(AQ525&lt;=0,0,CE525*MAX(1,IF(H525&gt;0,AQ525/H525,1))),IF(R525&gt;0,AR525/R525,0))/MAX(0.1,N(Parameter!$M$21)))</f>
        <v>0.0384615384615385</v>
      </c>
      <c r="AT525" s="62" t="n">
        <f aca="false">AS525*CC525</f>
        <v>5.96153846153846</v>
      </c>
      <c r="AU525" s="63" t="n">
        <f aca="false">IF(LEFT(Cockpit!$I$5,1)="A",H525,IF(CI525=1,(CL525+CJ525)/2,IF(LEFT(Cockpit!$I$5,1)="B",(CL525+AW525)/2,MAX((CL525+AW525)/2,H525))))</f>
        <v>200</v>
      </c>
      <c r="AV525" s="62" t="n">
        <f aca="false">AU525*G525</f>
        <v>28</v>
      </c>
      <c r="AW525" s="62" t="n">
        <f aca="false">ROUNDUP(CL525+MAX(CM525,2*(J525/IF(CH525&gt;0,CH525,MAX(0.1,N(Cockpit!$I$6)))-CL525)),0)</f>
        <v>212</v>
      </c>
      <c r="AX525" s="63" t="n">
        <f aca="false">IF(AT525&gt;0,J525/AT525,-1)</f>
        <v>33.5483870967742</v>
      </c>
      <c r="AY525" s="63" t="n">
        <f aca="false">IF(AND(OR(CG525="L1",CG525="L23",CG525="LIFT"),AT525&gt;0),SUMIFS($AT$7:$AT$1843,$CG$7:$CG$1843,CG525,$AX$7:$AX$1843,"&gt;"&amp;AX525)+SUMIFS($AT$7:$AT$1843,$CG$7:$CG$1843,CG525,$AX$7:$AX$1843,AX525,$BX$7:$BX$1843,"&lt;="&amp;BX525),"")</f>
        <v>1643.36904761905</v>
      </c>
      <c r="AZ525" s="70" t="n">
        <f aca="false">IF(AY525="",0,MAX(0,MIN(1,(IF(CG525="L1",Parameter!$H$5,IF(CG525="L23",Parameter!$H$6+Parameter!$H$7,Parameter!$H$5+Parameter!$H$6+Parameter!$H$7))-(AY525-AT525))/AT525)))</f>
        <v>1</v>
      </c>
      <c r="BA525" s="62" t="n">
        <f aca="false">IF(LEFT(Cockpit!$O$5,1)="A",H525,IF(Parameter!$E$30="MAX-Bestand",IF(CI525=1,CJ525,IF(LEFT(Cockpit!$O$5,1)="B",BG525,MAX(BG525,H525))),ROUNDUP(BE525,0)))</f>
        <v>112</v>
      </c>
      <c r="BB525" s="62" t="n">
        <f aca="false">IF(CA525=1,0,ROUNDUP(BA525/BZ525,0))</f>
        <v>1</v>
      </c>
      <c r="BC525" s="64" t="n">
        <f aca="false">IF(CR525&gt;0,CR525*MAX(1,BA525/X525),IF(CA525=1,IF(BA525&lt;=0,0,CE525*MAX(1,IF(H525&gt;0,BA525/H525,1))),IF(R525&gt;0,BB525/R525,0))/MAX(0.1,N(Parameter!$M$21)))</f>
        <v>0.0384615384615385</v>
      </c>
      <c r="BD525" s="62" t="n">
        <f aca="false">BC525*CC525</f>
        <v>5.96153846153846</v>
      </c>
      <c r="BE525" s="63" t="n">
        <f aca="false">IF(LEFT(Cockpit!$O$5,1)="A",H525,IF(CI525=1,(CL525+CJ525)/2,IF(LEFT(Cockpit!$O$5,1)="B",(CL525+BG525)/2,MAX((CL525+BG525)/2,H525))))</f>
        <v>112</v>
      </c>
      <c r="BF525" s="62" t="n">
        <f aca="false">BE525*G525</f>
        <v>15.68</v>
      </c>
      <c r="BG525" s="62" t="n">
        <f aca="false">ROUNDUP(CL525+MAX(CM525,2*(J525/IF(CH525&gt;0,CH525,MAX(0.1,N(Cockpit!$O$6)))-CL525)),0)</f>
        <v>212</v>
      </c>
      <c r="BH525" s="63" t="n">
        <f aca="false">IF(BD525&gt;0,J525/BD525,-1)</f>
        <v>33.5483870967742</v>
      </c>
      <c r="BI525" s="63" t="n">
        <f aca="false">IF(AND(OR(CG525="L1",CG525="L23",CG525="LIFT"),BD525&gt;0),SUMIFS($BD$7:$BD$1843,$CG$7:$CG$1843,CG525,$BH$7:$BH$1843,"&gt;"&amp;BH525)+SUMIFS($BD$7:$BD$1843,$CG$7:$CG$1843,CG525,$BH$7:$BH$1843,BH525,$BX$7:$BX$1843,"&lt;="&amp;BX525),"")</f>
        <v>1577.08333333333</v>
      </c>
      <c r="BJ525" s="70" t="n">
        <f aca="false">IF(BI525="",0,MAX(0,MIN(1,(IF(CG525="L1",Parameter!$H$5,IF(CG525="L23",Parameter!$H$6+Parameter!$H$7,Parameter!$H$5+Parameter!$H$6+Parameter!$H$7))-(BI525-BD525))/BD525)))</f>
        <v>1</v>
      </c>
      <c r="BK525" s="60" t="str">
        <f aca="false">IF(AJ525&lt;=0,"",IF(CG525="Aussen","Aussenlager",IF(CG525="-","Nicht im Lift",IF(AP525&gt;=1,"Lift",IF(AP525&lt;=0,"Aussenlager","teilweise")))))</f>
        <v>Lift</v>
      </c>
      <c r="BL525" s="60" t="str">
        <f aca="false">IF(AT525&lt;=0,"",IF(CG525="Aussen","Aussenlager",IF(CG525="-","Nicht im Lift",IF(AZ525&gt;=1,"Lift",IF(AZ525&lt;=0,"Aussenlager","teilweise")))))</f>
        <v>Lift</v>
      </c>
      <c r="BM525" s="60" t="str">
        <f aca="false">IF(BD525&lt;=0,"",IF(CG525="Aussen","Aussenlager",IF(CG525="-","Nicht im Lift",IF(BJ525&gt;=1,"Lift",IF(BJ525&lt;=0,"Aussenlager","teilweise")))))</f>
        <v>Lift</v>
      </c>
      <c r="BN525" s="60" t="str">
        <f aca="false">IF(A525="","",IF(BW525=1,"Neu; ","")&amp;IF(AND(BW525=0,BR525&lt;0),"negativer Bestand (Export "&amp;BR525&amp;"); ","")&amp;IF(J525&lt;=0,"Kein Verbrauch; ","")&amp;IF(CR525&gt;0,"Lift "&amp;W525&amp;" lt. Liftbericht (Fach "&amp;X525&amp;" Stk); ",IF(CB525=1,"Gebinde geschätzt ("&amp;T525&amp;"); ",IF(CA525=1,"Lose – Tablare geschätzt; ","")))&amp;IF(H525&gt;AW525,"Überbestand "&amp;ROUND(H525-AW525,0)&amp;" Stk / CHF "&amp;ROUND((H525-AW525)*G525,0)&amp;"; ","")&amp;IF(AND(CI525=1,CJ525&lt;CK525),"MAX &lt; MB+LG; ","")&amp;IF(AND(CQ525&gt;0,CP525*10&gt;CQ525),"zu hoch für Tablar; ","")&amp;IF(AND(BW525=0,OR(CI525=1,AB525&lt;&gt;"",U525&lt;&gt;"",V525&lt;&gt;"",AC525&lt;&gt;"")),"manuell übersteuert; ","")&amp;IF(AND(CA525=0,R525=0),"Gebinde unbekannt / Stellmass fehlt; ","")&amp;IF(AND(CA525=0,N(V525)&lt;=0,N(Q525)&lt;=0),"Menge pro Gebinde fehlt (Ist = 1 Gebinde); ","")&amp;BV525)</f>
        <v>Gebinde geschätzt (Klein); Menge pro Gebinde fehlt (Ist = 1 Gebinde); </v>
      </c>
      <c r="BO525" s="60"/>
      <c r="BP525" s="60"/>
      <c r="BQ525" s="67"/>
      <c r="BR525" s="62" t="n">
        <v>200</v>
      </c>
      <c r="BS525" s="62" t="n">
        <v>0</v>
      </c>
      <c r="BT525" s="61" t="n">
        <v>28</v>
      </c>
      <c r="BU525" s="62" t="n">
        <v>200</v>
      </c>
      <c r="BV525" s="60"/>
      <c r="BW525" s="65" t="n">
        <v>0</v>
      </c>
      <c r="BX525" s="65" t="n">
        <v>525</v>
      </c>
      <c r="BY525" s="60" t="str">
        <f aca="false">IF(U525&lt;&gt;"",UPPER(TRIM(U525)),IF(CB525=1,UPPER(VLOOKUP(T525,Parameter!$I$27:$K$29,2,0)),IF(P525="","LOSE",P525)))</f>
        <v>S51</v>
      </c>
      <c r="BZ525" s="62" t="n">
        <f aca="false">IF(BY525="LOSE",1,IF(N(V525)&gt;0,V525,IF(CB525=1,MAX(1,N(VLOOKUP(T525,Parameter!$I$27:$K$29,3,0)),H525,N(N525)),IF(N(Q525)&gt;0,Q525,MAX(1,H525)))))</f>
        <v>200</v>
      </c>
      <c r="CA525" s="65" t="n">
        <f aca="false">IF(BY525="LOSE",1,0)</f>
        <v>0</v>
      </c>
      <c r="CB525" s="65" t="n">
        <f aca="false">IF(AND(U525="",OR(P525="",P525="LOSE"),T525&lt;&gt;"",N(S525)&lt;=0,ISNUMBER(MATCH(T525,Parameter!$I$27:$I$29,0))),1,0)</f>
        <v>1</v>
      </c>
      <c r="CC525" s="65" t="n">
        <f aca="false">IF(CR525&gt;0,INDEX(Parameter!$H$5:$H$7,W525)/INDEX(Parameter!$E$5:$E$7,W525),IF(AND(CA525=0,N(IFERROR(VLOOKUP(BY525,'Gebinde-Kategorie'!$A$5:$N$45,14,0),0))&gt;0),VLOOKUP(BY525,'Gebinde-Kategorie'!$A$5:$N$45,14,0)*10+Parameter!$M$23,Parameter!$M$24))</f>
        <v>155</v>
      </c>
      <c r="CD525" s="60" t="str">
        <f aca="false">IF(AND(Parameter!$B$19="Ja",E525&lt;&gt;"",ISNUMBER(MATCH(E525,Parameter!$I$35:$I$52,0))),VLOOKUP(E525,Parameter!$I$35:$J$52,2,0),IFERROR(VLOOKUP(D525,Parameter!$A$35:$C$64,2,0),"Nein"))</f>
        <v>2+3</v>
      </c>
      <c r="CE525" s="64" t="n">
        <f aca="false">IF(CA525=0,0,IF(N(S525)&gt;0,S525,IFERROR(VLOOKUP(D525,Parameter!$A$35:$C$64,3,0)+0,0)))</f>
        <v>0</v>
      </c>
      <c r="CF525" s="60" t="n">
        <f aca="false">IF(AB525&lt;&gt;"",AB525,AA525)</f>
        <v>3</v>
      </c>
      <c r="CG525" s="60" t="str">
        <f aca="false">IF(OR(CF525=1,CF525=2,CF525=3),IF(Parameter!$E$27="Ja","LIFT",IF(CF525=1,"L1","L23")),IF(CF525="Aussen","Aussen","-"))</f>
        <v>LIFT</v>
      </c>
      <c r="CH525" s="71" t="n">
        <f aca="false">IF(N(AC525)&gt;0,AC525,0)</f>
        <v>0</v>
      </c>
      <c r="CI525" s="65" t="n">
        <f aca="false">IF(ISNUMBER(AF525),1,0)</f>
        <v>0</v>
      </c>
      <c r="CJ525" s="62" t="n">
        <f aca="false">N(AF525)</f>
        <v>0</v>
      </c>
      <c r="CK525" s="62" t="n">
        <f aca="false">N(M525)+N(N525)</f>
        <v>212</v>
      </c>
      <c r="CL525" s="62" t="n">
        <f aca="false">N(M525)</f>
        <v>12</v>
      </c>
      <c r="CM525" s="62" t="n">
        <f aca="false">N(N525)</f>
        <v>200</v>
      </c>
      <c r="CN525" s="62" t="n">
        <f aca="false">ROUNDUP(H525/BZ525,0)</f>
        <v>1</v>
      </c>
      <c r="CO525" s="62" t="n">
        <f aca="false">ROUNDUP(CJ525/BZ525,0)</f>
        <v>0</v>
      </c>
      <c r="CP525" s="65" t="n">
        <f aca="false">IF(CA525=1,0,IFERROR(VLOOKUP(BY525,'Gebinde-Kategorie'!$A$5:$N$45,5,0)+0,0))</f>
        <v>11</v>
      </c>
      <c r="CQ525" s="65" t="n">
        <f aca="false">IFERROR(IF(OR(CF525=1,CF525=2,CF525=3),N(INDEX(Parameter!$I$5:$I$7,CF525)),0),0)</f>
        <v>0</v>
      </c>
      <c r="CR525" s="64" t="n">
        <f aca="false">IF(AND(Parameter!$B$21="Ja",ISNUMBER(W525),N(X525)&gt;0),IFERROR(N(INDEX(Parameter!$L$5:$L$7,W525))*INDEX(Parameter!$E$5:$E$7,W525)*X525/SUMIFS($X$7:$X$1843,$W$7:$W$1843,W525),0),0)</f>
        <v>0</v>
      </c>
      <c r="CS525" s="62" t="n">
        <f aca="false">IF(AND(OR(CG525="L1",CG525="L23",CG525="LIFT"),H525&gt;0),CC525*IF(CR525&gt;0,CR525*MAX(1,H525/X525),IF(CA525=1,CE525,IF(R525&gt;0,CN525/R525,0))/MAX(0.1,N(Parameter!$M$21))),"")</f>
        <v>5.96153846153846</v>
      </c>
      <c r="CT525" s="64" t="n">
        <f aca="false">IF(CS525="","",J525/H525)</f>
        <v>1</v>
      </c>
      <c r="CU525" s="62" t="n">
        <f aca="false">IF(CS525="","",H525*G525)</f>
        <v>28</v>
      </c>
      <c r="CV525" s="63" t="n">
        <f aca="false">IF(CS525="","",(CL525+ROUNDUP(CL525+MAX(CM525,2*(J525/MAX(0.1,N(Einkauf!$C$6))-CL525)),0))/2)</f>
        <v>112</v>
      </c>
      <c r="CW525" s="62" t="n">
        <f aca="false">IF(CS525="","",MAX(0,H525-CV525)*G525)</f>
        <v>12.32</v>
      </c>
      <c r="CX525" s="62" t="n">
        <f aca="false">IF(CS525="","",CS525*MAX(0,1-CV525/H525))</f>
        <v>2.62307692307692</v>
      </c>
      <c r="CY525" s="64" t="n">
        <f aca="false">IF(CS525="","",PERCENTRANK($CS$7:$CS$1843,CS525)+PERCENTRANK($CU$7:$CU$1843,CU525)+1-PERCENTRANK($CT$7:$CT$1843,CT525))</f>
        <v>0.829</v>
      </c>
      <c r="CZ525" s="72" t="n">
        <f aca="false">IF(CS525="","",CHOOSE(MATCH(Einkauf!$C$5,Parameter!$G$23:$G$27,0),CY525,CS525,CU525,-CT525,CW525)+ROW()/1000000000)</f>
        <v>0.829000525</v>
      </c>
    </row>
    <row r="526" customFormat="false" ht="15" hidden="false" customHeight="false" outlineLevel="0" collapsed="false">
      <c r="A526" s="60" t="s">
        <v>1180</v>
      </c>
      <c r="B526" s="60" t="s">
        <v>991</v>
      </c>
      <c r="C526" s="60" t="s">
        <v>206</v>
      </c>
      <c r="D526" s="60" t="s">
        <v>226</v>
      </c>
      <c r="E526" s="60" t="s">
        <v>227</v>
      </c>
      <c r="F526" s="60" t="s">
        <v>260</v>
      </c>
      <c r="G526" s="61" t="n">
        <v>0.14</v>
      </c>
      <c r="H526" s="62" t="n">
        <f aca="false">MAX(0,IF(AND(Parameter!$B$21="Ja",ISNUMBER(Y526)),Y526,IF(Parameter!$B$20="Jahresanfang 2025 + Export",BS526+BR526,BR526)))</f>
        <v>435</v>
      </c>
      <c r="I526" s="62" t="n">
        <f aca="false">H526*G526</f>
        <v>60.9</v>
      </c>
      <c r="J526" s="62" t="n">
        <f aca="false">BU526*Parameter!$B$18</f>
        <v>392</v>
      </c>
      <c r="K526" s="63" t="n">
        <v>237</v>
      </c>
      <c r="L526" s="64" t="n">
        <v>1.65400843881857</v>
      </c>
      <c r="M526" s="62" t="n">
        <v>22</v>
      </c>
      <c r="N526" s="62" t="n">
        <v>400</v>
      </c>
      <c r="O526" s="65" t="n">
        <v>21</v>
      </c>
      <c r="P526" s="60" t="s">
        <v>344</v>
      </c>
      <c r="Q526" s="62" t="n">
        <v>219</v>
      </c>
      <c r="R526" s="65" t="n">
        <f aca="false">IF(CA526=1,0,IFERROR(VLOOKUP(BY526,'Gebinde-Kategorie'!$A$5:$N$45,13,0)+0,0))</f>
        <v>26</v>
      </c>
      <c r="S526" s="66"/>
      <c r="T526" s="67"/>
      <c r="U526" s="67"/>
      <c r="V526" s="67"/>
      <c r="W526" s="60"/>
      <c r="X526" s="62"/>
      <c r="Y526" s="62"/>
      <c r="Z526" s="60" t="n">
        <v>3</v>
      </c>
      <c r="AA526" s="60" t="n">
        <f aca="false">IF(A526="","",IF(AND(Parameter!$B$21="Ja",ISNUMBER(W526)),W526,IF(AND(Parameter!$E$27="Ja",ISNUMBER(Z526),CD526&lt;&gt;"Nein"),Z526,IF(CD526="2+3",IF(ISNUMBER(SEARCH("grosser Artikel",BV526)),2,IFERROR(VLOOKUP(BY526,Parameter!$F$35:$G$64,2,0),2)),IF(OR(CD526="Nein",CD526=""),"-",CD526)))))</f>
        <v>3</v>
      </c>
      <c r="AB526" s="67"/>
      <c r="AC526" s="68"/>
      <c r="AD526" s="62" t="n">
        <f aca="false">AW526</f>
        <v>422</v>
      </c>
      <c r="AE526" s="62" t="n">
        <f aca="false">MAX(AW526,H526)</f>
        <v>435</v>
      </c>
      <c r="AF526" s="69"/>
      <c r="AG526" s="62" t="n">
        <f aca="false">IF(LEFT(Cockpit!$C$5,1)="A",H526,IF(Parameter!$E$30="MAX-Bestand",IF(CI526=1,CJ526,IF(LEFT(Cockpit!$C$5,1)="B",AM526,MAX(AM526,H526))),ROUNDUP(AK526,0)))</f>
        <v>435</v>
      </c>
      <c r="AH526" s="62" t="n">
        <f aca="false">IF(CA526=1,0,ROUNDUP(AG526/BZ526,0))</f>
        <v>2</v>
      </c>
      <c r="AI526" s="64" t="n">
        <f aca="false">IF(CR526&gt;0,CR526*MAX(1,AG526/X526),IF(CA526=1,IF(AG526&lt;=0,0,CE526*MAX(1,IF(H526&gt;0,AG526/H526,1))),IF(R526&gt;0,AH526/R526,0))/MAX(0.1,N(Parameter!$M$21)))</f>
        <v>0.0769230769230769</v>
      </c>
      <c r="AJ526" s="62" t="n">
        <f aca="false">AI526*CC526</f>
        <v>11.9230769230769</v>
      </c>
      <c r="AK526" s="63" t="n">
        <f aca="false">IF(LEFT(Cockpit!$C$5,1)="A",H526,IF(CI526=1,(CL526+CJ526)/2,IF(LEFT(Cockpit!$C$5,1)="B",(CL526+AM526)/2,MAX((CL526+AM526)/2,H526))))</f>
        <v>435</v>
      </c>
      <c r="AL526" s="62" t="n">
        <f aca="false">AK526*G526</f>
        <v>60.9</v>
      </c>
      <c r="AM526" s="62" t="n">
        <f aca="false">ROUNDUP(CL526+MAX(CM526,2*(J526/IF(CH526&gt;0,CH526,MAX(0.1,N(Cockpit!$C$6)))-CL526)),0)</f>
        <v>422</v>
      </c>
      <c r="AN526" s="63" t="n">
        <f aca="false">IF(AJ526&gt;0,J526/AJ526,-1)</f>
        <v>32.8774193548387</v>
      </c>
      <c r="AO526" s="63" t="n">
        <f aca="false">IF(AND(OR(CG526="L1",CG526="L23",CG526="LIFT"),AJ526&gt;0),SUMIFS($AJ$7:$AJ$1843,$CG$7:$CG$1843,CG526,$AN$7:$AN$1843,"&gt;"&amp;AN526)+SUMIFS($AJ$7:$AJ$1843,$CG$7:$CG$1843,CG526,$AN$7:$AN$1843,AN526,$BX$7:$BX$1843,"&lt;="&amp;BX526),"")</f>
        <v>1334.5260989011</v>
      </c>
      <c r="AP526" s="70" t="n">
        <f aca="false">IF(AO526="",0,MAX(0,MIN(1,(IF(CG526="L1",Parameter!$H$5,IF(CG526="L23",Parameter!$H$6+Parameter!$H$7,Parameter!$H$5+Parameter!$H$6+Parameter!$H$7))-(AO526-AJ526))/AJ526)))</f>
        <v>1</v>
      </c>
      <c r="AQ526" s="62" t="n">
        <f aca="false">IF(LEFT(Cockpit!$I$5,1)="A",H526,IF(Parameter!$E$30="MAX-Bestand",IF(CI526=1,CJ526,IF(LEFT(Cockpit!$I$5,1)="B",AW526,MAX(AW526,H526))),ROUNDUP(AU526,0)))</f>
        <v>435</v>
      </c>
      <c r="AR526" s="62" t="n">
        <f aca="false">IF(CA526=1,0,ROUNDUP(AQ526/BZ526,0))</f>
        <v>2</v>
      </c>
      <c r="AS526" s="64" t="n">
        <f aca="false">IF(CR526&gt;0,CR526*MAX(1,AQ526/X526),IF(CA526=1,IF(AQ526&lt;=0,0,CE526*MAX(1,IF(H526&gt;0,AQ526/H526,1))),IF(R526&gt;0,AR526/R526,0))/MAX(0.1,N(Parameter!$M$21)))</f>
        <v>0.0769230769230769</v>
      </c>
      <c r="AT526" s="62" t="n">
        <f aca="false">AS526*CC526</f>
        <v>11.9230769230769</v>
      </c>
      <c r="AU526" s="63" t="n">
        <f aca="false">IF(LEFT(Cockpit!$I$5,1)="A",H526,IF(CI526=1,(CL526+CJ526)/2,IF(LEFT(Cockpit!$I$5,1)="B",(CL526+AW526)/2,MAX((CL526+AW526)/2,H526))))</f>
        <v>435</v>
      </c>
      <c r="AV526" s="62" t="n">
        <f aca="false">AU526*G526</f>
        <v>60.9</v>
      </c>
      <c r="AW526" s="62" t="n">
        <f aca="false">ROUNDUP(CL526+MAX(CM526,2*(J526/IF(CH526&gt;0,CH526,MAX(0.1,N(Cockpit!$I$6)))-CL526)),0)</f>
        <v>422</v>
      </c>
      <c r="AX526" s="63" t="n">
        <f aca="false">IF(AT526&gt;0,J526/AT526,-1)</f>
        <v>32.8774193548387</v>
      </c>
      <c r="AY526" s="63" t="n">
        <f aca="false">IF(AND(OR(CG526="L1",CG526="L23",CG526="LIFT"),AT526&gt;0),SUMIFS($AT$7:$AT$1843,$CG$7:$CG$1843,CG526,$AX$7:$AX$1843,"&gt;"&amp;AX526)+SUMIFS($AT$7:$AT$1843,$CG$7:$CG$1843,CG526,$AX$7:$AX$1843,AX526,$BX$7:$BX$1843,"&lt;="&amp;BX526),"")</f>
        <v>1727.79212454212</v>
      </c>
      <c r="AZ526" s="70" t="n">
        <f aca="false">IF(AY526="",0,MAX(0,MIN(1,(IF(CG526="L1",Parameter!$H$5,IF(CG526="L23",Parameter!$H$6+Parameter!$H$7,Parameter!$H$5+Parameter!$H$6+Parameter!$H$7))-(AY526-AT526))/AT526)))</f>
        <v>1</v>
      </c>
      <c r="BA526" s="62" t="n">
        <f aca="false">IF(LEFT(Cockpit!$O$5,1)="A",H526,IF(Parameter!$E$30="MAX-Bestand",IF(CI526=1,CJ526,IF(LEFT(Cockpit!$O$5,1)="B",BG526,MAX(BG526,H526))),ROUNDUP(BE526,0)))</f>
        <v>222</v>
      </c>
      <c r="BB526" s="62" t="n">
        <f aca="false">IF(CA526=1,0,ROUNDUP(BA526/BZ526,0))</f>
        <v>2</v>
      </c>
      <c r="BC526" s="64" t="n">
        <f aca="false">IF(CR526&gt;0,CR526*MAX(1,BA526/X526),IF(CA526=1,IF(BA526&lt;=0,0,CE526*MAX(1,IF(H526&gt;0,BA526/H526,1))),IF(R526&gt;0,BB526/R526,0))/MAX(0.1,N(Parameter!$M$21)))</f>
        <v>0.0769230769230769</v>
      </c>
      <c r="BD526" s="62" t="n">
        <f aca="false">BC526*CC526</f>
        <v>11.9230769230769</v>
      </c>
      <c r="BE526" s="63" t="n">
        <f aca="false">IF(LEFT(Cockpit!$O$5,1)="A",H526,IF(CI526=1,(CL526+CJ526)/2,IF(LEFT(Cockpit!$O$5,1)="B",(CL526+BG526)/2,MAX((CL526+BG526)/2,H526))))</f>
        <v>222</v>
      </c>
      <c r="BF526" s="62" t="n">
        <f aca="false">BE526*G526</f>
        <v>31.08</v>
      </c>
      <c r="BG526" s="62" t="n">
        <f aca="false">ROUNDUP(CL526+MAX(CM526,2*(J526/IF(CH526&gt;0,CH526,MAX(0.1,N(Cockpit!$O$6)))-CL526)),0)</f>
        <v>422</v>
      </c>
      <c r="BH526" s="63" t="n">
        <f aca="false">IF(BD526&gt;0,J526/BD526,-1)</f>
        <v>32.8774193548387</v>
      </c>
      <c r="BI526" s="63" t="n">
        <f aca="false">IF(AND(OR(CG526="L1",CG526="L23",CG526="LIFT"),BD526&gt;0),SUMIFS($BD$7:$BD$1843,$CG$7:$CG$1843,CG526,$BH$7:$BH$1843,"&gt;"&amp;BH526)+SUMIFS($BD$7:$BD$1843,$CG$7:$CG$1843,CG526,$BH$7:$BH$1843,BH526,$BX$7:$BX$1843,"&lt;="&amp;BX526),"")</f>
        <v>1667.46794871795</v>
      </c>
      <c r="BJ526" s="70" t="n">
        <f aca="false">IF(BI526="",0,MAX(0,MIN(1,(IF(CG526="L1",Parameter!$H$5,IF(CG526="L23",Parameter!$H$6+Parameter!$H$7,Parameter!$H$5+Parameter!$H$6+Parameter!$H$7))-(BI526-BD526))/BD526)))</f>
        <v>1</v>
      </c>
      <c r="BK526" s="60" t="str">
        <f aca="false">IF(AJ526&lt;=0,"",IF(CG526="Aussen","Aussenlager",IF(CG526="-","Nicht im Lift",IF(AP526&gt;=1,"Lift",IF(AP526&lt;=0,"Aussenlager","teilweise")))))</f>
        <v>Lift</v>
      </c>
      <c r="BL526" s="60" t="str">
        <f aca="false">IF(AT526&lt;=0,"",IF(CG526="Aussen","Aussenlager",IF(CG526="-","Nicht im Lift",IF(AZ526&gt;=1,"Lift",IF(AZ526&lt;=0,"Aussenlager","teilweise")))))</f>
        <v>Lift</v>
      </c>
      <c r="BM526" s="60" t="str">
        <f aca="false">IF(BD526&lt;=0,"",IF(CG526="Aussen","Aussenlager",IF(CG526="-","Nicht im Lift",IF(BJ526&gt;=1,"Lift",IF(BJ526&lt;=0,"Aussenlager","teilweise")))))</f>
        <v>Lift</v>
      </c>
      <c r="BN526" s="60" t="str">
        <f aca="false">IF(A526="","",IF(BW526=1,"Neu; ","")&amp;IF(AND(BW526=0,BR526&lt;0),"negativer Bestand (Export "&amp;BR526&amp;"); ","")&amp;IF(J526&lt;=0,"Kein Verbrauch; ","")&amp;IF(CR526&gt;0,"Lift "&amp;W526&amp;" lt. Liftbericht (Fach "&amp;X526&amp;" Stk); ",IF(CB526=1,"Gebinde geschätzt ("&amp;T526&amp;"); ",IF(CA526=1,"Lose – Tablare geschätzt; ","")))&amp;IF(H526&gt;AW526,"Überbestand "&amp;ROUND(H526-AW526,0)&amp;" Stk / CHF "&amp;ROUND((H526-AW526)*G526,0)&amp;"; ","")&amp;IF(AND(CI526=1,CJ526&lt;CK526),"MAX &lt; MB+LG; ","")&amp;IF(AND(CQ526&gt;0,CP526*10&gt;CQ526),"zu hoch für Tablar; ","")&amp;IF(AND(BW526=0,OR(CI526=1,AB526&lt;&gt;"",U526&lt;&gt;"",V526&lt;&gt;"",AC526&lt;&gt;"")),"manuell übersteuert; ","")&amp;IF(AND(CA526=0,R526=0),"Gebinde unbekannt / Stellmass fehlt; ","")&amp;IF(AND(CA526=0,N(V526)&lt;=0,N(Q526)&lt;=0),"Menge pro Gebinde fehlt (Ist = 1 Gebinde); ","")&amp;BV526)</f>
        <v>Überbestand 13 Stk / CHF 2; </v>
      </c>
      <c r="BO526" s="60"/>
      <c r="BP526" s="60"/>
      <c r="BQ526" s="67"/>
      <c r="BR526" s="62" t="n">
        <v>196</v>
      </c>
      <c r="BS526" s="62" t="n">
        <v>239</v>
      </c>
      <c r="BT526" s="61" t="n">
        <v>27.79</v>
      </c>
      <c r="BU526" s="62" t="n">
        <v>392</v>
      </c>
      <c r="BV526" s="60"/>
      <c r="BW526" s="65" t="n">
        <v>0</v>
      </c>
      <c r="BX526" s="65" t="n">
        <v>526</v>
      </c>
      <c r="BY526" s="60" t="str">
        <f aca="false">IF(U526&lt;&gt;"",UPPER(TRIM(U526)),IF(CB526=1,UPPER(VLOOKUP(T526,Parameter!$I$27:$K$29,2,0)),IF(P526="","LOSE",P526)))</f>
        <v>S51</v>
      </c>
      <c r="BZ526" s="62" t="n">
        <f aca="false">IF(BY526="LOSE",1,IF(N(V526)&gt;0,V526,IF(CB526=1,MAX(1,N(VLOOKUP(T526,Parameter!$I$27:$K$29,3,0)),H526,N(N526)),IF(N(Q526)&gt;0,Q526,MAX(1,H526)))))</f>
        <v>219</v>
      </c>
      <c r="CA526" s="65" t="n">
        <f aca="false">IF(BY526="LOSE",1,0)</f>
        <v>0</v>
      </c>
      <c r="CB526" s="65" t="n">
        <f aca="false">IF(AND(U526="",OR(P526="",P526="LOSE"),T526&lt;&gt;"",N(S526)&lt;=0,ISNUMBER(MATCH(T526,Parameter!$I$27:$I$29,0))),1,0)</f>
        <v>0</v>
      </c>
      <c r="CC526" s="65" t="n">
        <f aca="false">IF(CR526&gt;0,INDEX(Parameter!$H$5:$H$7,W526)/INDEX(Parameter!$E$5:$E$7,W526),IF(AND(CA526=0,N(IFERROR(VLOOKUP(BY526,'Gebinde-Kategorie'!$A$5:$N$45,14,0),0))&gt;0),VLOOKUP(BY526,'Gebinde-Kategorie'!$A$5:$N$45,14,0)*10+Parameter!$M$23,Parameter!$M$24))</f>
        <v>155</v>
      </c>
      <c r="CD526" s="60" t="str">
        <f aca="false">IF(AND(Parameter!$B$19="Ja",E526&lt;&gt;"",ISNUMBER(MATCH(E526,Parameter!$I$35:$I$52,0))),VLOOKUP(E526,Parameter!$I$35:$J$52,2,0),IFERROR(VLOOKUP(D526,Parameter!$A$35:$C$64,2,0),"Nein"))</f>
        <v>2+3</v>
      </c>
      <c r="CE526" s="64" t="n">
        <f aca="false">IF(CA526=0,0,IF(N(S526)&gt;0,S526,IFERROR(VLOOKUP(D526,Parameter!$A$35:$C$64,3,0)+0,0)))</f>
        <v>0</v>
      </c>
      <c r="CF526" s="60" t="n">
        <f aca="false">IF(AB526&lt;&gt;"",AB526,AA526)</f>
        <v>3</v>
      </c>
      <c r="CG526" s="60" t="str">
        <f aca="false">IF(OR(CF526=1,CF526=2,CF526=3),IF(Parameter!$E$27="Ja","LIFT",IF(CF526=1,"L1","L23")),IF(CF526="Aussen","Aussen","-"))</f>
        <v>LIFT</v>
      </c>
      <c r="CH526" s="71" t="n">
        <f aca="false">IF(N(AC526)&gt;0,AC526,0)</f>
        <v>0</v>
      </c>
      <c r="CI526" s="65" t="n">
        <f aca="false">IF(ISNUMBER(AF526),1,0)</f>
        <v>0</v>
      </c>
      <c r="CJ526" s="62" t="n">
        <f aca="false">N(AF526)</f>
        <v>0</v>
      </c>
      <c r="CK526" s="62" t="n">
        <f aca="false">N(M526)+N(N526)</f>
        <v>422</v>
      </c>
      <c r="CL526" s="62" t="n">
        <f aca="false">N(M526)</f>
        <v>22</v>
      </c>
      <c r="CM526" s="62" t="n">
        <f aca="false">N(N526)</f>
        <v>400</v>
      </c>
      <c r="CN526" s="62" t="n">
        <f aca="false">ROUNDUP(H526/BZ526,0)</f>
        <v>2</v>
      </c>
      <c r="CO526" s="62" t="n">
        <f aca="false">ROUNDUP(CJ526/BZ526,0)</f>
        <v>0</v>
      </c>
      <c r="CP526" s="65" t="n">
        <f aca="false">IF(CA526=1,0,IFERROR(VLOOKUP(BY526,'Gebinde-Kategorie'!$A$5:$N$45,5,0)+0,0))</f>
        <v>11</v>
      </c>
      <c r="CQ526" s="65" t="n">
        <f aca="false">IFERROR(IF(OR(CF526=1,CF526=2,CF526=3),N(INDEX(Parameter!$I$5:$I$7,CF526)),0),0)</f>
        <v>0</v>
      </c>
      <c r="CR526" s="64" t="n">
        <f aca="false">IF(AND(Parameter!$B$21="Ja",ISNUMBER(W526),N(X526)&gt;0),IFERROR(N(INDEX(Parameter!$L$5:$L$7,W526))*INDEX(Parameter!$E$5:$E$7,W526)*X526/SUMIFS($X$7:$X$1843,$W$7:$W$1843,W526),0),0)</f>
        <v>0</v>
      </c>
      <c r="CS526" s="62" t="n">
        <f aca="false">IF(AND(OR(CG526="L1",CG526="L23",CG526="LIFT"),H526&gt;0),CC526*IF(CR526&gt;0,CR526*MAX(1,H526/X526),IF(CA526=1,CE526,IF(R526&gt;0,CN526/R526,0))/MAX(0.1,N(Parameter!$M$21))),"")</f>
        <v>11.9230769230769</v>
      </c>
      <c r="CT526" s="64" t="n">
        <f aca="false">IF(CS526="","",J526/H526)</f>
        <v>0.901149425287356</v>
      </c>
      <c r="CU526" s="62" t="n">
        <f aca="false">IF(CS526="","",H526*G526)</f>
        <v>60.9</v>
      </c>
      <c r="CV526" s="63" t="n">
        <f aca="false">IF(CS526="","",(CL526+ROUNDUP(CL526+MAX(CM526,2*(J526/MAX(0.1,N(Einkauf!$C$6))-CL526)),0))/2)</f>
        <v>222</v>
      </c>
      <c r="CW526" s="62" t="n">
        <f aca="false">IF(CS526="","",MAX(0,H526-CV526)*G526)</f>
        <v>29.82</v>
      </c>
      <c r="CX526" s="62" t="n">
        <f aca="false">IF(CS526="","",CS526*MAX(0,1-CV526/H526))</f>
        <v>5.83819628647215</v>
      </c>
      <c r="CY526" s="64" t="n">
        <f aca="false">IF(CS526="","",PERCENTRANK($CS$7:$CS$1843,CS526)+PERCENTRANK($CU$7:$CU$1843,CU526)+1-PERCENTRANK($CT$7:$CT$1843,CT526))</f>
        <v>1.182</v>
      </c>
      <c r="CZ526" s="72" t="n">
        <f aca="false">IF(CS526="","",CHOOSE(MATCH(Einkauf!$C$5,Parameter!$G$23:$G$27,0),CY526,CS526,CU526,-CT526,CW526)+ROW()/1000000000)</f>
        <v>1.182000526</v>
      </c>
    </row>
    <row r="527" customFormat="false" ht="15" hidden="false" customHeight="false" outlineLevel="0" collapsed="false">
      <c r="A527" s="60" t="s">
        <v>1181</v>
      </c>
      <c r="B527" s="60" t="s">
        <v>447</v>
      </c>
      <c r="C527" s="60" t="s">
        <v>206</v>
      </c>
      <c r="D527" s="60" t="s">
        <v>226</v>
      </c>
      <c r="E527" s="60" t="s">
        <v>227</v>
      </c>
      <c r="F527" s="60" t="s">
        <v>260</v>
      </c>
      <c r="G527" s="61" t="n">
        <v>0.03</v>
      </c>
      <c r="H527" s="62" t="n">
        <f aca="false">MAX(0,IF(AND(Parameter!$B$21="Ja",ISNUMBER(Y527)),Y527,IF(Parameter!$B$20="Jahresanfang 2025 + Export",BS527+BR527,BR527)))</f>
        <v>2086</v>
      </c>
      <c r="I527" s="62" t="n">
        <f aca="false">H527*G527</f>
        <v>62.58</v>
      </c>
      <c r="J527" s="62" t="n">
        <f aca="false">BU527*Parameter!$B$18</f>
        <v>2860</v>
      </c>
      <c r="K527" s="63" t="n">
        <v>1130</v>
      </c>
      <c r="L527" s="64" t="n">
        <v>2.53097345132743</v>
      </c>
      <c r="M527" s="62" t="n">
        <v>166</v>
      </c>
      <c r="N527" s="62" t="n">
        <v>1500</v>
      </c>
      <c r="O527" s="65" t="n">
        <v>21</v>
      </c>
      <c r="P527" s="60" t="s">
        <v>518</v>
      </c>
      <c r="Q527" s="62" t="n">
        <v>920</v>
      </c>
      <c r="R527" s="65" t="n">
        <f aca="false">IF(CA527=1,0,IFERROR(VLOOKUP(BY527,'Gebinde-Kategorie'!$A$5:$N$45,13,0)+0,0))</f>
        <v>52</v>
      </c>
      <c r="S527" s="66"/>
      <c r="T527" s="67"/>
      <c r="U527" s="67"/>
      <c r="V527" s="67"/>
      <c r="W527" s="60"/>
      <c r="X527" s="62"/>
      <c r="Y527" s="62"/>
      <c r="Z527" s="60" t="n">
        <v>3</v>
      </c>
      <c r="AA527" s="60" t="n">
        <f aca="false">IF(A527="","",IF(AND(Parameter!$B$21="Ja",ISNUMBER(W527)),W527,IF(AND(Parameter!$E$27="Ja",ISNUMBER(Z527),CD527&lt;&gt;"Nein"),Z527,IF(CD527="2+3",IF(ISNUMBER(SEARCH("grosser Artikel",BV527)),2,IFERROR(VLOOKUP(BY527,Parameter!$F$35:$G$64,2,0),2)),IF(OR(CD527="Nein",CD527=""),"-",CD527)))))</f>
        <v>3</v>
      </c>
      <c r="AB527" s="67"/>
      <c r="AC527" s="68"/>
      <c r="AD527" s="62" t="n">
        <f aca="false">AW527</f>
        <v>1741</v>
      </c>
      <c r="AE527" s="62" t="n">
        <f aca="false">MAX(AW527,H527)</f>
        <v>2086</v>
      </c>
      <c r="AF527" s="69"/>
      <c r="AG527" s="62" t="n">
        <f aca="false">IF(LEFT(Cockpit!$C$5,1)="A",H527,IF(Parameter!$E$30="MAX-Bestand",IF(CI527=1,CJ527,IF(LEFT(Cockpit!$C$5,1)="B",AM527,MAX(AM527,H527))),ROUNDUP(AK527,0)))</f>
        <v>2086</v>
      </c>
      <c r="AH527" s="62" t="n">
        <f aca="false">IF(CA527=1,0,ROUNDUP(AG527/BZ527,0))</f>
        <v>3</v>
      </c>
      <c r="AI527" s="64" t="n">
        <f aca="false">IF(CR527&gt;0,CR527*MAX(1,AG527/X527),IF(CA527=1,IF(AG527&lt;=0,0,CE527*MAX(1,IF(H527&gt;0,AG527/H527,1))),IF(R527&gt;0,AH527/R527,0))/MAX(0.1,N(Parameter!$M$21)))</f>
        <v>0.0576923076923077</v>
      </c>
      <c r="AJ527" s="62" t="n">
        <f aca="false">AI527*CC527</f>
        <v>8.94230769230769</v>
      </c>
      <c r="AK527" s="63" t="n">
        <f aca="false">IF(LEFT(Cockpit!$C$5,1)="A",H527,IF(CI527=1,(CL527+CJ527)/2,IF(LEFT(Cockpit!$C$5,1)="B",(CL527+AM527)/2,MAX((CL527+AM527)/2,H527))))</f>
        <v>2086</v>
      </c>
      <c r="AL527" s="62" t="n">
        <f aca="false">AK527*G527</f>
        <v>62.58</v>
      </c>
      <c r="AM527" s="62" t="n">
        <f aca="false">ROUNDUP(CL527+MAX(CM527,2*(J527/IF(CH527&gt;0,CH527,MAX(0.1,N(Cockpit!$C$6)))-CL527)),0)</f>
        <v>1741</v>
      </c>
      <c r="AN527" s="63" t="n">
        <f aca="false">IF(AJ527&gt;0,J527/AJ527,-1)</f>
        <v>319.827956989247</v>
      </c>
      <c r="AO527" s="63" t="n">
        <f aca="false">IF(AND(OR(CG527="L1",CG527="L23",CG527="LIFT"),AJ527&gt;0),SUMIFS($AJ$7:$AJ$1843,$CG$7:$CG$1843,CG527,$AN$7:$AN$1843,"&gt;"&amp;AN527)+SUMIFS($AJ$7:$AJ$1843,$CG$7:$CG$1843,CG527,$AN$7:$AN$1843,AN527,$BX$7:$BX$1843,"&lt;="&amp;BX527),"")</f>
        <v>240.228021978022</v>
      </c>
      <c r="AP527" s="70" t="n">
        <f aca="false">IF(AO527="",0,MAX(0,MIN(1,(IF(CG527="L1",Parameter!$H$5,IF(CG527="L23",Parameter!$H$6+Parameter!$H$7,Parameter!$H$5+Parameter!$H$6+Parameter!$H$7))-(AO527-AJ527))/AJ527)))</f>
        <v>1</v>
      </c>
      <c r="AQ527" s="62" t="n">
        <f aca="false">IF(LEFT(Cockpit!$I$5,1)="A",H527,IF(Parameter!$E$30="MAX-Bestand",IF(CI527=1,CJ527,IF(LEFT(Cockpit!$I$5,1)="B",AW527,MAX(AW527,H527))),ROUNDUP(AU527,0)))</f>
        <v>2086</v>
      </c>
      <c r="AR527" s="62" t="n">
        <f aca="false">IF(CA527=1,0,ROUNDUP(AQ527/BZ527,0))</f>
        <v>3</v>
      </c>
      <c r="AS527" s="64" t="n">
        <f aca="false">IF(CR527&gt;0,CR527*MAX(1,AQ527/X527),IF(CA527=1,IF(AQ527&lt;=0,0,CE527*MAX(1,IF(H527&gt;0,AQ527/H527,1))),IF(R527&gt;0,AR527/R527,0))/MAX(0.1,N(Parameter!$M$21)))</f>
        <v>0.0576923076923077</v>
      </c>
      <c r="AT527" s="62" t="n">
        <f aca="false">AS527*CC527</f>
        <v>8.94230769230769</v>
      </c>
      <c r="AU527" s="63" t="n">
        <f aca="false">IF(LEFT(Cockpit!$I$5,1)="A",H527,IF(CI527=1,(CL527+CJ527)/2,IF(LEFT(Cockpit!$I$5,1)="B",(CL527+AW527)/2,MAX((CL527+AW527)/2,H527))))</f>
        <v>2086</v>
      </c>
      <c r="AV527" s="62" t="n">
        <f aca="false">AU527*G527</f>
        <v>62.58</v>
      </c>
      <c r="AW527" s="62" t="n">
        <f aca="false">ROUNDUP(CL527+MAX(CM527,2*(J527/IF(CH527&gt;0,CH527,MAX(0.1,N(Cockpit!$I$6)))-CL527)),0)</f>
        <v>1741</v>
      </c>
      <c r="AX527" s="63" t="n">
        <f aca="false">IF(AT527&gt;0,J527/AT527,-1)</f>
        <v>319.827956989247</v>
      </c>
      <c r="AY527" s="63" t="n">
        <f aca="false">IF(AND(OR(CG527="L1",CG527="L23",CG527="LIFT"),AT527&gt;0),SUMIFS($AT$7:$AT$1843,$CG$7:$CG$1843,CG527,$AX$7:$AX$1843,"&gt;"&amp;AX527)+SUMIFS($AT$7:$AT$1843,$CG$7:$CG$1843,CG527,$AX$7:$AX$1843,AX527,$BX$7:$BX$1843,"&lt;="&amp;BX527),"")</f>
        <v>193.290293040293</v>
      </c>
      <c r="AZ527" s="70" t="n">
        <f aca="false">IF(AY527="",0,MAX(0,MIN(1,(IF(CG527="L1",Parameter!$H$5,IF(CG527="L23",Parameter!$H$6+Parameter!$H$7,Parameter!$H$5+Parameter!$H$6+Parameter!$H$7))-(AY527-AT527))/AT527)))</f>
        <v>1</v>
      </c>
      <c r="BA527" s="62" t="n">
        <f aca="false">IF(LEFT(Cockpit!$O$5,1)="A",H527,IF(Parameter!$E$30="MAX-Bestand",IF(CI527=1,CJ527,IF(LEFT(Cockpit!$O$5,1)="B",BG527,MAX(BG527,H527))),ROUNDUP(BE527,0)))</f>
        <v>916</v>
      </c>
      <c r="BB527" s="62" t="n">
        <f aca="false">IF(CA527=1,0,ROUNDUP(BA527/BZ527,0))</f>
        <v>1</v>
      </c>
      <c r="BC527" s="64" t="n">
        <f aca="false">IF(CR527&gt;0,CR527*MAX(1,BA527/X527),IF(CA527=1,IF(BA527&lt;=0,0,CE527*MAX(1,IF(H527&gt;0,BA527/H527,1))),IF(R527&gt;0,BB527/R527,0))/MAX(0.1,N(Parameter!$M$21)))</f>
        <v>0.0192307692307692</v>
      </c>
      <c r="BD527" s="62" t="n">
        <f aca="false">BC527*CC527</f>
        <v>2.98076923076923</v>
      </c>
      <c r="BE527" s="63" t="n">
        <f aca="false">IF(LEFT(Cockpit!$O$5,1)="A",H527,IF(CI527=1,(CL527+CJ527)/2,IF(LEFT(Cockpit!$O$5,1)="B",(CL527+BG527)/2,MAX((CL527+BG527)/2,H527))))</f>
        <v>916</v>
      </c>
      <c r="BF527" s="62" t="n">
        <f aca="false">BE527*G527</f>
        <v>27.48</v>
      </c>
      <c r="BG527" s="62" t="n">
        <f aca="false">ROUNDUP(CL527+MAX(CM527,2*(J527/IF(CH527&gt;0,CH527,MAX(0.1,N(Cockpit!$O$6)))-CL527)),0)</f>
        <v>1666</v>
      </c>
      <c r="BH527" s="63" t="n">
        <f aca="false">IF(BD527&gt;0,J527/BD527,-1)</f>
        <v>959.483870967742</v>
      </c>
      <c r="BI527" s="63" t="n">
        <f aca="false">IF(AND(OR(CG527="L1",CG527="L23",CG527="LIFT"),BD527&gt;0),SUMIFS($BD$7:$BD$1843,$CG$7:$CG$1843,CG527,$BH$7:$BH$1843,"&gt;"&amp;BH527)+SUMIFS($BD$7:$BD$1843,$CG$7:$CG$1843,CG527,$BH$7:$BH$1843,BH527,$BX$7:$BX$1843,"&lt;="&amp;BX527),"")</f>
        <v>11.5398351648352</v>
      </c>
      <c r="BJ527" s="70" t="n">
        <f aca="false">IF(BI527="",0,MAX(0,MIN(1,(IF(CG527="L1",Parameter!$H$5,IF(CG527="L23",Parameter!$H$6+Parameter!$H$7,Parameter!$H$5+Parameter!$H$6+Parameter!$H$7))-(BI527-BD527))/BD527)))</f>
        <v>1</v>
      </c>
      <c r="BK527" s="60" t="str">
        <f aca="false">IF(AJ527&lt;=0,"",IF(CG527="Aussen","Aussenlager",IF(CG527="-","Nicht im Lift",IF(AP527&gt;=1,"Lift",IF(AP527&lt;=0,"Aussenlager","teilweise")))))</f>
        <v>Lift</v>
      </c>
      <c r="BL527" s="60" t="str">
        <f aca="false">IF(AT527&lt;=0,"",IF(CG527="Aussen","Aussenlager",IF(CG527="-","Nicht im Lift",IF(AZ527&gt;=1,"Lift",IF(AZ527&lt;=0,"Aussenlager","teilweise")))))</f>
        <v>Lift</v>
      </c>
      <c r="BM527" s="60" t="str">
        <f aca="false">IF(BD527&lt;=0,"",IF(CG527="Aussen","Aussenlager",IF(CG527="-","Nicht im Lift",IF(BJ527&gt;=1,"Lift",IF(BJ527&lt;=0,"Aussenlager","teilweise")))))</f>
        <v>Lift</v>
      </c>
      <c r="BN527" s="60" t="str">
        <f aca="false">IF(A527="","",IF(BW527=1,"Neu; ","")&amp;IF(AND(BW527=0,BR527&lt;0),"negativer Bestand (Export "&amp;BR527&amp;"); ","")&amp;IF(J527&lt;=0,"Kein Verbrauch; ","")&amp;IF(CR527&gt;0,"Lift "&amp;W527&amp;" lt. Liftbericht (Fach "&amp;X527&amp;" Stk); ",IF(CB527=1,"Gebinde geschätzt ("&amp;T527&amp;"); ",IF(CA527=1,"Lose – Tablare geschätzt; ","")))&amp;IF(H527&gt;AW527,"Überbestand "&amp;ROUND(H527-AW527,0)&amp;" Stk / CHF "&amp;ROUND((H527-AW527)*G527,0)&amp;"; ","")&amp;IF(AND(CI527=1,CJ527&lt;CK527),"MAX &lt; MB+LG; ","")&amp;IF(AND(CQ527&gt;0,CP527*10&gt;CQ527),"zu hoch für Tablar; ","")&amp;IF(AND(BW527=0,OR(CI527=1,AB527&lt;&gt;"",U527&lt;&gt;"",V527&lt;&gt;"",AC527&lt;&gt;"")),"manuell übersteuert; ","")&amp;IF(AND(CA527=0,R527=0),"Gebinde unbekannt / Stellmass fehlt; ","")&amp;IF(AND(CA527=0,N(V527)&lt;=0,N(Q527)&lt;=0),"Menge pro Gebinde fehlt (Ist = 1 Gebinde); ","")&amp;BV527)</f>
        <v>Überbestand 345 Stk / CHF 10; </v>
      </c>
      <c r="BO527" s="60"/>
      <c r="BP527" s="60"/>
      <c r="BQ527" s="67"/>
      <c r="BR527" s="62" t="n">
        <v>920</v>
      </c>
      <c r="BS527" s="62" t="n">
        <v>1166</v>
      </c>
      <c r="BT527" s="61" t="n">
        <v>27.6</v>
      </c>
      <c r="BU527" s="62" t="n">
        <v>2860</v>
      </c>
      <c r="BV527" s="60"/>
      <c r="BW527" s="65" t="n">
        <v>0</v>
      </c>
      <c r="BX527" s="65" t="n">
        <v>527</v>
      </c>
      <c r="BY527" s="60" t="str">
        <f aca="false">IF(U527&lt;&gt;"",UPPER(TRIM(U527)),IF(CB527=1,UPPER(VLOOKUP(T527,Parameter!$I$27:$K$29,2,0)),IF(P527="","LOSE",P527)))</f>
        <v>S33</v>
      </c>
      <c r="BZ527" s="62" t="n">
        <f aca="false">IF(BY527="LOSE",1,IF(N(V527)&gt;0,V527,IF(CB527=1,MAX(1,N(VLOOKUP(T527,Parameter!$I$27:$K$29,3,0)),H527,N(N527)),IF(N(Q527)&gt;0,Q527,MAX(1,H527)))))</f>
        <v>920</v>
      </c>
      <c r="CA527" s="65" t="n">
        <f aca="false">IF(BY527="LOSE",1,0)</f>
        <v>0</v>
      </c>
      <c r="CB527" s="65" t="n">
        <f aca="false">IF(AND(U527="",OR(P527="",P527="LOSE"),T527&lt;&gt;"",N(S527)&lt;=0,ISNUMBER(MATCH(T527,Parameter!$I$27:$I$29,0))),1,0)</f>
        <v>0</v>
      </c>
      <c r="CC527" s="65" t="n">
        <f aca="false">IF(CR527&gt;0,INDEX(Parameter!$H$5:$H$7,W527)/INDEX(Parameter!$E$5:$E$7,W527),IF(AND(CA527=0,N(IFERROR(VLOOKUP(BY527,'Gebinde-Kategorie'!$A$5:$N$45,14,0),0))&gt;0),VLOOKUP(BY527,'Gebinde-Kategorie'!$A$5:$N$45,14,0)*10+Parameter!$M$23,Parameter!$M$24))</f>
        <v>155</v>
      </c>
      <c r="CD527" s="60" t="str">
        <f aca="false">IF(AND(Parameter!$B$19="Ja",E527&lt;&gt;"",ISNUMBER(MATCH(E527,Parameter!$I$35:$I$52,0))),VLOOKUP(E527,Parameter!$I$35:$J$52,2,0),IFERROR(VLOOKUP(D527,Parameter!$A$35:$C$64,2,0),"Nein"))</f>
        <v>2+3</v>
      </c>
      <c r="CE527" s="64" t="n">
        <f aca="false">IF(CA527=0,0,IF(N(S527)&gt;0,S527,IFERROR(VLOOKUP(D527,Parameter!$A$35:$C$64,3,0)+0,0)))</f>
        <v>0</v>
      </c>
      <c r="CF527" s="60" t="n">
        <f aca="false">IF(AB527&lt;&gt;"",AB527,AA527)</f>
        <v>3</v>
      </c>
      <c r="CG527" s="60" t="str">
        <f aca="false">IF(OR(CF527=1,CF527=2,CF527=3),IF(Parameter!$E$27="Ja","LIFT",IF(CF527=1,"L1","L23")),IF(CF527="Aussen","Aussen","-"))</f>
        <v>LIFT</v>
      </c>
      <c r="CH527" s="71" t="n">
        <f aca="false">IF(N(AC527)&gt;0,AC527,0)</f>
        <v>0</v>
      </c>
      <c r="CI527" s="65" t="n">
        <f aca="false">IF(ISNUMBER(AF527),1,0)</f>
        <v>0</v>
      </c>
      <c r="CJ527" s="62" t="n">
        <f aca="false">N(AF527)</f>
        <v>0</v>
      </c>
      <c r="CK527" s="62" t="n">
        <f aca="false">N(M527)+N(N527)</f>
        <v>1666</v>
      </c>
      <c r="CL527" s="62" t="n">
        <f aca="false">N(M527)</f>
        <v>166</v>
      </c>
      <c r="CM527" s="62" t="n">
        <f aca="false">N(N527)</f>
        <v>1500</v>
      </c>
      <c r="CN527" s="62" t="n">
        <f aca="false">ROUNDUP(H527/BZ527,0)</f>
        <v>3</v>
      </c>
      <c r="CO527" s="62" t="n">
        <f aca="false">ROUNDUP(CJ527/BZ527,0)</f>
        <v>0</v>
      </c>
      <c r="CP527" s="65" t="n">
        <f aca="false">IF(CA527=1,0,IFERROR(VLOOKUP(BY527,'Gebinde-Kategorie'!$A$5:$N$45,5,0)+0,0))</f>
        <v>8</v>
      </c>
      <c r="CQ527" s="65" t="n">
        <f aca="false">IFERROR(IF(OR(CF527=1,CF527=2,CF527=3),N(INDEX(Parameter!$I$5:$I$7,CF527)),0),0)</f>
        <v>0</v>
      </c>
      <c r="CR527" s="64" t="n">
        <f aca="false">IF(AND(Parameter!$B$21="Ja",ISNUMBER(W527),N(X527)&gt;0),IFERROR(N(INDEX(Parameter!$L$5:$L$7,W527))*INDEX(Parameter!$E$5:$E$7,W527)*X527/SUMIFS($X$7:$X$1843,$W$7:$W$1843,W527),0),0)</f>
        <v>0</v>
      </c>
      <c r="CS527" s="62" t="n">
        <f aca="false">IF(AND(OR(CG527="L1",CG527="L23",CG527="LIFT"),H527&gt;0),CC527*IF(CR527&gt;0,CR527*MAX(1,H527/X527),IF(CA527=1,CE527,IF(R527&gt;0,CN527/R527,0))/MAX(0.1,N(Parameter!$M$21))),"")</f>
        <v>8.94230769230769</v>
      </c>
      <c r="CT527" s="64" t="n">
        <f aca="false">IF(CS527="","",J527/H527)</f>
        <v>1.37104506232023</v>
      </c>
      <c r="CU527" s="62" t="n">
        <f aca="false">IF(CS527="","",H527*G527)</f>
        <v>62.58</v>
      </c>
      <c r="CV527" s="63" t="n">
        <f aca="false">IF(CS527="","",(CL527+ROUNDUP(CL527+MAX(CM527,2*(J527/MAX(0.1,N(Einkauf!$C$6))-CL527)),0))/2)</f>
        <v>916</v>
      </c>
      <c r="CW527" s="62" t="n">
        <f aca="false">IF(CS527="","",MAX(0,H527-CV527)*G527)</f>
        <v>35.1</v>
      </c>
      <c r="CX527" s="62" t="n">
        <f aca="false">IF(CS527="","",CS527*MAX(0,1-CV527/H527))</f>
        <v>5.01558005752637</v>
      </c>
      <c r="CY527" s="64" t="n">
        <f aca="false">IF(CS527="","",PERCENTRANK($CS$7:$CS$1843,CS527)+PERCENTRANK($CU$7:$CU$1843,CU527)+1-PERCENTRANK($CT$7:$CT$1843,CT527))</f>
        <v>0.994</v>
      </c>
      <c r="CZ527" s="72" t="n">
        <f aca="false">IF(CS527="","",CHOOSE(MATCH(Einkauf!$C$5,Parameter!$G$23:$G$27,0),CY527,CS527,CU527,-CT527,CW527)+ROW()/1000000000)</f>
        <v>0.994000527</v>
      </c>
    </row>
    <row r="528" customFormat="false" ht="15" hidden="false" customHeight="false" outlineLevel="0" collapsed="false">
      <c r="A528" s="60" t="s">
        <v>1182</v>
      </c>
      <c r="B528" s="60" t="s">
        <v>1183</v>
      </c>
      <c r="C528" s="60" t="s">
        <v>206</v>
      </c>
      <c r="D528" s="60" t="s">
        <v>215</v>
      </c>
      <c r="E528" s="60"/>
      <c r="F528" s="60" t="s">
        <v>260</v>
      </c>
      <c r="G528" s="61" t="n">
        <v>1.36</v>
      </c>
      <c r="H528" s="62" t="n">
        <f aca="false">MAX(0,IF(AND(Parameter!$B$21="Ja",ISNUMBER(Y528)),Y528,IF(Parameter!$B$20="Jahresanfang 2025 + Export",BS528+BR528,BR528)))</f>
        <v>20</v>
      </c>
      <c r="I528" s="62" t="n">
        <f aca="false">H528*G528</f>
        <v>27.2</v>
      </c>
      <c r="J528" s="62" t="n">
        <f aca="false">BU528*Parameter!$B$18</f>
        <v>0</v>
      </c>
      <c r="K528" s="63" t="n">
        <v>0</v>
      </c>
      <c r="L528" s="64" t="n">
        <v>0</v>
      </c>
      <c r="M528" s="62" t="n">
        <v>0</v>
      </c>
      <c r="N528" s="62" t="n">
        <v>20</v>
      </c>
      <c r="O528" s="65" t="n">
        <v>28</v>
      </c>
      <c r="P528" s="60" t="s">
        <v>210</v>
      </c>
      <c r="Q528" s="62"/>
      <c r="R528" s="65" t="n">
        <f aca="false">IF(CA528=1,0,IFERROR(VLOOKUP(BY528,'Gebinde-Kategorie'!$A$5:$N$45,13,0)+0,0))</f>
        <v>12</v>
      </c>
      <c r="S528" s="66"/>
      <c r="T528" s="67" t="s">
        <v>221</v>
      </c>
      <c r="U528" s="67"/>
      <c r="V528" s="67"/>
      <c r="W528" s="60"/>
      <c r="X528" s="62"/>
      <c r="Y528" s="62"/>
      <c r="Z528" s="60" t="n">
        <v>3</v>
      </c>
      <c r="AA528" s="60" t="n">
        <f aca="false">IF(A528="","",IF(AND(Parameter!$B$21="Ja",ISNUMBER(W528)),W528,IF(AND(Parameter!$E$27="Ja",ISNUMBER(Z528),CD528&lt;&gt;"Nein"),Z528,IF(CD528="2+3",IF(ISNUMBER(SEARCH("grosser Artikel",BV528)),2,IFERROR(VLOOKUP(BY528,Parameter!$F$35:$G$64,2,0),2)),IF(OR(CD528="Nein",CD528=""),"-",CD528)))))</f>
        <v>3</v>
      </c>
      <c r="AB528" s="67"/>
      <c r="AC528" s="68"/>
      <c r="AD528" s="62" t="n">
        <f aca="false">AW528</f>
        <v>20</v>
      </c>
      <c r="AE528" s="62" t="n">
        <f aca="false">MAX(AW528,H528)</f>
        <v>20</v>
      </c>
      <c r="AF528" s="69"/>
      <c r="AG528" s="62" t="n">
        <f aca="false">IF(LEFT(Cockpit!$C$5,1)="A",H528,IF(Parameter!$E$30="MAX-Bestand",IF(CI528=1,CJ528,IF(LEFT(Cockpit!$C$5,1)="B",AM528,MAX(AM528,H528))),ROUNDUP(AK528,0)))</f>
        <v>20</v>
      </c>
      <c r="AH528" s="62" t="n">
        <f aca="false">IF(CA528=1,0,ROUNDUP(AG528/BZ528,0))</f>
        <v>1</v>
      </c>
      <c r="AI528" s="64" t="n">
        <f aca="false">IF(CR528&gt;0,CR528*MAX(1,AG528/X528),IF(CA528=1,IF(AG528&lt;=0,0,CE528*MAX(1,IF(H528&gt;0,AG528/H528,1))),IF(R528&gt;0,AH528/R528,0))/MAX(0.1,N(Parameter!$M$21)))</f>
        <v>0.0833333333333333</v>
      </c>
      <c r="AJ528" s="62" t="n">
        <f aca="false">AI528*CC528</f>
        <v>12.0833333333333</v>
      </c>
      <c r="AK528" s="63" t="n">
        <f aca="false">IF(LEFT(Cockpit!$C$5,1)="A",H528,IF(CI528=1,(CL528+CJ528)/2,IF(LEFT(Cockpit!$C$5,1)="B",(CL528+AM528)/2,MAX((CL528+AM528)/2,H528))))</f>
        <v>20</v>
      </c>
      <c r="AL528" s="62" t="n">
        <f aca="false">AK528*G528</f>
        <v>27.2</v>
      </c>
      <c r="AM528" s="62" t="n">
        <f aca="false">ROUNDUP(CL528+MAX(CM528,2*(J528/IF(CH528&gt;0,CH528,MAX(0.1,N(Cockpit!$C$6)))-CL528)),0)</f>
        <v>20</v>
      </c>
      <c r="AN528" s="63" t="n">
        <f aca="false">IF(AJ528&gt;0,J528/AJ528,-1)</f>
        <v>0</v>
      </c>
      <c r="AO528" s="63" t="n">
        <f aca="false">IF(AND(OR(CG528="L1",CG528="L23",CG528="LIFT"),AJ528&gt;0),SUMIFS($AJ$7:$AJ$1843,$CG$7:$CG$1843,CG528,$AN$7:$AN$1843,"&gt;"&amp;AN528)+SUMIFS($AJ$7:$AJ$1843,$CG$7:$CG$1843,CG528,$AN$7:$AN$1843,AN528,$BX$7:$BX$1843,"&lt;="&amp;BX528),"")</f>
        <v>28316.297787194</v>
      </c>
      <c r="AP528" s="70" t="n">
        <f aca="false">IF(AO528="",0,MAX(0,MIN(1,(IF(CG528="L1",Parameter!$H$5,IF(CG528="L23",Parameter!$H$6+Parameter!$H$7,Parameter!$H$5+Parameter!$H$6+Parameter!$H$7))-(AO528-AJ528))/AJ528)))</f>
        <v>1</v>
      </c>
      <c r="AQ528" s="62" t="n">
        <f aca="false">IF(LEFT(Cockpit!$I$5,1)="A",H528,IF(Parameter!$E$30="MAX-Bestand",IF(CI528=1,CJ528,IF(LEFT(Cockpit!$I$5,1)="B",AW528,MAX(AW528,H528))),ROUNDUP(AU528,0)))</f>
        <v>20</v>
      </c>
      <c r="AR528" s="62" t="n">
        <f aca="false">IF(CA528=1,0,ROUNDUP(AQ528/BZ528,0))</f>
        <v>1</v>
      </c>
      <c r="AS528" s="64" t="n">
        <f aca="false">IF(CR528&gt;0,CR528*MAX(1,AQ528/X528),IF(CA528=1,IF(AQ528&lt;=0,0,CE528*MAX(1,IF(H528&gt;0,AQ528/H528,1))),IF(R528&gt;0,AR528/R528,0))/MAX(0.1,N(Parameter!$M$21)))</f>
        <v>0.0833333333333333</v>
      </c>
      <c r="AT528" s="62" t="n">
        <f aca="false">AS528*CC528</f>
        <v>12.0833333333333</v>
      </c>
      <c r="AU528" s="63" t="n">
        <f aca="false">IF(LEFT(Cockpit!$I$5,1)="A",H528,IF(CI528=1,(CL528+CJ528)/2,IF(LEFT(Cockpit!$I$5,1)="B",(CL528+AW528)/2,MAX((CL528+AW528)/2,H528))))</f>
        <v>20</v>
      </c>
      <c r="AV528" s="62" t="n">
        <f aca="false">AU528*G528</f>
        <v>27.2</v>
      </c>
      <c r="AW528" s="62" t="n">
        <f aca="false">ROUNDUP(CL528+MAX(CM528,2*(J528/IF(CH528&gt;0,CH528,MAX(0.1,N(Cockpit!$I$6)))-CL528)),0)</f>
        <v>20</v>
      </c>
      <c r="AX528" s="63" t="n">
        <f aca="false">IF(AT528&gt;0,J528/AT528,-1)</f>
        <v>0</v>
      </c>
      <c r="AY528" s="63" t="n">
        <f aca="false">IF(AND(OR(CG528="L1",CG528="L23",CG528="LIFT"),AT528&gt;0),SUMIFS($AT$7:$AT$1843,$CG$7:$CG$1843,CG528,$AX$7:$AX$1843,"&gt;"&amp;AX528)+SUMIFS($AT$7:$AT$1843,$CG$7:$CG$1843,CG528,$AX$7:$AX$1843,AX528,$BX$7:$BX$1843,"&lt;="&amp;BX528),"")</f>
        <v>33669.4464285714</v>
      </c>
      <c r="AZ528" s="70" t="n">
        <f aca="false">IF(AY528="",0,MAX(0,MIN(1,(IF(CG528="L1",Parameter!$H$5,IF(CG528="L23",Parameter!$H$6+Parameter!$H$7,Parameter!$H$5+Parameter!$H$6+Parameter!$H$7))-(AY528-AT528))/AT528)))</f>
        <v>1</v>
      </c>
      <c r="BA528" s="62" t="n">
        <f aca="false">IF(LEFT(Cockpit!$O$5,1)="A",H528,IF(Parameter!$E$30="MAX-Bestand",IF(CI528=1,CJ528,IF(LEFT(Cockpit!$O$5,1)="B",BG528,MAX(BG528,H528))),ROUNDUP(BE528,0)))</f>
        <v>10</v>
      </c>
      <c r="BB528" s="62" t="n">
        <f aca="false">IF(CA528=1,0,ROUNDUP(BA528/BZ528,0))</f>
        <v>1</v>
      </c>
      <c r="BC528" s="64" t="n">
        <f aca="false">IF(CR528&gt;0,CR528*MAX(1,BA528/X528),IF(CA528=1,IF(BA528&lt;=0,0,CE528*MAX(1,IF(H528&gt;0,BA528/H528,1))),IF(R528&gt;0,BB528/R528,0))/MAX(0.1,N(Parameter!$M$21)))</f>
        <v>0.0833333333333333</v>
      </c>
      <c r="BD528" s="62" t="n">
        <f aca="false">BC528*CC528</f>
        <v>12.0833333333333</v>
      </c>
      <c r="BE528" s="63" t="n">
        <f aca="false">IF(LEFT(Cockpit!$O$5,1)="A",H528,IF(CI528=1,(CL528+CJ528)/2,IF(LEFT(Cockpit!$O$5,1)="B",(CL528+BG528)/2,MAX((CL528+BG528)/2,H528))))</f>
        <v>10</v>
      </c>
      <c r="BF528" s="62" t="n">
        <f aca="false">BE528*G528</f>
        <v>13.6</v>
      </c>
      <c r="BG528" s="62" t="n">
        <f aca="false">ROUNDUP(CL528+MAX(CM528,2*(J528/IF(CH528&gt;0,CH528,MAX(0.1,N(Cockpit!$O$6)))-CL528)),0)</f>
        <v>20</v>
      </c>
      <c r="BH528" s="63" t="n">
        <f aca="false">IF(BD528&gt;0,J528/BD528,-1)</f>
        <v>0</v>
      </c>
      <c r="BI528" s="63" t="n">
        <f aca="false">IF(AND(OR(CG528="L1",CG528="L23",CG528="LIFT"),BD528&gt;0),SUMIFS($BD$7:$BD$1843,$CG$7:$CG$1843,CG528,$BH$7:$BH$1843,"&gt;"&amp;BH528)+SUMIFS($BD$7:$BD$1843,$CG$7:$CG$1843,CG528,$BH$7:$BH$1843,BH528,$BX$7:$BX$1843,"&lt;="&amp;BX528),"")</f>
        <v>27749.3735099646</v>
      </c>
      <c r="BJ528" s="70" t="n">
        <f aca="false">IF(BI528="",0,MAX(0,MIN(1,(IF(CG528="L1",Parameter!$H$5,IF(CG528="L23",Parameter!$H$6+Parameter!$H$7,Parameter!$H$5+Parameter!$H$6+Parameter!$H$7))-(BI528-BD528))/BD528)))</f>
        <v>1</v>
      </c>
      <c r="BK528" s="60" t="str">
        <f aca="false">IF(AJ528&lt;=0,"",IF(CG528="Aussen","Aussenlager",IF(CG528="-","Nicht im Lift",IF(AP528&gt;=1,"Lift",IF(AP528&lt;=0,"Aussenlager","teilweise")))))</f>
        <v>Lift</v>
      </c>
      <c r="BL528" s="60" t="str">
        <f aca="false">IF(AT528&lt;=0,"",IF(CG528="Aussen","Aussenlager",IF(CG528="-","Nicht im Lift",IF(AZ528&gt;=1,"Lift",IF(AZ528&lt;=0,"Aussenlager","teilweise")))))</f>
        <v>Lift</v>
      </c>
      <c r="BM528" s="60" t="str">
        <f aca="false">IF(BD528&lt;=0,"",IF(CG528="Aussen","Aussenlager",IF(CG528="-","Nicht im Lift",IF(BJ528&gt;=1,"Lift",IF(BJ528&lt;=0,"Aussenlager","teilweise")))))</f>
        <v>Lift</v>
      </c>
      <c r="BN528" s="60" t="str">
        <f aca="false">IF(A528="","",IF(BW528=1,"Neu; ","")&amp;IF(AND(BW528=0,BR528&lt;0),"negativer Bestand (Export "&amp;BR528&amp;"); ","")&amp;IF(J528&lt;=0,"Kein Verbrauch; ","")&amp;IF(CR528&gt;0,"Lift "&amp;W528&amp;" lt. Liftbericht (Fach "&amp;X528&amp;" Stk); ",IF(CB528=1,"Gebinde geschätzt ("&amp;T528&amp;"); ",IF(CA528=1,"Lose – Tablare geschätzt; ","")))&amp;IF(H528&gt;AW528,"Überbestand "&amp;ROUND(H528-AW528,0)&amp;" Stk / CHF "&amp;ROUND((H528-AW528)*G528,0)&amp;"; ","")&amp;IF(AND(CI528=1,CJ528&lt;CK528),"MAX &lt; MB+LG; ","")&amp;IF(AND(CQ528&gt;0,CP528*10&gt;CQ528),"zu hoch für Tablar; ","")&amp;IF(AND(BW528=0,OR(CI528=1,AB528&lt;&gt;"",U528&lt;&gt;"",V528&lt;&gt;"",AC528&lt;&gt;"")),"manuell übersteuert; ","")&amp;IF(AND(CA528=0,R528=0),"Gebinde unbekannt / Stellmass fehlt; ","")&amp;IF(AND(CA528=0,N(V528)&lt;=0,N(Q528)&lt;=0),"Menge pro Gebinde fehlt (Ist = 1 Gebinde); ","")&amp;BV528)</f>
        <v>Kein Verbrauch; Gebinde geschätzt (Mittel); Menge pro Gebinde fehlt (Ist = 1 Gebinde); </v>
      </c>
      <c r="BO528" s="60"/>
      <c r="BP528" s="60"/>
      <c r="BQ528" s="67"/>
      <c r="BR528" s="62" t="n">
        <v>20</v>
      </c>
      <c r="BS528" s="62" t="n">
        <v>0</v>
      </c>
      <c r="BT528" s="61" t="n">
        <v>27.2</v>
      </c>
      <c r="BU528" s="62" t="n">
        <v>0</v>
      </c>
      <c r="BV528" s="60"/>
      <c r="BW528" s="65" t="n">
        <v>0</v>
      </c>
      <c r="BX528" s="65" t="n">
        <v>528</v>
      </c>
      <c r="BY528" s="60" t="str">
        <f aca="false">IF(U528&lt;&gt;"",UPPER(TRIM(U528)),IF(CB528=1,UPPER(VLOOKUP(T528,Parameter!$I$27:$K$29,2,0)),IF(P528="","LOSE",P528)))</f>
        <v>S61</v>
      </c>
      <c r="BZ528" s="62" t="n">
        <f aca="false">IF(BY528="LOSE",1,IF(N(V528)&gt;0,V528,IF(CB528=1,MAX(1,N(VLOOKUP(T528,Parameter!$I$27:$K$29,3,0)),H528,N(N528)),IF(N(Q528)&gt;0,Q528,MAX(1,H528)))))</f>
        <v>20</v>
      </c>
      <c r="CA528" s="65" t="n">
        <f aca="false">IF(BY528="LOSE",1,0)</f>
        <v>0</v>
      </c>
      <c r="CB528" s="65" t="n">
        <f aca="false">IF(AND(U528="",OR(P528="",P528="LOSE"),T528&lt;&gt;"",N(S528)&lt;=0,ISNUMBER(MATCH(T528,Parameter!$I$27:$I$29,0))),1,0)</f>
        <v>1</v>
      </c>
      <c r="CC528" s="65" t="n">
        <f aca="false">IF(CR528&gt;0,INDEX(Parameter!$H$5:$H$7,W528)/INDEX(Parameter!$E$5:$E$7,W528),IF(AND(CA528=0,N(IFERROR(VLOOKUP(BY528,'Gebinde-Kategorie'!$A$5:$N$45,14,0),0))&gt;0),VLOOKUP(BY528,'Gebinde-Kategorie'!$A$5:$N$45,14,0)*10+Parameter!$M$23,Parameter!$M$24))</f>
        <v>145</v>
      </c>
      <c r="CD528" s="60" t="str">
        <f aca="false">IF(AND(Parameter!$B$19="Ja",E528&lt;&gt;"",ISNUMBER(MATCH(E528,Parameter!$I$35:$I$52,0))),VLOOKUP(E528,Parameter!$I$35:$J$52,2,0),IFERROR(VLOOKUP(D528,Parameter!$A$35:$C$64,2,0),"Nein"))</f>
        <v>2+3</v>
      </c>
      <c r="CE528" s="64" t="n">
        <f aca="false">IF(CA528=0,0,IF(N(S528)&gt;0,S528,IFERROR(VLOOKUP(D528,Parameter!$A$35:$C$64,3,0)+0,0)))</f>
        <v>0</v>
      </c>
      <c r="CF528" s="60" t="n">
        <f aca="false">IF(AB528&lt;&gt;"",AB528,AA528)</f>
        <v>3</v>
      </c>
      <c r="CG528" s="60" t="str">
        <f aca="false">IF(OR(CF528=1,CF528=2,CF528=3),IF(Parameter!$E$27="Ja","LIFT",IF(CF528=1,"L1","L23")),IF(CF528="Aussen","Aussen","-"))</f>
        <v>LIFT</v>
      </c>
      <c r="CH528" s="71" t="n">
        <f aca="false">IF(N(AC528)&gt;0,AC528,0)</f>
        <v>0</v>
      </c>
      <c r="CI528" s="65" t="n">
        <f aca="false">IF(ISNUMBER(AF528),1,0)</f>
        <v>0</v>
      </c>
      <c r="CJ528" s="62" t="n">
        <f aca="false">N(AF528)</f>
        <v>0</v>
      </c>
      <c r="CK528" s="62" t="n">
        <f aca="false">N(M528)+N(N528)</f>
        <v>20</v>
      </c>
      <c r="CL528" s="62" t="n">
        <f aca="false">N(M528)</f>
        <v>0</v>
      </c>
      <c r="CM528" s="62" t="n">
        <f aca="false">N(N528)</f>
        <v>20</v>
      </c>
      <c r="CN528" s="62" t="n">
        <f aca="false">ROUNDUP(H528/BZ528,0)</f>
        <v>1</v>
      </c>
      <c r="CO528" s="62" t="n">
        <f aca="false">ROUNDUP(CJ528/BZ528,0)</f>
        <v>0</v>
      </c>
      <c r="CP528" s="65" t="n">
        <f aca="false">IF(CA528=1,0,IFERROR(VLOOKUP(BY528,'Gebinde-Kategorie'!$A$5:$N$45,5,0)+0,0))</f>
        <v>11</v>
      </c>
      <c r="CQ528" s="65" t="n">
        <f aca="false">IFERROR(IF(OR(CF528=1,CF528=2,CF528=3),N(INDEX(Parameter!$I$5:$I$7,CF528)),0),0)</f>
        <v>0</v>
      </c>
      <c r="CR528" s="64" t="n">
        <f aca="false">IF(AND(Parameter!$B$21="Ja",ISNUMBER(W528),N(X528)&gt;0),IFERROR(N(INDEX(Parameter!$L$5:$L$7,W528))*INDEX(Parameter!$E$5:$E$7,W528)*X528/SUMIFS($X$7:$X$1843,$W$7:$W$1843,W528),0),0)</f>
        <v>0</v>
      </c>
      <c r="CS528" s="62" t="n">
        <f aca="false">IF(AND(OR(CG528="L1",CG528="L23",CG528="LIFT"),H528&gt;0),CC528*IF(CR528&gt;0,CR528*MAX(1,H528/X528),IF(CA528=1,CE528,IF(R528&gt;0,CN528/R528,0))/MAX(0.1,N(Parameter!$M$21))),"")</f>
        <v>12.0833333333333</v>
      </c>
      <c r="CT528" s="64" t="n">
        <f aca="false">IF(CS528="","",J528/H528)</f>
        <v>0</v>
      </c>
      <c r="CU528" s="62" t="n">
        <f aca="false">IF(CS528="","",H528*G528)</f>
        <v>27.2</v>
      </c>
      <c r="CV528" s="63" t="n">
        <f aca="false">IF(CS528="","",(CL528+ROUNDUP(CL528+MAX(CM528,2*(J528/MAX(0.1,N(Einkauf!$C$6))-CL528)),0))/2)</f>
        <v>10</v>
      </c>
      <c r="CW528" s="62" t="n">
        <f aca="false">IF(CS528="","",MAX(0,H528-CV528)*G528)</f>
        <v>13.6</v>
      </c>
      <c r="CX528" s="62" t="n">
        <f aca="false">IF(CS528="","",CS528*MAX(0,1-CV528/H528))</f>
        <v>6.04166666666667</v>
      </c>
      <c r="CY528" s="64" t="n">
        <f aca="false">IF(CS528="","",PERCENTRANK($CS$7:$CS$1843,CS528)+PERCENTRANK($CU$7:$CU$1843,CU528)+1-PERCENTRANK($CT$7:$CT$1843,CT528))</f>
        <v>1.764</v>
      </c>
      <c r="CZ528" s="72" t="n">
        <f aca="false">IF(CS528="","",CHOOSE(MATCH(Einkauf!$C$5,Parameter!$G$23:$G$27,0),CY528,CS528,CU528,-CT528,CW528)+ROW()/1000000000)</f>
        <v>1.764000528</v>
      </c>
    </row>
    <row r="529" customFormat="false" ht="15" hidden="false" customHeight="false" outlineLevel="0" collapsed="false">
      <c r="A529" s="60" t="s">
        <v>1184</v>
      </c>
      <c r="B529" s="60" t="s">
        <v>1185</v>
      </c>
      <c r="C529" s="60" t="s">
        <v>206</v>
      </c>
      <c r="D529" s="60" t="s">
        <v>215</v>
      </c>
      <c r="E529" s="60"/>
      <c r="F529" s="60" t="s">
        <v>260</v>
      </c>
      <c r="G529" s="61" t="n">
        <v>25.55</v>
      </c>
      <c r="H529" s="62" t="n">
        <f aca="false">MAX(0,IF(AND(Parameter!$B$21="Ja",ISNUMBER(Y529)),Y529,IF(Parameter!$B$20="Jahresanfang 2025 + Export",BS529+BR529,BR529)))</f>
        <v>1</v>
      </c>
      <c r="I529" s="62" t="n">
        <f aca="false">H529*G529</f>
        <v>25.55</v>
      </c>
      <c r="J529" s="62" t="n">
        <f aca="false">BU529*Parameter!$B$18</f>
        <v>0</v>
      </c>
      <c r="K529" s="63" t="n">
        <v>0</v>
      </c>
      <c r="L529" s="64" t="n">
        <v>0</v>
      </c>
      <c r="M529" s="62" t="n">
        <v>0</v>
      </c>
      <c r="N529" s="62" t="n">
        <v>1</v>
      </c>
      <c r="O529" s="65" t="n">
        <v>21</v>
      </c>
      <c r="P529" s="60" t="s">
        <v>210</v>
      </c>
      <c r="Q529" s="62"/>
      <c r="R529" s="65" t="n">
        <f aca="false">IF(CA529=1,0,IFERROR(VLOOKUP(BY529,'Gebinde-Kategorie'!$A$5:$N$45,13,0)+0,0))</f>
        <v>12</v>
      </c>
      <c r="S529" s="66"/>
      <c r="T529" s="67" t="s">
        <v>221</v>
      </c>
      <c r="U529" s="67"/>
      <c r="V529" s="67"/>
      <c r="W529" s="60"/>
      <c r="X529" s="62"/>
      <c r="Y529" s="62"/>
      <c r="Z529" s="60" t="n">
        <v>3</v>
      </c>
      <c r="AA529" s="60" t="n">
        <f aca="false">IF(A529="","",IF(AND(Parameter!$B$21="Ja",ISNUMBER(W529)),W529,IF(AND(Parameter!$E$27="Ja",ISNUMBER(Z529),CD529&lt;&gt;"Nein"),Z529,IF(CD529="2+3",IF(ISNUMBER(SEARCH("grosser Artikel",BV529)),2,IFERROR(VLOOKUP(BY529,Parameter!$F$35:$G$64,2,0),2)),IF(OR(CD529="Nein",CD529=""),"-",CD529)))))</f>
        <v>3</v>
      </c>
      <c r="AB529" s="67"/>
      <c r="AC529" s="68"/>
      <c r="AD529" s="62" t="n">
        <f aca="false">AW529</f>
        <v>1</v>
      </c>
      <c r="AE529" s="62" t="n">
        <f aca="false">MAX(AW529,H529)</f>
        <v>1</v>
      </c>
      <c r="AF529" s="69"/>
      <c r="AG529" s="62" t="n">
        <f aca="false">IF(LEFT(Cockpit!$C$5,1)="A",H529,IF(Parameter!$E$30="MAX-Bestand",IF(CI529=1,CJ529,IF(LEFT(Cockpit!$C$5,1)="B",AM529,MAX(AM529,H529))),ROUNDUP(AK529,0)))</f>
        <v>1</v>
      </c>
      <c r="AH529" s="62" t="n">
        <f aca="false">IF(CA529=1,0,ROUNDUP(AG529/BZ529,0))</f>
        <v>1</v>
      </c>
      <c r="AI529" s="64" t="n">
        <f aca="false">IF(CR529&gt;0,CR529*MAX(1,AG529/X529),IF(CA529=1,IF(AG529&lt;=0,0,CE529*MAX(1,IF(H529&gt;0,AG529/H529,1))),IF(R529&gt;0,AH529/R529,0))/MAX(0.1,N(Parameter!$M$21)))</f>
        <v>0.0833333333333333</v>
      </c>
      <c r="AJ529" s="62" t="n">
        <f aca="false">AI529*CC529</f>
        <v>12.0833333333333</v>
      </c>
      <c r="AK529" s="63" t="n">
        <f aca="false">IF(LEFT(Cockpit!$C$5,1)="A",H529,IF(CI529=1,(CL529+CJ529)/2,IF(LEFT(Cockpit!$C$5,1)="B",(CL529+AM529)/2,MAX((CL529+AM529)/2,H529))))</f>
        <v>1</v>
      </c>
      <c r="AL529" s="62" t="n">
        <f aca="false">AK529*G529</f>
        <v>25.55</v>
      </c>
      <c r="AM529" s="62" t="n">
        <f aca="false">ROUNDUP(CL529+MAX(CM529,2*(J529/IF(CH529&gt;0,CH529,MAX(0.1,N(Cockpit!$C$6)))-CL529)),0)</f>
        <v>1</v>
      </c>
      <c r="AN529" s="63" t="n">
        <f aca="false">IF(AJ529&gt;0,J529/AJ529,-1)</f>
        <v>0</v>
      </c>
      <c r="AO529" s="63" t="n">
        <f aca="false">IF(AND(OR(CG529="L1",CG529="L23",CG529="LIFT"),AJ529&gt;0),SUMIFS($AJ$7:$AJ$1843,$CG$7:$CG$1843,CG529,$AN$7:$AN$1843,"&gt;"&amp;AN529)+SUMIFS($AJ$7:$AJ$1843,$CG$7:$CG$1843,CG529,$AN$7:$AN$1843,AN529,$BX$7:$BX$1843,"&lt;="&amp;BX529),"")</f>
        <v>28328.3811205273</v>
      </c>
      <c r="AP529" s="70" t="n">
        <f aca="false">IF(AO529="",0,MAX(0,MIN(1,(IF(CG529="L1",Parameter!$H$5,IF(CG529="L23",Parameter!$H$6+Parameter!$H$7,Parameter!$H$5+Parameter!$H$6+Parameter!$H$7))-(AO529-AJ529))/AJ529)))</f>
        <v>1</v>
      </c>
      <c r="AQ529" s="62" t="n">
        <f aca="false">IF(LEFT(Cockpit!$I$5,1)="A",H529,IF(Parameter!$E$30="MAX-Bestand",IF(CI529=1,CJ529,IF(LEFT(Cockpit!$I$5,1)="B",AW529,MAX(AW529,H529))),ROUNDUP(AU529,0)))</f>
        <v>1</v>
      </c>
      <c r="AR529" s="62" t="n">
        <f aca="false">IF(CA529=1,0,ROUNDUP(AQ529/BZ529,0))</f>
        <v>1</v>
      </c>
      <c r="AS529" s="64" t="n">
        <f aca="false">IF(CR529&gt;0,CR529*MAX(1,AQ529/X529),IF(CA529=1,IF(AQ529&lt;=0,0,CE529*MAX(1,IF(H529&gt;0,AQ529/H529,1))),IF(R529&gt;0,AR529/R529,0))/MAX(0.1,N(Parameter!$M$21)))</f>
        <v>0.0833333333333333</v>
      </c>
      <c r="AT529" s="62" t="n">
        <f aca="false">AS529*CC529</f>
        <v>12.0833333333333</v>
      </c>
      <c r="AU529" s="63" t="n">
        <f aca="false">IF(LEFT(Cockpit!$I$5,1)="A",H529,IF(CI529=1,(CL529+CJ529)/2,IF(LEFT(Cockpit!$I$5,1)="B",(CL529+AW529)/2,MAX((CL529+AW529)/2,H529))))</f>
        <v>1</v>
      </c>
      <c r="AV529" s="62" t="n">
        <f aca="false">AU529*G529</f>
        <v>25.55</v>
      </c>
      <c r="AW529" s="62" t="n">
        <f aca="false">ROUNDUP(CL529+MAX(CM529,2*(J529/IF(CH529&gt;0,CH529,MAX(0.1,N(Cockpit!$I$6)))-CL529)),0)</f>
        <v>1</v>
      </c>
      <c r="AX529" s="63" t="n">
        <f aca="false">IF(AT529&gt;0,J529/AT529,-1)</f>
        <v>0</v>
      </c>
      <c r="AY529" s="63" t="n">
        <f aca="false">IF(AND(OR(CG529="L1",CG529="L23",CG529="LIFT"),AT529&gt;0),SUMIFS($AT$7:$AT$1843,$CG$7:$CG$1843,CG529,$AX$7:$AX$1843,"&gt;"&amp;AX529)+SUMIFS($AT$7:$AT$1843,$CG$7:$CG$1843,CG529,$AX$7:$AX$1843,AX529,$BX$7:$BX$1843,"&lt;="&amp;BX529),"")</f>
        <v>33681.5297619048</v>
      </c>
      <c r="AZ529" s="70" t="n">
        <f aca="false">IF(AY529="",0,MAX(0,MIN(1,(IF(CG529="L1",Parameter!$H$5,IF(CG529="L23",Parameter!$H$6+Parameter!$H$7,Parameter!$H$5+Parameter!$H$6+Parameter!$H$7))-(AY529-AT529))/AT529)))</f>
        <v>1</v>
      </c>
      <c r="BA529" s="62" t="n">
        <f aca="false">IF(LEFT(Cockpit!$O$5,1)="A",H529,IF(Parameter!$E$30="MAX-Bestand",IF(CI529=1,CJ529,IF(LEFT(Cockpit!$O$5,1)="B",BG529,MAX(BG529,H529))),ROUNDUP(BE529,0)))</f>
        <v>1</v>
      </c>
      <c r="BB529" s="62" t="n">
        <f aca="false">IF(CA529=1,0,ROUNDUP(BA529/BZ529,0))</f>
        <v>1</v>
      </c>
      <c r="BC529" s="64" t="n">
        <f aca="false">IF(CR529&gt;0,CR529*MAX(1,BA529/X529),IF(CA529=1,IF(BA529&lt;=0,0,CE529*MAX(1,IF(H529&gt;0,BA529/H529,1))),IF(R529&gt;0,BB529/R529,0))/MAX(0.1,N(Parameter!$M$21)))</f>
        <v>0.0833333333333333</v>
      </c>
      <c r="BD529" s="62" t="n">
        <f aca="false">BC529*CC529</f>
        <v>12.0833333333333</v>
      </c>
      <c r="BE529" s="63" t="n">
        <f aca="false">IF(LEFT(Cockpit!$O$5,1)="A",H529,IF(CI529=1,(CL529+CJ529)/2,IF(LEFT(Cockpit!$O$5,1)="B",(CL529+BG529)/2,MAX((CL529+BG529)/2,H529))))</f>
        <v>0.5</v>
      </c>
      <c r="BF529" s="62" t="n">
        <f aca="false">BE529*G529</f>
        <v>12.775</v>
      </c>
      <c r="BG529" s="62" t="n">
        <f aca="false">ROUNDUP(CL529+MAX(CM529,2*(J529/IF(CH529&gt;0,CH529,MAX(0.1,N(Cockpit!$O$6)))-CL529)),0)</f>
        <v>1</v>
      </c>
      <c r="BH529" s="63" t="n">
        <f aca="false">IF(BD529&gt;0,J529/BD529,-1)</f>
        <v>0</v>
      </c>
      <c r="BI529" s="63" t="n">
        <f aca="false">IF(AND(OR(CG529="L1",CG529="L23",CG529="LIFT"),BD529&gt;0),SUMIFS($BD$7:$BD$1843,$CG$7:$CG$1843,CG529,$BH$7:$BH$1843,"&gt;"&amp;BH529)+SUMIFS($BD$7:$BD$1843,$CG$7:$CG$1843,CG529,$BH$7:$BH$1843,BH529,$BX$7:$BX$1843,"&lt;="&amp;BX529),"")</f>
        <v>27761.4568432979</v>
      </c>
      <c r="BJ529" s="70" t="n">
        <f aca="false">IF(BI529="",0,MAX(0,MIN(1,(IF(CG529="L1",Parameter!$H$5,IF(CG529="L23",Parameter!$H$6+Parameter!$H$7,Parameter!$H$5+Parameter!$H$6+Parameter!$H$7))-(BI529-BD529))/BD529)))</f>
        <v>1</v>
      </c>
      <c r="BK529" s="60" t="str">
        <f aca="false">IF(AJ529&lt;=0,"",IF(CG529="Aussen","Aussenlager",IF(CG529="-","Nicht im Lift",IF(AP529&gt;=1,"Lift",IF(AP529&lt;=0,"Aussenlager","teilweise")))))</f>
        <v>Lift</v>
      </c>
      <c r="BL529" s="60" t="str">
        <f aca="false">IF(AT529&lt;=0,"",IF(CG529="Aussen","Aussenlager",IF(CG529="-","Nicht im Lift",IF(AZ529&gt;=1,"Lift",IF(AZ529&lt;=0,"Aussenlager","teilweise")))))</f>
        <v>Lift</v>
      </c>
      <c r="BM529" s="60" t="str">
        <f aca="false">IF(BD529&lt;=0,"",IF(CG529="Aussen","Aussenlager",IF(CG529="-","Nicht im Lift",IF(BJ529&gt;=1,"Lift",IF(BJ529&lt;=0,"Aussenlager","teilweise")))))</f>
        <v>Lift</v>
      </c>
      <c r="BN529" s="60" t="str">
        <f aca="false">IF(A529="","",IF(BW529=1,"Neu; ","")&amp;IF(AND(BW529=0,BR529&lt;0),"negativer Bestand (Export "&amp;BR529&amp;"); ","")&amp;IF(J529&lt;=0,"Kein Verbrauch; ","")&amp;IF(CR529&gt;0,"Lift "&amp;W529&amp;" lt. Liftbericht (Fach "&amp;X529&amp;" Stk); ",IF(CB529=1,"Gebinde geschätzt ("&amp;T529&amp;"); ",IF(CA529=1,"Lose – Tablare geschätzt; ","")))&amp;IF(H529&gt;AW529,"Überbestand "&amp;ROUND(H529-AW529,0)&amp;" Stk / CHF "&amp;ROUND((H529-AW529)*G529,0)&amp;"; ","")&amp;IF(AND(CI529=1,CJ529&lt;CK529),"MAX &lt; MB+LG; ","")&amp;IF(AND(CQ529&gt;0,CP529*10&gt;CQ529),"zu hoch für Tablar; ","")&amp;IF(AND(BW529=0,OR(CI529=1,AB529&lt;&gt;"",U529&lt;&gt;"",V529&lt;&gt;"",AC529&lt;&gt;"")),"manuell übersteuert; ","")&amp;IF(AND(CA529=0,R529=0),"Gebinde unbekannt / Stellmass fehlt; ","")&amp;IF(AND(CA529=0,N(V529)&lt;=0,N(Q529)&lt;=0),"Menge pro Gebinde fehlt (Ist = 1 Gebinde); ","")&amp;BV529)</f>
        <v>Kein Verbrauch; Gebinde geschätzt (Mittel); Menge pro Gebinde fehlt (Ist = 1 Gebinde); </v>
      </c>
      <c r="BO529" s="60"/>
      <c r="BP529" s="60"/>
      <c r="BQ529" s="67"/>
      <c r="BR529" s="62" t="n">
        <v>1</v>
      </c>
      <c r="BS529" s="62" t="n">
        <v>0</v>
      </c>
      <c r="BT529" s="61" t="n">
        <v>25.55</v>
      </c>
      <c r="BU529" s="62" t="n">
        <v>0</v>
      </c>
      <c r="BV529" s="60"/>
      <c r="BW529" s="65" t="n">
        <v>0</v>
      </c>
      <c r="BX529" s="65" t="n">
        <v>529</v>
      </c>
      <c r="BY529" s="60" t="str">
        <f aca="false">IF(U529&lt;&gt;"",UPPER(TRIM(U529)),IF(CB529=1,UPPER(VLOOKUP(T529,Parameter!$I$27:$K$29,2,0)),IF(P529="","LOSE",P529)))</f>
        <v>S61</v>
      </c>
      <c r="BZ529" s="62" t="n">
        <f aca="false">IF(BY529="LOSE",1,IF(N(V529)&gt;0,V529,IF(CB529=1,MAX(1,N(VLOOKUP(T529,Parameter!$I$27:$K$29,3,0)),H529,N(N529)),IF(N(Q529)&gt;0,Q529,MAX(1,H529)))))</f>
        <v>4</v>
      </c>
      <c r="CA529" s="65" t="n">
        <f aca="false">IF(BY529="LOSE",1,0)</f>
        <v>0</v>
      </c>
      <c r="CB529" s="65" t="n">
        <f aca="false">IF(AND(U529="",OR(P529="",P529="LOSE"),T529&lt;&gt;"",N(S529)&lt;=0,ISNUMBER(MATCH(T529,Parameter!$I$27:$I$29,0))),1,0)</f>
        <v>1</v>
      </c>
      <c r="CC529" s="65" t="n">
        <f aca="false">IF(CR529&gt;0,INDEX(Parameter!$H$5:$H$7,W529)/INDEX(Parameter!$E$5:$E$7,W529),IF(AND(CA529=0,N(IFERROR(VLOOKUP(BY529,'Gebinde-Kategorie'!$A$5:$N$45,14,0),0))&gt;0),VLOOKUP(BY529,'Gebinde-Kategorie'!$A$5:$N$45,14,0)*10+Parameter!$M$23,Parameter!$M$24))</f>
        <v>145</v>
      </c>
      <c r="CD529" s="60" t="str">
        <f aca="false">IF(AND(Parameter!$B$19="Ja",E529&lt;&gt;"",ISNUMBER(MATCH(E529,Parameter!$I$35:$I$52,0))),VLOOKUP(E529,Parameter!$I$35:$J$52,2,0),IFERROR(VLOOKUP(D529,Parameter!$A$35:$C$64,2,0),"Nein"))</f>
        <v>2+3</v>
      </c>
      <c r="CE529" s="64" t="n">
        <f aca="false">IF(CA529=0,0,IF(N(S529)&gt;0,S529,IFERROR(VLOOKUP(D529,Parameter!$A$35:$C$64,3,0)+0,0)))</f>
        <v>0</v>
      </c>
      <c r="CF529" s="60" t="n">
        <f aca="false">IF(AB529&lt;&gt;"",AB529,AA529)</f>
        <v>3</v>
      </c>
      <c r="CG529" s="60" t="str">
        <f aca="false">IF(OR(CF529=1,CF529=2,CF529=3),IF(Parameter!$E$27="Ja","LIFT",IF(CF529=1,"L1","L23")),IF(CF529="Aussen","Aussen","-"))</f>
        <v>LIFT</v>
      </c>
      <c r="CH529" s="71" t="n">
        <f aca="false">IF(N(AC529)&gt;0,AC529,0)</f>
        <v>0</v>
      </c>
      <c r="CI529" s="65" t="n">
        <f aca="false">IF(ISNUMBER(AF529),1,0)</f>
        <v>0</v>
      </c>
      <c r="CJ529" s="62" t="n">
        <f aca="false">N(AF529)</f>
        <v>0</v>
      </c>
      <c r="CK529" s="62" t="n">
        <f aca="false">N(M529)+N(N529)</f>
        <v>1</v>
      </c>
      <c r="CL529" s="62" t="n">
        <f aca="false">N(M529)</f>
        <v>0</v>
      </c>
      <c r="CM529" s="62" t="n">
        <f aca="false">N(N529)</f>
        <v>1</v>
      </c>
      <c r="CN529" s="62" t="n">
        <f aca="false">ROUNDUP(H529/BZ529,0)</f>
        <v>1</v>
      </c>
      <c r="CO529" s="62" t="n">
        <f aca="false">ROUNDUP(CJ529/BZ529,0)</f>
        <v>0</v>
      </c>
      <c r="CP529" s="65" t="n">
        <f aca="false">IF(CA529=1,0,IFERROR(VLOOKUP(BY529,'Gebinde-Kategorie'!$A$5:$N$45,5,0)+0,0))</f>
        <v>11</v>
      </c>
      <c r="CQ529" s="65" t="n">
        <f aca="false">IFERROR(IF(OR(CF529=1,CF529=2,CF529=3),N(INDEX(Parameter!$I$5:$I$7,CF529)),0),0)</f>
        <v>0</v>
      </c>
      <c r="CR529" s="64" t="n">
        <f aca="false">IF(AND(Parameter!$B$21="Ja",ISNUMBER(W529),N(X529)&gt;0),IFERROR(N(INDEX(Parameter!$L$5:$L$7,W529))*INDEX(Parameter!$E$5:$E$7,W529)*X529/SUMIFS($X$7:$X$1843,$W$7:$W$1843,W529),0),0)</f>
        <v>0</v>
      </c>
      <c r="CS529" s="62" t="n">
        <f aca="false">IF(AND(OR(CG529="L1",CG529="L23",CG529="LIFT"),H529&gt;0),CC529*IF(CR529&gt;0,CR529*MAX(1,H529/X529),IF(CA529=1,CE529,IF(R529&gt;0,CN529/R529,0))/MAX(0.1,N(Parameter!$M$21))),"")</f>
        <v>12.0833333333333</v>
      </c>
      <c r="CT529" s="64" t="n">
        <f aca="false">IF(CS529="","",J529/H529)</f>
        <v>0</v>
      </c>
      <c r="CU529" s="62" t="n">
        <f aca="false">IF(CS529="","",H529*G529)</f>
        <v>25.55</v>
      </c>
      <c r="CV529" s="63" t="n">
        <f aca="false">IF(CS529="","",(CL529+ROUNDUP(CL529+MAX(CM529,2*(J529/MAX(0.1,N(Einkauf!$C$6))-CL529)),0))/2)</f>
        <v>0.5</v>
      </c>
      <c r="CW529" s="62" t="n">
        <f aca="false">IF(CS529="","",MAX(0,H529-CV529)*G529)</f>
        <v>12.775</v>
      </c>
      <c r="CX529" s="62" t="n">
        <f aca="false">IF(CS529="","",CS529*MAX(0,1-CV529/H529))</f>
        <v>6.04166666666667</v>
      </c>
      <c r="CY529" s="64" t="n">
        <f aca="false">IF(CS529="","",PERCENTRANK($CS$7:$CS$1843,CS529)+PERCENTRANK($CU$7:$CU$1843,CU529)+1-PERCENTRANK($CT$7:$CT$1843,CT529))</f>
        <v>1.7575</v>
      </c>
      <c r="CZ529" s="72" t="n">
        <f aca="false">IF(CS529="","",CHOOSE(MATCH(Einkauf!$C$5,Parameter!$G$23:$G$27,0),CY529,CS529,CU529,-CT529,CW529)+ROW()/1000000000)</f>
        <v>1.757500529</v>
      </c>
    </row>
    <row r="530" customFormat="false" ht="15" hidden="false" customHeight="false" outlineLevel="0" collapsed="false">
      <c r="A530" s="60" t="s">
        <v>1186</v>
      </c>
      <c r="B530" s="60" t="s">
        <v>1187</v>
      </c>
      <c r="C530" s="60" t="s">
        <v>206</v>
      </c>
      <c r="D530" s="60" t="s">
        <v>226</v>
      </c>
      <c r="E530" s="60"/>
      <c r="F530" s="60" t="s">
        <v>260</v>
      </c>
      <c r="G530" s="61" t="n">
        <v>1.59</v>
      </c>
      <c r="H530" s="62" t="n">
        <f aca="false">MAX(0,IF(AND(Parameter!$B$21="Ja",ISNUMBER(Y530)),Y530,IF(Parameter!$B$20="Jahresanfang 2025 + Export",BS530+BR530,BR530)))</f>
        <v>16</v>
      </c>
      <c r="I530" s="62" t="n">
        <f aca="false">H530*G530</f>
        <v>25.44</v>
      </c>
      <c r="J530" s="62" t="n">
        <f aca="false">BU530*Parameter!$B$18</f>
        <v>14</v>
      </c>
      <c r="K530" s="63" t="n">
        <v>11</v>
      </c>
      <c r="L530" s="64" t="n">
        <v>1.27272727272727</v>
      </c>
      <c r="M530" s="62" t="n">
        <v>0</v>
      </c>
      <c r="N530" s="62" t="n">
        <v>15</v>
      </c>
      <c r="O530" s="65" t="n">
        <v>21</v>
      </c>
      <c r="P530" s="60" t="s">
        <v>443</v>
      </c>
      <c r="Q530" s="62" t="n">
        <v>20</v>
      </c>
      <c r="R530" s="65" t="n">
        <f aca="false">IF(CA530=1,0,IFERROR(VLOOKUP(BY530,'Gebinde-Kategorie'!$A$5:$N$45,13,0)+0,0))</f>
        <v>280</v>
      </c>
      <c r="S530" s="66"/>
      <c r="T530" s="67"/>
      <c r="U530" s="67"/>
      <c r="V530" s="67"/>
      <c r="W530" s="60"/>
      <c r="X530" s="62"/>
      <c r="Y530" s="62"/>
      <c r="Z530" s="60" t="n">
        <v>3</v>
      </c>
      <c r="AA530" s="60" t="n">
        <f aca="false">IF(A530="","",IF(AND(Parameter!$B$21="Ja",ISNUMBER(W530)),W530,IF(AND(Parameter!$E$27="Ja",ISNUMBER(Z530),CD530&lt;&gt;"Nein"),Z530,IF(CD530="2+3",IF(ISNUMBER(SEARCH("grosser Artikel",BV530)),2,IFERROR(VLOOKUP(BY530,Parameter!$F$35:$G$64,2,0),2)),IF(OR(CD530="Nein",CD530=""),"-",CD530)))))</f>
        <v>3</v>
      </c>
      <c r="AB530" s="67"/>
      <c r="AC530" s="68"/>
      <c r="AD530" s="62" t="n">
        <f aca="false">AW530</f>
        <v>15</v>
      </c>
      <c r="AE530" s="62" t="n">
        <f aca="false">MAX(AW530,H530)</f>
        <v>16</v>
      </c>
      <c r="AF530" s="69"/>
      <c r="AG530" s="62" t="n">
        <f aca="false">IF(LEFT(Cockpit!$C$5,1)="A",H530,IF(Parameter!$E$30="MAX-Bestand",IF(CI530=1,CJ530,IF(LEFT(Cockpit!$C$5,1)="B",AM530,MAX(AM530,H530))),ROUNDUP(AK530,0)))</f>
        <v>16</v>
      </c>
      <c r="AH530" s="62" t="n">
        <f aca="false">IF(CA530=1,0,ROUNDUP(AG530/BZ530,0))</f>
        <v>1</v>
      </c>
      <c r="AI530" s="64" t="n">
        <f aca="false">IF(CR530&gt;0,CR530*MAX(1,AG530/X530),IF(CA530=1,IF(AG530&lt;=0,0,CE530*MAX(1,IF(H530&gt;0,AG530/H530,1))),IF(R530&gt;0,AH530/R530,0))/MAX(0.1,N(Parameter!$M$21)))</f>
        <v>0.00357142857142857</v>
      </c>
      <c r="AJ530" s="62" t="n">
        <f aca="false">AI530*CC530</f>
        <v>0.553571428571429</v>
      </c>
      <c r="AK530" s="63" t="n">
        <f aca="false">IF(LEFT(Cockpit!$C$5,1)="A",H530,IF(CI530=1,(CL530+CJ530)/2,IF(LEFT(Cockpit!$C$5,1)="B",(CL530+AM530)/2,MAX((CL530+AM530)/2,H530))))</f>
        <v>16</v>
      </c>
      <c r="AL530" s="62" t="n">
        <f aca="false">AK530*G530</f>
        <v>25.44</v>
      </c>
      <c r="AM530" s="62" t="n">
        <f aca="false">ROUNDUP(CL530+MAX(CM530,2*(J530/IF(CH530&gt;0,CH530,MAX(0.1,N(Cockpit!$C$6)))-CL530)),0)</f>
        <v>15</v>
      </c>
      <c r="AN530" s="63" t="n">
        <f aca="false">IF(AJ530&gt;0,J530/AJ530,-1)</f>
        <v>25.2903225806452</v>
      </c>
      <c r="AO530" s="63" t="n">
        <f aca="false">IF(AND(OR(CG530="L1",CG530="L23",CG530="LIFT"),AJ530&gt;0),SUMIFS($AJ$7:$AJ$1843,$CG$7:$CG$1843,CG530,$AN$7:$AN$1843,"&gt;"&amp;AN530)+SUMIFS($AJ$7:$AJ$1843,$CG$7:$CG$1843,CG530,$AN$7:$AN$1843,AN530,$BX$7:$BX$1843,"&lt;="&amp;BX530),"")</f>
        <v>1511.03663003663</v>
      </c>
      <c r="AP530" s="70" t="n">
        <f aca="false">IF(AO530="",0,MAX(0,MIN(1,(IF(CG530="L1",Parameter!$H$5,IF(CG530="L23",Parameter!$H$6+Parameter!$H$7,Parameter!$H$5+Parameter!$H$6+Parameter!$H$7))-(AO530-AJ530))/AJ530)))</f>
        <v>1</v>
      </c>
      <c r="AQ530" s="62" t="n">
        <f aca="false">IF(LEFT(Cockpit!$I$5,1)="A",H530,IF(Parameter!$E$30="MAX-Bestand",IF(CI530=1,CJ530,IF(LEFT(Cockpit!$I$5,1)="B",AW530,MAX(AW530,H530))),ROUNDUP(AU530,0)))</f>
        <v>16</v>
      </c>
      <c r="AR530" s="62" t="n">
        <f aca="false">IF(CA530=1,0,ROUNDUP(AQ530/BZ530,0))</f>
        <v>1</v>
      </c>
      <c r="AS530" s="64" t="n">
        <f aca="false">IF(CR530&gt;0,CR530*MAX(1,AQ530/X530),IF(CA530=1,IF(AQ530&lt;=0,0,CE530*MAX(1,IF(H530&gt;0,AQ530/H530,1))),IF(R530&gt;0,AR530/R530,0))/MAX(0.1,N(Parameter!$M$21)))</f>
        <v>0.00357142857142857</v>
      </c>
      <c r="AT530" s="62" t="n">
        <f aca="false">AS530*CC530</f>
        <v>0.553571428571429</v>
      </c>
      <c r="AU530" s="63" t="n">
        <f aca="false">IF(LEFT(Cockpit!$I$5,1)="A",H530,IF(CI530=1,(CL530+CJ530)/2,IF(LEFT(Cockpit!$I$5,1)="B",(CL530+AW530)/2,MAX((CL530+AW530)/2,H530))))</f>
        <v>16</v>
      </c>
      <c r="AV530" s="62" t="n">
        <f aca="false">AU530*G530</f>
        <v>25.44</v>
      </c>
      <c r="AW530" s="62" t="n">
        <f aca="false">ROUNDUP(CL530+MAX(CM530,2*(J530/IF(CH530&gt;0,CH530,MAX(0.1,N(Cockpit!$I$6)))-CL530)),0)</f>
        <v>15</v>
      </c>
      <c r="AX530" s="63" t="n">
        <f aca="false">IF(AT530&gt;0,J530/AT530,-1)</f>
        <v>25.2903225806452</v>
      </c>
      <c r="AY530" s="63" t="n">
        <f aca="false">IF(AND(OR(CG530="L1",CG530="L23",CG530="LIFT"),AT530&gt;0),SUMIFS($AT$7:$AT$1843,$CG$7:$CG$1843,CG530,$AX$7:$AX$1843,"&gt;"&amp;AX530)+SUMIFS($AT$7:$AT$1843,$CG$7:$CG$1843,CG530,$AX$7:$AX$1843,AX530,$BX$7:$BX$1843,"&lt;="&amp;BX530),"")</f>
        <v>2136.87545787546</v>
      </c>
      <c r="AZ530" s="70" t="n">
        <f aca="false">IF(AY530="",0,MAX(0,MIN(1,(IF(CG530="L1",Parameter!$H$5,IF(CG530="L23",Parameter!$H$6+Parameter!$H$7,Parameter!$H$5+Parameter!$H$6+Parameter!$H$7))-(AY530-AT530))/AT530)))</f>
        <v>1</v>
      </c>
      <c r="BA530" s="62" t="n">
        <f aca="false">IF(LEFT(Cockpit!$O$5,1)="A",H530,IF(Parameter!$E$30="MAX-Bestand",IF(CI530=1,CJ530,IF(LEFT(Cockpit!$O$5,1)="B",BG530,MAX(BG530,H530))),ROUNDUP(BE530,0)))</f>
        <v>8</v>
      </c>
      <c r="BB530" s="62" t="n">
        <f aca="false">IF(CA530=1,0,ROUNDUP(BA530/BZ530,0))</f>
        <v>1</v>
      </c>
      <c r="BC530" s="64" t="n">
        <f aca="false">IF(CR530&gt;0,CR530*MAX(1,BA530/X530),IF(CA530=1,IF(BA530&lt;=0,0,CE530*MAX(1,IF(H530&gt;0,BA530/H530,1))),IF(R530&gt;0,BB530/R530,0))/MAX(0.1,N(Parameter!$M$21)))</f>
        <v>0.00357142857142857</v>
      </c>
      <c r="BD530" s="62" t="n">
        <f aca="false">BC530*CC530</f>
        <v>0.553571428571429</v>
      </c>
      <c r="BE530" s="63" t="n">
        <f aca="false">IF(LEFT(Cockpit!$O$5,1)="A",H530,IF(CI530=1,(CL530+CJ530)/2,IF(LEFT(Cockpit!$O$5,1)="B",(CL530+BG530)/2,MAX((CL530+BG530)/2,H530))))</f>
        <v>7.5</v>
      </c>
      <c r="BF530" s="62" t="n">
        <f aca="false">BE530*G530</f>
        <v>11.925</v>
      </c>
      <c r="BG530" s="62" t="n">
        <f aca="false">ROUNDUP(CL530+MAX(CM530,2*(J530/IF(CH530&gt;0,CH530,MAX(0.1,N(Cockpit!$O$6)))-CL530)),0)</f>
        <v>15</v>
      </c>
      <c r="BH530" s="63" t="n">
        <f aca="false">IF(BD530&gt;0,J530/BD530,-1)</f>
        <v>25.2903225806452</v>
      </c>
      <c r="BI530" s="63" t="n">
        <f aca="false">IF(AND(OR(CG530="L1",CG530="L23",CG530="LIFT"),BD530&gt;0),SUMIFS($BD$7:$BD$1843,$CG$7:$CG$1843,CG530,$BH$7:$BH$1843,"&gt;"&amp;BH530)+SUMIFS($BD$7:$BD$1843,$CG$7:$CG$1843,CG530,$BH$7:$BH$1843,BH530,$BX$7:$BX$1843,"&lt;="&amp;BX530),"")</f>
        <v>2066.88644688645</v>
      </c>
      <c r="BJ530" s="70" t="n">
        <f aca="false">IF(BI530="",0,MAX(0,MIN(1,(IF(CG530="L1",Parameter!$H$5,IF(CG530="L23",Parameter!$H$6+Parameter!$H$7,Parameter!$H$5+Parameter!$H$6+Parameter!$H$7))-(BI530-BD530))/BD530)))</f>
        <v>1</v>
      </c>
      <c r="BK530" s="60" t="str">
        <f aca="false">IF(AJ530&lt;=0,"",IF(CG530="Aussen","Aussenlager",IF(CG530="-","Nicht im Lift",IF(AP530&gt;=1,"Lift",IF(AP530&lt;=0,"Aussenlager","teilweise")))))</f>
        <v>Lift</v>
      </c>
      <c r="BL530" s="60" t="str">
        <f aca="false">IF(AT530&lt;=0,"",IF(CG530="Aussen","Aussenlager",IF(CG530="-","Nicht im Lift",IF(AZ530&gt;=1,"Lift",IF(AZ530&lt;=0,"Aussenlager","teilweise")))))</f>
        <v>Lift</v>
      </c>
      <c r="BM530" s="60" t="str">
        <f aca="false">IF(BD530&lt;=0,"",IF(CG530="Aussen","Aussenlager",IF(CG530="-","Nicht im Lift",IF(BJ530&gt;=1,"Lift",IF(BJ530&lt;=0,"Aussenlager","teilweise")))))</f>
        <v>Lift</v>
      </c>
      <c r="BN530" s="60" t="str">
        <f aca="false">IF(A530="","",IF(BW530=1,"Neu; ","")&amp;IF(AND(BW530=0,BR530&lt;0),"negativer Bestand (Export "&amp;BR530&amp;"); ","")&amp;IF(J530&lt;=0,"Kein Verbrauch; ","")&amp;IF(CR530&gt;0,"Lift "&amp;W530&amp;" lt. Liftbericht (Fach "&amp;X530&amp;" Stk); ",IF(CB530=1,"Gebinde geschätzt ("&amp;T530&amp;"); ",IF(CA530=1,"Lose – Tablare geschätzt; ","")))&amp;IF(H530&gt;AW530,"Überbestand "&amp;ROUND(H530-AW530,0)&amp;" Stk / CHF "&amp;ROUND((H530-AW530)*G530,0)&amp;"; ","")&amp;IF(AND(CI530=1,CJ530&lt;CK530),"MAX &lt; MB+LG; ","")&amp;IF(AND(CQ530&gt;0,CP530*10&gt;CQ530),"zu hoch für Tablar; ","")&amp;IF(AND(BW530=0,OR(CI530=1,AB530&lt;&gt;"",U530&lt;&gt;"",V530&lt;&gt;"",AC530&lt;&gt;"")),"manuell übersteuert; ","")&amp;IF(AND(CA530=0,R530=0),"Gebinde unbekannt / Stellmass fehlt; ","")&amp;IF(AND(CA530=0,N(V530)&lt;=0,N(Q530)&lt;=0),"Menge pro Gebinde fehlt (Ist = 1 Gebinde); ","")&amp;BV530)</f>
        <v>Überbestand 1 Stk / CHF 2; </v>
      </c>
      <c r="BO530" s="60"/>
      <c r="BP530" s="60"/>
      <c r="BQ530" s="67"/>
      <c r="BR530" s="62" t="n">
        <v>16</v>
      </c>
      <c r="BS530" s="62" t="n">
        <v>0</v>
      </c>
      <c r="BT530" s="61" t="n">
        <v>25.44</v>
      </c>
      <c r="BU530" s="62" t="n">
        <v>14</v>
      </c>
      <c r="BV530" s="60"/>
      <c r="BW530" s="65" t="n">
        <v>0</v>
      </c>
      <c r="BX530" s="65" t="n">
        <v>530</v>
      </c>
      <c r="BY530" s="60" t="str">
        <f aca="false">IF(U530&lt;&gt;"",UPPER(TRIM(U530)),IF(CB530=1,UPPER(VLOOKUP(T530,Parameter!$I$27:$K$29,2,0)),IF(P530="","LOSE",P530)))</f>
        <v>S21</v>
      </c>
      <c r="BZ530" s="62" t="n">
        <f aca="false">IF(BY530="LOSE",1,IF(N(V530)&gt;0,V530,IF(CB530=1,MAX(1,N(VLOOKUP(T530,Parameter!$I$27:$K$29,3,0)),H530,N(N530)),IF(N(Q530)&gt;0,Q530,MAX(1,H530)))))</f>
        <v>20</v>
      </c>
      <c r="CA530" s="65" t="n">
        <f aca="false">IF(BY530="LOSE",1,0)</f>
        <v>0</v>
      </c>
      <c r="CB530" s="65" t="n">
        <f aca="false">IF(AND(U530="",OR(P530="",P530="LOSE"),T530&lt;&gt;"",N(S530)&lt;=0,ISNUMBER(MATCH(T530,Parameter!$I$27:$I$29,0))),1,0)</f>
        <v>0</v>
      </c>
      <c r="CC530" s="65" t="n">
        <f aca="false">IF(CR530&gt;0,INDEX(Parameter!$H$5:$H$7,W530)/INDEX(Parameter!$E$5:$E$7,W530),IF(AND(CA530=0,N(IFERROR(VLOOKUP(BY530,'Gebinde-Kategorie'!$A$5:$N$45,14,0),0))&gt;0),VLOOKUP(BY530,'Gebinde-Kategorie'!$A$5:$N$45,14,0)*10+Parameter!$M$23,Parameter!$M$24))</f>
        <v>155</v>
      </c>
      <c r="CD530" s="60" t="str">
        <f aca="false">IF(AND(Parameter!$B$19="Ja",E530&lt;&gt;"",ISNUMBER(MATCH(E530,Parameter!$I$35:$I$52,0))),VLOOKUP(E530,Parameter!$I$35:$J$52,2,0),IFERROR(VLOOKUP(D530,Parameter!$A$35:$C$64,2,0),"Nein"))</f>
        <v>2+3</v>
      </c>
      <c r="CE530" s="64" t="n">
        <f aca="false">IF(CA530=0,0,IF(N(S530)&gt;0,S530,IFERROR(VLOOKUP(D530,Parameter!$A$35:$C$64,3,0)+0,0)))</f>
        <v>0</v>
      </c>
      <c r="CF530" s="60" t="n">
        <f aca="false">IF(AB530&lt;&gt;"",AB530,AA530)</f>
        <v>3</v>
      </c>
      <c r="CG530" s="60" t="str">
        <f aca="false">IF(OR(CF530=1,CF530=2,CF530=3),IF(Parameter!$E$27="Ja","LIFT",IF(CF530=1,"L1","L23")),IF(CF530="Aussen","Aussen","-"))</f>
        <v>LIFT</v>
      </c>
      <c r="CH530" s="71" t="n">
        <f aca="false">IF(N(AC530)&gt;0,AC530,0)</f>
        <v>0</v>
      </c>
      <c r="CI530" s="65" t="n">
        <f aca="false">IF(ISNUMBER(AF530),1,0)</f>
        <v>0</v>
      </c>
      <c r="CJ530" s="62" t="n">
        <f aca="false">N(AF530)</f>
        <v>0</v>
      </c>
      <c r="CK530" s="62" t="n">
        <f aca="false">N(M530)+N(N530)</f>
        <v>15</v>
      </c>
      <c r="CL530" s="62" t="n">
        <f aca="false">N(M530)</f>
        <v>0</v>
      </c>
      <c r="CM530" s="62" t="n">
        <f aca="false">N(N530)</f>
        <v>15</v>
      </c>
      <c r="CN530" s="62" t="n">
        <f aca="false">ROUNDUP(H530/BZ530,0)</f>
        <v>1</v>
      </c>
      <c r="CO530" s="62" t="n">
        <f aca="false">ROUNDUP(CJ530/BZ530,0)</f>
        <v>0</v>
      </c>
      <c r="CP530" s="65" t="n">
        <f aca="false">IF(CA530=1,0,IFERROR(VLOOKUP(BY530,'Gebinde-Kategorie'!$A$5:$N$45,5,0)+0,0))</f>
        <v>8</v>
      </c>
      <c r="CQ530" s="65" t="n">
        <f aca="false">IFERROR(IF(OR(CF530=1,CF530=2,CF530=3),N(INDEX(Parameter!$I$5:$I$7,CF530)),0),0)</f>
        <v>0</v>
      </c>
      <c r="CR530" s="64" t="n">
        <f aca="false">IF(AND(Parameter!$B$21="Ja",ISNUMBER(W530),N(X530)&gt;0),IFERROR(N(INDEX(Parameter!$L$5:$L$7,W530))*INDEX(Parameter!$E$5:$E$7,W530)*X530/SUMIFS($X$7:$X$1843,$W$7:$W$1843,W530),0),0)</f>
        <v>0</v>
      </c>
      <c r="CS530" s="62" t="n">
        <f aca="false">IF(AND(OR(CG530="L1",CG530="L23",CG530="LIFT"),H530&gt;0),CC530*IF(CR530&gt;0,CR530*MAX(1,H530/X530),IF(CA530=1,CE530,IF(R530&gt;0,CN530/R530,0))/MAX(0.1,N(Parameter!$M$21))),"")</f>
        <v>0.553571428571429</v>
      </c>
      <c r="CT530" s="64" t="n">
        <f aca="false">IF(CS530="","",J530/H530)</f>
        <v>0.875</v>
      </c>
      <c r="CU530" s="62" t="n">
        <f aca="false">IF(CS530="","",H530*G530)</f>
        <v>25.44</v>
      </c>
      <c r="CV530" s="63" t="n">
        <f aca="false">IF(CS530="","",(CL530+ROUNDUP(CL530+MAX(CM530,2*(J530/MAX(0.1,N(Einkauf!$C$6))-CL530)),0))/2)</f>
        <v>7.5</v>
      </c>
      <c r="CW530" s="62" t="n">
        <f aca="false">IF(CS530="","",MAX(0,H530-CV530)*G530)</f>
        <v>13.515</v>
      </c>
      <c r="CX530" s="62" t="n">
        <f aca="false">IF(CS530="","",CS530*MAX(0,1-CV530/H530))</f>
        <v>0.294084821428571</v>
      </c>
      <c r="CY530" s="64" t="n">
        <f aca="false">IF(CS530="","",PERCENTRANK($CS$7:$CS$1843,CS530)+PERCENTRANK($CU$7:$CU$1843,CU530)+1-PERCENTRANK($CT$7:$CT$1843,CT530))</f>
        <v>0.4851</v>
      </c>
      <c r="CZ530" s="72" t="n">
        <f aca="false">IF(CS530="","",CHOOSE(MATCH(Einkauf!$C$5,Parameter!$G$23:$G$27,0),CY530,CS530,CU530,-CT530,CW530)+ROW()/1000000000)</f>
        <v>0.48510053</v>
      </c>
    </row>
    <row r="531" customFormat="false" ht="15" hidden="false" customHeight="false" outlineLevel="0" collapsed="false">
      <c r="A531" s="60" t="s">
        <v>1188</v>
      </c>
      <c r="B531" s="60" t="s">
        <v>1189</v>
      </c>
      <c r="C531" s="60" t="s">
        <v>206</v>
      </c>
      <c r="D531" s="60" t="s">
        <v>215</v>
      </c>
      <c r="E531" s="60"/>
      <c r="F531" s="60" t="s">
        <v>260</v>
      </c>
      <c r="G531" s="61" t="n">
        <v>25.44</v>
      </c>
      <c r="H531" s="62" t="n">
        <f aca="false">MAX(0,IF(AND(Parameter!$B$21="Ja",ISNUMBER(Y531)),Y531,IF(Parameter!$B$20="Jahresanfang 2025 + Export",BS531+BR531,BR531)))</f>
        <v>1</v>
      </c>
      <c r="I531" s="62" t="n">
        <f aca="false">H531*G531</f>
        <v>25.44</v>
      </c>
      <c r="J531" s="62" t="n">
        <f aca="false">BU531*Parameter!$B$18</f>
        <v>0</v>
      </c>
      <c r="K531" s="63" t="n">
        <v>0</v>
      </c>
      <c r="L531" s="64" t="n">
        <v>0</v>
      </c>
      <c r="M531" s="62" t="n">
        <v>0</v>
      </c>
      <c r="N531" s="62" t="n">
        <v>1</v>
      </c>
      <c r="O531" s="65" t="n">
        <v>21</v>
      </c>
      <c r="P531" s="60" t="s">
        <v>210</v>
      </c>
      <c r="Q531" s="62"/>
      <c r="R531" s="65" t="n">
        <f aca="false">IF(CA531=1,0,IFERROR(VLOOKUP(BY531,'Gebinde-Kategorie'!$A$5:$N$45,13,0)+0,0))</f>
        <v>12</v>
      </c>
      <c r="S531" s="66"/>
      <c r="T531" s="67" t="s">
        <v>221</v>
      </c>
      <c r="U531" s="67"/>
      <c r="V531" s="67"/>
      <c r="W531" s="60"/>
      <c r="X531" s="62"/>
      <c r="Y531" s="62"/>
      <c r="Z531" s="60" t="n">
        <v>3</v>
      </c>
      <c r="AA531" s="60" t="n">
        <f aca="false">IF(A531="","",IF(AND(Parameter!$B$21="Ja",ISNUMBER(W531)),W531,IF(AND(Parameter!$E$27="Ja",ISNUMBER(Z531),CD531&lt;&gt;"Nein"),Z531,IF(CD531="2+3",IF(ISNUMBER(SEARCH("grosser Artikel",BV531)),2,IFERROR(VLOOKUP(BY531,Parameter!$F$35:$G$64,2,0),2)),IF(OR(CD531="Nein",CD531=""),"-",CD531)))))</f>
        <v>3</v>
      </c>
      <c r="AB531" s="67"/>
      <c r="AC531" s="68"/>
      <c r="AD531" s="62" t="n">
        <f aca="false">AW531</f>
        <v>1</v>
      </c>
      <c r="AE531" s="62" t="n">
        <f aca="false">MAX(AW531,H531)</f>
        <v>1</v>
      </c>
      <c r="AF531" s="69"/>
      <c r="AG531" s="62" t="n">
        <f aca="false">IF(LEFT(Cockpit!$C$5,1)="A",H531,IF(Parameter!$E$30="MAX-Bestand",IF(CI531=1,CJ531,IF(LEFT(Cockpit!$C$5,1)="B",AM531,MAX(AM531,H531))),ROUNDUP(AK531,0)))</f>
        <v>1</v>
      </c>
      <c r="AH531" s="62" t="n">
        <f aca="false">IF(CA531=1,0,ROUNDUP(AG531/BZ531,0))</f>
        <v>1</v>
      </c>
      <c r="AI531" s="64" t="n">
        <f aca="false">IF(CR531&gt;0,CR531*MAX(1,AG531/X531),IF(CA531=1,IF(AG531&lt;=0,0,CE531*MAX(1,IF(H531&gt;0,AG531/H531,1))),IF(R531&gt;0,AH531/R531,0))/MAX(0.1,N(Parameter!$M$21)))</f>
        <v>0.0833333333333333</v>
      </c>
      <c r="AJ531" s="62" t="n">
        <f aca="false">AI531*CC531</f>
        <v>12.0833333333333</v>
      </c>
      <c r="AK531" s="63" t="n">
        <f aca="false">IF(LEFT(Cockpit!$C$5,1)="A",H531,IF(CI531=1,(CL531+CJ531)/2,IF(LEFT(Cockpit!$C$5,1)="B",(CL531+AM531)/2,MAX((CL531+AM531)/2,H531))))</f>
        <v>1</v>
      </c>
      <c r="AL531" s="62" t="n">
        <f aca="false">AK531*G531</f>
        <v>25.44</v>
      </c>
      <c r="AM531" s="62" t="n">
        <f aca="false">ROUNDUP(CL531+MAX(CM531,2*(J531/IF(CH531&gt;0,CH531,MAX(0.1,N(Cockpit!$C$6)))-CL531)),0)</f>
        <v>1</v>
      </c>
      <c r="AN531" s="63" t="n">
        <f aca="false">IF(AJ531&gt;0,J531/AJ531,-1)</f>
        <v>0</v>
      </c>
      <c r="AO531" s="63" t="n">
        <f aca="false">IF(AND(OR(CG531="L1",CG531="L23",CG531="LIFT"),AJ531&gt;0),SUMIFS($AJ$7:$AJ$1843,$CG$7:$CG$1843,CG531,$AN$7:$AN$1843,"&gt;"&amp;AN531)+SUMIFS($AJ$7:$AJ$1843,$CG$7:$CG$1843,CG531,$AN$7:$AN$1843,AN531,$BX$7:$BX$1843,"&lt;="&amp;BX531),"")</f>
        <v>28340.4644538606</v>
      </c>
      <c r="AP531" s="70" t="n">
        <f aca="false">IF(AO531="",0,MAX(0,MIN(1,(IF(CG531="L1",Parameter!$H$5,IF(CG531="L23",Parameter!$H$6+Parameter!$H$7,Parameter!$H$5+Parameter!$H$6+Parameter!$H$7))-(AO531-AJ531))/AJ531)))</f>
        <v>1</v>
      </c>
      <c r="AQ531" s="62" t="n">
        <f aca="false">IF(LEFT(Cockpit!$I$5,1)="A",H531,IF(Parameter!$E$30="MAX-Bestand",IF(CI531=1,CJ531,IF(LEFT(Cockpit!$I$5,1)="B",AW531,MAX(AW531,H531))),ROUNDUP(AU531,0)))</f>
        <v>1</v>
      </c>
      <c r="AR531" s="62" t="n">
        <f aca="false">IF(CA531=1,0,ROUNDUP(AQ531/BZ531,0))</f>
        <v>1</v>
      </c>
      <c r="AS531" s="64" t="n">
        <f aca="false">IF(CR531&gt;0,CR531*MAX(1,AQ531/X531),IF(CA531=1,IF(AQ531&lt;=0,0,CE531*MAX(1,IF(H531&gt;0,AQ531/H531,1))),IF(R531&gt;0,AR531/R531,0))/MAX(0.1,N(Parameter!$M$21)))</f>
        <v>0.0833333333333333</v>
      </c>
      <c r="AT531" s="62" t="n">
        <f aca="false">AS531*CC531</f>
        <v>12.0833333333333</v>
      </c>
      <c r="AU531" s="63" t="n">
        <f aca="false">IF(LEFT(Cockpit!$I$5,1)="A",H531,IF(CI531=1,(CL531+CJ531)/2,IF(LEFT(Cockpit!$I$5,1)="B",(CL531+AW531)/2,MAX((CL531+AW531)/2,H531))))</f>
        <v>1</v>
      </c>
      <c r="AV531" s="62" t="n">
        <f aca="false">AU531*G531</f>
        <v>25.44</v>
      </c>
      <c r="AW531" s="62" t="n">
        <f aca="false">ROUNDUP(CL531+MAX(CM531,2*(J531/IF(CH531&gt;0,CH531,MAX(0.1,N(Cockpit!$I$6)))-CL531)),0)</f>
        <v>1</v>
      </c>
      <c r="AX531" s="63" t="n">
        <f aca="false">IF(AT531&gt;0,J531/AT531,-1)</f>
        <v>0</v>
      </c>
      <c r="AY531" s="63" t="n">
        <f aca="false">IF(AND(OR(CG531="L1",CG531="L23",CG531="LIFT"),AT531&gt;0),SUMIFS($AT$7:$AT$1843,$CG$7:$CG$1843,CG531,$AX$7:$AX$1843,"&gt;"&amp;AX531)+SUMIFS($AT$7:$AT$1843,$CG$7:$CG$1843,CG531,$AX$7:$AX$1843,AX531,$BX$7:$BX$1843,"&lt;="&amp;BX531),"")</f>
        <v>33693.6130952381</v>
      </c>
      <c r="AZ531" s="70" t="n">
        <f aca="false">IF(AY531="",0,MAX(0,MIN(1,(IF(CG531="L1",Parameter!$H$5,IF(CG531="L23",Parameter!$H$6+Parameter!$H$7,Parameter!$H$5+Parameter!$H$6+Parameter!$H$7))-(AY531-AT531))/AT531)))</f>
        <v>1</v>
      </c>
      <c r="BA531" s="62" t="n">
        <f aca="false">IF(LEFT(Cockpit!$O$5,1)="A",H531,IF(Parameter!$E$30="MAX-Bestand",IF(CI531=1,CJ531,IF(LEFT(Cockpit!$O$5,1)="B",BG531,MAX(BG531,H531))),ROUNDUP(BE531,0)))</f>
        <v>1</v>
      </c>
      <c r="BB531" s="62" t="n">
        <f aca="false">IF(CA531=1,0,ROUNDUP(BA531/BZ531,0))</f>
        <v>1</v>
      </c>
      <c r="BC531" s="64" t="n">
        <f aca="false">IF(CR531&gt;0,CR531*MAX(1,BA531/X531),IF(CA531=1,IF(BA531&lt;=0,0,CE531*MAX(1,IF(H531&gt;0,BA531/H531,1))),IF(R531&gt;0,BB531/R531,0))/MAX(0.1,N(Parameter!$M$21)))</f>
        <v>0.0833333333333333</v>
      </c>
      <c r="BD531" s="62" t="n">
        <f aca="false">BC531*CC531</f>
        <v>12.0833333333333</v>
      </c>
      <c r="BE531" s="63" t="n">
        <f aca="false">IF(LEFT(Cockpit!$O$5,1)="A",H531,IF(CI531=1,(CL531+CJ531)/2,IF(LEFT(Cockpit!$O$5,1)="B",(CL531+BG531)/2,MAX((CL531+BG531)/2,H531))))</f>
        <v>0.5</v>
      </c>
      <c r="BF531" s="62" t="n">
        <f aca="false">BE531*G531</f>
        <v>12.72</v>
      </c>
      <c r="BG531" s="62" t="n">
        <f aca="false">ROUNDUP(CL531+MAX(CM531,2*(J531/IF(CH531&gt;0,CH531,MAX(0.1,N(Cockpit!$O$6)))-CL531)),0)</f>
        <v>1</v>
      </c>
      <c r="BH531" s="63" t="n">
        <f aca="false">IF(BD531&gt;0,J531/BD531,-1)</f>
        <v>0</v>
      </c>
      <c r="BI531" s="63" t="n">
        <f aca="false">IF(AND(OR(CG531="L1",CG531="L23",CG531="LIFT"),BD531&gt;0),SUMIFS($BD$7:$BD$1843,$CG$7:$CG$1843,CG531,$BH$7:$BH$1843,"&gt;"&amp;BH531)+SUMIFS($BD$7:$BD$1843,$CG$7:$CG$1843,CG531,$BH$7:$BH$1843,BH531,$BX$7:$BX$1843,"&lt;="&amp;BX531),"")</f>
        <v>27773.5401766313</v>
      </c>
      <c r="BJ531" s="70" t="n">
        <f aca="false">IF(BI531="",0,MAX(0,MIN(1,(IF(CG531="L1",Parameter!$H$5,IF(CG531="L23",Parameter!$H$6+Parameter!$H$7,Parameter!$H$5+Parameter!$H$6+Parameter!$H$7))-(BI531-BD531))/BD531)))</f>
        <v>1</v>
      </c>
      <c r="BK531" s="60" t="str">
        <f aca="false">IF(AJ531&lt;=0,"",IF(CG531="Aussen","Aussenlager",IF(CG531="-","Nicht im Lift",IF(AP531&gt;=1,"Lift",IF(AP531&lt;=0,"Aussenlager","teilweise")))))</f>
        <v>Lift</v>
      </c>
      <c r="BL531" s="60" t="str">
        <f aca="false">IF(AT531&lt;=0,"",IF(CG531="Aussen","Aussenlager",IF(CG531="-","Nicht im Lift",IF(AZ531&gt;=1,"Lift",IF(AZ531&lt;=0,"Aussenlager","teilweise")))))</f>
        <v>Lift</v>
      </c>
      <c r="BM531" s="60" t="str">
        <f aca="false">IF(BD531&lt;=0,"",IF(CG531="Aussen","Aussenlager",IF(CG531="-","Nicht im Lift",IF(BJ531&gt;=1,"Lift",IF(BJ531&lt;=0,"Aussenlager","teilweise")))))</f>
        <v>Lift</v>
      </c>
      <c r="BN531" s="60" t="str">
        <f aca="false">IF(A531="","",IF(BW531=1,"Neu; ","")&amp;IF(AND(BW531=0,BR531&lt;0),"negativer Bestand (Export "&amp;BR531&amp;"); ","")&amp;IF(J531&lt;=0,"Kein Verbrauch; ","")&amp;IF(CR531&gt;0,"Lift "&amp;W531&amp;" lt. Liftbericht (Fach "&amp;X531&amp;" Stk); ",IF(CB531=1,"Gebinde geschätzt ("&amp;T531&amp;"); ",IF(CA531=1,"Lose – Tablare geschätzt; ","")))&amp;IF(H531&gt;AW531,"Überbestand "&amp;ROUND(H531-AW531,0)&amp;" Stk / CHF "&amp;ROUND((H531-AW531)*G531,0)&amp;"; ","")&amp;IF(AND(CI531=1,CJ531&lt;CK531),"MAX &lt; MB+LG; ","")&amp;IF(AND(CQ531&gt;0,CP531*10&gt;CQ531),"zu hoch für Tablar; ","")&amp;IF(AND(BW531=0,OR(CI531=1,AB531&lt;&gt;"",U531&lt;&gt;"",V531&lt;&gt;"",AC531&lt;&gt;"")),"manuell übersteuert; ","")&amp;IF(AND(CA531=0,R531=0),"Gebinde unbekannt / Stellmass fehlt; ","")&amp;IF(AND(CA531=0,N(V531)&lt;=0,N(Q531)&lt;=0),"Menge pro Gebinde fehlt (Ist = 1 Gebinde); ","")&amp;BV531)</f>
        <v>Kein Verbrauch; Gebinde geschätzt (Mittel); Menge pro Gebinde fehlt (Ist = 1 Gebinde); </v>
      </c>
      <c r="BO531" s="60"/>
      <c r="BP531" s="60"/>
      <c r="BQ531" s="67"/>
      <c r="BR531" s="62" t="n">
        <v>1</v>
      </c>
      <c r="BS531" s="62" t="n">
        <v>0</v>
      </c>
      <c r="BT531" s="61" t="n">
        <v>25.44</v>
      </c>
      <c r="BU531" s="62" t="n">
        <v>0</v>
      </c>
      <c r="BV531" s="60"/>
      <c r="BW531" s="65" t="n">
        <v>0</v>
      </c>
      <c r="BX531" s="65" t="n">
        <v>531</v>
      </c>
      <c r="BY531" s="60" t="str">
        <f aca="false">IF(U531&lt;&gt;"",UPPER(TRIM(U531)),IF(CB531=1,UPPER(VLOOKUP(T531,Parameter!$I$27:$K$29,2,0)),IF(P531="","LOSE",P531)))</f>
        <v>S61</v>
      </c>
      <c r="BZ531" s="62" t="n">
        <f aca="false">IF(BY531="LOSE",1,IF(N(V531)&gt;0,V531,IF(CB531=1,MAX(1,N(VLOOKUP(T531,Parameter!$I$27:$K$29,3,0)),H531,N(N531)),IF(N(Q531)&gt;0,Q531,MAX(1,H531)))))</f>
        <v>4</v>
      </c>
      <c r="CA531" s="65" t="n">
        <f aca="false">IF(BY531="LOSE",1,0)</f>
        <v>0</v>
      </c>
      <c r="CB531" s="65" t="n">
        <f aca="false">IF(AND(U531="",OR(P531="",P531="LOSE"),T531&lt;&gt;"",N(S531)&lt;=0,ISNUMBER(MATCH(T531,Parameter!$I$27:$I$29,0))),1,0)</f>
        <v>1</v>
      </c>
      <c r="CC531" s="65" t="n">
        <f aca="false">IF(CR531&gt;0,INDEX(Parameter!$H$5:$H$7,W531)/INDEX(Parameter!$E$5:$E$7,W531),IF(AND(CA531=0,N(IFERROR(VLOOKUP(BY531,'Gebinde-Kategorie'!$A$5:$N$45,14,0),0))&gt;0),VLOOKUP(BY531,'Gebinde-Kategorie'!$A$5:$N$45,14,0)*10+Parameter!$M$23,Parameter!$M$24))</f>
        <v>145</v>
      </c>
      <c r="CD531" s="60" t="str">
        <f aca="false">IF(AND(Parameter!$B$19="Ja",E531&lt;&gt;"",ISNUMBER(MATCH(E531,Parameter!$I$35:$I$52,0))),VLOOKUP(E531,Parameter!$I$35:$J$52,2,0),IFERROR(VLOOKUP(D531,Parameter!$A$35:$C$64,2,0),"Nein"))</f>
        <v>2+3</v>
      </c>
      <c r="CE531" s="64" t="n">
        <f aca="false">IF(CA531=0,0,IF(N(S531)&gt;0,S531,IFERROR(VLOOKUP(D531,Parameter!$A$35:$C$64,3,0)+0,0)))</f>
        <v>0</v>
      </c>
      <c r="CF531" s="60" t="n">
        <f aca="false">IF(AB531&lt;&gt;"",AB531,AA531)</f>
        <v>3</v>
      </c>
      <c r="CG531" s="60" t="str">
        <f aca="false">IF(OR(CF531=1,CF531=2,CF531=3),IF(Parameter!$E$27="Ja","LIFT",IF(CF531=1,"L1","L23")),IF(CF531="Aussen","Aussen","-"))</f>
        <v>LIFT</v>
      </c>
      <c r="CH531" s="71" t="n">
        <f aca="false">IF(N(AC531)&gt;0,AC531,0)</f>
        <v>0</v>
      </c>
      <c r="CI531" s="65" t="n">
        <f aca="false">IF(ISNUMBER(AF531),1,0)</f>
        <v>0</v>
      </c>
      <c r="CJ531" s="62" t="n">
        <f aca="false">N(AF531)</f>
        <v>0</v>
      </c>
      <c r="CK531" s="62" t="n">
        <f aca="false">N(M531)+N(N531)</f>
        <v>1</v>
      </c>
      <c r="CL531" s="62" t="n">
        <f aca="false">N(M531)</f>
        <v>0</v>
      </c>
      <c r="CM531" s="62" t="n">
        <f aca="false">N(N531)</f>
        <v>1</v>
      </c>
      <c r="CN531" s="62" t="n">
        <f aca="false">ROUNDUP(H531/BZ531,0)</f>
        <v>1</v>
      </c>
      <c r="CO531" s="62" t="n">
        <f aca="false">ROUNDUP(CJ531/BZ531,0)</f>
        <v>0</v>
      </c>
      <c r="CP531" s="65" t="n">
        <f aca="false">IF(CA531=1,0,IFERROR(VLOOKUP(BY531,'Gebinde-Kategorie'!$A$5:$N$45,5,0)+0,0))</f>
        <v>11</v>
      </c>
      <c r="CQ531" s="65" t="n">
        <f aca="false">IFERROR(IF(OR(CF531=1,CF531=2,CF531=3),N(INDEX(Parameter!$I$5:$I$7,CF531)),0),0)</f>
        <v>0</v>
      </c>
      <c r="CR531" s="64" t="n">
        <f aca="false">IF(AND(Parameter!$B$21="Ja",ISNUMBER(W531),N(X531)&gt;0),IFERROR(N(INDEX(Parameter!$L$5:$L$7,W531))*INDEX(Parameter!$E$5:$E$7,W531)*X531/SUMIFS($X$7:$X$1843,$W$7:$W$1843,W531),0),0)</f>
        <v>0</v>
      </c>
      <c r="CS531" s="62" t="n">
        <f aca="false">IF(AND(OR(CG531="L1",CG531="L23",CG531="LIFT"),H531&gt;0),CC531*IF(CR531&gt;0,CR531*MAX(1,H531/X531),IF(CA531=1,CE531,IF(R531&gt;0,CN531/R531,0))/MAX(0.1,N(Parameter!$M$21))),"")</f>
        <v>12.0833333333333</v>
      </c>
      <c r="CT531" s="64" t="n">
        <f aca="false">IF(CS531="","",J531/H531)</f>
        <v>0</v>
      </c>
      <c r="CU531" s="62" t="n">
        <f aca="false">IF(CS531="","",H531*G531)</f>
        <v>25.44</v>
      </c>
      <c r="CV531" s="63" t="n">
        <f aca="false">IF(CS531="","",(CL531+ROUNDUP(CL531+MAX(CM531,2*(J531/MAX(0.1,N(Einkauf!$C$6))-CL531)),0))/2)</f>
        <v>0.5</v>
      </c>
      <c r="CW531" s="62" t="n">
        <f aca="false">IF(CS531="","",MAX(0,H531-CV531)*G531)</f>
        <v>12.72</v>
      </c>
      <c r="CX531" s="62" t="n">
        <f aca="false">IF(CS531="","",CS531*MAX(0,1-CV531/H531))</f>
        <v>6.04166666666667</v>
      </c>
      <c r="CY531" s="64" t="n">
        <f aca="false">IF(CS531="","",PERCENTRANK($CS$7:$CS$1843,CS531)+PERCENTRANK($CU$7:$CU$1843,CU531)+1-PERCENTRANK($CT$7:$CT$1843,CT531))</f>
        <v>1.7561</v>
      </c>
      <c r="CZ531" s="72" t="n">
        <f aca="false">IF(CS531="","",CHOOSE(MATCH(Einkauf!$C$5,Parameter!$G$23:$G$27,0),CY531,CS531,CU531,-CT531,CW531)+ROW()/1000000000)</f>
        <v>1.756100531</v>
      </c>
    </row>
    <row r="532" customFormat="false" ht="15" hidden="false" customHeight="false" outlineLevel="0" collapsed="false">
      <c r="A532" s="60" t="s">
        <v>1190</v>
      </c>
      <c r="B532" s="60" t="s">
        <v>934</v>
      </c>
      <c r="C532" s="60" t="s">
        <v>206</v>
      </c>
      <c r="D532" s="60" t="s">
        <v>226</v>
      </c>
      <c r="E532" s="60" t="s">
        <v>227</v>
      </c>
      <c r="F532" s="60" t="s">
        <v>260</v>
      </c>
      <c r="G532" s="61" t="n">
        <v>3.29</v>
      </c>
      <c r="H532" s="62" t="n">
        <f aca="false">MAX(0,IF(AND(Parameter!$B$21="Ja",ISNUMBER(Y532)),Y532,IF(Parameter!$B$20="Jahresanfang 2025 + Export",BS532+BR532,BR532)))</f>
        <v>22</v>
      </c>
      <c r="I532" s="62" t="n">
        <f aca="false">H532*G532</f>
        <v>72.38</v>
      </c>
      <c r="J532" s="62" t="n">
        <f aca="false">BU532*Parameter!$B$18</f>
        <v>1</v>
      </c>
      <c r="K532" s="63" t="n">
        <v>7.5</v>
      </c>
      <c r="L532" s="64" t="n">
        <v>0.133333333333333</v>
      </c>
      <c r="M532" s="62" t="n">
        <v>0</v>
      </c>
      <c r="N532" s="62" t="n">
        <v>1</v>
      </c>
      <c r="O532" s="65" t="n">
        <v>28</v>
      </c>
      <c r="P532" s="60" t="s">
        <v>463</v>
      </c>
      <c r="Q532" s="62" t="n">
        <v>11</v>
      </c>
      <c r="R532" s="65" t="n">
        <f aca="false">IF(CA532=1,0,IFERROR(VLOOKUP(BY532,'Gebinde-Kategorie'!$A$5:$N$45,13,0)+0,0))</f>
        <v>104</v>
      </c>
      <c r="S532" s="66"/>
      <c r="T532" s="67"/>
      <c r="U532" s="67"/>
      <c r="V532" s="67"/>
      <c r="W532" s="60"/>
      <c r="X532" s="62"/>
      <c r="Y532" s="62"/>
      <c r="Z532" s="60" t="n">
        <v>3</v>
      </c>
      <c r="AA532" s="60" t="n">
        <f aca="false">IF(A532="","",IF(AND(Parameter!$B$21="Ja",ISNUMBER(W532)),W532,IF(AND(Parameter!$E$27="Ja",ISNUMBER(Z532),CD532&lt;&gt;"Nein"),Z532,IF(CD532="2+3",IF(ISNUMBER(SEARCH("grosser Artikel",BV532)),2,IFERROR(VLOOKUP(BY532,Parameter!$F$35:$G$64,2,0),2)),IF(OR(CD532="Nein",CD532=""),"-",CD532)))))</f>
        <v>3</v>
      </c>
      <c r="AB532" s="67"/>
      <c r="AC532" s="68"/>
      <c r="AD532" s="62" t="n">
        <f aca="false">AW532</f>
        <v>1</v>
      </c>
      <c r="AE532" s="62" t="n">
        <f aca="false">MAX(AW532,H532)</f>
        <v>22</v>
      </c>
      <c r="AF532" s="69"/>
      <c r="AG532" s="62" t="n">
        <f aca="false">IF(LEFT(Cockpit!$C$5,1)="A",H532,IF(Parameter!$E$30="MAX-Bestand",IF(CI532=1,CJ532,IF(LEFT(Cockpit!$C$5,1)="B",AM532,MAX(AM532,H532))),ROUNDUP(AK532,0)))</f>
        <v>22</v>
      </c>
      <c r="AH532" s="62" t="n">
        <f aca="false">IF(CA532=1,0,ROUNDUP(AG532/BZ532,0))</f>
        <v>2</v>
      </c>
      <c r="AI532" s="64" t="n">
        <f aca="false">IF(CR532&gt;0,CR532*MAX(1,AG532/X532),IF(CA532=1,IF(AG532&lt;=0,0,CE532*MAX(1,IF(H532&gt;0,AG532/H532,1))),IF(R532&gt;0,AH532/R532,0))/MAX(0.1,N(Parameter!$M$21)))</f>
        <v>0.0192307692307692</v>
      </c>
      <c r="AJ532" s="62" t="n">
        <f aca="false">AI532*CC532</f>
        <v>2.98076923076923</v>
      </c>
      <c r="AK532" s="63" t="n">
        <f aca="false">IF(LEFT(Cockpit!$C$5,1)="A",H532,IF(CI532=1,(CL532+CJ532)/2,IF(LEFT(Cockpit!$C$5,1)="B",(CL532+AM532)/2,MAX((CL532+AM532)/2,H532))))</f>
        <v>22</v>
      </c>
      <c r="AL532" s="62" t="n">
        <f aca="false">AK532*G532</f>
        <v>72.38</v>
      </c>
      <c r="AM532" s="62" t="n">
        <f aca="false">ROUNDUP(CL532+MAX(CM532,2*(J532/IF(CH532&gt;0,CH532,MAX(0.1,N(Cockpit!$C$6)))-CL532)),0)</f>
        <v>1</v>
      </c>
      <c r="AN532" s="63" t="n">
        <f aca="false">IF(AJ532&gt;0,J532/AJ532,-1)</f>
        <v>0.335483870967742</v>
      </c>
      <c r="AO532" s="63" t="n">
        <f aca="false">IF(AND(OR(CG532="L1",CG532="L23",CG532="LIFT"),AJ532&gt;0),SUMIFS($AJ$7:$AJ$1843,$CG$7:$CG$1843,CG532,$AN$7:$AN$1843,"&gt;"&amp;AN532)+SUMIFS($AJ$7:$AJ$1843,$CG$7:$CG$1843,CG532,$AN$7:$AN$1843,AN532,$BX$7:$BX$1843,"&lt;="&amp;BX532),"")</f>
        <v>11183.0385779475</v>
      </c>
      <c r="AP532" s="70" t="n">
        <f aca="false">IF(AO532="",0,MAX(0,MIN(1,(IF(CG532="L1",Parameter!$H$5,IF(CG532="L23",Parameter!$H$6+Parameter!$H$7,Parameter!$H$5+Parameter!$H$6+Parameter!$H$7))-(AO532-AJ532))/AJ532)))</f>
        <v>1</v>
      </c>
      <c r="AQ532" s="62" t="n">
        <f aca="false">IF(LEFT(Cockpit!$I$5,1)="A",H532,IF(Parameter!$E$30="MAX-Bestand",IF(CI532=1,CJ532,IF(LEFT(Cockpit!$I$5,1)="B",AW532,MAX(AW532,H532))),ROUNDUP(AU532,0)))</f>
        <v>22</v>
      </c>
      <c r="AR532" s="62" t="n">
        <f aca="false">IF(CA532=1,0,ROUNDUP(AQ532/BZ532,0))</f>
        <v>2</v>
      </c>
      <c r="AS532" s="64" t="n">
        <f aca="false">IF(CR532&gt;0,CR532*MAX(1,AQ532/X532),IF(CA532=1,IF(AQ532&lt;=0,0,CE532*MAX(1,IF(H532&gt;0,AQ532/H532,1))),IF(R532&gt;0,AR532/R532,0))/MAX(0.1,N(Parameter!$M$21)))</f>
        <v>0.0192307692307692</v>
      </c>
      <c r="AT532" s="62" t="n">
        <f aca="false">AS532*CC532</f>
        <v>2.98076923076923</v>
      </c>
      <c r="AU532" s="63" t="n">
        <f aca="false">IF(LEFT(Cockpit!$I$5,1)="A",H532,IF(CI532=1,(CL532+CJ532)/2,IF(LEFT(Cockpit!$I$5,1)="B",(CL532+AW532)/2,MAX((CL532+AW532)/2,H532))))</f>
        <v>22</v>
      </c>
      <c r="AV532" s="62" t="n">
        <f aca="false">AU532*G532</f>
        <v>72.38</v>
      </c>
      <c r="AW532" s="62" t="n">
        <f aca="false">ROUNDUP(CL532+MAX(CM532,2*(J532/IF(CH532&gt;0,CH532,MAX(0.1,N(Cockpit!$I$6)))-CL532)),0)</f>
        <v>1</v>
      </c>
      <c r="AX532" s="63" t="n">
        <f aca="false">IF(AT532&gt;0,J532/AT532,-1)</f>
        <v>0.335483870967742</v>
      </c>
      <c r="AY532" s="63" t="n">
        <f aca="false">IF(AND(OR(CG532="L1",CG532="L23",CG532="LIFT"),AT532&gt;0),SUMIFS($AT$7:$AT$1843,$CG$7:$CG$1843,CG532,$AX$7:$AX$1843,"&gt;"&amp;AX532)+SUMIFS($AT$7:$AT$1843,$CG$7:$CG$1843,CG532,$AX$7:$AX$1843,AX532,$BX$7:$BX$1843,"&lt;="&amp;BX532),"")</f>
        <v>13705.2532051282</v>
      </c>
      <c r="AZ532" s="70" t="n">
        <f aca="false">IF(AY532="",0,MAX(0,MIN(1,(IF(CG532="L1",Parameter!$H$5,IF(CG532="L23",Parameter!$H$6+Parameter!$H$7,Parameter!$H$5+Parameter!$H$6+Parameter!$H$7))-(AY532-AT532))/AT532)))</f>
        <v>1</v>
      </c>
      <c r="BA532" s="62" t="n">
        <f aca="false">IF(LEFT(Cockpit!$O$5,1)="A",H532,IF(Parameter!$E$30="MAX-Bestand",IF(CI532=1,CJ532,IF(LEFT(Cockpit!$O$5,1)="B",BG532,MAX(BG532,H532))),ROUNDUP(BE532,0)))</f>
        <v>1</v>
      </c>
      <c r="BB532" s="62" t="n">
        <f aca="false">IF(CA532=1,0,ROUNDUP(BA532/BZ532,0))</f>
        <v>1</v>
      </c>
      <c r="BC532" s="64" t="n">
        <f aca="false">IF(CR532&gt;0,CR532*MAX(1,BA532/X532),IF(CA532=1,IF(BA532&lt;=0,0,CE532*MAX(1,IF(H532&gt;0,BA532/H532,1))),IF(R532&gt;0,BB532/R532,0))/MAX(0.1,N(Parameter!$M$21)))</f>
        <v>0.00961538461538462</v>
      </c>
      <c r="BD532" s="62" t="n">
        <f aca="false">BC532*CC532</f>
        <v>1.49038461538462</v>
      </c>
      <c r="BE532" s="63" t="n">
        <f aca="false">IF(LEFT(Cockpit!$O$5,1)="A",H532,IF(CI532=1,(CL532+CJ532)/2,IF(LEFT(Cockpit!$O$5,1)="B",(CL532+BG532)/2,MAX((CL532+BG532)/2,H532))))</f>
        <v>0.5</v>
      </c>
      <c r="BF532" s="62" t="n">
        <f aca="false">BE532*G532</f>
        <v>1.645</v>
      </c>
      <c r="BG532" s="62" t="n">
        <f aca="false">ROUNDUP(CL532+MAX(CM532,2*(J532/IF(CH532&gt;0,CH532,MAX(0.1,N(Cockpit!$O$6)))-CL532)),0)</f>
        <v>1</v>
      </c>
      <c r="BH532" s="63" t="n">
        <f aca="false">IF(BD532&gt;0,J532/BD532,-1)</f>
        <v>0.670967741935484</v>
      </c>
      <c r="BI532" s="63" t="n">
        <f aca="false">IF(AND(OR(CG532="L1",CG532="L23",CG532="LIFT"),BD532&gt;0),SUMIFS($BD$7:$BD$1843,$CG$7:$CG$1843,CG532,$BH$7:$BH$1843,"&gt;"&amp;BH532)+SUMIFS($BD$7:$BD$1843,$CG$7:$CG$1843,CG532,$BH$7:$BH$1843,BH532,$BX$7:$BX$1843,"&lt;="&amp;BX532),"")</f>
        <v>9506.50045787546</v>
      </c>
      <c r="BJ532" s="70" t="n">
        <f aca="false">IF(BI532="",0,MAX(0,MIN(1,(IF(CG532="L1",Parameter!$H$5,IF(CG532="L23",Parameter!$H$6+Parameter!$H$7,Parameter!$H$5+Parameter!$H$6+Parameter!$H$7))-(BI532-BD532))/BD532)))</f>
        <v>1</v>
      </c>
      <c r="BK532" s="60" t="str">
        <f aca="false">IF(AJ532&lt;=0,"",IF(CG532="Aussen","Aussenlager",IF(CG532="-","Nicht im Lift",IF(AP532&gt;=1,"Lift",IF(AP532&lt;=0,"Aussenlager","teilweise")))))</f>
        <v>Lift</v>
      </c>
      <c r="BL532" s="60" t="str">
        <f aca="false">IF(AT532&lt;=0,"",IF(CG532="Aussen","Aussenlager",IF(CG532="-","Nicht im Lift",IF(AZ532&gt;=1,"Lift",IF(AZ532&lt;=0,"Aussenlager","teilweise")))))</f>
        <v>Lift</v>
      </c>
      <c r="BM532" s="60" t="str">
        <f aca="false">IF(BD532&lt;=0,"",IF(CG532="Aussen","Aussenlager",IF(CG532="-","Nicht im Lift",IF(BJ532&gt;=1,"Lift",IF(BJ532&lt;=0,"Aussenlager","teilweise")))))</f>
        <v>Lift</v>
      </c>
      <c r="BN532" s="60" t="str">
        <f aca="false">IF(A532="","",IF(BW532=1,"Neu; ","")&amp;IF(AND(BW532=0,BR532&lt;0),"negativer Bestand (Export "&amp;BR532&amp;"); ","")&amp;IF(J532&lt;=0,"Kein Verbrauch; ","")&amp;IF(CR532&gt;0,"Lift "&amp;W532&amp;" lt. Liftbericht (Fach "&amp;X532&amp;" Stk); ",IF(CB532=1,"Gebinde geschätzt ("&amp;T532&amp;"); ",IF(CA532=1,"Lose – Tablare geschätzt; ","")))&amp;IF(H532&gt;AW532,"Überbestand "&amp;ROUND(H532-AW532,0)&amp;" Stk / CHF "&amp;ROUND((H532-AW532)*G532,0)&amp;"; ","")&amp;IF(AND(CI532=1,CJ532&lt;CK532),"MAX &lt; MB+LG; ","")&amp;IF(AND(CQ532&gt;0,CP532*10&gt;CQ532),"zu hoch für Tablar; ","")&amp;IF(AND(BW532=0,OR(CI532=1,AB532&lt;&gt;"",U532&lt;&gt;"",V532&lt;&gt;"",AC532&lt;&gt;"")),"manuell übersteuert; ","")&amp;IF(AND(CA532=0,R532=0),"Gebinde unbekannt / Stellmass fehlt; ","")&amp;IF(AND(CA532=0,N(V532)&lt;=0,N(Q532)&lt;=0),"Menge pro Gebinde fehlt (Ist = 1 Gebinde); ","")&amp;BV532)</f>
        <v>Überbestand 21 Stk / CHF 69; </v>
      </c>
      <c r="BO532" s="60"/>
      <c r="BP532" s="60"/>
      <c r="BQ532" s="67"/>
      <c r="BR532" s="62" t="n">
        <v>14</v>
      </c>
      <c r="BS532" s="62" t="n">
        <v>8</v>
      </c>
      <c r="BT532" s="61" t="n">
        <v>25.34</v>
      </c>
      <c r="BU532" s="62" t="n">
        <v>1</v>
      </c>
      <c r="BV532" s="60"/>
      <c r="BW532" s="65" t="n">
        <v>0</v>
      </c>
      <c r="BX532" s="65" t="n">
        <v>532</v>
      </c>
      <c r="BY532" s="60" t="str">
        <f aca="false">IF(U532&lt;&gt;"",UPPER(TRIM(U532)),IF(CB532=1,UPPER(VLOOKUP(T532,Parameter!$I$27:$K$29,2,0)),IF(P532="","LOSE",P532)))</f>
        <v>S32</v>
      </c>
      <c r="BZ532" s="62" t="n">
        <f aca="false">IF(BY532="LOSE",1,IF(N(V532)&gt;0,V532,IF(CB532=1,MAX(1,N(VLOOKUP(T532,Parameter!$I$27:$K$29,3,0)),H532,N(N532)),IF(N(Q532)&gt;0,Q532,MAX(1,H532)))))</f>
        <v>11</v>
      </c>
      <c r="CA532" s="65" t="n">
        <f aca="false">IF(BY532="LOSE",1,0)</f>
        <v>0</v>
      </c>
      <c r="CB532" s="65" t="n">
        <f aca="false">IF(AND(U532="",OR(P532="",P532="LOSE"),T532&lt;&gt;"",N(S532)&lt;=0,ISNUMBER(MATCH(T532,Parameter!$I$27:$I$29,0))),1,0)</f>
        <v>0</v>
      </c>
      <c r="CC532" s="65" t="n">
        <f aca="false">IF(CR532&gt;0,INDEX(Parameter!$H$5:$H$7,W532)/INDEX(Parameter!$E$5:$E$7,W532),IF(AND(CA532=0,N(IFERROR(VLOOKUP(BY532,'Gebinde-Kategorie'!$A$5:$N$45,14,0),0))&gt;0),VLOOKUP(BY532,'Gebinde-Kategorie'!$A$5:$N$45,14,0)*10+Parameter!$M$23,Parameter!$M$24))</f>
        <v>155</v>
      </c>
      <c r="CD532" s="60" t="str">
        <f aca="false">IF(AND(Parameter!$B$19="Ja",E532&lt;&gt;"",ISNUMBER(MATCH(E532,Parameter!$I$35:$I$52,0))),VLOOKUP(E532,Parameter!$I$35:$J$52,2,0),IFERROR(VLOOKUP(D532,Parameter!$A$35:$C$64,2,0),"Nein"))</f>
        <v>2+3</v>
      </c>
      <c r="CE532" s="64" t="n">
        <f aca="false">IF(CA532=0,0,IF(N(S532)&gt;0,S532,IFERROR(VLOOKUP(D532,Parameter!$A$35:$C$64,3,0)+0,0)))</f>
        <v>0</v>
      </c>
      <c r="CF532" s="60" t="n">
        <f aca="false">IF(AB532&lt;&gt;"",AB532,AA532)</f>
        <v>3</v>
      </c>
      <c r="CG532" s="60" t="str">
        <f aca="false">IF(OR(CF532=1,CF532=2,CF532=3),IF(Parameter!$E$27="Ja","LIFT",IF(CF532=1,"L1","L23")),IF(CF532="Aussen","Aussen","-"))</f>
        <v>LIFT</v>
      </c>
      <c r="CH532" s="71" t="n">
        <f aca="false">IF(N(AC532)&gt;0,AC532,0)</f>
        <v>0</v>
      </c>
      <c r="CI532" s="65" t="n">
        <f aca="false">IF(ISNUMBER(AF532),1,0)</f>
        <v>0</v>
      </c>
      <c r="CJ532" s="62" t="n">
        <f aca="false">N(AF532)</f>
        <v>0</v>
      </c>
      <c r="CK532" s="62" t="n">
        <f aca="false">N(M532)+N(N532)</f>
        <v>1</v>
      </c>
      <c r="CL532" s="62" t="n">
        <f aca="false">N(M532)</f>
        <v>0</v>
      </c>
      <c r="CM532" s="62" t="n">
        <f aca="false">N(N532)</f>
        <v>1</v>
      </c>
      <c r="CN532" s="62" t="n">
        <f aca="false">ROUNDUP(H532/BZ532,0)</f>
        <v>2</v>
      </c>
      <c r="CO532" s="62" t="n">
        <f aca="false">ROUNDUP(CJ532/BZ532,0)</f>
        <v>0</v>
      </c>
      <c r="CP532" s="65" t="n">
        <f aca="false">IF(CA532=1,0,IFERROR(VLOOKUP(BY532,'Gebinde-Kategorie'!$A$5:$N$45,5,0)+0,0))</f>
        <v>8</v>
      </c>
      <c r="CQ532" s="65" t="n">
        <f aca="false">IFERROR(IF(OR(CF532=1,CF532=2,CF532=3),N(INDEX(Parameter!$I$5:$I$7,CF532)),0),0)</f>
        <v>0</v>
      </c>
      <c r="CR532" s="64" t="n">
        <f aca="false">IF(AND(Parameter!$B$21="Ja",ISNUMBER(W532),N(X532)&gt;0),IFERROR(N(INDEX(Parameter!$L$5:$L$7,W532))*INDEX(Parameter!$E$5:$E$7,W532)*X532/SUMIFS($X$7:$X$1843,$W$7:$W$1843,W532),0),0)</f>
        <v>0</v>
      </c>
      <c r="CS532" s="62" t="n">
        <f aca="false">IF(AND(OR(CG532="L1",CG532="L23",CG532="LIFT"),H532&gt;0),CC532*IF(CR532&gt;0,CR532*MAX(1,H532/X532),IF(CA532=1,CE532,IF(R532&gt;0,CN532/R532,0))/MAX(0.1,N(Parameter!$M$21))),"")</f>
        <v>2.98076923076923</v>
      </c>
      <c r="CT532" s="64" t="n">
        <f aca="false">IF(CS532="","",J532/H532)</f>
        <v>0.0454545454545455</v>
      </c>
      <c r="CU532" s="62" t="n">
        <f aca="false">IF(CS532="","",H532*G532)</f>
        <v>72.38</v>
      </c>
      <c r="CV532" s="63" t="n">
        <f aca="false">IF(CS532="","",(CL532+ROUNDUP(CL532+MAX(CM532,2*(J532/MAX(0.1,N(Einkauf!$C$6))-CL532)),0))/2)</f>
        <v>0.5</v>
      </c>
      <c r="CW532" s="62" t="n">
        <f aca="false">IF(CS532="","",MAX(0,H532-CV532)*G532)</f>
        <v>70.735</v>
      </c>
      <c r="CX532" s="62" t="n">
        <f aca="false">IF(CS532="","",CS532*MAX(0,1-CV532/H532))</f>
        <v>2.91302447552448</v>
      </c>
      <c r="CY532" s="64" t="n">
        <f aca="false">IF(CS532="","",PERCENTRANK($CS$7:$CS$1843,CS532)+PERCENTRANK($CU$7:$CU$1843,CU532)+1-PERCENTRANK($CT$7:$CT$1843,CT532))</f>
        <v>0.993</v>
      </c>
      <c r="CZ532" s="72" t="n">
        <f aca="false">IF(CS532="","",CHOOSE(MATCH(Einkauf!$C$5,Parameter!$G$23:$G$27,0),CY532,CS532,CU532,-CT532,CW532)+ROW()/1000000000)</f>
        <v>0.993000532</v>
      </c>
    </row>
    <row r="533" customFormat="false" ht="15" hidden="false" customHeight="false" outlineLevel="0" collapsed="false">
      <c r="A533" s="60" t="s">
        <v>1191</v>
      </c>
      <c r="B533" s="60" t="s">
        <v>447</v>
      </c>
      <c r="C533" s="60" t="s">
        <v>206</v>
      </c>
      <c r="D533" s="60" t="s">
        <v>226</v>
      </c>
      <c r="E533" s="60" t="s">
        <v>227</v>
      </c>
      <c r="F533" s="60" t="s">
        <v>260</v>
      </c>
      <c r="G533" s="61" t="n">
        <v>0.06</v>
      </c>
      <c r="H533" s="62" t="n">
        <f aca="false">MAX(0,IF(AND(Parameter!$B$21="Ja",ISNUMBER(Y533)),Y533,IF(Parameter!$B$20="Jahresanfang 2025 + Export",BS533+BR533,BR533)))</f>
        <v>969</v>
      </c>
      <c r="I533" s="62" t="n">
        <f aca="false">H533*G533</f>
        <v>58.14</v>
      </c>
      <c r="J533" s="62" t="n">
        <f aca="false">BU533*Parameter!$B$18</f>
        <v>604</v>
      </c>
      <c r="K533" s="63" t="n">
        <v>493.5</v>
      </c>
      <c r="L533" s="64" t="n">
        <v>1.22391084093212</v>
      </c>
      <c r="M533" s="62" t="n">
        <v>35</v>
      </c>
      <c r="N533" s="62" t="n">
        <v>605</v>
      </c>
      <c r="O533" s="65" t="n">
        <v>21</v>
      </c>
      <c r="P533" s="60" t="s">
        <v>463</v>
      </c>
      <c r="Q533" s="62" t="n">
        <v>454</v>
      </c>
      <c r="R533" s="65" t="n">
        <f aca="false">IF(CA533=1,0,IFERROR(VLOOKUP(BY533,'Gebinde-Kategorie'!$A$5:$N$45,13,0)+0,0))</f>
        <v>104</v>
      </c>
      <c r="S533" s="66"/>
      <c r="T533" s="67"/>
      <c r="U533" s="67"/>
      <c r="V533" s="67"/>
      <c r="W533" s="60"/>
      <c r="X533" s="62"/>
      <c r="Y533" s="62"/>
      <c r="Z533" s="60" t="n">
        <v>3</v>
      </c>
      <c r="AA533" s="60" t="n">
        <f aca="false">IF(A533="","",IF(AND(Parameter!$B$21="Ja",ISNUMBER(W533)),W533,IF(AND(Parameter!$E$27="Ja",ISNUMBER(Z533),CD533&lt;&gt;"Nein"),Z533,IF(CD533="2+3",IF(ISNUMBER(SEARCH("grosser Artikel",BV533)),2,IFERROR(VLOOKUP(BY533,Parameter!$F$35:$G$64,2,0),2)),IF(OR(CD533="Nein",CD533=""),"-",CD533)))))</f>
        <v>3</v>
      </c>
      <c r="AB533" s="67"/>
      <c r="AC533" s="68"/>
      <c r="AD533" s="62" t="n">
        <f aca="false">AW533</f>
        <v>640</v>
      </c>
      <c r="AE533" s="62" t="n">
        <f aca="false">MAX(AW533,H533)</f>
        <v>969</v>
      </c>
      <c r="AF533" s="69"/>
      <c r="AG533" s="62" t="n">
        <f aca="false">IF(LEFT(Cockpit!$C$5,1)="A",H533,IF(Parameter!$E$30="MAX-Bestand",IF(CI533=1,CJ533,IF(LEFT(Cockpit!$C$5,1)="B",AM533,MAX(AM533,H533))),ROUNDUP(AK533,0)))</f>
        <v>969</v>
      </c>
      <c r="AH533" s="62" t="n">
        <f aca="false">IF(CA533=1,0,ROUNDUP(AG533/BZ533,0))</f>
        <v>3</v>
      </c>
      <c r="AI533" s="64" t="n">
        <f aca="false">IF(CR533&gt;0,CR533*MAX(1,AG533/X533),IF(CA533=1,IF(AG533&lt;=0,0,CE533*MAX(1,IF(H533&gt;0,AG533/H533,1))),IF(R533&gt;0,AH533/R533,0))/MAX(0.1,N(Parameter!$M$21)))</f>
        <v>0.0288461538461538</v>
      </c>
      <c r="AJ533" s="62" t="n">
        <f aca="false">AI533*CC533</f>
        <v>4.47115384615385</v>
      </c>
      <c r="AK533" s="63" t="n">
        <f aca="false">IF(LEFT(Cockpit!$C$5,1)="A",H533,IF(CI533=1,(CL533+CJ533)/2,IF(LEFT(Cockpit!$C$5,1)="B",(CL533+AM533)/2,MAX((CL533+AM533)/2,H533))))</f>
        <v>969</v>
      </c>
      <c r="AL533" s="62" t="n">
        <f aca="false">AK533*G533</f>
        <v>58.14</v>
      </c>
      <c r="AM533" s="62" t="n">
        <f aca="false">ROUNDUP(CL533+MAX(CM533,2*(J533/IF(CH533&gt;0,CH533,MAX(0.1,N(Cockpit!$C$6)))-CL533)),0)</f>
        <v>640</v>
      </c>
      <c r="AN533" s="63" t="n">
        <f aca="false">IF(AJ533&gt;0,J533/AJ533,-1)</f>
        <v>135.088172043011</v>
      </c>
      <c r="AO533" s="63" t="n">
        <f aca="false">IF(AND(OR(CG533="L1",CG533="L23",CG533="LIFT"),AJ533&gt;0),SUMIFS($AJ$7:$AJ$1843,$CG$7:$CG$1843,CG533,$AN$7:$AN$1843,"&gt;"&amp;AN533)+SUMIFS($AJ$7:$AJ$1843,$CG$7:$CG$1843,CG533,$AN$7:$AN$1843,AN533,$BX$7:$BX$1843,"&lt;="&amp;BX533),"")</f>
        <v>539.856227106227</v>
      </c>
      <c r="AP533" s="70" t="n">
        <f aca="false">IF(AO533="",0,MAX(0,MIN(1,(IF(CG533="L1",Parameter!$H$5,IF(CG533="L23",Parameter!$H$6+Parameter!$H$7,Parameter!$H$5+Parameter!$H$6+Parameter!$H$7))-(AO533-AJ533))/AJ533)))</f>
        <v>1</v>
      </c>
      <c r="AQ533" s="62" t="n">
        <f aca="false">IF(LEFT(Cockpit!$I$5,1)="A",H533,IF(Parameter!$E$30="MAX-Bestand",IF(CI533=1,CJ533,IF(LEFT(Cockpit!$I$5,1)="B",AW533,MAX(AW533,H533))),ROUNDUP(AU533,0)))</f>
        <v>969</v>
      </c>
      <c r="AR533" s="62" t="n">
        <f aca="false">IF(CA533=1,0,ROUNDUP(AQ533/BZ533,0))</f>
        <v>3</v>
      </c>
      <c r="AS533" s="64" t="n">
        <f aca="false">IF(CR533&gt;0,CR533*MAX(1,AQ533/X533),IF(CA533=1,IF(AQ533&lt;=0,0,CE533*MAX(1,IF(H533&gt;0,AQ533/H533,1))),IF(R533&gt;0,AR533/R533,0))/MAX(0.1,N(Parameter!$M$21)))</f>
        <v>0.0288461538461538</v>
      </c>
      <c r="AT533" s="62" t="n">
        <f aca="false">AS533*CC533</f>
        <v>4.47115384615385</v>
      </c>
      <c r="AU533" s="63" t="n">
        <f aca="false">IF(LEFT(Cockpit!$I$5,1)="A",H533,IF(CI533=1,(CL533+CJ533)/2,IF(LEFT(Cockpit!$I$5,1)="B",(CL533+AW533)/2,MAX((CL533+AW533)/2,H533))))</f>
        <v>969</v>
      </c>
      <c r="AV533" s="62" t="n">
        <f aca="false">AU533*G533</f>
        <v>58.14</v>
      </c>
      <c r="AW533" s="62" t="n">
        <f aca="false">ROUNDUP(CL533+MAX(CM533,2*(J533/IF(CH533&gt;0,CH533,MAX(0.1,N(Cockpit!$I$6)))-CL533)),0)</f>
        <v>640</v>
      </c>
      <c r="AX533" s="63" t="n">
        <f aca="false">IF(AT533&gt;0,J533/AT533,-1)</f>
        <v>135.088172043011</v>
      </c>
      <c r="AY533" s="63" t="n">
        <f aca="false">IF(AND(OR(CG533="L1",CG533="L23",CG533="LIFT"),AT533&gt;0),SUMIFS($AT$7:$AT$1843,$CG$7:$CG$1843,CG533,$AX$7:$AX$1843,"&gt;"&amp;AX533)+SUMIFS($AT$7:$AT$1843,$CG$7:$CG$1843,CG533,$AX$7:$AX$1843,AX533,$BX$7:$BX$1843,"&lt;="&amp;BX533),"")</f>
        <v>657.493131868132</v>
      </c>
      <c r="AZ533" s="70" t="n">
        <f aca="false">IF(AY533="",0,MAX(0,MIN(1,(IF(CG533="L1",Parameter!$H$5,IF(CG533="L23",Parameter!$H$6+Parameter!$H$7,Parameter!$H$5+Parameter!$H$6+Parameter!$H$7))-(AY533-AT533))/AT533)))</f>
        <v>1</v>
      </c>
      <c r="BA533" s="62" t="n">
        <f aca="false">IF(LEFT(Cockpit!$O$5,1)="A",H533,IF(Parameter!$E$30="MAX-Bestand",IF(CI533=1,CJ533,IF(LEFT(Cockpit!$O$5,1)="B",BG533,MAX(BG533,H533))),ROUNDUP(BE533,0)))</f>
        <v>338</v>
      </c>
      <c r="BB533" s="62" t="n">
        <f aca="false">IF(CA533=1,0,ROUNDUP(BA533/BZ533,0))</f>
        <v>1</v>
      </c>
      <c r="BC533" s="64" t="n">
        <f aca="false">IF(CR533&gt;0,CR533*MAX(1,BA533/X533),IF(CA533=1,IF(BA533&lt;=0,0,CE533*MAX(1,IF(H533&gt;0,BA533/H533,1))),IF(R533&gt;0,BB533/R533,0))/MAX(0.1,N(Parameter!$M$21)))</f>
        <v>0.00961538461538462</v>
      </c>
      <c r="BD533" s="62" t="n">
        <f aca="false">BC533*CC533</f>
        <v>1.49038461538462</v>
      </c>
      <c r="BE533" s="63" t="n">
        <f aca="false">IF(LEFT(Cockpit!$O$5,1)="A",H533,IF(CI533=1,(CL533+CJ533)/2,IF(LEFT(Cockpit!$O$5,1)="B",(CL533+BG533)/2,MAX((CL533+BG533)/2,H533))))</f>
        <v>337.5</v>
      </c>
      <c r="BF533" s="62" t="n">
        <f aca="false">BE533*G533</f>
        <v>20.25</v>
      </c>
      <c r="BG533" s="62" t="n">
        <f aca="false">ROUNDUP(CL533+MAX(CM533,2*(J533/IF(CH533&gt;0,CH533,MAX(0.1,N(Cockpit!$O$6)))-CL533)),0)</f>
        <v>640</v>
      </c>
      <c r="BH533" s="63" t="n">
        <f aca="false">IF(BD533&gt;0,J533/BD533,-1)</f>
        <v>405.264516129032</v>
      </c>
      <c r="BI533" s="63" t="n">
        <f aca="false">IF(AND(OR(CG533="L1",CG533="L23",CG533="LIFT"),BD533&gt;0),SUMIFS($BD$7:$BD$1843,$CG$7:$CG$1843,CG533,$BH$7:$BH$1843,"&gt;"&amp;BH533)+SUMIFS($BD$7:$BD$1843,$CG$7:$CG$1843,CG533,$BH$7:$BH$1843,BH533,$BX$7:$BX$1843,"&lt;="&amp;BX533),"")</f>
        <v>178.931318681319</v>
      </c>
      <c r="BJ533" s="70" t="n">
        <f aca="false">IF(BI533="",0,MAX(0,MIN(1,(IF(CG533="L1",Parameter!$H$5,IF(CG533="L23",Parameter!$H$6+Parameter!$H$7,Parameter!$H$5+Parameter!$H$6+Parameter!$H$7))-(BI533-BD533))/BD533)))</f>
        <v>1</v>
      </c>
      <c r="BK533" s="60" t="str">
        <f aca="false">IF(AJ533&lt;=0,"",IF(CG533="Aussen","Aussenlager",IF(CG533="-","Nicht im Lift",IF(AP533&gt;=1,"Lift",IF(AP533&lt;=0,"Aussenlager","teilweise")))))</f>
        <v>Lift</v>
      </c>
      <c r="BL533" s="60" t="str">
        <f aca="false">IF(AT533&lt;=0,"",IF(CG533="Aussen","Aussenlager",IF(CG533="-","Nicht im Lift",IF(AZ533&gt;=1,"Lift",IF(AZ533&lt;=0,"Aussenlager","teilweise")))))</f>
        <v>Lift</v>
      </c>
      <c r="BM533" s="60" t="str">
        <f aca="false">IF(BD533&lt;=0,"",IF(CG533="Aussen","Aussenlager",IF(CG533="-","Nicht im Lift",IF(BJ533&gt;=1,"Lift",IF(BJ533&lt;=0,"Aussenlager","teilweise")))))</f>
        <v>Lift</v>
      </c>
      <c r="BN533" s="60" t="str">
        <f aca="false">IF(A533="","",IF(BW533=1,"Neu; ","")&amp;IF(AND(BW533=0,BR533&lt;0),"negativer Bestand (Export "&amp;BR533&amp;"); ","")&amp;IF(J533&lt;=0,"Kein Verbrauch; ","")&amp;IF(CR533&gt;0,"Lift "&amp;W533&amp;" lt. Liftbericht (Fach "&amp;X533&amp;" Stk); ",IF(CB533=1,"Gebinde geschätzt ("&amp;T533&amp;"); ",IF(CA533=1,"Lose – Tablare geschätzt; ","")))&amp;IF(H533&gt;AW533,"Überbestand "&amp;ROUND(H533-AW533,0)&amp;" Stk / CHF "&amp;ROUND((H533-AW533)*G533,0)&amp;"; ","")&amp;IF(AND(CI533=1,CJ533&lt;CK533),"MAX &lt; MB+LG; ","")&amp;IF(AND(CQ533&gt;0,CP533*10&gt;CQ533),"zu hoch für Tablar; ","")&amp;IF(AND(BW533=0,OR(CI533=1,AB533&lt;&gt;"",U533&lt;&gt;"",V533&lt;&gt;"",AC533&lt;&gt;"")),"manuell übersteuert; ","")&amp;IF(AND(CA533=0,R533=0),"Gebinde unbekannt / Stellmass fehlt; ","")&amp;IF(AND(CA533=0,N(V533)&lt;=0,N(Q533)&lt;=0),"Menge pro Gebinde fehlt (Ist = 1 Gebinde); ","")&amp;BV533)</f>
        <v>Überbestand 329 Stk / CHF 20; </v>
      </c>
      <c r="BO533" s="60"/>
      <c r="BP533" s="60"/>
      <c r="BQ533" s="67"/>
      <c r="BR533" s="62" t="n">
        <v>421</v>
      </c>
      <c r="BS533" s="62" t="n">
        <v>548</v>
      </c>
      <c r="BT533" s="61" t="n">
        <v>25.26</v>
      </c>
      <c r="BU533" s="62" t="n">
        <v>604</v>
      </c>
      <c r="BV533" s="60"/>
      <c r="BW533" s="65" t="n">
        <v>0</v>
      </c>
      <c r="BX533" s="65" t="n">
        <v>533</v>
      </c>
      <c r="BY533" s="60" t="str">
        <f aca="false">IF(U533&lt;&gt;"",UPPER(TRIM(U533)),IF(CB533=1,UPPER(VLOOKUP(T533,Parameter!$I$27:$K$29,2,0)),IF(P533="","LOSE",P533)))</f>
        <v>S32</v>
      </c>
      <c r="BZ533" s="62" t="n">
        <f aca="false">IF(BY533="LOSE",1,IF(N(V533)&gt;0,V533,IF(CB533=1,MAX(1,N(VLOOKUP(T533,Parameter!$I$27:$K$29,3,0)),H533,N(N533)),IF(N(Q533)&gt;0,Q533,MAX(1,H533)))))</f>
        <v>454</v>
      </c>
      <c r="CA533" s="65" t="n">
        <f aca="false">IF(BY533="LOSE",1,0)</f>
        <v>0</v>
      </c>
      <c r="CB533" s="65" t="n">
        <f aca="false">IF(AND(U533="",OR(P533="",P533="LOSE"),T533&lt;&gt;"",N(S533)&lt;=0,ISNUMBER(MATCH(T533,Parameter!$I$27:$I$29,0))),1,0)</f>
        <v>0</v>
      </c>
      <c r="CC533" s="65" t="n">
        <f aca="false">IF(CR533&gt;0,INDEX(Parameter!$H$5:$H$7,W533)/INDEX(Parameter!$E$5:$E$7,W533),IF(AND(CA533=0,N(IFERROR(VLOOKUP(BY533,'Gebinde-Kategorie'!$A$5:$N$45,14,0),0))&gt;0),VLOOKUP(BY533,'Gebinde-Kategorie'!$A$5:$N$45,14,0)*10+Parameter!$M$23,Parameter!$M$24))</f>
        <v>155</v>
      </c>
      <c r="CD533" s="60" t="str">
        <f aca="false">IF(AND(Parameter!$B$19="Ja",E533&lt;&gt;"",ISNUMBER(MATCH(E533,Parameter!$I$35:$I$52,0))),VLOOKUP(E533,Parameter!$I$35:$J$52,2,0),IFERROR(VLOOKUP(D533,Parameter!$A$35:$C$64,2,0),"Nein"))</f>
        <v>2+3</v>
      </c>
      <c r="CE533" s="64" t="n">
        <f aca="false">IF(CA533=0,0,IF(N(S533)&gt;0,S533,IFERROR(VLOOKUP(D533,Parameter!$A$35:$C$64,3,0)+0,0)))</f>
        <v>0</v>
      </c>
      <c r="CF533" s="60" t="n">
        <f aca="false">IF(AB533&lt;&gt;"",AB533,AA533)</f>
        <v>3</v>
      </c>
      <c r="CG533" s="60" t="str">
        <f aca="false">IF(OR(CF533=1,CF533=2,CF533=3),IF(Parameter!$E$27="Ja","LIFT",IF(CF533=1,"L1","L23")),IF(CF533="Aussen","Aussen","-"))</f>
        <v>LIFT</v>
      </c>
      <c r="CH533" s="71" t="n">
        <f aca="false">IF(N(AC533)&gt;0,AC533,0)</f>
        <v>0</v>
      </c>
      <c r="CI533" s="65" t="n">
        <f aca="false">IF(ISNUMBER(AF533),1,0)</f>
        <v>0</v>
      </c>
      <c r="CJ533" s="62" t="n">
        <f aca="false">N(AF533)</f>
        <v>0</v>
      </c>
      <c r="CK533" s="62" t="n">
        <f aca="false">N(M533)+N(N533)</f>
        <v>640</v>
      </c>
      <c r="CL533" s="62" t="n">
        <f aca="false">N(M533)</f>
        <v>35</v>
      </c>
      <c r="CM533" s="62" t="n">
        <f aca="false">N(N533)</f>
        <v>605</v>
      </c>
      <c r="CN533" s="62" t="n">
        <f aca="false">ROUNDUP(H533/BZ533,0)</f>
        <v>3</v>
      </c>
      <c r="CO533" s="62" t="n">
        <f aca="false">ROUNDUP(CJ533/BZ533,0)</f>
        <v>0</v>
      </c>
      <c r="CP533" s="65" t="n">
        <f aca="false">IF(CA533=1,0,IFERROR(VLOOKUP(BY533,'Gebinde-Kategorie'!$A$5:$N$45,5,0)+0,0))</f>
        <v>8</v>
      </c>
      <c r="CQ533" s="65" t="n">
        <f aca="false">IFERROR(IF(OR(CF533=1,CF533=2,CF533=3),N(INDEX(Parameter!$I$5:$I$7,CF533)),0),0)</f>
        <v>0</v>
      </c>
      <c r="CR533" s="64" t="n">
        <f aca="false">IF(AND(Parameter!$B$21="Ja",ISNUMBER(W533),N(X533)&gt;0),IFERROR(N(INDEX(Parameter!$L$5:$L$7,W533))*INDEX(Parameter!$E$5:$E$7,W533)*X533/SUMIFS($X$7:$X$1843,$W$7:$W$1843,W533),0),0)</f>
        <v>0</v>
      </c>
      <c r="CS533" s="62" t="n">
        <f aca="false">IF(AND(OR(CG533="L1",CG533="L23",CG533="LIFT"),H533&gt;0),CC533*IF(CR533&gt;0,CR533*MAX(1,H533/X533),IF(CA533=1,CE533,IF(R533&gt;0,CN533/R533,0))/MAX(0.1,N(Parameter!$M$21))),"")</f>
        <v>4.47115384615385</v>
      </c>
      <c r="CT533" s="64" t="n">
        <f aca="false">IF(CS533="","",J533/H533)</f>
        <v>0.623323013415893</v>
      </c>
      <c r="CU533" s="62" t="n">
        <f aca="false">IF(CS533="","",H533*G533)</f>
        <v>58.14</v>
      </c>
      <c r="CV533" s="63" t="n">
        <f aca="false">IF(CS533="","",(CL533+ROUNDUP(CL533+MAX(CM533,2*(J533/MAX(0.1,N(Einkauf!$C$6))-CL533)),0))/2)</f>
        <v>337.5</v>
      </c>
      <c r="CW533" s="62" t="n">
        <f aca="false">IF(CS533="","",MAX(0,H533-CV533)*G533)</f>
        <v>37.89</v>
      </c>
      <c r="CX533" s="62" t="n">
        <f aca="false">IF(CS533="","",CS533*MAX(0,1-CV533/H533))</f>
        <v>2.91386341986187</v>
      </c>
      <c r="CY533" s="64" t="n">
        <f aca="false">IF(CS533="","",PERCENTRANK($CS$7:$CS$1843,CS533)+PERCENTRANK($CU$7:$CU$1843,CU533)+1-PERCENTRANK($CT$7:$CT$1843,CT533))</f>
        <v>0.94</v>
      </c>
      <c r="CZ533" s="72" t="n">
        <f aca="false">IF(CS533="","",CHOOSE(MATCH(Einkauf!$C$5,Parameter!$G$23:$G$27,0),CY533,CS533,CU533,-CT533,CW533)+ROW()/1000000000)</f>
        <v>0.940000533</v>
      </c>
    </row>
    <row r="534" customFormat="false" ht="15" hidden="false" customHeight="false" outlineLevel="0" collapsed="false">
      <c r="A534" s="60" t="s">
        <v>1192</v>
      </c>
      <c r="B534" s="60" t="s">
        <v>1193</v>
      </c>
      <c r="C534" s="60" t="s">
        <v>206</v>
      </c>
      <c r="D534" s="60" t="s">
        <v>226</v>
      </c>
      <c r="E534" s="60" t="s">
        <v>227</v>
      </c>
      <c r="F534" s="60" t="s">
        <v>260</v>
      </c>
      <c r="G534" s="61" t="n">
        <v>24.7</v>
      </c>
      <c r="H534" s="62" t="n">
        <f aca="false">MAX(0,IF(AND(Parameter!$B$21="Ja",ISNUMBER(Y534)),Y534,IF(Parameter!$B$20="Jahresanfang 2025 + Export",BS534+BR534,BR534)))</f>
        <v>51</v>
      </c>
      <c r="I534" s="62" t="n">
        <f aca="false">H534*G534</f>
        <v>1259.7</v>
      </c>
      <c r="J534" s="62" t="n">
        <f aca="false">BU534*Parameter!$B$18</f>
        <v>0</v>
      </c>
      <c r="K534" s="63" t="n">
        <v>50.5</v>
      </c>
      <c r="L534" s="64" t="n">
        <v>0</v>
      </c>
      <c r="M534" s="62" t="n">
        <v>0</v>
      </c>
      <c r="N534" s="62" t="n">
        <v>1</v>
      </c>
      <c r="O534" s="65" t="n">
        <v>14</v>
      </c>
      <c r="P534" s="60" t="s">
        <v>463</v>
      </c>
      <c r="Q534" s="62" t="n">
        <v>47</v>
      </c>
      <c r="R534" s="65" t="n">
        <f aca="false">IF(CA534=1,0,IFERROR(VLOOKUP(BY534,'Gebinde-Kategorie'!$A$5:$N$45,13,0)+0,0))</f>
        <v>104</v>
      </c>
      <c r="S534" s="66"/>
      <c r="T534" s="67"/>
      <c r="U534" s="67"/>
      <c r="V534" s="67"/>
      <c r="W534" s="60"/>
      <c r="X534" s="62"/>
      <c r="Y534" s="62"/>
      <c r="Z534" s="60" t="n">
        <v>3</v>
      </c>
      <c r="AA534" s="60" t="n">
        <f aca="false">IF(A534="","",IF(AND(Parameter!$B$21="Ja",ISNUMBER(W534)),W534,IF(AND(Parameter!$E$27="Ja",ISNUMBER(Z534),CD534&lt;&gt;"Nein"),Z534,IF(CD534="2+3",IF(ISNUMBER(SEARCH("grosser Artikel",BV534)),2,IFERROR(VLOOKUP(BY534,Parameter!$F$35:$G$64,2,0),2)),IF(OR(CD534="Nein",CD534=""),"-",CD534)))))</f>
        <v>3</v>
      </c>
      <c r="AB534" s="67"/>
      <c r="AC534" s="68"/>
      <c r="AD534" s="62" t="n">
        <f aca="false">AW534</f>
        <v>1</v>
      </c>
      <c r="AE534" s="62" t="n">
        <f aca="false">MAX(AW534,H534)</f>
        <v>51</v>
      </c>
      <c r="AF534" s="69"/>
      <c r="AG534" s="62" t="n">
        <f aca="false">IF(LEFT(Cockpit!$C$5,1)="A",H534,IF(Parameter!$E$30="MAX-Bestand",IF(CI534=1,CJ534,IF(LEFT(Cockpit!$C$5,1)="B",AM534,MAX(AM534,H534))),ROUNDUP(AK534,0)))</f>
        <v>51</v>
      </c>
      <c r="AH534" s="62" t="n">
        <f aca="false">IF(CA534=1,0,ROUNDUP(AG534/BZ534,0))</f>
        <v>2</v>
      </c>
      <c r="AI534" s="64" t="n">
        <f aca="false">IF(CR534&gt;0,CR534*MAX(1,AG534/X534),IF(CA534=1,IF(AG534&lt;=0,0,CE534*MAX(1,IF(H534&gt;0,AG534/H534,1))),IF(R534&gt;0,AH534/R534,0))/MAX(0.1,N(Parameter!$M$21)))</f>
        <v>0.0192307692307692</v>
      </c>
      <c r="AJ534" s="62" t="n">
        <f aca="false">AI534*CC534</f>
        <v>2.98076923076923</v>
      </c>
      <c r="AK534" s="63" t="n">
        <f aca="false">IF(LEFT(Cockpit!$C$5,1)="A",H534,IF(CI534=1,(CL534+CJ534)/2,IF(LEFT(Cockpit!$C$5,1)="B",(CL534+AM534)/2,MAX((CL534+AM534)/2,H534))))</f>
        <v>51</v>
      </c>
      <c r="AL534" s="62" t="n">
        <f aca="false">AK534*G534</f>
        <v>1259.7</v>
      </c>
      <c r="AM534" s="62" t="n">
        <f aca="false">ROUNDUP(CL534+MAX(CM534,2*(J534/IF(CH534&gt;0,CH534,MAX(0.1,N(Cockpit!$C$6)))-CL534)),0)</f>
        <v>1</v>
      </c>
      <c r="AN534" s="63" t="n">
        <f aca="false">IF(AJ534&gt;0,J534/AJ534,-1)</f>
        <v>0</v>
      </c>
      <c r="AO534" s="63" t="n">
        <f aca="false">IF(AND(OR(CG534="L1",CG534="L23",CG534="LIFT"),AJ534&gt;0),SUMIFS($AJ$7:$AJ$1843,$CG$7:$CG$1843,CG534,$AN$7:$AN$1843,"&gt;"&amp;AN534)+SUMIFS($AJ$7:$AJ$1843,$CG$7:$CG$1843,CG534,$AN$7:$AN$1843,AN534,$BX$7:$BX$1843,"&lt;="&amp;BX534),"")</f>
        <v>28343.4452230914</v>
      </c>
      <c r="AP534" s="70" t="n">
        <f aca="false">IF(AO534="",0,MAX(0,MIN(1,(IF(CG534="L1",Parameter!$H$5,IF(CG534="L23",Parameter!$H$6+Parameter!$H$7,Parameter!$H$5+Parameter!$H$6+Parameter!$H$7))-(AO534-AJ534))/AJ534)))</f>
        <v>1</v>
      </c>
      <c r="AQ534" s="62" t="n">
        <f aca="false">IF(LEFT(Cockpit!$I$5,1)="A",H534,IF(Parameter!$E$30="MAX-Bestand",IF(CI534=1,CJ534,IF(LEFT(Cockpit!$I$5,1)="B",AW534,MAX(AW534,H534))),ROUNDUP(AU534,0)))</f>
        <v>51</v>
      </c>
      <c r="AR534" s="62" t="n">
        <f aca="false">IF(CA534=1,0,ROUNDUP(AQ534/BZ534,0))</f>
        <v>2</v>
      </c>
      <c r="AS534" s="64" t="n">
        <f aca="false">IF(CR534&gt;0,CR534*MAX(1,AQ534/X534),IF(CA534=1,IF(AQ534&lt;=0,0,CE534*MAX(1,IF(H534&gt;0,AQ534/H534,1))),IF(R534&gt;0,AR534/R534,0))/MAX(0.1,N(Parameter!$M$21)))</f>
        <v>0.0192307692307692</v>
      </c>
      <c r="AT534" s="62" t="n">
        <f aca="false">AS534*CC534</f>
        <v>2.98076923076923</v>
      </c>
      <c r="AU534" s="63" t="n">
        <f aca="false">IF(LEFT(Cockpit!$I$5,1)="A",H534,IF(CI534=1,(CL534+CJ534)/2,IF(LEFT(Cockpit!$I$5,1)="B",(CL534+AW534)/2,MAX((CL534+AW534)/2,H534))))</f>
        <v>51</v>
      </c>
      <c r="AV534" s="62" t="n">
        <f aca="false">AU534*G534</f>
        <v>1259.7</v>
      </c>
      <c r="AW534" s="62" t="n">
        <f aca="false">ROUNDUP(CL534+MAX(CM534,2*(J534/IF(CH534&gt;0,CH534,MAX(0.1,N(Cockpit!$I$6)))-CL534)),0)</f>
        <v>1</v>
      </c>
      <c r="AX534" s="63" t="n">
        <f aca="false">IF(AT534&gt;0,J534/AT534,-1)</f>
        <v>0</v>
      </c>
      <c r="AY534" s="63" t="n">
        <f aca="false">IF(AND(OR(CG534="L1",CG534="L23",CG534="LIFT"),AT534&gt;0),SUMIFS($AT$7:$AT$1843,$CG$7:$CG$1843,CG534,$AX$7:$AX$1843,"&gt;"&amp;AX534)+SUMIFS($AT$7:$AT$1843,$CG$7:$CG$1843,CG534,$AX$7:$AX$1843,AX534,$BX$7:$BX$1843,"&lt;="&amp;BX534),"")</f>
        <v>33696.5938644689</v>
      </c>
      <c r="AZ534" s="70" t="n">
        <f aca="false">IF(AY534="",0,MAX(0,MIN(1,(IF(CG534="L1",Parameter!$H$5,IF(CG534="L23",Parameter!$H$6+Parameter!$H$7,Parameter!$H$5+Parameter!$H$6+Parameter!$H$7))-(AY534-AT534))/AT534)))</f>
        <v>1</v>
      </c>
      <c r="BA534" s="62" t="n">
        <f aca="false">IF(LEFT(Cockpit!$O$5,1)="A",H534,IF(Parameter!$E$30="MAX-Bestand",IF(CI534=1,CJ534,IF(LEFT(Cockpit!$O$5,1)="B",BG534,MAX(BG534,H534))),ROUNDUP(BE534,0)))</f>
        <v>1</v>
      </c>
      <c r="BB534" s="62" t="n">
        <f aca="false">IF(CA534=1,0,ROUNDUP(BA534/BZ534,0))</f>
        <v>1</v>
      </c>
      <c r="BC534" s="64" t="n">
        <f aca="false">IF(CR534&gt;0,CR534*MAX(1,BA534/X534),IF(CA534=1,IF(BA534&lt;=0,0,CE534*MAX(1,IF(H534&gt;0,BA534/H534,1))),IF(R534&gt;0,BB534/R534,0))/MAX(0.1,N(Parameter!$M$21)))</f>
        <v>0.00961538461538462</v>
      </c>
      <c r="BD534" s="62" t="n">
        <f aca="false">BC534*CC534</f>
        <v>1.49038461538462</v>
      </c>
      <c r="BE534" s="63" t="n">
        <f aca="false">IF(LEFT(Cockpit!$O$5,1)="A",H534,IF(CI534=1,(CL534+CJ534)/2,IF(LEFT(Cockpit!$O$5,1)="B",(CL534+BG534)/2,MAX((CL534+BG534)/2,H534))))</f>
        <v>0.5</v>
      </c>
      <c r="BF534" s="62" t="n">
        <f aca="false">BE534*G534</f>
        <v>12.35</v>
      </c>
      <c r="BG534" s="62" t="n">
        <f aca="false">ROUNDUP(CL534+MAX(CM534,2*(J534/IF(CH534&gt;0,CH534,MAX(0.1,N(Cockpit!$O$6)))-CL534)),0)</f>
        <v>1</v>
      </c>
      <c r="BH534" s="63" t="n">
        <f aca="false">IF(BD534&gt;0,J534/BD534,-1)</f>
        <v>0</v>
      </c>
      <c r="BI534" s="63" t="n">
        <f aca="false">IF(AND(OR(CG534="L1",CG534="L23",CG534="LIFT"),BD534&gt;0),SUMIFS($BD$7:$BD$1843,$CG$7:$CG$1843,CG534,$BH$7:$BH$1843,"&gt;"&amp;BH534)+SUMIFS($BD$7:$BD$1843,$CG$7:$CG$1843,CG534,$BH$7:$BH$1843,BH534,$BX$7:$BX$1843,"&lt;="&amp;BX534),"")</f>
        <v>27775.0305612467</v>
      </c>
      <c r="BJ534" s="70" t="n">
        <f aca="false">IF(BI534="",0,MAX(0,MIN(1,(IF(CG534="L1",Parameter!$H$5,IF(CG534="L23",Parameter!$H$6+Parameter!$H$7,Parameter!$H$5+Parameter!$H$6+Parameter!$H$7))-(BI534-BD534))/BD534)))</f>
        <v>1</v>
      </c>
      <c r="BK534" s="60" t="str">
        <f aca="false">IF(AJ534&lt;=0,"",IF(CG534="Aussen","Aussenlager",IF(CG534="-","Nicht im Lift",IF(AP534&gt;=1,"Lift",IF(AP534&lt;=0,"Aussenlager","teilweise")))))</f>
        <v>Lift</v>
      </c>
      <c r="BL534" s="60" t="str">
        <f aca="false">IF(AT534&lt;=0,"",IF(CG534="Aussen","Aussenlager",IF(CG534="-","Nicht im Lift",IF(AZ534&gt;=1,"Lift",IF(AZ534&lt;=0,"Aussenlager","teilweise")))))</f>
        <v>Lift</v>
      </c>
      <c r="BM534" s="60" t="str">
        <f aca="false">IF(BD534&lt;=0,"",IF(CG534="Aussen","Aussenlager",IF(CG534="-","Nicht im Lift",IF(BJ534&gt;=1,"Lift",IF(BJ534&lt;=0,"Aussenlager","teilweise")))))</f>
        <v>Lift</v>
      </c>
      <c r="BN534" s="60" t="str">
        <f aca="false">IF(A534="","",IF(BW534=1,"Neu; ","")&amp;IF(AND(BW534=0,BR534&lt;0),"negativer Bestand (Export "&amp;BR534&amp;"); ","")&amp;IF(J534&lt;=0,"Kein Verbrauch; ","")&amp;IF(CR534&gt;0,"Lift "&amp;W534&amp;" lt. Liftbericht (Fach "&amp;X534&amp;" Stk); ",IF(CB534=1,"Gebinde geschätzt ("&amp;T534&amp;"); ",IF(CA534=1,"Lose – Tablare geschätzt; ","")))&amp;IF(H534&gt;AW534,"Überbestand "&amp;ROUND(H534-AW534,0)&amp;" Stk / CHF "&amp;ROUND((H534-AW534)*G534,0)&amp;"; ","")&amp;IF(AND(CI534=1,CJ534&lt;CK534),"MAX &lt; MB+LG; ","")&amp;IF(AND(CQ534&gt;0,CP534*10&gt;CQ534),"zu hoch für Tablar; ","")&amp;IF(AND(BW534=0,OR(CI534=1,AB534&lt;&gt;"",U534&lt;&gt;"",V534&lt;&gt;"",AC534&lt;&gt;"")),"manuell übersteuert; ","")&amp;IF(AND(CA534=0,R534=0),"Gebinde unbekannt / Stellmass fehlt; ","")&amp;IF(AND(CA534=0,N(V534)&lt;=0,N(Q534)&lt;=0),"Menge pro Gebinde fehlt (Ist = 1 Gebinde); ","")&amp;BV534)</f>
        <v>Kein Verbrauch; Überbestand 50 Stk / CHF 1235; Twin</v>
      </c>
      <c r="BO534" s="60"/>
      <c r="BP534" s="60"/>
      <c r="BQ534" s="67"/>
      <c r="BR534" s="62" t="n">
        <v>1</v>
      </c>
      <c r="BS534" s="62" t="n">
        <v>50</v>
      </c>
      <c r="BT534" s="61" t="n">
        <v>24.7</v>
      </c>
      <c r="BU534" s="62" t="n">
        <v>0</v>
      </c>
      <c r="BV534" s="60" t="s">
        <v>256</v>
      </c>
      <c r="BW534" s="65" t="n">
        <v>0</v>
      </c>
      <c r="BX534" s="65" t="n">
        <v>534</v>
      </c>
      <c r="BY534" s="60" t="str">
        <f aca="false">IF(U534&lt;&gt;"",UPPER(TRIM(U534)),IF(CB534=1,UPPER(VLOOKUP(T534,Parameter!$I$27:$K$29,2,0)),IF(P534="","LOSE",P534)))</f>
        <v>S32</v>
      </c>
      <c r="BZ534" s="62" t="n">
        <f aca="false">IF(BY534="LOSE",1,IF(N(V534)&gt;0,V534,IF(CB534=1,MAX(1,N(VLOOKUP(T534,Parameter!$I$27:$K$29,3,0)),H534,N(N534)),IF(N(Q534)&gt;0,Q534,MAX(1,H534)))))</f>
        <v>47</v>
      </c>
      <c r="CA534" s="65" t="n">
        <f aca="false">IF(BY534="LOSE",1,0)</f>
        <v>0</v>
      </c>
      <c r="CB534" s="65" t="n">
        <f aca="false">IF(AND(U534="",OR(P534="",P534="LOSE"),T534&lt;&gt;"",N(S534)&lt;=0,ISNUMBER(MATCH(T534,Parameter!$I$27:$I$29,0))),1,0)</f>
        <v>0</v>
      </c>
      <c r="CC534" s="65" t="n">
        <f aca="false">IF(CR534&gt;0,INDEX(Parameter!$H$5:$H$7,W534)/INDEX(Parameter!$E$5:$E$7,W534),IF(AND(CA534=0,N(IFERROR(VLOOKUP(BY534,'Gebinde-Kategorie'!$A$5:$N$45,14,0),0))&gt;0),VLOOKUP(BY534,'Gebinde-Kategorie'!$A$5:$N$45,14,0)*10+Parameter!$M$23,Parameter!$M$24))</f>
        <v>155</v>
      </c>
      <c r="CD534" s="60" t="str">
        <f aca="false">IF(AND(Parameter!$B$19="Ja",E534&lt;&gt;"",ISNUMBER(MATCH(E534,Parameter!$I$35:$I$52,0))),VLOOKUP(E534,Parameter!$I$35:$J$52,2,0),IFERROR(VLOOKUP(D534,Parameter!$A$35:$C$64,2,0),"Nein"))</f>
        <v>2+3</v>
      </c>
      <c r="CE534" s="64" t="n">
        <f aca="false">IF(CA534=0,0,IF(N(S534)&gt;0,S534,IFERROR(VLOOKUP(D534,Parameter!$A$35:$C$64,3,0)+0,0)))</f>
        <v>0</v>
      </c>
      <c r="CF534" s="60" t="n">
        <f aca="false">IF(AB534&lt;&gt;"",AB534,AA534)</f>
        <v>3</v>
      </c>
      <c r="CG534" s="60" t="str">
        <f aca="false">IF(OR(CF534=1,CF534=2,CF534=3),IF(Parameter!$E$27="Ja","LIFT",IF(CF534=1,"L1","L23")),IF(CF534="Aussen","Aussen","-"))</f>
        <v>LIFT</v>
      </c>
      <c r="CH534" s="71" t="n">
        <f aca="false">IF(N(AC534)&gt;0,AC534,0)</f>
        <v>0</v>
      </c>
      <c r="CI534" s="65" t="n">
        <f aca="false">IF(ISNUMBER(AF534),1,0)</f>
        <v>0</v>
      </c>
      <c r="CJ534" s="62" t="n">
        <f aca="false">N(AF534)</f>
        <v>0</v>
      </c>
      <c r="CK534" s="62" t="n">
        <f aca="false">N(M534)+N(N534)</f>
        <v>1</v>
      </c>
      <c r="CL534" s="62" t="n">
        <f aca="false">N(M534)</f>
        <v>0</v>
      </c>
      <c r="CM534" s="62" t="n">
        <f aca="false">N(N534)</f>
        <v>1</v>
      </c>
      <c r="CN534" s="62" t="n">
        <f aca="false">ROUNDUP(H534/BZ534,0)</f>
        <v>2</v>
      </c>
      <c r="CO534" s="62" t="n">
        <f aca="false">ROUNDUP(CJ534/BZ534,0)</f>
        <v>0</v>
      </c>
      <c r="CP534" s="65" t="n">
        <f aca="false">IF(CA534=1,0,IFERROR(VLOOKUP(BY534,'Gebinde-Kategorie'!$A$5:$N$45,5,0)+0,0))</f>
        <v>8</v>
      </c>
      <c r="CQ534" s="65" t="n">
        <f aca="false">IFERROR(IF(OR(CF534=1,CF534=2,CF534=3),N(INDEX(Parameter!$I$5:$I$7,CF534)),0),0)</f>
        <v>0</v>
      </c>
      <c r="CR534" s="64" t="n">
        <f aca="false">IF(AND(Parameter!$B$21="Ja",ISNUMBER(W534),N(X534)&gt;0),IFERROR(N(INDEX(Parameter!$L$5:$L$7,W534))*INDEX(Parameter!$E$5:$E$7,W534)*X534/SUMIFS($X$7:$X$1843,$W$7:$W$1843,W534),0),0)</f>
        <v>0</v>
      </c>
      <c r="CS534" s="62" t="n">
        <f aca="false">IF(AND(OR(CG534="L1",CG534="L23",CG534="LIFT"),H534&gt;0),CC534*IF(CR534&gt;0,CR534*MAX(1,H534/X534),IF(CA534=1,CE534,IF(R534&gt;0,CN534/R534,0))/MAX(0.1,N(Parameter!$M$21))),"")</f>
        <v>2.98076923076923</v>
      </c>
      <c r="CT534" s="64" t="n">
        <f aca="false">IF(CS534="","",J534/H534)</f>
        <v>0</v>
      </c>
      <c r="CU534" s="62" t="n">
        <f aca="false">IF(CS534="","",H534*G534)</f>
        <v>1259.7</v>
      </c>
      <c r="CV534" s="63" t="n">
        <f aca="false">IF(CS534="","",(CL534+ROUNDUP(CL534+MAX(CM534,2*(J534/MAX(0.1,N(Einkauf!$C$6))-CL534)),0))/2)</f>
        <v>0.5</v>
      </c>
      <c r="CW534" s="62" t="n">
        <f aca="false">IF(CS534="","",MAX(0,H534-CV534)*G534)</f>
        <v>1247.35</v>
      </c>
      <c r="CX534" s="62" t="n">
        <f aca="false">IF(CS534="","",CS534*MAX(0,1-CV534/H534))</f>
        <v>2.95154600301659</v>
      </c>
      <c r="CY534" s="64" t="n">
        <f aca="false">IF(CS534="","",PERCENTRANK($CS$7:$CS$1843,CS534)+PERCENTRANK($CU$7:$CU$1843,CU534)+1-PERCENTRANK($CT$7:$CT$1843,CT534))</f>
        <v>1.898</v>
      </c>
      <c r="CZ534" s="72" t="n">
        <f aca="false">IF(CS534="","",CHOOSE(MATCH(Einkauf!$C$5,Parameter!$G$23:$G$27,0),CY534,CS534,CU534,-CT534,CW534)+ROW()/1000000000)</f>
        <v>1.898000534</v>
      </c>
    </row>
    <row r="535" customFormat="false" ht="15" hidden="false" customHeight="false" outlineLevel="0" collapsed="false">
      <c r="A535" s="60" t="s">
        <v>1194</v>
      </c>
      <c r="B535" s="60" t="s">
        <v>445</v>
      </c>
      <c r="C535" s="60" t="s">
        <v>206</v>
      </c>
      <c r="D535" s="60" t="s">
        <v>1037</v>
      </c>
      <c r="E535" s="60"/>
      <c r="F535" s="60" t="s">
        <v>260</v>
      </c>
      <c r="G535" s="61" t="n">
        <v>2.02</v>
      </c>
      <c r="H535" s="62" t="n">
        <f aca="false">MAX(0,IF(AND(Parameter!$B$21="Ja",ISNUMBER(Y535)),Y535,IF(Parameter!$B$20="Jahresanfang 2025 + Export",BS535+BR535,BR535)))</f>
        <v>12</v>
      </c>
      <c r="I535" s="62" t="n">
        <f aca="false">H535*G535</f>
        <v>24.24</v>
      </c>
      <c r="J535" s="62" t="n">
        <f aca="false">BU535*Parameter!$B$18</f>
        <v>48</v>
      </c>
      <c r="K535" s="63" t="n">
        <v>6</v>
      </c>
      <c r="L535" s="64" t="n">
        <v>8</v>
      </c>
      <c r="M535" s="62" t="n">
        <v>0</v>
      </c>
      <c r="N535" s="62" t="n">
        <v>1</v>
      </c>
      <c r="O535" s="65" t="n">
        <v>28</v>
      </c>
      <c r="P535" s="60" t="s">
        <v>210</v>
      </c>
      <c r="Q535" s="62"/>
      <c r="R535" s="65" t="n">
        <f aca="false">IF(CA535=1,0,IFERROR(VLOOKUP(BY535,'Gebinde-Kategorie'!$A$5:$N$45,13,0)+0,0))</f>
        <v>0</v>
      </c>
      <c r="S535" s="66"/>
      <c r="T535" s="67"/>
      <c r="U535" s="67"/>
      <c r="V535" s="67"/>
      <c r="W535" s="60"/>
      <c r="X535" s="62"/>
      <c r="Y535" s="62"/>
      <c r="Z535" s="60"/>
      <c r="AA535" s="60" t="str">
        <f aca="false">IF(A535="","",IF(AND(Parameter!$B$21="Ja",ISNUMBER(W535)),W535,IF(AND(Parameter!$E$27="Ja",ISNUMBER(Z535),CD535&lt;&gt;"Nein"),Z535,IF(CD535="2+3",IF(ISNUMBER(SEARCH("grosser Artikel",BV535)),2,IFERROR(VLOOKUP(BY535,Parameter!$F$35:$G$64,2,0),2)),IF(OR(CD535="Nein",CD535=""),"-",CD535)))))</f>
        <v>-</v>
      </c>
      <c r="AB535" s="67"/>
      <c r="AC535" s="68"/>
      <c r="AD535" s="62" t="n">
        <f aca="false">AW535</f>
        <v>32</v>
      </c>
      <c r="AE535" s="62" t="n">
        <f aca="false">MAX(AW535,H535)</f>
        <v>32</v>
      </c>
      <c r="AF535" s="69"/>
      <c r="AG535" s="62" t="n">
        <f aca="false">IF(LEFT(Cockpit!$C$5,1)="A",H535,IF(Parameter!$E$30="MAX-Bestand",IF(CI535=1,CJ535,IF(LEFT(Cockpit!$C$5,1)="B",AM535,MAX(AM535,H535))),ROUNDUP(AK535,0)))</f>
        <v>12</v>
      </c>
      <c r="AH535" s="62" t="n">
        <f aca="false">IF(CA535=1,0,ROUNDUP(AG535/BZ535,0))</f>
        <v>0</v>
      </c>
      <c r="AI535" s="64" t="n">
        <f aca="false">IF(CR535&gt;0,CR535*MAX(1,AG535/X535),IF(CA535=1,IF(AG535&lt;=0,0,CE535*MAX(1,IF(H535&gt;0,AG535/H535,1))),IF(R535&gt;0,AH535/R535,0))/MAX(0.1,N(Parameter!$M$21)))</f>
        <v>0.15</v>
      </c>
      <c r="AJ535" s="62" t="n">
        <f aca="false">AI535*CC535</f>
        <v>35.25</v>
      </c>
      <c r="AK535" s="63" t="n">
        <f aca="false">IF(LEFT(Cockpit!$C$5,1)="A",H535,IF(CI535=1,(CL535+CJ535)/2,IF(LEFT(Cockpit!$C$5,1)="B",(CL535+AM535)/2,MAX((CL535+AM535)/2,H535))))</f>
        <v>12</v>
      </c>
      <c r="AL535" s="62" t="n">
        <f aca="false">AK535*G535</f>
        <v>24.24</v>
      </c>
      <c r="AM535" s="62" t="n">
        <f aca="false">ROUNDUP(CL535+MAX(CM535,2*(J535/IF(CH535&gt;0,CH535,MAX(0.1,N(Cockpit!$C$6)))-CL535)),0)</f>
        <v>32</v>
      </c>
      <c r="AN535" s="63" t="n">
        <f aca="false">IF(AJ535&gt;0,J535/AJ535,-1)</f>
        <v>1.36170212765957</v>
      </c>
      <c r="AO535" s="63" t="str">
        <f aca="false">IF(AND(OR(CG535="L1",CG535="L23",CG535="LIFT"),AJ535&gt;0),SUMIFS($AJ$7:$AJ$1843,$CG$7:$CG$1843,CG535,$AN$7:$AN$1843,"&gt;"&amp;AN535)+SUMIFS($AJ$7:$AJ$1843,$CG$7:$CG$1843,CG535,$AN$7:$AN$1843,AN535,$BX$7:$BX$1843,"&lt;="&amp;BX535),"")</f>
        <v/>
      </c>
      <c r="AP535" s="70" t="n">
        <f aca="false">IF(AO535="",0,MAX(0,MIN(1,(IF(CG535="L1",Parameter!$H$5,IF(CG535="L23",Parameter!$H$6+Parameter!$H$7,Parameter!$H$5+Parameter!$H$6+Parameter!$H$7))-(AO535-AJ535))/AJ535)))</f>
        <v>0</v>
      </c>
      <c r="AQ535" s="62" t="n">
        <f aca="false">IF(LEFT(Cockpit!$I$5,1)="A",H535,IF(Parameter!$E$30="MAX-Bestand",IF(CI535=1,CJ535,IF(LEFT(Cockpit!$I$5,1)="B",AW535,MAX(AW535,H535))),ROUNDUP(AU535,0)))</f>
        <v>16</v>
      </c>
      <c r="AR535" s="62" t="n">
        <f aca="false">IF(CA535=1,0,ROUNDUP(AQ535/BZ535,0))</f>
        <v>0</v>
      </c>
      <c r="AS535" s="64" t="n">
        <f aca="false">IF(CR535&gt;0,CR535*MAX(1,AQ535/X535),IF(CA535=1,IF(AQ535&lt;=0,0,CE535*MAX(1,IF(H535&gt;0,AQ535/H535,1))),IF(R535&gt;0,AR535/R535,0))/MAX(0.1,N(Parameter!$M$21)))</f>
        <v>0.2</v>
      </c>
      <c r="AT535" s="62" t="n">
        <f aca="false">AS535*CC535</f>
        <v>47</v>
      </c>
      <c r="AU535" s="63" t="n">
        <f aca="false">IF(LEFT(Cockpit!$I$5,1)="A",H535,IF(CI535=1,(CL535+CJ535)/2,IF(LEFT(Cockpit!$I$5,1)="B",(CL535+AW535)/2,MAX((CL535+AW535)/2,H535))))</f>
        <v>16</v>
      </c>
      <c r="AV535" s="62" t="n">
        <f aca="false">AU535*G535</f>
        <v>32.32</v>
      </c>
      <c r="AW535" s="62" t="n">
        <f aca="false">ROUNDUP(CL535+MAX(CM535,2*(J535/IF(CH535&gt;0,CH535,MAX(0.1,N(Cockpit!$I$6)))-CL535)),0)</f>
        <v>32</v>
      </c>
      <c r="AX535" s="63" t="n">
        <f aca="false">IF(AT535&gt;0,J535/AT535,-1)</f>
        <v>1.02127659574468</v>
      </c>
      <c r="AY535" s="63" t="str">
        <f aca="false">IF(AND(OR(CG535="L1",CG535="L23",CG535="LIFT"),AT535&gt;0),SUMIFS($AT$7:$AT$1843,$CG$7:$CG$1843,CG535,$AX$7:$AX$1843,"&gt;"&amp;AX535)+SUMIFS($AT$7:$AT$1843,$CG$7:$CG$1843,CG535,$AX$7:$AX$1843,AX535,$BX$7:$BX$1843,"&lt;="&amp;BX535),"")</f>
        <v/>
      </c>
      <c r="AZ535" s="70" t="n">
        <f aca="false">IF(AY535="",0,MAX(0,MIN(1,(IF(CG535="L1",Parameter!$H$5,IF(CG535="L23",Parameter!$H$6+Parameter!$H$7,Parameter!$H$5+Parameter!$H$6+Parameter!$H$7))-(AY535-AT535))/AT535)))</f>
        <v>0</v>
      </c>
      <c r="BA535" s="62" t="n">
        <f aca="false">IF(LEFT(Cockpit!$O$5,1)="A",H535,IF(Parameter!$E$30="MAX-Bestand",IF(CI535=1,CJ535,IF(LEFT(Cockpit!$O$5,1)="B",BG535,MAX(BG535,H535))),ROUNDUP(BE535,0)))</f>
        <v>12</v>
      </c>
      <c r="BB535" s="62" t="n">
        <f aca="false">IF(CA535=1,0,ROUNDUP(BA535/BZ535,0))</f>
        <v>0</v>
      </c>
      <c r="BC535" s="64" t="n">
        <f aca="false">IF(CR535&gt;0,CR535*MAX(1,BA535/X535),IF(CA535=1,IF(BA535&lt;=0,0,CE535*MAX(1,IF(H535&gt;0,BA535/H535,1))),IF(R535&gt;0,BB535/R535,0))/MAX(0.1,N(Parameter!$M$21)))</f>
        <v>0.15</v>
      </c>
      <c r="BD535" s="62" t="n">
        <f aca="false">BC535*CC535</f>
        <v>35.25</v>
      </c>
      <c r="BE535" s="63" t="n">
        <f aca="false">IF(LEFT(Cockpit!$O$5,1)="A",H535,IF(CI535=1,(CL535+CJ535)/2,IF(LEFT(Cockpit!$O$5,1)="B",(CL535+BG535)/2,MAX((CL535+BG535)/2,H535))))</f>
        <v>12</v>
      </c>
      <c r="BF535" s="62" t="n">
        <f aca="false">BE535*G535</f>
        <v>24.24</v>
      </c>
      <c r="BG535" s="62" t="n">
        <f aca="false">ROUNDUP(CL535+MAX(CM535,2*(J535/IF(CH535&gt;0,CH535,MAX(0.1,N(Cockpit!$O$6)))-CL535)),0)</f>
        <v>24</v>
      </c>
      <c r="BH535" s="63" t="n">
        <f aca="false">IF(BD535&gt;0,J535/BD535,-1)</f>
        <v>1.36170212765957</v>
      </c>
      <c r="BI535" s="63" t="str">
        <f aca="false">IF(AND(OR(CG535="L1",CG535="L23",CG535="LIFT"),BD535&gt;0),SUMIFS($BD$7:$BD$1843,$CG$7:$CG$1843,CG535,$BH$7:$BH$1843,"&gt;"&amp;BH535)+SUMIFS($BD$7:$BD$1843,$CG$7:$CG$1843,CG535,$BH$7:$BH$1843,BH535,$BX$7:$BX$1843,"&lt;="&amp;BX535),"")</f>
        <v/>
      </c>
      <c r="BJ535" s="70" t="n">
        <f aca="false">IF(BI535="",0,MAX(0,MIN(1,(IF(CG535="L1",Parameter!$H$5,IF(CG535="L23",Parameter!$H$6+Parameter!$H$7,Parameter!$H$5+Parameter!$H$6+Parameter!$H$7))-(BI535-BD535))/BD535)))</f>
        <v>0</v>
      </c>
      <c r="BK535" s="60" t="str">
        <f aca="false">IF(AJ535&lt;=0,"",IF(CG535="Aussen","Aussenlager",IF(CG535="-","Nicht im Lift",IF(AP535&gt;=1,"Lift",IF(AP535&lt;=0,"Aussenlager","teilweise")))))</f>
        <v>Nicht im Lift</v>
      </c>
      <c r="BL535" s="60" t="str">
        <f aca="false">IF(AT535&lt;=0,"",IF(CG535="Aussen","Aussenlager",IF(CG535="-","Nicht im Lift",IF(AZ535&gt;=1,"Lift",IF(AZ535&lt;=0,"Aussenlager","teilweise")))))</f>
        <v>Nicht im Lift</v>
      </c>
      <c r="BM535" s="60" t="str">
        <f aca="false">IF(BD535&lt;=0,"",IF(CG535="Aussen","Aussenlager",IF(CG535="-","Nicht im Lift",IF(BJ535&gt;=1,"Lift",IF(BJ535&lt;=0,"Aussenlager","teilweise")))))</f>
        <v>Nicht im Lift</v>
      </c>
      <c r="BN535" s="60" t="str">
        <f aca="false">IF(A535="","",IF(BW535=1,"Neu; ","")&amp;IF(AND(BW535=0,BR535&lt;0),"negativer Bestand (Export "&amp;BR535&amp;"); ","")&amp;IF(J535&lt;=0,"Kein Verbrauch; ","")&amp;IF(CR535&gt;0,"Lift "&amp;W535&amp;" lt. Liftbericht (Fach "&amp;X535&amp;" Stk); ",IF(CB535=1,"Gebinde geschätzt ("&amp;T535&amp;"); ",IF(CA535=1,"Lose – Tablare geschätzt; ","")))&amp;IF(H535&gt;AW535,"Überbestand "&amp;ROUND(H535-AW535,0)&amp;" Stk / CHF "&amp;ROUND((H535-AW535)*G535,0)&amp;"; ","")&amp;IF(AND(CI535=1,CJ535&lt;CK535),"MAX &lt; MB+LG; ","")&amp;IF(AND(CQ535&gt;0,CP535*10&gt;CQ535),"zu hoch für Tablar; ","")&amp;IF(AND(BW535=0,OR(CI535=1,AB535&lt;&gt;"",U535&lt;&gt;"",V535&lt;&gt;"",AC535&lt;&gt;"")),"manuell übersteuert; ","")&amp;IF(AND(CA535=0,R535=0),"Gebinde unbekannt / Stellmass fehlt; ","")&amp;IF(AND(CA535=0,N(V535)&lt;=0,N(Q535)&lt;=0),"Menge pro Gebinde fehlt (Ist = 1 Gebinde); ","")&amp;BV535)</f>
        <v>Lose – Tablare geschätzt; </v>
      </c>
      <c r="BO535" s="60"/>
      <c r="BP535" s="60"/>
      <c r="BQ535" s="67"/>
      <c r="BR535" s="62" t="n">
        <v>12</v>
      </c>
      <c r="BS535" s="62" t="n">
        <v>0</v>
      </c>
      <c r="BT535" s="61" t="n">
        <v>24.24</v>
      </c>
      <c r="BU535" s="62" t="n">
        <v>48</v>
      </c>
      <c r="BV535" s="60"/>
      <c r="BW535" s="65" t="n">
        <v>0</v>
      </c>
      <c r="BX535" s="65" t="n">
        <v>535</v>
      </c>
      <c r="BY535" s="60" t="str">
        <f aca="false">IF(U535&lt;&gt;"",UPPER(TRIM(U535)),IF(CB535=1,UPPER(VLOOKUP(T535,Parameter!$I$27:$K$29,2,0)),IF(P535="","LOSE",P535)))</f>
        <v>LOSE</v>
      </c>
      <c r="BZ535" s="62" t="n">
        <f aca="false">IF(BY535="LOSE",1,IF(N(V535)&gt;0,V535,IF(CB535=1,MAX(1,N(VLOOKUP(T535,Parameter!$I$27:$K$29,3,0)),H535,N(N535)),IF(N(Q535)&gt;0,Q535,MAX(1,H535)))))</f>
        <v>1</v>
      </c>
      <c r="CA535" s="65" t="n">
        <f aca="false">IF(BY535="LOSE",1,0)</f>
        <v>1</v>
      </c>
      <c r="CB535" s="65" t="n">
        <f aca="false">IF(AND(U535="",OR(P535="",P535="LOSE"),T535&lt;&gt;"",N(S535)&lt;=0,ISNUMBER(MATCH(T535,Parameter!$I$27:$I$29,0))),1,0)</f>
        <v>0</v>
      </c>
      <c r="CC535" s="65" t="n">
        <f aca="false">IF(CR535&gt;0,INDEX(Parameter!$H$5:$H$7,W535)/INDEX(Parameter!$E$5:$E$7,W535),IF(AND(CA535=0,N(IFERROR(VLOOKUP(BY535,'Gebinde-Kategorie'!$A$5:$N$45,14,0),0))&gt;0),VLOOKUP(BY535,'Gebinde-Kategorie'!$A$5:$N$45,14,0)*10+Parameter!$M$23,Parameter!$M$24))</f>
        <v>235</v>
      </c>
      <c r="CD535" s="60" t="str">
        <f aca="false">IF(AND(Parameter!$B$19="Ja",E535&lt;&gt;"",ISNUMBER(MATCH(E535,Parameter!$I$35:$I$52,0))),VLOOKUP(E535,Parameter!$I$35:$J$52,2,0),IFERROR(VLOOKUP(D535,Parameter!$A$35:$C$64,2,0),"Nein"))</f>
        <v>Nein</v>
      </c>
      <c r="CE535" s="64" t="n">
        <f aca="false">IF(CA535=0,0,IF(N(S535)&gt;0,S535,IFERROR(VLOOKUP(D535,Parameter!$A$35:$C$64,3,0)+0,0)))</f>
        <v>0.15</v>
      </c>
      <c r="CF535" s="60" t="str">
        <f aca="false">IF(AB535&lt;&gt;"",AB535,AA535)</f>
        <v>-</v>
      </c>
      <c r="CG535" s="60" t="str">
        <f aca="false">IF(OR(CF535=1,CF535=2,CF535=3),IF(Parameter!$E$27="Ja","LIFT",IF(CF535=1,"L1","L23")),IF(CF535="Aussen","Aussen","-"))</f>
        <v>-</v>
      </c>
      <c r="CH535" s="71" t="n">
        <f aca="false">IF(N(AC535)&gt;0,AC535,0)</f>
        <v>0</v>
      </c>
      <c r="CI535" s="65" t="n">
        <f aca="false">IF(ISNUMBER(AF535),1,0)</f>
        <v>0</v>
      </c>
      <c r="CJ535" s="62" t="n">
        <f aca="false">N(AF535)</f>
        <v>0</v>
      </c>
      <c r="CK535" s="62" t="n">
        <f aca="false">N(M535)+N(N535)</f>
        <v>1</v>
      </c>
      <c r="CL535" s="62" t="n">
        <f aca="false">N(M535)</f>
        <v>0</v>
      </c>
      <c r="CM535" s="62" t="n">
        <f aca="false">N(N535)</f>
        <v>1</v>
      </c>
      <c r="CN535" s="62" t="n">
        <f aca="false">ROUNDUP(H535/BZ535,0)</f>
        <v>12</v>
      </c>
      <c r="CO535" s="62" t="n">
        <f aca="false">ROUNDUP(CJ535/BZ535,0)</f>
        <v>0</v>
      </c>
      <c r="CP535" s="65" t="n">
        <f aca="false">IF(CA535=1,0,IFERROR(VLOOKUP(BY535,'Gebinde-Kategorie'!$A$5:$N$45,5,0)+0,0))</f>
        <v>0</v>
      </c>
      <c r="CQ535" s="65" t="n">
        <f aca="false">IFERROR(IF(OR(CF535=1,CF535=2,CF535=3),N(INDEX(Parameter!$I$5:$I$7,CF535)),0),0)</f>
        <v>0</v>
      </c>
      <c r="CR535" s="64" t="n">
        <f aca="false">IF(AND(Parameter!$B$21="Ja",ISNUMBER(W535),N(X535)&gt;0),IFERROR(N(INDEX(Parameter!$L$5:$L$7,W535))*INDEX(Parameter!$E$5:$E$7,W535)*X535/SUMIFS($X$7:$X$1843,$W$7:$W$1843,W535),0),0)</f>
        <v>0</v>
      </c>
      <c r="CS535" s="62" t="str">
        <f aca="false">IF(AND(OR(CG535="L1",CG535="L23",CG535="LIFT"),H535&gt;0),CC535*IF(CR535&gt;0,CR535*MAX(1,H535/X535),IF(CA535=1,CE535,IF(R535&gt;0,CN535/R535,0))/MAX(0.1,N(Parameter!$M$21))),"")</f>
        <v/>
      </c>
      <c r="CT535" s="64" t="str">
        <f aca="false">IF(CS535="","",J535/H535)</f>
        <v/>
      </c>
      <c r="CU535" s="62" t="str">
        <f aca="false">IF(CS535="","",H535*G535)</f>
        <v/>
      </c>
      <c r="CV535" s="63" t="str">
        <f aca="false">IF(CS535="","",(CL535+ROUNDUP(CL535+MAX(CM535,2*(J535/MAX(0.1,N(Einkauf!$C$6))-CL535)),0))/2)</f>
        <v/>
      </c>
      <c r="CW535" s="62" t="str">
        <f aca="false">IF(CS535="","",MAX(0,H535-CV535)*G535)</f>
        <v/>
      </c>
      <c r="CX535" s="62" t="str">
        <f aca="false">IF(CS535="","",CS535*MAX(0,1-CV535/H535))</f>
        <v/>
      </c>
      <c r="CY535" s="64" t="str">
        <f aca="false">IF(CS535="","",PERCENTRANK($CS$7:$CS$1843,CS535)+PERCENTRANK($CU$7:$CU$1843,CU535)+1-PERCENTRANK($CT$7:$CT$1843,CT535))</f>
        <v/>
      </c>
      <c r="CZ535" s="72" t="str">
        <f aca="false">IF(CS535="","",CHOOSE(MATCH(Einkauf!$C$5,Parameter!$G$23:$G$27,0),CY535,CS535,CU535,-CT535,CW535)+ROW()/1000000000)</f>
        <v/>
      </c>
    </row>
    <row r="536" customFormat="false" ht="15" hidden="false" customHeight="false" outlineLevel="0" collapsed="false">
      <c r="A536" s="60" t="s">
        <v>1195</v>
      </c>
      <c r="B536" s="60" t="s">
        <v>566</v>
      </c>
      <c r="C536" s="60" t="s">
        <v>206</v>
      </c>
      <c r="D536" s="60" t="s">
        <v>226</v>
      </c>
      <c r="E536" s="60" t="s">
        <v>227</v>
      </c>
      <c r="F536" s="60" t="s">
        <v>260</v>
      </c>
      <c r="G536" s="61" t="n">
        <v>4.46</v>
      </c>
      <c r="H536" s="62" t="n">
        <f aca="false">MAX(0,IF(AND(Parameter!$B$21="Ja",ISNUMBER(Y536)),Y536,IF(Parameter!$B$20="Jahresanfang 2025 + Export",BS536+BR536,BR536)))</f>
        <v>9</v>
      </c>
      <c r="I536" s="62" t="n">
        <f aca="false">H536*G536</f>
        <v>40.14</v>
      </c>
      <c r="J536" s="62" t="n">
        <f aca="false">BU536*Parameter!$B$18</f>
        <v>0</v>
      </c>
      <c r="K536" s="63" t="n">
        <v>5</v>
      </c>
      <c r="L536" s="64" t="n">
        <v>0</v>
      </c>
      <c r="M536" s="62" t="n">
        <v>0</v>
      </c>
      <c r="N536" s="62" t="n">
        <v>1</v>
      </c>
      <c r="O536" s="65" t="n">
        <v>14</v>
      </c>
      <c r="P536" s="60" t="s">
        <v>370</v>
      </c>
      <c r="Q536" s="62" t="n">
        <v>25</v>
      </c>
      <c r="R536" s="65" t="n">
        <f aca="false">IF(CA536=1,0,IFERROR(VLOOKUP(BY536,'Gebinde-Kategorie'!$A$5:$N$45,13,0)+0,0))</f>
        <v>52</v>
      </c>
      <c r="S536" s="66"/>
      <c r="T536" s="67"/>
      <c r="U536" s="67"/>
      <c r="V536" s="67"/>
      <c r="W536" s="60"/>
      <c r="X536" s="62"/>
      <c r="Y536" s="62"/>
      <c r="Z536" s="60" t="n">
        <v>3</v>
      </c>
      <c r="AA536" s="60" t="n">
        <f aca="false">IF(A536="","",IF(AND(Parameter!$B$21="Ja",ISNUMBER(W536)),W536,IF(AND(Parameter!$E$27="Ja",ISNUMBER(Z536),CD536&lt;&gt;"Nein"),Z536,IF(CD536="2+3",IF(ISNUMBER(SEARCH("grosser Artikel",BV536)),2,IFERROR(VLOOKUP(BY536,Parameter!$F$35:$G$64,2,0),2)),IF(OR(CD536="Nein",CD536=""),"-",CD536)))))</f>
        <v>3</v>
      </c>
      <c r="AB536" s="67"/>
      <c r="AC536" s="68"/>
      <c r="AD536" s="62" t="n">
        <f aca="false">AW536</f>
        <v>1</v>
      </c>
      <c r="AE536" s="62" t="n">
        <f aca="false">MAX(AW536,H536)</f>
        <v>9</v>
      </c>
      <c r="AF536" s="69"/>
      <c r="AG536" s="62" t="n">
        <f aca="false">IF(LEFT(Cockpit!$C$5,1)="A",H536,IF(Parameter!$E$30="MAX-Bestand",IF(CI536=1,CJ536,IF(LEFT(Cockpit!$C$5,1)="B",AM536,MAX(AM536,H536))),ROUNDUP(AK536,0)))</f>
        <v>9</v>
      </c>
      <c r="AH536" s="62" t="n">
        <f aca="false">IF(CA536=1,0,ROUNDUP(AG536/BZ536,0))</f>
        <v>1</v>
      </c>
      <c r="AI536" s="64" t="n">
        <f aca="false">IF(CR536&gt;0,CR536*MAX(1,AG536/X536),IF(CA536=1,IF(AG536&lt;=0,0,CE536*MAX(1,IF(H536&gt;0,AG536/H536,1))),IF(R536&gt;0,AH536/R536,0))/MAX(0.1,N(Parameter!$M$21)))</f>
        <v>0.0192307692307692</v>
      </c>
      <c r="AJ536" s="62" t="n">
        <f aca="false">AI536*CC536</f>
        <v>2.98076923076923</v>
      </c>
      <c r="AK536" s="63" t="n">
        <f aca="false">IF(LEFT(Cockpit!$C$5,1)="A",H536,IF(CI536=1,(CL536+CJ536)/2,IF(LEFT(Cockpit!$C$5,1)="B",(CL536+AM536)/2,MAX((CL536+AM536)/2,H536))))</f>
        <v>9</v>
      </c>
      <c r="AL536" s="62" t="n">
        <f aca="false">AK536*G536</f>
        <v>40.14</v>
      </c>
      <c r="AM536" s="62" t="n">
        <f aca="false">ROUNDUP(CL536+MAX(CM536,2*(J536/IF(CH536&gt;0,CH536,MAX(0.1,N(Cockpit!$C$6)))-CL536)),0)</f>
        <v>1</v>
      </c>
      <c r="AN536" s="63" t="n">
        <f aca="false">IF(AJ536&gt;0,J536/AJ536,-1)</f>
        <v>0</v>
      </c>
      <c r="AO536" s="63" t="n">
        <f aca="false">IF(AND(OR(CG536="L1",CG536="L23",CG536="LIFT"),AJ536&gt;0),SUMIFS($AJ$7:$AJ$1843,$CG$7:$CG$1843,CG536,$AN$7:$AN$1843,"&gt;"&amp;AN536)+SUMIFS($AJ$7:$AJ$1843,$CG$7:$CG$1843,CG536,$AN$7:$AN$1843,AN536,$BX$7:$BX$1843,"&lt;="&amp;BX536),"")</f>
        <v>28346.4259923222</v>
      </c>
      <c r="AP536" s="70" t="n">
        <f aca="false">IF(AO536="",0,MAX(0,MIN(1,(IF(CG536="L1",Parameter!$H$5,IF(CG536="L23",Parameter!$H$6+Parameter!$H$7,Parameter!$H$5+Parameter!$H$6+Parameter!$H$7))-(AO536-AJ536))/AJ536)))</f>
        <v>1</v>
      </c>
      <c r="AQ536" s="62" t="n">
        <f aca="false">IF(LEFT(Cockpit!$I$5,1)="A",H536,IF(Parameter!$E$30="MAX-Bestand",IF(CI536=1,CJ536,IF(LEFT(Cockpit!$I$5,1)="B",AW536,MAX(AW536,H536))),ROUNDUP(AU536,0)))</f>
        <v>9</v>
      </c>
      <c r="AR536" s="62" t="n">
        <f aca="false">IF(CA536=1,0,ROUNDUP(AQ536/BZ536,0))</f>
        <v>1</v>
      </c>
      <c r="AS536" s="64" t="n">
        <f aca="false">IF(CR536&gt;0,CR536*MAX(1,AQ536/X536),IF(CA536=1,IF(AQ536&lt;=0,0,CE536*MAX(1,IF(H536&gt;0,AQ536/H536,1))),IF(R536&gt;0,AR536/R536,0))/MAX(0.1,N(Parameter!$M$21)))</f>
        <v>0.0192307692307692</v>
      </c>
      <c r="AT536" s="62" t="n">
        <f aca="false">AS536*CC536</f>
        <v>2.98076923076923</v>
      </c>
      <c r="AU536" s="63" t="n">
        <f aca="false">IF(LEFT(Cockpit!$I$5,1)="A",H536,IF(CI536=1,(CL536+CJ536)/2,IF(LEFT(Cockpit!$I$5,1)="B",(CL536+AW536)/2,MAX((CL536+AW536)/2,H536))))</f>
        <v>9</v>
      </c>
      <c r="AV536" s="62" t="n">
        <f aca="false">AU536*G536</f>
        <v>40.14</v>
      </c>
      <c r="AW536" s="62" t="n">
        <f aca="false">ROUNDUP(CL536+MAX(CM536,2*(J536/IF(CH536&gt;0,CH536,MAX(0.1,N(Cockpit!$I$6)))-CL536)),0)</f>
        <v>1</v>
      </c>
      <c r="AX536" s="63" t="n">
        <f aca="false">IF(AT536&gt;0,J536/AT536,-1)</f>
        <v>0</v>
      </c>
      <c r="AY536" s="63" t="n">
        <f aca="false">IF(AND(OR(CG536="L1",CG536="L23",CG536="LIFT"),AT536&gt;0),SUMIFS($AT$7:$AT$1843,$CG$7:$CG$1843,CG536,$AX$7:$AX$1843,"&gt;"&amp;AX536)+SUMIFS($AT$7:$AT$1843,$CG$7:$CG$1843,CG536,$AX$7:$AX$1843,AX536,$BX$7:$BX$1843,"&lt;="&amp;BX536),"")</f>
        <v>33699.5746336996</v>
      </c>
      <c r="AZ536" s="70" t="n">
        <f aca="false">IF(AY536="",0,MAX(0,MIN(1,(IF(CG536="L1",Parameter!$H$5,IF(CG536="L23",Parameter!$H$6+Parameter!$H$7,Parameter!$H$5+Parameter!$H$6+Parameter!$H$7))-(AY536-AT536))/AT536)))</f>
        <v>1</v>
      </c>
      <c r="BA536" s="62" t="n">
        <f aca="false">IF(LEFT(Cockpit!$O$5,1)="A",H536,IF(Parameter!$E$30="MAX-Bestand",IF(CI536=1,CJ536,IF(LEFT(Cockpit!$O$5,1)="B",BG536,MAX(BG536,H536))),ROUNDUP(BE536,0)))</f>
        <v>1</v>
      </c>
      <c r="BB536" s="62" t="n">
        <f aca="false">IF(CA536=1,0,ROUNDUP(BA536/BZ536,0))</f>
        <v>1</v>
      </c>
      <c r="BC536" s="64" t="n">
        <f aca="false">IF(CR536&gt;0,CR536*MAX(1,BA536/X536),IF(CA536=1,IF(BA536&lt;=0,0,CE536*MAX(1,IF(H536&gt;0,BA536/H536,1))),IF(R536&gt;0,BB536/R536,0))/MAX(0.1,N(Parameter!$M$21)))</f>
        <v>0.0192307692307692</v>
      </c>
      <c r="BD536" s="62" t="n">
        <f aca="false">BC536*CC536</f>
        <v>2.98076923076923</v>
      </c>
      <c r="BE536" s="63" t="n">
        <f aca="false">IF(LEFT(Cockpit!$O$5,1)="A",H536,IF(CI536=1,(CL536+CJ536)/2,IF(LEFT(Cockpit!$O$5,1)="B",(CL536+BG536)/2,MAX((CL536+BG536)/2,H536))))</f>
        <v>0.5</v>
      </c>
      <c r="BF536" s="62" t="n">
        <f aca="false">BE536*G536</f>
        <v>2.23</v>
      </c>
      <c r="BG536" s="62" t="n">
        <f aca="false">ROUNDUP(CL536+MAX(CM536,2*(J536/IF(CH536&gt;0,CH536,MAX(0.1,N(Cockpit!$O$6)))-CL536)),0)</f>
        <v>1</v>
      </c>
      <c r="BH536" s="63" t="n">
        <f aca="false">IF(BD536&gt;0,J536/BD536,-1)</f>
        <v>0</v>
      </c>
      <c r="BI536" s="63" t="n">
        <f aca="false">IF(AND(OR(CG536="L1",CG536="L23",CG536="LIFT"),BD536&gt;0),SUMIFS($BD$7:$BD$1843,$CG$7:$CG$1843,CG536,$BH$7:$BH$1843,"&gt;"&amp;BH536)+SUMIFS($BD$7:$BD$1843,$CG$7:$CG$1843,CG536,$BH$7:$BH$1843,BH536,$BX$7:$BX$1843,"&lt;="&amp;BX536),"")</f>
        <v>27778.0113304774</v>
      </c>
      <c r="BJ536" s="70" t="n">
        <f aca="false">IF(BI536="",0,MAX(0,MIN(1,(IF(CG536="L1",Parameter!$H$5,IF(CG536="L23",Parameter!$H$6+Parameter!$H$7,Parameter!$H$5+Parameter!$H$6+Parameter!$H$7))-(BI536-BD536))/BD536)))</f>
        <v>1</v>
      </c>
      <c r="BK536" s="60" t="str">
        <f aca="false">IF(AJ536&lt;=0,"",IF(CG536="Aussen","Aussenlager",IF(CG536="-","Nicht im Lift",IF(AP536&gt;=1,"Lift",IF(AP536&lt;=0,"Aussenlager","teilweise")))))</f>
        <v>Lift</v>
      </c>
      <c r="BL536" s="60" t="str">
        <f aca="false">IF(AT536&lt;=0,"",IF(CG536="Aussen","Aussenlager",IF(CG536="-","Nicht im Lift",IF(AZ536&gt;=1,"Lift",IF(AZ536&lt;=0,"Aussenlager","teilweise")))))</f>
        <v>Lift</v>
      </c>
      <c r="BM536" s="60" t="str">
        <f aca="false">IF(BD536&lt;=0,"",IF(CG536="Aussen","Aussenlager",IF(CG536="-","Nicht im Lift",IF(BJ536&gt;=1,"Lift",IF(BJ536&lt;=0,"Aussenlager","teilweise")))))</f>
        <v>Lift</v>
      </c>
      <c r="BN536" s="60" t="str">
        <f aca="false">IF(A536="","",IF(BW536=1,"Neu; ","")&amp;IF(AND(BW536=0,BR536&lt;0),"negativer Bestand (Export "&amp;BR536&amp;"); ","")&amp;IF(J536&lt;=0,"Kein Verbrauch; ","")&amp;IF(CR536&gt;0,"Lift "&amp;W536&amp;" lt. Liftbericht (Fach "&amp;X536&amp;" Stk); ",IF(CB536=1,"Gebinde geschätzt ("&amp;T536&amp;"); ",IF(CA536=1,"Lose – Tablare geschätzt; ","")))&amp;IF(H536&gt;AW536,"Überbestand "&amp;ROUND(H536-AW536,0)&amp;" Stk / CHF "&amp;ROUND((H536-AW536)*G536,0)&amp;"; ","")&amp;IF(AND(CI536=1,CJ536&lt;CK536),"MAX &lt; MB+LG; ","")&amp;IF(AND(CQ536&gt;0,CP536*10&gt;CQ536),"zu hoch für Tablar; ","")&amp;IF(AND(BW536=0,OR(CI536=1,AB536&lt;&gt;"",U536&lt;&gt;"",V536&lt;&gt;"",AC536&lt;&gt;"")),"manuell übersteuert; ","")&amp;IF(AND(CA536=0,R536=0),"Gebinde unbekannt / Stellmass fehlt; ","")&amp;IF(AND(CA536=0,N(V536)&lt;=0,N(Q536)&lt;=0),"Menge pro Gebinde fehlt (Ist = 1 Gebinde); ","")&amp;BV536)</f>
        <v>Kein Verbrauch; Überbestand 8 Stk / CHF 36; Überbestand</v>
      </c>
      <c r="BO536" s="60"/>
      <c r="BP536" s="60"/>
      <c r="BQ536" s="67"/>
      <c r="BR536" s="62" t="n">
        <v>4</v>
      </c>
      <c r="BS536" s="62" t="n">
        <v>5</v>
      </c>
      <c r="BT536" s="61" t="n">
        <v>23.99</v>
      </c>
      <c r="BU536" s="62" t="n">
        <v>0</v>
      </c>
      <c r="BV536" s="60" t="s">
        <v>434</v>
      </c>
      <c r="BW536" s="65" t="n">
        <v>0</v>
      </c>
      <c r="BX536" s="65" t="n">
        <v>536</v>
      </c>
      <c r="BY536" s="60" t="str">
        <f aca="false">IF(U536&lt;&gt;"",UPPER(TRIM(U536)),IF(CB536=1,UPPER(VLOOKUP(T536,Parameter!$I$27:$K$29,2,0)),IF(P536="","LOSE",P536)))</f>
        <v>S41</v>
      </c>
      <c r="BZ536" s="62" t="n">
        <f aca="false">IF(BY536="LOSE",1,IF(N(V536)&gt;0,V536,IF(CB536=1,MAX(1,N(VLOOKUP(T536,Parameter!$I$27:$K$29,3,0)),H536,N(N536)),IF(N(Q536)&gt;0,Q536,MAX(1,H536)))))</f>
        <v>25</v>
      </c>
      <c r="CA536" s="65" t="n">
        <f aca="false">IF(BY536="LOSE",1,0)</f>
        <v>0</v>
      </c>
      <c r="CB536" s="65" t="n">
        <f aca="false">IF(AND(U536="",OR(P536="",P536="LOSE"),T536&lt;&gt;"",N(S536)&lt;=0,ISNUMBER(MATCH(T536,Parameter!$I$27:$I$29,0))),1,0)</f>
        <v>0</v>
      </c>
      <c r="CC536" s="65" t="n">
        <f aca="false">IF(CR536&gt;0,INDEX(Parameter!$H$5:$H$7,W536)/INDEX(Parameter!$E$5:$E$7,W536),IF(AND(CA536=0,N(IFERROR(VLOOKUP(BY536,'Gebinde-Kategorie'!$A$5:$N$45,14,0),0))&gt;0),VLOOKUP(BY536,'Gebinde-Kategorie'!$A$5:$N$45,14,0)*10+Parameter!$M$23,Parameter!$M$24))</f>
        <v>155</v>
      </c>
      <c r="CD536" s="60" t="str">
        <f aca="false">IF(AND(Parameter!$B$19="Ja",E536&lt;&gt;"",ISNUMBER(MATCH(E536,Parameter!$I$35:$I$52,0))),VLOOKUP(E536,Parameter!$I$35:$J$52,2,0),IFERROR(VLOOKUP(D536,Parameter!$A$35:$C$64,2,0),"Nein"))</f>
        <v>2+3</v>
      </c>
      <c r="CE536" s="64" t="n">
        <f aca="false">IF(CA536=0,0,IF(N(S536)&gt;0,S536,IFERROR(VLOOKUP(D536,Parameter!$A$35:$C$64,3,0)+0,0)))</f>
        <v>0</v>
      </c>
      <c r="CF536" s="60" t="n">
        <f aca="false">IF(AB536&lt;&gt;"",AB536,AA536)</f>
        <v>3</v>
      </c>
      <c r="CG536" s="60" t="str">
        <f aca="false">IF(OR(CF536=1,CF536=2,CF536=3),IF(Parameter!$E$27="Ja","LIFT",IF(CF536=1,"L1","L23")),IF(CF536="Aussen","Aussen","-"))</f>
        <v>LIFT</v>
      </c>
      <c r="CH536" s="71" t="n">
        <f aca="false">IF(N(AC536)&gt;0,AC536,0)</f>
        <v>0</v>
      </c>
      <c r="CI536" s="65" t="n">
        <f aca="false">IF(ISNUMBER(AF536),1,0)</f>
        <v>0</v>
      </c>
      <c r="CJ536" s="62" t="n">
        <f aca="false">N(AF536)</f>
        <v>0</v>
      </c>
      <c r="CK536" s="62" t="n">
        <f aca="false">N(M536)+N(N536)</f>
        <v>1</v>
      </c>
      <c r="CL536" s="62" t="n">
        <f aca="false">N(M536)</f>
        <v>0</v>
      </c>
      <c r="CM536" s="62" t="n">
        <f aca="false">N(N536)</f>
        <v>1</v>
      </c>
      <c r="CN536" s="62" t="n">
        <f aca="false">ROUNDUP(H536/BZ536,0)</f>
        <v>1</v>
      </c>
      <c r="CO536" s="62" t="n">
        <f aca="false">ROUNDUP(CJ536/BZ536,0)</f>
        <v>0</v>
      </c>
      <c r="CP536" s="65" t="n">
        <f aca="false">IF(CA536=1,0,IFERROR(VLOOKUP(BY536,'Gebinde-Kategorie'!$A$5:$N$45,5,0)+0,0))</f>
        <v>11</v>
      </c>
      <c r="CQ536" s="65" t="n">
        <f aca="false">IFERROR(IF(OR(CF536=1,CF536=2,CF536=3),N(INDEX(Parameter!$I$5:$I$7,CF536)),0),0)</f>
        <v>0</v>
      </c>
      <c r="CR536" s="64" t="n">
        <f aca="false">IF(AND(Parameter!$B$21="Ja",ISNUMBER(W536),N(X536)&gt;0),IFERROR(N(INDEX(Parameter!$L$5:$L$7,W536))*INDEX(Parameter!$E$5:$E$7,W536)*X536/SUMIFS($X$7:$X$1843,$W$7:$W$1843,W536),0),0)</f>
        <v>0</v>
      </c>
      <c r="CS536" s="62" t="n">
        <f aca="false">IF(AND(OR(CG536="L1",CG536="L23",CG536="LIFT"),H536&gt;0),CC536*IF(CR536&gt;0,CR536*MAX(1,H536/X536),IF(CA536=1,CE536,IF(R536&gt;0,CN536/R536,0))/MAX(0.1,N(Parameter!$M$21))),"")</f>
        <v>2.98076923076923</v>
      </c>
      <c r="CT536" s="64" t="n">
        <f aca="false">IF(CS536="","",J536/H536)</f>
        <v>0</v>
      </c>
      <c r="CU536" s="62" t="n">
        <f aca="false">IF(CS536="","",H536*G536)</f>
        <v>40.14</v>
      </c>
      <c r="CV536" s="63" t="n">
        <f aca="false">IF(CS536="","",(CL536+ROUNDUP(CL536+MAX(CM536,2*(J536/MAX(0.1,N(Einkauf!$C$6))-CL536)),0))/2)</f>
        <v>0.5</v>
      </c>
      <c r="CW536" s="62" t="n">
        <f aca="false">IF(CS536="","",MAX(0,H536-CV536)*G536)</f>
        <v>37.91</v>
      </c>
      <c r="CX536" s="62" t="n">
        <f aca="false">IF(CS536="","",CS536*MAX(0,1-CV536/H536))</f>
        <v>2.81517094017094</v>
      </c>
      <c r="CY536" s="64" t="n">
        <f aca="false">IF(CS536="","",PERCENTRANK($CS$7:$CS$1843,CS536)+PERCENTRANK($CU$7:$CU$1843,CU536)+1-PERCENTRANK($CT$7:$CT$1843,CT536))</f>
        <v>1.346</v>
      </c>
      <c r="CZ536" s="72" t="n">
        <f aca="false">IF(CS536="","",CHOOSE(MATCH(Einkauf!$C$5,Parameter!$G$23:$G$27,0),CY536,CS536,CU536,-CT536,CW536)+ROW()/1000000000)</f>
        <v>1.346000536</v>
      </c>
    </row>
    <row r="537" customFormat="false" ht="15" hidden="false" customHeight="false" outlineLevel="0" collapsed="false">
      <c r="A537" s="60" t="s">
        <v>1196</v>
      </c>
      <c r="B537" s="60" t="s">
        <v>1197</v>
      </c>
      <c r="C537" s="60" t="s">
        <v>206</v>
      </c>
      <c r="D537" s="60" t="s">
        <v>215</v>
      </c>
      <c r="E537" s="60" t="s">
        <v>227</v>
      </c>
      <c r="F537" s="60" t="s">
        <v>260</v>
      </c>
      <c r="G537" s="61" t="n">
        <v>41.41</v>
      </c>
      <c r="H537" s="62" t="n">
        <f aca="false">MAX(0,IF(AND(Parameter!$B$21="Ja",ISNUMBER(Y537)),Y537,IF(Parameter!$B$20="Jahresanfang 2025 + Export",BS537+BR537,BR537)))</f>
        <v>3</v>
      </c>
      <c r="I537" s="62" t="n">
        <f aca="false">H537*G537</f>
        <v>124.23</v>
      </c>
      <c r="J537" s="62" t="n">
        <f aca="false">BU537*Parameter!$B$18</f>
        <v>12</v>
      </c>
      <c r="K537" s="63" t="n">
        <v>2.5</v>
      </c>
      <c r="L537" s="64" t="n">
        <v>4.8</v>
      </c>
      <c r="M537" s="62" t="n">
        <v>1</v>
      </c>
      <c r="N537" s="62" t="n">
        <v>4</v>
      </c>
      <c r="O537" s="65" t="n">
        <v>14</v>
      </c>
      <c r="P537" s="60" t="s">
        <v>210</v>
      </c>
      <c r="Q537" s="62"/>
      <c r="R537" s="65" t="n">
        <f aca="false">IF(CA537=1,0,IFERROR(VLOOKUP(BY537,'Gebinde-Kategorie'!$A$5:$N$45,13,0)+0,0))</f>
        <v>4</v>
      </c>
      <c r="S537" s="66"/>
      <c r="T537" s="67" t="s">
        <v>231</v>
      </c>
      <c r="U537" s="67"/>
      <c r="V537" s="67"/>
      <c r="W537" s="60"/>
      <c r="X537" s="62"/>
      <c r="Y537" s="62"/>
      <c r="Z537" s="60" t="n">
        <v>2</v>
      </c>
      <c r="AA537" s="60" t="n">
        <f aca="false">IF(A537="","",IF(AND(Parameter!$B$21="Ja",ISNUMBER(W537)),W537,IF(AND(Parameter!$E$27="Ja",ISNUMBER(Z537),CD537&lt;&gt;"Nein"),Z537,IF(CD537="2+3",IF(ISNUMBER(SEARCH("grosser Artikel",BV537)),2,IFERROR(VLOOKUP(BY537,Parameter!$F$35:$G$64,2,0),2)),IF(OR(CD537="Nein",CD537=""),"-",CD537)))))</f>
        <v>2</v>
      </c>
      <c r="AB537" s="67"/>
      <c r="AC537" s="68"/>
      <c r="AD537" s="62" t="n">
        <f aca="false">AW537</f>
        <v>7</v>
      </c>
      <c r="AE537" s="62" t="n">
        <f aca="false">MAX(AW537,H537)</f>
        <v>7</v>
      </c>
      <c r="AF537" s="69"/>
      <c r="AG537" s="62" t="n">
        <f aca="false">IF(LEFT(Cockpit!$C$5,1)="A",H537,IF(Parameter!$E$30="MAX-Bestand",IF(CI537=1,CJ537,IF(LEFT(Cockpit!$C$5,1)="B",AM537,MAX(AM537,H537))),ROUNDUP(AK537,0)))</f>
        <v>3</v>
      </c>
      <c r="AH537" s="62" t="n">
        <f aca="false">IF(CA537=1,0,ROUNDUP(AG537/BZ537,0))</f>
        <v>1</v>
      </c>
      <c r="AI537" s="64" t="n">
        <f aca="false">IF(CR537&gt;0,CR537*MAX(1,AG537/X537),IF(CA537=1,IF(AG537&lt;=0,0,CE537*MAX(1,IF(H537&gt;0,AG537/H537,1))),IF(R537&gt;0,AH537/R537,0))/MAX(0.1,N(Parameter!$M$21)))</f>
        <v>0.25</v>
      </c>
      <c r="AJ537" s="62" t="n">
        <f aca="false">AI537*CC537</f>
        <v>58.75</v>
      </c>
      <c r="AK537" s="63" t="n">
        <f aca="false">IF(LEFT(Cockpit!$C$5,1)="A",H537,IF(CI537=1,(CL537+CJ537)/2,IF(LEFT(Cockpit!$C$5,1)="B",(CL537+AM537)/2,MAX((CL537+AM537)/2,H537))))</f>
        <v>3</v>
      </c>
      <c r="AL537" s="62" t="n">
        <f aca="false">AK537*G537</f>
        <v>124.23</v>
      </c>
      <c r="AM537" s="62" t="n">
        <f aca="false">ROUNDUP(CL537+MAX(CM537,2*(J537/IF(CH537&gt;0,CH537,MAX(0.1,N(Cockpit!$C$6)))-CL537)),0)</f>
        <v>7</v>
      </c>
      <c r="AN537" s="63" t="n">
        <f aca="false">IF(AJ537&gt;0,J537/AJ537,-1)</f>
        <v>0.204255319148936</v>
      </c>
      <c r="AO537" s="63" t="n">
        <f aca="false">IF(AND(OR(CG537="L1",CG537="L23",CG537="LIFT"),AJ537&gt;0),SUMIFS($AJ$7:$AJ$1843,$CG$7:$CG$1843,CG537,$AN$7:$AN$1843,"&gt;"&amp;AN537)+SUMIFS($AJ$7:$AJ$1843,$CG$7:$CG$1843,CG537,$AN$7:$AN$1843,AN537,$BX$7:$BX$1843,"&lt;="&amp;BX537),"")</f>
        <v>12499.733720846</v>
      </c>
      <c r="AP537" s="70" t="n">
        <f aca="false">IF(AO537="",0,MAX(0,MIN(1,(IF(CG537="L1",Parameter!$H$5,IF(CG537="L23",Parameter!$H$6+Parameter!$H$7,Parameter!$H$5+Parameter!$H$6+Parameter!$H$7))-(AO537-AJ537))/AJ537)))</f>
        <v>1</v>
      </c>
      <c r="AQ537" s="62" t="n">
        <f aca="false">IF(LEFT(Cockpit!$I$5,1)="A",H537,IF(Parameter!$E$30="MAX-Bestand",IF(CI537=1,CJ537,IF(LEFT(Cockpit!$I$5,1)="B",AW537,MAX(AW537,H537))),ROUNDUP(AU537,0)))</f>
        <v>4</v>
      </c>
      <c r="AR537" s="62" t="n">
        <f aca="false">IF(CA537=1,0,ROUNDUP(AQ537/BZ537,0))</f>
        <v>1</v>
      </c>
      <c r="AS537" s="64" t="n">
        <f aca="false">IF(CR537&gt;0,CR537*MAX(1,AQ537/X537),IF(CA537=1,IF(AQ537&lt;=0,0,CE537*MAX(1,IF(H537&gt;0,AQ537/H537,1))),IF(R537&gt;0,AR537/R537,0))/MAX(0.1,N(Parameter!$M$21)))</f>
        <v>0.25</v>
      </c>
      <c r="AT537" s="62" t="n">
        <f aca="false">AS537*CC537</f>
        <v>58.75</v>
      </c>
      <c r="AU537" s="63" t="n">
        <f aca="false">IF(LEFT(Cockpit!$I$5,1)="A",H537,IF(CI537=1,(CL537+CJ537)/2,IF(LEFT(Cockpit!$I$5,1)="B",(CL537+AW537)/2,MAX((CL537+AW537)/2,H537))))</f>
        <v>4</v>
      </c>
      <c r="AV537" s="62" t="n">
        <f aca="false">AU537*G537</f>
        <v>165.64</v>
      </c>
      <c r="AW537" s="62" t="n">
        <f aca="false">ROUNDUP(CL537+MAX(CM537,2*(J537/IF(CH537&gt;0,CH537,MAX(0.1,N(Cockpit!$I$6)))-CL537)),0)</f>
        <v>7</v>
      </c>
      <c r="AX537" s="63" t="n">
        <f aca="false">IF(AT537&gt;0,J537/AT537,-1)</f>
        <v>0.204255319148936</v>
      </c>
      <c r="AY537" s="63" t="n">
        <f aca="false">IF(AND(OR(CG537="L1",CG537="L23",CG537="LIFT"),AT537&gt;0),SUMIFS($AT$7:$AT$1843,$CG$7:$CG$1843,CG537,$AX$7:$AX$1843,"&gt;"&amp;AX537)+SUMIFS($AT$7:$AT$1843,$CG$7:$CG$1843,CG537,$AX$7:$AX$1843,AX537,$BX$7:$BX$1843,"&lt;="&amp;BX537),"")</f>
        <v>15328.9913003663</v>
      </c>
      <c r="AZ537" s="70" t="n">
        <f aca="false">IF(AY537="",0,MAX(0,MIN(1,(IF(CG537="L1",Parameter!$H$5,IF(CG537="L23",Parameter!$H$6+Parameter!$H$7,Parameter!$H$5+Parameter!$H$6+Parameter!$H$7))-(AY537-AT537))/AT537)))</f>
        <v>1</v>
      </c>
      <c r="BA537" s="62" t="n">
        <f aca="false">IF(LEFT(Cockpit!$O$5,1)="A",H537,IF(Parameter!$E$30="MAX-Bestand",IF(CI537=1,CJ537,IF(LEFT(Cockpit!$O$5,1)="B",BG537,MAX(BG537,H537))),ROUNDUP(BE537,0)))</f>
        <v>3</v>
      </c>
      <c r="BB537" s="62" t="n">
        <f aca="false">IF(CA537=1,0,ROUNDUP(BA537/BZ537,0))</f>
        <v>1</v>
      </c>
      <c r="BC537" s="64" t="n">
        <f aca="false">IF(CR537&gt;0,CR537*MAX(1,BA537/X537),IF(CA537=1,IF(BA537&lt;=0,0,CE537*MAX(1,IF(H537&gt;0,BA537/H537,1))),IF(R537&gt;0,BB537/R537,0))/MAX(0.1,N(Parameter!$M$21)))</f>
        <v>0.25</v>
      </c>
      <c r="BD537" s="62" t="n">
        <f aca="false">BC537*CC537</f>
        <v>58.75</v>
      </c>
      <c r="BE537" s="63" t="n">
        <f aca="false">IF(LEFT(Cockpit!$O$5,1)="A",H537,IF(CI537=1,(CL537+CJ537)/2,IF(LEFT(Cockpit!$O$5,1)="B",(CL537+BG537)/2,MAX((CL537+BG537)/2,H537))))</f>
        <v>3</v>
      </c>
      <c r="BF537" s="62" t="n">
        <f aca="false">BE537*G537</f>
        <v>124.23</v>
      </c>
      <c r="BG537" s="62" t="n">
        <f aca="false">ROUNDUP(CL537+MAX(CM537,2*(J537/IF(CH537&gt;0,CH537,MAX(0.1,N(Cockpit!$O$6)))-CL537)),0)</f>
        <v>5</v>
      </c>
      <c r="BH537" s="63" t="n">
        <f aca="false">IF(BD537&gt;0,J537/BD537,-1)</f>
        <v>0.204255319148936</v>
      </c>
      <c r="BI537" s="63" t="n">
        <f aca="false">IF(AND(OR(CG537="L1",CG537="L23",CG537="LIFT"),BD537&gt;0),SUMIFS($BD$7:$BD$1843,$CG$7:$CG$1843,CG537,$BH$7:$BH$1843,"&gt;"&amp;BH537)+SUMIFS($BD$7:$BD$1843,$CG$7:$CG$1843,CG537,$BH$7:$BH$1843,BH537,$BX$7:$BX$1843,"&lt;="&amp;BX537),"")</f>
        <v>13147.4129234701</v>
      </c>
      <c r="BJ537" s="70" t="n">
        <f aca="false">IF(BI537="",0,MAX(0,MIN(1,(IF(CG537="L1",Parameter!$H$5,IF(CG537="L23",Parameter!$H$6+Parameter!$H$7,Parameter!$H$5+Parameter!$H$6+Parameter!$H$7))-(BI537-BD537))/BD537)))</f>
        <v>1</v>
      </c>
      <c r="BK537" s="60" t="str">
        <f aca="false">IF(AJ537&lt;=0,"",IF(CG537="Aussen","Aussenlager",IF(CG537="-","Nicht im Lift",IF(AP537&gt;=1,"Lift",IF(AP537&lt;=0,"Aussenlager","teilweise")))))</f>
        <v>Lift</v>
      </c>
      <c r="BL537" s="60" t="str">
        <f aca="false">IF(AT537&lt;=0,"",IF(CG537="Aussen","Aussenlager",IF(CG537="-","Nicht im Lift",IF(AZ537&gt;=1,"Lift",IF(AZ537&lt;=0,"Aussenlager","teilweise")))))</f>
        <v>Lift</v>
      </c>
      <c r="BM537" s="60" t="str">
        <f aca="false">IF(BD537&lt;=0,"",IF(CG537="Aussen","Aussenlager",IF(CG537="-","Nicht im Lift",IF(BJ537&gt;=1,"Lift",IF(BJ537&lt;=0,"Aussenlager","teilweise")))))</f>
        <v>Lift</v>
      </c>
      <c r="BN537" s="60" t="str">
        <f aca="false">IF(A537="","",IF(BW537=1,"Neu; ","")&amp;IF(AND(BW537=0,BR537&lt;0),"negativer Bestand (Export "&amp;BR537&amp;"); ","")&amp;IF(J537&lt;=0,"Kein Verbrauch; ","")&amp;IF(CR537&gt;0,"Lift "&amp;W537&amp;" lt. Liftbericht (Fach "&amp;X537&amp;" Stk); ",IF(CB537=1,"Gebinde geschätzt ("&amp;T537&amp;"); ",IF(CA537=1,"Lose – Tablare geschätzt; ","")))&amp;IF(H537&gt;AW537,"Überbestand "&amp;ROUND(H537-AW537,0)&amp;" Stk / CHF "&amp;ROUND((H537-AW537)*G537,0)&amp;"; ","")&amp;IF(AND(CI537=1,CJ537&lt;CK537),"MAX &lt; MB+LG; ","")&amp;IF(AND(CQ537&gt;0,CP537*10&gt;CQ537),"zu hoch für Tablar; ","")&amp;IF(AND(BW537=0,OR(CI537=1,AB537&lt;&gt;"",U537&lt;&gt;"",V537&lt;&gt;"",AC537&lt;&gt;"")),"manuell übersteuert; ","")&amp;IF(AND(CA537=0,R537=0),"Gebinde unbekannt / Stellmass fehlt; ","")&amp;IF(AND(CA537=0,N(V537)&lt;=0,N(Q537)&lt;=0),"Menge pro Gebinde fehlt (Ist = 1 Gebinde); ","")&amp;BV537)</f>
        <v>Gebinde geschätzt (Gross); Menge pro Gebinde fehlt (Ist = 1 Gebinde); grosser Artikel &amp; nicht im KTL</v>
      </c>
      <c r="BO537" s="60"/>
      <c r="BP537" s="60"/>
      <c r="BQ537" s="67"/>
      <c r="BR537" s="62" t="n">
        <v>1</v>
      </c>
      <c r="BS537" s="62" t="n">
        <v>2</v>
      </c>
      <c r="BT537" s="61" t="n">
        <v>23.6300000000001</v>
      </c>
      <c r="BU537" s="62" t="n">
        <v>12</v>
      </c>
      <c r="BV537" s="60" t="s">
        <v>303</v>
      </c>
      <c r="BW537" s="65" t="n">
        <v>0</v>
      </c>
      <c r="BX537" s="65" t="n">
        <v>537</v>
      </c>
      <c r="BY537" s="60" t="str">
        <f aca="false">IF(U537&lt;&gt;"",UPPER(TRIM(U537)),IF(CB537=1,UPPER(VLOOKUP(T537,Parameter!$I$27:$K$29,2,0)),IF(P537="","LOSE",P537)))</f>
        <v>S81</v>
      </c>
      <c r="BZ537" s="62" t="n">
        <f aca="false">IF(BY537="LOSE",1,IF(N(V537)&gt;0,V537,IF(CB537=1,MAX(1,N(VLOOKUP(T537,Parameter!$I$27:$K$29,3,0)),H537,N(N537)),IF(N(Q537)&gt;0,Q537,MAX(1,H537)))))</f>
        <v>4</v>
      </c>
      <c r="CA537" s="65" t="n">
        <f aca="false">IF(BY537="LOSE",1,0)</f>
        <v>0</v>
      </c>
      <c r="CB537" s="65" t="n">
        <f aca="false">IF(AND(U537="",OR(P537="",P537="LOSE"),T537&lt;&gt;"",N(S537)&lt;=0,ISNUMBER(MATCH(T537,Parameter!$I$27:$I$29,0))),1,0)</f>
        <v>1</v>
      </c>
      <c r="CC537" s="65" t="n">
        <f aca="false">IF(CR537&gt;0,INDEX(Parameter!$H$5:$H$7,W537)/INDEX(Parameter!$E$5:$E$7,W537),IF(AND(CA537=0,N(IFERROR(VLOOKUP(BY537,'Gebinde-Kategorie'!$A$5:$N$45,14,0),0))&gt;0),VLOOKUP(BY537,'Gebinde-Kategorie'!$A$5:$N$45,14,0)*10+Parameter!$M$23,Parameter!$M$24))</f>
        <v>235</v>
      </c>
      <c r="CD537" s="60" t="str">
        <f aca="false">IF(AND(Parameter!$B$19="Ja",E537&lt;&gt;"",ISNUMBER(MATCH(E537,Parameter!$I$35:$I$52,0))),VLOOKUP(E537,Parameter!$I$35:$J$52,2,0),IFERROR(VLOOKUP(D537,Parameter!$A$35:$C$64,2,0),"Nein"))</f>
        <v>2+3</v>
      </c>
      <c r="CE537" s="64" t="n">
        <f aca="false">IF(CA537=0,0,IF(N(S537)&gt;0,S537,IFERROR(VLOOKUP(D537,Parameter!$A$35:$C$64,3,0)+0,0)))</f>
        <v>0</v>
      </c>
      <c r="CF537" s="60" t="n">
        <f aca="false">IF(AB537&lt;&gt;"",AB537,AA537)</f>
        <v>2</v>
      </c>
      <c r="CG537" s="60" t="str">
        <f aca="false">IF(OR(CF537=1,CF537=2,CF537=3),IF(Parameter!$E$27="Ja","LIFT",IF(CF537=1,"L1","L23")),IF(CF537="Aussen","Aussen","-"))</f>
        <v>LIFT</v>
      </c>
      <c r="CH537" s="71" t="n">
        <f aca="false">IF(N(AC537)&gt;0,AC537,0)</f>
        <v>0</v>
      </c>
      <c r="CI537" s="65" t="n">
        <f aca="false">IF(ISNUMBER(AF537),1,0)</f>
        <v>0</v>
      </c>
      <c r="CJ537" s="62" t="n">
        <f aca="false">N(AF537)</f>
        <v>0</v>
      </c>
      <c r="CK537" s="62" t="n">
        <f aca="false">N(M537)+N(N537)</f>
        <v>5</v>
      </c>
      <c r="CL537" s="62" t="n">
        <f aca="false">N(M537)</f>
        <v>1</v>
      </c>
      <c r="CM537" s="62" t="n">
        <f aca="false">N(N537)</f>
        <v>4</v>
      </c>
      <c r="CN537" s="62" t="n">
        <f aca="false">ROUNDUP(H537/BZ537,0)</f>
        <v>1</v>
      </c>
      <c r="CO537" s="62" t="n">
        <f aca="false">ROUNDUP(CJ537/BZ537,0)</f>
        <v>0</v>
      </c>
      <c r="CP537" s="65" t="n">
        <f aca="false">IF(CA537=1,0,IFERROR(VLOOKUP(BY537,'Gebinde-Kategorie'!$A$5:$N$45,5,0)+0,0))</f>
        <v>20</v>
      </c>
      <c r="CQ537" s="65" t="n">
        <f aca="false">IFERROR(IF(OR(CF537=1,CF537=2,CF537=3),N(INDEX(Parameter!$I$5:$I$7,CF537)),0),0)</f>
        <v>0</v>
      </c>
      <c r="CR537" s="64" t="n">
        <f aca="false">IF(AND(Parameter!$B$21="Ja",ISNUMBER(W537),N(X537)&gt;0),IFERROR(N(INDEX(Parameter!$L$5:$L$7,W537))*INDEX(Parameter!$E$5:$E$7,W537)*X537/SUMIFS($X$7:$X$1843,$W$7:$W$1843,W537),0),0)</f>
        <v>0</v>
      </c>
      <c r="CS537" s="62" t="n">
        <f aca="false">IF(AND(OR(CG537="L1",CG537="L23",CG537="LIFT"),H537&gt;0),CC537*IF(CR537&gt;0,CR537*MAX(1,H537/X537),IF(CA537=1,CE537,IF(R537&gt;0,CN537/R537,0))/MAX(0.1,N(Parameter!$M$21))),"")</f>
        <v>58.75</v>
      </c>
      <c r="CT537" s="64" t="n">
        <f aca="false">IF(CS537="","",J537/H537)</f>
        <v>4</v>
      </c>
      <c r="CU537" s="62" t="n">
        <f aca="false">IF(CS537="","",H537*G537)</f>
        <v>124.23</v>
      </c>
      <c r="CV537" s="63" t="n">
        <f aca="false">IF(CS537="","",(CL537+ROUNDUP(CL537+MAX(CM537,2*(J537/MAX(0.1,N(Einkauf!$C$6))-CL537)),0))/2)</f>
        <v>3</v>
      </c>
      <c r="CW537" s="62" t="n">
        <f aca="false">IF(CS537="","",MAX(0,H537-CV537)*G537)</f>
        <v>0</v>
      </c>
      <c r="CX537" s="62" t="n">
        <f aca="false">IF(CS537="","",CS537*MAX(0,1-CV537/H537))</f>
        <v>0</v>
      </c>
      <c r="CY537" s="64" t="n">
        <f aca="false">IF(CS537="","",PERCENTRANK($CS$7:$CS$1843,CS537)+PERCENTRANK($CU$7:$CU$1843,CU537)+1-PERCENTRANK($CT$7:$CT$1843,CT537))</f>
        <v>1.243</v>
      </c>
      <c r="CZ537" s="72" t="n">
        <f aca="false">IF(CS537="","",CHOOSE(MATCH(Einkauf!$C$5,Parameter!$G$23:$G$27,0),CY537,CS537,CU537,-CT537,CW537)+ROW()/1000000000)</f>
        <v>1.243000537</v>
      </c>
    </row>
    <row r="538" customFormat="false" ht="15" hidden="false" customHeight="false" outlineLevel="0" collapsed="false">
      <c r="A538" s="60" t="s">
        <v>1198</v>
      </c>
      <c r="B538" s="60" t="s">
        <v>1199</v>
      </c>
      <c r="C538" s="60" t="s">
        <v>206</v>
      </c>
      <c r="D538" s="60" t="s">
        <v>226</v>
      </c>
      <c r="E538" s="60"/>
      <c r="F538" s="60" t="s">
        <v>260</v>
      </c>
      <c r="G538" s="61" t="n">
        <v>0.01</v>
      </c>
      <c r="H538" s="62" t="n">
        <f aca="false">MAX(0,IF(AND(Parameter!$B$21="Ja",ISNUMBER(Y538)),Y538,IF(Parameter!$B$20="Jahresanfang 2025 + Export",BS538+BR538,BR538)))</f>
        <v>2328</v>
      </c>
      <c r="I538" s="62" t="n">
        <f aca="false">H538*G538</f>
        <v>23.28</v>
      </c>
      <c r="J538" s="62" t="n">
        <f aca="false">BU538*Parameter!$B$18</f>
        <v>0</v>
      </c>
      <c r="K538" s="63" t="n">
        <v>0</v>
      </c>
      <c r="L538" s="64" t="n">
        <v>0</v>
      </c>
      <c r="M538" s="62" t="n">
        <v>10</v>
      </c>
      <c r="N538" s="62" t="n">
        <v>600</v>
      </c>
      <c r="O538" s="65" t="n">
        <v>10</v>
      </c>
      <c r="P538" s="60" t="s">
        <v>210</v>
      </c>
      <c r="Q538" s="62"/>
      <c r="R538" s="65" t="n">
        <f aca="false">IF(CA538=1,0,IFERROR(VLOOKUP(BY538,'Gebinde-Kategorie'!$A$5:$N$45,13,0)+0,0))</f>
        <v>26</v>
      </c>
      <c r="S538" s="66"/>
      <c r="T538" s="67" t="s">
        <v>317</v>
      </c>
      <c r="U538" s="67"/>
      <c r="V538" s="67"/>
      <c r="W538" s="60"/>
      <c r="X538" s="62"/>
      <c r="Y538" s="62"/>
      <c r="Z538" s="60" t="n">
        <v>3</v>
      </c>
      <c r="AA538" s="60" t="n">
        <f aca="false">IF(A538="","",IF(AND(Parameter!$B$21="Ja",ISNUMBER(W538)),W538,IF(AND(Parameter!$E$27="Ja",ISNUMBER(Z538),CD538&lt;&gt;"Nein"),Z538,IF(CD538="2+3",IF(ISNUMBER(SEARCH("grosser Artikel",BV538)),2,IFERROR(VLOOKUP(BY538,Parameter!$F$35:$G$64,2,0),2)),IF(OR(CD538="Nein",CD538=""),"-",CD538)))))</f>
        <v>3</v>
      </c>
      <c r="AB538" s="67"/>
      <c r="AC538" s="68"/>
      <c r="AD538" s="62" t="n">
        <f aca="false">AW538</f>
        <v>610</v>
      </c>
      <c r="AE538" s="62" t="n">
        <f aca="false">MAX(AW538,H538)</f>
        <v>2328</v>
      </c>
      <c r="AF538" s="69"/>
      <c r="AG538" s="62" t="n">
        <f aca="false">IF(LEFT(Cockpit!$C$5,1)="A",H538,IF(Parameter!$E$30="MAX-Bestand",IF(CI538=1,CJ538,IF(LEFT(Cockpit!$C$5,1)="B",AM538,MAX(AM538,H538))),ROUNDUP(AK538,0)))</f>
        <v>2328</v>
      </c>
      <c r="AH538" s="62" t="n">
        <f aca="false">IF(CA538=1,0,ROUNDUP(AG538/BZ538,0))</f>
        <v>1</v>
      </c>
      <c r="AI538" s="64" t="n">
        <f aca="false">IF(CR538&gt;0,CR538*MAX(1,AG538/X538),IF(CA538=1,IF(AG538&lt;=0,0,CE538*MAX(1,IF(H538&gt;0,AG538/H538,1))),IF(R538&gt;0,AH538/R538,0))/MAX(0.1,N(Parameter!$M$21)))</f>
        <v>0.0384615384615385</v>
      </c>
      <c r="AJ538" s="62" t="n">
        <f aca="false">AI538*CC538</f>
        <v>5.96153846153846</v>
      </c>
      <c r="AK538" s="63" t="n">
        <f aca="false">IF(LEFT(Cockpit!$C$5,1)="A",H538,IF(CI538=1,(CL538+CJ538)/2,IF(LEFT(Cockpit!$C$5,1)="B",(CL538+AM538)/2,MAX((CL538+AM538)/2,H538))))</f>
        <v>2328</v>
      </c>
      <c r="AL538" s="62" t="n">
        <f aca="false">AK538*G538</f>
        <v>23.28</v>
      </c>
      <c r="AM538" s="62" t="n">
        <f aca="false">ROUNDUP(CL538+MAX(CM538,2*(J538/IF(CH538&gt;0,CH538,MAX(0.1,N(Cockpit!$C$6)))-CL538)),0)</f>
        <v>610</v>
      </c>
      <c r="AN538" s="63" t="n">
        <f aca="false">IF(AJ538&gt;0,J538/AJ538,-1)</f>
        <v>0</v>
      </c>
      <c r="AO538" s="63" t="n">
        <f aca="false">IF(AND(OR(CG538="L1",CG538="L23",CG538="LIFT"),AJ538&gt;0),SUMIFS($AJ$7:$AJ$1843,$CG$7:$CG$1843,CG538,$AN$7:$AN$1843,"&gt;"&amp;AN538)+SUMIFS($AJ$7:$AJ$1843,$CG$7:$CG$1843,CG538,$AN$7:$AN$1843,AN538,$BX$7:$BX$1843,"&lt;="&amp;BX538),"")</f>
        <v>28352.3875307837</v>
      </c>
      <c r="AP538" s="70" t="n">
        <f aca="false">IF(AO538="",0,MAX(0,MIN(1,(IF(CG538="L1",Parameter!$H$5,IF(CG538="L23",Parameter!$H$6+Parameter!$H$7,Parameter!$H$5+Parameter!$H$6+Parameter!$H$7))-(AO538-AJ538))/AJ538)))</f>
        <v>1</v>
      </c>
      <c r="AQ538" s="62" t="n">
        <f aca="false">IF(LEFT(Cockpit!$I$5,1)="A",H538,IF(Parameter!$E$30="MAX-Bestand",IF(CI538=1,CJ538,IF(LEFT(Cockpit!$I$5,1)="B",AW538,MAX(AW538,H538))),ROUNDUP(AU538,0)))</f>
        <v>2328</v>
      </c>
      <c r="AR538" s="62" t="n">
        <f aca="false">IF(CA538=1,0,ROUNDUP(AQ538/BZ538,0))</f>
        <v>1</v>
      </c>
      <c r="AS538" s="64" t="n">
        <f aca="false">IF(CR538&gt;0,CR538*MAX(1,AQ538/X538),IF(CA538=1,IF(AQ538&lt;=0,0,CE538*MAX(1,IF(H538&gt;0,AQ538/H538,1))),IF(R538&gt;0,AR538/R538,0))/MAX(0.1,N(Parameter!$M$21)))</f>
        <v>0.0384615384615385</v>
      </c>
      <c r="AT538" s="62" t="n">
        <f aca="false">AS538*CC538</f>
        <v>5.96153846153846</v>
      </c>
      <c r="AU538" s="63" t="n">
        <f aca="false">IF(LEFT(Cockpit!$I$5,1)="A",H538,IF(CI538=1,(CL538+CJ538)/2,IF(LEFT(Cockpit!$I$5,1)="B",(CL538+AW538)/2,MAX((CL538+AW538)/2,H538))))</f>
        <v>2328</v>
      </c>
      <c r="AV538" s="62" t="n">
        <f aca="false">AU538*G538</f>
        <v>23.28</v>
      </c>
      <c r="AW538" s="62" t="n">
        <f aca="false">ROUNDUP(CL538+MAX(CM538,2*(J538/IF(CH538&gt;0,CH538,MAX(0.1,N(Cockpit!$I$6)))-CL538)),0)</f>
        <v>610</v>
      </c>
      <c r="AX538" s="63" t="n">
        <f aca="false">IF(AT538&gt;0,J538/AT538,-1)</f>
        <v>0</v>
      </c>
      <c r="AY538" s="63" t="n">
        <f aca="false">IF(AND(OR(CG538="L1",CG538="L23",CG538="LIFT"),AT538&gt;0),SUMIFS($AT$7:$AT$1843,$CG$7:$CG$1843,CG538,$AX$7:$AX$1843,"&gt;"&amp;AX538)+SUMIFS($AT$7:$AT$1843,$CG$7:$CG$1843,CG538,$AX$7:$AX$1843,AX538,$BX$7:$BX$1843,"&lt;="&amp;BX538),"")</f>
        <v>33705.5361721612</v>
      </c>
      <c r="AZ538" s="70" t="n">
        <f aca="false">IF(AY538="",0,MAX(0,MIN(1,(IF(CG538="L1",Parameter!$H$5,IF(CG538="L23",Parameter!$H$6+Parameter!$H$7,Parameter!$H$5+Parameter!$H$6+Parameter!$H$7))-(AY538-AT538))/AT538)))</f>
        <v>1</v>
      </c>
      <c r="BA538" s="62" t="n">
        <f aca="false">IF(LEFT(Cockpit!$O$5,1)="A",H538,IF(Parameter!$E$30="MAX-Bestand",IF(CI538=1,CJ538,IF(LEFT(Cockpit!$O$5,1)="B",BG538,MAX(BG538,H538))),ROUNDUP(BE538,0)))</f>
        <v>310</v>
      </c>
      <c r="BB538" s="62" t="n">
        <f aca="false">IF(CA538=1,0,ROUNDUP(BA538/BZ538,0))</f>
        <v>1</v>
      </c>
      <c r="BC538" s="64" t="n">
        <f aca="false">IF(CR538&gt;0,CR538*MAX(1,BA538/X538),IF(CA538=1,IF(BA538&lt;=0,0,CE538*MAX(1,IF(H538&gt;0,BA538/H538,1))),IF(R538&gt;0,BB538/R538,0))/MAX(0.1,N(Parameter!$M$21)))</f>
        <v>0.0384615384615385</v>
      </c>
      <c r="BD538" s="62" t="n">
        <f aca="false">BC538*CC538</f>
        <v>5.96153846153846</v>
      </c>
      <c r="BE538" s="63" t="n">
        <f aca="false">IF(LEFT(Cockpit!$O$5,1)="A",H538,IF(CI538=1,(CL538+CJ538)/2,IF(LEFT(Cockpit!$O$5,1)="B",(CL538+BG538)/2,MAX((CL538+BG538)/2,H538))))</f>
        <v>310</v>
      </c>
      <c r="BF538" s="62" t="n">
        <f aca="false">BE538*G538</f>
        <v>3.1</v>
      </c>
      <c r="BG538" s="62" t="n">
        <f aca="false">ROUNDUP(CL538+MAX(CM538,2*(J538/IF(CH538&gt;0,CH538,MAX(0.1,N(Cockpit!$O$6)))-CL538)),0)</f>
        <v>610</v>
      </c>
      <c r="BH538" s="63" t="n">
        <f aca="false">IF(BD538&gt;0,J538/BD538,-1)</f>
        <v>0</v>
      </c>
      <c r="BI538" s="63" t="n">
        <f aca="false">IF(AND(OR(CG538="L1",CG538="L23",CG538="LIFT"),BD538&gt;0),SUMIFS($BD$7:$BD$1843,$CG$7:$CG$1843,CG538,$BH$7:$BH$1843,"&gt;"&amp;BH538)+SUMIFS($BD$7:$BD$1843,$CG$7:$CG$1843,CG538,$BH$7:$BH$1843,BH538,$BX$7:$BX$1843,"&lt;="&amp;BX538),"")</f>
        <v>27783.972868939</v>
      </c>
      <c r="BJ538" s="70" t="n">
        <f aca="false">IF(BI538="",0,MAX(0,MIN(1,(IF(CG538="L1",Parameter!$H$5,IF(CG538="L23",Parameter!$H$6+Parameter!$H$7,Parameter!$H$5+Parameter!$H$6+Parameter!$H$7))-(BI538-BD538))/BD538)))</f>
        <v>1</v>
      </c>
      <c r="BK538" s="60" t="str">
        <f aca="false">IF(AJ538&lt;=0,"",IF(CG538="Aussen","Aussenlager",IF(CG538="-","Nicht im Lift",IF(AP538&gt;=1,"Lift",IF(AP538&lt;=0,"Aussenlager","teilweise")))))</f>
        <v>Lift</v>
      </c>
      <c r="BL538" s="60" t="str">
        <f aca="false">IF(AT538&lt;=0,"",IF(CG538="Aussen","Aussenlager",IF(CG538="-","Nicht im Lift",IF(AZ538&gt;=1,"Lift",IF(AZ538&lt;=0,"Aussenlager","teilweise")))))</f>
        <v>Lift</v>
      </c>
      <c r="BM538" s="60" t="str">
        <f aca="false">IF(BD538&lt;=0,"",IF(CG538="Aussen","Aussenlager",IF(CG538="-","Nicht im Lift",IF(BJ538&gt;=1,"Lift",IF(BJ538&lt;=0,"Aussenlager","teilweise")))))</f>
        <v>Lift</v>
      </c>
      <c r="BN538" s="60" t="str">
        <f aca="false">IF(A538="","",IF(BW538=1,"Neu; ","")&amp;IF(AND(BW538=0,BR538&lt;0),"negativer Bestand (Export "&amp;BR538&amp;"); ","")&amp;IF(J538&lt;=0,"Kein Verbrauch; ","")&amp;IF(CR538&gt;0,"Lift "&amp;W538&amp;" lt. Liftbericht (Fach "&amp;X538&amp;" Stk); ",IF(CB538=1,"Gebinde geschätzt ("&amp;T538&amp;"); ",IF(CA538=1,"Lose – Tablare geschätzt; ","")))&amp;IF(H538&gt;AW538,"Überbestand "&amp;ROUND(H538-AW538,0)&amp;" Stk / CHF "&amp;ROUND((H538-AW538)*G538,0)&amp;"; ","")&amp;IF(AND(CI538=1,CJ538&lt;CK538),"MAX &lt; MB+LG; ","")&amp;IF(AND(CQ538&gt;0,CP538*10&gt;CQ538),"zu hoch für Tablar; ","")&amp;IF(AND(BW538=0,OR(CI538=1,AB538&lt;&gt;"",U538&lt;&gt;"",V538&lt;&gt;"",AC538&lt;&gt;"")),"manuell übersteuert; ","")&amp;IF(AND(CA538=0,R538=0),"Gebinde unbekannt / Stellmass fehlt; ","")&amp;IF(AND(CA538=0,N(V538)&lt;=0,N(Q538)&lt;=0),"Menge pro Gebinde fehlt (Ist = 1 Gebinde); ","")&amp;BV538)</f>
        <v>Kein Verbrauch; Gebinde geschätzt (Klein); Überbestand 1718 Stk / CHF 17; Menge pro Gebinde fehlt (Ist = 1 Gebinde); </v>
      </c>
      <c r="BO538" s="60"/>
      <c r="BP538" s="60"/>
      <c r="BQ538" s="67"/>
      <c r="BR538" s="62" t="n">
        <v>2328</v>
      </c>
      <c r="BS538" s="62" t="n">
        <v>0</v>
      </c>
      <c r="BT538" s="61" t="n">
        <v>23.2800000000001</v>
      </c>
      <c r="BU538" s="62" t="n">
        <v>0</v>
      </c>
      <c r="BV538" s="60"/>
      <c r="BW538" s="65" t="n">
        <v>0</v>
      </c>
      <c r="BX538" s="65" t="n">
        <v>538</v>
      </c>
      <c r="BY538" s="60" t="str">
        <f aca="false">IF(U538&lt;&gt;"",UPPER(TRIM(U538)),IF(CB538=1,UPPER(VLOOKUP(T538,Parameter!$I$27:$K$29,2,0)),IF(P538="","LOSE",P538)))</f>
        <v>S51</v>
      </c>
      <c r="BZ538" s="62" t="n">
        <f aca="false">IF(BY538="LOSE",1,IF(N(V538)&gt;0,V538,IF(CB538=1,MAX(1,N(VLOOKUP(T538,Parameter!$I$27:$K$29,3,0)),H538,N(N538)),IF(N(Q538)&gt;0,Q538,MAX(1,H538)))))</f>
        <v>2328</v>
      </c>
      <c r="CA538" s="65" t="n">
        <f aca="false">IF(BY538="LOSE",1,0)</f>
        <v>0</v>
      </c>
      <c r="CB538" s="65" t="n">
        <f aca="false">IF(AND(U538="",OR(P538="",P538="LOSE"),T538&lt;&gt;"",N(S538)&lt;=0,ISNUMBER(MATCH(T538,Parameter!$I$27:$I$29,0))),1,0)</f>
        <v>1</v>
      </c>
      <c r="CC538" s="65" t="n">
        <f aca="false">IF(CR538&gt;0,INDEX(Parameter!$H$5:$H$7,W538)/INDEX(Parameter!$E$5:$E$7,W538),IF(AND(CA538=0,N(IFERROR(VLOOKUP(BY538,'Gebinde-Kategorie'!$A$5:$N$45,14,0),0))&gt;0),VLOOKUP(BY538,'Gebinde-Kategorie'!$A$5:$N$45,14,0)*10+Parameter!$M$23,Parameter!$M$24))</f>
        <v>155</v>
      </c>
      <c r="CD538" s="60" t="str">
        <f aca="false">IF(AND(Parameter!$B$19="Ja",E538&lt;&gt;"",ISNUMBER(MATCH(E538,Parameter!$I$35:$I$52,0))),VLOOKUP(E538,Parameter!$I$35:$J$52,2,0),IFERROR(VLOOKUP(D538,Parameter!$A$35:$C$64,2,0),"Nein"))</f>
        <v>2+3</v>
      </c>
      <c r="CE538" s="64" t="n">
        <f aca="false">IF(CA538=0,0,IF(N(S538)&gt;0,S538,IFERROR(VLOOKUP(D538,Parameter!$A$35:$C$64,3,0)+0,0)))</f>
        <v>0</v>
      </c>
      <c r="CF538" s="60" t="n">
        <f aca="false">IF(AB538&lt;&gt;"",AB538,AA538)</f>
        <v>3</v>
      </c>
      <c r="CG538" s="60" t="str">
        <f aca="false">IF(OR(CF538=1,CF538=2,CF538=3),IF(Parameter!$E$27="Ja","LIFT",IF(CF538=1,"L1","L23")),IF(CF538="Aussen","Aussen","-"))</f>
        <v>LIFT</v>
      </c>
      <c r="CH538" s="71" t="n">
        <f aca="false">IF(N(AC538)&gt;0,AC538,0)</f>
        <v>0</v>
      </c>
      <c r="CI538" s="65" t="n">
        <f aca="false">IF(ISNUMBER(AF538),1,0)</f>
        <v>0</v>
      </c>
      <c r="CJ538" s="62" t="n">
        <f aca="false">N(AF538)</f>
        <v>0</v>
      </c>
      <c r="CK538" s="62" t="n">
        <f aca="false">N(M538)+N(N538)</f>
        <v>610</v>
      </c>
      <c r="CL538" s="62" t="n">
        <f aca="false">N(M538)</f>
        <v>10</v>
      </c>
      <c r="CM538" s="62" t="n">
        <f aca="false">N(N538)</f>
        <v>600</v>
      </c>
      <c r="CN538" s="62" t="n">
        <f aca="false">ROUNDUP(H538/BZ538,0)</f>
        <v>1</v>
      </c>
      <c r="CO538" s="62" t="n">
        <f aca="false">ROUNDUP(CJ538/BZ538,0)</f>
        <v>0</v>
      </c>
      <c r="CP538" s="65" t="n">
        <f aca="false">IF(CA538=1,0,IFERROR(VLOOKUP(BY538,'Gebinde-Kategorie'!$A$5:$N$45,5,0)+0,0))</f>
        <v>11</v>
      </c>
      <c r="CQ538" s="65" t="n">
        <f aca="false">IFERROR(IF(OR(CF538=1,CF538=2,CF538=3),N(INDEX(Parameter!$I$5:$I$7,CF538)),0),0)</f>
        <v>0</v>
      </c>
      <c r="CR538" s="64" t="n">
        <f aca="false">IF(AND(Parameter!$B$21="Ja",ISNUMBER(W538),N(X538)&gt;0),IFERROR(N(INDEX(Parameter!$L$5:$L$7,W538))*INDEX(Parameter!$E$5:$E$7,W538)*X538/SUMIFS($X$7:$X$1843,$W$7:$W$1843,W538),0),0)</f>
        <v>0</v>
      </c>
      <c r="CS538" s="62" t="n">
        <f aca="false">IF(AND(OR(CG538="L1",CG538="L23",CG538="LIFT"),H538&gt;0),CC538*IF(CR538&gt;0,CR538*MAX(1,H538/X538),IF(CA538=1,CE538,IF(R538&gt;0,CN538/R538,0))/MAX(0.1,N(Parameter!$M$21))),"")</f>
        <v>5.96153846153846</v>
      </c>
      <c r="CT538" s="64" t="n">
        <f aca="false">IF(CS538="","",J538/H538)</f>
        <v>0</v>
      </c>
      <c r="CU538" s="62" t="n">
        <f aca="false">IF(CS538="","",H538*G538)</f>
        <v>23.28</v>
      </c>
      <c r="CV538" s="63" t="n">
        <f aca="false">IF(CS538="","",(CL538+ROUNDUP(CL538+MAX(CM538,2*(J538/MAX(0.1,N(Einkauf!$C$6))-CL538)),0))/2)</f>
        <v>310</v>
      </c>
      <c r="CW538" s="62" t="n">
        <f aca="false">IF(CS538="","",MAX(0,H538-CV538)*G538)</f>
        <v>20.18</v>
      </c>
      <c r="CX538" s="62" t="n">
        <f aca="false">IF(CS538="","",CS538*MAX(0,1-CV538/H538))</f>
        <v>5.16769098598996</v>
      </c>
      <c r="CY538" s="64" t="n">
        <f aca="false">IF(CS538="","",PERCENTRANK($CS$7:$CS$1843,CS538)+PERCENTRANK($CU$7:$CU$1843,CU538)+1-PERCENTRANK($CT$7:$CT$1843,CT538))</f>
        <v>1.4477</v>
      </c>
      <c r="CZ538" s="72" t="n">
        <f aca="false">IF(CS538="","",CHOOSE(MATCH(Einkauf!$C$5,Parameter!$G$23:$G$27,0),CY538,CS538,CU538,-CT538,CW538)+ROW()/1000000000)</f>
        <v>1.447700538</v>
      </c>
    </row>
    <row r="539" customFormat="false" ht="15" hidden="false" customHeight="false" outlineLevel="0" collapsed="false">
      <c r="A539" s="60" t="s">
        <v>1200</v>
      </c>
      <c r="B539" s="60" t="s">
        <v>467</v>
      </c>
      <c r="C539" s="60" t="s">
        <v>206</v>
      </c>
      <c r="D539" s="60" t="s">
        <v>226</v>
      </c>
      <c r="E539" s="60"/>
      <c r="F539" s="60" t="s">
        <v>260</v>
      </c>
      <c r="G539" s="61" t="n">
        <v>20.6</v>
      </c>
      <c r="H539" s="62" t="n">
        <f aca="false">MAX(0,IF(AND(Parameter!$B$21="Ja",ISNUMBER(Y539)),Y539,IF(Parameter!$B$20="Jahresanfang 2025 + Export",BS539+BR539,BR539)))</f>
        <v>3</v>
      </c>
      <c r="I539" s="62" t="n">
        <f aca="false">H539*G539</f>
        <v>61.8</v>
      </c>
      <c r="J539" s="62" t="n">
        <f aca="false">BU539*Parameter!$B$18</f>
        <v>10</v>
      </c>
      <c r="K539" s="63" t="n">
        <v>2.5</v>
      </c>
      <c r="L539" s="64" t="n">
        <v>4</v>
      </c>
      <c r="M539" s="62" t="n">
        <v>1</v>
      </c>
      <c r="N539" s="62" t="n">
        <v>10</v>
      </c>
      <c r="O539" s="65" t="n">
        <v>40</v>
      </c>
      <c r="P539" s="60" t="s">
        <v>210</v>
      </c>
      <c r="Q539" s="62"/>
      <c r="R539" s="65" t="n">
        <f aca="false">IF(CA539=1,0,IFERROR(VLOOKUP(BY539,'Gebinde-Kategorie'!$A$5:$N$45,13,0)+0,0))</f>
        <v>26</v>
      </c>
      <c r="S539" s="66"/>
      <c r="T539" s="67" t="s">
        <v>317</v>
      </c>
      <c r="U539" s="67"/>
      <c r="V539" s="67"/>
      <c r="W539" s="60"/>
      <c r="X539" s="62"/>
      <c r="Y539" s="62"/>
      <c r="Z539" s="60" t="n">
        <v>3</v>
      </c>
      <c r="AA539" s="60" t="n">
        <f aca="false">IF(A539="","",IF(AND(Parameter!$B$21="Ja",ISNUMBER(W539)),W539,IF(AND(Parameter!$E$27="Ja",ISNUMBER(Z539),CD539&lt;&gt;"Nein"),Z539,IF(CD539="2+3",IF(ISNUMBER(SEARCH("grosser Artikel",BV539)),2,IFERROR(VLOOKUP(BY539,Parameter!$F$35:$G$64,2,0),2)),IF(OR(CD539="Nein",CD539=""),"-",CD539)))))</f>
        <v>3</v>
      </c>
      <c r="AB539" s="67"/>
      <c r="AC539" s="68"/>
      <c r="AD539" s="62" t="n">
        <f aca="false">AW539</f>
        <v>11</v>
      </c>
      <c r="AE539" s="62" t="n">
        <f aca="false">MAX(AW539,H539)</f>
        <v>11</v>
      </c>
      <c r="AF539" s="69"/>
      <c r="AG539" s="62" t="n">
        <f aca="false">IF(LEFT(Cockpit!$C$5,1)="A",H539,IF(Parameter!$E$30="MAX-Bestand",IF(CI539=1,CJ539,IF(LEFT(Cockpit!$C$5,1)="B",AM539,MAX(AM539,H539))),ROUNDUP(AK539,0)))</f>
        <v>3</v>
      </c>
      <c r="AH539" s="62" t="n">
        <f aca="false">IF(CA539=1,0,ROUNDUP(AG539/BZ539,0))</f>
        <v>1</v>
      </c>
      <c r="AI539" s="64" t="n">
        <f aca="false">IF(CR539&gt;0,CR539*MAX(1,AG539/X539),IF(CA539=1,IF(AG539&lt;=0,0,CE539*MAX(1,IF(H539&gt;0,AG539/H539,1))),IF(R539&gt;0,AH539/R539,0))/MAX(0.1,N(Parameter!$M$21)))</f>
        <v>0.0384615384615385</v>
      </c>
      <c r="AJ539" s="62" t="n">
        <f aca="false">AI539*CC539</f>
        <v>5.96153846153846</v>
      </c>
      <c r="AK539" s="63" t="n">
        <f aca="false">IF(LEFT(Cockpit!$C$5,1)="A",H539,IF(CI539=1,(CL539+CJ539)/2,IF(LEFT(Cockpit!$C$5,1)="B",(CL539+AM539)/2,MAX((CL539+AM539)/2,H539))))</f>
        <v>3</v>
      </c>
      <c r="AL539" s="62" t="n">
        <f aca="false">AK539*G539</f>
        <v>61.8</v>
      </c>
      <c r="AM539" s="62" t="n">
        <f aca="false">ROUNDUP(CL539+MAX(CM539,2*(J539/IF(CH539&gt;0,CH539,MAX(0.1,N(Cockpit!$C$6)))-CL539)),0)</f>
        <v>11</v>
      </c>
      <c r="AN539" s="63" t="n">
        <f aca="false">IF(AJ539&gt;0,J539/AJ539,-1)</f>
        <v>1.67741935483871</v>
      </c>
      <c r="AO539" s="63" t="n">
        <f aca="false">IF(AND(OR(CG539="L1",CG539="L23",CG539="LIFT"),AJ539&gt;0),SUMIFS($AJ$7:$AJ$1843,$CG$7:$CG$1843,CG539,$AN$7:$AN$1843,"&gt;"&amp;AN539)+SUMIFS($AJ$7:$AJ$1843,$CG$7:$CG$1843,CG539,$AN$7:$AN$1843,AN539,$BX$7:$BX$1843,"&lt;="&amp;BX539),"")</f>
        <v>6054.83379120879</v>
      </c>
      <c r="AP539" s="70" t="n">
        <f aca="false">IF(AO539="",0,MAX(0,MIN(1,(IF(CG539="L1",Parameter!$H$5,IF(CG539="L23",Parameter!$H$6+Parameter!$H$7,Parameter!$H$5+Parameter!$H$6+Parameter!$H$7))-(AO539-AJ539))/AJ539)))</f>
        <v>1</v>
      </c>
      <c r="AQ539" s="62" t="n">
        <f aca="false">IF(LEFT(Cockpit!$I$5,1)="A",H539,IF(Parameter!$E$30="MAX-Bestand",IF(CI539=1,CJ539,IF(LEFT(Cockpit!$I$5,1)="B",AW539,MAX(AW539,H539))),ROUNDUP(AU539,0)))</f>
        <v>6</v>
      </c>
      <c r="AR539" s="62" t="n">
        <f aca="false">IF(CA539=1,0,ROUNDUP(AQ539/BZ539,0))</f>
        <v>1</v>
      </c>
      <c r="AS539" s="64" t="n">
        <f aca="false">IF(CR539&gt;0,CR539*MAX(1,AQ539/X539),IF(CA539=1,IF(AQ539&lt;=0,0,CE539*MAX(1,IF(H539&gt;0,AQ539/H539,1))),IF(R539&gt;0,AR539/R539,0))/MAX(0.1,N(Parameter!$M$21)))</f>
        <v>0.0384615384615385</v>
      </c>
      <c r="AT539" s="62" t="n">
        <f aca="false">AS539*CC539</f>
        <v>5.96153846153846</v>
      </c>
      <c r="AU539" s="63" t="n">
        <f aca="false">IF(LEFT(Cockpit!$I$5,1)="A",H539,IF(CI539=1,(CL539+CJ539)/2,IF(LEFT(Cockpit!$I$5,1)="B",(CL539+AW539)/2,MAX((CL539+AW539)/2,H539))))</f>
        <v>6</v>
      </c>
      <c r="AV539" s="62" t="n">
        <f aca="false">AU539*G539</f>
        <v>123.6</v>
      </c>
      <c r="AW539" s="62" t="n">
        <f aca="false">ROUNDUP(CL539+MAX(CM539,2*(J539/IF(CH539&gt;0,CH539,MAX(0.1,N(Cockpit!$I$6)))-CL539)),0)</f>
        <v>11</v>
      </c>
      <c r="AX539" s="63" t="n">
        <f aca="false">IF(AT539&gt;0,J539/AT539,-1)</f>
        <v>1.67741935483871</v>
      </c>
      <c r="AY539" s="63" t="n">
        <f aca="false">IF(AND(OR(CG539="L1",CG539="L23",CG539="LIFT"),AT539&gt;0),SUMIFS($AT$7:$AT$1843,$CG$7:$CG$1843,CG539,$AX$7:$AX$1843,"&gt;"&amp;AX539)+SUMIFS($AT$7:$AT$1843,$CG$7:$CG$1843,CG539,$AX$7:$AX$1843,AX539,$BX$7:$BX$1843,"&lt;="&amp;BX539),"")</f>
        <v>7482.79945054945</v>
      </c>
      <c r="AZ539" s="70" t="n">
        <f aca="false">IF(AY539="",0,MAX(0,MIN(1,(IF(CG539="L1",Parameter!$H$5,IF(CG539="L23",Parameter!$H$6+Parameter!$H$7,Parameter!$H$5+Parameter!$H$6+Parameter!$H$7))-(AY539-AT539))/AT539)))</f>
        <v>1</v>
      </c>
      <c r="BA539" s="62" t="n">
        <f aca="false">IF(LEFT(Cockpit!$O$5,1)="A",H539,IF(Parameter!$E$30="MAX-Bestand",IF(CI539=1,CJ539,IF(LEFT(Cockpit!$O$5,1)="B",BG539,MAX(BG539,H539))),ROUNDUP(BE539,0)))</f>
        <v>6</v>
      </c>
      <c r="BB539" s="62" t="n">
        <f aca="false">IF(CA539=1,0,ROUNDUP(BA539/BZ539,0))</f>
        <v>1</v>
      </c>
      <c r="BC539" s="64" t="n">
        <f aca="false">IF(CR539&gt;0,CR539*MAX(1,BA539/X539),IF(CA539=1,IF(BA539&lt;=0,0,CE539*MAX(1,IF(H539&gt;0,BA539/H539,1))),IF(R539&gt;0,BB539/R539,0))/MAX(0.1,N(Parameter!$M$21)))</f>
        <v>0.0384615384615385</v>
      </c>
      <c r="BD539" s="62" t="n">
        <f aca="false">BC539*CC539</f>
        <v>5.96153846153846</v>
      </c>
      <c r="BE539" s="63" t="n">
        <f aca="false">IF(LEFT(Cockpit!$O$5,1)="A",H539,IF(CI539=1,(CL539+CJ539)/2,IF(LEFT(Cockpit!$O$5,1)="B",(CL539+BG539)/2,MAX((CL539+BG539)/2,H539))))</f>
        <v>6</v>
      </c>
      <c r="BF539" s="62" t="n">
        <f aca="false">BE539*G539</f>
        <v>123.6</v>
      </c>
      <c r="BG539" s="62" t="n">
        <f aca="false">ROUNDUP(CL539+MAX(CM539,2*(J539/IF(CH539&gt;0,CH539,MAX(0.1,N(Cockpit!$O$6)))-CL539)),0)</f>
        <v>11</v>
      </c>
      <c r="BH539" s="63" t="n">
        <f aca="false">IF(BD539&gt;0,J539/BD539,-1)</f>
        <v>1.67741935483871</v>
      </c>
      <c r="BI539" s="63" t="n">
        <f aca="false">IF(AND(OR(CG539="L1",CG539="L23",CG539="LIFT"),BD539&gt;0),SUMIFS($BD$7:$BD$1843,$CG$7:$CG$1843,CG539,$BH$7:$BH$1843,"&gt;"&amp;BH539)+SUMIFS($BD$7:$BD$1843,$CG$7:$CG$1843,CG539,$BH$7:$BH$1843,BH539,$BX$7:$BX$1843,"&lt;="&amp;BX539),"")</f>
        <v>6297.64331501832</v>
      </c>
      <c r="BJ539" s="70" t="n">
        <f aca="false">IF(BI539="",0,MAX(0,MIN(1,(IF(CG539="L1",Parameter!$H$5,IF(CG539="L23",Parameter!$H$6+Parameter!$H$7,Parameter!$H$5+Parameter!$H$6+Parameter!$H$7))-(BI539-BD539))/BD539)))</f>
        <v>1</v>
      </c>
      <c r="BK539" s="60" t="str">
        <f aca="false">IF(AJ539&lt;=0,"",IF(CG539="Aussen","Aussenlager",IF(CG539="-","Nicht im Lift",IF(AP539&gt;=1,"Lift",IF(AP539&lt;=0,"Aussenlager","teilweise")))))</f>
        <v>Lift</v>
      </c>
      <c r="BL539" s="60" t="str">
        <f aca="false">IF(AT539&lt;=0,"",IF(CG539="Aussen","Aussenlager",IF(CG539="-","Nicht im Lift",IF(AZ539&gt;=1,"Lift",IF(AZ539&lt;=0,"Aussenlager","teilweise")))))</f>
        <v>Lift</v>
      </c>
      <c r="BM539" s="60" t="str">
        <f aca="false">IF(BD539&lt;=0,"",IF(CG539="Aussen","Aussenlager",IF(CG539="-","Nicht im Lift",IF(BJ539&gt;=1,"Lift",IF(BJ539&lt;=0,"Aussenlager","teilweise")))))</f>
        <v>Lift</v>
      </c>
      <c r="BN539" s="60" t="str">
        <f aca="false">IF(A539="","",IF(BW539=1,"Neu; ","")&amp;IF(AND(BW539=0,BR539&lt;0),"negativer Bestand (Export "&amp;BR539&amp;"); ","")&amp;IF(J539&lt;=0,"Kein Verbrauch; ","")&amp;IF(CR539&gt;0,"Lift "&amp;W539&amp;" lt. Liftbericht (Fach "&amp;X539&amp;" Stk); ",IF(CB539=1,"Gebinde geschätzt ("&amp;T539&amp;"); ",IF(CA539=1,"Lose – Tablare geschätzt; ","")))&amp;IF(H539&gt;AW539,"Überbestand "&amp;ROUND(H539-AW539,0)&amp;" Stk / CHF "&amp;ROUND((H539-AW539)*G539,0)&amp;"; ","")&amp;IF(AND(CI539=1,CJ539&lt;CK539),"MAX &lt; MB+LG; ","")&amp;IF(AND(CQ539&gt;0,CP539*10&gt;CQ539),"zu hoch für Tablar; ","")&amp;IF(AND(BW539=0,OR(CI539=1,AB539&lt;&gt;"",U539&lt;&gt;"",V539&lt;&gt;"",AC539&lt;&gt;"")),"manuell übersteuert; ","")&amp;IF(AND(CA539=0,R539=0),"Gebinde unbekannt / Stellmass fehlt; ","")&amp;IF(AND(CA539=0,N(V539)&lt;=0,N(Q539)&lt;=0),"Menge pro Gebinde fehlt (Ist = 1 Gebinde); ","")&amp;BV539)</f>
        <v>Gebinde geschätzt (Klein); Menge pro Gebinde fehlt (Ist = 1 Gebinde); </v>
      </c>
      <c r="BO539" s="60"/>
      <c r="BP539" s="60"/>
      <c r="BQ539" s="67"/>
      <c r="BR539" s="62" t="n">
        <v>1</v>
      </c>
      <c r="BS539" s="62" t="n">
        <v>2</v>
      </c>
      <c r="BT539" s="61" t="n">
        <v>22.6</v>
      </c>
      <c r="BU539" s="62" t="n">
        <v>10</v>
      </c>
      <c r="BV539" s="60"/>
      <c r="BW539" s="65" t="n">
        <v>0</v>
      </c>
      <c r="BX539" s="65" t="n">
        <v>539</v>
      </c>
      <c r="BY539" s="60" t="str">
        <f aca="false">IF(U539&lt;&gt;"",UPPER(TRIM(U539)),IF(CB539=1,UPPER(VLOOKUP(T539,Parameter!$I$27:$K$29,2,0)),IF(P539="","LOSE",P539)))</f>
        <v>S51</v>
      </c>
      <c r="BZ539" s="62" t="n">
        <f aca="false">IF(BY539="LOSE",1,IF(N(V539)&gt;0,V539,IF(CB539=1,MAX(1,N(VLOOKUP(T539,Parameter!$I$27:$K$29,3,0)),H539,N(N539)),IF(N(Q539)&gt;0,Q539,MAX(1,H539)))))</f>
        <v>20</v>
      </c>
      <c r="CA539" s="65" t="n">
        <f aca="false">IF(BY539="LOSE",1,0)</f>
        <v>0</v>
      </c>
      <c r="CB539" s="65" t="n">
        <f aca="false">IF(AND(U539="",OR(P539="",P539="LOSE"),T539&lt;&gt;"",N(S539)&lt;=0,ISNUMBER(MATCH(T539,Parameter!$I$27:$I$29,0))),1,0)</f>
        <v>1</v>
      </c>
      <c r="CC539" s="65" t="n">
        <f aca="false">IF(CR539&gt;0,INDEX(Parameter!$H$5:$H$7,W539)/INDEX(Parameter!$E$5:$E$7,W539),IF(AND(CA539=0,N(IFERROR(VLOOKUP(BY539,'Gebinde-Kategorie'!$A$5:$N$45,14,0),0))&gt;0),VLOOKUP(BY539,'Gebinde-Kategorie'!$A$5:$N$45,14,0)*10+Parameter!$M$23,Parameter!$M$24))</f>
        <v>155</v>
      </c>
      <c r="CD539" s="60" t="str">
        <f aca="false">IF(AND(Parameter!$B$19="Ja",E539&lt;&gt;"",ISNUMBER(MATCH(E539,Parameter!$I$35:$I$52,0))),VLOOKUP(E539,Parameter!$I$35:$J$52,2,0),IFERROR(VLOOKUP(D539,Parameter!$A$35:$C$64,2,0),"Nein"))</f>
        <v>2+3</v>
      </c>
      <c r="CE539" s="64" t="n">
        <f aca="false">IF(CA539=0,0,IF(N(S539)&gt;0,S539,IFERROR(VLOOKUP(D539,Parameter!$A$35:$C$64,3,0)+0,0)))</f>
        <v>0</v>
      </c>
      <c r="CF539" s="60" t="n">
        <f aca="false">IF(AB539&lt;&gt;"",AB539,AA539)</f>
        <v>3</v>
      </c>
      <c r="CG539" s="60" t="str">
        <f aca="false">IF(OR(CF539=1,CF539=2,CF539=3),IF(Parameter!$E$27="Ja","LIFT",IF(CF539=1,"L1","L23")),IF(CF539="Aussen","Aussen","-"))</f>
        <v>LIFT</v>
      </c>
      <c r="CH539" s="71" t="n">
        <f aca="false">IF(N(AC539)&gt;0,AC539,0)</f>
        <v>0</v>
      </c>
      <c r="CI539" s="65" t="n">
        <f aca="false">IF(ISNUMBER(AF539),1,0)</f>
        <v>0</v>
      </c>
      <c r="CJ539" s="62" t="n">
        <f aca="false">N(AF539)</f>
        <v>0</v>
      </c>
      <c r="CK539" s="62" t="n">
        <f aca="false">N(M539)+N(N539)</f>
        <v>11</v>
      </c>
      <c r="CL539" s="62" t="n">
        <f aca="false">N(M539)</f>
        <v>1</v>
      </c>
      <c r="CM539" s="62" t="n">
        <f aca="false">N(N539)</f>
        <v>10</v>
      </c>
      <c r="CN539" s="62" t="n">
        <f aca="false">ROUNDUP(H539/BZ539,0)</f>
        <v>1</v>
      </c>
      <c r="CO539" s="62" t="n">
        <f aca="false">ROUNDUP(CJ539/BZ539,0)</f>
        <v>0</v>
      </c>
      <c r="CP539" s="65" t="n">
        <f aca="false">IF(CA539=1,0,IFERROR(VLOOKUP(BY539,'Gebinde-Kategorie'!$A$5:$N$45,5,0)+0,0))</f>
        <v>11</v>
      </c>
      <c r="CQ539" s="65" t="n">
        <f aca="false">IFERROR(IF(OR(CF539=1,CF539=2,CF539=3),N(INDEX(Parameter!$I$5:$I$7,CF539)),0),0)</f>
        <v>0</v>
      </c>
      <c r="CR539" s="64" t="n">
        <f aca="false">IF(AND(Parameter!$B$21="Ja",ISNUMBER(W539),N(X539)&gt;0),IFERROR(N(INDEX(Parameter!$L$5:$L$7,W539))*INDEX(Parameter!$E$5:$E$7,W539)*X539/SUMIFS($X$7:$X$1843,$W$7:$W$1843,W539),0),0)</f>
        <v>0</v>
      </c>
      <c r="CS539" s="62" t="n">
        <f aca="false">IF(AND(OR(CG539="L1",CG539="L23",CG539="LIFT"),H539&gt;0),CC539*IF(CR539&gt;0,CR539*MAX(1,H539/X539),IF(CA539=1,CE539,IF(R539&gt;0,CN539/R539,0))/MAX(0.1,N(Parameter!$M$21))),"")</f>
        <v>5.96153846153846</v>
      </c>
      <c r="CT539" s="64" t="n">
        <f aca="false">IF(CS539="","",J539/H539)</f>
        <v>3.33333333333333</v>
      </c>
      <c r="CU539" s="62" t="n">
        <f aca="false">IF(CS539="","",H539*G539)</f>
        <v>61.8</v>
      </c>
      <c r="CV539" s="63" t="n">
        <f aca="false">IF(CS539="","",(CL539+ROUNDUP(CL539+MAX(CM539,2*(J539/MAX(0.1,N(Einkauf!$C$6))-CL539)),0))/2)</f>
        <v>6</v>
      </c>
      <c r="CW539" s="62" t="n">
        <f aca="false">IF(CS539="","",MAX(0,H539-CV539)*G539)</f>
        <v>0</v>
      </c>
      <c r="CX539" s="62" t="n">
        <f aca="false">IF(CS539="","",CS539*MAX(0,1-CV539/H539))</f>
        <v>0</v>
      </c>
      <c r="CY539" s="64" t="n">
        <f aca="false">IF(CS539="","",PERCENTRANK($CS$7:$CS$1843,CS539)+PERCENTRANK($CU$7:$CU$1843,CU539)+1-PERCENTRANK($CT$7:$CT$1843,CT539))</f>
        <v>0.622</v>
      </c>
      <c r="CZ539" s="72" t="n">
        <f aca="false">IF(CS539="","",CHOOSE(MATCH(Einkauf!$C$5,Parameter!$G$23:$G$27,0),CY539,CS539,CU539,-CT539,CW539)+ROW()/1000000000)</f>
        <v>0.622000539</v>
      </c>
    </row>
    <row r="540" customFormat="false" ht="15" hidden="false" customHeight="false" outlineLevel="0" collapsed="false">
      <c r="A540" s="60" t="s">
        <v>1201</v>
      </c>
      <c r="B540" s="60" t="s">
        <v>1202</v>
      </c>
      <c r="C540" s="60" t="s">
        <v>206</v>
      </c>
      <c r="D540" s="60" t="s">
        <v>226</v>
      </c>
      <c r="E540" s="60"/>
      <c r="F540" s="60" t="s">
        <v>260</v>
      </c>
      <c r="G540" s="61" t="n">
        <v>8.77</v>
      </c>
      <c r="H540" s="62" t="n">
        <f aca="false">MAX(0,IF(AND(Parameter!$B$21="Ja",ISNUMBER(Y540)),Y540,IF(Parameter!$B$20="Jahresanfang 2025 + Export",BS540+BR540,BR540)))</f>
        <v>11</v>
      </c>
      <c r="I540" s="62" t="n">
        <f aca="false">H540*G540</f>
        <v>96.47</v>
      </c>
      <c r="J540" s="62" t="n">
        <f aca="false">BU540*Parameter!$B$18</f>
        <v>5</v>
      </c>
      <c r="K540" s="63" t="n">
        <v>4</v>
      </c>
      <c r="L540" s="64" t="n">
        <v>1.25</v>
      </c>
      <c r="M540" s="62" t="n">
        <v>0</v>
      </c>
      <c r="N540" s="62" t="n">
        <v>5</v>
      </c>
      <c r="O540" s="65" t="n">
        <v>14</v>
      </c>
      <c r="P540" s="60" t="s">
        <v>468</v>
      </c>
      <c r="Q540" s="62" t="n">
        <v>13</v>
      </c>
      <c r="R540" s="65" t="n">
        <f aca="false">IF(CA540=1,0,IFERROR(VLOOKUP(BY540,'Gebinde-Kategorie'!$A$5:$N$45,13,0)+0,0))</f>
        <v>140</v>
      </c>
      <c r="S540" s="66"/>
      <c r="T540" s="67"/>
      <c r="U540" s="67"/>
      <c r="V540" s="67"/>
      <c r="W540" s="60"/>
      <c r="X540" s="62"/>
      <c r="Y540" s="62"/>
      <c r="Z540" s="60" t="n">
        <v>1</v>
      </c>
      <c r="AA540" s="60" t="n">
        <f aca="false">IF(A540="","",IF(AND(Parameter!$B$21="Ja",ISNUMBER(W540)),W540,IF(AND(Parameter!$E$27="Ja",ISNUMBER(Z540),CD540&lt;&gt;"Nein"),Z540,IF(CD540="2+3",IF(ISNUMBER(SEARCH("grosser Artikel",BV540)),2,IFERROR(VLOOKUP(BY540,Parameter!$F$35:$G$64,2,0),2)),IF(OR(CD540="Nein",CD540=""),"-",CD540)))))</f>
        <v>1</v>
      </c>
      <c r="AB540" s="67"/>
      <c r="AC540" s="68"/>
      <c r="AD540" s="62" t="n">
        <f aca="false">AW540</f>
        <v>5</v>
      </c>
      <c r="AE540" s="62" t="n">
        <f aca="false">MAX(AW540,H540)</f>
        <v>11</v>
      </c>
      <c r="AF540" s="69"/>
      <c r="AG540" s="62" t="n">
        <f aca="false">IF(LEFT(Cockpit!$C$5,1)="A",H540,IF(Parameter!$E$30="MAX-Bestand",IF(CI540=1,CJ540,IF(LEFT(Cockpit!$C$5,1)="B",AM540,MAX(AM540,H540))),ROUNDUP(AK540,0)))</f>
        <v>11</v>
      </c>
      <c r="AH540" s="62" t="n">
        <f aca="false">IF(CA540=1,0,ROUNDUP(AG540/BZ540,0))</f>
        <v>1</v>
      </c>
      <c r="AI540" s="64" t="n">
        <f aca="false">IF(CR540&gt;0,CR540*MAX(1,AG540/X540),IF(CA540=1,IF(AG540&lt;=0,0,CE540*MAX(1,IF(H540&gt;0,AG540/H540,1))),IF(R540&gt;0,AH540/R540,0))/MAX(0.1,N(Parameter!$M$21)))</f>
        <v>0.00714285714285714</v>
      </c>
      <c r="AJ540" s="62" t="n">
        <f aca="false">AI540*CC540</f>
        <v>1.10714285714286</v>
      </c>
      <c r="AK540" s="63" t="n">
        <f aca="false">IF(LEFT(Cockpit!$C$5,1)="A",H540,IF(CI540=1,(CL540+CJ540)/2,IF(LEFT(Cockpit!$C$5,1)="B",(CL540+AM540)/2,MAX((CL540+AM540)/2,H540))))</f>
        <v>11</v>
      </c>
      <c r="AL540" s="62" t="n">
        <f aca="false">AK540*G540</f>
        <v>96.47</v>
      </c>
      <c r="AM540" s="62" t="n">
        <f aca="false">ROUNDUP(CL540+MAX(CM540,2*(J540/IF(CH540&gt;0,CH540,MAX(0.1,N(Cockpit!$C$6)))-CL540)),0)</f>
        <v>5</v>
      </c>
      <c r="AN540" s="63" t="n">
        <f aca="false">IF(AJ540&gt;0,J540/AJ540,-1)</f>
        <v>4.51612903225806</v>
      </c>
      <c r="AO540" s="63" t="n">
        <f aca="false">IF(AND(OR(CG540="L1",CG540="L23",CG540="LIFT"),AJ540&gt;0),SUMIFS($AJ$7:$AJ$1843,$CG$7:$CG$1843,CG540,$AN$7:$AN$1843,"&gt;"&amp;AN540)+SUMIFS($AJ$7:$AJ$1843,$CG$7:$CG$1843,CG540,$AN$7:$AN$1843,AN540,$BX$7:$BX$1843,"&lt;="&amp;BX540),"")</f>
        <v>4148.88141025641</v>
      </c>
      <c r="AP540" s="70" t="n">
        <f aca="false">IF(AO540="",0,MAX(0,MIN(1,(IF(CG540="L1",Parameter!$H$5,IF(CG540="L23",Parameter!$H$6+Parameter!$H$7,Parameter!$H$5+Parameter!$H$6+Parameter!$H$7))-(AO540-AJ540))/AJ540)))</f>
        <v>1</v>
      </c>
      <c r="AQ540" s="62" t="n">
        <f aca="false">IF(LEFT(Cockpit!$I$5,1)="A",H540,IF(Parameter!$E$30="MAX-Bestand",IF(CI540=1,CJ540,IF(LEFT(Cockpit!$I$5,1)="B",AW540,MAX(AW540,H540))),ROUNDUP(AU540,0)))</f>
        <v>11</v>
      </c>
      <c r="AR540" s="62" t="n">
        <f aca="false">IF(CA540=1,0,ROUNDUP(AQ540/BZ540,0))</f>
        <v>1</v>
      </c>
      <c r="AS540" s="64" t="n">
        <f aca="false">IF(CR540&gt;0,CR540*MAX(1,AQ540/X540),IF(CA540=1,IF(AQ540&lt;=0,0,CE540*MAX(1,IF(H540&gt;0,AQ540/H540,1))),IF(R540&gt;0,AR540/R540,0))/MAX(0.1,N(Parameter!$M$21)))</f>
        <v>0.00714285714285714</v>
      </c>
      <c r="AT540" s="62" t="n">
        <f aca="false">AS540*CC540</f>
        <v>1.10714285714286</v>
      </c>
      <c r="AU540" s="63" t="n">
        <f aca="false">IF(LEFT(Cockpit!$I$5,1)="A",H540,IF(CI540=1,(CL540+CJ540)/2,IF(LEFT(Cockpit!$I$5,1)="B",(CL540+AW540)/2,MAX((CL540+AW540)/2,H540))))</f>
        <v>11</v>
      </c>
      <c r="AV540" s="62" t="n">
        <f aca="false">AU540*G540</f>
        <v>96.47</v>
      </c>
      <c r="AW540" s="62" t="n">
        <f aca="false">ROUNDUP(CL540+MAX(CM540,2*(J540/IF(CH540&gt;0,CH540,MAX(0.1,N(Cockpit!$I$6)))-CL540)),0)</f>
        <v>5</v>
      </c>
      <c r="AX540" s="63" t="n">
        <f aca="false">IF(AT540&gt;0,J540/AT540,-1)</f>
        <v>4.51612903225806</v>
      </c>
      <c r="AY540" s="63" t="n">
        <f aca="false">IF(AND(OR(CG540="L1",CG540="L23",CG540="LIFT"),AT540&gt;0),SUMIFS($AT$7:$AT$1843,$CG$7:$CG$1843,CG540,$AX$7:$AX$1843,"&gt;"&amp;AX540)+SUMIFS($AT$7:$AT$1843,$CG$7:$CG$1843,CG540,$AX$7:$AX$1843,AX540,$BX$7:$BX$1843,"&lt;="&amp;BX540),"")</f>
        <v>4745.12225274725</v>
      </c>
      <c r="AZ540" s="70" t="n">
        <f aca="false">IF(AY540="",0,MAX(0,MIN(1,(IF(CG540="L1",Parameter!$H$5,IF(CG540="L23",Parameter!$H$6+Parameter!$H$7,Parameter!$H$5+Parameter!$H$6+Parameter!$H$7))-(AY540-AT540))/AT540)))</f>
        <v>1</v>
      </c>
      <c r="BA540" s="62" t="n">
        <f aca="false">IF(LEFT(Cockpit!$O$5,1)="A",H540,IF(Parameter!$E$30="MAX-Bestand",IF(CI540=1,CJ540,IF(LEFT(Cockpit!$O$5,1)="B",BG540,MAX(BG540,H540))),ROUNDUP(BE540,0)))</f>
        <v>3</v>
      </c>
      <c r="BB540" s="62" t="n">
        <f aca="false">IF(CA540=1,0,ROUNDUP(BA540/BZ540,0))</f>
        <v>1</v>
      </c>
      <c r="BC540" s="64" t="n">
        <f aca="false">IF(CR540&gt;0,CR540*MAX(1,BA540/X540),IF(CA540=1,IF(BA540&lt;=0,0,CE540*MAX(1,IF(H540&gt;0,BA540/H540,1))),IF(R540&gt;0,BB540/R540,0))/MAX(0.1,N(Parameter!$M$21)))</f>
        <v>0.00714285714285714</v>
      </c>
      <c r="BD540" s="62" t="n">
        <f aca="false">BC540*CC540</f>
        <v>1.10714285714286</v>
      </c>
      <c r="BE540" s="63" t="n">
        <f aca="false">IF(LEFT(Cockpit!$O$5,1)="A",H540,IF(CI540=1,(CL540+CJ540)/2,IF(LEFT(Cockpit!$O$5,1)="B",(CL540+BG540)/2,MAX((CL540+BG540)/2,H540))))</f>
        <v>2.5</v>
      </c>
      <c r="BF540" s="62" t="n">
        <f aca="false">BE540*G540</f>
        <v>21.925</v>
      </c>
      <c r="BG540" s="62" t="n">
        <f aca="false">ROUNDUP(CL540+MAX(CM540,2*(J540/IF(CH540&gt;0,CH540,MAX(0.1,N(Cockpit!$O$6)))-CL540)),0)</f>
        <v>5</v>
      </c>
      <c r="BH540" s="63" t="n">
        <f aca="false">IF(BD540&gt;0,J540/BD540,-1)</f>
        <v>4.51612903225806</v>
      </c>
      <c r="BI540" s="63" t="n">
        <f aca="false">IF(AND(OR(CG540="L1",CG540="L23",CG540="LIFT"),BD540&gt;0),SUMIFS($BD$7:$BD$1843,$CG$7:$CG$1843,CG540,$BH$7:$BH$1843,"&gt;"&amp;BH540)+SUMIFS($BD$7:$BD$1843,$CG$7:$CG$1843,CG540,$BH$7:$BH$1843,BH540,$BX$7:$BX$1843,"&lt;="&amp;BX540),"")</f>
        <v>3912.9652014652</v>
      </c>
      <c r="BJ540" s="70" t="n">
        <f aca="false">IF(BI540="",0,MAX(0,MIN(1,(IF(CG540="L1",Parameter!$H$5,IF(CG540="L23",Parameter!$H$6+Parameter!$H$7,Parameter!$H$5+Parameter!$H$6+Parameter!$H$7))-(BI540-BD540))/BD540)))</f>
        <v>1</v>
      </c>
      <c r="BK540" s="60" t="str">
        <f aca="false">IF(AJ540&lt;=0,"",IF(CG540="Aussen","Aussenlager",IF(CG540="-","Nicht im Lift",IF(AP540&gt;=1,"Lift",IF(AP540&lt;=0,"Aussenlager","teilweise")))))</f>
        <v>Lift</v>
      </c>
      <c r="BL540" s="60" t="str">
        <f aca="false">IF(AT540&lt;=0,"",IF(CG540="Aussen","Aussenlager",IF(CG540="-","Nicht im Lift",IF(AZ540&gt;=1,"Lift",IF(AZ540&lt;=0,"Aussenlager","teilweise")))))</f>
        <v>Lift</v>
      </c>
      <c r="BM540" s="60" t="str">
        <f aca="false">IF(BD540&lt;=0,"",IF(CG540="Aussen","Aussenlager",IF(CG540="-","Nicht im Lift",IF(BJ540&gt;=1,"Lift",IF(BJ540&lt;=0,"Aussenlager","teilweise")))))</f>
        <v>Lift</v>
      </c>
      <c r="BN540" s="60" t="str">
        <f aca="false">IF(A540="","",IF(BW540=1,"Neu; ","")&amp;IF(AND(BW540=0,BR540&lt;0),"negativer Bestand (Export "&amp;BR540&amp;"); ","")&amp;IF(J540&lt;=0,"Kein Verbrauch; ","")&amp;IF(CR540&gt;0,"Lift "&amp;W540&amp;" lt. Liftbericht (Fach "&amp;X540&amp;" Stk); ",IF(CB540=1,"Gebinde geschätzt ("&amp;T540&amp;"); ",IF(CA540=1,"Lose – Tablare geschätzt; ","")))&amp;IF(H540&gt;AW540,"Überbestand "&amp;ROUND(H540-AW540,0)&amp;" Stk / CHF "&amp;ROUND((H540-AW540)*G540,0)&amp;"; ","")&amp;IF(AND(CI540=1,CJ540&lt;CK540),"MAX &lt; MB+LG; ","")&amp;IF(AND(CQ540&gt;0,CP540*10&gt;CQ540),"zu hoch für Tablar; ","")&amp;IF(AND(BW540=0,OR(CI540=1,AB540&lt;&gt;"",U540&lt;&gt;"",V540&lt;&gt;"",AC540&lt;&gt;"")),"manuell übersteuert; ","")&amp;IF(AND(CA540=0,R540=0),"Gebinde unbekannt / Stellmass fehlt; ","")&amp;IF(AND(CA540=0,N(V540)&lt;=0,N(Q540)&lt;=0),"Menge pro Gebinde fehlt (Ist = 1 Gebinde); ","")&amp;BV540)</f>
        <v>Überbestand 6 Stk / CHF 53; </v>
      </c>
      <c r="BO540" s="60"/>
      <c r="BP540" s="60"/>
      <c r="BQ540" s="67"/>
      <c r="BR540" s="62" t="n">
        <v>5</v>
      </c>
      <c r="BS540" s="62" t="n">
        <v>6</v>
      </c>
      <c r="BT540" s="61" t="n">
        <v>22.13</v>
      </c>
      <c r="BU540" s="62" t="n">
        <v>5</v>
      </c>
      <c r="BV540" s="60"/>
      <c r="BW540" s="65" t="n">
        <v>0</v>
      </c>
      <c r="BX540" s="65" t="n">
        <v>540</v>
      </c>
      <c r="BY540" s="60" t="str">
        <f aca="false">IF(U540&lt;&gt;"",UPPER(TRIM(U540)),IF(CB540=1,UPPER(VLOOKUP(T540,Parameter!$I$27:$K$29,2,0)),IF(P540="","LOSE",P540)))</f>
        <v>S22</v>
      </c>
      <c r="BZ540" s="62" t="n">
        <f aca="false">IF(BY540="LOSE",1,IF(N(V540)&gt;0,V540,IF(CB540=1,MAX(1,N(VLOOKUP(T540,Parameter!$I$27:$K$29,3,0)),H540,N(N540)),IF(N(Q540)&gt;0,Q540,MAX(1,H540)))))</f>
        <v>13</v>
      </c>
      <c r="CA540" s="65" t="n">
        <f aca="false">IF(BY540="LOSE",1,0)</f>
        <v>0</v>
      </c>
      <c r="CB540" s="65" t="n">
        <f aca="false">IF(AND(U540="",OR(P540="",P540="LOSE"),T540&lt;&gt;"",N(S540)&lt;=0,ISNUMBER(MATCH(T540,Parameter!$I$27:$I$29,0))),1,0)</f>
        <v>0</v>
      </c>
      <c r="CC540" s="65" t="n">
        <f aca="false">IF(CR540&gt;0,INDEX(Parameter!$H$5:$H$7,W540)/INDEX(Parameter!$E$5:$E$7,W540),IF(AND(CA540=0,N(IFERROR(VLOOKUP(BY540,'Gebinde-Kategorie'!$A$5:$N$45,14,0),0))&gt;0),VLOOKUP(BY540,'Gebinde-Kategorie'!$A$5:$N$45,14,0)*10+Parameter!$M$23,Parameter!$M$24))</f>
        <v>155</v>
      </c>
      <c r="CD540" s="60" t="str">
        <f aca="false">IF(AND(Parameter!$B$19="Ja",E540&lt;&gt;"",ISNUMBER(MATCH(E540,Parameter!$I$35:$I$52,0))),VLOOKUP(E540,Parameter!$I$35:$J$52,2,0),IFERROR(VLOOKUP(D540,Parameter!$A$35:$C$64,2,0),"Nein"))</f>
        <v>2+3</v>
      </c>
      <c r="CE540" s="64" t="n">
        <f aca="false">IF(CA540=0,0,IF(N(S540)&gt;0,S540,IFERROR(VLOOKUP(D540,Parameter!$A$35:$C$64,3,0)+0,0)))</f>
        <v>0</v>
      </c>
      <c r="CF540" s="60" t="n">
        <f aca="false">IF(AB540&lt;&gt;"",AB540,AA540)</f>
        <v>1</v>
      </c>
      <c r="CG540" s="60" t="str">
        <f aca="false">IF(OR(CF540=1,CF540=2,CF540=3),IF(Parameter!$E$27="Ja","LIFT",IF(CF540=1,"L1","L23")),IF(CF540="Aussen","Aussen","-"))</f>
        <v>LIFT</v>
      </c>
      <c r="CH540" s="71" t="n">
        <f aca="false">IF(N(AC540)&gt;0,AC540,0)</f>
        <v>0</v>
      </c>
      <c r="CI540" s="65" t="n">
        <f aca="false">IF(ISNUMBER(AF540),1,0)</f>
        <v>0</v>
      </c>
      <c r="CJ540" s="62" t="n">
        <f aca="false">N(AF540)</f>
        <v>0</v>
      </c>
      <c r="CK540" s="62" t="n">
        <f aca="false">N(M540)+N(N540)</f>
        <v>5</v>
      </c>
      <c r="CL540" s="62" t="n">
        <f aca="false">N(M540)</f>
        <v>0</v>
      </c>
      <c r="CM540" s="62" t="n">
        <f aca="false">N(N540)</f>
        <v>5</v>
      </c>
      <c r="CN540" s="62" t="n">
        <f aca="false">ROUNDUP(H540/BZ540,0)</f>
        <v>1</v>
      </c>
      <c r="CO540" s="62" t="n">
        <f aca="false">ROUNDUP(CJ540/BZ540,0)</f>
        <v>0</v>
      </c>
      <c r="CP540" s="65" t="n">
        <f aca="false">IF(CA540=1,0,IFERROR(VLOOKUP(BY540,'Gebinde-Kategorie'!$A$5:$N$45,5,0)+0,0))</f>
        <v>8</v>
      </c>
      <c r="CQ540" s="65" t="n">
        <f aca="false">IFERROR(IF(OR(CF540=1,CF540=2,CF540=3),N(INDEX(Parameter!$I$5:$I$7,CF540)),0),0)</f>
        <v>0</v>
      </c>
      <c r="CR540" s="64" t="n">
        <f aca="false">IF(AND(Parameter!$B$21="Ja",ISNUMBER(W540),N(X540)&gt;0),IFERROR(N(INDEX(Parameter!$L$5:$L$7,W540))*INDEX(Parameter!$E$5:$E$7,W540)*X540/SUMIFS($X$7:$X$1843,$W$7:$W$1843,W540),0),0)</f>
        <v>0</v>
      </c>
      <c r="CS540" s="62" t="n">
        <f aca="false">IF(AND(OR(CG540="L1",CG540="L23",CG540="LIFT"),H540&gt;0),CC540*IF(CR540&gt;0,CR540*MAX(1,H540/X540),IF(CA540=1,CE540,IF(R540&gt;0,CN540/R540,0))/MAX(0.1,N(Parameter!$M$21))),"")</f>
        <v>1.10714285714286</v>
      </c>
      <c r="CT540" s="64" t="n">
        <f aca="false">IF(CS540="","",J540/H540)</f>
        <v>0.454545454545455</v>
      </c>
      <c r="CU540" s="62" t="n">
        <f aca="false">IF(CS540="","",H540*G540)</f>
        <v>96.47</v>
      </c>
      <c r="CV540" s="63" t="n">
        <f aca="false">IF(CS540="","",(CL540+ROUNDUP(CL540+MAX(CM540,2*(J540/MAX(0.1,N(Einkauf!$C$6))-CL540)),0))/2)</f>
        <v>2.5</v>
      </c>
      <c r="CW540" s="62" t="n">
        <f aca="false">IF(CS540="","",MAX(0,H540-CV540)*G540)</f>
        <v>74.545</v>
      </c>
      <c r="CX540" s="62" t="n">
        <f aca="false">IF(CS540="","",CS540*MAX(0,1-CV540/H540))</f>
        <v>0.855519480519481</v>
      </c>
      <c r="CY540" s="64" t="n">
        <f aca="false">IF(CS540="","",PERCENTRANK($CS$7:$CS$1843,CS540)+PERCENTRANK($CU$7:$CU$1843,CU540)+1-PERCENTRANK($CT$7:$CT$1843,CT540))</f>
        <v>0.7424</v>
      </c>
      <c r="CZ540" s="72" t="n">
        <f aca="false">IF(CS540="","",CHOOSE(MATCH(Einkauf!$C$5,Parameter!$G$23:$G$27,0),CY540,CS540,CU540,-CT540,CW540)+ROW()/1000000000)</f>
        <v>0.74240054</v>
      </c>
    </row>
    <row r="541" customFormat="false" ht="15" hidden="false" customHeight="false" outlineLevel="0" collapsed="false">
      <c r="A541" s="60" t="s">
        <v>1203</v>
      </c>
      <c r="B541" s="60" t="s">
        <v>1204</v>
      </c>
      <c r="C541" s="60" t="s">
        <v>209</v>
      </c>
      <c r="D541" s="60" t="s">
        <v>226</v>
      </c>
      <c r="E541" s="60" t="s">
        <v>227</v>
      </c>
      <c r="F541" s="60" t="s">
        <v>260</v>
      </c>
      <c r="G541" s="61" t="n">
        <v>7.21</v>
      </c>
      <c r="H541" s="62" t="n">
        <f aca="false">MAX(0,IF(AND(Parameter!$B$21="Ja",ISNUMBER(Y541)),Y541,IF(Parameter!$B$20="Jahresanfang 2025 + Export",BS541+BR541,BR541)))</f>
        <v>137</v>
      </c>
      <c r="I541" s="62" t="n">
        <f aca="false">H541*G541</f>
        <v>987.77</v>
      </c>
      <c r="J541" s="62" t="n">
        <f aca="false">BU541*Parameter!$B$18</f>
        <v>0</v>
      </c>
      <c r="K541" s="63" t="n">
        <v>135.5</v>
      </c>
      <c r="L541" s="64" t="n">
        <v>0</v>
      </c>
      <c r="M541" s="62" t="n">
        <v>0</v>
      </c>
      <c r="N541" s="62" t="n">
        <v>1</v>
      </c>
      <c r="O541" s="65" t="n">
        <v>56</v>
      </c>
      <c r="P541" s="60" t="s">
        <v>268</v>
      </c>
      <c r="Q541" s="62" t="n">
        <v>137</v>
      </c>
      <c r="R541" s="65" t="n">
        <f aca="false">IF(CA541=1,0,IFERROR(VLOOKUP(BY541,'Gebinde-Kategorie'!$A$5:$N$45,13,0)+0,0))</f>
        <v>12</v>
      </c>
      <c r="S541" s="66"/>
      <c r="T541" s="67"/>
      <c r="U541" s="67"/>
      <c r="V541" s="67"/>
      <c r="W541" s="60"/>
      <c r="X541" s="62"/>
      <c r="Y541" s="62"/>
      <c r="Z541" s="60" t="n">
        <v>3</v>
      </c>
      <c r="AA541" s="60" t="n">
        <f aca="false">IF(A541="","",IF(AND(Parameter!$B$21="Ja",ISNUMBER(W541)),W541,IF(AND(Parameter!$E$27="Ja",ISNUMBER(Z541),CD541&lt;&gt;"Nein"),Z541,IF(CD541="2+3",IF(ISNUMBER(SEARCH("grosser Artikel",BV541)),2,IFERROR(VLOOKUP(BY541,Parameter!$F$35:$G$64,2,0),2)),IF(OR(CD541="Nein",CD541=""),"-",CD541)))))</f>
        <v>3</v>
      </c>
      <c r="AB541" s="67"/>
      <c r="AC541" s="68"/>
      <c r="AD541" s="62" t="n">
        <f aca="false">AW541</f>
        <v>1</v>
      </c>
      <c r="AE541" s="62" t="n">
        <f aca="false">MAX(AW541,H541)</f>
        <v>137</v>
      </c>
      <c r="AF541" s="69"/>
      <c r="AG541" s="62" t="n">
        <f aca="false">IF(LEFT(Cockpit!$C$5,1)="A",H541,IF(Parameter!$E$30="MAX-Bestand",IF(CI541=1,CJ541,IF(LEFT(Cockpit!$C$5,1)="B",AM541,MAX(AM541,H541))),ROUNDUP(AK541,0)))</f>
        <v>137</v>
      </c>
      <c r="AH541" s="62" t="n">
        <f aca="false">IF(CA541=1,0,ROUNDUP(AG541/BZ541,0))</f>
        <v>1</v>
      </c>
      <c r="AI541" s="64" t="n">
        <f aca="false">IF(CR541&gt;0,CR541*MAX(1,AG541/X541),IF(CA541=1,IF(AG541&lt;=0,0,CE541*MAX(1,IF(H541&gt;0,AG541/H541,1))),IF(R541&gt;0,AH541/R541,0))/MAX(0.1,N(Parameter!$M$21)))</f>
        <v>0.0833333333333333</v>
      </c>
      <c r="AJ541" s="62" t="n">
        <f aca="false">AI541*CC541</f>
        <v>28.75</v>
      </c>
      <c r="AK541" s="63" t="n">
        <f aca="false">IF(LEFT(Cockpit!$C$5,1)="A",H541,IF(CI541=1,(CL541+CJ541)/2,IF(LEFT(Cockpit!$C$5,1)="B",(CL541+AM541)/2,MAX((CL541+AM541)/2,H541))))</f>
        <v>137</v>
      </c>
      <c r="AL541" s="62" t="n">
        <f aca="false">AK541*G541</f>
        <v>987.77</v>
      </c>
      <c r="AM541" s="62" t="n">
        <f aca="false">ROUNDUP(CL541+MAX(CM541,2*(J541/IF(CH541&gt;0,CH541,MAX(0.1,N(Cockpit!$C$6)))-CL541)),0)</f>
        <v>1</v>
      </c>
      <c r="AN541" s="63" t="n">
        <f aca="false">IF(AJ541&gt;0,J541/AJ541,-1)</f>
        <v>0</v>
      </c>
      <c r="AO541" s="63" t="n">
        <f aca="false">IF(AND(OR(CG541="L1",CG541="L23",CG541="LIFT"),AJ541&gt;0),SUMIFS($AJ$7:$AJ$1843,$CG$7:$CG$1843,CG541,$AN$7:$AN$1843,"&gt;"&amp;AN541)+SUMIFS($AJ$7:$AJ$1843,$CG$7:$CG$1843,CG541,$AN$7:$AN$1843,AN541,$BX$7:$BX$1843,"&lt;="&amp;BX541),"")</f>
        <v>28381.1375307837</v>
      </c>
      <c r="AP541" s="70" t="n">
        <f aca="false">IF(AO541="",0,MAX(0,MIN(1,(IF(CG541="L1",Parameter!$H$5,IF(CG541="L23",Parameter!$H$6+Parameter!$H$7,Parameter!$H$5+Parameter!$H$6+Parameter!$H$7))-(AO541-AJ541))/AJ541)))</f>
        <v>1</v>
      </c>
      <c r="AQ541" s="62" t="n">
        <f aca="false">IF(LEFT(Cockpit!$I$5,1)="A",H541,IF(Parameter!$E$30="MAX-Bestand",IF(CI541=1,CJ541,IF(LEFT(Cockpit!$I$5,1)="B",AW541,MAX(AW541,H541))),ROUNDUP(AU541,0)))</f>
        <v>137</v>
      </c>
      <c r="AR541" s="62" t="n">
        <f aca="false">IF(CA541=1,0,ROUNDUP(AQ541/BZ541,0))</f>
        <v>1</v>
      </c>
      <c r="AS541" s="64" t="n">
        <f aca="false">IF(CR541&gt;0,CR541*MAX(1,AQ541/X541),IF(CA541=1,IF(AQ541&lt;=0,0,CE541*MAX(1,IF(H541&gt;0,AQ541/H541,1))),IF(R541&gt;0,AR541/R541,0))/MAX(0.1,N(Parameter!$M$21)))</f>
        <v>0.0833333333333333</v>
      </c>
      <c r="AT541" s="62" t="n">
        <f aca="false">AS541*CC541</f>
        <v>28.75</v>
      </c>
      <c r="AU541" s="63" t="n">
        <f aca="false">IF(LEFT(Cockpit!$I$5,1)="A",H541,IF(CI541=1,(CL541+CJ541)/2,IF(LEFT(Cockpit!$I$5,1)="B",(CL541+AW541)/2,MAX((CL541+AW541)/2,H541))))</f>
        <v>137</v>
      </c>
      <c r="AV541" s="62" t="n">
        <f aca="false">AU541*G541</f>
        <v>987.77</v>
      </c>
      <c r="AW541" s="62" t="n">
        <f aca="false">ROUNDUP(CL541+MAX(CM541,2*(J541/IF(CH541&gt;0,CH541,MAX(0.1,N(Cockpit!$I$6)))-CL541)),0)</f>
        <v>1</v>
      </c>
      <c r="AX541" s="63" t="n">
        <f aca="false">IF(AT541&gt;0,J541/AT541,-1)</f>
        <v>0</v>
      </c>
      <c r="AY541" s="63" t="n">
        <f aca="false">IF(AND(OR(CG541="L1",CG541="L23",CG541="LIFT"),AT541&gt;0),SUMIFS($AT$7:$AT$1843,$CG$7:$CG$1843,CG541,$AX$7:$AX$1843,"&gt;"&amp;AX541)+SUMIFS($AT$7:$AT$1843,$CG$7:$CG$1843,CG541,$AX$7:$AX$1843,AX541,$BX$7:$BX$1843,"&lt;="&amp;BX541),"")</f>
        <v>33734.2861721612</v>
      </c>
      <c r="AZ541" s="70" t="n">
        <f aca="false">IF(AY541="",0,MAX(0,MIN(1,(IF(CG541="L1",Parameter!$H$5,IF(CG541="L23",Parameter!$H$6+Parameter!$H$7,Parameter!$H$5+Parameter!$H$6+Parameter!$H$7))-(AY541-AT541))/AT541)))</f>
        <v>1</v>
      </c>
      <c r="BA541" s="62" t="n">
        <f aca="false">IF(LEFT(Cockpit!$O$5,1)="A",H541,IF(Parameter!$E$30="MAX-Bestand",IF(CI541=1,CJ541,IF(LEFT(Cockpit!$O$5,1)="B",BG541,MAX(BG541,H541))),ROUNDUP(BE541,0)))</f>
        <v>1</v>
      </c>
      <c r="BB541" s="62" t="n">
        <f aca="false">IF(CA541=1,0,ROUNDUP(BA541/BZ541,0))</f>
        <v>1</v>
      </c>
      <c r="BC541" s="64" t="n">
        <f aca="false">IF(CR541&gt;0,CR541*MAX(1,BA541/X541),IF(CA541=1,IF(BA541&lt;=0,0,CE541*MAX(1,IF(H541&gt;0,BA541/H541,1))),IF(R541&gt;0,BB541/R541,0))/MAX(0.1,N(Parameter!$M$21)))</f>
        <v>0.0833333333333333</v>
      </c>
      <c r="BD541" s="62" t="n">
        <f aca="false">BC541*CC541</f>
        <v>28.75</v>
      </c>
      <c r="BE541" s="63" t="n">
        <f aca="false">IF(LEFT(Cockpit!$O$5,1)="A",H541,IF(CI541=1,(CL541+CJ541)/2,IF(LEFT(Cockpit!$O$5,1)="B",(CL541+BG541)/2,MAX((CL541+BG541)/2,H541))))</f>
        <v>0.5</v>
      </c>
      <c r="BF541" s="62" t="n">
        <f aca="false">BE541*G541</f>
        <v>3.605</v>
      </c>
      <c r="BG541" s="62" t="n">
        <f aca="false">ROUNDUP(CL541+MAX(CM541,2*(J541/IF(CH541&gt;0,CH541,MAX(0.1,N(Cockpit!$O$6)))-CL541)),0)</f>
        <v>1</v>
      </c>
      <c r="BH541" s="63" t="n">
        <f aca="false">IF(BD541&gt;0,J541/BD541,-1)</f>
        <v>0</v>
      </c>
      <c r="BI541" s="63" t="n">
        <f aca="false">IF(AND(OR(CG541="L1",CG541="L23",CG541="LIFT"),BD541&gt;0),SUMIFS($BD$7:$BD$1843,$CG$7:$CG$1843,CG541,$BH$7:$BH$1843,"&gt;"&amp;BH541)+SUMIFS($BD$7:$BD$1843,$CG$7:$CG$1843,CG541,$BH$7:$BH$1843,BH541,$BX$7:$BX$1843,"&lt;="&amp;BX541),"")</f>
        <v>27812.722868939</v>
      </c>
      <c r="BJ541" s="70" t="n">
        <f aca="false">IF(BI541="",0,MAX(0,MIN(1,(IF(CG541="L1",Parameter!$H$5,IF(CG541="L23",Parameter!$H$6+Parameter!$H$7,Parameter!$H$5+Parameter!$H$6+Parameter!$H$7))-(BI541-BD541))/BD541)))</f>
        <v>1</v>
      </c>
      <c r="BK541" s="60" t="str">
        <f aca="false">IF(AJ541&lt;=0,"",IF(CG541="Aussen","Aussenlager",IF(CG541="-","Nicht im Lift",IF(AP541&gt;=1,"Lift",IF(AP541&lt;=0,"Aussenlager","teilweise")))))</f>
        <v>Lift</v>
      </c>
      <c r="BL541" s="60" t="str">
        <f aca="false">IF(AT541&lt;=0,"",IF(CG541="Aussen","Aussenlager",IF(CG541="-","Nicht im Lift",IF(AZ541&gt;=1,"Lift",IF(AZ541&lt;=0,"Aussenlager","teilweise")))))</f>
        <v>Lift</v>
      </c>
      <c r="BM541" s="60" t="str">
        <f aca="false">IF(BD541&lt;=0,"",IF(CG541="Aussen","Aussenlager",IF(CG541="-","Nicht im Lift",IF(BJ541&gt;=1,"Lift",IF(BJ541&lt;=0,"Aussenlager","teilweise")))))</f>
        <v>Lift</v>
      </c>
      <c r="BN541" s="60" t="str">
        <f aca="false">IF(A541="","",IF(BW541=1,"Neu; ","")&amp;IF(AND(BW541=0,BR541&lt;0),"negativer Bestand (Export "&amp;BR541&amp;"); ","")&amp;IF(J541&lt;=0,"Kein Verbrauch; ","")&amp;IF(CR541&gt;0,"Lift "&amp;W541&amp;" lt. Liftbericht (Fach "&amp;X541&amp;" Stk); ",IF(CB541=1,"Gebinde geschätzt ("&amp;T541&amp;"); ",IF(CA541=1,"Lose – Tablare geschätzt; ","")))&amp;IF(H541&gt;AW541,"Überbestand "&amp;ROUND(H541-AW541,0)&amp;" Stk / CHF "&amp;ROUND((H541-AW541)*G541,0)&amp;"; ","")&amp;IF(AND(CI541=1,CJ541&lt;CK541),"MAX &lt; MB+LG; ","")&amp;IF(AND(CQ541&gt;0,CP541*10&gt;CQ541),"zu hoch für Tablar; ","")&amp;IF(AND(BW541=0,OR(CI541=1,AB541&lt;&gt;"",U541&lt;&gt;"",V541&lt;&gt;"",AC541&lt;&gt;"")),"manuell übersteuert; ","")&amp;IF(AND(CA541=0,R541=0),"Gebinde unbekannt / Stellmass fehlt; ","")&amp;IF(AND(CA541=0,N(V541)&lt;=0,N(Q541)&lt;=0),"Menge pro Gebinde fehlt (Ist = 1 Gebinde); ","")&amp;BV541)</f>
        <v>Kein Verbrauch; Überbestand 136 Stk / CHF 981; </v>
      </c>
      <c r="BO541" s="60"/>
      <c r="BP541" s="60"/>
      <c r="BQ541" s="67"/>
      <c r="BR541" s="62" t="n">
        <v>3</v>
      </c>
      <c r="BS541" s="62" t="n">
        <v>134</v>
      </c>
      <c r="BT541" s="61" t="n">
        <v>21.63</v>
      </c>
      <c r="BU541" s="62" t="n">
        <v>0</v>
      </c>
      <c r="BV541" s="60"/>
      <c r="BW541" s="65" t="n">
        <v>0</v>
      </c>
      <c r="BX541" s="65" t="n">
        <v>541</v>
      </c>
      <c r="BY541" s="60" t="str">
        <f aca="false">IF(U541&lt;&gt;"",UPPER(TRIM(U541)),IF(CB541=1,UPPER(VLOOKUP(T541,Parameter!$I$27:$K$29,2,0)),IF(P541="","LOSE",P541)))</f>
        <v>S63</v>
      </c>
      <c r="BZ541" s="62" t="n">
        <f aca="false">IF(BY541="LOSE",1,IF(N(V541)&gt;0,V541,IF(CB541=1,MAX(1,N(VLOOKUP(T541,Parameter!$I$27:$K$29,3,0)),H541,N(N541)),IF(N(Q541)&gt;0,Q541,MAX(1,H541)))))</f>
        <v>137</v>
      </c>
      <c r="CA541" s="65" t="n">
        <f aca="false">IF(BY541="LOSE",1,0)</f>
        <v>0</v>
      </c>
      <c r="CB541" s="65" t="n">
        <f aca="false">IF(AND(U541="",OR(P541="",P541="LOSE"),T541&lt;&gt;"",N(S541)&lt;=0,ISNUMBER(MATCH(T541,Parameter!$I$27:$I$29,0))),1,0)</f>
        <v>0</v>
      </c>
      <c r="CC541" s="65" t="n">
        <f aca="false">IF(CR541&gt;0,INDEX(Parameter!$H$5:$H$7,W541)/INDEX(Parameter!$E$5:$E$7,W541),IF(AND(CA541=0,N(IFERROR(VLOOKUP(BY541,'Gebinde-Kategorie'!$A$5:$N$45,14,0),0))&gt;0),VLOOKUP(BY541,'Gebinde-Kategorie'!$A$5:$N$45,14,0)*10+Parameter!$M$23,Parameter!$M$24))</f>
        <v>345</v>
      </c>
      <c r="CD541" s="60" t="str">
        <f aca="false">IF(AND(Parameter!$B$19="Ja",E541&lt;&gt;"",ISNUMBER(MATCH(E541,Parameter!$I$35:$I$52,0))),VLOOKUP(E541,Parameter!$I$35:$J$52,2,0),IFERROR(VLOOKUP(D541,Parameter!$A$35:$C$64,2,0),"Nein"))</f>
        <v>2+3</v>
      </c>
      <c r="CE541" s="64" t="n">
        <f aca="false">IF(CA541=0,0,IF(N(S541)&gt;0,S541,IFERROR(VLOOKUP(D541,Parameter!$A$35:$C$64,3,0)+0,0)))</f>
        <v>0</v>
      </c>
      <c r="CF541" s="60" t="n">
        <f aca="false">IF(AB541&lt;&gt;"",AB541,AA541)</f>
        <v>3</v>
      </c>
      <c r="CG541" s="60" t="str">
        <f aca="false">IF(OR(CF541=1,CF541=2,CF541=3),IF(Parameter!$E$27="Ja","LIFT",IF(CF541=1,"L1","L23")),IF(CF541="Aussen","Aussen","-"))</f>
        <v>LIFT</v>
      </c>
      <c r="CH541" s="71" t="n">
        <f aca="false">IF(N(AC541)&gt;0,AC541,0)</f>
        <v>0</v>
      </c>
      <c r="CI541" s="65" t="n">
        <f aca="false">IF(ISNUMBER(AF541),1,0)</f>
        <v>0</v>
      </c>
      <c r="CJ541" s="62" t="n">
        <f aca="false">N(AF541)</f>
        <v>0</v>
      </c>
      <c r="CK541" s="62" t="n">
        <f aca="false">N(M541)+N(N541)</f>
        <v>1</v>
      </c>
      <c r="CL541" s="62" t="n">
        <f aca="false">N(M541)</f>
        <v>0</v>
      </c>
      <c r="CM541" s="62" t="n">
        <f aca="false">N(N541)</f>
        <v>1</v>
      </c>
      <c r="CN541" s="62" t="n">
        <f aca="false">ROUNDUP(H541/BZ541,0)</f>
        <v>1</v>
      </c>
      <c r="CO541" s="62" t="n">
        <f aca="false">ROUNDUP(CJ541/BZ541,0)</f>
        <v>0</v>
      </c>
      <c r="CP541" s="65" t="n">
        <f aca="false">IF(CA541=1,0,IFERROR(VLOOKUP(BY541,'Gebinde-Kategorie'!$A$5:$N$45,5,0)+0,0))</f>
        <v>31</v>
      </c>
      <c r="CQ541" s="65" t="n">
        <f aca="false">IFERROR(IF(OR(CF541=1,CF541=2,CF541=3),N(INDEX(Parameter!$I$5:$I$7,CF541)),0),0)</f>
        <v>0</v>
      </c>
      <c r="CR541" s="64" t="n">
        <f aca="false">IF(AND(Parameter!$B$21="Ja",ISNUMBER(W541),N(X541)&gt;0),IFERROR(N(INDEX(Parameter!$L$5:$L$7,W541))*INDEX(Parameter!$E$5:$E$7,W541)*X541/SUMIFS($X$7:$X$1843,$W$7:$W$1843,W541),0),0)</f>
        <v>0</v>
      </c>
      <c r="CS541" s="62" t="n">
        <f aca="false">IF(AND(OR(CG541="L1",CG541="L23",CG541="LIFT"),H541&gt;0),CC541*IF(CR541&gt;0,CR541*MAX(1,H541/X541),IF(CA541=1,CE541,IF(R541&gt;0,CN541/R541,0))/MAX(0.1,N(Parameter!$M$21))),"")</f>
        <v>28.75</v>
      </c>
      <c r="CT541" s="64" t="n">
        <f aca="false">IF(CS541="","",J541/H541)</f>
        <v>0</v>
      </c>
      <c r="CU541" s="62" t="n">
        <f aca="false">IF(CS541="","",H541*G541)</f>
        <v>987.77</v>
      </c>
      <c r="CV541" s="63" t="n">
        <f aca="false">IF(CS541="","",(CL541+ROUNDUP(CL541+MAX(CM541,2*(J541/MAX(0.1,N(Einkauf!$C$6))-CL541)),0))/2)</f>
        <v>0.5</v>
      </c>
      <c r="CW541" s="62" t="n">
        <f aca="false">IF(CS541="","",MAX(0,H541-CV541)*G541)</f>
        <v>984.165</v>
      </c>
      <c r="CX541" s="62" t="n">
        <f aca="false">IF(CS541="","",CS541*MAX(0,1-CV541/H541))</f>
        <v>28.6450729927007</v>
      </c>
      <c r="CY541" s="64" t="n">
        <f aca="false">IF(CS541="","",PERCENTRANK($CS$7:$CS$1843,CS541)+PERCENTRANK($CU$7:$CU$1843,CU541)+1-PERCENTRANK($CT$7:$CT$1843,CT541))</f>
        <v>2.47</v>
      </c>
      <c r="CZ541" s="72" t="n">
        <f aca="false">IF(CS541="","",CHOOSE(MATCH(Einkauf!$C$5,Parameter!$G$23:$G$27,0),CY541,CS541,CU541,-CT541,CW541)+ROW()/1000000000)</f>
        <v>2.470000541</v>
      </c>
    </row>
    <row r="542" customFormat="false" ht="15" hidden="false" customHeight="false" outlineLevel="0" collapsed="false">
      <c r="A542" s="60" t="s">
        <v>1205</v>
      </c>
      <c r="B542" s="60" t="s">
        <v>640</v>
      </c>
      <c r="C542" s="60" t="s">
        <v>206</v>
      </c>
      <c r="D542" s="60" t="s">
        <v>226</v>
      </c>
      <c r="E542" s="60" t="s">
        <v>227</v>
      </c>
      <c r="F542" s="60" t="s">
        <v>260</v>
      </c>
      <c r="G542" s="61" t="n">
        <v>20.09</v>
      </c>
      <c r="H542" s="62" t="n">
        <f aca="false">MAX(0,IF(AND(Parameter!$B$21="Ja",ISNUMBER(Y542)),Y542,IF(Parameter!$B$20="Jahresanfang 2025 + Export",BS542+BR542,BR542)))</f>
        <v>102</v>
      </c>
      <c r="I542" s="62" t="n">
        <f aca="false">H542*G542</f>
        <v>2049.18</v>
      </c>
      <c r="J542" s="62" t="n">
        <f aca="false">BU542*Parameter!$B$18</f>
        <v>0</v>
      </c>
      <c r="K542" s="63" t="n">
        <v>101.5</v>
      </c>
      <c r="L542" s="64" t="n">
        <v>0</v>
      </c>
      <c r="M542" s="62" t="n">
        <v>0</v>
      </c>
      <c r="N542" s="62" t="n">
        <v>1</v>
      </c>
      <c r="O542" s="65" t="n">
        <v>28</v>
      </c>
      <c r="P542" s="60" t="s">
        <v>344</v>
      </c>
      <c r="Q542" s="62" t="n">
        <v>120</v>
      </c>
      <c r="R542" s="65" t="n">
        <f aca="false">IF(CA542=1,0,IFERROR(VLOOKUP(BY542,'Gebinde-Kategorie'!$A$5:$N$45,13,0)+0,0))</f>
        <v>26</v>
      </c>
      <c r="S542" s="66"/>
      <c r="T542" s="67"/>
      <c r="U542" s="67"/>
      <c r="V542" s="67"/>
      <c r="W542" s="60"/>
      <c r="X542" s="62"/>
      <c r="Y542" s="62"/>
      <c r="Z542" s="60" t="n">
        <v>3</v>
      </c>
      <c r="AA542" s="60" t="n">
        <f aca="false">IF(A542="","",IF(AND(Parameter!$B$21="Ja",ISNUMBER(W542)),W542,IF(AND(Parameter!$E$27="Ja",ISNUMBER(Z542),CD542&lt;&gt;"Nein"),Z542,IF(CD542="2+3",IF(ISNUMBER(SEARCH("grosser Artikel",BV542)),2,IFERROR(VLOOKUP(BY542,Parameter!$F$35:$G$64,2,0),2)),IF(OR(CD542="Nein",CD542=""),"-",CD542)))))</f>
        <v>3</v>
      </c>
      <c r="AB542" s="67"/>
      <c r="AC542" s="68"/>
      <c r="AD542" s="62" t="n">
        <f aca="false">AW542</f>
        <v>1</v>
      </c>
      <c r="AE542" s="62" t="n">
        <f aca="false">MAX(AW542,H542)</f>
        <v>102</v>
      </c>
      <c r="AF542" s="69"/>
      <c r="AG542" s="62" t="n">
        <f aca="false">IF(LEFT(Cockpit!$C$5,1)="A",H542,IF(Parameter!$E$30="MAX-Bestand",IF(CI542=1,CJ542,IF(LEFT(Cockpit!$C$5,1)="B",AM542,MAX(AM542,H542))),ROUNDUP(AK542,0)))</f>
        <v>102</v>
      </c>
      <c r="AH542" s="62" t="n">
        <f aca="false">IF(CA542=1,0,ROUNDUP(AG542/BZ542,0))</f>
        <v>1</v>
      </c>
      <c r="AI542" s="64" t="n">
        <f aca="false">IF(CR542&gt;0,CR542*MAX(1,AG542/X542),IF(CA542=1,IF(AG542&lt;=0,0,CE542*MAX(1,IF(H542&gt;0,AG542/H542,1))),IF(R542&gt;0,AH542/R542,0))/MAX(0.1,N(Parameter!$M$21)))</f>
        <v>0.0384615384615385</v>
      </c>
      <c r="AJ542" s="62" t="n">
        <f aca="false">AI542*CC542</f>
        <v>5.96153846153846</v>
      </c>
      <c r="AK542" s="63" t="n">
        <f aca="false">IF(LEFT(Cockpit!$C$5,1)="A",H542,IF(CI542=1,(CL542+CJ542)/2,IF(LEFT(Cockpit!$C$5,1)="B",(CL542+AM542)/2,MAX((CL542+AM542)/2,H542))))</f>
        <v>102</v>
      </c>
      <c r="AL542" s="62" t="n">
        <f aca="false">AK542*G542</f>
        <v>2049.18</v>
      </c>
      <c r="AM542" s="62" t="n">
        <f aca="false">ROUNDUP(CL542+MAX(CM542,2*(J542/IF(CH542&gt;0,CH542,MAX(0.1,N(Cockpit!$C$6)))-CL542)),0)</f>
        <v>1</v>
      </c>
      <c r="AN542" s="63" t="n">
        <f aca="false">IF(AJ542&gt;0,J542/AJ542,-1)</f>
        <v>0</v>
      </c>
      <c r="AO542" s="63" t="n">
        <f aca="false">IF(AND(OR(CG542="L1",CG542="L23",CG542="LIFT"),AJ542&gt;0),SUMIFS($AJ$7:$AJ$1843,$CG$7:$CG$1843,CG542,$AN$7:$AN$1843,"&gt;"&amp;AN542)+SUMIFS($AJ$7:$AJ$1843,$CG$7:$CG$1843,CG542,$AN$7:$AN$1843,AN542,$BX$7:$BX$1843,"&lt;="&amp;BX542),"")</f>
        <v>28387.0990692453</v>
      </c>
      <c r="AP542" s="70" t="n">
        <f aca="false">IF(AO542="",0,MAX(0,MIN(1,(IF(CG542="L1",Parameter!$H$5,IF(CG542="L23",Parameter!$H$6+Parameter!$H$7,Parameter!$H$5+Parameter!$H$6+Parameter!$H$7))-(AO542-AJ542))/AJ542)))</f>
        <v>1</v>
      </c>
      <c r="AQ542" s="62" t="n">
        <f aca="false">IF(LEFT(Cockpit!$I$5,1)="A",H542,IF(Parameter!$E$30="MAX-Bestand",IF(CI542=1,CJ542,IF(LEFT(Cockpit!$I$5,1)="B",AW542,MAX(AW542,H542))),ROUNDUP(AU542,0)))</f>
        <v>102</v>
      </c>
      <c r="AR542" s="62" t="n">
        <f aca="false">IF(CA542=1,0,ROUNDUP(AQ542/BZ542,0))</f>
        <v>1</v>
      </c>
      <c r="AS542" s="64" t="n">
        <f aca="false">IF(CR542&gt;0,CR542*MAX(1,AQ542/X542),IF(CA542=1,IF(AQ542&lt;=0,0,CE542*MAX(1,IF(H542&gt;0,AQ542/H542,1))),IF(R542&gt;0,AR542/R542,0))/MAX(0.1,N(Parameter!$M$21)))</f>
        <v>0.0384615384615385</v>
      </c>
      <c r="AT542" s="62" t="n">
        <f aca="false">AS542*CC542</f>
        <v>5.96153846153846</v>
      </c>
      <c r="AU542" s="63" t="n">
        <f aca="false">IF(LEFT(Cockpit!$I$5,1)="A",H542,IF(CI542=1,(CL542+CJ542)/2,IF(LEFT(Cockpit!$I$5,1)="B",(CL542+AW542)/2,MAX((CL542+AW542)/2,H542))))</f>
        <v>102</v>
      </c>
      <c r="AV542" s="62" t="n">
        <f aca="false">AU542*G542</f>
        <v>2049.18</v>
      </c>
      <c r="AW542" s="62" t="n">
        <f aca="false">ROUNDUP(CL542+MAX(CM542,2*(J542/IF(CH542&gt;0,CH542,MAX(0.1,N(Cockpit!$I$6)))-CL542)),0)</f>
        <v>1</v>
      </c>
      <c r="AX542" s="63" t="n">
        <f aca="false">IF(AT542&gt;0,J542/AT542,-1)</f>
        <v>0</v>
      </c>
      <c r="AY542" s="63" t="n">
        <f aca="false">IF(AND(OR(CG542="L1",CG542="L23",CG542="LIFT"),AT542&gt;0),SUMIFS($AT$7:$AT$1843,$CG$7:$CG$1843,CG542,$AX$7:$AX$1843,"&gt;"&amp;AX542)+SUMIFS($AT$7:$AT$1843,$CG$7:$CG$1843,CG542,$AX$7:$AX$1843,AX542,$BX$7:$BX$1843,"&lt;="&amp;BX542),"")</f>
        <v>33740.2477106227</v>
      </c>
      <c r="AZ542" s="70" t="n">
        <f aca="false">IF(AY542="",0,MAX(0,MIN(1,(IF(CG542="L1",Parameter!$H$5,IF(CG542="L23",Parameter!$H$6+Parameter!$H$7,Parameter!$H$5+Parameter!$H$6+Parameter!$H$7))-(AY542-AT542))/AT542)))</f>
        <v>1</v>
      </c>
      <c r="BA542" s="62" t="n">
        <f aca="false">IF(LEFT(Cockpit!$O$5,1)="A",H542,IF(Parameter!$E$30="MAX-Bestand",IF(CI542=1,CJ542,IF(LEFT(Cockpit!$O$5,1)="B",BG542,MAX(BG542,H542))),ROUNDUP(BE542,0)))</f>
        <v>1</v>
      </c>
      <c r="BB542" s="62" t="n">
        <f aca="false">IF(CA542=1,0,ROUNDUP(BA542/BZ542,0))</f>
        <v>1</v>
      </c>
      <c r="BC542" s="64" t="n">
        <f aca="false">IF(CR542&gt;0,CR542*MAX(1,BA542/X542),IF(CA542=1,IF(BA542&lt;=0,0,CE542*MAX(1,IF(H542&gt;0,BA542/H542,1))),IF(R542&gt;0,BB542/R542,0))/MAX(0.1,N(Parameter!$M$21)))</f>
        <v>0.0384615384615385</v>
      </c>
      <c r="BD542" s="62" t="n">
        <f aca="false">BC542*CC542</f>
        <v>5.96153846153846</v>
      </c>
      <c r="BE542" s="63" t="n">
        <f aca="false">IF(LEFT(Cockpit!$O$5,1)="A",H542,IF(CI542=1,(CL542+CJ542)/2,IF(LEFT(Cockpit!$O$5,1)="B",(CL542+BG542)/2,MAX((CL542+BG542)/2,H542))))</f>
        <v>0.5</v>
      </c>
      <c r="BF542" s="62" t="n">
        <f aca="false">BE542*G542</f>
        <v>10.045</v>
      </c>
      <c r="BG542" s="62" t="n">
        <f aca="false">ROUNDUP(CL542+MAX(CM542,2*(J542/IF(CH542&gt;0,CH542,MAX(0.1,N(Cockpit!$O$6)))-CL542)),0)</f>
        <v>1</v>
      </c>
      <c r="BH542" s="63" t="n">
        <f aca="false">IF(BD542&gt;0,J542/BD542,-1)</f>
        <v>0</v>
      </c>
      <c r="BI542" s="63" t="n">
        <f aca="false">IF(AND(OR(CG542="L1",CG542="L23",CG542="LIFT"),BD542&gt;0),SUMIFS($BD$7:$BD$1843,$CG$7:$CG$1843,CG542,$BH$7:$BH$1843,"&gt;"&amp;BH542)+SUMIFS($BD$7:$BD$1843,$CG$7:$CG$1843,CG542,$BH$7:$BH$1843,BH542,$BX$7:$BX$1843,"&lt;="&amp;BX542),"")</f>
        <v>27818.6844074005</v>
      </c>
      <c r="BJ542" s="70" t="n">
        <f aca="false">IF(BI542="",0,MAX(0,MIN(1,(IF(CG542="L1",Parameter!$H$5,IF(CG542="L23",Parameter!$H$6+Parameter!$H$7,Parameter!$H$5+Parameter!$H$6+Parameter!$H$7))-(BI542-BD542))/BD542)))</f>
        <v>1</v>
      </c>
      <c r="BK542" s="60" t="str">
        <f aca="false">IF(AJ542&lt;=0,"",IF(CG542="Aussen","Aussenlager",IF(CG542="-","Nicht im Lift",IF(AP542&gt;=1,"Lift",IF(AP542&lt;=0,"Aussenlager","teilweise")))))</f>
        <v>Lift</v>
      </c>
      <c r="BL542" s="60" t="str">
        <f aca="false">IF(AT542&lt;=0,"",IF(CG542="Aussen","Aussenlager",IF(CG542="-","Nicht im Lift",IF(AZ542&gt;=1,"Lift",IF(AZ542&lt;=0,"Aussenlager","teilweise")))))</f>
        <v>Lift</v>
      </c>
      <c r="BM542" s="60" t="str">
        <f aca="false">IF(BD542&lt;=0,"",IF(CG542="Aussen","Aussenlager",IF(CG542="-","Nicht im Lift",IF(BJ542&gt;=1,"Lift",IF(BJ542&lt;=0,"Aussenlager","teilweise")))))</f>
        <v>Lift</v>
      </c>
      <c r="BN542" s="60" t="str">
        <f aca="false">IF(A542="","",IF(BW542=1,"Neu; ","")&amp;IF(AND(BW542=0,BR542&lt;0),"negativer Bestand (Export "&amp;BR542&amp;"); ","")&amp;IF(J542&lt;=0,"Kein Verbrauch; ","")&amp;IF(CR542&gt;0,"Lift "&amp;W542&amp;" lt. Liftbericht (Fach "&amp;X542&amp;" Stk); ",IF(CB542=1,"Gebinde geschätzt ("&amp;T542&amp;"); ",IF(CA542=1,"Lose – Tablare geschätzt; ","")))&amp;IF(H542&gt;AW542,"Überbestand "&amp;ROUND(H542-AW542,0)&amp;" Stk / CHF "&amp;ROUND((H542-AW542)*G542,0)&amp;"; ","")&amp;IF(AND(CI542=1,CJ542&lt;CK542),"MAX &lt; MB+LG; ","")&amp;IF(AND(CQ542&gt;0,CP542*10&gt;CQ542),"zu hoch für Tablar; ","")&amp;IF(AND(BW542=0,OR(CI542=1,AB542&lt;&gt;"",U542&lt;&gt;"",V542&lt;&gt;"",AC542&lt;&gt;"")),"manuell übersteuert; ","")&amp;IF(AND(CA542=0,R542=0),"Gebinde unbekannt / Stellmass fehlt; ","")&amp;IF(AND(CA542=0,N(V542)&lt;=0,N(Q542)&lt;=0),"Menge pro Gebinde fehlt (Ist = 1 Gebinde); ","")&amp;BV542)</f>
        <v>Kein Verbrauch; Überbestand 101 Stk / CHF 2029; Überbestand</v>
      </c>
      <c r="BO542" s="60"/>
      <c r="BP542" s="60"/>
      <c r="BQ542" s="67"/>
      <c r="BR542" s="62" t="n">
        <v>1</v>
      </c>
      <c r="BS542" s="62" t="n">
        <v>101</v>
      </c>
      <c r="BT542" s="61" t="n">
        <v>20.09</v>
      </c>
      <c r="BU542" s="62" t="n">
        <v>0</v>
      </c>
      <c r="BV542" s="60" t="s">
        <v>434</v>
      </c>
      <c r="BW542" s="65" t="n">
        <v>0</v>
      </c>
      <c r="BX542" s="65" t="n">
        <v>542</v>
      </c>
      <c r="BY542" s="60" t="str">
        <f aca="false">IF(U542&lt;&gt;"",UPPER(TRIM(U542)),IF(CB542=1,UPPER(VLOOKUP(T542,Parameter!$I$27:$K$29,2,0)),IF(P542="","LOSE",P542)))</f>
        <v>S51</v>
      </c>
      <c r="BZ542" s="62" t="n">
        <f aca="false">IF(BY542="LOSE",1,IF(N(V542)&gt;0,V542,IF(CB542=1,MAX(1,N(VLOOKUP(T542,Parameter!$I$27:$K$29,3,0)),H542,N(N542)),IF(N(Q542)&gt;0,Q542,MAX(1,H542)))))</f>
        <v>120</v>
      </c>
      <c r="CA542" s="65" t="n">
        <f aca="false">IF(BY542="LOSE",1,0)</f>
        <v>0</v>
      </c>
      <c r="CB542" s="65" t="n">
        <f aca="false">IF(AND(U542="",OR(P542="",P542="LOSE"),T542&lt;&gt;"",N(S542)&lt;=0,ISNUMBER(MATCH(T542,Parameter!$I$27:$I$29,0))),1,0)</f>
        <v>0</v>
      </c>
      <c r="CC542" s="65" t="n">
        <f aca="false">IF(CR542&gt;0,INDEX(Parameter!$H$5:$H$7,W542)/INDEX(Parameter!$E$5:$E$7,W542),IF(AND(CA542=0,N(IFERROR(VLOOKUP(BY542,'Gebinde-Kategorie'!$A$5:$N$45,14,0),0))&gt;0),VLOOKUP(BY542,'Gebinde-Kategorie'!$A$5:$N$45,14,0)*10+Parameter!$M$23,Parameter!$M$24))</f>
        <v>155</v>
      </c>
      <c r="CD542" s="60" t="str">
        <f aca="false">IF(AND(Parameter!$B$19="Ja",E542&lt;&gt;"",ISNUMBER(MATCH(E542,Parameter!$I$35:$I$52,0))),VLOOKUP(E542,Parameter!$I$35:$J$52,2,0),IFERROR(VLOOKUP(D542,Parameter!$A$35:$C$64,2,0),"Nein"))</f>
        <v>2+3</v>
      </c>
      <c r="CE542" s="64" t="n">
        <f aca="false">IF(CA542=0,0,IF(N(S542)&gt;0,S542,IFERROR(VLOOKUP(D542,Parameter!$A$35:$C$64,3,0)+0,0)))</f>
        <v>0</v>
      </c>
      <c r="CF542" s="60" t="n">
        <f aca="false">IF(AB542&lt;&gt;"",AB542,AA542)</f>
        <v>3</v>
      </c>
      <c r="CG542" s="60" t="str">
        <f aca="false">IF(OR(CF542=1,CF542=2,CF542=3),IF(Parameter!$E$27="Ja","LIFT",IF(CF542=1,"L1","L23")),IF(CF542="Aussen","Aussen","-"))</f>
        <v>LIFT</v>
      </c>
      <c r="CH542" s="71" t="n">
        <f aca="false">IF(N(AC542)&gt;0,AC542,0)</f>
        <v>0</v>
      </c>
      <c r="CI542" s="65" t="n">
        <f aca="false">IF(ISNUMBER(AF542),1,0)</f>
        <v>0</v>
      </c>
      <c r="CJ542" s="62" t="n">
        <f aca="false">N(AF542)</f>
        <v>0</v>
      </c>
      <c r="CK542" s="62" t="n">
        <f aca="false">N(M542)+N(N542)</f>
        <v>1</v>
      </c>
      <c r="CL542" s="62" t="n">
        <f aca="false">N(M542)</f>
        <v>0</v>
      </c>
      <c r="CM542" s="62" t="n">
        <f aca="false">N(N542)</f>
        <v>1</v>
      </c>
      <c r="CN542" s="62" t="n">
        <f aca="false">ROUNDUP(H542/BZ542,0)</f>
        <v>1</v>
      </c>
      <c r="CO542" s="62" t="n">
        <f aca="false">ROUNDUP(CJ542/BZ542,0)</f>
        <v>0</v>
      </c>
      <c r="CP542" s="65" t="n">
        <f aca="false">IF(CA542=1,0,IFERROR(VLOOKUP(BY542,'Gebinde-Kategorie'!$A$5:$N$45,5,0)+0,0))</f>
        <v>11</v>
      </c>
      <c r="CQ542" s="65" t="n">
        <f aca="false">IFERROR(IF(OR(CF542=1,CF542=2,CF542=3),N(INDEX(Parameter!$I$5:$I$7,CF542)),0),0)</f>
        <v>0</v>
      </c>
      <c r="CR542" s="64" t="n">
        <f aca="false">IF(AND(Parameter!$B$21="Ja",ISNUMBER(W542),N(X542)&gt;0),IFERROR(N(INDEX(Parameter!$L$5:$L$7,W542))*INDEX(Parameter!$E$5:$E$7,W542)*X542/SUMIFS($X$7:$X$1843,$W$7:$W$1843,W542),0),0)</f>
        <v>0</v>
      </c>
      <c r="CS542" s="62" t="n">
        <f aca="false">IF(AND(OR(CG542="L1",CG542="L23",CG542="LIFT"),H542&gt;0),CC542*IF(CR542&gt;0,CR542*MAX(1,H542/X542),IF(CA542=1,CE542,IF(R542&gt;0,CN542/R542,0))/MAX(0.1,N(Parameter!$M$21))),"")</f>
        <v>5.96153846153846</v>
      </c>
      <c r="CT542" s="64" t="n">
        <f aca="false">IF(CS542="","",J542/H542)</f>
        <v>0</v>
      </c>
      <c r="CU542" s="62" t="n">
        <f aca="false">IF(CS542="","",H542*G542)</f>
        <v>2049.18</v>
      </c>
      <c r="CV542" s="63" t="n">
        <f aca="false">IF(CS542="","",(CL542+ROUNDUP(CL542+MAX(CM542,2*(J542/MAX(0.1,N(Einkauf!$C$6))-CL542)),0))/2)</f>
        <v>0.5</v>
      </c>
      <c r="CW542" s="62" t="n">
        <f aca="false">IF(CS542="","",MAX(0,H542-CV542)*G542)</f>
        <v>2039.135</v>
      </c>
      <c r="CX542" s="62" t="n">
        <f aca="false">IF(CS542="","",CS542*MAX(0,1-CV542/H542))</f>
        <v>5.93231523378582</v>
      </c>
      <c r="CY542" s="64" t="n">
        <f aca="false">IF(CS542="","",PERCENTRANK($CS$7:$CS$1843,CS542)+PERCENTRANK($CU$7:$CU$1843,CU542)+1-PERCENTRANK($CT$7:$CT$1843,CT542))</f>
        <v>2.132</v>
      </c>
      <c r="CZ542" s="72" t="n">
        <f aca="false">IF(CS542="","",CHOOSE(MATCH(Einkauf!$C$5,Parameter!$G$23:$G$27,0),CY542,CS542,CU542,-CT542,CW542)+ROW()/1000000000)</f>
        <v>2.132000542</v>
      </c>
    </row>
    <row r="543" customFormat="false" ht="15" hidden="false" customHeight="false" outlineLevel="0" collapsed="false">
      <c r="A543" s="60" t="s">
        <v>1206</v>
      </c>
      <c r="B543" s="60" t="s">
        <v>1207</v>
      </c>
      <c r="C543" s="60" t="s">
        <v>206</v>
      </c>
      <c r="D543" s="60" t="s">
        <v>226</v>
      </c>
      <c r="E543" s="60" t="s">
        <v>227</v>
      </c>
      <c r="F543" s="60" t="s">
        <v>260</v>
      </c>
      <c r="G543" s="61" t="n">
        <v>14.65</v>
      </c>
      <c r="H543" s="62" t="n">
        <f aca="false">MAX(0,IF(AND(Parameter!$B$21="Ja",ISNUMBER(Y543)),Y543,IF(Parameter!$B$20="Jahresanfang 2025 + Export",BS543+BR543,BR543)))</f>
        <v>7</v>
      </c>
      <c r="I543" s="62" t="n">
        <f aca="false">H543*G543</f>
        <v>102.55</v>
      </c>
      <c r="J543" s="62" t="n">
        <f aca="false">BU543*Parameter!$B$18</f>
        <v>6</v>
      </c>
      <c r="K543" s="63" t="n">
        <v>3.5</v>
      </c>
      <c r="L543" s="64" t="n">
        <v>1.71428571428571</v>
      </c>
      <c r="M543" s="62" t="n">
        <v>0</v>
      </c>
      <c r="N543" s="62" t="n">
        <v>5</v>
      </c>
      <c r="O543" s="65" t="n">
        <v>18</v>
      </c>
      <c r="P543" s="60" t="s">
        <v>518</v>
      </c>
      <c r="Q543" s="62" t="n">
        <v>4</v>
      </c>
      <c r="R543" s="65" t="n">
        <f aca="false">IF(CA543=1,0,IFERROR(VLOOKUP(BY543,'Gebinde-Kategorie'!$A$5:$N$45,13,0)+0,0))</f>
        <v>52</v>
      </c>
      <c r="S543" s="66"/>
      <c r="T543" s="67"/>
      <c r="U543" s="67"/>
      <c r="V543" s="67"/>
      <c r="W543" s="60"/>
      <c r="X543" s="62"/>
      <c r="Y543" s="62"/>
      <c r="Z543" s="60" t="n">
        <v>3</v>
      </c>
      <c r="AA543" s="60" t="n">
        <f aca="false">IF(A543="","",IF(AND(Parameter!$B$21="Ja",ISNUMBER(W543)),W543,IF(AND(Parameter!$E$27="Ja",ISNUMBER(Z543),CD543&lt;&gt;"Nein"),Z543,IF(CD543="2+3",IF(ISNUMBER(SEARCH("grosser Artikel",BV543)),2,IFERROR(VLOOKUP(BY543,Parameter!$F$35:$G$64,2,0),2)),IF(OR(CD543="Nein",CD543=""),"-",CD543)))))</f>
        <v>3</v>
      </c>
      <c r="AB543" s="67"/>
      <c r="AC543" s="68"/>
      <c r="AD543" s="62" t="n">
        <f aca="false">AW543</f>
        <v>5</v>
      </c>
      <c r="AE543" s="62" t="n">
        <f aca="false">MAX(AW543,H543)</f>
        <v>7</v>
      </c>
      <c r="AF543" s="69"/>
      <c r="AG543" s="62" t="n">
        <f aca="false">IF(LEFT(Cockpit!$C$5,1)="A",H543,IF(Parameter!$E$30="MAX-Bestand",IF(CI543=1,CJ543,IF(LEFT(Cockpit!$C$5,1)="B",AM543,MAX(AM543,H543))),ROUNDUP(AK543,0)))</f>
        <v>7</v>
      </c>
      <c r="AH543" s="62" t="n">
        <f aca="false">IF(CA543=1,0,ROUNDUP(AG543/BZ543,0))</f>
        <v>2</v>
      </c>
      <c r="AI543" s="64" t="n">
        <f aca="false">IF(CR543&gt;0,CR543*MAX(1,AG543/X543),IF(CA543=1,IF(AG543&lt;=0,0,CE543*MAX(1,IF(H543&gt;0,AG543/H543,1))),IF(R543&gt;0,AH543/R543,0))/MAX(0.1,N(Parameter!$M$21)))</f>
        <v>0.0384615384615385</v>
      </c>
      <c r="AJ543" s="62" t="n">
        <f aca="false">AI543*CC543</f>
        <v>5.96153846153846</v>
      </c>
      <c r="AK543" s="63" t="n">
        <f aca="false">IF(LEFT(Cockpit!$C$5,1)="A",H543,IF(CI543=1,(CL543+CJ543)/2,IF(LEFT(Cockpit!$C$5,1)="B",(CL543+AM543)/2,MAX((CL543+AM543)/2,H543))))</f>
        <v>7</v>
      </c>
      <c r="AL543" s="62" t="n">
        <f aca="false">AK543*G543</f>
        <v>102.55</v>
      </c>
      <c r="AM543" s="62" t="n">
        <f aca="false">ROUNDUP(CL543+MAX(CM543,2*(J543/IF(CH543&gt;0,CH543,MAX(0.1,N(Cockpit!$C$6)))-CL543)),0)</f>
        <v>5</v>
      </c>
      <c r="AN543" s="63" t="n">
        <f aca="false">IF(AJ543&gt;0,J543/AJ543,-1)</f>
        <v>1.00645161290323</v>
      </c>
      <c r="AO543" s="63" t="n">
        <f aca="false">IF(AND(OR(CG543="L1",CG543="L23",CG543="LIFT"),AJ543&gt;0),SUMIFS($AJ$7:$AJ$1843,$CG$7:$CG$1843,CG543,$AN$7:$AN$1843,"&gt;"&amp;AN543)+SUMIFS($AJ$7:$AJ$1843,$CG$7:$CG$1843,CG543,$AN$7:$AN$1843,AN543,$BX$7:$BX$1843,"&lt;="&amp;BX543),"")</f>
        <v>7029.57738095238</v>
      </c>
      <c r="AP543" s="70" t="n">
        <f aca="false">IF(AO543="",0,MAX(0,MIN(1,(IF(CG543="L1",Parameter!$H$5,IF(CG543="L23",Parameter!$H$6+Parameter!$H$7,Parameter!$H$5+Parameter!$H$6+Parameter!$H$7))-(AO543-AJ543))/AJ543)))</f>
        <v>1</v>
      </c>
      <c r="AQ543" s="62" t="n">
        <f aca="false">IF(LEFT(Cockpit!$I$5,1)="A",H543,IF(Parameter!$E$30="MAX-Bestand",IF(CI543=1,CJ543,IF(LEFT(Cockpit!$I$5,1)="B",AW543,MAX(AW543,H543))),ROUNDUP(AU543,0)))</f>
        <v>7</v>
      </c>
      <c r="AR543" s="62" t="n">
        <f aca="false">IF(CA543=1,0,ROUNDUP(AQ543/BZ543,0))</f>
        <v>2</v>
      </c>
      <c r="AS543" s="64" t="n">
        <f aca="false">IF(CR543&gt;0,CR543*MAX(1,AQ543/X543),IF(CA543=1,IF(AQ543&lt;=0,0,CE543*MAX(1,IF(H543&gt;0,AQ543/H543,1))),IF(R543&gt;0,AR543/R543,0))/MAX(0.1,N(Parameter!$M$21)))</f>
        <v>0.0384615384615385</v>
      </c>
      <c r="AT543" s="62" t="n">
        <f aca="false">AS543*CC543</f>
        <v>5.96153846153846</v>
      </c>
      <c r="AU543" s="63" t="n">
        <f aca="false">IF(LEFT(Cockpit!$I$5,1)="A",H543,IF(CI543=1,(CL543+CJ543)/2,IF(LEFT(Cockpit!$I$5,1)="B",(CL543+AW543)/2,MAX((CL543+AW543)/2,H543))))</f>
        <v>7</v>
      </c>
      <c r="AV543" s="62" t="n">
        <f aca="false">AU543*G543</f>
        <v>102.55</v>
      </c>
      <c r="AW543" s="62" t="n">
        <f aca="false">ROUNDUP(CL543+MAX(CM543,2*(J543/IF(CH543&gt;0,CH543,MAX(0.1,N(Cockpit!$I$6)))-CL543)),0)</f>
        <v>5</v>
      </c>
      <c r="AX543" s="63" t="n">
        <f aca="false">IF(AT543&gt;0,J543/AT543,-1)</f>
        <v>1.00645161290323</v>
      </c>
      <c r="AY543" s="63" t="n">
        <f aca="false">IF(AND(OR(CG543="L1",CG543="L23",CG543="LIFT"),AT543&gt;0),SUMIFS($AT$7:$AT$1843,$CG$7:$CG$1843,CG543,$AX$7:$AX$1843,"&gt;"&amp;AX543)+SUMIFS($AT$7:$AT$1843,$CG$7:$CG$1843,CG543,$AX$7:$AX$1843,AX543,$BX$7:$BX$1843,"&lt;="&amp;BX543),"")</f>
        <v>8404.24175824176</v>
      </c>
      <c r="AZ543" s="70" t="n">
        <f aca="false">IF(AY543="",0,MAX(0,MIN(1,(IF(CG543="L1",Parameter!$H$5,IF(CG543="L23",Parameter!$H$6+Parameter!$H$7,Parameter!$H$5+Parameter!$H$6+Parameter!$H$7))-(AY543-AT543))/AT543)))</f>
        <v>1</v>
      </c>
      <c r="BA543" s="62" t="n">
        <f aca="false">IF(LEFT(Cockpit!$O$5,1)="A",H543,IF(Parameter!$E$30="MAX-Bestand",IF(CI543=1,CJ543,IF(LEFT(Cockpit!$O$5,1)="B",BG543,MAX(BG543,H543))),ROUNDUP(BE543,0)))</f>
        <v>3</v>
      </c>
      <c r="BB543" s="62" t="n">
        <f aca="false">IF(CA543=1,0,ROUNDUP(BA543/BZ543,0))</f>
        <v>1</v>
      </c>
      <c r="BC543" s="64" t="n">
        <f aca="false">IF(CR543&gt;0,CR543*MAX(1,BA543/X543),IF(CA543=1,IF(BA543&lt;=0,0,CE543*MAX(1,IF(H543&gt;0,BA543/H543,1))),IF(R543&gt;0,BB543/R543,0))/MAX(0.1,N(Parameter!$M$21)))</f>
        <v>0.0192307692307692</v>
      </c>
      <c r="BD543" s="62" t="n">
        <f aca="false">BC543*CC543</f>
        <v>2.98076923076923</v>
      </c>
      <c r="BE543" s="63" t="n">
        <f aca="false">IF(LEFT(Cockpit!$O$5,1)="A",H543,IF(CI543=1,(CL543+CJ543)/2,IF(LEFT(Cockpit!$O$5,1)="B",(CL543+BG543)/2,MAX((CL543+BG543)/2,H543))))</f>
        <v>2.5</v>
      </c>
      <c r="BF543" s="62" t="n">
        <f aca="false">BE543*G543</f>
        <v>36.625</v>
      </c>
      <c r="BG543" s="62" t="n">
        <f aca="false">ROUNDUP(CL543+MAX(CM543,2*(J543/IF(CH543&gt;0,CH543,MAX(0.1,N(Cockpit!$O$6)))-CL543)),0)</f>
        <v>5</v>
      </c>
      <c r="BH543" s="63" t="n">
        <f aca="false">IF(BD543&gt;0,J543/BD543,-1)</f>
        <v>2.01290322580645</v>
      </c>
      <c r="BI543" s="63" t="n">
        <f aca="false">IF(AND(OR(CG543="L1",CG543="L23",CG543="LIFT"),BD543&gt;0),SUMIFS($BD$7:$BD$1843,$CG$7:$CG$1843,CG543,$BH$7:$BH$1843,"&gt;"&amp;BH543)+SUMIFS($BD$7:$BD$1843,$CG$7:$CG$1843,CG543,$BH$7:$BH$1843,BH543,$BX$7:$BX$1843,"&lt;="&amp;BX543),"")</f>
        <v>5863.60256410256</v>
      </c>
      <c r="BJ543" s="70" t="n">
        <f aca="false">IF(BI543="",0,MAX(0,MIN(1,(IF(CG543="L1",Parameter!$H$5,IF(CG543="L23",Parameter!$H$6+Parameter!$H$7,Parameter!$H$5+Parameter!$H$6+Parameter!$H$7))-(BI543-BD543))/BD543)))</f>
        <v>1</v>
      </c>
      <c r="BK543" s="60" t="str">
        <f aca="false">IF(AJ543&lt;=0,"",IF(CG543="Aussen","Aussenlager",IF(CG543="-","Nicht im Lift",IF(AP543&gt;=1,"Lift",IF(AP543&lt;=0,"Aussenlager","teilweise")))))</f>
        <v>Lift</v>
      </c>
      <c r="BL543" s="60" t="str">
        <f aca="false">IF(AT543&lt;=0,"",IF(CG543="Aussen","Aussenlager",IF(CG543="-","Nicht im Lift",IF(AZ543&gt;=1,"Lift",IF(AZ543&lt;=0,"Aussenlager","teilweise")))))</f>
        <v>Lift</v>
      </c>
      <c r="BM543" s="60" t="str">
        <f aca="false">IF(BD543&lt;=0,"",IF(CG543="Aussen","Aussenlager",IF(CG543="-","Nicht im Lift",IF(BJ543&gt;=1,"Lift",IF(BJ543&lt;=0,"Aussenlager","teilweise")))))</f>
        <v>Lift</v>
      </c>
      <c r="BN543" s="60" t="str">
        <f aca="false">IF(A543="","",IF(BW543=1,"Neu; ","")&amp;IF(AND(BW543=0,BR543&lt;0),"negativer Bestand (Export "&amp;BR543&amp;"); ","")&amp;IF(J543&lt;=0,"Kein Verbrauch; ","")&amp;IF(CR543&gt;0,"Lift "&amp;W543&amp;" lt. Liftbericht (Fach "&amp;X543&amp;" Stk); ",IF(CB543=1,"Gebinde geschätzt ("&amp;T543&amp;"); ",IF(CA543=1,"Lose – Tablare geschätzt; ","")))&amp;IF(H543&gt;AW543,"Überbestand "&amp;ROUND(H543-AW543,0)&amp;" Stk / CHF "&amp;ROUND((H543-AW543)*G543,0)&amp;"; ","")&amp;IF(AND(CI543=1,CJ543&lt;CK543),"MAX &lt; MB+LG; ","")&amp;IF(AND(CQ543&gt;0,CP543*10&gt;CQ543),"zu hoch für Tablar; ","")&amp;IF(AND(BW543=0,OR(CI543=1,AB543&lt;&gt;"",U543&lt;&gt;"",V543&lt;&gt;"",AC543&lt;&gt;"")),"manuell übersteuert; ","")&amp;IF(AND(CA543=0,R543=0),"Gebinde unbekannt / Stellmass fehlt; ","")&amp;IF(AND(CA543=0,N(V543)&lt;=0,N(Q543)&lt;=0),"Menge pro Gebinde fehlt (Ist = 1 Gebinde); ","")&amp;BV543)</f>
        <v>Überbestand 2 Stk / CHF 29; </v>
      </c>
      <c r="BO543" s="60"/>
      <c r="BP543" s="60"/>
      <c r="BQ543" s="67"/>
      <c r="BR543" s="62" t="n">
        <v>2</v>
      </c>
      <c r="BS543" s="62" t="n">
        <v>5</v>
      </c>
      <c r="BT543" s="61" t="n">
        <v>19.52</v>
      </c>
      <c r="BU543" s="62" t="n">
        <v>6</v>
      </c>
      <c r="BV543" s="60"/>
      <c r="BW543" s="65" t="n">
        <v>0</v>
      </c>
      <c r="BX543" s="65" t="n">
        <v>543</v>
      </c>
      <c r="BY543" s="60" t="str">
        <f aca="false">IF(U543&lt;&gt;"",UPPER(TRIM(U543)),IF(CB543=1,UPPER(VLOOKUP(T543,Parameter!$I$27:$K$29,2,0)),IF(P543="","LOSE",P543)))</f>
        <v>S33</v>
      </c>
      <c r="BZ543" s="62" t="n">
        <f aca="false">IF(BY543="LOSE",1,IF(N(V543)&gt;0,V543,IF(CB543=1,MAX(1,N(VLOOKUP(T543,Parameter!$I$27:$K$29,3,0)),H543,N(N543)),IF(N(Q543)&gt;0,Q543,MAX(1,H543)))))</f>
        <v>4</v>
      </c>
      <c r="CA543" s="65" t="n">
        <f aca="false">IF(BY543="LOSE",1,0)</f>
        <v>0</v>
      </c>
      <c r="CB543" s="65" t="n">
        <f aca="false">IF(AND(U543="",OR(P543="",P543="LOSE"),T543&lt;&gt;"",N(S543)&lt;=0,ISNUMBER(MATCH(T543,Parameter!$I$27:$I$29,0))),1,0)</f>
        <v>0</v>
      </c>
      <c r="CC543" s="65" t="n">
        <f aca="false">IF(CR543&gt;0,INDEX(Parameter!$H$5:$H$7,W543)/INDEX(Parameter!$E$5:$E$7,W543),IF(AND(CA543=0,N(IFERROR(VLOOKUP(BY543,'Gebinde-Kategorie'!$A$5:$N$45,14,0),0))&gt;0),VLOOKUP(BY543,'Gebinde-Kategorie'!$A$5:$N$45,14,0)*10+Parameter!$M$23,Parameter!$M$24))</f>
        <v>155</v>
      </c>
      <c r="CD543" s="60" t="str">
        <f aca="false">IF(AND(Parameter!$B$19="Ja",E543&lt;&gt;"",ISNUMBER(MATCH(E543,Parameter!$I$35:$I$52,0))),VLOOKUP(E543,Parameter!$I$35:$J$52,2,0),IFERROR(VLOOKUP(D543,Parameter!$A$35:$C$64,2,0),"Nein"))</f>
        <v>2+3</v>
      </c>
      <c r="CE543" s="64" t="n">
        <f aca="false">IF(CA543=0,0,IF(N(S543)&gt;0,S543,IFERROR(VLOOKUP(D543,Parameter!$A$35:$C$64,3,0)+0,0)))</f>
        <v>0</v>
      </c>
      <c r="CF543" s="60" t="n">
        <f aca="false">IF(AB543&lt;&gt;"",AB543,AA543)</f>
        <v>3</v>
      </c>
      <c r="CG543" s="60" t="str">
        <f aca="false">IF(OR(CF543=1,CF543=2,CF543=3),IF(Parameter!$E$27="Ja","LIFT",IF(CF543=1,"L1","L23")),IF(CF543="Aussen","Aussen","-"))</f>
        <v>LIFT</v>
      </c>
      <c r="CH543" s="71" t="n">
        <f aca="false">IF(N(AC543)&gt;0,AC543,0)</f>
        <v>0</v>
      </c>
      <c r="CI543" s="65" t="n">
        <f aca="false">IF(ISNUMBER(AF543),1,0)</f>
        <v>0</v>
      </c>
      <c r="CJ543" s="62" t="n">
        <f aca="false">N(AF543)</f>
        <v>0</v>
      </c>
      <c r="CK543" s="62" t="n">
        <f aca="false">N(M543)+N(N543)</f>
        <v>5</v>
      </c>
      <c r="CL543" s="62" t="n">
        <f aca="false">N(M543)</f>
        <v>0</v>
      </c>
      <c r="CM543" s="62" t="n">
        <f aca="false">N(N543)</f>
        <v>5</v>
      </c>
      <c r="CN543" s="62" t="n">
        <f aca="false">ROUNDUP(H543/BZ543,0)</f>
        <v>2</v>
      </c>
      <c r="CO543" s="62" t="n">
        <f aca="false">ROUNDUP(CJ543/BZ543,0)</f>
        <v>0</v>
      </c>
      <c r="CP543" s="65" t="n">
        <f aca="false">IF(CA543=1,0,IFERROR(VLOOKUP(BY543,'Gebinde-Kategorie'!$A$5:$N$45,5,0)+0,0))</f>
        <v>8</v>
      </c>
      <c r="CQ543" s="65" t="n">
        <f aca="false">IFERROR(IF(OR(CF543=1,CF543=2,CF543=3),N(INDEX(Parameter!$I$5:$I$7,CF543)),0),0)</f>
        <v>0</v>
      </c>
      <c r="CR543" s="64" t="n">
        <f aca="false">IF(AND(Parameter!$B$21="Ja",ISNUMBER(W543),N(X543)&gt;0),IFERROR(N(INDEX(Parameter!$L$5:$L$7,W543))*INDEX(Parameter!$E$5:$E$7,W543)*X543/SUMIFS($X$7:$X$1843,$W$7:$W$1843,W543),0),0)</f>
        <v>0</v>
      </c>
      <c r="CS543" s="62" t="n">
        <f aca="false">IF(AND(OR(CG543="L1",CG543="L23",CG543="LIFT"),H543&gt;0),CC543*IF(CR543&gt;0,CR543*MAX(1,H543/X543),IF(CA543=1,CE543,IF(R543&gt;0,CN543/R543,0))/MAX(0.1,N(Parameter!$M$21))),"")</f>
        <v>5.96153846153846</v>
      </c>
      <c r="CT543" s="64" t="n">
        <f aca="false">IF(CS543="","",J543/H543)</f>
        <v>0.857142857142857</v>
      </c>
      <c r="CU543" s="62" t="n">
        <f aca="false">IF(CS543="","",H543*G543)</f>
        <v>102.55</v>
      </c>
      <c r="CV543" s="63" t="n">
        <f aca="false">IF(CS543="","",(CL543+ROUNDUP(CL543+MAX(CM543,2*(J543/MAX(0.1,N(Einkauf!$C$6))-CL543)),0))/2)</f>
        <v>2.5</v>
      </c>
      <c r="CW543" s="62" t="n">
        <f aca="false">IF(CS543="","",MAX(0,H543-CV543)*G543)</f>
        <v>65.925</v>
      </c>
      <c r="CX543" s="62" t="n">
        <f aca="false">IF(CS543="","",CS543*MAX(0,1-CV543/H543))</f>
        <v>3.83241758241758</v>
      </c>
      <c r="CY543" s="64" t="n">
        <f aca="false">IF(CS543="","",PERCENTRANK($CS$7:$CS$1843,CS543)+PERCENTRANK($CU$7:$CU$1843,CU543)+1-PERCENTRANK($CT$7:$CT$1843,CT543))</f>
        <v>0.987</v>
      </c>
      <c r="CZ543" s="72" t="n">
        <f aca="false">IF(CS543="","",CHOOSE(MATCH(Einkauf!$C$5,Parameter!$G$23:$G$27,0),CY543,CS543,CU543,-CT543,CW543)+ROW()/1000000000)</f>
        <v>0.987000543</v>
      </c>
    </row>
    <row r="544" customFormat="false" ht="15" hidden="false" customHeight="false" outlineLevel="0" collapsed="false">
      <c r="A544" s="60" t="s">
        <v>1208</v>
      </c>
      <c r="B544" s="60" t="s">
        <v>1209</v>
      </c>
      <c r="C544" s="60" t="s">
        <v>206</v>
      </c>
      <c r="D544" s="60" t="s">
        <v>226</v>
      </c>
      <c r="E544" s="60" t="s">
        <v>227</v>
      </c>
      <c r="F544" s="60" t="s">
        <v>260</v>
      </c>
      <c r="G544" s="61" t="n">
        <v>0.06</v>
      </c>
      <c r="H544" s="62" t="n">
        <f aca="false">MAX(0,IF(AND(Parameter!$B$21="Ja",ISNUMBER(Y544)),Y544,IF(Parameter!$B$20="Jahresanfang 2025 + Export",BS544+BR544,BR544)))</f>
        <v>650</v>
      </c>
      <c r="I544" s="62" t="n">
        <f aca="false">H544*G544</f>
        <v>39</v>
      </c>
      <c r="J544" s="62" t="n">
        <f aca="false">BU544*Parameter!$B$18</f>
        <v>722</v>
      </c>
      <c r="K544" s="63" t="n">
        <v>322.5</v>
      </c>
      <c r="L544" s="64" t="n">
        <v>2.23875968992248</v>
      </c>
      <c r="M544" s="62" t="n">
        <v>28</v>
      </c>
      <c r="N544" s="62" t="n">
        <v>750</v>
      </c>
      <c r="O544" s="65" t="n">
        <v>14</v>
      </c>
      <c r="P544" s="60" t="s">
        <v>344</v>
      </c>
      <c r="Q544" s="62" t="n">
        <v>334</v>
      </c>
      <c r="R544" s="65" t="n">
        <f aca="false">IF(CA544=1,0,IFERROR(VLOOKUP(BY544,'Gebinde-Kategorie'!$A$5:$N$45,13,0)+0,0))</f>
        <v>26</v>
      </c>
      <c r="S544" s="66"/>
      <c r="T544" s="67"/>
      <c r="U544" s="67"/>
      <c r="V544" s="67"/>
      <c r="W544" s="60"/>
      <c r="X544" s="62"/>
      <c r="Y544" s="62"/>
      <c r="Z544" s="60" t="n">
        <v>3</v>
      </c>
      <c r="AA544" s="60" t="n">
        <f aca="false">IF(A544="","",IF(AND(Parameter!$B$21="Ja",ISNUMBER(W544)),W544,IF(AND(Parameter!$E$27="Ja",ISNUMBER(Z544),CD544&lt;&gt;"Nein"),Z544,IF(CD544="2+3",IF(ISNUMBER(SEARCH("grosser Artikel",BV544)),2,IFERROR(VLOOKUP(BY544,Parameter!$F$35:$G$64,2,0),2)),IF(OR(CD544="Nein",CD544=""),"-",CD544)))))</f>
        <v>3</v>
      </c>
      <c r="AB544" s="67"/>
      <c r="AC544" s="68"/>
      <c r="AD544" s="62" t="n">
        <f aca="false">AW544</f>
        <v>778</v>
      </c>
      <c r="AE544" s="62" t="n">
        <f aca="false">MAX(AW544,H544)</f>
        <v>778</v>
      </c>
      <c r="AF544" s="69"/>
      <c r="AG544" s="62" t="n">
        <f aca="false">IF(LEFT(Cockpit!$C$5,1)="A",H544,IF(Parameter!$E$30="MAX-Bestand",IF(CI544=1,CJ544,IF(LEFT(Cockpit!$C$5,1)="B",AM544,MAX(AM544,H544))),ROUNDUP(AK544,0)))</f>
        <v>650</v>
      </c>
      <c r="AH544" s="62" t="n">
        <f aca="false">IF(CA544=1,0,ROUNDUP(AG544/BZ544,0))</f>
        <v>2</v>
      </c>
      <c r="AI544" s="64" t="n">
        <f aca="false">IF(CR544&gt;0,CR544*MAX(1,AG544/X544),IF(CA544=1,IF(AG544&lt;=0,0,CE544*MAX(1,IF(H544&gt;0,AG544/H544,1))),IF(R544&gt;0,AH544/R544,0))/MAX(0.1,N(Parameter!$M$21)))</f>
        <v>0.0769230769230769</v>
      </c>
      <c r="AJ544" s="62" t="n">
        <f aca="false">AI544*CC544</f>
        <v>11.9230769230769</v>
      </c>
      <c r="AK544" s="63" t="n">
        <f aca="false">IF(LEFT(Cockpit!$C$5,1)="A",H544,IF(CI544=1,(CL544+CJ544)/2,IF(LEFT(Cockpit!$C$5,1)="B",(CL544+AM544)/2,MAX((CL544+AM544)/2,H544))))</f>
        <v>650</v>
      </c>
      <c r="AL544" s="62" t="n">
        <f aca="false">AK544*G544</f>
        <v>39</v>
      </c>
      <c r="AM544" s="62" t="n">
        <f aca="false">ROUNDUP(CL544+MAX(CM544,2*(J544/IF(CH544&gt;0,CH544,MAX(0.1,N(Cockpit!$C$6)))-CL544)),0)</f>
        <v>778</v>
      </c>
      <c r="AN544" s="63" t="n">
        <f aca="false">IF(AJ544&gt;0,J544/AJ544,-1)</f>
        <v>60.5548387096774</v>
      </c>
      <c r="AO544" s="63" t="n">
        <f aca="false">IF(AND(OR(CG544="L1",CG544="L23",CG544="LIFT"),AJ544&gt;0),SUMIFS($AJ$7:$AJ$1843,$CG$7:$CG$1843,CG544,$AN$7:$AN$1843,"&gt;"&amp;AN544)+SUMIFS($AJ$7:$AJ$1843,$CG$7:$CG$1843,CG544,$AN$7:$AN$1843,AN544,$BX$7:$BX$1843,"&lt;="&amp;BX544),"")</f>
        <v>979.468406593407</v>
      </c>
      <c r="AP544" s="70" t="n">
        <f aca="false">IF(AO544="",0,MAX(0,MIN(1,(IF(CG544="L1",Parameter!$H$5,IF(CG544="L23",Parameter!$H$6+Parameter!$H$7,Parameter!$H$5+Parameter!$H$6+Parameter!$H$7))-(AO544-AJ544))/AJ544)))</f>
        <v>1</v>
      </c>
      <c r="AQ544" s="62" t="n">
        <f aca="false">IF(LEFT(Cockpit!$I$5,1)="A",H544,IF(Parameter!$E$30="MAX-Bestand",IF(CI544=1,CJ544,IF(LEFT(Cockpit!$I$5,1)="B",AW544,MAX(AW544,H544))),ROUNDUP(AU544,0)))</f>
        <v>650</v>
      </c>
      <c r="AR544" s="62" t="n">
        <f aca="false">IF(CA544=1,0,ROUNDUP(AQ544/BZ544,0))</f>
        <v>2</v>
      </c>
      <c r="AS544" s="64" t="n">
        <f aca="false">IF(CR544&gt;0,CR544*MAX(1,AQ544/X544),IF(CA544=1,IF(AQ544&lt;=0,0,CE544*MAX(1,IF(H544&gt;0,AQ544/H544,1))),IF(R544&gt;0,AR544/R544,0))/MAX(0.1,N(Parameter!$M$21)))</f>
        <v>0.0769230769230769</v>
      </c>
      <c r="AT544" s="62" t="n">
        <f aca="false">AS544*CC544</f>
        <v>11.9230769230769</v>
      </c>
      <c r="AU544" s="63" t="n">
        <f aca="false">IF(LEFT(Cockpit!$I$5,1)="A",H544,IF(CI544=1,(CL544+CJ544)/2,IF(LEFT(Cockpit!$I$5,1)="B",(CL544+AW544)/2,MAX((CL544+AW544)/2,H544))))</f>
        <v>650</v>
      </c>
      <c r="AV544" s="62" t="n">
        <f aca="false">AU544*G544</f>
        <v>39</v>
      </c>
      <c r="AW544" s="62" t="n">
        <f aca="false">ROUNDUP(CL544+MAX(CM544,2*(J544/IF(CH544&gt;0,CH544,MAX(0.1,N(Cockpit!$I$6)))-CL544)),0)</f>
        <v>778</v>
      </c>
      <c r="AX544" s="63" t="n">
        <f aca="false">IF(AT544&gt;0,J544/AT544,-1)</f>
        <v>60.5548387096774</v>
      </c>
      <c r="AY544" s="63" t="n">
        <f aca="false">IF(AND(OR(CG544="L1",CG544="L23",CG544="LIFT"),AT544&gt;0),SUMIFS($AT$7:$AT$1843,$CG$7:$CG$1843,CG544,$AX$7:$AX$1843,"&gt;"&amp;AX544)+SUMIFS($AT$7:$AT$1843,$CG$7:$CG$1843,CG544,$AX$7:$AX$1843,AX544,$BX$7:$BX$1843,"&lt;="&amp;BX544),"")</f>
        <v>1181.85027472527</v>
      </c>
      <c r="AZ544" s="70" t="n">
        <f aca="false">IF(AY544="",0,MAX(0,MIN(1,(IF(CG544="L1",Parameter!$H$5,IF(CG544="L23",Parameter!$H$6+Parameter!$H$7,Parameter!$H$5+Parameter!$H$6+Parameter!$H$7))-(AY544-AT544))/AT544)))</f>
        <v>1</v>
      </c>
      <c r="BA544" s="62" t="n">
        <f aca="false">IF(LEFT(Cockpit!$O$5,1)="A",H544,IF(Parameter!$E$30="MAX-Bestand",IF(CI544=1,CJ544,IF(LEFT(Cockpit!$O$5,1)="B",BG544,MAX(BG544,H544))),ROUNDUP(BE544,0)))</f>
        <v>403</v>
      </c>
      <c r="BB544" s="62" t="n">
        <f aca="false">IF(CA544=1,0,ROUNDUP(BA544/BZ544,0))</f>
        <v>2</v>
      </c>
      <c r="BC544" s="64" t="n">
        <f aca="false">IF(CR544&gt;0,CR544*MAX(1,BA544/X544),IF(CA544=1,IF(BA544&lt;=0,0,CE544*MAX(1,IF(H544&gt;0,BA544/H544,1))),IF(R544&gt;0,BB544/R544,0))/MAX(0.1,N(Parameter!$M$21)))</f>
        <v>0.0769230769230769</v>
      </c>
      <c r="BD544" s="62" t="n">
        <f aca="false">BC544*CC544</f>
        <v>11.9230769230769</v>
      </c>
      <c r="BE544" s="63" t="n">
        <f aca="false">IF(LEFT(Cockpit!$O$5,1)="A",H544,IF(CI544=1,(CL544+CJ544)/2,IF(LEFT(Cockpit!$O$5,1)="B",(CL544+BG544)/2,MAX((CL544+BG544)/2,H544))))</f>
        <v>403</v>
      </c>
      <c r="BF544" s="62" t="n">
        <f aca="false">BE544*G544</f>
        <v>24.18</v>
      </c>
      <c r="BG544" s="62" t="n">
        <f aca="false">ROUNDUP(CL544+MAX(CM544,2*(J544/IF(CH544&gt;0,CH544,MAX(0.1,N(Cockpit!$O$6)))-CL544)),0)</f>
        <v>778</v>
      </c>
      <c r="BH544" s="63" t="n">
        <f aca="false">IF(BD544&gt;0,J544/BD544,-1)</f>
        <v>60.5548387096774</v>
      </c>
      <c r="BI544" s="63" t="n">
        <f aca="false">IF(AND(OR(CG544="L1",CG544="L23",CG544="LIFT"),BD544&gt;0),SUMIFS($BD$7:$BD$1843,$CG$7:$CG$1843,CG544,$BH$7:$BH$1843,"&gt;"&amp;BH544)+SUMIFS($BD$7:$BD$1843,$CG$7:$CG$1843,CG544,$BH$7:$BH$1843,BH544,$BX$7:$BX$1843,"&lt;="&amp;BX544),"")</f>
        <v>1111.0119047619</v>
      </c>
      <c r="BJ544" s="70" t="n">
        <f aca="false">IF(BI544="",0,MAX(0,MIN(1,(IF(CG544="L1",Parameter!$H$5,IF(CG544="L23",Parameter!$H$6+Parameter!$H$7,Parameter!$H$5+Parameter!$H$6+Parameter!$H$7))-(BI544-BD544))/BD544)))</f>
        <v>1</v>
      </c>
      <c r="BK544" s="60" t="str">
        <f aca="false">IF(AJ544&lt;=0,"",IF(CG544="Aussen","Aussenlager",IF(CG544="-","Nicht im Lift",IF(AP544&gt;=1,"Lift",IF(AP544&lt;=0,"Aussenlager","teilweise")))))</f>
        <v>Lift</v>
      </c>
      <c r="BL544" s="60" t="str">
        <f aca="false">IF(AT544&lt;=0,"",IF(CG544="Aussen","Aussenlager",IF(CG544="-","Nicht im Lift",IF(AZ544&gt;=1,"Lift",IF(AZ544&lt;=0,"Aussenlager","teilweise")))))</f>
        <v>Lift</v>
      </c>
      <c r="BM544" s="60" t="str">
        <f aca="false">IF(BD544&lt;=0,"",IF(CG544="Aussen","Aussenlager",IF(CG544="-","Nicht im Lift",IF(BJ544&gt;=1,"Lift",IF(BJ544&lt;=0,"Aussenlager","teilweise")))))</f>
        <v>Lift</v>
      </c>
      <c r="BN544" s="60" t="str">
        <f aca="false">IF(A544="","",IF(BW544=1,"Neu; ","")&amp;IF(AND(BW544=0,BR544&lt;0),"negativer Bestand (Export "&amp;BR544&amp;"); ","")&amp;IF(J544&lt;=0,"Kein Verbrauch; ","")&amp;IF(CR544&gt;0,"Lift "&amp;W544&amp;" lt. Liftbericht (Fach "&amp;X544&amp;" Stk); ",IF(CB544=1,"Gebinde geschätzt ("&amp;T544&amp;"); ",IF(CA544=1,"Lose – Tablare geschätzt; ","")))&amp;IF(H544&gt;AW544,"Überbestand "&amp;ROUND(H544-AW544,0)&amp;" Stk / CHF "&amp;ROUND((H544-AW544)*G544,0)&amp;"; ","")&amp;IF(AND(CI544=1,CJ544&lt;CK544),"MAX &lt; MB+LG; ","")&amp;IF(AND(CQ544&gt;0,CP544*10&gt;CQ544),"zu hoch für Tablar; ","")&amp;IF(AND(BW544=0,OR(CI544=1,AB544&lt;&gt;"",U544&lt;&gt;"",V544&lt;&gt;"",AC544&lt;&gt;"")),"manuell übersteuert; ","")&amp;IF(AND(CA544=0,R544=0),"Gebinde unbekannt / Stellmass fehlt; ","")&amp;IF(AND(CA544=0,N(V544)&lt;=0,N(Q544)&lt;=0),"Menge pro Gebinde fehlt (Ist = 1 Gebinde); ","")&amp;BV544)</f>
        <v/>
      </c>
      <c r="BO544" s="60"/>
      <c r="BP544" s="60"/>
      <c r="BQ544" s="67"/>
      <c r="BR544" s="62" t="n">
        <v>319</v>
      </c>
      <c r="BS544" s="62" t="n">
        <v>331</v>
      </c>
      <c r="BT544" s="61" t="n">
        <v>19.14</v>
      </c>
      <c r="BU544" s="62" t="n">
        <v>722</v>
      </c>
      <c r="BV544" s="60"/>
      <c r="BW544" s="65" t="n">
        <v>0</v>
      </c>
      <c r="BX544" s="65" t="n">
        <v>544</v>
      </c>
      <c r="BY544" s="60" t="str">
        <f aca="false">IF(U544&lt;&gt;"",UPPER(TRIM(U544)),IF(CB544=1,UPPER(VLOOKUP(T544,Parameter!$I$27:$K$29,2,0)),IF(P544="","LOSE",P544)))</f>
        <v>S51</v>
      </c>
      <c r="BZ544" s="62" t="n">
        <f aca="false">IF(BY544="LOSE",1,IF(N(V544)&gt;0,V544,IF(CB544=1,MAX(1,N(VLOOKUP(T544,Parameter!$I$27:$K$29,3,0)),H544,N(N544)),IF(N(Q544)&gt;0,Q544,MAX(1,H544)))))</f>
        <v>334</v>
      </c>
      <c r="CA544" s="65" t="n">
        <f aca="false">IF(BY544="LOSE",1,0)</f>
        <v>0</v>
      </c>
      <c r="CB544" s="65" t="n">
        <f aca="false">IF(AND(U544="",OR(P544="",P544="LOSE"),T544&lt;&gt;"",N(S544)&lt;=0,ISNUMBER(MATCH(T544,Parameter!$I$27:$I$29,0))),1,0)</f>
        <v>0</v>
      </c>
      <c r="CC544" s="65" t="n">
        <f aca="false">IF(CR544&gt;0,INDEX(Parameter!$H$5:$H$7,W544)/INDEX(Parameter!$E$5:$E$7,W544),IF(AND(CA544=0,N(IFERROR(VLOOKUP(BY544,'Gebinde-Kategorie'!$A$5:$N$45,14,0),0))&gt;0),VLOOKUP(BY544,'Gebinde-Kategorie'!$A$5:$N$45,14,0)*10+Parameter!$M$23,Parameter!$M$24))</f>
        <v>155</v>
      </c>
      <c r="CD544" s="60" t="str">
        <f aca="false">IF(AND(Parameter!$B$19="Ja",E544&lt;&gt;"",ISNUMBER(MATCH(E544,Parameter!$I$35:$I$52,0))),VLOOKUP(E544,Parameter!$I$35:$J$52,2,0),IFERROR(VLOOKUP(D544,Parameter!$A$35:$C$64,2,0),"Nein"))</f>
        <v>2+3</v>
      </c>
      <c r="CE544" s="64" t="n">
        <f aca="false">IF(CA544=0,0,IF(N(S544)&gt;0,S544,IFERROR(VLOOKUP(D544,Parameter!$A$35:$C$64,3,0)+0,0)))</f>
        <v>0</v>
      </c>
      <c r="CF544" s="60" t="n">
        <f aca="false">IF(AB544&lt;&gt;"",AB544,AA544)</f>
        <v>3</v>
      </c>
      <c r="CG544" s="60" t="str">
        <f aca="false">IF(OR(CF544=1,CF544=2,CF544=3),IF(Parameter!$E$27="Ja","LIFT",IF(CF544=1,"L1","L23")),IF(CF544="Aussen","Aussen","-"))</f>
        <v>LIFT</v>
      </c>
      <c r="CH544" s="71" t="n">
        <f aca="false">IF(N(AC544)&gt;0,AC544,0)</f>
        <v>0</v>
      </c>
      <c r="CI544" s="65" t="n">
        <f aca="false">IF(ISNUMBER(AF544),1,0)</f>
        <v>0</v>
      </c>
      <c r="CJ544" s="62" t="n">
        <f aca="false">N(AF544)</f>
        <v>0</v>
      </c>
      <c r="CK544" s="62" t="n">
        <f aca="false">N(M544)+N(N544)</f>
        <v>778</v>
      </c>
      <c r="CL544" s="62" t="n">
        <f aca="false">N(M544)</f>
        <v>28</v>
      </c>
      <c r="CM544" s="62" t="n">
        <f aca="false">N(N544)</f>
        <v>750</v>
      </c>
      <c r="CN544" s="62" t="n">
        <f aca="false">ROUNDUP(H544/BZ544,0)</f>
        <v>2</v>
      </c>
      <c r="CO544" s="62" t="n">
        <f aca="false">ROUNDUP(CJ544/BZ544,0)</f>
        <v>0</v>
      </c>
      <c r="CP544" s="65" t="n">
        <f aca="false">IF(CA544=1,0,IFERROR(VLOOKUP(BY544,'Gebinde-Kategorie'!$A$5:$N$45,5,0)+0,0))</f>
        <v>11</v>
      </c>
      <c r="CQ544" s="65" t="n">
        <f aca="false">IFERROR(IF(OR(CF544=1,CF544=2,CF544=3),N(INDEX(Parameter!$I$5:$I$7,CF544)),0),0)</f>
        <v>0</v>
      </c>
      <c r="CR544" s="64" t="n">
        <f aca="false">IF(AND(Parameter!$B$21="Ja",ISNUMBER(W544),N(X544)&gt;0),IFERROR(N(INDEX(Parameter!$L$5:$L$7,W544))*INDEX(Parameter!$E$5:$E$7,W544)*X544/SUMIFS($X$7:$X$1843,$W$7:$W$1843,W544),0),0)</f>
        <v>0</v>
      </c>
      <c r="CS544" s="62" t="n">
        <f aca="false">IF(AND(OR(CG544="L1",CG544="L23",CG544="LIFT"),H544&gt;0),CC544*IF(CR544&gt;0,CR544*MAX(1,H544/X544),IF(CA544=1,CE544,IF(R544&gt;0,CN544/R544,0))/MAX(0.1,N(Parameter!$M$21))),"")</f>
        <v>11.9230769230769</v>
      </c>
      <c r="CT544" s="64" t="n">
        <f aca="false">IF(CS544="","",J544/H544)</f>
        <v>1.11076923076923</v>
      </c>
      <c r="CU544" s="62" t="n">
        <f aca="false">IF(CS544="","",H544*G544)</f>
        <v>39</v>
      </c>
      <c r="CV544" s="63" t="n">
        <f aca="false">IF(CS544="","",(CL544+ROUNDUP(CL544+MAX(CM544,2*(J544/MAX(0.1,N(Einkauf!$C$6))-CL544)),0))/2)</f>
        <v>403</v>
      </c>
      <c r="CW544" s="62" t="n">
        <f aca="false">IF(CS544="","",MAX(0,H544-CV544)*G544)</f>
        <v>14.82</v>
      </c>
      <c r="CX544" s="62" t="n">
        <f aca="false">IF(CS544="","",CS544*MAX(0,1-CV544/H544))</f>
        <v>4.53076923076923</v>
      </c>
      <c r="CY544" s="64" t="n">
        <f aca="false">IF(CS544="","",PERCENTRANK($CS$7:$CS$1843,CS544)+PERCENTRANK($CU$7:$CU$1843,CU544)+1-PERCENTRANK($CT$7:$CT$1843,CT544))</f>
        <v>1.073</v>
      </c>
      <c r="CZ544" s="72" t="n">
        <f aca="false">IF(CS544="","",CHOOSE(MATCH(Einkauf!$C$5,Parameter!$G$23:$G$27,0),CY544,CS544,CU544,-CT544,CW544)+ROW()/1000000000)</f>
        <v>1.073000544</v>
      </c>
    </row>
    <row r="545" customFormat="false" ht="15" hidden="false" customHeight="false" outlineLevel="0" collapsed="false">
      <c r="A545" s="60" t="s">
        <v>1210</v>
      </c>
      <c r="B545" s="60" t="s">
        <v>797</v>
      </c>
      <c r="C545" s="60" t="s">
        <v>206</v>
      </c>
      <c r="D545" s="60" t="s">
        <v>226</v>
      </c>
      <c r="E545" s="60"/>
      <c r="F545" s="60" t="s">
        <v>260</v>
      </c>
      <c r="G545" s="61" t="n">
        <v>74.2</v>
      </c>
      <c r="H545" s="62" t="n">
        <f aca="false">MAX(0,IF(AND(Parameter!$B$21="Ja",ISNUMBER(Y545)),Y545,IF(Parameter!$B$20="Jahresanfang 2025 + Export",BS545+BR545,BR545)))</f>
        <v>5</v>
      </c>
      <c r="I545" s="62" t="n">
        <f aca="false">H545*G545</f>
        <v>371</v>
      </c>
      <c r="J545" s="62" t="n">
        <f aca="false">BU545*Parameter!$B$18</f>
        <v>1</v>
      </c>
      <c r="K545" s="63" t="n">
        <v>4.5</v>
      </c>
      <c r="L545" s="64" t="n">
        <v>0.222222222222222</v>
      </c>
      <c r="M545" s="62" t="n">
        <v>0</v>
      </c>
      <c r="N545" s="62" t="n">
        <v>1</v>
      </c>
      <c r="O545" s="65" t="n">
        <v>35</v>
      </c>
      <c r="P545" s="60" t="s">
        <v>468</v>
      </c>
      <c r="Q545" s="62" t="n">
        <v>6</v>
      </c>
      <c r="R545" s="65" t="n">
        <f aca="false">IF(CA545=1,0,IFERROR(VLOOKUP(BY545,'Gebinde-Kategorie'!$A$5:$N$45,13,0)+0,0))</f>
        <v>140</v>
      </c>
      <c r="S545" s="66"/>
      <c r="T545" s="67"/>
      <c r="U545" s="67"/>
      <c r="V545" s="67"/>
      <c r="W545" s="60"/>
      <c r="X545" s="62"/>
      <c r="Y545" s="62"/>
      <c r="Z545" s="60" t="n">
        <v>1</v>
      </c>
      <c r="AA545" s="60" t="n">
        <f aca="false">IF(A545="","",IF(AND(Parameter!$B$21="Ja",ISNUMBER(W545)),W545,IF(AND(Parameter!$E$27="Ja",ISNUMBER(Z545),CD545&lt;&gt;"Nein"),Z545,IF(CD545="2+3",IF(ISNUMBER(SEARCH("grosser Artikel",BV545)),2,IFERROR(VLOOKUP(BY545,Parameter!$F$35:$G$64,2,0),2)),IF(OR(CD545="Nein",CD545=""),"-",CD545)))))</f>
        <v>1</v>
      </c>
      <c r="AB545" s="67"/>
      <c r="AC545" s="68"/>
      <c r="AD545" s="62" t="n">
        <f aca="false">AW545</f>
        <v>1</v>
      </c>
      <c r="AE545" s="62" t="n">
        <f aca="false">MAX(AW545,H545)</f>
        <v>5</v>
      </c>
      <c r="AF545" s="69"/>
      <c r="AG545" s="62" t="n">
        <f aca="false">IF(LEFT(Cockpit!$C$5,1)="A",H545,IF(Parameter!$E$30="MAX-Bestand",IF(CI545=1,CJ545,IF(LEFT(Cockpit!$C$5,1)="B",AM545,MAX(AM545,H545))),ROUNDUP(AK545,0)))</f>
        <v>5</v>
      </c>
      <c r="AH545" s="62" t="n">
        <f aca="false">IF(CA545=1,0,ROUNDUP(AG545/BZ545,0))</f>
        <v>1</v>
      </c>
      <c r="AI545" s="64" t="n">
        <f aca="false">IF(CR545&gt;0,CR545*MAX(1,AG545/X545),IF(CA545=1,IF(AG545&lt;=0,0,CE545*MAX(1,IF(H545&gt;0,AG545/H545,1))),IF(R545&gt;0,AH545/R545,0))/MAX(0.1,N(Parameter!$M$21)))</f>
        <v>0.00714285714285714</v>
      </c>
      <c r="AJ545" s="62" t="n">
        <f aca="false">AI545*CC545</f>
        <v>1.10714285714286</v>
      </c>
      <c r="AK545" s="63" t="n">
        <f aca="false">IF(LEFT(Cockpit!$C$5,1)="A",H545,IF(CI545=1,(CL545+CJ545)/2,IF(LEFT(Cockpit!$C$5,1)="B",(CL545+AM545)/2,MAX((CL545+AM545)/2,H545))))</f>
        <v>5</v>
      </c>
      <c r="AL545" s="62" t="n">
        <f aca="false">AK545*G545</f>
        <v>371</v>
      </c>
      <c r="AM545" s="62" t="n">
        <f aca="false">ROUNDUP(CL545+MAX(CM545,2*(J545/IF(CH545&gt;0,CH545,MAX(0.1,N(Cockpit!$C$6)))-CL545)),0)</f>
        <v>1</v>
      </c>
      <c r="AN545" s="63" t="n">
        <f aca="false">IF(AJ545&gt;0,J545/AJ545,-1)</f>
        <v>0.903225806451613</v>
      </c>
      <c r="AO545" s="63" t="n">
        <f aca="false">IF(AND(OR(CG545="L1",CG545="L23",CG545="LIFT"),AJ545&gt;0),SUMIFS($AJ$7:$AJ$1843,$CG$7:$CG$1843,CG545,$AN$7:$AN$1843,"&gt;"&amp;AN545)+SUMIFS($AJ$7:$AJ$1843,$CG$7:$CG$1843,CG545,$AN$7:$AN$1843,AN545,$BX$7:$BX$1843,"&lt;="&amp;BX545),"")</f>
        <v>7617.7413003663</v>
      </c>
      <c r="AP545" s="70" t="n">
        <f aca="false">IF(AO545="",0,MAX(0,MIN(1,(IF(CG545="L1",Parameter!$H$5,IF(CG545="L23",Parameter!$H$6+Parameter!$H$7,Parameter!$H$5+Parameter!$H$6+Parameter!$H$7))-(AO545-AJ545))/AJ545)))</f>
        <v>1</v>
      </c>
      <c r="AQ545" s="62" t="n">
        <f aca="false">IF(LEFT(Cockpit!$I$5,1)="A",H545,IF(Parameter!$E$30="MAX-Bestand",IF(CI545=1,CJ545,IF(LEFT(Cockpit!$I$5,1)="B",AW545,MAX(AW545,H545))),ROUNDUP(AU545,0)))</f>
        <v>5</v>
      </c>
      <c r="AR545" s="62" t="n">
        <f aca="false">IF(CA545=1,0,ROUNDUP(AQ545/BZ545,0))</f>
        <v>1</v>
      </c>
      <c r="AS545" s="64" t="n">
        <f aca="false">IF(CR545&gt;0,CR545*MAX(1,AQ545/X545),IF(CA545=1,IF(AQ545&lt;=0,0,CE545*MAX(1,IF(H545&gt;0,AQ545/H545,1))),IF(R545&gt;0,AR545/R545,0))/MAX(0.1,N(Parameter!$M$21)))</f>
        <v>0.00714285714285714</v>
      </c>
      <c r="AT545" s="62" t="n">
        <f aca="false">AS545*CC545</f>
        <v>1.10714285714286</v>
      </c>
      <c r="AU545" s="63" t="n">
        <f aca="false">IF(LEFT(Cockpit!$I$5,1)="A",H545,IF(CI545=1,(CL545+CJ545)/2,IF(LEFT(Cockpit!$I$5,1)="B",(CL545+AW545)/2,MAX((CL545+AW545)/2,H545))))</f>
        <v>5</v>
      </c>
      <c r="AV545" s="62" t="n">
        <f aca="false">AU545*G545</f>
        <v>371</v>
      </c>
      <c r="AW545" s="62" t="n">
        <f aca="false">ROUNDUP(CL545+MAX(CM545,2*(J545/IF(CH545&gt;0,CH545,MAX(0.1,N(Cockpit!$I$6)))-CL545)),0)</f>
        <v>1</v>
      </c>
      <c r="AX545" s="63" t="n">
        <f aca="false">IF(AT545&gt;0,J545/AT545,-1)</f>
        <v>0.903225806451613</v>
      </c>
      <c r="AY545" s="63" t="n">
        <f aca="false">IF(AND(OR(CG545="L1",CG545="L23",CG545="LIFT"),AT545&gt;0),SUMIFS($AT$7:$AT$1843,$CG$7:$CG$1843,CG545,$AX$7:$AX$1843,"&gt;"&amp;AX545)+SUMIFS($AT$7:$AT$1843,$CG$7:$CG$1843,CG545,$AX$7:$AX$1843,AX545,$BX$7:$BX$1843,"&lt;="&amp;BX545),"")</f>
        <v>9192.18131868132</v>
      </c>
      <c r="AZ545" s="70" t="n">
        <f aca="false">IF(AY545="",0,MAX(0,MIN(1,(IF(CG545="L1",Parameter!$H$5,IF(CG545="L23",Parameter!$H$6+Parameter!$H$7,Parameter!$H$5+Parameter!$H$6+Parameter!$H$7))-(AY545-AT545))/AT545)))</f>
        <v>1</v>
      </c>
      <c r="BA545" s="62" t="n">
        <f aca="false">IF(LEFT(Cockpit!$O$5,1)="A",H545,IF(Parameter!$E$30="MAX-Bestand",IF(CI545=1,CJ545,IF(LEFT(Cockpit!$O$5,1)="B",BG545,MAX(BG545,H545))),ROUNDUP(BE545,0)))</f>
        <v>1</v>
      </c>
      <c r="BB545" s="62" t="n">
        <f aca="false">IF(CA545=1,0,ROUNDUP(BA545/BZ545,0))</f>
        <v>1</v>
      </c>
      <c r="BC545" s="64" t="n">
        <f aca="false">IF(CR545&gt;0,CR545*MAX(1,BA545/X545),IF(CA545=1,IF(BA545&lt;=0,0,CE545*MAX(1,IF(H545&gt;0,BA545/H545,1))),IF(R545&gt;0,BB545/R545,0))/MAX(0.1,N(Parameter!$M$21)))</f>
        <v>0.00714285714285714</v>
      </c>
      <c r="BD545" s="62" t="n">
        <f aca="false">BC545*CC545</f>
        <v>1.10714285714286</v>
      </c>
      <c r="BE545" s="63" t="n">
        <f aca="false">IF(LEFT(Cockpit!$O$5,1)="A",H545,IF(CI545=1,(CL545+CJ545)/2,IF(LEFT(Cockpit!$O$5,1)="B",(CL545+BG545)/2,MAX((CL545+BG545)/2,H545))))</f>
        <v>0.5</v>
      </c>
      <c r="BF545" s="62" t="n">
        <f aca="false">BE545*G545</f>
        <v>37.1</v>
      </c>
      <c r="BG545" s="62" t="n">
        <f aca="false">ROUNDUP(CL545+MAX(CM545,2*(J545/IF(CH545&gt;0,CH545,MAX(0.1,N(Cockpit!$O$6)))-CL545)),0)</f>
        <v>1</v>
      </c>
      <c r="BH545" s="63" t="n">
        <f aca="false">IF(BD545&gt;0,J545/BD545,-1)</f>
        <v>0.903225806451613</v>
      </c>
      <c r="BI545" s="63" t="n">
        <f aca="false">IF(AND(OR(CG545="L1",CG545="L23",CG545="LIFT"),BD545&gt;0),SUMIFS($BD$7:$BD$1843,$CG$7:$CG$1843,CG545,$BH$7:$BH$1843,"&gt;"&amp;BH545)+SUMIFS($BD$7:$BD$1843,$CG$7:$CG$1843,CG545,$BH$7:$BH$1843,BH545,$BX$7:$BX$1843,"&lt;="&amp;BX545),"")</f>
        <v>8242.2934981685</v>
      </c>
      <c r="BJ545" s="70" t="n">
        <f aca="false">IF(BI545="",0,MAX(0,MIN(1,(IF(CG545="L1",Parameter!$H$5,IF(CG545="L23",Parameter!$H$6+Parameter!$H$7,Parameter!$H$5+Parameter!$H$6+Parameter!$H$7))-(BI545-BD545))/BD545)))</f>
        <v>1</v>
      </c>
      <c r="BK545" s="60" t="str">
        <f aca="false">IF(AJ545&lt;=0,"",IF(CG545="Aussen","Aussenlager",IF(CG545="-","Nicht im Lift",IF(AP545&gt;=1,"Lift",IF(AP545&lt;=0,"Aussenlager","teilweise")))))</f>
        <v>Lift</v>
      </c>
      <c r="BL545" s="60" t="str">
        <f aca="false">IF(AT545&lt;=0,"",IF(CG545="Aussen","Aussenlager",IF(CG545="-","Nicht im Lift",IF(AZ545&gt;=1,"Lift",IF(AZ545&lt;=0,"Aussenlager","teilweise")))))</f>
        <v>Lift</v>
      </c>
      <c r="BM545" s="60" t="str">
        <f aca="false">IF(BD545&lt;=0,"",IF(CG545="Aussen","Aussenlager",IF(CG545="-","Nicht im Lift",IF(BJ545&gt;=1,"Lift",IF(BJ545&lt;=0,"Aussenlager","teilweise")))))</f>
        <v>Lift</v>
      </c>
      <c r="BN545" s="60" t="str">
        <f aca="false">IF(A545="","",IF(BW545=1,"Neu; ","")&amp;IF(AND(BW545=0,BR545&lt;0),"negativer Bestand (Export "&amp;BR545&amp;"); ","")&amp;IF(J545&lt;=0,"Kein Verbrauch; ","")&amp;IF(CR545&gt;0,"Lift "&amp;W545&amp;" lt. Liftbericht (Fach "&amp;X545&amp;" Stk); ",IF(CB545=1,"Gebinde geschätzt ("&amp;T545&amp;"); ",IF(CA545=1,"Lose – Tablare geschätzt; ","")))&amp;IF(H545&gt;AW545,"Überbestand "&amp;ROUND(H545-AW545,0)&amp;" Stk / CHF "&amp;ROUND((H545-AW545)*G545,0)&amp;"; ","")&amp;IF(AND(CI545=1,CJ545&lt;CK545),"MAX &lt; MB+LG; ","")&amp;IF(AND(CQ545&gt;0,CP545*10&gt;CQ545),"zu hoch für Tablar; ","")&amp;IF(AND(BW545=0,OR(CI545=1,AB545&lt;&gt;"",U545&lt;&gt;"",V545&lt;&gt;"",AC545&lt;&gt;"")),"manuell übersteuert; ","")&amp;IF(AND(CA545=0,R545=0),"Gebinde unbekannt / Stellmass fehlt; ","")&amp;IF(AND(CA545=0,N(V545)&lt;=0,N(Q545)&lt;=0),"Menge pro Gebinde fehlt (Ist = 1 Gebinde); ","")&amp;BV545)</f>
        <v>Überbestand 4 Stk / CHF 297; </v>
      </c>
      <c r="BO545" s="60"/>
      <c r="BP545" s="60"/>
      <c r="BQ545" s="67"/>
      <c r="BR545" s="62" t="n">
        <v>0</v>
      </c>
      <c r="BS545" s="62" t="n">
        <v>5</v>
      </c>
      <c r="BT545" s="61" t="n">
        <v>18.75</v>
      </c>
      <c r="BU545" s="62" t="n">
        <v>1</v>
      </c>
      <c r="BV545" s="60"/>
      <c r="BW545" s="65" t="n">
        <v>0</v>
      </c>
      <c r="BX545" s="65" t="n">
        <v>545</v>
      </c>
      <c r="BY545" s="60" t="str">
        <f aca="false">IF(U545&lt;&gt;"",UPPER(TRIM(U545)),IF(CB545=1,UPPER(VLOOKUP(T545,Parameter!$I$27:$K$29,2,0)),IF(P545="","LOSE",P545)))</f>
        <v>S22</v>
      </c>
      <c r="BZ545" s="62" t="n">
        <f aca="false">IF(BY545="LOSE",1,IF(N(V545)&gt;0,V545,IF(CB545=1,MAX(1,N(VLOOKUP(T545,Parameter!$I$27:$K$29,3,0)),H545,N(N545)),IF(N(Q545)&gt;0,Q545,MAX(1,H545)))))</f>
        <v>6</v>
      </c>
      <c r="CA545" s="65" t="n">
        <f aca="false">IF(BY545="LOSE",1,0)</f>
        <v>0</v>
      </c>
      <c r="CB545" s="65" t="n">
        <f aca="false">IF(AND(U545="",OR(P545="",P545="LOSE"),T545&lt;&gt;"",N(S545)&lt;=0,ISNUMBER(MATCH(T545,Parameter!$I$27:$I$29,0))),1,0)</f>
        <v>0</v>
      </c>
      <c r="CC545" s="65" t="n">
        <f aca="false">IF(CR545&gt;0,INDEX(Parameter!$H$5:$H$7,W545)/INDEX(Parameter!$E$5:$E$7,W545),IF(AND(CA545=0,N(IFERROR(VLOOKUP(BY545,'Gebinde-Kategorie'!$A$5:$N$45,14,0),0))&gt;0),VLOOKUP(BY545,'Gebinde-Kategorie'!$A$5:$N$45,14,0)*10+Parameter!$M$23,Parameter!$M$24))</f>
        <v>155</v>
      </c>
      <c r="CD545" s="60" t="str">
        <f aca="false">IF(AND(Parameter!$B$19="Ja",E545&lt;&gt;"",ISNUMBER(MATCH(E545,Parameter!$I$35:$I$52,0))),VLOOKUP(E545,Parameter!$I$35:$J$52,2,0),IFERROR(VLOOKUP(D545,Parameter!$A$35:$C$64,2,0),"Nein"))</f>
        <v>2+3</v>
      </c>
      <c r="CE545" s="64" t="n">
        <f aca="false">IF(CA545=0,0,IF(N(S545)&gt;0,S545,IFERROR(VLOOKUP(D545,Parameter!$A$35:$C$64,3,0)+0,0)))</f>
        <v>0</v>
      </c>
      <c r="CF545" s="60" t="n">
        <f aca="false">IF(AB545&lt;&gt;"",AB545,AA545)</f>
        <v>1</v>
      </c>
      <c r="CG545" s="60" t="str">
        <f aca="false">IF(OR(CF545=1,CF545=2,CF545=3),IF(Parameter!$E$27="Ja","LIFT",IF(CF545=1,"L1","L23")),IF(CF545="Aussen","Aussen","-"))</f>
        <v>LIFT</v>
      </c>
      <c r="CH545" s="71" t="n">
        <f aca="false">IF(N(AC545)&gt;0,AC545,0)</f>
        <v>0</v>
      </c>
      <c r="CI545" s="65" t="n">
        <f aca="false">IF(ISNUMBER(AF545),1,0)</f>
        <v>0</v>
      </c>
      <c r="CJ545" s="62" t="n">
        <f aca="false">N(AF545)</f>
        <v>0</v>
      </c>
      <c r="CK545" s="62" t="n">
        <f aca="false">N(M545)+N(N545)</f>
        <v>1</v>
      </c>
      <c r="CL545" s="62" t="n">
        <f aca="false">N(M545)</f>
        <v>0</v>
      </c>
      <c r="CM545" s="62" t="n">
        <f aca="false">N(N545)</f>
        <v>1</v>
      </c>
      <c r="CN545" s="62" t="n">
        <f aca="false">ROUNDUP(H545/BZ545,0)</f>
        <v>1</v>
      </c>
      <c r="CO545" s="62" t="n">
        <f aca="false">ROUNDUP(CJ545/BZ545,0)</f>
        <v>0</v>
      </c>
      <c r="CP545" s="65" t="n">
        <f aca="false">IF(CA545=1,0,IFERROR(VLOOKUP(BY545,'Gebinde-Kategorie'!$A$5:$N$45,5,0)+0,0))</f>
        <v>8</v>
      </c>
      <c r="CQ545" s="65" t="n">
        <f aca="false">IFERROR(IF(OR(CF545=1,CF545=2,CF545=3),N(INDEX(Parameter!$I$5:$I$7,CF545)),0),0)</f>
        <v>0</v>
      </c>
      <c r="CR545" s="64" t="n">
        <f aca="false">IF(AND(Parameter!$B$21="Ja",ISNUMBER(W545),N(X545)&gt;0),IFERROR(N(INDEX(Parameter!$L$5:$L$7,W545))*INDEX(Parameter!$E$5:$E$7,W545)*X545/SUMIFS($X$7:$X$1843,$W$7:$W$1843,W545),0),0)</f>
        <v>0</v>
      </c>
      <c r="CS545" s="62" t="n">
        <f aca="false">IF(AND(OR(CG545="L1",CG545="L23",CG545="LIFT"),H545&gt;0),CC545*IF(CR545&gt;0,CR545*MAX(1,H545/X545),IF(CA545=1,CE545,IF(R545&gt;0,CN545/R545,0))/MAX(0.1,N(Parameter!$M$21))),"")</f>
        <v>1.10714285714286</v>
      </c>
      <c r="CT545" s="64" t="n">
        <f aca="false">IF(CS545="","",J545/H545)</f>
        <v>0.2</v>
      </c>
      <c r="CU545" s="62" t="n">
        <f aca="false">IF(CS545="","",H545*G545)</f>
        <v>371</v>
      </c>
      <c r="CV545" s="63" t="n">
        <f aca="false">IF(CS545="","",(CL545+ROUNDUP(CL545+MAX(CM545,2*(J545/MAX(0.1,N(Einkauf!$C$6))-CL545)),0))/2)</f>
        <v>0.5</v>
      </c>
      <c r="CW545" s="62" t="n">
        <f aca="false">IF(CS545="","",MAX(0,H545-CV545)*G545)</f>
        <v>333.9</v>
      </c>
      <c r="CX545" s="62" t="n">
        <f aca="false">IF(CS545="","",CS545*MAX(0,1-CV545/H545))</f>
        <v>0.996428571428572</v>
      </c>
      <c r="CY545" s="64" t="n">
        <f aca="false">IF(CS545="","",PERCENTRANK($CS$7:$CS$1843,CS545)+PERCENTRANK($CU$7:$CU$1843,CU545)+1-PERCENTRANK($CT$7:$CT$1843,CT545))</f>
        <v>1.0504</v>
      </c>
      <c r="CZ545" s="72" t="n">
        <f aca="false">IF(CS545="","",CHOOSE(MATCH(Einkauf!$C$5,Parameter!$G$23:$G$27,0),CY545,CS545,CU545,-CT545,CW545)+ROW()/1000000000)</f>
        <v>1.050400545</v>
      </c>
    </row>
    <row r="546" customFormat="false" ht="15" hidden="false" customHeight="false" outlineLevel="0" collapsed="false">
      <c r="A546" s="60" t="s">
        <v>1211</v>
      </c>
      <c r="B546" s="60" t="s">
        <v>1212</v>
      </c>
      <c r="C546" s="60" t="s">
        <v>206</v>
      </c>
      <c r="D546" s="60" t="s">
        <v>226</v>
      </c>
      <c r="E546" s="60" t="s">
        <v>227</v>
      </c>
      <c r="F546" s="60" t="s">
        <v>260</v>
      </c>
      <c r="G546" s="61" t="n">
        <v>3.84</v>
      </c>
      <c r="H546" s="62" t="n">
        <f aca="false">MAX(0,IF(AND(Parameter!$B$21="Ja",ISNUMBER(Y546)),Y546,IF(Parameter!$B$20="Jahresanfang 2025 + Export",BS546+BR546,BR546)))</f>
        <v>109</v>
      </c>
      <c r="I546" s="62" t="n">
        <f aca="false">H546*G546</f>
        <v>418.56</v>
      </c>
      <c r="J546" s="62" t="n">
        <f aca="false">BU546*Parameter!$B$18</f>
        <v>72</v>
      </c>
      <c r="K546" s="63" t="n">
        <v>73.5</v>
      </c>
      <c r="L546" s="64" t="n">
        <v>0.979591836734694</v>
      </c>
      <c r="M546" s="62" t="n">
        <v>7</v>
      </c>
      <c r="N546" s="62" t="n">
        <v>100</v>
      </c>
      <c r="O546" s="65" t="n">
        <v>35</v>
      </c>
      <c r="P546" s="60" t="s">
        <v>370</v>
      </c>
      <c r="Q546" s="62" t="n">
        <v>39</v>
      </c>
      <c r="R546" s="65" t="n">
        <f aca="false">IF(CA546=1,0,IFERROR(VLOOKUP(BY546,'Gebinde-Kategorie'!$A$5:$N$45,13,0)+0,0))</f>
        <v>52</v>
      </c>
      <c r="S546" s="66"/>
      <c r="T546" s="67"/>
      <c r="U546" s="67"/>
      <c r="V546" s="67"/>
      <c r="W546" s="60"/>
      <c r="X546" s="62"/>
      <c r="Y546" s="62"/>
      <c r="Z546" s="60" t="n">
        <v>3</v>
      </c>
      <c r="AA546" s="60" t="n">
        <f aca="false">IF(A546="","",IF(AND(Parameter!$B$21="Ja",ISNUMBER(W546)),W546,IF(AND(Parameter!$E$27="Ja",ISNUMBER(Z546),CD546&lt;&gt;"Nein"),Z546,IF(CD546="2+3",IF(ISNUMBER(SEARCH("grosser Artikel",BV546)),2,IFERROR(VLOOKUP(BY546,Parameter!$F$35:$G$64,2,0),2)),IF(OR(CD546="Nein",CD546=""),"-",CD546)))))</f>
        <v>3</v>
      </c>
      <c r="AB546" s="67"/>
      <c r="AC546" s="68"/>
      <c r="AD546" s="62" t="n">
        <f aca="false">AW546</f>
        <v>107</v>
      </c>
      <c r="AE546" s="62" t="n">
        <f aca="false">MAX(AW546,H546)</f>
        <v>109</v>
      </c>
      <c r="AF546" s="69"/>
      <c r="AG546" s="62" t="n">
        <f aca="false">IF(LEFT(Cockpit!$C$5,1)="A",H546,IF(Parameter!$E$30="MAX-Bestand",IF(CI546=1,CJ546,IF(LEFT(Cockpit!$C$5,1)="B",AM546,MAX(AM546,H546))),ROUNDUP(AK546,0)))</f>
        <v>109</v>
      </c>
      <c r="AH546" s="62" t="n">
        <f aca="false">IF(CA546=1,0,ROUNDUP(AG546/BZ546,0))</f>
        <v>3</v>
      </c>
      <c r="AI546" s="64" t="n">
        <f aca="false">IF(CR546&gt;0,CR546*MAX(1,AG546/X546),IF(CA546=1,IF(AG546&lt;=0,0,CE546*MAX(1,IF(H546&gt;0,AG546/H546,1))),IF(R546&gt;0,AH546/R546,0))/MAX(0.1,N(Parameter!$M$21)))</f>
        <v>0.0576923076923077</v>
      </c>
      <c r="AJ546" s="62" t="n">
        <f aca="false">AI546*CC546</f>
        <v>8.94230769230769</v>
      </c>
      <c r="AK546" s="63" t="n">
        <f aca="false">IF(LEFT(Cockpit!$C$5,1)="A",H546,IF(CI546=1,(CL546+CJ546)/2,IF(LEFT(Cockpit!$C$5,1)="B",(CL546+AM546)/2,MAX((CL546+AM546)/2,H546))))</f>
        <v>109</v>
      </c>
      <c r="AL546" s="62" t="n">
        <f aca="false">AK546*G546</f>
        <v>418.56</v>
      </c>
      <c r="AM546" s="62" t="n">
        <f aca="false">ROUNDUP(CL546+MAX(CM546,2*(J546/IF(CH546&gt;0,CH546,MAX(0.1,N(Cockpit!$C$6)))-CL546)),0)</f>
        <v>107</v>
      </c>
      <c r="AN546" s="63" t="n">
        <f aca="false">IF(AJ546&gt;0,J546/AJ546,-1)</f>
        <v>8.05161290322581</v>
      </c>
      <c r="AO546" s="63" t="n">
        <f aca="false">IF(AND(OR(CG546="L1",CG546="L23",CG546="LIFT"),AJ546&gt;0),SUMIFS($AJ$7:$AJ$1843,$CG$7:$CG$1843,CG546,$AN$7:$AN$1843,"&gt;"&amp;AN546)+SUMIFS($AJ$7:$AJ$1843,$CG$7:$CG$1843,CG546,$AN$7:$AN$1843,AN546,$BX$7:$BX$1843,"&lt;="&amp;BX546),"")</f>
        <v>3046.6217948718</v>
      </c>
      <c r="AP546" s="70" t="n">
        <f aca="false">IF(AO546="",0,MAX(0,MIN(1,(IF(CG546="L1",Parameter!$H$5,IF(CG546="L23",Parameter!$H$6+Parameter!$H$7,Parameter!$H$5+Parameter!$H$6+Parameter!$H$7))-(AO546-AJ546))/AJ546)))</f>
        <v>1</v>
      </c>
      <c r="AQ546" s="62" t="n">
        <f aca="false">IF(LEFT(Cockpit!$I$5,1)="A",H546,IF(Parameter!$E$30="MAX-Bestand",IF(CI546=1,CJ546,IF(LEFT(Cockpit!$I$5,1)="B",AW546,MAX(AW546,H546))),ROUNDUP(AU546,0)))</f>
        <v>109</v>
      </c>
      <c r="AR546" s="62" t="n">
        <f aca="false">IF(CA546=1,0,ROUNDUP(AQ546/BZ546,0))</f>
        <v>3</v>
      </c>
      <c r="AS546" s="64" t="n">
        <f aca="false">IF(CR546&gt;0,CR546*MAX(1,AQ546/X546),IF(CA546=1,IF(AQ546&lt;=0,0,CE546*MAX(1,IF(H546&gt;0,AQ546/H546,1))),IF(R546&gt;0,AR546/R546,0))/MAX(0.1,N(Parameter!$M$21)))</f>
        <v>0.0576923076923077</v>
      </c>
      <c r="AT546" s="62" t="n">
        <f aca="false">AS546*CC546</f>
        <v>8.94230769230769</v>
      </c>
      <c r="AU546" s="63" t="n">
        <f aca="false">IF(LEFT(Cockpit!$I$5,1)="A",H546,IF(CI546=1,(CL546+CJ546)/2,IF(LEFT(Cockpit!$I$5,1)="B",(CL546+AW546)/2,MAX((CL546+AW546)/2,H546))))</f>
        <v>109</v>
      </c>
      <c r="AV546" s="62" t="n">
        <f aca="false">AU546*G546</f>
        <v>418.56</v>
      </c>
      <c r="AW546" s="62" t="n">
        <f aca="false">ROUNDUP(CL546+MAX(CM546,2*(J546/IF(CH546&gt;0,CH546,MAX(0.1,N(Cockpit!$I$6)))-CL546)),0)</f>
        <v>107</v>
      </c>
      <c r="AX546" s="63" t="n">
        <f aca="false">IF(AT546&gt;0,J546/AT546,-1)</f>
        <v>8.05161290322581</v>
      </c>
      <c r="AY546" s="63" t="n">
        <f aca="false">IF(AND(OR(CG546="L1",CG546="L23",CG546="LIFT"),AT546&gt;0),SUMIFS($AT$7:$AT$1843,$CG$7:$CG$1843,CG546,$AX$7:$AX$1843,"&gt;"&amp;AX546)+SUMIFS($AT$7:$AT$1843,$CG$7:$CG$1843,CG546,$AX$7:$AX$1843,AX546,$BX$7:$BX$1843,"&lt;="&amp;BX546),"")</f>
        <v>3670.68315018315</v>
      </c>
      <c r="AZ546" s="70" t="n">
        <f aca="false">IF(AY546="",0,MAX(0,MIN(1,(IF(CG546="L1",Parameter!$H$5,IF(CG546="L23",Parameter!$H$6+Parameter!$H$7,Parameter!$H$5+Parameter!$H$6+Parameter!$H$7))-(AY546-AT546))/AT546)))</f>
        <v>1</v>
      </c>
      <c r="BA546" s="62" t="n">
        <f aca="false">IF(LEFT(Cockpit!$O$5,1)="A",H546,IF(Parameter!$E$30="MAX-Bestand",IF(CI546=1,CJ546,IF(LEFT(Cockpit!$O$5,1)="B",BG546,MAX(BG546,H546))),ROUNDUP(BE546,0)))</f>
        <v>57</v>
      </c>
      <c r="BB546" s="62" t="n">
        <f aca="false">IF(CA546=1,0,ROUNDUP(BA546/BZ546,0))</f>
        <v>2</v>
      </c>
      <c r="BC546" s="64" t="n">
        <f aca="false">IF(CR546&gt;0,CR546*MAX(1,BA546/X546),IF(CA546=1,IF(BA546&lt;=0,0,CE546*MAX(1,IF(H546&gt;0,BA546/H546,1))),IF(R546&gt;0,BB546/R546,0))/MAX(0.1,N(Parameter!$M$21)))</f>
        <v>0.0384615384615385</v>
      </c>
      <c r="BD546" s="62" t="n">
        <f aca="false">BC546*CC546</f>
        <v>5.96153846153846</v>
      </c>
      <c r="BE546" s="63" t="n">
        <f aca="false">IF(LEFT(Cockpit!$O$5,1)="A",H546,IF(CI546=1,(CL546+CJ546)/2,IF(LEFT(Cockpit!$O$5,1)="B",(CL546+BG546)/2,MAX((CL546+BG546)/2,H546))))</f>
        <v>57</v>
      </c>
      <c r="BF546" s="62" t="n">
        <f aca="false">BE546*G546</f>
        <v>218.88</v>
      </c>
      <c r="BG546" s="62" t="n">
        <f aca="false">ROUNDUP(CL546+MAX(CM546,2*(J546/IF(CH546&gt;0,CH546,MAX(0.1,N(Cockpit!$O$6)))-CL546)),0)</f>
        <v>107</v>
      </c>
      <c r="BH546" s="63" t="n">
        <f aca="false">IF(BD546&gt;0,J546/BD546,-1)</f>
        <v>12.0774193548387</v>
      </c>
      <c r="BI546" s="63" t="n">
        <f aca="false">IF(AND(OR(CG546="L1",CG546="L23",CG546="LIFT"),BD546&gt;0),SUMIFS($BD$7:$BD$1843,$CG$7:$CG$1843,CG546,$BH$7:$BH$1843,"&gt;"&amp;BH546)+SUMIFS($BD$7:$BD$1843,$CG$7:$CG$1843,CG546,$BH$7:$BH$1843,BH546,$BX$7:$BX$1843,"&lt;="&amp;BX546),"")</f>
        <v>2571.7326007326</v>
      </c>
      <c r="BJ546" s="70" t="n">
        <f aca="false">IF(BI546="",0,MAX(0,MIN(1,(IF(CG546="L1",Parameter!$H$5,IF(CG546="L23",Parameter!$H$6+Parameter!$H$7,Parameter!$H$5+Parameter!$H$6+Parameter!$H$7))-(BI546-BD546))/BD546)))</f>
        <v>1</v>
      </c>
      <c r="BK546" s="60" t="str">
        <f aca="false">IF(AJ546&lt;=0,"",IF(CG546="Aussen","Aussenlager",IF(CG546="-","Nicht im Lift",IF(AP546&gt;=1,"Lift",IF(AP546&lt;=0,"Aussenlager","teilweise")))))</f>
        <v>Lift</v>
      </c>
      <c r="BL546" s="60" t="str">
        <f aca="false">IF(AT546&lt;=0,"",IF(CG546="Aussen","Aussenlager",IF(CG546="-","Nicht im Lift",IF(AZ546&gt;=1,"Lift",IF(AZ546&lt;=0,"Aussenlager","teilweise")))))</f>
        <v>Lift</v>
      </c>
      <c r="BM546" s="60" t="str">
        <f aca="false">IF(BD546&lt;=0,"",IF(CG546="Aussen","Aussenlager",IF(CG546="-","Nicht im Lift",IF(BJ546&gt;=1,"Lift",IF(BJ546&lt;=0,"Aussenlager","teilweise")))))</f>
        <v>Lift</v>
      </c>
      <c r="BN546" s="60" t="str">
        <f aca="false">IF(A546="","",IF(BW546=1,"Neu; ","")&amp;IF(AND(BW546=0,BR546&lt;0),"negativer Bestand (Export "&amp;BR546&amp;"); ","")&amp;IF(J546&lt;=0,"Kein Verbrauch; ","")&amp;IF(CR546&gt;0,"Lift "&amp;W546&amp;" lt. Liftbericht (Fach "&amp;X546&amp;" Stk); ",IF(CB546=1,"Gebinde geschätzt ("&amp;T546&amp;"); ",IF(CA546=1,"Lose – Tablare geschätzt; ","")))&amp;IF(H546&gt;AW546,"Überbestand "&amp;ROUND(H546-AW546,0)&amp;" Stk / CHF "&amp;ROUND((H546-AW546)*G546,0)&amp;"; ","")&amp;IF(AND(CI546=1,CJ546&lt;CK546),"MAX &lt; MB+LG; ","")&amp;IF(AND(CQ546&gt;0,CP546*10&gt;CQ546),"zu hoch für Tablar; ","")&amp;IF(AND(BW546=0,OR(CI546=1,AB546&lt;&gt;"",U546&lt;&gt;"",V546&lt;&gt;"",AC546&lt;&gt;"")),"manuell übersteuert; ","")&amp;IF(AND(CA546=0,R546=0),"Gebinde unbekannt / Stellmass fehlt; ","")&amp;IF(AND(CA546=0,N(V546)&lt;=0,N(Q546)&lt;=0),"Menge pro Gebinde fehlt (Ist = 1 Gebinde); ","")&amp;BV546)</f>
        <v>Überbestand 2 Stk / CHF 8; </v>
      </c>
      <c r="BO546" s="60"/>
      <c r="BP546" s="60"/>
      <c r="BQ546" s="67"/>
      <c r="BR546" s="62" t="n">
        <v>4</v>
      </c>
      <c r="BS546" s="62" t="n">
        <v>105</v>
      </c>
      <c r="BT546" s="61" t="n">
        <v>18.5100000000001</v>
      </c>
      <c r="BU546" s="62" t="n">
        <v>72</v>
      </c>
      <c r="BV546" s="60"/>
      <c r="BW546" s="65" t="n">
        <v>0</v>
      </c>
      <c r="BX546" s="65" t="n">
        <v>546</v>
      </c>
      <c r="BY546" s="60" t="str">
        <f aca="false">IF(U546&lt;&gt;"",UPPER(TRIM(U546)),IF(CB546=1,UPPER(VLOOKUP(T546,Parameter!$I$27:$K$29,2,0)),IF(P546="","LOSE",P546)))</f>
        <v>S41</v>
      </c>
      <c r="BZ546" s="62" t="n">
        <f aca="false">IF(BY546="LOSE",1,IF(N(V546)&gt;0,V546,IF(CB546=1,MAX(1,N(VLOOKUP(T546,Parameter!$I$27:$K$29,3,0)),H546,N(N546)),IF(N(Q546)&gt;0,Q546,MAX(1,H546)))))</f>
        <v>39</v>
      </c>
      <c r="CA546" s="65" t="n">
        <f aca="false">IF(BY546="LOSE",1,0)</f>
        <v>0</v>
      </c>
      <c r="CB546" s="65" t="n">
        <f aca="false">IF(AND(U546="",OR(P546="",P546="LOSE"),T546&lt;&gt;"",N(S546)&lt;=0,ISNUMBER(MATCH(T546,Parameter!$I$27:$I$29,0))),1,0)</f>
        <v>0</v>
      </c>
      <c r="CC546" s="65" t="n">
        <f aca="false">IF(CR546&gt;0,INDEX(Parameter!$H$5:$H$7,W546)/INDEX(Parameter!$E$5:$E$7,W546),IF(AND(CA546=0,N(IFERROR(VLOOKUP(BY546,'Gebinde-Kategorie'!$A$5:$N$45,14,0),0))&gt;0),VLOOKUP(BY546,'Gebinde-Kategorie'!$A$5:$N$45,14,0)*10+Parameter!$M$23,Parameter!$M$24))</f>
        <v>155</v>
      </c>
      <c r="CD546" s="60" t="str">
        <f aca="false">IF(AND(Parameter!$B$19="Ja",E546&lt;&gt;"",ISNUMBER(MATCH(E546,Parameter!$I$35:$I$52,0))),VLOOKUP(E546,Parameter!$I$35:$J$52,2,0),IFERROR(VLOOKUP(D546,Parameter!$A$35:$C$64,2,0),"Nein"))</f>
        <v>2+3</v>
      </c>
      <c r="CE546" s="64" t="n">
        <f aca="false">IF(CA546=0,0,IF(N(S546)&gt;0,S546,IFERROR(VLOOKUP(D546,Parameter!$A$35:$C$64,3,0)+0,0)))</f>
        <v>0</v>
      </c>
      <c r="CF546" s="60" t="n">
        <f aca="false">IF(AB546&lt;&gt;"",AB546,AA546)</f>
        <v>3</v>
      </c>
      <c r="CG546" s="60" t="str">
        <f aca="false">IF(OR(CF546=1,CF546=2,CF546=3),IF(Parameter!$E$27="Ja","LIFT",IF(CF546=1,"L1","L23")),IF(CF546="Aussen","Aussen","-"))</f>
        <v>LIFT</v>
      </c>
      <c r="CH546" s="71" t="n">
        <f aca="false">IF(N(AC546)&gt;0,AC546,0)</f>
        <v>0</v>
      </c>
      <c r="CI546" s="65" t="n">
        <f aca="false">IF(ISNUMBER(AF546),1,0)</f>
        <v>0</v>
      </c>
      <c r="CJ546" s="62" t="n">
        <f aca="false">N(AF546)</f>
        <v>0</v>
      </c>
      <c r="CK546" s="62" t="n">
        <f aca="false">N(M546)+N(N546)</f>
        <v>107</v>
      </c>
      <c r="CL546" s="62" t="n">
        <f aca="false">N(M546)</f>
        <v>7</v>
      </c>
      <c r="CM546" s="62" t="n">
        <f aca="false">N(N546)</f>
        <v>100</v>
      </c>
      <c r="CN546" s="62" t="n">
        <f aca="false">ROUNDUP(H546/BZ546,0)</f>
        <v>3</v>
      </c>
      <c r="CO546" s="62" t="n">
        <f aca="false">ROUNDUP(CJ546/BZ546,0)</f>
        <v>0</v>
      </c>
      <c r="CP546" s="65" t="n">
        <f aca="false">IF(CA546=1,0,IFERROR(VLOOKUP(BY546,'Gebinde-Kategorie'!$A$5:$N$45,5,0)+0,0))</f>
        <v>11</v>
      </c>
      <c r="CQ546" s="65" t="n">
        <f aca="false">IFERROR(IF(OR(CF546=1,CF546=2,CF546=3),N(INDEX(Parameter!$I$5:$I$7,CF546)),0),0)</f>
        <v>0</v>
      </c>
      <c r="CR546" s="64" t="n">
        <f aca="false">IF(AND(Parameter!$B$21="Ja",ISNUMBER(W546),N(X546)&gt;0),IFERROR(N(INDEX(Parameter!$L$5:$L$7,W546))*INDEX(Parameter!$E$5:$E$7,W546)*X546/SUMIFS($X$7:$X$1843,$W$7:$W$1843,W546),0),0)</f>
        <v>0</v>
      </c>
      <c r="CS546" s="62" t="n">
        <f aca="false">IF(AND(OR(CG546="L1",CG546="L23",CG546="LIFT"),H546&gt;0),CC546*IF(CR546&gt;0,CR546*MAX(1,H546/X546),IF(CA546=1,CE546,IF(R546&gt;0,CN546/R546,0))/MAX(0.1,N(Parameter!$M$21))),"")</f>
        <v>8.94230769230769</v>
      </c>
      <c r="CT546" s="64" t="n">
        <f aca="false">IF(CS546="","",J546/H546)</f>
        <v>0.660550458715596</v>
      </c>
      <c r="CU546" s="62" t="n">
        <f aca="false">IF(CS546="","",H546*G546)</f>
        <v>418.56</v>
      </c>
      <c r="CV546" s="63" t="n">
        <f aca="false">IF(CS546="","",(CL546+ROUNDUP(CL546+MAX(CM546,2*(J546/MAX(0.1,N(Einkauf!$C$6))-CL546)),0))/2)</f>
        <v>57</v>
      </c>
      <c r="CW546" s="62" t="n">
        <f aca="false">IF(CS546="","",MAX(0,H546-CV546)*G546)</f>
        <v>199.68</v>
      </c>
      <c r="CX546" s="62" t="n">
        <f aca="false">IF(CS546="","",CS546*MAX(0,1-CV546/H546))</f>
        <v>4.26605504587156</v>
      </c>
      <c r="CY546" s="64" t="n">
        <f aca="false">IF(CS546="","",PERCENTRANK($CS$7:$CS$1843,CS546)+PERCENTRANK($CU$7:$CU$1843,CU546)+1-PERCENTRANK($CT$7:$CT$1843,CT546))</f>
        <v>1.474</v>
      </c>
      <c r="CZ546" s="72" t="n">
        <f aca="false">IF(CS546="","",CHOOSE(MATCH(Einkauf!$C$5,Parameter!$G$23:$G$27,0),CY546,CS546,CU546,-CT546,CW546)+ROW()/1000000000)</f>
        <v>1.474000546</v>
      </c>
    </row>
    <row r="547" customFormat="false" ht="15" hidden="false" customHeight="false" outlineLevel="0" collapsed="false">
      <c r="A547" s="60" t="s">
        <v>1213</v>
      </c>
      <c r="B547" s="60" t="s">
        <v>1214</v>
      </c>
      <c r="C547" s="60" t="s">
        <v>206</v>
      </c>
      <c r="D547" s="60" t="s">
        <v>226</v>
      </c>
      <c r="E547" s="60" t="s">
        <v>227</v>
      </c>
      <c r="F547" s="60" t="s">
        <v>260</v>
      </c>
      <c r="G547" s="61" t="n">
        <v>14.86</v>
      </c>
      <c r="H547" s="62" t="n">
        <f aca="false">MAX(0,IF(AND(Parameter!$B$21="Ja",ISNUMBER(Y547)),Y547,IF(Parameter!$B$20="Jahresanfang 2025 + Export",BS547+BR547,BR547)))</f>
        <v>12</v>
      </c>
      <c r="I547" s="62" t="n">
        <f aca="false">H547*G547</f>
        <v>178.32</v>
      </c>
      <c r="J547" s="62" t="n">
        <f aca="false">BU547*Parameter!$B$18</f>
        <v>7</v>
      </c>
      <c r="K547" s="63" t="n">
        <v>8</v>
      </c>
      <c r="L547" s="64" t="n">
        <v>0.875</v>
      </c>
      <c r="M547" s="62" t="n">
        <v>0</v>
      </c>
      <c r="N547" s="62" t="n">
        <v>5</v>
      </c>
      <c r="O547" s="65" t="n">
        <v>21</v>
      </c>
      <c r="P547" s="60" t="s">
        <v>463</v>
      </c>
      <c r="Q547" s="62" t="n">
        <v>11</v>
      </c>
      <c r="R547" s="65" t="n">
        <f aca="false">IF(CA547=1,0,IFERROR(VLOOKUP(BY547,'Gebinde-Kategorie'!$A$5:$N$45,13,0)+0,0))</f>
        <v>104</v>
      </c>
      <c r="S547" s="66"/>
      <c r="T547" s="67"/>
      <c r="U547" s="67"/>
      <c r="V547" s="67"/>
      <c r="W547" s="60"/>
      <c r="X547" s="62"/>
      <c r="Y547" s="62"/>
      <c r="Z547" s="60" t="n">
        <v>3</v>
      </c>
      <c r="AA547" s="60" t="n">
        <f aca="false">IF(A547="","",IF(AND(Parameter!$B$21="Ja",ISNUMBER(W547)),W547,IF(AND(Parameter!$E$27="Ja",ISNUMBER(Z547),CD547&lt;&gt;"Nein"),Z547,IF(CD547="2+3",IF(ISNUMBER(SEARCH("grosser Artikel",BV547)),2,IFERROR(VLOOKUP(BY547,Parameter!$F$35:$G$64,2,0),2)),IF(OR(CD547="Nein",CD547=""),"-",CD547)))))</f>
        <v>3</v>
      </c>
      <c r="AB547" s="67"/>
      <c r="AC547" s="68"/>
      <c r="AD547" s="62" t="n">
        <f aca="false">AW547</f>
        <v>5</v>
      </c>
      <c r="AE547" s="62" t="n">
        <f aca="false">MAX(AW547,H547)</f>
        <v>12</v>
      </c>
      <c r="AF547" s="69"/>
      <c r="AG547" s="62" t="n">
        <f aca="false">IF(LEFT(Cockpit!$C$5,1)="A",H547,IF(Parameter!$E$30="MAX-Bestand",IF(CI547=1,CJ547,IF(LEFT(Cockpit!$C$5,1)="B",AM547,MAX(AM547,H547))),ROUNDUP(AK547,0)))</f>
        <v>12</v>
      </c>
      <c r="AH547" s="62" t="n">
        <f aca="false">IF(CA547=1,0,ROUNDUP(AG547/BZ547,0))</f>
        <v>2</v>
      </c>
      <c r="AI547" s="64" t="n">
        <f aca="false">IF(CR547&gt;0,CR547*MAX(1,AG547/X547),IF(CA547=1,IF(AG547&lt;=0,0,CE547*MAX(1,IF(H547&gt;0,AG547/H547,1))),IF(R547&gt;0,AH547/R547,0))/MAX(0.1,N(Parameter!$M$21)))</f>
        <v>0.0192307692307692</v>
      </c>
      <c r="AJ547" s="62" t="n">
        <f aca="false">AI547*CC547</f>
        <v>2.98076923076923</v>
      </c>
      <c r="AK547" s="63" t="n">
        <f aca="false">IF(LEFT(Cockpit!$C$5,1)="A",H547,IF(CI547=1,(CL547+CJ547)/2,IF(LEFT(Cockpit!$C$5,1)="B",(CL547+AM547)/2,MAX((CL547+AM547)/2,H547))))</f>
        <v>12</v>
      </c>
      <c r="AL547" s="62" t="n">
        <f aca="false">AK547*G547</f>
        <v>178.32</v>
      </c>
      <c r="AM547" s="62" t="n">
        <f aca="false">ROUNDUP(CL547+MAX(CM547,2*(J547/IF(CH547&gt;0,CH547,MAX(0.1,N(Cockpit!$C$6)))-CL547)),0)</f>
        <v>5</v>
      </c>
      <c r="AN547" s="63" t="n">
        <f aca="false">IF(AJ547&gt;0,J547/AJ547,-1)</f>
        <v>2.34838709677419</v>
      </c>
      <c r="AO547" s="63" t="n">
        <f aca="false">IF(AND(OR(CG547="L1",CG547="L23",CG547="LIFT"),AJ547&gt;0),SUMIFS($AJ$7:$AJ$1843,$CG$7:$CG$1843,CG547,$AN$7:$AN$1843,"&gt;"&amp;AN547)+SUMIFS($AJ$7:$AJ$1843,$CG$7:$CG$1843,CG547,$AN$7:$AN$1843,AN547,$BX$7:$BX$1843,"&lt;="&amp;BX547),"")</f>
        <v>5628.23763736264</v>
      </c>
      <c r="AP547" s="70" t="n">
        <f aca="false">IF(AO547="",0,MAX(0,MIN(1,(IF(CG547="L1",Parameter!$H$5,IF(CG547="L23",Parameter!$H$6+Parameter!$H$7,Parameter!$H$5+Parameter!$H$6+Parameter!$H$7))-(AO547-AJ547))/AJ547)))</f>
        <v>1</v>
      </c>
      <c r="AQ547" s="62" t="n">
        <f aca="false">IF(LEFT(Cockpit!$I$5,1)="A",H547,IF(Parameter!$E$30="MAX-Bestand",IF(CI547=1,CJ547,IF(LEFT(Cockpit!$I$5,1)="B",AW547,MAX(AW547,H547))),ROUNDUP(AU547,0)))</f>
        <v>12</v>
      </c>
      <c r="AR547" s="62" t="n">
        <f aca="false">IF(CA547=1,0,ROUNDUP(AQ547/BZ547,0))</f>
        <v>2</v>
      </c>
      <c r="AS547" s="64" t="n">
        <f aca="false">IF(CR547&gt;0,CR547*MAX(1,AQ547/X547),IF(CA547=1,IF(AQ547&lt;=0,0,CE547*MAX(1,IF(H547&gt;0,AQ547/H547,1))),IF(R547&gt;0,AR547/R547,0))/MAX(0.1,N(Parameter!$M$21)))</f>
        <v>0.0192307692307692</v>
      </c>
      <c r="AT547" s="62" t="n">
        <f aca="false">AS547*CC547</f>
        <v>2.98076923076923</v>
      </c>
      <c r="AU547" s="63" t="n">
        <f aca="false">IF(LEFT(Cockpit!$I$5,1)="A",H547,IF(CI547=1,(CL547+CJ547)/2,IF(LEFT(Cockpit!$I$5,1)="B",(CL547+AW547)/2,MAX((CL547+AW547)/2,H547))))</f>
        <v>12</v>
      </c>
      <c r="AV547" s="62" t="n">
        <f aca="false">AU547*G547</f>
        <v>178.32</v>
      </c>
      <c r="AW547" s="62" t="n">
        <f aca="false">ROUNDUP(CL547+MAX(CM547,2*(J547/IF(CH547&gt;0,CH547,MAX(0.1,N(Cockpit!$I$6)))-CL547)),0)</f>
        <v>5</v>
      </c>
      <c r="AX547" s="63" t="n">
        <f aca="false">IF(AT547&gt;0,J547/AT547,-1)</f>
        <v>2.34838709677419</v>
      </c>
      <c r="AY547" s="63" t="n">
        <f aca="false">IF(AND(OR(CG547="L1",CG547="L23",CG547="LIFT"),AT547&gt;0),SUMIFS($AT$7:$AT$1843,$CG$7:$CG$1843,CG547,$AX$7:$AX$1843,"&gt;"&amp;AX547)+SUMIFS($AT$7:$AT$1843,$CG$7:$CG$1843,CG547,$AX$7:$AX$1843,AX547,$BX$7:$BX$1843,"&lt;="&amp;BX547),"")</f>
        <v>6450.63232600733</v>
      </c>
      <c r="AZ547" s="70" t="n">
        <f aca="false">IF(AY547="",0,MAX(0,MIN(1,(IF(CG547="L1",Parameter!$H$5,IF(CG547="L23",Parameter!$H$6+Parameter!$H$7,Parameter!$H$5+Parameter!$H$6+Parameter!$H$7))-(AY547-AT547))/AT547)))</f>
        <v>1</v>
      </c>
      <c r="BA547" s="62" t="n">
        <f aca="false">IF(LEFT(Cockpit!$O$5,1)="A",H547,IF(Parameter!$E$30="MAX-Bestand",IF(CI547=1,CJ547,IF(LEFT(Cockpit!$O$5,1)="B",BG547,MAX(BG547,H547))),ROUNDUP(BE547,0)))</f>
        <v>3</v>
      </c>
      <c r="BB547" s="62" t="n">
        <f aca="false">IF(CA547=1,0,ROUNDUP(BA547/BZ547,0))</f>
        <v>1</v>
      </c>
      <c r="BC547" s="64" t="n">
        <f aca="false">IF(CR547&gt;0,CR547*MAX(1,BA547/X547),IF(CA547=1,IF(BA547&lt;=0,0,CE547*MAX(1,IF(H547&gt;0,BA547/H547,1))),IF(R547&gt;0,BB547/R547,0))/MAX(0.1,N(Parameter!$M$21)))</f>
        <v>0.00961538461538462</v>
      </c>
      <c r="BD547" s="62" t="n">
        <f aca="false">BC547*CC547</f>
        <v>1.49038461538462</v>
      </c>
      <c r="BE547" s="63" t="n">
        <f aca="false">IF(LEFT(Cockpit!$O$5,1)="A",H547,IF(CI547=1,(CL547+CJ547)/2,IF(LEFT(Cockpit!$O$5,1)="B",(CL547+BG547)/2,MAX((CL547+BG547)/2,H547))))</f>
        <v>2.5</v>
      </c>
      <c r="BF547" s="62" t="n">
        <f aca="false">BE547*G547</f>
        <v>37.15</v>
      </c>
      <c r="BG547" s="62" t="n">
        <f aca="false">ROUNDUP(CL547+MAX(CM547,2*(J547/IF(CH547&gt;0,CH547,MAX(0.1,N(Cockpit!$O$6)))-CL547)),0)</f>
        <v>5</v>
      </c>
      <c r="BH547" s="63" t="n">
        <f aca="false">IF(BD547&gt;0,J547/BD547,-1)</f>
        <v>4.69677419354839</v>
      </c>
      <c r="BI547" s="63" t="n">
        <f aca="false">IF(AND(OR(CG547="L1",CG547="L23",CG547="LIFT"),BD547&gt;0),SUMIFS($BD$7:$BD$1843,$CG$7:$CG$1843,CG547,$BH$7:$BH$1843,"&gt;"&amp;BH547)+SUMIFS($BD$7:$BD$1843,$CG$7:$CG$1843,CG547,$BH$7:$BH$1843,BH547,$BX$7:$BX$1843,"&lt;="&amp;BX547),"")</f>
        <v>3875.4478021978</v>
      </c>
      <c r="BJ547" s="70" t="n">
        <f aca="false">IF(BI547="",0,MAX(0,MIN(1,(IF(CG547="L1",Parameter!$H$5,IF(CG547="L23",Parameter!$H$6+Parameter!$H$7,Parameter!$H$5+Parameter!$H$6+Parameter!$H$7))-(BI547-BD547))/BD547)))</f>
        <v>1</v>
      </c>
      <c r="BK547" s="60" t="str">
        <f aca="false">IF(AJ547&lt;=0,"",IF(CG547="Aussen","Aussenlager",IF(CG547="-","Nicht im Lift",IF(AP547&gt;=1,"Lift",IF(AP547&lt;=0,"Aussenlager","teilweise")))))</f>
        <v>Lift</v>
      </c>
      <c r="BL547" s="60" t="str">
        <f aca="false">IF(AT547&lt;=0,"",IF(CG547="Aussen","Aussenlager",IF(CG547="-","Nicht im Lift",IF(AZ547&gt;=1,"Lift",IF(AZ547&lt;=0,"Aussenlager","teilweise")))))</f>
        <v>Lift</v>
      </c>
      <c r="BM547" s="60" t="str">
        <f aca="false">IF(BD547&lt;=0,"",IF(CG547="Aussen","Aussenlager",IF(CG547="-","Nicht im Lift",IF(BJ547&gt;=1,"Lift",IF(BJ547&lt;=0,"Aussenlager","teilweise")))))</f>
        <v>Lift</v>
      </c>
      <c r="BN547" s="60" t="str">
        <f aca="false">IF(A547="","",IF(BW547=1,"Neu; ","")&amp;IF(AND(BW547=0,BR547&lt;0),"negativer Bestand (Export "&amp;BR547&amp;"); ","")&amp;IF(J547&lt;=0,"Kein Verbrauch; ","")&amp;IF(CR547&gt;0,"Lift "&amp;W547&amp;" lt. Liftbericht (Fach "&amp;X547&amp;" Stk); ",IF(CB547=1,"Gebinde geschätzt ("&amp;T547&amp;"); ",IF(CA547=1,"Lose – Tablare geschätzt; ","")))&amp;IF(H547&gt;AW547,"Überbestand "&amp;ROUND(H547-AW547,0)&amp;" Stk / CHF "&amp;ROUND((H547-AW547)*G547,0)&amp;"; ","")&amp;IF(AND(CI547=1,CJ547&lt;CK547),"MAX &lt; MB+LG; ","")&amp;IF(AND(CQ547&gt;0,CP547*10&gt;CQ547),"zu hoch für Tablar; ","")&amp;IF(AND(BW547=0,OR(CI547=1,AB547&lt;&gt;"",U547&lt;&gt;"",V547&lt;&gt;"",AC547&lt;&gt;"")),"manuell übersteuert; ","")&amp;IF(AND(CA547=0,R547=0),"Gebinde unbekannt / Stellmass fehlt; ","")&amp;IF(AND(CA547=0,N(V547)&lt;=0,N(Q547)&lt;=0),"Menge pro Gebinde fehlt (Ist = 1 Gebinde); ","")&amp;BV547)</f>
        <v>Überbestand 7 Stk / CHF 104; </v>
      </c>
      <c r="BO547" s="60"/>
      <c r="BP547" s="60"/>
      <c r="BQ547" s="67"/>
      <c r="BR547" s="62" t="n">
        <v>0</v>
      </c>
      <c r="BS547" s="62" t="n">
        <v>12</v>
      </c>
      <c r="BT547" s="61" t="n">
        <v>18.48</v>
      </c>
      <c r="BU547" s="62" t="n">
        <v>7</v>
      </c>
      <c r="BV547" s="60"/>
      <c r="BW547" s="65" t="n">
        <v>0</v>
      </c>
      <c r="BX547" s="65" t="n">
        <v>547</v>
      </c>
      <c r="BY547" s="60" t="str">
        <f aca="false">IF(U547&lt;&gt;"",UPPER(TRIM(U547)),IF(CB547=1,UPPER(VLOOKUP(T547,Parameter!$I$27:$K$29,2,0)),IF(P547="","LOSE",P547)))</f>
        <v>S32</v>
      </c>
      <c r="BZ547" s="62" t="n">
        <f aca="false">IF(BY547="LOSE",1,IF(N(V547)&gt;0,V547,IF(CB547=1,MAX(1,N(VLOOKUP(T547,Parameter!$I$27:$K$29,3,0)),H547,N(N547)),IF(N(Q547)&gt;0,Q547,MAX(1,H547)))))</f>
        <v>11</v>
      </c>
      <c r="CA547" s="65" t="n">
        <f aca="false">IF(BY547="LOSE",1,0)</f>
        <v>0</v>
      </c>
      <c r="CB547" s="65" t="n">
        <f aca="false">IF(AND(U547="",OR(P547="",P547="LOSE"),T547&lt;&gt;"",N(S547)&lt;=0,ISNUMBER(MATCH(T547,Parameter!$I$27:$I$29,0))),1,0)</f>
        <v>0</v>
      </c>
      <c r="CC547" s="65" t="n">
        <f aca="false">IF(CR547&gt;0,INDEX(Parameter!$H$5:$H$7,W547)/INDEX(Parameter!$E$5:$E$7,W547),IF(AND(CA547=0,N(IFERROR(VLOOKUP(BY547,'Gebinde-Kategorie'!$A$5:$N$45,14,0),0))&gt;0),VLOOKUP(BY547,'Gebinde-Kategorie'!$A$5:$N$45,14,0)*10+Parameter!$M$23,Parameter!$M$24))</f>
        <v>155</v>
      </c>
      <c r="CD547" s="60" t="str">
        <f aca="false">IF(AND(Parameter!$B$19="Ja",E547&lt;&gt;"",ISNUMBER(MATCH(E547,Parameter!$I$35:$I$52,0))),VLOOKUP(E547,Parameter!$I$35:$J$52,2,0),IFERROR(VLOOKUP(D547,Parameter!$A$35:$C$64,2,0),"Nein"))</f>
        <v>2+3</v>
      </c>
      <c r="CE547" s="64" t="n">
        <f aca="false">IF(CA547=0,0,IF(N(S547)&gt;0,S547,IFERROR(VLOOKUP(D547,Parameter!$A$35:$C$64,3,0)+0,0)))</f>
        <v>0</v>
      </c>
      <c r="CF547" s="60" t="n">
        <f aca="false">IF(AB547&lt;&gt;"",AB547,AA547)</f>
        <v>3</v>
      </c>
      <c r="CG547" s="60" t="str">
        <f aca="false">IF(OR(CF547=1,CF547=2,CF547=3),IF(Parameter!$E$27="Ja","LIFT",IF(CF547=1,"L1","L23")),IF(CF547="Aussen","Aussen","-"))</f>
        <v>LIFT</v>
      </c>
      <c r="CH547" s="71" t="n">
        <f aca="false">IF(N(AC547)&gt;0,AC547,0)</f>
        <v>0</v>
      </c>
      <c r="CI547" s="65" t="n">
        <f aca="false">IF(ISNUMBER(AF547),1,0)</f>
        <v>0</v>
      </c>
      <c r="CJ547" s="62" t="n">
        <f aca="false">N(AF547)</f>
        <v>0</v>
      </c>
      <c r="CK547" s="62" t="n">
        <f aca="false">N(M547)+N(N547)</f>
        <v>5</v>
      </c>
      <c r="CL547" s="62" t="n">
        <f aca="false">N(M547)</f>
        <v>0</v>
      </c>
      <c r="CM547" s="62" t="n">
        <f aca="false">N(N547)</f>
        <v>5</v>
      </c>
      <c r="CN547" s="62" t="n">
        <f aca="false">ROUNDUP(H547/BZ547,0)</f>
        <v>2</v>
      </c>
      <c r="CO547" s="62" t="n">
        <f aca="false">ROUNDUP(CJ547/BZ547,0)</f>
        <v>0</v>
      </c>
      <c r="CP547" s="65" t="n">
        <f aca="false">IF(CA547=1,0,IFERROR(VLOOKUP(BY547,'Gebinde-Kategorie'!$A$5:$N$45,5,0)+0,0))</f>
        <v>8</v>
      </c>
      <c r="CQ547" s="65" t="n">
        <f aca="false">IFERROR(IF(OR(CF547=1,CF547=2,CF547=3),N(INDEX(Parameter!$I$5:$I$7,CF547)),0),0)</f>
        <v>0</v>
      </c>
      <c r="CR547" s="64" t="n">
        <f aca="false">IF(AND(Parameter!$B$21="Ja",ISNUMBER(W547),N(X547)&gt;0),IFERROR(N(INDEX(Parameter!$L$5:$L$7,W547))*INDEX(Parameter!$E$5:$E$7,W547)*X547/SUMIFS($X$7:$X$1843,$W$7:$W$1843,W547),0),0)</f>
        <v>0</v>
      </c>
      <c r="CS547" s="62" t="n">
        <f aca="false">IF(AND(OR(CG547="L1",CG547="L23",CG547="LIFT"),H547&gt;0),CC547*IF(CR547&gt;0,CR547*MAX(1,H547/X547),IF(CA547=1,CE547,IF(R547&gt;0,CN547/R547,0))/MAX(0.1,N(Parameter!$M$21))),"")</f>
        <v>2.98076923076923</v>
      </c>
      <c r="CT547" s="64" t="n">
        <f aca="false">IF(CS547="","",J547/H547)</f>
        <v>0.583333333333333</v>
      </c>
      <c r="CU547" s="62" t="n">
        <f aca="false">IF(CS547="","",H547*G547)</f>
        <v>178.32</v>
      </c>
      <c r="CV547" s="63" t="n">
        <f aca="false">IF(CS547="","",(CL547+ROUNDUP(CL547+MAX(CM547,2*(J547/MAX(0.1,N(Einkauf!$C$6))-CL547)),0))/2)</f>
        <v>2.5</v>
      </c>
      <c r="CW547" s="62" t="n">
        <f aca="false">IF(CS547="","",MAX(0,H547-CV547)*G547)</f>
        <v>141.17</v>
      </c>
      <c r="CX547" s="62" t="n">
        <f aca="false">IF(CS547="","",CS547*MAX(0,1-CV547/H547))</f>
        <v>2.35977564102564</v>
      </c>
      <c r="CY547" s="64" t="n">
        <f aca="false">IF(CS547="","",PERCENTRANK($CS$7:$CS$1843,CS547)+PERCENTRANK($CU$7:$CU$1843,CU547)+1-PERCENTRANK($CT$7:$CT$1843,CT547))</f>
        <v>0.969</v>
      </c>
      <c r="CZ547" s="72" t="n">
        <f aca="false">IF(CS547="","",CHOOSE(MATCH(Einkauf!$C$5,Parameter!$G$23:$G$27,0),CY547,CS547,CU547,-CT547,CW547)+ROW()/1000000000)</f>
        <v>0.969000547</v>
      </c>
    </row>
    <row r="548" customFormat="false" ht="15" hidden="false" customHeight="false" outlineLevel="0" collapsed="false">
      <c r="A548" s="60" t="s">
        <v>1215</v>
      </c>
      <c r="B548" s="60" t="s">
        <v>1137</v>
      </c>
      <c r="C548" s="60" t="s">
        <v>206</v>
      </c>
      <c r="D548" s="60" t="s">
        <v>226</v>
      </c>
      <c r="E548" s="60"/>
      <c r="F548" s="60" t="s">
        <v>260</v>
      </c>
      <c r="G548" s="61" t="n">
        <v>6.05</v>
      </c>
      <c r="H548" s="62" t="n">
        <f aca="false">MAX(0,IF(AND(Parameter!$B$21="Ja",ISNUMBER(Y548)),Y548,IF(Parameter!$B$20="Jahresanfang 2025 + Export",BS548+BR548,BR548)))</f>
        <v>3</v>
      </c>
      <c r="I548" s="62" t="n">
        <f aca="false">H548*G548</f>
        <v>18.15</v>
      </c>
      <c r="J548" s="62" t="n">
        <f aca="false">BU548*Parameter!$B$18</f>
        <v>4</v>
      </c>
      <c r="K548" s="63" t="n">
        <v>2.5</v>
      </c>
      <c r="L548" s="64" t="n">
        <v>1.6</v>
      </c>
      <c r="M548" s="62" t="n">
        <v>0</v>
      </c>
      <c r="N548" s="62" t="n">
        <v>5</v>
      </c>
      <c r="O548" s="65" t="n">
        <v>14</v>
      </c>
      <c r="P548" s="60" t="s">
        <v>443</v>
      </c>
      <c r="Q548" s="62" t="n">
        <v>3</v>
      </c>
      <c r="R548" s="65" t="n">
        <f aca="false">IF(CA548=1,0,IFERROR(VLOOKUP(BY548,'Gebinde-Kategorie'!$A$5:$N$45,13,0)+0,0))</f>
        <v>280</v>
      </c>
      <c r="S548" s="66"/>
      <c r="T548" s="67"/>
      <c r="U548" s="67"/>
      <c r="V548" s="67"/>
      <c r="W548" s="60"/>
      <c r="X548" s="62"/>
      <c r="Y548" s="62"/>
      <c r="Z548" s="60" t="n">
        <v>3</v>
      </c>
      <c r="AA548" s="60" t="n">
        <f aca="false">IF(A548="","",IF(AND(Parameter!$B$21="Ja",ISNUMBER(W548)),W548,IF(AND(Parameter!$E$27="Ja",ISNUMBER(Z548),CD548&lt;&gt;"Nein"),Z548,IF(CD548="2+3",IF(ISNUMBER(SEARCH("grosser Artikel",BV548)),2,IFERROR(VLOOKUP(BY548,Parameter!$F$35:$G$64,2,0),2)),IF(OR(CD548="Nein",CD548=""),"-",CD548)))))</f>
        <v>3</v>
      </c>
      <c r="AB548" s="67"/>
      <c r="AC548" s="68"/>
      <c r="AD548" s="62" t="n">
        <f aca="false">AW548</f>
        <v>5</v>
      </c>
      <c r="AE548" s="62" t="n">
        <f aca="false">MAX(AW548,H548)</f>
        <v>5</v>
      </c>
      <c r="AF548" s="69"/>
      <c r="AG548" s="62" t="n">
        <f aca="false">IF(LEFT(Cockpit!$C$5,1)="A",H548,IF(Parameter!$E$30="MAX-Bestand",IF(CI548=1,CJ548,IF(LEFT(Cockpit!$C$5,1)="B",AM548,MAX(AM548,H548))),ROUNDUP(AK548,0)))</f>
        <v>3</v>
      </c>
      <c r="AH548" s="62" t="n">
        <f aca="false">IF(CA548=1,0,ROUNDUP(AG548/BZ548,0))</f>
        <v>1</v>
      </c>
      <c r="AI548" s="64" t="n">
        <f aca="false">IF(CR548&gt;0,CR548*MAX(1,AG548/X548),IF(CA548=1,IF(AG548&lt;=0,0,CE548*MAX(1,IF(H548&gt;0,AG548/H548,1))),IF(R548&gt;0,AH548/R548,0))/MAX(0.1,N(Parameter!$M$21)))</f>
        <v>0.00357142857142857</v>
      </c>
      <c r="AJ548" s="62" t="n">
        <f aca="false">AI548*CC548</f>
        <v>0.553571428571429</v>
      </c>
      <c r="AK548" s="63" t="n">
        <f aca="false">IF(LEFT(Cockpit!$C$5,1)="A",H548,IF(CI548=1,(CL548+CJ548)/2,IF(LEFT(Cockpit!$C$5,1)="B",(CL548+AM548)/2,MAX((CL548+AM548)/2,H548))))</f>
        <v>3</v>
      </c>
      <c r="AL548" s="62" t="n">
        <f aca="false">AK548*G548</f>
        <v>18.15</v>
      </c>
      <c r="AM548" s="62" t="n">
        <f aca="false">ROUNDUP(CL548+MAX(CM548,2*(J548/IF(CH548&gt;0,CH548,MAX(0.1,N(Cockpit!$C$6)))-CL548)),0)</f>
        <v>5</v>
      </c>
      <c r="AN548" s="63" t="n">
        <f aca="false">IF(AJ548&gt;0,J548/AJ548,-1)</f>
        <v>7.2258064516129</v>
      </c>
      <c r="AO548" s="63" t="n">
        <f aca="false">IF(AND(OR(CG548="L1",CG548="L23",CG548="LIFT"),AJ548&gt;0),SUMIFS($AJ$7:$AJ$1843,$CG$7:$CG$1843,CG548,$AN$7:$AN$1843,"&gt;"&amp;AN548)+SUMIFS($AJ$7:$AJ$1843,$CG$7:$CG$1843,CG548,$AN$7:$AN$1843,AN548,$BX$7:$BX$1843,"&lt;="&amp;BX548),"")</f>
        <v>3155.58287545788</v>
      </c>
      <c r="AP548" s="70" t="n">
        <f aca="false">IF(AO548="",0,MAX(0,MIN(1,(IF(CG548="L1",Parameter!$H$5,IF(CG548="L23",Parameter!$H$6+Parameter!$H$7,Parameter!$H$5+Parameter!$H$6+Parameter!$H$7))-(AO548-AJ548))/AJ548)))</f>
        <v>1</v>
      </c>
      <c r="AQ548" s="62" t="n">
        <f aca="false">IF(LEFT(Cockpit!$I$5,1)="A",H548,IF(Parameter!$E$30="MAX-Bestand",IF(CI548=1,CJ548,IF(LEFT(Cockpit!$I$5,1)="B",AW548,MAX(AW548,H548))),ROUNDUP(AU548,0)))</f>
        <v>3</v>
      </c>
      <c r="AR548" s="62" t="n">
        <f aca="false">IF(CA548=1,0,ROUNDUP(AQ548/BZ548,0))</f>
        <v>1</v>
      </c>
      <c r="AS548" s="64" t="n">
        <f aca="false">IF(CR548&gt;0,CR548*MAX(1,AQ548/X548),IF(CA548=1,IF(AQ548&lt;=0,0,CE548*MAX(1,IF(H548&gt;0,AQ548/H548,1))),IF(R548&gt;0,AR548/R548,0))/MAX(0.1,N(Parameter!$M$21)))</f>
        <v>0.00357142857142857</v>
      </c>
      <c r="AT548" s="62" t="n">
        <f aca="false">AS548*CC548</f>
        <v>0.553571428571429</v>
      </c>
      <c r="AU548" s="63" t="n">
        <f aca="false">IF(LEFT(Cockpit!$I$5,1)="A",H548,IF(CI548=1,(CL548+CJ548)/2,IF(LEFT(Cockpit!$I$5,1)="B",(CL548+AW548)/2,MAX((CL548+AW548)/2,H548))))</f>
        <v>3</v>
      </c>
      <c r="AV548" s="62" t="n">
        <f aca="false">AU548*G548</f>
        <v>18.15</v>
      </c>
      <c r="AW548" s="62" t="n">
        <f aca="false">ROUNDUP(CL548+MAX(CM548,2*(J548/IF(CH548&gt;0,CH548,MAX(0.1,N(Cockpit!$I$6)))-CL548)),0)</f>
        <v>5</v>
      </c>
      <c r="AX548" s="63" t="n">
        <f aca="false">IF(AT548&gt;0,J548/AT548,-1)</f>
        <v>7.2258064516129</v>
      </c>
      <c r="AY548" s="63" t="n">
        <f aca="false">IF(AND(OR(CG548="L1",CG548="L23",CG548="LIFT"),AT548&gt;0),SUMIFS($AT$7:$AT$1843,$CG$7:$CG$1843,CG548,$AX$7:$AX$1843,"&gt;"&amp;AX548)+SUMIFS($AT$7:$AT$1843,$CG$7:$CG$1843,CG548,$AX$7:$AX$1843,AX548,$BX$7:$BX$1843,"&lt;="&amp;BX548),"")</f>
        <v>3815.89423076923</v>
      </c>
      <c r="AZ548" s="70" t="n">
        <f aca="false">IF(AY548="",0,MAX(0,MIN(1,(IF(CG548="L1",Parameter!$H$5,IF(CG548="L23",Parameter!$H$6+Parameter!$H$7,Parameter!$H$5+Parameter!$H$6+Parameter!$H$7))-(AY548-AT548))/AT548)))</f>
        <v>1</v>
      </c>
      <c r="BA548" s="62" t="n">
        <f aca="false">IF(LEFT(Cockpit!$O$5,1)="A",H548,IF(Parameter!$E$30="MAX-Bestand",IF(CI548=1,CJ548,IF(LEFT(Cockpit!$O$5,1)="B",BG548,MAX(BG548,H548))),ROUNDUP(BE548,0)))</f>
        <v>3</v>
      </c>
      <c r="BB548" s="62" t="n">
        <f aca="false">IF(CA548=1,0,ROUNDUP(BA548/BZ548,0))</f>
        <v>1</v>
      </c>
      <c r="BC548" s="64" t="n">
        <f aca="false">IF(CR548&gt;0,CR548*MAX(1,BA548/X548),IF(CA548=1,IF(BA548&lt;=0,0,CE548*MAX(1,IF(H548&gt;0,BA548/H548,1))),IF(R548&gt;0,BB548/R548,0))/MAX(0.1,N(Parameter!$M$21)))</f>
        <v>0.00357142857142857</v>
      </c>
      <c r="BD548" s="62" t="n">
        <f aca="false">BC548*CC548</f>
        <v>0.553571428571429</v>
      </c>
      <c r="BE548" s="63" t="n">
        <f aca="false">IF(LEFT(Cockpit!$O$5,1)="A",H548,IF(CI548=1,(CL548+CJ548)/2,IF(LEFT(Cockpit!$O$5,1)="B",(CL548+BG548)/2,MAX((CL548+BG548)/2,H548))))</f>
        <v>2.5</v>
      </c>
      <c r="BF548" s="62" t="n">
        <f aca="false">BE548*G548</f>
        <v>15.125</v>
      </c>
      <c r="BG548" s="62" t="n">
        <f aca="false">ROUNDUP(CL548+MAX(CM548,2*(J548/IF(CH548&gt;0,CH548,MAX(0.1,N(Cockpit!$O$6)))-CL548)),0)</f>
        <v>5</v>
      </c>
      <c r="BH548" s="63" t="n">
        <f aca="false">IF(BD548&gt;0,J548/BD548,-1)</f>
        <v>7.2258064516129</v>
      </c>
      <c r="BI548" s="63" t="n">
        <f aca="false">IF(AND(OR(CG548="L1",CG548="L23",CG548="LIFT"),BD548&gt;0),SUMIFS($BD$7:$BD$1843,$CG$7:$CG$1843,CG548,$BH$7:$BH$1843,"&gt;"&amp;BH548)+SUMIFS($BD$7:$BD$1843,$CG$7:$CG$1843,CG548,$BH$7:$BH$1843,BH548,$BX$7:$BX$1843,"&lt;="&amp;BX548),"")</f>
        <v>3240.35210622711</v>
      </c>
      <c r="BJ548" s="70" t="n">
        <f aca="false">IF(BI548="",0,MAX(0,MIN(1,(IF(CG548="L1",Parameter!$H$5,IF(CG548="L23",Parameter!$H$6+Parameter!$H$7,Parameter!$H$5+Parameter!$H$6+Parameter!$H$7))-(BI548-BD548))/BD548)))</f>
        <v>1</v>
      </c>
      <c r="BK548" s="60" t="str">
        <f aca="false">IF(AJ548&lt;=0,"",IF(CG548="Aussen","Aussenlager",IF(CG548="-","Nicht im Lift",IF(AP548&gt;=1,"Lift",IF(AP548&lt;=0,"Aussenlager","teilweise")))))</f>
        <v>Lift</v>
      </c>
      <c r="BL548" s="60" t="str">
        <f aca="false">IF(AT548&lt;=0,"",IF(CG548="Aussen","Aussenlager",IF(CG548="-","Nicht im Lift",IF(AZ548&gt;=1,"Lift",IF(AZ548&lt;=0,"Aussenlager","teilweise")))))</f>
        <v>Lift</v>
      </c>
      <c r="BM548" s="60" t="str">
        <f aca="false">IF(BD548&lt;=0,"",IF(CG548="Aussen","Aussenlager",IF(CG548="-","Nicht im Lift",IF(BJ548&gt;=1,"Lift",IF(BJ548&lt;=0,"Aussenlager","teilweise")))))</f>
        <v>Lift</v>
      </c>
      <c r="BN548" s="60" t="str">
        <f aca="false">IF(A548="","",IF(BW548=1,"Neu; ","")&amp;IF(AND(BW548=0,BR548&lt;0),"negativer Bestand (Export "&amp;BR548&amp;"); ","")&amp;IF(J548&lt;=0,"Kein Verbrauch; ","")&amp;IF(CR548&gt;0,"Lift "&amp;W548&amp;" lt. Liftbericht (Fach "&amp;X548&amp;" Stk); ",IF(CB548=1,"Gebinde geschätzt ("&amp;T548&amp;"); ",IF(CA548=1,"Lose – Tablare geschätzt; ","")))&amp;IF(H548&gt;AW548,"Überbestand "&amp;ROUND(H548-AW548,0)&amp;" Stk / CHF "&amp;ROUND((H548-AW548)*G548,0)&amp;"; ","")&amp;IF(AND(CI548=1,CJ548&lt;CK548),"MAX &lt; MB+LG; ","")&amp;IF(AND(CQ548&gt;0,CP548*10&gt;CQ548),"zu hoch für Tablar; ","")&amp;IF(AND(BW548=0,OR(CI548=1,AB548&lt;&gt;"",U548&lt;&gt;"",V548&lt;&gt;"",AC548&lt;&gt;"")),"manuell übersteuert; ","")&amp;IF(AND(CA548=0,R548=0),"Gebinde unbekannt / Stellmass fehlt; ","")&amp;IF(AND(CA548=0,N(V548)&lt;=0,N(Q548)&lt;=0),"Menge pro Gebinde fehlt (Ist = 1 Gebinde); ","")&amp;BV548)</f>
        <v/>
      </c>
      <c r="BO548" s="60"/>
      <c r="BP548" s="60"/>
      <c r="BQ548" s="67"/>
      <c r="BR548" s="62" t="n">
        <v>3</v>
      </c>
      <c r="BS548" s="62" t="n">
        <v>0</v>
      </c>
      <c r="BT548" s="61" t="n">
        <v>18.15</v>
      </c>
      <c r="BU548" s="62" t="n">
        <v>4</v>
      </c>
      <c r="BV548" s="60"/>
      <c r="BW548" s="65" t="n">
        <v>0</v>
      </c>
      <c r="BX548" s="65" t="n">
        <v>548</v>
      </c>
      <c r="BY548" s="60" t="str">
        <f aca="false">IF(U548&lt;&gt;"",UPPER(TRIM(U548)),IF(CB548=1,UPPER(VLOOKUP(T548,Parameter!$I$27:$K$29,2,0)),IF(P548="","LOSE",P548)))</f>
        <v>S21</v>
      </c>
      <c r="BZ548" s="62" t="n">
        <f aca="false">IF(BY548="LOSE",1,IF(N(V548)&gt;0,V548,IF(CB548=1,MAX(1,N(VLOOKUP(T548,Parameter!$I$27:$K$29,3,0)),H548,N(N548)),IF(N(Q548)&gt;0,Q548,MAX(1,H548)))))</f>
        <v>3</v>
      </c>
      <c r="CA548" s="65" t="n">
        <f aca="false">IF(BY548="LOSE",1,0)</f>
        <v>0</v>
      </c>
      <c r="CB548" s="65" t="n">
        <f aca="false">IF(AND(U548="",OR(P548="",P548="LOSE"),T548&lt;&gt;"",N(S548)&lt;=0,ISNUMBER(MATCH(T548,Parameter!$I$27:$I$29,0))),1,0)</f>
        <v>0</v>
      </c>
      <c r="CC548" s="65" t="n">
        <f aca="false">IF(CR548&gt;0,INDEX(Parameter!$H$5:$H$7,W548)/INDEX(Parameter!$E$5:$E$7,W548),IF(AND(CA548=0,N(IFERROR(VLOOKUP(BY548,'Gebinde-Kategorie'!$A$5:$N$45,14,0),0))&gt;0),VLOOKUP(BY548,'Gebinde-Kategorie'!$A$5:$N$45,14,0)*10+Parameter!$M$23,Parameter!$M$24))</f>
        <v>155</v>
      </c>
      <c r="CD548" s="60" t="str">
        <f aca="false">IF(AND(Parameter!$B$19="Ja",E548&lt;&gt;"",ISNUMBER(MATCH(E548,Parameter!$I$35:$I$52,0))),VLOOKUP(E548,Parameter!$I$35:$J$52,2,0),IFERROR(VLOOKUP(D548,Parameter!$A$35:$C$64,2,0),"Nein"))</f>
        <v>2+3</v>
      </c>
      <c r="CE548" s="64" t="n">
        <f aca="false">IF(CA548=0,0,IF(N(S548)&gt;0,S548,IFERROR(VLOOKUP(D548,Parameter!$A$35:$C$64,3,0)+0,0)))</f>
        <v>0</v>
      </c>
      <c r="CF548" s="60" t="n">
        <f aca="false">IF(AB548&lt;&gt;"",AB548,AA548)</f>
        <v>3</v>
      </c>
      <c r="CG548" s="60" t="str">
        <f aca="false">IF(OR(CF548=1,CF548=2,CF548=3),IF(Parameter!$E$27="Ja","LIFT",IF(CF548=1,"L1","L23")),IF(CF548="Aussen","Aussen","-"))</f>
        <v>LIFT</v>
      </c>
      <c r="CH548" s="71" t="n">
        <f aca="false">IF(N(AC548)&gt;0,AC548,0)</f>
        <v>0</v>
      </c>
      <c r="CI548" s="65" t="n">
        <f aca="false">IF(ISNUMBER(AF548),1,0)</f>
        <v>0</v>
      </c>
      <c r="CJ548" s="62" t="n">
        <f aca="false">N(AF548)</f>
        <v>0</v>
      </c>
      <c r="CK548" s="62" t="n">
        <f aca="false">N(M548)+N(N548)</f>
        <v>5</v>
      </c>
      <c r="CL548" s="62" t="n">
        <f aca="false">N(M548)</f>
        <v>0</v>
      </c>
      <c r="CM548" s="62" t="n">
        <f aca="false">N(N548)</f>
        <v>5</v>
      </c>
      <c r="CN548" s="62" t="n">
        <f aca="false">ROUNDUP(H548/BZ548,0)</f>
        <v>1</v>
      </c>
      <c r="CO548" s="62" t="n">
        <f aca="false">ROUNDUP(CJ548/BZ548,0)</f>
        <v>0</v>
      </c>
      <c r="CP548" s="65" t="n">
        <f aca="false">IF(CA548=1,0,IFERROR(VLOOKUP(BY548,'Gebinde-Kategorie'!$A$5:$N$45,5,0)+0,0))</f>
        <v>8</v>
      </c>
      <c r="CQ548" s="65" t="n">
        <f aca="false">IFERROR(IF(OR(CF548=1,CF548=2,CF548=3),N(INDEX(Parameter!$I$5:$I$7,CF548)),0),0)</f>
        <v>0</v>
      </c>
      <c r="CR548" s="64" t="n">
        <f aca="false">IF(AND(Parameter!$B$21="Ja",ISNUMBER(W548),N(X548)&gt;0),IFERROR(N(INDEX(Parameter!$L$5:$L$7,W548))*INDEX(Parameter!$E$5:$E$7,W548)*X548/SUMIFS($X$7:$X$1843,$W$7:$W$1843,W548),0),0)</f>
        <v>0</v>
      </c>
      <c r="CS548" s="62" t="n">
        <f aca="false">IF(AND(OR(CG548="L1",CG548="L23",CG548="LIFT"),H548&gt;0),CC548*IF(CR548&gt;0,CR548*MAX(1,H548/X548),IF(CA548=1,CE548,IF(R548&gt;0,CN548/R548,0))/MAX(0.1,N(Parameter!$M$21))),"")</f>
        <v>0.553571428571429</v>
      </c>
      <c r="CT548" s="64" t="n">
        <f aca="false">IF(CS548="","",J548/H548)</f>
        <v>1.33333333333333</v>
      </c>
      <c r="CU548" s="62" t="n">
        <f aca="false">IF(CS548="","",H548*G548)</f>
        <v>18.15</v>
      </c>
      <c r="CV548" s="63" t="n">
        <f aca="false">IF(CS548="","",(CL548+ROUNDUP(CL548+MAX(CM548,2*(J548/MAX(0.1,N(Einkauf!$C$6))-CL548)),0))/2)</f>
        <v>2.5</v>
      </c>
      <c r="CW548" s="62" t="n">
        <f aca="false">IF(CS548="","",MAX(0,H548-CV548)*G548)</f>
        <v>3.025</v>
      </c>
      <c r="CX548" s="62" t="n">
        <f aca="false">IF(CS548="","",CS548*MAX(0,1-CV548/H548))</f>
        <v>0.0922619047619048</v>
      </c>
      <c r="CY548" s="64" t="n">
        <f aca="false">IF(CS548="","",PERCENTRANK($CS$7:$CS$1843,CS548)+PERCENTRANK($CU$7:$CU$1843,CU548)+1-PERCENTRANK($CT$7:$CT$1843,CT548))</f>
        <v>0.3321</v>
      </c>
      <c r="CZ548" s="72" t="n">
        <f aca="false">IF(CS548="","",CHOOSE(MATCH(Einkauf!$C$5,Parameter!$G$23:$G$27,0),CY548,CS548,CU548,-CT548,CW548)+ROW()/1000000000)</f>
        <v>0.332100548</v>
      </c>
    </row>
    <row r="549" customFormat="false" ht="15" hidden="false" customHeight="false" outlineLevel="0" collapsed="false">
      <c r="A549" s="60" t="s">
        <v>1216</v>
      </c>
      <c r="B549" s="60" t="s">
        <v>889</v>
      </c>
      <c r="C549" s="60" t="s">
        <v>206</v>
      </c>
      <c r="D549" s="60" t="s">
        <v>226</v>
      </c>
      <c r="E549" s="60" t="s">
        <v>227</v>
      </c>
      <c r="F549" s="60" t="s">
        <v>260</v>
      </c>
      <c r="G549" s="61" t="n">
        <v>15.69</v>
      </c>
      <c r="H549" s="62" t="n">
        <f aca="false">MAX(0,IF(AND(Parameter!$B$21="Ja",ISNUMBER(Y549)),Y549,IF(Parameter!$B$20="Jahresanfang 2025 + Export",BS549+BR549,BR549)))</f>
        <v>6</v>
      </c>
      <c r="I549" s="62" t="n">
        <f aca="false">H549*G549</f>
        <v>94.14</v>
      </c>
      <c r="J549" s="62" t="n">
        <f aca="false">BU549*Parameter!$B$18</f>
        <v>7</v>
      </c>
      <c r="K549" s="63" t="n">
        <v>6</v>
      </c>
      <c r="L549" s="64" t="n">
        <v>1.16666666666667</v>
      </c>
      <c r="M549" s="62" t="n">
        <v>0</v>
      </c>
      <c r="N549" s="62" t="n">
        <v>5</v>
      </c>
      <c r="O549" s="65" t="n">
        <v>14</v>
      </c>
      <c r="P549" s="60" t="s">
        <v>518</v>
      </c>
      <c r="Q549" s="62" t="n">
        <v>10</v>
      </c>
      <c r="R549" s="65" t="n">
        <f aca="false">IF(CA549=1,0,IFERROR(VLOOKUP(BY549,'Gebinde-Kategorie'!$A$5:$N$45,13,0)+0,0))</f>
        <v>52</v>
      </c>
      <c r="S549" s="66"/>
      <c r="T549" s="67"/>
      <c r="U549" s="67"/>
      <c r="V549" s="67"/>
      <c r="W549" s="60"/>
      <c r="X549" s="62"/>
      <c r="Y549" s="62"/>
      <c r="Z549" s="60" t="n">
        <v>3</v>
      </c>
      <c r="AA549" s="60" t="n">
        <f aca="false">IF(A549="","",IF(AND(Parameter!$B$21="Ja",ISNUMBER(W549)),W549,IF(AND(Parameter!$E$27="Ja",ISNUMBER(Z549),CD549&lt;&gt;"Nein"),Z549,IF(CD549="2+3",IF(ISNUMBER(SEARCH("grosser Artikel",BV549)),2,IFERROR(VLOOKUP(BY549,Parameter!$F$35:$G$64,2,0),2)),IF(OR(CD549="Nein",CD549=""),"-",CD549)))))</f>
        <v>3</v>
      </c>
      <c r="AB549" s="67"/>
      <c r="AC549" s="68"/>
      <c r="AD549" s="62" t="n">
        <f aca="false">AW549</f>
        <v>5</v>
      </c>
      <c r="AE549" s="62" t="n">
        <f aca="false">MAX(AW549,H549)</f>
        <v>6</v>
      </c>
      <c r="AF549" s="69"/>
      <c r="AG549" s="62" t="n">
        <f aca="false">IF(LEFT(Cockpit!$C$5,1)="A",H549,IF(Parameter!$E$30="MAX-Bestand",IF(CI549=1,CJ549,IF(LEFT(Cockpit!$C$5,1)="B",AM549,MAX(AM549,H549))),ROUNDUP(AK549,0)))</f>
        <v>6</v>
      </c>
      <c r="AH549" s="62" t="n">
        <f aca="false">IF(CA549=1,0,ROUNDUP(AG549/BZ549,0))</f>
        <v>1</v>
      </c>
      <c r="AI549" s="64" t="n">
        <f aca="false">IF(CR549&gt;0,CR549*MAX(1,AG549/X549),IF(CA549=1,IF(AG549&lt;=0,0,CE549*MAX(1,IF(H549&gt;0,AG549/H549,1))),IF(R549&gt;0,AH549/R549,0))/MAX(0.1,N(Parameter!$M$21)))</f>
        <v>0.0192307692307692</v>
      </c>
      <c r="AJ549" s="62" t="n">
        <f aca="false">AI549*CC549</f>
        <v>2.98076923076923</v>
      </c>
      <c r="AK549" s="63" t="n">
        <f aca="false">IF(LEFT(Cockpit!$C$5,1)="A",H549,IF(CI549=1,(CL549+CJ549)/2,IF(LEFT(Cockpit!$C$5,1)="B",(CL549+AM549)/2,MAX((CL549+AM549)/2,H549))))</f>
        <v>6</v>
      </c>
      <c r="AL549" s="62" t="n">
        <f aca="false">AK549*G549</f>
        <v>94.14</v>
      </c>
      <c r="AM549" s="62" t="n">
        <f aca="false">ROUNDUP(CL549+MAX(CM549,2*(J549/IF(CH549&gt;0,CH549,MAX(0.1,N(Cockpit!$C$6)))-CL549)),0)</f>
        <v>5</v>
      </c>
      <c r="AN549" s="63" t="n">
        <f aca="false">IF(AJ549&gt;0,J549/AJ549,-1)</f>
        <v>2.34838709677419</v>
      </c>
      <c r="AO549" s="63" t="n">
        <f aca="false">IF(AND(OR(CG549="L1",CG549="L23",CG549="LIFT"),AJ549&gt;0),SUMIFS($AJ$7:$AJ$1843,$CG$7:$CG$1843,CG549,$AN$7:$AN$1843,"&gt;"&amp;AN549)+SUMIFS($AJ$7:$AJ$1843,$CG$7:$CG$1843,CG549,$AN$7:$AN$1843,AN549,$BX$7:$BX$1843,"&lt;="&amp;BX549),"")</f>
        <v>5631.21840659341</v>
      </c>
      <c r="AP549" s="70" t="n">
        <f aca="false">IF(AO549="",0,MAX(0,MIN(1,(IF(CG549="L1",Parameter!$H$5,IF(CG549="L23",Parameter!$H$6+Parameter!$H$7,Parameter!$H$5+Parameter!$H$6+Parameter!$H$7))-(AO549-AJ549))/AJ549)))</f>
        <v>1</v>
      </c>
      <c r="AQ549" s="62" t="n">
        <f aca="false">IF(LEFT(Cockpit!$I$5,1)="A",H549,IF(Parameter!$E$30="MAX-Bestand",IF(CI549=1,CJ549,IF(LEFT(Cockpit!$I$5,1)="B",AW549,MAX(AW549,H549))),ROUNDUP(AU549,0)))</f>
        <v>6</v>
      </c>
      <c r="AR549" s="62" t="n">
        <f aca="false">IF(CA549=1,0,ROUNDUP(AQ549/BZ549,0))</f>
        <v>1</v>
      </c>
      <c r="AS549" s="64" t="n">
        <f aca="false">IF(CR549&gt;0,CR549*MAX(1,AQ549/X549),IF(CA549=1,IF(AQ549&lt;=0,0,CE549*MAX(1,IF(H549&gt;0,AQ549/H549,1))),IF(R549&gt;0,AR549/R549,0))/MAX(0.1,N(Parameter!$M$21)))</f>
        <v>0.0192307692307692</v>
      </c>
      <c r="AT549" s="62" t="n">
        <f aca="false">AS549*CC549</f>
        <v>2.98076923076923</v>
      </c>
      <c r="AU549" s="63" t="n">
        <f aca="false">IF(LEFT(Cockpit!$I$5,1)="A",H549,IF(CI549=1,(CL549+CJ549)/2,IF(LEFT(Cockpit!$I$5,1)="B",(CL549+AW549)/2,MAX((CL549+AW549)/2,H549))))</f>
        <v>6</v>
      </c>
      <c r="AV549" s="62" t="n">
        <f aca="false">AU549*G549</f>
        <v>94.14</v>
      </c>
      <c r="AW549" s="62" t="n">
        <f aca="false">ROUNDUP(CL549+MAX(CM549,2*(J549/IF(CH549&gt;0,CH549,MAX(0.1,N(Cockpit!$I$6)))-CL549)),0)</f>
        <v>5</v>
      </c>
      <c r="AX549" s="63" t="n">
        <f aca="false">IF(AT549&gt;0,J549/AT549,-1)</f>
        <v>2.34838709677419</v>
      </c>
      <c r="AY549" s="63" t="n">
        <f aca="false">IF(AND(OR(CG549="L1",CG549="L23",CG549="LIFT"),AT549&gt;0),SUMIFS($AT$7:$AT$1843,$CG$7:$CG$1843,CG549,$AX$7:$AX$1843,"&gt;"&amp;AX549)+SUMIFS($AT$7:$AT$1843,$CG$7:$CG$1843,CG549,$AX$7:$AX$1843,AX549,$BX$7:$BX$1843,"&lt;="&amp;BX549),"")</f>
        <v>6453.6130952381</v>
      </c>
      <c r="AZ549" s="70" t="n">
        <f aca="false">IF(AY549="",0,MAX(0,MIN(1,(IF(CG549="L1",Parameter!$H$5,IF(CG549="L23",Parameter!$H$6+Parameter!$H$7,Parameter!$H$5+Parameter!$H$6+Parameter!$H$7))-(AY549-AT549))/AT549)))</f>
        <v>1</v>
      </c>
      <c r="BA549" s="62" t="n">
        <f aca="false">IF(LEFT(Cockpit!$O$5,1)="A",H549,IF(Parameter!$E$30="MAX-Bestand",IF(CI549=1,CJ549,IF(LEFT(Cockpit!$O$5,1)="B",BG549,MAX(BG549,H549))),ROUNDUP(BE549,0)))</f>
        <v>3</v>
      </c>
      <c r="BB549" s="62" t="n">
        <f aca="false">IF(CA549=1,0,ROUNDUP(BA549/BZ549,0))</f>
        <v>1</v>
      </c>
      <c r="BC549" s="64" t="n">
        <f aca="false">IF(CR549&gt;0,CR549*MAX(1,BA549/X549),IF(CA549=1,IF(BA549&lt;=0,0,CE549*MAX(1,IF(H549&gt;0,BA549/H549,1))),IF(R549&gt;0,BB549/R549,0))/MAX(0.1,N(Parameter!$M$21)))</f>
        <v>0.0192307692307692</v>
      </c>
      <c r="BD549" s="62" t="n">
        <f aca="false">BC549*CC549</f>
        <v>2.98076923076923</v>
      </c>
      <c r="BE549" s="63" t="n">
        <f aca="false">IF(LEFT(Cockpit!$O$5,1)="A",H549,IF(CI549=1,(CL549+CJ549)/2,IF(LEFT(Cockpit!$O$5,1)="B",(CL549+BG549)/2,MAX((CL549+BG549)/2,H549))))</f>
        <v>2.5</v>
      </c>
      <c r="BF549" s="62" t="n">
        <f aca="false">BE549*G549</f>
        <v>39.225</v>
      </c>
      <c r="BG549" s="62" t="n">
        <f aca="false">ROUNDUP(CL549+MAX(CM549,2*(J549/IF(CH549&gt;0,CH549,MAX(0.1,N(Cockpit!$O$6)))-CL549)),0)</f>
        <v>5</v>
      </c>
      <c r="BH549" s="63" t="n">
        <f aca="false">IF(BD549&gt;0,J549/BD549,-1)</f>
        <v>2.34838709677419</v>
      </c>
      <c r="BI549" s="63" t="n">
        <f aca="false">IF(AND(OR(CG549="L1",CG549="L23",CG549="LIFT"),BD549&gt;0),SUMIFS($BD$7:$BD$1843,$CG$7:$CG$1843,CG549,$BH$7:$BH$1843,"&gt;"&amp;BH549)+SUMIFS($BD$7:$BD$1843,$CG$7:$CG$1843,CG549,$BH$7:$BH$1843,BH549,$BX$7:$BX$1843,"&lt;="&amp;BX549),"")</f>
        <v>5607.48076923077</v>
      </c>
      <c r="BJ549" s="70" t="n">
        <f aca="false">IF(BI549="",0,MAX(0,MIN(1,(IF(CG549="L1",Parameter!$H$5,IF(CG549="L23",Parameter!$H$6+Parameter!$H$7,Parameter!$H$5+Parameter!$H$6+Parameter!$H$7))-(BI549-BD549))/BD549)))</f>
        <v>1</v>
      </c>
      <c r="BK549" s="60" t="str">
        <f aca="false">IF(AJ549&lt;=0,"",IF(CG549="Aussen","Aussenlager",IF(CG549="-","Nicht im Lift",IF(AP549&gt;=1,"Lift",IF(AP549&lt;=0,"Aussenlager","teilweise")))))</f>
        <v>Lift</v>
      </c>
      <c r="BL549" s="60" t="str">
        <f aca="false">IF(AT549&lt;=0,"",IF(CG549="Aussen","Aussenlager",IF(CG549="-","Nicht im Lift",IF(AZ549&gt;=1,"Lift",IF(AZ549&lt;=0,"Aussenlager","teilweise")))))</f>
        <v>Lift</v>
      </c>
      <c r="BM549" s="60" t="str">
        <f aca="false">IF(BD549&lt;=0,"",IF(CG549="Aussen","Aussenlager",IF(CG549="-","Nicht im Lift",IF(BJ549&gt;=1,"Lift",IF(BJ549&lt;=0,"Aussenlager","teilweise")))))</f>
        <v>Lift</v>
      </c>
      <c r="BN549" s="60" t="str">
        <f aca="false">IF(A549="","",IF(BW549=1,"Neu; ","")&amp;IF(AND(BW549=0,BR549&lt;0),"negativer Bestand (Export "&amp;BR549&amp;"); ","")&amp;IF(J549&lt;=0,"Kein Verbrauch; ","")&amp;IF(CR549&gt;0,"Lift "&amp;W549&amp;" lt. Liftbericht (Fach "&amp;X549&amp;" Stk); ",IF(CB549=1,"Gebinde geschätzt ("&amp;T549&amp;"); ",IF(CA549=1,"Lose – Tablare geschätzt; ","")))&amp;IF(H549&gt;AW549,"Überbestand "&amp;ROUND(H549-AW549,0)&amp;" Stk / CHF "&amp;ROUND((H549-AW549)*G549,0)&amp;"; ","")&amp;IF(AND(CI549=1,CJ549&lt;CK549),"MAX &lt; MB+LG; ","")&amp;IF(AND(CQ549&gt;0,CP549*10&gt;CQ549),"zu hoch für Tablar; ","")&amp;IF(AND(BW549=0,OR(CI549=1,AB549&lt;&gt;"",U549&lt;&gt;"",V549&lt;&gt;"",AC549&lt;&gt;"")),"manuell übersteuert; ","")&amp;IF(AND(CA549=0,R549=0),"Gebinde unbekannt / Stellmass fehlt; ","")&amp;IF(AND(CA549=0,N(V549)&lt;=0,N(Q549)&lt;=0),"Menge pro Gebinde fehlt (Ist = 1 Gebinde); ","")&amp;BV549)</f>
        <v>Überbestand 1 Stk / CHF 16; </v>
      </c>
      <c r="BO549" s="60"/>
      <c r="BP549" s="60"/>
      <c r="BQ549" s="67"/>
      <c r="BR549" s="62" t="n">
        <v>1</v>
      </c>
      <c r="BS549" s="62" t="n">
        <v>5</v>
      </c>
      <c r="BT549" s="61" t="n">
        <v>17.74</v>
      </c>
      <c r="BU549" s="62" t="n">
        <v>7</v>
      </c>
      <c r="BV549" s="60"/>
      <c r="BW549" s="65" t="n">
        <v>0</v>
      </c>
      <c r="BX549" s="65" t="n">
        <v>549</v>
      </c>
      <c r="BY549" s="60" t="str">
        <f aca="false">IF(U549&lt;&gt;"",UPPER(TRIM(U549)),IF(CB549=1,UPPER(VLOOKUP(T549,Parameter!$I$27:$K$29,2,0)),IF(P549="","LOSE",P549)))</f>
        <v>S33</v>
      </c>
      <c r="BZ549" s="62" t="n">
        <f aca="false">IF(BY549="LOSE",1,IF(N(V549)&gt;0,V549,IF(CB549=1,MAX(1,N(VLOOKUP(T549,Parameter!$I$27:$K$29,3,0)),H549,N(N549)),IF(N(Q549)&gt;0,Q549,MAX(1,H549)))))</f>
        <v>10</v>
      </c>
      <c r="CA549" s="65" t="n">
        <f aca="false">IF(BY549="LOSE",1,0)</f>
        <v>0</v>
      </c>
      <c r="CB549" s="65" t="n">
        <f aca="false">IF(AND(U549="",OR(P549="",P549="LOSE"),T549&lt;&gt;"",N(S549)&lt;=0,ISNUMBER(MATCH(T549,Parameter!$I$27:$I$29,0))),1,0)</f>
        <v>0</v>
      </c>
      <c r="CC549" s="65" t="n">
        <f aca="false">IF(CR549&gt;0,INDEX(Parameter!$H$5:$H$7,W549)/INDEX(Parameter!$E$5:$E$7,W549),IF(AND(CA549=0,N(IFERROR(VLOOKUP(BY549,'Gebinde-Kategorie'!$A$5:$N$45,14,0),0))&gt;0),VLOOKUP(BY549,'Gebinde-Kategorie'!$A$5:$N$45,14,0)*10+Parameter!$M$23,Parameter!$M$24))</f>
        <v>155</v>
      </c>
      <c r="CD549" s="60" t="str">
        <f aca="false">IF(AND(Parameter!$B$19="Ja",E549&lt;&gt;"",ISNUMBER(MATCH(E549,Parameter!$I$35:$I$52,0))),VLOOKUP(E549,Parameter!$I$35:$J$52,2,0),IFERROR(VLOOKUP(D549,Parameter!$A$35:$C$64,2,0),"Nein"))</f>
        <v>2+3</v>
      </c>
      <c r="CE549" s="64" t="n">
        <f aca="false">IF(CA549=0,0,IF(N(S549)&gt;0,S549,IFERROR(VLOOKUP(D549,Parameter!$A$35:$C$64,3,0)+0,0)))</f>
        <v>0</v>
      </c>
      <c r="CF549" s="60" t="n">
        <f aca="false">IF(AB549&lt;&gt;"",AB549,AA549)</f>
        <v>3</v>
      </c>
      <c r="CG549" s="60" t="str">
        <f aca="false">IF(OR(CF549=1,CF549=2,CF549=3),IF(Parameter!$E$27="Ja","LIFT",IF(CF549=1,"L1","L23")),IF(CF549="Aussen","Aussen","-"))</f>
        <v>LIFT</v>
      </c>
      <c r="CH549" s="71" t="n">
        <f aca="false">IF(N(AC549)&gt;0,AC549,0)</f>
        <v>0</v>
      </c>
      <c r="CI549" s="65" t="n">
        <f aca="false">IF(ISNUMBER(AF549),1,0)</f>
        <v>0</v>
      </c>
      <c r="CJ549" s="62" t="n">
        <f aca="false">N(AF549)</f>
        <v>0</v>
      </c>
      <c r="CK549" s="62" t="n">
        <f aca="false">N(M549)+N(N549)</f>
        <v>5</v>
      </c>
      <c r="CL549" s="62" t="n">
        <f aca="false">N(M549)</f>
        <v>0</v>
      </c>
      <c r="CM549" s="62" t="n">
        <f aca="false">N(N549)</f>
        <v>5</v>
      </c>
      <c r="CN549" s="62" t="n">
        <f aca="false">ROUNDUP(H549/BZ549,0)</f>
        <v>1</v>
      </c>
      <c r="CO549" s="62" t="n">
        <f aca="false">ROUNDUP(CJ549/BZ549,0)</f>
        <v>0</v>
      </c>
      <c r="CP549" s="65" t="n">
        <f aca="false">IF(CA549=1,0,IFERROR(VLOOKUP(BY549,'Gebinde-Kategorie'!$A$5:$N$45,5,0)+0,0))</f>
        <v>8</v>
      </c>
      <c r="CQ549" s="65" t="n">
        <f aca="false">IFERROR(IF(OR(CF549=1,CF549=2,CF549=3),N(INDEX(Parameter!$I$5:$I$7,CF549)),0),0)</f>
        <v>0</v>
      </c>
      <c r="CR549" s="64" t="n">
        <f aca="false">IF(AND(Parameter!$B$21="Ja",ISNUMBER(W549),N(X549)&gt;0),IFERROR(N(INDEX(Parameter!$L$5:$L$7,W549))*INDEX(Parameter!$E$5:$E$7,W549)*X549/SUMIFS($X$7:$X$1843,$W$7:$W$1843,W549),0),0)</f>
        <v>0</v>
      </c>
      <c r="CS549" s="62" t="n">
        <f aca="false">IF(AND(OR(CG549="L1",CG549="L23",CG549="LIFT"),H549&gt;0),CC549*IF(CR549&gt;0,CR549*MAX(1,H549/X549),IF(CA549=1,CE549,IF(R549&gt;0,CN549/R549,0))/MAX(0.1,N(Parameter!$M$21))),"")</f>
        <v>2.98076923076923</v>
      </c>
      <c r="CT549" s="64" t="n">
        <f aca="false">IF(CS549="","",J549/H549)</f>
        <v>1.16666666666667</v>
      </c>
      <c r="CU549" s="62" t="n">
        <f aca="false">IF(CS549="","",H549*G549)</f>
        <v>94.14</v>
      </c>
      <c r="CV549" s="63" t="n">
        <f aca="false">IF(CS549="","",(CL549+ROUNDUP(CL549+MAX(CM549,2*(J549/MAX(0.1,N(Einkauf!$C$6))-CL549)),0))/2)</f>
        <v>2.5</v>
      </c>
      <c r="CW549" s="62" t="n">
        <f aca="false">IF(CS549="","",MAX(0,H549-CV549)*G549)</f>
        <v>54.915</v>
      </c>
      <c r="CX549" s="62" t="n">
        <f aca="false">IF(CS549="","",CS549*MAX(0,1-CV549/H549))</f>
        <v>1.73878205128205</v>
      </c>
      <c r="CY549" s="64" t="n">
        <f aca="false">IF(CS549="","",PERCENTRANK($CS$7:$CS$1843,CS549)+PERCENTRANK($CU$7:$CU$1843,CU549)+1-PERCENTRANK($CT$7:$CT$1843,CT549))</f>
        <v>0.727</v>
      </c>
      <c r="CZ549" s="72" t="n">
        <f aca="false">IF(CS549="","",CHOOSE(MATCH(Einkauf!$C$5,Parameter!$G$23:$G$27,0),CY549,CS549,CU549,-CT549,CW549)+ROW()/1000000000)</f>
        <v>0.727000549</v>
      </c>
    </row>
    <row r="550" customFormat="false" ht="15" hidden="false" customHeight="false" outlineLevel="0" collapsed="false">
      <c r="A550" s="60" t="s">
        <v>1217</v>
      </c>
      <c r="B550" s="60" t="s">
        <v>1218</v>
      </c>
      <c r="C550" s="60" t="s">
        <v>206</v>
      </c>
      <c r="D550" s="60" t="s">
        <v>226</v>
      </c>
      <c r="E550" s="60" t="s">
        <v>227</v>
      </c>
      <c r="F550" s="60" t="s">
        <v>260</v>
      </c>
      <c r="G550" s="61" t="n">
        <v>4.21</v>
      </c>
      <c r="H550" s="62" t="n">
        <f aca="false">MAX(0,IF(AND(Parameter!$B$21="Ja",ISNUMBER(Y550)),Y550,IF(Parameter!$B$20="Jahresanfang 2025 + Export",BS550+BR550,BR550)))</f>
        <v>21</v>
      </c>
      <c r="I550" s="62" t="n">
        <f aca="false">H550*G550</f>
        <v>88.41</v>
      </c>
      <c r="J550" s="62" t="n">
        <f aca="false">BU550*Parameter!$B$18</f>
        <v>7</v>
      </c>
      <c r="K550" s="63" t="n">
        <v>19.5</v>
      </c>
      <c r="L550" s="64" t="n">
        <v>0.358974358974359</v>
      </c>
      <c r="M550" s="62" t="n">
        <v>0</v>
      </c>
      <c r="N550" s="62" t="n">
        <v>5</v>
      </c>
      <c r="O550" s="65" t="n">
        <v>21</v>
      </c>
      <c r="P550" s="60" t="s">
        <v>228</v>
      </c>
      <c r="Q550" s="62" t="n">
        <v>29</v>
      </c>
      <c r="R550" s="65" t="n">
        <f aca="false">IF(CA550=1,0,IFERROR(VLOOKUP(BY550,'Gebinde-Kategorie'!$A$5:$N$45,13,0)+0,0))</f>
        <v>12</v>
      </c>
      <c r="S550" s="66"/>
      <c r="T550" s="67"/>
      <c r="U550" s="67"/>
      <c r="V550" s="67"/>
      <c r="W550" s="60"/>
      <c r="X550" s="62"/>
      <c r="Y550" s="62"/>
      <c r="Z550" s="60" t="n">
        <v>3</v>
      </c>
      <c r="AA550" s="60" t="n">
        <f aca="false">IF(A550="","",IF(AND(Parameter!$B$21="Ja",ISNUMBER(W550)),W550,IF(AND(Parameter!$E$27="Ja",ISNUMBER(Z550),CD550&lt;&gt;"Nein"),Z550,IF(CD550="2+3",IF(ISNUMBER(SEARCH("grosser Artikel",BV550)),2,IFERROR(VLOOKUP(BY550,Parameter!$F$35:$G$64,2,0),2)),IF(OR(CD550="Nein",CD550=""),"-",CD550)))))</f>
        <v>3</v>
      </c>
      <c r="AB550" s="67"/>
      <c r="AC550" s="68"/>
      <c r="AD550" s="62" t="n">
        <f aca="false">AW550</f>
        <v>5</v>
      </c>
      <c r="AE550" s="62" t="n">
        <f aca="false">MAX(AW550,H550)</f>
        <v>21</v>
      </c>
      <c r="AF550" s="69"/>
      <c r="AG550" s="62" t="n">
        <f aca="false">IF(LEFT(Cockpit!$C$5,1)="A",H550,IF(Parameter!$E$30="MAX-Bestand",IF(CI550=1,CJ550,IF(LEFT(Cockpit!$C$5,1)="B",AM550,MAX(AM550,H550))),ROUNDUP(AK550,0)))</f>
        <v>21</v>
      </c>
      <c r="AH550" s="62" t="n">
        <f aca="false">IF(CA550=1,0,ROUNDUP(AG550/BZ550,0))</f>
        <v>1</v>
      </c>
      <c r="AI550" s="64" t="n">
        <f aca="false">IF(CR550&gt;0,CR550*MAX(1,AG550/X550),IF(CA550=1,IF(AG550&lt;=0,0,CE550*MAX(1,IF(H550&gt;0,AG550/H550,1))),IF(R550&gt;0,AH550/R550,0))/MAX(0.1,N(Parameter!$M$21)))</f>
        <v>0.0833333333333333</v>
      </c>
      <c r="AJ550" s="62" t="n">
        <f aca="false">AI550*CC550</f>
        <v>12.0833333333333</v>
      </c>
      <c r="AK550" s="63" t="n">
        <f aca="false">IF(LEFT(Cockpit!$C$5,1)="A",H550,IF(CI550=1,(CL550+CJ550)/2,IF(LEFT(Cockpit!$C$5,1)="B",(CL550+AM550)/2,MAX((CL550+AM550)/2,H550))))</f>
        <v>21</v>
      </c>
      <c r="AL550" s="62" t="n">
        <f aca="false">AK550*G550</f>
        <v>88.41</v>
      </c>
      <c r="AM550" s="62" t="n">
        <f aca="false">ROUNDUP(CL550+MAX(CM550,2*(J550/IF(CH550&gt;0,CH550,MAX(0.1,N(Cockpit!$C$6)))-CL550)),0)</f>
        <v>5</v>
      </c>
      <c r="AN550" s="63" t="n">
        <f aca="false">IF(AJ550&gt;0,J550/AJ550,-1)</f>
        <v>0.579310344827586</v>
      </c>
      <c r="AO550" s="63" t="n">
        <f aca="false">IF(AND(OR(CG550="L1",CG550="L23",CG550="LIFT"),AJ550&gt;0),SUMIFS($AJ$7:$AJ$1843,$CG$7:$CG$1843,CG550,$AN$7:$AN$1843,"&gt;"&amp;AN550)+SUMIFS($AJ$7:$AJ$1843,$CG$7:$CG$1843,CG550,$AN$7:$AN$1843,AN550,$BX$7:$BX$1843,"&lt;="&amp;BX550),"")</f>
        <v>9381.87588729538</v>
      </c>
      <c r="AP550" s="70" t="n">
        <f aca="false">IF(AO550="",0,MAX(0,MIN(1,(IF(CG550="L1",Parameter!$H$5,IF(CG550="L23",Parameter!$H$6+Parameter!$H$7,Parameter!$H$5+Parameter!$H$6+Parameter!$H$7))-(AO550-AJ550))/AJ550)))</f>
        <v>1</v>
      </c>
      <c r="AQ550" s="62" t="n">
        <f aca="false">IF(LEFT(Cockpit!$I$5,1)="A",H550,IF(Parameter!$E$30="MAX-Bestand",IF(CI550=1,CJ550,IF(LEFT(Cockpit!$I$5,1)="B",AW550,MAX(AW550,H550))),ROUNDUP(AU550,0)))</f>
        <v>21</v>
      </c>
      <c r="AR550" s="62" t="n">
        <f aca="false">IF(CA550=1,0,ROUNDUP(AQ550/BZ550,0))</f>
        <v>1</v>
      </c>
      <c r="AS550" s="64" t="n">
        <f aca="false">IF(CR550&gt;0,CR550*MAX(1,AQ550/X550),IF(CA550=1,IF(AQ550&lt;=0,0,CE550*MAX(1,IF(H550&gt;0,AQ550/H550,1))),IF(R550&gt;0,AR550/R550,0))/MAX(0.1,N(Parameter!$M$21)))</f>
        <v>0.0833333333333333</v>
      </c>
      <c r="AT550" s="62" t="n">
        <f aca="false">AS550*CC550</f>
        <v>12.0833333333333</v>
      </c>
      <c r="AU550" s="63" t="n">
        <f aca="false">IF(LEFT(Cockpit!$I$5,1)="A",H550,IF(CI550=1,(CL550+CJ550)/2,IF(LEFT(Cockpit!$I$5,1)="B",(CL550+AW550)/2,MAX((CL550+AW550)/2,H550))))</f>
        <v>21</v>
      </c>
      <c r="AV550" s="62" t="n">
        <f aca="false">AU550*G550</f>
        <v>88.41</v>
      </c>
      <c r="AW550" s="62" t="n">
        <f aca="false">ROUNDUP(CL550+MAX(CM550,2*(J550/IF(CH550&gt;0,CH550,MAX(0.1,N(Cockpit!$I$6)))-CL550)),0)</f>
        <v>5</v>
      </c>
      <c r="AX550" s="63" t="n">
        <f aca="false">IF(AT550&gt;0,J550/AT550,-1)</f>
        <v>0.579310344827586</v>
      </c>
      <c r="AY550" s="63" t="n">
        <f aca="false">IF(AND(OR(CG550="L1",CG550="L23",CG550="LIFT"),AT550&gt;0),SUMIFS($AT$7:$AT$1843,$CG$7:$CG$1843,CG550,$AX$7:$AX$1843,"&gt;"&amp;AX550)+SUMIFS($AT$7:$AT$1843,$CG$7:$CG$1843,CG550,$AX$7:$AX$1843,AX550,$BX$7:$BX$1843,"&lt;="&amp;BX550),"")</f>
        <v>11467.1227106227</v>
      </c>
      <c r="AZ550" s="70" t="n">
        <f aca="false">IF(AY550="",0,MAX(0,MIN(1,(IF(CG550="L1",Parameter!$H$5,IF(CG550="L23",Parameter!$H$6+Parameter!$H$7,Parameter!$H$5+Parameter!$H$6+Parameter!$H$7))-(AY550-AT550))/AT550)))</f>
        <v>1</v>
      </c>
      <c r="BA550" s="62" t="n">
        <f aca="false">IF(LEFT(Cockpit!$O$5,1)="A",H550,IF(Parameter!$E$30="MAX-Bestand",IF(CI550=1,CJ550,IF(LEFT(Cockpit!$O$5,1)="B",BG550,MAX(BG550,H550))),ROUNDUP(BE550,0)))</f>
        <v>3</v>
      </c>
      <c r="BB550" s="62" t="n">
        <f aca="false">IF(CA550=1,0,ROUNDUP(BA550/BZ550,0))</f>
        <v>1</v>
      </c>
      <c r="BC550" s="64" t="n">
        <f aca="false">IF(CR550&gt;0,CR550*MAX(1,BA550/X550),IF(CA550=1,IF(BA550&lt;=0,0,CE550*MAX(1,IF(H550&gt;0,BA550/H550,1))),IF(R550&gt;0,BB550/R550,0))/MAX(0.1,N(Parameter!$M$21)))</f>
        <v>0.0833333333333333</v>
      </c>
      <c r="BD550" s="62" t="n">
        <f aca="false">BC550*CC550</f>
        <v>12.0833333333333</v>
      </c>
      <c r="BE550" s="63" t="n">
        <f aca="false">IF(LEFT(Cockpit!$O$5,1)="A",H550,IF(CI550=1,(CL550+CJ550)/2,IF(LEFT(Cockpit!$O$5,1)="B",(CL550+BG550)/2,MAX((CL550+BG550)/2,H550))))</f>
        <v>2.5</v>
      </c>
      <c r="BF550" s="62" t="n">
        <f aca="false">BE550*G550</f>
        <v>10.525</v>
      </c>
      <c r="BG550" s="62" t="n">
        <f aca="false">ROUNDUP(CL550+MAX(CM550,2*(J550/IF(CH550&gt;0,CH550,MAX(0.1,N(Cockpit!$O$6)))-CL550)),0)</f>
        <v>5</v>
      </c>
      <c r="BH550" s="63" t="n">
        <f aca="false">IF(BD550&gt;0,J550/BD550,-1)</f>
        <v>0.579310344827586</v>
      </c>
      <c r="BI550" s="63" t="n">
        <f aca="false">IF(AND(OR(CG550="L1",CG550="L23",CG550="LIFT"),BD550&gt;0),SUMIFS($BD$7:$BD$1843,$CG$7:$CG$1843,CG550,$BH$7:$BH$1843,"&gt;"&amp;BH550)+SUMIFS($BD$7:$BD$1843,$CG$7:$CG$1843,CG550,$BH$7:$BH$1843,BH550,$BX$7:$BX$1843,"&lt;="&amp;BX550),"")</f>
        <v>10089.7055860806</v>
      </c>
      <c r="BJ550" s="70" t="n">
        <f aca="false">IF(BI550="",0,MAX(0,MIN(1,(IF(CG550="L1",Parameter!$H$5,IF(CG550="L23",Parameter!$H$6+Parameter!$H$7,Parameter!$H$5+Parameter!$H$6+Parameter!$H$7))-(BI550-BD550))/BD550)))</f>
        <v>1</v>
      </c>
      <c r="BK550" s="60" t="str">
        <f aca="false">IF(AJ550&lt;=0,"",IF(CG550="Aussen","Aussenlager",IF(CG550="-","Nicht im Lift",IF(AP550&gt;=1,"Lift",IF(AP550&lt;=0,"Aussenlager","teilweise")))))</f>
        <v>Lift</v>
      </c>
      <c r="BL550" s="60" t="str">
        <f aca="false">IF(AT550&lt;=0,"",IF(CG550="Aussen","Aussenlager",IF(CG550="-","Nicht im Lift",IF(AZ550&gt;=1,"Lift",IF(AZ550&lt;=0,"Aussenlager","teilweise")))))</f>
        <v>Lift</v>
      </c>
      <c r="BM550" s="60" t="str">
        <f aca="false">IF(BD550&lt;=0,"",IF(CG550="Aussen","Aussenlager",IF(CG550="-","Nicht im Lift",IF(BJ550&gt;=1,"Lift",IF(BJ550&lt;=0,"Aussenlager","teilweise")))))</f>
        <v>Lift</v>
      </c>
      <c r="BN550" s="60" t="str">
        <f aca="false">IF(A550="","",IF(BW550=1,"Neu; ","")&amp;IF(AND(BW550=0,BR550&lt;0),"negativer Bestand (Export "&amp;BR550&amp;"); ","")&amp;IF(J550&lt;=0,"Kein Verbrauch; ","")&amp;IF(CR550&gt;0,"Lift "&amp;W550&amp;" lt. Liftbericht (Fach "&amp;X550&amp;" Stk); ",IF(CB550=1,"Gebinde geschätzt ("&amp;T550&amp;"); ",IF(CA550=1,"Lose – Tablare geschätzt; ","")))&amp;IF(H550&gt;AW550,"Überbestand "&amp;ROUND(H550-AW550,0)&amp;" Stk / CHF "&amp;ROUND((H550-AW550)*G550,0)&amp;"; ","")&amp;IF(AND(CI550=1,CJ550&lt;CK550),"MAX &lt; MB+LG; ","")&amp;IF(AND(CQ550&gt;0,CP550*10&gt;CQ550),"zu hoch für Tablar; ","")&amp;IF(AND(BW550=0,OR(CI550=1,AB550&lt;&gt;"",U550&lt;&gt;"",V550&lt;&gt;"",AC550&lt;&gt;"")),"manuell übersteuert; ","")&amp;IF(AND(CA550=0,R550=0),"Gebinde unbekannt / Stellmass fehlt; ","")&amp;IF(AND(CA550=0,N(V550)&lt;=0,N(Q550)&lt;=0),"Menge pro Gebinde fehlt (Ist = 1 Gebinde); ","")&amp;BV550)</f>
        <v>Überbestand 16 Stk / CHF 67; </v>
      </c>
      <c r="BO550" s="60"/>
      <c r="BP550" s="60"/>
      <c r="BQ550" s="67"/>
      <c r="BR550" s="62" t="n">
        <v>4</v>
      </c>
      <c r="BS550" s="62" t="n">
        <v>17</v>
      </c>
      <c r="BT550" s="61" t="n">
        <v>16.84</v>
      </c>
      <c r="BU550" s="62" t="n">
        <v>7</v>
      </c>
      <c r="BV550" s="60"/>
      <c r="BW550" s="65" t="n">
        <v>0</v>
      </c>
      <c r="BX550" s="65" t="n">
        <v>550</v>
      </c>
      <c r="BY550" s="60" t="str">
        <f aca="false">IF(U550&lt;&gt;"",UPPER(TRIM(U550)),IF(CB550=1,UPPER(VLOOKUP(T550,Parameter!$I$27:$K$29,2,0)),IF(P550="","LOSE",P550)))</f>
        <v>S61</v>
      </c>
      <c r="BZ550" s="62" t="n">
        <f aca="false">IF(BY550="LOSE",1,IF(N(V550)&gt;0,V550,IF(CB550=1,MAX(1,N(VLOOKUP(T550,Parameter!$I$27:$K$29,3,0)),H550,N(N550)),IF(N(Q550)&gt;0,Q550,MAX(1,H550)))))</f>
        <v>29</v>
      </c>
      <c r="CA550" s="65" t="n">
        <f aca="false">IF(BY550="LOSE",1,0)</f>
        <v>0</v>
      </c>
      <c r="CB550" s="65" t="n">
        <f aca="false">IF(AND(U550="",OR(P550="",P550="LOSE"),T550&lt;&gt;"",N(S550)&lt;=0,ISNUMBER(MATCH(T550,Parameter!$I$27:$I$29,0))),1,0)</f>
        <v>0</v>
      </c>
      <c r="CC550" s="65" t="n">
        <f aca="false">IF(CR550&gt;0,INDEX(Parameter!$H$5:$H$7,W550)/INDEX(Parameter!$E$5:$E$7,W550),IF(AND(CA550=0,N(IFERROR(VLOOKUP(BY550,'Gebinde-Kategorie'!$A$5:$N$45,14,0),0))&gt;0),VLOOKUP(BY550,'Gebinde-Kategorie'!$A$5:$N$45,14,0)*10+Parameter!$M$23,Parameter!$M$24))</f>
        <v>145</v>
      </c>
      <c r="CD550" s="60" t="str">
        <f aca="false">IF(AND(Parameter!$B$19="Ja",E550&lt;&gt;"",ISNUMBER(MATCH(E550,Parameter!$I$35:$I$52,0))),VLOOKUP(E550,Parameter!$I$35:$J$52,2,0),IFERROR(VLOOKUP(D550,Parameter!$A$35:$C$64,2,0),"Nein"))</f>
        <v>2+3</v>
      </c>
      <c r="CE550" s="64" t="n">
        <f aca="false">IF(CA550=0,0,IF(N(S550)&gt;0,S550,IFERROR(VLOOKUP(D550,Parameter!$A$35:$C$64,3,0)+0,0)))</f>
        <v>0</v>
      </c>
      <c r="CF550" s="60" t="n">
        <f aca="false">IF(AB550&lt;&gt;"",AB550,AA550)</f>
        <v>3</v>
      </c>
      <c r="CG550" s="60" t="str">
        <f aca="false">IF(OR(CF550=1,CF550=2,CF550=3),IF(Parameter!$E$27="Ja","LIFT",IF(CF550=1,"L1","L23")),IF(CF550="Aussen","Aussen","-"))</f>
        <v>LIFT</v>
      </c>
      <c r="CH550" s="71" t="n">
        <f aca="false">IF(N(AC550)&gt;0,AC550,0)</f>
        <v>0</v>
      </c>
      <c r="CI550" s="65" t="n">
        <f aca="false">IF(ISNUMBER(AF550),1,0)</f>
        <v>0</v>
      </c>
      <c r="CJ550" s="62" t="n">
        <f aca="false">N(AF550)</f>
        <v>0</v>
      </c>
      <c r="CK550" s="62" t="n">
        <f aca="false">N(M550)+N(N550)</f>
        <v>5</v>
      </c>
      <c r="CL550" s="62" t="n">
        <f aca="false">N(M550)</f>
        <v>0</v>
      </c>
      <c r="CM550" s="62" t="n">
        <f aca="false">N(N550)</f>
        <v>5</v>
      </c>
      <c r="CN550" s="62" t="n">
        <f aca="false">ROUNDUP(H550/BZ550,0)</f>
        <v>1</v>
      </c>
      <c r="CO550" s="62" t="n">
        <f aca="false">ROUNDUP(CJ550/BZ550,0)</f>
        <v>0</v>
      </c>
      <c r="CP550" s="65" t="n">
        <f aca="false">IF(CA550=1,0,IFERROR(VLOOKUP(BY550,'Gebinde-Kategorie'!$A$5:$N$45,5,0)+0,0))</f>
        <v>11</v>
      </c>
      <c r="CQ550" s="65" t="n">
        <f aca="false">IFERROR(IF(OR(CF550=1,CF550=2,CF550=3),N(INDEX(Parameter!$I$5:$I$7,CF550)),0),0)</f>
        <v>0</v>
      </c>
      <c r="CR550" s="64" t="n">
        <f aca="false">IF(AND(Parameter!$B$21="Ja",ISNUMBER(W550),N(X550)&gt;0),IFERROR(N(INDEX(Parameter!$L$5:$L$7,W550))*INDEX(Parameter!$E$5:$E$7,W550)*X550/SUMIFS($X$7:$X$1843,$W$7:$W$1843,W550),0),0)</f>
        <v>0</v>
      </c>
      <c r="CS550" s="62" t="n">
        <f aca="false">IF(AND(OR(CG550="L1",CG550="L23",CG550="LIFT"),H550&gt;0),CC550*IF(CR550&gt;0,CR550*MAX(1,H550/X550),IF(CA550=1,CE550,IF(R550&gt;0,CN550/R550,0))/MAX(0.1,N(Parameter!$M$21))),"")</f>
        <v>12.0833333333333</v>
      </c>
      <c r="CT550" s="64" t="n">
        <f aca="false">IF(CS550="","",J550/H550)</f>
        <v>0.333333333333333</v>
      </c>
      <c r="CU550" s="62" t="n">
        <f aca="false">IF(CS550="","",H550*G550)</f>
        <v>88.41</v>
      </c>
      <c r="CV550" s="63" t="n">
        <f aca="false">IF(CS550="","",(CL550+ROUNDUP(CL550+MAX(CM550,2*(J550/MAX(0.1,N(Einkauf!$C$6))-CL550)),0))/2)</f>
        <v>2.5</v>
      </c>
      <c r="CW550" s="62" t="n">
        <f aca="false">IF(CS550="","",MAX(0,H550-CV550)*G550)</f>
        <v>77.885</v>
      </c>
      <c r="CX550" s="62" t="n">
        <f aca="false">IF(CS550="","",CS550*MAX(0,1-CV550/H550))</f>
        <v>10.6448412698413</v>
      </c>
      <c r="CY550" s="64" t="n">
        <f aca="false">IF(CS550="","",PERCENTRANK($CS$7:$CS$1843,CS550)+PERCENTRANK($CU$7:$CU$1843,CU550)+1-PERCENTRANK($CT$7:$CT$1843,CT550))</f>
        <v>1.369</v>
      </c>
      <c r="CZ550" s="72" t="n">
        <f aca="false">IF(CS550="","",CHOOSE(MATCH(Einkauf!$C$5,Parameter!$G$23:$G$27,0),CY550,CS550,CU550,-CT550,CW550)+ROW()/1000000000)</f>
        <v>1.36900055</v>
      </c>
    </row>
    <row r="551" customFormat="false" ht="15" hidden="false" customHeight="false" outlineLevel="0" collapsed="false">
      <c r="A551" s="60" t="s">
        <v>1219</v>
      </c>
      <c r="B551" s="60" t="s">
        <v>989</v>
      </c>
      <c r="C551" s="60" t="s">
        <v>206</v>
      </c>
      <c r="D551" s="60" t="s">
        <v>226</v>
      </c>
      <c r="E551" s="60" t="s">
        <v>227</v>
      </c>
      <c r="F551" s="60" t="s">
        <v>260</v>
      </c>
      <c r="G551" s="61" t="n">
        <v>1.68</v>
      </c>
      <c r="H551" s="62" t="n">
        <f aca="false">MAX(0,IF(AND(Parameter!$B$21="Ja",ISNUMBER(Y551)),Y551,IF(Parameter!$B$20="Jahresanfang 2025 + Export",BS551+BR551,BR551)))</f>
        <v>56</v>
      </c>
      <c r="I551" s="62" t="n">
        <f aca="false">H551*G551</f>
        <v>94.08</v>
      </c>
      <c r="J551" s="62" t="n">
        <f aca="false">BU551*Parameter!$B$18</f>
        <v>151</v>
      </c>
      <c r="K551" s="63" t="n">
        <v>46.5</v>
      </c>
      <c r="L551" s="64" t="n">
        <v>3.24731182795699</v>
      </c>
      <c r="M551" s="62" t="n">
        <v>8</v>
      </c>
      <c r="N551" s="62" t="n">
        <v>150</v>
      </c>
      <c r="O551" s="65" t="n">
        <v>21</v>
      </c>
      <c r="P551" s="60" t="s">
        <v>463</v>
      </c>
      <c r="Q551" s="62" t="n">
        <v>91</v>
      </c>
      <c r="R551" s="65" t="n">
        <f aca="false">IF(CA551=1,0,IFERROR(VLOOKUP(BY551,'Gebinde-Kategorie'!$A$5:$N$45,13,0)+0,0))</f>
        <v>104</v>
      </c>
      <c r="S551" s="66"/>
      <c r="T551" s="67"/>
      <c r="U551" s="67"/>
      <c r="V551" s="67"/>
      <c r="W551" s="60"/>
      <c r="X551" s="62"/>
      <c r="Y551" s="62"/>
      <c r="Z551" s="60" t="n">
        <v>1</v>
      </c>
      <c r="AA551" s="60" t="n">
        <f aca="false">IF(A551="","",IF(AND(Parameter!$B$21="Ja",ISNUMBER(W551)),W551,IF(AND(Parameter!$E$27="Ja",ISNUMBER(Z551),CD551&lt;&gt;"Nein"),Z551,IF(CD551="2+3",IF(ISNUMBER(SEARCH("grosser Artikel",BV551)),2,IFERROR(VLOOKUP(BY551,Parameter!$F$35:$G$64,2,0),2)),IF(OR(CD551="Nein",CD551=""),"-",CD551)))))</f>
        <v>1</v>
      </c>
      <c r="AB551" s="67"/>
      <c r="AC551" s="68"/>
      <c r="AD551" s="62" t="n">
        <f aca="false">AW551</f>
        <v>158</v>
      </c>
      <c r="AE551" s="62" t="n">
        <f aca="false">MAX(AW551,H551)</f>
        <v>158</v>
      </c>
      <c r="AF551" s="69"/>
      <c r="AG551" s="62" t="n">
        <f aca="false">IF(LEFT(Cockpit!$C$5,1)="A",H551,IF(Parameter!$E$30="MAX-Bestand",IF(CI551=1,CJ551,IF(LEFT(Cockpit!$C$5,1)="B",AM551,MAX(AM551,H551))),ROUNDUP(AK551,0)))</f>
        <v>56</v>
      </c>
      <c r="AH551" s="62" t="n">
        <f aca="false">IF(CA551=1,0,ROUNDUP(AG551/BZ551,0))</f>
        <v>1</v>
      </c>
      <c r="AI551" s="64" t="n">
        <f aca="false">IF(CR551&gt;0,CR551*MAX(1,AG551/X551),IF(CA551=1,IF(AG551&lt;=0,0,CE551*MAX(1,IF(H551&gt;0,AG551/H551,1))),IF(R551&gt;0,AH551/R551,0))/MAX(0.1,N(Parameter!$M$21)))</f>
        <v>0.00961538461538462</v>
      </c>
      <c r="AJ551" s="62" t="n">
        <f aca="false">AI551*CC551</f>
        <v>1.49038461538462</v>
      </c>
      <c r="AK551" s="63" t="n">
        <f aca="false">IF(LEFT(Cockpit!$C$5,1)="A",H551,IF(CI551=1,(CL551+CJ551)/2,IF(LEFT(Cockpit!$C$5,1)="B",(CL551+AM551)/2,MAX((CL551+AM551)/2,H551))))</f>
        <v>56</v>
      </c>
      <c r="AL551" s="62" t="n">
        <f aca="false">AK551*G551</f>
        <v>94.08</v>
      </c>
      <c r="AM551" s="62" t="n">
        <f aca="false">ROUNDUP(CL551+MAX(CM551,2*(J551/IF(CH551&gt;0,CH551,MAX(0.1,N(Cockpit!$C$6)))-CL551)),0)</f>
        <v>158</v>
      </c>
      <c r="AN551" s="63" t="n">
        <f aca="false">IF(AJ551&gt;0,J551/AJ551,-1)</f>
        <v>101.316129032258</v>
      </c>
      <c r="AO551" s="63" t="n">
        <f aca="false">IF(AND(OR(CG551="L1",CG551="L23",CG551="LIFT"),AJ551&gt;0),SUMIFS($AJ$7:$AJ$1843,$CG$7:$CG$1843,CG551,$AN$7:$AN$1843,"&gt;"&amp;AN551)+SUMIFS($AJ$7:$AJ$1843,$CG$7:$CG$1843,CG551,$AN$7:$AN$1843,AN551,$BX$7:$BX$1843,"&lt;="&amp;BX551),"")</f>
        <v>757.373168498169</v>
      </c>
      <c r="AP551" s="70" t="n">
        <f aca="false">IF(AO551="",0,MAX(0,MIN(1,(IF(CG551="L1",Parameter!$H$5,IF(CG551="L23",Parameter!$H$6+Parameter!$H$7,Parameter!$H$5+Parameter!$H$6+Parameter!$H$7))-(AO551-AJ551))/AJ551)))</f>
        <v>1</v>
      </c>
      <c r="AQ551" s="62" t="n">
        <f aca="false">IF(LEFT(Cockpit!$I$5,1)="A",H551,IF(Parameter!$E$30="MAX-Bestand",IF(CI551=1,CJ551,IF(LEFT(Cockpit!$I$5,1)="B",AW551,MAX(AW551,H551))),ROUNDUP(AU551,0)))</f>
        <v>83</v>
      </c>
      <c r="AR551" s="62" t="n">
        <f aca="false">IF(CA551=1,0,ROUNDUP(AQ551/BZ551,0))</f>
        <v>1</v>
      </c>
      <c r="AS551" s="64" t="n">
        <f aca="false">IF(CR551&gt;0,CR551*MAX(1,AQ551/X551),IF(CA551=1,IF(AQ551&lt;=0,0,CE551*MAX(1,IF(H551&gt;0,AQ551/H551,1))),IF(R551&gt;0,AR551/R551,0))/MAX(0.1,N(Parameter!$M$21)))</f>
        <v>0.00961538461538462</v>
      </c>
      <c r="AT551" s="62" t="n">
        <f aca="false">AS551*CC551</f>
        <v>1.49038461538462</v>
      </c>
      <c r="AU551" s="63" t="n">
        <f aca="false">IF(LEFT(Cockpit!$I$5,1)="A",H551,IF(CI551=1,(CL551+CJ551)/2,IF(LEFT(Cockpit!$I$5,1)="B",(CL551+AW551)/2,MAX((CL551+AW551)/2,H551))))</f>
        <v>83</v>
      </c>
      <c r="AV551" s="62" t="n">
        <f aca="false">AU551*G551</f>
        <v>139.44</v>
      </c>
      <c r="AW551" s="62" t="n">
        <f aca="false">ROUNDUP(CL551+MAX(CM551,2*(J551/IF(CH551&gt;0,CH551,MAX(0.1,N(Cockpit!$I$6)))-CL551)),0)</f>
        <v>158</v>
      </c>
      <c r="AX551" s="63" t="n">
        <f aca="false">IF(AT551&gt;0,J551/AT551,-1)</f>
        <v>101.316129032258</v>
      </c>
      <c r="AY551" s="63" t="n">
        <f aca="false">IF(AND(OR(CG551="L1",CG551="L23",CG551="LIFT"),AT551&gt;0),SUMIFS($AT$7:$AT$1843,$CG$7:$CG$1843,CG551,$AX$7:$AX$1843,"&gt;"&amp;AX551)+SUMIFS($AT$7:$AT$1843,$CG$7:$CG$1843,CG551,$AX$7:$AX$1843,AX551,$BX$7:$BX$1843,"&lt;="&amp;BX551),"")</f>
        <v>832.096153846154</v>
      </c>
      <c r="AZ551" s="70" t="n">
        <f aca="false">IF(AY551="",0,MAX(0,MIN(1,(IF(CG551="L1",Parameter!$H$5,IF(CG551="L23",Parameter!$H$6+Parameter!$H$7,Parameter!$H$5+Parameter!$H$6+Parameter!$H$7))-(AY551-AT551))/AT551)))</f>
        <v>1</v>
      </c>
      <c r="BA551" s="62" t="n">
        <f aca="false">IF(LEFT(Cockpit!$O$5,1)="A",H551,IF(Parameter!$E$30="MAX-Bestand",IF(CI551=1,CJ551,IF(LEFT(Cockpit!$O$5,1)="B",BG551,MAX(BG551,H551))),ROUNDUP(BE551,0)))</f>
        <v>83</v>
      </c>
      <c r="BB551" s="62" t="n">
        <f aca="false">IF(CA551=1,0,ROUNDUP(BA551/BZ551,0))</f>
        <v>1</v>
      </c>
      <c r="BC551" s="64" t="n">
        <f aca="false">IF(CR551&gt;0,CR551*MAX(1,BA551/X551),IF(CA551=1,IF(BA551&lt;=0,0,CE551*MAX(1,IF(H551&gt;0,BA551/H551,1))),IF(R551&gt;0,BB551/R551,0))/MAX(0.1,N(Parameter!$M$21)))</f>
        <v>0.00961538461538462</v>
      </c>
      <c r="BD551" s="62" t="n">
        <f aca="false">BC551*CC551</f>
        <v>1.49038461538462</v>
      </c>
      <c r="BE551" s="63" t="n">
        <f aca="false">IF(LEFT(Cockpit!$O$5,1)="A",H551,IF(CI551=1,(CL551+CJ551)/2,IF(LEFT(Cockpit!$O$5,1)="B",(CL551+BG551)/2,MAX((CL551+BG551)/2,H551))))</f>
        <v>83</v>
      </c>
      <c r="BF551" s="62" t="n">
        <f aca="false">BE551*G551</f>
        <v>139.44</v>
      </c>
      <c r="BG551" s="62" t="n">
        <f aca="false">ROUNDUP(CL551+MAX(CM551,2*(J551/IF(CH551&gt;0,CH551,MAX(0.1,N(Cockpit!$O$6)))-CL551)),0)</f>
        <v>158</v>
      </c>
      <c r="BH551" s="63" t="n">
        <f aca="false">IF(BD551&gt;0,J551/BD551,-1)</f>
        <v>101.316129032258</v>
      </c>
      <c r="BI551" s="63" t="n">
        <f aca="false">IF(AND(OR(CG551="L1",CG551="L23",CG551="LIFT"),BD551&gt;0),SUMIFS($BD$7:$BD$1843,$CG$7:$CG$1843,CG551,$BH$7:$BH$1843,"&gt;"&amp;BH551)+SUMIFS($BD$7:$BD$1843,$CG$7:$CG$1843,CG551,$BH$7:$BH$1843,BH551,$BX$7:$BX$1843,"&lt;="&amp;BX551),"")</f>
        <v>901.836996336996</v>
      </c>
      <c r="BJ551" s="70" t="n">
        <f aca="false">IF(BI551="",0,MAX(0,MIN(1,(IF(CG551="L1",Parameter!$H$5,IF(CG551="L23",Parameter!$H$6+Parameter!$H$7,Parameter!$H$5+Parameter!$H$6+Parameter!$H$7))-(BI551-BD551))/BD551)))</f>
        <v>1</v>
      </c>
      <c r="BK551" s="60" t="str">
        <f aca="false">IF(AJ551&lt;=0,"",IF(CG551="Aussen","Aussenlager",IF(CG551="-","Nicht im Lift",IF(AP551&gt;=1,"Lift",IF(AP551&lt;=0,"Aussenlager","teilweise")))))</f>
        <v>Lift</v>
      </c>
      <c r="BL551" s="60" t="str">
        <f aca="false">IF(AT551&lt;=0,"",IF(CG551="Aussen","Aussenlager",IF(CG551="-","Nicht im Lift",IF(AZ551&gt;=1,"Lift",IF(AZ551&lt;=0,"Aussenlager","teilweise")))))</f>
        <v>Lift</v>
      </c>
      <c r="BM551" s="60" t="str">
        <f aca="false">IF(BD551&lt;=0,"",IF(CG551="Aussen","Aussenlager",IF(CG551="-","Nicht im Lift",IF(BJ551&gt;=1,"Lift",IF(BJ551&lt;=0,"Aussenlager","teilweise")))))</f>
        <v>Lift</v>
      </c>
      <c r="BN551" s="60" t="str">
        <f aca="false">IF(A551="","",IF(BW551=1,"Neu; ","")&amp;IF(AND(BW551=0,BR551&lt;0),"negativer Bestand (Export "&amp;BR551&amp;"); ","")&amp;IF(J551&lt;=0,"Kein Verbrauch; ","")&amp;IF(CR551&gt;0,"Lift "&amp;W551&amp;" lt. Liftbericht (Fach "&amp;X551&amp;" Stk); ",IF(CB551=1,"Gebinde geschätzt ("&amp;T551&amp;"); ",IF(CA551=1,"Lose – Tablare geschätzt; ","")))&amp;IF(H551&gt;AW551,"Überbestand "&amp;ROUND(H551-AW551,0)&amp;" Stk / CHF "&amp;ROUND((H551-AW551)*G551,0)&amp;"; ","")&amp;IF(AND(CI551=1,CJ551&lt;CK551),"MAX &lt; MB+LG; ","")&amp;IF(AND(CQ551&gt;0,CP551*10&gt;CQ551),"zu hoch für Tablar; ","")&amp;IF(AND(BW551=0,OR(CI551=1,AB551&lt;&gt;"",U551&lt;&gt;"",V551&lt;&gt;"",AC551&lt;&gt;"")),"manuell übersteuert; ","")&amp;IF(AND(CA551=0,R551=0),"Gebinde unbekannt / Stellmass fehlt; ","")&amp;IF(AND(CA551=0,N(V551)&lt;=0,N(Q551)&lt;=0),"Menge pro Gebinde fehlt (Ist = 1 Gebinde); ","")&amp;BV551)</f>
        <v/>
      </c>
      <c r="BO551" s="60"/>
      <c r="BP551" s="60"/>
      <c r="BQ551" s="67"/>
      <c r="BR551" s="62" t="n">
        <v>9</v>
      </c>
      <c r="BS551" s="62" t="n">
        <v>47</v>
      </c>
      <c r="BT551" s="61" t="n">
        <v>16.53</v>
      </c>
      <c r="BU551" s="62" t="n">
        <v>151</v>
      </c>
      <c r="BV551" s="60"/>
      <c r="BW551" s="65" t="n">
        <v>0</v>
      </c>
      <c r="BX551" s="65" t="n">
        <v>551</v>
      </c>
      <c r="BY551" s="60" t="str">
        <f aca="false">IF(U551&lt;&gt;"",UPPER(TRIM(U551)),IF(CB551=1,UPPER(VLOOKUP(T551,Parameter!$I$27:$K$29,2,0)),IF(P551="","LOSE",P551)))</f>
        <v>S32</v>
      </c>
      <c r="BZ551" s="62" t="n">
        <f aca="false">IF(BY551="LOSE",1,IF(N(V551)&gt;0,V551,IF(CB551=1,MAX(1,N(VLOOKUP(T551,Parameter!$I$27:$K$29,3,0)),H551,N(N551)),IF(N(Q551)&gt;0,Q551,MAX(1,H551)))))</f>
        <v>91</v>
      </c>
      <c r="CA551" s="65" t="n">
        <f aca="false">IF(BY551="LOSE",1,0)</f>
        <v>0</v>
      </c>
      <c r="CB551" s="65" t="n">
        <f aca="false">IF(AND(U551="",OR(P551="",P551="LOSE"),T551&lt;&gt;"",N(S551)&lt;=0,ISNUMBER(MATCH(T551,Parameter!$I$27:$I$29,0))),1,0)</f>
        <v>0</v>
      </c>
      <c r="CC551" s="65" t="n">
        <f aca="false">IF(CR551&gt;0,INDEX(Parameter!$H$5:$H$7,W551)/INDEX(Parameter!$E$5:$E$7,W551),IF(AND(CA551=0,N(IFERROR(VLOOKUP(BY551,'Gebinde-Kategorie'!$A$5:$N$45,14,0),0))&gt;0),VLOOKUP(BY551,'Gebinde-Kategorie'!$A$5:$N$45,14,0)*10+Parameter!$M$23,Parameter!$M$24))</f>
        <v>155</v>
      </c>
      <c r="CD551" s="60" t="str">
        <f aca="false">IF(AND(Parameter!$B$19="Ja",E551&lt;&gt;"",ISNUMBER(MATCH(E551,Parameter!$I$35:$I$52,0))),VLOOKUP(E551,Parameter!$I$35:$J$52,2,0),IFERROR(VLOOKUP(D551,Parameter!$A$35:$C$64,2,0),"Nein"))</f>
        <v>2+3</v>
      </c>
      <c r="CE551" s="64" t="n">
        <f aca="false">IF(CA551=0,0,IF(N(S551)&gt;0,S551,IFERROR(VLOOKUP(D551,Parameter!$A$35:$C$64,3,0)+0,0)))</f>
        <v>0</v>
      </c>
      <c r="CF551" s="60" t="n">
        <f aca="false">IF(AB551&lt;&gt;"",AB551,AA551)</f>
        <v>1</v>
      </c>
      <c r="CG551" s="60" t="str">
        <f aca="false">IF(OR(CF551=1,CF551=2,CF551=3),IF(Parameter!$E$27="Ja","LIFT",IF(CF551=1,"L1","L23")),IF(CF551="Aussen","Aussen","-"))</f>
        <v>LIFT</v>
      </c>
      <c r="CH551" s="71" t="n">
        <f aca="false">IF(N(AC551)&gt;0,AC551,0)</f>
        <v>0</v>
      </c>
      <c r="CI551" s="65" t="n">
        <f aca="false">IF(ISNUMBER(AF551),1,0)</f>
        <v>0</v>
      </c>
      <c r="CJ551" s="62" t="n">
        <f aca="false">N(AF551)</f>
        <v>0</v>
      </c>
      <c r="CK551" s="62" t="n">
        <f aca="false">N(M551)+N(N551)</f>
        <v>158</v>
      </c>
      <c r="CL551" s="62" t="n">
        <f aca="false">N(M551)</f>
        <v>8</v>
      </c>
      <c r="CM551" s="62" t="n">
        <f aca="false">N(N551)</f>
        <v>150</v>
      </c>
      <c r="CN551" s="62" t="n">
        <f aca="false">ROUNDUP(H551/BZ551,0)</f>
        <v>1</v>
      </c>
      <c r="CO551" s="62" t="n">
        <f aca="false">ROUNDUP(CJ551/BZ551,0)</f>
        <v>0</v>
      </c>
      <c r="CP551" s="65" t="n">
        <f aca="false">IF(CA551=1,0,IFERROR(VLOOKUP(BY551,'Gebinde-Kategorie'!$A$5:$N$45,5,0)+0,0))</f>
        <v>8</v>
      </c>
      <c r="CQ551" s="65" t="n">
        <f aca="false">IFERROR(IF(OR(CF551=1,CF551=2,CF551=3),N(INDEX(Parameter!$I$5:$I$7,CF551)),0),0)</f>
        <v>0</v>
      </c>
      <c r="CR551" s="64" t="n">
        <f aca="false">IF(AND(Parameter!$B$21="Ja",ISNUMBER(W551),N(X551)&gt;0),IFERROR(N(INDEX(Parameter!$L$5:$L$7,W551))*INDEX(Parameter!$E$5:$E$7,W551)*X551/SUMIFS($X$7:$X$1843,$W$7:$W$1843,W551),0),0)</f>
        <v>0</v>
      </c>
      <c r="CS551" s="62" t="n">
        <f aca="false">IF(AND(OR(CG551="L1",CG551="L23",CG551="LIFT"),H551&gt;0),CC551*IF(CR551&gt;0,CR551*MAX(1,H551/X551),IF(CA551=1,CE551,IF(R551&gt;0,CN551/R551,0))/MAX(0.1,N(Parameter!$M$21))),"")</f>
        <v>1.49038461538462</v>
      </c>
      <c r="CT551" s="64" t="n">
        <f aca="false">IF(CS551="","",J551/H551)</f>
        <v>2.69642857142857</v>
      </c>
      <c r="CU551" s="62" t="n">
        <f aca="false">IF(CS551="","",H551*G551)</f>
        <v>94.08</v>
      </c>
      <c r="CV551" s="63" t="n">
        <f aca="false">IF(CS551="","",(CL551+ROUNDUP(CL551+MAX(CM551,2*(J551/MAX(0.1,N(Einkauf!$C$6))-CL551)),0))/2)</f>
        <v>83</v>
      </c>
      <c r="CW551" s="62" t="n">
        <f aca="false">IF(CS551="","",MAX(0,H551-CV551)*G551)</f>
        <v>0</v>
      </c>
      <c r="CX551" s="62" t="n">
        <f aca="false">IF(CS551="","",CS551*MAX(0,1-CV551/H551))</f>
        <v>0</v>
      </c>
      <c r="CY551" s="64" t="n">
        <f aca="false">IF(CS551="","",PERCENTRANK($CS$7:$CS$1843,CS551)+PERCENTRANK($CU$7:$CU$1843,CU551)+1-PERCENTRANK($CT$7:$CT$1843,CT551))</f>
        <v>0.467</v>
      </c>
      <c r="CZ551" s="72" t="n">
        <f aca="false">IF(CS551="","",CHOOSE(MATCH(Einkauf!$C$5,Parameter!$G$23:$G$27,0),CY551,CS551,CU551,-CT551,CW551)+ROW()/1000000000)</f>
        <v>0.467000551</v>
      </c>
    </row>
    <row r="552" customFormat="false" ht="15" hidden="false" customHeight="false" outlineLevel="0" collapsed="false">
      <c r="A552" s="60" t="s">
        <v>1220</v>
      </c>
      <c r="B552" s="60" t="s">
        <v>670</v>
      </c>
      <c r="C552" s="60" t="s">
        <v>206</v>
      </c>
      <c r="D552" s="60" t="s">
        <v>226</v>
      </c>
      <c r="E552" s="60" t="s">
        <v>227</v>
      </c>
      <c r="F552" s="60" t="s">
        <v>260</v>
      </c>
      <c r="G552" s="61" t="n">
        <v>9.57</v>
      </c>
      <c r="H552" s="62" t="n">
        <f aca="false">MAX(0,IF(AND(Parameter!$B$21="Ja",ISNUMBER(Y552)),Y552,IF(Parameter!$B$20="Jahresanfang 2025 + Export",BS552+BR552,BR552)))</f>
        <v>10</v>
      </c>
      <c r="I552" s="62" t="n">
        <f aca="false">H552*G552</f>
        <v>95.7</v>
      </c>
      <c r="J552" s="62" t="n">
        <f aca="false">BU552*Parameter!$B$18</f>
        <v>18</v>
      </c>
      <c r="K552" s="63" t="n">
        <v>8</v>
      </c>
      <c r="L552" s="64" t="n">
        <v>2.25</v>
      </c>
      <c r="M552" s="62" t="n">
        <v>0</v>
      </c>
      <c r="N552" s="62" t="n">
        <v>5</v>
      </c>
      <c r="O552" s="65" t="n">
        <v>14</v>
      </c>
      <c r="P552" s="60" t="s">
        <v>443</v>
      </c>
      <c r="Q552" s="62" t="n">
        <v>31</v>
      </c>
      <c r="R552" s="65" t="n">
        <f aca="false">IF(CA552=1,0,IFERROR(VLOOKUP(BY552,'Gebinde-Kategorie'!$A$5:$N$45,13,0)+0,0))</f>
        <v>280</v>
      </c>
      <c r="S552" s="66"/>
      <c r="T552" s="67"/>
      <c r="U552" s="67"/>
      <c r="V552" s="67"/>
      <c r="W552" s="60"/>
      <c r="X552" s="62"/>
      <c r="Y552" s="62"/>
      <c r="Z552" s="60" t="n">
        <v>3</v>
      </c>
      <c r="AA552" s="60" t="n">
        <f aca="false">IF(A552="","",IF(AND(Parameter!$B$21="Ja",ISNUMBER(W552)),W552,IF(AND(Parameter!$E$27="Ja",ISNUMBER(Z552),CD552&lt;&gt;"Nein"),Z552,IF(CD552="2+3",IF(ISNUMBER(SEARCH("grosser Artikel",BV552)),2,IFERROR(VLOOKUP(BY552,Parameter!$F$35:$G$64,2,0),2)),IF(OR(CD552="Nein",CD552=""),"-",CD552)))))</f>
        <v>3</v>
      </c>
      <c r="AB552" s="67"/>
      <c r="AC552" s="68"/>
      <c r="AD552" s="62" t="n">
        <f aca="false">AW552</f>
        <v>12</v>
      </c>
      <c r="AE552" s="62" t="n">
        <f aca="false">MAX(AW552,H552)</f>
        <v>12</v>
      </c>
      <c r="AF552" s="69"/>
      <c r="AG552" s="62" t="n">
        <f aca="false">IF(LEFT(Cockpit!$C$5,1)="A",H552,IF(Parameter!$E$30="MAX-Bestand",IF(CI552=1,CJ552,IF(LEFT(Cockpit!$C$5,1)="B",AM552,MAX(AM552,H552))),ROUNDUP(AK552,0)))</f>
        <v>10</v>
      </c>
      <c r="AH552" s="62" t="n">
        <f aca="false">IF(CA552=1,0,ROUNDUP(AG552/BZ552,0))</f>
        <v>1</v>
      </c>
      <c r="AI552" s="64" t="n">
        <f aca="false">IF(CR552&gt;0,CR552*MAX(1,AG552/X552),IF(CA552=1,IF(AG552&lt;=0,0,CE552*MAX(1,IF(H552&gt;0,AG552/H552,1))),IF(R552&gt;0,AH552/R552,0))/MAX(0.1,N(Parameter!$M$21)))</f>
        <v>0.00357142857142857</v>
      </c>
      <c r="AJ552" s="62" t="n">
        <f aca="false">AI552*CC552</f>
        <v>0.553571428571429</v>
      </c>
      <c r="AK552" s="63" t="n">
        <f aca="false">IF(LEFT(Cockpit!$C$5,1)="A",H552,IF(CI552=1,(CL552+CJ552)/2,IF(LEFT(Cockpit!$C$5,1)="B",(CL552+AM552)/2,MAX((CL552+AM552)/2,H552))))</f>
        <v>10</v>
      </c>
      <c r="AL552" s="62" t="n">
        <f aca="false">AK552*G552</f>
        <v>95.7</v>
      </c>
      <c r="AM552" s="62" t="n">
        <f aca="false">ROUNDUP(CL552+MAX(CM552,2*(J552/IF(CH552&gt;0,CH552,MAX(0.1,N(Cockpit!$C$6)))-CL552)),0)</f>
        <v>12</v>
      </c>
      <c r="AN552" s="63" t="n">
        <f aca="false">IF(AJ552&gt;0,J552/AJ552,-1)</f>
        <v>32.5161290322581</v>
      </c>
      <c r="AO552" s="63" t="n">
        <f aca="false">IF(AND(OR(CG552="L1",CG552="L23",CG552="LIFT"),AJ552&gt;0),SUMIFS($AJ$7:$AJ$1843,$CG$7:$CG$1843,CG552,$AN$7:$AN$1843,"&gt;"&amp;AN552)+SUMIFS($AJ$7:$AJ$1843,$CG$7:$CG$1843,CG552,$AN$7:$AN$1843,AN552,$BX$7:$BX$1843,"&lt;="&amp;BX552),"")</f>
        <v>1347.00274725275</v>
      </c>
      <c r="AP552" s="70" t="n">
        <f aca="false">IF(AO552="",0,MAX(0,MIN(1,(IF(CG552="L1",Parameter!$H$5,IF(CG552="L23",Parameter!$H$6+Parameter!$H$7,Parameter!$H$5+Parameter!$H$6+Parameter!$H$7))-(AO552-AJ552))/AJ552)))</f>
        <v>1</v>
      </c>
      <c r="AQ552" s="62" t="n">
        <f aca="false">IF(LEFT(Cockpit!$I$5,1)="A",H552,IF(Parameter!$E$30="MAX-Bestand",IF(CI552=1,CJ552,IF(LEFT(Cockpit!$I$5,1)="B",AW552,MAX(AW552,H552))),ROUNDUP(AU552,0)))</f>
        <v>10</v>
      </c>
      <c r="AR552" s="62" t="n">
        <f aca="false">IF(CA552=1,0,ROUNDUP(AQ552/BZ552,0))</f>
        <v>1</v>
      </c>
      <c r="AS552" s="64" t="n">
        <f aca="false">IF(CR552&gt;0,CR552*MAX(1,AQ552/X552),IF(CA552=1,IF(AQ552&lt;=0,0,CE552*MAX(1,IF(H552&gt;0,AQ552/H552,1))),IF(R552&gt;0,AR552/R552,0))/MAX(0.1,N(Parameter!$M$21)))</f>
        <v>0.00357142857142857</v>
      </c>
      <c r="AT552" s="62" t="n">
        <f aca="false">AS552*CC552</f>
        <v>0.553571428571429</v>
      </c>
      <c r="AU552" s="63" t="n">
        <f aca="false">IF(LEFT(Cockpit!$I$5,1)="A",H552,IF(CI552=1,(CL552+CJ552)/2,IF(LEFT(Cockpit!$I$5,1)="B",(CL552+AW552)/2,MAX((CL552+AW552)/2,H552))))</f>
        <v>10</v>
      </c>
      <c r="AV552" s="62" t="n">
        <f aca="false">AU552*G552</f>
        <v>95.7</v>
      </c>
      <c r="AW552" s="62" t="n">
        <f aca="false">ROUNDUP(CL552+MAX(CM552,2*(J552/IF(CH552&gt;0,CH552,MAX(0.1,N(Cockpit!$I$6)))-CL552)),0)</f>
        <v>12</v>
      </c>
      <c r="AX552" s="63" t="n">
        <f aca="false">IF(AT552&gt;0,J552/AT552,-1)</f>
        <v>32.5161290322581</v>
      </c>
      <c r="AY552" s="63" t="n">
        <f aca="false">IF(AND(OR(CG552="L1",CG552="L23",CG552="LIFT"),AT552&gt;0),SUMIFS($AT$7:$AT$1843,$CG$7:$CG$1843,CG552,$AX$7:$AX$1843,"&gt;"&amp;AX552)+SUMIFS($AT$7:$AT$1843,$CG$7:$CG$1843,CG552,$AX$7:$AX$1843,AX552,$BX$7:$BX$1843,"&lt;="&amp;BX552),"")</f>
        <v>1740.26877289377</v>
      </c>
      <c r="AZ552" s="70" t="n">
        <f aca="false">IF(AY552="",0,MAX(0,MIN(1,(IF(CG552="L1",Parameter!$H$5,IF(CG552="L23",Parameter!$H$6+Parameter!$H$7,Parameter!$H$5+Parameter!$H$6+Parameter!$H$7))-(AY552-AT552))/AT552)))</f>
        <v>1</v>
      </c>
      <c r="BA552" s="62" t="n">
        <f aca="false">IF(LEFT(Cockpit!$O$5,1)="A",H552,IF(Parameter!$E$30="MAX-Bestand",IF(CI552=1,CJ552,IF(LEFT(Cockpit!$O$5,1)="B",BG552,MAX(BG552,H552))),ROUNDUP(BE552,0)))</f>
        <v>5</v>
      </c>
      <c r="BB552" s="62" t="n">
        <f aca="false">IF(CA552=1,0,ROUNDUP(BA552/BZ552,0))</f>
        <v>1</v>
      </c>
      <c r="BC552" s="64" t="n">
        <f aca="false">IF(CR552&gt;0,CR552*MAX(1,BA552/X552),IF(CA552=1,IF(BA552&lt;=0,0,CE552*MAX(1,IF(H552&gt;0,BA552/H552,1))),IF(R552&gt;0,BB552/R552,0))/MAX(0.1,N(Parameter!$M$21)))</f>
        <v>0.00357142857142857</v>
      </c>
      <c r="BD552" s="62" t="n">
        <f aca="false">BC552*CC552</f>
        <v>0.553571428571429</v>
      </c>
      <c r="BE552" s="63" t="n">
        <f aca="false">IF(LEFT(Cockpit!$O$5,1)="A",H552,IF(CI552=1,(CL552+CJ552)/2,IF(LEFT(Cockpit!$O$5,1)="B",(CL552+BG552)/2,MAX((CL552+BG552)/2,H552))))</f>
        <v>4.5</v>
      </c>
      <c r="BF552" s="62" t="n">
        <f aca="false">BE552*G552</f>
        <v>43.065</v>
      </c>
      <c r="BG552" s="62" t="n">
        <f aca="false">ROUNDUP(CL552+MAX(CM552,2*(J552/IF(CH552&gt;0,CH552,MAX(0.1,N(Cockpit!$O$6)))-CL552)),0)</f>
        <v>9</v>
      </c>
      <c r="BH552" s="63" t="n">
        <f aca="false">IF(BD552&gt;0,J552/BD552,-1)</f>
        <v>32.5161290322581</v>
      </c>
      <c r="BI552" s="63" t="n">
        <f aca="false">IF(AND(OR(CG552="L1",CG552="L23",CG552="LIFT"),BD552&gt;0),SUMIFS($BD$7:$BD$1843,$CG$7:$CG$1843,CG552,$BH$7:$BH$1843,"&gt;"&amp;BH552)+SUMIFS($BD$7:$BD$1843,$CG$7:$CG$1843,CG552,$BH$7:$BH$1843,BH552,$BX$7:$BX$1843,"&lt;="&amp;BX552),"")</f>
        <v>1679.9445970696</v>
      </c>
      <c r="BJ552" s="70" t="n">
        <f aca="false">IF(BI552="",0,MAX(0,MIN(1,(IF(CG552="L1",Parameter!$H$5,IF(CG552="L23",Parameter!$H$6+Parameter!$H$7,Parameter!$H$5+Parameter!$H$6+Parameter!$H$7))-(BI552-BD552))/BD552)))</f>
        <v>1</v>
      </c>
      <c r="BK552" s="60" t="str">
        <f aca="false">IF(AJ552&lt;=0,"",IF(CG552="Aussen","Aussenlager",IF(CG552="-","Nicht im Lift",IF(AP552&gt;=1,"Lift",IF(AP552&lt;=0,"Aussenlager","teilweise")))))</f>
        <v>Lift</v>
      </c>
      <c r="BL552" s="60" t="str">
        <f aca="false">IF(AT552&lt;=0,"",IF(CG552="Aussen","Aussenlager",IF(CG552="-","Nicht im Lift",IF(AZ552&gt;=1,"Lift",IF(AZ552&lt;=0,"Aussenlager","teilweise")))))</f>
        <v>Lift</v>
      </c>
      <c r="BM552" s="60" t="str">
        <f aca="false">IF(BD552&lt;=0,"",IF(CG552="Aussen","Aussenlager",IF(CG552="-","Nicht im Lift",IF(BJ552&gt;=1,"Lift",IF(BJ552&lt;=0,"Aussenlager","teilweise")))))</f>
        <v>Lift</v>
      </c>
      <c r="BN552" s="60" t="str">
        <f aca="false">IF(A552="","",IF(BW552=1,"Neu; ","")&amp;IF(AND(BW552=0,BR552&lt;0),"negativer Bestand (Export "&amp;BR552&amp;"); ","")&amp;IF(J552&lt;=0,"Kein Verbrauch; ","")&amp;IF(CR552&gt;0,"Lift "&amp;W552&amp;" lt. Liftbericht (Fach "&amp;X552&amp;" Stk); ",IF(CB552=1,"Gebinde geschätzt ("&amp;T552&amp;"); ",IF(CA552=1,"Lose – Tablare geschätzt; ","")))&amp;IF(H552&gt;AW552,"Überbestand "&amp;ROUND(H552-AW552,0)&amp;" Stk / CHF "&amp;ROUND((H552-AW552)*G552,0)&amp;"; ","")&amp;IF(AND(CI552=1,CJ552&lt;CK552),"MAX &lt; MB+LG; ","")&amp;IF(AND(CQ552&gt;0,CP552*10&gt;CQ552),"zu hoch für Tablar; ","")&amp;IF(AND(BW552=0,OR(CI552=1,AB552&lt;&gt;"",U552&lt;&gt;"",V552&lt;&gt;"",AC552&lt;&gt;"")),"manuell übersteuert; ","")&amp;IF(AND(CA552=0,R552=0),"Gebinde unbekannt / Stellmass fehlt; ","")&amp;IF(AND(CA552=0,N(V552)&lt;=0,N(Q552)&lt;=0),"Menge pro Gebinde fehlt (Ist = 1 Gebinde); ","")&amp;BV552)</f>
        <v/>
      </c>
      <c r="BO552" s="60"/>
      <c r="BP552" s="60"/>
      <c r="BQ552" s="67"/>
      <c r="BR552" s="62" t="n">
        <v>3</v>
      </c>
      <c r="BS552" s="62" t="n">
        <v>7</v>
      </c>
      <c r="BT552" s="61" t="n">
        <v>16.1</v>
      </c>
      <c r="BU552" s="62" t="n">
        <v>18</v>
      </c>
      <c r="BV552" s="60"/>
      <c r="BW552" s="65" t="n">
        <v>0</v>
      </c>
      <c r="BX552" s="65" t="n">
        <v>552</v>
      </c>
      <c r="BY552" s="60" t="str">
        <f aca="false">IF(U552&lt;&gt;"",UPPER(TRIM(U552)),IF(CB552=1,UPPER(VLOOKUP(T552,Parameter!$I$27:$K$29,2,0)),IF(P552="","LOSE",P552)))</f>
        <v>S21</v>
      </c>
      <c r="BZ552" s="62" t="n">
        <f aca="false">IF(BY552="LOSE",1,IF(N(V552)&gt;0,V552,IF(CB552=1,MAX(1,N(VLOOKUP(T552,Parameter!$I$27:$K$29,3,0)),H552,N(N552)),IF(N(Q552)&gt;0,Q552,MAX(1,H552)))))</f>
        <v>31</v>
      </c>
      <c r="CA552" s="65" t="n">
        <f aca="false">IF(BY552="LOSE",1,0)</f>
        <v>0</v>
      </c>
      <c r="CB552" s="65" t="n">
        <f aca="false">IF(AND(U552="",OR(P552="",P552="LOSE"),T552&lt;&gt;"",N(S552)&lt;=0,ISNUMBER(MATCH(T552,Parameter!$I$27:$I$29,0))),1,0)</f>
        <v>0</v>
      </c>
      <c r="CC552" s="65" t="n">
        <f aca="false">IF(CR552&gt;0,INDEX(Parameter!$H$5:$H$7,W552)/INDEX(Parameter!$E$5:$E$7,W552),IF(AND(CA552=0,N(IFERROR(VLOOKUP(BY552,'Gebinde-Kategorie'!$A$5:$N$45,14,0),0))&gt;0),VLOOKUP(BY552,'Gebinde-Kategorie'!$A$5:$N$45,14,0)*10+Parameter!$M$23,Parameter!$M$24))</f>
        <v>155</v>
      </c>
      <c r="CD552" s="60" t="str">
        <f aca="false">IF(AND(Parameter!$B$19="Ja",E552&lt;&gt;"",ISNUMBER(MATCH(E552,Parameter!$I$35:$I$52,0))),VLOOKUP(E552,Parameter!$I$35:$J$52,2,0),IFERROR(VLOOKUP(D552,Parameter!$A$35:$C$64,2,0),"Nein"))</f>
        <v>2+3</v>
      </c>
      <c r="CE552" s="64" t="n">
        <f aca="false">IF(CA552=0,0,IF(N(S552)&gt;0,S552,IFERROR(VLOOKUP(D552,Parameter!$A$35:$C$64,3,0)+0,0)))</f>
        <v>0</v>
      </c>
      <c r="CF552" s="60" t="n">
        <f aca="false">IF(AB552&lt;&gt;"",AB552,AA552)</f>
        <v>3</v>
      </c>
      <c r="CG552" s="60" t="str">
        <f aca="false">IF(OR(CF552=1,CF552=2,CF552=3),IF(Parameter!$E$27="Ja","LIFT",IF(CF552=1,"L1","L23")),IF(CF552="Aussen","Aussen","-"))</f>
        <v>LIFT</v>
      </c>
      <c r="CH552" s="71" t="n">
        <f aca="false">IF(N(AC552)&gt;0,AC552,0)</f>
        <v>0</v>
      </c>
      <c r="CI552" s="65" t="n">
        <f aca="false">IF(ISNUMBER(AF552),1,0)</f>
        <v>0</v>
      </c>
      <c r="CJ552" s="62" t="n">
        <f aca="false">N(AF552)</f>
        <v>0</v>
      </c>
      <c r="CK552" s="62" t="n">
        <f aca="false">N(M552)+N(N552)</f>
        <v>5</v>
      </c>
      <c r="CL552" s="62" t="n">
        <f aca="false">N(M552)</f>
        <v>0</v>
      </c>
      <c r="CM552" s="62" t="n">
        <f aca="false">N(N552)</f>
        <v>5</v>
      </c>
      <c r="CN552" s="62" t="n">
        <f aca="false">ROUNDUP(H552/BZ552,0)</f>
        <v>1</v>
      </c>
      <c r="CO552" s="62" t="n">
        <f aca="false">ROUNDUP(CJ552/BZ552,0)</f>
        <v>0</v>
      </c>
      <c r="CP552" s="65" t="n">
        <f aca="false">IF(CA552=1,0,IFERROR(VLOOKUP(BY552,'Gebinde-Kategorie'!$A$5:$N$45,5,0)+0,0))</f>
        <v>8</v>
      </c>
      <c r="CQ552" s="65" t="n">
        <f aca="false">IFERROR(IF(OR(CF552=1,CF552=2,CF552=3),N(INDEX(Parameter!$I$5:$I$7,CF552)),0),0)</f>
        <v>0</v>
      </c>
      <c r="CR552" s="64" t="n">
        <f aca="false">IF(AND(Parameter!$B$21="Ja",ISNUMBER(W552),N(X552)&gt;0),IFERROR(N(INDEX(Parameter!$L$5:$L$7,W552))*INDEX(Parameter!$E$5:$E$7,W552)*X552/SUMIFS($X$7:$X$1843,$W$7:$W$1843,W552),0),0)</f>
        <v>0</v>
      </c>
      <c r="CS552" s="62" t="n">
        <f aca="false">IF(AND(OR(CG552="L1",CG552="L23",CG552="LIFT"),H552&gt;0),CC552*IF(CR552&gt;0,CR552*MAX(1,H552/X552),IF(CA552=1,CE552,IF(R552&gt;0,CN552/R552,0))/MAX(0.1,N(Parameter!$M$21))),"")</f>
        <v>0.553571428571429</v>
      </c>
      <c r="CT552" s="64" t="n">
        <f aca="false">IF(CS552="","",J552/H552)</f>
        <v>1.8</v>
      </c>
      <c r="CU552" s="62" t="n">
        <f aca="false">IF(CS552="","",H552*G552)</f>
        <v>95.7</v>
      </c>
      <c r="CV552" s="63" t="n">
        <f aca="false">IF(CS552="","",(CL552+ROUNDUP(CL552+MAX(CM552,2*(J552/MAX(0.1,N(Einkauf!$C$6))-CL552)),0))/2)</f>
        <v>4.5</v>
      </c>
      <c r="CW552" s="62" t="n">
        <f aca="false">IF(CS552="","",MAX(0,H552-CV552)*G552)</f>
        <v>52.635</v>
      </c>
      <c r="CX552" s="62" t="n">
        <f aca="false">IF(CS552="","",CS552*MAX(0,1-CV552/H552))</f>
        <v>0.304464285714286</v>
      </c>
      <c r="CY552" s="64" t="n">
        <f aca="false">IF(CS552="","",PERCENTRANK($CS$7:$CS$1843,CS552)+PERCENTRANK($CU$7:$CU$1843,CU552)+1-PERCENTRANK($CT$7:$CT$1843,CT552))</f>
        <v>0.432</v>
      </c>
      <c r="CZ552" s="72" t="n">
        <f aca="false">IF(CS552="","",CHOOSE(MATCH(Einkauf!$C$5,Parameter!$G$23:$G$27,0),CY552,CS552,CU552,-CT552,CW552)+ROW()/1000000000)</f>
        <v>0.432000552</v>
      </c>
    </row>
    <row r="553" customFormat="false" ht="15" hidden="false" customHeight="false" outlineLevel="0" collapsed="false">
      <c r="A553" s="60" t="s">
        <v>1221</v>
      </c>
      <c r="B553" s="60" t="s">
        <v>447</v>
      </c>
      <c r="C553" s="60" t="s">
        <v>206</v>
      </c>
      <c r="D553" s="60" t="s">
        <v>215</v>
      </c>
      <c r="E553" s="60" t="s">
        <v>227</v>
      </c>
      <c r="F553" s="60" t="s">
        <v>260</v>
      </c>
      <c r="G553" s="61" t="n">
        <v>0.17</v>
      </c>
      <c r="H553" s="62" t="n">
        <f aca="false">MAX(0,IF(AND(Parameter!$B$21="Ja",ISNUMBER(Y553)),Y553,IF(Parameter!$B$20="Jahresanfang 2025 + Export",BS553+BR553,BR553)))</f>
        <v>804</v>
      </c>
      <c r="I553" s="62" t="n">
        <f aca="false">H553*G553</f>
        <v>136.68</v>
      </c>
      <c r="J553" s="62" t="n">
        <f aca="false">BU553*Parameter!$B$18</f>
        <v>1832</v>
      </c>
      <c r="K553" s="63" t="n">
        <v>730.5</v>
      </c>
      <c r="L553" s="64" t="n">
        <v>2.50787132101301</v>
      </c>
      <c r="M553" s="62" t="n">
        <v>340</v>
      </c>
      <c r="N553" s="62" t="n">
        <v>400</v>
      </c>
      <c r="O553" s="65" t="n">
        <v>14</v>
      </c>
      <c r="P553" s="60" t="s">
        <v>275</v>
      </c>
      <c r="Q553" s="62" t="n">
        <v>931</v>
      </c>
      <c r="R553" s="65" t="n">
        <f aca="false">IF(CA553=1,0,IFERROR(VLOOKUP(BY553,'Gebinde-Kategorie'!$A$5:$N$45,13,0)+0,0))</f>
        <v>26</v>
      </c>
      <c r="S553" s="66"/>
      <c r="T553" s="67"/>
      <c r="U553" s="67"/>
      <c r="V553" s="67"/>
      <c r="W553" s="60"/>
      <c r="X553" s="62"/>
      <c r="Y553" s="62"/>
      <c r="Z553" s="60" t="n">
        <v>3</v>
      </c>
      <c r="AA553" s="60" t="n">
        <f aca="false">IF(A553="","",IF(AND(Parameter!$B$21="Ja",ISNUMBER(W553)),W553,IF(AND(Parameter!$E$27="Ja",ISNUMBER(Z553),CD553&lt;&gt;"Nein"),Z553,IF(CD553="2+3",IF(ISNUMBER(SEARCH("grosser Artikel",BV553)),2,IFERROR(VLOOKUP(BY553,Parameter!$F$35:$G$64,2,0),2)),IF(OR(CD553="Nein",CD553=""),"-",CD553)))))</f>
        <v>3</v>
      </c>
      <c r="AB553" s="67"/>
      <c r="AC553" s="68"/>
      <c r="AD553" s="62" t="n">
        <f aca="false">AW553</f>
        <v>882</v>
      </c>
      <c r="AE553" s="62" t="n">
        <f aca="false">MAX(AW553,H553)</f>
        <v>882</v>
      </c>
      <c r="AF553" s="69"/>
      <c r="AG553" s="62" t="n">
        <f aca="false">IF(LEFT(Cockpit!$C$5,1)="A",H553,IF(Parameter!$E$30="MAX-Bestand",IF(CI553=1,CJ553,IF(LEFT(Cockpit!$C$5,1)="B",AM553,MAX(AM553,H553))),ROUNDUP(AK553,0)))</f>
        <v>804</v>
      </c>
      <c r="AH553" s="62" t="n">
        <f aca="false">IF(CA553=1,0,ROUNDUP(AG553/BZ553,0))</f>
        <v>1</v>
      </c>
      <c r="AI553" s="64" t="n">
        <f aca="false">IF(CR553&gt;0,CR553*MAX(1,AG553/X553),IF(CA553=1,IF(AG553&lt;=0,0,CE553*MAX(1,IF(H553&gt;0,AG553/H553,1))),IF(R553&gt;0,AH553/R553,0))/MAX(0.1,N(Parameter!$M$21)))</f>
        <v>0.0384615384615385</v>
      </c>
      <c r="AJ553" s="62" t="n">
        <f aca="false">AI553*CC553</f>
        <v>9.42307692307692</v>
      </c>
      <c r="AK553" s="63" t="n">
        <f aca="false">IF(LEFT(Cockpit!$C$5,1)="A",H553,IF(CI553=1,(CL553+CJ553)/2,IF(LEFT(Cockpit!$C$5,1)="B",(CL553+AM553)/2,MAX((CL553+AM553)/2,H553))))</f>
        <v>804</v>
      </c>
      <c r="AL553" s="62" t="n">
        <f aca="false">AK553*G553</f>
        <v>136.68</v>
      </c>
      <c r="AM553" s="62" t="n">
        <f aca="false">ROUNDUP(CL553+MAX(CM553,2*(J553/IF(CH553&gt;0,CH553,MAX(0.1,N(Cockpit!$C$6)))-CL553)),0)</f>
        <v>882</v>
      </c>
      <c r="AN553" s="63" t="n">
        <f aca="false">IF(AJ553&gt;0,J553/AJ553,-1)</f>
        <v>194.416326530612</v>
      </c>
      <c r="AO553" s="63" t="n">
        <f aca="false">IF(AND(OR(CG553="L1",CG553="L23",CG553="LIFT"),AJ553&gt;0),SUMIFS($AJ$7:$AJ$1843,$CG$7:$CG$1843,CG553,$AN$7:$AN$1843,"&gt;"&amp;AN553)+SUMIFS($AJ$7:$AJ$1843,$CG$7:$CG$1843,CG553,$AN$7:$AN$1843,AN553,$BX$7:$BX$1843,"&lt;="&amp;BX553),"")</f>
        <v>354.889194139194</v>
      </c>
      <c r="AP553" s="70" t="n">
        <f aca="false">IF(AO553="",0,MAX(0,MIN(1,(IF(CG553="L1",Parameter!$H$5,IF(CG553="L23",Parameter!$H$6+Parameter!$H$7,Parameter!$H$5+Parameter!$H$6+Parameter!$H$7))-(AO553-AJ553))/AJ553)))</f>
        <v>1</v>
      </c>
      <c r="AQ553" s="62" t="n">
        <f aca="false">IF(LEFT(Cockpit!$I$5,1)="A",H553,IF(Parameter!$E$30="MAX-Bestand",IF(CI553=1,CJ553,IF(LEFT(Cockpit!$I$5,1)="B",AW553,MAX(AW553,H553))),ROUNDUP(AU553,0)))</f>
        <v>804</v>
      </c>
      <c r="AR553" s="62" t="n">
        <f aca="false">IF(CA553=1,0,ROUNDUP(AQ553/BZ553,0))</f>
        <v>1</v>
      </c>
      <c r="AS553" s="64" t="n">
        <f aca="false">IF(CR553&gt;0,CR553*MAX(1,AQ553/X553),IF(CA553=1,IF(AQ553&lt;=0,0,CE553*MAX(1,IF(H553&gt;0,AQ553/H553,1))),IF(R553&gt;0,AR553/R553,0))/MAX(0.1,N(Parameter!$M$21)))</f>
        <v>0.0384615384615385</v>
      </c>
      <c r="AT553" s="62" t="n">
        <f aca="false">AS553*CC553</f>
        <v>9.42307692307692</v>
      </c>
      <c r="AU553" s="63" t="n">
        <f aca="false">IF(LEFT(Cockpit!$I$5,1)="A",H553,IF(CI553=1,(CL553+CJ553)/2,IF(LEFT(Cockpit!$I$5,1)="B",(CL553+AW553)/2,MAX((CL553+AW553)/2,H553))))</f>
        <v>804</v>
      </c>
      <c r="AV553" s="62" t="n">
        <f aca="false">AU553*G553</f>
        <v>136.68</v>
      </c>
      <c r="AW553" s="62" t="n">
        <f aca="false">ROUNDUP(CL553+MAX(CM553,2*(J553/IF(CH553&gt;0,CH553,MAX(0.1,N(Cockpit!$I$6)))-CL553)),0)</f>
        <v>882</v>
      </c>
      <c r="AX553" s="63" t="n">
        <f aca="false">IF(AT553&gt;0,J553/AT553,-1)</f>
        <v>194.416326530612</v>
      </c>
      <c r="AY553" s="63" t="n">
        <f aca="false">IF(AND(OR(CG553="L1",CG553="L23",CG553="LIFT"),AT553&gt;0),SUMIFS($AT$7:$AT$1843,$CG$7:$CG$1843,CG553,$AX$7:$AX$1843,"&gt;"&amp;AX553)+SUMIFS($AT$7:$AT$1843,$CG$7:$CG$1843,CG553,$AX$7:$AX$1843,AX553,$BX$7:$BX$1843,"&lt;="&amp;BX553),"")</f>
        <v>481.949175824176</v>
      </c>
      <c r="AZ553" s="70" t="n">
        <f aca="false">IF(AY553="",0,MAX(0,MIN(1,(IF(CG553="L1",Parameter!$H$5,IF(CG553="L23",Parameter!$H$6+Parameter!$H$7,Parameter!$H$5+Parameter!$H$6+Parameter!$H$7))-(AY553-AT553))/AT553)))</f>
        <v>1</v>
      </c>
      <c r="BA553" s="62" t="n">
        <f aca="false">IF(LEFT(Cockpit!$O$5,1)="A",H553,IF(Parameter!$E$30="MAX-Bestand",IF(CI553=1,CJ553,IF(LEFT(Cockpit!$O$5,1)="B",BG553,MAX(BG553,H553))),ROUNDUP(BE553,0)))</f>
        <v>540</v>
      </c>
      <c r="BB553" s="62" t="n">
        <f aca="false">IF(CA553=1,0,ROUNDUP(BA553/BZ553,0))</f>
        <v>1</v>
      </c>
      <c r="BC553" s="64" t="n">
        <f aca="false">IF(CR553&gt;0,CR553*MAX(1,BA553/X553),IF(CA553=1,IF(BA553&lt;=0,0,CE553*MAX(1,IF(H553&gt;0,BA553/H553,1))),IF(R553&gt;0,BB553/R553,0))/MAX(0.1,N(Parameter!$M$21)))</f>
        <v>0.0384615384615385</v>
      </c>
      <c r="BD553" s="62" t="n">
        <f aca="false">BC553*CC553</f>
        <v>9.42307692307692</v>
      </c>
      <c r="BE553" s="63" t="n">
        <f aca="false">IF(LEFT(Cockpit!$O$5,1)="A",H553,IF(CI553=1,(CL553+CJ553)/2,IF(LEFT(Cockpit!$O$5,1)="B",(CL553+BG553)/2,MAX((CL553+BG553)/2,H553))))</f>
        <v>540</v>
      </c>
      <c r="BF553" s="62" t="n">
        <f aca="false">BE553*G553</f>
        <v>91.8</v>
      </c>
      <c r="BG553" s="62" t="n">
        <f aca="false">ROUNDUP(CL553+MAX(CM553,2*(J553/IF(CH553&gt;0,CH553,MAX(0.1,N(Cockpit!$O$6)))-CL553)),0)</f>
        <v>740</v>
      </c>
      <c r="BH553" s="63" t="n">
        <f aca="false">IF(BD553&gt;0,J553/BD553,-1)</f>
        <v>194.416326530612</v>
      </c>
      <c r="BI553" s="63" t="n">
        <f aca="false">IF(AND(OR(CG553="L1",CG553="L23",CG553="LIFT"),BD553&gt;0),SUMIFS($BD$7:$BD$1843,$CG$7:$CG$1843,CG553,$BH$7:$BH$1843,"&gt;"&amp;BH553)+SUMIFS($BD$7:$BD$1843,$CG$7:$CG$1843,CG553,$BH$7:$BH$1843,BH553,$BX$7:$BX$1843,"&lt;="&amp;BX553),"")</f>
        <v>480.600274725275</v>
      </c>
      <c r="BJ553" s="70" t="n">
        <f aca="false">IF(BI553="",0,MAX(0,MIN(1,(IF(CG553="L1",Parameter!$H$5,IF(CG553="L23",Parameter!$H$6+Parameter!$H$7,Parameter!$H$5+Parameter!$H$6+Parameter!$H$7))-(BI553-BD553))/BD553)))</f>
        <v>1</v>
      </c>
      <c r="BK553" s="60" t="str">
        <f aca="false">IF(AJ553&lt;=0,"",IF(CG553="Aussen","Aussenlager",IF(CG553="-","Nicht im Lift",IF(AP553&gt;=1,"Lift",IF(AP553&lt;=0,"Aussenlager","teilweise")))))</f>
        <v>Lift</v>
      </c>
      <c r="BL553" s="60" t="str">
        <f aca="false">IF(AT553&lt;=0,"",IF(CG553="Aussen","Aussenlager",IF(CG553="-","Nicht im Lift",IF(AZ553&gt;=1,"Lift",IF(AZ553&lt;=0,"Aussenlager","teilweise")))))</f>
        <v>Lift</v>
      </c>
      <c r="BM553" s="60" t="str">
        <f aca="false">IF(BD553&lt;=0,"",IF(CG553="Aussen","Aussenlager",IF(CG553="-","Nicht im Lift",IF(BJ553&gt;=1,"Lift",IF(BJ553&lt;=0,"Aussenlager","teilweise")))))</f>
        <v>Lift</v>
      </c>
      <c r="BN553" s="60" t="str">
        <f aca="false">IF(A553="","",IF(BW553=1,"Neu; ","")&amp;IF(AND(BW553=0,BR553&lt;0),"negativer Bestand (Export "&amp;BR553&amp;"); ","")&amp;IF(J553&lt;=0,"Kein Verbrauch; ","")&amp;IF(CR553&gt;0,"Lift "&amp;W553&amp;" lt. Liftbericht (Fach "&amp;X553&amp;" Stk); ",IF(CB553=1,"Gebinde geschätzt ("&amp;T553&amp;"); ",IF(CA553=1,"Lose – Tablare geschätzt; ","")))&amp;IF(H553&gt;AW553,"Überbestand "&amp;ROUND(H553-AW553,0)&amp;" Stk / CHF "&amp;ROUND((H553-AW553)*G553,0)&amp;"; ","")&amp;IF(AND(CI553=1,CJ553&lt;CK553),"MAX &lt; MB+LG; ","")&amp;IF(AND(CQ553&gt;0,CP553*10&gt;CQ553),"zu hoch für Tablar; ","")&amp;IF(AND(BW553=0,OR(CI553=1,AB553&lt;&gt;"",U553&lt;&gt;"",V553&lt;&gt;"",AC553&lt;&gt;"")),"manuell übersteuert; ","")&amp;IF(AND(CA553=0,R553=0),"Gebinde unbekannt / Stellmass fehlt; ","")&amp;IF(AND(CA553=0,N(V553)&lt;=0,N(Q553)&lt;=0),"Menge pro Gebinde fehlt (Ist = 1 Gebinde); ","")&amp;BV553)</f>
        <v/>
      </c>
      <c r="BO553" s="60"/>
      <c r="BP553" s="60"/>
      <c r="BQ553" s="67"/>
      <c r="BR553" s="62" t="n">
        <v>252</v>
      </c>
      <c r="BS553" s="62" t="n">
        <v>552</v>
      </c>
      <c r="BT553" s="61" t="n">
        <v>15.84</v>
      </c>
      <c r="BU553" s="62" t="n">
        <v>1832</v>
      </c>
      <c r="BV553" s="60"/>
      <c r="BW553" s="65" t="n">
        <v>0</v>
      </c>
      <c r="BX553" s="65" t="n">
        <v>553</v>
      </c>
      <c r="BY553" s="60" t="str">
        <f aca="false">IF(U553&lt;&gt;"",UPPER(TRIM(U553)),IF(CB553=1,UPPER(VLOOKUP(T553,Parameter!$I$27:$K$29,2,0)),IF(P553="","LOSE",P553)))</f>
        <v>S52</v>
      </c>
      <c r="BZ553" s="62" t="n">
        <f aca="false">IF(BY553="LOSE",1,IF(N(V553)&gt;0,V553,IF(CB553=1,MAX(1,N(VLOOKUP(T553,Parameter!$I$27:$K$29,3,0)),H553,N(N553)),IF(N(Q553)&gt;0,Q553,MAX(1,H553)))))</f>
        <v>931</v>
      </c>
      <c r="CA553" s="65" t="n">
        <f aca="false">IF(BY553="LOSE",1,0)</f>
        <v>0</v>
      </c>
      <c r="CB553" s="65" t="n">
        <f aca="false">IF(AND(U553="",OR(P553="",P553="LOSE"),T553&lt;&gt;"",N(S553)&lt;=0,ISNUMBER(MATCH(T553,Parameter!$I$27:$I$29,0))),1,0)</f>
        <v>0</v>
      </c>
      <c r="CC553" s="65" t="n">
        <f aca="false">IF(CR553&gt;0,INDEX(Parameter!$H$5:$H$7,W553)/INDEX(Parameter!$E$5:$E$7,W553),IF(AND(CA553=0,N(IFERROR(VLOOKUP(BY553,'Gebinde-Kategorie'!$A$5:$N$45,14,0),0))&gt;0),VLOOKUP(BY553,'Gebinde-Kategorie'!$A$5:$N$45,14,0)*10+Parameter!$M$23,Parameter!$M$24))</f>
        <v>245</v>
      </c>
      <c r="CD553" s="60" t="str">
        <f aca="false">IF(AND(Parameter!$B$19="Ja",E553&lt;&gt;"",ISNUMBER(MATCH(E553,Parameter!$I$35:$I$52,0))),VLOOKUP(E553,Parameter!$I$35:$J$52,2,0),IFERROR(VLOOKUP(D553,Parameter!$A$35:$C$64,2,0),"Nein"))</f>
        <v>2+3</v>
      </c>
      <c r="CE553" s="64" t="n">
        <f aca="false">IF(CA553=0,0,IF(N(S553)&gt;0,S553,IFERROR(VLOOKUP(D553,Parameter!$A$35:$C$64,3,0)+0,0)))</f>
        <v>0</v>
      </c>
      <c r="CF553" s="60" t="n">
        <f aca="false">IF(AB553&lt;&gt;"",AB553,AA553)</f>
        <v>3</v>
      </c>
      <c r="CG553" s="60" t="str">
        <f aca="false">IF(OR(CF553=1,CF553=2,CF553=3),IF(Parameter!$E$27="Ja","LIFT",IF(CF553=1,"L1","L23")),IF(CF553="Aussen","Aussen","-"))</f>
        <v>LIFT</v>
      </c>
      <c r="CH553" s="71" t="n">
        <f aca="false">IF(N(AC553)&gt;0,AC553,0)</f>
        <v>0</v>
      </c>
      <c r="CI553" s="65" t="n">
        <f aca="false">IF(ISNUMBER(AF553),1,0)</f>
        <v>0</v>
      </c>
      <c r="CJ553" s="62" t="n">
        <f aca="false">N(AF553)</f>
        <v>0</v>
      </c>
      <c r="CK553" s="62" t="n">
        <f aca="false">N(M553)+N(N553)</f>
        <v>740</v>
      </c>
      <c r="CL553" s="62" t="n">
        <f aca="false">N(M553)</f>
        <v>340</v>
      </c>
      <c r="CM553" s="62" t="n">
        <f aca="false">N(N553)</f>
        <v>400</v>
      </c>
      <c r="CN553" s="62" t="n">
        <f aca="false">ROUNDUP(H553/BZ553,0)</f>
        <v>1</v>
      </c>
      <c r="CO553" s="62" t="n">
        <f aca="false">ROUNDUP(CJ553/BZ553,0)</f>
        <v>0</v>
      </c>
      <c r="CP553" s="65" t="n">
        <f aca="false">IF(CA553=1,0,IFERROR(VLOOKUP(BY553,'Gebinde-Kategorie'!$A$5:$N$45,5,0)+0,0))</f>
        <v>21</v>
      </c>
      <c r="CQ553" s="65" t="n">
        <f aca="false">IFERROR(IF(OR(CF553=1,CF553=2,CF553=3),N(INDEX(Parameter!$I$5:$I$7,CF553)),0),0)</f>
        <v>0</v>
      </c>
      <c r="CR553" s="64" t="n">
        <f aca="false">IF(AND(Parameter!$B$21="Ja",ISNUMBER(W553),N(X553)&gt;0),IFERROR(N(INDEX(Parameter!$L$5:$L$7,W553))*INDEX(Parameter!$E$5:$E$7,W553)*X553/SUMIFS($X$7:$X$1843,$W$7:$W$1843,W553),0),0)</f>
        <v>0</v>
      </c>
      <c r="CS553" s="62" t="n">
        <f aca="false">IF(AND(OR(CG553="L1",CG553="L23",CG553="LIFT"),H553&gt;0),CC553*IF(CR553&gt;0,CR553*MAX(1,H553/X553),IF(CA553=1,CE553,IF(R553&gt;0,CN553/R553,0))/MAX(0.1,N(Parameter!$M$21))),"")</f>
        <v>9.42307692307692</v>
      </c>
      <c r="CT553" s="64" t="n">
        <f aca="false">IF(CS553="","",J553/H553)</f>
        <v>2.27860696517413</v>
      </c>
      <c r="CU553" s="62" t="n">
        <f aca="false">IF(CS553="","",H553*G553)</f>
        <v>136.68</v>
      </c>
      <c r="CV553" s="63" t="n">
        <f aca="false">IF(CS553="","",(CL553+ROUNDUP(CL553+MAX(CM553,2*(J553/MAX(0.1,N(Einkauf!$C$6))-CL553)),0))/2)</f>
        <v>540</v>
      </c>
      <c r="CW553" s="62" t="n">
        <f aca="false">IF(CS553="","",MAX(0,H553-CV553)*G553)</f>
        <v>44.88</v>
      </c>
      <c r="CX553" s="62" t="n">
        <f aca="false">IF(CS553="","",CS553*MAX(0,1-CV553/H553))</f>
        <v>3.09414466130884</v>
      </c>
      <c r="CY553" s="64" t="n">
        <f aca="false">IF(CS553="","",PERCENTRANK($CS$7:$CS$1843,CS553)+PERCENTRANK($CU$7:$CU$1843,CU553)+1-PERCENTRANK($CT$7:$CT$1843,CT553))</f>
        <v>1.026</v>
      </c>
      <c r="CZ553" s="72" t="n">
        <f aca="false">IF(CS553="","",CHOOSE(MATCH(Einkauf!$C$5,Parameter!$G$23:$G$27,0),CY553,CS553,CU553,-CT553,CW553)+ROW()/1000000000)</f>
        <v>1.026000553</v>
      </c>
    </row>
    <row r="554" customFormat="false" ht="15" hidden="false" customHeight="false" outlineLevel="0" collapsed="false">
      <c r="A554" s="60" t="s">
        <v>1222</v>
      </c>
      <c r="B554" s="60" t="s">
        <v>447</v>
      </c>
      <c r="C554" s="60" t="s">
        <v>206</v>
      </c>
      <c r="D554" s="60" t="s">
        <v>226</v>
      </c>
      <c r="E554" s="60"/>
      <c r="F554" s="60" t="s">
        <v>260</v>
      </c>
      <c r="G554" s="61" t="n">
        <v>1.89</v>
      </c>
      <c r="H554" s="62" t="n">
        <f aca="false">MAX(0,IF(AND(Parameter!$B$21="Ja",ISNUMBER(Y554)),Y554,IF(Parameter!$B$20="Jahresanfang 2025 + Export",BS554+BR554,BR554)))</f>
        <v>197</v>
      </c>
      <c r="I554" s="62" t="n">
        <f aca="false">H554*G554</f>
        <v>372.33</v>
      </c>
      <c r="J554" s="62" t="n">
        <f aca="false">BU554*Parameter!$B$18</f>
        <v>0</v>
      </c>
      <c r="K554" s="63" t="n">
        <v>193</v>
      </c>
      <c r="L554" s="64" t="n">
        <v>0</v>
      </c>
      <c r="M554" s="62" t="n">
        <v>0</v>
      </c>
      <c r="N554" s="62" t="n">
        <v>1</v>
      </c>
      <c r="O554" s="65" t="n">
        <v>14</v>
      </c>
      <c r="P554" s="60" t="s">
        <v>275</v>
      </c>
      <c r="Q554" s="62" t="n">
        <v>250</v>
      </c>
      <c r="R554" s="65" t="n">
        <f aca="false">IF(CA554=1,0,IFERROR(VLOOKUP(BY554,'Gebinde-Kategorie'!$A$5:$N$45,13,0)+0,0))</f>
        <v>26</v>
      </c>
      <c r="S554" s="66"/>
      <c r="T554" s="67"/>
      <c r="U554" s="67"/>
      <c r="V554" s="67"/>
      <c r="W554" s="60"/>
      <c r="X554" s="62"/>
      <c r="Y554" s="62"/>
      <c r="Z554" s="60" t="n">
        <v>3</v>
      </c>
      <c r="AA554" s="60" t="n">
        <f aca="false">IF(A554="","",IF(AND(Parameter!$B$21="Ja",ISNUMBER(W554)),W554,IF(AND(Parameter!$E$27="Ja",ISNUMBER(Z554),CD554&lt;&gt;"Nein"),Z554,IF(CD554="2+3",IF(ISNUMBER(SEARCH("grosser Artikel",BV554)),2,IFERROR(VLOOKUP(BY554,Parameter!$F$35:$G$64,2,0),2)),IF(OR(CD554="Nein",CD554=""),"-",CD554)))))</f>
        <v>3</v>
      </c>
      <c r="AB554" s="67"/>
      <c r="AC554" s="68"/>
      <c r="AD554" s="62" t="n">
        <f aca="false">AW554</f>
        <v>1</v>
      </c>
      <c r="AE554" s="62" t="n">
        <f aca="false">MAX(AW554,H554)</f>
        <v>197</v>
      </c>
      <c r="AF554" s="69"/>
      <c r="AG554" s="62" t="n">
        <f aca="false">IF(LEFT(Cockpit!$C$5,1)="A",H554,IF(Parameter!$E$30="MAX-Bestand",IF(CI554=1,CJ554,IF(LEFT(Cockpit!$C$5,1)="B",AM554,MAX(AM554,H554))),ROUNDUP(AK554,0)))</f>
        <v>197</v>
      </c>
      <c r="AH554" s="62" t="n">
        <f aca="false">IF(CA554=1,0,ROUNDUP(AG554/BZ554,0))</f>
        <v>1</v>
      </c>
      <c r="AI554" s="64" t="n">
        <f aca="false">IF(CR554&gt;0,CR554*MAX(1,AG554/X554),IF(CA554=1,IF(AG554&lt;=0,0,CE554*MAX(1,IF(H554&gt;0,AG554/H554,1))),IF(R554&gt;0,AH554/R554,0))/MAX(0.1,N(Parameter!$M$21)))</f>
        <v>0.0384615384615385</v>
      </c>
      <c r="AJ554" s="62" t="n">
        <f aca="false">AI554*CC554</f>
        <v>9.42307692307692</v>
      </c>
      <c r="AK554" s="63" t="n">
        <f aca="false">IF(LEFT(Cockpit!$C$5,1)="A",H554,IF(CI554=1,(CL554+CJ554)/2,IF(LEFT(Cockpit!$C$5,1)="B",(CL554+AM554)/2,MAX((CL554+AM554)/2,H554))))</f>
        <v>197</v>
      </c>
      <c r="AL554" s="62" t="n">
        <f aca="false">AK554*G554</f>
        <v>372.33</v>
      </c>
      <c r="AM554" s="62" t="n">
        <f aca="false">ROUNDUP(CL554+MAX(CM554,2*(J554/IF(CH554&gt;0,CH554,MAX(0.1,N(Cockpit!$C$6)))-CL554)),0)</f>
        <v>1</v>
      </c>
      <c r="AN554" s="63" t="n">
        <f aca="false">IF(AJ554&gt;0,J554/AJ554,-1)</f>
        <v>0</v>
      </c>
      <c r="AO554" s="63" t="n">
        <f aca="false">IF(AND(OR(CG554="L1",CG554="L23",CG554="LIFT"),AJ554&gt;0),SUMIFS($AJ$7:$AJ$1843,$CG$7:$CG$1843,CG554,$AN$7:$AN$1843,"&gt;"&amp;AN554)+SUMIFS($AJ$7:$AJ$1843,$CG$7:$CG$1843,CG554,$AN$7:$AN$1843,AN554,$BX$7:$BX$1843,"&lt;="&amp;BX554),"")</f>
        <v>28396.5221461683</v>
      </c>
      <c r="AP554" s="70" t="n">
        <f aca="false">IF(AO554="",0,MAX(0,MIN(1,(IF(CG554="L1",Parameter!$H$5,IF(CG554="L23",Parameter!$H$6+Parameter!$H$7,Parameter!$H$5+Parameter!$H$6+Parameter!$H$7))-(AO554-AJ554))/AJ554)))</f>
        <v>1</v>
      </c>
      <c r="AQ554" s="62" t="n">
        <f aca="false">IF(LEFT(Cockpit!$I$5,1)="A",H554,IF(Parameter!$E$30="MAX-Bestand",IF(CI554=1,CJ554,IF(LEFT(Cockpit!$I$5,1)="B",AW554,MAX(AW554,H554))),ROUNDUP(AU554,0)))</f>
        <v>197</v>
      </c>
      <c r="AR554" s="62" t="n">
        <f aca="false">IF(CA554=1,0,ROUNDUP(AQ554/BZ554,0))</f>
        <v>1</v>
      </c>
      <c r="AS554" s="64" t="n">
        <f aca="false">IF(CR554&gt;0,CR554*MAX(1,AQ554/X554),IF(CA554=1,IF(AQ554&lt;=0,0,CE554*MAX(1,IF(H554&gt;0,AQ554/H554,1))),IF(R554&gt;0,AR554/R554,0))/MAX(0.1,N(Parameter!$M$21)))</f>
        <v>0.0384615384615385</v>
      </c>
      <c r="AT554" s="62" t="n">
        <f aca="false">AS554*CC554</f>
        <v>9.42307692307692</v>
      </c>
      <c r="AU554" s="63" t="n">
        <f aca="false">IF(LEFT(Cockpit!$I$5,1)="A",H554,IF(CI554=1,(CL554+CJ554)/2,IF(LEFT(Cockpit!$I$5,1)="B",(CL554+AW554)/2,MAX((CL554+AW554)/2,H554))))</f>
        <v>197</v>
      </c>
      <c r="AV554" s="62" t="n">
        <f aca="false">AU554*G554</f>
        <v>372.33</v>
      </c>
      <c r="AW554" s="62" t="n">
        <f aca="false">ROUNDUP(CL554+MAX(CM554,2*(J554/IF(CH554&gt;0,CH554,MAX(0.1,N(Cockpit!$I$6)))-CL554)),0)</f>
        <v>1</v>
      </c>
      <c r="AX554" s="63" t="n">
        <f aca="false">IF(AT554&gt;0,J554/AT554,-1)</f>
        <v>0</v>
      </c>
      <c r="AY554" s="63" t="n">
        <f aca="false">IF(AND(OR(CG554="L1",CG554="L23",CG554="LIFT"),AT554&gt;0),SUMIFS($AT$7:$AT$1843,$CG$7:$CG$1843,CG554,$AX$7:$AX$1843,"&gt;"&amp;AX554)+SUMIFS($AT$7:$AT$1843,$CG$7:$CG$1843,CG554,$AX$7:$AX$1843,AX554,$BX$7:$BX$1843,"&lt;="&amp;BX554),"")</f>
        <v>33749.6707875458</v>
      </c>
      <c r="AZ554" s="70" t="n">
        <f aca="false">IF(AY554="",0,MAX(0,MIN(1,(IF(CG554="L1",Parameter!$H$5,IF(CG554="L23",Parameter!$H$6+Parameter!$H$7,Parameter!$H$5+Parameter!$H$6+Parameter!$H$7))-(AY554-AT554))/AT554)))</f>
        <v>1</v>
      </c>
      <c r="BA554" s="62" t="n">
        <f aca="false">IF(LEFT(Cockpit!$O$5,1)="A",H554,IF(Parameter!$E$30="MAX-Bestand",IF(CI554=1,CJ554,IF(LEFT(Cockpit!$O$5,1)="B",BG554,MAX(BG554,H554))),ROUNDUP(BE554,0)))</f>
        <v>1</v>
      </c>
      <c r="BB554" s="62" t="n">
        <f aca="false">IF(CA554=1,0,ROUNDUP(BA554/BZ554,0))</f>
        <v>1</v>
      </c>
      <c r="BC554" s="64" t="n">
        <f aca="false">IF(CR554&gt;0,CR554*MAX(1,BA554/X554),IF(CA554=1,IF(BA554&lt;=0,0,CE554*MAX(1,IF(H554&gt;0,BA554/H554,1))),IF(R554&gt;0,BB554/R554,0))/MAX(0.1,N(Parameter!$M$21)))</f>
        <v>0.0384615384615385</v>
      </c>
      <c r="BD554" s="62" t="n">
        <f aca="false">BC554*CC554</f>
        <v>9.42307692307692</v>
      </c>
      <c r="BE554" s="63" t="n">
        <f aca="false">IF(LEFT(Cockpit!$O$5,1)="A",H554,IF(CI554=1,(CL554+CJ554)/2,IF(LEFT(Cockpit!$O$5,1)="B",(CL554+BG554)/2,MAX((CL554+BG554)/2,H554))))</f>
        <v>0.5</v>
      </c>
      <c r="BF554" s="62" t="n">
        <f aca="false">BE554*G554</f>
        <v>0.945</v>
      </c>
      <c r="BG554" s="62" t="n">
        <f aca="false">ROUNDUP(CL554+MAX(CM554,2*(J554/IF(CH554&gt;0,CH554,MAX(0.1,N(Cockpit!$O$6)))-CL554)),0)</f>
        <v>1</v>
      </c>
      <c r="BH554" s="63" t="n">
        <f aca="false">IF(BD554&gt;0,J554/BD554,-1)</f>
        <v>0</v>
      </c>
      <c r="BI554" s="63" t="n">
        <f aca="false">IF(AND(OR(CG554="L1",CG554="L23",CG554="LIFT"),BD554&gt;0),SUMIFS($BD$7:$BD$1843,$CG$7:$CG$1843,CG554,$BH$7:$BH$1843,"&gt;"&amp;BH554)+SUMIFS($BD$7:$BD$1843,$CG$7:$CG$1843,CG554,$BH$7:$BH$1843,BH554,$BX$7:$BX$1843,"&lt;="&amp;BX554),"")</f>
        <v>27828.1074843236</v>
      </c>
      <c r="BJ554" s="70" t="n">
        <f aca="false">IF(BI554="",0,MAX(0,MIN(1,(IF(CG554="L1",Parameter!$H$5,IF(CG554="L23",Parameter!$H$6+Parameter!$H$7,Parameter!$H$5+Parameter!$H$6+Parameter!$H$7))-(BI554-BD554))/BD554)))</f>
        <v>1</v>
      </c>
      <c r="BK554" s="60" t="str">
        <f aca="false">IF(AJ554&lt;=0,"",IF(CG554="Aussen","Aussenlager",IF(CG554="-","Nicht im Lift",IF(AP554&gt;=1,"Lift",IF(AP554&lt;=0,"Aussenlager","teilweise")))))</f>
        <v>Lift</v>
      </c>
      <c r="BL554" s="60" t="str">
        <f aca="false">IF(AT554&lt;=0,"",IF(CG554="Aussen","Aussenlager",IF(CG554="-","Nicht im Lift",IF(AZ554&gt;=1,"Lift",IF(AZ554&lt;=0,"Aussenlager","teilweise")))))</f>
        <v>Lift</v>
      </c>
      <c r="BM554" s="60" t="str">
        <f aca="false">IF(BD554&lt;=0,"",IF(CG554="Aussen","Aussenlager",IF(CG554="-","Nicht im Lift",IF(BJ554&gt;=1,"Lift",IF(BJ554&lt;=0,"Aussenlager","teilweise")))))</f>
        <v>Lift</v>
      </c>
      <c r="BN554" s="60" t="str">
        <f aca="false">IF(A554="","",IF(BW554=1,"Neu; ","")&amp;IF(AND(BW554=0,BR554&lt;0),"negativer Bestand (Export "&amp;BR554&amp;"); ","")&amp;IF(J554&lt;=0,"Kein Verbrauch; ","")&amp;IF(CR554&gt;0,"Lift "&amp;W554&amp;" lt. Liftbericht (Fach "&amp;X554&amp;" Stk); ",IF(CB554=1,"Gebinde geschätzt ("&amp;T554&amp;"); ",IF(CA554=1,"Lose – Tablare geschätzt; ","")))&amp;IF(H554&gt;AW554,"Überbestand "&amp;ROUND(H554-AW554,0)&amp;" Stk / CHF "&amp;ROUND((H554-AW554)*G554,0)&amp;"; ","")&amp;IF(AND(CI554=1,CJ554&lt;CK554),"MAX &lt; MB+LG; ","")&amp;IF(AND(CQ554&gt;0,CP554*10&gt;CQ554),"zu hoch für Tablar; ","")&amp;IF(AND(BW554=0,OR(CI554=1,AB554&lt;&gt;"",U554&lt;&gt;"",V554&lt;&gt;"",AC554&lt;&gt;"")),"manuell übersteuert; ","")&amp;IF(AND(CA554=0,R554=0),"Gebinde unbekannt / Stellmass fehlt; ","")&amp;IF(AND(CA554=0,N(V554)&lt;=0,N(Q554)&lt;=0),"Menge pro Gebinde fehlt (Ist = 1 Gebinde); ","")&amp;BV554)</f>
        <v>Kein Verbrauch; Überbestand 196 Stk / CHF 370; </v>
      </c>
      <c r="BO554" s="60"/>
      <c r="BP554" s="60"/>
      <c r="BQ554" s="67"/>
      <c r="BR554" s="62" t="n">
        <v>8</v>
      </c>
      <c r="BS554" s="62" t="n">
        <v>189</v>
      </c>
      <c r="BT554" s="61" t="n">
        <v>15.12</v>
      </c>
      <c r="BU554" s="62" t="n">
        <v>0</v>
      </c>
      <c r="BV554" s="60"/>
      <c r="BW554" s="65" t="n">
        <v>0</v>
      </c>
      <c r="BX554" s="65" t="n">
        <v>554</v>
      </c>
      <c r="BY554" s="60" t="str">
        <f aca="false">IF(U554&lt;&gt;"",UPPER(TRIM(U554)),IF(CB554=1,UPPER(VLOOKUP(T554,Parameter!$I$27:$K$29,2,0)),IF(P554="","LOSE",P554)))</f>
        <v>S52</v>
      </c>
      <c r="BZ554" s="62" t="n">
        <f aca="false">IF(BY554="LOSE",1,IF(N(V554)&gt;0,V554,IF(CB554=1,MAX(1,N(VLOOKUP(T554,Parameter!$I$27:$K$29,3,0)),H554,N(N554)),IF(N(Q554)&gt;0,Q554,MAX(1,H554)))))</f>
        <v>250</v>
      </c>
      <c r="CA554" s="65" t="n">
        <f aca="false">IF(BY554="LOSE",1,0)</f>
        <v>0</v>
      </c>
      <c r="CB554" s="65" t="n">
        <f aca="false">IF(AND(U554="",OR(P554="",P554="LOSE"),T554&lt;&gt;"",N(S554)&lt;=0,ISNUMBER(MATCH(T554,Parameter!$I$27:$I$29,0))),1,0)</f>
        <v>0</v>
      </c>
      <c r="CC554" s="65" t="n">
        <f aca="false">IF(CR554&gt;0,INDEX(Parameter!$H$5:$H$7,W554)/INDEX(Parameter!$E$5:$E$7,W554),IF(AND(CA554=0,N(IFERROR(VLOOKUP(BY554,'Gebinde-Kategorie'!$A$5:$N$45,14,0),0))&gt;0),VLOOKUP(BY554,'Gebinde-Kategorie'!$A$5:$N$45,14,0)*10+Parameter!$M$23,Parameter!$M$24))</f>
        <v>245</v>
      </c>
      <c r="CD554" s="60" t="str">
        <f aca="false">IF(AND(Parameter!$B$19="Ja",E554&lt;&gt;"",ISNUMBER(MATCH(E554,Parameter!$I$35:$I$52,0))),VLOOKUP(E554,Parameter!$I$35:$J$52,2,0),IFERROR(VLOOKUP(D554,Parameter!$A$35:$C$64,2,0),"Nein"))</f>
        <v>2+3</v>
      </c>
      <c r="CE554" s="64" t="n">
        <f aca="false">IF(CA554=0,0,IF(N(S554)&gt;0,S554,IFERROR(VLOOKUP(D554,Parameter!$A$35:$C$64,3,0)+0,0)))</f>
        <v>0</v>
      </c>
      <c r="CF554" s="60" t="n">
        <f aca="false">IF(AB554&lt;&gt;"",AB554,AA554)</f>
        <v>3</v>
      </c>
      <c r="CG554" s="60" t="str">
        <f aca="false">IF(OR(CF554=1,CF554=2,CF554=3),IF(Parameter!$E$27="Ja","LIFT",IF(CF554=1,"L1","L23")),IF(CF554="Aussen","Aussen","-"))</f>
        <v>LIFT</v>
      </c>
      <c r="CH554" s="71" t="n">
        <f aca="false">IF(N(AC554)&gt;0,AC554,0)</f>
        <v>0</v>
      </c>
      <c r="CI554" s="65" t="n">
        <f aca="false">IF(ISNUMBER(AF554),1,0)</f>
        <v>0</v>
      </c>
      <c r="CJ554" s="62" t="n">
        <f aca="false">N(AF554)</f>
        <v>0</v>
      </c>
      <c r="CK554" s="62" t="n">
        <f aca="false">N(M554)+N(N554)</f>
        <v>1</v>
      </c>
      <c r="CL554" s="62" t="n">
        <f aca="false">N(M554)</f>
        <v>0</v>
      </c>
      <c r="CM554" s="62" t="n">
        <f aca="false">N(N554)</f>
        <v>1</v>
      </c>
      <c r="CN554" s="62" t="n">
        <f aca="false">ROUNDUP(H554/BZ554,0)</f>
        <v>1</v>
      </c>
      <c r="CO554" s="62" t="n">
        <f aca="false">ROUNDUP(CJ554/BZ554,0)</f>
        <v>0</v>
      </c>
      <c r="CP554" s="65" t="n">
        <f aca="false">IF(CA554=1,0,IFERROR(VLOOKUP(BY554,'Gebinde-Kategorie'!$A$5:$N$45,5,0)+0,0))</f>
        <v>21</v>
      </c>
      <c r="CQ554" s="65" t="n">
        <f aca="false">IFERROR(IF(OR(CF554=1,CF554=2,CF554=3),N(INDEX(Parameter!$I$5:$I$7,CF554)),0),0)</f>
        <v>0</v>
      </c>
      <c r="CR554" s="64" t="n">
        <f aca="false">IF(AND(Parameter!$B$21="Ja",ISNUMBER(W554),N(X554)&gt;0),IFERROR(N(INDEX(Parameter!$L$5:$L$7,W554))*INDEX(Parameter!$E$5:$E$7,W554)*X554/SUMIFS($X$7:$X$1843,$W$7:$W$1843,W554),0),0)</f>
        <v>0</v>
      </c>
      <c r="CS554" s="62" t="n">
        <f aca="false">IF(AND(OR(CG554="L1",CG554="L23",CG554="LIFT"),H554&gt;0),CC554*IF(CR554&gt;0,CR554*MAX(1,H554/X554),IF(CA554=1,CE554,IF(R554&gt;0,CN554/R554,0))/MAX(0.1,N(Parameter!$M$21))),"")</f>
        <v>9.42307692307692</v>
      </c>
      <c r="CT554" s="64" t="n">
        <f aca="false">IF(CS554="","",J554/H554)</f>
        <v>0</v>
      </c>
      <c r="CU554" s="62" t="n">
        <f aca="false">IF(CS554="","",H554*G554)</f>
        <v>372.33</v>
      </c>
      <c r="CV554" s="63" t="n">
        <f aca="false">IF(CS554="","",(CL554+ROUNDUP(CL554+MAX(CM554,2*(J554/MAX(0.1,N(Einkauf!$C$6))-CL554)),0))/2)</f>
        <v>0.5</v>
      </c>
      <c r="CW554" s="62" t="n">
        <f aca="false">IF(CS554="","",MAX(0,H554-CV554)*G554)</f>
        <v>371.385</v>
      </c>
      <c r="CX554" s="62" t="n">
        <f aca="false">IF(CS554="","",CS554*MAX(0,1-CV554/H554))</f>
        <v>9.39916048418587</v>
      </c>
      <c r="CY554" s="64" t="n">
        <f aca="false">IF(CS554="","",PERCENTRANK($CS$7:$CS$1843,CS554)+PERCENTRANK($CU$7:$CU$1843,CU554)+1-PERCENTRANK($CT$7:$CT$1843,CT554))</f>
        <v>2.048</v>
      </c>
      <c r="CZ554" s="72" t="n">
        <f aca="false">IF(CS554="","",CHOOSE(MATCH(Einkauf!$C$5,Parameter!$G$23:$G$27,0),CY554,CS554,CU554,-CT554,CW554)+ROW()/1000000000)</f>
        <v>2.048000554</v>
      </c>
    </row>
    <row r="555" customFormat="false" ht="15" hidden="false" customHeight="false" outlineLevel="0" collapsed="false">
      <c r="A555" s="60" t="s">
        <v>1223</v>
      </c>
      <c r="B555" s="60" t="s">
        <v>899</v>
      </c>
      <c r="C555" s="60" t="s">
        <v>206</v>
      </c>
      <c r="D555" s="60" t="s">
        <v>226</v>
      </c>
      <c r="E555" s="60"/>
      <c r="F555" s="60" t="s">
        <v>260</v>
      </c>
      <c r="G555" s="61" t="n">
        <v>73.46</v>
      </c>
      <c r="H555" s="62" t="n">
        <f aca="false">MAX(0,IF(AND(Parameter!$B$21="Ja",ISNUMBER(Y555)),Y555,IF(Parameter!$B$20="Jahresanfang 2025 + Export",BS555+BR555,BR555)))</f>
        <v>5</v>
      </c>
      <c r="I555" s="62" t="n">
        <f aca="false">H555*G555</f>
        <v>367.3</v>
      </c>
      <c r="J555" s="62" t="n">
        <f aca="false">BU555*Parameter!$B$18</f>
        <v>1</v>
      </c>
      <c r="K555" s="63" t="n">
        <v>4.5</v>
      </c>
      <c r="L555" s="64" t="n">
        <v>0.222222222222222</v>
      </c>
      <c r="M555" s="62" t="n">
        <v>0</v>
      </c>
      <c r="N555" s="62" t="n">
        <v>1</v>
      </c>
      <c r="O555" s="65" t="n">
        <v>35</v>
      </c>
      <c r="P555" s="60" t="s">
        <v>468</v>
      </c>
      <c r="Q555" s="62" t="n">
        <v>6</v>
      </c>
      <c r="R555" s="65" t="n">
        <f aca="false">IF(CA555=1,0,IFERROR(VLOOKUP(BY555,'Gebinde-Kategorie'!$A$5:$N$45,13,0)+0,0))</f>
        <v>140</v>
      </c>
      <c r="S555" s="66"/>
      <c r="T555" s="67"/>
      <c r="U555" s="67"/>
      <c r="V555" s="67"/>
      <c r="W555" s="60"/>
      <c r="X555" s="62"/>
      <c r="Y555" s="62"/>
      <c r="Z555" s="60" t="n">
        <v>1</v>
      </c>
      <c r="AA555" s="60" t="n">
        <f aca="false">IF(A555="","",IF(AND(Parameter!$B$21="Ja",ISNUMBER(W555)),W555,IF(AND(Parameter!$E$27="Ja",ISNUMBER(Z555),CD555&lt;&gt;"Nein"),Z555,IF(CD555="2+3",IF(ISNUMBER(SEARCH("grosser Artikel",BV555)),2,IFERROR(VLOOKUP(BY555,Parameter!$F$35:$G$64,2,0),2)),IF(OR(CD555="Nein",CD555=""),"-",CD555)))))</f>
        <v>1</v>
      </c>
      <c r="AB555" s="67"/>
      <c r="AC555" s="68"/>
      <c r="AD555" s="62" t="n">
        <f aca="false">AW555</f>
        <v>1</v>
      </c>
      <c r="AE555" s="62" t="n">
        <f aca="false">MAX(AW555,H555)</f>
        <v>5</v>
      </c>
      <c r="AF555" s="69"/>
      <c r="AG555" s="62" t="n">
        <f aca="false">IF(LEFT(Cockpit!$C$5,1)="A",H555,IF(Parameter!$E$30="MAX-Bestand",IF(CI555=1,CJ555,IF(LEFT(Cockpit!$C$5,1)="B",AM555,MAX(AM555,H555))),ROUNDUP(AK555,0)))</f>
        <v>5</v>
      </c>
      <c r="AH555" s="62" t="n">
        <f aca="false">IF(CA555=1,0,ROUNDUP(AG555/BZ555,0))</f>
        <v>1</v>
      </c>
      <c r="AI555" s="64" t="n">
        <f aca="false">IF(CR555&gt;0,CR555*MAX(1,AG555/X555),IF(CA555=1,IF(AG555&lt;=0,0,CE555*MAX(1,IF(H555&gt;0,AG555/H555,1))),IF(R555&gt;0,AH555/R555,0))/MAX(0.1,N(Parameter!$M$21)))</f>
        <v>0.00714285714285714</v>
      </c>
      <c r="AJ555" s="62" t="n">
        <f aca="false">AI555*CC555</f>
        <v>1.10714285714286</v>
      </c>
      <c r="AK555" s="63" t="n">
        <f aca="false">IF(LEFT(Cockpit!$C$5,1)="A",H555,IF(CI555=1,(CL555+CJ555)/2,IF(LEFT(Cockpit!$C$5,1)="B",(CL555+AM555)/2,MAX((CL555+AM555)/2,H555))))</f>
        <v>5</v>
      </c>
      <c r="AL555" s="62" t="n">
        <f aca="false">AK555*G555</f>
        <v>367.3</v>
      </c>
      <c r="AM555" s="62" t="n">
        <f aca="false">ROUNDUP(CL555+MAX(CM555,2*(J555/IF(CH555&gt;0,CH555,MAX(0.1,N(Cockpit!$C$6)))-CL555)),0)</f>
        <v>1</v>
      </c>
      <c r="AN555" s="63" t="n">
        <f aca="false">IF(AJ555&gt;0,J555/AJ555,-1)</f>
        <v>0.903225806451613</v>
      </c>
      <c r="AO555" s="63" t="n">
        <f aca="false">IF(AND(OR(CG555="L1",CG555="L23",CG555="LIFT"),AJ555&gt;0),SUMIFS($AJ$7:$AJ$1843,$CG$7:$CG$1843,CG555,$AN$7:$AN$1843,"&gt;"&amp;AN555)+SUMIFS($AJ$7:$AJ$1843,$CG$7:$CG$1843,CG555,$AN$7:$AN$1843,AN555,$BX$7:$BX$1843,"&lt;="&amp;BX555),"")</f>
        <v>7618.84844322344</v>
      </c>
      <c r="AP555" s="70" t="n">
        <f aca="false">IF(AO555="",0,MAX(0,MIN(1,(IF(CG555="L1",Parameter!$H$5,IF(CG555="L23",Parameter!$H$6+Parameter!$H$7,Parameter!$H$5+Parameter!$H$6+Parameter!$H$7))-(AO555-AJ555))/AJ555)))</f>
        <v>1</v>
      </c>
      <c r="AQ555" s="62" t="n">
        <f aca="false">IF(LEFT(Cockpit!$I$5,1)="A",H555,IF(Parameter!$E$30="MAX-Bestand",IF(CI555=1,CJ555,IF(LEFT(Cockpit!$I$5,1)="B",AW555,MAX(AW555,H555))),ROUNDUP(AU555,0)))</f>
        <v>5</v>
      </c>
      <c r="AR555" s="62" t="n">
        <f aca="false">IF(CA555=1,0,ROUNDUP(AQ555/BZ555,0))</f>
        <v>1</v>
      </c>
      <c r="AS555" s="64" t="n">
        <f aca="false">IF(CR555&gt;0,CR555*MAX(1,AQ555/X555),IF(CA555=1,IF(AQ555&lt;=0,0,CE555*MAX(1,IF(H555&gt;0,AQ555/H555,1))),IF(R555&gt;0,AR555/R555,0))/MAX(0.1,N(Parameter!$M$21)))</f>
        <v>0.00714285714285714</v>
      </c>
      <c r="AT555" s="62" t="n">
        <f aca="false">AS555*CC555</f>
        <v>1.10714285714286</v>
      </c>
      <c r="AU555" s="63" t="n">
        <f aca="false">IF(LEFT(Cockpit!$I$5,1)="A",H555,IF(CI555=1,(CL555+CJ555)/2,IF(LEFT(Cockpit!$I$5,1)="B",(CL555+AW555)/2,MAX((CL555+AW555)/2,H555))))</f>
        <v>5</v>
      </c>
      <c r="AV555" s="62" t="n">
        <f aca="false">AU555*G555</f>
        <v>367.3</v>
      </c>
      <c r="AW555" s="62" t="n">
        <f aca="false">ROUNDUP(CL555+MAX(CM555,2*(J555/IF(CH555&gt;0,CH555,MAX(0.1,N(Cockpit!$I$6)))-CL555)),0)</f>
        <v>1</v>
      </c>
      <c r="AX555" s="63" t="n">
        <f aca="false">IF(AT555&gt;0,J555/AT555,-1)</f>
        <v>0.903225806451613</v>
      </c>
      <c r="AY555" s="63" t="n">
        <f aca="false">IF(AND(OR(CG555="L1",CG555="L23",CG555="LIFT"),AT555&gt;0),SUMIFS($AT$7:$AT$1843,$CG$7:$CG$1843,CG555,$AX$7:$AX$1843,"&gt;"&amp;AX555)+SUMIFS($AT$7:$AT$1843,$CG$7:$CG$1843,CG555,$AX$7:$AX$1843,AX555,$BX$7:$BX$1843,"&lt;="&amp;BX555),"")</f>
        <v>9193.28846153846</v>
      </c>
      <c r="AZ555" s="70" t="n">
        <f aca="false">IF(AY555="",0,MAX(0,MIN(1,(IF(CG555="L1",Parameter!$H$5,IF(CG555="L23",Parameter!$H$6+Parameter!$H$7,Parameter!$H$5+Parameter!$H$6+Parameter!$H$7))-(AY555-AT555))/AT555)))</f>
        <v>1</v>
      </c>
      <c r="BA555" s="62" t="n">
        <f aca="false">IF(LEFT(Cockpit!$O$5,1)="A",H555,IF(Parameter!$E$30="MAX-Bestand",IF(CI555=1,CJ555,IF(LEFT(Cockpit!$O$5,1)="B",BG555,MAX(BG555,H555))),ROUNDUP(BE555,0)))</f>
        <v>1</v>
      </c>
      <c r="BB555" s="62" t="n">
        <f aca="false">IF(CA555=1,0,ROUNDUP(BA555/BZ555,0))</f>
        <v>1</v>
      </c>
      <c r="BC555" s="64" t="n">
        <f aca="false">IF(CR555&gt;0,CR555*MAX(1,BA555/X555),IF(CA555=1,IF(BA555&lt;=0,0,CE555*MAX(1,IF(H555&gt;0,BA555/H555,1))),IF(R555&gt;0,BB555/R555,0))/MAX(0.1,N(Parameter!$M$21)))</f>
        <v>0.00714285714285714</v>
      </c>
      <c r="BD555" s="62" t="n">
        <f aca="false">BC555*CC555</f>
        <v>1.10714285714286</v>
      </c>
      <c r="BE555" s="63" t="n">
        <f aca="false">IF(LEFT(Cockpit!$O$5,1)="A",H555,IF(CI555=1,(CL555+CJ555)/2,IF(LEFT(Cockpit!$O$5,1)="B",(CL555+BG555)/2,MAX((CL555+BG555)/2,H555))))</f>
        <v>0.5</v>
      </c>
      <c r="BF555" s="62" t="n">
        <f aca="false">BE555*G555</f>
        <v>36.73</v>
      </c>
      <c r="BG555" s="62" t="n">
        <f aca="false">ROUNDUP(CL555+MAX(CM555,2*(J555/IF(CH555&gt;0,CH555,MAX(0.1,N(Cockpit!$O$6)))-CL555)),0)</f>
        <v>1</v>
      </c>
      <c r="BH555" s="63" t="n">
        <f aca="false">IF(BD555&gt;0,J555/BD555,-1)</f>
        <v>0.903225806451613</v>
      </c>
      <c r="BI555" s="63" t="n">
        <f aca="false">IF(AND(OR(CG555="L1",CG555="L23",CG555="LIFT"),BD555&gt;0),SUMIFS($BD$7:$BD$1843,$CG$7:$CG$1843,CG555,$BH$7:$BH$1843,"&gt;"&amp;BH555)+SUMIFS($BD$7:$BD$1843,$CG$7:$CG$1843,CG555,$BH$7:$BH$1843,BH555,$BX$7:$BX$1843,"&lt;="&amp;BX555),"")</f>
        <v>8243.40064102564</v>
      </c>
      <c r="BJ555" s="70" t="n">
        <f aca="false">IF(BI555="",0,MAX(0,MIN(1,(IF(CG555="L1",Parameter!$H$5,IF(CG555="L23",Parameter!$H$6+Parameter!$H$7,Parameter!$H$5+Parameter!$H$6+Parameter!$H$7))-(BI555-BD555))/BD555)))</f>
        <v>1</v>
      </c>
      <c r="BK555" s="60" t="str">
        <f aca="false">IF(AJ555&lt;=0,"",IF(CG555="Aussen","Aussenlager",IF(CG555="-","Nicht im Lift",IF(AP555&gt;=1,"Lift",IF(AP555&lt;=0,"Aussenlager","teilweise")))))</f>
        <v>Lift</v>
      </c>
      <c r="BL555" s="60" t="str">
        <f aca="false">IF(AT555&lt;=0,"",IF(CG555="Aussen","Aussenlager",IF(CG555="-","Nicht im Lift",IF(AZ555&gt;=1,"Lift",IF(AZ555&lt;=0,"Aussenlager","teilweise")))))</f>
        <v>Lift</v>
      </c>
      <c r="BM555" s="60" t="str">
        <f aca="false">IF(BD555&lt;=0,"",IF(CG555="Aussen","Aussenlager",IF(CG555="-","Nicht im Lift",IF(BJ555&gt;=1,"Lift",IF(BJ555&lt;=0,"Aussenlager","teilweise")))))</f>
        <v>Lift</v>
      </c>
      <c r="BN555" s="60" t="str">
        <f aca="false">IF(A555="","",IF(BW555=1,"Neu; ","")&amp;IF(AND(BW555=0,BR555&lt;0),"negativer Bestand (Export "&amp;BR555&amp;"); ","")&amp;IF(J555&lt;=0,"Kein Verbrauch; ","")&amp;IF(CR555&gt;0,"Lift "&amp;W555&amp;" lt. Liftbericht (Fach "&amp;X555&amp;" Stk); ",IF(CB555=1,"Gebinde geschätzt ("&amp;T555&amp;"); ",IF(CA555=1,"Lose – Tablare geschätzt; ","")))&amp;IF(H555&gt;AW555,"Überbestand "&amp;ROUND(H555-AW555,0)&amp;" Stk / CHF "&amp;ROUND((H555-AW555)*G555,0)&amp;"; ","")&amp;IF(AND(CI555=1,CJ555&lt;CK555),"MAX &lt; MB+LG; ","")&amp;IF(AND(CQ555&gt;0,CP555*10&gt;CQ555),"zu hoch für Tablar; ","")&amp;IF(AND(BW555=0,OR(CI555=1,AB555&lt;&gt;"",U555&lt;&gt;"",V555&lt;&gt;"",AC555&lt;&gt;"")),"manuell übersteuert; ","")&amp;IF(AND(CA555=0,R555=0),"Gebinde unbekannt / Stellmass fehlt; ","")&amp;IF(AND(CA555=0,N(V555)&lt;=0,N(Q555)&lt;=0),"Menge pro Gebinde fehlt (Ist = 1 Gebinde); ","")&amp;BV555)</f>
        <v>Überbestand 4 Stk / CHF 294; </v>
      </c>
      <c r="BO555" s="60"/>
      <c r="BP555" s="60"/>
      <c r="BQ555" s="67"/>
      <c r="BR555" s="62" t="n">
        <v>0</v>
      </c>
      <c r="BS555" s="62" t="n">
        <v>5</v>
      </c>
      <c r="BT555" s="61" t="n">
        <v>15.05</v>
      </c>
      <c r="BU555" s="62" t="n">
        <v>1</v>
      </c>
      <c r="BV555" s="60"/>
      <c r="BW555" s="65" t="n">
        <v>0</v>
      </c>
      <c r="BX555" s="65" t="n">
        <v>555</v>
      </c>
      <c r="BY555" s="60" t="str">
        <f aca="false">IF(U555&lt;&gt;"",UPPER(TRIM(U555)),IF(CB555=1,UPPER(VLOOKUP(T555,Parameter!$I$27:$K$29,2,0)),IF(P555="","LOSE",P555)))</f>
        <v>S22</v>
      </c>
      <c r="BZ555" s="62" t="n">
        <f aca="false">IF(BY555="LOSE",1,IF(N(V555)&gt;0,V555,IF(CB555=1,MAX(1,N(VLOOKUP(T555,Parameter!$I$27:$K$29,3,0)),H555,N(N555)),IF(N(Q555)&gt;0,Q555,MAX(1,H555)))))</f>
        <v>6</v>
      </c>
      <c r="CA555" s="65" t="n">
        <f aca="false">IF(BY555="LOSE",1,0)</f>
        <v>0</v>
      </c>
      <c r="CB555" s="65" t="n">
        <f aca="false">IF(AND(U555="",OR(P555="",P555="LOSE"),T555&lt;&gt;"",N(S555)&lt;=0,ISNUMBER(MATCH(T555,Parameter!$I$27:$I$29,0))),1,0)</f>
        <v>0</v>
      </c>
      <c r="CC555" s="65" t="n">
        <f aca="false">IF(CR555&gt;0,INDEX(Parameter!$H$5:$H$7,W555)/INDEX(Parameter!$E$5:$E$7,W555),IF(AND(CA555=0,N(IFERROR(VLOOKUP(BY555,'Gebinde-Kategorie'!$A$5:$N$45,14,0),0))&gt;0),VLOOKUP(BY555,'Gebinde-Kategorie'!$A$5:$N$45,14,0)*10+Parameter!$M$23,Parameter!$M$24))</f>
        <v>155</v>
      </c>
      <c r="CD555" s="60" t="str">
        <f aca="false">IF(AND(Parameter!$B$19="Ja",E555&lt;&gt;"",ISNUMBER(MATCH(E555,Parameter!$I$35:$I$52,0))),VLOOKUP(E555,Parameter!$I$35:$J$52,2,0),IFERROR(VLOOKUP(D555,Parameter!$A$35:$C$64,2,0),"Nein"))</f>
        <v>2+3</v>
      </c>
      <c r="CE555" s="64" t="n">
        <f aca="false">IF(CA555=0,0,IF(N(S555)&gt;0,S555,IFERROR(VLOOKUP(D555,Parameter!$A$35:$C$64,3,0)+0,0)))</f>
        <v>0</v>
      </c>
      <c r="CF555" s="60" t="n">
        <f aca="false">IF(AB555&lt;&gt;"",AB555,AA555)</f>
        <v>1</v>
      </c>
      <c r="CG555" s="60" t="str">
        <f aca="false">IF(OR(CF555=1,CF555=2,CF555=3),IF(Parameter!$E$27="Ja","LIFT",IF(CF555=1,"L1","L23")),IF(CF555="Aussen","Aussen","-"))</f>
        <v>LIFT</v>
      </c>
      <c r="CH555" s="71" t="n">
        <f aca="false">IF(N(AC555)&gt;0,AC555,0)</f>
        <v>0</v>
      </c>
      <c r="CI555" s="65" t="n">
        <f aca="false">IF(ISNUMBER(AF555),1,0)</f>
        <v>0</v>
      </c>
      <c r="CJ555" s="62" t="n">
        <f aca="false">N(AF555)</f>
        <v>0</v>
      </c>
      <c r="CK555" s="62" t="n">
        <f aca="false">N(M555)+N(N555)</f>
        <v>1</v>
      </c>
      <c r="CL555" s="62" t="n">
        <f aca="false">N(M555)</f>
        <v>0</v>
      </c>
      <c r="CM555" s="62" t="n">
        <f aca="false">N(N555)</f>
        <v>1</v>
      </c>
      <c r="CN555" s="62" t="n">
        <f aca="false">ROUNDUP(H555/BZ555,0)</f>
        <v>1</v>
      </c>
      <c r="CO555" s="62" t="n">
        <f aca="false">ROUNDUP(CJ555/BZ555,0)</f>
        <v>0</v>
      </c>
      <c r="CP555" s="65" t="n">
        <f aca="false">IF(CA555=1,0,IFERROR(VLOOKUP(BY555,'Gebinde-Kategorie'!$A$5:$N$45,5,0)+0,0))</f>
        <v>8</v>
      </c>
      <c r="CQ555" s="65" t="n">
        <f aca="false">IFERROR(IF(OR(CF555=1,CF555=2,CF555=3),N(INDEX(Parameter!$I$5:$I$7,CF555)),0),0)</f>
        <v>0</v>
      </c>
      <c r="CR555" s="64" t="n">
        <f aca="false">IF(AND(Parameter!$B$21="Ja",ISNUMBER(W555),N(X555)&gt;0),IFERROR(N(INDEX(Parameter!$L$5:$L$7,W555))*INDEX(Parameter!$E$5:$E$7,W555)*X555/SUMIFS($X$7:$X$1843,$W$7:$W$1843,W555),0),0)</f>
        <v>0</v>
      </c>
      <c r="CS555" s="62" t="n">
        <f aca="false">IF(AND(OR(CG555="L1",CG555="L23",CG555="LIFT"),H555&gt;0),CC555*IF(CR555&gt;0,CR555*MAX(1,H555/X555),IF(CA555=1,CE555,IF(R555&gt;0,CN555/R555,0))/MAX(0.1,N(Parameter!$M$21))),"")</f>
        <v>1.10714285714286</v>
      </c>
      <c r="CT555" s="64" t="n">
        <f aca="false">IF(CS555="","",J555/H555)</f>
        <v>0.2</v>
      </c>
      <c r="CU555" s="62" t="n">
        <f aca="false">IF(CS555="","",H555*G555)</f>
        <v>367.3</v>
      </c>
      <c r="CV555" s="63" t="n">
        <f aca="false">IF(CS555="","",(CL555+ROUNDUP(CL555+MAX(CM555,2*(J555/MAX(0.1,N(Einkauf!$C$6))-CL555)),0))/2)</f>
        <v>0.5</v>
      </c>
      <c r="CW555" s="62" t="n">
        <f aca="false">IF(CS555="","",MAX(0,H555-CV555)*G555)</f>
        <v>330.57</v>
      </c>
      <c r="CX555" s="62" t="n">
        <f aca="false">IF(CS555="","",CS555*MAX(0,1-CV555/H555))</f>
        <v>0.996428571428572</v>
      </c>
      <c r="CY555" s="64" t="n">
        <f aca="false">IF(CS555="","",PERCENTRANK($CS$7:$CS$1843,CS555)+PERCENTRANK($CU$7:$CU$1843,CU555)+1-PERCENTRANK($CT$7:$CT$1843,CT555))</f>
        <v>1.0474</v>
      </c>
      <c r="CZ555" s="72" t="n">
        <f aca="false">IF(CS555="","",CHOOSE(MATCH(Einkauf!$C$5,Parameter!$G$23:$G$27,0),CY555,CS555,CU555,-CT555,CW555)+ROW()/1000000000)</f>
        <v>1.047400555</v>
      </c>
    </row>
    <row r="556" customFormat="false" ht="15" hidden="false" customHeight="false" outlineLevel="0" collapsed="false">
      <c r="A556" s="60" t="s">
        <v>1224</v>
      </c>
      <c r="B556" s="60" t="s">
        <v>1225</v>
      </c>
      <c r="C556" s="60" t="s">
        <v>206</v>
      </c>
      <c r="D556" s="60" t="s">
        <v>226</v>
      </c>
      <c r="E556" s="60"/>
      <c r="F556" s="60" t="s">
        <v>260</v>
      </c>
      <c r="G556" s="61" t="n">
        <v>1.06</v>
      </c>
      <c r="H556" s="62" t="n">
        <f aca="false">MAX(0,IF(AND(Parameter!$B$21="Ja",ISNUMBER(Y556)),Y556,IF(Parameter!$B$20="Jahresanfang 2025 + Export",BS556+BR556,BR556)))</f>
        <v>14</v>
      </c>
      <c r="I556" s="62" t="n">
        <f aca="false">H556*G556</f>
        <v>14.84</v>
      </c>
      <c r="J556" s="62" t="n">
        <f aca="false">BU556*Parameter!$B$18</f>
        <v>0</v>
      </c>
      <c r="K556" s="63" t="n">
        <v>10</v>
      </c>
      <c r="L556" s="64" t="n">
        <v>0</v>
      </c>
      <c r="M556" s="62" t="n">
        <v>0</v>
      </c>
      <c r="N556" s="62" t="n">
        <v>1</v>
      </c>
      <c r="O556" s="65" t="n">
        <v>31</v>
      </c>
      <c r="P556" s="60" t="s">
        <v>443</v>
      </c>
      <c r="Q556" s="62" t="n">
        <v>20</v>
      </c>
      <c r="R556" s="65" t="n">
        <f aca="false">IF(CA556=1,0,IFERROR(VLOOKUP(BY556,'Gebinde-Kategorie'!$A$5:$N$45,13,0)+0,0))</f>
        <v>280</v>
      </c>
      <c r="S556" s="66"/>
      <c r="T556" s="67"/>
      <c r="U556" s="67"/>
      <c r="V556" s="67"/>
      <c r="W556" s="60"/>
      <c r="X556" s="62"/>
      <c r="Y556" s="62"/>
      <c r="Z556" s="60" t="n">
        <v>3</v>
      </c>
      <c r="AA556" s="60" t="n">
        <f aca="false">IF(A556="","",IF(AND(Parameter!$B$21="Ja",ISNUMBER(W556)),W556,IF(AND(Parameter!$E$27="Ja",ISNUMBER(Z556),CD556&lt;&gt;"Nein"),Z556,IF(CD556="2+3",IF(ISNUMBER(SEARCH("grosser Artikel",BV556)),2,IFERROR(VLOOKUP(BY556,Parameter!$F$35:$G$64,2,0),2)),IF(OR(CD556="Nein",CD556=""),"-",CD556)))))</f>
        <v>3</v>
      </c>
      <c r="AB556" s="67"/>
      <c r="AC556" s="68"/>
      <c r="AD556" s="62" t="n">
        <f aca="false">AW556</f>
        <v>1</v>
      </c>
      <c r="AE556" s="62" t="n">
        <f aca="false">MAX(AW556,H556)</f>
        <v>14</v>
      </c>
      <c r="AF556" s="69"/>
      <c r="AG556" s="62" t="n">
        <f aca="false">IF(LEFT(Cockpit!$C$5,1)="A",H556,IF(Parameter!$E$30="MAX-Bestand",IF(CI556=1,CJ556,IF(LEFT(Cockpit!$C$5,1)="B",AM556,MAX(AM556,H556))),ROUNDUP(AK556,0)))</f>
        <v>14</v>
      </c>
      <c r="AH556" s="62" t="n">
        <f aca="false">IF(CA556=1,0,ROUNDUP(AG556/BZ556,0))</f>
        <v>1</v>
      </c>
      <c r="AI556" s="64" t="n">
        <f aca="false">IF(CR556&gt;0,CR556*MAX(1,AG556/X556),IF(CA556=1,IF(AG556&lt;=0,0,CE556*MAX(1,IF(H556&gt;0,AG556/H556,1))),IF(R556&gt;0,AH556/R556,0))/MAX(0.1,N(Parameter!$M$21)))</f>
        <v>0.00357142857142857</v>
      </c>
      <c r="AJ556" s="62" t="n">
        <f aca="false">AI556*CC556</f>
        <v>0.553571428571429</v>
      </c>
      <c r="AK556" s="63" t="n">
        <f aca="false">IF(LEFT(Cockpit!$C$5,1)="A",H556,IF(CI556=1,(CL556+CJ556)/2,IF(LEFT(Cockpit!$C$5,1)="B",(CL556+AM556)/2,MAX((CL556+AM556)/2,H556))))</f>
        <v>14</v>
      </c>
      <c r="AL556" s="62" t="n">
        <f aca="false">AK556*G556</f>
        <v>14.84</v>
      </c>
      <c r="AM556" s="62" t="n">
        <f aca="false">ROUNDUP(CL556+MAX(CM556,2*(J556/IF(CH556&gt;0,CH556,MAX(0.1,N(Cockpit!$C$6)))-CL556)),0)</f>
        <v>1</v>
      </c>
      <c r="AN556" s="63" t="n">
        <f aca="false">IF(AJ556&gt;0,J556/AJ556,-1)</f>
        <v>0</v>
      </c>
      <c r="AO556" s="63" t="n">
        <f aca="false">IF(AND(OR(CG556="L1",CG556="L23",CG556="LIFT"),AJ556&gt;0),SUMIFS($AJ$7:$AJ$1843,$CG$7:$CG$1843,CG556,$AN$7:$AN$1843,"&gt;"&amp;AN556)+SUMIFS($AJ$7:$AJ$1843,$CG$7:$CG$1843,CG556,$AN$7:$AN$1843,AN556,$BX$7:$BX$1843,"&lt;="&amp;BX556),"")</f>
        <v>28397.0757175969</v>
      </c>
      <c r="AP556" s="70" t="n">
        <f aca="false">IF(AO556="",0,MAX(0,MIN(1,(IF(CG556="L1",Parameter!$H$5,IF(CG556="L23",Parameter!$H$6+Parameter!$H$7,Parameter!$H$5+Parameter!$H$6+Parameter!$H$7))-(AO556-AJ556))/AJ556)))</f>
        <v>1</v>
      </c>
      <c r="AQ556" s="62" t="n">
        <f aca="false">IF(LEFT(Cockpit!$I$5,1)="A",H556,IF(Parameter!$E$30="MAX-Bestand",IF(CI556=1,CJ556,IF(LEFT(Cockpit!$I$5,1)="B",AW556,MAX(AW556,H556))),ROUNDUP(AU556,0)))</f>
        <v>14</v>
      </c>
      <c r="AR556" s="62" t="n">
        <f aca="false">IF(CA556=1,0,ROUNDUP(AQ556/BZ556,0))</f>
        <v>1</v>
      </c>
      <c r="AS556" s="64" t="n">
        <f aca="false">IF(CR556&gt;0,CR556*MAX(1,AQ556/X556),IF(CA556=1,IF(AQ556&lt;=0,0,CE556*MAX(1,IF(H556&gt;0,AQ556/H556,1))),IF(R556&gt;0,AR556/R556,0))/MAX(0.1,N(Parameter!$M$21)))</f>
        <v>0.00357142857142857</v>
      </c>
      <c r="AT556" s="62" t="n">
        <f aca="false">AS556*CC556</f>
        <v>0.553571428571429</v>
      </c>
      <c r="AU556" s="63" t="n">
        <f aca="false">IF(LEFT(Cockpit!$I$5,1)="A",H556,IF(CI556=1,(CL556+CJ556)/2,IF(LEFT(Cockpit!$I$5,1)="B",(CL556+AW556)/2,MAX((CL556+AW556)/2,H556))))</f>
        <v>14</v>
      </c>
      <c r="AV556" s="62" t="n">
        <f aca="false">AU556*G556</f>
        <v>14.84</v>
      </c>
      <c r="AW556" s="62" t="n">
        <f aca="false">ROUNDUP(CL556+MAX(CM556,2*(J556/IF(CH556&gt;0,CH556,MAX(0.1,N(Cockpit!$I$6)))-CL556)),0)</f>
        <v>1</v>
      </c>
      <c r="AX556" s="63" t="n">
        <f aca="false">IF(AT556&gt;0,J556/AT556,-1)</f>
        <v>0</v>
      </c>
      <c r="AY556" s="63" t="n">
        <f aca="false">IF(AND(OR(CG556="L1",CG556="L23",CG556="LIFT"),AT556&gt;0),SUMIFS($AT$7:$AT$1843,$CG$7:$CG$1843,CG556,$AX$7:$AX$1843,"&gt;"&amp;AX556)+SUMIFS($AT$7:$AT$1843,$CG$7:$CG$1843,CG556,$AX$7:$AX$1843,AX556,$BX$7:$BX$1843,"&lt;="&amp;BX556),"")</f>
        <v>33750.2243589744</v>
      </c>
      <c r="AZ556" s="70" t="n">
        <f aca="false">IF(AY556="",0,MAX(0,MIN(1,(IF(CG556="L1",Parameter!$H$5,IF(CG556="L23",Parameter!$H$6+Parameter!$H$7,Parameter!$H$5+Parameter!$H$6+Parameter!$H$7))-(AY556-AT556))/AT556)))</f>
        <v>1</v>
      </c>
      <c r="BA556" s="62" t="n">
        <f aca="false">IF(LEFT(Cockpit!$O$5,1)="A",H556,IF(Parameter!$E$30="MAX-Bestand",IF(CI556=1,CJ556,IF(LEFT(Cockpit!$O$5,1)="B",BG556,MAX(BG556,H556))),ROUNDUP(BE556,0)))</f>
        <v>1</v>
      </c>
      <c r="BB556" s="62" t="n">
        <f aca="false">IF(CA556=1,0,ROUNDUP(BA556/BZ556,0))</f>
        <v>1</v>
      </c>
      <c r="BC556" s="64" t="n">
        <f aca="false">IF(CR556&gt;0,CR556*MAX(1,BA556/X556),IF(CA556=1,IF(BA556&lt;=0,0,CE556*MAX(1,IF(H556&gt;0,BA556/H556,1))),IF(R556&gt;0,BB556/R556,0))/MAX(0.1,N(Parameter!$M$21)))</f>
        <v>0.00357142857142857</v>
      </c>
      <c r="BD556" s="62" t="n">
        <f aca="false">BC556*CC556</f>
        <v>0.553571428571429</v>
      </c>
      <c r="BE556" s="63" t="n">
        <f aca="false">IF(LEFT(Cockpit!$O$5,1)="A",H556,IF(CI556=1,(CL556+CJ556)/2,IF(LEFT(Cockpit!$O$5,1)="B",(CL556+BG556)/2,MAX((CL556+BG556)/2,H556))))</f>
        <v>0.5</v>
      </c>
      <c r="BF556" s="62" t="n">
        <f aca="false">BE556*G556</f>
        <v>0.53</v>
      </c>
      <c r="BG556" s="62" t="n">
        <f aca="false">ROUNDUP(CL556+MAX(CM556,2*(J556/IF(CH556&gt;0,CH556,MAX(0.1,N(Cockpit!$O$6)))-CL556)),0)</f>
        <v>1</v>
      </c>
      <c r="BH556" s="63" t="n">
        <f aca="false">IF(BD556&gt;0,J556/BD556,-1)</f>
        <v>0</v>
      </c>
      <c r="BI556" s="63" t="n">
        <f aca="false">IF(AND(OR(CG556="L1",CG556="L23",CG556="LIFT"),BD556&gt;0),SUMIFS($BD$7:$BD$1843,$CG$7:$CG$1843,CG556,$BH$7:$BH$1843,"&gt;"&amp;BH556)+SUMIFS($BD$7:$BD$1843,$CG$7:$CG$1843,CG556,$BH$7:$BH$1843,BH556,$BX$7:$BX$1843,"&lt;="&amp;BX556),"")</f>
        <v>27828.6610557522</v>
      </c>
      <c r="BJ556" s="70" t="n">
        <f aca="false">IF(BI556="",0,MAX(0,MIN(1,(IF(CG556="L1",Parameter!$H$5,IF(CG556="L23",Parameter!$H$6+Parameter!$H$7,Parameter!$H$5+Parameter!$H$6+Parameter!$H$7))-(BI556-BD556))/BD556)))</f>
        <v>1</v>
      </c>
      <c r="BK556" s="60" t="str">
        <f aca="false">IF(AJ556&lt;=0,"",IF(CG556="Aussen","Aussenlager",IF(CG556="-","Nicht im Lift",IF(AP556&gt;=1,"Lift",IF(AP556&lt;=0,"Aussenlager","teilweise")))))</f>
        <v>Lift</v>
      </c>
      <c r="BL556" s="60" t="str">
        <f aca="false">IF(AT556&lt;=0,"",IF(CG556="Aussen","Aussenlager",IF(CG556="-","Nicht im Lift",IF(AZ556&gt;=1,"Lift",IF(AZ556&lt;=0,"Aussenlager","teilweise")))))</f>
        <v>Lift</v>
      </c>
      <c r="BM556" s="60" t="str">
        <f aca="false">IF(BD556&lt;=0,"",IF(CG556="Aussen","Aussenlager",IF(CG556="-","Nicht im Lift",IF(BJ556&gt;=1,"Lift",IF(BJ556&lt;=0,"Aussenlager","teilweise")))))</f>
        <v>Lift</v>
      </c>
      <c r="BN556" s="60" t="str">
        <f aca="false">IF(A556="","",IF(BW556=1,"Neu; ","")&amp;IF(AND(BW556=0,BR556&lt;0),"negativer Bestand (Export "&amp;BR556&amp;"); ","")&amp;IF(J556&lt;=0,"Kein Verbrauch; ","")&amp;IF(CR556&gt;0,"Lift "&amp;W556&amp;" lt. Liftbericht (Fach "&amp;X556&amp;" Stk); ",IF(CB556=1,"Gebinde geschätzt ("&amp;T556&amp;"); ",IF(CA556=1,"Lose – Tablare geschätzt; ","")))&amp;IF(H556&gt;AW556,"Überbestand "&amp;ROUND(H556-AW556,0)&amp;" Stk / CHF "&amp;ROUND((H556-AW556)*G556,0)&amp;"; ","")&amp;IF(AND(CI556=1,CJ556&lt;CK556),"MAX &lt; MB+LG; ","")&amp;IF(AND(CQ556&gt;0,CP556*10&gt;CQ556),"zu hoch für Tablar; ","")&amp;IF(AND(BW556=0,OR(CI556=1,AB556&lt;&gt;"",U556&lt;&gt;"",V556&lt;&gt;"",AC556&lt;&gt;"")),"manuell übersteuert; ","")&amp;IF(AND(CA556=0,R556=0),"Gebinde unbekannt / Stellmass fehlt; ","")&amp;IF(AND(CA556=0,N(V556)&lt;=0,N(Q556)&lt;=0),"Menge pro Gebinde fehlt (Ist = 1 Gebinde); ","")&amp;BV556)</f>
        <v>Kein Verbrauch; Überbestand 13 Stk / CHF 14; </v>
      </c>
      <c r="BO556" s="60"/>
      <c r="BP556" s="60"/>
      <c r="BQ556" s="67"/>
      <c r="BR556" s="62" t="n">
        <v>14</v>
      </c>
      <c r="BS556" s="62" t="n">
        <v>0</v>
      </c>
      <c r="BT556" s="61" t="n">
        <v>14.84</v>
      </c>
      <c r="BU556" s="62" t="n">
        <v>0</v>
      </c>
      <c r="BV556" s="60"/>
      <c r="BW556" s="65" t="n">
        <v>0</v>
      </c>
      <c r="BX556" s="65" t="n">
        <v>556</v>
      </c>
      <c r="BY556" s="60" t="str">
        <f aca="false">IF(U556&lt;&gt;"",UPPER(TRIM(U556)),IF(CB556=1,UPPER(VLOOKUP(T556,Parameter!$I$27:$K$29,2,0)),IF(P556="","LOSE",P556)))</f>
        <v>S21</v>
      </c>
      <c r="BZ556" s="62" t="n">
        <f aca="false">IF(BY556="LOSE",1,IF(N(V556)&gt;0,V556,IF(CB556=1,MAX(1,N(VLOOKUP(T556,Parameter!$I$27:$K$29,3,0)),H556,N(N556)),IF(N(Q556)&gt;0,Q556,MAX(1,H556)))))</f>
        <v>20</v>
      </c>
      <c r="CA556" s="65" t="n">
        <f aca="false">IF(BY556="LOSE",1,0)</f>
        <v>0</v>
      </c>
      <c r="CB556" s="65" t="n">
        <f aca="false">IF(AND(U556="",OR(P556="",P556="LOSE"),T556&lt;&gt;"",N(S556)&lt;=0,ISNUMBER(MATCH(T556,Parameter!$I$27:$I$29,0))),1,0)</f>
        <v>0</v>
      </c>
      <c r="CC556" s="65" t="n">
        <f aca="false">IF(CR556&gt;0,INDEX(Parameter!$H$5:$H$7,W556)/INDEX(Parameter!$E$5:$E$7,W556),IF(AND(CA556=0,N(IFERROR(VLOOKUP(BY556,'Gebinde-Kategorie'!$A$5:$N$45,14,0),0))&gt;0),VLOOKUP(BY556,'Gebinde-Kategorie'!$A$5:$N$45,14,0)*10+Parameter!$M$23,Parameter!$M$24))</f>
        <v>155</v>
      </c>
      <c r="CD556" s="60" t="str">
        <f aca="false">IF(AND(Parameter!$B$19="Ja",E556&lt;&gt;"",ISNUMBER(MATCH(E556,Parameter!$I$35:$I$52,0))),VLOOKUP(E556,Parameter!$I$35:$J$52,2,0),IFERROR(VLOOKUP(D556,Parameter!$A$35:$C$64,2,0),"Nein"))</f>
        <v>2+3</v>
      </c>
      <c r="CE556" s="64" t="n">
        <f aca="false">IF(CA556=0,0,IF(N(S556)&gt;0,S556,IFERROR(VLOOKUP(D556,Parameter!$A$35:$C$64,3,0)+0,0)))</f>
        <v>0</v>
      </c>
      <c r="CF556" s="60" t="n">
        <f aca="false">IF(AB556&lt;&gt;"",AB556,AA556)</f>
        <v>3</v>
      </c>
      <c r="CG556" s="60" t="str">
        <f aca="false">IF(OR(CF556=1,CF556=2,CF556=3),IF(Parameter!$E$27="Ja","LIFT",IF(CF556=1,"L1","L23")),IF(CF556="Aussen","Aussen","-"))</f>
        <v>LIFT</v>
      </c>
      <c r="CH556" s="71" t="n">
        <f aca="false">IF(N(AC556)&gt;0,AC556,0)</f>
        <v>0</v>
      </c>
      <c r="CI556" s="65" t="n">
        <f aca="false">IF(ISNUMBER(AF556),1,0)</f>
        <v>0</v>
      </c>
      <c r="CJ556" s="62" t="n">
        <f aca="false">N(AF556)</f>
        <v>0</v>
      </c>
      <c r="CK556" s="62" t="n">
        <f aca="false">N(M556)+N(N556)</f>
        <v>1</v>
      </c>
      <c r="CL556" s="62" t="n">
        <f aca="false">N(M556)</f>
        <v>0</v>
      </c>
      <c r="CM556" s="62" t="n">
        <f aca="false">N(N556)</f>
        <v>1</v>
      </c>
      <c r="CN556" s="62" t="n">
        <f aca="false">ROUNDUP(H556/BZ556,0)</f>
        <v>1</v>
      </c>
      <c r="CO556" s="62" t="n">
        <f aca="false">ROUNDUP(CJ556/BZ556,0)</f>
        <v>0</v>
      </c>
      <c r="CP556" s="65" t="n">
        <f aca="false">IF(CA556=1,0,IFERROR(VLOOKUP(BY556,'Gebinde-Kategorie'!$A$5:$N$45,5,0)+0,0))</f>
        <v>8</v>
      </c>
      <c r="CQ556" s="65" t="n">
        <f aca="false">IFERROR(IF(OR(CF556=1,CF556=2,CF556=3),N(INDEX(Parameter!$I$5:$I$7,CF556)),0),0)</f>
        <v>0</v>
      </c>
      <c r="CR556" s="64" t="n">
        <f aca="false">IF(AND(Parameter!$B$21="Ja",ISNUMBER(W556),N(X556)&gt;0),IFERROR(N(INDEX(Parameter!$L$5:$L$7,W556))*INDEX(Parameter!$E$5:$E$7,W556)*X556/SUMIFS($X$7:$X$1843,$W$7:$W$1843,W556),0),0)</f>
        <v>0</v>
      </c>
      <c r="CS556" s="62" t="n">
        <f aca="false">IF(AND(OR(CG556="L1",CG556="L23",CG556="LIFT"),H556&gt;0),CC556*IF(CR556&gt;0,CR556*MAX(1,H556/X556),IF(CA556=1,CE556,IF(R556&gt;0,CN556/R556,0))/MAX(0.1,N(Parameter!$M$21))),"")</f>
        <v>0.553571428571429</v>
      </c>
      <c r="CT556" s="64" t="n">
        <f aca="false">IF(CS556="","",J556/H556)</f>
        <v>0</v>
      </c>
      <c r="CU556" s="62" t="n">
        <f aca="false">IF(CS556="","",H556*G556)</f>
        <v>14.84</v>
      </c>
      <c r="CV556" s="63" t="n">
        <f aca="false">IF(CS556="","",(CL556+ROUNDUP(CL556+MAX(CM556,2*(J556/MAX(0.1,N(Einkauf!$C$6))-CL556)),0))/2)</f>
        <v>0.5</v>
      </c>
      <c r="CW556" s="62" t="n">
        <f aca="false">IF(CS556="","",MAX(0,H556-CV556)*G556)</f>
        <v>14.31</v>
      </c>
      <c r="CX556" s="62" t="n">
        <f aca="false">IF(CS556="","",CS556*MAX(0,1-CV556/H556))</f>
        <v>0.533801020408163</v>
      </c>
      <c r="CY556" s="64" t="n">
        <f aca="false">IF(CS556="","",PERCENTRANK($CS$7:$CS$1843,CS556)+PERCENTRANK($CU$7:$CU$1843,CU556)+1-PERCENTRANK($CT$7:$CT$1843,CT556))</f>
        <v>1.0602</v>
      </c>
      <c r="CZ556" s="72" t="n">
        <f aca="false">IF(CS556="","",CHOOSE(MATCH(Einkauf!$C$5,Parameter!$G$23:$G$27,0),CY556,CS556,CU556,-CT556,CW556)+ROW()/1000000000)</f>
        <v>1.060200556</v>
      </c>
    </row>
    <row r="557" customFormat="false" ht="15" hidden="false" customHeight="false" outlineLevel="0" collapsed="false">
      <c r="A557" s="60" t="s">
        <v>1226</v>
      </c>
      <c r="B557" s="60" t="s">
        <v>1227</v>
      </c>
      <c r="C557" s="60" t="s">
        <v>206</v>
      </c>
      <c r="D557" s="60" t="s">
        <v>215</v>
      </c>
      <c r="E557" s="60" t="s">
        <v>227</v>
      </c>
      <c r="F557" s="60" t="s">
        <v>260</v>
      </c>
      <c r="G557" s="61" t="n">
        <v>4.33</v>
      </c>
      <c r="H557" s="62" t="n">
        <f aca="false">MAX(0,IF(AND(Parameter!$B$21="Ja",ISNUMBER(Y557)),Y557,IF(Parameter!$B$20="Jahresanfang 2025 + Export",BS557+BR557,BR557)))</f>
        <v>32</v>
      </c>
      <c r="I557" s="62" t="n">
        <f aca="false">H557*G557</f>
        <v>138.56</v>
      </c>
      <c r="J557" s="62" t="n">
        <f aca="false">BU557*Parameter!$B$18</f>
        <v>24</v>
      </c>
      <c r="K557" s="63" t="n">
        <v>43.5</v>
      </c>
      <c r="L557" s="64" t="n">
        <v>0.551724137931035</v>
      </c>
      <c r="M557" s="62" t="n">
        <v>3</v>
      </c>
      <c r="N557" s="62" t="n">
        <v>25</v>
      </c>
      <c r="O557" s="65" t="n">
        <v>49</v>
      </c>
      <c r="P557" s="60" t="s">
        <v>216</v>
      </c>
      <c r="Q557" s="62" t="n">
        <v>48</v>
      </c>
      <c r="R557" s="65" t="n">
        <f aca="false">IF(CA557=1,0,IFERROR(VLOOKUP(BY557,'Gebinde-Kategorie'!$A$5:$N$45,13,0)+0,0))</f>
        <v>6</v>
      </c>
      <c r="S557" s="66"/>
      <c r="T557" s="67"/>
      <c r="U557" s="67"/>
      <c r="V557" s="67"/>
      <c r="W557" s="60"/>
      <c r="X557" s="62"/>
      <c r="Y557" s="62"/>
      <c r="Z557" s="60" t="n">
        <v>2</v>
      </c>
      <c r="AA557" s="60" t="n">
        <f aca="false">IF(A557="","",IF(AND(Parameter!$B$21="Ja",ISNUMBER(W557)),W557,IF(AND(Parameter!$E$27="Ja",ISNUMBER(Z557),CD557&lt;&gt;"Nein"),Z557,IF(CD557="2+3",IF(ISNUMBER(SEARCH("grosser Artikel",BV557)),2,IFERROR(VLOOKUP(BY557,Parameter!$F$35:$G$64,2,0),2)),IF(OR(CD557="Nein",CD557=""),"-",CD557)))))</f>
        <v>2</v>
      </c>
      <c r="AB557" s="67"/>
      <c r="AC557" s="68"/>
      <c r="AD557" s="62" t="n">
        <f aca="false">AW557</f>
        <v>28</v>
      </c>
      <c r="AE557" s="62" t="n">
        <f aca="false">MAX(AW557,H557)</f>
        <v>32</v>
      </c>
      <c r="AF557" s="69"/>
      <c r="AG557" s="62" t="n">
        <f aca="false">IF(LEFT(Cockpit!$C$5,1)="A",H557,IF(Parameter!$E$30="MAX-Bestand",IF(CI557=1,CJ557,IF(LEFT(Cockpit!$C$5,1)="B",AM557,MAX(AM557,H557))),ROUNDUP(AK557,0)))</f>
        <v>32</v>
      </c>
      <c r="AH557" s="62" t="n">
        <f aca="false">IF(CA557=1,0,ROUNDUP(AG557/BZ557,0))</f>
        <v>1</v>
      </c>
      <c r="AI557" s="64" t="n">
        <f aca="false">IF(CR557&gt;0,CR557*MAX(1,AG557/X557),IF(CA557=1,IF(AG557&lt;=0,0,CE557*MAX(1,IF(H557&gt;0,AG557/H557,1))),IF(R557&gt;0,AH557/R557,0))/MAX(0.1,N(Parameter!$M$21)))</f>
        <v>0.166666666666667</v>
      </c>
      <c r="AJ557" s="62" t="n">
        <f aca="false">AI557*CC557</f>
        <v>39.1666666666667</v>
      </c>
      <c r="AK557" s="63" t="n">
        <f aca="false">IF(LEFT(Cockpit!$C$5,1)="A",H557,IF(CI557=1,(CL557+CJ557)/2,IF(LEFT(Cockpit!$C$5,1)="B",(CL557+AM557)/2,MAX((CL557+AM557)/2,H557))))</f>
        <v>32</v>
      </c>
      <c r="AL557" s="62" t="n">
        <f aca="false">AK557*G557</f>
        <v>138.56</v>
      </c>
      <c r="AM557" s="62" t="n">
        <f aca="false">ROUNDUP(CL557+MAX(CM557,2*(J557/IF(CH557&gt;0,CH557,MAX(0.1,N(Cockpit!$C$6)))-CL557)),0)</f>
        <v>28</v>
      </c>
      <c r="AN557" s="63" t="n">
        <f aca="false">IF(AJ557&gt;0,J557/AJ557,-1)</f>
        <v>0.612765957446809</v>
      </c>
      <c r="AO557" s="63" t="n">
        <f aca="false">IF(AND(OR(CG557="L1",CG557="L23",CG557="LIFT"),AJ557&gt;0),SUMIFS($AJ$7:$AJ$1843,$CG$7:$CG$1843,CG557,$AN$7:$AN$1843,"&gt;"&amp;AN557)+SUMIFS($AJ$7:$AJ$1843,$CG$7:$CG$1843,CG557,$AN$7:$AN$1843,AN557,$BX$7:$BX$1843,"&lt;="&amp;BX557),"")</f>
        <v>9191.2028103723</v>
      </c>
      <c r="AP557" s="70" t="n">
        <f aca="false">IF(AO557="",0,MAX(0,MIN(1,(IF(CG557="L1",Parameter!$H$5,IF(CG557="L23",Parameter!$H$6+Parameter!$H$7,Parameter!$H$5+Parameter!$H$6+Parameter!$H$7))-(AO557-AJ557))/AJ557)))</f>
        <v>1</v>
      </c>
      <c r="AQ557" s="62" t="n">
        <f aca="false">IF(LEFT(Cockpit!$I$5,1)="A",H557,IF(Parameter!$E$30="MAX-Bestand",IF(CI557=1,CJ557,IF(LEFT(Cockpit!$I$5,1)="B",AW557,MAX(AW557,H557))),ROUNDUP(AU557,0)))</f>
        <v>32</v>
      </c>
      <c r="AR557" s="62" t="n">
        <f aca="false">IF(CA557=1,0,ROUNDUP(AQ557/BZ557,0))</f>
        <v>1</v>
      </c>
      <c r="AS557" s="64" t="n">
        <f aca="false">IF(CR557&gt;0,CR557*MAX(1,AQ557/X557),IF(CA557=1,IF(AQ557&lt;=0,0,CE557*MAX(1,IF(H557&gt;0,AQ557/H557,1))),IF(R557&gt;0,AR557/R557,0))/MAX(0.1,N(Parameter!$M$21)))</f>
        <v>0.166666666666667</v>
      </c>
      <c r="AT557" s="62" t="n">
        <f aca="false">AS557*CC557</f>
        <v>39.1666666666667</v>
      </c>
      <c r="AU557" s="63" t="n">
        <f aca="false">IF(LEFT(Cockpit!$I$5,1)="A",H557,IF(CI557=1,(CL557+CJ557)/2,IF(LEFT(Cockpit!$I$5,1)="B",(CL557+AW557)/2,MAX((CL557+AW557)/2,H557))))</f>
        <v>32</v>
      </c>
      <c r="AV557" s="62" t="n">
        <f aca="false">AU557*G557</f>
        <v>138.56</v>
      </c>
      <c r="AW557" s="62" t="n">
        <f aca="false">ROUNDUP(CL557+MAX(CM557,2*(J557/IF(CH557&gt;0,CH557,MAX(0.1,N(Cockpit!$I$6)))-CL557)),0)</f>
        <v>28</v>
      </c>
      <c r="AX557" s="63" t="n">
        <f aca="false">IF(AT557&gt;0,J557/AT557,-1)</f>
        <v>0.612765957446809</v>
      </c>
      <c r="AY557" s="63" t="n">
        <f aca="false">IF(AND(OR(CG557="L1",CG557="L23",CG557="LIFT"),AT557&gt;0),SUMIFS($AT$7:$AT$1843,$CG$7:$CG$1843,CG557,$AX$7:$AX$1843,"&gt;"&amp;AX557)+SUMIFS($AT$7:$AT$1843,$CG$7:$CG$1843,CG557,$AX$7:$AX$1843,AX557,$BX$7:$BX$1843,"&lt;="&amp;BX557),"")</f>
        <v>11237.282967033</v>
      </c>
      <c r="AZ557" s="70" t="n">
        <f aca="false">IF(AY557="",0,MAX(0,MIN(1,(IF(CG557="L1",Parameter!$H$5,IF(CG557="L23",Parameter!$H$6+Parameter!$H$7,Parameter!$H$5+Parameter!$H$6+Parameter!$H$7))-(AY557-AT557))/AT557)))</f>
        <v>1</v>
      </c>
      <c r="BA557" s="62" t="n">
        <f aca="false">IF(LEFT(Cockpit!$O$5,1)="A",H557,IF(Parameter!$E$30="MAX-Bestand",IF(CI557=1,CJ557,IF(LEFT(Cockpit!$O$5,1)="B",BG557,MAX(BG557,H557))),ROUNDUP(BE557,0)))</f>
        <v>16</v>
      </c>
      <c r="BB557" s="62" t="n">
        <f aca="false">IF(CA557=1,0,ROUNDUP(BA557/BZ557,0))</f>
        <v>1</v>
      </c>
      <c r="BC557" s="64" t="n">
        <f aca="false">IF(CR557&gt;0,CR557*MAX(1,BA557/X557),IF(CA557=1,IF(BA557&lt;=0,0,CE557*MAX(1,IF(H557&gt;0,BA557/H557,1))),IF(R557&gt;0,BB557/R557,0))/MAX(0.1,N(Parameter!$M$21)))</f>
        <v>0.166666666666667</v>
      </c>
      <c r="BD557" s="62" t="n">
        <f aca="false">BC557*CC557</f>
        <v>39.1666666666667</v>
      </c>
      <c r="BE557" s="63" t="n">
        <f aca="false">IF(LEFT(Cockpit!$O$5,1)="A",H557,IF(CI557=1,(CL557+CJ557)/2,IF(LEFT(Cockpit!$O$5,1)="B",(CL557+BG557)/2,MAX((CL557+BG557)/2,H557))))</f>
        <v>15.5</v>
      </c>
      <c r="BF557" s="62" t="n">
        <f aca="false">BE557*G557</f>
        <v>67.115</v>
      </c>
      <c r="BG557" s="62" t="n">
        <f aca="false">ROUNDUP(CL557+MAX(CM557,2*(J557/IF(CH557&gt;0,CH557,MAX(0.1,N(Cockpit!$O$6)))-CL557)),0)</f>
        <v>28</v>
      </c>
      <c r="BH557" s="63" t="n">
        <f aca="false">IF(BD557&gt;0,J557/BD557,-1)</f>
        <v>0.612765957446809</v>
      </c>
      <c r="BI557" s="63" t="n">
        <f aca="false">IF(AND(OR(CG557="L1",CG557="L23",CG557="LIFT"),BD557&gt;0),SUMIFS($BD$7:$BD$1843,$CG$7:$CG$1843,CG557,$BH$7:$BH$1843,"&gt;"&amp;BH557)+SUMIFS($BD$7:$BD$1843,$CG$7:$CG$1843,CG557,$BH$7:$BH$1843,BH557,$BX$7:$BX$1843,"&lt;="&amp;BX557),"")</f>
        <v>9929.70558608059</v>
      </c>
      <c r="BJ557" s="70" t="n">
        <f aca="false">IF(BI557="",0,MAX(0,MIN(1,(IF(CG557="L1",Parameter!$H$5,IF(CG557="L23",Parameter!$H$6+Parameter!$H$7,Parameter!$H$5+Parameter!$H$6+Parameter!$H$7))-(BI557-BD557))/BD557)))</f>
        <v>1</v>
      </c>
      <c r="BK557" s="60" t="str">
        <f aca="false">IF(AJ557&lt;=0,"",IF(CG557="Aussen","Aussenlager",IF(CG557="-","Nicht im Lift",IF(AP557&gt;=1,"Lift",IF(AP557&lt;=0,"Aussenlager","teilweise")))))</f>
        <v>Lift</v>
      </c>
      <c r="BL557" s="60" t="str">
        <f aca="false">IF(AT557&lt;=0,"",IF(CG557="Aussen","Aussenlager",IF(CG557="-","Nicht im Lift",IF(AZ557&gt;=1,"Lift",IF(AZ557&lt;=0,"Aussenlager","teilweise")))))</f>
        <v>Lift</v>
      </c>
      <c r="BM557" s="60" t="str">
        <f aca="false">IF(BD557&lt;=0,"",IF(CG557="Aussen","Aussenlager",IF(CG557="-","Nicht im Lift",IF(BJ557&gt;=1,"Lift",IF(BJ557&lt;=0,"Aussenlager","teilweise")))))</f>
        <v>Lift</v>
      </c>
      <c r="BN557" s="60" t="str">
        <f aca="false">IF(A557="","",IF(BW557=1,"Neu; ","")&amp;IF(AND(BW557=0,BR557&lt;0),"negativer Bestand (Export "&amp;BR557&amp;"); ","")&amp;IF(J557&lt;=0,"Kein Verbrauch; ","")&amp;IF(CR557&gt;0,"Lift "&amp;W557&amp;" lt. Liftbericht (Fach "&amp;X557&amp;" Stk); ",IF(CB557=1,"Gebinde geschätzt ("&amp;T557&amp;"); ",IF(CA557=1,"Lose – Tablare geschätzt; ","")))&amp;IF(H557&gt;AW557,"Überbestand "&amp;ROUND(H557-AW557,0)&amp;" Stk / CHF "&amp;ROUND((H557-AW557)*G557,0)&amp;"; ","")&amp;IF(AND(CI557=1,CJ557&lt;CK557),"MAX &lt; MB+LG; ","")&amp;IF(AND(CQ557&gt;0,CP557*10&gt;CQ557),"zu hoch für Tablar; ","")&amp;IF(AND(BW557=0,OR(CI557=1,AB557&lt;&gt;"",U557&lt;&gt;"",V557&lt;&gt;"",AC557&lt;&gt;"")),"manuell übersteuert; ","")&amp;IF(AND(CA557=0,R557=0),"Gebinde unbekannt / Stellmass fehlt; ","")&amp;IF(AND(CA557=0,N(V557)&lt;=0,N(Q557)&lt;=0),"Menge pro Gebinde fehlt (Ist = 1 Gebinde); ","")&amp;BV557)</f>
        <v>Überbestand 4 Stk / CHF 17; </v>
      </c>
      <c r="BO557" s="60"/>
      <c r="BP557" s="60"/>
      <c r="BQ557" s="67"/>
      <c r="BR557" s="62" t="n">
        <v>3</v>
      </c>
      <c r="BS557" s="62" t="n">
        <v>29</v>
      </c>
      <c r="BT557" s="61" t="n">
        <v>14.7300000000001</v>
      </c>
      <c r="BU557" s="62" t="n">
        <v>24</v>
      </c>
      <c r="BV557" s="60"/>
      <c r="BW557" s="65" t="n">
        <v>0</v>
      </c>
      <c r="BX557" s="65" t="n">
        <v>557</v>
      </c>
      <c r="BY557" s="60" t="str">
        <f aca="false">IF(U557&lt;&gt;"",UPPER(TRIM(U557)),IF(CB557=1,UPPER(VLOOKUP(T557,Parameter!$I$27:$K$29,2,0)),IF(P557="","LOSE",P557)))</f>
        <v>S71</v>
      </c>
      <c r="BZ557" s="62" t="n">
        <f aca="false">IF(BY557="LOSE",1,IF(N(V557)&gt;0,V557,IF(CB557=1,MAX(1,N(VLOOKUP(T557,Parameter!$I$27:$K$29,3,0)),H557,N(N557)),IF(N(Q557)&gt;0,Q557,MAX(1,H557)))))</f>
        <v>48</v>
      </c>
      <c r="CA557" s="65" t="n">
        <f aca="false">IF(BY557="LOSE",1,0)</f>
        <v>0</v>
      </c>
      <c r="CB557" s="65" t="n">
        <f aca="false">IF(AND(U557="",OR(P557="",P557="LOSE"),T557&lt;&gt;"",N(S557)&lt;=0,ISNUMBER(MATCH(T557,Parameter!$I$27:$I$29,0))),1,0)</f>
        <v>0</v>
      </c>
      <c r="CC557" s="65" t="n">
        <f aca="false">IF(CR557&gt;0,INDEX(Parameter!$H$5:$H$7,W557)/INDEX(Parameter!$E$5:$E$7,W557),IF(AND(CA557=0,N(IFERROR(VLOOKUP(BY557,'Gebinde-Kategorie'!$A$5:$N$45,14,0),0))&gt;0),VLOOKUP(BY557,'Gebinde-Kategorie'!$A$5:$N$45,14,0)*10+Parameter!$M$23,Parameter!$M$24))</f>
        <v>235</v>
      </c>
      <c r="CD557" s="60" t="str">
        <f aca="false">IF(AND(Parameter!$B$19="Ja",E557&lt;&gt;"",ISNUMBER(MATCH(E557,Parameter!$I$35:$I$52,0))),VLOOKUP(E557,Parameter!$I$35:$J$52,2,0),IFERROR(VLOOKUP(D557,Parameter!$A$35:$C$64,2,0),"Nein"))</f>
        <v>2+3</v>
      </c>
      <c r="CE557" s="64" t="n">
        <f aca="false">IF(CA557=0,0,IF(N(S557)&gt;0,S557,IFERROR(VLOOKUP(D557,Parameter!$A$35:$C$64,3,0)+0,0)))</f>
        <v>0</v>
      </c>
      <c r="CF557" s="60" t="n">
        <f aca="false">IF(AB557&lt;&gt;"",AB557,AA557)</f>
        <v>2</v>
      </c>
      <c r="CG557" s="60" t="str">
        <f aca="false">IF(OR(CF557=1,CF557=2,CF557=3),IF(Parameter!$E$27="Ja","LIFT",IF(CF557=1,"L1","L23")),IF(CF557="Aussen","Aussen","-"))</f>
        <v>LIFT</v>
      </c>
      <c r="CH557" s="71" t="n">
        <f aca="false">IF(N(AC557)&gt;0,AC557,0)</f>
        <v>0</v>
      </c>
      <c r="CI557" s="65" t="n">
        <f aca="false">IF(ISNUMBER(AF557),1,0)</f>
        <v>0</v>
      </c>
      <c r="CJ557" s="62" t="n">
        <f aca="false">N(AF557)</f>
        <v>0</v>
      </c>
      <c r="CK557" s="62" t="n">
        <f aca="false">N(M557)+N(N557)</f>
        <v>28</v>
      </c>
      <c r="CL557" s="62" t="n">
        <f aca="false">N(M557)</f>
        <v>3</v>
      </c>
      <c r="CM557" s="62" t="n">
        <f aca="false">N(N557)</f>
        <v>25</v>
      </c>
      <c r="CN557" s="62" t="n">
        <f aca="false">ROUNDUP(H557/BZ557,0)</f>
        <v>1</v>
      </c>
      <c r="CO557" s="62" t="n">
        <f aca="false">ROUNDUP(CJ557/BZ557,0)</f>
        <v>0</v>
      </c>
      <c r="CP557" s="65" t="n">
        <f aca="false">IF(CA557=1,0,IFERROR(VLOOKUP(BY557,'Gebinde-Kategorie'!$A$5:$N$45,5,0)+0,0))</f>
        <v>20</v>
      </c>
      <c r="CQ557" s="65" t="n">
        <f aca="false">IFERROR(IF(OR(CF557=1,CF557=2,CF557=3),N(INDEX(Parameter!$I$5:$I$7,CF557)),0),0)</f>
        <v>0</v>
      </c>
      <c r="CR557" s="64" t="n">
        <f aca="false">IF(AND(Parameter!$B$21="Ja",ISNUMBER(W557),N(X557)&gt;0),IFERROR(N(INDEX(Parameter!$L$5:$L$7,W557))*INDEX(Parameter!$E$5:$E$7,W557)*X557/SUMIFS($X$7:$X$1843,$W$7:$W$1843,W557),0),0)</f>
        <v>0</v>
      </c>
      <c r="CS557" s="62" t="n">
        <f aca="false">IF(AND(OR(CG557="L1",CG557="L23",CG557="LIFT"),H557&gt;0),CC557*IF(CR557&gt;0,CR557*MAX(1,H557/X557),IF(CA557=1,CE557,IF(R557&gt;0,CN557/R557,0))/MAX(0.1,N(Parameter!$M$21))),"")</f>
        <v>39.1666666666667</v>
      </c>
      <c r="CT557" s="64" t="n">
        <f aca="false">IF(CS557="","",J557/H557)</f>
        <v>0.75</v>
      </c>
      <c r="CU557" s="62" t="n">
        <f aca="false">IF(CS557="","",H557*G557)</f>
        <v>138.56</v>
      </c>
      <c r="CV557" s="63" t="n">
        <f aca="false">IF(CS557="","",(CL557+ROUNDUP(CL557+MAX(CM557,2*(J557/MAX(0.1,N(Einkauf!$C$6))-CL557)),0))/2)</f>
        <v>15.5</v>
      </c>
      <c r="CW557" s="62" t="n">
        <f aca="false">IF(CS557="","",MAX(0,H557-CV557)*G557)</f>
        <v>71.445</v>
      </c>
      <c r="CX557" s="62" t="n">
        <f aca="false">IF(CS557="","",CS557*MAX(0,1-CV557/H557))</f>
        <v>20.1953125</v>
      </c>
      <c r="CY557" s="64" t="n">
        <f aca="false">IF(CS557="","",PERCENTRANK($CS$7:$CS$1843,CS557)+PERCENTRANK($CU$7:$CU$1843,CU557)+1-PERCENTRANK($CT$7:$CT$1843,CT557))</f>
        <v>1.549</v>
      </c>
      <c r="CZ557" s="72" t="n">
        <f aca="false">IF(CS557="","",CHOOSE(MATCH(Einkauf!$C$5,Parameter!$G$23:$G$27,0),CY557,CS557,CU557,-CT557,CW557)+ROW()/1000000000)</f>
        <v>1.549000557</v>
      </c>
    </row>
    <row r="558" customFormat="false" ht="15" hidden="false" customHeight="false" outlineLevel="0" collapsed="false">
      <c r="A558" s="60" t="s">
        <v>1228</v>
      </c>
      <c r="B558" s="60" t="s">
        <v>1229</v>
      </c>
      <c r="C558" s="60" t="s">
        <v>206</v>
      </c>
      <c r="D558" s="60" t="s">
        <v>226</v>
      </c>
      <c r="E558" s="60" t="s">
        <v>227</v>
      </c>
      <c r="F558" s="60" t="s">
        <v>260</v>
      </c>
      <c r="G558" s="61" t="n">
        <v>3</v>
      </c>
      <c r="H558" s="62" t="n">
        <f aca="false">MAX(0,IF(AND(Parameter!$B$21="Ja",ISNUMBER(Y558)),Y558,IF(Parameter!$B$20="Jahresanfang 2025 + Export",BS558+BR558,BR558)))</f>
        <v>10</v>
      </c>
      <c r="I558" s="62" t="n">
        <f aca="false">H558*G558</f>
        <v>30</v>
      </c>
      <c r="J558" s="62" t="n">
        <f aca="false">BU558*Parameter!$B$18</f>
        <v>0</v>
      </c>
      <c r="K558" s="63" t="n">
        <v>8.5</v>
      </c>
      <c r="L558" s="64" t="n">
        <v>0</v>
      </c>
      <c r="M558" s="62" t="n">
        <v>0</v>
      </c>
      <c r="N558" s="62" t="n">
        <v>1</v>
      </c>
      <c r="O558" s="65" t="n">
        <v>28</v>
      </c>
      <c r="P558" s="60" t="s">
        <v>443</v>
      </c>
      <c r="Q558" s="62" t="n">
        <v>10</v>
      </c>
      <c r="R558" s="65" t="n">
        <f aca="false">IF(CA558=1,0,IFERROR(VLOOKUP(BY558,'Gebinde-Kategorie'!$A$5:$N$45,13,0)+0,0))</f>
        <v>280</v>
      </c>
      <c r="S558" s="66"/>
      <c r="T558" s="67"/>
      <c r="U558" s="67"/>
      <c r="V558" s="67"/>
      <c r="W558" s="60"/>
      <c r="X558" s="62"/>
      <c r="Y558" s="62"/>
      <c r="Z558" s="60" t="n">
        <v>3</v>
      </c>
      <c r="AA558" s="60" t="n">
        <f aca="false">IF(A558="","",IF(AND(Parameter!$B$21="Ja",ISNUMBER(W558)),W558,IF(AND(Parameter!$E$27="Ja",ISNUMBER(Z558),CD558&lt;&gt;"Nein"),Z558,IF(CD558="2+3",IF(ISNUMBER(SEARCH("grosser Artikel",BV558)),2,IFERROR(VLOOKUP(BY558,Parameter!$F$35:$G$64,2,0),2)),IF(OR(CD558="Nein",CD558=""),"-",CD558)))))</f>
        <v>3</v>
      </c>
      <c r="AB558" s="67"/>
      <c r="AC558" s="68"/>
      <c r="AD558" s="62" t="n">
        <f aca="false">AW558</f>
        <v>1</v>
      </c>
      <c r="AE558" s="62" t="n">
        <f aca="false">MAX(AW558,H558)</f>
        <v>10</v>
      </c>
      <c r="AF558" s="69"/>
      <c r="AG558" s="62" t="n">
        <f aca="false">IF(LEFT(Cockpit!$C$5,1)="A",H558,IF(Parameter!$E$30="MAX-Bestand",IF(CI558=1,CJ558,IF(LEFT(Cockpit!$C$5,1)="B",AM558,MAX(AM558,H558))),ROUNDUP(AK558,0)))</f>
        <v>10</v>
      </c>
      <c r="AH558" s="62" t="n">
        <f aca="false">IF(CA558=1,0,ROUNDUP(AG558/BZ558,0))</f>
        <v>1</v>
      </c>
      <c r="AI558" s="64" t="n">
        <f aca="false">IF(CR558&gt;0,CR558*MAX(1,AG558/X558),IF(CA558=1,IF(AG558&lt;=0,0,CE558*MAX(1,IF(H558&gt;0,AG558/H558,1))),IF(R558&gt;0,AH558/R558,0))/MAX(0.1,N(Parameter!$M$21)))</f>
        <v>0.00357142857142857</v>
      </c>
      <c r="AJ558" s="62" t="n">
        <f aca="false">AI558*CC558</f>
        <v>0.553571428571429</v>
      </c>
      <c r="AK558" s="63" t="n">
        <f aca="false">IF(LEFT(Cockpit!$C$5,1)="A",H558,IF(CI558=1,(CL558+CJ558)/2,IF(LEFT(Cockpit!$C$5,1)="B",(CL558+AM558)/2,MAX((CL558+AM558)/2,H558))))</f>
        <v>10</v>
      </c>
      <c r="AL558" s="62" t="n">
        <f aca="false">AK558*G558</f>
        <v>30</v>
      </c>
      <c r="AM558" s="62" t="n">
        <f aca="false">ROUNDUP(CL558+MAX(CM558,2*(J558/IF(CH558&gt;0,CH558,MAX(0.1,N(Cockpit!$C$6)))-CL558)),0)</f>
        <v>1</v>
      </c>
      <c r="AN558" s="63" t="n">
        <f aca="false">IF(AJ558&gt;0,J558/AJ558,-1)</f>
        <v>0</v>
      </c>
      <c r="AO558" s="63" t="n">
        <f aca="false">IF(AND(OR(CG558="L1",CG558="L23",CG558="LIFT"),AJ558&gt;0),SUMIFS($AJ$7:$AJ$1843,$CG$7:$CG$1843,CG558,$AN$7:$AN$1843,"&gt;"&amp;AN558)+SUMIFS($AJ$7:$AJ$1843,$CG$7:$CG$1843,CG558,$AN$7:$AN$1843,AN558,$BX$7:$BX$1843,"&lt;="&amp;BX558),"")</f>
        <v>28397.6292890255</v>
      </c>
      <c r="AP558" s="70" t="n">
        <f aca="false">IF(AO558="",0,MAX(0,MIN(1,(IF(CG558="L1",Parameter!$H$5,IF(CG558="L23",Parameter!$H$6+Parameter!$H$7,Parameter!$H$5+Parameter!$H$6+Parameter!$H$7))-(AO558-AJ558))/AJ558)))</f>
        <v>1</v>
      </c>
      <c r="AQ558" s="62" t="n">
        <f aca="false">IF(LEFT(Cockpit!$I$5,1)="A",H558,IF(Parameter!$E$30="MAX-Bestand",IF(CI558=1,CJ558,IF(LEFT(Cockpit!$I$5,1)="B",AW558,MAX(AW558,H558))),ROUNDUP(AU558,0)))</f>
        <v>10</v>
      </c>
      <c r="AR558" s="62" t="n">
        <f aca="false">IF(CA558=1,0,ROUNDUP(AQ558/BZ558,0))</f>
        <v>1</v>
      </c>
      <c r="AS558" s="64" t="n">
        <f aca="false">IF(CR558&gt;0,CR558*MAX(1,AQ558/X558),IF(CA558=1,IF(AQ558&lt;=0,0,CE558*MAX(1,IF(H558&gt;0,AQ558/H558,1))),IF(R558&gt;0,AR558/R558,0))/MAX(0.1,N(Parameter!$M$21)))</f>
        <v>0.00357142857142857</v>
      </c>
      <c r="AT558" s="62" t="n">
        <f aca="false">AS558*CC558</f>
        <v>0.553571428571429</v>
      </c>
      <c r="AU558" s="63" t="n">
        <f aca="false">IF(LEFT(Cockpit!$I$5,1)="A",H558,IF(CI558=1,(CL558+CJ558)/2,IF(LEFT(Cockpit!$I$5,1)="B",(CL558+AW558)/2,MAX((CL558+AW558)/2,H558))))</f>
        <v>10</v>
      </c>
      <c r="AV558" s="62" t="n">
        <f aca="false">AU558*G558</f>
        <v>30</v>
      </c>
      <c r="AW558" s="62" t="n">
        <f aca="false">ROUNDUP(CL558+MAX(CM558,2*(J558/IF(CH558&gt;0,CH558,MAX(0.1,N(Cockpit!$I$6)))-CL558)),0)</f>
        <v>1</v>
      </c>
      <c r="AX558" s="63" t="n">
        <f aca="false">IF(AT558&gt;0,J558/AT558,-1)</f>
        <v>0</v>
      </c>
      <c r="AY558" s="63" t="n">
        <f aca="false">IF(AND(OR(CG558="L1",CG558="L23",CG558="LIFT"),AT558&gt;0),SUMIFS($AT$7:$AT$1843,$CG$7:$CG$1843,CG558,$AX$7:$AX$1843,"&gt;"&amp;AX558)+SUMIFS($AT$7:$AT$1843,$CG$7:$CG$1843,CG558,$AX$7:$AX$1843,AX558,$BX$7:$BX$1843,"&lt;="&amp;BX558),"")</f>
        <v>33750.7779304029</v>
      </c>
      <c r="AZ558" s="70" t="n">
        <f aca="false">IF(AY558="",0,MAX(0,MIN(1,(IF(CG558="L1",Parameter!$H$5,IF(CG558="L23",Parameter!$H$6+Parameter!$H$7,Parameter!$H$5+Parameter!$H$6+Parameter!$H$7))-(AY558-AT558))/AT558)))</f>
        <v>1</v>
      </c>
      <c r="BA558" s="62" t="n">
        <f aca="false">IF(LEFT(Cockpit!$O$5,1)="A",H558,IF(Parameter!$E$30="MAX-Bestand",IF(CI558=1,CJ558,IF(LEFT(Cockpit!$O$5,1)="B",BG558,MAX(BG558,H558))),ROUNDUP(BE558,0)))</f>
        <v>1</v>
      </c>
      <c r="BB558" s="62" t="n">
        <f aca="false">IF(CA558=1,0,ROUNDUP(BA558/BZ558,0))</f>
        <v>1</v>
      </c>
      <c r="BC558" s="64" t="n">
        <f aca="false">IF(CR558&gt;0,CR558*MAX(1,BA558/X558),IF(CA558=1,IF(BA558&lt;=0,0,CE558*MAX(1,IF(H558&gt;0,BA558/H558,1))),IF(R558&gt;0,BB558/R558,0))/MAX(0.1,N(Parameter!$M$21)))</f>
        <v>0.00357142857142857</v>
      </c>
      <c r="BD558" s="62" t="n">
        <f aca="false">BC558*CC558</f>
        <v>0.553571428571429</v>
      </c>
      <c r="BE558" s="63" t="n">
        <f aca="false">IF(LEFT(Cockpit!$O$5,1)="A",H558,IF(CI558=1,(CL558+CJ558)/2,IF(LEFT(Cockpit!$O$5,1)="B",(CL558+BG558)/2,MAX((CL558+BG558)/2,H558))))</f>
        <v>0.5</v>
      </c>
      <c r="BF558" s="62" t="n">
        <f aca="false">BE558*G558</f>
        <v>1.5</v>
      </c>
      <c r="BG558" s="62" t="n">
        <f aca="false">ROUNDUP(CL558+MAX(CM558,2*(J558/IF(CH558&gt;0,CH558,MAX(0.1,N(Cockpit!$O$6)))-CL558)),0)</f>
        <v>1</v>
      </c>
      <c r="BH558" s="63" t="n">
        <f aca="false">IF(BD558&gt;0,J558/BD558,-1)</f>
        <v>0</v>
      </c>
      <c r="BI558" s="63" t="n">
        <f aca="false">IF(AND(OR(CG558="L1",CG558="L23",CG558="LIFT"),BD558&gt;0),SUMIFS($BD$7:$BD$1843,$CG$7:$CG$1843,CG558,$BH$7:$BH$1843,"&gt;"&amp;BH558)+SUMIFS($BD$7:$BD$1843,$CG$7:$CG$1843,CG558,$BH$7:$BH$1843,BH558,$BX$7:$BX$1843,"&lt;="&amp;BX558),"")</f>
        <v>27829.2146271807</v>
      </c>
      <c r="BJ558" s="70" t="n">
        <f aca="false">IF(BI558="",0,MAX(0,MIN(1,(IF(CG558="L1",Parameter!$H$5,IF(CG558="L23",Parameter!$H$6+Parameter!$H$7,Parameter!$H$5+Parameter!$H$6+Parameter!$H$7))-(BI558-BD558))/BD558)))</f>
        <v>1</v>
      </c>
      <c r="BK558" s="60" t="str">
        <f aca="false">IF(AJ558&lt;=0,"",IF(CG558="Aussen","Aussenlager",IF(CG558="-","Nicht im Lift",IF(AP558&gt;=1,"Lift",IF(AP558&lt;=0,"Aussenlager","teilweise")))))</f>
        <v>Lift</v>
      </c>
      <c r="BL558" s="60" t="str">
        <f aca="false">IF(AT558&lt;=0,"",IF(CG558="Aussen","Aussenlager",IF(CG558="-","Nicht im Lift",IF(AZ558&gt;=1,"Lift",IF(AZ558&lt;=0,"Aussenlager","teilweise")))))</f>
        <v>Lift</v>
      </c>
      <c r="BM558" s="60" t="str">
        <f aca="false">IF(BD558&lt;=0,"",IF(CG558="Aussen","Aussenlager",IF(CG558="-","Nicht im Lift",IF(BJ558&gt;=1,"Lift",IF(BJ558&lt;=0,"Aussenlager","teilweise")))))</f>
        <v>Lift</v>
      </c>
      <c r="BN558" s="60" t="str">
        <f aca="false">IF(A558="","",IF(BW558=1,"Neu; ","")&amp;IF(AND(BW558=0,BR558&lt;0),"negativer Bestand (Export "&amp;BR558&amp;"); ","")&amp;IF(J558&lt;=0,"Kein Verbrauch; ","")&amp;IF(CR558&gt;0,"Lift "&amp;W558&amp;" lt. Liftbericht (Fach "&amp;X558&amp;" Stk); ",IF(CB558=1,"Gebinde geschätzt ("&amp;T558&amp;"); ",IF(CA558=1,"Lose – Tablare geschätzt; ","")))&amp;IF(H558&gt;AW558,"Überbestand "&amp;ROUND(H558-AW558,0)&amp;" Stk / CHF "&amp;ROUND((H558-AW558)*G558,0)&amp;"; ","")&amp;IF(AND(CI558=1,CJ558&lt;CK558),"MAX &lt; MB+LG; ","")&amp;IF(AND(CQ558&gt;0,CP558*10&gt;CQ558),"zu hoch für Tablar; ","")&amp;IF(AND(BW558=0,OR(CI558=1,AB558&lt;&gt;"",U558&lt;&gt;"",V558&lt;&gt;"",AC558&lt;&gt;"")),"manuell übersteuert; ","")&amp;IF(AND(CA558=0,R558=0),"Gebinde unbekannt / Stellmass fehlt; ","")&amp;IF(AND(CA558=0,N(V558)&lt;=0,N(Q558)&lt;=0),"Menge pro Gebinde fehlt (Ist = 1 Gebinde); ","")&amp;BV558)</f>
        <v>Kein Verbrauch; Überbestand 9 Stk / CHF 27; </v>
      </c>
      <c r="BO558" s="60"/>
      <c r="BP558" s="60"/>
      <c r="BQ558" s="67"/>
      <c r="BR558" s="62" t="n">
        <v>3</v>
      </c>
      <c r="BS558" s="62" t="n">
        <v>7</v>
      </c>
      <c r="BT558" s="61" t="n">
        <v>14.6</v>
      </c>
      <c r="BU558" s="62" t="n">
        <v>0</v>
      </c>
      <c r="BV558" s="60"/>
      <c r="BW558" s="65" t="n">
        <v>0</v>
      </c>
      <c r="BX558" s="65" t="n">
        <v>558</v>
      </c>
      <c r="BY558" s="60" t="str">
        <f aca="false">IF(U558&lt;&gt;"",UPPER(TRIM(U558)),IF(CB558=1,UPPER(VLOOKUP(T558,Parameter!$I$27:$K$29,2,0)),IF(P558="","LOSE",P558)))</f>
        <v>S21</v>
      </c>
      <c r="BZ558" s="62" t="n">
        <f aca="false">IF(BY558="LOSE",1,IF(N(V558)&gt;0,V558,IF(CB558=1,MAX(1,N(VLOOKUP(T558,Parameter!$I$27:$K$29,3,0)),H558,N(N558)),IF(N(Q558)&gt;0,Q558,MAX(1,H558)))))</f>
        <v>10</v>
      </c>
      <c r="CA558" s="65" t="n">
        <f aca="false">IF(BY558="LOSE",1,0)</f>
        <v>0</v>
      </c>
      <c r="CB558" s="65" t="n">
        <f aca="false">IF(AND(U558="",OR(P558="",P558="LOSE"),T558&lt;&gt;"",N(S558)&lt;=0,ISNUMBER(MATCH(T558,Parameter!$I$27:$I$29,0))),1,0)</f>
        <v>0</v>
      </c>
      <c r="CC558" s="65" t="n">
        <f aca="false">IF(CR558&gt;0,INDEX(Parameter!$H$5:$H$7,W558)/INDEX(Parameter!$E$5:$E$7,W558),IF(AND(CA558=0,N(IFERROR(VLOOKUP(BY558,'Gebinde-Kategorie'!$A$5:$N$45,14,0),0))&gt;0),VLOOKUP(BY558,'Gebinde-Kategorie'!$A$5:$N$45,14,0)*10+Parameter!$M$23,Parameter!$M$24))</f>
        <v>155</v>
      </c>
      <c r="CD558" s="60" t="str">
        <f aca="false">IF(AND(Parameter!$B$19="Ja",E558&lt;&gt;"",ISNUMBER(MATCH(E558,Parameter!$I$35:$I$52,0))),VLOOKUP(E558,Parameter!$I$35:$J$52,2,0),IFERROR(VLOOKUP(D558,Parameter!$A$35:$C$64,2,0),"Nein"))</f>
        <v>2+3</v>
      </c>
      <c r="CE558" s="64" t="n">
        <f aca="false">IF(CA558=0,0,IF(N(S558)&gt;0,S558,IFERROR(VLOOKUP(D558,Parameter!$A$35:$C$64,3,0)+0,0)))</f>
        <v>0</v>
      </c>
      <c r="CF558" s="60" t="n">
        <f aca="false">IF(AB558&lt;&gt;"",AB558,AA558)</f>
        <v>3</v>
      </c>
      <c r="CG558" s="60" t="str">
        <f aca="false">IF(OR(CF558=1,CF558=2,CF558=3),IF(Parameter!$E$27="Ja","LIFT",IF(CF558=1,"L1","L23")),IF(CF558="Aussen","Aussen","-"))</f>
        <v>LIFT</v>
      </c>
      <c r="CH558" s="71" t="n">
        <f aca="false">IF(N(AC558)&gt;0,AC558,0)</f>
        <v>0</v>
      </c>
      <c r="CI558" s="65" t="n">
        <f aca="false">IF(ISNUMBER(AF558),1,0)</f>
        <v>0</v>
      </c>
      <c r="CJ558" s="62" t="n">
        <f aca="false">N(AF558)</f>
        <v>0</v>
      </c>
      <c r="CK558" s="62" t="n">
        <f aca="false">N(M558)+N(N558)</f>
        <v>1</v>
      </c>
      <c r="CL558" s="62" t="n">
        <f aca="false">N(M558)</f>
        <v>0</v>
      </c>
      <c r="CM558" s="62" t="n">
        <f aca="false">N(N558)</f>
        <v>1</v>
      </c>
      <c r="CN558" s="62" t="n">
        <f aca="false">ROUNDUP(H558/BZ558,0)</f>
        <v>1</v>
      </c>
      <c r="CO558" s="62" t="n">
        <f aca="false">ROUNDUP(CJ558/BZ558,0)</f>
        <v>0</v>
      </c>
      <c r="CP558" s="65" t="n">
        <f aca="false">IF(CA558=1,0,IFERROR(VLOOKUP(BY558,'Gebinde-Kategorie'!$A$5:$N$45,5,0)+0,0))</f>
        <v>8</v>
      </c>
      <c r="CQ558" s="65" t="n">
        <f aca="false">IFERROR(IF(OR(CF558=1,CF558=2,CF558=3),N(INDEX(Parameter!$I$5:$I$7,CF558)),0),0)</f>
        <v>0</v>
      </c>
      <c r="CR558" s="64" t="n">
        <f aca="false">IF(AND(Parameter!$B$21="Ja",ISNUMBER(W558),N(X558)&gt;0),IFERROR(N(INDEX(Parameter!$L$5:$L$7,W558))*INDEX(Parameter!$E$5:$E$7,W558)*X558/SUMIFS($X$7:$X$1843,$W$7:$W$1843,W558),0),0)</f>
        <v>0</v>
      </c>
      <c r="CS558" s="62" t="n">
        <f aca="false">IF(AND(OR(CG558="L1",CG558="L23",CG558="LIFT"),H558&gt;0),CC558*IF(CR558&gt;0,CR558*MAX(1,H558/X558),IF(CA558=1,CE558,IF(R558&gt;0,CN558/R558,0))/MAX(0.1,N(Parameter!$M$21))),"")</f>
        <v>0.553571428571429</v>
      </c>
      <c r="CT558" s="64" t="n">
        <f aca="false">IF(CS558="","",J558/H558)</f>
        <v>0</v>
      </c>
      <c r="CU558" s="62" t="n">
        <f aca="false">IF(CS558="","",H558*G558)</f>
        <v>30</v>
      </c>
      <c r="CV558" s="63" t="n">
        <f aca="false">IF(CS558="","",(CL558+ROUNDUP(CL558+MAX(CM558,2*(J558/MAX(0.1,N(Einkauf!$C$6))-CL558)),0))/2)</f>
        <v>0.5</v>
      </c>
      <c r="CW558" s="62" t="n">
        <f aca="false">IF(CS558="","",MAX(0,H558-CV558)*G558)</f>
        <v>28.5</v>
      </c>
      <c r="CX558" s="62" t="n">
        <f aca="false">IF(CS558="","",CS558*MAX(0,1-CV558/H558))</f>
        <v>0.525892857142857</v>
      </c>
      <c r="CY558" s="64" t="n">
        <f aca="false">IF(CS558="","",PERCENTRANK($CS$7:$CS$1843,CS558)+PERCENTRANK($CU$7:$CU$1843,CU558)+1-PERCENTRANK($CT$7:$CT$1843,CT558))</f>
        <v>1.113</v>
      </c>
      <c r="CZ558" s="72" t="n">
        <f aca="false">IF(CS558="","",CHOOSE(MATCH(Einkauf!$C$5,Parameter!$G$23:$G$27,0),CY558,CS558,CU558,-CT558,CW558)+ROW()/1000000000)</f>
        <v>1.113000558</v>
      </c>
    </row>
    <row r="559" customFormat="false" ht="15" hidden="false" customHeight="false" outlineLevel="0" collapsed="false">
      <c r="A559" s="60" t="s">
        <v>1230</v>
      </c>
      <c r="B559" s="60" t="s">
        <v>1231</v>
      </c>
      <c r="C559" s="60" t="s">
        <v>206</v>
      </c>
      <c r="D559" s="60" t="s">
        <v>226</v>
      </c>
      <c r="E559" s="60" t="s">
        <v>227</v>
      </c>
      <c r="F559" s="60" t="s">
        <v>260</v>
      </c>
      <c r="G559" s="61" t="n">
        <v>0.11</v>
      </c>
      <c r="H559" s="62" t="n">
        <f aca="false">MAX(0,IF(AND(Parameter!$B$21="Ja",ISNUMBER(Y559)),Y559,IF(Parameter!$B$20="Jahresanfang 2025 + Export",BS559+BR559,BR559)))</f>
        <v>555</v>
      </c>
      <c r="I559" s="62" t="n">
        <f aca="false">H559*G559</f>
        <v>61.05</v>
      </c>
      <c r="J559" s="62" t="n">
        <f aca="false">BU559*Parameter!$B$18</f>
        <v>2</v>
      </c>
      <c r="K559" s="63" t="n">
        <v>457</v>
      </c>
      <c r="L559" s="64" t="n">
        <v>0.00437636761487965</v>
      </c>
      <c r="M559" s="62" t="n">
        <v>0</v>
      </c>
      <c r="N559" s="62" t="n">
        <v>1</v>
      </c>
      <c r="O559" s="65" t="n">
        <v>21</v>
      </c>
      <c r="P559" s="60" t="s">
        <v>463</v>
      </c>
      <c r="Q559" s="62" t="n">
        <v>451</v>
      </c>
      <c r="R559" s="65" t="n">
        <f aca="false">IF(CA559=1,0,IFERROR(VLOOKUP(BY559,'Gebinde-Kategorie'!$A$5:$N$45,13,0)+0,0))</f>
        <v>104</v>
      </c>
      <c r="S559" s="66"/>
      <c r="T559" s="67"/>
      <c r="U559" s="67"/>
      <c r="V559" s="67"/>
      <c r="W559" s="60"/>
      <c r="X559" s="62"/>
      <c r="Y559" s="62"/>
      <c r="Z559" s="60" t="n">
        <v>3</v>
      </c>
      <c r="AA559" s="60" t="n">
        <f aca="false">IF(A559="","",IF(AND(Parameter!$B$21="Ja",ISNUMBER(W559)),W559,IF(AND(Parameter!$E$27="Ja",ISNUMBER(Z559),CD559&lt;&gt;"Nein"),Z559,IF(CD559="2+3",IF(ISNUMBER(SEARCH("grosser Artikel",BV559)),2,IFERROR(VLOOKUP(BY559,Parameter!$F$35:$G$64,2,0),2)),IF(OR(CD559="Nein",CD559=""),"-",CD559)))))</f>
        <v>3</v>
      </c>
      <c r="AB559" s="67"/>
      <c r="AC559" s="68"/>
      <c r="AD559" s="62" t="n">
        <f aca="false">AW559</f>
        <v>2</v>
      </c>
      <c r="AE559" s="62" t="n">
        <f aca="false">MAX(AW559,H559)</f>
        <v>555</v>
      </c>
      <c r="AF559" s="69"/>
      <c r="AG559" s="62" t="n">
        <f aca="false">IF(LEFT(Cockpit!$C$5,1)="A",H559,IF(Parameter!$E$30="MAX-Bestand",IF(CI559=1,CJ559,IF(LEFT(Cockpit!$C$5,1)="B",AM559,MAX(AM559,H559))),ROUNDUP(AK559,0)))</f>
        <v>555</v>
      </c>
      <c r="AH559" s="62" t="n">
        <f aca="false">IF(CA559=1,0,ROUNDUP(AG559/BZ559,0))</f>
        <v>2</v>
      </c>
      <c r="AI559" s="64" t="n">
        <f aca="false">IF(CR559&gt;0,CR559*MAX(1,AG559/X559),IF(CA559=1,IF(AG559&lt;=0,0,CE559*MAX(1,IF(H559&gt;0,AG559/H559,1))),IF(R559&gt;0,AH559/R559,0))/MAX(0.1,N(Parameter!$M$21)))</f>
        <v>0.0192307692307692</v>
      </c>
      <c r="AJ559" s="62" t="n">
        <f aca="false">AI559*CC559</f>
        <v>2.98076923076923</v>
      </c>
      <c r="AK559" s="63" t="n">
        <f aca="false">IF(LEFT(Cockpit!$C$5,1)="A",H559,IF(CI559=1,(CL559+CJ559)/2,IF(LEFT(Cockpit!$C$5,1)="B",(CL559+AM559)/2,MAX((CL559+AM559)/2,H559))))</f>
        <v>555</v>
      </c>
      <c r="AL559" s="62" t="n">
        <f aca="false">AK559*G559</f>
        <v>61.05</v>
      </c>
      <c r="AM559" s="62" t="n">
        <f aca="false">ROUNDUP(CL559+MAX(CM559,2*(J559/IF(CH559&gt;0,CH559,MAX(0.1,N(Cockpit!$C$6)))-CL559)),0)</f>
        <v>2</v>
      </c>
      <c r="AN559" s="63" t="n">
        <f aca="false">IF(AJ559&gt;0,J559/AJ559,-1)</f>
        <v>0.670967741935484</v>
      </c>
      <c r="AO559" s="63" t="n">
        <f aca="false">IF(AND(OR(CG559="L1",CG559="L23",CG559="LIFT"),AJ559&gt;0),SUMIFS($AJ$7:$AJ$1843,$CG$7:$CG$1843,CG559,$AN$7:$AN$1843,"&gt;"&amp;AN559)+SUMIFS($AJ$7:$AJ$1843,$CG$7:$CG$1843,CG559,$AN$7:$AN$1843,AN559,$BX$7:$BX$1843,"&lt;="&amp;BX559),"")</f>
        <v>8617.60256410256</v>
      </c>
      <c r="AP559" s="70" t="n">
        <f aca="false">IF(AO559="",0,MAX(0,MIN(1,(IF(CG559="L1",Parameter!$H$5,IF(CG559="L23",Parameter!$H$6+Parameter!$H$7,Parameter!$H$5+Parameter!$H$6+Parameter!$H$7))-(AO559-AJ559))/AJ559)))</f>
        <v>1</v>
      </c>
      <c r="AQ559" s="62" t="n">
        <f aca="false">IF(LEFT(Cockpit!$I$5,1)="A",H559,IF(Parameter!$E$30="MAX-Bestand",IF(CI559=1,CJ559,IF(LEFT(Cockpit!$I$5,1)="B",AW559,MAX(AW559,H559))),ROUNDUP(AU559,0)))</f>
        <v>555</v>
      </c>
      <c r="AR559" s="62" t="n">
        <f aca="false">IF(CA559=1,0,ROUNDUP(AQ559/BZ559,0))</f>
        <v>2</v>
      </c>
      <c r="AS559" s="64" t="n">
        <f aca="false">IF(CR559&gt;0,CR559*MAX(1,AQ559/X559),IF(CA559=1,IF(AQ559&lt;=0,0,CE559*MAX(1,IF(H559&gt;0,AQ559/H559,1))),IF(R559&gt;0,AR559/R559,0))/MAX(0.1,N(Parameter!$M$21)))</f>
        <v>0.0192307692307692</v>
      </c>
      <c r="AT559" s="62" t="n">
        <f aca="false">AS559*CC559</f>
        <v>2.98076923076923</v>
      </c>
      <c r="AU559" s="63" t="n">
        <f aca="false">IF(LEFT(Cockpit!$I$5,1)="A",H559,IF(CI559=1,(CL559+CJ559)/2,IF(LEFT(Cockpit!$I$5,1)="B",(CL559+AW559)/2,MAX((CL559+AW559)/2,H559))))</f>
        <v>555</v>
      </c>
      <c r="AV559" s="62" t="n">
        <f aca="false">AU559*G559</f>
        <v>61.05</v>
      </c>
      <c r="AW559" s="62" t="n">
        <f aca="false">ROUNDUP(CL559+MAX(CM559,2*(J559/IF(CH559&gt;0,CH559,MAX(0.1,N(Cockpit!$I$6)))-CL559)),0)</f>
        <v>2</v>
      </c>
      <c r="AX559" s="63" t="n">
        <f aca="false">IF(AT559&gt;0,J559/AT559,-1)</f>
        <v>0.670967741935484</v>
      </c>
      <c r="AY559" s="63" t="n">
        <f aca="false">IF(AND(OR(CG559="L1",CG559="L23",CG559="LIFT"),AT559&gt;0),SUMIFS($AT$7:$AT$1843,$CG$7:$CG$1843,CG559,$AX$7:$AX$1843,"&gt;"&amp;AX559)+SUMIFS($AT$7:$AT$1843,$CG$7:$CG$1843,CG559,$AX$7:$AX$1843,AX559,$BX$7:$BX$1843,"&lt;="&amp;BX559),"")</f>
        <v>10901.3374542125</v>
      </c>
      <c r="AZ559" s="70" t="n">
        <f aca="false">IF(AY559="",0,MAX(0,MIN(1,(IF(CG559="L1",Parameter!$H$5,IF(CG559="L23",Parameter!$H$6+Parameter!$H$7,Parameter!$H$5+Parameter!$H$6+Parameter!$H$7))-(AY559-AT559))/AT559)))</f>
        <v>1</v>
      </c>
      <c r="BA559" s="62" t="n">
        <f aca="false">IF(LEFT(Cockpit!$O$5,1)="A",H559,IF(Parameter!$E$30="MAX-Bestand",IF(CI559=1,CJ559,IF(LEFT(Cockpit!$O$5,1)="B",BG559,MAX(BG559,H559))),ROUNDUP(BE559,0)))</f>
        <v>1</v>
      </c>
      <c r="BB559" s="62" t="n">
        <f aca="false">IF(CA559=1,0,ROUNDUP(BA559/BZ559,0))</f>
        <v>1</v>
      </c>
      <c r="BC559" s="64" t="n">
        <f aca="false">IF(CR559&gt;0,CR559*MAX(1,BA559/X559),IF(CA559=1,IF(BA559&lt;=0,0,CE559*MAX(1,IF(H559&gt;0,BA559/H559,1))),IF(R559&gt;0,BB559/R559,0))/MAX(0.1,N(Parameter!$M$21)))</f>
        <v>0.00961538461538462</v>
      </c>
      <c r="BD559" s="62" t="n">
        <f aca="false">BC559*CC559</f>
        <v>1.49038461538462</v>
      </c>
      <c r="BE559" s="63" t="n">
        <f aca="false">IF(LEFT(Cockpit!$O$5,1)="A",H559,IF(CI559=1,(CL559+CJ559)/2,IF(LEFT(Cockpit!$O$5,1)="B",(CL559+BG559)/2,MAX((CL559+BG559)/2,H559))))</f>
        <v>0.5</v>
      </c>
      <c r="BF559" s="62" t="n">
        <f aca="false">BE559*G559</f>
        <v>0.055</v>
      </c>
      <c r="BG559" s="62" t="n">
        <f aca="false">ROUNDUP(CL559+MAX(CM559,2*(J559/IF(CH559&gt;0,CH559,MAX(0.1,N(Cockpit!$O$6)))-CL559)),0)</f>
        <v>1</v>
      </c>
      <c r="BH559" s="63" t="n">
        <f aca="false">IF(BD559&gt;0,J559/BD559,-1)</f>
        <v>1.34193548387097</v>
      </c>
      <c r="BI559" s="63" t="n">
        <f aca="false">IF(AND(OR(CG559="L1",CG559="L23",CG559="LIFT"),BD559&gt;0),SUMIFS($BD$7:$BD$1843,$CG$7:$CG$1843,CG559,$BH$7:$BH$1843,"&gt;"&amp;BH559)+SUMIFS($BD$7:$BD$1843,$CG$7:$CG$1843,CG559,$BH$7:$BH$1843,BH559,$BX$7:$BX$1843,"&lt;="&amp;BX559),"")</f>
        <v>6783.60485347985</v>
      </c>
      <c r="BJ559" s="70" t="n">
        <f aca="false">IF(BI559="",0,MAX(0,MIN(1,(IF(CG559="L1",Parameter!$H$5,IF(CG559="L23",Parameter!$H$6+Parameter!$H$7,Parameter!$H$5+Parameter!$H$6+Parameter!$H$7))-(BI559-BD559))/BD559)))</f>
        <v>1</v>
      </c>
      <c r="BK559" s="60" t="str">
        <f aca="false">IF(AJ559&lt;=0,"",IF(CG559="Aussen","Aussenlager",IF(CG559="-","Nicht im Lift",IF(AP559&gt;=1,"Lift",IF(AP559&lt;=0,"Aussenlager","teilweise")))))</f>
        <v>Lift</v>
      </c>
      <c r="BL559" s="60" t="str">
        <f aca="false">IF(AT559&lt;=0,"",IF(CG559="Aussen","Aussenlager",IF(CG559="-","Nicht im Lift",IF(AZ559&gt;=1,"Lift",IF(AZ559&lt;=0,"Aussenlager","teilweise")))))</f>
        <v>Lift</v>
      </c>
      <c r="BM559" s="60" t="str">
        <f aca="false">IF(BD559&lt;=0,"",IF(CG559="Aussen","Aussenlager",IF(CG559="-","Nicht im Lift",IF(BJ559&gt;=1,"Lift",IF(BJ559&lt;=0,"Aussenlager","teilweise")))))</f>
        <v>Lift</v>
      </c>
      <c r="BN559" s="60" t="str">
        <f aca="false">IF(A559="","",IF(BW559=1,"Neu; ","")&amp;IF(AND(BW559=0,BR559&lt;0),"negativer Bestand (Export "&amp;BR559&amp;"); ","")&amp;IF(J559&lt;=0,"Kein Verbrauch; ","")&amp;IF(CR559&gt;0,"Lift "&amp;W559&amp;" lt. Liftbericht (Fach "&amp;X559&amp;" Stk); ",IF(CB559=1,"Gebinde geschätzt ("&amp;T559&amp;"); ",IF(CA559=1,"Lose – Tablare geschätzt; ","")))&amp;IF(H559&gt;AW559,"Überbestand "&amp;ROUND(H559-AW559,0)&amp;" Stk / CHF "&amp;ROUND((H559-AW559)*G559,0)&amp;"; ","")&amp;IF(AND(CI559=1,CJ559&lt;CK559),"MAX &lt; MB+LG; ","")&amp;IF(AND(CQ559&gt;0,CP559*10&gt;CQ559),"zu hoch für Tablar; ","")&amp;IF(AND(BW559=0,OR(CI559=1,AB559&lt;&gt;"",U559&lt;&gt;"",V559&lt;&gt;"",AC559&lt;&gt;"")),"manuell übersteuert; ","")&amp;IF(AND(CA559=0,R559=0),"Gebinde unbekannt / Stellmass fehlt; ","")&amp;IF(AND(CA559=0,N(V559)&lt;=0,N(Q559)&lt;=0),"Menge pro Gebinde fehlt (Ist = 1 Gebinde); ","")&amp;BV559)</f>
        <v>Überbestand 553 Stk / CHF 61; Handlager</v>
      </c>
      <c r="BO559" s="60"/>
      <c r="BP559" s="60"/>
      <c r="BQ559" s="67"/>
      <c r="BR559" s="62" t="n">
        <v>132</v>
      </c>
      <c r="BS559" s="62" t="n">
        <v>423</v>
      </c>
      <c r="BT559" s="61" t="n">
        <v>14.52</v>
      </c>
      <c r="BU559" s="62" t="n">
        <v>2</v>
      </c>
      <c r="BV559" s="60" t="s">
        <v>937</v>
      </c>
      <c r="BW559" s="65" t="n">
        <v>0</v>
      </c>
      <c r="BX559" s="65" t="n">
        <v>559</v>
      </c>
      <c r="BY559" s="60" t="str">
        <f aca="false">IF(U559&lt;&gt;"",UPPER(TRIM(U559)),IF(CB559=1,UPPER(VLOOKUP(T559,Parameter!$I$27:$K$29,2,0)),IF(P559="","LOSE",P559)))</f>
        <v>S32</v>
      </c>
      <c r="BZ559" s="62" t="n">
        <f aca="false">IF(BY559="LOSE",1,IF(N(V559)&gt;0,V559,IF(CB559=1,MAX(1,N(VLOOKUP(T559,Parameter!$I$27:$K$29,3,0)),H559,N(N559)),IF(N(Q559)&gt;0,Q559,MAX(1,H559)))))</f>
        <v>451</v>
      </c>
      <c r="CA559" s="65" t="n">
        <f aca="false">IF(BY559="LOSE",1,0)</f>
        <v>0</v>
      </c>
      <c r="CB559" s="65" t="n">
        <f aca="false">IF(AND(U559="",OR(P559="",P559="LOSE"),T559&lt;&gt;"",N(S559)&lt;=0,ISNUMBER(MATCH(T559,Parameter!$I$27:$I$29,0))),1,0)</f>
        <v>0</v>
      </c>
      <c r="CC559" s="65" t="n">
        <f aca="false">IF(CR559&gt;0,INDEX(Parameter!$H$5:$H$7,W559)/INDEX(Parameter!$E$5:$E$7,W559),IF(AND(CA559=0,N(IFERROR(VLOOKUP(BY559,'Gebinde-Kategorie'!$A$5:$N$45,14,0),0))&gt;0),VLOOKUP(BY559,'Gebinde-Kategorie'!$A$5:$N$45,14,0)*10+Parameter!$M$23,Parameter!$M$24))</f>
        <v>155</v>
      </c>
      <c r="CD559" s="60" t="str">
        <f aca="false">IF(AND(Parameter!$B$19="Ja",E559&lt;&gt;"",ISNUMBER(MATCH(E559,Parameter!$I$35:$I$52,0))),VLOOKUP(E559,Parameter!$I$35:$J$52,2,0),IFERROR(VLOOKUP(D559,Parameter!$A$35:$C$64,2,0),"Nein"))</f>
        <v>2+3</v>
      </c>
      <c r="CE559" s="64" t="n">
        <f aca="false">IF(CA559=0,0,IF(N(S559)&gt;0,S559,IFERROR(VLOOKUP(D559,Parameter!$A$35:$C$64,3,0)+0,0)))</f>
        <v>0</v>
      </c>
      <c r="CF559" s="60" t="n">
        <f aca="false">IF(AB559&lt;&gt;"",AB559,AA559)</f>
        <v>3</v>
      </c>
      <c r="CG559" s="60" t="str">
        <f aca="false">IF(OR(CF559=1,CF559=2,CF559=3),IF(Parameter!$E$27="Ja","LIFT",IF(CF559=1,"L1","L23")),IF(CF559="Aussen","Aussen","-"))</f>
        <v>LIFT</v>
      </c>
      <c r="CH559" s="71" t="n">
        <f aca="false">IF(N(AC559)&gt;0,AC559,0)</f>
        <v>0</v>
      </c>
      <c r="CI559" s="65" t="n">
        <f aca="false">IF(ISNUMBER(AF559),1,0)</f>
        <v>0</v>
      </c>
      <c r="CJ559" s="62" t="n">
        <f aca="false">N(AF559)</f>
        <v>0</v>
      </c>
      <c r="CK559" s="62" t="n">
        <f aca="false">N(M559)+N(N559)</f>
        <v>1</v>
      </c>
      <c r="CL559" s="62" t="n">
        <f aca="false">N(M559)</f>
        <v>0</v>
      </c>
      <c r="CM559" s="62" t="n">
        <f aca="false">N(N559)</f>
        <v>1</v>
      </c>
      <c r="CN559" s="62" t="n">
        <f aca="false">ROUNDUP(H559/BZ559,0)</f>
        <v>2</v>
      </c>
      <c r="CO559" s="62" t="n">
        <f aca="false">ROUNDUP(CJ559/BZ559,0)</f>
        <v>0</v>
      </c>
      <c r="CP559" s="65" t="n">
        <f aca="false">IF(CA559=1,0,IFERROR(VLOOKUP(BY559,'Gebinde-Kategorie'!$A$5:$N$45,5,0)+0,0))</f>
        <v>8</v>
      </c>
      <c r="CQ559" s="65" t="n">
        <f aca="false">IFERROR(IF(OR(CF559=1,CF559=2,CF559=3),N(INDEX(Parameter!$I$5:$I$7,CF559)),0),0)</f>
        <v>0</v>
      </c>
      <c r="CR559" s="64" t="n">
        <f aca="false">IF(AND(Parameter!$B$21="Ja",ISNUMBER(W559),N(X559)&gt;0),IFERROR(N(INDEX(Parameter!$L$5:$L$7,W559))*INDEX(Parameter!$E$5:$E$7,W559)*X559/SUMIFS($X$7:$X$1843,$W$7:$W$1843,W559),0),0)</f>
        <v>0</v>
      </c>
      <c r="CS559" s="62" t="n">
        <f aca="false">IF(AND(OR(CG559="L1",CG559="L23",CG559="LIFT"),H559&gt;0),CC559*IF(CR559&gt;0,CR559*MAX(1,H559/X559),IF(CA559=1,CE559,IF(R559&gt;0,CN559/R559,0))/MAX(0.1,N(Parameter!$M$21))),"")</f>
        <v>2.98076923076923</v>
      </c>
      <c r="CT559" s="64" t="n">
        <f aca="false">IF(CS559="","",J559/H559)</f>
        <v>0.0036036036036036</v>
      </c>
      <c r="CU559" s="62" t="n">
        <f aca="false">IF(CS559="","",H559*G559)</f>
        <v>61.05</v>
      </c>
      <c r="CV559" s="63" t="n">
        <f aca="false">IF(CS559="","",(CL559+ROUNDUP(CL559+MAX(CM559,2*(J559/MAX(0.1,N(Einkauf!$C$6))-CL559)),0))/2)</f>
        <v>0.5</v>
      </c>
      <c r="CW559" s="62" t="n">
        <f aca="false">IF(CS559="","",MAX(0,H559-CV559)*G559)</f>
        <v>60.995</v>
      </c>
      <c r="CX559" s="62" t="n">
        <f aca="false">IF(CS559="","",CS559*MAX(0,1-CV559/H559))</f>
        <v>2.97808385308385</v>
      </c>
      <c r="CY559" s="64" t="n">
        <f aca="false">IF(CS559="","",PERCENTRANK($CS$7:$CS$1843,CS559)+PERCENTRANK($CU$7:$CU$1843,CU559)+1-PERCENTRANK($CT$7:$CT$1843,CT559))</f>
        <v>1.014</v>
      </c>
      <c r="CZ559" s="72" t="n">
        <f aca="false">IF(CS559="","",CHOOSE(MATCH(Einkauf!$C$5,Parameter!$G$23:$G$27,0),CY559,CS559,CU559,-CT559,CW559)+ROW()/1000000000)</f>
        <v>1.014000559</v>
      </c>
    </row>
    <row r="560" customFormat="false" ht="15" hidden="false" customHeight="false" outlineLevel="0" collapsed="false">
      <c r="A560" s="60" t="s">
        <v>1232</v>
      </c>
      <c r="B560" s="60" t="s">
        <v>903</v>
      </c>
      <c r="C560" s="60" t="s">
        <v>206</v>
      </c>
      <c r="D560" s="60" t="s">
        <v>226</v>
      </c>
      <c r="E560" s="60"/>
      <c r="F560" s="60" t="s">
        <v>260</v>
      </c>
      <c r="G560" s="61" t="n">
        <v>3.55</v>
      </c>
      <c r="H560" s="62" t="n">
        <f aca="false">MAX(0,IF(AND(Parameter!$B$21="Ja",ISNUMBER(Y560)),Y560,IF(Parameter!$B$20="Jahresanfang 2025 + Export",BS560+BR560,BR560)))</f>
        <v>4</v>
      </c>
      <c r="I560" s="62" t="n">
        <f aca="false">H560*G560</f>
        <v>14.2</v>
      </c>
      <c r="J560" s="62" t="n">
        <f aca="false">BU560*Parameter!$B$18</f>
        <v>2</v>
      </c>
      <c r="K560" s="63" t="n">
        <v>1.5</v>
      </c>
      <c r="L560" s="64" t="n">
        <v>1.33333333333333</v>
      </c>
      <c r="M560" s="62" t="n">
        <v>0</v>
      </c>
      <c r="N560" s="62" t="n">
        <v>1</v>
      </c>
      <c r="O560" s="65" t="n">
        <v>14</v>
      </c>
      <c r="P560" s="60" t="s">
        <v>443</v>
      </c>
      <c r="Q560" s="62" t="n">
        <v>5</v>
      </c>
      <c r="R560" s="65" t="n">
        <f aca="false">IF(CA560=1,0,IFERROR(VLOOKUP(BY560,'Gebinde-Kategorie'!$A$5:$N$45,13,0)+0,0))</f>
        <v>280</v>
      </c>
      <c r="S560" s="66"/>
      <c r="T560" s="67"/>
      <c r="U560" s="67"/>
      <c r="V560" s="67"/>
      <c r="W560" s="60"/>
      <c r="X560" s="62"/>
      <c r="Y560" s="62"/>
      <c r="Z560" s="60" t="n">
        <v>3</v>
      </c>
      <c r="AA560" s="60" t="n">
        <f aca="false">IF(A560="","",IF(AND(Parameter!$B$21="Ja",ISNUMBER(W560)),W560,IF(AND(Parameter!$E$27="Ja",ISNUMBER(Z560),CD560&lt;&gt;"Nein"),Z560,IF(CD560="2+3",IF(ISNUMBER(SEARCH("grosser Artikel",BV560)),2,IFERROR(VLOOKUP(BY560,Parameter!$F$35:$G$64,2,0),2)),IF(OR(CD560="Nein",CD560=""),"-",CD560)))))</f>
        <v>3</v>
      </c>
      <c r="AB560" s="67"/>
      <c r="AC560" s="68"/>
      <c r="AD560" s="62" t="n">
        <f aca="false">AW560</f>
        <v>2</v>
      </c>
      <c r="AE560" s="62" t="n">
        <f aca="false">MAX(AW560,H560)</f>
        <v>4</v>
      </c>
      <c r="AF560" s="69"/>
      <c r="AG560" s="62" t="n">
        <f aca="false">IF(LEFT(Cockpit!$C$5,1)="A",H560,IF(Parameter!$E$30="MAX-Bestand",IF(CI560=1,CJ560,IF(LEFT(Cockpit!$C$5,1)="B",AM560,MAX(AM560,H560))),ROUNDUP(AK560,0)))</f>
        <v>4</v>
      </c>
      <c r="AH560" s="62" t="n">
        <f aca="false">IF(CA560=1,0,ROUNDUP(AG560/BZ560,0))</f>
        <v>1</v>
      </c>
      <c r="AI560" s="64" t="n">
        <f aca="false">IF(CR560&gt;0,CR560*MAX(1,AG560/X560),IF(CA560=1,IF(AG560&lt;=0,0,CE560*MAX(1,IF(H560&gt;0,AG560/H560,1))),IF(R560&gt;0,AH560/R560,0))/MAX(0.1,N(Parameter!$M$21)))</f>
        <v>0.00357142857142857</v>
      </c>
      <c r="AJ560" s="62" t="n">
        <f aca="false">AI560*CC560</f>
        <v>0.553571428571429</v>
      </c>
      <c r="AK560" s="63" t="n">
        <f aca="false">IF(LEFT(Cockpit!$C$5,1)="A",H560,IF(CI560=1,(CL560+CJ560)/2,IF(LEFT(Cockpit!$C$5,1)="B",(CL560+AM560)/2,MAX((CL560+AM560)/2,H560))))</f>
        <v>4</v>
      </c>
      <c r="AL560" s="62" t="n">
        <f aca="false">AK560*G560</f>
        <v>14.2</v>
      </c>
      <c r="AM560" s="62" t="n">
        <f aca="false">ROUNDUP(CL560+MAX(CM560,2*(J560/IF(CH560&gt;0,CH560,MAX(0.1,N(Cockpit!$C$6)))-CL560)),0)</f>
        <v>2</v>
      </c>
      <c r="AN560" s="63" t="n">
        <f aca="false">IF(AJ560&gt;0,J560/AJ560,-1)</f>
        <v>3.61290322580645</v>
      </c>
      <c r="AO560" s="63" t="n">
        <f aca="false">IF(AND(OR(CG560="L1",CG560="L23",CG560="LIFT"),AJ560&gt;0),SUMIFS($AJ$7:$AJ$1843,$CG$7:$CG$1843,CG560,$AN$7:$AN$1843,"&gt;"&amp;AN560)+SUMIFS($AJ$7:$AJ$1843,$CG$7:$CG$1843,CG560,$AN$7:$AN$1843,AN560,$BX$7:$BX$1843,"&lt;="&amp;BX560),"")</f>
        <v>4826.21336996337</v>
      </c>
      <c r="AP560" s="70" t="n">
        <f aca="false">IF(AO560="",0,MAX(0,MIN(1,(IF(CG560="L1",Parameter!$H$5,IF(CG560="L23",Parameter!$H$6+Parameter!$H$7,Parameter!$H$5+Parameter!$H$6+Parameter!$H$7))-(AO560-AJ560))/AJ560)))</f>
        <v>1</v>
      </c>
      <c r="AQ560" s="62" t="n">
        <f aca="false">IF(LEFT(Cockpit!$I$5,1)="A",H560,IF(Parameter!$E$30="MAX-Bestand",IF(CI560=1,CJ560,IF(LEFT(Cockpit!$I$5,1)="B",AW560,MAX(AW560,H560))),ROUNDUP(AU560,0)))</f>
        <v>4</v>
      </c>
      <c r="AR560" s="62" t="n">
        <f aca="false">IF(CA560=1,0,ROUNDUP(AQ560/BZ560,0))</f>
        <v>1</v>
      </c>
      <c r="AS560" s="64" t="n">
        <f aca="false">IF(CR560&gt;0,CR560*MAX(1,AQ560/X560),IF(CA560=1,IF(AQ560&lt;=0,0,CE560*MAX(1,IF(H560&gt;0,AQ560/H560,1))),IF(R560&gt;0,AR560/R560,0))/MAX(0.1,N(Parameter!$M$21)))</f>
        <v>0.00357142857142857</v>
      </c>
      <c r="AT560" s="62" t="n">
        <f aca="false">AS560*CC560</f>
        <v>0.553571428571429</v>
      </c>
      <c r="AU560" s="63" t="n">
        <f aca="false">IF(LEFT(Cockpit!$I$5,1)="A",H560,IF(CI560=1,(CL560+CJ560)/2,IF(LEFT(Cockpit!$I$5,1)="B",(CL560+AW560)/2,MAX((CL560+AW560)/2,H560))))</f>
        <v>4</v>
      </c>
      <c r="AV560" s="62" t="n">
        <f aca="false">AU560*G560</f>
        <v>14.2</v>
      </c>
      <c r="AW560" s="62" t="n">
        <f aca="false">ROUNDUP(CL560+MAX(CM560,2*(J560/IF(CH560&gt;0,CH560,MAX(0.1,N(Cockpit!$I$6)))-CL560)),0)</f>
        <v>2</v>
      </c>
      <c r="AX560" s="63" t="n">
        <f aca="false">IF(AT560&gt;0,J560/AT560,-1)</f>
        <v>3.61290322580645</v>
      </c>
      <c r="AY560" s="63" t="n">
        <f aca="false">IF(AND(OR(CG560="L1",CG560="L23",CG560="LIFT"),AT560&gt;0),SUMIFS($AT$7:$AT$1843,$CG$7:$CG$1843,CG560,$AX$7:$AX$1843,"&gt;"&amp;AX560)+SUMIFS($AT$7:$AT$1843,$CG$7:$CG$1843,CG560,$AX$7:$AX$1843,AX560,$BX$7:$BX$1843,"&lt;="&amp;BX560),"")</f>
        <v>5403.80036630037</v>
      </c>
      <c r="AZ560" s="70" t="n">
        <f aca="false">IF(AY560="",0,MAX(0,MIN(1,(IF(CG560="L1",Parameter!$H$5,IF(CG560="L23",Parameter!$H$6+Parameter!$H$7,Parameter!$H$5+Parameter!$H$6+Parameter!$H$7))-(AY560-AT560))/AT560)))</f>
        <v>1</v>
      </c>
      <c r="BA560" s="62" t="n">
        <f aca="false">IF(LEFT(Cockpit!$O$5,1)="A",H560,IF(Parameter!$E$30="MAX-Bestand",IF(CI560=1,CJ560,IF(LEFT(Cockpit!$O$5,1)="B",BG560,MAX(BG560,H560))),ROUNDUP(BE560,0)))</f>
        <v>1</v>
      </c>
      <c r="BB560" s="62" t="n">
        <f aca="false">IF(CA560=1,0,ROUNDUP(BA560/BZ560,0))</f>
        <v>1</v>
      </c>
      <c r="BC560" s="64" t="n">
        <f aca="false">IF(CR560&gt;0,CR560*MAX(1,BA560/X560),IF(CA560=1,IF(BA560&lt;=0,0,CE560*MAX(1,IF(H560&gt;0,BA560/H560,1))),IF(R560&gt;0,BB560/R560,0))/MAX(0.1,N(Parameter!$M$21)))</f>
        <v>0.00357142857142857</v>
      </c>
      <c r="BD560" s="62" t="n">
        <f aca="false">BC560*CC560</f>
        <v>0.553571428571429</v>
      </c>
      <c r="BE560" s="63" t="n">
        <f aca="false">IF(LEFT(Cockpit!$O$5,1)="A",H560,IF(CI560=1,(CL560+CJ560)/2,IF(LEFT(Cockpit!$O$5,1)="B",(CL560+BG560)/2,MAX((CL560+BG560)/2,H560))))</f>
        <v>0.5</v>
      </c>
      <c r="BF560" s="62" t="n">
        <f aca="false">BE560*G560</f>
        <v>1.775</v>
      </c>
      <c r="BG560" s="62" t="n">
        <f aca="false">ROUNDUP(CL560+MAX(CM560,2*(J560/IF(CH560&gt;0,CH560,MAX(0.1,N(Cockpit!$O$6)))-CL560)),0)</f>
        <v>1</v>
      </c>
      <c r="BH560" s="63" t="n">
        <f aca="false">IF(BD560&gt;0,J560/BD560,-1)</f>
        <v>3.61290322580645</v>
      </c>
      <c r="BI560" s="63" t="n">
        <f aca="false">IF(AND(OR(CG560="L1",CG560="L23",CG560="LIFT"),BD560&gt;0),SUMIFS($BD$7:$BD$1843,$CG$7:$CG$1843,CG560,$BH$7:$BH$1843,"&gt;"&amp;BH560)+SUMIFS($BD$7:$BD$1843,$CG$7:$CG$1843,CG560,$BH$7:$BH$1843,BH560,$BX$7:$BX$1843,"&lt;="&amp;BX560),"")</f>
        <v>4418.29716117216</v>
      </c>
      <c r="BJ560" s="70" t="n">
        <f aca="false">IF(BI560="",0,MAX(0,MIN(1,(IF(CG560="L1",Parameter!$H$5,IF(CG560="L23",Parameter!$H$6+Parameter!$H$7,Parameter!$H$5+Parameter!$H$6+Parameter!$H$7))-(BI560-BD560))/BD560)))</f>
        <v>1</v>
      </c>
      <c r="BK560" s="60" t="str">
        <f aca="false">IF(AJ560&lt;=0,"",IF(CG560="Aussen","Aussenlager",IF(CG560="-","Nicht im Lift",IF(AP560&gt;=1,"Lift",IF(AP560&lt;=0,"Aussenlager","teilweise")))))</f>
        <v>Lift</v>
      </c>
      <c r="BL560" s="60" t="str">
        <f aca="false">IF(AT560&lt;=0,"",IF(CG560="Aussen","Aussenlager",IF(CG560="-","Nicht im Lift",IF(AZ560&gt;=1,"Lift",IF(AZ560&lt;=0,"Aussenlager","teilweise")))))</f>
        <v>Lift</v>
      </c>
      <c r="BM560" s="60" t="str">
        <f aca="false">IF(BD560&lt;=0,"",IF(CG560="Aussen","Aussenlager",IF(CG560="-","Nicht im Lift",IF(BJ560&gt;=1,"Lift",IF(BJ560&lt;=0,"Aussenlager","teilweise")))))</f>
        <v>Lift</v>
      </c>
      <c r="BN560" s="60" t="str">
        <f aca="false">IF(A560="","",IF(BW560=1,"Neu; ","")&amp;IF(AND(BW560=0,BR560&lt;0),"negativer Bestand (Export "&amp;BR560&amp;"); ","")&amp;IF(J560&lt;=0,"Kein Verbrauch; ","")&amp;IF(CR560&gt;0,"Lift "&amp;W560&amp;" lt. Liftbericht (Fach "&amp;X560&amp;" Stk); ",IF(CB560=1,"Gebinde geschätzt ("&amp;T560&amp;"); ",IF(CA560=1,"Lose – Tablare geschätzt; ","")))&amp;IF(H560&gt;AW560,"Überbestand "&amp;ROUND(H560-AW560,0)&amp;" Stk / CHF "&amp;ROUND((H560-AW560)*G560,0)&amp;"; ","")&amp;IF(AND(CI560=1,CJ560&lt;CK560),"MAX &lt; MB+LG; ","")&amp;IF(AND(CQ560&gt;0,CP560*10&gt;CQ560),"zu hoch für Tablar; ","")&amp;IF(AND(BW560=0,OR(CI560=1,AB560&lt;&gt;"",U560&lt;&gt;"",V560&lt;&gt;"",AC560&lt;&gt;"")),"manuell übersteuert; ","")&amp;IF(AND(CA560=0,R560=0),"Gebinde unbekannt / Stellmass fehlt; ","")&amp;IF(AND(CA560=0,N(V560)&lt;=0,N(Q560)&lt;=0),"Menge pro Gebinde fehlt (Ist = 1 Gebinde); ","")&amp;BV560)</f>
        <v>Überbestand 2 Stk / CHF 7; </v>
      </c>
      <c r="BO560" s="60"/>
      <c r="BP560" s="60"/>
      <c r="BQ560" s="67"/>
      <c r="BR560" s="62" t="n">
        <v>4</v>
      </c>
      <c r="BS560" s="62" t="n">
        <v>0</v>
      </c>
      <c r="BT560" s="61" t="n">
        <v>14.2</v>
      </c>
      <c r="BU560" s="62" t="n">
        <v>2</v>
      </c>
      <c r="BV560" s="60"/>
      <c r="BW560" s="65" t="n">
        <v>0</v>
      </c>
      <c r="BX560" s="65" t="n">
        <v>560</v>
      </c>
      <c r="BY560" s="60" t="str">
        <f aca="false">IF(U560&lt;&gt;"",UPPER(TRIM(U560)),IF(CB560=1,UPPER(VLOOKUP(T560,Parameter!$I$27:$K$29,2,0)),IF(P560="","LOSE",P560)))</f>
        <v>S21</v>
      </c>
      <c r="BZ560" s="62" t="n">
        <f aca="false">IF(BY560="LOSE",1,IF(N(V560)&gt;0,V560,IF(CB560=1,MAX(1,N(VLOOKUP(T560,Parameter!$I$27:$K$29,3,0)),H560,N(N560)),IF(N(Q560)&gt;0,Q560,MAX(1,H560)))))</f>
        <v>5</v>
      </c>
      <c r="CA560" s="65" t="n">
        <f aca="false">IF(BY560="LOSE",1,0)</f>
        <v>0</v>
      </c>
      <c r="CB560" s="65" t="n">
        <f aca="false">IF(AND(U560="",OR(P560="",P560="LOSE"),T560&lt;&gt;"",N(S560)&lt;=0,ISNUMBER(MATCH(T560,Parameter!$I$27:$I$29,0))),1,0)</f>
        <v>0</v>
      </c>
      <c r="CC560" s="65" t="n">
        <f aca="false">IF(CR560&gt;0,INDEX(Parameter!$H$5:$H$7,W560)/INDEX(Parameter!$E$5:$E$7,W560),IF(AND(CA560=0,N(IFERROR(VLOOKUP(BY560,'Gebinde-Kategorie'!$A$5:$N$45,14,0),0))&gt;0),VLOOKUP(BY560,'Gebinde-Kategorie'!$A$5:$N$45,14,0)*10+Parameter!$M$23,Parameter!$M$24))</f>
        <v>155</v>
      </c>
      <c r="CD560" s="60" t="str">
        <f aca="false">IF(AND(Parameter!$B$19="Ja",E560&lt;&gt;"",ISNUMBER(MATCH(E560,Parameter!$I$35:$I$52,0))),VLOOKUP(E560,Parameter!$I$35:$J$52,2,0),IFERROR(VLOOKUP(D560,Parameter!$A$35:$C$64,2,0),"Nein"))</f>
        <v>2+3</v>
      </c>
      <c r="CE560" s="64" t="n">
        <f aca="false">IF(CA560=0,0,IF(N(S560)&gt;0,S560,IFERROR(VLOOKUP(D560,Parameter!$A$35:$C$64,3,0)+0,0)))</f>
        <v>0</v>
      </c>
      <c r="CF560" s="60" t="n">
        <f aca="false">IF(AB560&lt;&gt;"",AB560,AA560)</f>
        <v>3</v>
      </c>
      <c r="CG560" s="60" t="str">
        <f aca="false">IF(OR(CF560=1,CF560=2,CF560=3),IF(Parameter!$E$27="Ja","LIFT",IF(CF560=1,"L1","L23")),IF(CF560="Aussen","Aussen","-"))</f>
        <v>LIFT</v>
      </c>
      <c r="CH560" s="71" t="n">
        <f aca="false">IF(N(AC560)&gt;0,AC560,0)</f>
        <v>0</v>
      </c>
      <c r="CI560" s="65" t="n">
        <f aca="false">IF(ISNUMBER(AF560),1,0)</f>
        <v>0</v>
      </c>
      <c r="CJ560" s="62" t="n">
        <f aca="false">N(AF560)</f>
        <v>0</v>
      </c>
      <c r="CK560" s="62" t="n">
        <f aca="false">N(M560)+N(N560)</f>
        <v>1</v>
      </c>
      <c r="CL560" s="62" t="n">
        <f aca="false">N(M560)</f>
        <v>0</v>
      </c>
      <c r="CM560" s="62" t="n">
        <f aca="false">N(N560)</f>
        <v>1</v>
      </c>
      <c r="CN560" s="62" t="n">
        <f aca="false">ROUNDUP(H560/BZ560,0)</f>
        <v>1</v>
      </c>
      <c r="CO560" s="62" t="n">
        <f aca="false">ROUNDUP(CJ560/BZ560,0)</f>
        <v>0</v>
      </c>
      <c r="CP560" s="65" t="n">
        <f aca="false">IF(CA560=1,0,IFERROR(VLOOKUP(BY560,'Gebinde-Kategorie'!$A$5:$N$45,5,0)+0,0))</f>
        <v>8</v>
      </c>
      <c r="CQ560" s="65" t="n">
        <f aca="false">IFERROR(IF(OR(CF560=1,CF560=2,CF560=3),N(INDEX(Parameter!$I$5:$I$7,CF560)),0),0)</f>
        <v>0</v>
      </c>
      <c r="CR560" s="64" t="n">
        <f aca="false">IF(AND(Parameter!$B$21="Ja",ISNUMBER(W560),N(X560)&gt;0),IFERROR(N(INDEX(Parameter!$L$5:$L$7,W560))*INDEX(Parameter!$E$5:$E$7,W560)*X560/SUMIFS($X$7:$X$1843,$W$7:$W$1843,W560),0),0)</f>
        <v>0</v>
      </c>
      <c r="CS560" s="62" t="n">
        <f aca="false">IF(AND(OR(CG560="L1",CG560="L23",CG560="LIFT"),H560&gt;0),CC560*IF(CR560&gt;0,CR560*MAX(1,H560/X560),IF(CA560=1,CE560,IF(R560&gt;0,CN560/R560,0))/MAX(0.1,N(Parameter!$M$21))),"")</f>
        <v>0.553571428571429</v>
      </c>
      <c r="CT560" s="64" t="n">
        <f aca="false">IF(CS560="","",J560/H560)</f>
        <v>0.5</v>
      </c>
      <c r="CU560" s="62" t="n">
        <f aca="false">IF(CS560="","",H560*G560)</f>
        <v>14.2</v>
      </c>
      <c r="CV560" s="63" t="n">
        <f aca="false">IF(CS560="","",(CL560+ROUNDUP(CL560+MAX(CM560,2*(J560/MAX(0.1,N(Einkauf!$C$6))-CL560)),0))/2)</f>
        <v>0.5</v>
      </c>
      <c r="CW560" s="62" t="n">
        <f aca="false">IF(CS560="","",MAX(0,H560-CV560)*G560)</f>
        <v>12.425</v>
      </c>
      <c r="CX560" s="62" t="n">
        <f aca="false">IF(CS560="","",CS560*MAX(0,1-CV560/H560))</f>
        <v>0.484375</v>
      </c>
      <c r="CY560" s="64" t="n">
        <f aca="false">IF(CS560="","",PERCENTRANK($CS$7:$CS$1843,CS560)+PERCENTRANK($CU$7:$CU$1843,CU560)+1-PERCENTRANK($CT$7:$CT$1843,CT560))</f>
        <v>0.5098</v>
      </c>
      <c r="CZ560" s="72" t="n">
        <f aca="false">IF(CS560="","",CHOOSE(MATCH(Einkauf!$C$5,Parameter!$G$23:$G$27,0),CY560,CS560,CU560,-CT560,CW560)+ROW()/1000000000)</f>
        <v>0.50980056</v>
      </c>
    </row>
    <row r="561" customFormat="false" ht="15" hidden="false" customHeight="false" outlineLevel="0" collapsed="false">
      <c r="A561" s="60" t="s">
        <v>1233</v>
      </c>
      <c r="B561" s="60" t="s">
        <v>537</v>
      </c>
      <c r="C561" s="60" t="s">
        <v>206</v>
      </c>
      <c r="D561" s="60" t="s">
        <v>226</v>
      </c>
      <c r="E561" s="60" t="s">
        <v>227</v>
      </c>
      <c r="F561" s="60" t="s">
        <v>260</v>
      </c>
      <c r="G561" s="61" t="n">
        <v>0.22</v>
      </c>
      <c r="H561" s="62" t="n">
        <f aca="false">MAX(0,IF(AND(Parameter!$B$21="Ja",ISNUMBER(Y561)),Y561,IF(Parameter!$B$20="Jahresanfang 2025 + Export",BS561+BR561,BR561)))</f>
        <v>313</v>
      </c>
      <c r="I561" s="62" t="n">
        <f aca="false">H561*G561</f>
        <v>68.86</v>
      </c>
      <c r="J561" s="62" t="n">
        <f aca="false">BU561*Parameter!$B$18</f>
        <v>309</v>
      </c>
      <c r="K561" s="63" t="n">
        <v>143</v>
      </c>
      <c r="L561" s="64" t="n">
        <v>2.16083916083916</v>
      </c>
      <c r="M561" s="62" t="n">
        <v>18</v>
      </c>
      <c r="N561" s="62" t="n">
        <v>310</v>
      </c>
      <c r="O561" s="65" t="n">
        <v>21</v>
      </c>
      <c r="P561" s="60" t="s">
        <v>443</v>
      </c>
      <c r="Q561" s="62" t="n">
        <v>119</v>
      </c>
      <c r="R561" s="65" t="n">
        <f aca="false">IF(CA561=1,0,IFERROR(VLOOKUP(BY561,'Gebinde-Kategorie'!$A$5:$N$45,13,0)+0,0))</f>
        <v>280</v>
      </c>
      <c r="S561" s="66"/>
      <c r="T561" s="67"/>
      <c r="U561" s="67"/>
      <c r="V561" s="67"/>
      <c r="W561" s="60"/>
      <c r="X561" s="62"/>
      <c r="Y561" s="62"/>
      <c r="Z561" s="60" t="n">
        <v>2</v>
      </c>
      <c r="AA561" s="60" t="n">
        <f aca="false">IF(A561="","",IF(AND(Parameter!$B$21="Ja",ISNUMBER(W561)),W561,IF(AND(Parameter!$E$27="Ja",ISNUMBER(Z561),CD561&lt;&gt;"Nein"),Z561,IF(CD561="2+3",IF(ISNUMBER(SEARCH("grosser Artikel",BV561)),2,IFERROR(VLOOKUP(BY561,Parameter!$F$35:$G$64,2,0),2)),IF(OR(CD561="Nein",CD561=""),"-",CD561)))))</f>
        <v>2</v>
      </c>
      <c r="AB561" s="67"/>
      <c r="AC561" s="68"/>
      <c r="AD561" s="62" t="n">
        <f aca="false">AW561</f>
        <v>328</v>
      </c>
      <c r="AE561" s="62" t="n">
        <f aca="false">MAX(AW561,H561)</f>
        <v>328</v>
      </c>
      <c r="AF561" s="69"/>
      <c r="AG561" s="62" t="n">
        <f aca="false">IF(LEFT(Cockpit!$C$5,1)="A",H561,IF(Parameter!$E$30="MAX-Bestand",IF(CI561=1,CJ561,IF(LEFT(Cockpit!$C$5,1)="B",AM561,MAX(AM561,H561))),ROUNDUP(AK561,0)))</f>
        <v>313</v>
      </c>
      <c r="AH561" s="62" t="n">
        <f aca="false">IF(CA561=1,0,ROUNDUP(AG561/BZ561,0))</f>
        <v>3</v>
      </c>
      <c r="AI561" s="64" t="n">
        <f aca="false">IF(CR561&gt;0,CR561*MAX(1,AG561/X561),IF(CA561=1,IF(AG561&lt;=0,0,CE561*MAX(1,IF(H561&gt;0,AG561/H561,1))),IF(R561&gt;0,AH561/R561,0))/MAX(0.1,N(Parameter!$M$21)))</f>
        <v>0.0107142857142857</v>
      </c>
      <c r="AJ561" s="62" t="n">
        <f aca="false">AI561*CC561</f>
        <v>1.66071428571429</v>
      </c>
      <c r="AK561" s="63" t="n">
        <f aca="false">IF(LEFT(Cockpit!$C$5,1)="A",H561,IF(CI561=1,(CL561+CJ561)/2,IF(LEFT(Cockpit!$C$5,1)="B",(CL561+AM561)/2,MAX((CL561+AM561)/2,H561))))</f>
        <v>313</v>
      </c>
      <c r="AL561" s="62" t="n">
        <f aca="false">AK561*G561</f>
        <v>68.86</v>
      </c>
      <c r="AM561" s="62" t="n">
        <f aca="false">ROUNDUP(CL561+MAX(CM561,2*(J561/IF(CH561&gt;0,CH561,MAX(0.1,N(Cockpit!$C$6)))-CL561)),0)</f>
        <v>328</v>
      </c>
      <c r="AN561" s="63" t="n">
        <f aca="false">IF(AJ561&gt;0,J561/AJ561,-1)</f>
        <v>186.064516129032</v>
      </c>
      <c r="AO561" s="63" t="n">
        <f aca="false">IF(AND(OR(CG561="L1",CG561="L23",CG561="LIFT"),AJ561&gt;0),SUMIFS($AJ$7:$AJ$1843,$CG$7:$CG$1843,CG561,$AN$7:$AN$1843,"&gt;"&amp;AN561)+SUMIFS($AJ$7:$AJ$1843,$CG$7:$CG$1843,CG561,$AN$7:$AN$1843,AN561,$BX$7:$BX$1843,"&lt;="&amp;BX561),"")</f>
        <v>382.878205128205</v>
      </c>
      <c r="AP561" s="70" t="n">
        <f aca="false">IF(AO561="",0,MAX(0,MIN(1,(IF(CG561="L1",Parameter!$H$5,IF(CG561="L23",Parameter!$H$6+Parameter!$H$7,Parameter!$H$5+Parameter!$H$6+Parameter!$H$7))-(AO561-AJ561))/AJ561)))</f>
        <v>1</v>
      </c>
      <c r="AQ561" s="62" t="n">
        <f aca="false">IF(LEFT(Cockpit!$I$5,1)="A",H561,IF(Parameter!$E$30="MAX-Bestand",IF(CI561=1,CJ561,IF(LEFT(Cockpit!$I$5,1)="B",AW561,MAX(AW561,H561))),ROUNDUP(AU561,0)))</f>
        <v>313</v>
      </c>
      <c r="AR561" s="62" t="n">
        <f aca="false">IF(CA561=1,0,ROUNDUP(AQ561/BZ561,0))</f>
        <v>3</v>
      </c>
      <c r="AS561" s="64" t="n">
        <f aca="false">IF(CR561&gt;0,CR561*MAX(1,AQ561/X561),IF(CA561=1,IF(AQ561&lt;=0,0,CE561*MAX(1,IF(H561&gt;0,AQ561/H561,1))),IF(R561&gt;0,AR561/R561,0))/MAX(0.1,N(Parameter!$M$21)))</f>
        <v>0.0107142857142857</v>
      </c>
      <c r="AT561" s="62" t="n">
        <f aca="false">AS561*CC561</f>
        <v>1.66071428571429</v>
      </c>
      <c r="AU561" s="63" t="n">
        <f aca="false">IF(LEFT(Cockpit!$I$5,1)="A",H561,IF(CI561=1,(CL561+CJ561)/2,IF(LEFT(Cockpit!$I$5,1)="B",(CL561+AW561)/2,MAX((CL561+AW561)/2,H561))))</f>
        <v>313</v>
      </c>
      <c r="AV561" s="62" t="n">
        <f aca="false">AU561*G561</f>
        <v>68.86</v>
      </c>
      <c r="AW561" s="62" t="n">
        <f aca="false">ROUNDUP(CL561+MAX(CM561,2*(J561/IF(CH561&gt;0,CH561,MAX(0.1,N(Cockpit!$I$6)))-CL561)),0)</f>
        <v>328</v>
      </c>
      <c r="AX561" s="63" t="n">
        <f aca="false">IF(AT561&gt;0,J561/AT561,-1)</f>
        <v>186.064516129032</v>
      </c>
      <c r="AY561" s="63" t="n">
        <f aca="false">IF(AND(OR(CG561="L1",CG561="L23",CG561="LIFT"),AT561&gt;0),SUMIFS($AT$7:$AT$1843,$CG$7:$CG$1843,CG561,$AX$7:$AX$1843,"&gt;"&amp;AX561)+SUMIFS($AT$7:$AT$1843,$CG$7:$CG$1843,CG561,$AX$7:$AX$1843,AX561,$BX$7:$BX$1843,"&lt;="&amp;BX561),"")</f>
        <v>500.51510989011</v>
      </c>
      <c r="AZ561" s="70" t="n">
        <f aca="false">IF(AY561="",0,MAX(0,MIN(1,(IF(CG561="L1",Parameter!$H$5,IF(CG561="L23",Parameter!$H$6+Parameter!$H$7,Parameter!$H$5+Parameter!$H$6+Parameter!$H$7))-(AY561-AT561))/AT561)))</f>
        <v>1</v>
      </c>
      <c r="BA561" s="62" t="n">
        <f aca="false">IF(LEFT(Cockpit!$O$5,1)="A",H561,IF(Parameter!$E$30="MAX-Bestand",IF(CI561=1,CJ561,IF(LEFT(Cockpit!$O$5,1)="B",BG561,MAX(BG561,H561))),ROUNDUP(BE561,0)))</f>
        <v>173</v>
      </c>
      <c r="BB561" s="62" t="n">
        <f aca="false">IF(CA561=1,0,ROUNDUP(BA561/BZ561,0))</f>
        <v>2</v>
      </c>
      <c r="BC561" s="64" t="n">
        <f aca="false">IF(CR561&gt;0,CR561*MAX(1,BA561/X561),IF(CA561=1,IF(BA561&lt;=0,0,CE561*MAX(1,IF(H561&gt;0,BA561/H561,1))),IF(R561&gt;0,BB561/R561,0))/MAX(0.1,N(Parameter!$M$21)))</f>
        <v>0.00714285714285714</v>
      </c>
      <c r="BD561" s="62" t="n">
        <f aca="false">BC561*CC561</f>
        <v>1.10714285714286</v>
      </c>
      <c r="BE561" s="63" t="n">
        <f aca="false">IF(LEFT(Cockpit!$O$5,1)="A",H561,IF(CI561=1,(CL561+CJ561)/2,IF(LEFT(Cockpit!$O$5,1)="B",(CL561+BG561)/2,MAX((CL561+BG561)/2,H561))))</f>
        <v>173</v>
      </c>
      <c r="BF561" s="62" t="n">
        <f aca="false">BE561*G561</f>
        <v>38.06</v>
      </c>
      <c r="BG561" s="62" t="n">
        <f aca="false">ROUNDUP(CL561+MAX(CM561,2*(J561/IF(CH561&gt;0,CH561,MAX(0.1,N(Cockpit!$O$6)))-CL561)),0)</f>
        <v>328</v>
      </c>
      <c r="BH561" s="63" t="n">
        <f aca="false">IF(BD561&gt;0,J561/BD561,-1)</f>
        <v>279.096774193548</v>
      </c>
      <c r="BI561" s="63" t="n">
        <f aca="false">IF(AND(OR(CG561="L1",CG561="L23",CG561="LIFT"),BD561&gt;0),SUMIFS($BD$7:$BD$1843,$CG$7:$CG$1843,CG561,$BH$7:$BH$1843,"&gt;"&amp;BH561)+SUMIFS($BD$7:$BD$1843,$CG$7:$CG$1843,CG561,$BH$7:$BH$1843,BH561,$BX$7:$BX$1843,"&lt;="&amp;BX561),"")</f>
        <v>263.970238095238</v>
      </c>
      <c r="BJ561" s="70" t="n">
        <f aca="false">IF(BI561="",0,MAX(0,MIN(1,(IF(CG561="L1",Parameter!$H$5,IF(CG561="L23",Parameter!$H$6+Parameter!$H$7,Parameter!$H$5+Parameter!$H$6+Parameter!$H$7))-(BI561-BD561))/BD561)))</f>
        <v>1</v>
      </c>
      <c r="BK561" s="60" t="str">
        <f aca="false">IF(AJ561&lt;=0,"",IF(CG561="Aussen","Aussenlager",IF(CG561="-","Nicht im Lift",IF(AP561&gt;=1,"Lift",IF(AP561&lt;=0,"Aussenlager","teilweise")))))</f>
        <v>Lift</v>
      </c>
      <c r="BL561" s="60" t="str">
        <f aca="false">IF(AT561&lt;=0,"",IF(CG561="Aussen","Aussenlager",IF(CG561="-","Nicht im Lift",IF(AZ561&gt;=1,"Lift",IF(AZ561&lt;=0,"Aussenlager","teilweise")))))</f>
        <v>Lift</v>
      </c>
      <c r="BM561" s="60" t="str">
        <f aca="false">IF(BD561&lt;=0,"",IF(CG561="Aussen","Aussenlager",IF(CG561="-","Nicht im Lift",IF(BJ561&gt;=1,"Lift",IF(BJ561&lt;=0,"Aussenlager","teilweise")))))</f>
        <v>Lift</v>
      </c>
      <c r="BN561" s="60" t="str">
        <f aca="false">IF(A561="","",IF(BW561=1,"Neu; ","")&amp;IF(AND(BW561=0,BR561&lt;0),"negativer Bestand (Export "&amp;BR561&amp;"); ","")&amp;IF(J561&lt;=0,"Kein Verbrauch; ","")&amp;IF(CR561&gt;0,"Lift "&amp;W561&amp;" lt. Liftbericht (Fach "&amp;X561&amp;" Stk); ",IF(CB561=1,"Gebinde geschätzt ("&amp;T561&amp;"); ",IF(CA561=1,"Lose – Tablare geschätzt; ","")))&amp;IF(H561&gt;AW561,"Überbestand "&amp;ROUND(H561-AW561,0)&amp;" Stk / CHF "&amp;ROUND((H561-AW561)*G561,0)&amp;"; ","")&amp;IF(AND(CI561=1,CJ561&lt;CK561),"MAX &lt; MB+LG; ","")&amp;IF(AND(CQ561&gt;0,CP561*10&gt;CQ561),"zu hoch für Tablar; ","")&amp;IF(AND(BW561=0,OR(CI561=1,AB561&lt;&gt;"",U561&lt;&gt;"",V561&lt;&gt;"",AC561&lt;&gt;"")),"manuell übersteuert; ","")&amp;IF(AND(CA561=0,R561=0),"Gebinde unbekannt / Stellmass fehlt; ","")&amp;IF(AND(CA561=0,N(V561)&lt;=0,N(Q561)&lt;=0),"Menge pro Gebinde fehlt (Ist = 1 Gebinde); ","")&amp;BV561)</f>
        <v/>
      </c>
      <c r="BO561" s="60"/>
      <c r="BP561" s="60"/>
      <c r="BQ561" s="67"/>
      <c r="BR561" s="62" t="n">
        <v>165</v>
      </c>
      <c r="BS561" s="62" t="n">
        <v>148</v>
      </c>
      <c r="BT561" s="61" t="n">
        <v>14.1</v>
      </c>
      <c r="BU561" s="62" t="n">
        <v>309</v>
      </c>
      <c r="BV561" s="60"/>
      <c r="BW561" s="65" t="n">
        <v>0</v>
      </c>
      <c r="BX561" s="65" t="n">
        <v>561</v>
      </c>
      <c r="BY561" s="60" t="str">
        <f aca="false">IF(U561&lt;&gt;"",UPPER(TRIM(U561)),IF(CB561=1,UPPER(VLOOKUP(T561,Parameter!$I$27:$K$29,2,0)),IF(P561="","LOSE",P561)))</f>
        <v>S21</v>
      </c>
      <c r="BZ561" s="62" t="n">
        <f aca="false">IF(BY561="LOSE",1,IF(N(V561)&gt;0,V561,IF(CB561=1,MAX(1,N(VLOOKUP(T561,Parameter!$I$27:$K$29,3,0)),H561,N(N561)),IF(N(Q561)&gt;0,Q561,MAX(1,H561)))))</f>
        <v>119</v>
      </c>
      <c r="CA561" s="65" t="n">
        <f aca="false">IF(BY561="LOSE",1,0)</f>
        <v>0</v>
      </c>
      <c r="CB561" s="65" t="n">
        <f aca="false">IF(AND(U561="",OR(P561="",P561="LOSE"),T561&lt;&gt;"",N(S561)&lt;=0,ISNUMBER(MATCH(T561,Parameter!$I$27:$I$29,0))),1,0)</f>
        <v>0</v>
      </c>
      <c r="CC561" s="65" t="n">
        <f aca="false">IF(CR561&gt;0,INDEX(Parameter!$H$5:$H$7,W561)/INDEX(Parameter!$E$5:$E$7,W561),IF(AND(CA561=0,N(IFERROR(VLOOKUP(BY561,'Gebinde-Kategorie'!$A$5:$N$45,14,0),0))&gt;0),VLOOKUP(BY561,'Gebinde-Kategorie'!$A$5:$N$45,14,0)*10+Parameter!$M$23,Parameter!$M$24))</f>
        <v>155</v>
      </c>
      <c r="CD561" s="60" t="str">
        <f aca="false">IF(AND(Parameter!$B$19="Ja",E561&lt;&gt;"",ISNUMBER(MATCH(E561,Parameter!$I$35:$I$52,0))),VLOOKUP(E561,Parameter!$I$35:$J$52,2,0),IFERROR(VLOOKUP(D561,Parameter!$A$35:$C$64,2,0),"Nein"))</f>
        <v>2+3</v>
      </c>
      <c r="CE561" s="64" t="n">
        <f aca="false">IF(CA561=0,0,IF(N(S561)&gt;0,S561,IFERROR(VLOOKUP(D561,Parameter!$A$35:$C$64,3,0)+0,0)))</f>
        <v>0</v>
      </c>
      <c r="CF561" s="60" t="n">
        <f aca="false">IF(AB561&lt;&gt;"",AB561,AA561)</f>
        <v>2</v>
      </c>
      <c r="CG561" s="60" t="str">
        <f aca="false">IF(OR(CF561=1,CF561=2,CF561=3),IF(Parameter!$E$27="Ja","LIFT",IF(CF561=1,"L1","L23")),IF(CF561="Aussen","Aussen","-"))</f>
        <v>LIFT</v>
      </c>
      <c r="CH561" s="71" t="n">
        <f aca="false">IF(N(AC561)&gt;0,AC561,0)</f>
        <v>0</v>
      </c>
      <c r="CI561" s="65" t="n">
        <f aca="false">IF(ISNUMBER(AF561),1,0)</f>
        <v>0</v>
      </c>
      <c r="CJ561" s="62" t="n">
        <f aca="false">N(AF561)</f>
        <v>0</v>
      </c>
      <c r="CK561" s="62" t="n">
        <f aca="false">N(M561)+N(N561)</f>
        <v>328</v>
      </c>
      <c r="CL561" s="62" t="n">
        <f aca="false">N(M561)</f>
        <v>18</v>
      </c>
      <c r="CM561" s="62" t="n">
        <f aca="false">N(N561)</f>
        <v>310</v>
      </c>
      <c r="CN561" s="62" t="n">
        <f aca="false">ROUNDUP(H561/BZ561,0)</f>
        <v>3</v>
      </c>
      <c r="CO561" s="62" t="n">
        <f aca="false">ROUNDUP(CJ561/BZ561,0)</f>
        <v>0</v>
      </c>
      <c r="CP561" s="65" t="n">
        <f aca="false">IF(CA561=1,0,IFERROR(VLOOKUP(BY561,'Gebinde-Kategorie'!$A$5:$N$45,5,0)+0,0))</f>
        <v>8</v>
      </c>
      <c r="CQ561" s="65" t="n">
        <f aca="false">IFERROR(IF(OR(CF561=1,CF561=2,CF561=3),N(INDEX(Parameter!$I$5:$I$7,CF561)),0),0)</f>
        <v>0</v>
      </c>
      <c r="CR561" s="64" t="n">
        <f aca="false">IF(AND(Parameter!$B$21="Ja",ISNUMBER(W561),N(X561)&gt;0),IFERROR(N(INDEX(Parameter!$L$5:$L$7,W561))*INDEX(Parameter!$E$5:$E$7,W561)*X561/SUMIFS($X$7:$X$1843,$W$7:$W$1843,W561),0),0)</f>
        <v>0</v>
      </c>
      <c r="CS561" s="62" t="n">
        <f aca="false">IF(AND(OR(CG561="L1",CG561="L23",CG561="LIFT"),H561&gt;0),CC561*IF(CR561&gt;0,CR561*MAX(1,H561/X561),IF(CA561=1,CE561,IF(R561&gt;0,CN561/R561,0))/MAX(0.1,N(Parameter!$M$21))),"")</f>
        <v>1.66071428571429</v>
      </c>
      <c r="CT561" s="64" t="n">
        <f aca="false">IF(CS561="","",J561/H561)</f>
        <v>0.987220447284345</v>
      </c>
      <c r="CU561" s="62" t="n">
        <f aca="false">IF(CS561="","",H561*G561)</f>
        <v>68.86</v>
      </c>
      <c r="CV561" s="63" t="n">
        <f aca="false">IF(CS561="","",(CL561+ROUNDUP(CL561+MAX(CM561,2*(J561/MAX(0.1,N(Einkauf!$C$6))-CL561)),0))/2)</f>
        <v>173</v>
      </c>
      <c r="CW561" s="62" t="n">
        <f aca="false">IF(CS561="","",MAX(0,H561-CV561)*G561)</f>
        <v>30.8</v>
      </c>
      <c r="CX561" s="62" t="n">
        <f aca="false">IF(CS561="","",CS561*MAX(0,1-CV561/H561))</f>
        <v>0.742811501597444</v>
      </c>
      <c r="CY561" s="64" t="n">
        <f aca="false">IF(CS561="","",PERCENTRANK($CS$7:$CS$1843,CS561)+PERCENTRANK($CU$7:$CU$1843,CU561)+1-PERCENTRANK($CT$7:$CT$1843,CT561))</f>
        <v>0.746</v>
      </c>
      <c r="CZ561" s="72" t="n">
        <f aca="false">IF(CS561="","",CHOOSE(MATCH(Einkauf!$C$5,Parameter!$G$23:$G$27,0),CY561,CS561,CU561,-CT561,CW561)+ROW()/1000000000)</f>
        <v>0.746000561</v>
      </c>
    </row>
    <row r="562" customFormat="false" ht="15" hidden="false" customHeight="false" outlineLevel="0" collapsed="false">
      <c r="A562" s="60" t="s">
        <v>1234</v>
      </c>
      <c r="B562" s="60" t="s">
        <v>1235</v>
      </c>
      <c r="C562" s="60" t="s">
        <v>206</v>
      </c>
      <c r="D562" s="60" t="s">
        <v>226</v>
      </c>
      <c r="E562" s="60" t="s">
        <v>227</v>
      </c>
      <c r="F562" s="60" t="s">
        <v>260</v>
      </c>
      <c r="G562" s="61" t="n">
        <v>1.4</v>
      </c>
      <c r="H562" s="62" t="n">
        <f aca="false">MAX(0,IF(AND(Parameter!$B$21="Ja",ISNUMBER(Y562)),Y562,IF(Parameter!$B$20="Jahresanfang 2025 + Export",BS562+BR562,BR562)))</f>
        <v>15</v>
      </c>
      <c r="I562" s="62" t="n">
        <f aca="false">H562*G562</f>
        <v>21</v>
      </c>
      <c r="J562" s="62" t="n">
        <f aca="false">BU562*Parameter!$B$18</f>
        <v>15</v>
      </c>
      <c r="K562" s="63" t="n">
        <v>7.5</v>
      </c>
      <c r="L562" s="64" t="n">
        <v>2</v>
      </c>
      <c r="M562" s="62" t="n">
        <v>1</v>
      </c>
      <c r="N562" s="62" t="n">
        <v>15</v>
      </c>
      <c r="O562" s="65" t="n">
        <v>28</v>
      </c>
      <c r="P562" s="60" t="s">
        <v>463</v>
      </c>
      <c r="Q562" s="62" t="n">
        <v>27</v>
      </c>
      <c r="R562" s="65" t="n">
        <f aca="false">IF(CA562=1,0,IFERROR(VLOOKUP(BY562,'Gebinde-Kategorie'!$A$5:$N$45,13,0)+0,0))</f>
        <v>104</v>
      </c>
      <c r="S562" s="66"/>
      <c r="T562" s="67"/>
      <c r="U562" s="67"/>
      <c r="V562" s="67"/>
      <c r="W562" s="60"/>
      <c r="X562" s="62"/>
      <c r="Y562" s="62"/>
      <c r="Z562" s="60" t="n">
        <v>1</v>
      </c>
      <c r="AA562" s="60" t="n">
        <f aca="false">IF(A562="","",IF(AND(Parameter!$B$21="Ja",ISNUMBER(W562)),W562,IF(AND(Parameter!$E$27="Ja",ISNUMBER(Z562),CD562&lt;&gt;"Nein"),Z562,IF(CD562="2+3",IF(ISNUMBER(SEARCH("grosser Artikel",BV562)),2,IFERROR(VLOOKUP(BY562,Parameter!$F$35:$G$64,2,0),2)),IF(OR(CD562="Nein",CD562=""),"-",CD562)))))</f>
        <v>1</v>
      </c>
      <c r="AB562" s="67"/>
      <c r="AC562" s="68"/>
      <c r="AD562" s="62" t="n">
        <f aca="false">AW562</f>
        <v>16</v>
      </c>
      <c r="AE562" s="62" t="n">
        <f aca="false">MAX(AW562,H562)</f>
        <v>16</v>
      </c>
      <c r="AF562" s="69"/>
      <c r="AG562" s="62" t="n">
        <f aca="false">IF(LEFT(Cockpit!$C$5,1)="A",H562,IF(Parameter!$E$30="MAX-Bestand",IF(CI562=1,CJ562,IF(LEFT(Cockpit!$C$5,1)="B",AM562,MAX(AM562,H562))),ROUNDUP(AK562,0)))</f>
        <v>15</v>
      </c>
      <c r="AH562" s="62" t="n">
        <f aca="false">IF(CA562=1,0,ROUNDUP(AG562/BZ562,0))</f>
        <v>1</v>
      </c>
      <c r="AI562" s="64" t="n">
        <f aca="false">IF(CR562&gt;0,CR562*MAX(1,AG562/X562),IF(CA562=1,IF(AG562&lt;=0,0,CE562*MAX(1,IF(H562&gt;0,AG562/H562,1))),IF(R562&gt;0,AH562/R562,0))/MAX(0.1,N(Parameter!$M$21)))</f>
        <v>0.00961538461538462</v>
      </c>
      <c r="AJ562" s="62" t="n">
        <f aca="false">AI562*CC562</f>
        <v>1.49038461538462</v>
      </c>
      <c r="AK562" s="63" t="n">
        <f aca="false">IF(LEFT(Cockpit!$C$5,1)="A",H562,IF(CI562=1,(CL562+CJ562)/2,IF(LEFT(Cockpit!$C$5,1)="B",(CL562+AM562)/2,MAX((CL562+AM562)/2,H562))))</f>
        <v>15</v>
      </c>
      <c r="AL562" s="62" t="n">
        <f aca="false">AK562*G562</f>
        <v>21</v>
      </c>
      <c r="AM562" s="62" t="n">
        <f aca="false">ROUNDUP(CL562+MAX(CM562,2*(J562/IF(CH562&gt;0,CH562,MAX(0.1,N(Cockpit!$C$6)))-CL562)),0)</f>
        <v>16</v>
      </c>
      <c r="AN562" s="63" t="n">
        <f aca="false">IF(AJ562&gt;0,J562/AJ562,-1)</f>
        <v>10.0645161290323</v>
      </c>
      <c r="AO562" s="63" t="n">
        <f aca="false">IF(AND(OR(CG562="L1",CG562="L23",CG562="LIFT"),AJ562&gt;0),SUMIFS($AJ$7:$AJ$1843,$CG$7:$CG$1843,CG562,$AN$7:$AN$1843,"&gt;"&amp;AN562)+SUMIFS($AJ$7:$AJ$1843,$CG$7:$CG$1843,CG562,$AN$7:$AN$1843,AN562,$BX$7:$BX$1843,"&lt;="&amp;BX562),"")</f>
        <v>2602.13232600733</v>
      </c>
      <c r="AP562" s="70" t="n">
        <f aca="false">IF(AO562="",0,MAX(0,MIN(1,(IF(CG562="L1",Parameter!$H$5,IF(CG562="L23",Parameter!$H$6+Parameter!$H$7,Parameter!$H$5+Parameter!$H$6+Parameter!$H$7))-(AO562-AJ562))/AJ562)))</f>
        <v>1</v>
      </c>
      <c r="AQ562" s="62" t="n">
        <f aca="false">IF(LEFT(Cockpit!$I$5,1)="A",H562,IF(Parameter!$E$30="MAX-Bestand",IF(CI562=1,CJ562,IF(LEFT(Cockpit!$I$5,1)="B",AW562,MAX(AW562,H562))),ROUNDUP(AU562,0)))</f>
        <v>15</v>
      </c>
      <c r="AR562" s="62" t="n">
        <f aca="false">IF(CA562=1,0,ROUNDUP(AQ562/BZ562,0))</f>
        <v>1</v>
      </c>
      <c r="AS562" s="64" t="n">
        <f aca="false">IF(CR562&gt;0,CR562*MAX(1,AQ562/X562),IF(CA562=1,IF(AQ562&lt;=0,0,CE562*MAX(1,IF(H562&gt;0,AQ562/H562,1))),IF(R562&gt;0,AR562/R562,0))/MAX(0.1,N(Parameter!$M$21)))</f>
        <v>0.00961538461538462</v>
      </c>
      <c r="AT562" s="62" t="n">
        <f aca="false">AS562*CC562</f>
        <v>1.49038461538462</v>
      </c>
      <c r="AU562" s="63" t="n">
        <f aca="false">IF(LEFT(Cockpit!$I$5,1)="A",H562,IF(CI562=1,(CL562+CJ562)/2,IF(LEFT(Cockpit!$I$5,1)="B",(CL562+AW562)/2,MAX((CL562+AW562)/2,H562))))</f>
        <v>15</v>
      </c>
      <c r="AV562" s="62" t="n">
        <f aca="false">AU562*G562</f>
        <v>21</v>
      </c>
      <c r="AW562" s="62" t="n">
        <f aca="false">ROUNDUP(CL562+MAX(CM562,2*(J562/IF(CH562&gt;0,CH562,MAX(0.1,N(Cockpit!$I$6)))-CL562)),0)</f>
        <v>16</v>
      </c>
      <c r="AX562" s="63" t="n">
        <f aca="false">IF(AT562&gt;0,J562/AT562,-1)</f>
        <v>10.0645161290323</v>
      </c>
      <c r="AY562" s="63" t="n">
        <f aca="false">IF(AND(OR(CG562="L1",CG562="L23",CG562="LIFT"),AT562&gt;0),SUMIFS($AT$7:$AT$1843,$CG$7:$CG$1843,CG562,$AX$7:$AX$1843,"&gt;"&amp;AX562)+SUMIFS($AT$7:$AT$1843,$CG$7:$CG$1843,CG562,$AX$7:$AX$1843,AX562,$BX$7:$BX$1843,"&lt;="&amp;BX562),"")</f>
        <v>3198.27426739927</v>
      </c>
      <c r="AZ562" s="70" t="n">
        <f aca="false">IF(AY562="",0,MAX(0,MIN(1,(IF(CG562="L1",Parameter!$H$5,IF(CG562="L23",Parameter!$H$6+Parameter!$H$7,Parameter!$H$5+Parameter!$H$6+Parameter!$H$7))-(AY562-AT562))/AT562)))</f>
        <v>1</v>
      </c>
      <c r="BA562" s="62" t="n">
        <f aca="false">IF(LEFT(Cockpit!$O$5,1)="A",H562,IF(Parameter!$E$30="MAX-Bestand",IF(CI562=1,CJ562,IF(LEFT(Cockpit!$O$5,1)="B",BG562,MAX(BG562,H562))),ROUNDUP(BE562,0)))</f>
        <v>9</v>
      </c>
      <c r="BB562" s="62" t="n">
        <f aca="false">IF(CA562=1,0,ROUNDUP(BA562/BZ562,0))</f>
        <v>1</v>
      </c>
      <c r="BC562" s="64" t="n">
        <f aca="false">IF(CR562&gt;0,CR562*MAX(1,BA562/X562),IF(CA562=1,IF(BA562&lt;=0,0,CE562*MAX(1,IF(H562&gt;0,BA562/H562,1))),IF(R562&gt;0,BB562/R562,0))/MAX(0.1,N(Parameter!$M$21)))</f>
        <v>0.00961538461538462</v>
      </c>
      <c r="BD562" s="62" t="n">
        <f aca="false">BC562*CC562</f>
        <v>1.49038461538462</v>
      </c>
      <c r="BE562" s="63" t="n">
        <f aca="false">IF(LEFT(Cockpit!$O$5,1)="A",H562,IF(CI562=1,(CL562+CJ562)/2,IF(LEFT(Cockpit!$O$5,1)="B",(CL562+BG562)/2,MAX((CL562+BG562)/2,H562))))</f>
        <v>8.5</v>
      </c>
      <c r="BF562" s="62" t="n">
        <f aca="false">BE562*G562</f>
        <v>11.9</v>
      </c>
      <c r="BG562" s="62" t="n">
        <f aca="false">ROUNDUP(CL562+MAX(CM562,2*(J562/IF(CH562&gt;0,CH562,MAX(0.1,N(Cockpit!$O$6)))-CL562)),0)</f>
        <v>16</v>
      </c>
      <c r="BH562" s="63" t="n">
        <f aca="false">IF(BD562&gt;0,J562/BD562,-1)</f>
        <v>10.0645161290323</v>
      </c>
      <c r="BI562" s="63" t="n">
        <f aca="false">IF(AND(OR(CG562="L1",CG562="L23",CG562="LIFT"),BD562&gt;0),SUMIFS($BD$7:$BD$1843,$CG$7:$CG$1843,CG562,$BH$7:$BH$1843,"&gt;"&amp;BH562)+SUMIFS($BD$7:$BD$1843,$CG$7:$CG$1843,CG562,$BH$7:$BH$1843,BH562,$BX$7:$BX$1843,"&lt;="&amp;BX562),"")</f>
        <v>2671.46016483517</v>
      </c>
      <c r="BJ562" s="70" t="n">
        <f aca="false">IF(BI562="",0,MAX(0,MIN(1,(IF(CG562="L1",Parameter!$H$5,IF(CG562="L23",Parameter!$H$6+Parameter!$H$7,Parameter!$H$5+Parameter!$H$6+Parameter!$H$7))-(BI562-BD562))/BD562)))</f>
        <v>1</v>
      </c>
      <c r="BK562" s="60" t="str">
        <f aca="false">IF(AJ562&lt;=0,"",IF(CG562="Aussen","Aussenlager",IF(CG562="-","Nicht im Lift",IF(AP562&gt;=1,"Lift",IF(AP562&lt;=0,"Aussenlager","teilweise")))))</f>
        <v>Lift</v>
      </c>
      <c r="BL562" s="60" t="str">
        <f aca="false">IF(AT562&lt;=0,"",IF(CG562="Aussen","Aussenlager",IF(CG562="-","Nicht im Lift",IF(AZ562&gt;=1,"Lift",IF(AZ562&lt;=0,"Aussenlager","teilweise")))))</f>
        <v>Lift</v>
      </c>
      <c r="BM562" s="60" t="str">
        <f aca="false">IF(BD562&lt;=0,"",IF(CG562="Aussen","Aussenlager",IF(CG562="-","Nicht im Lift",IF(BJ562&gt;=1,"Lift",IF(BJ562&lt;=0,"Aussenlager","teilweise")))))</f>
        <v>Lift</v>
      </c>
      <c r="BN562" s="60" t="str">
        <f aca="false">IF(A562="","",IF(BW562=1,"Neu; ","")&amp;IF(AND(BW562=0,BR562&lt;0),"negativer Bestand (Export "&amp;BR562&amp;"); ","")&amp;IF(J562&lt;=0,"Kein Verbrauch; ","")&amp;IF(CR562&gt;0,"Lift "&amp;W562&amp;" lt. Liftbericht (Fach "&amp;X562&amp;" Stk); ",IF(CB562=1,"Gebinde geschätzt ("&amp;T562&amp;"); ",IF(CA562=1,"Lose – Tablare geschätzt; ","")))&amp;IF(H562&gt;AW562,"Überbestand "&amp;ROUND(H562-AW562,0)&amp;" Stk / CHF "&amp;ROUND((H562-AW562)*G562,0)&amp;"; ","")&amp;IF(AND(CI562=1,CJ562&lt;CK562),"MAX &lt; MB+LG; ","")&amp;IF(AND(CQ562&gt;0,CP562*10&gt;CQ562),"zu hoch für Tablar; ","")&amp;IF(AND(BW562=0,OR(CI562=1,AB562&lt;&gt;"",U562&lt;&gt;"",V562&lt;&gt;"",AC562&lt;&gt;"")),"manuell übersteuert; ","")&amp;IF(AND(CA562=0,R562=0),"Gebinde unbekannt / Stellmass fehlt; ","")&amp;IF(AND(CA562=0,N(V562)&lt;=0,N(Q562)&lt;=0),"Menge pro Gebinde fehlt (Ist = 1 Gebinde); ","")&amp;BV562)</f>
        <v/>
      </c>
      <c r="BO562" s="60"/>
      <c r="BP562" s="60"/>
      <c r="BQ562" s="67"/>
      <c r="BR562" s="62" t="n">
        <v>10</v>
      </c>
      <c r="BS562" s="62" t="n">
        <v>5</v>
      </c>
      <c r="BT562" s="61" t="n">
        <v>14.1</v>
      </c>
      <c r="BU562" s="62" t="n">
        <v>15</v>
      </c>
      <c r="BV562" s="60"/>
      <c r="BW562" s="65" t="n">
        <v>0</v>
      </c>
      <c r="BX562" s="65" t="n">
        <v>562</v>
      </c>
      <c r="BY562" s="60" t="str">
        <f aca="false">IF(U562&lt;&gt;"",UPPER(TRIM(U562)),IF(CB562=1,UPPER(VLOOKUP(T562,Parameter!$I$27:$K$29,2,0)),IF(P562="","LOSE",P562)))</f>
        <v>S32</v>
      </c>
      <c r="BZ562" s="62" t="n">
        <f aca="false">IF(BY562="LOSE",1,IF(N(V562)&gt;0,V562,IF(CB562=1,MAX(1,N(VLOOKUP(T562,Parameter!$I$27:$K$29,3,0)),H562,N(N562)),IF(N(Q562)&gt;0,Q562,MAX(1,H562)))))</f>
        <v>27</v>
      </c>
      <c r="CA562" s="65" t="n">
        <f aca="false">IF(BY562="LOSE",1,0)</f>
        <v>0</v>
      </c>
      <c r="CB562" s="65" t="n">
        <f aca="false">IF(AND(U562="",OR(P562="",P562="LOSE"),T562&lt;&gt;"",N(S562)&lt;=0,ISNUMBER(MATCH(T562,Parameter!$I$27:$I$29,0))),1,0)</f>
        <v>0</v>
      </c>
      <c r="CC562" s="65" t="n">
        <f aca="false">IF(CR562&gt;0,INDEX(Parameter!$H$5:$H$7,W562)/INDEX(Parameter!$E$5:$E$7,W562),IF(AND(CA562=0,N(IFERROR(VLOOKUP(BY562,'Gebinde-Kategorie'!$A$5:$N$45,14,0),0))&gt;0),VLOOKUP(BY562,'Gebinde-Kategorie'!$A$5:$N$45,14,0)*10+Parameter!$M$23,Parameter!$M$24))</f>
        <v>155</v>
      </c>
      <c r="CD562" s="60" t="str">
        <f aca="false">IF(AND(Parameter!$B$19="Ja",E562&lt;&gt;"",ISNUMBER(MATCH(E562,Parameter!$I$35:$I$52,0))),VLOOKUP(E562,Parameter!$I$35:$J$52,2,0),IFERROR(VLOOKUP(D562,Parameter!$A$35:$C$64,2,0),"Nein"))</f>
        <v>2+3</v>
      </c>
      <c r="CE562" s="64" t="n">
        <f aca="false">IF(CA562=0,0,IF(N(S562)&gt;0,S562,IFERROR(VLOOKUP(D562,Parameter!$A$35:$C$64,3,0)+0,0)))</f>
        <v>0</v>
      </c>
      <c r="CF562" s="60" t="n">
        <f aca="false">IF(AB562&lt;&gt;"",AB562,AA562)</f>
        <v>1</v>
      </c>
      <c r="CG562" s="60" t="str">
        <f aca="false">IF(OR(CF562=1,CF562=2,CF562=3),IF(Parameter!$E$27="Ja","LIFT",IF(CF562=1,"L1","L23")),IF(CF562="Aussen","Aussen","-"))</f>
        <v>LIFT</v>
      </c>
      <c r="CH562" s="71" t="n">
        <f aca="false">IF(N(AC562)&gt;0,AC562,0)</f>
        <v>0</v>
      </c>
      <c r="CI562" s="65" t="n">
        <f aca="false">IF(ISNUMBER(AF562),1,0)</f>
        <v>0</v>
      </c>
      <c r="CJ562" s="62" t="n">
        <f aca="false">N(AF562)</f>
        <v>0</v>
      </c>
      <c r="CK562" s="62" t="n">
        <f aca="false">N(M562)+N(N562)</f>
        <v>16</v>
      </c>
      <c r="CL562" s="62" t="n">
        <f aca="false">N(M562)</f>
        <v>1</v>
      </c>
      <c r="CM562" s="62" t="n">
        <f aca="false">N(N562)</f>
        <v>15</v>
      </c>
      <c r="CN562" s="62" t="n">
        <f aca="false">ROUNDUP(H562/BZ562,0)</f>
        <v>1</v>
      </c>
      <c r="CO562" s="62" t="n">
        <f aca="false">ROUNDUP(CJ562/BZ562,0)</f>
        <v>0</v>
      </c>
      <c r="CP562" s="65" t="n">
        <f aca="false">IF(CA562=1,0,IFERROR(VLOOKUP(BY562,'Gebinde-Kategorie'!$A$5:$N$45,5,0)+0,0))</f>
        <v>8</v>
      </c>
      <c r="CQ562" s="65" t="n">
        <f aca="false">IFERROR(IF(OR(CF562=1,CF562=2,CF562=3),N(INDEX(Parameter!$I$5:$I$7,CF562)),0),0)</f>
        <v>0</v>
      </c>
      <c r="CR562" s="64" t="n">
        <f aca="false">IF(AND(Parameter!$B$21="Ja",ISNUMBER(W562),N(X562)&gt;0),IFERROR(N(INDEX(Parameter!$L$5:$L$7,W562))*INDEX(Parameter!$E$5:$E$7,W562)*X562/SUMIFS($X$7:$X$1843,$W$7:$W$1843,W562),0),0)</f>
        <v>0</v>
      </c>
      <c r="CS562" s="62" t="n">
        <f aca="false">IF(AND(OR(CG562="L1",CG562="L23",CG562="LIFT"),H562&gt;0),CC562*IF(CR562&gt;0,CR562*MAX(1,H562/X562),IF(CA562=1,CE562,IF(R562&gt;0,CN562/R562,0))/MAX(0.1,N(Parameter!$M$21))),"")</f>
        <v>1.49038461538462</v>
      </c>
      <c r="CT562" s="64" t="n">
        <f aca="false">IF(CS562="","",J562/H562)</f>
        <v>1</v>
      </c>
      <c r="CU562" s="62" t="n">
        <f aca="false">IF(CS562="","",H562*G562)</f>
        <v>21</v>
      </c>
      <c r="CV562" s="63" t="n">
        <f aca="false">IF(CS562="","",(CL562+ROUNDUP(CL562+MAX(CM562,2*(J562/MAX(0.1,N(Einkauf!$C$6))-CL562)),0))/2)</f>
        <v>8.5</v>
      </c>
      <c r="CW562" s="62" t="n">
        <f aca="false">IF(CS562="","",MAX(0,H562-CV562)*G562)</f>
        <v>9.1</v>
      </c>
      <c r="CX562" s="62" t="n">
        <f aca="false">IF(CS562="","",CS562*MAX(0,1-CV562/H562))</f>
        <v>0.645833333333333</v>
      </c>
      <c r="CY562" s="64" t="n">
        <f aca="false">IF(CS562="","",PERCENTRANK($CS$7:$CS$1843,CS562)+PERCENTRANK($CU$7:$CU$1843,CU562)+1-PERCENTRANK($CT$7:$CT$1843,CT562))</f>
        <v>0.5613</v>
      </c>
      <c r="CZ562" s="72" t="n">
        <f aca="false">IF(CS562="","",CHOOSE(MATCH(Einkauf!$C$5,Parameter!$G$23:$G$27,0),CY562,CS562,CU562,-CT562,CW562)+ROW()/1000000000)</f>
        <v>0.561300562</v>
      </c>
    </row>
    <row r="563" customFormat="false" ht="15" hidden="false" customHeight="false" outlineLevel="0" collapsed="false">
      <c r="A563" s="60" t="s">
        <v>1236</v>
      </c>
      <c r="B563" s="60" t="s">
        <v>1237</v>
      </c>
      <c r="C563" s="60" t="s">
        <v>206</v>
      </c>
      <c r="D563" s="60" t="s">
        <v>226</v>
      </c>
      <c r="E563" s="60" t="s">
        <v>227</v>
      </c>
      <c r="F563" s="60" t="s">
        <v>260</v>
      </c>
      <c r="G563" s="61" t="n">
        <v>2</v>
      </c>
      <c r="H563" s="62" t="n">
        <f aca="false">MAX(0,IF(AND(Parameter!$B$21="Ja",ISNUMBER(Y563)),Y563,IF(Parameter!$B$20="Jahresanfang 2025 + Export",BS563+BR563,BR563)))</f>
        <v>11</v>
      </c>
      <c r="I563" s="62" t="n">
        <f aca="false">H563*G563</f>
        <v>22</v>
      </c>
      <c r="J563" s="62" t="n">
        <f aca="false">BU563*Parameter!$B$18</f>
        <v>0</v>
      </c>
      <c r="K563" s="63" t="n">
        <v>7.5</v>
      </c>
      <c r="L563" s="64" t="n">
        <v>0</v>
      </c>
      <c r="M563" s="62" t="n">
        <v>0</v>
      </c>
      <c r="N563" s="62" t="n">
        <v>1</v>
      </c>
      <c r="O563" s="65" t="n">
        <v>28</v>
      </c>
      <c r="P563" s="60" t="s">
        <v>443</v>
      </c>
      <c r="Q563" s="62" t="n">
        <v>4</v>
      </c>
      <c r="R563" s="65" t="n">
        <f aca="false">IF(CA563=1,0,IFERROR(VLOOKUP(BY563,'Gebinde-Kategorie'!$A$5:$N$45,13,0)+0,0))</f>
        <v>280</v>
      </c>
      <c r="S563" s="66"/>
      <c r="T563" s="67"/>
      <c r="U563" s="67"/>
      <c r="V563" s="67"/>
      <c r="W563" s="60"/>
      <c r="X563" s="62"/>
      <c r="Y563" s="62"/>
      <c r="Z563" s="60" t="n">
        <v>1</v>
      </c>
      <c r="AA563" s="60" t="n">
        <f aca="false">IF(A563="","",IF(AND(Parameter!$B$21="Ja",ISNUMBER(W563)),W563,IF(AND(Parameter!$E$27="Ja",ISNUMBER(Z563),CD563&lt;&gt;"Nein"),Z563,IF(CD563="2+3",IF(ISNUMBER(SEARCH("grosser Artikel",BV563)),2,IFERROR(VLOOKUP(BY563,Parameter!$F$35:$G$64,2,0),2)),IF(OR(CD563="Nein",CD563=""),"-",CD563)))))</f>
        <v>1</v>
      </c>
      <c r="AB563" s="67"/>
      <c r="AC563" s="68"/>
      <c r="AD563" s="62" t="n">
        <f aca="false">AW563</f>
        <v>1</v>
      </c>
      <c r="AE563" s="62" t="n">
        <f aca="false">MAX(AW563,H563)</f>
        <v>11</v>
      </c>
      <c r="AF563" s="69"/>
      <c r="AG563" s="62" t="n">
        <f aca="false">IF(LEFT(Cockpit!$C$5,1)="A",H563,IF(Parameter!$E$30="MAX-Bestand",IF(CI563=1,CJ563,IF(LEFT(Cockpit!$C$5,1)="B",AM563,MAX(AM563,H563))),ROUNDUP(AK563,0)))</f>
        <v>11</v>
      </c>
      <c r="AH563" s="62" t="n">
        <f aca="false">IF(CA563=1,0,ROUNDUP(AG563/BZ563,0))</f>
        <v>3</v>
      </c>
      <c r="AI563" s="64" t="n">
        <f aca="false">IF(CR563&gt;0,CR563*MAX(1,AG563/X563),IF(CA563=1,IF(AG563&lt;=0,0,CE563*MAX(1,IF(H563&gt;0,AG563/H563,1))),IF(R563&gt;0,AH563/R563,0))/MAX(0.1,N(Parameter!$M$21)))</f>
        <v>0.0107142857142857</v>
      </c>
      <c r="AJ563" s="62" t="n">
        <f aca="false">AI563*CC563</f>
        <v>1.66071428571429</v>
      </c>
      <c r="AK563" s="63" t="n">
        <f aca="false">IF(LEFT(Cockpit!$C$5,1)="A",H563,IF(CI563=1,(CL563+CJ563)/2,IF(LEFT(Cockpit!$C$5,1)="B",(CL563+AM563)/2,MAX((CL563+AM563)/2,H563))))</f>
        <v>11</v>
      </c>
      <c r="AL563" s="62" t="n">
        <f aca="false">AK563*G563</f>
        <v>22</v>
      </c>
      <c r="AM563" s="62" t="n">
        <f aca="false">ROUNDUP(CL563+MAX(CM563,2*(J563/IF(CH563&gt;0,CH563,MAX(0.1,N(Cockpit!$C$6)))-CL563)),0)</f>
        <v>1</v>
      </c>
      <c r="AN563" s="63" t="n">
        <f aca="false">IF(AJ563&gt;0,J563/AJ563,-1)</f>
        <v>0</v>
      </c>
      <c r="AO563" s="63" t="n">
        <f aca="false">IF(AND(OR(CG563="L1",CG563="L23",CG563="LIFT"),AJ563&gt;0),SUMIFS($AJ$7:$AJ$1843,$CG$7:$CG$1843,CG563,$AN$7:$AN$1843,"&gt;"&amp;AN563)+SUMIFS($AJ$7:$AJ$1843,$CG$7:$CG$1843,CG563,$AN$7:$AN$1843,AN563,$BX$7:$BX$1843,"&lt;="&amp;BX563),"")</f>
        <v>28399.2900033112</v>
      </c>
      <c r="AP563" s="70" t="n">
        <f aca="false">IF(AO563="",0,MAX(0,MIN(1,(IF(CG563="L1",Parameter!$H$5,IF(CG563="L23",Parameter!$H$6+Parameter!$H$7,Parameter!$H$5+Parameter!$H$6+Parameter!$H$7))-(AO563-AJ563))/AJ563)))</f>
        <v>1</v>
      </c>
      <c r="AQ563" s="62" t="n">
        <f aca="false">IF(LEFT(Cockpit!$I$5,1)="A",H563,IF(Parameter!$E$30="MAX-Bestand",IF(CI563=1,CJ563,IF(LEFT(Cockpit!$I$5,1)="B",AW563,MAX(AW563,H563))),ROUNDUP(AU563,0)))</f>
        <v>11</v>
      </c>
      <c r="AR563" s="62" t="n">
        <f aca="false">IF(CA563=1,0,ROUNDUP(AQ563/BZ563,0))</f>
        <v>3</v>
      </c>
      <c r="AS563" s="64" t="n">
        <f aca="false">IF(CR563&gt;0,CR563*MAX(1,AQ563/X563),IF(CA563=1,IF(AQ563&lt;=0,0,CE563*MAX(1,IF(H563&gt;0,AQ563/H563,1))),IF(R563&gt;0,AR563/R563,0))/MAX(0.1,N(Parameter!$M$21)))</f>
        <v>0.0107142857142857</v>
      </c>
      <c r="AT563" s="62" t="n">
        <f aca="false">AS563*CC563</f>
        <v>1.66071428571429</v>
      </c>
      <c r="AU563" s="63" t="n">
        <f aca="false">IF(LEFT(Cockpit!$I$5,1)="A",H563,IF(CI563=1,(CL563+CJ563)/2,IF(LEFT(Cockpit!$I$5,1)="B",(CL563+AW563)/2,MAX((CL563+AW563)/2,H563))))</f>
        <v>11</v>
      </c>
      <c r="AV563" s="62" t="n">
        <f aca="false">AU563*G563</f>
        <v>22</v>
      </c>
      <c r="AW563" s="62" t="n">
        <f aca="false">ROUNDUP(CL563+MAX(CM563,2*(J563/IF(CH563&gt;0,CH563,MAX(0.1,N(Cockpit!$I$6)))-CL563)),0)</f>
        <v>1</v>
      </c>
      <c r="AX563" s="63" t="n">
        <f aca="false">IF(AT563&gt;0,J563/AT563,-1)</f>
        <v>0</v>
      </c>
      <c r="AY563" s="63" t="n">
        <f aca="false">IF(AND(OR(CG563="L1",CG563="L23",CG563="LIFT"),AT563&gt;0),SUMIFS($AT$7:$AT$1843,$CG$7:$CG$1843,CG563,$AX$7:$AX$1843,"&gt;"&amp;AX563)+SUMIFS($AT$7:$AT$1843,$CG$7:$CG$1843,CG563,$AX$7:$AX$1843,AX563,$BX$7:$BX$1843,"&lt;="&amp;BX563),"")</f>
        <v>33752.4386446886</v>
      </c>
      <c r="AZ563" s="70" t="n">
        <f aca="false">IF(AY563="",0,MAX(0,MIN(1,(IF(CG563="L1",Parameter!$H$5,IF(CG563="L23",Parameter!$H$6+Parameter!$H$7,Parameter!$H$5+Parameter!$H$6+Parameter!$H$7))-(AY563-AT563))/AT563)))</f>
        <v>1</v>
      </c>
      <c r="BA563" s="62" t="n">
        <f aca="false">IF(LEFT(Cockpit!$O$5,1)="A",H563,IF(Parameter!$E$30="MAX-Bestand",IF(CI563=1,CJ563,IF(LEFT(Cockpit!$O$5,1)="B",BG563,MAX(BG563,H563))),ROUNDUP(BE563,0)))</f>
        <v>1</v>
      </c>
      <c r="BB563" s="62" t="n">
        <f aca="false">IF(CA563=1,0,ROUNDUP(BA563/BZ563,0))</f>
        <v>1</v>
      </c>
      <c r="BC563" s="64" t="n">
        <f aca="false">IF(CR563&gt;0,CR563*MAX(1,BA563/X563),IF(CA563=1,IF(BA563&lt;=0,0,CE563*MAX(1,IF(H563&gt;0,BA563/H563,1))),IF(R563&gt;0,BB563/R563,0))/MAX(0.1,N(Parameter!$M$21)))</f>
        <v>0.00357142857142857</v>
      </c>
      <c r="BD563" s="62" t="n">
        <f aca="false">BC563*CC563</f>
        <v>0.553571428571429</v>
      </c>
      <c r="BE563" s="63" t="n">
        <f aca="false">IF(LEFT(Cockpit!$O$5,1)="A",H563,IF(CI563=1,(CL563+CJ563)/2,IF(LEFT(Cockpit!$O$5,1)="B",(CL563+BG563)/2,MAX((CL563+BG563)/2,H563))))</f>
        <v>0.5</v>
      </c>
      <c r="BF563" s="62" t="n">
        <f aca="false">BE563*G563</f>
        <v>1</v>
      </c>
      <c r="BG563" s="62" t="n">
        <f aca="false">ROUNDUP(CL563+MAX(CM563,2*(J563/IF(CH563&gt;0,CH563,MAX(0.1,N(Cockpit!$O$6)))-CL563)),0)</f>
        <v>1</v>
      </c>
      <c r="BH563" s="63" t="n">
        <f aca="false">IF(BD563&gt;0,J563/BD563,-1)</f>
        <v>0</v>
      </c>
      <c r="BI563" s="63" t="n">
        <f aca="false">IF(AND(OR(CG563="L1",CG563="L23",CG563="LIFT"),BD563&gt;0),SUMIFS($BD$7:$BD$1843,$CG$7:$CG$1843,CG563,$BH$7:$BH$1843,"&gt;"&amp;BH563)+SUMIFS($BD$7:$BD$1843,$CG$7:$CG$1843,CG563,$BH$7:$BH$1843,BH563,$BX$7:$BX$1843,"&lt;="&amp;BX563),"")</f>
        <v>27829.7681986093</v>
      </c>
      <c r="BJ563" s="70" t="n">
        <f aca="false">IF(BI563="",0,MAX(0,MIN(1,(IF(CG563="L1",Parameter!$H$5,IF(CG563="L23",Parameter!$H$6+Parameter!$H$7,Parameter!$H$5+Parameter!$H$6+Parameter!$H$7))-(BI563-BD563))/BD563)))</f>
        <v>1</v>
      </c>
      <c r="BK563" s="60" t="str">
        <f aca="false">IF(AJ563&lt;=0,"",IF(CG563="Aussen","Aussenlager",IF(CG563="-","Nicht im Lift",IF(AP563&gt;=1,"Lift",IF(AP563&lt;=0,"Aussenlager","teilweise")))))</f>
        <v>Lift</v>
      </c>
      <c r="BL563" s="60" t="str">
        <f aca="false">IF(AT563&lt;=0,"",IF(CG563="Aussen","Aussenlager",IF(CG563="-","Nicht im Lift",IF(AZ563&gt;=1,"Lift",IF(AZ563&lt;=0,"Aussenlager","teilweise")))))</f>
        <v>Lift</v>
      </c>
      <c r="BM563" s="60" t="str">
        <f aca="false">IF(BD563&lt;=0,"",IF(CG563="Aussen","Aussenlager",IF(CG563="-","Nicht im Lift",IF(BJ563&gt;=1,"Lift",IF(BJ563&lt;=0,"Aussenlager","teilweise")))))</f>
        <v>Lift</v>
      </c>
      <c r="BN563" s="60" t="str">
        <f aca="false">IF(A563="","",IF(BW563=1,"Neu; ","")&amp;IF(AND(BW563=0,BR563&lt;0),"negativer Bestand (Export "&amp;BR563&amp;"); ","")&amp;IF(J563&lt;=0,"Kein Verbrauch; ","")&amp;IF(CR563&gt;0,"Lift "&amp;W563&amp;" lt. Liftbericht (Fach "&amp;X563&amp;" Stk); ",IF(CB563=1,"Gebinde geschätzt ("&amp;T563&amp;"); ",IF(CA563=1,"Lose – Tablare geschätzt; ","")))&amp;IF(H563&gt;AW563,"Überbestand "&amp;ROUND(H563-AW563,0)&amp;" Stk / CHF "&amp;ROUND((H563-AW563)*G563,0)&amp;"; ","")&amp;IF(AND(CI563=1,CJ563&lt;CK563),"MAX &lt; MB+LG; ","")&amp;IF(AND(CQ563&gt;0,CP563*10&gt;CQ563),"zu hoch für Tablar; ","")&amp;IF(AND(BW563=0,OR(CI563=1,AB563&lt;&gt;"",U563&lt;&gt;"",V563&lt;&gt;"",AC563&lt;&gt;"")),"manuell übersteuert; ","")&amp;IF(AND(CA563=0,R563=0),"Gebinde unbekannt / Stellmass fehlt; ","")&amp;IF(AND(CA563=0,N(V563)&lt;=0,N(Q563)&lt;=0),"Menge pro Gebinde fehlt (Ist = 1 Gebinde); ","")&amp;BV563)</f>
        <v>Kein Verbrauch; Überbestand 10 Stk / CHF 20; </v>
      </c>
      <c r="BO563" s="60"/>
      <c r="BP563" s="60"/>
      <c r="BQ563" s="67"/>
      <c r="BR563" s="62" t="n">
        <v>7</v>
      </c>
      <c r="BS563" s="62" t="n">
        <v>4</v>
      </c>
      <c r="BT563" s="61" t="n">
        <v>14</v>
      </c>
      <c r="BU563" s="62" t="n">
        <v>0</v>
      </c>
      <c r="BV563" s="60"/>
      <c r="BW563" s="65" t="n">
        <v>0</v>
      </c>
      <c r="BX563" s="65" t="n">
        <v>563</v>
      </c>
      <c r="BY563" s="60" t="str">
        <f aca="false">IF(U563&lt;&gt;"",UPPER(TRIM(U563)),IF(CB563=1,UPPER(VLOOKUP(T563,Parameter!$I$27:$K$29,2,0)),IF(P563="","LOSE",P563)))</f>
        <v>S21</v>
      </c>
      <c r="BZ563" s="62" t="n">
        <f aca="false">IF(BY563="LOSE",1,IF(N(V563)&gt;0,V563,IF(CB563=1,MAX(1,N(VLOOKUP(T563,Parameter!$I$27:$K$29,3,0)),H563,N(N563)),IF(N(Q563)&gt;0,Q563,MAX(1,H563)))))</f>
        <v>4</v>
      </c>
      <c r="CA563" s="65" t="n">
        <f aca="false">IF(BY563="LOSE",1,0)</f>
        <v>0</v>
      </c>
      <c r="CB563" s="65" t="n">
        <f aca="false">IF(AND(U563="",OR(P563="",P563="LOSE"),T563&lt;&gt;"",N(S563)&lt;=0,ISNUMBER(MATCH(T563,Parameter!$I$27:$I$29,0))),1,0)</f>
        <v>0</v>
      </c>
      <c r="CC563" s="65" t="n">
        <f aca="false">IF(CR563&gt;0,INDEX(Parameter!$H$5:$H$7,W563)/INDEX(Parameter!$E$5:$E$7,W563),IF(AND(CA563=0,N(IFERROR(VLOOKUP(BY563,'Gebinde-Kategorie'!$A$5:$N$45,14,0),0))&gt;0),VLOOKUP(BY563,'Gebinde-Kategorie'!$A$5:$N$45,14,0)*10+Parameter!$M$23,Parameter!$M$24))</f>
        <v>155</v>
      </c>
      <c r="CD563" s="60" t="str">
        <f aca="false">IF(AND(Parameter!$B$19="Ja",E563&lt;&gt;"",ISNUMBER(MATCH(E563,Parameter!$I$35:$I$52,0))),VLOOKUP(E563,Parameter!$I$35:$J$52,2,0),IFERROR(VLOOKUP(D563,Parameter!$A$35:$C$64,2,0),"Nein"))</f>
        <v>2+3</v>
      </c>
      <c r="CE563" s="64" t="n">
        <f aca="false">IF(CA563=0,0,IF(N(S563)&gt;0,S563,IFERROR(VLOOKUP(D563,Parameter!$A$35:$C$64,3,0)+0,0)))</f>
        <v>0</v>
      </c>
      <c r="CF563" s="60" t="n">
        <f aca="false">IF(AB563&lt;&gt;"",AB563,AA563)</f>
        <v>1</v>
      </c>
      <c r="CG563" s="60" t="str">
        <f aca="false">IF(OR(CF563=1,CF563=2,CF563=3),IF(Parameter!$E$27="Ja","LIFT",IF(CF563=1,"L1","L23")),IF(CF563="Aussen","Aussen","-"))</f>
        <v>LIFT</v>
      </c>
      <c r="CH563" s="71" t="n">
        <f aca="false">IF(N(AC563)&gt;0,AC563,0)</f>
        <v>0</v>
      </c>
      <c r="CI563" s="65" t="n">
        <f aca="false">IF(ISNUMBER(AF563),1,0)</f>
        <v>0</v>
      </c>
      <c r="CJ563" s="62" t="n">
        <f aca="false">N(AF563)</f>
        <v>0</v>
      </c>
      <c r="CK563" s="62" t="n">
        <f aca="false">N(M563)+N(N563)</f>
        <v>1</v>
      </c>
      <c r="CL563" s="62" t="n">
        <f aca="false">N(M563)</f>
        <v>0</v>
      </c>
      <c r="CM563" s="62" t="n">
        <f aca="false">N(N563)</f>
        <v>1</v>
      </c>
      <c r="CN563" s="62" t="n">
        <f aca="false">ROUNDUP(H563/BZ563,0)</f>
        <v>3</v>
      </c>
      <c r="CO563" s="62" t="n">
        <f aca="false">ROUNDUP(CJ563/BZ563,0)</f>
        <v>0</v>
      </c>
      <c r="CP563" s="65" t="n">
        <f aca="false">IF(CA563=1,0,IFERROR(VLOOKUP(BY563,'Gebinde-Kategorie'!$A$5:$N$45,5,0)+0,0))</f>
        <v>8</v>
      </c>
      <c r="CQ563" s="65" t="n">
        <f aca="false">IFERROR(IF(OR(CF563=1,CF563=2,CF563=3),N(INDEX(Parameter!$I$5:$I$7,CF563)),0),0)</f>
        <v>0</v>
      </c>
      <c r="CR563" s="64" t="n">
        <f aca="false">IF(AND(Parameter!$B$21="Ja",ISNUMBER(W563),N(X563)&gt;0),IFERROR(N(INDEX(Parameter!$L$5:$L$7,W563))*INDEX(Parameter!$E$5:$E$7,W563)*X563/SUMIFS($X$7:$X$1843,$W$7:$W$1843,W563),0),0)</f>
        <v>0</v>
      </c>
      <c r="CS563" s="62" t="n">
        <f aca="false">IF(AND(OR(CG563="L1",CG563="L23",CG563="LIFT"),H563&gt;0),CC563*IF(CR563&gt;0,CR563*MAX(1,H563/X563),IF(CA563=1,CE563,IF(R563&gt;0,CN563/R563,0))/MAX(0.1,N(Parameter!$M$21))),"")</f>
        <v>1.66071428571429</v>
      </c>
      <c r="CT563" s="64" t="n">
        <f aca="false">IF(CS563="","",J563/H563)</f>
        <v>0</v>
      </c>
      <c r="CU563" s="62" t="n">
        <f aca="false">IF(CS563="","",H563*G563)</f>
        <v>22</v>
      </c>
      <c r="CV563" s="63" t="n">
        <f aca="false">IF(CS563="","",(CL563+ROUNDUP(CL563+MAX(CM563,2*(J563/MAX(0.1,N(Einkauf!$C$6))-CL563)),0))/2)</f>
        <v>0.5</v>
      </c>
      <c r="CW563" s="62" t="n">
        <f aca="false">IF(CS563="","",MAX(0,H563-CV563)*G563)</f>
        <v>21</v>
      </c>
      <c r="CX563" s="62" t="n">
        <f aca="false">IF(CS563="","",CS563*MAX(0,1-CV563/H563))</f>
        <v>1.58522727272727</v>
      </c>
      <c r="CY563" s="64" t="n">
        <f aca="false">IF(CS563="","",PERCENTRANK($CS$7:$CS$1843,CS563)+PERCENTRANK($CU$7:$CU$1843,CU563)+1-PERCENTRANK($CT$7:$CT$1843,CT563))</f>
        <v>1.2801</v>
      </c>
      <c r="CZ563" s="72" t="n">
        <f aca="false">IF(CS563="","",CHOOSE(MATCH(Einkauf!$C$5,Parameter!$G$23:$G$27,0),CY563,CS563,CU563,-CT563,CW563)+ROW()/1000000000)</f>
        <v>1.280100563</v>
      </c>
    </row>
    <row r="564" customFormat="false" ht="15" hidden="false" customHeight="false" outlineLevel="0" collapsed="false">
      <c r="A564" s="60" t="s">
        <v>1238</v>
      </c>
      <c r="B564" s="60" t="s">
        <v>696</v>
      </c>
      <c r="C564" s="60" t="s">
        <v>206</v>
      </c>
      <c r="D564" s="60" t="s">
        <v>226</v>
      </c>
      <c r="E564" s="60" t="s">
        <v>227</v>
      </c>
      <c r="F564" s="60" t="s">
        <v>260</v>
      </c>
      <c r="G564" s="61" t="n">
        <v>0.06</v>
      </c>
      <c r="H564" s="62" t="n">
        <f aca="false">MAX(0,IF(AND(Parameter!$B$21="Ja",ISNUMBER(Y564)),Y564,IF(Parameter!$B$20="Jahresanfang 2025 + Export",BS564+BR564,BR564)))</f>
        <v>545</v>
      </c>
      <c r="I564" s="62" t="n">
        <f aca="false">H564*G564</f>
        <v>32.7</v>
      </c>
      <c r="J564" s="62" t="n">
        <f aca="false">BU564*Parameter!$B$18</f>
        <v>382</v>
      </c>
      <c r="K564" s="63" t="n">
        <v>289</v>
      </c>
      <c r="L564" s="64" t="n">
        <v>1.32179930795848</v>
      </c>
      <c r="M564" s="62" t="n">
        <v>22</v>
      </c>
      <c r="N564" s="62" t="n">
        <v>500</v>
      </c>
      <c r="O564" s="65" t="n">
        <v>21</v>
      </c>
      <c r="P564" s="60" t="s">
        <v>344</v>
      </c>
      <c r="Q564" s="62" t="n">
        <v>437</v>
      </c>
      <c r="R564" s="65" t="n">
        <f aca="false">IF(CA564=1,0,IFERROR(VLOOKUP(BY564,'Gebinde-Kategorie'!$A$5:$N$45,13,0)+0,0))</f>
        <v>26</v>
      </c>
      <c r="S564" s="66"/>
      <c r="T564" s="67"/>
      <c r="U564" s="67"/>
      <c r="V564" s="67"/>
      <c r="W564" s="60"/>
      <c r="X564" s="62"/>
      <c r="Y564" s="62"/>
      <c r="Z564" s="60" t="n">
        <v>3</v>
      </c>
      <c r="AA564" s="60" t="n">
        <f aca="false">IF(A564="","",IF(AND(Parameter!$B$21="Ja",ISNUMBER(W564)),W564,IF(AND(Parameter!$E$27="Ja",ISNUMBER(Z564),CD564&lt;&gt;"Nein"),Z564,IF(CD564="2+3",IF(ISNUMBER(SEARCH("grosser Artikel",BV564)),2,IFERROR(VLOOKUP(BY564,Parameter!$F$35:$G$64,2,0),2)),IF(OR(CD564="Nein",CD564=""),"-",CD564)))))</f>
        <v>3</v>
      </c>
      <c r="AB564" s="67"/>
      <c r="AC564" s="68"/>
      <c r="AD564" s="62" t="n">
        <f aca="false">AW564</f>
        <v>522</v>
      </c>
      <c r="AE564" s="62" t="n">
        <f aca="false">MAX(AW564,H564)</f>
        <v>545</v>
      </c>
      <c r="AF564" s="69"/>
      <c r="AG564" s="62" t="n">
        <f aca="false">IF(LEFT(Cockpit!$C$5,1)="A",H564,IF(Parameter!$E$30="MAX-Bestand",IF(CI564=1,CJ564,IF(LEFT(Cockpit!$C$5,1)="B",AM564,MAX(AM564,H564))),ROUNDUP(AK564,0)))</f>
        <v>545</v>
      </c>
      <c r="AH564" s="62" t="n">
        <f aca="false">IF(CA564=1,0,ROUNDUP(AG564/BZ564,0))</f>
        <v>2</v>
      </c>
      <c r="AI564" s="64" t="n">
        <f aca="false">IF(CR564&gt;0,CR564*MAX(1,AG564/X564),IF(CA564=1,IF(AG564&lt;=0,0,CE564*MAX(1,IF(H564&gt;0,AG564/H564,1))),IF(R564&gt;0,AH564/R564,0))/MAX(0.1,N(Parameter!$M$21)))</f>
        <v>0.0769230769230769</v>
      </c>
      <c r="AJ564" s="62" t="n">
        <f aca="false">AI564*CC564</f>
        <v>11.9230769230769</v>
      </c>
      <c r="AK564" s="63" t="n">
        <f aca="false">IF(LEFT(Cockpit!$C$5,1)="A",H564,IF(CI564=1,(CL564+CJ564)/2,IF(LEFT(Cockpit!$C$5,1)="B",(CL564+AM564)/2,MAX((CL564+AM564)/2,H564))))</f>
        <v>545</v>
      </c>
      <c r="AL564" s="62" t="n">
        <f aca="false">AK564*G564</f>
        <v>32.7</v>
      </c>
      <c r="AM564" s="62" t="n">
        <f aca="false">ROUNDUP(CL564+MAX(CM564,2*(J564/IF(CH564&gt;0,CH564,MAX(0.1,N(Cockpit!$C$6)))-CL564)),0)</f>
        <v>522</v>
      </c>
      <c r="AN564" s="63" t="n">
        <f aca="false">IF(AJ564&gt;0,J564/AJ564,-1)</f>
        <v>32.0387096774194</v>
      </c>
      <c r="AO564" s="63" t="n">
        <f aca="false">IF(AND(OR(CG564="L1",CG564="L23",CG564="LIFT"),AJ564&gt;0),SUMIFS($AJ$7:$AJ$1843,$CG$7:$CG$1843,CG564,$AN$7:$AN$1843,"&gt;"&amp;AN564)+SUMIFS($AJ$7:$AJ$1843,$CG$7:$CG$1843,CG564,$AN$7:$AN$1843,AN564,$BX$7:$BX$1843,"&lt;="&amp;BX564),"")</f>
        <v>1367.10164835165</v>
      </c>
      <c r="AP564" s="70" t="n">
        <f aca="false">IF(AO564="",0,MAX(0,MIN(1,(IF(CG564="L1",Parameter!$H$5,IF(CG564="L23",Parameter!$H$6+Parameter!$H$7,Parameter!$H$5+Parameter!$H$6+Parameter!$H$7))-(AO564-AJ564))/AJ564)))</f>
        <v>1</v>
      </c>
      <c r="AQ564" s="62" t="n">
        <f aca="false">IF(LEFT(Cockpit!$I$5,1)="A",H564,IF(Parameter!$E$30="MAX-Bestand",IF(CI564=1,CJ564,IF(LEFT(Cockpit!$I$5,1)="B",AW564,MAX(AW564,H564))),ROUNDUP(AU564,0)))</f>
        <v>545</v>
      </c>
      <c r="AR564" s="62" t="n">
        <f aca="false">IF(CA564=1,0,ROUNDUP(AQ564/BZ564,0))</f>
        <v>2</v>
      </c>
      <c r="AS564" s="64" t="n">
        <f aca="false">IF(CR564&gt;0,CR564*MAX(1,AQ564/X564),IF(CA564=1,IF(AQ564&lt;=0,0,CE564*MAX(1,IF(H564&gt;0,AQ564/H564,1))),IF(R564&gt;0,AR564/R564,0))/MAX(0.1,N(Parameter!$M$21)))</f>
        <v>0.0769230769230769</v>
      </c>
      <c r="AT564" s="62" t="n">
        <f aca="false">AS564*CC564</f>
        <v>11.9230769230769</v>
      </c>
      <c r="AU564" s="63" t="n">
        <f aca="false">IF(LEFT(Cockpit!$I$5,1)="A",H564,IF(CI564=1,(CL564+CJ564)/2,IF(LEFT(Cockpit!$I$5,1)="B",(CL564+AW564)/2,MAX((CL564+AW564)/2,H564))))</f>
        <v>545</v>
      </c>
      <c r="AV564" s="62" t="n">
        <f aca="false">AU564*G564</f>
        <v>32.7</v>
      </c>
      <c r="AW564" s="62" t="n">
        <f aca="false">ROUNDUP(CL564+MAX(CM564,2*(J564/IF(CH564&gt;0,CH564,MAX(0.1,N(Cockpit!$I$6)))-CL564)),0)</f>
        <v>522</v>
      </c>
      <c r="AX564" s="63" t="n">
        <f aca="false">IF(AT564&gt;0,J564/AT564,-1)</f>
        <v>32.0387096774194</v>
      </c>
      <c r="AY564" s="63" t="n">
        <f aca="false">IF(AND(OR(CG564="L1",CG564="L23",CG564="LIFT"),AT564&gt;0),SUMIFS($AT$7:$AT$1843,$CG$7:$CG$1843,CG564,$AX$7:$AX$1843,"&gt;"&amp;AX564)+SUMIFS($AT$7:$AT$1843,$CG$7:$CG$1843,CG564,$AX$7:$AX$1843,AX564,$BX$7:$BX$1843,"&lt;="&amp;BX564),"")</f>
        <v>1760.36767399267</v>
      </c>
      <c r="AZ564" s="70" t="n">
        <f aca="false">IF(AY564="",0,MAX(0,MIN(1,(IF(CG564="L1",Parameter!$H$5,IF(CG564="L23",Parameter!$H$6+Parameter!$H$7,Parameter!$H$5+Parameter!$H$6+Parameter!$H$7))-(AY564-AT564))/AT564)))</f>
        <v>1</v>
      </c>
      <c r="BA564" s="62" t="n">
        <f aca="false">IF(LEFT(Cockpit!$O$5,1)="A",H564,IF(Parameter!$E$30="MAX-Bestand",IF(CI564=1,CJ564,IF(LEFT(Cockpit!$O$5,1)="B",BG564,MAX(BG564,H564))),ROUNDUP(BE564,0)))</f>
        <v>272</v>
      </c>
      <c r="BB564" s="62" t="n">
        <f aca="false">IF(CA564=1,0,ROUNDUP(BA564/BZ564,0))</f>
        <v>1</v>
      </c>
      <c r="BC564" s="64" t="n">
        <f aca="false">IF(CR564&gt;0,CR564*MAX(1,BA564/X564),IF(CA564=1,IF(BA564&lt;=0,0,CE564*MAX(1,IF(H564&gt;0,BA564/H564,1))),IF(R564&gt;0,BB564/R564,0))/MAX(0.1,N(Parameter!$M$21)))</f>
        <v>0.0384615384615385</v>
      </c>
      <c r="BD564" s="62" t="n">
        <f aca="false">BC564*CC564</f>
        <v>5.96153846153846</v>
      </c>
      <c r="BE564" s="63" t="n">
        <f aca="false">IF(LEFT(Cockpit!$O$5,1)="A",H564,IF(CI564=1,(CL564+CJ564)/2,IF(LEFT(Cockpit!$O$5,1)="B",(CL564+BG564)/2,MAX((CL564+BG564)/2,H564))))</f>
        <v>272</v>
      </c>
      <c r="BF564" s="62" t="n">
        <f aca="false">BE564*G564</f>
        <v>16.32</v>
      </c>
      <c r="BG564" s="62" t="n">
        <f aca="false">ROUNDUP(CL564+MAX(CM564,2*(J564/IF(CH564&gt;0,CH564,MAX(0.1,N(Cockpit!$O$6)))-CL564)),0)</f>
        <v>522</v>
      </c>
      <c r="BH564" s="63" t="n">
        <f aca="false">IF(BD564&gt;0,J564/BD564,-1)</f>
        <v>64.0774193548387</v>
      </c>
      <c r="BI564" s="63" t="n">
        <f aca="false">IF(AND(OR(CG564="L1",CG564="L23",CG564="LIFT"),BD564&gt;0),SUMIFS($BD$7:$BD$1843,$CG$7:$CG$1843,CG564,$BH$7:$BH$1843,"&gt;"&amp;BH564)+SUMIFS($BD$7:$BD$1843,$CG$7:$CG$1843,CG564,$BH$7:$BH$1843,BH564,$BX$7:$BX$1843,"&lt;="&amp;BX564),"")</f>
        <v>1058.89652014652</v>
      </c>
      <c r="BJ564" s="70" t="n">
        <f aca="false">IF(BI564="",0,MAX(0,MIN(1,(IF(CG564="L1",Parameter!$H$5,IF(CG564="L23",Parameter!$H$6+Parameter!$H$7,Parameter!$H$5+Parameter!$H$6+Parameter!$H$7))-(BI564-BD564))/BD564)))</f>
        <v>1</v>
      </c>
      <c r="BK564" s="60" t="str">
        <f aca="false">IF(AJ564&lt;=0,"",IF(CG564="Aussen","Aussenlager",IF(CG564="-","Nicht im Lift",IF(AP564&gt;=1,"Lift",IF(AP564&lt;=0,"Aussenlager","teilweise")))))</f>
        <v>Lift</v>
      </c>
      <c r="BL564" s="60" t="str">
        <f aca="false">IF(AT564&lt;=0,"",IF(CG564="Aussen","Aussenlager",IF(CG564="-","Nicht im Lift",IF(AZ564&gt;=1,"Lift",IF(AZ564&lt;=0,"Aussenlager","teilweise")))))</f>
        <v>Lift</v>
      </c>
      <c r="BM564" s="60" t="str">
        <f aca="false">IF(BD564&lt;=0,"",IF(CG564="Aussen","Aussenlager",IF(CG564="-","Nicht im Lift",IF(BJ564&gt;=1,"Lift",IF(BJ564&lt;=0,"Aussenlager","teilweise")))))</f>
        <v>Lift</v>
      </c>
      <c r="BN564" s="60" t="str">
        <f aca="false">IF(A564="","",IF(BW564=1,"Neu; ","")&amp;IF(AND(BW564=0,BR564&lt;0),"negativer Bestand (Export "&amp;BR564&amp;"); ","")&amp;IF(J564&lt;=0,"Kein Verbrauch; ","")&amp;IF(CR564&gt;0,"Lift "&amp;W564&amp;" lt. Liftbericht (Fach "&amp;X564&amp;" Stk); ",IF(CB564=1,"Gebinde geschätzt ("&amp;T564&amp;"); ",IF(CA564=1,"Lose – Tablare geschätzt; ","")))&amp;IF(H564&gt;AW564,"Überbestand "&amp;ROUND(H564-AW564,0)&amp;" Stk / CHF "&amp;ROUND((H564-AW564)*G564,0)&amp;"; ","")&amp;IF(AND(CI564=1,CJ564&lt;CK564),"MAX &lt; MB+LG; ","")&amp;IF(AND(CQ564&gt;0,CP564*10&gt;CQ564),"zu hoch für Tablar; ","")&amp;IF(AND(BW564=0,OR(CI564=1,AB564&lt;&gt;"",U564&lt;&gt;"",V564&lt;&gt;"",AC564&lt;&gt;"")),"manuell übersteuert; ","")&amp;IF(AND(CA564=0,R564=0),"Gebinde unbekannt / Stellmass fehlt; ","")&amp;IF(AND(CA564=0,N(V564)&lt;=0,N(Q564)&lt;=0),"Menge pro Gebinde fehlt (Ist = 1 Gebinde); ","")&amp;BV564)</f>
        <v>Überbestand 23 Stk / CHF 1; </v>
      </c>
      <c r="BO564" s="60"/>
      <c r="BP564" s="60"/>
      <c r="BQ564" s="67"/>
      <c r="BR564" s="62" t="n">
        <v>233</v>
      </c>
      <c r="BS564" s="62" t="n">
        <v>312</v>
      </c>
      <c r="BT564" s="61" t="n">
        <v>13.98</v>
      </c>
      <c r="BU564" s="62" t="n">
        <v>382</v>
      </c>
      <c r="BV564" s="60"/>
      <c r="BW564" s="65" t="n">
        <v>0</v>
      </c>
      <c r="BX564" s="65" t="n">
        <v>564</v>
      </c>
      <c r="BY564" s="60" t="str">
        <f aca="false">IF(U564&lt;&gt;"",UPPER(TRIM(U564)),IF(CB564=1,UPPER(VLOOKUP(T564,Parameter!$I$27:$K$29,2,0)),IF(P564="","LOSE",P564)))</f>
        <v>S51</v>
      </c>
      <c r="BZ564" s="62" t="n">
        <f aca="false">IF(BY564="LOSE",1,IF(N(V564)&gt;0,V564,IF(CB564=1,MAX(1,N(VLOOKUP(T564,Parameter!$I$27:$K$29,3,0)),H564,N(N564)),IF(N(Q564)&gt;0,Q564,MAX(1,H564)))))</f>
        <v>437</v>
      </c>
      <c r="CA564" s="65" t="n">
        <f aca="false">IF(BY564="LOSE",1,0)</f>
        <v>0</v>
      </c>
      <c r="CB564" s="65" t="n">
        <f aca="false">IF(AND(U564="",OR(P564="",P564="LOSE"),T564&lt;&gt;"",N(S564)&lt;=0,ISNUMBER(MATCH(T564,Parameter!$I$27:$I$29,0))),1,0)</f>
        <v>0</v>
      </c>
      <c r="CC564" s="65" t="n">
        <f aca="false">IF(CR564&gt;0,INDEX(Parameter!$H$5:$H$7,W564)/INDEX(Parameter!$E$5:$E$7,W564),IF(AND(CA564=0,N(IFERROR(VLOOKUP(BY564,'Gebinde-Kategorie'!$A$5:$N$45,14,0),0))&gt;0),VLOOKUP(BY564,'Gebinde-Kategorie'!$A$5:$N$45,14,0)*10+Parameter!$M$23,Parameter!$M$24))</f>
        <v>155</v>
      </c>
      <c r="CD564" s="60" t="str">
        <f aca="false">IF(AND(Parameter!$B$19="Ja",E564&lt;&gt;"",ISNUMBER(MATCH(E564,Parameter!$I$35:$I$52,0))),VLOOKUP(E564,Parameter!$I$35:$J$52,2,0),IFERROR(VLOOKUP(D564,Parameter!$A$35:$C$64,2,0),"Nein"))</f>
        <v>2+3</v>
      </c>
      <c r="CE564" s="64" t="n">
        <f aca="false">IF(CA564=0,0,IF(N(S564)&gt;0,S564,IFERROR(VLOOKUP(D564,Parameter!$A$35:$C$64,3,0)+0,0)))</f>
        <v>0</v>
      </c>
      <c r="CF564" s="60" t="n">
        <f aca="false">IF(AB564&lt;&gt;"",AB564,AA564)</f>
        <v>3</v>
      </c>
      <c r="CG564" s="60" t="str">
        <f aca="false">IF(OR(CF564=1,CF564=2,CF564=3),IF(Parameter!$E$27="Ja","LIFT",IF(CF564=1,"L1","L23")),IF(CF564="Aussen","Aussen","-"))</f>
        <v>LIFT</v>
      </c>
      <c r="CH564" s="71" t="n">
        <f aca="false">IF(N(AC564)&gt;0,AC564,0)</f>
        <v>0</v>
      </c>
      <c r="CI564" s="65" t="n">
        <f aca="false">IF(ISNUMBER(AF564),1,0)</f>
        <v>0</v>
      </c>
      <c r="CJ564" s="62" t="n">
        <f aca="false">N(AF564)</f>
        <v>0</v>
      </c>
      <c r="CK564" s="62" t="n">
        <f aca="false">N(M564)+N(N564)</f>
        <v>522</v>
      </c>
      <c r="CL564" s="62" t="n">
        <f aca="false">N(M564)</f>
        <v>22</v>
      </c>
      <c r="CM564" s="62" t="n">
        <f aca="false">N(N564)</f>
        <v>500</v>
      </c>
      <c r="CN564" s="62" t="n">
        <f aca="false">ROUNDUP(H564/BZ564,0)</f>
        <v>2</v>
      </c>
      <c r="CO564" s="62" t="n">
        <f aca="false">ROUNDUP(CJ564/BZ564,0)</f>
        <v>0</v>
      </c>
      <c r="CP564" s="65" t="n">
        <f aca="false">IF(CA564=1,0,IFERROR(VLOOKUP(BY564,'Gebinde-Kategorie'!$A$5:$N$45,5,0)+0,0))</f>
        <v>11</v>
      </c>
      <c r="CQ564" s="65" t="n">
        <f aca="false">IFERROR(IF(OR(CF564=1,CF564=2,CF564=3),N(INDEX(Parameter!$I$5:$I$7,CF564)),0),0)</f>
        <v>0</v>
      </c>
      <c r="CR564" s="64" t="n">
        <f aca="false">IF(AND(Parameter!$B$21="Ja",ISNUMBER(W564),N(X564)&gt;0),IFERROR(N(INDEX(Parameter!$L$5:$L$7,W564))*INDEX(Parameter!$E$5:$E$7,W564)*X564/SUMIFS($X$7:$X$1843,$W$7:$W$1843,W564),0),0)</f>
        <v>0</v>
      </c>
      <c r="CS564" s="62" t="n">
        <f aca="false">IF(AND(OR(CG564="L1",CG564="L23",CG564="LIFT"),H564&gt;0),CC564*IF(CR564&gt;0,CR564*MAX(1,H564/X564),IF(CA564=1,CE564,IF(R564&gt;0,CN564/R564,0))/MAX(0.1,N(Parameter!$M$21))),"")</f>
        <v>11.9230769230769</v>
      </c>
      <c r="CT564" s="64" t="n">
        <f aca="false">IF(CS564="","",J564/H564)</f>
        <v>0.700917431192661</v>
      </c>
      <c r="CU564" s="62" t="n">
        <f aca="false">IF(CS564="","",H564*G564)</f>
        <v>32.7</v>
      </c>
      <c r="CV564" s="63" t="n">
        <f aca="false">IF(CS564="","",(CL564+ROUNDUP(CL564+MAX(CM564,2*(J564/MAX(0.1,N(Einkauf!$C$6))-CL564)),0))/2)</f>
        <v>272</v>
      </c>
      <c r="CW564" s="62" t="n">
        <f aca="false">IF(CS564="","",MAX(0,H564-CV564)*G564)</f>
        <v>16.38</v>
      </c>
      <c r="CX564" s="62" t="n">
        <f aca="false">IF(CS564="","",CS564*MAX(0,1-CV564/H564))</f>
        <v>5.97247706422018</v>
      </c>
      <c r="CY564" s="64" t="n">
        <f aca="false">IF(CS564="","",PERCENTRANK($CS$7:$CS$1843,CS564)+PERCENTRANK($CU$7:$CU$1843,CU564)+1-PERCENTRANK($CT$7:$CT$1843,CT564))</f>
        <v>1.162</v>
      </c>
      <c r="CZ564" s="72" t="n">
        <f aca="false">IF(CS564="","",CHOOSE(MATCH(Einkauf!$C$5,Parameter!$G$23:$G$27,0),CY564,CS564,CU564,-CT564,CW564)+ROW()/1000000000)</f>
        <v>1.162000564</v>
      </c>
    </row>
    <row r="565" customFormat="false" ht="15" hidden="false" customHeight="false" outlineLevel="0" collapsed="false">
      <c r="A565" s="60" t="s">
        <v>1239</v>
      </c>
      <c r="B565" s="60" t="s">
        <v>447</v>
      </c>
      <c r="C565" s="60" t="s">
        <v>206</v>
      </c>
      <c r="D565" s="60" t="s">
        <v>226</v>
      </c>
      <c r="E565" s="60" t="s">
        <v>227</v>
      </c>
      <c r="F565" s="60" t="s">
        <v>260</v>
      </c>
      <c r="G565" s="61" t="n">
        <v>0.06</v>
      </c>
      <c r="H565" s="62" t="n">
        <f aca="false">MAX(0,IF(AND(Parameter!$B$21="Ja",ISNUMBER(Y565)),Y565,IF(Parameter!$B$20="Jahresanfang 2025 + Export",BS565+BR565,BR565)))</f>
        <v>375</v>
      </c>
      <c r="I565" s="62" t="n">
        <f aca="false">H565*G565</f>
        <v>22.5</v>
      </c>
      <c r="J565" s="62" t="n">
        <f aca="false">BU565*Parameter!$B$18</f>
        <v>295</v>
      </c>
      <c r="K565" s="63" t="n">
        <v>144.5</v>
      </c>
      <c r="L565" s="64" t="n">
        <v>2.04152249134948</v>
      </c>
      <c r="M565" s="62" t="n">
        <v>17</v>
      </c>
      <c r="N565" s="62" t="n">
        <v>400</v>
      </c>
      <c r="O565" s="65" t="n">
        <v>21</v>
      </c>
      <c r="P565" s="60" t="s">
        <v>463</v>
      </c>
      <c r="Q565" s="62" t="n">
        <v>150</v>
      </c>
      <c r="R565" s="65" t="n">
        <f aca="false">IF(CA565=1,0,IFERROR(VLOOKUP(BY565,'Gebinde-Kategorie'!$A$5:$N$45,13,0)+0,0))</f>
        <v>104</v>
      </c>
      <c r="S565" s="66"/>
      <c r="T565" s="67"/>
      <c r="U565" s="67"/>
      <c r="V565" s="67"/>
      <c r="W565" s="60"/>
      <c r="X565" s="62"/>
      <c r="Y565" s="62"/>
      <c r="Z565" s="60" t="n">
        <v>3</v>
      </c>
      <c r="AA565" s="60" t="n">
        <f aca="false">IF(A565="","",IF(AND(Parameter!$B$21="Ja",ISNUMBER(W565)),W565,IF(AND(Parameter!$E$27="Ja",ISNUMBER(Z565),CD565&lt;&gt;"Nein"),Z565,IF(CD565="2+3",IF(ISNUMBER(SEARCH("grosser Artikel",BV565)),2,IFERROR(VLOOKUP(BY565,Parameter!$F$35:$G$64,2,0),2)),IF(OR(CD565="Nein",CD565=""),"-",CD565)))))</f>
        <v>3</v>
      </c>
      <c r="AB565" s="67"/>
      <c r="AC565" s="68"/>
      <c r="AD565" s="62" t="n">
        <f aca="false">AW565</f>
        <v>417</v>
      </c>
      <c r="AE565" s="62" t="n">
        <f aca="false">MAX(AW565,H565)</f>
        <v>417</v>
      </c>
      <c r="AF565" s="69"/>
      <c r="AG565" s="62" t="n">
        <f aca="false">IF(LEFT(Cockpit!$C$5,1)="A",H565,IF(Parameter!$E$30="MAX-Bestand",IF(CI565=1,CJ565,IF(LEFT(Cockpit!$C$5,1)="B",AM565,MAX(AM565,H565))),ROUNDUP(AK565,0)))</f>
        <v>375</v>
      </c>
      <c r="AH565" s="62" t="n">
        <f aca="false">IF(CA565=1,0,ROUNDUP(AG565/BZ565,0))</f>
        <v>3</v>
      </c>
      <c r="AI565" s="64" t="n">
        <f aca="false">IF(CR565&gt;0,CR565*MAX(1,AG565/X565),IF(CA565=1,IF(AG565&lt;=0,0,CE565*MAX(1,IF(H565&gt;0,AG565/H565,1))),IF(R565&gt;0,AH565/R565,0))/MAX(0.1,N(Parameter!$M$21)))</f>
        <v>0.0288461538461538</v>
      </c>
      <c r="AJ565" s="62" t="n">
        <f aca="false">AI565*CC565</f>
        <v>4.47115384615385</v>
      </c>
      <c r="AK565" s="63" t="n">
        <f aca="false">IF(LEFT(Cockpit!$C$5,1)="A",H565,IF(CI565=1,(CL565+CJ565)/2,IF(LEFT(Cockpit!$C$5,1)="B",(CL565+AM565)/2,MAX((CL565+AM565)/2,H565))))</f>
        <v>375</v>
      </c>
      <c r="AL565" s="62" t="n">
        <f aca="false">AK565*G565</f>
        <v>22.5</v>
      </c>
      <c r="AM565" s="62" t="n">
        <f aca="false">ROUNDUP(CL565+MAX(CM565,2*(J565/IF(CH565&gt;0,CH565,MAX(0.1,N(Cockpit!$C$6)))-CL565)),0)</f>
        <v>417</v>
      </c>
      <c r="AN565" s="63" t="n">
        <f aca="false">IF(AJ565&gt;0,J565/AJ565,-1)</f>
        <v>65.9784946236559</v>
      </c>
      <c r="AO565" s="63" t="n">
        <f aca="false">IF(AND(OR(CG565="L1",CG565="L23",CG565="LIFT"),AJ565&gt;0),SUMIFS($AJ$7:$AJ$1843,$CG$7:$CG$1843,CG565,$AN$7:$AN$1843,"&gt;"&amp;AN565)+SUMIFS($AJ$7:$AJ$1843,$CG$7:$CG$1843,CG565,$AN$7:$AN$1843,AN565,$BX$7:$BX$1843,"&lt;="&amp;BX565),"")</f>
        <v>922.778846153846</v>
      </c>
      <c r="AP565" s="70" t="n">
        <f aca="false">IF(AO565="",0,MAX(0,MIN(1,(IF(CG565="L1",Parameter!$H$5,IF(CG565="L23",Parameter!$H$6+Parameter!$H$7,Parameter!$H$5+Parameter!$H$6+Parameter!$H$7))-(AO565-AJ565))/AJ565)))</f>
        <v>1</v>
      </c>
      <c r="AQ565" s="62" t="n">
        <f aca="false">IF(LEFT(Cockpit!$I$5,1)="A",H565,IF(Parameter!$E$30="MAX-Bestand",IF(CI565=1,CJ565,IF(LEFT(Cockpit!$I$5,1)="B",AW565,MAX(AW565,H565))),ROUNDUP(AU565,0)))</f>
        <v>375</v>
      </c>
      <c r="AR565" s="62" t="n">
        <f aca="false">IF(CA565=1,0,ROUNDUP(AQ565/BZ565,0))</f>
        <v>3</v>
      </c>
      <c r="AS565" s="64" t="n">
        <f aca="false">IF(CR565&gt;0,CR565*MAX(1,AQ565/X565),IF(CA565=1,IF(AQ565&lt;=0,0,CE565*MAX(1,IF(H565&gt;0,AQ565/H565,1))),IF(R565&gt;0,AR565/R565,0))/MAX(0.1,N(Parameter!$M$21)))</f>
        <v>0.0288461538461538</v>
      </c>
      <c r="AT565" s="62" t="n">
        <f aca="false">AS565*CC565</f>
        <v>4.47115384615385</v>
      </c>
      <c r="AU565" s="63" t="n">
        <f aca="false">IF(LEFT(Cockpit!$I$5,1)="A",H565,IF(CI565=1,(CL565+CJ565)/2,IF(LEFT(Cockpit!$I$5,1)="B",(CL565+AW565)/2,MAX((CL565+AW565)/2,H565))))</f>
        <v>375</v>
      </c>
      <c r="AV565" s="62" t="n">
        <f aca="false">AU565*G565</f>
        <v>22.5</v>
      </c>
      <c r="AW565" s="62" t="n">
        <f aca="false">ROUNDUP(CL565+MAX(CM565,2*(J565/IF(CH565&gt;0,CH565,MAX(0.1,N(Cockpit!$I$6)))-CL565)),0)</f>
        <v>417</v>
      </c>
      <c r="AX565" s="63" t="n">
        <f aca="false">IF(AT565&gt;0,J565/AT565,-1)</f>
        <v>65.9784946236559</v>
      </c>
      <c r="AY565" s="63" t="n">
        <f aca="false">IF(AND(OR(CG565="L1",CG565="L23",CG565="LIFT"),AT565&gt;0),SUMIFS($AT$7:$AT$1843,$CG$7:$CG$1843,CG565,$AX$7:$AX$1843,"&gt;"&amp;AX565)+SUMIFS($AT$7:$AT$1843,$CG$7:$CG$1843,CG565,$AX$7:$AX$1843,AX565,$BX$7:$BX$1843,"&lt;="&amp;BX565),"")</f>
        <v>1134.58379120879</v>
      </c>
      <c r="AZ565" s="70" t="n">
        <f aca="false">IF(AY565="",0,MAX(0,MIN(1,(IF(CG565="L1",Parameter!$H$5,IF(CG565="L23",Parameter!$H$6+Parameter!$H$7,Parameter!$H$5+Parameter!$H$6+Parameter!$H$7))-(AY565-AT565))/AT565)))</f>
        <v>1</v>
      </c>
      <c r="BA565" s="62" t="n">
        <f aca="false">IF(LEFT(Cockpit!$O$5,1)="A",H565,IF(Parameter!$E$30="MAX-Bestand",IF(CI565=1,CJ565,IF(LEFT(Cockpit!$O$5,1)="B",BG565,MAX(BG565,H565))),ROUNDUP(BE565,0)))</f>
        <v>217</v>
      </c>
      <c r="BB565" s="62" t="n">
        <f aca="false">IF(CA565=1,0,ROUNDUP(BA565/BZ565,0))</f>
        <v>2</v>
      </c>
      <c r="BC565" s="64" t="n">
        <f aca="false">IF(CR565&gt;0,CR565*MAX(1,BA565/X565),IF(CA565=1,IF(BA565&lt;=0,0,CE565*MAX(1,IF(H565&gt;0,BA565/H565,1))),IF(R565&gt;0,BB565/R565,0))/MAX(0.1,N(Parameter!$M$21)))</f>
        <v>0.0192307692307692</v>
      </c>
      <c r="BD565" s="62" t="n">
        <f aca="false">BC565*CC565</f>
        <v>2.98076923076923</v>
      </c>
      <c r="BE565" s="63" t="n">
        <f aca="false">IF(LEFT(Cockpit!$O$5,1)="A",H565,IF(CI565=1,(CL565+CJ565)/2,IF(LEFT(Cockpit!$O$5,1)="B",(CL565+BG565)/2,MAX((CL565+BG565)/2,H565))))</f>
        <v>217</v>
      </c>
      <c r="BF565" s="62" t="n">
        <f aca="false">BE565*G565</f>
        <v>13.02</v>
      </c>
      <c r="BG565" s="62" t="n">
        <f aca="false">ROUNDUP(CL565+MAX(CM565,2*(J565/IF(CH565&gt;0,CH565,MAX(0.1,N(Cockpit!$O$6)))-CL565)),0)</f>
        <v>417</v>
      </c>
      <c r="BH565" s="63" t="n">
        <f aca="false">IF(BD565&gt;0,J565/BD565,-1)</f>
        <v>98.9677419354839</v>
      </c>
      <c r="BI565" s="63" t="n">
        <f aca="false">IF(AND(OR(CG565="L1",CG565="L23",CG565="LIFT"),BD565&gt;0),SUMIFS($BD$7:$BD$1843,$CG$7:$CG$1843,CG565,$BH$7:$BH$1843,"&gt;"&amp;BH565)+SUMIFS($BD$7:$BD$1843,$CG$7:$CG$1843,CG565,$BH$7:$BH$1843,BH565,$BX$7:$BX$1843,"&lt;="&amp;BX565),"")</f>
        <v>911.886446886447</v>
      </c>
      <c r="BJ565" s="70" t="n">
        <f aca="false">IF(BI565="",0,MAX(0,MIN(1,(IF(CG565="L1",Parameter!$H$5,IF(CG565="L23",Parameter!$H$6+Parameter!$H$7,Parameter!$H$5+Parameter!$H$6+Parameter!$H$7))-(BI565-BD565))/BD565)))</f>
        <v>1</v>
      </c>
      <c r="BK565" s="60" t="str">
        <f aca="false">IF(AJ565&lt;=0,"",IF(CG565="Aussen","Aussenlager",IF(CG565="-","Nicht im Lift",IF(AP565&gt;=1,"Lift",IF(AP565&lt;=0,"Aussenlager","teilweise")))))</f>
        <v>Lift</v>
      </c>
      <c r="BL565" s="60" t="str">
        <f aca="false">IF(AT565&lt;=0,"",IF(CG565="Aussen","Aussenlager",IF(CG565="-","Nicht im Lift",IF(AZ565&gt;=1,"Lift",IF(AZ565&lt;=0,"Aussenlager","teilweise")))))</f>
        <v>Lift</v>
      </c>
      <c r="BM565" s="60" t="str">
        <f aca="false">IF(BD565&lt;=0,"",IF(CG565="Aussen","Aussenlager",IF(CG565="-","Nicht im Lift",IF(BJ565&gt;=1,"Lift",IF(BJ565&lt;=0,"Aussenlager","teilweise")))))</f>
        <v>Lift</v>
      </c>
      <c r="BN565" s="60" t="str">
        <f aca="false">IF(A565="","",IF(BW565=1,"Neu; ","")&amp;IF(AND(BW565=0,BR565&lt;0),"negativer Bestand (Export "&amp;BR565&amp;"); ","")&amp;IF(J565&lt;=0,"Kein Verbrauch; ","")&amp;IF(CR565&gt;0,"Lift "&amp;W565&amp;" lt. Liftbericht (Fach "&amp;X565&amp;" Stk); ",IF(CB565=1,"Gebinde geschätzt ("&amp;T565&amp;"); ",IF(CA565=1,"Lose – Tablare geschätzt; ","")))&amp;IF(H565&gt;AW565,"Überbestand "&amp;ROUND(H565-AW565,0)&amp;" Stk / CHF "&amp;ROUND((H565-AW565)*G565,0)&amp;"; ","")&amp;IF(AND(CI565=1,CJ565&lt;CK565),"MAX &lt; MB+LG; ","")&amp;IF(AND(CQ565&gt;0,CP565*10&gt;CQ565),"zu hoch für Tablar; ","")&amp;IF(AND(BW565=0,OR(CI565=1,AB565&lt;&gt;"",U565&lt;&gt;"",V565&lt;&gt;"",AC565&lt;&gt;"")),"manuell übersteuert; ","")&amp;IF(AND(CA565=0,R565=0),"Gebinde unbekannt / Stellmass fehlt; ","")&amp;IF(AND(CA565=0,N(V565)&lt;=0,N(Q565)&lt;=0),"Menge pro Gebinde fehlt (Ist = 1 Gebinde); ","")&amp;BV565)</f>
        <v>nicht im KTL vorhanden</v>
      </c>
      <c r="BO565" s="60"/>
      <c r="BP565" s="60"/>
      <c r="BQ565" s="67"/>
      <c r="BR565" s="62" t="n">
        <v>259</v>
      </c>
      <c r="BS565" s="62" t="n">
        <v>116</v>
      </c>
      <c r="BT565" s="61" t="n">
        <v>13.22</v>
      </c>
      <c r="BU565" s="62" t="n">
        <v>295</v>
      </c>
      <c r="BV565" s="60" t="s">
        <v>272</v>
      </c>
      <c r="BW565" s="65" t="n">
        <v>0</v>
      </c>
      <c r="BX565" s="65" t="n">
        <v>565</v>
      </c>
      <c r="BY565" s="60" t="str">
        <f aca="false">IF(U565&lt;&gt;"",UPPER(TRIM(U565)),IF(CB565=1,UPPER(VLOOKUP(T565,Parameter!$I$27:$K$29,2,0)),IF(P565="","LOSE",P565)))</f>
        <v>S32</v>
      </c>
      <c r="BZ565" s="62" t="n">
        <f aca="false">IF(BY565="LOSE",1,IF(N(V565)&gt;0,V565,IF(CB565=1,MAX(1,N(VLOOKUP(T565,Parameter!$I$27:$K$29,3,0)),H565,N(N565)),IF(N(Q565)&gt;0,Q565,MAX(1,H565)))))</f>
        <v>150</v>
      </c>
      <c r="CA565" s="65" t="n">
        <f aca="false">IF(BY565="LOSE",1,0)</f>
        <v>0</v>
      </c>
      <c r="CB565" s="65" t="n">
        <f aca="false">IF(AND(U565="",OR(P565="",P565="LOSE"),T565&lt;&gt;"",N(S565)&lt;=0,ISNUMBER(MATCH(T565,Parameter!$I$27:$I$29,0))),1,0)</f>
        <v>0</v>
      </c>
      <c r="CC565" s="65" t="n">
        <f aca="false">IF(CR565&gt;0,INDEX(Parameter!$H$5:$H$7,W565)/INDEX(Parameter!$E$5:$E$7,W565),IF(AND(CA565=0,N(IFERROR(VLOOKUP(BY565,'Gebinde-Kategorie'!$A$5:$N$45,14,0),0))&gt;0),VLOOKUP(BY565,'Gebinde-Kategorie'!$A$5:$N$45,14,0)*10+Parameter!$M$23,Parameter!$M$24))</f>
        <v>155</v>
      </c>
      <c r="CD565" s="60" t="str">
        <f aca="false">IF(AND(Parameter!$B$19="Ja",E565&lt;&gt;"",ISNUMBER(MATCH(E565,Parameter!$I$35:$I$52,0))),VLOOKUP(E565,Parameter!$I$35:$J$52,2,0),IFERROR(VLOOKUP(D565,Parameter!$A$35:$C$64,2,0),"Nein"))</f>
        <v>2+3</v>
      </c>
      <c r="CE565" s="64" t="n">
        <f aca="false">IF(CA565=0,0,IF(N(S565)&gt;0,S565,IFERROR(VLOOKUP(D565,Parameter!$A$35:$C$64,3,0)+0,0)))</f>
        <v>0</v>
      </c>
      <c r="CF565" s="60" t="n">
        <f aca="false">IF(AB565&lt;&gt;"",AB565,AA565)</f>
        <v>3</v>
      </c>
      <c r="CG565" s="60" t="str">
        <f aca="false">IF(OR(CF565=1,CF565=2,CF565=3),IF(Parameter!$E$27="Ja","LIFT",IF(CF565=1,"L1","L23")),IF(CF565="Aussen","Aussen","-"))</f>
        <v>LIFT</v>
      </c>
      <c r="CH565" s="71" t="n">
        <f aca="false">IF(N(AC565)&gt;0,AC565,0)</f>
        <v>0</v>
      </c>
      <c r="CI565" s="65" t="n">
        <f aca="false">IF(ISNUMBER(AF565),1,0)</f>
        <v>0</v>
      </c>
      <c r="CJ565" s="62" t="n">
        <f aca="false">N(AF565)</f>
        <v>0</v>
      </c>
      <c r="CK565" s="62" t="n">
        <f aca="false">N(M565)+N(N565)</f>
        <v>417</v>
      </c>
      <c r="CL565" s="62" t="n">
        <f aca="false">N(M565)</f>
        <v>17</v>
      </c>
      <c r="CM565" s="62" t="n">
        <f aca="false">N(N565)</f>
        <v>400</v>
      </c>
      <c r="CN565" s="62" t="n">
        <f aca="false">ROUNDUP(H565/BZ565,0)</f>
        <v>3</v>
      </c>
      <c r="CO565" s="62" t="n">
        <f aca="false">ROUNDUP(CJ565/BZ565,0)</f>
        <v>0</v>
      </c>
      <c r="CP565" s="65" t="n">
        <f aca="false">IF(CA565=1,0,IFERROR(VLOOKUP(BY565,'Gebinde-Kategorie'!$A$5:$N$45,5,0)+0,0))</f>
        <v>8</v>
      </c>
      <c r="CQ565" s="65" t="n">
        <f aca="false">IFERROR(IF(OR(CF565=1,CF565=2,CF565=3),N(INDEX(Parameter!$I$5:$I$7,CF565)),0),0)</f>
        <v>0</v>
      </c>
      <c r="CR565" s="64" t="n">
        <f aca="false">IF(AND(Parameter!$B$21="Ja",ISNUMBER(W565),N(X565)&gt;0),IFERROR(N(INDEX(Parameter!$L$5:$L$7,W565))*INDEX(Parameter!$E$5:$E$7,W565)*X565/SUMIFS($X$7:$X$1843,$W$7:$W$1843,W565),0),0)</f>
        <v>0</v>
      </c>
      <c r="CS565" s="62" t="n">
        <f aca="false">IF(AND(OR(CG565="L1",CG565="L23",CG565="LIFT"),H565&gt;0),CC565*IF(CR565&gt;0,CR565*MAX(1,H565/X565),IF(CA565=1,CE565,IF(R565&gt;0,CN565/R565,0))/MAX(0.1,N(Parameter!$M$21))),"")</f>
        <v>4.47115384615385</v>
      </c>
      <c r="CT565" s="64" t="n">
        <f aca="false">IF(CS565="","",J565/H565)</f>
        <v>0.786666666666667</v>
      </c>
      <c r="CU565" s="62" t="n">
        <f aca="false">IF(CS565="","",H565*G565)</f>
        <v>22.5</v>
      </c>
      <c r="CV565" s="63" t="n">
        <f aca="false">IF(CS565="","",(CL565+ROUNDUP(CL565+MAX(CM565,2*(J565/MAX(0.1,N(Einkauf!$C$6))-CL565)),0))/2)</f>
        <v>217</v>
      </c>
      <c r="CW565" s="62" t="n">
        <f aca="false">IF(CS565="","",MAX(0,H565-CV565)*G565)</f>
        <v>9.48</v>
      </c>
      <c r="CX565" s="62" t="n">
        <f aca="false">IF(CS565="","",CS565*MAX(0,1-CV565/H565))</f>
        <v>1.88384615384615</v>
      </c>
      <c r="CY565" s="64" t="n">
        <f aca="false">IF(CS565="","",PERCENTRANK($CS$7:$CS$1843,CS565)+PERCENTRANK($CU$7:$CU$1843,CU565)+1-PERCENTRANK($CT$7:$CT$1843,CT565))</f>
        <v>0.8342</v>
      </c>
      <c r="CZ565" s="72" t="n">
        <f aca="false">IF(CS565="","",CHOOSE(MATCH(Einkauf!$C$5,Parameter!$G$23:$G$27,0),CY565,CS565,CU565,-CT565,CW565)+ROW()/1000000000)</f>
        <v>0.834200565</v>
      </c>
    </row>
    <row r="566" customFormat="false" ht="15" hidden="false" customHeight="false" outlineLevel="0" collapsed="false">
      <c r="A566" s="60" t="s">
        <v>1240</v>
      </c>
      <c r="B566" s="60" t="s">
        <v>447</v>
      </c>
      <c r="C566" s="60" t="s">
        <v>206</v>
      </c>
      <c r="D566" s="60" t="s">
        <v>226</v>
      </c>
      <c r="E566" s="60" t="s">
        <v>227</v>
      </c>
      <c r="F566" s="60" t="s">
        <v>260</v>
      </c>
      <c r="G566" s="61" t="n">
        <v>0.03</v>
      </c>
      <c r="H566" s="62" t="n">
        <f aca="false">MAX(0,IF(AND(Parameter!$B$21="Ja",ISNUMBER(Y566)),Y566,IF(Parameter!$B$20="Jahresanfang 2025 + Export",BS566+BR566,BR566)))</f>
        <v>1021</v>
      </c>
      <c r="I566" s="62" t="n">
        <f aca="false">H566*G566</f>
        <v>30.63</v>
      </c>
      <c r="J566" s="62" t="n">
        <f aca="false">BU566*Parameter!$B$18</f>
        <v>604</v>
      </c>
      <c r="K566" s="63" t="n">
        <v>521.5</v>
      </c>
      <c r="L566" s="64" t="n">
        <v>1.1581975071908</v>
      </c>
      <c r="M566" s="62" t="n">
        <v>35</v>
      </c>
      <c r="N566" s="62" t="n">
        <v>500</v>
      </c>
      <c r="O566" s="65" t="n">
        <v>21</v>
      </c>
      <c r="P566" s="60" t="s">
        <v>463</v>
      </c>
      <c r="Q566" s="62" t="n">
        <v>504</v>
      </c>
      <c r="R566" s="65" t="n">
        <f aca="false">IF(CA566=1,0,IFERROR(VLOOKUP(BY566,'Gebinde-Kategorie'!$A$5:$N$45,13,0)+0,0))</f>
        <v>104</v>
      </c>
      <c r="S566" s="66"/>
      <c r="T566" s="67"/>
      <c r="U566" s="67"/>
      <c r="V566" s="67"/>
      <c r="W566" s="60"/>
      <c r="X566" s="62"/>
      <c r="Y566" s="62"/>
      <c r="Z566" s="60" t="n">
        <v>3</v>
      </c>
      <c r="AA566" s="60" t="n">
        <f aca="false">IF(A566="","",IF(AND(Parameter!$B$21="Ja",ISNUMBER(W566)),W566,IF(AND(Parameter!$E$27="Ja",ISNUMBER(Z566),CD566&lt;&gt;"Nein"),Z566,IF(CD566="2+3",IF(ISNUMBER(SEARCH("grosser Artikel",BV566)),2,IFERROR(VLOOKUP(BY566,Parameter!$F$35:$G$64,2,0),2)),IF(OR(CD566="Nein",CD566=""),"-",CD566)))))</f>
        <v>3</v>
      </c>
      <c r="AB566" s="67"/>
      <c r="AC566" s="68"/>
      <c r="AD566" s="62" t="n">
        <f aca="false">AW566</f>
        <v>535</v>
      </c>
      <c r="AE566" s="62" t="n">
        <f aca="false">MAX(AW566,H566)</f>
        <v>1021</v>
      </c>
      <c r="AF566" s="69"/>
      <c r="AG566" s="62" t="n">
        <f aca="false">IF(LEFT(Cockpit!$C$5,1)="A",H566,IF(Parameter!$E$30="MAX-Bestand",IF(CI566=1,CJ566,IF(LEFT(Cockpit!$C$5,1)="B",AM566,MAX(AM566,H566))),ROUNDUP(AK566,0)))</f>
        <v>1021</v>
      </c>
      <c r="AH566" s="62" t="n">
        <f aca="false">IF(CA566=1,0,ROUNDUP(AG566/BZ566,0))</f>
        <v>3</v>
      </c>
      <c r="AI566" s="64" t="n">
        <f aca="false">IF(CR566&gt;0,CR566*MAX(1,AG566/X566),IF(CA566=1,IF(AG566&lt;=0,0,CE566*MAX(1,IF(H566&gt;0,AG566/H566,1))),IF(R566&gt;0,AH566/R566,0))/MAX(0.1,N(Parameter!$M$21)))</f>
        <v>0.0288461538461538</v>
      </c>
      <c r="AJ566" s="62" t="n">
        <f aca="false">AI566*CC566</f>
        <v>4.47115384615385</v>
      </c>
      <c r="AK566" s="63" t="n">
        <f aca="false">IF(LEFT(Cockpit!$C$5,1)="A",H566,IF(CI566=1,(CL566+CJ566)/2,IF(LEFT(Cockpit!$C$5,1)="B",(CL566+AM566)/2,MAX((CL566+AM566)/2,H566))))</f>
        <v>1021</v>
      </c>
      <c r="AL566" s="62" t="n">
        <f aca="false">AK566*G566</f>
        <v>30.63</v>
      </c>
      <c r="AM566" s="62" t="n">
        <f aca="false">ROUNDUP(CL566+MAX(CM566,2*(J566/IF(CH566&gt;0,CH566,MAX(0.1,N(Cockpit!$C$6)))-CL566)),0)</f>
        <v>535</v>
      </c>
      <c r="AN566" s="63" t="n">
        <f aca="false">IF(AJ566&gt;0,J566/AJ566,-1)</f>
        <v>135.088172043011</v>
      </c>
      <c r="AO566" s="63" t="n">
        <f aca="false">IF(AND(OR(CG566="L1",CG566="L23",CG566="LIFT"),AJ566&gt;0),SUMIFS($AJ$7:$AJ$1843,$CG$7:$CG$1843,CG566,$AN$7:$AN$1843,"&gt;"&amp;AN566)+SUMIFS($AJ$7:$AJ$1843,$CG$7:$CG$1843,CG566,$AN$7:$AN$1843,AN566,$BX$7:$BX$1843,"&lt;="&amp;BX566),"")</f>
        <v>544.327380952381</v>
      </c>
      <c r="AP566" s="70" t="n">
        <f aca="false">IF(AO566="",0,MAX(0,MIN(1,(IF(CG566="L1",Parameter!$H$5,IF(CG566="L23",Parameter!$H$6+Parameter!$H$7,Parameter!$H$5+Parameter!$H$6+Parameter!$H$7))-(AO566-AJ566))/AJ566)))</f>
        <v>1</v>
      </c>
      <c r="AQ566" s="62" t="n">
        <f aca="false">IF(LEFT(Cockpit!$I$5,1)="A",H566,IF(Parameter!$E$30="MAX-Bestand",IF(CI566=1,CJ566,IF(LEFT(Cockpit!$I$5,1)="B",AW566,MAX(AW566,H566))),ROUNDUP(AU566,0)))</f>
        <v>1021</v>
      </c>
      <c r="AR566" s="62" t="n">
        <f aca="false">IF(CA566=1,0,ROUNDUP(AQ566/BZ566,0))</f>
        <v>3</v>
      </c>
      <c r="AS566" s="64" t="n">
        <f aca="false">IF(CR566&gt;0,CR566*MAX(1,AQ566/X566),IF(CA566=1,IF(AQ566&lt;=0,0,CE566*MAX(1,IF(H566&gt;0,AQ566/H566,1))),IF(R566&gt;0,AR566/R566,0))/MAX(0.1,N(Parameter!$M$21)))</f>
        <v>0.0288461538461538</v>
      </c>
      <c r="AT566" s="62" t="n">
        <f aca="false">AS566*CC566</f>
        <v>4.47115384615385</v>
      </c>
      <c r="AU566" s="63" t="n">
        <f aca="false">IF(LEFT(Cockpit!$I$5,1)="A",H566,IF(CI566=1,(CL566+CJ566)/2,IF(LEFT(Cockpit!$I$5,1)="B",(CL566+AW566)/2,MAX((CL566+AW566)/2,H566))))</f>
        <v>1021</v>
      </c>
      <c r="AV566" s="62" t="n">
        <f aca="false">AU566*G566</f>
        <v>30.63</v>
      </c>
      <c r="AW566" s="62" t="n">
        <f aca="false">ROUNDUP(CL566+MAX(CM566,2*(J566/IF(CH566&gt;0,CH566,MAX(0.1,N(Cockpit!$I$6)))-CL566)),0)</f>
        <v>535</v>
      </c>
      <c r="AX566" s="63" t="n">
        <f aca="false">IF(AT566&gt;0,J566/AT566,-1)</f>
        <v>135.088172043011</v>
      </c>
      <c r="AY566" s="63" t="n">
        <f aca="false">IF(AND(OR(CG566="L1",CG566="L23",CG566="LIFT"),AT566&gt;0),SUMIFS($AT$7:$AT$1843,$CG$7:$CG$1843,CG566,$AX$7:$AX$1843,"&gt;"&amp;AX566)+SUMIFS($AT$7:$AT$1843,$CG$7:$CG$1843,CG566,$AX$7:$AX$1843,AX566,$BX$7:$BX$1843,"&lt;="&amp;BX566),"")</f>
        <v>661.964285714286</v>
      </c>
      <c r="AZ566" s="70" t="n">
        <f aca="false">IF(AY566="",0,MAX(0,MIN(1,(IF(CG566="L1",Parameter!$H$5,IF(CG566="L23",Parameter!$H$6+Parameter!$H$7,Parameter!$H$5+Parameter!$H$6+Parameter!$H$7))-(AY566-AT566))/AT566)))</f>
        <v>1</v>
      </c>
      <c r="BA566" s="62" t="n">
        <f aca="false">IF(LEFT(Cockpit!$O$5,1)="A",H566,IF(Parameter!$E$30="MAX-Bestand",IF(CI566=1,CJ566,IF(LEFT(Cockpit!$O$5,1)="B",BG566,MAX(BG566,H566))),ROUNDUP(BE566,0)))</f>
        <v>285</v>
      </c>
      <c r="BB566" s="62" t="n">
        <f aca="false">IF(CA566=1,0,ROUNDUP(BA566/BZ566,0))</f>
        <v>1</v>
      </c>
      <c r="BC566" s="64" t="n">
        <f aca="false">IF(CR566&gt;0,CR566*MAX(1,BA566/X566),IF(CA566=1,IF(BA566&lt;=0,0,CE566*MAX(1,IF(H566&gt;0,BA566/H566,1))),IF(R566&gt;0,BB566/R566,0))/MAX(0.1,N(Parameter!$M$21)))</f>
        <v>0.00961538461538462</v>
      </c>
      <c r="BD566" s="62" t="n">
        <f aca="false">BC566*CC566</f>
        <v>1.49038461538462</v>
      </c>
      <c r="BE566" s="63" t="n">
        <f aca="false">IF(LEFT(Cockpit!$O$5,1)="A",H566,IF(CI566=1,(CL566+CJ566)/2,IF(LEFT(Cockpit!$O$5,1)="B",(CL566+BG566)/2,MAX((CL566+BG566)/2,H566))))</f>
        <v>285</v>
      </c>
      <c r="BF566" s="62" t="n">
        <f aca="false">BE566*G566</f>
        <v>8.55</v>
      </c>
      <c r="BG566" s="62" t="n">
        <f aca="false">ROUNDUP(CL566+MAX(CM566,2*(J566/IF(CH566&gt;0,CH566,MAX(0.1,N(Cockpit!$O$6)))-CL566)),0)</f>
        <v>535</v>
      </c>
      <c r="BH566" s="63" t="n">
        <f aca="false">IF(BD566&gt;0,J566/BD566,-1)</f>
        <v>405.264516129032</v>
      </c>
      <c r="BI566" s="63" t="n">
        <f aca="false">IF(AND(OR(CG566="L1",CG566="L23",CG566="LIFT"),BD566&gt;0),SUMIFS($BD$7:$BD$1843,$CG$7:$CG$1843,CG566,$BH$7:$BH$1843,"&gt;"&amp;BH566)+SUMIFS($BD$7:$BD$1843,$CG$7:$CG$1843,CG566,$BH$7:$BH$1843,BH566,$BX$7:$BX$1843,"&lt;="&amp;BX566),"")</f>
        <v>180.421703296703</v>
      </c>
      <c r="BJ566" s="70" t="n">
        <f aca="false">IF(BI566="",0,MAX(0,MIN(1,(IF(CG566="L1",Parameter!$H$5,IF(CG566="L23",Parameter!$H$6+Parameter!$H$7,Parameter!$H$5+Parameter!$H$6+Parameter!$H$7))-(BI566-BD566))/BD566)))</f>
        <v>1</v>
      </c>
      <c r="BK566" s="60" t="str">
        <f aca="false">IF(AJ566&lt;=0,"",IF(CG566="Aussen","Aussenlager",IF(CG566="-","Nicht im Lift",IF(AP566&gt;=1,"Lift",IF(AP566&lt;=0,"Aussenlager","teilweise")))))</f>
        <v>Lift</v>
      </c>
      <c r="BL566" s="60" t="str">
        <f aca="false">IF(AT566&lt;=0,"",IF(CG566="Aussen","Aussenlager",IF(CG566="-","Nicht im Lift",IF(AZ566&gt;=1,"Lift",IF(AZ566&lt;=0,"Aussenlager","teilweise")))))</f>
        <v>Lift</v>
      </c>
      <c r="BM566" s="60" t="str">
        <f aca="false">IF(BD566&lt;=0,"",IF(CG566="Aussen","Aussenlager",IF(CG566="-","Nicht im Lift",IF(BJ566&gt;=1,"Lift",IF(BJ566&lt;=0,"Aussenlager","teilweise")))))</f>
        <v>Lift</v>
      </c>
      <c r="BN566" s="60" t="str">
        <f aca="false">IF(A566="","",IF(BW566=1,"Neu; ","")&amp;IF(AND(BW566=0,BR566&lt;0),"negativer Bestand (Export "&amp;BR566&amp;"); ","")&amp;IF(J566&lt;=0,"Kein Verbrauch; ","")&amp;IF(CR566&gt;0,"Lift "&amp;W566&amp;" lt. Liftbericht (Fach "&amp;X566&amp;" Stk); ",IF(CB566=1,"Gebinde geschätzt ("&amp;T566&amp;"); ",IF(CA566=1,"Lose – Tablare geschätzt; ","")))&amp;IF(H566&gt;AW566,"Überbestand "&amp;ROUND(H566-AW566,0)&amp;" Stk / CHF "&amp;ROUND((H566-AW566)*G566,0)&amp;"; ","")&amp;IF(AND(CI566=1,CJ566&lt;CK566),"MAX &lt; MB+LG; ","")&amp;IF(AND(CQ566&gt;0,CP566*10&gt;CQ566),"zu hoch für Tablar; ","")&amp;IF(AND(BW566=0,OR(CI566=1,AB566&lt;&gt;"",U566&lt;&gt;"",V566&lt;&gt;"",AC566&lt;&gt;"")),"manuell übersteuert; ","")&amp;IF(AND(CA566=0,R566=0),"Gebinde unbekannt / Stellmass fehlt; ","")&amp;IF(AND(CA566=0,N(V566)&lt;=0,N(Q566)&lt;=0),"Menge pro Gebinde fehlt (Ist = 1 Gebinde); ","")&amp;BV566)</f>
        <v>Überbestand 486 Stk / CHF 15; </v>
      </c>
      <c r="BO566" s="60"/>
      <c r="BP566" s="60"/>
      <c r="BQ566" s="67"/>
      <c r="BR566" s="62" t="n">
        <v>439</v>
      </c>
      <c r="BS566" s="62" t="n">
        <v>582</v>
      </c>
      <c r="BT566" s="61" t="n">
        <v>13.17</v>
      </c>
      <c r="BU566" s="62" t="n">
        <v>604</v>
      </c>
      <c r="BV566" s="60"/>
      <c r="BW566" s="65" t="n">
        <v>0</v>
      </c>
      <c r="BX566" s="65" t="n">
        <v>566</v>
      </c>
      <c r="BY566" s="60" t="str">
        <f aca="false">IF(U566&lt;&gt;"",UPPER(TRIM(U566)),IF(CB566=1,UPPER(VLOOKUP(T566,Parameter!$I$27:$K$29,2,0)),IF(P566="","LOSE",P566)))</f>
        <v>S32</v>
      </c>
      <c r="BZ566" s="62" t="n">
        <f aca="false">IF(BY566="LOSE",1,IF(N(V566)&gt;0,V566,IF(CB566=1,MAX(1,N(VLOOKUP(T566,Parameter!$I$27:$K$29,3,0)),H566,N(N566)),IF(N(Q566)&gt;0,Q566,MAX(1,H566)))))</f>
        <v>504</v>
      </c>
      <c r="CA566" s="65" t="n">
        <f aca="false">IF(BY566="LOSE",1,0)</f>
        <v>0</v>
      </c>
      <c r="CB566" s="65" t="n">
        <f aca="false">IF(AND(U566="",OR(P566="",P566="LOSE"),T566&lt;&gt;"",N(S566)&lt;=0,ISNUMBER(MATCH(T566,Parameter!$I$27:$I$29,0))),1,0)</f>
        <v>0</v>
      </c>
      <c r="CC566" s="65" t="n">
        <f aca="false">IF(CR566&gt;0,INDEX(Parameter!$H$5:$H$7,W566)/INDEX(Parameter!$E$5:$E$7,W566),IF(AND(CA566=0,N(IFERROR(VLOOKUP(BY566,'Gebinde-Kategorie'!$A$5:$N$45,14,0),0))&gt;0),VLOOKUP(BY566,'Gebinde-Kategorie'!$A$5:$N$45,14,0)*10+Parameter!$M$23,Parameter!$M$24))</f>
        <v>155</v>
      </c>
      <c r="CD566" s="60" t="str">
        <f aca="false">IF(AND(Parameter!$B$19="Ja",E566&lt;&gt;"",ISNUMBER(MATCH(E566,Parameter!$I$35:$I$52,0))),VLOOKUP(E566,Parameter!$I$35:$J$52,2,0),IFERROR(VLOOKUP(D566,Parameter!$A$35:$C$64,2,0),"Nein"))</f>
        <v>2+3</v>
      </c>
      <c r="CE566" s="64" t="n">
        <f aca="false">IF(CA566=0,0,IF(N(S566)&gt;0,S566,IFERROR(VLOOKUP(D566,Parameter!$A$35:$C$64,3,0)+0,0)))</f>
        <v>0</v>
      </c>
      <c r="CF566" s="60" t="n">
        <f aca="false">IF(AB566&lt;&gt;"",AB566,AA566)</f>
        <v>3</v>
      </c>
      <c r="CG566" s="60" t="str">
        <f aca="false">IF(OR(CF566=1,CF566=2,CF566=3),IF(Parameter!$E$27="Ja","LIFT",IF(CF566=1,"L1","L23")),IF(CF566="Aussen","Aussen","-"))</f>
        <v>LIFT</v>
      </c>
      <c r="CH566" s="71" t="n">
        <f aca="false">IF(N(AC566)&gt;0,AC566,0)</f>
        <v>0</v>
      </c>
      <c r="CI566" s="65" t="n">
        <f aca="false">IF(ISNUMBER(AF566),1,0)</f>
        <v>0</v>
      </c>
      <c r="CJ566" s="62" t="n">
        <f aca="false">N(AF566)</f>
        <v>0</v>
      </c>
      <c r="CK566" s="62" t="n">
        <f aca="false">N(M566)+N(N566)</f>
        <v>535</v>
      </c>
      <c r="CL566" s="62" t="n">
        <f aca="false">N(M566)</f>
        <v>35</v>
      </c>
      <c r="CM566" s="62" t="n">
        <f aca="false">N(N566)</f>
        <v>500</v>
      </c>
      <c r="CN566" s="62" t="n">
        <f aca="false">ROUNDUP(H566/BZ566,0)</f>
        <v>3</v>
      </c>
      <c r="CO566" s="62" t="n">
        <f aca="false">ROUNDUP(CJ566/BZ566,0)</f>
        <v>0</v>
      </c>
      <c r="CP566" s="65" t="n">
        <f aca="false">IF(CA566=1,0,IFERROR(VLOOKUP(BY566,'Gebinde-Kategorie'!$A$5:$N$45,5,0)+0,0))</f>
        <v>8</v>
      </c>
      <c r="CQ566" s="65" t="n">
        <f aca="false">IFERROR(IF(OR(CF566=1,CF566=2,CF566=3),N(INDEX(Parameter!$I$5:$I$7,CF566)),0),0)</f>
        <v>0</v>
      </c>
      <c r="CR566" s="64" t="n">
        <f aca="false">IF(AND(Parameter!$B$21="Ja",ISNUMBER(W566),N(X566)&gt;0),IFERROR(N(INDEX(Parameter!$L$5:$L$7,W566))*INDEX(Parameter!$E$5:$E$7,W566)*X566/SUMIFS($X$7:$X$1843,$W$7:$W$1843,W566),0),0)</f>
        <v>0</v>
      </c>
      <c r="CS566" s="62" t="n">
        <f aca="false">IF(AND(OR(CG566="L1",CG566="L23",CG566="LIFT"),H566&gt;0),CC566*IF(CR566&gt;0,CR566*MAX(1,H566/X566),IF(CA566=1,CE566,IF(R566&gt;0,CN566/R566,0))/MAX(0.1,N(Parameter!$M$21))),"")</f>
        <v>4.47115384615385</v>
      </c>
      <c r="CT566" s="64" t="n">
        <f aca="false">IF(CS566="","",J566/H566)</f>
        <v>0.591576885406464</v>
      </c>
      <c r="CU566" s="62" t="n">
        <f aca="false">IF(CS566="","",H566*G566)</f>
        <v>30.63</v>
      </c>
      <c r="CV566" s="63" t="n">
        <f aca="false">IF(CS566="","",(CL566+ROUNDUP(CL566+MAX(CM566,2*(J566/MAX(0.1,N(Einkauf!$C$6))-CL566)),0))/2)</f>
        <v>285</v>
      </c>
      <c r="CW566" s="62" t="n">
        <f aca="false">IF(CS566="","",MAX(0,H566-CV566)*G566)</f>
        <v>22.08</v>
      </c>
      <c r="CX566" s="62" t="n">
        <f aca="false">IF(CS566="","",CS566*MAX(0,1-CV566/H566))</f>
        <v>3.22308445716869</v>
      </c>
      <c r="CY566" s="64" t="n">
        <f aca="false">IF(CS566="","",PERCENTRANK($CS$7:$CS$1843,CS566)+PERCENTRANK($CU$7:$CU$1843,CU566)+1-PERCENTRANK($CT$7:$CT$1843,CT566))</f>
        <v>0.896</v>
      </c>
      <c r="CZ566" s="72" t="n">
        <f aca="false">IF(CS566="","",CHOOSE(MATCH(Einkauf!$C$5,Parameter!$G$23:$G$27,0),CY566,CS566,CU566,-CT566,CW566)+ROW()/1000000000)</f>
        <v>0.896000566</v>
      </c>
    </row>
    <row r="567" customFormat="false" ht="15" hidden="false" customHeight="false" outlineLevel="0" collapsed="false">
      <c r="A567" s="60" t="s">
        <v>1241</v>
      </c>
      <c r="B567" s="60" t="s">
        <v>991</v>
      </c>
      <c r="C567" s="60" t="s">
        <v>206</v>
      </c>
      <c r="D567" s="60" t="s">
        <v>226</v>
      </c>
      <c r="E567" s="60" t="s">
        <v>227</v>
      </c>
      <c r="F567" s="60" t="s">
        <v>260</v>
      </c>
      <c r="G567" s="61" t="n">
        <v>3.84</v>
      </c>
      <c r="H567" s="62" t="n">
        <f aca="false">MAX(0,IF(AND(Parameter!$B$21="Ja",ISNUMBER(Y567)),Y567,IF(Parameter!$B$20="Jahresanfang 2025 + Export",BS567+BR567,BR567)))</f>
        <v>205</v>
      </c>
      <c r="I567" s="62" t="n">
        <f aca="false">H567*G567</f>
        <v>787.2</v>
      </c>
      <c r="J567" s="62" t="n">
        <f aca="false">BU567*Parameter!$B$18</f>
        <v>106</v>
      </c>
      <c r="K567" s="63" t="n">
        <v>140.5</v>
      </c>
      <c r="L567" s="64" t="n">
        <v>0.754448398576513</v>
      </c>
      <c r="M567" s="62" t="n">
        <v>16</v>
      </c>
      <c r="N567" s="62" t="n">
        <v>105</v>
      </c>
      <c r="O567" s="65" t="n">
        <v>56</v>
      </c>
      <c r="P567" s="60" t="s">
        <v>463</v>
      </c>
      <c r="Q567" s="62" t="n">
        <v>88</v>
      </c>
      <c r="R567" s="65" t="n">
        <f aca="false">IF(CA567=1,0,IFERROR(VLOOKUP(BY567,'Gebinde-Kategorie'!$A$5:$N$45,13,0)+0,0))</f>
        <v>104</v>
      </c>
      <c r="S567" s="66"/>
      <c r="T567" s="67"/>
      <c r="U567" s="67"/>
      <c r="V567" s="67"/>
      <c r="W567" s="60"/>
      <c r="X567" s="62"/>
      <c r="Y567" s="62"/>
      <c r="Z567" s="60" t="n">
        <v>3</v>
      </c>
      <c r="AA567" s="60" t="n">
        <f aca="false">IF(A567="","",IF(AND(Parameter!$B$21="Ja",ISNUMBER(W567)),W567,IF(AND(Parameter!$E$27="Ja",ISNUMBER(Z567),CD567&lt;&gt;"Nein"),Z567,IF(CD567="2+3",IF(ISNUMBER(SEARCH("grosser Artikel",BV567)),2,IFERROR(VLOOKUP(BY567,Parameter!$F$35:$G$64,2,0),2)),IF(OR(CD567="Nein",CD567=""),"-",CD567)))))</f>
        <v>3</v>
      </c>
      <c r="AB567" s="67"/>
      <c r="AC567" s="68"/>
      <c r="AD567" s="62" t="n">
        <f aca="false">AW567</f>
        <v>121</v>
      </c>
      <c r="AE567" s="62" t="n">
        <f aca="false">MAX(AW567,H567)</f>
        <v>205</v>
      </c>
      <c r="AF567" s="69"/>
      <c r="AG567" s="62" t="n">
        <f aca="false">IF(LEFT(Cockpit!$C$5,1)="A",H567,IF(Parameter!$E$30="MAX-Bestand",IF(CI567=1,CJ567,IF(LEFT(Cockpit!$C$5,1)="B",AM567,MAX(AM567,H567))),ROUNDUP(AK567,0)))</f>
        <v>205</v>
      </c>
      <c r="AH567" s="62" t="n">
        <f aca="false">IF(CA567=1,0,ROUNDUP(AG567/BZ567,0))</f>
        <v>3</v>
      </c>
      <c r="AI567" s="64" t="n">
        <f aca="false">IF(CR567&gt;0,CR567*MAX(1,AG567/X567),IF(CA567=1,IF(AG567&lt;=0,0,CE567*MAX(1,IF(H567&gt;0,AG567/H567,1))),IF(R567&gt;0,AH567/R567,0))/MAX(0.1,N(Parameter!$M$21)))</f>
        <v>0.0288461538461538</v>
      </c>
      <c r="AJ567" s="62" t="n">
        <f aca="false">AI567*CC567</f>
        <v>4.47115384615385</v>
      </c>
      <c r="AK567" s="63" t="n">
        <f aca="false">IF(LEFT(Cockpit!$C$5,1)="A",H567,IF(CI567=1,(CL567+CJ567)/2,IF(LEFT(Cockpit!$C$5,1)="B",(CL567+AM567)/2,MAX((CL567+AM567)/2,H567))))</f>
        <v>205</v>
      </c>
      <c r="AL567" s="62" t="n">
        <f aca="false">AK567*G567</f>
        <v>787.2</v>
      </c>
      <c r="AM567" s="62" t="n">
        <f aca="false">ROUNDUP(CL567+MAX(CM567,2*(J567/IF(CH567&gt;0,CH567,MAX(0.1,N(Cockpit!$C$6)))-CL567)),0)</f>
        <v>121</v>
      </c>
      <c r="AN567" s="63" t="n">
        <f aca="false">IF(AJ567&gt;0,J567/AJ567,-1)</f>
        <v>23.7075268817204</v>
      </c>
      <c r="AO567" s="63" t="n">
        <f aca="false">IF(AND(OR(CG567="L1",CG567="L23",CG567="LIFT"),AJ567&gt;0),SUMIFS($AJ$7:$AJ$1843,$CG$7:$CG$1843,CG567,$AN$7:$AN$1843,"&gt;"&amp;AN567)+SUMIFS($AJ$7:$AJ$1843,$CG$7:$CG$1843,CG567,$AN$7:$AN$1843,AN567,$BX$7:$BX$1843,"&lt;="&amp;BX567),"")</f>
        <v>1563.97344322344</v>
      </c>
      <c r="AP567" s="70" t="n">
        <f aca="false">IF(AO567="",0,MAX(0,MIN(1,(IF(CG567="L1",Parameter!$H$5,IF(CG567="L23",Parameter!$H$6+Parameter!$H$7,Parameter!$H$5+Parameter!$H$6+Parameter!$H$7))-(AO567-AJ567))/AJ567)))</f>
        <v>1</v>
      </c>
      <c r="AQ567" s="62" t="n">
        <f aca="false">IF(LEFT(Cockpit!$I$5,1)="A",H567,IF(Parameter!$E$30="MAX-Bestand",IF(CI567=1,CJ567,IF(LEFT(Cockpit!$I$5,1)="B",AW567,MAX(AW567,H567))),ROUNDUP(AU567,0)))</f>
        <v>205</v>
      </c>
      <c r="AR567" s="62" t="n">
        <f aca="false">IF(CA567=1,0,ROUNDUP(AQ567/BZ567,0))</f>
        <v>3</v>
      </c>
      <c r="AS567" s="64" t="n">
        <f aca="false">IF(CR567&gt;0,CR567*MAX(1,AQ567/X567),IF(CA567=1,IF(AQ567&lt;=0,0,CE567*MAX(1,IF(H567&gt;0,AQ567/H567,1))),IF(R567&gt;0,AR567/R567,0))/MAX(0.1,N(Parameter!$M$21)))</f>
        <v>0.0288461538461538</v>
      </c>
      <c r="AT567" s="62" t="n">
        <f aca="false">AS567*CC567</f>
        <v>4.47115384615385</v>
      </c>
      <c r="AU567" s="63" t="n">
        <f aca="false">IF(LEFT(Cockpit!$I$5,1)="A",H567,IF(CI567=1,(CL567+CJ567)/2,IF(LEFT(Cockpit!$I$5,1)="B",(CL567+AW567)/2,MAX((CL567+AW567)/2,H567))))</f>
        <v>205</v>
      </c>
      <c r="AV567" s="62" t="n">
        <f aca="false">AU567*G567</f>
        <v>787.2</v>
      </c>
      <c r="AW567" s="62" t="n">
        <f aca="false">ROUNDUP(CL567+MAX(CM567,2*(J567/IF(CH567&gt;0,CH567,MAX(0.1,N(Cockpit!$I$6)))-CL567)),0)</f>
        <v>121</v>
      </c>
      <c r="AX567" s="63" t="n">
        <f aca="false">IF(AT567&gt;0,J567/AT567,-1)</f>
        <v>23.7075268817204</v>
      </c>
      <c r="AY567" s="63" t="n">
        <f aca="false">IF(AND(OR(CG567="L1",CG567="L23",CG567="LIFT"),AT567&gt;0),SUMIFS($AT$7:$AT$1843,$CG$7:$CG$1843,CG567,$AX$7:$AX$1843,"&gt;"&amp;AX567)+SUMIFS($AT$7:$AT$1843,$CG$7:$CG$1843,CG567,$AX$7:$AX$1843,AX567,$BX$7:$BX$1843,"&lt;="&amp;BX567),"")</f>
        <v>2189.81227106227</v>
      </c>
      <c r="AZ567" s="70" t="n">
        <f aca="false">IF(AY567="",0,MAX(0,MIN(1,(IF(CG567="L1",Parameter!$H$5,IF(CG567="L23",Parameter!$H$6+Parameter!$H$7,Parameter!$H$5+Parameter!$H$6+Parameter!$H$7))-(AY567-AT567))/AT567)))</f>
        <v>1</v>
      </c>
      <c r="BA567" s="62" t="n">
        <f aca="false">IF(LEFT(Cockpit!$O$5,1)="A",H567,IF(Parameter!$E$30="MAX-Bestand",IF(CI567=1,CJ567,IF(LEFT(Cockpit!$O$5,1)="B",BG567,MAX(BG567,H567))),ROUNDUP(BE567,0)))</f>
        <v>69</v>
      </c>
      <c r="BB567" s="62" t="n">
        <f aca="false">IF(CA567=1,0,ROUNDUP(BA567/BZ567,0))</f>
        <v>1</v>
      </c>
      <c r="BC567" s="64" t="n">
        <f aca="false">IF(CR567&gt;0,CR567*MAX(1,BA567/X567),IF(CA567=1,IF(BA567&lt;=0,0,CE567*MAX(1,IF(H567&gt;0,BA567/H567,1))),IF(R567&gt;0,BB567/R567,0))/MAX(0.1,N(Parameter!$M$21)))</f>
        <v>0.00961538461538462</v>
      </c>
      <c r="BD567" s="62" t="n">
        <f aca="false">BC567*CC567</f>
        <v>1.49038461538462</v>
      </c>
      <c r="BE567" s="63" t="n">
        <f aca="false">IF(LEFT(Cockpit!$O$5,1)="A",H567,IF(CI567=1,(CL567+CJ567)/2,IF(LEFT(Cockpit!$O$5,1)="B",(CL567+BG567)/2,MAX((CL567+BG567)/2,H567))))</f>
        <v>68.5</v>
      </c>
      <c r="BF567" s="62" t="n">
        <f aca="false">BE567*G567</f>
        <v>263.04</v>
      </c>
      <c r="BG567" s="62" t="n">
        <f aca="false">ROUNDUP(CL567+MAX(CM567,2*(J567/IF(CH567&gt;0,CH567,MAX(0.1,N(Cockpit!$O$6)))-CL567)),0)</f>
        <v>121</v>
      </c>
      <c r="BH567" s="63" t="n">
        <f aca="false">IF(BD567&gt;0,J567/BD567,-1)</f>
        <v>71.1225806451613</v>
      </c>
      <c r="BI567" s="63" t="n">
        <f aca="false">IF(AND(OR(CG567="L1",CG567="L23",CG567="LIFT"),BD567&gt;0),SUMIFS($BD$7:$BD$1843,$CG$7:$CG$1843,CG567,$BH$7:$BH$1843,"&gt;"&amp;BH567)+SUMIFS($BD$7:$BD$1843,$CG$7:$CG$1843,CG567,$BH$7:$BH$1843,BH567,$BX$7:$BX$1843,"&lt;="&amp;BX567),"")</f>
        <v>1018.48580586081</v>
      </c>
      <c r="BJ567" s="70" t="n">
        <f aca="false">IF(BI567="",0,MAX(0,MIN(1,(IF(CG567="L1",Parameter!$H$5,IF(CG567="L23",Parameter!$H$6+Parameter!$H$7,Parameter!$H$5+Parameter!$H$6+Parameter!$H$7))-(BI567-BD567))/BD567)))</f>
        <v>1</v>
      </c>
      <c r="BK567" s="60" t="str">
        <f aca="false">IF(AJ567&lt;=0,"",IF(CG567="Aussen","Aussenlager",IF(CG567="-","Nicht im Lift",IF(AP567&gt;=1,"Lift",IF(AP567&lt;=0,"Aussenlager","teilweise")))))</f>
        <v>Lift</v>
      </c>
      <c r="BL567" s="60" t="str">
        <f aca="false">IF(AT567&lt;=0,"",IF(CG567="Aussen","Aussenlager",IF(CG567="-","Nicht im Lift",IF(AZ567&gt;=1,"Lift",IF(AZ567&lt;=0,"Aussenlager","teilweise")))))</f>
        <v>Lift</v>
      </c>
      <c r="BM567" s="60" t="str">
        <f aca="false">IF(BD567&lt;=0,"",IF(CG567="Aussen","Aussenlager",IF(CG567="-","Nicht im Lift",IF(BJ567&gt;=1,"Lift",IF(BJ567&lt;=0,"Aussenlager","teilweise")))))</f>
        <v>Lift</v>
      </c>
      <c r="BN567" s="60" t="str">
        <f aca="false">IF(A567="","",IF(BW567=1,"Neu; ","")&amp;IF(AND(BW567=0,BR567&lt;0),"negativer Bestand (Export "&amp;BR567&amp;"); ","")&amp;IF(J567&lt;=0,"Kein Verbrauch; ","")&amp;IF(CR567&gt;0,"Lift "&amp;W567&amp;" lt. Liftbericht (Fach "&amp;X567&amp;" Stk); ",IF(CB567=1,"Gebinde geschätzt ("&amp;T567&amp;"); ",IF(CA567=1,"Lose – Tablare geschätzt; ","")))&amp;IF(H567&gt;AW567,"Überbestand "&amp;ROUND(H567-AW567,0)&amp;" Stk / CHF "&amp;ROUND((H567-AW567)*G567,0)&amp;"; ","")&amp;IF(AND(CI567=1,CJ567&lt;CK567),"MAX &lt; MB+LG; ","")&amp;IF(AND(CQ567&gt;0,CP567*10&gt;CQ567),"zu hoch für Tablar; ","")&amp;IF(AND(BW567=0,OR(CI567=1,AB567&lt;&gt;"",U567&lt;&gt;"",V567&lt;&gt;"",AC567&lt;&gt;"")),"manuell übersteuert; ","")&amp;IF(AND(CA567=0,R567=0),"Gebinde unbekannt / Stellmass fehlt; ","")&amp;IF(AND(CA567=0,N(V567)&lt;=0,N(Q567)&lt;=0),"Menge pro Gebinde fehlt (Ist = 1 Gebinde); ","")&amp;BV567)</f>
        <v>Überbestand 84 Stk / CHF 323; </v>
      </c>
      <c r="BO567" s="60"/>
      <c r="BP567" s="60"/>
      <c r="BQ567" s="67"/>
      <c r="BR567" s="62" t="n">
        <v>11</v>
      </c>
      <c r="BS567" s="62" t="n">
        <v>194</v>
      </c>
      <c r="BT567" s="61" t="n">
        <v>13.1399999999993</v>
      </c>
      <c r="BU567" s="62" t="n">
        <v>106</v>
      </c>
      <c r="BV567" s="60"/>
      <c r="BW567" s="65" t="n">
        <v>0</v>
      </c>
      <c r="BX567" s="65" t="n">
        <v>567</v>
      </c>
      <c r="BY567" s="60" t="str">
        <f aca="false">IF(U567&lt;&gt;"",UPPER(TRIM(U567)),IF(CB567=1,UPPER(VLOOKUP(T567,Parameter!$I$27:$K$29,2,0)),IF(P567="","LOSE",P567)))</f>
        <v>S32</v>
      </c>
      <c r="BZ567" s="62" t="n">
        <f aca="false">IF(BY567="LOSE",1,IF(N(V567)&gt;0,V567,IF(CB567=1,MAX(1,N(VLOOKUP(T567,Parameter!$I$27:$K$29,3,0)),H567,N(N567)),IF(N(Q567)&gt;0,Q567,MAX(1,H567)))))</f>
        <v>88</v>
      </c>
      <c r="CA567" s="65" t="n">
        <f aca="false">IF(BY567="LOSE",1,0)</f>
        <v>0</v>
      </c>
      <c r="CB567" s="65" t="n">
        <f aca="false">IF(AND(U567="",OR(P567="",P567="LOSE"),T567&lt;&gt;"",N(S567)&lt;=0,ISNUMBER(MATCH(T567,Parameter!$I$27:$I$29,0))),1,0)</f>
        <v>0</v>
      </c>
      <c r="CC567" s="65" t="n">
        <f aca="false">IF(CR567&gt;0,INDEX(Parameter!$H$5:$H$7,W567)/INDEX(Parameter!$E$5:$E$7,W567),IF(AND(CA567=0,N(IFERROR(VLOOKUP(BY567,'Gebinde-Kategorie'!$A$5:$N$45,14,0),0))&gt;0),VLOOKUP(BY567,'Gebinde-Kategorie'!$A$5:$N$45,14,0)*10+Parameter!$M$23,Parameter!$M$24))</f>
        <v>155</v>
      </c>
      <c r="CD567" s="60" t="str">
        <f aca="false">IF(AND(Parameter!$B$19="Ja",E567&lt;&gt;"",ISNUMBER(MATCH(E567,Parameter!$I$35:$I$52,0))),VLOOKUP(E567,Parameter!$I$35:$J$52,2,0),IFERROR(VLOOKUP(D567,Parameter!$A$35:$C$64,2,0),"Nein"))</f>
        <v>2+3</v>
      </c>
      <c r="CE567" s="64" t="n">
        <f aca="false">IF(CA567=0,0,IF(N(S567)&gt;0,S567,IFERROR(VLOOKUP(D567,Parameter!$A$35:$C$64,3,0)+0,0)))</f>
        <v>0</v>
      </c>
      <c r="CF567" s="60" t="n">
        <f aca="false">IF(AB567&lt;&gt;"",AB567,AA567)</f>
        <v>3</v>
      </c>
      <c r="CG567" s="60" t="str">
        <f aca="false">IF(OR(CF567=1,CF567=2,CF567=3),IF(Parameter!$E$27="Ja","LIFT",IF(CF567=1,"L1","L23")),IF(CF567="Aussen","Aussen","-"))</f>
        <v>LIFT</v>
      </c>
      <c r="CH567" s="71" t="n">
        <f aca="false">IF(N(AC567)&gt;0,AC567,0)</f>
        <v>0</v>
      </c>
      <c r="CI567" s="65" t="n">
        <f aca="false">IF(ISNUMBER(AF567),1,0)</f>
        <v>0</v>
      </c>
      <c r="CJ567" s="62" t="n">
        <f aca="false">N(AF567)</f>
        <v>0</v>
      </c>
      <c r="CK567" s="62" t="n">
        <f aca="false">N(M567)+N(N567)</f>
        <v>121</v>
      </c>
      <c r="CL567" s="62" t="n">
        <f aca="false">N(M567)</f>
        <v>16</v>
      </c>
      <c r="CM567" s="62" t="n">
        <f aca="false">N(N567)</f>
        <v>105</v>
      </c>
      <c r="CN567" s="62" t="n">
        <f aca="false">ROUNDUP(H567/BZ567,0)</f>
        <v>3</v>
      </c>
      <c r="CO567" s="62" t="n">
        <f aca="false">ROUNDUP(CJ567/BZ567,0)</f>
        <v>0</v>
      </c>
      <c r="CP567" s="65" t="n">
        <f aca="false">IF(CA567=1,0,IFERROR(VLOOKUP(BY567,'Gebinde-Kategorie'!$A$5:$N$45,5,0)+0,0))</f>
        <v>8</v>
      </c>
      <c r="CQ567" s="65" t="n">
        <f aca="false">IFERROR(IF(OR(CF567=1,CF567=2,CF567=3),N(INDEX(Parameter!$I$5:$I$7,CF567)),0),0)</f>
        <v>0</v>
      </c>
      <c r="CR567" s="64" t="n">
        <f aca="false">IF(AND(Parameter!$B$21="Ja",ISNUMBER(W567),N(X567)&gt;0),IFERROR(N(INDEX(Parameter!$L$5:$L$7,W567))*INDEX(Parameter!$E$5:$E$7,W567)*X567/SUMIFS($X$7:$X$1843,$W$7:$W$1843,W567),0),0)</f>
        <v>0</v>
      </c>
      <c r="CS567" s="62" t="n">
        <f aca="false">IF(AND(OR(CG567="L1",CG567="L23",CG567="LIFT"),H567&gt;0),CC567*IF(CR567&gt;0,CR567*MAX(1,H567/X567),IF(CA567=1,CE567,IF(R567&gt;0,CN567/R567,0))/MAX(0.1,N(Parameter!$M$21))),"")</f>
        <v>4.47115384615385</v>
      </c>
      <c r="CT567" s="64" t="n">
        <f aca="false">IF(CS567="","",J567/H567)</f>
        <v>0.517073170731707</v>
      </c>
      <c r="CU567" s="62" t="n">
        <f aca="false">IF(CS567="","",H567*G567)</f>
        <v>787.2</v>
      </c>
      <c r="CV567" s="63" t="n">
        <f aca="false">IF(CS567="","",(CL567+ROUNDUP(CL567+MAX(CM567,2*(J567/MAX(0.1,N(Einkauf!$C$6))-CL567)),0))/2)</f>
        <v>68.5</v>
      </c>
      <c r="CW567" s="62" t="n">
        <f aca="false">IF(CS567="","",MAX(0,H567-CV567)*G567)</f>
        <v>524.16</v>
      </c>
      <c r="CX567" s="62" t="n">
        <f aca="false">IF(CS567="","",CS567*MAX(0,1-CV567/H567))</f>
        <v>2.97713414634146</v>
      </c>
      <c r="CY567" s="64" t="n">
        <f aca="false">IF(CS567="","",PERCENTRANK($CS$7:$CS$1843,CS567)+PERCENTRANK($CU$7:$CU$1843,CU567)+1-PERCENTRANK($CT$7:$CT$1843,CT567))</f>
        <v>1.389</v>
      </c>
      <c r="CZ567" s="72" t="n">
        <f aca="false">IF(CS567="","",CHOOSE(MATCH(Einkauf!$C$5,Parameter!$G$23:$G$27,0),CY567,CS567,CU567,-CT567,CW567)+ROW()/1000000000)</f>
        <v>1.389000567</v>
      </c>
    </row>
    <row r="568" customFormat="false" ht="15" hidden="false" customHeight="false" outlineLevel="0" collapsed="false">
      <c r="A568" s="60" t="s">
        <v>1242</v>
      </c>
      <c r="B568" s="60" t="s">
        <v>510</v>
      </c>
      <c r="C568" s="60" t="s">
        <v>206</v>
      </c>
      <c r="D568" s="60" t="s">
        <v>226</v>
      </c>
      <c r="E568" s="60" t="s">
        <v>227</v>
      </c>
      <c r="F568" s="60" t="s">
        <v>260</v>
      </c>
      <c r="G568" s="61" t="n">
        <v>0.14</v>
      </c>
      <c r="H568" s="62" t="n">
        <f aca="false">MAX(0,IF(AND(Parameter!$B$21="Ja",ISNUMBER(Y568)),Y568,IF(Parameter!$B$20="Jahresanfang 2025 + Export",BS568+BR568,BR568)))</f>
        <v>235</v>
      </c>
      <c r="I568" s="62" t="n">
        <f aca="false">H568*G568</f>
        <v>32.9</v>
      </c>
      <c r="J568" s="62" t="n">
        <f aca="false">BU568*Parameter!$B$18</f>
        <v>222</v>
      </c>
      <c r="K568" s="63" t="n">
        <v>129.5</v>
      </c>
      <c r="L568" s="64" t="n">
        <v>1.71428571428571</v>
      </c>
      <c r="M568" s="62" t="n">
        <v>8</v>
      </c>
      <c r="N568" s="62" t="n">
        <v>220</v>
      </c>
      <c r="O568" s="65" t="n">
        <v>14</v>
      </c>
      <c r="P568" s="60" t="s">
        <v>443</v>
      </c>
      <c r="Q568" s="62" t="n">
        <v>210</v>
      </c>
      <c r="R568" s="65" t="n">
        <f aca="false">IF(CA568=1,0,IFERROR(VLOOKUP(BY568,'Gebinde-Kategorie'!$A$5:$N$45,13,0)+0,0))</f>
        <v>280</v>
      </c>
      <c r="S568" s="66"/>
      <c r="T568" s="67"/>
      <c r="U568" s="67"/>
      <c r="V568" s="67"/>
      <c r="W568" s="60"/>
      <c r="X568" s="62"/>
      <c r="Y568" s="62"/>
      <c r="Z568" s="60" t="n">
        <v>1</v>
      </c>
      <c r="AA568" s="60" t="n">
        <f aca="false">IF(A568="","",IF(AND(Parameter!$B$21="Ja",ISNUMBER(W568)),W568,IF(AND(Parameter!$E$27="Ja",ISNUMBER(Z568),CD568&lt;&gt;"Nein"),Z568,IF(CD568="2+3",IF(ISNUMBER(SEARCH("grosser Artikel",BV568)),2,IFERROR(VLOOKUP(BY568,Parameter!$F$35:$G$64,2,0),2)),IF(OR(CD568="Nein",CD568=""),"-",CD568)))))</f>
        <v>1</v>
      </c>
      <c r="AB568" s="67"/>
      <c r="AC568" s="68"/>
      <c r="AD568" s="62" t="n">
        <f aca="false">AW568</f>
        <v>228</v>
      </c>
      <c r="AE568" s="62" t="n">
        <f aca="false">MAX(AW568,H568)</f>
        <v>235</v>
      </c>
      <c r="AF568" s="69"/>
      <c r="AG568" s="62" t="n">
        <f aca="false">IF(LEFT(Cockpit!$C$5,1)="A",H568,IF(Parameter!$E$30="MAX-Bestand",IF(CI568=1,CJ568,IF(LEFT(Cockpit!$C$5,1)="B",AM568,MAX(AM568,H568))),ROUNDUP(AK568,0)))</f>
        <v>235</v>
      </c>
      <c r="AH568" s="62" t="n">
        <f aca="false">IF(CA568=1,0,ROUNDUP(AG568/BZ568,0))</f>
        <v>2</v>
      </c>
      <c r="AI568" s="64" t="n">
        <f aca="false">IF(CR568&gt;0,CR568*MAX(1,AG568/X568),IF(CA568=1,IF(AG568&lt;=0,0,CE568*MAX(1,IF(H568&gt;0,AG568/H568,1))),IF(R568&gt;0,AH568/R568,0))/MAX(0.1,N(Parameter!$M$21)))</f>
        <v>0.00714285714285714</v>
      </c>
      <c r="AJ568" s="62" t="n">
        <f aca="false">AI568*CC568</f>
        <v>1.10714285714286</v>
      </c>
      <c r="AK568" s="63" t="n">
        <f aca="false">IF(LEFT(Cockpit!$C$5,1)="A",H568,IF(CI568=1,(CL568+CJ568)/2,IF(LEFT(Cockpit!$C$5,1)="B",(CL568+AM568)/2,MAX((CL568+AM568)/2,H568))))</f>
        <v>235</v>
      </c>
      <c r="AL568" s="62" t="n">
        <f aca="false">AK568*G568</f>
        <v>32.9</v>
      </c>
      <c r="AM568" s="62" t="n">
        <f aca="false">ROUNDUP(CL568+MAX(CM568,2*(J568/IF(CH568&gt;0,CH568,MAX(0.1,N(Cockpit!$C$6)))-CL568)),0)</f>
        <v>228</v>
      </c>
      <c r="AN568" s="63" t="n">
        <f aca="false">IF(AJ568&gt;0,J568/AJ568,-1)</f>
        <v>200.516129032258</v>
      </c>
      <c r="AO568" s="63" t="n">
        <f aca="false">IF(AND(OR(CG568="L1",CG568="L23",CG568="LIFT"),AJ568&gt;0),SUMIFS($AJ$7:$AJ$1843,$CG$7:$CG$1843,CG568,$AN$7:$AN$1843,"&gt;"&amp;AN568)+SUMIFS($AJ$7:$AJ$1843,$CG$7:$CG$1843,CG568,$AN$7:$AN$1843,AN568,$BX$7:$BX$1843,"&lt;="&amp;BX568),"")</f>
        <v>345.466117216117</v>
      </c>
      <c r="AP568" s="70" t="n">
        <f aca="false">IF(AO568="",0,MAX(0,MIN(1,(IF(CG568="L1",Parameter!$H$5,IF(CG568="L23",Parameter!$H$6+Parameter!$H$7,Parameter!$H$5+Parameter!$H$6+Parameter!$H$7))-(AO568-AJ568))/AJ568)))</f>
        <v>1</v>
      </c>
      <c r="AQ568" s="62" t="n">
        <f aca="false">IF(LEFT(Cockpit!$I$5,1)="A",H568,IF(Parameter!$E$30="MAX-Bestand",IF(CI568=1,CJ568,IF(LEFT(Cockpit!$I$5,1)="B",AW568,MAX(AW568,H568))),ROUNDUP(AU568,0)))</f>
        <v>235</v>
      </c>
      <c r="AR568" s="62" t="n">
        <f aca="false">IF(CA568=1,0,ROUNDUP(AQ568/BZ568,0))</f>
        <v>2</v>
      </c>
      <c r="AS568" s="64" t="n">
        <f aca="false">IF(CR568&gt;0,CR568*MAX(1,AQ568/X568),IF(CA568=1,IF(AQ568&lt;=0,0,CE568*MAX(1,IF(H568&gt;0,AQ568/H568,1))),IF(R568&gt;0,AR568/R568,0))/MAX(0.1,N(Parameter!$M$21)))</f>
        <v>0.00714285714285714</v>
      </c>
      <c r="AT568" s="62" t="n">
        <f aca="false">AS568*CC568</f>
        <v>1.10714285714286</v>
      </c>
      <c r="AU568" s="63" t="n">
        <f aca="false">IF(LEFT(Cockpit!$I$5,1)="A",H568,IF(CI568=1,(CL568+CJ568)/2,IF(LEFT(Cockpit!$I$5,1)="B",(CL568+AW568)/2,MAX((CL568+AW568)/2,H568))))</f>
        <v>235</v>
      </c>
      <c r="AV568" s="62" t="n">
        <f aca="false">AU568*G568</f>
        <v>32.9</v>
      </c>
      <c r="AW568" s="62" t="n">
        <f aca="false">ROUNDUP(CL568+MAX(CM568,2*(J568/IF(CH568&gt;0,CH568,MAX(0.1,N(Cockpit!$I$6)))-CL568)),0)</f>
        <v>228</v>
      </c>
      <c r="AX568" s="63" t="n">
        <f aca="false">IF(AT568&gt;0,J568/AT568,-1)</f>
        <v>200.516129032258</v>
      </c>
      <c r="AY568" s="63" t="n">
        <f aca="false">IF(AND(OR(CG568="L1",CG568="L23",CG568="LIFT"),AT568&gt;0),SUMIFS($AT$7:$AT$1843,$CG$7:$CG$1843,CG568,$AX$7:$AX$1843,"&gt;"&amp;AX568)+SUMIFS($AT$7:$AT$1843,$CG$7:$CG$1843,CG568,$AX$7:$AX$1843,AX568,$BX$7:$BX$1843,"&lt;="&amp;BX568),"")</f>
        <v>454.641483516484</v>
      </c>
      <c r="AZ568" s="70" t="n">
        <f aca="false">IF(AY568="",0,MAX(0,MIN(1,(IF(CG568="L1",Parameter!$H$5,IF(CG568="L23",Parameter!$H$6+Parameter!$H$7,Parameter!$H$5+Parameter!$H$6+Parameter!$H$7))-(AY568-AT568))/AT568)))</f>
        <v>1</v>
      </c>
      <c r="BA568" s="62" t="n">
        <f aca="false">IF(LEFT(Cockpit!$O$5,1)="A",H568,IF(Parameter!$E$30="MAX-Bestand",IF(CI568=1,CJ568,IF(LEFT(Cockpit!$O$5,1)="B",BG568,MAX(BG568,H568))),ROUNDUP(BE568,0)))</f>
        <v>118</v>
      </c>
      <c r="BB568" s="62" t="n">
        <f aca="false">IF(CA568=1,0,ROUNDUP(BA568/BZ568,0))</f>
        <v>1</v>
      </c>
      <c r="BC568" s="64" t="n">
        <f aca="false">IF(CR568&gt;0,CR568*MAX(1,BA568/X568),IF(CA568=1,IF(BA568&lt;=0,0,CE568*MAX(1,IF(H568&gt;0,BA568/H568,1))),IF(R568&gt;0,BB568/R568,0))/MAX(0.1,N(Parameter!$M$21)))</f>
        <v>0.00357142857142857</v>
      </c>
      <c r="BD568" s="62" t="n">
        <f aca="false">BC568*CC568</f>
        <v>0.553571428571429</v>
      </c>
      <c r="BE568" s="63" t="n">
        <f aca="false">IF(LEFT(Cockpit!$O$5,1)="A",H568,IF(CI568=1,(CL568+CJ568)/2,IF(LEFT(Cockpit!$O$5,1)="B",(CL568+BG568)/2,MAX((CL568+BG568)/2,H568))))</f>
        <v>118</v>
      </c>
      <c r="BF568" s="62" t="n">
        <f aca="false">BE568*G568</f>
        <v>16.52</v>
      </c>
      <c r="BG568" s="62" t="n">
        <f aca="false">ROUNDUP(CL568+MAX(CM568,2*(J568/IF(CH568&gt;0,CH568,MAX(0.1,N(Cockpit!$O$6)))-CL568)),0)</f>
        <v>228</v>
      </c>
      <c r="BH568" s="63" t="n">
        <f aca="false">IF(BD568&gt;0,J568/BD568,-1)</f>
        <v>401.032258064516</v>
      </c>
      <c r="BI568" s="63" t="n">
        <f aca="false">IF(AND(OR(CG568="L1",CG568="L23",CG568="LIFT"),BD568&gt;0),SUMIFS($BD$7:$BD$1843,$CG$7:$CG$1843,CG568,$BH$7:$BH$1843,"&gt;"&amp;BH568)+SUMIFS($BD$7:$BD$1843,$CG$7:$CG$1843,CG568,$BH$7:$BH$1843,BH568,$BX$7:$BX$1843,"&lt;="&amp;BX568),"")</f>
        <v>180.975274725275</v>
      </c>
      <c r="BJ568" s="70" t="n">
        <f aca="false">IF(BI568="",0,MAX(0,MIN(1,(IF(CG568="L1",Parameter!$H$5,IF(CG568="L23",Parameter!$H$6+Parameter!$H$7,Parameter!$H$5+Parameter!$H$6+Parameter!$H$7))-(BI568-BD568))/BD568)))</f>
        <v>1</v>
      </c>
      <c r="BK568" s="60" t="str">
        <f aca="false">IF(AJ568&lt;=0,"",IF(CG568="Aussen","Aussenlager",IF(CG568="-","Nicht im Lift",IF(AP568&gt;=1,"Lift",IF(AP568&lt;=0,"Aussenlager","teilweise")))))</f>
        <v>Lift</v>
      </c>
      <c r="BL568" s="60" t="str">
        <f aca="false">IF(AT568&lt;=0,"",IF(CG568="Aussen","Aussenlager",IF(CG568="-","Nicht im Lift",IF(AZ568&gt;=1,"Lift",IF(AZ568&lt;=0,"Aussenlager","teilweise")))))</f>
        <v>Lift</v>
      </c>
      <c r="BM568" s="60" t="str">
        <f aca="false">IF(BD568&lt;=0,"",IF(CG568="Aussen","Aussenlager",IF(CG568="-","Nicht im Lift",IF(BJ568&gt;=1,"Lift",IF(BJ568&lt;=0,"Aussenlager","teilweise")))))</f>
        <v>Lift</v>
      </c>
      <c r="BN568" s="60" t="str">
        <f aca="false">IF(A568="","",IF(BW568=1,"Neu; ","")&amp;IF(AND(BW568=0,BR568&lt;0),"negativer Bestand (Export "&amp;BR568&amp;"); ","")&amp;IF(J568&lt;=0,"Kein Verbrauch; ","")&amp;IF(CR568&gt;0,"Lift "&amp;W568&amp;" lt. Liftbericht (Fach "&amp;X568&amp;" Stk); ",IF(CB568=1,"Gebinde geschätzt ("&amp;T568&amp;"); ",IF(CA568=1,"Lose – Tablare geschätzt; ","")))&amp;IF(H568&gt;AW568,"Überbestand "&amp;ROUND(H568-AW568,0)&amp;" Stk / CHF "&amp;ROUND((H568-AW568)*G568,0)&amp;"; ","")&amp;IF(AND(CI568=1,CJ568&lt;CK568),"MAX &lt; MB+LG; ","")&amp;IF(AND(CQ568&gt;0,CP568*10&gt;CQ568),"zu hoch für Tablar; ","")&amp;IF(AND(BW568=0,OR(CI568=1,AB568&lt;&gt;"",U568&lt;&gt;"",V568&lt;&gt;"",AC568&lt;&gt;"")),"manuell übersteuert; ","")&amp;IF(AND(CA568=0,R568=0),"Gebinde unbekannt / Stellmass fehlt; ","")&amp;IF(AND(CA568=0,N(V568)&lt;=0,N(Q568)&lt;=0),"Menge pro Gebinde fehlt (Ist = 1 Gebinde); ","")&amp;BV568)</f>
        <v>Überbestand 7 Stk / CHF 1; </v>
      </c>
      <c r="BO568" s="60"/>
      <c r="BP568" s="60"/>
      <c r="BQ568" s="67"/>
      <c r="BR568" s="62" t="n">
        <v>92</v>
      </c>
      <c r="BS568" s="62" t="n">
        <v>143</v>
      </c>
      <c r="BT568" s="61" t="n">
        <v>12.88</v>
      </c>
      <c r="BU568" s="62" t="n">
        <v>222</v>
      </c>
      <c r="BV568" s="60"/>
      <c r="BW568" s="65" t="n">
        <v>0</v>
      </c>
      <c r="BX568" s="65" t="n">
        <v>568</v>
      </c>
      <c r="BY568" s="60" t="str">
        <f aca="false">IF(U568&lt;&gt;"",UPPER(TRIM(U568)),IF(CB568=1,UPPER(VLOOKUP(T568,Parameter!$I$27:$K$29,2,0)),IF(P568="","LOSE",P568)))</f>
        <v>S21</v>
      </c>
      <c r="BZ568" s="62" t="n">
        <f aca="false">IF(BY568="LOSE",1,IF(N(V568)&gt;0,V568,IF(CB568=1,MAX(1,N(VLOOKUP(T568,Parameter!$I$27:$K$29,3,0)),H568,N(N568)),IF(N(Q568)&gt;0,Q568,MAX(1,H568)))))</f>
        <v>210</v>
      </c>
      <c r="CA568" s="65" t="n">
        <f aca="false">IF(BY568="LOSE",1,0)</f>
        <v>0</v>
      </c>
      <c r="CB568" s="65" t="n">
        <f aca="false">IF(AND(U568="",OR(P568="",P568="LOSE"),T568&lt;&gt;"",N(S568)&lt;=0,ISNUMBER(MATCH(T568,Parameter!$I$27:$I$29,0))),1,0)</f>
        <v>0</v>
      </c>
      <c r="CC568" s="65" t="n">
        <f aca="false">IF(CR568&gt;0,INDEX(Parameter!$H$5:$H$7,W568)/INDEX(Parameter!$E$5:$E$7,W568),IF(AND(CA568=0,N(IFERROR(VLOOKUP(BY568,'Gebinde-Kategorie'!$A$5:$N$45,14,0),0))&gt;0),VLOOKUP(BY568,'Gebinde-Kategorie'!$A$5:$N$45,14,0)*10+Parameter!$M$23,Parameter!$M$24))</f>
        <v>155</v>
      </c>
      <c r="CD568" s="60" t="str">
        <f aca="false">IF(AND(Parameter!$B$19="Ja",E568&lt;&gt;"",ISNUMBER(MATCH(E568,Parameter!$I$35:$I$52,0))),VLOOKUP(E568,Parameter!$I$35:$J$52,2,0),IFERROR(VLOOKUP(D568,Parameter!$A$35:$C$64,2,0),"Nein"))</f>
        <v>2+3</v>
      </c>
      <c r="CE568" s="64" t="n">
        <f aca="false">IF(CA568=0,0,IF(N(S568)&gt;0,S568,IFERROR(VLOOKUP(D568,Parameter!$A$35:$C$64,3,0)+0,0)))</f>
        <v>0</v>
      </c>
      <c r="CF568" s="60" t="n">
        <f aca="false">IF(AB568&lt;&gt;"",AB568,AA568)</f>
        <v>1</v>
      </c>
      <c r="CG568" s="60" t="str">
        <f aca="false">IF(OR(CF568=1,CF568=2,CF568=3),IF(Parameter!$E$27="Ja","LIFT",IF(CF568=1,"L1","L23")),IF(CF568="Aussen","Aussen","-"))</f>
        <v>LIFT</v>
      </c>
      <c r="CH568" s="71" t="n">
        <f aca="false">IF(N(AC568)&gt;0,AC568,0)</f>
        <v>0</v>
      </c>
      <c r="CI568" s="65" t="n">
        <f aca="false">IF(ISNUMBER(AF568),1,0)</f>
        <v>0</v>
      </c>
      <c r="CJ568" s="62" t="n">
        <f aca="false">N(AF568)</f>
        <v>0</v>
      </c>
      <c r="CK568" s="62" t="n">
        <f aca="false">N(M568)+N(N568)</f>
        <v>228</v>
      </c>
      <c r="CL568" s="62" t="n">
        <f aca="false">N(M568)</f>
        <v>8</v>
      </c>
      <c r="CM568" s="62" t="n">
        <f aca="false">N(N568)</f>
        <v>220</v>
      </c>
      <c r="CN568" s="62" t="n">
        <f aca="false">ROUNDUP(H568/BZ568,0)</f>
        <v>2</v>
      </c>
      <c r="CO568" s="62" t="n">
        <f aca="false">ROUNDUP(CJ568/BZ568,0)</f>
        <v>0</v>
      </c>
      <c r="CP568" s="65" t="n">
        <f aca="false">IF(CA568=1,0,IFERROR(VLOOKUP(BY568,'Gebinde-Kategorie'!$A$5:$N$45,5,0)+0,0))</f>
        <v>8</v>
      </c>
      <c r="CQ568" s="65" t="n">
        <f aca="false">IFERROR(IF(OR(CF568=1,CF568=2,CF568=3),N(INDEX(Parameter!$I$5:$I$7,CF568)),0),0)</f>
        <v>0</v>
      </c>
      <c r="CR568" s="64" t="n">
        <f aca="false">IF(AND(Parameter!$B$21="Ja",ISNUMBER(W568),N(X568)&gt;0),IFERROR(N(INDEX(Parameter!$L$5:$L$7,W568))*INDEX(Parameter!$E$5:$E$7,W568)*X568/SUMIFS($X$7:$X$1843,$W$7:$W$1843,W568),0),0)</f>
        <v>0</v>
      </c>
      <c r="CS568" s="62" t="n">
        <f aca="false">IF(AND(OR(CG568="L1",CG568="L23",CG568="LIFT"),H568&gt;0),CC568*IF(CR568&gt;0,CR568*MAX(1,H568/X568),IF(CA568=1,CE568,IF(R568&gt;0,CN568/R568,0))/MAX(0.1,N(Parameter!$M$21))),"")</f>
        <v>1.10714285714286</v>
      </c>
      <c r="CT568" s="64" t="n">
        <f aca="false">IF(CS568="","",J568/H568)</f>
        <v>0.94468085106383</v>
      </c>
      <c r="CU568" s="62" t="n">
        <f aca="false">IF(CS568="","",H568*G568)</f>
        <v>32.9</v>
      </c>
      <c r="CV568" s="63" t="n">
        <f aca="false">IF(CS568="","",(CL568+ROUNDUP(CL568+MAX(CM568,2*(J568/MAX(0.1,N(Einkauf!$C$6))-CL568)),0))/2)</f>
        <v>118</v>
      </c>
      <c r="CW568" s="62" t="n">
        <f aca="false">IF(CS568="","",MAX(0,H568-CV568)*G568)</f>
        <v>16.38</v>
      </c>
      <c r="CX568" s="62" t="n">
        <f aca="false">IF(CS568="","",CS568*MAX(0,1-CV568/H568))</f>
        <v>0.551215805471125</v>
      </c>
      <c r="CY568" s="64" t="n">
        <f aca="false">IF(CS568="","",PERCENTRANK($CS$7:$CS$1843,CS568)+PERCENTRANK($CU$7:$CU$1843,CU568)+1-PERCENTRANK($CT$7:$CT$1843,CT568))</f>
        <v>0.5484</v>
      </c>
      <c r="CZ568" s="72" t="n">
        <f aca="false">IF(CS568="","",CHOOSE(MATCH(Einkauf!$C$5,Parameter!$G$23:$G$27,0),CY568,CS568,CU568,-CT568,CW568)+ROW()/1000000000)</f>
        <v>0.548400568</v>
      </c>
    </row>
    <row r="569" customFormat="false" ht="15" hidden="false" customHeight="false" outlineLevel="0" collapsed="false">
      <c r="A569" s="60" t="s">
        <v>1243</v>
      </c>
      <c r="B569" s="60" t="s">
        <v>633</v>
      </c>
      <c r="C569" s="60" t="s">
        <v>206</v>
      </c>
      <c r="D569" s="60" t="s">
        <v>226</v>
      </c>
      <c r="E569" s="60" t="s">
        <v>227</v>
      </c>
      <c r="F569" s="60" t="s">
        <v>260</v>
      </c>
      <c r="G569" s="61" t="n">
        <v>27.68</v>
      </c>
      <c r="H569" s="62" t="n">
        <f aca="false">MAX(0,IF(AND(Parameter!$B$21="Ja",ISNUMBER(Y569)),Y569,IF(Parameter!$B$20="Jahresanfang 2025 + Export",BS569+BR569,BR569)))</f>
        <v>83</v>
      </c>
      <c r="I569" s="62" t="n">
        <f aca="false">H569*G569</f>
        <v>2297.44</v>
      </c>
      <c r="J569" s="62" t="n">
        <f aca="false">BU569*Parameter!$B$18</f>
        <v>13</v>
      </c>
      <c r="K569" s="63" t="n">
        <v>88.5</v>
      </c>
      <c r="L569" s="64" t="n">
        <v>0.146892655367232</v>
      </c>
      <c r="M569" s="62" t="n">
        <v>2</v>
      </c>
      <c r="N569" s="62" t="n">
        <v>30</v>
      </c>
      <c r="O569" s="65" t="n">
        <v>21</v>
      </c>
      <c r="P569" s="60" t="s">
        <v>344</v>
      </c>
      <c r="Q569" s="62" t="n">
        <v>75</v>
      </c>
      <c r="R569" s="65" t="n">
        <f aca="false">IF(CA569=1,0,IFERROR(VLOOKUP(BY569,'Gebinde-Kategorie'!$A$5:$N$45,13,0)+0,0))</f>
        <v>26</v>
      </c>
      <c r="S569" s="66"/>
      <c r="T569" s="67"/>
      <c r="U569" s="67"/>
      <c r="V569" s="67"/>
      <c r="W569" s="60"/>
      <c r="X569" s="62"/>
      <c r="Y569" s="62"/>
      <c r="Z569" s="60" t="n">
        <v>3</v>
      </c>
      <c r="AA569" s="60" t="n">
        <f aca="false">IF(A569="","",IF(AND(Parameter!$B$21="Ja",ISNUMBER(W569)),W569,IF(AND(Parameter!$E$27="Ja",ISNUMBER(Z569),CD569&lt;&gt;"Nein"),Z569,IF(CD569="2+3",IF(ISNUMBER(SEARCH("grosser Artikel",BV569)),2,IFERROR(VLOOKUP(BY569,Parameter!$F$35:$G$64,2,0),2)),IF(OR(CD569="Nein",CD569=""),"-",CD569)))))</f>
        <v>3</v>
      </c>
      <c r="AB569" s="67"/>
      <c r="AC569" s="68"/>
      <c r="AD569" s="62" t="n">
        <f aca="false">AW569</f>
        <v>32</v>
      </c>
      <c r="AE569" s="62" t="n">
        <f aca="false">MAX(AW569,H569)</f>
        <v>83</v>
      </c>
      <c r="AF569" s="69"/>
      <c r="AG569" s="62" t="n">
        <f aca="false">IF(LEFT(Cockpit!$C$5,1)="A",H569,IF(Parameter!$E$30="MAX-Bestand",IF(CI569=1,CJ569,IF(LEFT(Cockpit!$C$5,1)="B",AM569,MAX(AM569,H569))),ROUNDUP(AK569,0)))</f>
        <v>83</v>
      </c>
      <c r="AH569" s="62" t="n">
        <f aca="false">IF(CA569=1,0,ROUNDUP(AG569/BZ569,0))</f>
        <v>2</v>
      </c>
      <c r="AI569" s="64" t="n">
        <f aca="false">IF(CR569&gt;0,CR569*MAX(1,AG569/X569),IF(CA569=1,IF(AG569&lt;=0,0,CE569*MAX(1,IF(H569&gt;0,AG569/H569,1))),IF(R569&gt;0,AH569/R569,0))/MAX(0.1,N(Parameter!$M$21)))</f>
        <v>0.0769230769230769</v>
      </c>
      <c r="AJ569" s="62" t="n">
        <f aca="false">AI569*CC569</f>
        <v>11.9230769230769</v>
      </c>
      <c r="AK569" s="63" t="n">
        <f aca="false">IF(LEFT(Cockpit!$C$5,1)="A",H569,IF(CI569=1,(CL569+CJ569)/2,IF(LEFT(Cockpit!$C$5,1)="B",(CL569+AM569)/2,MAX((CL569+AM569)/2,H569))))</f>
        <v>83</v>
      </c>
      <c r="AL569" s="62" t="n">
        <f aca="false">AK569*G569</f>
        <v>2297.44</v>
      </c>
      <c r="AM569" s="62" t="n">
        <f aca="false">ROUNDUP(CL569+MAX(CM569,2*(J569/IF(CH569&gt;0,CH569,MAX(0.1,N(Cockpit!$C$6)))-CL569)),0)</f>
        <v>32</v>
      </c>
      <c r="AN569" s="63" t="n">
        <f aca="false">IF(AJ569&gt;0,J569/AJ569,-1)</f>
        <v>1.09032258064516</v>
      </c>
      <c r="AO569" s="63" t="n">
        <f aca="false">IF(AND(OR(CG569="L1",CG569="L23",CG569="LIFT"),AJ569&gt;0),SUMIFS($AJ$7:$AJ$1843,$CG$7:$CG$1843,CG569,$AN$7:$AN$1843,"&gt;"&amp;AN569)+SUMIFS($AJ$7:$AJ$1843,$CG$7:$CG$1843,CG569,$AN$7:$AN$1843,AN569,$BX$7:$BX$1843,"&lt;="&amp;BX569),"")</f>
        <v>6853.96840659341</v>
      </c>
      <c r="AP569" s="70" t="n">
        <f aca="false">IF(AO569="",0,MAX(0,MIN(1,(IF(CG569="L1",Parameter!$H$5,IF(CG569="L23",Parameter!$H$6+Parameter!$H$7,Parameter!$H$5+Parameter!$H$6+Parameter!$H$7))-(AO569-AJ569))/AJ569)))</f>
        <v>1</v>
      </c>
      <c r="AQ569" s="62" t="n">
        <f aca="false">IF(LEFT(Cockpit!$I$5,1)="A",H569,IF(Parameter!$E$30="MAX-Bestand",IF(CI569=1,CJ569,IF(LEFT(Cockpit!$I$5,1)="B",AW569,MAX(AW569,H569))),ROUNDUP(AU569,0)))</f>
        <v>83</v>
      </c>
      <c r="AR569" s="62" t="n">
        <f aca="false">IF(CA569=1,0,ROUNDUP(AQ569/BZ569,0))</f>
        <v>2</v>
      </c>
      <c r="AS569" s="64" t="n">
        <f aca="false">IF(CR569&gt;0,CR569*MAX(1,AQ569/X569),IF(CA569=1,IF(AQ569&lt;=0,0,CE569*MAX(1,IF(H569&gt;0,AQ569/H569,1))),IF(R569&gt;0,AR569/R569,0))/MAX(0.1,N(Parameter!$M$21)))</f>
        <v>0.0769230769230769</v>
      </c>
      <c r="AT569" s="62" t="n">
        <f aca="false">AS569*CC569</f>
        <v>11.9230769230769</v>
      </c>
      <c r="AU569" s="63" t="n">
        <f aca="false">IF(LEFT(Cockpit!$I$5,1)="A",H569,IF(CI569=1,(CL569+CJ569)/2,IF(LEFT(Cockpit!$I$5,1)="B",(CL569+AW569)/2,MAX((CL569+AW569)/2,H569))))</f>
        <v>83</v>
      </c>
      <c r="AV569" s="62" t="n">
        <f aca="false">AU569*G569</f>
        <v>2297.44</v>
      </c>
      <c r="AW569" s="62" t="n">
        <f aca="false">ROUNDUP(CL569+MAX(CM569,2*(J569/IF(CH569&gt;0,CH569,MAX(0.1,N(Cockpit!$I$6)))-CL569)),0)</f>
        <v>32</v>
      </c>
      <c r="AX569" s="63" t="n">
        <f aca="false">IF(AT569&gt;0,J569/AT569,-1)</f>
        <v>1.09032258064516</v>
      </c>
      <c r="AY569" s="63" t="n">
        <f aca="false">IF(AND(OR(CG569="L1",CG569="L23",CG569="LIFT"),AT569&gt;0),SUMIFS($AT$7:$AT$1843,$CG$7:$CG$1843,CG569,$AX$7:$AX$1843,"&gt;"&amp;AX569)+SUMIFS($AT$7:$AT$1843,$CG$7:$CG$1843,CG569,$AX$7:$AX$1843,AX569,$BX$7:$BX$1843,"&lt;="&amp;BX569),"")</f>
        <v>8233.21611721612</v>
      </c>
      <c r="AZ569" s="70" t="n">
        <f aca="false">IF(AY569="",0,MAX(0,MIN(1,(IF(CG569="L1",Parameter!$H$5,IF(CG569="L23",Parameter!$H$6+Parameter!$H$7,Parameter!$H$5+Parameter!$H$6+Parameter!$H$7))-(AY569-AT569))/AT569)))</f>
        <v>1</v>
      </c>
      <c r="BA569" s="62" t="n">
        <f aca="false">IF(LEFT(Cockpit!$O$5,1)="A",H569,IF(Parameter!$E$30="MAX-Bestand",IF(CI569=1,CJ569,IF(LEFT(Cockpit!$O$5,1)="B",BG569,MAX(BG569,H569))),ROUNDUP(BE569,0)))</f>
        <v>17</v>
      </c>
      <c r="BB569" s="62" t="n">
        <f aca="false">IF(CA569=1,0,ROUNDUP(BA569/BZ569,0))</f>
        <v>1</v>
      </c>
      <c r="BC569" s="64" t="n">
        <f aca="false">IF(CR569&gt;0,CR569*MAX(1,BA569/X569),IF(CA569=1,IF(BA569&lt;=0,0,CE569*MAX(1,IF(H569&gt;0,BA569/H569,1))),IF(R569&gt;0,BB569/R569,0))/MAX(0.1,N(Parameter!$M$21)))</f>
        <v>0.0384615384615385</v>
      </c>
      <c r="BD569" s="62" t="n">
        <f aca="false">BC569*CC569</f>
        <v>5.96153846153846</v>
      </c>
      <c r="BE569" s="63" t="n">
        <f aca="false">IF(LEFT(Cockpit!$O$5,1)="A",H569,IF(CI569=1,(CL569+CJ569)/2,IF(LEFT(Cockpit!$O$5,1)="B",(CL569+BG569)/2,MAX((CL569+BG569)/2,H569))))</f>
        <v>17</v>
      </c>
      <c r="BF569" s="62" t="n">
        <f aca="false">BE569*G569</f>
        <v>470.56</v>
      </c>
      <c r="BG569" s="62" t="n">
        <f aca="false">ROUNDUP(CL569+MAX(CM569,2*(J569/IF(CH569&gt;0,CH569,MAX(0.1,N(Cockpit!$O$6)))-CL569)),0)</f>
        <v>32</v>
      </c>
      <c r="BH569" s="63" t="n">
        <f aca="false">IF(BD569&gt;0,J569/BD569,-1)</f>
        <v>2.18064516129032</v>
      </c>
      <c r="BI569" s="63" t="n">
        <f aca="false">IF(AND(OR(CG569="L1",CG569="L23",CG569="LIFT"),BD569&gt;0),SUMIFS($BD$7:$BD$1843,$CG$7:$CG$1843,CG569,$BH$7:$BH$1843,"&gt;"&amp;BH569)+SUMIFS($BD$7:$BD$1843,$CG$7:$CG$1843,CG569,$BH$7:$BH$1843,BH569,$BX$7:$BX$1843,"&lt;="&amp;BX569),"")</f>
        <v>5705.36538461538</v>
      </c>
      <c r="BJ569" s="70" t="n">
        <f aca="false">IF(BI569="",0,MAX(0,MIN(1,(IF(CG569="L1",Parameter!$H$5,IF(CG569="L23",Parameter!$H$6+Parameter!$H$7,Parameter!$H$5+Parameter!$H$6+Parameter!$H$7))-(BI569-BD569))/BD569)))</f>
        <v>1</v>
      </c>
      <c r="BK569" s="60" t="str">
        <f aca="false">IF(AJ569&lt;=0,"",IF(CG569="Aussen","Aussenlager",IF(CG569="-","Nicht im Lift",IF(AP569&gt;=1,"Lift",IF(AP569&lt;=0,"Aussenlager","teilweise")))))</f>
        <v>Lift</v>
      </c>
      <c r="BL569" s="60" t="str">
        <f aca="false">IF(AT569&lt;=0,"",IF(CG569="Aussen","Aussenlager",IF(CG569="-","Nicht im Lift",IF(AZ569&gt;=1,"Lift",IF(AZ569&lt;=0,"Aussenlager","teilweise")))))</f>
        <v>Lift</v>
      </c>
      <c r="BM569" s="60" t="str">
        <f aca="false">IF(BD569&lt;=0,"",IF(CG569="Aussen","Aussenlager",IF(CG569="-","Nicht im Lift",IF(BJ569&gt;=1,"Lift",IF(BJ569&lt;=0,"Aussenlager","teilweise")))))</f>
        <v>Lift</v>
      </c>
      <c r="BN569" s="60" t="str">
        <f aca="false">IF(A569="","",IF(BW569=1,"Neu; ","")&amp;IF(AND(BW569=0,BR569&lt;0),"negativer Bestand (Export "&amp;BR569&amp;"); ","")&amp;IF(J569&lt;=0,"Kein Verbrauch; ","")&amp;IF(CR569&gt;0,"Lift "&amp;W569&amp;" lt. Liftbericht (Fach "&amp;X569&amp;" Stk); ",IF(CB569=1,"Gebinde geschätzt ("&amp;T569&amp;"); ",IF(CA569=1,"Lose – Tablare geschätzt; ","")))&amp;IF(H569&gt;AW569,"Überbestand "&amp;ROUND(H569-AW569,0)&amp;" Stk / CHF "&amp;ROUND((H569-AW569)*G569,0)&amp;"; ","")&amp;IF(AND(CI569=1,CJ569&lt;CK569),"MAX &lt; MB+LG; ","")&amp;IF(AND(CQ569&gt;0,CP569*10&gt;CQ569),"zu hoch für Tablar; ","")&amp;IF(AND(BW569=0,OR(CI569=1,AB569&lt;&gt;"",U569&lt;&gt;"",V569&lt;&gt;"",AC569&lt;&gt;"")),"manuell übersteuert; ","")&amp;IF(AND(CA569=0,R569=0),"Gebinde unbekannt / Stellmass fehlt; ","")&amp;IF(AND(CA569=0,N(V569)&lt;=0,N(Q569)&lt;=0),"Menge pro Gebinde fehlt (Ist = 1 Gebinde); ","")&amp;BV569)</f>
        <v>Überbestand 51 Stk / CHF 1412; Neu</v>
      </c>
      <c r="BO569" s="60"/>
      <c r="BP569" s="60"/>
      <c r="BQ569" s="67"/>
      <c r="BR569" s="62" t="n">
        <v>3</v>
      </c>
      <c r="BS569" s="62" t="n">
        <v>80</v>
      </c>
      <c r="BT569" s="61" t="n">
        <v>12.64</v>
      </c>
      <c r="BU569" s="62" t="n">
        <v>13</v>
      </c>
      <c r="BV569" s="60" t="s">
        <v>668</v>
      </c>
      <c r="BW569" s="65" t="n">
        <v>0</v>
      </c>
      <c r="BX569" s="65" t="n">
        <v>569</v>
      </c>
      <c r="BY569" s="60" t="str">
        <f aca="false">IF(U569&lt;&gt;"",UPPER(TRIM(U569)),IF(CB569=1,UPPER(VLOOKUP(T569,Parameter!$I$27:$K$29,2,0)),IF(P569="","LOSE",P569)))</f>
        <v>S51</v>
      </c>
      <c r="BZ569" s="62" t="n">
        <f aca="false">IF(BY569="LOSE",1,IF(N(V569)&gt;0,V569,IF(CB569=1,MAX(1,N(VLOOKUP(T569,Parameter!$I$27:$K$29,3,0)),H569,N(N569)),IF(N(Q569)&gt;0,Q569,MAX(1,H569)))))</f>
        <v>75</v>
      </c>
      <c r="CA569" s="65" t="n">
        <f aca="false">IF(BY569="LOSE",1,0)</f>
        <v>0</v>
      </c>
      <c r="CB569" s="65" t="n">
        <f aca="false">IF(AND(U569="",OR(P569="",P569="LOSE"),T569&lt;&gt;"",N(S569)&lt;=0,ISNUMBER(MATCH(T569,Parameter!$I$27:$I$29,0))),1,0)</f>
        <v>0</v>
      </c>
      <c r="CC569" s="65" t="n">
        <f aca="false">IF(CR569&gt;0,INDEX(Parameter!$H$5:$H$7,W569)/INDEX(Parameter!$E$5:$E$7,W569),IF(AND(CA569=0,N(IFERROR(VLOOKUP(BY569,'Gebinde-Kategorie'!$A$5:$N$45,14,0),0))&gt;0),VLOOKUP(BY569,'Gebinde-Kategorie'!$A$5:$N$45,14,0)*10+Parameter!$M$23,Parameter!$M$24))</f>
        <v>155</v>
      </c>
      <c r="CD569" s="60" t="str">
        <f aca="false">IF(AND(Parameter!$B$19="Ja",E569&lt;&gt;"",ISNUMBER(MATCH(E569,Parameter!$I$35:$I$52,0))),VLOOKUP(E569,Parameter!$I$35:$J$52,2,0),IFERROR(VLOOKUP(D569,Parameter!$A$35:$C$64,2,0),"Nein"))</f>
        <v>2+3</v>
      </c>
      <c r="CE569" s="64" t="n">
        <f aca="false">IF(CA569=0,0,IF(N(S569)&gt;0,S569,IFERROR(VLOOKUP(D569,Parameter!$A$35:$C$64,3,0)+0,0)))</f>
        <v>0</v>
      </c>
      <c r="CF569" s="60" t="n">
        <f aca="false">IF(AB569&lt;&gt;"",AB569,AA569)</f>
        <v>3</v>
      </c>
      <c r="CG569" s="60" t="str">
        <f aca="false">IF(OR(CF569=1,CF569=2,CF569=3),IF(Parameter!$E$27="Ja","LIFT",IF(CF569=1,"L1","L23")),IF(CF569="Aussen","Aussen","-"))</f>
        <v>LIFT</v>
      </c>
      <c r="CH569" s="71" t="n">
        <f aca="false">IF(N(AC569)&gt;0,AC569,0)</f>
        <v>0</v>
      </c>
      <c r="CI569" s="65" t="n">
        <f aca="false">IF(ISNUMBER(AF569),1,0)</f>
        <v>0</v>
      </c>
      <c r="CJ569" s="62" t="n">
        <f aca="false">N(AF569)</f>
        <v>0</v>
      </c>
      <c r="CK569" s="62" t="n">
        <f aca="false">N(M569)+N(N569)</f>
        <v>32</v>
      </c>
      <c r="CL569" s="62" t="n">
        <f aca="false">N(M569)</f>
        <v>2</v>
      </c>
      <c r="CM569" s="62" t="n">
        <f aca="false">N(N569)</f>
        <v>30</v>
      </c>
      <c r="CN569" s="62" t="n">
        <f aca="false">ROUNDUP(H569/BZ569,0)</f>
        <v>2</v>
      </c>
      <c r="CO569" s="62" t="n">
        <f aca="false">ROUNDUP(CJ569/BZ569,0)</f>
        <v>0</v>
      </c>
      <c r="CP569" s="65" t="n">
        <f aca="false">IF(CA569=1,0,IFERROR(VLOOKUP(BY569,'Gebinde-Kategorie'!$A$5:$N$45,5,0)+0,0))</f>
        <v>11</v>
      </c>
      <c r="CQ569" s="65" t="n">
        <f aca="false">IFERROR(IF(OR(CF569=1,CF569=2,CF569=3),N(INDEX(Parameter!$I$5:$I$7,CF569)),0),0)</f>
        <v>0</v>
      </c>
      <c r="CR569" s="64" t="n">
        <f aca="false">IF(AND(Parameter!$B$21="Ja",ISNUMBER(W569),N(X569)&gt;0),IFERROR(N(INDEX(Parameter!$L$5:$L$7,W569))*INDEX(Parameter!$E$5:$E$7,W569)*X569/SUMIFS($X$7:$X$1843,$W$7:$W$1843,W569),0),0)</f>
        <v>0</v>
      </c>
      <c r="CS569" s="62" t="n">
        <f aca="false">IF(AND(OR(CG569="L1",CG569="L23",CG569="LIFT"),H569&gt;0),CC569*IF(CR569&gt;0,CR569*MAX(1,H569/X569),IF(CA569=1,CE569,IF(R569&gt;0,CN569/R569,0))/MAX(0.1,N(Parameter!$M$21))),"")</f>
        <v>11.9230769230769</v>
      </c>
      <c r="CT569" s="64" t="n">
        <f aca="false">IF(CS569="","",J569/H569)</f>
        <v>0.156626506024096</v>
      </c>
      <c r="CU569" s="62" t="n">
        <f aca="false">IF(CS569="","",H569*G569)</f>
        <v>2297.44</v>
      </c>
      <c r="CV569" s="63" t="n">
        <f aca="false">IF(CS569="","",(CL569+ROUNDUP(CL569+MAX(CM569,2*(J569/MAX(0.1,N(Einkauf!$C$6))-CL569)),0))/2)</f>
        <v>17</v>
      </c>
      <c r="CW569" s="62" t="n">
        <f aca="false">IF(CS569="","",MAX(0,H569-CV569)*G569)</f>
        <v>1826.88</v>
      </c>
      <c r="CX569" s="62" t="n">
        <f aca="false">IF(CS569="","",CS569*MAX(0,1-CV569/H569))</f>
        <v>9.48100092678406</v>
      </c>
      <c r="CY569" s="64" t="n">
        <f aca="false">IF(CS569="","",PERCENTRANK($CS$7:$CS$1843,CS569)+PERCENTRANK($CU$7:$CU$1843,CU569)+1-PERCENTRANK($CT$7:$CT$1843,CT569))</f>
        <v>1.971</v>
      </c>
      <c r="CZ569" s="72" t="n">
        <f aca="false">IF(CS569="","",CHOOSE(MATCH(Einkauf!$C$5,Parameter!$G$23:$G$27,0),CY569,CS569,CU569,-CT569,CW569)+ROW()/1000000000)</f>
        <v>1.971000569</v>
      </c>
    </row>
    <row r="570" customFormat="false" ht="15" hidden="false" customHeight="false" outlineLevel="0" collapsed="false">
      <c r="A570" s="60" t="s">
        <v>1244</v>
      </c>
      <c r="B570" s="60" t="s">
        <v>447</v>
      </c>
      <c r="C570" s="60" t="s">
        <v>206</v>
      </c>
      <c r="D570" s="60" t="s">
        <v>226</v>
      </c>
      <c r="E570" s="60" t="s">
        <v>227</v>
      </c>
      <c r="F570" s="60" t="s">
        <v>260</v>
      </c>
      <c r="G570" s="61" t="n">
        <v>0.11</v>
      </c>
      <c r="H570" s="62" t="n">
        <f aca="false">MAX(0,IF(AND(Parameter!$B$21="Ja",ISNUMBER(Y570)),Y570,IF(Parameter!$B$20="Jahresanfang 2025 + Export",BS570+BR570,BR570)))</f>
        <v>194</v>
      </c>
      <c r="I570" s="62" t="n">
        <f aca="false">H570*G570</f>
        <v>21.34</v>
      </c>
      <c r="J570" s="62" t="n">
        <f aca="false">BU570*Parameter!$B$18</f>
        <v>198</v>
      </c>
      <c r="K570" s="63" t="n">
        <v>164</v>
      </c>
      <c r="L570" s="64" t="n">
        <v>1.20731707317073</v>
      </c>
      <c r="M570" s="62" t="n">
        <v>11</v>
      </c>
      <c r="N570" s="62" t="n">
        <v>200</v>
      </c>
      <c r="O570" s="65" t="n">
        <v>21</v>
      </c>
      <c r="P570" s="60" t="s">
        <v>463</v>
      </c>
      <c r="Q570" s="62" t="n">
        <v>304</v>
      </c>
      <c r="R570" s="65" t="n">
        <f aca="false">IF(CA570=1,0,IFERROR(VLOOKUP(BY570,'Gebinde-Kategorie'!$A$5:$N$45,13,0)+0,0))</f>
        <v>104</v>
      </c>
      <c r="S570" s="66"/>
      <c r="T570" s="67"/>
      <c r="U570" s="67"/>
      <c r="V570" s="67"/>
      <c r="W570" s="60"/>
      <c r="X570" s="62"/>
      <c r="Y570" s="62"/>
      <c r="Z570" s="60" t="n">
        <v>1</v>
      </c>
      <c r="AA570" s="60" t="n">
        <f aca="false">IF(A570="","",IF(AND(Parameter!$B$21="Ja",ISNUMBER(W570)),W570,IF(AND(Parameter!$E$27="Ja",ISNUMBER(Z570),CD570&lt;&gt;"Nein"),Z570,IF(CD570="2+3",IF(ISNUMBER(SEARCH("grosser Artikel",BV570)),2,IFERROR(VLOOKUP(BY570,Parameter!$F$35:$G$64,2,0),2)),IF(OR(CD570="Nein",CD570=""),"-",CD570)))))</f>
        <v>1</v>
      </c>
      <c r="AB570" s="67"/>
      <c r="AC570" s="68"/>
      <c r="AD570" s="62" t="n">
        <f aca="false">AW570</f>
        <v>211</v>
      </c>
      <c r="AE570" s="62" t="n">
        <f aca="false">MAX(AW570,H570)</f>
        <v>211</v>
      </c>
      <c r="AF570" s="69"/>
      <c r="AG570" s="62" t="n">
        <f aca="false">IF(LEFT(Cockpit!$C$5,1)="A",H570,IF(Parameter!$E$30="MAX-Bestand",IF(CI570=1,CJ570,IF(LEFT(Cockpit!$C$5,1)="B",AM570,MAX(AM570,H570))),ROUNDUP(AK570,0)))</f>
        <v>194</v>
      </c>
      <c r="AH570" s="62" t="n">
        <f aca="false">IF(CA570=1,0,ROUNDUP(AG570/BZ570,0))</f>
        <v>1</v>
      </c>
      <c r="AI570" s="64" t="n">
        <f aca="false">IF(CR570&gt;0,CR570*MAX(1,AG570/X570),IF(CA570=1,IF(AG570&lt;=0,0,CE570*MAX(1,IF(H570&gt;0,AG570/H570,1))),IF(R570&gt;0,AH570/R570,0))/MAX(0.1,N(Parameter!$M$21)))</f>
        <v>0.00961538461538462</v>
      </c>
      <c r="AJ570" s="62" t="n">
        <f aca="false">AI570*CC570</f>
        <v>1.49038461538462</v>
      </c>
      <c r="AK570" s="63" t="n">
        <f aca="false">IF(LEFT(Cockpit!$C$5,1)="A",H570,IF(CI570=1,(CL570+CJ570)/2,IF(LEFT(Cockpit!$C$5,1)="B",(CL570+AM570)/2,MAX((CL570+AM570)/2,H570))))</f>
        <v>194</v>
      </c>
      <c r="AL570" s="62" t="n">
        <f aca="false">AK570*G570</f>
        <v>21.34</v>
      </c>
      <c r="AM570" s="62" t="n">
        <f aca="false">ROUNDUP(CL570+MAX(CM570,2*(J570/IF(CH570&gt;0,CH570,MAX(0.1,N(Cockpit!$C$6)))-CL570)),0)</f>
        <v>211</v>
      </c>
      <c r="AN570" s="63" t="n">
        <f aca="false">IF(AJ570&gt;0,J570/AJ570,-1)</f>
        <v>132.851612903226</v>
      </c>
      <c r="AO570" s="63" t="n">
        <f aca="false">IF(AND(OR(CG570="L1",CG570="L23",CG570="LIFT"),AJ570&gt;0),SUMIFS($AJ$7:$AJ$1843,$CG$7:$CG$1843,CG570,$AN$7:$AN$1843,"&gt;"&amp;AN570)+SUMIFS($AJ$7:$AJ$1843,$CG$7:$CG$1843,CG570,$AN$7:$AN$1843,AN570,$BX$7:$BX$1843,"&lt;="&amp;BX570),"")</f>
        <v>545.817765567766</v>
      </c>
      <c r="AP570" s="70" t="n">
        <f aca="false">IF(AO570="",0,MAX(0,MIN(1,(IF(CG570="L1",Parameter!$H$5,IF(CG570="L23",Parameter!$H$6+Parameter!$H$7,Parameter!$H$5+Parameter!$H$6+Parameter!$H$7))-(AO570-AJ570))/AJ570)))</f>
        <v>1</v>
      </c>
      <c r="AQ570" s="62" t="n">
        <f aca="false">IF(LEFT(Cockpit!$I$5,1)="A",H570,IF(Parameter!$E$30="MAX-Bestand",IF(CI570=1,CJ570,IF(LEFT(Cockpit!$I$5,1)="B",AW570,MAX(AW570,H570))),ROUNDUP(AU570,0)))</f>
        <v>194</v>
      </c>
      <c r="AR570" s="62" t="n">
        <f aca="false">IF(CA570=1,0,ROUNDUP(AQ570/BZ570,0))</f>
        <v>1</v>
      </c>
      <c r="AS570" s="64" t="n">
        <f aca="false">IF(CR570&gt;0,CR570*MAX(1,AQ570/X570),IF(CA570=1,IF(AQ570&lt;=0,0,CE570*MAX(1,IF(H570&gt;0,AQ570/H570,1))),IF(R570&gt;0,AR570/R570,0))/MAX(0.1,N(Parameter!$M$21)))</f>
        <v>0.00961538461538462</v>
      </c>
      <c r="AT570" s="62" t="n">
        <f aca="false">AS570*CC570</f>
        <v>1.49038461538462</v>
      </c>
      <c r="AU570" s="63" t="n">
        <f aca="false">IF(LEFT(Cockpit!$I$5,1)="A",H570,IF(CI570=1,(CL570+CJ570)/2,IF(LEFT(Cockpit!$I$5,1)="B",(CL570+AW570)/2,MAX((CL570+AW570)/2,H570))))</f>
        <v>194</v>
      </c>
      <c r="AV570" s="62" t="n">
        <f aca="false">AU570*G570</f>
        <v>21.34</v>
      </c>
      <c r="AW570" s="62" t="n">
        <f aca="false">ROUNDUP(CL570+MAX(CM570,2*(J570/IF(CH570&gt;0,CH570,MAX(0.1,N(Cockpit!$I$6)))-CL570)),0)</f>
        <v>211</v>
      </c>
      <c r="AX570" s="63" t="n">
        <f aca="false">IF(AT570&gt;0,J570/AT570,-1)</f>
        <v>132.851612903226</v>
      </c>
      <c r="AY570" s="63" t="n">
        <f aca="false">IF(AND(OR(CG570="L1",CG570="L23",CG570="LIFT"),AT570&gt;0),SUMIFS($AT$7:$AT$1843,$CG$7:$CG$1843,CG570,$AX$7:$AX$1843,"&gt;"&amp;AX570)+SUMIFS($AT$7:$AT$1843,$CG$7:$CG$1843,CG570,$AX$7:$AX$1843,AX570,$BX$7:$BX$1843,"&lt;="&amp;BX570),"")</f>
        <v>663.45467032967</v>
      </c>
      <c r="AZ570" s="70" t="n">
        <f aca="false">IF(AY570="",0,MAX(0,MIN(1,(IF(CG570="L1",Parameter!$H$5,IF(CG570="L23",Parameter!$H$6+Parameter!$H$7,Parameter!$H$5+Parameter!$H$6+Parameter!$H$7))-(AY570-AT570))/AT570)))</f>
        <v>1</v>
      </c>
      <c r="BA570" s="62" t="n">
        <f aca="false">IF(LEFT(Cockpit!$O$5,1)="A",H570,IF(Parameter!$E$30="MAX-Bestand",IF(CI570=1,CJ570,IF(LEFT(Cockpit!$O$5,1)="B",BG570,MAX(BG570,H570))),ROUNDUP(BE570,0)))</f>
        <v>111</v>
      </c>
      <c r="BB570" s="62" t="n">
        <f aca="false">IF(CA570=1,0,ROUNDUP(BA570/BZ570,0))</f>
        <v>1</v>
      </c>
      <c r="BC570" s="64" t="n">
        <f aca="false">IF(CR570&gt;0,CR570*MAX(1,BA570/X570),IF(CA570=1,IF(BA570&lt;=0,0,CE570*MAX(1,IF(H570&gt;0,BA570/H570,1))),IF(R570&gt;0,BB570/R570,0))/MAX(0.1,N(Parameter!$M$21)))</f>
        <v>0.00961538461538462</v>
      </c>
      <c r="BD570" s="62" t="n">
        <f aca="false">BC570*CC570</f>
        <v>1.49038461538462</v>
      </c>
      <c r="BE570" s="63" t="n">
        <f aca="false">IF(LEFT(Cockpit!$O$5,1)="A",H570,IF(CI570=1,(CL570+CJ570)/2,IF(LEFT(Cockpit!$O$5,1)="B",(CL570+BG570)/2,MAX((CL570+BG570)/2,H570))))</f>
        <v>111</v>
      </c>
      <c r="BF570" s="62" t="n">
        <f aca="false">BE570*G570</f>
        <v>12.21</v>
      </c>
      <c r="BG570" s="62" t="n">
        <f aca="false">ROUNDUP(CL570+MAX(CM570,2*(J570/IF(CH570&gt;0,CH570,MAX(0.1,N(Cockpit!$O$6)))-CL570)),0)</f>
        <v>211</v>
      </c>
      <c r="BH570" s="63" t="n">
        <f aca="false">IF(BD570&gt;0,J570/BD570,-1)</f>
        <v>132.851612903226</v>
      </c>
      <c r="BI570" s="63" t="n">
        <f aca="false">IF(AND(OR(CG570="L1",CG570="L23",CG570="LIFT"),BD570&gt;0),SUMIFS($BD$7:$BD$1843,$CG$7:$CG$1843,CG570,$BH$7:$BH$1843,"&gt;"&amp;BH570)+SUMIFS($BD$7:$BD$1843,$CG$7:$CG$1843,CG570,$BH$7:$BH$1843,BH570,$BX$7:$BX$1843,"&lt;="&amp;BX570),"")</f>
        <v>597.806318681319</v>
      </c>
      <c r="BJ570" s="70" t="n">
        <f aca="false">IF(BI570="",0,MAX(0,MIN(1,(IF(CG570="L1",Parameter!$H$5,IF(CG570="L23",Parameter!$H$6+Parameter!$H$7,Parameter!$H$5+Parameter!$H$6+Parameter!$H$7))-(BI570-BD570))/BD570)))</f>
        <v>1</v>
      </c>
      <c r="BK570" s="60" t="str">
        <f aca="false">IF(AJ570&lt;=0,"",IF(CG570="Aussen","Aussenlager",IF(CG570="-","Nicht im Lift",IF(AP570&gt;=1,"Lift",IF(AP570&lt;=0,"Aussenlager","teilweise")))))</f>
        <v>Lift</v>
      </c>
      <c r="BL570" s="60" t="str">
        <f aca="false">IF(AT570&lt;=0,"",IF(CG570="Aussen","Aussenlager",IF(CG570="-","Nicht im Lift",IF(AZ570&gt;=1,"Lift",IF(AZ570&lt;=0,"Aussenlager","teilweise")))))</f>
        <v>Lift</v>
      </c>
      <c r="BM570" s="60" t="str">
        <f aca="false">IF(BD570&lt;=0,"",IF(CG570="Aussen","Aussenlager",IF(CG570="-","Nicht im Lift",IF(BJ570&gt;=1,"Lift",IF(BJ570&lt;=0,"Aussenlager","teilweise")))))</f>
        <v>Lift</v>
      </c>
      <c r="BN570" s="60" t="str">
        <f aca="false">IF(A570="","",IF(BW570=1,"Neu; ","")&amp;IF(AND(BW570=0,BR570&lt;0),"negativer Bestand (Export "&amp;BR570&amp;"); ","")&amp;IF(J570&lt;=0,"Kein Verbrauch; ","")&amp;IF(CR570&gt;0,"Lift "&amp;W570&amp;" lt. Liftbericht (Fach "&amp;X570&amp;" Stk); ",IF(CB570=1,"Gebinde geschätzt ("&amp;T570&amp;"); ",IF(CA570=1,"Lose – Tablare geschätzt; ","")))&amp;IF(H570&gt;AW570,"Überbestand "&amp;ROUND(H570-AW570,0)&amp;" Stk / CHF "&amp;ROUND((H570-AW570)*G570,0)&amp;"; ","")&amp;IF(AND(CI570=1,CJ570&lt;CK570),"MAX &lt; MB+LG; ","")&amp;IF(AND(CQ570&gt;0,CP570*10&gt;CQ570),"zu hoch für Tablar; ","")&amp;IF(AND(BW570=0,OR(CI570=1,AB570&lt;&gt;"",U570&lt;&gt;"",V570&lt;&gt;"",AC570&lt;&gt;"")),"manuell übersteuert; ","")&amp;IF(AND(CA570=0,R570=0),"Gebinde unbekannt / Stellmass fehlt; ","")&amp;IF(AND(CA570=0,N(V570)&lt;=0,N(Q570)&lt;=0),"Menge pro Gebinde fehlt (Ist = 1 Gebinde); ","")&amp;BV570)</f>
        <v/>
      </c>
      <c r="BO570" s="60"/>
      <c r="BP570" s="60"/>
      <c r="BQ570" s="67"/>
      <c r="BR570" s="62" t="n">
        <v>34</v>
      </c>
      <c r="BS570" s="62" t="n">
        <v>160</v>
      </c>
      <c r="BT570" s="61" t="n">
        <v>11.74</v>
      </c>
      <c r="BU570" s="62" t="n">
        <v>198</v>
      </c>
      <c r="BV570" s="60"/>
      <c r="BW570" s="65" t="n">
        <v>0</v>
      </c>
      <c r="BX570" s="65" t="n">
        <v>570</v>
      </c>
      <c r="BY570" s="60" t="str">
        <f aca="false">IF(U570&lt;&gt;"",UPPER(TRIM(U570)),IF(CB570=1,UPPER(VLOOKUP(T570,Parameter!$I$27:$K$29,2,0)),IF(P570="","LOSE",P570)))</f>
        <v>S32</v>
      </c>
      <c r="BZ570" s="62" t="n">
        <f aca="false">IF(BY570="LOSE",1,IF(N(V570)&gt;0,V570,IF(CB570=1,MAX(1,N(VLOOKUP(T570,Parameter!$I$27:$K$29,3,0)),H570,N(N570)),IF(N(Q570)&gt;0,Q570,MAX(1,H570)))))</f>
        <v>304</v>
      </c>
      <c r="CA570" s="65" t="n">
        <f aca="false">IF(BY570="LOSE",1,0)</f>
        <v>0</v>
      </c>
      <c r="CB570" s="65" t="n">
        <f aca="false">IF(AND(U570="",OR(P570="",P570="LOSE"),T570&lt;&gt;"",N(S570)&lt;=0,ISNUMBER(MATCH(T570,Parameter!$I$27:$I$29,0))),1,0)</f>
        <v>0</v>
      </c>
      <c r="CC570" s="65" t="n">
        <f aca="false">IF(CR570&gt;0,INDEX(Parameter!$H$5:$H$7,W570)/INDEX(Parameter!$E$5:$E$7,W570),IF(AND(CA570=0,N(IFERROR(VLOOKUP(BY570,'Gebinde-Kategorie'!$A$5:$N$45,14,0),0))&gt;0),VLOOKUP(BY570,'Gebinde-Kategorie'!$A$5:$N$45,14,0)*10+Parameter!$M$23,Parameter!$M$24))</f>
        <v>155</v>
      </c>
      <c r="CD570" s="60" t="str">
        <f aca="false">IF(AND(Parameter!$B$19="Ja",E570&lt;&gt;"",ISNUMBER(MATCH(E570,Parameter!$I$35:$I$52,0))),VLOOKUP(E570,Parameter!$I$35:$J$52,2,0),IFERROR(VLOOKUP(D570,Parameter!$A$35:$C$64,2,0),"Nein"))</f>
        <v>2+3</v>
      </c>
      <c r="CE570" s="64" t="n">
        <f aca="false">IF(CA570=0,0,IF(N(S570)&gt;0,S570,IFERROR(VLOOKUP(D570,Parameter!$A$35:$C$64,3,0)+0,0)))</f>
        <v>0</v>
      </c>
      <c r="CF570" s="60" t="n">
        <f aca="false">IF(AB570&lt;&gt;"",AB570,AA570)</f>
        <v>1</v>
      </c>
      <c r="CG570" s="60" t="str">
        <f aca="false">IF(OR(CF570=1,CF570=2,CF570=3),IF(Parameter!$E$27="Ja","LIFT",IF(CF570=1,"L1","L23")),IF(CF570="Aussen","Aussen","-"))</f>
        <v>LIFT</v>
      </c>
      <c r="CH570" s="71" t="n">
        <f aca="false">IF(N(AC570)&gt;0,AC570,0)</f>
        <v>0</v>
      </c>
      <c r="CI570" s="65" t="n">
        <f aca="false">IF(ISNUMBER(AF570),1,0)</f>
        <v>0</v>
      </c>
      <c r="CJ570" s="62" t="n">
        <f aca="false">N(AF570)</f>
        <v>0</v>
      </c>
      <c r="CK570" s="62" t="n">
        <f aca="false">N(M570)+N(N570)</f>
        <v>211</v>
      </c>
      <c r="CL570" s="62" t="n">
        <f aca="false">N(M570)</f>
        <v>11</v>
      </c>
      <c r="CM570" s="62" t="n">
        <f aca="false">N(N570)</f>
        <v>200</v>
      </c>
      <c r="CN570" s="62" t="n">
        <f aca="false">ROUNDUP(H570/BZ570,0)</f>
        <v>1</v>
      </c>
      <c r="CO570" s="62" t="n">
        <f aca="false">ROUNDUP(CJ570/BZ570,0)</f>
        <v>0</v>
      </c>
      <c r="CP570" s="65" t="n">
        <f aca="false">IF(CA570=1,0,IFERROR(VLOOKUP(BY570,'Gebinde-Kategorie'!$A$5:$N$45,5,0)+0,0))</f>
        <v>8</v>
      </c>
      <c r="CQ570" s="65" t="n">
        <f aca="false">IFERROR(IF(OR(CF570=1,CF570=2,CF570=3),N(INDEX(Parameter!$I$5:$I$7,CF570)),0),0)</f>
        <v>0</v>
      </c>
      <c r="CR570" s="64" t="n">
        <f aca="false">IF(AND(Parameter!$B$21="Ja",ISNUMBER(W570),N(X570)&gt;0),IFERROR(N(INDEX(Parameter!$L$5:$L$7,W570))*INDEX(Parameter!$E$5:$E$7,W570)*X570/SUMIFS($X$7:$X$1843,$W$7:$W$1843,W570),0),0)</f>
        <v>0</v>
      </c>
      <c r="CS570" s="62" t="n">
        <f aca="false">IF(AND(OR(CG570="L1",CG570="L23",CG570="LIFT"),H570&gt;0),CC570*IF(CR570&gt;0,CR570*MAX(1,H570/X570),IF(CA570=1,CE570,IF(R570&gt;0,CN570/R570,0))/MAX(0.1,N(Parameter!$M$21))),"")</f>
        <v>1.49038461538462</v>
      </c>
      <c r="CT570" s="64" t="n">
        <f aca="false">IF(CS570="","",J570/H570)</f>
        <v>1.02061855670103</v>
      </c>
      <c r="CU570" s="62" t="n">
        <f aca="false">IF(CS570="","",H570*G570)</f>
        <v>21.34</v>
      </c>
      <c r="CV570" s="63" t="n">
        <f aca="false">IF(CS570="","",(CL570+ROUNDUP(CL570+MAX(CM570,2*(J570/MAX(0.1,N(Einkauf!$C$6))-CL570)),0))/2)</f>
        <v>111</v>
      </c>
      <c r="CW570" s="62" t="n">
        <f aca="false">IF(CS570="","",MAX(0,H570-CV570)*G570)</f>
        <v>9.13</v>
      </c>
      <c r="CX570" s="62" t="n">
        <f aca="false">IF(CS570="","",CS570*MAX(0,1-CV570/H570))</f>
        <v>0.637638778747026</v>
      </c>
      <c r="CY570" s="64" t="n">
        <f aca="false">IF(CS570="","",PERCENTRANK($CS$7:$CS$1843,CS570)+PERCENTRANK($CU$7:$CU$1843,CU570)+1-PERCENTRANK($CT$7:$CT$1843,CT570))</f>
        <v>0.5247</v>
      </c>
      <c r="CZ570" s="72" t="n">
        <f aca="false">IF(CS570="","",CHOOSE(MATCH(Einkauf!$C$5,Parameter!$G$23:$G$27,0),CY570,CS570,CU570,-CT570,CW570)+ROW()/1000000000)</f>
        <v>0.52470057</v>
      </c>
    </row>
    <row r="571" customFormat="false" ht="15" hidden="false" customHeight="false" outlineLevel="0" collapsed="false">
      <c r="A571" s="60" t="s">
        <v>1245</v>
      </c>
      <c r="B571" s="60" t="s">
        <v>447</v>
      </c>
      <c r="C571" s="60" t="s">
        <v>206</v>
      </c>
      <c r="D571" s="60" t="s">
        <v>226</v>
      </c>
      <c r="E571" s="60" t="s">
        <v>227</v>
      </c>
      <c r="F571" s="60" t="s">
        <v>260</v>
      </c>
      <c r="G571" s="61" t="n">
        <v>0.15</v>
      </c>
      <c r="H571" s="62" t="n">
        <f aca="false">MAX(0,IF(AND(Parameter!$B$21="Ja",ISNUMBER(Y571)),Y571,IF(Parameter!$B$20="Jahresanfang 2025 + Export",BS571+BR571,BR571)))</f>
        <v>378</v>
      </c>
      <c r="I571" s="62" t="n">
        <f aca="false">H571*G571</f>
        <v>56.7</v>
      </c>
      <c r="J571" s="62" t="n">
        <f aca="false">BU571*Parameter!$B$18</f>
        <v>368</v>
      </c>
      <c r="K571" s="63" t="n">
        <v>177</v>
      </c>
      <c r="L571" s="64" t="n">
        <v>2.07909604519774</v>
      </c>
      <c r="M571" s="62" t="n">
        <v>14</v>
      </c>
      <c r="N571" s="62" t="n">
        <v>400</v>
      </c>
      <c r="O571" s="65" t="n">
        <v>14</v>
      </c>
      <c r="P571" s="60" t="s">
        <v>275</v>
      </c>
      <c r="Q571" s="62" t="n">
        <v>400</v>
      </c>
      <c r="R571" s="65" t="n">
        <f aca="false">IF(CA571=1,0,IFERROR(VLOOKUP(BY571,'Gebinde-Kategorie'!$A$5:$N$45,13,0)+0,0))</f>
        <v>26</v>
      </c>
      <c r="S571" s="66"/>
      <c r="T571" s="67"/>
      <c r="U571" s="67"/>
      <c r="V571" s="67"/>
      <c r="W571" s="60"/>
      <c r="X571" s="62"/>
      <c r="Y571" s="62"/>
      <c r="Z571" s="60" t="n">
        <v>3</v>
      </c>
      <c r="AA571" s="60" t="n">
        <f aca="false">IF(A571="","",IF(AND(Parameter!$B$21="Ja",ISNUMBER(W571)),W571,IF(AND(Parameter!$E$27="Ja",ISNUMBER(Z571),CD571&lt;&gt;"Nein"),Z571,IF(CD571="2+3",IF(ISNUMBER(SEARCH("grosser Artikel",BV571)),2,IFERROR(VLOOKUP(BY571,Parameter!$F$35:$G$64,2,0),2)),IF(OR(CD571="Nein",CD571=""),"-",CD571)))))</f>
        <v>3</v>
      </c>
      <c r="AB571" s="67"/>
      <c r="AC571" s="68"/>
      <c r="AD571" s="62" t="n">
        <f aca="false">AW571</f>
        <v>414</v>
      </c>
      <c r="AE571" s="62" t="n">
        <f aca="false">MAX(AW571,H571)</f>
        <v>414</v>
      </c>
      <c r="AF571" s="69"/>
      <c r="AG571" s="62" t="n">
        <f aca="false">IF(LEFT(Cockpit!$C$5,1)="A",H571,IF(Parameter!$E$30="MAX-Bestand",IF(CI571=1,CJ571,IF(LEFT(Cockpit!$C$5,1)="B",AM571,MAX(AM571,H571))),ROUNDUP(AK571,0)))</f>
        <v>378</v>
      </c>
      <c r="AH571" s="62" t="n">
        <f aca="false">IF(CA571=1,0,ROUNDUP(AG571/BZ571,0))</f>
        <v>1</v>
      </c>
      <c r="AI571" s="64" t="n">
        <f aca="false">IF(CR571&gt;0,CR571*MAX(1,AG571/X571),IF(CA571=1,IF(AG571&lt;=0,0,CE571*MAX(1,IF(H571&gt;0,AG571/H571,1))),IF(R571&gt;0,AH571/R571,0))/MAX(0.1,N(Parameter!$M$21)))</f>
        <v>0.0384615384615385</v>
      </c>
      <c r="AJ571" s="62" t="n">
        <f aca="false">AI571*CC571</f>
        <v>9.42307692307692</v>
      </c>
      <c r="AK571" s="63" t="n">
        <f aca="false">IF(LEFT(Cockpit!$C$5,1)="A",H571,IF(CI571=1,(CL571+CJ571)/2,IF(LEFT(Cockpit!$C$5,1)="B",(CL571+AM571)/2,MAX((CL571+AM571)/2,H571))))</f>
        <v>378</v>
      </c>
      <c r="AL571" s="62" t="n">
        <f aca="false">AK571*G571</f>
        <v>56.7</v>
      </c>
      <c r="AM571" s="62" t="n">
        <f aca="false">ROUNDUP(CL571+MAX(CM571,2*(J571/IF(CH571&gt;0,CH571,MAX(0.1,N(Cockpit!$C$6)))-CL571)),0)</f>
        <v>414</v>
      </c>
      <c r="AN571" s="63" t="n">
        <f aca="false">IF(AJ571&gt;0,J571/AJ571,-1)</f>
        <v>39.0530612244898</v>
      </c>
      <c r="AO571" s="63" t="n">
        <f aca="false">IF(AND(OR(CG571="L1",CG571="L23",CG571="LIFT"),AJ571&gt;0),SUMIFS($AJ$7:$AJ$1843,$CG$7:$CG$1843,CG571,$AN$7:$AN$1843,"&gt;"&amp;AN571)+SUMIFS($AJ$7:$AJ$1843,$CG$7:$CG$1843,CG571,$AN$7:$AN$1843,AN571,$BX$7:$BX$1843,"&lt;="&amp;BX571),"")</f>
        <v>1199.88461538462</v>
      </c>
      <c r="AP571" s="70" t="n">
        <f aca="false">IF(AO571="",0,MAX(0,MIN(1,(IF(CG571="L1",Parameter!$H$5,IF(CG571="L23",Parameter!$H$6+Parameter!$H$7,Parameter!$H$5+Parameter!$H$6+Parameter!$H$7))-(AO571-AJ571))/AJ571)))</f>
        <v>1</v>
      </c>
      <c r="AQ571" s="62" t="n">
        <f aca="false">IF(LEFT(Cockpit!$I$5,1)="A",H571,IF(Parameter!$E$30="MAX-Bestand",IF(CI571=1,CJ571,IF(LEFT(Cockpit!$I$5,1)="B",AW571,MAX(AW571,H571))),ROUNDUP(AU571,0)))</f>
        <v>378</v>
      </c>
      <c r="AR571" s="62" t="n">
        <f aca="false">IF(CA571=1,0,ROUNDUP(AQ571/BZ571,0))</f>
        <v>1</v>
      </c>
      <c r="AS571" s="64" t="n">
        <f aca="false">IF(CR571&gt;0,CR571*MAX(1,AQ571/X571),IF(CA571=1,IF(AQ571&lt;=0,0,CE571*MAX(1,IF(H571&gt;0,AQ571/H571,1))),IF(R571&gt;0,AR571/R571,0))/MAX(0.1,N(Parameter!$M$21)))</f>
        <v>0.0384615384615385</v>
      </c>
      <c r="AT571" s="62" t="n">
        <f aca="false">AS571*CC571</f>
        <v>9.42307692307692</v>
      </c>
      <c r="AU571" s="63" t="n">
        <f aca="false">IF(LEFT(Cockpit!$I$5,1)="A",H571,IF(CI571=1,(CL571+CJ571)/2,IF(LEFT(Cockpit!$I$5,1)="B",(CL571+AW571)/2,MAX((CL571+AW571)/2,H571))))</f>
        <v>378</v>
      </c>
      <c r="AV571" s="62" t="n">
        <f aca="false">AU571*G571</f>
        <v>56.7</v>
      </c>
      <c r="AW571" s="62" t="n">
        <f aca="false">ROUNDUP(CL571+MAX(CM571,2*(J571/IF(CH571&gt;0,CH571,MAX(0.1,N(Cockpit!$I$6)))-CL571)),0)</f>
        <v>414</v>
      </c>
      <c r="AX571" s="63" t="n">
        <f aca="false">IF(AT571&gt;0,J571/AT571,-1)</f>
        <v>39.0530612244898</v>
      </c>
      <c r="AY571" s="63" t="n">
        <f aca="false">IF(AND(OR(CG571="L1",CG571="L23",CG571="LIFT"),AT571&gt;0),SUMIFS($AT$7:$AT$1843,$CG$7:$CG$1843,CG571,$AX$7:$AX$1843,"&gt;"&amp;AX571)+SUMIFS($AT$7:$AT$1843,$CG$7:$CG$1843,CG571,$AX$7:$AX$1843,AX571,$BX$7:$BX$1843,"&lt;="&amp;BX571),"")</f>
        <v>1518.43635531136</v>
      </c>
      <c r="AZ571" s="70" t="n">
        <f aca="false">IF(AY571="",0,MAX(0,MIN(1,(IF(CG571="L1",Parameter!$H$5,IF(CG571="L23",Parameter!$H$6+Parameter!$H$7,Parameter!$H$5+Parameter!$H$6+Parameter!$H$7))-(AY571-AT571))/AT571)))</f>
        <v>1</v>
      </c>
      <c r="BA571" s="62" t="n">
        <f aca="false">IF(LEFT(Cockpit!$O$5,1)="A",H571,IF(Parameter!$E$30="MAX-Bestand",IF(CI571=1,CJ571,IF(LEFT(Cockpit!$O$5,1)="B",BG571,MAX(BG571,H571))),ROUNDUP(BE571,0)))</f>
        <v>214</v>
      </c>
      <c r="BB571" s="62" t="n">
        <f aca="false">IF(CA571=1,0,ROUNDUP(BA571/BZ571,0))</f>
        <v>1</v>
      </c>
      <c r="BC571" s="64" t="n">
        <f aca="false">IF(CR571&gt;0,CR571*MAX(1,BA571/X571),IF(CA571=1,IF(BA571&lt;=0,0,CE571*MAX(1,IF(H571&gt;0,BA571/H571,1))),IF(R571&gt;0,BB571/R571,0))/MAX(0.1,N(Parameter!$M$21)))</f>
        <v>0.0384615384615385</v>
      </c>
      <c r="BD571" s="62" t="n">
        <f aca="false">BC571*CC571</f>
        <v>9.42307692307692</v>
      </c>
      <c r="BE571" s="63" t="n">
        <f aca="false">IF(LEFT(Cockpit!$O$5,1)="A",H571,IF(CI571=1,(CL571+CJ571)/2,IF(LEFT(Cockpit!$O$5,1)="B",(CL571+BG571)/2,MAX((CL571+BG571)/2,H571))))</f>
        <v>214</v>
      </c>
      <c r="BF571" s="62" t="n">
        <f aca="false">BE571*G571</f>
        <v>32.1</v>
      </c>
      <c r="BG571" s="62" t="n">
        <f aca="false">ROUNDUP(CL571+MAX(CM571,2*(J571/IF(CH571&gt;0,CH571,MAX(0.1,N(Cockpit!$O$6)))-CL571)),0)</f>
        <v>414</v>
      </c>
      <c r="BH571" s="63" t="n">
        <f aca="false">IF(BD571&gt;0,J571/BD571,-1)</f>
        <v>39.0530612244898</v>
      </c>
      <c r="BI571" s="63" t="n">
        <f aca="false">IF(AND(OR(CG571="L1",CG571="L23",CG571="LIFT"),BD571&gt;0),SUMIFS($BD$7:$BD$1843,$CG$7:$CG$1843,CG571,$BH$7:$BH$1843,"&gt;"&amp;BH571)+SUMIFS($BD$7:$BD$1843,$CG$7:$CG$1843,CG571,$BH$7:$BH$1843,BH571,$BX$7:$BX$1843,"&lt;="&amp;BX571),"")</f>
        <v>1271.85073260073</v>
      </c>
      <c r="BJ571" s="70" t="n">
        <f aca="false">IF(BI571="",0,MAX(0,MIN(1,(IF(CG571="L1",Parameter!$H$5,IF(CG571="L23",Parameter!$H$6+Parameter!$H$7,Parameter!$H$5+Parameter!$H$6+Parameter!$H$7))-(BI571-BD571))/BD571)))</f>
        <v>1</v>
      </c>
      <c r="BK571" s="60" t="str">
        <f aca="false">IF(AJ571&lt;=0,"",IF(CG571="Aussen","Aussenlager",IF(CG571="-","Nicht im Lift",IF(AP571&gt;=1,"Lift",IF(AP571&lt;=0,"Aussenlager","teilweise")))))</f>
        <v>Lift</v>
      </c>
      <c r="BL571" s="60" t="str">
        <f aca="false">IF(AT571&lt;=0,"",IF(CG571="Aussen","Aussenlager",IF(CG571="-","Nicht im Lift",IF(AZ571&gt;=1,"Lift",IF(AZ571&lt;=0,"Aussenlager","teilweise")))))</f>
        <v>Lift</v>
      </c>
      <c r="BM571" s="60" t="str">
        <f aca="false">IF(BD571&lt;=0,"",IF(CG571="Aussen","Aussenlager",IF(CG571="-","Nicht im Lift",IF(BJ571&gt;=1,"Lift",IF(BJ571&lt;=0,"Aussenlager","teilweise")))))</f>
        <v>Lift</v>
      </c>
      <c r="BN571" s="60" t="str">
        <f aca="false">IF(A571="","",IF(BW571=1,"Neu; ","")&amp;IF(AND(BW571=0,BR571&lt;0),"negativer Bestand (Export "&amp;BR571&amp;"); ","")&amp;IF(J571&lt;=0,"Kein Verbrauch; ","")&amp;IF(CR571&gt;0,"Lift "&amp;W571&amp;" lt. Liftbericht (Fach "&amp;X571&amp;" Stk); ",IF(CB571=1,"Gebinde geschätzt ("&amp;T571&amp;"); ",IF(CA571=1,"Lose – Tablare geschätzt; ","")))&amp;IF(H571&gt;AW571,"Überbestand "&amp;ROUND(H571-AW571,0)&amp;" Stk / CHF "&amp;ROUND((H571-AW571)*G571,0)&amp;"; ","")&amp;IF(AND(CI571=1,CJ571&lt;CK571),"MAX &lt; MB+LG; ","")&amp;IF(AND(CQ571&gt;0,CP571*10&gt;CQ571),"zu hoch für Tablar; ","")&amp;IF(AND(BW571=0,OR(CI571=1,AB571&lt;&gt;"",U571&lt;&gt;"",V571&lt;&gt;"",AC571&lt;&gt;"")),"manuell übersteuert; ","")&amp;IF(AND(CA571=0,R571=0),"Gebinde unbekannt / Stellmass fehlt; ","")&amp;IF(AND(CA571=0,N(V571)&lt;=0,N(Q571)&lt;=0),"Menge pro Gebinde fehlt (Ist = 1 Gebinde); ","")&amp;BV571)</f>
        <v>nicht im KTL vorhanden</v>
      </c>
      <c r="BO571" s="60"/>
      <c r="BP571" s="60"/>
      <c r="BQ571" s="67"/>
      <c r="BR571" s="62" t="n">
        <v>77</v>
      </c>
      <c r="BS571" s="62" t="n">
        <v>301</v>
      </c>
      <c r="BT571" s="61" t="n">
        <v>11.55</v>
      </c>
      <c r="BU571" s="62" t="n">
        <v>368</v>
      </c>
      <c r="BV571" s="60" t="s">
        <v>272</v>
      </c>
      <c r="BW571" s="65" t="n">
        <v>0</v>
      </c>
      <c r="BX571" s="65" t="n">
        <v>571</v>
      </c>
      <c r="BY571" s="60" t="str">
        <f aca="false">IF(U571&lt;&gt;"",UPPER(TRIM(U571)),IF(CB571=1,UPPER(VLOOKUP(T571,Parameter!$I$27:$K$29,2,0)),IF(P571="","LOSE",P571)))</f>
        <v>S52</v>
      </c>
      <c r="BZ571" s="62" t="n">
        <f aca="false">IF(BY571="LOSE",1,IF(N(V571)&gt;0,V571,IF(CB571=1,MAX(1,N(VLOOKUP(T571,Parameter!$I$27:$K$29,3,0)),H571,N(N571)),IF(N(Q571)&gt;0,Q571,MAX(1,H571)))))</f>
        <v>400</v>
      </c>
      <c r="CA571" s="65" t="n">
        <f aca="false">IF(BY571="LOSE",1,0)</f>
        <v>0</v>
      </c>
      <c r="CB571" s="65" t="n">
        <f aca="false">IF(AND(U571="",OR(P571="",P571="LOSE"),T571&lt;&gt;"",N(S571)&lt;=0,ISNUMBER(MATCH(T571,Parameter!$I$27:$I$29,0))),1,0)</f>
        <v>0</v>
      </c>
      <c r="CC571" s="65" t="n">
        <f aca="false">IF(CR571&gt;0,INDEX(Parameter!$H$5:$H$7,W571)/INDEX(Parameter!$E$5:$E$7,W571),IF(AND(CA571=0,N(IFERROR(VLOOKUP(BY571,'Gebinde-Kategorie'!$A$5:$N$45,14,0),0))&gt;0),VLOOKUP(BY571,'Gebinde-Kategorie'!$A$5:$N$45,14,0)*10+Parameter!$M$23,Parameter!$M$24))</f>
        <v>245</v>
      </c>
      <c r="CD571" s="60" t="str">
        <f aca="false">IF(AND(Parameter!$B$19="Ja",E571&lt;&gt;"",ISNUMBER(MATCH(E571,Parameter!$I$35:$I$52,0))),VLOOKUP(E571,Parameter!$I$35:$J$52,2,0),IFERROR(VLOOKUP(D571,Parameter!$A$35:$C$64,2,0),"Nein"))</f>
        <v>2+3</v>
      </c>
      <c r="CE571" s="64" t="n">
        <f aca="false">IF(CA571=0,0,IF(N(S571)&gt;0,S571,IFERROR(VLOOKUP(D571,Parameter!$A$35:$C$64,3,0)+0,0)))</f>
        <v>0</v>
      </c>
      <c r="CF571" s="60" t="n">
        <f aca="false">IF(AB571&lt;&gt;"",AB571,AA571)</f>
        <v>3</v>
      </c>
      <c r="CG571" s="60" t="str">
        <f aca="false">IF(OR(CF571=1,CF571=2,CF571=3),IF(Parameter!$E$27="Ja","LIFT",IF(CF571=1,"L1","L23")),IF(CF571="Aussen","Aussen","-"))</f>
        <v>LIFT</v>
      </c>
      <c r="CH571" s="71" t="n">
        <f aca="false">IF(N(AC571)&gt;0,AC571,0)</f>
        <v>0</v>
      </c>
      <c r="CI571" s="65" t="n">
        <f aca="false">IF(ISNUMBER(AF571),1,0)</f>
        <v>0</v>
      </c>
      <c r="CJ571" s="62" t="n">
        <f aca="false">N(AF571)</f>
        <v>0</v>
      </c>
      <c r="CK571" s="62" t="n">
        <f aca="false">N(M571)+N(N571)</f>
        <v>414</v>
      </c>
      <c r="CL571" s="62" t="n">
        <f aca="false">N(M571)</f>
        <v>14</v>
      </c>
      <c r="CM571" s="62" t="n">
        <f aca="false">N(N571)</f>
        <v>400</v>
      </c>
      <c r="CN571" s="62" t="n">
        <f aca="false">ROUNDUP(H571/BZ571,0)</f>
        <v>1</v>
      </c>
      <c r="CO571" s="62" t="n">
        <f aca="false">ROUNDUP(CJ571/BZ571,0)</f>
        <v>0</v>
      </c>
      <c r="CP571" s="65" t="n">
        <f aca="false">IF(CA571=1,0,IFERROR(VLOOKUP(BY571,'Gebinde-Kategorie'!$A$5:$N$45,5,0)+0,0))</f>
        <v>21</v>
      </c>
      <c r="CQ571" s="65" t="n">
        <f aca="false">IFERROR(IF(OR(CF571=1,CF571=2,CF571=3),N(INDEX(Parameter!$I$5:$I$7,CF571)),0),0)</f>
        <v>0</v>
      </c>
      <c r="CR571" s="64" t="n">
        <f aca="false">IF(AND(Parameter!$B$21="Ja",ISNUMBER(W571),N(X571)&gt;0),IFERROR(N(INDEX(Parameter!$L$5:$L$7,W571))*INDEX(Parameter!$E$5:$E$7,W571)*X571/SUMIFS($X$7:$X$1843,$W$7:$W$1843,W571),0),0)</f>
        <v>0</v>
      </c>
      <c r="CS571" s="62" t="n">
        <f aca="false">IF(AND(OR(CG571="L1",CG571="L23",CG571="LIFT"),H571&gt;0),CC571*IF(CR571&gt;0,CR571*MAX(1,H571/X571),IF(CA571=1,CE571,IF(R571&gt;0,CN571/R571,0))/MAX(0.1,N(Parameter!$M$21))),"")</f>
        <v>9.42307692307692</v>
      </c>
      <c r="CT571" s="64" t="n">
        <f aca="false">IF(CS571="","",J571/H571)</f>
        <v>0.973544973544974</v>
      </c>
      <c r="CU571" s="62" t="n">
        <f aca="false">IF(CS571="","",H571*G571)</f>
        <v>56.7</v>
      </c>
      <c r="CV571" s="63" t="n">
        <f aca="false">IF(CS571="","",(CL571+ROUNDUP(CL571+MAX(CM571,2*(J571/MAX(0.1,N(Einkauf!$C$6))-CL571)),0))/2)</f>
        <v>214</v>
      </c>
      <c r="CW571" s="62" t="n">
        <f aca="false">IF(CS571="","",MAX(0,H571-CV571)*G571)</f>
        <v>24.6</v>
      </c>
      <c r="CX571" s="62" t="n">
        <f aca="false">IF(CS571="","",CS571*MAX(0,1-CV571/H571))</f>
        <v>4.08831908831909</v>
      </c>
      <c r="CY571" s="64" t="n">
        <f aca="false">IF(CS571="","",PERCENTRANK($CS$7:$CS$1843,CS571)+PERCENTRANK($CU$7:$CU$1843,CU571)+1-PERCENTRANK($CT$7:$CT$1843,CT571))</f>
        <v>1.108</v>
      </c>
      <c r="CZ571" s="72" t="n">
        <f aca="false">IF(CS571="","",CHOOSE(MATCH(Einkauf!$C$5,Parameter!$G$23:$G$27,0),CY571,CS571,CU571,-CT571,CW571)+ROW()/1000000000)</f>
        <v>1.108000571</v>
      </c>
    </row>
    <row r="572" customFormat="false" ht="15" hidden="false" customHeight="false" outlineLevel="0" collapsed="false">
      <c r="A572" s="60" t="s">
        <v>1246</v>
      </c>
      <c r="B572" s="60" t="s">
        <v>1247</v>
      </c>
      <c r="C572" s="60" t="s">
        <v>206</v>
      </c>
      <c r="D572" s="60" t="s">
        <v>226</v>
      </c>
      <c r="E572" s="60" t="s">
        <v>227</v>
      </c>
      <c r="F572" s="60" t="s">
        <v>260</v>
      </c>
      <c r="G572" s="61" t="n">
        <v>0.05</v>
      </c>
      <c r="H572" s="62" t="n">
        <f aca="false">MAX(0,IF(AND(Parameter!$B$21="Ja",ISNUMBER(Y572)),Y572,IF(Parameter!$B$20="Jahresanfang 2025 + Export",BS572+BR572,BR572)))</f>
        <v>703</v>
      </c>
      <c r="I572" s="62" t="n">
        <f aca="false">H572*G572</f>
        <v>35.15</v>
      </c>
      <c r="J572" s="62" t="n">
        <f aca="false">BU572*Parameter!$B$18</f>
        <v>500</v>
      </c>
      <c r="K572" s="63" t="n">
        <v>959.5</v>
      </c>
      <c r="L572" s="64" t="n">
        <v>0.521104742053153</v>
      </c>
      <c r="M572" s="62" t="n">
        <v>29</v>
      </c>
      <c r="N572" s="62" t="n">
        <v>500</v>
      </c>
      <c r="O572" s="65" t="n">
        <v>21</v>
      </c>
      <c r="P572" s="60" t="s">
        <v>468</v>
      </c>
      <c r="Q572" s="62" t="n">
        <v>415</v>
      </c>
      <c r="R572" s="65" t="n">
        <f aca="false">IF(CA572=1,0,IFERROR(VLOOKUP(BY572,'Gebinde-Kategorie'!$A$5:$N$45,13,0)+0,0))</f>
        <v>140</v>
      </c>
      <c r="S572" s="66"/>
      <c r="T572" s="67"/>
      <c r="U572" s="67"/>
      <c r="V572" s="67"/>
      <c r="W572" s="60"/>
      <c r="X572" s="62"/>
      <c r="Y572" s="62"/>
      <c r="Z572" s="60" t="n">
        <v>3</v>
      </c>
      <c r="AA572" s="60" t="n">
        <f aca="false">IF(A572="","",IF(AND(Parameter!$B$21="Ja",ISNUMBER(W572)),W572,IF(AND(Parameter!$E$27="Ja",ISNUMBER(Z572),CD572&lt;&gt;"Nein"),Z572,IF(CD572="2+3",IF(ISNUMBER(SEARCH("grosser Artikel",BV572)),2,IFERROR(VLOOKUP(BY572,Parameter!$F$35:$G$64,2,0),2)),IF(OR(CD572="Nein",CD572=""),"-",CD572)))))</f>
        <v>3</v>
      </c>
      <c r="AB572" s="67"/>
      <c r="AC572" s="68"/>
      <c r="AD572" s="62" t="n">
        <f aca="false">AW572</f>
        <v>529</v>
      </c>
      <c r="AE572" s="62" t="n">
        <f aca="false">MAX(AW572,H572)</f>
        <v>703</v>
      </c>
      <c r="AF572" s="69"/>
      <c r="AG572" s="62" t="n">
        <f aca="false">IF(LEFT(Cockpit!$C$5,1)="A",H572,IF(Parameter!$E$30="MAX-Bestand",IF(CI572=1,CJ572,IF(LEFT(Cockpit!$C$5,1)="B",AM572,MAX(AM572,H572))),ROUNDUP(AK572,0)))</f>
        <v>703</v>
      </c>
      <c r="AH572" s="62" t="n">
        <f aca="false">IF(CA572=1,0,ROUNDUP(AG572/BZ572,0))</f>
        <v>2</v>
      </c>
      <c r="AI572" s="64" t="n">
        <f aca="false">IF(CR572&gt;0,CR572*MAX(1,AG572/X572),IF(CA572=1,IF(AG572&lt;=0,0,CE572*MAX(1,IF(H572&gt;0,AG572/H572,1))),IF(R572&gt;0,AH572/R572,0))/MAX(0.1,N(Parameter!$M$21)))</f>
        <v>0.0142857142857143</v>
      </c>
      <c r="AJ572" s="62" t="n">
        <f aca="false">AI572*CC572</f>
        <v>2.21428571428571</v>
      </c>
      <c r="AK572" s="63" t="n">
        <f aca="false">IF(LEFT(Cockpit!$C$5,1)="A",H572,IF(CI572=1,(CL572+CJ572)/2,IF(LEFT(Cockpit!$C$5,1)="B",(CL572+AM572)/2,MAX((CL572+AM572)/2,H572))))</f>
        <v>703</v>
      </c>
      <c r="AL572" s="62" t="n">
        <f aca="false">AK572*G572</f>
        <v>35.15</v>
      </c>
      <c r="AM572" s="62" t="n">
        <f aca="false">ROUNDUP(CL572+MAX(CM572,2*(J572/IF(CH572&gt;0,CH572,MAX(0.1,N(Cockpit!$C$6)))-CL572)),0)</f>
        <v>529</v>
      </c>
      <c r="AN572" s="63" t="n">
        <f aca="false">IF(AJ572&gt;0,J572/AJ572,-1)</f>
        <v>225.806451612903</v>
      </c>
      <c r="AO572" s="63" t="n">
        <f aca="false">IF(AND(OR(CG572="L1",CG572="L23",CG572="LIFT"),AJ572&gt;0),SUMIFS($AJ$7:$AJ$1843,$CG$7:$CG$1843,CG572,$AN$7:$AN$1843,"&gt;"&amp;AN572)+SUMIFS($AJ$7:$AJ$1843,$CG$7:$CG$1843,CG572,$AN$7:$AN$1843,AN572,$BX$7:$BX$1843,"&lt;="&amp;BX572),"")</f>
        <v>308.705128205128</v>
      </c>
      <c r="AP572" s="70" t="n">
        <f aca="false">IF(AO572="",0,MAX(0,MIN(1,(IF(CG572="L1",Parameter!$H$5,IF(CG572="L23",Parameter!$H$6+Parameter!$H$7,Parameter!$H$5+Parameter!$H$6+Parameter!$H$7))-(AO572-AJ572))/AJ572)))</f>
        <v>1</v>
      </c>
      <c r="AQ572" s="62" t="n">
        <f aca="false">IF(LEFT(Cockpit!$I$5,1)="A",H572,IF(Parameter!$E$30="MAX-Bestand",IF(CI572=1,CJ572,IF(LEFT(Cockpit!$I$5,1)="B",AW572,MAX(AW572,H572))),ROUNDUP(AU572,0)))</f>
        <v>703</v>
      </c>
      <c r="AR572" s="62" t="n">
        <f aca="false">IF(CA572=1,0,ROUNDUP(AQ572/BZ572,0))</f>
        <v>2</v>
      </c>
      <c r="AS572" s="64" t="n">
        <f aca="false">IF(CR572&gt;0,CR572*MAX(1,AQ572/X572),IF(CA572=1,IF(AQ572&lt;=0,0,CE572*MAX(1,IF(H572&gt;0,AQ572/H572,1))),IF(R572&gt;0,AR572/R572,0))/MAX(0.1,N(Parameter!$M$21)))</f>
        <v>0.0142857142857143</v>
      </c>
      <c r="AT572" s="62" t="n">
        <f aca="false">AS572*CC572</f>
        <v>2.21428571428571</v>
      </c>
      <c r="AU572" s="63" t="n">
        <f aca="false">IF(LEFT(Cockpit!$I$5,1)="A",H572,IF(CI572=1,(CL572+CJ572)/2,IF(LEFT(Cockpit!$I$5,1)="B",(CL572+AW572)/2,MAX((CL572+AW572)/2,H572))))</f>
        <v>703</v>
      </c>
      <c r="AV572" s="62" t="n">
        <f aca="false">AU572*G572</f>
        <v>35.15</v>
      </c>
      <c r="AW572" s="62" t="n">
        <f aca="false">ROUNDUP(CL572+MAX(CM572,2*(J572/IF(CH572&gt;0,CH572,MAX(0.1,N(Cockpit!$I$6)))-CL572)),0)</f>
        <v>529</v>
      </c>
      <c r="AX572" s="63" t="n">
        <f aca="false">IF(AT572&gt;0,J572/AT572,-1)</f>
        <v>225.806451612903</v>
      </c>
      <c r="AY572" s="63" t="n">
        <f aca="false">IF(AND(OR(CG572="L1",CG572="L23",CG572="LIFT"),AT572&gt;0),SUMIFS($AT$7:$AT$1843,$CG$7:$CG$1843,CG572,$AX$7:$AX$1843,"&gt;"&amp;AX572)+SUMIFS($AT$7:$AT$1843,$CG$7:$CG$1843,CG572,$AX$7:$AX$1843,AX572,$BX$7:$BX$1843,"&lt;="&amp;BX572),"")</f>
        <v>339.547161172161</v>
      </c>
      <c r="AZ572" s="70" t="n">
        <f aca="false">IF(AY572="",0,MAX(0,MIN(1,(IF(CG572="L1",Parameter!$H$5,IF(CG572="L23",Parameter!$H$6+Parameter!$H$7,Parameter!$H$5+Parameter!$H$6+Parameter!$H$7))-(AY572-AT572))/AT572)))</f>
        <v>1</v>
      </c>
      <c r="BA572" s="62" t="n">
        <f aca="false">IF(LEFT(Cockpit!$O$5,1)="A",H572,IF(Parameter!$E$30="MAX-Bestand",IF(CI572=1,CJ572,IF(LEFT(Cockpit!$O$5,1)="B",BG572,MAX(BG572,H572))),ROUNDUP(BE572,0)))</f>
        <v>279</v>
      </c>
      <c r="BB572" s="62" t="n">
        <f aca="false">IF(CA572=1,0,ROUNDUP(BA572/BZ572,0))</f>
        <v>1</v>
      </c>
      <c r="BC572" s="64" t="n">
        <f aca="false">IF(CR572&gt;0,CR572*MAX(1,BA572/X572),IF(CA572=1,IF(BA572&lt;=0,0,CE572*MAX(1,IF(H572&gt;0,BA572/H572,1))),IF(R572&gt;0,BB572/R572,0))/MAX(0.1,N(Parameter!$M$21)))</f>
        <v>0.00714285714285714</v>
      </c>
      <c r="BD572" s="62" t="n">
        <f aca="false">BC572*CC572</f>
        <v>1.10714285714286</v>
      </c>
      <c r="BE572" s="63" t="n">
        <f aca="false">IF(LEFT(Cockpit!$O$5,1)="A",H572,IF(CI572=1,(CL572+CJ572)/2,IF(LEFT(Cockpit!$O$5,1)="B",(CL572+BG572)/2,MAX((CL572+BG572)/2,H572))))</f>
        <v>279</v>
      </c>
      <c r="BF572" s="62" t="n">
        <f aca="false">BE572*G572</f>
        <v>13.95</v>
      </c>
      <c r="BG572" s="62" t="n">
        <f aca="false">ROUNDUP(CL572+MAX(CM572,2*(J572/IF(CH572&gt;0,CH572,MAX(0.1,N(Cockpit!$O$6)))-CL572)),0)</f>
        <v>529</v>
      </c>
      <c r="BH572" s="63" t="n">
        <f aca="false">IF(BD572&gt;0,J572/BD572,-1)</f>
        <v>451.612903225806</v>
      </c>
      <c r="BI572" s="63" t="n">
        <f aca="false">IF(AND(OR(CG572="L1",CG572="L23",CG572="LIFT"),BD572&gt;0),SUMIFS($BD$7:$BD$1843,$CG$7:$CG$1843,CG572,$BH$7:$BH$1843,"&gt;"&amp;BH572)+SUMIFS($BD$7:$BD$1843,$CG$7:$CG$1843,CG572,$BH$7:$BH$1843,BH572,$BX$7:$BX$1843,"&lt;="&amp;BX572),"")</f>
        <v>134.016025641026</v>
      </c>
      <c r="BJ572" s="70" t="n">
        <f aca="false">IF(BI572="",0,MAX(0,MIN(1,(IF(CG572="L1",Parameter!$H$5,IF(CG572="L23",Parameter!$H$6+Parameter!$H$7,Parameter!$H$5+Parameter!$H$6+Parameter!$H$7))-(BI572-BD572))/BD572)))</f>
        <v>1</v>
      </c>
      <c r="BK572" s="60" t="str">
        <f aca="false">IF(AJ572&lt;=0,"",IF(CG572="Aussen","Aussenlager",IF(CG572="-","Nicht im Lift",IF(AP572&gt;=1,"Lift",IF(AP572&lt;=0,"Aussenlager","teilweise")))))</f>
        <v>Lift</v>
      </c>
      <c r="BL572" s="60" t="str">
        <f aca="false">IF(AT572&lt;=0,"",IF(CG572="Aussen","Aussenlager",IF(CG572="-","Nicht im Lift",IF(AZ572&gt;=1,"Lift",IF(AZ572&lt;=0,"Aussenlager","teilweise")))))</f>
        <v>Lift</v>
      </c>
      <c r="BM572" s="60" t="str">
        <f aca="false">IF(BD572&lt;=0,"",IF(CG572="Aussen","Aussenlager",IF(CG572="-","Nicht im Lift",IF(BJ572&gt;=1,"Lift",IF(BJ572&lt;=0,"Aussenlager","teilweise")))))</f>
        <v>Lift</v>
      </c>
      <c r="BN572" s="60" t="str">
        <f aca="false">IF(A572="","",IF(BW572=1,"Neu; ","")&amp;IF(AND(BW572=0,BR572&lt;0),"negativer Bestand (Export "&amp;BR572&amp;"); ","")&amp;IF(J572&lt;=0,"Kein Verbrauch; ","")&amp;IF(CR572&gt;0,"Lift "&amp;W572&amp;" lt. Liftbericht (Fach "&amp;X572&amp;" Stk); ",IF(CB572=1,"Gebinde geschätzt ("&amp;T572&amp;"); ",IF(CA572=1,"Lose – Tablare geschätzt; ","")))&amp;IF(H572&gt;AW572,"Überbestand "&amp;ROUND(H572-AW572,0)&amp;" Stk / CHF "&amp;ROUND((H572-AW572)*G572,0)&amp;"; ","")&amp;IF(AND(CI572=1,CJ572&lt;CK572),"MAX &lt; MB+LG; ","")&amp;IF(AND(CQ572&gt;0,CP572*10&gt;CQ572),"zu hoch für Tablar; ","")&amp;IF(AND(BW572=0,OR(CI572=1,AB572&lt;&gt;"",U572&lt;&gt;"",V572&lt;&gt;"",AC572&lt;&gt;"")),"manuell übersteuert; ","")&amp;IF(AND(CA572=0,R572=0),"Gebinde unbekannt / Stellmass fehlt; ","")&amp;IF(AND(CA572=0,N(V572)&lt;=0,N(Q572)&lt;=0),"Menge pro Gebinde fehlt (Ist = 1 Gebinde); ","")&amp;BV572)</f>
        <v>negativer Bestand (Export -101); Überbestand 174 Stk / CHF 9; </v>
      </c>
      <c r="BO572" s="60"/>
      <c r="BP572" s="60"/>
      <c r="BQ572" s="67"/>
      <c r="BR572" s="62" t="n">
        <v>-101</v>
      </c>
      <c r="BS572" s="62" t="n">
        <v>804</v>
      </c>
      <c r="BT572" s="61" t="n">
        <v>11.03</v>
      </c>
      <c r="BU572" s="62" t="n">
        <v>500</v>
      </c>
      <c r="BV572" s="60"/>
      <c r="BW572" s="65" t="n">
        <v>0</v>
      </c>
      <c r="BX572" s="65" t="n">
        <v>572</v>
      </c>
      <c r="BY572" s="60" t="str">
        <f aca="false">IF(U572&lt;&gt;"",UPPER(TRIM(U572)),IF(CB572=1,UPPER(VLOOKUP(T572,Parameter!$I$27:$K$29,2,0)),IF(P572="","LOSE",P572)))</f>
        <v>S22</v>
      </c>
      <c r="BZ572" s="62" t="n">
        <f aca="false">IF(BY572="LOSE",1,IF(N(V572)&gt;0,V572,IF(CB572=1,MAX(1,N(VLOOKUP(T572,Parameter!$I$27:$K$29,3,0)),H572,N(N572)),IF(N(Q572)&gt;0,Q572,MAX(1,H572)))))</f>
        <v>415</v>
      </c>
      <c r="CA572" s="65" t="n">
        <f aca="false">IF(BY572="LOSE",1,0)</f>
        <v>0</v>
      </c>
      <c r="CB572" s="65" t="n">
        <f aca="false">IF(AND(U572="",OR(P572="",P572="LOSE"),T572&lt;&gt;"",N(S572)&lt;=0,ISNUMBER(MATCH(T572,Parameter!$I$27:$I$29,0))),1,0)</f>
        <v>0</v>
      </c>
      <c r="CC572" s="65" t="n">
        <f aca="false">IF(CR572&gt;0,INDEX(Parameter!$H$5:$H$7,W572)/INDEX(Parameter!$E$5:$E$7,W572),IF(AND(CA572=0,N(IFERROR(VLOOKUP(BY572,'Gebinde-Kategorie'!$A$5:$N$45,14,0),0))&gt;0),VLOOKUP(BY572,'Gebinde-Kategorie'!$A$5:$N$45,14,0)*10+Parameter!$M$23,Parameter!$M$24))</f>
        <v>155</v>
      </c>
      <c r="CD572" s="60" t="str">
        <f aca="false">IF(AND(Parameter!$B$19="Ja",E572&lt;&gt;"",ISNUMBER(MATCH(E572,Parameter!$I$35:$I$52,0))),VLOOKUP(E572,Parameter!$I$35:$J$52,2,0),IFERROR(VLOOKUP(D572,Parameter!$A$35:$C$64,2,0),"Nein"))</f>
        <v>2+3</v>
      </c>
      <c r="CE572" s="64" t="n">
        <f aca="false">IF(CA572=0,0,IF(N(S572)&gt;0,S572,IFERROR(VLOOKUP(D572,Parameter!$A$35:$C$64,3,0)+0,0)))</f>
        <v>0</v>
      </c>
      <c r="CF572" s="60" t="n">
        <f aca="false">IF(AB572&lt;&gt;"",AB572,AA572)</f>
        <v>3</v>
      </c>
      <c r="CG572" s="60" t="str">
        <f aca="false">IF(OR(CF572=1,CF572=2,CF572=3),IF(Parameter!$E$27="Ja","LIFT",IF(CF572=1,"L1","L23")),IF(CF572="Aussen","Aussen","-"))</f>
        <v>LIFT</v>
      </c>
      <c r="CH572" s="71" t="n">
        <f aca="false">IF(N(AC572)&gt;0,AC572,0)</f>
        <v>0</v>
      </c>
      <c r="CI572" s="65" t="n">
        <f aca="false">IF(ISNUMBER(AF572),1,0)</f>
        <v>0</v>
      </c>
      <c r="CJ572" s="62" t="n">
        <f aca="false">N(AF572)</f>
        <v>0</v>
      </c>
      <c r="CK572" s="62" t="n">
        <f aca="false">N(M572)+N(N572)</f>
        <v>529</v>
      </c>
      <c r="CL572" s="62" t="n">
        <f aca="false">N(M572)</f>
        <v>29</v>
      </c>
      <c r="CM572" s="62" t="n">
        <f aca="false">N(N572)</f>
        <v>500</v>
      </c>
      <c r="CN572" s="62" t="n">
        <f aca="false">ROUNDUP(H572/BZ572,0)</f>
        <v>2</v>
      </c>
      <c r="CO572" s="62" t="n">
        <f aca="false">ROUNDUP(CJ572/BZ572,0)</f>
        <v>0</v>
      </c>
      <c r="CP572" s="65" t="n">
        <f aca="false">IF(CA572=1,0,IFERROR(VLOOKUP(BY572,'Gebinde-Kategorie'!$A$5:$N$45,5,0)+0,0))</f>
        <v>8</v>
      </c>
      <c r="CQ572" s="65" t="n">
        <f aca="false">IFERROR(IF(OR(CF572=1,CF572=2,CF572=3),N(INDEX(Parameter!$I$5:$I$7,CF572)),0),0)</f>
        <v>0</v>
      </c>
      <c r="CR572" s="64" t="n">
        <f aca="false">IF(AND(Parameter!$B$21="Ja",ISNUMBER(W572),N(X572)&gt;0),IFERROR(N(INDEX(Parameter!$L$5:$L$7,W572))*INDEX(Parameter!$E$5:$E$7,W572)*X572/SUMIFS($X$7:$X$1843,$W$7:$W$1843,W572),0),0)</f>
        <v>0</v>
      </c>
      <c r="CS572" s="62" t="n">
        <f aca="false">IF(AND(OR(CG572="L1",CG572="L23",CG572="LIFT"),H572&gt;0),CC572*IF(CR572&gt;0,CR572*MAX(1,H572/X572),IF(CA572=1,CE572,IF(R572&gt;0,CN572/R572,0))/MAX(0.1,N(Parameter!$M$21))),"")</f>
        <v>2.21428571428571</v>
      </c>
      <c r="CT572" s="64" t="n">
        <f aca="false">IF(CS572="","",J572/H572)</f>
        <v>0.711237553342817</v>
      </c>
      <c r="CU572" s="62" t="n">
        <f aca="false">IF(CS572="","",H572*G572)</f>
        <v>35.15</v>
      </c>
      <c r="CV572" s="63" t="n">
        <f aca="false">IF(CS572="","",(CL572+ROUNDUP(CL572+MAX(CM572,2*(J572/MAX(0.1,N(Einkauf!$C$6))-CL572)),0))/2)</f>
        <v>279</v>
      </c>
      <c r="CW572" s="62" t="n">
        <f aca="false">IF(CS572="","",MAX(0,H572-CV572)*G572)</f>
        <v>21.2</v>
      </c>
      <c r="CX572" s="62" t="n">
        <f aca="false">IF(CS572="","",CS572*MAX(0,1-CV572/H572))</f>
        <v>1.33550091444828</v>
      </c>
      <c r="CY572" s="64" t="n">
        <f aca="false">IF(CS572="","",PERCENTRANK($CS$7:$CS$1843,CS572)+PERCENTRANK($CU$7:$CU$1843,CU572)+1-PERCENTRANK($CT$7:$CT$1843,CT572))</f>
        <v>0.73</v>
      </c>
      <c r="CZ572" s="72" t="n">
        <f aca="false">IF(CS572="","",CHOOSE(MATCH(Einkauf!$C$5,Parameter!$G$23:$G$27,0),CY572,CS572,CU572,-CT572,CW572)+ROW()/1000000000)</f>
        <v>0.730000572</v>
      </c>
    </row>
    <row r="573" customFormat="false" ht="15" hidden="false" customHeight="false" outlineLevel="0" collapsed="false">
      <c r="A573" s="60" t="s">
        <v>1248</v>
      </c>
      <c r="B573" s="60" t="s">
        <v>1249</v>
      </c>
      <c r="C573" s="60" t="s">
        <v>206</v>
      </c>
      <c r="D573" s="60" t="s">
        <v>215</v>
      </c>
      <c r="E573" s="60"/>
      <c r="F573" s="60" t="s">
        <v>260</v>
      </c>
      <c r="G573" s="61" t="n">
        <v>10.5</v>
      </c>
      <c r="H573" s="62" t="n">
        <f aca="false">MAX(0,IF(AND(Parameter!$B$21="Ja",ISNUMBER(Y573)),Y573,IF(Parameter!$B$20="Jahresanfang 2025 + Export",BS573+BR573,BR573)))</f>
        <v>1</v>
      </c>
      <c r="I573" s="62" t="n">
        <f aca="false">H573*G573</f>
        <v>10.5</v>
      </c>
      <c r="J573" s="62" t="n">
        <f aca="false">BU573*Parameter!$B$18</f>
        <v>0</v>
      </c>
      <c r="K573" s="63" t="n">
        <v>0</v>
      </c>
      <c r="L573" s="64" t="n">
        <v>0</v>
      </c>
      <c r="M573" s="62" t="n">
        <v>0</v>
      </c>
      <c r="N573" s="62" t="n">
        <v>1</v>
      </c>
      <c r="O573" s="65" t="n">
        <v>21</v>
      </c>
      <c r="P573" s="60" t="s">
        <v>210</v>
      </c>
      <c r="Q573" s="62"/>
      <c r="R573" s="65" t="n">
        <f aca="false">IF(CA573=1,0,IFERROR(VLOOKUP(BY573,'Gebinde-Kategorie'!$A$5:$N$45,13,0)+0,0))</f>
        <v>4</v>
      </c>
      <c r="S573" s="66"/>
      <c r="T573" s="67" t="s">
        <v>231</v>
      </c>
      <c r="U573" s="67"/>
      <c r="V573" s="67"/>
      <c r="W573" s="60"/>
      <c r="X573" s="62"/>
      <c r="Y573" s="62"/>
      <c r="Z573" s="60" t="n">
        <v>2</v>
      </c>
      <c r="AA573" s="60" t="n">
        <f aca="false">IF(A573="","",IF(AND(Parameter!$B$21="Ja",ISNUMBER(W573)),W573,IF(AND(Parameter!$E$27="Ja",ISNUMBER(Z573),CD573&lt;&gt;"Nein"),Z573,IF(CD573="2+3",IF(ISNUMBER(SEARCH("grosser Artikel",BV573)),2,IFERROR(VLOOKUP(BY573,Parameter!$F$35:$G$64,2,0),2)),IF(OR(CD573="Nein",CD573=""),"-",CD573)))))</f>
        <v>2</v>
      </c>
      <c r="AB573" s="67"/>
      <c r="AC573" s="68"/>
      <c r="AD573" s="62" t="n">
        <f aca="false">AW573</f>
        <v>1</v>
      </c>
      <c r="AE573" s="62" t="n">
        <f aca="false">MAX(AW573,H573)</f>
        <v>1</v>
      </c>
      <c r="AF573" s="69"/>
      <c r="AG573" s="62" t="n">
        <f aca="false">IF(LEFT(Cockpit!$C$5,1)="A",H573,IF(Parameter!$E$30="MAX-Bestand",IF(CI573=1,CJ573,IF(LEFT(Cockpit!$C$5,1)="B",AM573,MAX(AM573,H573))),ROUNDUP(AK573,0)))</f>
        <v>1</v>
      </c>
      <c r="AH573" s="62" t="n">
        <f aca="false">IF(CA573=1,0,ROUNDUP(AG573/BZ573,0))</f>
        <v>1</v>
      </c>
      <c r="AI573" s="64" t="n">
        <f aca="false">IF(CR573&gt;0,CR573*MAX(1,AG573/X573),IF(CA573=1,IF(AG573&lt;=0,0,CE573*MAX(1,IF(H573&gt;0,AG573/H573,1))),IF(R573&gt;0,AH573/R573,0))/MAX(0.1,N(Parameter!$M$21)))</f>
        <v>0.25</v>
      </c>
      <c r="AJ573" s="62" t="n">
        <f aca="false">AI573*CC573</f>
        <v>58.75</v>
      </c>
      <c r="AK573" s="63" t="n">
        <f aca="false">IF(LEFT(Cockpit!$C$5,1)="A",H573,IF(CI573=1,(CL573+CJ573)/2,IF(LEFT(Cockpit!$C$5,1)="B",(CL573+AM573)/2,MAX((CL573+AM573)/2,H573))))</f>
        <v>1</v>
      </c>
      <c r="AL573" s="62" t="n">
        <f aca="false">AK573*G573</f>
        <v>10.5</v>
      </c>
      <c r="AM573" s="62" t="n">
        <f aca="false">ROUNDUP(CL573+MAX(CM573,2*(J573/IF(CH573&gt;0,CH573,MAX(0.1,N(Cockpit!$C$6)))-CL573)),0)</f>
        <v>1</v>
      </c>
      <c r="AN573" s="63" t="n">
        <f aca="false">IF(AJ573&gt;0,J573/AJ573,-1)</f>
        <v>0</v>
      </c>
      <c r="AO573" s="63" t="n">
        <f aca="false">IF(AND(OR(CG573="L1",CG573="L23",CG573="LIFT"),AJ573&gt;0),SUMIFS($AJ$7:$AJ$1843,$CG$7:$CG$1843,CG573,$AN$7:$AN$1843,"&gt;"&amp;AN573)+SUMIFS($AJ$7:$AJ$1843,$CG$7:$CG$1843,CG573,$AN$7:$AN$1843,AN573,$BX$7:$BX$1843,"&lt;="&amp;BX573),"")</f>
        <v>28458.0400033112</v>
      </c>
      <c r="AP573" s="70" t="n">
        <f aca="false">IF(AO573="",0,MAX(0,MIN(1,(IF(CG573="L1",Parameter!$H$5,IF(CG573="L23",Parameter!$H$6+Parameter!$H$7,Parameter!$H$5+Parameter!$H$6+Parameter!$H$7))-(AO573-AJ573))/AJ573)))</f>
        <v>1</v>
      </c>
      <c r="AQ573" s="62" t="n">
        <f aca="false">IF(LEFT(Cockpit!$I$5,1)="A",H573,IF(Parameter!$E$30="MAX-Bestand",IF(CI573=1,CJ573,IF(LEFT(Cockpit!$I$5,1)="B",AW573,MAX(AW573,H573))),ROUNDUP(AU573,0)))</f>
        <v>1</v>
      </c>
      <c r="AR573" s="62" t="n">
        <f aca="false">IF(CA573=1,0,ROUNDUP(AQ573/BZ573,0))</f>
        <v>1</v>
      </c>
      <c r="AS573" s="64" t="n">
        <f aca="false">IF(CR573&gt;0,CR573*MAX(1,AQ573/X573),IF(CA573=1,IF(AQ573&lt;=0,0,CE573*MAX(1,IF(H573&gt;0,AQ573/H573,1))),IF(R573&gt;0,AR573/R573,0))/MAX(0.1,N(Parameter!$M$21)))</f>
        <v>0.25</v>
      </c>
      <c r="AT573" s="62" t="n">
        <f aca="false">AS573*CC573</f>
        <v>58.75</v>
      </c>
      <c r="AU573" s="63" t="n">
        <f aca="false">IF(LEFT(Cockpit!$I$5,1)="A",H573,IF(CI573=1,(CL573+CJ573)/2,IF(LEFT(Cockpit!$I$5,1)="B",(CL573+AW573)/2,MAX((CL573+AW573)/2,H573))))</f>
        <v>1</v>
      </c>
      <c r="AV573" s="62" t="n">
        <f aca="false">AU573*G573</f>
        <v>10.5</v>
      </c>
      <c r="AW573" s="62" t="n">
        <f aca="false">ROUNDUP(CL573+MAX(CM573,2*(J573/IF(CH573&gt;0,CH573,MAX(0.1,N(Cockpit!$I$6)))-CL573)),0)</f>
        <v>1</v>
      </c>
      <c r="AX573" s="63" t="n">
        <f aca="false">IF(AT573&gt;0,J573/AT573,-1)</f>
        <v>0</v>
      </c>
      <c r="AY573" s="63" t="n">
        <f aca="false">IF(AND(OR(CG573="L1",CG573="L23",CG573="LIFT"),AT573&gt;0),SUMIFS($AT$7:$AT$1843,$CG$7:$CG$1843,CG573,$AX$7:$AX$1843,"&gt;"&amp;AX573)+SUMIFS($AT$7:$AT$1843,$CG$7:$CG$1843,CG573,$AX$7:$AX$1843,AX573,$BX$7:$BX$1843,"&lt;="&amp;BX573),"")</f>
        <v>33811.1886446886</v>
      </c>
      <c r="AZ573" s="70" t="n">
        <f aca="false">IF(AY573="",0,MAX(0,MIN(1,(IF(CG573="L1",Parameter!$H$5,IF(CG573="L23",Parameter!$H$6+Parameter!$H$7,Parameter!$H$5+Parameter!$H$6+Parameter!$H$7))-(AY573-AT573))/AT573)))</f>
        <v>1</v>
      </c>
      <c r="BA573" s="62" t="n">
        <f aca="false">IF(LEFT(Cockpit!$O$5,1)="A",H573,IF(Parameter!$E$30="MAX-Bestand",IF(CI573=1,CJ573,IF(LEFT(Cockpit!$O$5,1)="B",BG573,MAX(BG573,H573))),ROUNDUP(BE573,0)))</f>
        <v>1</v>
      </c>
      <c r="BB573" s="62" t="n">
        <f aca="false">IF(CA573=1,0,ROUNDUP(BA573/BZ573,0))</f>
        <v>1</v>
      </c>
      <c r="BC573" s="64" t="n">
        <f aca="false">IF(CR573&gt;0,CR573*MAX(1,BA573/X573),IF(CA573=1,IF(BA573&lt;=0,0,CE573*MAX(1,IF(H573&gt;0,BA573/H573,1))),IF(R573&gt;0,BB573/R573,0))/MAX(0.1,N(Parameter!$M$21)))</f>
        <v>0.25</v>
      </c>
      <c r="BD573" s="62" t="n">
        <f aca="false">BC573*CC573</f>
        <v>58.75</v>
      </c>
      <c r="BE573" s="63" t="n">
        <f aca="false">IF(LEFT(Cockpit!$O$5,1)="A",H573,IF(CI573=1,(CL573+CJ573)/2,IF(LEFT(Cockpit!$O$5,1)="B",(CL573+BG573)/2,MAX((CL573+BG573)/2,H573))))</f>
        <v>0.5</v>
      </c>
      <c r="BF573" s="62" t="n">
        <f aca="false">BE573*G573</f>
        <v>5.25</v>
      </c>
      <c r="BG573" s="62" t="n">
        <f aca="false">ROUNDUP(CL573+MAX(CM573,2*(J573/IF(CH573&gt;0,CH573,MAX(0.1,N(Cockpit!$O$6)))-CL573)),0)</f>
        <v>1</v>
      </c>
      <c r="BH573" s="63" t="n">
        <f aca="false">IF(BD573&gt;0,J573/BD573,-1)</f>
        <v>0</v>
      </c>
      <c r="BI573" s="63" t="n">
        <f aca="false">IF(AND(OR(CG573="L1",CG573="L23",CG573="LIFT"),BD573&gt;0),SUMIFS($BD$7:$BD$1843,$CG$7:$CG$1843,CG573,$BH$7:$BH$1843,"&gt;"&amp;BH573)+SUMIFS($BD$7:$BD$1843,$CG$7:$CG$1843,CG573,$BH$7:$BH$1843,BH573,$BX$7:$BX$1843,"&lt;="&amp;BX573),"")</f>
        <v>27888.5181986093</v>
      </c>
      <c r="BJ573" s="70" t="n">
        <f aca="false">IF(BI573="",0,MAX(0,MIN(1,(IF(CG573="L1",Parameter!$H$5,IF(CG573="L23",Parameter!$H$6+Parameter!$H$7,Parameter!$H$5+Parameter!$H$6+Parameter!$H$7))-(BI573-BD573))/BD573)))</f>
        <v>1</v>
      </c>
      <c r="BK573" s="60" t="str">
        <f aca="false">IF(AJ573&lt;=0,"",IF(CG573="Aussen","Aussenlager",IF(CG573="-","Nicht im Lift",IF(AP573&gt;=1,"Lift",IF(AP573&lt;=0,"Aussenlager","teilweise")))))</f>
        <v>Lift</v>
      </c>
      <c r="BL573" s="60" t="str">
        <f aca="false">IF(AT573&lt;=0,"",IF(CG573="Aussen","Aussenlager",IF(CG573="-","Nicht im Lift",IF(AZ573&gt;=1,"Lift",IF(AZ573&lt;=0,"Aussenlager","teilweise")))))</f>
        <v>Lift</v>
      </c>
      <c r="BM573" s="60" t="str">
        <f aca="false">IF(BD573&lt;=0,"",IF(CG573="Aussen","Aussenlager",IF(CG573="-","Nicht im Lift",IF(BJ573&gt;=1,"Lift",IF(BJ573&lt;=0,"Aussenlager","teilweise")))))</f>
        <v>Lift</v>
      </c>
      <c r="BN573" s="60" t="str">
        <f aca="false">IF(A573="","",IF(BW573=1,"Neu; ","")&amp;IF(AND(BW573=0,BR573&lt;0),"negativer Bestand (Export "&amp;BR573&amp;"); ","")&amp;IF(J573&lt;=0,"Kein Verbrauch; ","")&amp;IF(CR573&gt;0,"Lift "&amp;W573&amp;" lt. Liftbericht (Fach "&amp;X573&amp;" Stk); ",IF(CB573=1,"Gebinde geschätzt ("&amp;T573&amp;"); ",IF(CA573=1,"Lose – Tablare geschätzt; ","")))&amp;IF(H573&gt;AW573,"Überbestand "&amp;ROUND(H573-AW573,0)&amp;" Stk / CHF "&amp;ROUND((H573-AW573)*G573,0)&amp;"; ","")&amp;IF(AND(CI573=1,CJ573&lt;CK573),"MAX &lt; MB+LG; ","")&amp;IF(AND(CQ573&gt;0,CP573*10&gt;CQ573),"zu hoch für Tablar; ","")&amp;IF(AND(BW573=0,OR(CI573=1,AB573&lt;&gt;"",U573&lt;&gt;"",V573&lt;&gt;"",AC573&lt;&gt;"")),"manuell übersteuert; ","")&amp;IF(AND(CA573=0,R573=0),"Gebinde unbekannt / Stellmass fehlt; ","")&amp;IF(AND(CA573=0,N(V573)&lt;=0,N(Q573)&lt;=0),"Menge pro Gebinde fehlt (Ist = 1 Gebinde); ","")&amp;BV573)</f>
        <v>Kein Verbrauch; Gebinde geschätzt (Gross); Menge pro Gebinde fehlt (Ist = 1 Gebinde); </v>
      </c>
      <c r="BO573" s="60"/>
      <c r="BP573" s="60"/>
      <c r="BQ573" s="67"/>
      <c r="BR573" s="62" t="n">
        <v>1</v>
      </c>
      <c r="BS573" s="62" t="n">
        <v>0</v>
      </c>
      <c r="BT573" s="61" t="n">
        <v>10.5</v>
      </c>
      <c r="BU573" s="62" t="n">
        <v>0</v>
      </c>
      <c r="BV573" s="60"/>
      <c r="BW573" s="65" t="n">
        <v>0</v>
      </c>
      <c r="BX573" s="65" t="n">
        <v>573</v>
      </c>
      <c r="BY573" s="60" t="str">
        <f aca="false">IF(U573&lt;&gt;"",UPPER(TRIM(U573)),IF(CB573=1,UPPER(VLOOKUP(T573,Parameter!$I$27:$K$29,2,0)),IF(P573="","LOSE",P573)))</f>
        <v>S81</v>
      </c>
      <c r="BZ573" s="62" t="n">
        <f aca="false">IF(BY573="LOSE",1,IF(N(V573)&gt;0,V573,IF(CB573=1,MAX(1,N(VLOOKUP(T573,Parameter!$I$27:$K$29,3,0)),H573,N(N573)),IF(N(Q573)&gt;0,Q573,MAX(1,H573)))))</f>
        <v>2</v>
      </c>
      <c r="CA573" s="65" t="n">
        <f aca="false">IF(BY573="LOSE",1,0)</f>
        <v>0</v>
      </c>
      <c r="CB573" s="65" t="n">
        <f aca="false">IF(AND(U573="",OR(P573="",P573="LOSE"),T573&lt;&gt;"",N(S573)&lt;=0,ISNUMBER(MATCH(T573,Parameter!$I$27:$I$29,0))),1,0)</f>
        <v>1</v>
      </c>
      <c r="CC573" s="65" t="n">
        <f aca="false">IF(CR573&gt;0,INDEX(Parameter!$H$5:$H$7,W573)/INDEX(Parameter!$E$5:$E$7,W573),IF(AND(CA573=0,N(IFERROR(VLOOKUP(BY573,'Gebinde-Kategorie'!$A$5:$N$45,14,0),0))&gt;0),VLOOKUP(BY573,'Gebinde-Kategorie'!$A$5:$N$45,14,0)*10+Parameter!$M$23,Parameter!$M$24))</f>
        <v>235</v>
      </c>
      <c r="CD573" s="60" t="str">
        <f aca="false">IF(AND(Parameter!$B$19="Ja",E573&lt;&gt;"",ISNUMBER(MATCH(E573,Parameter!$I$35:$I$52,0))),VLOOKUP(E573,Parameter!$I$35:$J$52,2,0),IFERROR(VLOOKUP(D573,Parameter!$A$35:$C$64,2,0),"Nein"))</f>
        <v>2+3</v>
      </c>
      <c r="CE573" s="64" t="n">
        <f aca="false">IF(CA573=0,0,IF(N(S573)&gt;0,S573,IFERROR(VLOOKUP(D573,Parameter!$A$35:$C$64,3,0)+0,0)))</f>
        <v>0</v>
      </c>
      <c r="CF573" s="60" t="n">
        <f aca="false">IF(AB573&lt;&gt;"",AB573,AA573)</f>
        <v>2</v>
      </c>
      <c r="CG573" s="60" t="str">
        <f aca="false">IF(OR(CF573=1,CF573=2,CF573=3),IF(Parameter!$E$27="Ja","LIFT",IF(CF573=1,"L1","L23")),IF(CF573="Aussen","Aussen","-"))</f>
        <v>LIFT</v>
      </c>
      <c r="CH573" s="71" t="n">
        <f aca="false">IF(N(AC573)&gt;0,AC573,0)</f>
        <v>0</v>
      </c>
      <c r="CI573" s="65" t="n">
        <f aca="false">IF(ISNUMBER(AF573),1,0)</f>
        <v>0</v>
      </c>
      <c r="CJ573" s="62" t="n">
        <f aca="false">N(AF573)</f>
        <v>0</v>
      </c>
      <c r="CK573" s="62" t="n">
        <f aca="false">N(M573)+N(N573)</f>
        <v>1</v>
      </c>
      <c r="CL573" s="62" t="n">
        <f aca="false">N(M573)</f>
        <v>0</v>
      </c>
      <c r="CM573" s="62" t="n">
        <f aca="false">N(N573)</f>
        <v>1</v>
      </c>
      <c r="CN573" s="62" t="n">
        <f aca="false">ROUNDUP(H573/BZ573,0)</f>
        <v>1</v>
      </c>
      <c r="CO573" s="62" t="n">
        <f aca="false">ROUNDUP(CJ573/BZ573,0)</f>
        <v>0</v>
      </c>
      <c r="CP573" s="65" t="n">
        <f aca="false">IF(CA573=1,0,IFERROR(VLOOKUP(BY573,'Gebinde-Kategorie'!$A$5:$N$45,5,0)+0,0))</f>
        <v>20</v>
      </c>
      <c r="CQ573" s="65" t="n">
        <f aca="false">IFERROR(IF(OR(CF573=1,CF573=2,CF573=3),N(INDEX(Parameter!$I$5:$I$7,CF573)),0),0)</f>
        <v>0</v>
      </c>
      <c r="CR573" s="64" t="n">
        <f aca="false">IF(AND(Parameter!$B$21="Ja",ISNUMBER(W573),N(X573)&gt;0),IFERROR(N(INDEX(Parameter!$L$5:$L$7,W573))*INDEX(Parameter!$E$5:$E$7,W573)*X573/SUMIFS($X$7:$X$1843,$W$7:$W$1843,W573),0),0)</f>
        <v>0</v>
      </c>
      <c r="CS573" s="62" t="n">
        <f aca="false">IF(AND(OR(CG573="L1",CG573="L23",CG573="LIFT"),H573&gt;0),CC573*IF(CR573&gt;0,CR573*MAX(1,H573/X573),IF(CA573=1,CE573,IF(R573&gt;0,CN573/R573,0))/MAX(0.1,N(Parameter!$M$21))),"")</f>
        <v>58.75</v>
      </c>
      <c r="CT573" s="64" t="n">
        <f aca="false">IF(CS573="","",J573/H573)</f>
        <v>0</v>
      </c>
      <c r="CU573" s="62" t="n">
        <f aca="false">IF(CS573="","",H573*G573)</f>
        <v>10.5</v>
      </c>
      <c r="CV573" s="63" t="n">
        <f aca="false">IF(CS573="","",(CL573+ROUNDUP(CL573+MAX(CM573,2*(J573/MAX(0.1,N(Einkauf!$C$6))-CL573)),0))/2)</f>
        <v>0.5</v>
      </c>
      <c r="CW573" s="62" t="n">
        <f aca="false">IF(CS573="","",MAX(0,H573-CV573)*G573)</f>
        <v>5.25</v>
      </c>
      <c r="CX573" s="62" t="n">
        <f aca="false">IF(CS573="","",CS573*MAX(0,1-CV573/H573))</f>
        <v>29.375</v>
      </c>
      <c r="CY573" s="64" t="n">
        <f aca="false">IF(CS573="","",PERCENTRANK($CS$7:$CS$1843,CS573)+PERCENTRANK($CU$7:$CU$1843,CU573)+1-PERCENTRANK($CT$7:$CT$1843,CT573))</f>
        <v>1.9622</v>
      </c>
      <c r="CZ573" s="72" t="n">
        <f aca="false">IF(CS573="","",CHOOSE(MATCH(Einkauf!$C$5,Parameter!$G$23:$G$27,0),CY573,CS573,CU573,-CT573,CW573)+ROW()/1000000000)</f>
        <v>1.962200573</v>
      </c>
    </row>
    <row r="574" customFormat="false" ht="15" hidden="false" customHeight="false" outlineLevel="0" collapsed="false">
      <c r="A574" s="60" t="s">
        <v>1250</v>
      </c>
      <c r="B574" s="60" t="s">
        <v>1251</v>
      </c>
      <c r="C574" s="60" t="s">
        <v>206</v>
      </c>
      <c r="D574" s="60" t="s">
        <v>226</v>
      </c>
      <c r="E574" s="60" t="s">
        <v>227</v>
      </c>
      <c r="F574" s="60" t="s">
        <v>260</v>
      </c>
      <c r="G574" s="61" t="n">
        <v>0.05</v>
      </c>
      <c r="H574" s="62" t="n">
        <f aca="false">MAX(0,IF(AND(Parameter!$B$21="Ja",ISNUMBER(Y574)),Y574,IF(Parameter!$B$20="Jahresanfang 2025 + Export",BS574+BR574,BR574)))</f>
        <v>810</v>
      </c>
      <c r="I574" s="62" t="n">
        <f aca="false">H574*G574</f>
        <v>40.5</v>
      </c>
      <c r="J574" s="62" t="n">
        <f aca="false">BU574*Parameter!$B$18</f>
        <v>0</v>
      </c>
      <c r="K574" s="63" t="n">
        <v>705</v>
      </c>
      <c r="L574" s="64" t="n">
        <v>0</v>
      </c>
      <c r="M574" s="62" t="n">
        <v>0</v>
      </c>
      <c r="N574" s="62" t="n">
        <v>1</v>
      </c>
      <c r="O574" s="65" t="n">
        <v>14</v>
      </c>
      <c r="P574" s="60" t="s">
        <v>443</v>
      </c>
      <c r="Q574" s="62" t="n">
        <v>512</v>
      </c>
      <c r="R574" s="65" t="n">
        <f aca="false">IF(CA574=1,0,IFERROR(VLOOKUP(BY574,'Gebinde-Kategorie'!$A$5:$N$45,13,0)+0,0))</f>
        <v>280</v>
      </c>
      <c r="S574" s="66"/>
      <c r="T574" s="67"/>
      <c r="U574" s="67"/>
      <c r="V574" s="67"/>
      <c r="W574" s="60"/>
      <c r="X574" s="62"/>
      <c r="Y574" s="62"/>
      <c r="Z574" s="60" t="n">
        <v>1</v>
      </c>
      <c r="AA574" s="60" t="n">
        <f aca="false">IF(A574="","",IF(AND(Parameter!$B$21="Ja",ISNUMBER(W574)),W574,IF(AND(Parameter!$E$27="Ja",ISNUMBER(Z574),CD574&lt;&gt;"Nein"),Z574,IF(CD574="2+3",IF(ISNUMBER(SEARCH("grosser Artikel",BV574)),2,IFERROR(VLOOKUP(BY574,Parameter!$F$35:$G$64,2,0),2)),IF(OR(CD574="Nein",CD574=""),"-",CD574)))))</f>
        <v>1</v>
      </c>
      <c r="AB574" s="67"/>
      <c r="AC574" s="68"/>
      <c r="AD574" s="62" t="n">
        <f aca="false">AW574</f>
        <v>1</v>
      </c>
      <c r="AE574" s="62" t="n">
        <f aca="false">MAX(AW574,H574)</f>
        <v>810</v>
      </c>
      <c r="AF574" s="69"/>
      <c r="AG574" s="62" t="n">
        <f aca="false">IF(LEFT(Cockpit!$C$5,1)="A",H574,IF(Parameter!$E$30="MAX-Bestand",IF(CI574=1,CJ574,IF(LEFT(Cockpit!$C$5,1)="B",AM574,MAX(AM574,H574))),ROUNDUP(AK574,0)))</f>
        <v>810</v>
      </c>
      <c r="AH574" s="62" t="n">
        <f aca="false">IF(CA574=1,0,ROUNDUP(AG574/BZ574,0))</f>
        <v>2</v>
      </c>
      <c r="AI574" s="64" t="n">
        <f aca="false">IF(CR574&gt;0,CR574*MAX(1,AG574/X574),IF(CA574=1,IF(AG574&lt;=0,0,CE574*MAX(1,IF(H574&gt;0,AG574/H574,1))),IF(R574&gt;0,AH574/R574,0))/MAX(0.1,N(Parameter!$M$21)))</f>
        <v>0.00714285714285714</v>
      </c>
      <c r="AJ574" s="62" t="n">
        <f aca="false">AI574*CC574</f>
        <v>1.10714285714286</v>
      </c>
      <c r="AK574" s="63" t="n">
        <f aca="false">IF(LEFT(Cockpit!$C$5,1)="A",H574,IF(CI574=1,(CL574+CJ574)/2,IF(LEFT(Cockpit!$C$5,1)="B",(CL574+AM574)/2,MAX((CL574+AM574)/2,H574))))</f>
        <v>810</v>
      </c>
      <c r="AL574" s="62" t="n">
        <f aca="false">AK574*G574</f>
        <v>40.5</v>
      </c>
      <c r="AM574" s="62" t="n">
        <f aca="false">ROUNDUP(CL574+MAX(CM574,2*(J574/IF(CH574&gt;0,CH574,MAX(0.1,N(Cockpit!$C$6)))-CL574)),0)</f>
        <v>1</v>
      </c>
      <c r="AN574" s="63" t="n">
        <f aca="false">IF(AJ574&gt;0,J574/AJ574,-1)</f>
        <v>0</v>
      </c>
      <c r="AO574" s="63" t="n">
        <f aca="false">IF(AND(OR(CG574="L1",CG574="L23",CG574="LIFT"),AJ574&gt;0),SUMIFS($AJ$7:$AJ$1843,$CG$7:$CG$1843,CG574,$AN$7:$AN$1843,"&gt;"&amp;AN574)+SUMIFS($AJ$7:$AJ$1843,$CG$7:$CG$1843,CG574,$AN$7:$AN$1843,AN574,$BX$7:$BX$1843,"&lt;="&amp;BX574),"")</f>
        <v>28459.1471461683</v>
      </c>
      <c r="AP574" s="70" t="n">
        <f aca="false">IF(AO574="",0,MAX(0,MIN(1,(IF(CG574="L1",Parameter!$H$5,IF(CG574="L23",Parameter!$H$6+Parameter!$H$7,Parameter!$H$5+Parameter!$H$6+Parameter!$H$7))-(AO574-AJ574))/AJ574)))</f>
        <v>1</v>
      </c>
      <c r="AQ574" s="62" t="n">
        <f aca="false">IF(LEFT(Cockpit!$I$5,1)="A",H574,IF(Parameter!$E$30="MAX-Bestand",IF(CI574=1,CJ574,IF(LEFT(Cockpit!$I$5,1)="B",AW574,MAX(AW574,H574))),ROUNDUP(AU574,0)))</f>
        <v>810</v>
      </c>
      <c r="AR574" s="62" t="n">
        <f aca="false">IF(CA574=1,0,ROUNDUP(AQ574/BZ574,0))</f>
        <v>2</v>
      </c>
      <c r="AS574" s="64" t="n">
        <f aca="false">IF(CR574&gt;0,CR574*MAX(1,AQ574/X574),IF(CA574=1,IF(AQ574&lt;=0,0,CE574*MAX(1,IF(H574&gt;0,AQ574/H574,1))),IF(R574&gt;0,AR574/R574,0))/MAX(0.1,N(Parameter!$M$21)))</f>
        <v>0.00714285714285714</v>
      </c>
      <c r="AT574" s="62" t="n">
        <f aca="false">AS574*CC574</f>
        <v>1.10714285714286</v>
      </c>
      <c r="AU574" s="63" t="n">
        <f aca="false">IF(LEFT(Cockpit!$I$5,1)="A",H574,IF(CI574=1,(CL574+CJ574)/2,IF(LEFT(Cockpit!$I$5,1)="B",(CL574+AW574)/2,MAX((CL574+AW574)/2,H574))))</f>
        <v>810</v>
      </c>
      <c r="AV574" s="62" t="n">
        <f aca="false">AU574*G574</f>
        <v>40.5</v>
      </c>
      <c r="AW574" s="62" t="n">
        <f aca="false">ROUNDUP(CL574+MAX(CM574,2*(J574/IF(CH574&gt;0,CH574,MAX(0.1,N(Cockpit!$I$6)))-CL574)),0)</f>
        <v>1</v>
      </c>
      <c r="AX574" s="63" t="n">
        <f aca="false">IF(AT574&gt;0,J574/AT574,-1)</f>
        <v>0</v>
      </c>
      <c r="AY574" s="63" t="n">
        <f aca="false">IF(AND(OR(CG574="L1",CG574="L23",CG574="LIFT"),AT574&gt;0),SUMIFS($AT$7:$AT$1843,$CG$7:$CG$1843,CG574,$AX$7:$AX$1843,"&gt;"&amp;AX574)+SUMIFS($AT$7:$AT$1843,$CG$7:$CG$1843,CG574,$AX$7:$AX$1843,AX574,$BX$7:$BX$1843,"&lt;="&amp;BX574),"")</f>
        <v>33812.2957875458</v>
      </c>
      <c r="AZ574" s="70" t="n">
        <f aca="false">IF(AY574="",0,MAX(0,MIN(1,(IF(CG574="L1",Parameter!$H$5,IF(CG574="L23",Parameter!$H$6+Parameter!$H$7,Parameter!$H$5+Parameter!$H$6+Parameter!$H$7))-(AY574-AT574))/AT574)))</f>
        <v>1</v>
      </c>
      <c r="BA574" s="62" t="n">
        <f aca="false">IF(LEFT(Cockpit!$O$5,1)="A",H574,IF(Parameter!$E$30="MAX-Bestand",IF(CI574=1,CJ574,IF(LEFT(Cockpit!$O$5,1)="B",BG574,MAX(BG574,H574))),ROUNDUP(BE574,0)))</f>
        <v>1</v>
      </c>
      <c r="BB574" s="62" t="n">
        <f aca="false">IF(CA574=1,0,ROUNDUP(BA574/BZ574,0))</f>
        <v>1</v>
      </c>
      <c r="BC574" s="64" t="n">
        <f aca="false">IF(CR574&gt;0,CR574*MAX(1,BA574/X574),IF(CA574=1,IF(BA574&lt;=0,0,CE574*MAX(1,IF(H574&gt;0,BA574/H574,1))),IF(R574&gt;0,BB574/R574,0))/MAX(0.1,N(Parameter!$M$21)))</f>
        <v>0.00357142857142857</v>
      </c>
      <c r="BD574" s="62" t="n">
        <f aca="false">BC574*CC574</f>
        <v>0.553571428571429</v>
      </c>
      <c r="BE574" s="63" t="n">
        <f aca="false">IF(LEFT(Cockpit!$O$5,1)="A",H574,IF(CI574=1,(CL574+CJ574)/2,IF(LEFT(Cockpit!$O$5,1)="B",(CL574+BG574)/2,MAX((CL574+BG574)/2,H574))))</f>
        <v>0.5</v>
      </c>
      <c r="BF574" s="62" t="n">
        <f aca="false">BE574*G574</f>
        <v>0.025</v>
      </c>
      <c r="BG574" s="62" t="n">
        <f aca="false">ROUNDUP(CL574+MAX(CM574,2*(J574/IF(CH574&gt;0,CH574,MAX(0.1,N(Cockpit!$O$6)))-CL574)),0)</f>
        <v>1</v>
      </c>
      <c r="BH574" s="63" t="n">
        <f aca="false">IF(BD574&gt;0,J574/BD574,-1)</f>
        <v>0</v>
      </c>
      <c r="BI574" s="63" t="n">
        <f aca="false">IF(AND(OR(CG574="L1",CG574="L23",CG574="LIFT"),BD574&gt;0),SUMIFS($BD$7:$BD$1843,$CG$7:$CG$1843,CG574,$BH$7:$BH$1843,"&gt;"&amp;BH574)+SUMIFS($BD$7:$BD$1843,$CG$7:$CG$1843,CG574,$BH$7:$BH$1843,BH574,$BX$7:$BX$1843,"&lt;="&amp;BX574),"")</f>
        <v>27889.0717700379</v>
      </c>
      <c r="BJ574" s="70" t="n">
        <f aca="false">IF(BI574="",0,MAX(0,MIN(1,(IF(CG574="L1",Parameter!$H$5,IF(CG574="L23",Parameter!$H$6+Parameter!$H$7,Parameter!$H$5+Parameter!$H$6+Parameter!$H$7))-(BI574-BD574))/BD574)))</f>
        <v>1</v>
      </c>
      <c r="BK574" s="60" t="str">
        <f aca="false">IF(AJ574&lt;=0,"",IF(CG574="Aussen","Aussenlager",IF(CG574="-","Nicht im Lift",IF(AP574&gt;=1,"Lift",IF(AP574&lt;=0,"Aussenlager","teilweise")))))</f>
        <v>Lift</v>
      </c>
      <c r="BL574" s="60" t="str">
        <f aca="false">IF(AT574&lt;=0,"",IF(CG574="Aussen","Aussenlager",IF(CG574="-","Nicht im Lift",IF(AZ574&gt;=1,"Lift",IF(AZ574&lt;=0,"Aussenlager","teilweise")))))</f>
        <v>Lift</v>
      </c>
      <c r="BM574" s="60" t="str">
        <f aca="false">IF(BD574&lt;=0,"",IF(CG574="Aussen","Aussenlager",IF(CG574="-","Nicht im Lift",IF(BJ574&gt;=1,"Lift",IF(BJ574&lt;=0,"Aussenlager","teilweise")))))</f>
        <v>Lift</v>
      </c>
      <c r="BN574" s="60" t="str">
        <f aca="false">IF(A574="","",IF(BW574=1,"Neu; ","")&amp;IF(AND(BW574=0,BR574&lt;0),"negativer Bestand (Export "&amp;BR574&amp;"); ","")&amp;IF(J574&lt;=0,"Kein Verbrauch; ","")&amp;IF(CR574&gt;0,"Lift "&amp;W574&amp;" lt. Liftbericht (Fach "&amp;X574&amp;" Stk); ",IF(CB574=1,"Gebinde geschätzt ("&amp;T574&amp;"); ",IF(CA574=1,"Lose – Tablare geschätzt; ","")))&amp;IF(H574&gt;AW574,"Überbestand "&amp;ROUND(H574-AW574,0)&amp;" Stk / CHF "&amp;ROUND((H574-AW574)*G574,0)&amp;"; ","")&amp;IF(AND(CI574=1,CJ574&lt;CK574),"MAX &lt; MB+LG; ","")&amp;IF(AND(CQ574&gt;0,CP574*10&gt;CQ574),"zu hoch für Tablar; ","")&amp;IF(AND(BW574=0,OR(CI574=1,AB574&lt;&gt;"",U574&lt;&gt;"",V574&lt;&gt;"",AC574&lt;&gt;"")),"manuell übersteuert; ","")&amp;IF(AND(CA574=0,R574=0),"Gebinde unbekannt / Stellmass fehlt; ","")&amp;IF(AND(CA574=0,N(V574)&lt;=0,N(Q574)&lt;=0),"Menge pro Gebinde fehlt (Ist = 1 Gebinde); ","")&amp;BV574)</f>
        <v>Kein Verbrauch; Überbestand 809 Stk / CHF 40; Handlager</v>
      </c>
      <c r="BO574" s="60"/>
      <c r="BP574" s="60"/>
      <c r="BQ574" s="67"/>
      <c r="BR574" s="62" t="n">
        <v>210</v>
      </c>
      <c r="BS574" s="62" t="n">
        <v>600</v>
      </c>
      <c r="BT574" s="61" t="n">
        <v>10.5</v>
      </c>
      <c r="BU574" s="62" t="n">
        <v>0</v>
      </c>
      <c r="BV574" s="60" t="s">
        <v>937</v>
      </c>
      <c r="BW574" s="65" t="n">
        <v>0</v>
      </c>
      <c r="BX574" s="65" t="n">
        <v>574</v>
      </c>
      <c r="BY574" s="60" t="str">
        <f aca="false">IF(U574&lt;&gt;"",UPPER(TRIM(U574)),IF(CB574=1,UPPER(VLOOKUP(T574,Parameter!$I$27:$K$29,2,0)),IF(P574="","LOSE",P574)))</f>
        <v>S21</v>
      </c>
      <c r="BZ574" s="62" t="n">
        <f aca="false">IF(BY574="LOSE",1,IF(N(V574)&gt;0,V574,IF(CB574=1,MAX(1,N(VLOOKUP(T574,Parameter!$I$27:$K$29,3,0)),H574,N(N574)),IF(N(Q574)&gt;0,Q574,MAX(1,H574)))))</f>
        <v>512</v>
      </c>
      <c r="CA574" s="65" t="n">
        <f aca="false">IF(BY574="LOSE",1,0)</f>
        <v>0</v>
      </c>
      <c r="CB574" s="65" t="n">
        <f aca="false">IF(AND(U574="",OR(P574="",P574="LOSE"),T574&lt;&gt;"",N(S574)&lt;=0,ISNUMBER(MATCH(T574,Parameter!$I$27:$I$29,0))),1,0)</f>
        <v>0</v>
      </c>
      <c r="CC574" s="65" t="n">
        <f aca="false">IF(CR574&gt;0,INDEX(Parameter!$H$5:$H$7,W574)/INDEX(Parameter!$E$5:$E$7,W574),IF(AND(CA574=0,N(IFERROR(VLOOKUP(BY574,'Gebinde-Kategorie'!$A$5:$N$45,14,0),0))&gt;0),VLOOKUP(BY574,'Gebinde-Kategorie'!$A$5:$N$45,14,0)*10+Parameter!$M$23,Parameter!$M$24))</f>
        <v>155</v>
      </c>
      <c r="CD574" s="60" t="str">
        <f aca="false">IF(AND(Parameter!$B$19="Ja",E574&lt;&gt;"",ISNUMBER(MATCH(E574,Parameter!$I$35:$I$52,0))),VLOOKUP(E574,Parameter!$I$35:$J$52,2,0),IFERROR(VLOOKUP(D574,Parameter!$A$35:$C$64,2,0),"Nein"))</f>
        <v>2+3</v>
      </c>
      <c r="CE574" s="64" t="n">
        <f aca="false">IF(CA574=0,0,IF(N(S574)&gt;0,S574,IFERROR(VLOOKUP(D574,Parameter!$A$35:$C$64,3,0)+0,0)))</f>
        <v>0</v>
      </c>
      <c r="CF574" s="60" t="n">
        <f aca="false">IF(AB574&lt;&gt;"",AB574,AA574)</f>
        <v>1</v>
      </c>
      <c r="CG574" s="60" t="str">
        <f aca="false">IF(OR(CF574=1,CF574=2,CF574=3),IF(Parameter!$E$27="Ja","LIFT",IF(CF574=1,"L1","L23")),IF(CF574="Aussen","Aussen","-"))</f>
        <v>LIFT</v>
      </c>
      <c r="CH574" s="71" t="n">
        <f aca="false">IF(N(AC574)&gt;0,AC574,0)</f>
        <v>0</v>
      </c>
      <c r="CI574" s="65" t="n">
        <f aca="false">IF(ISNUMBER(AF574),1,0)</f>
        <v>0</v>
      </c>
      <c r="CJ574" s="62" t="n">
        <f aca="false">N(AF574)</f>
        <v>0</v>
      </c>
      <c r="CK574" s="62" t="n">
        <f aca="false">N(M574)+N(N574)</f>
        <v>1</v>
      </c>
      <c r="CL574" s="62" t="n">
        <f aca="false">N(M574)</f>
        <v>0</v>
      </c>
      <c r="CM574" s="62" t="n">
        <f aca="false">N(N574)</f>
        <v>1</v>
      </c>
      <c r="CN574" s="62" t="n">
        <f aca="false">ROUNDUP(H574/BZ574,0)</f>
        <v>2</v>
      </c>
      <c r="CO574" s="62" t="n">
        <f aca="false">ROUNDUP(CJ574/BZ574,0)</f>
        <v>0</v>
      </c>
      <c r="CP574" s="65" t="n">
        <f aca="false">IF(CA574=1,0,IFERROR(VLOOKUP(BY574,'Gebinde-Kategorie'!$A$5:$N$45,5,0)+0,0))</f>
        <v>8</v>
      </c>
      <c r="CQ574" s="65" t="n">
        <f aca="false">IFERROR(IF(OR(CF574=1,CF574=2,CF574=3),N(INDEX(Parameter!$I$5:$I$7,CF574)),0),0)</f>
        <v>0</v>
      </c>
      <c r="CR574" s="64" t="n">
        <f aca="false">IF(AND(Parameter!$B$21="Ja",ISNUMBER(W574),N(X574)&gt;0),IFERROR(N(INDEX(Parameter!$L$5:$L$7,W574))*INDEX(Parameter!$E$5:$E$7,W574)*X574/SUMIFS($X$7:$X$1843,$W$7:$W$1843,W574),0),0)</f>
        <v>0</v>
      </c>
      <c r="CS574" s="62" t="n">
        <f aca="false">IF(AND(OR(CG574="L1",CG574="L23",CG574="LIFT"),H574&gt;0),CC574*IF(CR574&gt;0,CR574*MAX(1,H574/X574),IF(CA574=1,CE574,IF(R574&gt;0,CN574/R574,0))/MAX(0.1,N(Parameter!$M$21))),"")</f>
        <v>1.10714285714286</v>
      </c>
      <c r="CT574" s="64" t="n">
        <f aca="false">IF(CS574="","",J574/H574)</f>
        <v>0</v>
      </c>
      <c r="CU574" s="62" t="n">
        <f aca="false">IF(CS574="","",H574*G574)</f>
        <v>40.5</v>
      </c>
      <c r="CV574" s="63" t="n">
        <f aca="false">IF(CS574="","",(CL574+ROUNDUP(CL574+MAX(CM574,2*(J574/MAX(0.1,N(Einkauf!$C$6))-CL574)),0))/2)</f>
        <v>0.5</v>
      </c>
      <c r="CW574" s="62" t="n">
        <f aca="false">IF(CS574="","",MAX(0,H574-CV574)*G574)</f>
        <v>40.475</v>
      </c>
      <c r="CX574" s="62" t="n">
        <f aca="false">IF(CS574="","",CS574*MAX(0,1-CV574/H574))</f>
        <v>1.1064594356261</v>
      </c>
      <c r="CY574" s="64" t="n">
        <f aca="false">IF(CS574="","",PERCENTRANK($CS$7:$CS$1843,CS574)+PERCENTRANK($CU$7:$CU$1843,CU574)+1-PERCENTRANK($CT$7:$CT$1843,CT574))</f>
        <v>1.1914</v>
      </c>
      <c r="CZ574" s="72" t="n">
        <f aca="false">IF(CS574="","",CHOOSE(MATCH(Einkauf!$C$5,Parameter!$G$23:$G$27,0),CY574,CS574,CU574,-CT574,CW574)+ROW()/1000000000)</f>
        <v>1.191400574</v>
      </c>
    </row>
    <row r="575" customFormat="false" ht="15" hidden="false" customHeight="false" outlineLevel="0" collapsed="false">
      <c r="A575" s="60" t="s">
        <v>1252</v>
      </c>
      <c r="B575" s="60" t="s">
        <v>1253</v>
      </c>
      <c r="C575" s="60" t="s">
        <v>206</v>
      </c>
      <c r="D575" s="60" t="s">
        <v>226</v>
      </c>
      <c r="E575" s="60" t="s">
        <v>227</v>
      </c>
      <c r="F575" s="60" t="s">
        <v>260</v>
      </c>
      <c r="G575" s="61" t="n">
        <v>2.8</v>
      </c>
      <c r="H575" s="62" t="n">
        <f aca="false">MAX(0,IF(AND(Parameter!$B$21="Ja",ISNUMBER(Y575)),Y575,IF(Parameter!$B$20="Jahresanfang 2025 + Export",BS575+BR575,BR575)))</f>
        <v>20</v>
      </c>
      <c r="I575" s="62" t="n">
        <f aca="false">H575*G575</f>
        <v>56</v>
      </c>
      <c r="J575" s="62" t="n">
        <f aca="false">BU575*Parameter!$B$18</f>
        <v>0</v>
      </c>
      <c r="K575" s="63" t="n">
        <v>19</v>
      </c>
      <c r="L575" s="64" t="n">
        <v>0</v>
      </c>
      <c r="M575" s="62" t="n">
        <v>0</v>
      </c>
      <c r="N575" s="62" t="n">
        <v>1</v>
      </c>
      <c r="O575" s="65" t="n">
        <v>42</v>
      </c>
      <c r="P575" s="60" t="s">
        <v>463</v>
      </c>
      <c r="Q575" s="62" t="n">
        <v>18</v>
      </c>
      <c r="R575" s="65" t="n">
        <f aca="false">IF(CA575=1,0,IFERROR(VLOOKUP(BY575,'Gebinde-Kategorie'!$A$5:$N$45,13,0)+0,0))</f>
        <v>104</v>
      </c>
      <c r="S575" s="66"/>
      <c r="T575" s="67"/>
      <c r="U575" s="67"/>
      <c r="V575" s="67"/>
      <c r="W575" s="60"/>
      <c r="X575" s="62"/>
      <c r="Y575" s="62"/>
      <c r="Z575" s="60" t="n">
        <v>3</v>
      </c>
      <c r="AA575" s="60" t="n">
        <f aca="false">IF(A575="","",IF(AND(Parameter!$B$21="Ja",ISNUMBER(W575)),W575,IF(AND(Parameter!$E$27="Ja",ISNUMBER(Z575),CD575&lt;&gt;"Nein"),Z575,IF(CD575="2+3",IF(ISNUMBER(SEARCH("grosser Artikel",BV575)),2,IFERROR(VLOOKUP(BY575,Parameter!$F$35:$G$64,2,0),2)),IF(OR(CD575="Nein",CD575=""),"-",CD575)))))</f>
        <v>3</v>
      </c>
      <c r="AB575" s="67"/>
      <c r="AC575" s="68"/>
      <c r="AD575" s="62" t="n">
        <f aca="false">AW575</f>
        <v>1</v>
      </c>
      <c r="AE575" s="62" t="n">
        <f aca="false">MAX(AW575,H575)</f>
        <v>20</v>
      </c>
      <c r="AF575" s="69"/>
      <c r="AG575" s="62" t="n">
        <f aca="false">IF(LEFT(Cockpit!$C$5,1)="A",H575,IF(Parameter!$E$30="MAX-Bestand",IF(CI575=1,CJ575,IF(LEFT(Cockpit!$C$5,1)="B",AM575,MAX(AM575,H575))),ROUNDUP(AK575,0)))</f>
        <v>20</v>
      </c>
      <c r="AH575" s="62" t="n">
        <f aca="false">IF(CA575=1,0,ROUNDUP(AG575/BZ575,0))</f>
        <v>2</v>
      </c>
      <c r="AI575" s="64" t="n">
        <f aca="false">IF(CR575&gt;0,CR575*MAX(1,AG575/X575),IF(CA575=1,IF(AG575&lt;=0,0,CE575*MAX(1,IF(H575&gt;0,AG575/H575,1))),IF(R575&gt;0,AH575/R575,0))/MAX(0.1,N(Parameter!$M$21)))</f>
        <v>0.0192307692307692</v>
      </c>
      <c r="AJ575" s="62" t="n">
        <f aca="false">AI575*CC575</f>
        <v>2.98076923076923</v>
      </c>
      <c r="AK575" s="63" t="n">
        <f aca="false">IF(LEFT(Cockpit!$C$5,1)="A",H575,IF(CI575=1,(CL575+CJ575)/2,IF(LEFT(Cockpit!$C$5,1)="B",(CL575+AM575)/2,MAX((CL575+AM575)/2,H575))))</f>
        <v>20</v>
      </c>
      <c r="AL575" s="62" t="n">
        <f aca="false">AK575*G575</f>
        <v>56</v>
      </c>
      <c r="AM575" s="62" t="n">
        <f aca="false">ROUNDUP(CL575+MAX(CM575,2*(J575/IF(CH575&gt;0,CH575,MAX(0.1,N(Cockpit!$C$6)))-CL575)),0)</f>
        <v>1</v>
      </c>
      <c r="AN575" s="63" t="n">
        <f aca="false">IF(AJ575&gt;0,J575/AJ575,-1)</f>
        <v>0</v>
      </c>
      <c r="AO575" s="63" t="n">
        <f aca="false">IF(AND(OR(CG575="L1",CG575="L23",CG575="LIFT"),AJ575&gt;0),SUMIFS($AJ$7:$AJ$1843,$CG$7:$CG$1843,CG575,$AN$7:$AN$1843,"&gt;"&amp;AN575)+SUMIFS($AJ$7:$AJ$1843,$CG$7:$CG$1843,CG575,$AN$7:$AN$1843,AN575,$BX$7:$BX$1843,"&lt;="&amp;BX575),"")</f>
        <v>28462.1279153991</v>
      </c>
      <c r="AP575" s="70" t="n">
        <f aca="false">IF(AO575="",0,MAX(0,MIN(1,(IF(CG575="L1",Parameter!$H$5,IF(CG575="L23",Parameter!$H$6+Parameter!$H$7,Parameter!$H$5+Parameter!$H$6+Parameter!$H$7))-(AO575-AJ575))/AJ575)))</f>
        <v>1</v>
      </c>
      <c r="AQ575" s="62" t="n">
        <f aca="false">IF(LEFT(Cockpit!$I$5,1)="A",H575,IF(Parameter!$E$30="MAX-Bestand",IF(CI575=1,CJ575,IF(LEFT(Cockpit!$I$5,1)="B",AW575,MAX(AW575,H575))),ROUNDUP(AU575,0)))</f>
        <v>20</v>
      </c>
      <c r="AR575" s="62" t="n">
        <f aca="false">IF(CA575=1,0,ROUNDUP(AQ575/BZ575,0))</f>
        <v>2</v>
      </c>
      <c r="AS575" s="64" t="n">
        <f aca="false">IF(CR575&gt;0,CR575*MAX(1,AQ575/X575),IF(CA575=1,IF(AQ575&lt;=0,0,CE575*MAX(1,IF(H575&gt;0,AQ575/H575,1))),IF(R575&gt;0,AR575/R575,0))/MAX(0.1,N(Parameter!$M$21)))</f>
        <v>0.0192307692307692</v>
      </c>
      <c r="AT575" s="62" t="n">
        <f aca="false">AS575*CC575</f>
        <v>2.98076923076923</v>
      </c>
      <c r="AU575" s="63" t="n">
        <f aca="false">IF(LEFT(Cockpit!$I$5,1)="A",H575,IF(CI575=1,(CL575+CJ575)/2,IF(LEFT(Cockpit!$I$5,1)="B",(CL575+AW575)/2,MAX((CL575+AW575)/2,H575))))</f>
        <v>20</v>
      </c>
      <c r="AV575" s="62" t="n">
        <f aca="false">AU575*G575</f>
        <v>56</v>
      </c>
      <c r="AW575" s="62" t="n">
        <f aca="false">ROUNDUP(CL575+MAX(CM575,2*(J575/IF(CH575&gt;0,CH575,MAX(0.1,N(Cockpit!$I$6)))-CL575)),0)</f>
        <v>1</v>
      </c>
      <c r="AX575" s="63" t="n">
        <f aca="false">IF(AT575&gt;0,J575/AT575,-1)</f>
        <v>0</v>
      </c>
      <c r="AY575" s="63" t="n">
        <f aca="false">IF(AND(OR(CG575="L1",CG575="L23",CG575="LIFT"),AT575&gt;0),SUMIFS($AT$7:$AT$1843,$CG$7:$CG$1843,CG575,$AX$7:$AX$1843,"&gt;"&amp;AX575)+SUMIFS($AT$7:$AT$1843,$CG$7:$CG$1843,CG575,$AX$7:$AX$1843,AX575,$BX$7:$BX$1843,"&lt;="&amp;BX575),"")</f>
        <v>33815.2765567766</v>
      </c>
      <c r="AZ575" s="70" t="n">
        <f aca="false">IF(AY575="",0,MAX(0,MIN(1,(IF(CG575="L1",Parameter!$H$5,IF(CG575="L23",Parameter!$H$6+Parameter!$H$7,Parameter!$H$5+Parameter!$H$6+Parameter!$H$7))-(AY575-AT575))/AT575)))</f>
        <v>1</v>
      </c>
      <c r="BA575" s="62" t="n">
        <f aca="false">IF(LEFT(Cockpit!$O$5,1)="A",H575,IF(Parameter!$E$30="MAX-Bestand",IF(CI575=1,CJ575,IF(LEFT(Cockpit!$O$5,1)="B",BG575,MAX(BG575,H575))),ROUNDUP(BE575,0)))</f>
        <v>1</v>
      </c>
      <c r="BB575" s="62" t="n">
        <f aca="false">IF(CA575=1,0,ROUNDUP(BA575/BZ575,0))</f>
        <v>1</v>
      </c>
      <c r="BC575" s="64" t="n">
        <f aca="false">IF(CR575&gt;0,CR575*MAX(1,BA575/X575),IF(CA575=1,IF(BA575&lt;=0,0,CE575*MAX(1,IF(H575&gt;0,BA575/H575,1))),IF(R575&gt;0,BB575/R575,0))/MAX(0.1,N(Parameter!$M$21)))</f>
        <v>0.00961538461538462</v>
      </c>
      <c r="BD575" s="62" t="n">
        <f aca="false">BC575*CC575</f>
        <v>1.49038461538462</v>
      </c>
      <c r="BE575" s="63" t="n">
        <f aca="false">IF(LEFT(Cockpit!$O$5,1)="A",H575,IF(CI575=1,(CL575+CJ575)/2,IF(LEFT(Cockpit!$O$5,1)="B",(CL575+BG575)/2,MAX((CL575+BG575)/2,H575))))</f>
        <v>0.5</v>
      </c>
      <c r="BF575" s="62" t="n">
        <f aca="false">BE575*G575</f>
        <v>1.4</v>
      </c>
      <c r="BG575" s="62" t="n">
        <f aca="false">ROUNDUP(CL575+MAX(CM575,2*(J575/IF(CH575&gt;0,CH575,MAX(0.1,N(Cockpit!$O$6)))-CL575)),0)</f>
        <v>1</v>
      </c>
      <c r="BH575" s="63" t="n">
        <f aca="false">IF(BD575&gt;0,J575/BD575,-1)</f>
        <v>0</v>
      </c>
      <c r="BI575" s="63" t="n">
        <f aca="false">IF(AND(OR(CG575="L1",CG575="L23",CG575="LIFT"),BD575&gt;0),SUMIFS($BD$7:$BD$1843,$CG$7:$CG$1843,CG575,$BH$7:$BH$1843,"&gt;"&amp;BH575)+SUMIFS($BD$7:$BD$1843,$CG$7:$CG$1843,CG575,$BH$7:$BH$1843,BH575,$BX$7:$BX$1843,"&lt;="&amp;BX575),"")</f>
        <v>27890.5621546533</v>
      </c>
      <c r="BJ575" s="70" t="n">
        <f aca="false">IF(BI575="",0,MAX(0,MIN(1,(IF(CG575="L1",Parameter!$H$5,IF(CG575="L23",Parameter!$H$6+Parameter!$H$7,Parameter!$H$5+Parameter!$H$6+Parameter!$H$7))-(BI575-BD575))/BD575)))</f>
        <v>1</v>
      </c>
      <c r="BK575" s="60" t="str">
        <f aca="false">IF(AJ575&lt;=0,"",IF(CG575="Aussen","Aussenlager",IF(CG575="-","Nicht im Lift",IF(AP575&gt;=1,"Lift",IF(AP575&lt;=0,"Aussenlager","teilweise")))))</f>
        <v>Lift</v>
      </c>
      <c r="BL575" s="60" t="str">
        <f aca="false">IF(AT575&lt;=0,"",IF(CG575="Aussen","Aussenlager",IF(CG575="-","Nicht im Lift",IF(AZ575&gt;=1,"Lift",IF(AZ575&lt;=0,"Aussenlager","teilweise")))))</f>
        <v>Lift</v>
      </c>
      <c r="BM575" s="60" t="str">
        <f aca="false">IF(BD575&lt;=0,"",IF(CG575="Aussen","Aussenlager",IF(CG575="-","Nicht im Lift",IF(BJ575&gt;=1,"Lift",IF(BJ575&lt;=0,"Aussenlager","teilweise")))))</f>
        <v>Lift</v>
      </c>
      <c r="BN575" s="60" t="str">
        <f aca="false">IF(A575="","",IF(BW575=1,"Neu; ","")&amp;IF(AND(BW575=0,BR575&lt;0),"negativer Bestand (Export "&amp;BR575&amp;"); ","")&amp;IF(J575&lt;=0,"Kein Verbrauch; ","")&amp;IF(CR575&gt;0,"Lift "&amp;W575&amp;" lt. Liftbericht (Fach "&amp;X575&amp;" Stk); ",IF(CB575=1,"Gebinde geschätzt ("&amp;T575&amp;"); ",IF(CA575=1,"Lose – Tablare geschätzt; ","")))&amp;IF(H575&gt;AW575,"Überbestand "&amp;ROUND(H575-AW575,0)&amp;" Stk / CHF "&amp;ROUND((H575-AW575)*G575,0)&amp;"; ","")&amp;IF(AND(CI575=1,CJ575&lt;CK575),"MAX &lt; MB+LG; ","")&amp;IF(AND(CQ575&gt;0,CP575*10&gt;CQ575),"zu hoch für Tablar; ","")&amp;IF(AND(BW575=0,OR(CI575=1,AB575&lt;&gt;"",U575&lt;&gt;"",V575&lt;&gt;"",AC575&lt;&gt;"")),"manuell übersteuert; ","")&amp;IF(AND(CA575=0,R575=0),"Gebinde unbekannt / Stellmass fehlt; ","")&amp;IF(AND(CA575=0,N(V575)&lt;=0,N(Q575)&lt;=0),"Menge pro Gebinde fehlt (Ist = 1 Gebinde); ","")&amp;BV575)</f>
        <v>Kein Verbrauch; Überbestand 19 Stk / CHF 53; Überbestand</v>
      </c>
      <c r="BO575" s="60"/>
      <c r="BP575" s="60"/>
      <c r="BQ575" s="67"/>
      <c r="BR575" s="62" t="n">
        <v>2</v>
      </c>
      <c r="BS575" s="62" t="n">
        <v>18</v>
      </c>
      <c r="BT575" s="61" t="n">
        <v>10.1</v>
      </c>
      <c r="BU575" s="62" t="n">
        <v>0</v>
      </c>
      <c r="BV575" s="60" t="s">
        <v>434</v>
      </c>
      <c r="BW575" s="65" t="n">
        <v>0</v>
      </c>
      <c r="BX575" s="65" t="n">
        <v>575</v>
      </c>
      <c r="BY575" s="60" t="str">
        <f aca="false">IF(U575&lt;&gt;"",UPPER(TRIM(U575)),IF(CB575=1,UPPER(VLOOKUP(T575,Parameter!$I$27:$K$29,2,0)),IF(P575="","LOSE",P575)))</f>
        <v>S32</v>
      </c>
      <c r="BZ575" s="62" t="n">
        <f aca="false">IF(BY575="LOSE",1,IF(N(V575)&gt;0,V575,IF(CB575=1,MAX(1,N(VLOOKUP(T575,Parameter!$I$27:$K$29,3,0)),H575,N(N575)),IF(N(Q575)&gt;0,Q575,MAX(1,H575)))))</f>
        <v>18</v>
      </c>
      <c r="CA575" s="65" t="n">
        <f aca="false">IF(BY575="LOSE",1,0)</f>
        <v>0</v>
      </c>
      <c r="CB575" s="65" t="n">
        <f aca="false">IF(AND(U575="",OR(P575="",P575="LOSE"),T575&lt;&gt;"",N(S575)&lt;=0,ISNUMBER(MATCH(T575,Parameter!$I$27:$I$29,0))),1,0)</f>
        <v>0</v>
      </c>
      <c r="CC575" s="65" t="n">
        <f aca="false">IF(CR575&gt;0,INDEX(Parameter!$H$5:$H$7,W575)/INDEX(Parameter!$E$5:$E$7,W575),IF(AND(CA575=0,N(IFERROR(VLOOKUP(BY575,'Gebinde-Kategorie'!$A$5:$N$45,14,0),0))&gt;0),VLOOKUP(BY575,'Gebinde-Kategorie'!$A$5:$N$45,14,0)*10+Parameter!$M$23,Parameter!$M$24))</f>
        <v>155</v>
      </c>
      <c r="CD575" s="60" t="str">
        <f aca="false">IF(AND(Parameter!$B$19="Ja",E575&lt;&gt;"",ISNUMBER(MATCH(E575,Parameter!$I$35:$I$52,0))),VLOOKUP(E575,Parameter!$I$35:$J$52,2,0),IFERROR(VLOOKUP(D575,Parameter!$A$35:$C$64,2,0),"Nein"))</f>
        <v>2+3</v>
      </c>
      <c r="CE575" s="64" t="n">
        <f aca="false">IF(CA575=0,0,IF(N(S575)&gt;0,S575,IFERROR(VLOOKUP(D575,Parameter!$A$35:$C$64,3,0)+0,0)))</f>
        <v>0</v>
      </c>
      <c r="CF575" s="60" t="n">
        <f aca="false">IF(AB575&lt;&gt;"",AB575,AA575)</f>
        <v>3</v>
      </c>
      <c r="CG575" s="60" t="str">
        <f aca="false">IF(OR(CF575=1,CF575=2,CF575=3),IF(Parameter!$E$27="Ja","LIFT",IF(CF575=1,"L1","L23")),IF(CF575="Aussen","Aussen","-"))</f>
        <v>LIFT</v>
      </c>
      <c r="CH575" s="71" t="n">
        <f aca="false">IF(N(AC575)&gt;0,AC575,0)</f>
        <v>0</v>
      </c>
      <c r="CI575" s="65" t="n">
        <f aca="false">IF(ISNUMBER(AF575),1,0)</f>
        <v>0</v>
      </c>
      <c r="CJ575" s="62" t="n">
        <f aca="false">N(AF575)</f>
        <v>0</v>
      </c>
      <c r="CK575" s="62" t="n">
        <f aca="false">N(M575)+N(N575)</f>
        <v>1</v>
      </c>
      <c r="CL575" s="62" t="n">
        <f aca="false">N(M575)</f>
        <v>0</v>
      </c>
      <c r="CM575" s="62" t="n">
        <f aca="false">N(N575)</f>
        <v>1</v>
      </c>
      <c r="CN575" s="62" t="n">
        <f aca="false">ROUNDUP(H575/BZ575,0)</f>
        <v>2</v>
      </c>
      <c r="CO575" s="62" t="n">
        <f aca="false">ROUNDUP(CJ575/BZ575,0)</f>
        <v>0</v>
      </c>
      <c r="CP575" s="65" t="n">
        <f aca="false">IF(CA575=1,0,IFERROR(VLOOKUP(BY575,'Gebinde-Kategorie'!$A$5:$N$45,5,0)+0,0))</f>
        <v>8</v>
      </c>
      <c r="CQ575" s="65" t="n">
        <f aca="false">IFERROR(IF(OR(CF575=1,CF575=2,CF575=3),N(INDEX(Parameter!$I$5:$I$7,CF575)),0),0)</f>
        <v>0</v>
      </c>
      <c r="CR575" s="64" t="n">
        <f aca="false">IF(AND(Parameter!$B$21="Ja",ISNUMBER(W575),N(X575)&gt;0),IFERROR(N(INDEX(Parameter!$L$5:$L$7,W575))*INDEX(Parameter!$E$5:$E$7,W575)*X575/SUMIFS($X$7:$X$1843,$W$7:$W$1843,W575),0),0)</f>
        <v>0</v>
      </c>
      <c r="CS575" s="62" t="n">
        <f aca="false">IF(AND(OR(CG575="L1",CG575="L23",CG575="LIFT"),H575&gt;0),CC575*IF(CR575&gt;0,CR575*MAX(1,H575/X575),IF(CA575=1,CE575,IF(R575&gt;0,CN575/R575,0))/MAX(0.1,N(Parameter!$M$21))),"")</f>
        <v>2.98076923076923</v>
      </c>
      <c r="CT575" s="64" t="n">
        <f aca="false">IF(CS575="","",J575/H575)</f>
        <v>0</v>
      </c>
      <c r="CU575" s="62" t="n">
        <f aca="false">IF(CS575="","",H575*G575)</f>
        <v>56</v>
      </c>
      <c r="CV575" s="63" t="n">
        <f aca="false">IF(CS575="","",(CL575+ROUNDUP(CL575+MAX(CM575,2*(J575/MAX(0.1,N(Einkauf!$C$6))-CL575)),0))/2)</f>
        <v>0.5</v>
      </c>
      <c r="CW575" s="62" t="n">
        <f aca="false">IF(CS575="","",MAX(0,H575-CV575)*G575)</f>
        <v>54.6</v>
      </c>
      <c r="CX575" s="62" t="n">
        <f aca="false">IF(CS575="","",CS575*MAX(0,1-CV575/H575))</f>
        <v>2.90625</v>
      </c>
      <c r="CY575" s="64" t="n">
        <f aca="false">IF(CS575="","",PERCENTRANK($CS$7:$CS$1843,CS575)+PERCENTRANK($CU$7:$CU$1843,CU575)+1-PERCENTRANK($CT$7:$CT$1843,CT575))</f>
        <v>1.372</v>
      </c>
      <c r="CZ575" s="72" t="n">
        <f aca="false">IF(CS575="","",CHOOSE(MATCH(Einkauf!$C$5,Parameter!$G$23:$G$27,0),CY575,CS575,CU575,-CT575,CW575)+ROW()/1000000000)</f>
        <v>1.372000575</v>
      </c>
    </row>
    <row r="576" customFormat="false" ht="15" hidden="false" customHeight="false" outlineLevel="0" collapsed="false">
      <c r="A576" s="60" t="s">
        <v>1254</v>
      </c>
      <c r="B576" s="60" t="s">
        <v>785</v>
      </c>
      <c r="C576" s="60" t="s">
        <v>206</v>
      </c>
      <c r="D576" s="60" t="s">
        <v>226</v>
      </c>
      <c r="E576" s="60" t="s">
        <v>227</v>
      </c>
      <c r="F576" s="60" t="s">
        <v>260</v>
      </c>
      <c r="G576" s="61" t="n">
        <v>35.51</v>
      </c>
      <c r="H576" s="62" t="n">
        <f aca="false">MAX(0,IF(AND(Parameter!$B$21="Ja",ISNUMBER(Y576)),Y576,IF(Parameter!$B$20="Jahresanfang 2025 + Export",BS576+BR576,BR576)))</f>
        <v>22</v>
      </c>
      <c r="I576" s="62" t="n">
        <f aca="false">H576*G576</f>
        <v>781.22</v>
      </c>
      <c r="J576" s="62" t="n">
        <f aca="false">BU576*Parameter!$B$18</f>
        <v>29</v>
      </c>
      <c r="K576" s="63" t="n">
        <v>25.5</v>
      </c>
      <c r="L576" s="64" t="n">
        <v>1.13725490196078</v>
      </c>
      <c r="M576" s="62" t="n">
        <v>2</v>
      </c>
      <c r="N576" s="62" t="n">
        <v>30</v>
      </c>
      <c r="O576" s="65" t="n">
        <v>28</v>
      </c>
      <c r="P576" s="60" t="s">
        <v>275</v>
      </c>
      <c r="Q576" s="62" t="n">
        <v>30</v>
      </c>
      <c r="R576" s="65" t="n">
        <f aca="false">IF(CA576=1,0,IFERROR(VLOOKUP(BY576,'Gebinde-Kategorie'!$A$5:$N$45,13,0)+0,0))</f>
        <v>26</v>
      </c>
      <c r="S576" s="66"/>
      <c r="T576" s="67"/>
      <c r="U576" s="67"/>
      <c r="V576" s="67"/>
      <c r="W576" s="60"/>
      <c r="X576" s="62"/>
      <c r="Y576" s="62"/>
      <c r="Z576" s="60" t="n">
        <v>3</v>
      </c>
      <c r="AA576" s="60" t="n">
        <f aca="false">IF(A576="","",IF(AND(Parameter!$B$21="Ja",ISNUMBER(W576)),W576,IF(AND(Parameter!$E$27="Ja",ISNUMBER(Z576),CD576&lt;&gt;"Nein"),Z576,IF(CD576="2+3",IF(ISNUMBER(SEARCH("grosser Artikel",BV576)),2,IFERROR(VLOOKUP(BY576,Parameter!$F$35:$G$64,2,0),2)),IF(OR(CD576="Nein",CD576=""),"-",CD576)))))</f>
        <v>3</v>
      </c>
      <c r="AB576" s="67"/>
      <c r="AC576" s="68"/>
      <c r="AD576" s="62" t="n">
        <f aca="false">AW576</f>
        <v>32</v>
      </c>
      <c r="AE576" s="62" t="n">
        <f aca="false">MAX(AW576,H576)</f>
        <v>32</v>
      </c>
      <c r="AF576" s="69"/>
      <c r="AG576" s="62" t="n">
        <f aca="false">IF(LEFT(Cockpit!$C$5,1)="A",H576,IF(Parameter!$E$30="MAX-Bestand",IF(CI576=1,CJ576,IF(LEFT(Cockpit!$C$5,1)="B",AM576,MAX(AM576,H576))),ROUNDUP(AK576,0)))</f>
        <v>22</v>
      </c>
      <c r="AH576" s="62" t="n">
        <f aca="false">IF(CA576=1,0,ROUNDUP(AG576/BZ576,0))</f>
        <v>1</v>
      </c>
      <c r="AI576" s="64" t="n">
        <f aca="false">IF(CR576&gt;0,CR576*MAX(1,AG576/X576),IF(CA576=1,IF(AG576&lt;=0,0,CE576*MAX(1,IF(H576&gt;0,AG576/H576,1))),IF(R576&gt;0,AH576/R576,0))/MAX(0.1,N(Parameter!$M$21)))</f>
        <v>0.0384615384615385</v>
      </c>
      <c r="AJ576" s="62" t="n">
        <f aca="false">AI576*CC576</f>
        <v>9.42307692307692</v>
      </c>
      <c r="AK576" s="63" t="n">
        <f aca="false">IF(LEFT(Cockpit!$C$5,1)="A",H576,IF(CI576=1,(CL576+CJ576)/2,IF(LEFT(Cockpit!$C$5,1)="B",(CL576+AM576)/2,MAX((CL576+AM576)/2,H576))))</f>
        <v>22</v>
      </c>
      <c r="AL576" s="62" t="n">
        <f aca="false">AK576*G576</f>
        <v>781.22</v>
      </c>
      <c r="AM576" s="62" t="n">
        <f aca="false">ROUNDUP(CL576+MAX(CM576,2*(J576/IF(CH576&gt;0,CH576,MAX(0.1,N(Cockpit!$C$6)))-CL576)),0)</f>
        <v>32</v>
      </c>
      <c r="AN576" s="63" t="n">
        <f aca="false">IF(AJ576&gt;0,J576/AJ576,-1)</f>
        <v>3.07755102040816</v>
      </c>
      <c r="AO576" s="63" t="n">
        <f aca="false">IF(AND(OR(CG576="L1",CG576="L23",CG576="LIFT"),AJ576&gt;0),SUMIFS($AJ$7:$AJ$1843,$CG$7:$CG$1843,CG576,$AN$7:$AN$1843,"&gt;"&amp;AN576)+SUMIFS($AJ$7:$AJ$1843,$CG$7:$CG$1843,CG576,$AN$7:$AN$1843,AN576,$BX$7:$BX$1843,"&lt;="&amp;BX576),"")</f>
        <v>5003.3923992674</v>
      </c>
      <c r="AP576" s="70" t="n">
        <f aca="false">IF(AO576="",0,MAX(0,MIN(1,(IF(CG576="L1",Parameter!$H$5,IF(CG576="L23",Parameter!$H$6+Parameter!$H$7,Parameter!$H$5+Parameter!$H$6+Parameter!$H$7))-(AO576-AJ576))/AJ576)))</f>
        <v>1</v>
      </c>
      <c r="AQ576" s="62" t="n">
        <f aca="false">IF(LEFT(Cockpit!$I$5,1)="A",H576,IF(Parameter!$E$30="MAX-Bestand",IF(CI576=1,CJ576,IF(LEFT(Cockpit!$I$5,1)="B",AW576,MAX(AW576,H576))),ROUNDUP(AU576,0)))</f>
        <v>22</v>
      </c>
      <c r="AR576" s="62" t="n">
        <f aca="false">IF(CA576=1,0,ROUNDUP(AQ576/BZ576,0))</f>
        <v>1</v>
      </c>
      <c r="AS576" s="64" t="n">
        <f aca="false">IF(CR576&gt;0,CR576*MAX(1,AQ576/X576),IF(CA576=1,IF(AQ576&lt;=0,0,CE576*MAX(1,IF(H576&gt;0,AQ576/H576,1))),IF(R576&gt;0,AR576/R576,0))/MAX(0.1,N(Parameter!$M$21)))</f>
        <v>0.0384615384615385</v>
      </c>
      <c r="AT576" s="62" t="n">
        <f aca="false">AS576*CC576</f>
        <v>9.42307692307692</v>
      </c>
      <c r="AU576" s="63" t="n">
        <f aca="false">IF(LEFT(Cockpit!$I$5,1)="A",H576,IF(CI576=1,(CL576+CJ576)/2,IF(LEFT(Cockpit!$I$5,1)="B",(CL576+AW576)/2,MAX((CL576+AW576)/2,H576))))</f>
        <v>22</v>
      </c>
      <c r="AV576" s="62" t="n">
        <f aca="false">AU576*G576</f>
        <v>781.22</v>
      </c>
      <c r="AW576" s="62" t="n">
        <f aca="false">ROUNDUP(CL576+MAX(CM576,2*(J576/IF(CH576&gt;0,CH576,MAX(0.1,N(Cockpit!$I$6)))-CL576)),0)</f>
        <v>32</v>
      </c>
      <c r="AX576" s="63" t="n">
        <f aca="false">IF(AT576&gt;0,J576/AT576,-1)</f>
        <v>3.07755102040816</v>
      </c>
      <c r="AY576" s="63" t="n">
        <f aca="false">IF(AND(OR(CG576="L1",CG576="L23",CG576="LIFT"),AT576&gt;0),SUMIFS($AT$7:$AT$1843,$CG$7:$CG$1843,CG576,$AX$7:$AX$1843,"&gt;"&amp;AX576)+SUMIFS($AT$7:$AT$1843,$CG$7:$CG$1843,CG576,$AX$7:$AX$1843,AX576,$BX$7:$BX$1843,"&lt;="&amp;BX576),"")</f>
        <v>5759.44093406593</v>
      </c>
      <c r="AZ576" s="70" t="n">
        <f aca="false">IF(AY576="",0,MAX(0,MIN(1,(IF(CG576="L1",Parameter!$H$5,IF(CG576="L23",Parameter!$H$6+Parameter!$H$7,Parameter!$H$5+Parameter!$H$6+Parameter!$H$7))-(AY576-AT576))/AT576)))</f>
        <v>1</v>
      </c>
      <c r="BA576" s="62" t="n">
        <f aca="false">IF(LEFT(Cockpit!$O$5,1)="A",H576,IF(Parameter!$E$30="MAX-Bestand",IF(CI576=1,CJ576,IF(LEFT(Cockpit!$O$5,1)="B",BG576,MAX(BG576,H576))),ROUNDUP(BE576,0)))</f>
        <v>17</v>
      </c>
      <c r="BB576" s="62" t="n">
        <f aca="false">IF(CA576=1,0,ROUNDUP(BA576/BZ576,0))</f>
        <v>1</v>
      </c>
      <c r="BC576" s="64" t="n">
        <f aca="false">IF(CR576&gt;0,CR576*MAX(1,BA576/X576),IF(CA576=1,IF(BA576&lt;=0,0,CE576*MAX(1,IF(H576&gt;0,BA576/H576,1))),IF(R576&gt;0,BB576/R576,0))/MAX(0.1,N(Parameter!$M$21)))</f>
        <v>0.0384615384615385</v>
      </c>
      <c r="BD576" s="62" t="n">
        <f aca="false">BC576*CC576</f>
        <v>9.42307692307692</v>
      </c>
      <c r="BE576" s="63" t="n">
        <f aca="false">IF(LEFT(Cockpit!$O$5,1)="A",H576,IF(CI576=1,(CL576+CJ576)/2,IF(LEFT(Cockpit!$O$5,1)="B",(CL576+BG576)/2,MAX((CL576+BG576)/2,H576))))</f>
        <v>17</v>
      </c>
      <c r="BF576" s="62" t="n">
        <f aca="false">BE576*G576</f>
        <v>603.67</v>
      </c>
      <c r="BG576" s="62" t="n">
        <f aca="false">ROUNDUP(CL576+MAX(CM576,2*(J576/IF(CH576&gt;0,CH576,MAX(0.1,N(Cockpit!$O$6)))-CL576)),0)</f>
        <v>32</v>
      </c>
      <c r="BH576" s="63" t="n">
        <f aca="false">IF(BD576&gt;0,J576/BD576,-1)</f>
        <v>3.07755102040816</v>
      </c>
      <c r="BI576" s="63" t="n">
        <f aca="false">IF(AND(OR(CG576="L1",CG576="L23",CG576="LIFT"),BD576&gt;0),SUMIFS($BD$7:$BD$1843,$CG$7:$CG$1843,CG576,$BH$7:$BH$1843,"&gt;"&amp;BH576)+SUMIFS($BD$7:$BD$1843,$CG$7:$CG$1843,CG576,$BH$7:$BH$1843,BH576,$BX$7:$BX$1843,"&lt;="&amp;BX576),"")</f>
        <v>4722.70375457875</v>
      </c>
      <c r="BJ576" s="70" t="n">
        <f aca="false">IF(BI576="",0,MAX(0,MIN(1,(IF(CG576="L1",Parameter!$H$5,IF(CG576="L23",Parameter!$H$6+Parameter!$H$7,Parameter!$H$5+Parameter!$H$6+Parameter!$H$7))-(BI576-BD576))/BD576)))</f>
        <v>1</v>
      </c>
      <c r="BK576" s="60" t="str">
        <f aca="false">IF(AJ576&lt;=0,"",IF(CG576="Aussen","Aussenlager",IF(CG576="-","Nicht im Lift",IF(AP576&gt;=1,"Lift",IF(AP576&lt;=0,"Aussenlager","teilweise")))))</f>
        <v>Lift</v>
      </c>
      <c r="BL576" s="60" t="str">
        <f aca="false">IF(AT576&lt;=0,"",IF(CG576="Aussen","Aussenlager",IF(CG576="-","Nicht im Lift",IF(AZ576&gt;=1,"Lift",IF(AZ576&lt;=0,"Aussenlager","teilweise")))))</f>
        <v>Lift</v>
      </c>
      <c r="BM576" s="60" t="str">
        <f aca="false">IF(BD576&lt;=0,"",IF(CG576="Aussen","Aussenlager",IF(CG576="-","Nicht im Lift",IF(BJ576&gt;=1,"Lift",IF(BJ576&lt;=0,"Aussenlager","teilweise")))))</f>
        <v>Lift</v>
      </c>
      <c r="BN576" s="60" t="str">
        <f aca="false">IF(A576="","",IF(BW576=1,"Neu; ","")&amp;IF(AND(BW576=0,BR576&lt;0),"negativer Bestand (Export "&amp;BR576&amp;"); ","")&amp;IF(J576&lt;=0,"Kein Verbrauch; ","")&amp;IF(CR576&gt;0,"Lift "&amp;W576&amp;" lt. Liftbericht (Fach "&amp;X576&amp;" Stk); ",IF(CB576=1,"Gebinde geschätzt ("&amp;T576&amp;"); ",IF(CA576=1,"Lose – Tablare geschätzt; ","")))&amp;IF(H576&gt;AW576,"Überbestand "&amp;ROUND(H576-AW576,0)&amp;" Stk / CHF "&amp;ROUND((H576-AW576)*G576,0)&amp;"; ","")&amp;IF(AND(CI576=1,CJ576&lt;CK576),"MAX &lt; MB+LG; ","")&amp;IF(AND(CQ576&gt;0,CP576*10&gt;CQ576),"zu hoch für Tablar; ","")&amp;IF(AND(BW576=0,OR(CI576=1,AB576&lt;&gt;"",U576&lt;&gt;"",V576&lt;&gt;"",AC576&lt;&gt;"")),"manuell übersteuert; ","")&amp;IF(AND(CA576=0,R576=0),"Gebinde unbekannt / Stellmass fehlt; ","")&amp;IF(AND(CA576=0,N(V576)&lt;=0,N(Q576)&lt;=0),"Menge pro Gebinde fehlt (Ist = 1 Gebinde); ","")&amp;BV576)</f>
        <v/>
      </c>
      <c r="BO576" s="60"/>
      <c r="BP576" s="60"/>
      <c r="BQ576" s="67"/>
      <c r="BR576" s="62" t="n">
        <v>2</v>
      </c>
      <c r="BS576" s="62" t="n">
        <v>20</v>
      </c>
      <c r="BT576" s="61" t="n">
        <v>10.0200000000007</v>
      </c>
      <c r="BU576" s="62" t="n">
        <v>29</v>
      </c>
      <c r="BV576" s="60"/>
      <c r="BW576" s="65" t="n">
        <v>0</v>
      </c>
      <c r="BX576" s="65" t="n">
        <v>576</v>
      </c>
      <c r="BY576" s="60" t="str">
        <f aca="false">IF(U576&lt;&gt;"",UPPER(TRIM(U576)),IF(CB576=1,UPPER(VLOOKUP(T576,Parameter!$I$27:$K$29,2,0)),IF(P576="","LOSE",P576)))</f>
        <v>S52</v>
      </c>
      <c r="BZ576" s="62" t="n">
        <f aca="false">IF(BY576="LOSE",1,IF(N(V576)&gt;0,V576,IF(CB576=1,MAX(1,N(VLOOKUP(T576,Parameter!$I$27:$K$29,3,0)),H576,N(N576)),IF(N(Q576)&gt;0,Q576,MAX(1,H576)))))</f>
        <v>30</v>
      </c>
      <c r="CA576" s="65" t="n">
        <f aca="false">IF(BY576="LOSE",1,0)</f>
        <v>0</v>
      </c>
      <c r="CB576" s="65" t="n">
        <f aca="false">IF(AND(U576="",OR(P576="",P576="LOSE"),T576&lt;&gt;"",N(S576)&lt;=0,ISNUMBER(MATCH(T576,Parameter!$I$27:$I$29,0))),1,0)</f>
        <v>0</v>
      </c>
      <c r="CC576" s="65" t="n">
        <f aca="false">IF(CR576&gt;0,INDEX(Parameter!$H$5:$H$7,W576)/INDEX(Parameter!$E$5:$E$7,W576),IF(AND(CA576=0,N(IFERROR(VLOOKUP(BY576,'Gebinde-Kategorie'!$A$5:$N$45,14,0),0))&gt;0),VLOOKUP(BY576,'Gebinde-Kategorie'!$A$5:$N$45,14,0)*10+Parameter!$M$23,Parameter!$M$24))</f>
        <v>245</v>
      </c>
      <c r="CD576" s="60" t="str">
        <f aca="false">IF(AND(Parameter!$B$19="Ja",E576&lt;&gt;"",ISNUMBER(MATCH(E576,Parameter!$I$35:$I$52,0))),VLOOKUP(E576,Parameter!$I$35:$J$52,2,0),IFERROR(VLOOKUP(D576,Parameter!$A$35:$C$64,2,0),"Nein"))</f>
        <v>2+3</v>
      </c>
      <c r="CE576" s="64" t="n">
        <f aca="false">IF(CA576=0,0,IF(N(S576)&gt;0,S576,IFERROR(VLOOKUP(D576,Parameter!$A$35:$C$64,3,0)+0,0)))</f>
        <v>0</v>
      </c>
      <c r="CF576" s="60" t="n">
        <f aca="false">IF(AB576&lt;&gt;"",AB576,AA576)</f>
        <v>3</v>
      </c>
      <c r="CG576" s="60" t="str">
        <f aca="false">IF(OR(CF576=1,CF576=2,CF576=3),IF(Parameter!$E$27="Ja","LIFT",IF(CF576=1,"L1","L23")),IF(CF576="Aussen","Aussen","-"))</f>
        <v>LIFT</v>
      </c>
      <c r="CH576" s="71" t="n">
        <f aca="false">IF(N(AC576)&gt;0,AC576,0)</f>
        <v>0</v>
      </c>
      <c r="CI576" s="65" t="n">
        <f aca="false">IF(ISNUMBER(AF576),1,0)</f>
        <v>0</v>
      </c>
      <c r="CJ576" s="62" t="n">
        <f aca="false">N(AF576)</f>
        <v>0</v>
      </c>
      <c r="CK576" s="62" t="n">
        <f aca="false">N(M576)+N(N576)</f>
        <v>32</v>
      </c>
      <c r="CL576" s="62" t="n">
        <f aca="false">N(M576)</f>
        <v>2</v>
      </c>
      <c r="CM576" s="62" t="n">
        <f aca="false">N(N576)</f>
        <v>30</v>
      </c>
      <c r="CN576" s="62" t="n">
        <f aca="false">ROUNDUP(H576/BZ576,0)</f>
        <v>1</v>
      </c>
      <c r="CO576" s="62" t="n">
        <f aca="false">ROUNDUP(CJ576/BZ576,0)</f>
        <v>0</v>
      </c>
      <c r="CP576" s="65" t="n">
        <f aca="false">IF(CA576=1,0,IFERROR(VLOOKUP(BY576,'Gebinde-Kategorie'!$A$5:$N$45,5,0)+0,0))</f>
        <v>21</v>
      </c>
      <c r="CQ576" s="65" t="n">
        <f aca="false">IFERROR(IF(OR(CF576=1,CF576=2,CF576=3),N(INDEX(Parameter!$I$5:$I$7,CF576)),0),0)</f>
        <v>0</v>
      </c>
      <c r="CR576" s="64" t="n">
        <f aca="false">IF(AND(Parameter!$B$21="Ja",ISNUMBER(W576),N(X576)&gt;0),IFERROR(N(INDEX(Parameter!$L$5:$L$7,W576))*INDEX(Parameter!$E$5:$E$7,W576)*X576/SUMIFS($X$7:$X$1843,$W$7:$W$1843,W576),0),0)</f>
        <v>0</v>
      </c>
      <c r="CS576" s="62" t="n">
        <f aca="false">IF(AND(OR(CG576="L1",CG576="L23",CG576="LIFT"),H576&gt;0),CC576*IF(CR576&gt;0,CR576*MAX(1,H576/X576),IF(CA576=1,CE576,IF(R576&gt;0,CN576/R576,0))/MAX(0.1,N(Parameter!$M$21))),"")</f>
        <v>9.42307692307692</v>
      </c>
      <c r="CT576" s="64" t="n">
        <f aca="false">IF(CS576="","",J576/H576)</f>
        <v>1.31818181818182</v>
      </c>
      <c r="CU576" s="62" t="n">
        <f aca="false">IF(CS576="","",H576*G576)</f>
        <v>781.22</v>
      </c>
      <c r="CV576" s="63" t="n">
        <f aca="false">IF(CS576="","",(CL576+ROUNDUP(CL576+MAX(CM576,2*(J576/MAX(0.1,N(Einkauf!$C$6))-CL576)),0))/2)</f>
        <v>17</v>
      </c>
      <c r="CW576" s="62" t="n">
        <f aca="false">IF(CS576="","",MAX(0,H576-CV576)*G576)</f>
        <v>177.55</v>
      </c>
      <c r="CX576" s="62" t="n">
        <f aca="false">IF(CS576="","",CS576*MAX(0,1-CV576/H576))</f>
        <v>2.14160839160839</v>
      </c>
      <c r="CY576" s="64" t="n">
        <f aca="false">IF(CS576="","",PERCENTRANK($CS$7:$CS$1843,CS576)+PERCENTRANK($CU$7:$CU$1843,CU576)+1-PERCENTRANK($CT$7:$CT$1843,CT576))</f>
        <v>1.44</v>
      </c>
      <c r="CZ576" s="72" t="n">
        <f aca="false">IF(CS576="","",CHOOSE(MATCH(Einkauf!$C$5,Parameter!$G$23:$G$27,0),CY576,CS576,CU576,-CT576,CW576)+ROW()/1000000000)</f>
        <v>1.440000576</v>
      </c>
    </row>
    <row r="577" customFormat="false" ht="15" hidden="false" customHeight="false" outlineLevel="0" collapsed="false">
      <c r="A577" s="60" t="s">
        <v>1255</v>
      </c>
      <c r="B577" s="60" t="s">
        <v>1256</v>
      </c>
      <c r="C577" s="60" t="s">
        <v>206</v>
      </c>
      <c r="D577" s="60" t="s">
        <v>226</v>
      </c>
      <c r="E577" s="60" t="s">
        <v>227</v>
      </c>
      <c r="F577" s="60" t="s">
        <v>260</v>
      </c>
      <c r="G577" s="61" t="n">
        <v>0.05</v>
      </c>
      <c r="H577" s="62" t="n">
        <f aca="false">MAX(0,IF(AND(Parameter!$B$21="Ja",ISNUMBER(Y577)),Y577,IF(Parameter!$B$20="Jahresanfang 2025 + Export",BS577+BR577,BR577)))</f>
        <v>791</v>
      </c>
      <c r="I577" s="62" t="n">
        <f aca="false">H577*G577</f>
        <v>39.55</v>
      </c>
      <c r="J577" s="62" t="n">
        <f aca="false">BU577*Parameter!$B$18</f>
        <v>670</v>
      </c>
      <c r="K577" s="63" t="n">
        <v>867</v>
      </c>
      <c r="L577" s="64" t="n">
        <v>0.77277970011534</v>
      </c>
      <c r="M577" s="62" t="n">
        <v>52</v>
      </c>
      <c r="N577" s="62" t="n">
        <v>670</v>
      </c>
      <c r="O577" s="65" t="n">
        <v>28</v>
      </c>
      <c r="P577" s="60" t="s">
        <v>443</v>
      </c>
      <c r="Q577" s="62" t="n">
        <v>773</v>
      </c>
      <c r="R577" s="65" t="n">
        <f aca="false">IF(CA577=1,0,IFERROR(VLOOKUP(BY577,'Gebinde-Kategorie'!$A$5:$N$45,13,0)+0,0))</f>
        <v>280</v>
      </c>
      <c r="S577" s="66"/>
      <c r="T577" s="67"/>
      <c r="U577" s="67"/>
      <c r="V577" s="67"/>
      <c r="W577" s="60"/>
      <c r="X577" s="62"/>
      <c r="Y577" s="62"/>
      <c r="Z577" s="60" t="n">
        <v>1</v>
      </c>
      <c r="AA577" s="60" t="n">
        <f aca="false">IF(A577="","",IF(AND(Parameter!$B$21="Ja",ISNUMBER(W577)),W577,IF(AND(Parameter!$E$27="Ja",ISNUMBER(Z577),CD577&lt;&gt;"Nein"),Z577,IF(CD577="2+3",IF(ISNUMBER(SEARCH("grosser Artikel",BV577)),2,IFERROR(VLOOKUP(BY577,Parameter!$F$35:$G$64,2,0),2)),IF(OR(CD577="Nein",CD577=""),"-",CD577)))))</f>
        <v>1</v>
      </c>
      <c r="AB577" s="67"/>
      <c r="AC577" s="68"/>
      <c r="AD577" s="62" t="n">
        <f aca="false">AW577</f>
        <v>722</v>
      </c>
      <c r="AE577" s="62" t="n">
        <f aca="false">MAX(AW577,H577)</f>
        <v>791</v>
      </c>
      <c r="AF577" s="69"/>
      <c r="AG577" s="62" t="n">
        <f aca="false">IF(LEFT(Cockpit!$C$5,1)="A",H577,IF(Parameter!$E$30="MAX-Bestand",IF(CI577=1,CJ577,IF(LEFT(Cockpit!$C$5,1)="B",AM577,MAX(AM577,H577))),ROUNDUP(AK577,0)))</f>
        <v>791</v>
      </c>
      <c r="AH577" s="62" t="n">
        <f aca="false">IF(CA577=1,0,ROUNDUP(AG577/BZ577,0))</f>
        <v>2</v>
      </c>
      <c r="AI577" s="64" t="n">
        <f aca="false">IF(CR577&gt;0,CR577*MAX(1,AG577/X577),IF(CA577=1,IF(AG577&lt;=0,0,CE577*MAX(1,IF(H577&gt;0,AG577/H577,1))),IF(R577&gt;0,AH577/R577,0))/MAX(0.1,N(Parameter!$M$21)))</f>
        <v>0.00714285714285714</v>
      </c>
      <c r="AJ577" s="62" t="n">
        <f aca="false">AI577*CC577</f>
        <v>1.10714285714286</v>
      </c>
      <c r="AK577" s="63" t="n">
        <f aca="false">IF(LEFT(Cockpit!$C$5,1)="A",H577,IF(CI577=1,(CL577+CJ577)/2,IF(LEFT(Cockpit!$C$5,1)="B",(CL577+AM577)/2,MAX((CL577+AM577)/2,H577))))</f>
        <v>791</v>
      </c>
      <c r="AL577" s="62" t="n">
        <f aca="false">AK577*G577</f>
        <v>39.55</v>
      </c>
      <c r="AM577" s="62" t="n">
        <f aca="false">ROUNDUP(CL577+MAX(CM577,2*(J577/IF(CH577&gt;0,CH577,MAX(0.1,N(Cockpit!$C$6)))-CL577)),0)</f>
        <v>722</v>
      </c>
      <c r="AN577" s="63" t="n">
        <f aca="false">IF(AJ577&gt;0,J577/AJ577,-1)</f>
        <v>605.161290322581</v>
      </c>
      <c r="AO577" s="63" t="n">
        <f aca="false">IF(AND(OR(CG577="L1",CG577="L23",CG577="LIFT"),AJ577&gt;0),SUMIFS($AJ$7:$AJ$1843,$CG$7:$CG$1843,CG577,$AN$7:$AN$1843,"&gt;"&amp;AN577)+SUMIFS($AJ$7:$AJ$1843,$CG$7:$CG$1843,CG577,$AN$7:$AN$1843,AN577,$BX$7:$BX$1843,"&lt;="&amp;BX577),"")</f>
        <v>36.9739010989011</v>
      </c>
      <c r="AP577" s="70" t="n">
        <f aca="false">IF(AO577="",0,MAX(0,MIN(1,(IF(CG577="L1",Parameter!$H$5,IF(CG577="L23",Parameter!$H$6+Parameter!$H$7,Parameter!$H$5+Parameter!$H$6+Parameter!$H$7))-(AO577-AJ577))/AJ577)))</f>
        <v>1</v>
      </c>
      <c r="AQ577" s="62" t="n">
        <f aca="false">IF(LEFT(Cockpit!$I$5,1)="A",H577,IF(Parameter!$E$30="MAX-Bestand",IF(CI577=1,CJ577,IF(LEFT(Cockpit!$I$5,1)="B",AW577,MAX(AW577,H577))),ROUNDUP(AU577,0)))</f>
        <v>791</v>
      </c>
      <c r="AR577" s="62" t="n">
        <f aca="false">IF(CA577=1,0,ROUNDUP(AQ577/BZ577,0))</f>
        <v>2</v>
      </c>
      <c r="AS577" s="64" t="n">
        <f aca="false">IF(CR577&gt;0,CR577*MAX(1,AQ577/X577),IF(CA577=1,IF(AQ577&lt;=0,0,CE577*MAX(1,IF(H577&gt;0,AQ577/H577,1))),IF(R577&gt;0,AR577/R577,0))/MAX(0.1,N(Parameter!$M$21)))</f>
        <v>0.00714285714285714</v>
      </c>
      <c r="AT577" s="62" t="n">
        <f aca="false">AS577*CC577</f>
        <v>1.10714285714286</v>
      </c>
      <c r="AU577" s="63" t="n">
        <f aca="false">IF(LEFT(Cockpit!$I$5,1)="A",H577,IF(CI577=1,(CL577+CJ577)/2,IF(LEFT(Cockpit!$I$5,1)="B",(CL577+AW577)/2,MAX((CL577+AW577)/2,H577))))</f>
        <v>791</v>
      </c>
      <c r="AV577" s="62" t="n">
        <f aca="false">AU577*G577</f>
        <v>39.55</v>
      </c>
      <c r="AW577" s="62" t="n">
        <f aca="false">ROUNDUP(CL577+MAX(CM577,2*(J577/IF(CH577&gt;0,CH577,MAX(0.1,N(Cockpit!$I$6)))-CL577)),0)</f>
        <v>722</v>
      </c>
      <c r="AX577" s="63" t="n">
        <f aca="false">IF(AT577&gt;0,J577/AT577,-1)</f>
        <v>605.161290322581</v>
      </c>
      <c r="AY577" s="63" t="n">
        <f aca="false">IF(AND(OR(CG577="L1",CG577="L23",CG577="LIFT"),AT577&gt;0),SUMIFS($AT$7:$AT$1843,$CG$7:$CG$1843,CG577,$AX$7:$AX$1843,"&gt;"&amp;AX577)+SUMIFS($AT$7:$AT$1843,$CG$7:$CG$1843,CG577,$AX$7:$AX$1843,AX577,$BX$7:$BX$1843,"&lt;="&amp;BX577),"")</f>
        <v>29.978021978022</v>
      </c>
      <c r="AZ577" s="70" t="n">
        <f aca="false">IF(AY577="",0,MAX(0,MIN(1,(IF(CG577="L1",Parameter!$H$5,IF(CG577="L23",Parameter!$H$6+Parameter!$H$7,Parameter!$H$5+Parameter!$H$6+Parameter!$H$7))-(AY577-AT577))/AT577)))</f>
        <v>1</v>
      </c>
      <c r="BA577" s="62" t="n">
        <f aca="false">IF(LEFT(Cockpit!$O$5,1)="A",H577,IF(Parameter!$E$30="MAX-Bestand",IF(CI577=1,CJ577,IF(LEFT(Cockpit!$O$5,1)="B",BG577,MAX(BG577,H577))),ROUNDUP(BE577,0)))</f>
        <v>387</v>
      </c>
      <c r="BB577" s="62" t="n">
        <f aca="false">IF(CA577=1,0,ROUNDUP(BA577/BZ577,0))</f>
        <v>1</v>
      </c>
      <c r="BC577" s="64" t="n">
        <f aca="false">IF(CR577&gt;0,CR577*MAX(1,BA577/X577),IF(CA577=1,IF(BA577&lt;=0,0,CE577*MAX(1,IF(H577&gt;0,BA577/H577,1))),IF(R577&gt;0,BB577/R577,0))/MAX(0.1,N(Parameter!$M$21)))</f>
        <v>0.00357142857142857</v>
      </c>
      <c r="BD577" s="62" t="n">
        <f aca="false">BC577*CC577</f>
        <v>0.553571428571429</v>
      </c>
      <c r="BE577" s="63" t="n">
        <f aca="false">IF(LEFT(Cockpit!$O$5,1)="A",H577,IF(CI577=1,(CL577+CJ577)/2,IF(LEFT(Cockpit!$O$5,1)="B",(CL577+BG577)/2,MAX((CL577+BG577)/2,H577))))</f>
        <v>387</v>
      </c>
      <c r="BF577" s="62" t="n">
        <f aca="false">BE577*G577</f>
        <v>19.35</v>
      </c>
      <c r="BG577" s="62" t="n">
        <f aca="false">ROUNDUP(CL577+MAX(CM577,2*(J577/IF(CH577&gt;0,CH577,MAX(0.1,N(Cockpit!$O$6)))-CL577)),0)</f>
        <v>722</v>
      </c>
      <c r="BH577" s="63" t="n">
        <f aca="false">IF(BD577&gt;0,J577/BD577,-1)</f>
        <v>1210.32258064516</v>
      </c>
      <c r="BI577" s="63" t="n">
        <f aca="false">IF(AND(OR(CG577="L1",CG577="L23",CG577="LIFT"),BD577&gt;0),SUMIFS($BD$7:$BD$1843,$CG$7:$CG$1843,CG577,$BH$7:$BH$1843,"&gt;"&amp;BH577)+SUMIFS($BD$7:$BD$1843,$CG$7:$CG$1843,CG577,$BH$7:$BH$1843,BH577,$BX$7:$BX$1843,"&lt;="&amp;BX577),"")</f>
        <v>8.00549450549451</v>
      </c>
      <c r="BJ577" s="70" t="n">
        <f aca="false">IF(BI577="",0,MAX(0,MIN(1,(IF(CG577="L1",Parameter!$H$5,IF(CG577="L23",Parameter!$H$6+Parameter!$H$7,Parameter!$H$5+Parameter!$H$6+Parameter!$H$7))-(BI577-BD577))/BD577)))</f>
        <v>1</v>
      </c>
      <c r="BK577" s="60" t="str">
        <f aca="false">IF(AJ577&lt;=0,"",IF(CG577="Aussen","Aussenlager",IF(CG577="-","Nicht im Lift",IF(AP577&gt;=1,"Lift",IF(AP577&lt;=0,"Aussenlager","teilweise")))))</f>
        <v>Lift</v>
      </c>
      <c r="BL577" s="60" t="str">
        <f aca="false">IF(AT577&lt;=0,"",IF(CG577="Aussen","Aussenlager",IF(CG577="-","Nicht im Lift",IF(AZ577&gt;=1,"Lift",IF(AZ577&lt;=0,"Aussenlager","teilweise")))))</f>
        <v>Lift</v>
      </c>
      <c r="BM577" s="60" t="str">
        <f aca="false">IF(BD577&lt;=0,"",IF(CG577="Aussen","Aussenlager",IF(CG577="-","Nicht im Lift",IF(BJ577&gt;=1,"Lift",IF(BJ577&lt;=0,"Aussenlager","teilweise")))))</f>
        <v>Lift</v>
      </c>
      <c r="BN577" s="60" t="str">
        <f aca="false">IF(A577="","",IF(BW577=1,"Neu; ","")&amp;IF(AND(BW577=0,BR577&lt;0),"negativer Bestand (Export "&amp;BR577&amp;"); ","")&amp;IF(J577&lt;=0,"Kein Verbrauch; ","")&amp;IF(CR577&gt;0,"Lift "&amp;W577&amp;" lt. Liftbericht (Fach "&amp;X577&amp;" Stk); ",IF(CB577=1,"Gebinde geschätzt ("&amp;T577&amp;"); ",IF(CA577=1,"Lose – Tablare geschätzt; ","")))&amp;IF(H577&gt;AW577,"Überbestand "&amp;ROUND(H577-AW577,0)&amp;" Stk / CHF "&amp;ROUND((H577-AW577)*G577,0)&amp;"; ","")&amp;IF(AND(CI577=1,CJ577&lt;CK577),"MAX &lt; MB+LG; ","")&amp;IF(AND(CQ577&gt;0,CP577*10&gt;CQ577),"zu hoch für Tablar; ","")&amp;IF(AND(BW577=0,OR(CI577=1,AB577&lt;&gt;"",U577&lt;&gt;"",V577&lt;&gt;"",AC577&lt;&gt;"")),"manuell übersteuert; ","")&amp;IF(AND(CA577=0,R577=0),"Gebinde unbekannt / Stellmass fehlt; ","")&amp;IF(AND(CA577=0,N(V577)&lt;=0,N(Q577)&lt;=0),"Menge pro Gebinde fehlt (Ist = 1 Gebinde); ","")&amp;BV577)</f>
        <v>Überbestand 69 Stk / CHF 3; Handlager</v>
      </c>
      <c r="BO577" s="60"/>
      <c r="BP577" s="60"/>
      <c r="BQ577" s="67"/>
      <c r="BR577" s="62" t="n">
        <v>86</v>
      </c>
      <c r="BS577" s="62" t="n">
        <v>705</v>
      </c>
      <c r="BT577" s="61" t="n">
        <v>10</v>
      </c>
      <c r="BU577" s="62" t="n">
        <v>670</v>
      </c>
      <c r="BV577" s="60" t="s">
        <v>937</v>
      </c>
      <c r="BW577" s="65" t="n">
        <v>0</v>
      </c>
      <c r="BX577" s="65" t="n">
        <v>577</v>
      </c>
      <c r="BY577" s="60" t="str">
        <f aca="false">IF(U577&lt;&gt;"",UPPER(TRIM(U577)),IF(CB577=1,UPPER(VLOOKUP(T577,Parameter!$I$27:$K$29,2,0)),IF(P577="","LOSE",P577)))</f>
        <v>S21</v>
      </c>
      <c r="BZ577" s="62" t="n">
        <f aca="false">IF(BY577="LOSE",1,IF(N(V577)&gt;0,V577,IF(CB577=1,MAX(1,N(VLOOKUP(T577,Parameter!$I$27:$K$29,3,0)),H577,N(N577)),IF(N(Q577)&gt;0,Q577,MAX(1,H577)))))</f>
        <v>773</v>
      </c>
      <c r="CA577" s="65" t="n">
        <f aca="false">IF(BY577="LOSE",1,0)</f>
        <v>0</v>
      </c>
      <c r="CB577" s="65" t="n">
        <f aca="false">IF(AND(U577="",OR(P577="",P577="LOSE"),T577&lt;&gt;"",N(S577)&lt;=0,ISNUMBER(MATCH(T577,Parameter!$I$27:$I$29,0))),1,0)</f>
        <v>0</v>
      </c>
      <c r="CC577" s="65" t="n">
        <f aca="false">IF(CR577&gt;0,INDEX(Parameter!$H$5:$H$7,W577)/INDEX(Parameter!$E$5:$E$7,W577),IF(AND(CA577=0,N(IFERROR(VLOOKUP(BY577,'Gebinde-Kategorie'!$A$5:$N$45,14,0),0))&gt;0),VLOOKUP(BY577,'Gebinde-Kategorie'!$A$5:$N$45,14,0)*10+Parameter!$M$23,Parameter!$M$24))</f>
        <v>155</v>
      </c>
      <c r="CD577" s="60" t="str">
        <f aca="false">IF(AND(Parameter!$B$19="Ja",E577&lt;&gt;"",ISNUMBER(MATCH(E577,Parameter!$I$35:$I$52,0))),VLOOKUP(E577,Parameter!$I$35:$J$52,2,0),IFERROR(VLOOKUP(D577,Parameter!$A$35:$C$64,2,0),"Nein"))</f>
        <v>2+3</v>
      </c>
      <c r="CE577" s="64" t="n">
        <f aca="false">IF(CA577=0,0,IF(N(S577)&gt;0,S577,IFERROR(VLOOKUP(D577,Parameter!$A$35:$C$64,3,0)+0,0)))</f>
        <v>0</v>
      </c>
      <c r="CF577" s="60" t="n">
        <f aca="false">IF(AB577&lt;&gt;"",AB577,AA577)</f>
        <v>1</v>
      </c>
      <c r="CG577" s="60" t="str">
        <f aca="false">IF(OR(CF577=1,CF577=2,CF577=3),IF(Parameter!$E$27="Ja","LIFT",IF(CF577=1,"L1","L23")),IF(CF577="Aussen","Aussen","-"))</f>
        <v>LIFT</v>
      </c>
      <c r="CH577" s="71" t="n">
        <f aca="false">IF(N(AC577)&gt;0,AC577,0)</f>
        <v>0</v>
      </c>
      <c r="CI577" s="65" t="n">
        <f aca="false">IF(ISNUMBER(AF577),1,0)</f>
        <v>0</v>
      </c>
      <c r="CJ577" s="62" t="n">
        <f aca="false">N(AF577)</f>
        <v>0</v>
      </c>
      <c r="CK577" s="62" t="n">
        <f aca="false">N(M577)+N(N577)</f>
        <v>722</v>
      </c>
      <c r="CL577" s="62" t="n">
        <f aca="false">N(M577)</f>
        <v>52</v>
      </c>
      <c r="CM577" s="62" t="n">
        <f aca="false">N(N577)</f>
        <v>670</v>
      </c>
      <c r="CN577" s="62" t="n">
        <f aca="false">ROUNDUP(H577/BZ577,0)</f>
        <v>2</v>
      </c>
      <c r="CO577" s="62" t="n">
        <f aca="false">ROUNDUP(CJ577/BZ577,0)</f>
        <v>0</v>
      </c>
      <c r="CP577" s="65" t="n">
        <f aca="false">IF(CA577=1,0,IFERROR(VLOOKUP(BY577,'Gebinde-Kategorie'!$A$5:$N$45,5,0)+0,0))</f>
        <v>8</v>
      </c>
      <c r="CQ577" s="65" t="n">
        <f aca="false">IFERROR(IF(OR(CF577=1,CF577=2,CF577=3),N(INDEX(Parameter!$I$5:$I$7,CF577)),0),0)</f>
        <v>0</v>
      </c>
      <c r="CR577" s="64" t="n">
        <f aca="false">IF(AND(Parameter!$B$21="Ja",ISNUMBER(W577),N(X577)&gt;0),IFERROR(N(INDEX(Parameter!$L$5:$L$7,W577))*INDEX(Parameter!$E$5:$E$7,W577)*X577/SUMIFS($X$7:$X$1843,$W$7:$W$1843,W577),0),0)</f>
        <v>0</v>
      </c>
      <c r="CS577" s="62" t="n">
        <f aca="false">IF(AND(OR(CG577="L1",CG577="L23",CG577="LIFT"),H577&gt;0),CC577*IF(CR577&gt;0,CR577*MAX(1,H577/X577),IF(CA577=1,CE577,IF(R577&gt;0,CN577/R577,0))/MAX(0.1,N(Parameter!$M$21))),"")</f>
        <v>1.10714285714286</v>
      </c>
      <c r="CT577" s="64" t="n">
        <f aca="false">IF(CS577="","",J577/H577)</f>
        <v>0.847029077117573</v>
      </c>
      <c r="CU577" s="62" t="n">
        <f aca="false">IF(CS577="","",H577*G577)</f>
        <v>39.55</v>
      </c>
      <c r="CV577" s="63" t="n">
        <f aca="false">IF(CS577="","",(CL577+ROUNDUP(CL577+MAX(CM577,2*(J577/MAX(0.1,N(Einkauf!$C$6))-CL577)),0))/2)</f>
        <v>387</v>
      </c>
      <c r="CW577" s="62" t="n">
        <f aca="false">IF(CS577="","",MAX(0,H577-CV577)*G577)</f>
        <v>20.2</v>
      </c>
      <c r="CX577" s="62" t="n">
        <f aca="false">IF(CS577="","",CS577*MAX(0,1-CV577/H577))</f>
        <v>0.565468665342243</v>
      </c>
      <c r="CY577" s="64" t="n">
        <f aca="false">IF(CS577="","",PERCENTRANK($CS$7:$CS$1843,CS577)+PERCENTRANK($CU$7:$CU$1843,CU577)+1-PERCENTRANK($CT$7:$CT$1843,CT577))</f>
        <v>0.5814</v>
      </c>
      <c r="CZ577" s="72" t="n">
        <f aca="false">IF(CS577="","",CHOOSE(MATCH(Einkauf!$C$5,Parameter!$G$23:$G$27,0),CY577,CS577,CU577,-CT577,CW577)+ROW()/1000000000)</f>
        <v>0.581400577</v>
      </c>
    </row>
    <row r="578" customFormat="false" ht="15" hidden="false" customHeight="false" outlineLevel="0" collapsed="false">
      <c r="A578" s="60" t="s">
        <v>1257</v>
      </c>
      <c r="B578" s="60" t="s">
        <v>696</v>
      </c>
      <c r="C578" s="60" t="s">
        <v>206</v>
      </c>
      <c r="D578" s="60" t="s">
        <v>226</v>
      </c>
      <c r="E578" s="60"/>
      <c r="F578" s="60" t="s">
        <v>260</v>
      </c>
      <c r="G578" s="61" t="n">
        <v>0.07</v>
      </c>
      <c r="H578" s="62" t="n">
        <f aca="false">MAX(0,IF(AND(Parameter!$B$21="Ja",ISNUMBER(Y578)),Y578,IF(Parameter!$B$20="Jahresanfang 2025 + Export",BS578+BR578,BR578)))</f>
        <v>198</v>
      </c>
      <c r="I578" s="62" t="n">
        <f aca="false">H578*G578</f>
        <v>13.86</v>
      </c>
      <c r="J578" s="62" t="n">
        <f aca="false">BU578*Parameter!$B$18</f>
        <v>140</v>
      </c>
      <c r="K578" s="63" t="n">
        <v>129.5</v>
      </c>
      <c r="L578" s="64" t="n">
        <v>1.08108108108108</v>
      </c>
      <c r="M578" s="62" t="n">
        <v>8</v>
      </c>
      <c r="N578" s="62" t="n">
        <v>200</v>
      </c>
      <c r="O578" s="65" t="n">
        <v>21</v>
      </c>
      <c r="P578" s="60" t="s">
        <v>443</v>
      </c>
      <c r="Q578" s="62" t="n">
        <v>250</v>
      </c>
      <c r="R578" s="65" t="n">
        <f aca="false">IF(CA578=1,0,IFERROR(VLOOKUP(BY578,'Gebinde-Kategorie'!$A$5:$N$45,13,0)+0,0))</f>
        <v>280</v>
      </c>
      <c r="S578" s="66"/>
      <c r="T578" s="67"/>
      <c r="U578" s="67"/>
      <c r="V578" s="67"/>
      <c r="W578" s="60"/>
      <c r="X578" s="62"/>
      <c r="Y578" s="62"/>
      <c r="Z578" s="60" t="n">
        <v>3</v>
      </c>
      <c r="AA578" s="60" t="n">
        <f aca="false">IF(A578="","",IF(AND(Parameter!$B$21="Ja",ISNUMBER(W578)),W578,IF(AND(Parameter!$E$27="Ja",ISNUMBER(Z578),CD578&lt;&gt;"Nein"),Z578,IF(CD578="2+3",IF(ISNUMBER(SEARCH("grosser Artikel",BV578)),2,IFERROR(VLOOKUP(BY578,Parameter!$F$35:$G$64,2,0),2)),IF(OR(CD578="Nein",CD578=""),"-",CD578)))))</f>
        <v>3</v>
      </c>
      <c r="AB578" s="67"/>
      <c r="AC578" s="68"/>
      <c r="AD578" s="62" t="n">
        <f aca="false">AW578</f>
        <v>208</v>
      </c>
      <c r="AE578" s="62" t="n">
        <f aca="false">MAX(AW578,H578)</f>
        <v>208</v>
      </c>
      <c r="AF578" s="69"/>
      <c r="AG578" s="62" t="n">
        <f aca="false">IF(LEFT(Cockpit!$C$5,1)="A",H578,IF(Parameter!$E$30="MAX-Bestand",IF(CI578=1,CJ578,IF(LEFT(Cockpit!$C$5,1)="B",AM578,MAX(AM578,H578))),ROUNDUP(AK578,0)))</f>
        <v>198</v>
      </c>
      <c r="AH578" s="62" t="n">
        <f aca="false">IF(CA578=1,0,ROUNDUP(AG578/BZ578,0))</f>
        <v>1</v>
      </c>
      <c r="AI578" s="64" t="n">
        <f aca="false">IF(CR578&gt;0,CR578*MAX(1,AG578/X578),IF(CA578=1,IF(AG578&lt;=0,0,CE578*MAX(1,IF(H578&gt;0,AG578/H578,1))),IF(R578&gt;0,AH578/R578,0))/MAX(0.1,N(Parameter!$M$21)))</f>
        <v>0.00357142857142857</v>
      </c>
      <c r="AJ578" s="62" t="n">
        <f aca="false">AI578*CC578</f>
        <v>0.553571428571429</v>
      </c>
      <c r="AK578" s="63" t="n">
        <f aca="false">IF(LEFT(Cockpit!$C$5,1)="A",H578,IF(CI578=1,(CL578+CJ578)/2,IF(LEFT(Cockpit!$C$5,1)="B",(CL578+AM578)/2,MAX((CL578+AM578)/2,H578))))</f>
        <v>198</v>
      </c>
      <c r="AL578" s="62" t="n">
        <f aca="false">AK578*G578</f>
        <v>13.86</v>
      </c>
      <c r="AM578" s="62" t="n">
        <f aca="false">ROUNDUP(CL578+MAX(CM578,2*(J578/IF(CH578&gt;0,CH578,MAX(0.1,N(Cockpit!$C$6)))-CL578)),0)</f>
        <v>208</v>
      </c>
      <c r="AN578" s="63" t="n">
        <f aca="false">IF(AJ578&gt;0,J578/AJ578,-1)</f>
        <v>252.903225806452</v>
      </c>
      <c r="AO578" s="63" t="n">
        <f aca="false">IF(AND(OR(CG578="L1",CG578="L23",CG578="LIFT"),AJ578&gt;0),SUMIFS($AJ$7:$AJ$1843,$CG$7:$CG$1843,CG578,$AN$7:$AN$1843,"&gt;"&amp;AN578)+SUMIFS($AJ$7:$AJ$1843,$CG$7:$CG$1843,CG578,$AN$7:$AN$1843,AN578,$BX$7:$BX$1843,"&lt;="&amp;BX578),"")</f>
        <v>273.677655677656</v>
      </c>
      <c r="AP578" s="70" t="n">
        <f aca="false">IF(AO578="",0,MAX(0,MIN(1,(IF(CG578="L1",Parameter!$H$5,IF(CG578="L23",Parameter!$H$6+Parameter!$H$7,Parameter!$H$5+Parameter!$H$6+Parameter!$H$7))-(AO578-AJ578))/AJ578)))</f>
        <v>1</v>
      </c>
      <c r="AQ578" s="62" t="n">
        <f aca="false">IF(LEFT(Cockpit!$I$5,1)="A",H578,IF(Parameter!$E$30="MAX-Bestand",IF(CI578=1,CJ578,IF(LEFT(Cockpit!$I$5,1)="B",AW578,MAX(AW578,H578))),ROUNDUP(AU578,0)))</f>
        <v>198</v>
      </c>
      <c r="AR578" s="62" t="n">
        <f aca="false">IF(CA578=1,0,ROUNDUP(AQ578/BZ578,0))</f>
        <v>1</v>
      </c>
      <c r="AS578" s="64" t="n">
        <f aca="false">IF(CR578&gt;0,CR578*MAX(1,AQ578/X578),IF(CA578=1,IF(AQ578&lt;=0,0,CE578*MAX(1,IF(H578&gt;0,AQ578/H578,1))),IF(R578&gt;0,AR578/R578,0))/MAX(0.1,N(Parameter!$M$21)))</f>
        <v>0.00357142857142857</v>
      </c>
      <c r="AT578" s="62" t="n">
        <f aca="false">AS578*CC578</f>
        <v>0.553571428571429</v>
      </c>
      <c r="AU578" s="63" t="n">
        <f aca="false">IF(LEFT(Cockpit!$I$5,1)="A",H578,IF(CI578=1,(CL578+CJ578)/2,IF(LEFT(Cockpit!$I$5,1)="B",(CL578+AW578)/2,MAX((CL578+AW578)/2,H578))))</f>
        <v>198</v>
      </c>
      <c r="AV578" s="62" t="n">
        <f aca="false">AU578*G578</f>
        <v>13.86</v>
      </c>
      <c r="AW578" s="62" t="n">
        <f aca="false">ROUNDUP(CL578+MAX(CM578,2*(J578/IF(CH578&gt;0,CH578,MAX(0.1,N(Cockpit!$I$6)))-CL578)),0)</f>
        <v>208</v>
      </c>
      <c r="AX578" s="63" t="n">
        <f aca="false">IF(AT578&gt;0,J578/AT578,-1)</f>
        <v>252.903225806452</v>
      </c>
      <c r="AY578" s="63" t="n">
        <f aca="false">IF(AND(OR(CG578="L1",CG578="L23",CG578="LIFT"),AT578&gt;0),SUMIFS($AT$7:$AT$1843,$CG$7:$CG$1843,CG578,$AX$7:$AX$1843,"&gt;"&amp;AX578)+SUMIFS($AT$7:$AT$1843,$CG$7:$CG$1843,CG578,$AX$7:$AX$1843,AX578,$BX$7:$BX$1843,"&lt;="&amp;BX578),"")</f>
        <v>226.739926739927</v>
      </c>
      <c r="AZ578" s="70" t="n">
        <f aca="false">IF(AY578="",0,MAX(0,MIN(1,(IF(CG578="L1",Parameter!$H$5,IF(CG578="L23",Parameter!$H$6+Parameter!$H$7,Parameter!$H$5+Parameter!$H$6+Parameter!$H$7))-(AY578-AT578))/AT578)))</f>
        <v>1</v>
      </c>
      <c r="BA578" s="62" t="n">
        <f aca="false">IF(LEFT(Cockpit!$O$5,1)="A",H578,IF(Parameter!$E$30="MAX-Bestand",IF(CI578=1,CJ578,IF(LEFT(Cockpit!$O$5,1)="B",BG578,MAX(BG578,H578))),ROUNDUP(BE578,0)))</f>
        <v>108</v>
      </c>
      <c r="BB578" s="62" t="n">
        <f aca="false">IF(CA578=1,0,ROUNDUP(BA578/BZ578,0))</f>
        <v>1</v>
      </c>
      <c r="BC578" s="64" t="n">
        <f aca="false">IF(CR578&gt;0,CR578*MAX(1,BA578/X578),IF(CA578=1,IF(BA578&lt;=0,0,CE578*MAX(1,IF(H578&gt;0,BA578/H578,1))),IF(R578&gt;0,BB578/R578,0))/MAX(0.1,N(Parameter!$M$21)))</f>
        <v>0.00357142857142857</v>
      </c>
      <c r="BD578" s="62" t="n">
        <f aca="false">BC578*CC578</f>
        <v>0.553571428571429</v>
      </c>
      <c r="BE578" s="63" t="n">
        <f aca="false">IF(LEFT(Cockpit!$O$5,1)="A",H578,IF(CI578=1,(CL578+CJ578)/2,IF(LEFT(Cockpit!$O$5,1)="B",(CL578+BG578)/2,MAX((CL578+BG578)/2,H578))))</f>
        <v>108</v>
      </c>
      <c r="BF578" s="62" t="n">
        <f aca="false">BE578*G578</f>
        <v>7.56</v>
      </c>
      <c r="BG578" s="62" t="n">
        <f aca="false">ROUNDUP(CL578+MAX(CM578,2*(J578/IF(CH578&gt;0,CH578,MAX(0.1,N(Cockpit!$O$6)))-CL578)),0)</f>
        <v>208</v>
      </c>
      <c r="BH578" s="63" t="n">
        <f aca="false">IF(BD578&gt;0,J578/BD578,-1)</f>
        <v>252.903225806452</v>
      </c>
      <c r="BI578" s="63" t="n">
        <f aca="false">IF(AND(OR(CG578="L1",CG578="L23",CG578="LIFT"),BD578&gt;0),SUMIFS($BD$7:$BD$1843,$CG$7:$CG$1843,CG578,$BH$7:$BH$1843,"&gt;"&amp;BH578)+SUMIFS($BD$7:$BD$1843,$CG$7:$CG$1843,CG578,$BH$7:$BH$1843,BH578,$BX$7:$BX$1843,"&lt;="&amp;BX578),"")</f>
        <v>300.896062271062</v>
      </c>
      <c r="BJ578" s="70" t="n">
        <f aca="false">IF(BI578="",0,MAX(0,MIN(1,(IF(CG578="L1",Parameter!$H$5,IF(CG578="L23",Parameter!$H$6+Parameter!$H$7,Parameter!$H$5+Parameter!$H$6+Parameter!$H$7))-(BI578-BD578))/BD578)))</f>
        <v>1</v>
      </c>
      <c r="BK578" s="60" t="str">
        <f aca="false">IF(AJ578&lt;=0,"",IF(CG578="Aussen","Aussenlager",IF(CG578="-","Nicht im Lift",IF(AP578&gt;=1,"Lift",IF(AP578&lt;=0,"Aussenlager","teilweise")))))</f>
        <v>Lift</v>
      </c>
      <c r="BL578" s="60" t="str">
        <f aca="false">IF(AT578&lt;=0,"",IF(CG578="Aussen","Aussenlager",IF(CG578="-","Nicht im Lift",IF(AZ578&gt;=1,"Lift",IF(AZ578&lt;=0,"Aussenlager","teilweise")))))</f>
        <v>Lift</v>
      </c>
      <c r="BM578" s="60" t="str">
        <f aca="false">IF(BD578&lt;=0,"",IF(CG578="Aussen","Aussenlager",IF(CG578="-","Nicht im Lift",IF(BJ578&gt;=1,"Lift",IF(BJ578&lt;=0,"Aussenlager","teilweise")))))</f>
        <v>Lift</v>
      </c>
      <c r="BN578" s="60" t="str">
        <f aca="false">IF(A578="","",IF(BW578=1,"Neu; ","")&amp;IF(AND(BW578=0,BR578&lt;0),"negativer Bestand (Export "&amp;BR578&amp;"); ","")&amp;IF(J578&lt;=0,"Kein Verbrauch; ","")&amp;IF(CR578&gt;0,"Lift "&amp;W578&amp;" lt. Liftbericht (Fach "&amp;X578&amp;" Stk); ",IF(CB578=1,"Gebinde geschätzt ("&amp;T578&amp;"); ",IF(CA578=1,"Lose – Tablare geschätzt; ","")))&amp;IF(H578&gt;AW578,"Überbestand "&amp;ROUND(H578-AW578,0)&amp;" Stk / CHF "&amp;ROUND((H578-AW578)*G578,0)&amp;"; ","")&amp;IF(AND(CI578=1,CJ578&lt;CK578),"MAX &lt; MB+LG; ","")&amp;IF(AND(CQ578&gt;0,CP578*10&gt;CQ578),"zu hoch für Tablar; ","")&amp;IF(AND(BW578=0,OR(CI578=1,AB578&lt;&gt;"",U578&lt;&gt;"",V578&lt;&gt;"",AC578&lt;&gt;"")),"manuell übersteuert; ","")&amp;IF(AND(CA578=0,R578=0),"Gebinde unbekannt / Stellmass fehlt; ","")&amp;IF(AND(CA578=0,N(V578)&lt;=0,N(Q578)&lt;=0),"Menge pro Gebinde fehlt (Ist = 1 Gebinde); ","")&amp;BV578)</f>
        <v>negativer Bestand (Export -1); </v>
      </c>
      <c r="BO578" s="60"/>
      <c r="BP578" s="60"/>
      <c r="BQ578" s="67"/>
      <c r="BR578" s="62" t="n">
        <v>-1</v>
      </c>
      <c r="BS578" s="62" t="n">
        <v>199</v>
      </c>
      <c r="BT578" s="61" t="n">
        <v>9.88</v>
      </c>
      <c r="BU578" s="62" t="n">
        <v>140</v>
      </c>
      <c r="BV578" s="60"/>
      <c r="BW578" s="65" t="n">
        <v>0</v>
      </c>
      <c r="BX578" s="65" t="n">
        <v>578</v>
      </c>
      <c r="BY578" s="60" t="str">
        <f aca="false">IF(U578&lt;&gt;"",UPPER(TRIM(U578)),IF(CB578=1,UPPER(VLOOKUP(T578,Parameter!$I$27:$K$29,2,0)),IF(P578="","LOSE",P578)))</f>
        <v>S21</v>
      </c>
      <c r="BZ578" s="62" t="n">
        <f aca="false">IF(BY578="LOSE",1,IF(N(V578)&gt;0,V578,IF(CB578=1,MAX(1,N(VLOOKUP(T578,Parameter!$I$27:$K$29,3,0)),H578,N(N578)),IF(N(Q578)&gt;0,Q578,MAX(1,H578)))))</f>
        <v>250</v>
      </c>
      <c r="CA578" s="65" t="n">
        <f aca="false">IF(BY578="LOSE",1,0)</f>
        <v>0</v>
      </c>
      <c r="CB578" s="65" t="n">
        <f aca="false">IF(AND(U578="",OR(P578="",P578="LOSE"),T578&lt;&gt;"",N(S578)&lt;=0,ISNUMBER(MATCH(T578,Parameter!$I$27:$I$29,0))),1,0)</f>
        <v>0</v>
      </c>
      <c r="CC578" s="65" t="n">
        <f aca="false">IF(CR578&gt;0,INDEX(Parameter!$H$5:$H$7,W578)/INDEX(Parameter!$E$5:$E$7,W578),IF(AND(CA578=0,N(IFERROR(VLOOKUP(BY578,'Gebinde-Kategorie'!$A$5:$N$45,14,0),0))&gt;0),VLOOKUP(BY578,'Gebinde-Kategorie'!$A$5:$N$45,14,0)*10+Parameter!$M$23,Parameter!$M$24))</f>
        <v>155</v>
      </c>
      <c r="CD578" s="60" t="str">
        <f aca="false">IF(AND(Parameter!$B$19="Ja",E578&lt;&gt;"",ISNUMBER(MATCH(E578,Parameter!$I$35:$I$52,0))),VLOOKUP(E578,Parameter!$I$35:$J$52,2,0),IFERROR(VLOOKUP(D578,Parameter!$A$35:$C$64,2,0),"Nein"))</f>
        <v>2+3</v>
      </c>
      <c r="CE578" s="64" t="n">
        <f aca="false">IF(CA578=0,0,IF(N(S578)&gt;0,S578,IFERROR(VLOOKUP(D578,Parameter!$A$35:$C$64,3,0)+0,0)))</f>
        <v>0</v>
      </c>
      <c r="CF578" s="60" t="n">
        <f aca="false">IF(AB578&lt;&gt;"",AB578,AA578)</f>
        <v>3</v>
      </c>
      <c r="CG578" s="60" t="str">
        <f aca="false">IF(OR(CF578=1,CF578=2,CF578=3),IF(Parameter!$E$27="Ja","LIFT",IF(CF578=1,"L1","L23")),IF(CF578="Aussen","Aussen","-"))</f>
        <v>LIFT</v>
      </c>
      <c r="CH578" s="71" t="n">
        <f aca="false">IF(N(AC578)&gt;0,AC578,0)</f>
        <v>0</v>
      </c>
      <c r="CI578" s="65" t="n">
        <f aca="false">IF(ISNUMBER(AF578),1,0)</f>
        <v>0</v>
      </c>
      <c r="CJ578" s="62" t="n">
        <f aca="false">N(AF578)</f>
        <v>0</v>
      </c>
      <c r="CK578" s="62" t="n">
        <f aca="false">N(M578)+N(N578)</f>
        <v>208</v>
      </c>
      <c r="CL578" s="62" t="n">
        <f aca="false">N(M578)</f>
        <v>8</v>
      </c>
      <c r="CM578" s="62" t="n">
        <f aca="false">N(N578)</f>
        <v>200</v>
      </c>
      <c r="CN578" s="62" t="n">
        <f aca="false">ROUNDUP(H578/BZ578,0)</f>
        <v>1</v>
      </c>
      <c r="CO578" s="62" t="n">
        <f aca="false">ROUNDUP(CJ578/BZ578,0)</f>
        <v>0</v>
      </c>
      <c r="CP578" s="65" t="n">
        <f aca="false">IF(CA578=1,0,IFERROR(VLOOKUP(BY578,'Gebinde-Kategorie'!$A$5:$N$45,5,0)+0,0))</f>
        <v>8</v>
      </c>
      <c r="CQ578" s="65" t="n">
        <f aca="false">IFERROR(IF(OR(CF578=1,CF578=2,CF578=3),N(INDEX(Parameter!$I$5:$I$7,CF578)),0),0)</f>
        <v>0</v>
      </c>
      <c r="CR578" s="64" t="n">
        <f aca="false">IF(AND(Parameter!$B$21="Ja",ISNUMBER(W578),N(X578)&gt;0),IFERROR(N(INDEX(Parameter!$L$5:$L$7,W578))*INDEX(Parameter!$E$5:$E$7,W578)*X578/SUMIFS($X$7:$X$1843,$W$7:$W$1843,W578),0),0)</f>
        <v>0</v>
      </c>
      <c r="CS578" s="62" t="n">
        <f aca="false">IF(AND(OR(CG578="L1",CG578="L23",CG578="LIFT"),H578&gt;0),CC578*IF(CR578&gt;0,CR578*MAX(1,H578/X578),IF(CA578=1,CE578,IF(R578&gt;0,CN578/R578,0))/MAX(0.1,N(Parameter!$M$21))),"")</f>
        <v>0.553571428571429</v>
      </c>
      <c r="CT578" s="64" t="n">
        <f aca="false">IF(CS578="","",J578/H578)</f>
        <v>0.707070707070707</v>
      </c>
      <c r="CU578" s="62" t="n">
        <f aca="false">IF(CS578="","",H578*G578)</f>
        <v>13.86</v>
      </c>
      <c r="CV578" s="63" t="n">
        <f aca="false">IF(CS578="","",(CL578+ROUNDUP(CL578+MAX(CM578,2*(J578/MAX(0.1,N(Einkauf!$C$6))-CL578)),0))/2)</f>
        <v>108</v>
      </c>
      <c r="CW578" s="62" t="n">
        <f aca="false">IF(CS578="","",MAX(0,H578-CV578)*G578)</f>
        <v>6.3</v>
      </c>
      <c r="CX578" s="62" t="n">
        <f aca="false">IF(CS578="","",CS578*MAX(0,1-CV578/H578))</f>
        <v>0.251623376623377</v>
      </c>
      <c r="CY578" s="64" t="n">
        <f aca="false">IF(CS578="","",PERCENTRANK($CS$7:$CS$1843,CS578)+PERCENTRANK($CU$7:$CU$1843,CU578)+1-PERCENTRANK($CT$7:$CT$1843,CT578))</f>
        <v>0.4648</v>
      </c>
      <c r="CZ578" s="72" t="n">
        <f aca="false">IF(CS578="","",CHOOSE(MATCH(Einkauf!$C$5,Parameter!$G$23:$G$27,0),CY578,CS578,CU578,-CT578,CW578)+ROW()/1000000000)</f>
        <v>0.464800578</v>
      </c>
    </row>
    <row r="579" customFormat="false" ht="15" hidden="false" customHeight="false" outlineLevel="0" collapsed="false">
      <c r="A579" s="60" t="s">
        <v>1258</v>
      </c>
      <c r="B579" s="60" t="s">
        <v>1259</v>
      </c>
      <c r="C579" s="60" t="s">
        <v>206</v>
      </c>
      <c r="D579" s="60" t="s">
        <v>215</v>
      </c>
      <c r="E579" s="60"/>
      <c r="F579" s="60" t="s">
        <v>260</v>
      </c>
      <c r="G579" s="61" t="n">
        <v>9.55</v>
      </c>
      <c r="H579" s="62" t="n">
        <f aca="false">MAX(0,IF(AND(Parameter!$B$21="Ja",ISNUMBER(Y579)),Y579,IF(Parameter!$B$20="Jahresanfang 2025 + Export",BS579+BR579,BR579)))</f>
        <v>1</v>
      </c>
      <c r="I579" s="62" t="n">
        <f aca="false">H579*G579</f>
        <v>9.55</v>
      </c>
      <c r="J579" s="62" t="n">
        <f aca="false">BU579*Parameter!$B$18</f>
        <v>0</v>
      </c>
      <c r="K579" s="63" t="n">
        <v>0</v>
      </c>
      <c r="L579" s="64" t="n">
        <v>0</v>
      </c>
      <c r="M579" s="62" t="n">
        <v>0</v>
      </c>
      <c r="N579" s="62" t="n">
        <v>1</v>
      </c>
      <c r="O579" s="65" t="n">
        <v>21</v>
      </c>
      <c r="P579" s="60" t="s">
        <v>210</v>
      </c>
      <c r="Q579" s="62"/>
      <c r="R579" s="65" t="n">
        <f aca="false">IF(CA579=1,0,IFERROR(VLOOKUP(BY579,'Gebinde-Kategorie'!$A$5:$N$45,13,0)+0,0))</f>
        <v>12</v>
      </c>
      <c r="S579" s="66"/>
      <c r="T579" s="67" t="s">
        <v>221</v>
      </c>
      <c r="U579" s="67"/>
      <c r="V579" s="67"/>
      <c r="W579" s="60"/>
      <c r="X579" s="62"/>
      <c r="Y579" s="62"/>
      <c r="Z579" s="60" t="n">
        <v>3</v>
      </c>
      <c r="AA579" s="60" t="n">
        <f aca="false">IF(A579="","",IF(AND(Parameter!$B$21="Ja",ISNUMBER(W579)),W579,IF(AND(Parameter!$E$27="Ja",ISNUMBER(Z579),CD579&lt;&gt;"Nein"),Z579,IF(CD579="2+3",IF(ISNUMBER(SEARCH("grosser Artikel",BV579)),2,IFERROR(VLOOKUP(BY579,Parameter!$F$35:$G$64,2,0),2)),IF(OR(CD579="Nein",CD579=""),"-",CD579)))))</f>
        <v>3</v>
      </c>
      <c r="AB579" s="67"/>
      <c r="AC579" s="68"/>
      <c r="AD579" s="62" t="n">
        <f aca="false">AW579</f>
        <v>1</v>
      </c>
      <c r="AE579" s="62" t="n">
        <f aca="false">MAX(AW579,H579)</f>
        <v>1</v>
      </c>
      <c r="AF579" s="69"/>
      <c r="AG579" s="62" t="n">
        <f aca="false">IF(LEFT(Cockpit!$C$5,1)="A",H579,IF(Parameter!$E$30="MAX-Bestand",IF(CI579=1,CJ579,IF(LEFT(Cockpit!$C$5,1)="B",AM579,MAX(AM579,H579))),ROUNDUP(AK579,0)))</f>
        <v>1</v>
      </c>
      <c r="AH579" s="62" t="n">
        <f aca="false">IF(CA579=1,0,ROUNDUP(AG579/BZ579,0))</f>
        <v>1</v>
      </c>
      <c r="AI579" s="64" t="n">
        <f aca="false">IF(CR579&gt;0,CR579*MAX(1,AG579/X579),IF(CA579=1,IF(AG579&lt;=0,0,CE579*MAX(1,IF(H579&gt;0,AG579/H579,1))),IF(R579&gt;0,AH579/R579,0))/MAX(0.1,N(Parameter!$M$21)))</f>
        <v>0.0833333333333333</v>
      </c>
      <c r="AJ579" s="62" t="n">
        <f aca="false">AI579*CC579</f>
        <v>12.0833333333333</v>
      </c>
      <c r="AK579" s="63" t="n">
        <f aca="false">IF(LEFT(Cockpit!$C$5,1)="A",H579,IF(CI579=1,(CL579+CJ579)/2,IF(LEFT(Cockpit!$C$5,1)="B",(CL579+AM579)/2,MAX((CL579+AM579)/2,H579))))</f>
        <v>1</v>
      </c>
      <c r="AL579" s="62" t="n">
        <f aca="false">AK579*G579</f>
        <v>9.55</v>
      </c>
      <c r="AM579" s="62" t="n">
        <f aca="false">ROUNDUP(CL579+MAX(CM579,2*(J579/IF(CH579&gt;0,CH579,MAX(0.1,N(Cockpit!$C$6)))-CL579)),0)</f>
        <v>1</v>
      </c>
      <c r="AN579" s="63" t="n">
        <f aca="false">IF(AJ579&gt;0,J579/AJ579,-1)</f>
        <v>0</v>
      </c>
      <c r="AO579" s="63" t="n">
        <f aca="false">IF(AND(OR(CG579="L1",CG579="L23",CG579="LIFT"),AJ579&gt;0),SUMIFS($AJ$7:$AJ$1843,$CG$7:$CG$1843,CG579,$AN$7:$AN$1843,"&gt;"&amp;AN579)+SUMIFS($AJ$7:$AJ$1843,$CG$7:$CG$1843,CG579,$AN$7:$AN$1843,AN579,$BX$7:$BX$1843,"&lt;="&amp;BX579),"")</f>
        <v>28474.2112487324</v>
      </c>
      <c r="AP579" s="70" t="n">
        <f aca="false">IF(AO579="",0,MAX(0,MIN(1,(IF(CG579="L1",Parameter!$H$5,IF(CG579="L23",Parameter!$H$6+Parameter!$H$7,Parameter!$H$5+Parameter!$H$6+Parameter!$H$7))-(AO579-AJ579))/AJ579)))</f>
        <v>1</v>
      </c>
      <c r="AQ579" s="62" t="n">
        <f aca="false">IF(LEFT(Cockpit!$I$5,1)="A",H579,IF(Parameter!$E$30="MAX-Bestand",IF(CI579=1,CJ579,IF(LEFT(Cockpit!$I$5,1)="B",AW579,MAX(AW579,H579))),ROUNDUP(AU579,0)))</f>
        <v>1</v>
      </c>
      <c r="AR579" s="62" t="n">
        <f aca="false">IF(CA579=1,0,ROUNDUP(AQ579/BZ579,0))</f>
        <v>1</v>
      </c>
      <c r="AS579" s="64" t="n">
        <f aca="false">IF(CR579&gt;0,CR579*MAX(1,AQ579/X579),IF(CA579=1,IF(AQ579&lt;=0,0,CE579*MAX(1,IF(H579&gt;0,AQ579/H579,1))),IF(R579&gt;0,AR579/R579,0))/MAX(0.1,N(Parameter!$M$21)))</f>
        <v>0.0833333333333333</v>
      </c>
      <c r="AT579" s="62" t="n">
        <f aca="false">AS579*CC579</f>
        <v>12.0833333333333</v>
      </c>
      <c r="AU579" s="63" t="n">
        <f aca="false">IF(LEFT(Cockpit!$I$5,1)="A",H579,IF(CI579=1,(CL579+CJ579)/2,IF(LEFT(Cockpit!$I$5,1)="B",(CL579+AW579)/2,MAX((CL579+AW579)/2,H579))))</f>
        <v>1</v>
      </c>
      <c r="AV579" s="62" t="n">
        <f aca="false">AU579*G579</f>
        <v>9.55</v>
      </c>
      <c r="AW579" s="62" t="n">
        <f aca="false">ROUNDUP(CL579+MAX(CM579,2*(J579/IF(CH579&gt;0,CH579,MAX(0.1,N(Cockpit!$I$6)))-CL579)),0)</f>
        <v>1</v>
      </c>
      <c r="AX579" s="63" t="n">
        <f aca="false">IF(AT579&gt;0,J579/AT579,-1)</f>
        <v>0</v>
      </c>
      <c r="AY579" s="63" t="n">
        <f aca="false">IF(AND(OR(CG579="L1",CG579="L23",CG579="LIFT"),AT579&gt;0),SUMIFS($AT$7:$AT$1843,$CG$7:$CG$1843,CG579,$AX$7:$AX$1843,"&gt;"&amp;AX579)+SUMIFS($AT$7:$AT$1843,$CG$7:$CG$1843,CG579,$AX$7:$AX$1843,AX579,$BX$7:$BX$1843,"&lt;="&amp;BX579),"")</f>
        <v>33827.3598901099</v>
      </c>
      <c r="AZ579" s="70" t="n">
        <f aca="false">IF(AY579="",0,MAX(0,MIN(1,(IF(CG579="L1",Parameter!$H$5,IF(CG579="L23",Parameter!$H$6+Parameter!$H$7,Parameter!$H$5+Parameter!$H$6+Parameter!$H$7))-(AY579-AT579))/AT579)))</f>
        <v>1</v>
      </c>
      <c r="BA579" s="62" t="n">
        <f aca="false">IF(LEFT(Cockpit!$O$5,1)="A",H579,IF(Parameter!$E$30="MAX-Bestand",IF(CI579=1,CJ579,IF(LEFT(Cockpit!$O$5,1)="B",BG579,MAX(BG579,H579))),ROUNDUP(BE579,0)))</f>
        <v>1</v>
      </c>
      <c r="BB579" s="62" t="n">
        <f aca="false">IF(CA579=1,0,ROUNDUP(BA579/BZ579,0))</f>
        <v>1</v>
      </c>
      <c r="BC579" s="64" t="n">
        <f aca="false">IF(CR579&gt;0,CR579*MAX(1,BA579/X579),IF(CA579=1,IF(BA579&lt;=0,0,CE579*MAX(1,IF(H579&gt;0,BA579/H579,1))),IF(R579&gt;0,BB579/R579,0))/MAX(0.1,N(Parameter!$M$21)))</f>
        <v>0.0833333333333333</v>
      </c>
      <c r="BD579" s="62" t="n">
        <f aca="false">BC579*CC579</f>
        <v>12.0833333333333</v>
      </c>
      <c r="BE579" s="63" t="n">
        <f aca="false">IF(LEFT(Cockpit!$O$5,1)="A",H579,IF(CI579=1,(CL579+CJ579)/2,IF(LEFT(Cockpit!$O$5,1)="B",(CL579+BG579)/2,MAX((CL579+BG579)/2,H579))))</f>
        <v>0.5</v>
      </c>
      <c r="BF579" s="62" t="n">
        <f aca="false">BE579*G579</f>
        <v>4.775</v>
      </c>
      <c r="BG579" s="62" t="n">
        <f aca="false">ROUNDUP(CL579+MAX(CM579,2*(J579/IF(CH579&gt;0,CH579,MAX(0.1,N(Cockpit!$O$6)))-CL579)),0)</f>
        <v>1</v>
      </c>
      <c r="BH579" s="63" t="n">
        <f aca="false">IF(BD579&gt;0,J579/BD579,-1)</f>
        <v>0</v>
      </c>
      <c r="BI579" s="63" t="n">
        <f aca="false">IF(AND(OR(CG579="L1",CG579="L23",CG579="LIFT"),BD579&gt;0),SUMIFS($BD$7:$BD$1843,$CG$7:$CG$1843,CG579,$BH$7:$BH$1843,"&gt;"&amp;BH579)+SUMIFS($BD$7:$BD$1843,$CG$7:$CG$1843,CG579,$BH$7:$BH$1843,BH579,$BX$7:$BX$1843,"&lt;="&amp;BX579),"")</f>
        <v>27902.6454879866</v>
      </c>
      <c r="BJ579" s="70" t="n">
        <f aca="false">IF(BI579="",0,MAX(0,MIN(1,(IF(CG579="L1",Parameter!$H$5,IF(CG579="L23",Parameter!$H$6+Parameter!$H$7,Parameter!$H$5+Parameter!$H$6+Parameter!$H$7))-(BI579-BD579))/BD579)))</f>
        <v>1</v>
      </c>
      <c r="BK579" s="60" t="str">
        <f aca="false">IF(AJ579&lt;=0,"",IF(CG579="Aussen","Aussenlager",IF(CG579="-","Nicht im Lift",IF(AP579&gt;=1,"Lift",IF(AP579&lt;=0,"Aussenlager","teilweise")))))</f>
        <v>Lift</v>
      </c>
      <c r="BL579" s="60" t="str">
        <f aca="false">IF(AT579&lt;=0,"",IF(CG579="Aussen","Aussenlager",IF(CG579="-","Nicht im Lift",IF(AZ579&gt;=1,"Lift",IF(AZ579&lt;=0,"Aussenlager","teilweise")))))</f>
        <v>Lift</v>
      </c>
      <c r="BM579" s="60" t="str">
        <f aca="false">IF(BD579&lt;=0,"",IF(CG579="Aussen","Aussenlager",IF(CG579="-","Nicht im Lift",IF(BJ579&gt;=1,"Lift",IF(BJ579&lt;=0,"Aussenlager","teilweise")))))</f>
        <v>Lift</v>
      </c>
      <c r="BN579" s="60" t="str">
        <f aca="false">IF(A579="","",IF(BW579=1,"Neu; ","")&amp;IF(AND(BW579=0,BR579&lt;0),"negativer Bestand (Export "&amp;BR579&amp;"); ","")&amp;IF(J579&lt;=0,"Kein Verbrauch; ","")&amp;IF(CR579&gt;0,"Lift "&amp;W579&amp;" lt. Liftbericht (Fach "&amp;X579&amp;" Stk); ",IF(CB579=1,"Gebinde geschätzt ("&amp;T579&amp;"); ",IF(CA579=1,"Lose – Tablare geschätzt; ","")))&amp;IF(H579&gt;AW579,"Überbestand "&amp;ROUND(H579-AW579,0)&amp;" Stk / CHF "&amp;ROUND((H579-AW579)*G579,0)&amp;"; ","")&amp;IF(AND(CI579=1,CJ579&lt;CK579),"MAX &lt; MB+LG; ","")&amp;IF(AND(CQ579&gt;0,CP579*10&gt;CQ579),"zu hoch für Tablar; ","")&amp;IF(AND(BW579=0,OR(CI579=1,AB579&lt;&gt;"",U579&lt;&gt;"",V579&lt;&gt;"",AC579&lt;&gt;"")),"manuell übersteuert; ","")&amp;IF(AND(CA579=0,R579=0),"Gebinde unbekannt / Stellmass fehlt; ","")&amp;IF(AND(CA579=0,N(V579)&lt;=0,N(Q579)&lt;=0),"Menge pro Gebinde fehlt (Ist = 1 Gebinde); ","")&amp;BV579)</f>
        <v>Kein Verbrauch; Gebinde geschätzt (Mittel); Menge pro Gebinde fehlt (Ist = 1 Gebinde); </v>
      </c>
      <c r="BO579" s="60"/>
      <c r="BP579" s="60"/>
      <c r="BQ579" s="67"/>
      <c r="BR579" s="62" t="n">
        <v>1</v>
      </c>
      <c r="BS579" s="62" t="n">
        <v>0</v>
      </c>
      <c r="BT579" s="61" t="n">
        <v>9.55</v>
      </c>
      <c r="BU579" s="62" t="n">
        <v>0</v>
      </c>
      <c r="BV579" s="60"/>
      <c r="BW579" s="65" t="n">
        <v>0</v>
      </c>
      <c r="BX579" s="65" t="n">
        <v>579</v>
      </c>
      <c r="BY579" s="60" t="str">
        <f aca="false">IF(U579&lt;&gt;"",UPPER(TRIM(U579)),IF(CB579=1,UPPER(VLOOKUP(T579,Parameter!$I$27:$K$29,2,0)),IF(P579="","LOSE",P579)))</f>
        <v>S61</v>
      </c>
      <c r="BZ579" s="62" t="n">
        <f aca="false">IF(BY579="LOSE",1,IF(N(V579)&gt;0,V579,IF(CB579=1,MAX(1,N(VLOOKUP(T579,Parameter!$I$27:$K$29,3,0)),H579,N(N579)),IF(N(Q579)&gt;0,Q579,MAX(1,H579)))))</f>
        <v>4</v>
      </c>
      <c r="CA579" s="65" t="n">
        <f aca="false">IF(BY579="LOSE",1,0)</f>
        <v>0</v>
      </c>
      <c r="CB579" s="65" t="n">
        <f aca="false">IF(AND(U579="",OR(P579="",P579="LOSE"),T579&lt;&gt;"",N(S579)&lt;=0,ISNUMBER(MATCH(T579,Parameter!$I$27:$I$29,0))),1,0)</f>
        <v>1</v>
      </c>
      <c r="CC579" s="65" t="n">
        <f aca="false">IF(CR579&gt;0,INDEX(Parameter!$H$5:$H$7,W579)/INDEX(Parameter!$E$5:$E$7,W579),IF(AND(CA579=0,N(IFERROR(VLOOKUP(BY579,'Gebinde-Kategorie'!$A$5:$N$45,14,0),0))&gt;0),VLOOKUP(BY579,'Gebinde-Kategorie'!$A$5:$N$45,14,0)*10+Parameter!$M$23,Parameter!$M$24))</f>
        <v>145</v>
      </c>
      <c r="CD579" s="60" t="str">
        <f aca="false">IF(AND(Parameter!$B$19="Ja",E579&lt;&gt;"",ISNUMBER(MATCH(E579,Parameter!$I$35:$I$52,0))),VLOOKUP(E579,Parameter!$I$35:$J$52,2,0),IFERROR(VLOOKUP(D579,Parameter!$A$35:$C$64,2,0),"Nein"))</f>
        <v>2+3</v>
      </c>
      <c r="CE579" s="64" t="n">
        <f aca="false">IF(CA579=0,0,IF(N(S579)&gt;0,S579,IFERROR(VLOOKUP(D579,Parameter!$A$35:$C$64,3,0)+0,0)))</f>
        <v>0</v>
      </c>
      <c r="CF579" s="60" t="n">
        <f aca="false">IF(AB579&lt;&gt;"",AB579,AA579)</f>
        <v>3</v>
      </c>
      <c r="CG579" s="60" t="str">
        <f aca="false">IF(OR(CF579=1,CF579=2,CF579=3),IF(Parameter!$E$27="Ja","LIFT",IF(CF579=1,"L1","L23")),IF(CF579="Aussen","Aussen","-"))</f>
        <v>LIFT</v>
      </c>
      <c r="CH579" s="71" t="n">
        <f aca="false">IF(N(AC579)&gt;0,AC579,0)</f>
        <v>0</v>
      </c>
      <c r="CI579" s="65" t="n">
        <f aca="false">IF(ISNUMBER(AF579),1,0)</f>
        <v>0</v>
      </c>
      <c r="CJ579" s="62" t="n">
        <f aca="false">N(AF579)</f>
        <v>0</v>
      </c>
      <c r="CK579" s="62" t="n">
        <f aca="false">N(M579)+N(N579)</f>
        <v>1</v>
      </c>
      <c r="CL579" s="62" t="n">
        <f aca="false">N(M579)</f>
        <v>0</v>
      </c>
      <c r="CM579" s="62" t="n">
        <f aca="false">N(N579)</f>
        <v>1</v>
      </c>
      <c r="CN579" s="62" t="n">
        <f aca="false">ROUNDUP(H579/BZ579,0)</f>
        <v>1</v>
      </c>
      <c r="CO579" s="62" t="n">
        <f aca="false">ROUNDUP(CJ579/BZ579,0)</f>
        <v>0</v>
      </c>
      <c r="CP579" s="65" t="n">
        <f aca="false">IF(CA579=1,0,IFERROR(VLOOKUP(BY579,'Gebinde-Kategorie'!$A$5:$N$45,5,0)+0,0))</f>
        <v>11</v>
      </c>
      <c r="CQ579" s="65" t="n">
        <f aca="false">IFERROR(IF(OR(CF579=1,CF579=2,CF579=3),N(INDEX(Parameter!$I$5:$I$7,CF579)),0),0)</f>
        <v>0</v>
      </c>
      <c r="CR579" s="64" t="n">
        <f aca="false">IF(AND(Parameter!$B$21="Ja",ISNUMBER(W579),N(X579)&gt;0),IFERROR(N(INDEX(Parameter!$L$5:$L$7,W579))*INDEX(Parameter!$E$5:$E$7,W579)*X579/SUMIFS($X$7:$X$1843,$W$7:$W$1843,W579),0),0)</f>
        <v>0</v>
      </c>
      <c r="CS579" s="62" t="n">
        <f aca="false">IF(AND(OR(CG579="L1",CG579="L23",CG579="LIFT"),H579&gt;0),CC579*IF(CR579&gt;0,CR579*MAX(1,H579/X579),IF(CA579=1,CE579,IF(R579&gt;0,CN579/R579,0))/MAX(0.1,N(Parameter!$M$21))),"")</f>
        <v>12.0833333333333</v>
      </c>
      <c r="CT579" s="64" t="n">
        <f aca="false">IF(CS579="","",J579/H579)</f>
        <v>0</v>
      </c>
      <c r="CU579" s="62" t="n">
        <f aca="false">IF(CS579="","",H579*G579)</f>
        <v>9.55</v>
      </c>
      <c r="CV579" s="63" t="n">
        <f aca="false">IF(CS579="","",(CL579+ROUNDUP(CL579+MAX(CM579,2*(J579/MAX(0.1,N(Einkauf!$C$6))-CL579)),0))/2)</f>
        <v>0.5</v>
      </c>
      <c r="CW579" s="62" t="n">
        <f aca="false">IF(CS579="","",MAX(0,H579-CV579)*G579)</f>
        <v>4.775</v>
      </c>
      <c r="CX579" s="62" t="n">
        <f aca="false">IF(CS579="","",CS579*MAX(0,1-CV579/H579))</f>
        <v>6.04166666666667</v>
      </c>
      <c r="CY579" s="64" t="n">
        <f aca="false">IF(CS579="","",PERCENTRANK($CS$7:$CS$1843,CS579)+PERCENTRANK($CU$7:$CU$1843,CU579)+1-PERCENTRANK($CT$7:$CT$1843,CT579))</f>
        <v>1.7048</v>
      </c>
      <c r="CZ579" s="72" t="n">
        <f aca="false">IF(CS579="","",CHOOSE(MATCH(Einkauf!$C$5,Parameter!$G$23:$G$27,0),CY579,CS579,CU579,-CT579,CW579)+ROW()/1000000000)</f>
        <v>1.704800579</v>
      </c>
    </row>
    <row r="580" customFormat="false" ht="15" hidden="false" customHeight="false" outlineLevel="0" collapsed="false">
      <c r="A580" s="60" t="s">
        <v>1260</v>
      </c>
      <c r="B580" s="60" t="s">
        <v>1207</v>
      </c>
      <c r="C580" s="60" t="s">
        <v>206</v>
      </c>
      <c r="D580" s="60" t="s">
        <v>215</v>
      </c>
      <c r="E580" s="60"/>
      <c r="F580" s="60" t="s">
        <v>260</v>
      </c>
      <c r="G580" s="61" t="n">
        <v>9.5</v>
      </c>
      <c r="H580" s="62" t="n">
        <f aca="false">MAX(0,IF(AND(Parameter!$B$21="Ja",ISNUMBER(Y580)),Y580,IF(Parameter!$B$20="Jahresanfang 2025 + Export",BS580+BR580,BR580)))</f>
        <v>1</v>
      </c>
      <c r="I580" s="62" t="n">
        <f aca="false">H580*G580</f>
        <v>9.5</v>
      </c>
      <c r="J580" s="62" t="n">
        <f aca="false">BU580*Parameter!$B$18</f>
        <v>0</v>
      </c>
      <c r="K580" s="63" t="n">
        <v>0</v>
      </c>
      <c r="L580" s="64" t="n">
        <v>0</v>
      </c>
      <c r="M580" s="62" t="n">
        <v>0</v>
      </c>
      <c r="N580" s="62" t="n">
        <v>1</v>
      </c>
      <c r="O580" s="65" t="n">
        <v>21</v>
      </c>
      <c r="P580" s="60" t="s">
        <v>210</v>
      </c>
      <c r="Q580" s="62"/>
      <c r="R580" s="65" t="n">
        <f aca="false">IF(CA580=1,0,IFERROR(VLOOKUP(BY580,'Gebinde-Kategorie'!$A$5:$N$45,13,0)+0,0))</f>
        <v>26</v>
      </c>
      <c r="S580" s="66"/>
      <c r="T580" s="67" t="s">
        <v>317</v>
      </c>
      <c r="U580" s="67"/>
      <c r="V580" s="67"/>
      <c r="W580" s="60"/>
      <c r="X580" s="62"/>
      <c r="Y580" s="62"/>
      <c r="Z580" s="60" t="n">
        <v>3</v>
      </c>
      <c r="AA580" s="60" t="n">
        <f aca="false">IF(A580="","",IF(AND(Parameter!$B$21="Ja",ISNUMBER(W580)),W580,IF(AND(Parameter!$E$27="Ja",ISNUMBER(Z580),CD580&lt;&gt;"Nein"),Z580,IF(CD580="2+3",IF(ISNUMBER(SEARCH("grosser Artikel",BV580)),2,IFERROR(VLOOKUP(BY580,Parameter!$F$35:$G$64,2,0),2)),IF(OR(CD580="Nein",CD580=""),"-",CD580)))))</f>
        <v>3</v>
      </c>
      <c r="AB580" s="67"/>
      <c r="AC580" s="68"/>
      <c r="AD580" s="62" t="n">
        <f aca="false">AW580</f>
        <v>1</v>
      </c>
      <c r="AE580" s="62" t="n">
        <f aca="false">MAX(AW580,H580)</f>
        <v>1</v>
      </c>
      <c r="AF580" s="69"/>
      <c r="AG580" s="62" t="n">
        <f aca="false">IF(LEFT(Cockpit!$C$5,1)="A",H580,IF(Parameter!$E$30="MAX-Bestand",IF(CI580=1,CJ580,IF(LEFT(Cockpit!$C$5,1)="B",AM580,MAX(AM580,H580))),ROUNDUP(AK580,0)))</f>
        <v>1</v>
      </c>
      <c r="AH580" s="62" t="n">
        <f aca="false">IF(CA580=1,0,ROUNDUP(AG580/BZ580,0))</f>
        <v>1</v>
      </c>
      <c r="AI580" s="64" t="n">
        <f aca="false">IF(CR580&gt;0,CR580*MAX(1,AG580/X580),IF(CA580=1,IF(AG580&lt;=0,0,CE580*MAX(1,IF(H580&gt;0,AG580/H580,1))),IF(R580&gt;0,AH580/R580,0))/MAX(0.1,N(Parameter!$M$21)))</f>
        <v>0.0384615384615385</v>
      </c>
      <c r="AJ580" s="62" t="n">
        <f aca="false">AI580*CC580</f>
        <v>5.96153846153846</v>
      </c>
      <c r="AK580" s="63" t="n">
        <f aca="false">IF(LEFT(Cockpit!$C$5,1)="A",H580,IF(CI580=1,(CL580+CJ580)/2,IF(LEFT(Cockpit!$C$5,1)="B",(CL580+AM580)/2,MAX((CL580+AM580)/2,H580))))</f>
        <v>1</v>
      </c>
      <c r="AL580" s="62" t="n">
        <f aca="false">AK580*G580</f>
        <v>9.5</v>
      </c>
      <c r="AM580" s="62" t="n">
        <f aca="false">ROUNDUP(CL580+MAX(CM580,2*(J580/IF(CH580&gt;0,CH580,MAX(0.1,N(Cockpit!$C$6)))-CL580)),0)</f>
        <v>1</v>
      </c>
      <c r="AN580" s="63" t="n">
        <f aca="false">IF(AJ580&gt;0,J580/AJ580,-1)</f>
        <v>0</v>
      </c>
      <c r="AO580" s="63" t="n">
        <f aca="false">IF(AND(OR(CG580="L1",CG580="L23",CG580="LIFT"),AJ580&gt;0),SUMIFS($AJ$7:$AJ$1843,$CG$7:$CG$1843,CG580,$AN$7:$AN$1843,"&gt;"&amp;AN580)+SUMIFS($AJ$7:$AJ$1843,$CG$7:$CG$1843,CG580,$AN$7:$AN$1843,AN580,$BX$7:$BX$1843,"&lt;="&amp;BX580),"")</f>
        <v>28480.172787194</v>
      </c>
      <c r="AP580" s="70" t="n">
        <f aca="false">IF(AO580="",0,MAX(0,MIN(1,(IF(CG580="L1",Parameter!$H$5,IF(CG580="L23",Parameter!$H$6+Parameter!$H$7,Parameter!$H$5+Parameter!$H$6+Parameter!$H$7))-(AO580-AJ580))/AJ580)))</f>
        <v>1</v>
      </c>
      <c r="AQ580" s="62" t="n">
        <f aca="false">IF(LEFT(Cockpit!$I$5,1)="A",H580,IF(Parameter!$E$30="MAX-Bestand",IF(CI580=1,CJ580,IF(LEFT(Cockpit!$I$5,1)="B",AW580,MAX(AW580,H580))),ROUNDUP(AU580,0)))</f>
        <v>1</v>
      </c>
      <c r="AR580" s="62" t="n">
        <f aca="false">IF(CA580=1,0,ROUNDUP(AQ580/BZ580,0))</f>
        <v>1</v>
      </c>
      <c r="AS580" s="64" t="n">
        <f aca="false">IF(CR580&gt;0,CR580*MAX(1,AQ580/X580),IF(CA580=1,IF(AQ580&lt;=0,0,CE580*MAX(1,IF(H580&gt;0,AQ580/H580,1))),IF(R580&gt;0,AR580/R580,0))/MAX(0.1,N(Parameter!$M$21)))</f>
        <v>0.0384615384615385</v>
      </c>
      <c r="AT580" s="62" t="n">
        <f aca="false">AS580*CC580</f>
        <v>5.96153846153846</v>
      </c>
      <c r="AU580" s="63" t="n">
        <f aca="false">IF(LEFT(Cockpit!$I$5,1)="A",H580,IF(CI580=1,(CL580+CJ580)/2,IF(LEFT(Cockpit!$I$5,1)="B",(CL580+AW580)/2,MAX((CL580+AW580)/2,H580))))</f>
        <v>1</v>
      </c>
      <c r="AV580" s="62" t="n">
        <f aca="false">AU580*G580</f>
        <v>9.5</v>
      </c>
      <c r="AW580" s="62" t="n">
        <f aca="false">ROUNDUP(CL580+MAX(CM580,2*(J580/IF(CH580&gt;0,CH580,MAX(0.1,N(Cockpit!$I$6)))-CL580)),0)</f>
        <v>1</v>
      </c>
      <c r="AX580" s="63" t="n">
        <f aca="false">IF(AT580&gt;0,J580/AT580,-1)</f>
        <v>0</v>
      </c>
      <c r="AY580" s="63" t="n">
        <f aca="false">IF(AND(OR(CG580="L1",CG580="L23",CG580="LIFT"),AT580&gt;0),SUMIFS($AT$7:$AT$1843,$CG$7:$CG$1843,CG580,$AX$7:$AX$1843,"&gt;"&amp;AX580)+SUMIFS($AT$7:$AT$1843,$CG$7:$CG$1843,CG580,$AX$7:$AX$1843,AX580,$BX$7:$BX$1843,"&lt;="&amp;BX580),"")</f>
        <v>33833.3214285714</v>
      </c>
      <c r="AZ580" s="70" t="n">
        <f aca="false">IF(AY580="",0,MAX(0,MIN(1,(IF(CG580="L1",Parameter!$H$5,IF(CG580="L23",Parameter!$H$6+Parameter!$H$7,Parameter!$H$5+Parameter!$H$6+Parameter!$H$7))-(AY580-AT580))/AT580)))</f>
        <v>1</v>
      </c>
      <c r="BA580" s="62" t="n">
        <f aca="false">IF(LEFT(Cockpit!$O$5,1)="A",H580,IF(Parameter!$E$30="MAX-Bestand",IF(CI580=1,CJ580,IF(LEFT(Cockpit!$O$5,1)="B",BG580,MAX(BG580,H580))),ROUNDUP(BE580,0)))</f>
        <v>1</v>
      </c>
      <c r="BB580" s="62" t="n">
        <f aca="false">IF(CA580=1,0,ROUNDUP(BA580/BZ580,0))</f>
        <v>1</v>
      </c>
      <c r="BC580" s="64" t="n">
        <f aca="false">IF(CR580&gt;0,CR580*MAX(1,BA580/X580),IF(CA580=1,IF(BA580&lt;=0,0,CE580*MAX(1,IF(H580&gt;0,BA580/H580,1))),IF(R580&gt;0,BB580/R580,0))/MAX(0.1,N(Parameter!$M$21)))</f>
        <v>0.0384615384615385</v>
      </c>
      <c r="BD580" s="62" t="n">
        <f aca="false">BC580*CC580</f>
        <v>5.96153846153846</v>
      </c>
      <c r="BE580" s="63" t="n">
        <f aca="false">IF(LEFT(Cockpit!$O$5,1)="A",H580,IF(CI580=1,(CL580+CJ580)/2,IF(LEFT(Cockpit!$O$5,1)="B",(CL580+BG580)/2,MAX((CL580+BG580)/2,H580))))</f>
        <v>0.5</v>
      </c>
      <c r="BF580" s="62" t="n">
        <f aca="false">BE580*G580</f>
        <v>4.75</v>
      </c>
      <c r="BG580" s="62" t="n">
        <f aca="false">ROUNDUP(CL580+MAX(CM580,2*(J580/IF(CH580&gt;0,CH580,MAX(0.1,N(Cockpit!$O$6)))-CL580)),0)</f>
        <v>1</v>
      </c>
      <c r="BH580" s="63" t="n">
        <f aca="false">IF(BD580&gt;0,J580/BD580,-1)</f>
        <v>0</v>
      </c>
      <c r="BI580" s="63" t="n">
        <f aca="false">IF(AND(OR(CG580="L1",CG580="L23",CG580="LIFT"),BD580&gt;0),SUMIFS($BD$7:$BD$1843,$CG$7:$CG$1843,CG580,$BH$7:$BH$1843,"&gt;"&amp;BH580)+SUMIFS($BD$7:$BD$1843,$CG$7:$CG$1843,CG580,$BH$7:$BH$1843,BH580,$BX$7:$BX$1843,"&lt;="&amp;BX580),"")</f>
        <v>27908.6070264481</v>
      </c>
      <c r="BJ580" s="70" t="n">
        <f aca="false">IF(BI580="",0,MAX(0,MIN(1,(IF(CG580="L1",Parameter!$H$5,IF(CG580="L23",Parameter!$H$6+Parameter!$H$7,Parameter!$H$5+Parameter!$H$6+Parameter!$H$7))-(BI580-BD580))/BD580)))</f>
        <v>1</v>
      </c>
      <c r="BK580" s="60" t="str">
        <f aca="false">IF(AJ580&lt;=0,"",IF(CG580="Aussen","Aussenlager",IF(CG580="-","Nicht im Lift",IF(AP580&gt;=1,"Lift",IF(AP580&lt;=0,"Aussenlager","teilweise")))))</f>
        <v>Lift</v>
      </c>
      <c r="BL580" s="60" t="str">
        <f aca="false">IF(AT580&lt;=0,"",IF(CG580="Aussen","Aussenlager",IF(CG580="-","Nicht im Lift",IF(AZ580&gt;=1,"Lift",IF(AZ580&lt;=0,"Aussenlager","teilweise")))))</f>
        <v>Lift</v>
      </c>
      <c r="BM580" s="60" t="str">
        <f aca="false">IF(BD580&lt;=0,"",IF(CG580="Aussen","Aussenlager",IF(CG580="-","Nicht im Lift",IF(BJ580&gt;=1,"Lift",IF(BJ580&lt;=0,"Aussenlager","teilweise")))))</f>
        <v>Lift</v>
      </c>
      <c r="BN580" s="60" t="str">
        <f aca="false">IF(A580="","",IF(BW580=1,"Neu; ","")&amp;IF(AND(BW580=0,BR580&lt;0),"negativer Bestand (Export "&amp;BR580&amp;"); ","")&amp;IF(J580&lt;=0,"Kein Verbrauch; ","")&amp;IF(CR580&gt;0,"Lift "&amp;W580&amp;" lt. Liftbericht (Fach "&amp;X580&amp;" Stk); ",IF(CB580=1,"Gebinde geschätzt ("&amp;T580&amp;"); ",IF(CA580=1,"Lose – Tablare geschätzt; ","")))&amp;IF(H580&gt;AW580,"Überbestand "&amp;ROUND(H580-AW580,0)&amp;" Stk / CHF "&amp;ROUND((H580-AW580)*G580,0)&amp;"; ","")&amp;IF(AND(CI580=1,CJ580&lt;CK580),"MAX &lt; MB+LG; ","")&amp;IF(AND(CQ580&gt;0,CP580*10&gt;CQ580),"zu hoch für Tablar; ","")&amp;IF(AND(BW580=0,OR(CI580=1,AB580&lt;&gt;"",U580&lt;&gt;"",V580&lt;&gt;"",AC580&lt;&gt;"")),"manuell übersteuert; ","")&amp;IF(AND(CA580=0,R580=0),"Gebinde unbekannt / Stellmass fehlt; ","")&amp;IF(AND(CA580=0,N(V580)&lt;=0,N(Q580)&lt;=0),"Menge pro Gebinde fehlt (Ist = 1 Gebinde); ","")&amp;BV580)</f>
        <v>Kein Verbrauch; Gebinde geschätzt (Klein); Menge pro Gebinde fehlt (Ist = 1 Gebinde); </v>
      </c>
      <c r="BO580" s="60"/>
      <c r="BP580" s="60"/>
      <c r="BQ580" s="67"/>
      <c r="BR580" s="62" t="n">
        <v>1</v>
      </c>
      <c r="BS580" s="62" t="n">
        <v>0</v>
      </c>
      <c r="BT580" s="61" t="n">
        <v>9.5</v>
      </c>
      <c r="BU580" s="62" t="n">
        <v>0</v>
      </c>
      <c r="BV580" s="60"/>
      <c r="BW580" s="65" t="n">
        <v>0</v>
      </c>
      <c r="BX580" s="65" t="n">
        <v>580</v>
      </c>
      <c r="BY580" s="60" t="str">
        <f aca="false">IF(U580&lt;&gt;"",UPPER(TRIM(U580)),IF(CB580=1,UPPER(VLOOKUP(T580,Parameter!$I$27:$K$29,2,0)),IF(P580="","LOSE",P580)))</f>
        <v>S51</v>
      </c>
      <c r="BZ580" s="62" t="n">
        <f aca="false">IF(BY580="LOSE",1,IF(N(V580)&gt;0,V580,IF(CB580=1,MAX(1,N(VLOOKUP(T580,Parameter!$I$27:$K$29,3,0)),H580,N(N580)),IF(N(Q580)&gt;0,Q580,MAX(1,H580)))))</f>
        <v>20</v>
      </c>
      <c r="CA580" s="65" t="n">
        <f aca="false">IF(BY580="LOSE",1,0)</f>
        <v>0</v>
      </c>
      <c r="CB580" s="65" t="n">
        <f aca="false">IF(AND(U580="",OR(P580="",P580="LOSE"),T580&lt;&gt;"",N(S580)&lt;=0,ISNUMBER(MATCH(T580,Parameter!$I$27:$I$29,0))),1,0)</f>
        <v>1</v>
      </c>
      <c r="CC580" s="65" t="n">
        <f aca="false">IF(CR580&gt;0,INDEX(Parameter!$H$5:$H$7,W580)/INDEX(Parameter!$E$5:$E$7,W580),IF(AND(CA580=0,N(IFERROR(VLOOKUP(BY580,'Gebinde-Kategorie'!$A$5:$N$45,14,0),0))&gt;0),VLOOKUP(BY580,'Gebinde-Kategorie'!$A$5:$N$45,14,0)*10+Parameter!$M$23,Parameter!$M$24))</f>
        <v>155</v>
      </c>
      <c r="CD580" s="60" t="str">
        <f aca="false">IF(AND(Parameter!$B$19="Ja",E580&lt;&gt;"",ISNUMBER(MATCH(E580,Parameter!$I$35:$I$52,0))),VLOOKUP(E580,Parameter!$I$35:$J$52,2,0),IFERROR(VLOOKUP(D580,Parameter!$A$35:$C$64,2,0),"Nein"))</f>
        <v>2+3</v>
      </c>
      <c r="CE580" s="64" t="n">
        <f aca="false">IF(CA580=0,0,IF(N(S580)&gt;0,S580,IFERROR(VLOOKUP(D580,Parameter!$A$35:$C$64,3,0)+0,0)))</f>
        <v>0</v>
      </c>
      <c r="CF580" s="60" t="n">
        <f aca="false">IF(AB580&lt;&gt;"",AB580,AA580)</f>
        <v>3</v>
      </c>
      <c r="CG580" s="60" t="str">
        <f aca="false">IF(OR(CF580=1,CF580=2,CF580=3),IF(Parameter!$E$27="Ja","LIFT",IF(CF580=1,"L1","L23")),IF(CF580="Aussen","Aussen","-"))</f>
        <v>LIFT</v>
      </c>
      <c r="CH580" s="71" t="n">
        <f aca="false">IF(N(AC580)&gt;0,AC580,0)</f>
        <v>0</v>
      </c>
      <c r="CI580" s="65" t="n">
        <f aca="false">IF(ISNUMBER(AF580),1,0)</f>
        <v>0</v>
      </c>
      <c r="CJ580" s="62" t="n">
        <f aca="false">N(AF580)</f>
        <v>0</v>
      </c>
      <c r="CK580" s="62" t="n">
        <f aca="false">N(M580)+N(N580)</f>
        <v>1</v>
      </c>
      <c r="CL580" s="62" t="n">
        <f aca="false">N(M580)</f>
        <v>0</v>
      </c>
      <c r="CM580" s="62" t="n">
        <f aca="false">N(N580)</f>
        <v>1</v>
      </c>
      <c r="CN580" s="62" t="n">
        <f aca="false">ROUNDUP(H580/BZ580,0)</f>
        <v>1</v>
      </c>
      <c r="CO580" s="62" t="n">
        <f aca="false">ROUNDUP(CJ580/BZ580,0)</f>
        <v>0</v>
      </c>
      <c r="CP580" s="65" t="n">
        <f aca="false">IF(CA580=1,0,IFERROR(VLOOKUP(BY580,'Gebinde-Kategorie'!$A$5:$N$45,5,0)+0,0))</f>
        <v>11</v>
      </c>
      <c r="CQ580" s="65" t="n">
        <f aca="false">IFERROR(IF(OR(CF580=1,CF580=2,CF580=3),N(INDEX(Parameter!$I$5:$I$7,CF580)),0),0)</f>
        <v>0</v>
      </c>
      <c r="CR580" s="64" t="n">
        <f aca="false">IF(AND(Parameter!$B$21="Ja",ISNUMBER(W580),N(X580)&gt;0),IFERROR(N(INDEX(Parameter!$L$5:$L$7,W580))*INDEX(Parameter!$E$5:$E$7,W580)*X580/SUMIFS($X$7:$X$1843,$W$7:$W$1843,W580),0),0)</f>
        <v>0</v>
      </c>
      <c r="CS580" s="62" t="n">
        <f aca="false">IF(AND(OR(CG580="L1",CG580="L23",CG580="LIFT"),H580&gt;0),CC580*IF(CR580&gt;0,CR580*MAX(1,H580/X580),IF(CA580=1,CE580,IF(R580&gt;0,CN580/R580,0))/MAX(0.1,N(Parameter!$M$21))),"")</f>
        <v>5.96153846153846</v>
      </c>
      <c r="CT580" s="64" t="n">
        <f aca="false">IF(CS580="","",J580/H580)</f>
        <v>0</v>
      </c>
      <c r="CU580" s="62" t="n">
        <f aca="false">IF(CS580="","",H580*G580)</f>
        <v>9.5</v>
      </c>
      <c r="CV580" s="63" t="n">
        <f aca="false">IF(CS580="","",(CL580+ROUNDUP(CL580+MAX(CM580,2*(J580/MAX(0.1,N(Einkauf!$C$6))-CL580)),0))/2)</f>
        <v>0.5</v>
      </c>
      <c r="CW580" s="62" t="n">
        <f aca="false">IF(CS580="","",MAX(0,H580-CV580)*G580)</f>
        <v>4.75</v>
      </c>
      <c r="CX580" s="62" t="n">
        <f aca="false">IF(CS580="","",CS580*MAX(0,1-CV580/H580))</f>
        <v>2.98076923076923</v>
      </c>
      <c r="CY580" s="64" t="n">
        <f aca="false">IF(CS580="","",PERCENTRANK($CS$7:$CS$1843,CS580)+PERCENTRANK($CU$7:$CU$1843,CU580)+1-PERCENTRANK($CT$7:$CT$1843,CT580))</f>
        <v>1.4011</v>
      </c>
      <c r="CZ580" s="72" t="n">
        <f aca="false">IF(CS580="","",CHOOSE(MATCH(Einkauf!$C$5,Parameter!$G$23:$G$27,0),CY580,CS580,CU580,-CT580,CW580)+ROW()/1000000000)</f>
        <v>1.40110058</v>
      </c>
    </row>
    <row r="581" customFormat="false" ht="15" hidden="false" customHeight="false" outlineLevel="0" collapsed="false">
      <c r="A581" s="60" t="s">
        <v>1261</v>
      </c>
      <c r="B581" s="60" t="s">
        <v>903</v>
      </c>
      <c r="C581" s="60" t="s">
        <v>206</v>
      </c>
      <c r="D581" s="60" t="s">
        <v>226</v>
      </c>
      <c r="E581" s="60"/>
      <c r="F581" s="60" t="s">
        <v>260</v>
      </c>
      <c r="G581" s="61" t="n">
        <v>3.15</v>
      </c>
      <c r="H581" s="62" t="n">
        <f aca="false">MAX(0,IF(AND(Parameter!$B$21="Ja",ISNUMBER(Y581)),Y581,IF(Parameter!$B$20="Jahresanfang 2025 + Export",BS581+BR581,BR581)))</f>
        <v>3</v>
      </c>
      <c r="I581" s="62" t="n">
        <f aca="false">H581*G581</f>
        <v>9.45</v>
      </c>
      <c r="J581" s="62" t="n">
        <f aca="false">BU581*Parameter!$B$18</f>
        <v>4</v>
      </c>
      <c r="K581" s="63" t="n">
        <v>3</v>
      </c>
      <c r="L581" s="64" t="n">
        <v>1.33333333333333</v>
      </c>
      <c r="M581" s="62" t="n">
        <v>0</v>
      </c>
      <c r="N581" s="62" t="n">
        <v>5</v>
      </c>
      <c r="O581" s="65" t="n">
        <v>14</v>
      </c>
      <c r="P581" s="60" t="s">
        <v>443</v>
      </c>
      <c r="Q581" s="62" t="n">
        <v>3</v>
      </c>
      <c r="R581" s="65" t="n">
        <f aca="false">IF(CA581=1,0,IFERROR(VLOOKUP(BY581,'Gebinde-Kategorie'!$A$5:$N$45,13,0)+0,0))</f>
        <v>280</v>
      </c>
      <c r="S581" s="66"/>
      <c r="T581" s="67"/>
      <c r="U581" s="67"/>
      <c r="V581" s="67"/>
      <c r="W581" s="60"/>
      <c r="X581" s="62"/>
      <c r="Y581" s="62"/>
      <c r="Z581" s="60" t="n">
        <v>3</v>
      </c>
      <c r="AA581" s="60" t="n">
        <f aca="false">IF(A581="","",IF(AND(Parameter!$B$21="Ja",ISNUMBER(W581)),W581,IF(AND(Parameter!$E$27="Ja",ISNUMBER(Z581),CD581&lt;&gt;"Nein"),Z581,IF(CD581="2+3",IF(ISNUMBER(SEARCH("grosser Artikel",BV581)),2,IFERROR(VLOOKUP(BY581,Parameter!$F$35:$G$64,2,0),2)),IF(OR(CD581="Nein",CD581=""),"-",CD581)))))</f>
        <v>3</v>
      </c>
      <c r="AB581" s="67"/>
      <c r="AC581" s="68"/>
      <c r="AD581" s="62" t="n">
        <f aca="false">AW581</f>
        <v>5</v>
      </c>
      <c r="AE581" s="62" t="n">
        <f aca="false">MAX(AW581,H581)</f>
        <v>5</v>
      </c>
      <c r="AF581" s="69"/>
      <c r="AG581" s="62" t="n">
        <f aca="false">IF(LEFT(Cockpit!$C$5,1)="A",H581,IF(Parameter!$E$30="MAX-Bestand",IF(CI581=1,CJ581,IF(LEFT(Cockpit!$C$5,1)="B",AM581,MAX(AM581,H581))),ROUNDUP(AK581,0)))</f>
        <v>3</v>
      </c>
      <c r="AH581" s="62" t="n">
        <f aca="false">IF(CA581=1,0,ROUNDUP(AG581/BZ581,0))</f>
        <v>1</v>
      </c>
      <c r="AI581" s="64" t="n">
        <f aca="false">IF(CR581&gt;0,CR581*MAX(1,AG581/X581),IF(CA581=1,IF(AG581&lt;=0,0,CE581*MAX(1,IF(H581&gt;0,AG581/H581,1))),IF(R581&gt;0,AH581/R581,0))/MAX(0.1,N(Parameter!$M$21)))</f>
        <v>0.00357142857142857</v>
      </c>
      <c r="AJ581" s="62" t="n">
        <f aca="false">AI581*CC581</f>
        <v>0.553571428571429</v>
      </c>
      <c r="AK581" s="63" t="n">
        <f aca="false">IF(LEFT(Cockpit!$C$5,1)="A",H581,IF(CI581=1,(CL581+CJ581)/2,IF(LEFT(Cockpit!$C$5,1)="B",(CL581+AM581)/2,MAX((CL581+AM581)/2,H581))))</f>
        <v>3</v>
      </c>
      <c r="AL581" s="62" t="n">
        <f aca="false">AK581*G581</f>
        <v>9.45</v>
      </c>
      <c r="AM581" s="62" t="n">
        <f aca="false">ROUNDUP(CL581+MAX(CM581,2*(J581/IF(CH581&gt;0,CH581,MAX(0.1,N(Cockpit!$C$6)))-CL581)),0)</f>
        <v>5</v>
      </c>
      <c r="AN581" s="63" t="n">
        <f aca="false">IF(AJ581&gt;0,J581/AJ581,-1)</f>
        <v>7.2258064516129</v>
      </c>
      <c r="AO581" s="63" t="n">
        <f aca="false">IF(AND(OR(CG581="L1",CG581="L23",CG581="LIFT"),AJ581&gt;0),SUMIFS($AJ$7:$AJ$1843,$CG$7:$CG$1843,CG581,$AN$7:$AN$1843,"&gt;"&amp;AN581)+SUMIFS($AJ$7:$AJ$1843,$CG$7:$CG$1843,CG581,$AN$7:$AN$1843,AN581,$BX$7:$BX$1843,"&lt;="&amp;BX581),"")</f>
        <v>3156.13644688645</v>
      </c>
      <c r="AP581" s="70" t="n">
        <f aca="false">IF(AO581="",0,MAX(0,MIN(1,(IF(CG581="L1",Parameter!$H$5,IF(CG581="L23",Parameter!$H$6+Parameter!$H$7,Parameter!$H$5+Parameter!$H$6+Parameter!$H$7))-(AO581-AJ581))/AJ581)))</f>
        <v>1</v>
      </c>
      <c r="AQ581" s="62" t="n">
        <f aca="false">IF(LEFT(Cockpit!$I$5,1)="A",H581,IF(Parameter!$E$30="MAX-Bestand",IF(CI581=1,CJ581,IF(LEFT(Cockpit!$I$5,1)="B",AW581,MAX(AW581,H581))),ROUNDUP(AU581,0)))</f>
        <v>3</v>
      </c>
      <c r="AR581" s="62" t="n">
        <f aca="false">IF(CA581=1,0,ROUNDUP(AQ581/BZ581,0))</f>
        <v>1</v>
      </c>
      <c r="AS581" s="64" t="n">
        <f aca="false">IF(CR581&gt;0,CR581*MAX(1,AQ581/X581),IF(CA581=1,IF(AQ581&lt;=0,0,CE581*MAX(1,IF(H581&gt;0,AQ581/H581,1))),IF(R581&gt;0,AR581/R581,0))/MAX(0.1,N(Parameter!$M$21)))</f>
        <v>0.00357142857142857</v>
      </c>
      <c r="AT581" s="62" t="n">
        <f aca="false">AS581*CC581</f>
        <v>0.553571428571429</v>
      </c>
      <c r="AU581" s="63" t="n">
        <f aca="false">IF(LEFT(Cockpit!$I$5,1)="A",H581,IF(CI581=1,(CL581+CJ581)/2,IF(LEFT(Cockpit!$I$5,1)="B",(CL581+AW581)/2,MAX((CL581+AW581)/2,H581))))</f>
        <v>3</v>
      </c>
      <c r="AV581" s="62" t="n">
        <f aca="false">AU581*G581</f>
        <v>9.45</v>
      </c>
      <c r="AW581" s="62" t="n">
        <f aca="false">ROUNDUP(CL581+MAX(CM581,2*(J581/IF(CH581&gt;0,CH581,MAX(0.1,N(Cockpit!$I$6)))-CL581)),0)</f>
        <v>5</v>
      </c>
      <c r="AX581" s="63" t="n">
        <f aca="false">IF(AT581&gt;0,J581/AT581,-1)</f>
        <v>7.2258064516129</v>
      </c>
      <c r="AY581" s="63" t="n">
        <f aca="false">IF(AND(OR(CG581="L1",CG581="L23",CG581="LIFT"),AT581&gt;0),SUMIFS($AT$7:$AT$1843,$CG$7:$CG$1843,CG581,$AX$7:$AX$1843,"&gt;"&amp;AX581)+SUMIFS($AT$7:$AT$1843,$CG$7:$CG$1843,CG581,$AX$7:$AX$1843,AX581,$BX$7:$BX$1843,"&lt;="&amp;BX581),"")</f>
        <v>3816.4478021978</v>
      </c>
      <c r="AZ581" s="70" t="n">
        <f aca="false">IF(AY581="",0,MAX(0,MIN(1,(IF(CG581="L1",Parameter!$H$5,IF(CG581="L23",Parameter!$H$6+Parameter!$H$7,Parameter!$H$5+Parameter!$H$6+Parameter!$H$7))-(AY581-AT581))/AT581)))</f>
        <v>1</v>
      </c>
      <c r="BA581" s="62" t="n">
        <f aca="false">IF(LEFT(Cockpit!$O$5,1)="A",H581,IF(Parameter!$E$30="MAX-Bestand",IF(CI581=1,CJ581,IF(LEFT(Cockpit!$O$5,1)="B",BG581,MAX(BG581,H581))),ROUNDUP(BE581,0)))</f>
        <v>3</v>
      </c>
      <c r="BB581" s="62" t="n">
        <f aca="false">IF(CA581=1,0,ROUNDUP(BA581/BZ581,0))</f>
        <v>1</v>
      </c>
      <c r="BC581" s="64" t="n">
        <f aca="false">IF(CR581&gt;0,CR581*MAX(1,BA581/X581),IF(CA581=1,IF(BA581&lt;=0,0,CE581*MAX(1,IF(H581&gt;0,BA581/H581,1))),IF(R581&gt;0,BB581/R581,0))/MAX(0.1,N(Parameter!$M$21)))</f>
        <v>0.00357142857142857</v>
      </c>
      <c r="BD581" s="62" t="n">
        <f aca="false">BC581*CC581</f>
        <v>0.553571428571429</v>
      </c>
      <c r="BE581" s="63" t="n">
        <f aca="false">IF(LEFT(Cockpit!$O$5,1)="A",H581,IF(CI581=1,(CL581+CJ581)/2,IF(LEFT(Cockpit!$O$5,1)="B",(CL581+BG581)/2,MAX((CL581+BG581)/2,H581))))</f>
        <v>2.5</v>
      </c>
      <c r="BF581" s="62" t="n">
        <f aca="false">BE581*G581</f>
        <v>7.875</v>
      </c>
      <c r="BG581" s="62" t="n">
        <f aca="false">ROUNDUP(CL581+MAX(CM581,2*(J581/IF(CH581&gt;0,CH581,MAX(0.1,N(Cockpit!$O$6)))-CL581)),0)</f>
        <v>5</v>
      </c>
      <c r="BH581" s="63" t="n">
        <f aca="false">IF(BD581&gt;0,J581/BD581,-1)</f>
        <v>7.2258064516129</v>
      </c>
      <c r="BI581" s="63" t="n">
        <f aca="false">IF(AND(OR(CG581="L1",CG581="L23",CG581="LIFT"),BD581&gt;0),SUMIFS($BD$7:$BD$1843,$CG$7:$CG$1843,CG581,$BH$7:$BH$1843,"&gt;"&amp;BH581)+SUMIFS($BD$7:$BD$1843,$CG$7:$CG$1843,CG581,$BH$7:$BH$1843,BH581,$BX$7:$BX$1843,"&lt;="&amp;BX581),"")</f>
        <v>3240.90567765568</v>
      </c>
      <c r="BJ581" s="70" t="n">
        <f aca="false">IF(BI581="",0,MAX(0,MIN(1,(IF(CG581="L1",Parameter!$H$5,IF(CG581="L23",Parameter!$H$6+Parameter!$H$7,Parameter!$H$5+Parameter!$H$6+Parameter!$H$7))-(BI581-BD581))/BD581)))</f>
        <v>1</v>
      </c>
      <c r="BK581" s="60" t="str">
        <f aca="false">IF(AJ581&lt;=0,"",IF(CG581="Aussen","Aussenlager",IF(CG581="-","Nicht im Lift",IF(AP581&gt;=1,"Lift",IF(AP581&lt;=0,"Aussenlager","teilweise")))))</f>
        <v>Lift</v>
      </c>
      <c r="BL581" s="60" t="str">
        <f aca="false">IF(AT581&lt;=0,"",IF(CG581="Aussen","Aussenlager",IF(CG581="-","Nicht im Lift",IF(AZ581&gt;=1,"Lift",IF(AZ581&lt;=0,"Aussenlager","teilweise")))))</f>
        <v>Lift</v>
      </c>
      <c r="BM581" s="60" t="str">
        <f aca="false">IF(BD581&lt;=0,"",IF(CG581="Aussen","Aussenlager",IF(CG581="-","Nicht im Lift",IF(BJ581&gt;=1,"Lift",IF(BJ581&lt;=0,"Aussenlager","teilweise")))))</f>
        <v>Lift</v>
      </c>
      <c r="BN581" s="60" t="str">
        <f aca="false">IF(A581="","",IF(BW581=1,"Neu; ","")&amp;IF(AND(BW581=0,BR581&lt;0),"negativer Bestand (Export "&amp;BR581&amp;"); ","")&amp;IF(J581&lt;=0,"Kein Verbrauch; ","")&amp;IF(CR581&gt;0,"Lift "&amp;W581&amp;" lt. Liftbericht (Fach "&amp;X581&amp;" Stk); ",IF(CB581=1,"Gebinde geschätzt ("&amp;T581&amp;"); ",IF(CA581=1,"Lose – Tablare geschätzt; ","")))&amp;IF(H581&gt;AW581,"Überbestand "&amp;ROUND(H581-AW581,0)&amp;" Stk / CHF "&amp;ROUND((H581-AW581)*G581,0)&amp;"; ","")&amp;IF(AND(CI581=1,CJ581&lt;CK581),"MAX &lt; MB+LG; ","")&amp;IF(AND(CQ581&gt;0,CP581*10&gt;CQ581),"zu hoch für Tablar; ","")&amp;IF(AND(BW581=0,OR(CI581=1,AB581&lt;&gt;"",U581&lt;&gt;"",V581&lt;&gt;"",AC581&lt;&gt;"")),"manuell übersteuert; ","")&amp;IF(AND(CA581=0,R581=0),"Gebinde unbekannt / Stellmass fehlt; ","")&amp;IF(AND(CA581=0,N(V581)&lt;=0,N(Q581)&lt;=0),"Menge pro Gebinde fehlt (Ist = 1 Gebinde); ","")&amp;BV581)</f>
        <v/>
      </c>
      <c r="BO581" s="60"/>
      <c r="BP581" s="60"/>
      <c r="BQ581" s="67"/>
      <c r="BR581" s="62" t="n">
        <v>3</v>
      </c>
      <c r="BS581" s="62" t="n">
        <v>0</v>
      </c>
      <c r="BT581" s="61" t="n">
        <v>9.45</v>
      </c>
      <c r="BU581" s="62" t="n">
        <v>4</v>
      </c>
      <c r="BV581" s="60"/>
      <c r="BW581" s="65" t="n">
        <v>0</v>
      </c>
      <c r="BX581" s="65" t="n">
        <v>581</v>
      </c>
      <c r="BY581" s="60" t="str">
        <f aca="false">IF(U581&lt;&gt;"",UPPER(TRIM(U581)),IF(CB581=1,UPPER(VLOOKUP(T581,Parameter!$I$27:$K$29,2,0)),IF(P581="","LOSE",P581)))</f>
        <v>S21</v>
      </c>
      <c r="BZ581" s="62" t="n">
        <f aca="false">IF(BY581="LOSE",1,IF(N(V581)&gt;0,V581,IF(CB581=1,MAX(1,N(VLOOKUP(T581,Parameter!$I$27:$K$29,3,0)),H581,N(N581)),IF(N(Q581)&gt;0,Q581,MAX(1,H581)))))</f>
        <v>3</v>
      </c>
      <c r="CA581" s="65" t="n">
        <f aca="false">IF(BY581="LOSE",1,0)</f>
        <v>0</v>
      </c>
      <c r="CB581" s="65" t="n">
        <f aca="false">IF(AND(U581="",OR(P581="",P581="LOSE"),T581&lt;&gt;"",N(S581)&lt;=0,ISNUMBER(MATCH(T581,Parameter!$I$27:$I$29,0))),1,0)</f>
        <v>0</v>
      </c>
      <c r="CC581" s="65" t="n">
        <f aca="false">IF(CR581&gt;0,INDEX(Parameter!$H$5:$H$7,W581)/INDEX(Parameter!$E$5:$E$7,W581),IF(AND(CA581=0,N(IFERROR(VLOOKUP(BY581,'Gebinde-Kategorie'!$A$5:$N$45,14,0),0))&gt;0),VLOOKUP(BY581,'Gebinde-Kategorie'!$A$5:$N$45,14,0)*10+Parameter!$M$23,Parameter!$M$24))</f>
        <v>155</v>
      </c>
      <c r="CD581" s="60" t="str">
        <f aca="false">IF(AND(Parameter!$B$19="Ja",E581&lt;&gt;"",ISNUMBER(MATCH(E581,Parameter!$I$35:$I$52,0))),VLOOKUP(E581,Parameter!$I$35:$J$52,2,0),IFERROR(VLOOKUP(D581,Parameter!$A$35:$C$64,2,0),"Nein"))</f>
        <v>2+3</v>
      </c>
      <c r="CE581" s="64" t="n">
        <f aca="false">IF(CA581=0,0,IF(N(S581)&gt;0,S581,IFERROR(VLOOKUP(D581,Parameter!$A$35:$C$64,3,0)+0,0)))</f>
        <v>0</v>
      </c>
      <c r="CF581" s="60" t="n">
        <f aca="false">IF(AB581&lt;&gt;"",AB581,AA581)</f>
        <v>3</v>
      </c>
      <c r="CG581" s="60" t="str">
        <f aca="false">IF(OR(CF581=1,CF581=2,CF581=3),IF(Parameter!$E$27="Ja","LIFT",IF(CF581=1,"L1","L23")),IF(CF581="Aussen","Aussen","-"))</f>
        <v>LIFT</v>
      </c>
      <c r="CH581" s="71" t="n">
        <f aca="false">IF(N(AC581)&gt;0,AC581,0)</f>
        <v>0</v>
      </c>
      <c r="CI581" s="65" t="n">
        <f aca="false">IF(ISNUMBER(AF581),1,0)</f>
        <v>0</v>
      </c>
      <c r="CJ581" s="62" t="n">
        <f aca="false">N(AF581)</f>
        <v>0</v>
      </c>
      <c r="CK581" s="62" t="n">
        <f aca="false">N(M581)+N(N581)</f>
        <v>5</v>
      </c>
      <c r="CL581" s="62" t="n">
        <f aca="false">N(M581)</f>
        <v>0</v>
      </c>
      <c r="CM581" s="62" t="n">
        <f aca="false">N(N581)</f>
        <v>5</v>
      </c>
      <c r="CN581" s="62" t="n">
        <f aca="false">ROUNDUP(H581/BZ581,0)</f>
        <v>1</v>
      </c>
      <c r="CO581" s="62" t="n">
        <f aca="false">ROUNDUP(CJ581/BZ581,0)</f>
        <v>0</v>
      </c>
      <c r="CP581" s="65" t="n">
        <f aca="false">IF(CA581=1,0,IFERROR(VLOOKUP(BY581,'Gebinde-Kategorie'!$A$5:$N$45,5,0)+0,0))</f>
        <v>8</v>
      </c>
      <c r="CQ581" s="65" t="n">
        <f aca="false">IFERROR(IF(OR(CF581=1,CF581=2,CF581=3),N(INDEX(Parameter!$I$5:$I$7,CF581)),0),0)</f>
        <v>0</v>
      </c>
      <c r="CR581" s="64" t="n">
        <f aca="false">IF(AND(Parameter!$B$21="Ja",ISNUMBER(W581),N(X581)&gt;0),IFERROR(N(INDEX(Parameter!$L$5:$L$7,W581))*INDEX(Parameter!$E$5:$E$7,W581)*X581/SUMIFS($X$7:$X$1843,$W$7:$W$1843,W581),0),0)</f>
        <v>0</v>
      </c>
      <c r="CS581" s="62" t="n">
        <f aca="false">IF(AND(OR(CG581="L1",CG581="L23",CG581="LIFT"),H581&gt;0),CC581*IF(CR581&gt;0,CR581*MAX(1,H581/X581),IF(CA581=1,CE581,IF(R581&gt;0,CN581/R581,0))/MAX(0.1,N(Parameter!$M$21))),"")</f>
        <v>0.553571428571429</v>
      </c>
      <c r="CT581" s="64" t="n">
        <f aca="false">IF(CS581="","",J581/H581)</f>
        <v>1.33333333333333</v>
      </c>
      <c r="CU581" s="62" t="n">
        <f aca="false">IF(CS581="","",H581*G581)</f>
        <v>9.45</v>
      </c>
      <c r="CV581" s="63" t="n">
        <f aca="false">IF(CS581="","",(CL581+ROUNDUP(CL581+MAX(CM581,2*(J581/MAX(0.1,N(Einkauf!$C$6))-CL581)),0))/2)</f>
        <v>2.5</v>
      </c>
      <c r="CW581" s="62" t="n">
        <f aca="false">IF(CS581="","",MAX(0,H581-CV581)*G581)</f>
        <v>1.575</v>
      </c>
      <c r="CX581" s="62" t="n">
        <f aca="false">IF(CS581="","",CS581*MAX(0,1-CV581/H581))</f>
        <v>0.0922619047619048</v>
      </c>
      <c r="CY581" s="64" t="n">
        <f aca="false">IF(CS581="","",PERCENTRANK($CS$7:$CS$1843,CS581)+PERCENTRANK($CU$7:$CU$1843,CU581)+1-PERCENTRANK($CT$7:$CT$1843,CT581))</f>
        <v>0.3068</v>
      </c>
      <c r="CZ581" s="72" t="n">
        <f aca="false">IF(CS581="","",CHOOSE(MATCH(Einkauf!$C$5,Parameter!$G$23:$G$27,0),CY581,CS581,CU581,-CT581,CW581)+ROW()/1000000000)</f>
        <v>0.306800581</v>
      </c>
    </row>
    <row r="582" customFormat="false" ht="15" hidden="false" customHeight="false" outlineLevel="0" collapsed="false">
      <c r="A582" s="60" t="s">
        <v>1262</v>
      </c>
      <c r="B582" s="60" t="s">
        <v>692</v>
      </c>
      <c r="C582" s="60" t="s">
        <v>206</v>
      </c>
      <c r="D582" s="60" t="s">
        <v>226</v>
      </c>
      <c r="E582" s="60" t="s">
        <v>227</v>
      </c>
      <c r="F582" s="60" t="s">
        <v>260</v>
      </c>
      <c r="G582" s="61" t="n">
        <v>9.27</v>
      </c>
      <c r="H582" s="62" t="n">
        <f aca="false">MAX(0,IF(AND(Parameter!$B$21="Ja",ISNUMBER(Y582)),Y582,IF(Parameter!$B$20="Jahresanfang 2025 + Export",BS582+BR582,BR582)))</f>
        <v>110</v>
      </c>
      <c r="I582" s="62" t="n">
        <f aca="false">H582*G582</f>
        <v>1019.7</v>
      </c>
      <c r="J582" s="62" t="n">
        <f aca="false">BU582*Parameter!$B$18</f>
        <v>1</v>
      </c>
      <c r="K582" s="63" t="n">
        <v>110.5</v>
      </c>
      <c r="L582" s="64" t="n">
        <v>0.00904977375565611</v>
      </c>
      <c r="M582" s="62" t="n">
        <v>0</v>
      </c>
      <c r="N582" s="62" t="n">
        <v>1</v>
      </c>
      <c r="O582" s="65" t="n">
        <v>28</v>
      </c>
      <c r="P582" s="60" t="s">
        <v>344</v>
      </c>
      <c r="Q582" s="62" t="n">
        <v>23</v>
      </c>
      <c r="R582" s="65" t="n">
        <f aca="false">IF(CA582=1,0,IFERROR(VLOOKUP(BY582,'Gebinde-Kategorie'!$A$5:$N$45,13,0)+0,0))</f>
        <v>26</v>
      </c>
      <c r="S582" s="66"/>
      <c r="T582" s="67"/>
      <c r="U582" s="67"/>
      <c r="V582" s="67"/>
      <c r="W582" s="60"/>
      <c r="X582" s="62"/>
      <c r="Y582" s="62"/>
      <c r="Z582" s="60" t="n">
        <v>3</v>
      </c>
      <c r="AA582" s="60" t="n">
        <f aca="false">IF(A582="","",IF(AND(Parameter!$B$21="Ja",ISNUMBER(W582)),W582,IF(AND(Parameter!$E$27="Ja",ISNUMBER(Z582),CD582&lt;&gt;"Nein"),Z582,IF(CD582="2+3",IF(ISNUMBER(SEARCH("grosser Artikel",BV582)),2,IFERROR(VLOOKUP(BY582,Parameter!$F$35:$G$64,2,0),2)),IF(OR(CD582="Nein",CD582=""),"-",CD582)))))</f>
        <v>3</v>
      </c>
      <c r="AB582" s="67"/>
      <c r="AC582" s="68"/>
      <c r="AD582" s="62" t="n">
        <f aca="false">AW582</f>
        <v>1</v>
      </c>
      <c r="AE582" s="62" t="n">
        <f aca="false">MAX(AW582,H582)</f>
        <v>110</v>
      </c>
      <c r="AF582" s="69"/>
      <c r="AG582" s="62" t="n">
        <f aca="false">IF(LEFT(Cockpit!$C$5,1)="A",H582,IF(Parameter!$E$30="MAX-Bestand",IF(CI582=1,CJ582,IF(LEFT(Cockpit!$C$5,1)="B",AM582,MAX(AM582,H582))),ROUNDUP(AK582,0)))</f>
        <v>110</v>
      </c>
      <c r="AH582" s="62" t="n">
        <f aca="false">IF(CA582=1,0,ROUNDUP(AG582/BZ582,0))</f>
        <v>5</v>
      </c>
      <c r="AI582" s="64" t="n">
        <f aca="false">IF(CR582&gt;0,CR582*MAX(1,AG582/X582),IF(CA582=1,IF(AG582&lt;=0,0,CE582*MAX(1,IF(H582&gt;0,AG582/H582,1))),IF(R582&gt;0,AH582/R582,0))/MAX(0.1,N(Parameter!$M$21)))</f>
        <v>0.192307692307692</v>
      </c>
      <c r="AJ582" s="62" t="n">
        <f aca="false">AI582*CC582</f>
        <v>29.8076923076923</v>
      </c>
      <c r="AK582" s="63" t="n">
        <f aca="false">IF(LEFT(Cockpit!$C$5,1)="A",H582,IF(CI582=1,(CL582+CJ582)/2,IF(LEFT(Cockpit!$C$5,1)="B",(CL582+AM582)/2,MAX((CL582+AM582)/2,H582))))</f>
        <v>110</v>
      </c>
      <c r="AL582" s="62" t="n">
        <f aca="false">AK582*G582</f>
        <v>1019.7</v>
      </c>
      <c r="AM582" s="62" t="n">
        <f aca="false">ROUNDUP(CL582+MAX(CM582,2*(J582/IF(CH582&gt;0,CH582,MAX(0.1,N(Cockpit!$C$6)))-CL582)),0)</f>
        <v>1</v>
      </c>
      <c r="AN582" s="63" t="n">
        <f aca="false">IF(AJ582&gt;0,J582/AJ582,-1)</f>
        <v>0.0335483870967742</v>
      </c>
      <c r="AO582" s="63" t="n">
        <f aca="false">IF(AND(OR(CG582="L1",CG582="L23",CG582="LIFT"),AJ582&gt;0),SUMIFS($AJ$7:$AJ$1843,$CG$7:$CG$1843,CG582,$AN$7:$AN$1843,"&gt;"&amp;AN582)+SUMIFS($AJ$7:$AJ$1843,$CG$7:$CG$1843,CG582,$AN$7:$AN$1843,AN582,$BX$7:$BX$1843,"&lt;="&amp;BX582),"")</f>
        <v>20391.9079566855</v>
      </c>
      <c r="AP582" s="70" t="n">
        <f aca="false">IF(AO582="",0,MAX(0,MIN(1,(IF(CG582="L1",Parameter!$H$5,IF(CG582="L23",Parameter!$H$6+Parameter!$H$7,Parameter!$H$5+Parameter!$H$6+Parameter!$H$7))-(AO582-AJ582))/AJ582)))</f>
        <v>1</v>
      </c>
      <c r="AQ582" s="62" t="n">
        <f aca="false">IF(LEFT(Cockpit!$I$5,1)="A",H582,IF(Parameter!$E$30="MAX-Bestand",IF(CI582=1,CJ582,IF(LEFT(Cockpit!$I$5,1)="B",AW582,MAX(AW582,H582))),ROUNDUP(AU582,0)))</f>
        <v>110</v>
      </c>
      <c r="AR582" s="62" t="n">
        <f aca="false">IF(CA582=1,0,ROUNDUP(AQ582/BZ582,0))</f>
        <v>5</v>
      </c>
      <c r="AS582" s="64" t="n">
        <f aca="false">IF(CR582&gt;0,CR582*MAX(1,AQ582/X582),IF(CA582=1,IF(AQ582&lt;=0,0,CE582*MAX(1,IF(H582&gt;0,AQ582/H582,1))),IF(R582&gt;0,AR582/R582,0))/MAX(0.1,N(Parameter!$M$21)))</f>
        <v>0.192307692307692</v>
      </c>
      <c r="AT582" s="62" t="n">
        <f aca="false">AS582*CC582</f>
        <v>29.8076923076923</v>
      </c>
      <c r="AU582" s="63" t="n">
        <f aca="false">IF(LEFT(Cockpit!$I$5,1)="A",H582,IF(CI582=1,(CL582+CJ582)/2,IF(LEFT(Cockpit!$I$5,1)="B",(CL582+AW582)/2,MAX((CL582+AW582)/2,H582))))</f>
        <v>110</v>
      </c>
      <c r="AV582" s="62" t="n">
        <f aca="false">AU582*G582</f>
        <v>1019.7</v>
      </c>
      <c r="AW582" s="62" t="n">
        <f aca="false">ROUNDUP(CL582+MAX(CM582,2*(J582/IF(CH582&gt;0,CH582,MAX(0.1,N(Cockpit!$I$6)))-CL582)),0)</f>
        <v>1</v>
      </c>
      <c r="AX582" s="63" t="n">
        <f aca="false">IF(AT582&gt;0,J582/AT582,-1)</f>
        <v>0.0335483870967742</v>
      </c>
      <c r="AY582" s="63" t="n">
        <f aca="false">IF(AND(OR(CG582="L1",CG582="L23",CG582="LIFT"),AT582&gt;0),SUMIFS($AT$7:$AT$1843,$CG$7:$CG$1843,CG582,$AX$7:$AX$1843,"&gt;"&amp;AX582)+SUMIFS($AT$7:$AT$1843,$CG$7:$CG$1843,CG582,$AX$7:$AX$1843,AX582,$BX$7:$BX$1843,"&lt;="&amp;BX582),"")</f>
        <v>25510.056598063</v>
      </c>
      <c r="AZ582" s="70" t="n">
        <f aca="false">IF(AY582="",0,MAX(0,MIN(1,(IF(CG582="L1",Parameter!$H$5,IF(CG582="L23",Parameter!$H$6+Parameter!$H$7,Parameter!$H$5+Parameter!$H$6+Parameter!$H$7))-(AY582-AT582))/AT582)))</f>
        <v>1</v>
      </c>
      <c r="BA582" s="62" t="n">
        <f aca="false">IF(LEFT(Cockpit!$O$5,1)="A",H582,IF(Parameter!$E$30="MAX-Bestand",IF(CI582=1,CJ582,IF(LEFT(Cockpit!$O$5,1)="B",BG582,MAX(BG582,H582))),ROUNDUP(BE582,0)))</f>
        <v>1</v>
      </c>
      <c r="BB582" s="62" t="n">
        <f aca="false">IF(CA582=1,0,ROUNDUP(BA582/BZ582,0))</f>
        <v>1</v>
      </c>
      <c r="BC582" s="64" t="n">
        <f aca="false">IF(CR582&gt;0,CR582*MAX(1,BA582/X582),IF(CA582=1,IF(BA582&lt;=0,0,CE582*MAX(1,IF(H582&gt;0,BA582/H582,1))),IF(R582&gt;0,BB582/R582,0))/MAX(0.1,N(Parameter!$M$21)))</f>
        <v>0.0384615384615385</v>
      </c>
      <c r="BD582" s="62" t="n">
        <f aca="false">BC582*CC582</f>
        <v>5.96153846153846</v>
      </c>
      <c r="BE582" s="63" t="n">
        <f aca="false">IF(LEFT(Cockpit!$O$5,1)="A",H582,IF(CI582=1,(CL582+CJ582)/2,IF(LEFT(Cockpit!$O$5,1)="B",(CL582+BG582)/2,MAX((CL582+BG582)/2,H582))))</f>
        <v>0.5</v>
      </c>
      <c r="BF582" s="62" t="n">
        <f aca="false">BE582*G582</f>
        <v>4.635</v>
      </c>
      <c r="BG582" s="62" t="n">
        <f aca="false">ROUNDUP(CL582+MAX(CM582,2*(J582/IF(CH582&gt;0,CH582,MAX(0.1,N(Cockpit!$O$6)))-CL582)),0)</f>
        <v>1</v>
      </c>
      <c r="BH582" s="63" t="n">
        <f aca="false">IF(BD582&gt;0,J582/BD582,-1)</f>
        <v>0.167741935483871</v>
      </c>
      <c r="BI582" s="63" t="n">
        <f aca="false">IF(AND(OR(CG582="L1",CG582="L23",CG582="LIFT"),BD582&gt;0),SUMIFS($BD$7:$BD$1843,$CG$7:$CG$1843,CG582,$BH$7:$BH$1843,"&gt;"&amp;BH582)+SUMIFS($BD$7:$BD$1843,$CG$7:$CG$1843,CG582,$BH$7:$BH$1843,BH582,$BX$7:$BX$1843,"&lt;="&amp;BX582),"")</f>
        <v>13428.598820906</v>
      </c>
      <c r="BJ582" s="70" t="n">
        <f aca="false">IF(BI582="",0,MAX(0,MIN(1,(IF(CG582="L1",Parameter!$H$5,IF(CG582="L23",Parameter!$H$6+Parameter!$H$7,Parameter!$H$5+Parameter!$H$6+Parameter!$H$7))-(BI582-BD582))/BD582)))</f>
        <v>1</v>
      </c>
      <c r="BK582" s="60" t="str">
        <f aca="false">IF(AJ582&lt;=0,"",IF(CG582="Aussen","Aussenlager",IF(CG582="-","Nicht im Lift",IF(AP582&gt;=1,"Lift",IF(AP582&lt;=0,"Aussenlager","teilweise")))))</f>
        <v>Lift</v>
      </c>
      <c r="BL582" s="60" t="str">
        <f aca="false">IF(AT582&lt;=0,"",IF(CG582="Aussen","Aussenlager",IF(CG582="-","Nicht im Lift",IF(AZ582&gt;=1,"Lift",IF(AZ582&lt;=0,"Aussenlager","teilweise")))))</f>
        <v>Lift</v>
      </c>
      <c r="BM582" s="60" t="str">
        <f aca="false">IF(BD582&lt;=0,"",IF(CG582="Aussen","Aussenlager",IF(CG582="-","Nicht im Lift",IF(BJ582&gt;=1,"Lift",IF(BJ582&lt;=0,"Aussenlager","teilweise")))))</f>
        <v>Lift</v>
      </c>
      <c r="BN582" s="60" t="str">
        <f aca="false">IF(A582="","",IF(BW582=1,"Neu; ","")&amp;IF(AND(BW582=0,BR582&lt;0),"negativer Bestand (Export "&amp;BR582&amp;"); ","")&amp;IF(J582&lt;=0,"Kein Verbrauch; ","")&amp;IF(CR582&gt;0,"Lift "&amp;W582&amp;" lt. Liftbericht (Fach "&amp;X582&amp;" Stk); ",IF(CB582=1,"Gebinde geschätzt ("&amp;T582&amp;"); ",IF(CA582=1,"Lose – Tablare geschätzt; ","")))&amp;IF(H582&gt;AW582,"Überbestand "&amp;ROUND(H582-AW582,0)&amp;" Stk / CHF "&amp;ROUND((H582-AW582)*G582,0)&amp;"; ","")&amp;IF(AND(CI582=1,CJ582&lt;CK582),"MAX &lt; MB+LG; ","")&amp;IF(AND(CQ582&gt;0,CP582*10&gt;CQ582),"zu hoch für Tablar; ","")&amp;IF(AND(BW582=0,OR(CI582=1,AB582&lt;&gt;"",U582&lt;&gt;"",V582&lt;&gt;"",AC582&lt;&gt;"")),"manuell übersteuert; ","")&amp;IF(AND(CA582=0,R582=0),"Gebinde unbekannt / Stellmass fehlt; ","")&amp;IF(AND(CA582=0,N(V582)&lt;=0,N(Q582)&lt;=0),"Menge pro Gebinde fehlt (Ist = 1 Gebinde); ","")&amp;BV582)</f>
        <v>Überbestand 109 Stk / CHF 1010; </v>
      </c>
      <c r="BO582" s="60"/>
      <c r="BP582" s="60"/>
      <c r="BQ582" s="67"/>
      <c r="BR582" s="62" t="n">
        <v>1</v>
      </c>
      <c r="BS582" s="62" t="n">
        <v>109</v>
      </c>
      <c r="BT582" s="61" t="n">
        <v>9.27</v>
      </c>
      <c r="BU582" s="62" t="n">
        <v>1</v>
      </c>
      <c r="BV582" s="60"/>
      <c r="BW582" s="65" t="n">
        <v>0</v>
      </c>
      <c r="BX582" s="65" t="n">
        <v>582</v>
      </c>
      <c r="BY582" s="60" t="str">
        <f aca="false">IF(U582&lt;&gt;"",UPPER(TRIM(U582)),IF(CB582=1,UPPER(VLOOKUP(T582,Parameter!$I$27:$K$29,2,0)),IF(P582="","LOSE",P582)))</f>
        <v>S51</v>
      </c>
      <c r="BZ582" s="62" t="n">
        <f aca="false">IF(BY582="LOSE",1,IF(N(V582)&gt;0,V582,IF(CB582=1,MAX(1,N(VLOOKUP(T582,Parameter!$I$27:$K$29,3,0)),H582,N(N582)),IF(N(Q582)&gt;0,Q582,MAX(1,H582)))))</f>
        <v>23</v>
      </c>
      <c r="CA582" s="65" t="n">
        <f aca="false">IF(BY582="LOSE",1,0)</f>
        <v>0</v>
      </c>
      <c r="CB582" s="65" t="n">
        <f aca="false">IF(AND(U582="",OR(P582="",P582="LOSE"),T582&lt;&gt;"",N(S582)&lt;=0,ISNUMBER(MATCH(T582,Parameter!$I$27:$I$29,0))),1,0)</f>
        <v>0</v>
      </c>
      <c r="CC582" s="65" t="n">
        <f aca="false">IF(CR582&gt;0,INDEX(Parameter!$H$5:$H$7,W582)/INDEX(Parameter!$E$5:$E$7,W582),IF(AND(CA582=0,N(IFERROR(VLOOKUP(BY582,'Gebinde-Kategorie'!$A$5:$N$45,14,0),0))&gt;0),VLOOKUP(BY582,'Gebinde-Kategorie'!$A$5:$N$45,14,0)*10+Parameter!$M$23,Parameter!$M$24))</f>
        <v>155</v>
      </c>
      <c r="CD582" s="60" t="str">
        <f aca="false">IF(AND(Parameter!$B$19="Ja",E582&lt;&gt;"",ISNUMBER(MATCH(E582,Parameter!$I$35:$I$52,0))),VLOOKUP(E582,Parameter!$I$35:$J$52,2,0),IFERROR(VLOOKUP(D582,Parameter!$A$35:$C$64,2,0),"Nein"))</f>
        <v>2+3</v>
      </c>
      <c r="CE582" s="64" t="n">
        <f aca="false">IF(CA582=0,0,IF(N(S582)&gt;0,S582,IFERROR(VLOOKUP(D582,Parameter!$A$35:$C$64,3,0)+0,0)))</f>
        <v>0</v>
      </c>
      <c r="CF582" s="60" t="n">
        <f aca="false">IF(AB582&lt;&gt;"",AB582,AA582)</f>
        <v>3</v>
      </c>
      <c r="CG582" s="60" t="str">
        <f aca="false">IF(OR(CF582=1,CF582=2,CF582=3),IF(Parameter!$E$27="Ja","LIFT",IF(CF582=1,"L1","L23")),IF(CF582="Aussen","Aussen","-"))</f>
        <v>LIFT</v>
      </c>
      <c r="CH582" s="71" t="n">
        <f aca="false">IF(N(AC582)&gt;0,AC582,0)</f>
        <v>0</v>
      </c>
      <c r="CI582" s="65" t="n">
        <f aca="false">IF(ISNUMBER(AF582),1,0)</f>
        <v>0</v>
      </c>
      <c r="CJ582" s="62" t="n">
        <f aca="false">N(AF582)</f>
        <v>0</v>
      </c>
      <c r="CK582" s="62" t="n">
        <f aca="false">N(M582)+N(N582)</f>
        <v>1</v>
      </c>
      <c r="CL582" s="62" t="n">
        <f aca="false">N(M582)</f>
        <v>0</v>
      </c>
      <c r="CM582" s="62" t="n">
        <f aca="false">N(N582)</f>
        <v>1</v>
      </c>
      <c r="CN582" s="62" t="n">
        <f aca="false">ROUNDUP(H582/BZ582,0)</f>
        <v>5</v>
      </c>
      <c r="CO582" s="62" t="n">
        <f aca="false">ROUNDUP(CJ582/BZ582,0)</f>
        <v>0</v>
      </c>
      <c r="CP582" s="65" t="n">
        <f aca="false">IF(CA582=1,0,IFERROR(VLOOKUP(BY582,'Gebinde-Kategorie'!$A$5:$N$45,5,0)+0,0))</f>
        <v>11</v>
      </c>
      <c r="CQ582" s="65" t="n">
        <f aca="false">IFERROR(IF(OR(CF582=1,CF582=2,CF582=3),N(INDEX(Parameter!$I$5:$I$7,CF582)),0),0)</f>
        <v>0</v>
      </c>
      <c r="CR582" s="64" t="n">
        <f aca="false">IF(AND(Parameter!$B$21="Ja",ISNUMBER(W582),N(X582)&gt;0),IFERROR(N(INDEX(Parameter!$L$5:$L$7,W582))*INDEX(Parameter!$E$5:$E$7,W582)*X582/SUMIFS($X$7:$X$1843,$W$7:$W$1843,W582),0),0)</f>
        <v>0</v>
      </c>
      <c r="CS582" s="62" t="n">
        <f aca="false">IF(AND(OR(CG582="L1",CG582="L23",CG582="LIFT"),H582&gt;0),CC582*IF(CR582&gt;0,CR582*MAX(1,H582/X582),IF(CA582=1,CE582,IF(R582&gt;0,CN582/R582,0))/MAX(0.1,N(Parameter!$M$21))),"")</f>
        <v>29.8076923076923</v>
      </c>
      <c r="CT582" s="64" t="n">
        <f aca="false">IF(CS582="","",J582/H582)</f>
        <v>0.00909090909090909</v>
      </c>
      <c r="CU582" s="62" t="n">
        <f aca="false">IF(CS582="","",H582*G582)</f>
        <v>1019.7</v>
      </c>
      <c r="CV582" s="63" t="n">
        <f aca="false">IF(CS582="","",(CL582+ROUNDUP(CL582+MAX(CM582,2*(J582/MAX(0.1,N(Einkauf!$C$6))-CL582)),0))/2)</f>
        <v>0.5</v>
      </c>
      <c r="CW582" s="62" t="n">
        <f aca="false">IF(CS582="","",MAX(0,H582-CV582)*G582)</f>
        <v>1015.065</v>
      </c>
      <c r="CX582" s="62" t="n">
        <f aca="false">IF(CS582="","",CS582*MAX(0,1-CV582/H582))</f>
        <v>29.6722027972028</v>
      </c>
      <c r="CY582" s="64" t="n">
        <f aca="false">IF(CS582="","",PERCENTRANK($CS$7:$CS$1843,CS582)+PERCENTRANK($CU$7:$CU$1843,CU582)+1-PERCENTRANK($CT$7:$CT$1843,CT582))</f>
        <v>2.129</v>
      </c>
      <c r="CZ582" s="72" t="n">
        <f aca="false">IF(CS582="","",CHOOSE(MATCH(Einkauf!$C$5,Parameter!$G$23:$G$27,0),CY582,CS582,CU582,-CT582,CW582)+ROW()/1000000000)</f>
        <v>2.129000582</v>
      </c>
    </row>
    <row r="583" customFormat="false" ht="15" hidden="false" customHeight="false" outlineLevel="0" collapsed="false">
      <c r="A583" s="60" t="s">
        <v>1263</v>
      </c>
      <c r="B583" s="60" t="s">
        <v>1264</v>
      </c>
      <c r="C583" s="60" t="s">
        <v>206</v>
      </c>
      <c r="D583" s="60" t="s">
        <v>215</v>
      </c>
      <c r="E583" s="60"/>
      <c r="F583" s="60" t="s">
        <v>260</v>
      </c>
      <c r="G583" s="61" t="n">
        <v>0.53</v>
      </c>
      <c r="H583" s="62" t="n">
        <f aca="false">MAX(0,IF(AND(Parameter!$B$21="Ja",ISNUMBER(Y583)),Y583,IF(Parameter!$B$20="Jahresanfang 2025 + Export",BS583+BR583,BR583)))</f>
        <v>17</v>
      </c>
      <c r="I583" s="62" t="n">
        <f aca="false">H583*G583</f>
        <v>9.01</v>
      </c>
      <c r="J583" s="62" t="n">
        <f aca="false">BU583*Parameter!$B$18</f>
        <v>2</v>
      </c>
      <c r="K583" s="63" t="n">
        <v>0</v>
      </c>
      <c r="L583" s="64" t="n">
        <v>0</v>
      </c>
      <c r="M583" s="62" t="n">
        <v>0</v>
      </c>
      <c r="N583" s="62" t="n">
        <v>1</v>
      </c>
      <c r="O583" s="65" t="n">
        <v>31</v>
      </c>
      <c r="P583" s="60" t="s">
        <v>210</v>
      </c>
      <c r="Q583" s="62"/>
      <c r="R583" s="65" t="n">
        <f aca="false">IF(CA583=1,0,IFERROR(VLOOKUP(BY583,'Gebinde-Kategorie'!$A$5:$N$45,13,0)+0,0))</f>
        <v>12</v>
      </c>
      <c r="S583" s="66"/>
      <c r="T583" s="67" t="s">
        <v>221</v>
      </c>
      <c r="U583" s="67"/>
      <c r="V583" s="67"/>
      <c r="W583" s="60"/>
      <c r="X583" s="62"/>
      <c r="Y583" s="62"/>
      <c r="Z583" s="60" t="n">
        <v>3</v>
      </c>
      <c r="AA583" s="60" t="n">
        <f aca="false">IF(A583="","",IF(AND(Parameter!$B$21="Ja",ISNUMBER(W583)),W583,IF(AND(Parameter!$E$27="Ja",ISNUMBER(Z583),CD583&lt;&gt;"Nein"),Z583,IF(CD583="2+3",IF(ISNUMBER(SEARCH("grosser Artikel",BV583)),2,IFERROR(VLOOKUP(BY583,Parameter!$F$35:$G$64,2,0),2)),IF(OR(CD583="Nein",CD583=""),"-",CD583)))))</f>
        <v>3</v>
      </c>
      <c r="AB583" s="67"/>
      <c r="AC583" s="68"/>
      <c r="AD583" s="62" t="n">
        <f aca="false">AW583</f>
        <v>2</v>
      </c>
      <c r="AE583" s="62" t="n">
        <f aca="false">MAX(AW583,H583)</f>
        <v>17</v>
      </c>
      <c r="AF583" s="69"/>
      <c r="AG583" s="62" t="n">
        <f aca="false">IF(LEFT(Cockpit!$C$5,1)="A",H583,IF(Parameter!$E$30="MAX-Bestand",IF(CI583=1,CJ583,IF(LEFT(Cockpit!$C$5,1)="B",AM583,MAX(AM583,H583))),ROUNDUP(AK583,0)))</f>
        <v>17</v>
      </c>
      <c r="AH583" s="62" t="n">
        <f aca="false">IF(CA583=1,0,ROUNDUP(AG583/BZ583,0))</f>
        <v>1</v>
      </c>
      <c r="AI583" s="64" t="n">
        <f aca="false">IF(CR583&gt;0,CR583*MAX(1,AG583/X583),IF(CA583=1,IF(AG583&lt;=0,0,CE583*MAX(1,IF(H583&gt;0,AG583/H583,1))),IF(R583&gt;0,AH583/R583,0))/MAX(0.1,N(Parameter!$M$21)))</f>
        <v>0.0833333333333333</v>
      </c>
      <c r="AJ583" s="62" t="n">
        <f aca="false">AI583*CC583</f>
        <v>12.0833333333333</v>
      </c>
      <c r="AK583" s="63" t="n">
        <f aca="false">IF(LEFT(Cockpit!$C$5,1)="A",H583,IF(CI583=1,(CL583+CJ583)/2,IF(LEFT(Cockpit!$C$5,1)="B",(CL583+AM583)/2,MAX((CL583+AM583)/2,H583))))</f>
        <v>17</v>
      </c>
      <c r="AL583" s="62" t="n">
        <f aca="false">AK583*G583</f>
        <v>9.01</v>
      </c>
      <c r="AM583" s="62" t="n">
        <f aca="false">ROUNDUP(CL583+MAX(CM583,2*(J583/IF(CH583&gt;0,CH583,MAX(0.1,N(Cockpit!$C$6)))-CL583)),0)</f>
        <v>2</v>
      </c>
      <c r="AN583" s="63" t="n">
        <f aca="false">IF(AJ583&gt;0,J583/AJ583,-1)</f>
        <v>0.16551724137931</v>
      </c>
      <c r="AO583" s="63" t="n">
        <f aca="false">IF(AND(OR(CG583="L1",CG583="L23",CG583="LIFT"),AJ583&gt;0),SUMIFS($AJ$7:$AJ$1843,$CG$7:$CG$1843,CG583,$AN$7:$AN$1843,"&gt;"&amp;AN583)+SUMIFS($AJ$7:$AJ$1843,$CG$7:$CG$1843,CG583,$AN$7:$AN$1843,AN583,$BX$7:$BX$1843,"&lt;="&amp;BX583),"")</f>
        <v>12817.4901311024</v>
      </c>
      <c r="AP583" s="70" t="n">
        <f aca="false">IF(AO583="",0,MAX(0,MIN(1,(IF(CG583="L1",Parameter!$H$5,IF(CG583="L23",Parameter!$H$6+Parameter!$H$7,Parameter!$H$5+Parameter!$H$6+Parameter!$H$7))-(AO583-AJ583))/AJ583)))</f>
        <v>1</v>
      </c>
      <c r="AQ583" s="62" t="n">
        <f aca="false">IF(LEFT(Cockpit!$I$5,1)="A",H583,IF(Parameter!$E$30="MAX-Bestand",IF(CI583=1,CJ583,IF(LEFT(Cockpit!$I$5,1)="B",AW583,MAX(AW583,H583))),ROUNDUP(AU583,0)))</f>
        <v>17</v>
      </c>
      <c r="AR583" s="62" t="n">
        <f aca="false">IF(CA583=1,0,ROUNDUP(AQ583/BZ583,0))</f>
        <v>1</v>
      </c>
      <c r="AS583" s="64" t="n">
        <f aca="false">IF(CR583&gt;0,CR583*MAX(1,AQ583/X583),IF(CA583=1,IF(AQ583&lt;=0,0,CE583*MAX(1,IF(H583&gt;0,AQ583/H583,1))),IF(R583&gt;0,AR583/R583,0))/MAX(0.1,N(Parameter!$M$21)))</f>
        <v>0.0833333333333333</v>
      </c>
      <c r="AT583" s="62" t="n">
        <f aca="false">AS583*CC583</f>
        <v>12.0833333333333</v>
      </c>
      <c r="AU583" s="63" t="n">
        <f aca="false">IF(LEFT(Cockpit!$I$5,1)="A",H583,IF(CI583=1,(CL583+CJ583)/2,IF(LEFT(Cockpit!$I$5,1)="B",(CL583+AW583)/2,MAX((CL583+AW583)/2,H583))))</f>
        <v>17</v>
      </c>
      <c r="AV583" s="62" t="n">
        <f aca="false">AU583*G583</f>
        <v>9.01</v>
      </c>
      <c r="AW583" s="62" t="n">
        <f aca="false">ROUNDUP(CL583+MAX(CM583,2*(J583/IF(CH583&gt;0,CH583,MAX(0.1,N(Cockpit!$I$6)))-CL583)),0)</f>
        <v>2</v>
      </c>
      <c r="AX583" s="63" t="n">
        <f aca="false">IF(AT583&gt;0,J583/AT583,-1)</f>
        <v>0.16551724137931</v>
      </c>
      <c r="AY583" s="63" t="n">
        <f aca="false">IF(AND(OR(CG583="L1",CG583="L23",CG583="LIFT"),AT583&gt;0),SUMIFS($AT$7:$AT$1843,$CG$7:$CG$1843,CG583,$AX$7:$AX$1843,"&gt;"&amp;AX583)+SUMIFS($AT$7:$AT$1843,$CG$7:$CG$1843,CG583,$AX$7:$AX$1843,AX583,$BX$7:$BX$1843,"&lt;="&amp;BX583),"")</f>
        <v>15746.1707875458</v>
      </c>
      <c r="AZ583" s="70" t="n">
        <f aca="false">IF(AY583="",0,MAX(0,MIN(1,(IF(CG583="L1",Parameter!$H$5,IF(CG583="L23",Parameter!$H$6+Parameter!$H$7,Parameter!$H$5+Parameter!$H$6+Parameter!$H$7))-(AY583-AT583))/AT583)))</f>
        <v>1</v>
      </c>
      <c r="BA583" s="62" t="n">
        <f aca="false">IF(LEFT(Cockpit!$O$5,1)="A",H583,IF(Parameter!$E$30="MAX-Bestand",IF(CI583=1,CJ583,IF(LEFT(Cockpit!$O$5,1)="B",BG583,MAX(BG583,H583))),ROUNDUP(BE583,0)))</f>
        <v>1</v>
      </c>
      <c r="BB583" s="62" t="n">
        <f aca="false">IF(CA583=1,0,ROUNDUP(BA583/BZ583,0))</f>
        <v>1</v>
      </c>
      <c r="BC583" s="64" t="n">
        <f aca="false">IF(CR583&gt;0,CR583*MAX(1,BA583/X583),IF(CA583=1,IF(BA583&lt;=0,0,CE583*MAX(1,IF(H583&gt;0,BA583/H583,1))),IF(R583&gt;0,BB583/R583,0))/MAX(0.1,N(Parameter!$M$21)))</f>
        <v>0.0833333333333333</v>
      </c>
      <c r="BD583" s="62" t="n">
        <f aca="false">BC583*CC583</f>
        <v>12.0833333333333</v>
      </c>
      <c r="BE583" s="63" t="n">
        <f aca="false">IF(LEFT(Cockpit!$O$5,1)="A",H583,IF(CI583=1,(CL583+CJ583)/2,IF(LEFT(Cockpit!$O$5,1)="B",(CL583+BG583)/2,MAX((CL583+BG583)/2,H583))))</f>
        <v>0.5</v>
      </c>
      <c r="BF583" s="62" t="n">
        <f aca="false">BE583*G583</f>
        <v>0.265</v>
      </c>
      <c r="BG583" s="62" t="n">
        <f aca="false">ROUNDUP(CL583+MAX(CM583,2*(J583/IF(CH583&gt;0,CH583,MAX(0.1,N(Cockpit!$O$6)))-CL583)),0)</f>
        <v>1</v>
      </c>
      <c r="BH583" s="63" t="n">
        <f aca="false">IF(BD583&gt;0,J583/BD583,-1)</f>
        <v>0.16551724137931</v>
      </c>
      <c r="BI583" s="63" t="n">
        <f aca="false">IF(AND(OR(CG583="L1",CG583="L23",CG583="LIFT"),BD583&gt;0),SUMIFS($BD$7:$BD$1843,$CG$7:$CG$1843,CG583,$BH$7:$BH$1843,"&gt;"&amp;BH583)+SUMIFS($BD$7:$BD$1843,$CG$7:$CG$1843,CG583,$BH$7:$BH$1843,BH583,$BX$7:$BX$1843,"&lt;="&amp;BX583),"")</f>
        <v>13560.5539491112</v>
      </c>
      <c r="BJ583" s="70" t="n">
        <f aca="false">IF(BI583="",0,MAX(0,MIN(1,(IF(CG583="L1",Parameter!$H$5,IF(CG583="L23",Parameter!$H$6+Parameter!$H$7,Parameter!$H$5+Parameter!$H$6+Parameter!$H$7))-(BI583-BD583))/BD583)))</f>
        <v>1</v>
      </c>
      <c r="BK583" s="60" t="str">
        <f aca="false">IF(AJ583&lt;=0,"",IF(CG583="Aussen","Aussenlager",IF(CG583="-","Nicht im Lift",IF(AP583&gt;=1,"Lift",IF(AP583&lt;=0,"Aussenlager","teilweise")))))</f>
        <v>Lift</v>
      </c>
      <c r="BL583" s="60" t="str">
        <f aca="false">IF(AT583&lt;=0,"",IF(CG583="Aussen","Aussenlager",IF(CG583="-","Nicht im Lift",IF(AZ583&gt;=1,"Lift",IF(AZ583&lt;=0,"Aussenlager","teilweise")))))</f>
        <v>Lift</v>
      </c>
      <c r="BM583" s="60" t="str">
        <f aca="false">IF(BD583&lt;=0,"",IF(CG583="Aussen","Aussenlager",IF(CG583="-","Nicht im Lift",IF(BJ583&gt;=1,"Lift",IF(BJ583&lt;=0,"Aussenlager","teilweise")))))</f>
        <v>Lift</v>
      </c>
      <c r="BN583" s="60" t="str">
        <f aca="false">IF(A583="","",IF(BW583=1,"Neu; ","")&amp;IF(AND(BW583=0,BR583&lt;0),"negativer Bestand (Export "&amp;BR583&amp;"); ","")&amp;IF(J583&lt;=0,"Kein Verbrauch; ","")&amp;IF(CR583&gt;0,"Lift "&amp;W583&amp;" lt. Liftbericht (Fach "&amp;X583&amp;" Stk); ",IF(CB583=1,"Gebinde geschätzt ("&amp;T583&amp;"); ",IF(CA583=1,"Lose – Tablare geschätzt; ","")))&amp;IF(H583&gt;AW583,"Überbestand "&amp;ROUND(H583-AW583,0)&amp;" Stk / CHF "&amp;ROUND((H583-AW583)*G583,0)&amp;"; ","")&amp;IF(AND(CI583=1,CJ583&lt;CK583),"MAX &lt; MB+LG; ","")&amp;IF(AND(CQ583&gt;0,CP583*10&gt;CQ583),"zu hoch für Tablar; ","")&amp;IF(AND(BW583=0,OR(CI583=1,AB583&lt;&gt;"",U583&lt;&gt;"",V583&lt;&gt;"",AC583&lt;&gt;"")),"manuell übersteuert; ","")&amp;IF(AND(CA583=0,R583=0),"Gebinde unbekannt / Stellmass fehlt; ","")&amp;IF(AND(CA583=0,N(V583)&lt;=0,N(Q583)&lt;=0),"Menge pro Gebinde fehlt (Ist = 1 Gebinde); ","")&amp;BV583)</f>
        <v>Gebinde geschätzt (Mittel); Überbestand 15 Stk / CHF 8; Menge pro Gebinde fehlt (Ist = 1 Gebinde); </v>
      </c>
      <c r="BO583" s="60"/>
      <c r="BP583" s="60"/>
      <c r="BQ583" s="67"/>
      <c r="BR583" s="62" t="n">
        <v>17</v>
      </c>
      <c r="BS583" s="62" t="n">
        <v>0</v>
      </c>
      <c r="BT583" s="61" t="n">
        <v>9.01</v>
      </c>
      <c r="BU583" s="62" t="n">
        <v>2</v>
      </c>
      <c r="BV583" s="60"/>
      <c r="BW583" s="65" t="n">
        <v>0</v>
      </c>
      <c r="BX583" s="65" t="n">
        <v>583</v>
      </c>
      <c r="BY583" s="60" t="str">
        <f aca="false">IF(U583&lt;&gt;"",UPPER(TRIM(U583)),IF(CB583=1,UPPER(VLOOKUP(T583,Parameter!$I$27:$K$29,2,0)),IF(P583="","LOSE",P583)))</f>
        <v>S61</v>
      </c>
      <c r="BZ583" s="62" t="n">
        <f aca="false">IF(BY583="LOSE",1,IF(N(V583)&gt;0,V583,IF(CB583=1,MAX(1,N(VLOOKUP(T583,Parameter!$I$27:$K$29,3,0)),H583,N(N583)),IF(N(Q583)&gt;0,Q583,MAX(1,H583)))))</f>
        <v>17</v>
      </c>
      <c r="CA583" s="65" t="n">
        <f aca="false">IF(BY583="LOSE",1,0)</f>
        <v>0</v>
      </c>
      <c r="CB583" s="65" t="n">
        <f aca="false">IF(AND(U583="",OR(P583="",P583="LOSE"),T583&lt;&gt;"",N(S583)&lt;=0,ISNUMBER(MATCH(T583,Parameter!$I$27:$I$29,0))),1,0)</f>
        <v>1</v>
      </c>
      <c r="CC583" s="65" t="n">
        <f aca="false">IF(CR583&gt;0,INDEX(Parameter!$H$5:$H$7,W583)/INDEX(Parameter!$E$5:$E$7,W583),IF(AND(CA583=0,N(IFERROR(VLOOKUP(BY583,'Gebinde-Kategorie'!$A$5:$N$45,14,0),0))&gt;0),VLOOKUP(BY583,'Gebinde-Kategorie'!$A$5:$N$45,14,0)*10+Parameter!$M$23,Parameter!$M$24))</f>
        <v>145</v>
      </c>
      <c r="CD583" s="60" t="str">
        <f aca="false">IF(AND(Parameter!$B$19="Ja",E583&lt;&gt;"",ISNUMBER(MATCH(E583,Parameter!$I$35:$I$52,0))),VLOOKUP(E583,Parameter!$I$35:$J$52,2,0),IFERROR(VLOOKUP(D583,Parameter!$A$35:$C$64,2,0),"Nein"))</f>
        <v>2+3</v>
      </c>
      <c r="CE583" s="64" t="n">
        <f aca="false">IF(CA583=0,0,IF(N(S583)&gt;0,S583,IFERROR(VLOOKUP(D583,Parameter!$A$35:$C$64,3,0)+0,0)))</f>
        <v>0</v>
      </c>
      <c r="CF583" s="60" t="n">
        <f aca="false">IF(AB583&lt;&gt;"",AB583,AA583)</f>
        <v>3</v>
      </c>
      <c r="CG583" s="60" t="str">
        <f aca="false">IF(OR(CF583=1,CF583=2,CF583=3),IF(Parameter!$E$27="Ja","LIFT",IF(CF583=1,"L1","L23")),IF(CF583="Aussen","Aussen","-"))</f>
        <v>LIFT</v>
      </c>
      <c r="CH583" s="71" t="n">
        <f aca="false">IF(N(AC583)&gt;0,AC583,0)</f>
        <v>0</v>
      </c>
      <c r="CI583" s="65" t="n">
        <f aca="false">IF(ISNUMBER(AF583),1,0)</f>
        <v>0</v>
      </c>
      <c r="CJ583" s="62" t="n">
        <f aca="false">N(AF583)</f>
        <v>0</v>
      </c>
      <c r="CK583" s="62" t="n">
        <f aca="false">N(M583)+N(N583)</f>
        <v>1</v>
      </c>
      <c r="CL583" s="62" t="n">
        <f aca="false">N(M583)</f>
        <v>0</v>
      </c>
      <c r="CM583" s="62" t="n">
        <f aca="false">N(N583)</f>
        <v>1</v>
      </c>
      <c r="CN583" s="62" t="n">
        <f aca="false">ROUNDUP(H583/BZ583,0)</f>
        <v>1</v>
      </c>
      <c r="CO583" s="62" t="n">
        <f aca="false">ROUNDUP(CJ583/BZ583,0)</f>
        <v>0</v>
      </c>
      <c r="CP583" s="65" t="n">
        <f aca="false">IF(CA583=1,0,IFERROR(VLOOKUP(BY583,'Gebinde-Kategorie'!$A$5:$N$45,5,0)+0,0))</f>
        <v>11</v>
      </c>
      <c r="CQ583" s="65" t="n">
        <f aca="false">IFERROR(IF(OR(CF583=1,CF583=2,CF583=3),N(INDEX(Parameter!$I$5:$I$7,CF583)),0),0)</f>
        <v>0</v>
      </c>
      <c r="CR583" s="64" t="n">
        <f aca="false">IF(AND(Parameter!$B$21="Ja",ISNUMBER(W583),N(X583)&gt;0),IFERROR(N(INDEX(Parameter!$L$5:$L$7,W583))*INDEX(Parameter!$E$5:$E$7,W583)*X583/SUMIFS($X$7:$X$1843,$W$7:$W$1843,W583),0),0)</f>
        <v>0</v>
      </c>
      <c r="CS583" s="62" t="n">
        <f aca="false">IF(AND(OR(CG583="L1",CG583="L23",CG583="LIFT"),H583&gt;0),CC583*IF(CR583&gt;0,CR583*MAX(1,H583/X583),IF(CA583=1,CE583,IF(R583&gt;0,CN583/R583,0))/MAX(0.1,N(Parameter!$M$21))),"")</f>
        <v>12.0833333333333</v>
      </c>
      <c r="CT583" s="64" t="n">
        <f aca="false">IF(CS583="","",J583/H583)</f>
        <v>0.117647058823529</v>
      </c>
      <c r="CU583" s="62" t="n">
        <f aca="false">IF(CS583="","",H583*G583)</f>
        <v>9.01</v>
      </c>
      <c r="CV583" s="63" t="n">
        <f aca="false">IF(CS583="","",(CL583+ROUNDUP(CL583+MAX(CM583,2*(J583/MAX(0.1,N(Einkauf!$C$6))-CL583)),0))/2)</f>
        <v>0.5</v>
      </c>
      <c r="CW583" s="62" t="n">
        <f aca="false">IF(CS583="","",MAX(0,H583-CV583)*G583)</f>
        <v>8.745</v>
      </c>
      <c r="CX583" s="62" t="n">
        <f aca="false">IF(CS583="","",CS583*MAX(0,1-CV583/H583))</f>
        <v>11.7279411764706</v>
      </c>
      <c r="CY583" s="64" t="n">
        <f aca="false">IF(CS583="","",PERCENTRANK($CS$7:$CS$1843,CS583)+PERCENTRANK($CU$7:$CU$1843,CU583)+1-PERCENTRANK($CT$7:$CT$1843,CT583))</f>
        <v>1.264</v>
      </c>
      <c r="CZ583" s="72" t="n">
        <f aca="false">IF(CS583="","",CHOOSE(MATCH(Einkauf!$C$5,Parameter!$G$23:$G$27,0),CY583,CS583,CU583,-CT583,CW583)+ROW()/1000000000)</f>
        <v>1.264000583</v>
      </c>
    </row>
    <row r="584" customFormat="false" ht="15" hidden="false" customHeight="false" outlineLevel="0" collapsed="false">
      <c r="A584" s="60" t="s">
        <v>1265</v>
      </c>
      <c r="B584" s="60" t="s">
        <v>510</v>
      </c>
      <c r="C584" s="60" t="s">
        <v>206</v>
      </c>
      <c r="D584" s="60" t="s">
        <v>226</v>
      </c>
      <c r="E584" s="60" t="s">
        <v>227</v>
      </c>
      <c r="F584" s="60" t="s">
        <v>260</v>
      </c>
      <c r="G584" s="61" t="n">
        <v>0.1</v>
      </c>
      <c r="H584" s="62" t="n">
        <f aca="false">MAX(0,IF(AND(Parameter!$B$21="Ja",ISNUMBER(Y584)),Y584,IF(Parameter!$B$20="Jahresanfang 2025 + Export",BS584+BR584,BR584)))</f>
        <v>389</v>
      </c>
      <c r="I584" s="62" t="n">
        <f aca="false">H584*G584</f>
        <v>38.9</v>
      </c>
      <c r="J584" s="62" t="n">
        <f aca="false">BU584*Parameter!$B$18</f>
        <v>620</v>
      </c>
      <c r="K584" s="63" t="n">
        <v>480.5</v>
      </c>
      <c r="L584" s="64" t="n">
        <v>1.29032258064516</v>
      </c>
      <c r="M584" s="62" t="n">
        <v>48</v>
      </c>
      <c r="N584" s="62" t="n">
        <v>620</v>
      </c>
      <c r="O584" s="65" t="n">
        <v>28</v>
      </c>
      <c r="P584" s="60" t="s">
        <v>468</v>
      </c>
      <c r="Q584" s="62" t="n">
        <v>177</v>
      </c>
      <c r="R584" s="65" t="n">
        <f aca="false">IF(CA584=1,0,IFERROR(VLOOKUP(BY584,'Gebinde-Kategorie'!$A$5:$N$45,13,0)+0,0))</f>
        <v>140</v>
      </c>
      <c r="S584" s="66"/>
      <c r="T584" s="67"/>
      <c r="U584" s="67"/>
      <c r="V584" s="67"/>
      <c r="W584" s="60"/>
      <c r="X584" s="62"/>
      <c r="Y584" s="62"/>
      <c r="Z584" s="60" t="n">
        <v>3</v>
      </c>
      <c r="AA584" s="60" t="n">
        <f aca="false">IF(A584="","",IF(AND(Parameter!$B$21="Ja",ISNUMBER(W584)),W584,IF(AND(Parameter!$E$27="Ja",ISNUMBER(Z584),CD584&lt;&gt;"Nein"),Z584,IF(CD584="2+3",IF(ISNUMBER(SEARCH("grosser Artikel",BV584)),2,IFERROR(VLOOKUP(BY584,Parameter!$F$35:$G$64,2,0),2)),IF(OR(CD584="Nein",CD584=""),"-",CD584)))))</f>
        <v>3</v>
      </c>
      <c r="AB584" s="67"/>
      <c r="AC584" s="68"/>
      <c r="AD584" s="62" t="n">
        <f aca="false">AW584</f>
        <v>668</v>
      </c>
      <c r="AE584" s="62" t="n">
        <f aca="false">MAX(AW584,H584)</f>
        <v>668</v>
      </c>
      <c r="AF584" s="69"/>
      <c r="AG584" s="62" t="n">
        <f aca="false">IF(LEFT(Cockpit!$C$5,1)="A",H584,IF(Parameter!$E$30="MAX-Bestand",IF(CI584=1,CJ584,IF(LEFT(Cockpit!$C$5,1)="B",AM584,MAX(AM584,H584))),ROUNDUP(AK584,0)))</f>
        <v>389</v>
      </c>
      <c r="AH584" s="62" t="n">
        <f aca="false">IF(CA584=1,0,ROUNDUP(AG584/BZ584,0))</f>
        <v>3</v>
      </c>
      <c r="AI584" s="64" t="n">
        <f aca="false">IF(CR584&gt;0,CR584*MAX(1,AG584/X584),IF(CA584=1,IF(AG584&lt;=0,0,CE584*MAX(1,IF(H584&gt;0,AG584/H584,1))),IF(R584&gt;0,AH584/R584,0))/MAX(0.1,N(Parameter!$M$21)))</f>
        <v>0.0214285714285714</v>
      </c>
      <c r="AJ584" s="62" t="n">
        <f aca="false">AI584*CC584</f>
        <v>3.32142857142857</v>
      </c>
      <c r="AK584" s="63" t="n">
        <f aca="false">IF(LEFT(Cockpit!$C$5,1)="A",H584,IF(CI584=1,(CL584+CJ584)/2,IF(LEFT(Cockpit!$C$5,1)="B",(CL584+AM584)/2,MAX((CL584+AM584)/2,H584))))</f>
        <v>389</v>
      </c>
      <c r="AL584" s="62" t="n">
        <f aca="false">AK584*G584</f>
        <v>38.9</v>
      </c>
      <c r="AM584" s="62" t="n">
        <f aca="false">ROUNDUP(CL584+MAX(CM584,2*(J584/IF(CH584&gt;0,CH584,MAX(0.1,N(Cockpit!$C$6)))-CL584)),0)</f>
        <v>668</v>
      </c>
      <c r="AN584" s="63" t="n">
        <f aca="false">IF(AJ584&gt;0,J584/AJ584,-1)</f>
        <v>186.666666666667</v>
      </c>
      <c r="AO584" s="63" t="n">
        <f aca="false">IF(AND(OR(CG584="L1",CG584="L23",CG584="LIFT"),AJ584&gt;0),SUMIFS($AJ$7:$AJ$1843,$CG$7:$CG$1843,CG584,$AN$7:$AN$1843,"&gt;"&amp;AN584)+SUMIFS($AJ$7:$AJ$1843,$CG$7:$CG$1843,CG584,$AN$7:$AN$1843,AN584,$BX$7:$BX$1843,"&lt;="&amp;BX584),"")</f>
        <v>379.556776556777</v>
      </c>
      <c r="AP584" s="70" t="n">
        <f aca="false">IF(AO584="",0,MAX(0,MIN(1,(IF(CG584="L1",Parameter!$H$5,IF(CG584="L23",Parameter!$H$6+Parameter!$H$7,Parameter!$H$5+Parameter!$H$6+Parameter!$H$7))-(AO584-AJ584))/AJ584)))</f>
        <v>1</v>
      </c>
      <c r="AQ584" s="62" t="n">
        <f aca="false">IF(LEFT(Cockpit!$I$5,1)="A",H584,IF(Parameter!$E$30="MAX-Bestand",IF(CI584=1,CJ584,IF(LEFT(Cockpit!$I$5,1)="B",AW584,MAX(AW584,H584))),ROUNDUP(AU584,0)))</f>
        <v>389</v>
      </c>
      <c r="AR584" s="62" t="n">
        <f aca="false">IF(CA584=1,0,ROUNDUP(AQ584/BZ584,0))</f>
        <v>3</v>
      </c>
      <c r="AS584" s="64" t="n">
        <f aca="false">IF(CR584&gt;0,CR584*MAX(1,AQ584/X584),IF(CA584=1,IF(AQ584&lt;=0,0,CE584*MAX(1,IF(H584&gt;0,AQ584/H584,1))),IF(R584&gt;0,AR584/R584,0))/MAX(0.1,N(Parameter!$M$21)))</f>
        <v>0.0214285714285714</v>
      </c>
      <c r="AT584" s="62" t="n">
        <f aca="false">AS584*CC584</f>
        <v>3.32142857142857</v>
      </c>
      <c r="AU584" s="63" t="n">
        <f aca="false">IF(LEFT(Cockpit!$I$5,1)="A",H584,IF(CI584=1,(CL584+CJ584)/2,IF(LEFT(Cockpit!$I$5,1)="B",(CL584+AW584)/2,MAX((CL584+AW584)/2,H584))))</f>
        <v>389</v>
      </c>
      <c r="AV584" s="62" t="n">
        <f aca="false">AU584*G584</f>
        <v>38.9</v>
      </c>
      <c r="AW584" s="62" t="n">
        <f aca="false">ROUNDUP(CL584+MAX(CM584,2*(J584/IF(CH584&gt;0,CH584,MAX(0.1,N(Cockpit!$I$6)))-CL584)),0)</f>
        <v>668</v>
      </c>
      <c r="AX584" s="63" t="n">
        <f aca="false">IF(AT584&gt;0,J584/AT584,-1)</f>
        <v>186.666666666667</v>
      </c>
      <c r="AY584" s="63" t="n">
        <f aca="false">IF(AND(OR(CG584="L1",CG584="L23",CG584="LIFT"),AT584&gt;0),SUMIFS($AT$7:$AT$1843,$CG$7:$CG$1843,CG584,$AX$7:$AX$1843,"&gt;"&amp;AX584)+SUMIFS($AT$7:$AT$1843,$CG$7:$CG$1843,CG584,$AX$7:$AX$1843,AX584,$BX$7:$BX$1843,"&lt;="&amp;BX584),"")</f>
        <v>497.193681318681</v>
      </c>
      <c r="AZ584" s="70" t="n">
        <f aca="false">IF(AY584="",0,MAX(0,MIN(1,(IF(CG584="L1",Parameter!$H$5,IF(CG584="L23",Parameter!$H$6+Parameter!$H$7,Parameter!$H$5+Parameter!$H$6+Parameter!$H$7))-(AY584-AT584))/AT584)))</f>
        <v>1</v>
      </c>
      <c r="BA584" s="62" t="n">
        <f aca="false">IF(LEFT(Cockpit!$O$5,1)="A",H584,IF(Parameter!$E$30="MAX-Bestand",IF(CI584=1,CJ584,IF(LEFT(Cockpit!$O$5,1)="B",BG584,MAX(BG584,H584))),ROUNDUP(BE584,0)))</f>
        <v>358</v>
      </c>
      <c r="BB584" s="62" t="n">
        <f aca="false">IF(CA584=1,0,ROUNDUP(BA584/BZ584,0))</f>
        <v>3</v>
      </c>
      <c r="BC584" s="64" t="n">
        <f aca="false">IF(CR584&gt;0,CR584*MAX(1,BA584/X584),IF(CA584=1,IF(BA584&lt;=0,0,CE584*MAX(1,IF(H584&gt;0,BA584/H584,1))),IF(R584&gt;0,BB584/R584,0))/MAX(0.1,N(Parameter!$M$21)))</f>
        <v>0.0214285714285714</v>
      </c>
      <c r="BD584" s="62" t="n">
        <f aca="false">BC584*CC584</f>
        <v>3.32142857142857</v>
      </c>
      <c r="BE584" s="63" t="n">
        <f aca="false">IF(LEFT(Cockpit!$O$5,1)="A",H584,IF(CI584=1,(CL584+CJ584)/2,IF(LEFT(Cockpit!$O$5,1)="B",(CL584+BG584)/2,MAX((CL584+BG584)/2,H584))))</f>
        <v>358</v>
      </c>
      <c r="BF584" s="62" t="n">
        <f aca="false">BE584*G584</f>
        <v>35.8</v>
      </c>
      <c r="BG584" s="62" t="n">
        <f aca="false">ROUNDUP(CL584+MAX(CM584,2*(J584/IF(CH584&gt;0,CH584,MAX(0.1,N(Cockpit!$O$6)))-CL584)),0)</f>
        <v>668</v>
      </c>
      <c r="BH584" s="63" t="n">
        <f aca="false">IF(BD584&gt;0,J584/BD584,-1)</f>
        <v>186.666666666667</v>
      </c>
      <c r="BI584" s="63" t="n">
        <f aca="false">IF(AND(OR(CG584="L1",CG584="L23",CG584="LIFT"),BD584&gt;0),SUMIFS($BD$7:$BD$1843,$CG$7:$CG$1843,CG584,$BH$7:$BH$1843,"&gt;"&amp;BH584)+SUMIFS($BD$7:$BD$1843,$CG$7:$CG$1843,CG584,$BH$7:$BH$1843,BH584,$BX$7:$BX$1843,"&lt;="&amp;BX584),"")</f>
        <v>489.883241758242</v>
      </c>
      <c r="BJ584" s="70" t="n">
        <f aca="false">IF(BI584="",0,MAX(0,MIN(1,(IF(CG584="L1",Parameter!$H$5,IF(CG584="L23",Parameter!$H$6+Parameter!$H$7,Parameter!$H$5+Parameter!$H$6+Parameter!$H$7))-(BI584-BD584))/BD584)))</f>
        <v>1</v>
      </c>
      <c r="BK584" s="60" t="str">
        <f aca="false">IF(AJ584&lt;=0,"",IF(CG584="Aussen","Aussenlager",IF(CG584="-","Nicht im Lift",IF(AP584&gt;=1,"Lift",IF(AP584&lt;=0,"Aussenlager","teilweise")))))</f>
        <v>Lift</v>
      </c>
      <c r="BL584" s="60" t="str">
        <f aca="false">IF(AT584&lt;=0,"",IF(CG584="Aussen","Aussenlager",IF(CG584="-","Nicht im Lift",IF(AZ584&gt;=1,"Lift",IF(AZ584&lt;=0,"Aussenlager","teilweise")))))</f>
        <v>Lift</v>
      </c>
      <c r="BM584" s="60" t="str">
        <f aca="false">IF(BD584&lt;=0,"",IF(CG584="Aussen","Aussenlager",IF(CG584="-","Nicht im Lift",IF(BJ584&gt;=1,"Lift",IF(BJ584&lt;=0,"Aussenlager","teilweise")))))</f>
        <v>Lift</v>
      </c>
      <c r="BN584" s="60" t="str">
        <f aca="false">IF(A584="","",IF(BW584=1,"Neu; ","")&amp;IF(AND(BW584=0,BR584&lt;0),"negativer Bestand (Export "&amp;BR584&amp;"); ","")&amp;IF(J584&lt;=0,"Kein Verbrauch; ","")&amp;IF(CR584&gt;0,"Lift "&amp;W584&amp;" lt. Liftbericht (Fach "&amp;X584&amp;" Stk); ",IF(CB584=1,"Gebinde geschätzt ("&amp;T584&amp;"); ",IF(CA584=1,"Lose – Tablare geschätzt; ","")))&amp;IF(H584&gt;AW584,"Überbestand "&amp;ROUND(H584-AW584,0)&amp;" Stk / CHF "&amp;ROUND((H584-AW584)*G584,0)&amp;"; ","")&amp;IF(AND(CI584=1,CJ584&lt;CK584),"MAX &lt; MB+LG; ","")&amp;IF(AND(CQ584&gt;0,CP584*10&gt;CQ584),"zu hoch für Tablar; ","")&amp;IF(AND(BW584=0,OR(CI584=1,AB584&lt;&gt;"",U584&lt;&gt;"",V584&lt;&gt;"",AC584&lt;&gt;"")),"manuell übersteuert; ","")&amp;IF(AND(CA584=0,R584=0),"Gebinde unbekannt / Stellmass fehlt; ","")&amp;IF(AND(CA584=0,N(V584)&lt;=0,N(Q584)&lt;=0),"Menge pro Gebinde fehlt (Ist = 1 Gebinde); ","")&amp;BV584)</f>
        <v/>
      </c>
      <c r="BO584" s="60"/>
      <c r="BP584" s="60"/>
      <c r="BQ584" s="67"/>
      <c r="BR584" s="62" t="n">
        <v>88</v>
      </c>
      <c r="BS584" s="62" t="n">
        <v>301</v>
      </c>
      <c r="BT584" s="61" t="n">
        <v>8.8</v>
      </c>
      <c r="BU584" s="62" t="n">
        <v>620</v>
      </c>
      <c r="BV584" s="60"/>
      <c r="BW584" s="65" t="n">
        <v>0</v>
      </c>
      <c r="BX584" s="65" t="n">
        <v>584</v>
      </c>
      <c r="BY584" s="60" t="str">
        <f aca="false">IF(U584&lt;&gt;"",UPPER(TRIM(U584)),IF(CB584=1,UPPER(VLOOKUP(T584,Parameter!$I$27:$K$29,2,0)),IF(P584="","LOSE",P584)))</f>
        <v>S22</v>
      </c>
      <c r="BZ584" s="62" t="n">
        <f aca="false">IF(BY584="LOSE",1,IF(N(V584)&gt;0,V584,IF(CB584=1,MAX(1,N(VLOOKUP(T584,Parameter!$I$27:$K$29,3,0)),H584,N(N584)),IF(N(Q584)&gt;0,Q584,MAX(1,H584)))))</f>
        <v>177</v>
      </c>
      <c r="CA584" s="65" t="n">
        <f aca="false">IF(BY584="LOSE",1,0)</f>
        <v>0</v>
      </c>
      <c r="CB584" s="65" t="n">
        <f aca="false">IF(AND(U584="",OR(P584="",P584="LOSE"),T584&lt;&gt;"",N(S584)&lt;=0,ISNUMBER(MATCH(T584,Parameter!$I$27:$I$29,0))),1,0)</f>
        <v>0</v>
      </c>
      <c r="CC584" s="65" t="n">
        <f aca="false">IF(CR584&gt;0,INDEX(Parameter!$H$5:$H$7,W584)/INDEX(Parameter!$E$5:$E$7,W584),IF(AND(CA584=0,N(IFERROR(VLOOKUP(BY584,'Gebinde-Kategorie'!$A$5:$N$45,14,0),0))&gt;0),VLOOKUP(BY584,'Gebinde-Kategorie'!$A$5:$N$45,14,0)*10+Parameter!$M$23,Parameter!$M$24))</f>
        <v>155</v>
      </c>
      <c r="CD584" s="60" t="str">
        <f aca="false">IF(AND(Parameter!$B$19="Ja",E584&lt;&gt;"",ISNUMBER(MATCH(E584,Parameter!$I$35:$I$52,0))),VLOOKUP(E584,Parameter!$I$35:$J$52,2,0),IFERROR(VLOOKUP(D584,Parameter!$A$35:$C$64,2,0),"Nein"))</f>
        <v>2+3</v>
      </c>
      <c r="CE584" s="64" t="n">
        <f aca="false">IF(CA584=0,0,IF(N(S584)&gt;0,S584,IFERROR(VLOOKUP(D584,Parameter!$A$35:$C$64,3,0)+0,0)))</f>
        <v>0</v>
      </c>
      <c r="CF584" s="60" t="n">
        <f aca="false">IF(AB584&lt;&gt;"",AB584,AA584)</f>
        <v>3</v>
      </c>
      <c r="CG584" s="60" t="str">
        <f aca="false">IF(OR(CF584=1,CF584=2,CF584=3),IF(Parameter!$E$27="Ja","LIFT",IF(CF584=1,"L1","L23")),IF(CF584="Aussen","Aussen","-"))</f>
        <v>LIFT</v>
      </c>
      <c r="CH584" s="71" t="n">
        <f aca="false">IF(N(AC584)&gt;0,AC584,0)</f>
        <v>0</v>
      </c>
      <c r="CI584" s="65" t="n">
        <f aca="false">IF(ISNUMBER(AF584),1,0)</f>
        <v>0</v>
      </c>
      <c r="CJ584" s="62" t="n">
        <f aca="false">N(AF584)</f>
        <v>0</v>
      </c>
      <c r="CK584" s="62" t="n">
        <f aca="false">N(M584)+N(N584)</f>
        <v>668</v>
      </c>
      <c r="CL584" s="62" t="n">
        <f aca="false">N(M584)</f>
        <v>48</v>
      </c>
      <c r="CM584" s="62" t="n">
        <f aca="false">N(N584)</f>
        <v>620</v>
      </c>
      <c r="CN584" s="62" t="n">
        <f aca="false">ROUNDUP(H584/BZ584,0)</f>
        <v>3</v>
      </c>
      <c r="CO584" s="62" t="n">
        <f aca="false">ROUNDUP(CJ584/BZ584,0)</f>
        <v>0</v>
      </c>
      <c r="CP584" s="65" t="n">
        <f aca="false">IF(CA584=1,0,IFERROR(VLOOKUP(BY584,'Gebinde-Kategorie'!$A$5:$N$45,5,0)+0,0))</f>
        <v>8</v>
      </c>
      <c r="CQ584" s="65" t="n">
        <f aca="false">IFERROR(IF(OR(CF584=1,CF584=2,CF584=3),N(INDEX(Parameter!$I$5:$I$7,CF584)),0),0)</f>
        <v>0</v>
      </c>
      <c r="CR584" s="64" t="n">
        <f aca="false">IF(AND(Parameter!$B$21="Ja",ISNUMBER(W584),N(X584)&gt;0),IFERROR(N(INDEX(Parameter!$L$5:$L$7,W584))*INDEX(Parameter!$E$5:$E$7,W584)*X584/SUMIFS($X$7:$X$1843,$W$7:$W$1843,W584),0),0)</f>
        <v>0</v>
      </c>
      <c r="CS584" s="62" t="n">
        <f aca="false">IF(AND(OR(CG584="L1",CG584="L23",CG584="LIFT"),H584&gt;0),CC584*IF(CR584&gt;0,CR584*MAX(1,H584/X584),IF(CA584=1,CE584,IF(R584&gt;0,CN584/R584,0))/MAX(0.1,N(Parameter!$M$21))),"")</f>
        <v>3.32142857142857</v>
      </c>
      <c r="CT584" s="64" t="n">
        <f aca="false">IF(CS584="","",J584/H584)</f>
        <v>1.59383033419023</v>
      </c>
      <c r="CU584" s="62" t="n">
        <f aca="false">IF(CS584="","",H584*G584)</f>
        <v>38.9</v>
      </c>
      <c r="CV584" s="63" t="n">
        <f aca="false">IF(CS584="","",(CL584+ROUNDUP(CL584+MAX(CM584,2*(J584/MAX(0.1,N(Einkauf!$C$6))-CL584)),0))/2)</f>
        <v>358</v>
      </c>
      <c r="CW584" s="62" t="n">
        <f aca="false">IF(CS584="","",MAX(0,H584-CV584)*G584)</f>
        <v>3.1</v>
      </c>
      <c r="CX584" s="62" t="n">
        <f aca="false">IF(CS584="","",CS584*MAX(0,1-CV584/H584))</f>
        <v>0.264689680499449</v>
      </c>
      <c r="CY584" s="64" t="n">
        <f aca="false">IF(CS584="","",PERCENTRANK($CS$7:$CS$1843,CS584)+PERCENTRANK($CU$7:$CU$1843,CU584)+1-PERCENTRANK($CT$7:$CT$1843,CT584))</f>
        <v>0.695</v>
      </c>
      <c r="CZ584" s="72" t="n">
        <f aca="false">IF(CS584="","",CHOOSE(MATCH(Einkauf!$C$5,Parameter!$G$23:$G$27,0),CY584,CS584,CU584,-CT584,CW584)+ROW()/1000000000)</f>
        <v>0.695000584</v>
      </c>
    </row>
    <row r="585" customFormat="false" ht="15" hidden="false" customHeight="false" outlineLevel="0" collapsed="false">
      <c r="A585" s="60" t="s">
        <v>1266</v>
      </c>
      <c r="B585" s="60" t="s">
        <v>1267</v>
      </c>
      <c r="C585" s="60" t="s">
        <v>206</v>
      </c>
      <c r="D585" s="60" t="s">
        <v>226</v>
      </c>
      <c r="E585" s="60"/>
      <c r="F585" s="60" t="s">
        <v>260</v>
      </c>
      <c r="G585" s="61" t="n">
        <v>8.61</v>
      </c>
      <c r="H585" s="62" t="n">
        <f aca="false">MAX(0,IF(AND(Parameter!$B$21="Ja",ISNUMBER(Y585)),Y585,IF(Parameter!$B$20="Jahresanfang 2025 + Export",BS585+BR585,BR585)))</f>
        <v>39</v>
      </c>
      <c r="I585" s="62" t="n">
        <f aca="false">H585*G585</f>
        <v>335.79</v>
      </c>
      <c r="J585" s="62" t="n">
        <f aca="false">BU585*Parameter!$B$18</f>
        <v>0</v>
      </c>
      <c r="K585" s="63" t="n">
        <v>39</v>
      </c>
      <c r="L585" s="64" t="n">
        <v>0</v>
      </c>
      <c r="M585" s="62" t="n">
        <v>0</v>
      </c>
      <c r="N585" s="62" t="n">
        <v>1</v>
      </c>
      <c r="O585" s="65" t="n">
        <v>28</v>
      </c>
      <c r="P585" s="60" t="s">
        <v>335</v>
      </c>
      <c r="Q585" s="62" t="n">
        <v>40</v>
      </c>
      <c r="R585" s="65" t="n">
        <f aca="false">IF(CA585=1,0,IFERROR(VLOOKUP(BY585,'Gebinde-Kategorie'!$A$5:$N$45,13,0)+0,0))</f>
        <v>12</v>
      </c>
      <c r="S585" s="66"/>
      <c r="T585" s="67"/>
      <c r="U585" s="67"/>
      <c r="V585" s="67"/>
      <c r="W585" s="60"/>
      <c r="X585" s="62"/>
      <c r="Y585" s="62"/>
      <c r="Z585" s="60" t="n">
        <v>3</v>
      </c>
      <c r="AA585" s="60" t="n">
        <f aca="false">IF(A585="","",IF(AND(Parameter!$B$21="Ja",ISNUMBER(W585)),W585,IF(AND(Parameter!$E$27="Ja",ISNUMBER(Z585),CD585&lt;&gt;"Nein"),Z585,IF(CD585="2+3",IF(ISNUMBER(SEARCH("grosser Artikel",BV585)),2,IFERROR(VLOOKUP(BY585,Parameter!$F$35:$G$64,2,0),2)),IF(OR(CD585="Nein",CD585=""),"-",CD585)))))</f>
        <v>3</v>
      </c>
      <c r="AB585" s="67"/>
      <c r="AC585" s="68"/>
      <c r="AD585" s="62" t="n">
        <f aca="false">AW585</f>
        <v>1</v>
      </c>
      <c r="AE585" s="62" t="n">
        <f aca="false">MAX(AW585,H585)</f>
        <v>39</v>
      </c>
      <c r="AF585" s="69"/>
      <c r="AG585" s="62" t="n">
        <f aca="false">IF(LEFT(Cockpit!$C$5,1)="A",H585,IF(Parameter!$E$30="MAX-Bestand",IF(CI585=1,CJ585,IF(LEFT(Cockpit!$C$5,1)="B",AM585,MAX(AM585,H585))),ROUNDUP(AK585,0)))</f>
        <v>39</v>
      </c>
      <c r="AH585" s="62" t="n">
        <f aca="false">IF(CA585=1,0,ROUNDUP(AG585/BZ585,0))</f>
        <v>1</v>
      </c>
      <c r="AI585" s="64" t="n">
        <f aca="false">IF(CR585&gt;0,CR585*MAX(1,AG585/X585),IF(CA585=1,IF(AG585&lt;=0,0,CE585*MAX(1,IF(H585&gt;0,AG585/H585,1))),IF(R585&gt;0,AH585/R585,0))/MAX(0.1,N(Parameter!$M$21)))</f>
        <v>0.0833333333333333</v>
      </c>
      <c r="AJ585" s="62" t="n">
        <f aca="false">AI585*CC585</f>
        <v>20.4166666666667</v>
      </c>
      <c r="AK585" s="63" t="n">
        <f aca="false">IF(LEFT(Cockpit!$C$5,1)="A",H585,IF(CI585=1,(CL585+CJ585)/2,IF(LEFT(Cockpit!$C$5,1)="B",(CL585+AM585)/2,MAX((CL585+AM585)/2,H585))))</f>
        <v>39</v>
      </c>
      <c r="AL585" s="62" t="n">
        <f aca="false">AK585*G585</f>
        <v>335.79</v>
      </c>
      <c r="AM585" s="62" t="n">
        <f aca="false">ROUNDUP(CL585+MAX(CM585,2*(J585/IF(CH585&gt;0,CH585,MAX(0.1,N(Cockpit!$C$6)))-CL585)),0)</f>
        <v>1</v>
      </c>
      <c r="AN585" s="63" t="n">
        <f aca="false">IF(AJ585&gt;0,J585/AJ585,-1)</f>
        <v>0</v>
      </c>
      <c r="AO585" s="63" t="n">
        <f aca="false">IF(AND(OR(CG585="L1",CG585="L23",CG585="LIFT"),AJ585&gt;0),SUMIFS($AJ$7:$AJ$1843,$CG$7:$CG$1843,CG585,$AN$7:$AN$1843,"&gt;"&amp;AN585)+SUMIFS($AJ$7:$AJ$1843,$CG$7:$CG$1843,CG585,$AN$7:$AN$1843,AN585,$BX$7:$BX$1843,"&lt;="&amp;BX585),"")</f>
        <v>28500.5894538606</v>
      </c>
      <c r="AP585" s="70" t="n">
        <f aca="false">IF(AO585="",0,MAX(0,MIN(1,(IF(CG585="L1",Parameter!$H$5,IF(CG585="L23",Parameter!$H$6+Parameter!$H$7,Parameter!$H$5+Parameter!$H$6+Parameter!$H$7))-(AO585-AJ585))/AJ585)))</f>
        <v>1</v>
      </c>
      <c r="AQ585" s="62" t="n">
        <f aca="false">IF(LEFT(Cockpit!$I$5,1)="A",H585,IF(Parameter!$E$30="MAX-Bestand",IF(CI585=1,CJ585,IF(LEFT(Cockpit!$I$5,1)="B",AW585,MAX(AW585,H585))),ROUNDUP(AU585,0)))</f>
        <v>39</v>
      </c>
      <c r="AR585" s="62" t="n">
        <f aca="false">IF(CA585=1,0,ROUNDUP(AQ585/BZ585,0))</f>
        <v>1</v>
      </c>
      <c r="AS585" s="64" t="n">
        <f aca="false">IF(CR585&gt;0,CR585*MAX(1,AQ585/X585),IF(CA585=1,IF(AQ585&lt;=0,0,CE585*MAX(1,IF(H585&gt;0,AQ585/H585,1))),IF(R585&gt;0,AR585/R585,0))/MAX(0.1,N(Parameter!$M$21)))</f>
        <v>0.0833333333333333</v>
      </c>
      <c r="AT585" s="62" t="n">
        <f aca="false">AS585*CC585</f>
        <v>20.4166666666667</v>
      </c>
      <c r="AU585" s="63" t="n">
        <f aca="false">IF(LEFT(Cockpit!$I$5,1)="A",H585,IF(CI585=1,(CL585+CJ585)/2,IF(LEFT(Cockpit!$I$5,1)="B",(CL585+AW585)/2,MAX((CL585+AW585)/2,H585))))</f>
        <v>39</v>
      </c>
      <c r="AV585" s="62" t="n">
        <f aca="false">AU585*G585</f>
        <v>335.79</v>
      </c>
      <c r="AW585" s="62" t="n">
        <f aca="false">ROUNDUP(CL585+MAX(CM585,2*(J585/IF(CH585&gt;0,CH585,MAX(0.1,N(Cockpit!$I$6)))-CL585)),0)</f>
        <v>1</v>
      </c>
      <c r="AX585" s="63" t="n">
        <f aca="false">IF(AT585&gt;0,J585/AT585,-1)</f>
        <v>0</v>
      </c>
      <c r="AY585" s="63" t="n">
        <f aca="false">IF(AND(OR(CG585="L1",CG585="L23",CG585="LIFT"),AT585&gt;0),SUMIFS($AT$7:$AT$1843,$CG$7:$CG$1843,CG585,$AX$7:$AX$1843,"&gt;"&amp;AX585)+SUMIFS($AT$7:$AT$1843,$CG$7:$CG$1843,CG585,$AX$7:$AX$1843,AX585,$BX$7:$BX$1843,"&lt;="&amp;BX585),"")</f>
        <v>33853.7380952381</v>
      </c>
      <c r="AZ585" s="70" t="n">
        <f aca="false">IF(AY585="",0,MAX(0,MIN(1,(IF(CG585="L1",Parameter!$H$5,IF(CG585="L23",Parameter!$H$6+Parameter!$H$7,Parameter!$H$5+Parameter!$H$6+Parameter!$H$7))-(AY585-AT585))/AT585)))</f>
        <v>1</v>
      </c>
      <c r="BA585" s="62" t="n">
        <f aca="false">IF(LEFT(Cockpit!$O$5,1)="A",H585,IF(Parameter!$E$30="MAX-Bestand",IF(CI585=1,CJ585,IF(LEFT(Cockpit!$O$5,1)="B",BG585,MAX(BG585,H585))),ROUNDUP(BE585,0)))</f>
        <v>1</v>
      </c>
      <c r="BB585" s="62" t="n">
        <f aca="false">IF(CA585=1,0,ROUNDUP(BA585/BZ585,0))</f>
        <v>1</v>
      </c>
      <c r="BC585" s="64" t="n">
        <f aca="false">IF(CR585&gt;0,CR585*MAX(1,BA585/X585),IF(CA585=1,IF(BA585&lt;=0,0,CE585*MAX(1,IF(H585&gt;0,BA585/H585,1))),IF(R585&gt;0,BB585/R585,0))/MAX(0.1,N(Parameter!$M$21)))</f>
        <v>0.0833333333333333</v>
      </c>
      <c r="BD585" s="62" t="n">
        <f aca="false">BC585*CC585</f>
        <v>20.4166666666667</v>
      </c>
      <c r="BE585" s="63" t="n">
        <f aca="false">IF(LEFT(Cockpit!$O$5,1)="A",H585,IF(CI585=1,(CL585+CJ585)/2,IF(LEFT(Cockpit!$O$5,1)="B",(CL585+BG585)/2,MAX((CL585+BG585)/2,H585))))</f>
        <v>0.5</v>
      </c>
      <c r="BF585" s="62" t="n">
        <f aca="false">BE585*G585</f>
        <v>4.305</v>
      </c>
      <c r="BG585" s="62" t="n">
        <f aca="false">ROUNDUP(CL585+MAX(CM585,2*(J585/IF(CH585&gt;0,CH585,MAX(0.1,N(Cockpit!$O$6)))-CL585)),0)</f>
        <v>1</v>
      </c>
      <c r="BH585" s="63" t="n">
        <f aca="false">IF(BD585&gt;0,J585/BD585,-1)</f>
        <v>0</v>
      </c>
      <c r="BI585" s="63" t="n">
        <f aca="false">IF(AND(OR(CG585="L1",CG585="L23",CG585="LIFT"),BD585&gt;0),SUMIFS($BD$7:$BD$1843,$CG$7:$CG$1843,CG585,$BH$7:$BH$1843,"&gt;"&amp;BH585)+SUMIFS($BD$7:$BD$1843,$CG$7:$CG$1843,CG585,$BH$7:$BH$1843,BH585,$BX$7:$BX$1843,"&lt;="&amp;BX585),"")</f>
        <v>27929.0236931148</v>
      </c>
      <c r="BJ585" s="70" t="n">
        <f aca="false">IF(BI585="",0,MAX(0,MIN(1,(IF(CG585="L1",Parameter!$H$5,IF(CG585="L23",Parameter!$H$6+Parameter!$H$7,Parameter!$H$5+Parameter!$H$6+Parameter!$H$7))-(BI585-BD585))/BD585)))</f>
        <v>1</v>
      </c>
      <c r="BK585" s="60" t="str">
        <f aca="false">IF(AJ585&lt;=0,"",IF(CG585="Aussen","Aussenlager",IF(CG585="-","Nicht im Lift",IF(AP585&gt;=1,"Lift",IF(AP585&lt;=0,"Aussenlager","teilweise")))))</f>
        <v>Lift</v>
      </c>
      <c r="BL585" s="60" t="str">
        <f aca="false">IF(AT585&lt;=0,"",IF(CG585="Aussen","Aussenlager",IF(CG585="-","Nicht im Lift",IF(AZ585&gt;=1,"Lift",IF(AZ585&lt;=0,"Aussenlager","teilweise")))))</f>
        <v>Lift</v>
      </c>
      <c r="BM585" s="60" t="str">
        <f aca="false">IF(BD585&lt;=0,"",IF(CG585="Aussen","Aussenlager",IF(CG585="-","Nicht im Lift",IF(BJ585&gt;=1,"Lift",IF(BJ585&lt;=0,"Aussenlager","teilweise")))))</f>
        <v>Lift</v>
      </c>
      <c r="BN585" s="60" t="str">
        <f aca="false">IF(A585="","",IF(BW585=1,"Neu; ","")&amp;IF(AND(BW585=0,BR585&lt;0),"negativer Bestand (Export "&amp;BR585&amp;"); ","")&amp;IF(J585&lt;=0,"Kein Verbrauch; ","")&amp;IF(CR585&gt;0,"Lift "&amp;W585&amp;" lt. Liftbericht (Fach "&amp;X585&amp;" Stk); ",IF(CB585=1,"Gebinde geschätzt ("&amp;T585&amp;"); ",IF(CA585=1,"Lose – Tablare geschätzt; ","")))&amp;IF(H585&gt;AW585,"Überbestand "&amp;ROUND(H585-AW585,0)&amp;" Stk / CHF "&amp;ROUND((H585-AW585)*G585,0)&amp;"; ","")&amp;IF(AND(CI585=1,CJ585&lt;CK585),"MAX &lt; MB+LG; ","")&amp;IF(AND(CQ585&gt;0,CP585*10&gt;CQ585),"zu hoch für Tablar; ","")&amp;IF(AND(BW585=0,OR(CI585=1,AB585&lt;&gt;"",U585&lt;&gt;"",V585&lt;&gt;"",AC585&lt;&gt;"")),"manuell übersteuert; ","")&amp;IF(AND(CA585=0,R585=0),"Gebinde unbekannt / Stellmass fehlt; ","")&amp;IF(AND(CA585=0,N(V585)&lt;=0,N(Q585)&lt;=0),"Menge pro Gebinde fehlt (Ist = 1 Gebinde); ","")&amp;BV585)</f>
        <v>Kein Verbrauch; Überbestand 38 Stk / CHF 327; </v>
      </c>
      <c r="BO585" s="60"/>
      <c r="BP585" s="60"/>
      <c r="BQ585" s="67"/>
      <c r="BR585" s="62" t="n">
        <v>1</v>
      </c>
      <c r="BS585" s="62" t="n">
        <v>38</v>
      </c>
      <c r="BT585" s="61" t="n">
        <v>8.61</v>
      </c>
      <c r="BU585" s="62" t="n">
        <v>0</v>
      </c>
      <c r="BV585" s="60"/>
      <c r="BW585" s="65" t="n">
        <v>0</v>
      </c>
      <c r="BX585" s="65" t="n">
        <v>585</v>
      </c>
      <c r="BY585" s="60" t="str">
        <f aca="false">IF(U585&lt;&gt;"",UPPER(TRIM(U585)),IF(CB585=1,UPPER(VLOOKUP(T585,Parameter!$I$27:$K$29,2,0)),IF(P585="","LOSE",P585)))</f>
        <v>S62</v>
      </c>
      <c r="BZ585" s="62" t="n">
        <f aca="false">IF(BY585="LOSE",1,IF(N(V585)&gt;0,V585,IF(CB585=1,MAX(1,N(VLOOKUP(T585,Parameter!$I$27:$K$29,3,0)),H585,N(N585)),IF(N(Q585)&gt;0,Q585,MAX(1,H585)))))</f>
        <v>40</v>
      </c>
      <c r="CA585" s="65" t="n">
        <f aca="false">IF(BY585="LOSE",1,0)</f>
        <v>0</v>
      </c>
      <c r="CB585" s="65" t="n">
        <f aca="false">IF(AND(U585="",OR(P585="",P585="LOSE"),T585&lt;&gt;"",N(S585)&lt;=0,ISNUMBER(MATCH(T585,Parameter!$I$27:$I$29,0))),1,0)</f>
        <v>0</v>
      </c>
      <c r="CC585" s="65" t="n">
        <f aca="false">IF(CR585&gt;0,INDEX(Parameter!$H$5:$H$7,W585)/INDEX(Parameter!$E$5:$E$7,W585),IF(AND(CA585=0,N(IFERROR(VLOOKUP(BY585,'Gebinde-Kategorie'!$A$5:$N$45,14,0),0))&gt;0),VLOOKUP(BY585,'Gebinde-Kategorie'!$A$5:$N$45,14,0)*10+Parameter!$M$23,Parameter!$M$24))</f>
        <v>245</v>
      </c>
      <c r="CD585" s="60" t="str">
        <f aca="false">IF(AND(Parameter!$B$19="Ja",E585&lt;&gt;"",ISNUMBER(MATCH(E585,Parameter!$I$35:$I$52,0))),VLOOKUP(E585,Parameter!$I$35:$J$52,2,0),IFERROR(VLOOKUP(D585,Parameter!$A$35:$C$64,2,0),"Nein"))</f>
        <v>2+3</v>
      </c>
      <c r="CE585" s="64" t="n">
        <f aca="false">IF(CA585=0,0,IF(N(S585)&gt;0,S585,IFERROR(VLOOKUP(D585,Parameter!$A$35:$C$64,3,0)+0,0)))</f>
        <v>0</v>
      </c>
      <c r="CF585" s="60" t="n">
        <f aca="false">IF(AB585&lt;&gt;"",AB585,AA585)</f>
        <v>3</v>
      </c>
      <c r="CG585" s="60" t="str">
        <f aca="false">IF(OR(CF585=1,CF585=2,CF585=3),IF(Parameter!$E$27="Ja","LIFT",IF(CF585=1,"L1","L23")),IF(CF585="Aussen","Aussen","-"))</f>
        <v>LIFT</v>
      </c>
      <c r="CH585" s="71" t="n">
        <f aca="false">IF(N(AC585)&gt;0,AC585,0)</f>
        <v>0</v>
      </c>
      <c r="CI585" s="65" t="n">
        <f aca="false">IF(ISNUMBER(AF585),1,0)</f>
        <v>0</v>
      </c>
      <c r="CJ585" s="62" t="n">
        <f aca="false">N(AF585)</f>
        <v>0</v>
      </c>
      <c r="CK585" s="62" t="n">
        <f aca="false">N(M585)+N(N585)</f>
        <v>1</v>
      </c>
      <c r="CL585" s="62" t="n">
        <f aca="false">N(M585)</f>
        <v>0</v>
      </c>
      <c r="CM585" s="62" t="n">
        <f aca="false">N(N585)</f>
        <v>1</v>
      </c>
      <c r="CN585" s="62" t="n">
        <f aca="false">ROUNDUP(H585/BZ585,0)</f>
        <v>1</v>
      </c>
      <c r="CO585" s="62" t="n">
        <f aca="false">ROUNDUP(CJ585/BZ585,0)</f>
        <v>0</v>
      </c>
      <c r="CP585" s="65" t="n">
        <f aca="false">IF(CA585=1,0,IFERROR(VLOOKUP(BY585,'Gebinde-Kategorie'!$A$5:$N$45,5,0)+0,0))</f>
        <v>21</v>
      </c>
      <c r="CQ585" s="65" t="n">
        <f aca="false">IFERROR(IF(OR(CF585=1,CF585=2,CF585=3),N(INDEX(Parameter!$I$5:$I$7,CF585)),0),0)</f>
        <v>0</v>
      </c>
      <c r="CR585" s="64" t="n">
        <f aca="false">IF(AND(Parameter!$B$21="Ja",ISNUMBER(W585),N(X585)&gt;0),IFERROR(N(INDEX(Parameter!$L$5:$L$7,W585))*INDEX(Parameter!$E$5:$E$7,W585)*X585/SUMIFS($X$7:$X$1843,$W$7:$W$1843,W585),0),0)</f>
        <v>0</v>
      </c>
      <c r="CS585" s="62" t="n">
        <f aca="false">IF(AND(OR(CG585="L1",CG585="L23",CG585="LIFT"),H585&gt;0),CC585*IF(CR585&gt;0,CR585*MAX(1,H585/X585),IF(CA585=1,CE585,IF(R585&gt;0,CN585/R585,0))/MAX(0.1,N(Parameter!$M$21))),"")</f>
        <v>20.4166666666667</v>
      </c>
      <c r="CT585" s="64" t="n">
        <f aca="false">IF(CS585="","",J585/H585)</f>
        <v>0</v>
      </c>
      <c r="CU585" s="62" t="n">
        <f aca="false">IF(CS585="","",H585*G585)</f>
        <v>335.79</v>
      </c>
      <c r="CV585" s="63" t="n">
        <f aca="false">IF(CS585="","",(CL585+ROUNDUP(CL585+MAX(CM585,2*(J585/MAX(0.1,N(Einkauf!$C$6))-CL585)),0))/2)</f>
        <v>0.5</v>
      </c>
      <c r="CW585" s="62" t="n">
        <f aca="false">IF(CS585="","",MAX(0,H585-CV585)*G585)</f>
        <v>331.485</v>
      </c>
      <c r="CX585" s="62" t="n">
        <f aca="false">IF(CS585="","",CS585*MAX(0,1-CV585/H585))</f>
        <v>20.1549145299145</v>
      </c>
      <c r="CY585" s="64" t="n">
        <f aca="false">IF(CS585="","",PERCENTRANK($CS$7:$CS$1843,CS585)+PERCENTRANK($CU$7:$CU$1843,CU585)+1-PERCENTRANK($CT$7:$CT$1843,CT585))</f>
        <v>2.229</v>
      </c>
      <c r="CZ585" s="72" t="n">
        <f aca="false">IF(CS585="","",CHOOSE(MATCH(Einkauf!$C$5,Parameter!$G$23:$G$27,0),CY585,CS585,CU585,-CT585,CW585)+ROW()/1000000000)</f>
        <v>2.229000585</v>
      </c>
    </row>
    <row r="586" customFormat="false" ht="15" hidden="false" customHeight="false" outlineLevel="0" collapsed="false">
      <c r="A586" s="60" t="s">
        <v>1268</v>
      </c>
      <c r="B586" s="60" t="s">
        <v>991</v>
      </c>
      <c r="C586" s="60" t="s">
        <v>206</v>
      </c>
      <c r="D586" s="60" t="s">
        <v>226</v>
      </c>
      <c r="E586" s="60" t="s">
        <v>227</v>
      </c>
      <c r="F586" s="60" t="s">
        <v>260</v>
      </c>
      <c r="G586" s="61" t="n">
        <v>0.05</v>
      </c>
      <c r="H586" s="62" t="n">
        <f aca="false">MAX(0,IF(AND(Parameter!$B$21="Ja",ISNUMBER(Y586)),Y586,IF(Parameter!$B$20="Jahresanfang 2025 + Export",BS586+BR586,BR586)))</f>
        <v>440</v>
      </c>
      <c r="I586" s="62" t="n">
        <f aca="false">H586*G586</f>
        <v>22</v>
      </c>
      <c r="J586" s="62" t="n">
        <f aca="false">BU586*Parameter!$B$18</f>
        <v>424</v>
      </c>
      <c r="K586" s="63" t="n">
        <v>206</v>
      </c>
      <c r="L586" s="64" t="n">
        <v>2.05825242718447</v>
      </c>
      <c r="M586" s="62" t="n">
        <v>24</v>
      </c>
      <c r="N586" s="62" t="n">
        <v>500</v>
      </c>
      <c r="O586" s="65" t="n">
        <v>21</v>
      </c>
      <c r="P586" s="60" t="s">
        <v>344</v>
      </c>
      <c r="Q586" s="62" t="n">
        <v>133</v>
      </c>
      <c r="R586" s="65" t="n">
        <f aca="false">IF(CA586=1,0,IFERROR(VLOOKUP(BY586,'Gebinde-Kategorie'!$A$5:$N$45,13,0)+0,0))</f>
        <v>26</v>
      </c>
      <c r="S586" s="66"/>
      <c r="T586" s="67"/>
      <c r="U586" s="67"/>
      <c r="V586" s="67"/>
      <c r="W586" s="60"/>
      <c r="X586" s="62"/>
      <c r="Y586" s="62"/>
      <c r="Z586" s="60" t="n">
        <v>3</v>
      </c>
      <c r="AA586" s="60" t="n">
        <f aca="false">IF(A586="","",IF(AND(Parameter!$B$21="Ja",ISNUMBER(W586)),W586,IF(AND(Parameter!$E$27="Ja",ISNUMBER(Z586),CD586&lt;&gt;"Nein"),Z586,IF(CD586="2+3",IF(ISNUMBER(SEARCH("grosser Artikel",BV586)),2,IFERROR(VLOOKUP(BY586,Parameter!$F$35:$G$64,2,0),2)),IF(OR(CD586="Nein",CD586=""),"-",CD586)))))</f>
        <v>3</v>
      </c>
      <c r="AB586" s="67"/>
      <c r="AC586" s="68"/>
      <c r="AD586" s="62" t="n">
        <f aca="false">AW586</f>
        <v>524</v>
      </c>
      <c r="AE586" s="62" t="n">
        <f aca="false">MAX(AW586,H586)</f>
        <v>524</v>
      </c>
      <c r="AF586" s="69"/>
      <c r="AG586" s="62" t="n">
        <f aca="false">IF(LEFT(Cockpit!$C$5,1)="A",H586,IF(Parameter!$E$30="MAX-Bestand",IF(CI586=1,CJ586,IF(LEFT(Cockpit!$C$5,1)="B",AM586,MAX(AM586,H586))),ROUNDUP(AK586,0)))</f>
        <v>440</v>
      </c>
      <c r="AH586" s="62" t="n">
        <f aca="false">IF(CA586=1,0,ROUNDUP(AG586/BZ586,0))</f>
        <v>4</v>
      </c>
      <c r="AI586" s="64" t="n">
        <f aca="false">IF(CR586&gt;0,CR586*MAX(1,AG586/X586),IF(CA586=1,IF(AG586&lt;=0,0,CE586*MAX(1,IF(H586&gt;0,AG586/H586,1))),IF(R586&gt;0,AH586/R586,0))/MAX(0.1,N(Parameter!$M$21)))</f>
        <v>0.153846153846154</v>
      </c>
      <c r="AJ586" s="62" t="n">
        <f aca="false">AI586*CC586</f>
        <v>23.8461538461538</v>
      </c>
      <c r="AK586" s="63" t="n">
        <f aca="false">IF(LEFT(Cockpit!$C$5,1)="A",H586,IF(CI586=1,(CL586+CJ586)/2,IF(LEFT(Cockpit!$C$5,1)="B",(CL586+AM586)/2,MAX((CL586+AM586)/2,H586))))</f>
        <v>440</v>
      </c>
      <c r="AL586" s="62" t="n">
        <f aca="false">AK586*G586</f>
        <v>22</v>
      </c>
      <c r="AM586" s="62" t="n">
        <f aca="false">ROUNDUP(CL586+MAX(CM586,2*(J586/IF(CH586&gt;0,CH586,MAX(0.1,N(Cockpit!$C$6)))-CL586)),0)</f>
        <v>524</v>
      </c>
      <c r="AN586" s="63" t="n">
        <f aca="false">IF(AJ586&gt;0,J586/AJ586,-1)</f>
        <v>17.7806451612903</v>
      </c>
      <c r="AO586" s="63" t="n">
        <f aca="false">IF(AND(OR(CG586="L1",CG586="L23",CG586="LIFT"),AJ586&gt;0),SUMIFS($AJ$7:$AJ$1843,$CG$7:$CG$1843,CG586,$AN$7:$AN$1843,"&gt;"&amp;AN586)+SUMIFS($AJ$7:$AJ$1843,$CG$7:$CG$1843,CG586,$AN$7:$AN$1843,AN586,$BX$7:$BX$1843,"&lt;="&amp;BX586),"")</f>
        <v>1940.58287545788</v>
      </c>
      <c r="AP586" s="70" t="n">
        <f aca="false">IF(AO586="",0,MAX(0,MIN(1,(IF(CG586="L1",Parameter!$H$5,IF(CG586="L23",Parameter!$H$6+Parameter!$H$7,Parameter!$H$5+Parameter!$H$6+Parameter!$H$7))-(AO586-AJ586))/AJ586)))</f>
        <v>1</v>
      </c>
      <c r="AQ586" s="62" t="n">
        <f aca="false">IF(LEFT(Cockpit!$I$5,1)="A",H586,IF(Parameter!$E$30="MAX-Bestand",IF(CI586=1,CJ586,IF(LEFT(Cockpit!$I$5,1)="B",AW586,MAX(AW586,H586))),ROUNDUP(AU586,0)))</f>
        <v>440</v>
      </c>
      <c r="AR586" s="62" t="n">
        <f aca="false">IF(CA586=1,0,ROUNDUP(AQ586/BZ586,0))</f>
        <v>4</v>
      </c>
      <c r="AS586" s="64" t="n">
        <f aca="false">IF(CR586&gt;0,CR586*MAX(1,AQ586/X586),IF(CA586=1,IF(AQ586&lt;=0,0,CE586*MAX(1,IF(H586&gt;0,AQ586/H586,1))),IF(R586&gt;0,AR586/R586,0))/MAX(0.1,N(Parameter!$M$21)))</f>
        <v>0.153846153846154</v>
      </c>
      <c r="AT586" s="62" t="n">
        <f aca="false">AS586*CC586</f>
        <v>23.8461538461538</v>
      </c>
      <c r="AU586" s="63" t="n">
        <f aca="false">IF(LEFT(Cockpit!$I$5,1)="A",H586,IF(CI586=1,(CL586+CJ586)/2,IF(LEFT(Cockpit!$I$5,1)="B",(CL586+AW586)/2,MAX((CL586+AW586)/2,H586))))</f>
        <v>440</v>
      </c>
      <c r="AV586" s="62" t="n">
        <f aca="false">AU586*G586</f>
        <v>22</v>
      </c>
      <c r="AW586" s="62" t="n">
        <f aca="false">ROUNDUP(CL586+MAX(CM586,2*(J586/IF(CH586&gt;0,CH586,MAX(0.1,N(Cockpit!$I$6)))-CL586)),0)</f>
        <v>524</v>
      </c>
      <c r="AX586" s="63" t="n">
        <f aca="false">IF(AT586&gt;0,J586/AT586,-1)</f>
        <v>17.7806451612903</v>
      </c>
      <c r="AY586" s="63" t="n">
        <f aca="false">IF(AND(OR(CG586="L1",CG586="L23",CG586="LIFT"),AT586&gt;0),SUMIFS($AT$7:$AT$1843,$CG$7:$CG$1843,CG586,$AX$7:$AX$1843,"&gt;"&amp;AX586)+SUMIFS($AT$7:$AT$1843,$CG$7:$CG$1843,CG586,$AX$7:$AX$1843,AX586,$BX$7:$BX$1843,"&lt;="&amp;BX586),"")</f>
        <v>2577.70375457875</v>
      </c>
      <c r="AZ586" s="70" t="n">
        <f aca="false">IF(AY586="",0,MAX(0,MIN(1,(IF(CG586="L1",Parameter!$H$5,IF(CG586="L23",Parameter!$H$6+Parameter!$H$7,Parameter!$H$5+Parameter!$H$6+Parameter!$H$7))-(AY586-AT586))/AT586)))</f>
        <v>1</v>
      </c>
      <c r="BA586" s="62" t="n">
        <f aca="false">IF(LEFT(Cockpit!$O$5,1)="A",H586,IF(Parameter!$E$30="MAX-Bestand",IF(CI586=1,CJ586,IF(LEFT(Cockpit!$O$5,1)="B",BG586,MAX(BG586,H586))),ROUNDUP(BE586,0)))</f>
        <v>274</v>
      </c>
      <c r="BB586" s="62" t="n">
        <f aca="false">IF(CA586=1,0,ROUNDUP(BA586/BZ586,0))</f>
        <v>3</v>
      </c>
      <c r="BC586" s="64" t="n">
        <f aca="false">IF(CR586&gt;0,CR586*MAX(1,BA586/X586),IF(CA586=1,IF(BA586&lt;=0,0,CE586*MAX(1,IF(H586&gt;0,BA586/H586,1))),IF(R586&gt;0,BB586/R586,0))/MAX(0.1,N(Parameter!$M$21)))</f>
        <v>0.115384615384615</v>
      </c>
      <c r="BD586" s="62" t="n">
        <f aca="false">BC586*CC586</f>
        <v>17.8846153846154</v>
      </c>
      <c r="BE586" s="63" t="n">
        <f aca="false">IF(LEFT(Cockpit!$O$5,1)="A",H586,IF(CI586=1,(CL586+CJ586)/2,IF(LEFT(Cockpit!$O$5,1)="B",(CL586+BG586)/2,MAX((CL586+BG586)/2,H586))))</f>
        <v>274</v>
      </c>
      <c r="BF586" s="62" t="n">
        <f aca="false">BE586*G586</f>
        <v>13.7</v>
      </c>
      <c r="BG586" s="62" t="n">
        <f aca="false">ROUNDUP(CL586+MAX(CM586,2*(J586/IF(CH586&gt;0,CH586,MAX(0.1,N(Cockpit!$O$6)))-CL586)),0)</f>
        <v>524</v>
      </c>
      <c r="BH586" s="63" t="n">
        <f aca="false">IF(BD586&gt;0,J586/BD586,-1)</f>
        <v>23.7075268817204</v>
      </c>
      <c r="BI586" s="63" t="n">
        <f aca="false">IF(AND(OR(CG586="L1",CG586="L23",CG586="LIFT"),BD586&gt;0),SUMIFS($BD$7:$BD$1843,$CG$7:$CG$1843,CG586,$BH$7:$BH$1843,"&gt;"&amp;BH586)+SUMIFS($BD$7:$BD$1843,$CG$7:$CG$1843,CG586,$BH$7:$BH$1843,BH586,$BX$7:$BX$1843,"&lt;="&amp;BX586),"")</f>
        <v>2127.14285714286</v>
      </c>
      <c r="BJ586" s="70" t="n">
        <f aca="false">IF(BI586="",0,MAX(0,MIN(1,(IF(CG586="L1",Parameter!$H$5,IF(CG586="L23",Parameter!$H$6+Parameter!$H$7,Parameter!$H$5+Parameter!$H$6+Parameter!$H$7))-(BI586-BD586))/BD586)))</f>
        <v>1</v>
      </c>
      <c r="BK586" s="60" t="str">
        <f aca="false">IF(AJ586&lt;=0,"",IF(CG586="Aussen","Aussenlager",IF(CG586="-","Nicht im Lift",IF(AP586&gt;=1,"Lift",IF(AP586&lt;=0,"Aussenlager","teilweise")))))</f>
        <v>Lift</v>
      </c>
      <c r="BL586" s="60" t="str">
        <f aca="false">IF(AT586&lt;=0,"",IF(CG586="Aussen","Aussenlager",IF(CG586="-","Nicht im Lift",IF(AZ586&gt;=1,"Lift",IF(AZ586&lt;=0,"Aussenlager","teilweise")))))</f>
        <v>Lift</v>
      </c>
      <c r="BM586" s="60" t="str">
        <f aca="false">IF(BD586&lt;=0,"",IF(CG586="Aussen","Aussenlager",IF(CG586="-","Nicht im Lift",IF(BJ586&gt;=1,"Lift",IF(BJ586&lt;=0,"Aussenlager","teilweise")))))</f>
        <v>Lift</v>
      </c>
      <c r="BN586" s="60" t="str">
        <f aca="false">IF(A586="","",IF(BW586=1,"Neu; ","")&amp;IF(AND(BW586=0,BR586&lt;0),"negativer Bestand (Export "&amp;BR586&amp;"); ","")&amp;IF(J586&lt;=0,"Kein Verbrauch; ","")&amp;IF(CR586&gt;0,"Lift "&amp;W586&amp;" lt. Liftbericht (Fach "&amp;X586&amp;" Stk); ",IF(CB586=1,"Gebinde geschätzt ("&amp;T586&amp;"); ",IF(CA586=1,"Lose – Tablare geschätzt; ","")))&amp;IF(H586&gt;AW586,"Überbestand "&amp;ROUND(H586-AW586,0)&amp;" Stk / CHF "&amp;ROUND((H586-AW586)*G586,0)&amp;"; ","")&amp;IF(AND(CI586=1,CJ586&lt;CK586),"MAX &lt; MB+LG; ","")&amp;IF(AND(CQ586&gt;0,CP586*10&gt;CQ586),"zu hoch für Tablar; ","")&amp;IF(AND(BW586=0,OR(CI586=1,AB586&lt;&gt;"",U586&lt;&gt;"",V586&lt;&gt;"",AC586&lt;&gt;"")),"manuell übersteuert; ","")&amp;IF(AND(CA586=0,R586=0),"Gebinde unbekannt / Stellmass fehlt; ","")&amp;IF(AND(CA586=0,N(V586)&lt;=0,N(Q586)&lt;=0),"Menge pro Gebinde fehlt (Ist = 1 Gebinde); ","")&amp;BV586)</f>
        <v/>
      </c>
      <c r="BO586" s="60"/>
      <c r="BP586" s="60"/>
      <c r="BQ586" s="67"/>
      <c r="BR586" s="62" t="n">
        <v>168</v>
      </c>
      <c r="BS586" s="62" t="n">
        <v>272</v>
      </c>
      <c r="BT586" s="61" t="n">
        <v>8.4</v>
      </c>
      <c r="BU586" s="62" t="n">
        <v>424</v>
      </c>
      <c r="BV586" s="60"/>
      <c r="BW586" s="65" t="n">
        <v>0</v>
      </c>
      <c r="BX586" s="65" t="n">
        <v>586</v>
      </c>
      <c r="BY586" s="60" t="str">
        <f aca="false">IF(U586&lt;&gt;"",UPPER(TRIM(U586)),IF(CB586=1,UPPER(VLOOKUP(T586,Parameter!$I$27:$K$29,2,0)),IF(P586="","LOSE",P586)))</f>
        <v>S51</v>
      </c>
      <c r="BZ586" s="62" t="n">
        <f aca="false">IF(BY586="LOSE",1,IF(N(V586)&gt;0,V586,IF(CB586=1,MAX(1,N(VLOOKUP(T586,Parameter!$I$27:$K$29,3,0)),H586,N(N586)),IF(N(Q586)&gt;0,Q586,MAX(1,H586)))))</f>
        <v>133</v>
      </c>
      <c r="CA586" s="65" t="n">
        <f aca="false">IF(BY586="LOSE",1,0)</f>
        <v>0</v>
      </c>
      <c r="CB586" s="65" t="n">
        <f aca="false">IF(AND(U586="",OR(P586="",P586="LOSE"),T586&lt;&gt;"",N(S586)&lt;=0,ISNUMBER(MATCH(T586,Parameter!$I$27:$I$29,0))),1,0)</f>
        <v>0</v>
      </c>
      <c r="CC586" s="65" t="n">
        <f aca="false">IF(CR586&gt;0,INDEX(Parameter!$H$5:$H$7,W586)/INDEX(Parameter!$E$5:$E$7,W586),IF(AND(CA586=0,N(IFERROR(VLOOKUP(BY586,'Gebinde-Kategorie'!$A$5:$N$45,14,0),0))&gt;0),VLOOKUP(BY586,'Gebinde-Kategorie'!$A$5:$N$45,14,0)*10+Parameter!$M$23,Parameter!$M$24))</f>
        <v>155</v>
      </c>
      <c r="CD586" s="60" t="str">
        <f aca="false">IF(AND(Parameter!$B$19="Ja",E586&lt;&gt;"",ISNUMBER(MATCH(E586,Parameter!$I$35:$I$52,0))),VLOOKUP(E586,Parameter!$I$35:$J$52,2,0),IFERROR(VLOOKUP(D586,Parameter!$A$35:$C$64,2,0),"Nein"))</f>
        <v>2+3</v>
      </c>
      <c r="CE586" s="64" t="n">
        <f aca="false">IF(CA586=0,0,IF(N(S586)&gt;0,S586,IFERROR(VLOOKUP(D586,Parameter!$A$35:$C$64,3,0)+0,0)))</f>
        <v>0</v>
      </c>
      <c r="CF586" s="60" t="n">
        <f aca="false">IF(AB586&lt;&gt;"",AB586,AA586)</f>
        <v>3</v>
      </c>
      <c r="CG586" s="60" t="str">
        <f aca="false">IF(OR(CF586=1,CF586=2,CF586=3),IF(Parameter!$E$27="Ja","LIFT",IF(CF586=1,"L1","L23")),IF(CF586="Aussen","Aussen","-"))</f>
        <v>LIFT</v>
      </c>
      <c r="CH586" s="71" t="n">
        <f aca="false">IF(N(AC586)&gt;0,AC586,0)</f>
        <v>0</v>
      </c>
      <c r="CI586" s="65" t="n">
        <f aca="false">IF(ISNUMBER(AF586),1,0)</f>
        <v>0</v>
      </c>
      <c r="CJ586" s="62" t="n">
        <f aca="false">N(AF586)</f>
        <v>0</v>
      </c>
      <c r="CK586" s="62" t="n">
        <f aca="false">N(M586)+N(N586)</f>
        <v>524</v>
      </c>
      <c r="CL586" s="62" t="n">
        <f aca="false">N(M586)</f>
        <v>24</v>
      </c>
      <c r="CM586" s="62" t="n">
        <f aca="false">N(N586)</f>
        <v>500</v>
      </c>
      <c r="CN586" s="62" t="n">
        <f aca="false">ROUNDUP(H586/BZ586,0)</f>
        <v>4</v>
      </c>
      <c r="CO586" s="62" t="n">
        <f aca="false">ROUNDUP(CJ586/BZ586,0)</f>
        <v>0</v>
      </c>
      <c r="CP586" s="65" t="n">
        <f aca="false">IF(CA586=1,0,IFERROR(VLOOKUP(BY586,'Gebinde-Kategorie'!$A$5:$N$45,5,0)+0,0))</f>
        <v>11</v>
      </c>
      <c r="CQ586" s="65" t="n">
        <f aca="false">IFERROR(IF(OR(CF586=1,CF586=2,CF586=3),N(INDEX(Parameter!$I$5:$I$7,CF586)),0),0)</f>
        <v>0</v>
      </c>
      <c r="CR586" s="64" t="n">
        <f aca="false">IF(AND(Parameter!$B$21="Ja",ISNUMBER(W586),N(X586)&gt;0),IFERROR(N(INDEX(Parameter!$L$5:$L$7,W586))*INDEX(Parameter!$E$5:$E$7,W586)*X586/SUMIFS($X$7:$X$1843,$W$7:$W$1843,W586),0),0)</f>
        <v>0</v>
      </c>
      <c r="CS586" s="62" t="n">
        <f aca="false">IF(AND(OR(CG586="L1",CG586="L23",CG586="LIFT"),H586&gt;0),CC586*IF(CR586&gt;0,CR586*MAX(1,H586/X586),IF(CA586=1,CE586,IF(R586&gt;0,CN586/R586,0))/MAX(0.1,N(Parameter!$M$21))),"")</f>
        <v>23.8461538461538</v>
      </c>
      <c r="CT586" s="64" t="n">
        <f aca="false">IF(CS586="","",J586/H586)</f>
        <v>0.963636363636364</v>
      </c>
      <c r="CU586" s="62" t="n">
        <f aca="false">IF(CS586="","",H586*G586)</f>
        <v>22</v>
      </c>
      <c r="CV586" s="63" t="n">
        <f aca="false">IF(CS586="","",(CL586+ROUNDUP(CL586+MAX(CM586,2*(J586/MAX(0.1,N(Einkauf!$C$6))-CL586)),0))/2)</f>
        <v>274</v>
      </c>
      <c r="CW586" s="62" t="n">
        <f aca="false">IF(CS586="","",MAX(0,H586-CV586)*G586)</f>
        <v>8.3</v>
      </c>
      <c r="CX586" s="62" t="n">
        <f aca="false">IF(CS586="","",CS586*MAX(0,1-CV586/H586))</f>
        <v>8.9965034965035</v>
      </c>
      <c r="CY586" s="64" t="n">
        <f aca="false">IF(CS586="","",PERCENTRANK($CS$7:$CS$1843,CS586)+PERCENTRANK($CU$7:$CU$1843,CU586)+1-PERCENTRANK($CT$7:$CT$1843,CT586))</f>
        <v>1.2661</v>
      </c>
      <c r="CZ586" s="72" t="n">
        <f aca="false">IF(CS586="","",CHOOSE(MATCH(Einkauf!$C$5,Parameter!$G$23:$G$27,0),CY586,CS586,CU586,-CT586,CW586)+ROW()/1000000000)</f>
        <v>1.266100586</v>
      </c>
    </row>
    <row r="587" customFormat="false" ht="15" hidden="false" customHeight="false" outlineLevel="0" collapsed="false">
      <c r="A587" s="60" t="s">
        <v>1269</v>
      </c>
      <c r="B587" s="60" t="s">
        <v>1134</v>
      </c>
      <c r="C587" s="60" t="s">
        <v>206</v>
      </c>
      <c r="D587" s="60" t="s">
        <v>215</v>
      </c>
      <c r="E587" s="60"/>
      <c r="F587" s="60" t="s">
        <v>260</v>
      </c>
      <c r="G587" s="61" t="n">
        <v>8.3</v>
      </c>
      <c r="H587" s="62" t="n">
        <f aca="false">MAX(0,IF(AND(Parameter!$B$21="Ja",ISNUMBER(Y587)),Y587,IF(Parameter!$B$20="Jahresanfang 2025 + Export",BS587+BR587,BR587)))</f>
        <v>1</v>
      </c>
      <c r="I587" s="62" t="n">
        <f aca="false">H587*G587</f>
        <v>8.3</v>
      </c>
      <c r="J587" s="62" t="n">
        <f aca="false">BU587*Parameter!$B$18</f>
        <v>0</v>
      </c>
      <c r="K587" s="63" t="n">
        <v>0</v>
      </c>
      <c r="L587" s="64" t="n">
        <v>0</v>
      </c>
      <c r="M587" s="62" t="n">
        <v>0</v>
      </c>
      <c r="N587" s="62" t="n">
        <v>1</v>
      </c>
      <c r="O587" s="65" t="n">
        <v>21</v>
      </c>
      <c r="P587" s="60" t="s">
        <v>210</v>
      </c>
      <c r="Q587" s="62"/>
      <c r="R587" s="65" t="n">
        <f aca="false">IF(CA587=1,0,IFERROR(VLOOKUP(BY587,'Gebinde-Kategorie'!$A$5:$N$45,13,0)+0,0))</f>
        <v>26</v>
      </c>
      <c r="S587" s="66"/>
      <c r="T587" s="67" t="s">
        <v>317</v>
      </c>
      <c r="U587" s="67"/>
      <c r="V587" s="67"/>
      <c r="W587" s="60"/>
      <c r="X587" s="62"/>
      <c r="Y587" s="62"/>
      <c r="Z587" s="60" t="n">
        <v>3</v>
      </c>
      <c r="AA587" s="60" t="n">
        <f aca="false">IF(A587="","",IF(AND(Parameter!$B$21="Ja",ISNUMBER(W587)),W587,IF(AND(Parameter!$E$27="Ja",ISNUMBER(Z587),CD587&lt;&gt;"Nein"),Z587,IF(CD587="2+3",IF(ISNUMBER(SEARCH("grosser Artikel",BV587)),2,IFERROR(VLOOKUP(BY587,Parameter!$F$35:$G$64,2,0),2)),IF(OR(CD587="Nein",CD587=""),"-",CD587)))))</f>
        <v>3</v>
      </c>
      <c r="AB587" s="67"/>
      <c r="AC587" s="68"/>
      <c r="AD587" s="62" t="n">
        <f aca="false">AW587</f>
        <v>1</v>
      </c>
      <c r="AE587" s="62" t="n">
        <f aca="false">MAX(AW587,H587)</f>
        <v>1</v>
      </c>
      <c r="AF587" s="69"/>
      <c r="AG587" s="62" t="n">
        <f aca="false">IF(LEFT(Cockpit!$C$5,1)="A",H587,IF(Parameter!$E$30="MAX-Bestand",IF(CI587=1,CJ587,IF(LEFT(Cockpit!$C$5,1)="B",AM587,MAX(AM587,H587))),ROUNDUP(AK587,0)))</f>
        <v>1</v>
      </c>
      <c r="AH587" s="62" t="n">
        <f aca="false">IF(CA587=1,0,ROUNDUP(AG587/BZ587,0))</f>
        <v>1</v>
      </c>
      <c r="AI587" s="64" t="n">
        <f aca="false">IF(CR587&gt;0,CR587*MAX(1,AG587/X587),IF(CA587=1,IF(AG587&lt;=0,0,CE587*MAX(1,IF(H587&gt;0,AG587/H587,1))),IF(R587&gt;0,AH587/R587,0))/MAX(0.1,N(Parameter!$M$21)))</f>
        <v>0.0384615384615385</v>
      </c>
      <c r="AJ587" s="62" t="n">
        <f aca="false">AI587*CC587</f>
        <v>5.96153846153846</v>
      </c>
      <c r="AK587" s="63" t="n">
        <f aca="false">IF(LEFT(Cockpit!$C$5,1)="A",H587,IF(CI587=1,(CL587+CJ587)/2,IF(LEFT(Cockpit!$C$5,1)="B",(CL587+AM587)/2,MAX((CL587+AM587)/2,H587))))</f>
        <v>1</v>
      </c>
      <c r="AL587" s="62" t="n">
        <f aca="false">AK587*G587</f>
        <v>8.3</v>
      </c>
      <c r="AM587" s="62" t="n">
        <f aca="false">ROUNDUP(CL587+MAX(CM587,2*(J587/IF(CH587&gt;0,CH587,MAX(0.1,N(Cockpit!$C$6)))-CL587)),0)</f>
        <v>1</v>
      </c>
      <c r="AN587" s="63" t="n">
        <f aca="false">IF(AJ587&gt;0,J587/AJ587,-1)</f>
        <v>0</v>
      </c>
      <c r="AO587" s="63" t="n">
        <f aca="false">IF(AND(OR(CG587="L1",CG587="L23",CG587="LIFT"),AJ587&gt;0),SUMIFS($AJ$7:$AJ$1843,$CG$7:$CG$1843,CG587,$AN$7:$AN$1843,"&gt;"&amp;AN587)+SUMIFS($AJ$7:$AJ$1843,$CG$7:$CG$1843,CG587,$AN$7:$AN$1843,AN587,$BX$7:$BX$1843,"&lt;="&amp;BX587),"")</f>
        <v>28506.5509923222</v>
      </c>
      <c r="AP587" s="70" t="n">
        <f aca="false">IF(AO587="",0,MAX(0,MIN(1,(IF(CG587="L1",Parameter!$H$5,IF(CG587="L23",Parameter!$H$6+Parameter!$H$7,Parameter!$H$5+Parameter!$H$6+Parameter!$H$7))-(AO587-AJ587))/AJ587)))</f>
        <v>1</v>
      </c>
      <c r="AQ587" s="62" t="n">
        <f aca="false">IF(LEFT(Cockpit!$I$5,1)="A",H587,IF(Parameter!$E$30="MAX-Bestand",IF(CI587=1,CJ587,IF(LEFT(Cockpit!$I$5,1)="B",AW587,MAX(AW587,H587))),ROUNDUP(AU587,0)))</f>
        <v>1</v>
      </c>
      <c r="AR587" s="62" t="n">
        <f aca="false">IF(CA587=1,0,ROUNDUP(AQ587/BZ587,0))</f>
        <v>1</v>
      </c>
      <c r="AS587" s="64" t="n">
        <f aca="false">IF(CR587&gt;0,CR587*MAX(1,AQ587/X587),IF(CA587=1,IF(AQ587&lt;=0,0,CE587*MAX(1,IF(H587&gt;0,AQ587/H587,1))),IF(R587&gt;0,AR587/R587,0))/MAX(0.1,N(Parameter!$M$21)))</f>
        <v>0.0384615384615385</v>
      </c>
      <c r="AT587" s="62" t="n">
        <f aca="false">AS587*CC587</f>
        <v>5.96153846153846</v>
      </c>
      <c r="AU587" s="63" t="n">
        <f aca="false">IF(LEFT(Cockpit!$I$5,1)="A",H587,IF(CI587=1,(CL587+CJ587)/2,IF(LEFT(Cockpit!$I$5,1)="B",(CL587+AW587)/2,MAX((CL587+AW587)/2,H587))))</f>
        <v>1</v>
      </c>
      <c r="AV587" s="62" t="n">
        <f aca="false">AU587*G587</f>
        <v>8.3</v>
      </c>
      <c r="AW587" s="62" t="n">
        <f aca="false">ROUNDUP(CL587+MAX(CM587,2*(J587/IF(CH587&gt;0,CH587,MAX(0.1,N(Cockpit!$I$6)))-CL587)),0)</f>
        <v>1</v>
      </c>
      <c r="AX587" s="63" t="n">
        <f aca="false">IF(AT587&gt;0,J587/AT587,-1)</f>
        <v>0</v>
      </c>
      <c r="AY587" s="63" t="n">
        <f aca="false">IF(AND(OR(CG587="L1",CG587="L23",CG587="LIFT"),AT587&gt;0),SUMIFS($AT$7:$AT$1843,$CG$7:$CG$1843,CG587,$AX$7:$AX$1843,"&gt;"&amp;AX587)+SUMIFS($AT$7:$AT$1843,$CG$7:$CG$1843,CG587,$AX$7:$AX$1843,AX587,$BX$7:$BX$1843,"&lt;="&amp;BX587),"")</f>
        <v>33859.6996336996</v>
      </c>
      <c r="AZ587" s="70" t="n">
        <f aca="false">IF(AY587="",0,MAX(0,MIN(1,(IF(CG587="L1",Parameter!$H$5,IF(CG587="L23",Parameter!$H$6+Parameter!$H$7,Parameter!$H$5+Parameter!$H$6+Parameter!$H$7))-(AY587-AT587))/AT587)))</f>
        <v>1</v>
      </c>
      <c r="BA587" s="62" t="n">
        <f aca="false">IF(LEFT(Cockpit!$O$5,1)="A",H587,IF(Parameter!$E$30="MAX-Bestand",IF(CI587=1,CJ587,IF(LEFT(Cockpit!$O$5,1)="B",BG587,MAX(BG587,H587))),ROUNDUP(BE587,0)))</f>
        <v>1</v>
      </c>
      <c r="BB587" s="62" t="n">
        <f aca="false">IF(CA587=1,0,ROUNDUP(BA587/BZ587,0))</f>
        <v>1</v>
      </c>
      <c r="BC587" s="64" t="n">
        <f aca="false">IF(CR587&gt;0,CR587*MAX(1,BA587/X587),IF(CA587=1,IF(BA587&lt;=0,0,CE587*MAX(1,IF(H587&gt;0,BA587/H587,1))),IF(R587&gt;0,BB587/R587,0))/MAX(0.1,N(Parameter!$M$21)))</f>
        <v>0.0384615384615385</v>
      </c>
      <c r="BD587" s="62" t="n">
        <f aca="false">BC587*CC587</f>
        <v>5.96153846153846</v>
      </c>
      <c r="BE587" s="63" t="n">
        <f aca="false">IF(LEFT(Cockpit!$O$5,1)="A",H587,IF(CI587=1,(CL587+CJ587)/2,IF(LEFT(Cockpit!$O$5,1)="B",(CL587+BG587)/2,MAX((CL587+BG587)/2,H587))))</f>
        <v>0.5</v>
      </c>
      <c r="BF587" s="62" t="n">
        <f aca="false">BE587*G587</f>
        <v>4.15</v>
      </c>
      <c r="BG587" s="62" t="n">
        <f aca="false">ROUNDUP(CL587+MAX(CM587,2*(J587/IF(CH587&gt;0,CH587,MAX(0.1,N(Cockpit!$O$6)))-CL587)),0)</f>
        <v>1</v>
      </c>
      <c r="BH587" s="63" t="n">
        <f aca="false">IF(BD587&gt;0,J587/BD587,-1)</f>
        <v>0</v>
      </c>
      <c r="BI587" s="63" t="n">
        <f aca="false">IF(AND(OR(CG587="L1",CG587="L23",CG587="LIFT"),BD587&gt;0),SUMIFS($BD$7:$BD$1843,$CG$7:$CG$1843,CG587,$BH$7:$BH$1843,"&gt;"&amp;BH587)+SUMIFS($BD$7:$BD$1843,$CG$7:$CG$1843,CG587,$BH$7:$BH$1843,BH587,$BX$7:$BX$1843,"&lt;="&amp;BX587),"")</f>
        <v>27934.9852315763</v>
      </c>
      <c r="BJ587" s="70" t="n">
        <f aca="false">IF(BI587="",0,MAX(0,MIN(1,(IF(CG587="L1",Parameter!$H$5,IF(CG587="L23",Parameter!$H$6+Parameter!$H$7,Parameter!$H$5+Parameter!$H$6+Parameter!$H$7))-(BI587-BD587))/BD587)))</f>
        <v>1</v>
      </c>
      <c r="BK587" s="60" t="str">
        <f aca="false">IF(AJ587&lt;=0,"",IF(CG587="Aussen","Aussenlager",IF(CG587="-","Nicht im Lift",IF(AP587&gt;=1,"Lift",IF(AP587&lt;=0,"Aussenlager","teilweise")))))</f>
        <v>Lift</v>
      </c>
      <c r="BL587" s="60" t="str">
        <f aca="false">IF(AT587&lt;=0,"",IF(CG587="Aussen","Aussenlager",IF(CG587="-","Nicht im Lift",IF(AZ587&gt;=1,"Lift",IF(AZ587&lt;=0,"Aussenlager","teilweise")))))</f>
        <v>Lift</v>
      </c>
      <c r="BM587" s="60" t="str">
        <f aca="false">IF(BD587&lt;=0,"",IF(CG587="Aussen","Aussenlager",IF(CG587="-","Nicht im Lift",IF(BJ587&gt;=1,"Lift",IF(BJ587&lt;=0,"Aussenlager","teilweise")))))</f>
        <v>Lift</v>
      </c>
      <c r="BN587" s="60" t="str">
        <f aca="false">IF(A587="","",IF(BW587=1,"Neu; ","")&amp;IF(AND(BW587=0,BR587&lt;0),"negativer Bestand (Export "&amp;BR587&amp;"); ","")&amp;IF(J587&lt;=0,"Kein Verbrauch; ","")&amp;IF(CR587&gt;0,"Lift "&amp;W587&amp;" lt. Liftbericht (Fach "&amp;X587&amp;" Stk); ",IF(CB587=1,"Gebinde geschätzt ("&amp;T587&amp;"); ",IF(CA587=1,"Lose – Tablare geschätzt; ","")))&amp;IF(H587&gt;AW587,"Überbestand "&amp;ROUND(H587-AW587,0)&amp;" Stk / CHF "&amp;ROUND((H587-AW587)*G587,0)&amp;"; ","")&amp;IF(AND(CI587=1,CJ587&lt;CK587),"MAX &lt; MB+LG; ","")&amp;IF(AND(CQ587&gt;0,CP587*10&gt;CQ587),"zu hoch für Tablar; ","")&amp;IF(AND(BW587=0,OR(CI587=1,AB587&lt;&gt;"",U587&lt;&gt;"",V587&lt;&gt;"",AC587&lt;&gt;"")),"manuell übersteuert; ","")&amp;IF(AND(CA587=0,R587=0),"Gebinde unbekannt / Stellmass fehlt; ","")&amp;IF(AND(CA587=0,N(V587)&lt;=0,N(Q587)&lt;=0),"Menge pro Gebinde fehlt (Ist = 1 Gebinde); ","")&amp;BV587)</f>
        <v>Kein Verbrauch; Gebinde geschätzt (Klein); Menge pro Gebinde fehlt (Ist = 1 Gebinde); </v>
      </c>
      <c r="BO587" s="60"/>
      <c r="BP587" s="60"/>
      <c r="BQ587" s="67"/>
      <c r="BR587" s="62" t="n">
        <v>1</v>
      </c>
      <c r="BS587" s="62" t="n">
        <v>0</v>
      </c>
      <c r="BT587" s="61" t="n">
        <v>8.3</v>
      </c>
      <c r="BU587" s="62" t="n">
        <v>0</v>
      </c>
      <c r="BV587" s="60"/>
      <c r="BW587" s="65" t="n">
        <v>0</v>
      </c>
      <c r="BX587" s="65" t="n">
        <v>587</v>
      </c>
      <c r="BY587" s="60" t="str">
        <f aca="false">IF(U587&lt;&gt;"",UPPER(TRIM(U587)),IF(CB587=1,UPPER(VLOOKUP(T587,Parameter!$I$27:$K$29,2,0)),IF(P587="","LOSE",P587)))</f>
        <v>S51</v>
      </c>
      <c r="BZ587" s="62" t="n">
        <f aca="false">IF(BY587="LOSE",1,IF(N(V587)&gt;0,V587,IF(CB587=1,MAX(1,N(VLOOKUP(T587,Parameter!$I$27:$K$29,3,0)),H587,N(N587)),IF(N(Q587)&gt;0,Q587,MAX(1,H587)))))</f>
        <v>20</v>
      </c>
      <c r="CA587" s="65" t="n">
        <f aca="false">IF(BY587="LOSE",1,0)</f>
        <v>0</v>
      </c>
      <c r="CB587" s="65" t="n">
        <f aca="false">IF(AND(U587="",OR(P587="",P587="LOSE"),T587&lt;&gt;"",N(S587)&lt;=0,ISNUMBER(MATCH(T587,Parameter!$I$27:$I$29,0))),1,0)</f>
        <v>1</v>
      </c>
      <c r="CC587" s="65" t="n">
        <f aca="false">IF(CR587&gt;0,INDEX(Parameter!$H$5:$H$7,W587)/INDEX(Parameter!$E$5:$E$7,W587),IF(AND(CA587=0,N(IFERROR(VLOOKUP(BY587,'Gebinde-Kategorie'!$A$5:$N$45,14,0),0))&gt;0),VLOOKUP(BY587,'Gebinde-Kategorie'!$A$5:$N$45,14,0)*10+Parameter!$M$23,Parameter!$M$24))</f>
        <v>155</v>
      </c>
      <c r="CD587" s="60" t="str">
        <f aca="false">IF(AND(Parameter!$B$19="Ja",E587&lt;&gt;"",ISNUMBER(MATCH(E587,Parameter!$I$35:$I$52,0))),VLOOKUP(E587,Parameter!$I$35:$J$52,2,0),IFERROR(VLOOKUP(D587,Parameter!$A$35:$C$64,2,0),"Nein"))</f>
        <v>2+3</v>
      </c>
      <c r="CE587" s="64" t="n">
        <f aca="false">IF(CA587=0,0,IF(N(S587)&gt;0,S587,IFERROR(VLOOKUP(D587,Parameter!$A$35:$C$64,3,0)+0,0)))</f>
        <v>0</v>
      </c>
      <c r="CF587" s="60" t="n">
        <f aca="false">IF(AB587&lt;&gt;"",AB587,AA587)</f>
        <v>3</v>
      </c>
      <c r="CG587" s="60" t="str">
        <f aca="false">IF(OR(CF587=1,CF587=2,CF587=3),IF(Parameter!$E$27="Ja","LIFT",IF(CF587=1,"L1","L23")),IF(CF587="Aussen","Aussen","-"))</f>
        <v>LIFT</v>
      </c>
      <c r="CH587" s="71" t="n">
        <f aca="false">IF(N(AC587)&gt;0,AC587,0)</f>
        <v>0</v>
      </c>
      <c r="CI587" s="65" t="n">
        <f aca="false">IF(ISNUMBER(AF587),1,0)</f>
        <v>0</v>
      </c>
      <c r="CJ587" s="62" t="n">
        <f aca="false">N(AF587)</f>
        <v>0</v>
      </c>
      <c r="CK587" s="62" t="n">
        <f aca="false">N(M587)+N(N587)</f>
        <v>1</v>
      </c>
      <c r="CL587" s="62" t="n">
        <f aca="false">N(M587)</f>
        <v>0</v>
      </c>
      <c r="CM587" s="62" t="n">
        <f aca="false">N(N587)</f>
        <v>1</v>
      </c>
      <c r="CN587" s="62" t="n">
        <f aca="false">ROUNDUP(H587/BZ587,0)</f>
        <v>1</v>
      </c>
      <c r="CO587" s="62" t="n">
        <f aca="false">ROUNDUP(CJ587/BZ587,0)</f>
        <v>0</v>
      </c>
      <c r="CP587" s="65" t="n">
        <f aca="false">IF(CA587=1,0,IFERROR(VLOOKUP(BY587,'Gebinde-Kategorie'!$A$5:$N$45,5,0)+0,0))</f>
        <v>11</v>
      </c>
      <c r="CQ587" s="65" t="n">
        <f aca="false">IFERROR(IF(OR(CF587=1,CF587=2,CF587=3),N(INDEX(Parameter!$I$5:$I$7,CF587)),0),0)</f>
        <v>0</v>
      </c>
      <c r="CR587" s="64" t="n">
        <f aca="false">IF(AND(Parameter!$B$21="Ja",ISNUMBER(W587),N(X587)&gt;0),IFERROR(N(INDEX(Parameter!$L$5:$L$7,W587))*INDEX(Parameter!$E$5:$E$7,W587)*X587/SUMIFS($X$7:$X$1843,$W$7:$W$1843,W587),0),0)</f>
        <v>0</v>
      </c>
      <c r="CS587" s="62" t="n">
        <f aca="false">IF(AND(OR(CG587="L1",CG587="L23",CG587="LIFT"),H587&gt;0),CC587*IF(CR587&gt;0,CR587*MAX(1,H587/X587),IF(CA587=1,CE587,IF(R587&gt;0,CN587/R587,0))/MAX(0.1,N(Parameter!$M$21))),"")</f>
        <v>5.96153846153846</v>
      </c>
      <c r="CT587" s="64" t="n">
        <f aca="false">IF(CS587="","",J587/H587)</f>
        <v>0</v>
      </c>
      <c r="CU587" s="62" t="n">
        <f aca="false">IF(CS587="","",H587*G587)</f>
        <v>8.3</v>
      </c>
      <c r="CV587" s="63" t="n">
        <f aca="false">IF(CS587="","",(CL587+ROUNDUP(CL587+MAX(CM587,2*(J587/MAX(0.1,N(Einkauf!$C$6))-CL587)),0))/2)</f>
        <v>0.5</v>
      </c>
      <c r="CW587" s="62" t="n">
        <f aca="false">IF(CS587="","",MAX(0,H587-CV587)*G587)</f>
        <v>4.15</v>
      </c>
      <c r="CX587" s="62" t="n">
        <f aca="false">IF(CS587="","",CS587*MAX(0,1-CV587/H587))</f>
        <v>2.98076923076923</v>
      </c>
      <c r="CY587" s="64" t="n">
        <f aca="false">IF(CS587="","",PERCENTRANK($CS$7:$CS$1843,CS587)+PERCENTRANK($CU$7:$CU$1843,CU587)+1-PERCENTRANK($CT$7:$CT$1843,CT587))</f>
        <v>1.395</v>
      </c>
      <c r="CZ587" s="72" t="n">
        <f aca="false">IF(CS587="","",CHOOSE(MATCH(Einkauf!$C$5,Parameter!$G$23:$G$27,0),CY587,CS587,CU587,-CT587,CW587)+ROW()/1000000000)</f>
        <v>1.395000587</v>
      </c>
    </row>
    <row r="588" customFormat="false" ht="15" hidden="false" customHeight="false" outlineLevel="0" collapsed="false">
      <c r="A588" s="60" t="s">
        <v>1270</v>
      </c>
      <c r="B588" s="60" t="s">
        <v>1040</v>
      </c>
      <c r="C588" s="60" t="s">
        <v>206</v>
      </c>
      <c r="D588" s="60" t="s">
        <v>226</v>
      </c>
      <c r="E588" s="60"/>
      <c r="F588" s="60" t="s">
        <v>260</v>
      </c>
      <c r="G588" s="61" t="n">
        <v>0.68</v>
      </c>
      <c r="H588" s="62" t="n">
        <f aca="false">MAX(0,IF(AND(Parameter!$B$21="Ja",ISNUMBER(Y588)),Y588,IF(Parameter!$B$20="Jahresanfang 2025 + Export",BS588+BR588,BR588)))</f>
        <v>84</v>
      </c>
      <c r="I588" s="62" t="n">
        <f aca="false">H588*G588</f>
        <v>57.12</v>
      </c>
      <c r="J588" s="62" t="n">
        <f aca="false">BU588*Parameter!$B$18</f>
        <v>0</v>
      </c>
      <c r="K588" s="63" t="n">
        <v>78</v>
      </c>
      <c r="L588" s="64" t="n">
        <v>0</v>
      </c>
      <c r="M588" s="62" t="n">
        <v>0</v>
      </c>
      <c r="N588" s="62" t="n">
        <v>1</v>
      </c>
      <c r="O588" s="65" t="n">
        <v>21</v>
      </c>
      <c r="P588" s="60" t="s">
        <v>443</v>
      </c>
      <c r="Q588" s="62" t="n">
        <v>100</v>
      </c>
      <c r="R588" s="65" t="n">
        <f aca="false">IF(CA588=1,0,IFERROR(VLOOKUP(BY588,'Gebinde-Kategorie'!$A$5:$N$45,13,0)+0,0))</f>
        <v>280</v>
      </c>
      <c r="S588" s="66"/>
      <c r="T588" s="67"/>
      <c r="U588" s="67"/>
      <c r="V588" s="67"/>
      <c r="W588" s="60"/>
      <c r="X588" s="62"/>
      <c r="Y588" s="62"/>
      <c r="Z588" s="60" t="n">
        <v>3</v>
      </c>
      <c r="AA588" s="60" t="n">
        <f aca="false">IF(A588="","",IF(AND(Parameter!$B$21="Ja",ISNUMBER(W588)),W588,IF(AND(Parameter!$E$27="Ja",ISNUMBER(Z588),CD588&lt;&gt;"Nein"),Z588,IF(CD588="2+3",IF(ISNUMBER(SEARCH("grosser Artikel",BV588)),2,IFERROR(VLOOKUP(BY588,Parameter!$F$35:$G$64,2,0),2)),IF(OR(CD588="Nein",CD588=""),"-",CD588)))))</f>
        <v>3</v>
      </c>
      <c r="AB588" s="67"/>
      <c r="AC588" s="68"/>
      <c r="AD588" s="62" t="n">
        <f aca="false">AW588</f>
        <v>1</v>
      </c>
      <c r="AE588" s="62" t="n">
        <f aca="false">MAX(AW588,H588)</f>
        <v>84</v>
      </c>
      <c r="AF588" s="69"/>
      <c r="AG588" s="62" t="n">
        <f aca="false">IF(LEFT(Cockpit!$C$5,1)="A",H588,IF(Parameter!$E$30="MAX-Bestand",IF(CI588=1,CJ588,IF(LEFT(Cockpit!$C$5,1)="B",AM588,MAX(AM588,H588))),ROUNDUP(AK588,0)))</f>
        <v>84</v>
      </c>
      <c r="AH588" s="62" t="n">
        <f aca="false">IF(CA588=1,0,ROUNDUP(AG588/BZ588,0))</f>
        <v>1</v>
      </c>
      <c r="AI588" s="64" t="n">
        <f aca="false">IF(CR588&gt;0,CR588*MAX(1,AG588/X588),IF(CA588=1,IF(AG588&lt;=0,0,CE588*MAX(1,IF(H588&gt;0,AG588/H588,1))),IF(R588&gt;0,AH588/R588,0))/MAX(0.1,N(Parameter!$M$21)))</f>
        <v>0.00357142857142857</v>
      </c>
      <c r="AJ588" s="62" t="n">
        <f aca="false">AI588*CC588</f>
        <v>0.553571428571429</v>
      </c>
      <c r="AK588" s="63" t="n">
        <f aca="false">IF(LEFT(Cockpit!$C$5,1)="A",H588,IF(CI588=1,(CL588+CJ588)/2,IF(LEFT(Cockpit!$C$5,1)="B",(CL588+AM588)/2,MAX((CL588+AM588)/2,H588))))</f>
        <v>84</v>
      </c>
      <c r="AL588" s="62" t="n">
        <f aca="false">AK588*G588</f>
        <v>57.12</v>
      </c>
      <c r="AM588" s="62" t="n">
        <f aca="false">ROUNDUP(CL588+MAX(CM588,2*(J588/IF(CH588&gt;0,CH588,MAX(0.1,N(Cockpit!$C$6)))-CL588)),0)</f>
        <v>1</v>
      </c>
      <c r="AN588" s="63" t="n">
        <f aca="false">IF(AJ588&gt;0,J588/AJ588,-1)</f>
        <v>0</v>
      </c>
      <c r="AO588" s="63" t="n">
        <f aca="false">IF(AND(OR(CG588="L1",CG588="L23",CG588="LIFT"),AJ588&gt;0),SUMIFS($AJ$7:$AJ$1843,$CG$7:$CG$1843,CG588,$AN$7:$AN$1843,"&gt;"&amp;AN588)+SUMIFS($AJ$7:$AJ$1843,$CG$7:$CG$1843,CG588,$AN$7:$AN$1843,AN588,$BX$7:$BX$1843,"&lt;="&amp;BX588),"")</f>
        <v>28507.1045637508</v>
      </c>
      <c r="AP588" s="70" t="n">
        <f aca="false">IF(AO588="",0,MAX(0,MIN(1,(IF(CG588="L1",Parameter!$H$5,IF(CG588="L23",Parameter!$H$6+Parameter!$H$7,Parameter!$H$5+Parameter!$H$6+Parameter!$H$7))-(AO588-AJ588))/AJ588)))</f>
        <v>1</v>
      </c>
      <c r="AQ588" s="62" t="n">
        <f aca="false">IF(LEFT(Cockpit!$I$5,1)="A",H588,IF(Parameter!$E$30="MAX-Bestand",IF(CI588=1,CJ588,IF(LEFT(Cockpit!$I$5,1)="B",AW588,MAX(AW588,H588))),ROUNDUP(AU588,0)))</f>
        <v>84</v>
      </c>
      <c r="AR588" s="62" t="n">
        <f aca="false">IF(CA588=1,0,ROUNDUP(AQ588/BZ588,0))</f>
        <v>1</v>
      </c>
      <c r="AS588" s="64" t="n">
        <f aca="false">IF(CR588&gt;0,CR588*MAX(1,AQ588/X588),IF(CA588=1,IF(AQ588&lt;=0,0,CE588*MAX(1,IF(H588&gt;0,AQ588/H588,1))),IF(R588&gt;0,AR588/R588,0))/MAX(0.1,N(Parameter!$M$21)))</f>
        <v>0.00357142857142857</v>
      </c>
      <c r="AT588" s="62" t="n">
        <f aca="false">AS588*CC588</f>
        <v>0.553571428571429</v>
      </c>
      <c r="AU588" s="63" t="n">
        <f aca="false">IF(LEFT(Cockpit!$I$5,1)="A",H588,IF(CI588=1,(CL588+CJ588)/2,IF(LEFT(Cockpit!$I$5,1)="B",(CL588+AW588)/2,MAX((CL588+AW588)/2,H588))))</f>
        <v>84</v>
      </c>
      <c r="AV588" s="62" t="n">
        <f aca="false">AU588*G588</f>
        <v>57.12</v>
      </c>
      <c r="AW588" s="62" t="n">
        <f aca="false">ROUNDUP(CL588+MAX(CM588,2*(J588/IF(CH588&gt;0,CH588,MAX(0.1,N(Cockpit!$I$6)))-CL588)),0)</f>
        <v>1</v>
      </c>
      <c r="AX588" s="63" t="n">
        <f aca="false">IF(AT588&gt;0,J588/AT588,-1)</f>
        <v>0</v>
      </c>
      <c r="AY588" s="63" t="n">
        <f aca="false">IF(AND(OR(CG588="L1",CG588="L23",CG588="LIFT"),AT588&gt;0),SUMIFS($AT$7:$AT$1843,$CG$7:$CG$1843,CG588,$AX$7:$AX$1843,"&gt;"&amp;AX588)+SUMIFS($AT$7:$AT$1843,$CG$7:$CG$1843,CG588,$AX$7:$AX$1843,AX588,$BX$7:$BX$1843,"&lt;="&amp;BX588),"")</f>
        <v>33860.2532051282</v>
      </c>
      <c r="AZ588" s="70" t="n">
        <f aca="false">IF(AY588="",0,MAX(0,MIN(1,(IF(CG588="L1",Parameter!$H$5,IF(CG588="L23",Parameter!$H$6+Parameter!$H$7,Parameter!$H$5+Parameter!$H$6+Parameter!$H$7))-(AY588-AT588))/AT588)))</f>
        <v>1</v>
      </c>
      <c r="BA588" s="62" t="n">
        <f aca="false">IF(LEFT(Cockpit!$O$5,1)="A",H588,IF(Parameter!$E$30="MAX-Bestand",IF(CI588=1,CJ588,IF(LEFT(Cockpit!$O$5,1)="B",BG588,MAX(BG588,H588))),ROUNDUP(BE588,0)))</f>
        <v>1</v>
      </c>
      <c r="BB588" s="62" t="n">
        <f aca="false">IF(CA588=1,0,ROUNDUP(BA588/BZ588,0))</f>
        <v>1</v>
      </c>
      <c r="BC588" s="64" t="n">
        <f aca="false">IF(CR588&gt;0,CR588*MAX(1,BA588/X588),IF(CA588=1,IF(BA588&lt;=0,0,CE588*MAX(1,IF(H588&gt;0,BA588/H588,1))),IF(R588&gt;0,BB588/R588,0))/MAX(0.1,N(Parameter!$M$21)))</f>
        <v>0.00357142857142857</v>
      </c>
      <c r="BD588" s="62" t="n">
        <f aca="false">BC588*CC588</f>
        <v>0.553571428571429</v>
      </c>
      <c r="BE588" s="63" t="n">
        <f aca="false">IF(LEFT(Cockpit!$O$5,1)="A",H588,IF(CI588=1,(CL588+CJ588)/2,IF(LEFT(Cockpit!$O$5,1)="B",(CL588+BG588)/2,MAX((CL588+BG588)/2,H588))))</f>
        <v>0.5</v>
      </c>
      <c r="BF588" s="62" t="n">
        <f aca="false">BE588*G588</f>
        <v>0.34</v>
      </c>
      <c r="BG588" s="62" t="n">
        <f aca="false">ROUNDUP(CL588+MAX(CM588,2*(J588/IF(CH588&gt;0,CH588,MAX(0.1,N(Cockpit!$O$6)))-CL588)),0)</f>
        <v>1</v>
      </c>
      <c r="BH588" s="63" t="n">
        <f aca="false">IF(BD588&gt;0,J588/BD588,-1)</f>
        <v>0</v>
      </c>
      <c r="BI588" s="63" t="n">
        <f aca="false">IF(AND(OR(CG588="L1",CG588="L23",CG588="LIFT"),BD588&gt;0),SUMIFS($BD$7:$BD$1843,$CG$7:$CG$1843,CG588,$BH$7:$BH$1843,"&gt;"&amp;BH588)+SUMIFS($BD$7:$BD$1843,$CG$7:$CG$1843,CG588,$BH$7:$BH$1843,BH588,$BX$7:$BX$1843,"&lt;="&amp;BX588),"")</f>
        <v>27935.5388030049</v>
      </c>
      <c r="BJ588" s="70" t="n">
        <f aca="false">IF(BI588="",0,MAX(0,MIN(1,(IF(CG588="L1",Parameter!$H$5,IF(CG588="L23",Parameter!$H$6+Parameter!$H$7,Parameter!$H$5+Parameter!$H$6+Parameter!$H$7))-(BI588-BD588))/BD588)))</f>
        <v>1</v>
      </c>
      <c r="BK588" s="60" t="str">
        <f aca="false">IF(AJ588&lt;=0,"",IF(CG588="Aussen","Aussenlager",IF(CG588="-","Nicht im Lift",IF(AP588&gt;=1,"Lift",IF(AP588&lt;=0,"Aussenlager","teilweise")))))</f>
        <v>Lift</v>
      </c>
      <c r="BL588" s="60" t="str">
        <f aca="false">IF(AT588&lt;=0,"",IF(CG588="Aussen","Aussenlager",IF(CG588="-","Nicht im Lift",IF(AZ588&gt;=1,"Lift",IF(AZ588&lt;=0,"Aussenlager","teilweise")))))</f>
        <v>Lift</v>
      </c>
      <c r="BM588" s="60" t="str">
        <f aca="false">IF(BD588&lt;=0,"",IF(CG588="Aussen","Aussenlager",IF(CG588="-","Nicht im Lift",IF(BJ588&gt;=1,"Lift",IF(BJ588&lt;=0,"Aussenlager","teilweise")))))</f>
        <v>Lift</v>
      </c>
      <c r="BN588" s="60" t="str">
        <f aca="false">IF(A588="","",IF(BW588=1,"Neu; ","")&amp;IF(AND(BW588=0,BR588&lt;0),"negativer Bestand (Export "&amp;BR588&amp;"); ","")&amp;IF(J588&lt;=0,"Kein Verbrauch; ","")&amp;IF(CR588&gt;0,"Lift "&amp;W588&amp;" lt. Liftbericht (Fach "&amp;X588&amp;" Stk); ",IF(CB588=1,"Gebinde geschätzt ("&amp;T588&amp;"); ",IF(CA588=1,"Lose – Tablare geschätzt; ","")))&amp;IF(H588&gt;AW588,"Überbestand "&amp;ROUND(H588-AW588,0)&amp;" Stk / CHF "&amp;ROUND((H588-AW588)*G588,0)&amp;"; ","")&amp;IF(AND(CI588=1,CJ588&lt;CK588),"MAX &lt; MB+LG; ","")&amp;IF(AND(CQ588&gt;0,CP588*10&gt;CQ588),"zu hoch für Tablar; ","")&amp;IF(AND(BW588=0,OR(CI588=1,AB588&lt;&gt;"",U588&lt;&gt;"",V588&lt;&gt;"",AC588&lt;&gt;"")),"manuell übersteuert; ","")&amp;IF(AND(CA588=0,R588=0),"Gebinde unbekannt / Stellmass fehlt; ","")&amp;IF(AND(CA588=0,N(V588)&lt;=0,N(Q588)&lt;=0),"Menge pro Gebinde fehlt (Ist = 1 Gebinde); ","")&amp;BV588)</f>
        <v>Kein Verbrauch; Überbestand 83 Stk / CHF 56; Neuer Art.</v>
      </c>
      <c r="BO588" s="60"/>
      <c r="BP588" s="60"/>
      <c r="BQ588" s="67"/>
      <c r="BR588" s="62" t="n">
        <v>12</v>
      </c>
      <c r="BS588" s="62" t="n">
        <v>72</v>
      </c>
      <c r="BT588" s="61" t="n">
        <v>8.16</v>
      </c>
      <c r="BU588" s="62" t="n">
        <v>0</v>
      </c>
      <c r="BV588" s="60" t="s">
        <v>554</v>
      </c>
      <c r="BW588" s="65" t="n">
        <v>0</v>
      </c>
      <c r="BX588" s="65" t="n">
        <v>588</v>
      </c>
      <c r="BY588" s="60" t="str">
        <f aca="false">IF(U588&lt;&gt;"",UPPER(TRIM(U588)),IF(CB588=1,UPPER(VLOOKUP(T588,Parameter!$I$27:$K$29,2,0)),IF(P588="","LOSE",P588)))</f>
        <v>S21</v>
      </c>
      <c r="BZ588" s="62" t="n">
        <f aca="false">IF(BY588="LOSE",1,IF(N(V588)&gt;0,V588,IF(CB588=1,MAX(1,N(VLOOKUP(T588,Parameter!$I$27:$K$29,3,0)),H588,N(N588)),IF(N(Q588)&gt;0,Q588,MAX(1,H588)))))</f>
        <v>100</v>
      </c>
      <c r="CA588" s="65" t="n">
        <f aca="false">IF(BY588="LOSE",1,0)</f>
        <v>0</v>
      </c>
      <c r="CB588" s="65" t="n">
        <f aca="false">IF(AND(U588="",OR(P588="",P588="LOSE"),T588&lt;&gt;"",N(S588)&lt;=0,ISNUMBER(MATCH(T588,Parameter!$I$27:$I$29,0))),1,0)</f>
        <v>0</v>
      </c>
      <c r="CC588" s="65" t="n">
        <f aca="false">IF(CR588&gt;0,INDEX(Parameter!$H$5:$H$7,W588)/INDEX(Parameter!$E$5:$E$7,W588),IF(AND(CA588=0,N(IFERROR(VLOOKUP(BY588,'Gebinde-Kategorie'!$A$5:$N$45,14,0),0))&gt;0),VLOOKUP(BY588,'Gebinde-Kategorie'!$A$5:$N$45,14,0)*10+Parameter!$M$23,Parameter!$M$24))</f>
        <v>155</v>
      </c>
      <c r="CD588" s="60" t="str">
        <f aca="false">IF(AND(Parameter!$B$19="Ja",E588&lt;&gt;"",ISNUMBER(MATCH(E588,Parameter!$I$35:$I$52,0))),VLOOKUP(E588,Parameter!$I$35:$J$52,2,0),IFERROR(VLOOKUP(D588,Parameter!$A$35:$C$64,2,0),"Nein"))</f>
        <v>2+3</v>
      </c>
      <c r="CE588" s="64" t="n">
        <f aca="false">IF(CA588=0,0,IF(N(S588)&gt;0,S588,IFERROR(VLOOKUP(D588,Parameter!$A$35:$C$64,3,0)+0,0)))</f>
        <v>0</v>
      </c>
      <c r="CF588" s="60" t="n">
        <f aca="false">IF(AB588&lt;&gt;"",AB588,AA588)</f>
        <v>3</v>
      </c>
      <c r="CG588" s="60" t="str">
        <f aca="false">IF(OR(CF588=1,CF588=2,CF588=3),IF(Parameter!$E$27="Ja","LIFT",IF(CF588=1,"L1","L23")),IF(CF588="Aussen","Aussen","-"))</f>
        <v>LIFT</v>
      </c>
      <c r="CH588" s="71" t="n">
        <f aca="false">IF(N(AC588)&gt;0,AC588,0)</f>
        <v>0</v>
      </c>
      <c r="CI588" s="65" t="n">
        <f aca="false">IF(ISNUMBER(AF588),1,0)</f>
        <v>0</v>
      </c>
      <c r="CJ588" s="62" t="n">
        <f aca="false">N(AF588)</f>
        <v>0</v>
      </c>
      <c r="CK588" s="62" t="n">
        <f aca="false">N(M588)+N(N588)</f>
        <v>1</v>
      </c>
      <c r="CL588" s="62" t="n">
        <f aca="false">N(M588)</f>
        <v>0</v>
      </c>
      <c r="CM588" s="62" t="n">
        <f aca="false">N(N588)</f>
        <v>1</v>
      </c>
      <c r="CN588" s="62" t="n">
        <f aca="false">ROUNDUP(H588/BZ588,0)</f>
        <v>1</v>
      </c>
      <c r="CO588" s="62" t="n">
        <f aca="false">ROUNDUP(CJ588/BZ588,0)</f>
        <v>0</v>
      </c>
      <c r="CP588" s="65" t="n">
        <f aca="false">IF(CA588=1,0,IFERROR(VLOOKUP(BY588,'Gebinde-Kategorie'!$A$5:$N$45,5,0)+0,0))</f>
        <v>8</v>
      </c>
      <c r="CQ588" s="65" t="n">
        <f aca="false">IFERROR(IF(OR(CF588=1,CF588=2,CF588=3),N(INDEX(Parameter!$I$5:$I$7,CF588)),0),0)</f>
        <v>0</v>
      </c>
      <c r="CR588" s="64" t="n">
        <f aca="false">IF(AND(Parameter!$B$21="Ja",ISNUMBER(W588),N(X588)&gt;0),IFERROR(N(INDEX(Parameter!$L$5:$L$7,W588))*INDEX(Parameter!$E$5:$E$7,W588)*X588/SUMIFS($X$7:$X$1843,$W$7:$W$1843,W588),0),0)</f>
        <v>0</v>
      </c>
      <c r="CS588" s="62" t="n">
        <f aca="false">IF(AND(OR(CG588="L1",CG588="L23",CG588="LIFT"),H588&gt;0),CC588*IF(CR588&gt;0,CR588*MAX(1,H588/X588),IF(CA588=1,CE588,IF(R588&gt;0,CN588/R588,0))/MAX(0.1,N(Parameter!$M$21))),"")</f>
        <v>0.553571428571429</v>
      </c>
      <c r="CT588" s="64" t="n">
        <f aca="false">IF(CS588="","",J588/H588)</f>
        <v>0</v>
      </c>
      <c r="CU588" s="62" t="n">
        <f aca="false">IF(CS588="","",H588*G588)</f>
        <v>57.12</v>
      </c>
      <c r="CV588" s="63" t="n">
        <f aca="false">IF(CS588="","",(CL588+ROUNDUP(CL588+MAX(CM588,2*(J588/MAX(0.1,N(Einkauf!$C$6))-CL588)),0))/2)</f>
        <v>0.5</v>
      </c>
      <c r="CW588" s="62" t="n">
        <f aca="false">IF(CS588="","",MAX(0,H588-CV588)*G588)</f>
        <v>56.78</v>
      </c>
      <c r="CX588" s="62" t="n">
        <f aca="false">IF(CS588="","",CS588*MAX(0,1-CV588/H588))</f>
        <v>0.550276360544218</v>
      </c>
      <c r="CY588" s="64" t="n">
        <f aca="false">IF(CS588="","",PERCENTRANK($CS$7:$CS$1843,CS588)+PERCENTRANK($CU$7:$CU$1843,CU588)+1-PERCENTRANK($CT$7:$CT$1843,CT588))</f>
        <v>1.165</v>
      </c>
      <c r="CZ588" s="72" t="n">
        <f aca="false">IF(CS588="","",CHOOSE(MATCH(Einkauf!$C$5,Parameter!$G$23:$G$27,0),CY588,CS588,CU588,-CT588,CW588)+ROW()/1000000000)</f>
        <v>1.165000588</v>
      </c>
    </row>
    <row r="589" customFormat="false" ht="15" hidden="false" customHeight="false" outlineLevel="0" collapsed="false">
      <c r="A589" s="60" t="s">
        <v>1271</v>
      </c>
      <c r="B589" s="60" t="s">
        <v>640</v>
      </c>
      <c r="C589" s="60" t="s">
        <v>206</v>
      </c>
      <c r="D589" s="60" t="s">
        <v>226</v>
      </c>
      <c r="E589" s="60" t="s">
        <v>227</v>
      </c>
      <c r="F589" s="60" t="s">
        <v>260</v>
      </c>
      <c r="G589" s="61" t="n">
        <v>43.93</v>
      </c>
      <c r="H589" s="62" t="n">
        <f aca="false">MAX(0,IF(AND(Parameter!$B$21="Ja",ISNUMBER(Y589)),Y589,IF(Parameter!$B$20="Jahresanfang 2025 + Export",BS589+BR589,BR589)))</f>
        <v>8</v>
      </c>
      <c r="I589" s="62" t="n">
        <f aca="false">H589*G589</f>
        <v>351.44</v>
      </c>
      <c r="J589" s="62" t="n">
        <f aca="false">BU589*Parameter!$B$18</f>
        <v>12</v>
      </c>
      <c r="K589" s="63" t="n">
        <v>7.5</v>
      </c>
      <c r="L589" s="64" t="n">
        <v>1.6</v>
      </c>
      <c r="M589" s="62" t="n">
        <v>1</v>
      </c>
      <c r="N589" s="62" t="n">
        <v>10</v>
      </c>
      <c r="O589" s="65" t="n">
        <v>35</v>
      </c>
      <c r="P589" s="60" t="s">
        <v>518</v>
      </c>
      <c r="Q589" s="62" t="n">
        <v>27</v>
      </c>
      <c r="R589" s="65" t="n">
        <f aca="false">IF(CA589=1,0,IFERROR(VLOOKUP(BY589,'Gebinde-Kategorie'!$A$5:$N$45,13,0)+0,0))</f>
        <v>52</v>
      </c>
      <c r="S589" s="66"/>
      <c r="T589" s="67"/>
      <c r="U589" s="67"/>
      <c r="V589" s="67"/>
      <c r="W589" s="60"/>
      <c r="X589" s="62"/>
      <c r="Y589" s="62"/>
      <c r="Z589" s="60" t="n">
        <v>3</v>
      </c>
      <c r="AA589" s="60" t="n">
        <f aca="false">IF(A589="","",IF(AND(Parameter!$B$21="Ja",ISNUMBER(W589)),W589,IF(AND(Parameter!$E$27="Ja",ISNUMBER(Z589),CD589&lt;&gt;"Nein"),Z589,IF(CD589="2+3",IF(ISNUMBER(SEARCH("grosser Artikel",BV589)),2,IFERROR(VLOOKUP(BY589,Parameter!$F$35:$G$64,2,0),2)),IF(OR(CD589="Nein",CD589=""),"-",CD589)))))</f>
        <v>3</v>
      </c>
      <c r="AB589" s="67"/>
      <c r="AC589" s="68"/>
      <c r="AD589" s="62" t="n">
        <f aca="false">AW589</f>
        <v>11</v>
      </c>
      <c r="AE589" s="62" t="n">
        <f aca="false">MAX(AW589,H589)</f>
        <v>11</v>
      </c>
      <c r="AF589" s="69"/>
      <c r="AG589" s="62" t="n">
        <f aca="false">IF(LEFT(Cockpit!$C$5,1)="A",H589,IF(Parameter!$E$30="MAX-Bestand",IF(CI589=1,CJ589,IF(LEFT(Cockpit!$C$5,1)="B",AM589,MAX(AM589,H589))),ROUNDUP(AK589,0)))</f>
        <v>8</v>
      </c>
      <c r="AH589" s="62" t="n">
        <f aca="false">IF(CA589=1,0,ROUNDUP(AG589/BZ589,0))</f>
        <v>1</v>
      </c>
      <c r="AI589" s="64" t="n">
        <f aca="false">IF(CR589&gt;0,CR589*MAX(1,AG589/X589),IF(CA589=1,IF(AG589&lt;=0,0,CE589*MAX(1,IF(H589&gt;0,AG589/H589,1))),IF(R589&gt;0,AH589/R589,0))/MAX(0.1,N(Parameter!$M$21)))</f>
        <v>0.0192307692307692</v>
      </c>
      <c r="AJ589" s="62" t="n">
        <f aca="false">AI589*CC589</f>
        <v>2.98076923076923</v>
      </c>
      <c r="AK589" s="63" t="n">
        <f aca="false">IF(LEFT(Cockpit!$C$5,1)="A",H589,IF(CI589=1,(CL589+CJ589)/2,IF(LEFT(Cockpit!$C$5,1)="B",(CL589+AM589)/2,MAX((CL589+AM589)/2,H589))))</f>
        <v>8</v>
      </c>
      <c r="AL589" s="62" t="n">
        <f aca="false">AK589*G589</f>
        <v>351.44</v>
      </c>
      <c r="AM589" s="62" t="n">
        <f aca="false">ROUNDUP(CL589+MAX(CM589,2*(J589/IF(CH589&gt;0,CH589,MAX(0.1,N(Cockpit!$C$6)))-CL589)),0)</f>
        <v>11</v>
      </c>
      <c r="AN589" s="63" t="n">
        <f aca="false">IF(AJ589&gt;0,J589/AJ589,-1)</f>
        <v>4.0258064516129</v>
      </c>
      <c r="AO589" s="63" t="n">
        <f aca="false">IF(AND(OR(CG589="L1",CG589="L23",CG589="LIFT"),AJ589&gt;0),SUMIFS($AJ$7:$AJ$1843,$CG$7:$CG$1843,CG589,$AN$7:$AN$1843,"&gt;"&amp;AN589)+SUMIFS($AJ$7:$AJ$1843,$CG$7:$CG$1843,CG589,$AN$7:$AN$1843,AN589,$BX$7:$BX$1843,"&lt;="&amp;BX589),"")</f>
        <v>4342.29487179487</v>
      </c>
      <c r="AP589" s="70" t="n">
        <f aca="false">IF(AO589="",0,MAX(0,MIN(1,(IF(CG589="L1",Parameter!$H$5,IF(CG589="L23",Parameter!$H$6+Parameter!$H$7,Parameter!$H$5+Parameter!$H$6+Parameter!$H$7))-(AO589-AJ589))/AJ589)))</f>
        <v>1</v>
      </c>
      <c r="AQ589" s="62" t="n">
        <f aca="false">IF(LEFT(Cockpit!$I$5,1)="A",H589,IF(Parameter!$E$30="MAX-Bestand",IF(CI589=1,CJ589,IF(LEFT(Cockpit!$I$5,1)="B",AW589,MAX(AW589,H589))),ROUNDUP(AU589,0)))</f>
        <v>8</v>
      </c>
      <c r="AR589" s="62" t="n">
        <f aca="false">IF(CA589=1,0,ROUNDUP(AQ589/BZ589,0))</f>
        <v>1</v>
      </c>
      <c r="AS589" s="64" t="n">
        <f aca="false">IF(CR589&gt;0,CR589*MAX(1,AQ589/X589),IF(CA589=1,IF(AQ589&lt;=0,0,CE589*MAX(1,IF(H589&gt;0,AQ589/H589,1))),IF(R589&gt;0,AR589/R589,0))/MAX(0.1,N(Parameter!$M$21)))</f>
        <v>0.0192307692307692</v>
      </c>
      <c r="AT589" s="62" t="n">
        <f aca="false">AS589*CC589</f>
        <v>2.98076923076923</v>
      </c>
      <c r="AU589" s="63" t="n">
        <f aca="false">IF(LEFT(Cockpit!$I$5,1)="A",H589,IF(CI589=1,(CL589+CJ589)/2,IF(LEFT(Cockpit!$I$5,1)="B",(CL589+AW589)/2,MAX((CL589+AW589)/2,H589))))</f>
        <v>8</v>
      </c>
      <c r="AV589" s="62" t="n">
        <f aca="false">AU589*G589</f>
        <v>351.44</v>
      </c>
      <c r="AW589" s="62" t="n">
        <f aca="false">ROUNDUP(CL589+MAX(CM589,2*(J589/IF(CH589&gt;0,CH589,MAX(0.1,N(Cockpit!$I$6)))-CL589)),0)</f>
        <v>11</v>
      </c>
      <c r="AX589" s="63" t="n">
        <f aca="false">IF(AT589&gt;0,J589/AT589,-1)</f>
        <v>4.0258064516129</v>
      </c>
      <c r="AY589" s="63" t="n">
        <f aca="false">IF(AND(OR(CG589="L1",CG589="L23",CG589="LIFT"),AT589&gt;0),SUMIFS($AT$7:$AT$1843,$CG$7:$CG$1843,CG589,$AX$7:$AX$1843,"&gt;"&amp;AX589)+SUMIFS($AT$7:$AT$1843,$CG$7:$CG$1843,CG589,$AX$7:$AX$1843,AX589,$BX$7:$BX$1843,"&lt;="&amp;BX589),"")</f>
        <v>4939.36904761905</v>
      </c>
      <c r="AZ589" s="70" t="n">
        <f aca="false">IF(AY589="",0,MAX(0,MIN(1,(IF(CG589="L1",Parameter!$H$5,IF(CG589="L23",Parameter!$H$6+Parameter!$H$7,Parameter!$H$5+Parameter!$H$6+Parameter!$H$7))-(AY589-AT589))/AT589)))</f>
        <v>1</v>
      </c>
      <c r="BA589" s="62" t="n">
        <f aca="false">IF(LEFT(Cockpit!$O$5,1)="A",H589,IF(Parameter!$E$30="MAX-Bestand",IF(CI589=1,CJ589,IF(LEFT(Cockpit!$O$5,1)="B",BG589,MAX(BG589,H589))),ROUNDUP(BE589,0)))</f>
        <v>6</v>
      </c>
      <c r="BB589" s="62" t="n">
        <f aca="false">IF(CA589=1,0,ROUNDUP(BA589/BZ589,0))</f>
        <v>1</v>
      </c>
      <c r="BC589" s="64" t="n">
        <f aca="false">IF(CR589&gt;0,CR589*MAX(1,BA589/X589),IF(CA589=1,IF(BA589&lt;=0,0,CE589*MAX(1,IF(H589&gt;0,BA589/H589,1))),IF(R589&gt;0,BB589/R589,0))/MAX(0.1,N(Parameter!$M$21)))</f>
        <v>0.0192307692307692</v>
      </c>
      <c r="BD589" s="62" t="n">
        <f aca="false">BC589*CC589</f>
        <v>2.98076923076923</v>
      </c>
      <c r="BE589" s="63" t="n">
        <f aca="false">IF(LEFT(Cockpit!$O$5,1)="A",H589,IF(CI589=1,(CL589+CJ589)/2,IF(LEFT(Cockpit!$O$5,1)="B",(CL589+BG589)/2,MAX((CL589+BG589)/2,H589))))</f>
        <v>6</v>
      </c>
      <c r="BF589" s="62" t="n">
        <f aca="false">BE589*G589</f>
        <v>263.58</v>
      </c>
      <c r="BG589" s="62" t="n">
        <f aca="false">ROUNDUP(CL589+MAX(CM589,2*(J589/IF(CH589&gt;0,CH589,MAX(0.1,N(Cockpit!$O$6)))-CL589)),0)</f>
        <v>11</v>
      </c>
      <c r="BH589" s="63" t="n">
        <f aca="false">IF(BD589&gt;0,J589/BD589,-1)</f>
        <v>4.0258064516129</v>
      </c>
      <c r="BI589" s="63" t="n">
        <f aca="false">IF(AND(OR(CG589="L1",CG589="L23",CG589="LIFT"),BD589&gt;0),SUMIFS($BD$7:$BD$1843,$CG$7:$CG$1843,CG589,$BH$7:$BH$1843,"&gt;"&amp;BH589)+SUMIFS($BD$7:$BD$1843,$CG$7:$CG$1843,CG589,$BH$7:$BH$1843,BH589,$BX$7:$BX$1843,"&lt;="&amp;BX589),"")</f>
        <v>4050.97802197802</v>
      </c>
      <c r="BJ589" s="70" t="n">
        <f aca="false">IF(BI589="",0,MAX(0,MIN(1,(IF(CG589="L1",Parameter!$H$5,IF(CG589="L23",Parameter!$H$6+Parameter!$H$7,Parameter!$H$5+Parameter!$H$6+Parameter!$H$7))-(BI589-BD589))/BD589)))</f>
        <v>1</v>
      </c>
      <c r="BK589" s="60" t="str">
        <f aca="false">IF(AJ589&lt;=0,"",IF(CG589="Aussen","Aussenlager",IF(CG589="-","Nicht im Lift",IF(AP589&gt;=1,"Lift",IF(AP589&lt;=0,"Aussenlager","teilweise")))))</f>
        <v>Lift</v>
      </c>
      <c r="BL589" s="60" t="str">
        <f aca="false">IF(AT589&lt;=0,"",IF(CG589="Aussen","Aussenlager",IF(CG589="-","Nicht im Lift",IF(AZ589&gt;=1,"Lift",IF(AZ589&lt;=0,"Aussenlager","teilweise")))))</f>
        <v>Lift</v>
      </c>
      <c r="BM589" s="60" t="str">
        <f aca="false">IF(BD589&lt;=0,"",IF(CG589="Aussen","Aussenlager",IF(CG589="-","Nicht im Lift",IF(BJ589&gt;=1,"Lift",IF(BJ589&lt;=0,"Aussenlager","teilweise")))))</f>
        <v>Lift</v>
      </c>
      <c r="BN589" s="60" t="str">
        <f aca="false">IF(A589="","",IF(BW589=1,"Neu; ","")&amp;IF(AND(BW589=0,BR589&lt;0),"negativer Bestand (Export "&amp;BR589&amp;"); ","")&amp;IF(J589&lt;=0,"Kein Verbrauch; ","")&amp;IF(CR589&gt;0,"Lift "&amp;W589&amp;" lt. Liftbericht (Fach "&amp;X589&amp;" Stk); ",IF(CB589=1,"Gebinde geschätzt ("&amp;T589&amp;"); ",IF(CA589=1,"Lose – Tablare geschätzt; ","")))&amp;IF(H589&gt;AW589,"Überbestand "&amp;ROUND(H589-AW589,0)&amp;" Stk / CHF "&amp;ROUND((H589-AW589)*G589,0)&amp;"; ","")&amp;IF(AND(CI589=1,CJ589&lt;CK589),"MAX &lt; MB+LG; ","")&amp;IF(AND(CQ589&gt;0,CP589*10&gt;CQ589),"zu hoch für Tablar; ","")&amp;IF(AND(BW589=0,OR(CI589=1,AB589&lt;&gt;"",U589&lt;&gt;"",V589&lt;&gt;"",AC589&lt;&gt;"")),"manuell übersteuert; ","")&amp;IF(AND(CA589=0,R589=0),"Gebinde unbekannt / Stellmass fehlt; ","")&amp;IF(AND(CA589=0,N(V589)&lt;=0,N(Q589)&lt;=0),"Menge pro Gebinde fehlt (Ist = 1 Gebinde); ","")&amp;BV589)</f>
        <v/>
      </c>
      <c r="BO589" s="60"/>
      <c r="BP589" s="60"/>
      <c r="BQ589" s="67"/>
      <c r="BR589" s="62" t="n">
        <v>0</v>
      </c>
      <c r="BS589" s="62" t="n">
        <v>8</v>
      </c>
      <c r="BT589" s="61" t="n">
        <v>8.15999999999988</v>
      </c>
      <c r="BU589" s="62" t="n">
        <v>12</v>
      </c>
      <c r="BV589" s="60"/>
      <c r="BW589" s="65" t="n">
        <v>0</v>
      </c>
      <c r="BX589" s="65" t="n">
        <v>589</v>
      </c>
      <c r="BY589" s="60" t="str">
        <f aca="false">IF(U589&lt;&gt;"",UPPER(TRIM(U589)),IF(CB589=1,UPPER(VLOOKUP(T589,Parameter!$I$27:$K$29,2,0)),IF(P589="","LOSE",P589)))</f>
        <v>S33</v>
      </c>
      <c r="BZ589" s="62" t="n">
        <f aca="false">IF(BY589="LOSE",1,IF(N(V589)&gt;0,V589,IF(CB589=1,MAX(1,N(VLOOKUP(T589,Parameter!$I$27:$K$29,3,0)),H589,N(N589)),IF(N(Q589)&gt;0,Q589,MAX(1,H589)))))</f>
        <v>27</v>
      </c>
      <c r="CA589" s="65" t="n">
        <f aca="false">IF(BY589="LOSE",1,0)</f>
        <v>0</v>
      </c>
      <c r="CB589" s="65" t="n">
        <f aca="false">IF(AND(U589="",OR(P589="",P589="LOSE"),T589&lt;&gt;"",N(S589)&lt;=0,ISNUMBER(MATCH(T589,Parameter!$I$27:$I$29,0))),1,0)</f>
        <v>0</v>
      </c>
      <c r="CC589" s="65" t="n">
        <f aca="false">IF(CR589&gt;0,INDEX(Parameter!$H$5:$H$7,W589)/INDEX(Parameter!$E$5:$E$7,W589),IF(AND(CA589=0,N(IFERROR(VLOOKUP(BY589,'Gebinde-Kategorie'!$A$5:$N$45,14,0),0))&gt;0),VLOOKUP(BY589,'Gebinde-Kategorie'!$A$5:$N$45,14,0)*10+Parameter!$M$23,Parameter!$M$24))</f>
        <v>155</v>
      </c>
      <c r="CD589" s="60" t="str">
        <f aca="false">IF(AND(Parameter!$B$19="Ja",E589&lt;&gt;"",ISNUMBER(MATCH(E589,Parameter!$I$35:$I$52,0))),VLOOKUP(E589,Parameter!$I$35:$J$52,2,0),IFERROR(VLOOKUP(D589,Parameter!$A$35:$C$64,2,0),"Nein"))</f>
        <v>2+3</v>
      </c>
      <c r="CE589" s="64" t="n">
        <f aca="false">IF(CA589=0,0,IF(N(S589)&gt;0,S589,IFERROR(VLOOKUP(D589,Parameter!$A$35:$C$64,3,0)+0,0)))</f>
        <v>0</v>
      </c>
      <c r="CF589" s="60" t="n">
        <f aca="false">IF(AB589&lt;&gt;"",AB589,AA589)</f>
        <v>3</v>
      </c>
      <c r="CG589" s="60" t="str">
        <f aca="false">IF(OR(CF589=1,CF589=2,CF589=3),IF(Parameter!$E$27="Ja","LIFT",IF(CF589=1,"L1","L23")),IF(CF589="Aussen","Aussen","-"))</f>
        <v>LIFT</v>
      </c>
      <c r="CH589" s="71" t="n">
        <f aca="false">IF(N(AC589)&gt;0,AC589,0)</f>
        <v>0</v>
      </c>
      <c r="CI589" s="65" t="n">
        <f aca="false">IF(ISNUMBER(AF589),1,0)</f>
        <v>0</v>
      </c>
      <c r="CJ589" s="62" t="n">
        <f aca="false">N(AF589)</f>
        <v>0</v>
      </c>
      <c r="CK589" s="62" t="n">
        <f aca="false">N(M589)+N(N589)</f>
        <v>11</v>
      </c>
      <c r="CL589" s="62" t="n">
        <f aca="false">N(M589)</f>
        <v>1</v>
      </c>
      <c r="CM589" s="62" t="n">
        <f aca="false">N(N589)</f>
        <v>10</v>
      </c>
      <c r="CN589" s="62" t="n">
        <f aca="false">ROUNDUP(H589/BZ589,0)</f>
        <v>1</v>
      </c>
      <c r="CO589" s="62" t="n">
        <f aca="false">ROUNDUP(CJ589/BZ589,0)</f>
        <v>0</v>
      </c>
      <c r="CP589" s="65" t="n">
        <f aca="false">IF(CA589=1,0,IFERROR(VLOOKUP(BY589,'Gebinde-Kategorie'!$A$5:$N$45,5,0)+0,0))</f>
        <v>8</v>
      </c>
      <c r="CQ589" s="65" t="n">
        <f aca="false">IFERROR(IF(OR(CF589=1,CF589=2,CF589=3),N(INDEX(Parameter!$I$5:$I$7,CF589)),0),0)</f>
        <v>0</v>
      </c>
      <c r="CR589" s="64" t="n">
        <f aca="false">IF(AND(Parameter!$B$21="Ja",ISNUMBER(W589),N(X589)&gt;0),IFERROR(N(INDEX(Parameter!$L$5:$L$7,W589))*INDEX(Parameter!$E$5:$E$7,W589)*X589/SUMIFS($X$7:$X$1843,$W$7:$W$1843,W589),0),0)</f>
        <v>0</v>
      </c>
      <c r="CS589" s="62" t="n">
        <f aca="false">IF(AND(OR(CG589="L1",CG589="L23",CG589="LIFT"),H589&gt;0),CC589*IF(CR589&gt;0,CR589*MAX(1,H589/X589),IF(CA589=1,CE589,IF(R589&gt;0,CN589/R589,0))/MAX(0.1,N(Parameter!$M$21))),"")</f>
        <v>2.98076923076923</v>
      </c>
      <c r="CT589" s="64" t="n">
        <f aca="false">IF(CS589="","",J589/H589)</f>
        <v>1.5</v>
      </c>
      <c r="CU589" s="62" t="n">
        <f aca="false">IF(CS589="","",H589*G589)</f>
        <v>351.44</v>
      </c>
      <c r="CV589" s="63" t="n">
        <f aca="false">IF(CS589="","",(CL589+ROUNDUP(CL589+MAX(CM589,2*(J589/MAX(0.1,N(Einkauf!$C$6))-CL589)),0))/2)</f>
        <v>6</v>
      </c>
      <c r="CW589" s="62" t="n">
        <f aca="false">IF(CS589="","",MAX(0,H589-CV589)*G589)</f>
        <v>87.86</v>
      </c>
      <c r="CX589" s="62" t="n">
        <f aca="false">IF(CS589="","",CS589*MAX(0,1-CV589/H589))</f>
        <v>0.745192307692308</v>
      </c>
      <c r="CY589" s="64" t="n">
        <f aca="false">IF(CS589="","",PERCENTRANK($CS$7:$CS$1843,CS589)+PERCENTRANK($CU$7:$CU$1843,CU589)+1-PERCENTRANK($CT$7:$CT$1843,CT589))</f>
        <v>0.911</v>
      </c>
      <c r="CZ589" s="72" t="n">
        <f aca="false">IF(CS589="","",CHOOSE(MATCH(Einkauf!$C$5,Parameter!$G$23:$G$27,0),CY589,CS589,CU589,-CT589,CW589)+ROW()/1000000000)</f>
        <v>0.911000589</v>
      </c>
    </row>
    <row r="590" customFormat="false" ht="15" hidden="false" customHeight="false" outlineLevel="0" collapsed="false">
      <c r="A590" s="60" t="s">
        <v>1272</v>
      </c>
      <c r="B590" s="60" t="s">
        <v>673</v>
      </c>
      <c r="C590" s="60" t="s">
        <v>206</v>
      </c>
      <c r="D590" s="60" t="s">
        <v>226</v>
      </c>
      <c r="E590" s="60"/>
      <c r="F590" s="60" t="s">
        <v>260</v>
      </c>
      <c r="G590" s="61" t="n">
        <v>2.6</v>
      </c>
      <c r="H590" s="62" t="n">
        <f aca="false">MAX(0,IF(AND(Parameter!$B$21="Ja",ISNUMBER(Y590)),Y590,IF(Parameter!$B$20="Jahresanfang 2025 + Export",BS590+BR590,BR590)))</f>
        <v>70</v>
      </c>
      <c r="I590" s="62" t="n">
        <f aca="false">H590*G590</f>
        <v>182</v>
      </c>
      <c r="J590" s="62" t="n">
        <f aca="false">BU590*Parameter!$B$18</f>
        <v>0</v>
      </c>
      <c r="K590" s="63" t="n">
        <v>68.5</v>
      </c>
      <c r="L590" s="64" t="n">
        <v>0</v>
      </c>
      <c r="M590" s="62" t="n">
        <v>0</v>
      </c>
      <c r="N590" s="62" t="n">
        <v>1</v>
      </c>
      <c r="O590" s="65" t="n">
        <v>28</v>
      </c>
      <c r="P590" s="60" t="s">
        <v>443</v>
      </c>
      <c r="Q590" s="62" t="n">
        <v>100</v>
      </c>
      <c r="R590" s="65" t="n">
        <f aca="false">IF(CA590=1,0,IFERROR(VLOOKUP(BY590,'Gebinde-Kategorie'!$A$5:$N$45,13,0)+0,0))</f>
        <v>280</v>
      </c>
      <c r="S590" s="66"/>
      <c r="T590" s="67"/>
      <c r="U590" s="67"/>
      <c r="V590" s="67"/>
      <c r="W590" s="60"/>
      <c r="X590" s="62"/>
      <c r="Y590" s="62"/>
      <c r="Z590" s="60" t="n">
        <v>3</v>
      </c>
      <c r="AA590" s="60" t="n">
        <f aca="false">IF(A590="","",IF(AND(Parameter!$B$21="Ja",ISNUMBER(W590)),W590,IF(AND(Parameter!$E$27="Ja",ISNUMBER(Z590),CD590&lt;&gt;"Nein"),Z590,IF(CD590="2+3",IF(ISNUMBER(SEARCH("grosser Artikel",BV590)),2,IFERROR(VLOOKUP(BY590,Parameter!$F$35:$G$64,2,0),2)),IF(OR(CD590="Nein",CD590=""),"-",CD590)))))</f>
        <v>3</v>
      </c>
      <c r="AB590" s="67"/>
      <c r="AC590" s="68"/>
      <c r="AD590" s="62" t="n">
        <f aca="false">AW590</f>
        <v>1</v>
      </c>
      <c r="AE590" s="62" t="n">
        <f aca="false">MAX(AW590,H590)</f>
        <v>70</v>
      </c>
      <c r="AF590" s="69"/>
      <c r="AG590" s="62" t="n">
        <f aca="false">IF(LEFT(Cockpit!$C$5,1)="A",H590,IF(Parameter!$E$30="MAX-Bestand",IF(CI590=1,CJ590,IF(LEFT(Cockpit!$C$5,1)="B",AM590,MAX(AM590,H590))),ROUNDUP(AK590,0)))</f>
        <v>70</v>
      </c>
      <c r="AH590" s="62" t="n">
        <f aca="false">IF(CA590=1,0,ROUNDUP(AG590/BZ590,0))</f>
        <v>1</v>
      </c>
      <c r="AI590" s="64" t="n">
        <f aca="false">IF(CR590&gt;0,CR590*MAX(1,AG590/X590),IF(CA590=1,IF(AG590&lt;=0,0,CE590*MAX(1,IF(H590&gt;0,AG590/H590,1))),IF(R590&gt;0,AH590/R590,0))/MAX(0.1,N(Parameter!$M$21)))</f>
        <v>0.00357142857142857</v>
      </c>
      <c r="AJ590" s="62" t="n">
        <f aca="false">AI590*CC590</f>
        <v>0.553571428571429</v>
      </c>
      <c r="AK590" s="63" t="n">
        <f aca="false">IF(LEFT(Cockpit!$C$5,1)="A",H590,IF(CI590=1,(CL590+CJ590)/2,IF(LEFT(Cockpit!$C$5,1)="B",(CL590+AM590)/2,MAX((CL590+AM590)/2,H590))))</f>
        <v>70</v>
      </c>
      <c r="AL590" s="62" t="n">
        <f aca="false">AK590*G590</f>
        <v>182</v>
      </c>
      <c r="AM590" s="62" t="n">
        <f aca="false">ROUNDUP(CL590+MAX(CM590,2*(J590/IF(CH590&gt;0,CH590,MAX(0.1,N(Cockpit!$C$6)))-CL590)),0)</f>
        <v>1</v>
      </c>
      <c r="AN590" s="63" t="n">
        <f aca="false">IF(AJ590&gt;0,J590/AJ590,-1)</f>
        <v>0</v>
      </c>
      <c r="AO590" s="63" t="n">
        <f aca="false">IF(AND(OR(CG590="L1",CG590="L23",CG590="LIFT"),AJ590&gt;0),SUMIFS($AJ$7:$AJ$1843,$CG$7:$CG$1843,CG590,$AN$7:$AN$1843,"&gt;"&amp;AN590)+SUMIFS($AJ$7:$AJ$1843,$CG$7:$CG$1843,CG590,$AN$7:$AN$1843,AN590,$BX$7:$BX$1843,"&lt;="&amp;BX590),"")</f>
        <v>28507.6581351793</v>
      </c>
      <c r="AP590" s="70" t="n">
        <f aca="false">IF(AO590="",0,MAX(0,MIN(1,(IF(CG590="L1",Parameter!$H$5,IF(CG590="L23",Parameter!$H$6+Parameter!$H$7,Parameter!$H$5+Parameter!$H$6+Parameter!$H$7))-(AO590-AJ590))/AJ590)))</f>
        <v>1</v>
      </c>
      <c r="AQ590" s="62" t="n">
        <f aca="false">IF(LEFT(Cockpit!$I$5,1)="A",H590,IF(Parameter!$E$30="MAX-Bestand",IF(CI590=1,CJ590,IF(LEFT(Cockpit!$I$5,1)="B",AW590,MAX(AW590,H590))),ROUNDUP(AU590,0)))</f>
        <v>70</v>
      </c>
      <c r="AR590" s="62" t="n">
        <f aca="false">IF(CA590=1,0,ROUNDUP(AQ590/BZ590,0))</f>
        <v>1</v>
      </c>
      <c r="AS590" s="64" t="n">
        <f aca="false">IF(CR590&gt;0,CR590*MAX(1,AQ590/X590),IF(CA590=1,IF(AQ590&lt;=0,0,CE590*MAX(1,IF(H590&gt;0,AQ590/H590,1))),IF(R590&gt;0,AR590/R590,0))/MAX(0.1,N(Parameter!$M$21)))</f>
        <v>0.00357142857142857</v>
      </c>
      <c r="AT590" s="62" t="n">
        <f aca="false">AS590*CC590</f>
        <v>0.553571428571429</v>
      </c>
      <c r="AU590" s="63" t="n">
        <f aca="false">IF(LEFT(Cockpit!$I$5,1)="A",H590,IF(CI590=1,(CL590+CJ590)/2,IF(LEFT(Cockpit!$I$5,1)="B",(CL590+AW590)/2,MAX((CL590+AW590)/2,H590))))</f>
        <v>70</v>
      </c>
      <c r="AV590" s="62" t="n">
        <f aca="false">AU590*G590</f>
        <v>182</v>
      </c>
      <c r="AW590" s="62" t="n">
        <f aca="false">ROUNDUP(CL590+MAX(CM590,2*(J590/IF(CH590&gt;0,CH590,MAX(0.1,N(Cockpit!$I$6)))-CL590)),0)</f>
        <v>1</v>
      </c>
      <c r="AX590" s="63" t="n">
        <f aca="false">IF(AT590&gt;0,J590/AT590,-1)</f>
        <v>0</v>
      </c>
      <c r="AY590" s="63" t="n">
        <f aca="false">IF(AND(OR(CG590="L1",CG590="L23",CG590="LIFT"),AT590&gt;0),SUMIFS($AT$7:$AT$1843,$CG$7:$CG$1843,CG590,$AX$7:$AX$1843,"&gt;"&amp;AX590)+SUMIFS($AT$7:$AT$1843,$CG$7:$CG$1843,CG590,$AX$7:$AX$1843,AX590,$BX$7:$BX$1843,"&lt;="&amp;BX590),"")</f>
        <v>33860.8067765568</v>
      </c>
      <c r="AZ590" s="70" t="n">
        <f aca="false">IF(AY590="",0,MAX(0,MIN(1,(IF(CG590="L1",Parameter!$H$5,IF(CG590="L23",Parameter!$H$6+Parameter!$H$7,Parameter!$H$5+Parameter!$H$6+Parameter!$H$7))-(AY590-AT590))/AT590)))</f>
        <v>1</v>
      </c>
      <c r="BA590" s="62" t="n">
        <f aca="false">IF(LEFT(Cockpit!$O$5,1)="A",H590,IF(Parameter!$E$30="MAX-Bestand",IF(CI590=1,CJ590,IF(LEFT(Cockpit!$O$5,1)="B",BG590,MAX(BG590,H590))),ROUNDUP(BE590,0)))</f>
        <v>1</v>
      </c>
      <c r="BB590" s="62" t="n">
        <f aca="false">IF(CA590=1,0,ROUNDUP(BA590/BZ590,0))</f>
        <v>1</v>
      </c>
      <c r="BC590" s="64" t="n">
        <f aca="false">IF(CR590&gt;0,CR590*MAX(1,BA590/X590),IF(CA590=1,IF(BA590&lt;=0,0,CE590*MAX(1,IF(H590&gt;0,BA590/H590,1))),IF(R590&gt;0,BB590/R590,0))/MAX(0.1,N(Parameter!$M$21)))</f>
        <v>0.00357142857142857</v>
      </c>
      <c r="BD590" s="62" t="n">
        <f aca="false">BC590*CC590</f>
        <v>0.553571428571429</v>
      </c>
      <c r="BE590" s="63" t="n">
        <f aca="false">IF(LEFT(Cockpit!$O$5,1)="A",H590,IF(CI590=1,(CL590+CJ590)/2,IF(LEFT(Cockpit!$O$5,1)="B",(CL590+BG590)/2,MAX((CL590+BG590)/2,H590))))</f>
        <v>0.5</v>
      </c>
      <c r="BF590" s="62" t="n">
        <f aca="false">BE590*G590</f>
        <v>1.3</v>
      </c>
      <c r="BG590" s="62" t="n">
        <f aca="false">ROUNDUP(CL590+MAX(CM590,2*(J590/IF(CH590&gt;0,CH590,MAX(0.1,N(Cockpit!$O$6)))-CL590)),0)</f>
        <v>1</v>
      </c>
      <c r="BH590" s="63" t="n">
        <f aca="false">IF(BD590&gt;0,J590/BD590,-1)</f>
        <v>0</v>
      </c>
      <c r="BI590" s="63" t="n">
        <f aca="false">IF(AND(OR(CG590="L1",CG590="L23",CG590="LIFT"),BD590&gt;0),SUMIFS($BD$7:$BD$1843,$CG$7:$CG$1843,CG590,$BH$7:$BH$1843,"&gt;"&amp;BH590)+SUMIFS($BD$7:$BD$1843,$CG$7:$CG$1843,CG590,$BH$7:$BH$1843,BH590,$BX$7:$BX$1843,"&lt;="&amp;BX590),"")</f>
        <v>27936.0923744335</v>
      </c>
      <c r="BJ590" s="70" t="n">
        <f aca="false">IF(BI590="",0,MAX(0,MIN(1,(IF(CG590="L1",Parameter!$H$5,IF(CG590="L23",Parameter!$H$6+Parameter!$H$7,Parameter!$H$5+Parameter!$H$6+Parameter!$H$7))-(BI590-BD590))/BD590)))</f>
        <v>1</v>
      </c>
      <c r="BK590" s="60" t="str">
        <f aca="false">IF(AJ590&lt;=0,"",IF(CG590="Aussen","Aussenlager",IF(CG590="-","Nicht im Lift",IF(AP590&gt;=1,"Lift",IF(AP590&lt;=0,"Aussenlager","teilweise")))))</f>
        <v>Lift</v>
      </c>
      <c r="BL590" s="60" t="str">
        <f aca="false">IF(AT590&lt;=0,"",IF(CG590="Aussen","Aussenlager",IF(CG590="-","Nicht im Lift",IF(AZ590&gt;=1,"Lift",IF(AZ590&lt;=0,"Aussenlager","teilweise")))))</f>
        <v>Lift</v>
      </c>
      <c r="BM590" s="60" t="str">
        <f aca="false">IF(BD590&lt;=0,"",IF(CG590="Aussen","Aussenlager",IF(CG590="-","Nicht im Lift",IF(BJ590&gt;=1,"Lift",IF(BJ590&lt;=0,"Aussenlager","teilweise")))))</f>
        <v>Lift</v>
      </c>
      <c r="BN590" s="60" t="str">
        <f aca="false">IF(A590="","",IF(BW590=1,"Neu; ","")&amp;IF(AND(BW590=0,BR590&lt;0),"negativer Bestand (Export "&amp;BR590&amp;"); ","")&amp;IF(J590&lt;=0,"Kein Verbrauch; ","")&amp;IF(CR590&gt;0,"Lift "&amp;W590&amp;" lt. Liftbericht (Fach "&amp;X590&amp;" Stk); ",IF(CB590=1,"Gebinde geschätzt ("&amp;T590&amp;"); ",IF(CA590=1,"Lose – Tablare geschätzt; ","")))&amp;IF(H590&gt;AW590,"Überbestand "&amp;ROUND(H590-AW590,0)&amp;" Stk / CHF "&amp;ROUND((H590-AW590)*G590,0)&amp;"; ","")&amp;IF(AND(CI590=1,CJ590&lt;CK590),"MAX &lt; MB+LG; ","")&amp;IF(AND(CQ590&gt;0,CP590*10&gt;CQ590),"zu hoch für Tablar; ","")&amp;IF(AND(BW590=0,OR(CI590=1,AB590&lt;&gt;"",U590&lt;&gt;"",V590&lt;&gt;"",AC590&lt;&gt;"")),"manuell übersteuert; ","")&amp;IF(AND(CA590=0,R590=0),"Gebinde unbekannt / Stellmass fehlt; ","")&amp;IF(AND(CA590=0,N(V590)&lt;=0,N(Q590)&lt;=0),"Menge pro Gebinde fehlt (Ist = 1 Gebinde); ","")&amp;BV590)</f>
        <v>Kein Verbrauch; Überbestand 69 Stk / CHF 179; </v>
      </c>
      <c r="BO590" s="60"/>
      <c r="BP590" s="60"/>
      <c r="BQ590" s="67"/>
      <c r="BR590" s="62" t="n">
        <v>3</v>
      </c>
      <c r="BS590" s="62" t="n">
        <v>67</v>
      </c>
      <c r="BT590" s="61" t="n">
        <v>7.8</v>
      </c>
      <c r="BU590" s="62" t="n">
        <v>0</v>
      </c>
      <c r="BV590" s="60"/>
      <c r="BW590" s="65" t="n">
        <v>0</v>
      </c>
      <c r="BX590" s="65" t="n">
        <v>590</v>
      </c>
      <c r="BY590" s="60" t="str">
        <f aca="false">IF(U590&lt;&gt;"",UPPER(TRIM(U590)),IF(CB590=1,UPPER(VLOOKUP(T590,Parameter!$I$27:$K$29,2,0)),IF(P590="","LOSE",P590)))</f>
        <v>S21</v>
      </c>
      <c r="BZ590" s="62" t="n">
        <f aca="false">IF(BY590="LOSE",1,IF(N(V590)&gt;0,V590,IF(CB590=1,MAX(1,N(VLOOKUP(T590,Parameter!$I$27:$K$29,3,0)),H590,N(N590)),IF(N(Q590)&gt;0,Q590,MAX(1,H590)))))</f>
        <v>100</v>
      </c>
      <c r="CA590" s="65" t="n">
        <f aca="false">IF(BY590="LOSE",1,0)</f>
        <v>0</v>
      </c>
      <c r="CB590" s="65" t="n">
        <f aca="false">IF(AND(U590="",OR(P590="",P590="LOSE"),T590&lt;&gt;"",N(S590)&lt;=0,ISNUMBER(MATCH(T590,Parameter!$I$27:$I$29,0))),1,0)</f>
        <v>0</v>
      </c>
      <c r="CC590" s="65" t="n">
        <f aca="false">IF(CR590&gt;0,INDEX(Parameter!$H$5:$H$7,W590)/INDEX(Parameter!$E$5:$E$7,W590),IF(AND(CA590=0,N(IFERROR(VLOOKUP(BY590,'Gebinde-Kategorie'!$A$5:$N$45,14,0),0))&gt;0),VLOOKUP(BY590,'Gebinde-Kategorie'!$A$5:$N$45,14,0)*10+Parameter!$M$23,Parameter!$M$24))</f>
        <v>155</v>
      </c>
      <c r="CD590" s="60" t="str">
        <f aca="false">IF(AND(Parameter!$B$19="Ja",E590&lt;&gt;"",ISNUMBER(MATCH(E590,Parameter!$I$35:$I$52,0))),VLOOKUP(E590,Parameter!$I$35:$J$52,2,0),IFERROR(VLOOKUP(D590,Parameter!$A$35:$C$64,2,0),"Nein"))</f>
        <v>2+3</v>
      </c>
      <c r="CE590" s="64" t="n">
        <f aca="false">IF(CA590=0,0,IF(N(S590)&gt;0,S590,IFERROR(VLOOKUP(D590,Parameter!$A$35:$C$64,3,0)+0,0)))</f>
        <v>0</v>
      </c>
      <c r="CF590" s="60" t="n">
        <f aca="false">IF(AB590&lt;&gt;"",AB590,AA590)</f>
        <v>3</v>
      </c>
      <c r="CG590" s="60" t="str">
        <f aca="false">IF(OR(CF590=1,CF590=2,CF590=3),IF(Parameter!$E$27="Ja","LIFT",IF(CF590=1,"L1","L23")),IF(CF590="Aussen","Aussen","-"))</f>
        <v>LIFT</v>
      </c>
      <c r="CH590" s="71" t="n">
        <f aca="false">IF(N(AC590)&gt;0,AC590,0)</f>
        <v>0</v>
      </c>
      <c r="CI590" s="65" t="n">
        <f aca="false">IF(ISNUMBER(AF590),1,0)</f>
        <v>0</v>
      </c>
      <c r="CJ590" s="62" t="n">
        <f aca="false">N(AF590)</f>
        <v>0</v>
      </c>
      <c r="CK590" s="62" t="n">
        <f aca="false">N(M590)+N(N590)</f>
        <v>1</v>
      </c>
      <c r="CL590" s="62" t="n">
        <f aca="false">N(M590)</f>
        <v>0</v>
      </c>
      <c r="CM590" s="62" t="n">
        <f aca="false">N(N590)</f>
        <v>1</v>
      </c>
      <c r="CN590" s="62" t="n">
        <f aca="false">ROUNDUP(H590/BZ590,0)</f>
        <v>1</v>
      </c>
      <c r="CO590" s="62" t="n">
        <f aca="false">ROUNDUP(CJ590/BZ590,0)</f>
        <v>0</v>
      </c>
      <c r="CP590" s="65" t="n">
        <f aca="false">IF(CA590=1,0,IFERROR(VLOOKUP(BY590,'Gebinde-Kategorie'!$A$5:$N$45,5,0)+0,0))</f>
        <v>8</v>
      </c>
      <c r="CQ590" s="65" t="n">
        <f aca="false">IFERROR(IF(OR(CF590=1,CF590=2,CF590=3),N(INDEX(Parameter!$I$5:$I$7,CF590)),0),0)</f>
        <v>0</v>
      </c>
      <c r="CR590" s="64" t="n">
        <f aca="false">IF(AND(Parameter!$B$21="Ja",ISNUMBER(W590),N(X590)&gt;0),IFERROR(N(INDEX(Parameter!$L$5:$L$7,W590))*INDEX(Parameter!$E$5:$E$7,W590)*X590/SUMIFS($X$7:$X$1843,$W$7:$W$1843,W590),0),0)</f>
        <v>0</v>
      </c>
      <c r="CS590" s="62" t="n">
        <f aca="false">IF(AND(OR(CG590="L1",CG590="L23",CG590="LIFT"),H590&gt;0),CC590*IF(CR590&gt;0,CR590*MAX(1,H590/X590),IF(CA590=1,CE590,IF(R590&gt;0,CN590/R590,0))/MAX(0.1,N(Parameter!$M$21))),"")</f>
        <v>0.553571428571429</v>
      </c>
      <c r="CT590" s="64" t="n">
        <f aca="false">IF(CS590="","",J590/H590)</f>
        <v>0</v>
      </c>
      <c r="CU590" s="62" t="n">
        <f aca="false">IF(CS590="","",H590*G590)</f>
        <v>182</v>
      </c>
      <c r="CV590" s="63" t="n">
        <f aca="false">IF(CS590="","",(CL590+ROUNDUP(CL590+MAX(CM590,2*(J590/MAX(0.1,N(Einkauf!$C$6))-CL590)),0))/2)</f>
        <v>0.5</v>
      </c>
      <c r="CW590" s="62" t="n">
        <f aca="false">IF(CS590="","",MAX(0,H590-CV590)*G590)</f>
        <v>180.7</v>
      </c>
      <c r="CX590" s="62" t="n">
        <f aca="false">IF(CS590="","",CS590*MAX(0,1-CV590/H590))</f>
        <v>0.549617346938776</v>
      </c>
      <c r="CY590" s="64" t="n">
        <f aca="false">IF(CS590="","",PERCENTRANK($CS$7:$CS$1843,CS590)+PERCENTRANK($CU$7:$CU$1843,CU590)+1-PERCENTRANK($CT$7:$CT$1843,CT590))</f>
        <v>1.326</v>
      </c>
      <c r="CZ590" s="72" t="n">
        <f aca="false">IF(CS590="","",CHOOSE(MATCH(Einkauf!$C$5,Parameter!$G$23:$G$27,0),CY590,CS590,CU590,-CT590,CW590)+ROW()/1000000000)</f>
        <v>1.32600059</v>
      </c>
    </row>
    <row r="591" customFormat="false" ht="15" hidden="false" customHeight="false" outlineLevel="0" collapsed="false">
      <c r="A591" s="60" t="s">
        <v>1273</v>
      </c>
      <c r="B591" s="60" t="s">
        <v>631</v>
      </c>
      <c r="C591" s="60" t="s">
        <v>206</v>
      </c>
      <c r="D591" s="60" t="s">
        <v>226</v>
      </c>
      <c r="E591" s="60"/>
      <c r="F591" s="60" t="s">
        <v>260</v>
      </c>
      <c r="G591" s="61" t="n">
        <v>2.6</v>
      </c>
      <c r="H591" s="62" t="n">
        <f aca="false">MAX(0,IF(AND(Parameter!$B$21="Ja",ISNUMBER(Y591)),Y591,IF(Parameter!$B$20="Jahresanfang 2025 + Export",BS591+BR591,BR591)))</f>
        <v>3</v>
      </c>
      <c r="I591" s="62" t="n">
        <f aca="false">H591*G591</f>
        <v>7.8</v>
      </c>
      <c r="J591" s="62" t="n">
        <f aca="false">BU591*Parameter!$B$18</f>
        <v>2</v>
      </c>
      <c r="K591" s="63" t="n">
        <v>9</v>
      </c>
      <c r="L591" s="64" t="n">
        <v>0.222222222222222</v>
      </c>
      <c r="M591" s="62" t="n">
        <v>0</v>
      </c>
      <c r="N591" s="62" t="n">
        <v>10</v>
      </c>
      <c r="O591" s="65" t="n">
        <v>14</v>
      </c>
      <c r="P591" s="60" t="s">
        <v>443</v>
      </c>
      <c r="Q591" s="62" t="n">
        <v>20</v>
      </c>
      <c r="R591" s="65" t="n">
        <f aca="false">IF(CA591=1,0,IFERROR(VLOOKUP(BY591,'Gebinde-Kategorie'!$A$5:$N$45,13,0)+0,0))</f>
        <v>280</v>
      </c>
      <c r="S591" s="66"/>
      <c r="T591" s="67"/>
      <c r="U591" s="67"/>
      <c r="V591" s="67"/>
      <c r="W591" s="60"/>
      <c r="X591" s="62"/>
      <c r="Y591" s="62"/>
      <c r="Z591" s="60" t="n">
        <v>3</v>
      </c>
      <c r="AA591" s="60" t="n">
        <f aca="false">IF(A591="","",IF(AND(Parameter!$B$21="Ja",ISNUMBER(W591)),W591,IF(AND(Parameter!$E$27="Ja",ISNUMBER(Z591),CD591&lt;&gt;"Nein"),Z591,IF(CD591="2+3",IF(ISNUMBER(SEARCH("grosser Artikel",BV591)),2,IFERROR(VLOOKUP(BY591,Parameter!$F$35:$G$64,2,0),2)),IF(OR(CD591="Nein",CD591=""),"-",CD591)))))</f>
        <v>3</v>
      </c>
      <c r="AB591" s="67"/>
      <c r="AC591" s="68"/>
      <c r="AD591" s="62" t="n">
        <f aca="false">AW591</f>
        <v>10</v>
      </c>
      <c r="AE591" s="62" t="n">
        <f aca="false">MAX(AW591,H591)</f>
        <v>10</v>
      </c>
      <c r="AF591" s="69"/>
      <c r="AG591" s="62" t="n">
        <f aca="false">IF(LEFT(Cockpit!$C$5,1)="A",H591,IF(Parameter!$E$30="MAX-Bestand",IF(CI591=1,CJ591,IF(LEFT(Cockpit!$C$5,1)="B",AM591,MAX(AM591,H591))),ROUNDUP(AK591,0)))</f>
        <v>3</v>
      </c>
      <c r="AH591" s="62" t="n">
        <f aca="false">IF(CA591=1,0,ROUNDUP(AG591/BZ591,0))</f>
        <v>1</v>
      </c>
      <c r="AI591" s="64" t="n">
        <f aca="false">IF(CR591&gt;0,CR591*MAX(1,AG591/X591),IF(CA591=1,IF(AG591&lt;=0,0,CE591*MAX(1,IF(H591&gt;0,AG591/H591,1))),IF(R591&gt;0,AH591/R591,0))/MAX(0.1,N(Parameter!$M$21)))</f>
        <v>0.00357142857142857</v>
      </c>
      <c r="AJ591" s="62" t="n">
        <f aca="false">AI591*CC591</f>
        <v>0.553571428571429</v>
      </c>
      <c r="AK591" s="63" t="n">
        <f aca="false">IF(LEFT(Cockpit!$C$5,1)="A",H591,IF(CI591=1,(CL591+CJ591)/2,IF(LEFT(Cockpit!$C$5,1)="B",(CL591+AM591)/2,MAX((CL591+AM591)/2,H591))))</f>
        <v>3</v>
      </c>
      <c r="AL591" s="62" t="n">
        <f aca="false">AK591*G591</f>
        <v>7.8</v>
      </c>
      <c r="AM591" s="62" t="n">
        <f aca="false">ROUNDUP(CL591+MAX(CM591,2*(J591/IF(CH591&gt;0,CH591,MAX(0.1,N(Cockpit!$C$6)))-CL591)),0)</f>
        <v>10</v>
      </c>
      <c r="AN591" s="63" t="n">
        <f aca="false">IF(AJ591&gt;0,J591/AJ591,-1)</f>
        <v>3.61290322580645</v>
      </c>
      <c r="AO591" s="63" t="n">
        <f aca="false">IF(AND(OR(CG591="L1",CG591="L23",CG591="LIFT"),AJ591&gt;0),SUMIFS($AJ$7:$AJ$1843,$CG$7:$CG$1843,CG591,$AN$7:$AN$1843,"&gt;"&amp;AN591)+SUMIFS($AJ$7:$AJ$1843,$CG$7:$CG$1843,CG591,$AN$7:$AN$1843,AN591,$BX$7:$BX$1843,"&lt;="&amp;BX591),"")</f>
        <v>4826.76694139194</v>
      </c>
      <c r="AP591" s="70" t="n">
        <f aca="false">IF(AO591="",0,MAX(0,MIN(1,(IF(CG591="L1",Parameter!$H$5,IF(CG591="L23",Parameter!$H$6+Parameter!$H$7,Parameter!$H$5+Parameter!$H$6+Parameter!$H$7))-(AO591-AJ591))/AJ591)))</f>
        <v>1</v>
      </c>
      <c r="AQ591" s="62" t="n">
        <f aca="false">IF(LEFT(Cockpit!$I$5,1)="A",H591,IF(Parameter!$E$30="MAX-Bestand",IF(CI591=1,CJ591,IF(LEFT(Cockpit!$I$5,1)="B",AW591,MAX(AW591,H591))),ROUNDUP(AU591,0)))</f>
        <v>5</v>
      </c>
      <c r="AR591" s="62" t="n">
        <f aca="false">IF(CA591=1,0,ROUNDUP(AQ591/BZ591,0))</f>
        <v>1</v>
      </c>
      <c r="AS591" s="64" t="n">
        <f aca="false">IF(CR591&gt;0,CR591*MAX(1,AQ591/X591),IF(CA591=1,IF(AQ591&lt;=0,0,CE591*MAX(1,IF(H591&gt;0,AQ591/H591,1))),IF(R591&gt;0,AR591/R591,0))/MAX(0.1,N(Parameter!$M$21)))</f>
        <v>0.00357142857142857</v>
      </c>
      <c r="AT591" s="62" t="n">
        <f aca="false">AS591*CC591</f>
        <v>0.553571428571429</v>
      </c>
      <c r="AU591" s="63" t="n">
        <f aca="false">IF(LEFT(Cockpit!$I$5,1)="A",H591,IF(CI591=1,(CL591+CJ591)/2,IF(LEFT(Cockpit!$I$5,1)="B",(CL591+AW591)/2,MAX((CL591+AW591)/2,H591))))</f>
        <v>5</v>
      </c>
      <c r="AV591" s="62" t="n">
        <f aca="false">AU591*G591</f>
        <v>13</v>
      </c>
      <c r="AW591" s="62" t="n">
        <f aca="false">ROUNDUP(CL591+MAX(CM591,2*(J591/IF(CH591&gt;0,CH591,MAX(0.1,N(Cockpit!$I$6)))-CL591)),0)</f>
        <v>10</v>
      </c>
      <c r="AX591" s="63" t="n">
        <f aca="false">IF(AT591&gt;0,J591/AT591,-1)</f>
        <v>3.61290322580645</v>
      </c>
      <c r="AY591" s="63" t="n">
        <f aca="false">IF(AND(OR(CG591="L1",CG591="L23",CG591="LIFT"),AT591&gt;0),SUMIFS($AT$7:$AT$1843,$CG$7:$CG$1843,CG591,$AX$7:$AX$1843,"&gt;"&amp;AX591)+SUMIFS($AT$7:$AT$1843,$CG$7:$CG$1843,CG591,$AX$7:$AX$1843,AX591,$BX$7:$BX$1843,"&lt;="&amp;BX591),"")</f>
        <v>5404.35393772894</v>
      </c>
      <c r="AZ591" s="70" t="n">
        <f aca="false">IF(AY591="",0,MAX(0,MIN(1,(IF(CG591="L1",Parameter!$H$5,IF(CG591="L23",Parameter!$H$6+Parameter!$H$7,Parameter!$H$5+Parameter!$H$6+Parameter!$H$7))-(AY591-AT591))/AT591)))</f>
        <v>1</v>
      </c>
      <c r="BA591" s="62" t="n">
        <f aca="false">IF(LEFT(Cockpit!$O$5,1)="A",H591,IF(Parameter!$E$30="MAX-Bestand",IF(CI591=1,CJ591,IF(LEFT(Cockpit!$O$5,1)="B",BG591,MAX(BG591,H591))),ROUNDUP(BE591,0)))</f>
        <v>5</v>
      </c>
      <c r="BB591" s="62" t="n">
        <f aca="false">IF(CA591=1,0,ROUNDUP(BA591/BZ591,0))</f>
        <v>1</v>
      </c>
      <c r="BC591" s="64" t="n">
        <f aca="false">IF(CR591&gt;0,CR591*MAX(1,BA591/X591),IF(CA591=1,IF(BA591&lt;=0,0,CE591*MAX(1,IF(H591&gt;0,BA591/H591,1))),IF(R591&gt;0,BB591/R591,0))/MAX(0.1,N(Parameter!$M$21)))</f>
        <v>0.00357142857142857</v>
      </c>
      <c r="BD591" s="62" t="n">
        <f aca="false">BC591*CC591</f>
        <v>0.553571428571429</v>
      </c>
      <c r="BE591" s="63" t="n">
        <f aca="false">IF(LEFT(Cockpit!$O$5,1)="A",H591,IF(CI591=1,(CL591+CJ591)/2,IF(LEFT(Cockpit!$O$5,1)="B",(CL591+BG591)/2,MAX((CL591+BG591)/2,H591))))</f>
        <v>5</v>
      </c>
      <c r="BF591" s="62" t="n">
        <f aca="false">BE591*G591</f>
        <v>13</v>
      </c>
      <c r="BG591" s="62" t="n">
        <f aca="false">ROUNDUP(CL591+MAX(CM591,2*(J591/IF(CH591&gt;0,CH591,MAX(0.1,N(Cockpit!$O$6)))-CL591)),0)</f>
        <v>10</v>
      </c>
      <c r="BH591" s="63" t="n">
        <f aca="false">IF(BD591&gt;0,J591/BD591,-1)</f>
        <v>3.61290322580645</v>
      </c>
      <c r="BI591" s="63" t="n">
        <f aca="false">IF(AND(OR(CG591="L1",CG591="L23",CG591="LIFT"),BD591&gt;0),SUMIFS($BD$7:$BD$1843,$CG$7:$CG$1843,CG591,$BH$7:$BH$1843,"&gt;"&amp;BH591)+SUMIFS($BD$7:$BD$1843,$CG$7:$CG$1843,CG591,$BH$7:$BH$1843,BH591,$BX$7:$BX$1843,"&lt;="&amp;BX591),"")</f>
        <v>4418.85073260073</v>
      </c>
      <c r="BJ591" s="70" t="n">
        <f aca="false">IF(BI591="",0,MAX(0,MIN(1,(IF(CG591="L1",Parameter!$H$5,IF(CG591="L23",Parameter!$H$6+Parameter!$H$7,Parameter!$H$5+Parameter!$H$6+Parameter!$H$7))-(BI591-BD591))/BD591)))</f>
        <v>1</v>
      </c>
      <c r="BK591" s="60" t="str">
        <f aca="false">IF(AJ591&lt;=0,"",IF(CG591="Aussen","Aussenlager",IF(CG591="-","Nicht im Lift",IF(AP591&gt;=1,"Lift",IF(AP591&lt;=0,"Aussenlager","teilweise")))))</f>
        <v>Lift</v>
      </c>
      <c r="BL591" s="60" t="str">
        <f aca="false">IF(AT591&lt;=0,"",IF(CG591="Aussen","Aussenlager",IF(CG591="-","Nicht im Lift",IF(AZ591&gt;=1,"Lift",IF(AZ591&lt;=0,"Aussenlager","teilweise")))))</f>
        <v>Lift</v>
      </c>
      <c r="BM591" s="60" t="str">
        <f aca="false">IF(BD591&lt;=0,"",IF(CG591="Aussen","Aussenlager",IF(CG591="-","Nicht im Lift",IF(BJ591&gt;=1,"Lift",IF(BJ591&lt;=0,"Aussenlager","teilweise")))))</f>
        <v>Lift</v>
      </c>
      <c r="BN591" s="60" t="str">
        <f aca="false">IF(A591="","",IF(BW591=1,"Neu; ","")&amp;IF(AND(BW591=0,BR591&lt;0),"negativer Bestand (Export "&amp;BR591&amp;"); ","")&amp;IF(J591&lt;=0,"Kein Verbrauch; ","")&amp;IF(CR591&gt;0,"Lift "&amp;W591&amp;" lt. Liftbericht (Fach "&amp;X591&amp;" Stk); ",IF(CB591=1,"Gebinde geschätzt ("&amp;T591&amp;"); ",IF(CA591=1,"Lose – Tablare geschätzt; ","")))&amp;IF(H591&gt;AW591,"Überbestand "&amp;ROUND(H591-AW591,0)&amp;" Stk / CHF "&amp;ROUND((H591-AW591)*G591,0)&amp;"; ","")&amp;IF(AND(CI591=1,CJ591&lt;CK591),"MAX &lt; MB+LG; ","")&amp;IF(AND(CQ591&gt;0,CP591*10&gt;CQ591),"zu hoch für Tablar; ","")&amp;IF(AND(BW591=0,OR(CI591=1,AB591&lt;&gt;"",U591&lt;&gt;"",V591&lt;&gt;"",AC591&lt;&gt;"")),"manuell übersteuert; ","")&amp;IF(AND(CA591=0,R591=0),"Gebinde unbekannt / Stellmass fehlt; ","")&amp;IF(AND(CA591=0,N(V591)&lt;=0,N(Q591)&lt;=0),"Menge pro Gebinde fehlt (Ist = 1 Gebinde); ","")&amp;BV591)</f>
        <v/>
      </c>
      <c r="BO591" s="60"/>
      <c r="BP591" s="60"/>
      <c r="BQ591" s="67"/>
      <c r="BR591" s="62" t="n">
        <v>3</v>
      </c>
      <c r="BS591" s="62" t="n">
        <v>0</v>
      </c>
      <c r="BT591" s="61" t="n">
        <v>7.8</v>
      </c>
      <c r="BU591" s="62" t="n">
        <v>2</v>
      </c>
      <c r="BV591" s="60"/>
      <c r="BW591" s="65" t="n">
        <v>0</v>
      </c>
      <c r="BX591" s="65" t="n">
        <v>591</v>
      </c>
      <c r="BY591" s="60" t="str">
        <f aca="false">IF(U591&lt;&gt;"",UPPER(TRIM(U591)),IF(CB591=1,UPPER(VLOOKUP(T591,Parameter!$I$27:$K$29,2,0)),IF(P591="","LOSE",P591)))</f>
        <v>S21</v>
      </c>
      <c r="BZ591" s="62" t="n">
        <f aca="false">IF(BY591="LOSE",1,IF(N(V591)&gt;0,V591,IF(CB591=1,MAX(1,N(VLOOKUP(T591,Parameter!$I$27:$K$29,3,0)),H591,N(N591)),IF(N(Q591)&gt;0,Q591,MAX(1,H591)))))</f>
        <v>20</v>
      </c>
      <c r="CA591" s="65" t="n">
        <f aca="false">IF(BY591="LOSE",1,0)</f>
        <v>0</v>
      </c>
      <c r="CB591" s="65" t="n">
        <f aca="false">IF(AND(U591="",OR(P591="",P591="LOSE"),T591&lt;&gt;"",N(S591)&lt;=0,ISNUMBER(MATCH(T591,Parameter!$I$27:$I$29,0))),1,0)</f>
        <v>0</v>
      </c>
      <c r="CC591" s="65" t="n">
        <f aca="false">IF(CR591&gt;0,INDEX(Parameter!$H$5:$H$7,W591)/INDEX(Parameter!$E$5:$E$7,W591),IF(AND(CA591=0,N(IFERROR(VLOOKUP(BY591,'Gebinde-Kategorie'!$A$5:$N$45,14,0),0))&gt;0),VLOOKUP(BY591,'Gebinde-Kategorie'!$A$5:$N$45,14,0)*10+Parameter!$M$23,Parameter!$M$24))</f>
        <v>155</v>
      </c>
      <c r="CD591" s="60" t="str">
        <f aca="false">IF(AND(Parameter!$B$19="Ja",E591&lt;&gt;"",ISNUMBER(MATCH(E591,Parameter!$I$35:$I$52,0))),VLOOKUP(E591,Parameter!$I$35:$J$52,2,0),IFERROR(VLOOKUP(D591,Parameter!$A$35:$C$64,2,0),"Nein"))</f>
        <v>2+3</v>
      </c>
      <c r="CE591" s="64" t="n">
        <f aca="false">IF(CA591=0,0,IF(N(S591)&gt;0,S591,IFERROR(VLOOKUP(D591,Parameter!$A$35:$C$64,3,0)+0,0)))</f>
        <v>0</v>
      </c>
      <c r="CF591" s="60" t="n">
        <f aca="false">IF(AB591&lt;&gt;"",AB591,AA591)</f>
        <v>3</v>
      </c>
      <c r="CG591" s="60" t="str">
        <f aca="false">IF(OR(CF591=1,CF591=2,CF591=3),IF(Parameter!$E$27="Ja","LIFT",IF(CF591=1,"L1","L23")),IF(CF591="Aussen","Aussen","-"))</f>
        <v>LIFT</v>
      </c>
      <c r="CH591" s="71" t="n">
        <f aca="false">IF(N(AC591)&gt;0,AC591,0)</f>
        <v>0</v>
      </c>
      <c r="CI591" s="65" t="n">
        <f aca="false">IF(ISNUMBER(AF591),1,0)</f>
        <v>0</v>
      </c>
      <c r="CJ591" s="62" t="n">
        <f aca="false">N(AF591)</f>
        <v>0</v>
      </c>
      <c r="CK591" s="62" t="n">
        <f aca="false">N(M591)+N(N591)</f>
        <v>10</v>
      </c>
      <c r="CL591" s="62" t="n">
        <f aca="false">N(M591)</f>
        <v>0</v>
      </c>
      <c r="CM591" s="62" t="n">
        <f aca="false">N(N591)</f>
        <v>10</v>
      </c>
      <c r="CN591" s="62" t="n">
        <f aca="false">ROUNDUP(H591/BZ591,0)</f>
        <v>1</v>
      </c>
      <c r="CO591" s="62" t="n">
        <f aca="false">ROUNDUP(CJ591/BZ591,0)</f>
        <v>0</v>
      </c>
      <c r="CP591" s="65" t="n">
        <f aca="false">IF(CA591=1,0,IFERROR(VLOOKUP(BY591,'Gebinde-Kategorie'!$A$5:$N$45,5,0)+0,0))</f>
        <v>8</v>
      </c>
      <c r="CQ591" s="65" t="n">
        <f aca="false">IFERROR(IF(OR(CF591=1,CF591=2,CF591=3),N(INDEX(Parameter!$I$5:$I$7,CF591)),0),0)</f>
        <v>0</v>
      </c>
      <c r="CR591" s="64" t="n">
        <f aca="false">IF(AND(Parameter!$B$21="Ja",ISNUMBER(W591),N(X591)&gt;0),IFERROR(N(INDEX(Parameter!$L$5:$L$7,W591))*INDEX(Parameter!$E$5:$E$7,W591)*X591/SUMIFS($X$7:$X$1843,$W$7:$W$1843,W591),0),0)</f>
        <v>0</v>
      </c>
      <c r="CS591" s="62" t="n">
        <f aca="false">IF(AND(OR(CG591="L1",CG591="L23",CG591="LIFT"),H591&gt;0),CC591*IF(CR591&gt;0,CR591*MAX(1,H591/X591),IF(CA591=1,CE591,IF(R591&gt;0,CN591/R591,0))/MAX(0.1,N(Parameter!$M$21))),"")</f>
        <v>0.553571428571429</v>
      </c>
      <c r="CT591" s="64" t="n">
        <f aca="false">IF(CS591="","",J591/H591)</f>
        <v>0.666666666666667</v>
      </c>
      <c r="CU591" s="62" t="n">
        <f aca="false">IF(CS591="","",H591*G591)</f>
        <v>7.8</v>
      </c>
      <c r="CV591" s="63" t="n">
        <f aca="false">IF(CS591="","",(CL591+ROUNDUP(CL591+MAX(CM591,2*(J591/MAX(0.1,N(Einkauf!$C$6))-CL591)),0))/2)</f>
        <v>5</v>
      </c>
      <c r="CW591" s="62" t="n">
        <f aca="false">IF(CS591="","",MAX(0,H591-CV591)*G591)</f>
        <v>0</v>
      </c>
      <c r="CX591" s="62" t="n">
        <f aca="false">IF(CS591="","",CS591*MAX(0,1-CV591/H591))</f>
        <v>0</v>
      </c>
      <c r="CY591" s="64" t="n">
        <f aca="false">IF(CS591="","",PERCENTRANK($CS$7:$CS$1843,CS591)+PERCENTRANK($CU$7:$CU$1843,CU591)+1-PERCENTRANK($CT$7:$CT$1843,CT591))</f>
        <v>0.4589</v>
      </c>
      <c r="CZ591" s="72" t="n">
        <f aca="false">IF(CS591="","",CHOOSE(MATCH(Einkauf!$C$5,Parameter!$G$23:$G$27,0),CY591,CS591,CU591,-CT591,CW591)+ROW()/1000000000)</f>
        <v>0.458900591</v>
      </c>
    </row>
    <row r="592" customFormat="false" ht="15" hidden="false" customHeight="false" outlineLevel="0" collapsed="false">
      <c r="A592" s="60" t="s">
        <v>1274</v>
      </c>
      <c r="B592" s="60" t="s">
        <v>1275</v>
      </c>
      <c r="C592" s="60" t="s">
        <v>206</v>
      </c>
      <c r="D592" s="60" t="s">
        <v>226</v>
      </c>
      <c r="E592" s="60"/>
      <c r="F592" s="60" t="s">
        <v>260</v>
      </c>
      <c r="G592" s="61" t="n">
        <v>7.76</v>
      </c>
      <c r="H592" s="62" t="n">
        <f aca="false">MAX(0,IF(AND(Parameter!$B$21="Ja",ISNUMBER(Y592)),Y592,IF(Parameter!$B$20="Jahresanfang 2025 + Export",BS592+BR592,BR592)))</f>
        <v>3</v>
      </c>
      <c r="I592" s="62" t="n">
        <f aca="false">H592*G592</f>
        <v>23.28</v>
      </c>
      <c r="J592" s="62" t="n">
        <f aca="false">BU592*Parameter!$B$18</f>
        <v>0</v>
      </c>
      <c r="K592" s="63" t="n">
        <v>2.5</v>
      </c>
      <c r="L592" s="64" t="n">
        <v>0</v>
      </c>
      <c r="M592" s="62" t="n">
        <v>0</v>
      </c>
      <c r="N592" s="62" t="n">
        <v>1</v>
      </c>
      <c r="O592" s="65" t="n">
        <v>14</v>
      </c>
      <c r="P592" s="60" t="s">
        <v>518</v>
      </c>
      <c r="Q592" s="62" t="n">
        <v>30</v>
      </c>
      <c r="R592" s="65" t="n">
        <f aca="false">IF(CA592=1,0,IFERROR(VLOOKUP(BY592,'Gebinde-Kategorie'!$A$5:$N$45,13,0)+0,0))</f>
        <v>52</v>
      </c>
      <c r="S592" s="66"/>
      <c r="T592" s="67"/>
      <c r="U592" s="67"/>
      <c r="V592" s="67"/>
      <c r="W592" s="60"/>
      <c r="X592" s="62"/>
      <c r="Y592" s="62"/>
      <c r="Z592" s="60" t="n">
        <v>3</v>
      </c>
      <c r="AA592" s="60" t="n">
        <f aca="false">IF(A592="","",IF(AND(Parameter!$B$21="Ja",ISNUMBER(W592)),W592,IF(AND(Parameter!$E$27="Ja",ISNUMBER(Z592),CD592&lt;&gt;"Nein"),Z592,IF(CD592="2+3",IF(ISNUMBER(SEARCH("grosser Artikel",BV592)),2,IFERROR(VLOOKUP(BY592,Parameter!$F$35:$G$64,2,0),2)),IF(OR(CD592="Nein",CD592=""),"-",CD592)))))</f>
        <v>3</v>
      </c>
      <c r="AB592" s="67"/>
      <c r="AC592" s="68"/>
      <c r="AD592" s="62" t="n">
        <f aca="false">AW592</f>
        <v>1</v>
      </c>
      <c r="AE592" s="62" t="n">
        <f aca="false">MAX(AW592,H592)</f>
        <v>3</v>
      </c>
      <c r="AF592" s="69"/>
      <c r="AG592" s="62" t="n">
        <f aca="false">IF(LEFT(Cockpit!$C$5,1)="A",H592,IF(Parameter!$E$30="MAX-Bestand",IF(CI592=1,CJ592,IF(LEFT(Cockpit!$C$5,1)="B",AM592,MAX(AM592,H592))),ROUNDUP(AK592,0)))</f>
        <v>3</v>
      </c>
      <c r="AH592" s="62" t="n">
        <f aca="false">IF(CA592=1,0,ROUNDUP(AG592/BZ592,0))</f>
        <v>1</v>
      </c>
      <c r="AI592" s="64" t="n">
        <f aca="false">IF(CR592&gt;0,CR592*MAX(1,AG592/X592),IF(CA592=1,IF(AG592&lt;=0,0,CE592*MAX(1,IF(H592&gt;0,AG592/H592,1))),IF(R592&gt;0,AH592/R592,0))/MAX(0.1,N(Parameter!$M$21)))</f>
        <v>0.0192307692307692</v>
      </c>
      <c r="AJ592" s="62" t="n">
        <f aca="false">AI592*CC592</f>
        <v>2.98076923076923</v>
      </c>
      <c r="AK592" s="63" t="n">
        <f aca="false">IF(LEFT(Cockpit!$C$5,1)="A",H592,IF(CI592=1,(CL592+CJ592)/2,IF(LEFT(Cockpit!$C$5,1)="B",(CL592+AM592)/2,MAX((CL592+AM592)/2,H592))))</f>
        <v>3</v>
      </c>
      <c r="AL592" s="62" t="n">
        <f aca="false">AK592*G592</f>
        <v>23.28</v>
      </c>
      <c r="AM592" s="62" t="n">
        <f aca="false">ROUNDUP(CL592+MAX(CM592,2*(J592/IF(CH592&gt;0,CH592,MAX(0.1,N(Cockpit!$C$6)))-CL592)),0)</f>
        <v>1</v>
      </c>
      <c r="AN592" s="63" t="n">
        <f aca="false">IF(AJ592&gt;0,J592/AJ592,-1)</f>
        <v>0</v>
      </c>
      <c r="AO592" s="63" t="n">
        <f aca="false">IF(AND(OR(CG592="L1",CG592="L23",CG592="LIFT"),AJ592&gt;0),SUMIFS($AJ$7:$AJ$1843,$CG$7:$CG$1843,CG592,$AN$7:$AN$1843,"&gt;"&amp;AN592)+SUMIFS($AJ$7:$AJ$1843,$CG$7:$CG$1843,CG592,$AN$7:$AN$1843,AN592,$BX$7:$BX$1843,"&lt;="&amp;BX592),"")</f>
        <v>28510.6389044101</v>
      </c>
      <c r="AP592" s="70" t="n">
        <f aca="false">IF(AO592="",0,MAX(0,MIN(1,(IF(CG592="L1",Parameter!$H$5,IF(CG592="L23",Parameter!$H$6+Parameter!$H$7,Parameter!$H$5+Parameter!$H$6+Parameter!$H$7))-(AO592-AJ592))/AJ592)))</f>
        <v>1</v>
      </c>
      <c r="AQ592" s="62" t="n">
        <f aca="false">IF(LEFT(Cockpit!$I$5,1)="A",H592,IF(Parameter!$E$30="MAX-Bestand",IF(CI592=1,CJ592,IF(LEFT(Cockpit!$I$5,1)="B",AW592,MAX(AW592,H592))),ROUNDUP(AU592,0)))</f>
        <v>3</v>
      </c>
      <c r="AR592" s="62" t="n">
        <f aca="false">IF(CA592=1,0,ROUNDUP(AQ592/BZ592,0))</f>
        <v>1</v>
      </c>
      <c r="AS592" s="64" t="n">
        <f aca="false">IF(CR592&gt;0,CR592*MAX(1,AQ592/X592),IF(CA592=1,IF(AQ592&lt;=0,0,CE592*MAX(1,IF(H592&gt;0,AQ592/H592,1))),IF(R592&gt;0,AR592/R592,0))/MAX(0.1,N(Parameter!$M$21)))</f>
        <v>0.0192307692307692</v>
      </c>
      <c r="AT592" s="62" t="n">
        <f aca="false">AS592*CC592</f>
        <v>2.98076923076923</v>
      </c>
      <c r="AU592" s="63" t="n">
        <f aca="false">IF(LEFT(Cockpit!$I$5,1)="A",H592,IF(CI592=1,(CL592+CJ592)/2,IF(LEFT(Cockpit!$I$5,1)="B",(CL592+AW592)/2,MAX((CL592+AW592)/2,H592))))</f>
        <v>3</v>
      </c>
      <c r="AV592" s="62" t="n">
        <f aca="false">AU592*G592</f>
        <v>23.28</v>
      </c>
      <c r="AW592" s="62" t="n">
        <f aca="false">ROUNDUP(CL592+MAX(CM592,2*(J592/IF(CH592&gt;0,CH592,MAX(0.1,N(Cockpit!$I$6)))-CL592)),0)</f>
        <v>1</v>
      </c>
      <c r="AX592" s="63" t="n">
        <f aca="false">IF(AT592&gt;0,J592/AT592,-1)</f>
        <v>0</v>
      </c>
      <c r="AY592" s="63" t="n">
        <f aca="false">IF(AND(OR(CG592="L1",CG592="L23",CG592="LIFT"),AT592&gt;0),SUMIFS($AT$7:$AT$1843,$CG$7:$CG$1843,CG592,$AX$7:$AX$1843,"&gt;"&amp;AX592)+SUMIFS($AT$7:$AT$1843,$CG$7:$CG$1843,CG592,$AX$7:$AX$1843,AX592,$BX$7:$BX$1843,"&lt;="&amp;BX592),"")</f>
        <v>33863.7875457875</v>
      </c>
      <c r="AZ592" s="70" t="n">
        <f aca="false">IF(AY592="",0,MAX(0,MIN(1,(IF(CG592="L1",Parameter!$H$5,IF(CG592="L23",Parameter!$H$6+Parameter!$H$7,Parameter!$H$5+Parameter!$H$6+Parameter!$H$7))-(AY592-AT592))/AT592)))</f>
        <v>1</v>
      </c>
      <c r="BA592" s="62" t="n">
        <f aca="false">IF(LEFT(Cockpit!$O$5,1)="A",H592,IF(Parameter!$E$30="MAX-Bestand",IF(CI592=1,CJ592,IF(LEFT(Cockpit!$O$5,1)="B",BG592,MAX(BG592,H592))),ROUNDUP(BE592,0)))</f>
        <v>1</v>
      </c>
      <c r="BB592" s="62" t="n">
        <f aca="false">IF(CA592=1,0,ROUNDUP(BA592/BZ592,0))</f>
        <v>1</v>
      </c>
      <c r="BC592" s="64" t="n">
        <f aca="false">IF(CR592&gt;0,CR592*MAX(1,BA592/X592),IF(CA592=1,IF(BA592&lt;=0,0,CE592*MAX(1,IF(H592&gt;0,BA592/H592,1))),IF(R592&gt;0,BB592/R592,0))/MAX(0.1,N(Parameter!$M$21)))</f>
        <v>0.0192307692307692</v>
      </c>
      <c r="BD592" s="62" t="n">
        <f aca="false">BC592*CC592</f>
        <v>2.98076923076923</v>
      </c>
      <c r="BE592" s="63" t="n">
        <f aca="false">IF(LEFT(Cockpit!$O$5,1)="A",H592,IF(CI592=1,(CL592+CJ592)/2,IF(LEFT(Cockpit!$O$5,1)="B",(CL592+BG592)/2,MAX((CL592+BG592)/2,H592))))</f>
        <v>0.5</v>
      </c>
      <c r="BF592" s="62" t="n">
        <f aca="false">BE592*G592</f>
        <v>3.88</v>
      </c>
      <c r="BG592" s="62" t="n">
        <f aca="false">ROUNDUP(CL592+MAX(CM592,2*(J592/IF(CH592&gt;0,CH592,MAX(0.1,N(Cockpit!$O$6)))-CL592)),0)</f>
        <v>1</v>
      </c>
      <c r="BH592" s="63" t="n">
        <f aca="false">IF(BD592&gt;0,J592/BD592,-1)</f>
        <v>0</v>
      </c>
      <c r="BI592" s="63" t="n">
        <f aca="false">IF(AND(OR(CG592="L1",CG592="L23",CG592="LIFT"),BD592&gt;0),SUMIFS($BD$7:$BD$1843,$CG$7:$CG$1843,CG592,$BH$7:$BH$1843,"&gt;"&amp;BH592)+SUMIFS($BD$7:$BD$1843,$CG$7:$CG$1843,CG592,$BH$7:$BH$1843,BH592,$BX$7:$BX$1843,"&lt;="&amp;BX592),"")</f>
        <v>27939.0731436642</v>
      </c>
      <c r="BJ592" s="70" t="n">
        <f aca="false">IF(BI592="",0,MAX(0,MIN(1,(IF(CG592="L1",Parameter!$H$5,IF(CG592="L23",Parameter!$H$6+Parameter!$H$7,Parameter!$H$5+Parameter!$H$6+Parameter!$H$7))-(BI592-BD592))/BD592)))</f>
        <v>1</v>
      </c>
      <c r="BK592" s="60" t="str">
        <f aca="false">IF(AJ592&lt;=0,"",IF(CG592="Aussen","Aussenlager",IF(CG592="-","Nicht im Lift",IF(AP592&gt;=1,"Lift",IF(AP592&lt;=0,"Aussenlager","teilweise")))))</f>
        <v>Lift</v>
      </c>
      <c r="BL592" s="60" t="str">
        <f aca="false">IF(AT592&lt;=0,"",IF(CG592="Aussen","Aussenlager",IF(CG592="-","Nicht im Lift",IF(AZ592&gt;=1,"Lift",IF(AZ592&lt;=0,"Aussenlager","teilweise")))))</f>
        <v>Lift</v>
      </c>
      <c r="BM592" s="60" t="str">
        <f aca="false">IF(BD592&lt;=0,"",IF(CG592="Aussen","Aussenlager",IF(CG592="-","Nicht im Lift",IF(BJ592&gt;=1,"Lift",IF(BJ592&lt;=0,"Aussenlager","teilweise")))))</f>
        <v>Lift</v>
      </c>
      <c r="BN592" s="60" t="str">
        <f aca="false">IF(A592="","",IF(BW592=1,"Neu; ","")&amp;IF(AND(BW592=0,BR592&lt;0),"negativer Bestand (Export "&amp;BR592&amp;"); ","")&amp;IF(J592&lt;=0,"Kein Verbrauch; ","")&amp;IF(CR592&gt;0,"Lift "&amp;W592&amp;" lt. Liftbericht (Fach "&amp;X592&amp;" Stk); ",IF(CB592=1,"Gebinde geschätzt ("&amp;T592&amp;"); ",IF(CA592=1,"Lose – Tablare geschätzt; ","")))&amp;IF(H592&gt;AW592,"Überbestand "&amp;ROUND(H592-AW592,0)&amp;" Stk / CHF "&amp;ROUND((H592-AW592)*G592,0)&amp;"; ","")&amp;IF(AND(CI592=1,CJ592&lt;CK592),"MAX &lt; MB+LG; ","")&amp;IF(AND(CQ592&gt;0,CP592*10&gt;CQ592),"zu hoch für Tablar; ","")&amp;IF(AND(BW592=0,OR(CI592=1,AB592&lt;&gt;"",U592&lt;&gt;"",V592&lt;&gt;"",AC592&lt;&gt;"")),"manuell übersteuert; ","")&amp;IF(AND(CA592=0,R592=0),"Gebinde unbekannt / Stellmass fehlt; ","")&amp;IF(AND(CA592=0,N(V592)&lt;=0,N(Q592)&lt;=0),"Menge pro Gebinde fehlt (Ist = 1 Gebinde); ","")&amp;BV592)</f>
        <v>Kein Verbrauch; Überbestand 2 Stk / CHF 16; </v>
      </c>
      <c r="BO592" s="60"/>
      <c r="BP592" s="60"/>
      <c r="BQ592" s="67"/>
      <c r="BR592" s="62" t="n">
        <v>1</v>
      </c>
      <c r="BS592" s="62" t="n">
        <v>2</v>
      </c>
      <c r="BT592" s="61" t="n">
        <v>7.76</v>
      </c>
      <c r="BU592" s="62" t="n">
        <v>0</v>
      </c>
      <c r="BV592" s="60"/>
      <c r="BW592" s="65" t="n">
        <v>0</v>
      </c>
      <c r="BX592" s="65" t="n">
        <v>592</v>
      </c>
      <c r="BY592" s="60" t="str">
        <f aca="false">IF(U592&lt;&gt;"",UPPER(TRIM(U592)),IF(CB592=1,UPPER(VLOOKUP(T592,Parameter!$I$27:$K$29,2,0)),IF(P592="","LOSE",P592)))</f>
        <v>S33</v>
      </c>
      <c r="BZ592" s="62" t="n">
        <f aca="false">IF(BY592="LOSE",1,IF(N(V592)&gt;0,V592,IF(CB592=1,MAX(1,N(VLOOKUP(T592,Parameter!$I$27:$K$29,3,0)),H592,N(N592)),IF(N(Q592)&gt;0,Q592,MAX(1,H592)))))</f>
        <v>30</v>
      </c>
      <c r="CA592" s="65" t="n">
        <f aca="false">IF(BY592="LOSE",1,0)</f>
        <v>0</v>
      </c>
      <c r="CB592" s="65" t="n">
        <f aca="false">IF(AND(U592="",OR(P592="",P592="LOSE"),T592&lt;&gt;"",N(S592)&lt;=0,ISNUMBER(MATCH(T592,Parameter!$I$27:$I$29,0))),1,0)</f>
        <v>0</v>
      </c>
      <c r="CC592" s="65" t="n">
        <f aca="false">IF(CR592&gt;0,INDEX(Parameter!$H$5:$H$7,W592)/INDEX(Parameter!$E$5:$E$7,W592),IF(AND(CA592=0,N(IFERROR(VLOOKUP(BY592,'Gebinde-Kategorie'!$A$5:$N$45,14,0),0))&gt;0),VLOOKUP(BY592,'Gebinde-Kategorie'!$A$5:$N$45,14,0)*10+Parameter!$M$23,Parameter!$M$24))</f>
        <v>155</v>
      </c>
      <c r="CD592" s="60" t="str">
        <f aca="false">IF(AND(Parameter!$B$19="Ja",E592&lt;&gt;"",ISNUMBER(MATCH(E592,Parameter!$I$35:$I$52,0))),VLOOKUP(E592,Parameter!$I$35:$J$52,2,0),IFERROR(VLOOKUP(D592,Parameter!$A$35:$C$64,2,0),"Nein"))</f>
        <v>2+3</v>
      </c>
      <c r="CE592" s="64" t="n">
        <f aca="false">IF(CA592=0,0,IF(N(S592)&gt;0,S592,IFERROR(VLOOKUP(D592,Parameter!$A$35:$C$64,3,0)+0,0)))</f>
        <v>0</v>
      </c>
      <c r="CF592" s="60" t="n">
        <f aca="false">IF(AB592&lt;&gt;"",AB592,AA592)</f>
        <v>3</v>
      </c>
      <c r="CG592" s="60" t="str">
        <f aca="false">IF(OR(CF592=1,CF592=2,CF592=3),IF(Parameter!$E$27="Ja","LIFT",IF(CF592=1,"L1","L23")),IF(CF592="Aussen","Aussen","-"))</f>
        <v>LIFT</v>
      </c>
      <c r="CH592" s="71" t="n">
        <f aca="false">IF(N(AC592)&gt;0,AC592,0)</f>
        <v>0</v>
      </c>
      <c r="CI592" s="65" t="n">
        <f aca="false">IF(ISNUMBER(AF592),1,0)</f>
        <v>0</v>
      </c>
      <c r="CJ592" s="62" t="n">
        <f aca="false">N(AF592)</f>
        <v>0</v>
      </c>
      <c r="CK592" s="62" t="n">
        <f aca="false">N(M592)+N(N592)</f>
        <v>1</v>
      </c>
      <c r="CL592" s="62" t="n">
        <f aca="false">N(M592)</f>
        <v>0</v>
      </c>
      <c r="CM592" s="62" t="n">
        <f aca="false">N(N592)</f>
        <v>1</v>
      </c>
      <c r="CN592" s="62" t="n">
        <f aca="false">ROUNDUP(H592/BZ592,0)</f>
        <v>1</v>
      </c>
      <c r="CO592" s="62" t="n">
        <f aca="false">ROUNDUP(CJ592/BZ592,0)</f>
        <v>0</v>
      </c>
      <c r="CP592" s="65" t="n">
        <f aca="false">IF(CA592=1,0,IFERROR(VLOOKUP(BY592,'Gebinde-Kategorie'!$A$5:$N$45,5,0)+0,0))</f>
        <v>8</v>
      </c>
      <c r="CQ592" s="65" t="n">
        <f aca="false">IFERROR(IF(OR(CF592=1,CF592=2,CF592=3),N(INDEX(Parameter!$I$5:$I$7,CF592)),0),0)</f>
        <v>0</v>
      </c>
      <c r="CR592" s="64" t="n">
        <f aca="false">IF(AND(Parameter!$B$21="Ja",ISNUMBER(W592),N(X592)&gt;0),IFERROR(N(INDEX(Parameter!$L$5:$L$7,W592))*INDEX(Parameter!$E$5:$E$7,W592)*X592/SUMIFS($X$7:$X$1843,$W$7:$W$1843,W592),0),0)</f>
        <v>0</v>
      </c>
      <c r="CS592" s="62" t="n">
        <f aca="false">IF(AND(OR(CG592="L1",CG592="L23",CG592="LIFT"),H592&gt;0),CC592*IF(CR592&gt;0,CR592*MAX(1,H592/X592),IF(CA592=1,CE592,IF(R592&gt;0,CN592/R592,0))/MAX(0.1,N(Parameter!$M$21))),"")</f>
        <v>2.98076923076923</v>
      </c>
      <c r="CT592" s="64" t="n">
        <f aca="false">IF(CS592="","",J592/H592)</f>
        <v>0</v>
      </c>
      <c r="CU592" s="62" t="n">
        <f aca="false">IF(CS592="","",H592*G592)</f>
        <v>23.28</v>
      </c>
      <c r="CV592" s="63" t="n">
        <f aca="false">IF(CS592="","",(CL592+ROUNDUP(CL592+MAX(CM592,2*(J592/MAX(0.1,N(Einkauf!$C$6))-CL592)),0))/2)</f>
        <v>0.5</v>
      </c>
      <c r="CW592" s="62" t="n">
        <f aca="false">IF(CS592="","",MAX(0,H592-CV592)*G592)</f>
        <v>19.4</v>
      </c>
      <c r="CX592" s="62" t="n">
        <f aca="false">IF(CS592="","",CS592*MAX(0,1-CV592/H592))</f>
        <v>2.48397435897436</v>
      </c>
      <c r="CY592" s="64" t="n">
        <f aca="false">IF(CS592="","",PERCENTRANK($CS$7:$CS$1843,CS592)+PERCENTRANK($CU$7:$CU$1843,CU592)+1-PERCENTRANK($CT$7:$CT$1843,CT592))</f>
        <v>1.3027</v>
      </c>
      <c r="CZ592" s="72" t="n">
        <f aca="false">IF(CS592="","",CHOOSE(MATCH(Einkauf!$C$5,Parameter!$G$23:$G$27,0),CY592,CS592,CU592,-CT592,CW592)+ROW()/1000000000)</f>
        <v>1.302700592</v>
      </c>
    </row>
    <row r="593" customFormat="false" ht="15" hidden="false" customHeight="false" outlineLevel="0" collapsed="false">
      <c r="A593" s="60" t="s">
        <v>1276</v>
      </c>
      <c r="B593" s="60" t="s">
        <v>447</v>
      </c>
      <c r="C593" s="60" t="s">
        <v>206</v>
      </c>
      <c r="D593" s="60" t="s">
        <v>226</v>
      </c>
      <c r="E593" s="60" t="s">
        <v>227</v>
      </c>
      <c r="F593" s="60" t="s">
        <v>260</v>
      </c>
      <c r="G593" s="61" t="n">
        <v>1.23</v>
      </c>
      <c r="H593" s="62" t="n">
        <f aca="false">MAX(0,IF(AND(Parameter!$B$21="Ja",ISNUMBER(Y593)),Y593,IF(Parameter!$B$20="Jahresanfang 2025 + Export",BS593+BR593,BR593)))</f>
        <v>266</v>
      </c>
      <c r="I593" s="62" t="n">
        <f aca="false">H593*G593</f>
        <v>327.18</v>
      </c>
      <c r="J593" s="62" t="n">
        <f aca="false">BU593*Parameter!$B$18</f>
        <v>0</v>
      </c>
      <c r="K593" s="63" t="n">
        <v>263</v>
      </c>
      <c r="L593" s="64" t="n">
        <v>0</v>
      </c>
      <c r="M593" s="62" t="n">
        <v>0</v>
      </c>
      <c r="N593" s="62" t="n">
        <v>1</v>
      </c>
      <c r="O593" s="65" t="n">
        <v>21</v>
      </c>
      <c r="P593" s="60" t="s">
        <v>275</v>
      </c>
      <c r="Q593" s="62" t="n">
        <v>286</v>
      </c>
      <c r="R593" s="65" t="n">
        <f aca="false">IF(CA593=1,0,IFERROR(VLOOKUP(BY593,'Gebinde-Kategorie'!$A$5:$N$45,13,0)+0,0))</f>
        <v>26</v>
      </c>
      <c r="S593" s="66"/>
      <c r="T593" s="67"/>
      <c r="U593" s="67"/>
      <c r="V593" s="67"/>
      <c r="W593" s="60"/>
      <c r="X593" s="62"/>
      <c r="Y593" s="62"/>
      <c r="Z593" s="60" t="n">
        <v>3</v>
      </c>
      <c r="AA593" s="60" t="n">
        <f aca="false">IF(A593="","",IF(AND(Parameter!$B$21="Ja",ISNUMBER(W593)),W593,IF(AND(Parameter!$E$27="Ja",ISNUMBER(Z593),CD593&lt;&gt;"Nein"),Z593,IF(CD593="2+3",IF(ISNUMBER(SEARCH("grosser Artikel",BV593)),2,IFERROR(VLOOKUP(BY593,Parameter!$F$35:$G$64,2,0),2)),IF(OR(CD593="Nein",CD593=""),"-",CD593)))))</f>
        <v>3</v>
      </c>
      <c r="AB593" s="67"/>
      <c r="AC593" s="68"/>
      <c r="AD593" s="62" t="n">
        <f aca="false">AW593</f>
        <v>1</v>
      </c>
      <c r="AE593" s="62" t="n">
        <f aca="false">MAX(AW593,H593)</f>
        <v>266</v>
      </c>
      <c r="AF593" s="69"/>
      <c r="AG593" s="62" t="n">
        <f aca="false">IF(LEFT(Cockpit!$C$5,1)="A",H593,IF(Parameter!$E$30="MAX-Bestand",IF(CI593=1,CJ593,IF(LEFT(Cockpit!$C$5,1)="B",AM593,MAX(AM593,H593))),ROUNDUP(AK593,0)))</f>
        <v>266</v>
      </c>
      <c r="AH593" s="62" t="n">
        <f aca="false">IF(CA593=1,0,ROUNDUP(AG593/BZ593,0))</f>
        <v>1</v>
      </c>
      <c r="AI593" s="64" t="n">
        <f aca="false">IF(CR593&gt;0,CR593*MAX(1,AG593/X593),IF(CA593=1,IF(AG593&lt;=0,0,CE593*MAX(1,IF(H593&gt;0,AG593/H593,1))),IF(R593&gt;0,AH593/R593,0))/MAX(0.1,N(Parameter!$M$21)))</f>
        <v>0.0384615384615385</v>
      </c>
      <c r="AJ593" s="62" t="n">
        <f aca="false">AI593*CC593</f>
        <v>9.42307692307692</v>
      </c>
      <c r="AK593" s="63" t="n">
        <f aca="false">IF(LEFT(Cockpit!$C$5,1)="A",H593,IF(CI593=1,(CL593+CJ593)/2,IF(LEFT(Cockpit!$C$5,1)="B",(CL593+AM593)/2,MAX((CL593+AM593)/2,H593))))</f>
        <v>266</v>
      </c>
      <c r="AL593" s="62" t="n">
        <f aca="false">AK593*G593</f>
        <v>327.18</v>
      </c>
      <c r="AM593" s="62" t="n">
        <f aca="false">ROUNDUP(CL593+MAX(CM593,2*(J593/IF(CH593&gt;0,CH593,MAX(0.1,N(Cockpit!$C$6)))-CL593)),0)</f>
        <v>1</v>
      </c>
      <c r="AN593" s="63" t="n">
        <f aca="false">IF(AJ593&gt;0,J593/AJ593,-1)</f>
        <v>0</v>
      </c>
      <c r="AO593" s="63" t="n">
        <f aca="false">IF(AND(OR(CG593="L1",CG593="L23",CG593="LIFT"),AJ593&gt;0),SUMIFS($AJ$7:$AJ$1843,$CG$7:$CG$1843,CG593,$AN$7:$AN$1843,"&gt;"&amp;AN593)+SUMIFS($AJ$7:$AJ$1843,$CG$7:$CG$1843,CG593,$AN$7:$AN$1843,AN593,$BX$7:$BX$1843,"&lt;="&amp;BX593),"")</f>
        <v>28520.0619813332</v>
      </c>
      <c r="AP593" s="70" t="n">
        <f aca="false">IF(AO593="",0,MAX(0,MIN(1,(IF(CG593="L1",Parameter!$H$5,IF(CG593="L23",Parameter!$H$6+Parameter!$H$7,Parameter!$H$5+Parameter!$H$6+Parameter!$H$7))-(AO593-AJ593))/AJ593)))</f>
        <v>1</v>
      </c>
      <c r="AQ593" s="62" t="n">
        <f aca="false">IF(LEFT(Cockpit!$I$5,1)="A",H593,IF(Parameter!$E$30="MAX-Bestand",IF(CI593=1,CJ593,IF(LEFT(Cockpit!$I$5,1)="B",AW593,MAX(AW593,H593))),ROUNDUP(AU593,0)))</f>
        <v>266</v>
      </c>
      <c r="AR593" s="62" t="n">
        <f aca="false">IF(CA593=1,0,ROUNDUP(AQ593/BZ593,0))</f>
        <v>1</v>
      </c>
      <c r="AS593" s="64" t="n">
        <f aca="false">IF(CR593&gt;0,CR593*MAX(1,AQ593/X593),IF(CA593=1,IF(AQ593&lt;=0,0,CE593*MAX(1,IF(H593&gt;0,AQ593/H593,1))),IF(R593&gt;0,AR593/R593,0))/MAX(0.1,N(Parameter!$M$21)))</f>
        <v>0.0384615384615385</v>
      </c>
      <c r="AT593" s="62" t="n">
        <f aca="false">AS593*CC593</f>
        <v>9.42307692307692</v>
      </c>
      <c r="AU593" s="63" t="n">
        <f aca="false">IF(LEFT(Cockpit!$I$5,1)="A",H593,IF(CI593=1,(CL593+CJ593)/2,IF(LEFT(Cockpit!$I$5,1)="B",(CL593+AW593)/2,MAX((CL593+AW593)/2,H593))))</f>
        <v>266</v>
      </c>
      <c r="AV593" s="62" t="n">
        <f aca="false">AU593*G593</f>
        <v>327.18</v>
      </c>
      <c r="AW593" s="62" t="n">
        <f aca="false">ROUNDUP(CL593+MAX(CM593,2*(J593/IF(CH593&gt;0,CH593,MAX(0.1,N(Cockpit!$I$6)))-CL593)),0)</f>
        <v>1</v>
      </c>
      <c r="AX593" s="63" t="n">
        <f aca="false">IF(AT593&gt;0,J593/AT593,-1)</f>
        <v>0</v>
      </c>
      <c r="AY593" s="63" t="n">
        <f aca="false">IF(AND(OR(CG593="L1",CG593="L23",CG593="LIFT"),AT593&gt;0),SUMIFS($AT$7:$AT$1843,$CG$7:$CG$1843,CG593,$AX$7:$AX$1843,"&gt;"&amp;AX593)+SUMIFS($AT$7:$AT$1843,$CG$7:$CG$1843,CG593,$AX$7:$AX$1843,AX593,$BX$7:$BX$1843,"&lt;="&amp;BX593),"")</f>
        <v>33873.2106227106</v>
      </c>
      <c r="AZ593" s="70" t="n">
        <f aca="false">IF(AY593="",0,MAX(0,MIN(1,(IF(CG593="L1",Parameter!$H$5,IF(CG593="L23",Parameter!$H$6+Parameter!$H$7,Parameter!$H$5+Parameter!$H$6+Parameter!$H$7))-(AY593-AT593))/AT593)))</f>
        <v>1</v>
      </c>
      <c r="BA593" s="62" t="n">
        <f aca="false">IF(LEFT(Cockpit!$O$5,1)="A",H593,IF(Parameter!$E$30="MAX-Bestand",IF(CI593=1,CJ593,IF(LEFT(Cockpit!$O$5,1)="B",BG593,MAX(BG593,H593))),ROUNDUP(BE593,0)))</f>
        <v>1</v>
      </c>
      <c r="BB593" s="62" t="n">
        <f aca="false">IF(CA593=1,0,ROUNDUP(BA593/BZ593,0))</f>
        <v>1</v>
      </c>
      <c r="BC593" s="64" t="n">
        <f aca="false">IF(CR593&gt;0,CR593*MAX(1,BA593/X593),IF(CA593=1,IF(BA593&lt;=0,0,CE593*MAX(1,IF(H593&gt;0,BA593/H593,1))),IF(R593&gt;0,BB593/R593,0))/MAX(0.1,N(Parameter!$M$21)))</f>
        <v>0.0384615384615385</v>
      </c>
      <c r="BD593" s="62" t="n">
        <f aca="false">BC593*CC593</f>
        <v>9.42307692307692</v>
      </c>
      <c r="BE593" s="63" t="n">
        <f aca="false">IF(LEFT(Cockpit!$O$5,1)="A",H593,IF(CI593=1,(CL593+CJ593)/2,IF(LEFT(Cockpit!$O$5,1)="B",(CL593+BG593)/2,MAX((CL593+BG593)/2,H593))))</f>
        <v>0.5</v>
      </c>
      <c r="BF593" s="62" t="n">
        <f aca="false">BE593*G593</f>
        <v>0.615</v>
      </c>
      <c r="BG593" s="62" t="n">
        <f aca="false">ROUNDUP(CL593+MAX(CM593,2*(J593/IF(CH593&gt;0,CH593,MAX(0.1,N(Cockpit!$O$6)))-CL593)),0)</f>
        <v>1</v>
      </c>
      <c r="BH593" s="63" t="n">
        <f aca="false">IF(BD593&gt;0,J593/BD593,-1)</f>
        <v>0</v>
      </c>
      <c r="BI593" s="63" t="n">
        <f aca="false">IF(AND(OR(CG593="L1",CG593="L23",CG593="LIFT"),BD593&gt;0),SUMIFS($BD$7:$BD$1843,$CG$7:$CG$1843,CG593,$BH$7:$BH$1843,"&gt;"&amp;BH593)+SUMIFS($BD$7:$BD$1843,$CG$7:$CG$1843,CG593,$BH$7:$BH$1843,BH593,$BX$7:$BX$1843,"&lt;="&amp;BX593),"")</f>
        <v>27948.4962205873</v>
      </c>
      <c r="BJ593" s="70" t="n">
        <f aca="false">IF(BI593="",0,MAX(0,MIN(1,(IF(CG593="L1",Parameter!$H$5,IF(CG593="L23",Parameter!$H$6+Parameter!$H$7,Parameter!$H$5+Parameter!$H$6+Parameter!$H$7))-(BI593-BD593))/BD593)))</f>
        <v>1</v>
      </c>
      <c r="BK593" s="60" t="str">
        <f aca="false">IF(AJ593&lt;=0,"",IF(CG593="Aussen","Aussenlager",IF(CG593="-","Nicht im Lift",IF(AP593&gt;=1,"Lift",IF(AP593&lt;=0,"Aussenlager","teilweise")))))</f>
        <v>Lift</v>
      </c>
      <c r="BL593" s="60" t="str">
        <f aca="false">IF(AT593&lt;=0,"",IF(CG593="Aussen","Aussenlager",IF(CG593="-","Nicht im Lift",IF(AZ593&gt;=1,"Lift",IF(AZ593&lt;=0,"Aussenlager","teilweise")))))</f>
        <v>Lift</v>
      </c>
      <c r="BM593" s="60" t="str">
        <f aca="false">IF(BD593&lt;=0,"",IF(CG593="Aussen","Aussenlager",IF(CG593="-","Nicht im Lift",IF(BJ593&gt;=1,"Lift",IF(BJ593&lt;=0,"Aussenlager","teilweise")))))</f>
        <v>Lift</v>
      </c>
      <c r="BN593" s="60" t="str">
        <f aca="false">IF(A593="","",IF(BW593=1,"Neu; ","")&amp;IF(AND(BW593=0,BR593&lt;0),"negativer Bestand (Export "&amp;BR593&amp;"); ","")&amp;IF(J593&lt;=0,"Kein Verbrauch; ","")&amp;IF(CR593&gt;0,"Lift "&amp;W593&amp;" lt. Liftbericht (Fach "&amp;X593&amp;" Stk); ",IF(CB593=1,"Gebinde geschätzt ("&amp;T593&amp;"); ",IF(CA593=1,"Lose – Tablare geschätzt; ","")))&amp;IF(H593&gt;AW593,"Überbestand "&amp;ROUND(H593-AW593,0)&amp;" Stk / CHF "&amp;ROUND((H593-AW593)*G593,0)&amp;"; ","")&amp;IF(AND(CI593=1,CJ593&lt;CK593),"MAX &lt; MB+LG; ","")&amp;IF(AND(CQ593&gt;0,CP593*10&gt;CQ593),"zu hoch für Tablar; ","")&amp;IF(AND(BW593=0,OR(CI593=1,AB593&lt;&gt;"",U593&lt;&gt;"",V593&lt;&gt;"",AC593&lt;&gt;"")),"manuell übersteuert; ","")&amp;IF(AND(CA593=0,R593=0),"Gebinde unbekannt / Stellmass fehlt; ","")&amp;IF(AND(CA593=0,N(V593)&lt;=0,N(Q593)&lt;=0),"Menge pro Gebinde fehlt (Ist = 1 Gebinde); ","")&amp;BV593)</f>
        <v>Kein Verbrauch; Überbestand 265 Stk / CHF 326; Überbestand</v>
      </c>
      <c r="BO593" s="60"/>
      <c r="BP593" s="60"/>
      <c r="BQ593" s="67"/>
      <c r="BR593" s="62" t="n">
        <v>6</v>
      </c>
      <c r="BS593" s="62" t="n">
        <v>260</v>
      </c>
      <c r="BT593" s="61" t="n">
        <v>7.38</v>
      </c>
      <c r="BU593" s="62" t="n">
        <v>0</v>
      </c>
      <c r="BV593" s="60" t="s">
        <v>434</v>
      </c>
      <c r="BW593" s="65" t="n">
        <v>0</v>
      </c>
      <c r="BX593" s="65" t="n">
        <v>593</v>
      </c>
      <c r="BY593" s="60" t="str">
        <f aca="false">IF(U593&lt;&gt;"",UPPER(TRIM(U593)),IF(CB593=1,UPPER(VLOOKUP(T593,Parameter!$I$27:$K$29,2,0)),IF(P593="","LOSE",P593)))</f>
        <v>S52</v>
      </c>
      <c r="BZ593" s="62" t="n">
        <f aca="false">IF(BY593="LOSE",1,IF(N(V593)&gt;0,V593,IF(CB593=1,MAX(1,N(VLOOKUP(T593,Parameter!$I$27:$K$29,3,0)),H593,N(N593)),IF(N(Q593)&gt;0,Q593,MAX(1,H593)))))</f>
        <v>286</v>
      </c>
      <c r="CA593" s="65" t="n">
        <f aca="false">IF(BY593="LOSE",1,0)</f>
        <v>0</v>
      </c>
      <c r="CB593" s="65" t="n">
        <f aca="false">IF(AND(U593="",OR(P593="",P593="LOSE"),T593&lt;&gt;"",N(S593)&lt;=0,ISNUMBER(MATCH(T593,Parameter!$I$27:$I$29,0))),1,0)</f>
        <v>0</v>
      </c>
      <c r="CC593" s="65" t="n">
        <f aca="false">IF(CR593&gt;0,INDEX(Parameter!$H$5:$H$7,W593)/INDEX(Parameter!$E$5:$E$7,W593),IF(AND(CA593=0,N(IFERROR(VLOOKUP(BY593,'Gebinde-Kategorie'!$A$5:$N$45,14,0),0))&gt;0),VLOOKUP(BY593,'Gebinde-Kategorie'!$A$5:$N$45,14,0)*10+Parameter!$M$23,Parameter!$M$24))</f>
        <v>245</v>
      </c>
      <c r="CD593" s="60" t="str">
        <f aca="false">IF(AND(Parameter!$B$19="Ja",E593&lt;&gt;"",ISNUMBER(MATCH(E593,Parameter!$I$35:$I$52,0))),VLOOKUP(E593,Parameter!$I$35:$J$52,2,0),IFERROR(VLOOKUP(D593,Parameter!$A$35:$C$64,2,0),"Nein"))</f>
        <v>2+3</v>
      </c>
      <c r="CE593" s="64" t="n">
        <f aca="false">IF(CA593=0,0,IF(N(S593)&gt;0,S593,IFERROR(VLOOKUP(D593,Parameter!$A$35:$C$64,3,0)+0,0)))</f>
        <v>0</v>
      </c>
      <c r="CF593" s="60" t="n">
        <f aca="false">IF(AB593&lt;&gt;"",AB593,AA593)</f>
        <v>3</v>
      </c>
      <c r="CG593" s="60" t="str">
        <f aca="false">IF(OR(CF593=1,CF593=2,CF593=3),IF(Parameter!$E$27="Ja","LIFT",IF(CF593=1,"L1","L23")),IF(CF593="Aussen","Aussen","-"))</f>
        <v>LIFT</v>
      </c>
      <c r="CH593" s="71" t="n">
        <f aca="false">IF(N(AC593)&gt;0,AC593,0)</f>
        <v>0</v>
      </c>
      <c r="CI593" s="65" t="n">
        <f aca="false">IF(ISNUMBER(AF593),1,0)</f>
        <v>0</v>
      </c>
      <c r="CJ593" s="62" t="n">
        <f aca="false">N(AF593)</f>
        <v>0</v>
      </c>
      <c r="CK593" s="62" t="n">
        <f aca="false">N(M593)+N(N593)</f>
        <v>1</v>
      </c>
      <c r="CL593" s="62" t="n">
        <f aca="false">N(M593)</f>
        <v>0</v>
      </c>
      <c r="CM593" s="62" t="n">
        <f aca="false">N(N593)</f>
        <v>1</v>
      </c>
      <c r="CN593" s="62" t="n">
        <f aca="false">ROUNDUP(H593/BZ593,0)</f>
        <v>1</v>
      </c>
      <c r="CO593" s="62" t="n">
        <f aca="false">ROUNDUP(CJ593/BZ593,0)</f>
        <v>0</v>
      </c>
      <c r="CP593" s="65" t="n">
        <f aca="false">IF(CA593=1,0,IFERROR(VLOOKUP(BY593,'Gebinde-Kategorie'!$A$5:$N$45,5,0)+0,0))</f>
        <v>21</v>
      </c>
      <c r="CQ593" s="65" t="n">
        <f aca="false">IFERROR(IF(OR(CF593=1,CF593=2,CF593=3),N(INDEX(Parameter!$I$5:$I$7,CF593)),0),0)</f>
        <v>0</v>
      </c>
      <c r="CR593" s="64" t="n">
        <f aca="false">IF(AND(Parameter!$B$21="Ja",ISNUMBER(W593),N(X593)&gt;0),IFERROR(N(INDEX(Parameter!$L$5:$L$7,W593))*INDEX(Parameter!$E$5:$E$7,W593)*X593/SUMIFS($X$7:$X$1843,$W$7:$W$1843,W593),0),0)</f>
        <v>0</v>
      </c>
      <c r="CS593" s="62" t="n">
        <f aca="false">IF(AND(OR(CG593="L1",CG593="L23",CG593="LIFT"),H593&gt;0),CC593*IF(CR593&gt;0,CR593*MAX(1,H593/X593),IF(CA593=1,CE593,IF(R593&gt;0,CN593/R593,0))/MAX(0.1,N(Parameter!$M$21))),"")</f>
        <v>9.42307692307692</v>
      </c>
      <c r="CT593" s="64" t="n">
        <f aca="false">IF(CS593="","",J593/H593)</f>
        <v>0</v>
      </c>
      <c r="CU593" s="62" t="n">
        <f aca="false">IF(CS593="","",H593*G593)</f>
        <v>327.18</v>
      </c>
      <c r="CV593" s="63" t="n">
        <f aca="false">IF(CS593="","",(CL593+ROUNDUP(CL593+MAX(CM593,2*(J593/MAX(0.1,N(Einkauf!$C$6))-CL593)),0))/2)</f>
        <v>0.5</v>
      </c>
      <c r="CW593" s="62" t="n">
        <f aca="false">IF(CS593="","",MAX(0,H593-CV593)*G593)</f>
        <v>326.565</v>
      </c>
      <c r="CX593" s="62" t="n">
        <f aca="false">IF(CS593="","",CS593*MAX(0,1-CV593/H593))</f>
        <v>9.40536437246964</v>
      </c>
      <c r="CY593" s="64" t="n">
        <f aca="false">IF(CS593="","",PERCENTRANK($CS$7:$CS$1843,CS593)+PERCENTRANK($CU$7:$CU$1843,CU593)+1-PERCENTRANK($CT$7:$CT$1843,CT593))</f>
        <v>2.015</v>
      </c>
      <c r="CZ593" s="72" t="n">
        <f aca="false">IF(CS593="","",CHOOSE(MATCH(Einkauf!$C$5,Parameter!$G$23:$G$27,0),CY593,CS593,CU593,-CT593,CW593)+ROW()/1000000000)</f>
        <v>2.015000593</v>
      </c>
    </row>
    <row r="594" customFormat="false" ht="15" hidden="false" customHeight="false" outlineLevel="0" collapsed="false">
      <c r="A594" s="60" t="s">
        <v>1277</v>
      </c>
      <c r="B594" s="60" t="s">
        <v>1278</v>
      </c>
      <c r="C594" s="60" t="s">
        <v>206</v>
      </c>
      <c r="D594" s="60" t="s">
        <v>226</v>
      </c>
      <c r="E594" s="60" t="s">
        <v>227</v>
      </c>
      <c r="F594" s="60" t="s">
        <v>260</v>
      </c>
      <c r="G594" s="61" t="n">
        <v>0.01</v>
      </c>
      <c r="H594" s="62" t="n">
        <f aca="false">MAX(0,IF(AND(Parameter!$B$21="Ja",ISNUMBER(Y594)),Y594,IF(Parameter!$B$20="Jahresanfang 2025 + Export",BS594+BR594,BR594)))</f>
        <v>1954</v>
      </c>
      <c r="I594" s="62" t="n">
        <f aca="false">H594*G594</f>
        <v>19.54</v>
      </c>
      <c r="J594" s="62" t="n">
        <f aca="false">BU594*Parameter!$B$18</f>
        <v>1359</v>
      </c>
      <c r="K594" s="63" t="n">
        <v>1235</v>
      </c>
      <c r="L594" s="64" t="n">
        <v>1.1004048582996</v>
      </c>
      <c r="M594" s="62" t="n">
        <v>79</v>
      </c>
      <c r="N594" s="62" t="n">
        <v>1000</v>
      </c>
      <c r="O594" s="65" t="n">
        <v>21</v>
      </c>
      <c r="P594" s="60" t="s">
        <v>463</v>
      </c>
      <c r="Q594" s="62" t="n">
        <v>326</v>
      </c>
      <c r="R594" s="65" t="n">
        <f aca="false">IF(CA594=1,0,IFERROR(VLOOKUP(BY594,'Gebinde-Kategorie'!$A$5:$N$45,13,0)+0,0))</f>
        <v>104</v>
      </c>
      <c r="S594" s="66"/>
      <c r="T594" s="67"/>
      <c r="U594" s="67"/>
      <c r="V594" s="67"/>
      <c r="W594" s="60"/>
      <c r="X594" s="62"/>
      <c r="Y594" s="62"/>
      <c r="Z594" s="60" t="n">
        <v>3</v>
      </c>
      <c r="AA594" s="60" t="n">
        <f aca="false">IF(A594="","",IF(AND(Parameter!$B$21="Ja",ISNUMBER(W594)),W594,IF(AND(Parameter!$E$27="Ja",ISNUMBER(Z594),CD594&lt;&gt;"Nein"),Z594,IF(CD594="2+3",IF(ISNUMBER(SEARCH("grosser Artikel",BV594)),2,IFERROR(VLOOKUP(BY594,Parameter!$F$35:$G$64,2,0),2)),IF(OR(CD594="Nein",CD594=""),"-",CD594)))))</f>
        <v>3</v>
      </c>
      <c r="AB594" s="67"/>
      <c r="AC594" s="68"/>
      <c r="AD594" s="62" t="n">
        <f aca="false">AW594</f>
        <v>1079</v>
      </c>
      <c r="AE594" s="62" t="n">
        <f aca="false">MAX(AW594,H594)</f>
        <v>1954</v>
      </c>
      <c r="AF594" s="69"/>
      <c r="AG594" s="62" t="n">
        <f aca="false">IF(LEFT(Cockpit!$C$5,1)="A",H594,IF(Parameter!$E$30="MAX-Bestand",IF(CI594=1,CJ594,IF(LEFT(Cockpit!$C$5,1)="B",AM594,MAX(AM594,H594))),ROUNDUP(AK594,0)))</f>
        <v>1954</v>
      </c>
      <c r="AH594" s="62" t="n">
        <f aca="false">IF(CA594=1,0,ROUNDUP(AG594/BZ594,0))</f>
        <v>6</v>
      </c>
      <c r="AI594" s="64" t="n">
        <f aca="false">IF(CR594&gt;0,CR594*MAX(1,AG594/X594),IF(CA594=1,IF(AG594&lt;=0,0,CE594*MAX(1,IF(H594&gt;0,AG594/H594,1))),IF(R594&gt;0,AH594/R594,0))/MAX(0.1,N(Parameter!$M$21)))</f>
        <v>0.0576923076923077</v>
      </c>
      <c r="AJ594" s="62" t="n">
        <f aca="false">AI594*CC594</f>
        <v>8.94230769230769</v>
      </c>
      <c r="AK594" s="63" t="n">
        <f aca="false">IF(LEFT(Cockpit!$C$5,1)="A",H594,IF(CI594=1,(CL594+CJ594)/2,IF(LEFT(Cockpit!$C$5,1)="B",(CL594+AM594)/2,MAX((CL594+AM594)/2,H594))))</f>
        <v>1954</v>
      </c>
      <c r="AL594" s="62" t="n">
        <f aca="false">AK594*G594</f>
        <v>19.54</v>
      </c>
      <c r="AM594" s="62" t="n">
        <f aca="false">ROUNDUP(CL594+MAX(CM594,2*(J594/IF(CH594&gt;0,CH594,MAX(0.1,N(Cockpit!$C$6)))-CL594)),0)</f>
        <v>1079</v>
      </c>
      <c r="AN594" s="63" t="n">
        <f aca="false">IF(AJ594&gt;0,J594/AJ594,-1)</f>
        <v>151.974193548387</v>
      </c>
      <c r="AO594" s="63" t="n">
        <f aca="false">IF(AND(OR(CG594="L1",CG594="L23",CG594="LIFT"),AJ594&gt;0),SUMIFS($AJ$7:$AJ$1843,$CG$7:$CG$1843,CG594,$AN$7:$AN$1843,"&gt;"&amp;AN594)+SUMIFS($AJ$7:$AJ$1843,$CG$7:$CG$1843,CG594,$AN$7:$AN$1843,AN594,$BX$7:$BX$1843,"&lt;="&amp;BX594),"")</f>
        <v>466.126831501832</v>
      </c>
      <c r="AP594" s="70" t="n">
        <f aca="false">IF(AO594="",0,MAX(0,MIN(1,(IF(CG594="L1",Parameter!$H$5,IF(CG594="L23",Parameter!$H$6+Parameter!$H$7,Parameter!$H$5+Parameter!$H$6+Parameter!$H$7))-(AO594-AJ594))/AJ594)))</f>
        <v>1</v>
      </c>
      <c r="AQ594" s="62" t="n">
        <f aca="false">IF(LEFT(Cockpit!$I$5,1)="A",H594,IF(Parameter!$E$30="MAX-Bestand",IF(CI594=1,CJ594,IF(LEFT(Cockpit!$I$5,1)="B",AW594,MAX(AW594,H594))),ROUNDUP(AU594,0)))</f>
        <v>1954</v>
      </c>
      <c r="AR594" s="62" t="n">
        <f aca="false">IF(CA594=1,0,ROUNDUP(AQ594/BZ594,0))</f>
        <v>6</v>
      </c>
      <c r="AS594" s="64" t="n">
        <f aca="false">IF(CR594&gt;0,CR594*MAX(1,AQ594/X594),IF(CA594=1,IF(AQ594&lt;=0,0,CE594*MAX(1,IF(H594&gt;0,AQ594/H594,1))),IF(R594&gt;0,AR594/R594,0))/MAX(0.1,N(Parameter!$M$21)))</f>
        <v>0.0576923076923077</v>
      </c>
      <c r="AT594" s="62" t="n">
        <f aca="false">AS594*CC594</f>
        <v>8.94230769230769</v>
      </c>
      <c r="AU594" s="63" t="n">
        <f aca="false">IF(LEFT(Cockpit!$I$5,1)="A",H594,IF(CI594=1,(CL594+CJ594)/2,IF(LEFT(Cockpit!$I$5,1)="B",(CL594+AW594)/2,MAX((CL594+AW594)/2,H594))))</f>
        <v>1954</v>
      </c>
      <c r="AV594" s="62" t="n">
        <f aca="false">AU594*G594</f>
        <v>19.54</v>
      </c>
      <c r="AW594" s="62" t="n">
        <f aca="false">ROUNDUP(CL594+MAX(CM594,2*(J594/IF(CH594&gt;0,CH594,MAX(0.1,N(Cockpit!$I$6)))-CL594)),0)</f>
        <v>1079</v>
      </c>
      <c r="AX594" s="63" t="n">
        <f aca="false">IF(AT594&gt;0,J594/AT594,-1)</f>
        <v>151.974193548387</v>
      </c>
      <c r="AY594" s="63" t="n">
        <f aca="false">IF(AND(OR(CG594="L1",CG594="L23",CG594="LIFT"),AT594&gt;0),SUMIFS($AT$7:$AT$1843,$CG$7:$CG$1843,CG594,$AX$7:$AX$1843,"&gt;"&amp;AX594)+SUMIFS($AT$7:$AT$1843,$CG$7:$CG$1843,CG594,$AX$7:$AX$1843,AX594,$BX$7:$BX$1843,"&lt;="&amp;BX594),"")</f>
        <v>583.763736263736</v>
      </c>
      <c r="AZ594" s="70" t="n">
        <f aca="false">IF(AY594="",0,MAX(0,MIN(1,(IF(CG594="L1",Parameter!$H$5,IF(CG594="L23",Parameter!$H$6+Parameter!$H$7,Parameter!$H$5+Parameter!$H$6+Parameter!$H$7))-(AY594-AT594))/AT594)))</f>
        <v>1</v>
      </c>
      <c r="BA594" s="62" t="n">
        <f aca="false">IF(LEFT(Cockpit!$O$5,1)="A",H594,IF(Parameter!$E$30="MAX-Bestand",IF(CI594=1,CJ594,IF(LEFT(Cockpit!$O$5,1)="B",BG594,MAX(BG594,H594))),ROUNDUP(BE594,0)))</f>
        <v>579</v>
      </c>
      <c r="BB594" s="62" t="n">
        <f aca="false">IF(CA594=1,0,ROUNDUP(BA594/BZ594,0))</f>
        <v>2</v>
      </c>
      <c r="BC594" s="64" t="n">
        <f aca="false">IF(CR594&gt;0,CR594*MAX(1,BA594/X594),IF(CA594=1,IF(BA594&lt;=0,0,CE594*MAX(1,IF(H594&gt;0,BA594/H594,1))),IF(R594&gt;0,BB594/R594,0))/MAX(0.1,N(Parameter!$M$21)))</f>
        <v>0.0192307692307692</v>
      </c>
      <c r="BD594" s="62" t="n">
        <f aca="false">BC594*CC594</f>
        <v>2.98076923076923</v>
      </c>
      <c r="BE594" s="63" t="n">
        <f aca="false">IF(LEFT(Cockpit!$O$5,1)="A",H594,IF(CI594=1,(CL594+CJ594)/2,IF(LEFT(Cockpit!$O$5,1)="B",(CL594+BG594)/2,MAX((CL594+BG594)/2,H594))))</f>
        <v>579</v>
      </c>
      <c r="BF594" s="62" t="n">
        <f aca="false">BE594*G594</f>
        <v>5.79</v>
      </c>
      <c r="BG594" s="62" t="n">
        <f aca="false">ROUNDUP(CL594+MAX(CM594,2*(J594/IF(CH594&gt;0,CH594,MAX(0.1,N(Cockpit!$O$6)))-CL594)),0)</f>
        <v>1079</v>
      </c>
      <c r="BH594" s="63" t="n">
        <f aca="false">IF(BD594&gt;0,J594/BD594,-1)</f>
        <v>455.922580645161</v>
      </c>
      <c r="BI594" s="63" t="n">
        <f aca="false">IF(AND(OR(CG594="L1",CG594="L23",CG594="LIFT"),BD594&gt;0),SUMIFS($BD$7:$BD$1843,$CG$7:$CG$1843,CG594,$BH$7:$BH$1843,"&gt;"&amp;BH594)+SUMIFS($BD$7:$BD$1843,$CG$7:$CG$1843,CG594,$BH$7:$BH$1843,BH594,$BX$7:$BX$1843,"&lt;="&amp;BX594),"")</f>
        <v>132.908882783883</v>
      </c>
      <c r="BJ594" s="70" t="n">
        <f aca="false">IF(BI594="",0,MAX(0,MIN(1,(IF(CG594="L1",Parameter!$H$5,IF(CG594="L23",Parameter!$H$6+Parameter!$H$7,Parameter!$H$5+Parameter!$H$6+Parameter!$H$7))-(BI594-BD594))/BD594)))</f>
        <v>1</v>
      </c>
      <c r="BK594" s="60" t="str">
        <f aca="false">IF(AJ594&lt;=0,"",IF(CG594="Aussen","Aussenlager",IF(CG594="-","Nicht im Lift",IF(AP594&gt;=1,"Lift",IF(AP594&lt;=0,"Aussenlager","teilweise")))))</f>
        <v>Lift</v>
      </c>
      <c r="BL594" s="60" t="str">
        <f aca="false">IF(AT594&lt;=0,"",IF(CG594="Aussen","Aussenlager",IF(CG594="-","Nicht im Lift",IF(AZ594&gt;=1,"Lift",IF(AZ594&lt;=0,"Aussenlager","teilweise")))))</f>
        <v>Lift</v>
      </c>
      <c r="BM594" s="60" t="str">
        <f aca="false">IF(BD594&lt;=0,"",IF(CG594="Aussen","Aussenlager",IF(CG594="-","Nicht im Lift",IF(BJ594&gt;=1,"Lift",IF(BJ594&lt;=0,"Aussenlager","teilweise")))))</f>
        <v>Lift</v>
      </c>
      <c r="BN594" s="60" t="str">
        <f aca="false">IF(A594="","",IF(BW594=1,"Neu; ","")&amp;IF(AND(BW594=0,BR594&lt;0),"negativer Bestand (Export "&amp;BR594&amp;"); ","")&amp;IF(J594&lt;=0,"Kein Verbrauch; ","")&amp;IF(CR594&gt;0,"Lift "&amp;W594&amp;" lt. Liftbericht (Fach "&amp;X594&amp;" Stk); ",IF(CB594=1,"Gebinde geschätzt ("&amp;T594&amp;"); ",IF(CA594=1,"Lose – Tablare geschätzt; ","")))&amp;IF(H594&gt;AW594,"Überbestand "&amp;ROUND(H594-AW594,0)&amp;" Stk / CHF "&amp;ROUND((H594-AW594)*G594,0)&amp;"; ","")&amp;IF(AND(CI594=1,CJ594&lt;CK594),"MAX &lt; MB+LG; ","")&amp;IF(AND(CQ594&gt;0,CP594*10&gt;CQ594),"zu hoch für Tablar; ","")&amp;IF(AND(BW594=0,OR(CI594=1,AB594&lt;&gt;"",U594&lt;&gt;"",V594&lt;&gt;"",AC594&lt;&gt;"")),"manuell übersteuert; ","")&amp;IF(AND(CA594=0,R594=0),"Gebinde unbekannt / Stellmass fehlt; ","")&amp;IF(AND(CA594=0,N(V594)&lt;=0,N(Q594)&lt;=0),"Menge pro Gebinde fehlt (Ist = 1 Gebinde); ","")&amp;BV594)</f>
        <v>Überbestand 875 Stk / CHF 9; </v>
      </c>
      <c r="BO594" s="60"/>
      <c r="BP594" s="60"/>
      <c r="BQ594" s="67"/>
      <c r="BR594" s="62" t="n">
        <v>738</v>
      </c>
      <c r="BS594" s="62" t="n">
        <v>1216</v>
      </c>
      <c r="BT594" s="61" t="n">
        <v>7.37999999999999</v>
      </c>
      <c r="BU594" s="62" t="n">
        <v>1359</v>
      </c>
      <c r="BV594" s="60"/>
      <c r="BW594" s="65" t="n">
        <v>0</v>
      </c>
      <c r="BX594" s="65" t="n">
        <v>594</v>
      </c>
      <c r="BY594" s="60" t="str">
        <f aca="false">IF(U594&lt;&gt;"",UPPER(TRIM(U594)),IF(CB594=1,UPPER(VLOOKUP(T594,Parameter!$I$27:$K$29,2,0)),IF(P594="","LOSE",P594)))</f>
        <v>S32</v>
      </c>
      <c r="BZ594" s="62" t="n">
        <f aca="false">IF(BY594="LOSE",1,IF(N(V594)&gt;0,V594,IF(CB594=1,MAX(1,N(VLOOKUP(T594,Parameter!$I$27:$K$29,3,0)),H594,N(N594)),IF(N(Q594)&gt;0,Q594,MAX(1,H594)))))</f>
        <v>326</v>
      </c>
      <c r="CA594" s="65" t="n">
        <f aca="false">IF(BY594="LOSE",1,0)</f>
        <v>0</v>
      </c>
      <c r="CB594" s="65" t="n">
        <f aca="false">IF(AND(U594="",OR(P594="",P594="LOSE"),T594&lt;&gt;"",N(S594)&lt;=0,ISNUMBER(MATCH(T594,Parameter!$I$27:$I$29,0))),1,0)</f>
        <v>0</v>
      </c>
      <c r="CC594" s="65" t="n">
        <f aca="false">IF(CR594&gt;0,INDEX(Parameter!$H$5:$H$7,W594)/INDEX(Parameter!$E$5:$E$7,W594),IF(AND(CA594=0,N(IFERROR(VLOOKUP(BY594,'Gebinde-Kategorie'!$A$5:$N$45,14,0),0))&gt;0),VLOOKUP(BY594,'Gebinde-Kategorie'!$A$5:$N$45,14,0)*10+Parameter!$M$23,Parameter!$M$24))</f>
        <v>155</v>
      </c>
      <c r="CD594" s="60" t="str">
        <f aca="false">IF(AND(Parameter!$B$19="Ja",E594&lt;&gt;"",ISNUMBER(MATCH(E594,Parameter!$I$35:$I$52,0))),VLOOKUP(E594,Parameter!$I$35:$J$52,2,0),IFERROR(VLOOKUP(D594,Parameter!$A$35:$C$64,2,0),"Nein"))</f>
        <v>2+3</v>
      </c>
      <c r="CE594" s="64" t="n">
        <f aca="false">IF(CA594=0,0,IF(N(S594)&gt;0,S594,IFERROR(VLOOKUP(D594,Parameter!$A$35:$C$64,3,0)+0,0)))</f>
        <v>0</v>
      </c>
      <c r="CF594" s="60" t="n">
        <f aca="false">IF(AB594&lt;&gt;"",AB594,AA594)</f>
        <v>3</v>
      </c>
      <c r="CG594" s="60" t="str">
        <f aca="false">IF(OR(CF594=1,CF594=2,CF594=3),IF(Parameter!$E$27="Ja","LIFT",IF(CF594=1,"L1","L23")),IF(CF594="Aussen","Aussen","-"))</f>
        <v>LIFT</v>
      </c>
      <c r="CH594" s="71" t="n">
        <f aca="false">IF(N(AC594)&gt;0,AC594,0)</f>
        <v>0</v>
      </c>
      <c r="CI594" s="65" t="n">
        <f aca="false">IF(ISNUMBER(AF594),1,0)</f>
        <v>0</v>
      </c>
      <c r="CJ594" s="62" t="n">
        <f aca="false">N(AF594)</f>
        <v>0</v>
      </c>
      <c r="CK594" s="62" t="n">
        <f aca="false">N(M594)+N(N594)</f>
        <v>1079</v>
      </c>
      <c r="CL594" s="62" t="n">
        <f aca="false">N(M594)</f>
        <v>79</v>
      </c>
      <c r="CM594" s="62" t="n">
        <f aca="false">N(N594)</f>
        <v>1000</v>
      </c>
      <c r="CN594" s="62" t="n">
        <f aca="false">ROUNDUP(H594/BZ594,0)</f>
        <v>6</v>
      </c>
      <c r="CO594" s="62" t="n">
        <f aca="false">ROUNDUP(CJ594/BZ594,0)</f>
        <v>0</v>
      </c>
      <c r="CP594" s="65" t="n">
        <f aca="false">IF(CA594=1,0,IFERROR(VLOOKUP(BY594,'Gebinde-Kategorie'!$A$5:$N$45,5,0)+0,0))</f>
        <v>8</v>
      </c>
      <c r="CQ594" s="65" t="n">
        <f aca="false">IFERROR(IF(OR(CF594=1,CF594=2,CF594=3),N(INDEX(Parameter!$I$5:$I$7,CF594)),0),0)</f>
        <v>0</v>
      </c>
      <c r="CR594" s="64" t="n">
        <f aca="false">IF(AND(Parameter!$B$21="Ja",ISNUMBER(W594),N(X594)&gt;0),IFERROR(N(INDEX(Parameter!$L$5:$L$7,W594))*INDEX(Parameter!$E$5:$E$7,W594)*X594/SUMIFS($X$7:$X$1843,$W$7:$W$1843,W594),0),0)</f>
        <v>0</v>
      </c>
      <c r="CS594" s="62" t="n">
        <f aca="false">IF(AND(OR(CG594="L1",CG594="L23",CG594="LIFT"),H594&gt;0),CC594*IF(CR594&gt;0,CR594*MAX(1,H594/X594),IF(CA594=1,CE594,IF(R594&gt;0,CN594/R594,0))/MAX(0.1,N(Parameter!$M$21))),"")</f>
        <v>8.94230769230769</v>
      </c>
      <c r="CT594" s="64" t="n">
        <f aca="false">IF(CS594="","",J594/H594)</f>
        <v>0.695496417604913</v>
      </c>
      <c r="CU594" s="62" t="n">
        <f aca="false">IF(CS594="","",H594*G594)</f>
        <v>19.54</v>
      </c>
      <c r="CV594" s="63" t="n">
        <f aca="false">IF(CS594="","",(CL594+ROUNDUP(CL594+MAX(CM594,2*(J594/MAX(0.1,N(Einkauf!$C$6))-CL594)),0))/2)</f>
        <v>579</v>
      </c>
      <c r="CW594" s="62" t="n">
        <f aca="false">IF(CS594="","",MAX(0,H594-CV594)*G594)</f>
        <v>13.75</v>
      </c>
      <c r="CX594" s="62" t="n">
        <f aca="false">IF(CS594="","",CS594*MAX(0,1-CV594/H594))</f>
        <v>6.29256554602</v>
      </c>
      <c r="CY594" s="64" t="n">
        <f aca="false">IF(CS594="","",PERCENTRANK($CS$7:$CS$1843,CS594)+PERCENTRANK($CU$7:$CU$1843,CU594)+1-PERCENTRANK($CT$7:$CT$1843,CT594))</f>
        <v>1.0508</v>
      </c>
      <c r="CZ594" s="72" t="n">
        <f aca="false">IF(CS594="","",CHOOSE(MATCH(Einkauf!$C$5,Parameter!$G$23:$G$27,0),CY594,CS594,CU594,-CT594,CW594)+ROW()/1000000000)</f>
        <v>1.050800594</v>
      </c>
    </row>
    <row r="595" customFormat="false" ht="15" hidden="false" customHeight="false" outlineLevel="0" collapsed="false">
      <c r="A595" s="60" t="s">
        <v>1279</v>
      </c>
      <c r="B595" s="60" t="s">
        <v>1280</v>
      </c>
      <c r="C595" s="60" t="s">
        <v>206</v>
      </c>
      <c r="D595" s="60" t="s">
        <v>226</v>
      </c>
      <c r="E595" s="60" t="s">
        <v>227</v>
      </c>
      <c r="F595" s="60" t="s">
        <v>260</v>
      </c>
      <c r="G595" s="61" t="n">
        <v>0.17</v>
      </c>
      <c r="H595" s="62" t="n">
        <f aca="false">MAX(0,IF(AND(Parameter!$B$21="Ja",ISNUMBER(Y595)),Y595,IF(Parameter!$B$20="Jahresanfang 2025 + Export",BS595+BR595,BR595)))</f>
        <v>711</v>
      </c>
      <c r="I595" s="62" t="n">
        <f aca="false">H595*G595</f>
        <v>120.87</v>
      </c>
      <c r="J595" s="62" t="n">
        <f aca="false">BU595*Parameter!$B$18</f>
        <v>1680</v>
      </c>
      <c r="K595" s="63" t="n">
        <v>832</v>
      </c>
      <c r="L595" s="64" t="n">
        <v>2.01923076923077</v>
      </c>
      <c r="M595" s="62" t="n">
        <v>65</v>
      </c>
      <c r="N595" s="62" t="n">
        <v>2000</v>
      </c>
      <c r="O595" s="65" t="n">
        <v>14</v>
      </c>
      <c r="P595" s="60" t="s">
        <v>344</v>
      </c>
      <c r="Q595" s="62" t="n">
        <v>2303</v>
      </c>
      <c r="R595" s="65" t="n">
        <f aca="false">IF(CA595=1,0,IFERROR(VLOOKUP(BY595,'Gebinde-Kategorie'!$A$5:$N$45,13,0)+0,0))</f>
        <v>26</v>
      </c>
      <c r="S595" s="66"/>
      <c r="T595" s="67"/>
      <c r="U595" s="67"/>
      <c r="V595" s="67"/>
      <c r="W595" s="60"/>
      <c r="X595" s="62"/>
      <c r="Y595" s="62"/>
      <c r="Z595" s="60" t="n">
        <v>3</v>
      </c>
      <c r="AA595" s="60" t="n">
        <f aca="false">IF(A595="","",IF(AND(Parameter!$B$21="Ja",ISNUMBER(W595)),W595,IF(AND(Parameter!$E$27="Ja",ISNUMBER(Z595),CD595&lt;&gt;"Nein"),Z595,IF(CD595="2+3",IF(ISNUMBER(SEARCH("grosser Artikel",BV595)),2,IFERROR(VLOOKUP(BY595,Parameter!$F$35:$G$64,2,0),2)),IF(OR(CD595="Nein",CD595=""),"-",CD595)))))</f>
        <v>3</v>
      </c>
      <c r="AB595" s="67"/>
      <c r="AC595" s="68"/>
      <c r="AD595" s="62" t="n">
        <f aca="false">AW595</f>
        <v>2065</v>
      </c>
      <c r="AE595" s="62" t="n">
        <f aca="false">MAX(AW595,H595)</f>
        <v>2065</v>
      </c>
      <c r="AF595" s="69"/>
      <c r="AG595" s="62" t="n">
        <f aca="false">IF(LEFT(Cockpit!$C$5,1)="A",H595,IF(Parameter!$E$30="MAX-Bestand",IF(CI595=1,CJ595,IF(LEFT(Cockpit!$C$5,1)="B",AM595,MAX(AM595,H595))),ROUNDUP(AK595,0)))</f>
        <v>711</v>
      </c>
      <c r="AH595" s="62" t="n">
        <f aca="false">IF(CA595=1,0,ROUNDUP(AG595/BZ595,0))</f>
        <v>1</v>
      </c>
      <c r="AI595" s="64" t="n">
        <f aca="false">IF(CR595&gt;0,CR595*MAX(1,AG595/X595),IF(CA595=1,IF(AG595&lt;=0,0,CE595*MAX(1,IF(H595&gt;0,AG595/H595,1))),IF(R595&gt;0,AH595/R595,0))/MAX(0.1,N(Parameter!$M$21)))</f>
        <v>0.0384615384615385</v>
      </c>
      <c r="AJ595" s="62" t="n">
        <f aca="false">AI595*CC595</f>
        <v>5.96153846153846</v>
      </c>
      <c r="AK595" s="63" t="n">
        <f aca="false">IF(LEFT(Cockpit!$C$5,1)="A",H595,IF(CI595=1,(CL595+CJ595)/2,IF(LEFT(Cockpit!$C$5,1)="B",(CL595+AM595)/2,MAX((CL595+AM595)/2,H595))))</f>
        <v>711</v>
      </c>
      <c r="AL595" s="62" t="n">
        <f aca="false">AK595*G595</f>
        <v>120.87</v>
      </c>
      <c r="AM595" s="62" t="n">
        <f aca="false">ROUNDUP(CL595+MAX(CM595,2*(J595/IF(CH595&gt;0,CH595,MAX(0.1,N(Cockpit!$C$6)))-CL595)),0)</f>
        <v>2065</v>
      </c>
      <c r="AN595" s="63" t="n">
        <f aca="false">IF(AJ595&gt;0,J595/AJ595,-1)</f>
        <v>281.806451612903</v>
      </c>
      <c r="AO595" s="63" t="n">
        <f aca="false">IF(AND(OR(CG595="L1",CG595="L23",CG595="LIFT"),AJ595&gt;0),SUMIFS($AJ$7:$AJ$1843,$CG$7:$CG$1843,CG595,$AN$7:$AN$1843,"&gt;"&amp;AN595)+SUMIFS($AJ$7:$AJ$1843,$CG$7:$CG$1843,CG595,$AN$7:$AN$1843,AN595,$BX$7:$BX$1843,"&lt;="&amp;BX595),"")</f>
        <v>270.356227106227</v>
      </c>
      <c r="AP595" s="70" t="n">
        <f aca="false">IF(AO595="",0,MAX(0,MIN(1,(IF(CG595="L1",Parameter!$H$5,IF(CG595="L23",Parameter!$H$6+Parameter!$H$7,Parameter!$H$5+Parameter!$H$6+Parameter!$H$7))-(AO595-AJ595))/AJ595)))</f>
        <v>1</v>
      </c>
      <c r="AQ595" s="62" t="n">
        <f aca="false">IF(LEFT(Cockpit!$I$5,1)="A",H595,IF(Parameter!$E$30="MAX-Bestand",IF(CI595=1,CJ595,IF(LEFT(Cockpit!$I$5,1)="B",AW595,MAX(AW595,H595))),ROUNDUP(AU595,0)))</f>
        <v>1065</v>
      </c>
      <c r="AR595" s="62" t="n">
        <f aca="false">IF(CA595=1,0,ROUNDUP(AQ595/BZ595,0))</f>
        <v>1</v>
      </c>
      <c r="AS595" s="64" t="n">
        <f aca="false">IF(CR595&gt;0,CR595*MAX(1,AQ595/X595),IF(CA595=1,IF(AQ595&lt;=0,0,CE595*MAX(1,IF(H595&gt;0,AQ595/H595,1))),IF(R595&gt;0,AR595/R595,0))/MAX(0.1,N(Parameter!$M$21)))</f>
        <v>0.0384615384615385</v>
      </c>
      <c r="AT595" s="62" t="n">
        <f aca="false">AS595*CC595</f>
        <v>5.96153846153846</v>
      </c>
      <c r="AU595" s="63" t="n">
        <f aca="false">IF(LEFT(Cockpit!$I$5,1)="A",H595,IF(CI595=1,(CL595+CJ595)/2,IF(LEFT(Cockpit!$I$5,1)="B",(CL595+AW595)/2,MAX((CL595+AW595)/2,H595))))</f>
        <v>1065</v>
      </c>
      <c r="AV595" s="62" t="n">
        <f aca="false">AU595*G595</f>
        <v>181.05</v>
      </c>
      <c r="AW595" s="62" t="n">
        <f aca="false">ROUNDUP(CL595+MAX(CM595,2*(J595/IF(CH595&gt;0,CH595,MAX(0.1,N(Cockpit!$I$6)))-CL595)),0)</f>
        <v>2065</v>
      </c>
      <c r="AX595" s="63" t="n">
        <f aca="false">IF(AT595&gt;0,J595/AT595,-1)</f>
        <v>281.806451612903</v>
      </c>
      <c r="AY595" s="63" t="n">
        <f aca="false">IF(AND(OR(CG595="L1",CG595="L23",CG595="LIFT"),AT595&gt;0),SUMIFS($AT$7:$AT$1843,$CG$7:$CG$1843,CG595,$AX$7:$AX$1843,"&gt;"&amp;AX595)+SUMIFS($AT$7:$AT$1843,$CG$7:$CG$1843,CG595,$AX$7:$AX$1843,AX595,$BX$7:$BX$1843,"&lt;="&amp;BX595),"")</f>
        <v>223.418498168498</v>
      </c>
      <c r="AZ595" s="70" t="n">
        <f aca="false">IF(AY595="",0,MAX(0,MIN(1,(IF(CG595="L1",Parameter!$H$5,IF(CG595="L23",Parameter!$H$6+Parameter!$H$7,Parameter!$H$5+Parameter!$H$6+Parameter!$H$7))-(AY595-AT595))/AT595)))</f>
        <v>1</v>
      </c>
      <c r="BA595" s="62" t="n">
        <f aca="false">IF(LEFT(Cockpit!$O$5,1)="A",H595,IF(Parameter!$E$30="MAX-Bestand",IF(CI595=1,CJ595,IF(LEFT(Cockpit!$O$5,1)="B",BG595,MAX(BG595,H595))),ROUNDUP(BE595,0)))</f>
        <v>1065</v>
      </c>
      <c r="BB595" s="62" t="n">
        <f aca="false">IF(CA595=1,0,ROUNDUP(BA595/BZ595,0))</f>
        <v>1</v>
      </c>
      <c r="BC595" s="64" t="n">
        <f aca="false">IF(CR595&gt;0,CR595*MAX(1,BA595/X595),IF(CA595=1,IF(BA595&lt;=0,0,CE595*MAX(1,IF(H595&gt;0,BA595/H595,1))),IF(R595&gt;0,BB595/R595,0))/MAX(0.1,N(Parameter!$M$21)))</f>
        <v>0.0384615384615385</v>
      </c>
      <c r="BD595" s="62" t="n">
        <f aca="false">BC595*CC595</f>
        <v>5.96153846153846</v>
      </c>
      <c r="BE595" s="63" t="n">
        <f aca="false">IF(LEFT(Cockpit!$O$5,1)="A",H595,IF(CI595=1,(CL595+CJ595)/2,IF(LEFT(Cockpit!$O$5,1)="B",(CL595+BG595)/2,MAX((CL595+BG595)/2,H595))))</f>
        <v>1065</v>
      </c>
      <c r="BF595" s="62" t="n">
        <f aca="false">BE595*G595</f>
        <v>181.05</v>
      </c>
      <c r="BG595" s="62" t="n">
        <f aca="false">ROUNDUP(CL595+MAX(CM595,2*(J595/IF(CH595&gt;0,CH595,MAX(0.1,N(Cockpit!$O$6)))-CL595)),0)</f>
        <v>2065</v>
      </c>
      <c r="BH595" s="63" t="n">
        <f aca="false">IF(BD595&gt;0,J595/BD595,-1)</f>
        <v>281.806451612903</v>
      </c>
      <c r="BI595" s="63" t="n">
        <f aca="false">IF(AND(OR(CG595="L1",CG595="L23",CG595="LIFT"),BD595&gt;0),SUMIFS($BD$7:$BD$1843,$CG$7:$CG$1843,CG595,$BH$7:$BH$1843,"&gt;"&amp;BH595)+SUMIFS($BD$7:$BD$1843,$CG$7:$CG$1843,CG595,$BH$7:$BH$1843,BH595,$BX$7:$BX$1843,"&lt;="&amp;BX595),"")</f>
        <v>261.755952380952</v>
      </c>
      <c r="BJ595" s="70" t="n">
        <f aca="false">IF(BI595="",0,MAX(0,MIN(1,(IF(CG595="L1",Parameter!$H$5,IF(CG595="L23",Parameter!$H$6+Parameter!$H$7,Parameter!$H$5+Parameter!$H$6+Parameter!$H$7))-(BI595-BD595))/BD595)))</f>
        <v>1</v>
      </c>
      <c r="BK595" s="60" t="str">
        <f aca="false">IF(AJ595&lt;=0,"",IF(CG595="Aussen","Aussenlager",IF(CG595="-","Nicht im Lift",IF(AP595&gt;=1,"Lift",IF(AP595&lt;=0,"Aussenlager","teilweise")))))</f>
        <v>Lift</v>
      </c>
      <c r="BL595" s="60" t="str">
        <f aca="false">IF(AT595&lt;=0,"",IF(CG595="Aussen","Aussenlager",IF(CG595="-","Nicht im Lift",IF(AZ595&gt;=1,"Lift",IF(AZ595&lt;=0,"Aussenlager","teilweise")))))</f>
        <v>Lift</v>
      </c>
      <c r="BM595" s="60" t="str">
        <f aca="false">IF(BD595&lt;=0,"",IF(CG595="Aussen","Aussenlager",IF(CG595="-","Nicht im Lift",IF(BJ595&gt;=1,"Lift",IF(BJ595&lt;=0,"Aussenlager","teilweise")))))</f>
        <v>Lift</v>
      </c>
      <c r="BN595" s="60" t="str">
        <f aca="false">IF(A595="","",IF(BW595=1,"Neu; ","")&amp;IF(AND(BW595=0,BR595&lt;0),"negativer Bestand (Export "&amp;BR595&amp;"); ","")&amp;IF(J595&lt;=0,"Kein Verbrauch; ","")&amp;IF(CR595&gt;0,"Lift "&amp;W595&amp;" lt. Liftbericht (Fach "&amp;X595&amp;" Stk); ",IF(CB595=1,"Gebinde geschätzt ("&amp;T595&amp;"); ",IF(CA595=1,"Lose – Tablare geschätzt; ","")))&amp;IF(H595&gt;AW595,"Überbestand "&amp;ROUND(H595-AW595,0)&amp;" Stk / CHF "&amp;ROUND((H595-AW595)*G595,0)&amp;"; ","")&amp;IF(AND(CI595=1,CJ595&lt;CK595),"MAX &lt; MB+LG; ","")&amp;IF(AND(CQ595&gt;0,CP595*10&gt;CQ595),"zu hoch für Tablar; ","")&amp;IF(AND(BW595=0,OR(CI595=1,AB595&lt;&gt;"",U595&lt;&gt;"",V595&lt;&gt;"",AC595&lt;&gt;"")),"manuell übersteuert; ","")&amp;IF(AND(CA595=0,R595=0),"Gebinde unbekannt / Stellmass fehlt; ","")&amp;IF(AND(CA595=0,N(V595)&lt;=0,N(Q595)&lt;=0),"Menge pro Gebinde fehlt (Ist = 1 Gebinde); ","")&amp;BV595)</f>
        <v/>
      </c>
      <c r="BO595" s="60"/>
      <c r="BP595" s="60"/>
      <c r="BQ595" s="67"/>
      <c r="BR595" s="62" t="n">
        <v>42</v>
      </c>
      <c r="BS595" s="62" t="n">
        <v>669</v>
      </c>
      <c r="BT595" s="61" t="n">
        <v>7.14</v>
      </c>
      <c r="BU595" s="62" t="n">
        <v>1680</v>
      </c>
      <c r="BV595" s="60"/>
      <c r="BW595" s="65" t="n">
        <v>0</v>
      </c>
      <c r="BX595" s="65" t="n">
        <v>595</v>
      </c>
      <c r="BY595" s="60" t="str">
        <f aca="false">IF(U595&lt;&gt;"",UPPER(TRIM(U595)),IF(CB595=1,UPPER(VLOOKUP(T595,Parameter!$I$27:$K$29,2,0)),IF(P595="","LOSE",P595)))</f>
        <v>S51</v>
      </c>
      <c r="BZ595" s="62" t="n">
        <f aca="false">IF(BY595="LOSE",1,IF(N(V595)&gt;0,V595,IF(CB595=1,MAX(1,N(VLOOKUP(T595,Parameter!$I$27:$K$29,3,0)),H595,N(N595)),IF(N(Q595)&gt;0,Q595,MAX(1,H595)))))</f>
        <v>2303</v>
      </c>
      <c r="CA595" s="65" t="n">
        <f aca="false">IF(BY595="LOSE",1,0)</f>
        <v>0</v>
      </c>
      <c r="CB595" s="65" t="n">
        <f aca="false">IF(AND(U595="",OR(P595="",P595="LOSE"),T595&lt;&gt;"",N(S595)&lt;=0,ISNUMBER(MATCH(T595,Parameter!$I$27:$I$29,0))),1,0)</f>
        <v>0</v>
      </c>
      <c r="CC595" s="65" t="n">
        <f aca="false">IF(CR595&gt;0,INDEX(Parameter!$H$5:$H$7,W595)/INDEX(Parameter!$E$5:$E$7,W595),IF(AND(CA595=0,N(IFERROR(VLOOKUP(BY595,'Gebinde-Kategorie'!$A$5:$N$45,14,0),0))&gt;0),VLOOKUP(BY595,'Gebinde-Kategorie'!$A$5:$N$45,14,0)*10+Parameter!$M$23,Parameter!$M$24))</f>
        <v>155</v>
      </c>
      <c r="CD595" s="60" t="str">
        <f aca="false">IF(AND(Parameter!$B$19="Ja",E595&lt;&gt;"",ISNUMBER(MATCH(E595,Parameter!$I$35:$I$52,0))),VLOOKUP(E595,Parameter!$I$35:$J$52,2,0),IFERROR(VLOOKUP(D595,Parameter!$A$35:$C$64,2,0),"Nein"))</f>
        <v>2+3</v>
      </c>
      <c r="CE595" s="64" t="n">
        <f aca="false">IF(CA595=0,0,IF(N(S595)&gt;0,S595,IFERROR(VLOOKUP(D595,Parameter!$A$35:$C$64,3,0)+0,0)))</f>
        <v>0</v>
      </c>
      <c r="CF595" s="60" t="n">
        <f aca="false">IF(AB595&lt;&gt;"",AB595,AA595)</f>
        <v>3</v>
      </c>
      <c r="CG595" s="60" t="str">
        <f aca="false">IF(OR(CF595=1,CF595=2,CF595=3),IF(Parameter!$E$27="Ja","LIFT",IF(CF595=1,"L1","L23")),IF(CF595="Aussen","Aussen","-"))</f>
        <v>LIFT</v>
      </c>
      <c r="CH595" s="71" t="n">
        <f aca="false">IF(N(AC595)&gt;0,AC595,0)</f>
        <v>0</v>
      </c>
      <c r="CI595" s="65" t="n">
        <f aca="false">IF(ISNUMBER(AF595),1,0)</f>
        <v>0</v>
      </c>
      <c r="CJ595" s="62" t="n">
        <f aca="false">N(AF595)</f>
        <v>0</v>
      </c>
      <c r="CK595" s="62" t="n">
        <f aca="false">N(M595)+N(N595)</f>
        <v>2065</v>
      </c>
      <c r="CL595" s="62" t="n">
        <f aca="false">N(M595)</f>
        <v>65</v>
      </c>
      <c r="CM595" s="62" t="n">
        <f aca="false">N(N595)</f>
        <v>2000</v>
      </c>
      <c r="CN595" s="62" t="n">
        <f aca="false">ROUNDUP(H595/BZ595,0)</f>
        <v>1</v>
      </c>
      <c r="CO595" s="62" t="n">
        <f aca="false">ROUNDUP(CJ595/BZ595,0)</f>
        <v>0</v>
      </c>
      <c r="CP595" s="65" t="n">
        <f aca="false">IF(CA595=1,0,IFERROR(VLOOKUP(BY595,'Gebinde-Kategorie'!$A$5:$N$45,5,0)+0,0))</f>
        <v>11</v>
      </c>
      <c r="CQ595" s="65" t="n">
        <f aca="false">IFERROR(IF(OR(CF595=1,CF595=2,CF595=3),N(INDEX(Parameter!$I$5:$I$7,CF595)),0),0)</f>
        <v>0</v>
      </c>
      <c r="CR595" s="64" t="n">
        <f aca="false">IF(AND(Parameter!$B$21="Ja",ISNUMBER(W595),N(X595)&gt;0),IFERROR(N(INDEX(Parameter!$L$5:$L$7,W595))*INDEX(Parameter!$E$5:$E$7,W595)*X595/SUMIFS($X$7:$X$1843,$W$7:$W$1843,W595),0),0)</f>
        <v>0</v>
      </c>
      <c r="CS595" s="62" t="n">
        <f aca="false">IF(AND(OR(CG595="L1",CG595="L23",CG595="LIFT"),H595&gt;0),CC595*IF(CR595&gt;0,CR595*MAX(1,H595/X595),IF(CA595=1,CE595,IF(R595&gt;0,CN595/R595,0))/MAX(0.1,N(Parameter!$M$21))),"")</f>
        <v>5.96153846153846</v>
      </c>
      <c r="CT595" s="64" t="n">
        <f aca="false">IF(CS595="","",J595/H595)</f>
        <v>2.36286919831224</v>
      </c>
      <c r="CU595" s="62" t="n">
        <f aca="false">IF(CS595="","",H595*G595)</f>
        <v>120.87</v>
      </c>
      <c r="CV595" s="63" t="n">
        <f aca="false">IF(CS595="","",(CL595+ROUNDUP(CL595+MAX(CM595,2*(J595/MAX(0.1,N(Einkauf!$C$6))-CL595)),0))/2)</f>
        <v>1065</v>
      </c>
      <c r="CW595" s="62" t="n">
        <f aca="false">IF(CS595="","",MAX(0,H595-CV595)*G595)</f>
        <v>0</v>
      </c>
      <c r="CX595" s="62" t="n">
        <f aca="false">IF(CS595="","",CS595*MAX(0,1-CV595/H595))</f>
        <v>0</v>
      </c>
      <c r="CY595" s="64" t="n">
        <f aca="false">IF(CS595="","",PERCENTRANK($CS$7:$CS$1843,CS595)+PERCENTRANK($CU$7:$CU$1843,CU595)+1-PERCENTRANK($CT$7:$CT$1843,CT595))</f>
        <v>0.772</v>
      </c>
      <c r="CZ595" s="72" t="n">
        <f aca="false">IF(CS595="","",CHOOSE(MATCH(Einkauf!$C$5,Parameter!$G$23:$G$27,0),CY595,CS595,CU595,-CT595,CW595)+ROW()/1000000000)</f>
        <v>0.772000595</v>
      </c>
    </row>
    <row r="596" customFormat="false" ht="15" hidden="false" customHeight="false" outlineLevel="0" collapsed="false">
      <c r="A596" s="60" t="s">
        <v>1281</v>
      </c>
      <c r="B596" s="60" t="s">
        <v>416</v>
      </c>
      <c r="C596" s="60" t="s">
        <v>206</v>
      </c>
      <c r="D596" s="60" t="s">
        <v>226</v>
      </c>
      <c r="E596" s="60" t="s">
        <v>227</v>
      </c>
      <c r="F596" s="60" t="s">
        <v>260</v>
      </c>
      <c r="G596" s="61" t="n">
        <v>0.15</v>
      </c>
      <c r="H596" s="62" t="n">
        <f aca="false">MAX(0,IF(AND(Parameter!$B$21="Ja",ISNUMBER(Y596)),Y596,IF(Parameter!$B$20="Jahresanfang 2025 + Export",BS596+BR596,BR596)))</f>
        <v>446</v>
      </c>
      <c r="I596" s="62" t="n">
        <f aca="false">H596*G596</f>
        <v>66.9</v>
      </c>
      <c r="J596" s="62" t="n">
        <f aca="false">BU596*Parameter!$B$18</f>
        <v>0</v>
      </c>
      <c r="K596" s="63" t="n">
        <v>423</v>
      </c>
      <c r="L596" s="64" t="n">
        <v>0</v>
      </c>
      <c r="M596" s="62" t="n">
        <v>0</v>
      </c>
      <c r="N596" s="62" t="n">
        <v>1</v>
      </c>
      <c r="O596" s="65" t="n">
        <v>21</v>
      </c>
      <c r="P596" s="60" t="s">
        <v>463</v>
      </c>
      <c r="Q596" s="62" t="n">
        <v>406</v>
      </c>
      <c r="R596" s="65" t="n">
        <f aca="false">IF(CA596=1,0,IFERROR(VLOOKUP(BY596,'Gebinde-Kategorie'!$A$5:$N$45,13,0)+0,0))</f>
        <v>104</v>
      </c>
      <c r="S596" s="66"/>
      <c r="T596" s="67"/>
      <c r="U596" s="67"/>
      <c r="V596" s="67"/>
      <c r="W596" s="60"/>
      <c r="X596" s="62"/>
      <c r="Y596" s="62"/>
      <c r="Z596" s="60" t="n">
        <v>3</v>
      </c>
      <c r="AA596" s="60" t="n">
        <f aca="false">IF(A596="","",IF(AND(Parameter!$B$21="Ja",ISNUMBER(W596)),W596,IF(AND(Parameter!$E$27="Ja",ISNUMBER(Z596),CD596&lt;&gt;"Nein"),Z596,IF(CD596="2+3",IF(ISNUMBER(SEARCH("grosser Artikel",BV596)),2,IFERROR(VLOOKUP(BY596,Parameter!$F$35:$G$64,2,0),2)),IF(OR(CD596="Nein",CD596=""),"-",CD596)))))</f>
        <v>3</v>
      </c>
      <c r="AB596" s="67"/>
      <c r="AC596" s="68"/>
      <c r="AD596" s="62" t="n">
        <f aca="false">AW596</f>
        <v>1</v>
      </c>
      <c r="AE596" s="62" t="n">
        <f aca="false">MAX(AW596,H596)</f>
        <v>446</v>
      </c>
      <c r="AF596" s="69"/>
      <c r="AG596" s="62" t="n">
        <f aca="false">IF(LEFT(Cockpit!$C$5,1)="A",H596,IF(Parameter!$E$30="MAX-Bestand",IF(CI596=1,CJ596,IF(LEFT(Cockpit!$C$5,1)="B",AM596,MAX(AM596,H596))),ROUNDUP(AK596,0)))</f>
        <v>446</v>
      </c>
      <c r="AH596" s="62" t="n">
        <f aca="false">IF(CA596=1,0,ROUNDUP(AG596/BZ596,0))</f>
        <v>2</v>
      </c>
      <c r="AI596" s="64" t="n">
        <f aca="false">IF(CR596&gt;0,CR596*MAX(1,AG596/X596),IF(CA596=1,IF(AG596&lt;=0,0,CE596*MAX(1,IF(H596&gt;0,AG596/H596,1))),IF(R596&gt;0,AH596/R596,0))/MAX(0.1,N(Parameter!$M$21)))</f>
        <v>0.0192307692307692</v>
      </c>
      <c r="AJ596" s="62" t="n">
        <f aca="false">AI596*CC596</f>
        <v>2.98076923076923</v>
      </c>
      <c r="AK596" s="63" t="n">
        <f aca="false">IF(LEFT(Cockpit!$C$5,1)="A",H596,IF(CI596=1,(CL596+CJ596)/2,IF(LEFT(Cockpit!$C$5,1)="B",(CL596+AM596)/2,MAX((CL596+AM596)/2,H596))))</f>
        <v>446</v>
      </c>
      <c r="AL596" s="62" t="n">
        <f aca="false">AK596*G596</f>
        <v>66.9</v>
      </c>
      <c r="AM596" s="62" t="n">
        <f aca="false">ROUNDUP(CL596+MAX(CM596,2*(J596/IF(CH596&gt;0,CH596,MAX(0.1,N(Cockpit!$C$6)))-CL596)),0)</f>
        <v>1</v>
      </c>
      <c r="AN596" s="63" t="n">
        <f aca="false">IF(AJ596&gt;0,J596/AJ596,-1)</f>
        <v>0</v>
      </c>
      <c r="AO596" s="63" t="n">
        <f aca="false">IF(AND(OR(CG596="L1",CG596="L23",CG596="LIFT"),AJ596&gt;0),SUMIFS($AJ$7:$AJ$1843,$CG$7:$CG$1843,CG596,$AN$7:$AN$1843,"&gt;"&amp;AN596)+SUMIFS($AJ$7:$AJ$1843,$CG$7:$CG$1843,CG596,$AN$7:$AN$1843,AN596,$BX$7:$BX$1843,"&lt;="&amp;BX596),"")</f>
        <v>28523.0427505639</v>
      </c>
      <c r="AP596" s="70" t="n">
        <f aca="false">IF(AO596="",0,MAX(0,MIN(1,(IF(CG596="L1",Parameter!$H$5,IF(CG596="L23",Parameter!$H$6+Parameter!$H$7,Parameter!$H$5+Parameter!$H$6+Parameter!$H$7))-(AO596-AJ596))/AJ596)))</f>
        <v>1</v>
      </c>
      <c r="AQ596" s="62" t="n">
        <f aca="false">IF(LEFT(Cockpit!$I$5,1)="A",H596,IF(Parameter!$E$30="MAX-Bestand",IF(CI596=1,CJ596,IF(LEFT(Cockpit!$I$5,1)="B",AW596,MAX(AW596,H596))),ROUNDUP(AU596,0)))</f>
        <v>446</v>
      </c>
      <c r="AR596" s="62" t="n">
        <f aca="false">IF(CA596=1,0,ROUNDUP(AQ596/BZ596,0))</f>
        <v>2</v>
      </c>
      <c r="AS596" s="64" t="n">
        <f aca="false">IF(CR596&gt;0,CR596*MAX(1,AQ596/X596),IF(CA596=1,IF(AQ596&lt;=0,0,CE596*MAX(1,IF(H596&gt;0,AQ596/H596,1))),IF(R596&gt;0,AR596/R596,0))/MAX(0.1,N(Parameter!$M$21)))</f>
        <v>0.0192307692307692</v>
      </c>
      <c r="AT596" s="62" t="n">
        <f aca="false">AS596*CC596</f>
        <v>2.98076923076923</v>
      </c>
      <c r="AU596" s="63" t="n">
        <f aca="false">IF(LEFT(Cockpit!$I$5,1)="A",H596,IF(CI596=1,(CL596+CJ596)/2,IF(LEFT(Cockpit!$I$5,1)="B",(CL596+AW596)/2,MAX((CL596+AW596)/2,H596))))</f>
        <v>446</v>
      </c>
      <c r="AV596" s="62" t="n">
        <f aca="false">AU596*G596</f>
        <v>66.9</v>
      </c>
      <c r="AW596" s="62" t="n">
        <f aca="false">ROUNDUP(CL596+MAX(CM596,2*(J596/IF(CH596&gt;0,CH596,MAX(0.1,N(Cockpit!$I$6)))-CL596)),0)</f>
        <v>1</v>
      </c>
      <c r="AX596" s="63" t="n">
        <f aca="false">IF(AT596&gt;0,J596/AT596,-1)</f>
        <v>0</v>
      </c>
      <c r="AY596" s="63" t="n">
        <f aca="false">IF(AND(OR(CG596="L1",CG596="L23",CG596="LIFT"),AT596&gt;0),SUMIFS($AT$7:$AT$1843,$CG$7:$CG$1843,CG596,$AX$7:$AX$1843,"&gt;"&amp;AX596)+SUMIFS($AT$7:$AT$1843,$CG$7:$CG$1843,CG596,$AX$7:$AX$1843,AX596,$BX$7:$BX$1843,"&lt;="&amp;BX596),"")</f>
        <v>33876.1913919414</v>
      </c>
      <c r="AZ596" s="70" t="n">
        <f aca="false">IF(AY596="",0,MAX(0,MIN(1,(IF(CG596="L1",Parameter!$H$5,IF(CG596="L23",Parameter!$H$6+Parameter!$H$7,Parameter!$H$5+Parameter!$H$6+Parameter!$H$7))-(AY596-AT596))/AT596)))</f>
        <v>1</v>
      </c>
      <c r="BA596" s="62" t="n">
        <f aca="false">IF(LEFT(Cockpit!$O$5,1)="A",H596,IF(Parameter!$E$30="MAX-Bestand",IF(CI596=1,CJ596,IF(LEFT(Cockpit!$O$5,1)="B",BG596,MAX(BG596,H596))),ROUNDUP(BE596,0)))</f>
        <v>1</v>
      </c>
      <c r="BB596" s="62" t="n">
        <f aca="false">IF(CA596=1,0,ROUNDUP(BA596/BZ596,0))</f>
        <v>1</v>
      </c>
      <c r="BC596" s="64" t="n">
        <f aca="false">IF(CR596&gt;0,CR596*MAX(1,BA596/X596),IF(CA596=1,IF(BA596&lt;=0,0,CE596*MAX(1,IF(H596&gt;0,BA596/H596,1))),IF(R596&gt;0,BB596/R596,0))/MAX(0.1,N(Parameter!$M$21)))</f>
        <v>0.00961538461538462</v>
      </c>
      <c r="BD596" s="62" t="n">
        <f aca="false">BC596*CC596</f>
        <v>1.49038461538462</v>
      </c>
      <c r="BE596" s="63" t="n">
        <f aca="false">IF(LEFT(Cockpit!$O$5,1)="A",H596,IF(CI596=1,(CL596+CJ596)/2,IF(LEFT(Cockpit!$O$5,1)="B",(CL596+BG596)/2,MAX((CL596+BG596)/2,H596))))</f>
        <v>0.5</v>
      </c>
      <c r="BF596" s="62" t="n">
        <f aca="false">BE596*G596</f>
        <v>0.075</v>
      </c>
      <c r="BG596" s="62" t="n">
        <f aca="false">ROUNDUP(CL596+MAX(CM596,2*(J596/IF(CH596&gt;0,CH596,MAX(0.1,N(Cockpit!$O$6)))-CL596)),0)</f>
        <v>1</v>
      </c>
      <c r="BH596" s="63" t="n">
        <f aca="false">IF(BD596&gt;0,J596/BD596,-1)</f>
        <v>0</v>
      </c>
      <c r="BI596" s="63" t="n">
        <f aca="false">IF(AND(OR(CG596="L1",CG596="L23",CG596="LIFT"),BD596&gt;0),SUMIFS($BD$7:$BD$1843,$CG$7:$CG$1843,CG596,$BH$7:$BH$1843,"&gt;"&amp;BH596)+SUMIFS($BD$7:$BD$1843,$CG$7:$CG$1843,CG596,$BH$7:$BH$1843,BH596,$BX$7:$BX$1843,"&lt;="&amp;BX596),"")</f>
        <v>27949.9866052027</v>
      </c>
      <c r="BJ596" s="70" t="n">
        <f aca="false">IF(BI596="",0,MAX(0,MIN(1,(IF(CG596="L1",Parameter!$H$5,IF(CG596="L23",Parameter!$H$6+Parameter!$H$7,Parameter!$H$5+Parameter!$H$6+Parameter!$H$7))-(BI596-BD596))/BD596)))</f>
        <v>1</v>
      </c>
      <c r="BK596" s="60" t="str">
        <f aca="false">IF(AJ596&lt;=0,"",IF(CG596="Aussen","Aussenlager",IF(CG596="-","Nicht im Lift",IF(AP596&gt;=1,"Lift",IF(AP596&lt;=0,"Aussenlager","teilweise")))))</f>
        <v>Lift</v>
      </c>
      <c r="BL596" s="60" t="str">
        <f aca="false">IF(AT596&lt;=0,"",IF(CG596="Aussen","Aussenlager",IF(CG596="-","Nicht im Lift",IF(AZ596&gt;=1,"Lift",IF(AZ596&lt;=0,"Aussenlager","teilweise")))))</f>
        <v>Lift</v>
      </c>
      <c r="BM596" s="60" t="str">
        <f aca="false">IF(BD596&lt;=0,"",IF(CG596="Aussen","Aussenlager",IF(CG596="-","Nicht im Lift",IF(BJ596&gt;=1,"Lift",IF(BJ596&lt;=0,"Aussenlager","teilweise")))))</f>
        <v>Lift</v>
      </c>
      <c r="BN596" s="60" t="str">
        <f aca="false">IF(A596="","",IF(BW596=1,"Neu; ","")&amp;IF(AND(BW596=0,BR596&lt;0),"negativer Bestand (Export "&amp;BR596&amp;"); ","")&amp;IF(J596&lt;=0,"Kein Verbrauch; ","")&amp;IF(CR596&gt;0,"Lift "&amp;W596&amp;" lt. Liftbericht (Fach "&amp;X596&amp;" Stk); ",IF(CB596=1,"Gebinde geschätzt ("&amp;T596&amp;"); ",IF(CA596=1,"Lose – Tablare geschätzt; ","")))&amp;IF(H596&gt;AW596,"Überbestand "&amp;ROUND(H596-AW596,0)&amp;" Stk / CHF "&amp;ROUND((H596-AW596)*G596,0)&amp;"; ","")&amp;IF(AND(CI596=1,CJ596&lt;CK596),"MAX &lt; MB+LG; ","")&amp;IF(AND(CQ596&gt;0,CP596*10&gt;CQ596),"zu hoch für Tablar; ","")&amp;IF(AND(BW596=0,OR(CI596=1,AB596&lt;&gt;"",U596&lt;&gt;"",V596&lt;&gt;"",AC596&lt;&gt;"")),"manuell übersteuert; ","")&amp;IF(AND(CA596=0,R596=0),"Gebinde unbekannt / Stellmass fehlt; ","")&amp;IF(AND(CA596=0,N(V596)&lt;=0,N(Q596)&lt;=0),"Menge pro Gebinde fehlt (Ist = 1 Gebinde); ","")&amp;BV596)</f>
        <v>Kein Verbrauch; Überbestand 445 Stk / CHF 67; Neu</v>
      </c>
      <c r="BO596" s="60"/>
      <c r="BP596" s="60"/>
      <c r="BQ596" s="67"/>
      <c r="BR596" s="62" t="n">
        <v>46</v>
      </c>
      <c r="BS596" s="62" t="n">
        <v>400</v>
      </c>
      <c r="BT596" s="61" t="n">
        <v>6.9</v>
      </c>
      <c r="BU596" s="62" t="n">
        <v>0</v>
      </c>
      <c r="BV596" s="60" t="s">
        <v>668</v>
      </c>
      <c r="BW596" s="65" t="n">
        <v>0</v>
      </c>
      <c r="BX596" s="65" t="n">
        <v>596</v>
      </c>
      <c r="BY596" s="60" t="str">
        <f aca="false">IF(U596&lt;&gt;"",UPPER(TRIM(U596)),IF(CB596=1,UPPER(VLOOKUP(T596,Parameter!$I$27:$K$29,2,0)),IF(P596="","LOSE",P596)))</f>
        <v>S32</v>
      </c>
      <c r="BZ596" s="62" t="n">
        <f aca="false">IF(BY596="LOSE",1,IF(N(V596)&gt;0,V596,IF(CB596=1,MAX(1,N(VLOOKUP(T596,Parameter!$I$27:$K$29,3,0)),H596,N(N596)),IF(N(Q596)&gt;0,Q596,MAX(1,H596)))))</f>
        <v>406</v>
      </c>
      <c r="CA596" s="65" t="n">
        <f aca="false">IF(BY596="LOSE",1,0)</f>
        <v>0</v>
      </c>
      <c r="CB596" s="65" t="n">
        <f aca="false">IF(AND(U596="",OR(P596="",P596="LOSE"),T596&lt;&gt;"",N(S596)&lt;=0,ISNUMBER(MATCH(T596,Parameter!$I$27:$I$29,0))),1,0)</f>
        <v>0</v>
      </c>
      <c r="CC596" s="65" t="n">
        <f aca="false">IF(CR596&gt;0,INDEX(Parameter!$H$5:$H$7,W596)/INDEX(Parameter!$E$5:$E$7,W596),IF(AND(CA596=0,N(IFERROR(VLOOKUP(BY596,'Gebinde-Kategorie'!$A$5:$N$45,14,0),0))&gt;0),VLOOKUP(BY596,'Gebinde-Kategorie'!$A$5:$N$45,14,0)*10+Parameter!$M$23,Parameter!$M$24))</f>
        <v>155</v>
      </c>
      <c r="CD596" s="60" t="str">
        <f aca="false">IF(AND(Parameter!$B$19="Ja",E596&lt;&gt;"",ISNUMBER(MATCH(E596,Parameter!$I$35:$I$52,0))),VLOOKUP(E596,Parameter!$I$35:$J$52,2,0),IFERROR(VLOOKUP(D596,Parameter!$A$35:$C$64,2,0),"Nein"))</f>
        <v>2+3</v>
      </c>
      <c r="CE596" s="64" t="n">
        <f aca="false">IF(CA596=0,0,IF(N(S596)&gt;0,S596,IFERROR(VLOOKUP(D596,Parameter!$A$35:$C$64,3,0)+0,0)))</f>
        <v>0</v>
      </c>
      <c r="CF596" s="60" t="n">
        <f aca="false">IF(AB596&lt;&gt;"",AB596,AA596)</f>
        <v>3</v>
      </c>
      <c r="CG596" s="60" t="str">
        <f aca="false">IF(OR(CF596=1,CF596=2,CF596=3),IF(Parameter!$E$27="Ja","LIFT",IF(CF596=1,"L1","L23")),IF(CF596="Aussen","Aussen","-"))</f>
        <v>LIFT</v>
      </c>
      <c r="CH596" s="71" t="n">
        <f aca="false">IF(N(AC596)&gt;0,AC596,0)</f>
        <v>0</v>
      </c>
      <c r="CI596" s="65" t="n">
        <f aca="false">IF(ISNUMBER(AF596),1,0)</f>
        <v>0</v>
      </c>
      <c r="CJ596" s="62" t="n">
        <f aca="false">N(AF596)</f>
        <v>0</v>
      </c>
      <c r="CK596" s="62" t="n">
        <f aca="false">N(M596)+N(N596)</f>
        <v>1</v>
      </c>
      <c r="CL596" s="62" t="n">
        <f aca="false">N(M596)</f>
        <v>0</v>
      </c>
      <c r="CM596" s="62" t="n">
        <f aca="false">N(N596)</f>
        <v>1</v>
      </c>
      <c r="CN596" s="62" t="n">
        <f aca="false">ROUNDUP(H596/BZ596,0)</f>
        <v>2</v>
      </c>
      <c r="CO596" s="62" t="n">
        <f aca="false">ROUNDUP(CJ596/BZ596,0)</f>
        <v>0</v>
      </c>
      <c r="CP596" s="65" t="n">
        <f aca="false">IF(CA596=1,0,IFERROR(VLOOKUP(BY596,'Gebinde-Kategorie'!$A$5:$N$45,5,0)+0,0))</f>
        <v>8</v>
      </c>
      <c r="CQ596" s="65" t="n">
        <f aca="false">IFERROR(IF(OR(CF596=1,CF596=2,CF596=3),N(INDEX(Parameter!$I$5:$I$7,CF596)),0),0)</f>
        <v>0</v>
      </c>
      <c r="CR596" s="64" t="n">
        <f aca="false">IF(AND(Parameter!$B$21="Ja",ISNUMBER(W596),N(X596)&gt;0),IFERROR(N(INDEX(Parameter!$L$5:$L$7,W596))*INDEX(Parameter!$E$5:$E$7,W596)*X596/SUMIFS($X$7:$X$1843,$W$7:$W$1843,W596),0),0)</f>
        <v>0</v>
      </c>
      <c r="CS596" s="62" t="n">
        <f aca="false">IF(AND(OR(CG596="L1",CG596="L23",CG596="LIFT"),H596&gt;0),CC596*IF(CR596&gt;0,CR596*MAX(1,H596/X596),IF(CA596=1,CE596,IF(R596&gt;0,CN596/R596,0))/MAX(0.1,N(Parameter!$M$21))),"")</f>
        <v>2.98076923076923</v>
      </c>
      <c r="CT596" s="64" t="n">
        <f aca="false">IF(CS596="","",J596/H596)</f>
        <v>0</v>
      </c>
      <c r="CU596" s="62" t="n">
        <f aca="false">IF(CS596="","",H596*G596)</f>
        <v>66.9</v>
      </c>
      <c r="CV596" s="63" t="n">
        <f aca="false">IF(CS596="","",(CL596+ROUNDUP(CL596+MAX(CM596,2*(J596/MAX(0.1,N(Einkauf!$C$6))-CL596)),0))/2)</f>
        <v>0.5</v>
      </c>
      <c r="CW596" s="62" t="n">
        <f aca="false">IF(CS596="","",MAX(0,H596-CV596)*G596)</f>
        <v>66.825</v>
      </c>
      <c r="CX596" s="62" t="n">
        <f aca="false">IF(CS596="","",CS596*MAX(0,1-CV596/H596))</f>
        <v>2.97742756122801</v>
      </c>
      <c r="CY596" s="64" t="n">
        <f aca="false">IF(CS596="","",PERCENTRANK($CS$7:$CS$1843,CS596)+PERCENTRANK($CU$7:$CU$1843,CU596)+1-PERCENTRANK($CT$7:$CT$1843,CT596))</f>
        <v>1.39</v>
      </c>
      <c r="CZ596" s="72" t="n">
        <f aca="false">IF(CS596="","",CHOOSE(MATCH(Einkauf!$C$5,Parameter!$G$23:$G$27,0),CY596,CS596,CU596,-CT596,CW596)+ROW()/1000000000)</f>
        <v>1.390000596</v>
      </c>
    </row>
    <row r="597" customFormat="false" ht="15" hidden="false" customHeight="false" outlineLevel="0" collapsed="false">
      <c r="A597" s="60" t="s">
        <v>1282</v>
      </c>
      <c r="B597" s="60" t="s">
        <v>1207</v>
      </c>
      <c r="C597" s="60" t="s">
        <v>206</v>
      </c>
      <c r="D597" s="60" t="s">
        <v>215</v>
      </c>
      <c r="E597" s="60"/>
      <c r="F597" s="60" t="s">
        <v>260</v>
      </c>
      <c r="G597" s="61" t="n">
        <v>6.8</v>
      </c>
      <c r="H597" s="62" t="n">
        <f aca="false">MAX(0,IF(AND(Parameter!$B$21="Ja",ISNUMBER(Y597)),Y597,IF(Parameter!$B$20="Jahresanfang 2025 + Export",BS597+BR597,BR597)))</f>
        <v>1</v>
      </c>
      <c r="I597" s="62" t="n">
        <f aca="false">H597*G597</f>
        <v>6.8</v>
      </c>
      <c r="J597" s="62" t="n">
        <f aca="false">BU597*Parameter!$B$18</f>
        <v>0</v>
      </c>
      <c r="K597" s="63" t="n">
        <v>0</v>
      </c>
      <c r="L597" s="64" t="n">
        <v>0</v>
      </c>
      <c r="M597" s="62" t="n">
        <v>0</v>
      </c>
      <c r="N597" s="62" t="n">
        <v>1</v>
      </c>
      <c r="O597" s="65" t="n">
        <v>21</v>
      </c>
      <c r="P597" s="60" t="s">
        <v>210</v>
      </c>
      <c r="Q597" s="62"/>
      <c r="R597" s="65" t="n">
        <f aca="false">IF(CA597=1,0,IFERROR(VLOOKUP(BY597,'Gebinde-Kategorie'!$A$5:$N$45,13,0)+0,0))</f>
        <v>26</v>
      </c>
      <c r="S597" s="66"/>
      <c r="T597" s="67" t="s">
        <v>317</v>
      </c>
      <c r="U597" s="67"/>
      <c r="V597" s="67"/>
      <c r="W597" s="60"/>
      <c r="X597" s="62"/>
      <c r="Y597" s="62"/>
      <c r="Z597" s="60" t="n">
        <v>3</v>
      </c>
      <c r="AA597" s="60" t="n">
        <f aca="false">IF(A597="","",IF(AND(Parameter!$B$21="Ja",ISNUMBER(W597)),W597,IF(AND(Parameter!$E$27="Ja",ISNUMBER(Z597),CD597&lt;&gt;"Nein"),Z597,IF(CD597="2+3",IF(ISNUMBER(SEARCH("grosser Artikel",BV597)),2,IFERROR(VLOOKUP(BY597,Parameter!$F$35:$G$64,2,0),2)),IF(OR(CD597="Nein",CD597=""),"-",CD597)))))</f>
        <v>3</v>
      </c>
      <c r="AB597" s="67"/>
      <c r="AC597" s="68"/>
      <c r="AD597" s="62" t="n">
        <f aca="false">AW597</f>
        <v>1</v>
      </c>
      <c r="AE597" s="62" t="n">
        <f aca="false">MAX(AW597,H597)</f>
        <v>1</v>
      </c>
      <c r="AF597" s="69"/>
      <c r="AG597" s="62" t="n">
        <f aca="false">IF(LEFT(Cockpit!$C$5,1)="A",H597,IF(Parameter!$E$30="MAX-Bestand",IF(CI597=1,CJ597,IF(LEFT(Cockpit!$C$5,1)="B",AM597,MAX(AM597,H597))),ROUNDUP(AK597,0)))</f>
        <v>1</v>
      </c>
      <c r="AH597" s="62" t="n">
        <f aca="false">IF(CA597=1,0,ROUNDUP(AG597/BZ597,0))</f>
        <v>1</v>
      </c>
      <c r="AI597" s="64" t="n">
        <f aca="false">IF(CR597&gt;0,CR597*MAX(1,AG597/X597),IF(CA597=1,IF(AG597&lt;=0,0,CE597*MAX(1,IF(H597&gt;0,AG597/H597,1))),IF(R597&gt;0,AH597/R597,0))/MAX(0.1,N(Parameter!$M$21)))</f>
        <v>0.0384615384615385</v>
      </c>
      <c r="AJ597" s="62" t="n">
        <f aca="false">AI597*CC597</f>
        <v>5.96153846153846</v>
      </c>
      <c r="AK597" s="63" t="n">
        <f aca="false">IF(LEFT(Cockpit!$C$5,1)="A",H597,IF(CI597=1,(CL597+CJ597)/2,IF(LEFT(Cockpit!$C$5,1)="B",(CL597+AM597)/2,MAX((CL597+AM597)/2,H597))))</f>
        <v>1</v>
      </c>
      <c r="AL597" s="62" t="n">
        <f aca="false">AK597*G597</f>
        <v>6.8</v>
      </c>
      <c r="AM597" s="62" t="n">
        <f aca="false">ROUNDUP(CL597+MAX(CM597,2*(J597/IF(CH597&gt;0,CH597,MAX(0.1,N(Cockpit!$C$6)))-CL597)),0)</f>
        <v>1</v>
      </c>
      <c r="AN597" s="63" t="n">
        <f aca="false">IF(AJ597&gt;0,J597/AJ597,-1)</f>
        <v>0</v>
      </c>
      <c r="AO597" s="63" t="n">
        <f aca="false">IF(AND(OR(CG597="L1",CG597="L23",CG597="LIFT"),AJ597&gt;0),SUMIFS($AJ$7:$AJ$1843,$CG$7:$CG$1843,CG597,$AN$7:$AN$1843,"&gt;"&amp;AN597)+SUMIFS($AJ$7:$AJ$1843,$CG$7:$CG$1843,CG597,$AN$7:$AN$1843,AN597,$BX$7:$BX$1843,"&lt;="&amp;BX597),"")</f>
        <v>28529.0042890255</v>
      </c>
      <c r="AP597" s="70" t="n">
        <f aca="false">IF(AO597="",0,MAX(0,MIN(1,(IF(CG597="L1",Parameter!$H$5,IF(CG597="L23",Parameter!$H$6+Parameter!$H$7,Parameter!$H$5+Parameter!$H$6+Parameter!$H$7))-(AO597-AJ597))/AJ597)))</f>
        <v>1</v>
      </c>
      <c r="AQ597" s="62" t="n">
        <f aca="false">IF(LEFT(Cockpit!$I$5,1)="A",H597,IF(Parameter!$E$30="MAX-Bestand",IF(CI597=1,CJ597,IF(LEFT(Cockpit!$I$5,1)="B",AW597,MAX(AW597,H597))),ROUNDUP(AU597,0)))</f>
        <v>1</v>
      </c>
      <c r="AR597" s="62" t="n">
        <f aca="false">IF(CA597=1,0,ROUNDUP(AQ597/BZ597,0))</f>
        <v>1</v>
      </c>
      <c r="AS597" s="64" t="n">
        <f aca="false">IF(CR597&gt;0,CR597*MAX(1,AQ597/X597),IF(CA597=1,IF(AQ597&lt;=0,0,CE597*MAX(1,IF(H597&gt;0,AQ597/H597,1))),IF(R597&gt;0,AR597/R597,0))/MAX(0.1,N(Parameter!$M$21)))</f>
        <v>0.0384615384615385</v>
      </c>
      <c r="AT597" s="62" t="n">
        <f aca="false">AS597*CC597</f>
        <v>5.96153846153846</v>
      </c>
      <c r="AU597" s="63" t="n">
        <f aca="false">IF(LEFT(Cockpit!$I$5,1)="A",H597,IF(CI597=1,(CL597+CJ597)/2,IF(LEFT(Cockpit!$I$5,1)="B",(CL597+AW597)/2,MAX((CL597+AW597)/2,H597))))</f>
        <v>1</v>
      </c>
      <c r="AV597" s="62" t="n">
        <f aca="false">AU597*G597</f>
        <v>6.8</v>
      </c>
      <c r="AW597" s="62" t="n">
        <f aca="false">ROUNDUP(CL597+MAX(CM597,2*(J597/IF(CH597&gt;0,CH597,MAX(0.1,N(Cockpit!$I$6)))-CL597)),0)</f>
        <v>1</v>
      </c>
      <c r="AX597" s="63" t="n">
        <f aca="false">IF(AT597&gt;0,J597/AT597,-1)</f>
        <v>0</v>
      </c>
      <c r="AY597" s="63" t="n">
        <f aca="false">IF(AND(OR(CG597="L1",CG597="L23",CG597="LIFT"),AT597&gt;0),SUMIFS($AT$7:$AT$1843,$CG$7:$CG$1843,CG597,$AX$7:$AX$1843,"&gt;"&amp;AX597)+SUMIFS($AT$7:$AT$1843,$CG$7:$CG$1843,CG597,$AX$7:$AX$1843,AX597,$BX$7:$BX$1843,"&lt;="&amp;BX597),"")</f>
        <v>33882.1529304029</v>
      </c>
      <c r="AZ597" s="70" t="n">
        <f aca="false">IF(AY597="",0,MAX(0,MIN(1,(IF(CG597="L1",Parameter!$H$5,IF(CG597="L23",Parameter!$H$6+Parameter!$H$7,Parameter!$H$5+Parameter!$H$6+Parameter!$H$7))-(AY597-AT597))/AT597)))</f>
        <v>1</v>
      </c>
      <c r="BA597" s="62" t="n">
        <f aca="false">IF(LEFT(Cockpit!$O$5,1)="A",H597,IF(Parameter!$E$30="MAX-Bestand",IF(CI597=1,CJ597,IF(LEFT(Cockpit!$O$5,1)="B",BG597,MAX(BG597,H597))),ROUNDUP(BE597,0)))</f>
        <v>1</v>
      </c>
      <c r="BB597" s="62" t="n">
        <f aca="false">IF(CA597=1,0,ROUNDUP(BA597/BZ597,0))</f>
        <v>1</v>
      </c>
      <c r="BC597" s="64" t="n">
        <f aca="false">IF(CR597&gt;0,CR597*MAX(1,BA597/X597),IF(CA597=1,IF(BA597&lt;=0,0,CE597*MAX(1,IF(H597&gt;0,BA597/H597,1))),IF(R597&gt;0,BB597/R597,0))/MAX(0.1,N(Parameter!$M$21)))</f>
        <v>0.0384615384615385</v>
      </c>
      <c r="BD597" s="62" t="n">
        <f aca="false">BC597*CC597</f>
        <v>5.96153846153846</v>
      </c>
      <c r="BE597" s="63" t="n">
        <f aca="false">IF(LEFT(Cockpit!$O$5,1)="A",H597,IF(CI597=1,(CL597+CJ597)/2,IF(LEFT(Cockpit!$O$5,1)="B",(CL597+BG597)/2,MAX((CL597+BG597)/2,H597))))</f>
        <v>0.5</v>
      </c>
      <c r="BF597" s="62" t="n">
        <f aca="false">BE597*G597</f>
        <v>3.4</v>
      </c>
      <c r="BG597" s="62" t="n">
        <f aca="false">ROUNDUP(CL597+MAX(CM597,2*(J597/IF(CH597&gt;0,CH597,MAX(0.1,N(Cockpit!$O$6)))-CL597)),0)</f>
        <v>1</v>
      </c>
      <c r="BH597" s="63" t="n">
        <f aca="false">IF(BD597&gt;0,J597/BD597,-1)</f>
        <v>0</v>
      </c>
      <c r="BI597" s="63" t="n">
        <f aca="false">IF(AND(OR(CG597="L1",CG597="L23",CG597="LIFT"),BD597&gt;0),SUMIFS($BD$7:$BD$1843,$CG$7:$CG$1843,CG597,$BH$7:$BH$1843,"&gt;"&amp;BH597)+SUMIFS($BD$7:$BD$1843,$CG$7:$CG$1843,CG597,$BH$7:$BH$1843,BH597,$BX$7:$BX$1843,"&lt;="&amp;BX597),"")</f>
        <v>27955.9481436642</v>
      </c>
      <c r="BJ597" s="70" t="n">
        <f aca="false">IF(BI597="",0,MAX(0,MIN(1,(IF(CG597="L1",Parameter!$H$5,IF(CG597="L23",Parameter!$H$6+Parameter!$H$7,Parameter!$H$5+Parameter!$H$6+Parameter!$H$7))-(BI597-BD597))/BD597)))</f>
        <v>1</v>
      </c>
      <c r="BK597" s="60" t="str">
        <f aca="false">IF(AJ597&lt;=0,"",IF(CG597="Aussen","Aussenlager",IF(CG597="-","Nicht im Lift",IF(AP597&gt;=1,"Lift",IF(AP597&lt;=0,"Aussenlager","teilweise")))))</f>
        <v>Lift</v>
      </c>
      <c r="BL597" s="60" t="str">
        <f aca="false">IF(AT597&lt;=0,"",IF(CG597="Aussen","Aussenlager",IF(CG597="-","Nicht im Lift",IF(AZ597&gt;=1,"Lift",IF(AZ597&lt;=0,"Aussenlager","teilweise")))))</f>
        <v>Lift</v>
      </c>
      <c r="BM597" s="60" t="str">
        <f aca="false">IF(BD597&lt;=0,"",IF(CG597="Aussen","Aussenlager",IF(CG597="-","Nicht im Lift",IF(BJ597&gt;=1,"Lift",IF(BJ597&lt;=0,"Aussenlager","teilweise")))))</f>
        <v>Lift</v>
      </c>
      <c r="BN597" s="60" t="str">
        <f aca="false">IF(A597="","",IF(BW597=1,"Neu; ","")&amp;IF(AND(BW597=0,BR597&lt;0),"negativer Bestand (Export "&amp;BR597&amp;"); ","")&amp;IF(J597&lt;=0,"Kein Verbrauch; ","")&amp;IF(CR597&gt;0,"Lift "&amp;W597&amp;" lt. Liftbericht (Fach "&amp;X597&amp;" Stk); ",IF(CB597=1,"Gebinde geschätzt ("&amp;T597&amp;"); ",IF(CA597=1,"Lose – Tablare geschätzt; ","")))&amp;IF(H597&gt;AW597,"Überbestand "&amp;ROUND(H597-AW597,0)&amp;" Stk / CHF "&amp;ROUND((H597-AW597)*G597,0)&amp;"; ","")&amp;IF(AND(CI597=1,CJ597&lt;CK597),"MAX &lt; MB+LG; ","")&amp;IF(AND(CQ597&gt;0,CP597*10&gt;CQ597),"zu hoch für Tablar; ","")&amp;IF(AND(BW597=0,OR(CI597=1,AB597&lt;&gt;"",U597&lt;&gt;"",V597&lt;&gt;"",AC597&lt;&gt;"")),"manuell übersteuert; ","")&amp;IF(AND(CA597=0,R597=0),"Gebinde unbekannt / Stellmass fehlt; ","")&amp;IF(AND(CA597=0,N(V597)&lt;=0,N(Q597)&lt;=0),"Menge pro Gebinde fehlt (Ist = 1 Gebinde); ","")&amp;BV597)</f>
        <v>Kein Verbrauch; Gebinde geschätzt (Klein); Menge pro Gebinde fehlt (Ist = 1 Gebinde); </v>
      </c>
      <c r="BO597" s="60"/>
      <c r="BP597" s="60"/>
      <c r="BQ597" s="67"/>
      <c r="BR597" s="62" t="n">
        <v>1</v>
      </c>
      <c r="BS597" s="62" t="n">
        <v>0</v>
      </c>
      <c r="BT597" s="61" t="n">
        <v>6.8</v>
      </c>
      <c r="BU597" s="62" t="n">
        <v>0</v>
      </c>
      <c r="BV597" s="60"/>
      <c r="BW597" s="65" t="n">
        <v>0</v>
      </c>
      <c r="BX597" s="65" t="n">
        <v>597</v>
      </c>
      <c r="BY597" s="60" t="str">
        <f aca="false">IF(U597&lt;&gt;"",UPPER(TRIM(U597)),IF(CB597=1,UPPER(VLOOKUP(T597,Parameter!$I$27:$K$29,2,0)),IF(P597="","LOSE",P597)))</f>
        <v>S51</v>
      </c>
      <c r="BZ597" s="62" t="n">
        <f aca="false">IF(BY597="LOSE",1,IF(N(V597)&gt;0,V597,IF(CB597=1,MAX(1,N(VLOOKUP(T597,Parameter!$I$27:$K$29,3,0)),H597,N(N597)),IF(N(Q597)&gt;0,Q597,MAX(1,H597)))))</f>
        <v>20</v>
      </c>
      <c r="CA597" s="65" t="n">
        <f aca="false">IF(BY597="LOSE",1,0)</f>
        <v>0</v>
      </c>
      <c r="CB597" s="65" t="n">
        <f aca="false">IF(AND(U597="",OR(P597="",P597="LOSE"),T597&lt;&gt;"",N(S597)&lt;=0,ISNUMBER(MATCH(T597,Parameter!$I$27:$I$29,0))),1,0)</f>
        <v>1</v>
      </c>
      <c r="CC597" s="65" t="n">
        <f aca="false">IF(CR597&gt;0,INDEX(Parameter!$H$5:$H$7,W597)/INDEX(Parameter!$E$5:$E$7,W597),IF(AND(CA597=0,N(IFERROR(VLOOKUP(BY597,'Gebinde-Kategorie'!$A$5:$N$45,14,0),0))&gt;0),VLOOKUP(BY597,'Gebinde-Kategorie'!$A$5:$N$45,14,0)*10+Parameter!$M$23,Parameter!$M$24))</f>
        <v>155</v>
      </c>
      <c r="CD597" s="60" t="str">
        <f aca="false">IF(AND(Parameter!$B$19="Ja",E597&lt;&gt;"",ISNUMBER(MATCH(E597,Parameter!$I$35:$I$52,0))),VLOOKUP(E597,Parameter!$I$35:$J$52,2,0),IFERROR(VLOOKUP(D597,Parameter!$A$35:$C$64,2,0),"Nein"))</f>
        <v>2+3</v>
      </c>
      <c r="CE597" s="64" t="n">
        <f aca="false">IF(CA597=0,0,IF(N(S597)&gt;0,S597,IFERROR(VLOOKUP(D597,Parameter!$A$35:$C$64,3,0)+0,0)))</f>
        <v>0</v>
      </c>
      <c r="CF597" s="60" t="n">
        <f aca="false">IF(AB597&lt;&gt;"",AB597,AA597)</f>
        <v>3</v>
      </c>
      <c r="CG597" s="60" t="str">
        <f aca="false">IF(OR(CF597=1,CF597=2,CF597=3),IF(Parameter!$E$27="Ja","LIFT",IF(CF597=1,"L1","L23")),IF(CF597="Aussen","Aussen","-"))</f>
        <v>LIFT</v>
      </c>
      <c r="CH597" s="71" t="n">
        <f aca="false">IF(N(AC597)&gt;0,AC597,0)</f>
        <v>0</v>
      </c>
      <c r="CI597" s="65" t="n">
        <f aca="false">IF(ISNUMBER(AF597),1,0)</f>
        <v>0</v>
      </c>
      <c r="CJ597" s="62" t="n">
        <f aca="false">N(AF597)</f>
        <v>0</v>
      </c>
      <c r="CK597" s="62" t="n">
        <f aca="false">N(M597)+N(N597)</f>
        <v>1</v>
      </c>
      <c r="CL597" s="62" t="n">
        <f aca="false">N(M597)</f>
        <v>0</v>
      </c>
      <c r="CM597" s="62" t="n">
        <f aca="false">N(N597)</f>
        <v>1</v>
      </c>
      <c r="CN597" s="62" t="n">
        <f aca="false">ROUNDUP(H597/BZ597,0)</f>
        <v>1</v>
      </c>
      <c r="CO597" s="62" t="n">
        <f aca="false">ROUNDUP(CJ597/BZ597,0)</f>
        <v>0</v>
      </c>
      <c r="CP597" s="65" t="n">
        <f aca="false">IF(CA597=1,0,IFERROR(VLOOKUP(BY597,'Gebinde-Kategorie'!$A$5:$N$45,5,0)+0,0))</f>
        <v>11</v>
      </c>
      <c r="CQ597" s="65" t="n">
        <f aca="false">IFERROR(IF(OR(CF597=1,CF597=2,CF597=3),N(INDEX(Parameter!$I$5:$I$7,CF597)),0),0)</f>
        <v>0</v>
      </c>
      <c r="CR597" s="64" t="n">
        <f aca="false">IF(AND(Parameter!$B$21="Ja",ISNUMBER(W597),N(X597)&gt;0),IFERROR(N(INDEX(Parameter!$L$5:$L$7,W597))*INDEX(Parameter!$E$5:$E$7,W597)*X597/SUMIFS($X$7:$X$1843,$W$7:$W$1843,W597),0),0)</f>
        <v>0</v>
      </c>
      <c r="CS597" s="62" t="n">
        <f aca="false">IF(AND(OR(CG597="L1",CG597="L23",CG597="LIFT"),H597&gt;0),CC597*IF(CR597&gt;0,CR597*MAX(1,H597/X597),IF(CA597=1,CE597,IF(R597&gt;0,CN597/R597,0))/MAX(0.1,N(Parameter!$M$21))),"")</f>
        <v>5.96153846153846</v>
      </c>
      <c r="CT597" s="64" t="n">
        <f aca="false">IF(CS597="","",J597/H597)</f>
        <v>0</v>
      </c>
      <c r="CU597" s="62" t="n">
        <f aca="false">IF(CS597="","",H597*G597)</f>
        <v>6.8</v>
      </c>
      <c r="CV597" s="63" t="n">
        <f aca="false">IF(CS597="","",(CL597+ROUNDUP(CL597+MAX(CM597,2*(J597/MAX(0.1,N(Einkauf!$C$6))-CL597)),0))/2)</f>
        <v>0.5</v>
      </c>
      <c r="CW597" s="62" t="n">
        <f aca="false">IF(CS597="","",MAX(0,H597-CV597)*G597)</f>
        <v>3.4</v>
      </c>
      <c r="CX597" s="62" t="n">
        <f aca="false">IF(CS597="","",CS597*MAX(0,1-CV597/H597))</f>
        <v>2.98076923076923</v>
      </c>
      <c r="CY597" s="64" t="n">
        <f aca="false">IF(CS597="","",PERCENTRANK($CS$7:$CS$1843,CS597)+PERCENTRANK($CU$7:$CU$1843,CU597)+1-PERCENTRANK($CT$7:$CT$1843,CT597))</f>
        <v>1.3888</v>
      </c>
      <c r="CZ597" s="72" t="n">
        <f aca="false">IF(CS597="","",CHOOSE(MATCH(Einkauf!$C$5,Parameter!$G$23:$G$27,0),CY597,CS597,CU597,-CT597,CW597)+ROW()/1000000000)</f>
        <v>1.388800597</v>
      </c>
    </row>
    <row r="598" customFormat="false" ht="15" hidden="false" customHeight="false" outlineLevel="0" collapsed="false">
      <c r="A598" s="60" t="s">
        <v>1283</v>
      </c>
      <c r="B598" s="60" t="s">
        <v>510</v>
      </c>
      <c r="C598" s="60" t="s">
        <v>206</v>
      </c>
      <c r="D598" s="60" t="s">
        <v>226</v>
      </c>
      <c r="E598" s="60"/>
      <c r="F598" s="60" t="s">
        <v>260</v>
      </c>
      <c r="G598" s="61" t="n">
        <v>0.37</v>
      </c>
      <c r="H598" s="62" t="n">
        <f aca="false">MAX(0,IF(AND(Parameter!$B$21="Ja",ISNUMBER(Y598)),Y598,IF(Parameter!$B$20="Jahresanfang 2025 + Export",BS598+BR598,BR598)))</f>
        <v>18</v>
      </c>
      <c r="I598" s="62" t="n">
        <f aca="false">H598*G598</f>
        <v>6.66</v>
      </c>
      <c r="J598" s="62" t="n">
        <f aca="false">BU598*Parameter!$B$18</f>
        <v>20</v>
      </c>
      <c r="K598" s="63" t="n">
        <v>24</v>
      </c>
      <c r="L598" s="64" t="n">
        <v>0.833333333333333</v>
      </c>
      <c r="M598" s="62" t="n">
        <v>1</v>
      </c>
      <c r="N598" s="62" t="n">
        <v>20</v>
      </c>
      <c r="O598" s="65" t="n">
        <v>35</v>
      </c>
      <c r="P598" s="60" t="s">
        <v>443</v>
      </c>
      <c r="Q598" s="62" t="n">
        <v>30</v>
      </c>
      <c r="R598" s="65" t="n">
        <f aca="false">IF(CA598=1,0,IFERROR(VLOOKUP(BY598,'Gebinde-Kategorie'!$A$5:$N$45,13,0)+0,0))</f>
        <v>280</v>
      </c>
      <c r="S598" s="66"/>
      <c r="T598" s="67"/>
      <c r="U598" s="67"/>
      <c r="V598" s="67"/>
      <c r="W598" s="60"/>
      <c r="X598" s="62"/>
      <c r="Y598" s="62"/>
      <c r="Z598" s="60" t="n">
        <v>3</v>
      </c>
      <c r="AA598" s="60" t="n">
        <f aca="false">IF(A598="","",IF(AND(Parameter!$B$21="Ja",ISNUMBER(W598)),W598,IF(AND(Parameter!$E$27="Ja",ISNUMBER(Z598),CD598&lt;&gt;"Nein"),Z598,IF(CD598="2+3",IF(ISNUMBER(SEARCH("grosser Artikel",BV598)),2,IFERROR(VLOOKUP(BY598,Parameter!$F$35:$G$64,2,0),2)),IF(OR(CD598="Nein",CD598=""),"-",CD598)))))</f>
        <v>3</v>
      </c>
      <c r="AB598" s="67"/>
      <c r="AC598" s="68"/>
      <c r="AD598" s="62" t="n">
        <f aca="false">AW598</f>
        <v>21</v>
      </c>
      <c r="AE598" s="62" t="n">
        <f aca="false">MAX(AW598,H598)</f>
        <v>21</v>
      </c>
      <c r="AF598" s="69"/>
      <c r="AG598" s="62" t="n">
        <f aca="false">IF(LEFT(Cockpit!$C$5,1)="A",H598,IF(Parameter!$E$30="MAX-Bestand",IF(CI598=1,CJ598,IF(LEFT(Cockpit!$C$5,1)="B",AM598,MAX(AM598,H598))),ROUNDUP(AK598,0)))</f>
        <v>18</v>
      </c>
      <c r="AH598" s="62" t="n">
        <f aca="false">IF(CA598=1,0,ROUNDUP(AG598/BZ598,0))</f>
        <v>1</v>
      </c>
      <c r="AI598" s="64" t="n">
        <f aca="false">IF(CR598&gt;0,CR598*MAX(1,AG598/X598),IF(CA598=1,IF(AG598&lt;=0,0,CE598*MAX(1,IF(H598&gt;0,AG598/H598,1))),IF(R598&gt;0,AH598/R598,0))/MAX(0.1,N(Parameter!$M$21)))</f>
        <v>0.00357142857142857</v>
      </c>
      <c r="AJ598" s="62" t="n">
        <f aca="false">AI598*CC598</f>
        <v>0.553571428571429</v>
      </c>
      <c r="AK598" s="63" t="n">
        <f aca="false">IF(LEFT(Cockpit!$C$5,1)="A",H598,IF(CI598=1,(CL598+CJ598)/2,IF(LEFT(Cockpit!$C$5,1)="B",(CL598+AM598)/2,MAX((CL598+AM598)/2,H598))))</f>
        <v>18</v>
      </c>
      <c r="AL598" s="62" t="n">
        <f aca="false">AK598*G598</f>
        <v>6.66</v>
      </c>
      <c r="AM598" s="62" t="n">
        <f aca="false">ROUNDUP(CL598+MAX(CM598,2*(J598/IF(CH598&gt;0,CH598,MAX(0.1,N(Cockpit!$C$6)))-CL598)),0)</f>
        <v>21</v>
      </c>
      <c r="AN598" s="63" t="n">
        <f aca="false">IF(AJ598&gt;0,J598/AJ598,-1)</f>
        <v>36.1290322580645</v>
      </c>
      <c r="AO598" s="63" t="n">
        <f aca="false">IF(AND(OR(CG598="L1",CG598="L23",CG598="LIFT"),AJ598&gt;0),SUMIFS($AJ$7:$AJ$1843,$CG$7:$CG$1843,CG598,$AN$7:$AN$1843,"&gt;"&amp;AN598)+SUMIFS($AJ$7:$AJ$1843,$CG$7:$CG$1843,CG598,$AN$7:$AN$1843,AN598,$BX$7:$BX$1843,"&lt;="&amp;BX598),"")</f>
        <v>1283.85302197802</v>
      </c>
      <c r="AP598" s="70" t="n">
        <f aca="false">IF(AO598="",0,MAX(0,MIN(1,(IF(CG598="L1",Parameter!$H$5,IF(CG598="L23",Parameter!$H$6+Parameter!$H$7,Parameter!$H$5+Parameter!$H$6+Parameter!$H$7))-(AO598-AJ598))/AJ598)))</f>
        <v>1</v>
      </c>
      <c r="AQ598" s="62" t="n">
        <f aca="false">IF(LEFT(Cockpit!$I$5,1)="A",H598,IF(Parameter!$E$30="MAX-Bestand",IF(CI598=1,CJ598,IF(LEFT(Cockpit!$I$5,1)="B",AW598,MAX(AW598,H598))),ROUNDUP(AU598,0)))</f>
        <v>18</v>
      </c>
      <c r="AR598" s="62" t="n">
        <f aca="false">IF(CA598=1,0,ROUNDUP(AQ598/BZ598,0))</f>
        <v>1</v>
      </c>
      <c r="AS598" s="64" t="n">
        <f aca="false">IF(CR598&gt;0,CR598*MAX(1,AQ598/X598),IF(CA598=1,IF(AQ598&lt;=0,0,CE598*MAX(1,IF(H598&gt;0,AQ598/H598,1))),IF(R598&gt;0,AR598/R598,0))/MAX(0.1,N(Parameter!$M$21)))</f>
        <v>0.00357142857142857</v>
      </c>
      <c r="AT598" s="62" t="n">
        <f aca="false">AS598*CC598</f>
        <v>0.553571428571429</v>
      </c>
      <c r="AU598" s="63" t="n">
        <f aca="false">IF(LEFT(Cockpit!$I$5,1)="A",H598,IF(CI598=1,(CL598+CJ598)/2,IF(LEFT(Cockpit!$I$5,1)="B",(CL598+AW598)/2,MAX((CL598+AW598)/2,H598))))</f>
        <v>18</v>
      </c>
      <c r="AV598" s="62" t="n">
        <f aca="false">AU598*G598</f>
        <v>6.66</v>
      </c>
      <c r="AW598" s="62" t="n">
        <f aca="false">ROUNDUP(CL598+MAX(CM598,2*(J598/IF(CH598&gt;0,CH598,MAX(0.1,N(Cockpit!$I$6)))-CL598)),0)</f>
        <v>21</v>
      </c>
      <c r="AX598" s="63" t="n">
        <f aca="false">IF(AT598&gt;0,J598/AT598,-1)</f>
        <v>36.1290322580645</v>
      </c>
      <c r="AY598" s="63" t="n">
        <f aca="false">IF(AND(OR(CG598="L1",CG598="L23",CG598="LIFT"),AT598&gt;0),SUMIFS($AT$7:$AT$1843,$CG$7:$CG$1843,CG598,$AX$7:$AX$1843,"&gt;"&amp;AX598)+SUMIFS($AT$7:$AT$1843,$CG$7:$CG$1843,CG598,$AX$7:$AX$1843,AX598,$BX$7:$BX$1843,"&lt;="&amp;BX598),"")</f>
        <v>1602.40476190476</v>
      </c>
      <c r="AZ598" s="70" t="n">
        <f aca="false">IF(AY598="",0,MAX(0,MIN(1,(IF(CG598="L1",Parameter!$H$5,IF(CG598="L23",Parameter!$H$6+Parameter!$H$7,Parameter!$H$5+Parameter!$H$6+Parameter!$H$7))-(AY598-AT598))/AT598)))</f>
        <v>1</v>
      </c>
      <c r="BA598" s="62" t="n">
        <f aca="false">IF(LEFT(Cockpit!$O$5,1)="A",H598,IF(Parameter!$E$30="MAX-Bestand",IF(CI598=1,CJ598,IF(LEFT(Cockpit!$O$5,1)="B",BG598,MAX(BG598,H598))),ROUNDUP(BE598,0)))</f>
        <v>11</v>
      </c>
      <c r="BB598" s="62" t="n">
        <f aca="false">IF(CA598=1,0,ROUNDUP(BA598/BZ598,0))</f>
        <v>1</v>
      </c>
      <c r="BC598" s="64" t="n">
        <f aca="false">IF(CR598&gt;0,CR598*MAX(1,BA598/X598),IF(CA598=1,IF(BA598&lt;=0,0,CE598*MAX(1,IF(H598&gt;0,BA598/H598,1))),IF(R598&gt;0,BB598/R598,0))/MAX(0.1,N(Parameter!$M$21)))</f>
        <v>0.00357142857142857</v>
      </c>
      <c r="BD598" s="62" t="n">
        <f aca="false">BC598*CC598</f>
        <v>0.553571428571429</v>
      </c>
      <c r="BE598" s="63" t="n">
        <f aca="false">IF(LEFT(Cockpit!$O$5,1)="A",H598,IF(CI598=1,(CL598+CJ598)/2,IF(LEFT(Cockpit!$O$5,1)="B",(CL598+BG598)/2,MAX((CL598+BG598)/2,H598))))</f>
        <v>11</v>
      </c>
      <c r="BF598" s="62" t="n">
        <f aca="false">BE598*G598</f>
        <v>4.07</v>
      </c>
      <c r="BG598" s="62" t="n">
        <f aca="false">ROUNDUP(CL598+MAX(CM598,2*(J598/IF(CH598&gt;0,CH598,MAX(0.1,N(Cockpit!$O$6)))-CL598)),0)</f>
        <v>21</v>
      </c>
      <c r="BH598" s="63" t="n">
        <f aca="false">IF(BD598&gt;0,J598/BD598,-1)</f>
        <v>36.1290322580645</v>
      </c>
      <c r="BI598" s="63" t="n">
        <f aca="false">IF(AND(OR(CG598="L1",CG598="L23",CG598="LIFT"),BD598&gt;0),SUMIFS($BD$7:$BD$1843,$CG$7:$CG$1843,CG598,$BH$7:$BH$1843,"&gt;"&amp;BH598)+SUMIFS($BD$7:$BD$1843,$CG$7:$CG$1843,CG598,$BH$7:$BH$1843,BH598,$BX$7:$BX$1843,"&lt;="&amp;BX598),"")</f>
        <v>1530.60622710623</v>
      </c>
      <c r="BJ598" s="70" t="n">
        <f aca="false">IF(BI598="",0,MAX(0,MIN(1,(IF(CG598="L1",Parameter!$H$5,IF(CG598="L23",Parameter!$H$6+Parameter!$H$7,Parameter!$H$5+Parameter!$H$6+Parameter!$H$7))-(BI598-BD598))/BD598)))</f>
        <v>1</v>
      </c>
      <c r="BK598" s="60" t="str">
        <f aca="false">IF(AJ598&lt;=0,"",IF(CG598="Aussen","Aussenlager",IF(CG598="-","Nicht im Lift",IF(AP598&gt;=1,"Lift",IF(AP598&lt;=0,"Aussenlager","teilweise")))))</f>
        <v>Lift</v>
      </c>
      <c r="BL598" s="60" t="str">
        <f aca="false">IF(AT598&lt;=0,"",IF(CG598="Aussen","Aussenlager",IF(CG598="-","Nicht im Lift",IF(AZ598&gt;=1,"Lift",IF(AZ598&lt;=0,"Aussenlager","teilweise")))))</f>
        <v>Lift</v>
      </c>
      <c r="BM598" s="60" t="str">
        <f aca="false">IF(BD598&lt;=0,"",IF(CG598="Aussen","Aussenlager",IF(CG598="-","Nicht im Lift",IF(BJ598&gt;=1,"Lift",IF(BJ598&lt;=0,"Aussenlager","teilweise")))))</f>
        <v>Lift</v>
      </c>
      <c r="BN598" s="60" t="str">
        <f aca="false">IF(A598="","",IF(BW598=1,"Neu; ","")&amp;IF(AND(BW598=0,BR598&lt;0),"negativer Bestand (Export "&amp;BR598&amp;"); ","")&amp;IF(J598&lt;=0,"Kein Verbrauch; ","")&amp;IF(CR598&gt;0,"Lift "&amp;W598&amp;" lt. Liftbericht (Fach "&amp;X598&amp;" Stk); ",IF(CB598=1,"Gebinde geschätzt ("&amp;T598&amp;"); ",IF(CA598=1,"Lose – Tablare geschätzt; ","")))&amp;IF(H598&gt;AW598,"Überbestand "&amp;ROUND(H598-AW598,0)&amp;" Stk / CHF "&amp;ROUND((H598-AW598)*G598,0)&amp;"; ","")&amp;IF(AND(CI598=1,CJ598&lt;CK598),"MAX &lt; MB+LG; ","")&amp;IF(AND(CQ598&gt;0,CP598*10&gt;CQ598),"zu hoch für Tablar; ","")&amp;IF(AND(BW598=0,OR(CI598=1,AB598&lt;&gt;"",U598&lt;&gt;"",V598&lt;&gt;"",AC598&lt;&gt;"")),"manuell übersteuert; ","")&amp;IF(AND(CA598=0,R598=0),"Gebinde unbekannt / Stellmass fehlt; ","")&amp;IF(AND(CA598=0,N(V598)&lt;=0,N(Q598)&lt;=0),"Menge pro Gebinde fehlt (Ist = 1 Gebinde); ","")&amp;BV598)</f>
        <v/>
      </c>
      <c r="BO598" s="60"/>
      <c r="BP598" s="60"/>
      <c r="BQ598" s="67"/>
      <c r="BR598" s="62" t="n">
        <v>18</v>
      </c>
      <c r="BS598" s="62" t="n">
        <v>0</v>
      </c>
      <c r="BT598" s="61" t="n">
        <v>6.66</v>
      </c>
      <c r="BU598" s="62" t="n">
        <v>20</v>
      </c>
      <c r="BV598" s="60"/>
      <c r="BW598" s="65" t="n">
        <v>0</v>
      </c>
      <c r="BX598" s="65" t="n">
        <v>598</v>
      </c>
      <c r="BY598" s="60" t="str">
        <f aca="false">IF(U598&lt;&gt;"",UPPER(TRIM(U598)),IF(CB598=1,UPPER(VLOOKUP(T598,Parameter!$I$27:$K$29,2,0)),IF(P598="","LOSE",P598)))</f>
        <v>S21</v>
      </c>
      <c r="BZ598" s="62" t="n">
        <f aca="false">IF(BY598="LOSE",1,IF(N(V598)&gt;0,V598,IF(CB598=1,MAX(1,N(VLOOKUP(T598,Parameter!$I$27:$K$29,3,0)),H598,N(N598)),IF(N(Q598)&gt;0,Q598,MAX(1,H598)))))</f>
        <v>30</v>
      </c>
      <c r="CA598" s="65" t="n">
        <f aca="false">IF(BY598="LOSE",1,0)</f>
        <v>0</v>
      </c>
      <c r="CB598" s="65" t="n">
        <f aca="false">IF(AND(U598="",OR(P598="",P598="LOSE"),T598&lt;&gt;"",N(S598)&lt;=0,ISNUMBER(MATCH(T598,Parameter!$I$27:$I$29,0))),1,0)</f>
        <v>0</v>
      </c>
      <c r="CC598" s="65" t="n">
        <f aca="false">IF(CR598&gt;0,INDEX(Parameter!$H$5:$H$7,W598)/INDEX(Parameter!$E$5:$E$7,W598),IF(AND(CA598=0,N(IFERROR(VLOOKUP(BY598,'Gebinde-Kategorie'!$A$5:$N$45,14,0),0))&gt;0),VLOOKUP(BY598,'Gebinde-Kategorie'!$A$5:$N$45,14,0)*10+Parameter!$M$23,Parameter!$M$24))</f>
        <v>155</v>
      </c>
      <c r="CD598" s="60" t="str">
        <f aca="false">IF(AND(Parameter!$B$19="Ja",E598&lt;&gt;"",ISNUMBER(MATCH(E598,Parameter!$I$35:$I$52,0))),VLOOKUP(E598,Parameter!$I$35:$J$52,2,0),IFERROR(VLOOKUP(D598,Parameter!$A$35:$C$64,2,0),"Nein"))</f>
        <v>2+3</v>
      </c>
      <c r="CE598" s="64" t="n">
        <f aca="false">IF(CA598=0,0,IF(N(S598)&gt;0,S598,IFERROR(VLOOKUP(D598,Parameter!$A$35:$C$64,3,0)+0,0)))</f>
        <v>0</v>
      </c>
      <c r="CF598" s="60" t="n">
        <f aca="false">IF(AB598&lt;&gt;"",AB598,AA598)</f>
        <v>3</v>
      </c>
      <c r="CG598" s="60" t="str">
        <f aca="false">IF(OR(CF598=1,CF598=2,CF598=3),IF(Parameter!$E$27="Ja","LIFT",IF(CF598=1,"L1","L23")),IF(CF598="Aussen","Aussen","-"))</f>
        <v>LIFT</v>
      </c>
      <c r="CH598" s="71" t="n">
        <f aca="false">IF(N(AC598)&gt;0,AC598,0)</f>
        <v>0</v>
      </c>
      <c r="CI598" s="65" t="n">
        <f aca="false">IF(ISNUMBER(AF598),1,0)</f>
        <v>0</v>
      </c>
      <c r="CJ598" s="62" t="n">
        <f aca="false">N(AF598)</f>
        <v>0</v>
      </c>
      <c r="CK598" s="62" t="n">
        <f aca="false">N(M598)+N(N598)</f>
        <v>21</v>
      </c>
      <c r="CL598" s="62" t="n">
        <f aca="false">N(M598)</f>
        <v>1</v>
      </c>
      <c r="CM598" s="62" t="n">
        <f aca="false">N(N598)</f>
        <v>20</v>
      </c>
      <c r="CN598" s="62" t="n">
        <f aca="false">ROUNDUP(H598/BZ598,0)</f>
        <v>1</v>
      </c>
      <c r="CO598" s="62" t="n">
        <f aca="false">ROUNDUP(CJ598/BZ598,0)</f>
        <v>0</v>
      </c>
      <c r="CP598" s="65" t="n">
        <f aca="false">IF(CA598=1,0,IFERROR(VLOOKUP(BY598,'Gebinde-Kategorie'!$A$5:$N$45,5,0)+0,0))</f>
        <v>8</v>
      </c>
      <c r="CQ598" s="65" t="n">
        <f aca="false">IFERROR(IF(OR(CF598=1,CF598=2,CF598=3),N(INDEX(Parameter!$I$5:$I$7,CF598)),0),0)</f>
        <v>0</v>
      </c>
      <c r="CR598" s="64" t="n">
        <f aca="false">IF(AND(Parameter!$B$21="Ja",ISNUMBER(W598),N(X598)&gt;0),IFERROR(N(INDEX(Parameter!$L$5:$L$7,W598))*INDEX(Parameter!$E$5:$E$7,W598)*X598/SUMIFS($X$7:$X$1843,$W$7:$W$1843,W598),0),0)</f>
        <v>0</v>
      </c>
      <c r="CS598" s="62" t="n">
        <f aca="false">IF(AND(OR(CG598="L1",CG598="L23",CG598="LIFT"),H598&gt;0),CC598*IF(CR598&gt;0,CR598*MAX(1,H598/X598),IF(CA598=1,CE598,IF(R598&gt;0,CN598/R598,0))/MAX(0.1,N(Parameter!$M$21))),"")</f>
        <v>0.553571428571429</v>
      </c>
      <c r="CT598" s="64" t="n">
        <f aca="false">IF(CS598="","",J598/H598)</f>
        <v>1.11111111111111</v>
      </c>
      <c r="CU598" s="62" t="n">
        <f aca="false">IF(CS598="","",H598*G598)</f>
        <v>6.66</v>
      </c>
      <c r="CV598" s="63" t="n">
        <f aca="false">IF(CS598="","",(CL598+ROUNDUP(CL598+MAX(CM598,2*(J598/MAX(0.1,N(Einkauf!$C$6))-CL598)),0))/2)</f>
        <v>11</v>
      </c>
      <c r="CW598" s="62" t="n">
        <f aca="false">IF(CS598="","",MAX(0,H598-CV598)*G598)</f>
        <v>2.59</v>
      </c>
      <c r="CX598" s="62" t="n">
        <f aca="false">IF(CS598="","",CS598*MAX(0,1-CV598/H598))</f>
        <v>0.215277777777778</v>
      </c>
      <c r="CY598" s="64" t="n">
        <f aca="false">IF(CS598="","",PERCENTRANK($CS$7:$CS$1843,CS598)+PERCENTRANK($CU$7:$CU$1843,CU598)+1-PERCENTRANK($CT$7:$CT$1843,CT598))</f>
        <v>0.3401</v>
      </c>
      <c r="CZ598" s="72" t="n">
        <f aca="false">IF(CS598="","",CHOOSE(MATCH(Einkauf!$C$5,Parameter!$G$23:$G$27,0),CY598,CS598,CU598,-CT598,CW598)+ROW()/1000000000)</f>
        <v>0.340100598</v>
      </c>
    </row>
    <row r="599" customFormat="false" ht="15" hidden="false" customHeight="false" outlineLevel="0" collapsed="false">
      <c r="A599" s="60" t="s">
        <v>1284</v>
      </c>
      <c r="B599" s="60" t="s">
        <v>1051</v>
      </c>
      <c r="C599" s="60" t="s">
        <v>206</v>
      </c>
      <c r="D599" s="60" t="s">
        <v>226</v>
      </c>
      <c r="E599" s="60"/>
      <c r="F599" s="60" t="s">
        <v>260</v>
      </c>
      <c r="G599" s="61" t="n">
        <v>6.65</v>
      </c>
      <c r="H599" s="62" t="n">
        <f aca="false">MAX(0,IF(AND(Parameter!$B$21="Ja",ISNUMBER(Y599)),Y599,IF(Parameter!$B$20="Jahresanfang 2025 + Export",BS599+BR599,BR599)))</f>
        <v>51</v>
      </c>
      <c r="I599" s="62" t="n">
        <f aca="false">H599*G599</f>
        <v>339.15</v>
      </c>
      <c r="J599" s="62" t="n">
        <f aca="false">BU599*Parameter!$B$18</f>
        <v>0</v>
      </c>
      <c r="K599" s="63" t="n">
        <v>50.5</v>
      </c>
      <c r="L599" s="64" t="n">
        <v>0</v>
      </c>
      <c r="M599" s="62" t="n">
        <v>0</v>
      </c>
      <c r="N599" s="62" t="n">
        <v>1</v>
      </c>
      <c r="O599" s="65" t="n">
        <v>70</v>
      </c>
      <c r="P599" s="60" t="s">
        <v>518</v>
      </c>
      <c r="Q599" s="62" t="n">
        <v>55</v>
      </c>
      <c r="R599" s="65" t="n">
        <f aca="false">IF(CA599=1,0,IFERROR(VLOOKUP(BY599,'Gebinde-Kategorie'!$A$5:$N$45,13,0)+0,0))</f>
        <v>52</v>
      </c>
      <c r="S599" s="66"/>
      <c r="T599" s="67"/>
      <c r="U599" s="67"/>
      <c r="V599" s="67"/>
      <c r="W599" s="60"/>
      <c r="X599" s="62"/>
      <c r="Y599" s="62"/>
      <c r="Z599" s="60" t="n">
        <v>2</v>
      </c>
      <c r="AA599" s="60" t="n">
        <f aca="false">IF(A599="","",IF(AND(Parameter!$B$21="Ja",ISNUMBER(W599)),W599,IF(AND(Parameter!$E$27="Ja",ISNUMBER(Z599),CD599&lt;&gt;"Nein"),Z599,IF(CD599="2+3",IF(ISNUMBER(SEARCH("grosser Artikel",BV599)),2,IFERROR(VLOOKUP(BY599,Parameter!$F$35:$G$64,2,0),2)),IF(OR(CD599="Nein",CD599=""),"-",CD599)))))</f>
        <v>2</v>
      </c>
      <c r="AB599" s="67"/>
      <c r="AC599" s="68"/>
      <c r="AD599" s="62" t="n">
        <f aca="false">AW599</f>
        <v>1</v>
      </c>
      <c r="AE599" s="62" t="n">
        <f aca="false">MAX(AW599,H599)</f>
        <v>51</v>
      </c>
      <c r="AF599" s="69"/>
      <c r="AG599" s="62" t="n">
        <f aca="false">IF(LEFT(Cockpit!$C$5,1)="A",H599,IF(Parameter!$E$30="MAX-Bestand",IF(CI599=1,CJ599,IF(LEFT(Cockpit!$C$5,1)="B",AM599,MAX(AM599,H599))),ROUNDUP(AK599,0)))</f>
        <v>51</v>
      </c>
      <c r="AH599" s="62" t="n">
        <f aca="false">IF(CA599=1,0,ROUNDUP(AG599/BZ599,0))</f>
        <v>1</v>
      </c>
      <c r="AI599" s="64" t="n">
        <f aca="false">IF(CR599&gt;0,CR599*MAX(1,AG599/X599),IF(CA599=1,IF(AG599&lt;=0,0,CE599*MAX(1,IF(H599&gt;0,AG599/H599,1))),IF(R599&gt;0,AH599/R599,0))/MAX(0.1,N(Parameter!$M$21)))</f>
        <v>0.0192307692307692</v>
      </c>
      <c r="AJ599" s="62" t="n">
        <f aca="false">AI599*CC599</f>
        <v>2.98076923076923</v>
      </c>
      <c r="AK599" s="63" t="n">
        <f aca="false">IF(LEFT(Cockpit!$C$5,1)="A",H599,IF(CI599=1,(CL599+CJ599)/2,IF(LEFT(Cockpit!$C$5,1)="B",(CL599+AM599)/2,MAX((CL599+AM599)/2,H599))))</f>
        <v>51</v>
      </c>
      <c r="AL599" s="62" t="n">
        <f aca="false">AK599*G599</f>
        <v>339.15</v>
      </c>
      <c r="AM599" s="62" t="n">
        <f aca="false">ROUNDUP(CL599+MAX(CM599,2*(J599/IF(CH599&gt;0,CH599,MAX(0.1,N(Cockpit!$C$6)))-CL599)),0)</f>
        <v>1</v>
      </c>
      <c r="AN599" s="63" t="n">
        <f aca="false">IF(AJ599&gt;0,J599/AJ599,-1)</f>
        <v>0</v>
      </c>
      <c r="AO599" s="63" t="n">
        <f aca="false">IF(AND(OR(CG599="L1",CG599="L23",CG599="LIFT"),AJ599&gt;0),SUMIFS($AJ$7:$AJ$1843,$CG$7:$CG$1843,CG599,$AN$7:$AN$1843,"&gt;"&amp;AN599)+SUMIFS($AJ$7:$AJ$1843,$CG$7:$CG$1843,CG599,$AN$7:$AN$1843,AN599,$BX$7:$BX$1843,"&lt;="&amp;BX599),"")</f>
        <v>28531.9850582562</v>
      </c>
      <c r="AP599" s="70" t="n">
        <f aca="false">IF(AO599="",0,MAX(0,MIN(1,(IF(CG599="L1",Parameter!$H$5,IF(CG599="L23",Parameter!$H$6+Parameter!$H$7,Parameter!$H$5+Parameter!$H$6+Parameter!$H$7))-(AO599-AJ599))/AJ599)))</f>
        <v>1</v>
      </c>
      <c r="AQ599" s="62" t="n">
        <f aca="false">IF(LEFT(Cockpit!$I$5,1)="A",H599,IF(Parameter!$E$30="MAX-Bestand",IF(CI599=1,CJ599,IF(LEFT(Cockpit!$I$5,1)="B",AW599,MAX(AW599,H599))),ROUNDUP(AU599,0)))</f>
        <v>51</v>
      </c>
      <c r="AR599" s="62" t="n">
        <f aca="false">IF(CA599=1,0,ROUNDUP(AQ599/BZ599,0))</f>
        <v>1</v>
      </c>
      <c r="AS599" s="64" t="n">
        <f aca="false">IF(CR599&gt;0,CR599*MAX(1,AQ599/X599),IF(CA599=1,IF(AQ599&lt;=0,0,CE599*MAX(1,IF(H599&gt;0,AQ599/H599,1))),IF(R599&gt;0,AR599/R599,0))/MAX(0.1,N(Parameter!$M$21)))</f>
        <v>0.0192307692307692</v>
      </c>
      <c r="AT599" s="62" t="n">
        <f aca="false">AS599*CC599</f>
        <v>2.98076923076923</v>
      </c>
      <c r="AU599" s="63" t="n">
        <f aca="false">IF(LEFT(Cockpit!$I$5,1)="A",H599,IF(CI599=1,(CL599+CJ599)/2,IF(LEFT(Cockpit!$I$5,1)="B",(CL599+AW599)/2,MAX((CL599+AW599)/2,H599))))</f>
        <v>51</v>
      </c>
      <c r="AV599" s="62" t="n">
        <f aca="false">AU599*G599</f>
        <v>339.15</v>
      </c>
      <c r="AW599" s="62" t="n">
        <f aca="false">ROUNDUP(CL599+MAX(CM599,2*(J599/IF(CH599&gt;0,CH599,MAX(0.1,N(Cockpit!$I$6)))-CL599)),0)</f>
        <v>1</v>
      </c>
      <c r="AX599" s="63" t="n">
        <f aca="false">IF(AT599&gt;0,J599/AT599,-1)</f>
        <v>0</v>
      </c>
      <c r="AY599" s="63" t="n">
        <f aca="false">IF(AND(OR(CG599="L1",CG599="L23",CG599="LIFT"),AT599&gt;0),SUMIFS($AT$7:$AT$1843,$CG$7:$CG$1843,CG599,$AX$7:$AX$1843,"&gt;"&amp;AX599)+SUMIFS($AT$7:$AT$1843,$CG$7:$CG$1843,CG599,$AX$7:$AX$1843,AX599,$BX$7:$BX$1843,"&lt;="&amp;BX599),"")</f>
        <v>33885.1336996337</v>
      </c>
      <c r="AZ599" s="70" t="n">
        <f aca="false">IF(AY599="",0,MAX(0,MIN(1,(IF(CG599="L1",Parameter!$H$5,IF(CG599="L23",Parameter!$H$6+Parameter!$H$7,Parameter!$H$5+Parameter!$H$6+Parameter!$H$7))-(AY599-AT599))/AT599)))</f>
        <v>1</v>
      </c>
      <c r="BA599" s="62" t="n">
        <f aca="false">IF(LEFT(Cockpit!$O$5,1)="A",H599,IF(Parameter!$E$30="MAX-Bestand",IF(CI599=1,CJ599,IF(LEFT(Cockpit!$O$5,1)="B",BG599,MAX(BG599,H599))),ROUNDUP(BE599,0)))</f>
        <v>1</v>
      </c>
      <c r="BB599" s="62" t="n">
        <f aca="false">IF(CA599=1,0,ROUNDUP(BA599/BZ599,0))</f>
        <v>1</v>
      </c>
      <c r="BC599" s="64" t="n">
        <f aca="false">IF(CR599&gt;0,CR599*MAX(1,BA599/X599),IF(CA599=1,IF(BA599&lt;=0,0,CE599*MAX(1,IF(H599&gt;0,BA599/H599,1))),IF(R599&gt;0,BB599/R599,0))/MAX(0.1,N(Parameter!$M$21)))</f>
        <v>0.0192307692307692</v>
      </c>
      <c r="BD599" s="62" t="n">
        <f aca="false">BC599*CC599</f>
        <v>2.98076923076923</v>
      </c>
      <c r="BE599" s="63" t="n">
        <f aca="false">IF(LEFT(Cockpit!$O$5,1)="A",H599,IF(CI599=1,(CL599+CJ599)/2,IF(LEFT(Cockpit!$O$5,1)="B",(CL599+BG599)/2,MAX((CL599+BG599)/2,H599))))</f>
        <v>0.5</v>
      </c>
      <c r="BF599" s="62" t="n">
        <f aca="false">BE599*G599</f>
        <v>3.325</v>
      </c>
      <c r="BG599" s="62" t="n">
        <f aca="false">ROUNDUP(CL599+MAX(CM599,2*(J599/IF(CH599&gt;0,CH599,MAX(0.1,N(Cockpit!$O$6)))-CL599)),0)</f>
        <v>1</v>
      </c>
      <c r="BH599" s="63" t="n">
        <f aca="false">IF(BD599&gt;0,J599/BD599,-1)</f>
        <v>0</v>
      </c>
      <c r="BI599" s="63" t="n">
        <f aca="false">IF(AND(OR(CG599="L1",CG599="L23",CG599="LIFT"),BD599&gt;0),SUMIFS($BD$7:$BD$1843,$CG$7:$CG$1843,CG599,$BH$7:$BH$1843,"&gt;"&amp;BH599)+SUMIFS($BD$7:$BD$1843,$CG$7:$CG$1843,CG599,$BH$7:$BH$1843,BH599,$BX$7:$BX$1843,"&lt;="&amp;BX599),"")</f>
        <v>27958.928912895</v>
      </c>
      <c r="BJ599" s="70" t="n">
        <f aca="false">IF(BI599="",0,MAX(0,MIN(1,(IF(CG599="L1",Parameter!$H$5,IF(CG599="L23",Parameter!$H$6+Parameter!$H$7,Parameter!$H$5+Parameter!$H$6+Parameter!$H$7))-(BI599-BD599))/BD599)))</f>
        <v>1</v>
      </c>
      <c r="BK599" s="60" t="str">
        <f aca="false">IF(AJ599&lt;=0,"",IF(CG599="Aussen","Aussenlager",IF(CG599="-","Nicht im Lift",IF(AP599&gt;=1,"Lift",IF(AP599&lt;=0,"Aussenlager","teilweise")))))</f>
        <v>Lift</v>
      </c>
      <c r="BL599" s="60" t="str">
        <f aca="false">IF(AT599&lt;=0,"",IF(CG599="Aussen","Aussenlager",IF(CG599="-","Nicht im Lift",IF(AZ599&gt;=1,"Lift",IF(AZ599&lt;=0,"Aussenlager","teilweise")))))</f>
        <v>Lift</v>
      </c>
      <c r="BM599" s="60" t="str">
        <f aca="false">IF(BD599&lt;=0,"",IF(CG599="Aussen","Aussenlager",IF(CG599="-","Nicht im Lift",IF(BJ599&gt;=1,"Lift",IF(BJ599&lt;=0,"Aussenlager","teilweise")))))</f>
        <v>Lift</v>
      </c>
      <c r="BN599" s="60" t="str">
        <f aca="false">IF(A599="","",IF(BW599=1,"Neu; ","")&amp;IF(AND(BW599=0,BR599&lt;0),"negativer Bestand (Export "&amp;BR599&amp;"); ","")&amp;IF(J599&lt;=0,"Kein Verbrauch; ","")&amp;IF(CR599&gt;0,"Lift "&amp;W599&amp;" lt. Liftbericht (Fach "&amp;X599&amp;" Stk); ",IF(CB599=1,"Gebinde geschätzt ("&amp;T599&amp;"); ",IF(CA599=1,"Lose – Tablare geschätzt; ","")))&amp;IF(H599&gt;AW599,"Überbestand "&amp;ROUND(H599-AW599,0)&amp;" Stk / CHF "&amp;ROUND((H599-AW599)*G599,0)&amp;"; ","")&amp;IF(AND(CI599=1,CJ599&lt;CK599),"MAX &lt; MB+LG; ","")&amp;IF(AND(CQ599&gt;0,CP599*10&gt;CQ599),"zu hoch für Tablar; ","")&amp;IF(AND(BW599=0,OR(CI599=1,AB599&lt;&gt;"",U599&lt;&gt;"",V599&lt;&gt;"",AC599&lt;&gt;"")),"manuell übersteuert; ","")&amp;IF(AND(CA599=0,R599=0),"Gebinde unbekannt / Stellmass fehlt; ","")&amp;IF(AND(CA599=0,N(V599)&lt;=0,N(Q599)&lt;=0),"Menge pro Gebinde fehlt (Ist = 1 Gebinde); ","")&amp;BV599)</f>
        <v>Kein Verbrauch; Überbestand 50 Stk / CHF 333; </v>
      </c>
      <c r="BO599" s="60"/>
      <c r="BP599" s="60"/>
      <c r="BQ599" s="67"/>
      <c r="BR599" s="62" t="n">
        <v>1</v>
      </c>
      <c r="BS599" s="62" t="n">
        <v>50</v>
      </c>
      <c r="BT599" s="61" t="n">
        <v>6.65</v>
      </c>
      <c r="BU599" s="62" t="n">
        <v>0</v>
      </c>
      <c r="BV599" s="60"/>
      <c r="BW599" s="65" t="n">
        <v>0</v>
      </c>
      <c r="BX599" s="65" t="n">
        <v>599</v>
      </c>
      <c r="BY599" s="60" t="str">
        <f aca="false">IF(U599&lt;&gt;"",UPPER(TRIM(U599)),IF(CB599=1,UPPER(VLOOKUP(T599,Parameter!$I$27:$K$29,2,0)),IF(P599="","LOSE",P599)))</f>
        <v>S33</v>
      </c>
      <c r="BZ599" s="62" t="n">
        <f aca="false">IF(BY599="LOSE",1,IF(N(V599)&gt;0,V599,IF(CB599=1,MAX(1,N(VLOOKUP(T599,Parameter!$I$27:$K$29,3,0)),H599,N(N599)),IF(N(Q599)&gt;0,Q599,MAX(1,H599)))))</f>
        <v>55</v>
      </c>
      <c r="CA599" s="65" t="n">
        <f aca="false">IF(BY599="LOSE",1,0)</f>
        <v>0</v>
      </c>
      <c r="CB599" s="65" t="n">
        <f aca="false">IF(AND(U599="",OR(P599="",P599="LOSE"),T599&lt;&gt;"",N(S599)&lt;=0,ISNUMBER(MATCH(T599,Parameter!$I$27:$I$29,0))),1,0)</f>
        <v>0</v>
      </c>
      <c r="CC599" s="65" t="n">
        <f aca="false">IF(CR599&gt;0,INDEX(Parameter!$H$5:$H$7,W599)/INDEX(Parameter!$E$5:$E$7,W599),IF(AND(CA599=0,N(IFERROR(VLOOKUP(BY599,'Gebinde-Kategorie'!$A$5:$N$45,14,0),0))&gt;0),VLOOKUP(BY599,'Gebinde-Kategorie'!$A$5:$N$45,14,0)*10+Parameter!$M$23,Parameter!$M$24))</f>
        <v>155</v>
      </c>
      <c r="CD599" s="60" t="str">
        <f aca="false">IF(AND(Parameter!$B$19="Ja",E599&lt;&gt;"",ISNUMBER(MATCH(E599,Parameter!$I$35:$I$52,0))),VLOOKUP(E599,Parameter!$I$35:$J$52,2,0),IFERROR(VLOOKUP(D599,Parameter!$A$35:$C$64,2,0),"Nein"))</f>
        <v>2+3</v>
      </c>
      <c r="CE599" s="64" t="n">
        <f aca="false">IF(CA599=0,0,IF(N(S599)&gt;0,S599,IFERROR(VLOOKUP(D599,Parameter!$A$35:$C$64,3,0)+0,0)))</f>
        <v>0</v>
      </c>
      <c r="CF599" s="60" t="n">
        <f aca="false">IF(AB599&lt;&gt;"",AB599,AA599)</f>
        <v>2</v>
      </c>
      <c r="CG599" s="60" t="str">
        <f aca="false">IF(OR(CF599=1,CF599=2,CF599=3),IF(Parameter!$E$27="Ja","LIFT",IF(CF599=1,"L1","L23")),IF(CF599="Aussen","Aussen","-"))</f>
        <v>LIFT</v>
      </c>
      <c r="CH599" s="71" t="n">
        <f aca="false">IF(N(AC599)&gt;0,AC599,0)</f>
        <v>0</v>
      </c>
      <c r="CI599" s="65" t="n">
        <f aca="false">IF(ISNUMBER(AF599),1,0)</f>
        <v>0</v>
      </c>
      <c r="CJ599" s="62" t="n">
        <f aca="false">N(AF599)</f>
        <v>0</v>
      </c>
      <c r="CK599" s="62" t="n">
        <f aca="false">N(M599)+N(N599)</f>
        <v>1</v>
      </c>
      <c r="CL599" s="62" t="n">
        <f aca="false">N(M599)</f>
        <v>0</v>
      </c>
      <c r="CM599" s="62" t="n">
        <f aca="false">N(N599)</f>
        <v>1</v>
      </c>
      <c r="CN599" s="62" t="n">
        <f aca="false">ROUNDUP(H599/BZ599,0)</f>
        <v>1</v>
      </c>
      <c r="CO599" s="62" t="n">
        <f aca="false">ROUNDUP(CJ599/BZ599,0)</f>
        <v>0</v>
      </c>
      <c r="CP599" s="65" t="n">
        <f aca="false">IF(CA599=1,0,IFERROR(VLOOKUP(BY599,'Gebinde-Kategorie'!$A$5:$N$45,5,0)+0,0))</f>
        <v>8</v>
      </c>
      <c r="CQ599" s="65" t="n">
        <f aca="false">IFERROR(IF(OR(CF599=1,CF599=2,CF599=3),N(INDEX(Parameter!$I$5:$I$7,CF599)),0),0)</f>
        <v>0</v>
      </c>
      <c r="CR599" s="64" t="n">
        <f aca="false">IF(AND(Parameter!$B$21="Ja",ISNUMBER(W599),N(X599)&gt;0),IFERROR(N(INDEX(Parameter!$L$5:$L$7,W599))*INDEX(Parameter!$E$5:$E$7,W599)*X599/SUMIFS($X$7:$X$1843,$W$7:$W$1843,W599),0),0)</f>
        <v>0</v>
      </c>
      <c r="CS599" s="62" t="n">
        <f aca="false">IF(AND(OR(CG599="L1",CG599="L23",CG599="LIFT"),H599&gt;0),CC599*IF(CR599&gt;0,CR599*MAX(1,H599/X599),IF(CA599=1,CE599,IF(R599&gt;0,CN599/R599,0))/MAX(0.1,N(Parameter!$M$21))),"")</f>
        <v>2.98076923076923</v>
      </c>
      <c r="CT599" s="64" t="n">
        <f aca="false">IF(CS599="","",J599/H599)</f>
        <v>0</v>
      </c>
      <c r="CU599" s="62" t="n">
        <f aca="false">IF(CS599="","",H599*G599)</f>
        <v>339.15</v>
      </c>
      <c r="CV599" s="63" t="n">
        <f aca="false">IF(CS599="","",(CL599+ROUNDUP(CL599+MAX(CM599,2*(J599/MAX(0.1,N(Einkauf!$C$6))-CL599)),0))/2)</f>
        <v>0.5</v>
      </c>
      <c r="CW599" s="62" t="n">
        <f aca="false">IF(CS599="","",MAX(0,H599-CV599)*G599)</f>
        <v>335.825</v>
      </c>
      <c r="CX599" s="62" t="n">
        <f aca="false">IF(CS599="","",CS599*MAX(0,1-CV599/H599))</f>
        <v>2.95154600301659</v>
      </c>
      <c r="CY599" s="64" t="n">
        <f aca="false">IF(CS599="","",PERCENTRANK($CS$7:$CS$1843,CS599)+PERCENTRANK($CU$7:$CU$1843,CU599)+1-PERCENTRANK($CT$7:$CT$1843,CT599))</f>
        <v>1.66</v>
      </c>
      <c r="CZ599" s="72" t="n">
        <f aca="false">IF(CS599="","",CHOOSE(MATCH(Einkauf!$C$5,Parameter!$G$23:$G$27,0),CY599,CS599,CU599,-CT599,CW599)+ROW()/1000000000)</f>
        <v>1.660000599</v>
      </c>
    </row>
    <row r="600" customFormat="false" ht="15" hidden="false" customHeight="false" outlineLevel="0" collapsed="false">
      <c r="A600" s="60" t="s">
        <v>1285</v>
      </c>
      <c r="B600" s="60" t="s">
        <v>1286</v>
      </c>
      <c r="C600" s="60" t="s">
        <v>206</v>
      </c>
      <c r="D600" s="60" t="s">
        <v>226</v>
      </c>
      <c r="E600" s="60" t="s">
        <v>227</v>
      </c>
      <c r="F600" s="60" t="s">
        <v>260</v>
      </c>
      <c r="G600" s="61" t="n">
        <v>0.14</v>
      </c>
      <c r="H600" s="62" t="n">
        <f aca="false">MAX(0,IF(AND(Parameter!$B$21="Ja",ISNUMBER(Y600)),Y600,IF(Parameter!$B$20="Jahresanfang 2025 + Export",BS600+BR600,BR600)))</f>
        <v>150</v>
      </c>
      <c r="I600" s="62" t="n">
        <f aca="false">H600*G600</f>
        <v>21</v>
      </c>
      <c r="J600" s="62" t="n">
        <f aca="false">BU600*Parameter!$B$18</f>
        <v>51</v>
      </c>
      <c r="K600" s="63" t="n">
        <v>200</v>
      </c>
      <c r="L600" s="64" t="n">
        <v>0.255</v>
      </c>
      <c r="M600" s="62" t="n">
        <v>2</v>
      </c>
      <c r="N600" s="62" t="n">
        <v>500</v>
      </c>
      <c r="O600" s="65" t="n">
        <v>21</v>
      </c>
      <c r="P600" s="60" t="s">
        <v>344</v>
      </c>
      <c r="Q600" s="62" t="n">
        <v>600</v>
      </c>
      <c r="R600" s="65" t="n">
        <f aca="false">IF(CA600=1,0,IFERROR(VLOOKUP(BY600,'Gebinde-Kategorie'!$A$5:$N$45,13,0)+0,0))</f>
        <v>26</v>
      </c>
      <c r="S600" s="66"/>
      <c r="T600" s="67"/>
      <c r="U600" s="67"/>
      <c r="V600" s="67"/>
      <c r="W600" s="60"/>
      <c r="X600" s="62"/>
      <c r="Y600" s="62"/>
      <c r="Z600" s="60" t="n">
        <v>3</v>
      </c>
      <c r="AA600" s="60" t="n">
        <f aca="false">IF(A600="","",IF(AND(Parameter!$B$21="Ja",ISNUMBER(W600)),W600,IF(AND(Parameter!$E$27="Ja",ISNUMBER(Z600),CD600&lt;&gt;"Nein"),Z600,IF(CD600="2+3",IF(ISNUMBER(SEARCH("grosser Artikel",BV600)),2,IFERROR(VLOOKUP(BY600,Parameter!$F$35:$G$64,2,0),2)),IF(OR(CD600="Nein",CD600=""),"-",CD600)))))</f>
        <v>3</v>
      </c>
      <c r="AB600" s="67"/>
      <c r="AC600" s="68"/>
      <c r="AD600" s="62" t="n">
        <f aca="false">AW600</f>
        <v>502</v>
      </c>
      <c r="AE600" s="62" t="n">
        <f aca="false">MAX(AW600,H600)</f>
        <v>502</v>
      </c>
      <c r="AF600" s="69"/>
      <c r="AG600" s="62" t="n">
        <f aca="false">IF(LEFT(Cockpit!$C$5,1)="A",H600,IF(Parameter!$E$30="MAX-Bestand",IF(CI600=1,CJ600,IF(LEFT(Cockpit!$C$5,1)="B",AM600,MAX(AM600,H600))),ROUNDUP(AK600,0)))</f>
        <v>150</v>
      </c>
      <c r="AH600" s="62" t="n">
        <f aca="false">IF(CA600=1,0,ROUNDUP(AG600/BZ600,0))</f>
        <v>1</v>
      </c>
      <c r="AI600" s="64" t="n">
        <f aca="false">IF(CR600&gt;0,CR600*MAX(1,AG600/X600),IF(CA600=1,IF(AG600&lt;=0,0,CE600*MAX(1,IF(H600&gt;0,AG600/H600,1))),IF(R600&gt;0,AH600/R600,0))/MAX(0.1,N(Parameter!$M$21)))</f>
        <v>0.0384615384615385</v>
      </c>
      <c r="AJ600" s="62" t="n">
        <f aca="false">AI600*CC600</f>
        <v>5.96153846153846</v>
      </c>
      <c r="AK600" s="63" t="n">
        <f aca="false">IF(LEFT(Cockpit!$C$5,1)="A",H600,IF(CI600=1,(CL600+CJ600)/2,IF(LEFT(Cockpit!$C$5,1)="B",(CL600+AM600)/2,MAX((CL600+AM600)/2,H600))))</f>
        <v>150</v>
      </c>
      <c r="AL600" s="62" t="n">
        <f aca="false">AK600*G600</f>
        <v>21</v>
      </c>
      <c r="AM600" s="62" t="n">
        <f aca="false">ROUNDUP(CL600+MAX(CM600,2*(J600/IF(CH600&gt;0,CH600,MAX(0.1,N(Cockpit!$C$6)))-CL600)),0)</f>
        <v>502</v>
      </c>
      <c r="AN600" s="63" t="n">
        <f aca="false">IF(AJ600&gt;0,J600/AJ600,-1)</f>
        <v>8.55483870967742</v>
      </c>
      <c r="AO600" s="63" t="n">
        <f aca="false">IF(AND(OR(CG600="L1",CG600="L23",CG600="LIFT"),AJ600&gt;0),SUMIFS($AJ$7:$AJ$1843,$CG$7:$CG$1843,CG600,$AN$7:$AN$1843,"&gt;"&amp;AN600)+SUMIFS($AJ$7:$AJ$1843,$CG$7:$CG$1843,CG600,$AN$7:$AN$1843,AN600,$BX$7:$BX$1843,"&lt;="&amp;BX600),"")</f>
        <v>2990.83653846154</v>
      </c>
      <c r="AP600" s="70" t="n">
        <f aca="false">IF(AO600="",0,MAX(0,MIN(1,(IF(CG600="L1",Parameter!$H$5,IF(CG600="L23",Parameter!$H$6+Parameter!$H$7,Parameter!$H$5+Parameter!$H$6+Parameter!$H$7))-(AO600-AJ600))/AJ600)))</f>
        <v>1</v>
      </c>
      <c r="AQ600" s="62" t="n">
        <f aca="false">IF(LEFT(Cockpit!$I$5,1)="A",H600,IF(Parameter!$E$30="MAX-Bestand",IF(CI600=1,CJ600,IF(LEFT(Cockpit!$I$5,1)="B",AW600,MAX(AW600,H600))),ROUNDUP(AU600,0)))</f>
        <v>252</v>
      </c>
      <c r="AR600" s="62" t="n">
        <f aca="false">IF(CA600=1,0,ROUNDUP(AQ600/BZ600,0))</f>
        <v>1</v>
      </c>
      <c r="AS600" s="64" t="n">
        <f aca="false">IF(CR600&gt;0,CR600*MAX(1,AQ600/X600),IF(CA600=1,IF(AQ600&lt;=0,0,CE600*MAX(1,IF(H600&gt;0,AQ600/H600,1))),IF(R600&gt;0,AR600/R600,0))/MAX(0.1,N(Parameter!$M$21)))</f>
        <v>0.0384615384615385</v>
      </c>
      <c r="AT600" s="62" t="n">
        <f aca="false">AS600*CC600</f>
        <v>5.96153846153846</v>
      </c>
      <c r="AU600" s="63" t="n">
        <f aca="false">IF(LEFT(Cockpit!$I$5,1)="A",H600,IF(CI600=1,(CL600+CJ600)/2,IF(LEFT(Cockpit!$I$5,1)="B",(CL600+AW600)/2,MAX((CL600+AW600)/2,H600))))</f>
        <v>252</v>
      </c>
      <c r="AV600" s="62" t="n">
        <f aca="false">AU600*G600</f>
        <v>35.28</v>
      </c>
      <c r="AW600" s="62" t="n">
        <f aca="false">ROUNDUP(CL600+MAX(CM600,2*(J600/IF(CH600&gt;0,CH600,MAX(0.1,N(Cockpit!$I$6)))-CL600)),0)</f>
        <v>502</v>
      </c>
      <c r="AX600" s="63" t="n">
        <f aca="false">IF(AT600&gt;0,J600/AT600,-1)</f>
        <v>8.55483870967742</v>
      </c>
      <c r="AY600" s="63" t="n">
        <f aca="false">IF(AND(OR(CG600="L1",CG600="L23",CG600="LIFT"),AT600&gt;0),SUMIFS($AT$7:$AT$1843,$CG$7:$CG$1843,CG600,$AX$7:$AX$1843,"&gt;"&amp;AX600)+SUMIFS($AT$7:$AT$1843,$CG$7:$CG$1843,CG600,$AX$7:$AX$1843,AX600,$BX$7:$BX$1843,"&lt;="&amp;BX600),"")</f>
        <v>3577.07463369963</v>
      </c>
      <c r="AZ600" s="70" t="n">
        <f aca="false">IF(AY600="",0,MAX(0,MIN(1,(IF(CG600="L1",Parameter!$H$5,IF(CG600="L23",Parameter!$H$6+Parameter!$H$7,Parameter!$H$5+Parameter!$H$6+Parameter!$H$7))-(AY600-AT600))/AT600)))</f>
        <v>1</v>
      </c>
      <c r="BA600" s="62" t="n">
        <f aca="false">IF(LEFT(Cockpit!$O$5,1)="A",H600,IF(Parameter!$E$30="MAX-Bestand",IF(CI600=1,CJ600,IF(LEFT(Cockpit!$O$5,1)="B",BG600,MAX(BG600,H600))),ROUNDUP(BE600,0)))</f>
        <v>252</v>
      </c>
      <c r="BB600" s="62" t="n">
        <f aca="false">IF(CA600=1,0,ROUNDUP(BA600/BZ600,0))</f>
        <v>1</v>
      </c>
      <c r="BC600" s="64" t="n">
        <f aca="false">IF(CR600&gt;0,CR600*MAX(1,BA600/X600),IF(CA600=1,IF(BA600&lt;=0,0,CE600*MAX(1,IF(H600&gt;0,BA600/H600,1))),IF(R600&gt;0,BB600/R600,0))/MAX(0.1,N(Parameter!$M$21)))</f>
        <v>0.0384615384615385</v>
      </c>
      <c r="BD600" s="62" t="n">
        <f aca="false">BC600*CC600</f>
        <v>5.96153846153846</v>
      </c>
      <c r="BE600" s="63" t="n">
        <f aca="false">IF(LEFT(Cockpit!$O$5,1)="A",H600,IF(CI600=1,(CL600+CJ600)/2,IF(LEFT(Cockpit!$O$5,1)="B",(CL600+BG600)/2,MAX((CL600+BG600)/2,H600))))</f>
        <v>252</v>
      </c>
      <c r="BF600" s="62" t="n">
        <f aca="false">BE600*G600</f>
        <v>35.28</v>
      </c>
      <c r="BG600" s="62" t="n">
        <f aca="false">ROUNDUP(CL600+MAX(CM600,2*(J600/IF(CH600&gt;0,CH600,MAX(0.1,N(Cockpit!$O$6)))-CL600)),0)</f>
        <v>502</v>
      </c>
      <c r="BH600" s="63" t="n">
        <f aca="false">IF(BD600&gt;0,J600/BD600,-1)</f>
        <v>8.55483870967742</v>
      </c>
      <c r="BI600" s="63" t="n">
        <f aca="false">IF(AND(OR(CG600="L1",CG600="L23",CG600="LIFT"),BD600&gt;0),SUMIFS($BD$7:$BD$1843,$CG$7:$CG$1843,CG600,$BH$7:$BH$1843,"&gt;"&amp;BH600)+SUMIFS($BD$7:$BD$1843,$CG$7:$CG$1843,CG600,$BH$7:$BH$1843,BH600,$BX$7:$BX$1843,"&lt;="&amp;BX600),"")</f>
        <v>2929.87042124542</v>
      </c>
      <c r="BJ600" s="70" t="n">
        <f aca="false">IF(BI600="",0,MAX(0,MIN(1,(IF(CG600="L1",Parameter!$H$5,IF(CG600="L23",Parameter!$H$6+Parameter!$H$7,Parameter!$H$5+Parameter!$H$6+Parameter!$H$7))-(BI600-BD600))/BD600)))</f>
        <v>1</v>
      </c>
      <c r="BK600" s="60" t="str">
        <f aca="false">IF(AJ600&lt;=0,"",IF(CG600="Aussen","Aussenlager",IF(CG600="-","Nicht im Lift",IF(AP600&gt;=1,"Lift",IF(AP600&lt;=0,"Aussenlager","teilweise")))))</f>
        <v>Lift</v>
      </c>
      <c r="BL600" s="60" t="str">
        <f aca="false">IF(AT600&lt;=0,"",IF(CG600="Aussen","Aussenlager",IF(CG600="-","Nicht im Lift",IF(AZ600&gt;=1,"Lift",IF(AZ600&lt;=0,"Aussenlager","teilweise")))))</f>
        <v>Lift</v>
      </c>
      <c r="BM600" s="60" t="str">
        <f aca="false">IF(BD600&lt;=0,"",IF(CG600="Aussen","Aussenlager",IF(CG600="-","Nicht im Lift",IF(BJ600&gt;=1,"Lift",IF(BJ600&lt;=0,"Aussenlager","teilweise")))))</f>
        <v>Lift</v>
      </c>
      <c r="BN600" s="60" t="str">
        <f aca="false">IF(A600="","",IF(BW600=1,"Neu; ","")&amp;IF(AND(BW600=0,BR600&lt;0),"negativer Bestand (Export "&amp;BR600&amp;"); ","")&amp;IF(J600&lt;=0,"Kein Verbrauch; ","")&amp;IF(CR600&gt;0,"Lift "&amp;W600&amp;" lt. Liftbericht (Fach "&amp;X600&amp;" Stk); ",IF(CB600=1,"Gebinde geschätzt ("&amp;T600&amp;"); ",IF(CA600=1,"Lose – Tablare geschätzt; ","")))&amp;IF(H600&gt;AW600,"Überbestand "&amp;ROUND(H600-AW600,0)&amp;" Stk / CHF "&amp;ROUND((H600-AW600)*G600,0)&amp;"; ","")&amp;IF(AND(CI600=1,CJ600&lt;CK600),"MAX &lt; MB+LG; ","")&amp;IF(AND(CQ600&gt;0,CP600*10&gt;CQ600),"zu hoch für Tablar; ","")&amp;IF(AND(BW600=0,OR(CI600=1,AB600&lt;&gt;"",U600&lt;&gt;"",V600&lt;&gt;"",AC600&lt;&gt;"")),"manuell übersteuert; ","")&amp;IF(AND(CA600=0,R600=0),"Gebinde unbekannt / Stellmass fehlt; ","")&amp;IF(AND(CA600=0,N(V600)&lt;=0,N(Q600)&lt;=0),"Menge pro Gebinde fehlt (Ist = 1 Gebinde); ","")&amp;BV600)</f>
        <v/>
      </c>
      <c r="BO600" s="60"/>
      <c r="BP600" s="60"/>
      <c r="BQ600" s="67"/>
      <c r="BR600" s="62" t="n">
        <v>50</v>
      </c>
      <c r="BS600" s="62" t="n">
        <v>100</v>
      </c>
      <c r="BT600" s="61" t="n">
        <v>5.99999999999999</v>
      </c>
      <c r="BU600" s="62" t="n">
        <v>51</v>
      </c>
      <c r="BV600" s="60"/>
      <c r="BW600" s="65" t="n">
        <v>0</v>
      </c>
      <c r="BX600" s="65" t="n">
        <v>600</v>
      </c>
      <c r="BY600" s="60" t="str">
        <f aca="false">IF(U600&lt;&gt;"",UPPER(TRIM(U600)),IF(CB600=1,UPPER(VLOOKUP(T600,Parameter!$I$27:$K$29,2,0)),IF(P600="","LOSE",P600)))</f>
        <v>S51</v>
      </c>
      <c r="BZ600" s="62" t="n">
        <f aca="false">IF(BY600="LOSE",1,IF(N(V600)&gt;0,V600,IF(CB600=1,MAX(1,N(VLOOKUP(T600,Parameter!$I$27:$K$29,3,0)),H600,N(N600)),IF(N(Q600)&gt;0,Q600,MAX(1,H600)))))</f>
        <v>600</v>
      </c>
      <c r="CA600" s="65" t="n">
        <f aca="false">IF(BY600="LOSE",1,0)</f>
        <v>0</v>
      </c>
      <c r="CB600" s="65" t="n">
        <f aca="false">IF(AND(U600="",OR(P600="",P600="LOSE"),T600&lt;&gt;"",N(S600)&lt;=0,ISNUMBER(MATCH(T600,Parameter!$I$27:$I$29,0))),1,0)</f>
        <v>0</v>
      </c>
      <c r="CC600" s="65" t="n">
        <f aca="false">IF(CR600&gt;0,INDEX(Parameter!$H$5:$H$7,W600)/INDEX(Parameter!$E$5:$E$7,W600),IF(AND(CA600=0,N(IFERROR(VLOOKUP(BY600,'Gebinde-Kategorie'!$A$5:$N$45,14,0),0))&gt;0),VLOOKUP(BY600,'Gebinde-Kategorie'!$A$5:$N$45,14,0)*10+Parameter!$M$23,Parameter!$M$24))</f>
        <v>155</v>
      </c>
      <c r="CD600" s="60" t="str">
        <f aca="false">IF(AND(Parameter!$B$19="Ja",E600&lt;&gt;"",ISNUMBER(MATCH(E600,Parameter!$I$35:$I$52,0))),VLOOKUP(E600,Parameter!$I$35:$J$52,2,0),IFERROR(VLOOKUP(D600,Parameter!$A$35:$C$64,2,0),"Nein"))</f>
        <v>2+3</v>
      </c>
      <c r="CE600" s="64" t="n">
        <f aca="false">IF(CA600=0,0,IF(N(S600)&gt;0,S600,IFERROR(VLOOKUP(D600,Parameter!$A$35:$C$64,3,0)+0,0)))</f>
        <v>0</v>
      </c>
      <c r="CF600" s="60" t="n">
        <f aca="false">IF(AB600&lt;&gt;"",AB600,AA600)</f>
        <v>3</v>
      </c>
      <c r="CG600" s="60" t="str">
        <f aca="false">IF(OR(CF600=1,CF600=2,CF600=3),IF(Parameter!$E$27="Ja","LIFT",IF(CF600=1,"L1","L23")),IF(CF600="Aussen","Aussen","-"))</f>
        <v>LIFT</v>
      </c>
      <c r="CH600" s="71" t="n">
        <f aca="false">IF(N(AC600)&gt;0,AC600,0)</f>
        <v>0</v>
      </c>
      <c r="CI600" s="65" t="n">
        <f aca="false">IF(ISNUMBER(AF600),1,0)</f>
        <v>0</v>
      </c>
      <c r="CJ600" s="62" t="n">
        <f aca="false">N(AF600)</f>
        <v>0</v>
      </c>
      <c r="CK600" s="62" t="n">
        <f aca="false">N(M600)+N(N600)</f>
        <v>502</v>
      </c>
      <c r="CL600" s="62" t="n">
        <f aca="false">N(M600)</f>
        <v>2</v>
      </c>
      <c r="CM600" s="62" t="n">
        <f aca="false">N(N600)</f>
        <v>500</v>
      </c>
      <c r="CN600" s="62" t="n">
        <f aca="false">ROUNDUP(H600/BZ600,0)</f>
        <v>1</v>
      </c>
      <c r="CO600" s="62" t="n">
        <f aca="false">ROUNDUP(CJ600/BZ600,0)</f>
        <v>0</v>
      </c>
      <c r="CP600" s="65" t="n">
        <f aca="false">IF(CA600=1,0,IFERROR(VLOOKUP(BY600,'Gebinde-Kategorie'!$A$5:$N$45,5,0)+0,0))</f>
        <v>11</v>
      </c>
      <c r="CQ600" s="65" t="n">
        <f aca="false">IFERROR(IF(OR(CF600=1,CF600=2,CF600=3),N(INDEX(Parameter!$I$5:$I$7,CF600)),0),0)</f>
        <v>0</v>
      </c>
      <c r="CR600" s="64" t="n">
        <f aca="false">IF(AND(Parameter!$B$21="Ja",ISNUMBER(W600),N(X600)&gt;0),IFERROR(N(INDEX(Parameter!$L$5:$L$7,W600))*INDEX(Parameter!$E$5:$E$7,W600)*X600/SUMIFS($X$7:$X$1843,$W$7:$W$1843,W600),0),0)</f>
        <v>0</v>
      </c>
      <c r="CS600" s="62" t="n">
        <f aca="false">IF(AND(OR(CG600="L1",CG600="L23",CG600="LIFT"),H600&gt;0),CC600*IF(CR600&gt;0,CR600*MAX(1,H600/X600),IF(CA600=1,CE600,IF(R600&gt;0,CN600/R600,0))/MAX(0.1,N(Parameter!$M$21))),"")</f>
        <v>5.96153846153846</v>
      </c>
      <c r="CT600" s="64" t="n">
        <f aca="false">IF(CS600="","",J600/H600)</f>
        <v>0.34</v>
      </c>
      <c r="CU600" s="62" t="n">
        <f aca="false">IF(CS600="","",H600*G600)</f>
        <v>21</v>
      </c>
      <c r="CV600" s="63" t="n">
        <f aca="false">IF(CS600="","",(CL600+ROUNDUP(CL600+MAX(CM600,2*(J600/MAX(0.1,N(Einkauf!$C$6))-CL600)),0))/2)</f>
        <v>252</v>
      </c>
      <c r="CW600" s="62" t="n">
        <f aca="false">IF(CS600="","",MAX(0,H600-CV600)*G600)</f>
        <v>0</v>
      </c>
      <c r="CX600" s="62" t="n">
        <f aca="false">IF(CS600="","",CS600*MAX(0,1-CV600/H600))</f>
        <v>0</v>
      </c>
      <c r="CY600" s="64" t="n">
        <f aca="false">IF(CS600="","",PERCENTRANK($CS$7:$CS$1843,CS600)+PERCENTRANK($CU$7:$CU$1843,CU600)+1-PERCENTRANK($CT$7:$CT$1843,CT600))</f>
        <v>0.921</v>
      </c>
      <c r="CZ600" s="72" t="n">
        <f aca="false">IF(CS600="","",CHOOSE(MATCH(Einkauf!$C$5,Parameter!$G$23:$G$27,0),CY600,CS600,CU600,-CT600,CW600)+ROW()/1000000000)</f>
        <v>0.9210006</v>
      </c>
    </row>
    <row r="601" customFormat="false" ht="15" hidden="false" customHeight="false" outlineLevel="0" collapsed="false">
      <c r="A601" s="60" t="s">
        <v>1287</v>
      </c>
      <c r="B601" s="60" t="s">
        <v>1288</v>
      </c>
      <c r="C601" s="60" t="s">
        <v>206</v>
      </c>
      <c r="D601" s="60" t="s">
        <v>226</v>
      </c>
      <c r="E601" s="60" t="s">
        <v>227</v>
      </c>
      <c r="F601" s="60" t="s">
        <v>260</v>
      </c>
      <c r="G601" s="61" t="n">
        <v>4.65</v>
      </c>
      <c r="H601" s="62" t="n">
        <f aca="false">MAX(0,IF(AND(Parameter!$B$21="Ja",ISNUMBER(Y601)),Y601,IF(Parameter!$B$20="Jahresanfang 2025 + Export",BS601+BR601,BR601)))</f>
        <v>9</v>
      </c>
      <c r="I601" s="62" t="n">
        <f aca="false">H601*G601</f>
        <v>41.85</v>
      </c>
      <c r="J601" s="62" t="n">
        <f aca="false">BU601*Parameter!$B$18</f>
        <v>8</v>
      </c>
      <c r="K601" s="63" t="n">
        <v>11.5</v>
      </c>
      <c r="L601" s="64" t="n">
        <v>0.695652173913044</v>
      </c>
      <c r="M601" s="62" t="n">
        <v>0</v>
      </c>
      <c r="N601" s="62" t="n">
        <v>10</v>
      </c>
      <c r="O601" s="65" t="n">
        <v>14</v>
      </c>
      <c r="P601" s="60" t="s">
        <v>463</v>
      </c>
      <c r="Q601" s="62" t="n">
        <v>7</v>
      </c>
      <c r="R601" s="65" t="n">
        <f aca="false">IF(CA601=1,0,IFERROR(VLOOKUP(BY601,'Gebinde-Kategorie'!$A$5:$N$45,13,0)+0,0))</f>
        <v>104</v>
      </c>
      <c r="S601" s="66"/>
      <c r="T601" s="67"/>
      <c r="U601" s="67"/>
      <c r="V601" s="67"/>
      <c r="W601" s="60"/>
      <c r="X601" s="62"/>
      <c r="Y601" s="62"/>
      <c r="Z601" s="60" t="n">
        <v>2</v>
      </c>
      <c r="AA601" s="60" t="n">
        <f aca="false">IF(A601="","",IF(AND(Parameter!$B$21="Ja",ISNUMBER(W601)),W601,IF(AND(Parameter!$E$27="Ja",ISNUMBER(Z601),CD601&lt;&gt;"Nein"),Z601,IF(CD601="2+3",IF(ISNUMBER(SEARCH("grosser Artikel",BV601)),2,IFERROR(VLOOKUP(BY601,Parameter!$F$35:$G$64,2,0),2)),IF(OR(CD601="Nein",CD601=""),"-",CD601)))))</f>
        <v>2</v>
      </c>
      <c r="AB601" s="67"/>
      <c r="AC601" s="68"/>
      <c r="AD601" s="62" t="n">
        <f aca="false">AW601</f>
        <v>10</v>
      </c>
      <c r="AE601" s="62" t="n">
        <f aca="false">MAX(AW601,H601)</f>
        <v>10</v>
      </c>
      <c r="AF601" s="69"/>
      <c r="AG601" s="62" t="n">
        <f aca="false">IF(LEFT(Cockpit!$C$5,1)="A",H601,IF(Parameter!$E$30="MAX-Bestand",IF(CI601=1,CJ601,IF(LEFT(Cockpit!$C$5,1)="B",AM601,MAX(AM601,H601))),ROUNDUP(AK601,0)))</f>
        <v>9</v>
      </c>
      <c r="AH601" s="62" t="n">
        <f aca="false">IF(CA601=1,0,ROUNDUP(AG601/BZ601,0))</f>
        <v>2</v>
      </c>
      <c r="AI601" s="64" t="n">
        <f aca="false">IF(CR601&gt;0,CR601*MAX(1,AG601/X601),IF(CA601=1,IF(AG601&lt;=0,0,CE601*MAX(1,IF(H601&gt;0,AG601/H601,1))),IF(R601&gt;0,AH601/R601,0))/MAX(0.1,N(Parameter!$M$21)))</f>
        <v>0.0192307692307692</v>
      </c>
      <c r="AJ601" s="62" t="n">
        <f aca="false">AI601*CC601</f>
        <v>2.98076923076923</v>
      </c>
      <c r="AK601" s="63" t="n">
        <f aca="false">IF(LEFT(Cockpit!$C$5,1)="A",H601,IF(CI601=1,(CL601+CJ601)/2,IF(LEFT(Cockpit!$C$5,1)="B",(CL601+AM601)/2,MAX((CL601+AM601)/2,H601))))</f>
        <v>9</v>
      </c>
      <c r="AL601" s="62" t="n">
        <f aca="false">AK601*G601</f>
        <v>41.85</v>
      </c>
      <c r="AM601" s="62" t="n">
        <f aca="false">ROUNDUP(CL601+MAX(CM601,2*(J601/IF(CH601&gt;0,CH601,MAX(0.1,N(Cockpit!$C$6)))-CL601)),0)</f>
        <v>10</v>
      </c>
      <c r="AN601" s="63" t="n">
        <f aca="false">IF(AJ601&gt;0,J601/AJ601,-1)</f>
        <v>2.68387096774194</v>
      </c>
      <c r="AO601" s="63" t="n">
        <f aca="false">IF(AND(OR(CG601="L1",CG601="L23",CG601="LIFT"),AJ601&gt;0),SUMIFS($AJ$7:$AJ$1843,$CG$7:$CG$1843,CG601,$AN$7:$AN$1843,"&gt;"&amp;AN601)+SUMIFS($AJ$7:$AJ$1843,$CG$7:$CG$1843,CG601,$AN$7:$AN$1843,AN601,$BX$7:$BX$1843,"&lt;="&amp;BX601),"")</f>
        <v>5324.94826007326</v>
      </c>
      <c r="AP601" s="70" t="n">
        <f aca="false">IF(AO601="",0,MAX(0,MIN(1,(IF(CG601="L1",Parameter!$H$5,IF(CG601="L23",Parameter!$H$6+Parameter!$H$7,Parameter!$H$5+Parameter!$H$6+Parameter!$H$7))-(AO601-AJ601))/AJ601)))</f>
        <v>1</v>
      </c>
      <c r="AQ601" s="62" t="n">
        <f aca="false">IF(LEFT(Cockpit!$I$5,1)="A",H601,IF(Parameter!$E$30="MAX-Bestand",IF(CI601=1,CJ601,IF(LEFT(Cockpit!$I$5,1)="B",AW601,MAX(AW601,H601))),ROUNDUP(AU601,0)))</f>
        <v>9</v>
      </c>
      <c r="AR601" s="62" t="n">
        <f aca="false">IF(CA601=1,0,ROUNDUP(AQ601/BZ601,0))</f>
        <v>2</v>
      </c>
      <c r="AS601" s="64" t="n">
        <f aca="false">IF(CR601&gt;0,CR601*MAX(1,AQ601/X601),IF(CA601=1,IF(AQ601&lt;=0,0,CE601*MAX(1,IF(H601&gt;0,AQ601/H601,1))),IF(R601&gt;0,AR601/R601,0))/MAX(0.1,N(Parameter!$M$21)))</f>
        <v>0.0192307692307692</v>
      </c>
      <c r="AT601" s="62" t="n">
        <f aca="false">AS601*CC601</f>
        <v>2.98076923076923</v>
      </c>
      <c r="AU601" s="63" t="n">
        <f aca="false">IF(LEFT(Cockpit!$I$5,1)="A",H601,IF(CI601=1,(CL601+CJ601)/2,IF(LEFT(Cockpit!$I$5,1)="B",(CL601+AW601)/2,MAX((CL601+AW601)/2,H601))))</f>
        <v>9</v>
      </c>
      <c r="AV601" s="62" t="n">
        <f aca="false">AU601*G601</f>
        <v>41.85</v>
      </c>
      <c r="AW601" s="62" t="n">
        <f aca="false">ROUNDUP(CL601+MAX(CM601,2*(J601/IF(CH601&gt;0,CH601,MAX(0.1,N(Cockpit!$I$6)))-CL601)),0)</f>
        <v>10</v>
      </c>
      <c r="AX601" s="63" t="n">
        <f aca="false">IF(AT601&gt;0,J601/AT601,-1)</f>
        <v>2.68387096774194</v>
      </c>
      <c r="AY601" s="63" t="n">
        <f aca="false">IF(AND(OR(CG601="L1",CG601="L23",CG601="LIFT"),AT601&gt;0),SUMIFS($AT$7:$AT$1843,$CG$7:$CG$1843,CG601,$AX$7:$AX$1843,"&gt;"&amp;AX601)+SUMIFS($AT$7:$AT$1843,$CG$7:$CG$1843,CG601,$AX$7:$AX$1843,AX601,$BX$7:$BX$1843,"&lt;="&amp;BX601),"")</f>
        <v>6159.42628205128</v>
      </c>
      <c r="AZ601" s="70" t="n">
        <f aca="false">IF(AY601="",0,MAX(0,MIN(1,(IF(CG601="L1",Parameter!$H$5,IF(CG601="L23",Parameter!$H$6+Parameter!$H$7,Parameter!$H$5+Parameter!$H$6+Parameter!$H$7))-(AY601-AT601))/AT601)))</f>
        <v>1</v>
      </c>
      <c r="BA601" s="62" t="n">
        <f aca="false">IF(LEFT(Cockpit!$O$5,1)="A",H601,IF(Parameter!$E$30="MAX-Bestand",IF(CI601=1,CJ601,IF(LEFT(Cockpit!$O$5,1)="B",BG601,MAX(BG601,H601))),ROUNDUP(BE601,0)))</f>
        <v>5</v>
      </c>
      <c r="BB601" s="62" t="n">
        <f aca="false">IF(CA601=1,0,ROUNDUP(BA601/BZ601,0))</f>
        <v>1</v>
      </c>
      <c r="BC601" s="64" t="n">
        <f aca="false">IF(CR601&gt;0,CR601*MAX(1,BA601/X601),IF(CA601=1,IF(BA601&lt;=0,0,CE601*MAX(1,IF(H601&gt;0,BA601/H601,1))),IF(R601&gt;0,BB601/R601,0))/MAX(0.1,N(Parameter!$M$21)))</f>
        <v>0.00961538461538462</v>
      </c>
      <c r="BD601" s="62" t="n">
        <f aca="false">BC601*CC601</f>
        <v>1.49038461538462</v>
      </c>
      <c r="BE601" s="63" t="n">
        <f aca="false">IF(LEFT(Cockpit!$O$5,1)="A",H601,IF(CI601=1,(CL601+CJ601)/2,IF(LEFT(Cockpit!$O$5,1)="B",(CL601+BG601)/2,MAX((CL601+BG601)/2,H601))))</f>
        <v>5</v>
      </c>
      <c r="BF601" s="62" t="n">
        <f aca="false">BE601*G601</f>
        <v>23.25</v>
      </c>
      <c r="BG601" s="62" t="n">
        <f aca="false">ROUNDUP(CL601+MAX(CM601,2*(J601/IF(CH601&gt;0,CH601,MAX(0.1,N(Cockpit!$O$6)))-CL601)),0)</f>
        <v>10</v>
      </c>
      <c r="BH601" s="63" t="n">
        <f aca="false">IF(BD601&gt;0,J601/BD601,-1)</f>
        <v>5.36774193548387</v>
      </c>
      <c r="BI601" s="63" t="n">
        <f aca="false">IF(AND(OR(CG601="L1",CG601="L23",CG601="LIFT"),BD601&gt;0),SUMIFS($BD$7:$BD$1843,$CG$7:$CG$1843,CG601,$BH$7:$BH$1843,"&gt;"&amp;BH601)+SUMIFS($BD$7:$BD$1843,$CG$7:$CG$1843,CG601,$BH$7:$BH$1843,BH601,$BX$7:$BX$1843,"&lt;="&amp;BX601),"")</f>
        <v>3689.98305860806</v>
      </c>
      <c r="BJ601" s="70" t="n">
        <f aca="false">IF(BI601="",0,MAX(0,MIN(1,(IF(CG601="L1",Parameter!$H$5,IF(CG601="L23",Parameter!$H$6+Parameter!$H$7,Parameter!$H$5+Parameter!$H$6+Parameter!$H$7))-(BI601-BD601))/BD601)))</f>
        <v>1</v>
      </c>
      <c r="BK601" s="60" t="str">
        <f aca="false">IF(AJ601&lt;=0,"",IF(CG601="Aussen","Aussenlager",IF(CG601="-","Nicht im Lift",IF(AP601&gt;=1,"Lift",IF(AP601&lt;=0,"Aussenlager","teilweise")))))</f>
        <v>Lift</v>
      </c>
      <c r="BL601" s="60" t="str">
        <f aca="false">IF(AT601&lt;=0,"",IF(CG601="Aussen","Aussenlager",IF(CG601="-","Nicht im Lift",IF(AZ601&gt;=1,"Lift",IF(AZ601&lt;=0,"Aussenlager","teilweise")))))</f>
        <v>Lift</v>
      </c>
      <c r="BM601" s="60" t="str">
        <f aca="false">IF(BD601&lt;=0,"",IF(CG601="Aussen","Aussenlager",IF(CG601="-","Nicht im Lift",IF(BJ601&gt;=1,"Lift",IF(BJ601&lt;=0,"Aussenlager","teilweise")))))</f>
        <v>Lift</v>
      </c>
      <c r="BN601" s="60" t="str">
        <f aca="false">IF(A601="","",IF(BW601=1,"Neu; ","")&amp;IF(AND(BW601=0,BR601&lt;0),"negativer Bestand (Export "&amp;BR601&amp;"); ","")&amp;IF(J601&lt;=0,"Kein Verbrauch; ","")&amp;IF(CR601&gt;0,"Lift "&amp;W601&amp;" lt. Liftbericht (Fach "&amp;X601&amp;" Stk); ",IF(CB601=1,"Gebinde geschätzt ("&amp;T601&amp;"); ",IF(CA601=1,"Lose – Tablare geschätzt; ","")))&amp;IF(H601&gt;AW601,"Überbestand "&amp;ROUND(H601-AW601,0)&amp;" Stk / CHF "&amp;ROUND((H601-AW601)*G601,0)&amp;"; ","")&amp;IF(AND(CI601=1,CJ601&lt;CK601),"MAX &lt; MB+LG; ","")&amp;IF(AND(CQ601&gt;0,CP601*10&gt;CQ601),"zu hoch für Tablar; ","")&amp;IF(AND(BW601=0,OR(CI601=1,AB601&lt;&gt;"",U601&lt;&gt;"",V601&lt;&gt;"",AC601&lt;&gt;"")),"manuell übersteuert; ","")&amp;IF(AND(CA601=0,R601=0),"Gebinde unbekannt / Stellmass fehlt; ","")&amp;IF(AND(CA601=0,N(V601)&lt;=0,N(Q601)&lt;=0),"Menge pro Gebinde fehlt (Ist = 1 Gebinde); ","")&amp;BV601)</f>
        <v/>
      </c>
      <c r="BO601" s="60"/>
      <c r="BP601" s="60"/>
      <c r="BQ601" s="67"/>
      <c r="BR601" s="62" t="n">
        <v>2</v>
      </c>
      <c r="BS601" s="62" t="n">
        <v>7</v>
      </c>
      <c r="BT601" s="61" t="n">
        <v>5.66</v>
      </c>
      <c r="BU601" s="62" t="n">
        <v>8</v>
      </c>
      <c r="BV601" s="60"/>
      <c r="BW601" s="65" t="n">
        <v>0</v>
      </c>
      <c r="BX601" s="65" t="n">
        <v>601</v>
      </c>
      <c r="BY601" s="60" t="str">
        <f aca="false">IF(U601&lt;&gt;"",UPPER(TRIM(U601)),IF(CB601=1,UPPER(VLOOKUP(T601,Parameter!$I$27:$K$29,2,0)),IF(P601="","LOSE",P601)))</f>
        <v>S32</v>
      </c>
      <c r="BZ601" s="62" t="n">
        <f aca="false">IF(BY601="LOSE",1,IF(N(V601)&gt;0,V601,IF(CB601=1,MAX(1,N(VLOOKUP(T601,Parameter!$I$27:$K$29,3,0)),H601,N(N601)),IF(N(Q601)&gt;0,Q601,MAX(1,H601)))))</f>
        <v>7</v>
      </c>
      <c r="CA601" s="65" t="n">
        <f aca="false">IF(BY601="LOSE",1,0)</f>
        <v>0</v>
      </c>
      <c r="CB601" s="65" t="n">
        <f aca="false">IF(AND(U601="",OR(P601="",P601="LOSE"),T601&lt;&gt;"",N(S601)&lt;=0,ISNUMBER(MATCH(T601,Parameter!$I$27:$I$29,0))),1,0)</f>
        <v>0</v>
      </c>
      <c r="CC601" s="65" t="n">
        <f aca="false">IF(CR601&gt;0,INDEX(Parameter!$H$5:$H$7,W601)/INDEX(Parameter!$E$5:$E$7,W601),IF(AND(CA601=0,N(IFERROR(VLOOKUP(BY601,'Gebinde-Kategorie'!$A$5:$N$45,14,0),0))&gt;0),VLOOKUP(BY601,'Gebinde-Kategorie'!$A$5:$N$45,14,0)*10+Parameter!$M$23,Parameter!$M$24))</f>
        <v>155</v>
      </c>
      <c r="CD601" s="60" t="str">
        <f aca="false">IF(AND(Parameter!$B$19="Ja",E601&lt;&gt;"",ISNUMBER(MATCH(E601,Parameter!$I$35:$I$52,0))),VLOOKUP(E601,Parameter!$I$35:$J$52,2,0),IFERROR(VLOOKUP(D601,Parameter!$A$35:$C$64,2,0),"Nein"))</f>
        <v>2+3</v>
      </c>
      <c r="CE601" s="64" t="n">
        <f aca="false">IF(CA601=0,0,IF(N(S601)&gt;0,S601,IFERROR(VLOOKUP(D601,Parameter!$A$35:$C$64,3,0)+0,0)))</f>
        <v>0</v>
      </c>
      <c r="CF601" s="60" t="n">
        <f aca="false">IF(AB601&lt;&gt;"",AB601,AA601)</f>
        <v>2</v>
      </c>
      <c r="CG601" s="60" t="str">
        <f aca="false">IF(OR(CF601=1,CF601=2,CF601=3),IF(Parameter!$E$27="Ja","LIFT",IF(CF601=1,"L1","L23")),IF(CF601="Aussen","Aussen","-"))</f>
        <v>LIFT</v>
      </c>
      <c r="CH601" s="71" t="n">
        <f aca="false">IF(N(AC601)&gt;0,AC601,0)</f>
        <v>0</v>
      </c>
      <c r="CI601" s="65" t="n">
        <f aca="false">IF(ISNUMBER(AF601),1,0)</f>
        <v>0</v>
      </c>
      <c r="CJ601" s="62" t="n">
        <f aca="false">N(AF601)</f>
        <v>0</v>
      </c>
      <c r="CK601" s="62" t="n">
        <f aca="false">N(M601)+N(N601)</f>
        <v>10</v>
      </c>
      <c r="CL601" s="62" t="n">
        <f aca="false">N(M601)</f>
        <v>0</v>
      </c>
      <c r="CM601" s="62" t="n">
        <f aca="false">N(N601)</f>
        <v>10</v>
      </c>
      <c r="CN601" s="62" t="n">
        <f aca="false">ROUNDUP(H601/BZ601,0)</f>
        <v>2</v>
      </c>
      <c r="CO601" s="62" t="n">
        <f aca="false">ROUNDUP(CJ601/BZ601,0)</f>
        <v>0</v>
      </c>
      <c r="CP601" s="65" t="n">
        <f aca="false">IF(CA601=1,0,IFERROR(VLOOKUP(BY601,'Gebinde-Kategorie'!$A$5:$N$45,5,0)+0,0))</f>
        <v>8</v>
      </c>
      <c r="CQ601" s="65" t="n">
        <f aca="false">IFERROR(IF(OR(CF601=1,CF601=2,CF601=3),N(INDEX(Parameter!$I$5:$I$7,CF601)),0),0)</f>
        <v>0</v>
      </c>
      <c r="CR601" s="64" t="n">
        <f aca="false">IF(AND(Parameter!$B$21="Ja",ISNUMBER(W601),N(X601)&gt;0),IFERROR(N(INDEX(Parameter!$L$5:$L$7,W601))*INDEX(Parameter!$E$5:$E$7,W601)*X601/SUMIFS($X$7:$X$1843,$W$7:$W$1843,W601),0),0)</f>
        <v>0</v>
      </c>
      <c r="CS601" s="62" t="n">
        <f aca="false">IF(AND(OR(CG601="L1",CG601="L23",CG601="LIFT"),H601&gt;0),CC601*IF(CR601&gt;0,CR601*MAX(1,H601/X601),IF(CA601=1,CE601,IF(R601&gt;0,CN601/R601,0))/MAX(0.1,N(Parameter!$M$21))),"")</f>
        <v>2.98076923076923</v>
      </c>
      <c r="CT601" s="64" t="n">
        <f aca="false">IF(CS601="","",J601/H601)</f>
        <v>0.888888888888889</v>
      </c>
      <c r="CU601" s="62" t="n">
        <f aca="false">IF(CS601="","",H601*G601)</f>
        <v>41.85</v>
      </c>
      <c r="CV601" s="63" t="n">
        <f aca="false">IF(CS601="","",(CL601+ROUNDUP(CL601+MAX(CM601,2*(J601/MAX(0.1,N(Einkauf!$C$6))-CL601)),0))/2)</f>
        <v>5</v>
      </c>
      <c r="CW601" s="62" t="n">
        <f aca="false">IF(CS601="","",MAX(0,H601-CV601)*G601)</f>
        <v>18.6</v>
      </c>
      <c r="CX601" s="62" t="n">
        <f aca="false">IF(CS601="","",CS601*MAX(0,1-CV601/H601))</f>
        <v>1.32478632478632</v>
      </c>
      <c r="CY601" s="64" t="n">
        <f aca="false">IF(CS601="","",PERCENTRANK($CS$7:$CS$1843,CS601)+PERCENTRANK($CU$7:$CU$1843,CU601)+1-PERCENTRANK($CT$7:$CT$1843,CT601))</f>
        <v>0.733</v>
      </c>
      <c r="CZ601" s="72" t="n">
        <f aca="false">IF(CS601="","",CHOOSE(MATCH(Einkauf!$C$5,Parameter!$G$23:$G$27,0),CY601,CS601,CU601,-CT601,CW601)+ROW()/1000000000)</f>
        <v>0.733000601</v>
      </c>
    </row>
    <row r="602" customFormat="false" ht="15" hidden="false" customHeight="false" outlineLevel="0" collapsed="false">
      <c r="A602" s="60" t="s">
        <v>1289</v>
      </c>
      <c r="B602" s="60" t="s">
        <v>903</v>
      </c>
      <c r="C602" s="60" t="s">
        <v>206</v>
      </c>
      <c r="D602" s="60" t="s">
        <v>1037</v>
      </c>
      <c r="E602" s="60"/>
      <c r="F602" s="60" t="s">
        <v>260</v>
      </c>
      <c r="G602" s="61" t="n">
        <v>2.8</v>
      </c>
      <c r="H602" s="62" t="n">
        <f aca="false">MAX(0,IF(AND(Parameter!$B$21="Ja",ISNUMBER(Y602)),Y602,IF(Parameter!$B$20="Jahresanfang 2025 + Export",BS602+BR602,BR602)))</f>
        <v>2</v>
      </c>
      <c r="I602" s="62" t="n">
        <f aca="false">H602*G602</f>
        <v>5.6</v>
      </c>
      <c r="J602" s="62" t="n">
        <f aca="false">BU602*Parameter!$B$18</f>
        <v>23</v>
      </c>
      <c r="K602" s="63" t="n">
        <v>1</v>
      </c>
      <c r="L602" s="64" t="n">
        <v>23</v>
      </c>
      <c r="M602" s="62" t="n">
        <v>0</v>
      </c>
      <c r="N602" s="62" t="n">
        <v>10</v>
      </c>
      <c r="O602" s="65" t="n">
        <v>14</v>
      </c>
      <c r="P602" s="60" t="s">
        <v>210</v>
      </c>
      <c r="Q602" s="62"/>
      <c r="R602" s="65" t="n">
        <f aca="false">IF(CA602=1,0,IFERROR(VLOOKUP(BY602,'Gebinde-Kategorie'!$A$5:$N$45,13,0)+0,0))</f>
        <v>0</v>
      </c>
      <c r="S602" s="66"/>
      <c r="T602" s="67"/>
      <c r="U602" s="67"/>
      <c r="V602" s="67"/>
      <c r="W602" s="60"/>
      <c r="X602" s="62"/>
      <c r="Y602" s="62"/>
      <c r="Z602" s="60"/>
      <c r="AA602" s="60" t="str">
        <f aca="false">IF(A602="","",IF(AND(Parameter!$B$21="Ja",ISNUMBER(W602)),W602,IF(AND(Parameter!$E$27="Ja",ISNUMBER(Z602),CD602&lt;&gt;"Nein"),Z602,IF(CD602="2+3",IF(ISNUMBER(SEARCH("grosser Artikel",BV602)),2,IFERROR(VLOOKUP(BY602,Parameter!$F$35:$G$64,2,0),2)),IF(OR(CD602="Nein",CD602=""),"-",CD602)))))</f>
        <v>-</v>
      </c>
      <c r="AB602" s="67"/>
      <c r="AC602" s="68"/>
      <c r="AD602" s="62" t="n">
        <f aca="false">AW602</f>
        <v>16</v>
      </c>
      <c r="AE602" s="62" t="n">
        <f aca="false">MAX(AW602,H602)</f>
        <v>16</v>
      </c>
      <c r="AF602" s="69"/>
      <c r="AG602" s="62" t="n">
        <f aca="false">IF(LEFT(Cockpit!$C$5,1)="A",H602,IF(Parameter!$E$30="MAX-Bestand",IF(CI602=1,CJ602,IF(LEFT(Cockpit!$C$5,1)="B",AM602,MAX(AM602,H602))),ROUNDUP(AK602,0)))</f>
        <v>2</v>
      </c>
      <c r="AH602" s="62" t="n">
        <f aca="false">IF(CA602=1,0,ROUNDUP(AG602/BZ602,0))</f>
        <v>0</v>
      </c>
      <c r="AI602" s="64" t="n">
        <f aca="false">IF(CR602&gt;0,CR602*MAX(1,AG602/X602),IF(CA602=1,IF(AG602&lt;=0,0,CE602*MAX(1,IF(H602&gt;0,AG602/H602,1))),IF(R602&gt;0,AH602/R602,0))/MAX(0.1,N(Parameter!$M$21)))</f>
        <v>0.15</v>
      </c>
      <c r="AJ602" s="62" t="n">
        <f aca="false">AI602*CC602</f>
        <v>35.25</v>
      </c>
      <c r="AK602" s="63" t="n">
        <f aca="false">IF(LEFT(Cockpit!$C$5,1)="A",H602,IF(CI602=1,(CL602+CJ602)/2,IF(LEFT(Cockpit!$C$5,1)="B",(CL602+AM602)/2,MAX((CL602+AM602)/2,H602))))</f>
        <v>2</v>
      </c>
      <c r="AL602" s="62" t="n">
        <f aca="false">AK602*G602</f>
        <v>5.6</v>
      </c>
      <c r="AM602" s="62" t="n">
        <f aca="false">ROUNDUP(CL602+MAX(CM602,2*(J602/IF(CH602&gt;0,CH602,MAX(0.1,N(Cockpit!$C$6)))-CL602)),0)</f>
        <v>16</v>
      </c>
      <c r="AN602" s="63" t="n">
        <f aca="false">IF(AJ602&gt;0,J602/AJ602,-1)</f>
        <v>0.652482269503546</v>
      </c>
      <c r="AO602" s="63" t="str">
        <f aca="false">IF(AND(OR(CG602="L1",CG602="L23",CG602="LIFT"),AJ602&gt;0),SUMIFS($AJ$7:$AJ$1843,$CG$7:$CG$1843,CG602,$AN$7:$AN$1843,"&gt;"&amp;AN602)+SUMIFS($AJ$7:$AJ$1843,$CG$7:$CG$1843,CG602,$AN$7:$AN$1843,AN602,$BX$7:$BX$1843,"&lt;="&amp;BX602),"")</f>
        <v/>
      </c>
      <c r="AP602" s="70" t="n">
        <f aca="false">IF(AO602="",0,MAX(0,MIN(1,(IF(CG602="L1",Parameter!$H$5,IF(CG602="L23",Parameter!$H$6+Parameter!$H$7,Parameter!$H$5+Parameter!$H$6+Parameter!$H$7))-(AO602-AJ602))/AJ602)))</f>
        <v>0</v>
      </c>
      <c r="AQ602" s="62" t="n">
        <f aca="false">IF(LEFT(Cockpit!$I$5,1)="A",H602,IF(Parameter!$E$30="MAX-Bestand",IF(CI602=1,CJ602,IF(LEFT(Cockpit!$I$5,1)="B",AW602,MAX(AW602,H602))),ROUNDUP(AU602,0)))</f>
        <v>8</v>
      </c>
      <c r="AR602" s="62" t="n">
        <f aca="false">IF(CA602=1,0,ROUNDUP(AQ602/BZ602,0))</f>
        <v>0</v>
      </c>
      <c r="AS602" s="64" t="n">
        <f aca="false">IF(CR602&gt;0,CR602*MAX(1,AQ602/X602),IF(CA602=1,IF(AQ602&lt;=0,0,CE602*MAX(1,IF(H602&gt;0,AQ602/H602,1))),IF(R602&gt;0,AR602/R602,0))/MAX(0.1,N(Parameter!$M$21)))</f>
        <v>0.6</v>
      </c>
      <c r="AT602" s="62" t="n">
        <f aca="false">AS602*CC602</f>
        <v>141</v>
      </c>
      <c r="AU602" s="63" t="n">
        <f aca="false">IF(LEFT(Cockpit!$I$5,1)="A",H602,IF(CI602=1,(CL602+CJ602)/2,IF(LEFT(Cockpit!$I$5,1)="B",(CL602+AW602)/2,MAX((CL602+AW602)/2,H602))))</f>
        <v>8</v>
      </c>
      <c r="AV602" s="62" t="n">
        <f aca="false">AU602*G602</f>
        <v>22.4</v>
      </c>
      <c r="AW602" s="62" t="n">
        <f aca="false">ROUNDUP(CL602+MAX(CM602,2*(J602/IF(CH602&gt;0,CH602,MAX(0.1,N(Cockpit!$I$6)))-CL602)),0)</f>
        <v>16</v>
      </c>
      <c r="AX602" s="63" t="n">
        <f aca="false">IF(AT602&gt;0,J602/AT602,-1)</f>
        <v>0.163120567375887</v>
      </c>
      <c r="AY602" s="63" t="str">
        <f aca="false">IF(AND(OR(CG602="L1",CG602="L23",CG602="LIFT"),AT602&gt;0),SUMIFS($AT$7:$AT$1843,$CG$7:$CG$1843,CG602,$AX$7:$AX$1843,"&gt;"&amp;AX602)+SUMIFS($AT$7:$AT$1843,$CG$7:$CG$1843,CG602,$AX$7:$AX$1843,AX602,$BX$7:$BX$1843,"&lt;="&amp;BX602),"")</f>
        <v/>
      </c>
      <c r="AZ602" s="70" t="n">
        <f aca="false">IF(AY602="",0,MAX(0,MIN(1,(IF(CG602="L1",Parameter!$H$5,IF(CG602="L23",Parameter!$H$6+Parameter!$H$7,Parameter!$H$5+Parameter!$H$6+Parameter!$H$7))-(AY602-AT602))/AT602)))</f>
        <v>0</v>
      </c>
      <c r="BA602" s="62" t="n">
        <f aca="false">IF(LEFT(Cockpit!$O$5,1)="A",H602,IF(Parameter!$E$30="MAX-Bestand",IF(CI602=1,CJ602,IF(LEFT(Cockpit!$O$5,1)="B",BG602,MAX(BG602,H602))),ROUNDUP(BE602,0)))</f>
        <v>6</v>
      </c>
      <c r="BB602" s="62" t="n">
        <f aca="false">IF(CA602=1,0,ROUNDUP(BA602/BZ602,0))</f>
        <v>0</v>
      </c>
      <c r="BC602" s="64" t="n">
        <f aca="false">IF(CR602&gt;0,CR602*MAX(1,BA602/X602),IF(CA602=1,IF(BA602&lt;=0,0,CE602*MAX(1,IF(H602&gt;0,BA602/H602,1))),IF(R602&gt;0,BB602/R602,0))/MAX(0.1,N(Parameter!$M$21)))</f>
        <v>0.45</v>
      </c>
      <c r="BD602" s="62" t="n">
        <f aca="false">BC602*CC602</f>
        <v>105.75</v>
      </c>
      <c r="BE602" s="63" t="n">
        <f aca="false">IF(LEFT(Cockpit!$O$5,1)="A",H602,IF(CI602=1,(CL602+CJ602)/2,IF(LEFT(Cockpit!$O$5,1)="B",(CL602+BG602)/2,MAX((CL602+BG602)/2,H602))))</f>
        <v>6</v>
      </c>
      <c r="BF602" s="62" t="n">
        <f aca="false">BE602*G602</f>
        <v>16.8</v>
      </c>
      <c r="BG602" s="62" t="n">
        <f aca="false">ROUNDUP(CL602+MAX(CM602,2*(J602/IF(CH602&gt;0,CH602,MAX(0.1,N(Cockpit!$O$6)))-CL602)),0)</f>
        <v>12</v>
      </c>
      <c r="BH602" s="63" t="n">
        <f aca="false">IF(BD602&gt;0,J602/BD602,-1)</f>
        <v>0.217494089834515</v>
      </c>
      <c r="BI602" s="63" t="str">
        <f aca="false">IF(AND(OR(CG602="L1",CG602="L23",CG602="LIFT"),BD602&gt;0),SUMIFS($BD$7:$BD$1843,$CG$7:$CG$1843,CG602,$BH$7:$BH$1843,"&gt;"&amp;BH602)+SUMIFS($BD$7:$BD$1843,$CG$7:$CG$1843,CG602,$BH$7:$BH$1843,BH602,$BX$7:$BX$1843,"&lt;="&amp;BX602),"")</f>
        <v/>
      </c>
      <c r="BJ602" s="70" t="n">
        <f aca="false">IF(BI602="",0,MAX(0,MIN(1,(IF(CG602="L1",Parameter!$H$5,IF(CG602="L23",Parameter!$H$6+Parameter!$H$7,Parameter!$H$5+Parameter!$H$6+Parameter!$H$7))-(BI602-BD602))/BD602)))</f>
        <v>0</v>
      </c>
      <c r="BK602" s="60" t="str">
        <f aca="false">IF(AJ602&lt;=0,"",IF(CG602="Aussen","Aussenlager",IF(CG602="-","Nicht im Lift",IF(AP602&gt;=1,"Lift",IF(AP602&lt;=0,"Aussenlager","teilweise")))))</f>
        <v>Nicht im Lift</v>
      </c>
      <c r="BL602" s="60" t="str">
        <f aca="false">IF(AT602&lt;=0,"",IF(CG602="Aussen","Aussenlager",IF(CG602="-","Nicht im Lift",IF(AZ602&gt;=1,"Lift",IF(AZ602&lt;=0,"Aussenlager","teilweise")))))</f>
        <v>Nicht im Lift</v>
      </c>
      <c r="BM602" s="60" t="str">
        <f aca="false">IF(BD602&lt;=0,"",IF(CG602="Aussen","Aussenlager",IF(CG602="-","Nicht im Lift",IF(BJ602&gt;=1,"Lift",IF(BJ602&lt;=0,"Aussenlager","teilweise")))))</f>
        <v>Nicht im Lift</v>
      </c>
      <c r="BN602" s="60" t="str">
        <f aca="false">IF(A602="","",IF(BW602=1,"Neu; ","")&amp;IF(AND(BW602=0,BR602&lt;0),"negativer Bestand (Export "&amp;BR602&amp;"); ","")&amp;IF(J602&lt;=0,"Kein Verbrauch; ","")&amp;IF(CR602&gt;0,"Lift "&amp;W602&amp;" lt. Liftbericht (Fach "&amp;X602&amp;" Stk); ",IF(CB602=1,"Gebinde geschätzt ("&amp;T602&amp;"); ",IF(CA602=1,"Lose – Tablare geschätzt; ","")))&amp;IF(H602&gt;AW602,"Überbestand "&amp;ROUND(H602-AW602,0)&amp;" Stk / CHF "&amp;ROUND((H602-AW602)*G602,0)&amp;"; ","")&amp;IF(AND(CI602=1,CJ602&lt;CK602),"MAX &lt; MB+LG; ","")&amp;IF(AND(CQ602&gt;0,CP602*10&gt;CQ602),"zu hoch für Tablar; ","")&amp;IF(AND(BW602=0,OR(CI602=1,AB602&lt;&gt;"",U602&lt;&gt;"",V602&lt;&gt;"",AC602&lt;&gt;"")),"manuell übersteuert; ","")&amp;IF(AND(CA602=0,R602=0),"Gebinde unbekannt / Stellmass fehlt; ","")&amp;IF(AND(CA602=0,N(V602)&lt;=0,N(Q602)&lt;=0),"Menge pro Gebinde fehlt (Ist = 1 Gebinde); ","")&amp;BV602)</f>
        <v>Lose – Tablare geschätzt; </v>
      </c>
      <c r="BO602" s="60"/>
      <c r="BP602" s="60"/>
      <c r="BQ602" s="67"/>
      <c r="BR602" s="62" t="n">
        <v>2</v>
      </c>
      <c r="BS602" s="62" t="n">
        <v>0</v>
      </c>
      <c r="BT602" s="61" t="n">
        <v>5.59999999999999</v>
      </c>
      <c r="BU602" s="62" t="n">
        <v>23</v>
      </c>
      <c r="BV602" s="60"/>
      <c r="BW602" s="65" t="n">
        <v>0</v>
      </c>
      <c r="BX602" s="65" t="n">
        <v>602</v>
      </c>
      <c r="BY602" s="60" t="str">
        <f aca="false">IF(U602&lt;&gt;"",UPPER(TRIM(U602)),IF(CB602=1,UPPER(VLOOKUP(T602,Parameter!$I$27:$K$29,2,0)),IF(P602="","LOSE",P602)))</f>
        <v>LOSE</v>
      </c>
      <c r="BZ602" s="62" t="n">
        <f aca="false">IF(BY602="LOSE",1,IF(N(V602)&gt;0,V602,IF(CB602=1,MAX(1,N(VLOOKUP(T602,Parameter!$I$27:$K$29,3,0)),H602,N(N602)),IF(N(Q602)&gt;0,Q602,MAX(1,H602)))))</f>
        <v>1</v>
      </c>
      <c r="CA602" s="65" t="n">
        <f aca="false">IF(BY602="LOSE",1,0)</f>
        <v>1</v>
      </c>
      <c r="CB602" s="65" t="n">
        <f aca="false">IF(AND(U602="",OR(P602="",P602="LOSE"),T602&lt;&gt;"",N(S602)&lt;=0,ISNUMBER(MATCH(T602,Parameter!$I$27:$I$29,0))),1,0)</f>
        <v>0</v>
      </c>
      <c r="CC602" s="65" t="n">
        <f aca="false">IF(CR602&gt;0,INDEX(Parameter!$H$5:$H$7,W602)/INDEX(Parameter!$E$5:$E$7,W602),IF(AND(CA602=0,N(IFERROR(VLOOKUP(BY602,'Gebinde-Kategorie'!$A$5:$N$45,14,0),0))&gt;0),VLOOKUP(BY602,'Gebinde-Kategorie'!$A$5:$N$45,14,0)*10+Parameter!$M$23,Parameter!$M$24))</f>
        <v>235</v>
      </c>
      <c r="CD602" s="60" t="str">
        <f aca="false">IF(AND(Parameter!$B$19="Ja",E602&lt;&gt;"",ISNUMBER(MATCH(E602,Parameter!$I$35:$I$52,0))),VLOOKUP(E602,Parameter!$I$35:$J$52,2,0),IFERROR(VLOOKUP(D602,Parameter!$A$35:$C$64,2,0),"Nein"))</f>
        <v>Nein</v>
      </c>
      <c r="CE602" s="64" t="n">
        <f aca="false">IF(CA602=0,0,IF(N(S602)&gt;0,S602,IFERROR(VLOOKUP(D602,Parameter!$A$35:$C$64,3,0)+0,0)))</f>
        <v>0.15</v>
      </c>
      <c r="CF602" s="60" t="str">
        <f aca="false">IF(AB602&lt;&gt;"",AB602,AA602)</f>
        <v>-</v>
      </c>
      <c r="CG602" s="60" t="str">
        <f aca="false">IF(OR(CF602=1,CF602=2,CF602=3),IF(Parameter!$E$27="Ja","LIFT",IF(CF602=1,"L1","L23")),IF(CF602="Aussen","Aussen","-"))</f>
        <v>-</v>
      </c>
      <c r="CH602" s="71" t="n">
        <f aca="false">IF(N(AC602)&gt;0,AC602,0)</f>
        <v>0</v>
      </c>
      <c r="CI602" s="65" t="n">
        <f aca="false">IF(ISNUMBER(AF602),1,0)</f>
        <v>0</v>
      </c>
      <c r="CJ602" s="62" t="n">
        <f aca="false">N(AF602)</f>
        <v>0</v>
      </c>
      <c r="CK602" s="62" t="n">
        <f aca="false">N(M602)+N(N602)</f>
        <v>10</v>
      </c>
      <c r="CL602" s="62" t="n">
        <f aca="false">N(M602)</f>
        <v>0</v>
      </c>
      <c r="CM602" s="62" t="n">
        <f aca="false">N(N602)</f>
        <v>10</v>
      </c>
      <c r="CN602" s="62" t="n">
        <f aca="false">ROUNDUP(H602/BZ602,0)</f>
        <v>2</v>
      </c>
      <c r="CO602" s="62" t="n">
        <f aca="false">ROUNDUP(CJ602/BZ602,0)</f>
        <v>0</v>
      </c>
      <c r="CP602" s="65" t="n">
        <f aca="false">IF(CA602=1,0,IFERROR(VLOOKUP(BY602,'Gebinde-Kategorie'!$A$5:$N$45,5,0)+0,0))</f>
        <v>0</v>
      </c>
      <c r="CQ602" s="65" t="n">
        <f aca="false">IFERROR(IF(OR(CF602=1,CF602=2,CF602=3),N(INDEX(Parameter!$I$5:$I$7,CF602)),0),0)</f>
        <v>0</v>
      </c>
      <c r="CR602" s="64" t="n">
        <f aca="false">IF(AND(Parameter!$B$21="Ja",ISNUMBER(W602),N(X602)&gt;0),IFERROR(N(INDEX(Parameter!$L$5:$L$7,W602))*INDEX(Parameter!$E$5:$E$7,W602)*X602/SUMIFS($X$7:$X$1843,$W$7:$W$1843,W602),0),0)</f>
        <v>0</v>
      </c>
      <c r="CS602" s="62" t="str">
        <f aca="false">IF(AND(OR(CG602="L1",CG602="L23",CG602="LIFT"),H602&gt;0),CC602*IF(CR602&gt;0,CR602*MAX(1,H602/X602),IF(CA602=1,CE602,IF(R602&gt;0,CN602/R602,0))/MAX(0.1,N(Parameter!$M$21))),"")</f>
        <v/>
      </c>
      <c r="CT602" s="64" t="str">
        <f aca="false">IF(CS602="","",J602/H602)</f>
        <v/>
      </c>
      <c r="CU602" s="62" t="str">
        <f aca="false">IF(CS602="","",H602*G602)</f>
        <v/>
      </c>
      <c r="CV602" s="63" t="str">
        <f aca="false">IF(CS602="","",(CL602+ROUNDUP(CL602+MAX(CM602,2*(J602/MAX(0.1,N(Einkauf!$C$6))-CL602)),0))/2)</f>
        <v/>
      </c>
      <c r="CW602" s="62" t="str">
        <f aca="false">IF(CS602="","",MAX(0,H602-CV602)*G602)</f>
        <v/>
      </c>
      <c r="CX602" s="62" t="str">
        <f aca="false">IF(CS602="","",CS602*MAX(0,1-CV602/H602))</f>
        <v/>
      </c>
      <c r="CY602" s="64" t="str">
        <f aca="false">IF(CS602="","",PERCENTRANK($CS$7:$CS$1843,CS602)+PERCENTRANK($CU$7:$CU$1843,CU602)+1-PERCENTRANK($CT$7:$CT$1843,CT602))</f>
        <v/>
      </c>
      <c r="CZ602" s="72" t="str">
        <f aca="false">IF(CS602="","",CHOOSE(MATCH(Einkauf!$C$5,Parameter!$G$23:$G$27,0),CY602,CS602,CU602,-CT602,CW602)+ROW()/1000000000)</f>
        <v/>
      </c>
    </row>
    <row r="603" customFormat="false" ht="15" hidden="false" customHeight="false" outlineLevel="0" collapsed="false">
      <c r="A603" s="60" t="s">
        <v>1290</v>
      </c>
      <c r="B603" s="60" t="s">
        <v>1291</v>
      </c>
      <c r="C603" s="60" t="s">
        <v>206</v>
      </c>
      <c r="D603" s="60" t="s">
        <v>226</v>
      </c>
      <c r="E603" s="60"/>
      <c r="F603" s="60" t="s">
        <v>260</v>
      </c>
      <c r="G603" s="61" t="n">
        <v>4.15</v>
      </c>
      <c r="H603" s="62" t="n">
        <f aca="false">MAX(0,IF(AND(Parameter!$B$21="Ja",ISNUMBER(Y603)),Y603,IF(Parameter!$B$20="Jahresanfang 2025 + Export",BS603+BR603,BR603)))</f>
        <v>8</v>
      </c>
      <c r="I603" s="62" t="n">
        <f aca="false">H603*G603</f>
        <v>33.2</v>
      </c>
      <c r="J603" s="62" t="n">
        <f aca="false">BU603*Parameter!$B$18</f>
        <v>1</v>
      </c>
      <c r="K603" s="63" t="n">
        <v>8</v>
      </c>
      <c r="L603" s="64" t="n">
        <v>0.125</v>
      </c>
      <c r="M603" s="62" t="n">
        <v>0</v>
      </c>
      <c r="N603" s="62" t="n">
        <v>1</v>
      </c>
      <c r="O603" s="65" t="n">
        <v>14</v>
      </c>
      <c r="P603" s="60" t="s">
        <v>370</v>
      </c>
      <c r="Q603" s="62" t="n">
        <v>10</v>
      </c>
      <c r="R603" s="65" t="n">
        <f aca="false">IF(CA603=1,0,IFERROR(VLOOKUP(BY603,'Gebinde-Kategorie'!$A$5:$N$45,13,0)+0,0))</f>
        <v>52</v>
      </c>
      <c r="S603" s="66"/>
      <c r="T603" s="67"/>
      <c r="U603" s="67"/>
      <c r="V603" s="67"/>
      <c r="W603" s="60"/>
      <c r="X603" s="62"/>
      <c r="Y603" s="62"/>
      <c r="Z603" s="60" t="n">
        <v>2</v>
      </c>
      <c r="AA603" s="60" t="n">
        <f aca="false">IF(A603="","",IF(AND(Parameter!$B$21="Ja",ISNUMBER(W603)),W603,IF(AND(Parameter!$E$27="Ja",ISNUMBER(Z603),CD603&lt;&gt;"Nein"),Z603,IF(CD603="2+3",IF(ISNUMBER(SEARCH("grosser Artikel",BV603)),2,IFERROR(VLOOKUP(BY603,Parameter!$F$35:$G$64,2,0),2)),IF(OR(CD603="Nein",CD603=""),"-",CD603)))))</f>
        <v>2</v>
      </c>
      <c r="AB603" s="67"/>
      <c r="AC603" s="68"/>
      <c r="AD603" s="62" t="n">
        <f aca="false">AW603</f>
        <v>1</v>
      </c>
      <c r="AE603" s="62" t="n">
        <f aca="false">MAX(AW603,H603)</f>
        <v>8</v>
      </c>
      <c r="AF603" s="69"/>
      <c r="AG603" s="62" t="n">
        <f aca="false">IF(LEFT(Cockpit!$C$5,1)="A",H603,IF(Parameter!$E$30="MAX-Bestand",IF(CI603=1,CJ603,IF(LEFT(Cockpit!$C$5,1)="B",AM603,MAX(AM603,H603))),ROUNDUP(AK603,0)))</f>
        <v>8</v>
      </c>
      <c r="AH603" s="62" t="n">
        <f aca="false">IF(CA603=1,0,ROUNDUP(AG603/BZ603,0))</f>
        <v>1</v>
      </c>
      <c r="AI603" s="64" t="n">
        <f aca="false">IF(CR603&gt;0,CR603*MAX(1,AG603/X603),IF(CA603=1,IF(AG603&lt;=0,0,CE603*MAX(1,IF(H603&gt;0,AG603/H603,1))),IF(R603&gt;0,AH603/R603,0))/MAX(0.1,N(Parameter!$M$21)))</f>
        <v>0.0192307692307692</v>
      </c>
      <c r="AJ603" s="62" t="n">
        <f aca="false">AI603*CC603</f>
        <v>2.98076923076923</v>
      </c>
      <c r="AK603" s="63" t="n">
        <f aca="false">IF(LEFT(Cockpit!$C$5,1)="A",H603,IF(CI603=1,(CL603+CJ603)/2,IF(LEFT(Cockpit!$C$5,1)="B",(CL603+AM603)/2,MAX((CL603+AM603)/2,H603))))</f>
        <v>8</v>
      </c>
      <c r="AL603" s="62" t="n">
        <f aca="false">AK603*G603</f>
        <v>33.2</v>
      </c>
      <c r="AM603" s="62" t="n">
        <f aca="false">ROUNDUP(CL603+MAX(CM603,2*(J603/IF(CH603&gt;0,CH603,MAX(0.1,N(Cockpit!$C$6)))-CL603)),0)</f>
        <v>1</v>
      </c>
      <c r="AN603" s="63" t="n">
        <f aca="false">IF(AJ603&gt;0,J603/AJ603,-1)</f>
        <v>0.335483870967742</v>
      </c>
      <c r="AO603" s="63" t="n">
        <f aca="false">IF(AND(OR(CG603="L1",CG603="L23",CG603="LIFT"),AJ603&gt;0),SUMIFS($AJ$7:$AJ$1843,$CG$7:$CG$1843,CG603,$AN$7:$AN$1843,"&gt;"&amp;AN603)+SUMIFS($AJ$7:$AJ$1843,$CG$7:$CG$1843,CG603,$AN$7:$AN$1843,AN603,$BX$7:$BX$1843,"&lt;="&amp;BX603),"")</f>
        <v>11186.0193471782</v>
      </c>
      <c r="AP603" s="70" t="n">
        <f aca="false">IF(AO603="",0,MAX(0,MIN(1,(IF(CG603="L1",Parameter!$H$5,IF(CG603="L23",Parameter!$H$6+Parameter!$H$7,Parameter!$H$5+Parameter!$H$6+Parameter!$H$7))-(AO603-AJ603))/AJ603)))</f>
        <v>1</v>
      </c>
      <c r="AQ603" s="62" t="n">
        <f aca="false">IF(LEFT(Cockpit!$I$5,1)="A",H603,IF(Parameter!$E$30="MAX-Bestand",IF(CI603=1,CJ603,IF(LEFT(Cockpit!$I$5,1)="B",AW603,MAX(AW603,H603))),ROUNDUP(AU603,0)))</f>
        <v>8</v>
      </c>
      <c r="AR603" s="62" t="n">
        <f aca="false">IF(CA603=1,0,ROUNDUP(AQ603/BZ603,0))</f>
        <v>1</v>
      </c>
      <c r="AS603" s="64" t="n">
        <f aca="false">IF(CR603&gt;0,CR603*MAX(1,AQ603/X603),IF(CA603=1,IF(AQ603&lt;=0,0,CE603*MAX(1,IF(H603&gt;0,AQ603/H603,1))),IF(R603&gt;0,AR603/R603,0))/MAX(0.1,N(Parameter!$M$21)))</f>
        <v>0.0192307692307692</v>
      </c>
      <c r="AT603" s="62" t="n">
        <f aca="false">AS603*CC603</f>
        <v>2.98076923076923</v>
      </c>
      <c r="AU603" s="63" t="n">
        <f aca="false">IF(LEFT(Cockpit!$I$5,1)="A",H603,IF(CI603=1,(CL603+CJ603)/2,IF(LEFT(Cockpit!$I$5,1)="B",(CL603+AW603)/2,MAX((CL603+AW603)/2,H603))))</f>
        <v>8</v>
      </c>
      <c r="AV603" s="62" t="n">
        <f aca="false">AU603*G603</f>
        <v>33.2</v>
      </c>
      <c r="AW603" s="62" t="n">
        <f aca="false">ROUNDUP(CL603+MAX(CM603,2*(J603/IF(CH603&gt;0,CH603,MAX(0.1,N(Cockpit!$I$6)))-CL603)),0)</f>
        <v>1</v>
      </c>
      <c r="AX603" s="63" t="n">
        <f aca="false">IF(AT603&gt;0,J603/AT603,-1)</f>
        <v>0.335483870967742</v>
      </c>
      <c r="AY603" s="63" t="n">
        <f aca="false">IF(AND(OR(CG603="L1",CG603="L23",CG603="LIFT"),AT603&gt;0),SUMIFS($AT$7:$AT$1843,$CG$7:$CG$1843,CG603,$AX$7:$AX$1843,"&gt;"&amp;AX603)+SUMIFS($AT$7:$AT$1843,$CG$7:$CG$1843,CG603,$AX$7:$AX$1843,AX603,$BX$7:$BX$1843,"&lt;="&amp;BX603),"")</f>
        <v>13708.233974359</v>
      </c>
      <c r="AZ603" s="70" t="n">
        <f aca="false">IF(AY603="",0,MAX(0,MIN(1,(IF(CG603="L1",Parameter!$H$5,IF(CG603="L23",Parameter!$H$6+Parameter!$H$7,Parameter!$H$5+Parameter!$H$6+Parameter!$H$7))-(AY603-AT603))/AT603)))</f>
        <v>1</v>
      </c>
      <c r="BA603" s="62" t="n">
        <f aca="false">IF(LEFT(Cockpit!$O$5,1)="A",H603,IF(Parameter!$E$30="MAX-Bestand",IF(CI603=1,CJ603,IF(LEFT(Cockpit!$O$5,1)="B",BG603,MAX(BG603,H603))),ROUNDUP(BE603,0)))</f>
        <v>1</v>
      </c>
      <c r="BB603" s="62" t="n">
        <f aca="false">IF(CA603=1,0,ROUNDUP(BA603/BZ603,0))</f>
        <v>1</v>
      </c>
      <c r="BC603" s="64" t="n">
        <f aca="false">IF(CR603&gt;0,CR603*MAX(1,BA603/X603),IF(CA603=1,IF(BA603&lt;=0,0,CE603*MAX(1,IF(H603&gt;0,BA603/H603,1))),IF(R603&gt;0,BB603/R603,0))/MAX(0.1,N(Parameter!$M$21)))</f>
        <v>0.0192307692307692</v>
      </c>
      <c r="BD603" s="62" t="n">
        <f aca="false">BC603*CC603</f>
        <v>2.98076923076923</v>
      </c>
      <c r="BE603" s="63" t="n">
        <f aca="false">IF(LEFT(Cockpit!$O$5,1)="A",H603,IF(CI603=1,(CL603+CJ603)/2,IF(LEFT(Cockpit!$O$5,1)="B",(CL603+BG603)/2,MAX((CL603+BG603)/2,H603))))</f>
        <v>0.5</v>
      </c>
      <c r="BF603" s="62" t="n">
        <f aca="false">BE603*G603</f>
        <v>2.075</v>
      </c>
      <c r="BG603" s="62" t="n">
        <f aca="false">ROUNDUP(CL603+MAX(CM603,2*(J603/IF(CH603&gt;0,CH603,MAX(0.1,N(Cockpit!$O$6)))-CL603)),0)</f>
        <v>1</v>
      </c>
      <c r="BH603" s="63" t="n">
        <f aca="false">IF(BD603&gt;0,J603/BD603,-1)</f>
        <v>0.335483870967742</v>
      </c>
      <c r="BI603" s="63" t="n">
        <f aca="false">IF(AND(OR(CG603="L1",CG603="L23",CG603="LIFT"),BD603&gt;0),SUMIFS($BD$7:$BD$1843,$CG$7:$CG$1843,CG603,$BH$7:$BH$1843,"&gt;"&amp;BH603)+SUMIFS($BD$7:$BD$1843,$CG$7:$CG$1843,CG603,$BH$7:$BH$1843,BH603,$BX$7:$BX$1843,"&lt;="&amp;BX603),"")</f>
        <v>11562.1735347985</v>
      </c>
      <c r="BJ603" s="70" t="n">
        <f aca="false">IF(BI603="",0,MAX(0,MIN(1,(IF(CG603="L1",Parameter!$H$5,IF(CG603="L23",Parameter!$H$6+Parameter!$H$7,Parameter!$H$5+Parameter!$H$6+Parameter!$H$7))-(BI603-BD603))/BD603)))</f>
        <v>1</v>
      </c>
      <c r="BK603" s="60" t="str">
        <f aca="false">IF(AJ603&lt;=0,"",IF(CG603="Aussen","Aussenlager",IF(CG603="-","Nicht im Lift",IF(AP603&gt;=1,"Lift",IF(AP603&lt;=0,"Aussenlager","teilweise")))))</f>
        <v>Lift</v>
      </c>
      <c r="BL603" s="60" t="str">
        <f aca="false">IF(AT603&lt;=0,"",IF(CG603="Aussen","Aussenlager",IF(CG603="-","Nicht im Lift",IF(AZ603&gt;=1,"Lift",IF(AZ603&lt;=0,"Aussenlager","teilweise")))))</f>
        <v>Lift</v>
      </c>
      <c r="BM603" s="60" t="str">
        <f aca="false">IF(BD603&lt;=0,"",IF(CG603="Aussen","Aussenlager",IF(CG603="-","Nicht im Lift",IF(BJ603&gt;=1,"Lift",IF(BJ603&lt;=0,"Aussenlager","teilweise")))))</f>
        <v>Lift</v>
      </c>
      <c r="BN603" s="60" t="str">
        <f aca="false">IF(A603="","",IF(BW603=1,"Neu; ","")&amp;IF(AND(BW603=0,BR603&lt;0),"negativer Bestand (Export "&amp;BR603&amp;"); ","")&amp;IF(J603&lt;=0,"Kein Verbrauch; ","")&amp;IF(CR603&gt;0,"Lift "&amp;W603&amp;" lt. Liftbericht (Fach "&amp;X603&amp;" Stk); ",IF(CB603=1,"Gebinde geschätzt ("&amp;T603&amp;"); ",IF(CA603=1,"Lose – Tablare geschätzt; ","")))&amp;IF(H603&gt;AW603,"Überbestand "&amp;ROUND(H603-AW603,0)&amp;" Stk / CHF "&amp;ROUND((H603-AW603)*G603,0)&amp;"; ","")&amp;IF(AND(CI603=1,CJ603&lt;CK603),"MAX &lt; MB+LG; ","")&amp;IF(AND(CQ603&gt;0,CP603*10&gt;CQ603),"zu hoch für Tablar; ","")&amp;IF(AND(BW603=0,OR(CI603=1,AB603&lt;&gt;"",U603&lt;&gt;"",V603&lt;&gt;"",AC603&lt;&gt;"")),"manuell übersteuert; ","")&amp;IF(AND(CA603=0,R603=0),"Gebinde unbekannt / Stellmass fehlt; ","")&amp;IF(AND(CA603=0,N(V603)&lt;=0,N(Q603)&lt;=0),"Menge pro Gebinde fehlt (Ist = 1 Gebinde); ","")&amp;BV603)</f>
        <v>Überbestand 7 Stk / CHF 29; überbestand</v>
      </c>
      <c r="BO603" s="60"/>
      <c r="BP603" s="60"/>
      <c r="BQ603" s="67"/>
      <c r="BR603" s="62" t="n">
        <v>1</v>
      </c>
      <c r="BS603" s="62" t="n">
        <v>7</v>
      </c>
      <c r="BT603" s="61" t="n">
        <v>5.48</v>
      </c>
      <c r="BU603" s="62" t="n">
        <v>1</v>
      </c>
      <c r="BV603" s="60" t="s">
        <v>1292</v>
      </c>
      <c r="BW603" s="65" t="n">
        <v>0</v>
      </c>
      <c r="BX603" s="65" t="n">
        <v>603</v>
      </c>
      <c r="BY603" s="60" t="str">
        <f aca="false">IF(U603&lt;&gt;"",UPPER(TRIM(U603)),IF(CB603=1,UPPER(VLOOKUP(T603,Parameter!$I$27:$K$29,2,0)),IF(P603="","LOSE",P603)))</f>
        <v>S41</v>
      </c>
      <c r="BZ603" s="62" t="n">
        <f aca="false">IF(BY603="LOSE",1,IF(N(V603)&gt;0,V603,IF(CB603=1,MAX(1,N(VLOOKUP(T603,Parameter!$I$27:$K$29,3,0)),H603,N(N603)),IF(N(Q603)&gt;0,Q603,MAX(1,H603)))))</f>
        <v>10</v>
      </c>
      <c r="CA603" s="65" t="n">
        <f aca="false">IF(BY603="LOSE",1,0)</f>
        <v>0</v>
      </c>
      <c r="CB603" s="65" t="n">
        <f aca="false">IF(AND(U603="",OR(P603="",P603="LOSE"),T603&lt;&gt;"",N(S603)&lt;=0,ISNUMBER(MATCH(T603,Parameter!$I$27:$I$29,0))),1,0)</f>
        <v>0</v>
      </c>
      <c r="CC603" s="65" t="n">
        <f aca="false">IF(CR603&gt;0,INDEX(Parameter!$H$5:$H$7,W603)/INDEX(Parameter!$E$5:$E$7,W603),IF(AND(CA603=0,N(IFERROR(VLOOKUP(BY603,'Gebinde-Kategorie'!$A$5:$N$45,14,0),0))&gt;0),VLOOKUP(BY603,'Gebinde-Kategorie'!$A$5:$N$45,14,0)*10+Parameter!$M$23,Parameter!$M$24))</f>
        <v>155</v>
      </c>
      <c r="CD603" s="60" t="str">
        <f aca="false">IF(AND(Parameter!$B$19="Ja",E603&lt;&gt;"",ISNUMBER(MATCH(E603,Parameter!$I$35:$I$52,0))),VLOOKUP(E603,Parameter!$I$35:$J$52,2,0),IFERROR(VLOOKUP(D603,Parameter!$A$35:$C$64,2,0),"Nein"))</f>
        <v>2+3</v>
      </c>
      <c r="CE603" s="64" t="n">
        <f aca="false">IF(CA603=0,0,IF(N(S603)&gt;0,S603,IFERROR(VLOOKUP(D603,Parameter!$A$35:$C$64,3,0)+0,0)))</f>
        <v>0</v>
      </c>
      <c r="CF603" s="60" t="n">
        <f aca="false">IF(AB603&lt;&gt;"",AB603,AA603)</f>
        <v>2</v>
      </c>
      <c r="CG603" s="60" t="str">
        <f aca="false">IF(OR(CF603=1,CF603=2,CF603=3),IF(Parameter!$E$27="Ja","LIFT",IF(CF603=1,"L1","L23")),IF(CF603="Aussen","Aussen","-"))</f>
        <v>LIFT</v>
      </c>
      <c r="CH603" s="71" t="n">
        <f aca="false">IF(N(AC603)&gt;0,AC603,0)</f>
        <v>0</v>
      </c>
      <c r="CI603" s="65" t="n">
        <f aca="false">IF(ISNUMBER(AF603),1,0)</f>
        <v>0</v>
      </c>
      <c r="CJ603" s="62" t="n">
        <f aca="false">N(AF603)</f>
        <v>0</v>
      </c>
      <c r="CK603" s="62" t="n">
        <f aca="false">N(M603)+N(N603)</f>
        <v>1</v>
      </c>
      <c r="CL603" s="62" t="n">
        <f aca="false">N(M603)</f>
        <v>0</v>
      </c>
      <c r="CM603" s="62" t="n">
        <f aca="false">N(N603)</f>
        <v>1</v>
      </c>
      <c r="CN603" s="62" t="n">
        <f aca="false">ROUNDUP(H603/BZ603,0)</f>
        <v>1</v>
      </c>
      <c r="CO603" s="62" t="n">
        <f aca="false">ROUNDUP(CJ603/BZ603,0)</f>
        <v>0</v>
      </c>
      <c r="CP603" s="65" t="n">
        <f aca="false">IF(CA603=1,0,IFERROR(VLOOKUP(BY603,'Gebinde-Kategorie'!$A$5:$N$45,5,0)+0,0))</f>
        <v>11</v>
      </c>
      <c r="CQ603" s="65" t="n">
        <f aca="false">IFERROR(IF(OR(CF603=1,CF603=2,CF603=3),N(INDEX(Parameter!$I$5:$I$7,CF603)),0),0)</f>
        <v>0</v>
      </c>
      <c r="CR603" s="64" t="n">
        <f aca="false">IF(AND(Parameter!$B$21="Ja",ISNUMBER(W603),N(X603)&gt;0),IFERROR(N(INDEX(Parameter!$L$5:$L$7,W603))*INDEX(Parameter!$E$5:$E$7,W603)*X603/SUMIFS($X$7:$X$1843,$W$7:$W$1843,W603),0),0)</f>
        <v>0</v>
      </c>
      <c r="CS603" s="62" t="n">
        <f aca="false">IF(AND(OR(CG603="L1",CG603="L23",CG603="LIFT"),H603&gt;0),CC603*IF(CR603&gt;0,CR603*MAX(1,H603/X603),IF(CA603=1,CE603,IF(R603&gt;0,CN603/R603,0))/MAX(0.1,N(Parameter!$M$21))),"")</f>
        <v>2.98076923076923</v>
      </c>
      <c r="CT603" s="64" t="n">
        <f aca="false">IF(CS603="","",J603/H603)</f>
        <v>0.125</v>
      </c>
      <c r="CU603" s="62" t="n">
        <f aca="false">IF(CS603="","",H603*G603)</f>
        <v>33.2</v>
      </c>
      <c r="CV603" s="63" t="n">
        <f aca="false">IF(CS603="","",(CL603+ROUNDUP(CL603+MAX(CM603,2*(J603/MAX(0.1,N(Einkauf!$C$6))-CL603)),0))/2)</f>
        <v>0.5</v>
      </c>
      <c r="CW603" s="62" t="n">
        <f aca="false">IF(CS603="","",MAX(0,H603-CV603)*G603)</f>
        <v>31.125</v>
      </c>
      <c r="CX603" s="62" t="n">
        <f aca="false">IF(CS603="","",CS603*MAX(0,1-CV603/H603))</f>
        <v>2.79447115384615</v>
      </c>
      <c r="CY603" s="64" t="n">
        <f aca="false">IF(CS603="","",PERCENTRANK($CS$7:$CS$1843,CS603)+PERCENTRANK($CU$7:$CU$1843,CU603)+1-PERCENTRANK($CT$7:$CT$1843,CT603))</f>
        <v>0.892</v>
      </c>
      <c r="CZ603" s="72" t="n">
        <f aca="false">IF(CS603="","",CHOOSE(MATCH(Einkauf!$C$5,Parameter!$G$23:$G$27,0),CY603,CS603,CU603,-CT603,CW603)+ROW()/1000000000)</f>
        <v>0.892000603</v>
      </c>
    </row>
    <row r="604" customFormat="false" ht="15" hidden="false" customHeight="false" outlineLevel="0" collapsed="false">
      <c r="A604" s="60" t="s">
        <v>1293</v>
      </c>
      <c r="B604" s="60" t="s">
        <v>991</v>
      </c>
      <c r="C604" s="60" t="s">
        <v>206</v>
      </c>
      <c r="D604" s="60" t="s">
        <v>226</v>
      </c>
      <c r="E604" s="60" t="s">
        <v>227</v>
      </c>
      <c r="F604" s="60" t="s">
        <v>260</v>
      </c>
      <c r="G604" s="61" t="n">
        <v>0.01</v>
      </c>
      <c r="H604" s="62" t="n">
        <f aca="false">MAX(0,IF(AND(Parameter!$B$21="Ja",ISNUMBER(Y604)),Y604,IF(Parameter!$B$20="Jahresanfang 2025 + Export",BS604+BR604,BR604)))</f>
        <v>741</v>
      </c>
      <c r="I604" s="62" t="n">
        <f aca="false">H604*G604</f>
        <v>7.41</v>
      </c>
      <c r="J604" s="62" t="n">
        <f aca="false">BU604*Parameter!$B$18</f>
        <v>110</v>
      </c>
      <c r="K604" s="63" t="n">
        <v>152.5</v>
      </c>
      <c r="L604" s="64" t="n">
        <v>0.721311475409836</v>
      </c>
      <c r="M604" s="62" t="n">
        <v>6</v>
      </c>
      <c r="N604" s="62" t="n">
        <v>110</v>
      </c>
      <c r="O604" s="65" t="n">
        <v>21</v>
      </c>
      <c r="P604" s="60" t="s">
        <v>518</v>
      </c>
      <c r="Q604" s="62" t="n">
        <v>1831</v>
      </c>
      <c r="R604" s="65" t="n">
        <f aca="false">IF(CA604=1,0,IFERROR(VLOOKUP(BY604,'Gebinde-Kategorie'!$A$5:$N$45,13,0)+0,0))</f>
        <v>52</v>
      </c>
      <c r="S604" s="66"/>
      <c r="T604" s="67"/>
      <c r="U604" s="67"/>
      <c r="V604" s="67"/>
      <c r="W604" s="60"/>
      <c r="X604" s="62"/>
      <c r="Y604" s="62"/>
      <c r="Z604" s="60" t="n">
        <v>1</v>
      </c>
      <c r="AA604" s="60" t="n">
        <f aca="false">IF(A604="","",IF(AND(Parameter!$B$21="Ja",ISNUMBER(W604)),W604,IF(AND(Parameter!$E$27="Ja",ISNUMBER(Z604),CD604&lt;&gt;"Nein"),Z604,IF(CD604="2+3",IF(ISNUMBER(SEARCH("grosser Artikel",BV604)),2,IFERROR(VLOOKUP(BY604,Parameter!$F$35:$G$64,2,0),2)),IF(OR(CD604="Nein",CD604=""),"-",CD604)))))</f>
        <v>1</v>
      </c>
      <c r="AB604" s="67"/>
      <c r="AC604" s="68"/>
      <c r="AD604" s="62" t="n">
        <f aca="false">AW604</f>
        <v>116</v>
      </c>
      <c r="AE604" s="62" t="n">
        <f aca="false">MAX(AW604,H604)</f>
        <v>741</v>
      </c>
      <c r="AF604" s="69"/>
      <c r="AG604" s="62" t="n">
        <f aca="false">IF(LEFT(Cockpit!$C$5,1)="A",H604,IF(Parameter!$E$30="MAX-Bestand",IF(CI604=1,CJ604,IF(LEFT(Cockpit!$C$5,1)="B",AM604,MAX(AM604,H604))),ROUNDUP(AK604,0)))</f>
        <v>741</v>
      </c>
      <c r="AH604" s="62" t="n">
        <f aca="false">IF(CA604=1,0,ROUNDUP(AG604/BZ604,0))</f>
        <v>1</v>
      </c>
      <c r="AI604" s="64" t="n">
        <f aca="false">IF(CR604&gt;0,CR604*MAX(1,AG604/X604),IF(CA604=1,IF(AG604&lt;=0,0,CE604*MAX(1,IF(H604&gt;0,AG604/H604,1))),IF(R604&gt;0,AH604/R604,0))/MAX(0.1,N(Parameter!$M$21)))</f>
        <v>0.0192307692307692</v>
      </c>
      <c r="AJ604" s="62" t="n">
        <f aca="false">AI604*CC604</f>
        <v>2.98076923076923</v>
      </c>
      <c r="AK604" s="63" t="n">
        <f aca="false">IF(LEFT(Cockpit!$C$5,1)="A",H604,IF(CI604=1,(CL604+CJ604)/2,IF(LEFT(Cockpit!$C$5,1)="B",(CL604+AM604)/2,MAX((CL604+AM604)/2,H604))))</f>
        <v>741</v>
      </c>
      <c r="AL604" s="62" t="n">
        <f aca="false">AK604*G604</f>
        <v>7.41</v>
      </c>
      <c r="AM604" s="62" t="n">
        <f aca="false">ROUNDUP(CL604+MAX(CM604,2*(J604/IF(CH604&gt;0,CH604,MAX(0.1,N(Cockpit!$C$6)))-CL604)),0)</f>
        <v>116</v>
      </c>
      <c r="AN604" s="63" t="n">
        <f aca="false">IF(AJ604&gt;0,J604/AJ604,-1)</f>
        <v>36.9032258064516</v>
      </c>
      <c r="AO604" s="63" t="n">
        <f aca="false">IF(AND(OR(CG604="L1",CG604="L23",CG604="LIFT"),AJ604&gt;0),SUMIFS($AJ$7:$AJ$1843,$CG$7:$CG$1843,CG604,$AN$7:$AN$1843,"&gt;"&amp;AN604)+SUMIFS($AJ$7:$AJ$1843,$CG$7:$CG$1843,CG604,$AN$7:$AN$1843,AN604,$BX$7:$BX$1843,"&lt;="&amp;BX604),"")</f>
        <v>1260.36538461538</v>
      </c>
      <c r="AP604" s="70" t="n">
        <f aca="false">IF(AO604="",0,MAX(0,MIN(1,(IF(CG604="L1",Parameter!$H$5,IF(CG604="L23",Parameter!$H$6+Parameter!$H$7,Parameter!$H$5+Parameter!$H$6+Parameter!$H$7))-(AO604-AJ604))/AJ604)))</f>
        <v>1</v>
      </c>
      <c r="AQ604" s="62" t="n">
        <f aca="false">IF(LEFT(Cockpit!$I$5,1)="A",H604,IF(Parameter!$E$30="MAX-Bestand",IF(CI604=1,CJ604,IF(LEFT(Cockpit!$I$5,1)="B",AW604,MAX(AW604,H604))),ROUNDUP(AU604,0)))</f>
        <v>741</v>
      </c>
      <c r="AR604" s="62" t="n">
        <f aca="false">IF(CA604=1,0,ROUNDUP(AQ604/BZ604,0))</f>
        <v>1</v>
      </c>
      <c r="AS604" s="64" t="n">
        <f aca="false">IF(CR604&gt;0,CR604*MAX(1,AQ604/X604),IF(CA604=1,IF(AQ604&lt;=0,0,CE604*MAX(1,IF(H604&gt;0,AQ604/H604,1))),IF(R604&gt;0,AR604/R604,0))/MAX(0.1,N(Parameter!$M$21)))</f>
        <v>0.0192307692307692</v>
      </c>
      <c r="AT604" s="62" t="n">
        <f aca="false">AS604*CC604</f>
        <v>2.98076923076923</v>
      </c>
      <c r="AU604" s="63" t="n">
        <f aca="false">IF(LEFT(Cockpit!$I$5,1)="A",H604,IF(CI604=1,(CL604+CJ604)/2,IF(LEFT(Cockpit!$I$5,1)="B",(CL604+AW604)/2,MAX((CL604+AW604)/2,H604))))</f>
        <v>741</v>
      </c>
      <c r="AV604" s="62" t="n">
        <f aca="false">AU604*G604</f>
        <v>7.41</v>
      </c>
      <c r="AW604" s="62" t="n">
        <f aca="false">ROUNDUP(CL604+MAX(CM604,2*(J604/IF(CH604&gt;0,CH604,MAX(0.1,N(Cockpit!$I$6)))-CL604)),0)</f>
        <v>116</v>
      </c>
      <c r="AX604" s="63" t="n">
        <f aca="false">IF(AT604&gt;0,J604/AT604,-1)</f>
        <v>36.9032258064516</v>
      </c>
      <c r="AY604" s="63" t="n">
        <f aca="false">IF(AND(OR(CG604="L1",CG604="L23",CG604="LIFT"),AT604&gt;0),SUMIFS($AT$7:$AT$1843,$CG$7:$CG$1843,CG604,$AX$7:$AX$1843,"&gt;"&amp;AX604)+SUMIFS($AT$7:$AT$1843,$CG$7:$CG$1843,CG604,$AX$7:$AX$1843,AX604,$BX$7:$BX$1843,"&lt;="&amp;BX604),"")</f>
        <v>1578.91712454212</v>
      </c>
      <c r="AZ604" s="70" t="n">
        <f aca="false">IF(AY604="",0,MAX(0,MIN(1,(IF(CG604="L1",Parameter!$H$5,IF(CG604="L23",Parameter!$H$6+Parameter!$H$7,Parameter!$H$5+Parameter!$H$6+Parameter!$H$7))-(AY604-AT604))/AT604)))</f>
        <v>1</v>
      </c>
      <c r="BA604" s="62" t="n">
        <f aca="false">IF(LEFT(Cockpit!$O$5,1)="A",H604,IF(Parameter!$E$30="MAX-Bestand",IF(CI604=1,CJ604,IF(LEFT(Cockpit!$O$5,1)="B",BG604,MAX(BG604,H604))),ROUNDUP(BE604,0)))</f>
        <v>61</v>
      </c>
      <c r="BB604" s="62" t="n">
        <f aca="false">IF(CA604=1,0,ROUNDUP(BA604/BZ604,0))</f>
        <v>1</v>
      </c>
      <c r="BC604" s="64" t="n">
        <f aca="false">IF(CR604&gt;0,CR604*MAX(1,BA604/X604),IF(CA604=1,IF(BA604&lt;=0,0,CE604*MAX(1,IF(H604&gt;0,BA604/H604,1))),IF(R604&gt;0,BB604/R604,0))/MAX(0.1,N(Parameter!$M$21)))</f>
        <v>0.0192307692307692</v>
      </c>
      <c r="BD604" s="62" t="n">
        <f aca="false">BC604*CC604</f>
        <v>2.98076923076923</v>
      </c>
      <c r="BE604" s="63" t="n">
        <f aca="false">IF(LEFT(Cockpit!$O$5,1)="A",H604,IF(CI604=1,(CL604+CJ604)/2,IF(LEFT(Cockpit!$O$5,1)="B",(CL604+BG604)/2,MAX((CL604+BG604)/2,H604))))</f>
        <v>61</v>
      </c>
      <c r="BF604" s="62" t="n">
        <f aca="false">BE604*G604</f>
        <v>0.61</v>
      </c>
      <c r="BG604" s="62" t="n">
        <f aca="false">ROUNDUP(CL604+MAX(CM604,2*(J604/IF(CH604&gt;0,CH604,MAX(0.1,N(Cockpit!$O$6)))-CL604)),0)</f>
        <v>116</v>
      </c>
      <c r="BH604" s="63" t="n">
        <f aca="false">IF(BD604&gt;0,J604/BD604,-1)</f>
        <v>36.9032258064516</v>
      </c>
      <c r="BI604" s="63" t="n">
        <f aca="false">IF(AND(OR(CG604="L1",CG604="L23",CG604="LIFT"),BD604&gt;0),SUMIFS($BD$7:$BD$1843,$CG$7:$CG$1843,CG604,$BH$7:$BH$1843,"&gt;"&amp;BH604)+SUMIFS($BD$7:$BD$1843,$CG$7:$CG$1843,CG604,$BH$7:$BH$1843,BH604,$BX$7:$BX$1843,"&lt;="&amp;BX604),"")</f>
        <v>1507.11858974359</v>
      </c>
      <c r="BJ604" s="70" t="n">
        <f aca="false">IF(BI604="",0,MAX(0,MIN(1,(IF(CG604="L1",Parameter!$H$5,IF(CG604="L23",Parameter!$H$6+Parameter!$H$7,Parameter!$H$5+Parameter!$H$6+Parameter!$H$7))-(BI604-BD604))/BD604)))</f>
        <v>1</v>
      </c>
      <c r="BK604" s="60" t="str">
        <f aca="false">IF(AJ604&lt;=0,"",IF(CG604="Aussen","Aussenlager",IF(CG604="-","Nicht im Lift",IF(AP604&gt;=1,"Lift",IF(AP604&lt;=0,"Aussenlager","teilweise")))))</f>
        <v>Lift</v>
      </c>
      <c r="BL604" s="60" t="str">
        <f aca="false">IF(AT604&lt;=0,"",IF(CG604="Aussen","Aussenlager",IF(CG604="-","Nicht im Lift",IF(AZ604&gt;=1,"Lift",IF(AZ604&lt;=0,"Aussenlager","teilweise")))))</f>
        <v>Lift</v>
      </c>
      <c r="BM604" s="60" t="str">
        <f aca="false">IF(BD604&lt;=0,"",IF(CG604="Aussen","Aussenlager",IF(CG604="-","Nicht im Lift",IF(BJ604&gt;=1,"Lift",IF(BJ604&lt;=0,"Aussenlager","teilweise")))))</f>
        <v>Lift</v>
      </c>
      <c r="BN604" s="60" t="str">
        <f aca="false">IF(A604="","",IF(BW604=1,"Neu; ","")&amp;IF(AND(BW604=0,BR604&lt;0),"negativer Bestand (Export "&amp;BR604&amp;"); ","")&amp;IF(J604&lt;=0,"Kein Verbrauch; ","")&amp;IF(CR604&gt;0,"Lift "&amp;W604&amp;" lt. Liftbericht (Fach "&amp;X604&amp;" Stk); ",IF(CB604=1,"Gebinde geschätzt ("&amp;T604&amp;"); ",IF(CA604=1,"Lose – Tablare geschätzt; ","")))&amp;IF(H604&gt;AW604,"Überbestand "&amp;ROUND(H604-AW604,0)&amp;" Stk / CHF "&amp;ROUND((H604-AW604)*G604,0)&amp;"; ","")&amp;IF(AND(CI604=1,CJ604&lt;CK604),"MAX &lt; MB+LG; ","")&amp;IF(AND(CQ604&gt;0,CP604*10&gt;CQ604),"zu hoch für Tablar; ","")&amp;IF(AND(BW604=0,OR(CI604=1,AB604&lt;&gt;"",U604&lt;&gt;"",V604&lt;&gt;"",AC604&lt;&gt;"")),"manuell übersteuert; ","")&amp;IF(AND(CA604=0,R604=0),"Gebinde unbekannt / Stellmass fehlt; ","")&amp;IF(AND(CA604=0,N(V604)&lt;=0,N(Q604)&lt;=0),"Menge pro Gebinde fehlt (Ist = 1 Gebinde); ","")&amp;BV604)</f>
        <v>Überbestand 625 Stk / CHF 6; Überbestand</v>
      </c>
      <c r="BO604" s="60"/>
      <c r="BP604" s="60"/>
      <c r="BQ604" s="67"/>
      <c r="BR604" s="62" t="n">
        <v>534</v>
      </c>
      <c r="BS604" s="62" t="n">
        <v>207</v>
      </c>
      <c r="BT604" s="61" t="n">
        <v>5.34</v>
      </c>
      <c r="BU604" s="62" t="n">
        <v>110</v>
      </c>
      <c r="BV604" s="60" t="s">
        <v>434</v>
      </c>
      <c r="BW604" s="65" t="n">
        <v>0</v>
      </c>
      <c r="BX604" s="65" t="n">
        <v>604</v>
      </c>
      <c r="BY604" s="60" t="str">
        <f aca="false">IF(U604&lt;&gt;"",UPPER(TRIM(U604)),IF(CB604=1,UPPER(VLOOKUP(T604,Parameter!$I$27:$K$29,2,0)),IF(P604="","LOSE",P604)))</f>
        <v>S33</v>
      </c>
      <c r="BZ604" s="62" t="n">
        <f aca="false">IF(BY604="LOSE",1,IF(N(V604)&gt;0,V604,IF(CB604=1,MAX(1,N(VLOOKUP(T604,Parameter!$I$27:$K$29,3,0)),H604,N(N604)),IF(N(Q604)&gt;0,Q604,MAX(1,H604)))))</f>
        <v>1831</v>
      </c>
      <c r="CA604" s="65" t="n">
        <f aca="false">IF(BY604="LOSE",1,0)</f>
        <v>0</v>
      </c>
      <c r="CB604" s="65" t="n">
        <f aca="false">IF(AND(U604="",OR(P604="",P604="LOSE"),T604&lt;&gt;"",N(S604)&lt;=0,ISNUMBER(MATCH(T604,Parameter!$I$27:$I$29,0))),1,0)</f>
        <v>0</v>
      </c>
      <c r="CC604" s="65" t="n">
        <f aca="false">IF(CR604&gt;0,INDEX(Parameter!$H$5:$H$7,W604)/INDEX(Parameter!$E$5:$E$7,W604),IF(AND(CA604=0,N(IFERROR(VLOOKUP(BY604,'Gebinde-Kategorie'!$A$5:$N$45,14,0),0))&gt;0),VLOOKUP(BY604,'Gebinde-Kategorie'!$A$5:$N$45,14,0)*10+Parameter!$M$23,Parameter!$M$24))</f>
        <v>155</v>
      </c>
      <c r="CD604" s="60" t="str">
        <f aca="false">IF(AND(Parameter!$B$19="Ja",E604&lt;&gt;"",ISNUMBER(MATCH(E604,Parameter!$I$35:$I$52,0))),VLOOKUP(E604,Parameter!$I$35:$J$52,2,0),IFERROR(VLOOKUP(D604,Parameter!$A$35:$C$64,2,0),"Nein"))</f>
        <v>2+3</v>
      </c>
      <c r="CE604" s="64" t="n">
        <f aca="false">IF(CA604=0,0,IF(N(S604)&gt;0,S604,IFERROR(VLOOKUP(D604,Parameter!$A$35:$C$64,3,0)+0,0)))</f>
        <v>0</v>
      </c>
      <c r="CF604" s="60" t="n">
        <f aca="false">IF(AB604&lt;&gt;"",AB604,AA604)</f>
        <v>1</v>
      </c>
      <c r="CG604" s="60" t="str">
        <f aca="false">IF(OR(CF604=1,CF604=2,CF604=3),IF(Parameter!$E$27="Ja","LIFT",IF(CF604=1,"L1","L23")),IF(CF604="Aussen","Aussen","-"))</f>
        <v>LIFT</v>
      </c>
      <c r="CH604" s="71" t="n">
        <f aca="false">IF(N(AC604)&gt;0,AC604,0)</f>
        <v>0</v>
      </c>
      <c r="CI604" s="65" t="n">
        <f aca="false">IF(ISNUMBER(AF604),1,0)</f>
        <v>0</v>
      </c>
      <c r="CJ604" s="62" t="n">
        <f aca="false">N(AF604)</f>
        <v>0</v>
      </c>
      <c r="CK604" s="62" t="n">
        <f aca="false">N(M604)+N(N604)</f>
        <v>116</v>
      </c>
      <c r="CL604" s="62" t="n">
        <f aca="false">N(M604)</f>
        <v>6</v>
      </c>
      <c r="CM604" s="62" t="n">
        <f aca="false">N(N604)</f>
        <v>110</v>
      </c>
      <c r="CN604" s="62" t="n">
        <f aca="false">ROUNDUP(H604/BZ604,0)</f>
        <v>1</v>
      </c>
      <c r="CO604" s="62" t="n">
        <f aca="false">ROUNDUP(CJ604/BZ604,0)</f>
        <v>0</v>
      </c>
      <c r="CP604" s="65" t="n">
        <f aca="false">IF(CA604=1,0,IFERROR(VLOOKUP(BY604,'Gebinde-Kategorie'!$A$5:$N$45,5,0)+0,0))</f>
        <v>8</v>
      </c>
      <c r="CQ604" s="65" t="n">
        <f aca="false">IFERROR(IF(OR(CF604=1,CF604=2,CF604=3),N(INDEX(Parameter!$I$5:$I$7,CF604)),0),0)</f>
        <v>0</v>
      </c>
      <c r="CR604" s="64" t="n">
        <f aca="false">IF(AND(Parameter!$B$21="Ja",ISNUMBER(W604),N(X604)&gt;0),IFERROR(N(INDEX(Parameter!$L$5:$L$7,W604))*INDEX(Parameter!$E$5:$E$7,W604)*X604/SUMIFS($X$7:$X$1843,$W$7:$W$1843,W604),0),0)</f>
        <v>0</v>
      </c>
      <c r="CS604" s="62" t="n">
        <f aca="false">IF(AND(OR(CG604="L1",CG604="L23",CG604="LIFT"),H604&gt;0),CC604*IF(CR604&gt;0,CR604*MAX(1,H604/X604),IF(CA604=1,CE604,IF(R604&gt;0,CN604/R604,0))/MAX(0.1,N(Parameter!$M$21))),"")</f>
        <v>2.98076923076923</v>
      </c>
      <c r="CT604" s="64" t="n">
        <f aca="false">IF(CS604="","",J604/H604)</f>
        <v>0.148448043184885</v>
      </c>
      <c r="CU604" s="62" t="n">
        <f aca="false">IF(CS604="","",H604*G604)</f>
        <v>7.41</v>
      </c>
      <c r="CV604" s="63" t="n">
        <f aca="false">IF(CS604="","",(CL604+ROUNDUP(CL604+MAX(CM604,2*(J604/MAX(0.1,N(Einkauf!$C$6))-CL604)),0))/2)</f>
        <v>61</v>
      </c>
      <c r="CW604" s="62" t="n">
        <f aca="false">IF(CS604="","",MAX(0,H604-CV604)*G604)</f>
        <v>6.8</v>
      </c>
      <c r="CX604" s="62" t="n">
        <f aca="false">IF(CS604="","",CS604*MAX(0,1-CV604/H604))</f>
        <v>2.73538876777743</v>
      </c>
      <c r="CY604" s="64" t="n">
        <f aca="false">IF(CS604="","",PERCENTRANK($CS$7:$CS$1843,CS604)+PERCENTRANK($CU$7:$CU$1843,CU604)+1-PERCENTRANK($CT$7:$CT$1843,CT604))</f>
        <v>0.7956</v>
      </c>
      <c r="CZ604" s="72" t="n">
        <f aca="false">IF(CS604="","",CHOOSE(MATCH(Einkauf!$C$5,Parameter!$G$23:$G$27,0),CY604,CS604,CU604,-CT604,CW604)+ROW()/1000000000)</f>
        <v>0.795600604</v>
      </c>
    </row>
    <row r="605" customFormat="false" ht="15" hidden="false" customHeight="false" outlineLevel="0" collapsed="false">
      <c r="A605" s="60" t="s">
        <v>1294</v>
      </c>
      <c r="B605" s="60" t="s">
        <v>510</v>
      </c>
      <c r="C605" s="60" t="s">
        <v>206</v>
      </c>
      <c r="D605" s="60" t="s">
        <v>226</v>
      </c>
      <c r="E605" s="60" t="s">
        <v>227</v>
      </c>
      <c r="F605" s="60" t="s">
        <v>260</v>
      </c>
      <c r="G605" s="61" t="n">
        <v>0.09</v>
      </c>
      <c r="H605" s="62" t="n">
        <f aca="false">MAX(0,IF(AND(Parameter!$B$21="Ja",ISNUMBER(Y605)),Y605,IF(Parameter!$B$20="Jahresanfang 2025 + Export",BS605+BR605,BR605)))</f>
        <v>444</v>
      </c>
      <c r="I605" s="62" t="n">
        <f aca="false">H605*G605</f>
        <v>39.96</v>
      </c>
      <c r="J605" s="62" t="n">
        <f aca="false">BU605*Parameter!$B$18</f>
        <v>466</v>
      </c>
      <c r="K605" s="63" t="n">
        <v>549</v>
      </c>
      <c r="L605" s="64" t="n">
        <v>0.848816029143898</v>
      </c>
      <c r="M605" s="62" t="n">
        <v>18</v>
      </c>
      <c r="N605" s="62" t="n">
        <v>465</v>
      </c>
      <c r="O605" s="65" t="n">
        <v>14</v>
      </c>
      <c r="P605" s="60" t="s">
        <v>468</v>
      </c>
      <c r="Q605" s="62" t="n">
        <v>783</v>
      </c>
      <c r="R605" s="65" t="n">
        <f aca="false">IF(CA605=1,0,IFERROR(VLOOKUP(BY605,'Gebinde-Kategorie'!$A$5:$N$45,13,0)+0,0))</f>
        <v>140</v>
      </c>
      <c r="S605" s="66"/>
      <c r="T605" s="67"/>
      <c r="U605" s="67"/>
      <c r="V605" s="67"/>
      <c r="W605" s="60"/>
      <c r="X605" s="62"/>
      <c r="Y605" s="62"/>
      <c r="Z605" s="60" t="n">
        <v>1</v>
      </c>
      <c r="AA605" s="60" t="n">
        <f aca="false">IF(A605="","",IF(AND(Parameter!$B$21="Ja",ISNUMBER(W605)),W605,IF(AND(Parameter!$E$27="Ja",ISNUMBER(Z605),CD605&lt;&gt;"Nein"),Z605,IF(CD605="2+3",IF(ISNUMBER(SEARCH("grosser Artikel",BV605)),2,IFERROR(VLOOKUP(BY605,Parameter!$F$35:$G$64,2,0),2)),IF(OR(CD605="Nein",CD605=""),"-",CD605)))))</f>
        <v>1</v>
      </c>
      <c r="AB605" s="67"/>
      <c r="AC605" s="68"/>
      <c r="AD605" s="62" t="n">
        <f aca="false">AW605</f>
        <v>483</v>
      </c>
      <c r="AE605" s="62" t="n">
        <f aca="false">MAX(AW605,H605)</f>
        <v>483</v>
      </c>
      <c r="AF605" s="69"/>
      <c r="AG605" s="62" t="n">
        <f aca="false">IF(LEFT(Cockpit!$C$5,1)="A",H605,IF(Parameter!$E$30="MAX-Bestand",IF(CI605=1,CJ605,IF(LEFT(Cockpit!$C$5,1)="B",AM605,MAX(AM605,H605))),ROUNDUP(AK605,0)))</f>
        <v>444</v>
      </c>
      <c r="AH605" s="62" t="n">
        <f aca="false">IF(CA605=1,0,ROUNDUP(AG605/BZ605,0))</f>
        <v>1</v>
      </c>
      <c r="AI605" s="64" t="n">
        <f aca="false">IF(CR605&gt;0,CR605*MAX(1,AG605/X605),IF(CA605=1,IF(AG605&lt;=0,0,CE605*MAX(1,IF(H605&gt;0,AG605/H605,1))),IF(R605&gt;0,AH605/R605,0))/MAX(0.1,N(Parameter!$M$21)))</f>
        <v>0.00714285714285714</v>
      </c>
      <c r="AJ605" s="62" t="n">
        <f aca="false">AI605*CC605</f>
        <v>1.10714285714286</v>
      </c>
      <c r="AK605" s="63" t="n">
        <f aca="false">IF(LEFT(Cockpit!$C$5,1)="A",H605,IF(CI605=1,(CL605+CJ605)/2,IF(LEFT(Cockpit!$C$5,1)="B",(CL605+AM605)/2,MAX((CL605+AM605)/2,H605))))</f>
        <v>444</v>
      </c>
      <c r="AL605" s="62" t="n">
        <f aca="false">AK605*G605</f>
        <v>39.96</v>
      </c>
      <c r="AM605" s="62" t="n">
        <f aca="false">ROUNDUP(CL605+MAX(CM605,2*(J605/IF(CH605&gt;0,CH605,MAX(0.1,N(Cockpit!$C$6)))-CL605)),0)</f>
        <v>483</v>
      </c>
      <c r="AN605" s="63" t="n">
        <f aca="false">IF(AJ605&gt;0,J605/AJ605,-1)</f>
        <v>420.903225806452</v>
      </c>
      <c r="AO605" s="63" t="n">
        <f aca="false">IF(AND(OR(CG605="L1",CG605="L23",CG605="LIFT"),AJ605&gt;0),SUMIFS($AJ$7:$AJ$1843,$CG$7:$CG$1843,CG605,$AN$7:$AN$1843,"&gt;"&amp;AN605)+SUMIFS($AJ$7:$AJ$1843,$CG$7:$CG$1843,CG605,$AN$7:$AN$1843,AN605,$BX$7:$BX$1843,"&lt;="&amp;BX605),"")</f>
        <v>170.075091575092</v>
      </c>
      <c r="AP605" s="70" t="n">
        <f aca="false">IF(AO605="",0,MAX(0,MIN(1,(IF(CG605="L1",Parameter!$H$5,IF(CG605="L23",Parameter!$H$6+Parameter!$H$7,Parameter!$H$5+Parameter!$H$6+Parameter!$H$7))-(AO605-AJ605))/AJ605)))</f>
        <v>1</v>
      </c>
      <c r="AQ605" s="62" t="n">
        <f aca="false">IF(LEFT(Cockpit!$I$5,1)="A",H605,IF(Parameter!$E$30="MAX-Bestand",IF(CI605=1,CJ605,IF(LEFT(Cockpit!$I$5,1)="B",AW605,MAX(AW605,H605))),ROUNDUP(AU605,0)))</f>
        <v>444</v>
      </c>
      <c r="AR605" s="62" t="n">
        <f aca="false">IF(CA605=1,0,ROUNDUP(AQ605/BZ605,0))</f>
        <v>1</v>
      </c>
      <c r="AS605" s="64" t="n">
        <f aca="false">IF(CR605&gt;0,CR605*MAX(1,AQ605/X605),IF(CA605=1,IF(AQ605&lt;=0,0,CE605*MAX(1,IF(H605&gt;0,AQ605/H605,1))),IF(R605&gt;0,AR605/R605,0))/MAX(0.1,N(Parameter!$M$21)))</f>
        <v>0.00714285714285714</v>
      </c>
      <c r="AT605" s="62" t="n">
        <f aca="false">AS605*CC605</f>
        <v>1.10714285714286</v>
      </c>
      <c r="AU605" s="63" t="n">
        <f aca="false">IF(LEFT(Cockpit!$I$5,1)="A",H605,IF(CI605=1,(CL605+CJ605)/2,IF(LEFT(Cockpit!$I$5,1)="B",(CL605+AW605)/2,MAX((CL605+AW605)/2,H605))))</f>
        <v>444</v>
      </c>
      <c r="AV605" s="62" t="n">
        <f aca="false">AU605*G605</f>
        <v>39.96</v>
      </c>
      <c r="AW605" s="62" t="n">
        <f aca="false">ROUNDUP(CL605+MAX(CM605,2*(J605/IF(CH605&gt;0,CH605,MAX(0.1,N(Cockpit!$I$6)))-CL605)),0)</f>
        <v>483</v>
      </c>
      <c r="AX605" s="63" t="n">
        <f aca="false">IF(AT605&gt;0,J605/AT605,-1)</f>
        <v>420.903225806452</v>
      </c>
      <c r="AY605" s="63" t="n">
        <f aca="false">IF(AND(OR(CG605="L1",CG605="L23",CG605="LIFT"),AT605&gt;0),SUMIFS($AT$7:$AT$1843,$CG$7:$CG$1843,CG605,$AX$7:$AX$1843,"&gt;"&amp;AX605)+SUMIFS($AT$7:$AT$1843,$CG$7:$CG$1843,CG605,$AX$7:$AX$1843,AX605,$BX$7:$BX$1843,"&lt;="&amp;BX605),"")</f>
        <v>102.630494505495</v>
      </c>
      <c r="AZ605" s="70" t="n">
        <f aca="false">IF(AY605="",0,MAX(0,MIN(1,(IF(CG605="L1",Parameter!$H$5,IF(CG605="L23",Parameter!$H$6+Parameter!$H$7,Parameter!$H$5+Parameter!$H$6+Parameter!$H$7))-(AY605-AT605))/AT605)))</f>
        <v>1</v>
      </c>
      <c r="BA605" s="62" t="n">
        <f aca="false">IF(LEFT(Cockpit!$O$5,1)="A",H605,IF(Parameter!$E$30="MAX-Bestand",IF(CI605=1,CJ605,IF(LEFT(Cockpit!$O$5,1)="B",BG605,MAX(BG605,H605))),ROUNDUP(BE605,0)))</f>
        <v>251</v>
      </c>
      <c r="BB605" s="62" t="n">
        <f aca="false">IF(CA605=1,0,ROUNDUP(BA605/BZ605,0))</f>
        <v>1</v>
      </c>
      <c r="BC605" s="64" t="n">
        <f aca="false">IF(CR605&gt;0,CR605*MAX(1,BA605/X605),IF(CA605=1,IF(BA605&lt;=0,0,CE605*MAX(1,IF(H605&gt;0,BA605/H605,1))),IF(R605&gt;0,BB605/R605,0))/MAX(0.1,N(Parameter!$M$21)))</f>
        <v>0.00714285714285714</v>
      </c>
      <c r="BD605" s="62" t="n">
        <f aca="false">BC605*CC605</f>
        <v>1.10714285714286</v>
      </c>
      <c r="BE605" s="63" t="n">
        <f aca="false">IF(LEFT(Cockpit!$O$5,1)="A",H605,IF(CI605=1,(CL605+CJ605)/2,IF(LEFT(Cockpit!$O$5,1)="B",(CL605+BG605)/2,MAX((CL605+BG605)/2,H605))))</f>
        <v>250.5</v>
      </c>
      <c r="BF605" s="62" t="n">
        <f aca="false">BE605*G605</f>
        <v>22.545</v>
      </c>
      <c r="BG605" s="62" t="n">
        <f aca="false">ROUNDUP(CL605+MAX(CM605,2*(J605/IF(CH605&gt;0,CH605,MAX(0.1,N(Cockpit!$O$6)))-CL605)),0)</f>
        <v>483</v>
      </c>
      <c r="BH605" s="63" t="n">
        <f aca="false">IF(BD605&gt;0,J605/BD605,-1)</f>
        <v>420.903225806452</v>
      </c>
      <c r="BI605" s="63" t="n">
        <f aca="false">IF(AND(OR(CG605="L1",CG605="L23",CG605="LIFT"),BD605&gt;0),SUMIFS($BD$7:$BD$1843,$CG$7:$CG$1843,CG605,$BH$7:$BH$1843,"&gt;"&amp;BH605)+SUMIFS($BD$7:$BD$1843,$CG$7:$CG$1843,CG605,$BH$7:$BH$1843,BH605,$BX$7:$BX$1843,"&lt;="&amp;BX605),"")</f>
        <v>174.289835164835</v>
      </c>
      <c r="BJ605" s="70" t="n">
        <f aca="false">IF(BI605="",0,MAX(0,MIN(1,(IF(CG605="L1",Parameter!$H$5,IF(CG605="L23",Parameter!$H$6+Parameter!$H$7,Parameter!$H$5+Parameter!$H$6+Parameter!$H$7))-(BI605-BD605))/BD605)))</f>
        <v>1</v>
      </c>
      <c r="BK605" s="60" t="str">
        <f aca="false">IF(AJ605&lt;=0,"",IF(CG605="Aussen","Aussenlager",IF(CG605="-","Nicht im Lift",IF(AP605&gt;=1,"Lift",IF(AP605&lt;=0,"Aussenlager","teilweise")))))</f>
        <v>Lift</v>
      </c>
      <c r="BL605" s="60" t="str">
        <f aca="false">IF(AT605&lt;=0,"",IF(CG605="Aussen","Aussenlager",IF(CG605="-","Nicht im Lift",IF(AZ605&gt;=1,"Lift",IF(AZ605&lt;=0,"Aussenlager","teilweise")))))</f>
        <v>Lift</v>
      </c>
      <c r="BM605" s="60" t="str">
        <f aca="false">IF(BD605&lt;=0,"",IF(CG605="Aussen","Aussenlager",IF(CG605="-","Nicht im Lift",IF(BJ605&gt;=1,"Lift",IF(BJ605&lt;=0,"Aussenlager","teilweise")))))</f>
        <v>Lift</v>
      </c>
      <c r="BN605" s="60" t="str">
        <f aca="false">IF(A605="","",IF(BW605=1,"Neu; ","")&amp;IF(AND(BW605=0,BR605&lt;0),"negativer Bestand (Export "&amp;BR605&amp;"); ","")&amp;IF(J605&lt;=0,"Kein Verbrauch; ","")&amp;IF(CR605&gt;0,"Lift "&amp;W605&amp;" lt. Liftbericht (Fach "&amp;X605&amp;" Stk); ",IF(CB605=1,"Gebinde geschätzt ("&amp;T605&amp;"); ",IF(CA605=1,"Lose – Tablare geschätzt; ","")))&amp;IF(H605&gt;AW605,"Überbestand "&amp;ROUND(H605-AW605,0)&amp;" Stk / CHF "&amp;ROUND((H605-AW605)*G605,0)&amp;"; ","")&amp;IF(AND(CI605=1,CJ605&lt;CK605),"MAX &lt; MB+LG; ","")&amp;IF(AND(CQ605&gt;0,CP605*10&gt;CQ605),"zu hoch für Tablar; ","")&amp;IF(AND(BW605=0,OR(CI605=1,AB605&lt;&gt;"",U605&lt;&gt;"",V605&lt;&gt;"",AC605&lt;&gt;"")),"manuell übersteuert; ","")&amp;IF(AND(CA605=0,R605=0),"Gebinde unbekannt / Stellmass fehlt; ","")&amp;IF(AND(CA605=0,N(V605)&lt;=0,N(Q605)&lt;=0),"Menge pro Gebinde fehlt (Ist = 1 Gebinde); ","")&amp;BV605)</f>
        <v/>
      </c>
      <c r="BO605" s="60"/>
      <c r="BP605" s="60"/>
      <c r="BQ605" s="67"/>
      <c r="BR605" s="62" t="n">
        <v>18</v>
      </c>
      <c r="BS605" s="62" t="n">
        <v>426</v>
      </c>
      <c r="BT605" s="61" t="n">
        <v>5.33999999999999</v>
      </c>
      <c r="BU605" s="62" t="n">
        <v>466</v>
      </c>
      <c r="BV605" s="60"/>
      <c r="BW605" s="65" t="n">
        <v>0</v>
      </c>
      <c r="BX605" s="65" t="n">
        <v>605</v>
      </c>
      <c r="BY605" s="60" t="str">
        <f aca="false">IF(U605&lt;&gt;"",UPPER(TRIM(U605)),IF(CB605=1,UPPER(VLOOKUP(T605,Parameter!$I$27:$K$29,2,0)),IF(P605="","LOSE",P605)))</f>
        <v>S22</v>
      </c>
      <c r="BZ605" s="62" t="n">
        <f aca="false">IF(BY605="LOSE",1,IF(N(V605)&gt;0,V605,IF(CB605=1,MAX(1,N(VLOOKUP(T605,Parameter!$I$27:$K$29,3,0)),H605,N(N605)),IF(N(Q605)&gt;0,Q605,MAX(1,H605)))))</f>
        <v>783</v>
      </c>
      <c r="CA605" s="65" t="n">
        <f aca="false">IF(BY605="LOSE",1,0)</f>
        <v>0</v>
      </c>
      <c r="CB605" s="65" t="n">
        <f aca="false">IF(AND(U605="",OR(P605="",P605="LOSE"),T605&lt;&gt;"",N(S605)&lt;=0,ISNUMBER(MATCH(T605,Parameter!$I$27:$I$29,0))),1,0)</f>
        <v>0</v>
      </c>
      <c r="CC605" s="65" t="n">
        <f aca="false">IF(CR605&gt;0,INDEX(Parameter!$H$5:$H$7,W605)/INDEX(Parameter!$E$5:$E$7,W605),IF(AND(CA605=0,N(IFERROR(VLOOKUP(BY605,'Gebinde-Kategorie'!$A$5:$N$45,14,0),0))&gt;0),VLOOKUP(BY605,'Gebinde-Kategorie'!$A$5:$N$45,14,0)*10+Parameter!$M$23,Parameter!$M$24))</f>
        <v>155</v>
      </c>
      <c r="CD605" s="60" t="str">
        <f aca="false">IF(AND(Parameter!$B$19="Ja",E605&lt;&gt;"",ISNUMBER(MATCH(E605,Parameter!$I$35:$I$52,0))),VLOOKUP(E605,Parameter!$I$35:$J$52,2,0),IFERROR(VLOOKUP(D605,Parameter!$A$35:$C$64,2,0),"Nein"))</f>
        <v>2+3</v>
      </c>
      <c r="CE605" s="64" t="n">
        <f aca="false">IF(CA605=0,0,IF(N(S605)&gt;0,S605,IFERROR(VLOOKUP(D605,Parameter!$A$35:$C$64,3,0)+0,0)))</f>
        <v>0</v>
      </c>
      <c r="CF605" s="60" t="n">
        <f aca="false">IF(AB605&lt;&gt;"",AB605,AA605)</f>
        <v>1</v>
      </c>
      <c r="CG605" s="60" t="str">
        <f aca="false">IF(OR(CF605=1,CF605=2,CF605=3),IF(Parameter!$E$27="Ja","LIFT",IF(CF605=1,"L1","L23")),IF(CF605="Aussen","Aussen","-"))</f>
        <v>LIFT</v>
      </c>
      <c r="CH605" s="71" t="n">
        <f aca="false">IF(N(AC605)&gt;0,AC605,0)</f>
        <v>0</v>
      </c>
      <c r="CI605" s="65" t="n">
        <f aca="false">IF(ISNUMBER(AF605),1,0)</f>
        <v>0</v>
      </c>
      <c r="CJ605" s="62" t="n">
        <f aca="false">N(AF605)</f>
        <v>0</v>
      </c>
      <c r="CK605" s="62" t="n">
        <f aca="false">N(M605)+N(N605)</f>
        <v>483</v>
      </c>
      <c r="CL605" s="62" t="n">
        <f aca="false">N(M605)</f>
        <v>18</v>
      </c>
      <c r="CM605" s="62" t="n">
        <f aca="false">N(N605)</f>
        <v>465</v>
      </c>
      <c r="CN605" s="62" t="n">
        <f aca="false">ROUNDUP(H605/BZ605,0)</f>
        <v>1</v>
      </c>
      <c r="CO605" s="62" t="n">
        <f aca="false">ROUNDUP(CJ605/BZ605,0)</f>
        <v>0</v>
      </c>
      <c r="CP605" s="65" t="n">
        <f aca="false">IF(CA605=1,0,IFERROR(VLOOKUP(BY605,'Gebinde-Kategorie'!$A$5:$N$45,5,0)+0,0))</f>
        <v>8</v>
      </c>
      <c r="CQ605" s="65" t="n">
        <f aca="false">IFERROR(IF(OR(CF605=1,CF605=2,CF605=3),N(INDEX(Parameter!$I$5:$I$7,CF605)),0),0)</f>
        <v>0</v>
      </c>
      <c r="CR605" s="64" t="n">
        <f aca="false">IF(AND(Parameter!$B$21="Ja",ISNUMBER(W605),N(X605)&gt;0),IFERROR(N(INDEX(Parameter!$L$5:$L$7,W605))*INDEX(Parameter!$E$5:$E$7,W605)*X605/SUMIFS($X$7:$X$1843,$W$7:$W$1843,W605),0),0)</f>
        <v>0</v>
      </c>
      <c r="CS605" s="62" t="n">
        <f aca="false">IF(AND(OR(CG605="L1",CG605="L23",CG605="LIFT"),H605&gt;0),CC605*IF(CR605&gt;0,CR605*MAX(1,H605/X605),IF(CA605=1,CE605,IF(R605&gt;0,CN605/R605,0))/MAX(0.1,N(Parameter!$M$21))),"")</f>
        <v>1.10714285714286</v>
      </c>
      <c r="CT605" s="64" t="n">
        <f aca="false">IF(CS605="","",J605/H605)</f>
        <v>1.04954954954955</v>
      </c>
      <c r="CU605" s="62" t="n">
        <f aca="false">IF(CS605="","",H605*G605)</f>
        <v>39.96</v>
      </c>
      <c r="CV605" s="63" t="n">
        <f aca="false">IF(CS605="","",(CL605+ROUNDUP(CL605+MAX(CM605,2*(J605/MAX(0.1,N(Einkauf!$C$6))-CL605)),0))/2)</f>
        <v>250.5</v>
      </c>
      <c r="CW605" s="62" t="n">
        <f aca="false">IF(CS605="","",MAX(0,H605-CV605)*G605)</f>
        <v>17.415</v>
      </c>
      <c r="CX605" s="62" t="n">
        <f aca="false">IF(CS605="","",CS605*MAX(0,1-CV605/H605))</f>
        <v>0.482504826254826</v>
      </c>
      <c r="CY605" s="64" t="n">
        <f aca="false">IF(CS605="","",PERCENTRANK($CS$7:$CS$1843,CS605)+PERCENTRANK($CU$7:$CU$1843,CU605)+1-PERCENTRANK($CT$7:$CT$1843,CT605))</f>
        <v>0.5134</v>
      </c>
      <c r="CZ605" s="72" t="n">
        <f aca="false">IF(CS605="","",CHOOSE(MATCH(Einkauf!$C$5,Parameter!$G$23:$G$27,0),CY605,CS605,CU605,-CT605,CW605)+ROW()/1000000000)</f>
        <v>0.513400605</v>
      </c>
    </row>
    <row r="606" customFormat="false" ht="15" hidden="false" customHeight="false" outlineLevel="0" collapsed="false">
      <c r="A606" s="60" t="s">
        <v>1295</v>
      </c>
      <c r="B606" s="60" t="s">
        <v>1296</v>
      </c>
      <c r="C606" s="60" t="s">
        <v>206</v>
      </c>
      <c r="D606" s="60" t="s">
        <v>226</v>
      </c>
      <c r="E606" s="60" t="s">
        <v>227</v>
      </c>
      <c r="F606" s="60" t="s">
        <v>260</v>
      </c>
      <c r="G606" s="61" t="n">
        <v>0.03</v>
      </c>
      <c r="H606" s="62" t="n">
        <f aca="false">MAX(0,IF(AND(Parameter!$B$21="Ja",ISNUMBER(Y606)),Y606,IF(Parameter!$B$20="Jahresanfang 2025 + Export",BS606+BR606,BR606)))</f>
        <v>448</v>
      </c>
      <c r="I606" s="62" t="n">
        <f aca="false">H606*G606</f>
        <v>13.44</v>
      </c>
      <c r="J606" s="62" t="n">
        <f aca="false">BU606*Parameter!$B$18</f>
        <v>302</v>
      </c>
      <c r="K606" s="63" t="n">
        <v>220.5</v>
      </c>
      <c r="L606" s="64" t="n">
        <v>1.36961451247166</v>
      </c>
      <c r="M606" s="62" t="n">
        <v>17</v>
      </c>
      <c r="N606" s="62" t="n">
        <v>500</v>
      </c>
      <c r="O606" s="65" t="n">
        <v>21</v>
      </c>
      <c r="P606" s="60" t="s">
        <v>468</v>
      </c>
      <c r="Q606" s="62" t="n">
        <v>300</v>
      </c>
      <c r="R606" s="65" t="n">
        <f aca="false">IF(CA606=1,0,IFERROR(VLOOKUP(BY606,'Gebinde-Kategorie'!$A$5:$N$45,13,0)+0,0))</f>
        <v>140</v>
      </c>
      <c r="S606" s="66"/>
      <c r="T606" s="67"/>
      <c r="U606" s="67"/>
      <c r="V606" s="67"/>
      <c r="W606" s="60"/>
      <c r="X606" s="62"/>
      <c r="Y606" s="62"/>
      <c r="Z606" s="60" t="n">
        <v>3</v>
      </c>
      <c r="AA606" s="60" t="n">
        <f aca="false">IF(A606="","",IF(AND(Parameter!$B$21="Ja",ISNUMBER(W606)),W606,IF(AND(Parameter!$E$27="Ja",ISNUMBER(Z606),CD606&lt;&gt;"Nein"),Z606,IF(CD606="2+3",IF(ISNUMBER(SEARCH("grosser Artikel",BV606)),2,IFERROR(VLOOKUP(BY606,Parameter!$F$35:$G$64,2,0),2)),IF(OR(CD606="Nein",CD606=""),"-",CD606)))))</f>
        <v>3</v>
      </c>
      <c r="AB606" s="67"/>
      <c r="AC606" s="68"/>
      <c r="AD606" s="62" t="n">
        <f aca="false">AW606</f>
        <v>517</v>
      </c>
      <c r="AE606" s="62" t="n">
        <f aca="false">MAX(AW606,H606)</f>
        <v>517</v>
      </c>
      <c r="AF606" s="69"/>
      <c r="AG606" s="62" t="n">
        <f aca="false">IF(LEFT(Cockpit!$C$5,1)="A",H606,IF(Parameter!$E$30="MAX-Bestand",IF(CI606=1,CJ606,IF(LEFT(Cockpit!$C$5,1)="B",AM606,MAX(AM606,H606))),ROUNDUP(AK606,0)))</f>
        <v>448</v>
      </c>
      <c r="AH606" s="62" t="n">
        <f aca="false">IF(CA606=1,0,ROUNDUP(AG606/BZ606,0))</f>
        <v>2</v>
      </c>
      <c r="AI606" s="64" t="n">
        <f aca="false">IF(CR606&gt;0,CR606*MAX(1,AG606/X606),IF(CA606=1,IF(AG606&lt;=0,0,CE606*MAX(1,IF(H606&gt;0,AG606/H606,1))),IF(R606&gt;0,AH606/R606,0))/MAX(0.1,N(Parameter!$M$21)))</f>
        <v>0.0142857142857143</v>
      </c>
      <c r="AJ606" s="62" t="n">
        <f aca="false">AI606*CC606</f>
        <v>2.21428571428571</v>
      </c>
      <c r="AK606" s="63" t="n">
        <f aca="false">IF(LEFT(Cockpit!$C$5,1)="A",H606,IF(CI606=1,(CL606+CJ606)/2,IF(LEFT(Cockpit!$C$5,1)="B",(CL606+AM606)/2,MAX((CL606+AM606)/2,H606))))</f>
        <v>448</v>
      </c>
      <c r="AL606" s="62" t="n">
        <f aca="false">AK606*G606</f>
        <v>13.44</v>
      </c>
      <c r="AM606" s="62" t="n">
        <f aca="false">ROUNDUP(CL606+MAX(CM606,2*(J606/IF(CH606&gt;0,CH606,MAX(0.1,N(Cockpit!$C$6)))-CL606)),0)</f>
        <v>517</v>
      </c>
      <c r="AN606" s="63" t="n">
        <f aca="false">IF(AJ606&gt;0,J606/AJ606,-1)</f>
        <v>136.387096774194</v>
      </c>
      <c r="AO606" s="63" t="n">
        <f aca="false">IF(AND(OR(CG606="L1",CG606="L23",CG606="LIFT"),AJ606&gt;0),SUMIFS($AJ$7:$AJ$1843,$CG$7:$CG$1843,CG606,$AN$7:$AN$1843,"&gt;"&amp;AN606)+SUMIFS($AJ$7:$AJ$1843,$CG$7:$CG$1843,CG606,$AN$7:$AN$1843,AN606,$BX$7:$BX$1843,"&lt;="&amp;BX606),"")</f>
        <v>535.385073260073</v>
      </c>
      <c r="AP606" s="70" t="n">
        <f aca="false">IF(AO606="",0,MAX(0,MIN(1,(IF(CG606="L1",Parameter!$H$5,IF(CG606="L23",Parameter!$H$6+Parameter!$H$7,Parameter!$H$5+Parameter!$H$6+Parameter!$H$7))-(AO606-AJ606))/AJ606)))</f>
        <v>1</v>
      </c>
      <c r="AQ606" s="62" t="n">
        <f aca="false">IF(LEFT(Cockpit!$I$5,1)="A",H606,IF(Parameter!$E$30="MAX-Bestand",IF(CI606=1,CJ606,IF(LEFT(Cockpit!$I$5,1)="B",AW606,MAX(AW606,H606))),ROUNDUP(AU606,0)))</f>
        <v>448</v>
      </c>
      <c r="AR606" s="62" t="n">
        <f aca="false">IF(CA606=1,0,ROUNDUP(AQ606/BZ606,0))</f>
        <v>2</v>
      </c>
      <c r="AS606" s="64" t="n">
        <f aca="false">IF(CR606&gt;0,CR606*MAX(1,AQ606/X606),IF(CA606=1,IF(AQ606&lt;=0,0,CE606*MAX(1,IF(H606&gt;0,AQ606/H606,1))),IF(R606&gt;0,AR606/R606,0))/MAX(0.1,N(Parameter!$M$21)))</f>
        <v>0.0142857142857143</v>
      </c>
      <c r="AT606" s="62" t="n">
        <f aca="false">AS606*CC606</f>
        <v>2.21428571428571</v>
      </c>
      <c r="AU606" s="63" t="n">
        <f aca="false">IF(LEFT(Cockpit!$I$5,1)="A",H606,IF(CI606=1,(CL606+CJ606)/2,IF(LEFT(Cockpit!$I$5,1)="B",(CL606+AW606)/2,MAX((CL606+AW606)/2,H606))))</f>
        <v>448</v>
      </c>
      <c r="AV606" s="62" t="n">
        <f aca="false">AU606*G606</f>
        <v>13.44</v>
      </c>
      <c r="AW606" s="62" t="n">
        <f aca="false">ROUNDUP(CL606+MAX(CM606,2*(J606/IF(CH606&gt;0,CH606,MAX(0.1,N(Cockpit!$I$6)))-CL606)),0)</f>
        <v>517</v>
      </c>
      <c r="AX606" s="63" t="n">
        <f aca="false">IF(AT606&gt;0,J606/AT606,-1)</f>
        <v>136.387096774194</v>
      </c>
      <c r="AY606" s="63" t="n">
        <f aca="false">IF(AND(OR(CG606="L1",CG606="L23",CG606="LIFT"),AT606&gt;0),SUMIFS($AT$7:$AT$1843,$CG$7:$CG$1843,CG606,$AX$7:$AX$1843,"&gt;"&amp;AX606)+SUMIFS($AT$7:$AT$1843,$CG$7:$CG$1843,CG606,$AX$7:$AX$1843,AX606,$BX$7:$BX$1843,"&lt;="&amp;BX606),"")</f>
        <v>653.021978021978</v>
      </c>
      <c r="AZ606" s="70" t="n">
        <f aca="false">IF(AY606="",0,MAX(0,MIN(1,(IF(CG606="L1",Parameter!$H$5,IF(CG606="L23",Parameter!$H$6+Parameter!$H$7,Parameter!$H$5+Parameter!$H$6+Parameter!$H$7))-(AY606-AT606))/AT606)))</f>
        <v>1</v>
      </c>
      <c r="BA606" s="62" t="n">
        <f aca="false">IF(LEFT(Cockpit!$O$5,1)="A",H606,IF(Parameter!$E$30="MAX-Bestand",IF(CI606=1,CJ606,IF(LEFT(Cockpit!$O$5,1)="B",BG606,MAX(BG606,H606))),ROUNDUP(BE606,0)))</f>
        <v>267</v>
      </c>
      <c r="BB606" s="62" t="n">
        <f aca="false">IF(CA606=1,0,ROUNDUP(BA606/BZ606,0))</f>
        <v>1</v>
      </c>
      <c r="BC606" s="64" t="n">
        <f aca="false">IF(CR606&gt;0,CR606*MAX(1,BA606/X606),IF(CA606=1,IF(BA606&lt;=0,0,CE606*MAX(1,IF(H606&gt;0,BA606/H606,1))),IF(R606&gt;0,BB606/R606,0))/MAX(0.1,N(Parameter!$M$21)))</f>
        <v>0.00714285714285714</v>
      </c>
      <c r="BD606" s="62" t="n">
        <f aca="false">BC606*CC606</f>
        <v>1.10714285714286</v>
      </c>
      <c r="BE606" s="63" t="n">
        <f aca="false">IF(LEFT(Cockpit!$O$5,1)="A",H606,IF(CI606=1,(CL606+CJ606)/2,IF(LEFT(Cockpit!$O$5,1)="B",(CL606+BG606)/2,MAX((CL606+BG606)/2,H606))))</f>
        <v>267</v>
      </c>
      <c r="BF606" s="62" t="n">
        <f aca="false">BE606*G606</f>
        <v>8.01</v>
      </c>
      <c r="BG606" s="62" t="n">
        <f aca="false">ROUNDUP(CL606+MAX(CM606,2*(J606/IF(CH606&gt;0,CH606,MAX(0.1,N(Cockpit!$O$6)))-CL606)),0)</f>
        <v>517</v>
      </c>
      <c r="BH606" s="63" t="n">
        <f aca="false">IF(BD606&gt;0,J606/BD606,-1)</f>
        <v>272.774193548387</v>
      </c>
      <c r="BI606" s="63" t="n">
        <f aca="false">IF(AND(OR(CG606="L1",CG606="L23",CG606="LIFT"),BD606&gt;0),SUMIFS($BD$7:$BD$1843,$CG$7:$CG$1843,CG606,$BH$7:$BH$1843,"&gt;"&amp;BH606)+SUMIFS($BD$7:$BD$1843,$CG$7:$CG$1843,CG606,$BH$7:$BH$1843,BH606,$BX$7:$BX$1843,"&lt;="&amp;BX606),"")</f>
        <v>271.038919413919</v>
      </c>
      <c r="BJ606" s="70" t="n">
        <f aca="false">IF(BI606="",0,MAX(0,MIN(1,(IF(CG606="L1",Parameter!$H$5,IF(CG606="L23",Parameter!$H$6+Parameter!$H$7,Parameter!$H$5+Parameter!$H$6+Parameter!$H$7))-(BI606-BD606))/BD606)))</f>
        <v>1</v>
      </c>
      <c r="BK606" s="60" t="str">
        <f aca="false">IF(AJ606&lt;=0,"",IF(CG606="Aussen","Aussenlager",IF(CG606="-","Nicht im Lift",IF(AP606&gt;=1,"Lift",IF(AP606&lt;=0,"Aussenlager","teilweise")))))</f>
        <v>Lift</v>
      </c>
      <c r="BL606" s="60" t="str">
        <f aca="false">IF(AT606&lt;=0,"",IF(CG606="Aussen","Aussenlager",IF(CG606="-","Nicht im Lift",IF(AZ606&gt;=1,"Lift",IF(AZ606&lt;=0,"Aussenlager","teilweise")))))</f>
        <v>Lift</v>
      </c>
      <c r="BM606" s="60" t="str">
        <f aca="false">IF(BD606&lt;=0,"",IF(CG606="Aussen","Aussenlager",IF(CG606="-","Nicht im Lift",IF(BJ606&gt;=1,"Lift",IF(BJ606&lt;=0,"Aussenlager","teilweise")))))</f>
        <v>Lift</v>
      </c>
      <c r="BN606" s="60" t="str">
        <f aca="false">IF(A606="","",IF(BW606=1,"Neu; ","")&amp;IF(AND(BW606=0,BR606&lt;0),"negativer Bestand (Export "&amp;BR606&amp;"); ","")&amp;IF(J606&lt;=0,"Kein Verbrauch; ","")&amp;IF(CR606&gt;0,"Lift "&amp;W606&amp;" lt. Liftbericht (Fach "&amp;X606&amp;" Stk); ",IF(CB606=1,"Gebinde geschätzt ("&amp;T606&amp;"); ",IF(CA606=1,"Lose – Tablare geschätzt; ","")))&amp;IF(H606&gt;AW606,"Überbestand "&amp;ROUND(H606-AW606,0)&amp;" Stk / CHF "&amp;ROUND((H606-AW606)*G606,0)&amp;"; ","")&amp;IF(AND(CI606=1,CJ606&lt;CK606),"MAX &lt; MB+LG; ","")&amp;IF(AND(CQ606&gt;0,CP606*10&gt;CQ606),"zu hoch für Tablar; ","")&amp;IF(AND(BW606=0,OR(CI606=1,AB606&lt;&gt;"",U606&lt;&gt;"",V606&lt;&gt;"",AC606&lt;&gt;"")),"manuell übersteuert; ","")&amp;IF(AND(CA606=0,R606=0),"Gebinde unbekannt / Stellmass fehlt; ","")&amp;IF(AND(CA606=0,N(V606)&lt;=0,N(Q606)&lt;=0),"Menge pro Gebinde fehlt (Ist = 1 Gebinde); ","")&amp;BV606)</f>
        <v>nicht im KTL vorhanden</v>
      </c>
      <c r="BO606" s="60"/>
      <c r="BP606" s="60"/>
      <c r="BQ606" s="67"/>
      <c r="BR606" s="62" t="n">
        <v>175</v>
      </c>
      <c r="BS606" s="62" t="n">
        <v>273</v>
      </c>
      <c r="BT606" s="61" t="n">
        <v>5.25</v>
      </c>
      <c r="BU606" s="62" t="n">
        <v>302</v>
      </c>
      <c r="BV606" s="60" t="s">
        <v>272</v>
      </c>
      <c r="BW606" s="65" t="n">
        <v>0</v>
      </c>
      <c r="BX606" s="65" t="n">
        <v>606</v>
      </c>
      <c r="BY606" s="60" t="str">
        <f aca="false">IF(U606&lt;&gt;"",UPPER(TRIM(U606)),IF(CB606=1,UPPER(VLOOKUP(T606,Parameter!$I$27:$K$29,2,0)),IF(P606="","LOSE",P606)))</f>
        <v>S22</v>
      </c>
      <c r="BZ606" s="62" t="n">
        <f aca="false">IF(BY606="LOSE",1,IF(N(V606)&gt;0,V606,IF(CB606=1,MAX(1,N(VLOOKUP(T606,Parameter!$I$27:$K$29,3,0)),H606,N(N606)),IF(N(Q606)&gt;0,Q606,MAX(1,H606)))))</f>
        <v>300</v>
      </c>
      <c r="CA606" s="65" t="n">
        <f aca="false">IF(BY606="LOSE",1,0)</f>
        <v>0</v>
      </c>
      <c r="CB606" s="65" t="n">
        <f aca="false">IF(AND(U606="",OR(P606="",P606="LOSE"),T606&lt;&gt;"",N(S606)&lt;=0,ISNUMBER(MATCH(T606,Parameter!$I$27:$I$29,0))),1,0)</f>
        <v>0</v>
      </c>
      <c r="CC606" s="65" t="n">
        <f aca="false">IF(CR606&gt;0,INDEX(Parameter!$H$5:$H$7,W606)/INDEX(Parameter!$E$5:$E$7,W606),IF(AND(CA606=0,N(IFERROR(VLOOKUP(BY606,'Gebinde-Kategorie'!$A$5:$N$45,14,0),0))&gt;0),VLOOKUP(BY606,'Gebinde-Kategorie'!$A$5:$N$45,14,0)*10+Parameter!$M$23,Parameter!$M$24))</f>
        <v>155</v>
      </c>
      <c r="CD606" s="60" t="str">
        <f aca="false">IF(AND(Parameter!$B$19="Ja",E606&lt;&gt;"",ISNUMBER(MATCH(E606,Parameter!$I$35:$I$52,0))),VLOOKUP(E606,Parameter!$I$35:$J$52,2,0),IFERROR(VLOOKUP(D606,Parameter!$A$35:$C$64,2,0),"Nein"))</f>
        <v>2+3</v>
      </c>
      <c r="CE606" s="64" t="n">
        <f aca="false">IF(CA606=0,0,IF(N(S606)&gt;0,S606,IFERROR(VLOOKUP(D606,Parameter!$A$35:$C$64,3,0)+0,0)))</f>
        <v>0</v>
      </c>
      <c r="CF606" s="60" t="n">
        <f aca="false">IF(AB606&lt;&gt;"",AB606,AA606)</f>
        <v>3</v>
      </c>
      <c r="CG606" s="60" t="str">
        <f aca="false">IF(OR(CF606=1,CF606=2,CF606=3),IF(Parameter!$E$27="Ja","LIFT",IF(CF606=1,"L1","L23")),IF(CF606="Aussen","Aussen","-"))</f>
        <v>LIFT</v>
      </c>
      <c r="CH606" s="71" t="n">
        <f aca="false">IF(N(AC606)&gt;0,AC606,0)</f>
        <v>0</v>
      </c>
      <c r="CI606" s="65" t="n">
        <f aca="false">IF(ISNUMBER(AF606),1,0)</f>
        <v>0</v>
      </c>
      <c r="CJ606" s="62" t="n">
        <f aca="false">N(AF606)</f>
        <v>0</v>
      </c>
      <c r="CK606" s="62" t="n">
        <f aca="false">N(M606)+N(N606)</f>
        <v>517</v>
      </c>
      <c r="CL606" s="62" t="n">
        <f aca="false">N(M606)</f>
        <v>17</v>
      </c>
      <c r="CM606" s="62" t="n">
        <f aca="false">N(N606)</f>
        <v>500</v>
      </c>
      <c r="CN606" s="62" t="n">
        <f aca="false">ROUNDUP(H606/BZ606,0)</f>
        <v>2</v>
      </c>
      <c r="CO606" s="62" t="n">
        <f aca="false">ROUNDUP(CJ606/BZ606,0)</f>
        <v>0</v>
      </c>
      <c r="CP606" s="65" t="n">
        <f aca="false">IF(CA606=1,0,IFERROR(VLOOKUP(BY606,'Gebinde-Kategorie'!$A$5:$N$45,5,0)+0,0))</f>
        <v>8</v>
      </c>
      <c r="CQ606" s="65" t="n">
        <f aca="false">IFERROR(IF(OR(CF606=1,CF606=2,CF606=3),N(INDEX(Parameter!$I$5:$I$7,CF606)),0),0)</f>
        <v>0</v>
      </c>
      <c r="CR606" s="64" t="n">
        <f aca="false">IF(AND(Parameter!$B$21="Ja",ISNUMBER(W606),N(X606)&gt;0),IFERROR(N(INDEX(Parameter!$L$5:$L$7,W606))*INDEX(Parameter!$E$5:$E$7,W606)*X606/SUMIFS($X$7:$X$1843,$W$7:$W$1843,W606),0),0)</f>
        <v>0</v>
      </c>
      <c r="CS606" s="62" t="n">
        <f aca="false">IF(AND(OR(CG606="L1",CG606="L23",CG606="LIFT"),H606&gt;0),CC606*IF(CR606&gt;0,CR606*MAX(1,H606/X606),IF(CA606=1,CE606,IF(R606&gt;0,CN606/R606,0))/MAX(0.1,N(Parameter!$M$21))),"")</f>
        <v>2.21428571428571</v>
      </c>
      <c r="CT606" s="64" t="n">
        <f aca="false">IF(CS606="","",J606/H606)</f>
        <v>0.674107142857143</v>
      </c>
      <c r="CU606" s="62" t="n">
        <f aca="false">IF(CS606="","",H606*G606)</f>
        <v>13.44</v>
      </c>
      <c r="CV606" s="63" t="n">
        <f aca="false">IF(CS606="","",(CL606+ROUNDUP(CL606+MAX(CM606,2*(J606/MAX(0.1,N(Einkauf!$C$6))-CL606)),0))/2)</f>
        <v>267</v>
      </c>
      <c r="CW606" s="62" t="n">
        <f aca="false">IF(CS606="","",MAX(0,H606-CV606)*G606)</f>
        <v>5.43</v>
      </c>
      <c r="CX606" s="62" t="n">
        <f aca="false">IF(CS606="","",CS606*MAX(0,1-CV606/H606))</f>
        <v>0.894610969387755</v>
      </c>
      <c r="CY606" s="64" t="n">
        <f aca="false">IF(CS606="","",PERCENTRANK($CS$7:$CS$1843,CS606)+PERCENTRANK($CU$7:$CU$1843,CU606)+1-PERCENTRANK($CT$7:$CT$1843,CT606))</f>
        <v>0.6714</v>
      </c>
      <c r="CZ606" s="72" t="n">
        <f aca="false">IF(CS606="","",CHOOSE(MATCH(Einkauf!$C$5,Parameter!$G$23:$G$27,0),CY606,CS606,CU606,-CT606,CW606)+ROW()/1000000000)</f>
        <v>0.671400606</v>
      </c>
    </row>
    <row r="607" customFormat="false" ht="15" hidden="false" customHeight="false" outlineLevel="0" collapsed="false">
      <c r="A607" s="60" t="s">
        <v>1297</v>
      </c>
      <c r="B607" s="60" t="s">
        <v>510</v>
      </c>
      <c r="C607" s="60" t="s">
        <v>206</v>
      </c>
      <c r="D607" s="60" t="s">
        <v>226</v>
      </c>
      <c r="E607" s="60" t="s">
        <v>227</v>
      </c>
      <c r="F607" s="60" t="s">
        <v>260</v>
      </c>
      <c r="G607" s="61" t="n">
        <v>0.2</v>
      </c>
      <c r="H607" s="62" t="n">
        <f aca="false">MAX(0,IF(AND(Parameter!$B$21="Ja",ISNUMBER(Y607)),Y607,IF(Parameter!$B$20="Jahresanfang 2025 + Export",BS607+BR607,BR607)))</f>
        <v>155</v>
      </c>
      <c r="I607" s="62" t="n">
        <f aca="false">H607*G607</f>
        <v>31</v>
      </c>
      <c r="J607" s="62" t="n">
        <f aca="false">BU607*Parameter!$B$18</f>
        <v>266</v>
      </c>
      <c r="K607" s="63" t="n">
        <v>114.5</v>
      </c>
      <c r="L607" s="64" t="n">
        <v>2.32314410480349</v>
      </c>
      <c r="M607" s="62" t="n">
        <v>10</v>
      </c>
      <c r="N607" s="62" t="n">
        <v>265</v>
      </c>
      <c r="O607" s="65" t="n">
        <v>14</v>
      </c>
      <c r="P607" s="60" t="s">
        <v>463</v>
      </c>
      <c r="Q607" s="62" t="n">
        <v>612</v>
      </c>
      <c r="R607" s="65" t="n">
        <f aca="false">IF(CA607=1,0,IFERROR(VLOOKUP(BY607,'Gebinde-Kategorie'!$A$5:$N$45,13,0)+0,0))</f>
        <v>104</v>
      </c>
      <c r="S607" s="66"/>
      <c r="T607" s="67"/>
      <c r="U607" s="67"/>
      <c r="V607" s="67"/>
      <c r="W607" s="60"/>
      <c r="X607" s="62"/>
      <c r="Y607" s="62"/>
      <c r="Z607" s="60" t="n">
        <v>1</v>
      </c>
      <c r="AA607" s="60" t="n">
        <f aca="false">IF(A607="","",IF(AND(Parameter!$B$21="Ja",ISNUMBER(W607)),W607,IF(AND(Parameter!$E$27="Ja",ISNUMBER(Z607),CD607&lt;&gt;"Nein"),Z607,IF(CD607="2+3",IF(ISNUMBER(SEARCH("grosser Artikel",BV607)),2,IFERROR(VLOOKUP(BY607,Parameter!$F$35:$G$64,2,0),2)),IF(OR(CD607="Nein",CD607=""),"-",CD607)))))</f>
        <v>1</v>
      </c>
      <c r="AB607" s="67"/>
      <c r="AC607" s="68"/>
      <c r="AD607" s="62" t="n">
        <f aca="false">AW607</f>
        <v>275</v>
      </c>
      <c r="AE607" s="62" t="n">
        <f aca="false">MAX(AW607,H607)</f>
        <v>275</v>
      </c>
      <c r="AF607" s="69"/>
      <c r="AG607" s="62" t="n">
        <f aca="false">IF(LEFT(Cockpit!$C$5,1)="A",H607,IF(Parameter!$E$30="MAX-Bestand",IF(CI607=1,CJ607,IF(LEFT(Cockpit!$C$5,1)="B",AM607,MAX(AM607,H607))),ROUNDUP(AK607,0)))</f>
        <v>155</v>
      </c>
      <c r="AH607" s="62" t="n">
        <f aca="false">IF(CA607=1,0,ROUNDUP(AG607/BZ607,0))</f>
        <v>1</v>
      </c>
      <c r="AI607" s="64" t="n">
        <f aca="false">IF(CR607&gt;0,CR607*MAX(1,AG607/X607),IF(CA607=1,IF(AG607&lt;=0,0,CE607*MAX(1,IF(H607&gt;0,AG607/H607,1))),IF(R607&gt;0,AH607/R607,0))/MAX(0.1,N(Parameter!$M$21)))</f>
        <v>0.00961538461538462</v>
      </c>
      <c r="AJ607" s="62" t="n">
        <f aca="false">AI607*CC607</f>
        <v>1.49038461538462</v>
      </c>
      <c r="AK607" s="63" t="n">
        <f aca="false">IF(LEFT(Cockpit!$C$5,1)="A",H607,IF(CI607=1,(CL607+CJ607)/2,IF(LEFT(Cockpit!$C$5,1)="B",(CL607+AM607)/2,MAX((CL607+AM607)/2,H607))))</f>
        <v>155</v>
      </c>
      <c r="AL607" s="62" t="n">
        <f aca="false">AK607*G607</f>
        <v>31</v>
      </c>
      <c r="AM607" s="62" t="n">
        <f aca="false">ROUNDUP(CL607+MAX(CM607,2*(J607/IF(CH607&gt;0,CH607,MAX(0.1,N(Cockpit!$C$6)))-CL607)),0)</f>
        <v>275</v>
      </c>
      <c r="AN607" s="63" t="n">
        <f aca="false">IF(AJ607&gt;0,J607/AJ607,-1)</f>
        <v>178.477419354839</v>
      </c>
      <c r="AO607" s="63" t="n">
        <f aca="false">IF(AND(OR(CG607="L1",CG607="L23",CG607="LIFT"),AJ607&gt;0),SUMIFS($AJ$7:$AJ$1843,$CG$7:$CG$1843,CG607,$AN$7:$AN$1843,"&gt;"&amp;AN607)+SUMIFS($AJ$7:$AJ$1843,$CG$7:$CG$1843,CG607,$AN$7:$AN$1843,AN607,$BX$7:$BX$1843,"&lt;="&amp;BX607),"")</f>
        <v>399.272435897436</v>
      </c>
      <c r="AP607" s="70" t="n">
        <f aca="false">IF(AO607="",0,MAX(0,MIN(1,(IF(CG607="L1",Parameter!$H$5,IF(CG607="L23",Parameter!$H$6+Parameter!$H$7,Parameter!$H$5+Parameter!$H$6+Parameter!$H$7))-(AO607-AJ607))/AJ607)))</f>
        <v>1</v>
      </c>
      <c r="AQ607" s="62" t="n">
        <f aca="false">IF(LEFT(Cockpit!$I$5,1)="A",H607,IF(Parameter!$E$30="MAX-Bestand",IF(CI607=1,CJ607,IF(LEFT(Cockpit!$I$5,1)="B",AW607,MAX(AW607,H607))),ROUNDUP(AU607,0)))</f>
        <v>155</v>
      </c>
      <c r="AR607" s="62" t="n">
        <f aca="false">IF(CA607=1,0,ROUNDUP(AQ607/BZ607,0))</f>
        <v>1</v>
      </c>
      <c r="AS607" s="64" t="n">
        <f aca="false">IF(CR607&gt;0,CR607*MAX(1,AQ607/X607),IF(CA607=1,IF(AQ607&lt;=0,0,CE607*MAX(1,IF(H607&gt;0,AQ607/H607,1))),IF(R607&gt;0,AR607/R607,0))/MAX(0.1,N(Parameter!$M$21)))</f>
        <v>0.00961538461538462</v>
      </c>
      <c r="AT607" s="62" t="n">
        <f aca="false">AS607*CC607</f>
        <v>1.49038461538462</v>
      </c>
      <c r="AU607" s="63" t="n">
        <f aca="false">IF(LEFT(Cockpit!$I$5,1)="A",H607,IF(CI607=1,(CL607+CJ607)/2,IF(LEFT(Cockpit!$I$5,1)="B",(CL607+AW607)/2,MAX((CL607+AW607)/2,H607))))</f>
        <v>155</v>
      </c>
      <c r="AV607" s="62" t="n">
        <f aca="false">AU607*G607</f>
        <v>31</v>
      </c>
      <c r="AW607" s="62" t="n">
        <f aca="false">ROUNDUP(CL607+MAX(CM607,2*(J607/IF(CH607&gt;0,CH607,MAX(0.1,N(Cockpit!$I$6)))-CL607)),0)</f>
        <v>275</v>
      </c>
      <c r="AX607" s="63" t="n">
        <f aca="false">IF(AT607&gt;0,J607/AT607,-1)</f>
        <v>178.477419354839</v>
      </c>
      <c r="AY607" s="63" t="n">
        <f aca="false">IF(AND(OR(CG607="L1",CG607="L23",CG607="LIFT"),AT607&gt;0),SUMIFS($AT$7:$AT$1843,$CG$7:$CG$1843,CG607,$AX$7:$AX$1843,"&gt;"&amp;AX607)+SUMIFS($AT$7:$AT$1843,$CG$7:$CG$1843,CG607,$AX$7:$AX$1843,AX607,$BX$7:$BX$1843,"&lt;="&amp;BX607),"")</f>
        <v>516.909340659341</v>
      </c>
      <c r="AZ607" s="70" t="n">
        <f aca="false">IF(AY607="",0,MAX(0,MIN(1,(IF(CG607="L1",Parameter!$H$5,IF(CG607="L23",Parameter!$H$6+Parameter!$H$7,Parameter!$H$5+Parameter!$H$6+Parameter!$H$7))-(AY607-AT607))/AT607)))</f>
        <v>1</v>
      </c>
      <c r="BA607" s="62" t="n">
        <f aca="false">IF(LEFT(Cockpit!$O$5,1)="A",H607,IF(Parameter!$E$30="MAX-Bestand",IF(CI607=1,CJ607,IF(LEFT(Cockpit!$O$5,1)="B",BG607,MAX(BG607,H607))),ROUNDUP(BE607,0)))</f>
        <v>143</v>
      </c>
      <c r="BB607" s="62" t="n">
        <f aca="false">IF(CA607=1,0,ROUNDUP(BA607/BZ607,0))</f>
        <v>1</v>
      </c>
      <c r="BC607" s="64" t="n">
        <f aca="false">IF(CR607&gt;0,CR607*MAX(1,BA607/X607),IF(CA607=1,IF(BA607&lt;=0,0,CE607*MAX(1,IF(H607&gt;0,BA607/H607,1))),IF(R607&gt;0,BB607/R607,0))/MAX(0.1,N(Parameter!$M$21)))</f>
        <v>0.00961538461538462</v>
      </c>
      <c r="BD607" s="62" t="n">
        <f aca="false">BC607*CC607</f>
        <v>1.49038461538462</v>
      </c>
      <c r="BE607" s="63" t="n">
        <f aca="false">IF(LEFT(Cockpit!$O$5,1)="A",H607,IF(CI607=1,(CL607+CJ607)/2,IF(LEFT(Cockpit!$O$5,1)="B",(CL607+BG607)/2,MAX((CL607+BG607)/2,H607))))</f>
        <v>142.5</v>
      </c>
      <c r="BF607" s="62" t="n">
        <f aca="false">BE607*G607</f>
        <v>28.5</v>
      </c>
      <c r="BG607" s="62" t="n">
        <f aca="false">ROUNDUP(CL607+MAX(CM607,2*(J607/IF(CH607&gt;0,CH607,MAX(0.1,N(Cockpit!$O$6)))-CL607)),0)</f>
        <v>275</v>
      </c>
      <c r="BH607" s="63" t="n">
        <f aca="false">IF(BD607&gt;0,J607/BD607,-1)</f>
        <v>178.477419354839</v>
      </c>
      <c r="BI607" s="63" t="n">
        <f aca="false">IF(AND(OR(CG607="L1",CG607="L23",CG607="LIFT"),BD607&gt;0),SUMIFS($BD$7:$BD$1843,$CG$7:$CG$1843,CG607,$BH$7:$BH$1843,"&gt;"&amp;BH607)+SUMIFS($BD$7:$BD$1843,$CG$7:$CG$1843,CG607,$BH$7:$BH$1843,BH607,$BX$7:$BX$1843,"&lt;="&amp;BX607),"")</f>
        <v>509.598901098901</v>
      </c>
      <c r="BJ607" s="70" t="n">
        <f aca="false">IF(BI607="",0,MAX(0,MIN(1,(IF(CG607="L1",Parameter!$H$5,IF(CG607="L23",Parameter!$H$6+Parameter!$H$7,Parameter!$H$5+Parameter!$H$6+Parameter!$H$7))-(BI607-BD607))/BD607)))</f>
        <v>1</v>
      </c>
      <c r="BK607" s="60" t="str">
        <f aca="false">IF(AJ607&lt;=0,"",IF(CG607="Aussen","Aussenlager",IF(CG607="-","Nicht im Lift",IF(AP607&gt;=1,"Lift",IF(AP607&lt;=0,"Aussenlager","teilweise")))))</f>
        <v>Lift</v>
      </c>
      <c r="BL607" s="60" t="str">
        <f aca="false">IF(AT607&lt;=0,"",IF(CG607="Aussen","Aussenlager",IF(CG607="-","Nicht im Lift",IF(AZ607&gt;=1,"Lift",IF(AZ607&lt;=0,"Aussenlager","teilweise")))))</f>
        <v>Lift</v>
      </c>
      <c r="BM607" s="60" t="str">
        <f aca="false">IF(BD607&lt;=0,"",IF(CG607="Aussen","Aussenlager",IF(CG607="-","Nicht im Lift",IF(BJ607&gt;=1,"Lift",IF(BJ607&lt;=0,"Aussenlager","teilweise")))))</f>
        <v>Lift</v>
      </c>
      <c r="BN607" s="60" t="str">
        <f aca="false">IF(A607="","",IF(BW607=1,"Neu; ","")&amp;IF(AND(BW607=0,BR607&lt;0),"negativer Bestand (Export "&amp;BR607&amp;"); ","")&amp;IF(J607&lt;=0,"Kein Verbrauch; ","")&amp;IF(CR607&gt;0,"Lift "&amp;W607&amp;" lt. Liftbericht (Fach "&amp;X607&amp;" Stk); ",IF(CB607=1,"Gebinde geschätzt ("&amp;T607&amp;"); ",IF(CA607=1,"Lose – Tablare geschätzt; ","")))&amp;IF(H607&gt;AW607,"Überbestand "&amp;ROUND(H607-AW607,0)&amp;" Stk / CHF "&amp;ROUND((H607-AW607)*G607,0)&amp;"; ","")&amp;IF(AND(CI607=1,CJ607&lt;CK607),"MAX &lt; MB+LG; ","")&amp;IF(AND(CQ607&gt;0,CP607*10&gt;CQ607),"zu hoch für Tablar; ","")&amp;IF(AND(BW607=0,OR(CI607=1,AB607&lt;&gt;"",U607&lt;&gt;"",V607&lt;&gt;"",AC607&lt;&gt;"")),"manuell übersteuert; ","")&amp;IF(AND(CA607=0,R607=0),"Gebinde unbekannt / Stellmass fehlt; ","")&amp;IF(AND(CA607=0,N(V607)&lt;=0,N(Q607)&lt;=0),"Menge pro Gebinde fehlt (Ist = 1 Gebinde); ","")&amp;BV607)</f>
        <v/>
      </c>
      <c r="BO607" s="60"/>
      <c r="BP607" s="60"/>
      <c r="BQ607" s="67"/>
      <c r="BR607" s="62" t="n">
        <v>26</v>
      </c>
      <c r="BS607" s="62" t="n">
        <v>129</v>
      </c>
      <c r="BT607" s="61" t="n">
        <v>5.19999999999998</v>
      </c>
      <c r="BU607" s="62" t="n">
        <v>266</v>
      </c>
      <c r="BV607" s="60"/>
      <c r="BW607" s="65" t="n">
        <v>0</v>
      </c>
      <c r="BX607" s="65" t="n">
        <v>607</v>
      </c>
      <c r="BY607" s="60" t="str">
        <f aca="false">IF(U607&lt;&gt;"",UPPER(TRIM(U607)),IF(CB607=1,UPPER(VLOOKUP(T607,Parameter!$I$27:$K$29,2,0)),IF(P607="","LOSE",P607)))</f>
        <v>S32</v>
      </c>
      <c r="BZ607" s="62" t="n">
        <f aca="false">IF(BY607="LOSE",1,IF(N(V607)&gt;0,V607,IF(CB607=1,MAX(1,N(VLOOKUP(T607,Parameter!$I$27:$K$29,3,0)),H607,N(N607)),IF(N(Q607)&gt;0,Q607,MAX(1,H607)))))</f>
        <v>612</v>
      </c>
      <c r="CA607" s="65" t="n">
        <f aca="false">IF(BY607="LOSE",1,0)</f>
        <v>0</v>
      </c>
      <c r="CB607" s="65" t="n">
        <f aca="false">IF(AND(U607="",OR(P607="",P607="LOSE"),T607&lt;&gt;"",N(S607)&lt;=0,ISNUMBER(MATCH(T607,Parameter!$I$27:$I$29,0))),1,0)</f>
        <v>0</v>
      </c>
      <c r="CC607" s="65" t="n">
        <f aca="false">IF(CR607&gt;0,INDEX(Parameter!$H$5:$H$7,W607)/INDEX(Parameter!$E$5:$E$7,W607),IF(AND(CA607=0,N(IFERROR(VLOOKUP(BY607,'Gebinde-Kategorie'!$A$5:$N$45,14,0),0))&gt;0),VLOOKUP(BY607,'Gebinde-Kategorie'!$A$5:$N$45,14,0)*10+Parameter!$M$23,Parameter!$M$24))</f>
        <v>155</v>
      </c>
      <c r="CD607" s="60" t="str">
        <f aca="false">IF(AND(Parameter!$B$19="Ja",E607&lt;&gt;"",ISNUMBER(MATCH(E607,Parameter!$I$35:$I$52,0))),VLOOKUP(E607,Parameter!$I$35:$J$52,2,0),IFERROR(VLOOKUP(D607,Parameter!$A$35:$C$64,2,0),"Nein"))</f>
        <v>2+3</v>
      </c>
      <c r="CE607" s="64" t="n">
        <f aca="false">IF(CA607=0,0,IF(N(S607)&gt;0,S607,IFERROR(VLOOKUP(D607,Parameter!$A$35:$C$64,3,0)+0,0)))</f>
        <v>0</v>
      </c>
      <c r="CF607" s="60" t="n">
        <f aca="false">IF(AB607&lt;&gt;"",AB607,AA607)</f>
        <v>1</v>
      </c>
      <c r="CG607" s="60" t="str">
        <f aca="false">IF(OR(CF607=1,CF607=2,CF607=3),IF(Parameter!$E$27="Ja","LIFT",IF(CF607=1,"L1","L23")),IF(CF607="Aussen","Aussen","-"))</f>
        <v>LIFT</v>
      </c>
      <c r="CH607" s="71" t="n">
        <f aca="false">IF(N(AC607)&gt;0,AC607,0)</f>
        <v>0</v>
      </c>
      <c r="CI607" s="65" t="n">
        <f aca="false">IF(ISNUMBER(AF607),1,0)</f>
        <v>0</v>
      </c>
      <c r="CJ607" s="62" t="n">
        <f aca="false">N(AF607)</f>
        <v>0</v>
      </c>
      <c r="CK607" s="62" t="n">
        <f aca="false">N(M607)+N(N607)</f>
        <v>275</v>
      </c>
      <c r="CL607" s="62" t="n">
        <f aca="false">N(M607)</f>
        <v>10</v>
      </c>
      <c r="CM607" s="62" t="n">
        <f aca="false">N(N607)</f>
        <v>265</v>
      </c>
      <c r="CN607" s="62" t="n">
        <f aca="false">ROUNDUP(H607/BZ607,0)</f>
        <v>1</v>
      </c>
      <c r="CO607" s="62" t="n">
        <f aca="false">ROUNDUP(CJ607/BZ607,0)</f>
        <v>0</v>
      </c>
      <c r="CP607" s="65" t="n">
        <f aca="false">IF(CA607=1,0,IFERROR(VLOOKUP(BY607,'Gebinde-Kategorie'!$A$5:$N$45,5,0)+0,0))</f>
        <v>8</v>
      </c>
      <c r="CQ607" s="65" t="n">
        <f aca="false">IFERROR(IF(OR(CF607=1,CF607=2,CF607=3),N(INDEX(Parameter!$I$5:$I$7,CF607)),0),0)</f>
        <v>0</v>
      </c>
      <c r="CR607" s="64" t="n">
        <f aca="false">IF(AND(Parameter!$B$21="Ja",ISNUMBER(W607),N(X607)&gt;0),IFERROR(N(INDEX(Parameter!$L$5:$L$7,W607))*INDEX(Parameter!$E$5:$E$7,W607)*X607/SUMIFS($X$7:$X$1843,$W$7:$W$1843,W607),0),0)</f>
        <v>0</v>
      </c>
      <c r="CS607" s="62" t="n">
        <f aca="false">IF(AND(OR(CG607="L1",CG607="L23",CG607="LIFT"),H607&gt;0),CC607*IF(CR607&gt;0,CR607*MAX(1,H607/X607),IF(CA607=1,CE607,IF(R607&gt;0,CN607/R607,0))/MAX(0.1,N(Parameter!$M$21))),"")</f>
        <v>1.49038461538462</v>
      </c>
      <c r="CT607" s="64" t="n">
        <f aca="false">IF(CS607="","",J607/H607)</f>
        <v>1.71612903225806</v>
      </c>
      <c r="CU607" s="62" t="n">
        <f aca="false">IF(CS607="","",H607*G607)</f>
        <v>31</v>
      </c>
      <c r="CV607" s="63" t="n">
        <f aca="false">IF(CS607="","",(CL607+ROUNDUP(CL607+MAX(CM607,2*(J607/MAX(0.1,N(Einkauf!$C$6))-CL607)),0))/2)</f>
        <v>142.5</v>
      </c>
      <c r="CW607" s="62" t="n">
        <f aca="false">IF(CS607="","",MAX(0,H607-CV607)*G607)</f>
        <v>2.5</v>
      </c>
      <c r="CX607" s="62" t="n">
        <f aca="false">IF(CS607="","",CS607*MAX(0,1-CV607/H607))</f>
        <v>0.120192307692308</v>
      </c>
      <c r="CY607" s="64" t="n">
        <f aca="false">IF(CS607="","",PERCENTRANK($CS$7:$CS$1843,CS607)+PERCENTRANK($CU$7:$CU$1843,CU607)+1-PERCENTRANK($CT$7:$CT$1843,CT607))</f>
        <v>0.441</v>
      </c>
      <c r="CZ607" s="72" t="n">
        <f aca="false">IF(CS607="","",CHOOSE(MATCH(Einkauf!$C$5,Parameter!$G$23:$G$27,0),CY607,CS607,CU607,-CT607,CW607)+ROW()/1000000000)</f>
        <v>0.441000607</v>
      </c>
    </row>
    <row r="608" customFormat="false" ht="15" hidden="false" customHeight="false" outlineLevel="0" collapsed="false">
      <c r="A608" s="60" t="s">
        <v>1298</v>
      </c>
      <c r="B608" s="60" t="s">
        <v>1253</v>
      </c>
      <c r="C608" s="60" t="s">
        <v>206</v>
      </c>
      <c r="D608" s="60" t="s">
        <v>226</v>
      </c>
      <c r="E608" s="60" t="s">
        <v>227</v>
      </c>
      <c r="F608" s="60" t="s">
        <v>260</v>
      </c>
      <c r="G608" s="61" t="n">
        <v>0.85</v>
      </c>
      <c r="H608" s="62" t="n">
        <f aca="false">MAX(0,IF(AND(Parameter!$B$21="Ja",ISNUMBER(Y608)),Y608,IF(Parameter!$B$20="Jahresanfang 2025 + Export",BS608+BR608,BR608)))</f>
        <v>20</v>
      </c>
      <c r="I608" s="62" t="n">
        <f aca="false">H608*G608</f>
        <v>17</v>
      </c>
      <c r="J608" s="62" t="n">
        <f aca="false">BU608*Parameter!$B$18</f>
        <v>0</v>
      </c>
      <c r="K608" s="63" t="n">
        <v>18</v>
      </c>
      <c r="L608" s="64" t="n">
        <v>0</v>
      </c>
      <c r="M608" s="62" t="n">
        <v>0</v>
      </c>
      <c r="N608" s="62" t="n">
        <v>1</v>
      </c>
      <c r="O608" s="65" t="n">
        <v>42</v>
      </c>
      <c r="P608" s="60" t="s">
        <v>463</v>
      </c>
      <c r="Q608" s="62" t="n">
        <v>16</v>
      </c>
      <c r="R608" s="65" t="n">
        <f aca="false">IF(CA608=1,0,IFERROR(VLOOKUP(BY608,'Gebinde-Kategorie'!$A$5:$N$45,13,0)+0,0))</f>
        <v>104</v>
      </c>
      <c r="S608" s="66"/>
      <c r="T608" s="67"/>
      <c r="U608" s="67"/>
      <c r="V608" s="67"/>
      <c r="W608" s="60"/>
      <c r="X608" s="62"/>
      <c r="Y608" s="62"/>
      <c r="Z608" s="60" t="n">
        <v>2</v>
      </c>
      <c r="AA608" s="60" t="n">
        <f aca="false">IF(A608="","",IF(AND(Parameter!$B$21="Ja",ISNUMBER(W608)),W608,IF(AND(Parameter!$E$27="Ja",ISNUMBER(Z608),CD608&lt;&gt;"Nein"),Z608,IF(CD608="2+3",IF(ISNUMBER(SEARCH("grosser Artikel",BV608)),2,IFERROR(VLOOKUP(BY608,Parameter!$F$35:$G$64,2,0),2)),IF(OR(CD608="Nein",CD608=""),"-",CD608)))))</f>
        <v>2</v>
      </c>
      <c r="AB608" s="67"/>
      <c r="AC608" s="68"/>
      <c r="AD608" s="62" t="n">
        <f aca="false">AW608</f>
        <v>1</v>
      </c>
      <c r="AE608" s="62" t="n">
        <f aca="false">MAX(AW608,H608)</f>
        <v>20</v>
      </c>
      <c r="AF608" s="69"/>
      <c r="AG608" s="62" t="n">
        <f aca="false">IF(LEFT(Cockpit!$C$5,1)="A",H608,IF(Parameter!$E$30="MAX-Bestand",IF(CI608=1,CJ608,IF(LEFT(Cockpit!$C$5,1)="B",AM608,MAX(AM608,H608))),ROUNDUP(AK608,0)))</f>
        <v>20</v>
      </c>
      <c r="AH608" s="62" t="n">
        <f aca="false">IF(CA608=1,0,ROUNDUP(AG608/BZ608,0))</f>
        <v>2</v>
      </c>
      <c r="AI608" s="64" t="n">
        <f aca="false">IF(CR608&gt;0,CR608*MAX(1,AG608/X608),IF(CA608=1,IF(AG608&lt;=0,0,CE608*MAX(1,IF(H608&gt;0,AG608/H608,1))),IF(R608&gt;0,AH608/R608,0))/MAX(0.1,N(Parameter!$M$21)))</f>
        <v>0.0192307692307692</v>
      </c>
      <c r="AJ608" s="62" t="n">
        <f aca="false">AI608*CC608</f>
        <v>2.98076923076923</v>
      </c>
      <c r="AK608" s="63" t="n">
        <f aca="false">IF(LEFT(Cockpit!$C$5,1)="A",H608,IF(CI608=1,(CL608+CJ608)/2,IF(LEFT(Cockpit!$C$5,1)="B",(CL608+AM608)/2,MAX((CL608+AM608)/2,H608))))</f>
        <v>20</v>
      </c>
      <c r="AL608" s="62" t="n">
        <f aca="false">AK608*G608</f>
        <v>17</v>
      </c>
      <c r="AM608" s="62" t="n">
        <f aca="false">ROUNDUP(CL608+MAX(CM608,2*(J608/IF(CH608&gt;0,CH608,MAX(0.1,N(Cockpit!$C$6)))-CL608)),0)</f>
        <v>1</v>
      </c>
      <c r="AN608" s="63" t="n">
        <f aca="false">IF(AJ608&gt;0,J608/AJ608,-1)</f>
        <v>0</v>
      </c>
      <c r="AO608" s="63" t="n">
        <f aca="false">IF(AND(OR(CG608="L1",CG608="L23",CG608="LIFT"),AJ608&gt;0),SUMIFS($AJ$7:$AJ$1843,$CG$7:$CG$1843,CG608,$AN$7:$AN$1843,"&gt;"&amp;AN608)+SUMIFS($AJ$7:$AJ$1843,$CG$7:$CG$1843,CG608,$AN$7:$AN$1843,AN608,$BX$7:$BX$1843,"&lt;="&amp;BX608),"")</f>
        <v>28534.965827487</v>
      </c>
      <c r="AP608" s="70" t="n">
        <f aca="false">IF(AO608="",0,MAX(0,MIN(1,(IF(CG608="L1",Parameter!$H$5,IF(CG608="L23",Parameter!$H$6+Parameter!$H$7,Parameter!$H$5+Parameter!$H$6+Parameter!$H$7))-(AO608-AJ608))/AJ608)))</f>
        <v>1</v>
      </c>
      <c r="AQ608" s="62" t="n">
        <f aca="false">IF(LEFT(Cockpit!$I$5,1)="A",H608,IF(Parameter!$E$30="MAX-Bestand",IF(CI608=1,CJ608,IF(LEFT(Cockpit!$I$5,1)="B",AW608,MAX(AW608,H608))),ROUNDUP(AU608,0)))</f>
        <v>20</v>
      </c>
      <c r="AR608" s="62" t="n">
        <f aca="false">IF(CA608=1,0,ROUNDUP(AQ608/BZ608,0))</f>
        <v>2</v>
      </c>
      <c r="AS608" s="64" t="n">
        <f aca="false">IF(CR608&gt;0,CR608*MAX(1,AQ608/X608),IF(CA608=1,IF(AQ608&lt;=0,0,CE608*MAX(1,IF(H608&gt;0,AQ608/H608,1))),IF(R608&gt;0,AR608/R608,0))/MAX(0.1,N(Parameter!$M$21)))</f>
        <v>0.0192307692307692</v>
      </c>
      <c r="AT608" s="62" t="n">
        <f aca="false">AS608*CC608</f>
        <v>2.98076923076923</v>
      </c>
      <c r="AU608" s="63" t="n">
        <f aca="false">IF(LEFT(Cockpit!$I$5,1)="A",H608,IF(CI608=1,(CL608+CJ608)/2,IF(LEFT(Cockpit!$I$5,1)="B",(CL608+AW608)/2,MAX((CL608+AW608)/2,H608))))</f>
        <v>20</v>
      </c>
      <c r="AV608" s="62" t="n">
        <f aca="false">AU608*G608</f>
        <v>17</v>
      </c>
      <c r="AW608" s="62" t="n">
        <f aca="false">ROUNDUP(CL608+MAX(CM608,2*(J608/IF(CH608&gt;0,CH608,MAX(0.1,N(Cockpit!$I$6)))-CL608)),0)</f>
        <v>1</v>
      </c>
      <c r="AX608" s="63" t="n">
        <f aca="false">IF(AT608&gt;0,J608/AT608,-1)</f>
        <v>0</v>
      </c>
      <c r="AY608" s="63" t="n">
        <f aca="false">IF(AND(OR(CG608="L1",CG608="L23",CG608="LIFT"),AT608&gt;0),SUMIFS($AT$7:$AT$1843,$CG$7:$CG$1843,CG608,$AX$7:$AX$1843,"&gt;"&amp;AX608)+SUMIFS($AT$7:$AT$1843,$CG$7:$CG$1843,CG608,$AX$7:$AX$1843,AX608,$BX$7:$BX$1843,"&lt;="&amp;BX608),"")</f>
        <v>33888.1144688645</v>
      </c>
      <c r="AZ608" s="70" t="n">
        <f aca="false">IF(AY608="",0,MAX(0,MIN(1,(IF(CG608="L1",Parameter!$H$5,IF(CG608="L23",Parameter!$H$6+Parameter!$H$7,Parameter!$H$5+Parameter!$H$6+Parameter!$H$7))-(AY608-AT608))/AT608)))</f>
        <v>1</v>
      </c>
      <c r="BA608" s="62" t="n">
        <f aca="false">IF(LEFT(Cockpit!$O$5,1)="A",H608,IF(Parameter!$E$30="MAX-Bestand",IF(CI608=1,CJ608,IF(LEFT(Cockpit!$O$5,1)="B",BG608,MAX(BG608,H608))),ROUNDUP(BE608,0)))</f>
        <v>1</v>
      </c>
      <c r="BB608" s="62" t="n">
        <f aca="false">IF(CA608=1,0,ROUNDUP(BA608/BZ608,0))</f>
        <v>1</v>
      </c>
      <c r="BC608" s="64" t="n">
        <f aca="false">IF(CR608&gt;0,CR608*MAX(1,BA608/X608),IF(CA608=1,IF(BA608&lt;=0,0,CE608*MAX(1,IF(H608&gt;0,BA608/H608,1))),IF(R608&gt;0,BB608/R608,0))/MAX(0.1,N(Parameter!$M$21)))</f>
        <v>0.00961538461538462</v>
      </c>
      <c r="BD608" s="62" t="n">
        <f aca="false">BC608*CC608</f>
        <v>1.49038461538462</v>
      </c>
      <c r="BE608" s="63" t="n">
        <f aca="false">IF(LEFT(Cockpit!$O$5,1)="A",H608,IF(CI608=1,(CL608+CJ608)/2,IF(LEFT(Cockpit!$O$5,1)="B",(CL608+BG608)/2,MAX((CL608+BG608)/2,H608))))</f>
        <v>0.5</v>
      </c>
      <c r="BF608" s="62" t="n">
        <f aca="false">BE608*G608</f>
        <v>0.425</v>
      </c>
      <c r="BG608" s="62" t="n">
        <f aca="false">ROUNDUP(CL608+MAX(CM608,2*(J608/IF(CH608&gt;0,CH608,MAX(0.1,N(Cockpit!$O$6)))-CL608)),0)</f>
        <v>1</v>
      </c>
      <c r="BH608" s="63" t="n">
        <f aca="false">IF(BD608&gt;0,J608/BD608,-1)</f>
        <v>0</v>
      </c>
      <c r="BI608" s="63" t="n">
        <f aca="false">IF(AND(OR(CG608="L1",CG608="L23",CG608="LIFT"),BD608&gt;0),SUMIFS($BD$7:$BD$1843,$CG$7:$CG$1843,CG608,$BH$7:$BH$1843,"&gt;"&amp;BH608)+SUMIFS($BD$7:$BD$1843,$CG$7:$CG$1843,CG608,$BH$7:$BH$1843,BH608,$BX$7:$BX$1843,"&lt;="&amp;BX608),"")</f>
        <v>27960.4192975104</v>
      </c>
      <c r="BJ608" s="70" t="n">
        <f aca="false">IF(BI608="",0,MAX(0,MIN(1,(IF(CG608="L1",Parameter!$H$5,IF(CG608="L23",Parameter!$H$6+Parameter!$H$7,Parameter!$H$5+Parameter!$H$6+Parameter!$H$7))-(BI608-BD608))/BD608)))</f>
        <v>1</v>
      </c>
      <c r="BK608" s="60" t="str">
        <f aca="false">IF(AJ608&lt;=0,"",IF(CG608="Aussen","Aussenlager",IF(CG608="-","Nicht im Lift",IF(AP608&gt;=1,"Lift",IF(AP608&lt;=0,"Aussenlager","teilweise")))))</f>
        <v>Lift</v>
      </c>
      <c r="BL608" s="60" t="str">
        <f aca="false">IF(AT608&lt;=0,"",IF(CG608="Aussen","Aussenlager",IF(CG608="-","Nicht im Lift",IF(AZ608&gt;=1,"Lift",IF(AZ608&lt;=0,"Aussenlager","teilweise")))))</f>
        <v>Lift</v>
      </c>
      <c r="BM608" s="60" t="str">
        <f aca="false">IF(BD608&lt;=0,"",IF(CG608="Aussen","Aussenlager",IF(CG608="-","Nicht im Lift",IF(BJ608&gt;=1,"Lift",IF(BJ608&lt;=0,"Aussenlager","teilweise")))))</f>
        <v>Lift</v>
      </c>
      <c r="BN608" s="60" t="str">
        <f aca="false">IF(A608="","",IF(BW608=1,"Neu; ","")&amp;IF(AND(BW608=0,BR608&lt;0),"negativer Bestand (Export "&amp;BR608&amp;"); ","")&amp;IF(J608&lt;=0,"Kein Verbrauch; ","")&amp;IF(CR608&gt;0,"Lift "&amp;W608&amp;" lt. Liftbericht (Fach "&amp;X608&amp;" Stk); ",IF(CB608=1,"Gebinde geschätzt ("&amp;T608&amp;"); ",IF(CA608=1,"Lose – Tablare geschätzt; ","")))&amp;IF(H608&gt;AW608,"Überbestand "&amp;ROUND(H608-AW608,0)&amp;" Stk / CHF "&amp;ROUND((H608-AW608)*G608,0)&amp;"; ","")&amp;IF(AND(CI608=1,CJ608&lt;CK608),"MAX &lt; MB+LG; ","")&amp;IF(AND(CQ608&gt;0,CP608*10&gt;CQ608),"zu hoch für Tablar; ","")&amp;IF(AND(BW608=0,OR(CI608=1,AB608&lt;&gt;"",U608&lt;&gt;"",V608&lt;&gt;"",AC608&lt;&gt;"")),"manuell übersteuert; ","")&amp;IF(AND(CA608=0,R608=0),"Gebinde unbekannt / Stellmass fehlt; ","")&amp;IF(AND(CA608=0,N(V608)&lt;=0,N(Q608)&lt;=0),"Menge pro Gebinde fehlt (Ist = 1 Gebinde); ","")&amp;BV608)</f>
        <v>Kein Verbrauch; Überbestand 19 Stk / CHF 16; Überbestand</v>
      </c>
      <c r="BO608" s="60"/>
      <c r="BP608" s="60"/>
      <c r="BQ608" s="67"/>
      <c r="BR608" s="62" t="n">
        <v>4</v>
      </c>
      <c r="BS608" s="62" t="n">
        <v>16</v>
      </c>
      <c r="BT608" s="61" t="n">
        <v>5</v>
      </c>
      <c r="BU608" s="62" t="n">
        <v>0</v>
      </c>
      <c r="BV608" s="60" t="s">
        <v>434</v>
      </c>
      <c r="BW608" s="65" t="n">
        <v>0</v>
      </c>
      <c r="BX608" s="65" t="n">
        <v>608</v>
      </c>
      <c r="BY608" s="60" t="str">
        <f aca="false">IF(U608&lt;&gt;"",UPPER(TRIM(U608)),IF(CB608=1,UPPER(VLOOKUP(T608,Parameter!$I$27:$K$29,2,0)),IF(P608="","LOSE",P608)))</f>
        <v>S32</v>
      </c>
      <c r="BZ608" s="62" t="n">
        <f aca="false">IF(BY608="LOSE",1,IF(N(V608)&gt;0,V608,IF(CB608=1,MAX(1,N(VLOOKUP(T608,Parameter!$I$27:$K$29,3,0)),H608,N(N608)),IF(N(Q608)&gt;0,Q608,MAX(1,H608)))))</f>
        <v>16</v>
      </c>
      <c r="CA608" s="65" t="n">
        <f aca="false">IF(BY608="LOSE",1,0)</f>
        <v>0</v>
      </c>
      <c r="CB608" s="65" t="n">
        <f aca="false">IF(AND(U608="",OR(P608="",P608="LOSE"),T608&lt;&gt;"",N(S608)&lt;=0,ISNUMBER(MATCH(T608,Parameter!$I$27:$I$29,0))),1,0)</f>
        <v>0</v>
      </c>
      <c r="CC608" s="65" t="n">
        <f aca="false">IF(CR608&gt;0,INDEX(Parameter!$H$5:$H$7,W608)/INDEX(Parameter!$E$5:$E$7,W608),IF(AND(CA608=0,N(IFERROR(VLOOKUP(BY608,'Gebinde-Kategorie'!$A$5:$N$45,14,0),0))&gt;0),VLOOKUP(BY608,'Gebinde-Kategorie'!$A$5:$N$45,14,0)*10+Parameter!$M$23,Parameter!$M$24))</f>
        <v>155</v>
      </c>
      <c r="CD608" s="60" t="str">
        <f aca="false">IF(AND(Parameter!$B$19="Ja",E608&lt;&gt;"",ISNUMBER(MATCH(E608,Parameter!$I$35:$I$52,0))),VLOOKUP(E608,Parameter!$I$35:$J$52,2,0),IFERROR(VLOOKUP(D608,Parameter!$A$35:$C$64,2,0),"Nein"))</f>
        <v>2+3</v>
      </c>
      <c r="CE608" s="64" t="n">
        <f aca="false">IF(CA608=0,0,IF(N(S608)&gt;0,S608,IFERROR(VLOOKUP(D608,Parameter!$A$35:$C$64,3,0)+0,0)))</f>
        <v>0</v>
      </c>
      <c r="CF608" s="60" t="n">
        <f aca="false">IF(AB608&lt;&gt;"",AB608,AA608)</f>
        <v>2</v>
      </c>
      <c r="CG608" s="60" t="str">
        <f aca="false">IF(OR(CF608=1,CF608=2,CF608=3),IF(Parameter!$E$27="Ja","LIFT",IF(CF608=1,"L1","L23")),IF(CF608="Aussen","Aussen","-"))</f>
        <v>LIFT</v>
      </c>
      <c r="CH608" s="71" t="n">
        <f aca="false">IF(N(AC608)&gt;0,AC608,0)</f>
        <v>0</v>
      </c>
      <c r="CI608" s="65" t="n">
        <f aca="false">IF(ISNUMBER(AF608),1,0)</f>
        <v>0</v>
      </c>
      <c r="CJ608" s="62" t="n">
        <f aca="false">N(AF608)</f>
        <v>0</v>
      </c>
      <c r="CK608" s="62" t="n">
        <f aca="false">N(M608)+N(N608)</f>
        <v>1</v>
      </c>
      <c r="CL608" s="62" t="n">
        <f aca="false">N(M608)</f>
        <v>0</v>
      </c>
      <c r="CM608" s="62" t="n">
        <f aca="false">N(N608)</f>
        <v>1</v>
      </c>
      <c r="CN608" s="62" t="n">
        <f aca="false">ROUNDUP(H608/BZ608,0)</f>
        <v>2</v>
      </c>
      <c r="CO608" s="62" t="n">
        <f aca="false">ROUNDUP(CJ608/BZ608,0)</f>
        <v>0</v>
      </c>
      <c r="CP608" s="65" t="n">
        <f aca="false">IF(CA608=1,0,IFERROR(VLOOKUP(BY608,'Gebinde-Kategorie'!$A$5:$N$45,5,0)+0,0))</f>
        <v>8</v>
      </c>
      <c r="CQ608" s="65" t="n">
        <f aca="false">IFERROR(IF(OR(CF608=1,CF608=2,CF608=3),N(INDEX(Parameter!$I$5:$I$7,CF608)),0),0)</f>
        <v>0</v>
      </c>
      <c r="CR608" s="64" t="n">
        <f aca="false">IF(AND(Parameter!$B$21="Ja",ISNUMBER(W608),N(X608)&gt;0),IFERROR(N(INDEX(Parameter!$L$5:$L$7,W608))*INDEX(Parameter!$E$5:$E$7,W608)*X608/SUMIFS($X$7:$X$1843,$W$7:$W$1843,W608),0),0)</f>
        <v>0</v>
      </c>
      <c r="CS608" s="62" t="n">
        <f aca="false">IF(AND(OR(CG608="L1",CG608="L23",CG608="LIFT"),H608&gt;0),CC608*IF(CR608&gt;0,CR608*MAX(1,H608/X608),IF(CA608=1,CE608,IF(R608&gt;0,CN608/R608,0))/MAX(0.1,N(Parameter!$M$21))),"")</f>
        <v>2.98076923076923</v>
      </c>
      <c r="CT608" s="64" t="n">
        <f aca="false">IF(CS608="","",J608/H608)</f>
        <v>0</v>
      </c>
      <c r="CU608" s="62" t="n">
        <f aca="false">IF(CS608="","",H608*G608)</f>
        <v>17</v>
      </c>
      <c r="CV608" s="63" t="n">
        <f aca="false">IF(CS608="","",(CL608+ROUNDUP(CL608+MAX(CM608,2*(J608/MAX(0.1,N(Einkauf!$C$6))-CL608)),0))/2)</f>
        <v>0.5</v>
      </c>
      <c r="CW608" s="62" t="n">
        <f aca="false">IF(CS608="","",MAX(0,H608-CV608)*G608)</f>
        <v>16.575</v>
      </c>
      <c r="CX608" s="62" t="n">
        <f aca="false">IF(CS608="","",CS608*MAX(0,1-CV608/H608))</f>
        <v>2.90625</v>
      </c>
      <c r="CY608" s="64" t="n">
        <f aca="false">IF(CS608="","",PERCENTRANK($CS$7:$CS$1843,CS608)+PERCENTRANK($CU$7:$CU$1843,CU608)+1-PERCENTRANK($CT$7:$CT$1843,CT608))</f>
        <v>1.2767</v>
      </c>
      <c r="CZ608" s="72" t="n">
        <f aca="false">IF(CS608="","",CHOOSE(MATCH(Einkauf!$C$5,Parameter!$G$23:$G$27,0),CY608,CS608,CU608,-CT608,CW608)+ROW()/1000000000)</f>
        <v>1.276700608</v>
      </c>
    </row>
    <row r="609" customFormat="false" ht="15" hidden="false" customHeight="false" outlineLevel="0" collapsed="false">
      <c r="A609" s="60" t="s">
        <v>1299</v>
      </c>
      <c r="B609" s="60" t="s">
        <v>696</v>
      </c>
      <c r="C609" s="60" t="s">
        <v>206</v>
      </c>
      <c r="D609" s="60" t="s">
        <v>226</v>
      </c>
      <c r="E609" s="60" t="s">
        <v>227</v>
      </c>
      <c r="F609" s="60" t="s">
        <v>260</v>
      </c>
      <c r="G609" s="61" t="n">
        <v>0.01</v>
      </c>
      <c r="H609" s="62" t="n">
        <f aca="false">MAX(0,IF(AND(Parameter!$B$21="Ja",ISNUMBER(Y609)),Y609,IF(Parameter!$B$20="Jahresanfang 2025 + Export",BS609+BR609,BR609)))</f>
        <v>579</v>
      </c>
      <c r="I609" s="62" t="n">
        <f aca="false">H609*G609</f>
        <v>5.79</v>
      </c>
      <c r="J609" s="62" t="n">
        <f aca="false">BU609*Parameter!$B$18</f>
        <v>530</v>
      </c>
      <c r="K609" s="63" t="n">
        <v>95.5</v>
      </c>
      <c r="L609" s="64" t="n">
        <v>5.54973821989529</v>
      </c>
      <c r="M609" s="62" t="n">
        <v>30</v>
      </c>
      <c r="N609" s="62" t="n">
        <v>600</v>
      </c>
      <c r="O609" s="65" t="n">
        <v>21</v>
      </c>
      <c r="P609" s="60" t="s">
        <v>518</v>
      </c>
      <c r="Q609" s="62" t="n">
        <v>885</v>
      </c>
      <c r="R609" s="65" t="n">
        <f aca="false">IF(CA609=1,0,IFERROR(VLOOKUP(BY609,'Gebinde-Kategorie'!$A$5:$N$45,13,0)+0,0))</f>
        <v>52</v>
      </c>
      <c r="S609" s="66"/>
      <c r="T609" s="67"/>
      <c r="U609" s="67"/>
      <c r="V609" s="67"/>
      <c r="W609" s="60"/>
      <c r="X609" s="62"/>
      <c r="Y609" s="62"/>
      <c r="Z609" s="60" t="n">
        <v>1</v>
      </c>
      <c r="AA609" s="60" t="n">
        <f aca="false">IF(A609="","",IF(AND(Parameter!$B$21="Ja",ISNUMBER(W609)),W609,IF(AND(Parameter!$E$27="Ja",ISNUMBER(Z609),CD609&lt;&gt;"Nein"),Z609,IF(CD609="2+3",IF(ISNUMBER(SEARCH("grosser Artikel",BV609)),2,IFERROR(VLOOKUP(BY609,Parameter!$F$35:$G$64,2,0),2)),IF(OR(CD609="Nein",CD609=""),"-",CD609)))))</f>
        <v>1</v>
      </c>
      <c r="AB609" s="67"/>
      <c r="AC609" s="68"/>
      <c r="AD609" s="62" t="n">
        <f aca="false">AW609</f>
        <v>630</v>
      </c>
      <c r="AE609" s="62" t="n">
        <f aca="false">MAX(AW609,H609)</f>
        <v>630</v>
      </c>
      <c r="AF609" s="69"/>
      <c r="AG609" s="62" t="n">
        <f aca="false">IF(LEFT(Cockpit!$C$5,1)="A",H609,IF(Parameter!$E$30="MAX-Bestand",IF(CI609=1,CJ609,IF(LEFT(Cockpit!$C$5,1)="B",AM609,MAX(AM609,H609))),ROUNDUP(AK609,0)))</f>
        <v>579</v>
      </c>
      <c r="AH609" s="62" t="n">
        <f aca="false">IF(CA609=1,0,ROUNDUP(AG609/BZ609,0))</f>
        <v>1</v>
      </c>
      <c r="AI609" s="64" t="n">
        <f aca="false">IF(CR609&gt;0,CR609*MAX(1,AG609/X609),IF(CA609=1,IF(AG609&lt;=0,0,CE609*MAX(1,IF(H609&gt;0,AG609/H609,1))),IF(R609&gt;0,AH609/R609,0))/MAX(0.1,N(Parameter!$M$21)))</f>
        <v>0.0192307692307692</v>
      </c>
      <c r="AJ609" s="62" t="n">
        <f aca="false">AI609*CC609</f>
        <v>2.98076923076923</v>
      </c>
      <c r="AK609" s="63" t="n">
        <f aca="false">IF(LEFT(Cockpit!$C$5,1)="A",H609,IF(CI609=1,(CL609+CJ609)/2,IF(LEFT(Cockpit!$C$5,1)="B",(CL609+AM609)/2,MAX((CL609+AM609)/2,H609))))</f>
        <v>579</v>
      </c>
      <c r="AL609" s="62" t="n">
        <f aca="false">AK609*G609</f>
        <v>5.79</v>
      </c>
      <c r="AM609" s="62" t="n">
        <f aca="false">ROUNDUP(CL609+MAX(CM609,2*(J609/IF(CH609&gt;0,CH609,MAX(0.1,N(Cockpit!$C$6)))-CL609)),0)</f>
        <v>630</v>
      </c>
      <c r="AN609" s="63" t="n">
        <f aca="false">IF(AJ609&gt;0,J609/AJ609,-1)</f>
        <v>177.806451612903</v>
      </c>
      <c r="AO609" s="63" t="n">
        <f aca="false">IF(AND(OR(CG609="L1",CG609="L23",CG609="LIFT"),AJ609&gt;0),SUMIFS($AJ$7:$AJ$1843,$CG$7:$CG$1843,CG609,$AN$7:$AN$1843,"&gt;"&amp;AN609)+SUMIFS($AJ$7:$AJ$1843,$CG$7:$CG$1843,CG609,$AN$7:$AN$1843,AN609,$BX$7:$BX$1843,"&lt;="&amp;BX609),"")</f>
        <v>402.253205128205</v>
      </c>
      <c r="AP609" s="70" t="n">
        <f aca="false">IF(AO609="",0,MAX(0,MIN(1,(IF(CG609="L1",Parameter!$H$5,IF(CG609="L23",Parameter!$H$6+Parameter!$H$7,Parameter!$H$5+Parameter!$H$6+Parameter!$H$7))-(AO609-AJ609))/AJ609)))</f>
        <v>1</v>
      </c>
      <c r="AQ609" s="62" t="n">
        <f aca="false">IF(LEFT(Cockpit!$I$5,1)="A",H609,IF(Parameter!$E$30="MAX-Bestand",IF(CI609=1,CJ609,IF(LEFT(Cockpit!$I$5,1)="B",AW609,MAX(AW609,H609))),ROUNDUP(AU609,0)))</f>
        <v>579</v>
      </c>
      <c r="AR609" s="62" t="n">
        <f aca="false">IF(CA609=1,0,ROUNDUP(AQ609/BZ609,0))</f>
        <v>1</v>
      </c>
      <c r="AS609" s="64" t="n">
        <f aca="false">IF(CR609&gt;0,CR609*MAX(1,AQ609/X609),IF(CA609=1,IF(AQ609&lt;=0,0,CE609*MAX(1,IF(H609&gt;0,AQ609/H609,1))),IF(R609&gt;0,AR609/R609,0))/MAX(0.1,N(Parameter!$M$21)))</f>
        <v>0.0192307692307692</v>
      </c>
      <c r="AT609" s="62" t="n">
        <f aca="false">AS609*CC609</f>
        <v>2.98076923076923</v>
      </c>
      <c r="AU609" s="63" t="n">
        <f aca="false">IF(LEFT(Cockpit!$I$5,1)="A",H609,IF(CI609=1,(CL609+CJ609)/2,IF(LEFT(Cockpit!$I$5,1)="B",(CL609+AW609)/2,MAX((CL609+AW609)/2,H609))))</f>
        <v>579</v>
      </c>
      <c r="AV609" s="62" t="n">
        <f aca="false">AU609*G609</f>
        <v>5.79</v>
      </c>
      <c r="AW609" s="62" t="n">
        <f aca="false">ROUNDUP(CL609+MAX(CM609,2*(J609/IF(CH609&gt;0,CH609,MAX(0.1,N(Cockpit!$I$6)))-CL609)),0)</f>
        <v>630</v>
      </c>
      <c r="AX609" s="63" t="n">
        <f aca="false">IF(AT609&gt;0,J609/AT609,-1)</f>
        <v>177.806451612903</v>
      </c>
      <c r="AY609" s="63" t="n">
        <f aca="false">IF(AND(OR(CG609="L1",CG609="L23",CG609="LIFT"),AT609&gt;0),SUMIFS($AT$7:$AT$1843,$CG$7:$CG$1843,CG609,$AX$7:$AX$1843,"&gt;"&amp;AX609)+SUMIFS($AT$7:$AT$1843,$CG$7:$CG$1843,CG609,$AX$7:$AX$1843,AX609,$BX$7:$BX$1843,"&lt;="&amp;BX609),"")</f>
        <v>519.89010989011</v>
      </c>
      <c r="AZ609" s="70" t="n">
        <f aca="false">IF(AY609="",0,MAX(0,MIN(1,(IF(CG609="L1",Parameter!$H$5,IF(CG609="L23",Parameter!$H$6+Parameter!$H$7,Parameter!$H$5+Parameter!$H$6+Parameter!$H$7))-(AY609-AT609))/AT609)))</f>
        <v>1</v>
      </c>
      <c r="BA609" s="62" t="n">
        <f aca="false">IF(LEFT(Cockpit!$O$5,1)="A",H609,IF(Parameter!$E$30="MAX-Bestand",IF(CI609=1,CJ609,IF(LEFT(Cockpit!$O$5,1)="B",BG609,MAX(BG609,H609))),ROUNDUP(BE609,0)))</f>
        <v>330</v>
      </c>
      <c r="BB609" s="62" t="n">
        <f aca="false">IF(CA609=1,0,ROUNDUP(BA609/BZ609,0))</f>
        <v>1</v>
      </c>
      <c r="BC609" s="64" t="n">
        <f aca="false">IF(CR609&gt;0,CR609*MAX(1,BA609/X609),IF(CA609=1,IF(BA609&lt;=0,0,CE609*MAX(1,IF(H609&gt;0,BA609/H609,1))),IF(R609&gt;0,BB609/R609,0))/MAX(0.1,N(Parameter!$M$21)))</f>
        <v>0.0192307692307692</v>
      </c>
      <c r="BD609" s="62" t="n">
        <f aca="false">BC609*CC609</f>
        <v>2.98076923076923</v>
      </c>
      <c r="BE609" s="63" t="n">
        <f aca="false">IF(LEFT(Cockpit!$O$5,1)="A",H609,IF(CI609=1,(CL609+CJ609)/2,IF(LEFT(Cockpit!$O$5,1)="B",(CL609+BG609)/2,MAX((CL609+BG609)/2,H609))))</f>
        <v>330</v>
      </c>
      <c r="BF609" s="62" t="n">
        <f aca="false">BE609*G609</f>
        <v>3.3</v>
      </c>
      <c r="BG609" s="62" t="n">
        <f aca="false">ROUNDUP(CL609+MAX(CM609,2*(J609/IF(CH609&gt;0,CH609,MAX(0.1,N(Cockpit!$O$6)))-CL609)),0)</f>
        <v>630</v>
      </c>
      <c r="BH609" s="63" t="n">
        <f aca="false">IF(BD609&gt;0,J609/BD609,-1)</f>
        <v>177.806451612903</v>
      </c>
      <c r="BI609" s="63" t="n">
        <f aca="false">IF(AND(OR(CG609="L1",CG609="L23",CG609="LIFT"),BD609&gt;0),SUMIFS($BD$7:$BD$1843,$CG$7:$CG$1843,CG609,$BH$7:$BH$1843,"&gt;"&amp;BH609)+SUMIFS($BD$7:$BD$1843,$CG$7:$CG$1843,CG609,$BH$7:$BH$1843,BH609,$BX$7:$BX$1843,"&lt;="&amp;BX609),"")</f>
        <v>512.57967032967</v>
      </c>
      <c r="BJ609" s="70" t="n">
        <f aca="false">IF(BI609="",0,MAX(0,MIN(1,(IF(CG609="L1",Parameter!$H$5,IF(CG609="L23",Parameter!$H$6+Parameter!$H$7,Parameter!$H$5+Parameter!$H$6+Parameter!$H$7))-(BI609-BD609))/BD609)))</f>
        <v>1</v>
      </c>
      <c r="BK609" s="60" t="str">
        <f aca="false">IF(AJ609&lt;=0,"",IF(CG609="Aussen","Aussenlager",IF(CG609="-","Nicht im Lift",IF(AP609&gt;=1,"Lift",IF(AP609&lt;=0,"Aussenlager","teilweise")))))</f>
        <v>Lift</v>
      </c>
      <c r="BL609" s="60" t="str">
        <f aca="false">IF(AT609&lt;=0,"",IF(CG609="Aussen","Aussenlager",IF(CG609="-","Nicht im Lift",IF(AZ609&gt;=1,"Lift",IF(AZ609&lt;=0,"Aussenlager","teilweise")))))</f>
        <v>Lift</v>
      </c>
      <c r="BM609" s="60" t="str">
        <f aca="false">IF(BD609&lt;=0,"",IF(CG609="Aussen","Aussenlager",IF(CG609="-","Nicht im Lift",IF(BJ609&gt;=1,"Lift",IF(BJ609&lt;=0,"Aussenlager","teilweise")))))</f>
        <v>Lift</v>
      </c>
      <c r="BN609" s="60" t="str">
        <f aca="false">IF(A609="","",IF(BW609=1,"Neu; ","")&amp;IF(AND(BW609=0,BR609&lt;0),"negativer Bestand (Export "&amp;BR609&amp;"); ","")&amp;IF(J609&lt;=0,"Kein Verbrauch; ","")&amp;IF(CR609&gt;0,"Lift "&amp;W609&amp;" lt. Liftbericht (Fach "&amp;X609&amp;" Stk); ",IF(CB609=1,"Gebinde geschätzt ("&amp;T609&amp;"); ",IF(CA609=1,"Lose – Tablare geschätzt; ","")))&amp;IF(H609&gt;AW609,"Überbestand "&amp;ROUND(H609-AW609,0)&amp;" Stk / CHF "&amp;ROUND((H609-AW609)*G609,0)&amp;"; ","")&amp;IF(AND(CI609=1,CJ609&lt;CK609),"MAX &lt; MB+LG; ","")&amp;IF(AND(CQ609&gt;0,CP609*10&gt;CQ609),"zu hoch für Tablar; ","")&amp;IF(AND(BW609=0,OR(CI609=1,AB609&lt;&gt;"",U609&lt;&gt;"",V609&lt;&gt;"",AC609&lt;&gt;"")),"manuell übersteuert; ","")&amp;IF(AND(CA609=0,R609=0),"Gebinde unbekannt / Stellmass fehlt; ","")&amp;IF(AND(CA609=0,N(V609)&lt;=0,N(Q609)&lt;=0),"Menge pro Gebinde fehlt (Ist = 1 Gebinde); ","")&amp;BV609)</f>
        <v/>
      </c>
      <c r="BO609" s="60"/>
      <c r="BP609" s="60"/>
      <c r="BQ609" s="67"/>
      <c r="BR609" s="62" t="n">
        <v>495</v>
      </c>
      <c r="BS609" s="62" t="n">
        <v>84</v>
      </c>
      <c r="BT609" s="61" t="n">
        <v>4.95</v>
      </c>
      <c r="BU609" s="62" t="n">
        <v>530</v>
      </c>
      <c r="BV609" s="60"/>
      <c r="BW609" s="65" t="n">
        <v>0</v>
      </c>
      <c r="BX609" s="65" t="n">
        <v>609</v>
      </c>
      <c r="BY609" s="60" t="str">
        <f aca="false">IF(U609&lt;&gt;"",UPPER(TRIM(U609)),IF(CB609=1,UPPER(VLOOKUP(T609,Parameter!$I$27:$K$29,2,0)),IF(P609="","LOSE",P609)))</f>
        <v>S33</v>
      </c>
      <c r="BZ609" s="62" t="n">
        <f aca="false">IF(BY609="LOSE",1,IF(N(V609)&gt;0,V609,IF(CB609=1,MAX(1,N(VLOOKUP(T609,Parameter!$I$27:$K$29,3,0)),H609,N(N609)),IF(N(Q609)&gt;0,Q609,MAX(1,H609)))))</f>
        <v>885</v>
      </c>
      <c r="CA609" s="65" t="n">
        <f aca="false">IF(BY609="LOSE",1,0)</f>
        <v>0</v>
      </c>
      <c r="CB609" s="65" t="n">
        <f aca="false">IF(AND(U609="",OR(P609="",P609="LOSE"),T609&lt;&gt;"",N(S609)&lt;=0,ISNUMBER(MATCH(T609,Parameter!$I$27:$I$29,0))),1,0)</f>
        <v>0</v>
      </c>
      <c r="CC609" s="65" t="n">
        <f aca="false">IF(CR609&gt;0,INDEX(Parameter!$H$5:$H$7,W609)/INDEX(Parameter!$E$5:$E$7,W609),IF(AND(CA609=0,N(IFERROR(VLOOKUP(BY609,'Gebinde-Kategorie'!$A$5:$N$45,14,0),0))&gt;0),VLOOKUP(BY609,'Gebinde-Kategorie'!$A$5:$N$45,14,0)*10+Parameter!$M$23,Parameter!$M$24))</f>
        <v>155</v>
      </c>
      <c r="CD609" s="60" t="str">
        <f aca="false">IF(AND(Parameter!$B$19="Ja",E609&lt;&gt;"",ISNUMBER(MATCH(E609,Parameter!$I$35:$I$52,0))),VLOOKUP(E609,Parameter!$I$35:$J$52,2,0),IFERROR(VLOOKUP(D609,Parameter!$A$35:$C$64,2,0),"Nein"))</f>
        <v>2+3</v>
      </c>
      <c r="CE609" s="64" t="n">
        <f aca="false">IF(CA609=0,0,IF(N(S609)&gt;0,S609,IFERROR(VLOOKUP(D609,Parameter!$A$35:$C$64,3,0)+0,0)))</f>
        <v>0</v>
      </c>
      <c r="CF609" s="60" t="n">
        <f aca="false">IF(AB609&lt;&gt;"",AB609,AA609)</f>
        <v>1</v>
      </c>
      <c r="CG609" s="60" t="str">
        <f aca="false">IF(OR(CF609=1,CF609=2,CF609=3),IF(Parameter!$E$27="Ja","LIFT",IF(CF609=1,"L1","L23")),IF(CF609="Aussen","Aussen","-"))</f>
        <v>LIFT</v>
      </c>
      <c r="CH609" s="71" t="n">
        <f aca="false">IF(N(AC609)&gt;0,AC609,0)</f>
        <v>0</v>
      </c>
      <c r="CI609" s="65" t="n">
        <f aca="false">IF(ISNUMBER(AF609),1,0)</f>
        <v>0</v>
      </c>
      <c r="CJ609" s="62" t="n">
        <f aca="false">N(AF609)</f>
        <v>0</v>
      </c>
      <c r="CK609" s="62" t="n">
        <f aca="false">N(M609)+N(N609)</f>
        <v>630</v>
      </c>
      <c r="CL609" s="62" t="n">
        <f aca="false">N(M609)</f>
        <v>30</v>
      </c>
      <c r="CM609" s="62" t="n">
        <f aca="false">N(N609)</f>
        <v>600</v>
      </c>
      <c r="CN609" s="62" t="n">
        <f aca="false">ROUNDUP(H609/BZ609,0)</f>
        <v>1</v>
      </c>
      <c r="CO609" s="62" t="n">
        <f aca="false">ROUNDUP(CJ609/BZ609,0)</f>
        <v>0</v>
      </c>
      <c r="CP609" s="65" t="n">
        <f aca="false">IF(CA609=1,0,IFERROR(VLOOKUP(BY609,'Gebinde-Kategorie'!$A$5:$N$45,5,0)+0,0))</f>
        <v>8</v>
      </c>
      <c r="CQ609" s="65" t="n">
        <f aca="false">IFERROR(IF(OR(CF609=1,CF609=2,CF609=3),N(INDEX(Parameter!$I$5:$I$7,CF609)),0),0)</f>
        <v>0</v>
      </c>
      <c r="CR609" s="64" t="n">
        <f aca="false">IF(AND(Parameter!$B$21="Ja",ISNUMBER(W609),N(X609)&gt;0),IFERROR(N(INDEX(Parameter!$L$5:$L$7,W609))*INDEX(Parameter!$E$5:$E$7,W609)*X609/SUMIFS($X$7:$X$1843,$W$7:$W$1843,W609),0),0)</f>
        <v>0</v>
      </c>
      <c r="CS609" s="62" t="n">
        <f aca="false">IF(AND(OR(CG609="L1",CG609="L23",CG609="LIFT"),H609&gt;0),CC609*IF(CR609&gt;0,CR609*MAX(1,H609/X609),IF(CA609=1,CE609,IF(R609&gt;0,CN609/R609,0))/MAX(0.1,N(Parameter!$M$21))),"")</f>
        <v>2.98076923076923</v>
      </c>
      <c r="CT609" s="64" t="n">
        <f aca="false">IF(CS609="","",J609/H609)</f>
        <v>0.915371329879102</v>
      </c>
      <c r="CU609" s="62" t="n">
        <f aca="false">IF(CS609="","",H609*G609)</f>
        <v>5.79</v>
      </c>
      <c r="CV609" s="63" t="n">
        <f aca="false">IF(CS609="","",(CL609+ROUNDUP(CL609+MAX(CM609,2*(J609/MAX(0.1,N(Einkauf!$C$6))-CL609)),0))/2)</f>
        <v>330</v>
      </c>
      <c r="CW609" s="62" t="n">
        <f aca="false">IF(CS609="","",MAX(0,H609-CV609)*G609)</f>
        <v>2.49</v>
      </c>
      <c r="CX609" s="62" t="n">
        <f aca="false">IF(CS609="","",CS609*MAX(0,1-CV609/H609))</f>
        <v>1.28188521323236</v>
      </c>
      <c r="CY609" s="64" t="n">
        <f aca="false">IF(CS609="","",PERCENTRANK($CS$7:$CS$1843,CS609)+PERCENTRANK($CU$7:$CU$1843,CU609)+1-PERCENTRANK($CT$7:$CT$1843,CT609))</f>
        <v>0.617</v>
      </c>
      <c r="CZ609" s="72" t="n">
        <f aca="false">IF(CS609="","",CHOOSE(MATCH(Einkauf!$C$5,Parameter!$G$23:$G$27,0),CY609,CS609,CU609,-CT609,CW609)+ROW()/1000000000)</f>
        <v>0.617000609</v>
      </c>
    </row>
    <row r="610" customFormat="false" ht="15" hidden="false" customHeight="false" outlineLevel="0" collapsed="false">
      <c r="A610" s="60" t="s">
        <v>1300</v>
      </c>
      <c r="B610" s="60" t="s">
        <v>1301</v>
      </c>
      <c r="C610" s="60" t="s">
        <v>206</v>
      </c>
      <c r="D610" s="60" t="s">
        <v>215</v>
      </c>
      <c r="E610" s="60"/>
      <c r="F610" s="60" t="s">
        <v>260</v>
      </c>
      <c r="G610" s="61" t="n">
        <v>0.33</v>
      </c>
      <c r="H610" s="62" t="n">
        <f aca="false">MAX(0,IF(AND(Parameter!$B$21="Ja",ISNUMBER(Y610)),Y610,IF(Parameter!$B$20="Jahresanfang 2025 + Export",BS610+BR610,BR610)))</f>
        <v>15</v>
      </c>
      <c r="I610" s="62" t="n">
        <f aca="false">H610*G610</f>
        <v>4.95</v>
      </c>
      <c r="J610" s="62" t="n">
        <f aca="false">BU610*Parameter!$B$18</f>
        <v>6</v>
      </c>
      <c r="K610" s="63" t="n">
        <v>0</v>
      </c>
      <c r="L610" s="64" t="n">
        <v>0</v>
      </c>
      <c r="M610" s="62" t="n">
        <v>0</v>
      </c>
      <c r="N610" s="62" t="n">
        <v>5</v>
      </c>
      <c r="O610" s="65" t="n">
        <v>21</v>
      </c>
      <c r="P610" s="60" t="s">
        <v>210</v>
      </c>
      <c r="Q610" s="62"/>
      <c r="R610" s="65" t="n">
        <f aca="false">IF(CA610=1,0,IFERROR(VLOOKUP(BY610,'Gebinde-Kategorie'!$A$5:$N$45,13,0)+0,0))</f>
        <v>12</v>
      </c>
      <c r="S610" s="66"/>
      <c r="T610" s="67" t="s">
        <v>221</v>
      </c>
      <c r="U610" s="67"/>
      <c r="V610" s="67"/>
      <c r="W610" s="60"/>
      <c r="X610" s="62"/>
      <c r="Y610" s="62"/>
      <c r="Z610" s="60" t="n">
        <v>3</v>
      </c>
      <c r="AA610" s="60" t="n">
        <f aca="false">IF(A610="","",IF(AND(Parameter!$B$21="Ja",ISNUMBER(W610)),W610,IF(AND(Parameter!$E$27="Ja",ISNUMBER(Z610),CD610&lt;&gt;"Nein"),Z610,IF(CD610="2+3",IF(ISNUMBER(SEARCH("grosser Artikel",BV610)),2,IFERROR(VLOOKUP(BY610,Parameter!$F$35:$G$64,2,0),2)),IF(OR(CD610="Nein",CD610=""),"-",CD610)))))</f>
        <v>3</v>
      </c>
      <c r="AB610" s="67"/>
      <c r="AC610" s="68"/>
      <c r="AD610" s="62" t="n">
        <f aca="false">AW610</f>
        <v>5</v>
      </c>
      <c r="AE610" s="62" t="n">
        <f aca="false">MAX(AW610,H610)</f>
        <v>15</v>
      </c>
      <c r="AF610" s="69"/>
      <c r="AG610" s="62" t="n">
        <f aca="false">IF(LEFT(Cockpit!$C$5,1)="A",H610,IF(Parameter!$E$30="MAX-Bestand",IF(CI610=1,CJ610,IF(LEFT(Cockpit!$C$5,1)="B",AM610,MAX(AM610,H610))),ROUNDUP(AK610,0)))</f>
        <v>15</v>
      </c>
      <c r="AH610" s="62" t="n">
        <f aca="false">IF(CA610=1,0,ROUNDUP(AG610/BZ610,0))</f>
        <v>1</v>
      </c>
      <c r="AI610" s="64" t="n">
        <f aca="false">IF(CR610&gt;0,CR610*MAX(1,AG610/X610),IF(CA610=1,IF(AG610&lt;=0,0,CE610*MAX(1,IF(H610&gt;0,AG610/H610,1))),IF(R610&gt;0,AH610/R610,0))/MAX(0.1,N(Parameter!$M$21)))</f>
        <v>0.0833333333333333</v>
      </c>
      <c r="AJ610" s="62" t="n">
        <f aca="false">AI610*CC610</f>
        <v>12.0833333333333</v>
      </c>
      <c r="AK610" s="63" t="n">
        <f aca="false">IF(LEFT(Cockpit!$C$5,1)="A",H610,IF(CI610=1,(CL610+CJ610)/2,IF(LEFT(Cockpit!$C$5,1)="B",(CL610+AM610)/2,MAX((CL610+AM610)/2,H610))))</f>
        <v>15</v>
      </c>
      <c r="AL610" s="62" t="n">
        <f aca="false">AK610*G610</f>
        <v>4.95</v>
      </c>
      <c r="AM610" s="62" t="n">
        <f aca="false">ROUNDUP(CL610+MAX(CM610,2*(J610/IF(CH610&gt;0,CH610,MAX(0.1,N(Cockpit!$C$6)))-CL610)),0)</f>
        <v>5</v>
      </c>
      <c r="AN610" s="63" t="n">
        <f aca="false">IF(AJ610&gt;0,J610/AJ610,-1)</f>
        <v>0.496551724137931</v>
      </c>
      <c r="AO610" s="63" t="n">
        <f aca="false">IF(AND(OR(CG610="L1",CG610="L23",CG610="LIFT"),AJ610&gt;0),SUMIFS($AJ$7:$AJ$1843,$CG$7:$CG$1843,CG610,$AN$7:$AN$1843,"&gt;"&amp;AN610)+SUMIFS($AJ$7:$AJ$1843,$CG$7:$CG$1843,CG610,$AN$7:$AN$1843,AN610,$BX$7:$BX$1843,"&lt;="&amp;BX610),"")</f>
        <v>9610.17716934666</v>
      </c>
      <c r="AP610" s="70" t="n">
        <f aca="false">IF(AO610="",0,MAX(0,MIN(1,(IF(CG610="L1",Parameter!$H$5,IF(CG610="L23",Parameter!$H$6+Parameter!$H$7,Parameter!$H$5+Parameter!$H$6+Parameter!$H$7))-(AO610-AJ610))/AJ610)))</f>
        <v>1</v>
      </c>
      <c r="AQ610" s="62" t="n">
        <f aca="false">IF(LEFT(Cockpit!$I$5,1)="A",H610,IF(Parameter!$E$30="MAX-Bestand",IF(CI610=1,CJ610,IF(LEFT(Cockpit!$I$5,1)="B",AW610,MAX(AW610,H610))),ROUNDUP(AU610,0)))</f>
        <v>15</v>
      </c>
      <c r="AR610" s="62" t="n">
        <f aca="false">IF(CA610=1,0,ROUNDUP(AQ610/BZ610,0))</f>
        <v>1</v>
      </c>
      <c r="AS610" s="64" t="n">
        <f aca="false">IF(CR610&gt;0,CR610*MAX(1,AQ610/X610),IF(CA610=1,IF(AQ610&lt;=0,0,CE610*MAX(1,IF(H610&gt;0,AQ610/H610,1))),IF(R610&gt;0,AR610/R610,0))/MAX(0.1,N(Parameter!$M$21)))</f>
        <v>0.0833333333333333</v>
      </c>
      <c r="AT610" s="62" t="n">
        <f aca="false">AS610*CC610</f>
        <v>12.0833333333333</v>
      </c>
      <c r="AU610" s="63" t="n">
        <f aca="false">IF(LEFT(Cockpit!$I$5,1)="A",H610,IF(CI610=1,(CL610+CJ610)/2,IF(LEFT(Cockpit!$I$5,1)="B",(CL610+AW610)/2,MAX((CL610+AW610)/2,H610))))</f>
        <v>15</v>
      </c>
      <c r="AV610" s="62" t="n">
        <f aca="false">AU610*G610</f>
        <v>4.95</v>
      </c>
      <c r="AW610" s="62" t="n">
        <f aca="false">ROUNDUP(CL610+MAX(CM610,2*(J610/IF(CH610&gt;0,CH610,MAX(0.1,N(Cockpit!$I$6)))-CL610)),0)</f>
        <v>5</v>
      </c>
      <c r="AX610" s="63" t="n">
        <f aca="false">IF(AT610&gt;0,J610/AT610,-1)</f>
        <v>0.496551724137931</v>
      </c>
      <c r="AY610" s="63" t="n">
        <f aca="false">IF(AND(OR(CG610="L1",CG610="L23",CG610="LIFT"),AT610&gt;0),SUMIFS($AT$7:$AT$1843,$CG$7:$CG$1843,CG610,$AX$7:$AX$1843,"&gt;"&amp;AX610)+SUMIFS($AT$7:$AT$1843,$CG$7:$CG$1843,CG610,$AX$7:$AX$1843,AX610,$BX$7:$BX$1843,"&lt;="&amp;BX610),"")</f>
        <v>12024.0137362637</v>
      </c>
      <c r="AZ610" s="70" t="n">
        <f aca="false">IF(AY610="",0,MAX(0,MIN(1,(IF(CG610="L1",Parameter!$H$5,IF(CG610="L23",Parameter!$H$6+Parameter!$H$7,Parameter!$H$5+Parameter!$H$6+Parameter!$H$7))-(AY610-AT610))/AT610)))</f>
        <v>1</v>
      </c>
      <c r="BA610" s="62" t="n">
        <f aca="false">IF(LEFT(Cockpit!$O$5,1)="A",H610,IF(Parameter!$E$30="MAX-Bestand",IF(CI610=1,CJ610,IF(LEFT(Cockpit!$O$5,1)="B",BG610,MAX(BG610,H610))),ROUNDUP(BE610,0)))</f>
        <v>3</v>
      </c>
      <c r="BB610" s="62" t="n">
        <f aca="false">IF(CA610=1,0,ROUNDUP(BA610/BZ610,0))</f>
        <v>1</v>
      </c>
      <c r="BC610" s="64" t="n">
        <f aca="false">IF(CR610&gt;0,CR610*MAX(1,BA610/X610),IF(CA610=1,IF(BA610&lt;=0,0,CE610*MAX(1,IF(H610&gt;0,BA610/H610,1))),IF(R610&gt;0,BB610/R610,0))/MAX(0.1,N(Parameter!$M$21)))</f>
        <v>0.0833333333333333</v>
      </c>
      <c r="BD610" s="62" t="n">
        <f aca="false">BC610*CC610</f>
        <v>12.0833333333333</v>
      </c>
      <c r="BE610" s="63" t="n">
        <f aca="false">IF(LEFT(Cockpit!$O$5,1)="A",H610,IF(CI610=1,(CL610+CJ610)/2,IF(LEFT(Cockpit!$O$5,1)="B",(CL610+BG610)/2,MAX((CL610+BG610)/2,H610))))</f>
        <v>2.5</v>
      </c>
      <c r="BF610" s="62" t="n">
        <f aca="false">BE610*G610</f>
        <v>0.825</v>
      </c>
      <c r="BG610" s="62" t="n">
        <f aca="false">ROUNDUP(CL610+MAX(CM610,2*(J610/IF(CH610&gt;0,CH610,MAX(0.1,N(Cockpit!$O$6)))-CL610)),0)</f>
        <v>5</v>
      </c>
      <c r="BH610" s="63" t="n">
        <f aca="false">IF(BD610&gt;0,J610/BD610,-1)</f>
        <v>0.496551724137931</v>
      </c>
      <c r="BI610" s="63" t="n">
        <f aca="false">IF(AND(OR(CG610="L1",CG610="L23",CG610="LIFT"),BD610&gt;0),SUMIFS($BD$7:$BD$1843,$CG$7:$CG$1843,CG610,$BH$7:$BH$1843,"&gt;"&amp;BH610)+SUMIFS($BD$7:$BD$1843,$CG$7:$CG$1843,CG610,$BH$7:$BH$1843,BH610,$BX$7:$BX$1843,"&lt;="&amp;BX610),"")</f>
        <v>10387.4299450549</v>
      </c>
      <c r="BJ610" s="70" t="n">
        <f aca="false">IF(BI610="",0,MAX(0,MIN(1,(IF(CG610="L1",Parameter!$H$5,IF(CG610="L23",Parameter!$H$6+Parameter!$H$7,Parameter!$H$5+Parameter!$H$6+Parameter!$H$7))-(BI610-BD610))/BD610)))</f>
        <v>1</v>
      </c>
      <c r="BK610" s="60" t="str">
        <f aca="false">IF(AJ610&lt;=0,"",IF(CG610="Aussen","Aussenlager",IF(CG610="-","Nicht im Lift",IF(AP610&gt;=1,"Lift",IF(AP610&lt;=0,"Aussenlager","teilweise")))))</f>
        <v>Lift</v>
      </c>
      <c r="BL610" s="60" t="str">
        <f aca="false">IF(AT610&lt;=0,"",IF(CG610="Aussen","Aussenlager",IF(CG610="-","Nicht im Lift",IF(AZ610&gt;=1,"Lift",IF(AZ610&lt;=0,"Aussenlager","teilweise")))))</f>
        <v>Lift</v>
      </c>
      <c r="BM610" s="60" t="str">
        <f aca="false">IF(BD610&lt;=0,"",IF(CG610="Aussen","Aussenlager",IF(CG610="-","Nicht im Lift",IF(BJ610&gt;=1,"Lift",IF(BJ610&lt;=0,"Aussenlager","teilweise")))))</f>
        <v>Lift</v>
      </c>
      <c r="BN610" s="60" t="str">
        <f aca="false">IF(A610="","",IF(BW610=1,"Neu; ","")&amp;IF(AND(BW610=0,BR610&lt;0),"negativer Bestand (Export "&amp;BR610&amp;"); ","")&amp;IF(J610&lt;=0,"Kein Verbrauch; ","")&amp;IF(CR610&gt;0,"Lift "&amp;W610&amp;" lt. Liftbericht (Fach "&amp;X610&amp;" Stk); ",IF(CB610=1,"Gebinde geschätzt ("&amp;T610&amp;"); ",IF(CA610=1,"Lose – Tablare geschätzt; ","")))&amp;IF(H610&gt;AW610,"Überbestand "&amp;ROUND(H610-AW610,0)&amp;" Stk / CHF "&amp;ROUND((H610-AW610)*G610,0)&amp;"; ","")&amp;IF(AND(CI610=1,CJ610&lt;CK610),"MAX &lt; MB+LG; ","")&amp;IF(AND(CQ610&gt;0,CP610*10&gt;CQ610),"zu hoch für Tablar; ","")&amp;IF(AND(BW610=0,OR(CI610=1,AB610&lt;&gt;"",U610&lt;&gt;"",V610&lt;&gt;"",AC610&lt;&gt;"")),"manuell übersteuert; ","")&amp;IF(AND(CA610=0,R610=0),"Gebinde unbekannt / Stellmass fehlt; ","")&amp;IF(AND(CA610=0,N(V610)&lt;=0,N(Q610)&lt;=0),"Menge pro Gebinde fehlt (Ist = 1 Gebinde); ","")&amp;BV610)</f>
        <v>Gebinde geschätzt (Mittel); Überbestand 10 Stk / CHF 3; Menge pro Gebinde fehlt (Ist = 1 Gebinde); </v>
      </c>
      <c r="BO610" s="60"/>
      <c r="BP610" s="60"/>
      <c r="BQ610" s="67"/>
      <c r="BR610" s="62" t="n">
        <v>15</v>
      </c>
      <c r="BS610" s="62" t="n">
        <v>0</v>
      </c>
      <c r="BT610" s="61" t="n">
        <v>4.95</v>
      </c>
      <c r="BU610" s="62" t="n">
        <v>6</v>
      </c>
      <c r="BV610" s="60"/>
      <c r="BW610" s="65" t="n">
        <v>0</v>
      </c>
      <c r="BX610" s="65" t="n">
        <v>610</v>
      </c>
      <c r="BY610" s="60" t="str">
        <f aca="false">IF(U610&lt;&gt;"",UPPER(TRIM(U610)),IF(CB610=1,UPPER(VLOOKUP(T610,Parameter!$I$27:$K$29,2,0)),IF(P610="","LOSE",P610)))</f>
        <v>S61</v>
      </c>
      <c r="BZ610" s="62" t="n">
        <f aca="false">IF(BY610="LOSE",1,IF(N(V610)&gt;0,V610,IF(CB610=1,MAX(1,N(VLOOKUP(T610,Parameter!$I$27:$K$29,3,0)),H610,N(N610)),IF(N(Q610)&gt;0,Q610,MAX(1,H610)))))</f>
        <v>15</v>
      </c>
      <c r="CA610" s="65" t="n">
        <f aca="false">IF(BY610="LOSE",1,0)</f>
        <v>0</v>
      </c>
      <c r="CB610" s="65" t="n">
        <f aca="false">IF(AND(U610="",OR(P610="",P610="LOSE"),T610&lt;&gt;"",N(S610)&lt;=0,ISNUMBER(MATCH(T610,Parameter!$I$27:$I$29,0))),1,0)</f>
        <v>1</v>
      </c>
      <c r="CC610" s="65" t="n">
        <f aca="false">IF(CR610&gt;0,INDEX(Parameter!$H$5:$H$7,W610)/INDEX(Parameter!$E$5:$E$7,W610),IF(AND(CA610=0,N(IFERROR(VLOOKUP(BY610,'Gebinde-Kategorie'!$A$5:$N$45,14,0),0))&gt;0),VLOOKUP(BY610,'Gebinde-Kategorie'!$A$5:$N$45,14,0)*10+Parameter!$M$23,Parameter!$M$24))</f>
        <v>145</v>
      </c>
      <c r="CD610" s="60" t="str">
        <f aca="false">IF(AND(Parameter!$B$19="Ja",E610&lt;&gt;"",ISNUMBER(MATCH(E610,Parameter!$I$35:$I$52,0))),VLOOKUP(E610,Parameter!$I$35:$J$52,2,0),IFERROR(VLOOKUP(D610,Parameter!$A$35:$C$64,2,0),"Nein"))</f>
        <v>2+3</v>
      </c>
      <c r="CE610" s="64" t="n">
        <f aca="false">IF(CA610=0,0,IF(N(S610)&gt;0,S610,IFERROR(VLOOKUP(D610,Parameter!$A$35:$C$64,3,0)+0,0)))</f>
        <v>0</v>
      </c>
      <c r="CF610" s="60" t="n">
        <f aca="false">IF(AB610&lt;&gt;"",AB610,AA610)</f>
        <v>3</v>
      </c>
      <c r="CG610" s="60" t="str">
        <f aca="false">IF(OR(CF610=1,CF610=2,CF610=3),IF(Parameter!$E$27="Ja","LIFT",IF(CF610=1,"L1","L23")),IF(CF610="Aussen","Aussen","-"))</f>
        <v>LIFT</v>
      </c>
      <c r="CH610" s="71" t="n">
        <f aca="false">IF(N(AC610)&gt;0,AC610,0)</f>
        <v>0</v>
      </c>
      <c r="CI610" s="65" t="n">
        <f aca="false">IF(ISNUMBER(AF610),1,0)</f>
        <v>0</v>
      </c>
      <c r="CJ610" s="62" t="n">
        <f aca="false">N(AF610)</f>
        <v>0</v>
      </c>
      <c r="CK610" s="62" t="n">
        <f aca="false">N(M610)+N(N610)</f>
        <v>5</v>
      </c>
      <c r="CL610" s="62" t="n">
        <f aca="false">N(M610)</f>
        <v>0</v>
      </c>
      <c r="CM610" s="62" t="n">
        <f aca="false">N(N610)</f>
        <v>5</v>
      </c>
      <c r="CN610" s="62" t="n">
        <f aca="false">ROUNDUP(H610/BZ610,0)</f>
        <v>1</v>
      </c>
      <c r="CO610" s="62" t="n">
        <f aca="false">ROUNDUP(CJ610/BZ610,0)</f>
        <v>0</v>
      </c>
      <c r="CP610" s="65" t="n">
        <f aca="false">IF(CA610=1,0,IFERROR(VLOOKUP(BY610,'Gebinde-Kategorie'!$A$5:$N$45,5,0)+0,0))</f>
        <v>11</v>
      </c>
      <c r="CQ610" s="65" t="n">
        <f aca="false">IFERROR(IF(OR(CF610=1,CF610=2,CF610=3),N(INDEX(Parameter!$I$5:$I$7,CF610)),0),0)</f>
        <v>0</v>
      </c>
      <c r="CR610" s="64" t="n">
        <f aca="false">IF(AND(Parameter!$B$21="Ja",ISNUMBER(W610),N(X610)&gt;0),IFERROR(N(INDEX(Parameter!$L$5:$L$7,W610))*INDEX(Parameter!$E$5:$E$7,W610)*X610/SUMIFS($X$7:$X$1843,$W$7:$W$1843,W610),0),0)</f>
        <v>0</v>
      </c>
      <c r="CS610" s="62" t="n">
        <f aca="false">IF(AND(OR(CG610="L1",CG610="L23",CG610="LIFT"),H610&gt;0),CC610*IF(CR610&gt;0,CR610*MAX(1,H610/X610),IF(CA610=1,CE610,IF(R610&gt;0,CN610/R610,0))/MAX(0.1,N(Parameter!$M$21))),"")</f>
        <v>12.0833333333333</v>
      </c>
      <c r="CT610" s="64" t="n">
        <f aca="false">IF(CS610="","",J610/H610)</f>
        <v>0.4</v>
      </c>
      <c r="CU610" s="62" t="n">
        <f aca="false">IF(CS610="","",H610*G610)</f>
        <v>4.95</v>
      </c>
      <c r="CV610" s="63" t="n">
        <f aca="false">IF(CS610="","",(CL610+ROUNDUP(CL610+MAX(CM610,2*(J610/MAX(0.1,N(Einkauf!$C$6))-CL610)),0))/2)</f>
        <v>2.5</v>
      </c>
      <c r="CW610" s="62" t="n">
        <f aca="false">IF(CS610="","",MAX(0,H610-CV610)*G610)</f>
        <v>4.125</v>
      </c>
      <c r="CX610" s="62" t="n">
        <f aca="false">IF(CS610="","",CS610*MAX(0,1-CV610/H610))</f>
        <v>10.0694444444444</v>
      </c>
      <c r="CY610" s="64" t="n">
        <f aca="false">IF(CS610="","",PERCENTRANK($CS$7:$CS$1843,CS610)+PERCENTRANK($CU$7:$CU$1843,CU610)+1-PERCENTRANK($CT$7:$CT$1843,CT610))</f>
        <v>1.1586</v>
      </c>
      <c r="CZ610" s="72" t="n">
        <f aca="false">IF(CS610="","",CHOOSE(MATCH(Einkauf!$C$5,Parameter!$G$23:$G$27,0),CY610,CS610,CU610,-CT610,CW610)+ROW()/1000000000)</f>
        <v>1.15860061</v>
      </c>
    </row>
    <row r="611" customFormat="false" ht="15" hidden="false" customHeight="false" outlineLevel="0" collapsed="false">
      <c r="A611" s="60" t="s">
        <v>1302</v>
      </c>
      <c r="B611" s="60" t="s">
        <v>447</v>
      </c>
      <c r="C611" s="60" t="s">
        <v>206</v>
      </c>
      <c r="D611" s="60" t="s">
        <v>226</v>
      </c>
      <c r="E611" s="60" t="s">
        <v>227</v>
      </c>
      <c r="F611" s="60" t="s">
        <v>260</v>
      </c>
      <c r="G611" s="61" t="n">
        <v>0.06</v>
      </c>
      <c r="H611" s="62" t="n">
        <f aca="false">MAX(0,IF(AND(Parameter!$B$21="Ja",ISNUMBER(Y611)),Y611,IF(Parameter!$B$20="Jahresanfang 2025 + Export",BS611+BR611,BR611)))</f>
        <v>277</v>
      </c>
      <c r="I611" s="62" t="n">
        <f aca="false">H611*G611</f>
        <v>16.62</v>
      </c>
      <c r="J611" s="62" t="n">
        <f aca="false">BU611*Parameter!$B$18</f>
        <v>638</v>
      </c>
      <c r="K611" s="63" t="n">
        <v>267.5</v>
      </c>
      <c r="L611" s="64" t="n">
        <v>2.38504672897196</v>
      </c>
      <c r="M611" s="62" t="n">
        <v>37</v>
      </c>
      <c r="N611" s="62" t="n">
        <v>800</v>
      </c>
      <c r="O611" s="65" t="n">
        <v>21</v>
      </c>
      <c r="P611" s="60" t="s">
        <v>518</v>
      </c>
      <c r="Q611" s="62" t="n">
        <v>605</v>
      </c>
      <c r="R611" s="65" t="n">
        <f aca="false">IF(CA611=1,0,IFERROR(VLOOKUP(BY611,'Gebinde-Kategorie'!$A$5:$N$45,13,0)+0,0))</f>
        <v>52</v>
      </c>
      <c r="S611" s="66"/>
      <c r="T611" s="67"/>
      <c r="U611" s="67"/>
      <c r="V611" s="67"/>
      <c r="W611" s="60"/>
      <c r="X611" s="62"/>
      <c r="Y611" s="62"/>
      <c r="Z611" s="60" t="n">
        <v>1</v>
      </c>
      <c r="AA611" s="60" t="n">
        <f aca="false">IF(A611="","",IF(AND(Parameter!$B$21="Ja",ISNUMBER(W611)),W611,IF(AND(Parameter!$E$27="Ja",ISNUMBER(Z611),CD611&lt;&gt;"Nein"),Z611,IF(CD611="2+3",IF(ISNUMBER(SEARCH("grosser Artikel",BV611)),2,IFERROR(VLOOKUP(BY611,Parameter!$F$35:$G$64,2,0),2)),IF(OR(CD611="Nein",CD611=""),"-",CD611)))))</f>
        <v>1</v>
      </c>
      <c r="AB611" s="67"/>
      <c r="AC611" s="68"/>
      <c r="AD611" s="62" t="n">
        <f aca="false">AW611</f>
        <v>837</v>
      </c>
      <c r="AE611" s="62" t="n">
        <f aca="false">MAX(AW611,H611)</f>
        <v>837</v>
      </c>
      <c r="AF611" s="69"/>
      <c r="AG611" s="62" t="n">
        <f aca="false">IF(LEFT(Cockpit!$C$5,1)="A",H611,IF(Parameter!$E$30="MAX-Bestand",IF(CI611=1,CJ611,IF(LEFT(Cockpit!$C$5,1)="B",AM611,MAX(AM611,H611))),ROUNDUP(AK611,0)))</f>
        <v>277</v>
      </c>
      <c r="AH611" s="62" t="n">
        <f aca="false">IF(CA611=1,0,ROUNDUP(AG611/BZ611,0))</f>
        <v>1</v>
      </c>
      <c r="AI611" s="64" t="n">
        <f aca="false">IF(CR611&gt;0,CR611*MAX(1,AG611/X611),IF(CA611=1,IF(AG611&lt;=0,0,CE611*MAX(1,IF(H611&gt;0,AG611/H611,1))),IF(R611&gt;0,AH611/R611,0))/MAX(0.1,N(Parameter!$M$21)))</f>
        <v>0.0192307692307692</v>
      </c>
      <c r="AJ611" s="62" t="n">
        <f aca="false">AI611*CC611</f>
        <v>2.98076923076923</v>
      </c>
      <c r="AK611" s="63" t="n">
        <f aca="false">IF(LEFT(Cockpit!$C$5,1)="A",H611,IF(CI611=1,(CL611+CJ611)/2,IF(LEFT(Cockpit!$C$5,1)="B",(CL611+AM611)/2,MAX((CL611+AM611)/2,H611))))</f>
        <v>277</v>
      </c>
      <c r="AL611" s="62" t="n">
        <f aca="false">AK611*G611</f>
        <v>16.62</v>
      </c>
      <c r="AM611" s="62" t="n">
        <f aca="false">ROUNDUP(CL611+MAX(CM611,2*(J611/IF(CH611&gt;0,CH611,MAX(0.1,N(Cockpit!$C$6)))-CL611)),0)</f>
        <v>837</v>
      </c>
      <c r="AN611" s="63" t="n">
        <f aca="false">IF(AJ611&gt;0,J611/AJ611,-1)</f>
        <v>214.038709677419</v>
      </c>
      <c r="AO611" s="63" t="n">
        <f aca="false">IF(AND(OR(CG611="L1",CG611="L23",CG611="LIFT"),AJ611&gt;0),SUMIFS($AJ$7:$AJ$1843,$CG$7:$CG$1843,CG611,$AN$7:$AN$1843,"&gt;"&amp;AN611)+SUMIFS($AJ$7:$AJ$1843,$CG$7:$CG$1843,CG611,$AN$7:$AN$1843,AN611,$BX$7:$BX$1843,"&lt;="&amp;BX611),"")</f>
        <v>322.459249084249</v>
      </c>
      <c r="AP611" s="70" t="n">
        <f aca="false">IF(AO611="",0,MAX(0,MIN(1,(IF(CG611="L1",Parameter!$H$5,IF(CG611="L23",Parameter!$H$6+Parameter!$H$7,Parameter!$H$5+Parameter!$H$6+Parameter!$H$7))-(AO611-AJ611))/AJ611)))</f>
        <v>1</v>
      </c>
      <c r="AQ611" s="62" t="n">
        <f aca="false">IF(LEFT(Cockpit!$I$5,1)="A",H611,IF(Parameter!$E$30="MAX-Bestand",IF(CI611=1,CJ611,IF(LEFT(Cockpit!$I$5,1)="B",AW611,MAX(AW611,H611))),ROUNDUP(AU611,0)))</f>
        <v>437</v>
      </c>
      <c r="AR611" s="62" t="n">
        <f aca="false">IF(CA611=1,0,ROUNDUP(AQ611/BZ611,0))</f>
        <v>1</v>
      </c>
      <c r="AS611" s="64" t="n">
        <f aca="false">IF(CR611&gt;0,CR611*MAX(1,AQ611/X611),IF(CA611=1,IF(AQ611&lt;=0,0,CE611*MAX(1,IF(H611&gt;0,AQ611/H611,1))),IF(R611&gt;0,AR611/R611,0))/MAX(0.1,N(Parameter!$M$21)))</f>
        <v>0.0192307692307692</v>
      </c>
      <c r="AT611" s="62" t="n">
        <f aca="false">AS611*CC611</f>
        <v>2.98076923076923</v>
      </c>
      <c r="AU611" s="63" t="n">
        <f aca="false">IF(LEFT(Cockpit!$I$5,1)="A",H611,IF(CI611=1,(CL611+CJ611)/2,IF(LEFT(Cockpit!$I$5,1)="B",(CL611+AW611)/2,MAX((CL611+AW611)/2,H611))))</f>
        <v>437</v>
      </c>
      <c r="AV611" s="62" t="n">
        <f aca="false">AU611*G611</f>
        <v>26.22</v>
      </c>
      <c r="AW611" s="62" t="n">
        <f aca="false">ROUNDUP(CL611+MAX(CM611,2*(J611/IF(CH611&gt;0,CH611,MAX(0.1,N(Cockpit!$I$6)))-CL611)),0)</f>
        <v>837</v>
      </c>
      <c r="AX611" s="63" t="n">
        <f aca="false">IF(AT611&gt;0,J611/AT611,-1)</f>
        <v>214.038709677419</v>
      </c>
      <c r="AY611" s="63" t="n">
        <f aca="false">IF(AND(OR(CG611="L1",CG611="L23",CG611="LIFT"),AT611&gt;0),SUMIFS($AT$7:$AT$1843,$CG$7:$CG$1843,CG611,$AX$7:$AX$1843,"&gt;"&amp;AX611)+SUMIFS($AT$7:$AT$1843,$CG$7:$CG$1843,CG611,$AX$7:$AX$1843,AX611,$BX$7:$BX$1843,"&lt;="&amp;BX611),"")</f>
        <v>431.634615384615</v>
      </c>
      <c r="AZ611" s="70" t="n">
        <f aca="false">IF(AY611="",0,MAX(0,MIN(1,(IF(CG611="L1",Parameter!$H$5,IF(CG611="L23",Parameter!$H$6+Parameter!$H$7,Parameter!$H$5+Parameter!$H$6+Parameter!$H$7))-(AY611-AT611))/AT611)))</f>
        <v>1</v>
      </c>
      <c r="BA611" s="62" t="n">
        <f aca="false">IF(LEFT(Cockpit!$O$5,1)="A",H611,IF(Parameter!$E$30="MAX-Bestand",IF(CI611=1,CJ611,IF(LEFT(Cockpit!$O$5,1)="B",BG611,MAX(BG611,H611))),ROUNDUP(BE611,0)))</f>
        <v>437</v>
      </c>
      <c r="BB611" s="62" t="n">
        <f aca="false">IF(CA611=1,0,ROUNDUP(BA611/BZ611,0))</f>
        <v>1</v>
      </c>
      <c r="BC611" s="64" t="n">
        <f aca="false">IF(CR611&gt;0,CR611*MAX(1,BA611/X611),IF(CA611=1,IF(BA611&lt;=0,0,CE611*MAX(1,IF(H611&gt;0,BA611/H611,1))),IF(R611&gt;0,BB611/R611,0))/MAX(0.1,N(Parameter!$M$21)))</f>
        <v>0.0192307692307692</v>
      </c>
      <c r="BD611" s="62" t="n">
        <f aca="false">BC611*CC611</f>
        <v>2.98076923076923</v>
      </c>
      <c r="BE611" s="63" t="n">
        <f aca="false">IF(LEFT(Cockpit!$O$5,1)="A",H611,IF(CI611=1,(CL611+CJ611)/2,IF(LEFT(Cockpit!$O$5,1)="B",(CL611+BG611)/2,MAX((CL611+BG611)/2,H611))))</f>
        <v>437</v>
      </c>
      <c r="BF611" s="62" t="n">
        <f aca="false">BE611*G611</f>
        <v>26.22</v>
      </c>
      <c r="BG611" s="62" t="n">
        <f aca="false">ROUNDUP(CL611+MAX(CM611,2*(J611/IF(CH611&gt;0,CH611,MAX(0.1,N(Cockpit!$O$6)))-CL611)),0)</f>
        <v>837</v>
      </c>
      <c r="BH611" s="63" t="n">
        <f aca="false">IF(BD611&gt;0,J611/BD611,-1)</f>
        <v>214.038709677419</v>
      </c>
      <c r="BI611" s="63" t="n">
        <f aca="false">IF(AND(OR(CG611="L1",CG611="L23",CG611="LIFT"),BD611&gt;0),SUMIFS($BD$7:$BD$1843,$CG$7:$CG$1843,CG611,$BH$7:$BH$1843,"&gt;"&amp;BH611)+SUMIFS($BD$7:$BD$1843,$CG$7:$CG$1843,CG611,$BH$7:$BH$1843,BH611,$BX$7:$BX$1843,"&lt;="&amp;BX611),"")</f>
        <v>407.546703296703</v>
      </c>
      <c r="BJ611" s="70" t="n">
        <f aca="false">IF(BI611="",0,MAX(0,MIN(1,(IF(CG611="L1",Parameter!$H$5,IF(CG611="L23",Parameter!$H$6+Parameter!$H$7,Parameter!$H$5+Parameter!$H$6+Parameter!$H$7))-(BI611-BD611))/BD611)))</f>
        <v>1</v>
      </c>
      <c r="BK611" s="60" t="str">
        <f aca="false">IF(AJ611&lt;=0,"",IF(CG611="Aussen","Aussenlager",IF(CG611="-","Nicht im Lift",IF(AP611&gt;=1,"Lift",IF(AP611&lt;=0,"Aussenlager","teilweise")))))</f>
        <v>Lift</v>
      </c>
      <c r="BL611" s="60" t="str">
        <f aca="false">IF(AT611&lt;=0,"",IF(CG611="Aussen","Aussenlager",IF(CG611="-","Nicht im Lift",IF(AZ611&gt;=1,"Lift",IF(AZ611&lt;=0,"Aussenlager","teilweise")))))</f>
        <v>Lift</v>
      </c>
      <c r="BM611" s="60" t="str">
        <f aca="false">IF(BD611&lt;=0,"",IF(CG611="Aussen","Aussenlager",IF(CG611="-","Nicht im Lift",IF(BJ611&gt;=1,"Lift",IF(BJ611&lt;=0,"Aussenlager","teilweise")))))</f>
        <v>Lift</v>
      </c>
      <c r="BN611" s="60" t="str">
        <f aca="false">IF(A611="","",IF(BW611=1,"Neu; ","")&amp;IF(AND(BW611=0,BR611&lt;0),"negativer Bestand (Export "&amp;BR611&amp;"); ","")&amp;IF(J611&lt;=0,"Kein Verbrauch; ","")&amp;IF(CR611&gt;0,"Lift "&amp;W611&amp;" lt. Liftbericht (Fach "&amp;X611&amp;" Stk); ",IF(CB611=1,"Gebinde geschätzt ("&amp;T611&amp;"); ",IF(CA611=1,"Lose – Tablare geschätzt; ","")))&amp;IF(H611&gt;AW611,"Überbestand "&amp;ROUND(H611-AW611,0)&amp;" Stk / CHF "&amp;ROUND((H611-AW611)*G611,0)&amp;"; ","")&amp;IF(AND(CI611=1,CJ611&lt;CK611),"MAX &lt; MB+LG; ","")&amp;IF(AND(CQ611&gt;0,CP611*10&gt;CQ611),"zu hoch für Tablar; ","")&amp;IF(AND(BW611=0,OR(CI611=1,AB611&lt;&gt;"",U611&lt;&gt;"",V611&lt;&gt;"",AC611&lt;&gt;"")),"manuell übersteuert; ","")&amp;IF(AND(CA611=0,R611=0),"Gebinde unbekannt / Stellmass fehlt; ","")&amp;IF(AND(CA611=0,N(V611)&lt;=0,N(Q611)&lt;=0),"Menge pro Gebinde fehlt (Ist = 1 Gebinde); ","")&amp;BV611)</f>
        <v/>
      </c>
      <c r="BO611" s="60"/>
      <c r="BP611" s="60"/>
      <c r="BQ611" s="67"/>
      <c r="BR611" s="62" t="n">
        <v>81</v>
      </c>
      <c r="BS611" s="62" t="n">
        <v>196</v>
      </c>
      <c r="BT611" s="61" t="n">
        <v>4.86000000000001</v>
      </c>
      <c r="BU611" s="62" t="n">
        <v>638</v>
      </c>
      <c r="BV611" s="60"/>
      <c r="BW611" s="65" t="n">
        <v>0</v>
      </c>
      <c r="BX611" s="65" t="n">
        <v>611</v>
      </c>
      <c r="BY611" s="60" t="str">
        <f aca="false">IF(U611&lt;&gt;"",UPPER(TRIM(U611)),IF(CB611=1,UPPER(VLOOKUP(T611,Parameter!$I$27:$K$29,2,0)),IF(P611="","LOSE",P611)))</f>
        <v>S33</v>
      </c>
      <c r="BZ611" s="62" t="n">
        <f aca="false">IF(BY611="LOSE",1,IF(N(V611)&gt;0,V611,IF(CB611=1,MAX(1,N(VLOOKUP(T611,Parameter!$I$27:$K$29,3,0)),H611,N(N611)),IF(N(Q611)&gt;0,Q611,MAX(1,H611)))))</f>
        <v>605</v>
      </c>
      <c r="CA611" s="65" t="n">
        <f aca="false">IF(BY611="LOSE",1,0)</f>
        <v>0</v>
      </c>
      <c r="CB611" s="65" t="n">
        <f aca="false">IF(AND(U611="",OR(P611="",P611="LOSE"),T611&lt;&gt;"",N(S611)&lt;=0,ISNUMBER(MATCH(T611,Parameter!$I$27:$I$29,0))),1,0)</f>
        <v>0</v>
      </c>
      <c r="CC611" s="65" t="n">
        <f aca="false">IF(CR611&gt;0,INDEX(Parameter!$H$5:$H$7,W611)/INDEX(Parameter!$E$5:$E$7,W611),IF(AND(CA611=0,N(IFERROR(VLOOKUP(BY611,'Gebinde-Kategorie'!$A$5:$N$45,14,0),0))&gt;0),VLOOKUP(BY611,'Gebinde-Kategorie'!$A$5:$N$45,14,0)*10+Parameter!$M$23,Parameter!$M$24))</f>
        <v>155</v>
      </c>
      <c r="CD611" s="60" t="str">
        <f aca="false">IF(AND(Parameter!$B$19="Ja",E611&lt;&gt;"",ISNUMBER(MATCH(E611,Parameter!$I$35:$I$52,0))),VLOOKUP(E611,Parameter!$I$35:$J$52,2,0),IFERROR(VLOOKUP(D611,Parameter!$A$35:$C$64,2,0),"Nein"))</f>
        <v>2+3</v>
      </c>
      <c r="CE611" s="64" t="n">
        <f aca="false">IF(CA611=0,0,IF(N(S611)&gt;0,S611,IFERROR(VLOOKUP(D611,Parameter!$A$35:$C$64,3,0)+0,0)))</f>
        <v>0</v>
      </c>
      <c r="CF611" s="60" t="n">
        <f aca="false">IF(AB611&lt;&gt;"",AB611,AA611)</f>
        <v>1</v>
      </c>
      <c r="CG611" s="60" t="str">
        <f aca="false">IF(OR(CF611=1,CF611=2,CF611=3),IF(Parameter!$E$27="Ja","LIFT",IF(CF611=1,"L1","L23")),IF(CF611="Aussen","Aussen","-"))</f>
        <v>LIFT</v>
      </c>
      <c r="CH611" s="71" t="n">
        <f aca="false">IF(N(AC611)&gt;0,AC611,0)</f>
        <v>0</v>
      </c>
      <c r="CI611" s="65" t="n">
        <f aca="false">IF(ISNUMBER(AF611),1,0)</f>
        <v>0</v>
      </c>
      <c r="CJ611" s="62" t="n">
        <f aca="false">N(AF611)</f>
        <v>0</v>
      </c>
      <c r="CK611" s="62" t="n">
        <f aca="false">N(M611)+N(N611)</f>
        <v>837</v>
      </c>
      <c r="CL611" s="62" t="n">
        <f aca="false">N(M611)</f>
        <v>37</v>
      </c>
      <c r="CM611" s="62" t="n">
        <f aca="false">N(N611)</f>
        <v>800</v>
      </c>
      <c r="CN611" s="62" t="n">
        <f aca="false">ROUNDUP(H611/BZ611,0)</f>
        <v>1</v>
      </c>
      <c r="CO611" s="62" t="n">
        <f aca="false">ROUNDUP(CJ611/BZ611,0)</f>
        <v>0</v>
      </c>
      <c r="CP611" s="65" t="n">
        <f aca="false">IF(CA611=1,0,IFERROR(VLOOKUP(BY611,'Gebinde-Kategorie'!$A$5:$N$45,5,0)+0,0))</f>
        <v>8</v>
      </c>
      <c r="CQ611" s="65" t="n">
        <f aca="false">IFERROR(IF(OR(CF611=1,CF611=2,CF611=3),N(INDEX(Parameter!$I$5:$I$7,CF611)),0),0)</f>
        <v>0</v>
      </c>
      <c r="CR611" s="64" t="n">
        <f aca="false">IF(AND(Parameter!$B$21="Ja",ISNUMBER(W611),N(X611)&gt;0),IFERROR(N(INDEX(Parameter!$L$5:$L$7,W611))*INDEX(Parameter!$E$5:$E$7,W611)*X611/SUMIFS($X$7:$X$1843,$W$7:$W$1843,W611),0),0)</f>
        <v>0</v>
      </c>
      <c r="CS611" s="62" t="n">
        <f aca="false">IF(AND(OR(CG611="L1",CG611="L23",CG611="LIFT"),H611&gt;0),CC611*IF(CR611&gt;0,CR611*MAX(1,H611/X611),IF(CA611=1,CE611,IF(R611&gt;0,CN611/R611,0))/MAX(0.1,N(Parameter!$M$21))),"")</f>
        <v>2.98076923076923</v>
      </c>
      <c r="CT611" s="64" t="n">
        <f aca="false">IF(CS611="","",J611/H611)</f>
        <v>2.30324909747292</v>
      </c>
      <c r="CU611" s="62" t="n">
        <f aca="false">IF(CS611="","",H611*G611)</f>
        <v>16.62</v>
      </c>
      <c r="CV611" s="63" t="n">
        <f aca="false">IF(CS611="","",(CL611+ROUNDUP(CL611+MAX(CM611,2*(J611/MAX(0.1,N(Einkauf!$C$6))-CL611)),0))/2)</f>
        <v>437</v>
      </c>
      <c r="CW611" s="62" t="n">
        <f aca="false">IF(CS611="","",MAX(0,H611-CV611)*G611)</f>
        <v>0</v>
      </c>
      <c r="CX611" s="62" t="n">
        <f aca="false">IF(CS611="","",CS611*MAX(0,1-CV611/H611))</f>
        <v>0</v>
      </c>
      <c r="CY611" s="64" t="n">
        <f aca="false">IF(CS611="","",PERCENTRANK($CS$7:$CS$1843,CS611)+PERCENTRANK($CU$7:$CU$1843,CU611)+1-PERCENTRANK($CT$7:$CT$1843,CT611))</f>
        <v>0.4363</v>
      </c>
      <c r="CZ611" s="72" t="n">
        <f aca="false">IF(CS611="","",CHOOSE(MATCH(Einkauf!$C$5,Parameter!$G$23:$G$27,0),CY611,CS611,CU611,-CT611,CW611)+ROW()/1000000000)</f>
        <v>0.436300611</v>
      </c>
    </row>
    <row r="612" customFormat="false" ht="15" hidden="false" customHeight="false" outlineLevel="0" collapsed="false">
      <c r="A612" s="60" t="s">
        <v>1303</v>
      </c>
      <c r="B612" s="60" t="s">
        <v>1304</v>
      </c>
      <c r="C612" s="60" t="s">
        <v>206</v>
      </c>
      <c r="D612" s="60" t="s">
        <v>226</v>
      </c>
      <c r="E612" s="60" t="s">
        <v>227</v>
      </c>
      <c r="F612" s="60" t="s">
        <v>260</v>
      </c>
      <c r="G612" s="61" t="n">
        <v>0.05</v>
      </c>
      <c r="H612" s="62" t="n">
        <f aca="false">MAX(0,IF(AND(Parameter!$B$21="Ja",ISNUMBER(Y612)),Y612,IF(Parameter!$B$20="Jahresanfang 2025 + Export",BS612+BR612,BR612)))</f>
        <v>100</v>
      </c>
      <c r="I612" s="62" t="n">
        <f aca="false">H612*G612</f>
        <v>5</v>
      </c>
      <c r="J612" s="62" t="n">
        <f aca="false">BU612*Parameter!$B$18</f>
        <v>0</v>
      </c>
      <c r="K612" s="63" t="n">
        <v>52</v>
      </c>
      <c r="L612" s="64" t="n">
        <v>0</v>
      </c>
      <c r="M612" s="62" t="n">
        <v>0</v>
      </c>
      <c r="N612" s="62" t="n">
        <v>10</v>
      </c>
      <c r="O612" s="65" t="n">
        <v>14</v>
      </c>
      <c r="P612" s="60" t="s">
        <v>468</v>
      </c>
      <c r="Q612" s="62" t="n">
        <v>100</v>
      </c>
      <c r="R612" s="65" t="n">
        <f aca="false">IF(CA612=1,0,IFERROR(VLOOKUP(BY612,'Gebinde-Kategorie'!$A$5:$N$45,13,0)+0,0))</f>
        <v>140</v>
      </c>
      <c r="S612" s="66"/>
      <c r="T612" s="67"/>
      <c r="U612" s="67"/>
      <c r="V612" s="67"/>
      <c r="W612" s="60"/>
      <c r="X612" s="62"/>
      <c r="Y612" s="62"/>
      <c r="Z612" s="60" t="n">
        <v>1</v>
      </c>
      <c r="AA612" s="60" t="n">
        <f aca="false">IF(A612="","",IF(AND(Parameter!$B$21="Ja",ISNUMBER(W612)),W612,IF(AND(Parameter!$E$27="Ja",ISNUMBER(Z612),CD612&lt;&gt;"Nein"),Z612,IF(CD612="2+3",IF(ISNUMBER(SEARCH("grosser Artikel",BV612)),2,IFERROR(VLOOKUP(BY612,Parameter!$F$35:$G$64,2,0),2)),IF(OR(CD612="Nein",CD612=""),"-",CD612)))))</f>
        <v>1</v>
      </c>
      <c r="AB612" s="67"/>
      <c r="AC612" s="68"/>
      <c r="AD612" s="62" t="n">
        <f aca="false">AW612</f>
        <v>10</v>
      </c>
      <c r="AE612" s="62" t="n">
        <f aca="false">MAX(AW612,H612)</f>
        <v>100</v>
      </c>
      <c r="AF612" s="69"/>
      <c r="AG612" s="62" t="n">
        <f aca="false">IF(LEFT(Cockpit!$C$5,1)="A",H612,IF(Parameter!$E$30="MAX-Bestand",IF(CI612=1,CJ612,IF(LEFT(Cockpit!$C$5,1)="B",AM612,MAX(AM612,H612))),ROUNDUP(AK612,0)))</f>
        <v>100</v>
      </c>
      <c r="AH612" s="62" t="n">
        <f aca="false">IF(CA612=1,0,ROUNDUP(AG612/BZ612,0))</f>
        <v>1</v>
      </c>
      <c r="AI612" s="64" t="n">
        <f aca="false">IF(CR612&gt;0,CR612*MAX(1,AG612/X612),IF(CA612=1,IF(AG612&lt;=0,0,CE612*MAX(1,IF(H612&gt;0,AG612/H612,1))),IF(R612&gt;0,AH612/R612,0))/MAX(0.1,N(Parameter!$M$21)))</f>
        <v>0.00714285714285714</v>
      </c>
      <c r="AJ612" s="62" t="n">
        <f aca="false">AI612*CC612</f>
        <v>1.10714285714286</v>
      </c>
      <c r="AK612" s="63" t="n">
        <f aca="false">IF(LEFT(Cockpit!$C$5,1)="A",H612,IF(CI612=1,(CL612+CJ612)/2,IF(LEFT(Cockpit!$C$5,1)="B",(CL612+AM612)/2,MAX((CL612+AM612)/2,H612))))</f>
        <v>100</v>
      </c>
      <c r="AL612" s="62" t="n">
        <f aca="false">AK612*G612</f>
        <v>5</v>
      </c>
      <c r="AM612" s="62" t="n">
        <f aca="false">ROUNDUP(CL612+MAX(CM612,2*(J612/IF(CH612&gt;0,CH612,MAX(0.1,N(Cockpit!$C$6)))-CL612)),0)</f>
        <v>10</v>
      </c>
      <c r="AN612" s="63" t="n">
        <f aca="false">IF(AJ612&gt;0,J612/AJ612,-1)</f>
        <v>0</v>
      </c>
      <c r="AO612" s="63" t="n">
        <f aca="false">IF(AND(OR(CG612="L1",CG612="L23",CG612="LIFT"),AJ612&gt;0),SUMIFS($AJ$7:$AJ$1843,$CG$7:$CG$1843,CG612,$AN$7:$AN$1843,"&gt;"&amp;AN612)+SUMIFS($AJ$7:$AJ$1843,$CG$7:$CG$1843,CG612,$AN$7:$AN$1843,AN612,$BX$7:$BX$1843,"&lt;="&amp;BX612),"")</f>
        <v>28536.0729703442</v>
      </c>
      <c r="AP612" s="70" t="n">
        <f aca="false">IF(AO612="",0,MAX(0,MIN(1,(IF(CG612="L1",Parameter!$H$5,IF(CG612="L23",Parameter!$H$6+Parameter!$H$7,Parameter!$H$5+Parameter!$H$6+Parameter!$H$7))-(AO612-AJ612))/AJ612)))</f>
        <v>1</v>
      </c>
      <c r="AQ612" s="62" t="n">
        <f aca="false">IF(LEFT(Cockpit!$I$5,1)="A",H612,IF(Parameter!$E$30="MAX-Bestand",IF(CI612=1,CJ612,IF(LEFT(Cockpit!$I$5,1)="B",AW612,MAX(AW612,H612))),ROUNDUP(AU612,0)))</f>
        <v>100</v>
      </c>
      <c r="AR612" s="62" t="n">
        <f aca="false">IF(CA612=1,0,ROUNDUP(AQ612/BZ612,0))</f>
        <v>1</v>
      </c>
      <c r="AS612" s="64" t="n">
        <f aca="false">IF(CR612&gt;0,CR612*MAX(1,AQ612/X612),IF(CA612=1,IF(AQ612&lt;=0,0,CE612*MAX(1,IF(H612&gt;0,AQ612/H612,1))),IF(R612&gt;0,AR612/R612,0))/MAX(0.1,N(Parameter!$M$21)))</f>
        <v>0.00714285714285714</v>
      </c>
      <c r="AT612" s="62" t="n">
        <f aca="false">AS612*CC612</f>
        <v>1.10714285714286</v>
      </c>
      <c r="AU612" s="63" t="n">
        <f aca="false">IF(LEFT(Cockpit!$I$5,1)="A",H612,IF(CI612=1,(CL612+CJ612)/2,IF(LEFT(Cockpit!$I$5,1)="B",(CL612+AW612)/2,MAX((CL612+AW612)/2,H612))))</f>
        <v>100</v>
      </c>
      <c r="AV612" s="62" t="n">
        <f aca="false">AU612*G612</f>
        <v>5</v>
      </c>
      <c r="AW612" s="62" t="n">
        <f aca="false">ROUNDUP(CL612+MAX(CM612,2*(J612/IF(CH612&gt;0,CH612,MAX(0.1,N(Cockpit!$I$6)))-CL612)),0)</f>
        <v>10</v>
      </c>
      <c r="AX612" s="63" t="n">
        <f aca="false">IF(AT612&gt;0,J612/AT612,-1)</f>
        <v>0</v>
      </c>
      <c r="AY612" s="63" t="n">
        <f aca="false">IF(AND(OR(CG612="L1",CG612="L23",CG612="LIFT"),AT612&gt;0),SUMIFS($AT$7:$AT$1843,$CG$7:$CG$1843,CG612,$AX$7:$AX$1843,"&gt;"&amp;AX612)+SUMIFS($AT$7:$AT$1843,$CG$7:$CG$1843,CG612,$AX$7:$AX$1843,AX612,$BX$7:$BX$1843,"&lt;="&amp;BX612),"")</f>
        <v>33889.2216117216</v>
      </c>
      <c r="AZ612" s="70" t="n">
        <f aca="false">IF(AY612="",0,MAX(0,MIN(1,(IF(CG612="L1",Parameter!$H$5,IF(CG612="L23",Parameter!$H$6+Parameter!$H$7,Parameter!$H$5+Parameter!$H$6+Parameter!$H$7))-(AY612-AT612))/AT612)))</f>
        <v>1</v>
      </c>
      <c r="BA612" s="62" t="n">
        <f aca="false">IF(LEFT(Cockpit!$O$5,1)="A",H612,IF(Parameter!$E$30="MAX-Bestand",IF(CI612=1,CJ612,IF(LEFT(Cockpit!$O$5,1)="B",BG612,MAX(BG612,H612))),ROUNDUP(BE612,0)))</f>
        <v>5</v>
      </c>
      <c r="BB612" s="62" t="n">
        <f aca="false">IF(CA612=1,0,ROUNDUP(BA612/BZ612,0))</f>
        <v>1</v>
      </c>
      <c r="BC612" s="64" t="n">
        <f aca="false">IF(CR612&gt;0,CR612*MAX(1,BA612/X612),IF(CA612=1,IF(BA612&lt;=0,0,CE612*MAX(1,IF(H612&gt;0,BA612/H612,1))),IF(R612&gt;0,BB612/R612,0))/MAX(0.1,N(Parameter!$M$21)))</f>
        <v>0.00714285714285714</v>
      </c>
      <c r="BD612" s="62" t="n">
        <f aca="false">BC612*CC612</f>
        <v>1.10714285714286</v>
      </c>
      <c r="BE612" s="63" t="n">
        <f aca="false">IF(LEFT(Cockpit!$O$5,1)="A",H612,IF(CI612=1,(CL612+CJ612)/2,IF(LEFT(Cockpit!$O$5,1)="B",(CL612+BG612)/2,MAX((CL612+BG612)/2,H612))))</f>
        <v>5</v>
      </c>
      <c r="BF612" s="62" t="n">
        <f aca="false">BE612*G612</f>
        <v>0.25</v>
      </c>
      <c r="BG612" s="62" t="n">
        <f aca="false">ROUNDUP(CL612+MAX(CM612,2*(J612/IF(CH612&gt;0,CH612,MAX(0.1,N(Cockpit!$O$6)))-CL612)),0)</f>
        <v>10</v>
      </c>
      <c r="BH612" s="63" t="n">
        <f aca="false">IF(BD612&gt;0,J612/BD612,-1)</f>
        <v>0</v>
      </c>
      <c r="BI612" s="63" t="n">
        <f aca="false">IF(AND(OR(CG612="L1",CG612="L23",CG612="LIFT"),BD612&gt;0),SUMIFS($BD$7:$BD$1843,$CG$7:$CG$1843,CG612,$BH$7:$BH$1843,"&gt;"&amp;BH612)+SUMIFS($BD$7:$BD$1843,$CG$7:$CG$1843,CG612,$BH$7:$BH$1843,BH612,$BX$7:$BX$1843,"&lt;="&amp;BX612),"")</f>
        <v>27961.5264403675</v>
      </c>
      <c r="BJ612" s="70" t="n">
        <f aca="false">IF(BI612="",0,MAX(0,MIN(1,(IF(CG612="L1",Parameter!$H$5,IF(CG612="L23",Parameter!$H$6+Parameter!$H$7,Parameter!$H$5+Parameter!$H$6+Parameter!$H$7))-(BI612-BD612))/BD612)))</f>
        <v>1</v>
      </c>
      <c r="BK612" s="60" t="str">
        <f aca="false">IF(AJ612&lt;=0,"",IF(CG612="Aussen","Aussenlager",IF(CG612="-","Nicht im Lift",IF(AP612&gt;=1,"Lift",IF(AP612&lt;=0,"Aussenlager","teilweise")))))</f>
        <v>Lift</v>
      </c>
      <c r="BL612" s="60" t="str">
        <f aca="false">IF(AT612&lt;=0,"",IF(CG612="Aussen","Aussenlager",IF(CG612="-","Nicht im Lift",IF(AZ612&gt;=1,"Lift",IF(AZ612&lt;=0,"Aussenlager","teilweise")))))</f>
        <v>Lift</v>
      </c>
      <c r="BM612" s="60" t="str">
        <f aca="false">IF(BD612&lt;=0,"",IF(CG612="Aussen","Aussenlager",IF(CG612="-","Nicht im Lift",IF(BJ612&gt;=1,"Lift",IF(BJ612&lt;=0,"Aussenlager","teilweise")))))</f>
        <v>Lift</v>
      </c>
      <c r="BN612" s="60" t="str">
        <f aca="false">IF(A612="","",IF(BW612=1,"Neu; ","")&amp;IF(AND(BW612=0,BR612&lt;0),"negativer Bestand (Export "&amp;BR612&amp;"); ","")&amp;IF(J612&lt;=0,"Kein Verbrauch; ","")&amp;IF(CR612&gt;0,"Lift "&amp;W612&amp;" lt. Liftbericht (Fach "&amp;X612&amp;" Stk); ",IF(CB612=1,"Gebinde geschätzt ("&amp;T612&amp;"); ",IF(CA612=1,"Lose – Tablare geschätzt; ","")))&amp;IF(H612&gt;AW612,"Überbestand "&amp;ROUND(H612-AW612,0)&amp;" Stk / CHF "&amp;ROUND((H612-AW612)*G612,0)&amp;"; ","")&amp;IF(AND(CI612=1,CJ612&lt;CK612),"MAX &lt; MB+LG; ","")&amp;IF(AND(CQ612&gt;0,CP612*10&gt;CQ612),"zu hoch für Tablar; ","")&amp;IF(AND(BW612=0,OR(CI612=1,AB612&lt;&gt;"",U612&lt;&gt;"",V612&lt;&gt;"",AC612&lt;&gt;"")),"manuell übersteuert; ","")&amp;IF(AND(CA612=0,R612=0),"Gebinde unbekannt / Stellmass fehlt; ","")&amp;IF(AND(CA612=0,N(V612)&lt;=0,N(Q612)&lt;=0),"Menge pro Gebinde fehlt (Ist = 1 Gebinde); ","")&amp;BV612)</f>
        <v>Kein Verbrauch; Überbestand 90 Stk / CHF 5; </v>
      </c>
      <c r="BO612" s="60"/>
      <c r="BP612" s="60"/>
      <c r="BQ612" s="67"/>
      <c r="BR612" s="62" t="n">
        <v>96</v>
      </c>
      <c r="BS612" s="62" t="n">
        <v>4</v>
      </c>
      <c r="BT612" s="61" t="n">
        <v>4.8</v>
      </c>
      <c r="BU612" s="62" t="n">
        <v>0</v>
      </c>
      <c r="BV612" s="60"/>
      <c r="BW612" s="65" t="n">
        <v>0</v>
      </c>
      <c r="BX612" s="65" t="n">
        <v>612</v>
      </c>
      <c r="BY612" s="60" t="str">
        <f aca="false">IF(U612&lt;&gt;"",UPPER(TRIM(U612)),IF(CB612=1,UPPER(VLOOKUP(T612,Parameter!$I$27:$K$29,2,0)),IF(P612="","LOSE",P612)))</f>
        <v>S22</v>
      </c>
      <c r="BZ612" s="62" t="n">
        <f aca="false">IF(BY612="LOSE",1,IF(N(V612)&gt;0,V612,IF(CB612=1,MAX(1,N(VLOOKUP(T612,Parameter!$I$27:$K$29,3,0)),H612,N(N612)),IF(N(Q612)&gt;0,Q612,MAX(1,H612)))))</f>
        <v>100</v>
      </c>
      <c r="CA612" s="65" t="n">
        <f aca="false">IF(BY612="LOSE",1,0)</f>
        <v>0</v>
      </c>
      <c r="CB612" s="65" t="n">
        <f aca="false">IF(AND(U612="",OR(P612="",P612="LOSE"),T612&lt;&gt;"",N(S612)&lt;=0,ISNUMBER(MATCH(T612,Parameter!$I$27:$I$29,0))),1,0)</f>
        <v>0</v>
      </c>
      <c r="CC612" s="65" t="n">
        <f aca="false">IF(CR612&gt;0,INDEX(Parameter!$H$5:$H$7,W612)/INDEX(Parameter!$E$5:$E$7,W612),IF(AND(CA612=0,N(IFERROR(VLOOKUP(BY612,'Gebinde-Kategorie'!$A$5:$N$45,14,0),0))&gt;0),VLOOKUP(BY612,'Gebinde-Kategorie'!$A$5:$N$45,14,0)*10+Parameter!$M$23,Parameter!$M$24))</f>
        <v>155</v>
      </c>
      <c r="CD612" s="60" t="str">
        <f aca="false">IF(AND(Parameter!$B$19="Ja",E612&lt;&gt;"",ISNUMBER(MATCH(E612,Parameter!$I$35:$I$52,0))),VLOOKUP(E612,Parameter!$I$35:$J$52,2,0),IFERROR(VLOOKUP(D612,Parameter!$A$35:$C$64,2,0),"Nein"))</f>
        <v>2+3</v>
      </c>
      <c r="CE612" s="64" t="n">
        <f aca="false">IF(CA612=0,0,IF(N(S612)&gt;0,S612,IFERROR(VLOOKUP(D612,Parameter!$A$35:$C$64,3,0)+0,0)))</f>
        <v>0</v>
      </c>
      <c r="CF612" s="60" t="n">
        <f aca="false">IF(AB612&lt;&gt;"",AB612,AA612)</f>
        <v>1</v>
      </c>
      <c r="CG612" s="60" t="str">
        <f aca="false">IF(OR(CF612=1,CF612=2,CF612=3),IF(Parameter!$E$27="Ja","LIFT",IF(CF612=1,"L1","L23")),IF(CF612="Aussen","Aussen","-"))</f>
        <v>LIFT</v>
      </c>
      <c r="CH612" s="71" t="n">
        <f aca="false">IF(N(AC612)&gt;0,AC612,0)</f>
        <v>0</v>
      </c>
      <c r="CI612" s="65" t="n">
        <f aca="false">IF(ISNUMBER(AF612),1,0)</f>
        <v>0</v>
      </c>
      <c r="CJ612" s="62" t="n">
        <f aca="false">N(AF612)</f>
        <v>0</v>
      </c>
      <c r="CK612" s="62" t="n">
        <f aca="false">N(M612)+N(N612)</f>
        <v>10</v>
      </c>
      <c r="CL612" s="62" t="n">
        <f aca="false">N(M612)</f>
        <v>0</v>
      </c>
      <c r="CM612" s="62" t="n">
        <f aca="false">N(N612)</f>
        <v>10</v>
      </c>
      <c r="CN612" s="62" t="n">
        <f aca="false">ROUNDUP(H612/BZ612,0)</f>
        <v>1</v>
      </c>
      <c r="CO612" s="62" t="n">
        <f aca="false">ROUNDUP(CJ612/BZ612,0)</f>
        <v>0</v>
      </c>
      <c r="CP612" s="65" t="n">
        <f aca="false">IF(CA612=1,0,IFERROR(VLOOKUP(BY612,'Gebinde-Kategorie'!$A$5:$N$45,5,0)+0,0))</f>
        <v>8</v>
      </c>
      <c r="CQ612" s="65" t="n">
        <f aca="false">IFERROR(IF(OR(CF612=1,CF612=2,CF612=3),N(INDEX(Parameter!$I$5:$I$7,CF612)),0),0)</f>
        <v>0</v>
      </c>
      <c r="CR612" s="64" t="n">
        <f aca="false">IF(AND(Parameter!$B$21="Ja",ISNUMBER(W612),N(X612)&gt;0),IFERROR(N(INDEX(Parameter!$L$5:$L$7,W612))*INDEX(Parameter!$E$5:$E$7,W612)*X612/SUMIFS($X$7:$X$1843,$W$7:$W$1843,W612),0),0)</f>
        <v>0</v>
      </c>
      <c r="CS612" s="62" t="n">
        <f aca="false">IF(AND(OR(CG612="L1",CG612="L23",CG612="LIFT"),H612&gt;0),CC612*IF(CR612&gt;0,CR612*MAX(1,H612/X612),IF(CA612=1,CE612,IF(R612&gt;0,CN612/R612,0))/MAX(0.1,N(Parameter!$M$21))),"")</f>
        <v>1.10714285714286</v>
      </c>
      <c r="CT612" s="64" t="n">
        <f aca="false">IF(CS612="","",J612/H612)</f>
        <v>0</v>
      </c>
      <c r="CU612" s="62" t="n">
        <f aca="false">IF(CS612="","",H612*G612)</f>
        <v>5</v>
      </c>
      <c r="CV612" s="63" t="n">
        <f aca="false">IF(CS612="","",(CL612+ROUNDUP(CL612+MAX(CM612,2*(J612/MAX(0.1,N(Einkauf!$C$6))-CL612)),0))/2)</f>
        <v>5</v>
      </c>
      <c r="CW612" s="62" t="n">
        <f aca="false">IF(CS612="","",MAX(0,H612-CV612)*G612)</f>
        <v>4.75</v>
      </c>
      <c r="CX612" s="62" t="n">
        <f aca="false">IF(CS612="","",CS612*MAX(0,1-CV612/H612))</f>
        <v>1.05178571428571</v>
      </c>
      <c r="CY612" s="64" t="n">
        <f aca="false">IF(CS612="","",PERCENTRANK($CS$7:$CS$1843,CS612)+PERCENTRANK($CU$7:$CU$1843,CU612)+1-PERCENTRANK($CT$7:$CT$1843,CT612))</f>
        <v>1.0807</v>
      </c>
      <c r="CZ612" s="72" t="n">
        <f aca="false">IF(CS612="","",CHOOSE(MATCH(Einkauf!$C$5,Parameter!$G$23:$G$27,0),CY612,CS612,CU612,-CT612,CW612)+ROW()/1000000000)</f>
        <v>1.080700612</v>
      </c>
    </row>
    <row r="613" customFormat="false" ht="15" hidden="false" customHeight="false" outlineLevel="0" collapsed="false">
      <c r="A613" s="60" t="s">
        <v>1305</v>
      </c>
      <c r="B613" s="60" t="s">
        <v>1306</v>
      </c>
      <c r="C613" s="60" t="s">
        <v>206</v>
      </c>
      <c r="D613" s="60" t="s">
        <v>226</v>
      </c>
      <c r="E613" s="60"/>
      <c r="F613" s="60" t="s">
        <v>260</v>
      </c>
      <c r="G613" s="61" t="n">
        <v>2.38</v>
      </c>
      <c r="H613" s="62" t="n">
        <f aca="false">MAX(0,IF(AND(Parameter!$B$21="Ja",ISNUMBER(Y613)),Y613,IF(Parameter!$B$20="Jahresanfang 2025 + Export",BS613+BR613,BR613)))</f>
        <v>110</v>
      </c>
      <c r="I613" s="62" t="n">
        <f aca="false">H613*G613</f>
        <v>261.8</v>
      </c>
      <c r="J613" s="62" t="n">
        <f aca="false">BU613*Parameter!$B$18</f>
        <v>0</v>
      </c>
      <c r="K613" s="63" t="n">
        <v>109</v>
      </c>
      <c r="L613" s="64" t="n">
        <v>0</v>
      </c>
      <c r="M613" s="62" t="n">
        <v>0</v>
      </c>
      <c r="N613" s="62" t="n">
        <v>50</v>
      </c>
      <c r="O613" s="65" t="n">
        <v>28</v>
      </c>
      <c r="P613" s="60" t="s">
        <v>518</v>
      </c>
      <c r="Q613" s="62" t="n">
        <v>110</v>
      </c>
      <c r="R613" s="65" t="n">
        <f aca="false">IF(CA613=1,0,IFERROR(VLOOKUP(BY613,'Gebinde-Kategorie'!$A$5:$N$45,13,0)+0,0))</f>
        <v>52</v>
      </c>
      <c r="S613" s="66"/>
      <c r="T613" s="67"/>
      <c r="U613" s="67"/>
      <c r="V613" s="67"/>
      <c r="W613" s="60"/>
      <c r="X613" s="62"/>
      <c r="Y613" s="62"/>
      <c r="Z613" s="60" t="n">
        <v>3</v>
      </c>
      <c r="AA613" s="60" t="n">
        <f aca="false">IF(A613="","",IF(AND(Parameter!$B$21="Ja",ISNUMBER(W613)),W613,IF(AND(Parameter!$E$27="Ja",ISNUMBER(Z613),CD613&lt;&gt;"Nein"),Z613,IF(CD613="2+3",IF(ISNUMBER(SEARCH("grosser Artikel",BV613)),2,IFERROR(VLOOKUP(BY613,Parameter!$F$35:$G$64,2,0),2)),IF(OR(CD613="Nein",CD613=""),"-",CD613)))))</f>
        <v>3</v>
      </c>
      <c r="AB613" s="67"/>
      <c r="AC613" s="68"/>
      <c r="AD613" s="62" t="n">
        <f aca="false">AW613</f>
        <v>50</v>
      </c>
      <c r="AE613" s="62" t="n">
        <f aca="false">MAX(AW613,H613)</f>
        <v>110</v>
      </c>
      <c r="AF613" s="69"/>
      <c r="AG613" s="62" t="n">
        <f aca="false">IF(LEFT(Cockpit!$C$5,1)="A",H613,IF(Parameter!$E$30="MAX-Bestand",IF(CI613=1,CJ613,IF(LEFT(Cockpit!$C$5,1)="B",AM613,MAX(AM613,H613))),ROUNDUP(AK613,0)))</f>
        <v>110</v>
      </c>
      <c r="AH613" s="62" t="n">
        <f aca="false">IF(CA613=1,0,ROUNDUP(AG613/BZ613,0))</f>
        <v>1</v>
      </c>
      <c r="AI613" s="64" t="n">
        <f aca="false">IF(CR613&gt;0,CR613*MAX(1,AG613/X613),IF(CA613=1,IF(AG613&lt;=0,0,CE613*MAX(1,IF(H613&gt;0,AG613/H613,1))),IF(R613&gt;0,AH613/R613,0))/MAX(0.1,N(Parameter!$M$21)))</f>
        <v>0.0192307692307692</v>
      </c>
      <c r="AJ613" s="62" t="n">
        <f aca="false">AI613*CC613</f>
        <v>2.98076923076923</v>
      </c>
      <c r="AK613" s="63" t="n">
        <f aca="false">IF(LEFT(Cockpit!$C$5,1)="A",H613,IF(CI613=1,(CL613+CJ613)/2,IF(LEFT(Cockpit!$C$5,1)="B",(CL613+AM613)/2,MAX((CL613+AM613)/2,H613))))</f>
        <v>110</v>
      </c>
      <c r="AL613" s="62" t="n">
        <f aca="false">AK613*G613</f>
        <v>261.8</v>
      </c>
      <c r="AM613" s="62" t="n">
        <f aca="false">ROUNDUP(CL613+MAX(CM613,2*(J613/IF(CH613&gt;0,CH613,MAX(0.1,N(Cockpit!$C$6)))-CL613)),0)</f>
        <v>50</v>
      </c>
      <c r="AN613" s="63" t="n">
        <f aca="false">IF(AJ613&gt;0,J613/AJ613,-1)</f>
        <v>0</v>
      </c>
      <c r="AO613" s="63" t="n">
        <f aca="false">IF(AND(OR(CG613="L1",CG613="L23",CG613="LIFT"),AJ613&gt;0),SUMIFS($AJ$7:$AJ$1843,$CG$7:$CG$1843,CG613,$AN$7:$AN$1843,"&gt;"&amp;AN613)+SUMIFS($AJ$7:$AJ$1843,$CG$7:$CG$1843,CG613,$AN$7:$AN$1843,AN613,$BX$7:$BX$1843,"&lt;="&amp;BX613),"")</f>
        <v>28539.0537395749</v>
      </c>
      <c r="AP613" s="70" t="n">
        <f aca="false">IF(AO613="",0,MAX(0,MIN(1,(IF(CG613="L1",Parameter!$H$5,IF(CG613="L23",Parameter!$H$6+Parameter!$H$7,Parameter!$H$5+Parameter!$H$6+Parameter!$H$7))-(AO613-AJ613))/AJ613)))</f>
        <v>1</v>
      </c>
      <c r="AQ613" s="62" t="n">
        <f aca="false">IF(LEFT(Cockpit!$I$5,1)="A",H613,IF(Parameter!$E$30="MAX-Bestand",IF(CI613=1,CJ613,IF(LEFT(Cockpit!$I$5,1)="B",AW613,MAX(AW613,H613))),ROUNDUP(AU613,0)))</f>
        <v>110</v>
      </c>
      <c r="AR613" s="62" t="n">
        <f aca="false">IF(CA613=1,0,ROUNDUP(AQ613/BZ613,0))</f>
        <v>1</v>
      </c>
      <c r="AS613" s="64" t="n">
        <f aca="false">IF(CR613&gt;0,CR613*MAX(1,AQ613/X613),IF(CA613=1,IF(AQ613&lt;=0,0,CE613*MAX(1,IF(H613&gt;0,AQ613/H613,1))),IF(R613&gt;0,AR613/R613,0))/MAX(0.1,N(Parameter!$M$21)))</f>
        <v>0.0192307692307692</v>
      </c>
      <c r="AT613" s="62" t="n">
        <f aca="false">AS613*CC613</f>
        <v>2.98076923076923</v>
      </c>
      <c r="AU613" s="63" t="n">
        <f aca="false">IF(LEFT(Cockpit!$I$5,1)="A",H613,IF(CI613=1,(CL613+CJ613)/2,IF(LEFT(Cockpit!$I$5,1)="B",(CL613+AW613)/2,MAX((CL613+AW613)/2,H613))))</f>
        <v>110</v>
      </c>
      <c r="AV613" s="62" t="n">
        <f aca="false">AU613*G613</f>
        <v>261.8</v>
      </c>
      <c r="AW613" s="62" t="n">
        <f aca="false">ROUNDUP(CL613+MAX(CM613,2*(J613/IF(CH613&gt;0,CH613,MAX(0.1,N(Cockpit!$I$6)))-CL613)),0)</f>
        <v>50</v>
      </c>
      <c r="AX613" s="63" t="n">
        <f aca="false">IF(AT613&gt;0,J613/AT613,-1)</f>
        <v>0</v>
      </c>
      <c r="AY613" s="63" t="n">
        <f aca="false">IF(AND(OR(CG613="L1",CG613="L23",CG613="LIFT"),AT613&gt;0),SUMIFS($AT$7:$AT$1843,$CG$7:$CG$1843,CG613,$AX$7:$AX$1843,"&gt;"&amp;AX613)+SUMIFS($AT$7:$AT$1843,$CG$7:$CG$1843,CG613,$AX$7:$AX$1843,AX613,$BX$7:$BX$1843,"&lt;="&amp;BX613),"")</f>
        <v>33892.2023809524</v>
      </c>
      <c r="AZ613" s="70" t="n">
        <f aca="false">IF(AY613="",0,MAX(0,MIN(1,(IF(CG613="L1",Parameter!$H$5,IF(CG613="L23",Parameter!$H$6+Parameter!$H$7,Parameter!$H$5+Parameter!$H$6+Parameter!$H$7))-(AY613-AT613))/AT613)))</f>
        <v>1</v>
      </c>
      <c r="BA613" s="62" t="n">
        <f aca="false">IF(LEFT(Cockpit!$O$5,1)="A",H613,IF(Parameter!$E$30="MAX-Bestand",IF(CI613=1,CJ613,IF(LEFT(Cockpit!$O$5,1)="B",BG613,MAX(BG613,H613))),ROUNDUP(BE613,0)))</f>
        <v>25</v>
      </c>
      <c r="BB613" s="62" t="n">
        <f aca="false">IF(CA613=1,0,ROUNDUP(BA613/BZ613,0))</f>
        <v>1</v>
      </c>
      <c r="BC613" s="64" t="n">
        <f aca="false">IF(CR613&gt;0,CR613*MAX(1,BA613/X613),IF(CA613=1,IF(BA613&lt;=0,0,CE613*MAX(1,IF(H613&gt;0,BA613/H613,1))),IF(R613&gt;0,BB613/R613,0))/MAX(0.1,N(Parameter!$M$21)))</f>
        <v>0.0192307692307692</v>
      </c>
      <c r="BD613" s="62" t="n">
        <f aca="false">BC613*CC613</f>
        <v>2.98076923076923</v>
      </c>
      <c r="BE613" s="63" t="n">
        <f aca="false">IF(LEFT(Cockpit!$O$5,1)="A",H613,IF(CI613=1,(CL613+CJ613)/2,IF(LEFT(Cockpit!$O$5,1)="B",(CL613+BG613)/2,MAX((CL613+BG613)/2,H613))))</f>
        <v>25</v>
      </c>
      <c r="BF613" s="62" t="n">
        <f aca="false">BE613*G613</f>
        <v>59.5</v>
      </c>
      <c r="BG613" s="62" t="n">
        <f aca="false">ROUNDUP(CL613+MAX(CM613,2*(J613/IF(CH613&gt;0,CH613,MAX(0.1,N(Cockpit!$O$6)))-CL613)),0)</f>
        <v>50</v>
      </c>
      <c r="BH613" s="63" t="n">
        <f aca="false">IF(BD613&gt;0,J613/BD613,-1)</f>
        <v>0</v>
      </c>
      <c r="BI613" s="63" t="n">
        <f aca="false">IF(AND(OR(CG613="L1",CG613="L23",CG613="LIFT"),BD613&gt;0),SUMIFS($BD$7:$BD$1843,$CG$7:$CG$1843,CG613,$BH$7:$BH$1843,"&gt;"&amp;BH613)+SUMIFS($BD$7:$BD$1843,$CG$7:$CG$1843,CG613,$BH$7:$BH$1843,BH613,$BX$7:$BX$1843,"&lt;="&amp;BX613),"")</f>
        <v>27964.5072095983</v>
      </c>
      <c r="BJ613" s="70" t="n">
        <f aca="false">IF(BI613="",0,MAX(0,MIN(1,(IF(CG613="L1",Parameter!$H$5,IF(CG613="L23",Parameter!$H$6+Parameter!$H$7,Parameter!$H$5+Parameter!$H$6+Parameter!$H$7))-(BI613-BD613))/BD613)))</f>
        <v>1</v>
      </c>
      <c r="BK613" s="60" t="str">
        <f aca="false">IF(AJ613&lt;=0,"",IF(CG613="Aussen","Aussenlager",IF(CG613="-","Nicht im Lift",IF(AP613&gt;=1,"Lift",IF(AP613&lt;=0,"Aussenlager","teilweise")))))</f>
        <v>Lift</v>
      </c>
      <c r="BL613" s="60" t="str">
        <f aca="false">IF(AT613&lt;=0,"",IF(CG613="Aussen","Aussenlager",IF(CG613="-","Nicht im Lift",IF(AZ613&gt;=1,"Lift",IF(AZ613&lt;=0,"Aussenlager","teilweise")))))</f>
        <v>Lift</v>
      </c>
      <c r="BM613" s="60" t="str">
        <f aca="false">IF(BD613&lt;=0,"",IF(CG613="Aussen","Aussenlager",IF(CG613="-","Nicht im Lift",IF(BJ613&gt;=1,"Lift",IF(BJ613&lt;=0,"Aussenlager","teilweise")))))</f>
        <v>Lift</v>
      </c>
      <c r="BN613" s="60" t="str">
        <f aca="false">IF(A613="","",IF(BW613=1,"Neu; ","")&amp;IF(AND(BW613=0,BR613&lt;0),"negativer Bestand (Export "&amp;BR613&amp;"); ","")&amp;IF(J613&lt;=0,"Kein Verbrauch; ","")&amp;IF(CR613&gt;0,"Lift "&amp;W613&amp;" lt. Liftbericht (Fach "&amp;X613&amp;" Stk); ",IF(CB613=1,"Gebinde geschätzt ("&amp;T613&amp;"); ",IF(CA613=1,"Lose – Tablare geschätzt; ","")))&amp;IF(H613&gt;AW613,"Überbestand "&amp;ROUND(H613-AW613,0)&amp;" Stk / CHF "&amp;ROUND((H613-AW613)*G613,0)&amp;"; ","")&amp;IF(AND(CI613=1,CJ613&lt;CK613),"MAX &lt; MB+LG; ","")&amp;IF(AND(CQ613&gt;0,CP613*10&gt;CQ613),"zu hoch für Tablar; ","")&amp;IF(AND(BW613=0,OR(CI613=1,AB613&lt;&gt;"",U613&lt;&gt;"",V613&lt;&gt;"",AC613&lt;&gt;"")),"manuell übersteuert; ","")&amp;IF(AND(CA613=0,R613=0),"Gebinde unbekannt / Stellmass fehlt; ","")&amp;IF(AND(CA613=0,N(V613)&lt;=0,N(Q613)&lt;=0),"Menge pro Gebinde fehlt (Ist = 1 Gebinde); ","")&amp;BV613)</f>
        <v>Kein Verbrauch; Überbestand 60 Stk / CHF 143; </v>
      </c>
      <c r="BO613" s="60"/>
      <c r="BP613" s="60"/>
      <c r="BQ613" s="67"/>
      <c r="BR613" s="62" t="n">
        <v>2</v>
      </c>
      <c r="BS613" s="62" t="n">
        <v>108</v>
      </c>
      <c r="BT613" s="61" t="n">
        <v>4.76</v>
      </c>
      <c r="BU613" s="62" t="n">
        <v>0</v>
      </c>
      <c r="BV613" s="60"/>
      <c r="BW613" s="65" t="n">
        <v>0</v>
      </c>
      <c r="BX613" s="65" t="n">
        <v>613</v>
      </c>
      <c r="BY613" s="60" t="str">
        <f aca="false">IF(U613&lt;&gt;"",UPPER(TRIM(U613)),IF(CB613=1,UPPER(VLOOKUP(T613,Parameter!$I$27:$K$29,2,0)),IF(P613="","LOSE",P613)))</f>
        <v>S33</v>
      </c>
      <c r="BZ613" s="62" t="n">
        <f aca="false">IF(BY613="LOSE",1,IF(N(V613)&gt;0,V613,IF(CB613=1,MAX(1,N(VLOOKUP(T613,Parameter!$I$27:$K$29,3,0)),H613,N(N613)),IF(N(Q613)&gt;0,Q613,MAX(1,H613)))))</f>
        <v>110</v>
      </c>
      <c r="CA613" s="65" t="n">
        <f aca="false">IF(BY613="LOSE",1,0)</f>
        <v>0</v>
      </c>
      <c r="CB613" s="65" t="n">
        <f aca="false">IF(AND(U613="",OR(P613="",P613="LOSE"),T613&lt;&gt;"",N(S613)&lt;=0,ISNUMBER(MATCH(T613,Parameter!$I$27:$I$29,0))),1,0)</f>
        <v>0</v>
      </c>
      <c r="CC613" s="65" t="n">
        <f aca="false">IF(CR613&gt;0,INDEX(Parameter!$H$5:$H$7,W613)/INDEX(Parameter!$E$5:$E$7,W613),IF(AND(CA613=0,N(IFERROR(VLOOKUP(BY613,'Gebinde-Kategorie'!$A$5:$N$45,14,0),0))&gt;0),VLOOKUP(BY613,'Gebinde-Kategorie'!$A$5:$N$45,14,0)*10+Parameter!$M$23,Parameter!$M$24))</f>
        <v>155</v>
      </c>
      <c r="CD613" s="60" t="str">
        <f aca="false">IF(AND(Parameter!$B$19="Ja",E613&lt;&gt;"",ISNUMBER(MATCH(E613,Parameter!$I$35:$I$52,0))),VLOOKUP(E613,Parameter!$I$35:$J$52,2,0),IFERROR(VLOOKUP(D613,Parameter!$A$35:$C$64,2,0),"Nein"))</f>
        <v>2+3</v>
      </c>
      <c r="CE613" s="64" t="n">
        <f aca="false">IF(CA613=0,0,IF(N(S613)&gt;0,S613,IFERROR(VLOOKUP(D613,Parameter!$A$35:$C$64,3,0)+0,0)))</f>
        <v>0</v>
      </c>
      <c r="CF613" s="60" t="n">
        <f aca="false">IF(AB613&lt;&gt;"",AB613,AA613)</f>
        <v>3</v>
      </c>
      <c r="CG613" s="60" t="str">
        <f aca="false">IF(OR(CF613=1,CF613=2,CF613=3),IF(Parameter!$E$27="Ja","LIFT",IF(CF613=1,"L1","L23")),IF(CF613="Aussen","Aussen","-"))</f>
        <v>LIFT</v>
      </c>
      <c r="CH613" s="71" t="n">
        <f aca="false">IF(N(AC613)&gt;0,AC613,0)</f>
        <v>0</v>
      </c>
      <c r="CI613" s="65" t="n">
        <f aca="false">IF(ISNUMBER(AF613),1,0)</f>
        <v>0</v>
      </c>
      <c r="CJ613" s="62" t="n">
        <f aca="false">N(AF613)</f>
        <v>0</v>
      </c>
      <c r="CK613" s="62" t="n">
        <f aca="false">N(M613)+N(N613)</f>
        <v>50</v>
      </c>
      <c r="CL613" s="62" t="n">
        <f aca="false">N(M613)</f>
        <v>0</v>
      </c>
      <c r="CM613" s="62" t="n">
        <f aca="false">N(N613)</f>
        <v>50</v>
      </c>
      <c r="CN613" s="62" t="n">
        <f aca="false">ROUNDUP(H613/BZ613,0)</f>
        <v>1</v>
      </c>
      <c r="CO613" s="62" t="n">
        <f aca="false">ROUNDUP(CJ613/BZ613,0)</f>
        <v>0</v>
      </c>
      <c r="CP613" s="65" t="n">
        <f aca="false">IF(CA613=1,0,IFERROR(VLOOKUP(BY613,'Gebinde-Kategorie'!$A$5:$N$45,5,0)+0,0))</f>
        <v>8</v>
      </c>
      <c r="CQ613" s="65" t="n">
        <f aca="false">IFERROR(IF(OR(CF613=1,CF613=2,CF613=3),N(INDEX(Parameter!$I$5:$I$7,CF613)),0),0)</f>
        <v>0</v>
      </c>
      <c r="CR613" s="64" t="n">
        <f aca="false">IF(AND(Parameter!$B$21="Ja",ISNUMBER(W613),N(X613)&gt;0),IFERROR(N(INDEX(Parameter!$L$5:$L$7,W613))*INDEX(Parameter!$E$5:$E$7,W613)*X613/SUMIFS($X$7:$X$1843,$W$7:$W$1843,W613),0),0)</f>
        <v>0</v>
      </c>
      <c r="CS613" s="62" t="n">
        <f aca="false">IF(AND(OR(CG613="L1",CG613="L23",CG613="LIFT"),H613&gt;0),CC613*IF(CR613&gt;0,CR613*MAX(1,H613/X613),IF(CA613=1,CE613,IF(R613&gt;0,CN613/R613,0))/MAX(0.1,N(Parameter!$M$21))),"")</f>
        <v>2.98076923076923</v>
      </c>
      <c r="CT613" s="64" t="n">
        <f aca="false">IF(CS613="","",J613/H613)</f>
        <v>0</v>
      </c>
      <c r="CU613" s="62" t="n">
        <f aca="false">IF(CS613="","",H613*G613)</f>
        <v>261.8</v>
      </c>
      <c r="CV613" s="63" t="n">
        <f aca="false">IF(CS613="","",(CL613+ROUNDUP(CL613+MAX(CM613,2*(J613/MAX(0.1,N(Einkauf!$C$6))-CL613)),0))/2)</f>
        <v>25</v>
      </c>
      <c r="CW613" s="62" t="n">
        <f aca="false">IF(CS613="","",MAX(0,H613-CV613)*G613)</f>
        <v>202.3</v>
      </c>
      <c r="CX613" s="62" t="n">
        <f aca="false">IF(CS613="","",CS613*MAX(0,1-CV613/H613))</f>
        <v>2.30332167832168</v>
      </c>
      <c r="CY613" s="64" t="n">
        <f aca="false">IF(CS613="","",PERCENTRANK($CS$7:$CS$1843,CS613)+PERCENTRANK($CU$7:$CU$1843,CU613)+1-PERCENTRANK($CT$7:$CT$1843,CT613))</f>
        <v>1.596</v>
      </c>
      <c r="CZ613" s="72" t="n">
        <f aca="false">IF(CS613="","",CHOOSE(MATCH(Einkauf!$C$5,Parameter!$G$23:$G$27,0),CY613,CS613,CU613,-CT613,CW613)+ROW()/1000000000)</f>
        <v>1.596000613</v>
      </c>
    </row>
    <row r="614" customFormat="false" ht="15" hidden="false" customHeight="false" outlineLevel="0" collapsed="false">
      <c r="A614" s="60" t="s">
        <v>1307</v>
      </c>
      <c r="B614" s="60" t="s">
        <v>1308</v>
      </c>
      <c r="C614" s="60" t="s">
        <v>206</v>
      </c>
      <c r="D614" s="60" t="s">
        <v>1037</v>
      </c>
      <c r="E614" s="60"/>
      <c r="F614" s="60" t="s">
        <v>260</v>
      </c>
      <c r="G614" s="61" t="n">
        <v>0.29</v>
      </c>
      <c r="H614" s="62" t="n">
        <f aca="false">MAX(0,IF(AND(Parameter!$B$21="Ja",ISNUMBER(Y614)),Y614,IF(Parameter!$B$20="Jahresanfang 2025 + Export",BS614+BR614,BR614)))</f>
        <v>16</v>
      </c>
      <c r="I614" s="62" t="n">
        <f aca="false">H614*G614</f>
        <v>4.64</v>
      </c>
      <c r="J614" s="62" t="n">
        <f aca="false">BU614*Parameter!$B$18</f>
        <v>34</v>
      </c>
      <c r="K614" s="63" t="n">
        <v>8</v>
      </c>
      <c r="L614" s="64" t="n">
        <v>4.25</v>
      </c>
      <c r="M614" s="62" t="n">
        <v>0</v>
      </c>
      <c r="N614" s="62" t="n">
        <v>50</v>
      </c>
      <c r="O614" s="65" t="n">
        <v>21</v>
      </c>
      <c r="P614" s="60" t="s">
        <v>210</v>
      </c>
      <c r="Q614" s="62"/>
      <c r="R614" s="65" t="n">
        <f aca="false">IF(CA614=1,0,IFERROR(VLOOKUP(BY614,'Gebinde-Kategorie'!$A$5:$N$45,13,0)+0,0))</f>
        <v>0</v>
      </c>
      <c r="S614" s="66"/>
      <c r="T614" s="67"/>
      <c r="U614" s="67"/>
      <c r="V614" s="67"/>
      <c r="W614" s="60"/>
      <c r="X614" s="62"/>
      <c r="Y614" s="62"/>
      <c r="Z614" s="60"/>
      <c r="AA614" s="60" t="str">
        <f aca="false">IF(A614="","",IF(AND(Parameter!$B$21="Ja",ISNUMBER(W614)),W614,IF(AND(Parameter!$E$27="Ja",ISNUMBER(Z614),CD614&lt;&gt;"Nein"),Z614,IF(CD614="2+3",IF(ISNUMBER(SEARCH("grosser Artikel",BV614)),2,IFERROR(VLOOKUP(BY614,Parameter!$F$35:$G$64,2,0),2)),IF(OR(CD614="Nein",CD614=""),"-",CD614)))))</f>
        <v>-</v>
      </c>
      <c r="AB614" s="67"/>
      <c r="AC614" s="68"/>
      <c r="AD614" s="62" t="n">
        <f aca="false">AW614</f>
        <v>50</v>
      </c>
      <c r="AE614" s="62" t="n">
        <f aca="false">MAX(AW614,H614)</f>
        <v>50</v>
      </c>
      <c r="AF614" s="69"/>
      <c r="AG614" s="62" t="n">
        <f aca="false">IF(LEFT(Cockpit!$C$5,1)="A",H614,IF(Parameter!$E$30="MAX-Bestand",IF(CI614=1,CJ614,IF(LEFT(Cockpit!$C$5,1)="B",AM614,MAX(AM614,H614))),ROUNDUP(AK614,0)))</f>
        <v>16</v>
      </c>
      <c r="AH614" s="62" t="n">
        <f aca="false">IF(CA614=1,0,ROUNDUP(AG614/BZ614,0))</f>
        <v>0</v>
      </c>
      <c r="AI614" s="64" t="n">
        <f aca="false">IF(CR614&gt;0,CR614*MAX(1,AG614/X614),IF(CA614=1,IF(AG614&lt;=0,0,CE614*MAX(1,IF(H614&gt;0,AG614/H614,1))),IF(R614&gt;0,AH614/R614,0))/MAX(0.1,N(Parameter!$M$21)))</f>
        <v>0.15</v>
      </c>
      <c r="AJ614" s="62" t="n">
        <f aca="false">AI614*CC614</f>
        <v>35.25</v>
      </c>
      <c r="AK614" s="63" t="n">
        <f aca="false">IF(LEFT(Cockpit!$C$5,1)="A",H614,IF(CI614=1,(CL614+CJ614)/2,IF(LEFT(Cockpit!$C$5,1)="B",(CL614+AM614)/2,MAX((CL614+AM614)/2,H614))))</f>
        <v>16</v>
      </c>
      <c r="AL614" s="62" t="n">
        <f aca="false">AK614*G614</f>
        <v>4.64</v>
      </c>
      <c r="AM614" s="62" t="n">
        <f aca="false">ROUNDUP(CL614+MAX(CM614,2*(J614/IF(CH614&gt;0,CH614,MAX(0.1,N(Cockpit!$C$6)))-CL614)),0)</f>
        <v>50</v>
      </c>
      <c r="AN614" s="63" t="n">
        <f aca="false">IF(AJ614&gt;0,J614/AJ614,-1)</f>
        <v>0.964539007092199</v>
      </c>
      <c r="AO614" s="63" t="str">
        <f aca="false">IF(AND(OR(CG614="L1",CG614="L23",CG614="LIFT"),AJ614&gt;0),SUMIFS($AJ$7:$AJ$1843,$CG$7:$CG$1843,CG614,$AN$7:$AN$1843,"&gt;"&amp;AN614)+SUMIFS($AJ$7:$AJ$1843,$CG$7:$CG$1843,CG614,$AN$7:$AN$1843,AN614,$BX$7:$BX$1843,"&lt;="&amp;BX614),"")</f>
        <v/>
      </c>
      <c r="AP614" s="70" t="n">
        <f aca="false">IF(AO614="",0,MAX(0,MIN(1,(IF(CG614="L1",Parameter!$H$5,IF(CG614="L23",Parameter!$H$6+Parameter!$H$7,Parameter!$H$5+Parameter!$H$6+Parameter!$H$7))-(AO614-AJ614))/AJ614)))</f>
        <v>0</v>
      </c>
      <c r="AQ614" s="62" t="n">
        <f aca="false">IF(LEFT(Cockpit!$I$5,1)="A",H614,IF(Parameter!$E$30="MAX-Bestand",IF(CI614=1,CJ614,IF(LEFT(Cockpit!$I$5,1)="B",AW614,MAX(AW614,H614))),ROUNDUP(AU614,0)))</f>
        <v>25</v>
      </c>
      <c r="AR614" s="62" t="n">
        <f aca="false">IF(CA614=1,0,ROUNDUP(AQ614/BZ614,0))</f>
        <v>0</v>
      </c>
      <c r="AS614" s="64" t="n">
        <f aca="false">IF(CR614&gt;0,CR614*MAX(1,AQ614/X614),IF(CA614=1,IF(AQ614&lt;=0,0,CE614*MAX(1,IF(H614&gt;0,AQ614/H614,1))),IF(R614&gt;0,AR614/R614,0))/MAX(0.1,N(Parameter!$M$21)))</f>
        <v>0.234375</v>
      </c>
      <c r="AT614" s="62" t="n">
        <f aca="false">AS614*CC614</f>
        <v>55.078125</v>
      </c>
      <c r="AU614" s="63" t="n">
        <f aca="false">IF(LEFT(Cockpit!$I$5,1)="A",H614,IF(CI614=1,(CL614+CJ614)/2,IF(LEFT(Cockpit!$I$5,1)="B",(CL614+AW614)/2,MAX((CL614+AW614)/2,H614))))</f>
        <v>25</v>
      </c>
      <c r="AV614" s="62" t="n">
        <f aca="false">AU614*G614</f>
        <v>7.25</v>
      </c>
      <c r="AW614" s="62" t="n">
        <f aca="false">ROUNDUP(CL614+MAX(CM614,2*(J614/IF(CH614&gt;0,CH614,MAX(0.1,N(Cockpit!$I$6)))-CL614)),0)</f>
        <v>50</v>
      </c>
      <c r="AX614" s="63" t="n">
        <f aca="false">IF(AT614&gt;0,J614/AT614,-1)</f>
        <v>0.617304964539007</v>
      </c>
      <c r="AY614" s="63" t="str">
        <f aca="false">IF(AND(OR(CG614="L1",CG614="L23",CG614="LIFT"),AT614&gt;0),SUMIFS($AT$7:$AT$1843,$CG$7:$CG$1843,CG614,$AX$7:$AX$1843,"&gt;"&amp;AX614)+SUMIFS($AT$7:$AT$1843,$CG$7:$CG$1843,CG614,$AX$7:$AX$1843,AX614,$BX$7:$BX$1843,"&lt;="&amp;BX614),"")</f>
        <v/>
      </c>
      <c r="AZ614" s="70" t="n">
        <f aca="false">IF(AY614="",0,MAX(0,MIN(1,(IF(CG614="L1",Parameter!$H$5,IF(CG614="L23",Parameter!$H$6+Parameter!$H$7,Parameter!$H$5+Parameter!$H$6+Parameter!$H$7))-(AY614-AT614))/AT614)))</f>
        <v>0</v>
      </c>
      <c r="BA614" s="62" t="n">
        <f aca="false">IF(LEFT(Cockpit!$O$5,1)="A",H614,IF(Parameter!$E$30="MAX-Bestand",IF(CI614=1,CJ614,IF(LEFT(Cockpit!$O$5,1)="B",BG614,MAX(BG614,H614))),ROUNDUP(BE614,0)))</f>
        <v>25</v>
      </c>
      <c r="BB614" s="62" t="n">
        <f aca="false">IF(CA614=1,0,ROUNDUP(BA614/BZ614,0))</f>
        <v>0</v>
      </c>
      <c r="BC614" s="64" t="n">
        <f aca="false">IF(CR614&gt;0,CR614*MAX(1,BA614/X614),IF(CA614=1,IF(BA614&lt;=0,0,CE614*MAX(1,IF(H614&gt;0,BA614/H614,1))),IF(R614&gt;0,BB614/R614,0))/MAX(0.1,N(Parameter!$M$21)))</f>
        <v>0.234375</v>
      </c>
      <c r="BD614" s="62" t="n">
        <f aca="false">BC614*CC614</f>
        <v>55.078125</v>
      </c>
      <c r="BE614" s="63" t="n">
        <f aca="false">IF(LEFT(Cockpit!$O$5,1)="A",H614,IF(CI614=1,(CL614+CJ614)/2,IF(LEFT(Cockpit!$O$5,1)="B",(CL614+BG614)/2,MAX((CL614+BG614)/2,H614))))</f>
        <v>25</v>
      </c>
      <c r="BF614" s="62" t="n">
        <f aca="false">BE614*G614</f>
        <v>7.25</v>
      </c>
      <c r="BG614" s="62" t="n">
        <f aca="false">ROUNDUP(CL614+MAX(CM614,2*(J614/IF(CH614&gt;0,CH614,MAX(0.1,N(Cockpit!$O$6)))-CL614)),0)</f>
        <v>50</v>
      </c>
      <c r="BH614" s="63" t="n">
        <f aca="false">IF(BD614&gt;0,J614/BD614,-1)</f>
        <v>0.617304964539007</v>
      </c>
      <c r="BI614" s="63" t="str">
        <f aca="false">IF(AND(OR(CG614="L1",CG614="L23",CG614="LIFT"),BD614&gt;0),SUMIFS($BD$7:$BD$1843,$CG$7:$CG$1843,CG614,$BH$7:$BH$1843,"&gt;"&amp;BH614)+SUMIFS($BD$7:$BD$1843,$CG$7:$CG$1843,CG614,$BH$7:$BH$1843,BH614,$BX$7:$BX$1843,"&lt;="&amp;BX614),"")</f>
        <v/>
      </c>
      <c r="BJ614" s="70" t="n">
        <f aca="false">IF(BI614="",0,MAX(0,MIN(1,(IF(CG614="L1",Parameter!$H$5,IF(CG614="L23",Parameter!$H$6+Parameter!$H$7,Parameter!$H$5+Parameter!$H$6+Parameter!$H$7))-(BI614-BD614))/BD614)))</f>
        <v>0</v>
      </c>
      <c r="BK614" s="60" t="str">
        <f aca="false">IF(AJ614&lt;=0,"",IF(CG614="Aussen","Aussenlager",IF(CG614="-","Nicht im Lift",IF(AP614&gt;=1,"Lift",IF(AP614&lt;=0,"Aussenlager","teilweise")))))</f>
        <v>Nicht im Lift</v>
      </c>
      <c r="BL614" s="60" t="str">
        <f aca="false">IF(AT614&lt;=0,"",IF(CG614="Aussen","Aussenlager",IF(CG614="-","Nicht im Lift",IF(AZ614&gt;=1,"Lift",IF(AZ614&lt;=0,"Aussenlager","teilweise")))))</f>
        <v>Nicht im Lift</v>
      </c>
      <c r="BM614" s="60" t="str">
        <f aca="false">IF(BD614&lt;=0,"",IF(CG614="Aussen","Aussenlager",IF(CG614="-","Nicht im Lift",IF(BJ614&gt;=1,"Lift",IF(BJ614&lt;=0,"Aussenlager","teilweise")))))</f>
        <v>Nicht im Lift</v>
      </c>
      <c r="BN614" s="60" t="str">
        <f aca="false">IF(A614="","",IF(BW614=1,"Neu; ","")&amp;IF(AND(BW614=0,BR614&lt;0),"negativer Bestand (Export "&amp;BR614&amp;"); ","")&amp;IF(J614&lt;=0,"Kein Verbrauch; ","")&amp;IF(CR614&gt;0,"Lift "&amp;W614&amp;" lt. Liftbericht (Fach "&amp;X614&amp;" Stk); ",IF(CB614=1,"Gebinde geschätzt ("&amp;T614&amp;"); ",IF(CA614=1,"Lose – Tablare geschätzt; ","")))&amp;IF(H614&gt;AW614,"Überbestand "&amp;ROUND(H614-AW614,0)&amp;" Stk / CHF "&amp;ROUND((H614-AW614)*G614,0)&amp;"; ","")&amp;IF(AND(CI614=1,CJ614&lt;CK614),"MAX &lt; MB+LG; ","")&amp;IF(AND(CQ614&gt;0,CP614*10&gt;CQ614),"zu hoch für Tablar; ","")&amp;IF(AND(BW614=0,OR(CI614=1,AB614&lt;&gt;"",U614&lt;&gt;"",V614&lt;&gt;"",AC614&lt;&gt;"")),"manuell übersteuert; ","")&amp;IF(AND(CA614=0,R614=0),"Gebinde unbekannt / Stellmass fehlt; ","")&amp;IF(AND(CA614=0,N(V614)&lt;=0,N(Q614)&lt;=0),"Menge pro Gebinde fehlt (Ist = 1 Gebinde); ","")&amp;BV614)</f>
        <v>Lose – Tablare geschätzt; </v>
      </c>
      <c r="BO614" s="60"/>
      <c r="BP614" s="60"/>
      <c r="BQ614" s="67"/>
      <c r="BR614" s="62" t="n">
        <v>16</v>
      </c>
      <c r="BS614" s="62" t="n">
        <v>0</v>
      </c>
      <c r="BT614" s="61" t="n">
        <v>4.64</v>
      </c>
      <c r="BU614" s="62" t="n">
        <v>34</v>
      </c>
      <c r="BV614" s="60"/>
      <c r="BW614" s="65" t="n">
        <v>0</v>
      </c>
      <c r="BX614" s="65" t="n">
        <v>614</v>
      </c>
      <c r="BY614" s="60" t="str">
        <f aca="false">IF(U614&lt;&gt;"",UPPER(TRIM(U614)),IF(CB614=1,UPPER(VLOOKUP(T614,Parameter!$I$27:$K$29,2,0)),IF(P614="","LOSE",P614)))</f>
        <v>LOSE</v>
      </c>
      <c r="BZ614" s="62" t="n">
        <f aca="false">IF(BY614="LOSE",1,IF(N(V614)&gt;0,V614,IF(CB614=1,MAX(1,N(VLOOKUP(T614,Parameter!$I$27:$K$29,3,0)),H614,N(N614)),IF(N(Q614)&gt;0,Q614,MAX(1,H614)))))</f>
        <v>1</v>
      </c>
      <c r="CA614" s="65" t="n">
        <f aca="false">IF(BY614="LOSE",1,0)</f>
        <v>1</v>
      </c>
      <c r="CB614" s="65" t="n">
        <f aca="false">IF(AND(U614="",OR(P614="",P614="LOSE"),T614&lt;&gt;"",N(S614)&lt;=0,ISNUMBER(MATCH(T614,Parameter!$I$27:$I$29,0))),1,0)</f>
        <v>0</v>
      </c>
      <c r="CC614" s="65" t="n">
        <f aca="false">IF(CR614&gt;0,INDEX(Parameter!$H$5:$H$7,W614)/INDEX(Parameter!$E$5:$E$7,W614),IF(AND(CA614=0,N(IFERROR(VLOOKUP(BY614,'Gebinde-Kategorie'!$A$5:$N$45,14,0),0))&gt;0),VLOOKUP(BY614,'Gebinde-Kategorie'!$A$5:$N$45,14,0)*10+Parameter!$M$23,Parameter!$M$24))</f>
        <v>235</v>
      </c>
      <c r="CD614" s="60" t="str">
        <f aca="false">IF(AND(Parameter!$B$19="Ja",E614&lt;&gt;"",ISNUMBER(MATCH(E614,Parameter!$I$35:$I$52,0))),VLOOKUP(E614,Parameter!$I$35:$J$52,2,0),IFERROR(VLOOKUP(D614,Parameter!$A$35:$C$64,2,0),"Nein"))</f>
        <v>Nein</v>
      </c>
      <c r="CE614" s="64" t="n">
        <f aca="false">IF(CA614=0,0,IF(N(S614)&gt;0,S614,IFERROR(VLOOKUP(D614,Parameter!$A$35:$C$64,3,0)+0,0)))</f>
        <v>0.15</v>
      </c>
      <c r="CF614" s="60" t="str">
        <f aca="false">IF(AB614&lt;&gt;"",AB614,AA614)</f>
        <v>-</v>
      </c>
      <c r="CG614" s="60" t="str">
        <f aca="false">IF(OR(CF614=1,CF614=2,CF614=3),IF(Parameter!$E$27="Ja","LIFT",IF(CF614=1,"L1","L23")),IF(CF614="Aussen","Aussen","-"))</f>
        <v>-</v>
      </c>
      <c r="CH614" s="71" t="n">
        <f aca="false">IF(N(AC614)&gt;0,AC614,0)</f>
        <v>0</v>
      </c>
      <c r="CI614" s="65" t="n">
        <f aca="false">IF(ISNUMBER(AF614),1,0)</f>
        <v>0</v>
      </c>
      <c r="CJ614" s="62" t="n">
        <f aca="false">N(AF614)</f>
        <v>0</v>
      </c>
      <c r="CK614" s="62" t="n">
        <f aca="false">N(M614)+N(N614)</f>
        <v>50</v>
      </c>
      <c r="CL614" s="62" t="n">
        <f aca="false">N(M614)</f>
        <v>0</v>
      </c>
      <c r="CM614" s="62" t="n">
        <f aca="false">N(N614)</f>
        <v>50</v>
      </c>
      <c r="CN614" s="62" t="n">
        <f aca="false">ROUNDUP(H614/BZ614,0)</f>
        <v>16</v>
      </c>
      <c r="CO614" s="62" t="n">
        <f aca="false">ROUNDUP(CJ614/BZ614,0)</f>
        <v>0</v>
      </c>
      <c r="CP614" s="65" t="n">
        <f aca="false">IF(CA614=1,0,IFERROR(VLOOKUP(BY614,'Gebinde-Kategorie'!$A$5:$N$45,5,0)+0,0))</f>
        <v>0</v>
      </c>
      <c r="CQ614" s="65" t="n">
        <f aca="false">IFERROR(IF(OR(CF614=1,CF614=2,CF614=3),N(INDEX(Parameter!$I$5:$I$7,CF614)),0),0)</f>
        <v>0</v>
      </c>
      <c r="CR614" s="64" t="n">
        <f aca="false">IF(AND(Parameter!$B$21="Ja",ISNUMBER(W614),N(X614)&gt;0),IFERROR(N(INDEX(Parameter!$L$5:$L$7,W614))*INDEX(Parameter!$E$5:$E$7,W614)*X614/SUMIFS($X$7:$X$1843,$W$7:$W$1843,W614),0),0)</f>
        <v>0</v>
      </c>
      <c r="CS614" s="62" t="str">
        <f aca="false">IF(AND(OR(CG614="L1",CG614="L23",CG614="LIFT"),H614&gt;0),CC614*IF(CR614&gt;0,CR614*MAX(1,H614/X614),IF(CA614=1,CE614,IF(R614&gt;0,CN614/R614,0))/MAX(0.1,N(Parameter!$M$21))),"")</f>
        <v/>
      </c>
      <c r="CT614" s="64" t="str">
        <f aca="false">IF(CS614="","",J614/H614)</f>
        <v/>
      </c>
      <c r="CU614" s="62" t="str">
        <f aca="false">IF(CS614="","",H614*G614)</f>
        <v/>
      </c>
      <c r="CV614" s="63" t="str">
        <f aca="false">IF(CS614="","",(CL614+ROUNDUP(CL614+MAX(CM614,2*(J614/MAX(0.1,N(Einkauf!$C$6))-CL614)),0))/2)</f>
        <v/>
      </c>
      <c r="CW614" s="62" t="str">
        <f aca="false">IF(CS614="","",MAX(0,H614-CV614)*G614)</f>
        <v/>
      </c>
      <c r="CX614" s="62" t="str">
        <f aca="false">IF(CS614="","",CS614*MAX(0,1-CV614/H614))</f>
        <v/>
      </c>
      <c r="CY614" s="64" t="str">
        <f aca="false">IF(CS614="","",PERCENTRANK($CS$7:$CS$1843,CS614)+PERCENTRANK($CU$7:$CU$1843,CU614)+1-PERCENTRANK($CT$7:$CT$1843,CT614))</f>
        <v/>
      </c>
      <c r="CZ614" s="72" t="str">
        <f aca="false">IF(CS614="","",CHOOSE(MATCH(Einkauf!$C$5,Parameter!$G$23:$G$27,0),CY614,CS614,CU614,-CT614,CW614)+ROW()/1000000000)</f>
        <v/>
      </c>
    </row>
    <row r="615" customFormat="false" ht="15" hidden="false" customHeight="false" outlineLevel="0" collapsed="false">
      <c r="A615" s="60" t="s">
        <v>1309</v>
      </c>
      <c r="B615" s="60" t="s">
        <v>1310</v>
      </c>
      <c r="C615" s="60" t="s">
        <v>206</v>
      </c>
      <c r="D615" s="60" t="s">
        <v>226</v>
      </c>
      <c r="E615" s="60" t="s">
        <v>227</v>
      </c>
      <c r="F615" s="60" t="s">
        <v>260</v>
      </c>
      <c r="G615" s="61" t="n">
        <v>0.58</v>
      </c>
      <c r="H615" s="62" t="n">
        <f aca="false">MAX(0,IF(AND(Parameter!$B$21="Ja",ISNUMBER(Y615)),Y615,IF(Parameter!$B$20="Jahresanfang 2025 + Export",BS615+BR615,BR615)))</f>
        <v>114</v>
      </c>
      <c r="I615" s="62" t="n">
        <f aca="false">H615*G615</f>
        <v>66.12</v>
      </c>
      <c r="J615" s="62" t="n">
        <f aca="false">BU615*Parameter!$B$18</f>
        <v>0</v>
      </c>
      <c r="K615" s="63" t="n">
        <v>110.5</v>
      </c>
      <c r="L615" s="64" t="n">
        <v>0</v>
      </c>
      <c r="M615" s="62" t="n">
        <v>0</v>
      </c>
      <c r="N615" s="62" t="n">
        <v>1</v>
      </c>
      <c r="O615" s="65" t="n">
        <v>21</v>
      </c>
      <c r="P615" s="60" t="s">
        <v>463</v>
      </c>
      <c r="Q615" s="62" t="n">
        <v>123</v>
      </c>
      <c r="R615" s="65" t="n">
        <f aca="false">IF(CA615=1,0,IFERROR(VLOOKUP(BY615,'Gebinde-Kategorie'!$A$5:$N$45,13,0)+0,0))</f>
        <v>104</v>
      </c>
      <c r="S615" s="66"/>
      <c r="T615" s="67"/>
      <c r="U615" s="67"/>
      <c r="V615" s="67"/>
      <c r="W615" s="60"/>
      <c r="X615" s="62"/>
      <c r="Y615" s="62"/>
      <c r="Z615" s="60" t="n">
        <v>1</v>
      </c>
      <c r="AA615" s="60" t="n">
        <f aca="false">IF(A615="","",IF(AND(Parameter!$B$21="Ja",ISNUMBER(W615)),W615,IF(AND(Parameter!$E$27="Ja",ISNUMBER(Z615),CD615&lt;&gt;"Nein"),Z615,IF(CD615="2+3",IF(ISNUMBER(SEARCH("grosser Artikel",BV615)),2,IFERROR(VLOOKUP(BY615,Parameter!$F$35:$G$64,2,0),2)),IF(OR(CD615="Nein",CD615=""),"-",CD615)))))</f>
        <v>1</v>
      </c>
      <c r="AB615" s="67"/>
      <c r="AC615" s="68"/>
      <c r="AD615" s="62" t="n">
        <f aca="false">AW615</f>
        <v>1</v>
      </c>
      <c r="AE615" s="62" t="n">
        <f aca="false">MAX(AW615,H615)</f>
        <v>114</v>
      </c>
      <c r="AF615" s="69"/>
      <c r="AG615" s="62" t="n">
        <f aca="false">IF(LEFT(Cockpit!$C$5,1)="A",H615,IF(Parameter!$E$30="MAX-Bestand",IF(CI615=1,CJ615,IF(LEFT(Cockpit!$C$5,1)="B",AM615,MAX(AM615,H615))),ROUNDUP(AK615,0)))</f>
        <v>114</v>
      </c>
      <c r="AH615" s="62" t="n">
        <f aca="false">IF(CA615=1,0,ROUNDUP(AG615/BZ615,0))</f>
        <v>1</v>
      </c>
      <c r="AI615" s="64" t="n">
        <f aca="false">IF(CR615&gt;0,CR615*MAX(1,AG615/X615),IF(CA615=1,IF(AG615&lt;=0,0,CE615*MAX(1,IF(H615&gt;0,AG615/H615,1))),IF(R615&gt;0,AH615/R615,0))/MAX(0.1,N(Parameter!$M$21)))</f>
        <v>0.00961538461538462</v>
      </c>
      <c r="AJ615" s="62" t="n">
        <f aca="false">AI615*CC615</f>
        <v>1.49038461538462</v>
      </c>
      <c r="AK615" s="63" t="n">
        <f aca="false">IF(LEFT(Cockpit!$C$5,1)="A",H615,IF(CI615=1,(CL615+CJ615)/2,IF(LEFT(Cockpit!$C$5,1)="B",(CL615+AM615)/2,MAX((CL615+AM615)/2,H615))))</f>
        <v>114</v>
      </c>
      <c r="AL615" s="62" t="n">
        <f aca="false">AK615*G615</f>
        <v>66.12</v>
      </c>
      <c r="AM615" s="62" t="n">
        <f aca="false">ROUNDUP(CL615+MAX(CM615,2*(J615/IF(CH615&gt;0,CH615,MAX(0.1,N(Cockpit!$C$6)))-CL615)),0)</f>
        <v>1</v>
      </c>
      <c r="AN615" s="63" t="n">
        <f aca="false">IF(AJ615&gt;0,J615/AJ615,-1)</f>
        <v>0</v>
      </c>
      <c r="AO615" s="63" t="n">
        <f aca="false">IF(AND(OR(CG615="L1",CG615="L23",CG615="LIFT"),AJ615&gt;0),SUMIFS($AJ$7:$AJ$1843,$CG$7:$CG$1843,CG615,$AN$7:$AN$1843,"&gt;"&amp;AN615)+SUMIFS($AJ$7:$AJ$1843,$CG$7:$CG$1843,CG615,$AN$7:$AN$1843,AN615,$BX$7:$BX$1843,"&lt;="&amp;BX615),"")</f>
        <v>28540.5441241903</v>
      </c>
      <c r="AP615" s="70" t="n">
        <f aca="false">IF(AO615="",0,MAX(0,MIN(1,(IF(CG615="L1",Parameter!$H$5,IF(CG615="L23",Parameter!$H$6+Parameter!$H$7,Parameter!$H$5+Parameter!$H$6+Parameter!$H$7))-(AO615-AJ615))/AJ615)))</f>
        <v>1</v>
      </c>
      <c r="AQ615" s="62" t="n">
        <f aca="false">IF(LEFT(Cockpit!$I$5,1)="A",H615,IF(Parameter!$E$30="MAX-Bestand",IF(CI615=1,CJ615,IF(LEFT(Cockpit!$I$5,1)="B",AW615,MAX(AW615,H615))),ROUNDUP(AU615,0)))</f>
        <v>114</v>
      </c>
      <c r="AR615" s="62" t="n">
        <f aca="false">IF(CA615=1,0,ROUNDUP(AQ615/BZ615,0))</f>
        <v>1</v>
      </c>
      <c r="AS615" s="64" t="n">
        <f aca="false">IF(CR615&gt;0,CR615*MAX(1,AQ615/X615),IF(CA615=1,IF(AQ615&lt;=0,0,CE615*MAX(1,IF(H615&gt;0,AQ615/H615,1))),IF(R615&gt;0,AR615/R615,0))/MAX(0.1,N(Parameter!$M$21)))</f>
        <v>0.00961538461538462</v>
      </c>
      <c r="AT615" s="62" t="n">
        <f aca="false">AS615*CC615</f>
        <v>1.49038461538462</v>
      </c>
      <c r="AU615" s="63" t="n">
        <f aca="false">IF(LEFT(Cockpit!$I$5,1)="A",H615,IF(CI615=1,(CL615+CJ615)/2,IF(LEFT(Cockpit!$I$5,1)="B",(CL615+AW615)/2,MAX((CL615+AW615)/2,H615))))</f>
        <v>114</v>
      </c>
      <c r="AV615" s="62" t="n">
        <f aca="false">AU615*G615</f>
        <v>66.12</v>
      </c>
      <c r="AW615" s="62" t="n">
        <f aca="false">ROUNDUP(CL615+MAX(CM615,2*(J615/IF(CH615&gt;0,CH615,MAX(0.1,N(Cockpit!$I$6)))-CL615)),0)</f>
        <v>1</v>
      </c>
      <c r="AX615" s="63" t="n">
        <f aca="false">IF(AT615&gt;0,J615/AT615,-1)</f>
        <v>0</v>
      </c>
      <c r="AY615" s="63" t="n">
        <f aca="false">IF(AND(OR(CG615="L1",CG615="L23",CG615="LIFT"),AT615&gt;0),SUMIFS($AT$7:$AT$1843,$CG$7:$CG$1843,CG615,$AX$7:$AX$1843,"&gt;"&amp;AX615)+SUMIFS($AT$7:$AT$1843,$CG$7:$CG$1843,CG615,$AX$7:$AX$1843,AX615,$BX$7:$BX$1843,"&lt;="&amp;BX615),"")</f>
        <v>33893.6927655678</v>
      </c>
      <c r="AZ615" s="70" t="n">
        <f aca="false">IF(AY615="",0,MAX(0,MIN(1,(IF(CG615="L1",Parameter!$H$5,IF(CG615="L23",Parameter!$H$6+Parameter!$H$7,Parameter!$H$5+Parameter!$H$6+Parameter!$H$7))-(AY615-AT615))/AT615)))</f>
        <v>1</v>
      </c>
      <c r="BA615" s="62" t="n">
        <f aca="false">IF(LEFT(Cockpit!$O$5,1)="A",H615,IF(Parameter!$E$30="MAX-Bestand",IF(CI615=1,CJ615,IF(LEFT(Cockpit!$O$5,1)="B",BG615,MAX(BG615,H615))),ROUNDUP(BE615,0)))</f>
        <v>1</v>
      </c>
      <c r="BB615" s="62" t="n">
        <f aca="false">IF(CA615=1,0,ROUNDUP(BA615/BZ615,0))</f>
        <v>1</v>
      </c>
      <c r="BC615" s="64" t="n">
        <f aca="false">IF(CR615&gt;0,CR615*MAX(1,BA615/X615),IF(CA615=1,IF(BA615&lt;=0,0,CE615*MAX(1,IF(H615&gt;0,BA615/H615,1))),IF(R615&gt;0,BB615/R615,0))/MAX(0.1,N(Parameter!$M$21)))</f>
        <v>0.00961538461538462</v>
      </c>
      <c r="BD615" s="62" t="n">
        <f aca="false">BC615*CC615</f>
        <v>1.49038461538462</v>
      </c>
      <c r="BE615" s="63" t="n">
        <f aca="false">IF(LEFT(Cockpit!$O$5,1)="A",H615,IF(CI615=1,(CL615+CJ615)/2,IF(LEFT(Cockpit!$O$5,1)="B",(CL615+BG615)/2,MAX((CL615+BG615)/2,H615))))</f>
        <v>0.5</v>
      </c>
      <c r="BF615" s="62" t="n">
        <f aca="false">BE615*G615</f>
        <v>0.29</v>
      </c>
      <c r="BG615" s="62" t="n">
        <f aca="false">ROUNDUP(CL615+MAX(CM615,2*(J615/IF(CH615&gt;0,CH615,MAX(0.1,N(Cockpit!$O$6)))-CL615)),0)</f>
        <v>1</v>
      </c>
      <c r="BH615" s="63" t="n">
        <f aca="false">IF(BD615&gt;0,J615/BD615,-1)</f>
        <v>0</v>
      </c>
      <c r="BI615" s="63" t="n">
        <f aca="false">IF(AND(OR(CG615="L1",CG615="L23",CG615="LIFT"),BD615&gt;0),SUMIFS($BD$7:$BD$1843,$CG$7:$CG$1843,CG615,$BH$7:$BH$1843,"&gt;"&amp;BH615)+SUMIFS($BD$7:$BD$1843,$CG$7:$CG$1843,CG615,$BH$7:$BH$1843,BH615,$BX$7:$BX$1843,"&lt;="&amp;BX615),"")</f>
        <v>27965.9975942137</v>
      </c>
      <c r="BJ615" s="70" t="n">
        <f aca="false">IF(BI615="",0,MAX(0,MIN(1,(IF(CG615="L1",Parameter!$H$5,IF(CG615="L23",Parameter!$H$6+Parameter!$H$7,Parameter!$H$5+Parameter!$H$6+Parameter!$H$7))-(BI615-BD615))/BD615)))</f>
        <v>1</v>
      </c>
      <c r="BK615" s="60" t="str">
        <f aca="false">IF(AJ615&lt;=0,"",IF(CG615="Aussen","Aussenlager",IF(CG615="-","Nicht im Lift",IF(AP615&gt;=1,"Lift",IF(AP615&lt;=0,"Aussenlager","teilweise")))))</f>
        <v>Lift</v>
      </c>
      <c r="BL615" s="60" t="str">
        <f aca="false">IF(AT615&lt;=0,"",IF(CG615="Aussen","Aussenlager",IF(CG615="-","Nicht im Lift",IF(AZ615&gt;=1,"Lift",IF(AZ615&lt;=0,"Aussenlager","teilweise")))))</f>
        <v>Lift</v>
      </c>
      <c r="BM615" s="60" t="str">
        <f aca="false">IF(BD615&lt;=0,"",IF(CG615="Aussen","Aussenlager",IF(CG615="-","Nicht im Lift",IF(BJ615&gt;=1,"Lift",IF(BJ615&lt;=0,"Aussenlager","teilweise")))))</f>
        <v>Lift</v>
      </c>
      <c r="BN615" s="60" t="str">
        <f aca="false">IF(A615="","",IF(BW615=1,"Neu; ","")&amp;IF(AND(BW615=0,BR615&lt;0),"negativer Bestand (Export "&amp;BR615&amp;"); ","")&amp;IF(J615&lt;=0,"Kein Verbrauch; ","")&amp;IF(CR615&gt;0,"Lift "&amp;W615&amp;" lt. Liftbericht (Fach "&amp;X615&amp;" Stk); ",IF(CB615=1,"Gebinde geschätzt ("&amp;T615&amp;"); ",IF(CA615=1,"Lose – Tablare geschätzt; ","")))&amp;IF(H615&gt;AW615,"Überbestand "&amp;ROUND(H615-AW615,0)&amp;" Stk / CHF "&amp;ROUND((H615-AW615)*G615,0)&amp;"; ","")&amp;IF(AND(CI615=1,CJ615&lt;CK615),"MAX &lt; MB+LG; ","")&amp;IF(AND(CQ615&gt;0,CP615*10&gt;CQ615),"zu hoch für Tablar; ","")&amp;IF(AND(BW615=0,OR(CI615=1,AB615&lt;&gt;"",U615&lt;&gt;"",V615&lt;&gt;"",AC615&lt;&gt;"")),"manuell übersteuert; ","")&amp;IF(AND(CA615=0,R615=0),"Gebinde unbekannt / Stellmass fehlt; ","")&amp;IF(AND(CA615=0,N(V615)&lt;=0,N(Q615)&lt;=0),"Menge pro Gebinde fehlt (Ist = 1 Gebinde); ","")&amp;BV615)</f>
        <v>Kein Verbrauch; Überbestand 113 Stk / CHF 66; Überbestand</v>
      </c>
      <c r="BO615" s="60"/>
      <c r="BP615" s="60"/>
      <c r="BQ615" s="67"/>
      <c r="BR615" s="62" t="n">
        <v>8</v>
      </c>
      <c r="BS615" s="62" t="n">
        <v>106</v>
      </c>
      <c r="BT615" s="61" t="n">
        <v>4.64</v>
      </c>
      <c r="BU615" s="62" t="n">
        <v>0</v>
      </c>
      <c r="BV615" s="60" t="s">
        <v>434</v>
      </c>
      <c r="BW615" s="65" t="n">
        <v>0</v>
      </c>
      <c r="BX615" s="65" t="n">
        <v>615</v>
      </c>
      <c r="BY615" s="60" t="str">
        <f aca="false">IF(U615&lt;&gt;"",UPPER(TRIM(U615)),IF(CB615=1,UPPER(VLOOKUP(T615,Parameter!$I$27:$K$29,2,0)),IF(P615="","LOSE",P615)))</f>
        <v>S32</v>
      </c>
      <c r="BZ615" s="62" t="n">
        <f aca="false">IF(BY615="LOSE",1,IF(N(V615)&gt;0,V615,IF(CB615=1,MAX(1,N(VLOOKUP(T615,Parameter!$I$27:$K$29,3,0)),H615,N(N615)),IF(N(Q615)&gt;0,Q615,MAX(1,H615)))))</f>
        <v>123</v>
      </c>
      <c r="CA615" s="65" t="n">
        <f aca="false">IF(BY615="LOSE",1,0)</f>
        <v>0</v>
      </c>
      <c r="CB615" s="65" t="n">
        <f aca="false">IF(AND(U615="",OR(P615="",P615="LOSE"),T615&lt;&gt;"",N(S615)&lt;=0,ISNUMBER(MATCH(T615,Parameter!$I$27:$I$29,0))),1,0)</f>
        <v>0</v>
      </c>
      <c r="CC615" s="65" t="n">
        <f aca="false">IF(CR615&gt;0,INDEX(Parameter!$H$5:$H$7,W615)/INDEX(Parameter!$E$5:$E$7,W615),IF(AND(CA615=0,N(IFERROR(VLOOKUP(BY615,'Gebinde-Kategorie'!$A$5:$N$45,14,0),0))&gt;0),VLOOKUP(BY615,'Gebinde-Kategorie'!$A$5:$N$45,14,0)*10+Parameter!$M$23,Parameter!$M$24))</f>
        <v>155</v>
      </c>
      <c r="CD615" s="60" t="str">
        <f aca="false">IF(AND(Parameter!$B$19="Ja",E615&lt;&gt;"",ISNUMBER(MATCH(E615,Parameter!$I$35:$I$52,0))),VLOOKUP(E615,Parameter!$I$35:$J$52,2,0),IFERROR(VLOOKUP(D615,Parameter!$A$35:$C$64,2,0),"Nein"))</f>
        <v>2+3</v>
      </c>
      <c r="CE615" s="64" t="n">
        <f aca="false">IF(CA615=0,0,IF(N(S615)&gt;0,S615,IFERROR(VLOOKUP(D615,Parameter!$A$35:$C$64,3,0)+0,0)))</f>
        <v>0</v>
      </c>
      <c r="CF615" s="60" t="n">
        <f aca="false">IF(AB615&lt;&gt;"",AB615,AA615)</f>
        <v>1</v>
      </c>
      <c r="CG615" s="60" t="str">
        <f aca="false">IF(OR(CF615=1,CF615=2,CF615=3),IF(Parameter!$E$27="Ja","LIFT",IF(CF615=1,"L1","L23")),IF(CF615="Aussen","Aussen","-"))</f>
        <v>LIFT</v>
      </c>
      <c r="CH615" s="71" t="n">
        <f aca="false">IF(N(AC615)&gt;0,AC615,0)</f>
        <v>0</v>
      </c>
      <c r="CI615" s="65" t="n">
        <f aca="false">IF(ISNUMBER(AF615),1,0)</f>
        <v>0</v>
      </c>
      <c r="CJ615" s="62" t="n">
        <f aca="false">N(AF615)</f>
        <v>0</v>
      </c>
      <c r="CK615" s="62" t="n">
        <f aca="false">N(M615)+N(N615)</f>
        <v>1</v>
      </c>
      <c r="CL615" s="62" t="n">
        <f aca="false">N(M615)</f>
        <v>0</v>
      </c>
      <c r="CM615" s="62" t="n">
        <f aca="false">N(N615)</f>
        <v>1</v>
      </c>
      <c r="CN615" s="62" t="n">
        <f aca="false">ROUNDUP(H615/BZ615,0)</f>
        <v>1</v>
      </c>
      <c r="CO615" s="62" t="n">
        <f aca="false">ROUNDUP(CJ615/BZ615,0)</f>
        <v>0</v>
      </c>
      <c r="CP615" s="65" t="n">
        <f aca="false">IF(CA615=1,0,IFERROR(VLOOKUP(BY615,'Gebinde-Kategorie'!$A$5:$N$45,5,0)+0,0))</f>
        <v>8</v>
      </c>
      <c r="CQ615" s="65" t="n">
        <f aca="false">IFERROR(IF(OR(CF615=1,CF615=2,CF615=3),N(INDEX(Parameter!$I$5:$I$7,CF615)),0),0)</f>
        <v>0</v>
      </c>
      <c r="CR615" s="64" t="n">
        <f aca="false">IF(AND(Parameter!$B$21="Ja",ISNUMBER(W615),N(X615)&gt;0),IFERROR(N(INDEX(Parameter!$L$5:$L$7,W615))*INDEX(Parameter!$E$5:$E$7,W615)*X615/SUMIFS($X$7:$X$1843,$W$7:$W$1843,W615),0),0)</f>
        <v>0</v>
      </c>
      <c r="CS615" s="62" t="n">
        <f aca="false">IF(AND(OR(CG615="L1",CG615="L23",CG615="LIFT"),H615&gt;0),CC615*IF(CR615&gt;0,CR615*MAX(1,H615/X615),IF(CA615=1,CE615,IF(R615&gt;0,CN615/R615,0))/MAX(0.1,N(Parameter!$M$21))),"")</f>
        <v>1.49038461538462</v>
      </c>
      <c r="CT615" s="64" t="n">
        <f aca="false">IF(CS615="","",J615/H615)</f>
        <v>0</v>
      </c>
      <c r="CU615" s="62" t="n">
        <f aca="false">IF(CS615="","",H615*G615)</f>
        <v>66.12</v>
      </c>
      <c r="CV615" s="63" t="n">
        <f aca="false">IF(CS615="","",(CL615+ROUNDUP(CL615+MAX(CM615,2*(J615/MAX(0.1,N(Einkauf!$C$6))-CL615)),0))/2)</f>
        <v>0.5</v>
      </c>
      <c r="CW615" s="62" t="n">
        <f aca="false">IF(CS615="","",MAX(0,H615-CV615)*G615)</f>
        <v>65.83</v>
      </c>
      <c r="CX615" s="62" t="n">
        <f aca="false">IF(CS615="","",CS615*MAX(0,1-CV615/H615))</f>
        <v>1.48384784075574</v>
      </c>
      <c r="CY615" s="64" t="n">
        <f aca="false">IF(CS615="","",PERCENTRANK($CS$7:$CS$1843,CS615)+PERCENTRANK($CU$7:$CU$1843,CU615)+1-PERCENTRANK($CT$7:$CT$1843,CT615))</f>
        <v>1.292</v>
      </c>
      <c r="CZ615" s="72" t="n">
        <f aca="false">IF(CS615="","",CHOOSE(MATCH(Einkauf!$C$5,Parameter!$G$23:$G$27,0),CY615,CS615,CU615,-CT615,CW615)+ROW()/1000000000)</f>
        <v>1.292000615</v>
      </c>
    </row>
    <row r="616" customFormat="false" ht="15" hidden="false" customHeight="false" outlineLevel="0" collapsed="false">
      <c r="A616" s="60" t="s">
        <v>1311</v>
      </c>
      <c r="B616" s="60" t="s">
        <v>447</v>
      </c>
      <c r="C616" s="60" t="s">
        <v>206</v>
      </c>
      <c r="D616" s="60" t="s">
        <v>215</v>
      </c>
      <c r="E616" s="60" t="s">
        <v>227</v>
      </c>
      <c r="F616" s="60" t="s">
        <v>260</v>
      </c>
      <c r="G616" s="61" t="n">
        <v>0.46</v>
      </c>
      <c r="H616" s="62" t="n">
        <f aca="false">MAX(0,IF(AND(Parameter!$B$21="Ja",ISNUMBER(Y616)),Y616,IF(Parameter!$B$20="Jahresanfang 2025 + Export",BS616+BR616,BR616)))</f>
        <v>3394</v>
      </c>
      <c r="I616" s="62" t="n">
        <f aca="false">H616*G616</f>
        <v>1561.24</v>
      </c>
      <c r="J616" s="62" t="n">
        <f aca="false">BU616*Parameter!$B$18</f>
        <v>48</v>
      </c>
      <c r="K616" s="63" t="n">
        <v>3393</v>
      </c>
      <c r="L616" s="64" t="n">
        <v>0.0141467727674624</v>
      </c>
      <c r="M616" s="62" t="n">
        <v>2</v>
      </c>
      <c r="N616" s="62" t="n">
        <v>50</v>
      </c>
      <c r="O616" s="65" t="n">
        <v>21</v>
      </c>
      <c r="P616" s="60" t="s">
        <v>216</v>
      </c>
      <c r="Q616" s="62" t="n">
        <v>1000</v>
      </c>
      <c r="R616" s="65" t="n">
        <f aca="false">IF(CA616=1,0,IFERROR(VLOOKUP(BY616,'Gebinde-Kategorie'!$A$5:$N$45,13,0)+0,0))</f>
        <v>6</v>
      </c>
      <c r="S616" s="66"/>
      <c r="T616" s="67"/>
      <c r="U616" s="67"/>
      <c r="V616" s="67"/>
      <c r="W616" s="60"/>
      <c r="X616" s="62"/>
      <c r="Y616" s="62"/>
      <c r="Z616" s="60" t="n">
        <v>2</v>
      </c>
      <c r="AA616" s="60" t="n">
        <f aca="false">IF(A616="","",IF(AND(Parameter!$B$21="Ja",ISNUMBER(W616)),W616,IF(AND(Parameter!$E$27="Ja",ISNUMBER(Z616),CD616&lt;&gt;"Nein"),Z616,IF(CD616="2+3",IF(ISNUMBER(SEARCH("grosser Artikel",BV616)),2,IFERROR(VLOOKUP(BY616,Parameter!$F$35:$G$64,2,0),2)),IF(OR(CD616="Nein",CD616=""),"-",CD616)))))</f>
        <v>2</v>
      </c>
      <c r="AB616" s="67"/>
      <c r="AC616" s="68"/>
      <c r="AD616" s="62" t="n">
        <f aca="false">AW616</f>
        <v>52</v>
      </c>
      <c r="AE616" s="62" t="n">
        <f aca="false">MAX(AW616,H616)</f>
        <v>3394</v>
      </c>
      <c r="AF616" s="69"/>
      <c r="AG616" s="62" t="n">
        <f aca="false">IF(LEFT(Cockpit!$C$5,1)="A",H616,IF(Parameter!$E$30="MAX-Bestand",IF(CI616=1,CJ616,IF(LEFT(Cockpit!$C$5,1)="B",AM616,MAX(AM616,H616))),ROUNDUP(AK616,0)))</f>
        <v>3394</v>
      </c>
      <c r="AH616" s="62" t="n">
        <f aca="false">IF(CA616=1,0,ROUNDUP(AG616/BZ616,0))</f>
        <v>4</v>
      </c>
      <c r="AI616" s="64" t="n">
        <f aca="false">IF(CR616&gt;0,CR616*MAX(1,AG616/X616),IF(CA616=1,IF(AG616&lt;=0,0,CE616*MAX(1,IF(H616&gt;0,AG616/H616,1))),IF(R616&gt;0,AH616/R616,0))/MAX(0.1,N(Parameter!$M$21)))</f>
        <v>0.666666666666667</v>
      </c>
      <c r="AJ616" s="62" t="n">
        <f aca="false">AI616*CC616</f>
        <v>156.666666666667</v>
      </c>
      <c r="AK616" s="63" t="n">
        <f aca="false">IF(LEFT(Cockpit!$C$5,1)="A",H616,IF(CI616=1,(CL616+CJ616)/2,IF(LEFT(Cockpit!$C$5,1)="B",(CL616+AM616)/2,MAX((CL616+AM616)/2,H616))))</f>
        <v>3394</v>
      </c>
      <c r="AL616" s="62" t="n">
        <f aca="false">AK616*G616</f>
        <v>1561.24</v>
      </c>
      <c r="AM616" s="62" t="n">
        <f aca="false">ROUNDUP(CL616+MAX(CM616,2*(J616/IF(CH616&gt;0,CH616,MAX(0.1,N(Cockpit!$C$6)))-CL616)),0)</f>
        <v>52</v>
      </c>
      <c r="AN616" s="63" t="n">
        <f aca="false">IF(AJ616&gt;0,J616/AJ616,-1)</f>
        <v>0.306382978723404</v>
      </c>
      <c r="AO616" s="63" t="n">
        <f aca="false">IF(AND(OR(CG616="L1",CG616="L23",CG616="LIFT"),AJ616&gt;0),SUMIFS($AJ$7:$AJ$1843,$CG$7:$CG$1843,CG616,$AN$7:$AN$1843,"&gt;"&amp;AN616)+SUMIFS($AJ$7:$AJ$1843,$CG$7:$CG$1843,CG616,$AN$7:$AN$1843,AN616,$BX$7:$BX$1843,"&lt;="&amp;BX616),"")</f>
        <v>11444.4488343577</v>
      </c>
      <c r="AP616" s="70" t="n">
        <f aca="false">IF(AO616="",0,MAX(0,MIN(1,(IF(CG616="L1",Parameter!$H$5,IF(CG616="L23",Parameter!$H$6+Parameter!$H$7,Parameter!$H$5+Parameter!$H$6+Parameter!$H$7))-(AO616-AJ616))/AJ616)))</f>
        <v>1</v>
      </c>
      <c r="AQ616" s="62" t="n">
        <f aca="false">IF(LEFT(Cockpit!$I$5,1)="A",H616,IF(Parameter!$E$30="MAX-Bestand",IF(CI616=1,CJ616,IF(LEFT(Cockpit!$I$5,1)="B",AW616,MAX(AW616,H616))),ROUNDUP(AU616,0)))</f>
        <v>3394</v>
      </c>
      <c r="AR616" s="62" t="n">
        <f aca="false">IF(CA616=1,0,ROUNDUP(AQ616/BZ616,0))</f>
        <v>4</v>
      </c>
      <c r="AS616" s="64" t="n">
        <f aca="false">IF(CR616&gt;0,CR616*MAX(1,AQ616/X616),IF(CA616=1,IF(AQ616&lt;=0,0,CE616*MAX(1,IF(H616&gt;0,AQ616/H616,1))),IF(R616&gt;0,AR616/R616,0))/MAX(0.1,N(Parameter!$M$21)))</f>
        <v>0.666666666666667</v>
      </c>
      <c r="AT616" s="62" t="n">
        <f aca="false">AS616*CC616</f>
        <v>156.666666666667</v>
      </c>
      <c r="AU616" s="63" t="n">
        <f aca="false">IF(LEFT(Cockpit!$I$5,1)="A",H616,IF(CI616=1,(CL616+CJ616)/2,IF(LEFT(Cockpit!$I$5,1)="B",(CL616+AW616)/2,MAX((CL616+AW616)/2,H616))))</f>
        <v>3394</v>
      </c>
      <c r="AV616" s="62" t="n">
        <f aca="false">AU616*G616</f>
        <v>1561.24</v>
      </c>
      <c r="AW616" s="62" t="n">
        <f aca="false">ROUNDUP(CL616+MAX(CM616,2*(J616/IF(CH616&gt;0,CH616,MAX(0.1,N(Cockpit!$I$6)))-CL616)),0)</f>
        <v>52</v>
      </c>
      <c r="AX616" s="63" t="n">
        <f aca="false">IF(AT616&gt;0,J616/AT616,-1)</f>
        <v>0.306382978723404</v>
      </c>
      <c r="AY616" s="63" t="n">
        <f aca="false">IF(AND(OR(CG616="L1",CG616="L23",CG616="LIFT"),AT616&gt;0),SUMIFS($AT$7:$AT$1843,$CG$7:$CG$1843,CG616,$AX$7:$AX$1843,"&gt;"&amp;AX616)+SUMIFS($AT$7:$AT$1843,$CG$7:$CG$1843,CG616,$AX$7:$AX$1843,AX616,$BX$7:$BX$1843,"&lt;="&amp;BX616),"")</f>
        <v>14012.1762820513</v>
      </c>
      <c r="AZ616" s="70" t="n">
        <f aca="false">IF(AY616="",0,MAX(0,MIN(1,(IF(CG616="L1",Parameter!$H$5,IF(CG616="L23",Parameter!$H$6+Parameter!$H$7,Parameter!$H$5+Parameter!$H$6+Parameter!$H$7))-(AY616-AT616))/AT616)))</f>
        <v>1</v>
      </c>
      <c r="BA616" s="62" t="n">
        <f aca="false">IF(LEFT(Cockpit!$O$5,1)="A",H616,IF(Parameter!$E$30="MAX-Bestand",IF(CI616=1,CJ616,IF(LEFT(Cockpit!$O$5,1)="B",BG616,MAX(BG616,H616))),ROUNDUP(BE616,0)))</f>
        <v>27</v>
      </c>
      <c r="BB616" s="62" t="n">
        <f aca="false">IF(CA616=1,0,ROUNDUP(BA616/BZ616,0))</f>
        <v>1</v>
      </c>
      <c r="BC616" s="64" t="n">
        <f aca="false">IF(CR616&gt;0,CR616*MAX(1,BA616/X616),IF(CA616=1,IF(BA616&lt;=0,0,CE616*MAX(1,IF(H616&gt;0,BA616/H616,1))),IF(R616&gt;0,BB616/R616,0))/MAX(0.1,N(Parameter!$M$21)))</f>
        <v>0.166666666666667</v>
      </c>
      <c r="BD616" s="62" t="n">
        <f aca="false">BC616*CC616</f>
        <v>39.1666666666667</v>
      </c>
      <c r="BE616" s="63" t="n">
        <f aca="false">IF(LEFT(Cockpit!$O$5,1)="A",H616,IF(CI616=1,(CL616+CJ616)/2,IF(LEFT(Cockpit!$O$5,1)="B",(CL616+BG616)/2,MAX((CL616+BG616)/2,H616))))</f>
        <v>27</v>
      </c>
      <c r="BF616" s="62" t="n">
        <f aca="false">BE616*G616</f>
        <v>12.42</v>
      </c>
      <c r="BG616" s="62" t="n">
        <f aca="false">ROUNDUP(CL616+MAX(CM616,2*(J616/IF(CH616&gt;0,CH616,MAX(0.1,N(Cockpit!$O$6)))-CL616)),0)</f>
        <v>52</v>
      </c>
      <c r="BH616" s="63" t="n">
        <f aca="false">IF(BD616&gt;0,J616/BD616,-1)</f>
        <v>1.22553191489362</v>
      </c>
      <c r="BI616" s="63" t="n">
        <f aca="false">IF(AND(OR(CG616="L1",CG616="L23",CG616="LIFT"),BD616&gt;0),SUMIFS($BD$7:$BD$1843,$CG$7:$CG$1843,CG616,$BH$7:$BH$1843,"&gt;"&amp;BH616)+SUMIFS($BD$7:$BD$1843,$CG$7:$CG$1843,CG616,$BH$7:$BH$1843,BH616,$BX$7:$BX$1843,"&lt;="&amp;BX616),"")</f>
        <v>7040.75228937729</v>
      </c>
      <c r="BJ616" s="70" t="n">
        <f aca="false">IF(BI616="",0,MAX(0,MIN(1,(IF(CG616="L1",Parameter!$H$5,IF(CG616="L23",Parameter!$H$6+Parameter!$H$7,Parameter!$H$5+Parameter!$H$6+Parameter!$H$7))-(BI616-BD616))/BD616)))</f>
        <v>1</v>
      </c>
      <c r="BK616" s="60" t="str">
        <f aca="false">IF(AJ616&lt;=0,"",IF(CG616="Aussen","Aussenlager",IF(CG616="-","Nicht im Lift",IF(AP616&gt;=1,"Lift",IF(AP616&lt;=0,"Aussenlager","teilweise")))))</f>
        <v>Lift</v>
      </c>
      <c r="BL616" s="60" t="str">
        <f aca="false">IF(AT616&lt;=0,"",IF(CG616="Aussen","Aussenlager",IF(CG616="-","Nicht im Lift",IF(AZ616&gt;=1,"Lift",IF(AZ616&lt;=0,"Aussenlager","teilweise")))))</f>
        <v>Lift</v>
      </c>
      <c r="BM616" s="60" t="str">
        <f aca="false">IF(BD616&lt;=0,"",IF(CG616="Aussen","Aussenlager",IF(CG616="-","Nicht im Lift",IF(BJ616&gt;=1,"Lift",IF(BJ616&lt;=0,"Aussenlager","teilweise")))))</f>
        <v>Lift</v>
      </c>
      <c r="BN616" s="60" t="str">
        <f aca="false">IF(A616="","",IF(BW616=1,"Neu; ","")&amp;IF(AND(BW616=0,BR616&lt;0),"negativer Bestand (Export "&amp;BR616&amp;"); ","")&amp;IF(J616&lt;=0,"Kein Verbrauch; ","")&amp;IF(CR616&gt;0,"Lift "&amp;W616&amp;" lt. Liftbericht (Fach "&amp;X616&amp;" Stk); ",IF(CB616=1,"Gebinde geschätzt ("&amp;T616&amp;"); ",IF(CA616=1,"Lose – Tablare geschätzt; ","")))&amp;IF(H616&gt;AW616,"Überbestand "&amp;ROUND(H616-AW616,0)&amp;" Stk / CHF "&amp;ROUND((H616-AW616)*G616,0)&amp;"; ","")&amp;IF(AND(CI616=1,CJ616&lt;CK616),"MAX &lt; MB+LG; ","")&amp;IF(AND(CQ616&gt;0,CP616*10&gt;CQ616),"zu hoch für Tablar; ","")&amp;IF(AND(BW616=0,OR(CI616=1,AB616&lt;&gt;"",U616&lt;&gt;"",V616&lt;&gt;"",AC616&lt;&gt;"")),"manuell übersteuert; ","")&amp;IF(AND(CA616=0,R616=0),"Gebinde unbekannt / Stellmass fehlt; ","")&amp;IF(AND(CA616=0,N(V616)&lt;=0,N(Q616)&lt;=0),"Menge pro Gebinde fehlt (Ist = 1 Gebinde); ","")&amp;BV616)</f>
        <v>Überbestand 3342 Stk / CHF 1537; Twin; grosse  Artikelmenge</v>
      </c>
      <c r="BO616" s="60"/>
      <c r="BP616" s="60"/>
      <c r="BQ616" s="67"/>
      <c r="BR616" s="62" t="n">
        <v>10</v>
      </c>
      <c r="BS616" s="62" t="n">
        <v>3384</v>
      </c>
      <c r="BT616" s="61" t="n">
        <v>4.6</v>
      </c>
      <c r="BU616" s="62" t="n">
        <v>48</v>
      </c>
      <c r="BV616" s="60" t="s">
        <v>1312</v>
      </c>
      <c r="BW616" s="65" t="n">
        <v>0</v>
      </c>
      <c r="BX616" s="65" t="n">
        <v>616</v>
      </c>
      <c r="BY616" s="60" t="str">
        <f aca="false">IF(U616&lt;&gt;"",UPPER(TRIM(U616)),IF(CB616=1,UPPER(VLOOKUP(T616,Parameter!$I$27:$K$29,2,0)),IF(P616="","LOSE",P616)))</f>
        <v>S71</v>
      </c>
      <c r="BZ616" s="62" t="n">
        <f aca="false">IF(BY616="LOSE",1,IF(N(V616)&gt;0,V616,IF(CB616=1,MAX(1,N(VLOOKUP(T616,Parameter!$I$27:$K$29,3,0)),H616,N(N616)),IF(N(Q616)&gt;0,Q616,MAX(1,H616)))))</f>
        <v>1000</v>
      </c>
      <c r="CA616" s="65" t="n">
        <f aca="false">IF(BY616="LOSE",1,0)</f>
        <v>0</v>
      </c>
      <c r="CB616" s="65" t="n">
        <f aca="false">IF(AND(U616="",OR(P616="",P616="LOSE"),T616&lt;&gt;"",N(S616)&lt;=0,ISNUMBER(MATCH(T616,Parameter!$I$27:$I$29,0))),1,0)</f>
        <v>0</v>
      </c>
      <c r="CC616" s="65" t="n">
        <f aca="false">IF(CR616&gt;0,INDEX(Parameter!$H$5:$H$7,W616)/INDEX(Parameter!$E$5:$E$7,W616),IF(AND(CA616=0,N(IFERROR(VLOOKUP(BY616,'Gebinde-Kategorie'!$A$5:$N$45,14,0),0))&gt;0),VLOOKUP(BY616,'Gebinde-Kategorie'!$A$5:$N$45,14,0)*10+Parameter!$M$23,Parameter!$M$24))</f>
        <v>235</v>
      </c>
      <c r="CD616" s="60" t="str">
        <f aca="false">IF(AND(Parameter!$B$19="Ja",E616&lt;&gt;"",ISNUMBER(MATCH(E616,Parameter!$I$35:$I$52,0))),VLOOKUP(E616,Parameter!$I$35:$J$52,2,0),IFERROR(VLOOKUP(D616,Parameter!$A$35:$C$64,2,0),"Nein"))</f>
        <v>2+3</v>
      </c>
      <c r="CE616" s="64" t="n">
        <f aca="false">IF(CA616=0,0,IF(N(S616)&gt;0,S616,IFERROR(VLOOKUP(D616,Parameter!$A$35:$C$64,3,0)+0,0)))</f>
        <v>0</v>
      </c>
      <c r="CF616" s="60" t="n">
        <f aca="false">IF(AB616&lt;&gt;"",AB616,AA616)</f>
        <v>2</v>
      </c>
      <c r="CG616" s="60" t="str">
        <f aca="false">IF(OR(CF616=1,CF616=2,CF616=3),IF(Parameter!$E$27="Ja","LIFT",IF(CF616=1,"L1","L23")),IF(CF616="Aussen","Aussen","-"))</f>
        <v>LIFT</v>
      </c>
      <c r="CH616" s="71" t="n">
        <f aca="false">IF(N(AC616)&gt;0,AC616,0)</f>
        <v>0</v>
      </c>
      <c r="CI616" s="65" t="n">
        <f aca="false">IF(ISNUMBER(AF616),1,0)</f>
        <v>0</v>
      </c>
      <c r="CJ616" s="62" t="n">
        <f aca="false">N(AF616)</f>
        <v>0</v>
      </c>
      <c r="CK616" s="62" t="n">
        <f aca="false">N(M616)+N(N616)</f>
        <v>52</v>
      </c>
      <c r="CL616" s="62" t="n">
        <f aca="false">N(M616)</f>
        <v>2</v>
      </c>
      <c r="CM616" s="62" t="n">
        <f aca="false">N(N616)</f>
        <v>50</v>
      </c>
      <c r="CN616" s="62" t="n">
        <f aca="false">ROUNDUP(H616/BZ616,0)</f>
        <v>4</v>
      </c>
      <c r="CO616" s="62" t="n">
        <f aca="false">ROUNDUP(CJ616/BZ616,0)</f>
        <v>0</v>
      </c>
      <c r="CP616" s="65" t="n">
        <f aca="false">IF(CA616=1,0,IFERROR(VLOOKUP(BY616,'Gebinde-Kategorie'!$A$5:$N$45,5,0)+0,0))</f>
        <v>20</v>
      </c>
      <c r="CQ616" s="65" t="n">
        <f aca="false">IFERROR(IF(OR(CF616=1,CF616=2,CF616=3),N(INDEX(Parameter!$I$5:$I$7,CF616)),0),0)</f>
        <v>0</v>
      </c>
      <c r="CR616" s="64" t="n">
        <f aca="false">IF(AND(Parameter!$B$21="Ja",ISNUMBER(W616),N(X616)&gt;0),IFERROR(N(INDEX(Parameter!$L$5:$L$7,W616))*INDEX(Parameter!$E$5:$E$7,W616)*X616/SUMIFS($X$7:$X$1843,$W$7:$W$1843,W616),0),0)</f>
        <v>0</v>
      </c>
      <c r="CS616" s="62" t="n">
        <f aca="false">IF(AND(OR(CG616="L1",CG616="L23",CG616="LIFT"),H616&gt;0),CC616*IF(CR616&gt;0,CR616*MAX(1,H616/X616),IF(CA616=1,CE616,IF(R616&gt;0,CN616/R616,0))/MAX(0.1,N(Parameter!$M$21))),"")</f>
        <v>156.666666666667</v>
      </c>
      <c r="CT616" s="64" t="n">
        <f aca="false">IF(CS616="","",J616/H616)</f>
        <v>0.0141426045963465</v>
      </c>
      <c r="CU616" s="62" t="n">
        <f aca="false">IF(CS616="","",H616*G616)</f>
        <v>1561.24</v>
      </c>
      <c r="CV616" s="63" t="n">
        <f aca="false">IF(CS616="","",(CL616+ROUNDUP(CL616+MAX(CM616,2*(J616/MAX(0.1,N(Einkauf!$C$6))-CL616)),0))/2)</f>
        <v>27</v>
      </c>
      <c r="CW616" s="62" t="n">
        <f aca="false">IF(CS616="","",MAX(0,H616-CV616)*G616)</f>
        <v>1548.82</v>
      </c>
      <c r="CX616" s="62" t="n">
        <f aca="false">IF(CS616="","",CS616*MAX(0,1-CV616/H616))</f>
        <v>155.420349636614</v>
      </c>
      <c r="CY616" s="64" t="n">
        <f aca="false">IF(CS616="","",PERCENTRANK($CS$7:$CS$1843,CS616)+PERCENTRANK($CU$7:$CU$1843,CU616)+1-PERCENTRANK($CT$7:$CT$1843,CT616))</f>
        <v>2.324</v>
      </c>
      <c r="CZ616" s="72" t="n">
        <f aca="false">IF(CS616="","",CHOOSE(MATCH(Einkauf!$C$5,Parameter!$G$23:$G$27,0),CY616,CS616,CU616,-CT616,CW616)+ROW()/1000000000)</f>
        <v>2.324000616</v>
      </c>
    </row>
    <row r="617" customFormat="false" ht="15" hidden="false" customHeight="false" outlineLevel="0" collapsed="false">
      <c r="A617" s="60" t="s">
        <v>1313</v>
      </c>
      <c r="B617" s="60" t="s">
        <v>1304</v>
      </c>
      <c r="C617" s="60" t="s">
        <v>206</v>
      </c>
      <c r="D617" s="60" t="s">
        <v>226</v>
      </c>
      <c r="E617" s="60" t="s">
        <v>227</v>
      </c>
      <c r="F617" s="60" t="s">
        <v>260</v>
      </c>
      <c r="G617" s="61" t="n">
        <v>0.05</v>
      </c>
      <c r="H617" s="62" t="n">
        <f aca="false">MAX(0,IF(AND(Parameter!$B$21="Ja",ISNUMBER(Y617)),Y617,IF(Parameter!$B$20="Jahresanfang 2025 + Export",BS617+BR617,BR617)))</f>
        <v>188</v>
      </c>
      <c r="I617" s="62" t="n">
        <f aca="false">H617*G617</f>
        <v>9.4</v>
      </c>
      <c r="J617" s="62" t="n">
        <f aca="false">BU617*Parameter!$B$18</f>
        <v>38</v>
      </c>
      <c r="K617" s="63" t="n">
        <v>145.5</v>
      </c>
      <c r="L617" s="64" t="n">
        <v>0.261168384879725</v>
      </c>
      <c r="M617" s="62" t="n">
        <v>0</v>
      </c>
      <c r="N617" s="62" t="n">
        <v>40</v>
      </c>
      <c r="O617" s="65" t="n">
        <v>14</v>
      </c>
      <c r="P617" s="60" t="s">
        <v>443</v>
      </c>
      <c r="Q617" s="62" t="n">
        <v>190</v>
      </c>
      <c r="R617" s="65" t="n">
        <f aca="false">IF(CA617=1,0,IFERROR(VLOOKUP(BY617,'Gebinde-Kategorie'!$A$5:$N$45,13,0)+0,0))</f>
        <v>280</v>
      </c>
      <c r="S617" s="66"/>
      <c r="T617" s="67"/>
      <c r="U617" s="67"/>
      <c r="V617" s="67"/>
      <c r="W617" s="60"/>
      <c r="X617" s="62"/>
      <c r="Y617" s="62"/>
      <c r="Z617" s="60" t="n">
        <v>3</v>
      </c>
      <c r="AA617" s="60" t="n">
        <f aca="false">IF(A617="","",IF(AND(Parameter!$B$21="Ja",ISNUMBER(W617)),W617,IF(AND(Parameter!$E$27="Ja",ISNUMBER(Z617),CD617&lt;&gt;"Nein"),Z617,IF(CD617="2+3",IF(ISNUMBER(SEARCH("grosser Artikel",BV617)),2,IFERROR(VLOOKUP(BY617,Parameter!$F$35:$G$64,2,0),2)),IF(OR(CD617="Nein",CD617=""),"-",CD617)))))</f>
        <v>3</v>
      </c>
      <c r="AB617" s="67"/>
      <c r="AC617" s="68"/>
      <c r="AD617" s="62" t="n">
        <f aca="false">AW617</f>
        <v>40</v>
      </c>
      <c r="AE617" s="62" t="n">
        <f aca="false">MAX(AW617,H617)</f>
        <v>188</v>
      </c>
      <c r="AF617" s="69"/>
      <c r="AG617" s="62" t="n">
        <f aca="false">IF(LEFT(Cockpit!$C$5,1)="A",H617,IF(Parameter!$E$30="MAX-Bestand",IF(CI617=1,CJ617,IF(LEFT(Cockpit!$C$5,1)="B",AM617,MAX(AM617,H617))),ROUNDUP(AK617,0)))</f>
        <v>188</v>
      </c>
      <c r="AH617" s="62" t="n">
        <f aca="false">IF(CA617=1,0,ROUNDUP(AG617/BZ617,0))</f>
        <v>1</v>
      </c>
      <c r="AI617" s="64" t="n">
        <f aca="false">IF(CR617&gt;0,CR617*MAX(1,AG617/X617),IF(CA617=1,IF(AG617&lt;=0,0,CE617*MAX(1,IF(H617&gt;0,AG617/H617,1))),IF(R617&gt;0,AH617/R617,0))/MAX(0.1,N(Parameter!$M$21)))</f>
        <v>0.00357142857142857</v>
      </c>
      <c r="AJ617" s="62" t="n">
        <f aca="false">AI617*CC617</f>
        <v>0.553571428571429</v>
      </c>
      <c r="AK617" s="63" t="n">
        <f aca="false">IF(LEFT(Cockpit!$C$5,1)="A",H617,IF(CI617=1,(CL617+CJ617)/2,IF(LEFT(Cockpit!$C$5,1)="B",(CL617+AM617)/2,MAX((CL617+AM617)/2,H617))))</f>
        <v>188</v>
      </c>
      <c r="AL617" s="62" t="n">
        <f aca="false">AK617*G617</f>
        <v>9.4</v>
      </c>
      <c r="AM617" s="62" t="n">
        <f aca="false">ROUNDUP(CL617+MAX(CM617,2*(J617/IF(CH617&gt;0,CH617,MAX(0.1,N(Cockpit!$C$6)))-CL617)),0)</f>
        <v>40</v>
      </c>
      <c r="AN617" s="63" t="n">
        <f aca="false">IF(AJ617&gt;0,J617/AJ617,-1)</f>
        <v>68.6451612903226</v>
      </c>
      <c r="AO617" s="63" t="n">
        <f aca="false">IF(AND(OR(CG617="L1",CG617="L23",CG617="LIFT"),AJ617&gt;0),SUMIFS($AJ$7:$AJ$1843,$CG$7:$CG$1843,CG617,$AN$7:$AN$1843,"&gt;"&amp;AN617)+SUMIFS($AJ$7:$AJ$1843,$CG$7:$CG$1843,CG617,$AN$7:$AN$1843,AN617,$BX$7:$BX$1843,"&lt;="&amp;BX617),"")</f>
        <v>915.326923076923</v>
      </c>
      <c r="AP617" s="70" t="n">
        <f aca="false">IF(AO617="",0,MAX(0,MIN(1,(IF(CG617="L1",Parameter!$H$5,IF(CG617="L23",Parameter!$H$6+Parameter!$H$7,Parameter!$H$5+Parameter!$H$6+Parameter!$H$7))-(AO617-AJ617))/AJ617)))</f>
        <v>1</v>
      </c>
      <c r="AQ617" s="62" t="n">
        <f aca="false">IF(LEFT(Cockpit!$I$5,1)="A",H617,IF(Parameter!$E$30="MAX-Bestand",IF(CI617=1,CJ617,IF(LEFT(Cockpit!$I$5,1)="B",AW617,MAX(AW617,H617))),ROUNDUP(AU617,0)))</f>
        <v>188</v>
      </c>
      <c r="AR617" s="62" t="n">
        <f aca="false">IF(CA617=1,0,ROUNDUP(AQ617/BZ617,0))</f>
        <v>1</v>
      </c>
      <c r="AS617" s="64" t="n">
        <f aca="false">IF(CR617&gt;0,CR617*MAX(1,AQ617/X617),IF(CA617=1,IF(AQ617&lt;=0,0,CE617*MAX(1,IF(H617&gt;0,AQ617/H617,1))),IF(R617&gt;0,AR617/R617,0))/MAX(0.1,N(Parameter!$M$21)))</f>
        <v>0.00357142857142857</v>
      </c>
      <c r="AT617" s="62" t="n">
        <f aca="false">AS617*CC617</f>
        <v>0.553571428571429</v>
      </c>
      <c r="AU617" s="63" t="n">
        <f aca="false">IF(LEFT(Cockpit!$I$5,1)="A",H617,IF(CI617=1,(CL617+CJ617)/2,IF(LEFT(Cockpit!$I$5,1)="B",(CL617+AW617)/2,MAX((CL617+AW617)/2,H617))))</f>
        <v>188</v>
      </c>
      <c r="AV617" s="62" t="n">
        <f aca="false">AU617*G617</f>
        <v>9.4</v>
      </c>
      <c r="AW617" s="62" t="n">
        <f aca="false">ROUNDUP(CL617+MAX(CM617,2*(J617/IF(CH617&gt;0,CH617,MAX(0.1,N(Cockpit!$I$6)))-CL617)),0)</f>
        <v>40</v>
      </c>
      <c r="AX617" s="63" t="n">
        <f aca="false">IF(AT617&gt;0,J617/AT617,-1)</f>
        <v>68.6451612903226</v>
      </c>
      <c r="AY617" s="63" t="n">
        <f aca="false">IF(AND(OR(CG617="L1",CG617="L23",CG617="LIFT"),AT617&gt;0),SUMIFS($AT$7:$AT$1843,$CG$7:$CG$1843,CG617,$AX$7:$AX$1843,"&gt;"&amp;AX617)+SUMIFS($AT$7:$AT$1843,$CG$7:$CG$1843,CG617,$AX$7:$AX$1843,AX617,$BX$7:$BX$1843,"&lt;="&amp;BX617),"")</f>
        <v>1127.13186813187</v>
      </c>
      <c r="AZ617" s="70" t="n">
        <f aca="false">IF(AY617="",0,MAX(0,MIN(1,(IF(CG617="L1",Parameter!$H$5,IF(CG617="L23",Parameter!$H$6+Parameter!$H$7,Parameter!$H$5+Parameter!$H$6+Parameter!$H$7))-(AY617-AT617))/AT617)))</f>
        <v>1</v>
      </c>
      <c r="BA617" s="62" t="n">
        <f aca="false">IF(LEFT(Cockpit!$O$5,1)="A",H617,IF(Parameter!$E$30="MAX-Bestand",IF(CI617=1,CJ617,IF(LEFT(Cockpit!$O$5,1)="B",BG617,MAX(BG617,H617))),ROUNDUP(BE617,0)))</f>
        <v>20</v>
      </c>
      <c r="BB617" s="62" t="n">
        <f aca="false">IF(CA617=1,0,ROUNDUP(BA617/BZ617,0))</f>
        <v>1</v>
      </c>
      <c r="BC617" s="64" t="n">
        <f aca="false">IF(CR617&gt;0,CR617*MAX(1,BA617/X617),IF(CA617=1,IF(BA617&lt;=0,0,CE617*MAX(1,IF(H617&gt;0,BA617/H617,1))),IF(R617&gt;0,BB617/R617,0))/MAX(0.1,N(Parameter!$M$21)))</f>
        <v>0.00357142857142857</v>
      </c>
      <c r="BD617" s="62" t="n">
        <f aca="false">BC617*CC617</f>
        <v>0.553571428571429</v>
      </c>
      <c r="BE617" s="63" t="n">
        <f aca="false">IF(LEFT(Cockpit!$O$5,1)="A",H617,IF(CI617=1,(CL617+CJ617)/2,IF(LEFT(Cockpit!$O$5,1)="B",(CL617+BG617)/2,MAX((CL617+BG617)/2,H617))))</f>
        <v>20</v>
      </c>
      <c r="BF617" s="62" t="n">
        <f aca="false">BE617*G617</f>
        <v>1</v>
      </c>
      <c r="BG617" s="62" t="n">
        <f aca="false">ROUNDUP(CL617+MAX(CM617,2*(J617/IF(CH617&gt;0,CH617,MAX(0.1,N(Cockpit!$O$6)))-CL617)),0)</f>
        <v>40</v>
      </c>
      <c r="BH617" s="63" t="n">
        <f aca="false">IF(BD617&gt;0,J617/BD617,-1)</f>
        <v>68.6451612903226</v>
      </c>
      <c r="BI617" s="63" t="n">
        <f aca="false">IF(AND(OR(CG617="L1",CG617="L23",CG617="LIFT"),BD617&gt;0),SUMIFS($BD$7:$BD$1843,$CG$7:$CG$1843,CG617,$BH$7:$BH$1843,"&gt;"&amp;BH617)+SUMIFS($BD$7:$BD$1843,$CG$7:$CG$1843,CG617,$BH$7:$BH$1843,BH617,$BX$7:$BX$1843,"&lt;="&amp;BX617),"")</f>
        <v>1030.96245421245</v>
      </c>
      <c r="BJ617" s="70" t="n">
        <f aca="false">IF(BI617="",0,MAX(0,MIN(1,(IF(CG617="L1",Parameter!$H$5,IF(CG617="L23",Parameter!$H$6+Parameter!$H$7,Parameter!$H$5+Parameter!$H$6+Parameter!$H$7))-(BI617-BD617))/BD617)))</f>
        <v>1</v>
      </c>
      <c r="BK617" s="60" t="str">
        <f aca="false">IF(AJ617&lt;=0,"",IF(CG617="Aussen","Aussenlager",IF(CG617="-","Nicht im Lift",IF(AP617&gt;=1,"Lift",IF(AP617&lt;=0,"Aussenlager","teilweise")))))</f>
        <v>Lift</v>
      </c>
      <c r="BL617" s="60" t="str">
        <f aca="false">IF(AT617&lt;=0,"",IF(CG617="Aussen","Aussenlager",IF(CG617="-","Nicht im Lift",IF(AZ617&gt;=1,"Lift",IF(AZ617&lt;=0,"Aussenlager","teilweise")))))</f>
        <v>Lift</v>
      </c>
      <c r="BM617" s="60" t="str">
        <f aca="false">IF(BD617&lt;=0,"",IF(CG617="Aussen","Aussenlager",IF(CG617="-","Nicht im Lift",IF(BJ617&gt;=1,"Lift",IF(BJ617&lt;=0,"Aussenlager","teilweise")))))</f>
        <v>Lift</v>
      </c>
      <c r="BN617" s="60" t="str">
        <f aca="false">IF(A617="","",IF(BW617=1,"Neu; ","")&amp;IF(AND(BW617=0,BR617&lt;0),"negativer Bestand (Export "&amp;BR617&amp;"); ","")&amp;IF(J617&lt;=0,"Kein Verbrauch; ","")&amp;IF(CR617&gt;0,"Lift "&amp;W617&amp;" lt. Liftbericht (Fach "&amp;X617&amp;" Stk); ",IF(CB617=1,"Gebinde geschätzt ("&amp;T617&amp;"); ",IF(CA617=1,"Lose – Tablare geschätzt; ","")))&amp;IF(H617&gt;AW617,"Überbestand "&amp;ROUND(H617-AW617,0)&amp;" Stk / CHF "&amp;ROUND((H617-AW617)*G617,0)&amp;"; ","")&amp;IF(AND(CI617=1,CJ617&lt;CK617),"MAX &lt; MB+LG; ","")&amp;IF(AND(CQ617&gt;0,CP617*10&gt;CQ617),"zu hoch für Tablar; ","")&amp;IF(AND(BW617=0,OR(CI617=1,AB617&lt;&gt;"",U617&lt;&gt;"",V617&lt;&gt;"",AC617&lt;&gt;"")),"manuell übersteuert; ","")&amp;IF(AND(CA617=0,R617=0),"Gebinde unbekannt / Stellmass fehlt; ","")&amp;IF(AND(CA617=0,N(V617)&lt;=0,N(Q617)&lt;=0),"Menge pro Gebinde fehlt (Ist = 1 Gebinde); ","")&amp;BV617)</f>
        <v>Überbestand 148 Stk / CHF 7; </v>
      </c>
      <c r="BO617" s="60"/>
      <c r="BP617" s="60"/>
      <c r="BQ617" s="67"/>
      <c r="BR617" s="62" t="n">
        <v>91</v>
      </c>
      <c r="BS617" s="62" t="n">
        <v>97</v>
      </c>
      <c r="BT617" s="61" t="n">
        <v>4.55</v>
      </c>
      <c r="BU617" s="62" t="n">
        <v>38</v>
      </c>
      <c r="BV617" s="60"/>
      <c r="BW617" s="65" t="n">
        <v>0</v>
      </c>
      <c r="BX617" s="65" t="n">
        <v>617</v>
      </c>
      <c r="BY617" s="60" t="str">
        <f aca="false">IF(U617&lt;&gt;"",UPPER(TRIM(U617)),IF(CB617=1,UPPER(VLOOKUP(T617,Parameter!$I$27:$K$29,2,0)),IF(P617="","LOSE",P617)))</f>
        <v>S21</v>
      </c>
      <c r="BZ617" s="62" t="n">
        <f aca="false">IF(BY617="LOSE",1,IF(N(V617)&gt;0,V617,IF(CB617=1,MAX(1,N(VLOOKUP(T617,Parameter!$I$27:$K$29,3,0)),H617,N(N617)),IF(N(Q617)&gt;0,Q617,MAX(1,H617)))))</f>
        <v>190</v>
      </c>
      <c r="CA617" s="65" t="n">
        <f aca="false">IF(BY617="LOSE",1,0)</f>
        <v>0</v>
      </c>
      <c r="CB617" s="65" t="n">
        <f aca="false">IF(AND(U617="",OR(P617="",P617="LOSE"),T617&lt;&gt;"",N(S617)&lt;=0,ISNUMBER(MATCH(T617,Parameter!$I$27:$I$29,0))),1,0)</f>
        <v>0</v>
      </c>
      <c r="CC617" s="65" t="n">
        <f aca="false">IF(CR617&gt;0,INDEX(Parameter!$H$5:$H$7,W617)/INDEX(Parameter!$E$5:$E$7,W617),IF(AND(CA617=0,N(IFERROR(VLOOKUP(BY617,'Gebinde-Kategorie'!$A$5:$N$45,14,0),0))&gt;0),VLOOKUP(BY617,'Gebinde-Kategorie'!$A$5:$N$45,14,0)*10+Parameter!$M$23,Parameter!$M$24))</f>
        <v>155</v>
      </c>
      <c r="CD617" s="60" t="str">
        <f aca="false">IF(AND(Parameter!$B$19="Ja",E617&lt;&gt;"",ISNUMBER(MATCH(E617,Parameter!$I$35:$I$52,0))),VLOOKUP(E617,Parameter!$I$35:$J$52,2,0),IFERROR(VLOOKUP(D617,Parameter!$A$35:$C$64,2,0),"Nein"))</f>
        <v>2+3</v>
      </c>
      <c r="CE617" s="64" t="n">
        <f aca="false">IF(CA617=0,0,IF(N(S617)&gt;0,S617,IFERROR(VLOOKUP(D617,Parameter!$A$35:$C$64,3,0)+0,0)))</f>
        <v>0</v>
      </c>
      <c r="CF617" s="60" t="n">
        <f aca="false">IF(AB617&lt;&gt;"",AB617,AA617)</f>
        <v>3</v>
      </c>
      <c r="CG617" s="60" t="str">
        <f aca="false">IF(OR(CF617=1,CF617=2,CF617=3),IF(Parameter!$E$27="Ja","LIFT",IF(CF617=1,"L1","L23")),IF(CF617="Aussen","Aussen","-"))</f>
        <v>LIFT</v>
      </c>
      <c r="CH617" s="71" t="n">
        <f aca="false">IF(N(AC617)&gt;0,AC617,0)</f>
        <v>0</v>
      </c>
      <c r="CI617" s="65" t="n">
        <f aca="false">IF(ISNUMBER(AF617),1,0)</f>
        <v>0</v>
      </c>
      <c r="CJ617" s="62" t="n">
        <f aca="false">N(AF617)</f>
        <v>0</v>
      </c>
      <c r="CK617" s="62" t="n">
        <f aca="false">N(M617)+N(N617)</f>
        <v>40</v>
      </c>
      <c r="CL617" s="62" t="n">
        <f aca="false">N(M617)</f>
        <v>0</v>
      </c>
      <c r="CM617" s="62" t="n">
        <f aca="false">N(N617)</f>
        <v>40</v>
      </c>
      <c r="CN617" s="62" t="n">
        <f aca="false">ROUNDUP(H617/BZ617,0)</f>
        <v>1</v>
      </c>
      <c r="CO617" s="62" t="n">
        <f aca="false">ROUNDUP(CJ617/BZ617,0)</f>
        <v>0</v>
      </c>
      <c r="CP617" s="65" t="n">
        <f aca="false">IF(CA617=1,0,IFERROR(VLOOKUP(BY617,'Gebinde-Kategorie'!$A$5:$N$45,5,0)+0,0))</f>
        <v>8</v>
      </c>
      <c r="CQ617" s="65" t="n">
        <f aca="false">IFERROR(IF(OR(CF617=1,CF617=2,CF617=3),N(INDEX(Parameter!$I$5:$I$7,CF617)),0),0)</f>
        <v>0</v>
      </c>
      <c r="CR617" s="64" t="n">
        <f aca="false">IF(AND(Parameter!$B$21="Ja",ISNUMBER(W617),N(X617)&gt;0),IFERROR(N(INDEX(Parameter!$L$5:$L$7,W617))*INDEX(Parameter!$E$5:$E$7,W617)*X617/SUMIFS($X$7:$X$1843,$W$7:$W$1843,W617),0),0)</f>
        <v>0</v>
      </c>
      <c r="CS617" s="62" t="n">
        <f aca="false">IF(AND(OR(CG617="L1",CG617="L23",CG617="LIFT"),H617&gt;0),CC617*IF(CR617&gt;0,CR617*MAX(1,H617/X617),IF(CA617=1,CE617,IF(R617&gt;0,CN617/R617,0))/MAX(0.1,N(Parameter!$M$21))),"")</f>
        <v>0.553571428571429</v>
      </c>
      <c r="CT617" s="64" t="n">
        <f aca="false">IF(CS617="","",J617/H617)</f>
        <v>0.202127659574468</v>
      </c>
      <c r="CU617" s="62" t="n">
        <f aca="false">IF(CS617="","",H617*G617)</f>
        <v>9.4</v>
      </c>
      <c r="CV617" s="63" t="n">
        <f aca="false">IF(CS617="","",(CL617+ROUNDUP(CL617+MAX(CM617,2*(J617/MAX(0.1,N(Einkauf!$C$6))-CL617)),0))/2)</f>
        <v>20</v>
      </c>
      <c r="CW617" s="62" t="n">
        <f aca="false">IF(CS617="","",MAX(0,H617-CV617)*G617)</f>
        <v>8.4</v>
      </c>
      <c r="CX617" s="62" t="n">
        <f aca="false">IF(CS617="","",CS617*MAX(0,1-CV617/H617))</f>
        <v>0.49468085106383</v>
      </c>
      <c r="CY617" s="64" t="n">
        <f aca="false">IF(CS617="","",PERCENTRANK($CS$7:$CS$1843,CS617)+PERCENTRANK($CU$7:$CU$1843,CU617)+1-PERCENTRANK($CT$7:$CT$1843,CT617))</f>
        <v>0.5647</v>
      </c>
      <c r="CZ617" s="72" t="n">
        <f aca="false">IF(CS617="","",CHOOSE(MATCH(Einkauf!$C$5,Parameter!$G$23:$G$27,0),CY617,CS617,CU617,-CT617,CW617)+ROW()/1000000000)</f>
        <v>0.564700617</v>
      </c>
    </row>
    <row r="618" customFormat="false" ht="15" hidden="false" customHeight="false" outlineLevel="0" collapsed="false">
      <c r="A618" s="60" t="s">
        <v>1314</v>
      </c>
      <c r="B618" s="60" t="s">
        <v>1315</v>
      </c>
      <c r="C618" s="60" t="s">
        <v>206</v>
      </c>
      <c r="D618" s="60" t="s">
        <v>215</v>
      </c>
      <c r="E618" s="60"/>
      <c r="F618" s="60" t="s">
        <v>260</v>
      </c>
      <c r="G618" s="61" t="n">
        <v>0.05</v>
      </c>
      <c r="H618" s="62" t="n">
        <f aca="false">MAX(0,IF(AND(Parameter!$B$21="Ja",ISNUMBER(Y618)),Y618,IF(Parameter!$B$20="Jahresanfang 2025 + Export",BS618+BR618,BR618)))</f>
        <v>93</v>
      </c>
      <c r="I618" s="62" t="n">
        <f aca="false">H618*G618</f>
        <v>4.65</v>
      </c>
      <c r="J618" s="62" t="n">
        <f aca="false">BU618*Parameter!$B$18</f>
        <v>0</v>
      </c>
      <c r="K618" s="63" t="n">
        <v>45.5</v>
      </c>
      <c r="L618" s="64" t="n">
        <v>0</v>
      </c>
      <c r="M618" s="62" t="n">
        <v>4</v>
      </c>
      <c r="N618" s="62" t="n">
        <v>125</v>
      </c>
      <c r="O618" s="65" t="n">
        <v>14</v>
      </c>
      <c r="P618" s="60" t="s">
        <v>210</v>
      </c>
      <c r="Q618" s="62"/>
      <c r="R618" s="65" t="n">
        <f aca="false">IF(CA618=1,0,IFERROR(VLOOKUP(BY618,'Gebinde-Kategorie'!$A$5:$N$45,13,0)+0,0))</f>
        <v>26</v>
      </c>
      <c r="S618" s="66"/>
      <c r="T618" s="67" t="s">
        <v>317</v>
      </c>
      <c r="U618" s="67"/>
      <c r="V618" s="67"/>
      <c r="W618" s="60"/>
      <c r="X618" s="62"/>
      <c r="Y618" s="62"/>
      <c r="Z618" s="60" t="n">
        <v>3</v>
      </c>
      <c r="AA618" s="60" t="n">
        <f aca="false">IF(A618="","",IF(AND(Parameter!$B$21="Ja",ISNUMBER(W618)),W618,IF(AND(Parameter!$E$27="Ja",ISNUMBER(Z618),CD618&lt;&gt;"Nein"),Z618,IF(CD618="2+3",IF(ISNUMBER(SEARCH("grosser Artikel",BV618)),2,IFERROR(VLOOKUP(BY618,Parameter!$F$35:$G$64,2,0),2)),IF(OR(CD618="Nein",CD618=""),"-",CD618)))))</f>
        <v>3</v>
      </c>
      <c r="AB618" s="67"/>
      <c r="AC618" s="68"/>
      <c r="AD618" s="62" t="n">
        <f aca="false">AW618</f>
        <v>129</v>
      </c>
      <c r="AE618" s="62" t="n">
        <f aca="false">MAX(AW618,H618)</f>
        <v>129</v>
      </c>
      <c r="AF618" s="69"/>
      <c r="AG618" s="62" t="n">
        <f aca="false">IF(LEFT(Cockpit!$C$5,1)="A",H618,IF(Parameter!$E$30="MAX-Bestand",IF(CI618=1,CJ618,IF(LEFT(Cockpit!$C$5,1)="B",AM618,MAX(AM618,H618))),ROUNDUP(AK618,0)))</f>
        <v>93</v>
      </c>
      <c r="AH618" s="62" t="n">
        <f aca="false">IF(CA618=1,0,ROUNDUP(AG618/BZ618,0))</f>
        <v>1</v>
      </c>
      <c r="AI618" s="64" t="n">
        <f aca="false">IF(CR618&gt;0,CR618*MAX(1,AG618/X618),IF(CA618=1,IF(AG618&lt;=0,0,CE618*MAX(1,IF(H618&gt;0,AG618/H618,1))),IF(R618&gt;0,AH618/R618,0))/MAX(0.1,N(Parameter!$M$21)))</f>
        <v>0.0384615384615385</v>
      </c>
      <c r="AJ618" s="62" t="n">
        <f aca="false">AI618*CC618</f>
        <v>5.96153846153846</v>
      </c>
      <c r="AK618" s="63" t="n">
        <f aca="false">IF(LEFT(Cockpit!$C$5,1)="A",H618,IF(CI618=1,(CL618+CJ618)/2,IF(LEFT(Cockpit!$C$5,1)="B",(CL618+AM618)/2,MAX((CL618+AM618)/2,H618))))</f>
        <v>93</v>
      </c>
      <c r="AL618" s="62" t="n">
        <f aca="false">AK618*G618</f>
        <v>4.65</v>
      </c>
      <c r="AM618" s="62" t="n">
        <f aca="false">ROUNDUP(CL618+MAX(CM618,2*(J618/IF(CH618&gt;0,CH618,MAX(0.1,N(Cockpit!$C$6)))-CL618)),0)</f>
        <v>129</v>
      </c>
      <c r="AN618" s="63" t="n">
        <f aca="false">IF(AJ618&gt;0,J618/AJ618,-1)</f>
        <v>0</v>
      </c>
      <c r="AO618" s="63" t="n">
        <f aca="false">IF(AND(OR(CG618="L1",CG618="L23",CG618="LIFT"),AJ618&gt;0),SUMIFS($AJ$7:$AJ$1843,$CG$7:$CG$1843,CG618,$AN$7:$AN$1843,"&gt;"&amp;AN618)+SUMIFS($AJ$7:$AJ$1843,$CG$7:$CG$1843,CG618,$AN$7:$AN$1843,AN618,$BX$7:$BX$1843,"&lt;="&amp;BX618),"")</f>
        <v>28546.5056626519</v>
      </c>
      <c r="AP618" s="70" t="n">
        <f aca="false">IF(AO618="",0,MAX(0,MIN(1,(IF(CG618="L1",Parameter!$H$5,IF(CG618="L23",Parameter!$H$6+Parameter!$H$7,Parameter!$H$5+Parameter!$H$6+Parameter!$H$7))-(AO618-AJ618))/AJ618)))</f>
        <v>1</v>
      </c>
      <c r="AQ618" s="62" t="n">
        <f aca="false">IF(LEFT(Cockpit!$I$5,1)="A",H618,IF(Parameter!$E$30="MAX-Bestand",IF(CI618=1,CJ618,IF(LEFT(Cockpit!$I$5,1)="B",AW618,MAX(AW618,H618))),ROUNDUP(AU618,0)))</f>
        <v>93</v>
      </c>
      <c r="AR618" s="62" t="n">
        <f aca="false">IF(CA618=1,0,ROUNDUP(AQ618/BZ618,0))</f>
        <v>1</v>
      </c>
      <c r="AS618" s="64" t="n">
        <f aca="false">IF(CR618&gt;0,CR618*MAX(1,AQ618/X618),IF(CA618=1,IF(AQ618&lt;=0,0,CE618*MAX(1,IF(H618&gt;0,AQ618/H618,1))),IF(R618&gt;0,AR618/R618,0))/MAX(0.1,N(Parameter!$M$21)))</f>
        <v>0.0384615384615385</v>
      </c>
      <c r="AT618" s="62" t="n">
        <f aca="false">AS618*CC618</f>
        <v>5.96153846153846</v>
      </c>
      <c r="AU618" s="63" t="n">
        <f aca="false">IF(LEFT(Cockpit!$I$5,1)="A",H618,IF(CI618=1,(CL618+CJ618)/2,IF(LEFT(Cockpit!$I$5,1)="B",(CL618+AW618)/2,MAX((CL618+AW618)/2,H618))))</f>
        <v>93</v>
      </c>
      <c r="AV618" s="62" t="n">
        <f aca="false">AU618*G618</f>
        <v>4.65</v>
      </c>
      <c r="AW618" s="62" t="n">
        <f aca="false">ROUNDUP(CL618+MAX(CM618,2*(J618/IF(CH618&gt;0,CH618,MAX(0.1,N(Cockpit!$I$6)))-CL618)),0)</f>
        <v>129</v>
      </c>
      <c r="AX618" s="63" t="n">
        <f aca="false">IF(AT618&gt;0,J618/AT618,-1)</f>
        <v>0</v>
      </c>
      <c r="AY618" s="63" t="n">
        <f aca="false">IF(AND(OR(CG618="L1",CG618="L23",CG618="LIFT"),AT618&gt;0),SUMIFS($AT$7:$AT$1843,$CG$7:$CG$1843,CG618,$AX$7:$AX$1843,"&gt;"&amp;AX618)+SUMIFS($AT$7:$AT$1843,$CG$7:$CG$1843,CG618,$AX$7:$AX$1843,AX618,$BX$7:$BX$1843,"&lt;="&amp;BX618),"")</f>
        <v>33899.6543040293</v>
      </c>
      <c r="AZ618" s="70" t="n">
        <f aca="false">IF(AY618="",0,MAX(0,MIN(1,(IF(CG618="L1",Parameter!$H$5,IF(CG618="L23",Parameter!$H$6+Parameter!$H$7,Parameter!$H$5+Parameter!$H$6+Parameter!$H$7))-(AY618-AT618))/AT618)))</f>
        <v>1</v>
      </c>
      <c r="BA618" s="62" t="n">
        <f aca="false">IF(LEFT(Cockpit!$O$5,1)="A",H618,IF(Parameter!$E$30="MAX-Bestand",IF(CI618=1,CJ618,IF(LEFT(Cockpit!$O$5,1)="B",BG618,MAX(BG618,H618))),ROUNDUP(BE618,0)))</f>
        <v>67</v>
      </c>
      <c r="BB618" s="62" t="n">
        <f aca="false">IF(CA618=1,0,ROUNDUP(BA618/BZ618,0))</f>
        <v>1</v>
      </c>
      <c r="BC618" s="64" t="n">
        <f aca="false">IF(CR618&gt;0,CR618*MAX(1,BA618/X618),IF(CA618=1,IF(BA618&lt;=0,0,CE618*MAX(1,IF(H618&gt;0,BA618/H618,1))),IF(R618&gt;0,BB618/R618,0))/MAX(0.1,N(Parameter!$M$21)))</f>
        <v>0.0384615384615385</v>
      </c>
      <c r="BD618" s="62" t="n">
        <f aca="false">BC618*CC618</f>
        <v>5.96153846153846</v>
      </c>
      <c r="BE618" s="63" t="n">
        <f aca="false">IF(LEFT(Cockpit!$O$5,1)="A",H618,IF(CI618=1,(CL618+CJ618)/2,IF(LEFT(Cockpit!$O$5,1)="B",(CL618+BG618)/2,MAX((CL618+BG618)/2,H618))))</f>
        <v>66.5</v>
      </c>
      <c r="BF618" s="62" t="n">
        <f aca="false">BE618*G618</f>
        <v>3.325</v>
      </c>
      <c r="BG618" s="62" t="n">
        <f aca="false">ROUNDUP(CL618+MAX(CM618,2*(J618/IF(CH618&gt;0,CH618,MAX(0.1,N(Cockpit!$O$6)))-CL618)),0)</f>
        <v>129</v>
      </c>
      <c r="BH618" s="63" t="n">
        <f aca="false">IF(BD618&gt;0,J618/BD618,-1)</f>
        <v>0</v>
      </c>
      <c r="BI618" s="63" t="n">
        <f aca="false">IF(AND(OR(CG618="L1",CG618="L23",CG618="LIFT"),BD618&gt;0),SUMIFS($BD$7:$BD$1843,$CG$7:$CG$1843,CG618,$BH$7:$BH$1843,"&gt;"&amp;BH618)+SUMIFS($BD$7:$BD$1843,$CG$7:$CG$1843,CG618,$BH$7:$BH$1843,BH618,$BX$7:$BX$1843,"&lt;="&amp;BX618),"")</f>
        <v>27971.9591326752</v>
      </c>
      <c r="BJ618" s="70" t="n">
        <f aca="false">IF(BI618="",0,MAX(0,MIN(1,(IF(CG618="L1",Parameter!$H$5,IF(CG618="L23",Parameter!$H$6+Parameter!$H$7,Parameter!$H$5+Parameter!$H$6+Parameter!$H$7))-(BI618-BD618))/BD618)))</f>
        <v>1</v>
      </c>
      <c r="BK618" s="60" t="str">
        <f aca="false">IF(AJ618&lt;=0,"",IF(CG618="Aussen","Aussenlager",IF(CG618="-","Nicht im Lift",IF(AP618&gt;=1,"Lift",IF(AP618&lt;=0,"Aussenlager","teilweise")))))</f>
        <v>Lift</v>
      </c>
      <c r="BL618" s="60" t="str">
        <f aca="false">IF(AT618&lt;=0,"",IF(CG618="Aussen","Aussenlager",IF(CG618="-","Nicht im Lift",IF(AZ618&gt;=1,"Lift",IF(AZ618&lt;=0,"Aussenlager","teilweise")))))</f>
        <v>Lift</v>
      </c>
      <c r="BM618" s="60" t="str">
        <f aca="false">IF(BD618&lt;=0,"",IF(CG618="Aussen","Aussenlager",IF(CG618="-","Nicht im Lift",IF(BJ618&gt;=1,"Lift",IF(BJ618&lt;=0,"Aussenlager","teilweise")))))</f>
        <v>Lift</v>
      </c>
      <c r="BN618" s="60" t="str">
        <f aca="false">IF(A618="","",IF(BW618=1,"Neu; ","")&amp;IF(AND(BW618=0,BR618&lt;0),"negativer Bestand (Export "&amp;BR618&amp;"); ","")&amp;IF(J618&lt;=0,"Kein Verbrauch; ","")&amp;IF(CR618&gt;0,"Lift "&amp;W618&amp;" lt. Liftbericht (Fach "&amp;X618&amp;" Stk); ",IF(CB618=1,"Gebinde geschätzt ("&amp;T618&amp;"); ",IF(CA618=1,"Lose – Tablare geschätzt; ","")))&amp;IF(H618&gt;AW618,"Überbestand "&amp;ROUND(H618-AW618,0)&amp;" Stk / CHF "&amp;ROUND((H618-AW618)*G618,0)&amp;"; ","")&amp;IF(AND(CI618=1,CJ618&lt;CK618),"MAX &lt; MB+LG; ","")&amp;IF(AND(CQ618&gt;0,CP618*10&gt;CQ618),"zu hoch für Tablar; ","")&amp;IF(AND(BW618=0,OR(CI618=1,AB618&lt;&gt;"",U618&lt;&gt;"",V618&lt;&gt;"",AC618&lt;&gt;"")),"manuell übersteuert; ","")&amp;IF(AND(CA618=0,R618=0),"Gebinde unbekannt / Stellmass fehlt; ","")&amp;IF(AND(CA618=0,N(V618)&lt;=0,N(Q618)&lt;=0),"Menge pro Gebinde fehlt (Ist = 1 Gebinde); ","")&amp;BV618)</f>
        <v>Kein Verbrauch; Gebinde geschätzt (Klein); Menge pro Gebinde fehlt (Ist = 1 Gebinde); </v>
      </c>
      <c r="BO618" s="60"/>
      <c r="BP618" s="60"/>
      <c r="BQ618" s="67"/>
      <c r="BR618" s="62" t="n">
        <v>88</v>
      </c>
      <c r="BS618" s="62" t="n">
        <v>5</v>
      </c>
      <c r="BT618" s="61" t="n">
        <v>4.4</v>
      </c>
      <c r="BU618" s="62" t="n">
        <v>0</v>
      </c>
      <c r="BV618" s="60"/>
      <c r="BW618" s="65" t="n">
        <v>0</v>
      </c>
      <c r="BX618" s="65" t="n">
        <v>618</v>
      </c>
      <c r="BY618" s="60" t="str">
        <f aca="false">IF(U618&lt;&gt;"",UPPER(TRIM(U618)),IF(CB618=1,UPPER(VLOOKUP(T618,Parameter!$I$27:$K$29,2,0)),IF(P618="","LOSE",P618)))</f>
        <v>S51</v>
      </c>
      <c r="BZ618" s="62" t="n">
        <f aca="false">IF(BY618="LOSE",1,IF(N(V618)&gt;0,V618,IF(CB618=1,MAX(1,N(VLOOKUP(T618,Parameter!$I$27:$K$29,3,0)),H618,N(N618)),IF(N(Q618)&gt;0,Q618,MAX(1,H618)))))</f>
        <v>125</v>
      </c>
      <c r="CA618" s="65" t="n">
        <f aca="false">IF(BY618="LOSE",1,0)</f>
        <v>0</v>
      </c>
      <c r="CB618" s="65" t="n">
        <f aca="false">IF(AND(U618="",OR(P618="",P618="LOSE"),T618&lt;&gt;"",N(S618)&lt;=0,ISNUMBER(MATCH(T618,Parameter!$I$27:$I$29,0))),1,0)</f>
        <v>1</v>
      </c>
      <c r="CC618" s="65" t="n">
        <f aca="false">IF(CR618&gt;0,INDEX(Parameter!$H$5:$H$7,W618)/INDEX(Parameter!$E$5:$E$7,W618),IF(AND(CA618=0,N(IFERROR(VLOOKUP(BY618,'Gebinde-Kategorie'!$A$5:$N$45,14,0),0))&gt;0),VLOOKUP(BY618,'Gebinde-Kategorie'!$A$5:$N$45,14,0)*10+Parameter!$M$23,Parameter!$M$24))</f>
        <v>155</v>
      </c>
      <c r="CD618" s="60" t="str">
        <f aca="false">IF(AND(Parameter!$B$19="Ja",E618&lt;&gt;"",ISNUMBER(MATCH(E618,Parameter!$I$35:$I$52,0))),VLOOKUP(E618,Parameter!$I$35:$J$52,2,0),IFERROR(VLOOKUP(D618,Parameter!$A$35:$C$64,2,0),"Nein"))</f>
        <v>2+3</v>
      </c>
      <c r="CE618" s="64" t="n">
        <f aca="false">IF(CA618=0,0,IF(N(S618)&gt;0,S618,IFERROR(VLOOKUP(D618,Parameter!$A$35:$C$64,3,0)+0,0)))</f>
        <v>0</v>
      </c>
      <c r="CF618" s="60" t="n">
        <f aca="false">IF(AB618&lt;&gt;"",AB618,AA618)</f>
        <v>3</v>
      </c>
      <c r="CG618" s="60" t="str">
        <f aca="false">IF(OR(CF618=1,CF618=2,CF618=3),IF(Parameter!$E$27="Ja","LIFT",IF(CF618=1,"L1","L23")),IF(CF618="Aussen","Aussen","-"))</f>
        <v>LIFT</v>
      </c>
      <c r="CH618" s="71" t="n">
        <f aca="false">IF(N(AC618)&gt;0,AC618,0)</f>
        <v>0</v>
      </c>
      <c r="CI618" s="65" t="n">
        <f aca="false">IF(ISNUMBER(AF618),1,0)</f>
        <v>0</v>
      </c>
      <c r="CJ618" s="62" t="n">
        <f aca="false">N(AF618)</f>
        <v>0</v>
      </c>
      <c r="CK618" s="62" t="n">
        <f aca="false">N(M618)+N(N618)</f>
        <v>129</v>
      </c>
      <c r="CL618" s="62" t="n">
        <f aca="false">N(M618)</f>
        <v>4</v>
      </c>
      <c r="CM618" s="62" t="n">
        <f aca="false">N(N618)</f>
        <v>125</v>
      </c>
      <c r="CN618" s="62" t="n">
        <f aca="false">ROUNDUP(H618/BZ618,0)</f>
        <v>1</v>
      </c>
      <c r="CO618" s="62" t="n">
        <f aca="false">ROUNDUP(CJ618/BZ618,0)</f>
        <v>0</v>
      </c>
      <c r="CP618" s="65" t="n">
        <f aca="false">IF(CA618=1,0,IFERROR(VLOOKUP(BY618,'Gebinde-Kategorie'!$A$5:$N$45,5,0)+0,0))</f>
        <v>11</v>
      </c>
      <c r="CQ618" s="65" t="n">
        <f aca="false">IFERROR(IF(OR(CF618=1,CF618=2,CF618=3),N(INDEX(Parameter!$I$5:$I$7,CF618)),0),0)</f>
        <v>0</v>
      </c>
      <c r="CR618" s="64" t="n">
        <f aca="false">IF(AND(Parameter!$B$21="Ja",ISNUMBER(W618),N(X618)&gt;0),IFERROR(N(INDEX(Parameter!$L$5:$L$7,W618))*INDEX(Parameter!$E$5:$E$7,W618)*X618/SUMIFS($X$7:$X$1843,$W$7:$W$1843,W618),0),0)</f>
        <v>0</v>
      </c>
      <c r="CS618" s="62" t="n">
        <f aca="false">IF(AND(OR(CG618="L1",CG618="L23",CG618="LIFT"),H618&gt;0),CC618*IF(CR618&gt;0,CR618*MAX(1,H618/X618),IF(CA618=1,CE618,IF(R618&gt;0,CN618/R618,0))/MAX(0.1,N(Parameter!$M$21))),"")</f>
        <v>5.96153846153846</v>
      </c>
      <c r="CT618" s="64" t="n">
        <f aca="false">IF(CS618="","",J618/H618)</f>
        <v>0</v>
      </c>
      <c r="CU618" s="62" t="n">
        <f aca="false">IF(CS618="","",H618*G618)</f>
        <v>4.65</v>
      </c>
      <c r="CV618" s="63" t="n">
        <f aca="false">IF(CS618="","",(CL618+ROUNDUP(CL618+MAX(CM618,2*(J618/MAX(0.1,N(Einkauf!$C$6))-CL618)),0))/2)</f>
        <v>66.5</v>
      </c>
      <c r="CW618" s="62" t="n">
        <f aca="false">IF(CS618="","",MAX(0,H618-CV618)*G618)</f>
        <v>1.325</v>
      </c>
      <c r="CX618" s="62" t="n">
        <f aca="false">IF(CS618="","",CS618*MAX(0,1-CV618/H618))</f>
        <v>1.69871794871795</v>
      </c>
      <c r="CY618" s="64" t="n">
        <f aca="false">IF(CS618="","",PERCENTRANK($CS$7:$CS$1843,CS618)+PERCENTRANK($CU$7:$CU$1843,CU618)+1-PERCENTRANK($CT$7:$CT$1843,CT618))</f>
        <v>1.3793</v>
      </c>
      <c r="CZ618" s="72" t="n">
        <f aca="false">IF(CS618="","",CHOOSE(MATCH(Einkauf!$C$5,Parameter!$G$23:$G$27,0),CY618,CS618,CU618,-CT618,CW618)+ROW()/1000000000)</f>
        <v>1.379300618</v>
      </c>
    </row>
    <row r="619" customFormat="false" ht="15" hidden="false" customHeight="false" outlineLevel="0" collapsed="false">
      <c r="A619" s="60" t="s">
        <v>1316</v>
      </c>
      <c r="B619" s="60" t="s">
        <v>449</v>
      </c>
      <c r="C619" s="60" t="s">
        <v>206</v>
      </c>
      <c r="D619" s="60" t="s">
        <v>1037</v>
      </c>
      <c r="E619" s="60"/>
      <c r="F619" s="60" t="s">
        <v>260</v>
      </c>
      <c r="G619" s="61" t="n">
        <v>3.25</v>
      </c>
      <c r="H619" s="62" t="n">
        <f aca="false">MAX(0,IF(AND(Parameter!$B$21="Ja",ISNUMBER(Y619)),Y619,IF(Parameter!$B$20="Jahresanfang 2025 + Export",BS619+BR619,BR619)))</f>
        <v>1</v>
      </c>
      <c r="I619" s="62" t="n">
        <f aca="false">H619*G619</f>
        <v>3.25</v>
      </c>
      <c r="J619" s="62" t="n">
        <f aca="false">BU619*Parameter!$B$18</f>
        <v>60</v>
      </c>
      <c r="K619" s="63" t="n">
        <v>0.5</v>
      </c>
      <c r="L619" s="64" t="n">
        <v>120</v>
      </c>
      <c r="M619" s="62" t="n">
        <v>0</v>
      </c>
      <c r="N619" s="62" t="n">
        <v>100</v>
      </c>
      <c r="O619" s="65" t="n">
        <v>28</v>
      </c>
      <c r="P619" s="60" t="s">
        <v>210</v>
      </c>
      <c r="Q619" s="62"/>
      <c r="R619" s="65" t="n">
        <f aca="false">IF(CA619=1,0,IFERROR(VLOOKUP(BY619,'Gebinde-Kategorie'!$A$5:$N$45,13,0)+0,0))</f>
        <v>0</v>
      </c>
      <c r="S619" s="66"/>
      <c r="T619" s="67"/>
      <c r="U619" s="67"/>
      <c r="V619" s="67"/>
      <c r="W619" s="60"/>
      <c r="X619" s="62"/>
      <c r="Y619" s="62"/>
      <c r="Z619" s="60"/>
      <c r="AA619" s="60" t="str">
        <f aca="false">IF(A619="","",IF(AND(Parameter!$B$21="Ja",ISNUMBER(W619)),W619,IF(AND(Parameter!$E$27="Ja",ISNUMBER(Z619),CD619&lt;&gt;"Nein"),Z619,IF(CD619="2+3",IF(ISNUMBER(SEARCH("grosser Artikel",BV619)),2,IFERROR(VLOOKUP(BY619,Parameter!$F$35:$G$64,2,0),2)),IF(OR(CD619="Nein",CD619=""),"-",CD619)))))</f>
        <v>-</v>
      </c>
      <c r="AB619" s="67"/>
      <c r="AC619" s="68"/>
      <c r="AD619" s="62" t="n">
        <f aca="false">AW619</f>
        <v>100</v>
      </c>
      <c r="AE619" s="62" t="n">
        <f aca="false">MAX(AW619,H619)</f>
        <v>100</v>
      </c>
      <c r="AF619" s="69"/>
      <c r="AG619" s="62" t="n">
        <f aca="false">IF(LEFT(Cockpit!$C$5,1)="A",H619,IF(Parameter!$E$30="MAX-Bestand",IF(CI619=1,CJ619,IF(LEFT(Cockpit!$C$5,1)="B",AM619,MAX(AM619,H619))),ROUNDUP(AK619,0)))</f>
        <v>1</v>
      </c>
      <c r="AH619" s="62" t="n">
        <f aca="false">IF(CA619=1,0,ROUNDUP(AG619/BZ619,0))</f>
        <v>0</v>
      </c>
      <c r="AI619" s="64" t="n">
        <f aca="false">IF(CR619&gt;0,CR619*MAX(1,AG619/X619),IF(CA619=1,IF(AG619&lt;=0,0,CE619*MAX(1,IF(H619&gt;0,AG619/H619,1))),IF(R619&gt;0,AH619/R619,0))/MAX(0.1,N(Parameter!$M$21)))</f>
        <v>0.15</v>
      </c>
      <c r="AJ619" s="62" t="n">
        <f aca="false">AI619*CC619</f>
        <v>35.25</v>
      </c>
      <c r="AK619" s="63" t="n">
        <f aca="false">IF(LEFT(Cockpit!$C$5,1)="A",H619,IF(CI619=1,(CL619+CJ619)/2,IF(LEFT(Cockpit!$C$5,1)="B",(CL619+AM619)/2,MAX((CL619+AM619)/2,H619))))</f>
        <v>1</v>
      </c>
      <c r="AL619" s="62" t="n">
        <f aca="false">AK619*G619</f>
        <v>3.25</v>
      </c>
      <c r="AM619" s="62" t="n">
        <f aca="false">ROUNDUP(CL619+MAX(CM619,2*(J619/IF(CH619&gt;0,CH619,MAX(0.1,N(Cockpit!$C$6)))-CL619)),0)</f>
        <v>100</v>
      </c>
      <c r="AN619" s="63" t="n">
        <f aca="false">IF(AJ619&gt;0,J619/AJ619,-1)</f>
        <v>1.70212765957447</v>
      </c>
      <c r="AO619" s="63" t="str">
        <f aca="false">IF(AND(OR(CG619="L1",CG619="L23",CG619="LIFT"),AJ619&gt;0),SUMIFS($AJ$7:$AJ$1843,$CG$7:$CG$1843,CG619,$AN$7:$AN$1843,"&gt;"&amp;AN619)+SUMIFS($AJ$7:$AJ$1843,$CG$7:$CG$1843,CG619,$AN$7:$AN$1843,AN619,$BX$7:$BX$1843,"&lt;="&amp;BX619),"")</f>
        <v/>
      </c>
      <c r="AP619" s="70" t="n">
        <f aca="false">IF(AO619="",0,MAX(0,MIN(1,(IF(CG619="L1",Parameter!$H$5,IF(CG619="L23",Parameter!$H$6+Parameter!$H$7,Parameter!$H$5+Parameter!$H$6+Parameter!$H$7))-(AO619-AJ619))/AJ619)))</f>
        <v>0</v>
      </c>
      <c r="AQ619" s="62" t="n">
        <f aca="false">IF(LEFT(Cockpit!$I$5,1)="A",H619,IF(Parameter!$E$30="MAX-Bestand",IF(CI619=1,CJ619,IF(LEFT(Cockpit!$I$5,1)="B",AW619,MAX(AW619,H619))),ROUNDUP(AU619,0)))</f>
        <v>50</v>
      </c>
      <c r="AR619" s="62" t="n">
        <f aca="false">IF(CA619=1,0,ROUNDUP(AQ619/BZ619,0))</f>
        <v>0</v>
      </c>
      <c r="AS619" s="64" t="n">
        <f aca="false">IF(CR619&gt;0,CR619*MAX(1,AQ619/X619),IF(CA619=1,IF(AQ619&lt;=0,0,CE619*MAX(1,IF(H619&gt;0,AQ619/H619,1))),IF(R619&gt;0,AR619/R619,0))/MAX(0.1,N(Parameter!$M$21)))</f>
        <v>7.5</v>
      </c>
      <c r="AT619" s="62" t="n">
        <f aca="false">AS619*CC619</f>
        <v>1762.5</v>
      </c>
      <c r="AU619" s="63" t="n">
        <f aca="false">IF(LEFT(Cockpit!$I$5,1)="A",H619,IF(CI619=1,(CL619+CJ619)/2,IF(LEFT(Cockpit!$I$5,1)="B",(CL619+AW619)/2,MAX((CL619+AW619)/2,H619))))</f>
        <v>50</v>
      </c>
      <c r="AV619" s="62" t="n">
        <f aca="false">AU619*G619</f>
        <v>162.5</v>
      </c>
      <c r="AW619" s="62" t="n">
        <f aca="false">ROUNDUP(CL619+MAX(CM619,2*(J619/IF(CH619&gt;0,CH619,MAX(0.1,N(Cockpit!$I$6)))-CL619)),0)</f>
        <v>100</v>
      </c>
      <c r="AX619" s="63" t="n">
        <f aca="false">IF(AT619&gt;0,J619/AT619,-1)</f>
        <v>0.0340425531914894</v>
      </c>
      <c r="AY619" s="63" t="str">
        <f aca="false">IF(AND(OR(CG619="L1",CG619="L23",CG619="LIFT"),AT619&gt;0),SUMIFS($AT$7:$AT$1843,$CG$7:$CG$1843,CG619,$AX$7:$AX$1843,"&gt;"&amp;AX619)+SUMIFS($AT$7:$AT$1843,$CG$7:$CG$1843,CG619,$AX$7:$AX$1843,AX619,$BX$7:$BX$1843,"&lt;="&amp;BX619),"")</f>
        <v/>
      </c>
      <c r="AZ619" s="70" t="n">
        <f aca="false">IF(AY619="",0,MAX(0,MIN(1,(IF(CG619="L1",Parameter!$H$5,IF(CG619="L23",Parameter!$H$6+Parameter!$H$7,Parameter!$H$5+Parameter!$H$6+Parameter!$H$7))-(AY619-AT619))/AT619)))</f>
        <v>0</v>
      </c>
      <c r="BA619" s="62" t="n">
        <f aca="false">IF(LEFT(Cockpit!$O$5,1)="A",H619,IF(Parameter!$E$30="MAX-Bestand",IF(CI619=1,CJ619,IF(LEFT(Cockpit!$O$5,1)="B",BG619,MAX(BG619,H619))),ROUNDUP(BE619,0)))</f>
        <v>50</v>
      </c>
      <c r="BB619" s="62" t="n">
        <f aca="false">IF(CA619=1,0,ROUNDUP(BA619/BZ619,0))</f>
        <v>0</v>
      </c>
      <c r="BC619" s="64" t="n">
        <f aca="false">IF(CR619&gt;0,CR619*MAX(1,BA619/X619),IF(CA619=1,IF(BA619&lt;=0,0,CE619*MAX(1,IF(H619&gt;0,BA619/H619,1))),IF(R619&gt;0,BB619/R619,0))/MAX(0.1,N(Parameter!$M$21)))</f>
        <v>7.5</v>
      </c>
      <c r="BD619" s="62" t="n">
        <f aca="false">BC619*CC619</f>
        <v>1762.5</v>
      </c>
      <c r="BE619" s="63" t="n">
        <f aca="false">IF(LEFT(Cockpit!$O$5,1)="A",H619,IF(CI619=1,(CL619+CJ619)/2,IF(LEFT(Cockpit!$O$5,1)="B",(CL619+BG619)/2,MAX((CL619+BG619)/2,H619))))</f>
        <v>50</v>
      </c>
      <c r="BF619" s="62" t="n">
        <f aca="false">BE619*G619</f>
        <v>162.5</v>
      </c>
      <c r="BG619" s="62" t="n">
        <f aca="false">ROUNDUP(CL619+MAX(CM619,2*(J619/IF(CH619&gt;0,CH619,MAX(0.1,N(Cockpit!$O$6)))-CL619)),0)</f>
        <v>100</v>
      </c>
      <c r="BH619" s="63" t="n">
        <f aca="false">IF(BD619&gt;0,J619/BD619,-1)</f>
        <v>0.0340425531914894</v>
      </c>
      <c r="BI619" s="63" t="str">
        <f aca="false">IF(AND(OR(CG619="L1",CG619="L23",CG619="LIFT"),BD619&gt;0),SUMIFS($BD$7:$BD$1843,$CG$7:$CG$1843,CG619,$BH$7:$BH$1843,"&gt;"&amp;BH619)+SUMIFS($BD$7:$BD$1843,$CG$7:$CG$1843,CG619,$BH$7:$BH$1843,BH619,$BX$7:$BX$1843,"&lt;="&amp;BX619),"")</f>
        <v/>
      </c>
      <c r="BJ619" s="70" t="n">
        <f aca="false">IF(BI619="",0,MAX(0,MIN(1,(IF(CG619="L1",Parameter!$H$5,IF(CG619="L23",Parameter!$H$6+Parameter!$H$7,Parameter!$H$5+Parameter!$H$6+Parameter!$H$7))-(BI619-BD619))/BD619)))</f>
        <v>0</v>
      </c>
      <c r="BK619" s="60" t="str">
        <f aca="false">IF(AJ619&lt;=0,"",IF(CG619="Aussen","Aussenlager",IF(CG619="-","Nicht im Lift",IF(AP619&gt;=1,"Lift",IF(AP619&lt;=0,"Aussenlager","teilweise")))))</f>
        <v>Nicht im Lift</v>
      </c>
      <c r="BL619" s="60" t="str">
        <f aca="false">IF(AT619&lt;=0,"",IF(CG619="Aussen","Aussenlager",IF(CG619="-","Nicht im Lift",IF(AZ619&gt;=1,"Lift",IF(AZ619&lt;=0,"Aussenlager","teilweise")))))</f>
        <v>Nicht im Lift</v>
      </c>
      <c r="BM619" s="60" t="str">
        <f aca="false">IF(BD619&lt;=0,"",IF(CG619="Aussen","Aussenlager",IF(CG619="-","Nicht im Lift",IF(BJ619&gt;=1,"Lift",IF(BJ619&lt;=0,"Aussenlager","teilweise")))))</f>
        <v>Nicht im Lift</v>
      </c>
      <c r="BN619" s="60" t="str">
        <f aca="false">IF(A619="","",IF(BW619=1,"Neu; ","")&amp;IF(AND(BW619=0,BR619&lt;0),"negativer Bestand (Export "&amp;BR619&amp;"); ","")&amp;IF(J619&lt;=0,"Kein Verbrauch; ","")&amp;IF(CR619&gt;0,"Lift "&amp;W619&amp;" lt. Liftbericht (Fach "&amp;X619&amp;" Stk); ",IF(CB619=1,"Gebinde geschätzt ("&amp;T619&amp;"); ",IF(CA619=1,"Lose – Tablare geschätzt; ","")))&amp;IF(H619&gt;AW619,"Überbestand "&amp;ROUND(H619-AW619,0)&amp;" Stk / CHF "&amp;ROUND((H619-AW619)*G619,0)&amp;"; ","")&amp;IF(AND(CI619=1,CJ619&lt;CK619),"MAX &lt; MB+LG; ","")&amp;IF(AND(CQ619&gt;0,CP619*10&gt;CQ619),"zu hoch für Tablar; ","")&amp;IF(AND(BW619=0,OR(CI619=1,AB619&lt;&gt;"",U619&lt;&gt;"",V619&lt;&gt;"",AC619&lt;&gt;"")),"manuell übersteuert; ","")&amp;IF(AND(CA619=0,R619=0),"Gebinde unbekannt / Stellmass fehlt; ","")&amp;IF(AND(CA619=0,N(V619)&lt;=0,N(Q619)&lt;=0),"Menge pro Gebinde fehlt (Ist = 1 Gebinde); ","")&amp;BV619)</f>
        <v>Lose – Tablare geschätzt; </v>
      </c>
      <c r="BO619" s="60"/>
      <c r="BP619" s="60"/>
      <c r="BQ619" s="67"/>
      <c r="BR619" s="62" t="n">
        <v>1</v>
      </c>
      <c r="BS619" s="62" t="n">
        <v>0</v>
      </c>
      <c r="BT619" s="61" t="n">
        <v>3.25</v>
      </c>
      <c r="BU619" s="62" t="n">
        <v>60</v>
      </c>
      <c r="BV619" s="60"/>
      <c r="BW619" s="65" t="n">
        <v>0</v>
      </c>
      <c r="BX619" s="65" t="n">
        <v>619</v>
      </c>
      <c r="BY619" s="60" t="str">
        <f aca="false">IF(U619&lt;&gt;"",UPPER(TRIM(U619)),IF(CB619=1,UPPER(VLOOKUP(T619,Parameter!$I$27:$K$29,2,0)),IF(P619="","LOSE",P619)))</f>
        <v>LOSE</v>
      </c>
      <c r="BZ619" s="62" t="n">
        <f aca="false">IF(BY619="LOSE",1,IF(N(V619)&gt;0,V619,IF(CB619=1,MAX(1,N(VLOOKUP(T619,Parameter!$I$27:$K$29,3,0)),H619,N(N619)),IF(N(Q619)&gt;0,Q619,MAX(1,H619)))))</f>
        <v>1</v>
      </c>
      <c r="CA619" s="65" t="n">
        <f aca="false">IF(BY619="LOSE",1,0)</f>
        <v>1</v>
      </c>
      <c r="CB619" s="65" t="n">
        <f aca="false">IF(AND(U619="",OR(P619="",P619="LOSE"),T619&lt;&gt;"",N(S619)&lt;=0,ISNUMBER(MATCH(T619,Parameter!$I$27:$I$29,0))),1,0)</f>
        <v>0</v>
      </c>
      <c r="CC619" s="65" t="n">
        <f aca="false">IF(CR619&gt;0,INDEX(Parameter!$H$5:$H$7,W619)/INDEX(Parameter!$E$5:$E$7,W619),IF(AND(CA619=0,N(IFERROR(VLOOKUP(BY619,'Gebinde-Kategorie'!$A$5:$N$45,14,0),0))&gt;0),VLOOKUP(BY619,'Gebinde-Kategorie'!$A$5:$N$45,14,0)*10+Parameter!$M$23,Parameter!$M$24))</f>
        <v>235</v>
      </c>
      <c r="CD619" s="60" t="str">
        <f aca="false">IF(AND(Parameter!$B$19="Ja",E619&lt;&gt;"",ISNUMBER(MATCH(E619,Parameter!$I$35:$I$52,0))),VLOOKUP(E619,Parameter!$I$35:$J$52,2,0),IFERROR(VLOOKUP(D619,Parameter!$A$35:$C$64,2,0),"Nein"))</f>
        <v>Nein</v>
      </c>
      <c r="CE619" s="64" t="n">
        <f aca="false">IF(CA619=0,0,IF(N(S619)&gt;0,S619,IFERROR(VLOOKUP(D619,Parameter!$A$35:$C$64,3,0)+0,0)))</f>
        <v>0.15</v>
      </c>
      <c r="CF619" s="60" t="str">
        <f aca="false">IF(AB619&lt;&gt;"",AB619,AA619)</f>
        <v>-</v>
      </c>
      <c r="CG619" s="60" t="str">
        <f aca="false">IF(OR(CF619=1,CF619=2,CF619=3),IF(Parameter!$E$27="Ja","LIFT",IF(CF619=1,"L1","L23")),IF(CF619="Aussen","Aussen","-"))</f>
        <v>-</v>
      </c>
      <c r="CH619" s="71" t="n">
        <f aca="false">IF(N(AC619)&gt;0,AC619,0)</f>
        <v>0</v>
      </c>
      <c r="CI619" s="65" t="n">
        <f aca="false">IF(ISNUMBER(AF619),1,0)</f>
        <v>0</v>
      </c>
      <c r="CJ619" s="62" t="n">
        <f aca="false">N(AF619)</f>
        <v>0</v>
      </c>
      <c r="CK619" s="62" t="n">
        <f aca="false">N(M619)+N(N619)</f>
        <v>100</v>
      </c>
      <c r="CL619" s="62" t="n">
        <f aca="false">N(M619)</f>
        <v>0</v>
      </c>
      <c r="CM619" s="62" t="n">
        <f aca="false">N(N619)</f>
        <v>100</v>
      </c>
      <c r="CN619" s="62" t="n">
        <f aca="false">ROUNDUP(H619/BZ619,0)</f>
        <v>1</v>
      </c>
      <c r="CO619" s="62" t="n">
        <f aca="false">ROUNDUP(CJ619/BZ619,0)</f>
        <v>0</v>
      </c>
      <c r="CP619" s="65" t="n">
        <f aca="false">IF(CA619=1,0,IFERROR(VLOOKUP(BY619,'Gebinde-Kategorie'!$A$5:$N$45,5,0)+0,0))</f>
        <v>0</v>
      </c>
      <c r="CQ619" s="65" t="n">
        <f aca="false">IFERROR(IF(OR(CF619=1,CF619=2,CF619=3),N(INDEX(Parameter!$I$5:$I$7,CF619)),0),0)</f>
        <v>0</v>
      </c>
      <c r="CR619" s="64" t="n">
        <f aca="false">IF(AND(Parameter!$B$21="Ja",ISNUMBER(W619),N(X619)&gt;0),IFERROR(N(INDEX(Parameter!$L$5:$L$7,W619))*INDEX(Parameter!$E$5:$E$7,W619)*X619/SUMIFS($X$7:$X$1843,$W$7:$W$1843,W619),0),0)</f>
        <v>0</v>
      </c>
      <c r="CS619" s="62" t="str">
        <f aca="false">IF(AND(OR(CG619="L1",CG619="L23",CG619="LIFT"),H619&gt;0),CC619*IF(CR619&gt;0,CR619*MAX(1,H619/X619),IF(CA619=1,CE619,IF(R619&gt;0,CN619/R619,0))/MAX(0.1,N(Parameter!$M$21))),"")</f>
        <v/>
      </c>
      <c r="CT619" s="64" t="str">
        <f aca="false">IF(CS619="","",J619/H619)</f>
        <v/>
      </c>
      <c r="CU619" s="62" t="str">
        <f aca="false">IF(CS619="","",H619*G619)</f>
        <v/>
      </c>
      <c r="CV619" s="63" t="str">
        <f aca="false">IF(CS619="","",(CL619+ROUNDUP(CL619+MAX(CM619,2*(J619/MAX(0.1,N(Einkauf!$C$6))-CL619)),0))/2)</f>
        <v/>
      </c>
      <c r="CW619" s="62" t="str">
        <f aca="false">IF(CS619="","",MAX(0,H619-CV619)*G619)</f>
        <v/>
      </c>
      <c r="CX619" s="62" t="str">
        <f aca="false">IF(CS619="","",CS619*MAX(0,1-CV619/H619))</f>
        <v/>
      </c>
      <c r="CY619" s="64" t="str">
        <f aca="false">IF(CS619="","",PERCENTRANK($CS$7:$CS$1843,CS619)+PERCENTRANK($CU$7:$CU$1843,CU619)+1-PERCENTRANK($CT$7:$CT$1843,CT619))</f>
        <v/>
      </c>
      <c r="CZ619" s="72" t="str">
        <f aca="false">IF(CS619="","",CHOOSE(MATCH(Einkauf!$C$5,Parameter!$G$23:$G$27,0),CY619,CS619,CU619,-CT619,CW619)+ROW()/1000000000)</f>
        <v/>
      </c>
    </row>
    <row r="620" customFormat="false" ht="15" hidden="false" customHeight="false" outlineLevel="0" collapsed="false">
      <c r="A620" s="60" t="s">
        <v>1317</v>
      </c>
      <c r="B620" s="60" t="s">
        <v>1318</v>
      </c>
      <c r="C620" s="60" t="s">
        <v>206</v>
      </c>
      <c r="D620" s="60" t="s">
        <v>226</v>
      </c>
      <c r="E620" s="60"/>
      <c r="F620" s="60" t="s">
        <v>260</v>
      </c>
      <c r="G620" s="61" t="n">
        <v>1.52</v>
      </c>
      <c r="H620" s="62" t="n">
        <f aca="false">MAX(0,IF(AND(Parameter!$B$21="Ja",ISNUMBER(Y620)),Y620,IF(Parameter!$B$20="Jahresanfang 2025 + Export",BS620+BR620,BR620)))</f>
        <v>2</v>
      </c>
      <c r="I620" s="62" t="n">
        <f aca="false">H620*G620</f>
        <v>3.04</v>
      </c>
      <c r="J620" s="62" t="n">
        <f aca="false">BU620*Parameter!$B$18</f>
        <v>0</v>
      </c>
      <c r="K620" s="63" t="n">
        <v>0</v>
      </c>
      <c r="L620" s="64" t="n">
        <v>0</v>
      </c>
      <c r="M620" s="62" t="n">
        <v>0</v>
      </c>
      <c r="N620" s="62" t="n">
        <v>1</v>
      </c>
      <c r="O620" s="65" t="n">
        <v>21</v>
      </c>
      <c r="P620" s="60" t="s">
        <v>468</v>
      </c>
      <c r="Q620" s="62" t="n">
        <v>10</v>
      </c>
      <c r="R620" s="65" t="n">
        <f aca="false">IF(CA620=1,0,IFERROR(VLOOKUP(BY620,'Gebinde-Kategorie'!$A$5:$N$45,13,0)+0,0))</f>
        <v>140</v>
      </c>
      <c r="S620" s="66"/>
      <c r="T620" s="67"/>
      <c r="U620" s="67"/>
      <c r="V620" s="67"/>
      <c r="W620" s="60"/>
      <c r="X620" s="62"/>
      <c r="Y620" s="62"/>
      <c r="Z620" s="60" t="n">
        <v>3</v>
      </c>
      <c r="AA620" s="60" t="n">
        <f aca="false">IF(A620="","",IF(AND(Parameter!$B$21="Ja",ISNUMBER(W620)),W620,IF(AND(Parameter!$E$27="Ja",ISNUMBER(Z620),CD620&lt;&gt;"Nein"),Z620,IF(CD620="2+3",IF(ISNUMBER(SEARCH("grosser Artikel",BV620)),2,IFERROR(VLOOKUP(BY620,Parameter!$F$35:$G$64,2,0),2)),IF(OR(CD620="Nein",CD620=""),"-",CD620)))))</f>
        <v>3</v>
      </c>
      <c r="AB620" s="67"/>
      <c r="AC620" s="68"/>
      <c r="AD620" s="62" t="n">
        <f aca="false">AW620</f>
        <v>1</v>
      </c>
      <c r="AE620" s="62" t="n">
        <f aca="false">MAX(AW620,H620)</f>
        <v>2</v>
      </c>
      <c r="AF620" s="69"/>
      <c r="AG620" s="62" t="n">
        <f aca="false">IF(LEFT(Cockpit!$C$5,1)="A",H620,IF(Parameter!$E$30="MAX-Bestand",IF(CI620=1,CJ620,IF(LEFT(Cockpit!$C$5,1)="B",AM620,MAX(AM620,H620))),ROUNDUP(AK620,0)))</f>
        <v>2</v>
      </c>
      <c r="AH620" s="62" t="n">
        <f aca="false">IF(CA620=1,0,ROUNDUP(AG620/BZ620,0))</f>
        <v>1</v>
      </c>
      <c r="AI620" s="64" t="n">
        <f aca="false">IF(CR620&gt;0,CR620*MAX(1,AG620/X620),IF(CA620=1,IF(AG620&lt;=0,0,CE620*MAX(1,IF(H620&gt;0,AG620/H620,1))),IF(R620&gt;0,AH620/R620,0))/MAX(0.1,N(Parameter!$M$21)))</f>
        <v>0.00714285714285714</v>
      </c>
      <c r="AJ620" s="62" t="n">
        <f aca="false">AI620*CC620</f>
        <v>1.10714285714286</v>
      </c>
      <c r="AK620" s="63" t="n">
        <f aca="false">IF(LEFT(Cockpit!$C$5,1)="A",H620,IF(CI620=1,(CL620+CJ620)/2,IF(LEFT(Cockpit!$C$5,1)="B",(CL620+AM620)/2,MAX((CL620+AM620)/2,H620))))</f>
        <v>2</v>
      </c>
      <c r="AL620" s="62" t="n">
        <f aca="false">AK620*G620</f>
        <v>3.04</v>
      </c>
      <c r="AM620" s="62" t="n">
        <f aca="false">ROUNDUP(CL620+MAX(CM620,2*(J620/IF(CH620&gt;0,CH620,MAX(0.1,N(Cockpit!$C$6)))-CL620)),0)</f>
        <v>1</v>
      </c>
      <c r="AN620" s="63" t="n">
        <f aca="false">IF(AJ620&gt;0,J620/AJ620,-1)</f>
        <v>0</v>
      </c>
      <c r="AO620" s="63" t="n">
        <f aca="false">IF(AND(OR(CG620="L1",CG620="L23",CG620="LIFT"),AJ620&gt;0),SUMIFS($AJ$7:$AJ$1843,$CG$7:$CG$1843,CG620,$AN$7:$AN$1843,"&gt;"&amp;AN620)+SUMIFS($AJ$7:$AJ$1843,$CG$7:$CG$1843,CG620,$AN$7:$AN$1843,AN620,$BX$7:$BX$1843,"&lt;="&amp;BX620),"")</f>
        <v>28547.612805509</v>
      </c>
      <c r="AP620" s="70" t="n">
        <f aca="false">IF(AO620="",0,MAX(0,MIN(1,(IF(CG620="L1",Parameter!$H$5,IF(CG620="L23",Parameter!$H$6+Parameter!$H$7,Parameter!$H$5+Parameter!$H$6+Parameter!$H$7))-(AO620-AJ620))/AJ620)))</f>
        <v>1</v>
      </c>
      <c r="AQ620" s="62" t="n">
        <f aca="false">IF(LEFT(Cockpit!$I$5,1)="A",H620,IF(Parameter!$E$30="MAX-Bestand",IF(CI620=1,CJ620,IF(LEFT(Cockpit!$I$5,1)="B",AW620,MAX(AW620,H620))),ROUNDUP(AU620,0)))</f>
        <v>2</v>
      </c>
      <c r="AR620" s="62" t="n">
        <f aca="false">IF(CA620=1,0,ROUNDUP(AQ620/BZ620,0))</f>
        <v>1</v>
      </c>
      <c r="AS620" s="64" t="n">
        <f aca="false">IF(CR620&gt;0,CR620*MAX(1,AQ620/X620),IF(CA620=1,IF(AQ620&lt;=0,0,CE620*MAX(1,IF(H620&gt;0,AQ620/H620,1))),IF(R620&gt;0,AR620/R620,0))/MAX(0.1,N(Parameter!$M$21)))</f>
        <v>0.00714285714285714</v>
      </c>
      <c r="AT620" s="62" t="n">
        <f aca="false">AS620*CC620</f>
        <v>1.10714285714286</v>
      </c>
      <c r="AU620" s="63" t="n">
        <f aca="false">IF(LEFT(Cockpit!$I$5,1)="A",H620,IF(CI620=1,(CL620+CJ620)/2,IF(LEFT(Cockpit!$I$5,1)="B",(CL620+AW620)/2,MAX((CL620+AW620)/2,H620))))</f>
        <v>2</v>
      </c>
      <c r="AV620" s="62" t="n">
        <f aca="false">AU620*G620</f>
        <v>3.04</v>
      </c>
      <c r="AW620" s="62" t="n">
        <f aca="false">ROUNDUP(CL620+MAX(CM620,2*(J620/IF(CH620&gt;0,CH620,MAX(0.1,N(Cockpit!$I$6)))-CL620)),0)</f>
        <v>1</v>
      </c>
      <c r="AX620" s="63" t="n">
        <f aca="false">IF(AT620&gt;0,J620/AT620,-1)</f>
        <v>0</v>
      </c>
      <c r="AY620" s="63" t="n">
        <f aca="false">IF(AND(OR(CG620="L1",CG620="L23",CG620="LIFT"),AT620&gt;0),SUMIFS($AT$7:$AT$1843,$CG$7:$CG$1843,CG620,$AX$7:$AX$1843,"&gt;"&amp;AX620)+SUMIFS($AT$7:$AT$1843,$CG$7:$CG$1843,CG620,$AX$7:$AX$1843,AX620,$BX$7:$BX$1843,"&lt;="&amp;BX620),"")</f>
        <v>33900.7614468865</v>
      </c>
      <c r="AZ620" s="70" t="n">
        <f aca="false">IF(AY620="",0,MAX(0,MIN(1,(IF(CG620="L1",Parameter!$H$5,IF(CG620="L23",Parameter!$H$6+Parameter!$H$7,Parameter!$H$5+Parameter!$H$6+Parameter!$H$7))-(AY620-AT620))/AT620)))</f>
        <v>1</v>
      </c>
      <c r="BA620" s="62" t="n">
        <f aca="false">IF(LEFT(Cockpit!$O$5,1)="A",H620,IF(Parameter!$E$30="MAX-Bestand",IF(CI620=1,CJ620,IF(LEFT(Cockpit!$O$5,1)="B",BG620,MAX(BG620,H620))),ROUNDUP(BE620,0)))</f>
        <v>1</v>
      </c>
      <c r="BB620" s="62" t="n">
        <f aca="false">IF(CA620=1,0,ROUNDUP(BA620/BZ620,0))</f>
        <v>1</v>
      </c>
      <c r="BC620" s="64" t="n">
        <f aca="false">IF(CR620&gt;0,CR620*MAX(1,BA620/X620),IF(CA620=1,IF(BA620&lt;=0,0,CE620*MAX(1,IF(H620&gt;0,BA620/H620,1))),IF(R620&gt;0,BB620/R620,0))/MAX(0.1,N(Parameter!$M$21)))</f>
        <v>0.00714285714285714</v>
      </c>
      <c r="BD620" s="62" t="n">
        <f aca="false">BC620*CC620</f>
        <v>1.10714285714286</v>
      </c>
      <c r="BE620" s="63" t="n">
        <f aca="false">IF(LEFT(Cockpit!$O$5,1)="A",H620,IF(CI620=1,(CL620+CJ620)/2,IF(LEFT(Cockpit!$O$5,1)="B",(CL620+BG620)/2,MAX((CL620+BG620)/2,H620))))</f>
        <v>0.5</v>
      </c>
      <c r="BF620" s="62" t="n">
        <f aca="false">BE620*G620</f>
        <v>0.76</v>
      </c>
      <c r="BG620" s="62" t="n">
        <f aca="false">ROUNDUP(CL620+MAX(CM620,2*(J620/IF(CH620&gt;0,CH620,MAX(0.1,N(Cockpit!$O$6)))-CL620)),0)</f>
        <v>1</v>
      </c>
      <c r="BH620" s="63" t="n">
        <f aca="false">IF(BD620&gt;0,J620/BD620,-1)</f>
        <v>0</v>
      </c>
      <c r="BI620" s="63" t="n">
        <f aca="false">IF(AND(OR(CG620="L1",CG620="L23",CG620="LIFT"),BD620&gt;0),SUMIFS($BD$7:$BD$1843,$CG$7:$CG$1843,CG620,$BH$7:$BH$1843,"&gt;"&amp;BH620)+SUMIFS($BD$7:$BD$1843,$CG$7:$CG$1843,CG620,$BH$7:$BH$1843,BH620,$BX$7:$BX$1843,"&lt;="&amp;BX620),"")</f>
        <v>27973.0662755324</v>
      </c>
      <c r="BJ620" s="70" t="n">
        <f aca="false">IF(BI620="",0,MAX(0,MIN(1,(IF(CG620="L1",Parameter!$H$5,IF(CG620="L23",Parameter!$H$6+Parameter!$H$7,Parameter!$H$5+Parameter!$H$6+Parameter!$H$7))-(BI620-BD620))/BD620)))</f>
        <v>1</v>
      </c>
      <c r="BK620" s="60" t="str">
        <f aca="false">IF(AJ620&lt;=0,"",IF(CG620="Aussen","Aussenlager",IF(CG620="-","Nicht im Lift",IF(AP620&gt;=1,"Lift",IF(AP620&lt;=0,"Aussenlager","teilweise")))))</f>
        <v>Lift</v>
      </c>
      <c r="BL620" s="60" t="str">
        <f aca="false">IF(AT620&lt;=0,"",IF(CG620="Aussen","Aussenlager",IF(CG620="-","Nicht im Lift",IF(AZ620&gt;=1,"Lift",IF(AZ620&lt;=0,"Aussenlager","teilweise")))))</f>
        <v>Lift</v>
      </c>
      <c r="BM620" s="60" t="str">
        <f aca="false">IF(BD620&lt;=0,"",IF(CG620="Aussen","Aussenlager",IF(CG620="-","Nicht im Lift",IF(BJ620&gt;=1,"Lift",IF(BJ620&lt;=0,"Aussenlager","teilweise")))))</f>
        <v>Lift</v>
      </c>
      <c r="BN620" s="60" t="str">
        <f aca="false">IF(A620="","",IF(BW620=1,"Neu; ","")&amp;IF(AND(BW620=0,BR620&lt;0),"negativer Bestand (Export "&amp;BR620&amp;"); ","")&amp;IF(J620&lt;=0,"Kein Verbrauch; ","")&amp;IF(CR620&gt;0,"Lift "&amp;W620&amp;" lt. Liftbericht (Fach "&amp;X620&amp;" Stk); ",IF(CB620=1,"Gebinde geschätzt ("&amp;T620&amp;"); ",IF(CA620=1,"Lose – Tablare geschätzt; ","")))&amp;IF(H620&gt;AW620,"Überbestand "&amp;ROUND(H620-AW620,0)&amp;" Stk / CHF "&amp;ROUND((H620-AW620)*G620,0)&amp;"; ","")&amp;IF(AND(CI620=1,CJ620&lt;CK620),"MAX &lt; MB+LG; ","")&amp;IF(AND(CQ620&gt;0,CP620*10&gt;CQ620),"zu hoch für Tablar; ","")&amp;IF(AND(BW620=0,OR(CI620=1,AB620&lt;&gt;"",U620&lt;&gt;"",V620&lt;&gt;"",AC620&lt;&gt;"")),"manuell übersteuert; ","")&amp;IF(AND(CA620=0,R620=0),"Gebinde unbekannt / Stellmass fehlt; ","")&amp;IF(AND(CA620=0,N(V620)&lt;=0,N(Q620)&lt;=0),"Menge pro Gebinde fehlt (Ist = 1 Gebinde); ","")&amp;BV620)</f>
        <v>Kein Verbrauch; Überbestand 1 Stk / CHF 2; </v>
      </c>
      <c r="BO620" s="60"/>
      <c r="BP620" s="60"/>
      <c r="BQ620" s="67"/>
      <c r="BR620" s="62" t="n">
        <v>2</v>
      </c>
      <c r="BS620" s="62" t="n">
        <v>0</v>
      </c>
      <c r="BT620" s="61" t="n">
        <v>3.04000000000001</v>
      </c>
      <c r="BU620" s="62" t="n">
        <v>0</v>
      </c>
      <c r="BV620" s="60"/>
      <c r="BW620" s="65" t="n">
        <v>0</v>
      </c>
      <c r="BX620" s="65" t="n">
        <v>620</v>
      </c>
      <c r="BY620" s="60" t="str">
        <f aca="false">IF(U620&lt;&gt;"",UPPER(TRIM(U620)),IF(CB620=1,UPPER(VLOOKUP(T620,Parameter!$I$27:$K$29,2,0)),IF(P620="","LOSE",P620)))</f>
        <v>S22</v>
      </c>
      <c r="BZ620" s="62" t="n">
        <f aca="false">IF(BY620="LOSE",1,IF(N(V620)&gt;0,V620,IF(CB620=1,MAX(1,N(VLOOKUP(T620,Parameter!$I$27:$K$29,3,0)),H620,N(N620)),IF(N(Q620)&gt;0,Q620,MAX(1,H620)))))</f>
        <v>10</v>
      </c>
      <c r="CA620" s="65" t="n">
        <f aca="false">IF(BY620="LOSE",1,0)</f>
        <v>0</v>
      </c>
      <c r="CB620" s="65" t="n">
        <f aca="false">IF(AND(U620="",OR(P620="",P620="LOSE"),T620&lt;&gt;"",N(S620)&lt;=0,ISNUMBER(MATCH(T620,Parameter!$I$27:$I$29,0))),1,0)</f>
        <v>0</v>
      </c>
      <c r="CC620" s="65" t="n">
        <f aca="false">IF(CR620&gt;0,INDEX(Parameter!$H$5:$H$7,W620)/INDEX(Parameter!$E$5:$E$7,W620),IF(AND(CA620=0,N(IFERROR(VLOOKUP(BY620,'Gebinde-Kategorie'!$A$5:$N$45,14,0),0))&gt;0),VLOOKUP(BY620,'Gebinde-Kategorie'!$A$5:$N$45,14,0)*10+Parameter!$M$23,Parameter!$M$24))</f>
        <v>155</v>
      </c>
      <c r="CD620" s="60" t="str">
        <f aca="false">IF(AND(Parameter!$B$19="Ja",E620&lt;&gt;"",ISNUMBER(MATCH(E620,Parameter!$I$35:$I$52,0))),VLOOKUP(E620,Parameter!$I$35:$J$52,2,0),IFERROR(VLOOKUP(D620,Parameter!$A$35:$C$64,2,0),"Nein"))</f>
        <v>2+3</v>
      </c>
      <c r="CE620" s="64" t="n">
        <f aca="false">IF(CA620=0,0,IF(N(S620)&gt;0,S620,IFERROR(VLOOKUP(D620,Parameter!$A$35:$C$64,3,0)+0,0)))</f>
        <v>0</v>
      </c>
      <c r="CF620" s="60" t="n">
        <f aca="false">IF(AB620&lt;&gt;"",AB620,AA620)</f>
        <v>3</v>
      </c>
      <c r="CG620" s="60" t="str">
        <f aca="false">IF(OR(CF620=1,CF620=2,CF620=3),IF(Parameter!$E$27="Ja","LIFT",IF(CF620=1,"L1","L23")),IF(CF620="Aussen","Aussen","-"))</f>
        <v>LIFT</v>
      </c>
      <c r="CH620" s="71" t="n">
        <f aca="false">IF(N(AC620)&gt;0,AC620,0)</f>
        <v>0</v>
      </c>
      <c r="CI620" s="65" t="n">
        <f aca="false">IF(ISNUMBER(AF620),1,0)</f>
        <v>0</v>
      </c>
      <c r="CJ620" s="62" t="n">
        <f aca="false">N(AF620)</f>
        <v>0</v>
      </c>
      <c r="CK620" s="62" t="n">
        <f aca="false">N(M620)+N(N620)</f>
        <v>1</v>
      </c>
      <c r="CL620" s="62" t="n">
        <f aca="false">N(M620)</f>
        <v>0</v>
      </c>
      <c r="CM620" s="62" t="n">
        <f aca="false">N(N620)</f>
        <v>1</v>
      </c>
      <c r="CN620" s="62" t="n">
        <f aca="false">ROUNDUP(H620/BZ620,0)</f>
        <v>1</v>
      </c>
      <c r="CO620" s="62" t="n">
        <f aca="false">ROUNDUP(CJ620/BZ620,0)</f>
        <v>0</v>
      </c>
      <c r="CP620" s="65" t="n">
        <f aca="false">IF(CA620=1,0,IFERROR(VLOOKUP(BY620,'Gebinde-Kategorie'!$A$5:$N$45,5,0)+0,0))</f>
        <v>8</v>
      </c>
      <c r="CQ620" s="65" t="n">
        <f aca="false">IFERROR(IF(OR(CF620=1,CF620=2,CF620=3),N(INDEX(Parameter!$I$5:$I$7,CF620)),0),0)</f>
        <v>0</v>
      </c>
      <c r="CR620" s="64" t="n">
        <f aca="false">IF(AND(Parameter!$B$21="Ja",ISNUMBER(W620),N(X620)&gt;0),IFERROR(N(INDEX(Parameter!$L$5:$L$7,W620))*INDEX(Parameter!$E$5:$E$7,W620)*X620/SUMIFS($X$7:$X$1843,$W$7:$W$1843,W620),0),0)</f>
        <v>0</v>
      </c>
      <c r="CS620" s="62" t="n">
        <f aca="false">IF(AND(OR(CG620="L1",CG620="L23",CG620="LIFT"),H620&gt;0),CC620*IF(CR620&gt;0,CR620*MAX(1,H620/X620),IF(CA620=1,CE620,IF(R620&gt;0,CN620/R620,0))/MAX(0.1,N(Parameter!$M$21))),"")</f>
        <v>1.10714285714286</v>
      </c>
      <c r="CT620" s="64" t="n">
        <f aca="false">IF(CS620="","",J620/H620)</f>
        <v>0</v>
      </c>
      <c r="CU620" s="62" t="n">
        <f aca="false">IF(CS620="","",H620*G620)</f>
        <v>3.04</v>
      </c>
      <c r="CV620" s="63" t="n">
        <f aca="false">IF(CS620="","",(CL620+ROUNDUP(CL620+MAX(CM620,2*(J620/MAX(0.1,N(Einkauf!$C$6))-CL620)),0))/2)</f>
        <v>0.5</v>
      </c>
      <c r="CW620" s="62" t="n">
        <f aca="false">IF(CS620="","",MAX(0,H620-CV620)*G620)</f>
        <v>2.28</v>
      </c>
      <c r="CX620" s="62" t="n">
        <f aca="false">IF(CS620="","",CS620*MAX(0,1-CV620/H620))</f>
        <v>0.830357142857143</v>
      </c>
      <c r="CY620" s="64" t="n">
        <f aca="false">IF(CS620="","",PERCENTRANK($CS$7:$CS$1843,CS620)+PERCENTRANK($CU$7:$CU$1843,CU620)+1-PERCENTRANK($CT$7:$CT$1843,CT620))</f>
        <v>1.0711</v>
      </c>
      <c r="CZ620" s="72" t="n">
        <f aca="false">IF(CS620="","",CHOOSE(MATCH(Einkauf!$C$5,Parameter!$G$23:$G$27,0),CY620,CS620,CU620,-CT620,CW620)+ROW()/1000000000)</f>
        <v>1.07110062</v>
      </c>
    </row>
    <row r="621" customFormat="false" ht="15" hidden="false" customHeight="false" outlineLevel="0" collapsed="false">
      <c r="A621" s="60" t="s">
        <v>1319</v>
      </c>
      <c r="B621" s="60" t="s">
        <v>1178</v>
      </c>
      <c r="C621" s="60" t="s">
        <v>206</v>
      </c>
      <c r="D621" s="60" t="s">
        <v>215</v>
      </c>
      <c r="E621" s="60"/>
      <c r="F621" s="60" t="s">
        <v>260</v>
      </c>
      <c r="G621" s="61" t="n">
        <v>3.02</v>
      </c>
      <c r="H621" s="62" t="n">
        <f aca="false">MAX(0,IF(AND(Parameter!$B$21="Ja",ISNUMBER(Y621)),Y621,IF(Parameter!$B$20="Jahresanfang 2025 + Export",BS621+BR621,BR621)))</f>
        <v>12</v>
      </c>
      <c r="I621" s="62" t="n">
        <f aca="false">H621*G621</f>
        <v>36.24</v>
      </c>
      <c r="J621" s="62" t="n">
        <f aca="false">BU621*Parameter!$B$18</f>
        <v>0</v>
      </c>
      <c r="K621" s="63" t="n">
        <v>11.5</v>
      </c>
      <c r="L621" s="64" t="n">
        <v>0</v>
      </c>
      <c r="M621" s="62" t="n">
        <v>0</v>
      </c>
      <c r="N621" s="62" t="n">
        <v>1</v>
      </c>
      <c r="O621" s="65" t="n">
        <v>14</v>
      </c>
      <c r="P621" s="60" t="s">
        <v>210</v>
      </c>
      <c r="Q621" s="62"/>
      <c r="R621" s="65" t="n">
        <f aca="false">IF(CA621=1,0,IFERROR(VLOOKUP(BY621,'Gebinde-Kategorie'!$A$5:$N$45,13,0)+0,0))</f>
        <v>12</v>
      </c>
      <c r="S621" s="66"/>
      <c r="T621" s="67" t="s">
        <v>221</v>
      </c>
      <c r="U621" s="67"/>
      <c r="V621" s="67"/>
      <c r="W621" s="60"/>
      <c r="X621" s="62"/>
      <c r="Y621" s="62"/>
      <c r="Z621" s="60" t="n">
        <v>3</v>
      </c>
      <c r="AA621" s="60" t="n">
        <f aca="false">IF(A621="","",IF(AND(Parameter!$B$21="Ja",ISNUMBER(W621)),W621,IF(AND(Parameter!$E$27="Ja",ISNUMBER(Z621),CD621&lt;&gt;"Nein"),Z621,IF(CD621="2+3",IF(ISNUMBER(SEARCH("grosser Artikel",BV621)),2,IFERROR(VLOOKUP(BY621,Parameter!$F$35:$G$64,2,0),2)),IF(OR(CD621="Nein",CD621=""),"-",CD621)))))</f>
        <v>3</v>
      </c>
      <c r="AB621" s="67"/>
      <c r="AC621" s="68"/>
      <c r="AD621" s="62" t="n">
        <f aca="false">AW621</f>
        <v>1</v>
      </c>
      <c r="AE621" s="62" t="n">
        <f aca="false">MAX(AW621,H621)</f>
        <v>12</v>
      </c>
      <c r="AF621" s="69"/>
      <c r="AG621" s="62" t="n">
        <f aca="false">IF(LEFT(Cockpit!$C$5,1)="A",H621,IF(Parameter!$E$30="MAX-Bestand",IF(CI621=1,CJ621,IF(LEFT(Cockpit!$C$5,1)="B",AM621,MAX(AM621,H621))),ROUNDUP(AK621,0)))</f>
        <v>12</v>
      </c>
      <c r="AH621" s="62" t="n">
        <f aca="false">IF(CA621=1,0,ROUNDUP(AG621/BZ621,0))</f>
        <v>1</v>
      </c>
      <c r="AI621" s="64" t="n">
        <f aca="false">IF(CR621&gt;0,CR621*MAX(1,AG621/X621),IF(CA621=1,IF(AG621&lt;=0,0,CE621*MAX(1,IF(H621&gt;0,AG621/H621,1))),IF(R621&gt;0,AH621/R621,0))/MAX(0.1,N(Parameter!$M$21)))</f>
        <v>0.0833333333333333</v>
      </c>
      <c r="AJ621" s="62" t="n">
        <f aca="false">AI621*CC621</f>
        <v>12.0833333333333</v>
      </c>
      <c r="AK621" s="63" t="n">
        <f aca="false">IF(LEFT(Cockpit!$C$5,1)="A",H621,IF(CI621=1,(CL621+CJ621)/2,IF(LEFT(Cockpit!$C$5,1)="B",(CL621+AM621)/2,MAX((CL621+AM621)/2,H621))))</f>
        <v>12</v>
      </c>
      <c r="AL621" s="62" t="n">
        <f aca="false">AK621*G621</f>
        <v>36.24</v>
      </c>
      <c r="AM621" s="62" t="n">
        <f aca="false">ROUNDUP(CL621+MAX(CM621,2*(J621/IF(CH621&gt;0,CH621,MAX(0.1,N(Cockpit!$C$6)))-CL621)),0)</f>
        <v>1</v>
      </c>
      <c r="AN621" s="63" t="n">
        <f aca="false">IF(AJ621&gt;0,J621/AJ621,-1)</f>
        <v>0</v>
      </c>
      <c r="AO621" s="63" t="n">
        <f aca="false">IF(AND(OR(CG621="L1",CG621="L23",CG621="LIFT"),AJ621&gt;0),SUMIFS($AJ$7:$AJ$1843,$CG$7:$CG$1843,CG621,$AN$7:$AN$1843,"&gt;"&amp;AN621)+SUMIFS($AJ$7:$AJ$1843,$CG$7:$CG$1843,CG621,$AN$7:$AN$1843,AN621,$BX$7:$BX$1843,"&lt;="&amp;BX621),"")</f>
        <v>28559.6961388423</v>
      </c>
      <c r="AP621" s="70" t="n">
        <f aca="false">IF(AO621="",0,MAX(0,MIN(1,(IF(CG621="L1",Parameter!$H$5,IF(CG621="L23",Parameter!$H$6+Parameter!$H$7,Parameter!$H$5+Parameter!$H$6+Parameter!$H$7))-(AO621-AJ621))/AJ621)))</f>
        <v>1</v>
      </c>
      <c r="AQ621" s="62" t="n">
        <f aca="false">IF(LEFT(Cockpit!$I$5,1)="A",H621,IF(Parameter!$E$30="MAX-Bestand",IF(CI621=1,CJ621,IF(LEFT(Cockpit!$I$5,1)="B",AW621,MAX(AW621,H621))),ROUNDUP(AU621,0)))</f>
        <v>12</v>
      </c>
      <c r="AR621" s="62" t="n">
        <f aca="false">IF(CA621=1,0,ROUNDUP(AQ621/BZ621,0))</f>
        <v>1</v>
      </c>
      <c r="AS621" s="64" t="n">
        <f aca="false">IF(CR621&gt;0,CR621*MAX(1,AQ621/X621),IF(CA621=1,IF(AQ621&lt;=0,0,CE621*MAX(1,IF(H621&gt;0,AQ621/H621,1))),IF(R621&gt;0,AR621/R621,0))/MAX(0.1,N(Parameter!$M$21)))</f>
        <v>0.0833333333333333</v>
      </c>
      <c r="AT621" s="62" t="n">
        <f aca="false">AS621*CC621</f>
        <v>12.0833333333333</v>
      </c>
      <c r="AU621" s="63" t="n">
        <f aca="false">IF(LEFT(Cockpit!$I$5,1)="A",H621,IF(CI621=1,(CL621+CJ621)/2,IF(LEFT(Cockpit!$I$5,1)="B",(CL621+AW621)/2,MAX((CL621+AW621)/2,H621))))</f>
        <v>12</v>
      </c>
      <c r="AV621" s="62" t="n">
        <f aca="false">AU621*G621</f>
        <v>36.24</v>
      </c>
      <c r="AW621" s="62" t="n">
        <f aca="false">ROUNDUP(CL621+MAX(CM621,2*(J621/IF(CH621&gt;0,CH621,MAX(0.1,N(Cockpit!$I$6)))-CL621)),0)</f>
        <v>1</v>
      </c>
      <c r="AX621" s="63" t="n">
        <f aca="false">IF(AT621&gt;0,J621/AT621,-1)</f>
        <v>0</v>
      </c>
      <c r="AY621" s="63" t="n">
        <f aca="false">IF(AND(OR(CG621="L1",CG621="L23",CG621="LIFT"),AT621&gt;0),SUMIFS($AT$7:$AT$1843,$CG$7:$CG$1843,CG621,$AX$7:$AX$1843,"&gt;"&amp;AX621)+SUMIFS($AT$7:$AT$1843,$CG$7:$CG$1843,CG621,$AX$7:$AX$1843,AX621,$BX$7:$BX$1843,"&lt;="&amp;BX621),"")</f>
        <v>33912.8447802198</v>
      </c>
      <c r="AZ621" s="70" t="n">
        <f aca="false">IF(AY621="",0,MAX(0,MIN(1,(IF(CG621="L1",Parameter!$H$5,IF(CG621="L23",Parameter!$H$6+Parameter!$H$7,Parameter!$H$5+Parameter!$H$6+Parameter!$H$7))-(AY621-AT621))/AT621)))</f>
        <v>1</v>
      </c>
      <c r="BA621" s="62" t="n">
        <f aca="false">IF(LEFT(Cockpit!$O$5,1)="A",H621,IF(Parameter!$E$30="MAX-Bestand",IF(CI621=1,CJ621,IF(LEFT(Cockpit!$O$5,1)="B",BG621,MAX(BG621,H621))),ROUNDUP(BE621,0)))</f>
        <v>1</v>
      </c>
      <c r="BB621" s="62" t="n">
        <f aca="false">IF(CA621=1,0,ROUNDUP(BA621/BZ621,0))</f>
        <v>1</v>
      </c>
      <c r="BC621" s="64" t="n">
        <f aca="false">IF(CR621&gt;0,CR621*MAX(1,BA621/X621),IF(CA621=1,IF(BA621&lt;=0,0,CE621*MAX(1,IF(H621&gt;0,BA621/H621,1))),IF(R621&gt;0,BB621/R621,0))/MAX(0.1,N(Parameter!$M$21)))</f>
        <v>0.0833333333333333</v>
      </c>
      <c r="BD621" s="62" t="n">
        <f aca="false">BC621*CC621</f>
        <v>12.0833333333333</v>
      </c>
      <c r="BE621" s="63" t="n">
        <f aca="false">IF(LEFT(Cockpit!$O$5,1)="A",H621,IF(CI621=1,(CL621+CJ621)/2,IF(LEFT(Cockpit!$O$5,1)="B",(CL621+BG621)/2,MAX((CL621+BG621)/2,H621))))</f>
        <v>0.5</v>
      </c>
      <c r="BF621" s="62" t="n">
        <f aca="false">BE621*G621</f>
        <v>1.51</v>
      </c>
      <c r="BG621" s="62" t="n">
        <f aca="false">ROUNDUP(CL621+MAX(CM621,2*(J621/IF(CH621&gt;0,CH621,MAX(0.1,N(Cockpit!$O$6)))-CL621)),0)</f>
        <v>1</v>
      </c>
      <c r="BH621" s="63" t="n">
        <f aca="false">IF(BD621&gt;0,J621/BD621,-1)</f>
        <v>0</v>
      </c>
      <c r="BI621" s="63" t="n">
        <f aca="false">IF(AND(OR(CG621="L1",CG621="L23",CG621="LIFT"),BD621&gt;0),SUMIFS($BD$7:$BD$1843,$CG$7:$CG$1843,CG621,$BH$7:$BH$1843,"&gt;"&amp;BH621)+SUMIFS($BD$7:$BD$1843,$CG$7:$CG$1843,CG621,$BH$7:$BH$1843,BH621,$BX$7:$BX$1843,"&lt;="&amp;BX621),"")</f>
        <v>27985.1496088657</v>
      </c>
      <c r="BJ621" s="70" t="n">
        <f aca="false">IF(BI621="",0,MAX(0,MIN(1,(IF(CG621="L1",Parameter!$H$5,IF(CG621="L23",Parameter!$H$6+Parameter!$H$7,Parameter!$H$5+Parameter!$H$6+Parameter!$H$7))-(BI621-BD621))/BD621)))</f>
        <v>1</v>
      </c>
      <c r="BK621" s="60" t="str">
        <f aca="false">IF(AJ621&lt;=0,"",IF(CG621="Aussen","Aussenlager",IF(CG621="-","Nicht im Lift",IF(AP621&gt;=1,"Lift",IF(AP621&lt;=0,"Aussenlager","teilweise")))))</f>
        <v>Lift</v>
      </c>
      <c r="BL621" s="60" t="str">
        <f aca="false">IF(AT621&lt;=0,"",IF(CG621="Aussen","Aussenlager",IF(CG621="-","Nicht im Lift",IF(AZ621&gt;=1,"Lift",IF(AZ621&lt;=0,"Aussenlager","teilweise")))))</f>
        <v>Lift</v>
      </c>
      <c r="BM621" s="60" t="str">
        <f aca="false">IF(BD621&lt;=0,"",IF(CG621="Aussen","Aussenlager",IF(CG621="-","Nicht im Lift",IF(BJ621&gt;=1,"Lift",IF(BJ621&lt;=0,"Aussenlager","teilweise")))))</f>
        <v>Lift</v>
      </c>
      <c r="BN621" s="60" t="str">
        <f aca="false">IF(A621="","",IF(BW621=1,"Neu; ","")&amp;IF(AND(BW621=0,BR621&lt;0),"negativer Bestand (Export "&amp;BR621&amp;"); ","")&amp;IF(J621&lt;=0,"Kein Verbrauch; ","")&amp;IF(CR621&gt;0,"Lift "&amp;W621&amp;" lt. Liftbericht (Fach "&amp;X621&amp;" Stk); ",IF(CB621=1,"Gebinde geschätzt ("&amp;T621&amp;"); ",IF(CA621=1,"Lose – Tablare geschätzt; ","")))&amp;IF(H621&gt;AW621,"Überbestand "&amp;ROUND(H621-AW621,0)&amp;" Stk / CHF "&amp;ROUND((H621-AW621)*G621,0)&amp;"; ","")&amp;IF(AND(CI621=1,CJ621&lt;CK621),"MAX &lt; MB+LG; ","")&amp;IF(AND(CQ621&gt;0,CP621*10&gt;CQ621),"zu hoch für Tablar; ","")&amp;IF(AND(BW621=0,OR(CI621=1,AB621&lt;&gt;"",U621&lt;&gt;"",V621&lt;&gt;"",AC621&lt;&gt;"")),"manuell übersteuert; ","")&amp;IF(AND(CA621=0,R621=0),"Gebinde unbekannt / Stellmass fehlt; ","")&amp;IF(AND(CA621=0,N(V621)&lt;=0,N(Q621)&lt;=0),"Menge pro Gebinde fehlt (Ist = 1 Gebinde); ","")&amp;BV621)</f>
        <v>Kein Verbrauch; Gebinde geschätzt (Mittel); Überbestand 11 Stk / CHF 33; Menge pro Gebinde fehlt (Ist = 1 Gebinde); Überbestand</v>
      </c>
      <c r="BO621" s="60"/>
      <c r="BP621" s="60"/>
      <c r="BQ621" s="67"/>
      <c r="BR621" s="62" t="n">
        <v>1</v>
      </c>
      <c r="BS621" s="62" t="n">
        <v>11</v>
      </c>
      <c r="BT621" s="61" t="n">
        <v>3.02</v>
      </c>
      <c r="BU621" s="62" t="n">
        <v>0</v>
      </c>
      <c r="BV621" s="60" t="s">
        <v>434</v>
      </c>
      <c r="BW621" s="65" t="n">
        <v>0</v>
      </c>
      <c r="BX621" s="65" t="n">
        <v>621</v>
      </c>
      <c r="BY621" s="60" t="str">
        <f aca="false">IF(U621&lt;&gt;"",UPPER(TRIM(U621)),IF(CB621=1,UPPER(VLOOKUP(T621,Parameter!$I$27:$K$29,2,0)),IF(P621="","LOSE",P621)))</f>
        <v>S61</v>
      </c>
      <c r="BZ621" s="62" t="n">
        <f aca="false">IF(BY621="LOSE",1,IF(N(V621)&gt;0,V621,IF(CB621=1,MAX(1,N(VLOOKUP(T621,Parameter!$I$27:$K$29,3,0)),H621,N(N621)),IF(N(Q621)&gt;0,Q621,MAX(1,H621)))))</f>
        <v>12</v>
      </c>
      <c r="CA621" s="65" t="n">
        <f aca="false">IF(BY621="LOSE",1,0)</f>
        <v>0</v>
      </c>
      <c r="CB621" s="65" t="n">
        <f aca="false">IF(AND(U621="",OR(P621="",P621="LOSE"),T621&lt;&gt;"",N(S621)&lt;=0,ISNUMBER(MATCH(T621,Parameter!$I$27:$I$29,0))),1,0)</f>
        <v>1</v>
      </c>
      <c r="CC621" s="65" t="n">
        <f aca="false">IF(CR621&gt;0,INDEX(Parameter!$H$5:$H$7,W621)/INDEX(Parameter!$E$5:$E$7,W621),IF(AND(CA621=0,N(IFERROR(VLOOKUP(BY621,'Gebinde-Kategorie'!$A$5:$N$45,14,0),0))&gt;0),VLOOKUP(BY621,'Gebinde-Kategorie'!$A$5:$N$45,14,0)*10+Parameter!$M$23,Parameter!$M$24))</f>
        <v>145</v>
      </c>
      <c r="CD621" s="60" t="str">
        <f aca="false">IF(AND(Parameter!$B$19="Ja",E621&lt;&gt;"",ISNUMBER(MATCH(E621,Parameter!$I$35:$I$52,0))),VLOOKUP(E621,Parameter!$I$35:$J$52,2,0),IFERROR(VLOOKUP(D621,Parameter!$A$35:$C$64,2,0),"Nein"))</f>
        <v>2+3</v>
      </c>
      <c r="CE621" s="64" t="n">
        <f aca="false">IF(CA621=0,0,IF(N(S621)&gt;0,S621,IFERROR(VLOOKUP(D621,Parameter!$A$35:$C$64,3,0)+0,0)))</f>
        <v>0</v>
      </c>
      <c r="CF621" s="60" t="n">
        <f aca="false">IF(AB621&lt;&gt;"",AB621,AA621)</f>
        <v>3</v>
      </c>
      <c r="CG621" s="60" t="str">
        <f aca="false">IF(OR(CF621=1,CF621=2,CF621=3),IF(Parameter!$E$27="Ja","LIFT",IF(CF621=1,"L1","L23")),IF(CF621="Aussen","Aussen","-"))</f>
        <v>LIFT</v>
      </c>
      <c r="CH621" s="71" t="n">
        <f aca="false">IF(N(AC621)&gt;0,AC621,0)</f>
        <v>0</v>
      </c>
      <c r="CI621" s="65" t="n">
        <f aca="false">IF(ISNUMBER(AF621),1,0)</f>
        <v>0</v>
      </c>
      <c r="CJ621" s="62" t="n">
        <f aca="false">N(AF621)</f>
        <v>0</v>
      </c>
      <c r="CK621" s="62" t="n">
        <f aca="false">N(M621)+N(N621)</f>
        <v>1</v>
      </c>
      <c r="CL621" s="62" t="n">
        <f aca="false">N(M621)</f>
        <v>0</v>
      </c>
      <c r="CM621" s="62" t="n">
        <f aca="false">N(N621)</f>
        <v>1</v>
      </c>
      <c r="CN621" s="62" t="n">
        <f aca="false">ROUNDUP(H621/BZ621,0)</f>
        <v>1</v>
      </c>
      <c r="CO621" s="62" t="n">
        <f aca="false">ROUNDUP(CJ621/BZ621,0)</f>
        <v>0</v>
      </c>
      <c r="CP621" s="65" t="n">
        <f aca="false">IF(CA621=1,0,IFERROR(VLOOKUP(BY621,'Gebinde-Kategorie'!$A$5:$N$45,5,0)+0,0))</f>
        <v>11</v>
      </c>
      <c r="CQ621" s="65" t="n">
        <f aca="false">IFERROR(IF(OR(CF621=1,CF621=2,CF621=3),N(INDEX(Parameter!$I$5:$I$7,CF621)),0),0)</f>
        <v>0</v>
      </c>
      <c r="CR621" s="64" t="n">
        <f aca="false">IF(AND(Parameter!$B$21="Ja",ISNUMBER(W621),N(X621)&gt;0),IFERROR(N(INDEX(Parameter!$L$5:$L$7,W621))*INDEX(Parameter!$E$5:$E$7,W621)*X621/SUMIFS($X$7:$X$1843,$W$7:$W$1843,W621),0),0)</f>
        <v>0</v>
      </c>
      <c r="CS621" s="62" t="n">
        <f aca="false">IF(AND(OR(CG621="L1",CG621="L23",CG621="LIFT"),H621&gt;0),CC621*IF(CR621&gt;0,CR621*MAX(1,H621/X621),IF(CA621=1,CE621,IF(R621&gt;0,CN621/R621,0))/MAX(0.1,N(Parameter!$M$21))),"")</f>
        <v>12.0833333333333</v>
      </c>
      <c r="CT621" s="64" t="n">
        <f aca="false">IF(CS621="","",J621/H621)</f>
        <v>0</v>
      </c>
      <c r="CU621" s="62" t="n">
        <f aca="false">IF(CS621="","",H621*G621)</f>
        <v>36.24</v>
      </c>
      <c r="CV621" s="63" t="n">
        <f aca="false">IF(CS621="","",(CL621+ROUNDUP(CL621+MAX(CM621,2*(J621/MAX(0.1,N(Einkauf!$C$6))-CL621)),0))/2)</f>
        <v>0.5</v>
      </c>
      <c r="CW621" s="62" t="n">
        <f aca="false">IF(CS621="","",MAX(0,H621-CV621)*G621)</f>
        <v>34.73</v>
      </c>
      <c r="CX621" s="62" t="n">
        <f aca="false">IF(CS621="","",CS621*MAX(0,1-CV621/H621))</f>
        <v>11.5798611111111</v>
      </c>
      <c r="CY621" s="64" t="n">
        <f aca="false">IF(CS621="","",PERCENTRANK($CS$7:$CS$1843,CS621)+PERCENTRANK($CU$7:$CU$1843,CU621)+1-PERCENTRANK($CT$7:$CT$1843,CT621))</f>
        <v>1.786</v>
      </c>
      <c r="CZ621" s="72" t="n">
        <f aca="false">IF(CS621="","",CHOOSE(MATCH(Einkauf!$C$5,Parameter!$G$23:$G$27,0),CY621,CS621,CU621,-CT621,CW621)+ROW()/1000000000)</f>
        <v>1.786000621</v>
      </c>
    </row>
    <row r="622" customFormat="false" ht="15" hidden="false" customHeight="false" outlineLevel="0" collapsed="false">
      <c r="A622" s="60" t="s">
        <v>1320</v>
      </c>
      <c r="B622" s="60" t="s">
        <v>1321</v>
      </c>
      <c r="C622" s="60" t="s">
        <v>206</v>
      </c>
      <c r="D622" s="60" t="s">
        <v>226</v>
      </c>
      <c r="E622" s="60" t="s">
        <v>227</v>
      </c>
      <c r="F622" s="60" t="s">
        <v>260</v>
      </c>
      <c r="G622" s="61" t="n">
        <v>2.97</v>
      </c>
      <c r="H622" s="62" t="n">
        <f aca="false">MAX(0,IF(AND(Parameter!$B$21="Ja",ISNUMBER(Y622)),Y622,IF(Parameter!$B$20="Jahresanfang 2025 + Export",BS622+BR622,BR622)))</f>
        <v>1</v>
      </c>
      <c r="I622" s="62" t="n">
        <f aca="false">H622*G622</f>
        <v>2.97</v>
      </c>
      <c r="J622" s="62" t="n">
        <f aca="false">BU622*Parameter!$B$18</f>
        <v>0</v>
      </c>
      <c r="K622" s="63" t="n">
        <v>0.5</v>
      </c>
      <c r="L622" s="64" t="n">
        <v>0</v>
      </c>
      <c r="M622" s="62" t="n">
        <v>0</v>
      </c>
      <c r="N622" s="62" t="n">
        <v>1</v>
      </c>
      <c r="O622" s="65" t="n">
        <v>14</v>
      </c>
      <c r="P622" s="60" t="s">
        <v>443</v>
      </c>
      <c r="Q622" s="62" t="n">
        <v>20</v>
      </c>
      <c r="R622" s="65" t="n">
        <f aca="false">IF(CA622=1,0,IFERROR(VLOOKUP(BY622,'Gebinde-Kategorie'!$A$5:$N$45,13,0)+0,0))</f>
        <v>280</v>
      </c>
      <c r="S622" s="66"/>
      <c r="T622" s="67"/>
      <c r="U622" s="67"/>
      <c r="V622" s="67"/>
      <c r="W622" s="60"/>
      <c r="X622" s="62"/>
      <c r="Y622" s="62"/>
      <c r="Z622" s="60" t="n">
        <v>3</v>
      </c>
      <c r="AA622" s="60" t="n">
        <f aca="false">IF(A622="","",IF(AND(Parameter!$B$21="Ja",ISNUMBER(W622)),W622,IF(AND(Parameter!$E$27="Ja",ISNUMBER(Z622),CD622&lt;&gt;"Nein"),Z622,IF(CD622="2+3",IF(ISNUMBER(SEARCH("grosser Artikel",BV622)),2,IFERROR(VLOOKUP(BY622,Parameter!$F$35:$G$64,2,0),2)),IF(OR(CD622="Nein",CD622=""),"-",CD622)))))</f>
        <v>3</v>
      </c>
      <c r="AB622" s="67"/>
      <c r="AC622" s="68"/>
      <c r="AD622" s="62" t="n">
        <f aca="false">AW622</f>
        <v>1</v>
      </c>
      <c r="AE622" s="62" t="n">
        <f aca="false">MAX(AW622,H622)</f>
        <v>1</v>
      </c>
      <c r="AF622" s="69"/>
      <c r="AG622" s="62" t="n">
        <f aca="false">IF(LEFT(Cockpit!$C$5,1)="A",H622,IF(Parameter!$E$30="MAX-Bestand",IF(CI622=1,CJ622,IF(LEFT(Cockpit!$C$5,1)="B",AM622,MAX(AM622,H622))),ROUNDUP(AK622,0)))</f>
        <v>1</v>
      </c>
      <c r="AH622" s="62" t="n">
        <f aca="false">IF(CA622=1,0,ROUNDUP(AG622/BZ622,0))</f>
        <v>1</v>
      </c>
      <c r="AI622" s="64" t="n">
        <f aca="false">IF(CR622&gt;0,CR622*MAX(1,AG622/X622),IF(CA622=1,IF(AG622&lt;=0,0,CE622*MAX(1,IF(H622&gt;0,AG622/H622,1))),IF(R622&gt;0,AH622/R622,0))/MAX(0.1,N(Parameter!$M$21)))</f>
        <v>0.00357142857142857</v>
      </c>
      <c r="AJ622" s="62" t="n">
        <f aca="false">AI622*CC622</f>
        <v>0.553571428571429</v>
      </c>
      <c r="AK622" s="63" t="n">
        <f aca="false">IF(LEFT(Cockpit!$C$5,1)="A",H622,IF(CI622=1,(CL622+CJ622)/2,IF(LEFT(Cockpit!$C$5,1)="B",(CL622+AM622)/2,MAX((CL622+AM622)/2,H622))))</f>
        <v>1</v>
      </c>
      <c r="AL622" s="62" t="n">
        <f aca="false">AK622*G622</f>
        <v>2.97</v>
      </c>
      <c r="AM622" s="62" t="n">
        <f aca="false">ROUNDUP(CL622+MAX(CM622,2*(J622/IF(CH622&gt;0,CH622,MAX(0.1,N(Cockpit!$C$6)))-CL622)),0)</f>
        <v>1</v>
      </c>
      <c r="AN622" s="63" t="n">
        <f aca="false">IF(AJ622&gt;0,J622/AJ622,-1)</f>
        <v>0</v>
      </c>
      <c r="AO622" s="63" t="n">
        <f aca="false">IF(AND(OR(CG622="L1",CG622="L23",CG622="LIFT"),AJ622&gt;0),SUMIFS($AJ$7:$AJ$1843,$CG$7:$CG$1843,CG622,$AN$7:$AN$1843,"&gt;"&amp;AN622)+SUMIFS($AJ$7:$AJ$1843,$CG$7:$CG$1843,CG622,$AN$7:$AN$1843,AN622,$BX$7:$BX$1843,"&lt;="&amp;BX622),"")</f>
        <v>28560.2497102709</v>
      </c>
      <c r="AP622" s="70" t="n">
        <f aca="false">IF(AO622="",0,MAX(0,MIN(1,(IF(CG622="L1",Parameter!$H$5,IF(CG622="L23",Parameter!$H$6+Parameter!$H$7,Parameter!$H$5+Parameter!$H$6+Parameter!$H$7))-(AO622-AJ622))/AJ622)))</f>
        <v>1</v>
      </c>
      <c r="AQ622" s="62" t="n">
        <f aca="false">IF(LEFT(Cockpit!$I$5,1)="A",H622,IF(Parameter!$E$30="MAX-Bestand",IF(CI622=1,CJ622,IF(LEFT(Cockpit!$I$5,1)="B",AW622,MAX(AW622,H622))),ROUNDUP(AU622,0)))</f>
        <v>1</v>
      </c>
      <c r="AR622" s="62" t="n">
        <f aca="false">IF(CA622=1,0,ROUNDUP(AQ622/BZ622,0))</f>
        <v>1</v>
      </c>
      <c r="AS622" s="64" t="n">
        <f aca="false">IF(CR622&gt;0,CR622*MAX(1,AQ622/X622),IF(CA622=1,IF(AQ622&lt;=0,0,CE622*MAX(1,IF(H622&gt;0,AQ622/H622,1))),IF(R622&gt;0,AR622/R622,0))/MAX(0.1,N(Parameter!$M$21)))</f>
        <v>0.00357142857142857</v>
      </c>
      <c r="AT622" s="62" t="n">
        <f aca="false">AS622*CC622</f>
        <v>0.553571428571429</v>
      </c>
      <c r="AU622" s="63" t="n">
        <f aca="false">IF(LEFT(Cockpit!$I$5,1)="A",H622,IF(CI622=1,(CL622+CJ622)/2,IF(LEFT(Cockpit!$I$5,1)="B",(CL622+AW622)/2,MAX((CL622+AW622)/2,H622))))</f>
        <v>1</v>
      </c>
      <c r="AV622" s="62" t="n">
        <f aca="false">AU622*G622</f>
        <v>2.97</v>
      </c>
      <c r="AW622" s="62" t="n">
        <f aca="false">ROUNDUP(CL622+MAX(CM622,2*(J622/IF(CH622&gt;0,CH622,MAX(0.1,N(Cockpit!$I$6)))-CL622)),0)</f>
        <v>1</v>
      </c>
      <c r="AX622" s="63" t="n">
        <f aca="false">IF(AT622&gt;0,J622/AT622,-1)</f>
        <v>0</v>
      </c>
      <c r="AY622" s="63" t="n">
        <f aca="false">IF(AND(OR(CG622="L1",CG622="L23",CG622="LIFT"),AT622&gt;0),SUMIFS($AT$7:$AT$1843,$CG$7:$CG$1843,CG622,$AX$7:$AX$1843,"&gt;"&amp;AX622)+SUMIFS($AT$7:$AT$1843,$CG$7:$CG$1843,CG622,$AX$7:$AX$1843,AX622,$BX$7:$BX$1843,"&lt;="&amp;BX622),"")</f>
        <v>33913.3983516484</v>
      </c>
      <c r="AZ622" s="70" t="n">
        <f aca="false">IF(AY622="",0,MAX(0,MIN(1,(IF(CG622="L1",Parameter!$H$5,IF(CG622="L23",Parameter!$H$6+Parameter!$H$7,Parameter!$H$5+Parameter!$H$6+Parameter!$H$7))-(AY622-AT622))/AT622)))</f>
        <v>1</v>
      </c>
      <c r="BA622" s="62" t="n">
        <f aca="false">IF(LEFT(Cockpit!$O$5,1)="A",H622,IF(Parameter!$E$30="MAX-Bestand",IF(CI622=1,CJ622,IF(LEFT(Cockpit!$O$5,1)="B",BG622,MAX(BG622,H622))),ROUNDUP(BE622,0)))</f>
        <v>1</v>
      </c>
      <c r="BB622" s="62" t="n">
        <f aca="false">IF(CA622=1,0,ROUNDUP(BA622/BZ622,0))</f>
        <v>1</v>
      </c>
      <c r="BC622" s="64" t="n">
        <f aca="false">IF(CR622&gt;0,CR622*MAX(1,BA622/X622),IF(CA622=1,IF(BA622&lt;=0,0,CE622*MAX(1,IF(H622&gt;0,BA622/H622,1))),IF(R622&gt;0,BB622/R622,0))/MAX(0.1,N(Parameter!$M$21)))</f>
        <v>0.00357142857142857</v>
      </c>
      <c r="BD622" s="62" t="n">
        <f aca="false">BC622*CC622</f>
        <v>0.553571428571429</v>
      </c>
      <c r="BE622" s="63" t="n">
        <f aca="false">IF(LEFT(Cockpit!$O$5,1)="A",H622,IF(CI622=1,(CL622+CJ622)/2,IF(LEFT(Cockpit!$O$5,1)="B",(CL622+BG622)/2,MAX((CL622+BG622)/2,H622))))</f>
        <v>0.5</v>
      </c>
      <c r="BF622" s="62" t="n">
        <f aca="false">BE622*G622</f>
        <v>1.485</v>
      </c>
      <c r="BG622" s="62" t="n">
        <f aca="false">ROUNDUP(CL622+MAX(CM622,2*(J622/IF(CH622&gt;0,CH622,MAX(0.1,N(Cockpit!$O$6)))-CL622)),0)</f>
        <v>1</v>
      </c>
      <c r="BH622" s="63" t="n">
        <f aca="false">IF(BD622&gt;0,J622/BD622,-1)</f>
        <v>0</v>
      </c>
      <c r="BI622" s="63" t="n">
        <f aca="false">IF(AND(OR(CG622="L1",CG622="L23",CG622="LIFT"),BD622&gt;0),SUMIFS($BD$7:$BD$1843,$CG$7:$CG$1843,CG622,$BH$7:$BH$1843,"&gt;"&amp;BH622)+SUMIFS($BD$7:$BD$1843,$CG$7:$CG$1843,CG622,$BH$7:$BH$1843,BH622,$BX$7:$BX$1843,"&lt;="&amp;BX622),"")</f>
        <v>27985.7031802943</v>
      </c>
      <c r="BJ622" s="70" t="n">
        <f aca="false">IF(BI622="",0,MAX(0,MIN(1,(IF(CG622="L1",Parameter!$H$5,IF(CG622="L23",Parameter!$H$6+Parameter!$H$7,Parameter!$H$5+Parameter!$H$6+Parameter!$H$7))-(BI622-BD622))/BD622)))</f>
        <v>1</v>
      </c>
      <c r="BK622" s="60" t="str">
        <f aca="false">IF(AJ622&lt;=0,"",IF(CG622="Aussen","Aussenlager",IF(CG622="-","Nicht im Lift",IF(AP622&gt;=1,"Lift",IF(AP622&lt;=0,"Aussenlager","teilweise")))))</f>
        <v>Lift</v>
      </c>
      <c r="BL622" s="60" t="str">
        <f aca="false">IF(AT622&lt;=0,"",IF(CG622="Aussen","Aussenlager",IF(CG622="-","Nicht im Lift",IF(AZ622&gt;=1,"Lift",IF(AZ622&lt;=0,"Aussenlager","teilweise")))))</f>
        <v>Lift</v>
      </c>
      <c r="BM622" s="60" t="str">
        <f aca="false">IF(BD622&lt;=0,"",IF(CG622="Aussen","Aussenlager",IF(CG622="-","Nicht im Lift",IF(BJ622&gt;=1,"Lift",IF(BJ622&lt;=0,"Aussenlager","teilweise")))))</f>
        <v>Lift</v>
      </c>
      <c r="BN622" s="60" t="str">
        <f aca="false">IF(A622="","",IF(BW622=1,"Neu; ","")&amp;IF(AND(BW622=0,BR622&lt;0),"negativer Bestand (Export "&amp;BR622&amp;"); ","")&amp;IF(J622&lt;=0,"Kein Verbrauch; ","")&amp;IF(CR622&gt;0,"Lift "&amp;W622&amp;" lt. Liftbericht (Fach "&amp;X622&amp;" Stk); ",IF(CB622=1,"Gebinde geschätzt ("&amp;T622&amp;"); ",IF(CA622=1,"Lose – Tablare geschätzt; ","")))&amp;IF(H622&gt;AW622,"Überbestand "&amp;ROUND(H622-AW622,0)&amp;" Stk / CHF "&amp;ROUND((H622-AW622)*G622,0)&amp;"; ","")&amp;IF(AND(CI622=1,CJ622&lt;CK622),"MAX &lt; MB+LG; ","")&amp;IF(AND(CQ622&gt;0,CP622*10&gt;CQ622),"zu hoch für Tablar; ","")&amp;IF(AND(BW622=0,OR(CI622=1,AB622&lt;&gt;"",U622&lt;&gt;"",V622&lt;&gt;"",AC622&lt;&gt;"")),"manuell übersteuert; ","")&amp;IF(AND(CA622=0,R622=0),"Gebinde unbekannt / Stellmass fehlt; ","")&amp;IF(AND(CA622=0,N(V622)&lt;=0,N(Q622)&lt;=0),"Menge pro Gebinde fehlt (Ist = 1 Gebinde); ","")&amp;BV622)</f>
        <v>Kein Verbrauch; Verb.Lager</v>
      </c>
      <c r="BO622" s="60"/>
      <c r="BP622" s="60"/>
      <c r="BQ622" s="67"/>
      <c r="BR622" s="62" t="n">
        <v>1</v>
      </c>
      <c r="BS622" s="62" t="n">
        <v>0</v>
      </c>
      <c r="BT622" s="61" t="n">
        <v>2.97</v>
      </c>
      <c r="BU622" s="62" t="n">
        <v>0</v>
      </c>
      <c r="BV622" s="60" t="s">
        <v>1072</v>
      </c>
      <c r="BW622" s="65" t="n">
        <v>0</v>
      </c>
      <c r="BX622" s="65" t="n">
        <v>622</v>
      </c>
      <c r="BY622" s="60" t="str">
        <f aca="false">IF(U622&lt;&gt;"",UPPER(TRIM(U622)),IF(CB622=1,UPPER(VLOOKUP(T622,Parameter!$I$27:$K$29,2,0)),IF(P622="","LOSE",P622)))</f>
        <v>S21</v>
      </c>
      <c r="BZ622" s="62" t="n">
        <f aca="false">IF(BY622="LOSE",1,IF(N(V622)&gt;0,V622,IF(CB622=1,MAX(1,N(VLOOKUP(T622,Parameter!$I$27:$K$29,3,0)),H622,N(N622)),IF(N(Q622)&gt;0,Q622,MAX(1,H622)))))</f>
        <v>20</v>
      </c>
      <c r="CA622" s="65" t="n">
        <f aca="false">IF(BY622="LOSE",1,0)</f>
        <v>0</v>
      </c>
      <c r="CB622" s="65" t="n">
        <f aca="false">IF(AND(U622="",OR(P622="",P622="LOSE"),T622&lt;&gt;"",N(S622)&lt;=0,ISNUMBER(MATCH(T622,Parameter!$I$27:$I$29,0))),1,0)</f>
        <v>0</v>
      </c>
      <c r="CC622" s="65" t="n">
        <f aca="false">IF(CR622&gt;0,INDEX(Parameter!$H$5:$H$7,W622)/INDEX(Parameter!$E$5:$E$7,W622),IF(AND(CA622=0,N(IFERROR(VLOOKUP(BY622,'Gebinde-Kategorie'!$A$5:$N$45,14,0),0))&gt;0),VLOOKUP(BY622,'Gebinde-Kategorie'!$A$5:$N$45,14,0)*10+Parameter!$M$23,Parameter!$M$24))</f>
        <v>155</v>
      </c>
      <c r="CD622" s="60" t="str">
        <f aca="false">IF(AND(Parameter!$B$19="Ja",E622&lt;&gt;"",ISNUMBER(MATCH(E622,Parameter!$I$35:$I$52,0))),VLOOKUP(E622,Parameter!$I$35:$J$52,2,0),IFERROR(VLOOKUP(D622,Parameter!$A$35:$C$64,2,0),"Nein"))</f>
        <v>2+3</v>
      </c>
      <c r="CE622" s="64" t="n">
        <f aca="false">IF(CA622=0,0,IF(N(S622)&gt;0,S622,IFERROR(VLOOKUP(D622,Parameter!$A$35:$C$64,3,0)+0,0)))</f>
        <v>0</v>
      </c>
      <c r="CF622" s="60" t="n">
        <f aca="false">IF(AB622&lt;&gt;"",AB622,AA622)</f>
        <v>3</v>
      </c>
      <c r="CG622" s="60" t="str">
        <f aca="false">IF(OR(CF622=1,CF622=2,CF622=3),IF(Parameter!$E$27="Ja","LIFT",IF(CF622=1,"L1","L23")),IF(CF622="Aussen","Aussen","-"))</f>
        <v>LIFT</v>
      </c>
      <c r="CH622" s="71" t="n">
        <f aca="false">IF(N(AC622)&gt;0,AC622,0)</f>
        <v>0</v>
      </c>
      <c r="CI622" s="65" t="n">
        <f aca="false">IF(ISNUMBER(AF622),1,0)</f>
        <v>0</v>
      </c>
      <c r="CJ622" s="62" t="n">
        <f aca="false">N(AF622)</f>
        <v>0</v>
      </c>
      <c r="CK622" s="62" t="n">
        <f aca="false">N(M622)+N(N622)</f>
        <v>1</v>
      </c>
      <c r="CL622" s="62" t="n">
        <f aca="false">N(M622)</f>
        <v>0</v>
      </c>
      <c r="CM622" s="62" t="n">
        <f aca="false">N(N622)</f>
        <v>1</v>
      </c>
      <c r="CN622" s="62" t="n">
        <f aca="false">ROUNDUP(H622/BZ622,0)</f>
        <v>1</v>
      </c>
      <c r="CO622" s="62" t="n">
        <f aca="false">ROUNDUP(CJ622/BZ622,0)</f>
        <v>0</v>
      </c>
      <c r="CP622" s="65" t="n">
        <f aca="false">IF(CA622=1,0,IFERROR(VLOOKUP(BY622,'Gebinde-Kategorie'!$A$5:$N$45,5,0)+0,0))</f>
        <v>8</v>
      </c>
      <c r="CQ622" s="65" t="n">
        <f aca="false">IFERROR(IF(OR(CF622=1,CF622=2,CF622=3),N(INDEX(Parameter!$I$5:$I$7,CF622)),0),0)</f>
        <v>0</v>
      </c>
      <c r="CR622" s="64" t="n">
        <f aca="false">IF(AND(Parameter!$B$21="Ja",ISNUMBER(W622),N(X622)&gt;0),IFERROR(N(INDEX(Parameter!$L$5:$L$7,W622))*INDEX(Parameter!$E$5:$E$7,W622)*X622/SUMIFS($X$7:$X$1843,$W$7:$W$1843,W622),0),0)</f>
        <v>0</v>
      </c>
      <c r="CS622" s="62" t="n">
        <f aca="false">IF(AND(OR(CG622="L1",CG622="L23",CG622="LIFT"),H622&gt;0),CC622*IF(CR622&gt;0,CR622*MAX(1,H622/X622),IF(CA622=1,CE622,IF(R622&gt;0,CN622/R622,0))/MAX(0.1,N(Parameter!$M$21))),"")</f>
        <v>0.553571428571429</v>
      </c>
      <c r="CT622" s="64" t="n">
        <f aca="false">IF(CS622="","",J622/H622)</f>
        <v>0</v>
      </c>
      <c r="CU622" s="62" t="n">
        <f aca="false">IF(CS622="","",H622*G622)</f>
        <v>2.97</v>
      </c>
      <c r="CV622" s="63" t="n">
        <f aca="false">IF(CS622="","",(CL622+ROUNDUP(CL622+MAX(CM622,2*(J622/MAX(0.1,N(Einkauf!$C$6))-CL622)),0))/2)</f>
        <v>0.5</v>
      </c>
      <c r="CW622" s="62" t="n">
        <f aca="false">IF(CS622="","",MAX(0,H622-CV622)*G622)</f>
        <v>1.485</v>
      </c>
      <c r="CX622" s="62" t="n">
        <f aca="false">IF(CS622="","",CS622*MAX(0,1-CV622/H622))</f>
        <v>0.276785714285714</v>
      </c>
      <c r="CY622" s="64" t="n">
        <f aca="false">IF(CS622="","",PERCENTRANK($CS$7:$CS$1843,CS622)+PERCENTRANK($CU$7:$CU$1843,CU622)+1-PERCENTRANK($CT$7:$CT$1843,CT622))</f>
        <v>1.015</v>
      </c>
      <c r="CZ622" s="72" t="n">
        <f aca="false">IF(CS622="","",CHOOSE(MATCH(Einkauf!$C$5,Parameter!$G$23:$G$27,0),CY622,CS622,CU622,-CT622,CW622)+ROW()/1000000000)</f>
        <v>1.015000622</v>
      </c>
    </row>
    <row r="623" customFormat="false" ht="15" hidden="false" customHeight="false" outlineLevel="0" collapsed="false">
      <c r="A623" s="60" t="s">
        <v>1322</v>
      </c>
      <c r="B623" s="60" t="s">
        <v>1323</v>
      </c>
      <c r="C623" s="60" t="s">
        <v>206</v>
      </c>
      <c r="D623" s="60" t="s">
        <v>226</v>
      </c>
      <c r="E623" s="60" t="s">
        <v>227</v>
      </c>
      <c r="F623" s="60" t="s">
        <v>260</v>
      </c>
      <c r="G623" s="61" t="n">
        <v>0.72</v>
      </c>
      <c r="H623" s="62" t="n">
        <f aca="false">MAX(0,IF(AND(Parameter!$B$21="Ja",ISNUMBER(Y623)),Y623,IF(Parameter!$B$20="Jahresanfang 2025 + Export",BS623+BR623,BR623)))</f>
        <v>119</v>
      </c>
      <c r="I623" s="62" t="n">
        <f aca="false">H623*G623</f>
        <v>85.68</v>
      </c>
      <c r="J623" s="62" t="n">
        <f aca="false">BU623*Parameter!$B$18</f>
        <v>0</v>
      </c>
      <c r="K623" s="63" t="n">
        <v>117.5</v>
      </c>
      <c r="L623" s="64" t="n">
        <v>0</v>
      </c>
      <c r="M623" s="62" t="n">
        <v>0</v>
      </c>
      <c r="N623" s="62" t="n">
        <v>1</v>
      </c>
      <c r="O623" s="65" t="n">
        <v>21</v>
      </c>
      <c r="P623" s="60" t="s">
        <v>463</v>
      </c>
      <c r="Q623" s="62" t="n">
        <v>132</v>
      </c>
      <c r="R623" s="65" t="n">
        <f aca="false">IF(CA623=1,0,IFERROR(VLOOKUP(BY623,'Gebinde-Kategorie'!$A$5:$N$45,13,0)+0,0))</f>
        <v>104</v>
      </c>
      <c r="S623" s="66"/>
      <c r="T623" s="67"/>
      <c r="U623" s="67"/>
      <c r="V623" s="67"/>
      <c r="W623" s="60"/>
      <c r="X623" s="62"/>
      <c r="Y623" s="62"/>
      <c r="Z623" s="60" t="n">
        <v>1</v>
      </c>
      <c r="AA623" s="60" t="n">
        <f aca="false">IF(A623="","",IF(AND(Parameter!$B$21="Ja",ISNUMBER(W623)),W623,IF(AND(Parameter!$E$27="Ja",ISNUMBER(Z623),CD623&lt;&gt;"Nein"),Z623,IF(CD623="2+3",IF(ISNUMBER(SEARCH("grosser Artikel",BV623)),2,IFERROR(VLOOKUP(BY623,Parameter!$F$35:$G$64,2,0),2)),IF(OR(CD623="Nein",CD623=""),"-",CD623)))))</f>
        <v>1</v>
      </c>
      <c r="AB623" s="67"/>
      <c r="AC623" s="68"/>
      <c r="AD623" s="62" t="n">
        <f aca="false">AW623</f>
        <v>1</v>
      </c>
      <c r="AE623" s="62" t="n">
        <f aca="false">MAX(AW623,H623)</f>
        <v>119</v>
      </c>
      <c r="AF623" s="69"/>
      <c r="AG623" s="62" t="n">
        <f aca="false">IF(LEFT(Cockpit!$C$5,1)="A",H623,IF(Parameter!$E$30="MAX-Bestand",IF(CI623=1,CJ623,IF(LEFT(Cockpit!$C$5,1)="B",AM623,MAX(AM623,H623))),ROUNDUP(AK623,0)))</f>
        <v>119</v>
      </c>
      <c r="AH623" s="62" t="n">
        <f aca="false">IF(CA623=1,0,ROUNDUP(AG623/BZ623,0))</f>
        <v>1</v>
      </c>
      <c r="AI623" s="64" t="n">
        <f aca="false">IF(CR623&gt;0,CR623*MAX(1,AG623/X623),IF(CA623=1,IF(AG623&lt;=0,0,CE623*MAX(1,IF(H623&gt;0,AG623/H623,1))),IF(R623&gt;0,AH623/R623,0))/MAX(0.1,N(Parameter!$M$21)))</f>
        <v>0.00961538461538462</v>
      </c>
      <c r="AJ623" s="62" t="n">
        <f aca="false">AI623*CC623</f>
        <v>1.49038461538462</v>
      </c>
      <c r="AK623" s="63" t="n">
        <f aca="false">IF(LEFT(Cockpit!$C$5,1)="A",H623,IF(CI623=1,(CL623+CJ623)/2,IF(LEFT(Cockpit!$C$5,1)="B",(CL623+AM623)/2,MAX((CL623+AM623)/2,H623))))</f>
        <v>119</v>
      </c>
      <c r="AL623" s="62" t="n">
        <f aca="false">AK623*G623</f>
        <v>85.68</v>
      </c>
      <c r="AM623" s="62" t="n">
        <f aca="false">ROUNDUP(CL623+MAX(CM623,2*(J623/IF(CH623&gt;0,CH623,MAX(0.1,N(Cockpit!$C$6)))-CL623)),0)</f>
        <v>1</v>
      </c>
      <c r="AN623" s="63" t="n">
        <f aca="false">IF(AJ623&gt;0,J623/AJ623,-1)</f>
        <v>0</v>
      </c>
      <c r="AO623" s="63" t="n">
        <f aca="false">IF(AND(OR(CG623="L1",CG623="L23",CG623="LIFT"),AJ623&gt;0),SUMIFS($AJ$7:$AJ$1843,$CG$7:$CG$1843,CG623,$AN$7:$AN$1843,"&gt;"&amp;AN623)+SUMIFS($AJ$7:$AJ$1843,$CG$7:$CG$1843,CG623,$AN$7:$AN$1843,AN623,$BX$7:$BX$1843,"&lt;="&amp;BX623),"")</f>
        <v>28561.7400948863</v>
      </c>
      <c r="AP623" s="70" t="n">
        <f aca="false">IF(AO623="",0,MAX(0,MIN(1,(IF(CG623="L1",Parameter!$H$5,IF(CG623="L23",Parameter!$H$6+Parameter!$H$7,Parameter!$H$5+Parameter!$H$6+Parameter!$H$7))-(AO623-AJ623))/AJ623)))</f>
        <v>1</v>
      </c>
      <c r="AQ623" s="62" t="n">
        <f aca="false">IF(LEFT(Cockpit!$I$5,1)="A",H623,IF(Parameter!$E$30="MAX-Bestand",IF(CI623=1,CJ623,IF(LEFT(Cockpit!$I$5,1)="B",AW623,MAX(AW623,H623))),ROUNDUP(AU623,0)))</f>
        <v>119</v>
      </c>
      <c r="AR623" s="62" t="n">
        <f aca="false">IF(CA623=1,0,ROUNDUP(AQ623/BZ623,0))</f>
        <v>1</v>
      </c>
      <c r="AS623" s="64" t="n">
        <f aca="false">IF(CR623&gt;0,CR623*MAX(1,AQ623/X623),IF(CA623=1,IF(AQ623&lt;=0,0,CE623*MAX(1,IF(H623&gt;0,AQ623/H623,1))),IF(R623&gt;0,AR623/R623,0))/MAX(0.1,N(Parameter!$M$21)))</f>
        <v>0.00961538461538462</v>
      </c>
      <c r="AT623" s="62" t="n">
        <f aca="false">AS623*CC623</f>
        <v>1.49038461538462</v>
      </c>
      <c r="AU623" s="63" t="n">
        <f aca="false">IF(LEFT(Cockpit!$I$5,1)="A",H623,IF(CI623=1,(CL623+CJ623)/2,IF(LEFT(Cockpit!$I$5,1)="B",(CL623+AW623)/2,MAX((CL623+AW623)/2,H623))))</f>
        <v>119</v>
      </c>
      <c r="AV623" s="62" t="n">
        <f aca="false">AU623*G623</f>
        <v>85.68</v>
      </c>
      <c r="AW623" s="62" t="n">
        <f aca="false">ROUNDUP(CL623+MAX(CM623,2*(J623/IF(CH623&gt;0,CH623,MAX(0.1,N(Cockpit!$I$6)))-CL623)),0)</f>
        <v>1</v>
      </c>
      <c r="AX623" s="63" t="n">
        <f aca="false">IF(AT623&gt;0,J623/AT623,-1)</f>
        <v>0</v>
      </c>
      <c r="AY623" s="63" t="n">
        <f aca="false">IF(AND(OR(CG623="L1",CG623="L23",CG623="LIFT"),AT623&gt;0),SUMIFS($AT$7:$AT$1843,$CG$7:$CG$1843,CG623,$AX$7:$AX$1843,"&gt;"&amp;AX623)+SUMIFS($AT$7:$AT$1843,$CG$7:$CG$1843,CG623,$AX$7:$AX$1843,AX623,$BX$7:$BX$1843,"&lt;="&amp;BX623),"")</f>
        <v>33914.8887362637</v>
      </c>
      <c r="AZ623" s="70" t="n">
        <f aca="false">IF(AY623="",0,MAX(0,MIN(1,(IF(CG623="L1",Parameter!$H$5,IF(CG623="L23",Parameter!$H$6+Parameter!$H$7,Parameter!$H$5+Parameter!$H$6+Parameter!$H$7))-(AY623-AT623))/AT623)))</f>
        <v>1</v>
      </c>
      <c r="BA623" s="62" t="n">
        <f aca="false">IF(LEFT(Cockpit!$O$5,1)="A",H623,IF(Parameter!$E$30="MAX-Bestand",IF(CI623=1,CJ623,IF(LEFT(Cockpit!$O$5,1)="B",BG623,MAX(BG623,H623))),ROUNDUP(BE623,0)))</f>
        <v>1</v>
      </c>
      <c r="BB623" s="62" t="n">
        <f aca="false">IF(CA623=1,0,ROUNDUP(BA623/BZ623,0))</f>
        <v>1</v>
      </c>
      <c r="BC623" s="64" t="n">
        <f aca="false">IF(CR623&gt;0,CR623*MAX(1,BA623/X623),IF(CA623=1,IF(BA623&lt;=0,0,CE623*MAX(1,IF(H623&gt;0,BA623/H623,1))),IF(R623&gt;0,BB623/R623,0))/MAX(0.1,N(Parameter!$M$21)))</f>
        <v>0.00961538461538462</v>
      </c>
      <c r="BD623" s="62" t="n">
        <f aca="false">BC623*CC623</f>
        <v>1.49038461538462</v>
      </c>
      <c r="BE623" s="63" t="n">
        <f aca="false">IF(LEFT(Cockpit!$O$5,1)="A",H623,IF(CI623=1,(CL623+CJ623)/2,IF(LEFT(Cockpit!$O$5,1)="B",(CL623+BG623)/2,MAX((CL623+BG623)/2,H623))))</f>
        <v>0.5</v>
      </c>
      <c r="BF623" s="62" t="n">
        <f aca="false">BE623*G623</f>
        <v>0.36</v>
      </c>
      <c r="BG623" s="62" t="n">
        <f aca="false">ROUNDUP(CL623+MAX(CM623,2*(J623/IF(CH623&gt;0,CH623,MAX(0.1,N(Cockpit!$O$6)))-CL623)),0)</f>
        <v>1</v>
      </c>
      <c r="BH623" s="63" t="n">
        <f aca="false">IF(BD623&gt;0,J623/BD623,-1)</f>
        <v>0</v>
      </c>
      <c r="BI623" s="63" t="n">
        <f aca="false">IF(AND(OR(CG623="L1",CG623="L23",CG623="LIFT"),BD623&gt;0),SUMIFS($BD$7:$BD$1843,$CG$7:$CG$1843,CG623,$BH$7:$BH$1843,"&gt;"&amp;BH623)+SUMIFS($BD$7:$BD$1843,$CG$7:$CG$1843,CG623,$BH$7:$BH$1843,BH623,$BX$7:$BX$1843,"&lt;="&amp;BX623),"")</f>
        <v>27987.1935649097</v>
      </c>
      <c r="BJ623" s="70" t="n">
        <f aca="false">IF(BI623="",0,MAX(0,MIN(1,(IF(CG623="L1",Parameter!$H$5,IF(CG623="L23",Parameter!$H$6+Parameter!$H$7,Parameter!$H$5+Parameter!$H$6+Parameter!$H$7))-(BI623-BD623))/BD623)))</f>
        <v>1</v>
      </c>
      <c r="BK623" s="60" t="str">
        <f aca="false">IF(AJ623&lt;=0,"",IF(CG623="Aussen","Aussenlager",IF(CG623="-","Nicht im Lift",IF(AP623&gt;=1,"Lift",IF(AP623&lt;=0,"Aussenlager","teilweise")))))</f>
        <v>Lift</v>
      </c>
      <c r="BL623" s="60" t="str">
        <f aca="false">IF(AT623&lt;=0,"",IF(CG623="Aussen","Aussenlager",IF(CG623="-","Nicht im Lift",IF(AZ623&gt;=1,"Lift",IF(AZ623&lt;=0,"Aussenlager","teilweise")))))</f>
        <v>Lift</v>
      </c>
      <c r="BM623" s="60" t="str">
        <f aca="false">IF(BD623&lt;=0,"",IF(CG623="Aussen","Aussenlager",IF(CG623="-","Nicht im Lift",IF(BJ623&gt;=1,"Lift",IF(BJ623&lt;=0,"Aussenlager","teilweise")))))</f>
        <v>Lift</v>
      </c>
      <c r="BN623" s="60" t="str">
        <f aca="false">IF(A623="","",IF(BW623=1,"Neu; ","")&amp;IF(AND(BW623=0,BR623&lt;0),"negativer Bestand (Export "&amp;BR623&amp;"); ","")&amp;IF(J623&lt;=0,"Kein Verbrauch; ","")&amp;IF(CR623&gt;0,"Lift "&amp;W623&amp;" lt. Liftbericht (Fach "&amp;X623&amp;" Stk); ",IF(CB623=1,"Gebinde geschätzt ("&amp;T623&amp;"); ",IF(CA623=1,"Lose – Tablare geschätzt; ","")))&amp;IF(H623&gt;AW623,"Überbestand "&amp;ROUND(H623-AW623,0)&amp;" Stk / CHF "&amp;ROUND((H623-AW623)*G623,0)&amp;"; ","")&amp;IF(AND(CI623=1,CJ623&lt;CK623),"MAX &lt; MB+LG; ","")&amp;IF(AND(CQ623&gt;0,CP623*10&gt;CQ623),"zu hoch für Tablar; ","")&amp;IF(AND(BW623=0,OR(CI623=1,AB623&lt;&gt;"",U623&lt;&gt;"",V623&lt;&gt;"",AC623&lt;&gt;"")),"manuell übersteuert; ","")&amp;IF(AND(CA623=0,R623=0),"Gebinde unbekannt / Stellmass fehlt; ","")&amp;IF(AND(CA623=0,N(V623)&lt;=0,N(Q623)&lt;=0),"Menge pro Gebinde fehlt (Ist = 1 Gebinde); ","")&amp;BV623)</f>
        <v>Kein Verbrauch; Überbestand 118 Stk / CHF 85; </v>
      </c>
      <c r="BO623" s="60"/>
      <c r="BP623" s="60"/>
      <c r="BQ623" s="67"/>
      <c r="BR623" s="62" t="n">
        <v>4</v>
      </c>
      <c r="BS623" s="62" t="n">
        <v>115</v>
      </c>
      <c r="BT623" s="61" t="n">
        <v>2.88</v>
      </c>
      <c r="BU623" s="62" t="n">
        <v>0</v>
      </c>
      <c r="BV623" s="60"/>
      <c r="BW623" s="65" t="n">
        <v>0</v>
      </c>
      <c r="BX623" s="65" t="n">
        <v>623</v>
      </c>
      <c r="BY623" s="60" t="str">
        <f aca="false">IF(U623&lt;&gt;"",UPPER(TRIM(U623)),IF(CB623=1,UPPER(VLOOKUP(T623,Parameter!$I$27:$K$29,2,0)),IF(P623="","LOSE",P623)))</f>
        <v>S32</v>
      </c>
      <c r="BZ623" s="62" t="n">
        <f aca="false">IF(BY623="LOSE",1,IF(N(V623)&gt;0,V623,IF(CB623=1,MAX(1,N(VLOOKUP(T623,Parameter!$I$27:$K$29,3,0)),H623,N(N623)),IF(N(Q623)&gt;0,Q623,MAX(1,H623)))))</f>
        <v>132</v>
      </c>
      <c r="CA623" s="65" t="n">
        <f aca="false">IF(BY623="LOSE",1,0)</f>
        <v>0</v>
      </c>
      <c r="CB623" s="65" t="n">
        <f aca="false">IF(AND(U623="",OR(P623="",P623="LOSE"),T623&lt;&gt;"",N(S623)&lt;=0,ISNUMBER(MATCH(T623,Parameter!$I$27:$I$29,0))),1,0)</f>
        <v>0</v>
      </c>
      <c r="CC623" s="65" t="n">
        <f aca="false">IF(CR623&gt;0,INDEX(Parameter!$H$5:$H$7,W623)/INDEX(Parameter!$E$5:$E$7,W623),IF(AND(CA623=0,N(IFERROR(VLOOKUP(BY623,'Gebinde-Kategorie'!$A$5:$N$45,14,0),0))&gt;0),VLOOKUP(BY623,'Gebinde-Kategorie'!$A$5:$N$45,14,0)*10+Parameter!$M$23,Parameter!$M$24))</f>
        <v>155</v>
      </c>
      <c r="CD623" s="60" t="str">
        <f aca="false">IF(AND(Parameter!$B$19="Ja",E623&lt;&gt;"",ISNUMBER(MATCH(E623,Parameter!$I$35:$I$52,0))),VLOOKUP(E623,Parameter!$I$35:$J$52,2,0),IFERROR(VLOOKUP(D623,Parameter!$A$35:$C$64,2,0),"Nein"))</f>
        <v>2+3</v>
      </c>
      <c r="CE623" s="64" t="n">
        <f aca="false">IF(CA623=0,0,IF(N(S623)&gt;0,S623,IFERROR(VLOOKUP(D623,Parameter!$A$35:$C$64,3,0)+0,0)))</f>
        <v>0</v>
      </c>
      <c r="CF623" s="60" t="n">
        <f aca="false">IF(AB623&lt;&gt;"",AB623,AA623)</f>
        <v>1</v>
      </c>
      <c r="CG623" s="60" t="str">
        <f aca="false">IF(OR(CF623=1,CF623=2,CF623=3),IF(Parameter!$E$27="Ja","LIFT",IF(CF623=1,"L1","L23")),IF(CF623="Aussen","Aussen","-"))</f>
        <v>LIFT</v>
      </c>
      <c r="CH623" s="71" t="n">
        <f aca="false">IF(N(AC623)&gt;0,AC623,0)</f>
        <v>0</v>
      </c>
      <c r="CI623" s="65" t="n">
        <f aca="false">IF(ISNUMBER(AF623),1,0)</f>
        <v>0</v>
      </c>
      <c r="CJ623" s="62" t="n">
        <f aca="false">N(AF623)</f>
        <v>0</v>
      </c>
      <c r="CK623" s="62" t="n">
        <f aca="false">N(M623)+N(N623)</f>
        <v>1</v>
      </c>
      <c r="CL623" s="62" t="n">
        <f aca="false">N(M623)</f>
        <v>0</v>
      </c>
      <c r="CM623" s="62" t="n">
        <f aca="false">N(N623)</f>
        <v>1</v>
      </c>
      <c r="CN623" s="62" t="n">
        <f aca="false">ROUNDUP(H623/BZ623,0)</f>
        <v>1</v>
      </c>
      <c r="CO623" s="62" t="n">
        <f aca="false">ROUNDUP(CJ623/BZ623,0)</f>
        <v>0</v>
      </c>
      <c r="CP623" s="65" t="n">
        <f aca="false">IF(CA623=1,0,IFERROR(VLOOKUP(BY623,'Gebinde-Kategorie'!$A$5:$N$45,5,0)+0,0))</f>
        <v>8</v>
      </c>
      <c r="CQ623" s="65" t="n">
        <f aca="false">IFERROR(IF(OR(CF623=1,CF623=2,CF623=3),N(INDEX(Parameter!$I$5:$I$7,CF623)),0),0)</f>
        <v>0</v>
      </c>
      <c r="CR623" s="64" t="n">
        <f aca="false">IF(AND(Parameter!$B$21="Ja",ISNUMBER(W623),N(X623)&gt;0),IFERROR(N(INDEX(Parameter!$L$5:$L$7,W623))*INDEX(Parameter!$E$5:$E$7,W623)*X623/SUMIFS($X$7:$X$1843,$W$7:$W$1843,W623),0),0)</f>
        <v>0</v>
      </c>
      <c r="CS623" s="62" t="n">
        <f aca="false">IF(AND(OR(CG623="L1",CG623="L23",CG623="LIFT"),H623&gt;0),CC623*IF(CR623&gt;0,CR623*MAX(1,H623/X623),IF(CA623=1,CE623,IF(R623&gt;0,CN623/R623,0))/MAX(0.1,N(Parameter!$M$21))),"")</f>
        <v>1.49038461538462</v>
      </c>
      <c r="CT623" s="64" t="n">
        <f aca="false">IF(CS623="","",J623/H623)</f>
        <v>0</v>
      </c>
      <c r="CU623" s="62" t="n">
        <f aca="false">IF(CS623="","",H623*G623)</f>
        <v>85.68</v>
      </c>
      <c r="CV623" s="63" t="n">
        <f aca="false">IF(CS623="","",(CL623+ROUNDUP(CL623+MAX(CM623,2*(J623/MAX(0.1,N(Einkauf!$C$6))-CL623)),0))/2)</f>
        <v>0.5</v>
      </c>
      <c r="CW623" s="62" t="n">
        <f aca="false">IF(CS623="","",MAX(0,H623-CV623)*G623)</f>
        <v>85.32</v>
      </c>
      <c r="CX623" s="62" t="n">
        <f aca="false">IF(CS623="","",CS623*MAX(0,1-CV623/H623))</f>
        <v>1.48412249515191</v>
      </c>
      <c r="CY623" s="64" t="n">
        <f aca="false">IF(CS623="","",PERCENTRANK($CS$7:$CS$1843,CS623)+PERCENTRANK($CU$7:$CU$1843,CU623)+1-PERCENTRANK($CT$7:$CT$1843,CT623))</f>
        <v>1.327</v>
      </c>
      <c r="CZ623" s="72" t="n">
        <f aca="false">IF(CS623="","",CHOOSE(MATCH(Einkauf!$C$5,Parameter!$G$23:$G$27,0),CY623,CS623,CU623,-CT623,CW623)+ROW()/1000000000)</f>
        <v>1.327000623</v>
      </c>
    </row>
    <row r="624" customFormat="false" ht="15" hidden="false" customHeight="false" outlineLevel="0" collapsed="false">
      <c r="A624" s="60" t="s">
        <v>1324</v>
      </c>
      <c r="B624" s="60" t="s">
        <v>1304</v>
      </c>
      <c r="C624" s="60" t="s">
        <v>206</v>
      </c>
      <c r="D624" s="60" t="s">
        <v>226</v>
      </c>
      <c r="E624" s="60"/>
      <c r="F624" s="60" t="s">
        <v>260</v>
      </c>
      <c r="G624" s="61" t="n">
        <v>0.05</v>
      </c>
      <c r="H624" s="62" t="n">
        <f aca="false">MAX(0,IF(AND(Parameter!$B$21="Ja",ISNUMBER(Y624)),Y624,IF(Parameter!$B$20="Jahresanfang 2025 + Export",BS624+BR624,BR624)))</f>
        <v>66</v>
      </c>
      <c r="I624" s="62" t="n">
        <f aca="false">H624*G624</f>
        <v>3.3</v>
      </c>
      <c r="J624" s="62" t="n">
        <f aca="false">BU624*Parameter!$B$18</f>
        <v>0</v>
      </c>
      <c r="K624" s="63" t="n">
        <v>51.5</v>
      </c>
      <c r="L624" s="64" t="n">
        <v>0</v>
      </c>
      <c r="M624" s="62" t="n">
        <v>0</v>
      </c>
      <c r="N624" s="62" t="n">
        <v>25</v>
      </c>
      <c r="O624" s="65" t="n">
        <v>14</v>
      </c>
      <c r="P624" s="60" t="s">
        <v>443</v>
      </c>
      <c r="Q624" s="62" t="n">
        <v>100</v>
      </c>
      <c r="R624" s="65" t="n">
        <f aca="false">IF(CA624=1,0,IFERROR(VLOOKUP(BY624,'Gebinde-Kategorie'!$A$5:$N$45,13,0)+0,0))</f>
        <v>280</v>
      </c>
      <c r="S624" s="66"/>
      <c r="T624" s="67"/>
      <c r="U624" s="67"/>
      <c r="V624" s="67"/>
      <c r="W624" s="60"/>
      <c r="X624" s="62"/>
      <c r="Y624" s="62"/>
      <c r="Z624" s="60" t="n">
        <v>3</v>
      </c>
      <c r="AA624" s="60" t="n">
        <f aca="false">IF(A624="","",IF(AND(Parameter!$B$21="Ja",ISNUMBER(W624)),W624,IF(AND(Parameter!$E$27="Ja",ISNUMBER(Z624),CD624&lt;&gt;"Nein"),Z624,IF(CD624="2+3",IF(ISNUMBER(SEARCH("grosser Artikel",BV624)),2,IFERROR(VLOOKUP(BY624,Parameter!$F$35:$G$64,2,0),2)),IF(OR(CD624="Nein",CD624=""),"-",CD624)))))</f>
        <v>3</v>
      </c>
      <c r="AB624" s="67"/>
      <c r="AC624" s="68"/>
      <c r="AD624" s="62" t="n">
        <f aca="false">AW624</f>
        <v>25</v>
      </c>
      <c r="AE624" s="62" t="n">
        <f aca="false">MAX(AW624,H624)</f>
        <v>66</v>
      </c>
      <c r="AF624" s="69"/>
      <c r="AG624" s="62" t="n">
        <f aca="false">IF(LEFT(Cockpit!$C$5,1)="A",H624,IF(Parameter!$E$30="MAX-Bestand",IF(CI624=1,CJ624,IF(LEFT(Cockpit!$C$5,1)="B",AM624,MAX(AM624,H624))),ROUNDUP(AK624,0)))</f>
        <v>66</v>
      </c>
      <c r="AH624" s="62" t="n">
        <f aca="false">IF(CA624=1,0,ROUNDUP(AG624/BZ624,0))</f>
        <v>1</v>
      </c>
      <c r="AI624" s="64" t="n">
        <f aca="false">IF(CR624&gt;0,CR624*MAX(1,AG624/X624),IF(CA624=1,IF(AG624&lt;=0,0,CE624*MAX(1,IF(H624&gt;0,AG624/H624,1))),IF(R624&gt;0,AH624/R624,0))/MAX(0.1,N(Parameter!$M$21)))</f>
        <v>0.00357142857142857</v>
      </c>
      <c r="AJ624" s="62" t="n">
        <f aca="false">AI624*CC624</f>
        <v>0.553571428571429</v>
      </c>
      <c r="AK624" s="63" t="n">
        <f aca="false">IF(LEFT(Cockpit!$C$5,1)="A",H624,IF(CI624=1,(CL624+CJ624)/2,IF(LEFT(Cockpit!$C$5,1)="B",(CL624+AM624)/2,MAX((CL624+AM624)/2,H624))))</f>
        <v>66</v>
      </c>
      <c r="AL624" s="62" t="n">
        <f aca="false">AK624*G624</f>
        <v>3.3</v>
      </c>
      <c r="AM624" s="62" t="n">
        <f aca="false">ROUNDUP(CL624+MAX(CM624,2*(J624/IF(CH624&gt;0,CH624,MAX(0.1,N(Cockpit!$C$6)))-CL624)),0)</f>
        <v>25</v>
      </c>
      <c r="AN624" s="63" t="n">
        <f aca="false">IF(AJ624&gt;0,J624/AJ624,-1)</f>
        <v>0</v>
      </c>
      <c r="AO624" s="63" t="n">
        <f aca="false">IF(AND(OR(CG624="L1",CG624="L23",CG624="LIFT"),AJ624&gt;0),SUMIFS($AJ$7:$AJ$1843,$CG$7:$CG$1843,CG624,$AN$7:$AN$1843,"&gt;"&amp;AN624)+SUMIFS($AJ$7:$AJ$1843,$CG$7:$CG$1843,CG624,$AN$7:$AN$1843,AN624,$BX$7:$BX$1843,"&lt;="&amp;BX624),"")</f>
        <v>28562.2936663149</v>
      </c>
      <c r="AP624" s="70" t="n">
        <f aca="false">IF(AO624="",0,MAX(0,MIN(1,(IF(CG624="L1",Parameter!$H$5,IF(CG624="L23",Parameter!$H$6+Parameter!$H$7,Parameter!$H$5+Parameter!$H$6+Parameter!$H$7))-(AO624-AJ624))/AJ624)))</f>
        <v>1</v>
      </c>
      <c r="AQ624" s="62" t="n">
        <f aca="false">IF(LEFT(Cockpit!$I$5,1)="A",H624,IF(Parameter!$E$30="MAX-Bestand",IF(CI624=1,CJ624,IF(LEFT(Cockpit!$I$5,1)="B",AW624,MAX(AW624,H624))),ROUNDUP(AU624,0)))</f>
        <v>66</v>
      </c>
      <c r="AR624" s="62" t="n">
        <f aca="false">IF(CA624=1,0,ROUNDUP(AQ624/BZ624,0))</f>
        <v>1</v>
      </c>
      <c r="AS624" s="64" t="n">
        <f aca="false">IF(CR624&gt;0,CR624*MAX(1,AQ624/X624),IF(CA624=1,IF(AQ624&lt;=0,0,CE624*MAX(1,IF(H624&gt;0,AQ624/H624,1))),IF(R624&gt;0,AR624/R624,0))/MAX(0.1,N(Parameter!$M$21)))</f>
        <v>0.00357142857142857</v>
      </c>
      <c r="AT624" s="62" t="n">
        <f aca="false">AS624*CC624</f>
        <v>0.553571428571429</v>
      </c>
      <c r="AU624" s="63" t="n">
        <f aca="false">IF(LEFT(Cockpit!$I$5,1)="A",H624,IF(CI624=1,(CL624+CJ624)/2,IF(LEFT(Cockpit!$I$5,1)="B",(CL624+AW624)/2,MAX((CL624+AW624)/2,H624))))</f>
        <v>66</v>
      </c>
      <c r="AV624" s="62" t="n">
        <f aca="false">AU624*G624</f>
        <v>3.3</v>
      </c>
      <c r="AW624" s="62" t="n">
        <f aca="false">ROUNDUP(CL624+MAX(CM624,2*(J624/IF(CH624&gt;0,CH624,MAX(0.1,N(Cockpit!$I$6)))-CL624)),0)</f>
        <v>25</v>
      </c>
      <c r="AX624" s="63" t="n">
        <f aca="false">IF(AT624&gt;0,J624/AT624,-1)</f>
        <v>0</v>
      </c>
      <c r="AY624" s="63" t="n">
        <f aca="false">IF(AND(OR(CG624="L1",CG624="L23",CG624="LIFT"),AT624&gt;0),SUMIFS($AT$7:$AT$1843,$CG$7:$CG$1843,CG624,$AX$7:$AX$1843,"&gt;"&amp;AX624)+SUMIFS($AT$7:$AT$1843,$CG$7:$CG$1843,CG624,$AX$7:$AX$1843,AX624,$BX$7:$BX$1843,"&lt;="&amp;BX624),"")</f>
        <v>33915.4423076923</v>
      </c>
      <c r="AZ624" s="70" t="n">
        <f aca="false">IF(AY624="",0,MAX(0,MIN(1,(IF(CG624="L1",Parameter!$H$5,IF(CG624="L23",Parameter!$H$6+Parameter!$H$7,Parameter!$H$5+Parameter!$H$6+Parameter!$H$7))-(AY624-AT624))/AT624)))</f>
        <v>1</v>
      </c>
      <c r="BA624" s="62" t="n">
        <f aca="false">IF(LEFT(Cockpit!$O$5,1)="A",H624,IF(Parameter!$E$30="MAX-Bestand",IF(CI624=1,CJ624,IF(LEFT(Cockpit!$O$5,1)="B",BG624,MAX(BG624,H624))),ROUNDUP(BE624,0)))</f>
        <v>13</v>
      </c>
      <c r="BB624" s="62" t="n">
        <f aca="false">IF(CA624=1,0,ROUNDUP(BA624/BZ624,0))</f>
        <v>1</v>
      </c>
      <c r="BC624" s="64" t="n">
        <f aca="false">IF(CR624&gt;0,CR624*MAX(1,BA624/X624),IF(CA624=1,IF(BA624&lt;=0,0,CE624*MAX(1,IF(H624&gt;0,BA624/H624,1))),IF(R624&gt;0,BB624/R624,0))/MAX(0.1,N(Parameter!$M$21)))</f>
        <v>0.00357142857142857</v>
      </c>
      <c r="BD624" s="62" t="n">
        <f aca="false">BC624*CC624</f>
        <v>0.553571428571429</v>
      </c>
      <c r="BE624" s="63" t="n">
        <f aca="false">IF(LEFT(Cockpit!$O$5,1)="A",H624,IF(CI624=1,(CL624+CJ624)/2,IF(LEFT(Cockpit!$O$5,1)="B",(CL624+BG624)/2,MAX((CL624+BG624)/2,H624))))</f>
        <v>12.5</v>
      </c>
      <c r="BF624" s="62" t="n">
        <f aca="false">BE624*G624</f>
        <v>0.625</v>
      </c>
      <c r="BG624" s="62" t="n">
        <f aca="false">ROUNDUP(CL624+MAX(CM624,2*(J624/IF(CH624&gt;0,CH624,MAX(0.1,N(Cockpit!$O$6)))-CL624)),0)</f>
        <v>25</v>
      </c>
      <c r="BH624" s="63" t="n">
        <f aca="false">IF(BD624&gt;0,J624/BD624,-1)</f>
        <v>0</v>
      </c>
      <c r="BI624" s="63" t="n">
        <f aca="false">IF(AND(OR(CG624="L1",CG624="L23",CG624="LIFT"),BD624&gt;0),SUMIFS($BD$7:$BD$1843,$CG$7:$CG$1843,CG624,$BH$7:$BH$1843,"&gt;"&amp;BH624)+SUMIFS($BD$7:$BD$1843,$CG$7:$CG$1843,CG624,$BH$7:$BH$1843,BH624,$BX$7:$BX$1843,"&lt;="&amp;BX624),"")</f>
        <v>27987.7471363382</v>
      </c>
      <c r="BJ624" s="70" t="n">
        <f aca="false">IF(BI624="",0,MAX(0,MIN(1,(IF(CG624="L1",Parameter!$H$5,IF(CG624="L23",Parameter!$H$6+Parameter!$H$7,Parameter!$H$5+Parameter!$H$6+Parameter!$H$7))-(BI624-BD624))/BD624)))</f>
        <v>1</v>
      </c>
      <c r="BK624" s="60" t="str">
        <f aca="false">IF(AJ624&lt;=0,"",IF(CG624="Aussen","Aussenlager",IF(CG624="-","Nicht im Lift",IF(AP624&gt;=1,"Lift",IF(AP624&lt;=0,"Aussenlager","teilweise")))))</f>
        <v>Lift</v>
      </c>
      <c r="BL624" s="60" t="str">
        <f aca="false">IF(AT624&lt;=0,"",IF(CG624="Aussen","Aussenlager",IF(CG624="-","Nicht im Lift",IF(AZ624&gt;=1,"Lift",IF(AZ624&lt;=0,"Aussenlager","teilweise")))))</f>
        <v>Lift</v>
      </c>
      <c r="BM624" s="60" t="str">
        <f aca="false">IF(BD624&lt;=0,"",IF(CG624="Aussen","Aussenlager",IF(CG624="-","Nicht im Lift",IF(BJ624&gt;=1,"Lift",IF(BJ624&lt;=0,"Aussenlager","teilweise")))))</f>
        <v>Lift</v>
      </c>
      <c r="BN624" s="60" t="str">
        <f aca="false">IF(A624="","",IF(BW624=1,"Neu; ","")&amp;IF(AND(BW624=0,BR624&lt;0),"negativer Bestand (Export "&amp;BR624&amp;"); ","")&amp;IF(J624&lt;=0,"Kein Verbrauch; ","")&amp;IF(CR624&gt;0,"Lift "&amp;W624&amp;" lt. Liftbericht (Fach "&amp;X624&amp;" Stk); ",IF(CB624=1,"Gebinde geschätzt ("&amp;T624&amp;"); ",IF(CA624=1,"Lose – Tablare geschätzt; ","")))&amp;IF(H624&gt;AW624,"Überbestand "&amp;ROUND(H624-AW624,0)&amp;" Stk / CHF "&amp;ROUND((H624-AW624)*G624,0)&amp;"; ","")&amp;IF(AND(CI624=1,CJ624&lt;CK624),"MAX &lt; MB+LG; ","")&amp;IF(AND(CQ624&gt;0,CP624*10&gt;CQ624),"zu hoch für Tablar; ","")&amp;IF(AND(BW624=0,OR(CI624=1,AB624&lt;&gt;"",U624&lt;&gt;"",V624&lt;&gt;"",AC624&lt;&gt;"")),"manuell übersteuert; ","")&amp;IF(AND(CA624=0,R624=0),"Gebinde unbekannt / Stellmass fehlt; ","")&amp;IF(AND(CA624=0,N(V624)&lt;=0,N(Q624)&lt;=0),"Menge pro Gebinde fehlt (Ist = 1 Gebinde); ","")&amp;BV624)</f>
        <v>Kein Verbrauch; Überbestand 41 Stk / CHF 2; </v>
      </c>
      <c r="BO624" s="60"/>
      <c r="BP624" s="60"/>
      <c r="BQ624" s="67"/>
      <c r="BR624" s="62" t="n">
        <v>56</v>
      </c>
      <c r="BS624" s="62" t="n">
        <v>10</v>
      </c>
      <c r="BT624" s="61" t="n">
        <v>2.8</v>
      </c>
      <c r="BU624" s="62" t="n">
        <v>0</v>
      </c>
      <c r="BV624" s="60"/>
      <c r="BW624" s="65" t="n">
        <v>0</v>
      </c>
      <c r="BX624" s="65" t="n">
        <v>624</v>
      </c>
      <c r="BY624" s="60" t="str">
        <f aca="false">IF(U624&lt;&gt;"",UPPER(TRIM(U624)),IF(CB624=1,UPPER(VLOOKUP(T624,Parameter!$I$27:$K$29,2,0)),IF(P624="","LOSE",P624)))</f>
        <v>S21</v>
      </c>
      <c r="BZ624" s="62" t="n">
        <f aca="false">IF(BY624="LOSE",1,IF(N(V624)&gt;0,V624,IF(CB624=1,MAX(1,N(VLOOKUP(T624,Parameter!$I$27:$K$29,3,0)),H624,N(N624)),IF(N(Q624)&gt;0,Q624,MAX(1,H624)))))</f>
        <v>100</v>
      </c>
      <c r="CA624" s="65" t="n">
        <f aca="false">IF(BY624="LOSE",1,0)</f>
        <v>0</v>
      </c>
      <c r="CB624" s="65" t="n">
        <f aca="false">IF(AND(U624="",OR(P624="",P624="LOSE"),T624&lt;&gt;"",N(S624)&lt;=0,ISNUMBER(MATCH(T624,Parameter!$I$27:$I$29,0))),1,0)</f>
        <v>0</v>
      </c>
      <c r="CC624" s="65" t="n">
        <f aca="false">IF(CR624&gt;0,INDEX(Parameter!$H$5:$H$7,W624)/INDEX(Parameter!$E$5:$E$7,W624),IF(AND(CA624=0,N(IFERROR(VLOOKUP(BY624,'Gebinde-Kategorie'!$A$5:$N$45,14,0),0))&gt;0),VLOOKUP(BY624,'Gebinde-Kategorie'!$A$5:$N$45,14,0)*10+Parameter!$M$23,Parameter!$M$24))</f>
        <v>155</v>
      </c>
      <c r="CD624" s="60" t="str">
        <f aca="false">IF(AND(Parameter!$B$19="Ja",E624&lt;&gt;"",ISNUMBER(MATCH(E624,Parameter!$I$35:$I$52,0))),VLOOKUP(E624,Parameter!$I$35:$J$52,2,0),IFERROR(VLOOKUP(D624,Parameter!$A$35:$C$64,2,0),"Nein"))</f>
        <v>2+3</v>
      </c>
      <c r="CE624" s="64" t="n">
        <f aca="false">IF(CA624=0,0,IF(N(S624)&gt;0,S624,IFERROR(VLOOKUP(D624,Parameter!$A$35:$C$64,3,0)+0,0)))</f>
        <v>0</v>
      </c>
      <c r="CF624" s="60" t="n">
        <f aca="false">IF(AB624&lt;&gt;"",AB624,AA624)</f>
        <v>3</v>
      </c>
      <c r="CG624" s="60" t="str">
        <f aca="false">IF(OR(CF624=1,CF624=2,CF624=3),IF(Parameter!$E$27="Ja","LIFT",IF(CF624=1,"L1","L23")),IF(CF624="Aussen","Aussen","-"))</f>
        <v>LIFT</v>
      </c>
      <c r="CH624" s="71" t="n">
        <f aca="false">IF(N(AC624)&gt;0,AC624,0)</f>
        <v>0</v>
      </c>
      <c r="CI624" s="65" t="n">
        <f aca="false">IF(ISNUMBER(AF624),1,0)</f>
        <v>0</v>
      </c>
      <c r="CJ624" s="62" t="n">
        <f aca="false">N(AF624)</f>
        <v>0</v>
      </c>
      <c r="CK624" s="62" t="n">
        <f aca="false">N(M624)+N(N624)</f>
        <v>25</v>
      </c>
      <c r="CL624" s="62" t="n">
        <f aca="false">N(M624)</f>
        <v>0</v>
      </c>
      <c r="CM624" s="62" t="n">
        <f aca="false">N(N624)</f>
        <v>25</v>
      </c>
      <c r="CN624" s="62" t="n">
        <f aca="false">ROUNDUP(H624/BZ624,0)</f>
        <v>1</v>
      </c>
      <c r="CO624" s="62" t="n">
        <f aca="false">ROUNDUP(CJ624/BZ624,0)</f>
        <v>0</v>
      </c>
      <c r="CP624" s="65" t="n">
        <f aca="false">IF(CA624=1,0,IFERROR(VLOOKUP(BY624,'Gebinde-Kategorie'!$A$5:$N$45,5,0)+0,0))</f>
        <v>8</v>
      </c>
      <c r="CQ624" s="65" t="n">
        <f aca="false">IFERROR(IF(OR(CF624=1,CF624=2,CF624=3),N(INDEX(Parameter!$I$5:$I$7,CF624)),0),0)</f>
        <v>0</v>
      </c>
      <c r="CR624" s="64" t="n">
        <f aca="false">IF(AND(Parameter!$B$21="Ja",ISNUMBER(W624),N(X624)&gt;0),IFERROR(N(INDEX(Parameter!$L$5:$L$7,W624))*INDEX(Parameter!$E$5:$E$7,W624)*X624/SUMIFS($X$7:$X$1843,$W$7:$W$1843,W624),0),0)</f>
        <v>0</v>
      </c>
      <c r="CS624" s="62" t="n">
        <f aca="false">IF(AND(OR(CG624="L1",CG624="L23",CG624="LIFT"),H624&gt;0),CC624*IF(CR624&gt;0,CR624*MAX(1,H624/X624),IF(CA624=1,CE624,IF(R624&gt;0,CN624/R624,0))/MAX(0.1,N(Parameter!$M$21))),"")</f>
        <v>0.553571428571429</v>
      </c>
      <c r="CT624" s="64" t="n">
        <f aca="false">IF(CS624="","",J624/H624)</f>
        <v>0</v>
      </c>
      <c r="CU624" s="62" t="n">
        <f aca="false">IF(CS624="","",H624*G624)</f>
        <v>3.3</v>
      </c>
      <c r="CV624" s="63" t="n">
        <f aca="false">IF(CS624="","",(CL624+ROUNDUP(CL624+MAX(CM624,2*(J624/MAX(0.1,N(Einkauf!$C$6))-CL624)),0))/2)</f>
        <v>12.5</v>
      </c>
      <c r="CW624" s="62" t="n">
        <f aca="false">IF(CS624="","",MAX(0,H624-CV624)*G624)</f>
        <v>2.675</v>
      </c>
      <c r="CX624" s="62" t="n">
        <f aca="false">IF(CS624="","",CS624*MAX(0,1-CV624/H624))</f>
        <v>0.448728354978355</v>
      </c>
      <c r="CY624" s="64" t="n">
        <f aca="false">IF(CS624="","",PERCENTRANK($CS$7:$CS$1843,CS624)+PERCENTRANK($CU$7:$CU$1843,CU624)+1-PERCENTRANK($CT$7:$CT$1843,CT624))</f>
        <v>1.0164</v>
      </c>
      <c r="CZ624" s="72" t="n">
        <f aca="false">IF(CS624="","",CHOOSE(MATCH(Einkauf!$C$5,Parameter!$G$23:$G$27,0),CY624,CS624,CU624,-CT624,CW624)+ROW()/1000000000)</f>
        <v>1.016400624</v>
      </c>
    </row>
    <row r="625" customFormat="false" ht="15" hidden="false" customHeight="false" outlineLevel="0" collapsed="false">
      <c r="A625" s="60" t="s">
        <v>1325</v>
      </c>
      <c r="B625" s="60" t="s">
        <v>991</v>
      </c>
      <c r="C625" s="60" t="s">
        <v>206</v>
      </c>
      <c r="D625" s="60" t="s">
        <v>1037</v>
      </c>
      <c r="E625" s="60"/>
      <c r="F625" s="60" t="s">
        <v>260</v>
      </c>
      <c r="G625" s="61" t="n">
        <v>0.54</v>
      </c>
      <c r="H625" s="62" t="n">
        <f aca="false">MAX(0,IF(AND(Parameter!$B$21="Ja",ISNUMBER(Y625)),Y625,IF(Parameter!$B$20="Jahresanfang 2025 + Export",BS625+BR625,BR625)))</f>
        <v>4</v>
      </c>
      <c r="I625" s="62" t="n">
        <f aca="false">H625*G625</f>
        <v>2.16</v>
      </c>
      <c r="J625" s="62" t="n">
        <f aca="false">BU625*Parameter!$B$18</f>
        <v>96</v>
      </c>
      <c r="K625" s="63" t="n">
        <v>2</v>
      </c>
      <c r="L625" s="64" t="n">
        <v>48</v>
      </c>
      <c r="M625" s="62" t="n">
        <v>0</v>
      </c>
      <c r="N625" s="62" t="n">
        <v>100</v>
      </c>
      <c r="O625" s="65" t="n">
        <v>21</v>
      </c>
      <c r="P625" s="60" t="s">
        <v>210</v>
      </c>
      <c r="Q625" s="62"/>
      <c r="R625" s="65" t="n">
        <f aca="false">IF(CA625=1,0,IFERROR(VLOOKUP(BY625,'Gebinde-Kategorie'!$A$5:$N$45,13,0)+0,0))</f>
        <v>0</v>
      </c>
      <c r="S625" s="66"/>
      <c r="T625" s="67"/>
      <c r="U625" s="67"/>
      <c r="V625" s="67"/>
      <c r="W625" s="60"/>
      <c r="X625" s="62"/>
      <c r="Y625" s="62"/>
      <c r="Z625" s="60"/>
      <c r="AA625" s="60" t="str">
        <f aca="false">IF(A625="","",IF(AND(Parameter!$B$21="Ja",ISNUMBER(W625)),W625,IF(AND(Parameter!$E$27="Ja",ISNUMBER(Z625),CD625&lt;&gt;"Nein"),Z625,IF(CD625="2+3",IF(ISNUMBER(SEARCH("grosser Artikel",BV625)),2,IFERROR(VLOOKUP(BY625,Parameter!$F$35:$G$64,2,0),2)),IF(OR(CD625="Nein",CD625=""),"-",CD625)))))</f>
        <v>-</v>
      </c>
      <c r="AB625" s="67"/>
      <c r="AC625" s="68"/>
      <c r="AD625" s="62" t="n">
        <f aca="false">AW625</f>
        <v>100</v>
      </c>
      <c r="AE625" s="62" t="n">
        <f aca="false">MAX(AW625,H625)</f>
        <v>100</v>
      </c>
      <c r="AF625" s="69"/>
      <c r="AG625" s="62" t="n">
        <f aca="false">IF(LEFT(Cockpit!$C$5,1)="A",H625,IF(Parameter!$E$30="MAX-Bestand",IF(CI625=1,CJ625,IF(LEFT(Cockpit!$C$5,1)="B",AM625,MAX(AM625,H625))),ROUNDUP(AK625,0)))</f>
        <v>4</v>
      </c>
      <c r="AH625" s="62" t="n">
        <f aca="false">IF(CA625=1,0,ROUNDUP(AG625/BZ625,0))</f>
        <v>0</v>
      </c>
      <c r="AI625" s="64" t="n">
        <f aca="false">IF(CR625&gt;0,CR625*MAX(1,AG625/X625),IF(CA625=1,IF(AG625&lt;=0,0,CE625*MAX(1,IF(H625&gt;0,AG625/H625,1))),IF(R625&gt;0,AH625/R625,0))/MAX(0.1,N(Parameter!$M$21)))</f>
        <v>0.15</v>
      </c>
      <c r="AJ625" s="62" t="n">
        <f aca="false">AI625*CC625</f>
        <v>35.25</v>
      </c>
      <c r="AK625" s="63" t="n">
        <f aca="false">IF(LEFT(Cockpit!$C$5,1)="A",H625,IF(CI625=1,(CL625+CJ625)/2,IF(LEFT(Cockpit!$C$5,1)="B",(CL625+AM625)/2,MAX((CL625+AM625)/2,H625))))</f>
        <v>4</v>
      </c>
      <c r="AL625" s="62" t="n">
        <f aca="false">AK625*G625</f>
        <v>2.16</v>
      </c>
      <c r="AM625" s="62" t="n">
        <f aca="false">ROUNDUP(CL625+MAX(CM625,2*(J625/IF(CH625&gt;0,CH625,MAX(0.1,N(Cockpit!$C$6)))-CL625)),0)</f>
        <v>100</v>
      </c>
      <c r="AN625" s="63" t="n">
        <f aca="false">IF(AJ625&gt;0,J625/AJ625,-1)</f>
        <v>2.72340425531915</v>
      </c>
      <c r="AO625" s="63" t="str">
        <f aca="false">IF(AND(OR(CG625="L1",CG625="L23",CG625="LIFT"),AJ625&gt;0),SUMIFS($AJ$7:$AJ$1843,$CG$7:$CG$1843,CG625,$AN$7:$AN$1843,"&gt;"&amp;AN625)+SUMIFS($AJ$7:$AJ$1843,$CG$7:$CG$1843,CG625,$AN$7:$AN$1843,AN625,$BX$7:$BX$1843,"&lt;="&amp;BX625),"")</f>
        <v/>
      </c>
      <c r="AP625" s="70" t="n">
        <f aca="false">IF(AO625="",0,MAX(0,MIN(1,(IF(CG625="L1",Parameter!$H$5,IF(CG625="L23",Parameter!$H$6+Parameter!$H$7,Parameter!$H$5+Parameter!$H$6+Parameter!$H$7))-(AO625-AJ625))/AJ625)))</f>
        <v>0</v>
      </c>
      <c r="AQ625" s="62" t="n">
        <f aca="false">IF(LEFT(Cockpit!$I$5,1)="A",H625,IF(Parameter!$E$30="MAX-Bestand",IF(CI625=1,CJ625,IF(LEFT(Cockpit!$I$5,1)="B",AW625,MAX(AW625,H625))),ROUNDUP(AU625,0)))</f>
        <v>50</v>
      </c>
      <c r="AR625" s="62" t="n">
        <f aca="false">IF(CA625=1,0,ROUNDUP(AQ625/BZ625,0))</f>
        <v>0</v>
      </c>
      <c r="AS625" s="64" t="n">
        <f aca="false">IF(CR625&gt;0,CR625*MAX(1,AQ625/X625),IF(CA625=1,IF(AQ625&lt;=0,0,CE625*MAX(1,IF(H625&gt;0,AQ625/H625,1))),IF(R625&gt;0,AR625/R625,0))/MAX(0.1,N(Parameter!$M$21)))</f>
        <v>1.875</v>
      </c>
      <c r="AT625" s="62" t="n">
        <f aca="false">AS625*CC625</f>
        <v>440.625</v>
      </c>
      <c r="AU625" s="63" t="n">
        <f aca="false">IF(LEFT(Cockpit!$I$5,1)="A",H625,IF(CI625=1,(CL625+CJ625)/2,IF(LEFT(Cockpit!$I$5,1)="B",(CL625+AW625)/2,MAX((CL625+AW625)/2,H625))))</f>
        <v>50</v>
      </c>
      <c r="AV625" s="62" t="n">
        <f aca="false">AU625*G625</f>
        <v>27</v>
      </c>
      <c r="AW625" s="62" t="n">
        <f aca="false">ROUNDUP(CL625+MAX(CM625,2*(J625/IF(CH625&gt;0,CH625,MAX(0.1,N(Cockpit!$I$6)))-CL625)),0)</f>
        <v>100</v>
      </c>
      <c r="AX625" s="63" t="n">
        <f aca="false">IF(AT625&gt;0,J625/AT625,-1)</f>
        <v>0.217872340425532</v>
      </c>
      <c r="AY625" s="63" t="str">
        <f aca="false">IF(AND(OR(CG625="L1",CG625="L23",CG625="LIFT"),AT625&gt;0),SUMIFS($AT$7:$AT$1843,$CG$7:$CG$1843,CG625,$AX$7:$AX$1843,"&gt;"&amp;AX625)+SUMIFS($AT$7:$AT$1843,$CG$7:$CG$1843,CG625,$AX$7:$AX$1843,AX625,$BX$7:$BX$1843,"&lt;="&amp;BX625),"")</f>
        <v/>
      </c>
      <c r="AZ625" s="70" t="n">
        <f aca="false">IF(AY625="",0,MAX(0,MIN(1,(IF(CG625="L1",Parameter!$H$5,IF(CG625="L23",Parameter!$H$6+Parameter!$H$7,Parameter!$H$5+Parameter!$H$6+Parameter!$H$7))-(AY625-AT625))/AT625)))</f>
        <v>0</v>
      </c>
      <c r="BA625" s="62" t="n">
        <f aca="false">IF(LEFT(Cockpit!$O$5,1)="A",H625,IF(Parameter!$E$30="MAX-Bestand",IF(CI625=1,CJ625,IF(LEFT(Cockpit!$O$5,1)="B",BG625,MAX(BG625,H625))),ROUNDUP(BE625,0)))</f>
        <v>50</v>
      </c>
      <c r="BB625" s="62" t="n">
        <f aca="false">IF(CA625=1,0,ROUNDUP(BA625/BZ625,0))</f>
        <v>0</v>
      </c>
      <c r="BC625" s="64" t="n">
        <f aca="false">IF(CR625&gt;0,CR625*MAX(1,BA625/X625),IF(CA625=1,IF(BA625&lt;=0,0,CE625*MAX(1,IF(H625&gt;0,BA625/H625,1))),IF(R625&gt;0,BB625/R625,0))/MAX(0.1,N(Parameter!$M$21)))</f>
        <v>1.875</v>
      </c>
      <c r="BD625" s="62" t="n">
        <f aca="false">BC625*CC625</f>
        <v>440.625</v>
      </c>
      <c r="BE625" s="63" t="n">
        <f aca="false">IF(LEFT(Cockpit!$O$5,1)="A",H625,IF(CI625=1,(CL625+CJ625)/2,IF(LEFT(Cockpit!$O$5,1)="B",(CL625+BG625)/2,MAX((CL625+BG625)/2,H625))))</f>
        <v>50</v>
      </c>
      <c r="BF625" s="62" t="n">
        <f aca="false">BE625*G625</f>
        <v>27</v>
      </c>
      <c r="BG625" s="62" t="n">
        <f aca="false">ROUNDUP(CL625+MAX(CM625,2*(J625/IF(CH625&gt;0,CH625,MAX(0.1,N(Cockpit!$O$6)))-CL625)),0)</f>
        <v>100</v>
      </c>
      <c r="BH625" s="63" t="n">
        <f aca="false">IF(BD625&gt;0,J625/BD625,-1)</f>
        <v>0.217872340425532</v>
      </c>
      <c r="BI625" s="63" t="str">
        <f aca="false">IF(AND(OR(CG625="L1",CG625="L23",CG625="LIFT"),BD625&gt;0),SUMIFS($BD$7:$BD$1843,$CG$7:$CG$1843,CG625,$BH$7:$BH$1843,"&gt;"&amp;BH625)+SUMIFS($BD$7:$BD$1843,$CG$7:$CG$1843,CG625,$BH$7:$BH$1843,BH625,$BX$7:$BX$1843,"&lt;="&amp;BX625),"")</f>
        <v/>
      </c>
      <c r="BJ625" s="70" t="n">
        <f aca="false">IF(BI625="",0,MAX(0,MIN(1,(IF(CG625="L1",Parameter!$H$5,IF(CG625="L23",Parameter!$H$6+Parameter!$H$7,Parameter!$H$5+Parameter!$H$6+Parameter!$H$7))-(BI625-BD625))/BD625)))</f>
        <v>0</v>
      </c>
      <c r="BK625" s="60" t="str">
        <f aca="false">IF(AJ625&lt;=0,"",IF(CG625="Aussen","Aussenlager",IF(CG625="-","Nicht im Lift",IF(AP625&gt;=1,"Lift",IF(AP625&lt;=0,"Aussenlager","teilweise")))))</f>
        <v>Nicht im Lift</v>
      </c>
      <c r="BL625" s="60" t="str">
        <f aca="false">IF(AT625&lt;=0,"",IF(CG625="Aussen","Aussenlager",IF(CG625="-","Nicht im Lift",IF(AZ625&gt;=1,"Lift",IF(AZ625&lt;=0,"Aussenlager","teilweise")))))</f>
        <v>Nicht im Lift</v>
      </c>
      <c r="BM625" s="60" t="str">
        <f aca="false">IF(BD625&lt;=0,"",IF(CG625="Aussen","Aussenlager",IF(CG625="-","Nicht im Lift",IF(BJ625&gt;=1,"Lift",IF(BJ625&lt;=0,"Aussenlager","teilweise")))))</f>
        <v>Nicht im Lift</v>
      </c>
      <c r="BN625" s="60" t="str">
        <f aca="false">IF(A625="","",IF(BW625=1,"Neu; ","")&amp;IF(AND(BW625=0,BR625&lt;0),"negativer Bestand (Export "&amp;BR625&amp;"); ","")&amp;IF(J625&lt;=0,"Kein Verbrauch; ","")&amp;IF(CR625&gt;0,"Lift "&amp;W625&amp;" lt. Liftbericht (Fach "&amp;X625&amp;" Stk); ",IF(CB625=1,"Gebinde geschätzt ("&amp;T625&amp;"); ",IF(CA625=1,"Lose – Tablare geschätzt; ","")))&amp;IF(H625&gt;AW625,"Überbestand "&amp;ROUND(H625-AW625,0)&amp;" Stk / CHF "&amp;ROUND((H625-AW625)*G625,0)&amp;"; ","")&amp;IF(AND(CI625=1,CJ625&lt;CK625),"MAX &lt; MB+LG; ","")&amp;IF(AND(CQ625&gt;0,CP625*10&gt;CQ625),"zu hoch für Tablar; ","")&amp;IF(AND(BW625=0,OR(CI625=1,AB625&lt;&gt;"",U625&lt;&gt;"",V625&lt;&gt;"",AC625&lt;&gt;"")),"manuell übersteuert; ","")&amp;IF(AND(CA625=0,R625=0),"Gebinde unbekannt / Stellmass fehlt; ","")&amp;IF(AND(CA625=0,N(V625)&lt;=0,N(Q625)&lt;=0),"Menge pro Gebinde fehlt (Ist = 1 Gebinde); ","")&amp;BV625)</f>
        <v>Lose – Tablare geschätzt; </v>
      </c>
      <c r="BO625" s="60"/>
      <c r="BP625" s="60"/>
      <c r="BQ625" s="67"/>
      <c r="BR625" s="62" t="n">
        <v>4</v>
      </c>
      <c r="BS625" s="62" t="n">
        <v>0</v>
      </c>
      <c r="BT625" s="61" t="n">
        <v>2.16</v>
      </c>
      <c r="BU625" s="62" t="n">
        <v>96</v>
      </c>
      <c r="BV625" s="60"/>
      <c r="BW625" s="65" t="n">
        <v>0</v>
      </c>
      <c r="BX625" s="65" t="n">
        <v>625</v>
      </c>
      <c r="BY625" s="60" t="str">
        <f aca="false">IF(U625&lt;&gt;"",UPPER(TRIM(U625)),IF(CB625=1,UPPER(VLOOKUP(T625,Parameter!$I$27:$K$29,2,0)),IF(P625="","LOSE",P625)))</f>
        <v>LOSE</v>
      </c>
      <c r="BZ625" s="62" t="n">
        <f aca="false">IF(BY625="LOSE",1,IF(N(V625)&gt;0,V625,IF(CB625=1,MAX(1,N(VLOOKUP(T625,Parameter!$I$27:$K$29,3,0)),H625,N(N625)),IF(N(Q625)&gt;0,Q625,MAX(1,H625)))))</f>
        <v>1</v>
      </c>
      <c r="CA625" s="65" t="n">
        <f aca="false">IF(BY625="LOSE",1,0)</f>
        <v>1</v>
      </c>
      <c r="CB625" s="65" t="n">
        <f aca="false">IF(AND(U625="",OR(P625="",P625="LOSE"),T625&lt;&gt;"",N(S625)&lt;=0,ISNUMBER(MATCH(T625,Parameter!$I$27:$I$29,0))),1,0)</f>
        <v>0</v>
      </c>
      <c r="CC625" s="65" t="n">
        <f aca="false">IF(CR625&gt;0,INDEX(Parameter!$H$5:$H$7,W625)/INDEX(Parameter!$E$5:$E$7,W625),IF(AND(CA625=0,N(IFERROR(VLOOKUP(BY625,'Gebinde-Kategorie'!$A$5:$N$45,14,0),0))&gt;0),VLOOKUP(BY625,'Gebinde-Kategorie'!$A$5:$N$45,14,0)*10+Parameter!$M$23,Parameter!$M$24))</f>
        <v>235</v>
      </c>
      <c r="CD625" s="60" t="str">
        <f aca="false">IF(AND(Parameter!$B$19="Ja",E625&lt;&gt;"",ISNUMBER(MATCH(E625,Parameter!$I$35:$I$52,0))),VLOOKUP(E625,Parameter!$I$35:$J$52,2,0),IFERROR(VLOOKUP(D625,Parameter!$A$35:$C$64,2,0),"Nein"))</f>
        <v>Nein</v>
      </c>
      <c r="CE625" s="64" t="n">
        <f aca="false">IF(CA625=0,0,IF(N(S625)&gt;0,S625,IFERROR(VLOOKUP(D625,Parameter!$A$35:$C$64,3,0)+0,0)))</f>
        <v>0.15</v>
      </c>
      <c r="CF625" s="60" t="str">
        <f aca="false">IF(AB625&lt;&gt;"",AB625,AA625)</f>
        <v>-</v>
      </c>
      <c r="CG625" s="60" t="str">
        <f aca="false">IF(OR(CF625=1,CF625=2,CF625=3),IF(Parameter!$E$27="Ja","LIFT",IF(CF625=1,"L1","L23")),IF(CF625="Aussen","Aussen","-"))</f>
        <v>-</v>
      </c>
      <c r="CH625" s="71" t="n">
        <f aca="false">IF(N(AC625)&gt;0,AC625,0)</f>
        <v>0</v>
      </c>
      <c r="CI625" s="65" t="n">
        <f aca="false">IF(ISNUMBER(AF625),1,0)</f>
        <v>0</v>
      </c>
      <c r="CJ625" s="62" t="n">
        <f aca="false">N(AF625)</f>
        <v>0</v>
      </c>
      <c r="CK625" s="62" t="n">
        <f aca="false">N(M625)+N(N625)</f>
        <v>100</v>
      </c>
      <c r="CL625" s="62" t="n">
        <f aca="false">N(M625)</f>
        <v>0</v>
      </c>
      <c r="CM625" s="62" t="n">
        <f aca="false">N(N625)</f>
        <v>100</v>
      </c>
      <c r="CN625" s="62" t="n">
        <f aca="false">ROUNDUP(H625/BZ625,0)</f>
        <v>4</v>
      </c>
      <c r="CO625" s="62" t="n">
        <f aca="false">ROUNDUP(CJ625/BZ625,0)</f>
        <v>0</v>
      </c>
      <c r="CP625" s="65" t="n">
        <f aca="false">IF(CA625=1,0,IFERROR(VLOOKUP(BY625,'Gebinde-Kategorie'!$A$5:$N$45,5,0)+0,0))</f>
        <v>0</v>
      </c>
      <c r="CQ625" s="65" t="n">
        <f aca="false">IFERROR(IF(OR(CF625=1,CF625=2,CF625=3),N(INDEX(Parameter!$I$5:$I$7,CF625)),0),0)</f>
        <v>0</v>
      </c>
      <c r="CR625" s="64" t="n">
        <f aca="false">IF(AND(Parameter!$B$21="Ja",ISNUMBER(W625),N(X625)&gt;0),IFERROR(N(INDEX(Parameter!$L$5:$L$7,W625))*INDEX(Parameter!$E$5:$E$7,W625)*X625/SUMIFS($X$7:$X$1843,$W$7:$W$1843,W625),0),0)</f>
        <v>0</v>
      </c>
      <c r="CS625" s="62" t="str">
        <f aca="false">IF(AND(OR(CG625="L1",CG625="L23",CG625="LIFT"),H625&gt;0),CC625*IF(CR625&gt;0,CR625*MAX(1,H625/X625),IF(CA625=1,CE625,IF(R625&gt;0,CN625/R625,0))/MAX(0.1,N(Parameter!$M$21))),"")</f>
        <v/>
      </c>
      <c r="CT625" s="64" t="str">
        <f aca="false">IF(CS625="","",J625/H625)</f>
        <v/>
      </c>
      <c r="CU625" s="62" t="str">
        <f aca="false">IF(CS625="","",H625*G625)</f>
        <v/>
      </c>
      <c r="CV625" s="63" t="str">
        <f aca="false">IF(CS625="","",(CL625+ROUNDUP(CL625+MAX(CM625,2*(J625/MAX(0.1,N(Einkauf!$C$6))-CL625)),0))/2)</f>
        <v/>
      </c>
      <c r="CW625" s="62" t="str">
        <f aca="false">IF(CS625="","",MAX(0,H625-CV625)*G625)</f>
        <v/>
      </c>
      <c r="CX625" s="62" t="str">
        <f aca="false">IF(CS625="","",CS625*MAX(0,1-CV625/H625))</f>
        <v/>
      </c>
      <c r="CY625" s="64" t="str">
        <f aca="false">IF(CS625="","",PERCENTRANK($CS$7:$CS$1843,CS625)+PERCENTRANK($CU$7:$CU$1843,CU625)+1-PERCENTRANK($CT$7:$CT$1843,CT625))</f>
        <v/>
      </c>
      <c r="CZ625" s="72" t="str">
        <f aca="false">IF(CS625="","",CHOOSE(MATCH(Einkauf!$C$5,Parameter!$G$23:$G$27,0),CY625,CS625,CU625,-CT625,CW625)+ROW()/1000000000)</f>
        <v/>
      </c>
    </row>
    <row r="626" customFormat="false" ht="15" hidden="false" customHeight="false" outlineLevel="0" collapsed="false">
      <c r="A626" s="60" t="s">
        <v>1326</v>
      </c>
      <c r="B626" s="60" t="s">
        <v>991</v>
      </c>
      <c r="C626" s="60" t="s">
        <v>206</v>
      </c>
      <c r="D626" s="60" t="s">
        <v>226</v>
      </c>
      <c r="E626" s="60" t="s">
        <v>227</v>
      </c>
      <c r="F626" s="60" t="s">
        <v>260</v>
      </c>
      <c r="G626" s="61" t="n">
        <v>0.01</v>
      </c>
      <c r="H626" s="62" t="n">
        <f aca="false">MAX(0,IF(AND(Parameter!$B$21="Ja",ISNUMBER(Y626)),Y626,IF(Parameter!$B$20="Jahresanfang 2025 + Export",BS626+BR626,BR626)))</f>
        <v>3584</v>
      </c>
      <c r="I626" s="62" t="n">
        <f aca="false">H626*G626</f>
        <v>35.84</v>
      </c>
      <c r="J626" s="62" t="n">
        <f aca="false">BU626*Parameter!$B$18</f>
        <v>604</v>
      </c>
      <c r="K626" s="63" t="n">
        <v>3704</v>
      </c>
      <c r="L626" s="64" t="n">
        <v>0.163066954643629</v>
      </c>
      <c r="M626" s="62" t="n">
        <v>35</v>
      </c>
      <c r="N626" s="62" t="n">
        <v>605</v>
      </c>
      <c r="O626" s="65" t="n">
        <v>21</v>
      </c>
      <c r="P626" s="60" t="s">
        <v>518</v>
      </c>
      <c r="Q626" s="62" t="n">
        <v>6007</v>
      </c>
      <c r="R626" s="65" t="n">
        <f aca="false">IF(CA626=1,0,IFERROR(VLOOKUP(BY626,'Gebinde-Kategorie'!$A$5:$N$45,13,0)+0,0))</f>
        <v>52</v>
      </c>
      <c r="S626" s="66"/>
      <c r="T626" s="67"/>
      <c r="U626" s="67"/>
      <c r="V626" s="67"/>
      <c r="W626" s="60"/>
      <c r="X626" s="62"/>
      <c r="Y626" s="62"/>
      <c r="Z626" s="60" t="n">
        <v>3</v>
      </c>
      <c r="AA626" s="60" t="n">
        <f aca="false">IF(A626="","",IF(AND(Parameter!$B$21="Ja",ISNUMBER(W626)),W626,IF(AND(Parameter!$E$27="Ja",ISNUMBER(Z626),CD626&lt;&gt;"Nein"),Z626,IF(CD626="2+3",IF(ISNUMBER(SEARCH("grosser Artikel",BV626)),2,IFERROR(VLOOKUP(BY626,Parameter!$F$35:$G$64,2,0),2)),IF(OR(CD626="Nein",CD626=""),"-",CD626)))))</f>
        <v>3</v>
      </c>
      <c r="AB626" s="67"/>
      <c r="AC626" s="68"/>
      <c r="AD626" s="62" t="n">
        <f aca="false">AW626</f>
        <v>640</v>
      </c>
      <c r="AE626" s="62" t="n">
        <f aca="false">MAX(AW626,H626)</f>
        <v>3584</v>
      </c>
      <c r="AF626" s="69"/>
      <c r="AG626" s="62" t="n">
        <f aca="false">IF(LEFT(Cockpit!$C$5,1)="A",H626,IF(Parameter!$E$30="MAX-Bestand",IF(CI626=1,CJ626,IF(LEFT(Cockpit!$C$5,1)="B",AM626,MAX(AM626,H626))),ROUNDUP(AK626,0)))</f>
        <v>3584</v>
      </c>
      <c r="AH626" s="62" t="n">
        <f aca="false">IF(CA626=1,0,ROUNDUP(AG626/BZ626,0))</f>
        <v>1</v>
      </c>
      <c r="AI626" s="64" t="n">
        <f aca="false">IF(CR626&gt;0,CR626*MAX(1,AG626/X626),IF(CA626=1,IF(AG626&lt;=0,0,CE626*MAX(1,IF(H626&gt;0,AG626/H626,1))),IF(R626&gt;0,AH626/R626,0))/MAX(0.1,N(Parameter!$M$21)))</f>
        <v>0.0192307692307692</v>
      </c>
      <c r="AJ626" s="62" t="n">
        <f aca="false">AI626*CC626</f>
        <v>2.98076923076923</v>
      </c>
      <c r="AK626" s="63" t="n">
        <f aca="false">IF(LEFT(Cockpit!$C$5,1)="A",H626,IF(CI626=1,(CL626+CJ626)/2,IF(LEFT(Cockpit!$C$5,1)="B",(CL626+AM626)/2,MAX((CL626+AM626)/2,H626))))</f>
        <v>3584</v>
      </c>
      <c r="AL626" s="62" t="n">
        <f aca="false">AK626*G626</f>
        <v>35.84</v>
      </c>
      <c r="AM626" s="62" t="n">
        <f aca="false">ROUNDUP(CL626+MAX(CM626,2*(J626/IF(CH626&gt;0,CH626,MAX(0.1,N(Cockpit!$C$6)))-CL626)),0)</f>
        <v>640</v>
      </c>
      <c r="AN626" s="63" t="n">
        <f aca="false">IF(AJ626&gt;0,J626/AJ626,-1)</f>
        <v>202.632258064516</v>
      </c>
      <c r="AO626" s="63" t="n">
        <f aca="false">IF(AND(OR(CG626="L1",CG626="L23",CG626="LIFT"),AJ626&gt;0),SUMIFS($AJ$7:$AJ$1843,$CG$7:$CG$1843,CG626,$AN$7:$AN$1843,"&gt;"&amp;AN626)+SUMIFS($AJ$7:$AJ$1843,$CG$7:$CG$1843,CG626,$AN$7:$AN$1843,AN626,$BX$7:$BX$1843,"&lt;="&amp;BX626),"")</f>
        <v>344.358974358974</v>
      </c>
      <c r="AP626" s="70" t="n">
        <f aca="false">IF(AO626="",0,MAX(0,MIN(1,(IF(CG626="L1",Parameter!$H$5,IF(CG626="L23",Parameter!$H$6+Parameter!$H$7,Parameter!$H$5+Parameter!$H$6+Parameter!$H$7))-(AO626-AJ626))/AJ626)))</f>
        <v>1</v>
      </c>
      <c r="AQ626" s="62" t="n">
        <f aca="false">IF(LEFT(Cockpit!$I$5,1)="A",H626,IF(Parameter!$E$30="MAX-Bestand",IF(CI626=1,CJ626,IF(LEFT(Cockpit!$I$5,1)="B",AW626,MAX(AW626,H626))),ROUNDUP(AU626,0)))</f>
        <v>3584</v>
      </c>
      <c r="AR626" s="62" t="n">
        <f aca="false">IF(CA626=1,0,ROUNDUP(AQ626/BZ626,0))</f>
        <v>1</v>
      </c>
      <c r="AS626" s="64" t="n">
        <f aca="false">IF(CR626&gt;0,CR626*MAX(1,AQ626/X626),IF(CA626=1,IF(AQ626&lt;=0,0,CE626*MAX(1,IF(H626&gt;0,AQ626/H626,1))),IF(R626&gt;0,AR626/R626,0))/MAX(0.1,N(Parameter!$M$21)))</f>
        <v>0.0192307692307692</v>
      </c>
      <c r="AT626" s="62" t="n">
        <f aca="false">AS626*CC626</f>
        <v>2.98076923076923</v>
      </c>
      <c r="AU626" s="63" t="n">
        <f aca="false">IF(LEFT(Cockpit!$I$5,1)="A",H626,IF(CI626=1,(CL626+CJ626)/2,IF(LEFT(Cockpit!$I$5,1)="B",(CL626+AW626)/2,MAX((CL626+AW626)/2,H626))))</f>
        <v>3584</v>
      </c>
      <c r="AV626" s="62" t="n">
        <f aca="false">AU626*G626</f>
        <v>35.84</v>
      </c>
      <c r="AW626" s="62" t="n">
        <f aca="false">ROUNDUP(CL626+MAX(CM626,2*(J626/IF(CH626&gt;0,CH626,MAX(0.1,N(Cockpit!$I$6)))-CL626)),0)</f>
        <v>640</v>
      </c>
      <c r="AX626" s="63" t="n">
        <f aca="false">IF(AT626&gt;0,J626/AT626,-1)</f>
        <v>202.632258064516</v>
      </c>
      <c r="AY626" s="63" t="n">
        <f aca="false">IF(AND(OR(CG626="L1",CG626="L23",CG626="LIFT"),AT626&gt;0),SUMIFS($AT$7:$AT$1843,$CG$7:$CG$1843,CG626,$AX$7:$AX$1843,"&gt;"&amp;AX626)+SUMIFS($AT$7:$AT$1843,$CG$7:$CG$1843,CG626,$AX$7:$AX$1843,AX626,$BX$7:$BX$1843,"&lt;="&amp;BX626),"")</f>
        <v>453.534340659341</v>
      </c>
      <c r="AZ626" s="70" t="n">
        <f aca="false">IF(AY626="",0,MAX(0,MIN(1,(IF(CG626="L1",Parameter!$H$5,IF(CG626="L23",Parameter!$H$6+Parameter!$H$7,Parameter!$H$5+Parameter!$H$6+Parameter!$H$7))-(AY626-AT626))/AT626)))</f>
        <v>1</v>
      </c>
      <c r="BA626" s="62" t="n">
        <f aca="false">IF(LEFT(Cockpit!$O$5,1)="A",H626,IF(Parameter!$E$30="MAX-Bestand",IF(CI626=1,CJ626,IF(LEFT(Cockpit!$O$5,1)="B",BG626,MAX(BG626,H626))),ROUNDUP(BE626,0)))</f>
        <v>338</v>
      </c>
      <c r="BB626" s="62" t="n">
        <f aca="false">IF(CA626=1,0,ROUNDUP(BA626/BZ626,0))</f>
        <v>1</v>
      </c>
      <c r="BC626" s="64" t="n">
        <f aca="false">IF(CR626&gt;0,CR626*MAX(1,BA626/X626),IF(CA626=1,IF(BA626&lt;=0,0,CE626*MAX(1,IF(H626&gt;0,BA626/H626,1))),IF(R626&gt;0,BB626/R626,0))/MAX(0.1,N(Parameter!$M$21)))</f>
        <v>0.0192307692307692</v>
      </c>
      <c r="BD626" s="62" t="n">
        <f aca="false">BC626*CC626</f>
        <v>2.98076923076923</v>
      </c>
      <c r="BE626" s="63" t="n">
        <f aca="false">IF(LEFT(Cockpit!$O$5,1)="A",H626,IF(CI626=1,(CL626+CJ626)/2,IF(LEFT(Cockpit!$O$5,1)="B",(CL626+BG626)/2,MAX((CL626+BG626)/2,H626))))</f>
        <v>337.5</v>
      </c>
      <c r="BF626" s="62" t="n">
        <f aca="false">BE626*G626</f>
        <v>3.375</v>
      </c>
      <c r="BG626" s="62" t="n">
        <f aca="false">ROUNDUP(CL626+MAX(CM626,2*(J626/IF(CH626&gt;0,CH626,MAX(0.1,N(Cockpit!$O$6)))-CL626)),0)</f>
        <v>640</v>
      </c>
      <c r="BH626" s="63" t="n">
        <f aca="false">IF(BD626&gt;0,J626/BD626,-1)</f>
        <v>202.632258064516</v>
      </c>
      <c r="BI626" s="63" t="n">
        <f aca="false">IF(AND(OR(CG626="L1",CG626="L23",CG626="LIFT"),BD626&gt;0),SUMIFS($BD$7:$BD$1843,$CG$7:$CG$1843,CG626,$BH$7:$BH$1843,"&gt;"&amp;BH626)+SUMIFS($BD$7:$BD$1843,$CG$7:$CG$1843,CG626,$BH$7:$BH$1843,BH626,$BX$7:$BX$1843,"&lt;="&amp;BX626),"")</f>
        <v>453.292582417582</v>
      </c>
      <c r="BJ626" s="70" t="n">
        <f aca="false">IF(BI626="",0,MAX(0,MIN(1,(IF(CG626="L1",Parameter!$H$5,IF(CG626="L23",Parameter!$H$6+Parameter!$H$7,Parameter!$H$5+Parameter!$H$6+Parameter!$H$7))-(BI626-BD626))/BD626)))</f>
        <v>1</v>
      </c>
      <c r="BK626" s="60" t="str">
        <f aca="false">IF(AJ626&lt;=0,"",IF(CG626="Aussen","Aussenlager",IF(CG626="-","Nicht im Lift",IF(AP626&gt;=1,"Lift",IF(AP626&lt;=0,"Aussenlager","teilweise")))))</f>
        <v>Lift</v>
      </c>
      <c r="BL626" s="60" t="str">
        <f aca="false">IF(AT626&lt;=0,"",IF(CG626="Aussen","Aussenlager",IF(CG626="-","Nicht im Lift",IF(AZ626&gt;=1,"Lift",IF(AZ626&lt;=0,"Aussenlager","teilweise")))))</f>
        <v>Lift</v>
      </c>
      <c r="BM626" s="60" t="str">
        <f aca="false">IF(BD626&lt;=0,"",IF(CG626="Aussen","Aussenlager",IF(CG626="-","Nicht im Lift",IF(BJ626&gt;=1,"Lift",IF(BJ626&lt;=0,"Aussenlager","teilweise")))))</f>
        <v>Lift</v>
      </c>
      <c r="BN626" s="60" t="str">
        <f aca="false">IF(A626="","",IF(BW626=1,"Neu; ","")&amp;IF(AND(BW626=0,BR626&lt;0),"negativer Bestand (Export "&amp;BR626&amp;"); ","")&amp;IF(J626&lt;=0,"Kein Verbrauch; ","")&amp;IF(CR626&gt;0,"Lift "&amp;W626&amp;" lt. Liftbericht (Fach "&amp;X626&amp;" Stk); ",IF(CB626=1,"Gebinde geschätzt ("&amp;T626&amp;"); ",IF(CA626=1,"Lose – Tablare geschätzt; ","")))&amp;IF(H626&gt;AW626,"Überbestand "&amp;ROUND(H626-AW626,0)&amp;" Stk / CHF "&amp;ROUND((H626-AW626)*G626,0)&amp;"; ","")&amp;IF(AND(CI626=1,CJ626&lt;CK626),"MAX &lt; MB+LG; ","")&amp;IF(AND(CQ626&gt;0,CP626*10&gt;CQ626),"zu hoch für Tablar; ","")&amp;IF(AND(BW626=0,OR(CI626=1,AB626&lt;&gt;"",U626&lt;&gt;"",V626&lt;&gt;"",AC626&lt;&gt;"")),"manuell übersteuert; ","")&amp;IF(AND(CA626=0,R626=0),"Gebinde unbekannt / Stellmass fehlt; ","")&amp;IF(AND(CA626=0,N(V626)&lt;=0,N(Q626)&lt;=0),"Menge pro Gebinde fehlt (Ist = 1 Gebinde); ","")&amp;BV626)</f>
        <v>Überbestand 2944 Stk / CHF 29; Überbestand</v>
      </c>
      <c r="BO626" s="60"/>
      <c r="BP626" s="60"/>
      <c r="BQ626" s="67"/>
      <c r="BR626" s="62" t="n">
        <v>200</v>
      </c>
      <c r="BS626" s="62" t="n">
        <v>3384</v>
      </c>
      <c r="BT626" s="61" t="n">
        <v>2</v>
      </c>
      <c r="BU626" s="62" t="n">
        <v>604</v>
      </c>
      <c r="BV626" s="60" t="s">
        <v>434</v>
      </c>
      <c r="BW626" s="65" t="n">
        <v>0</v>
      </c>
      <c r="BX626" s="65" t="n">
        <v>626</v>
      </c>
      <c r="BY626" s="60" t="str">
        <f aca="false">IF(U626&lt;&gt;"",UPPER(TRIM(U626)),IF(CB626=1,UPPER(VLOOKUP(T626,Parameter!$I$27:$K$29,2,0)),IF(P626="","LOSE",P626)))</f>
        <v>S33</v>
      </c>
      <c r="BZ626" s="62" t="n">
        <f aca="false">IF(BY626="LOSE",1,IF(N(V626)&gt;0,V626,IF(CB626=1,MAX(1,N(VLOOKUP(T626,Parameter!$I$27:$K$29,3,0)),H626,N(N626)),IF(N(Q626)&gt;0,Q626,MAX(1,H626)))))</f>
        <v>6007</v>
      </c>
      <c r="CA626" s="65" t="n">
        <f aca="false">IF(BY626="LOSE",1,0)</f>
        <v>0</v>
      </c>
      <c r="CB626" s="65" t="n">
        <f aca="false">IF(AND(U626="",OR(P626="",P626="LOSE"),T626&lt;&gt;"",N(S626)&lt;=0,ISNUMBER(MATCH(T626,Parameter!$I$27:$I$29,0))),1,0)</f>
        <v>0</v>
      </c>
      <c r="CC626" s="65" t="n">
        <f aca="false">IF(CR626&gt;0,INDEX(Parameter!$H$5:$H$7,W626)/INDEX(Parameter!$E$5:$E$7,W626),IF(AND(CA626=0,N(IFERROR(VLOOKUP(BY626,'Gebinde-Kategorie'!$A$5:$N$45,14,0),0))&gt;0),VLOOKUP(BY626,'Gebinde-Kategorie'!$A$5:$N$45,14,0)*10+Parameter!$M$23,Parameter!$M$24))</f>
        <v>155</v>
      </c>
      <c r="CD626" s="60" t="str">
        <f aca="false">IF(AND(Parameter!$B$19="Ja",E626&lt;&gt;"",ISNUMBER(MATCH(E626,Parameter!$I$35:$I$52,0))),VLOOKUP(E626,Parameter!$I$35:$J$52,2,0),IFERROR(VLOOKUP(D626,Parameter!$A$35:$C$64,2,0),"Nein"))</f>
        <v>2+3</v>
      </c>
      <c r="CE626" s="64" t="n">
        <f aca="false">IF(CA626=0,0,IF(N(S626)&gt;0,S626,IFERROR(VLOOKUP(D626,Parameter!$A$35:$C$64,3,0)+0,0)))</f>
        <v>0</v>
      </c>
      <c r="CF626" s="60" t="n">
        <f aca="false">IF(AB626&lt;&gt;"",AB626,AA626)</f>
        <v>3</v>
      </c>
      <c r="CG626" s="60" t="str">
        <f aca="false">IF(OR(CF626=1,CF626=2,CF626=3),IF(Parameter!$E$27="Ja","LIFT",IF(CF626=1,"L1","L23")),IF(CF626="Aussen","Aussen","-"))</f>
        <v>LIFT</v>
      </c>
      <c r="CH626" s="71" t="n">
        <f aca="false">IF(N(AC626)&gt;0,AC626,0)</f>
        <v>0</v>
      </c>
      <c r="CI626" s="65" t="n">
        <f aca="false">IF(ISNUMBER(AF626),1,0)</f>
        <v>0</v>
      </c>
      <c r="CJ626" s="62" t="n">
        <f aca="false">N(AF626)</f>
        <v>0</v>
      </c>
      <c r="CK626" s="62" t="n">
        <f aca="false">N(M626)+N(N626)</f>
        <v>640</v>
      </c>
      <c r="CL626" s="62" t="n">
        <f aca="false">N(M626)</f>
        <v>35</v>
      </c>
      <c r="CM626" s="62" t="n">
        <f aca="false">N(N626)</f>
        <v>605</v>
      </c>
      <c r="CN626" s="62" t="n">
        <f aca="false">ROUNDUP(H626/BZ626,0)</f>
        <v>1</v>
      </c>
      <c r="CO626" s="62" t="n">
        <f aca="false">ROUNDUP(CJ626/BZ626,0)</f>
        <v>0</v>
      </c>
      <c r="CP626" s="65" t="n">
        <f aca="false">IF(CA626=1,0,IFERROR(VLOOKUP(BY626,'Gebinde-Kategorie'!$A$5:$N$45,5,0)+0,0))</f>
        <v>8</v>
      </c>
      <c r="CQ626" s="65" t="n">
        <f aca="false">IFERROR(IF(OR(CF626=1,CF626=2,CF626=3),N(INDEX(Parameter!$I$5:$I$7,CF626)),0),0)</f>
        <v>0</v>
      </c>
      <c r="CR626" s="64" t="n">
        <f aca="false">IF(AND(Parameter!$B$21="Ja",ISNUMBER(W626),N(X626)&gt;0),IFERROR(N(INDEX(Parameter!$L$5:$L$7,W626))*INDEX(Parameter!$E$5:$E$7,W626)*X626/SUMIFS($X$7:$X$1843,$W$7:$W$1843,W626),0),0)</f>
        <v>0</v>
      </c>
      <c r="CS626" s="62" t="n">
        <f aca="false">IF(AND(OR(CG626="L1",CG626="L23",CG626="LIFT"),H626&gt;0),CC626*IF(CR626&gt;0,CR626*MAX(1,H626/X626),IF(CA626=1,CE626,IF(R626&gt;0,CN626/R626,0))/MAX(0.1,N(Parameter!$M$21))),"")</f>
        <v>2.98076923076923</v>
      </c>
      <c r="CT626" s="64" t="n">
        <f aca="false">IF(CS626="","",J626/H626)</f>
        <v>0.168526785714286</v>
      </c>
      <c r="CU626" s="62" t="n">
        <f aca="false">IF(CS626="","",H626*G626)</f>
        <v>35.84</v>
      </c>
      <c r="CV626" s="63" t="n">
        <f aca="false">IF(CS626="","",(CL626+ROUNDUP(CL626+MAX(CM626,2*(J626/MAX(0.1,N(Einkauf!$C$6))-CL626)),0))/2)</f>
        <v>337.5</v>
      </c>
      <c r="CW626" s="62" t="n">
        <f aca="false">IF(CS626="","",MAX(0,H626-CV626)*G626)</f>
        <v>32.465</v>
      </c>
      <c r="CX626" s="62" t="n">
        <f aca="false">IF(CS626="","",CS626*MAX(0,1-CV626/H626))</f>
        <v>2.70007458361951</v>
      </c>
      <c r="CY626" s="64" t="n">
        <f aca="false">IF(CS626="","",PERCENTRANK($CS$7:$CS$1843,CS626)+PERCENTRANK($CU$7:$CU$1843,CU626)+1-PERCENTRANK($CT$7:$CT$1843,CT626))</f>
        <v>0.87</v>
      </c>
      <c r="CZ626" s="72" t="n">
        <f aca="false">IF(CS626="","",CHOOSE(MATCH(Einkauf!$C$5,Parameter!$G$23:$G$27,0),CY626,CS626,CU626,-CT626,CW626)+ROW()/1000000000)</f>
        <v>0.870000626</v>
      </c>
    </row>
    <row r="627" customFormat="false" ht="15" hidden="false" customHeight="false" outlineLevel="0" collapsed="false">
      <c r="A627" s="60" t="s">
        <v>1327</v>
      </c>
      <c r="B627" s="60" t="s">
        <v>1304</v>
      </c>
      <c r="C627" s="60" t="s">
        <v>206</v>
      </c>
      <c r="D627" s="60" t="s">
        <v>226</v>
      </c>
      <c r="E627" s="60" t="s">
        <v>227</v>
      </c>
      <c r="F627" s="60" t="s">
        <v>260</v>
      </c>
      <c r="G627" s="61" t="n">
        <v>0.05</v>
      </c>
      <c r="H627" s="62" t="n">
        <f aca="false">MAX(0,IF(AND(Parameter!$B$21="Ja",ISNUMBER(Y627)),Y627,IF(Parameter!$B$20="Jahresanfang 2025 + Export",BS627+BR627,BR627)))</f>
        <v>85</v>
      </c>
      <c r="I627" s="62" t="n">
        <f aca="false">H627*G627</f>
        <v>4.25</v>
      </c>
      <c r="J627" s="62" t="n">
        <f aca="false">BU627*Parameter!$B$18</f>
        <v>0</v>
      </c>
      <c r="K627" s="63" t="n">
        <v>67</v>
      </c>
      <c r="L627" s="64" t="n">
        <v>0</v>
      </c>
      <c r="M627" s="62" t="n">
        <v>0</v>
      </c>
      <c r="N627" s="62" t="n">
        <v>1</v>
      </c>
      <c r="O627" s="65" t="n">
        <v>14</v>
      </c>
      <c r="P627" s="60" t="s">
        <v>443</v>
      </c>
      <c r="Q627" s="62" t="n">
        <v>91</v>
      </c>
      <c r="R627" s="65" t="n">
        <f aca="false">IF(CA627=1,0,IFERROR(VLOOKUP(BY627,'Gebinde-Kategorie'!$A$5:$N$45,13,0)+0,0))</f>
        <v>280</v>
      </c>
      <c r="S627" s="66"/>
      <c r="T627" s="67"/>
      <c r="U627" s="67"/>
      <c r="V627" s="67"/>
      <c r="W627" s="60"/>
      <c r="X627" s="62"/>
      <c r="Y627" s="62"/>
      <c r="Z627" s="60" t="n">
        <v>3</v>
      </c>
      <c r="AA627" s="60" t="n">
        <f aca="false">IF(A627="","",IF(AND(Parameter!$B$21="Ja",ISNUMBER(W627)),W627,IF(AND(Parameter!$E$27="Ja",ISNUMBER(Z627),CD627&lt;&gt;"Nein"),Z627,IF(CD627="2+3",IF(ISNUMBER(SEARCH("grosser Artikel",BV627)),2,IFERROR(VLOOKUP(BY627,Parameter!$F$35:$G$64,2,0),2)),IF(OR(CD627="Nein",CD627=""),"-",CD627)))))</f>
        <v>3</v>
      </c>
      <c r="AB627" s="67"/>
      <c r="AC627" s="68"/>
      <c r="AD627" s="62" t="n">
        <f aca="false">AW627</f>
        <v>1</v>
      </c>
      <c r="AE627" s="62" t="n">
        <f aca="false">MAX(AW627,H627)</f>
        <v>85</v>
      </c>
      <c r="AF627" s="69"/>
      <c r="AG627" s="62" t="n">
        <f aca="false">IF(LEFT(Cockpit!$C$5,1)="A",H627,IF(Parameter!$E$30="MAX-Bestand",IF(CI627=1,CJ627,IF(LEFT(Cockpit!$C$5,1)="B",AM627,MAX(AM627,H627))),ROUNDUP(AK627,0)))</f>
        <v>85</v>
      </c>
      <c r="AH627" s="62" t="n">
        <f aca="false">IF(CA627=1,0,ROUNDUP(AG627/BZ627,0))</f>
        <v>1</v>
      </c>
      <c r="AI627" s="64" t="n">
        <f aca="false">IF(CR627&gt;0,CR627*MAX(1,AG627/X627),IF(CA627=1,IF(AG627&lt;=0,0,CE627*MAX(1,IF(H627&gt;0,AG627/H627,1))),IF(R627&gt;0,AH627/R627,0))/MAX(0.1,N(Parameter!$M$21)))</f>
        <v>0.00357142857142857</v>
      </c>
      <c r="AJ627" s="62" t="n">
        <f aca="false">AI627*CC627</f>
        <v>0.553571428571429</v>
      </c>
      <c r="AK627" s="63" t="n">
        <f aca="false">IF(LEFT(Cockpit!$C$5,1)="A",H627,IF(CI627=1,(CL627+CJ627)/2,IF(LEFT(Cockpit!$C$5,1)="B",(CL627+AM627)/2,MAX((CL627+AM627)/2,H627))))</f>
        <v>85</v>
      </c>
      <c r="AL627" s="62" t="n">
        <f aca="false">AK627*G627</f>
        <v>4.25</v>
      </c>
      <c r="AM627" s="62" t="n">
        <f aca="false">ROUNDUP(CL627+MAX(CM627,2*(J627/IF(CH627&gt;0,CH627,MAX(0.1,N(Cockpit!$C$6)))-CL627)),0)</f>
        <v>1</v>
      </c>
      <c r="AN627" s="63" t="n">
        <f aca="false">IF(AJ627&gt;0,J627/AJ627,-1)</f>
        <v>0</v>
      </c>
      <c r="AO627" s="63" t="n">
        <f aca="false">IF(AND(OR(CG627="L1",CG627="L23",CG627="LIFT"),AJ627&gt;0),SUMIFS($AJ$7:$AJ$1843,$CG$7:$CG$1843,CG627,$AN$7:$AN$1843,"&gt;"&amp;AN627)+SUMIFS($AJ$7:$AJ$1843,$CG$7:$CG$1843,CG627,$AN$7:$AN$1843,AN627,$BX$7:$BX$1843,"&lt;="&amp;BX627),"")</f>
        <v>28562.8472377434</v>
      </c>
      <c r="AP627" s="70" t="n">
        <f aca="false">IF(AO627="",0,MAX(0,MIN(1,(IF(CG627="L1",Parameter!$H$5,IF(CG627="L23",Parameter!$H$6+Parameter!$H$7,Parameter!$H$5+Parameter!$H$6+Parameter!$H$7))-(AO627-AJ627))/AJ627)))</f>
        <v>1</v>
      </c>
      <c r="AQ627" s="62" t="n">
        <f aca="false">IF(LEFT(Cockpit!$I$5,1)="A",H627,IF(Parameter!$E$30="MAX-Bestand",IF(CI627=1,CJ627,IF(LEFT(Cockpit!$I$5,1)="B",AW627,MAX(AW627,H627))),ROUNDUP(AU627,0)))</f>
        <v>85</v>
      </c>
      <c r="AR627" s="62" t="n">
        <f aca="false">IF(CA627=1,0,ROUNDUP(AQ627/BZ627,0))</f>
        <v>1</v>
      </c>
      <c r="AS627" s="64" t="n">
        <f aca="false">IF(CR627&gt;0,CR627*MAX(1,AQ627/X627),IF(CA627=1,IF(AQ627&lt;=0,0,CE627*MAX(1,IF(H627&gt;0,AQ627/H627,1))),IF(R627&gt;0,AR627/R627,0))/MAX(0.1,N(Parameter!$M$21)))</f>
        <v>0.00357142857142857</v>
      </c>
      <c r="AT627" s="62" t="n">
        <f aca="false">AS627*CC627</f>
        <v>0.553571428571429</v>
      </c>
      <c r="AU627" s="63" t="n">
        <f aca="false">IF(LEFT(Cockpit!$I$5,1)="A",H627,IF(CI627=1,(CL627+CJ627)/2,IF(LEFT(Cockpit!$I$5,1)="B",(CL627+AW627)/2,MAX((CL627+AW627)/2,H627))))</f>
        <v>85</v>
      </c>
      <c r="AV627" s="62" t="n">
        <f aca="false">AU627*G627</f>
        <v>4.25</v>
      </c>
      <c r="AW627" s="62" t="n">
        <f aca="false">ROUNDUP(CL627+MAX(CM627,2*(J627/IF(CH627&gt;0,CH627,MAX(0.1,N(Cockpit!$I$6)))-CL627)),0)</f>
        <v>1</v>
      </c>
      <c r="AX627" s="63" t="n">
        <f aca="false">IF(AT627&gt;0,J627/AT627,-1)</f>
        <v>0</v>
      </c>
      <c r="AY627" s="63" t="n">
        <f aca="false">IF(AND(OR(CG627="L1",CG627="L23",CG627="LIFT"),AT627&gt;0),SUMIFS($AT$7:$AT$1843,$CG$7:$CG$1843,CG627,$AX$7:$AX$1843,"&gt;"&amp;AX627)+SUMIFS($AT$7:$AT$1843,$CG$7:$CG$1843,CG627,$AX$7:$AX$1843,AX627,$BX$7:$BX$1843,"&lt;="&amp;BX627),"")</f>
        <v>33915.9958791209</v>
      </c>
      <c r="AZ627" s="70" t="n">
        <f aca="false">IF(AY627="",0,MAX(0,MIN(1,(IF(CG627="L1",Parameter!$H$5,IF(CG627="L23",Parameter!$H$6+Parameter!$H$7,Parameter!$H$5+Parameter!$H$6+Parameter!$H$7))-(AY627-AT627))/AT627)))</f>
        <v>1</v>
      </c>
      <c r="BA627" s="62" t="n">
        <f aca="false">IF(LEFT(Cockpit!$O$5,1)="A",H627,IF(Parameter!$E$30="MAX-Bestand",IF(CI627=1,CJ627,IF(LEFT(Cockpit!$O$5,1)="B",BG627,MAX(BG627,H627))),ROUNDUP(BE627,0)))</f>
        <v>1</v>
      </c>
      <c r="BB627" s="62" t="n">
        <f aca="false">IF(CA627=1,0,ROUNDUP(BA627/BZ627,0))</f>
        <v>1</v>
      </c>
      <c r="BC627" s="64" t="n">
        <f aca="false">IF(CR627&gt;0,CR627*MAX(1,BA627/X627),IF(CA627=1,IF(BA627&lt;=0,0,CE627*MAX(1,IF(H627&gt;0,BA627/H627,1))),IF(R627&gt;0,BB627/R627,0))/MAX(0.1,N(Parameter!$M$21)))</f>
        <v>0.00357142857142857</v>
      </c>
      <c r="BD627" s="62" t="n">
        <f aca="false">BC627*CC627</f>
        <v>0.553571428571429</v>
      </c>
      <c r="BE627" s="63" t="n">
        <f aca="false">IF(LEFT(Cockpit!$O$5,1)="A",H627,IF(CI627=1,(CL627+CJ627)/2,IF(LEFT(Cockpit!$O$5,1)="B",(CL627+BG627)/2,MAX((CL627+BG627)/2,H627))))</f>
        <v>0.5</v>
      </c>
      <c r="BF627" s="62" t="n">
        <f aca="false">BE627*G627</f>
        <v>0.025</v>
      </c>
      <c r="BG627" s="62" t="n">
        <f aca="false">ROUNDUP(CL627+MAX(CM627,2*(J627/IF(CH627&gt;0,CH627,MAX(0.1,N(Cockpit!$O$6)))-CL627)),0)</f>
        <v>1</v>
      </c>
      <c r="BH627" s="63" t="n">
        <f aca="false">IF(BD627&gt;0,J627/BD627,-1)</f>
        <v>0</v>
      </c>
      <c r="BI627" s="63" t="n">
        <f aca="false">IF(AND(OR(CG627="L1",CG627="L23",CG627="LIFT"),BD627&gt;0),SUMIFS($BD$7:$BD$1843,$CG$7:$CG$1843,CG627,$BH$7:$BH$1843,"&gt;"&amp;BH627)+SUMIFS($BD$7:$BD$1843,$CG$7:$CG$1843,CG627,$BH$7:$BH$1843,BH627,$BX$7:$BX$1843,"&lt;="&amp;BX627),"")</f>
        <v>27988.3007077668</v>
      </c>
      <c r="BJ627" s="70" t="n">
        <f aca="false">IF(BI627="",0,MAX(0,MIN(1,(IF(CG627="L1",Parameter!$H$5,IF(CG627="L23",Parameter!$H$6+Parameter!$H$7,Parameter!$H$5+Parameter!$H$6+Parameter!$H$7))-(BI627-BD627))/BD627)))</f>
        <v>1</v>
      </c>
      <c r="BK627" s="60" t="str">
        <f aca="false">IF(AJ627&lt;=0,"",IF(CG627="Aussen","Aussenlager",IF(CG627="-","Nicht im Lift",IF(AP627&gt;=1,"Lift",IF(AP627&lt;=0,"Aussenlager","teilweise")))))</f>
        <v>Lift</v>
      </c>
      <c r="BL627" s="60" t="str">
        <f aca="false">IF(AT627&lt;=0,"",IF(CG627="Aussen","Aussenlager",IF(CG627="-","Nicht im Lift",IF(AZ627&gt;=1,"Lift",IF(AZ627&lt;=0,"Aussenlager","teilweise")))))</f>
        <v>Lift</v>
      </c>
      <c r="BM627" s="60" t="str">
        <f aca="false">IF(BD627&lt;=0,"",IF(CG627="Aussen","Aussenlager",IF(CG627="-","Nicht im Lift",IF(BJ627&gt;=1,"Lift",IF(BJ627&lt;=0,"Aussenlager","teilweise")))))</f>
        <v>Lift</v>
      </c>
      <c r="BN627" s="60" t="str">
        <f aca="false">IF(A627="","",IF(BW627=1,"Neu; ","")&amp;IF(AND(BW627=0,BR627&lt;0),"negativer Bestand (Export "&amp;BR627&amp;"); ","")&amp;IF(J627&lt;=0,"Kein Verbrauch; ","")&amp;IF(CR627&gt;0,"Lift "&amp;W627&amp;" lt. Liftbericht (Fach "&amp;X627&amp;" Stk); ",IF(CB627=1,"Gebinde geschätzt ("&amp;T627&amp;"); ",IF(CA627=1,"Lose – Tablare geschätzt; ","")))&amp;IF(H627&gt;AW627,"Überbestand "&amp;ROUND(H627-AW627,0)&amp;" Stk / CHF "&amp;ROUND((H627-AW627)*G627,0)&amp;"; ","")&amp;IF(AND(CI627=1,CJ627&lt;CK627),"MAX &lt; MB+LG; ","")&amp;IF(AND(CQ627&gt;0,CP627*10&gt;CQ627),"zu hoch für Tablar; ","")&amp;IF(AND(BW627=0,OR(CI627=1,AB627&lt;&gt;"",U627&lt;&gt;"",V627&lt;&gt;"",AC627&lt;&gt;"")),"manuell übersteuert; ","")&amp;IF(AND(CA627=0,R627=0),"Gebinde unbekannt / Stellmass fehlt; ","")&amp;IF(AND(CA627=0,N(V627)&lt;=0,N(Q627)&lt;=0),"Menge pro Gebinde fehlt (Ist = 1 Gebinde); ","")&amp;BV627)</f>
        <v>Kein Verbrauch; Überbestand 84 Stk / CHF 4; </v>
      </c>
      <c r="BO627" s="60"/>
      <c r="BP627" s="60"/>
      <c r="BQ627" s="67"/>
      <c r="BR627" s="62" t="n">
        <v>36</v>
      </c>
      <c r="BS627" s="62" t="n">
        <v>49</v>
      </c>
      <c r="BT627" s="61" t="n">
        <v>1.8</v>
      </c>
      <c r="BU627" s="62" t="n">
        <v>0</v>
      </c>
      <c r="BV627" s="60"/>
      <c r="BW627" s="65" t="n">
        <v>0</v>
      </c>
      <c r="BX627" s="65" t="n">
        <v>627</v>
      </c>
      <c r="BY627" s="60" t="str">
        <f aca="false">IF(U627&lt;&gt;"",UPPER(TRIM(U627)),IF(CB627=1,UPPER(VLOOKUP(T627,Parameter!$I$27:$K$29,2,0)),IF(P627="","LOSE",P627)))</f>
        <v>S21</v>
      </c>
      <c r="BZ627" s="62" t="n">
        <f aca="false">IF(BY627="LOSE",1,IF(N(V627)&gt;0,V627,IF(CB627=1,MAX(1,N(VLOOKUP(T627,Parameter!$I$27:$K$29,3,0)),H627,N(N627)),IF(N(Q627)&gt;0,Q627,MAX(1,H627)))))</f>
        <v>91</v>
      </c>
      <c r="CA627" s="65" t="n">
        <f aca="false">IF(BY627="LOSE",1,0)</f>
        <v>0</v>
      </c>
      <c r="CB627" s="65" t="n">
        <f aca="false">IF(AND(U627="",OR(P627="",P627="LOSE"),T627&lt;&gt;"",N(S627)&lt;=0,ISNUMBER(MATCH(T627,Parameter!$I$27:$I$29,0))),1,0)</f>
        <v>0</v>
      </c>
      <c r="CC627" s="65" t="n">
        <f aca="false">IF(CR627&gt;0,INDEX(Parameter!$H$5:$H$7,W627)/INDEX(Parameter!$E$5:$E$7,W627),IF(AND(CA627=0,N(IFERROR(VLOOKUP(BY627,'Gebinde-Kategorie'!$A$5:$N$45,14,0),0))&gt;0),VLOOKUP(BY627,'Gebinde-Kategorie'!$A$5:$N$45,14,0)*10+Parameter!$M$23,Parameter!$M$24))</f>
        <v>155</v>
      </c>
      <c r="CD627" s="60" t="str">
        <f aca="false">IF(AND(Parameter!$B$19="Ja",E627&lt;&gt;"",ISNUMBER(MATCH(E627,Parameter!$I$35:$I$52,0))),VLOOKUP(E627,Parameter!$I$35:$J$52,2,0),IFERROR(VLOOKUP(D627,Parameter!$A$35:$C$64,2,0),"Nein"))</f>
        <v>2+3</v>
      </c>
      <c r="CE627" s="64" t="n">
        <f aca="false">IF(CA627=0,0,IF(N(S627)&gt;0,S627,IFERROR(VLOOKUP(D627,Parameter!$A$35:$C$64,3,0)+0,0)))</f>
        <v>0</v>
      </c>
      <c r="CF627" s="60" t="n">
        <f aca="false">IF(AB627&lt;&gt;"",AB627,AA627)</f>
        <v>3</v>
      </c>
      <c r="CG627" s="60" t="str">
        <f aca="false">IF(OR(CF627=1,CF627=2,CF627=3),IF(Parameter!$E$27="Ja","LIFT",IF(CF627=1,"L1","L23")),IF(CF627="Aussen","Aussen","-"))</f>
        <v>LIFT</v>
      </c>
      <c r="CH627" s="71" t="n">
        <f aca="false">IF(N(AC627)&gt;0,AC627,0)</f>
        <v>0</v>
      </c>
      <c r="CI627" s="65" t="n">
        <f aca="false">IF(ISNUMBER(AF627),1,0)</f>
        <v>0</v>
      </c>
      <c r="CJ627" s="62" t="n">
        <f aca="false">N(AF627)</f>
        <v>0</v>
      </c>
      <c r="CK627" s="62" t="n">
        <f aca="false">N(M627)+N(N627)</f>
        <v>1</v>
      </c>
      <c r="CL627" s="62" t="n">
        <f aca="false">N(M627)</f>
        <v>0</v>
      </c>
      <c r="CM627" s="62" t="n">
        <f aca="false">N(N627)</f>
        <v>1</v>
      </c>
      <c r="CN627" s="62" t="n">
        <f aca="false">ROUNDUP(H627/BZ627,0)</f>
        <v>1</v>
      </c>
      <c r="CO627" s="62" t="n">
        <f aca="false">ROUNDUP(CJ627/BZ627,0)</f>
        <v>0</v>
      </c>
      <c r="CP627" s="65" t="n">
        <f aca="false">IF(CA627=1,0,IFERROR(VLOOKUP(BY627,'Gebinde-Kategorie'!$A$5:$N$45,5,0)+0,0))</f>
        <v>8</v>
      </c>
      <c r="CQ627" s="65" t="n">
        <f aca="false">IFERROR(IF(OR(CF627=1,CF627=2,CF627=3),N(INDEX(Parameter!$I$5:$I$7,CF627)),0),0)</f>
        <v>0</v>
      </c>
      <c r="CR627" s="64" t="n">
        <f aca="false">IF(AND(Parameter!$B$21="Ja",ISNUMBER(W627),N(X627)&gt;0),IFERROR(N(INDEX(Parameter!$L$5:$L$7,W627))*INDEX(Parameter!$E$5:$E$7,W627)*X627/SUMIFS($X$7:$X$1843,$W$7:$W$1843,W627),0),0)</f>
        <v>0</v>
      </c>
      <c r="CS627" s="62" t="n">
        <f aca="false">IF(AND(OR(CG627="L1",CG627="L23",CG627="LIFT"),H627&gt;0),CC627*IF(CR627&gt;0,CR627*MAX(1,H627/X627),IF(CA627=1,CE627,IF(R627&gt;0,CN627/R627,0))/MAX(0.1,N(Parameter!$M$21))),"")</f>
        <v>0.553571428571429</v>
      </c>
      <c r="CT627" s="64" t="n">
        <f aca="false">IF(CS627="","",J627/H627)</f>
        <v>0</v>
      </c>
      <c r="CU627" s="62" t="n">
        <f aca="false">IF(CS627="","",H627*G627)</f>
        <v>4.25</v>
      </c>
      <c r="CV627" s="63" t="n">
        <f aca="false">IF(CS627="","",(CL627+ROUNDUP(CL627+MAX(CM627,2*(J627/MAX(0.1,N(Einkauf!$C$6))-CL627)),0))/2)</f>
        <v>0.5</v>
      </c>
      <c r="CW627" s="62" t="n">
        <f aca="false">IF(CS627="","",MAX(0,H627-CV627)*G627)</f>
        <v>4.225</v>
      </c>
      <c r="CX627" s="62" t="n">
        <f aca="false">IF(CS627="","",CS627*MAX(0,1-CV627/H627))</f>
        <v>0.55031512605042</v>
      </c>
      <c r="CY627" s="64" t="n">
        <f aca="false">IF(CS627="","",PERCENTRANK($CS$7:$CS$1843,CS627)+PERCENTRANK($CU$7:$CU$1843,CU627)+1-PERCENTRANK($CT$7:$CT$1843,CT627))</f>
        <v>1.0192</v>
      </c>
      <c r="CZ627" s="72" t="n">
        <f aca="false">IF(CS627="","",CHOOSE(MATCH(Einkauf!$C$5,Parameter!$G$23:$G$27,0),CY627,CS627,CU627,-CT627,CW627)+ROW()/1000000000)</f>
        <v>1.019200627</v>
      </c>
    </row>
    <row r="628" customFormat="false" ht="15" hidden="false" customHeight="false" outlineLevel="0" collapsed="false">
      <c r="A628" s="60" t="s">
        <v>1328</v>
      </c>
      <c r="B628" s="60" t="s">
        <v>1178</v>
      </c>
      <c r="C628" s="60" t="s">
        <v>206</v>
      </c>
      <c r="D628" s="60" t="s">
        <v>226</v>
      </c>
      <c r="E628" s="60" t="s">
        <v>227</v>
      </c>
      <c r="F628" s="60" t="s">
        <v>260</v>
      </c>
      <c r="G628" s="61" t="n">
        <v>8.01</v>
      </c>
      <c r="H628" s="62" t="n">
        <f aca="false">MAX(0,IF(AND(Parameter!$B$21="Ja",ISNUMBER(Y628)),Y628,IF(Parameter!$B$20="Jahresanfang 2025 + Export",BS628+BR628,BR628)))</f>
        <v>4</v>
      </c>
      <c r="I628" s="62" t="n">
        <f aca="false">H628*G628</f>
        <v>32.04</v>
      </c>
      <c r="J628" s="62" t="n">
        <f aca="false">BU628*Parameter!$B$18</f>
        <v>2</v>
      </c>
      <c r="K628" s="63" t="n">
        <v>3.5</v>
      </c>
      <c r="L628" s="64" t="n">
        <v>0.571428571428571</v>
      </c>
      <c r="M628" s="62" t="n">
        <v>0</v>
      </c>
      <c r="N628" s="62" t="n">
        <v>1</v>
      </c>
      <c r="O628" s="65" t="n">
        <v>14</v>
      </c>
      <c r="P628" s="60" t="s">
        <v>370</v>
      </c>
      <c r="Q628" s="62" t="n">
        <v>1</v>
      </c>
      <c r="R628" s="65" t="n">
        <f aca="false">IF(CA628=1,0,IFERROR(VLOOKUP(BY628,'Gebinde-Kategorie'!$A$5:$N$45,13,0)+0,0))</f>
        <v>52</v>
      </c>
      <c r="S628" s="66"/>
      <c r="T628" s="67"/>
      <c r="U628" s="67"/>
      <c r="V628" s="67"/>
      <c r="W628" s="60"/>
      <c r="X628" s="62"/>
      <c r="Y628" s="62"/>
      <c r="Z628" s="60" t="n">
        <v>3</v>
      </c>
      <c r="AA628" s="60" t="n">
        <f aca="false">IF(A628="","",IF(AND(Parameter!$B$21="Ja",ISNUMBER(W628)),W628,IF(AND(Parameter!$E$27="Ja",ISNUMBER(Z628),CD628&lt;&gt;"Nein"),Z628,IF(CD628="2+3",IF(ISNUMBER(SEARCH("grosser Artikel",BV628)),2,IFERROR(VLOOKUP(BY628,Parameter!$F$35:$G$64,2,0),2)),IF(OR(CD628="Nein",CD628=""),"-",CD628)))))</f>
        <v>3</v>
      </c>
      <c r="AB628" s="67"/>
      <c r="AC628" s="68"/>
      <c r="AD628" s="62" t="n">
        <f aca="false">AW628</f>
        <v>2</v>
      </c>
      <c r="AE628" s="62" t="n">
        <f aca="false">MAX(AW628,H628)</f>
        <v>4</v>
      </c>
      <c r="AF628" s="69"/>
      <c r="AG628" s="62" t="n">
        <f aca="false">IF(LEFT(Cockpit!$C$5,1)="A",H628,IF(Parameter!$E$30="MAX-Bestand",IF(CI628=1,CJ628,IF(LEFT(Cockpit!$C$5,1)="B",AM628,MAX(AM628,H628))),ROUNDUP(AK628,0)))</f>
        <v>4</v>
      </c>
      <c r="AH628" s="62" t="n">
        <f aca="false">IF(CA628=1,0,ROUNDUP(AG628/BZ628,0))</f>
        <v>4</v>
      </c>
      <c r="AI628" s="64" t="n">
        <f aca="false">IF(CR628&gt;0,CR628*MAX(1,AG628/X628),IF(CA628=1,IF(AG628&lt;=0,0,CE628*MAX(1,IF(H628&gt;0,AG628/H628,1))),IF(R628&gt;0,AH628/R628,0))/MAX(0.1,N(Parameter!$M$21)))</f>
        <v>0.0769230769230769</v>
      </c>
      <c r="AJ628" s="62" t="n">
        <f aca="false">AI628*CC628</f>
        <v>11.9230769230769</v>
      </c>
      <c r="AK628" s="63" t="n">
        <f aca="false">IF(LEFT(Cockpit!$C$5,1)="A",H628,IF(CI628=1,(CL628+CJ628)/2,IF(LEFT(Cockpit!$C$5,1)="B",(CL628+AM628)/2,MAX((CL628+AM628)/2,H628))))</f>
        <v>4</v>
      </c>
      <c r="AL628" s="62" t="n">
        <f aca="false">AK628*G628</f>
        <v>32.04</v>
      </c>
      <c r="AM628" s="62" t="n">
        <f aca="false">ROUNDUP(CL628+MAX(CM628,2*(J628/IF(CH628&gt;0,CH628,MAX(0.1,N(Cockpit!$C$6)))-CL628)),0)</f>
        <v>2</v>
      </c>
      <c r="AN628" s="63" t="n">
        <f aca="false">IF(AJ628&gt;0,J628/AJ628,-1)</f>
        <v>0.167741935483871</v>
      </c>
      <c r="AO628" s="63" t="n">
        <f aca="false">IF(AND(OR(CG628="L1",CG628="L23",CG628="LIFT"),AJ628&gt;0),SUMIFS($AJ$7:$AJ$1843,$CG$7:$CG$1843,CG628,$AN$7:$AN$1843,"&gt;"&amp;AN628)+SUMIFS($AJ$7:$AJ$1843,$CG$7:$CG$1843,CG628,$AN$7:$AN$1843,AN628,$BX$7:$BX$1843,"&lt;="&amp;BX628),"")</f>
        <v>12709.5414131537</v>
      </c>
      <c r="AP628" s="70" t="n">
        <f aca="false">IF(AO628="",0,MAX(0,MIN(1,(IF(CG628="L1",Parameter!$H$5,IF(CG628="L23",Parameter!$H$6+Parameter!$H$7,Parameter!$H$5+Parameter!$H$6+Parameter!$H$7))-(AO628-AJ628))/AJ628)))</f>
        <v>1</v>
      </c>
      <c r="AQ628" s="62" t="n">
        <f aca="false">IF(LEFT(Cockpit!$I$5,1)="A",H628,IF(Parameter!$E$30="MAX-Bestand",IF(CI628=1,CJ628,IF(LEFT(Cockpit!$I$5,1)="B",AW628,MAX(AW628,H628))),ROUNDUP(AU628,0)))</f>
        <v>4</v>
      </c>
      <c r="AR628" s="62" t="n">
        <f aca="false">IF(CA628=1,0,ROUNDUP(AQ628/BZ628,0))</f>
        <v>4</v>
      </c>
      <c r="AS628" s="64" t="n">
        <f aca="false">IF(CR628&gt;0,CR628*MAX(1,AQ628/X628),IF(CA628=1,IF(AQ628&lt;=0,0,CE628*MAX(1,IF(H628&gt;0,AQ628/H628,1))),IF(R628&gt;0,AR628/R628,0))/MAX(0.1,N(Parameter!$M$21)))</f>
        <v>0.0769230769230769</v>
      </c>
      <c r="AT628" s="62" t="n">
        <f aca="false">AS628*CC628</f>
        <v>11.9230769230769</v>
      </c>
      <c r="AU628" s="63" t="n">
        <f aca="false">IF(LEFT(Cockpit!$I$5,1)="A",H628,IF(CI628=1,(CL628+CJ628)/2,IF(LEFT(Cockpit!$I$5,1)="B",(CL628+AW628)/2,MAX((CL628+AW628)/2,H628))))</f>
        <v>4</v>
      </c>
      <c r="AV628" s="62" t="n">
        <f aca="false">AU628*G628</f>
        <v>32.04</v>
      </c>
      <c r="AW628" s="62" t="n">
        <f aca="false">ROUNDUP(CL628+MAX(CM628,2*(J628/IF(CH628&gt;0,CH628,MAX(0.1,N(Cockpit!$I$6)))-CL628)),0)</f>
        <v>2</v>
      </c>
      <c r="AX628" s="63" t="n">
        <f aca="false">IF(AT628&gt;0,J628/AT628,-1)</f>
        <v>0.167741935483871</v>
      </c>
      <c r="AY628" s="63" t="n">
        <f aca="false">IF(AND(OR(CG628="L1",CG628="L23",CG628="LIFT"),AT628&gt;0),SUMIFS($AT$7:$AT$1843,$CG$7:$CG$1843,CG628,$AX$7:$AX$1843,"&gt;"&amp;AX628)+SUMIFS($AT$7:$AT$1843,$CG$7:$CG$1843,CG628,$AX$7:$AX$1843,AX628,$BX$7:$BX$1843,"&lt;="&amp;BX628),"")</f>
        <v>15626.298992674</v>
      </c>
      <c r="AZ628" s="70" t="n">
        <f aca="false">IF(AY628="",0,MAX(0,MIN(1,(IF(CG628="L1",Parameter!$H$5,IF(CG628="L23",Parameter!$H$6+Parameter!$H$7,Parameter!$H$5+Parameter!$H$6+Parameter!$H$7))-(AY628-AT628))/AT628)))</f>
        <v>1</v>
      </c>
      <c r="BA628" s="62" t="n">
        <f aca="false">IF(LEFT(Cockpit!$O$5,1)="A",H628,IF(Parameter!$E$30="MAX-Bestand",IF(CI628=1,CJ628,IF(LEFT(Cockpit!$O$5,1)="B",BG628,MAX(BG628,H628))),ROUNDUP(BE628,0)))</f>
        <v>1</v>
      </c>
      <c r="BB628" s="62" t="n">
        <f aca="false">IF(CA628=1,0,ROUNDUP(BA628/BZ628,0))</f>
        <v>1</v>
      </c>
      <c r="BC628" s="64" t="n">
        <f aca="false">IF(CR628&gt;0,CR628*MAX(1,BA628/X628),IF(CA628=1,IF(BA628&lt;=0,0,CE628*MAX(1,IF(H628&gt;0,BA628/H628,1))),IF(R628&gt;0,BB628/R628,0))/MAX(0.1,N(Parameter!$M$21)))</f>
        <v>0.0192307692307692</v>
      </c>
      <c r="BD628" s="62" t="n">
        <f aca="false">BC628*CC628</f>
        <v>2.98076923076923</v>
      </c>
      <c r="BE628" s="63" t="n">
        <f aca="false">IF(LEFT(Cockpit!$O$5,1)="A",H628,IF(CI628=1,(CL628+CJ628)/2,IF(LEFT(Cockpit!$O$5,1)="B",(CL628+BG628)/2,MAX((CL628+BG628)/2,H628))))</f>
        <v>0.5</v>
      </c>
      <c r="BF628" s="62" t="n">
        <f aca="false">BE628*G628</f>
        <v>4.005</v>
      </c>
      <c r="BG628" s="62" t="n">
        <f aca="false">ROUNDUP(CL628+MAX(CM628,2*(J628/IF(CH628&gt;0,CH628,MAX(0.1,N(Cockpit!$O$6)))-CL628)),0)</f>
        <v>1</v>
      </c>
      <c r="BH628" s="63" t="n">
        <f aca="false">IF(BD628&gt;0,J628/BD628,-1)</f>
        <v>0.670967741935484</v>
      </c>
      <c r="BI628" s="63" t="n">
        <f aca="false">IF(AND(OR(CG628="L1",CG628="L23",CG628="LIFT"),BD628&gt;0),SUMIFS($BD$7:$BD$1843,$CG$7:$CG$1843,CG628,$BH$7:$BH$1843,"&gt;"&amp;BH628)+SUMIFS($BD$7:$BD$1843,$CG$7:$CG$1843,CG628,$BH$7:$BH$1843,BH628,$BX$7:$BX$1843,"&lt;="&amp;BX628),"")</f>
        <v>9509.48122710623</v>
      </c>
      <c r="BJ628" s="70" t="n">
        <f aca="false">IF(BI628="",0,MAX(0,MIN(1,(IF(CG628="L1",Parameter!$H$5,IF(CG628="L23",Parameter!$H$6+Parameter!$H$7,Parameter!$H$5+Parameter!$H$6+Parameter!$H$7))-(BI628-BD628))/BD628)))</f>
        <v>1</v>
      </c>
      <c r="BK628" s="60" t="str">
        <f aca="false">IF(AJ628&lt;=0,"",IF(CG628="Aussen","Aussenlager",IF(CG628="-","Nicht im Lift",IF(AP628&gt;=1,"Lift",IF(AP628&lt;=0,"Aussenlager","teilweise")))))</f>
        <v>Lift</v>
      </c>
      <c r="BL628" s="60" t="str">
        <f aca="false">IF(AT628&lt;=0,"",IF(CG628="Aussen","Aussenlager",IF(CG628="-","Nicht im Lift",IF(AZ628&gt;=1,"Lift",IF(AZ628&lt;=0,"Aussenlager","teilweise")))))</f>
        <v>Lift</v>
      </c>
      <c r="BM628" s="60" t="str">
        <f aca="false">IF(BD628&lt;=0,"",IF(CG628="Aussen","Aussenlager",IF(CG628="-","Nicht im Lift",IF(BJ628&gt;=1,"Lift",IF(BJ628&lt;=0,"Aussenlager","teilweise")))))</f>
        <v>Lift</v>
      </c>
      <c r="BN628" s="60" t="str">
        <f aca="false">IF(A628="","",IF(BW628=1,"Neu; ","")&amp;IF(AND(BW628=0,BR628&lt;0),"negativer Bestand (Export "&amp;BR628&amp;"); ","")&amp;IF(J628&lt;=0,"Kein Verbrauch; ","")&amp;IF(CR628&gt;0,"Lift "&amp;W628&amp;" lt. Liftbericht (Fach "&amp;X628&amp;" Stk); ",IF(CB628=1,"Gebinde geschätzt ("&amp;T628&amp;"); ",IF(CA628=1,"Lose – Tablare geschätzt; ","")))&amp;IF(H628&gt;AW628,"Überbestand "&amp;ROUND(H628-AW628,0)&amp;" Stk / CHF "&amp;ROUND((H628-AW628)*G628,0)&amp;"; ","")&amp;IF(AND(CI628=1,CJ628&lt;CK628),"MAX &lt; MB+LG; ","")&amp;IF(AND(CQ628&gt;0,CP628*10&gt;CQ628),"zu hoch für Tablar; ","")&amp;IF(AND(BW628=0,OR(CI628=1,AB628&lt;&gt;"",U628&lt;&gt;"",V628&lt;&gt;"",AC628&lt;&gt;"")),"manuell übersteuert; ","")&amp;IF(AND(CA628=0,R628=0),"Gebinde unbekannt / Stellmass fehlt; ","")&amp;IF(AND(CA628=0,N(V628)&lt;=0,N(Q628)&lt;=0),"Menge pro Gebinde fehlt (Ist = 1 Gebinde); ","")&amp;BV628)</f>
        <v>Überbestand 2 Stk / CHF 16; </v>
      </c>
      <c r="BO628" s="60"/>
      <c r="BP628" s="60"/>
      <c r="BQ628" s="67"/>
      <c r="BR628" s="62" t="n">
        <v>1</v>
      </c>
      <c r="BS628" s="62" t="n">
        <v>3</v>
      </c>
      <c r="BT628" s="61" t="n">
        <v>1.8</v>
      </c>
      <c r="BU628" s="62" t="n">
        <v>2</v>
      </c>
      <c r="BV628" s="60"/>
      <c r="BW628" s="65" t="n">
        <v>0</v>
      </c>
      <c r="BX628" s="65" t="n">
        <v>628</v>
      </c>
      <c r="BY628" s="60" t="str">
        <f aca="false">IF(U628&lt;&gt;"",UPPER(TRIM(U628)),IF(CB628=1,UPPER(VLOOKUP(T628,Parameter!$I$27:$K$29,2,0)),IF(P628="","LOSE",P628)))</f>
        <v>S41</v>
      </c>
      <c r="BZ628" s="62" t="n">
        <f aca="false">IF(BY628="LOSE",1,IF(N(V628)&gt;0,V628,IF(CB628=1,MAX(1,N(VLOOKUP(T628,Parameter!$I$27:$K$29,3,0)),H628,N(N628)),IF(N(Q628)&gt;0,Q628,MAX(1,H628)))))</f>
        <v>1</v>
      </c>
      <c r="CA628" s="65" t="n">
        <f aca="false">IF(BY628="LOSE",1,0)</f>
        <v>0</v>
      </c>
      <c r="CB628" s="65" t="n">
        <f aca="false">IF(AND(U628="",OR(P628="",P628="LOSE"),T628&lt;&gt;"",N(S628)&lt;=0,ISNUMBER(MATCH(T628,Parameter!$I$27:$I$29,0))),1,0)</f>
        <v>0</v>
      </c>
      <c r="CC628" s="65" t="n">
        <f aca="false">IF(CR628&gt;0,INDEX(Parameter!$H$5:$H$7,W628)/INDEX(Parameter!$E$5:$E$7,W628),IF(AND(CA628=0,N(IFERROR(VLOOKUP(BY628,'Gebinde-Kategorie'!$A$5:$N$45,14,0),0))&gt;0),VLOOKUP(BY628,'Gebinde-Kategorie'!$A$5:$N$45,14,0)*10+Parameter!$M$23,Parameter!$M$24))</f>
        <v>155</v>
      </c>
      <c r="CD628" s="60" t="str">
        <f aca="false">IF(AND(Parameter!$B$19="Ja",E628&lt;&gt;"",ISNUMBER(MATCH(E628,Parameter!$I$35:$I$52,0))),VLOOKUP(E628,Parameter!$I$35:$J$52,2,0),IFERROR(VLOOKUP(D628,Parameter!$A$35:$C$64,2,0),"Nein"))</f>
        <v>2+3</v>
      </c>
      <c r="CE628" s="64" t="n">
        <f aca="false">IF(CA628=0,0,IF(N(S628)&gt;0,S628,IFERROR(VLOOKUP(D628,Parameter!$A$35:$C$64,3,0)+0,0)))</f>
        <v>0</v>
      </c>
      <c r="CF628" s="60" t="n">
        <f aca="false">IF(AB628&lt;&gt;"",AB628,AA628)</f>
        <v>3</v>
      </c>
      <c r="CG628" s="60" t="str">
        <f aca="false">IF(OR(CF628=1,CF628=2,CF628=3),IF(Parameter!$E$27="Ja","LIFT",IF(CF628=1,"L1","L23")),IF(CF628="Aussen","Aussen","-"))</f>
        <v>LIFT</v>
      </c>
      <c r="CH628" s="71" t="n">
        <f aca="false">IF(N(AC628)&gt;0,AC628,0)</f>
        <v>0</v>
      </c>
      <c r="CI628" s="65" t="n">
        <f aca="false">IF(ISNUMBER(AF628),1,0)</f>
        <v>0</v>
      </c>
      <c r="CJ628" s="62" t="n">
        <f aca="false">N(AF628)</f>
        <v>0</v>
      </c>
      <c r="CK628" s="62" t="n">
        <f aca="false">N(M628)+N(N628)</f>
        <v>1</v>
      </c>
      <c r="CL628" s="62" t="n">
        <f aca="false">N(M628)</f>
        <v>0</v>
      </c>
      <c r="CM628" s="62" t="n">
        <f aca="false">N(N628)</f>
        <v>1</v>
      </c>
      <c r="CN628" s="62" t="n">
        <f aca="false">ROUNDUP(H628/BZ628,0)</f>
        <v>4</v>
      </c>
      <c r="CO628" s="62" t="n">
        <f aca="false">ROUNDUP(CJ628/BZ628,0)</f>
        <v>0</v>
      </c>
      <c r="CP628" s="65" t="n">
        <f aca="false">IF(CA628=1,0,IFERROR(VLOOKUP(BY628,'Gebinde-Kategorie'!$A$5:$N$45,5,0)+0,0))</f>
        <v>11</v>
      </c>
      <c r="CQ628" s="65" t="n">
        <f aca="false">IFERROR(IF(OR(CF628=1,CF628=2,CF628=3),N(INDEX(Parameter!$I$5:$I$7,CF628)),0),0)</f>
        <v>0</v>
      </c>
      <c r="CR628" s="64" t="n">
        <f aca="false">IF(AND(Parameter!$B$21="Ja",ISNUMBER(W628),N(X628)&gt;0),IFERROR(N(INDEX(Parameter!$L$5:$L$7,W628))*INDEX(Parameter!$E$5:$E$7,W628)*X628/SUMIFS($X$7:$X$1843,$W$7:$W$1843,W628),0),0)</f>
        <v>0</v>
      </c>
      <c r="CS628" s="62" t="n">
        <f aca="false">IF(AND(OR(CG628="L1",CG628="L23",CG628="LIFT"),H628&gt;0),CC628*IF(CR628&gt;0,CR628*MAX(1,H628/X628),IF(CA628=1,CE628,IF(R628&gt;0,CN628/R628,0))/MAX(0.1,N(Parameter!$M$21))),"")</f>
        <v>11.9230769230769</v>
      </c>
      <c r="CT628" s="64" t="n">
        <f aca="false">IF(CS628="","",J628/H628)</f>
        <v>0.5</v>
      </c>
      <c r="CU628" s="62" t="n">
        <f aca="false">IF(CS628="","",H628*G628)</f>
        <v>32.04</v>
      </c>
      <c r="CV628" s="63" t="n">
        <f aca="false">IF(CS628="","",(CL628+ROUNDUP(CL628+MAX(CM628,2*(J628/MAX(0.1,N(Einkauf!$C$6))-CL628)),0))/2)</f>
        <v>0.5</v>
      </c>
      <c r="CW628" s="62" t="n">
        <f aca="false">IF(CS628="","",MAX(0,H628-CV628)*G628)</f>
        <v>28.035</v>
      </c>
      <c r="CX628" s="62" t="n">
        <f aca="false">IF(CS628="","",CS628*MAX(0,1-CV628/H628))</f>
        <v>10.4326923076923</v>
      </c>
      <c r="CY628" s="64" t="n">
        <f aca="false">IF(CS628="","",PERCENTRANK($CS$7:$CS$1843,CS628)+PERCENTRANK($CU$7:$CU$1843,CU628)+1-PERCENTRANK($CT$7:$CT$1843,CT628))</f>
        <v>1.201</v>
      </c>
      <c r="CZ628" s="72" t="n">
        <f aca="false">IF(CS628="","",CHOOSE(MATCH(Einkauf!$C$5,Parameter!$G$23:$G$27,0),CY628,CS628,CU628,-CT628,CW628)+ROW()/1000000000)</f>
        <v>1.201000628</v>
      </c>
    </row>
    <row r="629" customFormat="false" ht="15" hidden="false" customHeight="false" outlineLevel="0" collapsed="false">
      <c r="A629" s="60" t="s">
        <v>1329</v>
      </c>
      <c r="B629" s="60" t="s">
        <v>1330</v>
      </c>
      <c r="C629" s="60" t="s">
        <v>206</v>
      </c>
      <c r="D629" s="60" t="s">
        <v>226</v>
      </c>
      <c r="E629" s="60" t="s">
        <v>227</v>
      </c>
      <c r="F629" s="60" t="s">
        <v>260</v>
      </c>
      <c r="G629" s="61" t="n">
        <v>5.5</v>
      </c>
      <c r="H629" s="62" t="n">
        <f aca="false">MAX(0,IF(AND(Parameter!$B$21="Ja",ISNUMBER(Y629)),Y629,IF(Parameter!$B$20="Jahresanfang 2025 + Export",BS629+BR629,BR629)))</f>
        <v>3</v>
      </c>
      <c r="I629" s="62" t="n">
        <f aca="false">H629*G629</f>
        <v>16.5</v>
      </c>
      <c r="J629" s="62" t="n">
        <f aca="false">BU629*Parameter!$B$18</f>
        <v>6</v>
      </c>
      <c r="K629" s="63" t="n">
        <v>4.5</v>
      </c>
      <c r="L629" s="64" t="n">
        <v>1.33333333333333</v>
      </c>
      <c r="M629" s="62" t="n">
        <v>0</v>
      </c>
      <c r="N629" s="62" t="n">
        <v>5</v>
      </c>
      <c r="O629" s="65" t="n">
        <v>14</v>
      </c>
      <c r="P629" s="60" t="s">
        <v>463</v>
      </c>
      <c r="Q629" s="62" t="n">
        <v>5</v>
      </c>
      <c r="R629" s="65" t="n">
        <f aca="false">IF(CA629=1,0,IFERROR(VLOOKUP(BY629,'Gebinde-Kategorie'!$A$5:$N$45,13,0)+0,0))</f>
        <v>104</v>
      </c>
      <c r="S629" s="66"/>
      <c r="T629" s="67"/>
      <c r="U629" s="67"/>
      <c r="V629" s="67"/>
      <c r="W629" s="60"/>
      <c r="X629" s="62"/>
      <c r="Y629" s="62"/>
      <c r="Z629" s="60" t="n">
        <v>1</v>
      </c>
      <c r="AA629" s="60" t="n">
        <f aca="false">IF(A629="","",IF(AND(Parameter!$B$21="Ja",ISNUMBER(W629)),W629,IF(AND(Parameter!$E$27="Ja",ISNUMBER(Z629),CD629&lt;&gt;"Nein"),Z629,IF(CD629="2+3",IF(ISNUMBER(SEARCH("grosser Artikel",BV629)),2,IFERROR(VLOOKUP(BY629,Parameter!$F$35:$G$64,2,0),2)),IF(OR(CD629="Nein",CD629=""),"-",CD629)))))</f>
        <v>1</v>
      </c>
      <c r="AB629" s="67"/>
      <c r="AC629" s="68"/>
      <c r="AD629" s="62" t="n">
        <f aca="false">AW629</f>
        <v>5</v>
      </c>
      <c r="AE629" s="62" t="n">
        <f aca="false">MAX(AW629,H629)</f>
        <v>5</v>
      </c>
      <c r="AF629" s="69"/>
      <c r="AG629" s="62" t="n">
        <f aca="false">IF(LEFT(Cockpit!$C$5,1)="A",H629,IF(Parameter!$E$30="MAX-Bestand",IF(CI629=1,CJ629,IF(LEFT(Cockpit!$C$5,1)="B",AM629,MAX(AM629,H629))),ROUNDUP(AK629,0)))</f>
        <v>3</v>
      </c>
      <c r="AH629" s="62" t="n">
        <f aca="false">IF(CA629=1,0,ROUNDUP(AG629/BZ629,0))</f>
        <v>1</v>
      </c>
      <c r="AI629" s="64" t="n">
        <f aca="false">IF(CR629&gt;0,CR629*MAX(1,AG629/X629),IF(CA629=1,IF(AG629&lt;=0,0,CE629*MAX(1,IF(H629&gt;0,AG629/H629,1))),IF(R629&gt;0,AH629/R629,0))/MAX(0.1,N(Parameter!$M$21)))</f>
        <v>0.00961538461538462</v>
      </c>
      <c r="AJ629" s="62" t="n">
        <f aca="false">AI629*CC629</f>
        <v>1.49038461538462</v>
      </c>
      <c r="AK629" s="63" t="n">
        <f aca="false">IF(LEFT(Cockpit!$C$5,1)="A",H629,IF(CI629=1,(CL629+CJ629)/2,IF(LEFT(Cockpit!$C$5,1)="B",(CL629+AM629)/2,MAX((CL629+AM629)/2,H629))))</f>
        <v>3</v>
      </c>
      <c r="AL629" s="62" t="n">
        <f aca="false">AK629*G629</f>
        <v>16.5</v>
      </c>
      <c r="AM629" s="62" t="n">
        <f aca="false">ROUNDUP(CL629+MAX(CM629,2*(J629/IF(CH629&gt;0,CH629,MAX(0.1,N(Cockpit!$C$6)))-CL629)),0)</f>
        <v>5</v>
      </c>
      <c r="AN629" s="63" t="n">
        <f aca="false">IF(AJ629&gt;0,J629/AJ629,-1)</f>
        <v>4.0258064516129</v>
      </c>
      <c r="AO629" s="63" t="n">
        <f aca="false">IF(AND(OR(CG629="L1",CG629="L23",CG629="LIFT"),AJ629&gt;0),SUMIFS($AJ$7:$AJ$1843,$CG$7:$CG$1843,CG629,$AN$7:$AN$1843,"&gt;"&amp;AN629)+SUMIFS($AJ$7:$AJ$1843,$CG$7:$CG$1843,CG629,$AN$7:$AN$1843,AN629,$BX$7:$BX$1843,"&lt;="&amp;BX629),"")</f>
        <v>4343.78525641026</v>
      </c>
      <c r="AP629" s="70" t="n">
        <f aca="false">IF(AO629="",0,MAX(0,MIN(1,(IF(CG629="L1",Parameter!$H$5,IF(CG629="L23",Parameter!$H$6+Parameter!$H$7,Parameter!$H$5+Parameter!$H$6+Parameter!$H$7))-(AO629-AJ629))/AJ629)))</f>
        <v>1</v>
      </c>
      <c r="AQ629" s="62" t="n">
        <f aca="false">IF(LEFT(Cockpit!$I$5,1)="A",H629,IF(Parameter!$E$30="MAX-Bestand",IF(CI629=1,CJ629,IF(LEFT(Cockpit!$I$5,1)="B",AW629,MAX(AW629,H629))),ROUNDUP(AU629,0)))</f>
        <v>3</v>
      </c>
      <c r="AR629" s="62" t="n">
        <f aca="false">IF(CA629=1,0,ROUNDUP(AQ629/BZ629,0))</f>
        <v>1</v>
      </c>
      <c r="AS629" s="64" t="n">
        <f aca="false">IF(CR629&gt;0,CR629*MAX(1,AQ629/X629),IF(CA629=1,IF(AQ629&lt;=0,0,CE629*MAX(1,IF(H629&gt;0,AQ629/H629,1))),IF(R629&gt;0,AR629/R629,0))/MAX(0.1,N(Parameter!$M$21)))</f>
        <v>0.00961538461538462</v>
      </c>
      <c r="AT629" s="62" t="n">
        <f aca="false">AS629*CC629</f>
        <v>1.49038461538462</v>
      </c>
      <c r="AU629" s="63" t="n">
        <f aca="false">IF(LEFT(Cockpit!$I$5,1)="A",H629,IF(CI629=1,(CL629+CJ629)/2,IF(LEFT(Cockpit!$I$5,1)="B",(CL629+AW629)/2,MAX((CL629+AW629)/2,H629))))</f>
        <v>3</v>
      </c>
      <c r="AV629" s="62" t="n">
        <f aca="false">AU629*G629</f>
        <v>16.5</v>
      </c>
      <c r="AW629" s="62" t="n">
        <f aca="false">ROUNDUP(CL629+MAX(CM629,2*(J629/IF(CH629&gt;0,CH629,MAX(0.1,N(Cockpit!$I$6)))-CL629)),0)</f>
        <v>5</v>
      </c>
      <c r="AX629" s="63" t="n">
        <f aca="false">IF(AT629&gt;0,J629/AT629,-1)</f>
        <v>4.0258064516129</v>
      </c>
      <c r="AY629" s="63" t="n">
        <f aca="false">IF(AND(OR(CG629="L1",CG629="L23",CG629="LIFT"),AT629&gt;0),SUMIFS($AT$7:$AT$1843,$CG$7:$CG$1843,CG629,$AX$7:$AX$1843,"&gt;"&amp;AX629)+SUMIFS($AT$7:$AT$1843,$CG$7:$CG$1843,CG629,$AX$7:$AX$1843,AX629,$BX$7:$BX$1843,"&lt;="&amp;BX629),"")</f>
        <v>4940.85943223443</v>
      </c>
      <c r="AZ629" s="70" t="n">
        <f aca="false">IF(AY629="",0,MAX(0,MIN(1,(IF(CG629="L1",Parameter!$H$5,IF(CG629="L23",Parameter!$H$6+Parameter!$H$7,Parameter!$H$5+Parameter!$H$6+Parameter!$H$7))-(AY629-AT629))/AT629)))</f>
        <v>1</v>
      </c>
      <c r="BA629" s="62" t="n">
        <f aca="false">IF(LEFT(Cockpit!$O$5,1)="A",H629,IF(Parameter!$E$30="MAX-Bestand",IF(CI629=1,CJ629,IF(LEFT(Cockpit!$O$5,1)="B",BG629,MAX(BG629,H629))),ROUNDUP(BE629,0)))</f>
        <v>3</v>
      </c>
      <c r="BB629" s="62" t="n">
        <f aca="false">IF(CA629=1,0,ROUNDUP(BA629/BZ629,0))</f>
        <v>1</v>
      </c>
      <c r="BC629" s="64" t="n">
        <f aca="false">IF(CR629&gt;0,CR629*MAX(1,BA629/X629),IF(CA629=1,IF(BA629&lt;=0,0,CE629*MAX(1,IF(H629&gt;0,BA629/H629,1))),IF(R629&gt;0,BB629/R629,0))/MAX(0.1,N(Parameter!$M$21)))</f>
        <v>0.00961538461538462</v>
      </c>
      <c r="BD629" s="62" t="n">
        <f aca="false">BC629*CC629</f>
        <v>1.49038461538462</v>
      </c>
      <c r="BE629" s="63" t="n">
        <f aca="false">IF(LEFT(Cockpit!$O$5,1)="A",H629,IF(CI629=1,(CL629+CJ629)/2,IF(LEFT(Cockpit!$O$5,1)="B",(CL629+BG629)/2,MAX((CL629+BG629)/2,H629))))</f>
        <v>2.5</v>
      </c>
      <c r="BF629" s="62" t="n">
        <f aca="false">BE629*G629</f>
        <v>13.75</v>
      </c>
      <c r="BG629" s="62" t="n">
        <f aca="false">ROUNDUP(CL629+MAX(CM629,2*(J629/IF(CH629&gt;0,CH629,MAX(0.1,N(Cockpit!$O$6)))-CL629)),0)</f>
        <v>5</v>
      </c>
      <c r="BH629" s="63" t="n">
        <f aca="false">IF(BD629&gt;0,J629/BD629,-1)</f>
        <v>4.0258064516129</v>
      </c>
      <c r="BI629" s="63" t="n">
        <f aca="false">IF(AND(OR(CG629="L1",CG629="L23",CG629="LIFT"),BD629&gt;0),SUMIFS($BD$7:$BD$1843,$CG$7:$CG$1843,CG629,$BH$7:$BH$1843,"&gt;"&amp;BH629)+SUMIFS($BD$7:$BD$1843,$CG$7:$CG$1843,CG629,$BH$7:$BH$1843,BH629,$BX$7:$BX$1843,"&lt;="&amp;BX629),"")</f>
        <v>4052.46840659341</v>
      </c>
      <c r="BJ629" s="70" t="n">
        <f aca="false">IF(BI629="",0,MAX(0,MIN(1,(IF(CG629="L1",Parameter!$H$5,IF(CG629="L23",Parameter!$H$6+Parameter!$H$7,Parameter!$H$5+Parameter!$H$6+Parameter!$H$7))-(BI629-BD629))/BD629)))</f>
        <v>1</v>
      </c>
      <c r="BK629" s="60" t="str">
        <f aca="false">IF(AJ629&lt;=0,"",IF(CG629="Aussen","Aussenlager",IF(CG629="-","Nicht im Lift",IF(AP629&gt;=1,"Lift",IF(AP629&lt;=0,"Aussenlager","teilweise")))))</f>
        <v>Lift</v>
      </c>
      <c r="BL629" s="60" t="str">
        <f aca="false">IF(AT629&lt;=0,"",IF(CG629="Aussen","Aussenlager",IF(CG629="-","Nicht im Lift",IF(AZ629&gt;=1,"Lift",IF(AZ629&lt;=0,"Aussenlager","teilweise")))))</f>
        <v>Lift</v>
      </c>
      <c r="BM629" s="60" t="str">
        <f aca="false">IF(BD629&lt;=0,"",IF(CG629="Aussen","Aussenlager",IF(CG629="-","Nicht im Lift",IF(BJ629&gt;=1,"Lift",IF(BJ629&lt;=0,"Aussenlager","teilweise")))))</f>
        <v>Lift</v>
      </c>
      <c r="BN629" s="60" t="str">
        <f aca="false">IF(A629="","",IF(BW629=1,"Neu; ","")&amp;IF(AND(BW629=0,BR629&lt;0),"negativer Bestand (Export "&amp;BR629&amp;"); ","")&amp;IF(J629&lt;=0,"Kein Verbrauch; ","")&amp;IF(CR629&gt;0,"Lift "&amp;W629&amp;" lt. Liftbericht (Fach "&amp;X629&amp;" Stk); ",IF(CB629=1,"Gebinde geschätzt ("&amp;T629&amp;"); ",IF(CA629=1,"Lose – Tablare geschätzt; ","")))&amp;IF(H629&gt;AW629,"Überbestand "&amp;ROUND(H629-AW629,0)&amp;" Stk / CHF "&amp;ROUND((H629-AW629)*G629,0)&amp;"; ","")&amp;IF(AND(CI629=1,CJ629&lt;CK629),"MAX &lt; MB+LG; ","")&amp;IF(AND(CQ629&gt;0,CP629*10&gt;CQ629),"zu hoch für Tablar; ","")&amp;IF(AND(BW629=0,OR(CI629=1,AB629&lt;&gt;"",U629&lt;&gt;"",V629&lt;&gt;"",AC629&lt;&gt;"")),"manuell übersteuert; ","")&amp;IF(AND(CA629=0,R629=0),"Gebinde unbekannt / Stellmass fehlt; ","")&amp;IF(AND(CA629=0,N(V629)&lt;=0,N(Q629)&lt;=0),"Menge pro Gebinde fehlt (Ist = 1 Gebinde); ","")&amp;BV629)</f>
        <v/>
      </c>
      <c r="BO629" s="60"/>
      <c r="BP629" s="60"/>
      <c r="BQ629" s="67"/>
      <c r="BR629" s="62" t="n">
        <v>0</v>
      </c>
      <c r="BS629" s="62" t="n">
        <v>3</v>
      </c>
      <c r="BT629" s="61" t="n">
        <v>1.70999999999999</v>
      </c>
      <c r="BU629" s="62" t="n">
        <v>6</v>
      </c>
      <c r="BV629" s="60"/>
      <c r="BW629" s="65" t="n">
        <v>0</v>
      </c>
      <c r="BX629" s="65" t="n">
        <v>629</v>
      </c>
      <c r="BY629" s="60" t="str">
        <f aca="false">IF(U629&lt;&gt;"",UPPER(TRIM(U629)),IF(CB629=1,UPPER(VLOOKUP(T629,Parameter!$I$27:$K$29,2,0)),IF(P629="","LOSE",P629)))</f>
        <v>S32</v>
      </c>
      <c r="BZ629" s="62" t="n">
        <f aca="false">IF(BY629="LOSE",1,IF(N(V629)&gt;0,V629,IF(CB629=1,MAX(1,N(VLOOKUP(T629,Parameter!$I$27:$K$29,3,0)),H629,N(N629)),IF(N(Q629)&gt;0,Q629,MAX(1,H629)))))</f>
        <v>5</v>
      </c>
      <c r="CA629" s="65" t="n">
        <f aca="false">IF(BY629="LOSE",1,0)</f>
        <v>0</v>
      </c>
      <c r="CB629" s="65" t="n">
        <f aca="false">IF(AND(U629="",OR(P629="",P629="LOSE"),T629&lt;&gt;"",N(S629)&lt;=0,ISNUMBER(MATCH(T629,Parameter!$I$27:$I$29,0))),1,0)</f>
        <v>0</v>
      </c>
      <c r="CC629" s="65" t="n">
        <f aca="false">IF(CR629&gt;0,INDEX(Parameter!$H$5:$H$7,W629)/INDEX(Parameter!$E$5:$E$7,W629),IF(AND(CA629=0,N(IFERROR(VLOOKUP(BY629,'Gebinde-Kategorie'!$A$5:$N$45,14,0),0))&gt;0),VLOOKUP(BY629,'Gebinde-Kategorie'!$A$5:$N$45,14,0)*10+Parameter!$M$23,Parameter!$M$24))</f>
        <v>155</v>
      </c>
      <c r="CD629" s="60" t="str">
        <f aca="false">IF(AND(Parameter!$B$19="Ja",E629&lt;&gt;"",ISNUMBER(MATCH(E629,Parameter!$I$35:$I$52,0))),VLOOKUP(E629,Parameter!$I$35:$J$52,2,0),IFERROR(VLOOKUP(D629,Parameter!$A$35:$C$64,2,0),"Nein"))</f>
        <v>2+3</v>
      </c>
      <c r="CE629" s="64" t="n">
        <f aca="false">IF(CA629=0,0,IF(N(S629)&gt;0,S629,IFERROR(VLOOKUP(D629,Parameter!$A$35:$C$64,3,0)+0,0)))</f>
        <v>0</v>
      </c>
      <c r="CF629" s="60" t="n">
        <f aca="false">IF(AB629&lt;&gt;"",AB629,AA629)</f>
        <v>1</v>
      </c>
      <c r="CG629" s="60" t="str">
        <f aca="false">IF(OR(CF629=1,CF629=2,CF629=3),IF(Parameter!$E$27="Ja","LIFT",IF(CF629=1,"L1","L23")),IF(CF629="Aussen","Aussen","-"))</f>
        <v>LIFT</v>
      </c>
      <c r="CH629" s="71" t="n">
        <f aca="false">IF(N(AC629)&gt;0,AC629,0)</f>
        <v>0</v>
      </c>
      <c r="CI629" s="65" t="n">
        <f aca="false">IF(ISNUMBER(AF629),1,0)</f>
        <v>0</v>
      </c>
      <c r="CJ629" s="62" t="n">
        <f aca="false">N(AF629)</f>
        <v>0</v>
      </c>
      <c r="CK629" s="62" t="n">
        <f aca="false">N(M629)+N(N629)</f>
        <v>5</v>
      </c>
      <c r="CL629" s="62" t="n">
        <f aca="false">N(M629)</f>
        <v>0</v>
      </c>
      <c r="CM629" s="62" t="n">
        <f aca="false">N(N629)</f>
        <v>5</v>
      </c>
      <c r="CN629" s="62" t="n">
        <f aca="false">ROUNDUP(H629/BZ629,0)</f>
        <v>1</v>
      </c>
      <c r="CO629" s="62" t="n">
        <f aca="false">ROUNDUP(CJ629/BZ629,0)</f>
        <v>0</v>
      </c>
      <c r="CP629" s="65" t="n">
        <f aca="false">IF(CA629=1,0,IFERROR(VLOOKUP(BY629,'Gebinde-Kategorie'!$A$5:$N$45,5,0)+0,0))</f>
        <v>8</v>
      </c>
      <c r="CQ629" s="65" t="n">
        <f aca="false">IFERROR(IF(OR(CF629=1,CF629=2,CF629=3),N(INDEX(Parameter!$I$5:$I$7,CF629)),0),0)</f>
        <v>0</v>
      </c>
      <c r="CR629" s="64" t="n">
        <f aca="false">IF(AND(Parameter!$B$21="Ja",ISNUMBER(W629),N(X629)&gt;0),IFERROR(N(INDEX(Parameter!$L$5:$L$7,W629))*INDEX(Parameter!$E$5:$E$7,W629)*X629/SUMIFS($X$7:$X$1843,$W$7:$W$1843,W629),0),0)</f>
        <v>0</v>
      </c>
      <c r="CS629" s="62" t="n">
        <f aca="false">IF(AND(OR(CG629="L1",CG629="L23",CG629="LIFT"),H629&gt;0),CC629*IF(CR629&gt;0,CR629*MAX(1,H629/X629),IF(CA629=1,CE629,IF(R629&gt;0,CN629/R629,0))/MAX(0.1,N(Parameter!$M$21))),"")</f>
        <v>1.49038461538462</v>
      </c>
      <c r="CT629" s="64" t="n">
        <f aca="false">IF(CS629="","",J629/H629)</f>
        <v>2</v>
      </c>
      <c r="CU629" s="62" t="n">
        <f aca="false">IF(CS629="","",H629*G629)</f>
        <v>16.5</v>
      </c>
      <c r="CV629" s="63" t="n">
        <f aca="false">IF(CS629="","",(CL629+ROUNDUP(CL629+MAX(CM629,2*(J629/MAX(0.1,N(Einkauf!$C$6))-CL629)),0))/2)</f>
        <v>2.5</v>
      </c>
      <c r="CW629" s="62" t="n">
        <f aca="false">IF(CS629="","",MAX(0,H629-CV629)*G629)</f>
        <v>2.75</v>
      </c>
      <c r="CX629" s="62" t="n">
        <f aca="false">IF(CS629="","",CS629*MAX(0,1-CV629/H629))</f>
        <v>0.248397435897436</v>
      </c>
      <c r="CY629" s="64" t="n">
        <f aca="false">IF(CS629="","",PERCENTRANK($CS$7:$CS$1843,CS629)+PERCENTRANK($CU$7:$CU$1843,CU629)+1-PERCENTRANK($CT$7:$CT$1843,CT629))</f>
        <v>0.3699</v>
      </c>
      <c r="CZ629" s="72" t="n">
        <f aca="false">IF(CS629="","",CHOOSE(MATCH(Einkauf!$C$5,Parameter!$G$23:$G$27,0),CY629,CS629,CU629,-CT629,CW629)+ROW()/1000000000)</f>
        <v>0.369900629</v>
      </c>
    </row>
    <row r="630" customFormat="false" ht="15" hidden="false" customHeight="false" outlineLevel="0" collapsed="false">
      <c r="A630" s="60" t="s">
        <v>1331</v>
      </c>
      <c r="B630" s="60" t="s">
        <v>1332</v>
      </c>
      <c r="C630" s="60" t="s">
        <v>206</v>
      </c>
      <c r="D630" s="60" t="s">
        <v>226</v>
      </c>
      <c r="E630" s="60" t="s">
        <v>227</v>
      </c>
      <c r="F630" s="60" t="s">
        <v>260</v>
      </c>
      <c r="G630" s="61" t="n">
        <v>0.34</v>
      </c>
      <c r="H630" s="62" t="n">
        <f aca="false">MAX(0,IF(AND(Parameter!$B$21="Ja",ISNUMBER(Y630)),Y630,IF(Parameter!$B$20="Jahresanfang 2025 + Export",BS630+BR630,BR630)))</f>
        <v>880</v>
      </c>
      <c r="I630" s="62" t="n">
        <f aca="false">H630*G630</f>
        <v>299.2</v>
      </c>
      <c r="J630" s="62" t="n">
        <f aca="false">BU630*Parameter!$B$18</f>
        <v>0</v>
      </c>
      <c r="K630" s="63" t="n">
        <v>877.5</v>
      </c>
      <c r="L630" s="64" t="n">
        <v>0</v>
      </c>
      <c r="M630" s="62" t="n">
        <v>0</v>
      </c>
      <c r="N630" s="62" t="n">
        <v>1</v>
      </c>
      <c r="O630" s="65" t="n">
        <v>21</v>
      </c>
      <c r="P630" s="60" t="s">
        <v>344</v>
      </c>
      <c r="Q630" s="62" t="n">
        <v>827</v>
      </c>
      <c r="R630" s="65" t="n">
        <f aca="false">IF(CA630=1,0,IFERROR(VLOOKUP(BY630,'Gebinde-Kategorie'!$A$5:$N$45,13,0)+0,0))</f>
        <v>26</v>
      </c>
      <c r="S630" s="66"/>
      <c r="T630" s="67"/>
      <c r="U630" s="67"/>
      <c r="V630" s="67"/>
      <c r="W630" s="60"/>
      <c r="X630" s="62"/>
      <c r="Y630" s="62"/>
      <c r="Z630" s="60" t="n">
        <v>3</v>
      </c>
      <c r="AA630" s="60" t="n">
        <f aca="false">IF(A630="","",IF(AND(Parameter!$B$21="Ja",ISNUMBER(W630)),W630,IF(AND(Parameter!$E$27="Ja",ISNUMBER(Z630),CD630&lt;&gt;"Nein"),Z630,IF(CD630="2+3",IF(ISNUMBER(SEARCH("grosser Artikel",BV630)),2,IFERROR(VLOOKUP(BY630,Parameter!$F$35:$G$64,2,0),2)),IF(OR(CD630="Nein",CD630=""),"-",CD630)))))</f>
        <v>3</v>
      </c>
      <c r="AB630" s="67"/>
      <c r="AC630" s="68"/>
      <c r="AD630" s="62" t="n">
        <f aca="false">AW630</f>
        <v>1</v>
      </c>
      <c r="AE630" s="62" t="n">
        <f aca="false">MAX(AW630,H630)</f>
        <v>880</v>
      </c>
      <c r="AF630" s="69"/>
      <c r="AG630" s="62" t="n">
        <f aca="false">IF(LEFT(Cockpit!$C$5,1)="A",H630,IF(Parameter!$E$30="MAX-Bestand",IF(CI630=1,CJ630,IF(LEFT(Cockpit!$C$5,1)="B",AM630,MAX(AM630,H630))),ROUNDUP(AK630,0)))</f>
        <v>880</v>
      </c>
      <c r="AH630" s="62" t="n">
        <f aca="false">IF(CA630=1,0,ROUNDUP(AG630/BZ630,0))</f>
        <v>2</v>
      </c>
      <c r="AI630" s="64" t="n">
        <f aca="false">IF(CR630&gt;0,CR630*MAX(1,AG630/X630),IF(CA630=1,IF(AG630&lt;=0,0,CE630*MAX(1,IF(H630&gt;0,AG630/H630,1))),IF(R630&gt;0,AH630/R630,0))/MAX(0.1,N(Parameter!$M$21)))</f>
        <v>0.0769230769230769</v>
      </c>
      <c r="AJ630" s="62" t="n">
        <f aca="false">AI630*CC630</f>
        <v>11.9230769230769</v>
      </c>
      <c r="AK630" s="63" t="n">
        <f aca="false">IF(LEFT(Cockpit!$C$5,1)="A",H630,IF(CI630=1,(CL630+CJ630)/2,IF(LEFT(Cockpit!$C$5,1)="B",(CL630+AM630)/2,MAX((CL630+AM630)/2,H630))))</f>
        <v>880</v>
      </c>
      <c r="AL630" s="62" t="n">
        <f aca="false">AK630*G630</f>
        <v>299.2</v>
      </c>
      <c r="AM630" s="62" t="n">
        <f aca="false">ROUNDUP(CL630+MAX(CM630,2*(J630/IF(CH630&gt;0,CH630,MAX(0.1,N(Cockpit!$C$6)))-CL630)),0)</f>
        <v>1</v>
      </c>
      <c r="AN630" s="63" t="n">
        <f aca="false">IF(AJ630&gt;0,J630/AJ630,-1)</f>
        <v>0</v>
      </c>
      <c r="AO630" s="63" t="n">
        <f aca="false">IF(AND(OR(CG630="L1",CG630="L23",CG630="LIFT"),AJ630&gt;0),SUMIFS($AJ$7:$AJ$1843,$CG$7:$CG$1843,CG630,$AN$7:$AN$1843,"&gt;"&amp;AN630)+SUMIFS($AJ$7:$AJ$1843,$CG$7:$CG$1843,CG630,$AN$7:$AN$1843,AN630,$BX$7:$BX$1843,"&lt;="&amp;BX630),"")</f>
        <v>28574.7703146665</v>
      </c>
      <c r="AP630" s="70" t="n">
        <f aca="false">IF(AO630="",0,MAX(0,MIN(1,(IF(CG630="L1",Parameter!$H$5,IF(CG630="L23",Parameter!$H$6+Parameter!$H$7,Parameter!$H$5+Parameter!$H$6+Parameter!$H$7))-(AO630-AJ630))/AJ630)))</f>
        <v>1</v>
      </c>
      <c r="AQ630" s="62" t="n">
        <f aca="false">IF(LEFT(Cockpit!$I$5,1)="A",H630,IF(Parameter!$E$30="MAX-Bestand",IF(CI630=1,CJ630,IF(LEFT(Cockpit!$I$5,1)="B",AW630,MAX(AW630,H630))),ROUNDUP(AU630,0)))</f>
        <v>880</v>
      </c>
      <c r="AR630" s="62" t="n">
        <f aca="false">IF(CA630=1,0,ROUNDUP(AQ630/BZ630,0))</f>
        <v>2</v>
      </c>
      <c r="AS630" s="64" t="n">
        <f aca="false">IF(CR630&gt;0,CR630*MAX(1,AQ630/X630),IF(CA630=1,IF(AQ630&lt;=0,0,CE630*MAX(1,IF(H630&gt;0,AQ630/H630,1))),IF(R630&gt;0,AR630/R630,0))/MAX(0.1,N(Parameter!$M$21)))</f>
        <v>0.0769230769230769</v>
      </c>
      <c r="AT630" s="62" t="n">
        <f aca="false">AS630*CC630</f>
        <v>11.9230769230769</v>
      </c>
      <c r="AU630" s="63" t="n">
        <f aca="false">IF(LEFT(Cockpit!$I$5,1)="A",H630,IF(CI630=1,(CL630+CJ630)/2,IF(LEFT(Cockpit!$I$5,1)="B",(CL630+AW630)/2,MAX((CL630+AW630)/2,H630))))</f>
        <v>880</v>
      </c>
      <c r="AV630" s="62" t="n">
        <f aca="false">AU630*G630</f>
        <v>299.2</v>
      </c>
      <c r="AW630" s="62" t="n">
        <f aca="false">ROUNDUP(CL630+MAX(CM630,2*(J630/IF(CH630&gt;0,CH630,MAX(0.1,N(Cockpit!$I$6)))-CL630)),0)</f>
        <v>1</v>
      </c>
      <c r="AX630" s="63" t="n">
        <f aca="false">IF(AT630&gt;0,J630/AT630,-1)</f>
        <v>0</v>
      </c>
      <c r="AY630" s="63" t="n">
        <f aca="false">IF(AND(OR(CG630="L1",CG630="L23",CG630="LIFT"),AT630&gt;0),SUMIFS($AT$7:$AT$1843,$CG$7:$CG$1843,CG630,$AX$7:$AX$1843,"&gt;"&amp;AX630)+SUMIFS($AT$7:$AT$1843,$CG$7:$CG$1843,CG630,$AX$7:$AX$1843,AX630,$BX$7:$BX$1843,"&lt;="&amp;BX630),"")</f>
        <v>33927.918956044</v>
      </c>
      <c r="AZ630" s="70" t="n">
        <f aca="false">IF(AY630="",0,MAX(0,MIN(1,(IF(CG630="L1",Parameter!$H$5,IF(CG630="L23",Parameter!$H$6+Parameter!$H$7,Parameter!$H$5+Parameter!$H$6+Parameter!$H$7))-(AY630-AT630))/AT630)))</f>
        <v>1</v>
      </c>
      <c r="BA630" s="62" t="n">
        <f aca="false">IF(LEFT(Cockpit!$O$5,1)="A",H630,IF(Parameter!$E$30="MAX-Bestand",IF(CI630=1,CJ630,IF(LEFT(Cockpit!$O$5,1)="B",BG630,MAX(BG630,H630))),ROUNDUP(BE630,0)))</f>
        <v>1</v>
      </c>
      <c r="BB630" s="62" t="n">
        <f aca="false">IF(CA630=1,0,ROUNDUP(BA630/BZ630,0))</f>
        <v>1</v>
      </c>
      <c r="BC630" s="64" t="n">
        <f aca="false">IF(CR630&gt;0,CR630*MAX(1,BA630/X630),IF(CA630=1,IF(BA630&lt;=0,0,CE630*MAX(1,IF(H630&gt;0,BA630/H630,1))),IF(R630&gt;0,BB630/R630,0))/MAX(0.1,N(Parameter!$M$21)))</f>
        <v>0.0384615384615385</v>
      </c>
      <c r="BD630" s="62" t="n">
        <f aca="false">BC630*CC630</f>
        <v>5.96153846153846</v>
      </c>
      <c r="BE630" s="63" t="n">
        <f aca="false">IF(LEFT(Cockpit!$O$5,1)="A",H630,IF(CI630=1,(CL630+CJ630)/2,IF(LEFT(Cockpit!$O$5,1)="B",(CL630+BG630)/2,MAX((CL630+BG630)/2,H630))))</f>
        <v>0.5</v>
      </c>
      <c r="BF630" s="62" t="n">
        <f aca="false">BE630*G630</f>
        <v>0.17</v>
      </c>
      <c r="BG630" s="62" t="n">
        <f aca="false">ROUNDUP(CL630+MAX(CM630,2*(J630/IF(CH630&gt;0,CH630,MAX(0.1,N(Cockpit!$O$6)))-CL630)),0)</f>
        <v>1</v>
      </c>
      <c r="BH630" s="63" t="n">
        <f aca="false">IF(BD630&gt;0,J630/BD630,-1)</f>
        <v>0</v>
      </c>
      <c r="BI630" s="63" t="n">
        <f aca="false">IF(AND(OR(CG630="L1",CG630="L23",CG630="LIFT"),BD630&gt;0),SUMIFS($BD$7:$BD$1843,$CG$7:$CG$1843,CG630,$BH$7:$BH$1843,"&gt;"&amp;BH630)+SUMIFS($BD$7:$BD$1843,$CG$7:$CG$1843,CG630,$BH$7:$BH$1843,BH630,$BX$7:$BX$1843,"&lt;="&amp;BX630),"")</f>
        <v>27994.2622462283</v>
      </c>
      <c r="BJ630" s="70" t="n">
        <f aca="false">IF(BI630="",0,MAX(0,MIN(1,(IF(CG630="L1",Parameter!$H$5,IF(CG630="L23",Parameter!$H$6+Parameter!$H$7,Parameter!$H$5+Parameter!$H$6+Parameter!$H$7))-(BI630-BD630))/BD630)))</f>
        <v>1</v>
      </c>
      <c r="BK630" s="60" t="str">
        <f aca="false">IF(AJ630&lt;=0,"",IF(CG630="Aussen","Aussenlager",IF(CG630="-","Nicht im Lift",IF(AP630&gt;=1,"Lift",IF(AP630&lt;=0,"Aussenlager","teilweise")))))</f>
        <v>Lift</v>
      </c>
      <c r="BL630" s="60" t="str">
        <f aca="false">IF(AT630&lt;=0,"",IF(CG630="Aussen","Aussenlager",IF(CG630="-","Nicht im Lift",IF(AZ630&gt;=1,"Lift",IF(AZ630&lt;=0,"Aussenlager","teilweise")))))</f>
        <v>Lift</v>
      </c>
      <c r="BM630" s="60" t="str">
        <f aca="false">IF(BD630&lt;=0,"",IF(CG630="Aussen","Aussenlager",IF(CG630="-","Nicht im Lift",IF(BJ630&gt;=1,"Lift",IF(BJ630&lt;=0,"Aussenlager","teilweise")))))</f>
        <v>Lift</v>
      </c>
      <c r="BN630" s="60" t="str">
        <f aca="false">IF(A630="","",IF(BW630=1,"Neu; ","")&amp;IF(AND(BW630=0,BR630&lt;0),"negativer Bestand (Export "&amp;BR630&amp;"); ","")&amp;IF(J630&lt;=0,"Kein Verbrauch; ","")&amp;IF(CR630&gt;0,"Lift "&amp;W630&amp;" lt. Liftbericht (Fach "&amp;X630&amp;" Stk); ",IF(CB630=1,"Gebinde geschätzt ("&amp;T630&amp;"); ",IF(CA630=1,"Lose – Tablare geschätzt; ","")))&amp;IF(H630&gt;AW630,"Überbestand "&amp;ROUND(H630-AW630,0)&amp;" Stk / CHF "&amp;ROUND((H630-AW630)*G630,0)&amp;"; ","")&amp;IF(AND(CI630=1,CJ630&lt;CK630),"MAX &lt; MB+LG; ","")&amp;IF(AND(CQ630&gt;0,CP630*10&gt;CQ630),"zu hoch für Tablar; ","")&amp;IF(AND(BW630=0,OR(CI630=1,AB630&lt;&gt;"",U630&lt;&gt;"",V630&lt;&gt;"",AC630&lt;&gt;"")),"manuell übersteuert; ","")&amp;IF(AND(CA630=0,R630=0),"Gebinde unbekannt / Stellmass fehlt; ","")&amp;IF(AND(CA630=0,N(V630)&lt;=0,N(Q630)&lt;=0),"Menge pro Gebinde fehlt (Ist = 1 Gebinde); ","")&amp;BV630)</f>
        <v>Kein Verbrauch; Überbestand 879 Stk / CHF 299; Handlager</v>
      </c>
      <c r="BO630" s="60"/>
      <c r="BP630" s="60"/>
      <c r="BQ630" s="67"/>
      <c r="BR630" s="62" t="n">
        <v>5</v>
      </c>
      <c r="BS630" s="62" t="n">
        <v>875</v>
      </c>
      <c r="BT630" s="61" t="n">
        <v>1.7</v>
      </c>
      <c r="BU630" s="62" t="n">
        <v>0</v>
      </c>
      <c r="BV630" s="60" t="s">
        <v>937</v>
      </c>
      <c r="BW630" s="65" t="n">
        <v>0</v>
      </c>
      <c r="BX630" s="65" t="n">
        <v>630</v>
      </c>
      <c r="BY630" s="60" t="str">
        <f aca="false">IF(U630&lt;&gt;"",UPPER(TRIM(U630)),IF(CB630=1,UPPER(VLOOKUP(T630,Parameter!$I$27:$K$29,2,0)),IF(P630="","LOSE",P630)))</f>
        <v>S51</v>
      </c>
      <c r="BZ630" s="62" t="n">
        <f aca="false">IF(BY630="LOSE",1,IF(N(V630)&gt;0,V630,IF(CB630=1,MAX(1,N(VLOOKUP(T630,Parameter!$I$27:$K$29,3,0)),H630,N(N630)),IF(N(Q630)&gt;0,Q630,MAX(1,H630)))))</f>
        <v>827</v>
      </c>
      <c r="CA630" s="65" t="n">
        <f aca="false">IF(BY630="LOSE",1,0)</f>
        <v>0</v>
      </c>
      <c r="CB630" s="65" t="n">
        <f aca="false">IF(AND(U630="",OR(P630="",P630="LOSE"),T630&lt;&gt;"",N(S630)&lt;=0,ISNUMBER(MATCH(T630,Parameter!$I$27:$I$29,0))),1,0)</f>
        <v>0</v>
      </c>
      <c r="CC630" s="65" t="n">
        <f aca="false">IF(CR630&gt;0,INDEX(Parameter!$H$5:$H$7,W630)/INDEX(Parameter!$E$5:$E$7,W630),IF(AND(CA630=0,N(IFERROR(VLOOKUP(BY630,'Gebinde-Kategorie'!$A$5:$N$45,14,0),0))&gt;0),VLOOKUP(BY630,'Gebinde-Kategorie'!$A$5:$N$45,14,0)*10+Parameter!$M$23,Parameter!$M$24))</f>
        <v>155</v>
      </c>
      <c r="CD630" s="60" t="str">
        <f aca="false">IF(AND(Parameter!$B$19="Ja",E630&lt;&gt;"",ISNUMBER(MATCH(E630,Parameter!$I$35:$I$52,0))),VLOOKUP(E630,Parameter!$I$35:$J$52,2,0),IFERROR(VLOOKUP(D630,Parameter!$A$35:$C$64,2,0),"Nein"))</f>
        <v>2+3</v>
      </c>
      <c r="CE630" s="64" t="n">
        <f aca="false">IF(CA630=0,0,IF(N(S630)&gt;0,S630,IFERROR(VLOOKUP(D630,Parameter!$A$35:$C$64,3,0)+0,0)))</f>
        <v>0</v>
      </c>
      <c r="CF630" s="60" t="n">
        <f aca="false">IF(AB630&lt;&gt;"",AB630,AA630)</f>
        <v>3</v>
      </c>
      <c r="CG630" s="60" t="str">
        <f aca="false">IF(OR(CF630=1,CF630=2,CF630=3),IF(Parameter!$E$27="Ja","LIFT",IF(CF630=1,"L1","L23")),IF(CF630="Aussen","Aussen","-"))</f>
        <v>LIFT</v>
      </c>
      <c r="CH630" s="71" t="n">
        <f aca="false">IF(N(AC630)&gt;0,AC630,0)</f>
        <v>0</v>
      </c>
      <c r="CI630" s="65" t="n">
        <f aca="false">IF(ISNUMBER(AF630),1,0)</f>
        <v>0</v>
      </c>
      <c r="CJ630" s="62" t="n">
        <f aca="false">N(AF630)</f>
        <v>0</v>
      </c>
      <c r="CK630" s="62" t="n">
        <f aca="false">N(M630)+N(N630)</f>
        <v>1</v>
      </c>
      <c r="CL630" s="62" t="n">
        <f aca="false">N(M630)</f>
        <v>0</v>
      </c>
      <c r="CM630" s="62" t="n">
        <f aca="false">N(N630)</f>
        <v>1</v>
      </c>
      <c r="CN630" s="62" t="n">
        <f aca="false">ROUNDUP(H630/BZ630,0)</f>
        <v>2</v>
      </c>
      <c r="CO630" s="62" t="n">
        <f aca="false">ROUNDUP(CJ630/BZ630,0)</f>
        <v>0</v>
      </c>
      <c r="CP630" s="65" t="n">
        <f aca="false">IF(CA630=1,0,IFERROR(VLOOKUP(BY630,'Gebinde-Kategorie'!$A$5:$N$45,5,0)+0,0))</f>
        <v>11</v>
      </c>
      <c r="CQ630" s="65" t="n">
        <f aca="false">IFERROR(IF(OR(CF630=1,CF630=2,CF630=3),N(INDEX(Parameter!$I$5:$I$7,CF630)),0),0)</f>
        <v>0</v>
      </c>
      <c r="CR630" s="64" t="n">
        <f aca="false">IF(AND(Parameter!$B$21="Ja",ISNUMBER(W630),N(X630)&gt;0),IFERROR(N(INDEX(Parameter!$L$5:$L$7,W630))*INDEX(Parameter!$E$5:$E$7,W630)*X630/SUMIFS($X$7:$X$1843,$W$7:$W$1843,W630),0),0)</f>
        <v>0</v>
      </c>
      <c r="CS630" s="62" t="n">
        <f aca="false">IF(AND(OR(CG630="L1",CG630="L23",CG630="LIFT"),H630&gt;0),CC630*IF(CR630&gt;0,CR630*MAX(1,H630/X630),IF(CA630=1,CE630,IF(R630&gt;0,CN630/R630,0))/MAX(0.1,N(Parameter!$M$21))),"")</f>
        <v>11.9230769230769</v>
      </c>
      <c r="CT630" s="64" t="n">
        <f aca="false">IF(CS630="","",J630/H630)</f>
        <v>0</v>
      </c>
      <c r="CU630" s="62" t="n">
        <f aca="false">IF(CS630="","",H630*G630)</f>
        <v>299.2</v>
      </c>
      <c r="CV630" s="63" t="n">
        <f aca="false">IF(CS630="","",(CL630+ROUNDUP(CL630+MAX(CM630,2*(J630/MAX(0.1,N(Einkauf!$C$6))-CL630)),0))/2)</f>
        <v>0.5</v>
      </c>
      <c r="CW630" s="62" t="n">
        <f aca="false">IF(CS630="","",MAX(0,H630-CV630)*G630)</f>
        <v>299.03</v>
      </c>
      <c r="CX630" s="62" t="n">
        <f aca="false">IF(CS630="","",CS630*MAX(0,1-CV630/H630))</f>
        <v>11.9163024475524</v>
      </c>
      <c r="CY630" s="64" t="n">
        <f aca="false">IF(CS630="","",PERCENTRANK($CS$7:$CS$1843,CS630)+PERCENTRANK($CU$7:$CU$1843,CU630)+1-PERCENTRANK($CT$7:$CT$1843,CT630))</f>
        <v>2.051</v>
      </c>
      <c r="CZ630" s="72" t="n">
        <f aca="false">IF(CS630="","",CHOOSE(MATCH(Einkauf!$C$5,Parameter!$G$23:$G$27,0),CY630,CS630,CU630,-CT630,CW630)+ROW()/1000000000)</f>
        <v>2.05100063</v>
      </c>
    </row>
    <row r="631" customFormat="false" ht="15" hidden="false" customHeight="false" outlineLevel="0" collapsed="false">
      <c r="A631" s="60" t="s">
        <v>1333</v>
      </c>
      <c r="B631" s="60" t="s">
        <v>445</v>
      </c>
      <c r="C631" s="60" t="s">
        <v>206</v>
      </c>
      <c r="D631" s="60" t="s">
        <v>1037</v>
      </c>
      <c r="E631" s="60"/>
      <c r="F631" s="60" t="s">
        <v>260</v>
      </c>
      <c r="G631" s="61" t="n">
        <v>0.41</v>
      </c>
      <c r="H631" s="62" t="n">
        <f aca="false">MAX(0,IF(AND(Parameter!$B$21="Ja",ISNUMBER(Y631)),Y631,IF(Parameter!$B$20="Jahresanfang 2025 + Export",BS631+BR631,BR631)))</f>
        <v>4</v>
      </c>
      <c r="I631" s="62" t="n">
        <f aca="false">H631*G631</f>
        <v>1.64</v>
      </c>
      <c r="J631" s="62" t="n">
        <f aca="false">BU631*Parameter!$B$18</f>
        <v>96</v>
      </c>
      <c r="K631" s="63" t="n">
        <v>2</v>
      </c>
      <c r="L631" s="64" t="n">
        <v>48</v>
      </c>
      <c r="M631" s="62" t="n">
        <v>0</v>
      </c>
      <c r="N631" s="62" t="n">
        <v>100</v>
      </c>
      <c r="O631" s="65" t="n">
        <v>21</v>
      </c>
      <c r="P631" s="60" t="s">
        <v>210</v>
      </c>
      <c r="Q631" s="62"/>
      <c r="R631" s="65" t="n">
        <f aca="false">IF(CA631=1,0,IFERROR(VLOOKUP(BY631,'Gebinde-Kategorie'!$A$5:$N$45,13,0)+0,0))</f>
        <v>0</v>
      </c>
      <c r="S631" s="66"/>
      <c r="T631" s="67"/>
      <c r="U631" s="67"/>
      <c r="V631" s="67"/>
      <c r="W631" s="60"/>
      <c r="X631" s="62"/>
      <c r="Y631" s="62"/>
      <c r="Z631" s="60"/>
      <c r="AA631" s="60" t="str">
        <f aca="false">IF(A631="","",IF(AND(Parameter!$B$21="Ja",ISNUMBER(W631)),W631,IF(AND(Parameter!$E$27="Ja",ISNUMBER(Z631),CD631&lt;&gt;"Nein"),Z631,IF(CD631="2+3",IF(ISNUMBER(SEARCH("grosser Artikel",BV631)),2,IFERROR(VLOOKUP(BY631,Parameter!$F$35:$G$64,2,0),2)),IF(OR(CD631="Nein",CD631=""),"-",CD631)))))</f>
        <v>-</v>
      </c>
      <c r="AB631" s="67"/>
      <c r="AC631" s="68"/>
      <c r="AD631" s="62" t="n">
        <f aca="false">AW631</f>
        <v>100</v>
      </c>
      <c r="AE631" s="62" t="n">
        <f aca="false">MAX(AW631,H631)</f>
        <v>100</v>
      </c>
      <c r="AF631" s="69"/>
      <c r="AG631" s="62" t="n">
        <f aca="false">IF(LEFT(Cockpit!$C$5,1)="A",H631,IF(Parameter!$E$30="MAX-Bestand",IF(CI631=1,CJ631,IF(LEFT(Cockpit!$C$5,1)="B",AM631,MAX(AM631,H631))),ROUNDUP(AK631,0)))</f>
        <v>4</v>
      </c>
      <c r="AH631" s="62" t="n">
        <f aca="false">IF(CA631=1,0,ROUNDUP(AG631/BZ631,0))</f>
        <v>0</v>
      </c>
      <c r="AI631" s="64" t="n">
        <f aca="false">IF(CR631&gt;0,CR631*MAX(1,AG631/X631),IF(CA631=1,IF(AG631&lt;=0,0,CE631*MAX(1,IF(H631&gt;0,AG631/H631,1))),IF(R631&gt;0,AH631/R631,0))/MAX(0.1,N(Parameter!$M$21)))</f>
        <v>0.15</v>
      </c>
      <c r="AJ631" s="62" t="n">
        <f aca="false">AI631*CC631</f>
        <v>35.25</v>
      </c>
      <c r="AK631" s="63" t="n">
        <f aca="false">IF(LEFT(Cockpit!$C$5,1)="A",H631,IF(CI631=1,(CL631+CJ631)/2,IF(LEFT(Cockpit!$C$5,1)="B",(CL631+AM631)/2,MAX((CL631+AM631)/2,H631))))</f>
        <v>4</v>
      </c>
      <c r="AL631" s="62" t="n">
        <f aca="false">AK631*G631</f>
        <v>1.64</v>
      </c>
      <c r="AM631" s="62" t="n">
        <f aca="false">ROUNDUP(CL631+MAX(CM631,2*(J631/IF(CH631&gt;0,CH631,MAX(0.1,N(Cockpit!$C$6)))-CL631)),0)</f>
        <v>100</v>
      </c>
      <c r="AN631" s="63" t="n">
        <f aca="false">IF(AJ631&gt;0,J631/AJ631,-1)</f>
        <v>2.72340425531915</v>
      </c>
      <c r="AO631" s="63" t="str">
        <f aca="false">IF(AND(OR(CG631="L1",CG631="L23",CG631="LIFT"),AJ631&gt;0),SUMIFS($AJ$7:$AJ$1843,$CG$7:$CG$1843,CG631,$AN$7:$AN$1843,"&gt;"&amp;AN631)+SUMIFS($AJ$7:$AJ$1843,$CG$7:$CG$1843,CG631,$AN$7:$AN$1843,AN631,$BX$7:$BX$1843,"&lt;="&amp;BX631),"")</f>
        <v/>
      </c>
      <c r="AP631" s="70" t="n">
        <f aca="false">IF(AO631="",0,MAX(0,MIN(1,(IF(CG631="L1",Parameter!$H$5,IF(CG631="L23",Parameter!$H$6+Parameter!$H$7,Parameter!$H$5+Parameter!$H$6+Parameter!$H$7))-(AO631-AJ631))/AJ631)))</f>
        <v>0</v>
      </c>
      <c r="AQ631" s="62" t="n">
        <f aca="false">IF(LEFT(Cockpit!$I$5,1)="A",H631,IF(Parameter!$E$30="MAX-Bestand",IF(CI631=1,CJ631,IF(LEFT(Cockpit!$I$5,1)="B",AW631,MAX(AW631,H631))),ROUNDUP(AU631,0)))</f>
        <v>50</v>
      </c>
      <c r="AR631" s="62" t="n">
        <f aca="false">IF(CA631=1,0,ROUNDUP(AQ631/BZ631,0))</f>
        <v>0</v>
      </c>
      <c r="AS631" s="64" t="n">
        <f aca="false">IF(CR631&gt;0,CR631*MAX(1,AQ631/X631),IF(CA631=1,IF(AQ631&lt;=0,0,CE631*MAX(1,IF(H631&gt;0,AQ631/H631,1))),IF(R631&gt;0,AR631/R631,0))/MAX(0.1,N(Parameter!$M$21)))</f>
        <v>1.875</v>
      </c>
      <c r="AT631" s="62" t="n">
        <f aca="false">AS631*CC631</f>
        <v>440.625</v>
      </c>
      <c r="AU631" s="63" t="n">
        <f aca="false">IF(LEFT(Cockpit!$I$5,1)="A",H631,IF(CI631=1,(CL631+CJ631)/2,IF(LEFT(Cockpit!$I$5,1)="B",(CL631+AW631)/2,MAX((CL631+AW631)/2,H631))))</f>
        <v>50</v>
      </c>
      <c r="AV631" s="62" t="n">
        <f aca="false">AU631*G631</f>
        <v>20.5</v>
      </c>
      <c r="AW631" s="62" t="n">
        <f aca="false">ROUNDUP(CL631+MAX(CM631,2*(J631/IF(CH631&gt;0,CH631,MAX(0.1,N(Cockpit!$I$6)))-CL631)),0)</f>
        <v>100</v>
      </c>
      <c r="AX631" s="63" t="n">
        <f aca="false">IF(AT631&gt;0,J631/AT631,-1)</f>
        <v>0.217872340425532</v>
      </c>
      <c r="AY631" s="63" t="str">
        <f aca="false">IF(AND(OR(CG631="L1",CG631="L23",CG631="LIFT"),AT631&gt;0),SUMIFS($AT$7:$AT$1843,$CG$7:$CG$1843,CG631,$AX$7:$AX$1843,"&gt;"&amp;AX631)+SUMIFS($AT$7:$AT$1843,$CG$7:$CG$1843,CG631,$AX$7:$AX$1843,AX631,$BX$7:$BX$1843,"&lt;="&amp;BX631),"")</f>
        <v/>
      </c>
      <c r="AZ631" s="70" t="n">
        <f aca="false">IF(AY631="",0,MAX(0,MIN(1,(IF(CG631="L1",Parameter!$H$5,IF(CG631="L23",Parameter!$H$6+Parameter!$H$7,Parameter!$H$5+Parameter!$H$6+Parameter!$H$7))-(AY631-AT631))/AT631)))</f>
        <v>0</v>
      </c>
      <c r="BA631" s="62" t="n">
        <f aca="false">IF(LEFT(Cockpit!$O$5,1)="A",H631,IF(Parameter!$E$30="MAX-Bestand",IF(CI631=1,CJ631,IF(LEFT(Cockpit!$O$5,1)="B",BG631,MAX(BG631,H631))),ROUNDUP(BE631,0)))</f>
        <v>50</v>
      </c>
      <c r="BB631" s="62" t="n">
        <f aca="false">IF(CA631=1,0,ROUNDUP(BA631/BZ631,0))</f>
        <v>0</v>
      </c>
      <c r="BC631" s="64" t="n">
        <f aca="false">IF(CR631&gt;0,CR631*MAX(1,BA631/X631),IF(CA631=1,IF(BA631&lt;=0,0,CE631*MAX(1,IF(H631&gt;0,BA631/H631,1))),IF(R631&gt;0,BB631/R631,0))/MAX(0.1,N(Parameter!$M$21)))</f>
        <v>1.875</v>
      </c>
      <c r="BD631" s="62" t="n">
        <f aca="false">BC631*CC631</f>
        <v>440.625</v>
      </c>
      <c r="BE631" s="63" t="n">
        <f aca="false">IF(LEFT(Cockpit!$O$5,1)="A",H631,IF(CI631=1,(CL631+CJ631)/2,IF(LEFT(Cockpit!$O$5,1)="B",(CL631+BG631)/2,MAX((CL631+BG631)/2,H631))))</f>
        <v>50</v>
      </c>
      <c r="BF631" s="62" t="n">
        <f aca="false">BE631*G631</f>
        <v>20.5</v>
      </c>
      <c r="BG631" s="62" t="n">
        <f aca="false">ROUNDUP(CL631+MAX(CM631,2*(J631/IF(CH631&gt;0,CH631,MAX(0.1,N(Cockpit!$O$6)))-CL631)),0)</f>
        <v>100</v>
      </c>
      <c r="BH631" s="63" t="n">
        <f aca="false">IF(BD631&gt;0,J631/BD631,-1)</f>
        <v>0.217872340425532</v>
      </c>
      <c r="BI631" s="63" t="str">
        <f aca="false">IF(AND(OR(CG631="L1",CG631="L23",CG631="LIFT"),BD631&gt;0),SUMIFS($BD$7:$BD$1843,$CG$7:$CG$1843,CG631,$BH$7:$BH$1843,"&gt;"&amp;BH631)+SUMIFS($BD$7:$BD$1843,$CG$7:$CG$1843,CG631,$BH$7:$BH$1843,BH631,$BX$7:$BX$1843,"&lt;="&amp;BX631),"")</f>
        <v/>
      </c>
      <c r="BJ631" s="70" t="n">
        <f aca="false">IF(BI631="",0,MAX(0,MIN(1,(IF(CG631="L1",Parameter!$H$5,IF(CG631="L23",Parameter!$H$6+Parameter!$H$7,Parameter!$H$5+Parameter!$H$6+Parameter!$H$7))-(BI631-BD631))/BD631)))</f>
        <v>0</v>
      </c>
      <c r="BK631" s="60" t="str">
        <f aca="false">IF(AJ631&lt;=0,"",IF(CG631="Aussen","Aussenlager",IF(CG631="-","Nicht im Lift",IF(AP631&gt;=1,"Lift",IF(AP631&lt;=0,"Aussenlager","teilweise")))))</f>
        <v>Nicht im Lift</v>
      </c>
      <c r="BL631" s="60" t="str">
        <f aca="false">IF(AT631&lt;=0,"",IF(CG631="Aussen","Aussenlager",IF(CG631="-","Nicht im Lift",IF(AZ631&gt;=1,"Lift",IF(AZ631&lt;=0,"Aussenlager","teilweise")))))</f>
        <v>Nicht im Lift</v>
      </c>
      <c r="BM631" s="60" t="str">
        <f aca="false">IF(BD631&lt;=0,"",IF(CG631="Aussen","Aussenlager",IF(CG631="-","Nicht im Lift",IF(BJ631&gt;=1,"Lift",IF(BJ631&lt;=0,"Aussenlager","teilweise")))))</f>
        <v>Nicht im Lift</v>
      </c>
      <c r="BN631" s="60" t="str">
        <f aca="false">IF(A631="","",IF(BW631=1,"Neu; ","")&amp;IF(AND(BW631=0,BR631&lt;0),"negativer Bestand (Export "&amp;BR631&amp;"); ","")&amp;IF(J631&lt;=0,"Kein Verbrauch; ","")&amp;IF(CR631&gt;0,"Lift "&amp;W631&amp;" lt. Liftbericht (Fach "&amp;X631&amp;" Stk); ",IF(CB631=1,"Gebinde geschätzt ("&amp;T631&amp;"); ",IF(CA631=1,"Lose – Tablare geschätzt; ","")))&amp;IF(H631&gt;AW631,"Überbestand "&amp;ROUND(H631-AW631,0)&amp;" Stk / CHF "&amp;ROUND((H631-AW631)*G631,0)&amp;"; ","")&amp;IF(AND(CI631=1,CJ631&lt;CK631),"MAX &lt; MB+LG; ","")&amp;IF(AND(CQ631&gt;0,CP631*10&gt;CQ631),"zu hoch für Tablar; ","")&amp;IF(AND(BW631=0,OR(CI631=1,AB631&lt;&gt;"",U631&lt;&gt;"",V631&lt;&gt;"",AC631&lt;&gt;"")),"manuell übersteuert; ","")&amp;IF(AND(CA631=0,R631=0),"Gebinde unbekannt / Stellmass fehlt; ","")&amp;IF(AND(CA631=0,N(V631)&lt;=0,N(Q631)&lt;=0),"Menge pro Gebinde fehlt (Ist = 1 Gebinde); ","")&amp;BV631)</f>
        <v>Lose – Tablare geschätzt; </v>
      </c>
      <c r="BO631" s="60"/>
      <c r="BP631" s="60"/>
      <c r="BQ631" s="67"/>
      <c r="BR631" s="62" t="n">
        <v>4</v>
      </c>
      <c r="BS631" s="62" t="n">
        <v>0</v>
      </c>
      <c r="BT631" s="61" t="n">
        <v>1.64</v>
      </c>
      <c r="BU631" s="62" t="n">
        <v>96</v>
      </c>
      <c r="BV631" s="60"/>
      <c r="BW631" s="65" t="n">
        <v>0</v>
      </c>
      <c r="BX631" s="65" t="n">
        <v>631</v>
      </c>
      <c r="BY631" s="60" t="str">
        <f aca="false">IF(U631&lt;&gt;"",UPPER(TRIM(U631)),IF(CB631=1,UPPER(VLOOKUP(T631,Parameter!$I$27:$K$29,2,0)),IF(P631="","LOSE",P631)))</f>
        <v>LOSE</v>
      </c>
      <c r="BZ631" s="62" t="n">
        <f aca="false">IF(BY631="LOSE",1,IF(N(V631)&gt;0,V631,IF(CB631=1,MAX(1,N(VLOOKUP(T631,Parameter!$I$27:$K$29,3,0)),H631,N(N631)),IF(N(Q631)&gt;0,Q631,MAX(1,H631)))))</f>
        <v>1</v>
      </c>
      <c r="CA631" s="65" t="n">
        <f aca="false">IF(BY631="LOSE",1,0)</f>
        <v>1</v>
      </c>
      <c r="CB631" s="65" t="n">
        <f aca="false">IF(AND(U631="",OR(P631="",P631="LOSE"),T631&lt;&gt;"",N(S631)&lt;=0,ISNUMBER(MATCH(T631,Parameter!$I$27:$I$29,0))),1,0)</f>
        <v>0</v>
      </c>
      <c r="CC631" s="65" t="n">
        <f aca="false">IF(CR631&gt;0,INDEX(Parameter!$H$5:$H$7,W631)/INDEX(Parameter!$E$5:$E$7,W631),IF(AND(CA631=0,N(IFERROR(VLOOKUP(BY631,'Gebinde-Kategorie'!$A$5:$N$45,14,0),0))&gt;0),VLOOKUP(BY631,'Gebinde-Kategorie'!$A$5:$N$45,14,0)*10+Parameter!$M$23,Parameter!$M$24))</f>
        <v>235</v>
      </c>
      <c r="CD631" s="60" t="str">
        <f aca="false">IF(AND(Parameter!$B$19="Ja",E631&lt;&gt;"",ISNUMBER(MATCH(E631,Parameter!$I$35:$I$52,0))),VLOOKUP(E631,Parameter!$I$35:$J$52,2,0),IFERROR(VLOOKUP(D631,Parameter!$A$35:$C$64,2,0),"Nein"))</f>
        <v>Nein</v>
      </c>
      <c r="CE631" s="64" t="n">
        <f aca="false">IF(CA631=0,0,IF(N(S631)&gt;0,S631,IFERROR(VLOOKUP(D631,Parameter!$A$35:$C$64,3,0)+0,0)))</f>
        <v>0.15</v>
      </c>
      <c r="CF631" s="60" t="str">
        <f aca="false">IF(AB631&lt;&gt;"",AB631,AA631)</f>
        <v>-</v>
      </c>
      <c r="CG631" s="60" t="str">
        <f aca="false">IF(OR(CF631=1,CF631=2,CF631=3),IF(Parameter!$E$27="Ja","LIFT",IF(CF631=1,"L1","L23")),IF(CF631="Aussen","Aussen","-"))</f>
        <v>-</v>
      </c>
      <c r="CH631" s="71" t="n">
        <f aca="false">IF(N(AC631)&gt;0,AC631,0)</f>
        <v>0</v>
      </c>
      <c r="CI631" s="65" t="n">
        <f aca="false">IF(ISNUMBER(AF631),1,0)</f>
        <v>0</v>
      </c>
      <c r="CJ631" s="62" t="n">
        <f aca="false">N(AF631)</f>
        <v>0</v>
      </c>
      <c r="CK631" s="62" t="n">
        <f aca="false">N(M631)+N(N631)</f>
        <v>100</v>
      </c>
      <c r="CL631" s="62" t="n">
        <f aca="false">N(M631)</f>
        <v>0</v>
      </c>
      <c r="CM631" s="62" t="n">
        <f aca="false">N(N631)</f>
        <v>100</v>
      </c>
      <c r="CN631" s="62" t="n">
        <f aca="false">ROUNDUP(H631/BZ631,0)</f>
        <v>4</v>
      </c>
      <c r="CO631" s="62" t="n">
        <f aca="false">ROUNDUP(CJ631/BZ631,0)</f>
        <v>0</v>
      </c>
      <c r="CP631" s="65" t="n">
        <f aca="false">IF(CA631=1,0,IFERROR(VLOOKUP(BY631,'Gebinde-Kategorie'!$A$5:$N$45,5,0)+0,0))</f>
        <v>0</v>
      </c>
      <c r="CQ631" s="65" t="n">
        <f aca="false">IFERROR(IF(OR(CF631=1,CF631=2,CF631=3),N(INDEX(Parameter!$I$5:$I$7,CF631)),0),0)</f>
        <v>0</v>
      </c>
      <c r="CR631" s="64" t="n">
        <f aca="false">IF(AND(Parameter!$B$21="Ja",ISNUMBER(W631),N(X631)&gt;0),IFERROR(N(INDEX(Parameter!$L$5:$L$7,W631))*INDEX(Parameter!$E$5:$E$7,W631)*X631/SUMIFS($X$7:$X$1843,$W$7:$W$1843,W631),0),0)</f>
        <v>0</v>
      </c>
      <c r="CS631" s="62" t="str">
        <f aca="false">IF(AND(OR(CG631="L1",CG631="L23",CG631="LIFT"),H631&gt;0),CC631*IF(CR631&gt;0,CR631*MAX(1,H631/X631),IF(CA631=1,CE631,IF(R631&gt;0,CN631/R631,0))/MAX(0.1,N(Parameter!$M$21))),"")</f>
        <v/>
      </c>
      <c r="CT631" s="64" t="str">
        <f aca="false">IF(CS631="","",J631/H631)</f>
        <v/>
      </c>
      <c r="CU631" s="62" t="str">
        <f aca="false">IF(CS631="","",H631*G631)</f>
        <v/>
      </c>
      <c r="CV631" s="63" t="str">
        <f aca="false">IF(CS631="","",(CL631+ROUNDUP(CL631+MAX(CM631,2*(J631/MAX(0.1,N(Einkauf!$C$6))-CL631)),0))/2)</f>
        <v/>
      </c>
      <c r="CW631" s="62" t="str">
        <f aca="false">IF(CS631="","",MAX(0,H631-CV631)*G631)</f>
        <v/>
      </c>
      <c r="CX631" s="62" t="str">
        <f aca="false">IF(CS631="","",CS631*MAX(0,1-CV631/H631))</f>
        <v/>
      </c>
      <c r="CY631" s="64" t="str">
        <f aca="false">IF(CS631="","",PERCENTRANK($CS$7:$CS$1843,CS631)+PERCENTRANK($CU$7:$CU$1843,CU631)+1-PERCENTRANK($CT$7:$CT$1843,CT631))</f>
        <v/>
      </c>
      <c r="CZ631" s="72" t="str">
        <f aca="false">IF(CS631="","",CHOOSE(MATCH(Einkauf!$C$5,Parameter!$G$23:$G$27,0),CY631,CS631,CU631,-CT631,CW631)+ROW()/1000000000)</f>
        <v/>
      </c>
    </row>
    <row r="632" customFormat="false" ht="15" hidden="false" customHeight="false" outlineLevel="0" collapsed="false">
      <c r="A632" s="60" t="s">
        <v>1334</v>
      </c>
      <c r="B632" s="60" t="s">
        <v>1335</v>
      </c>
      <c r="C632" s="60" t="s">
        <v>206</v>
      </c>
      <c r="D632" s="60" t="s">
        <v>226</v>
      </c>
      <c r="E632" s="60"/>
      <c r="F632" s="60" t="s">
        <v>260</v>
      </c>
      <c r="G632" s="61" t="n">
        <v>1.25</v>
      </c>
      <c r="H632" s="62" t="n">
        <f aca="false">MAX(0,IF(AND(Parameter!$B$21="Ja",ISNUMBER(Y632)),Y632,IF(Parameter!$B$20="Jahresanfang 2025 + Export",BS632+BR632,BR632)))</f>
        <v>14</v>
      </c>
      <c r="I632" s="62" t="n">
        <f aca="false">H632*G632</f>
        <v>17.5</v>
      </c>
      <c r="J632" s="62" t="n">
        <f aca="false">BU632*Parameter!$B$18</f>
        <v>22</v>
      </c>
      <c r="K632" s="63" t="n">
        <v>11.5</v>
      </c>
      <c r="L632" s="64" t="n">
        <v>1.91304347826087</v>
      </c>
      <c r="M632" s="62" t="n">
        <v>0</v>
      </c>
      <c r="N632" s="62" t="n">
        <v>20</v>
      </c>
      <c r="O632" s="65" t="n">
        <v>14</v>
      </c>
      <c r="P632" s="60" t="s">
        <v>468</v>
      </c>
      <c r="Q632" s="62" t="n">
        <v>22</v>
      </c>
      <c r="R632" s="65" t="n">
        <f aca="false">IF(CA632=1,0,IFERROR(VLOOKUP(BY632,'Gebinde-Kategorie'!$A$5:$N$45,13,0)+0,0))</f>
        <v>140</v>
      </c>
      <c r="S632" s="66"/>
      <c r="T632" s="67"/>
      <c r="U632" s="67"/>
      <c r="V632" s="67"/>
      <c r="W632" s="60"/>
      <c r="X632" s="62"/>
      <c r="Y632" s="62"/>
      <c r="Z632" s="60" t="n">
        <v>3</v>
      </c>
      <c r="AA632" s="60" t="n">
        <f aca="false">IF(A632="","",IF(AND(Parameter!$B$21="Ja",ISNUMBER(W632)),W632,IF(AND(Parameter!$E$27="Ja",ISNUMBER(Z632),CD632&lt;&gt;"Nein"),Z632,IF(CD632="2+3",IF(ISNUMBER(SEARCH("grosser Artikel",BV632)),2,IFERROR(VLOOKUP(BY632,Parameter!$F$35:$G$64,2,0),2)),IF(OR(CD632="Nein",CD632=""),"-",CD632)))))</f>
        <v>3</v>
      </c>
      <c r="AB632" s="67"/>
      <c r="AC632" s="68"/>
      <c r="AD632" s="62" t="n">
        <f aca="false">AW632</f>
        <v>20</v>
      </c>
      <c r="AE632" s="62" t="n">
        <f aca="false">MAX(AW632,H632)</f>
        <v>20</v>
      </c>
      <c r="AF632" s="69"/>
      <c r="AG632" s="62" t="n">
        <f aca="false">IF(LEFT(Cockpit!$C$5,1)="A",H632,IF(Parameter!$E$30="MAX-Bestand",IF(CI632=1,CJ632,IF(LEFT(Cockpit!$C$5,1)="B",AM632,MAX(AM632,H632))),ROUNDUP(AK632,0)))</f>
        <v>14</v>
      </c>
      <c r="AH632" s="62" t="n">
        <f aca="false">IF(CA632=1,0,ROUNDUP(AG632/BZ632,0))</f>
        <v>1</v>
      </c>
      <c r="AI632" s="64" t="n">
        <f aca="false">IF(CR632&gt;0,CR632*MAX(1,AG632/X632),IF(CA632=1,IF(AG632&lt;=0,0,CE632*MAX(1,IF(H632&gt;0,AG632/H632,1))),IF(R632&gt;0,AH632/R632,0))/MAX(0.1,N(Parameter!$M$21)))</f>
        <v>0.00714285714285714</v>
      </c>
      <c r="AJ632" s="62" t="n">
        <f aca="false">AI632*CC632</f>
        <v>1.10714285714286</v>
      </c>
      <c r="AK632" s="63" t="n">
        <f aca="false">IF(LEFT(Cockpit!$C$5,1)="A",H632,IF(CI632=1,(CL632+CJ632)/2,IF(LEFT(Cockpit!$C$5,1)="B",(CL632+AM632)/2,MAX((CL632+AM632)/2,H632))))</f>
        <v>14</v>
      </c>
      <c r="AL632" s="62" t="n">
        <f aca="false">AK632*G632</f>
        <v>17.5</v>
      </c>
      <c r="AM632" s="62" t="n">
        <f aca="false">ROUNDUP(CL632+MAX(CM632,2*(J632/IF(CH632&gt;0,CH632,MAX(0.1,N(Cockpit!$C$6)))-CL632)),0)</f>
        <v>20</v>
      </c>
      <c r="AN632" s="63" t="n">
        <f aca="false">IF(AJ632&gt;0,J632/AJ632,-1)</f>
        <v>19.8709677419355</v>
      </c>
      <c r="AO632" s="63" t="n">
        <f aca="false">IF(AND(OR(CG632="L1",CG632="L23",CG632="LIFT"),AJ632&gt;0),SUMIFS($AJ$7:$AJ$1843,$CG$7:$CG$1843,CG632,$AN$7:$AN$1843,"&gt;"&amp;AN632)+SUMIFS($AJ$7:$AJ$1843,$CG$7:$CG$1843,CG632,$AN$7:$AN$1843,AN632,$BX$7:$BX$1843,"&lt;="&amp;BX632),"")</f>
        <v>1657.83974358974</v>
      </c>
      <c r="AP632" s="70" t="n">
        <f aca="false">IF(AO632="",0,MAX(0,MIN(1,(IF(CG632="L1",Parameter!$H$5,IF(CG632="L23",Parameter!$H$6+Parameter!$H$7,Parameter!$H$5+Parameter!$H$6+Parameter!$H$7))-(AO632-AJ632))/AJ632)))</f>
        <v>1</v>
      </c>
      <c r="AQ632" s="62" t="n">
        <f aca="false">IF(LEFT(Cockpit!$I$5,1)="A",H632,IF(Parameter!$E$30="MAX-Bestand",IF(CI632=1,CJ632,IF(LEFT(Cockpit!$I$5,1)="B",AW632,MAX(AW632,H632))),ROUNDUP(AU632,0)))</f>
        <v>14</v>
      </c>
      <c r="AR632" s="62" t="n">
        <f aca="false">IF(CA632=1,0,ROUNDUP(AQ632/BZ632,0))</f>
        <v>1</v>
      </c>
      <c r="AS632" s="64" t="n">
        <f aca="false">IF(CR632&gt;0,CR632*MAX(1,AQ632/X632),IF(CA632=1,IF(AQ632&lt;=0,0,CE632*MAX(1,IF(H632&gt;0,AQ632/H632,1))),IF(R632&gt;0,AR632/R632,0))/MAX(0.1,N(Parameter!$M$21)))</f>
        <v>0.00714285714285714</v>
      </c>
      <c r="AT632" s="62" t="n">
        <f aca="false">AS632*CC632</f>
        <v>1.10714285714286</v>
      </c>
      <c r="AU632" s="63" t="n">
        <f aca="false">IF(LEFT(Cockpit!$I$5,1)="A",H632,IF(CI632=1,(CL632+CJ632)/2,IF(LEFT(Cockpit!$I$5,1)="B",(CL632+AW632)/2,MAX((CL632+AW632)/2,H632))))</f>
        <v>14</v>
      </c>
      <c r="AV632" s="62" t="n">
        <f aca="false">AU632*G632</f>
        <v>17.5</v>
      </c>
      <c r="AW632" s="62" t="n">
        <f aca="false">ROUNDUP(CL632+MAX(CM632,2*(J632/IF(CH632&gt;0,CH632,MAX(0.1,N(Cockpit!$I$6)))-CL632)),0)</f>
        <v>20</v>
      </c>
      <c r="AX632" s="63" t="n">
        <f aca="false">IF(AT632&gt;0,J632/AT632,-1)</f>
        <v>19.8709677419355</v>
      </c>
      <c r="AY632" s="63" t="n">
        <f aca="false">IF(AND(OR(CG632="L1",CG632="L23",CG632="LIFT"),AT632&gt;0),SUMIFS($AT$7:$AT$1843,$CG$7:$CG$1843,CG632,$AX$7:$AX$1843,"&gt;"&amp;AX632)+SUMIFS($AT$7:$AT$1843,$CG$7:$CG$1843,CG632,$AX$7:$AX$1843,AX632,$BX$7:$BX$1843,"&lt;="&amp;BX632),"")</f>
        <v>2294.96062271062</v>
      </c>
      <c r="AZ632" s="70" t="n">
        <f aca="false">IF(AY632="",0,MAX(0,MIN(1,(IF(CG632="L1",Parameter!$H$5,IF(CG632="L23",Parameter!$H$6+Parameter!$H$7,Parameter!$H$5+Parameter!$H$6+Parameter!$H$7))-(AY632-AT632))/AT632)))</f>
        <v>1</v>
      </c>
      <c r="BA632" s="62" t="n">
        <f aca="false">IF(LEFT(Cockpit!$O$5,1)="A",H632,IF(Parameter!$E$30="MAX-Bestand",IF(CI632=1,CJ632,IF(LEFT(Cockpit!$O$5,1)="B",BG632,MAX(BG632,H632))),ROUNDUP(BE632,0)))</f>
        <v>10</v>
      </c>
      <c r="BB632" s="62" t="n">
        <f aca="false">IF(CA632=1,0,ROUNDUP(BA632/BZ632,0))</f>
        <v>1</v>
      </c>
      <c r="BC632" s="64" t="n">
        <f aca="false">IF(CR632&gt;0,CR632*MAX(1,BA632/X632),IF(CA632=1,IF(BA632&lt;=0,0,CE632*MAX(1,IF(H632&gt;0,BA632/H632,1))),IF(R632&gt;0,BB632/R632,0))/MAX(0.1,N(Parameter!$M$21)))</f>
        <v>0.00714285714285714</v>
      </c>
      <c r="BD632" s="62" t="n">
        <f aca="false">BC632*CC632</f>
        <v>1.10714285714286</v>
      </c>
      <c r="BE632" s="63" t="n">
        <f aca="false">IF(LEFT(Cockpit!$O$5,1)="A",H632,IF(CI632=1,(CL632+CJ632)/2,IF(LEFT(Cockpit!$O$5,1)="B",(CL632+BG632)/2,MAX((CL632+BG632)/2,H632))))</f>
        <v>10</v>
      </c>
      <c r="BF632" s="62" t="n">
        <f aca="false">BE632*G632</f>
        <v>12.5</v>
      </c>
      <c r="BG632" s="62" t="n">
        <f aca="false">ROUNDUP(CL632+MAX(CM632,2*(J632/IF(CH632&gt;0,CH632,MAX(0.1,N(Cockpit!$O$6)))-CL632)),0)</f>
        <v>20</v>
      </c>
      <c r="BH632" s="63" t="n">
        <f aca="false">IF(BD632&gt;0,J632/BD632,-1)</f>
        <v>19.8709677419355</v>
      </c>
      <c r="BI632" s="63" t="n">
        <f aca="false">IF(AND(OR(CG632="L1",CG632="L23",CG632="LIFT"),BD632&gt;0),SUMIFS($BD$7:$BD$1843,$CG$7:$CG$1843,CG632,$BH$7:$BH$1843,"&gt;"&amp;BH632)+SUMIFS($BD$7:$BD$1843,$CG$7:$CG$1843,CG632,$BH$7:$BH$1843,BH632,$BX$7:$BX$1843,"&lt;="&amp;BX632),"")</f>
        <v>2226.28159340659</v>
      </c>
      <c r="BJ632" s="70" t="n">
        <f aca="false">IF(BI632="",0,MAX(0,MIN(1,(IF(CG632="L1",Parameter!$H$5,IF(CG632="L23",Parameter!$H$6+Parameter!$H$7,Parameter!$H$5+Parameter!$H$6+Parameter!$H$7))-(BI632-BD632))/BD632)))</f>
        <v>1</v>
      </c>
      <c r="BK632" s="60" t="str">
        <f aca="false">IF(AJ632&lt;=0,"",IF(CG632="Aussen","Aussenlager",IF(CG632="-","Nicht im Lift",IF(AP632&gt;=1,"Lift",IF(AP632&lt;=0,"Aussenlager","teilweise")))))</f>
        <v>Lift</v>
      </c>
      <c r="BL632" s="60" t="str">
        <f aca="false">IF(AT632&lt;=0,"",IF(CG632="Aussen","Aussenlager",IF(CG632="-","Nicht im Lift",IF(AZ632&gt;=1,"Lift",IF(AZ632&lt;=0,"Aussenlager","teilweise")))))</f>
        <v>Lift</v>
      </c>
      <c r="BM632" s="60" t="str">
        <f aca="false">IF(BD632&lt;=0,"",IF(CG632="Aussen","Aussenlager",IF(CG632="-","Nicht im Lift",IF(BJ632&gt;=1,"Lift",IF(BJ632&lt;=0,"Aussenlager","teilweise")))))</f>
        <v>Lift</v>
      </c>
      <c r="BN632" s="60" t="str">
        <f aca="false">IF(A632="","",IF(BW632=1,"Neu; ","")&amp;IF(AND(BW632=0,BR632&lt;0),"negativer Bestand (Export "&amp;BR632&amp;"); ","")&amp;IF(J632&lt;=0,"Kein Verbrauch; ","")&amp;IF(CR632&gt;0,"Lift "&amp;W632&amp;" lt. Liftbericht (Fach "&amp;X632&amp;" Stk); ",IF(CB632=1,"Gebinde geschätzt ("&amp;T632&amp;"); ",IF(CA632=1,"Lose – Tablare geschätzt; ","")))&amp;IF(H632&gt;AW632,"Überbestand "&amp;ROUND(H632-AW632,0)&amp;" Stk / CHF "&amp;ROUND((H632-AW632)*G632,0)&amp;"; ","")&amp;IF(AND(CI632=1,CJ632&lt;CK632),"MAX &lt; MB+LG; ","")&amp;IF(AND(CQ632&gt;0,CP632*10&gt;CQ632),"zu hoch für Tablar; ","")&amp;IF(AND(BW632=0,OR(CI632=1,AB632&lt;&gt;"",U632&lt;&gt;"",V632&lt;&gt;"",AC632&lt;&gt;"")),"manuell übersteuert; ","")&amp;IF(AND(CA632=0,R632=0),"Gebinde unbekannt / Stellmass fehlt; ","")&amp;IF(AND(CA632=0,N(V632)&lt;=0,N(Q632)&lt;=0),"Menge pro Gebinde fehlt (Ist = 1 Gebinde); ","")&amp;BV632)</f>
        <v/>
      </c>
      <c r="BO632" s="60"/>
      <c r="BP632" s="60"/>
      <c r="BQ632" s="67"/>
      <c r="BR632" s="62" t="n">
        <v>1</v>
      </c>
      <c r="BS632" s="62" t="n">
        <v>13</v>
      </c>
      <c r="BT632" s="61" t="n">
        <v>1.64</v>
      </c>
      <c r="BU632" s="62" t="n">
        <v>22</v>
      </c>
      <c r="BV632" s="60"/>
      <c r="BW632" s="65" t="n">
        <v>0</v>
      </c>
      <c r="BX632" s="65" t="n">
        <v>632</v>
      </c>
      <c r="BY632" s="60" t="str">
        <f aca="false">IF(U632&lt;&gt;"",UPPER(TRIM(U632)),IF(CB632=1,UPPER(VLOOKUP(T632,Parameter!$I$27:$K$29,2,0)),IF(P632="","LOSE",P632)))</f>
        <v>S22</v>
      </c>
      <c r="BZ632" s="62" t="n">
        <f aca="false">IF(BY632="LOSE",1,IF(N(V632)&gt;0,V632,IF(CB632=1,MAX(1,N(VLOOKUP(T632,Parameter!$I$27:$K$29,3,0)),H632,N(N632)),IF(N(Q632)&gt;0,Q632,MAX(1,H632)))))</f>
        <v>22</v>
      </c>
      <c r="CA632" s="65" t="n">
        <f aca="false">IF(BY632="LOSE",1,0)</f>
        <v>0</v>
      </c>
      <c r="CB632" s="65" t="n">
        <f aca="false">IF(AND(U632="",OR(P632="",P632="LOSE"),T632&lt;&gt;"",N(S632)&lt;=0,ISNUMBER(MATCH(T632,Parameter!$I$27:$I$29,0))),1,0)</f>
        <v>0</v>
      </c>
      <c r="CC632" s="65" t="n">
        <f aca="false">IF(CR632&gt;0,INDEX(Parameter!$H$5:$H$7,W632)/INDEX(Parameter!$E$5:$E$7,W632),IF(AND(CA632=0,N(IFERROR(VLOOKUP(BY632,'Gebinde-Kategorie'!$A$5:$N$45,14,0),0))&gt;0),VLOOKUP(BY632,'Gebinde-Kategorie'!$A$5:$N$45,14,0)*10+Parameter!$M$23,Parameter!$M$24))</f>
        <v>155</v>
      </c>
      <c r="CD632" s="60" t="str">
        <f aca="false">IF(AND(Parameter!$B$19="Ja",E632&lt;&gt;"",ISNUMBER(MATCH(E632,Parameter!$I$35:$I$52,0))),VLOOKUP(E632,Parameter!$I$35:$J$52,2,0),IFERROR(VLOOKUP(D632,Parameter!$A$35:$C$64,2,0),"Nein"))</f>
        <v>2+3</v>
      </c>
      <c r="CE632" s="64" t="n">
        <f aca="false">IF(CA632=0,0,IF(N(S632)&gt;0,S632,IFERROR(VLOOKUP(D632,Parameter!$A$35:$C$64,3,0)+0,0)))</f>
        <v>0</v>
      </c>
      <c r="CF632" s="60" t="n">
        <f aca="false">IF(AB632&lt;&gt;"",AB632,AA632)</f>
        <v>3</v>
      </c>
      <c r="CG632" s="60" t="str">
        <f aca="false">IF(OR(CF632=1,CF632=2,CF632=3),IF(Parameter!$E$27="Ja","LIFT",IF(CF632=1,"L1","L23")),IF(CF632="Aussen","Aussen","-"))</f>
        <v>LIFT</v>
      </c>
      <c r="CH632" s="71" t="n">
        <f aca="false">IF(N(AC632)&gt;0,AC632,0)</f>
        <v>0</v>
      </c>
      <c r="CI632" s="65" t="n">
        <f aca="false">IF(ISNUMBER(AF632),1,0)</f>
        <v>0</v>
      </c>
      <c r="CJ632" s="62" t="n">
        <f aca="false">N(AF632)</f>
        <v>0</v>
      </c>
      <c r="CK632" s="62" t="n">
        <f aca="false">N(M632)+N(N632)</f>
        <v>20</v>
      </c>
      <c r="CL632" s="62" t="n">
        <f aca="false">N(M632)</f>
        <v>0</v>
      </c>
      <c r="CM632" s="62" t="n">
        <f aca="false">N(N632)</f>
        <v>20</v>
      </c>
      <c r="CN632" s="62" t="n">
        <f aca="false">ROUNDUP(H632/BZ632,0)</f>
        <v>1</v>
      </c>
      <c r="CO632" s="62" t="n">
        <f aca="false">ROUNDUP(CJ632/BZ632,0)</f>
        <v>0</v>
      </c>
      <c r="CP632" s="65" t="n">
        <f aca="false">IF(CA632=1,0,IFERROR(VLOOKUP(BY632,'Gebinde-Kategorie'!$A$5:$N$45,5,0)+0,0))</f>
        <v>8</v>
      </c>
      <c r="CQ632" s="65" t="n">
        <f aca="false">IFERROR(IF(OR(CF632=1,CF632=2,CF632=3),N(INDEX(Parameter!$I$5:$I$7,CF632)),0),0)</f>
        <v>0</v>
      </c>
      <c r="CR632" s="64" t="n">
        <f aca="false">IF(AND(Parameter!$B$21="Ja",ISNUMBER(W632),N(X632)&gt;0),IFERROR(N(INDEX(Parameter!$L$5:$L$7,W632))*INDEX(Parameter!$E$5:$E$7,W632)*X632/SUMIFS($X$7:$X$1843,$W$7:$W$1843,W632),0),0)</f>
        <v>0</v>
      </c>
      <c r="CS632" s="62" t="n">
        <f aca="false">IF(AND(OR(CG632="L1",CG632="L23",CG632="LIFT"),H632&gt;0),CC632*IF(CR632&gt;0,CR632*MAX(1,H632/X632),IF(CA632=1,CE632,IF(R632&gt;0,CN632/R632,0))/MAX(0.1,N(Parameter!$M$21))),"")</f>
        <v>1.10714285714286</v>
      </c>
      <c r="CT632" s="64" t="n">
        <f aca="false">IF(CS632="","",J632/H632)</f>
        <v>1.57142857142857</v>
      </c>
      <c r="CU632" s="62" t="n">
        <f aca="false">IF(CS632="","",H632*G632)</f>
        <v>17.5</v>
      </c>
      <c r="CV632" s="63" t="n">
        <f aca="false">IF(CS632="","",(CL632+ROUNDUP(CL632+MAX(CM632,2*(J632/MAX(0.1,N(Einkauf!$C$6))-CL632)),0))/2)</f>
        <v>10</v>
      </c>
      <c r="CW632" s="62" t="n">
        <f aca="false">IF(CS632="","",MAX(0,H632-CV632)*G632)</f>
        <v>5</v>
      </c>
      <c r="CX632" s="62" t="n">
        <f aca="false">IF(CS632="","",CS632*MAX(0,1-CV632/H632))</f>
        <v>0.316326530612245</v>
      </c>
      <c r="CY632" s="64" t="n">
        <f aca="false">IF(CS632="","",PERCENTRANK($CS$7:$CS$1843,CS632)+PERCENTRANK($CU$7:$CU$1843,CU632)+1-PERCENTRANK($CT$7:$CT$1843,CT632))</f>
        <v>0.3498</v>
      </c>
      <c r="CZ632" s="72" t="n">
        <f aca="false">IF(CS632="","",CHOOSE(MATCH(Einkauf!$C$5,Parameter!$G$23:$G$27,0),CY632,CS632,CU632,-CT632,CW632)+ROW()/1000000000)</f>
        <v>0.349800632</v>
      </c>
    </row>
    <row r="633" customFormat="false" ht="15" hidden="false" customHeight="false" outlineLevel="0" collapsed="false">
      <c r="A633" s="60" t="s">
        <v>1336</v>
      </c>
      <c r="B633" s="60" t="s">
        <v>1332</v>
      </c>
      <c r="C633" s="60" t="s">
        <v>206</v>
      </c>
      <c r="D633" s="60" t="s">
        <v>226</v>
      </c>
      <c r="E633" s="60" t="s">
        <v>227</v>
      </c>
      <c r="F633" s="60" t="s">
        <v>260</v>
      </c>
      <c r="G633" s="61" t="n">
        <v>0.85</v>
      </c>
      <c r="H633" s="62" t="n">
        <f aca="false">MAX(0,IF(AND(Parameter!$B$21="Ja",ISNUMBER(Y633)),Y633,IF(Parameter!$B$20="Jahresanfang 2025 + Export",BS633+BR633,BR633)))</f>
        <v>23</v>
      </c>
      <c r="I633" s="62" t="n">
        <f aca="false">H633*G633</f>
        <v>19.55</v>
      </c>
      <c r="J633" s="62" t="n">
        <f aca="false">BU633*Parameter!$B$18</f>
        <v>72</v>
      </c>
      <c r="K633" s="63" t="n">
        <v>40</v>
      </c>
      <c r="L633" s="64" t="n">
        <v>1.8</v>
      </c>
      <c r="M633" s="62" t="n">
        <v>2</v>
      </c>
      <c r="N633" s="62" t="n">
        <v>70</v>
      </c>
      <c r="O633" s="65" t="n">
        <v>14</v>
      </c>
      <c r="P633" s="60" t="s">
        <v>275</v>
      </c>
      <c r="Q633" s="62" t="n">
        <v>88</v>
      </c>
      <c r="R633" s="65" t="n">
        <f aca="false">IF(CA633=1,0,IFERROR(VLOOKUP(BY633,'Gebinde-Kategorie'!$A$5:$N$45,13,0)+0,0))</f>
        <v>26</v>
      </c>
      <c r="S633" s="66"/>
      <c r="T633" s="67"/>
      <c r="U633" s="67"/>
      <c r="V633" s="67"/>
      <c r="W633" s="60"/>
      <c r="X633" s="62"/>
      <c r="Y633" s="62"/>
      <c r="Z633" s="60" t="n">
        <v>3</v>
      </c>
      <c r="AA633" s="60" t="n">
        <f aca="false">IF(A633="","",IF(AND(Parameter!$B$21="Ja",ISNUMBER(W633)),W633,IF(AND(Parameter!$E$27="Ja",ISNUMBER(Z633),CD633&lt;&gt;"Nein"),Z633,IF(CD633="2+3",IF(ISNUMBER(SEARCH("grosser Artikel",BV633)),2,IFERROR(VLOOKUP(BY633,Parameter!$F$35:$G$64,2,0),2)),IF(OR(CD633="Nein",CD633=""),"-",CD633)))))</f>
        <v>3</v>
      </c>
      <c r="AB633" s="67"/>
      <c r="AC633" s="68"/>
      <c r="AD633" s="62" t="n">
        <f aca="false">AW633</f>
        <v>72</v>
      </c>
      <c r="AE633" s="62" t="n">
        <f aca="false">MAX(AW633,H633)</f>
        <v>72</v>
      </c>
      <c r="AF633" s="69"/>
      <c r="AG633" s="62" t="n">
        <f aca="false">IF(LEFT(Cockpit!$C$5,1)="A",H633,IF(Parameter!$E$30="MAX-Bestand",IF(CI633=1,CJ633,IF(LEFT(Cockpit!$C$5,1)="B",AM633,MAX(AM633,H633))),ROUNDUP(AK633,0)))</f>
        <v>23</v>
      </c>
      <c r="AH633" s="62" t="n">
        <f aca="false">IF(CA633=1,0,ROUNDUP(AG633/BZ633,0))</f>
        <v>1</v>
      </c>
      <c r="AI633" s="64" t="n">
        <f aca="false">IF(CR633&gt;0,CR633*MAX(1,AG633/X633),IF(CA633=1,IF(AG633&lt;=0,0,CE633*MAX(1,IF(H633&gt;0,AG633/H633,1))),IF(R633&gt;0,AH633/R633,0))/MAX(0.1,N(Parameter!$M$21)))</f>
        <v>0.0384615384615385</v>
      </c>
      <c r="AJ633" s="62" t="n">
        <f aca="false">AI633*CC633</f>
        <v>9.42307692307692</v>
      </c>
      <c r="AK633" s="63" t="n">
        <f aca="false">IF(LEFT(Cockpit!$C$5,1)="A",H633,IF(CI633=1,(CL633+CJ633)/2,IF(LEFT(Cockpit!$C$5,1)="B",(CL633+AM633)/2,MAX((CL633+AM633)/2,H633))))</f>
        <v>23</v>
      </c>
      <c r="AL633" s="62" t="n">
        <f aca="false">AK633*G633</f>
        <v>19.55</v>
      </c>
      <c r="AM633" s="62" t="n">
        <f aca="false">ROUNDUP(CL633+MAX(CM633,2*(J633/IF(CH633&gt;0,CH633,MAX(0.1,N(Cockpit!$C$6)))-CL633)),0)</f>
        <v>72</v>
      </c>
      <c r="AN633" s="63" t="n">
        <f aca="false">IF(AJ633&gt;0,J633/AJ633,-1)</f>
        <v>7.64081632653061</v>
      </c>
      <c r="AO633" s="63" t="n">
        <f aca="false">IF(AND(OR(CG633="L1",CG633="L23",CG633="LIFT"),AJ633&gt;0),SUMIFS($AJ$7:$AJ$1843,$CG$7:$CG$1843,CG633,$AN$7:$AN$1843,"&gt;"&amp;AN633)+SUMIFS($AJ$7:$AJ$1843,$CG$7:$CG$1843,CG633,$AN$7:$AN$1843,AN633,$BX$7:$BX$1843,"&lt;="&amp;BX633),"")</f>
        <v>3128.48076923077</v>
      </c>
      <c r="AP633" s="70" t="n">
        <f aca="false">IF(AO633="",0,MAX(0,MIN(1,(IF(CG633="L1",Parameter!$H$5,IF(CG633="L23",Parameter!$H$6+Parameter!$H$7,Parameter!$H$5+Parameter!$H$6+Parameter!$H$7))-(AO633-AJ633))/AJ633)))</f>
        <v>1</v>
      </c>
      <c r="AQ633" s="62" t="n">
        <f aca="false">IF(LEFT(Cockpit!$I$5,1)="A",H633,IF(Parameter!$E$30="MAX-Bestand",IF(CI633=1,CJ633,IF(LEFT(Cockpit!$I$5,1)="B",AW633,MAX(AW633,H633))),ROUNDUP(AU633,0)))</f>
        <v>37</v>
      </c>
      <c r="AR633" s="62" t="n">
        <f aca="false">IF(CA633=1,0,ROUNDUP(AQ633/BZ633,0))</f>
        <v>1</v>
      </c>
      <c r="AS633" s="64" t="n">
        <f aca="false">IF(CR633&gt;0,CR633*MAX(1,AQ633/X633),IF(CA633=1,IF(AQ633&lt;=0,0,CE633*MAX(1,IF(H633&gt;0,AQ633/H633,1))),IF(R633&gt;0,AR633/R633,0))/MAX(0.1,N(Parameter!$M$21)))</f>
        <v>0.0384615384615385</v>
      </c>
      <c r="AT633" s="62" t="n">
        <f aca="false">AS633*CC633</f>
        <v>9.42307692307692</v>
      </c>
      <c r="AU633" s="63" t="n">
        <f aca="false">IF(LEFT(Cockpit!$I$5,1)="A",H633,IF(CI633=1,(CL633+CJ633)/2,IF(LEFT(Cockpit!$I$5,1)="B",(CL633+AW633)/2,MAX((CL633+AW633)/2,H633))))</f>
        <v>37</v>
      </c>
      <c r="AV633" s="62" t="n">
        <f aca="false">AU633*G633</f>
        <v>31.45</v>
      </c>
      <c r="AW633" s="62" t="n">
        <f aca="false">ROUNDUP(CL633+MAX(CM633,2*(J633/IF(CH633&gt;0,CH633,MAX(0.1,N(Cockpit!$I$6)))-CL633)),0)</f>
        <v>72</v>
      </c>
      <c r="AX633" s="63" t="n">
        <f aca="false">IF(AT633&gt;0,J633/AT633,-1)</f>
        <v>7.64081632653061</v>
      </c>
      <c r="AY633" s="63" t="n">
        <f aca="false">IF(AND(OR(CG633="L1",CG633="L23",CG633="LIFT"),AT633&gt;0),SUMIFS($AT$7:$AT$1843,$CG$7:$CG$1843,CG633,$AX$7:$AX$1843,"&gt;"&amp;AX633)+SUMIFS($AT$7:$AT$1843,$CG$7:$CG$1843,CG633,$AX$7:$AX$1843,AX633,$BX$7:$BX$1843,"&lt;="&amp;BX633),"")</f>
        <v>3752.54212454213</v>
      </c>
      <c r="AZ633" s="70" t="n">
        <f aca="false">IF(AY633="",0,MAX(0,MIN(1,(IF(CG633="L1",Parameter!$H$5,IF(CG633="L23",Parameter!$H$6+Parameter!$H$7,Parameter!$H$5+Parameter!$H$6+Parameter!$H$7))-(AY633-AT633))/AT633)))</f>
        <v>1</v>
      </c>
      <c r="BA633" s="62" t="n">
        <f aca="false">IF(LEFT(Cockpit!$O$5,1)="A",H633,IF(Parameter!$E$30="MAX-Bestand",IF(CI633=1,CJ633,IF(LEFT(Cockpit!$O$5,1)="B",BG633,MAX(BG633,H633))),ROUNDUP(BE633,0)))</f>
        <v>37</v>
      </c>
      <c r="BB633" s="62" t="n">
        <f aca="false">IF(CA633=1,0,ROUNDUP(BA633/BZ633,0))</f>
        <v>1</v>
      </c>
      <c r="BC633" s="64" t="n">
        <f aca="false">IF(CR633&gt;0,CR633*MAX(1,BA633/X633),IF(CA633=1,IF(BA633&lt;=0,0,CE633*MAX(1,IF(H633&gt;0,BA633/H633,1))),IF(R633&gt;0,BB633/R633,0))/MAX(0.1,N(Parameter!$M$21)))</f>
        <v>0.0384615384615385</v>
      </c>
      <c r="BD633" s="62" t="n">
        <f aca="false">BC633*CC633</f>
        <v>9.42307692307692</v>
      </c>
      <c r="BE633" s="63" t="n">
        <f aca="false">IF(LEFT(Cockpit!$O$5,1)="A",H633,IF(CI633=1,(CL633+CJ633)/2,IF(LEFT(Cockpit!$O$5,1)="B",(CL633+BG633)/2,MAX((CL633+BG633)/2,H633))))</f>
        <v>37</v>
      </c>
      <c r="BF633" s="62" t="n">
        <f aca="false">BE633*G633</f>
        <v>31.45</v>
      </c>
      <c r="BG633" s="62" t="n">
        <f aca="false">ROUNDUP(CL633+MAX(CM633,2*(J633/IF(CH633&gt;0,CH633,MAX(0.1,N(Cockpit!$O$6)))-CL633)),0)</f>
        <v>72</v>
      </c>
      <c r="BH633" s="63" t="n">
        <f aca="false">IF(BD633&gt;0,J633/BD633,-1)</f>
        <v>7.64081632653061</v>
      </c>
      <c r="BI633" s="63" t="n">
        <f aca="false">IF(AND(OR(CG633="L1",CG633="L23",CG633="LIFT"),BD633&gt;0),SUMIFS($BD$7:$BD$1843,$CG$7:$CG$1843,CG633,$BH$7:$BH$1843,"&gt;"&amp;BH633)+SUMIFS($BD$7:$BD$1843,$CG$7:$CG$1843,CG633,$BH$7:$BH$1843,BH633,$BX$7:$BX$1843,"&lt;="&amp;BX633),"")</f>
        <v>3171.41163003663</v>
      </c>
      <c r="BJ633" s="70" t="n">
        <f aca="false">IF(BI633="",0,MAX(0,MIN(1,(IF(CG633="L1",Parameter!$H$5,IF(CG633="L23",Parameter!$H$6+Parameter!$H$7,Parameter!$H$5+Parameter!$H$6+Parameter!$H$7))-(BI633-BD633))/BD633)))</f>
        <v>1</v>
      </c>
      <c r="BK633" s="60" t="str">
        <f aca="false">IF(AJ633&lt;=0,"",IF(CG633="Aussen","Aussenlager",IF(CG633="-","Nicht im Lift",IF(AP633&gt;=1,"Lift",IF(AP633&lt;=0,"Aussenlager","teilweise")))))</f>
        <v>Lift</v>
      </c>
      <c r="BL633" s="60" t="str">
        <f aca="false">IF(AT633&lt;=0,"",IF(CG633="Aussen","Aussenlager",IF(CG633="-","Nicht im Lift",IF(AZ633&gt;=1,"Lift",IF(AZ633&lt;=0,"Aussenlager","teilweise")))))</f>
        <v>Lift</v>
      </c>
      <c r="BM633" s="60" t="str">
        <f aca="false">IF(BD633&lt;=0,"",IF(CG633="Aussen","Aussenlager",IF(CG633="-","Nicht im Lift",IF(BJ633&gt;=1,"Lift",IF(BJ633&lt;=0,"Aussenlager","teilweise")))))</f>
        <v>Lift</v>
      </c>
      <c r="BN633" s="60" t="str">
        <f aca="false">IF(A633="","",IF(BW633=1,"Neu; ","")&amp;IF(AND(BW633=0,BR633&lt;0),"negativer Bestand (Export "&amp;BR633&amp;"); ","")&amp;IF(J633&lt;=0,"Kein Verbrauch; ","")&amp;IF(CR633&gt;0,"Lift "&amp;W633&amp;" lt. Liftbericht (Fach "&amp;X633&amp;" Stk); ",IF(CB633=1,"Gebinde geschätzt ("&amp;T633&amp;"); ",IF(CA633=1,"Lose – Tablare geschätzt; ","")))&amp;IF(H633&gt;AW633,"Überbestand "&amp;ROUND(H633-AW633,0)&amp;" Stk / CHF "&amp;ROUND((H633-AW633)*G633,0)&amp;"; ","")&amp;IF(AND(CI633=1,CJ633&lt;CK633),"MAX &lt; MB+LG; ","")&amp;IF(AND(CQ633&gt;0,CP633*10&gt;CQ633),"zu hoch für Tablar; ","")&amp;IF(AND(BW633=0,OR(CI633=1,AB633&lt;&gt;"",U633&lt;&gt;"",V633&lt;&gt;"",AC633&lt;&gt;"")),"manuell übersteuert; ","")&amp;IF(AND(CA633=0,R633=0),"Gebinde unbekannt / Stellmass fehlt; ","")&amp;IF(AND(CA633=0,N(V633)&lt;=0,N(Q633)&lt;=0),"Menge pro Gebinde fehlt (Ist = 1 Gebinde); ","")&amp;BV633)</f>
        <v/>
      </c>
      <c r="BO633" s="60"/>
      <c r="BP633" s="60"/>
      <c r="BQ633" s="67"/>
      <c r="BR633" s="62" t="n">
        <v>1</v>
      </c>
      <c r="BS633" s="62" t="n">
        <v>22</v>
      </c>
      <c r="BT633" s="61" t="n">
        <v>1.50999999999997</v>
      </c>
      <c r="BU633" s="62" t="n">
        <v>72</v>
      </c>
      <c r="BV633" s="60"/>
      <c r="BW633" s="65" t="n">
        <v>0</v>
      </c>
      <c r="BX633" s="65" t="n">
        <v>633</v>
      </c>
      <c r="BY633" s="60" t="str">
        <f aca="false">IF(U633&lt;&gt;"",UPPER(TRIM(U633)),IF(CB633=1,UPPER(VLOOKUP(T633,Parameter!$I$27:$K$29,2,0)),IF(P633="","LOSE",P633)))</f>
        <v>S52</v>
      </c>
      <c r="BZ633" s="62" t="n">
        <f aca="false">IF(BY633="LOSE",1,IF(N(V633)&gt;0,V633,IF(CB633=1,MAX(1,N(VLOOKUP(T633,Parameter!$I$27:$K$29,3,0)),H633,N(N633)),IF(N(Q633)&gt;0,Q633,MAX(1,H633)))))</f>
        <v>88</v>
      </c>
      <c r="CA633" s="65" t="n">
        <f aca="false">IF(BY633="LOSE",1,0)</f>
        <v>0</v>
      </c>
      <c r="CB633" s="65" t="n">
        <f aca="false">IF(AND(U633="",OR(P633="",P633="LOSE"),T633&lt;&gt;"",N(S633)&lt;=0,ISNUMBER(MATCH(T633,Parameter!$I$27:$I$29,0))),1,0)</f>
        <v>0</v>
      </c>
      <c r="CC633" s="65" t="n">
        <f aca="false">IF(CR633&gt;0,INDEX(Parameter!$H$5:$H$7,W633)/INDEX(Parameter!$E$5:$E$7,W633),IF(AND(CA633=0,N(IFERROR(VLOOKUP(BY633,'Gebinde-Kategorie'!$A$5:$N$45,14,0),0))&gt;0),VLOOKUP(BY633,'Gebinde-Kategorie'!$A$5:$N$45,14,0)*10+Parameter!$M$23,Parameter!$M$24))</f>
        <v>245</v>
      </c>
      <c r="CD633" s="60" t="str">
        <f aca="false">IF(AND(Parameter!$B$19="Ja",E633&lt;&gt;"",ISNUMBER(MATCH(E633,Parameter!$I$35:$I$52,0))),VLOOKUP(E633,Parameter!$I$35:$J$52,2,0),IFERROR(VLOOKUP(D633,Parameter!$A$35:$C$64,2,0),"Nein"))</f>
        <v>2+3</v>
      </c>
      <c r="CE633" s="64" t="n">
        <f aca="false">IF(CA633=0,0,IF(N(S633)&gt;0,S633,IFERROR(VLOOKUP(D633,Parameter!$A$35:$C$64,3,0)+0,0)))</f>
        <v>0</v>
      </c>
      <c r="CF633" s="60" t="n">
        <f aca="false">IF(AB633&lt;&gt;"",AB633,AA633)</f>
        <v>3</v>
      </c>
      <c r="CG633" s="60" t="str">
        <f aca="false">IF(OR(CF633=1,CF633=2,CF633=3),IF(Parameter!$E$27="Ja","LIFT",IF(CF633=1,"L1","L23")),IF(CF633="Aussen","Aussen","-"))</f>
        <v>LIFT</v>
      </c>
      <c r="CH633" s="71" t="n">
        <f aca="false">IF(N(AC633)&gt;0,AC633,0)</f>
        <v>0</v>
      </c>
      <c r="CI633" s="65" t="n">
        <f aca="false">IF(ISNUMBER(AF633),1,0)</f>
        <v>0</v>
      </c>
      <c r="CJ633" s="62" t="n">
        <f aca="false">N(AF633)</f>
        <v>0</v>
      </c>
      <c r="CK633" s="62" t="n">
        <f aca="false">N(M633)+N(N633)</f>
        <v>72</v>
      </c>
      <c r="CL633" s="62" t="n">
        <f aca="false">N(M633)</f>
        <v>2</v>
      </c>
      <c r="CM633" s="62" t="n">
        <f aca="false">N(N633)</f>
        <v>70</v>
      </c>
      <c r="CN633" s="62" t="n">
        <f aca="false">ROUNDUP(H633/BZ633,0)</f>
        <v>1</v>
      </c>
      <c r="CO633" s="62" t="n">
        <f aca="false">ROUNDUP(CJ633/BZ633,0)</f>
        <v>0</v>
      </c>
      <c r="CP633" s="65" t="n">
        <f aca="false">IF(CA633=1,0,IFERROR(VLOOKUP(BY633,'Gebinde-Kategorie'!$A$5:$N$45,5,0)+0,0))</f>
        <v>21</v>
      </c>
      <c r="CQ633" s="65" t="n">
        <f aca="false">IFERROR(IF(OR(CF633=1,CF633=2,CF633=3),N(INDEX(Parameter!$I$5:$I$7,CF633)),0),0)</f>
        <v>0</v>
      </c>
      <c r="CR633" s="64" t="n">
        <f aca="false">IF(AND(Parameter!$B$21="Ja",ISNUMBER(W633),N(X633)&gt;0),IFERROR(N(INDEX(Parameter!$L$5:$L$7,W633))*INDEX(Parameter!$E$5:$E$7,W633)*X633/SUMIFS($X$7:$X$1843,$W$7:$W$1843,W633),0),0)</f>
        <v>0</v>
      </c>
      <c r="CS633" s="62" t="n">
        <f aca="false">IF(AND(OR(CG633="L1",CG633="L23",CG633="LIFT"),H633&gt;0),CC633*IF(CR633&gt;0,CR633*MAX(1,H633/X633),IF(CA633=1,CE633,IF(R633&gt;0,CN633/R633,0))/MAX(0.1,N(Parameter!$M$21))),"")</f>
        <v>9.42307692307692</v>
      </c>
      <c r="CT633" s="64" t="n">
        <f aca="false">IF(CS633="","",J633/H633)</f>
        <v>3.1304347826087</v>
      </c>
      <c r="CU633" s="62" t="n">
        <f aca="false">IF(CS633="","",H633*G633)</f>
        <v>19.55</v>
      </c>
      <c r="CV633" s="63" t="n">
        <f aca="false">IF(CS633="","",(CL633+ROUNDUP(CL633+MAX(CM633,2*(J633/MAX(0.1,N(Einkauf!$C$6))-CL633)),0))/2)</f>
        <v>37</v>
      </c>
      <c r="CW633" s="62" t="n">
        <f aca="false">IF(CS633="","",MAX(0,H633-CV633)*G633)</f>
        <v>0</v>
      </c>
      <c r="CX633" s="62" t="n">
        <f aca="false">IF(CS633="","",CS633*MAX(0,1-CV633/H633))</f>
        <v>0</v>
      </c>
      <c r="CY633" s="64" t="n">
        <f aca="false">IF(CS633="","",PERCENTRANK($CS$7:$CS$1843,CS633)+PERCENTRANK($CU$7:$CU$1843,CU633)+1-PERCENTRANK($CT$7:$CT$1843,CT633))</f>
        <v>0.7525</v>
      </c>
      <c r="CZ633" s="72" t="n">
        <f aca="false">IF(CS633="","",CHOOSE(MATCH(Einkauf!$C$5,Parameter!$G$23:$G$27,0),CY633,CS633,CU633,-CT633,CW633)+ROW()/1000000000)</f>
        <v>0.752500633</v>
      </c>
    </row>
    <row r="634" customFormat="false" ht="15" hidden="false" customHeight="false" outlineLevel="0" collapsed="false">
      <c r="A634" s="60" t="s">
        <v>1337</v>
      </c>
      <c r="B634" s="60" t="s">
        <v>934</v>
      </c>
      <c r="C634" s="60" t="s">
        <v>206</v>
      </c>
      <c r="D634" s="60" t="s">
        <v>226</v>
      </c>
      <c r="E634" s="60" t="s">
        <v>227</v>
      </c>
      <c r="F634" s="60" t="s">
        <v>260</v>
      </c>
      <c r="G634" s="61" t="n">
        <v>0.66</v>
      </c>
      <c r="H634" s="62" t="n">
        <f aca="false">MAX(0,IF(AND(Parameter!$B$21="Ja",ISNUMBER(Y634)),Y634,IF(Parameter!$B$20="Jahresanfang 2025 + Export",BS634+BR634,BR634)))</f>
        <v>23</v>
      </c>
      <c r="I634" s="62" t="n">
        <f aca="false">H634*G634</f>
        <v>15.18</v>
      </c>
      <c r="J634" s="62" t="n">
        <f aca="false">BU634*Parameter!$B$18</f>
        <v>1</v>
      </c>
      <c r="K634" s="63" t="n">
        <v>15</v>
      </c>
      <c r="L634" s="64" t="n">
        <v>0.0666666666666667</v>
      </c>
      <c r="M634" s="62" t="n">
        <v>0</v>
      </c>
      <c r="N634" s="62" t="n">
        <v>1</v>
      </c>
      <c r="O634" s="65" t="n">
        <v>28</v>
      </c>
      <c r="P634" s="60" t="s">
        <v>468</v>
      </c>
      <c r="Q634" s="62" t="n">
        <v>11</v>
      </c>
      <c r="R634" s="65" t="n">
        <f aca="false">IF(CA634=1,0,IFERROR(VLOOKUP(BY634,'Gebinde-Kategorie'!$A$5:$N$45,13,0)+0,0))</f>
        <v>140</v>
      </c>
      <c r="S634" s="66"/>
      <c r="T634" s="67"/>
      <c r="U634" s="67"/>
      <c r="V634" s="67"/>
      <c r="W634" s="60"/>
      <c r="X634" s="62"/>
      <c r="Y634" s="62"/>
      <c r="Z634" s="60" t="n">
        <v>3</v>
      </c>
      <c r="AA634" s="60" t="n">
        <f aca="false">IF(A634="","",IF(AND(Parameter!$B$21="Ja",ISNUMBER(W634)),W634,IF(AND(Parameter!$E$27="Ja",ISNUMBER(Z634),CD634&lt;&gt;"Nein"),Z634,IF(CD634="2+3",IF(ISNUMBER(SEARCH("grosser Artikel",BV634)),2,IFERROR(VLOOKUP(BY634,Parameter!$F$35:$G$64,2,0),2)),IF(OR(CD634="Nein",CD634=""),"-",CD634)))))</f>
        <v>3</v>
      </c>
      <c r="AB634" s="67"/>
      <c r="AC634" s="68"/>
      <c r="AD634" s="62" t="n">
        <f aca="false">AW634</f>
        <v>1</v>
      </c>
      <c r="AE634" s="62" t="n">
        <f aca="false">MAX(AW634,H634)</f>
        <v>23</v>
      </c>
      <c r="AF634" s="69"/>
      <c r="AG634" s="62" t="n">
        <f aca="false">IF(LEFT(Cockpit!$C$5,1)="A",H634,IF(Parameter!$E$30="MAX-Bestand",IF(CI634=1,CJ634,IF(LEFT(Cockpit!$C$5,1)="B",AM634,MAX(AM634,H634))),ROUNDUP(AK634,0)))</f>
        <v>23</v>
      </c>
      <c r="AH634" s="62" t="n">
        <f aca="false">IF(CA634=1,0,ROUNDUP(AG634/BZ634,0))</f>
        <v>3</v>
      </c>
      <c r="AI634" s="64" t="n">
        <f aca="false">IF(CR634&gt;0,CR634*MAX(1,AG634/X634),IF(CA634=1,IF(AG634&lt;=0,0,CE634*MAX(1,IF(H634&gt;0,AG634/H634,1))),IF(R634&gt;0,AH634/R634,0))/MAX(0.1,N(Parameter!$M$21)))</f>
        <v>0.0214285714285714</v>
      </c>
      <c r="AJ634" s="62" t="n">
        <f aca="false">AI634*CC634</f>
        <v>3.32142857142857</v>
      </c>
      <c r="AK634" s="63" t="n">
        <f aca="false">IF(LEFT(Cockpit!$C$5,1)="A",H634,IF(CI634=1,(CL634+CJ634)/2,IF(LEFT(Cockpit!$C$5,1)="B",(CL634+AM634)/2,MAX((CL634+AM634)/2,H634))))</f>
        <v>23</v>
      </c>
      <c r="AL634" s="62" t="n">
        <f aca="false">AK634*G634</f>
        <v>15.18</v>
      </c>
      <c r="AM634" s="62" t="n">
        <f aca="false">ROUNDUP(CL634+MAX(CM634,2*(J634/IF(CH634&gt;0,CH634,MAX(0.1,N(Cockpit!$C$6)))-CL634)),0)</f>
        <v>1</v>
      </c>
      <c r="AN634" s="63" t="n">
        <f aca="false">IF(AJ634&gt;0,J634/AJ634,-1)</f>
        <v>0.301075268817204</v>
      </c>
      <c r="AO634" s="63" t="n">
        <f aca="false">IF(AND(OR(CG634="L1",CG634="L23",CG634="LIFT"),AJ634&gt;0),SUMIFS($AJ$7:$AJ$1843,$CG$7:$CG$1843,CG634,$AN$7:$AN$1843,"&gt;"&amp;AN634)+SUMIFS($AJ$7:$AJ$1843,$CG$7:$CG$1843,CG634,$AN$7:$AN$1843,AN634,$BX$7:$BX$1843,"&lt;="&amp;BX634),"")</f>
        <v>11447.7702629292</v>
      </c>
      <c r="AP634" s="70" t="n">
        <f aca="false">IF(AO634="",0,MAX(0,MIN(1,(IF(CG634="L1",Parameter!$H$5,IF(CG634="L23",Parameter!$H$6+Parameter!$H$7,Parameter!$H$5+Parameter!$H$6+Parameter!$H$7))-(AO634-AJ634))/AJ634)))</f>
        <v>1</v>
      </c>
      <c r="AQ634" s="62" t="n">
        <f aca="false">IF(LEFT(Cockpit!$I$5,1)="A",H634,IF(Parameter!$E$30="MAX-Bestand",IF(CI634=1,CJ634,IF(LEFT(Cockpit!$I$5,1)="B",AW634,MAX(AW634,H634))),ROUNDUP(AU634,0)))</f>
        <v>23</v>
      </c>
      <c r="AR634" s="62" t="n">
        <f aca="false">IF(CA634=1,0,ROUNDUP(AQ634/BZ634,0))</f>
        <v>3</v>
      </c>
      <c r="AS634" s="64" t="n">
        <f aca="false">IF(CR634&gt;0,CR634*MAX(1,AQ634/X634),IF(CA634=1,IF(AQ634&lt;=0,0,CE634*MAX(1,IF(H634&gt;0,AQ634/H634,1))),IF(R634&gt;0,AR634/R634,0))/MAX(0.1,N(Parameter!$M$21)))</f>
        <v>0.0214285714285714</v>
      </c>
      <c r="AT634" s="62" t="n">
        <f aca="false">AS634*CC634</f>
        <v>3.32142857142857</v>
      </c>
      <c r="AU634" s="63" t="n">
        <f aca="false">IF(LEFT(Cockpit!$I$5,1)="A",H634,IF(CI634=1,(CL634+CJ634)/2,IF(LEFT(Cockpit!$I$5,1)="B",(CL634+AW634)/2,MAX((CL634+AW634)/2,H634))))</f>
        <v>23</v>
      </c>
      <c r="AV634" s="62" t="n">
        <f aca="false">AU634*G634</f>
        <v>15.18</v>
      </c>
      <c r="AW634" s="62" t="n">
        <f aca="false">ROUNDUP(CL634+MAX(CM634,2*(J634/IF(CH634&gt;0,CH634,MAX(0.1,N(Cockpit!$I$6)))-CL634)),0)</f>
        <v>1</v>
      </c>
      <c r="AX634" s="63" t="n">
        <f aca="false">IF(AT634&gt;0,J634/AT634,-1)</f>
        <v>0.301075268817204</v>
      </c>
      <c r="AY634" s="63" t="n">
        <f aca="false">IF(AND(OR(CG634="L1",CG634="L23",CG634="LIFT"),AT634&gt;0),SUMIFS($AT$7:$AT$1843,$CG$7:$CG$1843,CG634,$AX$7:$AX$1843,"&gt;"&amp;AX634)+SUMIFS($AT$7:$AT$1843,$CG$7:$CG$1843,CG634,$AX$7:$AX$1843,AX634,$BX$7:$BX$1843,"&lt;="&amp;BX634),"")</f>
        <v>14093.831043956</v>
      </c>
      <c r="AZ634" s="70" t="n">
        <f aca="false">IF(AY634="",0,MAX(0,MIN(1,(IF(CG634="L1",Parameter!$H$5,IF(CG634="L23",Parameter!$H$6+Parameter!$H$7,Parameter!$H$5+Parameter!$H$6+Parameter!$H$7))-(AY634-AT634))/AT634)))</f>
        <v>1</v>
      </c>
      <c r="BA634" s="62" t="n">
        <f aca="false">IF(LEFT(Cockpit!$O$5,1)="A",H634,IF(Parameter!$E$30="MAX-Bestand",IF(CI634=1,CJ634,IF(LEFT(Cockpit!$O$5,1)="B",BG634,MAX(BG634,H634))),ROUNDUP(BE634,0)))</f>
        <v>1</v>
      </c>
      <c r="BB634" s="62" t="n">
        <f aca="false">IF(CA634=1,0,ROUNDUP(BA634/BZ634,0))</f>
        <v>1</v>
      </c>
      <c r="BC634" s="64" t="n">
        <f aca="false">IF(CR634&gt;0,CR634*MAX(1,BA634/X634),IF(CA634=1,IF(BA634&lt;=0,0,CE634*MAX(1,IF(H634&gt;0,BA634/H634,1))),IF(R634&gt;0,BB634/R634,0))/MAX(0.1,N(Parameter!$M$21)))</f>
        <v>0.00714285714285714</v>
      </c>
      <c r="BD634" s="62" t="n">
        <f aca="false">BC634*CC634</f>
        <v>1.10714285714286</v>
      </c>
      <c r="BE634" s="63" t="n">
        <f aca="false">IF(LEFT(Cockpit!$O$5,1)="A",H634,IF(CI634=1,(CL634+CJ634)/2,IF(LEFT(Cockpit!$O$5,1)="B",(CL634+BG634)/2,MAX((CL634+BG634)/2,H634))))</f>
        <v>0.5</v>
      </c>
      <c r="BF634" s="62" t="n">
        <f aca="false">BE634*G634</f>
        <v>0.33</v>
      </c>
      <c r="BG634" s="62" t="n">
        <f aca="false">ROUNDUP(CL634+MAX(CM634,2*(J634/IF(CH634&gt;0,CH634,MAX(0.1,N(Cockpit!$O$6)))-CL634)),0)</f>
        <v>1</v>
      </c>
      <c r="BH634" s="63" t="n">
        <f aca="false">IF(BD634&gt;0,J634/BD634,-1)</f>
        <v>0.903225806451613</v>
      </c>
      <c r="BI634" s="63" t="n">
        <f aca="false">IF(AND(OR(CG634="L1",CG634="L23",CG634="LIFT"),BD634&gt;0),SUMIFS($BD$7:$BD$1843,$CG$7:$CG$1843,CG634,$BH$7:$BH$1843,"&gt;"&amp;BH634)+SUMIFS($BD$7:$BD$1843,$CG$7:$CG$1843,CG634,$BH$7:$BH$1843,BH634,$BX$7:$BX$1843,"&lt;="&amp;BX634),"")</f>
        <v>8244.50778388278</v>
      </c>
      <c r="BJ634" s="70" t="n">
        <f aca="false">IF(BI634="",0,MAX(0,MIN(1,(IF(CG634="L1",Parameter!$H$5,IF(CG634="L23",Parameter!$H$6+Parameter!$H$7,Parameter!$H$5+Parameter!$H$6+Parameter!$H$7))-(BI634-BD634))/BD634)))</f>
        <v>1</v>
      </c>
      <c r="BK634" s="60" t="str">
        <f aca="false">IF(AJ634&lt;=0,"",IF(CG634="Aussen","Aussenlager",IF(CG634="-","Nicht im Lift",IF(AP634&gt;=1,"Lift",IF(AP634&lt;=0,"Aussenlager","teilweise")))))</f>
        <v>Lift</v>
      </c>
      <c r="BL634" s="60" t="str">
        <f aca="false">IF(AT634&lt;=0,"",IF(CG634="Aussen","Aussenlager",IF(CG634="-","Nicht im Lift",IF(AZ634&gt;=1,"Lift",IF(AZ634&lt;=0,"Aussenlager","teilweise")))))</f>
        <v>Lift</v>
      </c>
      <c r="BM634" s="60" t="str">
        <f aca="false">IF(BD634&lt;=0,"",IF(CG634="Aussen","Aussenlager",IF(CG634="-","Nicht im Lift",IF(BJ634&gt;=1,"Lift",IF(BJ634&lt;=0,"Aussenlager","teilweise")))))</f>
        <v>Lift</v>
      </c>
      <c r="BN634" s="60" t="str">
        <f aca="false">IF(A634="","",IF(BW634=1,"Neu; ","")&amp;IF(AND(BW634=0,BR634&lt;0),"negativer Bestand (Export "&amp;BR634&amp;"); ","")&amp;IF(J634&lt;=0,"Kein Verbrauch; ","")&amp;IF(CR634&gt;0,"Lift "&amp;W634&amp;" lt. Liftbericht (Fach "&amp;X634&amp;" Stk); ",IF(CB634=1,"Gebinde geschätzt ("&amp;T634&amp;"); ",IF(CA634=1,"Lose – Tablare geschätzt; ","")))&amp;IF(H634&gt;AW634,"Überbestand "&amp;ROUND(H634-AW634,0)&amp;" Stk / CHF "&amp;ROUND((H634-AW634)*G634,0)&amp;"; ","")&amp;IF(AND(CI634=1,CJ634&lt;CK634),"MAX &lt; MB+LG; ","")&amp;IF(AND(CQ634&gt;0,CP634*10&gt;CQ634),"zu hoch für Tablar; ","")&amp;IF(AND(BW634=0,OR(CI634=1,AB634&lt;&gt;"",U634&lt;&gt;"",V634&lt;&gt;"",AC634&lt;&gt;"")),"manuell übersteuert; ","")&amp;IF(AND(CA634=0,R634=0),"Gebinde unbekannt / Stellmass fehlt; ","")&amp;IF(AND(CA634=0,N(V634)&lt;=0,N(Q634)&lt;=0),"Menge pro Gebinde fehlt (Ist = 1 Gebinde); ","")&amp;BV634)</f>
        <v>Überbestand 22 Stk / CHF 15; </v>
      </c>
      <c r="BO634" s="60"/>
      <c r="BP634" s="60"/>
      <c r="BQ634" s="67"/>
      <c r="BR634" s="62" t="n">
        <v>17</v>
      </c>
      <c r="BS634" s="62" t="n">
        <v>6</v>
      </c>
      <c r="BT634" s="61" t="n">
        <v>1.38</v>
      </c>
      <c r="BU634" s="62" t="n">
        <v>1</v>
      </c>
      <c r="BV634" s="60"/>
      <c r="BW634" s="65" t="n">
        <v>0</v>
      </c>
      <c r="BX634" s="65" t="n">
        <v>634</v>
      </c>
      <c r="BY634" s="60" t="str">
        <f aca="false">IF(U634&lt;&gt;"",UPPER(TRIM(U634)),IF(CB634=1,UPPER(VLOOKUP(T634,Parameter!$I$27:$K$29,2,0)),IF(P634="","LOSE",P634)))</f>
        <v>S22</v>
      </c>
      <c r="BZ634" s="62" t="n">
        <f aca="false">IF(BY634="LOSE",1,IF(N(V634)&gt;0,V634,IF(CB634=1,MAX(1,N(VLOOKUP(T634,Parameter!$I$27:$K$29,3,0)),H634,N(N634)),IF(N(Q634)&gt;0,Q634,MAX(1,H634)))))</f>
        <v>11</v>
      </c>
      <c r="CA634" s="65" t="n">
        <f aca="false">IF(BY634="LOSE",1,0)</f>
        <v>0</v>
      </c>
      <c r="CB634" s="65" t="n">
        <f aca="false">IF(AND(U634="",OR(P634="",P634="LOSE"),T634&lt;&gt;"",N(S634)&lt;=0,ISNUMBER(MATCH(T634,Parameter!$I$27:$I$29,0))),1,0)</f>
        <v>0</v>
      </c>
      <c r="CC634" s="65" t="n">
        <f aca="false">IF(CR634&gt;0,INDEX(Parameter!$H$5:$H$7,W634)/INDEX(Parameter!$E$5:$E$7,W634),IF(AND(CA634=0,N(IFERROR(VLOOKUP(BY634,'Gebinde-Kategorie'!$A$5:$N$45,14,0),0))&gt;0),VLOOKUP(BY634,'Gebinde-Kategorie'!$A$5:$N$45,14,0)*10+Parameter!$M$23,Parameter!$M$24))</f>
        <v>155</v>
      </c>
      <c r="CD634" s="60" t="str">
        <f aca="false">IF(AND(Parameter!$B$19="Ja",E634&lt;&gt;"",ISNUMBER(MATCH(E634,Parameter!$I$35:$I$52,0))),VLOOKUP(E634,Parameter!$I$35:$J$52,2,0),IFERROR(VLOOKUP(D634,Parameter!$A$35:$C$64,2,0),"Nein"))</f>
        <v>2+3</v>
      </c>
      <c r="CE634" s="64" t="n">
        <f aca="false">IF(CA634=0,0,IF(N(S634)&gt;0,S634,IFERROR(VLOOKUP(D634,Parameter!$A$35:$C$64,3,0)+0,0)))</f>
        <v>0</v>
      </c>
      <c r="CF634" s="60" t="n">
        <f aca="false">IF(AB634&lt;&gt;"",AB634,AA634)</f>
        <v>3</v>
      </c>
      <c r="CG634" s="60" t="str">
        <f aca="false">IF(OR(CF634=1,CF634=2,CF634=3),IF(Parameter!$E$27="Ja","LIFT",IF(CF634=1,"L1","L23")),IF(CF634="Aussen","Aussen","-"))</f>
        <v>LIFT</v>
      </c>
      <c r="CH634" s="71" t="n">
        <f aca="false">IF(N(AC634)&gt;0,AC634,0)</f>
        <v>0</v>
      </c>
      <c r="CI634" s="65" t="n">
        <f aca="false">IF(ISNUMBER(AF634),1,0)</f>
        <v>0</v>
      </c>
      <c r="CJ634" s="62" t="n">
        <f aca="false">N(AF634)</f>
        <v>0</v>
      </c>
      <c r="CK634" s="62" t="n">
        <f aca="false">N(M634)+N(N634)</f>
        <v>1</v>
      </c>
      <c r="CL634" s="62" t="n">
        <f aca="false">N(M634)</f>
        <v>0</v>
      </c>
      <c r="CM634" s="62" t="n">
        <f aca="false">N(N634)</f>
        <v>1</v>
      </c>
      <c r="CN634" s="62" t="n">
        <f aca="false">ROUNDUP(H634/BZ634,0)</f>
        <v>3</v>
      </c>
      <c r="CO634" s="62" t="n">
        <f aca="false">ROUNDUP(CJ634/BZ634,0)</f>
        <v>0</v>
      </c>
      <c r="CP634" s="65" t="n">
        <f aca="false">IF(CA634=1,0,IFERROR(VLOOKUP(BY634,'Gebinde-Kategorie'!$A$5:$N$45,5,0)+0,0))</f>
        <v>8</v>
      </c>
      <c r="CQ634" s="65" t="n">
        <f aca="false">IFERROR(IF(OR(CF634=1,CF634=2,CF634=3),N(INDEX(Parameter!$I$5:$I$7,CF634)),0),0)</f>
        <v>0</v>
      </c>
      <c r="CR634" s="64" t="n">
        <f aca="false">IF(AND(Parameter!$B$21="Ja",ISNUMBER(W634),N(X634)&gt;0),IFERROR(N(INDEX(Parameter!$L$5:$L$7,W634))*INDEX(Parameter!$E$5:$E$7,W634)*X634/SUMIFS($X$7:$X$1843,$W$7:$W$1843,W634),0),0)</f>
        <v>0</v>
      </c>
      <c r="CS634" s="62" t="n">
        <f aca="false">IF(AND(OR(CG634="L1",CG634="L23",CG634="LIFT"),H634&gt;0),CC634*IF(CR634&gt;0,CR634*MAX(1,H634/X634),IF(CA634=1,CE634,IF(R634&gt;0,CN634/R634,0))/MAX(0.1,N(Parameter!$M$21))),"")</f>
        <v>3.32142857142857</v>
      </c>
      <c r="CT634" s="64" t="n">
        <f aca="false">IF(CS634="","",J634/H634)</f>
        <v>0.0434782608695652</v>
      </c>
      <c r="CU634" s="62" t="n">
        <f aca="false">IF(CS634="","",H634*G634)</f>
        <v>15.18</v>
      </c>
      <c r="CV634" s="63" t="n">
        <f aca="false">IF(CS634="","",(CL634+ROUNDUP(CL634+MAX(CM634,2*(J634/MAX(0.1,N(Einkauf!$C$6))-CL634)),0))/2)</f>
        <v>0.5</v>
      </c>
      <c r="CW634" s="62" t="n">
        <f aca="false">IF(CS634="","",MAX(0,H634-CV634)*G634)</f>
        <v>14.85</v>
      </c>
      <c r="CX634" s="62" t="n">
        <f aca="false">IF(CS634="","",CS634*MAX(0,1-CV634/H634))</f>
        <v>3.24922360248447</v>
      </c>
      <c r="CY634" s="64" t="n">
        <f aca="false">IF(CS634="","",PERCENTRANK($CS$7:$CS$1843,CS634)+PERCENTRANK($CU$7:$CU$1843,CU634)+1-PERCENTRANK($CT$7:$CT$1843,CT634))</f>
        <v>1.0026</v>
      </c>
      <c r="CZ634" s="72" t="n">
        <f aca="false">IF(CS634="","",CHOOSE(MATCH(Einkauf!$C$5,Parameter!$G$23:$G$27,0),CY634,CS634,CU634,-CT634,CW634)+ROW()/1000000000)</f>
        <v>1.002600634</v>
      </c>
    </row>
    <row r="635" customFormat="false" ht="15" hidden="false" customHeight="false" outlineLevel="0" collapsed="false">
      <c r="A635" s="60" t="s">
        <v>1338</v>
      </c>
      <c r="B635" s="60" t="s">
        <v>1304</v>
      </c>
      <c r="C635" s="60" t="s">
        <v>206</v>
      </c>
      <c r="D635" s="60" t="s">
        <v>226</v>
      </c>
      <c r="E635" s="60" t="s">
        <v>227</v>
      </c>
      <c r="F635" s="60" t="s">
        <v>260</v>
      </c>
      <c r="G635" s="61" t="n">
        <v>0.05</v>
      </c>
      <c r="H635" s="62" t="n">
        <f aca="false">MAX(0,IF(AND(Parameter!$B$21="Ja",ISNUMBER(Y635)),Y635,IF(Parameter!$B$20="Jahresanfang 2025 + Export",BS635+BR635,BR635)))</f>
        <v>29</v>
      </c>
      <c r="I635" s="62" t="n">
        <f aca="false">H635*G635</f>
        <v>1.45</v>
      </c>
      <c r="J635" s="62" t="n">
        <f aca="false">BU635*Parameter!$B$18</f>
        <v>0</v>
      </c>
      <c r="K635" s="63" t="n">
        <v>30.5</v>
      </c>
      <c r="L635" s="64" t="n">
        <v>0</v>
      </c>
      <c r="M635" s="62" t="n">
        <v>1</v>
      </c>
      <c r="N635" s="62" t="n">
        <v>50</v>
      </c>
      <c r="O635" s="65" t="n">
        <v>14</v>
      </c>
      <c r="P635" s="60" t="s">
        <v>443</v>
      </c>
      <c r="Q635" s="62" t="n">
        <v>38</v>
      </c>
      <c r="R635" s="65" t="n">
        <f aca="false">IF(CA635=1,0,IFERROR(VLOOKUP(BY635,'Gebinde-Kategorie'!$A$5:$N$45,13,0)+0,0))</f>
        <v>280</v>
      </c>
      <c r="S635" s="66"/>
      <c r="T635" s="67"/>
      <c r="U635" s="67"/>
      <c r="V635" s="67"/>
      <c r="W635" s="60"/>
      <c r="X635" s="62"/>
      <c r="Y635" s="62"/>
      <c r="Z635" s="60" t="n">
        <v>3</v>
      </c>
      <c r="AA635" s="60" t="n">
        <f aca="false">IF(A635="","",IF(AND(Parameter!$B$21="Ja",ISNUMBER(W635)),W635,IF(AND(Parameter!$E$27="Ja",ISNUMBER(Z635),CD635&lt;&gt;"Nein"),Z635,IF(CD635="2+3",IF(ISNUMBER(SEARCH("grosser Artikel",BV635)),2,IFERROR(VLOOKUP(BY635,Parameter!$F$35:$G$64,2,0),2)),IF(OR(CD635="Nein",CD635=""),"-",CD635)))))</f>
        <v>3</v>
      </c>
      <c r="AB635" s="67"/>
      <c r="AC635" s="68"/>
      <c r="AD635" s="62" t="n">
        <f aca="false">AW635</f>
        <v>51</v>
      </c>
      <c r="AE635" s="62" t="n">
        <f aca="false">MAX(AW635,H635)</f>
        <v>51</v>
      </c>
      <c r="AF635" s="69"/>
      <c r="AG635" s="62" t="n">
        <f aca="false">IF(LEFT(Cockpit!$C$5,1)="A",H635,IF(Parameter!$E$30="MAX-Bestand",IF(CI635=1,CJ635,IF(LEFT(Cockpit!$C$5,1)="B",AM635,MAX(AM635,H635))),ROUNDUP(AK635,0)))</f>
        <v>29</v>
      </c>
      <c r="AH635" s="62" t="n">
        <f aca="false">IF(CA635=1,0,ROUNDUP(AG635/BZ635,0))</f>
        <v>1</v>
      </c>
      <c r="AI635" s="64" t="n">
        <f aca="false">IF(CR635&gt;0,CR635*MAX(1,AG635/X635),IF(CA635=1,IF(AG635&lt;=0,0,CE635*MAX(1,IF(H635&gt;0,AG635/H635,1))),IF(R635&gt;0,AH635/R635,0))/MAX(0.1,N(Parameter!$M$21)))</f>
        <v>0.00357142857142857</v>
      </c>
      <c r="AJ635" s="62" t="n">
        <f aca="false">AI635*CC635</f>
        <v>0.553571428571429</v>
      </c>
      <c r="AK635" s="63" t="n">
        <f aca="false">IF(LEFT(Cockpit!$C$5,1)="A",H635,IF(CI635=1,(CL635+CJ635)/2,IF(LEFT(Cockpit!$C$5,1)="B",(CL635+AM635)/2,MAX((CL635+AM635)/2,H635))))</f>
        <v>29</v>
      </c>
      <c r="AL635" s="62" t="n">
        <f aca="false">AK635*G635</f>
        <v>1.45</v>
      </c>
      <c r="AM635" s="62" t="n">
        <f aca="false">ROUNDUP(CL635+MAX(CM635,2*(J635/IF(CH635&gt;0,CH635,MAX(0.1,N(Cockpit!$C$6)))-CL635)),0)</f>
        <v>51</v>
      </c>
      <c r="AN635" s="63" t="n">
        <f aca="false">IF(AJ635&gt;0,J635/AJ635,-1)</f>
        <v>0</v>
      </c>
      <c r="AO635" s="63" t="n">
        <f aca="false">IF(AND(OR(CG635="L1",CG635="L23",CG635="LIFT"),AJ635&gt;0),SUMIFS($AJ$7:$AJ$1843,$CG$7:$CG$1843,CG635,$AN$7:$AN$1843,"&gt;"&amp;AN635)+SUMIFS($AJ$7:$AJ$1843,$CG$7:$CG$1843,CG635,$AN$7:$AN$1843,AN635,$BX$7:$BX$1843,"&lt;="&amp;BX635),"")</f>
        <v>28575.3238860951</v>
      </c>
      <c r="AP635" s="70" t="n">
        <f aca="false">IF(AO635="",0,MAX(0,MIN(1,(IF(CG635="L1",Parameter!$H$5,IF(CG635="L23",Parameter!$H$6+Parameter!$H$7,Parameter!$H$5+Parameter!$H$6+Parameter!$H$7))-(AO635-AJ635))/AJ635)))</f>
        <v>1</v>
      </c>
      <c r="AQ635" s="62" t="n">
        <f aca="false">IF(LEFT(Cockpit!$I$5,1)="A",H635,IF(Parameter!$E$30="MAX-Bestand",IF(CI635=1,CJ635,IF(LEFT(Cockpit!$I$5,1)="B",AW635,MAX(AW635,H635))),ROUNDUP(AU635,0)))</f>
        <v>29</v>
      </c>
      <c r="AR635" s="62" t="n">
        <f aca="false">IF(CA635=1,0,ROUNDUP(AQ635/BZ635,0))</f>
        <v>1</v>
      </c>
      <c r="AS635" s="64" t="n">
        <f aca="false">IF(CR635&gt;0,CR635*MAX(1,AQ635/X635),IF(CA635=1,IF(AQ635&lt;=0,0,CE635*MAX(1,IF(H635&gt;0,AQ635/H635,1))),IF(R635&gt;0,AR635/R635,0))/MAX(0.1,N(Parameter!$M$21)))</f>
        <v>0.00357142857142857</v>
      </c>
      <c r="AT635" s="62" t="n">
        <f aca="false">AS635*CC635</f>
        <v>0.553571428571429</v>
      </c>
      <c r="AU635" s="63" t="n">
        <f aca="false">IF(LEFT(Cockpit!$I$5,1)="A",H635,IF(CI635=1,(CL635+CJ635)/2,IF(LEFT(Cockpit!$I$5,1)="B",(CL635+AW635)/2,MAX((CL635+AW635)/2,H635))))</f>
        <v>29</v>
      </c>
      <c r="AV635" s="62" t="n">
        <f aca="false">AU635*G635</f>
        <v>1.45</v>
      </c>
      <c r="AW635" s="62" t="n">
        <f aca="false">ROUNDUP(CL635+MAX(CM635,2*(J635/IF(CH635&gt;0,CH635,MAX(0.1,N(Cockpit!$I$6)))-CL635)),0)</f>
        <v>51</v>
      </c>
      <c r="AX635" s="63" t="n">
        <f aca="false">IF(AT635&gt;0,J635/AT635,-1)</f>
        <v>0</v>
      </c>
      <c r="AY635" s="63" t="n">
        <f aca="false">IF(AND(OR(CG635="L1",CG635="L23",CG635="LIFT"),AT635&gt;0),SUMIFS($AT$7:$AT$1843,$CG$7:$CG$1843,CG635,$AX$7:$AX$1843,"&gt;"&amp;AX635)+SUMIFS($AT$7:$AT$1843,$CG$7:$CG$1843,CG635,$AX$7:$AX$1843,AX635,$BX$7:$BX$1843,"&lt;="&amp;BX635),"")</f>
        <v>33928.4725274725</v>
      </c>
      <c r="AZ635" s="70" t="n">
        <f aca="false">IF(AY635="",0,MAX(0,MIN(1,(IF(CG635="L1",Parameter!$H$5,IF(CG635="L23",Parameter!$H$6+Parameter!$H$7,Parameter!$H$5+Parameter!$H$6+Parameter!$H$7))-(AY635-AT635))/AT635)))</f>
        <v>1</v>
      </c>
      <c r="BA635" s="62" t="n">
        <f aca="false">IF(LEFT(Cockpit!$O$5,1)="A",H635,IF(Parameter!$E$30="MAX-Bestand",IF(CI635=1,CJ635,IF(LEFT(Cockpit!$O$5,1)="B",BG635,MAX(BG635,H635))),ROUNDUP(BE635,0)))</f>
        <v>26</v>
      </c>
      <c r="BB635" s="62" t="n">
        <f aca="false">IF(CA635=1,0,ROUNDUP(BA635/BZ635,0))</f>
        <v>1</v>
      </c>
      <c r="BC635" s="64" t="n">
        <f aca="false">IF(CR635&gt;0,CR635*MAX(1,BA635/X635),IF(CA635=1,IF(BA635&lt;=0,0,CE635*MAX(1,IF(H635&gt;0,BA635/H635,1))),IF(R635&gt;0,BB635/R635,0))/MAX(0.1,N(Parameter!$M$21)))</f>
        <v>0.00357142857142857</v>
      </c>
      <c r="BD635" s="62" t="n">
        <f aca="false">BC635*CC635</f>
        <v>0.553571428571429</v>
      </c>
      <c r="BE635" s="63" t="n">
        <f aca="false">IF(LEFT(Cockpit!$O$5,1)="A",H635,IF(CI635=1,(CL635+CJ635)/2,IF(LEFT(Cockpit!$O$5,1)="B",(CL635+BG635)/2,MAX((CL635+BG635)/2,H635))))</f>
        <v>26</v>
      </c>
      <c r="BF635" s="62" t="n">
        <f aca="false">BE635*G635</f>
        <v>1.3</v>
      </c>
      <c r="BG635" s="62" t="n">
        <f aca="false">ROUNDUP(CL635+MAX(CM635,2*(J635/IF(CH635&gt;0,CH635,MAX(0.1,N(Cockpit!$O$6)))-CL635)),0)</f>
        <v>51</v>
      </c>
      <c r="BH635" s="63" t="n">
        <f aca="false">IF(BD635&gt;0,J635/BD635,-1)</f>
        <v>0</v>
      </c>
      <c r="BI635" s="63" t="n">
        <f aca="false">IF(AND(OR(CG635="L1",CG635="L23",CG635="LIFT"),BD635&gt;0),SUMIFS($BD$7:$BD$1843,$CG$7:$CG$1843,CG635,$BH$7:$BH$1843,"&gt;"&amp;BH635)+SUMIFS($BD$7:$BD$1843,$CG$7:$CG$1843,CG635,$BH$7:$BH$1843,BH635,$BX$7:$BX$1843,"&lt;="&amp;BX635),"")</f>
        <v>27994.8158176569</v>
      </c>
      <c r="BJ635" s="70" t="n">
        <f aca="false">IF(BI635="",0,MAX(0,MIN(1,(IF(CG635="L1",Parameter!$H$5,IF(CG635="L23",Parameter!$H$6+Parameter!$H$7,Parameter!$H$5+Parameter!$H$6+Parameter!$H$7))-(BI635-BD635))/BD635)))</f>
        <v>1</v>
      </c>
      <c r="BK635" s="60" t="str">
        <f aca="false">IF(AJ635&lt;=0,"",IF(CG635="Aussen","Aussenlager",IF(CG635="-","Nicht im Lift",IF(AP635&gt;=1,"Lift",IF(AP635&lt;=0,"Aussenlager","teilweise")))))</f>
        <v>Lift</v>
      </c>
      <c r="BL635" s="60" t="str">
        <f aca="false">IF(AT635&lt;=0,"",IF(CG635="Aussen","Aussenlager",IF(CG635="-","Nicht im Lift",IF(AZ635&gt;=1,"Lift",IF(AZ635&lt;=0,"Aussenlager","teilweise")))))</f>
        <v>Lift</v>
      </c>
      <c r="BM635" s="60" t="str">
        <f aca="false">IF(BD635&lt;=0,"",IF(CG635="Aussen","Aussenlager",IF(CG635="-","Nicht im Lift",IF(BJ635&gt;=1,"Lift",IF(BJ635&lt;=0,"Aussenlager","teilweise")))))</f>
        <v>Lift</v>
      </c>
      <c r="BN635" s="60" t="str">
        <f aca="false">IF(A635="","",IF(BW635=1,"Neu; ","")&amp;IF(AND(BW635=0,BR635&lt;0),"negativer Bestand (Export "&amp;BR635&amp;"); ","")&amp;IF(J635&lt;=0,"Kein Verbrauch; ","")&amp;IF(CR635&gt;0,"Lift "&amp;W635&amp;" lt. Liftbericht (Fach "&amp;X635&amp;" Stk); ",IF(CB635=1,"Gebinde geschätzt ("&amp;T635&amp;"); ",IF(CA635=1,"Lose – Tablare geschätzt; ","")))&amp;IF(H635&gt;AW635,"Überbestand "&amp;ROUND(H635-AW635,0)&amp;" Stk / CHF "&amp;ROUND((H635-AW635)*G635,0)&amp;"; ","")&amp;IF(AND(CI635=1,CJ635&lt;CK635),"MAX &lt; MB+LG; ","")&amp;IF(AND(CQ635&gt;0,CP635*10&gt;CQ635),"zu hoch für Tablar; ","")&amp;IF(AND(BW635=0,OR(CI635=1,AB635&lt;&gt;"",U635&lt;&gt;"",V635&lt;&gt;"",AC635&lt;&gt;"")),"manuell übersteuert; ","")&amp;IF(AND(CA635=0,R635=0),"Gebinde unbekannt / Stellmass fehlt; ","")&amp;IF(AND(CA635=0,N(V635)&lt;=0,N(Q635)&lt;=0),"Menge pro Gebinde fehlt (Ist = 1 Gebinde); ","")&amp;BV635)</f>
        <v>Kein Verbrauch; </v>
      </c>
      <c r="BO635" s="60"/>
      <c r="BP635" s="60"/>
      <c r="BQ635" s="67"/>
      <c r="BR635" s="62" t="n">
        <v>24</v>
      </c>
      <c r="BS635" s="62" t="n">
        <v>5</v>
      </c>
      <c r="BT635" s="61" t="n">
        <v>1.2</v>
      </c>
      <c r="BU635" s="62" t="n">
        <v>0</v>
      </c>
      <c r="BV635" s="60"/>
      <c r="BW635" s="65" t="n">
        <v>0</v>
      </c>
      <c r="BX635" s="65" t="n">
        <v>635</v>
      </c>
      <c r="BY635" s="60" t="str">
        <f aca="false">IF(U635&lt;&gt;"",UPPER(TRIM(U635)),IF(CB635=1,UPPER(VLOOKUP(T635,Parameter!$I$27:$K$29,2,0)),IF(P635="","LOSE",P635)))</f>
        <v>S21</v>
      </c>
      <c r="BZ635" s="62" t="n">
        <f aca="false">IF(BY635="LOSE",1,IF(N(V635)&gt;0,V635,IF(CB635=1,MAX(1,N(VLOOKUP(T635,Parameter!$I$27:$K$29,3,0)),H635,N(N635)),IF(N(Q635)&gt;0,Q635,MAX(1,H635)))))</f>
        <v>38</v>
      </c>
      <c r="CA635" s="65" t="n">
        <f aca="false">IF(BY635="LOSE",1,0)</f>
        <v>0</v>
      </c>
      <c r="CB635" s="65" t="n">
        <f aca="false">IF(AND(U635="",OR(P635="",P635="LOSE"),T635&lt;&gt;"",N(S635)&lt;=0,ISNUMBER(MATCH(T635,Parameter!$I$27:$I$29,0))),1,0)</f>
        <v>0</v>
      </c>
      <c r="CC635" s="65" t="n">
        <f aca="false">IF(CR635&gt;0,INDEX(Parameter!$H$5:$H$7,W635)/INDEX(Parameter!$E$5:$E$7,W635),IF(AND(CA635=0,N(IFERROR(VLOOKUP(BY635,'Gebinde-Kategorie'!$A$5:$N$45,14,0),0))&gt;0),VLOOKUP(BY635,'Gebinde-Kategorie'!$A$5:$N$45,14,0)*10+Parameter!$M$23,Parameter!$M$24))</f>
        <v>155</v>
      </c>
      <c r="CD635" s="60" t="str">
        <f aca="false">IF(AND(Parameter!$B$19="Ja",E635&lt;&gt;"",ISNUMBER(MATCH(E635,Parameter!$I$35:$I$52,0))),VLOOKUP(E635,Parameter!$I$35:$J$52,2,0),IFERROR(VLOOKUP(D635,Parameter!$A$35:$C$64,2,0),"Nein"))</f>
        <v>2+3</v>
      </c>
      <c r="CE635" s="64" t="n">
        <f aca="false">IF(CA635=0,0,IF(N(S635)&gt;0,S635,IFERROR(VLOOKUP(D635,Parameter!$A$35:$C$64,3,0)+0,0)))</f>
        <v>0</v>
      </c>
      <c r="CF635" s="60" t="n">
        <f aca="false">IF(AB635&lt;&gt;"",AB635,AA635)</f>
        <v>3</v>
      </c>
      <c r="CG635" s="60" t="str">
        <f aca="false">IF(OR(CF635=1,CF635=2,CF635=3),IF(Parameter!$E$27="Ja","LIFT",IF(CF635=1,"L1","L23")),IF(CF635="Aussen","Aussen","-"))</f>
        <v>LIFT</v>
      </c>
      <c r="CH635" s="71" t="n">
        <f aca="false">IF(N(AC635)&gt;0,AC635,0)</f>
        <v>0</v>
      </c>
      <c r="CI635" s="65" t="n">
        <f aca="false">IF(ISNUMBER(AF635),1,0)</f>
        <v>0</v>
      </c>
      <c r="CJ635" s="62" t="n">
        <f aca="false">N(AF635)</f>
        <v>0</v>
      </c>
      <c r="CK635" s="62" t="n">
        <f aca="false">N(M635)+N(N635)</f>
        <v>51</v>
      </c>
      <c r="CL635" s="62" t="n">
        <f aca="false">N(M635)</f>
        <v>1</v>
      </c>
      <c r="CM635" s="62" t="n">
        <f aca="false">N(N635)</f>
        <v>50</v>
      </c>
      <c r="CN635" s="62" t="n">
        <f aca="false">ROUNDUP(H635/BZ635,0)</f>
        <v>1</v>
      </c>
      <c r="CO635" s="62" t="n">
        <f aca="false">ROUNDUP(CJ635/BZ635,0)</f>
        <v>0</v>
      </c>
      <c r="CP635" s="65" t="n">
        <f aca="false">IF(CA635=1,0,IFERROR(VLOOKUP(BY635,'Gebinde-Kategorie'!$A$5:$N$45,5,0)+0,0))</f>
        <v>8</v>
      </c>
      <c r="CQ635" s="65" t="n">
        <f aca="false">IFERROR(IF(OR(CF635=1,CF635=2,CF635=3),N(INDEX(Parameter!$I$5:$I$7,CF635)),0),0)</f>
        <v>0</v>
      </c>
      <c r="CR635" s="64" t="n">
        <f aca="false">IF(AND(Parameter!$B$21="Ja",ISNUMBER(W635),N(X635)&gt;0),IFERROR(N(INDEX(Parameter!$L$5:$L$7,W635))*INDEX(Parameter!$E$5:$E$7,W635)*X635/SUMIFS($X$7:$X$1843,$W$7:$W$1843,W635),0),0)</f>
        <v>0</v>
      </c>
      <c r="CS635" s="62" t="n">
        <f aca="false">IF(AND(OR(CG635="L1",CG635="L23",CG635="LIFT"),H635&gt;0),CC635*IF(CR635&gt;0,CR635*MAX(1,H635/X635),IF(CA635=1,CE635,IF(R635&gt;0,CN635/R635,0))/MAX(0.1,N(Parameter!$M$21))),"")</f>
        <v>0.553571428571429</v>
      </c>
      <c r="CT635" s="64" t="n">
        <f aca="false">IF(CS635="","",J635/H635)</f>
        <v>0</v>
      </c>
      <c r="CU635" s="62" t="n">
        <f aca="false">IF(CS635="","",H635*G635)</f>
        <v>1.45</v>
      </c>
      <c r="CV635" s="63" t="n">
        <f aca="false">IF(CS635="","",(CL635+ROUNDUP(CL635+MAX(CM635,2*(J635/MAX(0.1,N(Einkauf!$C$6))-CL635)),0))/2)</f>
        <v>26</v>
      </c>
      <c r="CW635" s="62" t="n">
        <f aca="false">IF(CS635="","",MAX(0,H635-CV635)*G635)</f>
        <v>0.15</v>
      </c>
      <c r="CX635" s="62" t="n">
        <f aca="false">IF(CS635="","",CS635*MAX(0,1-CV635/H635))</f>
        <v>0.0572660098522167</v>
      </c>
      <c r="CY635" s="64" t="n">
        <f aca="false">IF(CS635="","",PERCENTRANK($CS$7:$CS$1843,CS635)+PERCENTRANK($CU$7:$CU$1843,CU635)+1-PERCENTRANK($CT$7:$CT$1843,CT635))</f>
        <v>1.0109</v>
      </c>
      <c r="CZ635" s="72" t="n">
        <f aca="false">IF(CS635="","",CHOOSE(MATCH(Einkauf!$C$5,Parameter!$G$23:$G$27,0),CY635,CS635,CU635,-CT635,CW635)+ROW()/1000000000)</f>
        <v>1.010900635</v>
      </c>
    </row>
    <row r="636" customFormat="false" ht="15" hidden="false" customHeight="false" outlineLevel="0" collapsed="false">
      <c r="A636" s="60" t="s">
        <v>1339</v>
      </c>
      <c r="B636" s="60" t="s">
        <v>447</v>
      </c>
      <c r="C636" s="60" t="s">
        <v>206</v>
      </c>
      <c r="D636" s="60" t="s">
        <v>226</v>
      </c>
      <c r="E636" s="60" t="s">
        <v>227</v>
      </c>
      <c r="F636" s="60" t="s">
        <v>260</v>
      </c>
      <c r="G636" s="61" t="n">
        <v>0.12</v>
      </c>
      <c r="H636" s="62" t="n">
        <f aca="false">MAX(0,IF(AND(Parameter!$B$21="Ja",ISNUMBER(Y636)),Y636,IF(Parameter!$B$20="Jahresanfang 2025 + Export",BS636+BR636,BR636)))</f>
        <v>739</v>
      </c>
      <c r="I636" s="62" t="n">
        <f aca="false">H636*G636</f>
        <v>88.68</v>
      </c>
      <c r="J636" s="62" t="n">
        <f aca="false">BU636*Parameter!$B$18</f>
        <v>1971</v>
      </c>
      <c r="K636" s="63" t="n">
        <v>593.5</v>
      </c>
      <c r="L636" s="64" t="n">
        <v>3.32097725358046</v>
      </c>
      <c r="M636" s="62" t="n">
        <v>114</v>
      </c>
      <c r="N636" s="62" t="n">
        <v>500</v>
      </c>
      <c r="O636" s="65" t="n">
        <v>21</v>
      </c>
      <c r="P636" s="60" t="s">
        <v>275</v>
      </c>
      <c r="Q636" s="62" t="n">
        <v>976</v>
      </c>
      <c r="R636" s="65" t="n">
        <f aca="false">IF(CA636=1,0,IFERROR(VLOOKUP(BY636,'Gebinde-Kategorie'!$A$5:$N$45,13,0)+0,0))</f>
        <v>26</v>
      </c>
      <c r="S636" s="66"/>
      <c r="T636" s="67"/>
      <c r="U636" s="67"/>
      <c r="V636" s="67"/>
      <c r="W636" s="60"/>
      <c r="X636" s="62"/>
      <c r="Y636" s="62"/>
      <c r="Z636" s="60" t="n">
        <v>3</v>
      </c>
      <c r="AA636" s="60" t="n">
        <f aca="false">IF(A636="","",IF(AND(Parameter!$B$21="Ja",ISNUMBER(W636)),W636,IF(AND(Parameter!$E$27="Ja",ISNUMBER(Z636),CD636&lt;&gt;"Nein"),Z636,IF(CD636="2+3",IF(ISNUMBER(SEARCH("grosser Artikel",BV636)),2,IFERROR(VLOOKUP(BY636,Parameter!$F$35:$G$64,2,0),2)),IF(OR(CD636="Nein",CD636=""),"-",CD636)))))</f>
        <v>3</v>
      </c>
      <c r="AB636" s="67"/>
      <c r="AC636" s="68"/>
      <c r="AD636" s="62" t="n">
        <f aca="false">AW636</f>
        <v>1200</v>
      </c>
      <c r="AE636" s="62" t="n">
        <f aca="false">MAX(AW636,H636)</f>
        <v>1200</v>
      </c>
      <c r="AF636" s="69"/>
      <c r="AG636" s="62" t="n">
        <f aca="false">IF(LEFT(Cockpit!$C$5,1)="A",H636,IF(Parameter!$E$30="MAX-Bestand",IF(CI636=1,CJ636,IF(LEFT(Cockpit!$C$5,1)="B",AM636,MAX(AM636,H636))),ROUNDUP(AK636,0)))</f>
        <v>739</v>
      </c>
      <c r="AH636" s="62" t="n">
        <f aca="false">IF(CA636=1,0,ROUNDUP(AG636/BZ636,0))</f>
        <v>1</v>
      </c>
      <c r="AI636" s="64" t="n">
        <f aca="false">IF(CR636&gt;0,CR636*MAX(1,AG636/X636),IF(CA636=1,IF(AG636&lt;=0,0,CE636*MAX(1,IF(H636&gt;0,AG636/H636,1))),IF(R636&gt;0,AH636/R636,0))/MAX(0.1,N(Parameter!$M$21)))</f>
        <v>0.0384615384615385</v>
      </c>
      <c r="AJ636" s="62" t="n">
        <f aca="false">AI636*CC636</f>
        <v>9.42307692307692</v>
      </c>
      <c r="AK636" s="63" t="n">
        <f aca="false">IF(LEFT(Cockpit!$C$5,1)="A",H636,IF(CI636=1,(CL636+CJ636)/2,IF(LEFT(Cockpit!$C$5,1)="B",(CL636+AM636)/2,MAX((CL636+AM636)/2,H636))))</f>
        <v>739</v>
      </c>
      <c r="AL636" s="62" t="n">
        <f aca="false">AK636*G636</f>
        <v>88.68</v>
      </c>
      <c r="AM636" s="62" t="n">
        <f aca="false">ROUNDUP(CL636+MAX(CM636,2*(J636/IF(CH636&gt;0,CH636,MAX(0.1,N(Cockpit!$C$6)))-CL636)),0)</f>
        <v>1200</v>
      </c>
      <c r="AN636" s="63" t="n">
        <f aca="false">IF(AJ636&gt;0,J636/AJ636,-1)</f>
        <v>209.167346938776</v>
      </c>
      <c r="AO636" s="63" t="n">
        <f aca="false">IF(AND(OR(CG636="L1",CG636="L23",CG636="LIFT"),AJ636&gt;0),SUMIFS($AJ$7:$AJ$1843,$CG$7:$CG$1843,CG636,$AN$7:$AN$1843,"&gt;"&amp;AN636)+SUMIFS($AJ$7:$AJ$1843,$CG$7:$CG$1843,CG636,$AN$7:$AN$1843,AN636,$BX$7:$BX$1843,"&lt;="&amp;BX636),"")</f>
        <v>338.397435897436</v>
      </c>
      <c r="AP636" s="70" t="n">
        <f aca="false">IF(AO636="",0,MAX(0,MIN(1,(IF(CG636="L1",Parameter!$H$5,IF(CG636="L23",Parameter!$H$6+Parameter!$H$7,Parameter!$H$5+Parameter!$H$6+Parameter!$H$7))-(AO636-AJ636))/AJ636)))</f>
        <v>1</v>
      </c>
      <c r="AQ636" s="62" t="n">
        <f aca="false">IF(LEFT(Cockpit!$I$5,1)="A",H636,IF(Parameter!$E$30="MAX-Bestand",IF(CI636=1,CJ636,IF(LEFT(Cockpit!$I$5,1)="B",AW636,MAX(AW636,H636))),ROUNDUP(AU636,0)))</f>
        <v>739</v>
      </c>
      <c r="AR636" s="62" t="n">
        <f aca="false">IF(CA636=1,0,ROUNDUP(AQ636/BZ636,0))</f>
        <v>1</v>
      </c>
      <c r="AS636" s="64" t="n">
        <f aca="false">IF(CR636&gt;0,CR636*MAX(1,AQ636/X636),IF(CA636=1,IF(AQ636&lt;=0,0,CE636*MAX(1,IF(H636&gt;0,AQ636/H636,1))),IF(R636&gt;0,AR636/R636,0))/MAX(0.1,N(Parameter!$M$21)))</f>
        <v>0.0384615384615385</v>
      </c>
      <c r="AT636" s="62" t="n">
        <f aca="false">AS636*CC636</f>
        <v>9.42307692307692</v>
      </c>
      <c r="AU636" s="63" t="n">
        <f aca="false">IF(LEFT(Cockpit!$I$5,1)="A",H636,IF(CI636=1,(CL636+CJ636)/2,IF(LEFT(Cockpit!$I$5,1)="B",(CL636+AW636)/2,MAX((CL636+AW636)/2,H636))))</f>
        <v>739</v>
      </c>
      <c r="AV636" s="62" t="n">
        <f aca="false">AU636*G636</f>
        <v>88.68</v>
      </c>
      <c r="AW636" s="62" t="n">
        <f aca="false">ROUNDUP(CL636+MAX(CM636,2*(J636/IF(CH636&gt;0,CH636,MAX(0.1,N(Cockpit!$I$6)))-CL636)),0)</f>
        <v>1200</v>
      </c>
      <c r="AX636" s="63" t="n">
        <f aca="false">IF(AT636&gt;0,J636/AT636,-1)</f>
        <v>209.167346938776</v>
      </c>
      <c r="AY636" s="63" t="n">
        <f aca="false">IF(AND(OR(CG636="L1",CG636="L23",CG636="LIFT"),AT636&gt;0),SUMIFS($AT$7:$AT$1843,$CG$7:$CG$1843,CG636,$AX$7:$AX$1843,"&gt;"&amp;AX636)+SUMIFS($AT$7:$AT$1843,$CG$7:$CG$1843,CG636,$AX$7:$AX$1843,AX636,$BX$7:$BX$1843,"&lt;="&amp;BX636),"")</f>
        <v>447.572802197802</v>
      </c>
      <c r="AZ636" s="70" t="n">
        <f aca="false">IF(AY636="",0,MAX(0,MIN(1,(IF(CG636="L1",Parameter!$H$5,IF(CG636="L23",Parameter!$H$6+Parameter!$H$7,Parameter!$H$5+Parameter!$H$6+Parameter!$H$7))-(AY636-AT636))/AT636)))</f>
        <v>1</v>
      </c>
      <c r="BA636" s="62" t="n">
        <f aca="false">IF(LEFT(Cockpit!$O$5,1)="A",H636,IF(Parameter!$E$30="MAX-Bestand",IF(CI636=1,CJ636,IF(LEFT(Cockpit!$O$5,1)="B",BG636,MAX(BG636,H636))),ROUNDUP(BE636,0)))</f>
        <v>493</v>
      </c>
      <c r="BB636" s="62" t="n">
        <f aca="false">IF(CA636=1,0,ROUNDUP(BA636/BZ636,0))</f>
        <v>1</v>
      </c>
      <c r="BC636" s="64" t="n">
        <f aca="false">IF(CR636&gt;0,CR636*MAX(1,BA636/X636),IF(CA636=1,IF(BA636&lt;=0,0,CE636*MAX(1,IF(H636&gt;0,BA636/H636,1))),IF(R636&gt;0,BB636/R636,0))/MAX(0.1,N(Parameter!$M$21)))</f>
        <v>0.0384615384615385</v>
      </c>
      <c r="BD636" s="62" t="n">
        <f aca="false">BC636*CC636</f>
        <v>9.42307692307692</v>
      </c>
      <c r="BE636" s="63" t="n">
        <f aca="false">IF(LEFT(Cockpit!$O$5,1)="A",H636,IF(CI636=1,(CL636+CJ636)/2,IF(LEFT(Cockpit!$O$5,1)="B",(CL636+BG636)/2,MAX((CL636+BG636)/2,H636))))</f>
        <v>493</v>
      </c>
      <c r="BF636" s="62" t="n">
        <f aca="false">BE636*G636</f>
        <v>59.16</v>
      </c>
      <c r="BG636" s="62" t="n">
        <f aca="false">ROUNDUP(CL636+MAX(CM636,2*(J636/IF(CH636&gt;0,CH636,MAX(0.1,N(Cockpit!$O$6)))-CL636)),0)</f>
        <v>872</v>
      </c>
      <c r="BH636" s="63" t="n">
        <f aca="false">IF(BD636&gt;0,J636/BD636,-1)</f>
        <v>209.167346938776</v>
      </c>
      <c r="BI636" s="63" t="n">
        <f aca="false">IF(AND(OR(CG636="L1",CG636="L23",CG636="LIFT"),BD636&gt;0),SUMIFS($BD$7:$BD$1843,$CG$7:$CG$1843,CG636,$BH$7:$BH$1843,"&gt;"&amp;BH636)+SUMIFS($BD$7:$BD$1843,$CG$7:$CG$1843,CG636,$BH$7:$BH$1843,BH636,$BX$7:$BX$1843,"&lt;="&amp;BX636),"")</f>
        <v>423.48489010989</v>
      </c>
      <c r="BJ636" s="70" t="n">
        <f aca="false">IF(BI636="",0,MAX(0,MIN(1,(IF(CG636="L1",Parameter!$H$5,IF(CG636="L23",Parameter!$H$6+Parameter!$H$7,Parameter!$H$5+Parameter!$H$6+Parameter!$H$7))-(BI636-BD636))/BD636)))</f>
        <v>1</v>
      </c>
      <c r="BK636" s="60" t="str">
        <f aca="false">IF(AJ636&lt;=0,"",IF(CG636="Aussen","Aussenlager",IF(CG636="-","Nicht im Lift",IF(AP636&gt;=1,"Lift",IF(AP636&lt;=0,"Aussenlager","teilweise")))))</f>
        <v>Lift</v>
      </c>
      <c r="BL636" s="60" t="str">
        <f aca="false">IF(AT636&lt;=0,"",IF(CG636="Aussen","Aussenlager",IF(CG636="-","Nicht im Lift",IF(AZ636&gt;=1,"Lift",IF(AZ636&lt;=0,"Aussenlager","teilweise")))))</f>
        <v>Lift</v>
      </c>
      <c r="BM636" s="60" t="str">
        <f aca="false">IF(BD636&lt;=0,"",IF(CG636="Aussen","Aussenlager",IF(CG636="-","Nicht im Lift",IF(BJ636&gt;=1,"Lift",IF(BJ636&lt;=0,"Aussenlager","teilweise")))))</f>
        <v>Lift</v>
      </c>
      <c r="BN636" s="60" t="str">
        <f aca="false">IF(A636="","",IF(BW636=1,"Neu; ","")&amp;IF(AND(BW636=0,BR636&lt;0),"negativer Bestand (Export "&amp;BR636&amp;"); ","")&amp;IF(J636&lt;=0,"Kein Verbrauch; ","")&amp;IF(CR636&gt;0,"Lift "&amp;W636&amp;" lt. Liftbericht (Fach "&amp;X636&amp;" Stk); ",IF(CB636=1,"Gebinde geschätzt ("&amp;T636&amp;"); ",IF(CA636=1,"Lose – Tablare geschätzt; ","")))&amp;IF(H636&gt;AW636,"Überbestand "&amp;ROUND(H636-AW636,0)&amp;" Stk / CHF "&amp;ROUND((H636-AW636)*G636,0)&amp;"; ","")&amp;IF(AND(CI636=1,CJ636&lt;CK636),"MAX &lt; MB+LG; ","")&amp;IF(AND(CQ636&gt;0,CP636*10&gt;CQ636),"zu hoch für Tablar; ","")&amp;IF(AND(BW636=0,OR(CI636=1,AB636&lt;&gt;"",U636&lt;&gt;"",V636&lt;&gt;"",AC636&lt;&gt;"")),"manuell übersteuert; ","")&amp;IF(AND(CA636=0,R636=0),"Gebinde unbekannt / Stellmass fehlt; ","")&amp;IF(AND(CA636=0,N(V636)&lt;=0,N(Q636)&lt;=0),"Menge pro Gebinde fehlt (Ist = 1 Gebinde); ","")&amp;BV636)</f>
        <v/>
      </c>
      <c r="BO636" s="60"/>
      <c r="BP636" s="60"/>
      <c r="BQ636" s="67"/>
      <c r="BR636" s="62" t="n">
        <v>9</v>
      </c>
      <c r="BS636" s="62" t="n">
        <v>730</v>
      </c>
      <c r="BT636" s="61" t="n">
        <v>1.07999999999998</v>
      </c>
      <c r="BU636" s="62" t="n">
        <v>1971</v>
      </c>
      <c r="BV636" s="60"/>
      <c r="BW636" s="65" t="n">
        <v>0</v>
      </c>
      <c r="BX636" s="65" t="n">
        <v>636</v>
      </c>
      <c r="BY636" s="60" t="str">
        <f aca="false">IF(U636&lt;&gt;"",UPPER(TRIM(U636)),IF(CB636=1,UPPER(VLOOKUP(T636,Parameter!$I$27:$K$29,2,0)),IF(P636="","LOSE",P636)))</f>
        <v>S52</v>
      </c>
      <c r="BZ636" s="62" t="n">
        <f aca="false">IF(BY636="LOSE",1,IF(N(V636)&gt;0,V636,IF(CB636=1,MAX(1,N(VLOOKUP(T636,Parameter!$I$27:$K$29,3,0)),H636,N(N636)),IF(N(Q636)&gt;0,Q636,MAX(1,H636)))))</f>
        <v>976</v>
      </c>
      <c r="CA636" s="65" t="n">
        <f aca="false">IF(BY636="LOSE",1,0)</f>
        <v>0</v>
      </c>
      <c r="CB636" s="65" t="n">
        <f aca="false">IF(AND(U636="",OR(P636="",P636="LOSE"),T636&lt;&gt;"",N(S636)&lt;=0,ISNUMBER(MATCH(T636,Parameter!$I$27:$I$29,0))),1,0)</f>
        <v>0</v>
      </c>
      <c r="CC636" s="65" t="n">
        <f aca="false">IF(CR636&gt;0,INDEX(Parameter!$H$5:$H$7,W636)/INDEX(Parameter!$E$5:$E$7,W636),IF(AND(CA636=0,N(IFERROR(VLOOKUP(BY636,'Gebinde-Kategorie'!$A$5:$N$45,14,0),0))&gt;0),VLOOKUP(BY636,'Gebinde-Kategorie'!$A$5:$N$45,14,0)*10+Parameter!$M$23,Parameter!$M$24))</f>
        <v>245</v>
      </c>
      <c r="CD636" s="60" t="str">
        <f aca="false">IF(AND(Parameter!$B$19="Ja",E636&lt;&gt;"",ISNUMBER(MATCH(E636,Parameter!$I$35:$I$52,0))),VLOOKUP(E636,Parameter!$I$35:$J$52,2,0),IFERROR(VLOOKUP(D636,Parameter!$A$35:$C$64,2,0),"Nein"))</f>
        <v>2+3</v>
      </c>
      <c r="CE636" s="64" t="n">
        <f aca="false">IF(CA636=0,0,IF(N(S636)&gt;0,S636,IFERROR(VLOOKUP(D636,Parameter!$A$35:$C$64,3,0)+0,0)))</f>
        <v>0</v>
      </c>
      <c r="CF636" s="60" t="n">
        <f aca="false">IF(AB636&lt;&gt;"",AB636,AA636)</f>
        <v>3</v>
      </c>
      <c r="CG636" s="60" t="str">
        <f aca="false">IF(OR(CF636=1,CF636=2,CF636=3),IF(Parameter!$E$27="Ja","LIFT",IF(CF636=1,"L1","L23")),IF(CF636="Aussen","Aussen","-"))</f>
        <v>LIFT</v>
      </c>
      <c r="CH636" s="71" t="n">
        <f aca="false">IF(N(AC636)&gt;0,AC636,0)</f>
        <v>0</v>
      </c>
      <c r="CI636" s="65" t="n">
        <f aca="false">IF(ISNUMBER(AF636),1,0)</f>
        <v>0</v>
      </c>
      <c r="CJ636" s="62" t="n">
        <f aca="false">N(AF636)</f>
        <v>0</v>
      </c>
      <c r="CK636" s="62" t="n">
        <f aca="false">N(M636)+N(N636)</f>
        <v>614</v>
      </c>
      <c r="CL636" s="62" t="n">
        <f aca="false">N(M636)</f>
        <v>114</v>
      </c>
      <c r="CM636" s="62" t="n">
        <f aca="false">N(N636)</f>
        <v>500</v>
      </c>
      <c r="CN636" s="62" t="n">
        <f aca="false">ROUNDUP(H636/BZ636,0)</f>
        <v>1</v>
      </c>
      <c r="CO636" s="62" t="n">
        <f aca="false">ROUNDUP(CJ636/BZ636,0)</f>
        <v>0</v>
      </c>
      <c r="CP636" s="65" t="n">
        <f aca="false">IF(CA636=1,0,IFERROR(VLOOKUP(BY636,'Gebinde-Kategorie'!$A$5:$N$45,5,0)+0,0))</f>
        <v>21</v>
      </c>
      <c r="CQ636" s="65" t="n">
        <f aca="false">IFERROR(IF(OR(CF636=1,CF636=2,CF636=3),N(INDEX(Parameter!$I$5:$I$7,CF636)),0),0)</f>
        <v>0</v>
      </c>
      <c r="CR636" s="64" t="n">
        <f aca="false">IF(AND(Parameter!$B$21="Ja",ISNUMBER(W636),N(X636)&gt;0),IFERROR(N(INDEX(Parameter!$L$5:$L$7,W636))*INDEX(Parameter!$E$5:$E$7,W636)*X636/SUMIFS($X$7:$X$1843,$W$7:$W$1843,W636),0),0)</f>
        <v>0</v>
      </c>
      <c r="CS636" s="62" t="n">
        <f aca="false">IF(AND(OR(CG636="L1",CG636="L23",CG636="LIFT"),H636&gt;0),CC636*IF(CR636&gt;0,CR636*MAX(1,H636/X636),IF(CA636=1,CE636,IF(R636&gt;0,CN636/R636,0))/MAX(0.1,N(Parameter!$M$21))),"")</f>
        <v>9.42307692307692</v>
      </c>
      <c r="CT636" s="64" t="n">
        <f aca="false">IF(CS636="","",J636/H636)</f>
        <v>2.66711772665765</v>
      </c>
      <c r="CU636" s="62" t="n">
        <f aca="false">IF(CS636="","",H636*G636)</f>
        <v>88.68</v>
      </c>
      <c r="CV636" s="63" t="n">
        <f aca="false">IF(CS636="","",(CL636+ROUNDUP(CL636+MAX(CM636,2*(J636/MAX(0.1,N(Einkauf!$C$6))-CL636)),0))/2)</f>
        <v>493</v>
      </c>
      <c r="CW636" s="62" t="n">
        <f aca="false">IF(CS636="","",MAX(0,H636-CV636)*G636)</f>
        <v>29.52</v>
      </c>
      <c r="CX636" s="62" t="n">
        <f aca="false">IF(CS636="","",CS636*MAX(0,1-CV636/H636))</f>
        <v>3.13677526803373</v>
      </c>
      <c r="CY636" s="64" t="n">
        <f aca="false">IF(CS636="","",PERCENTRANK($CS$7:$CS$1843,CS636)+PERCENTRANK($CU$7:$CU$1843,CU636)+1-PERCENTRANK($CT$7:$CT$1843,CT636))</f>
        <v>0.923</v>
      </c>
      <c r="CZ636" s="72" t="n">
        <f aca="false">IF(CS636="","",CHOOSE(MATCH(Einkauf!$C$5,Parameter!$G$23:$G$27,0),CY636,CS636,CU636,-CT636,CW636)+ROW()/1000000000)</f>
        <v>0.923000636</v>
      </c>
    </row>
    <row r="637" customFormat="false" ht="15" hidden="false" customHeight="false" outlineLevel="0" collapsed="false">
      <c r="A637" s="60" t="s">
        <v>1340</v>
      </c>
      <c r="B637" s="60" t="s">
        <v>1341</v>
      </c>
      <c r="C637" s="60" t="s">
        <v>206</v>
      </c>
      <c r="D637" s="60" t="s">
        <v>215</v>
      </c>
      <c r="E637" s="60"/>
      <c r="F637" s="60" t="s">
        <v>260</v>
      </c>
      <c r="G637" s="61" t="n">
        <v>0.01</v>
      </c>
      <c r="H637" s="62" t="n">
        <f aca="false">MAX(0,IF(AND(Parameter!$B$21="Ja",ISNUMBER(Y637)),Y637,IF(Parameter!$B$20="Jahresanfang 2025 + Export",BS637+BR637,BR637)))</f>
        <v>59</v>
      </c>
      <c r="I637" s="62" t="n">
        <f aca="false">H637*G637</f>
        <v>0.59</v>
      </c>
      <c r="J637" s="62" t="n">
        <f aca="false">BU637*Parameter!$B$18</f>
        <v>0</v>
      </c>
      <c r="K637" s="63" t="n">
        <v>0</v>
      </c>
      <c r="L637" s="64" t="n">
        <v>0</v>
      </c>
      <c r="M637" s="62" t="n">
        <v>0</v>
      </c>
      <c r="N637" s="62" t="n">
        <v>1</v>
      </c>
      <c r="O637" s="65" t="n">
        <v>14</v>
      </c>
      <c r="P637" s="60" t="s">
        <v>210</v>
      </c>
      <c r="Q637" s="62"/>
      <c r="R637" s="65" t="n">
        <f aca="false">IF(CA637=1,0,IFERROR(VLOOKUP(BY637,'Gebinde-Kategorie'!$A$5:$N$45,13,0)+0,0))</f>
        <v>26</v>
      </c>
      <c r="S637" s="66"/>
      <c r="T637" s="67" t="s">
        <v>317</v>
      </c>
      <c r="U637" s="67"/>
      <c r="V637" s="67"/>
      <c r="W637" s="60"/>
      <c r="X637" s="62"/>
      <c r="Y637" s="62"/>
      <c r="Z637" s="60" t="n">
        <v>3</v>
      </c>
      <c r="AA637" s="60" t="n">
        <f aca="false">IF(A637="","",IF(AND(Parameter!$B$21="Ja",ISNUMBER(W637)),W637,IF(AND(Parameter!$E$27="Ja",ISNUMBER(Z637),CD637&lt;&gt;"Nein"),Z637,IF(CD637="2+3",IF(ISNUMBER(SEARCH("grosser Artikel",BV637)),2,IFERROR(VLOOKUP(BY637,Parameter!$F$35:$G$64,2,0),2)),IF(OR(CD637="Nein",CD637=""),"-",CD637)))))</f>
        <v>3</v>
      </c>
      <c r="AB637" s="67"/>
      <c r="AC637" s="68"/>
      <c r="AD637" s="62" t="n">
        <f aca="false">AW637</f>
        <v>1</v>
      </c>
      <c r="AE637" s="62" t="n">
        <f aca="false">MAX(AW637,H637)</f>
        <v>59</v>
      </c>
      <c r="AF637" s="69"/>
      <c r="AG637" s="62" t="n">
        <f aca="false">IF(LEFT(Cockpit!$C$5,1)="A",H637,IF(Parameter!$E$30="MAX-Bestand",IF(CI637=1,CJ637,IF(LEFT(Cockpit!$C$5,1)="B",AM637,MAX(AM637,H637))),ROUNDUP(AK637,0)))</f>
        <v>59</v>
      </c>
      <c r="AH637" s="62" t="n">
        <f aca="false">IF(CA637=1,0,ROUNDUP(AG637/BZ637,0))</f>
        <v>1</v>
      </c>
      <c r="AI637" s="64" t="n">
        <f aca="false">IF(CR637&gt;0,CR637*MAX(1,AG637/X637),IF(CA637=1,IF(AG637&lt;=0,0,CE637*MAX(1,IF(H637&gt;0,AG637/H637,1))),IF(R637&gt;0,AH637/R637,0))/MAX(0.1,N(Parameter!$M$21)))</f>
        <v>0.0384615384615385</v>
      </c>
      <c r="AJ637" s="62" t="n">
        <f aca="false">AI637*CC637</f>
        <v>5.96153846153846</v>
      </c>
      <c r="AK637" s="63" t="n">
        <f aca="false">IF(LEFT(Cockpit!$C$5,1)="A",H637,IF(CI637=1,(CL637+CJ637)/2,IF(LEFT(Cockpit!$C$5,1)="B",(CL637+AM637)/2,MAX((CL637+AM637)/2,H637))))</f>
        <v>59</v>
      </c>
      <c r="AL637" s="62" t="n">
        <f aca="false">AK637*G637</f>
        <v>0.59</v>
      </c>
      <c r="AM637" s="62" t="n">
        <f aca="false">ROUNDUP(CL637+MAX(CM637,2*(J637/IF(CH637&gt;0,CH637,MAX(0.1,N(Cockpit!$C$6)))-CL637)),0)</f>
        <v>1</v>
      </c>
      <c r="AN637" s="63" t="n">
        <f aca="false">IF(AJ637&gt;0,J637/AJ637,-1)</f>
        <v>0</v>
      </c>
      <c r="AO637" s="63" t="n">
        <f aca="false">IF(AND(OR(CG637="L1",CG637="L23",CG637="LIFT"),AJ637&gt;0),SUMIFS($AJ$7:$AJ$1843,$CG$7:$CG$1843,CG637,$AN$7:$AN$1843,"&gt;"&amp;AN637)+SUMIFS($AJ$7:$AJ$1843,$CG$7:$CG$1843,CG637,$AN$7:$AN$1843,AN637,$BX$7:$BX$1843,"&lt;="&amp;BX637),"")</f>
        <v>28581.2854245566</v>
      </c>
      <c r="AP637" s="70" t="n">
        <f aca="false">IF(AO637="",0,MAX(0,MIN(1,(IF(CG637="L1",Parameter!$H$5,IF(CG637="L23",Parameter!$H$6+Parameter!$H$7,Parameter!$H$5+Parameter!$H$6+Parameter!$H$7))-(AO637-AJ637))/AJ637)))</f>
        <v>1</v>
      </c>
      <c r="AQ637" s="62" t="n">
        <f aca="false">IF(LEFT(Cockpit!$I$5,1)="A",H637,IF(Parameter!$E$30="MAX-Bestand",IF(CI637=1,CJ637,IF(LEFT(Cockpit!$I$5,1)="B",AW637,MAX(AW637,H637))),ROUNDUP(AU637,0)))</f>
        <v>59</v>
      </c>
      <c r="AR637" s="62" t="n">
        <f aca="false">IF(CA637=1,0,ROUNDUP(AQ637/BZ637,0))</f>
        <v>1</v>
      </c>
      <c r="AS637" s="64" t="n">
        <f aca="false">IF(CR637&gt;0,CR637*MAX(1,AQ637/X637),IF(CA637=1,IF(AQ637&lt;=0,0,CE637*MAX(1,IF(H637&gt;0,AQ637/H637,1))),IF(R637&gt;0,AR637/R637,0))/MAX(0.1,N(Parameter!$M$21)))</f>
        <v>0.0384615384615385</v>
      </c>
      <c r="AT637" s="62" t="n">
        <f aca="false">AS637*CC637</f>
        <v>5.96153846153846</v>
      </c>
      <c r="AU637" s="63" t="n">
        <f aca="false">IF(LEFT(Cockpit!$I$5,1)="A",H637,IF(CI637=1,(CL637+CJ637)/2,IF(LEFT(Cockpit!$I$5,1)="B",(CL637+AW637)/2,MAX((CL637+AW637)/2,H637))))</f>
        <v>59</v>
      </c>
      <c r="AV637" s="62" t="n">
        <f aca="false">AU637*G637</f>
        <v>0.59</v>
      </c>
      <c r="AW637" s="62" t="n">
        <f aca="false">ROUNDUP(CL637+MAX(CM637,2*(J637/IF(CH637&gt;0,CH637,MAX(0.1,N(Cockpit!$I$6)))-CL637)),0)</f>
        <v>1</v>
      </c>
      <c r="AX637" s="63" t="n">
        <f aca="false">IF(AT637&gt;0,J637/AT637,-1)</f>
        <v>0</v>
      </c>
      <c r="AY637" s="63" t="n">
        <f aca="false">IF(AND(OR(CG637="L1",CG637="L23",CG637="LIFT"),AT637&gt;0),SUMIFS($AT$7:$AT$1843,$CG$7:$CG$1843,CG637,$AX$7:$AX$1843,"&gt;"&amp;AX637)+SUMIFS($AT$7:$AT$1843,$CG$7:$CG$1843,CG637,$AX$7:$AX$1843,AX637,$BX$7:$BX$1843,"&lt;="&amp;BX637),"")</f>
        <v>33934.4340659341</v>
      </c>
      <c r="AZ637" s="70" t="n">
        <f aca="false">IF(AY637="",0,MAX(0,MIN(1,(IF(CG637="L1",Parameter!$H$5,IF(CG637="L23",Parameter!$H$6+Parameter!$H$7,Parameter!$H$5+Parameter!$H$6+Parameter!$H$7))-(AY637-AT637))/AT637)))</f>
        <v>1</v>
      </c>
      <c r="BA637" s="62" t="n">
        <f aca="false">IF(LEFT(Cockpit!$O$5,1)="A",H637,IF(Parameter!$E$30="MAX-Bestand",IF(CI637=1,CJ637,IF(LEFT(Cockpit!$O$5,1)="B",BG637,MAX(BG637,H637))),ROUNDUP(BE637,0)))</f>
        <v>1</v>
      </c>
      <c r="BB637" s="62" t="n">
        <f aca="false">IF(CA637=1,0,ROUNDUP(BA637/BZ637,0))</f>
        <v>1</v>
      </c>
      <c r="BC637" s="64" t="n">
        <f aca="false">IF(CR637&gt;0,CR637*MAX(1,BA637/X637),IF(CA637=1,IF(BA637&lt;=0,0,CE637*MAX(1,IF(H637&gt;0,BA637/H637,1))),IF(R637&gt;0,BB637/R637,0))/MAX(0.1,N(Parameter!$M$21)))</f>
        <v>0.0384615384615385</v>
      </c>
      <c r="BD637" s="62" t="n">
        <f aca="false">BC637*CC637</f>
        <v>5.96153846153846</v>
      </c>
      <c r="BE637" s="63" t="n">
        <f aca="false">IF(LEFT(Cockpit!$O$5,1)="A",H637,IF(CI637=1,(CL637+CJ637)/2,IF(LEFT(Cockpit!$O$5,1)="B",(CL637+BG637)/2,MAX((CL637+BG637)/2,H637))))</f>
        <v>0.5</v>
      </c>
      <c r="BF637" s="62" t="n">
        <f aca="false">BE637*G637</f>
        <v>0.005</v>
      </c>
      <c r="BG637" s="62" t="n">
        <f aca="false">ROUNDUP(CL637+MAX(CM637,2*(J637/IF(CH637&gt;0,CH637,MAX(0.1,N(Cockpit!$O$6)))-CL637)),0)</f>
        <v>1</v>
      </c>
      <c r="BH637" s="63" t="n">
        <f aca="false">IF(BD637&gt;0,J637/BD637,-1)</f>
        <v>0</v>
      </c>
      <c r="BI637" s="63" t="n">
        <f aca="false">IF(AND(OR(CG637="L1",CG637="L23",CG637="LIFT"),BD637&gt;0),SUMIFS($BD$7:$BD$1843,$CG$7:$CG$1843,CG637,$BH$7:$BH$1843,"&gt;"&amp;BH637)+SUMIFS($BD$7:$BD$1843,$CG$7:$CG$1843,CG637,$BH$7:$BH$1843,BH637,$BX$7:$BX$1843,"&lt;="&amp;BX637),"")</f>
        <v>28000.7773561185</v>
      </c>
      <c r="BJ637" s="70" t="n">
        <f aca="false">IF(BI637="",0,MAX(0,MIN(1,(IF(CG637="L1",Parameter!$H$5,IF(CG637="L23",Parameter!$H$6+Parameter!$H$7,Parameter!$H$5+Parameter!$H$6+Parameter!$H$7))-(BI637-BD637))/BD637)))</f>
        <v>1</v>
      </c>
      <c r="BK637" s="60" t="str">
        <f aca="false">IF(AJ637&lt;=0,"",IF(CG637="Aussen","Aussenlager",IF(CG637="-","Nicht im Lift",IF(AP637&gt;=1,"Lift",IF(AP637&lt;=0,"Aussenlager","teilweise")))))</f>
        <v>Lift</v>
      </c>
      <c r="BL637" s="60" t="str">
        <f aca="false">IF(AT637&lt;=0,"",IF(CG637="Aussen","Aussenlager",IF(CG637="-","Nicht im Lift",IF(AZ637&gt;=1,"Lift",IF(AZ637&lt;=0,"Aussenlager","teilweise")))))</f>
        <v>Lift</v>
      </c>
      <c r="BM637" s="60" t="str">
        <f aca="false">IF(BD637&lt;=0,"",IF(CG637="Aussen","Aussenlager",IF(CG637="-","Nicht im Lift",IF(BJ637&gt;=1,"Lift",IF(BJ637&lt;=0,"Aussenlager","teilweise")))))</f>
        <v>Lift</v>
      </c>
      <c r="BN637" s="60" t="str">
        <f aca="false">IF(A637="","",IF(BW637=1,"Neu; ","")&amp;IF(AND(BW637=0,BR637&lt;0),"negativer Bestand (Export "&amp;BR637&amp;"); ","")&amp;IF(J637&lt;=0,"Kein Verbrauch; ","")&amp;IF(CR637&gt;0,"Lift "&amp;W637&amp;" lt. Liftbericht (Fach "&amp;X637&amp;" Stk); ",IF(CB637=1,"Gebinde geschätzt ("&amp;T637&amp;"); ",IF(CA637=1,"Lose – Tablare geschätzt; ","")))&amp;IF(H637&gt;AW637,"Überbestand "&amp;ROUND(H637-AW637,0)&amp;" Stk / CHF "&amp;ROUND((H637-AW637)*G637,0)&amp;"; ","")&amp;IF(AND(CI637=1,CJ637&lt;CK637),"MAX &lt; MB+LG; ","")&amp;IF(AND(CQ637&gt;0,CP637*10&gt;CQ637),"zu hoch für Tablar; ","")&amp;IF(AND(BW637=0,OR(CI637=1,AB637&lt;&gt;"",U637&lt;&gt;"",V637&lt;&gt;"",AC637&lt;&gt;"")),"manuell übersteuert; ","")&amp;IF(AND(CA637=0,R637=0),"Gebinde unbekannt / Stellmass fehlt; ","")&amp;IF(AND(CA637=0,N(V637)&lt;=0,N(Q637)&lt;=0),"Menge pro Gebinde fehlt (Ist = 1 Gebinde); ","")&amp;BV637)</f>
        <v>Kein Verbrauch; Gebinde geschätzt (Klein); Überbestand 58 Stk / CHF 1; Menge pro Gebinde fehlt (Ist = 1 Gebinde); </v>
      </c>
      <c r="BO637" s="60"/>
      <c r="BP637" s="60"/>
      <c r="BQ637" s="67"/>
      <c r="BR637" s="62" t="n">
        <v>59</v>
      </c>
      <c r="BS637" s="62" t="n">
        <v>0</v>
      </c>
      <c r="BT637" s="61" t="n">
        <v>0.59</v>
      </c>
      <c r="BU637" s="62" t="n">
        <v>0</v>
      </c>
      <c r="BV637" s="60"/>
      <c r="BW637" s="65" t="n">
        <v>0</v>
      </c>
      <c r="BX637" s="65" t="n">
        <v>637</v>
      </c>
      <c r="BY637" s="60" t="str">
        <f aca="false">IF(U637&lt;&gt;"",UPPER(TRIM(U637)),IF(CB637=1,UPPER(VLOOKUP(T637,Parameter!$I$27:$K$29,2,0)),IF(P637="","LOSE",P637)))</f>
        <v>S51</v>
      </c>
      <c r="BZ637" s="62" t="n">
        <f aca="false">IF(BY637="LOSE",1,IF(N(V637)&gt;0,V637,IF(CB637=1,MAX(1,N(VLOOKUP(T637,Parameter!$I$27:$K$29,3,0)),H637,N(N637)),IF(N(Q637)&gt;0,Q637,MAX(1,H637)))))</f>
        <v>59</v>
      </c>
      <c r="CA637" s="65" t="n">
        <f aca="false">IF(BY637="LOSE",1,0)</f>
        <v>0</v>
      </c>
      <c r="CB637" s="65" t="n">
        <f aca="false">IF(AND(U637="",OR(P637="",P637="LOSE"),T637&lt;&gt;"",N(S637)&lt;=0,ISNUMBER(MATCH(T637,Parameter!$I$27:$I$29,0))),1,0)</f>
        <v>1</v>
      </c>
      <c r="CC637" s="65" t="n">
        <f aca="false">IF(CR637&gt;0,INDEX(Parameter!$H$5:$H$7,W637)/INDEX(Parameter!$E$5:$E$7,W637),IF(AND(CA637=0,N(IFERROR(VLOOKUP(BY637,'Gebinde-Kategorie'!$A$5:$N$45,14,0),0))&gt;0),VLOOKUP(BY637,'Gebinde-Kategorie'!$A$5:$N$45,14,0)*10+Parameter!$M$23,Parameter!$M$24))</f>
        <v>155</v>
      </c>
      <c r="CD637" s="60" t="str">
        <f aca="false">IF(AND(Parameter!$B$19="Ja",E637&lt;&gt;"",ISNUMBER(MATCH(E637,Parameter!$I$35:$I$52,0))),VLOOKUP(E637,Parameter!$I$35:$J$52,2,0),IFERROR(VLOOKUP(D637,Parameter!$A$35:$C$64,2,0),"Nein"))</f>
        <v>2+3</v>
      </c>
      <c r="CE637" s="64" t="n">
        <f aca="false">IF(CA637=0,0,IF(N(S637)&gt;0,S637,IFERROR(VLOOKUP(D637,Parameter!$A$35:$C$64,3,0)+0,0)))</f>
        <v>0</v>
      </c>
      <c r="CF637" s="60" t="n">
        <f aca="false">IF(AB637&lt;&gt;"",AB637,AA637)</f>
        <v>3</v>
      </c>
      <c r="CG637" s="60" t="str">
        <f aca="false">IF(OR(CF637=1,CF637=2,CF637=3),IF(Parameter!$E$27="Ja","LIFT",IF(CF637=1,"L1","L23")),IF(CF637="Aussen","Aussen","-"))</f>
        <v>LIFT</v>
      </c>
      <c r="CH637" s="71" t="n">
        <f aca="false">IF(N(AC637)&gt;0,AC637,0)</f>
        <v>0</v>
      </c>
      <c r="CI637" s="65" t="n">
        <f aca="false">IF(ISNUMBER(AF637),1,0)</f>
        <v>0</v>
      </c>
      <c r="CJ637" s="62" t="n">
        <f aca="false">N(AF637)</f>
        <v>0</v>
      </c>
      <c r="CK637" s="62" t="n">
        <f aca="false">N(M637)+N(N637)</f>
        <v>1</v>
      </c>
      <c r="CL637" s="62" t="n">
        <f aca="false">N(M637)</f>
        <v>0</v>
      </c>
      <c r="CM637" s="62" t="n">
        <f aca="false">N(N637)</f>
        <v>1</v>
      </c>
      <c r="CN637" s="62" t="n">
        <f aca="false">ROUNDUP(H637/BZ637,0)</f>
        <v>1</v>
      </c>
      <c r="CO637" s="62" t="n">
        <f aca="false">ROUNDUP(CJ637/BZ637,0)</f>
        <v>0</v>
      </c>
      <c r="CP637" s="65" t="n">
        <f aca="false">IF(CA637=1,0,IFERROR(VLOOKUP(BY637,'Gebinde-Kategorie'!$A$5:$N$45,5,0)+0,0))</f>
        <v>11</v>
      </c>
      <c r="CQ637" s="65" t="n">
        <f aca="false">IFERROR(IF(OR(CF637=1,CF637=2,CF637=3),N(INDEX(Parameter!$I$5:$I$7,CF637)),0),0)</f>
        <v>0</v>
      </c>
      <c r="CR637" s="64" t="n">
        <f aca="false">IF(AND(Parameter!$B$21="Ja",ISNUMBER(W637),N(X637)&gt;0),IFERROR(N(INDEX(Parameter!$L$5:$L$7,W637))*INDEX(Parameter!$E$5:$E$7,W637)*X637/SUMIFS($X$7:$X$1843,$W$7:$W$1843,W637),0),0)</f>
        <v>0</v>
      </c>
      <c r="CS637" s="62" t="n">
        <f aca="false">IF(AND(OR(CG637="L1",CG637="L23",CG637="LIFT"),H637&gt;0),CC637*IF(CR637&gt;0,CR637*MAX(1,H637/X637),IF(CA637=1,CE637,IF(R637&gt;0,CN637/R637,0))/MAX(0.1,N(Parameter!$M$21))),"")</f>
        <v>5.96153846153846</v>
      </c>
      <c r="CT637" s="64" t="n">
        <f aca="false">IF(CS637="","",J637/H637)</f>
        <v>0</v>
      </c>
      <c r="CU637" s="62" t="n">
        <f aca="false">IF(CS637="","",H637*G637)</f>
        <v>0.59</v>
      </c>
      <c r="CV637" s="63" t="n">
        <f aca="false">IF(CS637="","",(CL637+ROUNDUP(CL637+MAX(CM637,2*(J637/MAX(0.1,N(Einkauf!$C$6))-CL637)),0))/2)</f>
        <v>0.5</v>
      </c>
      <c r="CW637" s="62" t="n">
        <f aca="false">IF(CS637="","",MAX(0,H637-CV637)*G637)</f>
        <v>0.585</v>
      </c>
      <c r="CX637" s="62" t="n">
        <f aca="false">IF(CS637="","",CS637*MAX(0,1-CV637/H637))</f>
        <v>5.91101694915254</v>
      </c>
      <c r="CY637" s="64" t="n">
        <f aca="false">IF(CS637="","",PERCENTRANK($CS$7:$CS$1843,CS637)+PERCENTRANK($CU$7:$CU$1843,CU637)+1-PERCENTRANK($CT$7:$CT$1843,CT637))</f>
        <v>1.36284</v>
      </c>
      <c r="CZ637" s="72" t="n">
        <f aca="false">IF(CS637="","",CHOOSE(MATCH(Einkauf!$C$5,Parameter!$G$23:$G$27,0),CY637,CS637,CU637,-CT637,CW637)+ROW()/1000000000)</f>
        <v>1.362840637</v>
      </c>
    </row>
    <row r="638" customFormat="false" ht="15" hidden="false" customHeight="false" outlineLevel="0" collapsed="false">
      <c r="A638" s="60" t="s">
        <v>1342</v>
      </c>
      <c r="B638" s="60" t="s">
        <v>1343</v>
      </c>
      <c r="C638" s="60" t="s">
        <v>206</v>
      </c>
      <c r="D638" s="60" t="s">
        <v>215</v>
      </c>
      <c r="E638" s="60"/>
      <c r="F638" s="60" t="s">
        <v>260</v>
      </c>
      <c r="G638" s="61" t="n">
        <v>0.01</v>
      </c>
      <c r="H638" s="62" t="n">
        <f aca="false">MAX(0,IF(AND(Parameter!$B$21="Ja",ISNUMBER(Y638)),Y638,IF(Parameter!$B$20="Jahresanfang 2025 + Export",BS638+BR638,BR638)))</f>
        <v>43</v>
      </c>
      <c r="I638" s="62" t="n">
        <f aca="false">H638*G638</f>
        <v>0.43</v>
      </c>
      <c r="J638" s="62" t="n">
        <f aca="false">BU638*Parameter!$B$18</f>
        <v>0</v>
      </c>
      <c r="K638" s="63" t="n">
        <v>0</v>
      </c>
      <c r="L638" s="64" t="n">
        <v>0</v>
      </c>
      <c r="M638" s="62" t="n">
        <v>0</v>
      </c>
      <c r="N638" s="62" t="n">
        <v>1</v>
      </c>
      <c r="O638" s="65" t="n">
        <v>999</v>
      </c>
      <c r="P638" s="60" t="s">
        <v>210</v>
      </c>
      <c r="Q638" s="62"/>
      <c r="R638" s="65" t="n">
        <f aca="false">IF(CA638=1,0,IFERROR(VLOOKUP(BY638,'Gebinde-Kategorie'!$A$5:$N$45,13,0)+0,0))</f>
        <v>26</v>
      </c>
      <c r="S638" s="66"/>
      <c r="T638" s="67" t="s">
        <v>317</v>
      </c>
      <c r="U638" s="67"/>
      <c r="V638" s="67"/>
      <c r="W638" s="60"/>
      <c r="X638" s="62"/>
      <c r="Y638" s="62"/>
      <c r="Z638" s="60" t="n">
        <v>3</v>
      </c>
      <c r="AA638" s="60" t="n">
        <f aca="false">IF(A638="","",IF(AND(Parameter!$B$21="Ja",ISNUMBER(W638)),W638,IF(AND(Parameter!$E$27="Ja",ISNUMBER(Z638),CD638&lt;&gt;"Nein"),Z638,IF(CD638="2+3",IF(ISNUMBER(SEARCH("grosser Artikel",BV638)),2,IFERROR(VLOOKUP(BY638,Parameter!$F$35:$G$64,2,0),2)),IF(OR(CD638="Nein",CD638=""),"-",CD638)))))</f>
        <v>3</v>
      </c>
      <c r="AB638" s="67"/>
      <c r="AC638" s="68"/>
      <c r="AD638" s="62" t="n">
        <f aca="false">AW638</f>
        <v>1</v>
      </c>
      <c r="AE638" s="62" t="n">
        <f aca="false">MAX(AW638,H638)</f>
        <v>43</v>
      </c>
      <c r="AF638" s="69"/>
      <c r="AG638" s="62" t="n">
        <f aca="false">IF(LEFT(Cockpit!$C$5,1)="A",H638,IF(Parameter!$E$30="MAX-Bestand",IF(CI638=1,CJ638,IF(LEFT(Cockpit!$C$5,1)="B",AM638,MAX(AM638,H638))),ROUNDUP(AK638,0)))</f>
        <v>43</v>
      </c>
      <c r="AH638" s="62" t="n">
        <f aca="false">IF(CA638=1,0,ROUNDUP(AG638/BZ638,0))</f>
        <v>1</v>
      </c>
      <c r="AI638" s="64" t="n">
        <f aca="false">IF(CR638&gt;0,CR638*MAX(1,AG638/X638),IF(CA638=1,IF(AG638&lt;=0,0,CE638*MAX(1,IF(H638&gt;0,AG638/H638,1))),IF(R638&gt;0,AH638/R638,0))/MAX(0.1,N(Parameter!$M$21)))</f>
        <v>0.0384615384615385</v>
      </c>
      <c r="AJ638" s="62" t="n">
        <f aca="false">AI638*CC638</f>
        <v>5.96153846153846</v>
      </c>
      <c r="AK638" s="63" t="n">
        <f aca="false">IF(LEFT(Cockpit!$C$5,1)="A",H638,IF(CI638=1,(CL638+CJ638)/2,IF(LEFT(Cockpit!$C$5,1)="B",(CL638+AM638)/2,MAX((CL638+AM638)/2,H638))))</f>
        <v>43</v>
      </c>
      <c r="AL638" s="62" t="n">
        <f aca="false">AK638*G638</f>
        <v>0.43</v>
      </c>
      <c r="AM638" s="62" t="n">
        <f aca="false">ROUNDUP(CL638+MAX(CM638,2*(J638/IF(CH638&gt;0,CH638,MAX(0.1,N(Cockpit!$C$6)))-CL638)),0)</f>
        <v>1</v>
      </c>
      <c r="AN638" s="63" t="n">
        <f aca="false">IF(AJ638&gt;0,J638/AJ638,-1)</f>
        <v>0</v>
      </c>
      <c r="AO638" s="63" t="n">
        <f aca="false">IF(AND(OR(CG638="L1",CG638="L23",CG638="LIFT"),AJ638&gt;0),SUMIFS($AJ$7:$AJ$1843,$CG$7:$CG$1843,CG638,$AN$7:$AN$1843,"&gt;"&amp;AN638)+SUMIFS($AJ$7:$AJ$1843,$CG$7:$CG$1843,CG638,$AN$7:$AN$1843,AN638,$BX$7:$BX$1843,"&lt;="&amp;BX638),"")</f>
        <v>28587.2469630181</v>
      </c>
      <c r="AP638" s="70" t="n">
        <f aca="false">IF(AO638="",0,MAX(0,MIN(1,(IF(CG638="L1",Parameter!$H$5,IF(CG638="L23",Parameter!$H$6+Parameter!$H$7,Parameter!$H$5+Parameter!$H$6+Parameter!$H$7))-(AO638-AJ638))/AJ638)))</f>
        <v>1</v>
      </c>
      <c r="AQ638" s="62" t="n">
        <f aca="false">IF(LEFT(Cockpit!$I$5,1)="A",H638,IF(Parameter!$E$30="MAX-Bestand",IF(CI638=1,CJ638,IF(LEFT(Cockpit!$I$5,1)="B",AW638,MAX(AW638,H638))),ROUNDUP(AU638,0)))</f>
        <v>43</v>
      </c>
      <c r="AR638" s="62" t="n">
        <f aca="false">IF(CA638=1,0,ROUNDUP(AQ638/BZ638,0))</f>
        <v>1</v>
      </c>
      <c r="AS638" s="64" t="n">
        <f aca="false">IF(CR638&gt;0,CR638*MAX(1,AQ638/X638),IF(CA638=1,IF(AQ638&lt;=0,0,CE638*MAX(1,IF(H638&gt;0,AQ638/H638,1))),IF(R638&gt;0,AR638/R638,0))/MAX(0.1,N(Parameter!$M$21)))</f>
        <v>0.0384615384615385</v>
      </c>
      <c r="AT638" s="62" t="n">
        <f aca="false">AS638*CC638</f>
        <v>5.96153846153846</v>
      </c>
      <c r="AU638" s="63" t="n">
        <f aca="false">IF(LEFT(Cockpit!$I$5,1)="A",H638,IF(CI638=1,(CL638+CJ638)/2,IF(LEFT(Cockpit!$I$5,1)="B",(CL638+AW638)/2,MAX((CL638+AW638)/2,H638))))</f>
        <v>43</v>
      </c>
      <c r="AV638" s="62" t="n">
        <f aca="false">AU638*G638</f>
        <v>0.43</v>
      </c>
      <c r="AW638" s="62" t="n">
        <f aca="false">ROUNDUP(CL638+MAX(CM638,2*(J638/IF(CH638&gt;0,CH638,MAX(0.1,N(Cockpit!$I$6)))-CL638)),0)</f>
        <v>1</v>
      </c>
      <c r="AX638" s="63" t="n">
        <f aca="false">IF(AT638&gt;0,J638/AT638,-1)</f>
        <v>0</v>
      </c>
      <c r="AY638" s="63" t="n">
        <f aca="false">IF(AND(OR(CG638="L1",CG638="L23",CG638="LIFT"),AT638&gt;0),SUMIFS($AT$7:$AT$1843,$CG$7:$CG$1843,CG638,$AX$7:$AX$1843,"&gt;"&amp;AX638)+SUMIFS($AT$7:$AT$1843,$CG$7:$CG$1843,CG638,$AX$7:$AX$1843,AX638,$BX$7:$BX$1843,"&lt;="&amp;BX638),"")</f>
        <v>33940.3956043956</v>
      </c>
      <c r="AZ638" s="70" t="n">
        <f aca="false">IF(AY638="",0,MAX(0,MIN(1,(IF(CG638="L1",Parameter!$H$5,IF(CG638="L23",Parameter!$H$6+Parameter!$H$7,Parameter!$H$5+Parameter!$H$6+Parameter!$H$7))-(AY638-AT638))/AT638)))</f>
        <v>1</v>
      </c>
      <c r="BA638" s="62" t="n">
        <f aca="false">IF(LEFT(Cockpit!$O$5,1)="A",H638,IF(Parameter!$E$30="MAX-Bestand",IF(CI638=1,CJ638,IF(LEFT(Cockpit!$O$5,1)="B",BG638,MAX(BG638,H638))),ROUNDUP(BE638,0)))</f>
        <v>1</v>
      </c>
      <c r="BB638" s="62" t="n">
        <f aca="false">IF(CA638=1,0,ROUNDUP(BA638/BZ638,0))</f>
        <v>1</v>
      </c>
      <c r="BC638" s="64" t="n">
        <f aca="false">IF(CR638&gt;0,CR638*MAX(1,BA638/X638),IF(CA638=1,IF(BA638&lt;=0,0,CE638*MAX(1,IF(H638&gt;0,BA638/H638,1))),IF(R638&gt;0,BB638/R638,0))/MAX(0.1,N(Parameter!$M$21)))</f>
        <v>0.0384615384615385</v>
      </c>
      <c r="BD638" s="62" t="n">
        <f aca="false">BC638*CC638</f>
        <v>5.96153846153846</v>
      </c>
      <c r="BE638" s="63" t="n">
        <f aca="false">IF(LEFT(Cockpit!$O$5,1)="A",H638,IF(CI638=1,(CL638+CJ638)/2,IF(LEFT(Cockpit!$O$5,1)="B",(CL638+BG638)/2,MAX((CL638+BG638)/2,H638))))</f>
        <v>0.5</v>
      </c>
      <c r="BF638" s="62" t="n">
        <f aca="false">BE638*G638</f>
        <v>0.005</v>
      </c>
      <c r="BG638" s="62" t="n">
        <f aca="false">ROUNDUP(CL638+MAX(CM638,2*(J638/IF(CH638&gt;0,CH638,MAX(0.1,N(Cockpit!$O$6)))-CL638)),0)</f>
        <v>1</v>
      </c>
      <c r="BH638" s="63" t="n">
        <f aca="false">IF(BD638&gt;0,J638/BD638,-1)</f>
        <v>0</v>
      </c>
      <c r="BI638" s="63" t="n">
        <f aca="false">IF(AND(OR(CG638="L1",CG638="L23",CG638="LIFT"),BD638&gt;0),SUMIFS($BD$7:$BD$1843,$CG$7:$CG$1843,CG638,$BH$7:$BH$1843,"&gt;"&amp;BH638)+SUMIFS($BD$7:$BD$1843,$CG$7:$CG$1843,CG638,$BH$7:$BH$1843,BH638,$BX$7:$BX$1843,"&lt;="&amp;BX638),"")</f>
        <v>28006.73889458</v>
      </c>
      <c r="BJ638" s="70" t="n">
        <f aca="false">IF(BI638="",0,MAX(0,MIN(1,(IF(CG638="L1",Parameter!$H$5,IF(CG638="L23",Parameter!$H$6+Parameter!$H$7,Parameter!$H$5+Parameter!$H$6+Parameter!$H$7))-(BI638-BD638))/BD638)))</f>
        <v>1</v>
      </c>
      <c r="BK638" s="60" t="str">
        <f aca="false">IF(AJ638&lt;=0,"",IF(CG638="Aussen","Aussenlager",IF(CG638="-","Nicht im Lift",IF(AP638&gt;=1,"Lift",IF(AP638&lt;=0,"Aussenlager","teilweise")))))</f>
        <v>Lift</v>
      </c>
      <c r="BL638" s="60" t="str">
        <f aca="false">IF(AT638&lt;=0,"",IF(CG638="Aussen","Aussenlager",IF(CG638="-","Nicht im Lift",IF(AZ638&gt;=1,"Lift",IF(AZ638&lt;=0,"Aussenlager","teilweise")))))</f>
        <v>Lift</v>
      </c>
      <c r="BM638" s="60" t="str">
        <f aca="false">IF(BD638&lt;=0,"",IF(CG638="Aussen","Aussenlager",IF(CG638="-","Nicht im Lift",IF(BJ638&gt;=1,"Lift",IF(BJ638&lt;=0,"Aussenlager","teilweise")))))</f>
        <v>Lift</v>
      </c>
      <c r="BN638" s="60" t="str">
        <f aca="false">IF(A638="","",IF(BW638=1,"Neu; ","")&amp;IF(AND(BW638=0,BR638&lt;0),"negativer Bestand (Export "&amp;BR638&amp;"); ","")&amp;IF(J638&lt;=0,"Kein Verbrauch; ","")&amp;IF(CR638&gt;0,"Lift "&amp;W638&amp;" lt. Liftbericht (Fach "&amp;X638&amp;" Stk); ",IF(CB638=1,"Gebinde geschätzt ("&amp;T638&amp;"); ",IF(CA638=1,"Lose – Tablare geschätzt; ","")))&amp;IF(H638&gt;AW638,"Überbestand "&amp;ROUND(H638-AW638,0)&amp;" Stk / CHF "&amp;ROUND((H638-AW638)*G638,0)&amp;"; ","")&amp;IF(AND(CI638=1,CJ638&lt;CK638),"MAX &lt; MB+LG; ","")&amp;IF(AND(CQ638&gt;0,CP638*10&gt;CQ638),"zu hoch für Tablar; ","")&amp;IF(AND(BW638=0,OR(CI638=1,AB638&lt;&gt;"",U638&lt;&gt;"",V638&lt;&gt;"",AC638&lt;&gt;"")),"manuell übersteuert; ","")&amp;IF(AND(CA638=0,R638=0),"Gebinde unbekannt / Stellmass fehlt; ","")&amp;IF(AND(CA638=0,N(V638)&lt;=0,N(Q638)&lt;=0),"Menge pro Gebinde fehlt (Ist = 1 Gebinde); ","")&amp;BV638)</f>
        <v>Kein Verbrauch; Gebinde geschätzt (Klein); Überbestand 42 Stk / CHF 0; Menge pro Gebinde fehlt (Ist = 1 Gebinde); </v>
      </c>
      <c r="BO638" s="60"/>
      <c r="BP638" s="60"/>
      <c r="BQ638" s="67"/>
      <c r="BR638" s="62" t="n">
        <v>43</v>
      </c>
      <c r="BS638" s="62" t="n">
        <v>0</v>
      </c>
      <c r="BT638" s="61" t="n">
        <v>0.43</v>
      </c>
      <c r="BU638" s="62" t="n">
        <v>0</v>
      </c>
      <c r="BV638" s="60"/>
      <c r="BW638" s="65" t="n">
        <v>0</v>
      </c>
      <c r="BX638" s="65" t="n">
        <v>638</v>
      </c>
      <c r="BY638" s="60" t="str">
        <f aca="false">IF(U638&lt;&gt;"",UPPER(TRIM(U638)),IF(CB638=1,UPPER(VLOOKUP(T638,Parameter!$I$27:$K$29,2,0)),IF(P638="","LOSE",P638)))</f>
        <v>S51</v>
      </c>
      <c r="BZ638" s="62" t="n">
        <f aca="false">IF(BY638="LOSE",1,IF(N(V638)&gt;0,V638,IF(CB638=1,MAX(1,N(VLOOKUP(T638,Parameter!$I$27:$K$29,3,0)),H638,N(N638)),IF(N(Q638)&gt;0,Q638,MAX(1,H638)))))</f>
        <v>43</v>
      </c>
      <c r="CA638" s="65" t="n">
        <f aca="false">IF(BY638="LOSE",1,0)</f>
        <v>0</v>
      </c>
      <c r="CB638" s="65" t="n">
        <f aca="false">IF(AND(U638="",OR(P638="",P638="LOSE"),T638&lt;&gt;"",N(S638)&lt;=0,ISNUMBER(MATCH(T638,Parameter!$I$27:$I$29,0))),1,0)</f>
        <v>1</v>
      </c>
      <c r="CC638" s="65" t="n">
        <f aca="false">IF(CR638&gt;0,INDEX(Parameter!$H$5:$H$7,W638)/INDEX(Parameter!$E$5:$E$7,W638),IF(AND(CA638=0,N(IFERROR(VLOOKUP(BY638,'Gebinde-Kategorie'!$A$5:$N$45,14,0),0))&gt;0),VLOOKUP(BY638,'Gebinde-Kategorie'!$A$5:$N$45,14,0)*10+Parameter!$M$23,Parameter!$M$24))</f>
        <v>155</v>
      </c>
      <c r="CD638" s="60" t="str">
        <f aca="false">IF(AND(Parameter!$B$19="Ja",E638&lt;&gt;"",ISNUMBER(MATCH(E638,Parameter!$I$35:$I$52,0))),VLOOKUP(E638,Parameter!$I$35:$J$52,2,0),IFERROR(VLOOKUP(D638,Parameter!$A$35:$C$64,2,0),"Nein"))</f>
        <v>2+3</v>
      </c>
      <c r="CE638" s="64" t="n">
        <f aca="false">IF(CA638=0,0,IF(N(S638)&gt;0,S638,IFERROR(VLOOKUP(D638,Parameter!$A$35:$C$64,3,0)+0,0)))</f>
        <v>0</v>
      </c>
      <c r="CF638" s="60" t="n">
        <f aca="false">IF(AB638&lt;&gt;"",AB638,AA638)</f>
        <v>3</v>
      </c>
      <c r="CG638" s="60" t="str">
        <f aca="false">IF(OR(CF638=1,CF638=2,CF638=3),IF(Parameter!$E$27="Ja","LIFT",IF(CF638=1,"L1","L23")),IF(CF638="Aussen","Aussen","-"))</f>
        <v>LIFT</v>
      </c>
      <c r="CH638" s="71" t="n">
        <f aca="false">IF(N(AC638)&gt;0,AC638,0)</f>
        <v>0</v>
      </c>
      <c r="CI638" s="65" t="n">
        <f aca="false">IF(ISNUMBER(AF638),1,0)</f>
        <v>0</v>
      </c>
      <c r="CJ638" s="62" t="n">
        <f aca="false">N(AF638)</f>
        <v>0</v>
      </c>
      <c r="CK638" s="62" t="n">
        <f aca="false">N(M638)+N(N638)</f>
        <v>1</v>
      </c>
      <c r="CL638" s="62" t="n">
        <f aca="false">N(M638)</f>
        <v>0</v>
      </c>
      <c r="CM638" s="62" t="n">
        <f aca="false">N(N638)</f>
        <v>1</v>
      </c>
      <c r="CN638" s="62" t="n">
        <f aca="false">ROUNDUP(H638/BZ638,0)</f>
        <v>1</v>
      </c>
      <c r="CO638" s="62" t="n">
        <f aca="false">ROUNDUP(CJ638/BZ638,0)</f>
        <v>0</v>
      </c>
      <c r="CP638" s="65" t="n">
        <f aca="false">IF(CA638=1,0,IFERROR(VLOOKUP(BY638,'Gebinde-Kategorie'!$A$5:$N$45,5,0)+0,0))</f>
        <v>11</v>
      </c>
      <c r="CQ638" s="65" t="n">
        <f aca="false">IFERROR(IF(OR(CF638=1,CF638=2,CF638=3),N(INDEX(Parameter!$I$5:$I$7,CF638)),0),0)</f>
        <v>0</v>
      </c>
      <c r="CR638" s="64" t="n">
        <f aca="false">IF(AND(Parameter!$B$21="Ja",ISNUMBER(W638),N(X638)&gt;0),IFERROR(N(INDEX(Parameter!$L$5:$L$7,W638))*INDEX(Parameter!$E$5:$E$7,W638)*X638/SUMIFS($X$7:$X$1843,$W$7:$W$1843,W638),0),0)</f>
        <v>0</v>
      </c>
      <c r="CS638" s="62" t="n">
        <f aca="false">IF(AND(OR(CG638="L1",CG638="L23",CG638="LIFT"),H638&gt;0),CC638*IF(CR638&gt;0,CR638*MAX(1,H638/X638),IF(CA638=1,CE638,IF(R638&gt;0,CN638/R638,0))/MAX(0.1,N(Parameter!$M$21))),"")</f>
        <v>5.96153846153846</v>
      </c>
      <c r="CT638" s="64" t="n">
        <f aca="false">IF(CS638="","",J638/H638)</f>
        <v>0</v>
      </c>
      <c r="CU638" s="62" t="n">
        <f aca="false">IF(CS638="","",H638*G638)</f>
        <v>0.43</v>
      </c>
      <c r="CV638" s="63" t="n">
        <f aca="false">IF(CS638="","",(CL638+ROUNDUP(CL638+MAX(CM638,2*(J638/MAX(0.1,N(Einkauf!$C$6))-CL638)),0))/2)</f>
        <v>0.5</v>
      </c>
      <c r="CW638" s="62" t="n">
        <f aca="false">IF(CS638="","",MAX(0,H638-CV638)*G638)</f>
        <v>0.425</v>
      </c>
      <c r="CX638" s="62" t="n">
        <f aca="false">IF(CS638="","",CS638*MAX(0,1-CV638/H638))</f>
        <v>5.89221824686941</v>
      </c>
      <c r="CY638" s="64" t="n">
        <f aca="false">IF(CS638="","",PERCENTRANK($CS$7:$CS$1843,CS638)+PERCENTRANK($CU$7:$CU$1843,CU638)+1-PERCENTRANK($CT$7:$CT$1843,CT638))</f>
        <v>1.36147</v>
      </c>
      <c r="CZ638" s="72" t="n">
        <f aca="false">IF(CS638="","",CHOOSE(MATCH(Einkauf!$C$5,Parameter!$G$23:$G$27,0),CY638,CS638,CU638,-CT638,CW638)+ROW()/1000000000)</f>
        <v>1.361470638</v>
      </c>
    </row>
    <row r="639" customFormat="false" ht="15" hidden="false" customHeight="false" outlineLevel="0" collapsed="false">
      <c r="A639" s="60" t="s">
        <v>1344</v>
      </c>
      <c r="B639" s="60" t="s">
        <v>991</v>
      </c>
      <c r="C639" s="60" t="s">
        <v>206</v>
      </c>
      <c r="D639" s="60" t="s">
        <v>226</v>
      </c>
      <c r="E639" s="60" t="s">
        <v>227</v>
      </c>
      <c r="F639" s="60" t="s">
        <v>260</v>
      </c>
      <c r="G639" s="61" t="n">
        <v>0.38</v>
      </c>
      <c r="H639" s="62" t="n">
        <f aca="false">MAX(0,IF(AND(Parameter!$B$21="Ja",ISNUMBER(Y639)),Y639,IF(Parameter!$B$20="Jahresanfang 2025 + Export",BS639+BR639,BR639)))</f>
        <v>14</v>
      </c>
      <c r="I639" s="62" t="n">
        <f aca="false">H639*G639</f>
        <v>5.32</v>
      </c>
      <c r="J639" s="62" t="n">
        <f aca="false">BU639*Parameter!$B$18</f>
        <v>2</v>
      </c>
      <c r="K639" s="63" t="n">
        <v>12.5</v>
      </c>
      <c r="L639" s="64" t="n">
        <v>0.16</v>
      </c>
      <c r="M639" s="62" t="n">
        <v>0</v>
      </c>
      <c r="N639" s="62" t="n">
        <v>1</v>
      </c>
      <c r="O639" s="65" t="n">
        <v>21</v>
      </c>
      <c r="P639" s="60" t="s">
        <v>468</v>
      </c>
      <c r="Q639" s="62" t="n">
        <v>36</v>
      </c>
      <c r="R639" s="65" t="n">
        <f aca="false">IF(CA639=1,0,IFERROR(VLOOKUP(BY639,'Gebinde-Kategorie'!$A$5:$N$45,13,0)+0,0))</f>
        <v>140</v>
      </c>
      <c r="S639" s="66"/>
      <c r="T639" s="67"/>
      <c r="U639" s="67"/>
      <c r="V639" s="67"/>
      <c r="W639" s="60"/>
      <c r="X639" s="62"/>
      <c r="Y639" s="62"/>
      <c r="Z639" s="60" t="n">
        <v>3</v>
      </c>
      <c r="AA639" s="60" t="n">
        <f aca="false">IF(A639="","",IF(AND(Parameter!$B$21="Ja",ISNUMBER(W639)),W639,IF(AND(Parameter!$E$27="Ja",ISNUMBER(Z639),CD639&lt;&gt;"Nein"),Z639,IF(CD639="2+3",IF(ISNUMBER(SEARCH("grosser Artikel",BV639)),2,IFERROR(VLOOKUP(BY639,Parameter!$F$35:$G$64,2,0),2)),IF(OR(CD639="Nein",CD639=""),"-",CD639)))))</f>
        <v>3</v>
      </c>
      <c r="AB639" s="67"/>
      <c r="AC639" s="68"/>
      <c r="AD639" s="62" t="n">
        <f aca="false">AW639</f>
        <v>2</v>
      </c>
      <c r="AE639" s="62" t="n">
        <f aca="false">MAX(AW639,H639)</f>
        <v>14</v>
      </c>
      <c r="AF639" s="69"/>
      <c r="AG639" s="62" t="n">
        <f aca="false">IF(LEFT(Cockpit!$C$5,1)="A",H639,IF(Parameter!$E$30="MAX-Bestand",IF(CI639=1,CJ639,IF(LEFT(Cockpit!$C$5,1)="B",AM639,MAX(AM639,H639))),ROUNDUP(AK639,0)))</f>
        <v>14</v>
      </c>
      <c r="AH639" s="62" t="n">
        <f aca="false">IF(CA639=1,0,ROUNDUP(AG639/BZ639,0))</f>
        <v>1</v>
      </c>
      <c r="AI639" s="64" t="n">
        <f aca="false">IF(CR639&gt;0,CR639*MAX(1,AG639/X639),IF(CA639=1,IF(AG639&lt;=0,0,CE639*MAX(1,IF(H639&gt;0,AG639/H639,1))),IF(R639&gt;0,AH639/R639,0))/MAX(0.1,N(Parameter!$M$21)))</f>
        <v>0.00714285714285714</v>
      </c>
      <c r="AJ639" s="62" t="n">
        <f aca="false">AI639*CC639</f>
        <v>1.10714285714286</v>
      </c>
      <c r="AK639" s="63" t="n">
        <f aca="false">IF(LEFT(Cockpit!$C$5,1)="A",H639,IF(CI639=1,(CL639+CJ639)/2,IF(LEFT(Cockpit!$C$5,1)="B",(CL639+AM639)/2,MAX((CL639+AM639)/2,H639))))</f>
        <v>14</v>
      </c>
      <c r="AL639" s="62" t="n">
        <f aca="false">AK639*G639</f>
        <v>5.32</v>
      </c>
      <c r="AM639" s="62" t="n">
        <f aca="false">ROUNDUP(CL639+MAX(CM639,2*(J639/IF(CH639&gt;0,CH639,MAX(0.1,N(Cockpit!$C$6)))-CL639)),0)</f>
        <v>2</v>
      </c>
      <c r="AN639" s="63" t="n">
        <f aca="false">IF(AJ639&gt;0,J639/AJ639,-1)</f>
        <v>1.80645161290323</v>
      </c>
      <c r="AO639" s="63" t="n">
        <f aca="false">IF(AND(OR(CG639="L1",CG639="L23",CG639="LIFT"),AJ639&gt;0),SUMIFS($AJ$7:$AJ$1843,$CG$7:$CG$1843,CG639,$AN$7:$AN$1843,"&gt;"&amp;AN639)+SUMIFS($AJ$7:$AJ$1843,$CG$7:$CG$1843,CG639,$AN$7:$AN$1843,AN639,$BX$7:$BX$1843,"&lt;="&amp;BX639),"")</f>
        <v>5964.23672161172</v>
      </c>
      <c r="AP639" s="70" t="n">
        <f aca="false">IF(AO639="",0,MAX(0,MIN(1,(IF(CG639="L1",Parameter!$H$5,IF(CG639="L23",Parameter!$H$6+Parameter!$H$7,Parameter!$H$5+Parameter!$H$6+Parameter!$H$7))-(AO639-AJ639))/AJ639)))</f>
        <v>1</v>
      </c>
      <c r="AQ639" s="62" t="n">
        <f aca="false">IF(LEFT(Cockpit!$I$5,1)="A",H639,IF(Parameter!$E$30="MAX-Bestand",IF(CI639=1,CJ639,IF(LEFT(Cockpit!$I$5,1)="B",AW639,MAX(AW639,H639))),ROUNDUP(AU639,0)))</f>
        <v>14</v>
      </c>
      <c r="AR639" s="62" t="n">
        <f aca="false">IF(CA639=1,0,ROUNDUP(AQ639/BZ639,0))</f>
        <v>1</v>
      </c>
      <c r="AS639" s="64" t="n">
        <f aca="false">IF(CR639&gt;0,CR639*MAX(1,AQ639/X639),IF(CA639=1,IF(AQ639&lt;=0,0,CE639*MAX(1,IF(H639&gt;0,AQ639/H639,1))),IF(R639&gt;0,AR639/R639,0))/MAX(0.1,N(Parameter!$M$21)))</f>
        <v>0.00714285714285714</v>
      </c>
      <c r="AT639" s="62" t="n">
        <f aca="false">AS639*CC639</f>
        <v>1.10714285714286</v>
      </c>
      <c r="AU639" s="63" t="n">
        <f aca="false">IF(LEFT(Cockpit!$I$5,1)="A",H639,IF(CI639=1,(CL639+CJ639)/2,IF(LEFT(Cockpit!$I$5,1)="B",(CL639+AW639)/2,MAX((CL639+AW639)/2,H639))))</f>
        <v>14</v>
      </c>
      <c r="AV639" s="62" t="n">
        <f aca="false">AU639*G639</f>
        <v>5.32</v>
      </c>
      <c r="AW639" s="62" t="n">
        <f aca="false">ROUNDUP(CL639+MAX(CM639,2*(J639/IF(CH639&gt;0,CH639,MAX(0.1,N(Cockpit!$I$6)))-CL639)),0)</f>
        <v>2</v>
      </c>
      <c r="AX639" s="63" t="n">
        <f aca="false">IF(AT639&gt;0,J639/AT639,-1)</f>
        <v>1.80645161290323</v>
      </c>
      <c r="AY639" s="63" t="n">
        <f aca="false">IF(AND(OR(CG639="L1",CG639="L23",CG639="LIFT"),AT639&gt;0),SUMIFS($AT$7:$AT$1843,$CG$7:$CG$1843,CG639,$AX$7:$AX$1843,"&gt;"&amp;AX639)+SUMIFS($AT$7:$AT$1843,$CG$7:$CG$1843,CG639,$AX$7:$AX$1843,AX639,$BX$7:$BX$1843,"&lt;="&amp;BX639),"")</f>
        <v>7401.75961538462</v>
      </c>
      <c r="AZ639" s="70" t="n">
        <f aca="false">IF(AY639="",0,MAX(0,MIN(1,(IF(CG639="L1",Parameter!$H$5,IF(CG639="L23",Parameter!$H$6+Parameter!$H$7,Parameter!$H$5+Parameter!$H$6+Parameter!$H$7))-(AY639-AT639))/AT639)))</f>
        <v>1</v>
      </c>
      <c r="BA639" s="62" t="n">
        <f aca="false">IF(LEFT(Cockpit!$O$5,1)="A",H639,IF(Parameter!$E$30="MAX-Bestand",IF(CI639=1,CJ639,IF(LEFT(Cockpit!$O$5,1)="B",BG639,MAX(BG639,H639))),ROUNDUP(BE639,0)))</f>
        <v>1</v>
      </c>
      <c r="BB639" s="62" t="n">
        <f aca="false">IF(CA639=1,0,ROUNDUP(BA639/BZ639,0))</f>
        <v>1</v>
      </c>
      <c r="BC639" s="64" t="n">
        <f aca="false">IF(CR639&gt;0,CR639*MAX(1,BA639/X639),IF(CA639=1,IF(BA639&lt;=0,0,CE639*MAX(1,IF(H639&gt;0,BA639/H639,1))),IF(R639&gt;0,BB639/R639,0))/MAX(0.1,N(Parameter!$M$21)))</f>
        <v>0.00714285714285714</v>
      </c>
      <c r="BD639" s="62" t="n">
        <f aca="false">BC639*CC639</f>
        <v>1.10714285714286</v>
      </c>
      <c r="BE639" s="63" t="n">
        <f aca="false">IF(LEFT(Cockpit!$O$5,1)="A",H639,IF(CI639=1,(CL639+CJ639)/2,IF(LEFT(Cockpit!$O$5,1)="B",(CL639+BG639)/2,MAX((CL639+BG639)/2,H639))))</f>
        <v>0.5</v>
      </c>
      <c r="BF639" s="62" t="n">
        <f aca="false">BE639*G639</f>
        <v>0.19</v>
      </c>
      <c r="BG639" s="62" t="n">
        <f aca="false">ROUNDUP(CL639+MAX(CM639,2*(J639/IF(CH639&gt;0,CH639,MAX(0.1,N(Cockpit!$O$6)))-CL639)),0)</f>
        <v>1</v>
      </c>
      <c r="BH639" s="63" t="n">
        <f aca="false">IF(BD639&gt;0,J639/BD639,-1)</f>
        <v>1.80645161290323</v>
      </c>
      <c r="BI639" s="63" t="n">
        <f aca="false">IF(AND(OR(CG639="L1",CG639="L23",CG639="LIFT"),BD639&gt;0),SUMIFS($BD$7:$BD$1843,$CG$7:$CG$1843,CG639,$BH$7:$BH$1843,"&gt;"&amp;BH639)+SUMIFS($BD$7:$BD$1843,$CG$7:$CG$1843,CG639,$BH$7:$BH$1843,BH639,$BX$7:$BX$1843,"&lt;="&amp;BX639),"")</f>
        <v>6089.6804029304</v>
      </c>
      <c r="BJ639" s="70" t="n">
        <f aca="false">IF(BI639="",0,MAX(0,MIN(1,(IF(CG639="L1",Parameter!$H$5,IF(CG639="L23",Parameter!$H$6+Parameter!$H$7,Parameter!$H$5+Parameter!$H$6+Parameter!$H$7))-(BI639-BD639))/BD639)))</f>
        <v>1</v>
      </c>
      <c r="BK639" s="60" t="str">
        <f aca="false">IF(AJ639&lt;=0,"",IF(CG639="Aussen","Aussenlager",IF(CG639="-","Nicht im Lift",IF(AP639&gt;=1,"Lift",IF(AP639&lt;=0,"Aussenlager","teilweise")))))</f>
        <v>Lift</v>
      </c>
      <c r="BL639" s="60" t="str">
        <f aca="false">IF(AT639&lt;=0,"",IF(CG639="Aussen","Aussenlager",IF(CG639="-","Nicht im Lift",IF(AZ639&gt;=1,"Lift",IF(AZ639&lt;=0,"Aussenlager","teilweise")))))</f>
        <v>Lift</v>
      </c>
      <c r="BM639" s="60" t="str">
        <f aca="false">IF(BD639&lt;=0,"",IF(CG639="Aussen","Aussenlager",IF(CG639="-","Nicht im Lift",IF(BJ639&gt;=1,"Lift",IF(BJ639&lt;=0,"Aussenlager","teilweise")))))</f>
        <v>Lift</v>
      </c>
      <c r="BN639" s="60" t="str">
        <f aca="false">IF(A639="","",IF(BW639=1,"Neu; ","")&amp;IF(AND(BW639=0,BR639&lt;0),"negativer Bestand (Export "&amp;BR639&amp;"); ","")&amp;IF(J639&lt;=0,"Kein Verbrauch; ","")&amp;IF(CR639&gt;0,"Lift "&amp;W639&amp;" lt. Liftbericht (Fach "&amp;X639&amp;" Stk); ",IF(CB639=1,"Gebinde geschätzt ("&amp;T639&amp;"); ",IF(CA639=1,"Lose – Tablare geschätzt; ","")))&amp;IF(H639&gt;AW639,"Überbestand "&amp;ROUND(H639-AW639,0)&amp;" Stk / CHF "&amp;ROUND((H639-AW639)*G639,0)&amp;"; ","")&amp;IF(AND(CI639=1,CJ639&lt;CK639),"MAX &lt; MB+LG; ","")&amp;IF(AND(CQ639&gt;0,CP639*10&gt;CQ639),"zu hoch für Tablar; ","")&amp;IF(AND(BW639=0,OR(CI639=1,AB639&lt;&gt;"",U639&lt;&gt;"",V639&lt;&gt;"",AC639&lt;&gt;"")),"manuell übersteuert; ","")&amp;IF(AND(CA639=0,R639=0),"Gebinde unbekannt / Stellmass fehlt; ","")&amp;IF(AND(CA639=0,N(V639)&lt;=0,N(Q639)&lt;=0),"Menge pro Gebinde fehlt (Ist = 1 Gebinde); ","")&amp;BV639)</f>
        <v>Überbestand 12 Stk / CHF 5; Überbestand</v>
      </c>
      <c r="BO639" s="60"/>
      <c r="BP639" s="60"/>
      <c r="BQ639" s="67"/>
      <c r="BR639" s="62" t="n">
        <v>1</v>
      </c>
      <c r="BS639" s="62" t="n">
        <v>13</v>
      </c>
      <c r="BT639" s="61" t="n">
        <v>0.38</v>
      </c>
      <c r="BU639" s="62" t="n">
        <v>2</v>
      </c>
      <c r="BV639" s="60" t="s">
        <v>434</v>
      </c>
      <c r="BW639" s="65" t="n">
        <v>0</v>
      </c>
      <c r="BX639" s="65" t="n">
        <v>639</v>
      </c>
      <c r="BY639" s="60" t="str">
        <f aca="false">IF(U639&lt;&gt;"",UPPER(TRIM(U639)),IF(CB639=1,UPPER(VLOOKUP(T639,Parameter!$I$27:$K$29,2,0)),IF(P639="","LOSE",P639)))</f>
        <v>S22</v>
      </c>
      <c r="BZ639" s="62" t="n">
        <f aca="false">IF(BY639="LOSE",1,IF(N(V639)&gt;0,V639,IF(CB639=1,MAX(1,N(VLOOKUP(T639,Parameter!$I$27:$K$29,3,0)),H639,N(N639)),IF(N(Q639)&gt;0,Q639,MAX(1,H639)))))</f>
        <v>36</v>
      </c>
      <c r="CA639" s="65" t="n">
        <f aca="false">IF(BY639="LOSE",1,0)</f>
        <v>0</v>
      </c>
      <c r="CB639" s="65" t="n">
        <f aca="false">IF(AND(U639="",OR(P639="",P639="LOSE"),T639&lt;&gt;"",N(S639)&lt;=0,ISNUMBER(MATCH(T639,Parameter!$I$27:$I$29,0))),1,0)</f>
        <v>0</v>
      </c>
      <c r="CC639" s="65" t="n">
        <f aca="false">IF(CR639&gt;0,INDEX(Parameter!$H$5:$H$7,W639)/INDEX(Parameter!$E$5:$E$7,W639),IF(AND(CA639=0,N(IFERROR(VLOOKUP(BY639,'Gebinde-Kategorie'!$A$5:$N$45,14,0),0))&gt;0),VLOOKUP(BY639,'Gebinde-Kategorie'!$A$5:$N$45,14,0)*10+Parameter!$M$23,Parameter!$M$24))</f>
        <v>155</v>
      </c>
      <c r="CD639" s="60" t="str">
        <f aca="false">IF(AND(Parameter!$B$19="Ja",E639&lt;&gt;"",ISNUMBER(MATCH(E639,Parameter!$I$35:$I$52,0))),VLOOKUP(E639,Parameter!$I$35:$J$52,2,0),IFERROR(VLOOKUP(D639,Parameter!$A$35:$C$64,2,0),"Nein"))</f>
        <v>2+3</v>
      </c>
      <c r="CE639" s="64" t="n">
        <f aca="false">IF(CA639=0,0,IF(N(S639)&gt;0,S639,IFERROR(VLOOKUP(D639,Parameter!$A$35:$C$64,3,0)+0,0)))</f>
        <v>0</v>
      </c>
      <c r="CF639" s="60" t="n">
        <f aca="false">IF(AB639&lt;&gt;"",AB639,AA639)</f>
        <v>3</v>
      </c>
      <c r="CG639" s="60" t="str">
        <f aca="false">IF(OR(CF639=1,CF639=2,CF639=3),IF(Parameter!$E$27="Ja","LIFT",IF(CF639=1,"L1","L23")),IF(CF639="Aussen","Aussen","-"))</f>
        <v>LIFT</v>
      </c>
      <c r="CH639" s="71" t="n">
        <f aca="false">IF(N(AC639)&gt;0,AC639,0)</f>
        <v>0</v>
      </c>
      <c r="CI639" s="65" t="n">
        <f aca="false">IF(ISNUMBER(AF639),1,0)</f>
        <v>0</v>
      </c>
      <c r="CJ639" s="62" t="n">
        <f aca="false">N(AF639)</f>
        <v>0</v>
      </c>
      <c r="CK639" s="62" t="n">
        <f aca="false">N(M639)+N(N639)</f>
        <v>1</v>
      </c>
      <c r="CL639" s="62" t="n">
        <f aca="false">N(M639)</f>
        <v>0</v>
      </c>
      <c r="CM639" s="62" t="n">
        <f aca="false">N(N639)</f>
        <v>1</v>
      </c>
      <c r="CN639" s="62" t="n">
        <f aca="false">ROUNDUP(H639/BZ639,0)</f>
        <v>1</v>
      </c>
      <c r="CO639" s="62" t="n">
        <f aca="false">ROUNDUP(CJ639/BZ639,0)</f>
        <v>0</v>
      </c>
      <c r="CP639" s="65" t="n">
        <f aca="false">IF(CA639=1,0,IFERROR(VLOOKUP(BY639,'Gebinde-Kategorie'!$A$5:$N$45,5,0)+0,0))</f>
        <v>8</v>
      </c>
      <c r="CQ639" s="65" t="n">
        <f aca="false">IFERROR(IF(OR(CF639=1,CF639=2,CF639=3),N(INDEX(Parameter!$I$5:$I$7,CF639)),0),0)</f>
        <v>0</v>
      </c>
      <c r="CR639" s="64" t="n">
        <f aca="false">IF(AND(Parameter!$B$21="Ja",ISNUMBER(W639),N(X639)&gt;0),IFERROR(N(INDEX(Parameter!$L$5:$L$7,W639))*INDEX(Parameter!$E$5:$E$7,W639)*X639/SUMIFS($X$7:$X$1843,$W$7:$W$1843,W639),0),0)</f>
        <v>0</v>
      </c>
      <c r="CS639" s="62" t="n">
        <f aca="false">IF(AND(OR(CG639="L1",CG639="L23",CG639="LIFT"),H639&gt;0),CC639*IF(CR639&gt;0,CR639*MAX(1,H639/X639),IF(CA639=1,CE639,IF(R639&gt;0,CN639/R639,0))/MAX(0.1,N(Parameter!$M$21))),"")</f>
        <v>1.10714285714286</v>
      </c>
      <c r="CT639" s="64" t="n">
        <f aca="false">IF(CS639="","",J639/H639)</f>
        <v>0.142857142857143</v>
      </c>
      <c r="CU639" s="62" t="n">
        <f aca="false">IF(CS639="","",H639*G639)</f>
        <v>5.32</v>
      </c>
      <c r="CV639" s="63" t="n">
        <f aca="false">IF(CS639="","",(CL639+ROUNDUP(CL639+MAX(CM639,2*(J639/MAX(0.1,N(Einkauf!$C$6))-CL639)),0))/2)</f>
        <v>0.5</v>
      </c>
      <c r="CW639" s="62" t="n">
        <f aca="false">IF(CS639="","",MAX(0,H639-CV639)*G639)</f>
        <v>5.13</v>
      </c>
      <c r="CX639" s="62" t="n">
        <f aca="false">IF(CS639="","",CS639*MAX(0,1-CV639/H639))</f>
        <v>1.06760204081633</v>
      </c>
      <c r="CY639" s="64" t="n">
        <f aca="false">IF(CS639="","",PERCENTRANK($CS$7:$CS$1843,CS639)+PERCENTRANK($CU$7:$CU$1843,CU639)+1-PERCENTRANK($CT$7:$CT$1843,CT639))</f>
        <v>0.6358</v>
      </c>
      <c r="CZ639" s="72" t="n">
        <f aca="false">IF(CS639="","",CHOOSE(MATCH(Einkauf!$C$5,Parameter!$G$23:$G$27,0),CY639,CS639,CU639,-CT639,CW639)+ROW()/1000000000)</f>
        <v>0.635800639</v>
      </c>
    </row>
    <row r="640" customFormat="false" ht="15" hidden="false" customHeight="false" outlineLevel="0" collapsed="false">
      <c r="A640" s="60" t="s">
        <v>1345</v>
      </c>
      <c r="B640" s="60" t="s">
        <v>1346</v>
      </c>
      <c r="C640" s="60" t="s">
        <v>206</v>
      </c>
      <c r="D640" s="60" t="s">
        <v>215</v>
      </c>
      <c r="E640" s="60"/>
      <c r="F640" s="60" t="s">
        <v>260</v>
      </c>
      <c r="G640" s="61" t="n">
        <v>0.01</v>
      </c>
      <c r="H640" s="62" t="n">
        <f aca="false">MAX(0,IF(AND(Parameter!$B$21="Ja",ISNUMBER(Y640)),Y640,IF(Parameter!$B$20="Jahresanfang 2025 + Export",BS640+BR640,BR640)))</f>
        <v>37</v>
      </c>
      <c r="I640" s="62" t="n">
        <f aca="false">H640*G640</f>
        <v>0.37</v>
      </c>
      <c r="J640" s="62" t="n">
        <f aca="false">BU640*Parameter!$B$18</f>
        <v>0</v>
      </c>
      <c r="K640" s="63" t="n">
        <v>0</v>
      </c>
      <c r="L640" s="64" t="n">
        <v>0</v>
      </c>
      <c r="M640" s="62" t="n">
        <v>0</v>
      </c>
      <c r="N640" s="62" t="n">
        <v>1</v>
      </c>
      <c r="O640" s="65" t="n">
        <v>999</v>
      </c>
      <c r="P640" s="60" t="s">
        <v>210</v>
      </c>
      <c r="Q640" s="62"/>
      <c r="R640" s="65" t="n">
        <f aca="false">IF(CA640=1,0,IFERROR(VLOOKUP(BY640,'Gebinde-Kategorie'!$A$5:$N$45,13,0)+0,0))</f>
        <v>26</v>
      </c>
      <c r="S640" s="66"/>
      <c r="T640" s="67" t="s">
        <v>317</v>
      </c>
      <c r="U640" s="67"/>
      <c r="V640" s="67"/>
      <c r="W640" s="60"/>
      <c r="X640" s="62"/>
      <c r="Y640" s="62"/>
      <c r="Z640" s="60" t="n">
        <v>3</v>
      </c>
      <c r="AA640" s="60" t="n">
        <f aca="false">IF(A640="","",IF(AND(Parameter!$B$21="Ja",ISNUMBER(W640)),W640,IF(AND(Parameter!$E$27="Ja",ISNUMBER(Z640),CD640&lt;&gt;"Nein"),Z640,IF(CD640="2+3",IF(ISNUMBER(SEARCH("grosser Artikel",BV640)),2,IFERROR(VLOOKUP(BY640,Parameter!$F$35:$G$64,2,0),2)),IF(OR(CD640="Nein",CD640=""),"-",CD640)))))</f>
        <v>3</v>
      </c>
      <c r="AB640" s="67"/>
      <c r="AC640" s="68"/>
      <c r="AD640" s="62" t="n">
        <f aca="false">AW640</f>
        <v>1</v>
      </c>
      <c r="AE640" s="62" t="n">
        <f aca="false">MAX(AW640,H640)</f>
        <v>37</v>
      </c>
      <c r="AF640" s="69"/>
      <c r="AG640" s="62" t="n">
        <f aca="false">IF(LEFT(Cockpit!$C$5,1)="A",H640,IF(Parameter!$E$30="MAX-Bestand",IF(CI640=1,CJ640,IF(LEFT(Cockpit!$C$5,1)="B",AM640,MAX(AM640,H640))),ROUNDUP(AK640,0)))</f>
        <v>37</v>
      </c>
      <c r="AH640" s="62" t="n">
        <f aca="false">IF(CA640=1,0,ROUNDUP(AG640/BZ640,0))</f>
        <v>1</v>
      </c>
      <c r="AI640" s="64" t="n">
        <f aca="false">IF(CR640&gt;0,CR640*MAX(1,AG640/X640),IF(CA640=1,IF(AG640&lt;=0,0,CE640*MAX(1,IF(H640&gt;0,AG640/H640,1))),IF(R640&gt;0,AH640/R640,0))/MAX(0.1,N(Parameter!$M$21)))</f>
        <v>0.0384615384615385</v>
      </c>
      <c r="AJ640" s="62" t="n">
        <f aca="false">AI640*CC640</f>
        <v>5.96153846153846</v>
      </c>
      <c r="AK640" s="63" t="n">
        <f aca="false">IF(LEFT(Cockpit!$C$5,1)="A",H640,IF(CI640=1,(CL640+CJ640)/2,IF(LEFT(Cockpit!$C$5,1)="B",(CL640+AM640)/2,MAX((CL640+AM640)/2,H640))))</f>
        <v>37</v>
      </c>
      <c r="AL640" s="62" t="n">
        <f aca="false">AK640*G640</f>
        <v>0.37</v>
      </c>
      <c r="AM640" s="62" t="n">
        <f aca="false">ROUNDUP(CL640+MAX(CM640,2*(J640/IF(CH640&gt;0,CH640,MAX(0.1,N(Cockpit!$C$6)))-CL640)),0)</f>
        <v>1</v>
      </c>
      <c r="AN640" s="63" t="n">
        <f aca="false">IF(AJ640&gt;0,J640/AJ640,-1)</f>
        <v>0</v>
      </c>
      <c r="AO640" s="63" t="n">
        <f aca="false">IF(AND(OR(CG640="L1",CG640="L23",CG640="LIFT"),AJ640&gt;0),SUMIFS($AJ$7:$AJ$1843,$CG$7:$CG$1843,CG640,$AN$7:$AN$1843,"&gt;"&amp;AN640)+SUMIFS($AJ$7:$AJ$1843,$CG$7:$CG$1843,CG640,$AN$7:$AN$1843,AN640,$BX$7:$BX$1843,"&lt;="&amp;BX640),"")</f>
        <v>28593.2085014797</v>
      </c>
      <c r="AP640" s="70" t="n">
        <f aca="false">IF(AO640="",0,MAX(0,MIN(1,(IF(CG640="L1",Parameter!$H$5,IF(CG640="L23",Parameter!$H$6+Parameter!$H$7,Parameter!$H$5+Parameter!$H$6+Parameter!$H$7))-(AO640-AJ640))/AJ640)))</f>
        <v>1</v>
      </c>
      <c r="AQ640" s="62" t="n">
        <f aca="false">IF(LEFT(Cockpit!$I$5,1)="A",H640,IF(Parameter!$E$30="MAX-Bestand",IF(CI640=1,CJ640,IF(LEFT(Cockpit!$I$5,1)="B",AW640,MAX(AW640,H640))),ROUNDUP(AU640,0)))</f>
        <v>37</v>
      </c>
      <c r="AR640" s="62" t="n">
        <f aca="false">IF(CA640=1,0,ROUNDUP(AQ640/BZ640,0))</f>
        <v>1</v>
      </c>
      <c r="AS640" s="64" t="n">
        <f aca="false">IF(CR640&gt;0,CR640*MAX(1,AQ640/X640),IF(CA640=1,IF(AQ640&lt;=0,0,CE640*MAX(1,IF(H640&gt;0,AQ640/H640,1))),IF(R640&gt;0,AR640/R640,0))/MAX(0.1,N(Parameter!$M$21)))</f>
        <v>0.0384615384615385</v>
      </c>
      <c r="AT640" s="62" t="n">
        <f aca="false">AS640*CC640</f>
        <v>5.96153846153846</v>
      </c>
      <c r="AU640" s="63" t="n">
        <f aca="false">IF(LEFT(Cockpit!$I$5,1)="A",H640,IF(CI640=1,(CL640+CJ640)/2,IF(LEFT(Cockpit!$I$5,1)="B",(CL640+AW640)/2,MAX((CL640+AW640)/2,H640))))</f>
        <v>37</v>
      </c>
      <c r="AV640" s="62" t="n">
        <f aca="false">AU640*G640</f>
        <v>0.37</v>
      </c>
      <c r="AW640" s="62" t="n">
        <f aca="false">ROUNDUP(CL640+MAX(CM640,2*(J640/IF(CH640&gt;0,CH640,MAX(0.1,N(Cockpit!$I$6)))-CL640)),0)</f>
        <v>1</v>
      </c>
      <c r="AX640" s="63" t="n">
        <f aca="false">IF(AT640&gt;0,J640/AT640,-1)</f>
        <v>0</v>
      </c>
      <c r="AY640" s="63" t="n">
        <f aca="false">IF(AND(OR(CG640="L1",CG640="L23",CG640="LIFT"),AT640&gt;0),SUMIFS($AT$7:$AT$1843,$CG$7:$CG$1843,CG640,$AX$7:$AX$1843,"&gt;"&amp;AX640)+SUMIFS($AT$7:$AT$1843,$CG$7:$CG$1843,CG640,$AX$7:$AX$1843,AX640,$BX$7:$BX$1843,"&lt;="&amp;BX640),"")</f>
        <v>33946.3571428571</v>
      </c>
      <c r="AZ640" s="70" t="n">
        <f aca="false">IF(AY640="",0,MAX(0,MIN(1,(IF(CG640="L1",Parameter!$H$5,IF(CG640="L23",Parameter!$H$6+Parameter!$H$7,Parameter!$H$5+Parameter!$H$6+Parameter!$H$7))-(AY640-AT640))/AT640)))</f>
        <v>1</v>
      </c>
      <c r="BA640" s="62" t="n">
        <f aca="false">IF(LEFT(Cockpit!$O$5,1)="A",H640,IF(Parameter!$E$30="MAX-Bestand",IF(CI640=1,CJ640,IF(LEFT(Cockpit!$O$5,1)="B",BG640,MAX(BG640,H640))),ROUNDUP(BE640,0)))</f>
        <v>1</v>
      </c>
      <c r="BB640" s="62" t="n">
        <f aca="false">IF(CA640=1,0,ROUNDUP(BA640/BZ640,0))</f>
        <v>1</v>
      </c>
      <c r="BC640" s="64" t="n">
        <f aca="false">IF(CR640&gt;0,CR640*MAX(1,BA640/X640),IF(CA640=1,IF(BA640&lt;=0,0,CE640*MAX(1,IF(H640&gt;0,BA640/H640,1))),IF(R640&gt;0,BB640/R640,0))/MAX(0.1,N(Parameter!$M$21)))</f>
        <v>0.0384615384615385</v>
      </c>
      <c r="BD640" s="62" t="n">
        <f aca="false">BC640*CC640</f>
        <v>5.96153846153846</v>
      </c>
      <c r="BE640" s="63" t="n">
        <f aca="false">IF(LEFT(Cockpit!$O$5,1)="A",H640,IF(CI640=1,(CL640+CJ640)/2,IF(LEFT(Cockpit!$O$5,1)="B",(CL640+BG640)/2,MAX((CL640+BG640)/2,H640))))</f>
        <v>0.5</v>
      </c>
      <c r="BF640" s="62" t="n">
        <f aca="false">BE640*G640</f>
        <v>0.005</v>
      </c>
      <c r="BG640" s="62" t="n">
        <f aca="false">ROUNDUP(CL640+MAX(CM640,2*(J640/IF(CH640&gt;0,CH640,MAX(0.1,N(Cockpit!$O$6)))-CL640)),0)</f>
        <v>1</v>
      </c>
      <c r="BH640" s="63" t="n">
        <f aca="false">IF(BD640&gt;0,J640/BD640,-1)</f>
        <v>0</v>
      </c>
      <c r="BI640" s="63" t="n">
        <f aca="false">IF(AND(OR(CG640="L1",CG640="L23",CG640="LIFT"),BD640&gt;0),SUMIFS($BD$7:$BD$1843,$CG$7:$CG$1843,CG640,$BH$7:$BH$1843,"&gt;"&amp;BH640)+SUMIFS($BD$7:$BD$1843,$CG$7:$CG$1843,CG640,$BH$7:$BH$1843,BH640,$BX$7:$BX$1843,"&lt;="&amp;BX640),"")</f>
        <v>28012.7004330415</v>
      </c>
      <c r="BJ640" s="70" t="n">
        <f aca="false">IF(BI640="",0,MAX(0,MIN(1,(IF(CG640="L1",Parameter!$H$5,IF(CG640="L23",Parameter!$H$6+Parameter!$H$7,Parameter!$H$5+Parameter!$H$6+Parameter!$H$7))-(BI640-BD640))/BD640)))</f>
        <v>1</v>
      </c>
      <c r="BK640" s="60" t="str">
        <f aca="false">IF(AJ640&lt;=0,"",IF(CG640="Aussen","Aussenlager",IF(CG640="-","Nicht im Lift",IF(AP640&gt;=1,"Lift",IF(AP640&lt;=0,"Aussenlager","teilweise")))))</f>
        <v>Lift</v>
      </c>
      <c r="BL640" s="60" t="str">
        <f aca="false">IF(AT640&lt;=0,"",IF(CG640="Aussen","Aussenlager",IF(CG640="-","Nicht im Lift",IF(AZ640&gt;=1,"Lift",IF(AZ640&lt;=0,"Aussenlager","teilweise")))))</f>
        <v>Lift</v>
      </c>
      <c r="BM640" s="60" t="str">
        <f aca="false">IF(BD640&lt;=0,"",IF(CG640="Aussen","Aussenlager",IF(CG640="-","Nicht im Lift",IF(BJ640&gt;=1,"Lift",IF(BJ640&lt;=0,"Aussenlager","teilweise")))))</f>
        <v>Lift</v>
      </c>
      <c r="BN640" s="60" t="str">
        <f aca="false">IF(A640="","",IF(BW640=1,"Neu; ","")&amp;IF(AND(BW640=0,BR640&lt;0),"negativer Bestand (Export "&amp;BR640&amp;"); ","")&amp;IF(J640&lt;=0,"Kein Verbrauch; ","")&amp;IF(CR640&gt;0,"Lift "&amp;W640&amp;" lt. Liftbericht (Fach "&amp;X640&amp;" Stk); ",IF(CB640=1,"Gebinde geschätzt ("&amp;T640&amp;"); ",IF(CA640=1,"Lose – Tablare geschätzt; ","")))&amp;IF(H640&gt;AW640,"Überbestand "&amp;ROUND(H640-AW640,0)&amp;" Stk / CHF "&amp;ROUND((H640-AW640)*G640,0)&amp;"; ","")&amp;IF(AND(CI640=1,CJ640&lt;CK640),"MAX &lt; MB+LG; ","")&amp;IF(AND(CQ640&gt;0,CP640*10&gt;CQ640),"zu hoch für Tablar; ","")&amp;IF(AND(BW640=0,OR(CI640=1,AB640&lt;&gt;"",U640&lt;&gt;"",V640&lt;&gt;"",AC640&lt;&gt;"")),"manuell übersteuert; ","")&amp;IF(AND(CA640=0,R640=0),"Gebinde unbekannt / Stellmass fehlt; ","")&amp;IF(AND(CA640=0,N(V640)&lt;=0,N(Q640)&lt;=0),"Menge pro Gebinde fehlt (Ist = 1 Gebinde); ","")&amp;BV640)</f>
        <v>Kein Verbrauch; Gebinde geschätzt (Klein); Überbestand 36 Stk / CHF 0; Menge pro Gebinde fehlt (Ist = 1 Gebinde); </v>
      </c>
      <c r="BO640" s="60"/>
      <c r="BP640" s="60"/>
      <c r="BQ640" s="67"/>
      <c r="BR640" s="62" t="n">
        <v>37</v>
      </c>
      <c r="BS640" s="62" t="n">
        <v>0</v>
      </c>
      <c r="BT640" s="61" t="n">
        <v>0.37</v>
      </c>
      <c r="BU640" s="62" t="n">
        <v>0</v>
      </c>
      <c r="BV640" s="60"/>
      <c r="BW640" s="65" t="n">
        <v>0</v>
      </c>
      <c r="BX640" s="65" t="n">
        <v>640</v>
      </c>
      <c r="BY640" s="60" t="str">
        <f aca="false">IF(U640&lt;&gt;"",UPPER(TRIM(U640)),IF(CB640=1,UPPER(VLOOKUP(T640,Parameter!$I$27:$K$29,2,0)),IF(P640="","LOSE",P640)))</f>
        <v>S51</v>
      </c>
      <c r="BZ640" s="62" t="n">
        <f aca="false">IF(BY640="LOSE",1,IF(N(V640)&gt;0,V640,IF(CB640=1,MAX(1,N(VLOOKUP(T640,Parameter!$I$27:$K$29,3,0)),H640,N(N640)),IF(N(Q640)&gt;0,Q640,MAX(1,H640)))))</f>
        <v>37</v>
      </c>
      <c r="CA640" s="65" t="n">
        <f aca="false">IF(BY640="LOSE",1,0)</f>
        <v>0</v>
      </c>
      <c r="CB640" s="65" t="n">
        <f aca="false">IF(AND(U640="",OR(P640="",P640="LOSE"),T640&lt;&gt;"",N(S640)&lt;=0,ISNUMBER(MATCH(T640,Parameter!$I$27:$I$29,0))),1,0)</f>
        <v>1</v>
      </c>
      <c r="CC640" s="65" t="n">
        <f aca="false">IF(CR640&gt;0,INDEX(Parameter!$H$5:$H$7,W640)/INDEX(Parameter!$E$5:$E$7,W640),IF(AND(CA640=0,N(IFERROR(VLOOKUP(BY640,'Gebinde-Kategorie'!$A$5:$N$45,14,0),0))&gt;0),VLOOKUP(BY640,'Gebinde-Kategorie'!$A$5:$N$45,14,0)*10+Parameter!$M$23,Parameter!$M$24))</f>
        <v>155</v>
      </c>
      <c r="CD640" s="60" t="str">
        <f aca="false">IF(AND(Parameter!$B$19="Ja",E640&lt;&gt;"",ISNUMBER(MATCH(E640,Parameter!$I$35:$I$52,0))),VLOOKUP(E640,Parameter!$I$35:$J$52,2,0),IFERROR(VLOOKUP(D640,Parameter!$A$35:$C$64,2,0),"Nein"))</f>
        <v>2+3</v>
      </c>
      <c r="CE640" s="64" t="n">
        <f aca="false">IF(CA640=0,0,IF(N(S640)&gt;0,S640,IFERROR(VLOOKUP(D640,Parameter!$A$35:$C$64,3,0)+0,0)))</f>
        <v>0</v>
      </c>
      <c r="CF640" s="60" t="n">
        <f aca="false">IF(AB640&lt;&gt;"",AB640,AA640)</f>
        <v>3</v>
      </c>
      <c r="CG640" s="60" t="str">
        <f aca="false">IF(OR(CF640=1,CF640=2,CF640=3),IF(Parameter!$E$27="Ja","LIFT",IF(CF640=1,"L1","L23")),IF(CF640="Aussen","Aussen","-"))</f>
        <v>LIFT</v>
      </c>
      <c r="CH640" s="71" t="n">
        <f aca="false">IF(N(AC640)&gt;0,AC640,0)</f>
        <v>0</v>
      </c>
      <c r="CI640" s="65" t="n">
        <f aca="false">IF(ISNUMBER(AF640),1,0)</f>
        <v>0</v>
      </c>
      <c r="CJ640" s="62" t="n">
        <f aca="false">N(AF640)</f>
        <v>0</v>
      </c>
      <c r="CK640" s="62" t="n">
        <f aca="false">N(M640)+N(N640)</f>
        <v>1</v>
      </c>
      <c r="CL640" s="62" t="n">
        <f aca="false">N(M640)</f>
        <v>0</v>
      </c>
      <c r="CM640" s="62" t="n">
        <f aca="false">N(N640)</f>
        <v>1</v>
      </c>
      <c r="CN640" s="62" t="n">
        <f aca="false">ROUNDUP(H640/BZ640,0)</f>
        <v>1</v>
      </c>
      <c r="CO640" s="62" t="n">
        <f aca="false">ROUNDUP(CJ640/BZ640,0)</f>
        <v>0</v>
      </c>
      <c r="CP640" s="65" t="n">
        <f aca="false">IF(CA640=1,0,IFERROR(VLOOKUP(BY640,'Gebinde-Kategorie'!$A$5:$N$45,5,0)+0,0))</f>
        <v>11</v>
      </c>
      <c r="CQ640" s="65" t="n">
        <f aca="false">IFERROR(IF(OR(CF640=1,CF640=2,CF640=3),N(INDEX(Parameter!$I$5:$I$7,CF640)),0),0)</f>
        <v>0</v>
      </c>
      <c r="CR640" s="64" t="n">
        <f aca="false">IF(AND(Parameter!$B$21="Ja",ISNUMBER(W640),N(X640)&gt;0),IFERROR(N(INDEX(Parameter!$L$5:$L$7,W640))*INDEX(Parameter!$E$5:$E$7,W640)*X640/SUMIFS($X$7:$X$1843,$W$7:$W$1843,W640),0),0)</f>
        <v>0</v>
      </c>
      <c r="CS640" s="62" t="n">
        <f aca="false">IF(AND(OR(CG640="L1",CG640="L23",CG640="LIFT"),H640&gt;0),CC640*IF(CR640&gt;0,CR640*MAX(1,H640/X640),IF(CA640=1,CE640,IF(R640&gt;0,CN640/R640,0))/MAX(0.1,N(Parameter!$M$21))),"")</f>
        <v>5.96153846153846</v>
      </c>
      <c r="CT640" s="64" t="n">
        <f aca="false">IF(CS640="","",J640/H640)</f>
        <v>0</v>
      </c>
      <c r="CU640" s="62" t="n">
        <f aca="false">IF(CS640="","",H640*G640)</f>
        <v>0.37</v>
      </c>
      <c r="CV640" s="63" t="n">
        <f aca="false">IF(CS640="","",(CL640+ROUNDUP(CL640+MAX(CM640,2*(J640/MAX(0.1,N(Einkauf!$C$6))-CL640)),0))/2)</f>
        <v>0.5</v>
      </c>
      <c r="CW640" s="62" t="n">
        <f aca="false">IF(CS640="","",MAX(0,H640-CV640)*G640)</f>
        <v>0.365</v>
      </c>
      <c r="CX640" s="62" t="n">
        <f aca="false">IF(CS640="","",CS640*MAX(0,1-CV640/H640))</f>
        <v>5.88097713097713</v>
      </c>
      <c r="CY640" s="64" t="n">
        <f aca="false">IF(CS640="","",PERCENTRANK($CS$7:$CS$1843,CS640)+PERCENTRANK($CU$7:$CU$1843,CU640)+1-PERCENTRANK($CT$7:$CT$1843,CT640))</f>
        <v>1.36079</v>
      </c>
      <c r="CZ640" s="72" t="n">
        <f aca="false">IF(CS640="","",CHOOSE(MATCH(Einkauf!$C$5,Parameter!$G$23:$G$27,0),CY640,CS640,CU640,-CT640,CW640)+ROW()/1000000000)</f>
        <v>1.36079064</v>
      </c>
    </row>
    <row r="641" customFormat="false" ht="15" hidden="false" customHeight="false" outlineLevel="0" collapsed="false">
      <c r="A641" s="60" t="s">
        <v>1347</v>
      </c>
      <c r="B641" s="60" t="s">
        <v>1348</v>
      </c>
      <c r="C641" s="60" t="s">
        <v>206</v>
      </c>
      <c r="D641" s="60" t="s">
        <v>226</v>
      </c>
      <c r="E641" s="60" t="s">
        <v>227</v>
      </c>
      <c r="F641" s="60" t="s">
        <v>260</v>
      </c>
      <c r="G641" s="61" t="n">
        <v>0.01</v>
      </c>
      <c r="H641" s="62" t="n">
        <f aca="false">MAX(0,IF(AND(Parameter!$B$21="Ja",ISNUMBER(Y641)),Y641,IF(Parameter!$B$20="Jahresanfang 2025 + Export",BS641+BR641,BR641)))</f>
        <v>76</v>
      </c>
      <c r="I641" s="62" t="n">
        <f aca="false">H641*G641</f>
        <v>0.76</v>
      </c>
      <c r="J641" s="62" t="n">
        <f aca="false">BU641*Parameter!$B$18</f>
        <v>56</v>
      </c>
      <c r="K641" s="63" t="n">
        <v>59</v>
      </c>
      <c r="L641" s="64" t="n">
        <v>0.949152542372881</v>
      </c>
      <c r="M641" s="62" t="n">
        <v>3</v>
      </c>
      <c r="N641" s="62" t="n">
        <v>100</v>
      </c>
      <c r="O641" s="65" t="n">
        <v>21</v>
      </c>
      <c r="P641" s="60" t="s">
        <v>468</v>
      </c>
      <c r="Q641" s="62" t="n">
        <v>161</v>
      </c>
      <c r="R641" s="65" t="n">
        <f aca="false">IF(CA641=1,0,IFERROR(VLOOKUP(BY641,'Gebinde-Kategorie'!$A$5:$N$45,13,0)+0,0))</f>
        <v>140</v>
      </c>
      <c r="S641" s="66"/>
      <c r="T641" s="67"/>
      <c r="U641" s="67"/>
      <c r="V641" s="67"/>
      <c r="W641" s="60"/>
      <c r="X641" s="62"/>
      <c r="Y641" s="62"/>
      <c r="Z641" s="60" t="n">
        <v>3</v>
      </c>
      <c r="AA641" s="60" t="n">
        <f aca="false">IF(A641="","",IF(AND(Parameter!$B$21="Ja",ISNUMBER(W641)),W641,IF(AND(Parameter!$E$27="Ja",ISNUMBER(Z641),CD641&lt;&gt;"Nein"),Z641,IF(CD641="2+3",IF(ISNUMBER(SEARCH("grosser Artikel",BV641)),2,IFERROR(VLOOKUP(BY641,Parameter!$F$35:$G$64,2,0),2)),IF(OR(CD641="Nein",CD641=""),"-",CD641)))))</f>
        <v>3</v>
      </c>
      <c r="AB641" s="67"/>
      <c r="AC641" s="68"/>
      <c r="AD641" s="62" t="n">
        <f aca="false">AW641</f>
        <v>103</v>
      </c>
      <c r="AE641" s="62" t="n">
        <f aca="false">MAX(AW641,H641)</f>
        <v>103</v>
      </c>
      <c r="AF641" s="69"/>
      <c r="AG641" s="62" t="n">
        <f aca="false">IF(LEFT(Cockpit!$C$5,1)="A",H641,IF(Parameter!$E$30="MAX-Bestand",IF(CI641=1,CJ641,IF(LEFT(Cockpit!$C$5,1)="B",AM641,MAX(AM641,H641))),ROUNDUP(AK641,0)))</f>
        <v>76</v>
      </c>
      <c r="AH641" s="62" t="n">
        <f aca="false">IF(CA641=1,0,ROUNDUP(AG641/BZ641,0))</f>
        <v>1</v>
      </c>
      <c r="AI641" s="64" t="n">
        <f aca="false">IF(CR641&gt;0,CR641*MAX(1,AG641/X641),IF(CA641=1,IF(AG641&lt;=0,0,CE641*MAX(1,IF(H641&gt;0,AG641/H641,1))),IF(R641&gt;0,AH641/R641,0))/MAX(0.1,N(Parameter!$M$21)))</f>
        <v>0.00714285714285714</v>
      </c>
      <c r="AJ641" s="62" t="n">
        <f aca="false">AI641*CC641</f>
        <v>1.10714285714286</v>
      </c>
      <c r="AK641" s="63" t="n">
        <f aca="false">IF(LEFT(Cockpit!$C$5,1)="A",H641,IF(CI641=1,(CL641+CJ641)/2,IF(LEFT(Cockpit!$C$5,1)="B",(CL641+AM641)/2,MAX((CL641+AM641)/2,H641))))</f>
        <v>76</v>
      </c>
      <c r="AL641" s="62" t="n">
        <f aca="false">AK641*G641</f>
        <v>0.76</v>
      </c>
      <c r="AM641" s="62" t="n">
        <f aca="false">ROUNDUP(CL641+MAX(CM641,2*(J641/IF(CH641&gt;0,CH641,MAX(0.1,N(Cockpit!$C$6)))-CL641)),0)</f>
        <v>103</v>
      </c>
      <c r="AN641" s="63" t="n">
        <f aca="false">IF(AJ641&gt;0,J641/AJ641,-1)</f>
        <v>50.5806451612903</v>
      </c>
      <c r="AO641" s="63" t="n">
        <f aca="false">IF(AND(OR(CG641="L1",CG641="L23",CG641="LIFT"),AJ641&gt;0),SUMIFS($AJ$7:$AJ$1843,$CG$7:$CG$1843,CG641,$AN$7:$AN$1843,"&gt;"&amp;AN641)+SUMIFS($AJ$7:$AJ$1843,$CG$7:$CG$1843,CG641,$AN$7:$AN$1843,AN641,$BX$7:$BX$1843,"&lt;="&amp;BX641),"")</f>
        <v>1027.98214285714</v>
      </c>
      <c r="AP641" s="70" t="n">
        <f aca="false">IF(AO641="",0,MAX(0,MIN(1,(IF(CG641="L1",Parameter!$H$5,IF(CG641="L23",Parameter!$H$6+Parameter!$H$7,Parameter!$H$5+Parameter!$H$6+Parameter!$H$7))-(AO641-AJ641))/AJ641)))</f>
        <v>1</v>
      </c>
      <c r="AQ641" s="62" t="n">
        <f aca="false">IF(LEFT(Cockpit!$I$5,1)="A",H641,IF(Parameter!$E$30="MAX-Bestand",IF(CI641=1,CJ641,IF(LEFT(Cockpit!$I$5,1)="B",AW641,MAX(AW641,H641))),ROUNDUP(AU641,0)))</f>
        <v>76</v>
      </c>
      <c r="AR641" s="62" t="n">
        <f aca="false">IF(CA641=1,0,ROUNDUP(AQ641/BZ641,0))</f>
        <v>1</v>
      </c>
      <c r="AS641" s="64" t="n">
        <f aca="false">IF(CR641&gt;0,CR641*MAX(1,AQ641/X641),IF(CA641=1,IF(AQ641&lt;=0,0,CE641*MAX(1,IF(H641&gt;0,AQ641/H641,1))),IF(R641&gt;0,AR641/R641,0))/MAX(0.1,N(Parameter!$M$21)))</f>
        <v>0.00714285714285714</v>
      </c>
      <c r="AT641" s="62" t="n">
        <f aca="false">AS641*CC641</f>
        <v>1.10714285714286</v>
      </c>
      <c r="AU641" s="63" t="n">
        <f aca="false">IF(LEFT(Cockpit!$I$5,1)="A",H641,IF(CI641=1,(CL641+CJ641)/2,IF(LEFT(Cockpit!$I$5,1)="B",(CL641+AW641)/2,MAX((CL641+AW641)/2,H641))))</f>
        <v>76</v>
      </c>
      <c r="AV641" s="62" t="n">
        <f aca="false">AU641*G641</f>
        <v>0.76</v>
      </c>
      <c r="AW641" s="62" t="n">
        <f aca="false">ROUNDUP(CL641+MAX(CM641,2*(J641/IF(CH641&gt;0,CH641,MAX(0.1,N(Cockpit!$I$6)))-CL641)),0)</f>
        <v>103</v>
      </c>
      <c r="AX641" s="63" t="n">
        <f aca="false">IF(AT641&gt;0,J641/AT641,-1)</f>
        <v>50.5806451612903</v>
      </c>
      <c r="AY641" s="63" t="n">
        <f aca="false">IF(AND(OR(CG641="L1",CG641="L23",CG641="LIFT"),AT641&gt;0),SUMIFS($AT$7:$AT$1843,$CG$7:$CG$1843,CG641,$AX$7:$AX$1843,"&gt;"&amp;AX641)+SUMIFS($AT$7:$AT$1843,$CG$7:$CG$1843,CG641,$AX$7:$AX$1843,AX641,$BX$7:$BX$1843,"&lt;="&amp;BX641),"")</f>
        <v>1311.67811355311</v>
      </c>
      <c r="AZ641" s="70" t="n">
        <f aca="false">IF(AY641="",0,MAX(0,MIN(1,(IF(CG641="L1",Parameter!$H$5,IF(CG641="L23",Parameter!$H$6+Parameter!$H$7,Parameter!$H$5+Parameter!$H$6+Parameter!$H$7))-(AY641-AT641))/AT641)))</f>
        <v>1</v>
      </c>
      <c r="BA641" s="62" t="n">
        <f aca="false">IF(LEFT(Cockpit!$O$5,1)="A",H641,IF(Parameter!$E$30="MAX-Bestand",IF(CI641=1,CJ641,IF(LEFT(Cockpit!$O$5,1)="B",BG641,MAX(BG641,H641))),ROUNDUP(BE641,0)))</f>
        <v>53</v>
      </c>
      <c r="BB641" s="62" t="n">
        <f aca="false">IF(CA641=1,0,ROUNDUP(BA641/BZ641,0))</f>
        <v>1</v>
      </c>
      <c r="BC641" s="64" t="n">
        <f aca="false">IF(CR641&gt;0,CR641*MAX(1,BA641/X641),IF(CA641=1,IF(BA641&lt;=0,0,CE641*MAX(1,IF(H641&gt;0,BA641/H641,1))),IF(R641&gt;0,BB641/R641,0))/MAX(0.1,N(Parameter!$M$21)))</f>
        <v>0.00714285714285714</v>
      </c>
      <c r="BD641" s="62" t="n">
        <f aca="false">BC641*CC641</f>
        <v>1.10714285714286</v>
      </c>
      <c r="BE641" s="63" t="n">
        <f aca="false">IF(LEFT(Cockpit!$O$5,1)="A",H641,IF(CI641=1,(CL641+CJ641)/2,IF(LEFT(Cockpit!$O$5,1)="B",(CL641+BG641)/2,MAX((CL641+BG641)/2,H641))))</f>
        <v>53</v>
      </c>
      <c r="BF641" s="62" t="n">
        <f aca="false">BE641*G641</f>
        <v>0.53</v>
      </c>
      <c r="BG641" s="62" t="n">
        <f aca="false">ROUNDUP(CL641+MAX(CM641,2*(J641/IF(CH641&gt;0,CH641,MAX(0.1,N(Cockpit!$O$6)))-CL641)),0)</f>
        <v>103</v>
      </c>
      <c r="BH641" s="63" t="n">
        <f aca="false">IF(BD641&gt;0,J641/BD641,-1)</f>
        <v>50.5806451612903</v>
      </c>
      <c r="BI641" s="63" t="n">
        <f aca="false">IF(AND(OR(CG641="L1",CG641="L23",CG641="LIFT"),BD641&gt;0),SUMIFS($BD$7:$BD$1843,$CG$7:$CG$1843,CG641,$BH$7:$BH$1843,"&gt;"&amp;BH641)+SUMIFS($BD$7:$BD$1843,$CG$7:$CG$1843,CG641,$BH$7:$BH$1843,BH641,$BX$7:$BX$1843,"&lt;="&amp;BX641),"")</f>
        <v>1202.15384615385</v>
      </c>
      <c r="BJ641" s="70" t="n">
        <f aca="false">IF(BI641="",0,MAX(0,MIN(1,(IF(CG641="L1",Parameter!$H$5,IF(CG641="L23",Parameter!$H$6+Parameter!$H$7,Parameter!$H$5+Parameter!$H$6+Parameter!$H$7))-(BI641-BD641))/BD641)))</f>
        <v>1</v>
      </c>
      <c r="BK641" s="60" t="str">
        <f aca="false">IF(AJ641&lt;=0,"",IF(CG641="Aussen","Aussenlager",IF(CG641="-","Nicht im Lift",IF(AP641&gt;=1,"Lift",IF(AP641&lt;=0,"Aussenlager","teilweise")))))</f>
        <v>Lift</v>
      </c>
      <c r="BL641" s="60" t="str">
        <f aca="false">IF(AT641&lt;=0,"",IF(CG641="Aussen","Aussenlager",IF(CG641="-","Nicht im Lift",IF(AZ641&gt;=1,"Lift",IF(AZ641&lt;=0,"Aussenlager","teilweise")))))</f>
        <v>Lift</v>
      </c>
      <c r="BM641" s="60" t="str">
        <f aca="false">IF(BD641&lt;=0,"",IF(CG641="Aussen","Aussenlager",IF(CG641="-","Nicht im Lift",IF(BJ641&gt;=1,"Lift",IF(BJ641&lt;=0,"Aussenlager","teilweise")))))</f>
        <v>Lift</v>
      </c>
      <c r="BN641" s="60" t="str">
        <f aca="false">IF(A641="","",IF(BW641=1,"Neu; ","")&amp;IF(AND(BW641=0,BR641&lt;0),"negativer Bestand (Export "&amp;BR641&amp;"); ","")&amp;IF(J641&lt;=0,"Kein Verbrauch; ","")&amp;IF(CR641&gt;0,"Lift "&amp;W641&amp;" lt. Liftbericht (Fach "&amp;X641&amp;" Stk); ",IF(CB641=1,"Gebinde geschätzt ("&amp;T641&amp;"); ",IF(CA641=1,"Lose – Tablare geschätzt; ","")))&amp;IF(H641&gt;AW641,"Überbestand "&amp;ROUND(H641-AW641,0)&amp;" Stk / CHF "&amp;ROUND((H641-AW641)*G641,0)&amp;"; ","")&amp;IF(AND(CI641=1,CJ641&lt;CK641),"MAX &lt; MB+LG; ","")&amp;IF(AND(CQ641&gt;0,CP641*10&gt;CQ641),"zu hoch für Tablar; ","")&amp;IF(AND(BW641=0,OR(CI641=1,AB641&lt;&gt;"",U641&lt;&gt;"",V641&lt;&gt;"",AC641&lt;&gt;"")),"manuell übersteuert; ","")&amp;IF(AND(CA641=0,R641=0),"Gebinde unbekannt / Stellmass fehlt; ","")&amp;IF(AND(CA641=0,N(V641)&lt;=0,N(Q641)&lt;=0),"Menge pro Gebinde fehlt (Ist = 1 Gebinde); ","")&amp;BV641)</f>
        <v/>
      </c>
      <c r="BO641" s="60"/>
      <c r="BP641" s="60"/>
      <c r="BQ641" s="67"/>
      <c r="BR641" s="62" t="n">
        <v>37</v>
      </c>
      <c r="BS641" s="62" t="n">
        <v>39</v>
      </c>
      <c r="BT641" s="61" t="n">
        <v>0.369999999999999</v>
      </c>
      <c r="BU641" s="62" t="n">
        <v>56</v>
      </c>
      <c r="BV641" s="60"/>
      <c r="BW641" s="65" t="n">
        <v>0</v>
      </c>
      <c r="BX641" s="65" t="n">
        <v>641</v>
      </c>
      <c r="BY641" s="60" t="str">
        <f aca="false">IF(U641&lt;&gt;"",UPPER(TRIM(U641)),IF(CB641=1,UPPER(VLOOKUP(T641,Parameter!$I$27:$K$29,2,0)),IF(P641="","LOSE",P641)))</f>
        <v>S22</v>
      </c>
      <c r="BZ641" s="62" t="n">
        <f aca="false">IF(BY641="LOSE",1,IF(N(V641)&gt;0,V641,IF(CB641=1,MAX(1,N(VLOOKUP(T641,Parameter!$I$27:$K$29,3,0)),H641,N(N641)),IF(N(Q641)&gt;0,Q641,MAX(1,H641)))))</f>
        <v>161</v>
      </c>
      <c r="CA641" s="65" t="n">
        <f aca="false">IF(BY641="LOSE",1,0)</f>
        <v>0</v>
      </c>
      <c r="CB641" s="65" t="n">
        <f aca="false">IF(AND(U641="",OR(P641="",P641="LOSE"),T641&lt;&gt;"",N(S641)&lt;=0,ISNUMBER(MATCH(T641,Parameter!$I$27:$I$29,0))),1,0)</f>
        <v>0</v>
      </c>
      <c r="CC641" s="65" t="n">
        <f aca="false">IF(CR641&gt;0,INDEX(Parameter!$H$5:$H$7,W641)/INDEX(Parameter!$E$5:$E$7,W641),IF(AND(CA641=0,N(IFERROR(VLOOKUP(BY641,'Gebinde-Kategorie'!$A$5:$N$45,14,0),0))&gt;0),VLOOKUP(BY641,'Gebinde-Kategorie'!$A$5:$N$45,14,0)*10+Parameter!$M$23,Parameter!$M$24))</f>
        <v>155</v>
      </c>
      <c r="CD641" s="60" t="str">
        <f aca="false">IF(AND(Parameter!$B$19="Ja",E641&lt;&gt;"",ISNUMBER(MATCH(E641,Parameter!$I$35:$I$52,0))),VLOOKUP(E641,Parameter!$I$35:$J$52,2,0),IFERROR(VLOOKUP(D641,Parameter!$A$35:$C$64,2,0),"Nein"))</f>
        <v>2+3</v>
      </c>
      <c r="CE641" s="64" t="n">
        <f aca="false">IF(CA641=0,0,IF(N(S641)&gt;0,S641,IFERROR(VLOOKUP(D641,Parameter!$A$35:$C$64,3,0)+0,0)))</f>
        <v>0</v>
      </c>
      <c r="CF641" s="60" t="n">
        <f aca="false">IF(AB641&lt;&gt;"",AB641,AA641)</f>
        <v>3</v>
      </c>
      <c r="CG641" s="60" t="str">
        <f aca="false">IF(OR(CF641=1,CF641=2,CF641=3),IF(Parameter!$E$27="Ja","LIFT",IF(CF641=1,"L1","L23")),IF(CF641="Aussen","Aussen","-"))</f>
        <v>LIFT</v>
      </c>
      <c r="CH641" s="71" t="n">
        <f aca="false">IF(N(AC641)&gt;0,AC641,0)</f>
        <v>0</v>
      </c>
      <c r="CI641" s="65" t="n">
        <f aca="false">IF(ISNUMBER(AF641),1,0)</f>
        <v>0</v>
      </c>
      <c r="CJ641" s="62" t="n">
        <f aca="false">N(AF641)</f>
        <v>0</v>
      </c>
      <c r="CK641" s="62" t="n">
        <f aca="false">N(M641)+N(N641)</f>
        <v>103</v>
      </c>
      <c r="CL641" s="62" t="n">
        <f aca="false">N(M641)</f>
        <v>3</v>
      </c>
      <c r="CM641" s="62" t="n">
        <f aca="false">N(N641)</f>
        <v>100</v>
      </c>
      <c r="CN641" s="62" t="n">
        <f aca="false">ROUNDUP(H641/BZ641,0)</f>
        <v>1</v>
      </c>
      <c r="CO641" s="62" t="n">
        <f aca="false">ROUNDUP(CJ641/BZ641,0)</f>
        <v>0</v>
      </c>
      <c r="CP641" s="65" t="n">
        <f aca="false">IF(CA641=1,0,IFERROR(VLOOKUP(BY641,'Gebinde-Kategorie'!$A$5:$N$45,5,0)+0,0))</f>
        <v>8</v>
      </c>
      <c r="CQ641" s="65" t="n">
        <f aca="false">IFERROR(IF(OR(CF641=1,CF641=2,CF641=3),N(INDEX(Parameter!$I$5:$I$7,CF641)),0),0)</f>
        <v>0</v>
      </c>
      <c r="CR641" s="64" t="n">
        <f aca="false">IF(AND(Parameter!$B$21="Ja",ISNUMBER(W641),N(X641)&gt;0),IFERROR(N(INDEX(Parameter!$L$5:$L$7,W641))*INDEX(Parameter!$E$5:$E$7,W641)*X641/SUMIFS($X$7:$X$1843,$W$7:$W$1843,W641),0),0)</f>
        <v>0</v>
      </c>
      <c r="CS641" s="62" t="n">
        <f aca="false">IF(AND(OR(CG641="L1",CG641="L23",CG641="LIFT"),H641&gt;0),CC641*IF(CR641&gt;0,CR641*MAX(1,H641/X641),IF(CA641=1,CE641,IF(R641&gt;0,CN641/R641,0))/MAX(0.1,N(Parameter!$M$21))),"")</f>
        <v>1.10714285714286</v>
      </c>
      <c r="CT641" s="64" t="n">
        <f aca="false">IF(CS641="","",J641/H641)</f>
        <v>0.736842105263158</v>
      </c>
      <c r="CU641" s="62" t="n">
        <f aca="false">IF(CS641="","",H641*G641)</f>
        <v>0.76</v>
      </c>
      <c r="CV641" s="63" t="n">
        <f aca="false">IF(CS641="","",(CL641+ROUNDUP(CL641+MAX(CM641,2*(J641/MAX(0.1,N(Einkauf!$C$6))-CL641)),0))/2)</f>
        <v>53</v>
      </c>
      <c r="CW641" s="62" t="n">
        <f aca="false">IF(CS641="","",MAX(0,H641-CV641)*G641)</f>
        <v>0.23</v>
      </c>
      <c r="CX641" s="62" t="n">
        <f aca="false">IF(CS641="","",CS641*MAX(0,1-CV641/H641))</f>
        <v>0.335056390977444</v>
      </c>
      <c r="CY641" s="64" t="n">
        <f aca="false">IF(CS641="","",PERCENTRANK($CS$7:$CS$1843,CS641)+PERCENTRANK($CU$7:$CU$1843,CU641)+1-PERCENTRANK($CT$7:$CT$1843,CT641))</f>
        <v>0.46761</v>
      </c>
      <c r="CZ641" s="72" t="n">
        <f aca="false">IF(CS641="","",CHOOSE(MATCH(Einkauf!$C$5,Parameter!$G$23:$G$27,0),CY641,CS641,CU641,-CT641,CW641)+ROW()/1000000000)</f>
        <v>0.467610641</v>
      </c>
    </row>
    <row r="642" customFormat="false" ht="15" hidden="false" customHeight="false" outlineLevel="0" collapsed="false">
      <c r="A642" s="60" t="s">
        <v>1349</v>
      </c>
      <c r="B642" s="60" t="s">
        <v>1350</v>
      </c>
      <c r="C642" s="60" t="s">
        <v>206</v>
      </c>
      <c r="D642" s="60" t="s">
        <v>215</v>
      </c>
      <c r="E642" s="60"/>
      <c r="F642" s="60" t="s">
        <v>260</v>
      </c>
      <c r="G642" s="61" t="n">
        <v>0.01</v>
      </c>
      <c r="H642" s="62" t="n">
        <f aca="false">MAX(0,IF(AND(Parameter!$B$21="Ja",ISNUMBER(Y642)),Y642,IF(Parameter!$B$20="Jahresanfang 2025 + Export",BS642+BR642,BR642)))</f>
        <v>36</v>
      </c>
      <c r="I642" s="62" t="n">
        <f aca="false">H642*G642</f>
        <v>0.36</v>
      </c>
      <c r="J642" s="62" t="n">
        <f aca="false">BU642*Parameter!$B$18</f>
        <v>0</v>
      </c>
      <c r="K642" s="63" t="n">
        <v>0</v>
      </c>
      <c r="L642" s="64" t="n">
        <v>0</v>
      </c>
      <c r="M642" s="62" t="n">
        <v>0</v>
      </c>
      <c r="N642" s="62" t="n">
        <v>1</v>
      </c>
      <c r="O642" s="65" t="n">
        <v>0</v>
      </c>
      <c r="P642" s="60" t="s">
        <v>210</v>
      </c>
      <c r="Q642" s="62"/>
      <c r="R642" s="65" t="n">
        <f aca="false">IF(CA642=1,0,IFERROR(VLOOKUP(BY642,'Gebinde-Kategorie'!$A$5:$N$45,13,0)+0,0))</f>
        <v>26</v>
      </c>
      <c r="S642" s="66"/>
      <c r="T642" s="67" t="s">
        <v>317</v>
      </c>
      <c r="U642" s="67"/>
      <c r="V642" s="67"/>
      <c r="W642" s="60"/>
      <c r="X642" s="62"/>
      <c r="Y642" s="62"/>
      <c r="Z642" s="60" t="n">
        <v>3</v>
      </c>
      <c r="AA642" s="60" t="n">
        <f aca="false">IF(A642="","",IF(AND(Parameter!$B$21="Ja",ISNUMBER(W642)),W642,IF(AND(Parameter!$E$27="Ja",ISNUMBER(Z642),CD642&lt;&gt;"Nein"),Z642,IF(CD642="2+3",IF(ISNUMBER(SEARCH("grosser Artikel",BV642)),2,IFERROR(VLOOKUP(BY642,Parameter!$F$35:$G$64,2,0),2)),IF(OR(CD642="Nein",CD642=""),"-",CD642)))))</f>
        <v>3</v>
      </c>
      <c r="AB642" s="67"/>
      <c r="AC642" s="68"/>
      <c r="AD642" s="62" t="n">
        <f aca="false">AW642</f>
        <v>1</v>
      </c>
      <c r="AE642" s="62" t="n">
        <f aca="false">MAX(AW642,H642)</f>
        <v>36</v>
      </c>
      <c r="AF642" s="69"/>
      <c r="AG642" s="62" t="n">
        <f aca="false">IF(LEFT(Cockpit!$C$5,1)="A",H642,IF(Parameter!$E$30="MAX-Bestand",IF(CI642=1,CJ642,IF(LEFT(Cockpit!$C$5,1)="B",AM642,MAX(AM642,H642))),ROUNDUP(AK642,0)))</f>
        <v>36</v>
      </c>
      <c r="AH642" s="62" t="n">
        <f aca="false">IF(CA642=1,0,ROUNDUP(AG642/BZ642,0))</f>
        <v>1</v>
      </c>
      <c r="AI642" s="64" t="n">
        <f aca="false">IF(CR642&gt;0,CR642*MAX(1,AG642/X642),IF(CA642=1,IF(AG642&lt;=0,0,CE642*MAX(1,IF(H642&gt;0,AG642/H642,1))),IF(R642&gt;0,AH642/R642,0))/MAX(0.1,N(Parameter!$M$21)))</f>
        <v>0.0384615384615385</v>
      </c>
      <c r="AJ642" s="62" t="n">
        <f aca="false">AI642*CC642</f>
        <v>5.96153846153846</v>
      </c>
      <c r="AK642" s="63" t="n">
        <f aca="false">IF(LEFT(Cockpit!$C$5,1)="A",H642,IF(CI642=1,(CL642+CJ642)/2,IF(LEFT(Cockpit!$C$5,1)="B",(CL642+AM642)/2,MAX((CL642+AM642)/2,H642))))</f>
        <v>36</v>
      </c>
      <c r="AL642" s="62" t="n">
        <f aca="false">AK642*G642</f>
        <v>0.36</v>
      </c>
      <c r="AM642" s="62" t="n">
        <f aca="false">ROUNDUP(CL642+MAX(CM642,2*(J642/IF(CH642&gt;0,CH642,MAX(0.1,N(Cockpit!$C$6)))-CL642)),0)</f>
        <v>1</v>
      </c>
      <c r="AN642" s="63" t="n">
        <f aca="false">IF(AJ642&gt;0,J642/AJ642,-1)</f>
        <v>0</v>
      </c>
      <c r="AO642" s="63" t="n">
        <f aca="false">IF(AND(OR(CG642="L1",CG642="L23",CG642="LIFT"),AJ642&gt;0),SUMIFS($AJ$7:$AJ$1843,$CG$7:$CG$1843,CG642,$AN$7:$AN$1843,"&gt;"&amp;AN642)+SUMIFS($AJ$7:$AJ$1843,$CG$7:$CG$1843,CG642,$AN$7:$AN$1843,AN642,$BX$7:$BX$1843,"&lt;="&amp;BX642),"")</f>
        <v>28599.1700399412</v>
      </c>
      <c r="AP642" s="70" t="n">
        <f aca="false">IF(AO642="",0,MAX(0,MIN(1,(IF(CG642="L1",Parameter!$H$5,IF(CG642="L23",Parameter!$H$6+Parameter!$H$7,Parameter!$H$5+Parameter!$H$6+Parameter!$H$7))-(AO642-AJ642))/AJ642)))</f>
        <v>1</v>
      </c>
      <c r="AQ642" s="62" t="n">
        <f aca="false">IF(LEFT(Cockpit!$I$5,1)="A",H642,IF(Parameter!$E$30="MAX-Bestand",IF(CI642=1,CJ642,IF(LEFT(Cockpit!$I$5,1)="B",AW642,MAX(AW642,H642))),ROUNDUP(AU642,0)))</f>
        <v>36</v>
      </c>
      <c r="AR642" s="62" t="n">
        <f aca="false">IF(CA642=1,0,ROUNDUP(AQ642/BZ642,0))</f>
        <v>1</v>
      </c>
      <c r="AS642" s="64" t="n">
        <f aca="false">IF(CR642&gt;0,CR642*MAX(1,AQ642/X642),IF(CA642=1,IF(AQ642&lt;=0,0,CE642*MAX(1,IF(H642&gt;0,AQ642/H642,1))),IF(R642&gt;0,AR642/R642,0))/MAX(0.1,N(Parameter!$M$21)))</f>
        <v>0.0384615384615385</v>
      </c>
      <c r="AT642" s="62" t="n">
        <f aca="false">AS642*CC642</f>
        <v>5.96153846153846</v>
      </c>
      <c r="AU642" s="63" t="n">
        <f aca="false">IF(LEFT(Cockpit!$I$5,1)="A",H642,IF(CI642=1,(CL642+CJ642)/2,IF(LEFT(Cockpit!$I$5,1)="B",(CL642+AW642)/2,MAX((CL642+AW642)/2,H642))))</f>
        <v>36</v>
      </c>
      <c r="AV642" s="62" t="n">
        <f aca="false">AU642*G642</f>
        <v>0.36</v>
      </c>
      <c r="AW642" s="62" t="n">
        <f aca="false">ROUNDUP(CL642+MAX(CM642,2*(J642/IF(CH642&gt;0,CH642,MAX(0.1,N(Cockpit!$I$6)))-CL642)),0)</f>
        <v>1</v>
      </c>
      <c r="AX642" s="63" t="n">
        <f aca="false">IF(AT642&gt;0,J642/AT642,-1)</f>
        <v>0</v>
      </c>
      <c r="AY642" s="63" t="n">
        <f aca="false">IF(AND(OR(CG642="L1",CG642="L23",CG642="LIFT"),AT642&gt;0),SUMIFS($AT$7:$AT$1843,$CG$7:$CG$1843,CG642,$AX$7:$AX$1843,"&gt;"&amp;AX642)+SUMIFS($AT$7:$AT$1843,$CG$7:$CG$1843,CG642,$AX$7:$AX$1843,AX642,$BX$7:$BX$1843,"&lt;="&amp;BX642),"")</f>
        <v>33952.3186813187</v>
      </c>
      <c r="AZ642" s="70" t="n">
        <f aca="false">IF(AY642="",0,MAX(0,MIN(1,(IF(CG642="L1",Parameter!$H$5,IF(CG642="L23",Parameter!$H$6+Parameter!$H$7,Parameter!$H$5+Parameter!$H$6+Parameter!$H$7))-(AY642-AT642))/AT642)))</f>
        <v>1</v>
      </c>
      <c r="BA642" s="62" t="n">
        <f aca="false">IF(LEFT(Cockpit!$O$5,1)="A",H642,IF(Parameter!$E$30="MAX-Bestand",IF(CI642=1,CJ642,IF(LEFT(Cockpit!$O$5,1)="B",BG642,MAX(BG642,H642))),ROUNDUP(BE642,0)))</f>
        <v>1</v>
      </c>
      <c r="BB642" s="62" t="n">
        <f aca="false">IF(CA642=1,0,ROUNDUP(BA642/BZ642,0))</f>
        <v>1</v>
      </c>
      <c r="BC642" s="64" t="n">
        <f aca="false">IF(CR642&gt;0,CR642*MAX(1,BA642/X642),IF(CA642=1,IF(BA642&lt;=0,0,CE642*MAX(1,IF(H642&gt;0,BA642/H642,1))),IF(R642&gt;0,BB642/R642,0))/MAX(0.1,N(Parameter!$M$21)))</f>
        <v>0.0384615384615385</v>
      </c>
      <c r="BD642" s="62" t="n">
        <f aca="false">BC642*CC642</f>
        <v>5.96153846153846</v>
      </c>
      <c r="BE642" s="63" t="n">
        <f aca="false">IF(LEFT(Cockpit!$O$5,1)="A",H642,IF(CI642=1,(CL642+CJ642)/2,IF(LEFT(Cockpit!$O$5,1)="B",(CL642+BG642)/2,MAX((CL642+BG642)/2,H642))))</f>
        <v>0.5</v>
      </c>
      <c r="BF642" s="62" t="n">
        <f aca="false">BE642*G642</f>
        <v>0.005</v>
      </c>
      <c r="BG642" s="62" t="n">
        <f aca="false">ROUNDUP(CL642+MAX(CM642,2*(J642/IF(CH642&gt;0,CH642,MAX(0.1,N(Cockpit!$O$6)))-CL642)),0)</f>
        <v>1</v>
      </c>
      <c r="BH642" s="63" t="n">
        <f aca="false">IF(BD642&gt;0,J642/BD642,-1)</f>
        <v>0</v>
      </c>
      <c r="BI642" s="63" t="n">
        <f aca="false">IF(AND(OR(CG642="L1",CG642="L23",CG642="LIFT"),BD642&gt;0),SUMIFS($BD$7:$BD$1843,$CG$7:$CG$1843,CG642,$BH$7:$BH$1843,"&gt;"&amp;BH642)+SUMIFS($BD$7:$BD$1843,$CG$7:$CG$1843,CG642,$BH$7:$BH$1843,BH642,$BX$7:$BX$1843,"&lt;="&amp;BX642),"")</f>
        <v>28018.6619715031</v>
      </c>
      <c r="BJ642" s="70" t="n">
        <f aca="false">IF(BI642="",0,MAX(0,MIN(1,(IF(CG642="L1",Parameter!$H$5,IF(CG642="L23",Parameter!$H$6+Parameter!$H$7,Parameter!$H$5+Parameter!$H$6+Parameter!$H$7))-(BI642-BD642))/BD642)))</f>
        <v>1</v>
      </c>
      <c r="BK642" s="60" t="str">
        <f aca="false">IF(AJ642&lt;=0,"",IF(CG642="Aussen","Aussenlager",IF(CG642="-","Nicht im Lift",IF(AP642&gt;=1,"Lift",IF(AP642&lt;=0,"Aussenlager","teilweise")))))</f>
        <v>Lift</v>
      </c>
      <c r="BL642" s="60" t="str">
        <f aca="false">IF(AT642&lt;=0,"",IF(CG642="Aussen","Aussenlager",IF(CG642="-","Nicht im Lift",IF(AZ642&gt;=1,"Lift",IF(AZ642&lt;=0,"Aussenlager","teilweise")))))</f>
        <v>Lift</v>
      </c>
      <c r="BM642" s="60" t="str">
        <f aca="false">IF(BD642&lt;=0,"",IF(CG642="Aussen","Aussenlager",IF(CG642="-","Nicht im Lift",IF(BJ642&gt;=1,"Lift",IF(BJ642&lt;=0,"Aussenlager","teilweise")))))</f>
        <v>Lift</v>
      </c>
      <c r="BN642" s="60" t="str">
        <f aca="false">IF(A642="","",IF(BW642=1,"Neu; ","")&amp;IF(AND(BW642=0,BR642&lt;0),"negativer Bestand (Export "&amp;BR642&amp;"); ","")&amp;IF(J642&lt;=0,"Kein Verbrauch; ","")&amp;IF(CR642&gt;0,"Lift "&amp;W642&amp;" lt. Liftbericht (Fach "&amp;X642&amp;" Stk); ",IF(CB642=1,"Gebinde geschätzt ("&amp;T642&amp;"); ",IF(CA642=1,"Lose – Tablare geschätzt; ","")))&amp;IF(H642&gt;AW642,"Überbestand "&amp;ROUND(H642-AW642,0)&amp;" Stk / CHF "&amp;ROUND((H642-AW642)*G642,0)&amp;"; ","")&amp;IF(AND(CI642=1,CJ642&lt;CK642),"MAX &lt; MB+LG; ","")&amp;IF(AND(CQ642&gt;0,CP642*10&gt;CQ642),"zu hoch für Tablar; ","")&amp;IF(AND(BW642=0,OR(CI642=1,AB642&lt;&gt;"",U642&lt;&gt;"",V642&lt;&gt;"",AC642&lt;&gt;"")),"manuell übersteuert; ","")&amp;IF(AND(CA642=0,R642=0),"Gebinde unbekannt / Stellmass fehlt; ","")&amp;IF(AND(CA642=0,N(V642)&lt;=0,N(Q642)&lt;=0),"Menge pro Gebinde fehlt (Ist = 1 Gebinde); ","")&amp;BV642)</f>
        <v>Kein Verbrauch; Gebinde geschätzt (Klein); Überbestand 35 Stk / CHF 0; Menge pro Gebinde fehlt (Ist = 1 Gebinde); </v>
      </c>
      <c r="BO642" s="60"/>
      <c r="BP642" s="60"/>
      <c r="BQ642" s="67"/>
      <c r="BR642" s="62" t="n">
        <v>36</v>
      </c>
      <c r="BS642" s="62" t="n">
        <v>0</v>
      </c>
      <c r="BT642" s="61" t="n">
        <v>0.36</v>
      </c>
      <c r="BU642" s="62" t="n">
        <v>0</v>
      </c>
      <c r="BV642" s="60"/>
      <c r="BW642" s="65" t="n">
        <v>0</v>
      </c>
      <c r="BX642" s="65" t="n">
        <v>642</v>
      </c>
      <c r="BY642" s="60" t="str">
        <f aca="false">IF(U642&lt;&gt;"",UPPER(TRIM(U642)),IF(CB642=1,UPPER(VLOOKUP(T642,Parameter!$I$27:$K$29,2,0)),IF(P642="","LOSE",P642)))</f>
        <v>S51</v>
      </c>
      <c r="BZ642" s="62" t="n">
        <f aca="false">IF(BY642="LOSE",1,IF(N(V642)&gt;0,V642,IF(CB642=1,MAX(1,N(VLOOKUP(T642,Parameter!$I$27:$K$29,3,0)),H642,N(N642)),IF(N(Q642)&gt;0,Q642,MAX(1,H642)))))</f>
        <v>36</v>
      </c>
      <c r="CA642" s="65" t="n">
        <f aca="false">IF(BY642="LOSE",1,0)</f>
        <v>0</v>
      </c>
      <c r="CB642" s="65" t="n">
        <f aca="false">IF(AND(U642="",OR(P642="",P642="LOSE"),T642&lt;&gt;"",N(S642)&lt;=0,ISNUMBER(MATCH(T642,Parameter!$I$27:$I$29,0))),1,0)</f>
        <v>1</v>
      </c>
      <c r="CC642" s="65" t="n">
        <f aca="false">IF(CR642&gt;0,INDEX(Parameter!$H$5:$H$7,W642)/INDEX(Parameter!$E$5:$E$7,W642),IF(AND(CA642=0,N(IFERROR(VLOOKUP(BY642,'Gebinde-Kategorie'!$A$5:$N$45,14,0),0))&gt;0),VLOOKUP(BY642,'Gebinde-Kategorie'!$A$5:$N$45,14,0)*10+Parameter!$M$23,Parameter!$M$24))</f>
        <v>155</v>
      </c>
      <c r="CD642" s="60" t="str">
        <f aca="false">IF(AND(Parameter!$B$19="Ja",E642&lt;&gt;"",ISNUMBER(MATCH(E642,Parameter!$I$35:$I$52,0))),VLOOKUP(E642,Parameter!$I$35:$J$52,2,0),IFERROR(VLOOKUP(D642,Parameter!$A$35:$C$64,2,0),"Nein"))</f>
        <v>2+3</v>
      </c>
      <c r="CE642" s="64" t="n">
        <f aca="false">IF(CA642=0,0,IF(N(S642)&gt;0,S642,IFERROR(VLOOKUP(D642,Parameter!$A$35:$C$64,3,0)+0,0)))</f>
        <v>0</v>
      </c>
      <c r="CF642" s="60" t="n">
        <f aca="false">IF(AB642&lt;&gt;"",AB642,AA642)</f>
        <v>3</v>
      </c>
      <c r="CG642" s="60" t="str">
        <f aca="false">IF(OR(CF642=1,CF642=2,CF642=3),IF(Parameter!$E$27="Ja","LIFT",IF(CF642=1,"L1","L23")),IF(CF642="Aussen","Aussen","-"))</f>
        <v>LIFT</v>
      </c>
      <c r="CH642" s="71" t="n">
        <f aca="false">IF(N(AC642)&gt;0,AC642,0)</f>
        <v>0</v>
      </c>
      <c r="CI642" s="65" t="n">
        <f aca="false">IF(ISNUMBER(AF642),1,0)</f>
        <v>0</v>
      </c>
      <c r="CJ642" s="62" t="n">
        <f aca="false">N(AF642)</f>
        <v>0</v>
      </c>
      <c r="CK642" s="62" t="n">
        <f aca="false">N(M642)+N(N642)</f>
        <v>1</v>
      </c>
      <c r="CL642" s="62" t="n">
        <f aca="false">N(M642)</f>
        <v>0</v>
      </c>
      <c r="CM642" s="62" t="n">
        <f aca="false">N(N642)</f>
        <v>1</v>
      </c>
      <c r="CN642" s="62" t="n">
        <f aca="false">ROUNDUP(H642/BZ642,0)</f>
        <v>1</v>
      </c>
      <c r="CO642" s="62" t="n">
        <f aca="false">ROUNDUP(CJ642/BZ642,0)</f>
        <v>0</v>
      </c>
      <c r="CP642" s="65" t="n">
        <f aca="false">IF(CA642=1,0,IFERROR(VLOOKUP(BY642,'Gebinde-Kategorie'!$A$5:$N$45,5,0)+0,0))</f>
        <v>11</v>
      </c>
      <c r="CQ642" s="65" t="n">
        <f aca="false">IFERROR(IF(OR(CF642=1,CF642=2,CF642=3),N(INDEX(Parameter!$I$5:$I$7,CF642)),0),0)</f>
        <v>0</v>
      </c>
      <c r="CR642" s="64" t="n">
        <f aca="false">IF(AND(Parameter!$B$21="Ja",ISNUMBER(W642),N(X642)&gt;0),IFERROR(N(INDEX(Parameter!$L$5:$L$7,W642))*INDEX(Parameter!$E$5:$E$7,W642)*X642/SUMIFS($X$7:$X$1843,$W$7:$W$1843,W642),0),0)</f>
        <v>0</v>
      </c>
      <c r="CS642" s="62" t="n">
        <f aca="false">IF(AND(OR(CG642="L1",CG642="L23",CG642="LIFT"),H642&gt;0),CC642*IF(CR642&gt;0,CR642*MAX(1,H642/X642),IF(CA642=1,CE642,IF(R642&gt;0,CN642/R642,0))/MAX(0.1,N(Parameter!$M$21))),"")</f>
        <v>5.96153846153846</v>
      </c>
      <c r="CT642" s="64" t="n">
        <f aca="false">IF(CS642="","",J642/H642)</f>
        <v>0</v>
      </c>
      <c r="CU642" s="62" t="n">
        <f aca="false">IF(CS642="","",H642*G642)</f>
        <v>0.36</v>
      </c>
      <c r="CV642" s="63" t="n">
        <f aca="false">IF(CS642="","",(CL642+ROUNDUP(CL642+MAX(CM642,2*(J642/MAX(0.1,N(Einkauf!$C$6))-CL642)),0))/2)</f>
        <v>0.5</v>
      </c>
      <c r="CW642" s="62" t="n">
        <f aca="false">IF(CS642="","",MAX(0,H642-CV642)*G642)</f>
        <v>0.355</v>
      </c>
      <c r="CX642" s="62" t="n">
        <f aca="false">IF(CS642="","",CS642*MAX(0,1-CV642/H642))</f>
        <v>5.87873931623932</v>
      </c>
      <c r="CY642" s="64" t="n">
        <f aca="false">IF(CS642="","",PERCENTRANK($CS$7:$CS$1843,CS642)+PERCENTRANK($CU$7:$CU$1843,CU642)+1-PERCENTRANK($CT$7:$CT$1843,CT642))</f>
        <v>1.3601</v>
      </c>
      <c r="CZ642" s="72" t="n">
        <f aca="false">IF(CS642="","",CHOOSE(MATCH(Einkauf!$C$5,Parameter!$G$23:$G$27,0),CY642,CS642,CU642,-CT642,CW642)+ROW()/1000000000)</f>
        <v>1.360100642</v>
      </c>
    </row>
    <row r="643" customFormat="false" ht="15" hidden="false" customHeight="false" outlineLevel="0" collapsed="false">
      <c r="A643" s="60" t="s">
        <v>1351</v>
      </c>
      <c r="B643" s="60" t="s">
        <v>447</v>
      </c>
      <c r="C643" s="60" t="s">
        <v>206</v>
      </c>
      <c r="D643" s="60" t="s">
        <v>226</v>
      </c>
      <c r="E643" s="60" t="s">
        <v>227</v>
      </c>
      <c r="F643" s="60" t="s">
        <v>260</v>
      </c>
      <c r="G643" s="61" t="n">
        <v>0.09</v>
      </c>
      <c r="H643" s="62" t="n">
        <f aca="false">MAX(0,IF(AND(Parameter!$B$21="Ja",ISNUMBER(Y643)),Y643,IF(Parameter!$B$20="Jahresanfang 2025 + Export",BS643+BR643,BR643)))</f>
        <v>266</v>
      </c>
      <c r="I643" s="62" t="n">
        <f aca="false">H643*G643</f>
        <v>23.94</v>
      </c>
      <c r="J643" s="62" t="n">
        <f aca="false">BU643*Parameter!$B$18</f>
        <v>0</v>
      </c>
      <c r="K643" s="63" t="n">
        <v>264</v>
      </c>
      <c r="L643" s="64" t="n">
        <v>0</v>
      </c>
      <c r="M643" s="62" t="n">
        <v>0</v>
      </c>
      <c r="N643" s="62" t="n">
        <v>1</v>
      </c>
      <c r="O643" s="65" t="n">
        <v>14</v>
      </c>
      <c r="P643" s="60" t="s">
        <v>443</v>
      </c>
      <c r="Q643" s="62" t="n">
        <v>94</v>
      </c>
      <c r="R643" s="65" t="n">
        <f aca="false">IF(CA643=1,0,IFERROR(VLOOKUP(BY643,'Gebinde-Kategorie'!$A$5:$N$45,13,0)+0,0))</f>
        <v>280</v>
      </c>
      <c r="S643" s="66"/>
      <c r="T643" s="67"/>
      <c r="U643" s="67"/>
      <c r="V643" s="67"/>
      <c r="W643" s="60"/>
      <c r="X643" s="62"/>
      <c r="Y643" s="62"/>
      <c r="Z643" s="60" t="n">
        <v>2</v>
      </c>
      <c r="AA643" s="60" t="n">
        <f aca="false">IF(A643="","",IF(AND(Parameter!$B$21="Ja",ISNUMBER(W643)),W643,IF(AND(Parameter!$E$27="Ja",ISNUMBER(Z643),CD643&lt;&gt;"Nein"),Z643,IF(CD643="2+3",IF(ISNUMBER(SEARCH("grosser Artikel",BV643)),2,IFERROR(VLOOKUP(BY643,Parameter!$F$35:$G$64,2,0),2)),IF(OR(CD643="Nein",CD643=""),"-",CD643)))))</f>
        <v>2</v>
      </c>
      <c r="AB643" s="67"/>
      <c r="AC643" s="68"/>
      <c r="AD643" s="62" t="n">
        <f aca="false">AW643</f>
        <v>1</v>
      </c>
      <c r="AE643" s="62" t="n">
        <f aca="false">MAX(AW643,H643)</f>
        <v>266</v>
      </c>
      <c r="AF643" s="69"/>
      <c r="AG643" s="62" t="n">
        <f aca="false">IF(LEFT(Cockpit!$C$5,1)="A",H643,IF(Parameter!$E$30="MAX-Bestand",IF(CI643=1,CJ643,IF(LEFT(Cockpit!$C$5,1)="B",AM643,MAX(AM643,H643))),ROUNDUP(AK643,0)))</f>
        <v>266</v>
      </c>
      <c r="AH643" s="62" t="n">
        <f aca="false">IF(CA643=1,0,ROUNDUP(AG643/BZ643,0))</f>
        <v>3</v>
      </c>
      <c r="AI643" s="64" t="n">
        <f aca="false">IF(CR643&gt;0,CR643*MAX(1,AG643/X643),IF(CA643=1,IF(AG643&lt;=0,0,CE643*MAX(1,IF(H643&gt;0,AG643/H643,1))),IF(R643&gt;0,AH643/R643,0))/MAX(0.1,N(Parameter!$M$21)))</f>
        <v>0.0107142857142857</v>
      </c>
      <c r="AJ643" s="62" t="n">
        <f aca="false">AI643*CC643</f>
        <v>1.66071428571429</v>
      </c>
      <c r="AK643" s="63" t="n">
        <f aca="false">IF(LEFT(Cockpit!$C$5,1)="A",H643,IF(CI643=1,(CL643+CJ643)/2,IF(LEFT(Cockpit!$C$5,1)="B",(CL643+AM643)/2,MAX((CL643+AM643)/2,H643))))</f>
        <v>266</v>
      </c>
      <c r="AL643" s="62" t="n">
        <f aca="false">AK643*G643</f>
        <v>23.94</v>
      </c>
      <c r="AM643" s="62" t="n">
        <f aca="false">ROUNDUP(CL643+MAX(CM643,2*(J643/IF(CH643&gt;0,CH643,MAX(0.1,N(Cockpit!$C$6)))-CL643)),0)</f>
        <v>1</v>
      </c>
      <c r="AN643" s="63" t="n">
        <f aca="false">IF(AJ643&gt;0,J643/AJ643,-1)</f>
        <v>0</v>
      </c>
      <c r="AO643" s="63" t="n">
        <f aca="false">IF(AND(OR(CG643="L1",CG643="L23",CG643="LIFT"),AJ643&gt;0),SUMIFS($AJ$7:$AJ$1843,$CG$7:$CG$1843,CG643,$AN$7:$AN$1843,"&gt;"&amp;AN643)+SUMIFS($AJ$7:$AJ$1843,$CG$7:$CG$1843,CG643,$AN$7:$AN$1843,AN643,$BX$7:$BX$1843,"&lt;="&amp;BX643),"")</f>
        <v>28600.8307542269</v>
      </c>
      <c r="AP643" s="70" t="n">
        <f aca="false">IF(AO643="",0,MAX(0,MIN(1,(IF(CG643="L1",Parameter!$H$5,IF(CG643="L23",Parameter!$H$6+Parameter!$H$7,Parameter!$H$5+Parameter!$H$6+Parameter!$H$7))-(AO643-AJ643))/AJ643)))</f>
        <v>1</v>
      </c>
      <c r="AQ643" s="62" t="n">
        <f aca="false">IF(LEFT(Cockpit!$I$5,1)="A",H643,IF(Parameter!$E$30="MAX-Bestand",IF(CI643=1,CJ643,IF(LEFT(Cockpit!$I$5,1)="B",AW643,MAX(AW643,H643))),ROUNDUP(AU643,0)))</f>
        <v>266</v>
      </c>
      <c r="AR643" s="62" t="n">
        <f aca="false">IF(CA643=1,0,ROUNDUP(AQ643/BZ643,0))</f>
        <v>3</v>
      </c>
      <c r="AS643" s="64" t="n">
        <f aca="false">IF(CR643&gt;0,CR643*MAX(1,AQ643/X643),IF(CA643=1,IF(AQ643&lt;=0,0,CE643*MAX(1,IF(H643&gt;0,AQ643/H643,1))),IF(R643&gt;0,AR643/R643,0))/MAX(0.1,N(Parameter!$M$21)))</f>
        <v>0.0107142857142857</v>
      </c>
      <c r="AT643" s="62" t="n">
        <f aca="false">AS643*CC643</f>
        <v>1.66071428571429</v>
      </c>
      <c r="AU643" s="63" t="n">
        <f aca="false">IF(LEFT(Cockpit!$I$5,1)="A",H643,IF(CI643=1,(CL643+CJ643)/2,IF(LEFT(Cockpit!$I$5,1)="B",(CL643+AW643)/2,MAX((CL643+AW643)/2,H643))))</f>
        <v>266</v>
      </c>
      <c r="AV643" s="62" t="n">
        <f aca="false">AU643*G643</f>
        <v>23.94</v>
      </c>
      <c r="AW643" s="62" t="n">
        <f aca="false">ROUNDUP(CL643+MAX(CM643,2*(J643/IF(CH643&gt;0,CH643,MAX(0.1,N(Cockpit!$I$6)))-CL643)),0)</f>
        <v>1</v>
      </c>
      <c r="AX643" s="63" t="n">
        <f aca="false">IF(AT643&gt;0,J643/AT643,-1)</f>
        <v>0</v>
      </c>
      <c r="AY643" s="63" t="n">
        <f aca="false">IF(AND(OR(CG643="L1",CG643="L23",CG643="LIFT"),AT643&gt;0),SUMIFS($AT$7:$AT$1843,$CG$7:$CG$1843,CG643,$AX$7:$AX$1843,"&gt;"&amp;AX643)+SUMIFS($AT$7:$AT$1843,$CG$7:$CG$1843,CG643,$AX$7:$AX$1843,AX643,$BX$7:$BX$1843,"&lt;="&amp;BX643),"")</f>
        <v>33953.9793956044</v>
      </c>
      <c r="AZ643" s="70" t="n">
        <f aca="false">IF(AY643="",0,MAX(0,MIN(1,(IF(CG643="L1",Parameter!$H$5,IF(CG643="L23",Parameter!$H$6+Parameter!$H$7,Parameter!$H$5+Parameter!$H$6+Parameter!$H$7))-(AY643-AT643))/AT643)))</f>
        <v>1</v>
      </c>
      <c r="BA643" s="62" t="n">
        <f aca="false">IF(LEFT(Cockpit!$O$5,1)="A",H643,IF(Parameter!$E$30="MAX-Bestand",IF(CI643=1,CJ643,IF(LEFT(Cockpit!$O$5,1)="B",BG643,MAX(BG643,H643))),ROUNDUP(BE643,0)))</f>
        <v>1</v>
      </c>
      <c r="BB643" s="62" t="n">
        <f aca="false">IF(CA643=1,0,ROUNDUP(BA643/BZ643,0))</f>
        <v>1</v>
      </c>
      <c r="BC643" s="64" t="n">
        <f aca="false">IF(CR643&gt;0,CR643*MAX(1,BA643/X643),IF(CA643=1,IF(BA643&lt;=0,0,CE643*MAX(1,IF(H643&gt;0,BA643/H643,1))),IF(R643&gt;0,BB643/R643,0))/MAX(0.1,N(Parameter!$M$21)))</f>
        <v>0.00357142857142857</v>
      </c>
      <c r="BD643" s="62" t="n">
        <f aca="false">BC643*CC643</f>
        <v>0.553571428571429</v>
      </c>
      <c r="BE643" s="63" t="n">
        <f aca="false">IF(LEFT(Cockpit!$O$5,1)="A",H643,IF(CI643=1,(CL643+CJ643)/2,IF(LEFT(Cockpit!$O$5,1)="B",(CL643+BG643)/2,MAX((CL643+BG643)/2,H643))))</f>
        <v>0.5</v>
      </c>
      <c r="BF643" s="62" t="n">
        <f aca="false">BE643*G643</f>
        <v>0.045</v>
      </c>
      <c r="BG643" s="62" t="n">
        <f aca="false">ROUNDUP(CL643+MAX(CM643,2*(J643/IF(CH643&gt;0,CH643,MAX(0.1,N(Cockpit!$O$6)))-CL643)),0)</f>
        <v>1</v>
      </c>
      <c r="BH643" s="63" t="n">
        <f aca="false">IF(BD643&gt;0,J643/BD643,-1)</f>
        <v>0</v>
      </c>
      <c r="BI643" s="63" t="n">
        <f aca="false">IF(AND(OR(CG643="L1",CG643="L23",CG643="LIFT"),BD643&gt;0),SUMIFS($BD$7:$BD$1843,$CG$7:$CG$1843,CG643,$BH$7:$BH$1843,"&gt;"&amp;BH643)+SUMIFS($BD$7:$BD$1843,$CG$7:$CG$1843,CG643,$BH$7:$BH$1843,BH643,$BX$7:$BX$1843,"&lt;="&amp;BX643),"")</f>
        <v>28019.2155429316</v>
      </c>
      <c r="BJ643" s="70" t="n">
        <f aca="false">IF(BI643="",0,MAX(0,MIN(1,(IF(CG643="L1",Parameter!$H$5,IF(CG643="L23",Parameter!$H$6+Parameter!$H$7,Parameter!$H$5+Parameter!$H$6+Parameter!$H$7))-(BI643-BD643))/BD643)))</f>
        <v>1</v>
      </c>
      <c r="BK643" s="60" t="str">
        <f aca="false">IF(AJ643&lt;=0,"",IF(CG643="Aussen","Aussenlager",IF(CG643="-","Nicht im Lift",IF(AP643&gt;=1,"Lift",IF(AP643&lt;=0,"Aussenlager","teilweise")))))</f>
        <v>Lift</v>
      </c>
      <c r="BL643" s="60" t="str">
        <f aca="false">IF(AT643&lt;=0,"",IF(CG643="Aussen","Aussenlager",IF(CG643="-","Nicht im Lift",IF(AZ643&gt;=1,"Lift",IF(AZ643&lt;=0,"Aussenlager","teilweise")))))</f>
        <v>Lift</v>
      </c>
      <c r="BM643" s="60" t="str">
        <f aca="false">IF(BD643&lt;=0,"",IF(CG643="Aussen","Aussenlager",IF(CG643="-","Nicht im Lift",IF(BJ643&gt;=1,"Lift",IF(BJ643&lt;=0,"Aussenlager","teilweise")))))</f>
        <v>Lift</v>
      </c>
      <c r="BN643" s="60" t="str">
        <f aca="false">IF(A643="","",IF(BW643=1,"Neu; ","")&amp;IF(AND(BW643=0,BR643&lt;0),"negativer Bestand (Export "&amp;BR643&amp;"); ","")&amp;IF(J643&lt;=0,"Kein Verbrauch; ","")&amp;IF(CR643&gt;0,"Lift "&amp;W643&amp;" lt. Liftbericht (Fach "&amp;X643&amp;" Stk); ",IF(CB643=1,"Gebinde geschätzt ("&amp;T643&amp;"); ",IF(CA643=1,"Lose – Tablare geschätzt; ","")))&amp;IF(H643&gt;AW643,"Überbestand "&amp;ROUND(H643-AW643,0)&amp;" Stk / CHF "&amp;ROUND((H643-AW643)*G643,0)&amp;"; ","")&amp;IF(AND(CI643=1,CJ643&lt;CK643),"MAX &lt; MB+LG; ","")&amp;IF(AND(CQ643&gt;0,CP643*10&gt;CQ643),"zu hoch für Tablar; ","")&amp;IF(AND(BW643=0,OR(CI643=1,AB643&lt;&gt;"",U643&lt;&gt;"",V643&lt;&gt;"",AC643&lt;&gt;"")),"manuell übersteuert; ","")&amp;IF(AND(CA643=0,R643=0),"Gebinde unbekannt / Stellmass fehlt; ","")&amp;IF(AND(CA643=0,N(V643)&lt;=0,N(Q643)&lt;=0),"Menge pro Gebinde fehlt (Ist = 1 Gebinde); ","")&amp;BV643)</f>
        <v>Kein Verbrauch; Überbestand 265 Stk / CHF 24; Überbestand</v>
      </c>
      <c r="BO643" s="60"/>
      <c r="BP643" s="60"/>
      <c r="BQ643" s="67"/>
      <c r="BR643" s="62" t="n">
        <v>4</v>
      </c>
      <c r="BS643" s="62" t="n">
        <v>262</v>
      </c>
      <c r="BT643" s="61" t="n">
        <v>0.36</v>
      </c>
      <c r="BU643" s="62" t="n">
        <v>0</v>
      </c>
      <c r="BV643" s="60" t="s">
        <v>434</v>
      </c>
      <c r="BW643" s="65" t="n">
        <v>0</v>
      </c>
      <c r="BX643" s="65" t="n">
        <v>643</v>
      </c>
      <c r="BY643" s="60" t="str">
        <f aca="false">IF(U643&lt;&gt;"",UPPER(TRIM(U643)),IF(CB643=1,UPPER(VLOOKUP(T643,Parameter!$I$27:$K$29,2,0)),IF(P643="","LOSE",P643)))</f>
        <v>S21</v>
      </c>
      <c r="BZ643" s="62" t="n">
        <f aca="false">IF(BY643="LOSE",1,IF(N(V643)&gt;0,V643,IF(CB643=1,MAX(1,N(VLOOKUP(T643,Parameter!$I$27:$K$29,3,0)),H643,N(N643)),IF(N(Q643)&gt;0,Q643,MAX(1,H643)))))</f>
        <v>94</v>
      </c>
      <c r="CA643" s="65" t="n">
        <f aca="false">IF(BY643="LOSE",1,0)</f>
        <v>0</v>
      </c>
      <c r="CB643" s="65" t="n">
        <f aca="false">IF(AND(U643="",OR(P643="",P643="LOSE"),T643&lt;&gt;"",N(S643)&lt;=0,ISNUMBER(MATCH(T643,Parameter!$I$27:$I$29,0))),1,0)</f>
        <v>0</v>
      </c>
      <c r="CC643" s="65" t="n">
        <f aca="false">IF(CR643&gt;0,INDEX(Parameter!$H$5:$H$7,W643)/INDEX(Parameter!$E$5:$E$7,W643),IF(AND(CA643=0,N(IFERROR(VLOOKUP(BY643,'Gebinde-Kategorie'!$A$5:$N$45,14,0),0))&gt;0),VLOOKUP(BY643,'Gebinde-Kategorie'!$A$5:$N$45,14,0)*10+Parameter!$M$23,Parameter!$M$24))</f>
        <v>155</v>
      </c>
      <c r="CD643" s="60" t="str">
        <f aca="false">IF(AND(Parameter!$B$19="Ja",E643&lt;&gt;"",ISNUMBER(MATCH(E643,Parameter!$I$35:$I$52,0))),VLOOKUP(E643,Parameter!$I$35:$J$52,2,0),IFERROR(VLOOKUP(D643,Parameter!$A$35:$C$64,2,0),"Nein"))</f>
        <v>2+3</v>
      </c>
      <c r="CE643" s="64" t="n">
        <f aca="false">IF(CA643=0,0,IF(N(S643)&gt;0,S643,IFERROR(VLOOKUP(D643,Parameter!$A$35:$C$64,3,0)+0,0)))</f>
        <v>0</v>
      </c>
      <c r="CF643" s="60" t="n">
        <f aca="false">IF(AB643&lt;&gt;"",AB643,AA643)</f>
        <v>2</v>
      </c>
      <c r="CG643" s="60" t="str">
        <f aca="false">IF(OR(CF643=1,CF643=2,CF643=3),IF(Parameter!$E$27="Ja","LIFT",IF(CF643=1,"L1","L23")),IF(CF643="Aussen","Aussen","-"))</f>
        <v>LIFT</v>
      </c>
      <c r="CH643" s="71" t="n">
        <f aca="false">IF(N(AC643)&gt;0,AC643,0)</f>
        <v>0</v>
      </c>
      <c r="CI643" s="65" t="n">
        <f aca="false">IF(ISNUMBER(AF643),1,0)</f>
        <v>0</v>
      </c>
      <c r="CJ643" s="62" t="n">
        <f aca="false">N(AF643)</f>
        <v>0</v>
      </c>
      <c r="CK643" s="62" t="n">
        <f aca="false">N(M643)+N(N643)</f>
        <v>1</v>
      </c>
      <c r="CL643" s="62" t="n">
        <f aca="false">N(M643)</f>
        <v>0</v>
      </c>
      <c r="CM643" s="62" t="n">
        <f aca="false">N(N643)</f>
        <v>1</v>
      </c>
      <c r="CN643" s="62" t="n">
        <f aca="false">ROUNDUP(H643/BZ643,0)</f>
        <v>3</v>
      </c>
      <c r="CO643" s="62" t="n">
        <f aca="false">ROUNDUP(CJ643/BZ643,0)</f>
        <v>0</v>
      </c>
      <c r="CP643" s="65" t="n">
        <f aca="false">IF(CA643=1,0,IFERROR(VLOOKUP(BY643,'Gebinde-Kategorie'!$A$5:$N$45,5,0)+0,0))</f>
        <v>8</v>
      </c>
      <c r="CQ643" s="65" t="n">
        <f aca="false">IFERROR(IF(OR(CF643=1,CF643=2,CF643=3),N(INDEX(Parameter!$I$5:$I$7,CF643)),0),0)</f>
        <v>0</v>
      </c>
      <c r="CR643" s="64" t="n">
        <f aca="false">IF(AND(Parameter!$B$21="Ja",ISNUMBER(W643),N(X643)&gt;0),IFERROR(N(INDEX(Parameter!$L$5:$L$7,W643))*INDEX(Parameter!$E$5:$E$7,W643)*X643/SUMIFS($X$7:$X$1843,$W$7:$W$1843,W643),0),0)</f>
        <v>0</v>
      </c>
      <c r="CS643" s="62" t="n">
        <f aca="false">IF(AND(OR(CG643="L1",CG643="L23",CG643="LIFT"),H643&gt;0),CC643*IF(CR643&gt;0,CR643*MAX(1,H643/X643),IF(CA643=1,CE643,IF(R643&gt;0,CN643/R643,0))/MAX(0.1,N(Parameter!$M$21))),"")</f>
        <v>1.66071428571429</v>
      </c>
      <c r="CT643" s="64" t="n">
        <f aca="false">IF(CS643="","",J643/H643)</f>
        <v>0</v>
      </c>
      <c r="CU643" s="62" t="n">
        <f aca="false">IF(CS643="","",H643*G643)</f>
        <v>23.94</v>
      </c>
      <c r="CV643" s="63" t="n">
        <f aca="false">IF(CS643="","",(CL643+ROUNDUP(CL643+MAX(CM643,2*(J643/MAX(0.1,N(Einkauf!$C$6))-CL643)),0))/2)</f>
        <v>0.5</v>
      </c>
      <c r="CW643" s="62" t="n">
        <f aca="false">IF(CS643="","",MAX(0,H643-CV643)*G643)</f>
        <v>23.895</v>
      </c>
      <c r="CX643" s="62" t="n">
        <f aca="false">IF(CS643="","",CS643*MAX(0,1-CV643/H643))</f>
        <v>1.65759264232009</v>
      </c>
      <c r="CY643" s="64" t="n">
        <f aca="false">IF(CS643="","",PERCENTRANK($CS$7:$CS$1843,CS643)+PERCENTRANK($CU$7:$CU$1843,CU643)+1-PERCENTRANK($CT$7:$CT$1843,CT643))</f>
        <v>1.2904</v>
      </c>
      <c r="CZ643" s="72" t="n">
        <f aca="false">IF(CS643="","",CHOOSE(MATCH(Einkauf!$C$5,Parameter!$G$23:$G$27,0),CY643,CS643,CU643,-CT643,CW643)+ROW()/1000000000)</f>
        <v>1.290400643</v>
      </c>
    </row>
    <row r="644" customFormat="false" ht="15" hidden="false" customHeight="false" outlineLevel="0" collapsed="false">
      <c r="A644" s="60" t="s">
        <v>1352</v>
      </c>
      <c r="B644" s="60" t="s">
        <v>1278</v>
      </c>
      <c r="C644" s="60" t="s">
        <v>206</v>
      </c>
      <c r="D644" s="60" t="s">
        <v>226</v>
      </c>
      <c r="E644" s="60" t="s">
        <v>227</v>
      </c>
      <c r="F644" s="60" t="s">
        <v>260</v>
      </c>
      <c r="G644" s="61" t="n">
        <v>0.04</v>
      </c>
      <c r="H644" s="62" t="n">
        <f aca="false">MAX(0,IF(AND(Parameter!$B$21="Ja",ISNUMBER(Y644)),Y644,IF(Parameter!$B$20="Jahresanfang 2025 + Export",BS644+BR644,BR644)))</f>
        <v>166</v>
      </c>
      <c r="I644" s="62" t="n">
        <f aca="false">H644*G644</f>
        <v>6.64</v>
      </c>
      <c r="J644" s="62" t="n">
        <f aca="false">BU644*Parameter!$B$18</f>
        <v>4</v>
      </c>
      <c r="K644" s="63" t="n">
        <v>162</v>
      </c>
      <c r="L644" s="64" t="n">
        <v>0.0246913580246914</v>
      </c>
      <c r="M644" s="62" t="n">
        <v>0</v>
      </c>
      <c r="N644" s="62" t="n">
        <v>5</v>
      </c>
      <c r="O644" s="65" t="n">
        <v>21</v>
      </c>
      <c r="P644" s="60" t="s">
        <v>443</v>
      </c>
      <c r="Q644" s="62" t="n">
        <v>169</v>
      </c>
      <c r="R644" s="65" t="n">
        <f aca="false">IF(CA644=1,0,IFERROR(VLOOKUP(BY644,'Gebinde-Kategorie'!$A$5:$N$45,13,0)+0,0))</f>
        <v>280</v>
      </c>
      <c r="S644" s="66"/>
      <c r="T644" s="67"/>
      <c r="U644" s="67"/>
      <c r="V644" s="67"/>
      <c r="W644" s="60"/>
      <c r="X644" s="62"/>
      <c r="Y644" s="62"/>
      <c r="Z644" s="60" t="n">
        <v>2</v>
      </c>
      <c r="AA644" s="60" t="n">
        <f aca="false">IF(A644="","",IF(AND(Parameter!$B$21="Ja",ISNUMBER(W644)),W644,IF(AND(Parameter!$E$27="Ja",ISNUMBER(Z644),CD644&lt;&gt;"Nein"),Z644,IF(CD644="2+3",IF(ISNUMBER(SEARCH("grosser Artikel",BV644)),2,IFERROR(VLOOKUP(BY644,Parameter!$F$35:$G$64,2,0),2)),IF(OR(CD644="Nein",CD644=""),"-",CD644)))))</f>
        <v>2</v>
      </c>
      <c r="AB644" s="67"/>
      <c r="AC644" s="68"/>
      <c r="AD644" s="62" t="n">
        <f aca="false">AW644</f>
        <v>5</v>
      </c>
      <c r="AE644" s="62" t="n">
        <f aca="false">MAX(AW644,H644)</f>
        <v>166</v>
      </c>
      <c r="AF644" s="69"/>
      <c r="AG644" s="62" t="n">
        <f aca="false">IF(LEFT(Cockpit!$C$5,1)="A",H644,IF(Parameter!$E$30="MAX-Bestand",IF(CI644=1,CJ644,IF(LEFT(Cockpit!$C$5,1)="B",AM644,MAX(AM644,H644))),ROUNDUP(AK644,0)))</f>
        <v>166</v>
      </c>
      <c r="AH644" s="62" t="n">
        <f aca="false">IF(CA644=1,0,ROUNDUP(AG644/BZ644,0))</f>
        <v>1</v>
      </c>
      <c r="AI644" s="64" t="n">
        <f aca="false">IF(CR644&gt;0,CR644*MAX(1,AG644/X644),IF(CA644=1,IF(AG644&lt;=0,0,CE644*MAX(1,IF(H644&gt;0,AG644/H644,1))),IF(R644&gt;0,AH644/R644,0))/MAX(0.1,N(Parameter!$M$21)))</f>
        <v>0.00357142857142857</v>
      </c>
      <c r="AJ644" s="62" t="n">
        <f aca="false">AI644*CC644</f>
        <v>0.553571428571429</v>
      </c>
      <c r="AK644" s="63" t="n">
        <f aca="false">IF(LEFT(Cockpit!$C$5,1)="A",H644,IF(CI644=1,(CL644+CJ644)/2,IF(LEFT(Cockpit!$C$5,1)="B",(CL644+AM644)/2,MAX((CL644+AM644)/2,H644))))</f>
        <v>166</v>
      </c>
      <c r="AL644" s="62" t="n">
        <f aca="false">AK644*G644</f>
        <v>6.64</v>
      </c>
      <c r="AM644" s="62" t="n">
        <f aca="false">ROUNDUP(CL644+MAX(CM644,2*(J644/IF(CH644&gt;0,CH644,MAX(0.1,N(Cockpit!$C$6)))-CL644)),0)</f>
        <v>5</v>
      </c>
      <c r="AN644" s="63" t="n">
        <f aca="false">IF(AJ644&gt;0,J644/AJ644,-1)</f>
        <v>7.2258064516129</v>
      </c>
      <c r="AO644" s="63" t="n">
        <f aca="false">IF(AND(OR(CG644="L1",CG644="L23",CG644="LIFT"),AJ644&gt;0),SUMIFS($AJ$7:$AJ$1843,$CG$7:$CG$1843,CG644,$AN$7:$AN$1843,"&gt;"&amp;AN644)+SUMIFS($AJ$7:$AJ$1843,$CG$7:$CG$1843,CG644,$AN$7:$AN$1843,AN644,$BX$7:$BX$1843,"&lt;="&amp;BX644),"")</f>
        <v>3156.69001831502</v>
      </c>
      <c r="AP644" s="70" t="n">
        <f aca="false">IF(AO644="",0,MAX(0,MIN(1,(IF(CG644="L1",Parameter!$H$5,IF(CG644="L23",Parameter!$H$6+Parameter!$H$7,Parameter!$H$5+Parameter!$H$6+Parameter!$H$7))-(AO644-AJ644))/AJ644)))</f>
        <v>1</v>
      </c>
      <c r="AQ644" s="62" t="n">
        <f aca="false">IF(LEFT(Cockpit!$I$5,1)="A",H644,IF(Parameter!$E$30="MAX-Bestand",IF(CI644=1,CJ644,IF(LEFT(Cockpit!$I$5,1)="B",AW644,MAX(AW644,H644))),ROUNDUP(AU644,0)))</f>
        <v>166</v>
      </c>
      <c r="AR644" s="62" t="n">
        <f aca="false">IF(CA644=1,0,ROUNDUP(AQ644/BZ644,0))</f>
        <v>1</v>
      </c>
      <c r="AS644" s="64" t="n">
        <f aca="false">IF(CR644&gt;0,CR644*MAX(1,AQ644/X644),IF(CA644=1,IF(AQ644&lt;=0,0,CE644*MAX(1,IF(H644&gt;0,AQ644/H644,1))),IF(R644&gt;0,AR644/R644,0))/MAX(0.1,N(Parameter!$M$21)))</f>
        <v>0.00357142857142857</v>
      </c>
      <c r="AT644" s="62" t="n">
        <f aca="false">AS644*CC644</f>
        <v>0.553571428571429</v>
      </c>
      <c r="AU644" s="63" t="n">
        <f aca="false">IF(LEFT(Cockpit!$I$5,1)="A",H644,IF(CI644=1,(CL644+CJ644)/2,IF(LEFT(Cockpit!$I$5,1)="B",(CL644+AW644)/2,MAX((CL644+AW644)/2,H644))))</f>
        <v>166</v>
      </c>
      <c r="AV644" s="62" t="n">
        <f aca="false">AU644*G644</f>
        <v>6.64</v>
      </c>
      <c r="AW644" s="62" t="n">
        <f aca="false">ROUNDUP(CL644+MAX(CM644,2*(J644/IF(CH644&gt;0,CH644,MAX(0.1,N(Cockpit!$I$6)))-CL644)),0)</f>
        <v>5</v>
      </c>
      <c r="AX644" s="63" t="n">
        <f aca="false">IF(AT644&gt;0,J644/AT644,-1)</f>
        <v>7.2258064516129</v>
      </c>
      <c r="AY644" s="63" t="n">
        <f aca="false">IF(AND(OR(CG644="L1",CG644="L23",CG644="LIFT"),AT644&gt;0),SUMIFS($AT$7:$AT$1843,$CG$7:$CG$1843,CG644,$AX$7:$AX$1843,"&gt;"&amp;AX644)+SUMIFS($AT$7:$AT$1843,$CG$7:$CG$1843,CG644,$AX$7:$AX$1843,AX644,$BX$7:$BX$1843,"&lt;="&amp;BX644),"")</f>
        <v>3817.00137362637</v>
      </c>
      <c r="AZ644" s="70" t="n">
        <f aca="false">IF(AY644="",0,MAX(0,MIN(1,(IF(CG644="L1",Parameter!$H$5,IF(CG644="L23",Parameter!$H$6+Parameter!$H$7,Parameter!$H$5+Parameter!$H$6+Parameter!$H$7))-(AY644-AT644))/AT644)))</f>
        <v>1</v>
      </c>
      <c r="BA644" s="62" t="n">
        <f aca="false">IF(LEFT(Cockpit!$O$5,1)="A",H644,IF(Parameter!$E$30="MAX-Bestand",IF(CI644=1,CJ644,IF(LEFT(Cockpit!$O$5,1)="B",BG644,MAX(BG644,H644))),ROUNDUP(BE644,0)))</f>
        <v>3</v>
      </c>
      <c r="BB644" s="62" t="n">
        <f aca="false">IF(CA644=1,0,ROUNDUP(BA644/BZ644,0))</f>
        <v>1</v>
      </c>
      <c r="BC644" s="64" t="n">
        <f aca="false">IF(CR644&gt;0,CR644*MAX(1,BA644/X644),IF(CA644=1,IF(BA644&lt;=0,0,CE644*MAX(1,IF(H644&gt;0,BA644/H644,1))),IF(R644&gt;0,BB644/R644,0))/MAX(0.1,N(Parameter!$M$21)))</f>
        <v>0.00357142857142857</v>
      </c>
      <c r="BD644" s="62" t="n">
        <f aca="false">BC644*CC644</f>
        <v>0.553571428571429</v>
      </c>
      <c r="BE644" s="63" t="n">
        <f aca="false">IF(LEFT(Cockpit!$O$5,1)="A",H644,IF(CI644=1,(CL644+CJ644)/2,IF(LEFT(Cockpit!$O$5,1)="B",(CL644+BG644)/2,MAX((CL644+BG644)/2,H644))))</f>
        <v>2.5</v>
      </c>
      <c r="BF644" s="62" t="n">
        <f aca="false">BE644*G644</f>
        <v>0.1</v>
      </c>
      <c r="BG644" s="62" t="n">
        <f aca="false">ROUNDUP(CL644+MAX(CM644,2*(J644/IF(CH644&gt;0,CH644,MAX(0.1,N(Cockpit!$O$6)))-CL644)),0)</f>
        <v>5</v>
      </c>
      <c r="BH644" s="63" t="n">
        <f aca="false">IF(BD644&gt;0,J644/BD644,-1)</f>
        <v>7.2258064516129</v>
      </c>
      <c r="BI644" s="63" t="n">
        <f aca="false">IF(AND(OR(CG644="L1",CG644="L23",CG644="LIFT"),BD644&gt;0),SUMIFS($BD$7:$BD$1843,$CG$7:$CG$1843,CG644,$BH$7:$BH$1843,"&gt;"&amp;BH644)+SUMIFS($BD$7:$BD$1843,$CG$7:$CG$1843,CG644,$BH$7:$BH$1843,BH644,$BX$7:$BX$1843,"&lt;="&amp;BX644),"")</f>
        <v>3241.45924908425</v>
      </c>
      <c r="BJ644" s="70" t="n">
        <f aca="false">IF(BI644="",0,MAX(0,MIN(1,(IF(CG644="L1",Parameter!$H$5,IF(CG644="L23",Parameter!$H$6+Parameter!$H$7,Parameter!$H$5+Parameter!$H$6+Parameter!$H$7))-(BI644-BD644))/BD644)))</f>
        <v>1</v>
      </c>
      <c r="BK644" s="60" t="str">
        <f aca="false">IF(AJ644&lt;=0,"",IF(CG644="Aussen","Aussenlager",IF(CG644="-","Nicht im Lift",IF(AP644&gt;=1,"Lift",IF(AP644&lt;=0,"Aussenlager","teilweise")))))</f>
        <v>Lift</v>
      </c>
      <c r="BL644" s="60" t="str">
        <f aca="false">IF(AT644&lt;=0,"",IF(CG644="Aussen","Aussenlager",IF(CG644="-","Nicht im Lift",IF(AZ644&gt;=1,"Lift",IF(AZ644&lt;=0,"Aussenlager","teilweise")))))</f>
        <v>Lift</v>
      </c>
      <c r="BM644" s="60" t="str">
        <f aca="false">IF(BD644&lt;=0,"",IF(CG644="Aussen","Aussenlager",IF(CG644="-","Nicht im Lift",IF(BJ644&gt;=1,"Lift",IF(BJ644&lt;=0,"Aussenlager","teilweise")))))</f>
        <v>Lift</v>
      </c>
      <c r="BN644" s="60" t="str">
        <f aca="false">IF(A644="","",IF(BW644=1,"Neu; ","")&amp;IF(AND(BW644=0,BR644&lt;0),"negativer Bestand (Export "&amp;BR644&amp;"); ","")&amp;IF(J644&lt;=0,"Kein Verbrauch; ","")&amp;IF(CR644&gt;0,"Lift "&amp;W644&amp;" lt. Liftbericht (Fach "&amp;X644&amp;" Stk); ",IF(CB644=1,"Gebinde geschätzt ("&amp;T644&amp;"); ",IF(CA644=1,"Lose – Tablare geschätzt; ","")))&amp;IF(H644&gt;AW644,"Überbestand "&amp;ROUND(H644-AW644,0)&amp;" Stk / CHF "&amp;ROUND((H644-AW644)*G644,0)&amp;"; ","")&amp;IF(AND(CI644=1,CJ644&lt;CK644),"MAX &lt; MB+LG; ","")&amp;IF(AND(CQ644&gt;0,CP644*10&gt;CQ644),"zu hoch für Tablar; ","")&amp;IF(AND(BW644=0,OR(CI644=1,AB644&lt;&gt;"",U644&lt;&gt;"",V644&lt;&gt;"",AC644&lt;&gt;"")),"manuell übersteuert; ","")&amp;IF(AND(CA644=0,R644=0),"Gebinde unbekannt / Stellmass fehlt; ","")&amp;IF(AND(CA644=0,N(V644)&lt;=0,N(Q644)&lt;=0),"Menge pro Gebinde fehlt (Ist = 1 Gebinde); ","")&amp;BV644)</f>
        <v>Überbestand 161 Stk / CHF 6; Überbestand</v>
      </c>
      <c r="BO644" s="60"/>
      <c r="BP644" s="60"/>
      <c r="BQ644" s="67"/>
      <c r="BR644" s="62" t="n">
        <v>7</v>
      </c>
      <c r="BS644" s="62" t="n">
        <v>159</v>
      </c>
      <c r="BT644" s="61" t="n">
        <v>0.28</v>
      </c>
      <c r="BU644" s="62" t="n">
        <v>4</v>
      </c>
      <c r="BV644" s="60" t="s">
        <v>434</v>
      </c>
      <c r="BW644" s="65" t="n">
        <v>0</v>
      </c>
      <c r="BX644" s="65" t="n">
        <v>644</v>
      </c>
      <c r="BY644" s="60" t="str">
        <f aca="false">IF(U644&lt;&gt;"",UPPER(TRIM(U644)),IF(CB644=1,UPPER(VLOOKUP(T644,Parameter!$I$27:$K$29,2,0)),IF(P644="","LOSE",P644)))</f>
        <v>S21</v>
      </c>
      <c r="BZ644" s="62" t="n">
        <f aca="false">IF(BY644="LOSE",1,IF(N(V644)&gt;0,V644,IF(CB644=1,MAX(1,N(VLOOKUP(T644,Parameter!$I$27:$K$29,3,0)),H644,N(N644)),IF(N(Q644)&gt;0,Q644,MAX(1,H644)))))</f>
        <v>169</v>
      </c>
      <c r="CA644" s="65" t="n">
        <f aca="false">IF(BY644="LOSE",1,0)</f>
        <v>0</v>
      </c>
      <c r="CB644" s="65" t="n">
        <f aca="false">IF(AND(U644="",OR(P644="",P644="LOSE"),T644&lt;&gt;"",N(S644)&lt;=0,ISNUMBER(MATCH(T644,Parameter!$I$27:$I$29,0))),1,0)</f>
        <v>0</v>
      </c>
      <c r="CC644" s="65" t="n">
        <f aca="false">IF(CR644&gt;0,INDEX(Parameter!$H$5:$H$7,W644)/INDEX(Parameter!$E$5:$E$7,W644),IF(AND(CA644=0,N(IFERROR(VLOOKUP(BY644,'Gebinde-Kategorie'!$A$5:$N$45,14,0),0))&gt;0),VLOOKUP(BY644,'Gebinde-Kategorie'!$A$5:$N$45,14,0)*10+Parameter!$M$23,Parameter!$M$24))</f>
        <v>155</v>
      </c>
      <c r="CD644" s="60" t="str">
        <f aca="false">IF(AND(Parameter!$B$19="Ja",E644&lt;&gt;"",ISNUMBER(MATCH(E644,Parameter!$I$35:$I$52,0))),VLOOKUP(E644,Parameter!$I$35:$J$52,2,0),IFERROR(VLOOKUP(D644,Parameter!$A$35:$C$64,2,0),"Nein"))</f>
        <v>2+3</v>
      </c>
      <c r="CE644" s="64" t="n">
        <f aca="false">IF(CA644=0,0,IF(N(S644)&gt;0,S644,IFERROR(VLOOKUP(D644,Parameter!$A$35:$C$64,3,0)+0,0)))</f>
        <v>0</v>
      </c>
      <c r="CF644" s="60" t="n">
        <f aca="false">IF(AB644&lt;&gt;"",AB644,AA644)</f>
        <v>2</v>
      </c>
      <c r="CG644" s="60" t="str">
        <f aca="false">IF(OR(CF644=1,CF644=2,CF644=3),IF(Parameter!$E$27="Ja","LIFT",IF(CF644=1,"L1","L23")),IF(CF644="Aussen","Aussen","-"))</f>
        <v>LIFT</v>
      </c>
      <c r="CH644" s="71" t="n">
        <f aca="false">IF(N(AC644)&gt;0,AC644,0)</f>
        <v>0</v>
      </c>
      <c r="CI644" s="65" t="n">
        <f aca="false">IF(ISNUMBER(AF644),1,0)</f>
        <v>0</v>
      </c>
      <c r="CJ644" s="62" t="n">
        <f aca="false">N(AF644)</f>
        <v>0</v>
      </c>
      <c r="CK644" s="62" t="n">
        <f aca="false">N(M644)+N(N644)</f>
        <v>5</v>
      </c>
      <c r="CL644" s="62" t="n">
        <f aca="false">N(M644)</f>
        <v>0</v>
      </c>
      <c r="CM644" s="62" t="n">
        <f aca="false">N(N644)</f>
        <v>5</v>
      </c>
      <c r="CN644" s="62" t="n">
        <f aca="false">ROUNDUP(H644/BZ644,0)</f>
        <v>1</v>
      </c>
      <c r="CO644" s="62" t="n">
        <f aca="false">ROUNDUP(CJ644/BZ644,0)</f>
        <v>0</v>
      </c>
      <c r="CP644" s="65" t="n">
        <f aca="false">IF(CA644=1,0,IFERROR(VLOOKUP(BY644,'Gebinde-Kategorie'!$A$5:$N$45,5,0)+0,0))</f>
        <v>8</v>
      </c>
      <c r="CQ644" s="65" t="n">
        <f aca="false">IFERROR(IF(OR(CF644=1,CF644=2,CF644=3),N(INDEX(Parameter!$I$5:$I$7,CF644)),0),0)</f>
        <v>0</v>
      </c>
      <c r="CR644" s="64" t="n">
        <f aca="false">IF(AND(Parameter!$B$21="Ja",ISNUMBER(W644),N(X644)&gt;0),IFERROR(N(INDEX(Parameter!$L$5:$L$7,W644))*INDEX(Parameter!$E$5:$E$7,W644)*X644/SUMIFS($X$7:$X$1843,$W$7:$W$1843,W644),0),0)</f>
        <v>0</v>
      </c>
      <c r="CS644" s="62" t="n">
        <f aca="false">IF(AND(OR(CG644="L1",CG644="L23",CG644="LIFT"),H644&gt;0),CC644*IF(CR644&gt;0,CR644*MAX(1,H644/X644),IF(CA644=1,CE644,IF(R644&gt;0,CN644/R644,0))/MAX(0.1,N(Parameter!$M$21))),"")</f>
        <v>0.553571428571429</v>
      </c>
      <c r="CT644" s="64" t="n">
        <f aca="false">IF(CS644="","",J644/H644)</f>
        <v>0.0240963855421687</v>
      </c>
      <c r="CU644" s="62" t="n">
        <f aca="false">IF(CS644="","",H644*G644)</f>
        <v>6.64</v>
      </c>
      <c r="CV644" s="63" t="n">
        <f aca="false">IF(CS644="","",(CL644+ROUNDUP(CL644+MAX(CM644,2*(J644/MAX(0.1,N(Einkauf!$C$6))-CL644)),0))/2)</f>
        <v>2.5</v>
      </c>
      <c r="CW644" s="62" t="n">
        <f aca="false">IF(CS644="","",MAX(0,H644-CV644)*G644)</f>
        <v>6.54</v>
      </c>
      <c r="CX644" s="62" t="n">
        <f aca="false">IF(CS644="","",CS644*MAX(0,1-CV644/H644))</f>
        <v>0.545234509466437</v>
      </c>
      <c r="CY644" s="64" t="n">
        <f aca="false">IF(CS644="","",PERCENTRANK($CS$7:$CS$1843,CS644)+PERCENTRANK($CU$7:$CU$1843,CU644)+1-PERCENTRANK($CT$7:$CT$1843,CT644))</f>
        <v>0.6425</v>
      </c>
      <c r="CZ644" s="72" t="n">
        <f aca="false">IF(CS644="","",CHOOSE(MATCH(Einkauf!$C$5,Parameter!$G$23:$G$27,0),CY644,CS644,CU644,-CT644,CW644)+ROW()/1000000000)</f>
        <v>0.642500644</v>
      </c>
    </row>
    <row r="645" customFormat="false" ht="15" hidden="false" customHeight="false" outlineLevel="0" collapsed="false">
      <c r="A645" s="60" t="s">
        <v>1353</v>
      </c>
      <c r="B645" s="60" t="s">
        <v>991</v>
      </c>
      <c r="C645" s="60" t="s">
        <v>206</v>
      </c>
      <c r="D645" s="60" t="s">
        <v>1037</v>
      </c>
      <c r="E645" s="60"/>
      <c r="F645" s="60" t="s">
        <v>260</v>
      </c>
      <c r="G645" s="61" t="n">
        <v>0.07</v>
      </c>
      <c r="H645" s="62" t="n">
        <f aca="false">MAX(0,IF(AND(Parameter!$B$21="Ja",ISNUMBER(Y645)),Y645,IF(Parameter!$B$20="Jahresanfang 2025 + Export",BS645+BR645,BR645)))</f>
        <v>3</v>
      </c>
      <c r="I645" s="62" t="n">
        <f aca="false">H645*G645</f>
        <v>0.21</v>
      </c>
      <c r="J645" s="62" t="n">
        <f aca="false">BU645*Parameter!$B$18</f>
        <v>96</v>
      </c>
      <c r="K645" s="63" t="n">
        <v>1.5</v>
      </c>
      <c r="L645" s="64" t="n">
        <v>64</v>
      </c>
      <c r="M645" s="62" t="n">
        <v>0</v>
      </c>
      <c r="N645" s="62" t="n">
        <v>100</v>
      </c>
      <c r="O645" s="65" t="n">
        <v>21</v>
      </c>
      <c r="P645" s="60" t="s">
        <v>210</v>
      </c>
      <c r="Q645" s="62"/>
      <c r="R645" s="65" t="n">
        <f aca="false">IF(CA645=1,0,IFERROR(VLOOKUP(BY645,'Gebinde-Kategorie'!$A$5:$N$45,13,0)+0,0))</f>
        <v>0</v>
      </c>
      <c r="S645" s="66"/>
      <c r="T645" s="67"/>
      <c r="U645" s="67"/>
      <c r="V645" s="67"/>
      <c r="W645" s="60"/>
      <c r="X645" s="62"/>
      <c r="Y645" s="62"/>
      <c r="Z645" s="60"/>
      <c r="AA645" s="60" t="str">
        <f aca="false">IF(A645="","",IF(AND(Parameter!$B$21="Ja",ISNUMBER(W645)),W645,IF(AND(Parameter!$E$27="Ja",ISNUMBER(Z645),CD645&lt;&gt;"Nein"),Z645,IF(CD645="2+3",IF(ISNUMBER(SEARCH("grosser Artikel",BV645)),2,IFERROR(VLOOKUP(BY645,Parameter!$F$35:$G$64,2,0),2)),IF(OR(CD645="Nein",CD645=""),"-",CD645)))))</f>
        <v>-</v>
      </c>
      <c r="AB645" s="67"/>
      <c r="AC645" s="68"/>
      <c r="AD645" s="62" t="n">
        <f aca="false">AW645</f>
        <v>100</v>
      </c>
      <c r="AE645" s="62" t="n">
        <f aca="false">MAX(AW645,H645)</f>
        <v>100</v>
      </c>
      <c r="AF645" s="69"/>
      <c r="AG645" s="62" t="n">
        <f aca="false">IF(LEFT(Cockpit!$C$5,1)="A",H645,IF(Parameter!$E$30="MAX-Bestand",IF(CI645=1,CJ645,IF(LEFT(Cockpit!$C$5,1)="B",AM645,MAX(AM645,H645))),ROUNDUP(AK645,0)))</f>
        <v>3</v>
      </c>
      <c r="AH645" s="62" t="n">
        <f aca="false">IF(CA645=1,0,ROUNDUP(AG645/BZ645,0))</f>
        <v>0</v>
      </c>
      <c r="AI645" s="64" t="n">
        <f aca="false">IF(CR645&gt;0,CR645*MAX(1,AG645/X645),IF(CA645=1,IF(AG645&lt;=0,0,CE645*MAX(1,IF(H645&gt;0,AG645/H645,1))),IF(R645&gt;0,AH645/R645,0))/MAX(0.1,N(Parameter!$M$21)))</f>
        <v>0.15</v>
      </c>
      <c r="AJ645" s="62" t="n">
        <f aca="false">AI645*CC645</f>
        <v>35.25</v>
      </c>
      <c r="AK645" s="63" t="n">
        <f aca="false">IF(LEFT(Cockpit!$C$5,1)="A",H645,IF(CI645=1,(CL645+CJ645)/2,IF(LEFT(Cockpit!$C$5,1)="B",(CL645+AM645)/2,MAX((CL645+AM645)/2,H645))))</f>
        <v>3</v>
      </c>
      <c r="AL645" s="62" t="n">
        <f aca="false">AK645*G645</f>
        <v>0.21</v>
      </c>
      <c r="AM645" s="62" t="n">
        <f aca="false">ROUNDUP(CL645+MAX(CM645,2*(J645/IF(CH645&gt;0,CH645,MAX(0.1,N(Cockpit!$C$6)))-CL645)),0)</f>
        <v>100</v>
      </c>
      <c r="AN645" s="63" t="n">
        <f aca="false">IF(AJ645&gt;0,J645/AJ645,-1)</f>
        <v>2.72340425531915</v>
      </c>
      <c r="AO645" s="63" t="str">
        <f aca="false">IF(AND(OR(CG645="L1",CG645="L23",CG645="LIFT"),AJ645&gt;0),SUMIFS($AJ$7:$AJ$1843,$CG$7:$CG$1843,CG645,$AN$7:$AN$1843,"&gt;"&amp;AN645)+SUMIFS($AJ$7:$AJ$1843,$CG$7:$CG$1843,CG645,$AN$7:$AN$1843,AN645,$BX$7:$BX$1843,"&lt;="&amp;BX645),"")</f>
        <v/>
      </c>
      <c r="AP645" s="70" t="n">
        <f aca="false">IF(AO645="",0,MAX(0,MIN(1,(IF(CG645="L1",Parameter!$H$5,IF(CG645="L23",Parameter!$H$6+Parameter!$H$7,Parameter!$H$5+Parameter!$H$6+Parameter!$H$7))-(AO645-AJ645))/AJ645)))</f>
        <v>0</v>
      </c>
      <c r="AQ645" s="62" t="n">
        <f aca="false">IF(LEFT(Cockpit!$I$5,1)="A",H645,IF(Parameter!$E$30="MAX-Bestand",IF(CI645=1,CJ645,IF(LEFT(Cockpit!$I$5,1)="B",AW645,MAX(AW645,H645))),ROUNDUP(AU645,0)))</f>
        <v>50</v>
      </c>
      <c r="AR645" s="62" t="n">
        <f aca="false">IF(CA645=1,0,ROUNDUP(AQ645/BZ645,0))</f>
        <v>0</v>
      </c>
      <c r="AS645" s="64" t="n">
        <f aca="false">IF(CR645&gt;0,CR645*MAX(1,AQ645/X645),IF(CA645=1,IF(AQ645&lt;=0,0,CE645*MAX(1,IF(H645&gt;0,AQ645/H645,1))),IF(R645&gt;0,AR645/R645,0))/MAX(0.1,N(Parameter!$M$21)))</f>
        <v>2.5</v>
      </c>
      <c r="AT645" s="62" t="n">
        <f aca="false">AS645*CC645</f>
        <v>587.5</v>
      </c>
      <c r="AU645" s="63" t="n">
        <f aca="false">IF(LEFT(Cockpit!$I$5,1)="A",H645,IF(CI645=1,(CL645+CJ645)/2,IF(LEFT(Cockpit!$I$5,1)="B",(CL645+AW645)/2,MAX((CL645+AW645)/2,H645))))</f>
        <v>50</v>
      </c>
      <c r="AV645" s="62" t="n">
        <f aca="false">AU645*G645</f>
        <v>3.5</v>
      </c>
      <c r="AW645" s="62" t="n">
        <f aca="false">ROUNDUP(CL645+MAX(CM645,2*(J645/IF(CH645&gt;0,CH645,MAX(0.1,N(Cockpit!$I$6)))-CL645)),0)</f>
        <v>100</v>
      </c>
      <c r="AX645" s="63" t="n">
        <f aca="false">IF(AT645&gt;0,J645/AT645,-1)</f>
        <v>0.163404255319149</v>
      </c>
      <c r="AY645" s="63" t="str">
        <f aca="false">IF(AND(OR(CG645="L1",CG645="L23",CG645="LIFT"),AT645&gt;0),SUMIFS($AT$7:$AT$1843,$CG$7:$CG$1843,CG645,$AX$7:$AX$1843,"&gt;"&amp;AX645)+SUMIFS($AT$7:$AT$1843,$CG$7:$CG$1843,CG645,$AX$7:$AX$1843,AX645,$BX$7:$BX$1843,"&lt;="&amp;BX645),"")</f>
        <v/>
      </c>
      <c r="AZ645" s="70" t="n">
        <f aca="false">IF(AY645="",0,MAX(0,MIN(1,(IF(CG645="L1",Parameter!$H$5,IF(CG645="L23",Parameter!$H$6+Parameter!$H$7,Parameter!$H$5+Parameter!$H$6+Parameter!$H$7))-(AY645-AT645))/AT645)))</f>
        <v>0</v>
      </c>
      <c r="BA645" s="62" t="n">
        <f aca="false">IF(LEFT(Cockpit!$O$5,1)="A",H645,IF(Parameter!$E$30="MAX-Bestand",IF(CI645=1,CJ645,IF(LEFT(Cockpit!$O$5,1)="B",BG645,MAX(BG645,H645))),ROUNDUP(BE645,0)))</f>
        <v>50</v>
      </c>
      <c r="BB645" s="62" t="n">
        <f aca="false">IF(CA645=1,0,ROUNDUP(BA645/BZ645,0))</f>
        <v>0</v>
      </c>
      <c r="BC645" s="64" t="n">
        <f aca="false">IF(CR645&gt;0,CR645*MAX(1,BA645/X645),IF(CA645=1,IF(BA645&lt;=0,0,CE645*MAX(1,IF(H645&gt;0,BA645/H645,1))),IF(R645&gt;0,BB645/R645,0))/MAX(0.1,N(Parameter!$M$21)))</f>
        <v>2.5</v>
      </c>
      <c r="BD645" s="62" t="n">
        <f aca="false">BC645*CC645</f>
        <v>587.5</v>
      </c>
      <c r="BE645" s="63" t="n">
        <f aca="false">IF(LEFT(Cockpit!$O$5,1)="A",H645,IF(CI645=1,(CL645+CJ645)/2,IF(LEFT(Cockpit!$O$5,1)="B",(CL645+BG645)/2,MAX((CL645+BG645)/2,H645))))</f>
        <v>50</v>
      </c>
      <c r="BF645" s="62" t="n">
        <f aca="false">BE645*G645</f>
        <v>3.5</v>
      </c>
      <c r="BG645" s="62" t="n">
        <f aca="false">ROUNDUP(CL645+MAX(CM645,2*(J645/IF(CH645&gt;0,CH645,MAX(0.1,N(Cockpit!$O$6)))-CL645)),0)</f>
        <v>100</v>
      </c>
      <c r="BH645" s="63" t="n">
        <f aca="false">IF(BD645&gt;0,J645/BD645,-1)</f>
        <v>0.163404255319149</v>
      </c>
      <c r="BI645" s="63" t="str">
        <f aca="false">IF(AND(OR(CG645="L1",CG645="L23",CG645="LIFT"),BD645&gt;0),SUMIFS($BD$7:$BD$1843,$CG$7:$CG$1843,CG645,$BH$7:$BH$1843,"&gt;"&amp;BH645)+SUMIFS($BD$7:$BD$1843,$CG$7:$CG$1843,CG645,$BH$7:$BH$1843,BH645,$BX$7:$BX$1843,"&lt;="&amp;BX645),"")</f>
        <v/>
      </c>
      <c r="BJ645" s="70" t="n">
        <f aca="false">IF(BI645="",0,MAX(0,MIN(1,(IF(CG645="L1",Parameter!$H$5,IF(CG645="L23",Parameter!$H$6+Parameter!$H$7,Parameter!$H$5+Parameter!$H$6+Parameter!$H$7))-(BI645-BD645))/BD645)))</f>
        <v>0</v>
      </c>
      <c r="BK645" s="60" t="str">
        <f aca="false">IF(AJ645&lt;=0,"",IF(CG645="Aussen","Aussenlager",IF(CG645="-","Nicht im Lift",IF(AP645&gt;=1,"Lift",IF(AP645&lt;=0,"Aussenlager","teilweise")))))</f>
        <v>Nicht im Lift</v>
      </c>
      <c r="BL645" s="60" t="str">
        <f aca="false">IF(AT645&lt;=0,"",IF(CG645="Aussen","Aussenlager",IF(CG645="-","Nicht im Lift",IF(AZ645&gt;=1,"Lift",IF(AZ645&lt;=0,"Aussenlager","teilweise")))))</f>
        <v>Nicht im Lift</v>
      </c>
      <c r="BM645" s="60" t="str">
        <f aca="false">IF(BD645&lt;=0,"",IF(CG645="Aussen","Aussenlager",IF(CG645="-","Nicht im Lift",IF(BJ645&gt;=1,"Lift",IF(BJ645&lt;=0,"Aussenlager","teilweise")))))</f>
        <v>Nicht im Lift</v>
      </c>
      <c r="BN645" s="60" t="str">
        <f aca="false">IF(A645="","",IF(BW645=1,"Neu; ","")&amp;IF(AND(BW645=0,BR645&lt;0),"negativer Bestand (Export "&amp;BR645&amp;"); ","")&amp;IF(J645&lt;=0,"Kein Verbrauch; ","")&amp;IF(CR645&gt;0,"Lift "&amp;W645&amp;" lt. Liftbericht (Fach "&amp;X645&amp;" Stk); ",IF(CB645=1,"Gebinde geschätzt ("&amp;T645&amp;"); ",IF(CA645=1,"Lose – Tablare geschätzt; ","")))&amp;IF(H645&gt;AW645,"Überbestand "&amp;ROUND(H645-AW645,0)&amp;" Stk / CHF "&amp;ROUND((H645-AW645)*G645,0)&amp;"; ","")&amp;IF(AND(CI645=1,CJ645&lt;CK645),"MAX &lt; MB+LG; ","")&amp;IF(AND(CQ645&gt;0,CP645*10&gt;CQ645),"zu hoch für Tablar; ","")&amp;IF(AND(BW645=0,OR(CI645=1,AB645&lt;&gt;"",U645&lt;&gt;"",V645&lt;&gt;"",AC645&lt;&gt;"")),"manuell übersteuert; ","")&amp;IF(AND(CA645=0,R645=0),"Gebinde unbekannt / Stellmass fehlt; ","")&amp;IF(AND(CA645=0,N(V645)&lt;=0,N(Q645)&lt;=0),"Menge pro Gebinde fehlt (Ist = 1 Gebinde); ","")&amp;BV645)</f>
        <v>Lose – Tablare geschätzt; </v>
      </c>
      <c r="BO645" s="60"/>
      <c r="BP645" s="60"/>
      <c r="BQ645" s="67"/>
      <c r="BR645" s="62" t="n">
        <v>3</v>
      </c>
      <c r="BS645" s="62" t="n">
        <v>0</v>
      </c>
      <c r="BT645" s="61" t="n">
        <v>0.21</v>
      </c>
      <c r="BU645" s="62" t="n">
        <v>96</v>
      </c>
      <c r="BV645" s="60"/>
      <c r="BW645" s="65" t="n">
        <v>0</v>
      </c>
      <c r="BX645" s="65" t="n">
        <v>645</v>
      </c>
      <c r="BY645" s="60" t="str">
        <f aca="false">IF(U645&lt;&gt;"",UPPER(TRIM(U645)),IF(CB645=1,UPPER(VLOOKUP(T645,Parameter!$I$27:$K$29,2,0)),IF(P645="","LOSE",P645)))</f>
        <v>LOSE</v>
      </c>
      <c r="BZ645" s="62" t="n">
        <f aca="false">IF(BY645="LOSE",1,IF(N(V645)&gt;0,V645,IF(CB645=1,MAX(1,N(VLOOKUP(T645,Parameter!$I$27:$K$29,3,0)),H645,N(N645)),IF(N(Q645)&gt;0,Q645,MAX(1,H645)))))</f>
        <v>1</v>
      </c>
      <c r="CA645" s="65" t="n">
        <f aca="false">IF(BY645="LOSE",1,0)</f>
        <v>1</v>
      </c>
      <c r="CB645" s="65" t="n">
        <f aca="false">IF(AND(U645="",OR(P645="",P645="LOSE"),T645&lt;&gt;"",N(S645)&lt;=0,ISNUMBER(MATCH(T645,Parameter!$I$27:$I$29,0))),1,0)</f>
        <v>0</v>
      </c>
      <c r="CC645" s="65" t="n">
        <f aca="false">IF(CR645&gt;0,INDEX(Parameter!$H$5:$H$7,W645)/INDEX(Parameter!$E$5:$E$7,W645),IF(AND(CA645=0,N(IFERROR(VLOOKUP(BY645,'Gebinde-Kategorie'!$A$5:$N$45,14,0),0))&gt;0),VLOOKUP(BY645,'Gebinde-Kategorie'!$A$5:$N$45,14,0)*10+Parameter!$M$23,Parameter!$M$24))</f>
        <v>235</v>
      </c>
      <c r="CD645" s="60" t="str">
        <f aca="false">IF(AND(Parameter!$B$19="Ja",E645&lt;&gt;"",ISNUMBER(MATCH(E645,Parameter!$I$35:$I$52,0))),VLOOKUP(E645,Parameter!$I$35:$J$52,2,0),IFERROR(VLOOKUP(D645,Parameter!$A$35:$C$64,2,0),"Nein"))</f>
        <v>Nein</v>
      </c>
      <c r="CE645" s="64" t="n">
        <f aca="false">IF(CA645=0,0,IF(N(S645)&gt;0,S645,IFERROR(VLOOKUP(D645,Parameter!$A$35:$C$64,3,0)+0,0)))</f>
        <v>0.15</v>
      </c>
      <c r="CF645" s="60" t="str">
        <f aca="false">IF(AB645&lt;&gt;"",AB645,AA645)</f>
        <v>-</v>
      </c>
      <c r="CG645" s="60" t="str">
        <f aca="false">IF(OR(CF645=1,CF645=2,CF645=3),IF(Parameter!$E$27="Ja","LIFT",IF(CF645=1,"L1","L23")),IF(CF645="Aussen","Aussen","-"))</f>
        <v>-</v>
      </c>
      <c r="CH645" s="71" t="n">
        <f aca="false">IF(N(AC645)&gt;0,AC645,0)</f>
        <v>0</v>
      </c>
      <c r="CI645" s="65" t="n">
        <f aca="false">IF(ISNUMBER(AF645),1,0)</f>
        <v>0</v>
      </c>
      <c r="CJ645" s="62" t="n">
        <f aca="false">N(AF645)</f>
        <v>0</v>
      </c>
      <c r="CK645" s="62" t="n">
        <f aca="false">N(M645)+N(N645)</f>
        <v>100</v>
      </c>
      <c r="CL645" s="62" t="n">
        <f aca="false">N(M645)</f>
        <v>0</v>
      </c>
      <c r="CM645" s="62" t="n">
        <f aca="false">N(N645)</f>
        <v>100</v>
      </c>
      <c r="CN645" s="62" t="n">
        <f aca="false">ROUNDUP(H645/BZ645,0)</f>
        <v>3</v>
      </c>
      <c r="CO645" s="62" t="n">
        <f aca="false">ROUNDUP(CJ645/BZ645,0)</f>
        <v>0</v>
      </c>
      <c r="CP645" s="65" t="n">
        <f aca="false">IF(CA645=1,0,IFERROR(VLOOKUP(BY645,'Gebinde-Kategorie'!$A$5:$N$45,5,0)+0,0))</f>
        <v>0</v>
      </c>
      <c r="CQ645" s="65" t="n">
        <f aca="false">IFERROR(IF(OR(CF645=1,CF645=2,CF645=3),N(INDEX(Parameter!$I$5:$I$7,CF645)),0),0)</f>
        <v>0</v>
      </c>
      <c r="CR645" s="64" t="n">
        <f aca="false">IF(AND(Parameter!$B$21="Ja",ISNUMBER(W645),N(X645)&gt;0),IFERROR(N(INDEX(Parameter!$L$5:$L$7,W645))*INDEX(Parameter!$E$5:$E$7,W645)*X645/SUMIFS($X$7:$X$1843,$W$7:$W$1843,W645),0),0)</f>
        <v>0</v>
      </c>
      <c r="CS645" s="62" t="str">
        <f aca="false">IF(AND(OR(CG645="L1",CG645="L23",CG645="LIFT"),H645&gt;0),CC645*IF(CR645&gt;0,CR645*MAX(1,H645/X645),IF(CA645=1,CE645,IF(R645&gt;0,CN645/R645,0))/MAX(0.1,N(Parameter!$M$21))),"")</f>
        <v/>
      </c>
      <c r="CT645" s="64" t="str">
        <f aca="false">IF(CS645="","",J645/H645)</f>
        <v/>
      </c>
      <c r="CU645" s="62" t="str">
        <f aca="false">IF(CS645="","",H645*G645)</f>
        <v/>
      </c>
      <c r="CV645" s="63" t="str">
        <f aca="false">IF(CS645="","",(CL645+ROUNDUP(CL645+MAX(CM645,2*(J645/MAX(0.1,N(Einkauf!$C$6))-CL645)),0))/2)</f>
        <v/>
      </c>
      <c r="CW645" s="62" t="str">
        <f aca="false">IF(CS645="","",MAX(0,H645-CV645)*G645)</f>
        <v/>
      </c>
      <c r="CX645" s="62" t="str">
        <f aca="false">IF(CS645="","",CS645*MAX(0,1-CV645/H645))</f>
        <v/>
      </c>
      <c r="CY645" s="64" t="str">
        <f aca="false">IF(CS645="","",PERCENTRANK($CS$7:$CS$1843,CS645)+PERCENTRANK($CU$7:$CU$1843,CU645)+1-PERCENTRANK($CT$7:$CT$1843,CT645))</f>
        <v/>
      </c>
      <c r="CZ645" s="72" t="str">
        <f aca="false">IF(CS645="","",CHOOSE(MATCH(Einkauf!$C$5,Parameter!$G$23:$G$27,0),CY645,CS645,CU645,-CT645,CW645)+ROW()/1000000000)</f>
        <v/>
      </c>
    </row>
    <row r="646" customFormat="false" ht="15" hidden="false" customHeight="false" outlineLevel="0" collapsed="false">
      <c r="A646" s="60" t="s">
        <v>1354</v>
      </c>
      <c r="B646" s="60" t="s">
        <v>1355</v>
      </c>
      <c r="C646" s="60" t="s">
        <v>206</v>
      </c>
      <c r="D646" s="60" t="s">
        <v>215</v>
      </c>
      <c r="E646" s="60"/>
      <c r="F646" s="60" t="s">
        <v>260</v>
      </c>
      <c r="G646" s="61" t="n">
        <v>0.01</v>
      </c>
      <c r="H646" s="62" t="n">
        <f aca="false">MAX(0,IF(AND(Parameter!$B$21="Ja",ISNUMBER(Y646)),Y646,IF(Parameter!$B$20="Jahresanfang 2025 + Export",BS646+BR646,BR646)))</f>
        <v>17</v>
      </c>
      <c r="I646" s="62" t="n">
        <f aca="false">H646*G646</f>
        <v>0.17</v>
      </c>
      <c r="J646" s="62" t="n">
        <f aca="false">BU646*Parameter!$B$18</f>
        <v>0</v>
      </c>
      <c r="K646" s="63" t="n">
        <v>0</v>
      </c>
      <c r="L646" s="64" t="n">
        <v>0</v>
      </c>
      <c r="M646" s="62" t="n">
        <v>0</v>
      </c>
      <c r="N646" s="62" t="n">
        <v>1</v>
      </c>
      <c r="O646" s="65" t="n">
        <v>999</v>
      </c>
      <c r="P646" s="60" t="s">
        <v>210</v>
      </c>
      <c r="Q646" s="62"/>
      <c r="R646" s="65" t="n">
        <f aca="false">IF(CA646=1,0,IFERROR(VLOOKUP(BY646,'Gebinde-Kategorie'!$A$5:$N$45,13,0)+0,0))</f>
        <v>26</v>
      </c>
      <c r="S646" s="66"/>
      <c r="T646" s="67" t="s">
        <v>317</v>
      </c>
      <c r="U646" s="67"/>
      <c r="V646" s="67"/>
      <c r="W646" s="60"/>
      <c r="X646" s="62"/>
      <c r="Y646" s="62"/>
      <c r="Z646" s="60" t="n">
        <v>3</v>
      </c>
      <c r="AA646" s="60" t="n">
        <f aca="false">IF(A646="","",IF(AND(Parameter!$B$21="Ja",ISNUMBER(W646)),W646,IF(AND(Parameter!$E$27="Ja",ISNUMBER(Z646),CD646&lt;&gt;"Nein"),Z646,IF(CD646="2+3",IF(ISNUMBER(SEARCH("grosser Artikel",BV646)),2,IFERROR(VLOOKUP(BY646,Parameter!$F$35:$G$64,2,0),2)),IF(OR(CD646="Nein",CD646=""),"-",CD646)))))</f>
        <v>3</v>
      </c>
      <c r="AB646" s="67"/>
      <c r="AC646" s="68"/>
      <c r="AD646" s="62" t="n">
        <f aca="false">AW646</f>
        <v>1</v>
      </c>
      <c r="AE646" s="62" t="n">
        <f aca="false">MAX(AW646,H646)</f>
        <v>17</v>
      </c>
      <c r="AF646" s="69"/>
      <c r="AG646" s="62" t="n">
        <f aca="false">IF(LEFT(Cockpit!$C$5,1)="A",H646,IF(Parameter!$E$30="MAX-Bestand",IF(CI646=1,CJ646,IF(LEFT(Cockpit!$C$5,1)="B",AM646,MAX(AM646,H646))),ROUNDUP(AK646,0)))</f>
        <v>17</v>
      </c>
      <c r="AH646" s="62" t="n">
        <f aca="false">IF(CA646=1,0,ROUNDUP(AG646/BZ646,0))</f>
        <v>1</v>
      </c>
      <c r="AI646" s="64" t="n">
        <f aca="false">IF(CR646&gt;0,CR646*MAX(1,AG646/X646),IF(CA646=1,IF(AG646&lt;=0,0,CE646*MAX(1,IF(H646&gt;0,AG646/H646,1))),IF(R646&gt;0,AH646/R646,0))/MAX(0.1,N(Parameter!$M$21)))</f>
        <v>0.0384615384615385</v>
      </c>
      <c r="AJ646" s="62" t="n">
        <f aca="false">AI646*CC646</f>
        <v>5.96153846153846</v>
      </c>
      <c r="AK646" s="63" t="n">
        <f aca="false">IF(LEFT(Cockpit!$C$5,1)="A",H646,IF(CI646=1,(CL646+CJ646)/2,IF(LEFT(Cockpit!$C$5,1)="B",(CL646+AM646)/2,MAX((CL646+AM646)/2,H646))))</f>
        <v>17</v>
      </c>
      <c r="AL646" s="62" t="n">
        <f aca="false">AK646*G646</f>
        <v>0.17</v>
      </c>
      <c r="AM646" s="62" t="n">
        <f aca="false">ROUNDUP(CL646+MAX(CM646,2*(J646/IF(CH646&gt;0,CH646,MAX(0.1,N(Cockpit!$C$6)))-CL646)),0)</f>
        <v>1</v>
      </c>
      <c r="AN646" s="63" t="n">
        <f aca="false">IF(AJ646&gt;0,J646/AJ646,-1)</f>
        <v>0</v>
      </c>
      <c r="AO646" s="63" t="n">
        <f aca="false">IF(AND(OR(CG646="L1",CG646="L23",CG646="LIFT"),AJ646&gt;0),SUMIFS($AJ$7:$AJ$1843,$CG$7:$CG$1843,CG646,$AN$7:$AN$1843,"&gt;"&amp;AN646)+SUMIFS($AJ$7:$AJ$1843,$CG$7:$CG$1843,CG646,$AN$7:$AN$1843,AN646,$BX$7:$BX$1843,"&lt;="&amp;BX646),"")</f>
        <v>28606.7922926885</v>
      </c>
      <c r="AP646" s="70" t="n">
        <f aca="false">IF(AO646="",0,MAX(0,MIN(1,(IF(CG646="L1",Parameter!$H$5,IF(CG646="L23",Parameter!$H$6+Parameter!$H$7,Parameter!$H$5+Parameter!$H$6+Parameter!$H$7))-(AO646-AJ646))/AJ646)))</f>
        <v>1</v>
      </c>
      <c r="AQ646" s="62" t="n">
        <f aca="false">IF(LEFT(Cockpit!$I$5,1)="A",H646,IF(Parameter!$E$30="MAX-Bestand",IF(CI646=1,CJ646,IF(LEFT(Cockpit!$I$5,1)="B",AW646,MAX(AW646,H646))),ROUNDUP(AU646,0)))</f>
        <v>17</v>
      </c>
      <c r="AR646" s="62" t="n">
        <f aca="false">IF(CA646=1,0,ROUNDUP(AQ646/BZ646,0))</f>
        <v>1</v>
      </c>
      <c r="AS646" s="64" t="n">
        <f aca="false">IF(CR646&gt;0,CR646*MAX(1,AQ646/X646),IF(CA646=1,IF(AQ646&lt;=0,0,CE646*MAX(1,IF(H646&gt;0,AQ646/H646,1))),IF(R646&gt;0,AR646/R646,0))/MAX(0.1,N(Parameter!$M$21)))</f>
        <v>0.0384615384615385</v>
      </c>
      <c r="AT646" s="62" t="n">
        <f aca="false">AS646*CC646</f>
        <v>5.96153846153846</v>
      </c>
      <c r="AU646" s="63" t="n">
        <f aca="false">IF(LEFT(Cockpit!$I$5,1)="A",H646,IF(CI646=1,(CL646+CJ646)/2,IF(LEFT(Cockpit!$I$5,1)="B",(CL646+AW646)/2,MAX((CL646+AW646)/2,H646))))</f>
        <v>17</v>
      </c>
      <c r="AV646" s="62" t="n">
        <f aca="false">AU646*G646</f>
        <v>0.17</v>
      </c>
      <c r="AW646" s="62" t="n">
        <f aca="false">ROUNDUP(CL646+MAX(CM646,2*(J646/IF(CH646&gt;0,CH646,MAX(0.1,N(Cockpit!$I$6)))-CL646)),0)</f>
        <v>1</v>
      </c>
      <c r="AX646" s="63" t="n">
        <f aca="false">IF(AT646&gt;0,J646/AT646,-1)</f>
        <v>0</v>
      </c>
      <c r="AY646" s="63" t="n">
        <f aca="false">IF(AND(OR(CG646="L1",CG646="L23",CG646="LIFT"),AT646&gt;0),SUMIFS($AT$7:$AT$1843,$CG$7:$CG$1843,CG646,$AX$7:$AX$1843,"&gt;"&amp;AX646)+SUMIFS($AT$7:$AT$1843,$CG$7:$CG$1843,CG646,$AX$7:$AX$1843,AX646,$BX$7:$BX$1843,"&lt;="&amp;BX646),"")</f>
        <v>33959.9409340659</v>
      </c>
      <c r="AZ646" s="70" t="n">
        <f aca="false">IF(AY646="",0,MAX(0,MIN(1,(IF(CG646="L1",Parameter!$H$5,IF(CG646="L23",Parameter!$H$6+Parameter!$H$7,Parameter!$H$5+Parameter!$H$6+Parameter!$H$7))-(AY646-AT646))/AT646)))</f>
        <v>1</v>
      </c>
      <c r="BA646" s="62" t="n">
        <f aca="false">IF(LEFT(Cockpit!$O$5,1)="A",H646,IF(Parameter!$E$30="MAX-Bestand",IF(CI646=1,CJ646,IF(LEFT(Cockpit!$O$5,1)="B",BG646,MAX(BG646,H646))),ROUNDUP(BE646,0)))</f>
        <v>1</v>
      </c>
      <c r="BB646" s="62" t="n">
        <f aca="false">IF(CA646=1,0,ROUNDUP(BA646/BZ646,0))</f>
        <v>1</v>
      </c>
      <c r="BC646" s="64" t="n">
        <f aca="false">IF(CR646&gt;0,CR646*MAX(1,BA646/X646),IF(CA646=1,IF(BA646&lt;=0,0,CE646*MAX(1,IF(H646&gt;0,BA646/H646,1))),IF(R646&gt;0,BB646/R646,0))/MAX(0.1,N(Parameter!$M$21)))</f>
        <v>0.0384615384615385</v>
      </c>
      <c r="BD646" s="62" t="n">
        <f aca="false">BC646*CC646</f>
        <v>5.96153846153846</v>
      </c>
      <c r="BE646" s="63" t="n">
        <f aca="false">IF(LEFT(Cockpit!$O$5,1)="A",H646,IF(CI646=1,(CL646+CJ646)/2,IF(LEFT(Cockpit!$O$5,1)="B",(CL646+BG646)/2,MAX((CL646+BG646)/2,H646))))</f>
        <v>0.5</v>
      </c>
      <c r="BF646" s="62" t="n">
        <f aca="false">BE646*G646</f>
        <v>0.005</v>
      </c>
      <c r="BG646" s="62" t="n">
        <f aca="false">ROUNDUP(CL646+MAX(CM646,2*(J646/IF(CH646&gt;0,CH646,MAX(0.1,N(Cockpit!$O$6)))-CL646)),0)</f>
        <v>1</v>
      </c>
      <c r="BH646" s="63" t="n">
        <f aca="false">IF(BD646&gt;0,J646/BD646,-1)</f>
        <v>0</v>
      </c>
      <c r="BI646" s="63" t="n">
        <f aca="false">IF(AND(OR(CG646="L1",CG646="L23",CG646="LIFT"),BD646&gt;0),SUMIFS($BD$7:$BD$1843,$CG$7:$CG$1843,CG646,$BH$7:$BH$1843,"&gt;"&amp;BH646)+SUMIFS($BD$7:$BD$1843,$CG$7:$CG$1843,CG646,$BH$7:$BH$1843,BH646,$BX$7:$BX$1843,"&lt;="&amp;BX646),"")</f>
        <v>28025.1770813932</v>
      </c>
      <c r="BJ646" s="70" t="n">
        <f aca="false">IF(BI646="",0,MAX(0,MIN(1,(IF(CG646="L1",Parameter!$H$5,IF(CG646="L23",Parameter!$H$6+Parameter!$H$7,Parameter!$H$5+Parameter!$H$6+Parameter!$H$7))-(BI646-BD646))/BD646)))</f>
        <v>1</v>
      </c>
      <c r="BK646" s="60" t="str">
        <f aca="false">IF(AJ646&lt;=0,"",IF(CG646="Aussen","Aussenlager",IF(CG646="-","Nicht im Lift",IF(AP646&gt;=1,"Lift",IF(AP646&lt;=0,"Aussenlager","teilweise")))))</f>
        <v>Lift</v>
      </c>
      <c r="BL646" s="60" t="str">
        <f aca="false">IF(AT646&lt;=0,"",IF(CG646="Aussen","Aussenlager",IF(CG646="-","Nicht im Lift",IF(AZ646&gt;=1,"Lift",IF(AZ646&lt;=0,"Aussenlager","teilweise")))))</f>
        <v>Lift</v>
      </c>
      <c r="BM646" s="60" t="str">
        <f aca="false">IF(BD646&lt;=0,"",IF(CG646="Aussen","Aussenlager",IF(CG646="-","Nicht im Lift",IF(BJ646&gt;=1,"Lift",IF(BJ646&lt;=0,"Aussenlager","teilweise")))))</f>
        <v>Lift</v>
      </c>
      <c r="BN646" s="60" t="str">
        <f aca="false">IF(A646="","",IF(BW646=1,"Neu; ","")&amp;IF(AND(BW646=0,BR646&lt;0),"negativer Bestand (Export "&amp;BR646&amp;"); ","")&amp;IF(J646&lt;=0,"Kein Verbrauch; ","")&amp;IF(CR646&gt;0,"Lift "&amp;W646&amp;" lt. Liftbericht (Fach "&amp;X646&amp;" Stk); ",IF(CB646=1,"Gebinde geschätzt ("&amp;T646&amp;"); ",IF(CA646=1,"Lose – Tablare geschätzt; ","")))&amp;IF(H646&gt;AW646,"Überbestand "&amp;ROUND(H646-AW646,0)&amp;" Stk / CHF "&amp;ROUND((H646-AW646)*G646,0)&amp;"; ","")&amp;IF(AND(CI646=1,CJ646&lt;CK646),"MAX &lt; MB+LG; ","")&amp;IF(AND(CQ646&gt;0,CP646*10&gt;CQ646),"zu hoch für Tablar; ","")&amp;IF(AND(BW646=0,OR(CI646=1,AB646&lt;&gt;"",U646&lt;&gt;"",V646&lt;&gt;"",AC646&lt;&gt;"")),"manuell übersteuert; ","")&amp;IF(AND(CA646=0,R646=0),"Gebinde unbekannt / Stellmass fehlt; ","")&amp;IF(AND(CA646=0,N(V646)&lt;=0,N(Q646)&lt;=0),"Menge pro Gebinde fehlt (Ist = 1 Gebinde); ","")&amp;BV646)</f>
        <v>Kein Verbrauch; Gebinde geschätzt (Klein); Überbestand 16 Stk / CHF 0; Menge pro Gebinde fehlt (Ist = 1 Gebinde); </v>
      </c>
      <c r="BO646" s="60"/>
      <c r="BP646" s="60"/>
      <c r="BQ646" s="67"/>
      <c r="BR646" s="62" t="n">
        <v>17</v>
      </c>
      <c r="BS646" s="62" t="n">
        <v>0</v>
      </c>
      <c r="BT646" s="61" t="n">
        <v>0.17</v>
      </c>
      <c r="BU646" s="62" t="n">
        <v>0</v>
      </c>
      <c r="BV646" s="60"/>
      <c r="BW646" s="65" t="n">
        <v>0</v>
      </c>
      <c r="BX646" s="65" t="n">
        <v>646</v>
      </c>
      <c r="BY646" s="60" t="str">
        <f aca="false">IF(U646&lt;&gt;"",UPPER(TRIM(U646)),IF(CB646=1,UPPER(VLOOKUP(T646,Parameter!$I$27:$K$29,2,0)),IF(P646="","LOSE",P646)))</f>
        <v>S51</v>
      </c>
      <c r="BZ646" s="62" t="n">
        <f aca="false">IF(BY646="LOSE",1,IF(N(V646)&gt;0,V646,IF(CB646=1,MAX(1,N(VLOOKUP(T646,Parameter!$I$27:$K$29,3,0)),H646,N(N646)),IF(N(Q646)&gt;0,Q646,MAX(1,H646)))))</f>
        <v>20</v>
      </c>
      <c r="CA646" s="65" t="n">
        <f aca="false">IF(BY646="LOSE",1,0)</f>
        <v>0</v>
      </c>
      <c r="CB646" s="65" t="n">
        <f aca="false">IF(AND(U646="",OR(P646="",P646="LOSE"),T646&lt;&gt;"",N(S646)&lt;=0,ISNUMBER(MATCH(T646,Parameter!$I$27:$I$29,0))),1,0)</f>
        <v>1</v>
      </c>
      <c r="CC646" s="65" t="n">
        <f aca="false">IF(CR646&gt;0,INDEX(Parameter!$H$5:$H$7,W646)/INDEX(Parameter!$E$5:$E$7,W646),IF(AND(CA646=0,N(IFERROR(VLOOKUP(BY646,'Gebinde-Kategorie'!$A$5:$N$45,14,0),0))&gt;0),VLOOKUP(BY646,'Gebinde-Kategorie'!$A$5:$N$45,14,0)*10+Parameter!$M$23,Parameter!$M$24))</f>
        <v>155</v>
      </c>
      <c r="CD646" s="60" t="str">
        <f aca="false">IF(AND(Parameter!$B$19="Ja",E646&lt;&gt;"",ISNUMBER(MATCH(E646,Parameter!$I$35:$I$52,0))),VLOOKUP(E646,Parameter!$I$35:$J$52,2,0),IFERROR(VLOOKUP(D646,Parameter!$A$35:$C$64,2,0),"Nein"))</f>
        <v>2+3</v>
      </c>
      <c r="CE646" s="64" t="n">
        <f aca="false">IF(CA646=0,0,IF(N(S646)&gt;0,S646,IFERROR(VLOOKUP(D646,Parameter!$A$35:$C$64,3,0)+0,0)))</f>
        <v>0</v>
      </c>
      <c r="CF646" s="60" t="n">
        <f aca="false">IF(AB646&lt;&gt;"",AB646,AA646)</f>
        <v>3</v>
      </c>
      <c r="CG646" s="60" t="str">
        <f aca="false">IF(OR(CF646=1,CF646=2,CF646=3),IF(Parameter!$E$27="Ja","LIFT",IF(CF646=1,"L1","L23")),IF(CF646="Aussen","Aussen","-"))</f>
        <v>LIFT</v>
      </c>
      <c r="CH646" s="71" t="n">
        <f aca="false">IF(N(AC646)&gt;0,AC646,0)</f>
        <v>0</v>
      </c>
      <c r="CI646" s="65" t="n">
        <f aca="false">IF(ISNUMBER(AF646),1,0)</f>
        <v>0</v>
      </c>
      <c r="CJ646" s="62" t="n">
        <f aca="false">N(AF646)</f>
        <v>0</v>
      </c>
      <c r="CK646" s="62" t="n">
        <f aca="false">N(M646)+N(N646)</f>
        <v>1</v>
      </c>
      <c r="CL646" s="62" t="n">
        <f aca="false">N(M646)</f>
        <v>0</v>
      </c>
      <c r="CM646" s="62" t="n">
        <f aca="false">N(N646)</f>
        <v>1</v>
      </c>
      <c r="CN646" s="62" t="n">
        <f aca="false">ROUNDUP(H646/BZ646,0)</f>
        <v>1</v>
      </c>
      <c r="CO646" s="62" t="n">
        <f aca="false">ROUNDUP(CJ646/BZ646,0)</f>
        <v>0</v>
      </c>
      <c r="CP646" s="65" t="n">
        <f aca="false">IF(CA646=1,0,IFERROR(VLOOKUP(BY646,'Gebinde-Kategorie'!$A$5:$N$45,5,0)+0,0))</f>
        <v>11</v>
      </c>
      <c r="CQ646" s="65" t="n">
        <f aca="false">IFERROR(IF(OR(CF646=1,CF646=2,CF646=3),N(INDEX(Parameter!$I$5:$I$7,CF646)),0),0)</f>
        <v>0</v>
      </c>
      <c r="CR646" s="64" t="n">
        <f aca="false">IF(AND(Parameter!$B$21="Ja",ISNUMBER(W646),N(X646)&gt;0),IFERROR(N(INDEX(Parameter!$L$5:$L$7,W646))*INDEX(Parameter!$E$5:$E$7,W646)*X646/SUMIFS($X$7:$X$1843,$W$7:$W$1843,W646),0),0)</f>
        <v>0</v>
      </c>
      <c r="CS646" s="62" t="n">
        <f aca="false">IF(AND(OR(CG646="L1",CG646="L23",CG646="LIFT"),H646&gt;0),CC646*IF(CR646&gt;0,CR646*MAX(1,H646/X646),IF(CA646=1,CE646,IF(R646&gt;0,CN646/R646,0))/MAX(0.1,N(Parameter!$M$21))),"")</f>
        <v>5.96153846153846</v>
      </c>
      <c r="CT646" s="64" t="n">
        <f aca="false">IF(CS646="","",J646/H646)</f>
        <v>0</v>
      </c>
      <c r="CU646" s="62" t="n">
        <f aca="false">IF(CS646="","",H646*G646)</f>
        <v>0.17</v>
      </c>
      <c r="CV646" s="63" t="n">
        <f aca="false">IF(CS646="","",(CL646+ROUNDUP(CL646+MAX(CM646,2*(J646/MAX(0.1,N(Einkauf!$C$6))-CL646)),0))/2)</f>
        <v>0.5</v>
      </c>
      <c r="CW646" s="62" t="n">
        <f aca="false">IF(CS646="","",MAX(0,H646-CV646)*G646)</f>
        <v>0.165</v>
      </c>
      <c r="CX646" s="62" t="n">
        <f aca="false">IF(CS646="","",CS646*MAX(0,1-CV646/H646))</f>
        <v>5.78619909502262</v>
      </c>
      <c r="CY646" s="64" t="n">
        <f aca="false">IF(CS646="","",PERCENTRANK($CS$7:$CS$1843,CS646)+PERCENTRANK($CU$7:$CU$1843,CU646)+1-PERCENTRANK($CT$7:$CT$1843,CT646))</f>
        <v>1.35874</v>
      </c>
      <c r="CZ646" s="72" t="n">
        <f aca="false">IF(CS646="","",CHOOSE(MATCH(Einkauf!$C$5,Parameter!$G$23:$G$27,0),CY646,CS646,CU646,-CT646,CW646)+ROW()/1000000000)</f>
        <v>1.358740646</v>
      </c>
    </row>
    <row r="647" customFormat="false" ht="15" hidden="false" customHeight="false" outlineLevel="0" collapsed="false">
      <c r="A647" s="60" t="s">
        <v>1356</v>
      </c>
      <c r="B647" s="60" t="s">
        <v>447</v>
      </c>
      <c r="C647" s="60" t="s">
        <v>206</v>
      </c>
      <c r="D647" s="60" t="s">
        <v>226</v>
      </c>
      <c r="E647" s="60" t="s">
        <v>227</v>
      </c>
      <c r="F647" s="60" t="s">
        <v>260</v>
      </c>
      <c r="G647" s="61" t="n">
        <v>0.1</v>
      </c>
      <c r="H647" s="62" t="n">
        <f aca="false">MAX(0,IF(AND(Parameter!$B$21="Ja",ISNUMBER(Y647)),Y647,IF(Parameter!$B$20="Jahresanfang 2025 + Export",BS647+BR647,BR647)))</f>
        <v>184</v>
      </c>
      <c r="I647" s="62" t="n">
        <f aca="false">H647*G647</f>
        <v>18.4</v>
      </c>
      <c r="J647" s="62" t="n">
        <f aca="false">BU647*Parameter!$B$18</f>
        <v>0</v>
      </c>
      <c r="K647" s="63" t="n">
        <v>183.5</v>
      </c>
      <c r="L647" s="64" t="n">
        <v>0</v>
      </c>
      <c r="M647" s="62" t="n">
        <v>0</v>
      </c>
      <c r="N647" s="62" t="n">
        <v>1</v>
      </c>
      <c r="O647" s="65" t="n">
        <v>21</v>
      </c>
      <c r="P647" s="60" t="s">
        <v>463</v>
      </c>
      <c r="Q647" s="62" t="n">
        <v>198</v>
      </c>
      <c r="R647" s="65" t="n">
        <f aca="false">IF(CA647=1,0,IFERROR(VLOOKUP(BY647,'Gebinde-Kategorie'!$A$5:$N$45,13,0)+0,0))</f>
        <v>104</v>
      </c>
      <c r="S647" s="66"/>
      <c r="T647" s="67"/>
      <c r="U647" s="67"/>
      <c r="V647" s="67"/>
      <c r="W647" s="60"/>
      <c r="X647" s="62"/>
      <c r="Y647" s="62"/>
      <c r="Z647" s="60" t="n">
        <v>3</v>
      </c>
      <c r="AA647" s="60" t="n">
        <f aca="false">IF(A647="","",IF(AND(Parameter!$B$21="Ja",ISNUMBER(W647)),W647,IF(AND(Parameter!$E$27="Ja",ISNUMBER(Z647),CD647&lt;&gt;"Nein"),Z647,IF(CD647="2+3",IF(ISNUMBER(SEARCH("grosser Artikel",BV647)),2,IFERROR(VLOOKUP(BY647,Parameter!$F$35:$G$64,2,0),2)),IF(OR(CD647="Nein",CD647=""),"-",CD647)))))</f>
        <v>3</v>
      </c>
      <c r="AB647" s="67"/>
      <c r="AC647" s="68"/>
      <c r="AD647" s="62" t="n">
        <f aca="false">AW647</f>
        <v>1</v>
      </c>
      <c r="AE647" s="62" t="n">
        <f aca="false">MAX(AW647,H647)</f>
        <v>184</v>
      </c>
      <c r="AF647" s="69"/>
      <c r="AG647" s="62" t="n">
        <f aca="false">IF(LEFT(Cockpit!$C$5,1)="A",H647,IF(Parameter!$E$30="MAX-Bestand",IF(CI647=1,CJ647,IF(LEFT(Cockpit!$C$5,1)="B",AM647,MAX(AM647,H647))),ROUNDUP(AK647,0)))</f>
        <v>184</v>
      </c>
      <c r="AH647" s="62" t="n">
        <f aca="false">IF(CA647=1,0,ROUNDUP(AG647/BZ647,0))</f>
        <v>1</v>
      </c>
      <c r="AI647" s="64" t="n">
        <f aca="false">IF(CR647&gt;0,CR647*MAX(1,AG647/X647),IF(CA647=1,IF(AG647&lt;=0,0,CE647*MAX(1,IF(H647&gt;0,AG647/H647,1))),IF(R647&gt;0,AH647/R647,0))/MAX(0.1,N(Parameter!$M$21)))</f>
        <v>0.00961538461538462</v>
      </c>
      <c r="AJ647" s="62" t="n">
        <f aca="false">AI647*CC647</f>
        <v>1.49038461538462</v>
      </c>
      <c r="AK647" s="63" t="n">
        <f aca="false">IF(LEFT(Cockpit!$C$5,1)="A",H647,IF(CI647=1,(CL647+CJ647)/2,IF(LEFT(Cockpit!$C$5,1)="B",(CL647+AM647)/2,MAX((CL647+AM647)/2,H647))))</f>
        <v>184</v>
      </c>
      <c r="AL647" s="62" t="n">
        <f aca="false">AK647*G647</f>
        <v>18.4</v>
      </c>
      <c r="AM647" s="62" t="n">
        <f aca="false">ROUNDUP(CL647+MAX(CM647,2*(J647/IF(CH647&gt;0,CH647,MAX(0.1,N(Cockpit!$C$6)))-CL647)),0)</f>
        <v>1</v>
      </c>
      <c r="AN647" s="63" t="n">
        <f aca="false">IF(AJ647&gt;0,J647/AJ647,-1)</f>
        <v>0</v>
      </c>
      <c r="AO647" s="63" t="n">
        <f aca="false">IF(AND(OR(CG647="L1",CG647="L23",CG647="LIFT"),AJ647&gt;0),SUMIFS($AJ$7:$AJ$1843,$CG$7:$CG$1843,CG647,$AN$7:$AN$1843,"&gt;"&amp;AN647)+SUMIFS($AJ$7:$AJ$1843,$CG$7:$CG$1843,CG647,$AN$7:$AN$1843,AN647,$BX$7:$BX$1843,"&lt;="&amp;BX647),"")</f>
        <v>28608.2826773039</v>
      </c>
      <c r="AP647" s="70" t="n">
        <f aca="false">IF(AO647="",0,MAX(0,MIN(1,(IF(CG647="L1",Parameter!$H$5,IF(CG647="L23",Parameter!$H$6+Parameter!$H$7,Parameter!$H$5+Parameter!$H$6+Parameter!$H$7))-(AO647-AJ647))/AJ647)))</f>
        <v>1</v>
      </c>
      <c r="AQ647" s="62" t="n">
        <f aca="false">IF(LEFT(Cockpit!$I$5,1)="A",H647,IF(Parameter!$E$30="MAX-Bestand",IF(CI647=1,CJ647,IF(LEFT(Cockpit!$I$5,1)="B",AW647,MAX(AW647,H647))),ROUNDUP(AU647,0)))</f>
        <v>184</v>
      </c>
      <c r="AR647" s="62" t="n">
        <f aca="false">IF(CA647=1,0,ROUNDUP(AQ647/BZ647,0))</f>
        <v>1</v>
      </c>
      <c r="AS647" s="64" t="n">
        <f aca="false">IF(CR647&gt;0,CR647*MAX(1,AQ647/X647),IF(CA647=1,IF(AQ647&lt;=0,0,CE647*MAX(1,IF(H647&gt;0,AQ647/H647,1))),IF(R647&gt;0,AR647/R647,0))/MAX(0.1,N(Parameter!$M$21)))</f>
        <v>0.00961538461538462</v>
      </c>
      <c r="AT647" s="62" t="n">
        <f aca="false">AS647*CC647</f>
        <v>1.49038461538462</v>
      </c>
      <c r="AU647" s="63" t="n">
        <f aca="false">IF(LEFT(Cockpit!$I$5,1)="A",H647,IF(CI647=1,(CL647+CJ647)/2,IF(LEFT(Cockpit!$I$5,1)="B",(CL647+AW647)/2,MAX((CL647+AW647)/2,H647))))</f>
        <v>184</v>
      </c>
      <c r="AV647" s="62" t="n">
        <f aca="false">AU647*G647</f>
        <v>18.4</v>
      </c>
      <c r="AW647" s="62" t="n">
        <f aca="false">ROUNDUP(CL647+MAX(CM647,2*(J647/IF(CH647&gt;0,CH647,MAX(0.1,N(Cockpit!$I$6)))-CL647)),0)</f>
        <v>1</v>
      </c>
      <c r="AX647" s="63" t="n">
        <f aca="false">IF(AT647&gt;0,J647/AT647,-1)</f>
        <v>0</v>
      </c>
      <c r="AY647" s="63" t="n">
        <f aca="false">IF(AND(OR(CG647="L1",CG647="L23",CG647="LIFT"),AT647&gt;0),SUMIFS($AT$7:$AT$1843,$CG$7:$CG$1843,CG647,$AX$7:$AX$1843,"&gt;"&amp;AX647)+SUMIFS($AT$7:$AT$1843,$CG$7:$CG$1843,CG647,$AX$7:$AX$1843,AX647,$BX$7:$BX$1843,"&lt;="&amp;BX647),"")</f>
        <v>33961.4313186813</v>
      </c>
      <c r="AZ647" s="70" t="n">
        <f aca="false">IF(AY647="",0,MAX(0,MIN(1,(IF(CG647="L1",Parameter!$H$5,IF(CG647="L23",Parameter!$H$6+Parameter!$H$7,Parameter!$H$5+Parameter!$H$6+Parameter!$H$7))-(AY647-AT647))/AT647)))</f>
        <v>1</v>
      </c>
      <c r="BA647" s="62" t="n">
        <f aca="false">IF(LEFT(Cockpit!$O$5,1)="A",H647,IF(Parameter!$E$30="MAX-Bestand",IF(CI647=1,CJ647,IF(LEFT(Cockpit!$O$5,1)="B",BG647,MAX(BG647,H647))),ROUNDUP(BE647,0)))</f>
        <v>1</v>
      </c>
      <c r="BB647" s="62" t="n">
        <f aca="false">IF(CA647=1,0,ROUNDUP(BA647/BZ647,0))</f>
        <v>1</v>
      </c>
      <c r="BC647" s="64" t="n">
        <f aca="false">IF(CR647&gt;0,CR647*MAX(1,BA647/X647),IF(CA647=1,IF(BA647&lt;=0,0,CE647*MAX(1,IF(H647&gt;0,BA647/H647,1))),IF(R647&gt;0,BB647/R647,0))/MAX(0.1,N(Parameter!$M$21)))</f>
        <v>0.00961538461538462</v>
      </c>
      <c r="BD647" s="62" t="n">
        <f aca="false">BC647*CC647</f>
        <v>1.49038461538462</v>
      </c>
      <c r="BE647" s="63" t="n">
        <f aca="false">IF(LEFT(Cockpit!$O$5,1)="A",H647,IF(CI647=1,(CL647+CJ647)/2,IF(LEFT(Cockpit!$O$5,1)="B",(CL647+BG647)/2,MAX((CL647+BG647)/2,H647))))</f>
        <v>0.5</v>
      </c>
      <c r="BF647" s="62" t="n">
        <f aca="false">BE647*G647</f>
        <v>0.05</v>
      </c>
      <c r="BG647" s="62" t="n">
        <f aca="false">ROUNDUP(CL647+MAX(CM647,2*(J647/IF(CH647&gt;0,CH647,MAX(0.1,N(Cockpit!$O$6)))-CL647)),0)</f>
        <v>1</v>
      </c>
      <c r="BH647" s="63" t="n">
        <f aca="false">IF(BD647&gt;0,J647/BD647,-1)</f>
        <v>0</v>
      </c>
      <c r="BI647" s="63" t="n">
        <f aca="false">IF(AND(OR(CG647="L1",CG647="L23",CG647="LIFT"),BD647&gt;0),SUMIFS($BD$7:$BD$1843,$CG$7:$CG$1843,CG647,$BH$7:$BH$1843,"&gt;"&amp;BH647)+SUMIFS($BD$7:$BD$1843,$CG$7:$CG$1843,CG647,$BH$7:$BH$1843,BH647,$BX$7:$BX$1843,"&lt;="&amp;BX647),"")</f>
        <v>28026.6674660086</v>
      </c>
      <c r="BJ647" s="70" t="n">
        <f aca="false">IF(BI647="",0,MAX(0,MIN(1,(IF(CG647="L1",Parameter!$H$5,IF(CG647="L23",Parameter!$H$6+Parameter!$H$7,Parameter!$H$5+Parameter!$H$6+Parameter!$H$7))-(BI647-BD647))/BD647)))</f>
        <v>1</v>
      </c>
      <c r="BK647" s="60" t="str">
        <f aca="false">IF(AJ647&lt;=0,"",IF(CG647="Aussen","Aussenlager",IF(CG647="-","Nicht im Lift",IF(AP647&gt;=1,"Lift",IF(AP647&lt;=0,"Aussenlager","teilweise")))))</f>
        <v>Lift</v>
      </c>
      <c r="BL647" s="60" t="str">
        <f aca="false">IF(AT647&lt;=0,"",IF(CG647="Aussen","Aussenlager",IF(CG647="-","Nicht im Lift",IF(AZ647&gt;=1,"Lift",IF(AZ647&lt;=0,"Aussenlager","teilweise")))))</f>
        <v>Lift</v>
      </c>
      <c r="BM647" s="60" t="str">
        <f aca="false">IF(BD647&lt;=0,"",IF(CG647="Aussen","Aussenlager",IF(CG647="-","Nicht im Lift",IF(BJ647&gt;=1,"Lift",IF(BJ647&lt;=0,"Aussenlager","teilweise")))))</f>
        <v>Lift</v>
      </c>
      <c r="BN647" s="60" t="str">
        <f aca="false">IF(A647="","",IF(BW647=1,"Neu; ","")&amp;IF(AND(BW647=0,BR647&lt;0),"negativer Bestand (Export "&amp;BR647&amp;"); ","")&amp;IF(J647&lt;=0,"Kein Verbrauch; ","")&amp;IF(CR647&gt;0,"Lift "&amp;W647&amp;" lt. Liftbericht (Fach "&amp;X647&amp;" Stk); ",IF(CB647=1,"Gebinde geschätzt ("&amp;T647&amp;"); ",IF(CA647=1,"Lose – Tablare geschätzt; ","")))&amp;IF(H647&gt;AW647,"Überbestand "&amp;ROUND(H647-AW647,0)&amp;" Stk / CHF "&amp;ROUND((H647-AW647)*G647,0)&amp;"; ","")&amp;IF(AND(CI647=1,CJ647&lt;CK647),"MAX &lt; MB+LG; ","")&amp;IF(AND(CQ647&gt;0,CP647*10&gt;CQ647),"zu hoch für Tablar; ","")&amp;IF(AND(BW647=0,OR(CI647=1,AB647&lt;&gt;"",U647&lt;&gt;"",V647&lt;&gt;"",AC647&lt;&gt;"")),"manuell übersteuert; ","")&amp;IF(AND(CA647=0,R647=0),"Gebinde unbekannt / Stellmass fehlt; ","")&amp;IF(AND(CA647=0,N(V647)&lt;=0,N(Q647)&lt;=0),"Menge pro Gebinde fehlt (Ist = 1 Gebinde); ","")&amp;BV647)</f>
        <v>Kein Verbrauch; Überbestand 183 Stk / CHF 18; Neu</v>
      </c>
      <c r="BO647" s="60"/>
      <c r="BP647" s="60"/>
      <c r="BQ647" s="67"/>
      <c r="BR647" s="62" t="n">
        <v>1</v>
      </c>
      <c r="BS647" s="62" t="n">
        <v>183</v>
      </c>
      <c r="BT647" s="61" t="n">
        <v>0.1</v>
      </c>
      <c r="BU647" s="62" t="n">
        <v>0</v>
      </c>
      <c r="BV647" s="60" t="s">
        <v>668</v>
      </c>
      <c r="BW647" s="65" t="n">
        <v>0</v>
      </c>
      <c r="BX647" s="65" t="n">
        <v>647</v>
      </c>
      <c r="BY647" s="60" t="str">
        <f aca="false">IF(U647&lt;&gt;"",UPPER(TRIM(U647)),IF(CB647=1,UPPER(VLOOKUP(T647,Parameter!$I$27:$K$29,2,0)),IF(P647="","LOSE",P647)))</f>
        <v>S32</v>
      </c>
      <c r="BZ647" s="62" t="n">
        <f aca="false">IF(BY647="LOSE",1,IF(N(V647)&gt;0,V647,IF(CB647=1,MAX(1,N(VLOOKUP(T647,Parameter!$I$27:$K$29,3,0)),H647,N(N647)),IF(N(Q647)&gt;0,Q647,MAX(1,H647)))))</f>
        <v>198</v>
      </c>
      <c r="CA647" s="65" t="n">
        <f aca="false">IF(BY647="LOSE",1,0)</f>
        <v>0</v>
      </c>
      <c r="CB647" s="65" t="n">
        <f aca="false">IF(AND(U647="",OR(P647="",P647="LOSE"),T647&lt;&gt;"",N(S647)&lt;=0,ISNUMBER(MATCH(T647,Parameter!$I$27:$I$29,0))),1,0)</f>
        <v>0</v>
      </c>
      <c r="CC647" s="65" t="n">
        <f aca="false">IF(CR647&gt;0,INDEX(Parameter!$H$5:$H$7,W647)/INDEX(Parameter!$E$5:$E$7,W647),IF(AND(CA647=0,N(IFERROR(VLOOKUP(BY647,'Gebinde-Kategorie'!$A$5:$N$45,14,0),0))&gt;0),VLOOKUP(BY647,'Gebinde-Kategorie'!$A$5:$N$45,14,0)*10+Parameter!$M$23,Parameter!$M$24))</f>
        <v>155</v>
      </c>
      <c r="CD647" s="60" t="str">
        <f aca="false">IF(AND(Parameter!$B$19="Ja",E647&lt;&gt;"",ISNUMBER(MATCH(E647,Parameter!$I$35:$I$52,0))),VLOOKUP(E647,Parameter!$I$35:$J$52,2,0),IFERROR(VLOOKUP(D647,Parameter!$A$35:$C$64,2,0),"Nein"))</f>
        <v>2+3</v>
      </c>
      <c r="CE647" s="64" t="n">
        <f aca="false">IF(CA647=0,0,IF(N(S647)&gt;0,S647,IFERROR(VLOOKUP(D647,Parameter!$A$35:$C$64,3,0)+0,0)))</f>
        <v>0</v>
      </c>
      <c r="CF647" s="60" t="n">
        <f aca="false">IF(AB647&lt;&gt;"",AB647,AA647)</f>
        <v>3</v>
      </c>
      <c r="CG647" s="60" t="str">
        <f aca="false">IF(OR(CF647=1,CF647=2,CF647=3),IF(Parameter!$E$27="Ja","LIFT",IF(CF647=1,"L1","L23")),IF(CF647="Aussen","Aussen","-"))</f>
        <v>LIFT</v>
      </c>
      <c r="CH647" s="71" t="n">
        <f aca="false">IF(N(AC647)&gt;0,AC647,0)</f>
        <v>0</v>
      </c>
      <c r="CI647" s="65" t="n">
        <f aca="false">IF(ISNUMBER(AF647),1,0)</f>
        <v>0</v>
      </c>
      <c r="CJ647" s="62" t="n">
        <f aca="false">N(AF647)</f>
        <v>0</v>
      </c>
      <c r="CK647" s="62" t="n">
        <f aca="false">N(M647)+N(N647)</f>
        <v>1</v>
      </c>
      <c r="CL647" s="62" t="n">
        <f aca="false">N(M647)</f>
        <v>0</v>
      </c>
      <c r="CM647" s="62" t="n">
        <f aca="false">N(N647)</f>
        <v>1</v>
      </c>
      <c r="CN647" s="62" t="n">
        <f aca="false">ROUNDUP(H647/BZ647,0)</f>
        <v>1</v>
      </c>
      <c r="CO647" s="62" t="n">
        <f aca="false">ROUNDUP(CJ647/BZ647,0)</f>
        <v>0</v>
      </c>
      <c r="CP647" s="65" t="n">
        <f aca="false">IF(CA647=1,0,IFERROR(VLOOKUP(BY647,'Gebinde-Kategorie'!$A$5:$N$45,5,0)+0,0))</f>
        <v>8</v>
      </c>
      <c r="CQ647" s="65" t="n">
        <f aca="false">IFERROR(IF(OR(CF647=1,CF647=2,CF647=3),N(INDEX(Parameter!$I$5:$I$7,CF647)),0),0)</f>
        <v>0</v>
      </c>
      <c r="CR647" s="64" t="n">
        <f aca="false">IF(AND(Parameter!$B$21="Ja",ISNUMBER(W647),N(X647)&gt;0),IFERROR(N(INDEX(Parameter!$L$5:$L$7,W647))*INDEX(Parameter!$E$5:$E$7,W647)*X647/SUMIFS($X$7:$X$1843,$W$7:$W$1843,W647),0),0)</f>
        <v>0</v>
      </c>
      <c r="CS647" s="62" t="n">
        <f aca="false">IF(AND(OR(CG647="L1",CG647="L23",CG647="LIFT"),H647&gt;0),CC647*IF(CR647&gt;0,CR647*MAX(1,H647/X647),IF(CA647=1,CE647,IF(R647&gt;0,CN647/R647,0))/MAX(0.1,N(Parameter!$M$21))),"")</f>
        <v>1.49038461538462</v>
      </c>
      <c r="CT647" s="64" t="n">
        <f aca="false">IF(CS647="","",J647/H647)</f>
        <v>0</v>
      </c>
      <c r="CU647" s="62" t="n">
        <f aca="false">IF(CS647="","",H647*G647)</f>
        <v>18.4</v>
      </c>
      <c r="CV647" s="63" t="n">
        <f aca="false">IF(CS647="","",(CL647+ROUNDUP(CL647+MAX(CM647,2*(J647/MAX(0.1,N(Einkauf!$C$6))-CL647)),0))/2)</f>
        <v>0.5</v>
      </c>
      <c r="CW647" s="62" t="n">
        <f aca="false">IF(CS647="","",MAX(0,H647-CV647)*G647)</f>
        <v>18.35</v>
      </c>
      <c r="CX647" s="62" t="n">
        <f aca="false">IF(CS647="","",CS647*MAX(0,1-CV647/H647))</f>
        <v>1.48633465719064</v>
      </c>
      <c r="CY647" s="64" t="n">
        <f aca="false">IF(CS647="","",PERCENTRANK($CS$7:$CS$1843,CS647)+PERCENTRANK($CU$7:$CU$1843,CU647)+1-PERCENTRANK($CT$7:$CT$1843,CT647))</f>
        <v>1.1865</v>
      </c>
      <c r="CZ647" s="72" t="n">
        <f aca="false">IF(CS647="","",CHOOSE(MATCH(Einkauf!$C$5,Parameter!$G$23:$G$27,0),CY647,CS647,CU647,-CT647,CW647)+ROW()/1000000000)</f>
        <v>1.186500647</v>
      </c>
    </row>
    <row r="648" customFormat="false" ht="15" hidden="false" customHeight="false" outlineLevel="0" collapsed="false">
      <c r="A648" s="60" t="s">
        <v>1357</v>
      </c>
      <c r="B648" s="60" t="s">
        <v>696</v>
      </c>
      <c r="C648" s="60" t="s">
        <v>206</v>
      </c>
      <c r="D648" s="60" t="s">
        <v>226</v>
      </c>
      <c r="E648" s="60" t="s">
        <v>227</v>
      </c>
      <c r="F648" s="60" t="s">
        <v>260</v>
      </c>
      <c r="G648" s="61" t="n">
        <v>0.01</v>
      </c>
      <c r="H648" s="62" t="n">
        <f aca="false">MAX(0,IF(AND(Parameter!$B$21="Ja",ISNUMBER(Y648)),Y648,IF(Parameter!$B$20="Jahresanfang 2025 + Export",BS648+BR648,BR648)))</f>
        <v>942</v>
      </c>
      <c r="I648" s="62" t="n">
        <f aca="false">H648*G648</f>
        <v>9.42</v>
      </c>
      <c r="J648" s="62" t="n">
        <f aca="false">BU648*Parameter!$B$18</f>
        <v>2</v>
      </c>
      <c r="K648" s="63" t="n">
        <v>940.5</v>
      </c>
      <c r="L648" s="64" t="n">
        <v>0.00212652844231792</v>
      </c>
      <c r="M648" s="62" t="n">
        <v>0</v>
      </c>
      <c r="N648" s="62" t="n">
        <v>1</v>
      </c>
      <c r="O648" s="65" t="n">
        <v>21</v>
      </c>
      <c r="P648" s="60" t="s">
        <v>463</v>
      </c>
      <c r="Q648" s="62" t="n">
        <v>977</v>
      </c>
      <c r="R648" s="65" t="n">
        <f aca="false">IF(CA648=1,0,IFERROR(VLOOKUP(BY648,'Gebinde-Kategorie'!$A$5:$N$45,13,0)+0,0))</f>
        <v>104</v>
      </c>
      <c r="S648" s="66"/>
      <c r="T648" s="67"/>
      <c r="U648" s="67"/>
      <c r="V648" s="67"/>
      <c r="W648" s="60"/>
      <c r="X648" s="62"/>
      <c r="Y648" s="62"/>
      <c r="Z648" s="60" t="n">
        <v>3</v>
      </c>
      <c r="AA648" s="60" t="n">
        <f aca="false">IF(A648="","",IF(AND(Parameter!$B$21="Ja",ISNUMBER(W648)),W648,IF(AND(Parameter!$E$27="Ja",ISNUMBER(Z648),CD648&lt;&gt;"Nein"),Z648,IF(CD648="2+3",IF(ISNUMBER(SEARCH("grosser Artikel",BV648)),2,IFERROR(VLOOKUP(BY648,Parameter!$F$35:$G$64,2,0),2)),IF(OR(CD648="Nein",CD648=""),"-",CD648)))))</f>
        <v>3</v>
      </c>
      <c r="AB648" s="67"/>
      <c r="AC648" s="68"/>
      <c r="AD648" s="62" t="n">
        <f aca="false">AW648</f>
        <v>2</v>
      </c>
      <c r="AE648" s="62" t="n">
        <f aca="false">MAX(AW648,H648)</f>
        <v>942</v>
      </c>
      <c r="AF648" s="69"/>
      <c r="AG648" s="62" t="n">
        <f aca="false">IF(LEFT(Cockpit!$C$5,1)="A",H648,IF(Parameter!$E$30="MAX-Bestand",IF(CI648=1,CJ648,IF(LEFT(Cockpit!$C$5,1)="B",AM648,MAX(AM648,H648))),ROUNDUP(AK648,0)))</f>
        <v>942</v>
      </c>
      <c r="AH648" s="62" t="n">
        <f aca="false">IF(CA648=1,0,ROUNDUP(AG648/BZ648,0))</f>
        <v>1</v>
      </c>
      <c r="AI648" s="64" t="n">
        <f aca="false">IF(CR648&gt;0,CR648*MAX(1,AG648/X648),IF(CA648=1,IF(AG648&lt;=0,0,CE648*MAX(1,IF(H648&gt;0,AG648/H648,1))),IF(R648&gt;0,AH648/R648,0))/MAX(0.1,N(Parameter!$M$21)))</f>
        <v>0.00961538461538462</v>
      </c>
      <c r="AJ648" s="62" t="n">
        <f aca="false">AI648*CC648</f>
        <v>1.49038461538462</v>
      </c>
      <c r="AK648" s="63" t="n">
        <f aca="false">IF(LEFT(Cockpit!$C$5,1)="A",H648,IF(CI648=1,(CL648+CJ648)/2,IF(LEFT(Cockpit!$C$5,1)="B",(CL648+AM648)/2,MAX((CL648+AM648)/2,H648))))</f>
        <v>942</v>
      </c>
      <c r="AL648" s="62" t="n">
        <f aca="false">AK648*G648</f>
        <v>9.42</v>
      </c>
      <c r="AM648" s="62" t="n">
        <f aca="false">ROUNDUP(CL648+MAX(CM648,2*(J648/IF(CH648&gt;0,CH648,MAX(0.1,N(Cockpit!$C$6)))-CL648)),0)</f>
        <v>2</v>
      </c>
      <c r="AN648" s="63" t="n">
        <f aca="false">IF(AJ648&gt;0,J648/AJ648,-1)</f>
        <v>1.34193548387097</v>
      </c>
      <c r="AO648" s="63" t="n">
        <f aca="false">IF(AND(OR(CG648="L1",CG648="L23",CG648="LIFT"),AJ648&gt;0),SUMIFS($AJ$7:$AJ$1843,$CG$7:$CG$1843,CG648,$AN$7:$AN$1843,"&gt;"&amp;AN648)+SUMIFS($AJ$7:$AJ$1843,$CG$7:$CG$1843,CG648,$AN$7:$AN$1843,AN648,$BX$7:$BX$1843,"&lt;="&amp;BX648),"")</f>
        <v>6329.65750915751</v>
      </c>
      <c r="AP648" s="70" t="n">
        <f aca="false">IF(AO648="",0,MAX(0,MIN(1,(IF(CG648="L1",Parameter!$H$5,IF(CG648="L23",Parameter!$H$6+Parameter!$H$7,Parameter!$H$5+Parameter!$H$6+Parameter!$H$7))-(AO648-AJ648))/AJ648)))</f>
        <v>1</v>
      </c>
      <c r="AQ648" s="62" t="n">
        <f aca="false">IF(LEFT(Cockpit!$I$5,1)="A",H648,IF(Parameter!$E$30="MAX-Bestand",IF(CI648=1,CJ648,IF(LEFT(Cockpit!$I$5,1)="B",AW648,MAX(AW648,H648))),ROUNDUP(AU648,0)))</f>
        <v>942</v>
      </c>
      <c r="AR648" s="62" t="n">
        <f aca="false">IF(CA648=1,0,ROUNDUP(AQ648/BZ648,0))</f>
        <v>1</v>
      </c>
      <c r="AS648" s="64" t="n">
        <f aca="false">IF(CR648&gt;0,CR648*MAX(1,AQ648/X648),IF(CA648=1,IF(AQ648&lt;=0,0,CE648*MAX(1,IF(H648&gt;0,AQ648/H648,1))),IF(R648&gt;0,AR648/R648,0))/MAX(0.1,N(Parameter!$M$21)))</f>
        <v>0.00961538461538462</v>
      </c>
      <c r="AT648" s="62" t="n">
        <f aca="false">AS648*CC648</f>
        <v>1.49038461538462</v>
      </c>
      <c r="AU648" s="63" t="n">
        <f aca="false">IF(LEFT(Cockpit!$I$5,1)="A",H648,IF(CI648=1,(CL648+CJ648)/2,IF(LEFT(Cockpit!$I$5,1)="B",(CL648+AW648)/2,MAX((CL648+AW648)/2,H648))))</f>
        <v>942</v>
      </c>
      <c r="AV648" s="62" t="n">
        <f aca="false">AU648*G648</f>
        <v>9.42</v>
      </c>
      <c r="AW648" s="62" t="n">
        <f aca="false">ROUNDUP(CL648+MAX(CM648,2*(J648/IF(CH648&gt;0,CH648,MAX(0.1,N(Cockpit!$I$6)))-CL648)),0)</f>
        <v>2</v>
      </c>
      <c r="AX648" s="63" t="n">
        <f aca="false">IF(AT648&gt;0,J648/AT648,-1)</f>
        <v>1.34193548387097</v>
      </c>
      <c r="AY648" s="63" t="n">
        <f aca="false">IF(AND(OR(CG648="L1",CG648="L23",CG648="LIFT"),AT648&gt;0),SUMIFS($AT$7:$AT$1843,$CG$7:$CG$1843,CG648,$AX$7:$AX$1843,"&gt;"&amp;AX648)+SUMIFS($AT$7:$AT$1843,$CG$7:$CG$1843,CG648,$AX$7:$AX$1843,AX648,$BX$7:$BX$1843,"&lt;="&amp;BX648),"")</f>
        <v>7847.87957875458</v>
      </c>
      <c r="AZ648" s="70" t="n">
        <f aca="false">IF(AY648="",0,MAX(0,MIN(1,(IF(CG648="L1",Parameter!$H$5,IF(CG648="L23",Parameter!$H$6+Parameter!$H$7,Parameter!$H$5+Parameter!$H$6+Parameter!$H$7))-(AY648-AT648))/AT648)))</f>
        <v>1</v>
      </c>
      <c r="BA648" s="62" t="n">
        <f aca="false">IF(LEFT(Cockpit!$O$5,1)="A",H648,IF(Parameter!$E$30="MAX-Bestand",IF(CI648=1,CJ648,IF(LEFT(Cockpit!$O$5,1)="B",BG648,MAX(BG648,H648))),ROUNDUP(BE648,0)))</f>
        <v>1</v>
      </c>
      <c r="BB648" s="62" t="n">
        <f aca="false">IF(CA648=1,0,ROUNDUP(BA648/BZ648,0))</f>
        <v>1</v>
      </c>
      <c r="BC648" s="64" t="n">
        <f aca="false">IF(CR648&gt;0,CR648*MAX(1,BA648/X648),IF(CA648=1,IF(BA648&lt;=0,0,CE648*MAX(1,IF(H648&gt;0,BA648/H648,1))),IF(R648&gt;0,BB648/R648,0))/MAX(0.1,N(Parameter!$M$21)))</f>
        <v>0.00961538461538462</v>
      </c>
      <c r="BD648" s="62" t="n">
        <f aca="false">BC648*CC648</f>
        <v>1.49038461538462</v>
      </c>
      <c r="BE648" s="63" t="n">
        <f aca="false">IF(LEFT(Cockpit!$O$5,1)="A",H648,IF(CI648=1,(CL648+CJ648)/2,IF(LEFT(Cockpit!$O$5,1)="B",(CL648+BG648)/2,MAX((CL648+BG648)/2,H648))))</f>
        <v>0.5</v>
      </c>
      <c r="BF648" s="62" t="n">
        <f aca="false">BE648*G648</f>
        <v>0.005</v>
      </c>
      <c r="BG648" s="62" t="n">
        <f aca="false">ROUNDUP(CL648+MAX(CM648,2*(J648/IF(CH648&gt;0,CH648,MAX(0.1,N(Cockpit!$O$6)))-CL648)),0)</f>
        <v>1</v>
      </c>
      <c r="BH648" s="63" t="n">
        <f aca="false">IF(BD648&gt;0,J648/BD648,-1)</f>
        <v>1.34193548387097</v>
      </c>
      <c r="BI648" s="63" t="n">
        <f aca="false">IF(AND(OR(CG648="L1",CG648="L23",CG648="LIFT"),BD648&gt;0),SUMIFS($BD$7:$BD$1843,$CG$7:$CG$1843,CG648,$BH$7:$BH$1843,"&gt;"&amp;BH648)+SUMIFS($BD$7:$BD$1843,$CG$7:$CG$1843,CG648,$BH$7:$BH$1843,BH648,$BX$7:$BX$1843,"&lt;="&amp;BX648),"")</f>
        <v>6785.09523809524</v>
      </c>
      <c r="BJ648" s="70" t="n">
        <f aca="false">IF(BI648="",0,MAX(0,MIN(1,(IF(CG648="L1",Parameter!$H$5,IF(CG648="L23",Parameter!$H$6+Parameter!$H$7,Parameter!$H$5+Parameter!$H$6+Parameter!$H$7))-(BI648-BD648))/BD648)))</f>
        <v>1</v>
      </c>
      <c r="BK648" s="60" t="str">
        <f aca="false">IF(AJ648&lt;=0,"",IF(CG648="Aussen","Aussenlager",IF(CG648="-","Nicht im Lift",IF(AP648&gt;=1,"Lift",IF(AP648&lt;=0,"Aussenlager","teilweise")))))</f>
        <v>Lift</v>
      </c>
      <c r="BL648" s="60" t="str">
        <f aca="false">IF(AT648&lt;=0,"",IF(CG648="Aussen","Aussenlager",IF(CG648="-","Nicht im Lift",IF(AZ648&gt;=1,"Lift",IF(AZ648&lt;=0,"Aussenlager","teilweise")))))</f>
        <v>Lift</v>
      </c>
      <c r="BM648" s="60" t="str">
        <f aca="false">IF(BD648&lt;=0,"",IF(CG648="Aussen","Aussenlager",IF(CG648="-","Nicht im Lift",IF(BJ648&gt;=1,"Lift",IF(BJ648&lt;=0,"Aussenlager","teilweise")))))</f>
        <v>Lift</v>
      </c>
      <c r="BN648" s="60" t="str">
        <f aca="false">IF(A648="","",IF(BW648=1,"Neu; ","")&amp;IF(AND(BW648=0,BR648&lt;0),"negativer Bestand (Export "&amp;BR648&amp;"); ","")&amp;IF(J648&lt;=0,"Kein Verbrauch; ","")&amp;IF(CR648&gt;0,"Lift "&amp;W648&amp;" lt. Liftbericht (Fach "&amp;X648&amp;" Stk); ",IF(CB648=1,"Gebinde geschätzt ("&amp;T648&amp;"); ",IF(CA648=1,"Lose – Tablare geschätzt; ","")))&amp;IF(H648&gt;AW648,"Überbestand "&amp;ROUND(H648-AW648,0)&amp;" Stk / CHF "&amp;ROUND((H648-AW648)*G648,0)&amp;"; ","")&amp;IF(AND(CI648=1,CJ648&lt;CK648),"MAX &lt; MB+LG; ","")&amp;IF(AND(CQ648&gt;0,CP648*10&gt;CQ648),"zu hoch für Tablar; ","")&amp;IF(AND(BW648=0,OR(CI648=1,AB648&lt;&gt;"",U648&lt;&gt;"",V648&lt;&gt;"",AC648&lt;&gt;"")),"manuell übersteuert; ","")&amp;IF(AND(CA648=0,R648=0),"Gebinde unbekannt / Stellmass fehlt; ","")&amp;IF(AND(CA648=0,N(V648)&lt;=0,N(Q648)&lt;=0),"Menge pro Gebinde fehlt (Ist = 1 Gebinde); ","")&amp;BV648)</f>
        <v>Überbestand 940 Stk / CHF 9; Überbestand</v>
      </c>
      <c r="BO648" s="60"/>
      <c r="BP648" s="60"/>
      <c r="BQ648" s="67"/>
      <c r="BR648" s="62" t="n">
        <v>3</v>
      </c>
      <c r="BS648" s="62" t="n">
        <v>939</v>
      </c>
      <c r="BT648" s="61" t="n">
        <v>0.03</v>
      </c>
      <c r="BU648" s="62" t="n">
        <v>2</v>
      </c>
      <c r="BV648" s="60" t="s">
        <v>434</v>
      </c>
      <c r="BW648" s="65" t="n">
        <v>0</v>
      </c>
      <c r="BX648" s="65" t="n">
        <v>648</v>
      </c>
      <c r="BY648" s="60" t="str">
        <f aca="false">IF(U648&lt;&gt;"",UPPER(TRIM(U648)),IF(CB648=1,UPPER(VLOOKUP(T648,Parameter!$I$27:$K$29,2,0)),IF(P648="","LOSE",P648)))</f>
        <v>S32</v>
      </c>
      <c r="BZ648" s="62" t="n">
        <f aca="false">IF(BY648="LOSE",1,IF(N(V648)&gt;0,V648,IF(CB648=1,MAX(1,N(VLOOKUP(T648,Parameter!$I$27:$K$29,3,0)),H648,N(N648)),IF(N(Q648)&gt;0,Q648,MAX(1,H648)))))</f>
        <v>977</v>
      </c>
      <c r="CA648" s="65" t="n">
        <f aca="false">IF(BY648="LOSE",1,0)</f>
        <v>0</v>
      </c>
      <c r="CB648" s="65" t="n">
        <f aca="false">IF(AND(U648="",OR(P648="",P648="LOSE"),T648&lt;&gt;"",N(S648)&lt;=0,ISNUMBER(MATCH(T648,Parameter!$I$27:$I$29,0))),1,0)</f>
        <v>0</v>
      </c>
      <c r="CC648" s="65" t="n">
        <f aca="false">IF(CR648&gt;0,INDEX(Parameter!$H$5:$H$7,W648)/INDEX(Parameter!$E$5:$E$7,W648),IF(AND(CA648=0,N(IFERROR(VLOOKUP(BY648,'Gebinde-Kategorie'!$A$5:$N$45,14,0),0))&gt;0),VLOOKUP(BY648,'Gebinde-Kategorie'!$A$5:$N$45,14,0)*10+Parameter!$M$23,Parameter!$M$24))</f>
        <v>155</v>
      </c>
      <c r="CD648" s="60" t="str">
        <f aca="false">IF(AND(Parameter!$B$19="Ja",E648&lt;&gt;"",ISNUMBER(MATCH(E648,Parameter!$I$35:$I$52,0))),VLOOKUP(E648,Parameter!$I$35:$J$52,2,0),IFERROR(VLOOKUP(D648,Parameter!$A$35:$C$64,2,0),"Nein"))</f>
        <v>2+3</v>
      </c>
      <c r="CE648" s="64" t="n">
        <f aca="false">IF(CA648=0,0,IF(N(S648)&gt;0,S648,IFERROR(VLOOKUP(D648,Parameter!$A$35:$C$64,3,0)+0,0)))</f>
        <v>0</v>
      </c>
      <c r="CF648" s="60" t="n">
        <f aca="false">IF(AB648&lt;&gt;"",AB648,AA648)</f>
        <v>3</v>
      </c>
      <c r="CG648" s="60" t="str">
        <f aca="false">IF(OR(CF648=1,CF648=2,CF648=3),IF(Parameter!$E$27="Ja","LIFT",IF(CF648=1,"L1","L23")),IF(CF648="Aussen","Aussen","-"))</f>
        <v>LIFT</v>
      </c>
      <c r="CH648" s="71" t="n">
        <f aca="false">IF(N(AC648)&gt;0,AC648,0)</f>
        <v>0</v>
      </c>
      <c r="CI648" s="65" t="n">
        <f aca="false">IF(ISNUMBER(AF648),1,0)</f>
        <v>0</v>
      </c>
      <c r="CJ648" s="62" t="n">
        <f aca="false">N(AF648)</f>
        <v>0</v>
      </c>
      <c r="CK648" s="62" t="n">
        <f aca="false">N(M648)+N(N648)</f>
        <v>1</v>
      </c>
      <c r="CL648" s="62" t="n">
        <f aca="false">N(M648)</f>
        <v>0</v>
      </c>
      <c r="CM648" s="62" t="n">
        <f aca="false">N(N648)</f>
        <v>1</v>
      </c>
      <c r="CN648" s="62" t="n">
        <f aca="false">ROUNDUP(H648/BZ648,0)</f>
        <v>1</v>
      </c>
      <c r="CO648" s="62" t="n">
        <f aca="false">ROUNDUP(CJ648/BZ648,0)</f>
        <v>0</v>
      </c>
      <c r="CP648" s="65" t="n">
        <f aca="false">IF(CA648=1,0,IFERROR(VLOOKUP(BY648,'Gebinde-Kategorie'!$A$5:$N$45,5,0)+0,0))</f>
        <v>8</v>
      </c>
      <c r="CQ648" s="65" t="n">
        <f aca="false">IFERROR(IF(OR(CF648=1,CF648=2,CF648=3),N(INDEX(Parameter!$I$5:$I$7,CF648)),0),0)</f>
        <v>0</v>
      </c>
      <c r="CR648" s="64" t="n">
        <f aca="false">IF(AND(Parameter!$B$21="Ja",ISNUMBER(W648),N(X648)&gt;0),IFERROR(N(INDEX(Parameter!$L$5:$L$7,W648))*INDEX(Parameter!$E$5:$E$7,W648)*X648/SUMIFS($X$7:$X$1843,$W$7:$W$1843,W648),0),0)</f>
        <v>0</v>
      </c>
      <c r="CS648" s="62" t="n">
        <f aca="false">IF(AND(OR(CG648="L1",CG648="L23",CG648="LIFT"),H648&gt;0),CC648*IF(CR648&gt;0,CR648*MAX(1,H648/X648),IF(CA648=1,CE648,IF(R648&gt;0,CN648/R648,0))/MAX(0.1,N(Parameter!$M$21))),"")</f>
        <v>1.49038461538462</v>
      </c>
      <c r="CT648" s="64" t="n">
        <f aca="false">IF(CS648="","",J648/H648)</f>
        <v>0.00212314225053079</v>
      </c>
      <c r="CU648" s="62" t="n">
        <f aca="false">IF(CS648="","",H648*G648)</f>
        <v>9.42</v>
      </c>
      <c r="CV648" s="63" t="n">
        <f aca="false">IF(CS648="","",(CL648+ROUNDUP(CL648+MAX(CM648,2*(J648/MAX(0.1,N(Einkauf!$C$6))-CL648)),0))/2)</f>
        <v>0.5</v>
      </c>
      <c r="CW648" s="62" t="n">
        <f aca="false">IF(CS648="","",MAX(0,H648-CV648)*G648)</f>
        <v>9.415</v>
      </c>
      <c r="CX648" s="62" t="n">
        <f aca="false">IF(CS648="","",CS648*MAX(0,1-CV648/H648))</f>
        <v>1.489593540748</v>
      </c>
      <c r="CY648" s="64" t="n">
        <f aca="false">IF(CS648="","",PERCENTRANK($CS$7:$CS$1843,CS648)+PERCENTRANK($CU$7:$CU$1843,CU648)+1-PERCENTRANK($CT$7:$CT$1843,CT648))</f>
        <v>0.7921</v>
      </c>
      <c r="CZ648" s="72" t="n">
        <f aca="false">IF(CS648="","",CHOOSE(MATCH(Einkauf!$C$5,Parameter!$G$23:$G$27,0),CY648,CS648,CU648,-CT648,CW648)+ROW()/1000000000)</f>
        <v>0.792100648</v>
      </c>
    </row>
    <row r="649" customFormat="false" ht="15" hidden="false" customHeight="false" outlineLevel="0" collapsed="false">
      <c r="A649" s="60" t="s">
        <v>1358</v>
      </c>
      <c r="B649" s="60" t="s">
        <v>991</v>
      </c>
      <c r="C649" s="60" t="s">
        <v>206</v>
      </c>
      <c r="D649" s="60" t="s">
        <v>226</v>
      </c>
      <c r="E649" s="60"/>
      <c r="F649" s="60" t="s">
        <v>260</v>
      </c>
      <c r="G649" s="61" t="n">
        <v>0.01</v>
      </c>
      <c r="H649" s="62" t="n">
        <f aca="false">MAX(0,IF(AND(Parameter!$B$21="Ja",ISNUMBER(Y649)),Y649,IF(Parameter!$B$20="Jahresanfang 2025 + Export",BS649+BR649,BR649)))</f>
        <v>278</v>
      </c>
      <c r="I649" s="62" t="n">
        <f aca="false">H649*G649</f>
        <v>2.78</v>
      </c>
      <c r="J649" s="62" t="n">
        <f aca="false">BU649*Parameter!$B$18</f>
        <v>0</v>
      </c>
      <c r="K649" s="63" t="n">
        <v>276.5</v>
      </c>
      <c r="L649" s="64" t="n">
        <v>0</v>
      </c>
      <c r="M649" s="62" t="n">
        <v>0</v>
      </c>
      <c r="N649" s="62" t="n">
        <v>1</v>
      </c>
      <c r="O649" s="65" t="n">
        <v>14</v>
      </c>
      <c r="P649" s="60" t="s">
        <v>443</v>
      </c>
      <c r="Q649" s="62" t="n">
        <v>280</v>
      </c>
      <c r="R649" s="65" t="n">
        <f aca="false">IF(CA649=1,0,IFERROR(VLOOKUP(BY649,'Gebinde-Kategorie'!$A$5:$N$45,13,0)+0,0))</f>
        <v>280</v>
      </c>
      <c r="S649" s="66"/>
      <c r="T649" s="67"/>
      <c r="U649" s="67"/>
      <c r="V649" s="67"/>
      <c r="W649" s="60"/>
      <c r="X649" s="62"/>
      <c r="Y649" s="62"/>
      <c r="Z649" s="60" t="n">
        <v>2</v>
      </c>
      <c r="AA649" s="60" t="n">
        <f aca="false">IF(A649="","",IF(AND(Parameter!$B$21="Ja",ISNUMBER(W649)),W649,IF(AND(Parameter!$E$27="Ja",ISNUMBER(Z649),CD649&lt;&gt;"Nein"),Z649,IF(CD649="2+3",IF(ISNUMBER(SEARCH("grosser Artikel",BV649)),2,IFERROR(VLOOKUP(BY649,Parameter!$F$35:$G$64,2,0),2)),IF(OR(CD649="Nein",CD649=""),"-",CD649)))))</f>
        <v>2</v>
      </c>
      <c r="AB649" s="67"/>
      <c r="AC649" s="68"/>
      <c r="AD649" s="62" t="n">
        <f aca="false">AW649</f>
        <v>1</v>
      </c>
      <c r="AE649" s="62" t="n">
        <f aca="false">MAX(AW649,H649)</f>
        <v>278</v>
      </c>
      <c r="AF649" s="69"/>
      <c r="AG649" s="62" t="n">
        <f aca="false">IF(LEFT(Cockpit!$C$5,1)="A",H649,IF(Parameter!$E$30="MAX-Bestand",IF(CI649=1,CJ649,IF(LEFT(Cockpit!$C$5,1)="B",AM649,MAX(AM649,H649))),ROUNDUP(AK649,0)))</f>
        <v>278</v>
      </c>
      <c r="AH649" s="62" t="n">
        <f aca="false">IF(CA649=1,0,ROUNDUP(AG649/BZ649,0))</f>
        <v>1</v>
      </c>
      <c r="AI649" s="64" t="n">
        <f aca="false">IF(CR649&gt;0,CR649*MAX(1,AG649/X649),IF(CA649=1,IF(AG649&lt;=0,0,CE649*MAX(1,IF(H649&gt;0,AG649/H649,1))),IF(R649&gt;0,AH649/R649,0))/MAX(0.1,N(Parameter!$M$21)))</f>
        <v>0.00357142857142857</v>
      </c>
      <c r="AJ649" s="62" t="n">
        <f aca="false">AI649*CC649</f>
        <v>0.553571428571429</v>
      </c>
      <c r="AK649" s="63" t="n">
        <f aca="false">IF(LEFT(Cockpit!$C$5,1)="A",H649,IF(CI649=1,(CL649+CJ649)/2,IF(LEFT(Cockpit!$C$5,1)="B",(CL649+AM649)/2,MAX((CL649+AM649)/2,H649))))</f>
        <v>278</v>
      </c>
      <c r="AL649" s="62" t="n">
        <f aca="false">AK649*G649</f>
        <v>2.78</v>
      </c>
      <c r="AM649" s="62" t="n">
        <f aca="false">ROUNDUP(CL649+MAX(CM649,2*(J649/IF(CH649&gt;0,CH649,MAX(0.1,N(Cockpit!$C$6)))-CL649)),0)</f>
        <v>1</v>
      </c>
      <c r="AN649" s="63" t="n">
        <f aca="false">IF(AJ649&gt;0,J649/AJ649,-1)</f>
        <v>0</v>
      </c>
      <c r="AO649" s="63" t="n">
        <f aca="false">IF(AND(OR(CG649="L1",CG649="L23",CG649="LIFT"),AJ649&gt;0),SUMIFS($AJ$7:$AJ$1843,$CG$7:$CG$1843,CG649,$AN$7:$AN$1843,"&gt;"&amp;AN649)+SUMIFS($AJ$7:$AJ$1843,$CG$7:$CG$1843,CG649,$AN$7:$AN$1843,AN649,$BX$7:$BX$1843,"&lt;="&amp;BX649),"")</f>
        <v>28608.8362487324</v>
      </c>
      <c r="AP649" s="70" t="n">
        <f aca="false">IF(AO649="",0,MAX(0,MIN(1,(IF(CG649="L1",Parameter!$H$5,IF(CG649="L23",Parameter!$H$6+Parameter!$H$7,Parameter!$H$5+Parameter!$H$6+Parameter!$H$7))-(AO649-AJ649))/AJ649)))</f>
        <v>1</v>
      </c>
      <c r="AQ649" s="62" t="n">
        <f aca="false">IF(LEFT(Cockpit!$I$5,1)="A",H649,IF(Parameter!$E$30="MAX-Bestand",IF(CI649=1,CJ649,IF(LEFT(Cockpit!$I$5,1)="B",AW649,MAX(AW649,H649))),ROUNDUP(AU649,0)))</f>
        <v>278</v>
      </c>
      <c r="AR649" s="62" t="n">
        <f aca="false">IF(CA649=1,0,ROUNDUP(AQ649/BZ649,0))</f>
        <v>1</v>
      </c>
      <c r="AS649" s="64" t="n">
        <f aca="false">IF(CR649&gt;0,CR649*MAX(1,AQ649/X649),IF(CA649=1,IF(AQ649&lt;=0,0,CE649*MAX(1,IF(H649&gt;0,AQ649/H649,1))),IF(R649&gt;0,AR649/R649,0))/MAX(0.1,N(Parameter!$M$21)))</f>
        <v>0.00357142857142857</v>
      </c>
      <c r="AT649" s="62" t="n">
        <f aca="false">AS649*CC649</f>
        <v>0.553571428571429</v>
      </c>
      <c r="AU649" s="63" t="n">
        <f aca="false">IF(LEFT(Cockpit!$I$5,1)="A",H649,IF(CI649=1,(CL649+CJ649)/2,IF(LEFT(Cockpit!$I$5,1)="B",(CL649+AW649)/2,MAX((CL649+AW649)/2,H649))))</f>
        <v>278</v>
      </c>
      <c r="AV649" s="62" t="n">
        <f aca="false">AU649*G649</f>
        <v>2.78</v>
      </c>
      <c r="AW649" s="62" t="n">
        <f aca="false">ROUNDUP(CL649+MAX(CM649,2*(J649/IF(CH649&gt;0,CH649,MAX(0.1,N(Cockpit!$I$6)))-CL649)),0)</f>
        <v>1</v>
      </c>
      <c r="AX649" s="63" t="n">
        <f aca="false">IF(AT649&gt;0,J649/AT649,-1)</f>
        <v>0</v>
      </c>
      <c r="AY649" s="63" t="n">
        <f aca="false">IF(AND(OR(CG649="L1",CG649="L23",CG649="LIFT"),AT649&gt;0),SUMIFS($AT$7:$AT$1843,$CG$7:$CG$1843,CG649,$AX$7:$AX$1843,"&gt;"&amp;AX649)+SUMIFS($AT$7:$AT$1843,$CG$7:$CG$1843,CG649,$AX$7:$AX$1843,AX649,$BX$7:$BX$1843,"&lt;="&amp;BX649),"")</f>
        <v>33961.9848901099</v>
      </c>
      <c r="AZ649" s="70" t="n">
        <f aca="false">IF(AY649="",0,MAX(0,MIN(1,(IF(CG649="L1",Parameter!$H$5,IF(CG649="L23",Parameter!$H$6+Parameter!$H$7,Parameter!$H$5+Parameter!$H$6+Parameter!$H$7))-(AY649-AT649))/AT649)))</f>
        <v>1</v>
      </c>
      <c r="BA649" s="62" t="n">
        <f aca="false">IF(LEFT(Cockpit!$O$5,1)="A",H649,IF(Parameter!$E$30="MAX-Bestand",IF(CI649=1,CJ649,IF(LEFT(Cockpit!$O$5,1)="B",BG649,MAX(BG649,H649))),ROUNDUP(BE649,0)))</f>
        <v>1</v>
      </c>
      <c r="BB649" s="62" t="n">
        <f aca="false">IF(CA649=1,0,ROUNDUP(BA649/BZ649,0))</f>
        <v>1</v>
      </c>
      <c r="BC649" s="64" t="n">
        <f aca="false">IF(CR649&gt;0,CR649*MAX(1,BA649/X649),IF(CA649=1,IF(BA649&lt;=0,0,CE649*MAX(1,IF(H649&gt;0,BA649/H649,1))),IF(R649&gt;0,BB649/R649,0))/MAX(0.1,N(Parameter!$M$21)))</f>
        <v>0.00357142857142857</v>
      </c>
      <c r="BD649" s="62" t="n">
        <f aca="false">BC649*CC649</f>
        <v>0.553571428571429</v>
      </c>
      <c r="BE649" s="63" t="n">
        <f aca="false">IF(LEFT(Cockpit!$O$5,1)="A",H649,IF(CI649=1,(CL649+CJ649)/2,IF(LEFT(Cockpit!$O$5,1)="B",(CL649+BG649)/2,MAX((CL649+BG649)/2,H649))))</f>
        <v>0.5</v>
      </c>
      <c r="BF649" s="62" t="n">
        <f aca="false">BE649*G649</f>
        <v>0.005</v>
      </c>
      <c r="BG649" s="62" t="n">
        <f aca="false">ROUNDUP(CL649+MAX(CM649,2*(J649/IF(CH649&gt;0,CH649,MAX(0.1,N(Cockpit!$O$6)))-CL649)),0)</f>
        <v>1</v>
      </c>
      <c r="BH649" s="63" t="n">
        <f aca="false">IF(BD649&gt;0,J649/BD649,-1)</f>
        <v>0</v>
      </c>
      <c r="BI649" s="63" t="n">
        <f aca="false">IF(AND(OR(CG649="L1",CG649="L23",CG649="LIFT"),BD649&gt;0),SUMIFS($BD$7:$BD$1843,$CG$7:$CG$1843,CG649,$BH$7:$BH$1843,"&gt;"&amp;BH649)+SUMIFS($BD$7:$BD$1843,$CG$7:$CG$1843,CG649,$BH$7:$BH$1843,BH649,$BX$7:$BX$1843,"&lt;="&amp;BX649),"")</f>
        <v>28027.2210374371</v>
      </c>
      <c r="BJ649" s="70" t="n">
        <f aca="false">IF(BI649="",0,MAX(0,MIN(1,(IF(CG649="L1",Parameter!$H$5,IF(CG649="L23",Parameter!$H$6+Parameter!$H$7,Parameter!$H$5+Parameter!$H$6+Parameter!$H$7))-(BI649-BD649))/BD649)))</f>
        <v>1</v>
      </c>
      <c r="BK649" s="60" t="str">
        <f aca="false">IF(AJ649&lt;=0,"",IF(CG649="Aussen","Aussenlager",IF(CG649="-","Nicht im Lift",IF(AP649&gt;=1,"Lift",IF(AP649&lt;=0,"Aussenlager","teilweise")))))</f>
        <v>Lift</v>
      </c>
      <c r="BL649" s="60" t="str">
        <f aca="false">IF(AT649&lt;=0,"",IF(CG649="Aussen","Aussenlager",IF(CG649="-","Nicht im Lift",IF(AZ649&gt;=1,"Lift",IF(AZ649&lt;=0,"Aussenlager","teilweise")))))</f>
        <v>Lift</v>
      </c>
      <c r="BM649" s="60" t="str">
        <f aca="false">IF(BD649&lt;=0,"",IF(CG649="Aussen","Aussenlager",IF(CG649="-","Nicht im Lift",IF(BJ649&gt;=1,"Lift",IF(BJ649&lt;=0,"Aussenlager","teilweise")))))</f>
        <v>Lift</v>
      </c>
      <c r="BN649" s="60" t="str">
        <f aca="false">IF(A649="","",IF(BW649=1,"Neu; ","")&amp;IF(AND(BW649=0,BR649&lt;0),"negativer Bestand (Export "&amp;BR649&amp;"); ","")&amp;IF(J649&lt;=0,"Kein Verbrauch; ","")&amp;IF(CR649&gt;0,"Lift "&amp;W649&amp;" lt. Liftbericht (Fach "&amp;X649&amp;" Stk); ",IF(CB649=1,"Gebinde geschätzt ("&amp;T649&amp;"); ",IF(CA649=1,"Lose – Tablare geschätzt; ","")))&amp;IF(H649&gt;AW649,"Überbestand "&amp;ROUND(H649-AW649,0)&amp;" Stk / CHF "&amp;ROUND((H649-AW649)*G649,0)&amp;"; ","")&amp;IF(AND(CI649=1,CJ649&lt;CK649),"MAX &lt; MB+LG; ","")&amp;IF(AND(CQ649&gt;0,CP649*10&gt;CQ649),"zu hoch für Tablar; ","")&amp;IF(AND(BW649=0,OR(CI649=1,AB649&lt;&gt;"",U649&lt;&gt;"",V649&lt;&gt;"",AC649&lt;&gt;"")),"manuell übersteuert; ","")&amp;IF(AND(CA649=0,R649=0),"Gebinde unbekannt / Stellmass fehlt; ","")&amp;IF(AND(CA649=0,N(V649)&lt;=0,N(Q649)&lt;=0),"Menge pro Gebinde fehlt (Ist = 1 Gebinde); ","")&amp;BV649)</f>
        <v>Kein Verbrauch; Überbestand 277 Stk / CHF 3; </v>
      </c>
      <c r="BO649" s="60"/>
      <c r="BP649" s="60"/>
      <c r="BQ649" s="67"/>
      <c r="BR649" s="62" t="n">
        <v>3</v>
      </c>
      <c r="BS649" s="62" t="n">
        <v>275</v>
      </c>
      <c r="BT649" s="61" t="n">
        <v>0.03</v>
      </c>
      <c r="BU649" s="62" t="n">
        <v>0</v>
      </c>
      <c r="BV649" s="60"/>
      <c r="BW649" s="65" t="n">
        <v>0</v>
      </c>
      <c r="BX649" s="65" t="n">
        <v>649</v>
      </c>
      <c r="BY649" s="60" t="str">
        <f aca="false">IF(U649&lt;&gt;"",UPPER(TRIM(U649)),IF(CB649=1,UPPER(VLOOKUP(T649,Parameter!$I$27:$K$29,2,0)),IF(P649="","LOSE",P649)))</f>
        <v>S21</v>
      </c>
      <c r="BZ649" s="62" t="n">
        <f aca="false">IF(BY649="LOSE",1,IF(N(V649)&gt;0,V649,IF(CB649=1,MAX(1,N(VLOOKUP(T649,Parameter!$I$27:$K$29,3,0)),H649,N(N649)),IF(N(Q649)&gt;0,Q649,MAX(1,H649)))))</f>
        <v>280</v>
      </c>
      <c r="CA649" s="65" t="n">
        <f aca="false">IF(BY649="LOSE",1,0)</f>
        <v>0</v>
      </c>
      <c r="CB649" s="65" t="n">
        <f aca="false">IF(AND(U649="",OR(P649="",P649="LOSE"),T649&lt;&gt;"",N(S649)&lt;=0,ISNUMBER(MATCH(T649,Parameter!$I$27:$I$29,0))),1,0)</f>
        <v>0</v>
      </c>
      <c r="CC649" s="65" t="n">
        <f aca="false">IF(CR649&gt;0,INDEX(Parameter!$H$5:$H$7,W649)/INDEX(Parameter!$E$5:$E$7,W649),IF(AND(CA649=0,N(IFERROR(VLOOKUP(BY649,'Gebinde-Kategorie'!$A$5:$N$45,14,0),0))&gt;0),VLOOKUP(BY649,'Gebinde-Kategorie'!$A$5:$N$45,14,0)*10+Parameter!$M$23,Parameter!$M$24))</f>
        <v>155</v>
      </c>
      <c r="CD649" s="60" t="str">
        <f aca="false">IF(AND(Parameter!$B$19="Ja",E649&lt;&gt;"",ISNUMBER(MATCH(E649,Parameter!$I$35:$I$52,0))),VLOOKUP(E649,Parameter!$I$35:$J$52,2,0),IFERROR(VLOOKUP(D649,Parameter!$A$35:$C$64,2,0),"Nein"))</f>
        <v>2+3</v>
      </c>
      <c r="CE649" s="64" t="n">
        <f aca="false">IF(CA649=0,0,IF(N(S649)&gt;0,S649,IFERROR(VLOOKUP(D649,Parameter!$A$35:$C$64,3,0)+0,0)))</f>
        <v>0</v>
      </c>
      <c r="CF649" s="60" t="n">
        <f aca="false">IF(AB649&lt;&gt;"",AB649,AA649)</f>
        <v>2</v>
      </c>
      <c r="CG649" s="60" t="str">
        <f aca="false">IF(OR(CF649=1,CF649=2,CF649=3),IF(Parameter!$E$27="Ja","LIFT",IF(CF649=1,"L1","L23")),IF(CF649="Aussen","Aussen","-"))</f>
        <v>LIFT</v>
      </c>
      <c r="CH649" s="71" t="n">
        <f aca="false">IF(N(AC649)&gt;0,AC649,0)</f>
        <v>0</v>
      </c>
      <c r="CI649" s="65" t="n">
        <f aca="false">IF(ISNUMBER(AF649),1,0)</f>
        <v>0</v>
      </c>
      <c r="CJ649" s="62" t="n">
        <f aca="false">N(AF649)</f>
        <v>0</v>
      </c>
      <c r="CK649" s="62" t="n">
        <f aca="false">N(M649)+N(N649)</f>
        <v>1</v>
      </c>
      <c r="CL649" s="62" t="n">
        <f aca="false">N(M649)</f>
        <v>0</v>
      </c>
      <c r="CM649" s="62" t="n">
        <f aca="false">N(N649)</f>
        <v>1</v>
      </c>
      <c r="CN649" s="62" t="n">
        <f aca="false">ROUNDUP(H649/BZ649,0)</f>
        <v>1</v>
      </c>
      <c r="CO649" s="62" t="n">
        <f aca="false">ROUNDUP(CJ649/BZ649,0)</f>
        <v>0</v>
      </c>
      <c r="CP649" s="65" t="n">
        <f aca="false">IF(CA649=1,0,IFERROR(VLOOKUP(BY649,'Gebinde-Kategorie'!$A$5:$N$45,5,0)+0,0))</f>
        <v>8</v>
      </c>
      <c r="CQ649" s="65" t="n">
        <f aca="false">IFERROR(IF(OR(CF649=1,CF649=2,CF649=3),N(INDEX(Parameter!$I$5:$I$7,CF649)),0),0)</f>
        <v>0</v>
      </c>
      <c r="CR649" s="64" t="n">
        <f aca="false">IF(AND(Parameter!$B$21="Ja",ISNUMBER(W649),N(X649)&gt;0),IFERROR(N(INDEX(Parameter!$L$5:$L$7,W649))*INDEX(Parameter!$E$5:$E$7,W649)*X649/SUMIFS($X$7:$X$1843,$W$7:$W$1843,W649),0),0)</f>
        <v>0</v>
      </c>
      <c r="CS649" s="62" t="n">
        <f aca="false">IF(AND(OR(CG649="L1",CG649="L23",CG649="LIFT"),H649&gt;0),CC649*IF(CR649&gt;0,CR649*MAX(1,H649/X649),IF(CA649=1,CE649,IF(R649&gt;0,CN649/R649,0))/MAX(0.1,N(Parameter!$M$21))),"")</f>
        <v>0.553571428571429</v>
      </c>
      <c r="CT649" s="64" t="n">
        <f aca="false">IF(CS649="","",J649/H649)</f>
        <v>0</v>
      </c>
      <c r="CU649" s="62" t="n">
        <f aca="false">IF(CS649="","",H649*G649)</f>
        <v>2.78</v>
      </c>
      <c r="CV649" s="63" t="n">
        <f aca="false">IF(CS649="","",(CL649+ROUNDUP(CL649+MAX(CM649,2*(J649/MAX(0.1,N(Einkauf!$C$6))-CL649)),0))/2)</f>
        <v>0.5</v>
      </c>
      <c r="CW649" s="62" t="n">
        <f aca="false">IF(CS649="","",MAX(0,H649-CV649)*G649)</f>
        <v>2.775</v>
      </c>
      <c r="CX649" s="62" t="n">
        <f aca="false">IF(CS649="","",CS649*MAX(0,1-CV649/H649))</f>
        <v>0.552575796505653</v>
      </c>
      <c r="CY649" s="64" t="n">
        <f aca="false">IF(CS649="","",PERCENTRANK($CS$7:$CS$1843,CS649)+PERCENTRANK($CU$7:$CU$1843,CU649)+1-PERCENTRANK($CT$7:$CT$1843,CT649))</f>
        <v>1.0144</v>
      </c>
      <c r="CZ649" s="72" t="n">
        <f aca="false">IF(CS649="","",CHOOSE(MATCH(Einkauf!$C$5,Parameter!$G$23:$G$27,0),CY649,CS649,CU649,-CT649,CW649)+ROW()/1000000000)</f>
        <v>1.014400649</v>
      </c>
    </row>
    <row r="650" customFormat="false" ht="15" hidden="false" customHeight="false" outlineLevel="0" collapsed="false">
      <c r="A650" s="60" t="s">
        <v>1359</v>
      </c>
      <c r="B650" s="60" t="s">
        <v>696</v>
      </c>
      <c r="C650" s="60" t="s">
        <v>206</v>
      </c>
      <c r="D650" s="60" t="s">
        <v>226</v>
      </c>
      <c r="E650" s="60"/>
      <c r="F650" s="60" t="s">
        <v>260</v>
      </c>
      <c r="G650" s="61" t="n">
        <v>0.02</v>
      </c>
      <c r="H650" s="62" t="n">
        <f aca="false">MAX(0,IF(AND(Parameter!$B$21="Ja",ISNUMBER(Y650)),Y650,IF(Parameter!$B$20="Jahresanfang 2025 + Export",BS650+BR650,BR650)))</f>
        <v>470</v>
      </c>
      <c r="I650" s="62" t="n">
        <f aca="false">H650*G650</f>
        <v>9.4</v>
      </c>
      <c r="J650" s="62" t="n">
        <f aca="false">BU650*Parameter!$B$18</f>
        <v>0</v>
      </c>
      <c r="K650" s="63" t="n">
        <v>469.5</v>
      </c>
      <c r="L650" s="64" t="n">
        <v>0</v>
      </c>
      <c r="M650" s="62" t="n">
        <v>0</v>
      </c>
      <c r="N650" s="62" t="n">
        <v>1</v>
      </c>
      <c r="O650" s="65" t="n">
        <v>14</v>
      </c>
      <c r="P650" s="60" t="s">
        <v>468</v>
      </c>
      <c r="Q650" s="62" t="n">
        <v>300</v>
      </c>
      <c r="R650" s="65" t="n">
        <f aca="false">IF(CA650=1,0,IFERROR(VLOOKUP(BY650,'Gebinde-Kategorie'!$A$5:$N$45,13,0)+0,0))</f>
        <v>140</v>
      </c>
      <c r="S650" s="66"/>
      <c r="T650" s="67"/>
      <c r="U650" s="67"/>
      <c r="V650" s="67"/>
      <c r="W650" s="60"/>
      <c r="X650" s="62"/>
      <c r="Y650" s="62"/>
      <c r="Z650" s="60" t="n">
        <v>3</v>
      </c>
      <c r="AA650" s="60" t="n">
        <f aca="false">IF(A650="","",IF(AND(Parameter!$B$21="Ja",ISNUMBER(W650)),W650,IF(AND(Parameter!$E$27="Ja",ISNUMBER(Z650),CD650&lt;&gt;"Nein"),Z650,IF(CD650="2+3",IF(ISNUMBER(SEARCH("grosser Artikel",BV650)),2,IFERROR(VLOOKUP(BY650,Parameter!$F$35:$G$64,2,0),2)),IF(OR(CD650="Nein",CD650=""),"-",CD650)))))</f>
        <v>3</v>
      </c>
      <c r="AB650" s="67"/>
      <c r="AC650" s="68"/>
      <c r="AD650" s="62" t="n">
        <f aca="false">AW650</f>
        <v>1</v>
      </c>
      <c r="AE650" s="62" t="n">
        <f aca="false">MAX(AW650,H650)</f>
        <v>470</v>
      </c>
      <c r="AF650" s="69"/>
      <c r="AG650" s="62" t="n">
        <f aca="false">IF(LEFT(Cockpit!$C$5,1)="A",H650,IF(Parameter!$E$30="MAX-Bestand",IF(CI650=1,CJ650,IF(LEFT(Cockpit!$C$5,1)="B",AM650,MAX(AM650,H650))),ROUNDUP(AK650,0)))</f>
        <v>470</v>
      </c>
      <c r="AH650" s="62" t="n">
        <f aca="false">IF(CA650=1,0,ROUNDUP(AG650/BZ650,0))</f>
        <v>2</v>
      </c>
      <c r="AI650" s="64" t="n">
        <f aca="false">IF(CR650&gt;0,CR650*MAX(1,AG650/X650),IF(CA650=1,IF(AG650&lt;=0,0,CE650*MAX(1,IF(H650&gt;0,AG650/H650,1))),IF(R650&gt;0,AH650/R650,0))/MAX(0.1,N(Parameter!$M$21)))</f>
        <v>0.0142857142857143</v>
      </c>
      <c r="AJ650" s="62" t="n">
        <f aca="false">AI650*CC650</f>
        <v>2.21428571428571</v>
      </c>
      <c r="AK650" s="63" t="n">
        <f aca="false">IF(LEFT(Cockpit!$C$5,1)="A",H650,IF(CI650=1,(CL650+CJ650)/2,IF(LEFT(Cockpit!$C$5,1)="B",(CL650+AM650)/2,MAX((CL650+AM650)/2,H650))))</f>
        <v>470</v>
      </c>
      <c r="AL650" s="62" t="n">
        <f aca="false">AK650*G650</f>
        <v>9.4</v>
      </c>
      <c r="AM650" s="62" t="n">
        <f aca="false">ROUNDUP(CL650+MAX(CM650,2*(J650/IF(CH650&gt;0,CH650,MAX(0.1,N(Cockpit!$C$6)))-CL650)),0)</f>
        <v>1</v>
      </c>
      <c r="AN650" s="63" t="n">
        <f aca="false">IF(AJ650&gt;0,J650/AJ650,-1)</f>
        <v>0</v>
      </c>
      <c r="AO650" s="63" t="n">
        <f aca="false">IF(AND(OR(CG650="L1",CG650="L23",CG650="LIFT"),AJ650&gt;0),SUMIFS($AJ$7:$AJ$1843,$CG$7:$CG$1843,CG650,$AN$7:$AN$1843,"&gt;"&amp;AN650)+SUMIFS($AJ$7:$AJ$1843,$CG$7:$CG$1843,CG650,$AN$7:$AN$1843,AN650,$BX$7:$BX$1843,"&lt;="&amp;BX650),"")</f>
        <v>28611.0505344467</v>
      </c>
      <c r="AP650" s="70" t="n">
        <f aca="false">IF(AO650="",0,MAX(0,MIN(1,(IF(CG650="L1",Parameter!$H$5,IF(CG650="L23",Parameter!$H$6+Parameter!$H$7,Parameter!$H$5+Parameter!$H$6+Parameter!$H$7))-(AO650-AJ650))/AJ650)))</f>
        <v>1</v>
      </c>
      <c r="AQ650" s="62" t="n">
        <f aca="false">IF(LEFT(Cockpit!$I$5,1)="A",H650,IF(Parameter!$E$30="MAX-Bestand",IF(CI650=1,CJ650,IF(LEFT(Cockpit!$I$5,1)="B",AW650,MAX(AW650,H650))),ROUNDUP(AU650,0)))</f>
        <v>470</v>
      </c>
      <c r="AR650" s="62" t="n">
        <f aca="false">IF(CA650=1,0,ROUNDUP(AQ650/BZ650,0))</f>
        <v>2</v>
      </c>
      <c r="AS650" s="64" t="n">
        <f aca="false">IF(CR650&gt;0,CR650*MAX(1,AQ650/X650),IF(CA650=1,IF(AQ650&lt;=0,0,CE650*MAX(1,IF(H650&gt;0,AQ650/H650,1))),IF(R650&gt;0,AR650/R650,0))/MAX(0.1,N(Parameter!$M$21)))</f>
        <v>0.0142857142857143</v>
      </c>
      <c r="AT650" s="62" t="n">
        <f aca="false">AS650*CC650</f>
        <v>2.21428571428571</v>
      </c>
      <c r="AU650" s="63" t="n">
        <f aca="false">IF(LEFT(Cockpit!$I$5,1)="A",H650,IF(CI650=1,(CL650+CJ650)/2,IF(LEFT(Cockpit!$I$5,1)="B",(CL650+AW650)/2,MAX((CL650+AW650)/2,H650))))</f>
        <v>470</v>
      </c>
      <c r="AV650" s="62" t="n">
        <f aca="false">AU650*G650</f>
        <v>9.4</v>
      </c>
      <c r="AW650" s="62" t="n">
        <f aca="false">ROUNDUP(CL650+MAX(CM650,2*(J650/IF(CH650&gt;0,CH650,MAX(0.1,N(Cockpit!$I$6)))-CL650)),0)</f>
        <v>1</v>
      </c>
      <c r="AX650" s="63" t="n">
        <f aca="false">IF(AT650&gt;0,J650/AT650,-1)</f>
        <v>0</v>
      </c>
      <c r="AY650" s="63" t="n">
        <f aca="false">IF(AND(OR(CG650="L1",CG650="L23",CG650="LIFT"),AT650&gt;0),SUMIFS($AT$7:$AT$1843,$CG$7:$CG$1843,CG650,$AX$7:$AX$1843,"&gt;"&amp;AX650)+SUMIFS($AT$7:$AT$1843,$CG$7:$CG$1843,CG650,$AX$7:$AX$1843,AX650,$BX$7:$BX$1843,"&lt;="&amp;BX650),"")</f>
        <v>33964.1991758242</v>
      </c>
      <c r="AZ650" s="70" t="n">
        <f aca="false">IF(AY650="",0,MAX(0,MIN(1,(IF(CG650="L1",Parameter!$H$5,IF(CG650="L23",Parameter!$H$6+Parameter!$H$7,Parameter!$H$5+Parameter!$H$6+Parameter!$H$7))-(AY650-AT650))/AT650)))</f>
        <v>1</v>
      </c>
      <c r="BA650" s="62" t="n">
        <f aca="false">IF(LEFT(Cockpit!$O$5,1)="A",H650,IF(Parameter!$E$30="MAX-Bestand",IF(CI650=1,CJ650,IF(LEFT(Cockpit!$O$5,1)="B",BG650,MAX(BG650,H650))),ROUNDUP(BE650,0)))</f>
        <v>1</v>
      </c>
      <c r="BB650" s="62" t="n">
        <f aca="false">IF(CA650=1,0,ROUNDUP(BA650/BZ650,0))</f>
        <v>1</v>
      </c>
      <c r="BC650" s="64" t="n">
        <f aca="false">IF(CR650&gt;0,CR650*MAX(1,BA650/X650),IF(CA650=1,IF(BA650&lt;=0,0,CE650*MAX(1,IF(H650&gt;0,BA650/H650,1))),IF(R650&gt;0,BB650/R650,0))/MAX(0.1,N(Parameter!$M$21)))</f>
        <v>0.00714285714285714</v>
      </c>
      <c r="BD650" s="62" t="n">
        <f aca="false">BC650*CC650</f>
        <v>1.10714285714286</v>
      </c>
      <c r="BE650" s="63" t="n">
        <f aca="false">IF(LEFT(Cockpit!$O$5,1)="A",H650,IF(CI650=1,(CL650+CJ650)/2,IF(LEFT(Cockpit!$O$5,1)="B",(CL650+BG650)/2,MAX((CL650+BG650)/2,H650))))</f>
        <v>0.5</v>
      </c>
      <c r="BF650" s="62" t="n">
        <f aca="false">BE650*G650</f>
        <v>0.01</v>
      </c>
      <c r="BG650" s="62" t="n">
        <f aca="false">ROUNDUP(CL650+MAX(CM650,2*(J650/IF(CH650&gt;0,CH650,MAX(0.1,N(Cockpit!$O$6)))-CL650)),0)</f>
        <v>1</v>
      </c>
      <c r="BH650" s="63" t="n">
        <f aca="false">IF(BD650&gt;0,J650/BD650,-1)</f>
        <v>0</v>
      </c>
      <c r="BI650" s="63" t="n">
        <f aca="false">IF(AND(OR(CG650="L1",CG650="L23",CG650="LIFT"),BD650&gt;0),SUMIFS($BD$7:$BD$1843,$CG$7:$CG$1843,CG650,$BH$7:$BH$1843,"&gt;"&amp;BH650)+SUMIFS($BD$7:$BD$1843,$CG$7:$CG$1843,CG650,$BH$7:$BH$1843,BH650,$BX$7:$BX$1843,"&lt;="&amp;BX650),"")</f>
        <v>28028.3281802943</v>
      </c>
      <c r="BJ650" s="70" t="n">
        <f aca="false">IF(BI650="",0,MAX(0,MIN(1,(IF(CG650="L1",Parameter!$H$5,IF(CG650="L23",Parameter!$H$6+Parameter!$H$7,Parameter!$H$5+Parameter!$H$6+Parameter!$H$7))-(BI650-BD650))/BD650)))</f>
        <v>1</v>
      </c>
      <c r="BK650" s="60" t="str">
        <f aca="false">IF(AJ650&lt;=0,"",IF(CG650="Aussen","Aussenlager",IF(CG650="-","Nicht im Lift",IF(AP650&gt;=1,"Lift",IF(AP650&lt;=0,"Aussenlager","teilweise")))))</f>
        <v>Lift</v>
      </c>
      <c r="BL650" s="60" t="str">
        <f aca="false">IF(AT650&lt;=0,"",IF(CG650="Aussen","Aussenlager",IF(CG650="-","Nicht im Lift",IF(AZ650&gt;=1,"Lift",IF(AZ650&lt;=0,"Aussenlager","teilweise")))))</f>
        <v>Lift</v>
      </c>
      <c r="BM650" s="60" t="str">
        <f aca="false">IF(BD650&lt;=0,"",IF(CG650="Aussen","Aussenlager",IF(CG650="-","Nicht im Lift",IF(BJ650&gt;=1,"Lift",IF(BJ650&lt;=0,"Aussenlager","teilweise")))))</f>
        <v>Lift</v>
      </c>
      <c r="BN650" s="60" t="str">
        <f aca="false">IF(A650="","",IF(BW650=1,"Neu; ","")&amp;IF(AND(BW650=0,BR650&lt;0),"negativer Bestand (Export "&amp;BR650&amp;"); ","")&amp;IF(J650&lt;=0,"Kein Verbrauch; ","")&amp;IF(CR650&gt;0,"Lift "&amp;W650&amp;" lt. Liftbericht (Fach "&amp;X650&amp;" Stk); ",IF(CB650=1,"Gebinde geschätzt ("&amp;T650&amp;"); ",IF(CA650=1,"Lose – Tablare geschätzt; ","")))&amp;IF(H650&gt;AW650,"Überbestand "&amp;ROUND(H650-AW650,0)&amp;" Stk / CHF "&amp;ROUND((H650-AW650)*G650,0)&amp;"; ","")&amp;IF(AND(CI650=1,CJ650&lt;CK650),"MAX &lt; MB+LG; ","")&amp;IF(AND(CQ650&gt;0,CP650*10&gt;CQ650),"zu hoch für Tablar; ","")&amp;IF(AND(BW650=0,OR(CI650=1,AB650&lt;&gt;"",U650&lt;&gt;"",V650&lt;&gt;"",AC650&lt;&gt;"")),"manuell übersteuert; ","")&amp;IF(AND(CA650=0,R650=0),"Gebinde unbekannt / Stellmass fehlt; ","")&amp;IF(AND(CA650=0,N(V650)&lt;=0,N(Q650)&lt;=0),"Menge pro Gebinde fehlt (Ist = 1 Gebinde); ","")&amp;BV650)</f>
        <v>Kein Verbrauch; Überbestand 469 Stk / CHF 9; Überbestand</v>
      </c>
      <c r="BO650" s="60"/>
      <c r="BP650" s="60"/>
      <c r="BQ650" s="67"/>
      <c r="BR650" s="62" t="n">
        <v>1</v>
      </c>
      <c r="BS650" s="62" t="n">
        <v>469</v>
      </c>
      <c r="BT650" s="61" t="n">
        <v>0.02</v>
      </c>
      <c r="BU650" s="62" t="n">
        <v>0</v>
      </c>
      <c r="BV650" s="60" t="s">
        <v>434</v>
      </c>
      <c r="BW650" s="65" t="n">
        <v>0</v>
      </c>
      <c r="BX650" s="65" t="n">
        <v>650</v>
      </c>
      <c r="BY650" s="60" t="str">
        <f aca="false">IF(U650&lt;&gt;"",UPPER(TRIM(U650)),IF(CB650=1,UPPER(VLOOKUP(T650,Parameter!$I$27:$K$29,2,0)),IF(P650="","LOSE",P650)))</f>
        <v>S22</v>
      </c>
      <c r="BZ650" s="62" t="n">
        <f aca="false">IF(BY650="LOSE",1,IF(N(V650)&gt;0,V650,IF(CB650=1,MAX(1,N(VLOOKUP(T650,Parameter!$I$27:$K$29,3,0)),H650,N(N650)),IF(N(Q650)&gt;0,Q650,MAX(1,H650)))))</f>
        <v>300</v>
      </c>
      <c r="CA650" s="65" t="n">
        <f aca="false">IF(BY650="LOSE",1,0)</f>
        <v>0</v>
      </c>
      <c r="CB650" s="65" t="n">
        <f aca="false">IF(AND(U650="",OR(P650="",P650="LOSE"),T650&lt;&gt;"",N(S650)&lt;=0,ISNUMBER(MATCH(T650,Parameter!$I$27:$I$29,0))),1,0)</f>
        <v>0</v>
      </c>
      <c r="CC650" s="65" t="n">
        <f aca="false">IF(CR650&gt;0,INDEX(Parameter!$H$5:$H$7,W650)/INDEX(Parameter!$E$5:$E$7,W650),IF(AND(CA650=0,N(IFERROR(VLOOKUP(BY650,'Gebinde-Kategorie'!$A$5:$N$45,14,0),0))&gt;0),VLOOKUP(BY650,'Gebinde-Kategorie'!$A$5:$N$45,14,0)*10+Parameter!$M$23,Parameter!$M$24))</f>
        <v>155</v>
      </c>
      <c r="CD650" s="60" t="str">
        <f aca="false">IF(AND(Parameter!$B$19="Ja",E650&lt;&gt;"",ISNUMBER(MATCH(E650,Parameter!$I$35:$I$52,0))),VLOOKUP(E650,Parameter!$I$35:$J$52,2,0),IFERROR(VLOOKUP(D650,Parameter!$A$35:$C$64,2,0),"Nein"))</f>
        <v>2+3</v>
      </c>
      <c r="CE650" s="64" t="n">
        <f aca="false">IF(CA650=0,0,IF(N(S650)&gt;0,S650,IFERROR(VLOOKUP(D650,Parameter!$A$35:$C$64,3,0)+0,0)))</f>
        <v>0</v>
      </c>
      <c r="CF650" s="60" t="n">
        <f aca="false">IF(AB650&lt;&gt;"",AB650,AA650)</f>
        <v>3</v>
      </c>
      <c r="CG650" s="60" t="str">
        <f aca="false">IF(OR(CF650=1,CF650=2,CF650=3),IF(Parameter!$E$27="Ja","LIFT",IF(CF650=1,"L1","L23")),IF(CF650="Aussen","Aussen","-"))</f>
        <v>LIFT</v>
      </c>
      <c r="CH650" s="71" t="n">
        <f aca="false">IF(N(AC650)&gt;0,AC650,0)</f>
        <v>0</v>
      </c>
      <c r="CI650" s="65" t="n">
        <f aca="false">IF(ISNUMBER(AF650),1,0)</f>
        <v>0</v>
      </c>
      <c r="CJ650" s="62" t="n">
        <f aca="false">N(AF650)</f>
        <v>0</v>
      </c>
      <c r="CK650" s="62" t="n">
        <f aca="false">N(M650)+N(N650)</f>
        <v>1</v>
      </c>
      <c r="CL650" s="62" t="n">
        <f aca="false">N(M650)</f>
        <v>0</v>
      </c>
      <c r="CM650" s="62" t="n">
        <f aca="false">N(N650)</f>
        <v>1</v>
      </c>
      <c r="CN650" s="62" t="n">
        <f aca="false">ROUNDUP(H650/BZ650,0)</f>
        <v>2</v>
      </c>
      <c r="CO650" s="62" t="n">
        <f aca="false">ROUNDUP(CJ650/BZ650,0)</f>
        <v>0</v>
      </c>
      <c r="CP650" s="65" t="n">
        <f aca="false">IF(CA650=1,0,IFERROR(VLOOKUP(BY650,'Gebinde-Kategorie'!$A$5:$N$45,5,0)+0,0))</f>
        <v>8</v>
      </c>
      <c r="CQ650" s="65" t="n">
        <f aca="false">IFERROR(IF(OR(CF650=1,CF650=2,CF650=3),N(INDEX(Parameter!$I$5:$I$7,CF650)),0),0)</f>
        <v>0</v>
      </c>
      <c r="CR650" s="64" t="n">
        <f aca="false">IF(AND(Parameter!$B$21="Ja",ISNUMBER(W650),N(X650)&gt;0),IFERROR(N(INDEX(Parameter!$L$5:$L$7,W650))*INDEX(Parameter!$E$5:$E$7,W650)*X650/SUMIFS($X$7:$X$1843,$W$7:$W$1843,W650),0),0)</f>
        <v>0</v>
      </c>
      <c r="CS650" s="62" t="n">
        <f aca="false">IF(AND(OR(CG650="L1",CG650="L23",CG650="LIFT"),H650&gt;0),CC650*IF(CR650&gt;0,CR650*MAX(1,H650/X650),IF(CA650=1,CE650,IF(R650&gt;0,CN650/R650,0))/MAX(0.1,N(Parameter!$M$21))),"")</f>
        <v>2.21428571428571</v>
      </c>
      <c r="CT650" s="64" t="n">
        <f aca="false">IF(CS650="","",J650/H650)</f>
        <v>0</v>
      </c>
      <c r="CU650" s="62" t="n">
        <f aca="false">IF(CS650="","",H650*G650)</f>
        <v>9.4</v>
      </c>
      <c r="CV650" s="63" t="n">
        <f aca="false">IF(CS650="","",(CL650+ROUNDUP(CL650+MAX(CM650,2*(J650/MAX(0.1,N(Einkauf!$C$6))-CL650)),0))/2)</f>
        <v>0.5</v>
      </c>
      <c r="CW650" s="62" t="n">
        <f aca="false">IF(CS650="","",MAX(0,H650-CV650)*G650)</f>
        <v>9.39</v>
      </c>
      <c r="CX650" s="62" t="n">
        <f aca="false">IF(CS650="","",CS650*MAX(0,1-CV650/H650))</f>
        <v>2.21193009118541</v>
      </c>
      <c r="CY650" s="64" t="n">
        <f aca="false">IF(CS650="","",PERCENTRANK($CS$7:$CS$1843,CS650)+PERCENTRANK($CU$7:$CU$1843,CU650)+1-PERCENTRANK($CT$7:$CT$1843,CT650))</f>
        <v>1.2407</v>
      </c>
      <c r="CZ650" s="72" t="n">
        <f aca="false">IF(CS650="","",CHOOSE(MATCH(Einkauf!$C$5,Parameter!$G$23:$G$27,0),CY650,CS650,CU650,-CT650,CW650)+ROW()/1000000000)</f>
        <v>1.24070065</v>
      </c>
    </row>
    <row r="651" customFormat="false" ht="15" hidden="false" customHeight="false" outlineLevel="0" collapsed="false">
      <c r="A651" s="60" t="s">
        <v>1360</v>
      </c>
      <c r="B651" s="60" t="s">
        <v>991</v>
      </c>
      <c r="C651" s="60" t="s">
        <v>206</v>
      </c>
      <c r="D651" s="60" t="s">
        <v>226</v>
      </c>
      <c r="E651" s="60" t="s">
        <v>227</v>
      </c>
      <c r="F651" s="60" t="s">
        <v>260</v>
      </c>
      <c r="G651" s="61" t="n">
        <v>0.01</v>
      </c>
      <c r="H651" s="62" t="n">
        <f aca="false">MAX(0,IF(AND(Parameter!$B$21="Ja",ISNUMBER(Y651)),Y651,IF(Parameter!$B$20="Jahresanfang 2025 + Export",BS651+BR651,BR651)))</f>
        <v>179</v>
      </c>
      <c r="I651" s="62" t="n">
        <f aca="false">H651*G651</f>
        <v>1.79</v>
      </c>
      <c r="J651" s="62" t="n">
        <f aca="false">BU651*Parameter!$B$18</f>
        <v>0</v>
      </c>
      <c r="K651" s="63" t="n">
        <v>178.5</v>
      </c>
      <c r="L651" s="64" t="n">
        <v>0</v>
      </c>
      <c r="M651" s="62" t="n">
        <v>0</v>
      </c>
      <c r="N651" s="62" t="n">
        <v>1</v>
      </c>
      <c r="O651" s="65" t="n">
        <v>14</v>
      </c>
      <c r="P651" s="60" t="s">
        <v>443</v>
      </c>
      <c r="Q651" s="62" t="n">
        <v>180</v>
      </c>
      <c r="R651" s="65" t="n">
        <f aca="false">IF(CA651=1,0,IFERROR(VLOOKUP(BY651,'Gebinde-Kategorie'!$A$5:$N$45,13,0)+0,0))</f>
        <v>280</v>
      </c>
      <c r="S651" s="66"/>
      <c r="T651" s="67"/>
      <c r="U651" s="67"/>
      <c r="V651" s="67"/>
      <c r="W651" s="60"/>
      <c r="X651" s="62"/>
      <c r="Y651" s="62"/>
      <c r="Z651" s="60" t="n">
        <v>2</v>
      </c>
      <c r="AA651" s="60" t="n">
        <f aca="false">IF(A651="","",IF(AND(Parameter!$B$21="Ja",ISNUMBER(W651)),W651,IF(AND(Parameter!$E$27="Ja",ISNUMBER(Z651),CD651&lt;&gt;"Nein"),Z651,IF(CD651="2+3",IF(ISNUMBER(SEARCH("grosser Artikel",BV651)),2,IFERROR(VLOOKUP(BY651,Parameter!$F$35:$G$64,2,0),2)),IF(OR(CD651="Nein",CD651=""),"-",CD651)))))</f>
        <v>2</v>
      </c>
      <c r="AB651" s="67"/>
      <c r="AC651" s="68"/>
      <c r="AD651" s="62" t="n">
        <f aca="false">AW651</f>
        <v>1</v>
      </c>
      <c r="AE651" s="62" t="n">
        <f aca="false">MAX(AW651,H651)</f>
        <v>179</v>
      </c>
      <c r="AF651" s="69"/>
      <c r="AG651" s="62" t="n">
        <f aca="false">IF(LEFT(Cockpit!$C$5,1)="A",H651,IF(Parameter!$E$30="MAX-Bestand",IF(CI651=1,CJ651,IF(LEFT(Cockpit!$C$5,1)="B",AM651,MAX(AM651,H651))),ROUNDUP(AK651,0)))</f>
        <v>179</v>
      </c>
      <c r="AH651" s="62" t="n">
        <f aca="false">IF(CA651=1,0,ROUNDUP(AG651/BZ651,0))</f>
        <v>1</v>
      </c>
      <c r="AI651" s="64" t="n">
        <f aca="false">IF(CR651&gt;0,CR651*MAX(1,AG651/X651),IF(CA651=1,IF(AG651&lt;=0,0,CE651*MAX(1,IF(H651&gt;0,AG651/H651,1))),IF(R651&gt;0,AH651/R651,0))/MAX(0.1,N(Parameter!$M$21)))</f>
        <v>0.00357142857142857</v>
      </c>
      <c r="AJ651" s="62" t="n">
        <f aca="false">AI651*CC651</f>
        <v>0.553571428571429</v>
      </c>
      <c r="AK651" s="63" t="n">
        <f aca="false">IF(LEFT(Cockpit!$C$5,1)="A",H651,IF(CI651=1,(CL651+CJ651)/2,IF(LEFT(Cockpit!$C$5,1)="B",(CL651+AM651)/2,MAX((CL651+AM651)/2,H651))))</f>
        <v>179</v>
      </c>
      <c r="AL651" s="62" t="n">
        <f aca="false">AK651*G651</f>
        <v>1.79</v>
      </c>
      <c r="AM651" s="62" t="n">
        <f aca="false">ROUNDUP(CL651+MAX(CM651,2*(J651/IF(CH651&gt;0,CH651,MAX(0.1,N(Cockpit!$C$6)))-CL651)),0)</f>
        <v>1</v>
      </c>
      <c r="AN651" s="63" t="n">
        <f aca="false">IF(AJ651&gt;0,J651/AJ651,-1)</f>
        <v>0</v>
      </c>
      <c r="AO651" s="63" t="n">
        <f aca="false">IF(AND(OR(CG651="L1",CG651="L23",CG651="LIFT"),AJ651&gt;0),SUMIFS($AJ$7:$AJ$1843,$CG$7:$CG$1843,CG651,$AN$7:$AN$1843,"&gt;"&amp;AN651)+SUMIFS($AJ$7:$AJ$1843,$CG$7:$CG$1843,CG651,$AN$7:$AN$1843,AN651,$BX$7:$BX$1843,"&lt;="&amp;BX651),"")</f>
        <v>28611.6041058753</v>
      </c>
      <c r="AP651" s="70" t="n">
        <f aca="false">IF(AO651="",0,MAX(0,MIN(1,(IF(CG651="L1",Parameter!$H$5,IF(CG651="L23",Parameter!$H$6+Parameter!$H$7,Parameter!$H$5+Parameter!$H$6+Parameter!$H$7))-(AO651-AJ651))/AJ651)))</f>
        <v>1</v>
      </c>
      <c r="AQ651" s="62" t="n">
        <f aca="false">IF(LEFT(Cockpit!$I$5,1)="A",H651,IF(Parameter!$E$30="MAX-Bestand",IF(CI651=1,CJ651,IF(LEFT(Cockpit!$I$5,1)="B",AW651,MAX(AW651,H651))),ROUNDUP(AU651,0)))</f>
        <v>179</v>
      </c>
      <c r="AR651" s="62" t="n">
        <f aca="false">IF(CA651=1,0,ROUNDUP(AQ651/BZ651,0))</f>
        <v>1</v>
      </c>
      <c r="AS651" s="64" t="n">
        <f aca="false">IF(CR651&gt;0,CR651*MAX(1,AQ651/X651),IF(CA651=1,IF(AQ651&lt;=0,0,CE651*MAX(1,IF(H651&gt;0,AQ651/H651,1))),IF(R651&gt;0,AR651/R651,0))/MAX(0.1,N(Parameter!$M$21)))</f>
        <v>0.00357142857142857</v>
      </c>
      <c r="AT651" s="62" t="n">
        <f aca="false">AS651*CC651</f>
        <v>0.553571428571429</v>
      </c>
      <c r="AU651" s="63" t="n">
        <f aca="false">IF(LEFT(Cockpit!$I$5,1)="A",H651,IF(CI651=1,(CL651+CJ651)/2,IF(LEFT(Cockpit!$I$5,1)="B",(CL651+AW651)/2,MAX((CL651+AW651)/2,H651))))</f>
        <v>179</v>
      </c>
      <c r="AV651" s="62" t="n">
        <f aca="false">AU651*G651</f>
        <v>1.79</v>
      </c>
      <c r="AW651" s="62" t="n">
        <f aca="false">ROUNDUP(CL651+MAX(CM651,2*(J651/IF(CH651&gt;0,CH651,MAX(0.1,N(Cockpit!$I$6)))-CL651)),0)</f>
        <v>1</v>
      </c>
      <c r="AX651" s="63" t="n">
        <f aca="false">IF(AT651&gt;0,J651/AT651,-1)</f>
        <v>0</v>
      </c>
      <c r="AY651" s="63" t="n">
        <f aca="false">IF(AND(OR(CG651="L1",CG651="L23",CG651="LIFT"),AT651&gt;0),SUMIFS($AT$7:$AT$1843,$CG$7:$CG$1843,CG651,$AX$7:$AX$1843,"&gt;"&amp;AX651)+SUMIFS($AT$7:$AT$1843,$CG$7:$CG$1843,CG651,$AX$7:$AX$1843,AX651,$BX$7:$BX$1843,"&lt;="&amp;BX651),"")</f>
        <v>33964.7527472527</v>
      </c>
      <c r="AZ651" s="70" t="n">
        <f aca="false">IF(AY651="",0,MAX(0,MIN(1,(IF(CG651="L1",Parameter!$H$5,IF(CG651="L23",Parameter!$H$6+Parameter!$H$7,Parameter!$H$5+Parameter!$H$6+Parameter!$H$7))-(AY651-AT651))/AT651)))</f>
        <v>1</v>
      </c>
      <c r="BA651" s="62" t="n">
        <f aca="false">IF(LEFT(Cockpit!$O$5,1)="A",H651,IF(Parameter!$E$30="MAX-Bestand",IF(CI651=1,CJ651,IF(LEFT(Cockpit!$O$5,1)="B",BG651,MAX(BG651,H651))),ROUNDUP(BE651,0)))</f>
        <v>1</v>
      </c>
      <c r="BB651" s="62" t="n">
        <f aca="false">IF(CA651=1,0,ROUNDUP(BA651/BZ651,0))</f>
        <v>1</v>
      </c>
      <c r="BC651" s="64" t="n">
        <f aca="false">IF(CR651&gt;0,CR651*MAX(1,BA651/X651),IF(CA651=1,IF(BA651&lt;=0,0,CE651*MAX(1,IF(H651&gt;0,BA651/H651,1))),IF(R651&gt;0,BB651/R651,0))/MAX(0.1,N(Parameter!$M$21)))</f>
        <v>0.00357142857142857</v>
      </c>
      <c r="BD651" s="62" t="n">
        <f aca="false">BC651*CC651</f>
        <v>0.553571428571429</v>
      </c>
      <c r="BE651" s="63" t="n">
        <f aca="false">IF(LEFT(Cockpit!$O$5,1)="A",H651,IF(CI651=1,(CL651+CJ651)/2,IF(LEFT(Cockpit!$O$5,1)="B",(CL651+BG651)/2,MAX((CL651+BG651)/2,H651))))</f>
        <v>0.5</v>
      </c>
      <c r="BF651" s="62" t="n">
        <f aca="false">BE651*G651</f>
        <v>0.005</v>
      </c>
      <c r="BG651" s="62" t="n">
        <f aca="false">ROUNDUP(CL651+MAX(CM651,2*(J651/IF(CH651&gt;0,CH651,MAX(0.1,N(Cockpit!$O$6)))-CL651)),0)</f>
        <v>1</v>
      </c>
      <c r="BH651" s="63" t="n">
        <f aca="false">IF(BD651&gt;0,J651/BD651,-1)</f>
        <v>0</v>
      </c>
      <c r="BI651" s="63" t="n">
        <f aca="false">IF(AND(OR(CG651="L1",CG651="L23",CG651="LIFT"),BD651&gt;0),SUMIFS($BD$7:$BD$1843,$CG$7:$CG$1843,CG651,$BH$7:$BH$1843,"&gt;"&amp;BH651)+SUMIFS($BD$7:$BD$1843,$CG$7:$CG$1843,CG651,$BH$7:$BH$1843,BH651,$BX$7:$BX$1843,"&lt;="&amp;BX651),"")</f>
        <v>28028.8817517229</v>
      </c>
      <c r="BJ651" s="70" t="n">
        <f aca="false">IF(BI651="",0,MAX(0,MIN(1,(IF(CG651="L1",Parameter!$H$5,IF(CG651="L23",Parameter!$H$6+Parameter!$H$7,Parameter!$H$5+Parameter!$H$6+Parameter!$H$7))-(BI651-BD651))/BD651)))</f>
        <v>1</v>
      </c>
      <c r="BK651" s="60" t="str">
        <f aca="false">IF(AJ651&lt;=0,"",IF(CG651="Aussen","Aussenlager",IF(CG651="-","Nicht im Lift",IF(AP651&gt;=1,"Lift",IF(AP651&lt;=0,"Aussenlager","teilweise")))))</f>
        <v>Lift</v>
      </c>
      <c r="BL651" s="60" t="str">
        <f aca="false">IF(AT651&lt;=0,"",IF(CG651="Aussen","Aussenlager",IF(CG651="-","Nicht im Lift",IF(AZ651&gt;=1,"Lift",IF(AZ651&lt;=0,"Aussenlager","teilweise")))))</f>
        <v>Lift</v>
      </c>
      <c r="BM651" s="60" t="str">
        <f aca="false">IF(BD651&lt;=0,"",IF(CG651="Aussen","Aussenlager",IF(CG651="-","Nicht im Lift",IF(BJ651&gt;=1,"Lift",IF(BJ651&lt;=0,"Aussenlager","teilweise")))))</f>
        <v>Lift</v>
      </c>
      <c r="BN651" s="60" t="str">
        <f aca="false">IF(A651="","",IF(BW651=1,"Neu; ","")&amp;IF(AND(BW651=0,BR651&lt;0),"negativer Bestand (Export "&amp;BR651&amp;"); ","")&amp;IF(J651&lt;=0,"Kein Verbrauch; ","")&amp;IF(CR651&gt;0,"Lift "&amp;W651&amp;" lt. Liftbericht (Fach "&amp;X651&amp;" Stk); ",IF(CB651=1,"Gebinde geschätzt ("&amp;T651&amp;"); ",IF(CA651=1,"Lose – Tablare geschätzt; ","")))&amp;IF(H651&gt;AW651,"Überbestand "&amp;ROUND(H651-AW651,0)&amp;" Stk / CHF "&amp;ROUND((H651-AW651)*G651,0)&amp;"; ","")&amp;IF(AND(CI651=1,CJ651&lt;CK651),"MAX &lt; MB+LG; ","")&amp;IF(AND(CQ651&gt;0,CP651*10&gt;CQ651),"zu hoch für Tablar; ","")&amp;IF(AND(BW651=0,OR(CI651=1,AB651&lt;&gt;"",U651&lt;&gt;"",V651&lt;&gt;"",AC651&lt;&gt;"")),"manuell übersteuert; ","")&amp;IF(AND(CA651=0,R651=0),"Gebinde unbekannt / Stellmass fehlt; ","")&amp;IF(AND(CA651=0,N(V651)&lt;=0,N(Q651)&lt;=0),"Menge pro Gebinde fehlt (Ist = 1 Gebinde); ","")&amp;BV651)</f>
        <v>Kein Verbrauch; Überbestand 178 Stk / CHF 2; Überbestand</v>
      </c>
      <c r="BO651" s="60"/>
      <c r="BP651" s="60"/>
      <c r="BQ651" s="67"/>
      <c r="BR651" s="62" t="n">
        <v>1</v>
      </c>
      <c r="BS651" s="62" t="n">
        <v>178</v>
      </c>
      <c r="BT651" s="61" t="n">
        <v>0.01</v>
      </c>
      <c r="BU651" s="62" t="n">
        <v>0</v>
      </c>
      <c r="BV651" s="60" t="s">
        <v>434</v>
      </c>
      <c r="BW651" s="65" t="n">
        <v>0</v>
      </c>
      <c r="BX651" s="65" t="n">
        <v>651</v>
      </c>
      <c r="BY651" s="60" t="str">
        <f aca="false">IF(U651&lt;&gt;"",UPPER(TRIM(U651)),IF(CB651=1,UPPER(VLOOKUP(T651,Parameter!$I$27:$K$29,2,0)),IF(P651="","LOSE",P651)))</f>
        <v>S21</v>
      </c>
      <c r="BZ651" s="62" t="n">
        <f aca="false">IF(BY651="LOSE",1,IF(N(V651)&gt;0,V651,IF(CB651=1,MAX(1,N(VLOOKUP(T651,Parameter!$I$27:$K$29,3,0)),H651,N(N651)),IF(N(Q651)&gt;0,Q651,MAX(1,H651)))))</f>
        <v>180</v>
      </c>
      <c r="CA651" s="65" t="n">
        <f aca="false">IF(BY651="LOSE",1,0)</f>
        <v>0</v>
      </c>
      <c r="CB651" s="65" t="n">
        <f aca="false">IF(AND(U651="",OR(P651="",P651="LOSE"),T651&lt;&gt;"",N(S651)&lt;=0,ISNUMBER(MATCH(T651,Parameter!$I$27:$I$29,0))),1,0)</f>
        <v>0</v>
      </c>
      <c r="CC651" s="65" t="n">
        <f aca="false">IF(CR651&gt;0,INDEX(Parameter!$H$5:$H$7,W651)/INDEX(Parameter!$E$5:$E$7,W651),IF(AND(CA651=0,N(IFERROR(VLOOKUP(BY651,'Gebinde-Kategorie'!$A$5:$N$45,14,0),0))&gt;0),VLOOKUP(BY651,'Gebinde-Kategorie'!$A$5:$N$45,14,0)*10+Parameter!$M$23,Parameter!$M$24))</f>
        <v>155</v>
      </c>
      <c r="CD651" s="60" t="str">
        <f aca="false">IF(AND(Parameter!$B$19="Ja",E651&lt;&gt;"",ISNUMBER(MATCH(E651,Parameter!$I$35:$I$52,0))),VLOOKUP(E651,Parameter!$I$35:$J$52,2,0),IFERROR(VLOOKUP(D651,Parameter!$A$35:$C$64,2,0),"Nein"))</f>
        <v>2+3</v>
      </c>
      <c r="CE651" s="64" t="n">
        <f aca="false">IF(CA651=0,0,IF(N(S651)&gt;0,S651,IFERROR(VLOOKUP(D651,Parameter!$A$35:$C$64,3,0)+0,0)))</f>
        <v>0</v>
      </c>
      <c r="CF651" s="60" t="n">
        <f aca="false">IF(AB651&lt;&gt;"",AB651,AA651)</f>
        <v>2</v>
      </c>
      <c r="CG651" s="60" t="str">
        <f aca="false">IF(OR(CF651=1,CF651=2,CF651=3),IF(Parameter!$E$27="Ja","LIFT",IF(CF651=1,"L1","L23")),IF(CF651="Aussen","Aussen","-"))</f>
        <v>LIFT</v>
      </c>
      <c r="CH651" s="71" t="n">
        <f aca="false">IF(N(AC651)&gt;0,AC651,0)</f>
        <v>0</v>
      </c>
      <c r="CI651" s="65" t="n">
        <f aca="false">IF(ISNUMBER(AF651),1,0)</f>
        <v>0</v>
      </c>
      <c r="CJ651" s="62" t="n">
        <f aca="false">N(AF651)</f>
        <v>0</v>
      </c>
      <c r="CK651" s="62" t="n">
        <f aca="false">N(M651)+N(N651)</f>
        <v>1</v>
      </c>
      <c r="CL651" s="62" t="n">
        <f aca="false">N(M651)</f>
        <v>0</v>
      </c>
      <c r="CM651" s="62" t="n">
        <f aca="false">N(N651)</f>
        <v>1</v>
      </c>
      <c r="CN651" s="62" t="n">
        <f aca="false">ROUNDUP(H651/BZ651,0)</f>
        <v>1</v>
      </c>
      <c r="CO651" s="62" t="n">
        <f aca="false">ROUNDUP(CJ651/BZ651,0)</f>
        <v>0</v>
      </c>
      <c r="CP651" s="65" t="n">
        <f aca="false">IF(CA651=1,0,IFERROR(VLOOKUP(BY651,'Gebinde-Kategorie'!$A$5:$N$45,5,0)+0,0))</f>
        <v>8</v>
      </c>
      <c r="CQ651" s="65" t="n">
        <f aca="false">IFERROR(IF(OR(CF651=1,CF651=2,CF651=3),N(INDEX(Parameter!$I$5:$I$7,CF651)),0),0)</f>
        <v>0</v>
      </c>
      <c r="CR651" s="64" t="n">
        <f aca="false">IF(AND(Parameter!$B$21="Ja",ISNUMBER(W651),N(X651)&gt;0),IFERROR(N(INDEX(Parameter!$L$5:$L$7,W651))*INDEX(Parameter!$E$5:$E$7,W651)*X651/SUMIFS($X$7:$X$1843,$W$7:$W$1843,W651),0),0)</f>
        <v>0</v>
      </c>
      <c r="CS651" s="62" t="n">
        <f aca="false">IF(AND(OR(CG651="L1",CG651="L23",CG651="LIFT"),H651&gt;0),CC651*IF(CR651&gt;0,CR651*MAX(1,H651/X651),IF(CA651=1,CE651,IF(R651&gt;0,CN651/R651,0))/MAX(0.1,N(Parameter!$M$21))),"")</f>
        <v>0.553571428571429</v>
      </c>
      <c r="CT651" s="64" t="n">
        <f aca="false">IF(CS651="","",J651/H651)</f>
        <v>0</v>
      </c>
      <c r="CU651" s="62" t="n">
        <f aca="false">IF(CS651="","",H651*G651)</f>
        <v>1.79</v>
      </c>
      <c r="CV651" s="63" t="n">
        <f aca="false">IF(CS651="","",(CL651+ROUNDUP(CL651+MAX(CM651,2*(J651/MAX(0.1,N(Einkauf!$C$6))-CL651)),0))/2)</f>
        <v>0.5</v>
      </c>
      <c r="CW651" s="62" t="n">
        <f aca="false">IF(CS651="","",MAX(0,H651-CV651)*G651)</f>
        <v>1.785</v>
      </c>
      <c r="CX651" s="62" t="n">
        <f aca="false">IF(CS651="","",CS651*MAX(0,1-CV651/H651))</f>
        <v>0.552025139664805</v>
      </c>
      <c r="CY651" s="64" t="n">
        <f aca="false">IF(CS651="","",PERCENTRANK($CS$7:$CS$1843,CS651)+PERCENTRANK($CU$7:$CU$1843,CU651)+1-PERCENTRANK($CT$7:$CT$1843,CT651))</f>
        <v>1.0123</v>
      </c>
      <c r="CZ651" s="72" t="n">
        <f aca="false">IF(CS651="","",CHOOSE(MATCH(Einkauf!$C$5,Parameter!$G$23:$G$27,0),CY651,CS651,CU651,-CT651,CW651)+ROW()/1000000000)</f>
        <v>1.012300651</v>
      </c>
    </row>
    <row r="652" customFormat="false" ht="15" hidden="false" customHeight="false" outlineLevel="0" collapsed="false">
      <c r="A652" s="60" t="s">
        <v>1361</v>
      </c>
      <c r="B652" s="60" t="s">
        <v>279</v>
      </c>
      <c r="C652" s="60" t="s">
        <v>206</v>
      </c>
      <c r="D652" s="60" t="s">
        <v>215</v>
      </c>
      <c r="E652" s="60"/>
      <c r="F652" s="60" t="s">
        <v>260</v>
      </c>
      <c r="G652" s="61" t="n">
        <v>162.29</v>
      </c>
      <c r="H652" s="62" t="n">
        <f aca="false">MAX(0,IF(AND(Parameter!$B$21="Ja",ISNUMBER(Y652)),Y652,IF(Parameter!$B$20="Jahresanfang 2025 + Export",BS652+BR652,BR652)))</f>
        <v>0</v>
      </c>
      <c r="I652" s="62" t="n">
        <f aca="false">H652*G652</f>
        <v>0</v>
      </c>
      <c r="J652" s="62" t="n">
        <f aca="false">BU652*Parameter!$B$18</f>
        <v>14</v>
      </c>
      <c r="K652" s="63" t="n">
        <v>1</v>
      </c>
      <c r="L652" s="64" t="n">
        <v>14</v>
      </c>
      <c r="M652" s="62" t="n">
        <v>0</v>
      </c>
      <c r="N652" s="62" t="n">
        <v>15</v>
      </c>
      <c r="O652" s="65" t="n">
        <v>14</v>
      </c>
      <c r="P652" s="60" t="s">
        <v>210</v>
      </c>
      <c r="Q652" s="62"/>
      <c r="R652" s="65" t="n">
        <f aca="false">IF(CA652=1,0,IFERROR(VLOOKUP(BY652,'Gebinde-Kategorie'!$A$5:$N$45,13,0)+0,0))</f>
        <v>12</v>
      </c>
      <c r="S652" s="66"/>
      <c r="T652" s="67" t="s">
        <v>221</v>
      </c>
      <c r="U652" s="67"/>
      <c r="V652" s="67"/>
      <c r="W652" s="60"/>
      <c r="X652" s="62"/>
      <c r="Y652" s="62"/>
      <c r="Z652" s="60" t="n">
        <v>3</v>
      </c>
      <c r="AA652" s="60" t="n">
        <f aca="false">IF(A652="","",IF(AND(Parameter!$B$21="Ja",ISNUMBER(W652)),W652,IF(AND(Parameter!$E$27="Ja",ISNUMBER(Z652),CD652&lt;&gt;"Nein"),Z652,IF(CD652="2+3",IF(ISNUMBER(SEARCH("grosser Artikel",BV652)),2,IFERROR(VLOOKUP(BY652,Parameter!$F$35:$G$64,2,0),2)),IF(OR(CD652="Nein",CD652=""),"-",CD652)))))</f>
        <v>3</v>
      </c>
      <c r="AB652" s="67"/>
      <c r="AC652" s="68"/>
      <c r="AD652" s="62" t="n">
        <f aca="false">AW652</f>
        <v>15</v>
      </c>
      <c r="AE652" s="62" t="n">
        <f aca="false">MAX(AW652,H652)</f>
        <v>15</v>
      </c>
      <c r="AF652" s="69"/>
      <c r="AG652" s="62" t="n">
        <f aca="false">IF(LEFT(Cockpit!$C$5,1)="A",H652,IF(Parameter!$E$30="MAX-Bestand",IF(CI652=1,CJ652,IF(LEFT(Cockpit!$C$5,1)="B",AM652,MAX(AM652,H652))),ROUNDUP(AK652,0)))</f>
        <v>0</v>
      </c>
      <c r="AH652" s="62" t="n">
        <f aca="false">IF(CA652=1,0,ROUNDUP(AG652/BZ652,0))</f>
        <v>0</v>
      </c>
      <c r="AI652" s="64" t="n">
        <f aca="false">IF(CR652&gt;0,CR652*MAX(1,AG652/X652),IF(CA652=1,IF(AG652&lt;=0,0,CE652*MAX(1,IF(H652&gt;0,AG652/H652,1))),IF(R652&gt;0,AH652/R652,0))/MAX(0.1,N(Parameter!$M$21)))</f>
        <v>0</v>
      </c>
      <c r="AJ652" s="62" t="n">
        <f aca="false">AI652*CC652</f>
        <v>0</v>
      </c>
      <c r="AK652" s="63" t="n">
        <f aca="false">IF(LEFT(Cockpit!$C$5,1)="A",H652,IF(CI652=1,(CL652+CJ652)/2,IF(LEFT(Cockpit!$C$5,1)="B",(CL652+AM652)/2,MAX((CL652+AM652)/2,H652))))</f>
        <v>0</v>
      </c>
      <c r="AL652" s="62" t="n">
        <f aca="false">AK652*G652</f>
        <v>0</v>
      </c>
      <c r="AM652" s="62" t="n">
        <f aca="false">ROUNDUP(CL652+MAX(CM652,2*(J652/IF(CH652&gt;0,CH652,MAX(0.1,N(Cockpit!$C$6)))-CL652)),0)</f>
        <v>15</v>
      </c>
      <c r="AN652" s="63" t="n">
        <f aca="false">IF(AJ652&gt;0,J652/AJ652,-1)</f>
        <v>-1</v>
      </c>
      <c r="AO652" s="63" t="str">
        <f aca="false">IF(AND(OR(CG652="L1",CG652="L23",CG652="LIFT"),AJ652&gt;0),SUMIFS($AJ$7:$AJ$1843,$CG$7:$CG$1843,CG652,$AN$7:$AN$1843,"&gt;"&amp;AN652)+SUMIFS($AJ$7:$AJ$1843,$CG$7:$CG$1843,CG652,$AN$7:$AN$1843,AN652,$BX$7:$BX$1843,"&lt;="&amp;BX652),"")</f>
        <v/>
      </c>
      <c r="AP652" s="70" t="n">
        <f aca="false">IF(AO652="",0,MAX(0,MIN(1,(IF(CG652="L1",Parameter!$H$5,IF(CG652="L23",Parameter!$H$6+Parameter!$H$7,Parameter!$H$5+Parameter!$H$6+Parameter!$H$7))-(AO652-AJ652))/AJ652)))</f>
        <v>0</v>
      </c>
      <c r="AQ652" s="62" t="n">
        <f aca="false">IF(LEFT(Cockpit!$I$5,1)="A",H652,IF(Parameter!$E$30="MAX-Bestand",IF(CI652=1,CJ652,IF(LEFT(Cockpit!$I$5,1)="B",AW652,MAX(AW652,H652))),ROUNDUP(AU652,0)))</f>
        <v>8</v>
      </c>
      <c r="AR652" s="62" t="n">
        <f aca="false">IF(CA652=1,0,ROUNDUP(AQ652/BZ652,0))</f>
        <v>1</v>
      </c>
      <c r="AS652" s="64" t="n">
        <f aca="false">IF(CR652&gt;0,CR652*MAX(1,AQ652/X652),IF(CA652=1,IF(AQ652&lt;=0,0,CE652*MAX(1,IF(H652&gt;0,AQ652/H652,1))),IF(R652&gt;0,AR652/R652,0))/MAX(0.1,N(Parameter!$M$21)))</f>
        <v>0.0833333333333333</v>
      </c>
      <c r="AT652" s="62" t="n">
        <f aca="false">AS652*CC652</f>
        <v>12.0833333333333</v>
      </c>
      <c r="AU652" s="63" t="n">
        <f aca="false">IF(LEFT(Cockpit!$I$5,1)="A",H652,IF(CI652=1,(CL652+CJ652)/2,IF(LEFT(Cockpit!$I$5,1)="B",(CL652+AW652)/2,MAX((CL652+AW652)/2,H652))))</f>
        <v>7.5</v>
      </c>
      <c r="AV652" s="62" t="n">
        <f aca="false">AU652*G652</f>
        <v>1217.175</v>
      </c>
      <c r="AW652" s="62" t="n">
        <f aca="false">ROUNDUP(CL652+MAX(CM652,2*(J652/IF(CH652&gt;0,CH652,MAX(0.1,N(Cockpit!$I$6)))-CL652)),0)</f>
        <v>15</v>
      </c>
      <c r="AX652" s="63" t="n">
        <f aca="false">IF(AT652&gt;0,J652/AT652,-1)</f>
        <v>1.15862068965517</v>
      </c>
      <c r="AY652" s="63" t="n">
        <f aca="false">IF(AND(OR(CG652="L1",CG652="L23",CG652="LIFT"),AT652&gt;0),SUMIFS($AT$7:$AT$1843,$CG$7:$CG$1843,CG652,$AX$7:$AX$1843,"&gt;"&amp;AX652)+SUMIFS($AT$7:$AT$1843,$CG$7:$CG$1843,CG652,$AX$7:$AX$1843,AX652,$BX$7:$BX$1843,"&lt;="&amp;BX652),"")</f>
        <v>8161.10073260073</v>
      </c>
      <c r="AZ652" s="70" t="n">
        <f aca="false">IF(AY652="",0,MAX(0,MIN(1,(IF(CG652="L1",Parameter!$H$5,IF(CG652="L23",Parameter!$H$6+Parameter!$H$7,Parameter!$H$5+Parameter!$H$6+Parameter!$H$7))-(AY652-AT652))/AT652)))</f>
        <v>1</v>
      </c>
      <c r="BA652" s="62" t="n">
        <f aca="false">IF(LEFT(Cockpit!$O$5,1)="A",H652,IF(Parameter!$E$30="MAX-Bestand",IF(CI652=1,CJ652,IF(LEFT(Cockpit!$O$5,1)="B",BG652,MAX(BG652,H652))),ROUNDUP(BE652,0)))</f>
        <v>8</v>
      </c>
      <c r="BB652" s="62" t="n">
        <f aca="false">IF(CA652=1,0,ROUNDUP(BA652/BZ652,0))</f>
        <v>1</v>
      </c>
      <c r="BC652" s="64" t="n">
        <f aca="false">IF(CR652&gt;0,CR652*MAX(1,BA652/X652),IF(CA652=1,IF(BA652&lt;=0,0,CE652*MAX(1,IF(H652&gt;0,BA652/H652,1))),IF(R652&gt;0,BB652/R652,0))/MAX(0.1,N(Parameter!$M$21)))</f>
        <v>0.0833333333333333</v>
      </c>
      <c r="BD652" s="62" t="n">
        <f aca="false">BC652*CC652</f>
        <v>12.0833333333333</v>
      </c>
      <c r="BE652" s="63" t="n">
        <f aca="false">IF(LEFT(Cockpit!$O$5,1)="A",H652,IF(CI652=1,(CL652+CJ652)/2,IF(LEFT(Cockpit!$O$5,1)="B",(CL652+BG652)/2,MAX((CL652+BG652)/2,H652))))</f>
        <v>7.5</v>
      </c>
      <c r="BF652" s="62" t="n">
        <f aca="false">BE652*G652</f>
        <v>1217.175</v>
      </c>
      <c r="BG652" s="62" t="n">
        <f aca="false">ROUNDUP(CL652+MAX(CM652,2*(J652/IF(CH652&gt;0,CH652,MAX(0.1,N(Cockpit!$O$6)))-CL652)),0)</f>
        <v>15</v>
      </c>
      <c r="BH652" s="63" t="n">
        <f aca="false">IF(BD652&gt;0,J652/BD652,-1)</f>
        <v>1.15862068965517</v>
      </c>
      <c r="BI652" s="63" t="n">
        <f aca="false">IF(AND(OR(CG652="L1",CG652="L23",CG652="LIFT"),BD652&gt;0),SUMIFS($BD$7:$BD$1843,$CG$7:$CG$1843,CG652,$BH$7:$BH$1843,"&gt;"&amp;BH652)+SUMIFS($BD$7:$BD$1843,$CG$7:$CG$1843,CG652,$BH$7:$BH$1843,BH652,$BX$7:$BX$1843,"&lt;="&amp;BX652),"")</f>
        <v>7212.38690476191</v>
      </c>
      <c r="BJ652" s="70" t="n">
        <f aca="false">IF(BI652="",0,MAX(0,MIN(1,(IF(CG652="L1",Parameter!$H$5,IF(CG652="L23",Parameter!$H$6+Parameter!$H$7,Parameter!$H$5+Parameter!$H$6+Parameter!$H$7))-(BI652-BD652))/BD652)))</f>
        <v>1</v>
      </c>
      <c r="BK652" s="60" t="str">
        <f aca="false">IF(AJ652&lt;=0,"",IF(CG652="Aussen","Aussenlager",IF(CG652="-","Nicht im Lift",IF(AP652&gt;=1,"Lift",IF(AP652&lt;=0,"Aussenlager","teilweise")))))</f>
        <v/>
      </c>
      <c r="BL652" s="60" t="str">
        <f aca="false">IF(AT652&lt;=0,"",IF(CG652="Aussen","Aussenlager",IF(CG652="-","Nicht im Lift",IF(AZ652&gt;=1,"Lift",IF(AZ652&lt;=0,"Aussenlager","teilweise")))))</f>
        <v>Lift</v>
      </c>
      <c r="BM652" s="60" t="str">
        <f aca="false">IF(BD652&lt;=0,"",IF(CG652="Aussen","Aussenlager",IF(CG652="-","Nicht im Lift",IF(BJ652&gt;=1,"Lift",IF(BJ652&lt;=0,"Aussenlager","teilweise")))))</f>
        <v>Lift</v>
      </c>
      <c r="BN652" s="60" t="str">
        <f aca="false">IF(A652="","",IF(BW652=1,"Neu; ","")&amp;IF(AND(BW652=0,BR652&lt;0),"negativer Bestand (Export "&amp;BR652&amp;"); ","")&amp;IF(J652&lt;=0,"Kein Verbrauch; ","")&amp;IF(CR652&gt;0,"Lift "&amp;W652&amp;" lt. Liftbericht (Fach "&amp;X652&amp;" Stk); ",IF(CB652=1,"Gebinde geschätzt ("&amp;T652&amp;"); ",IF(CA652=1,"Lose – Tablare geschätzt; ","")))&amp;IF(H652&gt;AW652,"Überbestand "&amp;ROUND(H652-AW652,0)&amp;" Stk / CHF "&amp;ROUND((H652-AW652)*G652,0)&amp;"; ","")&amp;IF(AND(CI652=1,CJ652&lt;CK652),"MAX &lt; MB+LG; ","")&amp;IF(AND(CQ652&gt;0,CP652*10&gt;CQ652),"zu hoch für Tablar; ","")&amp;IF(AND(BW652=0,OR(CI652=1,AB652&lt;&gt;"",U652&lt;&gt;"",V652&lt;&gt;"",AC652&lt;&gt;"")),"manuell übersteuert; ","")&amp;IF(AND(CA652=0,R652=0),"Gebinde unbekannt / Stellmass fehlt; ","")&amp;IF(AND(CA652=0,N(V652)&lt;=0,N(Q652)&lt;=0),"Menge pro Gebinde fehlt (Ist = 1 Gebinde); ","")&amp;BV652)</f>
        <v>Gebinde geschätzt (Mittel); Menge pro Gebinde fehlt (Ist = 1 Gebinde); </v>
      </c>
      <c r="BO652" s="60"/>
      <c r="BP652" s="60"/>
      <c r="BQ652" s="67"/>
      <c r="BR652" s="62" t="n">
        <v>0</v>
      </c>
      <c r="BS652" s="62" t="n">
        <v>0</v>
      </c>
      <c r="BT652" s="61" t="n">
        <v>5.6843418860808E-013</v>
      </c>
      <c r="BU652" s="62" t="n">
        <v>14</v>
      </c>
      <c r="BV652" s="60"/>
      <c r="BW652" s="65" t="n">
        <v>0</v>
      </c>
      <c r="BX652" s="65" t="n">
        <v>652</v>
      </c>
      <c r="BY652" s="60" t="str">
        <f aca="false">IF(U652&lt;&gt;"",UPPER(TRIM(U652)),IF(CB652=1,UPPER(VLOOKUP(T652,Parameter!$I$27:$K$29,2,0)),IF(P652="","LOSE",P652)))</f>
        <v>S61</v>
      </c>
      <c r="BZ652" s="62" t="n">
        <f aca="false">IF(BY652="LOSE",1,IF(N(V652)&gt;0,V652,IF(CB652=1,MAX(1,N(VLOOKUP(T652,Parameter!$I$27:$K$29,3,0)),H652,N(N652)),IF(N(Q652)&gt;0,Q652,MAX(1,H652)))))</f>
        <v>15</v>
      </c>
      <c r="CA652" s="65" t="n">
        <f aca="false">IF(BY652="LOSE",1,0)</f>
        <v>0</v>
      </c>
      <c r="CB652" s="65" t="n">
        <f aca="false">IF(AND(U652="",OR(P652="",P652="LOSE"),T652&lt;&gt;"",N(S652)&lt;=0,ISNUMBER(MATCH(T652,Parameter!$I$27:$I$29,0))),1,0)</f>
        <v>1</v>
      </c>
      <c r="CC652" s="65" t="n">
        <f aca="false">IF(CR652&gt;0,INDEX(Parameter!$H$5:$H$7,W652)/INDEX(Parameter!$E$5:$E$7,W652),IF(AND(CA652=0,N(IFERROR(VLOOKUP(BY652,'Gebinde-Kategorie'!$A$5:$N$45,14,0),0))&gt;0),VLOOKUP(BY652,'Gebinde-Kategorie'!$A$5:$N$45,14,0)*10+Parameter!$M$23,Parameter!$M$24))</f>
        <v>145</v>
      </c>
      <c r="CD652" s="60" t="str">
        <f aca="false">IF(AND(Parameter!$B$19="Ja",E652&lt;&gt;"",ISNUMBER(MATCH(E652,Parameter!$I$35:$I$52,0))),VLOOKUP(E652,Parameter!$I$35:$J$52,2,0),IFERROR(VLOOKUP(D652,Parameter!$A$35:$C$64,2,0),"Nein"))</f>
        <v>2+3</v>
      </c>
      <c r="CE652" s="64" t="n">
        <f aca="false">IF(CA652=0,0,IF(N(S652)&gt;0,S652,IFERROR(VLOOKUP(D652,Parameter!$A$35:$C$64,3,0)+0,0)))</f>
        <v>0</v>
      </c>
      <c r="CF652" s="60" t="n">
        <f aca="false">IF(AB652&lt;&gt;"",AB652,AA652)</f>
        <v>3</v>
      </c>
      <c r="CG652" s="60" t="str">
        <f aca="false">IF(OR(CF652=1,CF652=2,CF652=3),IF(Parameter!$E$27="Ja","LIFT",IF(CF652=1,"L1","L23")),IF(CF652="Aussen","Aussen","-"))</f>
        <v>LIFT</v>
      </c>
      <c r="CH652" s="71" t="n">
        <f aca="false">IF(N(AC652)&gt;0,AC652,0)</f>
        <v>0</v>
      </c>
      <c r="CI652" s="65" t="n">
        <f aca="false">IF(ISNUMBER(AF652),1,0)</f>
        <v>0</v>
      </c>
      <c r="CJ652" s="62" t="n">
        <f aca="false">N(AF652)</f>
        <v>0</v>
      </c>
      <c r="CK652" s="62" t="n">
        <f aca="false">N(M652)+N(N652)</f>
        <v>15</v>
      </c>
      <c r="CL652" s="62" t="n">
        <f aca="false">N(M652)</f>
        <v>0</v>
      </c>
      <c r="CM652" s="62" t="n">
        <f aca="false">N(N652)</f>
        <v>15</v>
      </c>
      <c r="CN652" s="62" t="n">
        <f aca="false">ROUNDUP(H652/BZ652,0)</f>
        <v>0</v>
      </c>
      <c r="CO652" s="62" t="n">
        <f aca="false">ROUNDUP(CJ652/BZ652,0)</f>
        <v>0</v>
      </c>
      <c r="CP652" s="65" t="n">
        <f aca="false">IF(CA652=1,0,IFERROR(VLOOKUP(BY652,'Gebinde-Kategorie'!$A$5:$N$45,5,0)+0,0))</f>
        <v>11</v>
      </c>
      <c r="CQ652" s="65" t="n">
        <f aca="false">IFERROR(IF(OR(CF652=1,CF652=2,CF652=3),N(INDEX(Parameter!$I$5:$I$7,CF652)),0),0)</f>
        <v>0</v>
      </c>
      <c r="CR652" s="64" t="n">
        <f aca="false">IF(AND(Parameter!$B$21="Ja",ISNUMBER(W652),N(X652)&gt;0),IFERROR(N(INDEX(Parameter!$L$5:$L$7,W652))*INDEX(Parameter!$E$5:$E$7,W652)*X652/SUMIFS($X$7:$X$1843,$W$7:$W$1843,W652),0),0)</f>
        <v>0</v>
      </c>
      <c r="CS652" s="62" t="str">
        <f aca="false">IF(AND(OR(CG652="L1",CG652="L23",CG652="LIFT"),H652&gt;0),CC652*IF(CR652&gt;0,CR652*MAX(1,H652/X652),IF(CA652=1,CE652,IF(R652&gt;0,CN652/R652,0))/MAX(0.1,N(Parameter!$M$21))),"")</f>
        <v/>
      </c>
      <c r="CT652" s="64" t="str">
        <f aca="false">IF(CS652="","",J652/H652)</f>
        <v/>
      </c>
      <c r="CU652" s="62" t="str">
        <f aca="false">IF(CS652="","",H652*G652)</f>
        <v/>
      </c>
      <c r="CV652" s="63" t="str">
        <f aca="false">IF(CS652="","",(CL652+ROUNDUP(CL652+MAX(CM652,2*(J652/MAX(0.1,N(Einkauf!$C$6))-CL652)),0))/2)</f>
        <v/>
      </c>
      <c r="CW652" s="62" t="str">
        <f aca="false">IF(CS652="","",MAX(0,H652-CV652)*G652)</f>
        <v/>
      </c>
      <c r="CX652" s="62" t="str">
        <f aca="false">IF(CS652="","",CS652*MAX(0,1-CV652/H652))</f>
        <v/>
      </c>
      <c r="CY652" s="64" t="str">
        <f aca="false">IF(CS652="","",PERCENTRANK($CS$7:$CS$1843,CS652)+PERCENTRANK($CU$7:$CU$1843,CU652)+1-PERCENTRANK($CT$7:$CT$1843,CT652))</f>
        <v/>
      </c>
      <c r="CZ652" s="72" t="str">
        <f aca="false">IF(CS652="","",CHOOSE(MATCH(Einkauf!$C$5,Parameter!$G$23:$G$27,0),CY652,CS652,CU652,-CT652,CW652)+ROW()/1000000000)</f>
        <v/>
      </c>
    </row>
    <row r="653" customFormat="false" ht="15" hidden="false" customHeight="false" outlineLevel="0" collapsed="false">
      <c r="A653" s="60" t="s">
        <v>1362</v>
      </c>
      <c r="B653" s="60" t="s">
        <v>1363</v>
      </c>
      <c r="C653" s="60" t="s">
        <v>206</v>
      </c>
      <c r="D653" s="60" t="s">
        <v>215</v>
      </c>
      <c r="E653" s="60"/>
      <c r="F653" s="60" t="s">
        <v>260</v>
      </c>
      <c r="G653" s="61" t="n">
        <v>14462.68</v>
      </c>
      <c r="H653" s="62" t="n">
        <f aca="false">MAX(0,IF(AND(Parameter!$B$21="Ja",ISNUMBER(Y653)),Y653,IF(Parameter!$B$20="Jahresanfang 2025 + Export",BS653+BR653,BR653)))</f>
        <v>0</v>
      </c>
      <c r="I653" s="62" t="n">
        <f aca="false">H653*G653</f>
        <v>0</v>
      </c>
      <c r="J653" s="62" t="n">
        <f aca="false">BU653*Parameter!$B$18</f>
        <v>4</v>
      </c>
      <c r="K653" s="63" t="n">
        <v>0</v>
      </c>
      <c r="L653" s="64" t="n">
        <v>0</v>
      </c>
      <c r="M653" s="62" t="n">
        <v>0</v>
      </c>
      <c r="N653" s="62" t="n">
        <v>1</v>
      </c>
      <c r="O653" s="65" t="n">
        <v>90</v>
      </c>
      <c r="P653" s="60" t="s">
        <v>210</v>
      </c>
      <c r="Q653" s="62"/>
      <c r="R653" s="65" t="n">
        <f aca="false">IF(CA653=1,0,IFERROR(VLOOKUP(BY653,'Gebinde-Kategorie'!$A$5:$N$45,13,0)+0,0))</f>
        <v>12</v>
      </c>
      <c r="S653" s="66"/>
      <c r="T653" s="67" t="s">
        <v>221</v>
      </c>
      <c r="U653" s="67"/>
      <c r="V653" s="67"/>
      <c r="W653" s="60"/>
      <c r="X653" s="62"/>
      <c r="Y653" s="62"/>
      <c r="Z653" s="60" t="n">
        <v>3</v>
      </c>
      <c r="AA653" s="60" t="n">
        <f aca="false">IF(A653="","",IF(AND(Parameter!$B$21="Ja",ISNUMBER(W653)),W653,IF(AND(Parameter!$E$27="Ja",ISNUMBER(Z653),CD653&lt;&gt;"Nein"),Z653,IF(CD653="2+3",IF(ISNUMBER(SEARCH("grosser Artikel",BV653)),2,IFERROR(VLOOKUP(BY653,Parameter!$F$35:$G$64,2,0),2)),IF(OR(CD653="Nein",CD653=""),"-",CD653)))))</f>
        <v>3</v>
      </c>
      <c r="AB653" s="67"/>
      <c r="AC653" s="68"/>
      <c r="AD653" s="62" t="n">
        <f aca="false">AW653</f>
        <v>3</v>
      </c>
      <c r="AE653" s="62" t="n">
        <f aca="false">MAX(AW653,H653)</f>
        <v>3</v>
      </c>
      <c r="AF653" s="69"/>
      <c r="AG653" s="62" t="n">
        <f aca="false">IF(LEFT(Cockpit!$C$5,1)="A",H653,IF(Parameter!$E$30="MAX-Bestand",IF(CI653=1,CJ653,IF(LEFT(Cockpit!$C$5,1)="B",AM653,MAX(AM653,H653))),ROUNDUP(AK653,0)))</f>
        <v>0</v>
      </c>
      <c r="AH653" s="62" t="n">
        <f aca="false">IF(CA653=1,0,ROUNDUP(AG653/BZ653,0))</f>
        <v>0</v>
      </c>
      <c r="AI653" s="64" t="n">
        <f aca="false">IF(CR653&gt;0,CR653*MAX(1,AG653/X653),IF(CA653=1,IF(AG653&lt;=0,0,CE653*MAX(1,IF(H653&gt;0,AG653/H653,1))),IF(R653&gt;0,AH653/R653,0))/MAX(0.1,N(Parameter!$M$21)))</f>
        <v>0</v>
      </c>
      <c r="AJ653" s="62" t="n">
        <f aca="false">AI653*CC653</f>
        <v>0</v>
      </c>
      <c r="AK653" s="63" t="n">
        <f aca="false">IF(LEFT(Cockpit!$C$5,1)="A",H653,IF(CI653=1,(CL653+CJ653)/2,IF(LEFT(Cockpit!$C$5,1)="B",(CL653+AM653)/2,MAX((CL653+AM653)/2,H653))))</f>
        <v>0</v>
      </c>
      <c r="AL653" s="62" t="n">
        <f aca="false">AK653*G653</f>
        <v>0</v>
      </c>
      <c r="AM653" s="62" t="n">
        <f aca="false">ROUNDUP(CL653+MAX(CM653,2*(J653/IF(CH653&gt;0,CH653,MAX(0.1,N(Cockpit!$C$6)))-CL653)),0)</f>
        <v>3</v>
      </c>
      <c r="AN653" s="63" t="n">
        <f aca="false">IF(AJ653&gt;0,J653/AJ653,-1)</f>
        <v>-1</v>
      </c>
      <c r="AO653" s="63" t="str">
        <f aca="false">IF(AND(OR(CG653="L1",CG653="L23",CG653="LIFT"),AJ653&gt;0),SUMIFS($AJ$7:$AJ$1843,$CG$7:$CG$1843,CG653,$AN$7:$AN$1843,"&gt;"&amp;AN653)+SUMIFS($AJ$7:$AJ$1843,$CG$7:$CG$1843,CG653,$AN$7:$AN$1843,AN653,$BX$7:$BX$1843,"&lt;="&amp;BX653),"")</f>
        <v/>
      </c>
      <c r="AP653" s="70" t="n">
        <f aca="false">IF(AO653="",0,MAX(0,MIN(1,(IF(CG653="L1",Parameter!$H$5,IF(CG653="L23",Parameter!$H$6+Parameter!$H$7,Parameter!$H$5+Parameter!$H$6+Parameter!$H$7))-(AO653-AJ653))/AJ653)))</f>
        <v>0</v>
      </c>
      <c r="AQ653" s="62" t="n">
        <f aca="false">IF(LEFT(Cockpit!$I$5,1)="A",H653,IF(Parameter!$E$30="MAX-Bestand",IF(CI653=1,CJ653,IF(LEFT(Cockpit!$I$5,1)="B",AW653,MAX(AW653,H653))),ROUNDUP(AU653,0)))</f>
        <v>2</v>
      </c>
      <c r="AR653" s="62" t="n">
        <f aca="false">IF(CA653=1,0,ROUNDUP(AQ653/BZ653,0))</f>
        <v>1</v>
      </c>
      <c r="AS653" s="64" t="n">
        <f aca="false">IF(CR653&gt;0,CR653*MAX(1,AQ653/X653),IF(CA653=1,IF(AQ653&lt;=0,0,CE653*MAX(1,IF(H653&gt;0,AQ653/H653,1))),IF(R653&gt;0,AR653/R653,0))/MAX(0.1,N(Parameter!$M$21)))</f>
        <v>0.0833333333333333</v>
      </c>
      <c r="AT653" s="62" t="n">
        <f aca="false">AS653*CC653</f>
        <v>12.0833333333333</v>
      </c>
      <c r="AU653" s="63" t="n">
        <f aca="false">IF(LEFT(Cockpit!$I$5,1)="A",H653,IF(CI653=1,(CL653+CJ653)/2,IF(LEFT(Cockpit!$I$5,1)="B",(CL653+AW653)/2,MAX((CL653+AW653)/2,H653))))</f>
        <v>1.5</v>
      </c>
      <c r="AV653" s="62" t="n">
        <f aca="false">AU653*G653</f>
        <v>21694.02</v>
      </c>
      <c r="AW653" s="62" t="n">
        <f aca="false">ROUNDUP(CL653+MAX(CM653,2*(J653/IF(CH653&gt;0,CH653,MAX(0.1,N(Cockpit!$I$6)))-CL653)),0)</f>
        <v>3</v>
      </c>
      <c r="AX653" s="63" t="n">
        <f aca="false">IF(AT653&gt;0,J653/AT653,-1)</f>
        <v>0.331034482758621</v>
      </c>
      <c r="AY653" s="63" t="n">
        <f aca="false">IF(AND(OR(CG653="L1",CG653="L23",CG653="LIFT"),AT653&gt;0),SUMIFS($AT$7:$AT$1843,$CG$7:$CG$1843,CG653,$AX$7:$AX$1843,"&gt;"&amp;AX653)+SUMIFS($AT$7:$AT$1843,$CG$7:$CG$1843,CG653,$AX$7:$AX$1843,AX653,$BX$7:$BX$1843,"&lt;="&amp;BX653),"")</f>
        <v>13794.8365384615</v>
      </c>
      <c r="AZ653" s="70" t="n">
        <f aca="false">IF(AY653="",0,MAX(0,MIN(1,(IF(CG653="L1",Parameter!$H$5,IF(CG653="L23",Parameter!$H$6+Parameter!$H$7,Parameter!$H$5+Parameter!$H$6+Parameter!$H$7))-(AY653-AT653))/AT653)))</f>
        <v>1</v>
      </c>
      <c r="BA653" s="62" t="n">
        <f aca="false">IF(LEFT(Cockpit!$O$5,1)="A",H653,IF(Parameter!$E$30="MAX-Bestand",IF(CI653=1,CJ653,IF(LEFT(Cockpit!$O$5,1)="B",BG653,MAX(BG653,H653))),ROUNDUP(BE653,0)))</f>
        <v>1</v>
      </c>
      <c r="BB653" s="62" t="n">
        <f aca="false">IF(CA653=1,0,ROUNDUP(BA653/BZ653,0))</f>
        <v>1</v>
      </c>
      <c r="BC653" s="64" t="n">
        <f aca="false">IF(CR653&gt;0,CR653*MAX(1,BA653/X653),IF(CA653=1,IF(BA653&lt;=0,0,CE653*MAX(1,IF(H653&gt;0,BA653/H653,1))),IF(R653&gt;0,BB653/R653,0))/MAX(0.1,N(Parameter!$M$21)))</f>
        <v>0.0833333333333333</v>
      </c>
      <c r="BD653" s="62" t="n">
        <f aca="false">BC653*CC653</f>
        <v>12.0833333333333</v>
      </c>
      <c r="BE653" s="63" t="n">
        <f aca="false">IF(LEFT(Cockpit!$O$5,1)="A",H653,IF(CI653=1,(CL653+CJ653)/2,IF(LEFT(Cockpit!$O$5,1)="B",(CL653+BG653)/2,MAX((CL653+BG653)/2,H653))))</f>
        <v>1</v>
      </c>
      <c r="BF653" s="62" t="n">
        <f aca="false">BE653*G653</f>
        <v>14462.68</v>
      </c>
      <c r="BG653" s="62" t="n">
        <f aca="false">ROUNDUP(CL653+MAX(CM653,2*(J653/IF(CH653&gt;0,CH653,MAX(0.1,N(Cockpit!$O$6)))-CL653)),0)</f>
        <v>2</v>
      </c>
      <c r="BH653" s="63" t="n">
        <f aca="false">IF(BD653&gt;0,J653/BD653,-1)</f>
        <v>0.331034482758621</v>
      </c>
      <c r="BI653" s="63" t="n">
        <f aca="false">IF(AND(OR(CG653="L1",CG653="L23",CG653="LIFT"),BD653&gt;0),SUMIFS($BD$7:$BD$1843,$CG$7:$CG$1843,CG653,$BH$7:$BH$1843,"&gt;"&amp;BH653)+SUMIFS($BD$7:$BD$1843,$CG$7:$CG$1843,CG653,$BH$7:$BH$1843,BH653,$BX$7:$BX$1843,"&lt;="&amp;BX653),"")</f>
        <v>11645.7953296703</v>
      </c>
      <c r="BJ653" s="70" t="n">
        <f aca="false">IF(BI653="",0,MAX(0,MIN(1,(IF(CG653="L1",Parameter!$H$5,IF(CG653="L23",Parameter!$H$6+Parameter!$H$7,Parameter!$H$5+Parameter!$H$6+Parameter!$H$7))-(BI653-BD653))/BD653)))</f>
        <v>1</v>
      </c>
      <c r="BK653" s="60" t="str">
        <f aca="false">IF(AJ653&lt;=0,"",IF(CG653="Aussen","Aussenlager",IF(CG653="-","Nicht im Lift",IF(AP653&gt;=1,"Lift",IF(AP653&lt;=0,"Aussenlager","teilweise")))))</f>
        <v/>
      </c>
      <c r="BL653" s="60" t="str">
        <f aca="false">IF(AT653&lt;=0,"",IF(CG653="Aussen","Aussenlager",IF(CG653="-","Nicht im Lift",IF(AZ653&gt;=1,"Lift",IF(AZ653&lt;=0,"Aussenlager","teilweise")))))</f>
        <v>Lift</v>
      </c>
      <c r="BM653" s="60" t="str">
        <f aca="false">IF(BD653&lt;=0,"",IF(CG653="Aussen","Aussenlager",IF(CG653="-","Nicht im Lift",IF(BJ653&gt;=1,"Lift",IF(BJ653&lt;=0,"Aussenlager","teilweise")))))</f>
        <v>Lift</v>
      </c>
      <c r="BN653" s="60" t="str">
        <f aca="false">IF(A653="","",IF(BW653=1,"Neu; ","")&amp;IF(AND(BW653=0,BR653&lt;0),"negativer Bestand (Export "&amp;BR653&amp;"); ","")&amp;IF(J653&lt;=0,"Kein Verbrauch; ","")&amp;IF(CR653&gt;0,"Lift "&amp;W653&amp;" lt. Liftbericht (Fach "&amp;X653&amp;" Stk); ",IF(CB653=1,"Gebinde geschätzt ("&amp;T653&amp;"); ",IF(CA653=1,"Lose – Tablare geschätzt; ","")))&amp;IF(H653&gt;AW653,"Überbestand "&amp;ROUND(H653-AW653,0)&amp;" Stk / CHF "&amp;ROUND((H653-AW653)*G653,0)&amp;"; ","")&amp;IF(AND(CI653=1,CJ653&lt;CK653),"MAX &lt; MB+LG; ","")&amp;IF(AND(CQ653&gt;0,CP653*10&gt;CQ653),"zu hoch für Tablar; ","")&amp;IF(AND(BW653=0,OR(CI653=1,AB653&lt;&gt;"",U653&lt;&gt;"",V653&lt;&gt;"",AC653&lt;&gt;"")),"manuell übersteuert; ","")&amp;IF(AND(CA653=0,R653=0),"Gebinde unbekannt / Stellmass fehlt; ","")&amp;IF(AND(CA653=0,N(V653)&lt;=0,N(Q653)&lt;=0),"Menge pro Gebinde fehlt (Ist = 1 Gebinde); ","")&amp;BV653)</f>
        <v>Gebinde geschätzt (Mittel); Menge pro Gebinde fehlt (Ist = 1 Gebinde); </v>
      </c>
      <c r="BO653" s="60"/>
      <c r="BP653" s="60"/>
      <c r="BQ653" s="67"/>
      <c r="BR653" s="62" t="n">
        <v>0</v>
      </c>
      <c r="BS653" s="62" t="n">
        <v>0</v>
      </c>
      <c r="BT653" s="61" t="n">
        <v>4.36557040517371E-013</v>
      </c>
      <c r="BU653" s="62" t="n">
        <v>4</v>
      </c>
      <c r="BV653" s="60"/>
      <c r="BW653" s="65" t="n">
        <v>0</v>
      </c>
      <c r="BX653" s="65" t="n">
        <v>653</v>
      </c>
      <c r="BY653" s="60" t="str">
        <f aca="false">IF(U653&lt;&gt;"",UPPER(TRIM(U653)),IF(CB653=1,UPPER(VLOOKUP(T653,Parameter!$I$27:$K$29,2,0)),IF(P653="","LOSE",P653)))</f>
        <v>S61</v>
      </c>
      <c r="BZ653" s="62" t="n">
        <f aca="false">IF(BY653="LOSE",1,IF(N(V653)&gt;0,V653,IF(CB653=1,MAX(1,N(VLOOKUP(T653,Parameter!$I$27:$K$29,3,0)),H653,N(N653)),IF(N(Q653)&gt;0,Q653,MAX(1,H653)))))</f>
        <v>4</v>
      </c>
      <c r="CA653" s="65" t="n">
        <f aca="false">IF(BY653="LOSE",1,0)</f>
        <v>0</v>
      </c>
      <c r="CB653" s="65" t="n">
        <f aca="false">IF(AND(U653="",OR(P653="",P653="LOSE"),T653&lt;&gt;"",N(S653)&lt;=0,ISNUMBER(MATCH(T653,Parameter!$I$27:$I$29,0))),1,0)</f>
        <v>1</v>
      </c>
      <c r="CC653" s="65" t="n">
        <f aca="false">IF(CR653&gt;0,INDEX(Parameter!$H$5:$H$7,W653)/INDEX(Parameter!$E$5:$E$7,W653),IF(AND(CA653=0,N(IFERROR(VLOOKUP(BY653,'Gebinde-Kategorie'!$A$5:$N$45,14,0),0))&gt;0),VLOOKUP(BY653,'Gebinde-Kategorie'!$A$5:$N$45,14,0)*10+Parameter!$M$23,Parameter!$M$24))</f>
        <v>145</v>
      </c>
      <c r="CD653" s="60" t="str">
        <f aca="false">IF(AND(Parameter!$B$19="Ja",E653&lt;&gt;"",ISNUMBER(MATCH(E653,Parameter!$I$35:$I$52,0))),VLOOKUP(E653,Parameter!$I$35:$J$52,2,0),IFERROR(VLOOKUP(D653,Parameter!$A$35:$C$64,2,0),"Nein"))</f>
        <v>2+3</v>
      </c>
      <c r="CE653" s="64" t="n">
        <f aca="false">IF(CA653=0,0,IF(N(S653)&gt;0,S653,IFERROR(VLOOKUP(D653,Parameter!$A$35:$C$64,3,0)+0,0)))</f>
        <v>0</v>
      </c>
      <c r="CF653" s="60" t="n">
        <f aca="false">IF(AB653&lt;&gt;"",AB653,AA653)</f>
        <v>3</v>
      </c>
      <c r="CG653" s="60" t="str">
        <f aca="false">IF(OR(CF653=1,CF653=2,CF653=3),IF(Parameter!$E$27="Ja","LIFT",IF(CF653=1,"L1","L23")),IF(CF653="Aussen","Aussen","-"))</f>
        <v>LIFT</v>
      </c>
      <c r="CH653" s="71" t="n">
        <f aca="false">IF(N(AC653)&gt;0,AC653,0)</f>
        <v>0</v>
      </c>
      <c r="CI653" s="65" t="n">
        <f aca="false">IF(ISNUMBER(AF653),1,0)</f>
        <v>0</v>
      </c>
      <c r="CJ653" s="62" t="n">
        <f aca="false">N(AF653)</f>
        <v>0</v>
      </c>
      <c r="CK653" s="62" t="n">
        <f aca="false">N(M653)+N(N653)</f>
        <v>1</v>
      </c>
      <c r="CL653" s="62" t="n">
        <f aca="false">N(M653)</f>
        <v>0</v>
      </c>
      <c r="CM653" s="62" t="n">
        <f aca="false">N(N653)</f>
        <v>1</v>
      </c>
      <c r="CN653" s="62" t="n">
        <f aca="false">ROUNDUP(H653/BZ653,0)</f>
        <v>0</v>
      </c>
      <c r="CO653" s="62" t="n">
        <f aca="false">ROUNDUP(CJ653/BZ653,0)</f>
        <v>0</v>
      </c>
      <c r="CP653" s="65" t="n">
        <f aca="false">IF(CA653=1,0,IFERROR(VLOOKUP(BY653,'Gebinde-Kategorie'!$A$5:$N$45,5,0)+0,0))</f>
        <v>11</v>
      </c>
      <c r="CQ653" s="65" t="n">
        <f aca="false">IFERROR(IF(OR(CF653=1,CF653=2,CF653=3),N(INDEX(Parameter!$I$5:$I$7,CF653)),0),0)</f>
        <v>0</v>
      </c>
      <c r="CR653" s="64" t="n">
        <f aca="false">IF(AND(Parameter!$B$21="Ja",ISNUMBER(W653),N(X653)&gt;0),IFERROR(N(INDEX(Parameter!$L$5:$L$7,W653))*INDEX(Parameter!$E$5:$E$7,W653)*X653/SUMIFS($X$7:$X$1843,$W$7:$W$1843,W653),0),0)</f>
        <v>0</v>
      </c>
      <c r="CS653" s="62" t="str">
        <f aca="false">IF(AND(OR(CG653="L1",CG653="L23",CG653="LIFT"),H653&gt;0),CC653*IF(CR653&gt;0,CR653*MAX(1,H653/X653),IF(CA653=1,CE653,IF(R653&gt;0,CN653/R653,0))/MAX(0.1,N(Parameter!$M$21))),"")</f>
        <v/>
      </c>
      <c r="CT653" s="64" t="str">
        <f aca="false">IF(CS653="","",J653/H653)</f>
        <v/>
      </c>
      <c r="CU653" s="62" t="str">
        <f aca="false">IF(CS653="","",H653*G653)</f>
        <v/>
      </c>
      <c r="CV653" s="63" t="str">
        <f aca="false">IF(CS653="","",(CL653+ROUNDUP(CL653+MAX(CM653,2*(J653/MAX(0.1,N(Einkauf!$C$6))-CL653)),0))/2)</f>
        <v/>
      </c>
      <c r="CW653" s="62" t="str">
        <f aca="false">IF(CS653="","",MAX(0,H653-CV653)*G653)</f>
        <v/>
      </c>
      <c r="CX653" s="62" t="str">
        <f aca="false">IF(CS653="","",CS653*MAX(0,1-CV653/H653))</f>
        <v/>
      </c>
      <c r="CY653" s="64" t="str">
        <f aca="false">IF(CS653="","",PERCENTRANK($CS$7:$CS$1843,CS653)+PERCENTRANK($CU$7:$CU$1843,CU653)+1-PERCENTRANK($CT$7:$CT$1843,CT653))</f>
        <v/>
      </c>
      <c r="CZ653" s="72" t="str">
        <f aca="false">IF(CS653="","",CHOOSE(MATCH(Einkauf!$C$5,Parameter!$G$23:$G$27,0),CY653,CS653,CU653,-CT653,CW653)+ROW()/1000000000)</f>
        <v/>
      </c>
    </row>
    <row r="654" customFormat="false" ht="15" hidden="false" customHeight="false" outlineLevel="0" collapsed="false">
      <c r="A654" s="60" t="s">
        <v>1364</v>
      </c>
      <c r="B654" s="60" t="s">
        <v>1040</v>
      </c>
      <c r="C654" s="60" t="s">
        <v>206</v>
      </c>
      <c r="D654" s="60" t="s">
        <v>1037</v>
      </c>
      <c r="E654" s="60"/>
      <c r="F654" s="60" t="s">
        <v>260</v>
      </c>
      <c r="G654" s="61" t="n">
        <v>163.77</v>
      </c>
      <c r="H654" s="62" t="n">
        <f aca="false">MAX(0,IF(AND(Parameter!$B$21="Ja",ISNUMBER(Y654)),Y654,IF(Parameter!$B$20="Jahresanfang 2025 + Export",BS654+BR654,BR654)))</f>
        <v>0</v>
      </c>
      <c r="I654" s="62" t="n">
        <f aca="false">H654*G654</f>
        <v>0</v>
      </c>
      <c r="J654" s="62" t="n">
        <f aca="false">BU654*Parameter!$B$18</f>
        <v>8</v>
      </c>
      <c r="K654" s="63" t="n">
        <v>0</v>
      </c>
      <c r="L654" s="64" t="n">
        <v>0</v>
      </c>
      <c r="M654" s="62" t="n">
        <v>0</v>
      </c>
      <c r="N654" s="62" t="n">
        <v>1</v>
      </c>
      <c r="O654" s="65" t="n">
        <v>105</v>
      </c>
      <c r="P654" s="60" t="s">
        <v>210</v>
      </c>
      <c r="Q654" s="62"/>
      <c r="R654" s="65" t="n">
        <f aca="false">IF(CA654=1,0,IFERROR(VLOOKUP(BY654,'Gebinde-Kategorie'!$A$5:$N$45,13,0)+0,0))</f>
        <v>0</v>
      </c>
      <c r="S654" s="66"/>
      <c r="T654" s="67"/>
      <c r="U654" s="67"/>
      <c r="V654" s="67"/>
      <c r="W654" s="60"/>
      <c r="X654" s="62"/>
      <c r="Y654" s="62"/>
      <c r="Z654" s="60"/>
      <c r="AA654" s="60" t="str">
        <f aca="false">IF(A654="","",IF(AND(Parameter!$B$21="Ja",ISNUMBER(W654)),W654,IF(AND(Parameter!$E$27="Ja",ISNUMBER(Z654),CD654&lt;&gt;"Nein"),Z654,IF(CD654="2+3",IF(ISNUMBER(SEARCH("grosser Artikel",BV654)),2,IFERROR(VLOOKUP(BY654,Parameter!$F$35:$G$64,2,0),2)),IF(OR(CD654="Nein",CD654=""),"-",CD654)))))</f>
        <v>-</v>
      </c>
      <c r="AB654" s="67"/>
      <c r="AC654" s="68"/>
      <c r="AD654" s="62" t="n">
        <f aca="false">AW654</f>
        <v>6</v>
      </c>
      <c r="AE654" s="62" t="n">
        <f aca="false">MAX(AW654,H654)</f>
        <v>6</v>
      </c>
      <c r="AF654" s="69"/>
      <c r="AG654" s="62" t="n">
        <f aca="false">IF(LEFT(Cockpit!$C$5,1)="A",H654,IF(Parameter!$E$30="MAX-Bestand",IF(CI654=1,CJ654,IF(LEFT(Cockpit!$C$5,1)="B",AM654,MAX(AM654,H654))),ROUNDUP(AK654,0)))</f>
        <v>0</v>
      </c>
      <c r="AH654" s="62" t="n">
        <f aca="false">IF(CA654=1,0,ROUNDUP(AG654/BZ654,0))</f>
        <v>0</v>
      </c>
      <c r="AI654" s="64" t="n">
        <f aca="false">IF(CR654&gt;0,CR654*MAX(1,AG654/X654),IF(CA654=1,IF(AG654&lt;=0,0,CE654*MAX(1,IF(H654&gt;0,AG654/H654,1))),IF(R654&gt;0,AH654/R654,0))/MAX(0.1,N(Parameter!$M$21)))</f>
        <v>0</v>
      </c>
      <c r="AJ654" s="62" t="n">
        <f aca="false">AI654*CC654</f>
        <v>0</v>
      </c>
      <c r="AK654" s="63" t="n">
        <f aca="false">IF(LEFT(Cockpit!$C$5,1)="A",H654,IF(CI654=1,(CL654+CJ654)/2,IF(LEFT(Cockpit!$C$5,1)="B",(CL654+AM654)/2,MAX((CL654+AM654)/2,H654))))</f>
        <v>0</v>
      </c>
      <c r="AL654" s="62" t="n">
        <f aca="false">AK654*G654</f>
        <v>0</v>
      </c>
      <c r="AM654" s="62" t="n">
        <f aca="false">ROUNDUP(CL654+MAX(CM654,2*(J654/IF(CH654&gt;0,CH654,MAX(0.1,N(Cockpit!$C$6)))-CL654)),0)</f>
        <v>6</v>
      </c>
      <c r="AN654" s="63" t="n">
        <f aca="false">IF(AJ654&gt;0,J654/AJ654,-1)</f>
        <v>-1</v>
      </c>
      <c r="AO654" s="63" t="str">
        <f aca="false">IF(AND(OR(CG654="L1",CG654="L23",CG654="LIFT"),AJ654&gt;0),SUMIFS($AJ$7:$AJ$1843,$CG$7:$CG$1843,CG654,$AN$7:$AN$1843,"&gt;"&amp;AN654)+SUMIFS($AJ$7:$AJ$1843,$CG$7:$CG$1843,CG654,$AN$7:$AN$1843,AN654,$BX$7:$BX$1843,"&lt;="&amp;BX654),"")</f>
        <v/>
      </c>
      <c r="AP654" s="70" t="n">
        <f aca="false">IF(AO654="",0,MAX(0,MIN(1,(IF(CG654="L1",Parameter!$H$5,IF(CG654="L23",Parameter!$H$6+Parameter!$H$7,Parameter!$H$5+Parameter!$H$6+Parameter!$H$7))-(AO654-AJ654))/AJ654)))</f>
        <v>0</v>
      </c>
      <c r="AQ654" s="62" t="n">
        <f aca="false">IF(LEFT(Cockpit!$I$5,1)="A",H654,IF(Parameter!$E$30="MAX-Bestand",IF(CI654=1,CJ654,IF(LEFT(Cockpit!$I$5,1)="B",AW654,MAX(AW654,H654))),ROUNDUP(AU654,0)))</f>
        <v>3</v>
      </c>
      <c r="AR654" s="62" t="n">
        <f aca="false">IF(CA654=1,0,ROUNDUP(AQ654/BZ654,0))</f>
        <v>0</v>
      </c>
      <c r="AS654" s="64" t="n">
        <f aca="false">IF(CR654&gt;0,CR654*MAX(1,AQ654/X654),IF(CA654=1,IF(AQ654&lt;=0,0,CE654*MAX(1,IF(H654&gt;0,AQ654/H654,1))),IF(R654&gt;0,AR654/R654,0))/MAX(0.1,N(Parameter!$M$21)))</f>
        <v>0.15</v>
      </c>
      <c r="AT654" s="62" t="n">
        <f aca="false">AS654*CC654</f>
        <v>35.25</v>
      </c>
      <c r="AU654" s="63" t="n">
        <f aca="false">IF(LEFT(Cockpit!$I$5,1)="A",H654,IF(CI654=1,(CL654+CJ654)/2,IF(LEFT(Cockpit!$I$5,1)="B",(CL654+AW654)/2,MAX((CL654+AW654)/2,H654))))</f>
        <v>3</v>
      </c>
      <c r="AV654" s="62" t="n">
        <f aca="false">AU654*G654</f>
        <v>491.31</v>
      </c>
      <c r="AW654" s="62" t="n">
        <f aca="false">ROUNDUP(CL654+MAX(CM654,2*(J654/IF(CH654&gt;0,CH654,MAX(0.1,N(Cockpit!$I$6)))-CL654)),0)</f>
        <v>6</v>
      </c>
      <c r="AX654" s="63" t="n">
        <f aca="false">IF(AT654&gt;0,J654/AT654,-1)</f>
        <v>0.226950354609929</v>
      </c>
      <c r="AY654" s="63" t="str">
        <f aca="false">IF(AND(OR(CG654="L1",CG654="L23",CG654="LIFT"),AT654&gt;0),SUMIFS($AT$7:$AT$1843,$CG$7:$CG$1843,CG654,$AX$7:$AX$1843,"&gt;"&amp;AX654)+SUMIFS($AT$7:$AT$1843,$CG$7:$CG$1843,CG654,$AX$7:$AX$1843,AX654,$BX$7:$BX$1843,"&lt;="&amp;BX654),"")</f>
        <v/>
      </c>
      <c r="AZ654" s="70" t="n">
        <f aca="false">IF(AY654="",0,MAX(0,MIN(1,(IF(CG654="L1",Parameter!$H$5,IF(CG654="L23",Parameter!$H$6+Parameter!$H$7,Parameter!$H$5+Parameter!$H$6+Parameter!$H$7))-(AY654-AT654))/AT654)))</f>
        <v>0</v>
      </c>
      <c r="BA654" s="62" t="n">
        <f aca="false">IF(LEFT(Cockpit!$O$5,1)="A",H654,IF(Parameter!$E$30="MAX-Bestand",IF(CI654=1,CJ654,IF(LEFT(Cockpit!$O$5,1)="B",BG654,MAX(BG654,H654))),ROUNDUP(BE654,0)))</f>
        <v>2</v>
      </c>
      <c r="BB654" s="62" t="n">
        <f aca="false">IF(CA654=1,0,ROUNDUP(BA654/BZ654,0))</f>
        <v>0</v>
      </c>
      <c r="BC654" s="64" t="n">
        <f aca="false">IF(CR654&gt;0,CR654*MAX(1,BA654/X654),IF(CA654=1,IF(BA654&lt;=0,0,CE654*MAX(1,IF(H654&gt;0,BA654/H654,1))),IF(R654&gt;0,BB654/R654,0))/MAX(0.1,N(Parameter!$M$21)))</f>
        <v>0.15</v>
      </c>
      <c r="BD654" s="62" t="n">
        <f aca="false">BC654*CC654</f>
        <v>35.25</v>
      </c>
      <c r="BE654" s="63" t="n">
        <f aca="false">IF(LEFT(Cockpit!$O$5,1)="A",H654,IF(CI654=1,(CL654+CJ654)/2,IF(LEFT(Cockpit!$O$5,1)="B",(CL654+BG654)/2,MAX((CL654+BG654)/2,H654))))</f>
        <v>2</v>
      </c>
      <c r="BF654" s="62" t="n">
        <f aca="false">BE654*G654</f>
        <v>327.54</v>
      </c>
      <c r="BG654" s="62" t="n">
        <f aca="false">ROUNDUP(CL654+MAX(CM654,2*(J654/IF(CH654&gt;0,CH654,MAX(0.1,N(Cockpit!$O$6)))-CL654)),0)</f>
        <v>4</v>
      </c>
      <c r="BH654" s="63" t="n">
        <f aca="false">IF(BD654&gt;0,J654/BD654,-1)</f>
        <v>0.226950354609929</v>
      </c>
      <c r="BI654" s="63" t="str">
        <f aca="false">IF(AND(OR(CG654="L1",CG654="L23",CG654="LIFT"),BD654&gt;0),SUMIFS($BD$7:$BD$1843,$CG$7:$CG$1843,CG654,$BH$7:$BH$1843,"&gt;"&amp;BH654)+SUMIFS($BD$7:$BD$1843,$CG$7:$CG$1843,CG654,$BH$7:$BH$1843,BH654,$BX$7:$BX$1843,"&lt;="&amp;BX654),"")</f>
        <v/>
      </c>
      <c r="BJ654" s="70" t="n">
        <f aca="false">IF(BI654="",0,MAX(0,MIN(1,(IF(CG654="L1",Parameter!$H$5,IF(CG654="L23",Parameter!$H$6+Parameter!$H$7,Parameter!$H$5+Parameter!$H$6+Parameter!$H$7))-(BI654-BD654))/BD654)))</f>
        <v>0</v>
      </c>
      <c r="BK654" s="60" t="str">
        <f aca="false">IF(AJ654&lt;=0,"",IF(CG654="Aussen","Aussenlager",IF(CG654="-","Nicht im Lift",IF(AP654&gt;=1,"Lift",IF(AP654&lt;=0,"Aussenlager","teilweise")))))</f>
        <v/>
      </c>
      <c r="BL654" s="60" t="str">
        <f aca="false">IF(AT654&lt;=0,"",IF(CG654="Aussen","Aussenlager",IF(CG654="-","Nicht im Lift",IF(AZ654&gt;=1,"Lift",IF(AZ654&lt;=0,"Aussenlager","teilweise")))))</f>
        <v>Nicht im Lift</v>
      </c>
      <c r="BM654" s="60" t="str">
        <f aca="false">IF(BD654&lt;=0,"",IF(CG654="Aussen","Aussenlager",IF(CG654="-","Nicht im Lift",IF(BJ654&gt;=1,"Lift",IF(BJ654&lt;=0,"Aussenlager","teilweise")))))</f>
        <v>Nicht im Lift</v>
      </c>
      <c r="BN654" s="60" t="str">
        <f aca="false">IF(A654="","",IF(BW654=1,"Neu; ","")&amp;IF(AND(BW654=0,BR654&lt;0),"negativer Bestand (Export "&amp;BR654&amp;"); ","")&amp;IF(J654&lt;=0,"Kein Verbrauch; ","")&amp;IF(CR654&gt;0,"Lift "&amp;W654&amp;" lt. Liftbericht (Fach "&amp;X654&amp;" Stk); ",IF(CB654=1,"Gebinde geschätzt ("&amp;T654&amp;"); ",IF(CA654=1,"Lose – Tablare geschätzt; ","")))&amp;IF(H654&gt;AW654,"Überbestand "&amp;ROUND(H654-AW654,0)&amp;" Stk / CHF "&amp;ROUND((H654-AW654)*G654,0)&amp;"; ","")&amp;IF(AND(CI654=1,CJ654&lt;CK654),"MAX &lt; MB+LG; ","")&amp;IF(AND(CQ654&gt;0,CP654*10&gt;CQ654),"zu hoch für Tablar; ","")&amp;IF(AND(BW654=0,OR(CI654=1,AB654&lt;&gt;"",U654&lt;&gt;"",V654&lt;&gt;"",AC654&lt;&gt;"")),"manuell übersteuert; ","")&amp;IF(AND(CA654=0,R654=0),"Gebinde unbekannt / Stellmass fehlt; ","")&amp;IF(AND(CA654=0,N(V654)&lt;=0,N(Q654)&lt;=0),"Menge pro Gebinde fehlt (Ist = 1 Gebinde); ","")&amp;BV654)</f>
        <v>Lose – Tablare geschätzt; </v>
      </c>
      <c r="BO654" s="60"/>
      <c r="BP654" s="60"/>
      <c r="BQ654" s="67"/>
      <c r="BR654" s="62" t="n">
        <v>0</v>
      </c>
      <c r="BS654" s="62" t="n">
        <v>0</v>
      </c>
      <c r="BT654" s="61" t="n">
        <v>1.31877148090709E-013</v>
      </c>
      <c r="BU654" s="62" t="n">
        <v>8</v>
      </c>
      <c r="BV654" s="60"/>
      <c r="BW654" s="65" t="n">
        <v>0</v>
      </c>
      <c r="BX654" s="65" t="n">
        <v>654</v>
      </c>
      <c r="BY654" s="60" t="str">
        <f aca="false">IF(U654&lt;&gt;"",UPPER(TRIM(U654)),IF(CB654=1,UPPER(VLOOKUP(T654,Parameter!$I$27:$K$29,2,0)),IF(P654="","LOSE",P654)))</f>
        <v>LOSE</v>
      </c>
      <c r="BZ654" s="62" t="n">
        <f aca="false">IF(BY654="LOSE",1,IF(N(V654)&gt;0,V654,IF(CB654=1,MAX(1,N(VLOOKUP(T654,Parameter!$I$27:$K$29,3,0)),H654,N(N654)),IF(N(Q654)&gt;0,Q654,MAX(1,H654)))))</f>
        <v>1</v>
      </c>
      <c r="CA654" s="65" t="n">
        <f aca="false">IF(BY654="LOSE",1,0)</f>
        <v>1</v>
      </c>
      <c r="CB654" s="65" t="n">
        <f aca="false">IF(AND(U654="",OR(P654="",P654="LOSE"),T654&lt;&gt;"",N(S654)&lt;=0,ISNUMBER(MATCH(T654,Parameter!$I$27:$I$29,0))),1,0)</f>
        <v>0</v>
      </c>
      <c r="CC654" s="65" t="n">
        <f aca="false">IF(CR654&gt;0,INDEX(Parameter!$H$5:$H$7,W654)/INDEX(Parameter!$E$5:$E$7,W654),IF(AND(CA654=0,N(IFERROR(VLOOKUP(BY654,'Gebinde-Kategorie'!$A$5:$N$45,14,0),0))&gt;0),VLOOKUP(BY654,'Gebinde-Kategorie'!$A$5:$N$45,14,0)*10+Parameter!$M$23,Parameter!$M$24))</f>
        <v>235</v>
      </c>
      <c r="CD654" s="60" t="str">
        <f aca="false">IF(AND(Parameter!$B$19="Ja",E654&lt;&gt;"",ISNUMBER(MATCH(E654,Parameter!$I$35:$I$52,0))),VLOOKUP(E654,Parameter!$I$35:$J$52,2,0),IFERROR(VLOOKUP(D654,Parameter!$A$35:$C$64,2,0),"Nein"))</f>
        <v>Nein</v>
      </c>
      <c r="CE654" s="64" t="n">
        <f aca="false">IF(CA654=0,0,IF(N(S654)&gt;0,S654,IFERROR(VLOOKUP(D654,Parameter!$A$35:$C$64,3,0)+0,0)))</f>
        <v>0.15</v>
      </c>
      <c r="CF654" s="60" t="str">
        <f aca="false">IF(AB654&lt;&gt;"",AB654,AA654)</f>
        <v>-</v>
      </c>
      <c r="CG654" s="60" t="str">
        <f aca="false">IF(OR(CF654=1,CF654=2,CF654=3),IF(Parameter!$E$27="Ja","LIFT",IF(CF654=1,"L1","L23")),IF(CF654="Aussen","Aussen","-"))</f>
        <v>-</v>
      </c>
      <c r="CH654" s="71" t="n">
        <f aca="false">IF(N(AC654)&gt;0,AC654,0)</f>
        <v>0</v>
      </c>
      <c r="CI654" s="65" t="n">
        <f aca="false">IF(ISNUMBER(AF654),1,0)</f>
        <v>0</v>
      </c>
      <c r="CJ654" s="62" t="n">
        <f aca="false">N(AF654)</f>
        <v>0</v>
      </c>
      <c r="CK654" s="62" t="n">
        <f aca="false">N(M654)+N(N654)</f>
        <v>1</v>
      </c>
      <c r="CL654" s="62" t="n">
        <f aca="false">N(M654)</f>
        <v>0</v>
      </c>
      <c r="CM654" s="62" t="n">
        <f aca="false">N(N654)</f>
        <v>1</v>
      </c>
      <c r="CN654" s="62" t="n">
        <f aca="false">ROUNDUP(H654/BZ654,0)</f>
        <v>0</v>
      </c>
      <c r="CO654" s="62" t="n">
        <f aca="false">ROUNDUP(CJ654/BZ654,0)</f>
        <v>0</v>
      </c>
      <c r="CP654" s="65" t="n">
        <f aca="false">IF(CA654=1,0,IFERROR(VLOOKUP(BY654,'Gebinde-Kategorie'!$A$5:$N$45,5,0)+0,0))</f>
        <v>0</v>
      </c>
      <c r="CQ654" s="65" t="n">
        <f aca="false">IFERROR(IF(OR(CF654=1,CF654=2,CF654=3),N(INDEX(Parameter!$I$5:$I$7,CF654)),0),0)</f>
        <v>0</v>
      </c>
      <c r="CR654" s="64" t="n">
        <f aca="false">IF(AND(Parameter!$B$21="Ja",ISNUMBER(W654),N(X654)&gt;0),IFERROR(N(INDEX(Parameter!$L$5:$L$7,W654))*INDEX(Parameter!$E$5:$E$7,W654)*X654/SUMIFS($X$7:$X$1843,$W$7:$W$1843,W654),0),0)</f>
        <v>0</v>
      </c>
      <c r="CS654" s="62" t="str">
        <f aca="false">IF(AND(OR(CG654="L1",CG654="L23",CG654="LIFT"),H654&gt;0),CC654*IF(CR654&gt;0,CR654*MAX(1,H654/X654),IF(CA654=1,CE654,IF(R654&gt;0,CN654/R654,0))/MAX(0.1,N(Parameter!$M$21))),"")</f>
        <v/>
      </c>
      <c r="CT654" s="64" t="str">
        <f aca="false">IF(CS654="","",J654/H654)</f>
        <v/>
      </c>
      <c r="CU654" s="62" t="str">
        <f aca="false">IF(CS654="","",H654*G654)</f>
        <v/>
      </c>
      <c r="CV654" s="63" t="str">
        <f aca="false">IF(CS654="","",(CL654+ROUNDUP(CL654+MAX(CM654,2*(J654/MAX(0.1,N(Einkauf!$C$6))-CL654)),0))/2)</f>
        <v/>
      </c>
      <c r="CW654" s="62" t="str">
        <f aca="false">IF(CS654="","",MAX(0,H654-CV654)*G654)</f>
        <v/>
      </c>
      <c r="CX654" s="62" t="str">
        <f aca="false">IF(CS654="","",CS654*MAX(0,1-CV654/H654))</f>
        <v/>
      </c>
      <c r="CY654" s="64" t="str">
        <f aca="false">IF(CS654="","",PERCENTRANK($CS$7:$CS$1843,CS654)+PERCENTRANK($CU$7:$CU$1843,CU654)+1-PERCENTRANK($CT$7:$CT$1843,CT654))</f>
        <v/>
      </c>
      <c r="CZ654" s="72" t="str">
        <f aca="false">IF(CS654="","",CHOOSE(MATCH(Einkauf!$C$5,Parameter!$G$23:$G$27,0),CY654,CS654,CU654,-CT654,CW654)+ROW()/1000000000)</f>
        <v/>
      </c>
    </row>
    <row r="655" customFormat="false" ht="15" hidden="false" customHeight="false" outlineLevel="0" collapsed="false">
      <c r="A655" s="60" t="s">
        <v>1365</v>
      </c>
      <c r="B655" s="60" t="s">
        <v>1366</v>
      </c>
      <c r="C655" s="60" t="s">
        <v>206</v>
      </c>
      <c r="D655" s="60" t="s">
        <v>226</v>
      </c>
      <c r="E655" s="60"/>
      <c r="F655" s="60" t="s">
        <v>260</v>
      </c>
      <c r="G655" s="61" t="n">
        <v>42.14</v>
      </c>
      <c r="H655" s="62" t="n">
        <f aca="false">MAX(0,IF(AND(Parameter!$B$21="Ja",ISNUMBER(Y655)),Y655,IF(Parameter!$B$20="Jahresanfang 2025 + Export",BS655+BR655,BR655)))</f>
        <v>0</v>
      </c>
      <c r="I655" s="62" t="n">
        <f aca="false">H655*G655</f>
        <v>0</v>
      </c>
      <c r="J655" s="62" t="n">
        <f aca="false">BU655*Parameter!$B$18</f>
        <v>2</v>
      </c>
      <c r="K655" s="63" t="n">
        <v>3</v>
      </c>
      <c r="L655" s="64" t="n">
        <v>0.666666666666667</v>
      </c>
      <c r="M655" s="62" t="n">
        <v>0</v>
      </c>
      <c r="N655" s="62" t="n">
        <v>1</v>
      </c>
      <c r="O655" s="65" t="n">
        <v>21</v>
      </c>
      <c r="P655" s="60" t="s">
        <v>210</v>
      </c>
      <c r="Q655" s="62"/>
      <c r="R655" s="65" t="n">
        <f aca="false">IF(CA655=1,0,IFERROR(VLOOKUP(BY655,'Gebinde-Kategorie'!$A$5:$N$45,13,0)+0,0))</f>
        <v>26</v>
      </c>
      <c r="S655" s="66"/>
      <c r="T655" s="67" t="s">
        <v>317</v>
      </c>
      <c r="U655" s="67"/>
      <c r="V655" s="67"/>
      <c r="W655" s="60"/>
      <c r="X655" s="62"/>
      <c r="Y655" s="62"/>
      <c r="Z655" s="60" t="n">
        <v>3</v>
      </c>
      <c r="AA655" s="60" t="n">
        <f aca="false">IF(A655="","",IF(AND(Parameter!$B$21="Ja",ISNUMBER(W655)),W655,IF(AND(Parameter!$E$27="Ja",ISNUMBER(Z655),CD655&lt;&gt;"Nein"),Z655,IF(CD655="2+3",IF(ISNUMBER(SEARCH("grosser Artikel",BV655)),2,IFERROR(VLOOKUP(BY655,Parameter!$F$35:$G$64,2,0),2)),IF(OR(CD655="Nein",CD655=""),"-",CD655)))))</f>
        <v>3</v>
      </c>
      <c r="AB655" s="67"/>
      <c r="AC655" s="68"/>
      <c r="AD655" s="62" t="n">
        <f aca="false">AW655</f>
        <v>2</v>
      </c>
      <c r="AE655" s="62" t="n">
        <f aca="false">MAX(AW655,H655)</f>
        <v>2</v>
      </c>
      <c r="AF655" s="69"/>
      <c r="AG655" s="62" t="n">
        <f aca="false">IF(LEFT(Cockpit!$C$5,1)="A",H655,IF(Parameter!$E$30="MAX-Bestand",IF(CI655=1,CJ655,IF(LEFT(Cockpit!$C$5,1)="B",AM655,MAX(AM655,H655))),ROUNDUP(AK655,0)))</f>
        <v>0</v>
      </c>
      <c r="AH655" s="62" t="n">
        <f aca="false">IF(CA655=1,0,ROUNDUP(AG655/BZ655,0))</f>
        <v>0</v>
      </c>
      <c r="AI655" s="64" t="n">
        <f aca="false">IF(CR655&gt;0,CR655*MAX(1,AG655/X655),IF(CA655=1,IF(AG655&lt;=0,0,CE655*MAX(1,IF(H655&gt;0,AG655/H655,1))),IF(R655&gt;0,AH655/R655,0))/MAX(0.1,N(Parameter!$M$21)))</f>
        <v>0</v>
      </c>
      <c r="AJ655" s="62" t="n">
        <f aca="false">AI655*CC655</f>
        <v>0</v>
      </c>
      <c r="AK655" s="63" t="n">
        <f aca="false">IF(LEFT(Cockpit!$C$5,1)="A",H655,IF(CI655=1,(CL655+CJ655)/2,IF(LEFT(Cockpit!$C$5,1)="B",(CL655+AM655)/2,MAX((CL655+AM655)/2,H655))))</f>
        <v>0</v>
      </c>
      <c r="AL655" s="62" t="n">
        <f aca="false">AK655*G655</f>
        <v>0</v>
      </c>
      <c r="AM655" s="62" t="n">
        <f aca="false">ROUNDUP(CL655+MAX(CM655,2*(J655/IF(CH655&gt;0,CH655,MAX(0.1,N(Cockpit!$C$6)))-CL655)),0)</f>
        <v>2</v>
      </c>
      <c r="AN655" s="63" t="n">
        <f aca="false">IF(AJ655&gt;0,J655/AJ655,-1)</f>
        <v>-1</v>
      </c>
      <c r="AO655" s="63" t="str">
        <f aca="false">IF(AND(OR(CG655="L1",CG655="L23",CG655="LIFT"),AJ655&gt;0),SUMIFS($AJ$7:$AJ$1843,$CG$7:$CG$1843,CG655,$AN$7:$AN$1843,"&gt;"&amp;AN655)+SUMIFS($AJ$7:$AJ$1843,$CG$7:$CG$1843,CG655,$AN$7:$AN$1843,AN655,$BX$7:$BX$1843,"&lt;="&amp;BX655),"")</f>
        <v/>
      </c>
      <c r="AP655" s="70" t="n">
        <f aca="false">IF(AO655="",0,MAX(0,MIN(1,(IF(CG655="L1",Parameter!$H$5,IF(CG655="L23",Parameter!$H$6+Parameter!$H$7,Parameter!$H$5+Parameter!$H$6+Parameter!$H$7))-(AO655-AJ655))/AJ655)))</f>
        <v>0</v>
      </c>
      <c r="AQ655" s="62" t="n">
        <f aca="false">IF(LEFT(Cockpit!$I$5,1)="A",H655,IF(Parameter!$E$30="MAX-Bestand",IF(CI655=1,CJ655,IF(LEFT(Cockpit!$I$5,1)="B",AW655,MAX(AW655,H655))),ROUNDUP(AU655,0)))</f>
        <v>1</v>
      </c>
      <c r="AR655" s="62" t="n">
        <f aca="false">IF(CA655=1,0,ROUNDUP(AQ655/BZ655,0))</f>
        <v>1</v>
      </c>
      <c r="AS655" s="64" t="n">
        <f aca="false">IF(CR655&gt;0,CR655*MAX(1,AQ655/X655),IF(CA655=1,IF(AQ655&lt;=0,0,CE655*MAX(1,IF(H655&gt;0,AQ655/H655,1))),IF(R655&gt;0,AR655/R655,0))/MAX(0.1,N(Parameter!$M$21)))</f>
        <v>0.0384615384615385</v>
      </c>
      <c r="AT655" s="62" t="n">
        <f aca="false">AS655*CC655</f>
        <v>5.96153846153846</v>
      </c>
      <c r="AU655" s="63" t="n">
        <f aca="false">IF(LEFT(Cockpit!$I$5,1)="A",H655,IF(CI655=1,(CL655+CJ655)/2,IF(LEFT(Cockpit!$I$5,1)="B",(CL655+AW655)/2,MAX((CL655+AW655)/2,H655))))</f>
        <v>1</v>
      </c>
      <c r="AV655" s="62" t="n">
        <f aca="false">AU655*G655</f>
        <v>42.14</v>
      </c>
      <c r="AW655" s="62" t="n">
        <f aca="false">ROUNDUP(CL655+MAX(CM655,2*(J655/IF(CH655&gt;0,CH655,MAX(0.1,N(Cockpit!$I$6)))-CL655)),0)</f>
        <v>2</v>
      </c>
      <c r="AX655" s="63" t="n">
        <f aca="false">IF(AT655&gt;0,J655/AT655,-1)</f>
        <v>0.335483870967742</v>
      </c>
      <c r="AY655" s="63" t="n">
        <f aca="false">IF(AND(OR(CG655="L1",CG655="L23",CG655="LIFT"),AT655&gt;0),SUMIFS($AT$7:$AT$1843,$CG$7:$CG$1843,CG655,$AX$7:$AX$1843,"&gt;"&amp;AX655)+SUMIFS($AT$7:$AT$1843,$CG$7:$CG$1843,CG655,$AX$7:$AX$1843,AX655,$BX$7:$BX$1843,"&lt;="&amp;BX655),"")</f>
        <v>13714.1955128205</v>
      </c>
      <c r="AZ655" s="70" t="n">
        <f aca="false">IF(AY655="",0,MAX(0,MIN(1,(IF(CG655="L1",Parameter!$H$5,IF(CG655="L23",Parameter!$H$6+Parameter!$H$7,Parameter!$H$5+Parameter!$H$6+Parameter!$H$7))-(AY655-AT655))/AT655)))</f>
        <v>1</v>
      </c>
      <c r="BA655" s="62" t="n">
        <f aca="false">IF(LEFT(Cockpit!$O$5,1)="A",H655,IF(Parameter!$E$30="MAX-Bestand",IF(CI655=1,CJ655,IF(LEFT(Cockpit!$O$5,1)="B",BG655,MAX(BG655,H655))),ROUNDUP(BE655,0)))</f>
        <v>1</v>
      </c>
      <c r="BB655" s="62" t="n">
        <f aca="false">IF(CA655=1,0,ROUNDUP(BA655/BZ655,0))</f>
        <v>1</v>
      </c>
      <c r="BC655" s="64" t="n">
        <f aca="false">IF(CR655&gt;0,CR655*MAX(1,BA655/X655),IF(CA655=1,IF(BA655&lt;=0,0,CE655*MAX(1,IF(H655&gt;0,BA655/H655,1))),IF(R655&gt;0,BB655/R655,0))/MAX(0.1,N(Parameter!$M$21)))</f>
        <v>0.0384615384615385</v>
      </c>
      <c r="BD655" s="62" t="n">
        <f aca="false">BC655*CC655</f>
        <v>5.96153846153846</v>
      </c>
      <c r="BE655" s="63" t="n">
        <f aca="false">IF(LEFT(Cockpit!$O$5,1)="A",H655,IF(CI655=1,(CL655+CJ655)/2,IF(LEFT(Cockpit!$O$5,1)="B",(CL655+BG655)/2,MAX((CL655+BG655)/2,H655))))</f>
        <v>0.5</v>
      </c>
      <c r="BF655" s="62" t="n">
        <f aca="false">BE655*G655</f>
        <v>21.07</v>
      </c>
      <c r="BG655" s="62" t="n">
        <f aca="false">ROUNDUP(CL655+MAX(CM655,2*(J655/IF(CH655&gt;0,CH655,MAX(0.1,N(Cockpit!$O$6)))-CL655)),0)</f>
        <v>1</v>
      </c>
      <c r="BH655" s="63" t="n">
        <f aca="false">IF(BD655&gt;0,J655/BD655,-1)</f>
        <v>0.335483870967742</v>
      </c>
      <c r="BI655" s="63" t="n">
        <f aca="false">IF(AND(OR(CG655="L1",CG655="L23",CG655="LIFT"),BD655&gt;0),SUMIFS($BD$7:$BD$1843,$CG$7:$CG$1843,CG655,$BH$7:$BH$1843,"&gt;"&amp;BH655)+SUMIFS($BD$7:$BD$1843,$CG$7:$CG$1843,CG655,$BH$7:$BH$1843,BH655,$BX$7:$BX$1843,"&lt;="&amp;BX655),"")</f>
        <v>11568.1350732601</v>
      </c>
      <c r="BJ655" s="70" t="n">
        <f aca="false">IF(BI655="",0,MAX(0,MIN(1,(IF(CG655="L1",Parameter!$H$5,IF(CG655="L23",Parameter!$H$6+Parameter!$H$7,Parameter!$H$5+Parameter!$H$6+Parameter!$H$7))-(BI655-BD655))/BD655)))</f>
        <v>1</v>
      </c>
      <c r="BK655" s="60" t="str">
        <f aca="false">IF(AJ655&lt;=0,"",IF(CG655="Aussen","Aussenlager",IF(CG655="-","Nicht im Lift",IF(AP655&gt;=1,"Lift",IF(AP655&lt;=0,"Aussenlager","teilweise")))))</f>
        <v/>
      </c>
      <c r="BL655" s="60" t="str">
        <f aca="false">IF(AT655&lt;=0,"",IF(CG655="Aussen","Aussenlager",IF(CG655="-","Nicht im Lift",IF(AZ655&gt;=1,"Lift",IF(AZ655&lt;=0,"Aussenlager","teilweise")))))</f>
        <v>Lift</v>
      </c>
      <c r="BM655" s="60" t="str">
        <f aca="false">IF(BD655&lt;=0,"",IF(CG655="Aussen","Aussenlager",IF(CG655="-","Nicht im Lift",IF(BJ655&gt;=1,"Lift",IF(BJ655&lt;=0,"Aussenlager","teilweise")))))</f>
        <v>Lift</v>
      </c>
      <c r="BN655" s="60" t="str">
        <f aca="false">IF(A655="","",IF(BW655=1,"Neu; ","")&amp;IF(AND(BW655=0,BR655&lt;0),"negativer Bestand (Export "&amp;BR655&amp;"); ","")&amp;IF(J655&lt;=0,"Kein Verbrauch; ","")&amp;IF(CR655&gt;0,"Lift "&amp;W655&amp;" lt. Liftbericht (Fach "&amp;X655&amp;" Stk); ",IF(CB655=1,"Gebinde geschätzt ("&amp;T655&amp;"); ",IF(CA655=1,"Lose – Tablare geschätzt; ","")))&amp;IF(H655&gt;AW655,"Überbestand "&amp;ROUND(H655-AW655,0)&amp;" Stk / CHF "&amp;ROUND((H655-AW655)*G655,0)&amp;"; ","")&amp;IF(AND(CI655=1,CJ655&lt;CK655),"MAX &lt; MB+LG; ","")&amp;IF(AND(CQ655&gt;0,CP655*10&gt;CQ655),"zu hoch für Tablar; ","")&amp;IF(AND(BW655=0,OR(CI655=1,AB655&lt;&gt;"",U655&lt;&gt;"",V655&lt;&gt;"",AC655&lt;&gt;"")),"manuell übersteuert; ","")&amp;IF(AND(CA655=0,R655=0),"Gebinde unbekannt / Stellmass fehlt; ","")&amp;IF(AND(CA655=0,N(V655)&lt;=0,N(Q655)&lt;=0),"Menge pro Gebinde fehlt (Ist = 1 Gebinde); ","")&amp;BV655)</f>
        <v>Gebinde geschätzt (Klein); Menge pro Gebinde fehlt (Ist = 1 Gebinde); </v>
      </c>
      <c r="BO655" s="60"/>
      <c r="BP655" s="60"/>
      <c r="BQ655" s="67"/>
      <c r="BR655" s="62" t="n">
        <v>0</v>
      </c>
      <c r="BS655" s="62" t="n">
        <v>0</v>
      </c>
      <c r="BT655" s="61" t="n">
        <v>1.13686837721616E-013</v>
      </c>
      <c r="BU655" s="62" t="n">
        <v>2</v>
      </c>
      <c r="BV655" s="60"/>
      <c r="BW655" s="65" t="n">
        <v>0</v>
      </c>
      <c r="BX655" s="65" t="n">
        <v>655</v>
      </c>
      <c r="BY655" s="60" t="str">
        <f aca="false">IF(U655&lt;&gt;"",UPPER(TRIM(U655)),IF(CB655=1,UPPER(VLOOKUP(T655,Parameter!$I$27:$K$29,2,0)),IF(P655="","LOSE",P655)))</f>
        <v>S51</v>
      </c>
      <c r="BZ655" s="62" t="n">
        <f aca="false">IF(BY655="LOSE",1,IF(N(V655)&gt;0,V655,IF(CB655=1,MAX(1,N(VLOOKUP(T655,Parameter!$I$27:$K$29,3,0)),H655,N(N655)),IF(N(Q655)&gt;0,Q655,MAX(1,H655)))))</f>
        <v>20</v>
      </c>
      <c r="CA655" s="65" t="n">
        <f aca="false">IF(BY655="LOSE",1,0)</f>
        <v>0</v>
      </c>
      <c r="CB655" s="65" t="n">
        <f aca="false">IF(AND(U655="",OR(P655="",P655="LOSE"),T655&lt;&gt;"",N(S655)&lt;=0,ISNUMBER(MATCH(T655,Parameter!$I$27:$I$29,0))),1,0)</f>
        <v>1</v>
      </c>
      <c r="CC655" s="65" t="n">
        <f aca="false">IF(CR655&gt;0,INDEX(Parameter!$H$5:$H$7,W655)/INDEX(Parameter!$E$5:$E$7,W655),IF(AND(CA655=0,N(IFERROR(VLOOKUP(BY655,'Gebinde-Kategorie'!$A$5:$N$45,14,0),0))&gt;0),VLOOKUP(BY655,'Gebinde-Kategorie'!$A$5:$N$45,14,0)*10+Parameter!$M$23,Parameter!$M$24))</f>
        <v>155</v>
      </c>
      <c r="CD655" s="60" t="str">
        <f aca="false">IF(AND(Parameter!$B$19="Ja",E655&lt;&gt;"",ISNUMBER(MATCH(E655,Parameter!$I$35:$I$52,0))),VLOOKUP(E655,Parameter!$I$35:$J$52,2,0),IFERROR(VLOOKUP(D655,Parameter!$A$35:$C$64,2,0),"Nein"))</f>
        <v>2+3</v>
      </c>
      <c r="CE655" s="64" t="n">
        <f aca="false">IF(CA655=0,0,IF(N(S655)&gt;0,S655,IFERROR(VLOOKUP(D655,Parameter!$A$35:$C$64,3,0)+0,0)))</f>
        <v>0</v>
      </c>
      <c r="CF655" s="60" t="n">
        <f aca="false">IF(AB655&lt;&gt;"",AB655,AA655)</f>
        <v>3</v>
      </c>
      <c r="CG655" s="60" t="str">
        <f aca="false">IF(OR(CF655=1,CF655=2,CF655=3),IF(Parameter!$E$27="Ja","LIFT",IF(CF655=1,"L1","L23")),IF(CF655="Aussen","Aussen","-"))</f>
        <v>LIFT</v>
      </c>
      <c r="CH655" s="71" t="n">
        <f aca="false">IF(N(AC655)&gt;0,AC655,0)</f>
        <v>0</v>
      </c>
      <c r="CI655" s="65" t="n">
        <f aca="false">IF(ISNUMBER(AF655),1,0)</f>
        <v>0</v>
      </c>
      <c r="CJ655" s="62" t="n">
        <f aca="false">N(AF655)</f>
        <v>0</v>
      </c>
      <c r="CK655" s="62" t="n">
        <f aca="false">N(M655)+N(N655)</f>
        <v>1</v>
      </c>
      <c r="CL655" s="62" t="n">
        <f aca="false">N(M655)</f>
        <v>0</v>
      </c>
      <c r="CM655" s="62" t="n">
        <f aca="false">N(N655)</f>
        <v>1</v>
      </c>
      <c r="CN655" s="62" t="n">
        <f aca="false">ROUNDUP(H655/BZ655,0)</f>
        <v>0</v>
      </c>
      <c r="CO655" s="62" t="n">
        <f aca="false">ROUNDUP(CJ655/BZ655,0)</f>
        <v>0</v>
      </c>
      <c r="CP655" s="65" t="n">
        <f aca="false">IF(CA655=1,0,IFERROR(VLOOKUP(BY655,'Gebinde-Kategorie'!$A$5:$N$45,5,0)+0,0))</f>
        <v>11</v>
      </c>
      <c r="CQ655" s="65" t="n">
        <f aca="false">IFERROR(IF(OR(CF655=1,CF655=2,CF655=3),N(INDEX(Parameter!$I$5:$I$7,CF655)),0),0)</f>
        <v>0</v>
      </c>
      <c r="CR655" s="64" t="n">
        <f aca="false">IF(AND(Parameter!$B$21="Ja",ISNUMBER(W655),N(X655)&gt;0),IFERROR(N(INDEX(Parameter!$L$5:$L$7,W655))*INDEX(Parameter!$E$5:$E$7,W655)*X655/SUMIFS($X$7:$X$1843,$W$7:$W$1843,W655),0),0)</f>
        <v>0</v>
      </c>
      <c r="CS655" s="62" t="str">
        <f aca="false">IF(AND(OR(CG655="L1",CG655="L23",CG655="LIFT"),H655&gt;0),CC655*IF(CR655&gt;0,CR655*MAX(1,H655/X655),IF(CA655=1,CE655,IF(R655&gt;0,CN655/R655,0))/MAX(0.1,N(Parameter!$M$21))),"")</f>
        <v/>
      </c>
      <c r="CT655" s="64" t="str">
        <f aca="false">IF(CS655="","",J655/H655)</f>
        <v/>
      </c>
      <c r="CU655" s="62" t="str">
        <f aca="false">IF(CS655="","",H655*G655)</f>
        <v/>
      </c>
      <c r="CV655" s="63" t="str">
        <f aca="false">IF(CS655="","",(CL655+ROUNDUP(CL655+MAX(CM655,2*(J655/MAX(0.1,N(Einkauf!$C$6))-CL655)),0))/2)</f>
        <v/>
      </c>
      <c r="CW655" s="62" t="str">
        <f aca="false">IF(CS655="","",MAX(0,H655-CV655)*G655)</f>
        <v/>
      </c>
      <c r="CX655" s="62" t="str">
        <f aca="false">IF(CS655="","",CS655*MAX(0,1-CV655/H655))</f>
        <v/>
      </c>
      <c r="CY655" s="64" t="str">
        <f aca="false">IF(CS655="","",PERCENTRANK($CS$7:$CS$1843,CS655)+PERCENTRANK($CU$7:$CU$1843,CU655)+1-PERCENTRANK($CT$7:$CT$1843,CT655))</f>
        <v/>
      </c>
      <c r="CZ655" s="72" t="str">
        <f aca="false">IF(CS655="","",CHOOSE(MATCH(Einkauf!$C$5,Parameter!$G$23:$G$27,0),CY655,CS655,CU655,-CT655,CW655)+ROW()/1000000000)</f>
        <v/>
      </c>
    </row>
    <row r="656" customFormat="false" ht="15" hidden="false" customHeight="false" outlineLevel="0" collapsed="false">
      <c r="A656" s="60" t="s">
        <v>1367</v>
      </c>
      <c r="B656" s="60" t="s">
        <v>551</v>
      </c>
      <c r="C656" s="60" t="s">
        <v>206</v>
      </c>
      <c r="D656" s="60" t="s">
        <v>215</v>
      </c>
      <c r="E656" s="60" t="s">
        <v>215</v>
      </c>
      <c r="F656" s="60" t="s">
        <v>260</v>
      </c>
      <c r="G656" s="61" t="n">
        <v>444.6</v>
      </c>
      <c r="H656" s="62" t="n">
        <f aca="false">MAX(0,IF(AND(Parameter!$B$21="Ja",ISNUMBER(Y656)),Y656,IF(Parameter!$B$20="Jahresanfang 2025 + Export",BS656+BR656,BR656)))</f>
        <v>0</v>
      </c>
      <c r="I656" s="62" t="n">
        <f aca="false">H656*G656</f>
        <v>0</v>
      </c>
      <c r="J656" s="62" t="n">
        <f aca="false">BU656*Parameter!$B$18</f>
        <v>2</v>
      </c>
      <c r="K656" s="63" t="n">
        <v>0</v>
      </c>
      <c r="L656" s="64" t="n">
        <v>0</v>
      </c>
      <c r="M656" s="62" t="n">
        <v>0</v>
      </c>
      <c r="N656" s="62" t="n">
        <v>1</v>
      </c>
      <c r="O656" s="65" t="n">
        <v>42</v>
      </c>
      <c r="P656" s="60" t="s">
        <v>210</v>
      </c>
      <c r="Q656" s="62"/>
      <c r="R656" s="65" t="n">
        <f aca="false">IF(CA656=1,0,IFERROR(VLOOKUP(BY656,'Gebinde-Kategorie'!$A$5:$N$45,13,0)+0,0))</f>
        <v>12</v>
      </c>
      <c r="S656" s="66"/>
      <c r="T656" s="67" t="s">
        <v>221</v>
      </c>
      <c r="U656" s="67"/>
      <c r="V656" s="67"/>
      <c r="W656" s="60"/>
      <c r="X656" s="62"/>
      <c r="Y656" s="62"/>
      <c r="Z656" s="60"/>
      <c r="AA656" s="60" t="str">
        <f aca="false">IF(A656="","",IF(AND(Parameter!$B$21="Ja",ISNUMBER(W656)),W656,IF(AND(Parameter!$E$27="Ja",ISNUMBER(Z656),CD656&lt;&gt;"Nein"),Z656,IF(CD656="2+3",IF(ISNUMBER(SEARCH("grosser Artikel",BV656)),2,IFERROR(VLOOKUP(BY656,Parameter!$F$35:$G$64,2,0),2)),IF(OR(CD656="Nein",CD656=""),"-",CD656)))))</f>
        <v>-</v>
      </c>
      <c r="AB656" s="67"/>
      <c r="AC656" s="68"/>
      <c r="AD656" s="62" t="n">
        <f aca="false">AW656</f>
        <v>2</v>
      </c>
      <c r="AE656" s="62" t="n">
        <f aca="false">MAX(AW656,H656)</f>
        <v>2</v>
      </c>
      <c r="AF656" s="69"/>
      <c r="AG656" s="62" t="n">
        <f aca="false">IF(LEFT(Cockpit!$C$5,1)="A",H656,IF(Parameter!$E$30="MAX-Bestand",IF(CI656=1,CJ656,IF(LEFT(Cockpit!$C$5,1)="B",AM656,MAX(AM656,H656))),ROUNDUP(AK656,0)))</f>
        <v>0</v>
      </c>
      <c r="AH656" s="62" t="n">
        <f aca="false">IF(CA656=1,0,ROUNDUP(AG656/BZ656,0))</f>
        <v>0</v>
      </c>
      <c r="AI656" s="64" t="n">
        <f aca="false">IF(CR656&gt;0,CR656*MAX(1,AG656/X656),IF(CA656=1,IF(AG656&lt;=0,0,CE656*MAX(1,IF(H656&gt;0,AG656/H656,1))),IF(R656&gt;0,AH656/R656,0))/MAX(0.1,N(Parameter!$M$21)))</f>
        <v>0</v>
      </c>
      <c r="AJ656" s="62" t="n">
        <f aca="false">AI656*CC656</f>
        <v>0</v>
      </c>
      <c r="AK656" s="63" t="n">
        <f aca="false">IF(LEFT(Cockpit!$C$5,1)="A",H656,IF(CI656=1,(CL656+CJ656)/2,IF(LEFT(Cockpit!$C$5,1)="B",(CL656+AM656)/2,MAX((CL656+AM656)/2,H656))))</f>
        <v>0</v>
      </c>
      <c r="AL656" s="62" t="n">
        <f aca="false">AK656*G656</f>
        <v>0</v>
      </c>
      <c r="AM656" s="62" t="n">
        <f aca="false">ROUNDUP(CL656+MAX(CM656,2*(J656/IF(CH656&gt;0,CH656,MAX(0.1,N(Cockpit!$C$6)))-CL656)),0)</f>
        <v>2</v>
      </c>
      <c r="AN656" s="63" t="n">
        <f aca="false">IF(AJ656&gt;0,J656/AJ656,-1)</f>
        <v>-1</v>
      </c>
      <c r="AO656" s="63" t="str">
        <f aca="false">IF(AND(OR(CG656="L1",CG656="L23",CG656="LIFT"),AJ656&gt;0),SUMIFS($AJ$7:$AJ$1843,$CG$7:$CG$1843,CG656,$AN$7:$AN$1843,"&gt;"&amp;AN656)+SUMIFS($AJ$7:$AJ$1843,$CG$7:$CG$1843,CG656,$AN$7:$AN$1843,AN656,$BX$7:$BX$1843,"&lt;="&amp;BX656),"")</f>
        <v/>
      </c>
      <c r="AP656" s="70" t="n">
        <f aca="false">IF(AO656="",0,MAX(0,MIN(1,(IF(CG656="L1",Parameter!$H$5,IF(CG656="L23",Parameter!$H$6+Parameter!$H$7,Parameter!$H$5+Parameter!$H$6+Parameter!$H$7))-(AO656-AJ656))/AJ656)))</f>
        <v>0</v>
      </c>
      <c r="AQ656" s="62" t="n">
        <f aca="false">IF(LEFT(Cockpit!$I$5,1)="A",H656,IF(Parameter!$E$30="MAX-Bestand",IF(CI656=1,CJ656,IF(LEFT(Cockpit!$I$5,1)="B",AW656,MAX(AW656,H656))),ROUNDUP(AU656,0)))</f>
        <v>1</v>
      </c>
      <c r="AR656" s="62" t="n">
        <f aca="false">IF(CA656=1,0,ROUNDUP(AQ656/BZ656,0))</f>
        <v>1</v>
      </c>
      <c r="AS656" s="64" t="n">
        <f aca="false">IF(CR656&gt;0,CR656*MAX(1,AQ656/X656),IF(CA656=1,IF(AQ656&lt;=0,0,CE656*MAX(1,IF(H656&gt;0,AQ656/H656,1))),IF(R656&gt;0,AR656/R656,0))/MAX(0.1,N(Parameter!$M$21)))</f>
        <v>0.0833333333333333</v>
      </c>
      <c r="AT656" s="62" t="n">
        <f aca="false">AS656*CC656</f>
        <v>12.0833333333333</v>
      </c>
      <c r="AU656" s="63" t="n">
        <f aca="false">IF(LEFT(Cockpit!$I$5,1)="A",H656,IF(CI656=1,(CL656+CJ656)/2,IF(LEFT(Cockpit!$I$5,1)="B",(CL656+AW656)/2,MAX((CL656+AW656)/2,H656))))</f>
        <v>1</v>
      </c>
      <c r="AV656" s="62" t="n">
        <f aca="false">AU656*G656</f>
        <v>444.6</v>
      </c>
      <c r="AW656" s="62" t="n">
        <f aca="false">ROUNDUP(CL656+MAX(CM656,2*(J656/IF(CH656&gt;0,CH656,MAX(0.1,N(Cockpit!$I$6)))-CL656)),0)</f>
        <v>2</v>
      </c>
      <c r="AX656" s="63" t="n">
        <f aca="false">IF(AT656&gt;0,J656/AT656,-1)</f>
        <v>0.16551724137931</v>
      </c>
      <c r="AY656" s="63" t="str">
        <f aca="false">IF(AND(OR(CG656="L1",CG656="L23",CG656="LIFT"),AT656&gt;0),SUMIFS($AT$7:$AT$1843,$CG$7:$CG$1843,CG656,$AX$7:$AX$1843,"&gt;"&amp;AX656)+SUMIFS($AT$7:$AT$1843,$CG$7:$CG$1843,CG656,$AX$7:$AX$1843,AX656,$BX$7:$BX$1843,"&lt;="&amp;BX656),"")</f>
        <v/>
      </c>
      <c r="AZ656" s="70" t="n">
        <f aca="false">IF(AY656="",0,MAX(0,MIN(1,(IF(CG656="L1",Parameter!$H$5,IF(CG656="L23",Parameter!$H$6+Parameter!$H$7,Parameter!$H$5+Parameter!$H$6+Parameter!$H$7))-(AY656-AT656))/AT656)))</f>
        <v>0</v>
      </c>
      <c r="BA656" s="62" t="n">
        <f aca="false">IF(LEFT(Cockpit!$O$5,1)="A",H656,IF(Parameter!$E$30="MAX-Bestand",IF(CI656=1,CJ656,IF(LEFT(Cockpit!$O$5,1)="B",BG656,MAX(BG656,H656))),ROUNDUP(BE656,0)))</f>
        <v>1</v>
      </c>
      <c r="BB656" s="62" t="n">
        <f aca="false">IF(CA656=1,0,ROUNDUP(BA656/BZ656,0))</f>
        <v>1</v>
      </c>
      <c r="BC656" s="64" t="n">
        <f aca="false">IF(CR656&gt;0,CR656*MAX(1,BA656/X656),IF(CA656=1,IF(BA656&lt;=0,0,CE656*MAX(1,IF(H656&gt;0,BA656/H656,1))),IF(R656&gt;0,BB656/R656,0))/MAX(0.1,N(Parameter!$M$21)))</f>
        <v>0.0833333333333333</v>
      </c>
      <c r="BD656" s="62" t="n">
        <f aca="false">BC656*CC656</f>
        <v>12.0833333333333</v>
      </c>
      <c r="BE656" s="63" t="n">
        <f aca="false">IF(LEFT(Cockpit!$O$5,1)="A",H656,IF(CI656=1,(CL656+CJ656)/2,IF(LEFT(Cockpit!$O$5,1)="B",(CL656+BG656)/2,MAX((CL656+BG656)/2,H656))))</f>
        <v>0.5</v>
      </c>
      <c r="BF656" s="62" t="n">
        <f aca="false">BE656*G656</f>
        <v>222.3</v>
      </c>
      <c r="BG656" s="62" t="n">
        <f aca="false">ROUNDUP(CL656+MAX(CM656,2*(J656/IF(CH656&gt;0,CH656,MAX(0.1,N(Cockpit!$O$6)))-CL656)),0)</f>
        <v>1</v>
      </c>
      <c r="BH656" s="63" t="n">
        <f aca="false">IF(BD656&gt;0,J656/BD656,-1)</f>
        <v>0.16551724137931</v>
      </c>
      <c r="BI656" s="63" t="str">
        <f aca="false">IF(AND(OR(CG656="L1",CG656="L23",CG656="LIFT"),BD656&gt;0),SUMIFS($BD$7:$BD$1843,$CG$7:$CG$1843,CG656,$BH$7:$BH$1843,"&gt;"&amp;BH656)+SUMIFS($BD$7:$BD$1843,$CG$7:$CG$1843,CG656,$BH$7:$BH$1843,BH656,$BX$7:$BX$1843,"&lt;="&amp;BX656),"")</f>
        <v/>
      </c>
      <c r="BJ656" s="70" t="n">
        <f aca="false">IF(BI656="",0,MAX(0,MIN(1,(IF(CG656="L1",Parameter!$H$5,IF(CG656="L23",Parameter!$H$6+Parameter!$H$7,Parameter!$H$5+Parameter!$H$6+Parameter!$H$7))-(BI656-BD656))/BD656)))</f>
        <v>0</v>
      </c>
      <c r="BK656" s="60" t="str">
        <f aca="false">IF(AJ656&lt;=0,"",IF(CG656="Aussen","Aussenlager",IF(CG656="-","Nicht im Lift",IF(AP656&gt;=1,"Lift",IF(AP656&lt;=0,"Aussenlager","teilweise")))))</f>
        <v/>
      </c>
      <c r="BL656" s="60" t="str">
        <f aca="false">IF(AT656&lt;=0,"",IF(CG656="Aussen","Aussenlager",IF(CG656="-","Nicht im Lift",IF(AZ656&gt;=1,"Lift",IF(AZ656&lt;=0,"Aussenlager","teilweise")))))</f>
        <v>Nicht im Lift</v>
      </c>
      <c r="BM656" s="60" t="str">
        <f aca="false">IF(BD656&lt;=0,"",IF(CG656="Aussen","Aussenlager",IF(CG656="-","Nicht im Lift",IF(BJ656&gt;=1,"Lift",IF(BJ656&lt;=0,"Aussenlager","teilweise")))))</f>
        <v>Nicht im Lift</v>
      </c>
      <c r="BN656" s="60" t="str">
        <f aca="false">IF(A656="","",IF(BW656=1,"Neu; ","")&amp;IF(AND(BW656=0,BR656&lt;0),"negativer Bestand (Export "&amp;BR656&amp;"); ","")&amp;IF(J656&lt;=0,"Kein Verbrauch; ","")&amp;IF(CR656&gt;0,"Lift "&amp;W656&amp;" lt. Liftbericht (Fach "&amp;X656&amp;" Stk); ",IF(CB656=1,"Gebinde geschätzt ("&amp;T656&amp;"); ",IF(CA656=1,"Lose – Tablare geschätzt; ","")))&amp;IF(H656&gt;AW656,"Überbestand "&amp;ROUND(H656-AW656,0)&amp;" Stk / CHF "&amp;ROUND((H656-AW656)*G656,0)&amp;"; ","")&amp;IF(AND(CI656=1,CJ656&lt;CK656),"MAX &lt; MB+LG; ","")&amp;IF(AND(CQ656&gt;0,CP656*10&gt;CQ656),"zu hoch für Tablar; ","")&amp;IF(AND(BW656=0,OR(CI656=1,AB656&lt;&gt;"",U656&lt;&gt;"",V656&lt;&gt;"",AC656&lt;&gt;"")),"manuell übersteuert; ","")&amp;IF(AND(CA656=0,R656=0),"Gebinde unbekannt / Stellmass fehlt; ","")&amp;IF(AND(CA656=0,N(V656)&lt;=0,N(Q656)&lt;=0),"Menge pro Gebinde fehlt (Ist = 1 Gebinde); ","")&amp;BV656)</f>
        <v>Gebinde geschätzt (Mittel); Menge pro Gebinde fehlt (Ist = 1 Gebinde); </v>
      </c>
      <c r="BO656" s="60"/>
      <c r="BP656" s="60"/>
      <c r="BQ656" s="67"/>
      <c r="BR656" s="62" t="n">
        <v>0</v>
      </c>
      <c r="BS656" s="62" t="n">
        <v>0</v>
      </c>
      <c r="BT656" s="61" t="n">
        <v>1.13686837721616E-013</v>
      </c>
      <c r="BU656" s="62" t="n">
        <v>2</v>
      </c>
      <c r="BV656" s="60"/>
      <c r="BW656" s="65" t="n">
        <v>0</v>
      </c>
      <c r="BX656" s="65" t="n">
        <v>656</v>
      </c>
      <c r="BY656" s="60" t="str">
        <f aca="false">IF(U656&lt;&gt;"",UPPER(TRIM(U656)),IF(CB656=1,UPPER(VLOOKUP(T656,Parameter!$I$27:$K$29,2,0)),IF(P656="","LOSE",P656)))</f>
        <v>S61</v>
      </c>
      <c r="BZ656" s="62" t="n">
        <f aca="false">IF(BY656="LOSE",1,IF(N(V656)&gt;0,V656,IF(CB656=1,MAX(1,N(VLOOKUP(T656,Parameter!$I$27:$K$29,3,0)),H656,N(N656)),IF(N(Q656)&gt;0,Q656,MAX(1,H656)))))</f>
        <v>4</v>
      </c>
      <c r="CA656" s="65" t="n">
        <f aca="false">IF(BY656="LOSE",1,0)</f>
        <v>0</v>
      </c>
      <c r="CB656" s="65" t="n">
        <f aca="false">IF(AND(U656="",OR(P656="",P656="LOSE"),T656&lt;&gt;"",N(S656)&lt;=0,ISNUMBER(MATCH(T656,Parameter!$I$27:$I$29,0))),1,0)</f>
        <v>1</v>
      </c>
      <c r="CC656" s="65" t="n">
        <f aca="false">IF(CR656&gt;0,INDEX(Parameter!$H$5:$H$7,W656)/INDEX(Parameter!$E$5:$E$7,W656),IF(AND(CA656=0,N(IFERROR(VLOOKUP(BY656,'Gebinde-Kategorie'!$A$5:$N$45,14,0),0))&gt;0),VLOOKUP(BY656,'Gebinde-Kategorie'!$A$5:$N$45,14,0)*10+Parameter!$M$23,Parameter!$M$24))</f>
        <v>145</v>
      </c>
      <c r="CD656" s="60" t="str">
        <f aca="false">IF(AND(Parameter!$B$19="Ja",E656&lt;&gt;"",ISNUMBER(MATCH(E656,Parameter!$I$35:$I$52,0))),VLOOKUP(E656,Parameter!$I$35:$J$52,2,0),IFERROR(VLOOKUP(D656,Parameter!$A$35:$C$64,2,0),"Nein"))</f>
        <v>Nein</v>
      </c>
      <c r="CE656" s="64" t="n">
        <f aca="false">IF(CA656=0,0,IF(N(S656)&gt;0,S656,IFERROR(VLOOKUP(D656,Parameter!$A$35:$C$64,3,0)+0,0)))</f>
        <v>0</v>
      </c>
      <c r="CF656" s="60" t="str">
        <f aca="false">IF(AB656&lt;&gt;"",AB656,AA656)</f>
        <v>-</v>
      </c>
      <c r="CG656" s="60" t="str">
        <f aca="false">IF(OR(CF656=1,CF656=2,CF656=3),IF(Parameter!$E$27="Ja","LIFT",IF(CF656=1,"L1","L23")),IF(CF656="Aussen","Aussen","-"))</f>
        <v>-</v>
      </c>
      <c r="CH656" s="71" t="n">
        <f aca="false">IF(N(AC656)&gt;0,AC656,0)</f>
        <v>0</v>
      </c>
      <c r="CI656" s="65" t="n">
        <f aca="false">IF(ISNUMBER(AF656),1,0)</f>
        <v>0</v>
      </c>
      <c r="CJ656" s="62" t="n">
        <f aca="false">N(AF656)</f>
        <v>0</v>
      </c>
      <c r="CK656" s="62" t="n">
        <f aca="false">N(M656)+N(N656)</f>
        <v>1</v>
      </c>
      <c r="CL656" s="62" t="n">
        <f aca="false">N(M656)</f>
        <v>0</v>
      </c>
      <c r="CM656" s="62" t="n">
        <f aca="false">N(N656)</f>
        <v>1</v>
      </c>
      <c r="CN656" s="62" t="n">
        <f aca="false">ROUNDUP(H656/BZ656,0)</f>
        <v>0</v>
      </c>
      <c r="CO656" s="62" t="n">
        <f aca="false">ROUNDUP(CJ656/BZ656,0)</f>
        <v>0</v>
      </c>
      <c r="CP656" s="65" t="n">
        <f aca="false">IF(CA656=1,0,IFERROR(VLOOKUP(BY656,'Gebinde-Kategorie'!$A$5:$N$45,5,0)+0,0))</f>
        <v>11</v>
      </c>
      <c r="CQ656" s="65" t="n">
        <f aca="false">IFERROR(IF(OR(CF656=1,CF656=2,CF656=3),N(INDEX(Parameter!$I$5:$I$7,CF656)),0),0)</f>
        <v>0</v>
      </c>
      <c r="CR656" s="64" t="n">
        <f aca="false">IF(AND(Parameter!$B$21="Ja",ISNUMBER(W656),N(X656)&gt;0),IFERROR(N(INDEX(Parameter!$L$5:$L$7,W656))*INDEX(Parameter!$E$5:$E$7,W656)*X656/SUMIFS($X$7:$X$1843,$W$7:$W$1843,W656),0),0)</f>
        <v>0</v>
      </c>
      <c r="CS656" s="62" t="str">
        <f aca="false">IF(AND(OR(CG656="L1",CG656="L23",CG656="LIFT"),H656&gt;0),CC656*IF(CR656&gt;0,CR656*MAX(1,H656/X656),IF(CA656=1,CE656,IF(R656&gt;0,CN656/R656,0))/MAX(0.1,N(Parameter!$M$21))),"")</f>
        <v/>
      </c>
      <c r="CT656" s="64" t="str">
        <f aca="false">IF(CS656="","",J656/H656)</f>
        <v/>
      </c>
      <c r="CU656" s="62" t="str">
        <f aca="false">IF(CS656="","",H656*G656)</f>
        <v/>
      </c>
      <c r="CV656" s="63" t="str">
        <f aca="false">IF(CS656="","",(CL656+ROUNDUP(CL656+MAX(CM656,2*(J656/MAX(0.1,N(Einkauf!$C$6))-CL656)),0))/2)</f>
        <v/>
      </c>
      <c r="CW656" s="62" t="str">
        <f aca="false">IF(CS656="","",MAX(0,H656-CV656)*G656)</f>
        <v/>
      </c>
      <c r="CX656" s="62" t="str">
        <f aca="false">IF(CS656="","",CS656*MAX(0,1-CV656/H656))</f>
        <v/>
      </c>
      <c r="CY656" s="64" t="str">
        <f aca="false">IF(CS656="","",PERCENTRANK($CS$7:$CS$1843,CS656)+PERCENTRANK($CU$7:$CU$1843,CU656)+1-PERCENTRANK($CT$7:$CT$1843,CT656))</f>
        <v/>
      </c>
      <c r="CZ656" s="72" t="str">
        <f aca="false">IF(CS656="","",CHOOSE(MATCH(Einkauf!$C$5,Parameter!$G$23:$G$27,0),CY656,CS656,CU656,-CT656,CW656)+ROW()/1000000000)</f>
        <v/>
      </c>
    </row>
    <row r="657" customFormat="false" ht="15" hidden="false" customHeight="false" outlineLevel="0" collapsed="false">
      <c r="A657" s="60" t="s">
        <v>1368</v>
      </c>
      <c r="B657" s="60" t="s">
        <v>740</v>
      </c>
      <c r="C657" s="60" t="s">
        <v>206</v>
      </c>
      <c r="D657" s="60" t="s">
        <v>215</v>
      </c>
      <c r="E657" s="60" t="s">
        <v>215</v>
      </c>
      <c r="F657" s="60" t="s">
        <v>260</v>
      </c>
      <c r="G657" s="61" t="n">
        <v>444.6</v>
      </c>
      <c r="H657" s="62" t="n">
        <f aca="false">MAX(0,IF(AND(Parameter!$B$21="Ja",ISNUMBER(Y657)),Y657,IF(Parameter!$B$20="Jahresanfang 2025 + Export",BS657+BR657,BR657)))</f>
        <v>0</v>
      </c>
      <c r="I657" s="62" t="n">
        <f aca="false">H657*G657</f>
        <v>0</v>
      </c>
      <c r="J657" s="62" t="n">
        <f aca="false">BU657*Parameter!$B$18</f>
        <v>2</v>
      </c>
      <c r="K657" s="63" t="n">
        <v>0</v>
      </c>
      <c r="L657" s="64" t="n">
        <v>0</v>
      </c>
      <c r="M657" s="62" t="n">
        <v>0</v>
      </c>
      <c r="N657" s="62" t="n">
        <v>1</v>
      </c>
      <c r="O657" s="65" t="n">
        <v>42</v>
      </c>
      <c r="P657" s="60" t="s">
        <v>210</v>
      </c>
      <c r="Q657" s="62"/>
      <c r="R657" s="65" t="n">
        <f aca="false">IF(CA657=1,0,IFERROR(VLOOKUP(BY657,'Gebinde-Kategorie'!$A$5:$N$45,13,0)+0,0))</f>
        <v>12</v>
      </c>
      <c r="S657" s="66"/>
      <c r="T657" s="67" t="s">
        <v>221</v>
      </c>
      <c r="U657" s="67"/>
      <c r="V657" s="67"/>
      <c r="W657" s="60"/>
      <c r="X657" s="62"/>
      <c r="Y657" s="62"/>
      <c r="Z657" s="60"/>
      <c r="AA657" s="60" t="str">
        <f aca="false">IF(A657="","",IF(AND(Parameter!$B$21="Ja",ISNUMBER(W657)),W657,IF(AND(Parameter!$E$27="Ja",ISNUMBER(Z657),CD657&lt;&gt;"Nein"),Z657,IF(CD657="2+3",IF(ISNUMBER(SEARCH("grosser Artikel",BV657)),2,IFERROR(VLOOKUP(BY657,Parameter!$F$35:$G$64,2,0),2)),IF(OR(CD657="Nein",CD657=""),"-",CD657)))))</f>
        <v>-</v>
      </c>
      <c r="AB657" s="67"/>
      <c r="AC657" s="68"/>
      <c r="AD657" s="62" t="n">
        <f aca="false">AW657</f>
        <v>2</v>
      </c>
      <c r="AE657" s="62" t="n">
        <f aca="false">MAX(AW657,H657)</f>
        <v>2</v>
      </c>
      <c r="AF657" s="69"/>
      <c r="AG657" s="62" t="n">
        <f aca="false">IF(LEFT(Cockpit!$C$5,1)="A",H657,IF(Parameter!$E$30="MAX-Bestand",IF(CI657=1,CJ657,IF(LEFT(Cockpit!$C$5,1)="B",AM657,MAX(AM657,H657))),ROUNDUP(AK657,0)))</f>
        <v>0</v>
      </c>
      <c r="AH657" s="62" t="n">
        <f aca="false">IF(CA657=1,0,ROUNDUP(AG657/BZ657,0))</f>
        <v>0</v>
      </c>
      <c r="AI657" s="64" t="n">
        <f aca="false">IF(CR657&gt;0,CR657*MAX(1,AG657/X657),IF(CA657=1,IF(AG657&lt;=0,0,CE657*MAX(1,IF(H657&gt;0,AG657/H657,1))),IF(R657&gt;0,AH657/R657,0))/MAX(0.1,N(Parameter!$M$21)))</f>
        <v>0</v>
      </c>
      <c r="AJ657" s="62" t="n">
        <f aca="false">AI657*CC657</f>
        <v>0</v>
      </c>
      <c r="AK657" s="63" t="n">
        <f aca="false">IF(LEFT(Cockpit!$C$5,1)="A",H657,IF(CI657=1,(CL657+CJ657)/2,IF(LEFT(Cockpit!$C$5,1)="B",(CL657+AM657)/2,MAX((CL657+AM657)/2,H657))))</f>
        <v>0</v>
      </c>
      <c r="AL657" s="62" t="n">
        <f aca="false">AK657*G657</f>
        <v>0</v>
      </c>
      <c r="AM657" s="62" t="n">
        <f aca="false">ROUNDUP(CL657+MAX(CM657,2*(J657/IF(CH657&gt;0,CH657,MAX(0.1,N(Cockpit!$C$6)))-CL657)),0)</f>
        <v>2</v>
      </c>
      <c r="AN657" s="63" t="n">
        <f aca="false">IF(AJ657&gt;0,J657/AJ657,-1)</f>
        <v>-1</v>
      </c>
      <c r="AO657" s="63" t="str">
        <f aca="false">IF(AND(OR(CG657="L1",CG657="L23",CG657="LIFT"),AJ657&gt;0),SUMIFS($AJ$7:$AJ$1843,$CG$7:$CG$1843,CG657,$AN$7:$AN$1843,"&gt;"&amp;AN657)+SUMIFS($AJ$7:$AJ$1843,$CG$7:$CG$1843,CG657,$AN$7:$AN$1843,AN657,$BX$7:$BX$1843,"&lt;="&amp;BX657),"")</f>
        <v/>
      </c>
      <c r="AP657" s="70" t="n">
        <f aca="false">IF(AO657="",0,MAX(0,MIN(1,(IF(CG657="L1",Parameter!$H$5,IF(CG657="L23",Parameter!$H$6+Parameter!$H$7,Parameter!$H$5+Parameter!$H$6+Parameter!$H$7))-(AO657-AJ657))/AJ657)))</f>
        <v>0</v>
      </c>
      <c r="AQ657" s="62" t="n">
        <f aca="false">IF(LEFT(Cockpit!$I$5,1)="A",H657,IF(Parameter!$E$30="MAX-Bestand",IF(CI657=1,CJ657,IF(LEFT(Cockpit!$I$5,1)="B",AW657,MAX(AW657,H657))),ROUNDUP(AU657,0)))</f>
        <v>1</v>
      </c>
      <c r="AR657" s="62" t="n">
        <f aca="false">IF(CA657=1,0,ROUNDUP(AQ657/BZ657,0))</f>
        <v>1</v>
      </c>
      <c r="AS657" s="64" t="n">
        <f aca="false">IF(CR657&gt;0,CR657*MAX(1,AQ657/X657),IF(CA657=1,IF(AQ657&lt;=0,0,CE657*MAX(1,IF(H657&gt;0,AQ657/H657,1))),IF(R657&gt;0,AR657/R657,0))/MAX(0.1,N(Parameter!$M$21)))</f>
        <v>0.0833333333333333</v>
      </c>
      <c r="AT657" s="62" t="n">
        <f aca="false">AS657*CC657</f>
        <v>12.0833333333333</v>
      </c>
      <c r="AU657" s="63" t="n">
        <f aca="false">IF(LEFT(Cockpit!$I$5,1)="A",H657,IF(CI657=1,(CL657+CJ657)/2,IF(LEFT(Cockpit!$I$5,1)="B",(CL657+AW657)/2,MAX((CL657+AW657)/2,H657))))</f>
        <v>1</v>
      </c>
      <c r="AV657" s="62" t="n">
        <f aca="false">AU657*G657</f>
        <v>444.6</v>
      </c>
      <c r="AW657" s="62" t="n">
        <f aca="false">ROUNDUP(CL657+MAX(CM657,2*(J657/IF(CH657&gt;0,CH657,MAX(0.1,N(Cockpit!$I$6)))-CL657)),0)</f>
        <v>2</v>
      </c>
      <c r="AX657" s="63" t="n">
        <f aca="false">IF(AT657&gt;0,J657/AT657,-1)</f>
        <v>0.16551724137931</v>
      </c>
      <c r="AY657" s="63" t="str">
        <f aca="false">IF(AND(OR(CG657="L1",CG657="L23",CG657="LIFT"),AT657&gt;0),SUMIFS($AT$7:$AT$1843,$CG$7:$CG$1843,CG657,$AX$7:$AX$1843,"&gt;"&amp;AX657)+SUMIFS($AT$7:$AT$1843,$CG$7:$CG$1843,CG657,$AX$7:$AX$1843,AX657,$BX$7:$BX$1843,"&lt;="&amp;BX657),"")</f>
        <v/>
      </c>
      <c r="AZ657" s="70" t="n">
        <f aca="false">IF(AY657="",0,MAX(0,MIN(1,(IF(CG657="L1",Parameter!$H$5,IF(CG657="L23",Parameter!$H$6+Parameter!$H$7,Parameter!$H$5+Parameter!$H$6+Parameter!$H$7))-(AY657-AT657))/AT657)))</f>
        <v>0</v>
      </c>
      <c r="BA657" s="62" t="n">
        <f aca="false">IF(LEFT(Cockpit!$O$5,1)="A",H657,IF(Parameter!$E$30="MAX-Bestand",IF(CI657=1,CJ657,IF(LEFT(Cockpit!$O$5,1)="B",BG657,MAX(BG657,H657))),ROUNDUP(BE657,0)))</f>
        <v>1</v>
      </c>
      <c r="BB657" s="62" t="n">
        <f aca="false">IF(CA657=1,0,ROUNDUP(BA657/BZ657,0))</f>
        <v>1</v>
      </c>
      <c r="BC657" s="64" t="n">
        <f aca="false">IF(CR657&gt;0,CR657*MAX(1,BA657/X657),IF(CA657=1,IF(BA657&lt;=0,0,CE657*MAX(1,IF(H657&gt;0,BA657/H657,1))),IF(R657&gt;0,BB657/R657,0))/MAX(0.1,N(Parameter!$M$21)))</f>
        <v>0.0833333333333333</v>
      </c>
      <c r="BD657" s="62" t="n">
        <f aca="false">BC657*CC657</f>
        <v>12.0833333333333</v>
      </c>
      <c r="BE657" s="63" t="n">
        <f aca="false">IF(LEFT(Cockpit!$O$5,1)="A",H657,IF(CI657=1,(CL657+CJ657)/2,IF(LEFT(Cockpit!$O$5,1)="B",(CL657+BG657)/2,MAX((CL657+BG657)/2,H657))))</f>
        <v>0.5</v>
      </c>
      <c r="BF657" s="62" t="n">
        <f aca="false">BE657*G657</f>
        <v>222.3</v>
      </c>
      <c r="BG657" s="62" t="n">
        <f aca="false">ROUNDUP(CL657+MAX(CM657,2*(J657/IF(CH657&gt;0,CH657,MAX(0.1,N(Cockpit!$O$6)))-CL657)),0)</f>
        <v>1</v>
      </c>
      <c r="BH657" s="63" t="n">
        <f aca="false">IF(BD657&gt;0,J657/BD657,-1)</f>
        <v>0.16551724137931</v>
      </c>
      <c r="BI657" s="63" t="str">
        <f aca="false">IF(AND(OR(CG657="L1",CG657="L23",CG657="LIFT"),BD657&gt;0),SUMIFS($BD$7:$BD$1843,$CG$7:$CG$1843,CG657,$BH$7:$BH$1843,"&gt;"&amp;BH657)+SUMIFS($BD$7:$BD$1843,$CG$7:$CG$1843,CG657,$BH$7:$BH$1843,BH657,$BX$7:$BX$1843,"&lt;="&amp;BX657),"")</f>
        <v/>
      </c>
      <c r="BJ657" s="70" t="n">
        <f aca="false">IF(BI657="",0,MAX(0,MIN(1,(IF(CG657="L1",Parameter!$H$5,IF(CG657="L23",Parameter!$H$6+Parameter!$H$7,Parameter!$H$5+Parameter!$H$6+Parameter!$H$7))-(BI657-BD657))/BD657)))</f>
        <v>0</v>
      </c>
      <c r="BK657" s="60" t="str">
        <f aca="false">IF(AJ657&lt;=0,"",IF(CG657="Aussen","Aussenlager",IF(CG657="-","Nicht im Lift",IF(AP657&gt;=1,"Lift",IF(AP657&lt;=0,"Aussenlager","teilweise")))))</f>
        <v/>
      </c>
      <c r="BL657" s="60" t="str">
        <f aca="false">IF(AT657&lt;=0,"",IF(CG657="Aussen","Aussenlager",IF(CG657="-","Nicht im Lift",IF(AZ657&gt;=1,"Lift",IF(AZ657&lt;=0,"Aussenlager","teilweise")))))</f>
        <v>Nicht im Lift</v>
      </c>
      <c r="BM657" s="60" t="str">
        <f aca="false">IF(BD657&lt;=0,"",IF(CG657="Aussen","Aussenlager",IF(CG657="-","Nicht im Lift",IF(BJ657&gt;=1,"Lift",IF(BJ657&lt;=0,"Aussenlager","teilweise")))))</f>
        <v>Nicht im Lift</v>
      </c>
      <c r="BN657" s="60" t="str">
        <f aca="false">IF(A657="","",IF(BW657=1,"Neu; ","")&amp;IF(AND(BW657=0,BR657&lt;0),"negativer Bestand (Export "&amp;BR657&amp;"); ","")&amp;IF(J657&lt;=0,"Kein Verbrauch; ","")&amp;IF(CR657&gt;0,"Lift "&amp;W657&amp;" lt. Liftbericht (Fach "&amp;X657&amp;" Stk); ",IF(CB657=1,"Gebinde geschätzt ("&amp;T657&amp;"); ",IF(CA657=1,"Lose – Tablare geschätzt; ","")))&amp;IF(H657&gt;AW657,"Überbestand "&amp;ROUND(H657-AW657,0)&amp;" Stk / CHF "&amp;ROUND((H657-AW657)*G657,0)&amp;"; ","")&amp;IF(AND(CI657=1,CJ657&lt;CK657),"MAX &lt; MB+LG; ","")&amp;IF(AND(CQ657&gt;0,CP657*10&gt;CQ657),"zu hoch für Tablar; ","")&amp;IF(AND(BW657=0,OR(CI657=1,AB657&lt;&gt;"",U657&lt;&gt;"",V657&lt;&gt;"",AC657&lt;&gt;"")),"manuell übersteuert; ","")&amp;IF(AND(CA657=0,R657=0),"Gebinde unbekannt / Stellmass fehlt; ","")&amp;IF(AND(CA657=0,N(V657)&lt;=0,N(Q657)&lt;=0),"Menge pro Gebinde fehlt (Ist = 1 Gebinde); ","")&amp;BV657)</f>
        <v>Gebinde geschätzt (Mittel); Menge pro Gebinde fehlt (Ist = 1 Gebinde); </v>
      </c>
      <c r="BO657" s="60"/>
      <c r="BP657" s="60"/>
      <c r="BQ657" s="67"/>
      <c r="BR657" s="62" t="n">
        <v>0</v>
      </c>
      <c r="BS657" s="62" t="n">
        <v>0</v>
      </c>
      <c r="BT657" s="61" t="n">
        <v>1.13686837721616E-013</v>
      </c>
      <c r="BU657" s="62" t="n">
        <v>2</v>
      </c>
      <c r="BV657" s="60"/>
      <c r="BW657" s="65" t="n">
        <v>0</v>
      </c>
      <c r="BX657" s="65" t="n">
        <v>657</v>
      </c>
      <c r="BY657" s="60" t="str">
        <f aca="false">IF(U657&lt;&gt;"",UPPER(TRIM(U657)),IF(CB657=1,UPPER(VLOOKUP(T657,Parameter!$I$27:$K$29,2,0)),IF(P657="","LOSE",P657)))</f>
        <v>S61</v>
      </c>
      <c r="BZ657" s="62" t="n">
        <f aca="false">IF(BY657="LOSE",1,IF(N(V657)&gt;0,V657,IF(CB657=1,MAX(1,N(VLOOKUP(T657,Parameter!$I$27:$K$29,3,0)),H657,N(N657)),IF(N(Q657)&gt;0,Q657,MAX(1,H657)))))</f>
        <v>4</v>
      </c>
      <c r="CA657" s="65" t="n">
        <f aca="false">IF(BY657="LOSE",1,0)</f>
        <v>0</v>
      </c>
      <c r="CB657" s="65" t="n">
        <f aca="false">IF(AND(U657="",OR(P657="",P657="LOSE"),T657&lt;&gt;"",N(S657)&lt;=0,ISNUMBER(MATCH(T657,Parameter!$I$27:$I$29,0))),1,0)</f>
        <v>1</v>
      </c>
      <c r="CC657" s="65" t="n">
        <f aca="false">IF(CR657&gt;0,INDEX(Parameter!$H$5:$H$7,W657)/INDEX(Parameter!$E$5:$E$7,W657),IF(AND(CA657=0,N(IFERROR(VLOOKUP(BY657,'Gebinde-Kategorie'!$A$5:$N$45,14,0),0))&gt;0),VLOOKUP(BY657,'Gebinde-Kategorie'!$A$5:$N$45,14,0)*10+Parameter!$M$23,Parameter!$M$24))</f>
        <v>145</v>
      </c>
      <c r="CD657" s="60" t="str">
        <f aca="false">IF(AND(Parameter!$B$19="Ja",E657&lt;&gt;"",ISNUMBER(MATCH(E657,Parameter!$I$35:$I$52,0))),VLOOKUP(E657,Parameter!$I$35:$J$52,2,0),IFERROR(VLOOKUP(D657,Parameter!$A$35:$C$64,2,0),"Nein"))</f>
        <v>Nein</v>
      </c>
      <c r="CE657" s="64" t="n">
        <f aca="false">IF(CA657=0,0,IF(N(S657)&gt;0,S657,IFERROR(VLOOKUP(D657,Parameter!$A$35:$C$64,3,0)+0,0)))</f>
        <v>0</v>
      </c>
      <c r="CF657" s="60" t="str">
        <f aca="false">IF(AB657&lt;&gt;"",AB657,AA657)</f>
        <v>-</v>
      </c>
      <c r="CG657" s="60" t="str">
        <f aca="false">IF(OR(CF657=1,CF657=2,CF657=3),IF(Parameter!$E$27="Ja","LIFT",IF(CF657=1,"L1","L23")),IF(CF657="Aussen","Aussen","-"))</f>
        <v>-</v>
      </c>
      <c r="CH657" s="71" t="n">
        <f aca="false">IF(N(AC657)&gt;0,AC657,0)</f>
        <v>0</v>
      </c>
      <c r="CI657" s="65" t="n">
        <f aca="false">IF(ISNUMBER(AF657),1,0)</f>
        <v>0</v>
      </c>
      <c r="CJ657" s="62" t="n">
        <f aca="false">N(AF657)</f>
        <v>0</v>
      </c>
      <c r="CK657" s="62" t="n">
        <f aca="false">N(M657)+N(N657)</f>
        <v>1</v>
      </c>
      <c r="CL657" s="62" t="n">
        <f aca="false">N(M657)</f>
        <v>0</v>
      </c>
      <c r="CM657" s="62" t="n">
        <f aca="false">N(N657)</f>
        <v>1</v>
      </c>
      <c r="CN657" s="62" t="n">
        <f aca="false">ROUNDUP(H657/BZ657,0)</f>
        <v>0</v>
      </c>
      <c r="CO657" s="62" t="n">
        <f aca="false">ROUNDUP(CJ657/BZ657,0)</f>
        <v>0</v>
      </c>
      <c r="CP657" s="65" t="n">
        <f aca="false">IF(CA657=1,0,IFERROR(VLOOKUP(BY657,'Gebinde-Kategorie'!$A$5:$N$45,5,0)+0,0))</f>
        <v>11</v>
      </c>
      <c r="CQ657" s="65" t="n">
        <f aca="false">IFERROR(IF(OR(CF657=1,CF657=2,CF657=3),N(INDEX(Parameter!$I$5:$I$7,CF657)),0),0)</f>
        <v>0</v>
      </c>
      <c r="CR657" s="64" t="n">
        <f aca="false">IF(AND(Parameter!$B$21="Ja",ISNUMBER(W657),N(X657)&gt;0),IFERROR(N(INDEX(Parameter!$L$5:$L$7,W657))*INDEX(Parameter!$E$5:$E$7,W657)*X657/SUMIFS($X$7:$X$1843,$W$7:$W$1843,W657),0),0)</f>
        <v>0</v>
      </c>
      <c r="CS657" s="62" t="str">
        <f aca="false">IF(AND(OR(CG657="L1",CG657="L23",CG657="LIFT"),H657&gt;0),CC657*IF(CR657&gt;0,CR657*MAX(1,H657/X657),IF(CA657=1,CE657,IF(R657&gt;0,CN657/R657,0))/MAX(0.1,N(Parameter!$M$21))),"")</f>
        <v/>
      </c>
      <c r="CT657" s="64" t="str">
        <f aca="false">IF(CS657="","",J657/H657)</f>
        <v/>
      </c>
      <c r="CU657" s="62" t="str">
        <f aca="false">IF(CS657="","",H657*G657)</f>
        <v/>
      </c>
      <c r="CV657" s="63" t="str">
        <f aca="false">IF(CS657="","",(CL657+ROUNDUP(CL657+MAX(CM657,2*(J657/MAX(0.1,N(Einkauf!$C$6))-CL657)),0))/2)</f>
        <v/>
      </c>
      <c r="CW657" s="62" t="str">
        <f aca="false">IF(CS657="","",MAX(0,H657-CV657)*G657)</f>
        <v/>
      </c>
      <c r="CX657" s="62" t="str">
        <f aca="false">IF(CS657="","",CS657*MAX(0,1-CV657/H657))</f>
        <v/>
      </c>
      <c r="CY657" s="64" t="str">
        <f aca="false">IF(CS657="","",PERCENTRANK($CS$7:$CS$1843,CS657)+PERCENTRANK($CU$7:$CU$1843,CU657)+1-PERCENTRANK($CT$7:$CT$1843,CT657))</f>
        <v/>
      </c>
      <c r="CZ657" s="72" t="str">
        <f aca="false">IF(CS657="","",CHOOSE(MATCH(Einkauf!$C$5,Parameter!$G$23:$G$27,0),CY657,CS657,CU657,-CT657,CW657)+ROW()/1000000000)</f>
        <v/>
      </c>
    </row>
    <row r="658" customFormat="false" ht="15" hidden="false" customHeight="false" outlineLevel="0" collapsed="false">
      <c r="A658" s="60" t="s">
        <v>1369</v>
      </c>
      <c r="B658" s="60" t="s">
        <v>1370</v>
      </c>
      <c r="C658" s="60" t="s">
        <v>206</v>
      </c>
      <c r="D658" s="60" t="s">
        <v>1037</v>
      </c>
      <c r="E658" s="60"/>
      <c r="F658" s="60" t="s">
        <v>260</v>
      </c>
      <c r="G658" s="61" t="n">
        <v>20.47</v>
      </c>
      <c r="H658" s="62" t="n">
        <f aca="false">MAX(0,IF(AND(Parameter!$B$21="Ja",ISNUMBER(Y658)),Y658,IF(Parameter!$B$20="Jahresanfang 2025 + Export",BS658+BR658,BR658)))</f>
        <v>0</v>
      </c>
      <c r="I658" s="62" t="n">
        <f aca="false">H658*G658</f>
        <v>0</v>
      </c>
      <c r="J658" s="62" t="n">
        <f aca="false">BU658*Parameter!$B$18</f>
        <v>60</v>
      </c>
      <c r="K658" s="63" t="n">
        <v>0</v>
      </c>
      <c r="L658" s="64" t="n">
        <v>0</v>
      </c>
      <c r="M658" s="62" t="n">
        <v>0</v>
      </c>
      <c r="N658" s="62" t="n">
        <v>10</v>
      </c>
      <c r="O658" s="65" t="n">
        <v>28</v>
      </c>
      <c r="P658" s="60" t="s">
        <v>210</v>
      </c>
      <c r="Q658" s="62"/>
      <c r="R658" s="65" t="n">
        <f aca="false">IF(CA658=1,0,IFERROR(VLOOKUP(BY658,'Gebinde-Kategorie'!$A$5:$N$45,13,0)+0,0))</f>
        <v>0</v>
      </c>
      <c r="S658" s="66"/>
      <c r="T658" s="67"/>
      <c r="U658" s="67"/>
      <c r="V658" s="67"/>
      <c r="W658" s="60"/>
      <c r="X658" s="62"/>
      <c r="Y658" s="62"/>
      <c r="Z658" s="60"/>
      <c r="AA658" s="60" t="str">
        <f aca="false">IF(A658="","",IF(AND(Parameter!$B$21="Ja",ISNUMBER(W658)),W658,IF(AND(Parameter!$E$27="Ja",ISNUMBER(Z658),CD658&lt;&gt;"Nein"),Z658,IF(CD658="2+3",IF(ISNUMBER(SEARCH("grosser Artikel",BV658)),2,IFERROR(VLOOKUP(BY658,Parameter!$F$35:$G$64,2,0),2)),IF(OR(CD658="Nein",CD658=""),"-",CD658)))))</f>
        <v>-</v>
      </c>
      <c r="AB658" s="67"/>
      <c r="AC658" s="68"/>
      <c r="AD658" s="62" t="n">
        <f aca="false">AW658</f>
        <v>40</v>
      </c>
      <c r="AE658" s="62" t="n">
        <f aca="false">MAX(AW658,H658)</f>
        <v>40</v>
      </c>
      <c r="AF658" s="69"/>
      <c r="AG658" s="62" t="n">
        <f aca="false">IF(LEFT(Cockpit!$C$5,1)="A",H658,IF(Parameter!$E$30="MAX-Bestand",IF(CI658=1,CJ658,IF(LEFT(Cockpit!$C$5,1)="B",AM658,MAX(AM658,H658))),ROUNDUP(AK658,0)))</f>
        <v>0</v>
      </c>
      <c r="AH658" s="62" t="n">
        <f aca="false">IF(CA658=1,0,ROUNDUP(AG658/BZ658,0))</f>
        <v>0</v>
      </c>
      <c r="AI658" s="64" t="n">
        <f aca="false">IF(CR658&gt;0,CR658*MAX(1,AG658/X658),IF(CA658=1,IF(AG658&lt;=0,0,CE658*MAX(1,IF(H658&gt;0,AG658/H658,1))),IF(R658&gt;0,AH658/R658,0))/MAX(0.1,N(Parameter!$M$21)))</f>
        <v>0</v>
      </c>
      <c r="AJ658" s="62" t="n">
        <f aca="false">AI658*CC658</f>
        <v>0</v>
      </c>
      <c r="AK658" s="63" t="n">
        <f aca="false">IF(LEFT(Cockpit!$C$5,1)="A",H658,IF(CI658=1,(CL658+CJ658)/2,IF(LEFT(Cockpit!$C$5,1)="B",(CL658+AM658)/2,MAX((CL658+AM658)/2,H658))))</f>
        <v>0</v>
      </c>
      <c r="AL658" s="62" t="n">
        <f aca="false">AK658*G658</f>
        <v>0</v>
      </c>
      <c r="AM658" s="62" t="n">
        <f aca="false">ROUNDUP(CL658+MAX(CM658,2*(J658/IF(CH658&gt;0,CH658,MAX(0.1,N(Cockpit!$C$6)))-CL658)),0)</f>
        <v>40</v>
      </c>
      <c r="AN658" s="63" t="n">
        <f aca="false">IF(AJ658&gt;0,J658/AJ658,-1)</f>
        <v>-1</v>
      </c>
      <c r="AO658" s="63" t="str">
        <f aca="false">IF(AND(OR(CG658="L1",CG658="L23",CG658="LIFT"),AJ658&gt;0),SUMIFS($AJ$7:$AJ$1843,$CG$7:$CG$1843,CG658,$AN$7:$AN$1843,"&gt;"&amp;AN658)+SUMIFS($AJ$7:$AJ$1843,$CG$7:$CG$1843,CG658,$AN$7:$AN$1843,AN658,$BX$7:$BX$1843,"&lt;="&amp;BX658),"")</f>
        <v/>
      </c>
      <c r="AP658" s="70" t="n">
        <f aca="false">IF(AO658="",0,MAX(0,MIN(1,(IF(CG658="L1",Parameter!$H$5,IF(CG658="L23",Parameter!$H$6+Parameter!$H$7,Parameter!$H$5+Parameter!$H$6+Parameter!$H$7))-(AO658-AJ658))/AJ658)))</f>
        <v>0</v>
      </c>
      <c r="AQ658" s="62" t="n">
        <f aca="false">IF(LEFT(Cockpit!$I$5,1)="A",H658,IF(Parameter!$E$30="MAX-Bestand",IF(CI658=1,CJ658,IF(LEFT(Cockpit!$I$5,1)="B",AW658,MAX(AW658,H658))),ROUNDUP(AU658,0)))</f>
        <v>20</v>
      </c>
      <c r="AR658" s="62" t="n">
        <f aca="false">IF(CA658=1,0,ROUNDUP(AQ658/BZ658,0))</f>
        <v>0</v>
      </c>
      <c r="AS658" s="64" t="n">
        <f aca="false">IF(CR658&gt;0,CR658*MAX(1,AQ658/X658),IF(CA658=1,IF(AQ658&lt;=0,0,CE658*MAX(1,IF(H658&gt;0,AQ658/H658,1))),IF(R658&gt;0,AR658/R658,0))/MAX(0.1,N(Parameter!$M$21)))</f>
        <v>0.15</v>
      </c>
      <c r="AT658" s="62" t="n">
        <f aca="false">AS658*CC658</f>
        <v>35.25</v>
      </c>
      <c r="AU658" s="63" t="n">
        <f aca="false">IF(LEFT(Cockpit!$I$5,1)="A",H658,IF(CI658=1,(CL658+CJ658)/2,IF(LEFT(Cockpit!$I$5,1)="B",(CL658+AW658)/2,MAX((CL658+AW658)/2,H658))))</f>
        <v>20</v>
      </c>
      <c r="AV658" s="62" t="n">
        <f aca="false">AU658*G658</f>
        <v>409.4</v>
      </c>
      <c r="AW658" s="62" t="n">
        <f aca="false">ROUNDUP(CL658+MAX(CM658,2*(J658/IF(CH658&gt;0,CH658,MAX(0.1,N(Cockpit!$I$6)))-CL658)),0)</f>
        <v>40</v>
      </c>
      <c r="AX658" s="63" t="n">
        <f aca="false">IF(AT658&gt;0,J658/AT658,-1)</f>
        <v>1.70212765957447</v>
      </c>
      <c r="AY658" s="63" t="str">
        <f aca="false">IF(AND(OR(CG658="L1",CG658="L23",CG658="LIFT"),AT658&gt;0),SUMIFS($AT$7:$AT$1843,$CG$7:$CG$1843,CG658,$AX$7:$AX$1843,"&gt;"&amp;AX658)+SUMIFS($AT$7:$AT$1843,$CG$7:$CG$1843,CG658,$AX$7:$AX$1843,AX658,$BX$7:$BX$1843,"&lt;="&amp;BX658),"")</f>
        <v/>
      </c>
      <c r="AZ658" s="70" t="n">
        <f aca="false">IF(AY658="",0,MAX(0,MIN(1,(IF(CG658="L1",Parameter!$H$5,IF(CG658="L23",Parameter!$H$6+Parameter!$H$7,Parameter!$H$5+Parameter!$H$6+Parameter!$H$7))-(AY658-AT658))/AT658)))</f>
        <v>0</v>
      </c>
      <c r="BA658" s="62" t="n">
        <f aca="false">IF(LEFT(Cockpit!$O$5,1)="A",H658,IF(Parameter!$E$30="MAX-Bestand",IF(CI658=1,CJ658,IF(LEFT(Cockpit!$O$5,1)="B",BG658,MAX(BG658,H658))),ROUNDUP(BE658,0)))</f>
        <v>15</v>
      </c>
      <c r="BB658" s="62" t="n">
        <f aca="false">IF(CA658=1,0,ROUNDUP(BA658/BZ658,0))</f>
        <v>0</v>
      </c>
      <c r="BC658" s="64" t="n">
        <f aca="false">IF(CR658&gt;0,CR658*MAX(1,BA658/X658),IF(CA658=1,IF(BA658&lt;=0,0,CE658*MAX(1,IF(H658&gt;0,BA658/H658,1))),IF(R658&gt;0,BB658/R658,0))/MAX(0.1,N(Parameter!$M$21)))</f>
        <v>0.15</v>
      </c>
      <c r="BD658" s="62" t="n">
        <f aca="false">BC658*CC658</f>
        <v>35.25</v>
      </c>
      <c r="BE658" s="63" t="n">
        <f aca="false">IF(LEFT(Cockpit!$O$5,1)="A",H658,IF(CI658=1,(CL658+CJ658)/2,IF(LEFT(Cockpit!$O$5,1)="B",(CL658+BG658)/2,MAX((CL658+BG658)/2,H658))))</f>
        <v>15</v>
      </c>
      <c r="BF658" s="62" t="n">
        <f aca="false">BE658*G658</f>
        <v>307.05</v>
      </c>
      <c r="BG658" s="62" t="n">
        <f aca="false">ROUNDUP(CL658+MAX(CM658,2*(J658/IF(CH658&gt;0,CH658,MAX(0.1,N(Cockpit!$O$6)))-CL658)),0)</f>
        <v>30</v>
      </c>
      <c r="BH658" s="63" t="n">
        <f aca="false">IF(BD658&gt;0,J658/BD658,-1)</f>
        <v>1.70212765957447</v>
      </c>
      <c r="BI658" s="63" t="str">
        <f aca="false">IF(AND(OR(CG658="L1",CG658="L23",CG658="LIFT"),BD658&gt;0),SUMIFS($BD$7:$BD$1843,$CG$7:$CG$1843,CG658,$BH$7:$BH$1843,"&gt;"&amp;BH658)+SUMIFS($BD$7:$BD$1843,$CG$7:$CG$1843,CG658,$BH$7:$BH$1843,BH658,$BX$7:$BX$1843,"&lt;="&amp;BX658),"")</f>
        <v/>
      </c>
      <c r="BJ658" s="70" t="n">
        <f aca="false">IF(BI658="",0,MAX(0,MIN(1,(IF(CG658="L1",Parameter!$H$5,IF(CG658="L23",Parameter!$H$6+Parameter!$H$7,Parameter!$H$5+Parameter!$H$6+Parameter!$H$7))-(BI658-BD658))/BD658)))</f>
        <v>0</v>
      </c>
      <c r="BK658" s="60" t="str">
        <f aca="false">IF(AJ658&lt;=0,"",IF(CG658="Aussen","Aussenlager",IF(CG658="-","Nicht im Lift",IF(AP658&gt;=1,"Lift",IF(AP658&lt;=0,"Aussenlager","teilweise")))))</f>
        <v/>
      </c>
      <c r="BL658" s="60" t="str">
        <f aca="false">IF(AT658&lt;=0,"",IF(CG658="Aussen","Aussenlager",IF(CG658="-","Nicht im Lift",IF(AZ658&gt;=1,"Lift",IF(AZ658&lt;=0,"Aussenlager","teilweise")))))</f>
        <v>Nicht im Lift</v>
      </c>
      <c r="BM658" s="60" t="str">
        <f aca="false">IF(BD658&lt;=0,"",IF(CG658="Aussen","Aussenlager",IF(CG658="-","Nicht im Lift",IF(BJ658&gt;=1,"Lift",IF(BJ658&lt;=0,"Aussenlager","teilweise")))))</f>
        <v>Nicht im Lift</v>
      </c>
      <c r="BN658" s="60" t="str">
        <f aca="false">IF(A658="","",IF(BW658=1,"Neu; ","")&amp;IF(AND(BW658=0,BR658&lt;0),"negativer Bestand (Export "&amp;BR658&amp;"); ","")&amp;IF(J658&lt;=0,"Kein Verbrauch; ","")&amp;IF(CR658&gt;0,"Lift "&amp;W658&amp;" lt. Liftbericht (Fach "&amp;X658&amp;" Stk); ",IF(CB658=1,"Gebinde geschätzt ("&amp;T658&amp;"); ",IF(CA658=1,"Lose – Tablare geschätzt; ","")))&amp;IF(H658&gt;AW658,"Überbestand "&amp;ROUND(H658-AW658,0)&amp;" Stk / CHF "&amp;ROUND((H658-AW658)*G658,0)&amp;"; ","")&amp;IF(AND(CI658=1,CJ658&lt;CK658),"MAX &lt; MB+LG; ","")&amp;IF(AND(CQ658&gt;0,CP658*10&gt;CQ658),"zu hoch für Tablar; ","")&amp;IF(AND(BW658=0,OR(CI658=1,AB658&lt;&gt;"",U658&lt;&gt;"",V658&lt;&gt;"",AC658&lt;&gt;"")),"manuell übersteuert; ","")&amp;IF(AND(CA658=0,R658=0),"Gebinde unbekannt / Stellmass fehlt; ","")&amp;IF(AND(CA658=0,N(V658)&lt;=0,N(Q658)&lt;=0),"Menge pro Gebinde fehlt (Ist = 1 Gebinde); ","")&amp;BV658)</f>
        <v>Lose – Tablare geschätzt; </v>
      </c>
      <c r="BO658" s="60"/>
      <c r="BP658" s="60"/>
      <c r="BQ658" s="67"/>
      <c r="BR658" s="62" t="n">
        <v>0</v>
      </c>
      <c r="BS658" s="62" t="n">
        <v>0</v>
      </c>
      <c r="BT658" s="61" t="n">
        <v>5.6843418860808E-014</v>
      </c>
      <c r="BU658" s="62" t="n">
        <v>60</v>
      </c>
      <c r="BV658" s="60"/>
      <c r="BW658" s="65" t="n">
        <v>0</v>
      </c>
      <c r="BX658" s="65" t="n">
        <v>658</v>
      </c>
      <c r="BY658" s="60" t="str">
        <f aca="false">IF(U658&lt;&gt;"",UPPER(TRIM(U658)),IF(CB658=1,UPPER(VLOOKUP(T658,Parameter!$I$27:$K$29,2,0)),IF(P658="","LOSE",P658)))</f>
        <v>LOSE</v>
      </c>
      <c r="BZ658" s="62" t="n">
        <f aca="false">IF(BY658="LOSE",1,IF(N(V658)&gt;0,V658,IF(CB658=1,MAX(1,N(VLOOKUP(T658,Parameter!$I$27:$K$29,3,0)),H658,N(N658)),IF(N(Q658)&gt;0,Q658,MAX(1,H658)))))</f>
        <v>1</v>
      </c>
      <c r="CA658" s="65" t="n">
        <f aca="false">IF(BY658="LOSE",1,0)</f>
        <v>1</v>
      </c>
      <c r="CB658" s="65" t="n">
        <f aca="false">IF(AND(U658="",OR(P658="",P658="LOSE"),T658&lt;&gt;"",N(S658)&lt;=0,ISNUMBER(MATCH(T658,Parameter!$I$27:$I$29,0))),1,0)</f>
        <v>0</v>
      </c>
      <c r="CC658" s="65" t="n">
        <f aca="false">IF(CR658&gt;0,INDEX(Parameter!$H$5:$H$7,W658)/INDEX(Parameter!$E$5:$E$7,W658),IF(AND(CA658=0,N(IFERROR(VLOOKUP(BY658,'Gebinde-Kategorie'!$A$5:$N$45,14,0),0))&gt;0),VLOOKUP(BY658,'Gebinde-Kategorie'!$A$5:$N$45,14,0)*10+Parameter!$M$23,Parameter!$M$24))</f>
        <v>235</v>
      </c>
      <c r="CD658" s="60" t="str">
        <f aca="false">IF(AND(Parameter!$B$19="Ja",E658&lt;&gt;"",ISNUMBER(MATCH(E658,Parameter!$I$35:$I$52,0))),VLOOKUP(E658,Parameter!$I$35:$J$52,2,0),IFERROR(VLOOKUP(D658,Parameter!$A$35:$C$64,2,0),"Nein"))</f>
        <v>Nein</v>
      </c>
      <c r="CE658" s="64" t="n">
        <f aca="false">IF(CA658=0,0,IF(N(S658)&gt;0,S658,IFERROR(VLOOKUP(D658,Parameter!$A$35:$C$64,3,0)+0,0)))</f>
        <v>0.15</v>
      </c>
      <c r="CF658" s="60" t="str">
        <f aca="false">IF(AB658&lt;&gt;"",AB658,AA658)</f>
        <v>-</v>
      </c>
      <c r="CG658" s="60" t="str">
        <f aca="false">IF(OR(CF658=1,CF658=2,CF658=3),IF(Parameter!$E$27="Ja","LIFT",IF(CF658=1,"L1","L23")),IF(CF658="Aussen","Aussen","-"))</f>
        <v>-</v>
      </c>
      <c r="CH658" s="71" t="n">
        <f aca="false">IF(N(AC658)&gt;0,AC658,0)</f>
        <v>0</v>
      </c>
      <c r="CI658" s="65" t="n">
        <f aca="false">IF(ISNUMBER(AF658),1,0)</f>
        <v>0</v>
      </c>
      <c r="CJ658" s="62" t="n">
        <f aca="false">N(AF658)</f>
        <v>0</v>
      </c>
      <c r="CK658" s="62" t="n">
        <f aca="false">N(M658)+N(N658)</f>
        <v>10</v>
      </c>
      <c r="CL658" s="62" t="n">
        <f aca="false">N(M658)</f>
        <v>0</v>
      </c>
      <c r="CM658" s="62" t="n">
        <f aca="false">N(N658)</f>
        <v>10</v>
      </c>
      <c r="CN658" s="62" t="n">
        <f aca="false">ROUNDUP(H658/BZ658,0)</f>
        <v>0</v>
      </c>
      <c r="CO658" s="62" t="n">
        <f aca="false">ROUNDUP(CJ658/BZ658,0)</f>
        <v>0</v>
      </c>
      <c r="CP658" s="65" t="n">
        <f aca="false">IF(CA658=1,0,IFERROR(VLOOKUP(BY658,'Gebinde-Kategorie'!$A$5:$N$45,5,0)+0,0))</f>
        <v>0</v>
      </c>
      <c r="CQ658" s="65" t="n">
        <f aca="false">IFERROR(IF(OR(CF658=1,CF658=2,CF658=3),N(INDEX(Parameter!$I$5:$I$7,CF658)),0),0)</f>
        <v>0</v>
      </c>
      <c r="CR658" s="64" t="n">
        <f aca="false">IF(AND(Parameter!$B$21="Ja",ISNUMBER(W658),N(X658)&gt;0),IFERROR(N(INDEX(Parameter!$L$5:$L$7,W658))*INDEX(Parameter!$E$5:$E$7,W658)*X658/SUMIFS($X$7:$X$1843,$W$7:$W$1843,W658),0),0)</f>
        <v>0</v>
      </c>
      <c r="CS658" s="62" t="str">
        <f aca="false">IF(AND(OR(CG658="L1",CG658="L23",CG658="LIFT"),H658&gt;0),CC658*IF(CR658&gt;0,CR658*MAX(1,H658/X658),IF(CA658=1,CE658,IF(R658&gt;0,CN658/R658,0))/MAX(0.1,N(Parameter!$M$21))),"")</f>
        <v/>
      </c>
      <c r="CT658" s="64" t="str">
        <f aca="false">IF(CS658="","",J658/H658)</f>
        <v/>
      </c>
      <c r="CU658" s="62" t="str">
        <f aca="false">IF(CS658="","",H658*G658)</f>
        <v/>
      </c>
      <c r="CV658" s="63" t="str">
        <f aca="false">IF(CS658="","",(CL658+ROUNDUP(CL658+MAX(CM658,2*(J658/MAX(0.1,N(Einkauf!$C$6))-CL658)),0))/2)</f>
        <v/>
      </c>
      <c r="CW658" s="62" t="str">
        <f aca="false">IF(CS658="","",MAX(0,H658-CV658)*G658)</f>
        <v/>
      </c>
      <c r="CX658" s="62" t="str">
        <f aca="false">IF(CS658="","",CS658*MAX(0,1-CV658/H658))</f>
        <v/>
      </c>
      <c r="CY658" s="64" t="str">
        <f aca="false">IF(CS658="","",PERCENTRANK($CS$7:$CS$1843,CS658)+PERCENTRANK($CU$7:$CU$1843,CU658)+1-PERCENTRANK($CT$7:$CT$1843,CT658))</f>
        <v/>
      </c>
      <c r="CZ658" s="72" t="str">
        <f aca="false">IF(CS658="","",CHOOSE(MATCH(Einkauf!$C$5,Parameter!$G$23:$G$27,0),CY658,CS658,CU658,-CT658,CW658)+ROW()/1000000000)</f>
        <v/>
      </c>
    </row>
    <row r="659" customFormat="false" ht="15" hidden="false" customHeight="false" outlineLevel="0" collapsed="false">
      <c r="A659" s="60" t="s">
        <v>1371</v>
      </c>
      <c r="B659" s="60" t="s">
        <v>1372</v>
      </c>
      <c r="C659" s="60" t="s">
        <v>206</v>
      </c>
      <c r="D659" s="60" t="s">
        <v>226</v>
      </c>
      <c r="E659" s="60"/>
      <c r="F659" s="60" t="s">
        <v>260</v>
      </c>
      <c r="G659" s="61" t="n">
        <v>10.02</v>
      </c>
      <c r="H659" s="62" t="n">
        <f aca="false">MAX(0,IF(AND(Parameter!$B$21="Ja",ISNUMBER(Y659)),Y659,IF(Parameter!$B$20="Jahresanfang 2025 + Export",BS659+BR659,BR659)))</f>
        <v>0</v>
      </c>
      <c r="I659" s="62" t="n">
        <f aca="false">H659*G659</f>
        <v>0</v>
      </c>
      <c r="J659" s="62" t="n">
        <f aca="false">BU659*Parameter!$B$18</f>
        <v>2</v>
      </c>
      <c r="K659" s="63" t="n">
        <v>3</v>
      </c>
      <c r="L659" s="64" t="n">
        <v>0.666666666666667</v>
      </c>
      <c r="M659" s="62" t="n">
        <v>0</v>
      </c>
      <c r="N659" s="62" t="n">
        <v>1</v>
      </c>
      <c r="O659" s="65" t="n">
        <v>21</v>
      </c>
      <c r="P659" s="60" t="s">
        <v>370</v>
      </c>
      <c r="Q659" s="62" t="n">
        <v>5</v>
      </c>
      <c r="R659" s="65" t="n">
        <f aca="false">IF(CA659=1,0,IFERROR(VLOOKUP(BY659,'Gebinde-Kategorie'!$A$5:$N$45,13,0)+0,0))</f>
        <v>52</v>
      </c>
      <c r="S659" s="66"/>
      <c r="T659" s="67"/>
      <c r="U659" s="67"/>
      <c r="V659" s="67"/>
      <c r="W659" s="60"/>
      <c r="X659" s="62"/>
      <c r="Y659" s="62"/>
      <c r="Z659" s="60" t="n">
        <v>3</v>
      </c>
      <c r="AA659" s="60" t="n">
        <f aca="false">IF(A659="","",IF(AND(Parameter!$B$21="Ja",ISNUMBER(W659)),W659,IF(AND(Parameter!$E$27="Ja",ISNUMBER(Z659),CD659&lt;&gt;"Nein"),Z659,IF(CD659="2+3",IF(ISNUMBER(SEARCH("grosser Artikel",BV659)),2,IFERROR(VLOOKUP(BY659,Parameter!$F$35:$G$64,2,0),2)),IF(OR(CD659="Nein",CD659=""),"-",CD659)))))</f>
        <v>3</v>
      </c>
      <c r="AB659" s="67"/>
      <c r="AC659" s="68"/>
      <c r="AD659" s="62" t="n">
        <f aca="false">AW659</f>
        <v>2</v>
      </c>
      <c r="AE659" s="62" t="n">
        <f aca="false">MAX(AW659,H659)</f>
        <v>2</v>
      </c>
      <c r="AF659" s="69"/>
      <c r="AG659" s="62" t="n">
        <f aca="false">IF(LEFT(Cockpit!$C$5,1)="A",H659,IF(Parameter!$E$30="MAX-Bestand",IF(CI659=1,CJ659,IF(LEFT(Cockpit!$C$5,1)="B",AM659,MAX(AM659,H659))),ROUNDUP(AK659,0)))</f>
        <v>0</v>
      </c>
      <c r="AH659" s="62" t="n">
        <f aca="false">IF(CA659=1,0,ROUNDUP(AG659/BZ659,0))</f>
        <v>0</v>
      </c>
      <c r="AI659" s="64" t="n">
        <f aca="false">IF(CR659&gt;0,CR659*MAX(1,AG659/X659),IF(CA659=1,IF(AG659&lt;=0,0,CE659*MAX(1,IF(H659&gt;0,AG659/H659,1))),IF(R659&gt;0,AH659/R659,0))/MAX(0.1,N(Parameter!$M$21)))</f>
        <v>0</v>
      </c>
      <c r="AJ659" s="62" t="n">
        <f aca="false">AI659*CC659</f>
        <v>0</v>
      </c>
      <c r="AK659" s="63" t="n">
        <f aca="false">IF(LEFT(Cockpit!$C$5,1)="A",H659,IF(CI659=1,(CL659+CJ659)/2,IF(LEFT(Cockpit!$C$5,1)="B",(CL659+AM659)/2,MAX((CL659+AM659)/2,H659))))</f>
        <v>0</v>
      </c>
      <c r="AL659" s="62" t="n">
        <f aca="false">AK659*G659</f>
        <v>0</v>
      </c>
      <c r="AM659" s="62" t="n">
        <f aca="false">ROUNDUP(CL659+MAX(CM659,2*(J659/IF(CH659&gt;0,CH659,MAX(0.1,N(Cockpit!$C$6)))-CL659)),0)</f>
        <v>2</v>
      </c>
      <c r="AN659" s="63" t="n">
        <f aca="false">IF(AJ659&gt;0,J659/AJ659,-1)</f>
        <v>-1</v>
      </c>
      <c r="AO659" s="63" t="str">
        <f aca="false">IF(AND(OR(CG659="L1",CG659="L23",CG659="LIFT"),AJ659&gt;0),SUMIFS($AJ$7:$AJ$1843,$CG$7:$CG$1843,CG659,$AN$7:$AN$1843,"&gt;"&amp;AN659)+SUMIFS($AJ$7:$AJ$1843,$CG$7:$CG$1843,CG659,$AN$7:$AN$1843,AN659,$BX$7:$BX$1843,"&lt;="&amp;BX659),"")</f>
        <v/>
      </c>
      <c r="AP659" s="70" t="n">
        <f aca="false">IF(AO659="",0,MAX(0,MIN(1,(IF(CG659="L1",Parameter!$H$5,IF(CG659="L23",Parameter!$H$6+Parameter!$H$7,Parameter!$H$5+Parameter!$H$6+Parameter!$H$7))-(AO659-AJ659))/AJ659)))</f>
        <v>0</v>
      </c>
      <c r="AQ659" s="62" t="n">
        <f aca="false">IF(LEFT(Cockpit!$I$5,1)="A",H659,IF(Parameter!$E$30="MAX-Bestand",IF(CI659=1,CJ659,IF(LEFT(Cockpit!$I$5,1)="B",AW659,MAX(AW659,H659))),ROUNDUP(AU659,0)))</f>
        <v>1</v>
      </c>
      <c r="AR659" s="62" t="n">
        <f aca="false">IF(CA659=1,0,ROUNDUP(AQ659/BZ659,0))</f>
        <v>1</v>
      </c>
      <c r="AS659" s="64" t="n">
        <f aca="false">IF(CR659&gt;0,CR659*MAX(1,AQ659/X659),IF(CA659=1,IF(AQ659&lt;=0,0,CE659*MAX(1,IF(H659&gt;0,AQ659/H659,1))),IF(R659&gt;0,AR659/R659,0))/MAX(0.1,N(Parameter!$M$21)))</f>
        <v>0.0192307692307692</v>
      </c>
      <c r="AT659" s="62" t="n">
        <f aca="false">AS659*CC659</f>
        <v>2.98076923076923</v>
      </c>
      <c r="AU659" s="63" t="n">
        <f aca="false">IF(LEFT(Cockpit!$I$5,1)="A",H659,IF(CI659=1,(CL659+CJ659)/2,IF(LEFT(Cockpit!$I$5,1)="B",(CL659+AW659)/2,MAX((CL659+AW659)/2,H659))))</f>
        <v>1</v>
      </c>
      <c r="AV659" s="62" t="n">
        <f aca="false">AU659*G659</f>
        <v>10.02</v>
      </c>
      <c r="AW659" s="62" t="n">
        <f aca="false">ROUNDUP(CL659+MAX(CM659,2*(J659/IF(CH659&gt;0,CH659,MAX(0.1,N(Cockpit!$I$6)))-CL659)),0)</f>
        <v>2</v>
      </c>
      <c r="AX659" s="63" t="n">
        <f aca="false">IF(AT659&gt;0,J659/AT659,-1)</f>
        <v>0.670967741935484</v>
      </c>
      <c r="AY659" s="63" t="n">
        <f aca="false">IF(AND(OR(CG659="L1",CG659="L23",CG659="LIFT"),AT659&gt;0),SUMIFS($AT$7:$AT$1843,$CG$7:$CG$1843,CG659,$AX$7:$AX$1843,"&gt;"&amp;AX659)+SUMIFS($AT$7:$AT$1843,$CG$7:$CG$1843,CG659,$AX$7:$AX$1843,AX659,$BX$7:$BX$1843,"&lt;="&amp;BX659),"")</f>
        <v>10904.3182234432</v>
      </c>
      <c r="AZ659" s="70" t="n">
        <f aca="false">IF(AY659="",0,MAX(0,MIN(1,(IF(CG659="L1",Parameter!$H$5,IF(CG659="L23",Parameter!$H$6+Parameter!$H$7,Parameter!$H$5+Parameter!$H$6+Parameter!$H$7))-(AY659-AT659))/AT659)))</f>
        <v>1</v>
      </c>
      <c r="BA659" s="62" t="n">
        <f aca="false">IF(LEFT(Cockpit!$O$5,1)="A",H659,IF(Parameter!$E$30="MAX-Bestand",IF(CI659=1,CJ659,IF(LEFT(Cockpit!$O$5,1)="B",BG659,MAX(BG659,H659))),ROUNDUP(BE659,0)))</f>
        <v>1</v>
      </c>
      <c r="BB659" s="62" t="n">
        <f aca="false">IF(CA659=1,0,ROUNDUP(BA659/BZ659,0))</f>
        <v>1</v>
      </c>
      <c r="BC659" s="64" t="n">
        <f aca="false">IF(CR659&gt;0,CR659*MAX(1,BA659/X659),IF(CA659=1,IF(BA659&lt;=0,0,CE659*MAX(1,IF(H659&gt;0,BA659/H659,1))),IF(R659&gt;0,BB659/R659,0))/MAX(0.1,N(Parameter!$M$21)))</f>
        <v>0.0192307692307692</v>
      </c>
      <c r="BD659" s="62" t="n">
        <f aca="false">BC659*CC659</f>
        <v>2.98076923076923</v>
      </c>
      <c r="BE659" s="63" t="n">
        <f aca="false">IF(LEFT(Cockpit!$O$5,1)="A",H659,IF(CI659=1,(CL659+CJ659)/2,IF(LEFT(Cockpit!$O$5,1)="B",(CL659+BG659)/2,MAX((CL659+BG659)/2,H659))))</f>
        <v>0.5</v>
      </c>
      <c r="BF659" s="62" t="n">
        <f aca="false">BE659*G659</f>
        <v>5.01</v>
      </c>
      <c r="BG659" s="62" t="n">
        <f aca="false">ROUNDUP(CL659+MAX(CM659,2*(J659/IF(CH659&gt;0,CH659,MAX(0.1,N(Cockpit!$O$6)))-CL659)),0)</f>
        <v>1</v>
      </c>
      <c r="BH659" s="63" t="n">
        <f aca="false">IF(BD659&gt;0,J659/BD659,-1)</f>
        <v>0.670967741935484</v>
      </c>
      <c r="BI659" s="63" t="n">
        <f aca="false">IF(AND(OR(CG659="L1",CG659="L23",CG659="LIFT"),BD659&gt;0),SUMIFS($BD$7:$BD$1843,$CG$7:$CG$1843,CG659,$BH$7:$BH$1843,"&gt;"&amp;BH659)+SUMIFS($BD$7:$BD$1843,$CG$7:$CG$1843,CG659,$BH$7:$BH$1843,BH659,$BX$7:$BX$1843,"&lt;="&amp;BX659),"")</f>
        <v>9512.461996337</v>
      </c>
      <c r="BJ659" s="70" t="n">
        <f aca="false">IF(BI659="",0,MAX(0,MIN(1,(IF(CG659="L1",Parameter!$H$5,IF(CG659="L23",Parameter!$H$6+Parameter!$H$7,Parameter!$H$5+Parameter!$H$6+Parameter!$H$7))-(BI659-BD659))/BD659)))</f>
        <v>1</v>
      </c>
      <c r="BK659" s="60" t="str">
        <f aca="false">IF(AJ659&lt;=0,"",IF(CG659="Aussen","Aussenlager",IF(CG659="-","Nicht im Lift",IF(AP659&gt;=1,"Lift",IF(AP659&lt;=0,"Aussenlager","teilweise")))))</f>
        <v/>
      </c>
      <c r="BL659" s="60" t="str">
        <f aca="false">IF(AT659&lt;=0,"",IF(CG659="Aussen","Aussenlager",IF(CG659="-","Nicht im Lift",IF(AZ659&gt;=1,"Lift",IF(AZ659&lt;=0,"Aussenlager","teilweise")))))</f>
        <v>Lift</v>
      </c>
      <c r="BM659" s="60" t="str">
        <f aca="false">IF(BD659&lt;=0,"",IF(CG659="Aussen","Aussenlager",IF(CG659="-","Nicht im Lift",IF(BJ659&gt;=1,"Lift",IF(BJ659&lt;=0,"Aussenlager","teilweise")))))</f>
        <v>Lift</v>
      </c>
      <c r="BN659" s="60" t="str">
        <f aca="false">IF(A659="","",IF(BW659=1,"Neu; ","")&amp;IF(AND(BW659=0,BR659&lt;0),"negativer Bestand (Export "&amp;BR659&amp;"); ","")&amp;IF(J659&lt;=0,"Kein Verbrauch; ","")&amp;IF(CR659&gt;0,"Lift "&amp;W659&amp;" lt. Liftbericht (Fach "&amp;X659&amp;" Stk); ",IF(CB659=1,"Gebinde geschätzt ("&amp;T659&amp;"); ",IF(CA659=1,"Lose – Tablare geschätzt; ","")))&amp;IF(H659&gt;AW659,"Überbestand "&amp;ROUND(H659-AW659,0)&amp;" Stk / CHF "&amp;ROUND((H659-AW659)*G659,0)&amp;"; ","")&amp;IF(AND(CI659=1,CJ659&lt;CK659),"MAX &lt; MB+LG; ","")&amp;IF(AND(CQ659&gt;0,CP659*10&gt;CQ659),"zu hoch für Tablar; ","")&amp;IF(AND(BW659=0,OR(CI659=1,AB659&lt;&gt;"",U659&lt;&gt;"",V659&lt;&gt;"",AC659&lt;&gt;"")),"manuell übersteuert; ","")&amp;IF(AND(CA659=0,R659=0),"Gebinde unbekannt / Stellmass fehlt; ","")&amp;IF(AND(CA659=0,N(V659)&lt;=0,N(Q659)&lt;=0),"Menge pro Gebinde fehlt (Ist = 1 Gebinde); ","")&amp;BV659)</f>
        <v/>
      </c>
      <c r="BO659" s="60"/>
      <c r="BP659" s="60"/>
      <c r="BQ659" s="67"/>
      <c r="BR659" s="62" t="n">
        <v>0</v>
      </c>
      <c r="BS659" s="62" t="n">
        <v>0</v>
      </c>
      <c r="BT659" s="61" t="n">
        <v>2.8421709430404E-014</v>
      </c>
      <c r="BU659" s="62" t="n">
        <v>2</v>
      </c>
      <c r="BV659" s="60"/>
      <c r="BW659" s="65" t="n">
        <v>0</v>
      </c>
      <c r="BX659" s="65" t="n">
        <v>659</v>
      </c>
      <c r="BY659" s="60" t="str">
        <f aca="false">IF(U659&lt;&gt;"",UPPER(TRIM(U659)),IF(CB659=1,UPPER(VLOOKUP(T659,Parameter!$I$27:$K$29,2,0)),IF(P659="","LOSE",P659)))</f>
        <v>S41</v>
      </c>
      <c r="BZ659" s="62" t="n">
        <f aca="false">IF(BY659="LOSE",1,IF(N(V659)&gt;0,V659,IF(CB659=1,MAX(1,N(VLOOKUP(T659,Parameter!$I$27:$K$29,3,0)),H659,N(N659)),IF(N(Q659)&gt;0,Q659,MAX(1,H659)))))</f>
        <v>5</v>
      </c>
      <c r="CA659" s="65" t="n">
        <f aca="false">IF(BY659="LOSE",1,0)</f>
        <v>0</v>
      </c>
      <c r="CB659" s="65" t="n">
        <f aca="false">IF(AND(U659="",OR(P659="",P659="LOSE"),T659&lt;&gt;"",N(S659)&lt;=0,ISNUMBER(MATCH(T659,Parameter!$I$27:$I$29,0))),1,0)</f>
        <v>0</v>
      </c>
      <c r="CC659" s="65" t="n">
        <f aca="false">IF(CR659&gt;0,INDEX(Parameter!$H$5:$H$7,W659)/INDEX(Parameter!$E$5:$E$7,W659),IF(AND(CA659=0,N(IFERROR(VLOOKUP(BY659,'Gebinde-Kategorie'!$A$5:$N$45,14,0),0))&gt;0),VLOOKUP(BY659,'Gebinde-Kategorie'!$A$5:$N$45,14,0)*10+Parameter!$M$23,Parameter!$M$24))</f>
        <v>155</v>
      </c>
      <c r="CD659" s="60" t="str">
        <f aca="false">IF(AND(Parameter!$B$19="Ja",E659&lt;&gt;"",ISNUMBER(MATCH(E659,Parameter!$I$35:$I$52,0))),VLOOKUP(E659,Parameter!$I$35:$J$52,2,0),IFERROR(VLOOKUP(D659,Parameter!$A$35:$C$64,2,0),"Nein"))</f>
        <v>2+3</v>
      </c>
      <c r="CE659" s="64" t="n">
        <f aca="false">IF(CA659=0,0,IF(N(S659)&gt;0,S659,IFERROR(VLOOKUP(D659,Parameter!$A$35:$C$64,3,0)+0,0)))</f>
        <v>0</v>
      </c>
      <c r="CF659" s="60" t="n">
        <f aca="false">IF(AB659&lt;&gt;"",AB659,AA659)</f>
        <v>3</v>
      </c>
      <c r="CG659" s="60" t="str">
        <f aca="false">IF(OR(CF659=1,CF659=2,CF659=3),IF(Parameter!$E$27="Ja","LIFT",IF(CF659=1,"L1","L23")),IF(CF659="Aussen","Aussen","-"))</f>
        <v>LIFT</v>
      </c>
      <c r="CH659" s="71" t="n">
        <f aca="false">IF(N(AC659)&gt;0,AC659,0)</f>
        <v>0</v>
      </c>
      <c r="CI659" s="65" t="n">
        <f aca="false">IF(ISNUMBER(AF659),1,0)</f>
        <v>0</v>
      </c>
      <c r="CJ659" s="62" t="n">
        <f aca="false">N(AF659)</f>
        <v>0</v>
      </c>
      <c r="CK659" s="62" t="n">
        <f aca="false">N(M659)+N(N659)</f>
        <v>1</v>
      </c>
      <c r="CL659" s="62" t="n">
        <f aca="false">N(M659)</f>
        <v>0</v>
      </c>
      <c r="CM659" s="62" t="n">
        <f aca="false">N(N659)</f>
        <v>1</v>
      </c>
      <c r="CN659" s="62" t="n">
        <f aca="false">ROUNDUP(H659/BZ659,0)</f>
        <v>0</v>
      </c>
      <c r="CO659" s="62" t="n">
        <f aca="false">ROUNDUP(CJ659/BZ659,0)</f>
        <v>0</v>
      </c>
      <c r="CP659" s="65" t="n">
        <f aca="false">IF(CA659=1,0,IFERROR(VLOOKUP(BY659,'Gebinde-Kategorie'!$A$5:$N$45,5,0)+0,0))</f>
        <v>11</v>
      </c>
      <c r="CQ659" s="65" t="n">
        <f aca="false">IFERROR(IF(OR(CF659=1,CF659=2,CF659=3),N(INDEX(Parameter!$I$5:$I$7,CF659)),0),0)</f>
        <v>0</v>
      </c>
      <c r="CR659" s="64" t="n">
        <f aca="false">IF(AND(Parameter!$B$21="Ja",ISNUMBER(W659),N(X659)&gt;0),IFERROR(N(INDEX(Parameter!$L$5:$L$7,W659))*INDEX(Parameter!$E$5:$E$7,W659)*X659/SUMIFS($X$7:$X$1843,$W$7:$W$1843,W659),0),0)</f>
        <v>0</v>
      </c>
      <c r="CS659" s="62" t="str">
        <f aca="false">IF(AND(OR(CG659="L1",CG659="L23",CG659="LIFT"),H659&gt;0),CC659*IF(CR659&gt;0,CR659*MAX(1,H659/X659),IF(CA659=1,CE659,IF(R659&gt;0,CN659/R659,0))/MAX(0.1,N(Parameter!$M$21))),"")</f>
        <v/>
      </c>
      <c r="CT659" s="64" t="str">
        <f aca="false">IF(CS659="","",J659/H659)</f>
        <v/>
      </c>
      <c r="CU659" s="62" t="str">
        <f aca="false">IF(CS659="","",H659*G659)</f>
        <v/>
      </c>
      <c r="CV659" s="63" t="str">
        <f aca="false">IF(CS659="","",(CL659+ROUNDUP(CL659+MAX(CM659,2*(J659/MAX(0.1,N(Einkauf!$C$6))-CL659)),0))/2)</f>
        <v/>
      </c>
      <c r="CW659" s="62" t="str">
        <f aca="false">IF(CS659="","",MAX(0,H659-CV659)*G659)</f>
        <v/>
      </c>
      <c r="CX659" s="62" t="str">
        <f aca="false">IF(CS659="","",CS659*MAX(0,1-CV659/H659))</f>
        <v/>
      </c>
      <c r="CY659" s="64" t="str">
        <f aca="false">IF(CS659="","",PERCENTRANK($CS$7:$CS$1843,CS659)+PERCENTRANK($CU$7:$CU$1843,CU659)+1-PERCENTRANK($CT$7:$CT$1843,CT659))</f>
        <v/>
      </c>
      <c r="CZ659" s="72" t="str">
        <f aca="false">IF(CS659="","",CHOOSE(MATCH(Einkauf!$C$5,Parameter!$G$23:$G$27,0),CY659,CS659,CU659,-CT659,CW659)+ROW()/1000000000)</f>
        <v/>
      </c>
    </row>
    <row r="660" customFormat="false" ht="15" hidden="false" customHeight="false" outlineLevel="0" collapsed="false">
      <c r="A660" s="60" t="s">
        <v>1373</v>
      </c>
      <c r="B660" s="60" t="s">
        <v>1372</v>
      </c>
      <c r="C660" s="60" t="s">
        <v>206</v>
      </c>
      <c r="D660" s="60" t="s">
        <v>226</v>
      </c>
      <c r="E660" s="60"/>
      <c r="F660" s="60" t="s">
        <v>260</v>
      </c>
      <c r="G660" s="61" t="n">
        <v>10.02</v>
      </c>
      <c r="H660" s="62" t="n">
        <f aca="false">MAX(0,IF(AND(Parameter!$B$21="Ja",ISNUMBER(Y660)),Y660,IF(Parameter!$B$20="Jahresanfang 2025 + Export",BS660+BR660,BR660)))</f>
        <v>0</v>
      </c>
      <c r="I660" s="62" t="n">
        <f aca="false">H660*G660</f>
        <v>0</v>
      </c>
      <c r="J660" s="62" t="n">
        <f aca="false">BU660*Parameter!$B$18</f>
        <v>2</v>
      </c>
      <c r="K660" s="63" t="n">
        <v>3</v>
      </c>
      <c r="L660" s="64" t="n">
        <v>0.666666666666667</v>
      </c>
      <c r="M660" s="62" t="n">
        <v>0</v>
      </c>
      <c r="N660" s="62" t="n">
        <v>1</v>
      </c>
      <c r="O660" s="65" t="n">
        <v>21</v>
      </c>
      <c r="P660" s="60" t="s">
        <v>370</v>
      </c>
      <c r="Q660" s="62" t="n">
        <v>5</v>
      </c>
      <c r="R660" s="65" t="n">
        <f aca="false">IF(CA660=1,0,IFERROR(VLOOKUP(BY660,'Gebinde-Kategorie'!$A$5:$N$45,13,0)+0,0))</f>
        <v>52</v>
      </c>
      <c r="S660" s="66"/>
      <c r="T660" s="67"/>
      <c r="U660" s="67"/>
      <c r="V660" s="67"/>
      <c r="W660" s="60"/>
      <c r="X660" s="62"/>
      <c r="Y660" s="62"/>
      <c r="Z660" s="60" t="n">
        <v>3</v>
      </c>
      <c r="AA660" s="60" t="n">
        <f aca="false">IF(A660="","",IF(AND(Parameter!$B$21="Ja",ISNUMBER(W660)),W660,IF(AND(Parameter!$E$27="Ja",ISNUMBER(Z660),CD660&lt;&gt;"Nein"),Z660,IF(CD660="2+3",IF(ISNUMBER(SEARCH("grosser Artikel",BV660)),2,IFERROR(VLOOKUP(BY660,Parameter!$F$35:$G$64,2,0),2)),IF(OR(CD660="Nein",CD660=""),"-",CD660)))))</f>
        <v>3</v>
      </c>
      <c r="AB660" s="67"/>
      <c r="AC660" s="68"/>
      <c r="AD660" s="62" t="n">
        <f aca="false">AW660</f>
        <v>2</v>
      </c>
      <c r="AE660" s="62" t="n">
        <f aca="false">MAX(AW660,H660)</f>
        <v>2</v>
      </c>
      <c r="AF660" s="69"/>
      <c r="AG660" s="62" t="n">
        <f aca="false">IF(LEFT(Cockpit!$C$5,1)="A",H660,IF(Parameter!$E$30="MAX-Bestand",IF(CI660=1,CJ660,IF(LEFT(Cockpit!$C$5,1)="B",AM660,MAX(AM660,H660))),ROUNDUP(AK660,0)))</f>
        <v>0</v>
      </c>
      <c r="AH660" s="62" t="n">
        <f aca="false">IF(CA660=1,0,ROUNDUP(AG660/BZ660,0))</f>
        <v>0</v>
      </c>
      <c r="AI660" s="64" t="n">
        <f aca="false">IF(CR660&gt;0,CR660*MAX(1,AG660/X660),IF(CA660=1,IF(AG660&lt;=0,0,CE660*MAX(1,IF(H660&gt;0,AG660/H660,1))),IF(R660&gt;0,AH660/R660,0))/MAX(0.1,N(Parameter!$M$21)))</f>
        <v>0</v>
      </c>
      <c r="AJ660" s="62" t="n">
        <f aca="false">AI660*CC660</f>
        <v>0</v>
      </c>
      <c r="AK660" s="63" t="n">
        <f aca="false">IF(LEFT(Cockpit!$C$5,1)="A",H660,IF(CI660=1,(CL660+CJ660)/2,IF(LEFT(Cockpit!$C$5,1)="B",(CL660+AM660)/2,MAX((CL660+AM660)/2,H660))))</f>
        <v>0</v>
      </c>
      <c r="AL660" s="62" t="n">
        <f aca="false">AK660*G660</f>
        <v>0</v>
      </c>
      <c r="AM660" s="62" t="n">
        <f aca="false">ROUNDUP(CL660+MAX(CM660,2*(J660/IF(CH660&gt;0,CH660,MAX(0.1,N(Cockpit!$C$6)))-CL660)),0)</f>
        <v>2</v>
      </c>
      <c r="AN660" s="63" t="n">
        <f aca="false">IF(AJ660&gt;0,J660/AJ660,-1)</f>
        <v>-1</v>
      </c>
      <c r="AO660" s="63" t="str">
        <f aca="false">IF(AND(OR(CG660="L1",CG660="L23",CG660="LIFT"),AJ660&gt;0),SUMIFS($AJ$7:$AJ$1843,$CG$7:$CG$1843,CG660,$AN$7:$AN$1843,"&gt;"&amp;AN660)+SUMIFS($AJ$7:$AJ$1843,$CG$7:$CG$1843,CG660,$AN$7:$AN$1843,AN660,$BX$7:$BX$1843,"&lt;="&amp;BX660),"")</f>
        <v/>
      </c>
      <c r="AP660" s="70" t="n">
        <f aca="false">IF(AO660="",0,MAX(0,MIN(1,(IF(CG660="L1",Parameter!$H$5,IF(CG660="L23",Parameter!$H$6+Parameter!$H$7,Parameter!$H$5+Parameter!$H$6+Parameter!$H$7))-(AO660-AJ660))/AJ660)))</f>
        <v>0</v>
      </c>
      <c r="AQ660" s="62" t="n">
        <f aca="false">IF(LEFT(Cockpit!$I$5,1)="A",H660,IF(Parameter!$E$30="MAX-Bestand",IF(CI660=1,CJ660,IF(LEFT(Cockpit!$I$5,1)="B",AW660,MAX(AW660,H660))),ROUNDUP(AU660,0)))</f>
        <v>1</v>
      </c>
      <c r="AR660" s="62" t="n">
        <f aca="false">IF(CA660=1,0,ROUNDUP(AQ660/BZ660,0))</f>
        <v>1</v>
      </c>
      <c r="AS660" s="64" t="n">
        <f aca="false">IF(CR660&gt;0,CR660*MAX(1,AQ660/X660),IF(CA660=1,IF(AQ660&lt;=0,0,CE660*MAX(1,IF(H660&gt;0,AQ660/H660,1))),IF(R660&gt;0,AR660/R660,0))/MAX(0.1,N(Parameter!$M$21)))</f>
        <v>0.0192307692307692</v>
      </c>
      <c r="AT660" s="62" t="n">
        <f aca="false">AS660*CC660</f>
        <v>2.98076923076923</v>
      </c>
      <c r="AU660" s="63" t="n">
        <f aca="false">IF(LEFT(Cockpit!$I$5,1)="A",H660,IF(CI660=1,(CL660+CJ660)/2,IF(LEFT(Cockpit!$I$5,1)="B",(CL660+AW660)/2,MAX((CL660+AW660)/2,H660))))</f>
        <v>1</v>
      </c>
      <c r="AV660" s="62" t="n">
        <f aca="false">AU660*G660</f>
        <v>10.02</v>
      </c>
      <c r="AW660" s="62" t="n">
        <f aca="false">ROUNDUP(CL660+MAX(CM660,2*(J660/IF(CH660&gt;0,CH660,MAX(0.1,N(Cockpit!$I$6)))-CL660)),0)</f>
        <v>2</v>
      </c>
      <c r="AX660" s="63" t="n">
        <f aca="false">IF(AT660&gt;0,J660/AT660,-1)</f>
        <v>0.670967741935484</v>
      </c>
      <c r="AY660" s="63" t="n">
        <f aca="false">IF(AND(OR(CG660="L1",CG660="L23",CG660="LIFT"),AT660&gt;0),SUMIFS($AT$7:$AT$1843,$CG$7:$CG$1843,CG660,$AX$7:$AX$1843,"&gt;"&amp;AX660)+SUMIFS($AT$7:$AT$1843,$CG$7:$CG$1843,CG660,$AX$7:$AX$1843,AX660,$BX$7:$BX$1843,"&lt;="&amp;BX660),"")</f>
        <v>10907.298992674</v>
      </c>
      <c r="AZ660" s="70" t="n">
        <f aca="false">IF(AY660="",0,MAX(0,MIN(1,(IF(CG660="L1",Parameter!$H$5,IF(CG660="L23",Parameter!$H$6+Parameter!$H$7,Parameter!$H$5+Parameter!$H$6+Parameter!$H$7))-(AY660-AT660))/AT660)))</f>
        <v>1</v>
      </c>
      <c r="BA660" s="62" t="n">
        <f aca="false">IF(LEFT(Cockpit!$O$5,1)="A",H660,IF(Parameter!$E$30="MAX-Bestand",IF(CI660=1,CJ660,IF(LEFT(Cockpit!$O$5,1)="B",BG660,MAX(BG660,H660))),ROUNDUP(BE660,0)))</f>
        <v>1</v>
      </c>
      <c r="BB660" s="62" t="n">
        <f aca="false">IF(CA660=1,0,ROUNDUP(BA660/BZ660,0))</f>
        <v>1</v>
      </c>
      <c r="BC660" s="64" t="n">
        <f aca="false">IF(CR660&gt;0,CR660*MAX(1,BA660/X660),IF(CA660=1,IF(BA660&lt;=0,0,CE660*MAX(1,IF(H660&gt;0,BA660/H660,1))),IF(R660&gt;0,BB660/R660,0))/MAX(0.1,N(Parameter!$M$21)))</f>
        <v>0.0192307692307692</v>
      </c>
      <c r="BD660" s="62" t="n">
        <f aca="false">BC660*CC660</f>
        <v>2.98076923076923</v>
      </c>
      <c r="BE660" s="63" t="n">
        <f aca="false">IF(LEFT(Cockpit!$O$5,1)="A",H660,IF(CI660=1,(CL660+CJ660)/2,IF(LEFT(Cockpit!$O$5,1)="B",(CL660+BG660)/2,MAX((CL660+BG660)/2,H660))))</f>
        <v>0.5</v>
      </c>
      <c r="BF660" s="62" t="n">
        <f aca="false">BE660*G660</f>
        <v>5.01</v>
      </c>
      <c r="BG660" s="62" t="n">
        <f aca="false">ROUNDUP(CL660+MAX(CM660,2*(J660/IF(CH660&gt;0,CH660,MAX(0.1,N(Cockpit!$O$6)))-CL660)),0)</f>
        <v>1</v>
      </c>
      <c r="BH660" s="63" t="n">
        <f aca="false">IF(BD660&gt;0,J660/BD660,-1)</f>
        <v>0.670967741935484</v>
      </c>
      <c r="BI660" s="63" t="n">
        <f aca="false">IF(AND(OR(CG660="L1",CG660="L23",CG660="LIFT"),BD660&gt;0),SUMIFS($BD$7:$BD$1843,$CG$7:$CG$1843,CG660,$BH$7:$BH$1843,"&gt;"&amp;BH660)+SUMIFS($BD$7:$BD$1843,$CG$7:$CG$1843,CG660,$BH$7:$BH$1843,BH660,$BX$7:$BX$1843,"&lt;="&amp;BX660),"")</f>
        <v>9515.44276556777</v>
      </c>
      <c r="BJ660" s="70" t="n">
        <f aca="false">IF(BI660="",0,MAX(0,MIN(1,(IF(CG660="L1",Parameter!$H$5,IF(CG660="L23",Parameter!$H$6+Parameter!$H$7,Parameter!$H$5+Parameter!$H$6+Parameter!$H$7))-(BI660-BD660))/BD660)))</f>
        <v>1</v>
      </c>
      <c r="BK660" s="60" t="str">
        <f aca="false">IF(AJ660&lt;=0,"",IF(CG660="Aussen","Aussenlager",IF(CG660="-","Nicht im Lift",IF(AP660&gt;=1,"Lift",IF(AP660&lt;=0,"Aussenlager","teilweise")))))</f>
        <v/>
      </c>
      <c r="BL660" s="60" t="str">
        <f aca="false">IF(AT660&lt;=0,"",IF(CG660="Aussen","Aussenlager",IF(CG660="-","Nicht im Lift",IF(AZ660&gt;=1,"Lift",IF(AZ660&lt;=0,"Aussenlager","teilweise")))))</f>
        <v>Lift</v>
      </c>
      <c r="BM660" s="60" t="str">
        <f aca="false">IF(BD660&lt;=0,"",IF(CG660="Aussen","Aussenlager",IF(CG660="-","Nicht im Lift",IF(BJ660&gt;=1,"Lift",IF(BJ660&lt;=0,"Aussenlager","teilweise")))))</f>
        <v>Lift</v>
      </c>
      <c r="BN660" s="60" t="str">
        <f aca="false">IF(A660="","",IF(BW660=1,"Neu; ","")&amp;IF(AND(BW660=0,BR660&lt;0),"negativer Bestand (Export "&amp;BR660&amp;"); ","")&amp;IF(J660&lt;=0,"Kein Verbrauch; ","")&amp;IF(CR660&gt;0,"Lift "&amp;W660&amp;" lt. Liftbericht (Fach "&amp;X660&amp;" Stk); ",IF(CB660=1,"Gebinde geschätzt ("&amp;T660&amp;"); ",IF(CA660=1,"Lose – Tablare geschätzt; ","")))&amp;IF(H660&gt;AW660,"Überbestand "&amp;ROUND(H660-AW660,0)&amp;" Stk / CHF "&amp;ROUND((H660-AW660)*G660,0)&amp;"; ","")&amp;IF(AND(CI660=1,CJ660&lt;CK660),"MAX &lt; MB+LG; ","")&amp;IF(AND(CQ660&gt;0,CP660*10&gt;CQ660),"zu hoch für Tablar; ","")&amp;IF(AND(BW660=0,OR(CI660=1,AB660&lt;&gt;"",U660&lt;&gt;"",V660&lt;&gt;"",AC660&lt;&gt;"")),"manuell übersteuert; ","")&amp;IF(AND(CA660=0,R660=0),"Gebinde unbekannt / Stellmass fehlt; ","")&amp;IF(AND(CA660=0,N(V660)&lt;=0,N(Q660)&lt;=0),"Menge pro Gebinde fehlt (Ist = 1 Gebinde); ","")&amp;BV660)</f>
        <v/>
      </c>
      <c r="BO660" s="60"/>
      <c r="BP660" s="60"/>
      <c r="BQ660" s="67"/>
      <c r="BR660" s="62" t="n">
        <v>0</v>
      </c>
      <c r="BS660" s="62" t="n">
        <v>0</v>
      </c>
      <c r="BT660" s="61" t="n">
        <v>2.8421709430404E-014</v>
      </c>
      <c r="BU660" s="62" t="n">
        <v>2</v>
      </c>
      <c r="BV660" s="60"/>
      <c r="BW660" s="65" t="n">
        <v>0</v>
      </c>
      <c r="BX660" s="65" t="n">
        <v>660</v>
      </c>
      <c r="BY660" s="60" t="str">
        <f aca="false">IF(U660&lt;&gt;"",UPPER(TRIM(U660)),IF(CB660=1,UPPER(VLOOKUP(T660,Parameter!$I$27:$K$29,2,0)),IF(P660="","LOSE",P660)))</f>
        <v>S41</v>
      </c>
      <c r="BZ660" s="62" t="n">
        <f aca="false">IF(BY660="LOSE",1,IF(N(V660)&gt;0,V660,IF(CB660=1,MAX(1,N(VLOOKUP(T660,Parameter!$I$27:$K$29,3,0)),H660,N(N660)),IF(N(Q660)&gt;0,Q660,MAX(1,H660)))))</f>
        <v>5</v>
      </c>
      <c r="CA660" s="65" t="n">
        <f aca="false">IF(BY660="LOSE",1,0)</f>
        <v>0</v>
      </c>
      <c r="CB660" s="65" t="n">
        <f aca="false">IF(AND(U660="",OR(P660="",P660="LOSE"),T660&lt;&gt;"",N(S660)&lt;=0,ISNUMBER(MATCH(T660,Parameter!$I$27:$I$29,0))),1,0)</f>
        <v>0</v>
      </c>
      <c r="CC660" s="65" t="n">
        <f aca="false">IF(CR660&gt;0,INDEX(Parameter!$H$5:$H$7,W660)/INDEX(Parameter!$E$5:$E$7,W660),IF(AND(CA660=0,N(IFERROR(VLOOKUP(BY660,'Gebinde-Kategorie'!$A$5:$N$45,14,0),0))&gt;0),VLOOKUP(BY660,'Gebinde-Kategorie'!$A$5:$N$45,14,0)*10+Parameter!$M$23,Parameter!$M$24))</f>
        <v>155</v>
      </c>
      <c r="CD660" s="60" t="str">
        <f aca="false">IF(AND(Parameter!$B$19="Ja",E660&lt;&gt;"",ISNUMBER(MATCH(E660,Parameter!$I$35:$I$52,0))),VLOOKUP(E660,Parameter!$I$35:$J$52,2,0),IFERROR(VLOOKUP(D660,Parameter!$A$35:$C$64,2,0),"Nein"))</f>
        <v>2+3</v>
      </c>
      <c r="CE660" s="64" t="n">
        <f aca="false">IF(CA660=0,0,IF(N(S660)&gt;0,S660,IFERROR(VLOOKUP(D660,Parameter!$A$35:$C$64,3,0)+0,0)))</f>
        <v>0</v>
      </c>
      <c r="CF660" s="60" t="n">
        <f aca="false">IF(AB660&lt;&gt;"",AB660,AA660)</f>
        <v>3</v>
      </c>
      <c r="CG660" s="60" t="str">
        <f aca="false">IF(OR(CF660=1,CF660=2,CF660=3),IF(Parameter!$E$27="Ja","LIFT",IF(CF660=1,"L1","L23")),IF(CF660="Aussen","Aussen","-"))</f>
        <v>LIFT</v>
      </c>
      <c r="CH660" s="71" t="n">
        <f aca="false">IF(N(AC660)&gt;0,AC660,0)</f>
        <v>0</v>
      </c>
      <c r="CI660" s="65" t="n">
        <f aca="false">IF(ISNUMBER(AF660),1,0)</f>
        <v>0</v>
      </c>
      <c r="CJ660" s="62" t="n">
        <f aca="false">N(AF660)</f>
        <v>0</v>
      </c>
      <c r="CK660" s="62" t="n">
        <f aca="false">N(M660)+N(N660)</f>
        <v>1</v>
      </c>
      <c r="CL660" s="62" t="n">
        <f aca="false">N(M660)</f>
        <v>0</v>
      </c>
      <c r="CM660" s="62" t="n">
        <f aca="false">N(N660)</f>
        <v>1</v>
      </c>
      <c r="CN660" s="62" t="n">
        <f aca="false">ROUNDUP(H660/BZ660,0)</f>
        <v>0</v>
      </c>
      <c r="CO660" s="62" t="n">
        <f aca="false">ROUNDUP(CJ660/BZ660,0)</f>
        <v>0</v>
      </c>
      <c r="CP660" s="65" t="n">
        <f aca="false">IF(CA660=1,0,IFERROR(VLOOKUP(BY660,'Gebinde-Kategorie'!$A$5:$N$45,5,0)+0,0))</f>
        <v>11</v>
      </c>
      <c r="CQ660" s="65" t="n">
        <f aca="false">IFERROR(IF(OR(CF660=1,CF660=2,CF660=3),N(INDEX(Parameter!$I$5:$I$7,CF660)),0),0)</f>
        <v>0</v>
      </c>
      <c r="CR660" s="64" t="n">
        <f aca="false">IF(AND(Parameter!$B$21="Ja",ISNUMBER(W660),N(X660)&gt;0),IFERROR(N(INDEX(Parameter!$L$5:$L$7,W660))*INDEX(Parameter!$E$5:$E$7,W660)*X660/SUMIFS($X$7:$X$1843,$W$7:$W$1843,W660),0),0)</f>
        <v>0</v>
      </c>
      <c r="CS660" s="62" t="str">
        <f aca="false">IF(AND(OR(CG660="L1",CG660="L23",CG660="LIFT"),H660&gt;0),CC660*IF(CR660&gt;0,CR660*MAX(1,H660/X660),IF(CA660=1,CE660,IF(R660&gt;0,CN660/R660,0))/MAX(0.1,N(Parameter!$M$21))),"")</f>
        <v/>
      </c>
      <c r="CT660" s="64" t="str">
        <f aca="false">IF(CS660="","",J660/H660)</f>
        <v/>
      </c>
      <c r="CU660" s="62" t="str">
        <f aca="false">IF(CS660="","",H660*G660)</f>
        <v/>
      </c>
      <c r="CV660" s="63" t="str">
        <f aca="false">IF(CS660="","",(CL660+ROUNDUP(CL660+MAX(CM660,2*(J660/MAX(0.1,N(Einkauf!$C$6))-CL660)),0))/2)</f>
        <v/>
      </c>
      <c r="CW660" s="62" t="str">
        <f aca="false">IF(CS660="","",MAX(0,H660-CV660)*G660)</f>
        <v/>
      </c>
      <c r="CX660" s="62" t="str">
        <f aca="false">IF(CS660="","",CS660*MAX(0,1-CV660/H660))</f>
        <v/>
      </c>
      <c r="CY660" s="64" t="str">
        <f aca="false">IF(CS660="","",PERCENTRANK($CS$7:$CS$1843,CS660)+PERCENTRANK($CU$7:$CU$1843,CU660)+1-PERCENTRANK($CT$7:$CT$1843,CT660))</f>
        <v/>
      </c>
      <c r="CZ660" s="72" t="str">
        <f aca="false">IF(CS660="","",CHOOSE(MATCH(Einkauf!$C$5,Parameter!$G$23:$G$27,0),CY660,CS660,CU660,-CT660,CW660)+ROW()/1000000000)</f>
        <v/>
      </c>
    </row>
    <row r="661" customFormat="false" ht="15" hidden="false" customHeight="false" outlineLevel="0" collapsed="false">
      <c r="A661" s="60" t="s">
        <v>1374</v>
      </c>
      <c r="B661" s="60" t="s">
        <v>1040</v>
      </c>
      <c r="C661" s="60" t="s">
        <v>206</v>
      </c>
      <c r="D661" s="60" t="s">
        <v>1037</v>
      </c>
      <c r="E661" s="60"/>
      <c r="F661" s="60" t="s">
        <v>260</v>
      </c>
      <c r="G661" s="61" t="n">
        <v>161.29</v>
      </c>
      <c r="H661" s="62" t="n">
        <f aca="false">MAX(0,IF(AND(Parameter!$B$21="Ja",ISNUMBER(Y661)),Y661,IF(Parameter!$B$20="Jahresanfang 2025 + Export",BS661+BR661,BR661)))</f>
        <v>0</v>
      </c>
      <c r="I661" s="62" t="n">
        <f aca="false">H661*G661</f>
        <v>0</v>
      </c>
      <c r="J661" s="62" t="n">
        <f aca="false">BU661*Parameter!$B$18</f>
        <v>4</v>
      </c>
      <c r="K661" s="63" t="n">
        <v>0</v>
      </c>
      <c r="L661" s="64" t="n">
        <v>0</v>
      </c>
      <c r="M661" s="62" t="n">
        <v>0</v>
      </c>
      <c r="N661" s="62" t="n">
        <v>1</v>
      </c>
      <c r="O661" s="65" t="n">
        <v>105</v>
      </c>
      <c r="P661" s="60" t="s">
        <v>210</v>
      </c>
      <c r="Q661" s="62"/>
      <c r="R661" s="65" t="n">
        <f aca="false">IF(CA661=1,0,IFERROR(VLOOKUP(BY661,'Gebinde-Kategorie'!$A$5:$N$45,13,0)+0,0))</f>
        <v>0</v>
      </c>
      <c r="S661" s="66"/>
      <c r="T661" s="67"/>
      <c r="U661" s="67"/>
      <c r="V661" s="67"/>
      <c r="W661" s="60"/>
      <c r="X661" s="62"/>
      <c r="Y661" s="62"/>
      <c r="Z661" s="60"/>
      <c r="AA661" s="60" t="str">
        <f aca="false">IF(A661="","",IF(AND(Parameter!$B$21="Ja",ISNUMBER(W661)),W661,IF(AND(Parameter!$E$27="Ja",ISNUMBER(Z661),CD661&lt;&gt;"Nein"),Z661,IF(CD661="2+3",IF(ISNUMBER(SEARCH("grosser Artikel",BV661)),2,IFERROR(VLOOKUP(BY661,Parameter!$F$35:$G$64,2,0),2)),IF(OR(CD661="Nein",CD661=""),"-",CD661)))))</f>
        <v>-</v>
      </c>
      <c r="AB661" s="67"/>
      <c r="AC661" s="68"/>
      <c r="AD661" s="62" t="n">
        <f aca="false">AW661</f>
        <v>3</v>
      </c>
      <c r="AE661" s="62" t="n">
        <f aca="false">MAX(AW661,H661)</f>
        <v>3</v>
      </c>
      <c r="AF661" s="69"/>
      <c r="AG661" s="62" t="n">
        <f aca="false">IF(LEFT(Cockpit!$C$5,1)="A",H661,IF(Parameter!$E$30="MAX-Bestand",IF(CI661=1,CJ661,IF(LEFT(Cockpit!$C$5,1)="B",AM661,MAX(AM661,H661))),ROUNDUP(AK661,0)))</f>
        <v>0</v>
      </c>
      <c r="AH661" s="62" t="n">
        <f aca="false">IF(CA661=1,0,ROUNDUP(AG661/BZ661,0))</f>
        <v>0</v>
      </c>
      <c r="AI661" s="64" t="n">
        <f aca="false">IF(CR661&gt;0,CR661*MAX(1,AG661/X661),IF(CA661=1,IF(AG661&lt;=0,0,CE661*MAX(1,IF(H661&gt;0,AG661/H661,1))),IF(R661&gt;0,AH661/R661,0))/MAX(0.1,N(Parameter!$M$21)))</f>
        <v>0</v>
      </c>
      <c r="AJ661" s="62" t="n">
        <f aca="false">AI661*CC661</f>
        <v>0</v>
      </c>
      <c r="AK661" s="63" t="n">
        <f aca="false">IF(LEFT(Cockpit!$C$5,1)="A",H661,IF(CI661=1,(CL661+CJ661)/2,IF(LEFT(Cockpit!$C$5,1)="B",(CL661+AM661)/2,MAX((CL661+AM661)/2,H661))))</f>
        <v>0</v>
      </c>
      <c r="AL661" s="62" t="n">
        <f aca="false">AK661*G661</f>
        <v>0</v>
      </c>
      <c r="AM661" s="62" t="n">
        <f aca="false">ROUNDUP(CL661+MAX(CM661,2*(J661/IF(CH661&gt;0,CH661,MAX(0.1,N(Cockpit!$C$6)))-CL661)),0)</f>
        <v>3</v>
      </c>
      <c r="AN661" s="63" t="n">
        <f aca="false">IF(AJ661&gt;0,J661/AJ661,-1)</f>
        <v>-1</v>
      </c>
      <c r="AO661" s="63" t="str">
        <f aca="false">IF(AND(OR(CG661="L1",CG661="L23",CG661="LIFT"),AJ661&gt;0),SUMIFS($AJ$7:$AJ$1843,$CG$7:$CG$1843,CG661,$AN$7:$AN$1843,"&gt;"&amp;AN661)+SUMIFS($AJ$7:$AJ$1843,$CG$7:$CG$1843,CG661,$AN$7:$AN$1843,AN661,$BX$7:$BX$1843,"&lt;="&amp;BX661),"")</f>
        <v/>
      </c>
      <c r="AP661" s="70" t="n">
        <f aca="false">IF(AO661="",0,MAX(0,MIN(1,(IF(CG661="L1",Parameter!$H$5,IF(CG661="L23",Parameter!$H$6+Parameter!$H$7,Parameter!$H$5+Parameter!$H$6+Parameter!$H$7))-(AO661-AJ661))/AJ661)))</f>
        <v>0</v>
      </c>
      <c r="AQ661" s="62" t="n">
        <f aca="false">IF(LEFT(Cockpit!$I$5,1)="A",H661,IF(Parameter!$E$30="MAX-Bestand",IF(CI661=1,CJ661,IF(LEFT(Cockpit!$I$5,1)="B",AW661,MAX(AW661,H661))),ROUNDUP(AU661,0)))</f>
        <v>2</v>
      </c>
      <c r="AR661" s="62" t="n">
        <f aca="false">IF(CA661=1,0,ROUNDUP(AQ661/BZ661,0))</f>
        <v>0</v>
      </c>
      <c r="AS661" s="64" t="n">
        <f aca="false">IF(CR661&gt;0,CR661*MAX(1,AQ661/X661),IF(CA661=1,IF(AQ661&lt;=0,0,CE661*MAX(1,IF(H661&gt;0,AQ661/H661,1))),IF(R661&gt;0,AR661/R661,0))/MAX(0.1,N(Parameter!$M$21)))</f>
        <v>0.15</v>
      </c>
      <c r="AT661" s="62" t="n">
        <f aca="false">AS661*CC661</f>
        <v>35.25</v>
      </c>
      <c r="AU661" s="63" t="n">
        <f aca="false">IF(LEFT(Cockpit!$I$5,1)="A",H661,IF(CI661=1,(CL661+CJ661)/2,IF(LEFT(Cockpit!$I$5,1)="B",(CL661+AW661)/2,MAX((CL661+AW661)/2,H661))))</f>
        <v>1.5</v>
      </c>
      <c r="AV661" s="62" t="n">
        <f aca="false">AU661*G661</f>
        <v>241.935</v>
      </c>
      <c r="AW661" s="62" t="n">
        <f aca="false">ROUNDUP(CL661+MAX(CM661,2*(J661/IF(CH661&gt;0,CH661,MAX(0.1,N(Cockpit!$I$6)))-CL661)),0)</f>
        <v>3</v>
      </c>
      <c r="AX661" s="63" t="n">
        <f aca="false">IF(AT661&gt;0,J661/AT661,-1)</f>
        <v>0.113475177304965</v>
      </c>
      <c r="AY661" s="63" t="str">
        <f aca="false">IF(AND(OR(CG661="L1",CG661="L23",CG661="LIFT"),AT661&gt;0),SUMIFS($AT$7:$AT$1843,$CG$7:$CG$1843,CG661,$AX$7:$AX$1843,"&gt;"&amp;AX661)+SUMIFS($AT$7:$AT$1843,$CG$7:$CG$1843,CG661,$AX$7:$AX$1843,AX661,$BX$7:$BX$1843,"&lt;="&amp;BX661),"")</f>
        <v/>
      </c>
      <c r="AZ661" s="70" t="n">
        <f aca="false">IF(AY661="",0,MAX(0,MIN(1,(IF(CG661="L1",Parameter!$H$5,IF(CG661="L23",Parameter!$H$6+Parameter!$H$7,Parameter!$H$5+Parameter!$H$6+Parameter!$H$7))-(AY661-AT661))/AT661)))</f>
        <v>0</v>
      </c>
      <c r="BA661" s="62" t="n">
        <f aca="false">IF(LEFT(Cockpit!$O$5,1)="A",H661,IF(Parameter!$E$30="MAX-Bestand",IF(CI661=1,CJ661,IF(LEFT(Cockpit!$O$5,1)="B",BG661,MAX(BG661,H661))),ROUNDUP(BE661,0)))</f>
        <v>1</v>
      </c>
      <c r="BB661" s="62" t="n">
        <f aca="false">IF(CA661=1,0,ROUNDUP(BA661/BZ661,0))</f>
        <v>0</v>
      </c>
      <c r="BC661" s="64" t="n">
        <f aca="false">IF(CR661&gt;0,CR661*MAX(1,BA661/X661),IF(CA661=1,IF(BA661&lt;=0,0,CE661*MAX(1,IF(H661&gt;0,BA661/H661,1))),IF(R661&gt;0,BB661/R661,0))/MAX(0.1,N(Parameter!$M$21)))</f>
        <v>0.15</v>
      </c>
      <c r="BD661" s="62" t="n">
        <f aca="false">BC661*CC661</f>
        <v>35.25</v>
      </c>
      <c r="BE661" s="63" t="n">
        <f aca="false">IF(LEFT(Cockpit!$O$5,1)="A",H661,IF(CI661=1,(CL661+CJ661)/2,IF(LEFT(Cockpit!$O$5,1)="B",(CL661+BG661)/2,MAX((CL661+BG661)/2,H661))))</f>
        <v>1</v>
      </c>
      <c r="BF661" s="62" t="n">
        <f aca="false">BE661*G661</f>
        <v>161.29</v>
      </c>
      <c r="BG661" s="62" t="n">
        <f aca="false">ROUNDUP(CL661+MAX(CM661,2*(J661/IF(CH661&gt;0,CH661,MAX(0.1,N(Cockpit!$O$6)))-CL661)),0)</f>
        <v>2</v>
      </c>
      <c r="BH661" s="63" t="n">
        <f aca="false">IF(BD661&gt;0,J661/BD661,-1)</f>
        <v>0.113475177304965</v>
      </c>
      <c r="BI661" s="63" t="str">
        <f aca="false">IF(AND(OR(CG661="L1",CG661="L23",CG661="LIFT"),BD661&gt;0),SUMIFS($BD$7:$BD$1843,$CG$7:$CG$1843,CG661,$BH$7:$BH$1843,"&gt;"&amp;BH661)+SUMIFS($BD$7:$BD$1843,$CG$7:$CG$1843,CG661,$BH$7:$BH$1843,BH661,$BX$7:$BX$1843,"&lt;="&amp;BX661),"")</f>
        <v/>
      </c>
      <c r="BJ661" s="70" t="n">
        <f aca="false">IF(BI661="",0,MAX(0,MIN(1,(IF(CG661="L1",Parameter!$H$5,IF(CG661="L23",Parameter!$H$6+Parameter!$H$7,Parameter!$H$5+Parameter!$H$6+Parameter!$H$7))-(BI661-BD661))/BD661)))</f>
        <v>0</v>
      </c>
      <c r="BK661" s="60" t="str">
        <f aca="false">IF(AJ661&lt;=0,"",IF(CG661="Aussen","Aussenlager",IF(CG661="-","Nicht im Lift",IF(AP661&gt;=1,"Lift",IF(AP661&lt;=0,"Aussenlager","teilweise")))))</f>
        <v/>
      </c>
      <c r="BL661" s="60" t="str">
        <f aca="false">IF(AT661&lt;=0,"",IF(CG661="Aussen","Aussenlager",IF(CG661="-","Nicht im Lift",IF(AZ661&gt;=1,"Lift",IF(AZ661&lt;=0,"Aussenlager","teilweise")))))</f>
        <v>Nicht im Lift</v>
      </c>
      <c r="BM661" s="60" t="str">
        <f aca="false">IF(BD661&lt;=0,"",IF(CG661="Aussen","Aussenlager",IF(CG661="-","Nicht im Lift",IF(BJ661&gt;=1,"Lift",IF(BJ661&lt;=0,"Aussenlager","teilweise")))))</f>
        <v>Nicht im Lift</v>
      </c>
      <c r="BN661" s="60" t="str">
        <f aca="false">IF(A661="","",IF(BW661=1,"Neu; ","")&amp;IF(AND(BW661=0,BR661&lt;0),"negativer Bestand (Export "&amp;BR661&amp;"); ","")&amp;IF(J661&lt;=0,"Kein Verbrauch; ","")&amp;IF(CR661&gt;0,"Lift "&amp;W661&amp;" lt. Liftbericht (Fach "&amp;X661&amp;" Stk); ",IF(CB661=1,"Gebinde geschätzt ("&amp;T661&amp;"); ",IF(CA661=1,"Lose – Tablare geschätzt; ","")))&amp;IF(H661&gt;AW661,"Überbestand "&amp;ROUND(H661-AW661,0)&amp;" Stk / CHF "&amp;ROUND((H661-AW661)*G661,0)&amp;"; ","")&amp;IF(AND(CI661=1,CJ661&lt;CK661),"MAX &lt; MB+LG; ","")&amp;IF(AND(CQ661&gt;0,CP661*10&gt;CQ661),"zu hoch für Tablar; ","")&amp;IF(AND(BW661=0,OR(CI661=1,AB661&lt;&gt;"",U661&lt;&gt;"",V661&lt;&gt;"",AC661&lt;&gt;"")),"manuell übersteuert; ","")&amp;IF(AND(CA661=0,R661=0),"Gebinde unbekannt / Stellmass fehlt; ","")&amp;IF(AND(CA661=0,N(V661)&lt;=0,N(Q661)&lt;=0),"Menge pro Gebinde fehlt (Ist = 1 Gebinde); ","")&amp;BV661)</f>
        <v>Lose – Tablare geschätzt; </v>
      </c>
      <c r="BO661" s="60"/>
      <c r="BP661" s="60"/>
      <c r="BQ661" s="67"/>
      <c r="BR661" s="62" t="n">
        <v>0</v>
      </c>
      <c r="BS661" s="62" t="n">
        <v>0</v>
      </c>
      <c r="BT661" s="61" t="n">
        <v>1.81903103690928E-014</v>
      </c>
      <c r="BU661" s="62" t="n">
        <v>4</v>
      </c>
      <c r="BV661" s="60"/>
      <c r="BW661" s="65" t="n">
        <v>0</v>
      </c>
      <c r="BX661" s="65" t="n">
        <v>661</v>
      </c>
      <c r="BY661" s="60" t="str">
        <f aca="false">IF(U661&lt;&gt;"",UPPER(TRIM(U661)),IF(CB661=1,UPPER(VLOOKUP(T661,Parameter!$I$27:$K$29,2,0)),IF(P661="","LOSE",P661)))</f>
        <v>LOSE</v>
      </c>
      <c r="BZ661" s="62" t="n">
        <f aca="false">IF(BY661="LOSE",1,IF(N(V661)&gt;0,V661,IF(CB661=1,MAX(1,N(VLOOKUP(T661,Parameter!$I$27:$K$29,3,0)),H661,N(N661)),IF(N(Q661)&gt;0,Q661,MAX(1,H661)))))</f>
        <v>1</v>
      </c>
      <c r="CA661" s="65" t="n">
        <f aca="false">IF(BY661="LOSE",1,0)</f>
        <v>1</v>
      </c>
      <c r="CB661" s="65" t="n">
        <f aca="false">IF(AND(U661="",OR(P661="",P661="LOSE"),T661&lt;&gt;"",N(S661)&lt;=0,ISNUMBER(MATCH(T661,Parameter!$I$27:$I$29,0))),1,0)</f>
        <v>0</v>
      </c>
      <c r="CC661" s="65" t="n">
        <f aca="false">IF(CR661&gt;0,INDEX(Parameter!$H$5:$H$7,W661)/INDEX(Parameter!$E$5:$E$7,W661),IF(AND(CA661=0,N(IFERROR(VLOOKUP(BY661,'Gebinde-Kategorie'!$A$5:$N$45,14,0),0))&gt;0),VLOOKUP(BY661,'Gebinde-Kategorie'!$A$5:$N$45,14,0)*10+Parameter!$M$23,Parameter!$M$24))</f>
        <v>235</v>
      </c>
      <c r="CD661" s="60" t="str">
        <f aca="false">IF(AND(Parameter!$B$19="Ja",E661&lt;&gt;"",ISNUMBER(MATCH(E661,Parameter!$I$35:$I$52,0))),VLOOKUP(E661,Parameter!$I$35:$J$52,2,0),IFERROR(VLOOKUP(D661,Parameter!$A$35:$C$64,2,0),"Nein"))</f>
        <v>Nein</v>
      </c>
      <c r="CE661" s="64" t="n">
        <f aca="false">IF(CA661=0,0,IF(N(S661)&gt;0,S661,IFERROR(VLOOKUP(D661,Parameter!$A$35:$C$64,3,0)+0,0)))</f>
        <v>0.15</v>
      </c>
      <c r="CF661" s="60" t="str">
        <f aca="false">IF(AB661&lt;&gt;"",AB661,AA661)</f>
        <v>-</v>
      </c>
      <c r="CG661" s="60" t="str">
        <f aca="false">IF(OR(CF661=1,CF661=2,CF661=3),IF(Parameter!$E$27="Ja","LIFT",IF(CF661=1,"L1","L23")),IF(CF661="Aussen","Aussen","-"))</f>
        <v>-</v>
      </c>
      <c r="CH661" s="71" t="n">
        <f aca="false">IF(N(AC661)&gt;0,AC661,0)</f>
        <v>0</v>
      </c>
      <c r="CI661" s="65" t="n">
        <f aca="false">IF(ISNUMBER(AF661),1,0)</f>
        <v>0</v>
      </c>
      <c r="CJ661" s="62" t="n">
        <f aca="false">N(AF661)</f>
        <v>0</v>
      </c>
      <c r="CK661" s="62" t="n">
        <f aca="false">N(M661)+N(N661)</f>
        <v>1</v>
      </c>
      <c r="CL661" s="62" t="n">
        <f aca="false">N(M661)</f>
        <v>0</v>
      </c>
      <c r="CM661" s="62" t="n">
        <f aca="false">N(N661)</f>
        <v>1</v>
      </c>
      <c r="CN661" s="62" t="n">
        <f aca="false">ROUNDUP(H661/BZ661,0)</f>
        <v>0</v>
      </c>
      <c r="CO661" s="62" t="n">
        <f aca="false">ROUNDUP(CJ661/BZ661,0)</f>
        <v>0</v>
      </c>
      <c r="CP661" s="65" t="n">
        <f aca="false">IF(CA661=1,0,IFERROR(VLOOKUP(BY661,'Gebinde-Kategorie'!$A$5:$N$45,5,0)+0,0))</f>
        <v>0</v>
      </c>
      <c r="CQ661" s="65" t="n">
        <f aca="false">IFERROR(IF(OR(CF661=1,CF661=2,CF661=3),N(INDEX(Parameter!$I$5:$I$7,CF661)),0),0)</f>
        <v>0</v>
      </c>
      <c r="CR661" s="64" t="n">
        <f aca="false">IF(AND(Parameter!$B$21="Ja",ISNUMBER(W661),N(X661)&gt;0),IFERROR(N(INDEX(Parameter!$L$5:$L$7,W661))*INDEX(Parameter!$E$5:$E$7,W661)*X661/SUMIFS($X$7:$X$1843,$W$7:$W$1843,W661),0),0)</f>
        <v>0</v>
      </c>
      <c r="CS661" s="62" t="str">
        <f aca="false">IF(AND(OR(CG661="L1",CG661="L23",CG661="LIFT"),H661&gt;0),CC661*IF(CR661&gt;0,CR661*MAX(1,H661/X661),IF(CA661=1,CE661,IF(R661&gt;0,CN661/R661,0))/MAX(0.1,N(Parameter!$M$21))),"")</f>
        <v/>
      </c>
      <c r="CT661" s="64" t="str">
        <f aca="false">IF(CS661="","",J661/H661)</f>
        <v/>
      </c>
      <c r="CU661" s="62" t="str">
        <f aca="false">IF(CS661="","",H661*G661)</f>
        <v/>
      </c>
      <c r="CV661" s="63" t="str">
        <f aca="false">IF(CS661="","",(CL661+ROUNDUP(CL661+MAX(CM661,2*(J661/MAX(0.1,N(Einkauf!$C$6))-CL661)),0))/2)</f>
        <v/>
      </c>
      <c r="CW661" s="62" t="str">
        <f aca="false">IF(CS661="","",MAX(0,H661-CV661)*G661)</f>
        <v/>
      </c>
      <c r="CX661" s="62" t="str">
        <f aca="false">IF(CS661="","",CS661*MAX(0,1-CV661/H661))</f>
        <v/>
      </c>
      <c r="CY661" s="64" t="str">
        <f aca="false">IF(CS661="","",PERCENTRANK($CS$7:$CS$1843,CS661)+PERCENTRANK($CU$7:$CU$1843,CU661)+1-PERCENTRANK($CT$7:$CT$1843,CT661))</f>
        <v/>
      </c>
      <c r="CZ661" s="72" t="str">
        <f aca="false">IF(CS661="","",CHOOSE(MATCH(Einkauf!$C$5,Parameter!$G$23:$G$27,0),CY661,CS661,CU661,-CT661,CW661)+ROW()/1000000000)</f>
        <v/>
      </c>
    </row>
    <row r="662" customFormat="false" ht="15" hidden="false" customHeight="false" outlineLevel="0" collapsed="false">
      <c r="A662" s="60" t="s">
        <v>1375</v>
      </c>
      <c r="B662" s="60" t="s">
        <v>696</v>
      </c>
      <c r="C662" s="60" t="s">
        <v>206</v>
      </c>
      <c r="D662" s="60" t="s">
        <v>1037</v>
      </c>
      <c r="E662" s="60"/>
      <c r="F662" s="60" t="s">
        <v>260</v>
      </c>
      <c r="G662" s="61" t="n">
        <v>0.27</v>
      </c>
      <c r="H662" s="62" t="n">
        <f aca="false">MAX(0,IF(AND(Parameter!$B$21="Ja",ISNUMBER(Y662)),Y662,IF(Parameter!$B$20="Jahresanfang 2025 + Export",BS662+BR662,BR662)))</f>
        <v>0</v>
      </c>
      <c r="I662" s="62" t="n">
        <f aca="false">H662*G662</f>
        <v>0</v>
      </c>
      <c r="J662" s="62" t="n">
        <f aca="false">BU662*Parameter!$B$18</f>
        <v>60</v>
      </c>
      <c r="K662" s="63" t="n">
        <v>0</v>
      </c>
      <c r="L662" s="64" t="n">
        <v>0</v>
      </c>
      <c r="M662" s="62" t="n">
        <v>0</v>
      </c>
      <c r="N662" s="62" t="n">
        <v>1</v>
      </c>
      <c r="O662" s="65" t="n">
        <v>28</v>
      </c>
      <c r="P662" s="60" t="s">
        <v>210</v>
      </c>
      <c r="Q662" s="62"/>
      <c r="R662" s="65" t="n">
        <f aca="false">IF(CA662=1,0,IFERROR(VLOOKUP(BY662,'Gebinde-Kategorie'!$A$5:$N$45,13,0)+0,0))</f>
        <v>0</v>
      </c>
      <c r="S662" s="66"/>
      <c r="T662" s="67"/>
      <c r="U662" s="67"/>
      <c r="V662" s="67"/>
      <c r="W662" s="60"/>
      <c r="X662" s="62"/>
      <c r="Y662" s="62"/>
      <c r="Z662" s="60"/>
      <c r="AA662" s="60" t="str">
        <f aca="false">IF(A662="","",IF(AND(Parameter!$B$21="Ja",ISNUMBER(W662)),W662,IF(AND(Parameter!$E$27="Ja",ISNUMBER(Z662),CD662&lt;&gt;"Nein"),Z662,IF(CD662="2+3",IF(ISNUMBER(SEARCH("grosser Artikel",BV662)),2,IFERROR(VLOOKUP(BY662,Parameter!$F$35:$G$64,2,0),2)),IF(OR(CD662="Nein",CD662=""),"-",CD662)))))</f>
        <v>-</v>
      </c>
      <c r="AB662" s="67"/>
      <c r="AC662" s="68"/>
      <c r="AD662" s="62" t="n">
        <f aca="false">AW662</f>
        <v>40</v>
      </c>
      <c r="AE662" s="62" t="n">
        <f aca="false">MAX(AW662,H662)</f>
        <v>40</v>
      </c>
      <c r="AF662" s="69"/>
      <c r="AG662" s="62" t="n">
        <f aca="false">IF(LEFT(Cockpit!$C$5,1)="A",H662,IF(Parameter!$E$30="MAX-Bestand",IF(CI662=1,CJ662,IF(LEFT(Cockpit!$C$5,1)="B",AM662,MAX(AM662,H662))),ROUNDUP(AK662,0)))</f>
        <v>0</v>
      </c>
      <c r="AH662" s="62" t="n">
        <f aca="false">IF(CA662=1,0,ROUNDUP(AG662/BZ662,0))</f>
        <v>0</v>
      </c>
      <c r="AI662" s="64" t="n">
        <f aca="false">IF(CR662&gt;0,CR662*MAX(1,AG662/X662),IF(CA662=1,IF(AG662&lt;=0,0,CE662*MAX(1,IF(H662&gt;0,AG662/H662,1))),IF(R662&gt;0,AH662/R662,0))/MAX(0.1,N(Parameter!$M$21)))</f>
        <v>0</v>
      </c>
      <c r="AJ662" s="62" t="n">
        <f aca="false">AI662*CC662</f>
        <v>0</v>
      </c>
      <c r="AK662" s="63" t="n">
        <f aca="false">IF(LEFT(Cockpit!$C$5,1)="A",H662,IF(CI662=1,(CL662+CJ662)/2,IF(LEFT(Cockpit!$C$5,1)="B",(CL662+AM662)/2,MAX((CL662+AM662)/2,H662))))</f>
        <v>0</v>
      </c>
      <c r="AL662" s="62" t="n">
        <f aca="false">AK662*G662</f>
        <v>0</v>
      </c>
      <c r="AM662" s="62" t="n">
        <f aca="false">ROUNDUP(CL662+MAX(CM662,2*(J662/IF(CH662&gt;0,CH662,MAX(0.1,N(Cockpit!$C$6)))-CL662)),0)</f>
        <v>40</v>
      </c>
      <c r="AN662" s="63" t="n">
        <f aca="false">IF(AJ662&gt;0,J662/AJ662,-1)</f>
        <v>-1</v>
      </c>
      <c r="AO662" s="63" t="str">
        <f aca="false">IF(AND(OR(CG662="L1",CG662="L23",CG662="LIFT"),AJ662&gt;0),SUMIFS($AJ$7:$AJ$1843,$CG$7:$CG$1843,CG662,$AN$7:$AN$1843,"&gt;"&amp;AN662)+SUMIFS($AJ$7:$AJ$1843,$CG$7:$CG$1843,CG662,$AN$7:$AN$1843,AN662,$BX$7:$BX$1843,"&lt;="&amp;BX662),"")</f>
        <v/>
      </c>
      <c r="AP662" s="70" t="n">
        <f aca="false">IF(AO662="",0,MAX(0,MIN(1,(IF(CG662="L1",Parameter!$H$5,IF(CG662="L23",Parameter!$H$6+Parameter!$H$7,Parameter!$H$5+Parameter!$H$6+Parameter!$H$7))-(AO662-AJ662))/AJ662)))</f>
        <v>0</v>
      </c>
      <c r="AQ662" s="62" t="n">
        <f aca="false">IF(LEFT(Cockpit!$I$5,1)="A",H662,IF(Parameter!$E$30="MAX-Bestand",IF(CI662=1,CJ662,IF(LEFT(Cockpit!$I$5,1)="B",AW662,MAX(AW662,H662))),ROUNDUP(AU662,0)))</f>
        <v>20</v>
      </c>
      <c r="AR662" s="62" t="n">
        <f aca="false">IF(CA662=1,0,ROUNDUP(AQ662/BZ662,0))</f>
        <v>0</v>
      </c>
      <c r="AS662" s="64" t="n">
        <f aca="false">IF(CR662&gt;0,CR662*MAX(1,AQ662/X662),IF(CA662=1,IF(AQ662&lt;=0,0,CE662*MAX(1,IF(H662&gt;0,AQ662/H662,1))),IF(R662&gt;0,AR662/R662,0))/MAX(0.1,N(Parameter!$M$21)))</f>
        <v>0.15</v>
      </c>
      <c r="AT662" s="62" t="n">
        <f aca="false">AS662*CC662</f>
        <v>35.25</v>
      </c>
      <c r="AU662" s="63" t="n">
        <f aca="false">IF(LEFT(Cockpit!$I$5,1)="A",H662,IF(CI662=1,(CL662+CJ662)/2,IF(LEFT(Cockpit!$I$5,1)="B",(CL662+AW662)/2,MAX((CL662+AW662)/2,H662))))</f>
        <v>20</v>
      </c>
      <c r="AV662" s="62" t="n">
        <f aca="false">AU662*G662</f>
        <v>5.4</v>
      </c>
      <c r="AW662" s="62" t="n">
        <f aca="false">ROUNDUP(CL662+MAX(CM662,2*(J662/IF(CH662&gt;0,CH662,MAX(0.1,N(Cockpit!$I$6)))-CL662)),0)</f>
        <v>40</v>
      </c>
      <c r="AX662" s="63" t="n">
        <f aca="false">IF(AT662&gt;0,J662/AT662,-1)</f>
        <v>1.70212765957447</v>
      </c>
      <c r="AY662" s="63" t="str">
        <f aca="false">IF(AND(OR(CG662="L1",CG662="L23",CG662="LIFT"),AT662&gt;0),SUMIFS($AT$7:$AT$1843,$CG$7:$CG$1843,CG662,$AX$7:$AX$1843,"&gt;"&amp;AX662)+SUMIFS($AT$7:$AT$1843,$CG$7:$CG$1843,CG662,$AX$7:$AX$1843,AX662,$BX$7:$BX$1843,"&lt;="&amp;BX662),"")</f>
        <v/>
      </c>
      <c r="AZ662" s="70" t="n">
        <f aca="false">IF(AY662="",0,MAX(0,MIN(1,(IF(CG662="L1",Parameter!$H$5,IF(CG662="L23",Parameter!$H$6+Parameter!$H$7,Parameter!$H$5+Parameter!$H$6+Parameter!$H$7))-(AY662-AT662))/AT662)))</f>
        <v>0</v>
      </c>
      <c r="BA662" s="62" t="n">
        <f aca="false">IF(LEFT(Cockpit!$O$5,1)="A",H662,IF(Parameter!$E$30="MAX-Bestand",IF(CI662=1,CJ662,IF(LEFT(Cockpit!$O$5,1)="B",BG662,MAX(BG662,H662))),ROUNDUP(BE662,0)))</f>
        <v>15</v>
      </c>
      <c r="BB662" s="62" t="n">
        <f aca="false">IF(CA662=1,0,ROUNDUP(BA662/BZ662,0))</f>
        <v>0</v>
      </c>
      <c r="BC662" s="64" t="n">
        <f aca="false">IF(CR662&gt;0,CR662*MAX(1,BA662/X662),IF(CA662=1,IF(BA662&lt;=0,0,CE662*MAX(1,IF(H662&gt;0,BA662/H662,1))),IF(R662&gt;0,BB662/R662,0))/MAX(0.1,N(Parameter!$M$21)))</f>
        <v>0.15</v>
      </c>
      <c r="BD662" s="62" t="n">
        <f aca="false">BC662*CC662</f>
        <v>35.25</v>
      </c>
      <c r="BE662" s="63" t="n">
        <f aca="false">IF(LEFT(Cockpit!$O$5,1)="A",H662,IF(CI662=1,(CL662+CJ662)/2,IF(LEFT(Cockpit!$O$5,1)="B",(CL662+BG662)/2,MAX((CL662+BG662)/2,H662))))</f>
        <v>15</v>
      </c>
      <c r="BF662" s="62" t="n">
        <f aca="false">BE662*G662</f>
        <v>4.05</v>
      </c>
      <c r="BG662" s="62" t="n">
        <f aca="false">ROUNDUP(CL662+MAX(CM662,2*(J662/IF(CH662&gt;0,CH662,MAX(0.1,N(Cockpit!$O$6)))-CL662)),0)</f>
        <v>30</v>
      </c>
      <c r="BH662" s="63" t="n">
        <f aca="false">IF(BD662&gt;0,J662/BD662,-1)</f>
        <v>1.70212765957447</v>
      </c>
      <c r="BI662" s="63" t="str">
        <f aca="false">IF(AND(OR(CG662="L1",CG662="L23",CG662="LIFT"),BD662&gt;0),SUMIFS($BD$7:$BD$1843,$CG$7:$CG$1843,CG662,$BH$7:$BH$1843,"&gt;"&amp;BH662)+SUMIFS($BD$7:$BD$1843,$CG$7:$CG$1843,CG662,$BH$7:$BH$1843,BH662,$BX$7:$BX$1843,"&lt;="&amp;BX662),"")</f>
        <v/>
      </c>
      <c r="BJ662" s="70" t="n">
        <f aca="false">IF(BI662="",0,MAX(0,MIN(1,(IF(CG662="L1",Parameter!$H$5,IF(CG662="L23",Parameter!$H$6+Parameter!$H$7,Parameter!$H$5+Parameter!$H$6+Parameter!$H$7))-(BI662-BD662))/BD662)))</f>
        <v>0</v>
      </c>
      <c r="BK662" s="60" t="str">
        <f aca="false">IF(AJ662&lt;=0,"",IF(CG662="Aussen","Aussenlager",IF(CG662="-","Nicht im Lift",IF(AP662&gt;=1,"Lift",IF(AP662&lt;=0,"Aussenlager","teilweise")))))</f>
        <v/>
      </c>
      <c r="BL662" s="60" t="str">
        <f aca="false">IF(AT662&lt;=0,"",IF(CG662="Aussen","Aussenlager",IF(CG662="-","Nicht im Lift",IF(AZ662&gt;=1,"Lift",IF(AZ662&lt;=0,"Aussenlager","teilweise")))))</f>
        <v>Nicht im Lift</v>
      </c>
      <c r="BM662" s="60" t="str">
        <f aca="false">IF(BD662&lt;=0,"",IF(CG662="Aussen","Aussenlager",IF(CG662="-","Nicht im Lift",IF(BJ662&gt;=1,"Lift",IF(BJ662&lt;=0,"Aussenlager","teilweise")))))</f>
        <v>Nicht im Lift</v>
      </c>
      <c r="BN662" s="60" t="str">
        <f aca="false">IF(A662="","",IF(BW662=1,"Neu; ","")&amp;IF(AND(BW662=0,BR662&lt;0),"negativer Bestand (Export "&amp;BR662&amp;"); ","")&amp;IF(J662&lt;=0,"Kein Verbrauch; ","")&amp;IF(CR662&gt;0,"Lift "&amp;W662&amp;" lt. Liftbericht (Fach "&amp;X662&amp;" Stk); ",IF(CB662=1,"Gebinde geschätzt ("&amp;T662&amp;"); ",IF(CA662=1,"Lose – Tablare geschätzt; ","")))&amp;IF(H662&gt;AW662,"Überbestand "&amp;ROUND(H662-AW662,0)&amp;" Stk / CHF "&amp;ROUND((H662-AW662)*G662,0)&amp;"; ","")&amp;IF(AND(CI662=1,CJ662&lt;CK662),"MAX &lt; MB+LG; ","")&amp;IF(AND(CQ662&gt;0,CP662*10&gt;CQ662),"zu hoch für Tablar; ","")&amp;IF(AND(BW662=0,OR(CI662=1,AB662&lt;&gt;"",U662&lt;&gt;"",V662&lt;&gt;"",AC662&lt;&gt;"")),"manuell übersteuert; ","")&amp;IF(AND(CA662=0,R662=0),"Gebinde unbekannt / Stellmass fehlt; ","")&amp;IF(AND(CA662=0,N(V662)&lt;=0,N(Q662)&lt;=0),"Menge pro Gebinde fehlt (Ist = 1 Gebinde); ","")&amp;BV662)</f>
        <v>Lose – Tablare geschätzt; </v>
      </c>
      <c r="BO662" s="60"/>
      <c r="BP662" s="60"/>
      <c r="BQ662" s="67"/>
      <c r="BR662" s="62" t="n">
        <v>0</v>
      </c>
      <c r="BS662" s="62" t="n">
        <v>0</v>
      </c>
      <c r="BT662" s="61" t="n">
        <v>8.88178419700125E-016</v>
      </c>
      <c r="BU662" s="62" t="n">
        <v>60</v>
      </c>
      <c r="BV662" s="60"/>
      <c r="BW662" s="65" t="n">
        <v>0</v>
      </c>
      <c r="BX662" s="65" t="n">
        <v>662</v>
      </c>
      <c r="BY662" s="60" t="str">
        <f aca="false">IF(U662&lt;&gt;"",UPPER(TRIM(U662)),IF(CB662=1,UPPER(VLOOKUP(T662,Parameter!$I$27:$K$29,2,0)),IF(P662="","LOSE",P662)))</f>
        <v>LOSE</v>
      </c>
      <c r="BZ662" s="62" t="n">
        <f aca="false">IF(BY662="LOSE",1,IF(N(V662)&gt;0,V662,IF(CB662=1,MAX(1,N(VLOOKUP(T662,Parameter!$I$27:$K$29,3,0)),H662,N(N662)),IF(N(Q662)&gt;0,Q662,MAX(1,H662)))))</f>
        <v>1</v>
      </c>
      <c r="CA662" s="65" t="n">
        <f aca="false">IF(BY662="LOSE",1,0)</f>
        <v>1</v>
      </c>
      <c r="CB662" s="65" t="n">
        <f aca="false">IF(AND(U662="",OR(P662="",P662="LOSE"),T662&lt;&gt;"",N(S662)&lt;=0,ISNUMBER(MATCH(T662,Parameter!$I$27:$I$29,0))),1,0)</f>
        <v>0</v>
      </c>
      <c r="CC662" s="65" t="n">
        <f aca="false">IF(CR662&gt;0,INDEX(Parameter!$H$5:$H$7,W662)/INDEX(Parameter!$E$5:$E$7,W662),IF(AND(CA662=0,N(IFERROR(VLOOKUP(BY662,'Gebinde-Kategorie'!$A$5:$N$45,14,0),0))&gt;0),VLOOKUP(BY662,'Gebinde-Kategorie'!$A$5:$N$45,14,0)*10+Parameter!$M$23,Parameter!$M$24))</f>
        <v>235</v>
      </c>
      <c r="CD662" s="60" t="str">
        <f aca="false">IF(AND(Parameter!$B$19="Ja",E662&lt;&gt;"",ISNUMBER(MATCH(E662,Parameter!$I$35:$I$52,0))),VLOOKUP(E662,Parameter!$I$35:$J$52,2,0),IFERROR(VLOOKUP(D662,Parameter!$A$35:$C$64,2,0),"Nein"))</f>
        <v>Nein</v>
      </c>
      <c r="CE662" s="64" t="n">
        <f aca="false">IF(CA662=0,0,IF(N(S662)&gt;0,S662,IFERROR(VLOOKUP(D662,Parameter!$A$35:$C$64,3,0)+0,0)))</f>
        <v>0.15</v>
      </c>
      <c r="CF662" s="60" t="str">
        <f aca="false">IF(AB662&lt;&gt;"",AB662,AA662)</f>
        <v>-</v>
      </c>
      <c r="CG662" s="60" t="str">
        <f aca="false">IF(OR(CF662=1,CF662=2,CF662=3),IF(Parameter!$E$27="Ja","LIFT",IF(CF662=1,"L1","L23")),IF(CF662="Aussen","Aussen","-"))</f>
        <v>-</v>
      </c>
      <c r="CH662" s="71" t="n">
        <f aca="false">IF(N(AC662)&gt;0,AC662,0)</f>
        <v>0</v>
      </c>
      <c r="CI662" s="65" t="n">
        <f aca="false">IF(ISNUMBER(AF662),1,0)</f>
        <v>0</v>
      </c>
      <c r="CJ662" s="62" t="n">
        <f aca="false">N(AF662)</f>
        <v>0</v>
      </c>
      <c r="CK662" s="62" t="n">
        <f aca="false">N(M662)+N(N662)</f>
        <v>1</v>
      </c>
      <c r="CL662" s="62" t="n">
        <f aca="false">N(M662)</f>
        <v>0</v>
      </c>
      <c r="CM662" s="62" t="n">
        <f aca="false">N(N662)</f>
        <v>1</v>
      </c>
      <c r="CN662" s="62" t="n">
        <f aca="false">ROUNDUP(H662/BZ662,0)</f>
        <v>0</v>
      </c>
      <c r="CO662" s="62" t="n">
        <f aca="false">ROUNDUP(CJ662/BZ662,0)</f>
        <v>0</v>
      </c>
      <c r="CP662" s="65" t="n">
        <f aca="false">IF(CA662=1,0,IFERROR(VLOOKUP(BY662,'Gebinde-Kategorie'!$A$5:$N$45,5,0)+0,0))</f>
        <v>0</v>
      </c>
      <c r="CQ662" s="65" t="n">
        <f aca="false">IFERROR(IF(OR(CF662=1,CF662=2,CF662=3),N(INDEX(Parameter!$I$5:$I$7,CF662)),0),0)</f>
        <v>0</v>
      </c>
      <c r="CR662" s="64" t="n">
        <f aca="false">IF(AND(Parameter!$B$21="Ja",ISNUMBER(W662),N(X662)&gt;0),IFERROR(N(INDEX(Parameter!$L$5:$L$7,W662))*INDEX(Parameter!$E$5:$E$7,W662)*X662/SUMIFS($X$7:$X$1843,$W$7:$W$1843,W662),0),0)</f>
        <v>0</v>
      </c>
      <c r="CS662" s="62" t="str">
        <f aca="false">IF(AND(OR(CG662="L1",CG662="L23",CG662="LIFT"),H662&gt;0),CC662*IF(CR662&gt;0,CR662*MAX(1,H662/X662),IF(CA662=1,CE662,IF(R662&gt;0,CN662/R662,0))/MAX(0.1,N(Parameter!$M$21))),"")</f>
        <v/>
      </c>
      <c r="CT662" s="64" t="str">
        <f aca="false">IF(CS662="","",J662/H662)</f>
        <v/>
      </c>
      <c r="CU662" s="62" t="str">
        <f aca="false">IF(CS662="","",H662*G662)</f>
        <v/>
      </c>
      <c r="CV662" s="63" t="str">
        <f aca="false">IF(CS662="","",(CL662+ROUNDUP(CL662+MAX(CM662,2*(J662/MAX(0.1,N(Einkauf!$C$6))-CL662)),0))/2)</f>
        <v/>
      </c>
      <c r="CW662" s="62" t="str">
        <f aca="false">IF(CS662="","",MAX(0,H662-CV662)*G662)</f>
        <v/>
      </c>
      <c r="CX662" s="62" t="str">
        <f aca="false">IF(CS662="","",CS662*MAX(0,1-CV662/H662))</f>
        <v/>
      </c>
      <c r="CY662" s="64" t="str">
        <f aca="false">IF(CS662="","",PERCENTRANK($CS$7:$CS$1843,CS662)+PERCENTRANK($CU$7:$CU$1843,CU662)+1-PERCENTRANK($CT$7:$CT$1843,CT662))</f>
        <v/>
      </c>
      <c r="CZ662" s="72" t="str">
        <f aca="false">IF(CS662="","",CHOOSE(MATCH(Einkauf!$C$5,Parameter!$G$23:$G$27,0),CY662,CS662,CU662,-CT662,CW662)+ROW()/1000000000)</f>
        <v/>
      </c>
    </row>
    <row r="663" customFormat="false" ht="15" hidden="false" customHeight="false" outlineLevel="0" collapsed="false">
      <c r="A663" s="60" t="s">
        <v>1376</v>
      </c>
      <c r="B663" s="60" t="s">
        <v>1377</v>
      </c>
      <c r="C663" s="60" t="s">
        <v>206</v>
      </c>
      <c r="D663" s="60" t="s">
        <v>215</v>
      </c>
      <c r="E663" s="60"/>
      <c r="F663" s="60" t="s">
        <v>260</v>
      </c>
      <c r="G663" s="61" t="n">
        <v>0.01</v>
      </c>
      <c r="H663" s="62" t="n">
        <f aca="false">MAX(0,IF(AND(Parameter!$B$21="Ja",ISNUMBER(Y663)),Y663,IF(Parameter!$B$20="Jahresanfang 2025 + Export",BS663+BR663,BR663)))</f>
        <v>0</v>
      </c>
      <c r="I663" s="62" t="n">
        <f aca="false">H663*G663</f>
        <v>0</v>
      </c>
      <c r="J663" s="62" t="n">
        <f aca="false">BU663*Parameter!$B$18</f>
        <v>31</v>
      </c>
      <c r="K663" s="63" t="n">
        <v>50</v>
      </c>
      <c r="L663" s="64" t="n">
        <v>0.62</v>
      </c>
      <c r="M663" s="62" t="n">
        <v>0</v>
      </c>
      <c r="N663" s="62" t="n">
        <v>1</v>
      </c>
      <c r="O663" s="65" t="n">
        <v>0</v>
      </c>
      <c r="P663" s="60" t="s">
        <v>210</v>
      </c>
      <c r="Q663" s="62"/>
      <c r="R663" s="65" t="n">
        <f aca="false">IF(CA663=1,0,IFERROR(VLOOKUP(BY663,'Gebinde-Kategorie'!$A$5:$N$45,13,0)+0,0))</f>
        <v>12</v>
      </c>
      <c r="S663" s="66"/>
      <c r="T663" s="67" t="s">
        <v>221</v>
      </c>
      <c r="U663" s="67"/>
      <c r="V663" s="67"/>
      <c r="W663" s="60"/>
      <c r="X663" s="62"/>
      <c r="Y663" s="62"/>
      <c r="Z663" s="60" t="n">
        <v>3</v>
      </c>
      <c r="AA663" s="60" t="n">
        <f aca="false">IF(A663="","",IF(AND(Parameter!$B$21="Ja",ISNUMBER(W663)),W663,IF(AND(Parameter!$E$27="Ja",ISNUMBER(Z663),CD663&lt;&gt;"Nein"),Z663,IF(CD663="2+3",IF(ISNUMBER(SEARCH("grosser Artikel",BV663)),2,IFERROR(VLOOKUP(BY663,Parameter!$F$35:$G$64,2,0),2)),IF(OR(CD663="Nein",CD663=""),"-",CD663)))))</f>
        <v>3</v>
      </c>
      <c r="AB663" s="67"/>
      <c r="AC663" s="68"/>
      <c r="AD663" s="62" t="n">
        <f aca="false">AW663</f>
        <v>21</v>
      </c>
      <c r="AE663" s="62" t="n">
        <f aca="false">MAX(AW663,H663)</f>
        <v>21</v>
      </c>
      <c r="AF663" s="69"/>
      <c r="AG663" s="62" t="n">
        <f aca="false">IF(LEFT(Cockpit!$C$5,1)="A",H663,IF(Parameter!$E$30="MAX-Bestand",IF(CI663=1,CJ663,IF(LEFT(Cockpit!$C$5,1)="B",AM663,MAX(AM663,H663))),ROUNDUP(AK663,0)))</f>
        <v>0</v>
      </c>
      <c r="AH663" s="62" t="n">
        <f aca="false">IF(CA663=1,0,ROUNDUP(AG663/BZ663,0))</f>
        <v>0</v>
      </c>
      <c r="AI663" s="64" t="n">
        <f aca="false">IF(CR663&gt;0,CR663*MAX(1,AG663/X663),IF(CA663=1,IF(AG663&lt;=0,0,CE663*MAX(1,IF(H663&gt;0,AG663/H663,1))),IF(R663&gt;0,AH663/R663,0))/MAX(0.1,N(Parameter!$M$21)))</f>
        <v>0</v>
      </c>
      <c r="AJ663" s="62" t="n">
        <f aca="false">AI663*CC663</f>
        <v>0</v>
      </c>
      <c r="AK663" s="63" t="n">
        <f aca="false">IF(LEFT(Cockpit!$C$5,1)="A",H663,IF(CI663=1,(CL663+CJ663)/2,IF(LEFT(Cockpit!$C$5,1)="B",(CL663+AM663)/2,MAX((CL663+AM663)/2,H663))))</f>
        <v>0</v>
      </c>
      <c r="AL663" s="62" t="n">
        <f aca="false">AK663*G663</f>
        <v>0</v>
      </c>
      <c r="AM663" s="62" t="n">
        <f aca="false">ROUNDUP(CL663+MAX(CM663,2*(J663/IF(CH663&gt;0,CH663,MAX(0.1,N(Cockpit!$C$6)))-CL663)),0)</f>
        <v>21</v>
      </c>
      <c r="AN663" s="63" t="n">
        <f aca="false">IF(AJ663&gt;0,J663/AJ663,-1)</f>
        <v>-1</v>
      </c>
      <c r="AO663" s="63" t="str">
        <f aca="false">IF(AND(OR(CG663="L1",CG663="L23",CG663="LIFT"),AJ663&gt;0),SUMIFS($AJ$7:$AJ$1843,$CG$7:$CG$1843,CG663,$AN$7:$AN$1843,"&gt;"&amp;AN663)+SUMIFS($AJ$7:$AJ$1843,$CG$7:$CG$1843,CG663,$AN$7:$AN$1843,AN663,$BX$7:$BX$1843,"&lt;="&amp;BX663),"")</f>
        <v/>
      </c>
      <c r="AP663" s="70" t="n">
        <f aca="false">IF(AO663="",0,MAX(0,MIN(1,(IF(CG663="L1",Parameter!$H$5,IF(CG663="L23",Parameter!$H$6+Parameter!$H$7,Parameter!$H$5+Parameter!$H$6+Parameter!$H$7))-(AO663-AJ663))/AJ663)))</f>
        <v>0</v>
      </c>
      <c r="AQ663" s="62" t="n">
        <f aca="false">IF(LEFT(Cockpit!$I$5,1)="A",H663,IF(Parameter!$E$30="MAX-Bestand",IF(CI663=1,CJ663,IF(LEFT(Cockpit!$I$5,1)="B",AW663,MAX(AW663,H663))),ROUNDUP(AU663,0)))</f>
        <v>11</v>
      </c>
      <c r="AR663" s="62" t="n">
        <f aca="false">IF(CA663=1,0,ROUNDUP(AQ663/BZ663,0))</f>
        <v>3</v>
      </c>
      <c r="AS663" s="64" t="n">
        <f aca="false">IF(CR663&gt;0,CR663*MAX(1,AQ663/X663),IF(CA663=1,IF(AQ663&lt;=0,0,CE663*MAX(1,IF(H663&gt;0,AQ663/H663,1))),IF(R663&gt;0,AR663/R663,0))/MAX(0.1,N(Parameter!$M$21)))</f>
        <v>0.25</v>
      </c>
      <c r="AT663" s="62" t="n">
        <f aca="false">AS663*CC663</f>
        <v>36.25</v>
      </c>
      <c r="AU663" s="63" t="n">
        <f aca="false">IF(LEFT(Cockpit!$I$5,1)="A",H663,IF(CI663=1,(CL663+CJ663)/2,IF(LEFT(Cockpit!$I$5,1)="B",(CL663+AW663)/2,MAX((CL663+AW663)/2,H663))))</f>
        <v>10.5</v>
      </c>
      <c r="AV663" s="62" t="n">
        <f aca="false">AU663*G663</f>
        <v>0.105</v>
      </c>
      <c r="AW663" s="62" t="n">
        <f aca="false">ROUNDUP(CL663+MAX(CM663,2*(J663/IF(CH663&gt;0,CH663,MAX(0.1,N(Cockpit!$I$6)))-CL663)),0)</f>
        <v>21</v>
      </c>
      <c r="AX663" s="63" t="n">
        <f aca="false">IF(AT663&gt;0,J663/AT663,-1)</f>
        <v>0.855172413793104</v>
      </c>
      <c r="AY663" s="63" t="n">
        <f aca="false">IF(AND(OR(CG663="L1",CG663="L23",CG663="LIFT"),AT663&gt;0),SUMIFS($AT$7:$AT$1843,$CG$7:$CG$1843,CG663,$AX$7:$AX$1843,"&gt;"&amp;AX663)+SUMIFS($AT$7:$AT$1843,$CG$7:$CG$1843,CG663,$AX$7:$AX$1843,AX663,$BX$7:$BX$1843,"&lt;="&amp;BX663),"")</f>
        <v>9554.78296703297</v>
      </c>
      <c r="AZ663" s="70" t="n">
        <f aca="false">IF(AY663="",0,MAX(0,MIN(1,(IF(CG663="L1",Parameter!$H$5,IF(CG663="L23",Parameter!$H$6+Parameter!$H$7,Parameter!$H$5+Parameter!$H$6+Parameter!$H$7))-(AY663-AT663))/AT663)))</f>
        <v>1</v>
      </c>
      <c r="BA663" s="62" t="n">
        <f aca="false">IF(LEFT(Cockpit!$O$5,1)="A",H663,IF(Parameter!$E$30="MAX-Bestand",IF(CI663=1,CJ663,IF(LEFT(Cockpit!$O$5,1)="B",BG663,MAX(BG663,H663))),ROUNDUP(BE663,0)))</f>
        <v>8</v>
      </c>
      <c r="BB663" s="62" t="n">
        <f aca="false">IF(CA663=1,0,ROUNDUP(BA663/BZ663,0))</f>
        <v>2</v>
      </c>
      <c r="BC663" s="64" t="n">
        <f aca="false">IF(CR663&gt;0,CR663*MAX(1,BA663/X663),IF(CA663=1,IF(BA663&lt;=0,0,CE663*MAX(1,IF(H663&gt;0,BA663/H663,1))),IF(R663&gt;0,BB663/R663,0))/MAX(0.1,N(Parameter!$M$21)))</f>
        <v>0.166666666666667</v>
      </c>
      <c r="BD663" s="62" t="n">
        <f aca="false">BC663*CC663</f>
        <v>24.1666666666667</v>
      </c>
      <c r="BE663" s="63" t="n">
        <f aca="false">IF(LEFT(Cockpit!$O$5,1)="A",H663,IF(CI663=1,(CL663+CJ663)/2,IF(LEFT(Cockpit!$O$5,1)="B",(CL663+BG663)/2,MAX((CL663+BG663)/2,H663))))</f>
        <v>8</v>
      </c>
      <c r="BF663" s="62" t="n">
        <f aca="false">BE663*G663</f>
        <v>0.08</v>
      </c>
      <c r="BG663" s="62" t="n">
        <f aca="false">ROUNDUP(CL663+MAX(CM663,2*(J663/IF(CH663&gt;0,CH663,MAX(0.1,N(Cockpit!$O$6)))-CL663)),0)</f>
        <v>16</v>
      </c>
      <c r="BH663" s="63" t="n">
        <f aca="false">IF(BD663&gt;0,J663/BD663,-1)</f>
        <v>1.28275862068966</v>
      </c>
      <c r="BI663" s="63" t="n">
        <f aca="false">IF(AND(OR(CG663="L1",CG663="L23",CG663="LIFT"),BD663&gt;0),SUMIFS($BD$7:$BD$1843,$CG$7:$CG$1843,CG663,$BH$7:$BH$1843,"&gt;"&amp;BH663)+SUMIFS($BD$7:$BD$1843,$CG$7:$CG$1843,CG663,$BH$7:$BH$1843,BH663,$BX$7:$BX$1843,"&lt;="&amp;BX663),"")</f>
        <v>6852.48305860806</v>
      </c>
      <c r="BJ663" s="70" t="n">
        <f aca="false">IF(BI663="",0,MAX(0,MIN(1,(IF(CG663="L1",Parameter!$H$5,IF(CG663="L23",Parameter!$H$6+Parameter!$H$7,Parameter!$H$5+Parameter!$H$6+Parameter!$H$7))-(BI663-BD663))/BD663)))</f>
        <v>1</v>
      </c>
      <c r="BK663" s="60" t="str">
        <f aca="false">IF(AJ663&lt;=0,"",IF(CG663="Aussen","Aussenlager",IF(CG663="-","Nicht im Lift",IF(AP663&gt;=1,"Lift",IF(AP663&lt;=0,"Aussenlager","teilweise")))))</f>
        <v/>
      </c>
      <c r="BL663" s="60" t="str">
        <f aca="false">IF(AT663&lt;=0,"",IF(CG663="Aussen","Aussenlager",IF(CG663="-","Nicht im Lift",IF(AZ663&gt;=1,"Lift",IF(AZ663&lt;=0,"Aussenlager","teilweise")))))</f>
        <v>Lift</v>
      </c>
      <c r="BM663" s="60" t="str">
        <f aca="false">IF(BD663&lt;=0,"",IF(CG663="Aussen","Aussenlager",IF(CG663="-","Nicht im Lift",IF(BJ663&gt;=1,"Lift",IF(BJ663&lt;=0,"Aussenlager","teilweise")))))</f>
        <v>Lift</v>
      </c>
      <c r="BN663" s="60" t="str">
        <f aca="false">IF(A663="","",IF(BW663=1,"Neu; ","")&amp;IF(AND(BW663=0,BR663&lt;0),"negativer Bestand (Export "&amp;BR663&amp;"); ","")&amp;IF(J663&lt;=0,"Kein Verbrauch; ","")&amp;IF(CR663&gt;0,"Lift "&amp;W663&amp;" lt. Liftbericht (Fach "&amp;X663&amp;" Stk); ",IF(CB663=1,"Gebinde geschätzt ("&amp;T663&amp;"); ",IF(CA663=1,"Lose – Tablare geschätzt; ","")))&amp;IF(H663&gt;AW663,"Überbestand "&amp;ROUND(H663-AW663,0)&amp;" Stk / CHF "&amp;ROUND((H663-AW663)*G663,0)&amp;"; ","")&amp;IF(AND(CI663=1,CJ663&lt;CK663),"MAX &lt; MB+LG; ","")&amp;IF(AND(CQ663&gt;0,CP663*10&gt;CQ663),"zu hoch für Tablar; ","")&amp;IF(AND(BW663=0,OR(CI663=1,AB663&lt;&gt;"",U663&lt;&gt;"",V663&lt;&gt;"",AC663&lt;&gt;"")),"manuell übersteuert; ","")&amp;IF(AND(CA663=0,R663=0),"Gebinde unbekannt / Stellmass fehlt; ","")&amp;IF(AND(CA663=0,N(V663)&lt;=0,N(Q663)&lt;=0),"Menge pro Gebinde fehlt (Ist = 1 Gebinde); ","")&amp;BV663)</f>
        <v>negativer Bestand (Export -100); Gebinde geschätzt (Mittel); Menge pro Gebinde fehlt (Ist = 1 Gebinde); </v>
      </c>
      <c r="BO663" s="60"/>
      <c r="BP663" s="60"/>
      <c r="BQ663" s="67"/>
      <c r="BR663" s="62" t="n">
        <v>-100</v>
      </c>
      <c r="BS663" s="62" t="n">
        <v>100</v>
      </c>
      <c r="BT663" s="61" t="n">
        <v>1.11022302462516E-016</v>
      </c>
      <c r="BU663" s="62" t="n">
        <v>31</v>
      </c>
      <c r="BV663" s="60"/>
      <c r="BW663" s="65" t="n">
        <v>0</v>
      </c>
      <c r="BX663" s="65" t="n">
        <v>663</v>
      </c>
      <c r="BY663" s="60" t="str">
        <f aca="false">IF(U663&lt;&gt;"",UPPER(TRIM(U663)),IF(CB663=1,UPPER(VLOOKUP(T663,Parameter!$I$27:$K$29,2,0)),IF(P663="","LOSE",P663)))</f>
        <v>S61</v>
      </c>
      <c r="BZ663" s="62" t="n">
        <f aca="false">IF(BY663="LOSE",1,IF(N(V663)&gt;0,V663,IF(CB663=1,MAX(1,N(VLOOKUP(T663,Parameter!$I$27:$K$29,3,0)),H663,N(N663)),IF(N(Q663)&gt;0,Q663,MAX(1,H663)))))</f>
        <v>4</v>
      </c>
      <c r="CA663" s="65" t="n">
        <f aca="false">IF(BY663="LOSE",1,0)</f>
        <v>0</v>
      </c>
      <c r="CB663" s="65" t="n">
        <f aca="false">IF(AND(U663="",OR(P663="",P663="LOSE"),T663&lt;&gt;"",N(S663)&lt;=0,ISNUMBER(MATCH(T663,Parameter!$I$27:$I$29,0))),1,0)</f>
        <v>1</v>
      </c>
      <c r="CC663" s="65" t="n">
        <f aca="false">IF(CR663&gt;0,INDEX(Parameter!$H$5:$H$7,W663)/INDEX(Parameter!$E$5:$E$7,W663),IF(AND(CA663=0,N(IFERROR(VLOOKUP(BY663,'Gebinde-Kategorie'!$A$5:$N$45,14,0),0))&gt;0),VLOOKUP(BY663,'Gebinde-Kategorie'!$A$5:$N$45,14,0)*10+Parameter!$M$23,Parameter!$M$24))</f>
        <v>145</v>
      </c>
      <c r="CD663" s="60" t="str">
        <f aca="false">IF(AND(Parameter!$B$19="Ja",E663&lt;&gt;"",ISNUMBER(MATCH(E663,Parameter!$I$35:$I$52,0))),VLOOKUP(E663,Parameter!$I$35:$J$52,2,0),IFERROR(VLOOKUP(D663,Parameter!$A$35:$C$64,2,0),"Nein"))</f>
        <v>2+3</v>
      </c>
      <c r="CE663" s="64" t="n">
        <f aca="false">IF(CA663=0,0,IF(N(S663)&gt;0,S663,IFERROR(VLOOKUP(D663,Parameter!$A$35:$C$64,3,0)+0,0)))</f>
        <v>0</v>
      </c>
      <c r="CF663" s="60" t="n">
        <f aca="false">IF(AB663&lt;&gt;"",AB663,AA663)</f>
        <v>3</v>
      </c>
      <c r="CG663" s="60" t="str">
        <f aca="false">IF(OR(CF663=1,CF663=2,CF663=3),IF(Parameter!$E$27="Ja","LIFT",IF(CF663=1,"L1","L23")),IF(CF663="Aussen","Aussen","-"))</f>
        <v>LIFT</v>
      </c>
      <c r="CH663" s="71" t="n">
        <f aca="false">IF(N(AC663)&gt;0,AC663,0)</f>
        <v>0</v>
      </c>
      <c r="CI663" s="65" t="n">
        <f aca="false">IF(ISNUMBER(AF663),1,0)</f>
        <v>0</v>
      </c>
      <c r="CJ663" s="62" t="n">
        <f aca="false">N(AF663)</f>
        <v>0</v>
      </c>
      <c r="CK663" s="62" t="n">
        <f aca="false">N(M663)+N(N663)</f>
        <v>1</v>
      </c>
      <c r="CL663" s="62" t="n">
        <f aca="false">N(M663)</f>
        <v>0</v>
      </c>
      <c r="CM663" s="62" t="n">
        <f aca="false">N(N663)</f>
        <v>1</v>
      </c>
      <c r="CN663" s="62" t="n">
        <f aca="false">ROUNDUP(H663/BZ663,0)</f>
        <v>0</v>
      </c>
      <c r="CO663" s="62" t="n">
        <f aca="false">ROUNDUP(CJ663/BZ663,0)</f>
        <v>0</v>
      </c>
      <c r="CP663" s="65" t="n">
        <f aca="false">IF(CA663=1,0,IFERROR(VLOOKUP(BY663,'Gebinde-Kategorie'!$A$5:$N$45,5,0)+0,0))</f>
        <v>11</v>
      </c>
      <c r="CQ663" s="65" t="n">
        <f aca="false">IFERROR(IF(OR(CF663=1,CF663=2,CF663=3),N(INDEX(Parameter!$I$5:$I$7,CF663)),0),0)</f>
        <v>0</v>
      </c>
      <c r="CR663" s="64" t="n">
        <f aca="false">IF(AND(Parameter!$B$21="Ja",ISNUMBER(W663),N(X663)&gt;0),IFERROR(N(INDEX(Parameter!$L$5:$L$7,W663))*INDEX(Parameter!$E$5:$E$7,W663)*X663/SUMIFS($X$7:$X$1843,$W$7:$W$1843,W663),0),0)</f>
        <v>0</v>
      </c>
      <c r="CS663" s="62" t="str">
        <f aca="false">IF(AND(OR(CG663="L1",CG663="L23",CG663="LIFT"),H663&gt;0),CC663*IF(CR663&gt;0,CR663*MAX(1,H663/X663),IF(CA663=1,CE663,IF(R663&gt;0,CN663/R663,0))/MAX(0.1,N(Parameter!$M$21))),"")</f>
        <v/>
      </c>
      <c r="CT663" s="64" t="str">
        <f aca="false">IF(CS663="","",J663/H663)</f>
        <v/>
      </c>
      <c r="CU663" s="62" t="str">
        <f aca="false">IF(CS663="","",H663*G663)</f>
        <v/>
      </c>
      <c r="CV663" s="63" t="str">
        <f aca="false">IF(CS663="","",(CL663+ROUNDUP(CL663+MAX(CM663,2*(J663/MAX(0.1,N(Einkauf!$C$6))-CL663)),0))/2)</f>
        <v/>
      </c>
      <c r="CW663" s="62" t="str">
        <f aca="false">IF(CS663="","",MAX(0,H663-CV663)*G663)</f>
        <v/>
      </c>
      <c r="CX663" s="62" t="str">
        <f aca="false">IF(CS663="","",CS663*MAX(0,1-CV663/H663))</f>
        <v/>
      </c>
      <c r="CY663" s="64" t="str">
        <f aca="false">IF(CS663="","",PERCENTRANK($CS$7:$CS$1843,CS663)+PERCENTRANK($CU$7:$CU$1843,CU663)+1-PERCENTRANK($CT$7:$CT$1843,CT663))</f>
        <v/>
      </c>
      <c r="CZ663" s="72" t="str">
        <f aca="false">IF(CS663="","",CHOOSE(MATCH(Einkauf!$C$5,Parameter!$G$23:$G$27,0),CY663,CS663,CU663,-CT663,CW663)+ROW()/1000000000)</f>
        <v/>
      </c>
    </row>
    <row r="664" customFormat="false" ht="15" hidden="false" customHeight="false" outlineLevel="0" collapsed="false">
      <c r="A664" s="60" t="s">
        <v>1378</v>
      </c>
      <c r="B664" s="60" t="s">
        <v>1040</v>
      </c>
      <c r="C664" s="60" t="s">
        <v>206</v>
      </c>
      <c r="D664" s="60" t="s">
        <v>1037</v>
      </c>
      <c r="E664" s="60"/>
      <c r="F664" s="60" t="s">
        <v>260</v>
      </c>
      <c r="G664" s="61" t="n">
        <v>144.62</v>
      </c>
      <c r="H664" s="62" t="n">
        <f aca="false">MAX(0,IF(AND(Parameter!$B$21="Ja",ISNUMBER(Y664)),Y664,IF(Parameter!$B$20="Jahresanfang 2025 + Export",BS664+BR664,BR664)))</f>
        <v>0</v>
      </c>
      <c r="I664" s="62" t="n">
        <f aca="false">H664*G664</f>
        <v>0</v>
      </c>
      <c r="J664" s="62" t="n">
        <f aca="false">BU664*Parameter!$B$18</f>
        <v>8</v>
      </c>
      <c r="K664" s="63" t="n">
        <v>0</v>
      </c>
      <c r="L664" s="64" t="n">
        <v>0</v>
      </c>
      <c r="M664" s="62" t="n">
        <v>0</v>
      </c>
      <c r="N664" s="62" t="n">
        <v>1</v>
      </c>
      <c r="O664" s="65" t="n">
        <v>105</v>
      </c>
      <c r="P664" s="60" t="s">
        <v>210</v>
      </c>
      <c r="Q664" s="62"/>
      <c r="R664" s="65" t="n">
        <f aca="false">IF(CA664=1,0,IFERROR(VLOOKUP(BY664,'Gebinde-Kategorie'!$A$5:$N$45,13,0)+0,0))</f>
        <v>0</v>
      </c>
      <c r="S664" s="66"/>
      <c r="T664" s="67"/>
      <c r="U664" s="67"/>
      <c r="V664" s="67"/>
      <c r="W664" s="60"/>
      <c r="X664" s="62"/>
      <c r="Y664" s="62"/>
      <c r="Z664" s="60"/>
      <c r="AA664" s="60" t="str">
        <f aca="false">IF(A664="","",IF(AND(Parameter!$B$21="Ja",ISNUMBER(W664)),W664,IF(AND(Parameter!$E$27="Ja",ISNUMBER(Z664),CD664&lt;&gt;"Nein"),Z664,IF(CD664="2+3",IF(ISNUMBER(SEARCH("grosser Artikel",BV664)),2,IFERROR(VLOOKUP(BY664,Parameter!$F$35:$G$64,2,0),2)),IF(OR(CD664="Nein",CD664=""),"-",CD664)))))</f>
        <v>-</v>
      </c>
      <c r="AB664" s="67"/>
      <c r="AC664" s="68"/>
      <c r="AD664" s="62" t="n">
        <f aca="false">AW664</f>
        <v>6</v>
      </c>
      <c r="AE664" s="62" t="n">
        <f aca="false">MAX(AW664,H664)</f>
        <v>6</v>
      </c>
      <c r="AF664" s="69"/>
      <c r="AG664" s="62" t="n">
        <f aca="false">IF(LEFT(Cockpit!$C$5,1)="A",H664,IF(Parameter!$E$30="MAX-Bestand",IF(CI664=1,CJ664,IF(LEFT(Cockpit!$C$5,1)="B",AM664,MAX(AM664,H664))),ROUNDUP(AK664,0)))</f>
        <v>0</v>
      </c>
      <c r="AH664" s="62" t="n">
        <f aca="false">IF(CA664=1,0,ROUNDUP(AG664/BZ664,0))</f>
        <v>0</v>
      </c>
      <c r="AI664" s="64" t="n">
        <f aca="false">IF(CR664&gt;0,CR664*MAX(1,AG664/X664),IF(CA664=1,IF(AG664&lt;=0,0,CE664*MAX(1,IF(H664&gt;0,AG664/H664,1))),IF(R664&gt;0,AH664/R664,0))/MAX(0.1,N(Parameter!$M$21)))</f>
        <v>0</v>
      </c>
      <c r="AJ664" s="62" t="n">
        <f aca="false">AI664*CC664</f>
        <v>0</v>
      </c>
      <c r="AK664" s="63" t="n">
        <f aca="false">IF(LEFT(Cockpit!$C$5,1)="A",H664,IF(CI664=1,(CL664+CJ664)/2,IF(LEFT(Cockpit!$C$5,1)="B",(CL664+AM664)/2,MAX((CL664+AM664)/2,H664))))</f>
        <v>0</v>
      </c>
      <c r="AL664" s="62" t="n">
        <f aca="false">AK664*G664</f>
        <v>0</v>
      </c>
      <c r="AM664" s="62" t="n">
        <f aca="false">ROUNDUP(CL664+MAX(CM664,2*(J664/IF(CH664&gt;0,CH664,MAX(0.1,N(Cockpit!$C$6)))-CL664)),0)</f>
        <v>6</v>
      </c>
      <c r="AN664" s="63" t="n">
        <f aca="false">IF(AJ664&gt;0,J664/AJ664,-1)</f>
        <v>-1</v>
      </c>
      <c r="AO664" s="63" t="str">
        <f aca="false">IF(AND(OR(CG664="L1",CG664="L23",CG664="LIFT"),AJ664&gt;0),SUMIFS($AJ$7:$AJ$1843,$CG$7:$CG$1843,CG664,$AN$7:$AN$1843,"&gt;"&amp;AN664)+SUMIFS($AJ$7:$AJ$1843,$CG$7:$CG$1843,CG664,$AN$7:$AN$1843,AN664,$BX$7:$BX$1843,"&lt;="&amp;BX664),"")</f>
        <v/>
      </c>
      <c r="AP664" s="70" t="n">
        <f aca="false">IF(AO664="",0,MAX(0,MIN(1,(IF(CG664="L1",Parameter!$H$5,IF(CG664="L23",Parameter!$H$6+Parameter!$H$7,Parameter!$H$5+Parameter!$H$6+Parameter!$H$7))-(AO664-AJ664))/AJ664)))</f>
        <v>0</v>
      </c>
      <c r="AQ664" s="62" t="n">
        <f aca="false">IF(LEFT(Cockpit!$I$5,1)="A",H664,IF(Parameter!$E$30="MAX-Bestand",IF(CI664=1,CJ664,IF(LEFT(Cockpit!$I$5,1)="B",AW664,MAX(AW664,H664))),ROUNDUP(AU664,0)))</f>
        <v>3</v>
      </c>
      <c r="AR664" s="62" t="n">
        <f aca="false">IF(CA664=1,0,ROUNDUP(AQ664/BZ664,0))</f>
        <v>0</v>
      </c>
      <c r="AS664" s="64" t="n">
        <f aca="false">IF(CR664&gt;0,CR664*MAX(1,AQ664/X664),IF(CA664=1,IF(AQ664&lt;=0,0,CE664*MAX(1,IF(H664&gt;0,AQ664/H664,1))),IF(R664&gt;0,AR664/R664,0))/MAX(0.1,N(Parameter!$M$21)))</f>
        <v>0.15</v>
      </c>
      <c r="AT664" s="62" t="n">
        <f aca="false">AS664*CC664</f>
        <v>35.25</v>
      </c>
      <c r="AU664" s="63" t="n">
        <f aca="false">IF(LEFT(Cockpit!$I$5,1)="A",H664,IF(CI664=1,(CL664+CJ664)/2,IF(LEFT(Cockpit!$I$5,1)="B",(CL664+AW664)/2,MAX((CL664+AW664)/2,H664))))</f>
        <v>3</v>
      </c>
      <c r="AV664" s="62" t="n">
        <f aca="false">AU664*G664</f>
        <v>433.86</v>
      </c>
      <c r="AW664" s="62" t="n">
        <f aca="false">ROUNDUP(CL664+MAX(CM664,2*(J664/IF(CH664&gt;0,CH664,MAX(0.1,N(Cockpit!$I$6)))-CL664)),0)</f>
        <v>6</v>
      </c>
      <c r="AX664" s="63" t="n">
        <f aca="false">IF(AT664&gt;0,J664/AT664,-1)</f>
        <v>0.226950354609929</v>
      </c>
      <c r="AY664" s="63" t="str">
        <f aca="false">IF(AND(OR(CG664="L1",CG664="L23",CG664="LIFT"),AT664&gt;0),SUMIFS($AT$7:$AT$1843,$CG$7:$CG$1843,CG664,$AX$7:$AX$1843,"&gt;"&amp;AX664)+SUMIFS($AT$7:$AT$1843,$CG$7:$CG$1843,CG664,$AX$7:$AX$1843,AX664,$BX$7:$BX$1843,"&lt;="&amp;BX664),"")</f>
        <v/>
      </c>
      <c r="AZ664" s="70" t="n">
        <f aca="false">IF(AY664="",0,MAX(0,MIN(1,(IF(CG664="L1",Parameter!$H$5,IF(CG664="L23",Parameter!$H$6+Parameter!$H$7,Parameter!$H$5+Parameter!$H$6+Parameter!$H$7))-(AY664-AT664))/AT664)))</f>
        <v>0</v>
      </c>
      <c r="BA664" s="62" t="n">
        <f aca="false">IF(LEFT(Cockpit!$O$5,1)="A",H664,IF(Parameter!$E$30="MAX-Bestand",IF(CI664=1,CJ664,IF(LEFT(Cockpit!$O$5,1)="B",BG664,MAX(BG664,H664))),ROUNDUP(BE664,0)))</f>
        <v>2</v>
      </c>
      <c r="BB664" s="62" t="n">
        <f aca="false">IF(CA664=1,0,ROUNDUP(BA664/BZ664,0))</f>
        <v>0</v>
      </c>
      <c r="BC664" s="64" t="n">
        <f aca="false">IF(CR664&gt;0,CR664*MAX(1,BA664/X664),IF(CA664=1,IF(BA664&lt;=0,0,CE664*MAX(1,IF(H664&gt;0,BA664/H664,1))),IF(R664&gt;0,BB664/R664,0))/MAX(0.1,N(Parameter!$M$21)))</f>
        <v>0.15</v>
      </c>
      <c r="BD664" s="62" t="n">
        <f aca="false">BC664*CC664</f>
        <v>35.25</v>
      </c>
      <c r="BE664" s="63" t="n">
        <f aca="false">IF(LEFT(Cockpit!$O$5,1)="A",H664,IF(CI664=1,(CL664+CJ664)/2,IF(LEFT(Cockpit!$O$5,1)="B",(CL664+BG664)/2,MAX((CL664+BG664)/2,H664))))</f>
        <v>2</v>
      </c>
      <c r="BF664" s="62" t="n">
        <f aca="false">BE664*G664</f>
        <v>289.24</v>
      </c>
      <c r="BG664" s="62" t="n">
        <f aca="false">ROUNDUP(CL664+MAX(CM664,2*(J664/IF(CH664&gt;0,CH664,MAX(0.1,N(Cockpit!$O$6)))-CL664)),0)</f>
        <v>4</v>
      </c>
      <c r="BH664" s="63" t="n">
        <f aca="false">IF(BD664&gt;0,J664/BD664,-1)</f>
        <v>0.226950354609929</v>
      </c>
      <c r="BI664" s="63" t="str">
        <f aca="false">IF(AND(OR(CG664="L1",CG664="L23",CG664="LIFT"),BD664&gt;0),SUMIFS($BD$7:$BD$1843,$CG$7:$CG$1843,CG664,$BH$7:$BH$1843,"&gt;"&amp;BH664)+SUMIFS($BD$7:$BD$1843,$CG$7:$CG$1843,CG664,$BH$7:$BH$1843,BH664,$BX$7:$BX$1843,"&lt;="&amp;BX664),"")</f>
        <v/>
      </c>
      <c r="BJ664" s="70" t="n">
        <f aca="false">IF(BI664="",0,MAX(0,MIN(1,(IF(CG664="L1",Parameter!$H$5,IF(CG664="L23",Parameter!$H$6+Parameter!$H$7,Parameter!$H$5+Parameter!$H$6+Parameter!$H$7))-(BI664-BD664))/BD664)))</f>
        <v>0</v>
      </c>
      <c r="BK664" s="60" t="str">
        <f aca="false">IF(AJ664&lt;=0,"",IF(CG664="Aussen","Aussenlager",IF(CG664="-","Nicht im Lift",IF(AP664&gt;=1,"Lift",IF(AP664&lt;=0,"Aussenlager","teilweise")))))</f>
        <v/>
      </c>
      <c r="BL664" s="60" t="str">
        <f aca="false">IF(AT664&lt;=0,"",IF(CG664="Aussen","Aussenlager",IF(CG664="-","Nicht im Lift",IF(AZ664&gt;=1,"Lift",IF(AZ664&lt;=0,"Aussenlager","teilweise")))))</f>
        <v>Nicht im Lift</v>
      </c>
      <c r="BM664" s="60" t="str">
        <f aca="false">IF(BD664&lt;=0,"",IF(CG664="Aussen","Aussenlager",IF(CG664="-","Nicht im Lift",IF(BJ664&gt;=1,"Lift",IF(BJ664&lt;=0,"Aussenlager","teilweise")))))</f>
        <v>Nicht im Lift</v>
      </c>
      <c r="BN664" s="60" t="str">
        <f aca="false">IF(A664="","",IF(BW664=1,"Neu; ","")&amp;IF(AND(BW664=0,BR664&lt;0),"negativer Bestand (Export "&amp;BR664&amp;"); ","")&amp;IF(J664&lt;=0,"Kein Verbrauch; ","")&amp;IF(CR664&gt;0,"Lift "&amp;W664&amp;" lt. Liftbericht (Fach "&amp;X664&amp;" Stk); ",IF(CB664=1,"Gebinde geschätzt ("&amp;T664&amp;"); ",IF(CA664=1,"Lose – Tablare geschätzt; ","")))&amp;IF(H664&gt;AW664,"Überbestand "&amp;ROUND(H664-AW664,0)&amp;" Stk / CHF "&amp;ROUND((H664-AW664)*G664,0)&amp;"; ","")&amp;IF(AND(CI664=1,CJ664&lt;CK664),"MAX &lt; MB+LG; ","")&amp;IF(AND(CQ664&gt;0,CP664*10&gt;CQ664),"zu hoch für Tablar; ","")&amp;IF(AND(BW664=0,OR(CI664=1,AB664&lt;&gt;"",U664&lt;&gt;"",V664&lt;&gt;"",AC664&lt;&gt;"")),"manuell übersteuert; ","")&amp;IF(AND(CA664=0,R664=0),"Gebinde unbekannt / Stellmass fehlt; ","")&amp;IF(AND(CA664=0,N(V664)&lt;=0,N(Q664)&lt;=0),"Menge pro Gebinde fehlt (Ist = 1 Gebinde); ","")&amp;BV664)</f>
        <v>Lose – Tablare geschätzt; </v>
      </c>
      <c r="BO664" s="60"/>
      <c r="BP664" s="60"/>
      <c r="BQ664" s="67"/>
      <c r="BR664" s="62" t="n">
        <v>0</v>
      </c>
      <c r="BS664" s="62" t="n">
        <v>0</v>
      </c>
      <c r="BT664" s="61" t="n">
        <v>0</v>
      </c>
      <c r="BU664" s="62" t="n">
        <v>8</v>
      </c>
      <c r="BV664" s="60"/>
      <c r="BW664" s="65" t="n">
        <v>0</v>
      </c>
      <c r="BX664" s="65" t="n">
        <v>664</v>
      </c>
      <c r="BY664" s="60" t="str">
        <f aca="false">IF(U664&lt;&gt;"",UPPER(TRIM(U664)),IF(CB664=1,UPPER(VLOOKUP(T664,Parameter!$I$27:$K$29,2,0)),IF(P664="","LOSE",P664)))</f>
        <v>LOSE</v>
      </c>
      <c r="BZ664" s="62" t="n">
        <f aca="false">IF(BY664="LOSE",1,IF(N(V664)&gt;0,V664,IF(CB664=1,MAX(1,N(VLOOKUP(T664,Parameter!$I$27:$K$29,3,0)),H664,N(N664)),IF(N(Q664)&gt;0,Q664,MAX(1,H664)))))</f>
        <v>1</v>
      </c>
      <c r="CA664" s="65" t="n">
        <f aca="false">IF(BY664="LOSE",1,0)</f>
        <v>1</v>
      </c>
      <c r="CB664" s="65" t="n">
        <f aca="false">IF(AND(U664="",OR(P664="",P664="LOSE"),T664&lt;&gt;"",N(S664)&lt;=0,ISNUMBER(MATCH(T664,Parameter!$I$27:$I$29,0))),1,0)</f>
        <v>0</v>
      </c>
      <c r="CC664" s="65" t="n">
        <f aca="false">IF(CR664&gt;0,INDEX(Parameter!$H$5:$H$7,W664)/INDEX(Parameter!$E$5:$E$7,W664),IF(AND(CA664=0,N(IFERROR(VLOOKUP(BY664,'Gebinde-Kategorie'!$A$5:$N$45,14,0),0))&gt;0),VLOOKUP(BY664,'Gebinde-Kategorie'!$A$5:$N$45,14,0)*10+Parameter!$M$23,Parameter!$M$24))</f>
        <v>235</v>
      </c>
      <c r="CD664" s="60" t="str">
        <f aca="false">IF(AND(Parameter!$B$19="Ja",E664&lt;&gt;"",ISNUMBER(MATCH(E664,Parameter!$I$35:$I$52,0))),VLOOKUP(E664,Parameter!$I$35:$J$52,2,0),IFERROR(VLOOKUP(D664,Parameter!$A$35:$C$64,2,0),"Nein"))</f>
        <v>Nein</v>
      </c>
      <c r="CE664" s="64" t="n">
        <f aca="false">IF(CA664=0,0,IF(N(S664)&gt;0,S664,IFERROR(VLOOKUP(D664,Parameter!$A$35:$C$64,3,0)+0,0)))</f>
        <v>0.15</v>
      </c>
      <c r="CF664" s="60" t="str">
        <f aca="false">IF(AB664&lt;&gt;"",AB664,AA664)</f>
        <v>-</v>
      </c>
      <c r="CG664" s="60" t="str">
        <f aca="false">IF(OR(CF664=1,CF664=2,CF664=3),IF(Parameter!$E$27="Ja","LIFT",IF(CF664=1,"L1","L23")),IF(CF664="Aussen","Aussen","-"))</f>
        <v>-</v>
      </c>
      <c r="CH664" s="71" t="n">
        <f aca="false">IF(N(AC664)&gt;0,AC664,0)</f>
        <v>0</v>
      </c>
      <c r="CI664" s="65" t="n">
        <f aca="false">IF(ISNUMBER(AF664),1,0)</f>
        <v>0</v>
      </c>
      <c r="CJ664" s="62" t="n">
        <f aca="false">N(AF664)</f>
        <v>0</v>
      </c>
      <c r="CK664" s="62" t="n">
        <f aca="false">N(M664)+N(N664)</f>
        <v>1</v>
      </c>
      <c r="CL664" s="62" t="n">
        <f aca="false">N(M664)</f>
        <v>0</v>
      </c>
      <c r="CM664" s="62" t="n">
        <f aca="false">N(N664)</f>
        <v>1</v>
      </c>
      <c r="CN664" s="62" t="n">
        <f aca="false">ROUNDUP(H664/BZ664,0)</f>
        <v>0</v>
      </c>
      <c r="CO664" s="62" t="n">
        <f aca="false">ROUNDUP(CJ664/BZ664,0)</f>
        <v>0</v>
      </c>
      <c r="CP664" s="65" t="n">
        <f aca="false">IF(CA664=1,0,IFERROR(VLOOKUP(BY664,'Gebinde-Kategorie'!$A$5:$N$45,5,0)+0,0))</f>
        <v>0</v>
      </c>
      <c r="CQ664" s="65" t="n">
        <f aca="false">IFERROR(IF(OR(CF664=1,CF664=2,CF664=3),N(INDEX(Parameter!$I$5:$I$7,CF664)),0),0)</f>
        <v>0</v>
      </c>
      <c r="CR664" s="64" t="n">
        <f aca="false">IF(AND(Parameter!$B$21="Ja",ISNUMBER(W664),N(X664)&gt;0),IFERROR(N(INDEX(Parameter!$L$5:$L$7,W664))*INDEX(Parameter!$E$5:$E$7,W664)*X664/SUMIFS($X$7:$X$1843,$W$7:$W$1843,W664),0),0)</f>
        <v>0</v>
      </c>
      <c r="CS664" s="62" t="str">
        <f aca="false">IF(AND(OR(CG664="L1",CG664="L23",CG664="LIFT"),H664&gt;0),CC664*IF(CR664&gt;0,CR664*MAX(1,H664/X664),IF(CA664=1,CE664,IF(R664&gt;0,CN664/R664,0))/MAX(0.1,N(Parameter!$M$21))),"")</f>
        <v/>
      </c>
      <c r="CT664" s="64" t="str">
        <f aca="false">IF(CS664="","",J664/H664)</f>
        <v/>
      </c>
      <c r="CU664" s="62" t="str">
        <f aca="false">IF(CS664="","",H664*G664)</f>
        <v/>
      </c>
      <c r="CV664" s="63" t="str">
        <f aca="false">IF(CS664="","",(CL664+ROUNDUP(CL664+MAX(CM664,2*(J664/MAX(0.1,N(Einkauf!$C$6))-CL664)),0))/2)</f>
        <v/>
      </c>
      <c r="CW664" s="62" t="str">
        <f aca="false">IF(CS664="","",MAX(0,H664-CV664)*G664)</f>
        <v/>
      </c>
      <c r="CX664" s="62" t="str">
        <f aca="false">IF(CS664="","",CS664*MAX(0,1-CV664/H664))</f>
        <v/>
      </c>
      <c r="CY664" s="64" t="str">
        <f aca="false">IF(CS664="","",PERCENTRANK($CS$7:$CS$1843,CS664)+PERCENTRANK($CU$7:$CU$1843,CU664)+1-PERCENTRANK($CT$7:$CT$1843,CT664))</f>
        <v/>
      </c>
      <c r="CZ664" s="72" t="str">
        <f aca="false">IF(CS664="","",CHOOSE(MATCH(Einkauf!$C$5,Parameter!$G$23:$G$27,0),CY664,CS664,CU664,-CT664,CW664)+ROW()/1000000000)</f>
        <v/>
      </c>
    </row>
    <row r="665" customFormat="false" ht="15" hidden="false" customHeight="false" outlineLevel="0" collapsed="false">
      <c r="A665" s="60" t="s">
        <v>1379</v>
      </c>
      <c r="B665" s="60" t="s">
        <v>1380</v>
      </c>
      <c r="C665" s="60" t="s">
        <v>206</v>
      </c>
      <c r="D665" s="60" t="s">
        <v>1381</v>
      </c>
      <c r="E665" s="60"/>
      <c r="F665" s="60" t="s">
        <v>260</v>
      </c>
      <c r="G665" s="61" t="n">
        <v>0.65</v>
      </c>
      <c r="H665" s="62" t="n">
        <f aca="false">MAX(0,IF(AND(Parameter!$B$21="Ja",ISNUMBER(Y665)),Y665,IF(Parameter!$B$20="Jahresanfang 2025 + Export",BS665+BR665,BR665)))</f>
        <v>0</v>
      </c>
      <c r="I665" s="62" t="n">
        <f aca="false">H665*G665</f>
        <v>0</v>
      </c>
      <c r="J665" s="62" t="n">
        <f aca="false">BU665*Parameter!$B$18</f>
        <v>0</v>
      </c>
      <c r="K665" s="63" t="n">
        <v>0</v>
      </c>
      <c r="L665" s="64" t="n">
        <v>0</v>
      </c>
      <c r="M665" s="62" t="n">
        <v>0</v>
      </c>
      <c r="N665" s="62" t="n">
        <v>1050</v>
      </c>
      <c r="O665" s="65" t="n">
        <v>21</v>
      </c>
      <c r="P665" s="60" t="s">
        <v>210</v>
      </c>
      <c r="Q665" s="62"/>
      <c r="R665" s="65" t="n">
        <f aca="false">IF(CA665=1,0,IFERROR(VLOOKUP(BY665,'Gebinde-Kategorie'!$A$5:$N$45,13,0)+0,0))</f>
        <v>0</v>
      </c>
      <c r="S665" s="66"/>
      <c r="T665" s="67"/>
      <c r="U665" s="67"/>
      <c r="V665" s="67"/>
      <c r="W665" s="60"/>
      <c r="X665" s="62"/>
      <c r="Y665" s="62"/>
      <c r="Z665" s="60"/>
      <c r="AA665" s="60" t="str">
        <f aca="false">IF(A665="","",IF(AND(Parameter!$B$21="Ja",ISNUMBER(W665)),W665,IF(AND(Parameter!$E$27="Ja",ISNUMBER(Z665),CD665&lt;&gt;"Nein"),Z665,IF(CD665="2+3",IF(ISNUMBER(SEARCH("grosser Artikel",BV665)),2,IFERROR(VLOOKUP(BY665,Parameter!$F$35:$G$64,2,0),2)),IF(OR(CD665="Nein",CD665=""),"-",CD665)))))</f>
        <v>-</v>
      </c>
      <c r="AB665" s="67"/>
      <c r="AC665" s="68"/>
      <c r="AD665" s="62" t="n">
        <f aca="false">AW665</f>
        <v>1050</v>
      </c>
      <c r="AE665" s="62" t="n">
        <f aca="false">MAX(AW665,H665)</f>
        <v>1050</v>
      </c>
      <c r="AF665" s="69"/>
      <c r="AG665" s="62" t="n">
        <f aca="false">IF(LEFT(Cockpit!$C$5,1)="A",H665,IF(Parameter!$E$30="MAX-Bestand",IF(CI665=1,CJ665,IF(LEFT(Cockpit!$C$5,1)="B",AM665,MAX(AM665,H665))),ROUNDUP(AK665,0)))</f>
        <v>0</v>
      </c>
      <c r="AH665" s="62" t="n">
        <f aca="false">IF(CA665=1,0,ROUNDUP(AG665/BZ665,0))</f>
        <v>0</v>
      </c>
      <c r="AI665" s="64" t="n">
        <f aca="false">IF(CR665&gt;0,CR665*MAX(1,AG665/X665),IF(CA665=1,IF(AG665&lt;=0,0,CE665*MAX(1,IF(H665&gt;0,AG665/H665,1))),IF(R665&gt;0,AH665/R665,0))/MAX(0.1,N(Parameter!$M$21)))</f>
        <v>0</v>
      </c>
      <c r="AJ665" s="62" t="n">
        <f aca="false">AI665*CC665</f>
        <v>0</v>
      </c>
      <c r="AK665" s="63" t="n">
        <f aca="false">IF(LEFT(Cockpit!$C$5,1)="A",H665,IF(CI665=1,(CL665+CJ665)/2,IF(LEFT(Cockpit!$C$5,1)="B",(CL665+AM665)/2,MAX((CL665+AM665)/2,H665))))</f>
        <v>0</v>
      </c>
      <c r="AL665" s="62" t="n">
        <f aca="false">AK665*G665</f>
        <v>0</v>
      </c>
      <c r="AM665" s="62" t="n">
        <f aca="false">ROUNDUP(CL665+MAX(CM665,2*(J665/IF(CH665&gt;0,CH665,MAX(0.1,N(Cockpit!$C$6)))-CL665)),0)</f>
        <v>1050</v>
      </c>
      <c r="AN665" s="63" t="n">
        <f aca="false">IF(AJ665&gt;0,J665/AJ665,-1)</f>
        <v>-1</v>
      </c>
      <c r="AO665" s="63" t="str">
        <f aca="false">IF(AND(OR(CG665="L1",CG665="L23",CG665="LIFT"),AJ665&gt;0),SUMIFS($AJ$7:$AJ$1843,$CG$7:$CG$1843,CG665,$AN$7:$AN$1843,"&gt;"&amp;AN665)+SUMIFS($AJ$7:$AJ$1843,$CG$7:$CG$1843,CG665,$AN$7:$AN$1843,AN665,$BX$7:$BX$1843,"&lt;="&amp;BX665),"")</f>
        <v/>
      </c>
      <c r="AP665" s="70" t="n">
        <f aca="false">IF(AO665="",0,MAX(0,MIN(1,(IF(CG665="L1",Parameter!$H$5,IF(CG665="L23",Parameter!$H$6+Parameter!$H$7,Parameter!$H$5+Parameter!$H$6+Parameter!$H$7))-(AO665-AJ665))/AJ665)))</f>
        <v>0</v>
      </c>
      <c r="AQ665" s="62" t="n">
        <f aca="false">IF(LEFT(Cockpit!$I$5,1)="A",H665,IF(Parameter!$E$30="MAX-Bestand",IF(CI665=1,CJ665,IF(LEFT(Cockpit!$I$5,1)="B",AW665,MAX(AW665,H665))),ROUNDUP(AU665,0)))</f>
        <v>525</v>
      </c>
      <c r="AR665" s="62" t="n">
        <f aca="false">IF(CA665=1,0,ROUNDUP(AQ665/BZ665,0))</f>
        <v>0</v>
      </c>
      <c r="AS665" s="64" t="n">
        <f aca="false">IF(CR665&gt;0,CR665*MAX(1,AQ665/X665),IF(CA665=1,IF(AQ665&lt;=0,0,CE665*MAX(1,IF(H665&gt;0,AQ665/H665,1))),IF(R665&gt;0,AR665/R665,0))/MAX(0.1,N(Parameter!$M$21)))</f>
        <v>0.15</v>
      </c>
      <c r="AT665" s="62" t="n">
        <f aca="false">AS665*CC665</f>
        <v>35.25</v>
      </c>
      <c r="AU665" s="63" t="n">
        <f aca="false">IF(LEFT(Cockpit!$I$5,1)="A",H665,IF(CI665=1,(CL665+CJ665)/2,IF(LEFT(Cockpit!$I$5,1)="B",(CL665+AW665)/2,MAX((CL665+AW665)/2,H665))))</f>
        <v>525</v>
      </c>
      <c r="AV665" s="62" t="n">
        <f aca="false">AU665*G665</f>
        <v>341.25</v>
      </c>
      <c r="AW665" s="62" t="n">
        <f aca="false">ROUNDUP(CL665+MAX(CM665,2*(J665/IF(CH665&gt;0,CH665,MAX(0.1,N(Cockpit!$I$6)))-CL665)),0)</f>
        <v>1050</v>
      </c>
      <c r="AX665" s="63" t="n">
        <f aca="false">IF(AT665&gt;0,J665/AT665,-1)</f>
        <v>0</v>
      </c>
      <c r="AY665" s="63" t="str">
        <f aca="false">IF(AND(OR(CG665="L1",CG665="L23",CG665="LIFT"),AT665&gt;0),SUMIFS($AT$7:$AT$1843,$CG$7:$CG$1843,CG665,$AX$7:$AX$1843,"&gt;"&amp;AX665)+SUMIFS($AT$7:$AT$1843,$CG$7:$CG$1843,CG665,$AX$7:$AX$1843,AX665,$BX$7:$BX$1843,"&lt;="&amp;BX665),"")</f>
        <v/>
      </c>
      <c r="AZ665" s="70" t="n">
        <f aca="false">IF(AY665="",0,MAX(0,MIN(1,(IF(CG665="L1",Parameter!$H$5,IF(CG665="L23",Parameter!$H$6+Parameter!$H$7,Parameter!$H$5+Parameter!$H$6+Parameter!$H$7))-(AY665-AT665))/AT665)))</f>
        <v>0</v>
      </c>
      <c r="BA665" s="62" t="n">
        <f aca="false">IF(LEFT(Cockpit!$O$5,1)="A",H665,IF(Parameter!$E$30="MAX-Bestand",IF(CI665=1,CJ665,IF(LEFT(Cockpit!$O$5,1)="B",BG665,MAX(BG665,H665))),ROUNDUP(BE665,0)))</f>
        <v>525</v>
      </c>
      <c r="BB665" s="62" t="n">
        <f aca="false">IF(CA665=1,0,ROUNDUP(BA665/BZ665,0))</f>
        <v>0</v>
      </c>
      <c r="BC665" s="64" t="n">
        <f aca="false">IF(CR665&gt;0,CR665*MAX(1,BA665/X665),IF(CA665=1,IF(BA665&lt;=0,0,CE665*MAX(1,IF(H665&gt;0,BA665/H665,1))),IF(R665&gt;0,BB665/R665,0))/MAX(0.1,N(Parameter!$M$21)))</f>
        <v>0.15</v>
      </c>
      <c r="BD665" s="62" t="n">
        <f aca="false">BC665*CC665</f>
        <v>35.25</v>
      </c>
      <c r="BE665" s="63" t="n">
        <f aca="false">IF(LEFT(Cockpit!$O$5,1)="A",H665,IF(CI665=1,(CL665+CJ665)/2,IF(LEFT(Cockpit!$O$5,1)="B",(CL665+BG665)/2,MAX((CL665+BG665)/2,H665))))</f>
        <v>525</v>
      </c>
      <c r="BF665" s="62" t="n">
        <f aca="false">BE665*G665</f>
        <v>341.25</v>
      </c>
      <c r="BG665" s="62" t="n">
        <f aca="false">ROUNDUP(CL665+MAX(CM665,2*(J665/IF(CH665&gt;0,CH665,MAX(0.1,N(Cockpit!$O$6)))-CL665)),0)</f>
        <v>1050</v>
      </c>
      <c r="BH665" s="63" t="n">
        <f aca="false">IF(BD665&gt;0,J665/BD665,-1)</f>
        <v>0</v>
      </c>
      <c r="BI665" s="63" t="str">
        <f aca="false">IF(AND(OR(CG665="L1",CG665="L23",CG665="LIFT"),BD665&gt;0),SUMIFS($BD$7:$BD$1843,$CG$7:$CG$1843,CG665,$BH$7:$BH$1843,"&gt;"&amp;BH665)+SUMIFS($BD$7:$BD$1843,$CG$7:$CG$1843,CG665,$BH$7:$BH$1843,BH665,$BX$7:$BX$1843,"&lt;="&amp;BX665),"")</f>
        <v/>
      </c>
      <c r="BJ665" s="70" t="n">
        <f aca="false">IF(BI665="",0,MAX(0,MIN(1,(IF(CG665="L1",Parameter!$H$5,IF(CG665="L23",Parameter!$H$6+Parameter!$H$7,Parameter!$H$5+Parameter!$H$6+Parameter!$H$7))-(BI665-BD665))/BD665)))</f>
        <v>0</v>
      </c>
      <c r="BK665" s="60" t="str">
        <f aca="false">IF(AJ665&lt;=0,"",IF(CG665="Aussen","Aussenlager",IF(CG665="-","Nicht im Lift",IF(AP665&gt;=1,"Lift",IF(AP665&lt;=0,"Aussenlager","teilweise")))))</f>
        <v/>
      </c>
      <c r="BL665" s="60" t="str">
        <f aca="false">IF(AT665&lt;=0,"",IF(CG665="Aussen","Aussenlager",IF(CG665="-","Nicht im Lift",IF(AZ665&gt;=1,"Lift",IF(AZ665&lt;=0,"Aussenlager","teilweise")))))</f>
        <v>Nicht im Lift</v>
      </c>
      <c r="BM665" s="60" t="str">
        <f aca="false">IF(BD665&lt;=0,"",IF(CG665="Aussen","Aussenlager",IF(CG665="-","Nicht im Lift",IF(BJ665&gt;=1,"Lift",IF(BJ665&lt;=0,"Aussenlager","teilweise")))))</f>
        <v>Nicht im Lift</v>
      </c>
      <c r="BN665" s="60" t="str">
        <f aca="false">IF(A665="","",IF(BW665=1,"Neu; ","")&amp;IF(AND(BW665=0,BR665&lt;0),"negativer Bestand (Export "&amp;BR665&amp;"); ","")&amp;IF(J665&lt;=0,"Kein Verbrauch; ","")&amp;IF(CR665&gt;0,"Lift "&amp;W665&amp;" lt. Liftbericht (Fach "&amp;X665&amp;" Stk); ",IF(CB665=1,"Gebinde geschätzt ("&amp;T665&amp;"); ",IF(CA665=1,"Lose – Tablare geschätzt; ","")))&amp;IF(H665&gt;AW665,"Überbestand "&amp;ROUND(H665-AW665,0)&amp;" Stk / CHF "&amp;ROUND((H665-AW665)*G665,0)&amp;"; ","")&amp;IF(AND(CI665=1,CJ665&lt;CK665),"MAX &lt; MB+LG; ","")&amp;IF(AND(CQ665&gt;0,CP665*10&gt;CQ665),"zu hoch für Tablar; ","")&amp;IF(AND(BW665=0,OR(CI665=1,AB665&lt;&gt;"",U665&lt;&gt;"",V665&lt;&gt;"",AC665&lt;&gt;"")),"manuell übersteuert; ","")&amp;IF(AND(CA665=0,R665=0),"Gebinde unbekannt / Stellmass fehlt; ","")&amp;IF(AND(CA665=0,N(V665)&lt;=0,N(Q665)&lt;=0),"Menge pro Gebinde fehlt (Ist = 1 Gebinde); ","")&amp;BV665)</f>
        <v>Kein Verbrauch; Lose – Tablare geschätzt; </v>
      </c>
      <c r="BO665" s="60"/>
      <c r="BP665" s="60"/>
      <c r="BQ665" s="67"/>
      <c r="BR665" s="62" t="n">
        <v>0</v>
      </c>
      <c r="BS665" s="62" t="n">
        <v>0</v>
      </c>
      <c r="BT665" s="61" t="n">
        <v>0</v>
      </c>
      <c r="BU665" s="62" t="n">
        <v>0</v>
      </c>
      <c r="BV665" s="60"/>
      <c r="BW665" s="65" t="n">
        <v>0</v>
      </c>
      <c r="BX665" s="65" t="n">
        <v>665</v>
      </c>
      <c r="BY665" s="60" t="str">
        <f aca="false">IF(U665&lt;&gt;"",UPPER(TRIM(U665)),IF(CB665=1,UPPER(VLOOKUP(T665,Parameter!$I$27:$K$29,2,0)),IF(P665="","LOSE",P665)))</f>
        <v>LOSE</v>
      </c>
      <c r="BZ665" s="62" t="n">
        <f aca="false">IF(BY665="LOSE",1,IF(N(V665)&gt;0,V665,IF(CB665=1,MAX(1,N(VLOOKUP(T665,Parameter!$I$27:$K$29,3,0)),H665,N(N665)),IF(N(Q665)&gt;0,Q665,MAX(1,H665)))))</f>
        <v>1</v>
      </c>
      <c r="CA665" s="65" t="n">
        <f aca="false">IF(BY665="LOSE",1,0)</f>
        <v>1</v>
      </c>
      <c r="CB665" s="65" t="n">
        <f aca="false">IF(AND(U665="",OR(P665="",P665="LOSE"),T665&lt;&gt;"",N(S665)&lt;=0,ISNUMBER(MATCH(T665,Parameter!$I$27:$I$29,0))),1,0)</f>
        <v>0</v>
      </c>
      <c r="CC665" s="65" t="n">
        <f aca="false">IF(CR665&gt;0,INDEX(Parameter!$H$5:$H$7,W665)/INDEX(Parameter!$E$5:$E$7,W665),IF(AND(CA665=0,N(IFERROR(VLOOKUP(BY665,'Gebinde-Kategorie'!$A$5:$N$45,14,0),0))&gt;0),VLOOKUP(BY665,'Gebinde-Kategorie'!$A$5:$N$45,14,0)*10+Parameter!$M$23,Parameter!$M$24))</f>
        <v>235</v>
      </c>
      <c r="CD665" s="60" t="str">
        <f aca="false">IF(AND(Parameter!$B$19="Ja",E665&lt;&gt;"",ISNUMBER(MATCH(E665,Parameter!$I$35:$I$52,0))),VLOOKUP(E665,Parameter!$I$35:$J$52,2,0),IFERROR(VLOOKUP(D665,Parameter!$A$35:$C$64,2,0),"Nein"))</f>
        <v>Nein</v>
      </c>
      <c r="CE665" s="64" t="n">
        <f aca="false">IF(CA665=0,0,IF(N(S665)&gt;0,S665,IFERROR(VLOOKUP(D665,Parameter!$A$35:$C$64,3,0)+0,0)))</f>
        <v>0.15</v>
      </c>
      <c r="CF665" s="60" t="str">
        <f aca="false">IF(AB665&lt;&gt;"",AB665,AA665)</f>
        <v>-</v>
      </c>
      <c r="CG665" s="60" t="str">
        <f aca="false">IF(OR(CF665=1,CF665=2,CF665=3),IF(Parameter!$E$27="Ja","LIFT",IF(CF665=1,"L1","L23")),IF(CF665="Aussen","Aussen","-"))</f>
        <v>-</v>
      </c>
      <c r="CH665" s="71" t="n">
        <f aca="false">IF(N(AC665)&gt;0,AC665,0)</f>
        <v>0</v>
      </c>
      <c r="CI665" s="65" t="n">
        <f aca="false">IF(ISNUMBER(AF665),1,0)</f>
        <v>0</v>
      </c>
      <c r="CJ665" s="62" t="n">
        <f aca="false">N(AF665)</f>
        <v>0</v>
      </c>
      <c r="CK665" s="62" t="n">
        <f aca="false">N(M665)+N(N665)</f>
        <v>1050</v>
      </c>
      <c r="CL665" s="62" t="n">
        <f aca="false">N(M665)</f>
        <v>0</v>
      </c>
      <c r="CM665" s="62" t="n">
        <f aca="false">N(N665)</f>
        <v>1050</v>
      </c>
      <c r="CN665" s="62" t="n">
        <f aca="false">ROUNDUP(H665/BZ665,0)</f>
        <v>0</v>
      </c>
      <c r="CO665" s="62" t="n">
        <f aca="false">ROUNDUP(CJ665/BZ665,0)</f>
        <v>0</v>
      </c>
      <c r="CP665" s="65" t="n">
        <f aca="false">IF(CA665=1,0,IFERROR(VLOOKUP(BY665,'Gebinde-Kategorie'!$A$5:$N$45,5,0)+0,0))</f>
        <v>0</v>
      </c>
      <c r="CQ665" s="65" t="n">
        <f aca="false">IFERROR(IF(OR(CF665=1,CF665=2,CF665=3),N(INDEX(Parameter!$I$5:$I$7,CF665)),0),0)</f>
        <v>0</v>
      </c>
      <c r="CR665" s="64" t="n">
        <f aca="false">IF(AND(Parameter!$B$21="Ja",ISNUMBER(W665),N(X665)&gt;0),IFERROR(N(INDEX(Parameter!$L$5:$L$7,W665))*INDEX(Parameter!$E$5:$E$7,W665)*X665/SUMIFS($X$7:$X$1843,$W$7:$W$1843,W665),0),0)</f>
        <v>0</v>
      </c>
      <c r="CS665" s="62" t="str">
        <f aca="false">IF(AND(OR(CG665="L1",CG665="L23",CG665="LIFT"),H665&gt;0),CC665*IF(CR665&gt;0,CR665*MAX(1,H665/X665),IF(CA665=1,CE665,IF(R665&gt;0,CN665/R665,0))/MAX(0.1,N(Parameter!$M$21))),"")</f>
        <v/>
      </c>
      <c r="CT665" s="64" t="str">
        <f aca="false">IF(CS665="","",J665/H665)</f>
        <v/>
      </c>
      <c r="CU665" s="62" t="str">
        <f aca="false">IF(CS665="","",H665*G665)</f>
        <v/>
      </c>
      <c r="CV665" s="63" t="str">
        <f aca="false">IF(CS665="","",(CL665+ROUNDUP(CL665+MAX(CM665,2*(J665/MAX(0.1,N(Einkauf!$C$6))-CL665)),0))/2)</f>
        <v/>
      </c>
      <c r="CW665" s="62" t="str">
        <f aca="false">IF(CS665="","",MAX(0,H665-CV665)*G665)</f>
        <v/>
      </c>
      <c r="CX665" s="62" t="str">
        <f aca="false">IF(CS665="","",CS665*MAX(0,1-CV665/H665))</f>
        <v/>
      </c>
      <c r="CY665" s="64" t="str">
        <f aca="false">IF(CS665="","",PERCENTRANK($CS$7:$CS$1843,CS665)+PERCENTRANK($CU$7:$CU$1843,CU665)+1-PERCENTRANK($CT$7:$CT$1843,CT665))</f>
        <v/>
      </c>
      <c r="CZ665" s="72" t="str">
        <f aca="false">IF(CS665="","",CHOOSE(MATCH(Einkauf!$C$5,Parameter!$G$23:$G$27,0),CY665,CS665,CU665,-CT665,CW665)+ROW()/1000000000)</f>
        <v/>
      </c>
    </row>
    <row r="666" customFormat="false" ht="15" hidden="false" customHeight="false" outlineLevel="0" collapsed="false">
      <c r="A666" s="60" t="s">
        <v>1382</v>
      </c>
      <c r="B666" s="60" t="s">
        <v>1383</v>
      </c>
      <c r="C666" s="60" t="s">
        <v>206</v>
      </c>
      <c r="D666" s="60" t="s">
        <v>892</v>
      </c>
      <c r="E666" s="60"/>
      <c r="F666" s="60" t="s">
        <v>260</v>
      </c>
      <c r="G666" s="61" t="n">
        <v>5.8</v>
      </c>
      <c r="H666" s="62" t="n">
        <f aca="false">MAX(0,IF(AND(Parameter!$B$21="Ja",ISNUMBER(Y666)),Y666,IF(Parameter!$B$20="Jahresanfang 2025 + Export",BS666+BR666,BR666)))</f>
        <v>0</v>
      </c>
      <c r="I666" s="62" t="n">
        <f aca="false">H666*G666</f>
        <v>0</v>
      </c>
      <c r="J666" s="62" t="n">
        <f aca="false">BU666*Parameter!$B$18</f>
        <v>0</v>
      </c>
      <c r="K666" s="63" t="n">
        <v>0</v>
      </c>
      <c r="L666" s="64" t="n">
        <v>0</v>
      </c>
      <c r="M666" s="62" t="n">
        <v>0</v>
      </c>
      <c r="N666" s="62" t="n">
        <v>1</v>
      </c>
      <c r="O666" s="65" t="n">
        <v>7</v>
      </c>
      <c r="P666" s="60" t="s">
        <v>210</v>
      </c>
      <c r="Q666" s="62"/>
      <c r="R666" s="65" t="n">
        <f aca="false">IF(CA666=1,0,IFERROR(VLOOKUP(BY666,'Gebinde-Kategorie'!$A$5:$N$45,13,0)+0,0))</f>
        <v>0</v>
      </c>
      <c r="S666" s="66"/>
      <c r="T666" s="67"/>
      <c r="U666" s="67"/>
      <c r="V666" s="67"/>
      <c r="W666" s="60"/>
      <c r="X666" s="62"/>
      <c r="Y666" s="62"/>
      <c r="Z666" s="60"/>
      <c r="AA666" s="60" t="str">
        <f aca="false">IF(A666="","",IF(AND(Parameter!$B$21="Ja",ISNUMBER(W666)),W666,IF(AND(Parameter!$E$27="Ja",ISNUMBER(Z666),CD666&lt;&gt;"Nein"),Z666,IF(CD666="2+3",IF(ISNUMBER(SEARCH("grosser Artikel",BV666)),2,IFERROR(VLOOKUP(BY666,Parameter!$F$35:$G$64,2,0),2)),IF(OR(CD666="Nein",CD666=""),"-",CD666)))))</f>
        <v>-</v>
      </c>
      <c r="AB666" s="67"/>
      <c r="AC666" s="68"/>
      <c r="AD666" s="62" t="n">
        <f aca="false">AW666</f>
        <v>1</v>
      </c>
      <c r="AE666" s="62" t="n">
        <f aca="false">MAX(AW666,H666)</f>
        <v>1</v>
      </c>
      <c r="AF666" s="69"/>
      <c r="AG666" s="62" t="n">
        <f aca="false">IF(LEFT(Cockpit!$C$5,1)="A",H666,IF(Parameter!$E$30="MAX-Bestand",IF(CI666=1,CJ666,IF(LEFT(Cockpit!$C$5,1)="B",AM666,MAX(AM666,H666))),ROUNDUP(AK666,0)))</f>
        <v>0</v>
      </c>
      <c r="AH666" s="62" t="n">
        <f aca="false">IF(CA666=1,0,ROUNDUP(AG666/BZ666,0))</f>
        <v>0</v>
      </c>
      <c r="AI666" s="64" t="n">
        <f aca="false">IF(CR666&gt;0,CR666*MAX(1,AG666/X666),IF(CA666=1,IF(AG666&lt;=0,0,CE666*MAX(1,IF(H666&gt;0,AG666/H666,1))),IF(R666&gt;0,AH666/R666,0))/MAX(0.1,N(Parameter!$M$21)))</f>
        <v>0</v>
      </c>
      <c r="AJ666" s="62" t="n">
        <f aca="false">AI666*CC666</f>
        <v>0</v>
      </c>
      <c r="AK666" s="63" t="n">
        <f aca="false">IF(LEFT(Cockpit!$C$5,1)="A",H666,IF(CI666=1,(CL666+CJ666)/2,IF(LEFT(Cockpit!$C$5,1)="B",(CL666+AM666)/2,MAX((CL666+AM666)/2,H666))))</f>
        <v>0</v>
      </c>
      <c r="AL666" s="62" t="n">
        <f aca="false">AK666*G666</f>
        <v>0</v>
      </c>
      <c r="AM666" s="62" t="n">
        <f aca="false">ROUNDUP(CL666+MAX(CM666,2*(J666/IF(CH666&gt;0,CH666,MAX(0.1,N(Cockpit!$C$6)))-CL666)),0)</f>
        <v>1</v>
      </c>
      <c r="AN666" s="63" t="n">
        <f aca="false">IF(AJ666&gt;0,J666/AJ666,-1)</f>
        <v>-1</v>
      </c>
      <c r="AO666" s="63" t="str">
        <f aca="false">IF(AND(OR(CG666="L1",CG666="L23",CG666="LIFT"),AJ666&gt;0),SUMIFS($AJ$7:$AJ$1843,$CG$7:$CG$1843,CG666,$AN$7:$AN$1843,"&gt;"&amp;AN666)+SUMIFS($AJ$7:$AJ$1843,$CG$7:$CG$1843,CG666,$AN$7:$AN$1843,AN666,$BX$7:$BX$1843,"&lt;="&amp;BX666),"")</f>
        <v/>
      </c>
      <c r="AP666" s="70" t="n">
        <f aca="false">IF(AO666="",0,MAX(0,MIN(1,(IF(CG666="L1",Parameter!$H$5,IF(CG666="L23",Parameter!$H$6+Parameter!$H$7,Parameter!$H$5+Parameter!$H$6+Parameter!$H$7))-(AO666-AJ666))/AJ666)))</f>
        <v>0</v>
      </c>
      <c r="AQ666" s="62" t="n">
        <f aca="false">IF(LEFT(Cockpit!$I$5,1)="A",H666,IF(Parameter!$E$30="MAX-Bestand",IF(CI666=1,CJ666,IF(LEFT(Cockpit!$I$5,1)="B",AW666,MAX(AW666,H666))),ROUNDUP(AU666,0)))</f>
        <v>1</v>
      </c>
      <c r="AR666" s="62" t="n">
        <f aca="false">IF(CA666=1,0,ROUNDUP(AQ666/BZ666,0))</f>
        <v>0</v>
      </c>
      <c r="AS666" s="64" t="n">
        <f aca="false">IF(CR666&gt;0,CR666*MAX(1,AQ666/X666),IF(CA666=1,IF(AQ666&lt;=0,0,CE666*MAX(1,IF(H666&gt;0,AQ666/H666,1))),IF(R666&gt;0,AR666/R666,0))/MAX(0.1,N(Parameter!$M$21)))</f>
        <v>0.15</v>
      </c>
      <c r="AT666" s="62" t="n">
        <f aca="false">AS666*CC666</f>
        <v>35.25</v>
      </c>
      <c r="AU666" s="63" t="n">
        <f aca="false">IF(LEFT(Cockpit!$I$5,1)="A",H666,IF(CI666=1,(CL666+CJ666)/2,IF(LEFT(Cockpit!$I$5,1)="B",(CL666+AW666)/2,MAX((CL666+AW666)/2,H666))))</f>
        <v>0.5</v>
      </c>
      <c r="AV666" s="62" t="n">
        <f aca="false">AU666*G666</f>
        <v>2.9</v>
      </c>
      <c r="AW666" s="62" t="n">
        <f aca="false">ROUNDUP(CL666+MAX(CM666,2*(J666/IF(CH666&gt;0,CH666,MAX(0.1,N(Cockpit!$I$6)))-CL666)),0)</f>
        <v>1</v>
      </c>
      <c r="AX666" s="63" t="n">
        <f aca="false">IF(AT666&gt;0,J666/AT666,-1)</f>
        <v>0</v>
      </c>
      <c r="AY666" s="63" t="str">
        <f aca="false">IF(AND(OR(CG666="L1",CG666="L23",CG666="LIFT"),AT666&gt;0),SUMIFS($AT$7:$AT$1843,$CG$7:$CG$1843,CG666,$AX$7:$AX$1843,"&gt;"&amp;AX666)+SUMIFS($AT$7:$AT$1843,$CG$7:$CG$1843,CG666,$AX$7:$AX$1843,AX666,$BX$7:$BX$1843,"&lt;="&amp;BX666),"")</f>
        <v/>
      </c>
      <c r="AZ666" s="70" t="n">
        <f aca="false">IF(AY666="",0,MAX(0,MIN(1,(IF(CG666="L1",Parameter!$H$5,IF(CG666="L23",Parameter!$H$6+Parameter!$H$7,Parameter!$H$5+Parameter!$H$6+Parameter!$H$7))-(AY666-AT666))/AT666)))</f>
        <v>0</v>
      </c>
      <c r="BA666" s="62" t="n">
        <f aca="false">IF(LEFT(Cockpit!$O$5,1)="A",H666,IF(Parameter!$E$30="MAX-Bestand",IF(CI666=1,CJ666,IF(LEFT(Cockpit!$O$5,1)="B",BG666,MAX(BG666,H666))),ROUNDUP(BE666,0)))</f>
        <v>1</v>
      </c>
      <c r="BB666" s="62" t="n">
        <f aca="false">IF(CA666=1,0,ROUNDUP(BA666/BZ666,0))</f>
        <v>0</v>
      </c>
      <c r="BC666" s="64" t="n">
        <f aca="false">IF(CR666&gt;0,CR666*MAX(1,BA666/X666),IF(CA666=1,IF(BA666&lt;=0,0,CE666*MAX(1,IF(H666&gt;0,BA666/H666,1))),IF(R666&gt;0,BB666/R666,0))/MAX(0.1,N(Parameter!$M$21)))</f>
        <v>0.15</v>
      </c>
      <c r="BD666" s="62" t="n">
        <f aca="false">BC666*CC666</f>
        <v>35.25</v>
      </c>
      <c r="BE666" s="63" t="n">
        <f aca="false">IF(LEFT(Cockpit!$O$5,1)="A",H666,IF(CI666=1,(CL666+CJ666)/2,IF(LEFT(Cockpit!$O$5,1)="B",(CL666+BG666)/2,MAX((CL666+BG666)/2,H666))))</f>
        <v>0.5</v>
      </c>
      <c r="BF666" s="62" t="n">
        <f aca="false">BE666*G666</f>
        <v>2.9</v>
      </c>
      <c r="BG666" s="62" t="n">
        <f aca="false">ROUNDUP(CL666+MAX(CM666,2*(J666/IF(CH666&gt;0,CH666,MAX(0.1,N(Cockpit!$O$6)))-CL666)),0)</f>
        <v>1</v>
      </c>
      <c r="BH666" s="63" t="n">
        <f aca="false">IF(BD666&gt;0,J666/BD666,-1)</f>
        <v>0</v>
      </c>
      <c r="BI666" s="63" t="str">
        <f aca="false">IF(AND(OR(CG666="L1",CG666="L23",CG666="LIFT"),BD666&gt;0),SUMIFS($BD$7:$BD$1843,$CG$7:$CG$1843,CG666,$BH$7:$BH$1843,"&gt;"&amp;BH666)+SUMIFS($BD$7:$BD$1843,$CG$7:$CG$1843,CG666,$BH$7:$BH$1843,BH666,$BX$7:$BX$1843,"&lt;="&amp;BX666),"")</f>
        <v/>
      </c>
      <c r="BJ666" s="70" t="n">
        <f aca="false">IF(BI666="",0,MAX(0,MIN(1,(IF(CG666="L1",Parameter!$H$5,IF(CG666="L23",Parameter!$H$6+Parameter!$H$7,Parameter!$H$5+Parameter!$H$6+Parameter!$H$7))-(BI666-BD666))/BD666)))</f>
        <v>0</v>
      </c>
      <c r="BK666" s="60" t="str">
        <f aca="false">IF(AJ666&lt;=0,"",IF(CG666="Aussen","Aussenlager",IF(CG666="-","Nicht im Lift",IF(AP666&gt;=1,"Lift",IF(AP666&lt;=0,"Aussenlager","teilweise")))))</f>
        <v/>
      </c>
      <c r="BL666" s="60" t="str">
        <f aca="false">IF(AT666&lt;=0,"",IF(CG666="Aussen","Aussenlager",IF(CG666="-","Nicht im Lift",IF(AZ666&gt;=1,"Lift",IF(AZ666&lt;=0,"Aussenlager","teilweise")))))</f>
        <v>Nicht im Lift</v>
      </c>
      <c r="BM666" s="60" t="str">
        <f aca="false">IF(BD666&lt;=0,"",IF(CG666="Aussen","Aussenlager",IF(CG666="-","Nicht im Lift",IF(BJ666&gt;=1,"Lift",IF(BJ666&lt;=0,"Aussenlager","teilweise")))))</f>
        <v>Nicht im Lift</v>
      </c>
      <c r="BN666" s="60" t="str">
        <f aca="false">IF(A666="","",IF(BW666=1,"Neu; ","")&amp;IF(AND(BW666=0,BR666&lt;0),"negativer Bestand (Export "&amp;BR666&amp;"); ","")&amp;IF(J666&lt;=0,"Kein Verbrauch; ","")&amp;IF(CR666&gt;0,"Lift "&amp;W666&amp;" lt. Liftbericht (Fach "&amp;X666&amp;" Stk); ",IF(CB666=1,"Gebinde geschätzt ("&amp;T666&amp;"); ",IF(CA666=1,"Lose – Tablare geschätzt; ","")))&amp;IF(H666&gt;AW666,"Überbestand "&amp;ROUND(H666-AW666,0)&amp;" Stk / CHF "&amp;ROUND((H666-AW666)*G666,0)&amp;"; ","")&amp;IF(AND(CI666=1,CJ666&lt;CK666),"MAX &lt; MB+LG; ","")&amp;IF(AND(CQ666&gt;0,CP666*10&gt;CQ666),"zu hoch für Tablar; ","")&amp;IF(AND(BW666=0,OR(CI666=1,AB666&lt;&gt;"",U666&lt;&gt;"",V666&lt;&gt;"",AC666&lt;&gt;"")),"manuell übersteuert; ","")&amp;IF(AND(CA666=0,R666=0),"Gebinde unbekannt / Stellmass fehlt; ","")&amp;IF(AND(CA666=0,N(V666)&lt;=0,N(Q666)&lt;=0),"Menge pro Gebinde fehlt (Ist = 1 Gebinde); ","")&amp;BV666)</f>
        <v>Kein Verbrauch; Lose – Tablare geschätzt; </v>
      </c>
      <c r="BO666" s="60"/>
      <c r="BP666" s="60"/>
      <c r="BQ666" s="67"/>
      <c r="BR666" s="62" t="n">
        <v>0</v>
      </c>
      <c r="BS666" s="62" t="n">
        <v>0</v>
      </c>
      <c r="BT666" s="61" t="n">
        <v>0</v>
      </c>
      <c r="BU666" s="62" t="n">
        <v>0</v>
      </c>
      <c r="BV666" s="60"/>
      <c r="BW666" s="65" t="n">
        <v>0</v>
      </c>
      <c r="BX666" s="65" t="n">
        <v>666</v>
      </c>
      <c r="BY666" s="60" t="str">
        <f aca="false">IF(U666&lt;&gt;"",UPPER(TRIM(U666)),IF(CB666=1,UPPER(VLOOKUP(T666,Parameter!$I$27:$K$29,2,0)),IF(P666="","LOSE",P666)))</f>
        <v>LOSE</v>
      </c>
      <c r="BZ666" s="62" t="n">
        <f aca="false">IF(BY666="LOSE",1,IF(N(V666)&gt;0,V666,IF(CB666=1,MAX(1,N(VLOOKUP(T666,Parameter!$I$27:$K$29,3,0)),H666,N(N666)),IF(N(Q666)&gt;0,Q666,MAX(1,H666)))))</f>
        <v>1</v>
      </c>
      <c r="CA666" s="65" t="n">
        <f aca="false">IF(BY666="LOSE",1,0)</f>
        <v>1</v>
      </c>
      <c r="CB666" s="65" t="n">
        <f aca="false">IF(AND(U666="",OR(P666="",P666="LOSE"),T666&lt;&gt;"",N(S666)&lt;=0,ISNUMBER(MATCH(T666,Parameter!$I$27:$I$29,0))),1,0)</f>
        <v>0</v>
      </c>
      <c r="CC666" s="65" t="n">
        <f aca="false">IF(CR666&gt;0,INDEX(Parameter!$H$5:$H$7,W666)/INDEX(Parameter!$E$5:$E$7,W666),IF(AND(CA666=0,N(IFERROR(VLOOKUP(BY666,'Gebinde-Kategorie'!$A$5:$N$45,14,0),0))&gt;0),VLOOKUP(BY666,'Gebinde-Kategorie'!$A$5:$N$45,14,0)*10+Parameter!$M$23,Parameter!$M$24))</f>
        <v>235</v>
      </c>
      <c r="CD666" s="60" t="str">
        <f aca="false">IF(AND(Parameter!$B$19="Ja",E666&lt;&gt;"",ISNUMBER(MATCH(E666,Parameter!$I$35:$I$52,0))),VLOOKUP(E666,Parameter!$I$35:$J$52,2,0),IFERROR(VLOOKUP(D666,Parameter!$A$35:$C$64,2,0),"Nein"))</f>
        <v>Nein</v>
      </c>
      <c r="CE666" s="64" t="n">
        <f aca="false">IF(CA666=0,0,IF(N(S666)&gt;0,S666,IFERROR(VLOOKUP(D666,Parameter!$A$35:$C$64,3,0)+0,0)))</f>
        <v>0.15</v>
      </c>
      <c r="CF666" s="60" t="str">
        <f aca="false">IF(AB666&lt;&gt;"",AB666,AA666)</f>
        <v>-</v>
      </c>
      <c r="CG666" s="60" t="str">
        <f aca="false">IF(OR(CF666=1,CF666=2,CF666=3),IF(Parameter!$E$27="Ja","LIFT",IF(CF666=1,"L1","L23")),IF(CF666="Aussen","Aussen","-"))</f>
        <v>-</v>
      </c>
      <c r="CH666" s="71" t="n">
        <f aca="false">IF(N(AC666)&gt;0,AC666,0)</f>
        <v>0</v>
      </c>
      <c r="CI666" s="65" t="n">
        <f aca="false">IF(ISNUMBER(AF666),1,0)</f>
        <v>0</v>
      </c>
      <c r="CJ666" s="62" t="n">
        <f aca="false">N(AF666)</f>
        <v>0</v>
      </c>
      <c r="CK666" s="62" t="n">
        <f aca="false">N(M666)+N(N666)</f>
        <v>1</v>
      </c>
      <c r="CL666" s="62" t="n">
        <f aca="false">N(M666)</f>
        <v>0</v>
      </c>
      <c r="CM666" s="62" t="n">
        <f aca="false">N(N666)</f>
        <v>1</v>
      </c>
      <c r="CN666" s="62" t="n">
        <f aca="false">ROUNDUP(H666/BZ666,0)</f>
        <v>0</v>
      </c>
      <c r="CO666" s="62" t="n">
        <f aca="false">ROUNDUP(CJ666/BZ666,0)</f>
        <v>0</v>
      </c>
      <c r="CP666" s="65" t="n">
        <f aca="false">IF(CA666=1,0,IFERROR(VLOOKUP(BY666,'Gebinde-Kategorie'!$A$5:$N$45,5,0)+0,0))</f>
        <v>0</v>
      </c>
      <c r="CQ666" s="65" t="n">
        <f aca="false">IFERROR(IF(OR(CF666=1,CF666=2,CF666=3),N(INDEX(Parameter!$I$5:$I$7,CF666)),0),0)</f>
        <v>0</v>
      </c>
      <c r="CR666" s="64" t="n">
        <f aca="false">IF(AND(Parameter!$B$21="Ja",ISNUMBER(W666),N(X666)&gt;0),IFERROR(N(INDEX(Parameter!$L$5:$L$7,W666))*INDEX(Parameter!$E$5:$E$7,W666)*X666/SUMIFS($X$7:$X$1843,$W$7:$W$1843,W666),0),0)</f>
        <v>0</v>
      </c>
      <c r="CS666" s="62" t="str">
        <f aca="false">IF(AND(OR(CG666="L1",CG666="L23",CG666="LIFT"),H666&gt;0),CC666*IF(CR666&gt;0,CR666*MAX(1,H666/X666),IF(CA666=1,CE666,IF(R666&gt;0,CN666/R666,0))/MAX(0.1,N(Parameter!$M$21))),"")</f>
        <v/>
      </c>
      <c r="CT666" s="64" t="str">
        <f aca="false">IF(CS666="","",J666/H666)</f>
        <v/>
      </c>
      <c r="CU666" s="62" t="str">
        <f aca="false">IF(CS666="","",H666*G666)</f>
        <v/>
      </c>
      <c r="CV666" s="63" t="str">
        <f aca="false">IF(CS666="","",(CL666+ROUNDUP(CL666+MAX(CM666,2*(J666/MAX(0.1,N(Einkauf!$C$6))-CL666)),0))/2)</f>
        <v/>
      </c>
      <c r="CW666" s="62" t="str">
        <f aca="false">IF(CS666="","",MAX(0,H666-CV666)*G666)</f>
        <v/>
      </c>
      <c r="CX666" s="62" t="str">
        <f aca="false">IF(CS666="","",CS666*MAX(0,1-CV666/H666))</f>
        <v/>
      </c>
      <c r="CY666" s="64" t="str">
        <f aca="false">IF(CS666="","",PERCENTRANK($CS$7:$CS$1843,CS666)+PERCENTRANK($CU$7:$CU$1843,CU666)+1-PERCENTRANK($CT$7:$CT$1843,CT666))</f>
        <v/>
      </c>
      <c r="CZ666" s="72" t="str">
        <f aca="false">IF(CS666="","",CHOOSE(MATCH(Einkauf!$C$5,Parameter!$G$23:$G$27,0),CY666,CS666,CU666,-CT666,CW666)+ROW()/1000000000)</f>
        <v/>
      </c>
    </row>
    <row r="667" customFormat="false" ht="15" hidden="false" customHeight="false" outlineLevel="0" collapsed="false">
      <c r="A667" s="60" t="s">
        <v>1384</v>
      </c>
      <c r="B667" s="60" t="s">
        <v>696</v>
      </c>
      <c r="C667" s="60" t="s">
        <v>206</v>
      </c>
      <c r="D667" s="60" t="s">
        <v>1037</v>
      </c>
      <c r="E667" s="60"/>
      <c r="F667" s="60" t="s">
        <v>260</v>
      </c>
      <c r="G667" s="61" t="n">
        <v>0.61</v>
      </c>
      <c r="H667" s="62" t="n">
        <f aca="false">MAX(0,IF(AND(Parameter!$B$21="Ja",ISNUMBER(Y667)),Y667,IF(Parameter!$B$20="Jahresanfang 2025 + Export",BS667+BR667,BR667)))</f>
        <v>0</v>
      </c>
      <c r="I667" s="62" t="n">
        <f aca="false">H667*G667</f>
        <v>0</v>
      </c>
      <c r="J667" s="62" t="n">
        <f aca="false">BU667*Parameter!$B$18</f>
        <v>60</v>
      </c>
      <c r="K667" s="63" t="n">
        <v>0</v>
      </c>
      <c r="L667" s="64" t="n">
        <v>0</v>
      </c>
      <c r="M667" s="62" t="n">
        <v>0</v>
      </c>
      <c r="N667" s="62" t="n">
        <v>1</v>
      </c>
      <c r="O667" s="65" t="n">
        <v>28</v>
      </c>
      <c r="P667" s="60" t="s">
        <v>210</v>
      </c>
      <c r="Q667" s="62"/>
      <c r="R667" s="65" t="n">
        <f aca="false">IF(CA667=1,0,IFERROR(VLOOKUP(BY667,'Gebinde-Kategorie'!$A$5:$N$45,13,0)+0,0))</f>
        <v>0</v>
      </c>
      <c r="S667" s="66"/>
      <c r="T667" s="67"/>
      <c r="U667" s="67"/>
      <c r="V667" s="67"/>
      <c r="W667" s="60"/>
      <c r="X667" s="62"/>
      <c r="Y667" s="62"/>
      <c r="Z667" s="60"/>
      <c r="AA667" s="60" t="str">
        <f aca="false">IF(A667="","",IF(AND(Parameter!$B$21="Ja",ISNUMBER(W667)),W667,IF(AND(Parameter!$E$27="Ja",ISNUMBER(Z667),CD667&lt;&gt;"Nein"),Z667,IF(CD667="2+3",IF(ISNUMBER(SEARCH("grosser Artikel",BV667)),2,IFERROR(VLOOKUP(BY667,Parameter!$F$35:$G$64,2,0),2)),IF(OR(CD667="Nein",CD667=""),"-",CD667)))))</f>
        <v>-</v>
      </c>
      <c r="AB667" s="67"/>
      <c r="AC667" s="68"/>
      <c r="AD667" s="62" t="n">
        <f aca="false">AW667</f>
        <v>40</v>
      </c>
      <c r="AE667" s="62" t="n">
        <f aca="false">MAX(AW667,H667)</f>
        <v>40</v>
      </c>
      <c r="AF667" s="69"/>
      <c r="AG667" s="62" t="n">
        <f aca="false">IF(LEFT(Cockpit!$C$5,1)="A",H667,IF(Parameter!$E$30="MAX-Bestand",IF(CI667=1,CJ667,IF(LEFT(Cockpit!$C$5,1)="B",AM667,MAX(AM667,H667))),ROUNDUP(AK667,0)))</f>
        <v>0</v>
      </c>
      <c r="AH667" s="62" t="n">
        <f aca="false">IF(CA667=1,0,ROUNDUP(AG667/BZ667,0))</f>
        <v>0</v>
      </c>
      <c r="AI667" s="64" t="n">
        <f aca="false">IF(CR667&gt;0,CR667*MAX(1,AG667/X667),IF(CA667=1,IF(AG667&lt;=0,0,CE667*MAX(1,IF(H667&gt;0,AG667/H667,1))),IF(R667&gt;0,AH667/R667,0))/MAX(0.1,N(Parameter!$M$21)))</f>
        <v>0</v>
      </c>
      <c r="AJ667" s="62" t="n">
        <f aca="false">AI667*CC667</f>
        <v>0</v>
      </c>
      <c r="AK667" s="63" t="n">
        <f aca="false">IF(LEFT(Cockpit!$C$5,1)="A",H667,IF(CI667=1,(CL667+CJ667)/2,IF(LEFT(Cockpit!$C$5,1)="B",(CL667+AM667)/2,MAX((CL667+AM667)/2,H667))))</f>
        <v>0</v>
      </c>
      <c r="AL667" s="62" t="n">
        <f aca="false">AK667*G667</f>
        <v>0</v>
      </c>
      <c r="AM667" s="62" t="n">
        <f aca="false">ROUNDUP(CL667+MAX(CM667,2*(J667/IF(CH667&gt;0,CH667,MAX(0.1,N(Cockpit!$C$6)))-CL667)),0)</f>
        <v>40</v>
      </c>
      <c r="AN667" s="63" t="n">
        <f aca="false">IF(AJ667&gt;0,J667/AJ667,-1)</f>
        <v>-1</v>
      </c>
      <c r="AO667" s="63" t="str">
        <f aca="false">IF(AND(OR(CG667="L1",CG667="L23",CG667="LIFT"),AJ667&gt;0),SUMIFS($AJ$7:$AJ$1843,$CG$7:$CG$1843,CG667,$AN$7:$AN$1843,"&gt;"&amp;AN667)+SUMIFS($AJ$7:$AJ$1843,$CG$7:$CG$1843,CG667,$AN$7:$AN$1843,AN667,$BX$7:$BX$1843,"&lt;="&amp;BX667),"")</f>
        <v/>
      </c>
      <c r="AP667" s="70" t="n">
        <f aca="false">IF(AO667="",0,MAX(0,MIN(1,(IF(CG667="L1",Parameter!$H$5,IF(CG667="L23",Parameter!$H$6+Parameter!$H$7,Parameter!$H$5+Parameter!$H$6+Parameter!$H$7))-(AO667-AJ667))/AJ667)))</f>
        <v>0</v>
      </c>
      <c r="AQ667" s="62" t="n">
        <f aca="false">IF(LEFT(Cockpit!$I$5,1)="A",H667,IF(Parameter!$E$30="MAX-Bestand",IF(CI667=1,CJ667,IF(LEFT(Cockpit!$I$5,1)="B",AW667,MAX(AW667,H667))),ROUNDUP(AU667,0)))</f>
        <v>20</v>
      </c>
      <c r="AR667" s="62" t="n">
        <f aca="false">IF(CA667=1,0,ROUNDUP(AQ667/BZ667,0))</f>
        <v>0</v>
      </c>
      <c r="AS667" s="64" t="n">
        <f aca="false">IF(CR667&gt;0,CR667*MAX(1,AQ667/X667),IF(CA667=1,IF(AQ667&lt;=0,0,CE667*MAX(1,IF(H667&gt;0,AQ667/H667,1))),IF(R667&gt;0,AR667/R667,0))/MAX(0.1,N(Parameter!$M$21)))</f>
        <v>0.15</v>
      </c>
      <c r="AT667" s="62" t="n">
        <f aca="false">AS667*CC667</f>
        <v>35.25</v>
      </c>
      <c r="AU667" s="63" t="n">
        <f aca="false">IF(LEFT(Cockpit!$I$5,1)="A",H667,IF(CI667=1,(CL667+CJ667)/2,IF(LEFT(Cockpit!$I$5,1)="B",(CL667+AW667)/2,MAX((CL667+AW667)/2,H667))))</f>
        <v>20</v>
      </c>
      <c r="AV667" s="62" t="n">
        <f aca="false">AU667*G667</f>
        <v>12.2</v>
      </c>
      <c r="AW667" s="62" t="n">
        <f aca="false">ROUNDUP(CL667+MAX(CM667,2*(J667/IF(CH667&gt;0,CH667,MAX(0.1,N(Cockpit!$I$6)))-CL667)),0)</f>
        <v>40</v>
      </c>
      <c r="AX667" s="63" t="n">
        <f aca="false">IF(AT667&gt;0,J667/AT667,-1)</f>
        <v>1.70212765957447</v>
      </c>
      <c r="AY667" s="63" t="str">
        <f aca="false">IF(AND(OR(CG667="L1",CG667="L23",CG667="LIFT"),AT667&gt;0),SUMIFS($AT$7:$AT$1843,$CG$7:$CG$1843,CG667,$AX$7:$AX$1843,"&gt;"&amp;AX667)+SUMIFS($AT$7:$AT$1843,$CG$7:$CG$1843,CG667,$AX$7:$AX$1843,AX667,$BX$7:$BX$1843,"&lt;="&amp;BX667),"")</f>
        <v/>
      </c>
      <c r="AZ667" s="70" t="n">
        <f aca="false">IF(AY667="",0,MAX(0,MIN(1,(IF(CG667="L1",Parameter!$H$5,IF(CG667="L23",Parameter!$H$6+Parameter!$H$7,Parameter!$H$5+Parameter!$H$6+Parameter!$H$7))-(AY667-AT667))/AT667)))</f>
        <v>0</v>
      </c>
      <c r="BA667" s="62" t="n">
        <f aca="false">IF(LEFT(Cockpit!$O$5,1)="A",H667,IF(Parameter!$E$30="MAX-Bestand",IF(CI667=1,CJ667,IF(LEFT(Cockpit!$O$5,1)="B",BG667,MAX(BG667,H667))),ROUNDUP(BE667,0)))</f>
        <v>15</v>
      </c>
      <c r="BB667" s="62" t="n">
        <f aca="false">IF(CA667=1,0,ROUNDUP(BA667/BZ667,0))</f>
        <v>0</v>
      </c>
      <c r="BC667" s="64" t="n">
        <f aca="false">IF(CR667&gt;0,CR667*MAX(1,BA667/X667),IF(CA667=1,IF(BA667&lt;=0,0,CE667*MAX(1,IF(H667&gt;0,BA667/H667,1))),IF(R667&gt;0,BB667/R667,0))/MAX(0.1,N(Parameter!$M$21)))</f>
        <v>0.15</v>
      </c>
      <c r="BD667" s="62" t="n">
        <f aca="false">BC667*CC667</f>
        <v>35.25</v>
      </c>
      <c r="BE667" s="63" t="n">
        <f aca="false">IF(LEFT(Cockpit!$O$5,1)="A",H667,IF(CI667=1,(CL667+CJ667)/2,IF(LEFT(Cockpit!$O$5,1)="B",(CL667+BG667)/2,MAX((CL667+BG667)/2,H667))))</f>
        <v>15</v>
      </c>
      <c r="BF667" s="62" t="n">
        <f aca="false">BE667*G667</f>
        <v>9.15</v>
      </c>
      <c r="BG667" s="62" t="n">
        <f aca="false">ROUNDUP(CL667+MAX(CM667,2*(J667/IF(CH667&gt;0,CH667,MAX(0.1,N(Cockpit!$O$6)))-CL667)),0)</f>
        <v>30</v>
      </c>
      <c r="BH667" s="63" t="n">
        <f aca="false">IF(BD667&gt;0,J667/BD667,-1)</f>
        <v>1.70212765957447</v>
      </c>
      <c r="BI667" s="63" t="str">
        <f aca="false">IF(AND(OR(CG667="L1",CG667="L23",CG667="LIFT"),BD667&gt;0),SUMIFS($BD$7:$BD$1843,$CG$7:$CG$1843,CG667,$BH$7:$BH$1843,"&gt;"&amp;BH667)+SUMIFS($BD$7:$BD$1843,$CG$7:$CG$1843,CG667,$BH$7:$BH$1843,BH667,$BX$7:$BX$1843,"&lt;="&amp;BX667),"")</f>
        <v/>
      </c>
      <c r="BJ667" s="70" t="n">
        <f aca="false">IF(BI667="",0,MAX(0,MIN(1,(IF(CG667="L1",Parameter!$H$5,IF(CG667="L23",Parameter!$H$6+Parameter!$H$7,Parameter!$H$5+Parameter!$H$6+Parameter!$H$7))-(BI667-BD667))/BD667)))</f>
        <v>0</v>
      </c>
      <c r="BK667" s="60" t="str">
        <f aca="false">IF(AJ667&lt;=0,"",IF(CG667="Aussen","Aussenlager",IF(CG667="-","Nicht im Lift",IF(AP667&gt;=1,"Lift",IF(AP667&lt;=0,"Aussenlager","teilweise")))))</f>
        <v/>
      </c>
      <c r="BL667" s="60" t="str">
        <f aca="false">IF(AT667&lt;=0,"",IF(CG667="Aussen","Aussenlager",IF(CG667="-","Nicht im Lift",IF(AZ667&gt;=1,"Lift",IF(AZ667&lt;=0,"Aussenlager","teilweise")))))</f>
        <v>Nicht im Lift</v>
      </c>
      <c r="BM667" s="60" t="str">
        <f aca="false">IF(BD667&lt;=0,"",IF(CG667="Aussen","Aussenlager",IF(CG667="-","Nicht im Lift",IF(BJ667&gt;=1,"Lift",IF(BJ667&lt;=0,"Aussenlager","teilweise")))))</f>
        <v>Nicht im Lift</v>
      </c>
      <c r="BN667" s="60" t="str">
        <f aca="false">IF(A667="","",IF(BW667=1,"Neu; ","")&amp;IF(AND(BW667=0,BR667&lt;0),"negativer Bestand (Export "&amp;BR667&amp;"); ","")&amp;IF(J667&lt;=0,"Kein Verbrauch; ","")&amp;IF(CR667&gt;0,"Lift "&amp;W667&amp;" lt. Liftbericht (Fach "&amp;X667&amp;" Stk); ",IF(CB667=1,"Gebinde geschätzt ("&amp;T667&amp;"); ",IF(CA667=1,"Lose – Tablare geschätzt; ","")))&amp;IF(H667&gt;AW667,"Überbestand "&amp;ROUND(H667-AW667,0)&amp;" Stk / CHF "&amp;ROUND((H667-AW667)*G667,0)&amp;"; ","")&amp;IF(AND(CI667=1,CJ667&lt;CK667),"MAX &lt; MB+LG; ","")&amp;IF(AND(CQ667&gt;0,CP667*10&gt;CQ667),"zu hoch für Tablar; ","")&amp;IF(AND(BW667=0,OR(CI667=1,AB667&lt;&gt;"",U667&lt;&gt;"",V667&lt;&gt;"",AC667&lt;&gt;"")),"manuell übersteuert; ","")&amp;IF(AND(CA667=0,R667=0),"Gebinde unbekannt / Stellmass fehlt; ","")&amp;IF(AND(CA667=0,N(V667)&lt;=0,N(Q667)&lt;=0),"Menge pro Gebinde fehlt (Ist = 1 Gebinde); ","")&amp;BV667)</f>
        <v>Lose – Tablare geschätzt; </v>
      </c>
      <c r="BO667" s="60"/>
      <c r="BP667" s="60"/>
      <c r="BQ667" s="67"/>
      <c r="BR667" s="62" t="n">
        <v>0</v>
      </c>
      <c r="BS667" s="62" t="n">
        <v>0</v>
      </c>
      <c r="BT667" s="61" t="n">
        <v>0</v>
      </c>
      <c r="BU667" s="62" t="n">
        <v>60</v>
      </c>
      <c r="BV667" s="60"/>
      <c r="BW667" s="65" t="n">
        <v>0</v>
      </c>
      <c r="BX667" s="65" t="n">
        <v>667</v>
      </c>
      <c r="BY667" s="60" t="str">
        <f aca="false">IF(U667&lt;&gt;"",UPPER(TRIM(U667)),IF(CB667=1,UPPER(VLOOKUP(T667,Parameter!$I$27:$K$29,2,0)),IF(P667="","LOSE",P667)))</f>
        <v>LOSE</v>
      </c>
      <c r="BZ667" s="62" t="n">
        <f aca="false">IF(BY667="LOSE",1,IF(N(V667)&gt;0,V667,IF(CB667=1,MAX(1,N(VLOOKUP(T667,Parameter!$I$27:$K$29,3,0)),H667,N(N667)),IF(N(Q667)&gt;0,Q667,MAX(1,H667)))))</f>
        <v>1</v>
      </c>
      <c r="CA667" s="65" t="n">
        <f aca="false">IF(BY667="LOSE",1,0)</f>
        <v>1</v>
      </c>
      <c r="CB667" s="65" t="n">
        <f aca="false">IF(AND(U667="",OR(P667="",P667="LOSE"),T667&lt;&gt;"",N(S667)&lt;=0,ISNUMBER(MATCH(T667,Parameter!$I$27:$I$29,0))),1,0)</f>
        <v>0</v>
      </c>
      <c r="CC667" s="65" t="n">
        <f aca="false">IF(CR667&gt;0,INDEX(Parameter!$H$5:$H$7,W667)/INDEX(Parameter!$E$5:$E$7,W667),IF(AND(CA667=0,N(IFERROR(VLOOKUP(BY667,'Gebinde-Kategorie'!$A$5:$N$45,14,0),0))&gt;0),VLOOKUP(BY667,'Gebinde-Kategorie'!$A$5:$N$45,14,0)*10+Parameter!$M$23,Parameter!$M$24))</f>
        <v>235</v>
      </c>
      <c r="CD667" s="60" t="str">
        <f aca="false">IF(AND(Parameter!$B$19="Ja",E667&lt;&gt;"",ISNUMBER(MATCH(E667,Parameter!$I$35:$I$52,0))),VLOOKUP(E667,Parameter!$I$35:$J$52,2,0),IFERROR(VLOOKUP(D667,Parameter!$A$35:$C$64,2,0),"Nein"))</f>
        <v>Nein</v>
      </c>
      <c r="CE667" s="64" t="n">
        <f aca="false">IF(CA667=0,0,IF(N(S667)&gt;0,S667,IFERROR(VLOOKUP(D667,Parameter!$A$35:$C$64,3,0)+0,0)))</f>
        <v>0.15</v>
      </c>
      <c r="CF667" s="60" t="str">
        <f aca="false">IF(AB667&lt;&gt;"",AB667,AA667)</f>
        <v>-</v>
      </c>
      <c r="CG667" s="60" t="str">
        <f aca="false">IF(OR(CF667=1,CF667=2,CF667=3),IF(Parameter!$E$27="Ja","LIFT",IF(CF667=1,"L1","L23")),IF(CF667="Aussen","Aussen","-"))</f>
        <v>-</v>
      </c>
      <c r="CH667" s="71" t="n">
        <f aca="false">IF(N(AC667)&gt;0,AC667,0)</f>
        <v>0</v>
      </c>
      <c r="CI667" s="65" t="n">
        <f aca="false">IF(ISNUMBER(AF667),1,0)</f>
        <v>0</v>
      </c>
      <c r="CJ667" s="62" t="n">
        <f aca="false">N(AF667)</f>
        <v>0</v>
      </c>
      <c r="CK667" s="62" t="n">
        <f aca="false">N(M667)+N(N667)</f>
        <v>1</v>
      </c>
      <c r="CL667" s="62" t="n">
        <f aca="false">N(M667)</f>
        <v>0</v>
      </c>
      <c r="CM667" s="62" t="n">
        <f aca="false">N(N667)</f>
        <v>1</v>
      </c>
      <c r="CN667" s="62" t="n">
        <f aca="false">ROUNDUP(H667/BZ667,0)</f>
        <v>0</v>
      </c>
      <c r="CO667" s="62" t="n">
        <f aca="false">ROUNDUP(CJ667/BZ667,0)</f>
        <v>0</v>
      </c>
      <c r="CP667" s="65" t="n">
        <f aca="false">IF(CA667=1,0,IFERROR(VLOOKUP(BY667,'Gebinde-Kategorie'!$A$5:$N$45,5,0)+0,0))</f>
        <v>0</v>
      </c>
      <c r="CQ667" s="65" t="n">
        <f aca="false">IFERROR(IF(OR(CF667=1,CF667=2,CF667=3),N(INDEX(Parameter!$I$5:$I$7,CF667)),0),0)</f>
        <v>0</v>
      </c>
      <c r="CR667" s="64" t="n">
        <f aca="false">IF(AND(Parameter!$B$21="Ja",ISNUMBER(W667),N(X667)&gt;0),IFERROR(N(INDEX(Parameter!$L$5:$L$7,W667))*INDEX(Parameter!$E$5:$E$7,W667)*X667/SUMIFS($X$7:$X$1843,$W$7:$W$1843,W667),0),0)</f>
        <v>0</v>
      </c>
      <c r="CS667" s="62" t="str">
        <f aca="false">IF(AND(OR(CG667="L1",CG667="L23",CG667="LIFT"),H667&gt;0),CC667*IF(CR667&gt;0,CR667*MAX(1,H667/X667),IF(CA667=1,CE667,IF(R667&gt;0,CN667/R667,0))/MAX(0.1,N(Parameter!$M$21))),"")</f>
        <v/>
      </c>
      <c r="CT667" s="64" t="str">
        <f aca="false">IF(CS667="","",J667/H667)</f>
        <v/>
      </c>
      <c r="CU667" s="62" t="str">
        <f aca="false">IF(CS667="","",H667*G667)</f>
        <v/>
      </c>
      <c r="CV667" s="63" t="str">
        <f aca="false">IF(CS667="","",(CL667+ROUNDUP(CL667+MAX(CM667,2*(J667/MAX(0.1,N(Einkauf!$C$6))-CL667)),0))/2)</f>
        <v/>
      </c>
      <c r="CW667" s="62" t="str">
        <f aca="false">IF(CS667="","",MAX(0,H667-CV667)*G667)</f>
        <v/>
      </c>
      <c r="CX667" s="62" t="str">
        <f aca="false">IF(CS667="","",CS667*MAX(0,1-CV667/H667))</f>
        <v/>
      </c>
      <c r="CY667" s="64" t="str">
        <f aca="false">IF(CS667="","",PERCENTRANK($CS$7:$CS$1843,CS667)+PERCENTRANK($CU$7:$CU$1843,CU667)+1-PERCENTRANK($CT$7:$CT$1843,CT667))</f>
        <v/>
      </c>
      <c r="CZ667" s="72" t="str">
        <f aca="false">IF(CS667="","",CHOOSE(MATCH(Einkauf!$C$5,Parameter!$G$23:$G$27,0),CY667,CS667,CU667,-CT667,CW667)+ROW()/1000000000)</f>
        <v/>
      </c>
    </row>
    <row r="668" customFormat="false" ht="15" hidden="false" customHeight="false" outlineLevel="0" collapsed="false">
      <c r="A668" s="60" t="s">
        <v>1385</v>
      </c>
      <c r="B668" s="60" t="s">
        <v>1386</v>
      </c>
      <c r="C668" s="60" t="s">
        <v>206</v>
      </c>
      <c r="D668" s="60" t="s">
        <v>1037</v>
      </c>
      <c r="E668" s="60"/>
      <c r="F668" s="60" t="s">
        <v>260</v>
      </c>
      <c r="G668" s="61" t="n">
        <v>2344.22</v>
      </c>
      <c r="H668" s="62" t="n">
        <f aca="false">MAX(0,IF(AND(Parameter!$B$21="Ja",ISNUMBER(Y668)),Y668,IF(Parameter!$B$20="Jahresanfang 2025 + Export",BS668+BR668,BR668)))</f>
        <v>0</v>
      </c>
      <c r="I668" s="62" t="n">
        <f aca="false">H668*G668</f>
        <v>0</v>
      </c>
      <c r="J668" s="62" t="n">
        <f aca="false">BU668*Parameter!$B$18</f>
        <v>4</v>
      </c>
      <c r="K668" s="63" t="n">
        <v>0</v>
      </c>
      <c r="L668" s="64" t="n">
        <v>0</v>
      </c>
      <c r="M668" s="62" t="n">
        <v>0</v>
      </c>
      <c r="N668" s="62" t="n">
        <v>1</v>
      </c>
      <c r="O668" s="65" t="n">
        <v>70</v>
      </c>
      <c r="P668" s="60" t="s">
        <v>210</v>
      </c>
      <c r="Q668" s="62"/>
      <c r="R668" s="65" t="n">
        <f aca="false">IF(CA668=1,0,IFERROR(VLOOKUP(BY668,'Gebinde-Kategorie'!$A$5:$N$45,13,0)+0,0))</f>
        <v>0</v>
      </c>
      <c r="S668" s="66"/>
      <c r="T668" s="67"/>
      <c r="U668" s="67"/>
      <c r="V668" s="67"/>
      <c r="W668" s="60"/>
      <c r="X668" s="62"/>
      <c r="Y668" s="62"/>
      <c r="Z668" s="60"/>
      <c r="AA668" s="60" t="str">
        <f aca="false">IF(A668="","",IF(AND(Parameter!$B$21="Ja",ISNUMBER(W668)),W668,IF(AND(Parameter!$E$27="Ja",ISNUMBER(Z668),CD668&lt;&gt;"Nein"),Z668,IF(CD668="2+3",IF(ISNUMBER(SEARCH("grosser Artikel",BV668)),2,IFERROR(VLOOKUP(BY668,Parameter!$F$35:$G$64,2,0),2)),IF(OR(CD668="Nein",CD668=""),"-",CD668)))))</f>
        <v>-</v>
      </c>
      <c r="AB668" s="67"/>
      <c r="AC668" s="68"/>
      <c r="AD668" s="62" t="n">
        <f aca="false">AW668</f>
        <v>3</v>
      </c>
      <c r="AE668" s="62" t="n">
        <f aca="false">MAX(AW668,H668)</f>
        <v>3</v>
      </c>
      <c r="AF668" s="69"/>
      <c r="AG668" s="62" t="n">
        <f aca="false">IF(LEFT(Cockpit!$C$5,1)="A",H668,IF(Parameter!$E$30="MAX-Bestand",IF(CI668=1,CJ668,IF(LEFT(Cockpit!$C$5,1)="B",AM668,MAX(AM668,H668))),ROUNDUP(AK668,0)))</f>
        <v>0</v>
      </c>
      <c r="AH668" s="62" t="n">
        <f aca="false">IF(CA668=1,0,ROUNDUP(AG668/BZ668,0))</f>
        <v>0</v>
      </c>
      <c r="AI668" s="64" t="n">
        <f aca="false">IF(CR668&gt;0,CR668*MAX(1,AG668/X668),IF(CA668=1,IF(AG668&lt;=0,0,CE668*MAX(1,IF(H668&gt;0,AG668/H668,1))),IF(R668&gt;0,AH668/R668,0))/MAX(0.1,N(Parameter!$M$21)))</f>
        <v>0</v>
      </c>
      <c r="AJ668" s="62" t="n">
        <f aca="false">AI668*CC668</f>
        <v>0</v>
      </c>
      <c r="AK668" s="63" t="n">
        <f aca="false">IF(LEFT(Cockpit!$C$5,1)="A",H668,IF(CI668=1,(CL668+CJ668)/2,IF(LEFT(Cockpit!$C$5,1)="B",(CL668+AM668)/2,MAX((CL668+AM668)/2,H668))))</f>
        <v>0</v>
      </c>
      <c r="AL668" s="62" t="n">
        <f aca="false">AK668*G668</f>
        <v>0</v>
      </c>
      <c r="AM668" s="62" t="n">
        <f aca="false">ROUNDUP(CL668+MAX(CM668,2*(J668/IF(CH668&gt;0,CH668,MAX(0.1,N(Cockpit!$C$6)))-CL668)),0)</f>
        <v>3</v>
      </c>
      <c r="AN668" s="63" t="n">
        <f aca="false">IF(AJ668&gt;0,J668/AJ668,-1)</f>
        <v>-1</v>
      </c>
      <c r="AO668" s="63" t="str">
        <f aca="false">IF(AND(OR(CG668="L1",CG668="L23",CG668="LIFT"),AJ668&gt;0),SUMIFS($AJ$7:$AJ$1843,$CG$7:$CG$1843,CG668,$AN$7:$AN$1843,"&gt;"&amp;AN668)+SUMIFS($AJ$7:$AJ$1843,$CG$7:$CG$1843,CG668,$AN$7:$AN$1843,AN668,$BX$7:$BX$1843,"&lt;="&amp;BX668),"")</f>
        <v/>
      </c>
      <c r="AP668" s="70" t="n">
        <f aca="false">IF(AO668="",0,MAX(0,MIN(1,(IF(CG668="L1",Parameter!$H$5,IF(CG668="L23",Parameter!$H$6+Parameter!$H$7,Parameter!$H$5+Parameter!$H$6+Parameter!$H$7))-(AO668-AJ668))/AJ668)))</f>
        <v>0</v>
      </c>
      <c r="AQ668" s="62" t="n">
        <f aca="false">IF(LEFT(Cockpit!$I$5,1)="A",H668,IF(Parameter!$E$30="MAX-Bestand",IF(CI668=1,CJ668,IF(LEFT(Cockpit!$I$5,1)="B",AW668,MAX(AW668,H668))),ROUNDUP(AU668,0)))</f>
        <v>2</v>
      </c>
      <c r="AR668" s="62" t="n">
        <f aca="false">IF(CA668=1,0,ROUNDUP(AQ668/BZ668,0))</f>
        <v>0</v>
      </c>
      <c r="AS668" s="64" t="n">
        <f aca="false">IF(CR668&gt;0,CR668*MAX(1,AQ668/X668),IF(CA668=1,IF(AQ668&lt;=0,0,CE668*MAX(1,IF(H668&gt;0,AQ668/H668,1))),IF(R668&gt;0,AR668/R668,0))/MAX(0.1,N(Parameter!$M$21)))</f>
        <v>0.15</v>
      </c>
      <c r="AT668" s="62" t="n">
        <f aca="false">AS668*CC668</f>
        <v>35.25</v>
      </c>
      <c r="AU668" s="63" t="n">
        <f aca="false">IF(LEFT(Cockpit!$I$5,1)="A",H668,IF(CI668=1,(CL668+CJ668)/2,IF(LEFT(Cockpit!$I$5,1)="B",(CL668+AW668)/2,MAX((CL668+AW668)/2,H668))))</f>
        <v>1.5</v>
      </c>
      <c r="AV668" s="62" t="n">
        <f aca="false">AU668*G668</f>
        <v>3516.33</v>
      </c>
      <c r="AW668" s="62" t="n">
        <f aca="false">ROUNDUP(CL668+MAX(CM668,2*(J668/IF(CH668&gt;0,CH668,MAX(0.1,N(Cockpit!$I$6)))-CL668)),0)</f>
        <v>3</v>
      </c>
      <c r="AX668" s="63" t="n">
        <f aca="false">IF(AT668&gt;0,J668/AT668,-1)</f>
        <v>0.113475177304965</v>
      </c>
      <c r="AY668" s="63" t="str">
        <f aca="false">IF(AND(OR(CG668="L1",CG668="L23",CG668="LIFT"),AT668&gt;0),SUMIFS($AT$7:$AT$1843,$CG$7:$CG$1843,CG668,$AX$7:$AX$1843,"&gt;"&amp;AX668)+SUMIFS($AT$7:$AT$1843,$CG$7:$CG$1843,CG668,$AX$7:$AX$1843,AX668,$BX$7:$BX$1843,"&lt;="&amp;BX668),"")</f>
        <v/>
      </c>
      <c r="AZ668" s="70" t="n">
        <f aca="false">IF(AY668="",0,MAX(0,MIN(1,(IF(CG668="L1",Parameter!$H$5,IF(CG668="L23",Parameter!$H$6+Parameter!$H$7,Parameter!$H$5+Parameter!$H$6+Parameter!$H$7))-(AY668-AT668))/AT668)))</f>
        <v>0</v>
      </c>
      <c r="BA668" s="62" t="n">
        <f aca="false">IF(LEFT(Cockpit!$O$5,1)="A",H668,IF(Parameter!$E$30="MAX-Bestand",IF(CI668=1,CJ668,IF(LEFT(Cockpit!$O$5,1)="B",BG668,MAX(BG668,H668))),ROUNDUP(BE668,0)))</f>
        <v>1</v>
      </c>
      <c r="BB668" s="62" t="n">
        <f aca="false">IF(CA668=1,0,ROUNDUP(BA668/BZ668,0))</f>
        <v>0</v>
      </c>
      <c r="BC668" s="64" t="n">
        <f aca="false">IF(CR668&gt;0,CR668*MAX(1,BA668/X668),IF(CA668=1,IF(BA668&lt;=0,0,CE668*MAX(1,IF(H668&gt;0,BA668/H668,1))),IF(R668&gt;0,BB668/R668,0))/MAX(0.1,N(Parameter!$M$21)))</f>
        <v>0.15</v>
      </c>
      <c r="BD668" s="62" t="n">
        <f aca="false">BC668*CC668</f>
        <v>35.25</v>
      </c>
      <c r="BE668" s="63" t="n">
        <f aca="false">IF(LEFT(Cockpit!$O$5,1)="A",H668,IF(CI668=1,(CL668+CJ668)/2,IF(LEFT(Cockpit!$O$5,1)="B",(CL668+BG668)/2,MAX((CL668+BG668)/2,H668))))</f>
        <v>1</v>
      </c>
      <c r="BF668" s="62" t="n">
        <f aca="false">BE668*G668</f>
        <v>2344.22</v>
      </c>
      <c r="BG668" s="62" t="n">
        <f aca="false">ROUNDUP(CL668+MAX(CM668,2*(J668/IF(CH668&gt;0,CH668,MAX(0.1,N(Cockpit!$O$6)))-CL668)),0)</f>
        <v>2</v>
      </c>
      <c r="BH668" s="63" t="n">
        <f aca="false">IF(BD668&gt;0,J668/BD668,-1)</f>
        <v>0.113475177304965</v>
      </c>
      <c r="BI668" s="63" t="str">
        <f aca="false">IF(AND(OR(CG668="L1",CG668="L23",CG668="LIFT"),BD668&gt;0),SUMIFS($BD$7:$BD$1843,$CG$7:$CG$1843,CG668,$BH$7:$BH$1843,"&gt;"&amp;BH668)+SUMIFS($BD$7:$BD$1843,$CG$7:$CG$1843,CG668,$BH$7:$BH$1843,BH668,$BX$7:$BX$1843,"&lt;="&amp;BX668),"")</f>
        <v/>
      </c>
      <c r="BJ668" s="70" t="n">
        <f aca="false">IF(BI668="",0,MAX(0,MIN(1,(IF(CG668="L1",Parameter!$H$5,IF(CG668="L23",Parameter!$H$6+Parameter!$H$7,Parameter!$H$5+Parameter!$H$6+Parameter!$H$7))-(BI668-BD668))/BD668)))</f>
        <v>0</v>
      </c>
      <c r="BK668" s="60" t="str">
        <f aca="false">IF(AJ668&lt;=0,"",IF(CG668="Aussen","Aussenlager",IF(CG668="-","Nicht im Lift",IF(AP668&gt;=1,"Lift",IF(AP668&lt;=0,"Aussenlager","teilweise")))))</f>
        <v/>
      </c>
      <c r="BL668" s="60" t="str">
        <f aca="false">IF(AT668&lt;=0,"",IF(CG668="Aussen","Aussenlager",IF(CG668="-","Nicht im Lift",IF(AZ668&gt;=1,"Lift",IF(AZ668&lt;=0,"Aussenlager","teilweise")))))</f>
        <v>Nicht im Lift</v>
      </c>
      <c r="BM668" s="60" t="str">
        <f aca="false">IF(BD668&lt;=0,"",IF(CG668="Aussen","Aussenlager",IF(CG668="-","Nicht im Lift",IF(BJ668&gt;=1,"Lift",IF(BJ668&lt;=0,"Aussenlager","teilweise")))))</f>
        <v>Nicht im Lift</v>
      </c>
      <c r="BN668" s="60" t="str">
        <f aca="false">IF(A668="","",IF(BW668=1,"Neu; ","")&amp;IF(AND(BW668=0,BR668&lt;0),"negativer Bestand (Export "&amp;BR668&amp;"); ","")&amp;IF(J668&lt;=0,"Kein Verbrauch; ","")&amp;IF(CR668&gt;0,"Lift "&amp;W668&amp;" lt. Liftbericht (Fach "&amp;X668&amp;" Stk); ",IF(CB668=1,"Gebinde geschätzt ("&amp;T668&amp;"); ",IF(CA668=1,"Lose – Tablare geschätzt; ","")))&amp;IF(H668&gt;AW668,"Überbestand "&amp;ROUND(H668-AW668,0)&amp;" Stk / CHF "&amp;ROUND((H668-AW668)*G668,0)&amp;"; ","")&amp;IF(AND(CI668=1,CJ668&lt;CK668),"MAX &lt; MB+LG; ","")&amp;IF(AND(CQ668&gt;0,CP668*10&gt;CQ668),"zu hoch für Tablar; ","")&amp;IF(AND(BW668=0,OR(CI668=1,AB668&lt;&gt;"",U668&lt;&gt;"",V668&lt;&gt;"",AC668&lt;&gt;"")),"manuell übersteuert; ","")&amp;IF(AND(CA668=0,R668=0),"Gebinde unbekannt / Stellmass fehlt; ","")&amp;IF(AND(CA668=0,N(V668)&lt;=0,N(Q668)&lt;=0),"Menge pro Gebinde fehlt (Ist = 1 Gebinde); ","")&amp;BV668)</f>
        <v>Lose – Tablare geschätzt; </v>
      </c>
      <c r="BO668" s="60"/>
      <c r="BP668" s="60"/>
      <c r="BQ668" s="67"/>
      <c r="BR668" s="62" t="n">
        <v>0</v>
      </c>
      <c r="BS668" s="62" t="n">
        <v>0</v>
      </c>
      <c r="BT668" s="61" t="n">
        <v>0</v>
      </c>
      <c r="BU668" s="62" t="n">
        <v>4</v>
      </c>
      <c r="BV668" s="60"/>
      <c r="BW668" s="65" t="n">
        <v>0</v>
      </c>
      <c r="BX668" s="65" t="n">
        <v>668</v>
      </c>
      <c r="BY668" s="60" t="str">
        <f aca="false">IF(U668&lt;&gt;"",UPPER(TRIM(U668)),IF(CB668=1,UPPER(VLOOKUP(T668,Parameter!$I$27:$K$29,2,0)),IF(P668="","LOSE",P668)))</f>
        <v>LOSE</v>
      </c>
      <c r="BZ668" s="62" t="n">
        <f aca="false">IF(BY668="LOSE",1,IF(N(V668)&gt;0,V668,IF(CB668=1,MAX(1,N(VLOOKUP(T668,Parameter!$I$27:$K$29,3,0)),H668,N(N668)),IF(N(Q668)&gt;0,Q668,MAX(1,H668)))))</f>
        <v>1</v>
      </c>
      <c r="CA668" s="65" t="n">
        <f aca="false">IF(BY668="LOSE",1,0)</f>
        <v>1</v>
      </c>
      <c r="CB668" s="65" t="n">
        <f aca="false">IF(AND(U668="",OR(P668="",P668="LOSE"),T668&lt;&gt;"",N(S668)&lt;=0,ISNUMBER(MATCH(T668,Parameter!$I$27:$I$29,0))),1,0)</f>
        <v>0</v>
      </c>
      <c r="CC668" s="65" t="n">
        <f aca="false">IF(CR668&gt;0,INDEX(Parameter!$H$5:$H$7,W668)/INDEX(Parameter!$E$5:$E$7,W668),IF(AND(CA668=0,N(IFERROR(VLOOKUP(BY668,'Gebinde-Kategorie'!$A$5:$N$45,14,0),0))&gt;0),VLOOKUP(BY668,'Gebinde-Kategorie'!$A$5:$N$45,14,0)*10+Parameter!$M$23,Parameter!$M$24))</f>
        <v>235</v>
      </c>
      <c r="CD668" s="60" t="str">
        <f aca="false">IF(AND(Parameter!$B$19="Ja",E668&lt;&gt;"",ISNUMBER(MATCH(E668,Parameter!$I$35:$I$52,0))),VLOOKUP(E668,Parameter!$I$35:$J$52,2,0),IFERROR(VLOOKUP(D668,Parameter!$A$35:$C$64,2,0),"Nein"))</f>
        <v>Nein</v>
      </c>
      <c r="CE668" s="64" t="n">
        <f aca="false">IF(CA668=0,0,IF(N(S668)&gt;0,S668,IFERROR(VLOOKUP(D668,Parameter!$A$35:$C$64,3,0)+0,0)))</f>
        <v>0.15</v>
      </c>
      <c r="CF668" s="60" t="str">
        <f aca="false">IF(AB668&lt;&gt;"",AB668,AA668)</f>
        <v>-</v>
      </c>
      <c r="CG668" s="60" t="str">
        <f aca="false">IF(OR(CF668=1,CF668=2,CF668=3),IF(Parameter!$E$27="Ja","LIFT",IF(CF668=1,"L1","L23")),IF(CF668="Aussen","Aussen","-"))</f>
        <v>-</v>
      </c>
      <c r="CH668" s="71" t="n">
        <f aca="false">IF(N(AC668)&gt;0,AC668,0)</f>
        <v>0</v>
      </c>
      <c r="CI668" s="65" t="n">
        <f aca="false">IF(ISNUMBER(AF668),1,0)</f>
        <v>0</v>
      </c>
      <c r="CJ668" s="62" t="n">
        <f aca="false">N(AF668)</f>
        <v>0</v>
      </c>
      <c r="CK668" s="62" t="n">
        <f aca="false">N(M668)+N(N668)</f>
        <v>1</v>
      </c>
      <c r="CL668" s="62" t="n">
        <f aca="false">N(M668)</f>
        <v>0</v>
      </c>
      <c r="CM668" s="62" t="n">
        <f aca="false">N(N668)</f>
        <v>1</v>
      </c>
      <c r="CN668" s="62" t="n">
        <f aca="false">ROUNDUP(H668/BZ668,0)</f>
        <v>0</v>
      </c>
      <c r="CO668" s="62" t="n">
        <f aca="false">ROUNDUP(CJ668/BZ668,0)</f>
        <v>0</v>
      </c>
      <c r="CP668" s="65" t="n">
        <f aca="false">IF(CA668=1,0,IFERROR(VLOOKUP(BY668,'Gebinde-Kategorie'!$A$5:$N$45,5,0)+0,0))</f>
        <v>0</v>
      </c>
      <c r="CQ668" s="65" t="n">
        <f aca="false">IFERROR(IF(OR(CF668=1,CF668=2,CF668=3),N(INDEX(Parameter!$I$5:$I$7,CF668)),0),0)</f>
        <v>0</v>
      </c>
      <c r="CR668" s="64" t="n">
        <f aca="false">IF(AND(Parameter!$B$21="Ja",ISNUMBER(W668),N(X668)&gt;0),IFERROR(N(INDEX(Parameter!$L$5:$L$7,W668))*INDEX(Parameter!$E$5:$E$7,W668)*X668/SUMIFS($X$7:$X$1843,$W$7:$W$1843,W668),0),0)</f>
        <v>0</v>
      </c>
      <c r="CS668" s="62" t="str">
        <f aca="false">IF(AND(OR(CG668="L1",CG668="L23",CG668="LIFT"),H668&gt;0),CC668*IF(CR668&gt;0,CR668*MAX(1,H668/X668),IF(CA668=1,CE668,IF(R668&gt;0,CN668/R668,0))/MAX(0.1,N(Parameter!$M$21))),"")</f>
        <v/>
      </c>
      <c r="CT668" s="64" t="str">
        <f aca="false">IF(CS668="","",J668/H668)</f>
        <v/>
      </c>
      <c r="CU668" s="62" t="str">
        <f aca="false">IF(CS668="","",H668*G668)</f>
        <v/>
      </c>
      <c r="CV668" s="63" t="str">
        <f aca="false">IF(CS668="","",(CL668+ROUNDUP(CL668+MAX(CM668,2*(J668/MAX(0.1,N(Einkauf!$C$6))-CL668)),0))/2)</f>
        <v/>
      </c>
      <c r="CW668" s="62" t="str">
        <f aca="false">IF(CS668="","",MAX(0,H668-CV668)*G668)</f>
        <v/>
      </c>
      <c r="CX668" s="62" t="str">
        <f aca="false">IF(CS668="","",CS668*MAX(0,1-CV668/H668))</f>
        <v/>
      </c>
      <c r="CY668" s="64" t="str">
        <f aca="false">IF(CS668="","",PERCENTRANK($CS$7:$CS$1843,CS668)+PERCENTRANK($CU$7:$CU$1843,CU668)+1-PERCENTRANK($CT$7:$CT$1843,CT668))</f>
        <v/>
      </c>
      <c r="CZ668" s="72" t="str">
        <f aca="false">IF(CS668="","",CHOOSE(MATCH(Einkauf!$C$5,Parameter!$G$23:$G$27,0),CY668,CS668,CU668,-CT668,CW668)+ROW()/1000000000)</f>
        <v/>
      </c>
    </row>
    <row r="669" customFormat="false" ht="15" hidden="false" customHeight="false" outlineLevel="0" collapsed="false">
      <c r="A669" s="60" t="s">
        <v>1387</v>
      </c>
      <c r="B669" s="60" t="s">
        <v>248</v>
      </c>
      <c r="C669" s="60" t="s">
        <v>206</v>
      </c>
      <c r="D669" s="60" t="s">
        <v>1037</v>
      </c>
      <c r="E669" s="60"/>
      <c r="F669" s="60" t="s">
        <v>260</v>
      </c>
      <c r="G669" s="61" t="n">
        <v>4681.1</v>
      </c>
      <c r="H669" s="62" t="n">
        <f aca="false">MAX(0,IF(AND(Parameter!$B$21="Ja",ISNUMBER(Y669)),Y669,IF(Parameter!$B$20="Jahresanfang 2025 + Export",BS669+BR669,BR669)))</f>
        <v>0</v>
      </c>
      <c r="I669" s="62" t="n">
        <f aca="false">H669*G669</f>
        <v>0</v>
      </c>
      <c r="J669" s="62" t="n">
        <f aca="false">BU669*Parameter!$B$18</f>
        <v>3</v>
      </c>
      <c r="K669" s="63" t="n">
        <v>0</v>
      </c>
      <c r="L669" s="64" t="n">
        <v>0</v>
      </c>
      <c r="M669" s="62" t="n">
        <v>0</v>
      </c>
      <c r="N669" s="62" t="n">
        <v>1</v>
      </c>
      <c r="O669" s="65" t="n">
        <v>70</v>
      </c>
      <c r="P669" s="60" t="s">
        <v>210</v>
      </c>
      <c r="Q669" s="62"/>
      <c r="R669" s="65" t="n">
        <f aca="false">IF(CA669=1,0,IFERROR(VLOOKUP(BY669,'Gebinde-Kategorie'!$A$5:$N$45,13,0)+0,0))</f>
        <v>0</v>
      </c>
      <c r="S669" s="66"/>
      <c r="T669" s="67"/>
      <c r="U669" s="67"/>
      <c r="V669" s="67"/>
      <c r="W669" s="60"/>
      <c r="X669" s="62"/>
      <c r="Y669" s="62"/>
      <c r="Z669" s="60"/>
      <c r="AA669" s="60" t="str">
        <f aca="false">IF(A669="","",IF(AND(Parameter!$B$21="Ja",ISNUMBER(W669)),W669,IF(AND(Parameter!$E$27="Ja",ISNUMBER(Z669),CD669&lt;&gt;"Nein"),Z669,IF(CD669="2+3",IF(ISNUMBER(SEARCH("grosser Artikel",BV669)),2,IFERROR(VLOOKUP(BY669,Parameter!$F$35:$G$64,2,0),2)),IF(OR(CD669="Nein",CD669=""),"-",CD669)))))</f>
        <v>-</v>
      </c>
      <c r="AB669" s="67"/>
      <c r="AC669" s="68"/>
      <c r="AD669" s="62" t="n">
        <f aca="false">AW669</f>
        <v>2</v>
      </c>
      <c r="AE669" s="62" t="n">
        <f aca="false">MAX(AW669,H669)</f>
        <v>2</v>
      </c>
      <c r="AF669" s="69"/>
      <c r="AG669" s="62" t="n">
        <f aca="false">IF(LEFT(Cockpit!$C$5,1)="A",H669,IF(Parameter!$E$30="MAX-Bestand",IF(CI669=1,CJ669,IF(LEFT(Cockpit!$C$5,1)="B",AM669,MAX(AM669,H669))),ROUNDUP(AK669,0)))</f>
        <v>0</v>
      </c>
      <c r="AH669" s="62" t="n">
        <f aca="false">IF(CA669=1,0,ROUNDUP(AG669/BZ669,0))</f>
        <v>0</v>
      </c>
      <c r="AI669" s="64" t="n">
        <f aca="false">IF(CR669&gt;0,CR669*MAX(1,AG669/X669),IF(CA669=1,IF(AG669&lt;=0,0,CE669*MAX(1,IF(H669&gt;0,AG669/H669,1))),IF(R669&gt;0,AH669/R669,0))/MAX(0.1,N(Parameter!$M$21)))</f>
        <v>0</v>
      </c>
      <c r="AJ669" s="62" t="n">
        <f aca="false">AI669*CC669</f>
        <v>0</v>
      </c>
      <c r="AK669" s="63" t="n">
        <f aca="false">IF(LEFT(Cockpit!$C$5,1)="A",H669,IF(CI669=1,(CL669+CJ669)/2,IF(LEFT(Cockpit!$C$5,1)="B",(CL669+AM669)/2,MAX((CL669+AM669)/2,H669))))</f>
        <v>0</v>
      </c>
      <c r="AL669" s="62" t="n">
        <f aca="false">AK669*G669</f>
        <v>0</v>
      </c>
      <c r="AM669" s="62" t="n">
        <f aca="false">ROUNDUP(CL669+MAX(CM669,2*(J669/IF(CH669&gt;0,CH669,MAX(0.1,N(Cockpit!$C$6)))-CL669)),0)</f>
        <v>2</v>
      </c>
      <c r="AN669" s="63" t="n">
        <f aca="false">IF(AJ669&gt;0,J669/AJ669,-1)</f>
        <v>-1</v>
      </c>
      <c r="AO669" s="63" t="str">
        <f aca="false">IF(AND(OR(CG669="L1",CG669="L23",CG669="LIFT"),AJ669&gt;0),SUMIFS($AJ$7:$AJ$1843,$CG$7:$CG$1843,CG669,$AN$7:$AN$1843,"&gt;"&amp;AN669)+SUMIFS($AJ$7:$AJ$1843,$CG$7:$CG$1843,CG669,$AN$7:$AN$1843,AN669,$BX$7:$BX$1843,"&lt;="&amp;BX669),"")</f>
        <v/>
      </c>
      <c r="AP669" s="70" t="n">
        <f aca="false">IF(AO669="",0,MAX(0,MIN(1,(IF(CG669="L1",Parameter!$H$5,IF(CG669="L23",Parameter!$H$6+Parameter!$H$7,Parameter!$H$5+Parameter!$H$6+Parameter!$H$7))-(AO669-AJ669))/AJ669)))</f>
        <v>0</v>
      </c>
      <c r="AQ669" s="62" t="n">
        <f aca="false">IF(LEFT(Cockpit!$I$5,1)="A",H669,IF(Parameter!$E$30="MAX-Bestand",IF(CI669=1,CJ669,IF(LEFT(Cockpit!$I$5,1)="B",AW669,MAX(AW669,H669))),ROUNDUP(AU669,0)))</f>
        <v>1</v>
      </c>
      <c r="AR669" s="62" t="n">
        <f aca="false">IF(CA669=1,0,ROUNDUP(AQ669/BZ669,0))</f>
        <v>0</v>
      </c>
      <c r="AS669" s="64" t="n">
        <f aca="false">IF(CR669&gt;0,CR669*MAX(1,AQ669/X669),IF(CA669=1,IF(AQ669&lt;=0,0,CE669*MAX(1,IF(H669&gt;0,AQ669/H669,1))),IF(R669&gt;0,AR669/R669,0))/MAX(0.1,N(Parameter!$M$21)))</f>
        <v>0.15</v>
      </c>
      <c r="AT669" s="62" t="n">
        <f aca="false">AS669*CC669</f>
        <v>35.25</v>
      </c>
      <c r="AU669" s="63" t="n">
        <f aca="false">IF(LEFT(Cockpit!$I$5,1)="A",H669,IF(CI669=1,(CL669+CJ669)/2,IF(LEFT(Cockpit!$I$5,1)="B",(CL669+AW669)/2,MAX((CL669+AW669)/2,H669))))</f>
        <v>1</v>
      </c>
      <c r="AV669" s="62" t="n">
        <f aca="false">AU669*G669</f>
        <v>4681.1</v>
      </c>
      <c r="AW669" s="62" t="n">
        <f aca="false">ROUNDUP(CL669+MAX(CM669,2*(J669/IF(CH669&gt;0,CH669,MAX(0.1,N(Cockpit!$I$6)))-CL669)),0)</f>
        <v>2</v>
      </c>
      <c r="AX669" s="63" t="n">
        <f aca="false">IF(AT669&gt;0,J669/AT669,-1)</f>
        <v>0.0851063829787234</v>
      </c>
      <c r="AY669" s="63" t="str">
        <f aca="false">IF(AND(OR(CG669="L1",CG669="L23",CG669="LIFT"),AT669&gt;0),SUMIFS($AT$7:$AT$1843,$CG$7:$CG$1843,CG669,$AX$7:$AX$1843,"&gt;"&amp;AX669)+SUMIFS($AT$7:$AT$1843,$CG$7:$CG$1843,CG669,$AX$7:$AX$1843,AX669,$BX$7:$BX$1843,"&lt;="&amp;BX669),"")</f>
        <v/>
      </c>
      <c r="AZ669" s="70" t="n">
        <f aca="false">IF(AY669="",0,MAX(0,MIN(1,(IF(CG669="L1",Parameter!$H$5,IF(CG669="L23",Parameter!$H$6+Parameter!$H$7,Parameter!$H$5+Parameter!$H$6+Parameter!$H$7))-(AY669-AT669))/AT669)))</f>
        <v>0</v>
      </c>
      <c r="BA669" s="62" t="n">
        <f aca="false">IF(LEFT(Cockpit!$O$5,1)="A",H669,IF(Parameter!$E$30="MAX-Bestand",IF(CI669=1,CJ669,IF(LEFT(Cockpit!$O$5,1)="B",BG669,MAX(BG669,H669))),ROUNDUP(BE669,0)))</f>
        <v>1</v>
      </c>
      <c r="BB669" s="62" t="n">
        <f aca="false">IF(CA669=1,0,ROUNDUP(BA669/BZ669,0))</f>
        <v>0</v>
      </c>
      <c r="BC669" s="64" t="n">
        <f aca="false">IF(CR669&gt;0,CR669*MAX(1,BA669/X669),IF(CA669=1,IF(BA669&lt;=0,0,CE669*MAX(1,IF(H669&gt;0,BA669/H669,1))),IF(R669&gt;0,BB669/R669,0))/MAX(0.1,N(Parameter!$M$21)))</f>
        <v>0.15</v>
      </c>
      <c r="BD669" s="62" t="n">
        <f aca="false">BC669*CC669</f>
        <v>35.25</v>
      </c>
      <c r="BE669" s="63" t="n">
        <f aca="false">IF(LEFT(Cockpit!$O$5,1)="A",H669,IF(CI669=1,(CL669+CJ669)/2,IF(LEFT(Cockpit!$O$5,1)="B",(CL669+BG669)/2,MAX((CL669+BG669)/2,H669))))</f>
        <v>1</v>
      </c>
      <c r="BF669" s="62" t="n">
        <f aca="false">BE669*G669</f>
        <v>4681.1</v>
      </c>
      <c r="BG669" s="62" t="n">
        <f aca="false">ROUNDUP(CL669+MAX(CM669,2*(J669/IF(CH669&gt;0,CH669,MAX(0.1,N(Cockpit!$O$6)))-CL669)),0)</f>
        <v>2</v>
      </c>
      <c r="BH669" s="63" t="n">
        <f aca="false">IF(BD669&gt;0,J669/BD669,-1)</f>
        <v>0.0851063829787234</v>
      </c>
      <c r="BI669" s="63" t="str">
        <f aca="false">IF(AND(OR(CG669="L1",CG669="L23",CG669="LIFT"),BD669&gt;0),SUMIFS($BD$7:$BD$1843,$CG$7:$CG$1843,CG669,$BH$7:$BH$1843,"&gt;"&amp;BH669)+SUMIFS($BD$7:$BD$1843,$CG$7:$CG$1843,CG669,$BH$7:$BH$1843,BH669,$BX$7:$BX$1843,"&lt;="&amp;BX669),"")</f>
        <v/>
      </c>
      <c r="BJ669" s="70" t="n">
        <f aca="false">IF(BI669="",0,MAX(0,MIN(1,(IF(CG669="L1",Parameter!$H$5,IF(CG669="L23",Parameter!$H$6+Parameter!$H$7,Parameter!$H$5+Parameter!$H$6+Parameter!$H$7))-(BI669-BD669))/BD669)))</f>
        <v>0</v>
      </c>
      <c r="BK669" s="60" t="str">
        <f aca="false">IF(AJ669&lt;=0,"",IF(CG669="Aussen","Aussenlager",IF(CG669="-","Nicht im Lift",IF(AP669&gt;=1,"Lift",IF(AP669&lt;=0,"Aussenlager","teilweise")))))</f>
        <v/>
      </c>
      <c r="BL669" s="60" t="str">
        <f aca="false">IF(AT669&lt;=0,"",IF(CG669="Aussen","Aussenlager",IF(CG669="-","Nicht im Lift",IF(AZ669&gt;=1,"Lift",IF(AZ669&lt;=0,"Aussenlager","teilweise")))))</f>
        <v>Nicht im Lift</v>
      </c>
      <c r="BM669" s="60" t="str">
        <f aca="false">IF(BD669&lt;=0,"",IF(CG669="Aussen","Aussenlager",IF(CG669="-","Nicht im Lift",IF(BJ669&gt;=1,"Lift",IF(BJ669&lt;=0,"Aussenlager","teilweise")))))</f>
        <v>Nicht im Lift</v>
      </c>
      <c r="BN669" s="60" t="str">
        <f aca="false">IF(A669="","",IF(BW669=1,"Neu; ","")&amp;IF(AND(BW669=0,BR669&lt;0),"negativer Bestand (Export "&amp;BR669&amp;"); ","")&amp;IF(J669&lt;=0,"Kein Verbrauch; ","")&amp;IF(CR669&gt;0,"Lift "&amp;W669&amp;" lt. Liftbericht (Fach "&amp;X669&amp;" Stk); ",IF(CB669=1,"Gebinde geschätzt ("&amp;T669&amp;"); ",IF(CA669=1,"Lose – Tablare geschätzt; ","")))&amp;IF(H669&gt;AW669,"Überbestand "&amp;ROUND(H669-AW669,0)&amp;" Stk / CHF "&amp;ROUND((H669-AW669)*G669,0)&amp;"; ","")&amp;IF(AND(CI669=1,CJ669&lt;CK669),"MAX &lt; MB+LG; ","")&amp;IF(AND(CQ669&gt;0,CP669*10&gt;CQ669),"zu hoch für Tablar; ","")&amp;IF(AND(BW669=0,OR(CI669=1,AB669&lt;&gt;"",U669&lt;&gt;"",V669&lt;&gt;"",AC669&lt;&gt;"")),"manuell übersteuert; ","")&amp;IF(AND(CA669=0,R669=0),"Gebinde unbekannt / Stellmass fehlt; ","")&amp;IF(AND(CA669=0,N(V669)&lt;=0,N(Q669)&lt;=0),"Menge pro Gebinde fehlt (Ist = 1 Gebinde); ","")&amp;BV669)</f>
        <v>Lose – Tablare geschätzt; </v>
      </c>
      <c r="BO669" s="60"/>
      <c r="BP669" s="60"/>
      <c r="BQ669" s="67"/>
      <c r="BR669" s="62" t="n">
        <v>0</v>
      </c>
      <c r="BS669" s="62" t="n">
        <v>0</v>
      </c>
      <c r="BT669" s="61" t="n">
        <v>0</v>
      </c>
      <c r="BU669" s="62" t="n">
        <v>3</v>
      </c>
      <c r="BV669" s="60"/>
      <c r="BW669" s="65" t="n">
        <v>0</v>
      </c>
      <c r="BX669" s="65" t="n">
        <v>669</v>
      </c>
      <c r="BY669" s="60" t="str">
        <f aca="false">IF(U669&lt;&gt;"",UPPER(TRIM(U669)),IF(CB669=1,UPPER(VLOOKUP(T669,Parameter!$I$27:$K$29,2,0)),IF(P669="","LOSE",P669)))</f>
        <v>LOSE</v>
      </c>
      <c r="BZ669" s="62" t="n">
        <f aca="false">IF(BY669="LOSE",1,IF(N(V669)&gt;0,V669,IF(CB669=1,MAX(1,N(VLOOKUP(T669,Parameter!$I$27:$K$29,3,0)),H669,N(N669)),IF(N(Q669)&gt;0,Q669,MAX(1,H669)))))</f>
        <v>1</v>
      </c>
      <c r="CA669" s="65" t="n">
        <f aca="false">IF(BY669="LOSE",1,0)</f>
        <v>1</v>
      </c>
      <c r="CB669" s="65" t="n">
        <f aca="false">IF(AND(U669="",OR(P669="",P669="LOSE"),T669&lt;&gt;"",N(S669)&lt;=0,ISNUMBER(MATCH(T669,Parameter!$I$27:$I$29,0))),1,0)</f>
        <v>0</v>
      </c>
      <c r="CC669" s="65" t="n">
        <f aca="false">IF(CR669&gt;0,INDEX(Parameter!$H$5:$H$7,W669)/INDEX(Parameter!$E$5:$E$7,W669),IF(AND(CA669=0,N(IFERROR(VLOOKUP(BY669,'Gebinde-Kategorie'!$A$5:$N$45,14,0),0))&gt;0),VLOOKUP(BY669,'Gebinde-Kategorie'!$A$5:$N$45,14,0)*10+Parameter!$M$23,Parameter!$M$24))</f>
        <v>235</v>
      </c>
      <c r="CD669" s="60" t="str">
        <f aca="false">IF(AND(Parameter!$B$19="Ja",E669&lt;&gt;"",ISNUMBER(MATCH(E669,Parameter!$I$35:$I$52,0))),VLOOKUP(E669,Parameter!$I$35:$J$52,2,0),IFERROR(VLOOKUP(D669,Parameter!$A$35:$C$64,2,0),"Nein"))</f>
        <v>Nein</v>
      </c>
      <c r="CE669" s="64" t="n">
        <f aca="false">IF(CA669=0,0,IF(N(S669)&gt;0,S669,IFERROR(VLOOKUP(D669,Parameter!$A$35:$C$64,3,0)+0,0)))</f>
        <v>0.15</v>
      </c>
      <c r="CF669" s="60" t="str">
        <f aca="false">IF(AB669&lt;&gt;"",AB669,AA669)</f>
        <v>-</v>
      </c>
      <c r="CG669" s="60" t="str">
        <f aca="false">IF(OR(CF669=1,CF669=2,CF669=3),IF(Parameter!$E$27="Ja","LIFT",IF(CF669=1,"L1","L23")),IF(CF669="Aussen","Aussen","-"))</f>
        <v>-</v>
      </c>
      <c r="CH669" s="71" t="n">
        <f aca="false">IF(N(AC669)&gt;0,AC669,0)</f>
        <v>0</v>
      </c>
      <c r="CI669" s="65" t="n">
        <f aca="false">IF(ISNUMBER(AF669),1,0)</f>
        <v>0</v>
      </c>
      <c r="CJ669" s="62" t="n">
        <f aca="false">N(AF669)</f>
        <v>0</v>
      </c>
      <c r="CK669" s="62" t="n">
        <f aca="false">N(M669)+N(N669)</f>
        <v>1</v>
      </c>
      <c r="CL669" s="62" t="n">
        <f aca="false">N(M669)</f>
        <v>0</v>
      </c>
      <c r="CM669" s="62" t="n">
        <f aca="false">N(N669)</f>
        <v>1</v>
      </c>
      <c r="CN669" s="62" t="n">
        <f aca="false">ROUNDUP(H669/BZ669,0)</f>
        <v>0</v>
      </c>
      <c r="CO669" s="62" t="n">
        <f aca="false">ROUNDUP(CJ669/BZ669,0)</f>
        <v>0</v>
      </c>
      <c r="CP669" s="65" t="n">
        <f aca="false">IF(CA669=1,0,IFERROR(VLOOKUP(BY669,'Gebinde-Kategorie'!$A$5:$N$45,5,0)+0,0))</f>
        <v>0</v>
      </c>
      <c r="CQ669" s="65" t="n">
        <f aca="false">IFERROR(IF(OR(CF669=1,CF669=2,CF669=3),N(INDEX(Parameter!$I$5:$I$7,CF669)),0),0)</f>
        <v>0</v>
      </c>
      <c r="CR669" s="64" t="n">
        <f aca="false">IF(AND(Parameter!$B$21="Ja",ISNUMBER(W669),N(X669)&gt;0),IFERROR(N(INDEX(Parameter!$L$5:$L$7,W669))*INDEX(Parameter!$E$5:$E$7,W669)*X669/SUMIFS($X$7:$X$1843,$W$7:$W$1843,W669),0),0)</f>
        <v>0</v>
      </c>
      <c r="CS669" s="62" t="str">
        <f aca="false">IF(AND(OR(CG669="L1",CG669="L23",CG669="LIFT"),H669&gt;0),CC669*IF(CR669&gt;0,CR669*MAX(1,H669/X669),IF(CA669=1,CE669,IF(R669&gt;0,CN669/R669,0))/MAX(0.1,N(Parameter!$M$21))),"")</f>
        <v/>
      </c>
      <c r="CT669" s="64" t="str">
        <f aca="false">IF(CS669="","",J669/H669)</f>
        <v/>
      </c>
      <c r="CU669" s="62" t="str">
        <f aca="false">IF(CS669="","",H669*G669)</f>
        <v/>
      </c>
      <c r="CV669" s="63" t="str">
        <f aca="false">IF(CS669="","",(CL669+ROUNDUP(CL669+MAX(CM669,2*(J669/MAX(0.1,N(Einkauf!$C$6))-CL669)),0))/2)</f>
        <v/>
      </c>
      <c r="CW669" s="62" t="str">
        <f aca="false">IF(CS669="","",MAX(0,H669-CV669)*G669)</f>
        <v/>
      </c>
      <c r="CX669" s="62" t="str">
        <f aca="false">IF(CS669="","",CS669*MAX(0,1-CV669/H669))</f>
        <v/>
      </c>
      <c r="CY669" s="64" t="str">
        <f aca="false">IF(CS669="","",PERCENTRANK($CS$7:$CS$1843,CS669)+PERCENTRANK($CU$7:$CU$1843,CU669)+1-PERCENTRANK($CT$7:$CT$1843,CT669))</f>
        <v/>
      </c>
      <c r="CZ669" s="72" t="str">
        <f aca="false">IF(CS669="","",CHOOSE(MATCH(Einkauf!$C$5,Parameter!$G$23:$G$27,0),CY669,CS669,CU669,-CT669,CW669)+ROW()/1000000000)</f>
        <v/>
      </c>
    </row>
    <row r="670" customFormat="false" ht="15" hidden="false" customHeight="false" outlineLevel="0" collapsed="false">
      <c r="A670" s="60" t="s">
        <v>1388</v>
      </c>
      <c r="B670" s="60" t="s">
        <v>1389</v>
      </c>
      <c r="C670" s="60" t="s">
        <v>206</v>
      </c>
      <c r="D670" s="60" t="s">
        <v>1037</v>
      </c>
      <c r="E670" s="60"/>
      <c r="F670" s="60" t="s">
        <v>260</v>
      </c>
      <c r="G670" s="61" t="n">
        <v>171.76</v>
      </c>
      <c r="H670" s="62" t="n">
        <f aca="false">MAX(0,IF(AND(Parameter!$B$21="Ja",ISNUMBER(Y670)),Y670,IF(Parameter!$B$20="Jahresanfang 2025 + Export",BS670+BR670,BR670)))</f>
        <v>0</v>
      </c>
      <c r="I670" s="62" t="n">
        <f aca="false">H670*G670</f>
        <v>0</v>
      </c>
      <c r="J670" s="62" t="n">
        <f aca="false">BU670*Parameter!$B$18</f>
        <v>1</v>
      </c>
      <c r="K670" s="63" t="n">
        <v>0</v>
      </c>
      <c r="L670" s="64" t="n">
        <v>0</v>
      </c>
      <c r="M670" s="62" t="n">
        <v>0</v>
      </c>
      <c r="N670" s="62" t="n">
        <v>1</v>
      </c>
      <c r="O670" s="65" t="n">
        <v>105</v>
      </c>
      <c r="P670" s="60" t="s">
        <v>210</v>
      </c>
      <c r="Q670" s="62"/>
      <c r="R670" s="65" t="n">
        <f aca="false">IF(CA670=1,0,IFERROR(VLOOKUP(BY670,'Gebinde-Kategorie'!$A$5:$N$45,13,0)+0,0))</f>
        <v>0</v>
      </c>
      <c r="S670" s="66"/>
      <c r="T670" s="67"/>
      <c r="U670" s="67"/>
      <c r="V670" s="67"/>
      <c r="W670" s="60"/>
      <c r="X670" s="62"/>
      <c r="Y670" s="62"/>
      <c r="Z670" s="60"/>
      <c r="AA670" s="60" t="str">
        <f aca="false">IF(A670="","",IF(AND(Parameter!$B$21="Ja",ISNUMBER(W670)),W670,IF(AND(Parameter!$E$27="Ja",ISNUMBER(Z670),CD670&lt;&gt;"Nein"),Z670,IF(CD670="2+3",IF(ISNUMBER(SEARCH("grosser Artikel",BV670)),2,IFERROR(VLOOKUP(BY670,Parameter!$F$35:$G$64,2,0),2)),IF(OR(CD670="Nein",CD670=""),"-",CD670)))))</f>
        <v>-</v>
      </c>
      <c r="AB670" s="67"/>
      <c r="AC670" s="68"/>
      <c r="AD670" s="62" t="n">
        <f aca="false">AW670</f>
        <v>1</v>
      </c>
      <c r="AE670" s="62" t="n">
        <f aca="false">MAX(AW670,H670)</f>
        <v>1</v>
      </c>
      <c r="AF670" s="69"/>
      <c r="AG670" s="62" t="n">
        <f aca="false">IF(LEFT(Cockpit!$C$5,1)="A",H670,IF(Parameter!$E$30="MAX-Bestand",IF(CI670=1,CJ670,IF(LEFT(Cockpit!$C$5,1)="B",AM670,MAX(AM670,H670))),ROUNDUP(AK670,0)))</f>
        <v>0</v>
      </c>
      <c r="AH670" s="62" t="n">
        <f aca="false">IF(CA670=1,0,ROUNDUP(AG670/BZ670,0))</f>
        <v>0</v>
      </c>
      <c r="AI670" s="64" t="n">
        <f aca="false">IF(CR670&gt;0,CR670*MAX(1,AG670/X670),IF(CA670=1,IF(AG670&lt;=0,0,CE670*MAX(1,IF(H670&gt;0,AG670/H670,1))),IF(R670&gt;0,AH670/R670,0))/MAX(0.1,N(Parameter!$M$21)))</f>
        <v>0</v>
      </c>
      <c r="AJ670" s="62" t="n">
        <f aca="false">AI670*CC670</f>
        <v>0</v>
      </c>
      <c r="AK670" s="63" t="n">
        <f aca="false">IF(LEFT(Cockpit!$C$5,1)="A",H670,IF(CI670=1,(CL670+CJ670)/2,IF(LEFT(Cockpit!$C$5,1)="B",(CL670+AM670)/2,MAX((CL670+AM670)/2,H670))))</f>
        <v>0</v>
      </c>
      <c r="AL670" s="62" t="n">
        <f aca="false">AK670*G670</f>
        <v>0</v>
      </c>
      <c r="AM670" s="62" t="n">
        <f aca="false">ROUNDUP(CL670+MAX(CM670,2*(J670/IF(CH670&gt;0,CH670,MAX(0.1,N(Cockpit!$C$6)))-CL670)),0)</f>
        <v>1</v>
      </c>
      <c r="AN670" s="63" t="n">
        <f aca="false">IF(AJ670&gt;0,J670/AJ670,-1)</f>
        <v>-1</v>
      </c>
      <c r="AO670" s="63" t="str">
        <f aca="false">IF(AND(OR(CG670="L1",CG670="L23",CG670="LIFT"),AJ670&gt;0),SUMIFS($AJ$7:$AJ$1843,$CG$7:$CG$1843,CG670,$AN$7:$AN$1843,"&gt;"&amp;AN670)+SUMIFS($AJ$7:$AJ$1843,$CG$7:$CG$1843,CG670,$AN$7:$AN$1843,AN670,$BX$7:$BX$1843,"&lt;="&amp;BX670),"")</f>
        <v/>
      </c>
      <c r="AP670" s="70" t="n">
        <f aca="false">IF(AO670="",0,MAX(0,MIN(1,(IF(CG670="L1",Parameter!$H$5,IF(CG670="L23",Parameter!$H$6+Parameter!$H$7,Parameter!$H$5+Parameter!$H$6+Parameter!$H$7))-(AO670-AJ670))/AJ670)))</f>
        <v>0</v>
      </c>
      <c r="AQ670" s="62" t="n">
        <f aca="false">IF(LEFT(Cockpit!$I$5,1)="A",H670,IF(Parameter!$E$30="MAX-Bestand",IF(CI670=1,CJ670,IF(LEFT(Cockpit!$I$5,1)="B",AW670,MAX(AW670,H670))),ROUNDUP(AU670,0)))</f>
        <v>1</v>
      </c>
      <c r="AR670" s="62" t="n">
        <f aca="false">IF(CA670=1,0,ROUNDUP(AQ670/BZ670,0))</f>
        <v>0</v>
      </c>
      <c r="AS670" s="64" t="n">
        <f aca="false">IF(CR670&gt;0,CR670*MAX(1,AQ670/X670),IF(CA670=1,IF(AQ670&lt;=0,0,CE670*MAX(1,IF(H670&gt;0,AQ670/H670,1))),IF(R670&gt;0,AR670/R670,0))/MAX(0.1,N(Parameter!$M$21)))</f>
        <v>0.15</v>
      </c>
      <c r="AT670" s="62" t="n">
        <f aca="false">AS670*CC670</f>
        <v>35.25</v>
      </c>
      <c r="AU670" s="63" t="n">
        <f aca="false">IF(LEFT(Cockpit!$I$5,1)="A",H670,IF(CI670=1,(CL670+CJ670)/2,IF(LEFT(Cockpit!$I$5,1)="B",(CL670+AW670)/2,MAX((CL670+AW670)/2,H670))))</f>
        <v>0.5</v>
      </c>
      <c r="AV670" s="62" t="n">
        <f aca="false">AU670*G670</f>
        <v>85.88</v>
      </c>
      <c r="AW670" s="62" t="n">
        <f aca="false">ROUNDUP(CL670+MAX(CM670,2*(J670/IF(CH670&gt;0,CH670,MAX(0.1,N(Cockpit!$I$6)))-CL670)),0)</f>
        <v>1</v>
      </c>
      <c r="AX670" s="63" t="n">
        <f aca="false">IF(AT670&gt;0,J670/AT670,-1)</f>
        <v>0.0283687943262411</v>
      </c>
      <c r="AY670" s="63" t="str">
        <f aca="false">IF(AND(OR(CG670="L1",CG670="L23",CG670="LIFT"),AT670&gt;0),SUMIFS($AT$7:$AT$1843,$CG$7:$CG$1843,CG670,$AX$7:$AX$1843,"&gt;"&amp;AX670)+SUMIFS($AT$7:$AT$1843,$CG$7:$CG$1843,CG670,$AX$7:$AX$1843,AX670,$BX$7:$BX$1843,"&lt;="&amp;BX670),"")</f>
        <v/>
      </c>
      <c r="AZ670" s="70" t="n">
        <f aca="false">IF(AY670="",0,MAX(0,MIN(1,(IF(CG670="L1",Parameter!$H$5,IF(CG670="L23",Parameter!$H$6+Parameter!$H$7,Parameter!$H$5+Parameter!$H$6+Parameter!$H$7))-(AY670-AT670))/AT670)))</f>
        <v>0</v>
      </c>
      <c r="BA670" s="62" t="n">
        <f aca="false">IF(LEFT(Cockpit!$O$5,1)="A",H670,IF(Parameter!$E$30="MAX-Bestand",IF(CI670=1,CJ670,IF(LEFT(Cockpit!$O$5,1)="B",BG670,MAX(BG670,H670))),ROUNDUP(BE670,0)))</f>
        <v>1</v>
      </c>
      <c r="BB670" s="62" t="n">
        <f aca="false">IF(CA670=1,0,ROUNDUP(BA670/BZ670,0))</f>
        <v>0</v>
      </c>
      <c r="BC670" s="64" t="n">
        <f aca="false">IF(CR670&gt;0,CR670*MAX(1,BA670/X670),IF(CA670=1,IF(BA670&lt;=0,0,CE670*MAX(1,IF(H670&gt;0,BA670/H670,1))),IF(R670&gt;0,BB670/R670,0))/MAX(0.1,N(Parameter!$M$21)))</f>
        <v>0.15</v>
      </c>
      <c r="BD670" s="62" t="n">
        <f aca="false">BC670*CC670</f>
        <v>35.25</v>
      </c>
      <c r="BE670" s="63" t="n">
        <f aca="false">IF(LEFT(Cockpit!$O$5,1)="A",H670,IF(CI670=1,(CL670+CJ670)/2,IF(LEFT(Cockpit!$O$5,1)="B",(CL670+BG670)/2,MAX((CL670+BG670)/2,H670))))</f>
        <v>0.5</v>
      </c>
      <c r="BF670" s="62" t="n">
        <f aca="false">BE670*G670</f>
        <v>85.88</v>
      </c>
      <c r="BG670" s="62" t="n">
        <f aca="false">ROUNDUP(CL670+MAX(CM670,2*(J670/IF(CH670&gt;0,CH670,MAX(0.1,N(Cockpit!$O$6)))-CL670)),0)</f>
        <v>1</v>
      </c>
      <c r="BH670" s="63" t="n">
        <f aca="false">IF(BD670&gt;0,J670/BD670,-1)</f>
        <v>0.0283687943262411</v>
      </c>
      <c r="BI670" s="63" t="str">
        <f aca="false">IF(AND(OR(CG670="L1",CG670="L23",CG670="LIFT"),BD670&gt;0),SUMIFS($BD$7:$BD$1843,$CG$7:$CG$1843,CG670,$BH$7:$BH$1843,"&gt;"&amp;BH670)+SUMIFS($BD$7:$BD$1843,$CG$7:$CG$1843,CG670,$BH$7:$BH$1843,BH670,$BX$7:$BX$1843,"&lt;="&amp;BX670),"")</f>
        <v/>
      </c>
      <c r="BJ670" s="70" t="n">
        <f aca="false">IF(BI670="",0,MAX(0,MIN(1,(IF(CG670="L1",Parameter!$H$5,IF(CG670="L23",Parameter!$H$6+Parameter!$H$7,Parameter!$H$5+Parameter!$H$6+Parameter!$H$7))-(BI670-BD670))/BD670)))</f>
        <v>0</v>
      </c>
      <c r="BK670" s="60" t="str">
        <f aca="false">IF(AJ670&lt;=0,"",IF(CG670="Aussen","Aussenlager",IF(CG670="-","Nicht im Lift",IF(AP670&gt;=1,"Lift",IF(AP670&lt;=0,"Aussenlager","teilweise")))))</f>
        <v/>
      </c>
      <c r="BL670" s="60" t="str">
        <f aca="false">IF(AT670&lt;=0,"",IF(CG670="Aussen","Aussenlager",IF(CG670="-","Nicht im Lift",IF(AZ670&gt;=1,"Lift",IF(AZ670&lt;=0,"Aussenlager","teilweise")))))</f>
        <v>Nicht im Lift</v>
      </c>
      <c r="BM670" s="60" t="str">
        <f aca="false">IF(BD670&lt;=0,"",IF(CG670="Aussen","Aussenlager",IF(CG670="-","Nicht im Lift",IF(BJ670&gt;=1,"Lift",IF(BJ670&lt;=0,"Aussenlager","teilweise")))))</f>
        <v>Nicht im Lift</v>
      </c>
      <c r="BN670" s="60" t="str">
        <f aca="false">IF(A670="","",IF(BW670=1,"Neu; ","")&amp;IF(AND(BW670=0,BR670&lt;0),"negativer Bestand (Export "&amp;BR670&amp;"); ","")&amp;IF(J670&lt;=0,"Kein Verbrauch; ","")&amp;IF(CR670&gt;0,"Lift "&amp;W670&amp;" lt. Liftbericht (Fach "&amp;X670&amp;" Stk); ",IF(CB670=1,"Gebinde geschätzt ("&amp;T670&amp;"); ",IF(CA670=1,"Lose – Tablare geschätzt; ","")))&amp;IF(H670&gt;AW670,"Überbestand "&amp;ROUND(H670-AW670,0)&amp;" Stk / CHF "&amp;ROUND((H670-AW670)*G670,0)&amp;"; ","")&amp;IF(AND(CI670=1,CJ670&lt;CK670),"MAX &lt; MB+LG; ","")&amp;IF(AND(CQ670&gt;0,CP670*10&gt;CQ670),"zu hoch für Tablar; ","")&amp;IF(AND(BW670=0,OR(CI670=1,AB670&lt;&gt;"",U670&lt;&gt;"",V670&lt;&gt;"",AC670&lt;&gt;"")),"manuell übersteuert; ","")&amp;IF(AND(CA670=0,R670=0),"Gebinde unbekannt / Stellmass fehlt; ","")&amp;IF(AND(CA670=0,N(V670)&lt;=0,N(Q670)&lt;=0),"Menge pro Gebinde fehlt (Ist = 1 Gebinde); ","")&amp;BV670)</f>
        <v>Lose – Tablare geschätzt; </v>
      </c>
      <c r="BO670" s="60"/>
      <c r="BP670" s="60"/>
      <c r="BQ670" s="67"/>
      <c r="BR670" s="62" t="n">
        <v>0</v>
      </c>
      <c r="BS670" s="62" t="n">
        <v>0</v>
      </c>
      <c r="BT670" s="61" t="n">
        <v>0</v>
      </c>
      <c r="BU670" s="62" t="n">
        <v>1</v>
      </c>
      <c r="BV670" s="60"/>
      <c r="BW670" s="65" t="n">
        <v>0</v>
      </c>
      <c r="BX670" s="65" t="n">
        <v>670</v>
      </c>
      <c r="BY670" s="60" t="str">
        <f aca="false">IF(U670&lt;&gt;"",UPPER(TRIM(U670)),IF(CB670=1,UPPER(VLOOKUP(T670,Parameter!$I$27:$K$29,2,0)),IF(P670="","LOSE",P670)))</f>
        <v>LOSE</v>
      </c>
      <c r="BZ670" s="62" t="n">
        <f aca="false">IF(BY670="LOSE",1,IF(N(V670)&gt;0,V670,IF(CB670=1,MAX(1,N(VLOOKUP(T670,Parameter!$I$27:$K$29,3,0)),H670,N(N670)),IF(N(Q670)&gt;0,Q670,MAX(1,H670)))))</f>
        <v>1</v>
      </c>
      <c r="CA670" s="65" t="n">
        <f aca="false">IF(BY670="LOSE",1,0)</f>
        <v>1</v>
      </c>
      <c r="CB670" s="65" t="n">
        <f aca="false">IF(AND(U670="",OR(P670="",P670="LOSE"),T670&lt;&gt;"",N(S670)&lt;=0,ISNUMBER(MATCH(T670,Parameter!$I$27:$I$29,0))),1,0)</f>
        <v>0</v>
      </c>
      <c r="CC670" s="65" t="n">
        <f aca="false">IF(CR670&gt;0,INDEX(Parameter!$H$5:$H$7,W670)/INDEX(Parameter!$E$5:$E$7,W670),IF(AND(CA670=0,N(IFERROR(VLOOKUP(BY670,'Gebinde-Kategorie'!$A$5:$N$45,14,0),0))&gt;0),VLOOKUP(BY670,'Gebinde-Kategorie'!$A$5:$N$45,14,0)*10+Parameter!$M$23,Parameter!$M$24))</f>
        <v>235</v>
      </c>
      <c r="CD670" s="60" t="str">
        <f aca="false">IF(AND(Parameter!$B$19="Ja",E670&lt;&gt;"",ISNUMBER(MATCH(E670,Parameter!$I$35:$I$52,0))),VLOOKUP(E670,Parameter!$I$35:$J$52,2,0),IFERROR(VLOOKUP(D670,Parameter!$A$35:$C$64,2,0),"Nein"))</f>
        <v>Nein</v>
      </c>
      <c r="CE670" s="64" t="n">
        <f aca="false">IF(CA670=0,0,IF(N(S670)&gt;0,S670,IFERROR(VLOOKUP(D670,Parameter!$A$35:$C$64,3,0)+0,0)))</f>
        <v>0.15</v>
      </c>
      <c r="CF670" s="60" t="str">
        <f aca="false">IF(AB670&lt;&gt;"",AB670,AA670)</f>
        <v>-</v>
      </c>
      <c r="CG670" s="60" t="str">
        <f aca="false">IF(OR(CF670=1,CF670=2,CF670=3),IF(Parameter!$E$27="Ja","LIFT",IF(CF670=1,"L1","L23")),IF(CF670="Aussen","Aussen","-"))</f>
        <v>-</v>
      </c>
      <c r="CH670" s="71" t="n">
        <f aca="false">IF(N(AC670)&gt;0,AC670,0)</f>
        <v>0</v>
      </c>
      <c r="CI670" s="65" t="n">
        <f aca="false">IF(ISNUMBER(AF670),1,0)</f>
        <v>0</v>
      </c>
      <c r="CJ670" s="62" t="n">
        <f aca="false">N(AF670)</f>
        <v>0</v>
      </c>
      <c r="CK670" s="62" t="n">
        <f aca="false">N(M670)+N(N670)</f>
        <v>1</v>
      </c>
      <c r="CL670" s="62" t="n">
        <f aca="false">N(M670)</f>
        <v>0</v>
      </c>
      <c r="CM670" s="62" t="n">
        <f aca="false">N(N670)</f>
        <v>1</v>
      </c>
      <c r="CN670" s="62" t="n">
        <f aca="false">ROUNDUP(H670/BZ670,0)</f>
        <v>0</v>
      </c>
      <c r="CO670" s="62" t="n">
        <f aca="false">ROUNDUP(CJ670/BZ670,0)</f>
        <v>0</v>
      </c>
      <c r="CP670" s="65" t="n">
        <f aca="false">IF(CA670=1,0,IFERROR(VLOOKUP(BY670,'Gebinde-Kategorie'!$A$5:$N$45,5,0)+0,0))</f>
        <v>0</v>
      </c>
      <c r="CQ670" s="65" t="n">
        <f aca="false">IFERROR(IF(OR(CF670=1,CF670=2,CF670=3),N(INDEX(Parameter!$I$5:$I$7,CF670)),0),0)</f>
        <v>0</v>
      </c>
      <c r="CR670" s="64" t="n">
        <f aca="false">IF(AND(Parameter!$B$21="Ja",ISNUMBER(W670),N(X670)&gt;0),IFERROR(N(INDEX(Parameter!$L$5:$L$7,W670))*INDEX(Parameter!$E$5:$E$7,W670)*X670/SUMIFS($X$7:$X$1843,$W$7:$W$1843,W670),0),0)</f>
        <v>0</v>
      </c>
      <c r="CS670" s="62" t="str">
        <f aca="false">IF(AND(OR(CG670="L1",CG670="L23",CG670="LIFT"),H670&gt;0),CC670*IF(CR670&gt;0,CR670*MAX(1,H670/X670),IF(CA670=1,CE670,IF(R670&gt;0,CN670/R670,0))/MAX(0.1,N(Parameter!$M$21))),"")</f>
        <v/>
      </c>
      <c r="CT670" s="64" t="str">
        <f aca="false">IF(CS670="","",J670/H670)</f>
        <v/>
      </c>
      <c r="CU670" s="62" t="str">
        <f aca="false">IF(CS670="","",H670*G670)</f>
        <v/>
      </c>
      <c r="CV670" s="63" t="str">
        <f aca="false">IF(CS670="","",(CL670+ROUNDUP(CL670+MAX(CM670,2*(J670/MAX(0.1,N(Einkauf!$C$6))-CL670)),0))/2)</f>
        <v/>
      </c>
      <c r="CW670" s="62" t="str">
        <f aca="false">IF(CS670="","",MAX(0,H670-CV670)*G670)</f>
        <v/>
      </c>
      <c r="CX670" s="62" t="str">
        <f aca="false">IF(CS670="","",CS670*MAX(0,1-CV670/H670))</f>
        <v/>
      </c>
      <c r="CY670" s="64" t="str">
        <f aca="false">IF(CS670="","",PERCENTRANK($CS$7:$CS$1843,CS670)+PERCENTRANK($CU$7:$CU$1843,CU670)+1-PERCENTRANK($CT$7:$CT$1843,CT670))</f>
        <v/>
      </c>
      <c r="CZ670" s="72" t="str">
        <f aca="false">IF(CS670="","",CHOOSE(MATCH(Einkauf!$C$5,Parameter!$G$23:$G$27,0),CY670,CS670,CU670,-CT670,CW670)+ROW()/1000000000)</f>
        <v/>
      </c>
    </row>
    <row r="671" customFormat="false" ht="15" hidden="false" customHeight="false" outlineLevel="0" collapsed="false">
      <c r="A671" s="60" t="s">
        <v>1390</v>
      </c>
      <c r="B671" s="60" t="s">
        <v>1391</v>
      </c>
      <c r="C671" s="60" t="s">
        <v>206</v>
      </c>
      <c r="D671" s="60" t="s">
        <v>1037</v>
      </c>
      <c r="E671" s="60"/>
      <c r="F671" s="60" t="s">
        <v>260</v>
      </c>
      <c r="G671" s="61" t="n">
        <v>154.75</v>
      </c>
      <c r="H671" s="62" t="n">
        <f aca="false">MAX(0,IF(AND(Parameter!$B$21="Ja",ISNUMBER(Y671)),Y671,IF(Parameter!$B$20="Jahresanfang 2025 + Export",BS671+BR671,BR671)))</f>
        <v>0</v>
      </c>
      <c r="I671" s="62" t="n">
        <f aca="false">H671*G671</f>
        <v>0</v>
      </c>
      <c r="J671" s="62" t="n">
        <f aca="false">BU671*Parameter!$B$18</f>
        <v>4</v>
      </c>
      <c r="K671" s="63" t="n">
        <v>0</v>
      </c>
      <c r="L671" s="64" t="n">
        <v>0</v>
      </c>
      <c r="M671" s="62" t="n">
        <v>0</v>
      </c>
      <c r="N671" s="62" t="n">
        <v>1</v>
      </c>
      <c r="O671" s="65" t="n">
        <v>105</v>
      </c>
      <c r="P671" s="60" t="s">
        <v>210</v>
      </c>
      <c r="Q671" s="62"/>
      <c r="R671" s="65" t="n">
        <f aca="false">IF(CA671=1,0,IFERROR(VLOOKUP(BY671,'Gebinde-Kategorie'!$A$5:$N$45,13,0)+0,0))</f>
        <v>0</v>
      </c>
      <c r="S671" s="66"/>
      <c r="T671" s="67"/>
      <c r="U671" s="67"/>
      <c r="V671" s="67"/>
      <c r="W671" s="60"/>
      <c r="X671" s="62"/>
      <c r="Y671" s="62"/>
      <c r="Z671" s="60"/>
      <c r="AA671" s="60" t="str">
        <f aca="false">IF(A671="","",IF(AND(Parameter!$B$21="Ja",ISNUMBER(W671)),W671,IF(AND(Parameter!$E$27="Ja",ISNUMBER(Z671),CD671&lt;&gt;"Nein"),Z671,IF(CD671="2+3",IF(ISNUMBER(SEARCH("grosser Artikel",BV671)),2,IFERROR(VLOOKUP(BY671,Parameter!$F$35:$G$64,2,0),2)),IF(OR(CD671="Nein",CD671=""),"-",CD671)))))</f>
        <v>-</v>
      </c>
      <c r="AB671" s="67"/>
      <c r="AC671" s="68"/>
      <c r="AD671" s="62" t="n">
        <f aca="false">AW671</f>
        <v>3</v>
      </c>
      <c r="AE671" s="62" t="n">
        <f aca="false">MAX(AW671,H671)</f>
        <v>3</v>
      </c>
      <c r="AF671" s="69"/>
      <c r="AG671" s="62" t="n">
        <f aca="false">IF(LEFT(Cockpit!$C$5,1)="A",H671,IF(Parameter!$E$30="MAX-Bestand",IF(CI671=1,CJ671,IF(LEFT(Cockpit!$C$5,1)="B",AM671,MAX(AM671,H671))),ROUNDUP(AK671,0)))</f>
        <v>0</v>
      </c>
      <c r="AH671" s="62" t="n">
        <f aca="false">IF(CA671=1,0,ROUNDUP(AG671/BZ671,0))</f>
        <v>0</v>
      </c>
      <c r="AI671" s="64" t="n">
        <f aca="false">IF(CR671&gt;0,CR671*MAX(1,AG671/X671),IF(CA671=1,IF(AG671&lt;=0,0,CE671*MAX(1,IF(H671&gt;0,AG671/H671,1))),IF(R671&gt;0,AH671/R671,0))/MAX(0.1,N(Parameter!$M$21)))</f>
        <v>0</v>
      </c>
      <c r="AJ671" s="62" t="n">
        <f aca="false">AI671*CC671</f>
        <v>0</v>
      </c>
      <c r="AK671" s="63" t="n">
        <f aca="false">IF(LEFT(Cockpit!$C$5,1)="A",H671,IF(CI671=1,(CL671+CJ671)/2,IF(LEFT(Cockpit!$C$5,1)="B",(CL671+AM671)/2,MAX((CL671+AM671)/2,H671))))</f>
        <v>0</v>
      </c>
      <c r="AL671" s="62" t="n">
        <f aca="false">AK671*G671</f>
        <v>0</v>
      </c>
      <c r="AM671" s="62" t="n">
        <f aca="false">ROUNDUP(CL671+MAX(CM671,2*(J671/IF(CH671&gt;0,CH671,MAX(0.1,N(Cockpit!$C$6)))-CL671)),0)</f>
        <v>3</v>
      </c>
      <c r="AN671" s="63" t="n">
        <f aca="false">IF(AJ671&gt;0,J671/AJ671,-1)</f>
        <v>-1</v>
      </c>
      <c r="AO671" s="63" t="str">
        <f aca="false">IF(AND(OR(CG671="L1",CG671="L23",CG671="LIFT"),AJ671&gt;0),SUMIFS($AJ$7:$AJ$1843,$CG$7:$CG$1843,CG671,$AN$7:$AN$1843,"&gt;"&amp;AN671)+SUMIFS($AJ$7:$AJ$1843,$CG$7:$CG$1843,CG671,$AN$7:$AN$1843,AN671,$BX$7:$BX$1843,"&lt;="&amp;BX671),"")</f>
        <v/>
      </c>
      <c r="AP671" s="70" t="n">
        <f aca="false">IF(AO671="",0,MAX(0,MIN(1,(IF(CG671="L1",Parameter!$H$5,IF(CG671="L23",Parameter!$H$6+Parameter!$H$7,Parameter!$H$5+Parameter!$H$6+Parameter!$H$7))-(AO671-AJ671))/AJ671)))</f>
        <v>0</v>
      </c>
      <c r="AQ671" s="62" t="n">
        <f aca="false">IF(LEFT(Cockpit!$I$5,1)="A",H671,IF(Parameter!$E$30="MAX-Bestand",IF(CI671=1,CJ671,IF(LEFT(Cockpit!$I$5,1)="B",AW671,MAX(AW671,H671))),ROUNDUP(AU671,0)))</f>
        <v>2</v>
      </c>
      <c r="AR671" s="62" t="n">
        <f aca="false">IF(CA671=1,0,ROUNDUP(AQ671/BZ671,0))</f>
        <v>0</v>
      </c>
      <c r="AS671" s="64" t="n">
        <f aca="false">IF(CR671&gt;0,CR671*MAX(1,AQ671/X671),IF(CA671=1,IF(AQ671&lt;=0,0,CE671*MAX(1,IF(H671&gt;0,AQ671/H671,1))),IF(R671&gt;0,AR671/R671,0))/MAX(0.1,N(Parameter!$M$21)))</f>
        <v>0.15</v>
      </c>
      <c r="AT671" s="62" t="n">
        <f aca="false">AS671*CC671</f>
        <v>35.25</v>
      </c>
      <c r="AU671" s="63" t="n">
        <f aca="false">IF(LEFT(Cockpit!$I$5,1)="A",H671,IF(CI671=1,(CL671+CJ671)/2,IF(LEFT(Cockpit!$I$5,1)="B",(CL671+AW671)/2,MAX((CL671+AW671)/2,H671))))</f>
        <v>1.5</v>
      </c>
      <c r="AV671" s="62" t="n">
        <f aca="false">AU671*G671</f>
        <v>232.125</v>
      </c>
      <c r="AW671" s="62" t="n">
        <f aca="false">ROUNDUP(CL671+MAX(CM671,2*(J671/IF(CH671&gt;0,CH671,MAX(0.1,N(Cockpit!$I$6)))-CL671)),0)</f>
        <v>3</v>
      </c>
      <c r="AX671" s="63" t="n">
        <f aca="false">IF(AT671&gt;0,J671/AT671,-1)</f>
        <v>0.113475177304965</v>
      </c>
      <c r="AY671" s="63" t="str">
        <f aca="false">IF(AND(OR(CG671="L1",CG671="L23",CG671="LIFT"),AT671&gt;0),SUMIFS($AT$7:$AT$1843,$CG$7:$CG$1843,CG671,$AX$7:$AX$1843,"&gt;"&amp;AX671)+SUMIFS($AT$7:$AT$1843,$CG$7:$CG$1843,CG671,$AX$7:$AX$1843,AX671,$BX$7:$BX$1843,"&lt;="&amp;BX671),"")</f>
        <v/>
      </c>
      <c r="AZ671" s="70" t="n">
        <f aca="false">IF(AY671="",0,MAX(0,MIN(1,(IF(CG671="L1",Parameter!$H$5,IF(CG671="L23",Parameter!$H$6+Parameter!$H$7,Parameter!$H$5+Parameter!$H$6+Parameter!$H$7))-(AY671-AT671))/AT671)))</f>
        <v>0</v>
      </c>
      <c r="BA671" s="62" t="n">
        <f aca="false">IF(LEFT(Cockpit!$O$5,1)="A",H671,IF(Parameter!$E$30="MAX-Bestand",IF(CI671=1,CJ671,IF(LEFT(Cockpit!$O$5,1)="B",BG671,MAX(BG671,H671))),ROUNDUP(BE671,0)))</f>
        <v>1</v>
      </c>
      <c r="BB671" s="62" t="n">
        <f aca="false">IF(CA671=1,0,ROUNDUP(BA671/BZ671,0))</f>
        <v>0</v>
      </c>
      <c r="BC671" s="64" t="n">
        <f aca="false">IF(CR671&gt;0,CR671*MAX(1,BA671/X671),IF(CA671=1,IF(BA671&lt;=0,0,CE671*MAX(1,IF(H671&gt;0,BA671/H671,1))),IF(R671&gt;0,BB671/R671,0))/MAX(0.1,N(Parameter!$M$21)))</f>
        <v>0.15</v>
      </c>
      <c r="BD671" s="62" t="n">
        <f aca="false">BC671*CC671</f>
        <v>35.25</v>
      </c>
      <c r="BE671" s="63" t="n">
        <f aca="false">IF(LEFT(Cockpit!$O$5,1)="A",H671,IF(CI671=1,(CL671+CJ671)/2,IF(LEFT(Cockpit!$O$5,1)="B",(CL671+BG671)/2,MAX((CL671+BG671)/2,H671))))</f>
        <v>1</v>
      </c>
      <c r="BF671" s="62" t="n">
        <f aca="false">BE671*G671</f>
        <v>154.75</v>
      </c>
      <c r="BG671" s="62" t="n">
        <f aca="false">ROUNDUP(CL671+MAX(CM671,2*(J671/IF(CH671&gt;0,CH671,MAX(0.1,N(Cockpit!$O$6)))-CL671)),0)</f>
        <v>2</v>
      </c>
      <c r="BH671" s="63" t="n">
        <f aca="false">IF(BD671&gt;0,J671/BD671,-1)</f>
        <v>0.113475177304965</v>
      </c>
      <c r="BI671" s="63" t="str">
        <f aca="false">IF(AND(OR(CG671="L1",CG671="L23",CG671="LIFT"),BD671&gt;0),SUMIFS($BD$7:$BD$1843,$CG$7:$CG$1843,CG671,$BH$7:$BH$1843,"&gt;"&amp;BH671)+SUMIFS($BD$7:$BD$1843,$CG$7:$CG$1843,CG671,$BH$7:$BH$1843,BH671,$BX$7:$BX$1843,"&lt;="&amp;BX671),"")</f>
        <v/>
      </c>
      <c r="BJ671" s="70" t="n">
        <f aca="false">IF(BI671="",0,MAX(0,MIN(1,(IF(CG671="L1",Parameter!$H$5,IF(CG671="L23",Parameter!$H$6+Parameter!$H$7,Parameter!$H$5+Parameter!$H$6+Parameter!$H$7))-(BI671-BD671))/BD671)))</f>
        <v>0</v>
      </c>
      <c r="BK671" s="60" t="str">
        <f aca="false">IF(AJ671&lt;=0,"",IF(CG671="Aussen","Aussenlager",IF(CG671="-","Nicht im Lift",IF(AP671&gt;=1,"Lift",IF(AP671&lt;=0,"Aussenlager","teilweise")))))</f>
        <v/>
      </c>
      <c r="BL671" s="60" t="str">
        <f aca="false">IF(AT671&lt;=0,"",IF(CG671="Aussen","Aussenlager",IF(CG671="-","Nicht im Lift",IF(AZ671&gt;=1,"Lift",IF(AZ671&lt;=0,"Aussenlager","teilweise")))))</f>
        <v>Nicht im Lift</v>
      </c>
      <c r="BM671" s="60" t="str">
        <f aca="false">IF(BD671&lt;=0,"",IF(CG671="Aussen","Aussenlager",IF(CG671="-","Nicht im Lift",IF(BJ671&gt;=1,"Lift",IF(BJ671&lt;=0,"Aussenlager","teilweise")))))</f>
        <v>Nicht im Lift</v>
      </c>
      <c r="BN671" s="60" t="str">
        <f aca="false">IF(A671="","",IF(BW671=1,"Neu; ","")&amp;IF(AND(BW671=0,BR671&lt;0),"negativer Bestand (Export "&amp;BR671&amp;"); ","")&amp;IF(J671&lt;=0,"Kein Verbrauch; ","")&amp;IF(CR671&gt;0,"Lift "&amp;W671&amp;" lt. Liftbericht (Fach "&amp;X671&amp;" Stk); ",IF(CB671=1,"Gebinde geschätzt ("&amp;T671&amp;"); ",IF(CA671=1,"Lose – Tablare geschätzt; ","")))&amp;IF(H671&gt;AW671,"Überbestand "&amp;ROUND(H671-AW671,0)&amp;" Stk / CHF "&amp;ROUND((H671-AW671)*G671,0)&amp;"; ","")&amp;IF(AND(CI671=1,CJ671&lt;CK671),"MAX &lt; MB+LG; ","")&amp;IF(AND(CQ671&gt;0,CP671*10&gt;CQ671),"zu hoch für Tablar; ","")&amp;IF(AND(BW671=0,OR(CI671=1,AB671&lt;&gt;"",U671&lt;&gt;"",V671&lt;&gt;"",AC671&lt;&gt;"")),"manuell übersteuert; ","")&amp;IF(AND(CA671=0,R671=0),"Gebinde unbekannt / Stellmass fehlt; ","")&amp;IF(AND(CA671=0,N(V671)&lt;=0,N(Q671)&lt;=0),"Menge pro Gebinde fehlt (Ist = 1 Gebinde); ","")&amp;BV671)</f>
        <v>Lose – Tablare geschätzt; </v>
      </c>
      <c r="BO671" s="60"/>
      <c r="BP671" s="60"/>
      <c r="BQ671" s="67"/>
      <c r="BR671" s="62" t="n">
        <v>0</v>
      </c>
      <c r="BS671" s="62" t="n">
        <v>0</v>
      </c>
      <c r="BT671" s="61" t="n">
        <v>0</v>
      </c>
      <c r="BU671" s="62" t="n">
        <v>4</v>
      </c>
      <c r="BV671" s="60"/>
      <c r="BW671" s="65" t="n">
        <v>0</v>
      </c>
      <c r="BX671" s="65" t="n">
        <v>671</v>
      </c>
      <c r="BY671" s="60" t="str">
        <f aca="false">IF(U671&lt;&gt;"",UPPER(TRIM(U671)),IF(CB671=1,UPPER(VLOOKUP(T671,Parameter!$I$27:$K$29,2,0)),IF(P671="","LOSE",P671)))</f>
        <v>LOSE</v>
      </c>
      <c r="BZ671" s="62" t="n">
        <f aca="false">IF(BY671="LOSE",1,IF(N(V671)&gt;0,V671,IF(CB671=1,MAX(1,N(VLOOKUP(T671,Parameter!$I$27:$K$29,3,0)),H671,N(N671)),IF(N(Q671)&gt;0,Q671,MAX(1,H671)))))</f>
        <v>1</v>
      </c>
      <c r="CA671" s="65" t="n">
        <f aca="false">IF(BY671="LOSE",1,0)</f>
        <v>1</v>
      </c>
      <c r="CB671" s="65" t="n">
        <f aca="false">IF(AND(U671="",OR(P671="",P671="LOSE"),T671&lt;&gt;"",N(S671)&lt;=0,ISNUMBER(MATCH(T671,Parameter!$I$27:$I$29,0))),1,0)</f>
        <v>0</v>
      </c>
      <c r="CC671" s="65" t="n">
        <f aca="false">IF(CR671&gt;0,INDEX(Parameter!$H$5:$H$7,W671)/INDEX(Parameter!$E$5:$E$7,W671),IF(AND(CA671=0,N(IFERROR(VLOOKUP(BY671,'Gebinde-Kategorie'!$A$5:$N$45,14,0),0))&gt;0),VLOOKUP(BY671,'Gebinde-Kategorie'!$A$5:$N$45,14,0)*10+Parameter!$M$23,Parameter!$M$24))</f>
        <v>235</v>
      </c>
      <c r="CD671" s="60" t="str">
        <f aca="false">IF(AND(Parameter!$B$19="Ja",E671&lt;&gt;"",ISNUMBER(MATCH(E671,Parameter!$I$35:$I$52,0))),VLOOKUP(E671,Parameter!$I$35:$J$52,2,0),IFERROR(VLOOKUP(D671,Parameter!$A$35:$C$64,2,0),"Nein"))</f>
        <v>Nein</v>
      </c>
      <c r="CE671" s="64" t="n">
        <f aca="false">IF(CA671=0,0,IF(N(S671)&gt;0,S671,IFERROR(VLOOKUP(D671,Parameter!$A$35:$C$64,3,0)+0,0)))</f>
        <v>0.15</v>
      </c>
      <c r="CF671" s="60" t="str">
        <f aca="false">IF(AB671&lt;&gt;"",AB671,AA671)</f>
        <v>-</v>
      </c>
      <c r="CG671" s="60" t="str">
        <f aca="false">IF(OR(CF671=1,CF671=2,CF671=3),IF(Parameter!$E$27="Ja","LIFT",IF(CF671=1,"L1","L23")),IF(CF671="Aussen","Aussen","-"))</f>
        <v>-</v>
      </c>
      <c r="CH671" s="71" t="n">
        <f aca="false">IF(N(AC671)&gt;0,AC671,0)</f>
        <v>0</v>
      </c>
      <c r="CI671" s="65" t="n">
        <f aca="false">IF(ISNUMBER(AF671),1,0)</f>
        <v>0</v>
      </c>
      <c r="CJ671" s="62" t="n">
        <f aca="false">N(AF671)</f>
        <v>0</v>
      </c>
      <c r="CK671" s="62" t="n">
        <f aca="false">N(M671)+N(N671)</f>
        <v>1</v>
      </c>
      <c r="CL671" s="62" t="n">
        <f aca="false">N(M671)</f>
        <v>0</v>
      </c>
      <c r="CM671" s="62" t="n">
        <f aca="false">N(N671)</f>
        <v>1</v>
      </c>
      <c r="CN671" s="62" t="n">
        <f aca="false">ROUNDUP(H671/BZ671,0)</f>
        <v>0</v>
      </c>
      <c r="CO671" s="62" t="n">
        <f aca="false">ROUNDUP(CJ671/BZ671,0)</f>
        <v>0</v>
      </c>
      <c r="CP671" s="65" t="n">
        <f aca="false">IF(CA671=1,0,IFERROR(VLOOKUP(BY671,'Gebinde-Kategorie'!$A$5:$N$45,5,0)+0,0))</f>
        <v>0</v>
      </c>
      <c r="CQ671" s="65" t="n">
        <f aca="false">IFERROR(IF(OR(CF671=1,CF671=2,CF671=3),N(INDEX(Parameter!$I$5:$I$7,CF671)),0),0)</f>
        <v>0</v>
      </c>
      <c r="CR671" s="64" t="n">
        <f aca="false">IF(AND(Parameter!$B$21="Ja",ISNUMBER(W671),N(X671)&gt;0),IFERROR(N(INDEX(Parameter!$L$5:$L$7,W671))*INDEX(Parameter!$E$5:$E$7,W671)*X671/SUMIFS($X$7:$X$1843,$W$7:$W$1843,W671),0),0)</f>
        <v>0</v>
      </c>
      <c r="CS671" s="62" t="str">
        <f aca="false">IF(AND(OR(CG671="L1",CG671="L23",CG671="LIFT"),H671&gt;0),CC671*IF(CR671&gt;0,CR671*MAX(1,H671/X671),IF(CA671=1,CE671,IF(R671&gt;0,CN671/R671,0))/MAX(0.1,N(Parameter!$M$21))),"")</f>
        <v/>
      </c>
      <c r="CT671" s="64" t="str">
        <f aca="false">IF(CS671="","",J671/H671)</f>
        <v/>
      </c>
      <c r="CU671" s="62" t="str">
        <f aca="false">IF(CS671="","",H671*G671)</f>
        <v/>
      </c>
      <c r="CV671" s="63" t="str">
        <f aca="false">IF(CS671="","",(CL671+ROUNDUP(CL671+MAX(CM671,2*(J671/MAX(0.1,N(Einkauf!$C$6))-CL671)),0))/2)</f>
        <v/>
      </c>
      <c r="CW671" s="62" t="str">
        <f aca="false">IF(CS671="","",MAX(0,H671-CV671)*G671)</f>
        <v/>
      </c>
      <c r="CX671" s="62" t="str">
        <f aca="false">IF(CS671="","",CS671*MAX(0,1-CV671/H671))</f>
        <v/>
      </c>
      <c r="CY671" s="64" t="str">
        <f aca="false">IF(CS671="","",PERCENTRANK($CS$7:$CS$1843,CS671)+PERCENTRANK($CU$7:$CU$1843,CU671)+1-PERCENTRANK($CT$7:$CT$1843,CT671))</f>
        <v/>
      </c>
      <c r="CZ671" s="72" t="str">
        <f aca="false">IF(CS671="","",CHOOSE(MATCH(Einkauf!$C$5,Parameter!$G$23:$G$27,0),CY671,CS671,CU671,-CT671,CW671)+ROW()/1000000000)</f>
        <v/>
      </c>
    </row>
    <row r="672" customFormat="false" ht="15" hidden="false" customHeight="false" outlineLevel="0" collapsed="false">
      <c r="A672" s="60" t="s">
        <v>1392</v>
      </c>
      <c r="B672" s="60" t="s">
        <v>223</v>
      </c>
      <c r="C672" s="60" t="s">
        <v>206</v>
      </c>
      <c r="D672" s="60" t="s">
        <v>215</v>
      </c>
      <c r="E672" s="60"/>
      <c r="F672" s="60" t="s">
        <v>260</v>
      </c>
      <c r="G672" s="61" t="n">
        <v>5409.17</v>
      </c>
      <c r="H672" s="62" t="n">
        <f aca="false">MAX(0,IF(AND(Parameter!$B$21="Ja",ISNUMBER(Y672)),Y672,IF(Parameter!$B$20="Jahresanfang 2025 + Export",BS672+BR672,BR672)))</f>
        <v>0</v>
      </c>
      <c r="I672" s="62" t="n">
        <f aca="false">H672*G672</f>
        <v>0</v>
      </c>
      <c r="J672" s="62" t="n">
        <f aca="false">BU672*Parameter!$B$18</f>
        <v>1</v>
      </c>
      <c r="K672" s="63" t="n">
        <v>0</v>
      </c>
      <c r="L672" s="64" t="n">
        <v>0</v>
      </c>
      <c r="M672" s="62" t="n">
        <v>0</v>
      </c>
      <c r="N672" s="62" t="n">
        <v>1</v>
      </c>
      <c r="O672" s="65" t="n">
        <v>115</v>
      </c>
      <c r="P672" s="60" t="s">
        <v>210</v>
      </c>
      <c r="Q672" s="62"/>
      <c r="R672" s="65" t="n">
        <f aca="false">IF(CA672=1,0,IFERROR(VLOOKUP(BY672,'Gebinde-Kategorie'!$A$5:$N$45,13,0)+0,0))</f>
        <v>12</v>
      </c>
      <c r="S672" s="66"/>
      <c r="T672" s="67" t="s">
        <v>221</v>
      </c>
      <c r="U672" s="67"/>
      <c r="V672" s="67"/>
      <c r="W672" s="60"/>
      <c r="X672" s="62"/>
      <c r="Y672" s="62"/>
      <c r="Z672" s="60" t="n">
        <v>3</v>
      </c>
      <c r="AA672" s="60" t="n">
        <f aca="false">IF(A672="","",IF(AND(Parameter!$B$21="Ja",ISNUMBER(W672)),W672,IF(AND(Parameter!$E$27="Ja",ISNUMBER(Z672),CD672&lt;&gt;"Nein"),Z672,IF(CD672="2+3",IF(ISNUMBER(SEARCH("grosser Artikel",BV672)),2,IFERROR(VLOOKUP(BY672,Parameter!$F$35:$G$64,2,0),2)),IF(OR(CD672="Nein",CD672=""),"-",CD672)))))</f>
        <v>3</v>
      </c>
      <c r="AB672" s="67"/>
      <c r="AC672" s="68"/>
      <c r="AD672" s="62" t="n">
        <f aca="false">AW672</f>
        <v>1</v>
      </c>
      <c r="AE672" s="62" t="n">
        <f aca="false">MAX(AW672,H672)</f>
        <v>1</v>
      </c>
      <c r="AF672" s="69"/>
      <c r="AG672" s="62" t="n">
        <f aca="false">IF(LEFT(Cockpit!$C$5,1)="A",H672,IF(Parameter!$E$30="MAX-Bestand",IF(CI672=1,CJ672,IF(LEFT(Cockpit!$C$5,1)="B",AM672,MAX(AM672,H672))),ROUNDUP(AK672,0)))</f>
        <v>0</v>
      </c>
      <c r="AH672" s="62" t="n">
        <f aca="false">IF(CA672=1,0,ROUNDUP(AG672/BZ672,0))</f>
        <v>0</v>
      </c>
      <c r="AI672" s="64" t="n">
        <f aca="false">IF(CR672&gt;0,CR672*MAX(1,AG672/X672),IF(CA672=1,IF(AG672&lt;=0,0,CE672*MAX(1,IF(H672&gt;0,AG672/H672,1))),IF(R672&gt;0,AH672/R672,0))/MAX(0.1,N(Parameter!$M$21)))</f>
        <v>0</v>
      </c>
      <c r="AJ672" s="62" t="n">
        <f aca="false">AI672*CC672</f>
        <v>0</v>
      </c>
      <c r="AK672" s="63" t="n">
        <f aca="false">IF(LEFT(Cockpit!$C$5,1)="A",H672,IF(CI672=1,(CL672+CJ672)/2,IF(LEFT(Cockpit!$C$5,1)="B",(CL672+AM672)/2,MAX((CL672+AM672)/2,H672))))</f>
        <v>0</v>
      </c>
      <c r="AL672" s="62" t="n">
        <f aca="false">AK672*G672</f>
        <v>0</v>
      </c>
      <c r="AM672" s="62" t="n">
        <f aca="false">ROUNDUP(CL672+MAX(CM672,2*(J672/IF(CH672&gt;0,CH672,MAX(0.1,N(Cockpit!$C$6)))-CL672)),0)</f>
        <v>1</v>
      </c>
      <c r="AN672" s="63" t="n">
        <f aca="false">IF(AJ672&gt;0,J672/AJ672,-1)</f>
        <v>-1</v>
      </c>
      <c r="AO672" s="63" t="str">
        <f aca="false">IF(AND(OR(CG672="L1",CG672="L23",CG672="LIFT"),AJ672&gt;0),SUMIFS($AJ$7:$AJ$1843,$CG$7:$CG$1843,CG672,$AN$7:$AN$1843,"&gt;"&amp;AN672)+SUMIFS($AJ$7:$AJ$1843,$CG$7:$CG$1843,CG672,$AN$7:$AN$1843,AN672,$BX$7:$BX$1843,"&lt;="&amp;BX672),"")</f>
        <v/>
      </c>
      <c r="AP672" s="70" t="n">
        <f aca="false">IF(AO672="",0,MAX(0,MIN(1,(IF(CG672="L1",Parameter!$H$5,IF(CG672="L23",Parameter!$H$6+Parameter!$H$7,Parameter!$H$5+Parameter!$H$6+Parameter!$H$7))-(AO672-AJ672))/AJ672)))</f>
        <v>0</v>
      </c>
      <c r="AQ672" s="62" t="n">
        <f aca="false">IF(LEFT(Cockpit!$I$5,1)="A",H672,IF(Parameter!$E$30="MAX-Bestand",IF(CI672=1,CJ672,IF(LEFT(Cockpit!$I$5,1)="B",AW672,MAX(AW672,H672))),ROUNDUP(AU672,0)))</f>
        <v>1</v>
      </c>
      <c r="AR672" s="62" t="n">
        <f aca="false">IF(CA672=1,0,ROUNDUP(AQ672/BZ672,0))</f>
        <v>1</v>
      </c>
      <c r="AS672" s="64" t="n">
        <f aca="false">IF(CR672&gt;0,CR672*MAX(1,AQ672/X672),IF(CA672=1,IF(AQ672&lt;=0,0,CE672*MAX(1,IF(H672&gt;0,AQ672/H672,1))),IF(R672&gt;0,AR672/R672,0))/MAX(0.1,N(Parameter!$M$21)))</f>
        <v>0.0833333333333333</v>
      </c>
      <c r="AT672" s="62" t="n">
        <f aca="false">AS672*CC672</f>
        <v>12.0833333333333</v>
      </c>
      <c r="AU672" s="63" t="n">
        <f aca="false">IF(LEFT(Cockpit!$I$5,1)="A",H672,IF(CI672=1,(CL672+CJ672)/2,IF(LEFT(Cockpit!$I$5,1)="B",(CL672+AW672)/2,MAX((CL672+AW672)/2,H672))))</f>
        <v>0.5</v>
      </c>
      <c r="AV672" s="62" t="n">
        <f aca="false">AU672*G672</f>
        <v>2704.585</v>
      </c>
      <c r="AW672" s="62" t="n">
        <f aca="false">ROUNDUP(CL672+MAX(CM672,2*(J672/IF(CH672&gt;0,CH672,MAX(0.1,N(Cockpit!$I$6)))-CL672)),0)</f>
        <v>1</v>
      </c>
      <c r="AX672" s="63" t="n">
        <f aca="false">IF(AT672&gt;0,J672/AT672,-1)</f>
        <v>0.0827586206896552</v>
      </c>
      <c r="AY672" s="63" t="n">
        <f aca="false">IF(AND(OR(CG672="L1",CG672="L23",CG672="LIFT"),AT672&gt;0),SUMIFS($AT$7:$AT$1843,$CG$7:$CG$1843,CG672,$AX$7:$AX$1843,"&gt;"&amp;AX672)+SUMIFS($AT$7:$AT$1843,$CG$7:$CG$1843,CG672,$AX$7:$AX$1843,AX672,$BX$7:$BX$1843,"&lt;="&amp;BX672),"")</f>
        <v>21748.8393736678</v>
      </c>
      <c r="AZ672" s="70" t="n">
        <f aca="false">IF(AY672="",0,MAX(0,MIN(1,(IF(CG672="L1",Parameter!$H$5,IF(CG672="L23",Parameter!$H$6+Parameter!$H$7,Parameter!$H$5+Parameter!$H$6+Parameter!$H$7))-(AY672-AT672))/AT672)))</f>
        <v>1</v>
      </c>
      <c r="BA672" s="62" t="n">
        <f aca="false">IF(LEFT(Cockpit!$O$5,1)="A",H672,IF(Parameter!$E$30="MAX-Bestand",IF(CI672=1,CJ672,IF(LEFT(Cockpit!$O$5,1)="B",BG672,MAX(BG672,H672))),ROUNDUP(BE672,0)))</f>
        <v>1</v>
      </c>
      <c r="BB672" s="62" t="n">
        <f aca="false">IF(CA672=1,0,ROUNDUP(BA672/BZ672,0))</f>
        <v>1</v>
      </c>
      <c r="BC672" s="64" t="n">
        <f aca="false">IF(CR672&gt;0,CR672*MAX(1,BA672/X672),IF(CA672=1,IF(BA672&lt;=0,0,CE672*MAX(1,IF(H672&gt;0,BA672/H672,1))),IF(R672&gt;0,BB672/R672,0))/MAX(0.1,N(Parameter!$M$21)))</f>
        <v>0.0833333333333333</v>
      </c>
      <c r="BD672" s="62" t="n">
        <f aca="false">BC672*CC672</f>
        <v>12.0833333333333</v>
      </c>
      <c r="BE672" s="63" t="n">
        <f aca="false">IF(LEFT(Cockpit!$O$5,1)="A",H672,IF(CI672=1,(CL672+CJ672)/2,IF(LEFT(Cockpit!$O$5,1)="B",(CL672+BG672)/2,MAX((CL672+BG672)/2,H672))))</f>
        <v>0.5</v>
      </c>
      <c r="BF672" s="62" t="n">
        <f aca="false">BE672*G672</f>
        <v>2704.585</v>
      </c>
      <c r="BG672" s="62" t="n">
        <f aca="false">ROUNDUP(CL672+MAX(CM672,2*(J672/IF(CH672&gt;0,CH672,MAX(0.1,N(Cockpit!$O$6)))-CL672)),0)</f>
        <v>1</v>
      </c>
      <c r="BH672" s="63" t="n">
        <f aca="false">IF(BD672&gt;0,J672/BD672,-1)</f>
        <v>0.0827586206896552</v>
      </c>
      <c r="BI672" s="63" t="n">
        <f aca="false">IF(AND(OR(CG672="L1",CG672="L23",CG672="LIFT"),BD672&gt;0),SUMIFS($BD$7:$BD$1843,$CG$7:$CG$1843,CG672,$BH$7:$BH$1843,"&gt;"&amp;BH672)+SUMIFS($BD$7:$BD$1843,$CG$7:$CG$1843,CG672,$BH$7:$BH$1843,BH672,$BX$7:$BX$1843,"&lt;="&amp;BX672),"")</f>
        <v>18286.8955759401</v>
      </c>
      <c r="BJ672" s="70" t="n">
        <f aca="false">IF(BI672="",0,MAX(0,MIN(1,(IF(CG672="L1",Parameter!$H$5,IF(CG672="L23",Parameter!$H$6+Parameter!$H$7,Parameter!$H$5+Parameter!$H$6+Parameter!$H$7))-(BI672-BD672))/BD672)))</f>
        <v>1</v>
      </c>
      <c r="BK672" s="60" t="str">
        <f aca="false">IF(AJ672&lt;=0,"",IF(CG672="Aussen","Aussenlager",IF(CG672="-","Nicht im Lift",IF(AP672&gt;=1,"Lift",IF(AP672&lt;=0,"Aussenlager","teilweise")))))</f>
        <v/>
      </c>
      <c r="BL672" s="60" t="str">
        <f aca="false">IF(AT672&lt;=0,"",IF(CG672="Aussen","Aussenlager",IF(CG672="-","Nicht im Lift",IF(AZ672&gt;=1,"Lift",IF(AZ672&lt;=0,"Aussenlager","teilweise")))))</f>
        <v>Lift</v>
      </c>
      <c r="BM672" s="60" t="str">
        <f aca="false">IF(BD672&lt;=0,"",IF(CG672="Aussen","Aussenlager",IF(CG672="-","Nicht im Lift",IF(BJ672&gt;=1,"Lift",IF(BJ672&lt;=0,"Aussenlager","teilweise")))))</f>
        <v>Lift</v>
      </c>
      <c r="BN672" s="60" t="str">
        <f aca="false">IF(A672="","",IF(BW672=1,"Neu; ","")&amp;IF(AND(BW672=0,BR672&lt;0),"negativer Bestand (Export "&amp;BR672&amp;"); ","")&amp;IF(J672&lt;=0,"Kein Verbrauch; ","")&amp;IF(CR672&gt;0,"Lift "&amp;W672&amp;" lt. Liftbericht (Fach "&amp;X672&amp;" Stk); ",IF(CB672=1,"Gebinde geschätzt ("&amp;T672&amp;"); ",IF(CA672=1,"Lose – Tablare geschätzt; ","")))&amp;IF(H672&gt;AW672,"Überbestand "&amp;ROUND(H672-AW672,0)&amp;" Stk / CHF "&amp;ROUND((H672-AW672)*G672,0)&amp;"; ","")&amp;IF(AND(CI672=1,CJ672&lt;CK672),"MAX &lt; MB+LG; ","")&amp;IF(AND(CQ672&gt;0,CP672*10&gt;CQ672),"zu hoch für Tablar; ","")&amp;IF(AND(BW672=0,OR(CI672=1,AB672&lt;&gt;"",U672&lt;&gt;"",V672&lt;&gt;"",AC672&lt;&gt;"")),"manuell übersteuert; ","")&amp;IF(AND(CA672=0,R672=0),"Gebinde unbekannt / Stellmass fehlt; ","")&amp;IF(AND(CA672=0,N(V672)&lt;=0,N(Q672)&lt;=0),"Menge pro Gebinde fehlt (Ist = 1 Gebinde); ","")&amp;BV672)</f>
        <v>Gebinde geschätzt (Mittel); Menge pro Gebinde fehlt (Ist = 1 Gebinde); </v>
      </c>
      <c r="BO672" s="60"/>
      <c r="BP672" s="60"/>
      <c r="BQ672" s="67"/>
      <c r="BR672" s="62" t="n">
        <v>0</v>
      </c>
      <c r="BS672" s="62" t="n">
        <v>0</v>
      </c>
      <c r="BT672" s="61" t="n">
        <v>0</v>
      </c>
      <c r="BU672" s="62" t="n">
        <v>1</v>
      </c>
      <c r="BV672" s="60"/>
      <c r="BW672" s="65" t="n">
        <v>0</v>
      </c>
      <c r="BX672" s="65" t="n">
        <v>672</v>
      </c>
      <c r="BY672" s="60" t="str">
        <f aca="false">IF(U672&lt;&gt;"",UPPER(TRIM(U672)),IF(CB672=1,UPPER(VLOOKUP(T672,Parameter!$I$27:$K$29,2,0)),IF(P672="","LOSE",P672)))</f>
        <v>S61</v>
      </c>
      <c r="BZ672" s="62" t="n">
        <f aca="false">IF(BY672="LOSE",1,IF(N(V672)&gt;0,V672,IF(CB672=1,MAX(1,N(VLOOKUP(T672,Parameter!$I$27:$K$29,3,0)),H672,N(N672)),IF(N(Q672)&gt;0,Q672,MAX(1,H672)))))</f>
        <v>4</v>
      </c>
      <c r="CA672" s="65" t="n">
        <f aca="false">IF(BY672="LOSE",1,0)</f>
        <v>0</v>
      </c>
      <c r="CB672" s="65" t="n">
        <f aca="false">IF(AND(U672="",OR(P672="",P672="LOSE"),T672&lt;&gt;"",N(S672)&lt;=0,ISNUMBER(MATCH(T672,Parameter!$I$27:$I$29,0))),1,0)</f>
        <v>1</v>
      </c>
      <c r="CC672" s="65" t="n">
        <f aca="false">IF(CR672&gt;0,INDEX(Parameter!$H$5:$H$7,W672)/INDEX(Parameter!$E$5:$E$7,W672),IF(AND(CA672=0,N(IFERROR(VLOOKUP(BY672,'Gebinde-Kategorie'!$A$5:$N$45,14,0),0))&gt;0),VLOOKUP(BY672,'Gebinde-Kategorie'!$A$5:$N$45,14,0)*10+Parameter!$M$23,Parameter!$M$24))</f>
        <v>145</v>
      </c>
      <c r="CD672" s="60" t="str">
        <f aca="false">IF(AND(Parameter!$B$19="Ja",E672&lt;&gt;"",ISNUMBER(MATCH(E672,Parameter!$I$35:$I$52,0))),VLOOKUP(E672,Parameter!$I$35:$J$52,2,0),IFERROR(VLOOKUP(D672,Parameter!$A$35:$C$64,2,0),"Nein"))</f>
        <v>2+3</v>
      </c>
      <c r="CE672" s="64" t="n">
        <f aca="false">IF(CA672=0,0,IF(N(S672)&gt;0,S672,IFERROR(VLOOKUP(D672,Parameter!$A$35:$C$64,3,0)+0,0)))</f>
        <v>0</v>
      </c>
      <c r="CF672" s="60" t="n">
        <f aca="false">IF(AB672&lt;&gt;"",AB672,AA672)</f>
        <v>3</v>
      </c>
      <c r="CG672" s="60" t="str">
        <f aca="false">IF(OR(CF672=1,CF672=2,CF672=3),IF(Parameter!$E$27="Ja","LIFT",IF(CF672=1,"L1","L23")),IF(CF672="Aussen","Aussen","-"))</f>
        <v>LIFT</v>
      </c>
      <c r="CH672" s="71" t="n">
        <f aca="false">IF(N(AC672)&gt;0,AC672,0)</f>
        <v>0</v>
      </c>
      <c r="CI672" s="65" t="n">
        <f aca="false">IF(ISNUMBER(AF672),1,0)</f>
        <v>0</v>
      </c>
      <c r="CJ672" s="62" t="n">
        <f aca="false">N(AF672)</f>
        <v>0</v>
      </c>
      <c r="CK672" s="62" t="n">
        <f aca="false">N(M672)+N(N672)</f>
        <v>1</v>
      </c>
      <c r="CL672" s="62" t="n">
        <f aca="false">N(M672)</f>
        <v>0</v>
      </c>
      <c r="CM672" s="62" t="n">
        <f aca="false">N(N672)</f>
        <v>1</v>
      </c>
      <c r="CN672" s="62" t="n">
        <f aca="false">ROUNDUP(H672/BZ672,0)</f>
        <v>0</v>
      </c>
      <c r="CO672" s="62" t="n">
        <f aca="false">ROUNDUP(CJ672/BZ672,0)</f>
        <v>0</v>
      </c>
      <c r="CP672" s="65" t="n">
        <f aca="false">IF(CA672=1,0,IFERROR(VLOOKUP(BY672,'Gebinde-Kategorie'!$A$5:$N$45,5,0)+0,0))</f>
        <v>11</v>
      </c>
      <c r="CQ672" s="65" t="n">
        <f aca="false">IFERROR(IF(OR(CF672=1,CF672=2,CF672=3),N(INDEX(Parameter!$I$5:$I$7,CF672)),0),0)</f>
        <v>0</v>
      </c>
      <c r="CR672" s="64" t="n">
        <f aca="false">IF(AND(Parameter!$B$21="Ja",ISNUMBER(W672),N(X672)&gt;0),IFERROR(N(INDEX(Parameter!$L$5:$L$7,W672))*INDEX(Parameter!$E$5:$E$7,W672)*X672/SUMIFS($X$7:$X$1843,$W$7:$W$1843,W672),0),0)</f>
        <v>0</v>
      </c>
      <c r="CS672" s="62" t="str">
        <f aca="false">IF(AND(OR(CG672="L1",CG672="L23",CG672="LIFT"),H672&gt;0),CC672*IF(CR672&gt;0,CR672*MAX(1,H672/X672),IF(CA672=1,CE672,IF(R672&gt;0,CN672/R672,0))/MAX(0.1,N(Parameter!$M$21))),"")</f>
        <v/>
      </c>
      <c r="CT672" s="64" t="str">
        <f aca="false">IF(CS672="","",J672/H672)</f>
        <v/>
      </c>
      <c r="CU672" s="62" t="str">
        <f aca="false">IF(CS672="","",H672*G672)</f>
        <v/>
      </c>
      <c r="CV672" s="63" t="str">
        <f aca="false">IF(CS672="","",(CL672+ROUNDUP(CL672+MAX(CM672,2*(J672/MAX(0.1,N(Einkauf!$C$6))-CL672)),0))/2)</f>
        <v/>
      </c>
      <c r="CW672" s="62" t="str">
        <f aca="false">IF(CS672="","",MAX(0,H672-CV672)*G672)</f>
        <v/>
      </c>
      <c r="CX672" s="62" t="str">
        <f aca="false">IF(CS672="","",CS672*MAX(0,1-CV672/H672))</f>
        <v/>
      </c>
      <c r="CY672" s="64" t="str">
        <f aca="false">IF(CS672="","",PERCENTRANK($CS$7:$CS$1843,CS672)+PERCENTRANK($CU$7:$CU$1843,CU672)+1-PERCENTRANK($CT$7:$CT$1843,CT672))</f>
        <v/>
      </c>
      <c r="CZ672" s="72" t="str">
        <f aca="false">IF(CS672="","",CHOOSE(MATCH(Einkauf!$C$5,Parameter!$G$23:$G$27,0),CY672,CS672,CU672,-CT672,CW672)+ROW()/1000000000)</f>
        <v/>
      </c>
    </row>
    <row r="673" customFormat="false" ht="15" hidden="false" customHeight="false" outlineLevel="0" collapsed="false">
      <c r="A673" s="60" t="s">
        <v>1393</v>
      </c>
      <c r="B673" s="60" t="s">
        <v>1394</v>
      </c>
      <c r="C673" s="60" t="s">
        <v>206</v>
      </c>
      <c r="D673" s="60" t="s">
        <v>1037</v>
      </c>
      <c r="E673" s="60"/>
      <c r="F673" s="60" t="s">
        <v>260</v>
      </c>
      <c r="G673" s="61" t="n">
        <v>0</v>
      </c>
      <c r="H673" s="62" t="n">
        <f aca="false">MAX(0,IF(AND(Parameter!$B$21="Ja",ISNUMBER(Y673)),Y673,IF(Parameter!$B$20="Jahresanfang 2025 + Export",BS673+BR673,BR673)))</f>
        <v>0</v>
      </c>
      <c r="I673" s="62" t="n">
        <f aca="false">H673*G673</f>
        <v>0</v>
      </c>
      <c r="J673" s="62" t="n">
        <f aca="false">BU673*Parameter!$B$18</f>
        <v>0</v>
      </c>
      <c r="K673" s="63" t="n">
        <v>0.5</v>
      </c>
      <c r="L673" s="64" t="n">
        <v>0</v>
      </c>
      <c r="M673" s="62" t="n">
        <v>0</v>
      </c>
      <c r="N673" s="62" t="n">
        <v>1</v>
      </c>
      <c r="O673" s="65" t="n">
        <v>28</v>
      </c>
      <c r="P673" s="60" t="s">
        <v>210</v>
      </c>
      <c r="Q673" s="62"/>
      <c r="R673" s="65" t="n">
        <f aca="false">IF(CA673=1,0,IFERROR(VLOOKUP(BY673,'Gebinde-Kategorie'!$A$5:$N$45,13,0)+0,0))</f>
        <v>0</v>
      </c>
      <c r="S673" s="66"/>
      <c r="T673" s="67"/>
      <c r="U673" s="67"/>
      <c r="V673" s="67"/>
      <c r="W673" s="60"/>
      <c r="X673" s="62"/>
      <c r="Y673" s="62"/>
      <c r="Z673" s="60"/>
      <c r="AA673" s="60" t="str">
        <f aca="false">IF(A673="","",IF(AND(Parameter!$B$21="Ja",ISNUMBER(W673)),W673,IF(AND(Parameter!$E$27="Ja",ISNUMBER(Z673),CD673&lt;&gt;"Nein"),Z673,IF(CD673="2+3",IF(ISNUMBER(SEARCH("grosser Artikel",BV673)),2,IFERROR(VLOOKUP(BY673,Parameter!$F$35:$G$64,2,0),2)),IF(OR(CD673="Nein",CD673=""),"-",CD673)))))</f>
        <v>-</v>
      </c>
      <c r="AB673" s="67"/>
      <c r="AC673" s="68"/>
      <c r="AD673" s="62" t="n">
        <f aca="false">AW673</f>
        <v>1</v>
      </c>
      <c r="AE673" s="62" t="n">
        <f aca="false">MAX(AW673,H673)</f>
        <v>1</v>
      </c>
      <c r="AF673" s="69"/>
      <c r="AG673" s="62" t="n">
        <f aca="false">IF(LEFT(Cockpit!$C$5,1)="A",H673,IF(Parameter!$E$30="MAX-Bestand",IF(CI673=1,CJ673,IF(LEFT(Cockpit!$C$5,1)="B",AM673,MAX(AM673,H673))),ROUNDUP(AK673,0)))</f>
        <v>0</v>
      </c>
      <c r="AH673" s="62" t="n">
        <f aca="false">IF(CA673=1,0,ROUNDUP(AG673/BZ673,0))</f>
        <v>0</v>
      </c>
      <c r="AI673" s="64" t="n">
        <f aca="false">IF(CR673&gt;0,CR673*MAX(1,AG673/X673),IF(CA673=1,IF(AG673&lt;=0,0,CE673*MAX(1,IF(H673&gt;0,AG673/H673,1))),IF(R673&gt;0,AH673/R673,0))/MAX(0.1,N(Parameter!$M$21)))</f>
        <v>0</v>
      </c>
      <c r="AJ673" s="62" t="n">
        <f aca="false">AI673*CC673</f>
        <v>0</v>
      </c>
      <c r="AK673" s="63" t="n">
        <f aca="false">IF(LEFT(Cockpit!$C$5,1)="A",H673,IF(CI673=1,(CL673+CJ673)/2,IF(LEFT(Cockpit!$C$5,1)="B",(CL673+AM673)/2,MAX((CL673+AM673)/2,H673))))</f>
        <v>0</v>
      </c>
      <c r="AL673" s="62" t="n">
        <f aca="false">AK673*G673</f>
        <v>0</v>
      </c>
      <c r="AM673" s="62" t="n">
        <f aca="false">ROUNDUP(CL673+MAX(CM673,2*(J673/IF(CH673&gt;0,CH673,MAX(0.1,N(Cockpit!$C$6)))-CL673)),0)</f>
        <v>1</v>
      </c>
      <c r="AN673" s="63" t="n">
        <f aca="false">IF(AJ673&gt;0,J673/AJ673,-1)</f>
        <v>-1</v>
      </c>
      <c r="AO673" s="63" t="str">
        <f aca="false">IF(AND(OR(CG673="L1",CG673="L23",CG673="LIFT"),AJ673&gt;0),SUMIFS($AJ$7:$AJ$1843,$CG$7:$CG$1843,CG673,$AN$7:$AN$1843,"&gt;"&amp;AN673)+SUMIFS($AJ$7:$AJ$1843,$CG$7:$CG$1843,CG673,$AN$7:$AN$1843,AN673,$BX$7:$BX$1843,"&lt;="&amp;BX673),"")</f>
        <v/>
      </c>
      <c r="AP673" s="70" t="n">
        <f aca="false">IF(AO673="",0,MAX(0,MIN(1,(IF(CG673="L1",Parameter!$H$5,IF(CG673="L23",Parameter!$H$6+Parameter!$H$7,Parameter!$H$5+Parameter!$H$6+Parameter!$H$7))-(AO673-AJ673))/AJ673)))</f>
        <v>0</v>
      </c>
      <c r="AQ673" s="62" t="n">
        <f aca="false">IF(LEFT(Cockpit!$I$5,1)="A",H673,IF(Parameter!$E$30="MAX-Bestand",IF(CI673=1,CJ673,IF(LEFT(Cockpit!$I$5,1)="B",AW673,MAX(AW673,H673))),ROUNDUP(AU673,0)))</f>
        <v>1</v>
      </c>
      <c r="AR673" s="62" t="n">
        <f aca="false">IF(CA673=1,0,ROUNDUP(AQ673/BZ673,0))</f>
        <v>0</v>
      </c>
      <c r="AS673" s="64" t="n">
        <f aca="false">IF(CR673&gt;0,CR673*MAX(1,AQ673/X673),IF(CA673=1,IF(AQ673&lt;=0,0,CE673*MAX(1,IF(H673&gt;0,AQ673/H673,1))),IF(R673&gt;0,AR673/R673,0))/MAX(0.1,N(Parameter!$M$21)))</f>
        <v>0.15</v>
      </c>
      <c r="AT673" s="62" t="n">
        <f aca="false">AS673*CC673</f>
        <v>35.25</v>
      </c>
      <c r="AU673" s="63" t="n">
        <f aca="false">IF(LEFT(Cockpit!$I$5,1)="A",H673,IF(CI673=1,(CL673+CJ673)/2,IF(LEFT(Cockpit!$I$5,1)="B",(CL673+AW673)/2,MAX((CL673+AW673)/2,H673))))</f>
        <v>0.5</v>
      </c>
      <c r="AV673" s="62" t="n">
        <f aca="false">AU673*G673</f>
        <v>0</v>
      </c>
      <c r="AW673" s="62" t="n">
        <f aca="false">ROUNDUP(CL673+MAX(CM673,2*(J673/IF(CH673&gt;0,CH673,MAX(0.1,N(Cockpit!$I$6)))-CL673)),0)</f>
        <v>1</v>
      </c>
      <c r="AX673" s="63" t="n">
        <f aca="false">IF(AT673&gt;0,J673/AT673,-1)</f>
        <v>0</v>
      </c>
      <c r="AY673" s="63" t="str">
        <f aca="false">IF(AND(OR(CG673="L1",CG673="L23",CG673="LIFT"),AT673&gt;0),SUMIFS($AT$7:$AT$1843,$CG$7:$CG$1843,CG673,$AX$7:$AX$1843,"&gt;"&amp;AX673)+SUMIFS($AT$7:$AT$1843,$CG$7:$CG$1843,CG673,$AX$7:$AX$1843,AX673,$BX$7:$BX$1843,"&lt;="&amp;BX673),"")</f>
        <v/>
      </c>
      <c r="AZ673" s="70" t="n">
        <f aca="false">IF(AY673="",0,MAX(0,MIN(1,(IF(CG673="L1",Parameter!$H$5,IF(CG673="L23",Parameter!$H$6+Parameter!$H$7,Parameter!$H$5+Parameter!$H$6+Parameter!$H$7))-(AY673-AT673))/AT673)))</f>
        <v>0</v>
      </c>
      <c r="BA673" s="62" t="n">
        <f aca="false">IF(LEFT(Cockpit!$O$5,1)="A",H673,IF(Parameter!$E$30="MAX-Bestand",IF(CI673=1,CJ673,IF(LEFT(Cockpit!$O$5,1)="B",BG673,MAX(BG673,H673))),ROUNDUP(BE673,0)))</f>
        <v>1</v>
      </c>
      <c r="BB673" s="62" t="n">
        <f aca="false">IF(CA673=1,0,ROUNDUP(BA673/BZ673,0))</f>
        <v>0</v>
      </c>
      <c r="BC673" s="64" t="n">
        <f aca="false">IF(CR673&gt;0,CR673*MAX(1,BA673/X673),IF(CA673=1,IF(BA673&lt;=0,0,CE673*MAX(1,IF(H673&gt;0,BA673/H673,1))),IF(R673&gt;0,BB673/R673,0))/MAX(0.1,N(Parameter!$M$21)))</f>
        <v>0.15</v>
      </c>
      <c r="BD673" s="62" t="n">
        <f aca="false">BC673*CC673</f>
        <v>35.25</v>
      </c>
      <c r="BE673" s="63" t="n">
        <f aca="false">IF(LEFT(Cockpit!$O$5,1)="A",H673,IF(CI673=1,(CL673+CJ673)/2,IF(LEFT(Cockpit!$O$5,1)="B",(CL673+BG673)/2,MAX((CL673+BG673)/2,H673))))</f>
        <v>0.5</v>
      </c>
      <c r="BF673" s="62" t="n">
        <f aca="false">BE673*G673</f>
        <v>0</v>
      </c>
      <c r="BG673" s="62" t="n">
        <f aca="false">ROUNDUP(CL673+MAX(CM673,2*(J673/IF(CH673&gt;0,CH673,MAX(0.1,N(Cockpit!$O$6)))-CL673)),0)</f>
        <v>1</v>
      </c>
      <c r="BH673" s="63" t="n">
        <f aca="false">IF(BD673&gt;0,J673/BD673,-1)</f>
        <v>0</v>
      </c>
      <c r="BI673" s="63" t="str">
        <f aca="false">IF(AND(OR(CG673="L1",CG673="L23",CG673="LIFT"),BD673&gt;0),SUMIFS($BD$7:$BD$1843,$CG$7:$CG$1843,CG673,$BH$7:$BH$1843,"&gt;"&amp;BH673)+SUMIFS($BD$7:$BD$1843,$CG$7:$CG$1843,CG673,$BH$7:$BH$1843,BH673,$BX$7:$BX$1843,"&lt;="&amp;BX673),"")</f>
        <v/>
      </c>
      <c r="BJ673" s="70" t="n">
        <f aca="false">IF(BI673="",0,MAX(0,MIN(1,(IF(CG673="L1",Parameter!$H$5,IF(CG673="L23",Parameter!$H$6+Parameter!$H$7,Parameter!$H$5+Parameter!$H$6+Parameter!$H$7))-(BI673-BD673))/BD673)))</f>
        <v>0</v>
      </c>
      <c r="BK673" s="60" t="str">
        <f aca="false">IF(AJ673&lt;=0,"",IF(CG673="Aussen","Aussenlager",IF(CG673="-","Nicht im Lift",IF(AP673&gt;=1,"Lift",IF(AP673&lt;=0,"Aussenlager","teilweise")))))</f>
        <v/>
      </c>
      <c r="BL673" s="60" t="str">
        <f aca="false">IF(AT673&lt;=0,"",IF(CG673="Aussen","Aussenlager",IF(CG673="-","Nicht im Lift",IF(AZ673&gt;=1,"Lift",IF(AZ673&lt;=0,"Aussenlager","teilweise")))))</f>
        <v>Nicht im Lift</v>
      </c>
      <c r="BM673" s="60" t="str">
        <f aca="false">IF(BD673&lt;=0,"",IF(CG673="Aussen","Aussenlager",IF(CG673="-","Nicht im Lift",IF(BJ673&gt;=1,"Lift",IF(BJ673&lt;=0,"Aussenlager","teilweise")))))</f>
        <v>Nicht im Lift</v>
      </c>
      <c r="BN673" s="60" t="str">
        <f aca="false">IF(A673="","",IF(BW673=1,"Neu; ","")&amp;IF(AND(BW673=0,BR673&lt;0),"negativer Bestand (Export "&amp;BR673&amp;"); ","")&amp;IF(J673&lt;=0,"Kein Verbrauch; ","")&amp;IF(CR673&gt;0,"Lift "&amp;W673&amp;" lt. Liftbericht (Fach "&amp;X673&amp;" Stk); ",IF(CB673=1,"Gebinde geschätzt ("&amp;T673&amp;"); ",IF(CA673=1,"Lose – Tablare geschätzt; ","")))&amp;IF(H673&gt;AW673,"Überbestand "&amp;ROUND(H673-AW673,0)&amp;" Stk / CHF "&amp;ROUND((H673-AW673)*G673,0)&amp;"; ","")&amp;IF(AND(CI673=1,CJ673&lt;CK673),"MAX &lt; MB+LG; ","")&amp;IF(AND(CQ673&gt;0,CP673*10&gt;CQ673),"zu hoch für Tablar; ","")&amp;IF(AND(BW673=0,OR(CI673=1,AB673&lt;&gt;"",U673&lt;&gt;"",V673&lt;&gt;"",AC673&lt;&gt;"")),"manuell übersteuert; ","")&amp;IF(AND(CA673=0,R673=0),"Gebinde unbekannt / Stellmass fehlt; ","")&amp;IF(AND(CA673=0,N(V673)&lt;=0,N(Q673)&lt;=0),"Menge pro Gebinde fehlt (Ist = 1 Gebinde); ","")&amp;BV673)</f>
        <v>Kein Verbrauch; Lose – Tablare geschätzt; </v>
      </c>
      <c r="BO673" s="60"/>
      <c r="BP673" s="60"/>
      <c r="BQ673" s="67"/>
      <c r="BR673" s="62" t="n">
        <v>0</v>
      </c>
      <c r="BS673" s="62" t="n">
        <v>0</v>
      </c>
      <c r="BT673" s="61" t="n">
        <v>0</v>
      </c>
      <c r="BU673" s="62" t="n">
        <v>0</v>
      </c>
      <c r="BV673" s="60"/>
      <c r="BW673" s="65" t="n">
        <v>0</v>
      </c>
      <c r="BX673" s="65" t="n">
        <v>673</v>
      </c>
      <c r="BY673" s="60" t="str">
        <f aca="false">IF(U673&lt;&gt;"",UPPER(TRIM(U673)),IF(CB673=1,UPPER(VLOOKUP(T673,Parameter!$I$27:$K$29,2,0)),IF(P673="","LOSE",P673)))</f>
        <v>LOSE</v>
      </c>
      <c r="BZ673" s="62" t="n">
        <f aca="false">IF(BY673="LOSE",1,IF(N(V673)&gt;0,V673,IF(CB673=1,MAX(1,N(VLOOKUP(T673,Parameter!$I$27:$K$29,3,0)),H673,N(N673)),IF(N(Q673)&gt;0,Q673,MAX(1,H673)))))</f>
        <v>1</v>
      </c>
      <c r="CA673" s="65" t="n">
        <f aca="false">IF(BY673="LOSE",1,0)</f>
        <v>1</v>
      </c>
      <c r="CB673" s="65" t="n">
        <f aca="false">IF(AND(U673="",OR(P673="",P673="LOSE"),T673&lt;&gt;"",N(S673)&lt;=0,ISNUMBER(MATCH(T673,Parameter!$I$27:$I$29,0))),1,0)</f>
        <v>0</v>
      </c>
      <c r="CC673" s="65" t="n">
        <f aca="false">IF(CR673&gt;0,INDEX(Parameter!$H$5:$H$7,W673)/INDEX(Parameter!$E$5:$E$7,W673),IF(AND(CA673=0,N(IFERROR(VLOOKUP(BY673,'Gebinde-Kategorie'!$A$5:$N$45,14,0),0))&gt;0),VLOOKUP(BY673,'Gebinde-Kategorie'!$A$5:$N$45,14,0)*10+Parameter!$M$23,Parameter!$M$24))</f>
        <v>235</v>
      </c>
      <c r="CD673" s="60" t="str">
        <f aca="false">IF(AND(Parameter!$B$19="Ja",E673&lt;&gt;"",ISNUMBER(MATCH(E673,Parameter!$I$35:$I$52,0))),VLOOKUP(E673,Parameter!$I$35:$J$52,2,0),IFERROR(VLOOKUP(D673,Parameter!$A$35:$C$64,2,0),"Nein"))</f>
        <v>Nein</v>
      </c>
      <c r="CE673" s="64" t="n">
        <f aca="false">IF(CA673=0,0,IF(N(S673)&gt;0,S673,IFERROR(VLOOKUP(D673,Parameter!$A$35:$C$64,3,0)+0,0)))</f>
        <v>0.15</v>
      </c>
      <c r="CF673" s="60" t="str">
        <f aca="false">IF(AB673&lt;&gt;"",AB673,AA673)</f>
        <v>-</v>
      </c>
      <c r="CG673" s="60" t="str">
        <f aca="false">IF(OR(CF673=1,CF673=2,CF673=3),IF(Parameter!$E$27="Ja","LIFT",IF(CF673=1,"L1","L23")),IF(CF673="Aussen","Aussen","-"))</f>
        <v>-</v>
      </c>
      <c r="CH673" s="71" t="n">
        <f aca="false">IF(N(AC673)&gt;0,AC673,0)</f>
        <v>0</v>
      </c>
      <c r="CI673" s="65" t="n">
        <f aca="false">IF(ISNUMBER(AF673),1,0)</f>
        <v>0</v>
      </c>
      <c r="CJ673" s="62" t="n">
        <f aca="false">N(AF673)</f>
        <v>0</v>
      </c>
      <c r="CK673" s="62" t="n">
        <f aca="false">N(M673)+N(N673)</f>
        <v>1</v>
      </c>
      <c r="CL673" s="62" t="n">
        <f aca="false">N(M673)</f>
        <v>0</v>
      </c>
      <c r="CM673" s="62" t="n">
        <f aca="false">N(N673)</f>
        <v>1</v>
      </c>
      <c r="CN673" s="62" t="n">
        <f aca="false">ROUNDUP(H673/BZ673,0)</f>
        <v>0</v>
      </c>
      <c r="CO673" s="62" t="n">
        <f aca="false">ROUNDUP(CJ673/BZ673,0)</f>
        <v>0</v>
      </c>
      <c r="CP673" s="65" t="n">
        <f aca="false">IF(CA673=1,0,IFERROR(VLOOKUP(BY673,'Gebinde-Kategorie'!$A$5:$N$45,5,0)+0,0))</f>
        <v>0</v>
      </c>
      <c r="CQ673" s="65" t="n">
        <f aca="false">IFERROR(IF(OR(CF673=1,CF673=2,CF673=3),N(INDEX(Parameter!$I$5:$I$7,CF673)),0),0)</f>
        <v>0</v>
      </c>
      <c r="CR673" s="64" t="n">
        <f aca="false">IF(AND(Parameter!$B$21="Ja",ISNUMBER(W673),N(X673)&gt;0),IFERROR(N(INDEX(Parameter!$L$5:$L$7,W673))*INDEX(Parameter!$E$5:$E$7,W673)*X673/SUMIFS($X$7:$X$1843,$W$7:$W$1843,W673),0),0)</f>
        <v>0</v>
      </c>
      <c r="CS673" s="62" t="str">
        <f aca="false">IF(AND(OR(CG673="L1",CG673="L23",CG673="LIFT"),H673&gt;0),CC673*IF(CR673&gt;0,CR673*MAX(1,H673/X673),IF(CA673=1,CE673,IF(R673&gt;0,CN673/R673,0))/MAX(0.1,N(Parameter!$M$21))),"")</f>
        <v/>
      </c>
      <c r="CT673" s="64" t="str">
        <f aca="false">IF(CS673="","",J673/H673)</f>
        <v/>
      </c>
      <c r="CU673" s="62" t="str">
        <f aca="false">IF(CS673="","",H673*G673)</f>
        <v/>
      </c>
      <c r="CV673" s="63" t="str">
        <f aca="false">IF(CS673="","",(CL673+ROUNDUP(CL673+MAX(CM673,2*(J673/MAX(0.1,N(Einkauf!$C$6))-CL673)),0))/2)</f>
        <v/>
      </c>
      <c r="CW673" s="62" t="str">
        <f aca="false">IF(CS673="","",MAX(0,H673-CV673)*G673)</f>
        <v/>
      </c>
      <c r="CX673" s="62" t="str">
        <f aca="false">IF(CS673="","",CS673*MAX(0,1-CV673/H673))</f>
        <v/>
      </c>
      <c r="CY673" s="64" t="str">
        <f aca="false">IF(CS673="","",PERCENTRANK($CS$7:$CS$1843,CS673)+PERCENTRANK($CU$7:$CU$1843,CU673)+1-PERCENTRANK($CT$7:$CT$1843,CT673))</f>
        <v/>
      </c>
      <c r="CZ673" s="72" t="str">
        <f aca="false">IF(CS673="","",CHOOSE(MATCH(Einkauf!$C$5,Parameter!$G$23:$G$27,0),CY673,CS673,CU673,-CT673,CW673)+ROW()/1000000000)</f>
        <v/>
      </c>
    </row>
    <row r="674" customFormat="false" ht="15" hidden="false" customHeight="false" outlineLevel="0" collapsed="false">
      <c r="A674" s="60" t="s">
        <v>1395</v>
      </c>
      <c r="B674" s="60" t="s">
        <v>1040</v>
      </c>
      <c r="C674" s="60" t="s">
        <v>206</v>
      </c>
      <c r="D674" s="60" t="s">
        <v>1037</v>
      </c>
      <c r="E674" s="60"/>
      <c r="F674" s="60" t="s">
        <v>260</v>
      </c>
      <c r="G674" s="61" t="n">
        <v>177.69</v>
      </c>
      <c r="H674" s="62" t="n">
        <f aca="false">MAX(0,IF(AND(Parameter!$B$21="Ja",ISNUMBER(Y674)),Y674,IF(Parameter!$B$20="Jahresanfang 2025 + Export",BS674+BR674,BR674)))</f>
        <v>0</v>
      </c>
      <c r="I674" s="62" t="n">
        <f aca="false">H674*G674</f>
        <v>0</v>
      </c>
      <c r="J674" s="62" t="n">
        <f aca="false">BU674*Parameter!$B$18</f>
        <v>4</v>
      </c>
      <c r="K674" s="63" t="n">
        <v>0</v>
      </c>
      <c r="L674" s="64" t="n">
        <v>0</v>
      </c>
      <c r="M674" s="62" t="n">
        <v>0</v>
      </c>
      <c r="N674" s="62" t="n">
        <v>1</v>
      </c>
      <c r="O674" s="65" t="n">
        <v>105</v>
      </c>
      <c r="P674" s="60" t="s">
        <v>210</v>
      </c>
      <c r="Q674" s="62"/>
      <c r="R674" s="65" t="n">
        <f aca="false">IF(CA674=1,0,IFERROR(VLOOKUP(BY674,'Gebinde-Kategorie'!$A$5:$N$45,13,0)+0,0))</f>
        <v>0</v>
      </c>
      <c r="S674" s="66"/>
      <c r="T674" s="67"/>
      <c r="U674" s="67"/>
      <c r="V674" s="67"/>
      <c r="W674" s="60"/>
      <c r="X674" s="62"/>
      <c r="Y674" s="62"/>
      <c r="Z674" s="60"/>
      <c r="AA674" s="60" t="str">
        <f aca="false">IF(A674="","",IF(AND(Parameter!$B$21="Ja",ISNUMBER(W674)),W674,IF(AND(Parameter!$E$27="Ja",ISNUMBER(Z674),CD674&lt;&gt;"Nein"),Z674,IF(CD674="2+3",IF(ISNUMBER(SEARCH("grosser Artikel",BV674)),2,IFERROR(VLOOKUP(BY674,Parameter!$F$35:$G$64,2,0),2)),IF(OR(CD674="Nein",CD674=""),"-",CD674)))))</f>
        <v>-</v>
      </c>
      <c r="AB674" s="67"/>
      <c r="AC674" s="68"/>
      <c r="AD674" s="62" t="n">
        <f aca="false">AW674</f>
        <v>3</v>
      </c>
      <c r="AE674" s="62" t="n">
        <f aca="false">MAX(AW674,H674)</f>
        <v>3</v>
      </c>
      <c r="AF674" s="69"/>
      <c r="AG674" s="62" t="n">
        <f aca="false">IF(LEFT(Cockpit!$C$5,1)="A",H674,IF(Parameter!$E$30="MAX-Bestand",IF(CI674=1,CJ674,IF(LEFT(Cockpit!$C$5,1)="B",AM674,MAX(AM674,H674))),ROUNDUP(AK674,0)))</f>
        <v>0</v>
      </c>
      <c r="AH674" s="62" t="n">
        <f aca="false">IF(CA674=1,0,ROUNDUP(AG674/BZ674,0))</f>
        <v>0</v>
      </c>
      <c r="AI674" s="64" t="n">
        <f aca="false">IF(CR674&gt;0,CR674*MAX(1,AG674/X674),IF(CA674=1,IF(AG674&lt;=0,0,CE674*MAX(1,IF(H674&gt;0,AG674/H674,1))),IF(R674&gt;0,AH674/R674,0))/MAX(0.1,N(Parameter!$M$21)))</f>
        <v>0</v>
      </c>
      <c r="AJ674" s="62" t="n">
        <f aca="false">AI674*CC674</f>
        <v>0</v>
      </c>
      <c r="AK674" s="63" t="n">
        <f aca="false">IF(LEFT(Cockpit!$C$5,1)="A",H674,IF(CI674=1,(CL674+CJ674)/2,IF(LEFT(Cockpit!$C$5,1)="B",(CL674+AM674)/2,MAX((CL674+AM674)/2,H674))))</f>
        <v>0</v>
      </c>
      <c r="AL674" s="62" t="n">
        <f aca="false">AK674*G674</f>
        <v>0</v>
      </c>
      <c r="AM674" s="62" t="n">
        <f aca="false">ROUNDUP(CL674+MAX(CM674,2*(J674/IF(CH674&gt;0,CH674,MAX(0.1,N(Cockpit!$C$6)))-CL674)),0)</f>
        <v>3</v>
      </c>
      <c r="AN674" s="63" t="n">
        <f aca="false">IF(AJ674&gt;0,J674/AJ674,-1)</f>
        <v>-1</v>
      </c>
      <c r="AO674" s="63" t="str">
        <f aca="false">IF(AND(OR(CG674="L1",CG674="L23",CG674="LIFT"),AJ674&gt;0),SUMIFS($AJ$7:$AJ$1843,$CG$7:$CG$1843,CG674,$AN$7:$AN$1843,"&gt;"&amp;AN674)+SUMIFS($AJ$7:$AJ$1843,$CG$7:$CG$1843,CG674,$AN$7:$AN$1843,AN674,$BX$7:$BX$1843,"&lt;="&amp;BX674),"")</f>
        <v/>
      </c>
      <c r="AP674" s="70" t="n">
        <f aca="false">IF(AO674="",0,MAX(0,MIN(1,(IF(CG674="L1",Parameter!$H$5,IF(CG674="L23",Parameter!$H$6+Parameter!$H$7,Parameter!$H$5+Parameter!$H$6+Parameter!$H$7))-(AO674-AJ674))/AJ674)))</f>
        <v>0</v>
      </c>
      <c r="AQ674" s="62" t="n">
        <f aca="false">IF(LEFT(Cockpit!$I$5,1)="A",H674,IF(Parameter!$E$30="MAX-Bestand",IF(CI674=1,CJ674,IF(LEFT(Cockpit!$I$5,1)="B",AW674,MAX(AW674,H674))),ROUNDUP(AU674,0)))</f>
        <v>2</v>
      </c>
      <c r="AR674" s="62" t="n">
        <f aca="false">IF(CA674=1,0,ROUNDUP(AQ674/BZ674,0))</f>
        <v>0</v>
      </c>
      <c r="AS674" s="64" t="n">
        <f aca="false">IF(CR674&gt;0,CR674*MAX(1,AQ674/X674),IF(CA674=1,IF(AQ674&lt;=0,0,CE674*MAX(1,IF(H674&gt;0,AQ674/H674,1))),IF(R674&gt;0,AR674/R674,0))/MAX(0.1,N(Parameter!$M$21)))</f>
        <v>0.15</v>
      </c>
      <c r="AT674" s="62" t="n">
        <f aca="false">AS674*CC674</f>
        <v>35.25</v>
      </c>
      <c r="AU674" s="63" t="n">
        <f aca="false">IF(LEFT(Cockpit!$I$5,1)="A",H674,IF(CI674=1,(CL674+CJ674)/2,IF(LEFT(Cockpit!$I$5,1)="B",(CL674+AW674)/2,MAX((CL674+AW674)/2,H674))))</f>
        <v>1.5</v>
      </c>
      <c r="AV674" s="62" t="n">
        <f aca="false">AU674*G674</f>
        <v>266.535</v>
      </c>
      <c r="AW674" s="62" t="n">
        <f aca="false">ROUNDUP(CL674+MAX(CM674,2*(J674/IF(CH674&gt;0,CH674,MAX(0.1,N(Cockpit!$I$6)))-CL674)),0)</f>
        <v>3</v>
      </c>
      <c r="AX674" s="63" t="n">
        <f aca="false">IF(AT674&gt;0,J674/AT674,-1)</f>
        <v>0.113475177304965</v>
      </c>
      <c r="AY674" s="63" t="str">
        <f aca="false">IF(AND(OR(CG674="L1",CG674="L23",CG674="LIFT"),AT674&gt;0),SUMIFS($AT$7:$AT$1843,$CG$7:$CG$1843,CG674,$AX$7:$AX$1843,"&gt;"&amp;AX674)+SUMIFS($AT$7:$AT$1843,$CG$7:$CG$1843,CG674,$AX$7:$AX$1843,AX674,$BX$7:$BX$1843,"&lt;="&amp;BX674),"")</f>
        <v/>
      </c>
      <c r="AZ674" s="70" t="n">
        <f aca="false">IF(AY674="",0,MAX(0,MIN(1,(IF(CG674="L1",Parameter!$H$5,IF(CG674="L23",Parameter!$H$6+Parameter!$H$7,Parameter!$H$5+Parameter!$H$6+Parameter!$H$7))-(AY674-AT674))/AT674)))</f>
        <v>0</v>
      </c>
      <c r="BA674" s="62" t="n">
        <f aca="false">IF(LEFT(Cockpit!$O$5,1)="A",H674,IF(Parameter!$E$30="MAX-Bestand",IF(CI674=1,CJ674,IF(LEFT(Cockpit!$O$5,1)="B",BG674,MAX(BG674,H674))),ROUNDUP(BE674,0)))</f>
        <v>1</v>
      </c>
      <c r="BB674" s="62" t="n">
        <f aca="false">IF(CA674=1,0,ROUNDUP(BA674/BZ674,0))</f>
        <v>0</v>
      </c>
      <c r="BC674" s="64" t="n">
        <f aca="false">IF(CR674&gt;0,CR674*MAX(1,BA674/X674),IF(CA674=1,IF(BA674&lt;=0,0,CE674*MAX(1,IF(H674&gt;0,BA674/H674,1))),IF(R674&gt;0,BB674/R674,0))/MAX(0.1,N(Parameter!$M$21)))</f>
        <v>0.15</v>
      </c>
      <c r="BD674" s="62" t="n">
        <f aca="false">BC674*CC674</f>
        <v>35.25</v>
      </c>
      <c r="BE674" s="63" t="n">
        <f aca="false">IF(LEFT(Cockpit!$O$5,1)="A",H674,IF(CI674=1,(CL674+CJ674)/2,IF(LEFT(Cockpit!$O$5,1)="B",(CL674+BG674)/2,MAX((CL674+BG674)/2,H674))))</f>
        <v>1</v>
      </c>
      <c r="BF674" s="62" t="n">
        <f aca="false">BE674*G674</f>
        <v>177.69</v>
      </c>
      <c r="BG674" s="62" t="n">
        <f aca="false">ROUNDUP(CL674+MAX(CM674,2*(J674/IF(CH674&gt;0,CH674,MAX(0.1,N(Cockpit!$O$6)))-CL674)),0)</f>
        <v>2</v>
      </c>
      <c r="BH674" s="63" t="n">
        <f aca="false">IF(BD674&gt;0,J674/BD674,-1)</f>
        <v>0.113475177304965</v>
      </c>
      <c r="BI674" s="63" t="str">
        <f aca="false">IF(AND(OR(CG674="L1",CG674="L23",CG674="LIFT"),BD674&gt;0),SUMIFS($BD$7:$BD$1843,$CG$7:$CG$1843,CG674,$BH$7:$BH$1843,"&gt;"&amp;BH674)+SUMIFS($BD$7:$BD$1843,$CG$7:$CG$1843,CG674,$BH$7:$BH$1843,BH674,$BX$7:$BX$1843,"&lt;="&amp;BX674),"")</f>
        <v/>
      </c>
      <c r="BJ674" s="70" t="n">
        <f aca="false">IF(BI674="",0,MAX(0,MIN(1,(IF(CG674="L1",Parameter!$H$5,IF(CG674="L23",Parameter!$H$6+Parameter!$H$7,Parameter!$H$5+Parameter!$H$6+Parameter!$H$7))-(BI674-BD674))/BD674)))</f>
        <v>0</v>
      </c>
      <c r="BK674" s="60" t="str">
        <f aca="false">IF(AJ674&lt;=0,"",IF(CG674="Aussen","Aussenlager",IF(CG674="-","Nicht im Lift",IF(AP674&gt;=1,"Lift",IF(AP674&lt;=0,"Aussenlager","teilweise")))))</f>
        <v/>
      </c>
      <c r="BL674" s="60" t="str">
        <f aca="false">IF(AT674&lt;=0,"",IF(CG674="Aussen","Aussenlager",IF(CG674="-","Nicht im Lift",IF(AZ674&gt;=1,"Lift",IF(AZ674&lt;=0,"Aussenlager","teilweise")))))</f>
        <v>Nicht im Lift</v>
      </c>
      <c r="BM674" s="60" t="str">
        <f aca="false">IF(BD674&lt;=0,"",IF(CG674="Aussen","Aussenlager",IF(CG674="-","Nicht im Lift",IF(BJ674&gt;=1,"Lift",IF(BJ674&lt;=0,"Aussenlager","teilweise")))))</f>
        <v>Nicht im Lift</v>
      </c>
      <c r="BN674" s="60" t="str">
        <f aca="false">IF(A674="","",IF(BW674=1,"Neu; ","")&amp;IF(AND(BW674=0,BR674&lt;0),"negativer Bestand (Export "&amp;BR674&amp;"); ","")&amp;IF(J674&lt;=0,"Kein Verbrauch; ","")&amp;IF(CR674&gt;0,"Lift "&amp;W674&amp;" lt. Liftbericht (Fach "&amp;X674&amp;" Stk); ",IF(CB674=1,"Gebinde geschätzt ("&amp;T674&amp;"); ",IF(CA674=1,"Lose – Tablare geschätzt; ","")))&amp;IF(H674&gt;AW674,"Überbestand "&amp;ROUND(H674-AW674,0)&amp;" Stk / CHF "&amp;ROUND((H674-AW674)*G674,0)&amp;"; ","")&amp;IF(AND(CI674=1,CJ674&lt;CK674),"MAX &lt; MB+LG; ","")&amp;IF(AND(CQ674&gt;0,CP674*10&gt;CQ674),"zu hoch für Tablar; ","")&amp;IF(AND(BW674=0,OR(CI674=1,AB674&lt;&gt;"",U674&lt;&gt;"",V674&lt;&gt;"",AC674&lt;&gt;"")),"manuell übersteuert; ","")&amp;IF(AND(CA674=0,R674=0),"Gebinde unbekannt / Stellmass fehlt; ","")&amp;IF(AND(CA674=0,N(V674)&lt;=0,N(Q674)&lt;=0),"Menge pro Gebinde fehlt (Ist = 1 Gebinde); ","")&amp;BV674)</f>
        <v>Lose – Tablare geschätzt; </v>
      </c>
      <c r="BO674" s="60"/>
      <c r="BP674" s="60"/>
      <c r="BQ674" s="67"/>
      <c r="BR674" s="62" t="n">
        <v>0</v>
      </c>
      <c r="BS674" s="62" t="n">
        <v>0</v>
      </c>
      <c r="BT674" s="61" t="n">
        <v>0</v>
      </c>
      <c r="BU674" s="62" t="n">
        <v>4</v>
      </c>
      <c r="BV674" s="60"/>
      <c r="BW674" s="65" t="n">
        <v>0</v>
      </c>
      <c r="BX674" s="65" t="n">
        <v>674</v>
      </c>
      <c r="BY674" s="60" t="str">
        <f aca="false">IF(U674&lt;&gt;"",UPPER(TRIM(U674)),IF(CB674=1,UPPER(VLOOKUP(T674,Parameter!$I$27:$K$29,2,0)),IF(P674="","LOSE",P674)))</f>
        <v>LOSE</v>
      </c>
      <c r="BZ674" s="62" t="n">
        <f aca="false">IF(BY674="LOSE",1,IF(N(V674)&gt;0,V674,IF(CB674=1,MAX(1,N(VLOOKUP(T674,Parameter!$I$27:$K$29,3,0)),H674,N(N674)),IF(N(Q674)&gt;0,Q674,MAX(1,H674)))))</f>
        <v>1</v>
      </c>
      <c r="CA674" s="65" t="n">
        <f aca="false">IF(BY674="LOSE",1,0)</f>
        <v>1</v>
      </c>
      <c r="CB674" s="65" t="n">
        <f aca="false">IF(AND(U674="",OR(P674="",P674="LOSE"),T674&lt;&gt;"",N(S674)&lt;=0,ISNUMBER(MATCH(T674,Parameter!$I$27:$I$29,0))),1,0)</f>
        <v>0</v>
      </c>
      <c r="CC674" s="65" t="n">
        <f aca="false">IF(CR674&gt;0,INDEX(Parameter!$H$5:$H$7,W674)/INDEX(Parameter!$E$5:$E$7,W674),IF(AND(CA674=0,N(IFERROR(VLOOKUP(BY674,'Gebinde-Kategorie'!$A$5:$N$45,14,0),0))&gt;0),VLOOKUP(BY674,'Gebinde-Kategorie'!$A$5:$N$45,14,0)*10+Parameter!$M$23,Parameter!$M$24))</f>
        <v>235</v>
      </c>
      <c r="CD674" s="60" t="str">
        <f aca="false">IF(AND(Parameter!$B$19="Ja",E674&lt;&gt;"",ISNUMBER(MATCH(E674,Parameter!$I$35:$I$52,0))),VLOOKUP(E674,Parameter!$I$35:$J$52,2,0),IFERROR(VLOOKUP(D674,Parameter!$A$35:$C$64,2,0),"Nein"))</f>
        <v>Nein</v>
      </c>
      <c r="CE674" s="64" t="n">
        <f aca="false">IF(CA674=0,0,IF(N(S674)&gt;0,S674,IFERROR(VLOOKUP(D674,Parameter!$A$35:$C$64,3,0)+0,0)))</f>
        <v>0.15</v>
      </c>
      <c r="CF674" s="60" t="str">
        <f aca="false">IF(AB674&lt;&gt;"",AB674,AA674)</f>
        <v>-</v>
      </c>
      <c r="CG674" s="60" t="str">
        <f aca="false">IF(OR(CF674=1,CF674=2,CF674=3),IF(Parameter!$E$27="Ja","LIFT",IF(CF674=1,"L1","L23")),IF(CF674="Aussen","Aussen","-"))</f>
        <v>-</v>
      </c>
      <c r="CH674" s="71" t="n">
        <f aca="false">IF(N(AC674)&gt;0,AC674,0)</f>
        <v>0</v>
      </c>
      <c r="CI674" s="65" t="n">
        <f aca="false">IF(ISNUMBER(AF674),1,0)</f>
        <v>0</v>
      </c>
      <c r="CJ674" s="62" t="n">
        <f aca="false">N(AF674)</f>
        <v>0</v>
      </c>
      <c r="CK674" s="62" t="n">
        <f aca="false">N(M674)+N(N674)</f>
        <v>1</v>
      </c>
      <c r="CL674" s="62" t="n">
        <f aca="false">N(M674)</f>
        <v>0</v>
      </c>
      <c r="CM674" s="62" t="n">
        <f aca="false">N(N674)</f>
        <v>1</v>
      </c>
      <c r="CN674" s="62" t="n">
        <f aca="false">ROUNDUP(H674/BZ674,0)</f>
        <v>0</v>
      </c>
      <c r="CO674" s="62" t="n">
        <f aca="false">ROUNDUP(CJ674/BZ674,0)</f>
        <v>0</v>
      </c>
      <c r="CP674" s="65" t="n">
        <f aca="false">IF(CA674=1,0,IFERROR(VLOOKUP(BY674,'Gebinde-Kategorie'!$A$5:$N$45,5,0)+0,0))</f>
        <v>0</v>
      </c>
      <c r="CQ674" s="65" t="n">
        <f aca="false">IFERROR(IF(OR(CF674=1,CF674=2,CF674=3),N(INDEX(Parameter!$I$5:$I$7,CF674)),0),0)</f>
        <v>0</v>
      </c>
      <c r="CR674" s="64" t="n">
        <f aca="false">IF(AND(Parameter!$B$21="Ja",ISNUMBER(W674),N(X674)&gt;0),IFERROR(N(INDEX(Parameter!$L$5:$L$7,W674))*INDEX(Parameter!$E$5:$E$7,W674)*X674/SUMIFS($X$7:$X$1843,$W$7:$W$1843,W674),0),0)</f>
        <v>0</v>
      </c>
      <c r="CS674" s="62" t="str">
        <f aca="false">IF(AND(OR(CG674="L1",CG674="L23",CG674="LIFT"),H674&gt;0),CC674*IF(CR674&gt;0,CR674*MAX(1,H674/X674),IF(CA674=1,CE674,IF(R674&gt;0,CN674/R674,0))/MAX(0.1,N(Parameter!$M$21))),"")</f>
        <v/>
      </c>
      <c r="CT674" s="64" t="str">
        <f aca="false">IF(CS674="","",J674/H674)</f>
        <v/>
      </c>
      <c r="CU674" s="62" t="str">
        <f aca="false">IF(CS674="","",H674*G674)</f>
        <v/>
      </c>
      <c r="CV674" s="63" t="str">
        <f aca="false">IF(CS674="","",(CL674+ROUNDUP(CL674+MAX(CM674,2*(J674/MAX(0.1,N(Einkauf!$C$6))-CL674)),0))/2)</f>
        <v/>
      </c>
      <c r="CW674" s="62" t="str">
        <f aca="false">IF(CS674="","",MAX(0,H674-CV674)*G674)</f>
        <v/>
      </c>
      <c r="CX674" s="62" t="str">
        <f aca="false">IF(CS674="","",CS674*MAX(0,1-CV674/H674))</f>
        <v/>
      </c>
      <c r="CY674" s="64" t="str">
        <f aca="false">IF(CS674="","",PERCENTRANK($CS$7:$CS$1843,CS674)+PERCENTRANK($CU$7:$CU$1843,CU674)+1-PERCENTRANK($CT$7:$CT$1843,CT674))</f>
        <v/>
      </c>
      <c r="CZ674" s="72" t="str">
        <f aca="false">IF(CS674="","",CHOOSE(MATCH(Einkauf!$C$5,Parameter!$G$23:$G$27,0),CY674,CS674,CU674,-CT674,CW674)+ROW()/1000000000)</f>
        <v/>
      </c>
    </row>
    <row r="675" customFormat="false" ht="15" hidden="false" customHeight="false" outlineLevel="0" collapsed="false">
      <c r="A675" s="60" t="s">
        <v>1396</v>
      </c>
      <c r="B675" s="60" t="s">
        <v>1397</v>
      </c>
      <c r="C675" s="60" t="s">
        <v>206</v>
      </c>
      <c r="D675" s="60" t="s">
        <v>215</v>
      </c>
      <c r="E675" s="60"/>
      <c r="F675" s="60" t="s">
        <v>260</v>
      </c>
      <c r="G675" s="61" t="n">
        <v>245</v>
      </c>
      <c r="H675" s="62" t="n">
        <f aca="false">MAX(0,IF(AND(Parameter!$B$21="Ja",ISNUMBER(Y675)),Y675,IF(Parameter!$B$20="Jahresanfang 2025 + Export",BS675+BR675,BR675)))</f>
        <v>0</v>
      </c>
      <c r="I675" s="62" t="n">
        <f aca="false">H675*G675</f>
        <v>0</v>
      </c>
      <c r="J675" s="62" t="n">
        <f aca="false">BU675*Parameter!$B$18</f>
        <v>0</v>
      </c>
      <c r="K675" s="63" t="n">
        <v>0</v>
      </c>
      <c r="L675" s="64" t="n">
        <v>0</v>
      </c>
      <c r="M675" s="62" t="n">
        <v>0</v>
      </c>
      <c r="N675" s="62" t="n">
        <v>1</v>
      </c>
      <c r="O675" s="65" t="n">
        <v>999</v>
      </c>
      <c r="P675" s="60" t="s">
        <v>216</v>
      </c>
      <c r="Q675" s="62"/>
      <c r="R675" s="65" t="n">
        <f aca="false">IF(CA675=1,0,IFERROR(VLOOKUP(BY675,'Gebinde-Kategorie'!$A$5:$N$45,13,0)+0,0))</f>
        <v>6</v>
      </c>
      <c r="S675" s="66"/>
      <c r="T675" s="67"/>
      <c r="U675" s="67"/>
      <c r="V675" s="67"/>
      <c r="W675" s="60"/>
      <c r="X675" s="62"/>
      <c r="Y675" s="62"/>
      <c r="Z675" s="60" t="n">
        <v>2</v>
      </c>
      <c r="AA675" s="60" t="n">
        <f aca="false">IF(A675="","",IF(AND(Parameter!$B$21="Ja",ISNUMBER(W675)),W675,IF(AND(Parameter!$E$27="Ja",ISNUMBER(Z675),CD675&lt;&gt;"Nein"),Z675,IF(CD675="2+3",IF(ISNUMBER(SEARCH("grosser Artikel",BV675)),2,IFERROR(VLOOKUP(BY675,Parameter!$F$35:$G$64,2,0),2)),IF(OR(CD675="Nein",CD675=""),"-",CD675)))))</f>
        <v>2</v>
      </c>
      <c r="AB675" s="67"/>
      <c r="AC675" s="68"/>
      <c r="AD675" s="62" t="n">
        <f aca="false">AW675</f>
        <v>1</v>
      </c>
      <c r="AE675" s="62" t="n">
        <f aca="false">MAX(AW675,H675)</f>
        <v>1</v>
      </c>
      <c r="AF675" s="69"/>
      <c r="AG675" s="62" t="n">
        <f aca="false">IF(LEFT(Cockpit!$C$5,1)="A",H675,IF(Parameter!$E$30="MAX-Bestand",IF(CI675=1,CJ675,IF(LEFT(Cockpit!$C$5,1)="B",AM675,MAX(AM675,H675))),ROUNDUP(AK675,0)))</f>
        <v>0</v>
      </c>
      <c r="AH675" s="62" t="n">
        <f aca="false">IF(CA675=1,0,ROUNDUP(AG675/BZ675,0))</f>
        <v>0</v>
      </c>
      <c r="AI675" s="64" t="n">
        <f aca="false">IF(CR675&gt;0,CR675*MAX(1,AG675/X675),IF(CA675=1,IF(AG675&lt;=0,0,CE675*MAX(1,IF(H675&gt;0,AG675/H675,1))),IF(R675&gt;0,AH675/R675,0))/MAX(0.1,N(Parameter!$M$21)))</f>
        <v>0</v>
      </c>
      <c r="AJ675" s="62" t="n">
        <f aca="false">AI675*CC675</f>
        <v>0</v>
      </c>
      <c r="AK675" s="63" t="n">
        <f aca="false">IF(LEFT(Cockpit!$C$5,1)="A",H675,IF(CI675=1,(CL675+CJ675)/2,IF(LEFT(Cockpit!$C$5,1)="B",(CL675+AM675)/2,MAX((CL675+AM675)/2,H675))))</f>
        <v>0</v>
      </c>
      <c r="AL675" s="62" t="n">
        <f aca="false">AK675*G675</f>
        <v>0</v>
      </c>
      <c r="AM675" s="62" t="n">
        <f aca="false">ROUNDUP(CL675+MAX(CM675,2*(J675/IF(CH675&gt;0,CH675,MAX(0.1,N(Cockpit!$C$6)))-CL675)),0)</f>
        <v>1</v>
      </c>
      <c r="AN675" s="63" t="n">
        <f aca="false">IF(AJ675&gt;0,J675/AJ675,-1)</f>
        <v>-1</v>
      </c>
      <c r="AO675" s="63" t="str">
        <f aca="false">IF(AND(OR(CG675="L1",CG675="L23",CG675="LIFT"),AJ675&gt;0),SUMIFS($AJ$7:$AJ$1843,$CG$7:$CG$1843,CG675,$AN$7:$AN$1843,"&gt;"&amp;AN675)+SUMIFS($AJ$7:$AJ$1843,$CG$7:$CG$1843,CG675,$AN$7:$AN$1843,AN675,$BX$7:$BX$1843,"&lt;="&amp;BX675),"")</f>
        <v/>
      </c>
      <c r="AP675" s="70" t="n">
        <f aca="false">IF(AO675="",0,MAX(0,MIN(1,(IF(CG675="L1",Parameter!$H$5,IF(CG675="L23",Parameter!$H$6+Parameter!$H$7,Parameter!$H$5+Parameter!$H$6+Parameter!$H$7))-(AO675-AJ675))/AJ675)))</f>
        <v>0</v>
      </c>
      <c r="AQ675" s="62" t="n">
        <f aca="false">IF(LEFT(Cockpit!$I$5,1)="A",H675,IF(Parameter!$E$30="MAX-Bestand",IF(CI675=1,CJ675,IF(LEFT(Cockpit!$I$5,1)="B",AW675,MAX(AW675,H675))),ROUNDUP(AU675,0)))</f>
        <v>1</v>
      </c>
      <c r="AR675" s="62" t="n">
        <f aca="false">IF(CA675=1,0,ROUNDUP(AQ675/BZ675,0))</f>
        <v>1</v>
      </c>
      <c r="AS675" s="64" t="n">
        <f aca="false">IF(CR675&gt;0,CR675*MAX(1,AQ675/X675),IF(CA675=1,IF(AQ675&lt;=0,0,CE675*MAX(1,IF(H675&gt;0,AQ675/H675,1))),IF(R675&gt;0,AR675/R675,0))/MAX(0.1,N(Parameter!$M$21)))</f>
        <v>0.166666666666667</v>
      </c>
      <c r="AT675" s="62" t="n">
        <f aca="false">AS675*CC675</f>
        <v>39.1666666666667</v>
      </c>
      <c r="AU675" s="63" t="n">
        <f aca="false">IF(LEFT(Cockpit!$I$5,1)="A",H675,IF(CI675=1,(CL675+CJ675)/2,IF(LEFT(Cockpit!$I$5,1)="B",(CL675+AW675)/2,MAX((CL675+AW675)/2,H675))))</f>
        <v>0.5</v>
      </c>
      <c r="AV675" s="62" t="n">
        <f aca="false">AU675*G675</f>
        <v>122.5</v>
      </c>
      <c r="AW675" s="62" t="n">
        <f aca="false">ROUNDUP(CL675+MAX(CM675,2*(J675/IF(CH675&gt;0,CH675,MAX(0.1,N(Cockpit!$I$6)))-CL675)),0)</f>
        <v>1</v>
      </c>
      <c r="AX675" s="63" t="n">
        <f aca="false">IF(AT675&gt;0,J675/AT675,-1)</f>
        <v>0</v>
      </c>
      <c r="AY675" s="63" t="n">
        <f aca="false">IF(AND(OR(CG675="L1",CG675="L23",CG675="LIFT"),AT675&gt;0),SUMIFS($AT$7:$AT$1843,$CG$7:$CG$1843,CG675,$AX$7:$AX$1843,"&gt;"&amp;AX675)+SUMIFS($AT$7:$AT$1843,$CG$7:$CG$1843,CG675,$AX$7:$AX$1843,AX675,$BX$7:$BX$1843,"&lt;="&amp;BX675),"")</f>
        <v>34003.9194139194</v>
      </c>
      <c r="AZ675" s="70" t="n">
        <f aca="false">IF(AY675="",0,MAX(0,MIN(1,(IF(CG675="L1",Parameter!$H$5,IF(CG675="L23",Parameter!$H$6+Parameter!$H$7,Parameter!$H$5+Parameter!$H$6+Parameter!$H$7))-(AY675-AT675))/AT675)))</f>
        <v>1</v>
      </c>
      <c r="BA675" s="62" t="n">
        <f aca="false">IF(LEFT(Cockpit!$O$5,1)="A",H675,IF(Parameter!$E$30="MAX-Bestand",IF(CI675=1,CJ675,IF(LEFT(Cockpit!$O$5,1)="B",BG675,MAX(BG675,H675))),ROUNDUP(BE675,0)))</f>
        <v>1</v>
      </c>
      <c r="BB675" s="62" t="n">
        <f aca="false">IF(CA675=1,0,ROUNDUP(BA675/BZ675,0))</f>
        <v>1</v>
      </c>
      <c r="BC675" s="64" t="n">
        <f aca="false">IF(CR675&gt;0,CR675*MAX(1,BA675/X675),IF(CA675=1,IF(BA675&lt;=0,0,CE675*MAX(1,IF(H675&gt;0,BA675/H675,1))),IF(R675&gt;0,BB675/R675,0))/MAX(0.1,N(Parameter!$M$21)))</f>
        <v>0.166666666666667</v>
      </c>
      <c r="BD675" s="62" t="n">
        <f aca="false">BC675*CC675</f>
        <v>39.1666666666667</v>
      </c>
      <c r="BE675" s="63" t="n">
        <f aca="false">IF(LEFT(Cockpit!$O$5,1)="A",H675,IF(CI675=1,(CL675+CJ675)/2,IF(LEFT(Cockpit!$O$5,1)="B",(CL675+BG675)/2,MAX((CL675+BG675)/2,H675))))</f>
        <v>0.5</v>
      </c>
      <c r="BF675" s="62" t="n">
        <f aca="false">BE675*G675</f>
        <v>122.5</v>
      </c>
      <c r="BG675" s="62" t="n">
        <f aca="false">ROUNDUP(CL675+MAX(CM675,2*(J675/IF(CH675&gt;0,CH675,MAX(0.1,N(Cockpit!$O$6)))-CL675)),0)</f>
        <v>1</v>
      </c>
      <c r="BH675" s="63" t="n">
        <f aca="false">IF(BD675&gt;0,J675/BD675,-1)</f>
        <v>0</v>
      </c>
      <c r="BI675" s="63" t="n">
        <f aca="false">IF(AND(OR(CG675="L1",CG675="L23",CG675="LIFT"),BD675&gt;0),SUMIFS($BD$7:$BD$1843,$CG$7:$CG$1843,CG675,$BH$7:$BH$1843,"&gt;"&amp;BH675)+SUMIFS($BD$7:$BD$1843,$CG$7:$CG$1843,CG675,$BH$7:$BH$1843,BH675,$BX$7:$BX$1843,"&lt;="&amp;BX675),"")</f>
        <v>28068.0484183895</v>
      </c>
      <c r="BJ675" s="70" t="n">
        <f aca="false">IF(BI675="",0,MAX(0,MIN(1,(IF(CG675="L1",Parameter!$H$5,IF(CG675="L23",Parameter!$H$6+Parameter!$H$7,Parameter!$H$5+Parameter!$H$6+Parameter!$H$7))-(BI675-BD675))/BD675)))</f>
        <v>1</v>
      </c>
      <c r="BK675" s="60" t="str">
        <f aca="false">IF(AJ675&lt;=0,"",IF(CG675="Aussen","Aussenlager",IF(CG675="-","Nicht im Lift",IF(AP675&gt;=1,"Lift",IF(AP675&lt;=0,"Aussenlager","teilweise")))))</f>
        <v/>
      </c>
      <c r="BL675" s="60" t="str">
        <f aca="false">IF(AT675&lt;=0,"",IF(CG675="Aussen","Aussenlager",IF(CG675="-","Nicht im Lift",IF(AZ675&gt;=1,"Lift",IF(AZ675&lt;=0,"Aussenlager","teilweise")))))</f>
        <v>Lift</v>
      </c>
      <c r="BM675" s="60" t="str">
        <f aca="false">IF(BD675&lt;=0,"",IF(CG675="Aussen","Aussenlager",IF(CG675="-","Nicht im Lift",IF(BJ675&gt;=1,"Lift",IF(BJ675&lt;=0,"Aussenlager","teilweise")))))</f>
        <v>Lift</v>
      </c>
      <c r="BN675" s="60" t="str">
        <f aca="false">IF(A675="","",IF(BW675=1,"Neu; ","")&amp;IF(AND(BW675=0,BR675&lt;0),"negativer Bestand (Export "&amp;BR675&amp;"); ","")&amp;IF(J675&lt;=0,"Kein Verbrauch; ","")&amp;IF(CR675&gt;0,"Lift "&amp;W675&amp;" lt. Liftbericht (Fach "&amp;X675&amp;" Stk); ",IF(CB675=1,"Gebinde geschätzt ("&amp;T675&amp;"); ",IF(CA675=1,"Lose – Tablare geschätzt; ","")))&amp;IF(H675&gt;AW675,"Überbestand "&amp;ROUND(H675-AW675,0)&amp;" Stk / CHF "&amp;ROUND((H675-AW675)*G675,0)&amp;"; ","")&amp;IF(AND(CI675=1,CJ675&lt;CK675),"MAX &lt; MB+LG; ","")&amp;IF(AND(CQ675&gt;0,CP675*10&gt;CQ675),"zu hoch für Tablar; ","")&amp;IF(AND(BW675=0,OR(CI675=1,AB675&lt;&gt;"",U675&lt;&gt;"",V675&lt;&gt;"",AC675&lt;&gt;"")),"manuell übersteuert; ","")&amp;IF(AND(CA675=0,R675=0),"Gebinde unbekannt / Stellmass fehlt; ","")&amp;IF(AND(CA675=0,N(V675)&lt;=0,N(Q675)&lt;=0),"Menge pro Gebinde fehlt (Ist = 1 Gebinde); ","")&amp;BV675)</f>
        <v>Kein Verbrauch; Menge pro Gebinde fehlt (Ist = 1 Gebinde); </v>
      </c>
      <c r="BO675" s="60"/>
      <c r="BP675" s="60"/>
      <c r="BQ675" s="67"/>
      <c r="BR675" s="62" t="n">
        <v>0</v>
      </c>
      <c r="BS675" s="62" t="n">
        <v>0</v>
      </c>
      <c r="BT675" s="61" t="n">
        <v>0</v>
      </c>
      <c r="BU675" s="62" t="n">
        <v>0</v>
      </c>
      <c r="BV675" s="60"/>
      <c r="BW675" s="65" t="n">
        <v>0</v>
      </c>
      <c r="BX675" s="65" t="n">
        <v>675</v>
      </c>
      <c r="BY675" s="60" t="str">
        <f aca="false">IF(U675&lt;&gt;"",UPPER(TRIM(U675)),IF(CB675=1,UPPER(VLOOKUP(T675,Parameter!$I$27:$K$29,2,0)),IF(P675="","LOSE",P675)))</f>
        <v>S71</v>
      </c>
      <c r="BZ675" s="62" t="n">
        <f aca="false">IF(BY675="LOSE",1,IF(N(V675)&gt;0,V675,IF(CB675=1,MAX(1,N(VLOOKUP(T675,Parameter!$I$27:$K$29,3,0)),H675,N(N675)),IF(N(Q675)&gt;0,Q675,MAX(1,H675)))))</f>
        <v>1</v>
      </c>
      <c r="CA675" s="65" t="n">
        <f aca="false">IF(BY675="LOSE",1,0)</f>
        <v>0</v>
      </c>
      <c r="CB675" s="65" t="n">
        <f aca="false">IF(AND(U675="",OR(P675="",P675="LOSE"),T675&lt;&gt;"",N(S675)&lt;=0,ISNUMBER(MATCH(T675,Parameter!$I$27:$I$29,0))),1,0)</f>
        <v>0</v>
      </c>
      <c r="CC675" s="65" t="n">
        <f aca="false">IF(CR675&gt;0,INDEX(Parameter!$H$5:$H$7,W675)/INDEX(Parameter!$E$5:$E$7,W675),IF(AND(CA675=0,N(IFERROR(VLOOKUP(BY675,'Gebinde-Kategorie'!$A$5:$N$45,14,0),0))&gt;0),VLOOKUP(BY675,'Gebinde-Kategorie'!$A$5:$N$45,14,0)*10+Parameter!$M$23,Parameter!$M$24))</f>
        <v>235</v>
      </c>
      <c r="CD675" s="60" t="str">
        <f aca="false">IF(AND(Parameter!$B$19="Ja",E675&lt;&gt;"",ISNUMBER(MATCH(E675,Parameter!$I$35:$I$52,0))),VLOOKUP(E675,Parameter!$I$35:$J$52,2,0),IFERROR(VLOOKUP(D675,Parameter!$A$35:$C$64,2,0),"Nein"))</f>
        <v>2+3</v>
      </c>
      <c r="CE675" s="64" t="n">
        <f aca="false">IF(CA675=0,0,IF(N(S675)&gt;0,S675,IFERROR(VLOOKUP(D675,Parameter!$A$35:$C$64,3,0)+0,0)))</f>
        <v>0</v>
      </c>
      <c r="CF675" s="60" t="n">
        <f aca="false">IF(AB675&lt;&gt;"",AB675,AA675)</f>
        <v>2</v>
      </c>
      <c r="CG675" s="60" t="str">
        <f aca="false">IF(OR(CF675=1,CF675=2,CF675=3),IF(Parameter!$E$27="Ja","LIFT",IF(CF675=1,"L1","L23")),IF(CF675="Aussen","Aussen","-"))</f>
        <v>LIFT</v>
      </c>
      <c r="CH675" s="71" t="n">
        <f aca="false">IF(N(AC675)&gt;0,AC675,0)</f>
        <v>0</v>
      </c>
      <c r="CI675" s="65" t="n">
        <f aca="false">IF(ISNUMBER(AF675),1,0)</f>
        <v>0</v>
      </c>
      <c r="CJ675" s="62" t="n">
        <f aca="false">N(AF675)</f>
        <v>0</v>
      </c>
      <c r="CK675" s="62" t="n">
        <f aca="false">N(M675)+N(N675)</f>
        <v>1</v>
      </c>
      <c r="CL675" s="62" t="n">
        <f aca="false">N(M675)</f>
        <v>0</v>
      </c>
      <c r="CM675" s="62" t="n">
        <f aca="false">N(N675)</f>
        <v>1</v>
      </c>
      <c r="CN675" s="62" t="n">
        <f aca="false">ROUNDUP(H675/BZ675,0)</f>
        <v>0</v>
      </c>
      <c r="CO675" s="62" t="n">
        <f aca="false">ROUNDUP(CJ675/BZ675,0)</f>
        <v>0</v>
      </c>
      <c r="CP675" s="65" t="n">
        <f aca="false">IF(CA675=1,0,IFERROR(VLOOKUP(BY675,'Gebinde-Kategorie'!$A$5:$N$45,5,0)+0,0))</f>
        <v>20</v>
      </c>
      <c r="CQ675" s="65" t="n">
        <f aca="false">IFERROR(IF(OR(CF675=1,CF675=2,CF675=3),N(INDEX(Parameter!$I$5:$I$7,CF675)),0),0)</f>
        <v>0</v>
      </c>
      <c r="CR675" s="64" t="n">
        <f aca="false">IF(AND(Parameter!$B$21="Ja",ISNUMBER(W675),N(X675)&gt;0),IFERROR(N(INDEX(Parameter!$L$5:$L$7,W675))*INDEX(Parameter!$E$5:$E$7,W675)*X675/SUMIFS($X$7:$X$1843,$W$7:$W$1843,W675),0),0)</f>
        <v>0</v>
      </c>
      <c r="CS675" s="62" t="str">
        <f aca="false">IF(AND(OR(CG675="L1",CG675="L23",CG675="LIFT"),H675&gt;0),CC675*IF(CR675&gt;0,CR675*MAX(1,H675/X675),IF(CA675=1,CE675,IF(R675&gt;0,CN675/R675,0))/MAX(0.1,N(Parameter!$M$21))),"")</f>
        <v/>
      </c>
      <c r="CT675" s="64" t="str">
        <f aca="false">IF(CS675="","",J675/H675)</f>
        <v/>
      </c>
      <c r="CU675" s="62" t="str">
        <f aca="false">IF(CS675="","",H675*G675)</f>
        <v/>
      </c>
      <c r="CV675" s="63" t="str">
        <f aca="false">IF(CS675="","",(CL675+ROUNDUP(CL675+MAX(CM675,2*(J675/MAX(0.1,N(Einkauf!$C$6))-CL675)),0))/2)</f>
        <v/>
      </c>
      <c r="CW675" s="62" t="str">
        <f aca="false">IF(CS675="","",MAX(0,H675-CV675)*G675)</f>
        <v/>
      </c>
      <c r="CX675" s="62" t="str">
        <f aca="false">IF(CS675="","",CS675*MAX(0,1-CV675/H675))</f>
        <v/>
      </c>
      <c r="CY675" s="64" t="str">
        <f aca="false">IF(CS675="","",PERCENTRANK($CS$7:$CS$1843,CS675)+PERCENTRANK($CU$7:$CU$1843,CU675)+1-PERCENTRANK($CT$7:$CT$1843,CT675))</f>
        <v/>
      </c>
      <c r="CZ675" s="72" t="str">
        <f aca="false">IF(CS675="","",CHOOSE(MATCH(Einkauf!$C$5,Parameter!$G$23:$G$27,0),CY675,CS675,CU675,-CT675,CW675)+ROW()/1000000000)</f>
        <v/>
      </c>
    </row>
    <row r="676" customFormat="false" ht="15" hidden="false" customHeight="false" outlineLevel="0" collapsed="false">
      <c r="A676" s="60" t="s">
        <v>1398</v>
      </c>
      <c r="B676" s="60" t="s">
        <v>1399</v>
      </c>
      <c r="C676" s="60" t="s">
        <v>206</v>
      </c>
      <c r="D676" s="60" t="s">
        <v>1037</v>
      </c>
      <c r="E676" s="60"/>
      <c r="F676" s="60" t="s">
        <v>260</v>
      </c>
      <c r="G676" s="61" t="n">
        <v>3157.44</v>
      </c>
      <c r="H676" s="62" t="n">
        <f aca="false">MAX(0,IF(AND(Parameter!$B$21="Ja",ISNUMBER(Y676)),Y676,IF(Parameter!$B$20="Jahresanfang 2025 + Export",BS676+BR676,BR676)))</f>
        <v>0</v>
      </c>
      <c r="I676" s="62" t="n">
        <f aca="false">H676*G676</f>
        <v>0</v>
      </c>
      <c r="J676" s="62" t="n">
        <f aca="false">BU676*Parameter!$B$18</f>
        <v>4</v>
      </c>
      <c r="K676" s="63" t="n">
        <v>0</v>
      </c>
      <c r="L676" s="64" t="n">
        <v>0</v>
      </c>
      <c r="M676" s="62" t="n">
        <v>0</v>
      </c>
      <c r="N676" s="62" t="n">
        <v>1</v>
      </c>
      <c r="O676" s="65" t="n">
        <v>90</v>
      </c>
      <c r="P676" s="60" t="s">
        <v>210</v>
      </c>
      <c r="Q676" s="62"/>
      <c r="R676" s="65" t="n">
        <f aca="false">IF(CA676=1,0,IFERROR(VLOOKUP(BY676,'Gebinde-Kategorie'!$A$5:$N$45,13,0)+0,0))</f>
        <v>0</v>
      </c>
      <c r="S676" s="66"/>
      <c r="T676" s="67"/>
      <c r="U676" s="67"/>
      <c r="V676" s="67"/>
      <c r="W676" s="60"/>
      <c r="X676" s="62"/>
      <c r="Y676" s="62"/>
      <c r="Z676" s="60"/>
      <c r="AA676" s="60" t="str">
        <f aca="false">IF(A676="","",IF(AND(Parameter!$B$21="Ja",ISNUMBER(W676)),W676,IF(AND(Parameter!$E$27="Ja",ISNUMBER(Z676),CD676&lt;&gt;"Nein"),Z676,IF(CD676="2+3",IF(ISNUMBER(SEARCH("grosser Artikel",BV676)),2,IFERROR(VLOOKUP(BY676,Parameter!$F$35:$G$64,2,0),2)),IF(OR(CD676="Nein",CD676=""),"-",CD676)))))</f>
        <v>-</v>
      </c>
      <c r="AB676" s="67"/>
      <c r="AC676" s="68"/>
      <c r="AD676" s="62" t="n">
        <f aca="false">AW676</f>
        <v>3</v>
      </c>
      <c r="AE676" s="62" t="n">
        <f aca="false">MAX(AW676,H676)</f>
        <v>3</v>
      </c>
      <c r="AF676" s="69"/>
      <c r="AG676" s="62" t="n">
        <f aca="false">IF(LEFT(Cockpit!$C$5,1)="A",H676,IF(Parameter!$E$30="MAX-Bestand",IF(CI676=1,CJ676,IF(LEFT(Cockpit!$C$5,1)="B",AM676,MAX(AM676,H676))),ROUNDUP(AK676,0)))</f>
        <v>0</v>
      </c>
      <c r="AH676" s="62" t="n">
        <f aca="false">IF(CA676=1,0,ROUNDUP(AG676/BZ676,0))</f>
        <v>0</v>
      </c>
      <c r="AI676" s="64" t="n">
        <f aca="false">IF(CR676&gt;0,CR676*MAX(1,AG676/X676),IF(CA676=1,IF(AG676&lt;=0,0,CE676*MAX(1,IF(H676&gt;0,AG676/H676,1))),IF(R676&gt;0,AH676/R676,0))/MAX(0.1,N(Parameter!$M$21)))</f>
        <v>0</v>
      </c>
      <c r="AJ676" s="62" t="n">
        <f aca="false">AI676*CC676</f>
        <v>0</v>
      </c>
      <c r="AK676" s="63" t="n">
        <f aca="false">IF(LEFT(Cockpit!$C$5,1)="A",H676,IF(CI676=1,(CL676+CJ676)/2,IF(LEFT(Cockpit!$C$5,1)="B",(CL676+AM676)/2,MAX((CL676+AM676)/2,H676))))</f>
        <v>0</v>
      </c>
      <c r="AL676" s="62" t="n">
        <f aca="false">AK676*G676</f>
        <v>0</v>
      </c>
      <c r="AM676" s="62" t="n">
        <f aca="false">ROUNDUP(CL676+MAX(CM676,2*(J676/IF(CH676&gt;0,CH676,MAX(0.1,N(Cockpit!$C$6)))-CL676)),0)</f>
        <v>3</v>
      </c>
      <c r="AN676" s="63" t="n">
        <f aca="false">IF(AJ676&gt;0,J676/AJ676,-1)</f>
        <v>-1</v>
      </c>
      <c r="AO676" s="63" t="str">
        <f aca="false">IF(AND(OR(CG676="L1",CG676="L23",CG676="LIFT"),AJ676&gt;0),SUMIFS($AJ$7:$AJ$1843,$CG$7:$CG$1843,CG676,$AN$7:$AN$1843,"&gt;"&amp;AN676)+SUMIFS($AJ$7:$AJ$1843,$CG$7:$CG$1843,CG676,$AN$7:$AN$1843,AN676,$BX$7:$BX$1843,"&lt;="&amp;BX676),"")</f>
        <v/>
      </c>
      <c r="AP676" s="70" t="n">
        <f aca="false">IF(AO676="",0,MAX(0,MIN(1,(IF(CG676="L1",Parameter!$H$5,IF(CG676="L23",Parameter!$H$6+Parameter!$H$7,Parameter!$H$5+Parameter!$H$6+Parameter!$H$7))-(AO676-AJ676))/AJ676)))</f>
        <v>0</v>
      </c>
      <c r="AQ676" s="62" t="n">
        <f aca="false">IF(LEFT(Cockpit!$I$5,1)="A",H676,IF(Parameter!$E$30="MAX-Bestand",IF(CI676=1,CJ676,IF(LEFT(Cockpit!$I$5,1)="B",AW676,MAX(AW676,H676))),ROUNDUP(AU676,0)))</f>
        <v>2</v>
      </c>
      <c r="AR676" s="62" t="n">
        <f aca="false">IF(CA676=1,0,ROUNDUP(AQ676/BZ676,0))</f>
        <v>0</v>
      </c>
      <c r="AS676" s="64" t="n">
        <f aca="false">IF(CR676&gt;0,CR676*MAX(1,AQ676/X676),IF(CA676=1,IF(AQ676&lt;=0,0,CE676*MAX(1,IF(H676&gt;0,AQ676/H676,1))),IF(R676&gt;0,AR676/R676,0))/MAX(0.1,N(Parameter!$M$21)))</f>
        <v>0.15</v>
      </c>
      <c r="AT676" s="62" t="n">
        <f aca="false">AS676*CC676</f>
        <v>35.25</v>
      </c>
      <c r="AU676" s="63" t="n">
        <f aca="false">IF(LEFT(Cockpit!$I$5,1)="A",H676,IF(CI676=1,(CL676+CJ676)/2,IF(LEFT(Cockpit!$I$5,1)="B",(CL676+AW676)/2,MAX((CL676+AW676)/2,H676))))</f>
        <v>1.5</v>
      </c>
      <c r="AV676" s="62" t="n">
        <f aca="false">AU676*G676</f>
        <v>4736.16</v>
      </c>
      <c r="AW676" s="62" t="n">
        <f aca="false">ROUNDUP(CL676+MAX(CM676,2*(J676/IF(CH676&gt;0,CH676,MAX(0.1,N(Cockpit!$I$6)))-CL676)),0)</f>
        <v>3</v>
      </c>
      <c r="AX676" s="63" t="n">
        <f aca="false">IF(AT676&gt;0,J676/AT676,-1)</f>
        <v>0.113475177304965</v>
      </c>
      <c r="AY676" s="63" t="str">
        <f aca="false">IF(AND(OR(CG676="L1",CG676="L23",CG676="LIFT"),AT676&gt;0),SUMIFS($AT$7:$AT$1843,$CG$7:$CG$1843,CG676,$AX$7:$AX$1843,"&gt;"&amp;AX676)+SUMIFS($AT$7:$AT$1843,$CG$7:$CG$1843,CG676,$AX$7:$AX$1843,AX676,$BX$7:$BX$1843,"&lt;="&amp;BX676),"")</f>
        <v/>
      </c>
      <c r="AZ676" s="70" t="n">
        <f aca="false">IF(AY676="",0,MAX(0,MIN(1,(IF(CG676="L1",Parameter!$H$5,IF(CG676="L23",Parameter!$H$6+Parameter!$H$7,Parameter!$H$5+Parameter!$H$6+Parameter!$H$7))-(AY676-AT676))/AT676)))</f>
        <v>0</v>
      </c>
      <c r="BA676" s="62" t="n">
        <f aca="false">IF(LEFT(Cockpit!$O$5,1)="A",H676,IF(Parameter!$E$30="MAX-Bestand",IF(CI676=1,CJ676,IF(LEFT(Cockpit!$O$5,1)="B",BG676,MAX(BG676,H676))),ROUNDUP(BE676,0)))</f>
        <v>1</v>
      </c>
      <c r="BB676" s="62" t="n">
        <f aca="false">IF(CA676=1,0,ROUNDUP(BA676/BZ676,0))</f>
        <v>0</v>
      </c>
      <c r="BC676" s="64" t="n">
        <f aca="false">IF(CR676&gt;0,CR676*MAX(1,BA676/X676),IF(CA676=1,IF(BA676&lt;=0,0,CE676*MAX(1,IF(H676&gt;0,BA676/H676,1))),IF(R676&gt;0,BB676/R676,0))/MAX(0.1,N(Parameter!$M$21)))</f>
        <v>0.15</v>
      </c>
      <c r="BD676" s="62" t="n">
        <f aca="false">BC676*CC676</f>
        <v>35.25</v>
      </c>
      <c r="BE676" s="63" t="n">
        <f aca="false">IF(LEFT(Cockpit!$O$5,1)="A",H676,IF(CI676=1,(CL676+CJ676)/2,IF(LEFT(Cockpit!$O$5,1)="B",(CL676+BG676)/2,MAX((CL676+BG676)/2,H676))))</f>
        <v>1</v>
      </c>
      <c r="BF676" s="62" t="n">
        <f aca="false">BE676*G676</f>
        <v>3157.44</v>
      </c>
      <c r="BG676" s="62" t="n">
        <f aca="false">ROUNDUP(CL676+MAX(CM676,2*(J676/IF(CH676&gt;0,CH676,MAX(0.1,N(Cockpit!$O$6)))-CL676)),0)</f>
        <v>2</v>
      </c>
      <c r="BH676" s="63" t="n">
        <f aca="false">IF(BD676&gt;0,J676/BD676,-1)</f>
        <v>0.113475177304965</v>
      </c>
      <c r="BI676" s="63" t="str">
        <f aca="false">IF(AND(OR(CG676="L1",CG676="L23",CG676="LIFT"),BD676&gt;0),SUMIFS($BD$7:$BD$1843,$CG$7:$CG$1843,CG676,$BH$7:$BH$1843,"&gt;"&amp;BH676)+SUMIFS($BD$7:$BD$1843,$CG$7:$CG$1843,CG676,$BH$7:$BH$1843,BH676,$BX$7:$BX$1843,"&lt;="&amp;BX676),"")</f>
        <v/>
      </c>
      <c r="BJ676" s="70" t="n">
        <f aca="false">IF(BI676="",0,MAX(0,MIN(1,(IF(CG676="L1",Parameter!$H$5,IF(CG676="L23",Parameter!$H$6+Parameter!$H$7,Parameter!$H$5+Parameter!$H$6+Parameter!$H$7))-(BI676-BD676))/BD676)))</f>
        <v>0</v>
      </c>
      <c r="BK676" s="60" t="str">
        <f aca="false">IF(AJ676&lt;=0,"",IF(CG676="Aussen","Aussenlager",IF(CG676="-","Nicht im Lift",IF(AP676&gt;=1,"Lift",IF(AP676&lt;=0,"Aussenlager","teilweise")))))</f>
        <v/>
      </c>
      <c r="BL676" s="60" t="str">
        <f aca="false">IF(AT676&lt;=0,"",IF(CG676="Aussen","Aussenlager",IF(CG676="-","Nicht im Lift",IF(AZ676&gt;=1,"Lift",IF(AZ676&lt;=0,"Aussenlager","teilweise")))))</f>
        <v>Nicht im Lift</v>
      </c>
      <c r="BM676" s="60" t="str">
        <f aca="false">IF(BD676&lt;=0,"",IF(CG676="Aussen","Aussenlager",IF(CG676="-","Nicht im Lift",IF(BJ676&gt;=1,"Lift",IF(BJ676&lt;=0,"Aussenlager","teilweise")))))</f>
        <v>Nicht im Lift</v>
      </c>
      <c r="BN676" s="60" t="str">
        <f aca="false">IF(A676="","",IF(BW676=1,"Neu; ","")&amp;IF(AND(BW676=0,BR676&lt;0),"negativer Bestand (Export "&amp;BR676&amp;"); ","")&amp;IF(J676&lt;=0,"Kein Verbrauch; ","")&amp;IF(CR676&gt;0,"Lift "&amp;W676&amp;" lt. Liftbericht (Fach "&amp;X676&amp;" Stk); ",IF(CB676=1,"Gebinde geschätzt ("&amp;T676&amp;"); ",IF(CA676=1,"Lose – Tablare geschätzt; ","")))&amp;IF(H676&gt;AW676,"Überbestand "&amp;ROUND(H676-AW676,0)&amp;" Stk / CHF "&amp;ROUND((H676-AW676)*G676,0)&amp;"; ","")&amp;IF(AND(CI676=1,CJ676&lt;CK676),"MAX &lt; MB+LG; ","")&amp;IF(AND(CQ676&gt;0,CP676*10&gt;CQ676),"zu hoch für Tablar; ","")&amp;IF(AND(BW676=0,OR(CI676=1,AB676&lt;&gt;"",U676&lt;&gt;"",V676&lt;&gt;"",AC676&lt;&gt;"")),"manuell übersteuert; ","")&amp;IF(AND(CA676=0,R676=0),"Gebinde unbekannt / Stellmass fehlt; ","")&amp;IF(AND(CA676=0,N(V676)&lt;=0,N(Q676)&lt;=0),"Menge pro Gebinde fehlt (Ist = 1 Gebinde); ","")&amp;BV676)</f>
        <v>Lose – Tablare geschätzt; </v>
      </c>
      <c r="BO676" s="60"/>
      <c r="BP676" s="60"/>
      <c r="BQ676" s="67"/>
      <c r="BR676" s="62" t="n">
        <v>0</v>
      </c>
      <c r="BS676" s="62" t="n">
        <v>0</v>
      </c>
      <c r="BT676" s="61" t="n">
        <v>0</v>
      </c>
      <c r="BU676" s="62" t="n">
        <v>4</v>
      </c>
      <c r="BV676" s="60"/>
      <c r="BW676" s="65" t="n">
        <v>0</v>
      </c>
      <c r="BX676" s="65" t="n">
        <v>676</v>
      </c>
      <c r="BY676" s="60" t="str">
        <f aca="false">IF(U676&lt;&gt;"",UPPER(TRIM(U676)),IF(CB676=1,UPPER(VLOOKUP(T676,Parameter!$I$27:$K$29,2,0)),IF(P676="","LOSE",P676)))</f>
        <v>LOSE</v>
      </c>
      <c r="BZ676" s="62" t="n">
        <f aca="false">IF(BY676="LOSE",1,IF(N(V676)&gt;0,V676,IF(CB676=1,MAX(1,N(VLOOKUP(T676,Parameter!$I$27:$K$29,3,0)),H676,N(N676)),IF(N(Q676)&gt;0,Q676,MAX(1,H676)))))</f>
        <v>1</v>
      </c>
      <c r="CA676" s="65" t="n">
        <f aca="false">IF(BY676="LOSE",1,0)</f>
        <v>1</v>
      </c>
      <c r="CB676" s="65" t="n">
        <f aca="false">IF(AND(U676="",OR(P676="",P676="LOSE"),T676&lt;&gt;"",N(S676)&lt;=0,ISNUMBER(MATCH(T676,Parameter!$I$27:$I$29,0))),1,0)</f>
        <v>0</v>
      </c>
      <c r="CC676" s="65" t="n">
        <f aca="false">IF(CR676&gt;0,INDEX(Parameter!$H$5:$H$7,W676)/INDEX(Parameter!$E$5:$E$7,W676),IF(AND(CA676=0,N(IFERROR(VLOOKUP(BY676,'Gebinde-Kategorie'!$A$5:$N$45,14,0),0))&gt;0),VLOOKUP(BY676,'Gebinde-Kategorie'!$A$5:$N$45,14,0)*10+Parameter!$M$23,Parameter!$M$24))</f>
        <v>235</v>
      </c>
      <c r="CD676" s="60" t="str">
        <f aca="false">IF(AND(Parameter!$B$19="Ja",E676&lt;&gt;"",ISNUMBER(MATCH(E676,Parameter!$I$35:$I$52,0))),VLOOKUP(E676,Parameter!$I$35:$J$52,2,0),IFERROR(VLOOKUP(D676,Parameter!$A$35:$C$64,2,0),"Nein"))</f>
        <v>Nein</v>
      </c>
      <c r="CE676" s="64" t="n">
        <f aca="false">IF(CA676=0,0,IF(N(S676)&gt;0,S676,IFERROR(VLOOKUP(D676,Parameter!$A$35:$C$64,3,0)+0,0)))</f>
        <v>0.15</v>
      </c>
      <c r="CF676" s="60" t="str">
        <f aca="false">IF(AB676&lt;&gt;"",AB676,AA676)</f>
        <v>-</v>
      </c>
      <c r="CG676" s="60" t="str">
        <f aca="false">IF(OR(CF676=1,CF676=2,CF676=3),IF(Parameter!$E$27="Ja","LIFT",IF(CF676=1,"L1","L23")),IF(CF676="Aussen","Aussen","-"))</f>
        <v>-</v>
      </c>
      <c r="CH676" s="71" t="n">
        <f aca="false">IF(N(AC676)&gt;0,AC676,0)</f>
        <v>0</v>
      </c>
      <c r="CI676" s="65" t="n">
        <f aca="false">IF(ISNUMBER(AF676),1,0)</f>
        <v>0</v>
      </c>
      <c r="CJ676" s="62" t="n">
        <f aca="false">N(AF676)</f>
        <v>0</v>
      </c>
      <c r="CK676" s="62" t="n">
        <f aca="false">N(M676)+N(N676)</f>
        <v>1</v>
      </c>
      <c r="CL676" s="62" t="n">
        <f aca="false">N(M676)</f>
        <v>0</v>
      </c>
      <c r="CM676" s="62" t="n">
        <f aca="false">N(N676)</f>
        <v>1</v>
      </c>
      <c r="CN676" s="62" t="n">
        <f aca="false">ROUNDUP(H676/BZ676,0)</f>
        <v>0</v>
      </c>
      <c r="CO676" s="62" t="n">
        <f aca="false">ROUNDUP(CJ676/BZ676,0)</f>
        <v>0</v>
      </c>
      <c r="CP676" s="65" t="n">
        <f aca="false">IF(CA676=1,0,IFERROR(VLOOKUP(BY676,'Gebinde-Kategorie'!$A$5:$N$45,5,0)+0,0))</f>
        <v>0</v>
      </c>
      <c r="CQ676" s="65" t="n">
        <f aca="false">IFERROR(IF(OR(CF676=1,CF676=2,CF676=3),N(INDEX(Parameter!$I$5:$I$7,CF676)),0),0)</f>
        <v>0</v>
      </c>
      <c r="CR676" s="64" t="n">
        <f aca="false">IF(AND(Parameter!$B$21="Ja",ISNUMBER(W676),N(X676)&gt;0),IFERROR(N(INDEX(Parameter!$L$5:$L$7,W676))*INDEX(Parameter!$E$5:$E$7,W676)*X676/SUMIFS($X$7:$X$1843,$W$7:$W$1843,W676),0),0)</f>
        <v>0</v>
      </c>
      <c r="CS676" s="62" t="str">
        <f aca="false">IF(AND(OR(CG676="L1",CG676="L23",CG676="LIFT"),H676&gt;0),CC676*IF(CR676&gt;0,CR676*MAX(1,H676/X676),IF(CA676=1,CE676,IF(R676&gt;0,CN676/R676,0))/MAX(0.1,N(Parameter!$M$21))),"")</f>
        <v/>
      </c>
      <c r="CT676" s="64" t="str">
        <f aca="false">IF(CS676="","",J676/H676)</f>
        <v/>
      </c>
      <c r="CU676" s="62" t="str">
        <f aca="false">IF(CS676="","",H676*G676)</f>
        <v/>
      </c>
      <c r="CV676" s="63" t="str">
        <f aca="false">IF(CS676="","",(CL676+ROUNDUP(CL676+MAX(CM676,2*(J676/MAX(0.1,N(Einkauf!$C$6))-CL676)),0))/2)</f>
        <v/>
      </c>
      <c r="CW676" s="62" t="str">
        <f aca="false">IF(CS676="","",MAX(0,H676-CV676)*G676)</f>
        <v/>
      </c>
      <c r="CX676" s="62" t="str">
        <f aca="false">IF(CS676="","",CS676*MAX(0,1-CV676/H676))</f>
        <v/>
      </c>
      <c r="CY676" s="64" t="str">
        <f aca="false">IF(CS676="","",PERCENTRANK($CS$7:$CS$1843,CS676)+PERCENTRANK($CU$7:$CU$1843,CU676)+1-PERCENTRANK($CT$7:$CT$1843,CT676))</f>
        <v/>
      </c>
      <c r="CZ676" s="72" t="str">
        <f aca="false">IF(CS676="","",CHOOSE(MATCH(Einkauf!$C$5,Parameter!$G$23:$G$27,0),CY676,CS676,CU676,-CT676,CW676)+ROW()/1000000000)</f>
        <v/>
      </c>
    </row>
    <row r="677" customFormat="false" ht="15" hidden="false" customHeight="false" outlineLevel="0" collapsed="false">
      <c r="A677" s="60" t="s">
        <v>1400</v>
      </c>
      <c r="B677" s="60" t="s">
        <v>1401</v>
      </c>
      <c r="C677" s="60" t="s">
        <v>206</v>
      </c>
      <c r="D677" s="60" t="s">
        <v>1037</v>
      </c>
      <c r="E677" s="60"/>
      <c r="F677" s="60" t="s">
        <v>260</v>
      </c>
      <c r="G677" s="61" t="n">
        <v>12854.39</v>
      </c>
      <c r="H677" s="62" t="n">
        <f aca="false">MAX(0,IF(AND(Parameter!$B$21="Ja",ISNUMBER(Y677)),Y677,IF(Parameter!$B$20="Jahresanfang 2025 + Export",BS677+BR677,BR677)))</f>
        <v>0</v>
      </c>
      <c r="I677" s="62" t="n">
        <f aca="false">H677*G677</f>
        <v>0</v>
      </c>
      <c r="J677" s="62" t="n">
        <f aca="false">BU677*Parameter!$B$18</f>
        <v>4</v>
      </c>
      <c r="K677" s="63" t="n">
        <v>0</v>
      </c>
      <c r="L677" s="64" t="n">
        <v>0</v>
      </c>
      <c r="M677" s="62" t="n">
        <v>0</v>
      </c>
      <c r="N677" s="62" t="n">
        <v>1</v>
      </c>
      <c r="O677" s="65" t="n">
        <v>90</v>
      </c>
      <c r="P677" s="60" t="s">
        <v>210</v>
      </c>
      <c r="Q677" s="62"/>
      <c r="R677" s="65" t="n">
        <f aca="false">IF(CA677=1,0,IFERROR(VLOOKUP(BY677,'Gebinde-Kategorie'!$A$5:$N$45,13,0)+0,0))</f>
        <v>0</v>
      </c>
      <c r="S677" s="66"/>
      <c r="T677" s="67"/>
      <c r="U677" s="67"/>
      <c r="V677" s="67"/>
      <c r="W677" s="60"/>
      <c r="X677" s="62"/>
      <c r="Y677" s="62"/>
      <c r="Z677" s="60"/>
      <c r="AA677" s="60" t="str">
        <f aca="false">IF(A677="","",IF(AND(Parameter!$B$21="Ja",ISNUMBER(W677)),W677,IF(AND(Parameter!$E$27="Ja",ISNUMBER(Z677),CD677&lt;&gt;"Nein"),Z677,IF(CD677="2+3",IF(ISNUMBER(SEARCH("grosser Artikel",BV677)),2,IFERROR(VLOOKUP(BY677,Parameter!$F$35:$G$64,2,0),2)),IF(OR(CD677="Nein",CD677=""),"-",CD677)))))</f>
        <v>-</v>
      </c>
      <c r="AB677" s="67"/>
      <c r="AC677" s="68"/>
      <c r="AD677" s="62" t="n">
        <f aca="false">AW677</f>
        <v>3</v>
      </c>
      <c r="AE677" s="62" t="n">
        <f aca="false">MAX(AW677,H677)</f>
        <v>3</v>
      </c>
      <c r="AF677" s="69"/>
      <c r="AG677" s="62" t="n">
        <f aca="false">IF(LEFT(Cockpit!$C$5,1)="A",H677,IF(Parameter!$E$30="MAX-Bestand",IF(CI677=1,CJ677,IF(LEFT(Cockpit!$C$5,1)="B",AM677,MAX(AM677,H677))),ROUNDUP(AK677,0)))</f>
        <v>0</v>
      </c>
      <c r="AH677" s="62" t="n">
        <f aca="false">IF(CA677=1,0,ROUNDUP(AG677/BZ677,0))</f>
        <v>0</v>
      </c>
      <c r="AI677" s="64" t="n">
        <f aca="false">IF(CR677&gt;0,CR677*MAX(1,AG677/X677),IF(CA677=1,IF(AG677&lt;=0,0,CE677*MAX(1,IF(H677&gt;0,AG677/H677,1))),IF(R677&gt;0,AH677/R677,0))/MAX(0.1,N(Parameter!$M$21)))</f>
        <v>0</v>
      </c>
      <c r="AJ677" s="62" t="n">
        <f aca="false">AI677*CC677</f>
        <v>0</v>
      </c>
      <c r="AK677" s="63" t="n">
        <f aca="false">IF(LEFT(Cockpit!$C$5,1)="A",H677,IF(CI677=1,(CL677+CJ677)/2,IF(LEFT(Cockpit!$C$5,1)="B",(CL677+AM677)/2,MAX((CL677+AM677)/2,H677))))</f>
        <v>0</v>
      </c>
      <c r="AL677" s="62" t="n">
        <f aca="false">AK677*G677</f>
        <v>0</v>
      </c>
      <c r="AM677" s="62" t="n">
        <f aca="false">ROUNDUP(CL677+MAX(CM677,2*(J677/IF(CH677&gt;0,CH677,MAX(0.1,N(Cockpit!$C$6)))-CL677)),0)</f>
        <v>3</v>
      </c>
      <c r="AN677" s="63" t="n">
        <f aca="false">IF(AJ677&gt;0,J677/AJ677,-1)</f>
        <v>-1</v>
      </c>
      <c r="AO677" s="63" t="str">
        <f aca="false">IF(AND(OR(CG677="L1",CG677="L23",CG677="LIFT"),AJ677&gt;0),SUMIFS($AJ$7:$AJ$1843,$CG$7:$CG$1843,CG677,$AN$7:$AN$1843,"&gt;"&amp;AN677)+SUMIFS($AJ$7:$AJ$1843,$CG$7:$CG$1843,CG677,$AN$7:$AN$1843,AN677,$BX$7:$BX$1843,"&lt;="&amp;BX677),"")</f>
        <v/>
      </c>
      <c r="AP677" s="70" t="n">
        <f aca="false">IF(AO677="",0,MAX(0,MIN(1,(IF(CG677="L1",Parameter!$H$5,IF(CG677="L23",Parameter!$H$6+Parameter!$H$7,Parameter!$H$5+Parameter!$H$6+Parameter!$H$7))-(AO677-AJ677))/AJ677)))</f>
        <v>0</v>
      </c>
      <c r="AQ677" s="62" t="n">
        <f aca="false">IF(LEFT(Cockpit!$I$5,1)="A",H677,IF(Parameter!$E$30="MAX-Bestand",IF(CI677=1,CJ677,IF(LEFT(Cockpit!$I$5,1)="B",AW677,MAX(AW677,H677))),ROUNDUP(AU677,0)))</f>
        <v>2</v>
      </c>
      <c r="AR677" s="62" t="n">
        <f aca="false">IF(CA677=1,0,ROUNDUP(AQ677/BZ677,0))</f>
        <v>0</v>
      </c>
      <c r="AS677" s="64" t="n">
        <f aca="false">IF(CR677&gt;0,CR677*MAX(1,AQ677/X677),IF(CA677=1,IF(AQ677&lt;=0,0,CE677*MAX(1,IF(H677&gt;0,AQ677/H677,1))),IF(R677&gt;0,AR677/R677,0))/MAX(0.1,N(Parameter!$M$21)))</f>
        <v>0.15</v>
      </c>
      <c r="AT677" s="62" t="n">
        <f aca="false">AS677*CC677</f>
        <v>35.25</v>
      </c>
      <c r="AU677" s="63" t="n">
        <f aca="false">IF(LEFT(Cockpit!$I$5,1)="A",H677,IF(CI677=1,(CL677+CJ677)/2,IF(LEFT(Cockpit!$I$5,1)="B",(CL677+AW677)/2,MAX((CL677+AW677)/2,H677))))</f>
        <v>1.5</v>
      </c>
      <c r="AV677" s="62" t="n">
        <f aca="false">AU677*G677</f>
        <v>19281.585</v>
      </c>
      <c r="AW677" s="62" t="n">
        <f aca="false">ROUNDUP(CL677+MAX(CM677,2*(J677/IF(CH677&gt;0,CH677,MAX(0.1,N(Cockpit!$I$6)))-CL677)),0)</f>
        <v>3</v>
      </c>
      <c r="AX677" s="63" t="n">
        <f aca="false">IF(AT677&gt;0,J677/AT677,-1)</f>
        <v>0.113475177304965</v>
      </c>
      <c r="AY677" s="63" t="str">
        <f aca="false">IF(AND(OR(CG677="L1",CG677="L23",CG677="LIFT"),AT677&gt;0),SUMIFS($AT$7:$AT$1843,$CG$7:$CG$1843,CG677,$AX$7:$AX$1843,"&gt;"&amp;AX677)+SUMIFS($AT$7:$AT$1843,$CG$7:$CG$1843,CG677,$AX$7:$AX$1843,AX677,$BX$7:$BX$1843,"&lt;="&amp;BX677),"")</f>
        <v/>
      </c>
      <c r="AZ677" s="70" t="n">
        <f aca="false">IF(AY677="",0,MAX(0,MIN(1,(IF(CG677="L1",Parameter!$H$5,IF(CG677="L23",Parameter!$H$6+Parameter!$H$7,Parameter!$H$5+Parameter!$H$6+Parameter!$H$7))-(AY677-AT677))/AT677)))</f>
        <v>0</v>
      </c>
      <c r="BA677" s="62" t="n">
        <f aca="false">IF(LEFT(Cockpit!$O$5,1)="A",H677,IF(Parameter!$E$30="MAX-Bestand",IF(CI677=1,CJ677,IF(LEFT(Cockpit!$O$5,1)="B",BG677,MAX(BG677,H677))),ROUNDUP(BE677,0)))</f>
        <v>1</v>
      </c>
      <c r="BB677" s="62" t="n">
        <f aca="false">IF(CA677=1,0,ROUNDUP(BA677/BZ677,0))</f>
        <v>0</v>
      </c>
      <c r="BC677" s="64" t="n">
        <f aca="false">IF(CR677&gt;0,CR677*MAX(1,BA677/X677),IF(CA677=1,IF(BA677&lt;=0,0,CE677*MAX(1,IF(H677&gt;0,BA677/H677,1))),IF(R677&gt;0,BB677/R677,0))/MAX(0.1,N(Parameter!$M$21)))</f>
        <v>0.15</v>
      </c>
      <c r="BD677" s="62" t="n">
        <f aca="false">BC677*CC677</f>
        <v>35.25</v>
      </c>
      <c r="BE677" s="63" t="n">
        <f aca="false">IF(LEFT(Cockpit!$O$5,1)="A",H677,IF(CI677=1,(CL677+CJ677)/2,IF(LEFT(Cockpit!$O$5,1)="B",(CL677+BG677)/2,MAX((CL677+BG677)/2,H677))))</f>
        <v>1</v>
      </c>
      <c r="BF677" s="62" t="n">
        <f aca="false">BE677*G677</f>
        <v>12854.39</v>
      </c>
      <c r="BG677" s="62" t="n">
        <f aca="false">ROUNDUP(CL677+MAX(CM677,2*(J677/IF(CH677&gt;0,CH677,MAX(0.1,N(Cockpit!$O$6)))-CL677)),0)</f>
        <v>2</v>
      </c>
      <c r="BH677" s="63" t="n">
        <f aca="false">IF(BD677&gt;0,J677/BD677,-1)</f>
        <v>0.113475177304965</v>
      </c>
      <c r="BI677" s="63" t="str">
        <f aca="false">IF(AND(OR(CG677="L1",CG677="L23",CG677="LIFT"),BD677&gt;0),SUMIFS($BD$7:$BD$1843,$CG$7:$CG$1843,CG677,$BH$7:$BH$1843,"&gt;"&amp;BH677)+SUMIFS($BD$7:$BD$1843,$CG$7:$CG$1843,CG677,$BH$7:$BH$1843,BH677,$BX$7:$BX$1843,"&lt;="&amp;BX677),"")</f>
        <v/>
      </c>
      <c r="BJ677" s="70" t="n">
        <f aca="false">IF(BI677="",0,MAX(0,MIN(1,(IF(CG677="L1",Parameter!$H$5,IF(CG677="L23",Parameter!$H$6+Parameter!$H$7,Parameter!$H$5+Parameter!$H$6+Parameter!$H$7))-(BI677-BD677))/BD677)))</f>
        <v>0</v>
      </c>
      <c r="BK677" s="60" t="str">
        <f aca="false">IF(AJ677&lt;=0,"",IF(CG677="Aussen","Aussenlager",IF(CG677="-","Nicht im Lift",IF(AP677&gt;=1,"Lift",IF(AP677&lt;=0,"Aussenlager","teilweise")))))</f>
        <v/>
      </c>
      <c r="BL677" s="60" t="str">
        <f aca="false">IF(AT677&lt;=0,"",IF(CG677="Aussen","Aussenlager",IF(CG677="-","Nicht im Lift",IF(AZ677&gt;=1,"Lift",IF(AZ677&lt;=0,"Aussenlager","teilweise")))))</f>
        <v>Nicht im Lift</v>
      </c>
      <c r="BM677" s="60" t="str">
        <f aca="false">IF(BD677&lt;=0,"",IF(CG677="Aussen","Aussenlager",IF(CG677="-","Nicht im Lift",IF(BJ677&gt;=1,"Lift",IF(BJ677&lt;=0,"Aussenlager","teilweise")))))</f>
        <v>Nicht im Lift</v>
      </c>
      <c r="BN677" s="60" t="str">
        <f aca="false">IF(A677="","",IF(BW677=1,"Neu; ","")&amp;IF(AND(BW677=0,BR677&lt;0),"negativer Bestand (Export "&amp;BR677&amp;"); ","")&amp;IF(J677&lt;=0,"Kein Verbrauch; ","")&amp;IF(CR677&gt;0,"Lift "&amp;W677&amp;" lt. Liftbericht (Fach "&amp;X677&amp;" Stk); ",IF(CB677=1,"Gebinde geschätzt ("&amp;T677&amp;"); ",IF(CA677=1,"Lose – Tablare geschätzt; ","")))&amp;IF(H677&gt;AW677,"Überbestand "&amp;ROUND(H677-AW677,0)&amp;" Stk / CHF "&amp;ROUND((H677-AW677)*G677,0)&amp;"; ","")&amp;IF(AND(CI677=1,CJ677&lt;CK677),"MAX &lt; MB+LG; ","")&amp;IF(AND(CQ677&gt;0,CP677*10&gt;CQ677),"zu hoch für Tablar; ","")&amp;IF(AND(BW677=0,OR(CI677=1,AB677&lt;&gt;"",U677&lt;&gt;"",V677&lt;&gt;"",AC677&lt;&gt;"")),"manuell übersteuert; ","")&amp;IF(AND(CA677=0,R677=0),"Gebinde unbekannt / Stellmass fehlt; ","")&amp;IF(AND(CA677=0,N(V677)&lt;=0,N(Q677)&lt;=0),"Menge pro Gebinde fehlt (Ist = 1 Gebinde); ","")&amp;BV677)</f>
        <v>Lose – Tablare geschätzt; </v>
      </c>
      <c r="BO677" s="60"/>
      <c r="BP677" s="60"/>
      <c r="BQ677" s="67"/>
      <c r="BR677" s="62" t="n">
        <v>0</v>
      </c>
      <c r="BS677" s="62" t="n">
        <v>0</v>
      </c>
      <c r="BT677" s="61" t="n">
        <v>0</v>
      </c>
      <c r="BU677" s="62" t="n">
        <v>4</v>
      </c>
      <c r="BV677" s="60"/>
      <c r="BW677" s="65" t="n">
        <v>0</v>
      </c>
      <c r="BX677" s="65" t="n">
        <v>677</v>
      </c>
      <c r="BY677" s="60" t="str">
        <f aca="false">IF(U677&lt;&gt;"",UPPER(TRIM(U677)),IF(CB677=1,UPPER(VLOOKUP(T677,Parameter!$I$27:$K$29,2,0)),IF(P677="","LOSE",P677)))</f>
        <v>LOSE</v>
      </c>
      <c r="BZ677" s="62" t="n">
        <f aca="false">IF(BY677="LOSE",1,IF(N(V677)&gt;0,V677,IF(CB677=1,MAX(1,N(VLOOKUP(T677,Parameter!$I$27:$K$29,3,0)),H677,N(N677)),IF(N(Q677)&gt;0,Q677,MAX(1,H677)))))</f>
        <v>1</v>
      </c>
      <c r="CA677" s="65" t="n">
        <f aca="false">IF(BY677="LOSE",1,0)</f>
        <v>1</v>
      </c>
      <c r="CB677" s="65" t="n">
        <f aca="false">IF(AND(U677="",OR(P677="",P677="LOSE"),T677&lt;&gt;"",N(S677)&lt;=0,ISNUMBER(MATCH(T677,Parameter!$I$27:$I$29,0))),1,0)</f>
        <v>0</v>
      </c>
      <c r="CC677" s="65" t="n">
        <f aca="false">IF(CR677&gt;0,INDEX(Parameter!$H$5:$H$7,W677)/INDEX(Parameter!$E$5:$E$7,W677),IF(AND(CA677=0,N(IFERROR(VLOOKUP(BY677,'Gebinde-Kategorie'!$A$5:$N$45,14,0),0))&gt;0),VLOOKUP(BY677,'Gebinde-Kategorie'!$A$5:$N$45,14,0)*10+Parameter!$M$23,Parameter!$M$24))</f>
        <v>235</v>
      </c>
      <c r="CD677" s="60" t="str">
        <f aca="false">IF(AND(Parameter!$B$19="Ja",E677&lt;&gt;"",ISNUMBER(MATCH(E677,Parameter!$I$35:$I$52,0))),VLOOKUP(E677,Parameter!$I$35:$J$52,2,0),IFERROR(VLOOKUP(D677,Parameter!$A$35:$C$64,2,0),"Nein"))</f>
        <v>Nein</v>
      </c>
      <c r="CE677" s="64" t="n">
        <f aca="false">IF(CA677=0,0,IF(N(S677)&gt;0,S677,IFERROR(VLOOKUP(D677,Parameter!$A$35:$C$64,3,0)+0,0)))</f>
        <v>0.15</v>
      </c>
      <c r="CF677" s="60" t="str">
        <f aca="false">IF(AB677&lt;&gt;"",AB677,AA677)</f>
        <v>-</v>
      </c>
      <c r="CG677" s="60" t="str">
        <f aca="false">IF(OR(CF677=1,CF677=2,CF677=3),IF(Parameter!$E$27="Ja","LIFT",IF(CF677=1,"L1","L23")),IF(CF677="Aussen","Aussen","-"))</f>
        <v>-</v>
      </c>
      <c r="CH677" s="71" t="n">
        <f aca="false">IF(N(AC677)&gt;0,AC677,0)</f>
        <v>0</v>
      </c>
      <c r="CI677" s="65" t="n">
        <f aca="false">IF(ISNUMBER(AF677),1,0)</f>
        <v>0</v>
      </c>
      <c r="CJ677" s="62" t="n">
        <f aca="false">N(AF677)</f>
        <v>0</v>
      </c>
      <c r="CK677" s="62" t="n">
        <f aca="false">N(M677)+N(N677)</f>
        <v>1</v>
      </c>
      <c r="CL677" s="62" t="n">
        <f aca="false">N(M677)</f>
        <v>0</v>
      </c>
      <c r="CM677" s="62" t="n">
        <f aca="false">N(N677)</f>
        <v>1</v>
      </c>
      <c r="CN677" s="62" t="n">
        <f aca="false">ROUNDUP(H677/BZ677,0)</f>
        <v>0</v>
      </c>
      <c r="CO677" s="62" t="n">
        <f aca="false">ROUNDUP(CJ677/BZ677,0)</f>
        <v>0</v>
      </c>
      <c r="CP677" s="65" t="n">
        <f aca="false">IF(CA677=1,0,IFERROR(VLOOKUP(BY677,'Gebinde-Kategorie'!$A$5:$N$45,5,0)+0,0))</f>
        <v>0</v>
      </c>
      <c r="CQ677" s="65" t="n">
        <f aca="false">IFERROR(IF(OR(CF677=1,CF677=2,CF677=3),N(INDEX(Parameter!$I$5:$I$7,CF677)),0),0)</f>
        <v>0</v>
      </c>
      <c r="CR677" s="64" t="n">
        <f aca="false">IF(AND(Parameter!$B$21="Ja",ISNUMBER(W677),N(X677)&gt;0),IFERROR(N(INDEX(Parameter!$L$5:$L$7,W677))*INDEX(Parameter!$E$5:$E$7,W677)*X677/SUMIFS($X$7:$X$1843,$W$7:$W$1843,W677),0),0)</f>
        <v>0</v>
      </c>
      <c r="CS677" s="62" t="str">
        <f aca="false">IF(AND(OR(CG677="L1",CG677="L23",CG677="LIFT"),H677&gt;0),CC677*IF(CR677&gt;0,CR677*MAX(1,H677/X677),IF(CA677=1,CE677,IF(R677&gt;0,CN677/R677,0))/MAX(0.1,N(Parameter!$M$21))),"")</f>
        <v/>
      </c>
      <c r="CT677" s="64" t="str">
        <f aca="false">IF(CS677="","",J677/H677)</f>
        <v/>
      </c>
      <c r="CU677" s="62" t="str">
        <f aca="false">IF(CS677="","",H677*G677)</f>
        <v/>
      </c>
      <c r="CV677" s="63" t="str">
        <f aca="false">IF(CS677="","",(CL677+ROUNDUP(CL677+MAX(CM677,2*(J677/MAX(0.1,N(Einkauf!$C$6))-CL677)),0))/2)</f>
        <v/>
      </c>
      <c r="CW677" s="62" t="str">
        <f aca="false">IF(CS677="","",MAX(0,H677-CV677)*G677)</f>
        <v/>
      </c>
      <c r="CX677" s="62" t="str">
        <f aca="false">IF(CS677="","",CS677*MAX(0,1-CV677/H677))</f>
        <v/>
      </c>
      <c r="CY677" s="64" t="str">
        <f aca="false">IF(CS677="","",PERCENTRANK($CS$7:$CS$1843,CS677)+PERCENTRANK($CU$7:$CU$1843,CU677)+1-PERCENTRANK($CT$7:$CT$1843,CT677))</f>
        <v/>
      </c>
      <c r="CZ677" s="72" t="str">
        <f aca="false">IF(CS677="","",CHOOSE(MATCH(Einkauf!$C$5,Parameter!$G$23:$G$27,0),CY677,CS677,CU677,-CT677,CW677)+ROW()/1000000000)</f>
        <v/>
      </c>
    </row>
    <row r="678" customFormat="false" ht="15" hidden="false" customHeight="false" outlineLevel="0" collapsed="false">
      <c r="A678" s="60" t="s">
        <v>1402</v>
      </c>
      <c r="B678" s="60" t="s">
        <v>238</v>
      </c>
      <c r="C678" s="60" t="s">
        <v>206</v>
      </c>
      <c r="D678" s="60" t="s">
        <v>215</v>
      </c>
      <c r="E678" s="60"/>
      <c r="F678" s="60" t="s">
        <v>260</v>
      </c>
      <c r="G678" s="61" t="n">
        <v>5018.88</v>
      </c>
      <c r="H678" s="62" t="n">
        <f aca="false">MAX(0,IF(AND(Parameter!$B$21="Ja",ISNUMBER(Y678)),Y678,IF(Parameter!$B$20="Jahresanfang 2025 + Export",BS678+BR678,BR678)))</f>
        <v>0</v>
      </c>
      <c r="I678" s="62" t="n">
        <f aca="false">H678*G678</f>
        <v>0</v>
      </c>
      <c r="J678" s="62" t="n">
        <f aca="false">BU678*Parameter!$B$18</f>
        <v>1</v>
      </c>
      <c r="K678" s="63" t="n">
        <v>0</v>
      </c>
      <c r="L678" s="64" t="n">
        <v>0</v>
      </c>
      <c r="M678" s="62" t="n">
        <v>0</v>
      </c>
      <c r="N678" s="62" t="n">
        <v>1</v>
      </c>
      <c r="O678" s="65" t="n">
        <v>115</v>
      </c>
      <c r="P678" s="60" t="s">
        <v>210</v>
      </c>
      <c r="Q678" s="62"/>
      <c r="R678" s="65" t="n">
        <f aca="false">IF(CA678=1,0,IFERROR(VLOOKUP(BY678,'Gebinde-Kategorie'!$A$5:$N$45,13,0)+0,0))</f>
        <v>12</v>
      </c>
      <c r="S678" s="66"/>
      <c r="T678" s="67" t="s">
        <v>221</v>
      </c>
      <c r="U678" s="67"/>
      <c r="V678" s="67"/>
      <c r="W678" s="60"/>
      <c r="X678" s="62"/>
      <c r="Y678" s="62"/>
      <c r="Z678" s="60" t="n">
        <v>3</v>
      </c>
      <c r="AA678" s="60" t="n">
        <f aca="false">IF(A678="","",IF(AND(Parameter!$B$21="Ja",ISNUMBER(W678)),W678,IF(AND(Parameter!$E$27="Ja",ISNUMBER(Z678),CD678&lt;&gt;"Nein"),Z678,IF(CD678="2+3",IF(ISNUMBER(SEARCH("grosser Artikel",BV678)),2,IFERROR(VLOOKUP(BY678,Parameter!$F$35:$G$64,2,0),2)),IF(OR(CD678="Nein",CD678=""),"-",CD678)))))</f>
        <v>3</v>
      </c>
      <c r="AB678" s="67"/>
      <c r="AC678" s="68"/>
      <c r="AD678" s="62" t="n">
        <f aca="false">AW678</f>
        <v>1</v>
      </c>
      <c r="AE678" s="62" t="n">
        <f aca="false">MAX(AW678,H678)</f>
        <v>1</v>
      </c>
      <c r="AF678" s="69"/>
      <c r="AG678" s="62" t="n">
        <f aca="false">IF(LEFT(Cockpit!$C$5,1)="A",H678,IF(Parameter!$E$30="MAX-Bestand",IF(CI678=1,CJ678,IF(LEFT(Cockpit!$C$5,1)="B",AM678,MAX(AM678,H678))),ROUNDUP(AK678,0)))</f>
        <v>0</v>
      </c>
      <c r="AH678" s="62" t="n">
        <f aca="false">IF(CA678=1,0,ROUNDUP(AG678/BZ678,0))</f>
        <v>0</v>
      </c>
      <c r="AI678" s="64" t="n">
        <f aca="false">IF(CR678&gt;0,CR678*MAX(1,AG678/X678),IF(CA678=1,IF(AG678&lt;=0,0,CE678*MAX(1,IF(H678&gt;0,AG678/H678,1))),IF(R678&gt;0,AH678/R678,0))/MAX(0.1,N(Parameter!$M$21)))</f>
        <v>0</v>
      </c>
      <c r="AJ678" s="62" t="n">
        <f aca="false">AI678*CC678</f>
        <v>0</v>
      </c>
      <c r="AK678" s="63" t="n">
        <f aca="false">IF(LEFT(Cockpit!$C$5,1)="A",H678,IF(CI678=1,(CL678+CJ678)/2,IF(LEFT(Cockpit!$C$5,1)="B",(CL678+AM678)/2,MAX((CL678+AM678)/2,H678))))</f>
        <v>0</v>
      </c>
      <c r="AL678" s="62" t="n">
        <f aca="false">AK678*G678</f>
        <v>0</v>
      </c>
      <c r="AM678" s="62" t="n">
        <f aca="false">ROUNDUP(CL678+MAX(CM678,2*(J678/IF(CH678&gt;0,CH678,MAX(0.1,N(Cockpit!$C$6)))-CL678)),0)</f>
        <v>1</v>
      </c>
      <c r="AN678" s="63" t="n">
        <f aca="false">IF(AJ678&gt;0,J678/AJ678,-1)</f>
        <v>-1</v>
      </c>
      <c r="AO678" s="63" t="str">
        <f aca="false">IF(AND(OR(CG678="L1",CG678="L23",CG678="LIFT"),AJ678&gt;0),SUMIFS($AJ$7:$AJ$1843,$CG$7:$CG$1843,CG678,$AN$7:$AN$1843,"&gt;"&amp;AN678)+SUMIFS($AJ$7:$AJ$1843,$CG$7:$CG$1843,CG678,$AN$7:$AN$1843,AN678,$BX$7:$BX$1843,"&lt;="&amp;BX678),"")</f>
        <v/>
      </c>
      <c r="AP678" s="70" t="n">
        <f aca="false">IF(AO678="",0,MAX(0,MIN(1,(IF(CG678="L1",Parameter!$H$5,IF(CG678="L23",Parameter!$H$6+Parameter!$H$7,Parameter!$H$5+Parameter!$H$6+Parameter!$H$7))-(AO678-AJ678))/AJ678)))</f>
        <v>0</v>
      </c>
      <c r="AQ678" s="62" t="n">
        <f aca="false">IF(LEFT(Cockpit!$I$5,1)="A",H678,IF(Parameter!$E$30="MAX-Bestand",IF(CI678=1,CJ678,IF(LEFT(Cockpit!$I$5,1)="B",AW678,MAX(AW678,H678))),ROUNDUP(AU678,0)))</f>
        <v>1</v>
      </c>
      <c r="AR678" s="62" t="n">
        <f aca="false">IF(CA678=1,0,ROUNDUP(AQ678/BZ678,0))</f>
        <v>1</v>
      </c>
      <c r="AS678" s="64" t="n">
        <f aca="false">IF(CR678&gt;0,CR678*MAX(1,AQ678/X678),IF(CA678=1,IF(AQ678&lt;=0,0,CE678*MAX(1,IF(H678&gt;0,AQ678/H678,1))),IF(R678&gt;0,AR678/R678,0))/MAX(0.1,N(Parameter!$M$21)))</f>
        <v>0.0833333333333333</v>
      </c>
      <c r="AT678" s="62" t="n">
        <f aca="false">AS678*CC678</f>
        <v>12.0833333333333</v>
      </c>
      <c r="AU678" s="63" t="n">
        <f aca="false">IF(LEFT(Cockpit!$I$5,1)="A",H678,IF(CI678=1,(CL678+CJ678)/2,IF(LEFT(Cockpit!$I$5,1)="B",(CL678+AW678)/2,MAX((CL678+AW678)/2,H678))))</f>
        <v>0.5</v>
      </c>
      <c r="AV678" s="62" t="n">
        <f aca="false">AU678*G678</f>
        <v>2509.44</v>
      </c>
      <c r="AW678" s="62" t="n">
        <f aca="false">ROUNDUP(CL678+MAX(CM678,2*(J678/IF(CH678&gt;0,CH678,MAX(0.1,N(Cockpit!$I$6)))-CL678)),0)</f>
        <v>1</v>
      </c>
      <c r="AX678" s="63" t="n">
        <f aca="false">IF(AT678&gt;0,J678/AT678,-1)</f>
        <v>0.0827586206896552</v>
      </c>
      <c r="AY678" s="63" t="n">
        <f aca="false">IF(AND(OR(CG678="L1",CG678="L23",CG678="LIFT"),AT678&gt;0),SUMIFS($AT$7:$AT$1843,$CG$7:$CG$1843,CG678,$AX$7:$AX$1843,"&gt;"&amp;AX678)+SUMIFS($AT$7:$AT$1843,$CG$7:$CG$1843,CG678,$AX$7:$AX$1843,AX678,$BX$7:$BX$1843,"&lt;="&amp;BX678),"")</f>
        <v>21760.9227070011</v>
      </c>
      <c r="AZ678" s="70" t="n">
        <f aca="false">IF(AY678="",0,MAX(0,MIN(1,(IF(CG678="L1",Parameter!$H$5,IF(CG678="L23",Parameter!$H$6+Parameter!$H$7,Parameter!$H$5+Parameter!$H$6+Parameter!$H$7))-(AY678-AT678))/AT678)))</f>
        <v>1</v>
      </c>
      <c r="BA678" s="62" t="n">
        <f aca="false">IF(LEFT(Cockpit!$O$5,1)="A",H678,IF(Parameter!$E$30="MAX-Bestand",IF(CI678=1,CJ678,IF(LEFT(Cockpit!$O$5,1)="B",BG678,MAX(BG678,H678))),ROUNDUP(BE678,0)))</f>
        <v>1</v>
      </c>
      <c r="BB678" s="62" t="n">
        <f aca="false">IF(CA678=1,0,ROUNDUP(BA678/BZ678,0))</f>
        <v>1</v>
      </c>
      <c r="BC678" s="64" t="n">
        <f aca="false">IF(CR678&gt;0,CR678*MAX(1,BA678/X678),IF(CA678=1,IF(BA678&lt;=0,0,CE678*MAX(1,IF(H678&gt;0,BA678/H678,1))),IF(R678&gt;0,BB678/R678,0))/MAX(0.1,N(Parameter!$M$21)))</f>
        <v>0.0833333333333333</v>
      </c>
      <c r="BD678" s="62" t="n">
        <f aca="false">BC678*CC678</f>
        <v>12.0833333333333</v>
      </c>
      <c r="BE678" s="63" t="n">
        <f aca="false">IF(LEFT(Cockpit!$O$5,1)="A",H678,IF(CI678=1,(CL678+CJ678)/2,IF(LEFT(Cockpit!$O$5,1)="B",(CL678+BG678)/2,MAX((CL678+BG678)/2,H678))))</f>
        <v>0.5</v>
      </c>
      <c r="BF678" s="62" t="n">
        <f aca="false">BE678*G678</f>
        <v>2509.44</v>
      </c>
      <c r="BG678" s="62" t="n">
        <f aca="false">ROUNDUP(CL678+MAX(CM678,2*(J678/IF(CH678&gt;0,CH678,MAX(0.1,N(Cockpit!$O$6)))-CL678)),0)</f>
        <v>1</v>
      </c>
      <c r="BH678" s="63" t="n">
        <f aca="false">IF(BD678&gt;0,J678/BD678,-1)</f>
        <v>0.0827586206896552</v>
      </c>
      <c r="BI678" s="63" t="n">
        <f aca="false">IF(AND(OR(CG678="L1",CG678="L23",CG678="LIFT"),BD678&gt;0),SUMIFS($BD$7:$BD$1843,$CG$7:$CG$1843,CG678,$BH$7:$BH$1843,"&gt;"&amp;BH678)+SUMIFS($BD$7:$BD$1843,$CG$7:$CG$1843,CG678,$BH$7:$BH$1843,BH678,$BX$7:$BX$1843,"&lt;="&amp;BX678),"")</f>
        <v>18298.9789092734</v>
      </c>
      <c r="BJ678" s="70" t="n">
        <f aca="false">IF(BI678="",0,MAX(0,MIN(1,(IF(CG678="L1",Parameter!$H$5,IF(CG678="L23",Parameter!$H$6+Parameter!$H$7,Parameter!$H$5+Parameter!$H$6+Parameter!$H$7))-(BI678-BD678))/BD678)))</f>
        <v>1</v>
      </c>
      <c r="BK678" s="60" t="str">
        <f aca="false">IF(AJ678&lt;=0,"",IF(CG678="Aussen","Aussenlager",IF(CG678="-","Nicht im Lift",IF(AP678&gt;=1,"Lift",IF(AP678&lt;=0,"Aussenlager","teilweise")))))</f>
        <v/>
      </c>
      <c r="BL678" s="60" t="str">
        <f aca="false">IF(AT678&lt;=0,"",IF(CG678="Aussen","Aussenlager",IF(CG678="-","Nicht im Lift",IF(AZ678&gt;=1,"Lift",IF(AZ678&lt;=0,"Aussenlager","teilweise")))))</f>
        <v>Lift</v>
      </c>
      <c r="BM678" s="60" t="str">
        <f aca="false">IF(BD678&lt;=0,"",IF(CG678="Aussen","Aussenlager",IF(CG678="-","Nicht im Lift",IF(BJ678&gt;=1,"Lift",IF(BJ678&lt;=0,"Aussenlager","teilweise")))))</f>
        <v>Lift</v>
      </c>
      <c r="BN678" s="60" t="str">
        <f aca="false">IF(A678="","",IF(BW678=1,"Neu; ","")&amp;IF(AND(BW678=0,BR678&lt;0),"negativer Bestand (Export "&amp;BR678&amp;"); ","")&amp;IF(J678&lt;=0,"Kein Verbrauch; ","")&amp;IF(CR678&gt;0,"Lift "&amp;W678&amp;" lt. Liftbericht (Fach "&amp;X678&amp;" Stk); ",IF(CB678=1,"Gebinde geschätzt ("&amp;T678&amp;"); ",IF(CA678=1,"Lose – Tablare geschätzt; ","")))&amp;IF(H678&gt;AW678,"Überbestand "&amp;ROUND(H678-AW678,0)&amp;" Stk / CHF "&amp;ROUND((H678-AW678)*G678,0)&amp;"; ","")&amp;IF(AND(CI678=1,CJ678&lt;CK678),"MAX &lt; MB+LG; ","")&amp;IF(AND(CQ678&gt;0,CP678*10&gt;CQ678),"zu hoch für Tablar; ","")&amp;IF(AND(BW678=0,OR(CI678=1,AB678&lt;&gt;"",U678&lt;&gt;"",V678&lt;&gt;"",AC678&lt;&gt;"")),"manuell übersteuert; ","")&amp;IF(AND(CA678=0,R678=0),"Gebinde unbekannt / Stellmass fehlt; ","")&amp;IF(AND(CA678=0,N(V678)&lt;=0,N(Q678)&lt;=0),"Menge pro Gebinde fehlt (Ist = 1 Gebinde); ","")&amp;BV678)</f>
        <v>Gebinde geschätzt (Mittel); Menge pro Gebinde fehlt (Ist = 1 Gebinde); </v>
      </c>
      <c r="BO678" s="60"/>
      <c r="BP678" s="60"/>
      <c r="BQ678" s="67"/>
      <c r="BR678" s="62" t="n">
        <v>0</v>
      </c>
      <c r="BS678" s="62" t="n">
        <v>0</v>
      </c>
      <c r="BT678" s="61" t="n">
        <v>0</v>
      </c>
      <c r="BU678" s="62" t="n">
        <v>1</v>
      </c>
      <c r="BV678" s="60"/>
      <c r="BW678" s="65" t="n">
        <v>0</v>
      </c>
      <c r="BX678" s="65" t="n">
        <v>678</v>
      </c>
      <c r="BY678" s="60" t="str">
        <f aca="false">IF(U678&lt;&gt;"",UPPER(TRIM(U678)),IF(CB678=1,UPPER(VLOOKUP(T678,Parameter!$I$27:$K$29,2,0)),IF(P678="","LOSE",P678)))</f>
        <v>S61</v>
      </c>
      <c r="BZ678" s="62" t="n">
        <f aca="false">IF(BY678="LOSE",1,IF(N(V678)&gt;0,V678,IF(CB678=1,MAX(1,N(VLOOKUP(T678,Parameter!$I$27:$K$29,3,0)),H678,N(N678)),IF(N(Q678)&gt;0,Q678,MAX(1,H678)))))</f>
        <v>4</v>
      </c>
      <c r="CA678" s="65" t="n">
        <f aca="false">IF(BY678="LOSE",1,0)</f>
        <v>0</v>
      </c>
      <c r="CB678" s="65" t="n">
        <f aca="false">IF(AND(U678="",OR(P678="",P678="LOSE"),T678&lt;&gt;"",N(S678)&lt;=0,ISNUMBER(MATCH(T678,Parameter!$I$27:$I$29,0))),1,0)</f>
        <v>1</v>
      </c>
      <c r="CC678" s="65" t="n">
        <f aca="false">IF(CR678&gt;0,INDEX(Parameter!$H$5:$H$7,W678)/INDEX(Parameter!$E$5:$E$7,W678),IF(AND(CA678=0,N(IFERROR(VLOOKUP(BY678,'Gebinde-Kategorie'!$A$5:$N$45,14,0),0))&gt;0),VLOOKUP(BY678,'Gebinde-Kategorie'!$A$5:$N$45,14,0)*10+Parameter!$M$23,Parameter!$M$24))</f>
        <v>145</v>
      </c>
      <c r="CD678" s="60" t="str">
        <f aca="false">IF(AND(Parameter!$B$19="Ja",E678&lt;&gt;"",ISNUMBER(MATCH(E678,Parameter!$I$35:$I$52,0))),VLOOKUP(E678,Parameter!$I$35:$J$52,2,0),IFERROR(VLOOKUP(D678,Parameter!$A$35:$C$64,2,0),"Nein"))</f>
        <v>2+3</v>
      </c>
      <c r="CE678" s="64" t="n">
        <f aca="false">IF(CA678=0,0,IF(N(S678)&gt;0,S678,IFERROR(VLOOKUP(D678,Parameter!$A$35:$C$64,3,0)+0,0)))</f>
        <v>0</v>
      </c>
      <c r="CF678" s="60" t="n">
        <f aca="false">IF(AB678&lt;&gt;"",AB678,AA678)</f>
        <v>3</v>
      </c>
      <c r="CG678" s="60" t="str">
        <f aca="false">IF(OR(CF678=1,CF678=2,CF678=3),IF(Parameter!$E$27="Ja","LIFT",IF(CF678=1,"L1","L23")),IF(CF678="Aussen","Aussen","-"))</f>
        <v>LIFT</v>
      </c>
      <c r="CH678" s="71" t="n">
        <f aca="false">IF(N(AC678)&gt;0,AC678,0)</f>
        <v>0</v>
      </c>
      <c r="CI678" s="65" t="n">
        <f aca="false">IF(ISNUMBER(AF678),1,0)</f>
        <v>0</v>
      </c>
      <c r="CJ678" s="62" t="n">
        <f aca="false">N(AF678)</f>
        <v>0</v>
      </c>
      <c r="CK678" s="62" t="n">
        <f aca="false">N(M678)+N(N678)</f>
        <v>1</v>
      </c>
      <c r="CL678" s="62" t="n">
        <f aca="false">N(M678)</f>
        <v>0</v>
      </c>
      <c r="CM678" s="62" t="n">
        <f aca="false">N(N678)</f>
        <v>1</v>
      </c>
      <c r="CN678" s="62" t="n">
        <f aca="false">ROUNDUP(H678/BZ678,0)</f>
        <v>0</v>
      </c>
      <c r="CO678" s="62" t="n">
        <f aca="false">ROUNDUP(CJ678/BZ678,0)</f>
        <v>0</v>
      </c>
      <c r="CP678" s="65" t="n">
        <f aca="false">IF(CA678=1,0,IFERROR(VLOOKUP(BY678,'Gebinde-Kategorie'!$A$5:$N$45,5,0)+0,0))</f>
        <v>11</v>
      </c>
      <c r="CQ678" s="65" t="n">
        <f aca="false">IFERROR(IF(OR(CF678=1,CF678=2,CF678=3),N(INDEX(Parameter!$I$5:$I$7,CF678)),0),0)</f>
        <v>0</v>
      </c>
      <c r="CR678" s="64" t="n">
        <f aca="false">IF(AND(Parameter!$B$21="Ja",ISNUMBER(W678),N(X678)&gt;0),IFERROR(N(INDEX(Parameter!$L$5:$L$7,W678))*INDEX(Parameter!$E$5:$E$7,W678)*X678/SUMIFS($X$7:$X$1843,$W$7:$W$1843,W678),0),0)</f>
        <v>0</v>
      </c>
      <c r="CS678" s="62" t="str">
        <f aca="false">IF(AND(OR(CG678="L1",CG678="L23",CG678="LIFT"),H678&gt;0),CC678*IF(CR678&gt;0,CR678*MAX(1,H678/X678),IF(CA678=1,CE678,IF(R678&gt;0,CN678/R678,0))/MAX(0.1,N(Parameter!$M$21))),"")</f>
        <v/>
      </c>
      <c r="CT678" s="64" t="str">
        <f aca="false">IF(CS678="","",J678/H678)</f>
        <v/>
      </c>
      <c r="CU678" s="62" t="str">
        <f aca="false">IF(CS678="","",H678*G678)</f>
        <v/>
      </c>
      <c r="CV678" s="63" t="str">
        <f aca="false">IF(CS678="","",(CL678+ROUNDUP(CL678+MAX(CM678,2*(J678/MAX(0.1,N(Einkauf!$C$6))-CL678)),0))/2)</f>
        <v/>
      </c>
      <c r="CW678" s="62" t="str">
        <f aca="false">IF(CS678="","",MAX(0,H678-CV678)*G678)</f>
        <v/>
      </c>
      <c r="CX678" s="62" t="str">
        <f aca="false">IF(CS678="","",CS678*MAX(0,1-CV678/H678))</f>
        <v/>
      </c>
      <c r="CY678" s="64" t="str">
        <f aca="false">IF(CS678="","",PERCENTRANK($CS$7:$CS$1843,CS678)+PERCENTRANK($CU$7:$CU$1843,CU678)+1-PERCENTRANK($CT$7:$CT$1843,CT678))</f>
        <v/>
      </c>
      <c r="CZ678" s="72" t="str">
        <f aca="false">IF(CS678="","",CHOOSE(MATCH(Einkauf!$C$5,Parameter!$G$23:$G$27,0),CY678,CS678,CU678,-CT678,CW678)+ROW()/1000000000)</f>
        <v/>
      </c>
    </row>
    <row r="679" customFormat="false" ht="15" hidden="false" customHeight="false" outlineLevel="0" collapsed="false">
      <c r="A679" s="60" t="s">
        <v>1403</v>
      </c>
      <c r="B679" s="60" t="s">
        <v>1404</v>
      </c>
      <c r="C679" s="60" t="s">
        <v>206</v>
      </c>
      <c r="D679" s="60" t="s">
        <v>1037</v>
      </c>
      <c r="E679" s="60"/>
      <c r="F679" s="60" t="s">
        <v>260</v>
      </c>
      <c r="G679" s="61" t="n">
        <v>3620.46</v>
      </c>
      <c r="H679" s="62" t="n">
        <f aca="false">MAX(0,IF(AND(Parameter!$B$21="Ja",ISNUMBER(Y679)),Y679,IF(Parameter!$B$20="Jahresanfang 2025 + Export",BS679+BR679,BR679)))</f>
        <v>0</v>
      </c>
      <c r="I679" s="62" t="n">
        <f aca="false">H679*G679</f>
        <v>0</v>
      </c>
      <c r="J679" s="62" t="n">
        <f aca="false">BU679*Parameter!$B$18</f>
        <v>1</v>
      </c>
      <c r="K679" s="63" t="n">
        <v>0</v>
      </c>
      <c r="L679" s="64" t="n">
        <v>0</v>
      </c>
      <c r="M679" s="62" t="n">
        <v>0</v>
      </c>
      <c r="N679" s="62" t="n">
        <v>1</v>
      </c>
      <c r="O679" s="65" t="n">
        <v>70</v>
      </c>
      <c r="P679" s="60" t="s">
        <v>210</v>
      </c>
      <c r="Q679" s="62"/>
      <c r="R679" s="65" t="n">
        <f aca="false">IF(CA679=1,0,IFERROR(VLOOKUP(BY679,'Gebinde-Kategorie'!$A$5:$N$45,13,0)+0,0))</f>
        <v>0</v>
      </c>
      <c r="S679" s="66"/>
      <c r="T679" s="67"/>
      <c r="U679" s="67"/>
      <c r="V679" s="67"/>
      <c r="W679" s="60"/>
      <c r="X679" s="62"/>
      <c r="Y679" s="62"/>
      <c r="Z679" s="60"/>
      <c r="AA679" s="60" t="str">
        <f aca="false">IF(A679="","",IF(AND(Parameter!$B$21="Ja",ISNUMBER(W679)),W679,IF(AND(Parameter!$E$27="Ja",ISNUMBER(Z679),CD679&lt;&gt;"Nein"),Z679,IF(CD679="2+3",IF(ISNUMBER(SEARCH("grosser Artikel",BV679)),2,IFERROR(VLOOKUP(BY679,Parameter!$F$35:$G$64,2,0),2)),IF(OR(CD679="Nein",CD679=""),"-",CD679)))))</f>
        <v>-</v>
      </c>
      <c r="AB679" s="67"/>
      <c r="AC679" s="68"/>
      <c r="AD679" s="62" t="n">
        <f aca="false">AW679</f>
        <v>1</v>
      </c>
      <c r="AE679" s="62" t="n">
        <f aca="false">MAX(AW679,H679)</f>
        <v>1</v>
      </c>
      <c r="AF679" s="69"/>
      <c r="AG679" s="62" t="n">
        <f aca="false">IF(LEFT(Cockpit!$C$5,1)="A",H679,IF(Parameter!$E$30="MAX-Bestand",IF(CI679=1,CJ679,IF(LEFT(Cockpit!$C$5,1)="B",AM679,MAX(AM679,H679))),ROUNDUP(AK679,0)))</f>
        <v>0</v>
      </c>
      <c r="AH679" s="62" t="n">
        <f aca="false">IF(CA679=1,0,ROUNDUP(AG679/BZ679,0))</f>
        <v>0</v>
      </c>
      <c r="AI679" s="64" t="n">
        <f aca="false">IF(CR679&gt;0,CR679*MAX(1,AG679/X679),IF(CA679=1,IF(AG679&lt;=0,0,CE679*MAX(1,IF(H679&gt;0,AG679/H679,1))),IF(R679&gt;0,AH679/R679,0))/MAX(0.1,N(Parameter!$M$21)))</f>
        <v>0</v>
      </c>
      <c r="AJ679" s="62" t="n">
        <f aca="false">AI679*CC679</f>
        <v>0</v>
      </c>
      <c r="AK679" s="63" t="n">
        <f aca="false">IF(LEFT(Cockpit!$C$5,1)="A",H679,IF(CI679=1,(CL679+CJ679)/2,IF(LEFT(Cockpit!$C$5,1)="B",(CL679+AM679)/2,MAX((CL679+AM679)/2,H679))))</f>
        <v>0</v>
      </c>
      <c r="AL679" s="62" t="n">
        <f aca="false">AK679*G679</f>
        <v>0</v>
      </c>
      <c r="AM679" s="62" t="n">
        <f aca="false">ROUNDUP(CL679+MAX(CM679,2*(J679/IF(CH679&gt;0,CH679,MAX(0.1,N(Cockpit!$C$6)))-CL679)),0)</f>
        <v>1</v>
      </c>
      <c r="AN679" s="63" t="n">
        <f aca="false">IF(AJ679&gt;0,J679/AJ679,-1)</f>
        <v>-1</v>
      </c>
      <c r="AO679" s="63" t="str">
        <f aca="false">IF(AND(OR(CG679="L1",CG679="L23",CG679="LIFT"),AJ679&gt;0),SUMIFS($AJ$7:$AJ$1843,$CG$7:$CG$1843,CG679,$AN$7:$AN$1843,"&gt;"&amp;AN679)+SUMIFS($AJ$7:$AJ$1843,$CG$7:$CG$1843,CG679,$AN$7:$AN$1843,AN679,$BX$7:$BX$1843,"&lt;="&amp;BX679),"")</f>
        <v/>
      </c>
      <c r="AP679" s="70" t="n">
        <f aca="false">IF(AO679="",0,MAX(0,MIN(1,(IF(CG679="L1",Parameter!$H$5,IF(CG679="L23",Parameter!$H$6+Parameter!$H$7,Parameter!$H$5+Parameter!$H$6+Parameter!$H$7))-(AO679-AJ679))/AJ679)))</f>
        <v>0</v>
      </c>
      <c r="AQ679" s="62" t="n">
        <f aca="false">IF(LEFT(Cockpit!$I$5,1)="A",H679,IF(Parameter!$E$30="MAX-Bestand",IF(CI679=1,CJ679,IF(LEFT(Cockpit!$I$5,1)="B",AW679,MAX(AW679,H679))),ROUNDUP(AU679,0)))</f>
        <v>1</v>
      </c>
      <c r="AR679" s="62" t="n">
        <f aca="false">IF(CA679=1,0,ROUNDUP(AQ679/BZ679,0))</f>
        <v>0</v>
      </c>
      <c r="AS679" s="64" t="n">
        <f aca="false">IF(CR679&gt;0,CR679*MAX(1,AQ679/X679),IF(CA679=1,IF(AQ679&lt;=0,0,CE679*MAX(1,IF(H679&gt;0,AQ679/H679,1))),IF(R679&gt;0,AR679/R679,0))/MAX(0.1,N(Parameter!$M$21)))</f>
        <v>0.15</v>
      </c>
      <c r="AT679" s="62" t="n">
        <f aca="false">AS679*CC679</f>
        <v>35.25</v>
      </c>
      <c r="AU679" s="63" t="n">
        <f aca="false">IF(LEFT(Cockpit!$I$5,1)="A",H679,IF(CI679=1,(CL679+CJ679)/2,IF(LEFT(Cockpit!$I$5,1)="B",(CL679+AW679)/2,MAX((CL679+AW679)/2,H679))))</f>
        <v>0.5</v>
      </c>
      <c r="AV679" s="62" t="n">
        <f aca="false">AU679*G679</f>
        <v>1810.23</v>
      </c>
      <c r="AW679" s="62" t="n">
        <f aca="false">ROUNDUP(CL679+MAX(CM679,2*(J679/IF(CH679&gt;0,CH679,MAX(0.1,N(Cockpit!$I$6)))-CL679)),0)</f>
        <v>1</v>
      </c>
      <c r="AX679" s="63" t="n">
        <f aca="false">IF(AT679&gt;0,J679/AT679,-1)</f>
        <v>0.0283687943262411</v>
      </c>
      <c r="AY679" s="63" t="str">
        <f aca="false">IF(AND(OR(CG679="L1",CG679="L23",CG679="LIFT"),AT679&gt;0),SUMIFS($AT$7:$AT$1843,$CG$7:$CG$1843,CG679,$AX$7:$AX$1843,"&gt;"&amp;AX679)+SUMIFS($AT$7:$AT$1843,$CG$7:$CG$1843,CG679,$AX$7:$AX$1843,AX679,$BX$7:$BX$1843,"&lt;="&amp;BX679),"")</f>
        <v/>
      </c>
      <c r="AZ679" s="70" t="n">
        <f aca="false">IF(AY679="",0,MAX(0,MIN(1,(IF(CG679="L1",Parameter!$H$5,IF(CG679="L23",Parameter!$H$6+Parameter!$H$7,Parameter!$H$5+Parameter!$H$6+Parameter!$H$7))-(AY679-AT679))/AT679)))</f>
        <v>0</v>
      </c>
      <c r="BA679" s="62" t="n">
        <f aca="false">IF(LEFT(Cockpit!$O$5,1)="A",H679,IF(Parameter!$E$30="MAX-Bestand",IF(CI679=1,CJ679,IF(LEFT(Cockpit!$O$5,1)="B",BG679,MAX(BG679,H679))),ROUNDUP(BE679,0)))</f>
        <v>1</v>
      </c>
      <c r="BB679" s="62" t="n">
        <f aca="false">IF(CA679=1,0,ROUNDUP(BA679/BZ679,0))</f>
        <v>0</v>
      </c>
      <c r="BC679" s="64" t="n">
        <f aca="false">IF(CR679&gt;0,CR679*MAX(1,BA679/X679),IF(CA679=1,IF(BA679&lt;=0,0,CE679*MAX(1,IF(H679&gt;0,BA679/H679,1))),IF(R679&gt;0,BB679/R679,0))/MAX(0.1,N(Parameter!$M$21)))</f>
        <v>0.15</v>
      </c>
      <c r="BD679" s="62" t="n">
        <f aca="false">BC679*CC679</f>
        <v>35.25</v>
      </c>
      <c r="BE679" s="63" t="n">
        <f aca="false">IF(LEFT(Cockpit!$O$5,1)="A",H679,IF(CI679=1,(CL679+CJ679)/2,IF(LEFT(Cockpit!$O$5,1)="B",(CL679+BG679)/2,MAX((CL679+BG679)/2,H679))))</f>
        <v>0.5</v>
      </c>
      <c r="BF679" s="62" t="n">
        <f aca="false">BE679*G679</f>
        <v>1810.23</v>
      </c>
      <c r="BG679" s="62" t="n">
        <f aca="false">ROUNDUP(CL679+MAX(CM679,2*(J679/IF(CH679&gt;0,CH679,MAX(0.1,N(Cockpit!$O$6)))-CL679)),0)</f>
        <v>1</v>
      </c>
      <c r="BH679" s="63" t="n">
        <f aca="false">IF(BD679&gt;0,J679/BD679,-1)</f>
        <v>0.0283687943262411</v>
      </c>
      <c r="BI679" s="63" t="str">
        <f aca="false">IF(AND(OR(CG679="L1",CG679="L23",CG679="LIFT"),BD679&gt;0),SUMIFS($BD$7:$BD$1843,$CG$7:$CG$1843,CG679,$BH$7:$BH$1843,"&gt;"&amp;BH679)+SUMIFS($BD$7:$BD$1843,$CG$7:$CG$1843,CG679,$BH$7:$BH$1843,BH679,$BX$7:$BX$1843,"&lt;="&amp;BX679),"")</f>
        <v/>
      </c>
      <c r="BJ679" s="70" t="n">
        <f aca="false">IF(BI679="",0,MAX(0,MIN(1,(IF(CG679="L1",Parameter!$H$5,IF(CG679="L23",Parameter!$H$6+Parameter!$H$7,Parameter!$H$5+Parameter!$H$6+Parameter!$H$7))-(BI679-BD679))/BD679)))</f>
        <v>0</v>
      </c>
      <c r="BK679" s="60" t="str">
        <f aca="false">IF(AJ679&lt;=0,"",IF(CG679="Aussen","Aussenlager",IF(CG679="-","Nicht im Lift",IF(AP679&gt;=1,"Lift",IF(AP679&lt;=0,"Aussenlager","teilweise")))))</f>
        <v/>
      </c>
      <c r="BL679" s="60" t="str">
        <f aca="false">IF(AT679&lt;=0,"",IF(CG679="Aussen","Aussenlager",IF(CG679="-","Nicht im Lift",IF(AZ679&gt;=1,"Lift",IF(AZ679&lt;=0,"Aussenlager","teilweise")))))</f>
        <v>Nicht im Lift</v>
      </c>
      <c r="BM679" s="60" t="str">
        <f aca="false">IF(BD679&lt;=0,"",IF(CG679="Aussen","Aussenlager",IF(CG679="-","Nicht im Lift",IF(BJ679&gt;=1,"Lift",IF(BJ679&lt;=0,"Aussenlager","teilweise")))))</f>
        <v>Nicht im Lift</v>
      </c>
      <c r="BN679" s="60" t="str">
        <f aca="false">IF(A679="","",IF(BW679=1,"Neu; ","")&amp;IF(AND(BW679=0,BR679&lt;0),"negativer Bestand (Export "&amp;BR679&amp;"); ","")&amp;IF(J679&lt;=0,"Kein Verbrauch; ","")&amp;IF(CR679&gt;0,"Lift "&amp;W679&amp;" lt. Liftbericht (Fach "&amp;X679&amp;" Stk); ",IF(CB679=1,"Gebinde geschätzt ("&amp;T679&amp;"); ",IF(CA679=1,"Lose – Tablare geschätzt; ","")))&amp;IF(H679&gt;AW679,"Überbestand "&amp;ROUND(H679-AW679,0)&amp;" Stk / CHF "&amp;ROUND((H679-AW679)*G679,0)&amp;"; ","")&amp;IF(AND(CI679=1,CJ679&lt;CK679),"MAX &lt; MB+LG; ","")&amp;IF(AND(CQ679&gt;0,CP679*10&gt;CQ679),"zu hoch für Tablar; ","")&amp;IF(AND(BW679=0,OR(CI679=1,AB679&lt;&gt;"",U679&lt;&gt;"",V679&lt;&gt;"",AC679&lt;&gt;"")),"manuell übersteuert; ","")&amp;IF(AND(CA679=0,R679=0),"Gebinde unbekannt / Stellmass fehlt; ","")&amp;IF(AND(CA679=0,N(V679)&lt;=0,N(Q679)&lt;=0),"Menge pro Gebinde fehlt (Ist = 1 Gebinde); ","")&amp;BV679)</f>
        <v>Lose – Tablare geschätzt; </v>
      </c>
      <c r="BO679" s="60"/>
      <c r="BP679" s="60"/>
      <c r="BQ679" s="67"/>
      <c r="BR679" s="62" t="n">
        <v>0</v>
      </c>
      <c r="BS679" s="62" t="n">
        <v>0</v>
      </c>
      <c r="BT679" s="61" t="n">
        <v>0</v>
      </c>
      <c r="BU679" s="62" t="n">
        <v>1</v>
      </c>
      <c r="BV679" s="60"/>
      <c r="BW679" s="65" t="n">
        <v>0</v>
      </c>
      <c r="BX679" s="65" t="n">
        <v>679</v>
      </c>
      <c r="BY679" s="60" t="str">
        <f aca="false">IF(U679&lt;&gt;"",UPPER(TRIM(U679)),IF(CB679=1,UPPER(VLOOKUP(T679,Parameter!$I$27:$K$29,2,0)),IF(P679="","LOSE",P679)))</f>
        <v>LOSE</v>
      </c>
      <c r="BZ679" s="62" t="n">
        <f aca="false">IF(BY679="LOSE",1,IF(N(V679)&gt;0,V679,IF(CB679=1,MAX(1,N(VLOOKUP(T679,Parameter!$I$27:$K$29,3,0)),H679,N(N679)),IF(N(Q679)&gt;0,Q679,MAX(1,H679)))))</f>
        <v>1</v>
      </c>
      <c r="CA679" s="65" t="n">
        <f aca="false">IF(BY679="LOSE",1,0)</f>
        <v>1</v>
      </c>
      <c r="CB679" s="65" t="n">
        <f aca="false">IF(AND(U679="",OR(P679="",P679="LOSE"),T679&lt;&gt;"",N(S679)&lt;=0,ISNUMBER(MATCH(T679,Parameter!$I$27:$I$29,0))),1,0)</f>
        <v>0</v>
      </c>
      <c r="CC679" s="65" t="n">
        <f aca="false">IF(CR679&gt;0,INDEX(Parameter!$H$5:$H$7,W679)/INDEX(Parameter!$E$5:$E$7,W679),IF(AND(CA679=0,N(IFERROR(VLOOKUP(BY679,'Gebinde-Kategorie'!$A$5:$N$45,14,0),0))&gt;0),VLOOKUP(BY679,'Gebinde-Kategorie'!$A$5:$N$45,14,0)*10+Parameter!$M$23,Parameter!$M$24))</f>
        <v>235</v>
      </c>
      <c r="CD679" s="60" t="str">
        <f aca="false">IF(AND(Parameter!$B$19="Ja",E679&lt;&gt;"",ISNUMBER(MATCH(E679,Parameter!$I$35:$I$52,0))),VLOOKUP(E679,Parameter!$I$35:$J$52,2,0),IFERROR(VLOOKUP(D679,Parameter!$A$35:$C$64,2,0),"Nein"))</f>
        <v>Nein</v>
      </c>
      <c r="CE679" s="64" t="n">
        <f aca="false">IF(CA679=0,0,IF(N(S679)&gt;0,S679,IFERROR(VLOOKUP(D679,Parameter!$A$35:$C$64,3,0)+0,0)))</f>
        <v>0.15</v>
      </c>
      <c r="CF679" s="60" t="str">
        <f aca="false">IF(AB679&lt;&gt;"",AB679,AA679)</f>
        <v>-</v>
      </c>
      <c r="CG679" s="60" t="str">
        <f aca="false">IF(OR(CF679=1,CF679=2,CF679=3),IF(Parameter!$E$27="Ja","LIFT",IF(CF679=1,"L1","L23")),IF(CF679="Aussen","Aussen","-"))</f>
        <v>-</v>
      </c>
      <c r="CH679" s="71" t="n">
        <f aca="false">IF(N(AC679)&gt;0,AC679,0)</f>
        <v>0</v>
      </c>
      <c r="CI679" s="65" t="n">
        <f aca="false">IF(ISNUMBER(AF679),1,0)</f>
        <v>0</v>
      </c>
      <c r="CJ679" s="62" t="n">
        <f aca="false">N(AF679)</f>
        <v>0</v>
      </c>
      <c r="CK679" s="62" t="n">
        <f aca="false">N(M679)+N(N679)</f>
        <v>1</v>
      </c>
      <c r="CL679" s="62" t="n">
        <f aca="false">N(M679)</f>
        <v>0</v>
      </c>
      <c r="CM679" s="62" t="n">
        <f aca="false">N(N679)</f>
        <v>1</v>
      </c>
      <c r="CN679" s="62" t="n">
        <f aca="false">ROUNDUP(H679/BZ679,0)</f>
        <v>0</v>
      </c>
      <c r="CO679" s="62" t="n">
        <f aca="false">ROUNDUP(CJ679/BZ679,0)</f>
        <v>0</v>
      </c>
      <c r="CP679" s="65" t="n">
        <f aca="false">IF(CA679=1,0,IFERROR(VLOOKUP(BY679,'Gebinde-Kategorie'!$A$5:$N$45,5,0)+0,0))</f>
        <v>0</v>
      </c>
      <c r="CQ679" s="65" t="n">
        <f aca="false">IFERROR(IF(OR(CF679=1,CF679=2,CF679=3),N(INDEX(Parameter!$I$5:$I$7,CF679)),0),0)</f>
        <v>0</v>
      </c>
      <c r="CR679" s="64" t="n">
        <f aca="false">IF(AND(Parameter!$B$21="Ja",ISNUMBER(W679),N(X679)&gt;0),IFERROR(N(INDEX(Parameter!$L$5:$L$7,W679))*INDEX(Parameter!$E$5:$E$7,W679)*X679/SUMIFS($X$7:$X$1843,$W$7:$W$1843,W679),0),0)</f>
        <v>0</v>
      </c>
      <c r="CS679" s="62" t="str">
        <f aca="false">IF(AND(OR(CG679="L1",CG679="L23",CG679="LIFT"),H679&gt;0),CC679*IF(CR679&gt;0,CR679*MAX(1,H679/X679),IF(CA679=1,CE679,IF(R679&gt;0,CN679/R679,0))/MAX(0.1,N(Parameter!$M$21))),"")</f>
        <v/>
      </c>
      <c r="CT679" s="64" t="str">
        <f aca="false">IF(CS679="","",J679/H679)</f>
        <v/>
      </c>
      <c r="CU679" s="62" t="str">
        <f aca="false">IF(CS679="","",H679*G679)</f>
        <v/>
      </c>
      <c r="CV679" s="63" t="str">
        <f aca="false">IF(CS679="","",(CL679+ROUNDUP(CL679+MAX(CM679,2*(J679/MAX(0.1,N(Einkauf!$C$6))-CL679)),0))/2)</f>
        <v/>
      </c>
      <c r="CW679" s="62" t="str">
        <f aca="false">IF(CS679="","",MAX(0,H679-CV679)*G679)</f>
        <v/>
      </c>
      <c r="CX679" s="62" t="str">
        <f aca="false">IF(CS679="","",CS679*MAX(0,1-CV679/H679))</f>
        <v/>
      </c>
      <c r="CY679" s="64" t="str">
        <f aca="false">IF(CS679="","",PERCENTRANK($CS$7:$CS$1843,CS679)+PERCENTRANK($CU$7:$CU$1843,CU679)+1-PERCENTRANK($CT$7:$CT$1843,CT679))</f>
        <v/>
      </c>
      <c r="CZ679" s="72" t="str">
        <f aca="false">IF(CS679="","",CHOOSE(MATCH(Einkauf!$C$5,Parameter!$G$23:$G$27,0),CY679,CS679,CU679,-CT679,CW679)+ROW()/1000000000)</f>
        <v/>
      </c>
    </row>
    <row r="680" customFormat="false" ht="15" hidden="false" customHeight="false" outlineLevel="0" collapsed="false">
      <c r="A680" s="60" t="s">
        <v>1405</v>
      </c>
      <c r="B680" s="60" t="s">
        <v>1389</v>
      </c>
      <c r="C680" s="60" t="s">
        <v>206</v>
      </c>
      <c r="D680" s="60" t="s">
        <v>1037</v>
      </c>
      <c r="E680" s="60"/>
      <c r="F680" s="60" t="s">
        <v>260</v>
      </c>
      <c r="G680" s="61" t="n">
        <v>164.77</v>
      </c>
      <c r="H680" s="62" t="n">
        <f aca="false">MAX(0,IF(AND(Parameter!$B$21="Ja",ISNUMBER(Y680)),Y680,IF(Parameter!$B$20="Jahresanfang 2025 + Export",BS680+BR680,BR680)))</f>
        <v>0</v>
      </c>
      <c r="I680" s="62" t="n">
        <f aca="false">H680*G680</f>
        <v>0</v>
      </c>
      <c r="J680" s="62" t="n">
        <f aca="false">BU680*Parameter!$B$18</f>
        <v>3</v>
      </c>
      <c r="K680" s="63" t="n">
        <v>0</v>
      </c>
      <c r="L680" s="64" t="n">
        <v>0</v>
      </c>
      <c r="M680" s="62" t="n">
        <v>0</v>
      </c>
      <c r="N680" s="62" t="n">
        <v>1</v>
      </c>
      <c r="O680" s="65" t="n">
        <v>105</v>
      </c>
      <c r="P680" s="60" t="s">
        <v>210</v>
      </c>
      <c r="Q680" s="62"/>
      <c r="R680" s="65" t="n">
        <f aca="false">IF(CA680=1,0,IFERROR(VLOOKUP(BY680,'Gebinde-Kategorie'!$A$5:$N$45,13,0)+0,0))</f>
        <v>0</v>
      </c>
      <c r="S680" s="66"/>
      <c r="T680" s="67"/>
      <c r="U680" s="67"/>
      <c r="V680" s="67"/>
      <c r="W680" s="60"/>
      <c r="X680" s="62"/>
      <c r="Y680" s="62"/>
      <c r="Z680" s="60"/>
      <c r="AA680" s="60" t="str">
        <f aca="false">IF(A680="","",IF(AND(Parameter!$B$21="Ja",ISNUMBER(W680)),W680,IF(AND(Parameter!$E$27="Ja",ISNUMBER(Z680),CD680&lt;&gt;"Nein"),Z680,IF(CD680="2+3",IF(ISNUMBER(SEARCH("grosser Artikel",BV680)),2,IFERROR(VLOOKUP(BY680,Parameter!$F$35:$G$64,2,0),2)),IF(OR(CD680="Nein",CD680=""),"-",CD680)))))</f>
        <v>-</v>
      </c>
      <c r="AB680" s="67"/>
      <c r="AC680" s="68"/>
      <c r="AD680" s="62" t="n">
        <f aca="false">AW680</f>
        <v>2</v>
      </c>
      <c r="AE680" s="62" t="n">
        <f aca="false">MAX(AW680,H680)</f>
        <v>2</v>
      </c>
      <c r="AF680" s="69"/>
      <c r="AG680" s="62" t="n">
        <f aca="false">IF(LEFT(Cockpit!$C$5,1)="A",H680,IF(Parameter!$E$30="MAX-Bestand",IF(CI680=1,CJ680,IF(LEFT(Cockpit!$C$5,1)="B",AM680,MAX(AM680,H680))),ROUNDUP(AK680,0)))</f>
        <v>0</v>
      </c>
      <c r="AH680" s="62" t="n">
        <f aca="false">IF(CA680=1,0,ROUNDUP(AG680/BZ680,0))</f>
        <v>0</v>
      </c>
      <c r="AI680" s="64" t="n">
        <f aca="false">IF(CR680&gt;0,CR680*MAX(1,AG680/X680),IF(CA680=1,IF(AG680&lt;=0,0,CE680*MAX(1,IF(H680&gt;0,AG680/H680,1))),IF(R680&gt;0,AH680/R680,0))/MAX(0.1,N(Parameter!$M$21)))</f>
        <v>0</v>
      </c>
      <c r="AJ680" s="62" t="n">
        <f aca="false">AI680*CC680</f>
        <v>0</v>
      </c>
      <c r="AK680" s="63" t="n">
        <f aca="false">IF(LEFT(Cockpit!$C$5,1)="A",H680,IF(CI680=1,(CL680+CJ680)/2,IF(LEFT(Cockpit!$C$5,1)="B",(CL680+AM680)/2,MAX((CL680+AM680)/2,H680))))</f>
        <v>0</v>
      </c>
      <c r="AL680" s="62" t="n">
        <f aca="false">AK680*G680</f>
        <v>0</v>
      </c>
      <c r="AM680" s="62" t="n">
        <f aca="false">ROUNDUP(CL680+MAX(CM680,2*(J680/IF(CH680&gt;0,CH680,MAX(0.1,N(Cockpit!$C$6)))-CL680)),0)</f>
        <v>2</v>
      </c>
      <c r="AN680" s="63" t="n">
        <f aca="false">IF(AJ680&gt;0,J680/AJ680,-1)</f>
        <v>-1</v>
      </c>
      <c r="AO680" s="63" t="str">
        <f aca="false">IF(AND(OR(CG680="L1",CG680="L23",CG680="LIFT"),AJ680&gt;0),SUMIFS($AJ$7:$AJ$1843,$CG$7:$CG$1843,CG680,$AN$7:$AN$1843,"&gt;"&amp;AN680)+SUMIFS($AJ$7:$AJ$1843,$CG$7:$CG$1843,CG680,$AN$7:$AN$1843,AN680,$BX$7:$BX$1843,"&lt;="&amp;BX680),"")</f>
        <v/>
      </c>
      <c r="AP680" s="70" t="n">
        <f aca="false">IF(AO680="",0,MAX(0,MIN(1,(IF(CG680="L1",Parameter!$H$5,IF(CG680="L23",Parameter!$H$6+Parameter!$H$7,Parameter!$H$5+Parameter!$H$6+Parameter!$H$7))-(AO680-AJ680))/AJ680)))</f>
        <v>0</v>
      </c>
      <c r="AQ680" s="62" t="n">
        <f aca="false">IF(LEFT(Cockpit!$I$5,1)="A",H680,IF(Parameter!$E$30="MAX-Bestand",IF(CI680=1,CJ680,IF(LEFT(Cockpit!$I$5,1)="B",AW680,MAX(AW680,H680))),ROUNDUP(AU680,0)))</f>
        <v>1</v>
      </c>
      <c r="AR680" s="62" t="n">
        <f aca="false">IF(CA680=1,0,ROUNDUP(AQ680/BZ680,0))</f>
        <v>0</v>
      </c>
      <c r="AS680" s="64" t="n">
        <f aca="false">IF(CR680&gt;0,CR680*MAX(1,AQ680/X680),IF(CA680=1,IF(AQ680&lt;=0,0,CE680*MAX(1,IF(H680&gt;0,AQ680/H680,1))),IF(R680&gt;0,AR680/R680,0))/MAX(0.1,N(Parameter!$M$21)))</f>
        <v>0.15</v>
      </c>
      <c r="AT680" s="62" t="n">
        <f aca="false">AS680*CC680</f>
        <v>35.25</v>
      </c>
      <c r="AU680" s="63" t="n">
        <f aca="false">IF(LEFT(Cockpit!$I$5,1)="A",H680,IF(CI680=1,(CL680+CJ680)/2,IF(LEFT(Cockpit!$I$5,1)="B",(CL680+AW680)/2,MAX((CL680+AW680)/2,H680))))</f>
        <v>1</v>
      </c>
      <c r="AV680" s="62" t="n">
        <f aca="false">AU680*G680</f>
        <v>164.77</v>
      </c>
      <c r="AW680" s="62" t="n">
        <f aca="false">ROUNDUP(CL680+MAX(CM680,2*(J680/IF(CH680&gt;0,CH680,MAX(0.1,N(Cockpit!$I$6)))-CL680)),0)</f>
        <v>2</v>
      </c>
      <c r="AX680" s="63" t="n">
        <f aca="false">IF(AT680&gt;0,J680/AT680,-1)</f>
        <v>0.0851063829787234</v>
      </c>
      <c r="AY680" s="63" t="str">
        <f aca="false">IF(AND(OR(CG680="L1",CG680="L23",CG680="LIFT"),AT680&gt;0),SUMIFS($AT$7:$AT$1843,$CG$7:$CG$1843,CG680,$AX$7:$AX$1843,"&gt;"&amp;AX680)+SUMIFS($AT$7:$AT$1843,$CG$7:$CG$1843,CG680,$AX$7:$AX$1843,AX680,$BX$7:$BX$1843,"&lt;="&amp;BX680),"")</f>
        <v/>
      </c>
      <c r="AZ680" s="70" t="n">
        <f aca="false">IF(AY680="",0,MAX(0,MIN(1,(IF(CG680="L1",Parameter!$H$5,IF(CG680="L23",Parameter!$H$6+Parameter!$H$7,Parameter!$H$5+Parameter!$H$6+Parameter!$H$7))-(AY680-AT680))/AT680)))</f>
        <v>0</v>
      </c>
      <c r="BA680" s="62" t="n">
        <f aca="false">IF(LEFT(Cockpit!$O$5,1)="A",H680,IF(Parameter!$E$30="MAX-Bestand",IF(CI680=1,CJ680,IF(LEFT(Cockpit!$O$5,1)="B",BG680,MAX(BG680,H680))),ROUNDUP(BE680,0)))</f>
        <v>1</v>
      </c>
      <c r="BB680" s="62" t="n">
        <f aca="false">IF(CA680=1,0,ROUNDUP(BA680/BZ680,0))</f>
        <v>0</v>
      </c>
      <c r="BC680" s="64" t="n">
        <f aca="false">IF(CR680&gt;0,CR680*MAX(1,BA680/X680),IF(CA680=1,IF(BA680&lt;=0,0,CE680*MAX(1,IF(H680&gt;0,BA680/H680,1))),IF(R680&gt;0,BB680/R680,0))/MAX(0.1,N(Parameter!$M$21)))</f>
        <v>0.15</v>
      </c>
      <c r="BD680" s="62" t="n">
        <f aca="false">BC680*CC680</f>
        <v>35.25</v>
      </c>
      <c r="BE680" s="63" t="n">
        <f aca="false">IF(LEFT(Cockpit!$O$5,1)="A",H680,IF(CI680=1,(CL680+CJ680)/2,IF(LEFT(Cockpit!$O$5,1)="B",(CL680+BG680)/2,MAX((CL680+BG680)/2,H680))))</f>
        <v>1</v>
      </c>
      <c r="BF680" s="62" t="n">
        <f aca="false">BE680*G680</f>
        <v>164.77</v>
      </c>
      <c r="BG680" s="62" t="n">
        <f aca="false">ROUNDUP(CL680+MAX(CM680,2*(J680/IF(CH680&gt;0,CH680,MAX(0.1,N(Cockpit!$O$6)))-CL680)),0)</f>
        <v>2</v>
      </c>
      <c r="BH680" s="63" t="n">
        <f aca="false">IF(BD680&gt;0,J680/BD680,-1)</f>
        <v>0.0851063829787234</v>
      </c>
      <c r="BI680" s="63" t="str">
        <f aca="false">IF(AND(OR(CG680="L1",CG680="L23",CG680="LIFT"),BD680&gt;0),SUMIFS($BD$7:$BD$1843,$CG$7:$CG$1843,CG680,$BH$7:$BH$1843,"&gt;"&amp;BH680)+SUMIFS($BD$7:$BD$1843,$CG$7:$CG$1843,CG680,$BH$7:$BH$1843,BH680,$BX$7:$BX$1843,"&lt;="&amp;BX680),"")</f>
        <v/>
      </c>
      <c r="BJ680" s="70" t="n">
        <f aca="false">IF(BI680="",0,MAX(0,MIN(1,(IF(CG680="L1",Parameter!$H$5,IF(CG680="L23",Parameter!$H$6+Parameter!$H$7,Parameter!$H$5+Parameter!$H$6+Parameter!$H$7))-(BI680-BD680))/BD680)))</f>
        <v>0</v>
      </c>
      <c r="BK680" s="60" t="str">
        <f aca="false">IF(AJ680&lt;=0,"",IF(CG680="Aussen","Aussenlager",IF(CG680="-","Nicht im Lift",IF(AP680&gt;=1,"Lift",IF(AP680&lt;=0,"Aussenlager","teilweise")))))</f>
        <v/>
      </c>
      <c r="BL680" s="60" t="str">
        <f aca="false">IF(AT680&lt;=0,"",IF(CG680="Aussen","Aussenlager",IF(CG680="-","Nicht im Lift",IF(AZ680&gt;=1,"Lift",IF(AZ680&lt;=0,"Aussenlager","teilweise")))))</f>
        <v>Nicht im Lift</v>
      </c>
      <c r="BM680" s="60" t="str">
        <f aca="false">IF(BD680&lt;=0,"",IF(CG680="Aussen","Aussenlager",IF(CG680="-","Nicht im Lift",IF(BJ680&gt;=1,"Lift",IF(BJ680&lt;=0,"Aussenlager","teilweise")))))</f>
        <v>Nicht im Lift</v>
      </c>
      <c r="BN680" s="60" t="str">
        <f aca="false">IF(A680="","",IF(BW680=1,"Neu; ","")&amp;IF(AND(BW680=0,BR680&lt;0),"negativer Bestand (Export "&amp;BR680&amp;"); ","")&amp;IF(J680&lt;=0,"Kein Verbrauch; ","")&amp;IF(CR680&gt;0,"Lift "&amp;W680&amp;" lt. Liftbericht (Fach "&amp;X680&amp;" Stk); ",IF(CB680=1,"Gebinde geschätzt ("&amp;T680&amp;"); ",IF(CA680=1,"Lose – Tablare geschätzt; ","")))&amp;IF(H680&gt;AW680,"Überbestand "&amp;ROUND(H680-AW680,0)&amp;" Stk / CHF "&amp;ROUND((H680-AW680)*G680,0)&amp;"; ","")&amp;IF(AND(CI680=1,CJ680&lt;CK680),"MAX &lt; MB+LG; ","")&amp;IF(AND(CQ680&gt;0,CP680*10&gt;CQ680),"zu hoch für Tablar; ","")&amp;IF(AND(BW680=0,OR(CI680=1,AB680&lt;&gt;"",U680&lt;&gt;"",V680&lt;&gt;"",AC680&lt;&gt;"")),"manuell übersteuert; ","")&amp;IF(AND(CA680=0,R680=0),"Gebinde unbekannt / Stellmass fehlt; ","")&amp;IF(AND(CA680=0,N(V680)&lt;=0,N(Q680)&lt;=0),"Menge pro Gebinde fehlt (Ist = 1 Gebinde); ","")&amp;BV680)</f>
        <v>Lose – Tablare geschätzt; </v>
      </c>
      <c r="BO680" s="60"/>
      <c r="BP680" s="60"/>
      <c r="BQ680" s="67"/>
      <c r="BR680" s="62" t="n">
        <v>0</v>
      </c>
      <c r="BS680" s="62" t="n">
        <v>0</v>
      </c>
      <c r="BT680" s="61" t="n">
        <v>0</v>
      </c>
      <c r="BU680" s="62" t="n">
        <v>3</v>
      </c>
      <c r="BV680" s="60"/>
      <c r="BW680" s="65" t="n">
        <v>0</v>
      </c>
      <c r="BX680" s="65" t="n">
        <v>680</v>
      </c>
      <c r="BY680" s="60" t="str">
        <f aca="false">IF(U680&lt;&gt;"",UPPER(TRIM(U680)),IF(CB680=1,UPPER(VLOOKUP(T680,Parameter!$I$27:$K$29,2,0)),IF(P680="","LOSE",P680)))</f>
        <v>LOSE</v>
      </c>
      <c r="BZ680" s="62" t="n">
        <f aca="false">IF(BY680="LOSE",1,IF(N(V680)&gt;0,V680,IF(CB680=1,MAX(1,N(VLOOKUP(T680,Parameter!$I$27:$K$29,3,0)),H680,N(N680)),IF(N(Q680)&gt;0,Q680,MAX(1,H680)))))</f>
        <v>1</v>
      </c>
      <c r="CA680" s="65" t="n">
        <f aca="false">IF(BY680="LOSE",1,0)</f>
        <v>1</v>
      </c>
      <c r="CB680" s="65" t="n">
        <f aca="false">IF(AND(U680="",OR(P680="",P680="LOSE"),T680&lt;&gt;"",N(S680)&lt;=0,ISNUMBER(MATCH(T680,Parameter!$I$27:$I$29,0))),1,0)</f>
        <v>0</v>
      </c>
      <c r="CC680" s="65" t="n">
        <f aca="false">IF(CR680&gt;0,INDEX(Parameter!$H$5:$H$7,W680)/INDEX(Parameter!$E$5:$E$7,W680),IF(AND(CA680=0,N(IFERROR(VLOOKUP(BY680,'Gebinde-Kategorie'!$A$5:$N$45,14,0),0))&gt;0),VLOOKUP(BY680,'Gebinde-Kategorie'!$A$5:$N$45,14,0)*10+Parameter!$M$23,Parameter!$M$24))</f>
        <v>235</v>
      </c>
      <c r="CD680" s="60" t="str">
        <f aca="false">IF(AND(Parameter!$B$19="Ja",E680&lt;&gt;"",ISNUMBER(MATCH(E680,Parameter!$I$35:$I$52,0))),VLOOKUP(E680,Parameter!$I$35:$J$52,2,0),IFERROR(VLOOKUP(D680,Parameter!$A$35:$C$64,2,0),"Nein"))</f>
        <v>Nein</v>
      </c>
      <c r="CE680" s="64" t="n">
        <f aca="false">IF(CA680=0,0,IF(N(S680)&gt;0,S680,IFERROR(VLOOKUP(D680,Parameter!$A$35:$C$64,3,0)+0,0)))</f>
        <v>0.15</v>
      </c>
      <c r="CF680" s="60" t="str">
        <f aca="false">IF(AB680&lt;&gt;"",AB680,AA680)</f>
        <v>-</v>
      </c>
      <c r="CG680" s="60" t="str">
        <f aca="false">IF(OR(CF680=1,CF680=2,CF680=3),IF(Parameter!$E$27="Ja","LIFT",IF(CF680=1,"L1","L23")),IF(CF680="Aussen","Aussen","-"))</f>
        <v>-</v>
      </c>
      <c r="CH680" s="71" t="n">
        <f aca="false">IF(N(AC680)&gt;0,AC680,0)</f>
        <v>0</v>
      </c>
      <c r="CI680" s="65" t="n">
        <f aca="false">IF(ISNUMBER(AF680),1,0)</f>
        <v>0</v>
      </c>
      <c r="CJ680" s="62" t="n">
        <f aca="false">N(AF680)</f>
        <v>0</v>
      </c>
      <c r="CK680" s="62" t="n">
        <f aca="false">N(M680)+N(N680)</f>
        <v>1</v>
      </c>
      <c r="CL680" s="62" t="n">
        <f aca="false">N(M680)</f>
        <v>0</v>
      </c>
      <c r="CM680" s="62" t="n">
        <f aca="false">N(N680)</f>
        <v>1</v>
      </c>
      <c r="CN680" s="62" t="n">
        <f aca="false">ROUNDUP(H680/BZ680,0)</f>
        <v>0</v>
      </c>
      <c r="CO680" s="62" t="n">
        <f aca="false">ROUNDUP(CJ680/BZ680,0)</f>
        <v>0</v>
      </c>
      <c r="CP680" s="65" t="n">
        <f aca="false">IF(CA680=1,0,IFERROR(VLOOKUP(BY680,'Gebinde-Kategorie'!$A$5:$N$45,5,0)+0,0))</f>
        <v>0</v>
      </c>
      <c r="CQ680" s="65" t="n">
        <f aca="false">IFERROR(IF(OR(CF680=1,CF680=2,CF680=3),N(INDEX(Parameter!$I$5:$I$7,CF680)),0),0)</f>
        <v>0</v>
      </c>
      <c r="CR680" s="64" t="n">
        <f aca="false">IF(AND(Parameter!$B$21="Ja",ISNUMBER(W680),N(X680)&gt;0),IFERROR(N(INDEX(Parameter!$L$5:$L$7,W680))*INDEX(Parameter!$E$5:$E$7,W680)*X680/SUMIFS($X$7:$X$1843,$W$7:$W$1843,W680),0),0)</f>
        <v>0</v>
      </c>
      <c r="CS680" s="62" t="str">
        <f aca="false">IF(AND(OR(CG680="L1",CG680="L23",CG680="LIFT"),H680&gt;0),CC680*IF(CR680&gt;0,CR680*MAX(1,H680/X680),IF(CA680=1,CE680,IF(R680&gt;0,CN680/R680,0))/MAX(0.1,N(Parameter!$M$21))),"")</f>
        <v/>
      </c>
      <c r="CT680" s="64" t="str">
        <f aca="false">IF(CS680="","",J680/H680)</f>
        <v/>
      </c>
      <c r="CU680" s="62" t="str">
        <f aca="false">IF(CS680="","",H680*G680)</f>
        <v/>
      </c>
      <c r="CV680" s="63" t="str">
        <f aca="false">IF(CS680="","",(CL680+ROUNDUP(CL680+MAX(CM680,2*(J680/MAX(0.1,N(Einkauf!$C$6))-CL680)),0))/2)</f>
        <v/>
      </c>
      <c r="CW680" s="62" t="str">
        <f aca="false">IF(CS680="","",MAX(0,H680-CV680)*G680)</f>
        <v/>
      </c>
      <c r="CX680" s="62" t="str">
        <f aca="false">IF(CS680="","",CS680*MAX(0,1-CV680/H680))</f>
        <v/>
      </c>
      <c r="CY680" s="64" t="str">
        <f aca="false">IF(CS680="","",PERCENTRANK($CS$7:$CS$1843,CS680)+PERCENTRANK($CU$7:$CU$1843,CU680)+1-PERCENTRANK($CT$7:$CT$1843,CT680))</f>
        <v/>
      </c>
      <c r="CZ680" s="72" t="str">
        <f aca="false">IF(CS680="","",CHOOSE(MATCH(Einkauf!$C$5,Parameter!$G$23:$G$27,0),CY680,CS680,CU680,-CT680,CW680)+ROW()/1000000000)</f>
        <v/>
      </c>
    </row>
    <row r="681" customFormat="false" ht="15" hidden="false" customHeight="false" outlineLevel="0" collapsed="false">
      <c r="A681" s="60" t="s">
        <v>1406</v>
      </c>
      <c r="B681" s="60" t="s">
        <v>1407</v>
      </c>
      <c r="C681" s="60" t="s">
        <v>206</v>
      </c>
      <c r="D681" s="60" t="s">
        <v>226</v>
      </c>
      <c r="E681" s="60"/>
      <c r="F681" s="60" t="s">
        <v>260</v>
      </c>
      <c r="G681" s="61" t="n">
        <v>106.32</v>
      </c>
      <c r="H681" s="62" t="n">
        <f aca="false">MAX(0,IF(AND(Parameter!$B$21="Ja",ISNUMBER(Y681)),Y681,IF(Parameter!$B$20="Jahresanfang 2025 + Export",BS681+BR681,BR681)))</f>
        <v>0</v>
      </c>
      <c r="I681" s="62" t="n">
        <f aca="false">H681*G681</f>
        <v>0</v>
      </c>
      <c r="J681" s="62" t="n">
        <f aca="false">BU681*Parameter!$B$18</f>
        <v>2</v>
      </c>
      <c r="K681" s="63" t="n">
        <v>0</v>
      </c>
      <c r="L681" s="64" t="n">
        <v>0</v>
      </c>
      <c r="M681" s="62" t="n">
        <v>0</v>
      </c>
      <c r="N681" s="62" t="n">
        <v>1</v>
      </c>
      <c r="O681" s="65" t="n">
        <v>28</v>
      </c>
      <c r="P681" s="60" t="s">
        <v>210</v>
      </c>
      <c r="Q681" s="62"/>
      <c r="R681" s="65" t="n">
        <f aca="false">IF(CA681=1,0,IFERROR(VLOOKUP(BY681,'Gebinde-Kategorie'!$A$5:$N$45,13,0)+0,0))</f>
        <v>26</v>
      </c>
      <c r="S681" s="66"/>
      <c r="T681" s="67" t="s">
        <v>317</v>
      </c>
      <c r="U681" s="67"/>
      <c r="V681" s="67"/>
      <c r="W681" s="60"/>
      <c r="X681" s="62"/>
      <c r="Y681" s="62"/>
      <c r="Z681" s="60" t="n">
        <v>3</v>
      </c>
      <c r="AA681" s="60" t="n">
        <f aca="false">IF(A681="","",IF(AND(Parameter!$B$21="Ja",ISNUMBER(W681)),W681,IF(AND(Parameter!$E$27="Ja",ISNUMBER(Z681),CD681&lt;&gt;"Nein"),Z681,IF(CD681="2+3",IF(ISNUMBER(SEARCH("grosser Artikel",BV681)),2,IFERROR(VLOOKUP(BY681,Parameter!$F$35:$G$64,2,0),2)),IF(OR(CD681="Nein",CD681=""),"-",CD681)))))</f>
        <v>3</v>
      </c>
      <c r="AB681" s="67"/>
      <c r="AC681" s="68"/>
      <c r="AD681" s="62" t="n">
        <f aca="false">AW681</f>
        <v>2</v>
      </c>
      <c r="AE681" s="62" t="n">
        <f aca="false">MAX(AW681,H681)</f>
        <v>2</v>
      </c>
      <c r="AF681" s="69"/>
      <c r="AG681" s="62" t="n">
        <f aca="false">IF(LEFT(Cockpit!$C$5,1)="A",H681,IF(Parameter!$E$30="MAX-Bestand",IF(CI681=1,CJ681,IF(LEFT(Cockpit!$C$5,1)="B",AM681,MAX(AM681,H681))),ROUNDUP(AK681,0)))</f>
        <v>0</v>
      </c>
      <c r="AH681" s="62" t="n">
        <f aca="false">IF(CA681=1,0,ROUNDUP(AG681/BZ681,0))</f>
        <v>0</v>
      </c>
      <c r="AI681" s="64" t="n">
        <f aca="false">IF(CR681&gt;0,CR681*MAX(1,AG681/X681),IF(CA681=1,IF(AG681&lt;=0,0,CE681*MAX(1,IF(H681&gt;0,AG681/H681,1))),IF(R681&gt;0,AH681/R681,0))/MAX(0.1,N(Parameter!$M$21)))</f>
        <v>0</v>
      </c>
      <c r="AJ681" s="62" t="n">
        <f aca="false">AI681*CC681</f>
        <v>0</v>
      </c>
      <c r="AK681" s="63" t="n">
        <f aca="false">IF(LEFT(Cockpit!$C$5,1)="A",H681,IF(CI681=1,(CL681+CJ681)/2,IF(LEFT(Cockpit!$C$5,1)="B",(CL681+AM681)/2,MAX((CL681+AM681)/2,H681))))</f>
        <v>0</v>
      </c>
      <c r="AL681" s="62" t="n">
        <f aca="false">AK681*G681</f>
        <v>0</v>
      </c>
      <c r="AM681" s="62" t="n">
        <f aca="false">ROUNDUP(CL681+MAX(CM681,2*(J681/IF(CH681&gt;0,CH681,MAX(0.1,N(Cockpit!$C$6)))-CL681)),0)</f>
        <v>2</v>
      </c>
      <c r="AN681" s="63" t="n">
        <f aca="false">IF(AJ681&gt;0,J681/AJ681,-1)</f>
        <v>-1</v>
      </c>
      <c r="AO681" s="63" t="str">
        <f aca="false">IF(AND(OR(CG681="L1",CG681="L23",CG681="LIFT"),AJ681&gt;0),SUMIFS($AJ$7:$AJ$1843,$CG$7:$CG$1843,CG681,$AN$7:$AN$1843,"&gt;"&amp;AN681)+SUMIFS($AJ$7:$AJ$1843,$CG$7:$CG$1843,CG681,$AN$7:$AN$1843,AN681,$BX$7:$BX$1843,"&lt;="&amp;BX681),"")</f>
        <v/>
      </c>
      <c r="AP681" s="70" t="n">
        <f aca="false">IF(AO681="",0,MAX(0,MIN(1,(IF(CG681="L1",Parameter!$H$5,IF(CG681="L23",Parameter!$H$6+Parameter!$H$7,Parameter!$H$5+Parameter!$H$6+Parameter!$H$7))-(AO681-AJ681))/AJ681)))</f>
        <v>0</v>
      </c>
      <c r="AQ681" s="62" t="n">
        <f aca="false">IF(LEFT(Cockpit!$I$5,1)="A",H681,IF(Parameter!$E$30="MAX-Bestand",IF(CI681=1,CJ681,IF(LEFT(Cockpit!$I$5,1)="B",AW681,MAX(AW681,H681))),ROUNDUP(AU681,0)))</f>
        <v>1</v>
      </c>
      <c r="AR681" s="62" t="n">
        <f aca="false">IF(CA681=1,0,ROUNDUP(AQ681/BZ681,0))</f>
        <v>1</v>
      </c>
      <c r="AS681" s="64" t="n">
        <f aca="false">IF(CR681&gt;0,CR681*MAX(1,AQ681/X681),IF(CA681=1,IF(AQ681&lt;=0,0,CE681*MAX(1,IF(H681&gt;0,AQ681/H681,1))),IF(R681&gt;0,AR681/R681,0))/MAX(0.1,N(Parameter!$M$21)))</f>
        <v>0.0384615384615385</v>
      </c>
      <c r="AT681" s="62" t="n">
        <f aca="false">AS681*CC681</f>
        <v>5.96153846153846</v>
      </c>
      <c r="AU681" s="63" t="n">
        <f aca="false">IF(LEFT(Cockpit!$I$5,1)="A",H681,IF(CI681=1,(CL681+CJ681)/2,IF(LEFT(Cockpit!$I$5,1)="B",(CL681+AW681)/2,MAX((CL681+AW681)/2,H681))))</f>
        <v>1</v>
      </c>
      <c r="AV681" s="62" t="n">
        <f aca="false">AU681*G681</f>
        <v>106.32</v>
      </c>
      <c r="AW681" s="62" t="n">
        <f aca="false">ROUNDUP(CL681+MAX(CM681,2*(J681/IF(CH681&gt;0,CH681,MAX(0.1,N(Cockpit!$I$6)))-CL681)),0)</f>
        <v>2</v>
      </c>
      <c r="AX681" s="63" t="n">
        <f aca="false">IF(AT681&gt;0,J681/AT681,-1)</f>
        <v>0.335483870967742</v>
      </c>
      <c r="AY681" s="63" t="n">
        <f aca="false">IF(AND(OR(CG681="L1",CG681="L23",CG681="LIFT"),AT681&gt;0),SUMIFS($AT$7:$AT$1843,$CG$7:$CG$1843,CG681,$AX$7:$AX$1843,"&gt;"&amp;AX681)+SUMIFS($AT$7:$AT$1843,$CG$7:$CG$1843,CG681,$AX$7:$AX$1843,AX681,$BX$7:$BX$1843,"&lt;="&amp;BX681),"")</f>
        <v>13720.1570512821</v>
      </c>
      <c r="AZ681" s="70" t="n">
        <f aca="false">IF(AY681="",0,MAX(0,MIN(1,(IF(CG681="L1",Parameter!$H$5,IF(CG681="L23",Parameter!$H$6+Parameter!$H$7,Parameter!$H$5+Parameter!$H$6+Parameter!$H$7))-(AY681-AT681))/AT681)))</f>
        <v>1</v>
      </c>
      <c r="BA681" s="62" t="n">
        <f aca="false">IF(LEFT(Cockpit!$O$5,1)="A",H681,IF(Parameter!$E$30="MAX-Bestand",IF(CI681=1,CJ681,IF(LEFT(Cockpit!$O$5,1)="B",BG681,MAX(BG681,H681))),ROUNDUP(BE681,0)))</f>
        <v>1</v>
      </c>
      <c r="BB681" s="62" t="n">
        <f aca="false">IF(CA681=1,0,ROUNDUP(BA681/BZ681,0))</f>
        <v>1</v>
      </c>
      <c r="BC681" s="64" t="n">
        <f aca="false">IF(CR681&gt;0,CR681*MAX(1,BA681/X681),IF(CA681=1,IF(BA681&lt;=0,0,CE681*MAX(1,IF(H681&gt;0,BA681/H681,1))),IF(R681&gt;0,BB681/R681,0))/MAX(0.1,N(Parameter!$M$21)))</f>
        <v>0.0384615384615385</v>
      </c>
      <c r="BD681" s="62" t="n">
        <f aca="false">BC681*CC681</f>
        <v>5.96153846153846</v>
      </c>
      <c r="BE681" s="63" t="n">
        <f aca="false">IF(LEFT(Cockpit!$O$5,1)="A",H681,IF(CI681=1,(CL681+CJ681)/2,IF(LEFT(Cockpit!$O$5,1)="B",(CL681+BG681)/2,MAX((CL681+BG681)/2,H681))))</f>
        <v>0.5</v>
      </c>
      <c r="BF681" s="62" t="n">
        <f aca="false">BE681*G681</f>
        <v>53.16</v>
      </c>
      <c r="BG681" s="62" t="n">
        <f aca="false">ROUNDUP(CL681+MAX(CM681,2*(J681/IF(CH681&gt;0,CH681,MAX(0.1,N(Cockpit!$O$6)))-CL681)),0)</f>
        <v>1</v>
      </c>
      <c r="BH681" s="63" t="n">
        <f aca="false">IF(BD681&gt;0,J681/BD681,-1)</f>
        <v>0.335483870967742</v>
      </c>
      <c r="BI681" s="63" t="n">
        <f aca="false">IF(AND(OR(CG681="L1",CG681="L23",CG681="LIFT"),BD681&gt;0),SUMIFS($BD$7:$BD$1843,$CG$7:$CG$1843,CG681,$BH$7:$BH$1843,"&gt;"&amp;BH681)+SUMIFS($BD$7:$BD$1843,$CG$7:$CG$1843,CG681,$BH$7:$BH$1843,BH681,$BX$7:$BX$1843,"&lt;="&amp;BX681),"")</f>
        <v>11574.0966117216</v>
      </c>
      <c r="BJ681" s="70" t="n">
        <f aca="false">IF(BI681="",0,MAX(0,MIN(1,(IF(CG681="L1",Parameter!$H$5,IF(CG681="L23",Parameter!$H$6+Parameter!$H$7,Parameter!$H$5+Parameter!$H$6+Parameter!$H$7))-(BI681-BD681))/BD681)))</f>
        <v>1</v>
      </c>
      <c r="BK681" s="60" t="str">
        <f aca="false">IF(AJ681&lt;=0,"",IF(CG681="Aussen","Aussenlager",IF(CG681="-","Nicht im Lift",IF(AP681&gt;=1,"Lift",IF(AP681&lt;=0,"Aussenlager","teilweise")))))</f>
        <v/>
      </c>
      <c r="BL681" s="60" t="str">
        <f aca="false">IF(AT681&lt;=0,"",IF(CG681="Aussen","Aussenlager",IF(CG681="-","Nicht im Lift",IF(AZ681&gt;=1,"Lift",IF(AZ681&lt;=0,"Aussenlager","teilweise")))))</f>
        <v>Lift</v>
      </c>
      <c r="BM681" s="60" t="str">
        <f aca="false">IF(BD681&lt;=0,"",IF(CG681="Aussen","Aussenlager",IF(CG681="-","Nicht im Lift",IF(BJ681&gt;=1,"Lift",IF(BJ681&lt;=0,"Aussenlager","teilweise")))))</f>
        <v>Lift</v>
      </c>
      <c r="BN681" s="60" t="str">
        <f aca="false">IF(A681="","",IF(BW681=1,"Neu; ","")&amp;IF(AND(BW681=0,BR681&lt;0),"negativer Bestand (Export "&amp;BR681&amp;"); ","")&amp;IF(J681&lt;=0,"Kein Verbrauch; ","")&amp;IF(CR681&gt;0,"Lift "&amp;W681&amp;" lt. Liftbericht (Fach "&amp;X681&amp;" Stk); ",IF(CB681=1,"Gebinde geschätzt ("&amp;T681&amp;"); ",IF(CA681=1,"Lose – Tablare geschätzt; ","")))&amp;IF(H681&gt;AW681,"Überbestand "&amp;ROUND(H681-AW681,0)&amp;" Stk / CHF "&amp;ROUND((H681-AW681)*G681,0)&amp;"; ","")&amp;IF(AND(CI681=1,CJ681&lt;CK681),"MAX &lt; MB+LG; ","")&amp;IF(AND(CQ681&gt;0,CP681*10&gt;CQ681),"zu hoch für Tablar; ","")&amp;IF(AND(BW681=0,OR(CI681=1,AB681&lt;&gt;"",U681&lt;&gt;"",V681&lt;&gt;"",AC681&lt;&gt;"")),"manuell übersteuert; ","")&amp;IF(AND(CA681=0,R681=0),"Gebinde unbekannt / Stellmass fehlt; ","")&amp;IF(AND(CA681=0,N(V681)&lt;=0,N(Q681)&lt;=0),"Menge pro Gebinde fehlt (Ist = 1 Gebinde); ","")&amp;BV681)</f>
        <v>Gebinde geschätzt (Klein); Menge pro Gebinde fehlt (Ist = 1 Gebinde); </v>
      </c>
      <c r="BO681" s="60"/>
      <c r="BP681" s="60"/>
      <c r="BQ681" s="67"/>
      <c r="BR681" s="62" t="n">
        <v>0</v>
      </c>
      <c r="BS681" s="62" t="n">
        <v>0</v>
      </c>
      <c r="BT681" s="61" t="n">
        <v>0</v>
      </c>
      <c r="BU681" s="62" t="n">
        <v>2</v>
      </c>
      <c r="BV681" s="60"/>
      <c r="BW681" s="65" t="n">
        <v>0</v>
      </c>
      <c r="BX681" s="65" t="n">
        <v>681</v>
      </c>
      <c r="BY681" s="60" t="str">
        <f aca="false">IF(U681&lt;&gt;"",UPPER(TRIM(U681)),IF(CB681=1,UPPER(VLOOKUP(T681,Parameter!$I$27:$K$29,2,0)),IF(P681="","LOSE",P681)))</f>
        <v>S51</v>
      </c>
      <c r="BZ681" s="62" t="n">
        <f aca="false">IF(BY681="LOSE",1,IF(N(V681)&gt;0,V681,IF(CB681=1,MAX(1,N(VLOOKUP(T681,Parameter!$I$27:$K$29,3,0)),H681,N(N681)),IF(N(Q681)&gt;0,Q681,MAX(1,H681)))))</f>
        <v>20</v>
      </c>
      <c r="CA681" s="65" t="n">
        <f aca="false">IF(BY681="LOSE",1,0)</f>
        <v>0</v>
      </c>
      <c r="CB681" s="65" t="n">
        <f aca="false">IF(AND(U681="",OR(P681="",P681="LOSE"),T681&lt;&gt;"",N(S681)&lt;=0,ISNUMBER(MATCH(T681,Parameter!$I$27:$I$29,0))),1,0)</f>
        <v>1</v>
      </c>
      <c r="CC681" s="65" t="n">
        <f aca="false">IF(CR681&gt;0,INDEX(Parameter!$H$5:$H$7,W681)/INDEX(Parameter!$E$5:$E$7,W681),IF(AND(CA681=0,N(IFERROR(VLOOKUP(BY681,'Gebinde-Kategorie'!$A$5:$N$45,14,0),0))&gt;0),VLOOKUP(BY681,'Gebinde-Kategorie'!$A$5:$N$45,14,0)*10+Parameter!$M$23,Parameter!$M$24))</f>
        <v>155</v>
      </c>
      <c r="CD681" s="60" t="str">
        <f aca="false">IF(AND(Parameter!$B$19="Ja",E681&lt;&gt;"",ISNUMBER(MATCH(E681,Parameter!$I$35:$I$52,0))),VLOOKUP(E681,Parameter!$I$35:$J$52,2,0),IFERROR(VLOOKUP(D681,Parameter!$A$35:$C$64,2,0),"Nein"))</f>
        <v>2+3</v>
      </c>
      <c r="CE681" s="64" t="n">
        <f aca="false">IF(CA681=0,0,IF(N(S681)&gt;0,S681,IFERROR(VLOOKUP(D681,Parameter!$A$35:$C$64,3,0)+0,0)))</f>
        <v>0</v>
      </c>
      <c r="CF681" s="60" t="n">
        <f aca="false">IF(AB681&lt;&gt;"",AB681,AA681)</f>
        <v>3</v>
      </c>
      <c r="CG681" s="60" t="str">
        <f aca="false">IF(OR(CF681=1,CF681=2,CF681=3),IF(Parameter!$E$27="Ja","LIFT",IF(CF681=1,"L1","L23")),IF(CF681="Aussen","Aussen","-"))</f>
        <v>LIFT</v>
      </c>
      <c r="CH681" s="71" t="n">
        <f aca="false">IF(N(AC681)&gt;0,AC681,0)</f>
        <v>0</v>
      </c>
      <c r="CI681" s="65" t="n">
        <f aca="false">IF(ISNUMBER(AF681),1,0)</f>
        <v>0</v>
      </c>
      <c r="CJ681" s="62" t="n">
        <f aca="false">N(AF681)</f>
        <v>0</v>
      </c>
      <c r="CK681" s="62" t="n">
        <f aca="false">N(M681)+N(N681)</f>
        <v>1</v>
      </c>
      <c r="CL681" s="62" t="n">
        <f aca="false">N(M681)</f>
        <v>0</v>
      </c>
      <c r="CM681" s="62" t="n">
        <f aca="false">N(N681)</f>
        <v>1</v>
      </c>
      <c r="CN681" s="62" t="n">
        <f aca="false">ROUNDUP(H681/BZ681,0)</f>
        <v>0</v>
      </c>
      <c r="CO681" s="62" t="n">
        <f aca="false">ROUNDUP(CJ681/BZ681,0)</f>
        <v>0</v>
      </c>
      <c r="CP681" s="65" t="n">
        <f aca="false">IF(CA681=1,0,IFERROR(VLOOKUP(BY681,'Gebinde-Kategorie'!$A$5:$N$45,5,0)+0,0))</f>
        <v>11</v>
      </c>
      <c r="CQ681" s="65" t="n">
        <f aca="false">IFERROR(IF(OR(CF681=1,CF681=2,CF681=3),N(INDEX(Parameter!$I$5:$I$7,CF681)),0),0)</f>
        <v>0</v>
      </c>
      <c r="CR681" s="64" t="n">
        <f aca="false">IF(AND(Parameter!$B$21="Ja",ISNUMBER(W681),N(X681)&gt;0),IFERROR(N(INDEX(Parameter!$L$5:$L$7,W681))*INDEX(Parameter!$E$5:$E$7,W681)*X681/SUMIFS($X$7:$X$1843,$W$7:$W$1843,W681),0),0)</f>
        <v>0</v>
      </c>
      <c r="CS681" s="62" t="str">
        <f aca="false">IF(AND(OR(CG681="L1",CG681="L23",CG681="LIFT"),H681&gt;0),CC681*IF(CR681&gt;0,CR681*MAX(1,H681/X681),IF(CA681=1,CE681,IF(R681&gt;0,CN681/R681,0))/MAX(0.1,N(Parameter!$M$21))),"")</f>
        <v/>
      </c>
      <c r="CT681" s="64" t="str">
        <f aca="false">IF(CS681="","",J681/H681)</f>
        <v/>
      </c>
      <c r="CU681" s="62" t="str">
        <f aca="false">IF(CS681="","",H681*G681)</f>
        <v/>
      </c>
      <c r="CV681" s="63" t="str">
        <f aca="false">IF(CS681="","",(CL681+ROUNDUP(CL681+MAX(CM681,2*(J681/MAX(0.1,N(Einkauf!$C$6))-CL681)),0))/2)</f>
        <v/>
      </c>
      <c r="CW681" s="62" t="str">
        <f aca="false">IF(CS681="","",MAX(0,H681-CV681)*G681)</f>
        <v/>
      </c>
      <c r="CX681" s="62" t="str">
        <f aca="false">IF(CS681="","",CS681*MAX(0,1-CV681/H681))</f>
        <v/>
      </c>
      <c r="CY681" s="64" t="str">
        <f aca="false">IF(CS681="","",PERCENTRANK($CS$7:$CS$1843,CS681)+PERCENTRANK($CU$7:$CU$1843,CU681)+1-PERCENTRANK($CT$7:$CT$1843,CT681))</f>
        <v/>
      </c>
      <c r="CZ681" s="72" t="str">
        <f aca="false">IF(CS681="","",CHOOSE(MATCH(Einkauf!$C$5,Parameter!$G$23:$G$27,0),CY681,CS681,CU681,-CT681,CW681)+ROW()/1000000000)</f>
        <v/>
      </c>
    </row>
    <row r="682" customFormat="false" ht="15" hidden="false" customHeight="false" outlineLevel="0" collapsed="false">
      <c r="A682" s="60" t="s">
        <v>1408</v>
      </c>
      <c r="B682" s="60" t="s">
        <v>1409</v>
      </c>
      <c r="C682" s="60" t="s">
        <v>206</v>
      </c>
      <c r="D682" s="60" t="s">
        <v>395</v>
      </c>
      <c r="E682" s="60"/>
      <c r="F682" s="60" t="s">
        <v>260</v>
      </c>
      <c r="G682" s="61" t="n">
        <v>1</v>
      </c>
      <c r="H682" s="62" t="n">
        <f aca="false">MAX(0,IF(AND(Parameter!$B$21="Ja",ISNUMBER(Y682)),Y682,IF(Parameter!$B$20="Jahresanfang 2025 + Export",BS682+BR682,BR682)))</f>
        <v>0</v>
      </c>
      <c r="I682" s="62" t="n">
        <f aca="false">H682*G682</f>
        <v>0</v>
      </c>
      <c r="J682" s="62" t="n">
        <f aca="false">BU682*Parameter!$B$18</f>
        <v>1</v>
      </c>
      <c r="K682" s="63" t="n">
        <v>0.5</v>
      </c>
      <c r="L682" s="64" t="n">
        <v>2</v>
      </c>
      <c r="M682" s="62" t="n">
        <v>0</v>
      </c>
      <c r="N682" s="62" t="n">
        <v>1</v>
      </c>
      <c r="O682" s="65" t="n">
        <v>0</v>
      </c>
      <c r="P682" s="60" t="s">
        <v>210</v>
      </c>
      <c r="Q682" s="62"/>
      <c r="R682" s="65" t="n">
        <f aca="false">IF(CA682=1,0,IFERROR(VLOOKUP(BY682,'Gebinde-Kategorie'!$A$5:$N$45,13,0)+0,0))</f>
        <v>0</v>
      </c>
      <c r="S682" s="66"/>
      <c r="T682" s="67"/>
      <c r="U682" s="67"/>
      <c r="V682" s="67"/>
      <c r="W682" s="60"/>
      <c r="X682" s="62"/>
      <c r="Y682" s="62"/>
      <c r="Z682" s="60"/>
      <c r="AA682" s="60" t="str">
        <f aca="false">IF(A682="","",IF(AND(Parameter!$B$21="Ja",ISNUMBER(W682)),W682,IF(AND(Parameter!$E$27="Ja",ISNUMBER(Z682),CD682&lt;&gt;"Nein"),Z682,IF(CD682="2+3",IF(ISNUMBER(SEARCH("grosser Artikel",BV682)),2,IFERROR(VLOOKUP(BY682,Parameter!$F$35:$G$64,2,0),2)),IF(OR(CD682="Nein",CD682=""),"-",CD682)))))</f>
        <v>-</v>
      </c>
      <c r="AB682" s="67"/>
      <c r="AC682" s="68"/>
      <c r="AD682" s="62" t="n">
        <f aca="false">AW682</f>
        <v>1</v>
      </c>
      <c r="AE682" s="62" t="n">
        <f aca="false">MAX(AW682,H682)</f>
        <v>1</v>
      </c>
      <c r="AF682" s="69"/>
      <c r="AG682" s="62" t="n">
        <f aca="false">IF(LEFT(Cockpit!$C$5,1)="A",H682,IF(Parameter!$E$30="MAX-Bestand",IF(CI682=1,CJ682,IF(LEFT(Cockpit!$C$5,1)="B",AM682,MAX(AM682,H682))),ROUNDUP(AK682,0)))</f>
        <v>0</v>
      </c>
      <c r="AH682" s="62" t="n">
        <f aca="false">IF(CA682=1,0,ROUNDUP(AG682/BZ682,0))</f>
        <v>0</v>
      </c>
      <c r="AI682" s="64" t="n">
        <f aca="false">IF(CR682&gt;0,CR682*MAX(1,AG682/X682),IF(CA682=1,IF(AG682&lt;=0,0,CE682*MAX(1,IF(H682&gt;0,AG682/H682,1))),IF(R682&gt;0,AH682/R682,0))/MAX(0.1,N(Parameter!$M$21)))</f>
        <v>0</v>
      </c>
      <c r="AJ682" s="62" t="n">
        <f aca="false">AI682*CC682</f>
        <v>0</v>
      </c>
      <c r="AK682" s="63" t="n">
        <f aca="false">IF(LEFT(Cockpit!$C$5,1)="A",H682,IF(CI682=1,(CL682+CJ682)/2,IF(LEFT(Cockpit!$C$5,1)="B",(CL682+AM682)/2,MAX((CL682+AM682)/2,H682))))</f>
        <v>0</v>
      </c>
      <c r="AL682" s="62" t="n">
        <f aca="false">AK682*G682</f>
        <v>0</v>
      </c>
      <c r="AM682" s="62" t="n">
        <f aca="false">ROUNDUP(CL682+MAX(CM682,2*(J682/IF(CH682&gt;0,CH682,MAX(0.1,N(Cockpit!$C$6)))-CL682)),0)</f>
        <v>1</v>
      </c>
      <c r="AN682" s="63" t="n">
        <f aca="false">IF(AJ682&gt;0,J682/AJ682,-1)</f>
        <v>-1</v>
      </c>
      <c r="AO682" s="63" t="str">
        <f aca="false">IF(AND(OR(CG682="L1",CG682="L23",CG682="LIFT"),AJ682&gt;0),SUMIFS($AJ$7:$AJ$1843,$CG$7:$CG$1843,CG682,$AN$7:$AN$1843,"&gt;"&amp;AN682)+SUMIFS($AJ$7:$AJ$1843,$CG$7:$CG$1843,CG682,$AN$7:$AN$1843,AN682,$BX$7:$BX$1843,"&lt;="&amp;BX682),"")</f>
        <v/>
      </c>
      <c r="AP682" s="70" t="n">
        <f aca="false">IF(AO682="",0,MAX(0,MIN(1,(IF(CG682="L1",Parameter!$H$5,IF(CG682="L23",Parameter!$H$6+Parameter!$H$7,Parameter!$H$5+Parameter!$H$6+Parameter!$H$7))-(AO682-AJ682))/AJ682)))</f>
        <v>0</v>
      </c>
      <c r="AQ682" s="62" t="n">
        <f aca="false">IF(LEFT(Cockpit!$I$5,1)="A",H682,IF(Parameter!$E$30="MAX-Bestand",IF(CI682=1,CJ682,IF(LEFT(Cockpit!$I$5,1)="B",AW682,MAX(AW682,H682))),ROUNDUP(AU682,0)))</f>
        <v>1</v>
      </c>
      <c r="AR682" s="62" t="n">
        <f aca="false">IF(CA682=1,0,ROUNDUP(AQ682/BZ682,0))</f>
        <v>0</v>
      </c>
      <c r="AS682" s="64" t="n">
        <f aca="false">IF(CR682&gt;0,CR682*MAX(1,AQ682/X682),IF(CA682=1,IF(AQ682&lt;=0,0,CE682*MAX(1,IF(H682&gt;0,AQ682/H682,1))),IF(R682&gt;0,AR682/R682,0))/MAX(0.1,N(Parameter!$M$21)))</f>
        <v>0.15</v>
      </c>
      <c r="AT682" s="62" t="n">
        <f aca="false">AS682*CC682</f>
        <v>35.25</v>
      </c>
      <c r="AU682" s="63" t="n">
        <f aca="false">IF(LEFT(Cockpit!$I$5,1)="A",H682,IF(CI682=1,(CL682+CJ682)/2,IF(LEFT(Cockpit!$I$5,1)="B",(CL682+AW682)/2,MAX((CL682+AW682)/2,H682))))</f>
        <v>0.5</v>
      </c>
      <c r="AV682" s="62" t="n">
        <f aca="false">AU682*G682</f>
        <v>0.5</v>
      </c>
      <c r="AW682" s="62" t="n">
        <f aca="false">ROUNDUP(CL682+MAX(CM682,2*(J682/IF(CH682&gt;0,CH682,MAX(0.1,N(Cockpit!$I$6)))-CL682)),0)</f>
        <v>1</v>
      </c>
      <c r="AX682" s="63" t="n">
        <f aca="false">IF(AT682&gt;0,J682/AT682,-1)</f>
        <v>0.0283687943262411</v>
      </c>
      <c r="AY682" s="63" t="str">
        <f aca="false">IF(AND(OR(CG682="L1",CG682="L23",CG682="LIFT"),AT682&gt;0),SUMIFS($AT$7:$AT$1843,$CG$7:$CG$1843,CG682,$AX$7:$AX$1843,"&gt;"&amp;AX682)+SUMIFS($AT$7:$AT$1843,$CG$7:$CG$1843,CG682,$AX$7:$AX$1843,AX682,$BX$7:$BX$1843,"&lt;="&amp;BX682),"")</f>
        <v/>
      </c>
      <c r="AZ682" s="70" t="n">
        <f aca="false">IF(AY682="",0,MAX(0,MIN(1,(IF(CG682="L1",Parameter!$H$5,IF(CG682="L23",Parameter!$H$6+Parameter!$H$7,Parameter!$H$5+Parameter!$H$6+Parameter!$H$7))-(AY682-AT682))/AT682)))</f>
        <v>0</v>
      </c>
      <c r="BA682" s="62" t="n">
        <f aca="false">IF(LEFT(Cockpit!$O$5,1)="A",H682,IF(Parameter!$E$30="MAX-Bestand",IF(CI682=1,CJ682,IF(LEFT(Cockpit!$O$5,1)="B",BG682,MAX(BG682,H682))),ROUNDUP(BE682,0)))</f>
        <v>1</v>
      </c>
      <c r="BB682" s="62" t="n">
        <f aca="false">IF(CA682=1,0,ROUNDUP(BA682/BZ682,0))</f>
        <v>0</v>
      </c>
      <c r="BC682" s="64" t="n">
        <f aca="false">IF(CR682&gt;0,CR682*MAX(1,BA682/X682),IF(CA682=1,IF(BA682&lt;=0,0,CE682*MAX(1,IF(H682&gt;0,BA682/H682,1))),IF(R682&gt;0,BB682/R682,0))/MAX(0.1,N(Parameter!$M$21)))</f>
        <v>0.15</v>
      </c>
      <c r="BD682" s="62" t="n">
        <f aca="false">BC682*CC682</f>
        <v>35.25</v>
      </c>
      <c r="BE682" s="63" t="n">
        <f aca="false">IF(LEFT(Cockpit!$O$5,1)="A",H682,IF(CI682=1,(CL682+CJ682)/2,IF(LEFT(Cockpit!$O$5,1)="B",(CL682+BG682)/2,MAX((CL682+BG682)/2,H682))))</f>
        <v>0.5</v>
      </c>
      <c r="BF682" s="62" t="n">
        <f aca="false">BE682*G682</f>
        <v>0.5</v>
      </c>
      <c r="BG682" s="62" t="n">
        <f aca="false">ROUNDUP(CL682+MAX(CM682,2*(J682/IF(CH682&gt;0,CH682,MAX(0.1,N(Cockpit!$O$6)))-CL682)),0)</f>
        <v>1</v>
      </c>
      <c r="BH682" s="63" t="n">
        <f aca="false">IF(BD682&gt;0,J682/BD682,-1)</f>
        <v>0.0283687943262411</v>
      </c>
      <c r="BI682" s="63" t="str">
        <f aca="false">IF(AND(OR(CG682="L1",CG682="L23",CG682="LIFT"),BD682&gt;0),SUMIFS($BD$7:$BD$1843,$CG$7:$CG$1843,CG682,$BH$7:$BH$1843,"&gt;"&amp;BH682)+SUMIFS($BD$7:$BD$1843,$CG$7:$CG$1843,CG682,$BH$7:$BH$1843,BH682,$BX$7:$BX$1843,"&lt;="&amp;BX682),"")</f>
        <v/>
      </c>
      <c r="BJ682" s="70" t="n">
        <f aca="false">IF(BI682="",0,MAX(0,MIN(1,(IF(CG682="L1",Parameter!$H$5,IF(CG682="L23",Parameter!$H$6+Parameter!$H$7,Parameter!$H$5+Parameter!$H$6+Parameter!$H$7))-(BI682-BD682))/BD682)))</f>
        <v>0</v>
      </c>
      <c r="BK682" s="60" t="str">
        <f aca="false">IF(AJ682&lt;=0,"",IF(CG682="Aussen","Aussenlager",IF(CG682="-","Nicht im Lift",IF(AP682&gt;=1,"Lift",IF(AP682&lt;=0,"Aussenlager","teilweise")))))</f>
        <v/>
      </c>
      <c r="BL682" s="60" t="str">
        <f aca="false">IF(AT682&lt;=0,"",IF(CG682="Aussen","Aussenlager",IF(CG682="-","Nicht im Lift",IF(AZ682&gt;=1,"Lift",IF(AZ682&lt;=0,"Aussenlager","teilweise")))))</f>
        <v>Nicht im Lift</v>
      </c>
      <c r="BM682" s="60" t="str">
        <f aca="false">IF(BD682&lt;=0,"",IF(CG682="Aussen","Aussenlager",IF(CG682="-","Nicht im Lift",IF(BJ682&gt;=1,"Lift",IF(BJ682&lt;=0,"Aussenlager","teilweise")))))</f>
        <v>Nicht im Lift</v>
      </c>
      <c r="BN682" s="60" t="str">
        <f aca="false">IF(A682="","",IF(BW682=1,"Neu; ","")&amp;IF(AND(BW682=0,BR682&lt;0),"negativer Bestand (Export "&amp;BR682&amp;"); ","")&amp;IF(J682&lt;=0,"Kein Verbrauch; ","")&amp;IF(CR682&gt;0,"Lift "&amp;W682&amp;" lt. Liftbericht (Fach "&amp;X682&amp;" Stk); ",IF(CB682=1,"Gebinde geschätzt ("&amp;T682&amp;"); ",IF(CA682=1,"Lose – Tablare geschätzt; ","")))&amp;IF(H682&gt;AW682,"Überbestand "&amp;ROUND(H682-AW682,0)&amp;" Stk / CHF "&amp;ROUND((H682-AW682)*G682,0)&amp;"; ","")&amp;IF(AND(CI682=1,CJ682&lt;CK682),"MAX &lt; MB+LG; ","")&amp;IF(AND(CQ682&gt;0,CP682*10&gt;CQ682),"zu hoch für Tablar; ","")&amp;IF(AND(BW682=0,OR(CI682=1,AB682&lt;&gt;"",U682&lt;&gt;"",V682&lt;&gt;"",AC682&lt;&gt;"")),"manuell übersteuert; ","")&amp;IF(AND(CA682=0,R682=0),"Gebinde unbekannt / Stellmass fehlt; ","")&amp;IF(AND(CA682=0,N(V682)&lt;=0,N(Q682)&lt;=0),"Menge pro Gebinde fehlt (Ist = 1 Gebinde); ","")&amp;BV682)</f>
        <v>negativer Bestand (Export -1); Lose – Tablare geschätzt; </v>
      </c>
      <c r="BO682" s="60"/>
      <c r="BP682" s="60"/>
      <c r="BQ682" s="67"/>
      <c r="BR682" s="62" t="n">
        <v>-1</v>
      </c>
      <c r="BS682" s="62" t="n">
        <v>1</v>
      </c>
      <c r="BT682" s="61" t="n">
        <v>0</v>
      </c>
      <c r="BU682" s="62" t="n">
        <v>1</v>
      </c>
      <c r="BV682" s="60"/>
      <c r="BW682" s="65" t="n">
        <v>0</v>
      </c>
      <c r="BX682" s="65" t="n">
        <v>682</v>
      </c>
      <c r="BY682" s="60" t="str">
        <f aca="false">IF(U682&lt;&gt;"",UPPER(TRIM(U682)),IF(CB682=1,UPPER(VLOOKUP(T682,Parameter!$I$27:$K$29,2,0)),IF(P682="","LOSE",P682)))</f>
        <v>LOSE</v>
      </c>
      <c r="BZ682" s="62" t="n">
        <f aca="false">IF(BY682="LOSE",1,IF(N(V682)&gt;0,V682,IF(CB682=1,MAX(1,N(VLOOKUP(T682,Parameter!$I$27:$K$29,3,0)),H682,N(N682)),IF(N(Q682)&gt;0,Q682,MAX(1,H682)))))</f>
        <v>1</v>
      </c>
      <c r="CA682" s="65" t="n">
        <f aca="false">IF(BY682="LOSE",1,0)</f>
        <v>1</v>
      </c>
      <c r="CB682" s="65" t="n">
        <f aca="false">IF(AND(U682="",OR(P682="",P682="LOSE"),T682&lt;&gt;"",N(S682)&lt;=0,ISNUMBER(MATCH(T682,Parameter!$I$27:$I$29,0))),1,0)</f>
        <v>0</v>
      </c>
      <c r="CC682" s="65" t="n">
        <f aca="false">IF(CR682&gt;0,INDEX(Parameter!$H$5:$H$7,W682)/INDEX(Parameter!$E$5:$E$7,W682),IF(AND(CA682=0,N(IFERROR(VLOOKUP(BY682,'Gebinde-Kategorie'!$A$5:$N$45,14,0),0))&gt;0),VLOOKUP(BY682,'Gebinde-Kategorie'!$A$5:$N$45,14,0)*10+Parameter!$M$23,Parameter!$M$24))</f>
        <v>235</v>
      </c>
      <c r="CD682" s="60" t="str">
        <f aca="false">IF(AND(Parameter!$B$19="Ja",E682&lt;&gt;"",ISNUMBER(MATCH(E682,Parameter!$I$35:$I$52,0))),VLOOKUP(E682,Parameter!$I$35:$J$52,2,0),IFERROR(VLOOKUP(D682,Parameter!$A$35:$C$64,2,0),"Nein"))</f>
        <v>Nein</v>
      </c>
      <c r="CE682" s="64" t="n">
        <f aca="false">IF(CA682=0,0,IF(N(S682)&gt;0,S682,IFERROR(VLOOKUP(D682,Parameter!$A$35:$C$64,3,0)+0,0)))</f>
        <v>0.15</v>
      </c>
      <c r="CF682" s="60" t="str">
        <f aca="false">IF(AB682&lt;&gt;"",AB682,AA682)</f>
        <v>-</v>
      </c>
      <c r="CG682" s="60" t="str">
        <f aca="false">IF(OR(CF682=1,CF682=2,CF682=3),IF(Parameter!$E$27="Ja","LIFT",IF(CF682=1,"L1","L23")),IF(CF682="Aussen","Aussen","-"))</f>
        <v>-</v>
      </c>
      <c r="CH682" s="71" t="n">
        <f aca="false">IF(N(AC682)&gt;0,AC682,0)</f>
        <v>0</v>
      </c>
      <c r="CI682" s="65" t="n">
        <f aca="false">IF(ISNUMBER(AF682),1,0)</f>
        <v>0</v>
      </c>
      <c r="CJ682" s="62" t="n">
        <f aca="false">N(AF682)</f>
        <v>0</v>
      </c>
      <c r="CK682" s="62" t="n">
        <f aca="false">N(M682)+N(N682)</f>
        <v>1</v>
      </c>
      <c r="CL682" s="62" t="n">
        <f aca="false">N(M682)</f>
        <v>0</v>
      </c>
      <c r="CM682" s="62" t="n">
        <f aca="false">N(N682)</f>
        <v>1</v>
      </c>
      <c r="CN682" s="62" t="n">
        <f aca="false">ROUNDUP(H682/BZ682,0)</f>
        <v>0</v>
      </c>
      <c r="CO682" s="62" t="n">
        <f aca="false">ROUNDUP(CJ682/BZ682,0)</f>
        <v>0</v>
      </c>
      <c r="CP682" s="65" t="n">
        <f aca="false">IF(CA682=1,0,IFERROR(VLOOKUP(BY682,'Gebinde-Kategorie'!$A$5:$N$45,5,0)+0,0))</f>
        <v>0</v>
      </c>
      <c r="CQ682" s="65" t="n">
        <f aca="false">IFERROR(IF(OR(CF682=1,CF682=2,CF682=3),N(INDEX(Parameter!$I$5:$I$7,CF682)),0),0)</f>
        <v>0</v>
      </c>
      <c r="CR682" s="64" t="n">
        <f aca="false">IF(AND(Parameter!$B$21="Ja",ISNUMBER(W682),N(X682)&gt;0),IFERROR(N(INDEX(Parameter!$L$5:$L$7,W682))*INDEX(Parameter!$E$5:$E$7,W682)*X682/SUMIFS($X$7:$X$1843,$W$7:$W$1843,W682),0),0)</f>
        <v>0</v>
      </c>
      <c r="CS682" s="62" t="str">
        <f aca="false">IF(AND(OR(CG682="L1",CG682="L23",CG682="LIFT"),H682&gt;0),CC682*IF(CR682&gt;0,CR682*MAX(1,H682/X682),IF(CA682=1,CE682,IF(R682&gt;0,CN682/R682,0))/MAX(0.1,N(Parameter!$M$21))),"")</f>
        <v/>
      </c>
      <c r="CT682" s="64" t="str">
        <f aca="false">IF(CS682="","",J682/H682)</f>
        <v/>
      </c>
      <c r="CU682" s="62" t="str">
        <f aca="false">IF(CS682="","",H682*G682)</f>
        <v/>
      </c>
      <c r="CV682" s="63" t="str">
        <f aca="false">IF(CS682="","",(CL682+ROUNDUP(CL682+MAX(CM682,2*(J682/MAX(0.1,N(Einkauf!$C$6))-CL682)),0))/2)</f>
        <v/>
      </c>
      <c r="CW682" s="62" t="str">
        <f aca="false">IF(CS682="","",MAX(0,H682-CV682)*G682)</f>
        <v/>
      </c>
      <c r="CX682" s="62" t="str">
        <f aca="false">IF(CS682="","",CS682*MAX(0,1-CV682/H682))</f>
        <v/>
      </c>
      <c r="CY682" s="64" t="str">
        <f aca="false">IF(CS682="","",PERCENTRANK($CS$7:$CS$1843,CS682)+PERCENTRANK($CU$7:$CU$1843,CU682)+1-PERCENTRANK($CT$7:$CT$1843,CT682))</f>
        <v/>
      </c>
      <c r="CZ682" s="72" t="str">
        <f aca="false">IF(CS682="","",CHOOSE(MATCH(Einkauf!$C$5,Parameter!$G$23:$G$27,0),CY682,CS682,CU682,-CT682,CW682)+ROW()/1000000000)</f>
        <v/>
      </c>
    </row>
    <row r="683" customFormat="false" ht="15" hidden="false" customHeight="false" outlineLevel="0" collapsed="false">
      <c r="A683" s="60" t="s">
        <v>1410</v>
      </c>
      <c r="B683" s="60" t="s">
        <v>1411</v>
      </c>
      <c r="C683" s="60" t="s">
        <v>206</v>
      </c>
      <c r="D683" s="60" t="s">
        <v>215</v>
      </c>
      <c r="E683" s="60"/>
      <c r="F683" s="60" t="s">
        <v>260</v>
      </c>
      <c r="G683" s="61" t="n">
        <v>4509.47</v>
      </c>
      <c r="H683" s="62" t="n">
        <f aca="false">MAX(0,IF(AND(Parameter!$B$21="Ja",ISNUMBER(Y683)),Y683,IF(Parameter!$B$20="Jahresanfang 2025 + Export",BS683+BR683,BR683)))</f>
        <v>0</v>
      </c>
      <c r="I683" s="62" t="n">
        <f aca="false">H683*G683</f>
        <v>0</v>
      </c>
      <c r="J683" s="62" t="n">
        <f aca="false">BU683*Parameter!$B$18</f>
        <v>5</v>
      </c>
      <c r="K683" s="63" t="n">
        <v>0</v>
      </c>
      <c r="L683" s="64" t="n">
        <v>0</v>
      </c>
      <c r="M683" s="62" t="n">
        <v>0</v>
      </c>
      <c r="N683" s="62" t="n">
        <v>1</v>
      </c>
      <c r="O683" s="65" t="n">
        <v>70</v>
      </c>
      <c r="P683" s="60" t="s">
        <v>210</v>
      </c>
      <c r="Q683" s="62"/>
      <c r="R683" s="65" t="n">
        <f aca="false">IF(CA683=1,0,IFERROR(VLOOKUP(BY683,'Gebinde-Kategorie'!$A$5:$N$45,13,0)+0,0))</f>
        <v>12</v>
      </c>
      <c r="S683" s="66"/>
      <c r="T683" s="67" t="s">
        <v>221</v>
      </c>
      <c r="U683" s="67"/>
      <c r="V683" s="67"/>
      <c r="W683" s="60"/>
      <c r="X683" s="62"/>
      <c r="Y683" s="62"/>
      <c r="Z683" s="60" t="n">
        <v>3</v>
      </c>
      <c r="AA683" s="60" t="n">
        <f aca="false">IF(A683="","",IF(AND(Parameter!$B$21="Ja",ISNUMBER(W683)),W683,IF(AND(Parameter!$E$27="Ja",ISNUMBER(Z683),CD683&lt;&gt;"Nein"),Z683,IF(CD683="2+3",IF(ISNUMBER(SEARCH("grosser Artikel",BV683)),2,IFERROR(VLOOKUP(BY683,Parameter!$F$35:$G$64,2,0),2)),IF(OR(CD683="Nein",CD683=""),"-",CD683)))))</f>
        <v>3</v>
      </c>
      <c r="AB683" s="67"/>
      <c r="AC683" s="68"/>
      <c r="AD683" s="62" t="n">
        <f aca="false">AW683</f>
        <v>4</v>
      </c>
      <c r="AE683" s="62" t="n">
        <f aca="false">MAX(AW683,H683)</f>
        <v>4</v>
      </c>
      <c r="AF683" s="69"/>
      <c r="AG683" s="62" t="n">
        <f aca="false">IF(LEFT(Cockpit!$C$5,1)="A",H683,IF(Parameter!$E$30="MAX-Bestand",IF(CI683=1,CJ683,IF(LEFT(Cockpit!$C$5,1)="B",AM683,MAX(AM683,H683))),ROUNDUP(AK683,0)))</f>
        <v>0</v>
      </c>
      <c r="AH683" s="62" t="n">
        <f aca="false">IF(CA683=1,0,ROUNDUP(AG683/BZ683,0))</f>
        <v>0</v>
      </c>
      <c r="AI683" s="64" t="n">
        <f aca="false">IF(CR683&gt;0,CR683*MAX(1,AG683/X683),IF(CA683=1,IF(AG683&lt;=0,0,CE683*MAX(1,IF(H683&gt;0,AG683/H683,1))),IF(R683&gt;0,AH683/R683,0))/MAX(0.1,N(Parameter!$M$21)))</f>
        <v>0</v>
      </c>
      <c r="AJ683" s="62" t="n">
        <f aca="false">AI683*CC683</f>
        <v>0</v>
      </c>
      <c r="AK683" s="63" t="n">
        <f aca="false">IF(LEFT(Cockpit!$C$5,1)="A",H683,IF(CI683=1,(CL683+CJ683)/2,IF(LEFT(Cockpit!$C$5,1)="B",(CL683+AM683)/2,MAX((CL683+AM683)/2,H683))))</f>
        <v>0</v>
      </c>
      <c r="AL683" s="62" t="n">
        <f aca="false">AK683*G683</f>
        <v>0</v>
      </c>
      <c r="AM683" s="62" t="n">
        <f aca="false">ROUNDUP(CL683+MAX(CM683,2*(J683/IF(CH683&gt;0,CH683,MAX(0.1,N(Cockpit!$C$6)))-CL683)),0)</f>
        <v>4</v>
      </c>
      <c r="AN683" s="63" t="n">
        <f aca="false">IF(AJ683&gt;0,J683/AJ683,-1)</f>
        <v>-1</v>
      </c>
      <c r="AO683" s="63" t="str">
        <f aca="false">IF(AND(OR(CG683="L1",CG683="L23",CG683="LIFT"),AJ683&gt;0),SUMIFS($AJ$7:$AJ$1843,$CG$7:$CG$1843,CG683,$AN$7:$AN$1843,"&gt;"&amp;AN683)+SUMIFS($AJ$7:$AJ$1843,$CG$7:$CG$1843,CG683,$AN$7:$AN$1843,AN683,$BX$7:$BX$1843,"&lt;="&amp;BX683),"")</f>
        <v/>
      </c>
      <c r="AP683" s="70" t="n">
        <f aca="false">IF(AO683="",0,MAX(0,MIN(1,(IF(CG683="L1",Parameter!$H$5,IF(CG683="L23",Parameter!$H$6+Parameter!$H$7,Parameter!$H$5+Parameter!$H$6+Parameter!$H$7))-(AO683-AJ683))/AJ683)))</f>
        <v>0</v>
      </c>
      <c r="AQ683" s="62" t="n">
        <f aca="false">IF(LEFT(Cockpit!$I$5,1)="A",H683,IF(Parameter!$E$30="MAX-Bestand",IF(CI683=1,CJ683,IF(LEFT(Cockpit!$I$5,1)="B",AW683,MAX(AW683,H683))),ROUNDUP(AU683,0)))</f>
        <v>2</v>
      </c>
      <c r="AR683" s="62" t="n">
        <f aca="false">IF(CA683=1,0,ROUNDUP(AQ683/BZ683,0))</f>
        <v>1</v>
      </c>
      <c r="AS683" s="64" t="n">
        <f aca="false">IF(CR683&gt;0,CR683*MAX(1,AQ683/X683),IF(CA683=1,IF(AQ683&lt;=0,0,CE683*MAX(1,IF(H683&gt;0,AQ683/H683,1))),IF(R683&gt;0,AR683/R683,0))/MAX(0.1,N(Parameter!$M$21)))</f>
        <v>0.0833333333333333</v>
      </c>
      <c r="AT683" s="62" t="n">
        <f aca="false">AS683*CC683</f>
        <v>12.0833333333333</v>
      </c>
      <c r="AU683" s="63" t="n">
        <f aca="false">IF(LEFT(Cockpit!$I$5,1)="A",H683,IF(CI683=1,(CL683+CJ683)/2,IF(LEFT(Cockpit!$I$5,1)="B",(CL683+AW683)/2,MAX((CL683+AW683)/2,H683))))</f>
        <v>2</v>
      </c>
      <c r="AV683" s="62" t="n">
        <f aca="false">AU683*G683</f>
        <v>9018.94</v>
      </c>
      <c r="AW683" s="62" t="n">
        <f aca="false">ROUNDUP(CL683+MAX(CM683,2*(J683/IF(CH683&gt;0,CH683,MAX(0.1,N(Cockpit!$I$6)))-CL683)),0)</f>
        <v>4</v>
      </c>
      <c r="AX683" s="63" t="n">
        <f aca="false">IF(AT683&gt;0,J683/AT683,-1)</f>
        <v>0.413793103448276</v>
      </c>
      <c r="AY683" s="63" t="n">
        <f aca="false">IF(AND(OR(CG683="L1",CG683="L23",CG683="LIFT"),AT683&gt;0),SUMIFS($AT$7:$AT$1843,$CG$7:$CG$1843,CG683,$AX$7:$AX$1843,"&gt;"&amp;AX683)+SUMIFS($AT$7:$AT$1843,$CG$7:$CG$1843,CG683,$AX$7:$AX$1843,AX683,$BX$7:$BX$1843,"&lt;="&amp;BX683),"")</f>
        <v>12470.766025641</v>
      </c>
      <c r="AZ683" s="70" t="n">
        <f aca="false">IF(AY683="",0,MAX(0,MIN(1,(IF(CG683="L1",Parameter!$H$5,IF(CG683="L23",Parameter!$H$6+Parameter!$H$7,Parameter!$H$5+Parameter!$H$6+Parameter!$H$7))-(AY683-AT683))/AT683)))</f>
        <v>1</v>
      </c>
      <c r="BA683" s="62" t="n">
        <f aca="false">IF(LEFT(Cockpit!$O$5,1)="A",H683,IF(Parameter!$E$30="MAX-Bestand",IF(CI683=1,CJ683,IF(LEFT(Cockpit!$O$5,1)="B",BG683,MAX(BG683,H683))),ROUNDUP(BE683,0)))</f>
        <v>2</v>
      </c>
      <c r="BB683" s="62" t="n">
        <f aca="false">IF(CA683=1,0,ROUNDUP(BA683/BZ683,0))</f>
        <v>1</v>
      </c>
      <c r="BC683" s="64" t="n">
        <f aca="false">IF(CR683&gt;0,CR683*MAX(1,BA683/X683),IF(CA683=1,IF(BA683&lt;=0,0,CE683*MAX(1,IF(H683&gt;0,BA683/H683,1))),IF(R683&gt;0,BB683/R683,0))/MAX(0.1,N(Parameter!$M$21)))</f>
        <v>0.0833333333333333</v>
      </c>
      <c r="BD683" s="62" t="n">
        <f aca="false">BC683*CC683</f>
        <v>12.0833333333333</v>
      </c>
      <c r="BE683" s="63" t="n">
        <f aca="false">IF(LEFT(Cockpit!$O$5,1)="A",H683,IF(CI683=1,(CL683+CJ683)/2,IF(LEFT(Cockpit!$O$5,1)="B",(CL683+BG683)/2,MAX((CL683+BG683)/2,H683))))</f>
        <v>1.5</v>
      </c>
      <c r="BF683" s="62" t="n">
        <f aca="false">BE683*G683</f>
        <v>6764.205</v>
      </c>
      <c r="BG683" s="62" t="n">
        <f aca="false">ROUNDUP(CL683+MAX(CM683,2*(J683/IF(CH683&gt;0,CH683,MAX(0.1,N(Cockpit!$O$6)))-CL683)),0)</f>
        <v>3</v>
      </c>
      <c r="BH683" s="63" t="n">
        <f aca="false">IF(BD683&gt;0,J683/BD683,-1)</f>
        <v>0.413793103448276</v>
      </c>
      <c r="BI683" s="63" t="n">
        <f aca="false">IF(AND(OR(CG683="L1",CG683="L23",CG683="LIFT"),BD683&gt;0),SUMIFS($BD$7:$BD$1843,$CG$7:$CG$1843,CG683,$BH$7:$BH$1843,"&gt;"&amp;BH683)+SUMIFS($BD$7:$BD$1843,$CG$7:$CG$1843,CG683,$BH$7:$BH$1843,BH683,$BX$7:$BX$1843,"&lt;="&amp;BX683),"")</f>
        <v>10691.0196886447</v>
      </c>
      <c r="BJ683" s="70" t="n">
        <f aca="false">IF(BI683="",0,MAX(0,MIN(1,(IF(CG683="L1",Parameter!$H$5,IF(CG683="L23",Parameter!$H$6+Parameter!$H$7,Parameter!$H$5+Parameter!$H$6+Parameter!$H$7))-(BI683-BD683))/BD683)))</f>
        <v>1</v>
      </c>
      <c r="BK683" s="60" t="str">
        <f aca="false">IF(AJ683&lt;=0,"",IF(CG683="Aussen","Aussenlager",IF(CG683="-","Nicht im Lift",IF(AP683&gt;=1,"Lift",IF(AP683&lt;=0,"Aussenlager","teilweise")))))</f>
        <v/>
      </c>
      <c r="BL683" s="60" t="str">
        <f aca="false">IF(AT683&lt;=0,"",IF(CG683="Aussen","Aussenlager",IF(CG683="-","Nicht im Lift",IF(AZ683&gt;=1,"Lift",IF(AZ683&lt;=0,"Aussenlager","teilweise")))))</f>
        <v>Lift</v>
      </c>
      <c r="BM683" s="60" t="str">
        <f aca="false">IF(BD683&lt;=0,"",IF(CG683="Aussen","Aussenlager",IF(CG683="-","Nicht im Lift",IF(BJ683&gt;=1,"Lift",IF(BJ683&lt;=0,"Aussenlager","teilweise")))))</f>
        <v>Lift</v>
      </c>
      <c r="BN683" s="60" t="str">
        <f aca="false">IF(A683="","",IF(BW683=1,"Neu; ","")&amp;IF(AND(BW683=0,BR683&lt;0),"negativer Bestand (Export "&amp;BR683&amp;"); ","")&amp;IF(J683&lt;=0,"Kein Verbrauch; ","")&amp;IF(CR683&gt;0,"Lift "&amp;W683&amp;" lt. Liftbericht (Fach "&amp;X683&amp;" Stk); ",IF(CB683=1,"Gebinde geschätzt ("&amp;T683&amp;"); ",IF(CA683=1,"Lose – Tablare geschätzt; ","")))&amp;IF(H683&gt;AW683,"Überbestand "&amp;ROUND(H683-AW683,0)&amp;" Stk / CHF "&amp;ROUND((H683-AW683)*G683,0)&amp;"; ","")&amp;IF(AND(CI683=1,CJ683&lt;CK683),"MAX &lt; MB+LG; ","")&amp;IF(AND(CQ683&gt;0,CP683*10&gt;CQ683),"zu hoch für Tablar; ","")&amp;IF(AND(BW683=0,OR(CI683=1,AB683&lt;&gt;"",U683&lt;&gt;"",V683&lt;&gt;"",AC683&lt;&gt;"")),"manuell übersteuert; ","")&amp;IF(AND(CA683=0,R683=0),"Gebinde unbekannt / Stellmass fehlt; ","")&amp;IF(AND(CA683=0,N(V683)&lt;=0,N(Q683)&lt;=0),"Menge pro Gebinde fehlt (Ist = 1 Gebinde); ","")&amp;BV683)</f>
        <v>Gebinde geschätzt (Mittel); Menge pro Gebinde fehlt (Ist = 1 Gebinde); </v>
      </c>
      <c r="BO683" s="60"/>
      <c r="BP683" s="60"/>
      <c r="BQ683" s="67"/>
      <c r="BR683" s="62" t="n">
        <v>0</v>
      </c>
      <c r="BS683" s="62" t="n">
        <v>0</v>
      </c>
      <c r="BT683" s="61" t="n">
        <v>0</v>
      </c>
      <c r="BU683" s="62" t="n">
        <v>5</v>
      </c>
      <c r="BV683" s="60"/>
      <c r="BW683" s="65" t="n">
        <v>0</v>
      </c>
      <c r="BX683" s="65" t="n">
        <v>683</v>
      </c>
      <c r="BY683" s="60" t="str">
        <f aca="false">IF(U683&lt;&gt;"",UPPER(TRIM(U683)),IF(CB683=1,UPPER(VLOOKUP(T683,Parameter!$I$27:$K$29,2,0)),IF(P683="","LOSE",P683)))</f>
        <v>S61</v>
      </c>
      <c r="BZ683" s="62" t="n">
        <f aca="false">IF(BY683="LOSE",1,IF(N(V683)&gt;0,V683,IF(CB683=1,MAX(1,N(VLOOKUP(T683,Parameter!$I$27:$K$29,3,0)),H683,N(N683)),IF(N(Q683)&gt;0,Q683,MAX(1,H683)))))</f>
        <v>4</v>
      </c>
      <c r="CA683" s="65" t="n">
        <f aca="false">IF(BY683="LOSE",1,0)</f>
        <v>0</v>
      </c>
      <c r="CB683" s="65" t="n">
        <f aca="false">IF(AND(U683="",OR(P683="",P683="LOSE"),T683&lt;&gt;"",N(S683)&lt;=0,ISNUMBER(MATCH(T683,Parameter!$I$27:$I$29,0))),1,0)</f>
        <v>1</v>
      </c>
      <c r="CC683" s="65" t="n">
        <f aca="false">IF(CR683&gt;0,INDEX(Parameter!$H$5:$H$7,W683)/INDEX(Parameter!$E$5:$E$7,W683),IF(AND(CA683=0,N(IFERROR(VLOOKUP(BY683,'Gebinde-Kategorie'!$A$5:$N$45,14,0),0))&gt;0),VLOOKUP(BY683,'Gebinde-Kategorie'!$A$5:$N$45,14,0)*10+Parameter!$M$23,Parameter!$M$24))</f>
        <v>145</v>
      </c>
      <c r="CD683" s="60" t="str">
        <f aca="false">IF(AND(Parameter!$B$19="Ja",E683&lt;&gt;"",ISNUMBER(MATCH(E683,Parameter!$I$35:$I$52,0))),VLOOKUP(E683,Parameter!$I$35:$J$52,2,0),IFERROR(VLOOKUP(D683,Parameter!$A$35:$C$64,2,0),"Nein"))</f>
        <v>2+3</v>
      </c>
      <c r="CE683" s="64" t="n">
        <f aca="false">IF(CA683=0,0,IF(N(S683)&gt;0,S683,IFERROR(VLOOKUP(D683,Parameter!$A$35:$C$64,3,0)+0,0)))</f>
        <v>0</v>
      </c>
      <c r="CF683" s="60" t="n">
        <f aca="false">IF(AB683&lt;&gt;"",AB683,AA683)</f>
        <v>3</v>
      </c>
      <c r="CG683" s="60" t="str">
        <f aca="false">IF(OR(CF683=1,CF683=2,CF683=3),IF(Parameter!$E$27="Ja","LIFT",IF(CF683=1,"L1","L23")),IF(CF683="Aussen","Aussen","-"))</f>
        <v>LIFT</v>
      </c>
      <c r="CH683" s="71" t="n">
        <f aca="false">IF(N(AC683)&gt;0,AC683,0)</f>
        <v>0</v>
      </c>
      <c r="CI683" s="65" t="n">
        <f aca="false">IF(ISNUMBER(AF683),1,0)</f>
        <v>0</v>
      </c>
      <c r="CJ683" s="62" t="n">
        <f aca="false">N(AF683)</f>
        <v>0</v>
      </c>
      <c r="CK683" s="62" t="n">
        <f aca="false">N(M683)+N(N683)</f>
        <v>1</v>
      </c>
      <c r="CL683" s="62" t="n">
        <f aca="false">N(M683)</f>
        <v>0</v>
      </c>
      <c r="CM683" s="62" t="n">
        <f aca="false">N(N683)</f>
        <v>1</v>
      </c>
      <c r="CN683" s="62" t="n">
        <f aca="false">ROUNDUP(H683/BZ683,0)</f>
        <v>0</v>
      </c>
      <c r="CO683" s="62" t="n">
        <f aca="false">ROUNDUP(CJ683/BZ683,0)</f>
        <v>0</v>
      </c>
      <c r="CP683" s="65" t="n">
        <f aca="false">IF(CA683=1,0,IFERROR(VLOOKUP(BY683,'Gebinde-Kategorie'!$A$5:$N$45,5,0)+0,0))</f>
        <v>11</v>
      </c>
      <c r="CQ683" s="65" t="n">
        <f aca="false">IFERROR(IF(OR(CF683=1,CF683=2,CF683=3),N(INDEX(Parameter!$I$5:$I$7,CF683)),0),0)</f>
        <v>0</v>
      </c>
      <c r="CR683" s="64" t="n">
        <f aca="false">IF(AND(Parameter!$B$21="Ja",ISNUMBER(W683),N(X683)&gt;0),IFERROR(N(INDEX(Parameter!$L$5:$L$7,W683))*INDEX(Parameter!$E$5:$E$7,W683)*X683/SUMIFS($X$7:$X$1843,$W$7:$W$1843,W683),0),0)</f>
        <v>0</v>
      </c>
      <c r="CS683" s="62" t="str">
        <f aca="false">IF(AND(OR(CG683="L1",CG683="L23",CG683="LIFT"),H683&gt;0),CC683*IF(CR683&gt;0,CR683*MAX(1,H683/X683),IF(CA683=1,CE683,IF(R683&gt;0,CN683/R683,0))/MAX(0.1,N(Parameter!$M$21))),"")</f>
        <v/>
      </c>
      <c r="CT683" s="64" t="str">
        <f aca="false">IF(CS683="","",J683/H683)</f>
        <v/>
      </c>
      <c r="CU683" s="62" t="str">
        <f aca="false">IF(CS683="","",H683*G683)</f>
        <v/>
      </c>
      <c r="CV683" s="63" t="str">
        <f aca="false">IF(CS683="","",(CL683+ROUNDUP(CL683+MAX(CM683,2*(J683/MAX(0.1,N(Einkauf!$C$6))-CL683)),0))/2)</f>
        <v/>
      </c>
      <c r="CW683" s="62" t="str">
        <f aca="false">IF(CS683="","",MAX(0,H683-CV683)*G683)</f>
        <v/>
      </c>
      <c r="CX683" s="62" t="str">
        <f aca="false">IF(CS683="","",CS683*MAX(0,1-CV683/H683))</f>
        <v/>
      </c>
      <c r="CY683" s="64" t="str">
        <f aca="false">IF(CS683="","",PERCENTRANK($CS$7:$CS$1843,CS683)+PERCENTRANK($CU$7:$CU$1843,CU683)+1-PERCENTRANK($CT$7:$CT$1843,CT683))</f>
        <v/>
      </c>
      <c r="CZ683" s="72" t="str">
        <f aca="false">IF(CS683="","",CHOOSE(MATCH(Einkauf!$C$5,Parameter!$G$23:$G$27,0),CY683,CS683,CU683,-CT683,CW683)+ROW()/1000000000)</f>
        <v/>
      </c>
    </row>
    <row r="684" customFormat="false" ht="15" hidden="false" customHeight="false" outlineLevel="0" collapsed="false">
      <c r="A684" s="60" t="s">
        <v>1412</v>
      </c>
      <c r="B684" s="60" t="s">
        <v>1413</v>
      </c>
      <c r="C684" s="60" t="s">
        <v>206</v>
      </c>
      <c r="D684" s="60" t="s">
        <v>892</v>
      </c>
      <c r="E684" s="60"/>
      <c r="F684" s="60" t="s">
        <v>260</v>
      </c>
      <c r="G684" s="61" t="n">
        <v>159</v>
      </c>
      <c r="H684" s="62" t="n">
        <f aca="false">MAX(0,IF(AND(Parameter!$B$21="Ja",ISNUMBER(Y684)),Y684,IF(Parameter!$B$20="Jahresanfang 2025 + Export",BS684+BR684,BR684)))</f>
        <v>0</v>
      </c>
      <c r="I684" s="62" t="n">
        <f aca="false">H684*G684</f>
        <v>0</v>
      </c>
      <c r="J684" s="62" t="n">
        <f aca="false">BU684*Parameter!$B$18</f>
        <v>0</v>
      </c>
      <c r="K684" s="63" t="n">
        <v>0</v>
      </c>
      <c r="L684" s="64" t="n">
        <v>0</v>
      </c>
      <c r="M684" s="62" t="n">
        <v>0</v>
      </c>
      <c r="N684" s="62" t="n">
        <v>1</v>
      </c>
      <c r="O684" s="65" t="n">
        <v>0</v>
      </c>
      <c r="P684" s="60" t="s">
        <v>210</v>
      </c>
      <c r="Q684" s="62"/>
      <c r="R684" s="65" t="n">
        <f aca="false">IF(CA684=1,0,IFERROR(VLOOKUP(BY684,'Gebinde-Kategorie'!$A$5:$N$45,13,0)+0,0))</f>
        <v>0</v>
      </c>
      <c r="S684" s="66"/>
      <c r="T684" s="67"/>
      <c r="U684" s="67"/>
      <c r="V684" s="67"/>
      <c r="W684" s="60"/>
      <c r="X684" s="62"/>
      <c r="Y684" s="62"/>
      <c r="Z684" s="60"/>
      <c r="AA684" s="60" t="str">
        <f aca="false">IF(A684="","",IF(AND(Parameter!$B$21="Ja",ISNUMBER(W684)),W684,IF(AND(Parameter!$E$27="Ja",ISNUMBER(Z684),CD684&lt;&gt;"Nein"),Z684,IF(CD684="2+3",IF(ISNUMBER(SEARCH("grosser Artikel",BV684)),2,IFERROR(VLOOKUP(BY684,Parameter!$F$35:$G$64,2,0),2)),IF(OR(CD684="Nein",CD684=""),"-",CD684)))))</f>
        <v>-</v>
      </c>
      <c r="AB684" s="67"/>
      <c r="AC684" s="68"/>
      <c r="AD684" s="62" t="n">
        <f aca="false">AW684</f>
        <v>1</v>
      </c>
      <c r="AE684" s="62" t="n">
        <f aca="false">MAX(AW684,H684)</f>
        <v>1</v>
      </c>
      <c r="AF684" s="69"/>
      <c r="AG684" s="62" t="n">
        <f aca="false">IF(LEFT(Cockpit!$C$5,1)="A",H684,IF(Parameter!$E$30="MAX-Bestand",IF(CI684=1,CJ684,IF(LEFT(Cockpit!$C$5,1)="B",AM684,MAX(AM684,H684))),ROUNDUP(AK684,0)))</f>
        <v>0</v>
      </c>
      <c r="AH684" s="62" t="n">
        <f aca="false">IF(CA684=1,0,ROUNDUP(AG684/BZ684,0))</f>
        <v>0</v>
      </c>
      <c r="AI684" s="64" t="n">
        <f aca="false">IF(CR684&gt;0,CR684*MAX(1,AG684/X684),IF(CA684=1,IF(AG684&lt;=0,0,CE684*MAX(1,IF(H684&gt;0,AG684/H684,1))),IF(R684&gt;0,AH684/R684,0))/MAX(0.1,N(Parameter!$M$21)))</f>
        <v>0</v>
      </c>
      <c r="AJ684" s="62" t="n">
        <f aca="false">AI684*CC684</f>
        <v>0</v>
      </c>
      <c r="AK684" s="63" t="n">
        <f aca="false">IF(LEFT(Cockpit!$C$5,1)="A",H684,IF(CI684=1,(CL684+CJ684)/2,IF(LEFT(Cockpit!$C$5,1)="B",(CL684+AM684)/2,MAX((CL684+AM684)/2,H684))))</f>
        <v>0</v>
      </c>
      <c r="AL684" s="62" t="n">
        <f aca="false">AK684*G684</f>
        <v>0</v>
      </c>
      <c r="AM684" s="62" t="n">
        <f aca="false">ROUNDUP(CL684+MAX(CM684,2*(J684/IF(CH684&gt;0,CH684,MAX(0.1,N(Cockpit!$C$6)))-CL684)),0)</f>
        <v>1</v>
      </c>
      <c r="AN684" s="63" t="n">
        <f aca="false">IF(AJ684&gt;0,J684/AJ684,-1)</f>
        <v>-1</v>
      </c>
      <c r="AO684" s="63" t="str">
        <f aca="false">IF(AND(OR(CG684="L1",CG684="L23",CG684="LIFT"),AJ684&gt;0),SUMIFS($AJ$7:$AJ$1843,$CG$7:$CG$1843,CG684,$AN$7:$AN$1843,"&gt;"&amp;AN684)+SUMIFS($AJ$7:$AJ$1843,$CG$7:$CG$1843,CG684,$AN$7:$AN$1843,AN684,$BX$7:$BX$1843,"&lt;="&amp;BX684),"")</f>
        <v/>
      </c>
      <c r="AP684" s="70" t="n">
        <f aca="false">IF(AO684="",0,MAX(0,MIN(1,(IF(CG684="L1",Parameter!$H$5,IF(CG684="L23",Parameter!$H$6+Parameter!$H$7,Parameter!$H$5+Parameter!$H$6+Parameter!$H$7))-(AO684-AJ684))/AJ684)))</f>
        <v>0</v>
      </c>
      <c r="AQ684" s="62" t="n">
        <f aca="false">IF(LEFT(Cockpit!$I$5,1)="A",H684,IF(Parameter!$E$30="MAX-Bestand",IF(CI684=1,CJ684,IF(LEFT(Cockpit!$I$5,1)="B",AW684,MAX(AW684,H684))),ROUNDUP(AU684,0)))</f>
        <v>1</v>
      </c>
      <c r="AR684" s="62" t="n">
        <f aca="false">IF(CA684=1,0,ROUNDUP(AQ684/BZ684,0))</f>
        <v>0</v>
      </c>
      <c r="AS684" s="64" t="n">
        <f aca="false">IF(CR684&gt;0,CR684*MAX(1,AQ684/X684),IF(CA684=1,IF(AQ684&lt;=0,0,CE684*MAX(1,IF(H684&gt;0,AQ684/H684,1))),IF(R684&gt;0,AR684/R684,0))/MAX(0.1,N(Parameter!$M$21)))</f>
        <v>0.15</v>
      </c>
      <c r="AT684" s="62" t="n">
        <f aca="false">AS684*CC684</f>
        <v>35.25</v>
      </c>
      <c r="AU684" s="63" t="n">
        <f aca="false">IF(LEFT(Cockpit!$I$5,1)="A",H684,IF(CI684=1,(CL684+CJ684)/2,IF(LEFT(Cockpit!$I$5,1)="B",(CL684+AW684)/2,MAX((CL684+AW684)/2,H684))))</f>
        <v>0.5</v>
      </c>
      <c r="AV684" s="62" t="n">
        <f aca="false">AU684*G684</f>
        <v>79.5</v>
      </c>
      <c r="AW684" s="62" t="n">
        <f aca="false">ROUNDUP(CL684+MAX(CM684,2*(J684/IF(CH684&gt;0,CH684,MAX(0.1,N(Cockpit!$I$6)))-CL684)),0)</f>
        <v>1</v>
      </c>
      <c r="AX684" s="63" t="n">
        <f aca="false">IF(AT684&gt;0,J684/AT684,-1)</f>
        <v>0</v>
      </c>
      <c r="AY684" s="63" t="str">
        <f aca="false">IF(AND(OR(CG684="L1",CG684="L23",CG684="LIFT"),AT684&gt;0),SUMIFS($AT$7:$AT$1843,$CG$7:$CG$1843,CG684,$AX$7:$AX$1843,"&gt;"&amp;AX684)+SUMIFS($AT$7:$AT$1843,$CG$7:$CG$1843,CG684,$AX$7:$AX$1843,AX684,$BX$7:$BX$1843,"&lt;="&amp;BX684),"")</f>
        <v/>
      </c>
      <c r="AZ684" s="70" t="n">
        <f aca="false">IF(AY684="",0,MAX(0,MIN(1,(IF(CG684="L1",Parameter!$H$5,IF(CG684="L23",Parameter!$H$6+Parameter!$H$7,Parameter!$H$5+Parameter!$H$6+Parameter!$H$7))-(AY684-AT684))/AT684)))</f>
        <v>0</v>
      </c>
      <c r="BA684" s="62" t="n">
        <f aca="false">IF(LEFT(Cockpit!$O$5,1)="A",H684,IF(Parameter!$E$30="MAX-Bestand",IF(CI684=1,CJ684,IF(LEFT(Cockpit!$O$5,1)="B",BG684,MAX(BG684,H684))),ROUNDUP(BE684,0)))</f>
        <v>1</v>
      </c>
      <c r="BB684" s="62" t="n">
        <f aca="false">IF(CA684=1,0,ROUNDUP(BA684/BZ684,0))</f>
        <v>0</v>
      </c>
      <c r="BC684" s="64" t="n">
        <f aca="false">IF(CR684&gt;0,CR684*MAX(1,BA684/X684),IF(CA684=1,IF(BA684&lt;=0,0,CE684*MAX(1,IF(H684&gt;0,BA684/H684,1))),IF(R684&gt;0,BB684/R684,0))/MAX(0.1,N(Parameter!$M$21)))</f>
        <v>0.15</v>
      </c>
      <c r="BD684" s="62" t="n">
        <f aca="false">BC684*CC684</f>
        <v>35.25</v>
      </c>
      <c r="BE684" s="63" t="n">
        <f aca="false">IF(LEFT(Cockpit!$O$5,1)="A",H684,IF(CI684=1,(CL684+CJ684)/2,IF(LEFT(Cockpit!$O$5,1)="B",(CL684+BG684)/2,MAX((CL684+BG684)/2,H684))))</f>
        <v>0.5</v>
      </c>
      <c r="BF684" s="62" t="n">
        <f aca="false">BE684*G684</f>
        <v>79.5</v>
      </c>
      <c r="BG684" s="62" t="n">
        <f aca="false">ROUNDUP(CL684+MAX(CM684,2*(J684/IF(CH684&gt;0,CH684,MAX(0.1,N(Cockpit!$O$6)))-CL684)),0)</f>
        <v>1</v>
      </c>
      <c r="BH684" s="63" t="n">
        <f aca="false">IF(BD684&gt;0,J684/BD684,-1)</f>
        <v>0</v>
      </c>
      <c r="BI684" s="63" t="str">
        <f aca="false">IF(AND(OR(CG684="L1",CG684="L23",CG684="LIFT"),BD684&gt;0),SUMIFS($BD$7:$BD$1843,$CG$7:$CG$1843,CG684,$BH$7:$BH$1843,"&gt;"&amp;BH684)+SUMIFS($BD$7:$BD$1843,$CG$7:$CG$1843,CG684,$BH$7:$BH$1843,BH684,$BX$7:$BX$1843,"&lt;="&amp;BX684),"")</f>
        <v/>
      </c>
      <c r="BJ684" s="70" t="n">
        <f aca="false">IF(BI684="",0,MAX(0,MIN(1,(IF(CG684="L1",Parameter!$H$5,IF(CG684="L23",Parameter!$H$6+Parameter!$H$7,Parameter!$H$5+Parameter!$H$6+Parameter!$H$7))-(BI684-BD684))/BD684)))</f>
        <v>0</v>
      </c>
      <c r="BK684" s="60" t="str">
        <f aca="false">IF(AJ684&lt;=0,"",IF(CG684="Aussen","Aussenlager",IF(CG684="-","Nicht im Lift",IF(AP684&gt;=1,"Lift",IF(AP684&lt;=0,"Aussenlager","teilweise")))))</f>
        <v/>
      </c>
      <c r="BL684" s="60" t="str">
        <f aca="false">IF(AT684&lt;=0,"",IF(CG684="Aussen","Aussenlager",IF(CG684="-","Nicht im Lift",IF(AZ684&gt;=1,"Lift",IF(AZ684&lt;=0,"Aussenlager","teilweise")))))</f>
        <v>Nicht im Lift</v>
      </c>
      <c r="BM684" s="60" t="str">
        <f aca="false">IF(BD684&lt;=0,"",IF(CG684="Aussen","Aussenlager",IF(CG684="-","Nicht im Lift",IF(BJ684&gt;=1,"Lift",IF(BJ684&lt;=0,"Aussenlager","teilweise")))))</f>
        <v>Nicht im Lift</v>
      </c>
      <c r="BN684" s="60" t="str">
        <f aca="false">IF(A684="","",IF(BW684=1,"Neu; ","")&amp;IF(AND(BW684=0,BR684&lt;0),"negativer Bestand (Export "&amp;BR684&amp;"); ","")&amp;IF(J684&lt;=0,"Kein Verbrauch; ","")&amp;IF(CR684&gt;0,"Lift "&amp;W684&amp;" lt. Liftbericht (Fach "&amp;X684&amp;" Stk); ",IF(CB684=1,"Gebinde geschätzt ("&amp;T684&amp;"); ",IF(CA684=1,"Lose – Tablare geschätzt; ","")))&amp;IF(H684&gt;AW684,"Überbestand "&amp;ROUND(H684-AW684,0)&amp;" Stk / CHF "&amp;ROUND((H684-AW684)*G684,0)&amp;"; ","")&amp;IF(AND(CI684=1,CJ684&lt;CK684),"MAX &lt; MB+LG; ","")&amp;IF(AND(CQ684&gt;0,CP684*10&gt;CQ684),"zu hoch für Tablar; ","")&amp;IF(AND(BW684=0,OR(CI684=1,AB684&lt;&gt;"",U684&lt;&gt;"",V684&lt;&gt;"",AC684&lt;&gt;"")),"manuell übersteuert; ","")&amp;IF(AND(CA684=0,R684=0),"Gebinde unbekannt / Stellmass fehlt; ","")&amp;IF(AND(CA684=0,N(V684)&lt;=0,N(Q684)&lt;=0),"Menge pro Gebinde fehlt (Ist = 1 Gebinde); ","")&amp;BV684)</f>
        <v>Kein Verbrauch; Lose – Tablare geschätzt; </v>
      </c>
      <c r="BO684" s="60"/>
      <c r="BP684" s="60"/>
      <c r="BQ684" s="67"/>
      <c r="BR684" s="62" t="n">
        <v>0</v>
      </c>
      <c r="BS684" s="62" t="n">
        <v>0</v>
      </c>
      <c r="BT684" s="61" t="n">
        <v>0</v>
      </c>
      <c r="BU684" s="62" t="n">
        <v>0</v>
      </c>
      <c r="BV684" s="60"/>
      <c r="BW684" s="65" t="n">
        <v>0</v>
      </c>
      <c r="BX684" s="65" t="n">
        <v>684</v>
      </c>
      <c r="BY684" s="60" t="str">
        <f aca="false">IF(U684&lt;&gt;"",UPPER(TRIM(U684)),IF(CB684=1,UPPER(VLOOKUP(T684,Parameter!$I$27:$K$29,2,0)),IF(P684="","LOSE",P684)))</f>
        <v>LOSE</v>
      </c>
      <c r="BZ684" s="62" t="n">
        <f aca="false">IF(BY684="LOSE",1,IF(N(V684)&gt;0,V684,IF(CB684=1,MAX(1,N(VLOOKUP(T684,Parameter!$I$27:$K$29,3,0)),H684,N(N684)),IF(N(Q684)&gt;0,Q684,MAX(1,H684)))))</f>
        <v>1</v>
      </c>
      <c r="CA684" s="65" t="n">
        <f aca="false">IF(BY684="LOSE",1,0)</f>
        <v>1</v>
      </c>
      <c r="CB684" s="65" t="n">
        <f aca="false">IF(AND(U684="",OR(P684="",P684="LOSE"),T684&lt;&gt;"",N(S684)&lt;=0,ISNUMBER(MATCH(T684,Parameter!$I$27:$I$29,0))),1,0)</f>
        <v>0</v>
      </c>
      <c r="CC684" s="65" t="n">
        <f aca="false">IF(CR684&gt;0,INDEX(Parameter!$H$5:$H$7,W684)/INDEX(Parameter!$E$5:$E$7,W684),IF(AND(CA684=0,N(IFERROR(VLOOKUP(BY684,'Gebinde-Kategorie'!$A$5:$N$45,14,0),0))&gt;0),VLOOKUP(BY684,'Gebinde-Kategorie'!$A$5:$N$45,14,0)*10+Parameter!$M$23,Parameter!$M$24))</f>
        <v>235</v>
      </c>
      <c r="CD684" s="60" t="str">
        <f aca="false">IF(AND(Parameter!$B$19="Ja",E684&lt;&gt;"",ISNUMBER(MATCH(E684,Parameter!$I$35:$I$52,0))),VLOOKUP(E684,Parameter!$I$35:$J$52,2,0),IFERROR(VLOOKUP(D684,Parameter!$A$35:$C$64,2,0),"Nein"))</f>
        <v>Nein</v>
      </c>
      <c r="CE684" s="64" t="n">
        <f aca="false">IF(CA684=0,0,IF(N(S684)&gt;0,S684,IFERROR(VLOOKUP(D684,Parameter!$A$35:$C$64,3,0)+0,0)))</f>
        <v>0.15</v>
      </c>
      <c r="CF684" s="60" t="str">
        <f aca="false">IF(AB684&lt;&gt;"",AB684,AA684)</f>
        <v>-</v>
      </c>
      <c r="CG684" s="60" t="str">
        <f aca="false">IF(OR(CF684=1,CF684=2,CF684=3),IF(Parameter!$E$27="Ja","LIFT",IF(CF684=1,"L1","L23")),IF(CF684="Aussen","Aussen","-"))</f>
        <v>-</v>
      </c>
      <c r="CH684" s="71" t="n">
        <f aca="false">IF(N(AC684)&gt;0,AC684,0)</f>
        <v>0</v>
      </c>
      <c r="CI684" s="65" t="n">
        <f aca="false">IF(ISNUMBER(AF684),1,0)</f>
        <v>0</v>
      </c>
      <c r="CJ684" s="62" t="n">
        <f aca="false">N(AF684)</f>
        <v>0</v>
      </c>
      <c r="CK684" s="62" t="n">
        <f aca="false">N(M684)+N(N684)</f>
        <v>1</v>
      </c>
      <c r="CL684" s="62" t="n">
        <f aca="false">N(M684)</f>
        <v>0</v>
      </c>
      <c r="CM684" s="62" t="n">
        <f aca="false">N(N684)</f>
        <v>1</v>
      </c>
      <c r="CN684" s="62" t="n">
        <f aca="false">ROUNDUP(H684/BZ684,0)</f>
        <v>0</v>
      </c>
      <c r="CO684" s="62" t="n">
        <f aca="false">ROUNDUP(CJ684/BZ684,0)</f>
        <v>0</v>
      </c>
      <c r="CP684" s="65" t="n">
        <f aca="false">IF(CA684=1,0,IFERROR(VLOOKUP(BY684,'Gebinde-Kategorie'!$A$5:$N$45,5,0)+0,0))</f>
        <v>0</v>
      </c>
      <c r="CQ684" s="65" t="n">
        <f aca="false">IFERROR(IF(OR(CF684=1,CF684=2,CF684=3),N(INDEX(Parameter!$I$5:$I$7,CF684)),0),0)</f>
        <v>0</v>
      </c>
      <c r="CR684" s="64" t="n">
        <f aca="false">IF(AND(Parameter!$B$21="Ja",ISNUMBER(W684),N(X684)&gt;0),IFERROR(N(INDEX(Parameter!$L$5:$L$7,W684))*INDEX(Parameter!$E$5:$E$7,W684)*X684/SUMIFS($X$7:$X$1843,$W$7:$W$1843,W684),0),0)</f>
        <v>0</v>
      </c>
      <c r="CS684" s="62" t="str">
        <f aca="false">IF(AND(OR(CG684="L1",CG684="L23",CG684="LIFT"),H684&gt;0),CC684*IF(CR684&gt;0,CR684*MAX(1,H684/X684),IF(CA684=1,CE684,IF(R684&gt;0,CN684/R684,0))/MAX(0.1,N(Parameter!$M$21))),"")</f>
        <v/>
      </c>
      <c r="CT684" s="64" t="str">
        <f aca="false">IF(CS684="","",J684/H684)</f>
        <v/>
      </c>
      <c r="CU684" s="62" t="str">
        <f aca="false">IF(CS684="","",H684*G684)</f>
        <v/>
      </c>
      <c r="CV684" s="63" t="str">
        <f aca="false">IF(CS684="","",(CL684+ROUNDUP(CL684+MAX(CM684,2*(J684/MAX(0.1,N(Einkauf!$C$6))-CL684)),0))/2)</f>
        <v/>
      </c>
      <c r="CW684" s="62" t="str">
        <f aca="false">IF(CS684="","",MAX(0,H684-CV684)*G684)</f>
        <v/>
      </c>
      <c r="CX684" s="62" t="str">
        <f aca="false">IF(CS684="","",CS684*MAX(0,1-CV684/H684))</f>
        <v/>
      </c>
      <c r="CY684" s="64" t="str">
        <f aca="false">IF(CS684="","",PERCENTRANK($CS$7:$CS$1843,CS684)+PERCENTRANK($CU$7:$CU$1843,CU684)+1-PERCENTRANK($CT$7:$CT$1843,CT684))</f>
        <v/>
      </c>
      <c r="CZ684" s="72" t="str">
        <f aca="false">IF(CS684="","",CHOOSE(MATCH(Einkauf!$C$5,Parameter!$G$23:$G$27,0),CY684,CS684,CU684,-CT684,CW684)+ROW()/1000000000)</f>
        <v/>
      </c>
    </row>
    <row r="685" customFormat="false" ht="15" hidden="false" customHeight="false" outlineLevel="0" collapsed="false">
      <c r="A685" s="60" t="s">
        <v>1414</v>
      </c>
      <c r="B685" s="60" t="s">
        <v>1415</v>
      </c>
      <c r="C685" s="60" t="s">
        <v>206</v>
      </c>
      <c r="D685" s="60" t="s">
        <v>1037</v>
      </c>
      <c r="E685" s="60"/>
      <c r="F685" s="60" t="s">
        <v>260</v>
      </c>
      <c r="G685" s="61" t="n">
        <v>3157.32</v>
      </c>
      <c r="H685" s="62" t="n">
        <f aca="false">MAX(0,IF(AND(Parameter!$B$21="Ja",ISNUMBER(Y685)),Y685,IF(Parameter!$B$20="Jahresanfang 2025 + Export",BS685+BR685,BR685)))</f>
        <v>0</v>
      </c>
      <c r="I685" s="62" t="n">
        <f aca="false">H685*G685</f>
        <v>0</v>
      </c>
      <c r="J685" s="62" t="n">
        <f aca="false">BU685*Parameter!$B$18</f>
        <v>3</v>
      </c>
      <c r="K685" s="63" t="n">
        <v>0</v>
      </c>
      <c r="L685" s="64" t="n">
        <v>0</v>
      </c>
      <c r="M685" s="62" t="n">
        <v>0</v>
      </c>
      <c r="N685" s="62" t="n">
        <v>1</v>
      </c>
      <c r="O685" s="65" t="n">
        <v>70</v>
      </c>
      <c r="P685" s="60" t="s">
        <v>210</v>
      </c>
      <c r="Q685" s="62"/>
      <c r="R685" s="65" t="n">
        <f aca="false">IF(CA685=1,0,IFERROR(VLOOKUP(BY685,'Gebinde-Kategorie'!$A$5:$N$45,13,0)+0,0))</f>
        <v>0</v>
      </c>
      <c r="S685" s="66"/>
      <c r="T685" s="67"/>
      <c r="U685" s="67"/>
      <c r="V685" s="67"/>
      <c r="W685" s="60"/>
      <c r="X685" s="62"/>
      <c r="Y685" s="62"/>
      <c r="Z685" s="60"/>
      <c r="AA685" s="60" t="str">
        <f aca="false">IF(A685="","",IF(AND(Parameter!$B$21="Ja",ISNUMBER(W685)),W685,IF(AND(Parameter!$E$27="Ja",ISNUMBER(Z685),CD685&lt;&gt;"Nein"),Z685,IF(CD685="2+3",IF(ISNUMBER(SEARCH("grosser Artikel",BV685)),2,IFERROR(VLOOKUP(BY685,Parameter!$F$35:$G$64,2,0),2)),IF(OR(CD685="Nein",CD685=""),"-",CD685)))))</f>
        <v>-</v>
      </c>
      <c r="AB685" s="67"/>
      <c r="AC685" s="68"/>
      <c r="AD685" s="62" t="n">
        <f aca="false">AW685</f>
        <v>2</v>
      </c>
      <c r="AE685" s="62" t="n">
        <f aca="false">MAX(AW685,H685)</f>
        <v>2</v>
      </c>
      <c r="AF685" s="69"/>
      <c r="AG685" s="62" t="n">
        <f aca="false">IF(LEFT(Cockpit!$C$5,1)="A",H685,IF(Parameter!$E$30="MAX-Bestand",IF(CI685=1,CJ685,IF(LEFT(Cockpit!$C$5,1)="B",AM685,MAX(AM685,H685))),ROUNDUP(AK685,0)))</f>
        <v>0</v>
      </c>
      <c r="AH685" s="62" t="n">
        <f aca="false">IF(CA685=1,0,ROUNDUP(AG685/BZ685,0))</f>
        <v>0</v>
      </c>
      <c r="AI685" s="64" t="n">
        <f aca="false">IF(CR685&gt;0,CR685*MAX(1,AG685/X685),IF(CA685=1,IF(AG685&lt;=0,0,CE685*MAX(1,IF(H685&gt;0,AG685/H685,1))),IF(R685&gt;0,AH685/R685,0))/MAX(0.1,N(Parameter!$M$21)))</f>
        <v>0</v>
      </c>
      <c r="AJ685" s="62" t="n">
        <f aca="false">AI685*CC685</f>
        <v>0</v>
      </c>
      <c r="AK685" s="63" t="n">
        <f aca="false">IF(LEFT(Cockpit!$C$5,1)="A",H685,IF(CI685=1,(CL685+CJ685)/2,IF(LEFT(Cockpit!$C$5,1)="B",(CL685+AM685)/2,MAX((CL685+AM685)/2,H685))))</f>
        <v>0</v>
      </c>
      <c r="AL685" s="62" t="n">
        <f aca="false">AK685*G685</f>
        <v>0</v>
      </c>
      <c r="AM685" s="62" t="n">
        <f aca="false">ROUNDUP(CL685+MAX(CM685,2*(J685/IF(CH685&gt;0,CH685,MAX(0.1,N(Cockpit!$C$6)))-CL685)),0)</f>
        <v>2</v>
      </c>
      <c r="AN685" s="63" t="n">
        <f aca="false">IF(AJ685&gt;0,J685/AJ685,-1)</f>
        <v>-1</v>
      </c>
      <c r="AO685" s="63" t="str">
        <f aca="false">IF(AND(OR(CG685="L1",CG685="L23",CG685="LIFT"),AJ685&gt;0),SUMIFS($AJ$7:$AJ$1843,$CG$7:$CG$1843,CG685,$AN$7:$AN$1843,"&gt;"&amp;AN685)+SUMIFS($AJ$7:$AJ$1843,$CG$7:$CG$1843,CG685,$AN$7:$AN$1843,AN685,$BX$7:$BX$1843,"&lt;="&amp;BX685),"")</f>
        <v/>
      </c>
      <c r="AP685" s="70" t="n">
        <f aca="false">IF(AO685="",0,MAX(0,MIN(1,(IF(CG685="L1",Parameter!$H$5,IF(CG685="L23",Parameter!$H$6+Parameter!$H$7,Parameter!$H$5+Parameter!$H$6+Parameter!$H$7))-(AO685-AJ685))/AJ685)))</f>
        <v>0</v>
      </c>
      <c r="AQ685" s="62" t="n">
        <f aca="false">IF(LEFT(Cockpit!$I$5,1)="A",H685,IF(Parameter!$E$30="MAX-Bestand",IF(CI685=1,CJ685,IF(LEFT(Cockpit!$I$5,1)="B",AW685,MAX(AW685,H685))),ROUNDUP(AU685,0)))</f>
        <v>1</v>
      </c>
      <c r="AR685" s="62" t="n">
        <f aca="false">IF(CA685=1,0,ROUNDUP(AQ685/BZ685,0))</f>
        <v>0</v>
      </c>
      <c r="AS685" s="64" t="n">
        <f aca="false">IF(CR685&gt;0,CR685*MAX(1,AQ685/X685),IF(CA685=1,IF(AQ685&lt;=0,0,CE685*MAX(1,IF(H685&gt;0,AQ685/H685,1))),IF(R685&gt;0,AR685/R685,0))/MAX(0.1,N(Parameter!$M$21)))</f>
        <v>0.15</v>
      </c>
      <c r="AT685" s="62" t="n">
        <f aca="false">AS685*CC685</f>
        <v>35.25</v>
      </c>
      <c r="AU685" s="63" t="n">
        <f aca="false">IF(LEFT(Cockpit!$I$5,1)="A",H685,IF(CI685=1,(CL685+CJ685)/2,IF(LEFT(Cockpit!$I$5,1)="B",(CL685+AW685)/2,MAX((CL685+AW685)/2,H685))))</f>
        <v>1</v>
      </c>
      <c r="AV685" s="62" t="n">
        <f aca="false">AU685*G685</f>
        <v>3157.32</v>
      </c>
      <c r="AW685" s="62" t="n">
        <f aca="false">ROUNDUP(CL685+MAX(CM685,2*(J685/IF(CH685&gt;0,CH685,MAX(0.1,N(Cockpit!$I$6)))-CL685)),0)</f>
        <v>2</v>
      </c>
      <c r="AX685" s="63" t="n">
        <f aca="false">IF(AT685&gt;0,J685/AT685,-1)</f>
        <v>0.0851063829787234</v>
      </c>
      <c r="AY685" s="63" t="str">
        <f aca="false">IF(AND(OR(CG685="L1",CG685="L23",CG685="LIFT"),AT685&gt;0),SUMIFS($AT$7:$AT$1843,$CG$7:$CG$1843,CG685,$AX$7:$AX$1843,"&gt;"&amp;AX685)+SUMIFS($AT$7:$AT$1843,$CG$7:$CG$1843,CG685,$AX$7:$AX$1843,AX685,$BX$7:$BX$1843,"&lt;="&amp;BX685),"")</f>
        <v/>
      </c>
      <c r="AZ685" s="70" t="n">
        <f aca="false">IF(AY685="",0,MAX(0,MIN(1,(IF(CG685="L1",Parameter!$H$5,IF(CG685="L23",Parameter!$H$6+Parameter!$H$7,Parameter!$H$5+Parameter!$H$6+Parameter!$H$7))-(AY685-AT685))/AT685)))</f>
        <v>0</v>
      </c>
      <c r="BA685" s="62" t="n">
        <f aca="false">IF(LEFT(Cockpit!$O$5,1)="A",H685,IF(Parameter!$E$30="MAX-Bestand",IF(CI685=1,CJ685,IF(LEFT(Cockpit!$O$5,1)="B",BG685,MAX(BG685,H685))),ROUNDUP(BE685,0)))</f>
        <v>1</v>
      </c>
      <c r="BB685" s="62" t="n">
        <f aca="false">IF(CA685=1,0,ROUNDUP(BA685/BZ685,0))</f>
        <v>0</v>
      </c>
      <c r="BC685" s="64" t="n">
        <f aca="false">IF(CR685&gt;0,CR685*MAX(1,BA685/X685),IF(CA685=1,IF(BA685&lt;=0,0,CE685*MAX(1,IF(H685&gt;0,BA685/H685,1))),IF(R685&gt;0,BB685/R685,0))/MAX(0.1,N(Parameter!$M$21)))</f>
        <v>0.15</v>
      </c>
      <c r="BD685" s="62" t="n">
        <f aca="false">BC685*CC685</f>
        <v>35.25</v>
      </c>
      <c r="BE685" s="63" t="n">
        <f aca="false">IF(LEFT(Cockpit!$O$5,1)="A",H685,IF(CI685=1,(CL685+CJ685)/2,IF(LEFT(Cockpit!$O$5,1)="B",(CL685+BG685)/2,MAX((CL685+BG685)/2,H685))))</f>
        <v>1</v>
      </c>
      <c r="BF685" s="62" t="n">
        <f aca="false">BE685*G685</f>
        <v>3157.32</v>
      </c>
      <c r="BG685" s="62" t="n">
        <f aca="false">ROUNDUP(CL685+MAX(CM685,2*(J685/IF(CH685&gt;0,CH685,MAX(0.1,N(Cockpit!$O$6)))-CL685)),0)</f>
        <v>2</v>
      </c>
      <c r="BH685" s="63" t="n">
        <f aca="false">IF(BD685&gt;0,J685/BD685,-1)</f>
        <v>0.0851063829787234</v>
      </c>
      <c r="BI685" s="63" t="str">
        <f aca="false">IF(AND(OR(CG685="L1",CG685="L23",CG685="LIFT"),BD685&gt;0),SUMIFS($BD$7:$BD$1843,$CG$7:$CG$1843,CG685,$BH$7:$BH$1843,"&gt;"&amp;BH685)+SUMIFS($BD$7:$BD$1843,$CG$7:$CG$1843,CG685,$BH$7:$BH$1843,BH685,$BX$7:$BX$1843,"&lt;="&amp;BX685),"")</f>
        <v/>
      </c>
      <c r="BJ685" s="70" t="n">
        <f aca="false">IF(BI685="",0,MAX(0,MIN(1,(IF(CG685="L1",Parameter!$H$5,IF(CG685="L23",Parameter!$H$6+Parameter!$H$7,Parameter!$H$5+Parameter!$H$6+Parameter!$H$7))-(BI685-BD685))/BD685)))</f>
        <v>0</v>
      </c>
      <c r="BK685" s="60" t="str">
        <f aca="false">IF(AJ685&lt;=0,"",IF(CG685="Aussen","Aussenlager",IF(CG685="-","Nicht im Lift",IF(AP685&gt;=1,"Lift",IF(AP685&lt;=0,"Aussenlager","teilweise")))))</f>
        <v/>
      </c>
      <c r="BL685" s="60" t="str">
        <f aca="false">IF(AT685&lt;=0,"",IF(CG685="Aussen","Aussenlager",IF(CG685="-","Nicht im Lift",IF(AZ685&gt;=1,"Lift",IF(AZ685&lt;=0,"Aussenlager","teilweise")))))</f>
        <v>Nicht im Lift</v>
      </c>
      <c r="BM685" s="60" t="str">
        <f aca="false">IF(BD685&lt;=0,"",IF(CG685="Aussen","Aussenlager",IF(CG685="-","Nicht im Lift",IF(BJ685&gt;=1,"Lift",IF(BJ685&lt;=0,"Aussenlager","teilweise")))))</f>
        <v>Nicht im Lift</v>
      </c>
      <c r="BN685" s="60" t="str">
        <f aca="false">IF(A685="","",IF(BW685=1,"Neu; ","")&amp;IF(AND(BW685=0,BR685&lt;0),"negativer Bestand (Export "&amp;BR685&amp;"); ","")&amp;IF(J685&lt;=0,"Kein Verbrauch; ","")&amp;IF(CR685&gt;0,"Lift "&amp;W685&amp;" lt. Liftbericht (Fach "&amp;X685&amp;" Stk); ",IF(CB685=1,"Gebinde geschätzt ("&amp;T685&amp;"); ",IF(CA685=1,"Lose – Tablare geschätzt; ","")))&amp;IF(H685&gt;AW685,"Überbestand "&amp;ROUND(H685-AW685,0)&amp;" Stk / CHF "&amp;ROUND((H685-AW685)*G685,0)&amp;"; ","")&amp;IF(AND(CI685=1,CJ685&lt;CK685),"MAX &lt; MB+LG; ","")&amp;IF(AND(CQ685&gt;0,CP685*10&gt;CQ685),"zu hoch für Tablar; ","")&amp;IF(AND(BW685=0,OR(CI685=1,AB685&lt;&gt;"",U685&lt;&gt;"",V685&lt;&gt;"",AC685&lt;&gt;"")),"manuell übersteuert; ","")&amp;IF(AND(CA685=0,R685=0),"Gebinde unbekannt / Stellmass fehlt; ","")&amp;IF(AND(CA685=0,N(V685)&lt;=0,N(Q685)&lt;=0),"Menge pro Gebinde fehlt (Ist = 1 Gebinde); ","")&amp;BV685)</f>
        <v>Lose – Tablare geschätzt; </v>
      </c>
      <c r="BO685" s="60"/>
      <c r="BP685" s="60"/>
      <c r="BQ685" s="67"/>
      <c r="BR685" s="62" t="n">
        <v>0</v>
      </c>
      <c r="BS685" s="62" t="n">
        <v>0</v>
      </c>
      <c r="BT685" s="61" t="n">
        <v>0</v>
      </c>
      <c r="BU685" s="62" t="n">
        <v>3</v>
      </c>
      <c r="BV685" s="60"/>
      <c r="BW685" s="65" t="n">
        <v>0</v>
      </c>
      <c r="BX685" s="65" t="n">
        <v>685</v>
      </c>
      <c r="BY685" s="60" t="str">
        <f aca="false">IF(U685&lt;&gt;"",UPPER(TRIM(U685)),IF(CB685=1,UPPER(VLOOKUP(T685,Parameter!$I$27:$K$29,2,0)),IF(P685="","LOSE",P685)))</f>
        <v>LOSE</v>
      </c>
      <c r="BZ685" s="62" t="n">
        <f aca="false">IF(BY685="LOSE",1,IF(N(V685)&gt;0,V685,IF(CB685=1,MAX(1,N(VLOOKUP(T685,Parameter!$I$27:$K$29,3,0)),H685,N(N685)),IF(N(Q685)&gt;0,Q685,MAX(1,H685)))))</f>
        <v>1</v>
      </c>
      <c r="CA685" s="65" t="n">
        <f aca="false">IF(BY685="LOSE",1,0)</f>
        <v>1</v>
      </c>
      <c r="CB685" s="65" t="n">
        <f aca="false">IF(AND(U685="",OR(P685="",P685="LOSE"),T685&lt;&gt;"",N(S685)&lt;=0,ISNUMBER(MATCH(T685,Parameter!$I$27:$I$29,0))),1,0)</f>
        <v>0</v>
      </c>
      <c r="CC685" s="65" t="n">
        <f aca="false">IF(CR685&gt;0,INDEX(Parameter!$H$5:$H$7,W685)/INDEX(Parameter!$E$5:$E$7,W685),IF(AND(CA685=0,N(IFERROR(VLOOKUP(BY685,'Gebinde-Kategorie'!$A$5:$N$45,14,0),0))&gt;0),VLOOKUP(BY685,'Gebinde-Kategorie'!$A$5:$N$45,14,0)*10+Parameter!$M$23,Parameter!$M$24))</f>
        <v>235</v>
      </c>
      <c r="CD685" s="60" t="str">
        <f aca="false">IF(AND(Parameter!$B$19="Ja",E685&lt;&gt;"",ISNUMBER(MATCH(E685,Parameter!$I$35:$I$52,0))),VLOOKUP(E685,Parameter!$I$35:$J$52,2,0),IFERROR(VLOOKUP(D685,Parameter!$A$35:$C$64,2,0),"Nein"))</f>
        <v>Nein</v>
      </c>
      <c r="CE685" s="64" t="n">
        <f aca="false">IF(CA685=0,0,IF(N(S685)&gt;0,S685,IFERROR(VLOOKUP(D685,Parameter!$A$35:$C$64,3,0)+0,0)))</f>
        <v>0.15</v>
      </c>
      <c r="CF685" s="60" t="str">
        <f aca="false">IF(AB685&lt;&gt;"",AB685,AA685)</f>
        <v>-</v>
      </c>
      <c r="CG685" s="60" t="str">
        <f aca="false">IF(OR(CF685=1,CF685=2,CF685=3),IF(Parameter!$E$27="Ja","LIFT",IF(CF685=1,"L1","L23")),IF(CF685="Aussen","Aussen","-"))</f>
        <v>-</v>
      </c>
      <c r="CH685" s="71" t="n">
        <f aca="false">IF(N(AC685)&gt;0,AC685,0)</f>
        <v>0</v>
      </c>
      <c r="CI685" s="65" t="n">
        <f aca="false">IF(ISNUMBER(AF685),1,0)</f>
        <v>0</v>
      </c>
      <c r="CJ685" s="62" t="n">
        <f aca="false">N(AF685)</f>
        <v>0</v>
      </c>
      <c r="CK685" s="62" t="n">
        <f aca="false">N(M685)+N(N685)</f>
        <v>1</v>
      </c>
      <c r="CL685" s="62" t="n">
        <f aca="false">N(M685)</f>
        <v>0</v>
      </c>
      <c r="CM685" s="62" t="n">
        <f aca="false">N(N685)</f>
        <v>1</v>
      </c>
      <c r="CN685" s="62" t="n">
        <f aca="false">ROUNDUP(H685/BZ685,0)</f>
        <v>0</v>
      </c>
      <c r="CO685" s="62" t="n">
        <f aca="false">ROUNDUP(CJ685/BZ685,0)</f>
        <v>0</v>
      </c>
      <c r="CP685" s="65" t="n">
        <f aca="false">IF(CA685=1,0,IFERROR(VLOOKUP(BY685,'Gebinde-Kategorie'!$A$5:$N$45,5,0)+0,0))</f>
        <v>0</v>
      </c>
      <c r="CQ685" s="65" t="n">
        <f aca="false">IFERROR(IF(OR(CF685=1,CF685=2,CF685=3),N(INDEX(Parameter!$I$5:$I$7,CF685)),0),0)</f>
        <v>0</v>
      </c>
      <c r="CR685" s="64" t="n">
        <f aca="false">IF(AND(Parameter!$B$21="Ja",ISNUMBER(W685),N(X685)&gt;0),IFERROR(N(INDEX(Parameter!$L$5:$L$7,W685))*INDEX(Parameter!$E$5:$E$7,W685)*X685/SUMIFS($X$7:$X$1843,$W$7:$W$1843,W685),0),0)</f>
        <v>0</v>
      </c>
      <c r="CS685" s="62" t="str">
        <f aca="false">IF(AND(OR(CG685="L1",CG685="L23",CG685="LIFT"),H685&gt;0),CC685*IF(CR685&gt;0,CR685*MAX(1,H685/X685),IF(CA685=1,CE685,IF(R685&gt;0,CN685/R685,0))/MAX(0.1,N(Parameter!$M$21))),"")</f>
        <v/>
      </c>
      <c r="CT685" s="64" t="str">
        <f aca="false">IF(CS685="","",J685/H685)</f>
        <v/>
      </c>
      <c r="CU685" s="62" t="str">
        <f aca="false">IF(CS685="","",H685*G685)</f>
        <v/>
      </c>
      <c r="CV685" s="63" t="str">
        <f aca="false">IF(CS685="","",(CL685+ROUNDUP(CL685+MAX(CM685,2*(J685/MAX(0.1,N(Einkauf!$C$6))-CL685)),0))/2)</f>
        <v/>
      </c>
      <c r="CW685" s="62" t="str">
        <f aca="false">IF(CS685="","",MAX(0,H685-CV685)*G685)</f>
        <v/>
      </c>
      <c r="CX685" s="62" t="str">
        <f aca="false">IF(CS685="","",CS685*MAX(0,1-CV685/H685))</f>
        <v/>
      </c>
      <c r="CY685" s="64" t="str">
        <f aca="false">IF(CS685="","",PERCENTRANK($CS$7:$CS$1843,CS685)+PERCENTRANK($CU$7:$CU$1843,CU685)+1-PERCENTRANK($CT$7:$CT$1843,CT685))</f>
        <v/>
      </c>
      <c r="CZ685" s="72" t="str">
        <f aca="false">IF(CS685="","",CHOOSE(MATCH(Einkauf!$C$5,Parameter!$G$23:$G$27,0),CY685,CS685,CU685,-CT685,CW685)+ROW()/1000000000)</f>
        <v/>
      </c>
    </row>
    <row r="686" customFormat="false" ht="15" hidden="false" customHeight="false" outlineLevel="0" collapsed="false">
      <c r="A686" s="60" t="s">
        <v>1416</v>
      </c>
      <c r="B686" s="60" t="s">
        <v>1380</v>
      </c>
      <c r="C686" s="60" t="s">
        <v>206</v>
      </c>
      <c r="D686" s="60" t="s">
        <v>1381</v>
      </c>
      <c r="E686" s="60"/>
      <c r="F686" s="60" t="s">
        <v>260</v>
      </c>
      <c r="G686" s="61" t="n">
        <v>0.65</v>
      </c>
      <c r="H686" s="62" t="n">
        <f aca="false">MAX(0,IF(AND(Parameter!$B$21="Ja",ISNUMBER(Y686)),Y686,IF(Parameter!$B$20="Jahresanfang 2025 + Export",BS686+BR686,BR686)))</f>
        <v>0</v>
      </c>
      <c r="I686" s="62" t="n">
        <f aca="false">H686*G686</f>
        <v>0</v>
      </c>
      <c r="J686" s="62" t="n">
        <f aca="false">BU686*Parameter!$B$18</f>
        <v>0</v>
      </c>
      <c r="K686" s="63" t="n">
        <v>0</v>
      </c>
      <c r="L686" s="64" t="n">
        <v>0</v>
      </c>
      <c r="M686" s="62" t="n">
        <v>0</v>
      </c>
      <c r="N686" s="62" t="n">
        <v>1000</v>
      </c>
      <c r="O686" s="65" t="n">
        <v>21</v>
      </c>
      <c r="P686" s="60" t="s">
        <v>210</v>
      </c>
      <c r="Q686" s="62"/>
      <c r="R686" s="65" t="n">
        <f aca="false">IF(CA686=1,0,IFERROR(VLOOKUP(BY686,'Gebinde-Kategorie'!$A$5:$N$45,13,0)+0,0))</f>
        <v>0</v>
      </c>
      <c r="S686" s="66"/>
      <c r="T686" s="67"/>
      <c r="U686" s="67"/>
      <c r="V686" s="67"/>
      <c r="W686" s="60"/>
      <c r="X686" s="62"/>
      <c r="Y686" s="62"/>
      <c r="Z686" s="60"/>
      <c r="AA686" s="60" t="str">
        <f aca="false">IF(A686="","",IF(AND(Parameter!$B$21="Ja",ISNUMBER(W686)),W686,IF(AND(Parameter!$E$27="Ja",ISNUMBER(Z686),CD686&lt;&gt;"Nein"),Z686,IF(CD686="2+3",IF(ISNUMBER(SEARCH("grosser Artikel",BV686)),2,IFERROR(VLOOKUP(BY686,Parameter!$F$35:$G$64,2,0),2)),IF(OR(CD686="Nein",CD686=""),"-",CD686)))))</f>
        <v>-</v>
      </c>
      <c r="AB686" s="67"/>
      <c r="AC686" s="68"/>
      <c r="AD686" s="62" t="n">
        <f aca="false">AW686</f>
        <v>1000</v>
      </c>
      <c r="AE686" s="62" t="n">
        <f aca="false">MAX(AW686,H686)</f>
        <v>1000</v>
      </c>
      <c r="AF686" s="69"/>
      <c r="AG686" s="62" t="n">
        <f aca="false">IF(LEFT(Cockpit!$C$5,1)="A",H686,IF(Parameter!$E$30="MAX-Bestand",IF(CI686=1,CJ686,IF(LEFT(Cockpit!$C$5,1)="B",AM686,MAX(AM686,H686))),ROUNDUP(AK686,0)))</f>
        <v>0</v>
      </c>
      <c r="AH686" s="62" t="n">
        <f aca="false">IF(CA686=1,0,ROUNDUP(AG686/BZ686,0))</f>
        <v>0</v>
      </c>
      <c r="AI686" s="64" t="n">
        <f aca="false">IF(CR686&gt;0,CR686*MAX(1,AG686/X686),IF(CA686=1,IF(AG686&lt;=0,0,CE686*MAX(1,IF(H686&gt;0,AG686/H686,1))),IF(R686&gt;0,AH686/R686,0))/MAX(0.1,N(Parameter!$M$21)))</f>
        <v>0</v>
      </c>
      <c r="AJ686" s="62" t="n">
        <f aca="false">AI686*CC686</f>
        <v>0</v>
      </c>
      <c r="AK686" s="63" t="n">
        <f aca="false">IF(LEFT(Cockpit!$C$5,1)="A",H686,IF(CI686=1,(CL686+CJ686)/2,IF(LEFT(Cockpit!$C$5,1)="B",(CL686+AM686)/2,MAX((CL686+AM686)/2,H686))))</f>
        <v>0</v>
      </c>
      <c r="AL686" s="62" t="n">
        <f aca="false">AK686*G686</f>
        <v>0</v>
      </c>
      <c r="AM686" s="62" t="n">
        <f aca="false">ROUNDUP(CL686+MAX(CM686,2*(J686/IF(CH686&gt;0,CH686,MAX(0.1,N(Cockpit!$C$6)))-CL686)),0)</f>
        <v>1000</v>
      </c>
      <c r="AN686" s="63" t="n">
        <f aca="false">IF(AJ686&gt;0,J686/AJ686,-1)</f>
        <v>-1</v>
      </c>
      <c r="AO686" s="63" t="str">
        <f aca="false">IF(AND(OR(CG686="L1",CG686="L23",CG686="LIFT"),AJ686&gt;0),SUMIFS($AJ$7:$AJ$1843,$CG$7:$CG$1843,CG686,$AN$7:$AN$1843,"&gt;"&amp;AN686)+SUMIFS($AJ$7:$AJ$1843,$CG$7:$CG$1843,CG686,$AN$7:$AN$1843,AN686,$BX$7:$BX$1843,"&lt;="&amp;BX686),"")</f>
        <v/>
      </c>
      <c r="AP686" s="70" t="n">
        <f aca="false">IF(AO686="",0,MAX(0,MIN(1,(IF(CG686="L1",Parameter!$H$5,IF(CG686="L23",Parameter!$H$6+Parameter!$H$7,Parameter!$H$5+Parameter!$H$6+Parameter!$H$7))-(AO686-AJ686))/AJ686)))</f>
        <v>0</v>
      </c>
      <c r="AQ686" s="62" t="n">
        <f aca="false">IF(LEFT(Cockpit!$I$5,1)="A",H686,IF(Parameter!$E$30="MAX-Bestand",IF(CI686=1,CJ686,IF(LEFT(Cockpit!$I$5,1)="B",AW686,MAX(AW686,H686))),ROUNDUP(AU686,0)))</f>
        <v>500</v>
      </c>
      <c r="AR686" s="62" t="n">
        <f aca="false">IF(CA686=1,0,ROUNDUP(AQ686/BZ686,0))</f>
        <v>0</v>
      </c>
      <c r="AS686" s="64" t="n">
        <f aca="false">IF(CR686&gt;0,CR686*MAX(1,AQ686/X686),IF(CA686=1,IF(AQ686&lt;=0,0,CE686*MAX(1,IF(H686&gt;0,AQ686/H686,1))),IF(R686&gt;0,AR686/R686,0))/MAX(0.1,N(Parameter!$M$21)))</f>
        <v>0.15</v>
      </c>
      <c r="AT686" s="62" t="n">
        <f aca="false">AS686*CC686</f>
        <v>35.25</v>
      </c>
      <c r="AU686" s="63" t="n">
        <f aca="false">IF(LEFT(Cockpit!$I$5,1)="A",H686,IF(CI686=1,(CL686+CJ686)/2,IF(LEFT(Cockpit!$I$5,1)="B",(CL686+AW686)/2,MAX((CL686+AW686)/2,H686))))</f>
        <v>500</v>
      </c>
      <c r="AV686" s="62" t="n">
        <f aca="false">AU686*G686</f>
        <v>325</v>
      </c>
      <c r="AW686" s="62" t="n">
        <f aca="false">ROUNDUP(CL686+MAX(CM686,2*(J686/IF(CH686&gt;0,CH686,MAX(0.1,N(Cockpit!$I$6)))-CL686)),0)</f>
        <v>1000</v>
      </c>
      <c r="AX686" s="63" t="n">
        <f aca="false">IF(AT686&gt;0,J686/AT686,-1)</f>
        <v>0</v>
      </c>
      <c r="AY686" s="63" t="str">
        <f aca="false">IF(AND(OR(CG686="L1",CG686="L23",CG686="LIFT"),AT686&gt;0),SUMIFS($AT$7:$AT$1843,$CG$7:$CG$1843,CG686,$AX$7:$AX$1843,"&gt;"&amp;AX686)+SUMIFS($AT$7:$AT$1843,$CG$7:$CG$1843,CG686,$AX$7:$AX$1843,AX686,$BX$7:$BX$1843,"&lt;="&amp;BX686),"")</f>
        <v/>
      </c>
      <c r="AZ686" s="70" t="n">
        <f aca="false">IF(AY686="",0,MAX(0,MIN(1,(IF(CG686="L1",Parameter!$H$5,IF(CG686="L23",Parameter!$H$6+Parameter!$H$7,Parameter!$H$5+Parameter!$H$6+Parameter!$H$7))-(AY686-AT686))/AT686)))</f>
        <v>0</v>
      </c>
      <c r="BA686" s="62" t="n">
        <f aca="false">IF(LEFT(Cockpit!$O$5,1)="A",H686,IF(Parameter!$E$30="MAX-Bestand",IF(CI686=1,CJ686,IF(LEFT(Cockpit!$O$5,1)="B",BG686,MAX(BG686,H686))),ROUNDUP(BE686,0)))</f>
        <v>500</v>
      </c>
      <c r="BB686" s="62" t="n">
        <f aca="false">IF(CA686=1,0,ROUNDUP(BA686/BZ686,0))</f>
        <v>0</v>
      </c>
      <c r="BC686" s="64" t="n">
        <f aca="false">IF(CR686&gt;0,CR686*MAX(1,BA686/X686),IF(CA686=1,IF(BA686&lt;=0,0,CE686*MAX(1,IF(H686&gt;0,BA686/H686,1))),IF(R686&gt;0,BB686/R686,0))/MAX(0.1,N(Parameter!$M$21)))</f>
        <v>0.15</v>
      </c>
      <c r="BD686" s="62" t="n">
        <f aca="false">BC686*CC686</f>
        <v>35.25</v>
      </c>
      <c r="BE686" s="63" t="n">
        <f aca="false">IF(LEFT(Cockpit!$O$5,1)="A",H686,IF(CI686=1,(CL686+CJ686)/2,IF(LEFT(Cockpit!$O$5,1)="B",(CL686+BG686)/2,MAX((CL686+BG686)/2,H686))))</f>
        <v>500</v>
      </c>
      <c r="BF686" s="62" t="n">
        <f aca="false">BE686*G686</f>
        <v>325</v>
      </c>
      <c r="BG686" s="62" t="n">
        <f aca="false">ROUNDUP(CL686+MAX(CM686,2*(J686/IF(CH686&gt;0,CH686,MAX(0.1,N(Cockpit!$O$6)))-CL686)),0)</f>
        <v>1000</v>
      </c>
      <c r="BH686" s="63" t="n">
        <f aca="false">IF(BD686&gt;0,J686/BD686,-1)</f>
        <v>0</v>
      </c>
      <c r="BI686" s="63" t="str">
        <f aca="false">IF(AND(OR(CG686="L1",CG686="L23",CG686="LIFT"),BD686&gt;0),SUMIFS($BD$7:$BD$1843,$CG$7:$CG$1843,CG686,$BH$7:$BH$1843,"&gt;"&amp;BH686)+SUMIFS($BD$7:$BD$1843,$CG$7:$CG$1843,CG686,$BH$7:$BH$1843,BH686,$BX$7:$BX$1843,"&lt;="&amp;BX686),"")</f>
        <v/>
      </c>
      <c r="BJ686" s="70" t="n">
        <f aca="false">IF(BI686="",0,MAX(0,MIN(1,(IF(CG686="L1",Parameter!$H$5,IF(CG686="L23",Parameter!$H$6+Parameter!$H$7,Parameter!$H$5+Parameter!$H$6+Parameter!$H$7))-(BI686-BD686))/BD686)))</f>
        <v>0</v>
      </c>
      <c r="BK686" s="60" t="str">
        <f aca="false">IF(AJ686&lt;=0,"",IF(CG686="Aussen","Aussenlager",IF(CG686="-","Nicht im Lift",IF(AP686&gt;=1,"Lift",IF(AP686&lt;=0,"Aussenlager","teilweise")))))</f>
        <v/>
      </c>
      <c r="BL686" s="60" t="str">
        <f aca="false">IF(AT686&lt;=0,"",IF(CG686="Aussen","Aussenlager",IF(CG686="-","Nicht im Lift",IF(AZ686&gt;=1,"Lift",IF(AZ686&lt;=0,"Aussenlager","teilweise")))))</f>
        <v>Nicht im Lift</v>
      </c>
      <c r="BM686" s="60" t="str">
        <f aca="false">IF(BD686&lt;=0,"",IF(CG686="Aussen","Aussenlager",IF(CG686="-","Nicht im Lift",IF(BJ686&gt;=1,"Lift",IF(BJ686&lt;=0,"Aussenlager","teilweise")))))</f>
        <v>Nicht im Lift</v>
      </c>
      <c r="BN686" s="60" t="str">
        <f aca="false">IF(A686="","",IF(BW686=1,"Neu; ","")&amp;IF(AND(BW686=0,BR686&lt;0),"negativer Bestand (Export "&amp;BR686&amp;"); ","")&amp;IF(J686&lt;=0,"Kein Verbrauch; ","")&amp;IF(CR686&gt;0,"Lift "&amp;W686&amp;" lt. Liftbericht (Fach "&amp;X686&amp;" Stk); ",IF(CB686=1,"Gebinde geschätzt ("&amp;T686&amp;"); ",IF(CA686=1,"Lose – Tablare geschätzt; ","")))&amp;IF(H686&gt;AW686,"Überbestand "&amp;ROUND(H686-AW686,0)&amp;" Stk / CHF "&amp;ROUND((H686-AW686)*G686,0)&amp;"; ","")&amp;IF(AND(CI686=1,CJ686&lt;CK686),"MAX &lt; MB+LG; ","")&amp;IF(AND(CQ686&gt;0,CP686*10&gt;CQ686),"zu hoch für Tablar; ","")&amp;IF(AND(BW686=0,OR(CI686=1,AB686&lt;&gt;"",U686&lt;&gt;"",V686&lt;&gt;"",AC686&lt;&gt;"")),"manuell übersteuert; ","")&amp;IF(AND(CA686=0,R686=0),"Gebinde unbekannt / Stellmass fehlt; ","")&amp;IF(AND(CA686=0,N(V686)&lt;=0,N(Q686)&lt;=0),"Menge pro Gebinde fehlt (Ist = 1 Gebinde); ","")&amp;BV686)</f>
        <v>Kein Verbrauch; Lose – Tablare geschätzt; </v>
      </c>
      <c r="BO686" s="60"/>
      <c r="BP686" s="60"/>
      <c r="BQ686" s="67"/>
      <c r="BR686" s="62" t="n">
        <v>0</v>
      </c>
      <c r="BS686" s="62" t="n">
        <v>0</v>
      </c>
      <c r="BT686" s="61" t="n">
        <v>0</v>
      </c>
      <c r="BU686" s="62" t="n">
        <v>0</v>
      </c>
      <c r="BV686" s="60"/>
      <c r="BW686" s="65" t="n">
        <v>0</v>
      </c>
      <c r="BX686" s="65" t="n">
        <v>686</v>
      </c>
      <c r="BY686" s="60" t="str">
        <f aca="false">IF(U686&lt;&gt;"",UPPER(TRIM(U686)),IF(CB686=1,UPPER(VLOOKUP(T686,Parameter!$I$27:$K$29,2,0)),IF(P686="","LOSE",P686)))</f>
        <v>LOSE</v>
      </c>
      <c r="BZ686" s="62" t="n">
        <f aca="false">IF(BY686="LOSE",1,IF(N(V686)&gt;0,V686,IF(CB686=1,MAX(1,N(VLOOKUP(T686,Parameter!$I$27:$K$29,3,0)),H686,N(N686)),IF(N(Q686)&gt;0,Q686,MAX(1,H686)))))</f>
        <v>1</v>
      </c>
      <c r="CA686" s="65" t="n">
        <f aca="false">IF(BY686="LOSE",1,0)</f>
        <v>1</v>
      </c>
      <c r="CB686" s="65" t="n">
        <f aca="false">IF(AND(U686="",OR(P686="",P686="LOSE"),T686&lt;&gt;"",N(S686)&lt;=0,ISNUMBER(MATCH(T686,Parameter!$I$27:$I$29,0))),1,0)</f>
        <v>0</v>
      </c>
      <c r="CC686" s="65" t="n">
        <f aca="false">IF(CR686&gt;0,INDEX(Parameter!$H$5:$H$7,W686)/INDEX(Parameter!$E$5:$E$7,W686),IF(AND(CA686=0,N(IFERROR(VLOOKUP(BY686,'Gebinde-Kategorie'!$A$5:$N$45,14,0),0))&gt;0),VLOOKUP(BY686,'Gebinde-Kategorie'!$A$5:$N$45,14,0)*10+Parameter!$M$23,Parameter!$M$24))</f>
        <v>235</v>
      </c>
      <c r="CD686" s="60" t="str">
        <f aca="false">IF(AND(Parameter!$B$19="Ja",E686&lt;&gt;"",ISNUMBER(MATCH(E686,Parameter!$I$35:$I$52,0))),VLOOKUP(E686,Parameter!$I$35:$J$52,2,0),IFERROR(VLOOKUP(D686,Parameter!$A$35:$C$64,2,0),"Nein"))</f>
        <v>Nein</v>
      </c>
      <c r="CE686" s="64" t="n">
        <f aca="false">IF(CA686=0,0,IF(N(S686)&gt;0,S686,IFERROR(VLOOKUP(D686,Parameter!$A$35:$C$64,3,0)+0,0)))</f>
        <v>0.15</v>
      </c>
      <c r="CF686" s="60" t="str">
        <f aca="false">IF(AB686&lt;&gt;"",AB686,AA686)</f>
        <v>-</v>
      </c>
      <c r="CG686" s="60" t="str">
        <f aca="false">IF(OR(CF686=1,CF686=2,CF686=3),IF(Parameter!$E$27="Ja","LIFT",IF(CF686=1,"L1","L23")),IF(CF686="Aussen","Aussen","-"))</f>
        <v>-</v>
      </c>
      <c r="CH686" s="71" t="n">
        <f aca="false">IF(N(AC686)&gt;0,AC686,0)</f>
        <v>0</v>
      </c>
      <c r="CI686" s="65" t="n">
        <f aca="false">IF(ISNUMBER(AF686),1,0)</f>
        <v>0</v>
      </c>
      <c r="CJ686" s="62" t="n">
        <f aca="false">N(AF686)</f>
        <v>0</v>
      </c>
      <c r="CK686" s="62" t="n">
        <f aca="false">N(M686)+N(N686)</f>
        <v>1000</v>
      </c>
      <c r="CL686" s="62" t="n">
        <f aca="false">N(M686)</f>
        <v>0</v>
      </c>
      <c r="CM686" s="62" t="n">
        <f aca="false">N(N686)</f>
        <v>1000</v>
      </c>
      <c r="CN686" s="62" t="n">
        <f aca="false">ROUNDUP(H686/BZ686,0)</f>
        <v>0</v>
      </c>
      <c r="CO686" s="62" t="n">
        <f aca="false">ROUNDUP(CJ686/BZ686,0)</f>
        <v>0</v>
      </c>
      <c r="CP686" s="65" t="n">
        <f aca="false">IF(CA686=1,0,IFERROR(VLOOKUP(BY686,'Gebinde-Kategorie'!$A$5:$N$45,5,0)+0,0))</f>
        <v>0</v>
      </c>
      <c r="CQ686" s="65" t="n">
        <f aca="false">IFERROR(IF(OR(CF686=1,CF686=2,CF686=3),N(INDEX(Parameter!$I$5:$I$7,CF686)),0),0)</f>
        <v>0</v>
      </c>
      <c r="CR686" s="64" t="n">
        <f aca="false">IF(AND(Parameter!$B$21="Ja",ISNUMBER(W686),N(X686)&gt;0),IFERROR(N(INDEX(Parameter!$L$5:$L$7,W686))*INDEX(Parameter!$E$5:$E$7,W686)*X686/SUMIFS($X$7:$X$1843,$W$7:$W$1843,W686),0),0)</f>
        <v>0</v>
      </c>
      <c r="CS686" s="62" t="str">
        <f aca="false">IF(AND(OR(CG686="L1",CG686="L23",CG686="LIFT"),H686&gt;0),CC686*IF(CR686&gt;0,CR686*MAX(1,H686/X686),IF(CA686=1,CE686,IF(R686&gt;0,CN686/R686,0))/MAX(0.1,N(Parameter!$M$21))),"")</f>
        <v/>
      </c>
      <c r="CT686" s="64" t="str">
        <f aca="false">IF(CS686="","",J686/H686)</f>
        <v/>
      </c>
      <c r="CU686" s="62" t="str">
        <f aca="false">IF(CS686="","",H686*G686)</f>
        <v/>
      </c>
      <c r="CV686" s="63" t="str">
        <f aca="false">IF(CS686="","",(CL686+ROUNDUP(CL686+MAX(CM686,2*(J686/MAX(0.1,N(Einkauf!$C$6))-CL686)),0))/2)</f>
        <v/>
      </c>
      <c r="CW686" s="62" t="str">
        <f aca="false">IF(CS686="","",MAX(0,H686-CV686)*G686)</f>
        <v/>
      </c>
      <c r="CX686" s="62" t="str">
        <f aca="false">IF(CS686="","",CS686*MAX(0,1-CV686/H686))</f>
        <v/>
      </c>
      <c r="CY686" s="64" t="str">
        <f aca="false">IF(CS686="","",PERCENTRANK($CS$7:$CS$1843,CS686)+PERCENTRANK($CU$7:$CU$1843,CU686)+1-PERCENTRANK($CT$7:$CT$1843,CT686))</f>
        <v/>
      </c>
      <c r="CZ686" s="72" t="str">
        <f aca="false">IF(CS686="","",CHOOSE(MATCH(Einkauf!$C$5,Parameter!$G$23:$G$27,0),CY686,CS686,CU686,-CT686,CW686)+ROW()/1000000000)</f>
        <v/>
      </c>
    </row>
    <row r="687" customFormat="false" ht="15" hidden="false" customHeight="false" outlineLevel="0" collapsed="false">
      <c r="A687" s="60" t="s">
        <v>1417</v>
      </c>
      <c r="B687" s="60" t="s">
        <v>1404</v>
      </c>
      <c r="C687" s="60" t="s">
        <v>206</v>
      </c>
      <c r="D687" s="60" t="s">
        <v>1037</v>
      </c>
      <c r="E687" s="60"/>
      <c r="F687" s="60" t="s">
        <v>260</v>
      </c>
      <c r="G687" s="61" t="n">
        <v>2743.64</v>
      </c>
      <c r="H687" s="62" t="n">
        <f aca="false">MAX(0,IF(AND(Parameter!$B$21="Ja",ISNUMBER(Y687)),Y687,IF(Parameter!$B$20="Jahresanfang 2025 + Export",BS687+BR687,BR687)))</f>
        <v>0</v>
      </c>
      <c r="I687" s="62" t="n">
        <f aca="false">H687*G687</f>
        <v>0</v>
      </c>
      <c r="J687" s="62" t="n">
        <f aca="false">BU687*Parameter!$B$18</f>
        <v>3</v>
      </c>
      <c r="K687" s="63" t="n">
        <v>0</v>
      </c>
      <c r="L687" s="64" t="n">
        <v>0</v>
      </c>
      <c r="M687" s="62" t="n">
        <v>0</v>
      </c>
      <c r="N687" s="62" t="n">
        <v>1</v>
      </c>
      <c r="O687" s="65" t="n">
        <v>70</v>
      </c>
      <c r="P687" s="60" t="s">
        <v>210</v>
      </c>
      <c r="Q687" s="62"/>
      <c r="R687" s="65" t="n">
        <f aca="false">IF(CA687=1,0,IFERROR(VLOOKUP(BY687,'Gebinde-Kategorie'!$A$5:$N$45,13,0)+0,0))</f>
        <v>0</v>
      </c>
      <c r="S687" s="66"/>
      <c r="T687" s="67"/>
      <c r="U687" s="67"/>
      <c r="V687" s="67"/>
      <c r="W687" s="60"/>
      <c r="X687" s="62"/>
      <c r="Y687" s="62"/>
      <c r="Z687" s="60"/>
      <c r="AA687" s="60" t="str">
        <f aca="false">IF(A687="","",IF(AND(Parameter!$B$21="Ja",ISNUMBER(W687)),W687,IF(AND(Parameter!$E$27="Ja",ISNUMBER(Z687),CD687&lt;&gt;"Nein"),Z687,IF(CD687="2+3",IF(ISNUMBER(SEARCH("grosser Artikel",BV687)),2,IFERROR(VLOOKUP(BY687,Parameter!$F$35:$G$64,2,0),2)),IF(OR(CD687="Nein",CD687=""),"-",CD687)))))</f>
        <v>-</v>
      </c>
      <c r="AB687" s="67"/>
      <c r="AC687" s="68"/>
      <c r="AD687" s="62" t="n">
        <f aca="false">AW687</f>
        <v>2</v>
      </c>
      <c r="AE687" s="62" t="n">
        <f aca="false">MAX(AW687,H687)</f>
        <v>2</v>
      </c>
      <c r="AF687" s="69"/>
      <c r="AG687" s="62" t="n">
        <f aca="false">IF(LEFT(Cockpit!$C$5,1)="A",H687,IF(Parameter!$E$30="MAX-Bestand",IF(CI687=1,CJ687,IF(LEFT(Cockpit!$C$5,1)="B",AM687,MAX(AM687,H687))),ROUNDUP(AK687,0)))</f>
        <v>0</v>
      </c>
      <c r="AH687" s="62" t="n">
        <f aca="false">IF(CA687=1,0,ROUNDUP(AG687/BZ687,0))</f>
        <v>0</v>
      </c>
      <c r="AI687" s="64" t="n">
        <f aca="false">IF(CR687&gt;0,CR687*MAX(1,AG687/X687),IF(CA687=1,IF(AG687&lt;=0,0,CE687*MAX(1,IF(H687&gt;0,AG687/H687,1))),IF(R687&gt;0,AH687/R687,0))/MAX(0.1,N(Parameter!$M$21)))</f>
        <v>0</v>
      </c>
      <c r="AJ687" s="62" t="n">
        <f aca="false">AI687*CC687</f>
        <v>0</v>
      </c>
      <c r="AK687" s="63" t="n">
        <f aca="false">IF(LEFT(Cockpit!$C$5,1)="A",H687,IF(CI687=1,(CL687+CJ687)/2,IF(LEFT(Cockpit!$C$5,1)="B",(CL687+AM687)/2,MAX((CL687+AM687)/2,H687))))</f>
        <v>0</v>
      </c>
      <c r="AL687" s="62" t="n">
        <f aca="false">AK687*G687</f>
        <v>0</v>
      </c>
      <c r="AM687" s="62" t="n">
        <f aca="false">ROUNDUP(CL687+MAX(CM687,2*(J687/IF(CH687&gt;0,CH687,MAX(0.1,N(Cockpit!$C$6)))-CL687)),0)</f>
        <v>2</v>
      </c>
      <c r="AN687" s="63" t="n">
        <f aca="false">IF(AJ687&gt;0,J687/AJ687,-1)</f>
        <v>-1</v>
      </c>
      <c r="AO687" s="63" t="str">
        <f aca="false">IF(AND(OR(CG687="L1",CG687="L23",CG687="LIFT"),AJ687&gt;0),SUMIFS($AJ$7:$AJ$1843,$CG$7:$CG$1843,CG687,$AN$7:$AN$1843,"&gt;"&amp;AN687)+SUMIFS($AJ$7:$AJ$1843,$CG$7:$CG$1843,CG687,$AN$7:$AN$1843,AN687,$BX$7:$BX$1843,"&lt;="&amp;BX687),"")</f>
        <v/>
      </c>
      <c r="AP687" s="70" t="n">
        <f aca="false">IF(AO687="",0,MAX(0,MIN(1,(IF(CG687="L1",Parameter!$H$5,IF(CG687="L23",Parameter!$H$6+Parameter!$H$7,Parameter!$H$5+Parameter!$H$6+Parameter!$H$7))-(AO687-AJ687))/AJ687)))</f>
        <v>0</v>
      </c>
      <c r="AQ687" s="62" t="n">
        <f aca="false">IF(LEFT(Cockpit!$I$5,1)="A",H687,IF(Parameter!$E$30="MAX-Bestand",IF(CI687=1,CJ687,IF(LEFT(Cockpit!$I$5,1)="B",AW687,MAX(AW687,H687))),ROUNDUP(AU687,0)))</f>
        <v>1</v>
      </c>
      <c r="AR687" s="62" t="n">
        <f aca="false">IF(CA687=1,0,ROUNDUP(AQ687/BZ687,0))</f>
        <v>0</v>
      </c>
      <c r="AS687" s="64" t="n">
        <f aca="false">IF(CR687&gt;0,CR687*MAX(1,AQ687/X687),IF(CA687=1,IF(AQ687&lt;=0,0,CE687*MAX(1,IF(H687&gt;0,AQ687/H687,1))),IF(R687&gt;0,AR687/R687,0))/MAX(0.1,N(Parameter!$M$21)))</f>
        <v>0.15</v>
      </c>
      <c r="AT687" s="62" t="n">
        <f aca="false">AS687*CC687</f>
        <v>35.25</v>
      </c>
      <c r="AU687" s="63" t="n">
        <f aca="false">IF(LEFT(Cockpit!$I$5,1)="A",H687,IF(CI687=1,(CL687+CJ687)/2,IF(LEFT(Cockpit!$I$5,1)="B",(CL687+AW687)/2,MAX((CL687+AW687)/2,H687))))</f>
        <v>1</v>
      </c>
      <c r="AV687" s="62" t="n">
        <f aca="false">AU687*G687</f>
        <v>2743.64</v>
      </c>
      <c r="AW687" s="62" t="n">
        <f aca="false">ROUNDUP(CL687+MAX(CM687,2*(J687/IF(CH687&gt;0,CH687,MAX(0.1,N(Cockpit!$I$6)))-CL687)),0)</f>
        <v>2</v>
      </c>
      <c r="AX687" s="63" t="n">
        <f aca="false">IF(AT687&gt;0,J687/AT687,-1)</f>
        <v>0.0851063829787234</v>
      </c>
      <c r="AY687" s="63" t="str">
        <f aca="false">IF(AND(OR(CG687="L1",CG687="L23",CG687="LIFT"),AT687&gt;0),SUMIFS($AT$7:$AT$1843,$CG$7:$CG$1843,CG687,$AX$7:$AX$1843,"&gt;"&amp;AX687)+SUMIFS($AT$7:$AT$1843,$CG$7:$CG$1843,CG687,$AX$7:$AX$1843,AX687,$BX$7:$BX$1843,"&lt;="&amp;BX687),"")</f>
        <v/>
      </c>
      <c r="AZ687" s="70" t="n">
        <f aca="false">IF(AY687="",0,MAX(0,MIN(1,(IF(CG687="L1",Parameter!$H$5,IF(CG687="L23",Parameter!$H$6+Parameter!$H$7,Parameter!$H$5+Parameter!$H$6+Parameter!$H$7))-(AY687-AT687))/AT687)))</f>
        <v>0</v>
      </c>
      <c r="BA687" s="62" t="n">
        <f aca="false">IF(LEFT(Cockpit!$O$5,1)="A",H687,IF(Parameter!$E$30="MAX-Bestand",IF(CI687=1,CJ687,IF(LEFT(Cockpit!$O$5,1)="B",BG687,MAX(BG687,H687))),ROUNDUP(BE687,0)))</f>
        <v>1</v>
      </c>
      <c r="BB687" s="62" t="n">
        <f aca="false">IF(CA687=1,0,ROUNDUP(BA687/BZ687,0))</f>
        <v>0</v>
      </c>
      <c r="BC687" s="64" t="n">
        <f aca="false">IF(CR687&gt;0,CR687*MAX(1,BA687/X687),IF(CA687=1,IF(BA687&lt;=0,0,CE687*MAX(1,IF(H687&gt;0,BA687/H687,1))),IF(R687&gt;0,BB687/R687,0))/MAX(0.1,N(Parameter!$M$21)))</f>
        <v>0.15</v>
      </c>
      <c r="BD687" s="62" t="n">
        <f aca="false">BC687*CC687</f>
        <v>35.25</v>
      </c>
      <c r="BE687" s="63" t="n">
        <f aca="false">IF(LEFT(Cockpit!$O$5,1)="A",H687,IF(CI687=1,(CL687+CJ687)/2,IF(LEFT(Cockpit!$O$5,1)="B",(CL687+BG687)/2,MAX((CL687+BG687)/2,H687))))</f>
        <v>1</v>
      </c>
      <c r="BF687" s="62" t="n">
        <f aca="false">BE687*G687</f>
        <v>2743.64</v>
      </c>
      <c r="BG687" s="62" t="n">
        <f aca="false">ROUNDUP(CL687+MAX(CM687,2*(J687/IF(CH687&gt;0,CH687,MAX(0.1,N(Cockpit!$O$6)))-CL687)),0)</f>
        <v>2</v>
      </c>
      <c r="BH687" s="63" t="n">
        <f aca="false">IF(BD687&gt;0,J687/BD687,-1)</f>
        <v>0.0851063829787234</v>
      </c>
      <c r="BI687" s="63" t="str">
        <f aca="false">IF(AND(OR(CG687="L1",CG687="L23",CG687="LIFT"),BD687&gt;0),SUMIFS($BD$7:$BD$1843,$CG$7:$CG$1843,CG687,$BH$7:$BH$1843,"&gt;"&amp;BH687)+SUMIFS($BD$7:$BD$1843,$CG$7:$CG$1843,CG687,$BH$7:$BH$1843,BH687,$BX$7:$BX$1843,"&lt;="&amp;BX687),"")</f>
        <v/>
      </c>
      <c r="BJ687" s="70" t="n">
        <f aca="false">IF(BI687="",0,MAX(0,MIN(1,(IF(CG687="L1",Parameter!$H$5,IF(CG687="L23",Parameter!$H$6+Parameter!$H$7,Parameter!$H$5+Parameter!$H$6+Parameter!$H$7))-(BI687-BD687))/BD687)))</f>
        <v>0</v>
      </c>
      <c r="BK687" s="60" t="str">
        <f aca="false">IF(AJ687&lt;=0,"",IF(CG687="Aussen","Aussenlager",IF(CG687="-","Nicht im Lift",IF(AP687&gt;=1,"Lift",IF(AP687&lt;=0,"Aussenlager","teilweise")))))</f>
        <v/>
      </c>
      <c r="BL687" s="60" t="str">
        <f aca="false">IF(AT687&lt;=0,"",IF(CG687="Aussen","Aussenlager",IF(CG687="-","Nicht im Lift",IF(AZ687&gt;=1,"Lift",IF(AZ687&lt;=0,"Aussenlager","teilweise")))))</f>
        <v>Nicht im Lift</v>
      </c>
      <c r="BM687" s="60" t="str">
        <f aca="false">IF(BD687&lt;=0,"",IF(CG687="Aussen","Aussenlager",IF(CG687="-","Nicht im Lift",IF(BJ687&gt;=1,"Lift",IF(BJ687&lt;=0,"Aussenlager","teilweise")))))</f>
        <v>Nicht im Lift</v>
      </c>
      <c r="BN687" s="60" t="str">
        <f aca="false">IF(A687="","",IF(BW687=1,"Neu; ","")&amp;IF(AND(BW687=0,BR687&lt;0),"negativer Bestand (Export "&amp;BR687&amp;"); ","")&amp;IF(J687&lt;=0,"Kein Verbrauch; ","")&amp;IF(CR687&gt;0,"Lift "&amp;W687&amp;" lt. Liftbericht (Fach "&amp;X687&amp;" Stk); ",IF(CB687=1,"Gebinde geschätzt ("&amp;T687&amp;"); ",IF(CA687=1,"Lose – Tablare geschätzt; ","")))&amp;IF(H687&gt;AW687,"Überbestand "&amp;ROUND(H687-AW687,0)&amp;" Stk / CHF "&amp;ROUND((H687-AW687)*G687,0)&amp;"; ","")&amp;IF(AND(CI687=1,CJ687&lt;CK687),"MAX &lt; MB+LG; ","")&amp;IF(AND(CQ687&gt;0,CP687*10&gt;CQ687),"zu hoch für Tablar; ","")&amp;IF(AND(BW687=0,OR(CI687=1,AB687&lt;&gt;"",U687&lt;&gt;"",V687&lt;&gt;"",AC687&lt;&gt;"")),"manuell übersteuert; ","")&amp;IF(AND(CA687=0,R687=0),"Gebinde unbekannt / Stellmass fehlt; ","")&amp;IF(AND(CA687=0,N(V687)&lt;=0,N(Q687)&lt;=0),"Menge pro Gebinde fehlt (Ist = 1 Gebinde); ","")&amp;BV687)</f>
        <v>Lose – Tablare geschätzt; </v>
      </c>
      <c r="BO687" s="60"/>
      <c r="BP687" s="60"/>
      <c r="BQ687" s="67"/>
      <c r="BR687" s="62" t="n">
        <v>0</v>
      </c>
      <c r="BS687" s="62" t="n">
        <v>0</v>
      </c>
      <c r="BT687" s="61" t="n">
        <v>0</v>
      </c>
      <c r="BU687" s="62" t="n">
        <v>3</v>
      </c>
      <c r="BV687" s="60"/>
      <c r="BW687" s="65" t="n">
        <v>0</v>
      </c>
      <c r="BX687" s="65" t="n">
        <v>687</v>
      </c>
      <c r="BY687" s="60" t="str">
        <f aca="false">IF(U687&lt;&gt;"",UPPER(TRIM(U687)),IF(CB687=1,UPPER(VLOOKUP(T687,Parameter!$I$27:$K$29,2,0)),IF(P687="","LOSE",P687)))</f>
        <v>LOSE</v>
      </c>
      <c r="BZ687" s="62" t="n">
        <f aca="false">IF(BY687="LOSE",1,IF(N(V687)&gt;0,V687,IF(CB687=1,MAX(1,N(VLOOKUP(T687,Parameter!$I$27:$K$29,3,0)),H687,N(N687)),IF(N(Q687)&gt;0,Q687,MAX(1,H687)))))</f>
        <v>1</v>
      </c>
      <c r="CA687" s="65" t="n">
        <f aca="false">IF(BY687="LOSE",1,0)</f>
        <v>1</v>
      </c>
      <c r="CB687" s="65" t="n">
        <f aca="false">IF(AND(U687="",OR(P687="",P687="LOSE"),T687&lt;&gt;"",N(S687)&lt;=0,ISNUMBER(MATCH(T687,Parameter!$I$27:$I$29,0))),1,0)</f>
        <v>0</v>
      </c>
      <c r="CC687" s="65" t="n">
        <f aca="false">IF(CR687&gt;0,INDEX(Parameter!$H$5:$H$7,W687)/INDEX(Parameter!$E$5:$E$7,W687),IF(AND(CA687=0,N(IFERROR(VLOOKUP(BY687,'Gebinde-Kategorie'!$A$5:$N$45,14,0),0))&gt;0),VLOOKUP(BY687,'Gebinde-Kategorie'!$A$5:$N$45,14,0)*10+Parameter!$M$23,Parameter!$M$24))</f>
        <v>235</v>
      </c>
      <c r="CD687" s="60" t="str">
        <f aca="false">IF(AND(Parameter!$B$19="Ja",E687&lt;&gt;"",ISNUMBER(MATCH(E687,Parameter!$I$35:$I$52,0))),VLOOKUP(E687,Parameter!$I$35:$J$52,2,0),IFERROR(VLOOKUP(D687,Parameter!$A$35:$C$64,2,0),"Nein"))</f>
        <v>Nein</v>
      </c>
      <c r="CE687" s="64" t="n">
        <f aca="false">IF(CA687=0,0,IF(N(S687)&gt;0,S687,IFERROR(VLOOKUP(D687,Parameter!$A$35:$C$64,3,0)+0,0)))</f>
        <v>0.15</v>
      </c>
      <c r="CF687" s="60" t="str">
        <f aca="false">IF(AB687&lt;&gt;"",AB687,AA687)</f>
        <v>-</v>
      </c>
      <c r="CG687" s="60" t="str">
        <f aca="false">IF(OR(CF687=1,CF687=2,CF687=3),IF(Parameter!$E$27="Ja","LIFT",IF(CF687=1,"L1","L23")),IF(CF687="Aussen","Aussen","-"))</f>
        <v>-</v>
      </c>
      <c r="CH687" s="71" t="n">
        <f aca="false">IF(N(AC687)&gt;0,AC687,0)</f>
        <v>0</v>
      </c>
      <c r="CI687" s="65" t="n">
        <f aca="false">IF(ISNUMBER(AF687),1,0)</f>
        <v>0</v>
      </c>
      <c r="CJ687" s="62" t="n">
        <f aca="false">N(AF687)</f>
        <v>0</v>
      </c>
      <c r="CK687" s="62" t="n">
        <f aca="false">N(M687)+N(N687)</f>
        <v>1</v>
      </c>
      <c r="CL687" s="62" t="n">
        <f aca="false">N(M687)</f>
        <v>0</v>
      </c>
      <c r="CM687" s="62" t="n">
        <f aca="false">N(N687)</f>
        <v>1</v>
      </c>
      <c r="CN687" s="62" t="n">
        <f aca="false">ROUNDUP(H687/BZ687,0)</f>
        <v>0</v>
      </c>
      <c r="CO687" s="62" t="n">
        <f aca="false">ROUNDUP(CJ687/BZ687,0)</f>
        <v>0</v>
      </c>
      <c r="CP687" s="65" t="n">
        <f aca="false">IF(CA687=1,0,IFERROR(VLOOKUP(BY687,'Gebinde-Kategorie'!$A$5:$N$45,5,0)+0,0))</f>
        <v>0</v>
      </c>
      <c r="CQ687" s="65" t="n">
        <f aca="false">IFERROR(IF(OR(CF687=1,CF687=2,CF687=3),N(INDEX(Parameter!$I$5:$I$7,CF687)),0),0)</f>
        <v>0</v>
      </c>
      <c r="CR687" s="64" t="n">
        <f aca="false">IF(AND(Parameter!$B$21="Ja",ISNUMBER(W687),N(X687)&gt;0),IFERROR(N(INDEX(Parameter!$L$5:$L$7,W687))*INDEX(Parameter!$E$5:$E$7,W687)*X687/SUMIFS($X$7:$X$1843,$W$7:$W$1843,W687),0),0)</f>
        <v>0</v>
      </c>
      <c r="CS687" s="62" t="str">
        <f aca="false">IF(AND(OR(CG687="L1",CG687="L23",CG687="LIFT"),H687&gt;0),CC687*IF(CR687&gt;0,CR687*MAX(1,H687/X687),IF(CA687=1,CE687,IF(R687&gt;0,CN687/R687,0))/MAX(0.1,N(Parameter!$M$21))),"")</f>
        <v/>
      </c>
      <c r="CT687" s="64" t="str">
        <f aca="false">IF(CS687="","",J687/H687)</f>
        <v/>
      </c>
      <c r="CU687" s="62" t="str">
        <f aca="false">IF(CS687="","",H687*G687)</f>
        <v/>
      </c>
      <c r="CV687" s="63" t="str">
        <f aca="false">IF(CS687="","",(CL687+ROUNDUP(CL687+MAX(CM687,2*(J687/MAX(0.1,N(Einkauf!$C$6))-CL687)),0))/2)</f>
        <v/>
      </c>
      <c r="CW687" s="62" t="str">
        <f aca="false">IF(CS687="","",MAX(0,H687-CV687)*G687)</f>
        <v/>
      </c>
      <c r="CX687" s="62" t="str">
        <f aca="false">IF(CS687="","",CS687*MAX(0,1-CV687/H687))</f>
        <v/>
      </c>
      <c r="CY687" s="64" t="str">
        <f aca="false">IF(CS687="","",PERCENTRANK($CS$7:$CS$1843,CS687)+PERCENTRANK($CU$7:$CU$1843,CU687)+1-PERCENTRANK($CT$7:$CT$1843,CT687))</f>
        <v/>
      </c>
      <c r="CZ687" s="72" t="str">
        <f aca="false">IF(CS687="","",CHOOSE(MATCH(Einkauf!$C$5,Parameter!$G$23:$G$27,0),CY687,CS687,CU687,-CT687,CW687)+ROW()/1000000000)</f>
        <v/>
      </c>
    </row>
    <row r="688" customFormat="false" ht="15" hidden="false" customHeight="false" outlineLevel="0" collapsed="false">
      <c r="A688" s="60" t="s">
        <v>1418</v>
      </c>
      <c r="B688" s="60" t="s">
        <v>1419</v>
      </c>
      <c r="C688" s="60" t="s">
        <v>206</v>
      </c>
      <c r="D688" s="60" t="s">
        <v>1037</v>
      </c>
      <c r="E688" s="60"/>
      <c r="F688" s="60" t="s">
        <v>260</v>
      </c>
      <c r="G688" s="61" t="n">
        <v>3703.81</v>
      </c>
      <c r="H688" s="62" t="n">
        <f aca="false">MAX(0,IF(AND(Parameter!$B$21="Ja",ISNUMBER(Y688)),Y688,IF(Parameter!$B$20="Jahresanfang 2025 + Export",BS688+BR688,BR688)))</f>
        <v>0</v>
      </c>
      <c r="I688" s="62" t="n">
        <f aca="false">H688*G688</f>
        <v>0</v>
      </c>
      <c r="J688" s="62" t="n">
        <f aca="false">BU688*Parameter!$B$18</f>
        <v>4</v>
      </c>
      <c r="K688" s="63" t="n">
        <v>0</v>
      </c>
      <c r="L688" s="64" t="n">
        <v>0</v>
      </c>
      <c r="M688" s="62" t="n">
        <v>0</v>
      </c>
      <c r="N688" s="62" t="n">
        <v>1</v>
      </c>
      <c r="O688" s="65" t="n">
        <v>90</v>
      </c>
      <c r="P688" s="60" t="s">
        <v>210</v>
      </c>
      <c r="Q688" s="62"/>
      <c r="R688" s="65" t="n">
        <f aca="false">IF(CA688=1,0,IFERROR(VLOOKUP(BY688,'Gebinde-Kategorie'!$A$5:$N$45,13,0)+0,0))</f>
        <v>0</v>
      </c>
      <c r="S688" s="66"/>
      <c r="T688" s="67"/>
      <c r="U688" s="67"/>
      <c r="V688" s="67"/>
      <c r="W688" s="60"/>
      <c r="X688" s="62"/>
      <c r="Y688" s="62"/>
      <c r="Z688" s="60"/>
      <c r="AA688" s="60" t="str">
        <f aca="false">IF(A688="","",IF(AND(Parameter!$B$21="Ja",ISNUMBER(W688)),W688,IF(AND(Parameter!$E$27="Ja",ISNUMBER(Z688),CD688&lt;&gt;"Nein"),Z688,IF(CD688="2+3",IF(ISNUMBER(SEARCH("grosser Artikel",BV688)),2,IFERROR(VLOOKUP(BY688,Parameter!$F$35:$G$64,2,0),2)),IF(OR(CD688="Nein",CD688=""),"-",CD688)))))</f>
        <v>-</v>
      </c>
      <c r="AB688" s="67"/>
      <c r="AC688" s="68"/>
      <c r="AD688" s="62" t="n">
        <f aca="false">AW688</f>
        <v>3</v>
      </c>
      <c r="AE688" s="62" t="n">
        <f aca="false">MAX(AW688,H688)</f>
        <v>3</v>
      </c>
      <c r="AF688" s="69"/>
      <c r="AG688" s="62" t="n">
        <f aca="false">IF(LEFT(Cockpit!$C$5,1)="A",H688,IF(Parameter!$E$30="MAX-Bestand",IF(CI688=1,CJ688,IF(LEFT(Cockpit!$C$5,1)="B",AM688,MAX(AM688,H688))),ROUNDUP(AK688,0)))</f>
        <v>0</v>
      </c>
      <c r="AH688" s="62" t="n">
        <f aca="false">IF(CA688=1,0,ROUNDUP(AG688/BZ688,0))</f>
        <v>0</v>
      </c>
      <c r="AI688" s="64" t="n">
        <f aca="false">IF(CR688&gt;0,CR688*MAX(1,AG688/X688),IF(CA688=1,IF(AG688&lt;=0,0,CE688*MAX(1,IF(H688&gt;0,AG688/H688,1))),IF(R688&gt;0,AH688/R688,0))/MAX(0.1,N(Parameter!$M$21)))</f>
        <v>0</v>
      </c>
      <c r="AJ688" s="62" t="n">
        <f aca="false">AI688*CC688</f>
        <v>0</v>
      </c>
      <c r="AK688" s="63" t="n">
        <f aca="false">IF(LEFT(Cockpit!$C$5,1)="A",H688,IF(CI688=1,(CL688+CJ688)/2,IF(LEFT(Cockpit!$C$5,1)="B",(CL688+AM688)/2,MAX((CL688+AM688)/2,H688))))</f>
        <v>0</v>
      </c>
      <c r="AL688" s="62" t="n">
        <f aca="false">AK688*G688</f>
        <v>0</v>
      </c>
      <c r="AM688" s="62" t="n">
        <f aca="false">ROUNDUP(CL688+MAX(CM688,2*(J688/IF(CH688&gt;0,CH688,MAX(0.1,N(Cockpit!$C$6)))-CL688)),0)</f>
        <v>3</v>
      </c>
      <c r="AN688" s="63" t="n">
        <f aca="false">IF(AJ688&gt;0,J688/AJ688,-1)</f>
        <v>-1</v>
      </c>
      <c r="AO688" s="63" t="str">
        <f aca="false">IF(AND(OR(CG688="L1",CG688="L23",CG688="LIFT"),AJ688&gt;0),SUMIFS($AJ$7:$AJ$1843,$CG$7:$CG$1843,CG688,$AN$7:$AN$1843,"&gt;"&amp;AN688)+SUMIFS($AJ$7:$AJ$1843,$CG$7:$CG$1843,CG688,$AN$7:$AN$1843,AN688,$BX$7:$BX$1843,"&lt;="&amp;BX688),"")</f>
        <v/>
      </c>
      <c r="AP688" s="70" t="n">
        <f aca="false">IF(AO688="",0,MAX(0,MIN(1,(IF(CG688="L1",Parameter!$H$5,IF(CG688="L23",Parameter!$H$6+Parameter!$H$7,Parameter!$H$5+Parameter!$H$6+Parameter!$H$7))-(AO688-AJ688))/AJ688)))</f>
        <v>0</v>
      </c>
      <c r="AQ688" s="62" t="n">
        <f aca="false">IF(LEFT(Cockpit!$I$5,1)="A",H688,IF(Parameter!$E$30="MAX-Bestand",IF(CI688=1,CJ688,IF(LEFT(Cockpit!$I$5,1)="B",AW688,MAX(AW688,H688))),ROUNDUP(AU688,0)))</f>
        <v>2</v>
      </c>
      <c r="AR688" s="62" t="n">
        <f aca="false">IF(CA688=1,0,ROUNDUP(AQ688/BZ688,0))</f>
        <v>0</v>
      </c>
      <c r="AS688" s="64" t="n">
        <f aca="false">IF(CR688&gt;0,CR688*MAX(1,AQ688/X688),IF(CA688=1,IF(AQ688&lt;=0,0,CE688*MAX(1,IF(H688&gt;0,AQ688/H688,1))),IF(R688&gt;0,AR688/R688,0))/MAX(0.1,N(Parameter!$M$21)))</f>
        <v>0.15</v>
      </c>
      <c r="AT688" s="62" t="n">
        <f aca="false">AS688*CC688</f>
        <v>35.25</v>
      </c>
      <c r="AU688" s="63" t="n">
        <f aca="false">IF(LEFT(Cockpit!$I$5,1)="A",H688,IF(CI688=1,(CL688+CJ688)/2,IF(LEFT(Cockpit!$I$5,1)="B",(CL688+AW688)/2,MAX((CL688+AW688)/2,H688))))</f>
        <v>1.5</v>
      </c>
      <c r="AV688" s="62" t="n">
        <f aca="false">AU688*G688</f>
        <v>5555.715</v>
      </c>
      <c r="AW688" s="62" t="n">
        <f aca="false">ROUNDUP(CL688+MAX(CM688,2*(J688/IF(CH688&gt;0,CH688,MAX(0.1,N(Cockpit!$I$6)))-CL688)),0)</f>
        <v>3</v>
      </c>
      <c r="AX688" s="63" t="n">
        <f aca="false">IF(AT688&gt;0,J688/AT688,-1)</f>
        <v>0.113475177304965</v>
      </c>
      <c r="AY688" s="63" t="str">
        <f aca="false">IF(AND(OR(CG688="L1",CG688="L23",CG688="LIFT"),AT688&gt;0),SUMIFS($AT$7:$AT$1843,$CG$7:$CG$1843,CG688,$AX$7:$AX$1843,"&gt;"&amp;AX688)+SUMIFS($AT$7:$AT$1843,$CG$7:$CG$1843,CG688,$AX$7:$AX$1843,AX688,$BX$7:$BX$1843,"&lt;="&amp;BX688),"")</f>
        <v/>
      </c>
      <c r="AZ688" s="70" t="n">
        <f aca="false">IF(AY688="",0,MAX(0,MIN(1,(IF(CG688="L1",Parameter!$H$5,IF(CG688="L23",Parameter!$H$6+Parameter!$H$7,Parameter!$H$5+Parameter!$H$6+Parameter!$H$7))-(AY688-AT688))/AT688)))</f>
        <v>0</v>
      </c>
      <c r="BA688" s="62" t="n">
        <f aca="false">IF(LEFT(Cockpit!$O$5,1)="A",H688,IF(Parameter!$E$30="MAX-Bestand",IF(CI688=1,CJ688,IF(LEFT(Cockpit!$O$5,1)="B",BG688,MAX(BG688,H688))),ROUNDUP(BE688,0)))</f>
        <v>1</v>
      </c>
      <c r="BB688" s="62" t="n">
        <f aca="false">IF(CA688=1,0,ROUNDUP(BA688/BZ688,0))</f>
        <v>0</v>
      </c>
      <c r="BC688" s="64" t="n">
        <f aca="false">IF(CR688&gt;0,CR688*MAX(1,BA688/X688),IF(CA688=1,IF(BA688&lt;=0,0,CE688*MAX(1,IF(H688&gt;0,BA688/H688,1))),IF(R688&gt;0,BB688/R688,0))/MAX(0.1,N(Parameter!$M$21)))</f>
        <v>0.15</v>
      </c>
      <c r="BD688" s="62" t="n">
        <f aca="false">BC688*CC688</f>
        <v>35.25</v>
      </c>
      <c r="BE688" s="63" t="n">
        <f aca="false">IF(LEFT(Cockpit!$O$5,1)="A",H688,IF(CI688=1,(CL688+CJ688)/2,IF(LEFT(Cockpit!$O$5,1)="B",(CL688+BG688)/2,MAX((CL688+BG688)/2,H688))))</f>
        <v>1</v>
      </c>
      <c r="BF688" s="62" t="n">
        <f aca="false">BE688*G688</f>
        <v>3703.81</v>
      </c>
      <c r="BG688" s="62" t="n">
        <f aca="false">ROUNDUP(CL688+MAX(CM688,2*(J688/IF(CH688&gt;0,CH688,MAX(0.1,N(Cockpit!$O$6)))-CL688)),0)</f>
        <v>2</v>
      </c>
      <c r="BH688" s="63" t="n">
        <f aca="false">IF(BD688&gt;0,J688/BD688,-1)</f>
        <v>0.113475177304965</v>
      </c>
      <c r="BI688" s="63" t="str">
        <f aca="false">IF(AND(OR(CG688="L1",CG688="L23",CG688="LIFT"),BD688&gt;0),SUMIFS($BD$7:$BD$1843,$CG$7:$CG$1843,CG688,$BH$7:$BH$1843,"&gt;"&amp;BH688)+SUMIFS($BD$7:$BD$1843,$CG$7:$CG$1843,CG688,$BH$7:$BH$1843,BH688,$BX$7:$BX$1843,"&lt;="&amp;BX688),"")</f>
        <v/>
      </c>
      <c r="BJ688" s="70" t="n">
        <f aca="false">IF(BI688="",0,MAX(0,MIN(1,(IF(CG688="L1",Parameter!$H$5,IF(CG688="L23",Parameter!$H$6+Parameter!$H$7,Parameter!$H$5+Parameter!$H$6+Parameter!$H$7))-(BI688-BD688))/BD688)))</f>
        <v>0</v>
      </c>
      <c r="BK688" s="60" t="str">
        <f aca="false">IF(AJ688&lt;=0,"",IF(CG688="Aussen","Aussenlager",IF(CG688="-","Nicht im Lift",IF(AP688&gt;=1,"Lift",IF(AP688&lt;=0,"Aussenlager","teilweise")))))</f>
        <v/>
      </c>
      <c r="BL688" s="60" t="str">
        <f aca="false">IF(AT688&lt;=0,"",IF(CG688="Aussen","Aussenlager",IF(CG688="-","Nicht im Lift",IF(AZ688&gt;=1,"Lift",IF(AZ688&lt;=0,"Aussenlager","teilweise")))))</f>
        <v>Nicht im Lift</v>
      </c>
      <c r="BM688" s="60" t="str">
        <f aca="false">IF(BD688&lt;=0,"",IF(CG688="Aussen","Aussenlager",IF(CG688="-","Nicht im Lift",IF(BJ688&gt;=1,"Lift",IF(BJ688&lt;=0,"Aussenlager","teilweise")))))</f>
        <v>Nicht im Lift</v>
      </c>
      <c r="BN688" s="60" t="str">
        <f aca="false">IF(A688="","",IF(BW688=1,"Neu; ","")&amp;IF(AND(BW688=0,BR688&lt;0),"negativer Bestand (Export "&amp;BR688&amp;"); ","")&amp;IF(J688&lt;=0,"Kein Verbrauch; ","")&amp;IF(CR688&gt;0,"Lift "&amp;W688&amp;" lt. Liftbericht (Fach "&amp;X688&amp;" Stk); ",IF(CB688=1,"Gebinde geschätzt ("&amp;T688&amp;"); ",IF(CA688=1,"Lose – Tablare geschätzt; ","")))&amp;IF(H688&gt;AW688,"Überbestand "&amp;ROUND(H688-AW688,0)&amp;" Stk / CHF "&amp;ROUND((H688-AW688)*G688,0)&amp;"; ","")&amp;IF(AND(CI688=1,CJ688&lt;CK688),"MAX &lt; MB+LG; ","")&amp;IF(AND(CQ688&gt;0,CP688*10&gt;CQ688),"zu hoch für Tablar; ","")&amp;IF(AND(BW688=0,OR(CI688=1,AB688&lt;&gt;"",U688&lt;&gt;"",V688&lt;&gt;"",AC688&lt;&gt;"")),"manuell übersteuert; ","")&amp;IF(AND(CA688=0,R688=0),"Gebinde unbekannt / Stellmass fehlt; ","")&amp;IF(AND(CA688=0,N(V688)&lt;=0,N(Q688)&lt;=0),"Menge pro Gebinde fehlt (Ist = 1 Gebinde); ","")&amp;BV688)</f>
        <v>Lose – Tablare geschätzt; </v>
      </c>
      <c r="BO688" s="60"/>
      <c r="BP688" s="60"/>
      <c r="BQ688" s="67"/>
      <c r="BR688" s="62" t="n">
        <v>0</v>
      </c>
      <c r="BS688" s="62" t="n">
        <v>0</v>
      </c>
      <c r="BT688" s="61" t="n">
        <v>0</v>
      </c>
      <c r="BU688" s="62" t="n">
        <v>4</v>
      </c>
      <c r="BV688" s="60"/>
      <c r="BW688" s="65" t="n">
        <v>0</v>
      </c>
      <c r="BX688" s="65" t="n">
        <v>688</v>
      </c>
      <c r="BY688" s="60" t="str">
        <f aca="false">IF(U688&lt;&gt;"",UPPER(TRIM(U688)),IF(CB688=1,UPPER(VLOOKUP(T688,Parameter!$I$27:$K$29,2,0)),IF(P688="","LOSE",P688)))</f>
        <v>LOSE</v>
      </c>
      <c r="BZ688" s="62" t="n">
        <f aca="false">IF(BY688="LOSE",1,IF(N(V688)&gt;0,V688,IF(CB688=1,MAX(1,N(VLOOKUP(T688,Parameter!$I$27:$K$29,3,0)),H688,N(N688)),IF(N(Q688)&gt;0,Q688,MAX(1,H688)))))</f>
        <v>1</v>
      </c>
      <c r="CA688" s="65" t="n">
        <f aca="false">IF(BY688="LOSE",1,0)</f>
        <v>1</v>
      </c>
      <c r="CB688" s="65" t="n">
        <f aca="false">IF(AND(U688="",OR(P688="",P688="LOSE"),T688&lt;&gt;"",N(S688)&lt;=0,ISNUMBER(MATCH(T688,Parameter!$I$27:$I$29,0))),1,0)</f>
        <v>0</v>
      </c>
      <c r="CC688" s="65" t="n">
        <f aca="false">IF(CR688&gt;0,INDEX(Parameter!$H$5:$H$7,W688)/INDEX(Parameter!$E$5:$E$7,W688),IF(AND(CA688=0,N(IFERROR(VLOOKUP(BY688,'Gebinde-Kategorie'!$A$5:$N$45,14,0),0))&gt;0),VLOOKUP(BY688,'Gebinde-Kategorie'!$A$5:$N$45,14,0)*10+Parameter!$M$23,Parameter!$M$24))</f>
        <v>235</v>
      </c>
      <c r="CD688" s="60" t="str">
        <f aca="false">IF(AND(Parameter!$B$19="Ja",E688&lt;&gt;"",ISNUMBER(MATCH(E688,Parameter!$I$35:$I$52,0))),VLOOKUP(E688,Parameter!$I$35:$J$52,2,0),IFERROR(VLOOKUP(D688,Parameter!$A$35:$C$64,2,0),"Nein"))</f>
        <v>Nein</v>
      </c>
      <c r="CE688" s="64" t="n">
        <f aca="false">IF(CA688=0,0,IF(N(S688)&gt;0,S688,IFERROR(VLOOKUP(D688,Parameter!$A$35:$C$64,3,0)+0,0)))</f>
        <v>0.15</v>
      </c>
      <c r="CF688" s="60" t="str">
        <f aca="false">IF(AB688&lt;&gt;"",AB688,AA688)</f>
        <v>-</v>
      </c>
      <c r="CG688" s="60" t="str">
        <f aca="false">IF(OR(CF688=1,CF688=2,CF688=3),IF(Parameter!$E$27="Ja","LIFT",IF(CF688=1,"L1","L23")),IF(CF688="Aussen","Aussen","-"))</f>
        <v>-</v>
      </c>
      <c r="CH688" s="71" t="n">
        <f aca="false">IF(N(AC688)&gt;0,AC688,0)</f>
        <v>0</v>
      </c>
      <c r="CI688" s="65" t="n">
        <f aca="false">IF(ISNUMBER(AF688),1,0)</f>
        <v>0</v>
      </c>
      <c r="CJ688" s="62" t="n">
        <f aca="false">N(AF688)</f>
        <v>0</v>
      </c>
      <c r="CK688" s="62" t="n">
        <f aca="false">N(M688)+N(N688)</f>
        <v>1</v>
      </c>
      <c r="CL688" s="62" t="n">
        <f aca="false">N(M688)</f>
        <v>0</v>
      </c>
      <c r="CM688" s="62" t="n">
        <f aca="false">N(N688)</f>
        <v>1</v>
      </c>
      <c r="CN688" s="62" t="n">
        <f aca="false">ROUNDUP(H688/BZ688,0)</f>
        <v>0</v>
      </c>
      <c r="CO688" s="62" t="n">
        <f aca="false">ROUNDUP(CJ688/BZ688,0)</f>
        <v>0</v>
      </c>
      <c r="CP688" s="65" t="n">
        <f aca="false">IF(CA688=1,0,IFERROR(VLOOKUP(BY688,'Gebinde-Kategorie'!$A$5:$N$45,5,0)+0,0))</f>
        <v>0</v>
      </c>
      <c r="CQ688" s="65" t="n">
        <f aca="false">IFERROR(IF(OR(CF688=1,CF688=2,CF688=3),N(INDEX(Parameter!$I$5:$I$7,CF688)),0),0)</f>
        <v>0</v>
      </c>
      <c r="CR688" s="64" t="n">
        <f aca="false">IF(AND(Parameter!$B$21="Ja",ISNUMBER(W688),N(X688)&gt;0),IFERROR(N(INDEX(Parameter!$L$5:$L$7,W688))*INDEX(Parameter!$E$5:$E$7,W688)*X688/SUMIFS($X$7:$X$1843,$W$7:$W$1843,W688),0),0)</f>
        <v>0</v>
      </c>
      <c r="CS688" s="62" t="str">
        <f aca="false">IF(AND(OR(CG688="L1",CG688="L23",CG688="LIFT"),H688&gt;0),CC688*IF(CR688&gt;0,CR688*MAX(1,H688/X688),IF(CA688=1,CE688,IF(R688&gt;0,CN688/R688,0))/MAX(0.1,N(Parameter!$M$21))),"")</f>
        <v/>
      </c>
      <c r="CT688" s="64" t="str">
        <f aca="false">IF(CS688="","",J688/H688)</f>
        <v/>
      </c>
      <c r="CU688" s="62" t="str">
        <f aca="false">IF(CS688="","",H688*G688)</f>
        <v/>
      </c>
      <c r="CV688" s="63" t="str">
        <f aca="false">IF(CS688="","",(CL688+ROUNDUP(CL688+MAX(CM688,2*(J688/MAX(0.1,N(Einkauf!$C$6))-CL688)),0))/2)</f>
        <v/>
      </c>
      <c r="CW688" s="62" t="str">
        <f aca="false">IF(CS688="","",MAX(0,H688-CV688)*G688)</f>
        <v/>
      </c>
      <c r="CX688" s="62" t="str">
        <f aca="false">IF(CS688="","",CS688*MAX(0,1-CV688/H688))</f>
        <v/>
      </c>
      <c r="CY688" s="64" t="str">
        <f aca="false">IF(CS688="","",PERCENTRANK($CS$7:$CS$1843,CS688)+PERCENTRANK($CU$7:$CU$1843,CU688)+1-PERCENTRANK($CT$7:$CT$1843,CT688))</f>
        <v/>
      </c>
      <c r="CZ688" s="72" t="str">
        <f aca="false">IF(CS688="","",CHOOSE(MATCH(Einkauf!$C$5,Parameter!$G$23:$G$27,0),CY688,CS688,CU688,-CT688,CW688)+ROW()/1000000000)</f>
        <v/>
      </c>
    </row>
    <row r="689" customFormat="false" ht="15" hidden="false" customHeight="false" outlineLevel="0" collapsed="false">
      <c r="A689" s="60" t="s">
        <v>1420</v>
      </c>
      <c r="B689" s="60" t="s">
        <v>1421</v>
      </c>
      <c r="C689" s="60" t="s">
        <v>206</v>
      </c>
      <c r="D689" s="60" t="s">
        <v>226</v>
      </c>
      <c r="E689" s="60"/>
      <c r="F689" s="60" t="s">
        <v>260</v>
      </c>
      <c r="G689" s="61" t="n">
        <v>8.97</v>
      </c>
      <c r="H689" s="62" t="n">
        <f aca="false">MAX(0,IF(AND(Parameter!$B$21="Ja",ISNUMBER(Y689)),Y689,IF(Parameter!$B$20="Jahresanfang 2025 + Export",BS689+BR689,BR689)))</f>
        <v>22</v>
      </c>
      <c r="I689" s="62" t="n">
        <f aca="false">H689*G689</f>
        <v>197.34</v>
      </c>
      <c r="J689" s="62" t="n">
        <f aca="false">BU689*Parameter!$B$18</f>
        <v>0</v>
      </c>
      <c r="K689" s="63" t="n">
        <v>22.5</v>
      </c>
      <c r="L689" s="64" t="n">
        <v>0</v>
      </c>
      <c r="M689" s="62" t="n">
        <v>0</v>
      </c>
      <c r="N689" s="62" t="n">
        <v>1</v>
      </c>
      <c r="O689" s="65" t="n">
        <v>21</v>
      </c>
      <c r="P689" s="60" t="s">
        <v>463</v>
      </c>
      <c r="Q689" s="62" t="n">
        <v>25</v>
      </c>
      <c r="R689" s="65" t="n">
        <f aca="false">IF(CA689=1,0,IFERROR(VLOOKUP(BY689,'Gebinde-Kategorie'!$A$5:$N$45,13,0)+0,0))</f>
        <v>104</v>
      </c>
      <c r="S689" s="66"/>
      <c r="T689" s="67"/>
      <c r="U689" s="67"/>
      <c r="V689" s="67"/>
      <c r="W689" s="60"/>
      <c r="X689" s="62"/>
      <c r="Y689" s="62"/>
      <c r="Z689" s="60" t="n">
        <v>3</v>
      </c>
      <c r="AA689" s="60" t="n">
        <f aca="false">IF(A689="","",IF(AND(Parameter!$B$21="Ja",ISNUMBER(W689)),W689,IF(AND(Parameter!$E$27="Ja",ISNUMBER(Z689),CD689&lt;&gt;"Nein"),Z689,IF(CD689="2+3",IF(ISNUMBER(SEARCH("grosser Artikel",BV689)),2,IFERROR(VLOOKUP(BY689,Parameter!$F$35:$G$64,2,0),2)),IF(OR(CD689="Nein",CD689=""),"-",CD689)))))</f>
        <v>3</v>
      </c>
      <c r="AB689" s="67"/>
      <c r="AC689" s="68"/>
      <c r="AD689" s="62" t="n">
        <f aca="false">AW689</f>
        <v>1</v>
      </c>
      <c r="AE689" s="62" t="n">
        <f aca="false">MAX(AW689,H689)</f>
        <v>22</v>
      </c>
      <c r="AF689" s="69"/>
      <c r="AG689" s="62" t="n">
        <f aca="false">IF(LEFT(Cockpit!$C$5,1)="A",H689,IF(Parameter!$E$30="MAX-Bestand",IF(CI689=1,CJ689,IF(LEFT(Cockpit!$C$5,1)="B",AM689,MAX(AM689,H689))),ROUNDUP(AK689,0)))</f>
        <v>22</v>
      </c>
      <c r="AH689" s="62" t="n">
        <f aca="false">IF(CA689=1,0,ROUNDUP(AG689/BZ689,0))</f>
        <v>1</v>
      </c>
      <c r="AI689" s="64" t="n">
        <f aca="false">IF(CR689&gt;0,CR689*MAX(1,AG689/X689),IF(CA689=1,IF(AG689&lt;=0,0,CE689*MAX(1,IF(H689&gt;0,AG689/H689,1))),IF(R689&gt;0,AH689/R689,0))/MAX(0.1,N(Parameter!$M$21)))</f>
        <v>0.00961538461538462</v>
      </c>
      <c r="AJ689" s="62" t="n">
        <f aca="false">AI689*CC689</f>
        <v>1.49038461538462</v>
      </c>
      <c r="AK689" s="63" t="n">
        <f aca="false">IF(LEFT(Cockpit!$C$5,1)="A",H689,IF(CI689=1,(CL689+CJ689)/2,IF(LEFT(Cockpit!$C$5,1)="B",(CL689+AM689)/2,MAX((CL689+AM689)/2,H689))))</f>
        <v>22</v>
      </c>
      <c r="AL689" s="62" t="n">
        <f aca="false">AK689*G689</f>
        <v>197.34</v>
      </c>
      <c r="AM689" s="62" t="n">
        <f aca="false">ROUNDUP(CL689+MAX(CM689,2*(J689/IF(CH689&gt;0,CH689,MAX(0.1,N(Cockpit!$C$6)))-CL689)),0)</f>
        <v>1</v>
      </c>
      <c r="AN689" s="63" t="n">
        <f aca="false">IF(AJ689&gt;0,J689/AJ689,-1)</f>
        <v>0</v>
      </c>
      <c r="AO689" s="63" t="n">
        <f aca="false">IF(AND(OR(CG689="L1",CG689="L23",CG689="LIFT"),AJ689&gt;0),SUMIFS($AJ$7:$AJ$1843,$CG$7:$CG$1843,CG689,$AN$7:$AN$1843,"&gt;"&amp;AN689)+SUMIFS($AJ$7:$AJ$1843,$CG$7:$CG$1843,CG689,$AN$7:$AN$1843,AN689,$BX$7:$BX$1843,"&lt;="&amp;BX689),"")</f>
        <v>28613.0944904907</v>
      </c>
      <c r="AP689" s="70" t="n">
        <f aca="false">IF(AO689="",0,MAX(0,MIN(1,(IF(CG689="L1",Parameter!$H$5,IF(CG689="L23",Parameter!$H$6+Parameter!$H$7,Parameter!$H$5+Parameter!$H$6+Parameter!$H$7))-(AO689-AJ689))/AJ689)))</f>
        <v>1</v>
      </c>
      <c r="AQ689" s="62" t="n">
        <f aca="false">IF(LEFT(Cockpit!$I$5,1)="A",H689,IF(Parameter!$E$30="MAX-Bestand",IF(CI689=1,CJ689,IF(LEFT(Cockpit!$I$5,1)="B",AW689,MAX(AW689,H689))),ROUNDUP(AU689,0)))</f>
        <v>22</v>
      </c>
      <c r="AR689" s="62" t="n">
        <f aca="false">IF(CA689=1,0,ROUNDUP(AQ689/BZ689,0))</f>
        <v>1</v>
      </c>
      <c r="AS689" s="64" t="n">
        <f aca="false">IF(CR689&gt;0,CR689*MAX(1,AQ689/X689),IF(CA689=1,IF(AQ689&lt;=0,0,CE689*MAX(1,IF(H689&gt;0,AQ689/H689,1))),IF(R689&gt;0,AR689/R689,0))/MAX(0.1,N(Parameter!$M$21)))</f>
        <v>0.00961538461538462</v>
      </c>
      <c r="AT689" s="62" t="n">
        <f aca="false">AS689*CC689</f>
        <v>1.49038461538462</v>
      </c>
      <c r="AU689" s="63" t="n">
        <f aca="false">IF(LEFT(Cockpit!$I$5,1)="A",H689,IF(CI689=1,(CL689+CJ689)/2,IF(LEFT(Cockpit!$I$5,1)="B",(CL689+AW689)/2,MAX((CL689+AW689)/2,H689))))</f>
        <v>22</v>
      </c>
      <c r="AV689" s="62" t="n">
        <f aca="false">AU689*G689</f>
        <v>197.34</v>
      </c>
      <c r="AW689" s="62" t="n">
        <f aca="false">ROUNDUP(CL689+MAX(CM689,2*(J689/IF(CH689&gt;0,CH689,MAX(0.1,N(Cockpit!$I$6)))-CL689)),0)</f>
        <v>1</v>
      </c>
      <c r="AX689" s="63" t="n">
        <f aca="false">IF(AT689&gt;0,J689/AT689,-1)</f>
        <v>0</v>
      </c>
      <c r="AY689" s="63" t="n">
        <f aca="false">IF(AND(OR(CG689="L1",CG689="L23",CG689="LIFT"),AT689&gt;0),SUMIFS($AT$7:$AT$1843,$CG$7:$CG$1843,CG689,$AX$7:$AX$1843,"&gt;"&amp;AX689)+SUMIFS($AT$7:$AT$1843,$CG$7:$CG$1843,CG689,$AX$7:$AX$1843,AX689,$BX$7:$BX$1843,"&lt;="&amp;BX689),"")</f>
        <v>34005.4097985348</v>
      </c>
      <c r="AZ689" s="70" t="n">
        <f aca="false">IF(AY689="",0,MAX(0,MIN(1,(IF(CG689="L1",Parameter!$H$5,IF(CG689="L23",Parameter!$H$6+Parameter!$H$7,Parameter!$H$5+Parameter!$H$6+Parameter!$H$7))-(AY689-AT689))/AT689)))</f>
        <v>1</v>
      </c>
      <c r="BA689" s="62" t="n">
        <f aca="false">IF(LEFT(Cockpit!$O$5,1)="A",H689,IF(Parameter!$E$30="MAX-Bestand",IF(CI689=1,CJ689,IF(LEFT(Cockpit!$O$5,1)="B",BG689,MAX(BG689,H689))),ROUNDUP(BE689,0)))</f>
        <v>1</v>
      </c>
      <c r="BB689" s="62" t="n">
        <f aca="false">IF(CA689=1,0,ROUNDUP(BA689/BZ689,0))</f>
        <v>1</v>
      </c>
      <c r="BC689" s="64" t="n">
        <f aca="false">IF(CR689&gt;0,CR689*MAX(1,BA689/X689),IF(CA689=1,IF(BA689&lt;=0,0,CE689*MAX(1,IF(H689&gt;0,BA689/H689,1))),IF(R689&gt;0,BB689/R689,0))/MAX(0.1,N(Parameter!$M$21)))</f>
        <v>0.00961538461538462</v>
      </c>
      <c r="BD689" s="62" t="n">
        <f aca="false">BC689*CC689</f>
        <v>1.49038461538462</v>
      </c>
      <c r="BE689" s="63" t="n">
        <f aca="false">IF(LEFT(Cockpit!$O$5,1)="A",H689,IF(CI689=1,(CL689+CJ689)/2,IF(LEFT(Cockpit!$O$5,1)="B",(CL689+BG689)/2,MAX((CL689+BG689)/2,H689))))</f>
        <v>0.5</v>
      </c>
      <c r="BF689" s="62" t="n">
        <f aca="false">BE689*G689</f>
        <v>4.485</v>
      </c>
      <c r="BG689" s="62" t="n">
        <f aca="false">ROUNDUP(CL689+MAX(CM689,2*(J689/IF(CH689&gt;0,CH689,MAX(0.1,N(Cockpit!$O$6)))-CL689)),0)</f>
        <v>1</v>
      </c>
      <c r="BH689" s="63" t="n">
        <f aca="false">IF(BD689&gt;0,J689/BD689,-1)</f>
        <v>0</v>
      </c>
      <c r="BI689" s="63" t="n">
        <f aca="false">IF(AND(OR(CG689="L1",CG689="L23",CG689="LIFT"),BD689&gt;0),SUMIFS($BD$7:$BD$1843,$CG$7:$CG$1843,CG689,$BH$7:$BH$1843,"&gt;"&amp;BH689)+SUMIFS($BD$7:$BD$1843,$CG$7:$CG$1843,CG689,$BH$7:$BH$1843,BH689,$BX$7:$BX$1843,"&lt;="&amp;BX689),"")</f>
        <v>28069.5388030049</v>
      </c>
      <c r="BJ689" s="70" t="n">
        <f aca="false">IF(BI689="",0,MAX(0,MIN(1,(IF(CG689="L1",Parameter!$H$5,IF(CG689="L23",Parameter!$H$6+Parameter!$H$7,Parameter!$H$5+Parameter!$H$6+Parameter!$H$7))-(BI689-BD689))/BD689)))</f>
        <v>1</v>
      </c>
      <c r="BK689" s="60" t="str">
        <f aca="false">IF(AJ689&lt;=0,"",IF(CG689="Aussen","Aussenlager",IF(CG689="-","Nicht im Lift",IF(AP689&gt;=1,"Lift",IF(AP689&lt;=0,"Aussenlager","teilweise")))))</f>
        <v>Lift</v>
      </c>
      <c r="BL689" s="60" t="str">
        <f aca="false">IF(AT689&lt;=0,"",IF(CG689="Aussen","Aussenlager",IF(CG689="-","Nicht im Lift",IF(AZ689&gt;=1,"Lift",IF(AZ689&lt;=0,"Aussenlager","teilweise")))))</f>
        <v>Lift</v>
      </c>
      <c r="BM689" s="60" t="str">
        <f aca="false">IF(BD689&lt;=0,"",IF(CG689="Aussen","Aussenlager",IF(CG689="-","Nicht im Lift",IF(BJ689&gt;=1,"Lift",IF(BJ689&lt;=0,"Aussenlager","teilweise")))))</f>
        <v>Lift</v>
      </c>
      <c r="BN689" s="60" t="str">
        <f aca="false">IF(A689="","",IF(BW689=1,"Neu; ","")&amp;IF(AND(BW689=0,BR689&lt;0),"negativer Bestand (Export "&amp;BR689&amp;"); ","")&amp;IF(J689&lt;=0,"Kein Verbrauch; ","")&amp;IF(CR689&gt;0,"Lift "&amp;W689&amp;" lt. Liftbericht (Fach "&amp;X689&amp;" Stk); ",IF(CB689=1,"Gebinde geschätzt ("&amp;T689&amp;"); ",IF(CA689=1,"Lose – Tablare geschätzt; ","")))&amp;IF(H689&gt;AW689,"Überbestand "&amp;ROUND(H689-AW689,0)&amp;" Stk / CHF "&amp;ROUND((H689-AW689)*G689,0)&amp;"; ","")&amp;IF(AND(CI689=1,CJ689&lt;CK689),"MAX &lt; MB+LG; ","")&amp;IF(AND(CQ689&gt;0,CP689*10&gt;CQ689),"zu hoch für Tablar; ","")&amp;IF(AND(BW689=0,OR(CI689=1,AB689&lt;&gt;"",U689&lt;&gt;"",V689&lt;&gt;"",AC689&lt;&gt;"")),"manuell übersteuert; ","")&amp;IF(AND(CA689=0,R689=0),"Gebinde unbekannt / Stellmass fehlt; ","")&amp;IF(AND(CA689=0,N(V689)&lt;=0,N(Q689)&lt;=0),"Menge pro Gebinde fehlt (Ist = 1 Gebinde); ","")&amp;BV689)</f>
        <v>Kein Verbrauch; Überbestand 21 Stk / CHF 188; </v>
      </c>
      <c r="BO689" s="60"/>
      <c r="BP689" s="60"/>
      <c r="BQ689" s="67"/>
      <c r="BR689" s="62" t="n">
        <v>0</v>
      </c>
      <c r="BS689" s="62" t="n">
        <v>22</v>
      </c>
      <c r="BT689" s="61" t="n">
        <v>0</v>
      </c>
      <c r="BU689" s="62" t="n">
        <v>0</v>
      </c>
      <c r="BV689" s="60"/>
      <c r="BW689" s="65" t="n">
        <v>0</v>
      </c>
      <c r="BX689" s="65" t="n">
        <v>689</v>
      </c>
      <c r="BY689" s="60" t="str">
        <f aca="false">IF(U689&lt;&gt;"",UPPER(TRIM(U689)),IF(CB689=1,UPPER(VLOOKUP(T689,Parameter!$I$27:$K$29,2,0)),IF(P689="","LOSE",P689)))</f>
        <v>S32</v>
      </c>
      <c r="BZ689" s="62" t="n">
        <f aca="false">IF(BY689="LOSE",1,IF(N(V689)&gt;0,V689,IF(CB689=1,MAX(1,N(VLOOKUP(T689,Parameter!$I$27:$K$29,3,0)),H689,N(N689)),IF(N(Q689)&gt;0,Q689,MAX(1,H689)))))</f>
        <v>25</v>
      </c>
      <c r="CA689" s="65" t="n">
        <f aca="false">IF(BY689="LOSE",1,0)</f>
        <v>0</v>
      </c>
      <c r="CB689" s="65" t="n">
        <f aca="false">IF(AND(U689="",OR(P689="",P689="LOSE"),T689&lt;&gt;"",N(S689)&lt;=0,ISNUMBER(MATCH(T689,Parameter!$I$27:$I$29,0))),1,0)</f>
        <v>0</v>
      </c>
      <c r="CC689" s="65" t="n">
        <f aca="false">IF(CR689&gt;0,INDEX(Parameter!$H$5:$H$7,W689)/INDEX(Parameter!$E$5:$E$7,W689),IF(AND(CA689=0,N(IFERROR(VLOOKUP(BY689,'Gebinde-Kategorie'!$A$5:$N$45,14,0),0))&gt;0),VLOOKUP(BY689,'Gebinde-Kategorie'!$A$5:$N$45,14,0)*10+Parameter!$M$23,Parameter!$M$24))</f>
        <v>155</v>
      </c>
      <c r="CD689" s="60" t="str">
        <f aca="false">IF(AND(Parameter!$B$19="Ja",E689&lt;&gt;"",ISNUMBER(MATCH(E689,Parameter!$I$35:$I$52,0))),VLOOKUP(E689,Parameter!$I$35:$J$52,2,0),IFERROR(VLOOKUP(D689,Parameter!$A$35:$C$64,2,0),"Nein"))</f>
        <v>2+3</v>
      </c>
      <c r="CE689" s="64" t="n">
        <f aca="false">IF(CA689=0,0,IF(N(S689)&gt;0,S689,IFERROR(VLOOKUP(D689,Parameter!$A$35:$C$64,3,0)+0,0)))</f>
        <v>0</v>
      </c>
      <c r="CF689" s="60" t="n">
        <f aca="false">IF(AB689&lt;&gt;"",AB689,AA689)</f>
        <v>3</v>
      </c>
      <c r="CG689" s="60" t="str">
        <f aca="false">IF(OR(CF689=1,CF689=2,CF689=3),IF(Parameter!$E$27="Ja","LIFT",IF(CF689=1,"L1","L23")),IF(CF689="Aussen","Aussen","-"))</f>
        <v>LIFT</v>
      </c>
      <c r="CH689" s="71" t="n">
        <f aca="false">IF(N(AC689)&gt;0,AC689,0)</f>
        <v>0</v>
      </c>
      <c r="CI689" s="65" t="n">
        <f aca="false">IF(ISNUMBER(AF689),1,0)</f>
        <v>0</v>
      </c>
      <c r="CJ689" s="62" t="n">
        <f aca="false">N(AF689)</f>
        <v>0</v>
      </c>
      <c r="CK689" s="62" t="n">
        <f aca="false">N(M689)+N(N689)</f>
        <v>1</v>
      </c>
      <c r="CL689" s="62" t="n">
        <f aca="false">N(M689)</f>
        <v>0</v>
      </c>
      <c r="CM689" s="62" t="n">
        <f aca="false">N(N689)</f>
        <v>1</v>
      </c>
      <c r="CN689" s="62" t="n">
        <f aca="false">ROUNDUP(H689/BZ689,0)</f>
        <v>1</v>
      </c>
      <c r="CO689" s="62" t="n">
        <f aca="false">ROUNDUP(CJ689/BZ689,0)</f>
        <v>0</v>
      </c>
      <c r="CP689" s="65" t="n">
        <f aca="false">IF(CA689=1,0,IFERROR(VLOOKUP(BY689,'Gebinde-Kategorie'!$A$5:$N$45,5,0)+0,0))</f>
        <v>8</v>
      </c>
      <c r="CQ689" s="65" t="n">
        <f aca="false">IFERROR(IF(OR(CF689=1,CF689=2,CF689=3),N(INDEX(Parameter!$I$5:$I$7,CF689)),0),0)</f>
        <v>0</v>
      </c>
      <c r="CR689" s="64" t="n">
        <f aca="false">IF(AND(Parameter!$B$21="Ja",ISNUMBER(W689),N(X689)&gt;0),IFERROR(N(INDEX(Parameter!$L$5:$L$7,W689))*INDEX(Parameter!$E$5:$E$7,W689)*X689/SUMIFS($X$7:$X$1843,$W$7:$W$1843,W689),0),0)</f>
        <v>0</v>
      </c>
      <c r="CS689" s="62" t="n">
        <f aca="false">IF(AND(OR(CG689="L1",CG689="L23",CG689="LIFT"),H689&gt;0),CC689*IF(CR689&gt;0,CR689*MAX(1,H689/X689),IF(CA689=1,CE689,IF(R689&gt;0,CN689/R689,0))/MAX(0.1,N(Parameter!$M$21))),"")</f>
        <v>1.49038461538462</v>
      </c>
      <c r="CT689" s="64" t="n">
        <f aca="false">IF(CS689="","",J689/H689)</f>
        <v>0</v>
      </c>
      <c r="CU689" s="62" t="n">
        <f aca="false">IF(CS689="","",H689*G689)</f>
        <v>197.34</v>
      </c>
      <c r="CV689" s="63" t="n">
        <f aca="false">IF(CS689="","",(CL689+ROUNDUP(CL689+MAX(CM689,2*(J689/MAX(0.1,N(Einkauf!$C$6))-CL689)),0))/2)</f>
        <v>0.5</v>
      </c>
      <c r="CW689" s="62" t="n">
        <f aca="false">IF(CS689="","",MAX(0,H689-CV689)*G689)</f>
        <v>192.855</v>
      </c>
      <c r="CX689" s="62" t="n">
        <f aca="false">IF(CS689="","",CS689*MAX(0,1-CV689/H689))</f>
        <v>1.45651223776224</v>
      </c>
      <c r="CY689" s="64" t="n">
        <f aca="false">IF(CS689="","",PERCENTRANK($CS$7:$CS$1843,CS689)+PERCENTRANK($CU$7:$CU$1843,CU689)+1-PERCENTRANK($CT$7:$CT$1843,CT689))</f>
        <v>1.456</v>
      </c>
      <c r="CZ689" s="72" t="n">
        <f aca="false">IF(CS689="","",CHOOSE(MATCH(Einkauf!$C$5,Parameter!$G$23:$G$27,0),CY689,CS689,CU689,-CT689,CW689)+ROW()/1000000000)</f>
        <v>1.456000689</v>
      </c>
    </row>
    <row r="690" customFormat="false" ht="15" hidden="false" customHeight="false" outlineLevel="0" collapsed="false">
      <c r="A690" s="60" t="s">
        <v>1422</v>
      </c>
      <c r="B690" s="60" t="s">
        <v>618</v>
      </c>
      <c r="C690" s="60" t="s">
        <v>206</v>
      </c>
      <c r="D690" s="60" t="s">
        <v>226</v>
      </c>
      <c r="E690" s="60"/>
      <c r="F690" s="60" t="s">
        <v>260</v>
      </c>
      <c r="G690" s="61" t="n">
        <v>703.81</v>
      </c>
      <c r="H690" s="62" t="n">
        <f aca="false">MAX(0,IF(AND(Parameter!$B$21="Ja",ISNUMBER(Y690)),Y690,IF(Parameter!$B$20="Jahresanfang 2025 + Export",BS690+BR690,BR690)))</f>
        <v>17</v>
      </c>
      <c r="I690" s="62" t="n">
        <f aca="false">H690*G690</f>
        <v>11964.77</v>
      </c>
      <c r="J690" s="62" t="n">
        <f aca="false">BU690*Parameter!$B$18</f>
        <v>0</v>
      </c>
      <c r="K690" s="63" t="n">
        <v>17</v>
      </c>
      <c r="L690" s="64" t="n">
        <v>0</v>
      </c>
      <c r="M690" s="62" t="n">
        <v>0</v>
      </c>
      <c r="N690" s="62" t="n">
        <v>1</v>
      </c>
      <c r="O690" s="65" t="n">
        <v>35</v>
      </c>
      <c r="P690" s="60" t="s">
        <v>210</v>
      </c>
      <c r="Q690" s="62"/>
      <c r="R690" s="65" t="n">
        <f aca="false">IF(CA690=1,0,IFERROR(VLOOKUP(BY690,'Gebinde-Kategorie'!$A$5:$N$45,13,0)+0,0))</f>
        <v>26</v>
      </c>
      <c r="S690" s="66"/>
      <c r="T690" s="67" t="s">
        <v>317</v>
      </c>
      <c r="U690" s="67"/>
      <c r="V690" s="67"/>
      <c r="W690" s="60"/>
      <c r="X690" s="62"/>
      <c r="Y690" s="62"/>
      <c r="Z690" s="60" t="n">
        <v>3</v>
      </c>
      <c r="AA690" s="60" t="n">
        <f aca="false">IF(A690="","",IF(AND(Parameter!$B$21="Ja",ISNUMBER(W690)),W690,IF(AND(Parameter!$E$27="Ja",ISNUMBER(Z690),CD690&lt;&gt;"Nein"),Z690,IF(CD690="2+3",IF(ISNUMBER(SEARCH("grosser Artikel",BV690)),2,IFERROR(VLOOKUP(BY690,Parameter!$F$35:$G$64,2,0),2)),IF(OR(CD690="Nein",CD690=""),"-",CD690)))))</f>
        <v>3</v>
      </c>
      <c r="AB690" s="67"/>
      <c r="AC690" s="68"/>
      <c r="AD690" s="62" t="n">
        <f aca="false">AW690</f>
        <v>1</v>
      </c>
      <c r="AE690" s="62" t="n">
        <f aca="false">MAX(AW690,H690)</f>
        <v>17</v>
      </c>
      <c r="AF690" s="69"/>
      <c r="AG690" s="62" t="n">
        <f aca="false">IF(LEFT(Cockpit!$C$5,1)="A",H690,IF(Parameter!$E$30="MAX-Bestand",IF(CI690=1,CJ690,IF(LEFT(Cockpit!$C$5,1)="B",AM690,MAX(AM690,H690))),ROUNDUP(AK690,0)))</f>
        <v>17</v>
      </c>
      <c r="AH690" s="62" t="n">
        <f aca="false">IF(CA690=1,0,ROUNDUP(AG690/BZ690,0))</f>
        <v>1</v>
      </c>
      <c r="AI690" s="64" t="n">
        <f aca="false">IF(CR690&gt;0,CR690*MAX(1,AG690/X690),IF(CA690=1,IF(AG690&lt;=0,0,CE690*MAX(1,IF(H690&gt;0,AG690/H690,1))),IF(R690&gt;0,AH690/R690,0))/MAX(0.1,N(Parameter!$M$21)))</f>
        <v>0.0384615384615385</v>
      </c>
      <c r="AJ690" s="62" t="n">
        <f aca="false">AI690*CC690</f>
        <v>5.96153846153846</v>
      </c>
      <c r="AK690" s="63" t="n">
        <f aca="false">IF(LEFT(Cockpit!$C$5,1)="A",H690,IF(CI690=1,(CL690+CJ690)/2,IF(LEFT(Cockpit!$C$5,1)="B",(CL690+AM690)/2,MAX((CL690+AM690)/2,H690))))</f>
        <v>17</v>
      </c>
      <c r="AL690" s="62" t="n">
        <f aca="false">AK690*G690</f>
        <v>11964.77</v>
      </c>
      <c r="AM690" s="62" t="n">
        <f aca="false">ROUNDUP(CL690+MAX(CM690,2*(J690/IF(CH690&gt;0,CH690,MAX(0.1,N(Cockpit!$C$6)))-CL690)),0)</f>
        <v>1</v>
      </c>
      <c r="AN690" s="63" t="n">
        <f aca="false">IF(AJ690&gt;0,J690/AJ690,-1)</f>
        <v>0</v>
      </c>
      <c r="AO690" s="63" t="n">
        <f aca="false">IF(AND(OR(CG690="L1",CG690="L23",CG690="LIFT"),AJ690&gt;0),SUMIFS($AJ$7:$AJ$1843,$CG$7:$CG$1843,CG690,$AN$7:$AN$1843,"&gt;"&amp;AN690)+SUMIFS($AJ$7:$AJ$1843,$CG$7:$CG$1843,CG690,$AN$7:$AN$1843,AN690,$BX$7:$BX$1843,"&lt;="&amp;BX690),"")</f>
        <v>28619.0560289522</v>
      </c>
      <c r="AP690" s="70" t="n">
        <f aca="false">IF(AO690="",0,MAX(0,MIN(1,(IF(CG690="L1",Parameter!$H$5,IF(CG690="L23",Parameter!$H$6+Parameter!$H$7,Parameter!$H$5+Parameter!$H$6+Parameter!$H$7))-(AO690-AJ690))/AJ690)))</f>
        <v>1</v>
      </c>
      <c r="AQ690" s="62" t="n">
        <f aca="false">IF(LEFT(Cockpit!$I$5,1)="A",H690,IF(Parameter!$E$30="MAX-Bestand",IF(CI690=1,CJ690,IF(LEFT(Cockpit!$I$5,1)="B",AW690,MAX(AW690,H690))),ROUNDUP(AU690,0)))</f>
        <v>17</v>
      </c>
      <c r="AR690" s="62" t="n">
        <f aca="false">IF(CA690=1,0,ROUNDUP(AQ690/BZ690,0))</f>
        <v>1</v>
      </c>
      <c r="AS690" s="64" t="n">
        <f aca="false">IF(CR690&gt;0,CR690*MAX(1,AQ690/X690),IF(CA690=1,IF(AQ690&lt;=0,0,CE690*MAX(1,IF(H690&gt;0,AQ690/H690,1))),IF(R690&gt;0,AR690/R690,0))/MAX(0.1,N(Parameter!$M$21)))</f>
        <v>0.0384615384615385</v>
      </c>
      <c r="AT690" s="62" t="n">
        <f aca="false">AS690*CC690</f>
        <v>5.96153846153846</v>
      </c>
      <c r="AU690" s="63" t="n">
        <f aca="false">IF(LEFT(Cockpit!$I$5,1)="A",H690,IF(CI690=1,(CL690+CJ690)/2,IF(LEFT(Cockpit!$I$5,1)="B",(CL690+AW690)/2,MAX((CL690+AW690)/2,H690))))</f>
        <v>17</v>
      </c>
      <c r="AV690" s="62" t="n">
        <f aca="false">AU690*G690</f>
        <v>11964.77</v>
      </c>
      <c r="AW690" s="62" t="n">
        <f aca="false">ROUNDUP(CL690+MAX(CM690,2*(J690/IF(CH690&gt;0,CH690,MAX(0.1,N(Cockpit!$I$6)))-CL690)),0)</f>
        <v>1</v>
      </c>
      <c r="AX690" s="63" t="n">
        <f aca="false">IF(AT690&gt;0,J690/AT690,-1)</f>
        <v>0</v>
      </c>
      <c r="AY690" s="63" t="n">
        <f aca="false">IF(AND(OR(CG690="L1",CG690="L23",CG690="LIFT"),AT690&gt;0),SUMIFS($AT$7:$AT$1843,$CG$7:$CG$1843,CG690,$AX$7:$AX$1843,"&gt;"&amp;AX690)+SUMIFS($AT$7:$AT$1843,$CG$7:$CG$1843,CG690,$AX$7:$AX$1843,AX690,$BX$7:$BX$1843,"&lt;="&amp;BX690),"")</f>
        <v>34011.3713369963</v>
      </c>
      <c r="AZ690" s="70" t="n">
        <f aca="false">IF(AY690="",0,MAX(0,MIN(1,(IF(CG690="L1",Parameter!$H$5,IF(CG690="L23",Parameter!$H$6+Parameter!$H$7,Parameter!$H$5+Parameter!$H$6+Parameter!$H$7))-(AY690-AT690))/AT690)))</f>
        <v>1</v>
      </c>
      <c r="BA690" s="62" t="n">
        <f aca="false">IF(LEFT(Cockpit!$O$5,1)="A",H690,IF(Parameter!$E$30="MAX-Bestand",IF(CI690=1,CJ690,IF(LEFT(Cockpit!$O$5,1)="B",BG690,MAX(BG690,H690))),ROUNDUP(BE690,0)))</f>
        <v>1</v>
      </c>
      <c r="BB690" s="62" t="n">
        <f aca="false">IF(CA690=1,0,ROUNDUP(BA690/BZ690,0))</f>
        <v>1</v>
      </c>
      <c r="BC690" s="64" t="n">
        <f aca="false">IF(CR690&gt;0,CR690*MAX(1,BA690/X690),IF(CA690=1,IF(BA690&lt;=0,0,CE690*MAX(1,IF(H690&gt;0,BA690/H690,1))),IF(R690&gt;0,BB690/R690,0))/MAX(0.1,N(Parameter!$M$21)))</f>
        <v>0.0384615384615385</v>
      </c>
      <c r="BD690" s="62" t="n">
        <f aca="false">BC690*CC690</f>
        <v>5.96153846153846</v>
      </c>
      <c r="BE690" s="63" t="n">
        <f aca="false">IF(LEFT(Cockpit!$O$5,1)="A",H690,IF(CI690=1,(CL690+CJ690)/2,IF(LEFT(Cockpit!$O$5,1)="B",(CL690+BG690)/2,MAX((CL690+BG690)/2,H690))))</f>
        <v>0.5</v>
      </c>
      <c r="BF690" s="62" t="n">
        <f aca="false">BE690*G690</f>
        <v>351.905</v>
      </c>
      <c r="BG690" s="62" t="n">
        <f aca="false">ROUNDUP(CL690+MAX(CM690,2*(J690/IF(CH690&gt;0,CH690,MAX(0.1,N(Cockpit!$O$6)))-CL690)),0)</f>
        <v>1</v>
      </c>
      <c r="BH690" s="63" t="n">
        <f aca="false">IF(BD690&gt;0,J690/BD690,-1)</f>
        <v>0</v>
      </c>
      <c r="BI690" s="63" t="n">
        <f aca="false">IF(AND(OR(CG690="L1",CG690="L23",CG690="LIFT"),BD690&gt;0),SUMIFS($BD$7:$BD$1843,$CG$7:$CG$1843,CG690,$BH$7:$BH$1843,"&gt;"&amp;BH690)+SUMIFS($BD$7:$BD$1843,$CG$7:$CG$1843,CG690,$BH$7:$BH$1843,BH690,$BX$7:$BX$1843,"&lt;="&amp;BX690),"")</f>
        <v>28075.5003414664</v>
      </c>
      <c r="BJ690" s="70" t="n">
        <f aca="false">IF(BI690="",0,MAX(0,MIN(1,(IF(CG690="L1",Parameter!$H$5,IF(CG690="L23",Parameter!$H$6+Parameter!$H$7,Parameter!$H$5+Parameter!$H$6+Parameter!$H$7))-(BI690-BD690))/BD690)))</f>
        <v>1</v>
      </c>
      <c r="BK690" s="60" t="str">
        <f aca="false">IF(AJ690&lt;=0,"",IF(CG690="Aussen","Aussenlager",IF(CG690="-","Nicht im Lift",IF(AP690&gt;=1,"Lift",IF(AP690&lt;=0,"Aussenlager","teilweise")))))</f>
        <v>Lift</v>
      </c>
      <c r="BL690" s="60" t="str">
        <f aca="false">IF(AT690&lt;=0,"",IF(CG690="Aussen","Aussenlager",IF(CG690="-","Nicht im Lift",IF(AZ690&gt;=1,"Lift",IF(AZ690&lt;=0,"Aussenlager","teilweise")))))</f>
        <v>Lift</v>
      </c>
      <c r="BM690" s="60" t="str">
        <f aca="false">IF(BD690&lt;=0,"",IF(CG690="Aussen","Aussenlager",IF(CG690="-","Nicht im Lift",IF(BJ690&gt;=1,"Lift",IF(BJ690&lt;=0,"Aussenlager","teilweise")))))</f>
        <v>Lift</v>
      </c>
      <c r="BN690" s="60" t="str">
        <f aca="false">IF(A690="","",IF(BW690=1,"Neu; ","")&amp;IF(AND(BW690=0,BR690&lt;0),"negativer Bestand (Export "&amp;BR690&amp;"); ","")&amp;IF(J690&lt;=0,"Kein Verbrauch; ","")&amp;IF(CR690&gt;0,"Lift "&amp;W690&amp;" lt. Liftbericht (Fach "&amp;X690&amp;" Stk); ",IF(CB690=1,"Gebinde geschätzt ("&amp;T690&amp;"); ",IF(CA690=1,"Lose – Tablare geschätzt; ","")))&amp;IF(H690&gt;AW690,"Überbestand "&amp;ROUND(H690-AW690,0)&amp;" Stk / CHF "&amp;ROUND((H690-AW690)*G690,0)&amp;"; ","")&amp;IF(AND(CI690=1,CJ690&lt;CK690),"MAX &lt; MB+LG; ","")&amp;IF(AND(CQ690&gt;0,CP690*10&gt;CQ690),"zu hoch für Tablar; ","")&amp;IF(AND(BW690=0,OR(CI690=1,AB690&lt;&gt;"",U690&lt;&gt;"",V690&lt;&gt;"",AC690&lt;&gt;"")),"manuell übersteuert; ","")&amp;IF(AND(CA690=0,R690=0),"Gebinde unbekannt / Stellmass fehlt; ","")&amp;IF(AND(CA690=0,N(V690)&lt;=0,N(Q690)&lt;=0),"Menge pro Gebinde fehlt (Ist = 1 Gebinde); ","")&amp;BV690)</f>
        <v>Kein Verbrauch; Gebinde geschätzt (Klein); Überbestand 16 Stk / CHF 11261; Menge pro Gebinde fehlt (Ist = 1 Gebinde); </v>
      </c>
      <c r="BO690" s="60"/>
      <c r="BP690" s="60"/>
      <c r="BQ690" s="67"/>
      <c r="BR690" s="62" t="n">
        <v>0</v>
      </c>
      <c r="BS690" s="62" t="n">
        <v>17</v>
      </c>
      <c r="BT690" s="61" t="n">
        <v>0</v>
      </c>
      <c r="BU690" s="62" t="n">
        <v>0</v>
      </c>
      <c r="BV690" s="60"/>
      <c r="BW690" s="65" t="n">
        <v>0</v>
      </c>
      <c r="BX690" s="65" t="n">
        <v>690</v>
      </c>
      <c r="BY690" s="60" t="str">
        <f aca="false">IF(U690&lt;&gt;"",UPPER(TRIM(U690)),IF(CB690=1,UPPER(VLOOKUP(T690,Parameter!$I$27:$K$29,2,0)),IF(P690="","LOSE",P690)))</f>
        <v>S51</v>
      </c>
      <c r="BZ690" s="62" t="n">
        <f aca="false">IF(BY690="LOSE",1,IF(N(V690)&gt;0,V690,IF(CB690=1,MAX(1,N(VLOOKUP(T690,Parameter!$I$27:$K$29,3,0)),H690,N(N690)),IF(N(Q690)&gt;0,Q690,MAX(1,H690)))))</f>
        <v>20</v>
      </c>
      <c r="CA690" s="65" t="n">
        <f aca="false">IF(BY690="LOSE",1,0)</f>
        <v>0</v>
      </c>
      <c r="CB690" s="65" t="n">
        <f aca="false">IF(AND(U690="",OR(P690="",P690="LOSE"),T690&lt;&gt;"",N(S690)&lt;=0,ISNUMBER(MATCH(T690,Parameter!$I$27:$I$29,0))),1,0)</f>
        <v>1</v>
      </c>
      <c r="CC690" s="65" t="n">
        <f aca="false">IF(CR690&gt;0,INDEX(Parameter!$H$5:$H$7,W690)/INDEX(Parameter!$E$5:$E$7,W690),IF(AND(CA690=0,N(IFERROR(VLOOKUP(BY690,'Gebinde-Kategorie'!$A$5:$N$45,14,0),0))&gt;0),VLOOKUP(BY690,'Gebinde-Kategorie'!$A$5:$N$45,14,0)*10+Parameter!$M$23,Parameter!$M$24))</f>
        <v>155</v>
      </c>
      <c r="CD690" s="60" t="str">
        <f aca="false">IF(AND(Parameter!$B$19="Ja",E690&lt;&gt;"",ISNUMBER(MATCH(E690,Parameter!$I$35:$I$52,0))),VLOOKUP(E690,Parameter!$I$35:$J$52,2,0),IFERROR(VLOOKUP(D690,Parameter!$A$35:$C$64,2,0),"Nein"))</f>
        <v>2+3</v>
      </c>
      <c r="CE690" s="64" t="n">
        <f aca="false">IF(CA690=0,0,IF(N(S690)&gt;0,S690,IFERROR(VLOOKUP(D690,Parameter!$A$35:$C$64,3,0)+0,0)))</f>
        <v>0</v>
      </c>
      <c r="CF690" s="60" t="n">
        <f aca="false">IF(AB690&lt;&gt;"",AB690,AA690)</f>
        <v>3</v>
      </c>
      <c r="CG690" s="60" t="str">
        <f aca="false">IF(OR(CF690=1,CF690=2,CF690=3),IF(Parameter!$E$27="Ja","LIFT",IF(CF690=1,"L1","L23")),IF(CF690="Aussen","Aussen","-"))</f>
        <v>LIFT</v>
      </c>
      <c r="CH690" s="71" t="n">
        <f aca="false">IF(N(AC690)&gt;0,AC690,0)</f>
        <v>0</v>
      </c>
      <c r="CI690" s="65" t="n">
        <f aca="false">IF(ISNUMBER(AF690),1,0)</f>
        <v>0</v>
      </c>
      <c r="CJ690" s="62" t="n">
        <f aca="false">N(AF690)</f>
        <v>0</v>
      </c>
      <c r="CK690" s="62" t="n">
        <f aca="false">N(M690)+N(N690)</f>
        <v>1</v>
      </c>
      <c r="CL690" s="62" t="n">
        <f aca="false">N(M690)</f>
        <v>0</v>
      </c>
      <c r="CM690" s="62" t="n">
        <f aca="false">N(N690)</f>
        <v>1</v>
      </c>
      <c r="CN690" s="62" t="n">
        <f aca="false">ROUNDUP(H690/BZ690,0)</f>
        <v>1</v>
      </c>
      <c r="CO690" s="62" t="n">
        <f aca="false">ROUNDUP(CJ690/BZ690,0)</f>
        <v>0</v>
      </c>
      <c r="CP690" s="65" t="n">
        <f aca="false">IF(CA690=1,0,IFERROR(VLOOKUP(BY690,'Gebinde-Kategorie'!$A$5:$N$45,5,0)+0,0))</f>
        <v>11</v>
      </c>
      <c r="CQ690" s="65" t="n">
        <f aca="false">IFERROR(IF(OR(CF690=1,CF690=2,CF690=3),N(INDEX(Parameter!$I$5:$I$7,CF690)),0),0)</f>
        <v>0</v>
      </c>
      <c r="CR690" s="64" t="n">
        <f aca="false">IF(AND(Parameter!$B$21="Ja",ISNUMBER(W690),N(X690)&gt;0),IFERROR(N(INDEX(Parameter!$L$5:$L$7,W690))*INDEX(Parameter!$E$5:$E$7,W690)*X690/SUMIFS($X$7:$X$1843,$W$7:$W$1843,W690),0),0)</f>
        <v>0</v>
      </c>
      <c r="CS690" s="62" t="n">
        <f aca="false">IF(AND(OR(CG690="L1",CG690="L23",CG690="LIFT"),H690&gt;0),CC690*IF(CR690&gt;0,CR690*MAX(1,H690/X690),IF(CA690=1,CE690,IF(R690&gt;0,CN690/R690,0))/MAX(0.1,N(Parameter!$M$21))),"")</f>
        <v>5.96153846153846</v>
      </c>
      <c r="CT690" s="64" t="n">
        <f aca="false">IF(CS690="","",J690/H690)</f>
        <v>0</v>
      </c>
      <c r="CU690" s="62" t="n">
        <f aca="false">IF(CS690="","",H690*G690)</f>
        <v>11964.77</v>
      </c>
      <c r="CV690" s="63" t="n">
        <f aca="false">IF(CS690="","",(CL690+ROUNDUP(CL690+MAX(CM690,2*(J690/MAX(0.1,N(Einkauf!$C$6))-CL690)),0))/2)</f>
        <v>0.5</v>
      </c>
      <c r="CW690" s="62" t="n">
        <f aca="false">IF(CS690="","",MAX(0,H690-CV690)*G690)</f>
        <v>11612.865</v>
      </c>
      <c r="CX690" s="62" t="n">
        <f aca="false">IF(CS690="","",CS690*MAX(0,1-CV690/H690))</f>
        <v>5.78619909502262</v>
      </c>
      <c r="CY690" s="64" t="n">
        <f aca="false">IF(CS690="","",PERCENTRANK($CS$7:$CS$1843,CS690)+PERCENTRANK($CU$7:$CU$1843,CU690)+1-PERCENTRANK($CT$7:$CT$1843,CT690))</f>
        <v>2.317</v>
      </c>
      <c r="CZ690" s="72" t="n">
        <f aca="false">IF(CS690="","",CHOOSE(MATCH(Einkauf!$C$5,Parameter!$G$23:$G$27,0),CY690,CS690,CU690,-CT690,CW690)+ROW()/1000000000)</f>
        <v>2.31700069</v>
      </c>
    </row>
    <row r="691" customFormat="false" ht="15" hidden="false" customHeight="false" outlineLevel="0" collapsed="false">
      <c r="A691" s="60" t="s">
        <v>1423</v>
      </c>
      <c r="B691" s="60" t="s">
        <v>473</v>
      </c>
      <c r="C691" s="60" t="s">
        <v>206</v>
      </c>
      <c r="D691" s="60" t="s">
        <v>226</v>
      </c>
      <c r="E691" s="60" t="s">
        <v>227</v>
      </c>
      <c r="F691" s="60" t="s">
        <v>260</v>
      </c>
      <c r="G691" s="61" t="n">
        <v>137.1</v>
      </c>
      <c r="H691" s="62" t="n">
        <f aca="false">MAX(0,IF(AND(Parameter!$B$21="Ja",ISNUMBER(Y691)),Y691,IF(Parameter!$B$20="Jahresanfang 2025 + Export",BS691+BR691,BR691)))</f>
        <v>1</v>
      </c>
      <c r="I691" s="62" t="n">
        <f aca="false">H691*G691</f>
        <v>137.1</v>
      </c>
      <c r="J691" s="62" t="n">
        <f aca="false">BU691*Parameter!$B$18</f>
        <v>1</v>
      </c>
      <c r="K691" s="63" t="n">
        <v>1</v>
      </c>
      <c r="L691" s="64" t="n">
        <v>1</v>
      </c>
      <c r="M691" s="62" t="n">
        <v>0</v>
      </c>
      <c r="N691" s="62" t="n">
        <v>1</v>
      </c>
      <c r="O691" s="65" t="n">
        <v>70</v>
      </c>
      <c r="P691" s="60" t="s">
        <v>443</v>
      </c>
      <c r="Q691" s="62" t="n">
        <v>1</v>
      </c>
      <c r="R691" s="65" t="n">
        <f aca="false">IF(CA691=1,0,IFERROR(VLOOKUP(BY691,'Gebinde-Kategorie'!$A$5:$N$45,13,0)+0,0))</f>
        <v>280</v>
      </c>
      <c r="S691" s="66"/>
      <c r="T691" s="67"/>
      <c r="U691" s="67"/>
      <c r="V691" s="67"/>
      <c r="W691" s="60"/>
      <c r="X691" s="62"/>
      <c r="Y691" s="62"/>
      <c r="Z691" s="60" t="n">
        <v>2</v>
      </c>
      <c r="AA691" s="60" t="n">
        <f aca="false">IF(A691="","",IF(AND(Parameter!$B$21="Ja",ISNUMBER(W691)),W691,IF(AND(Parameter!$E$27="Ja",ISNUMBER(Z691),CD691&lt;&gt;"Nein"),Z691,IF(CD691="2+3",IF(ISNUMBER(SEARCH("grosser Artikel",BV691)),2,IFERROR(VLOOKUP(BY691,Parameter!$F$35:$G$64,2,0),2)),IF(OR(CD691="Nein",CD691=""),"-",CD691)))))</f>
        <v>2</v>
      </c>
      <c r="AB691" s="67"/>
      <c r="AC691" s="68"/>
      <c r="AD691" s="62" t="n">
        <f aca="false">AW691</f>
        <v>1</v>
      </c>
      <c r="AE691" s="62" t="n">
        <f aca="false">MAX(AW691,H691)</f>
        <v>1</v>
      </c>
      <c r="AF691" s="69"/>
      <c r="AG691" s="62" t="n">
        <f aca="false">IF(LEFT(Cockpit!$C$5,1)="A",H691,IF(Parameter!$E$30="MAX-Bestand",IF(CI691=1,CJ691,IF(LEFT(Cockpit!$C$5,1)="B",AM691,MAX(AM691,H691))),ROUNDUP(AK691,0)))</f>
        <v>1</v>
      </c>
      <c r="AH691" s="62" t="n">
        <f aca="false">IF(CA691=1,0,ROUNDUP(AG691/BZ691,0))</f>
        <v>1</v>
      </c>
      <c r="AI691" s="64" t="n">
        <f aca="false">IF(CR691&gt;0,CR691*MAX(1,AG691/X691),IF(CA691=1,IF(AG691&lt;=0,0,CE691*MAX(1,IF(H691&gt;0,AG691/H691,1))),IF(R691&gt;0,AH691/R691,0))/MAX(0.1,N(Parameter!$M$21)))</f>
        <v>0.00357142857142857</v>
      </c>
      <c r="AJ691" s="62" t="n">
        <f aca="false">AI691*CC691</f>
        <v>0.553571428571429</v>
      </c>
      <c r="AK691" s="63" t="n">
        <f aca="false">IF(LEFT(Cockpit!$C$5,1)="A",H691,IF(CI691=1,(CL691+CJ691)/2,IF(LEFT(Cockpit!$C$5,1)="B",(CL691+AM691)/2,MAX((CL691+AM691)/2,H691))))</f>
        <v>1</v>
      </c>
      <c r="AL691" s="62" t="n">
        <f aca="false">AK691*G691</f>
        <v>137.1</v>
      </c>
      <c r="AM691" s="62" t="n">
        <f aca="false">ROUNDUP(CL691+MAX(CM691,2*(J691/IF(CH691&gt;0,CH691,MAX(0.1,N(Cockpit!$C$6)))-CL691)),0)</f>
        <v>1</v>
      </c>
      <c r="AN691" s="63" t="n">
        <f aca="false">IF(AJ691&gt;0,J691/AJ691,-1)</f>
        <v>1.80645161290323</v>
      </c>
      <c r="AO691" s="63" t="n">
        <f aca="false">IF(AND(OR(CG691="L1",CG691="L23",CG691="LIFT"),AJ691&gt;0),SUMIFS($AJ$7:$AJ$1843,$CG$7:$CG$1843,CG691,$AN$7:$AN$1843,"&gt;"&amp;AN691)+SUMIFS($AJ$7:$AJ$1843,$CG$7:$CG$1843,CG691,$AN$7:$AN$1843,AN691,$BX$7:$BX$1843,"&lt;="&amp;BX691),"")</f>
        <v>5964.79029304029</v>
      </c>
      <c r="AP691" s="70" t="n">
        <f aca="false">IF(AO691="",0,MAX(0,MIN(1,(IF(CG691="L1",Parameter!$H$5,IF(CG691="L23",Parameter!$H$6+Parameter!$H$7,Parameter!$H$5+Parameter!$H$6+Parameter!$H$7))-(AO691-AJ691))/AJ691)))</f>
        <v>1</v>
      </c>
      <c r="AQ691" s="62" t="n">
        <f aca="false">IF(LEFT(Cockpit!$I$5,1)="A",H691,IF(Parameter!$E$30="MAX-Bestand",IF(CI691=1,CJ691,IF(LEFT(Cockpit!$I$5,1)="B",AW691,MAX(AW691,H691))),ROUNDUP(AU691,0)))</f>
        <v>1</v>
      </c>
      <c r="AR691" s="62" t="n">
        <f aca="false">IF(CA691=1,0,ROUNDUP(AQ691/BZ691,0))</f>
        <v>1</v>
      </c>
      <c r="AS691" s="64" t="n">
        <f aca="false">IF(CR691&gt;0,CR691*MAX(1,AQ691/X691),IF(CA691=1,IF(AQ691&lt;=0,0,CE691*MAX(1,IF(H691&gt;0,AQ691/H691,1))),IF(R691&gt;0,AR691/R691,0))/MAX(0.1,N(Parameter!$M$21)))</f>
        <v>0.00357142857142857</v>
      </c>
      <c r="AT691" s="62" t="n">
        <f aca="false">AS691*CC691</f>
        <v>0.553571428571429</v>
      </c>
      <c r="AU691" s="63" t="n">
        <f aca="false">IF(LEFT(Cockpit!$I$5,1)="A",H691,IF(CI691=1,(CL691+CJ691)/2,IF(LEFT(Cockpit!$I$5,1)="B",(CL691+AW691)/2,MAX((CL691+AW691)/2,H691))))</f>
        <v>1</v>
      </c>
      <c r="AV691" s="62" t="n">
        <f aca="false">AU691*G691</f>
        <v>137.1</v>
      </c>
      <c r="AW691" s="62" t="n">
        <f aca="false">ROUNDUP(CL691+MAX(CM691,2*(J691/IF(CH691&gt;0,CH691,MAX(0.1,N(Cockpit!$I$6)))-CL691)),0)</f>
        <v>1</v>
      </c>
      <c r="AX691" s="63" t="n">
        <f aca="false">IF(AT691&gt;0,J691/AT691,-1)</f>
        <v>1.80645161290323</v>
      </c>
      <c r="AY691" s="63" t="n">
        <f aca="false">IF(AND(OR(CG691="L1",CG691="L23",CG691="LIFT"),AT691&gt;0),SUMIFS($AT$7:$AT$1843,$CG$7:$CG$1843,CG691,$AX$7:$AX$1843,"&gt;"&amp;AX691)+SUMIFS($AT$7:$AT$1843,$CG$7:$CG$1843,CG691,$AX$7:$AX$1843,AX691,$BX$7:$BX$1843,"&lt;="&amp;BX691),"")</f>
        <v>7402.31318681319</v>
      </c>
      <c r="AZ691" s="70" t="n">
        <f aca="false">IF(AY691="",0,MAX(0,MIN(1,(IF(CG691="L1",Parameter!$H$5,IF(CG691="L23",Parameter!$H$6+Parameter!$H$7,Parameter!$H$5+Parameter!$H$6+Parameter!$H$7))-(AY691-AT691))/AT691)))</f>
        <v>1</v>
      </c>
      <c r="BA691" s="62" t="n">
        <f aca="false">IF(LEFT(Cockpit!$O$5,1)="A",H691,IF(Parameter!$E$30="MAX-Bestand",IF(CI691=1,CJ691,IF(LEFT(Cockpit!$O$5,1)="B",BG691,MAX(BG691,H691))),ROUNDUP(BE691,0)))</f>
        <v>1</v>
      </c>
      <c r="BB691" s="62" t="n">
        <f aca="false">IF(CA691=1,0,ROUNDUP(BA691/BZ691,0))</f>
        <v>1</v>
      </c>
      <c r="BC691" s="64" t="n">
        <f aca="false">IF(CR691&gt;0,CR691*MAX(1,BA691/X691),IF(CA691=1,IF(BA691&lt;=0,0,CE691*MAX(1,IF(H691&gt;0,BA691/H691,1))),IF(R691&gt;0,BB691/R691,0))/MAX(0.1,N(Parameter!$M$21)))</f>
        <v>0.00357142857142857</v>
      </c>
      <c r="BD691" s="62" t="n">
        <f aca="false">BC691*CC691</f>
        <v>0.553571428571429</v>
      </c>
      <c r="BE691" s="63" t="n">
        <f aca="false">IF(LEFT(Cockpit!$O$5,1)="A",H691,IF(CI691=1,(CL691+CJ691)/2,IF(LEFT(Cockpit!$O$5,1)="B",(CL691+BG691)/2,MAX((CL691+BG691)/2,H691))))</f>
        <v>0.5</v>
      </c>
      <c r="BF691" s="62" t="n">
        <f aca="false">BE691*G691</f>
        <v>68.55</v>
      </c>
      <c r="BG691" s="62" t="n">
        <f aca="false">ROUNDUP(CL691+MAX(CM691,2*(J691/IF(CH691&gt;0,CH691,MAX(0.1,N(Cockpit!$O$6)))-CL691)),0)</f>
        <v>1</v>
      </c>
      <c r="BH691" s="63" t="n">
        <f aca="false">IF(BD691&gt;0,J691/BD691,-1)</f>
        <v>1.80645161290323</v>
      </c>
      <c r="BI691" s="63" t="n">
        <f aca="false">IF(AND(OR(CG691="L1",CG691="L23",CG691="LIFT"),BD691&gt;0),SUMIFS($BD$7:$BD$1843,$CG$7:$CG$1843,CG691,$BH$7:$BH$1843,"&gt;"&amp;BH691)+SUMIFS($BD$7:$BD$1843,$CG$7:$CG$1843,CG691,$BH$7:$BH$1843,BH691,$BX$7:$BX$1843,"&lt;="&amp;BX691),"")</f>
        <v>6090.23397435898</v>
      </c>
      <c r="BJ691" s="70" t="n">
        <f aca="false">IF(BI691="",0,MAX(0,MIN(1,(IF(CG691="L1",Parameter!$H$5,IF(CG691="L23",Parameter!$H$6+Parameter!$H$7,Parameter!$H$5+Parameter!$H$6+Parameter!$H$7))-(BI691-BD691))/BD691)))</f>
        <v>1</v>
      </c>
      <c r="BK691" s="60" t="str">
        <f aca="false">IF(AJ691&lt;=0,"",IF(CG691="Aussen","Aussenlager",IF(CG691="-","Nicht im Lift",IF(AP691&gt;=1,"Lift",IF(AP691&lt;=0,"Aussenlager","teilweise")))))</f>
        <v>Lift</v>
      </c>
      <c r="BL691" s="60" t="str">
        <f aca="false">IF(AT691&lt;=0,"",IF(CG691="Aussen","Aussenlager",IF(CG691="-","Nicht im Lift",IF(AZ691&gt;=1,"Lift",IF(AZ691&lt;=0,"Aussenlager","teilweise")))))</f>
        <v>Lift</v>
      </c>
      <c r="BM691" s="60" t="str">
        <f aca="false">IF(BD691&lt;=0,"",IF(CG691="Aussen","Aussenlager",IF(CG691="-","Nicht im Lift",IF(BJ691&gt;=1,"Lift",IF(BJ691&lt;=0,"Aussenlager","teilweise")))))</f>
        <v>Lift</v>
      </c>
      <c r="BN691" s="60" t="str">
        <f aca="false">IF(A691="","",IF(BW691=1,"Neu; ","")&amp;IF(AND(BW691=0,BR691&lt;0),"negativer Bestand (Export "&amp;BR691&amp;"); ","")&amp;IF(J691&lt;=0,"Kein Verbrauch; ","")&amp;IF(CR691&gt;0,"Lift "&amp;W691&amp;" lt. Liftbericht (Fach "&amp;X691&amp;" Stk); ",IF(CB691=1,"Gebinde geschätzt ("&amp;T691&amp;"); ",IF(CA691=1,"Lose – Tablare geschätzt; ","")))&amp;IF(H691&gt;AW691,"Überbestand "&amp;ROUND(H691-AW691,0)&amp;" Stk / CHF "&amp;ROUND((H691-AW691)*G691,0)&amp;"; ","")&amp;IF(AND(CI691=1,CJ691&lt;CK691),"MAX &lt; MB+LG; ","")&amp;IF(AND(CQ691&gt;0,CP691*10&gt;CQ691),"zu hoch für Tablar; ","")&amp;IF(AND(BW691=0,OR(CI691=1,AB691&lt;&gt;"",U691&lt;&gt;"",V691&lt;&gt;"",AC691&lt;&gt;"")),"manuell übersteuert; ","")&amp;IF(AND(CA691=0,R691=0),"Gebinde unbekannt / Stellmass fehlt; ","")&amp;IF(AND(CA691=0,N(V691)&lt;=0,N(Q691)&lt;=0),"Menge pro Gebinde fehlt (Ist = 1 Gebinde); ","")&amp;BV691)</f>
        <v/>
      </c>
      <c r="BO691" s="60"/>
      <c r="BP691" s="60"/>
      <c r="BQ691" s="67"/>
      <c r="BR691" s="62" t="n">
        <v>0</v>
      </c>
      <c r="BS691" s="62" t="n">
        <v>1</v>
      </c>
      <c r="BT691" s="61" t="n">
        <v>0</v>
      </c>
      <c r="BU691" s="62" t="n">
        <v>1</v>
      </c>
      <c r="BV691" s="60"/>
      <c r="BW691" s="65" t="n">
        <v>0</v>
      </c>
      <c r="BX691" s="65" t="n">
        <v>691</v>
      </c>
      <c r="BY691" s="60" t="str">
        <f aca="false">IF(U691&lt;&gt;"",UPPER(TRIM(U691)),IF(CB691=1,UPPER(VLOOKUP(T691,Parameter!$I$27:$K$29,2,0)),IF(P691="","LOSE",P691)))</f>
        <v>S21</v>
      </c>
      <c r="BZ691" s="62" t="n">
        <f aca="false">IF(BY691="LOSE",1,IF(N(V691)&gt;0,V691,IF(CB691=1,MAX(1,N(VLOOKUP(T691,Parameter!$I$27:$K$29,3,0)),H691,N(N691)),IF(N(Q691)&gt;0,Q691,MAX(1,H691)))))</f>
        <v>1</v>
      </c>
      <c r="CA691" s="65" t="n">
        <f aca="false">IF(BY691="LOSE",1,0)</f>
        <v>0</v>
      </c>
      <c r="CB691" s="65" t="n">
        <f aca="false">IF(AND(U691="",OR(P691="",P691="LOSE"),T691&lt;&gt;"",N(S691)&lt;=0,ISNUMBER(MATCH(T691,Parameter!$I$27:$I$29,0))),1,0)</f>
        <v>0</v>
      </c>
      <c r="CC691" s="65" t="n">
        <f aca="false">IF(CR691&gt;0,INDEX(Parameter!$H$5:$H$7,W691)/INDEX(Parameter!$E$5:$E$7,W691),IF(AND(CA691=0,N(IFERROR(VLOOKUP(BY691,'Gebinde-Kategorie'!$A$5:$N$45,14,0),0))&gt;0),VLOOKUP(BY691,'Gebinde-Kategorie'!$A$5:$N$45,14,0)*10+Parameter!$M$23,Parameter!$M$24))</f>
        <v>155</v>
      </c>
      <c r="CD691" s="60" t="str">
        <f aca="false">IF(AND(Parameter!$B$19="Ja",E691&lt;&gt;"",ISNUMBER(MATCH(E691,Parameter!$I$35:$I$52,0))),VLOOKUP(E691,Parameter!$I$35:$J$52,2,0),IFERROR(VLOOKUP(D691,Parameter!$A$35:$C$64,2,0),"Nein"))</f>
        <v>2+3</v>
      </c>
      <c r="CE691" s="64" t="n">
        <f aca="false">IF(CA691=0,0,IF(N(S691)&gt;0,S691,IFERROR(VLOOKUP(D691,Parameter!$A$35:$C$64,3,0)+0,0)))</f>
        <v>0</v>
      </c>
      <c r="CF691" s="60" t="n">
        <f aca="false">IF(AB691&lt;&gt;"",AB691,AA691)</f>
        <v>2</v>
      </c>
      <c r="CG691" s="60" t="str">
        <f aca="false">IF(OR(CF691=1,CF691=2,CF691=3),IF(Parameter!$E$27="Ja","LIFT",IF(CF691=1,"L1","L23")),IF(CF691="Aussen","Aussen","-"))</f>
        <v>LIFT</v>
      </c>
      <c r="CH691" s="71" t="n">
        <f aca="false">IF(N(AC691)&gt;0,AC691,0)</f>
        <v>0</v>
      </c>
      <c r="CI691" s="65" t="n">
        <f aca="false">IF(ISNUMBER(AF691),1,0)</f>
        <v>0</v>
      </c>
      <c r="CJ691" s="62" t="n">
        <f aca="false">N(AF691)</f>
        <v>0</v>
      </c>
      <c r="CK691" s="62" t="n">
        <f aca="false">N(M691)+N(N691)</f>
        <v>1</v>
      </c>
      <c r="CL691" s="62" t="n">
        <f aca="false">N(M691)</f>
        <v>0</v>
      </c>
      <c r="CM691" s="62" t="n">
        <f aca="false">N(N691)</f>
        <v>1</v>
      </c>
      <c r="CN691" s="62" t="n">
        <f aca="false">ROUNDUP(H691/BZ691,0)</f>
        <v>1</v>
      </c>
      <c r="CO691" s="62" t="n">
        <f aca="false">ROUNDUP(CJ691/BZ691,0)</f>
        <v>0</v>
      </c>
      <c r="CP691" s="65" t="n">
        <f aca="false">IF(CA691=1,0,IFERROR(VLOOKUP(BY691,'Gebinde-Kategorie'!$A$5:$N$45,5,0)+0,0))</f>
        <v>8</v>
      </c>
      <c r="CQ691" s="65" t="n">
        <f aca="false">IFERROR(IF(OR(CF691=1,CF691=2,CF691=3),N(INDEX(Parameter!$I$5:$I$7,CF691)),0),0)</f>
        <v>0</v>
      </c>
      <c r="CR691" s="64" t="n">
        <f aca="false">IF(AND(Parameter!$B$21="Ja",ISNUMBER(W691),N(X691)&gt;0),IFERROR(N(INDEX(Parameter!$L$5:$L$7,W691))*INDEX(Parameter!$E$5:$E$7,W691)*X691/SUMIFS($X$7:$X$1843,$W$7:$W$1843,W691),0),0)</f>
        <v>0</v>
      </c>
      <c r="CS691" s="62" t="n">
        <f aca="false">IF(AND(OR(CG691="L1",CG691="L23",CG691="LIFT"),H691&gt;0),CC691*IF(CR691&gt;0,CR691*MAX(1,H691/X691),IF(CA691=1,CE691,IF(R691&gt;0,CN691/R691,0))/MAX(0.1,N(Parameter!$M$21))),"")</f>
        <v>0.553571428571429</v>
      </c>
      <c r="CT691" s="64" t="n">
        <f aca="false">IF(CS691="","",J691/H691)</f>
        <v>1</v>
      </c>
      <c r="CU691" s="62" t="n">
        <f aca="false">IF(CS691="","",H691*G691)</f>
        <v>137.1</v>
      </c>
      <c r="CV691" s="63" t="n">
        <f aca="false">IF(CS691="","",(CL691+ROUNDUP(CL691+MAX(CM691,2*(J691/MAX(0.1,N(Einkauf!$C$6))-CL691)),0))/2)</f>
        <v>0.5</v>
      </c>
      <c r="CW691" s="62" t="n">
        <f aca="false">IF(CS691="","",MAX(0,H691-CV691)*G691)</f>
        <v>68.55</v>
      </c>
      <c r="CX691" s="62" t="n">
        <f aca="false">IF(CS691="","",CS691*MAX(0,1-CV691/H691))</f>
        <v>0.276785714285714</v>
      </c>
      <c r="CY691" s="64" t="n">
        <f aca="false">IF(CS691="","",PERCENTRANK($CS$7:$CS$1843,CS691)+PERCENTRANK($CU$7:$CU$1843,CU691)+1-PERCENTRANK($CT$7:$CT$1843,CT691))</f>
        <v>0.651</v>
      </c>
      <c r="CZ691" s="72" t="n">
        <f aca="false">IF(CS691="","",CHOOSE(MATCH(Einkauf!$C$5,Parameter!$G$23:$G$27,0),CY691,CS691,CU691,-CT691,CW691)+ROW()/1000000000)</f>
        <v>0.651000691</v>
      </c>
    </row>
    <row r="692" customFormat="false" ht="15" hidden="false" customHeight="false" outlineLevel="0" collapsed="false">
      <c r="A692" s="60" t="s">
        <v>1424</v>
      </c>
      <c r="B692" s="60" t="s">
        <v>1425</v>
      </c>
      <c r="C692" s="60" t="s">
        <v>206</v>
      </c>
      <c r="D692" s="60" t="s">
        <v>215</v>
      </c>
      <c r="E692" s="60"/>
      <c r="F692" s="60" t="s">
        <v>260</v>
      </c>
      <c r="G692" s="61" t="n">
        <v>11045.16</v>
      </c>
      <c r="H692" s="62" t="n">
        <f aca="false">MAX(0,IF(AND(Parameter!$B$21="Ja",ISNUMBER(Y692)),Y692,IF(Parameter!$B$20="Jahresanfang 2025 + Export",BS692+BR692,BR692)))</f>
        <v>0</v>
      </c>
      <c r="I692" s="62" t="n">
        <f aca="false">H692*G692</f>
        <v>0</v>
      </c>
      <c r="J692" s="62" t="n">
        <f aca="false">BU692*Parameter!$B$18</f>
        <v>2</v>
      </c>
      <c r="K692" s="63" t="n">
        <v>0</v>
      </c>
      <c r="L692" s="64" t="n">
        <v>0</v>
      </c>
      <c r="M692" s="62" t="n">
        <v>0</v>
      </c>
      <c r="N692" s="62" t="n">
        <v>1</v>
      </c>
      <c r="O692" s="65" t="n">
        <v>170</v>
      </c>
      <c r="P692" s="60" t="s">
        <v>210</v>
      </c>
      <c r="Q692" s="62"/>
      <c r="R692" s="65" t="n">
        <f aca="false">IF(CA692=1,0,IFERROR(VLOOKUP(BY692,'Gebinde-Kategorie'!$A$5:$N$45,13,0)+0,0))</f>
        <v>4</v>
      </c>
      <c r="S692" s="66"/>
      <c r="T692" s="67" t="s">
        <v>231</v>
      </c>
      <c r="U692" s="67"/>
      <c r="V692" s="67"/>
      <c r="W692" s="60"/>
      <c r="X692" s="62"/>
      <c r="Y692" s="62"/>
      <c r="Z692" s="60" t="n">
        <v>2</v>
      </c>
      <c r="AA692" s="60" t="n">
        <f aca="false">IF(A692="","",IF(AND(Parameter!$B$21="Ja",ISNUMBER(W692)),W692,IF(AND(Parameter!$E$27="Ja",ISNUMBER(Z692),CD692&lt;&gt;"Nein"),Z692,IF(CD692="2+3",IF(ISNUMBER(SEARCH("grosser Artikel",BV692)),2,IFERROR(VLOOKUP(BY692,Parameter!$F$35:$G$64,2,0),2)),IF(OR(CD692="Nein",CD692=""),"-",CD692)))))</f>
        <v>2</v>
      </c>
      <c r="AB692" s="67"/>
      <c r="AC692" s="68"/>
      <c r="AD692" s="62" t="n">
        <f aca="false">AW692</f>
        <v>2</v>
      </c>
      <c r="AE692" s="62" t="n">
        <f aca="false">MAX(AW692,H692)</f>
        <v>2</v>
      </c>
      <c r="AF692" s="69"/>
      <c r="AG692" s="62" t="n">
        <f aca="false">IF(LEFT(Cockpit!$C$5,1)="A",H692,IF(Parameter!$E$30="MAX-Bestand",IF(CI692=1,CJ692,IF(LEFT(Cockpit!$C$5,1)="B",AM692,MAX(AM692,H692))),ROUNDUP(AK692,0)))</f>
        <v>0</v>
      </c>
      <c r="AH692" s="62" t="n">
        <f aca="false">IF(CA692=1,0,ROUNDUP(AG692/BZ692,0))</f>
        <v>0</v>
      </c>
      <c r="AI692" s="64" t="n">
        <f aca="false">IF(CR692&gt;0,CR692*MAX(1,AG692/X692),IF(CA692=1,IF(AG692&lt;=0,0,CE692*MAX(1,IF(H692&gt;0,AG692/H692,1))),IF(R692&gt;0,AH692/R692,0))/MAX(0.1,N(Parameter!$M$21)))</f>
        <v>0</v>
      </c>
      <c r="AJ692" s="62" t="n">
        <f aca="false">AI692*CC692</f>
        <v>0</v>
      </c>
      <c r="AK692" s="63" t="n">
        <f aca="false">IF(LEFT(Cockpit!$C$5,1)="A",H692,IF(CI692=1,(CL692+CJ692)/2,IF(LEFT(Cockpit!$C$5,1)="B",(CL692+AM692)/2,MAX((CL692+AM692)/2,H692))))</f>
        <v>0</v>
      </c>
      <c r="AL692" s="62" t="n">
        <f aca="false">AK692*G692</f>
        <v>0</v>
      </c>
      <c r="AM692" s="62" t="n">
        <f aca="false">ROUNDUP(CL692+MAX(CM692,2*(J692/IF(CH692&gt;0,CH692,MAX(0.1,N(Cockpit!$C$6)))-CL692)),0)</f>
        <v>2</v>
      </c>
      <c r="AN692" s="63" t="n">
        <f aca="false">IF(AJ692&gt;0,J692/AJ692,-1)</f>
        <v>-1</v>
      </c>
      <c r="AO692" s="63" t="str">
        <f aca="false">IF(AND(OR(CG692="L1",CG692="L23",CG692="LIFT"),AJ692&gt;0),SUMIFS($AJ$7:$AJ$1843,$CG$7:$CG$1843,CG692,$AN$7:$AN$1843,"&gt;"&amp;AN692)+SUMIFS($AJ$7:$AJ$1843,$CG$7:$CG$1843,CG692,$AN$7:$AN$1843,AN692,$BX$7:$BX$1843,"&lt;="&amp;BX692),"")</f>
        <v/>
      </c>
      <c r="AP692" s="70" t="n">
        <f aca="false">IF(AO692="",0,MAX(0,MIN(1,(IF(CG692="L1",Parameter!$H$5,IF(CG692="L23",Parameter!$H$6+Parameter!$H$7,Parameter!$H$5+Parameter!$H$6+Parameter!$H$7))-(AO692-AJ692))/AJ692)))</f>
        <v>0</v>
      </c>
      <c r="AQ692" s="62" t="n">
        <f aca="false">IF(LEFT(Cockpit!$I$5,1)="A",H692,IF(Parameter!$E$30="MAX-Bestand",IF(CI692=1,CJ692,IF(LEFT(Cockpit!$I$5,1)="B",AW692,MAX(AW692,H692))),ROUNDUP(AU692,0)))</f>
        <v>1</v>
      </c>
      <c r="AR692" s="62" t="n">
        <f aca="false">IF(CA692=1,0,ROUNDUP(AQ692/BZ692,0))</f>
        <v>1</v>
      </c>
      <c r="AS692" s="64" t="n">
        <f aca="false">IF(CR692&gt;0,CR692*MAX(1,AQ692/X692),IF(CA692=1,IF(AQ692&lt;=0,0,CE692*MAX(1,IF(H692&gt;0,AQ692/H692,1))),IF(R692&gt;0,AR692/R692,0))/MAX(0.1,N(Parameter!$M$21)))</f>
        <v>0.25</v>
      </c>
      <c r="AT692" s="62" t="n">
        <f aca="false">AS692*CC692</f>
        <v>58.75</v>
      </c>
      <c r="AU692" s="63" t="n">
        <f aca="false">IF(LEFT(Cockpit!$I$5,1)="A",H692,IF(CI692=1,(CL692+CJ692)/2,IF(LEFT(Cockpit!$I$5,1)="B",(CL692+AW692)/2,MAX((CL692+AW692)/2,H692))))</f>
        <v>1</v>
      </c>
      <c r="AV692" s="62" t="n">
        <f aca="false">AU692*G692</f>
        <v>11045.16</v>
      </c>
      <c r="AW692" s="62" t="n">
        <f aca="false">ROUNDUP(CL692+MAX(CM692,2*(J692/IF(CH692&gt;0,CH692,MAX(0.1,N(Cockpit!$I$6)))-CL692)),0)</f>
        <v>2</v>
      </c>
      <c r="AX692" s="63" t="n">
        <f aca="false">IF(AT692&gt;0,J692/AT692,-1)</f>
        <v>0.0340425531914894</v>
      </c>
      <c r="AY692" s="63" t="n">
        <f aca="false">IF(AND(OR(CG692="L1",CG692="L23",CG692="LIFT"),AT692&gt;0),SUMIFS($AT$7:$AT$1843,$CG$7:$CG$1843,CG692,$AX$7:$AX$1843,"&gt;"&amp;AX692)+SUMIFS($AT$7:$AT$1843,$CG$7:$CG$1843,CG692,$AX$7:$AX$1843,AX692,$BX$7:$BX$1843,"&lt;="&amp;BX692),"")</f>
        <v>25480.2489057553</v>
      </c>
      <c r="AZ692" s="70" t="n">
        <f aca="false">IF(AY692="",0,MAX(0,MIN(1,(IF(CG692="L1",Parameter!$H$5,IF(CG692="L23",Parameter!$H$6+Parameter!$H$7,Parameter!$H$5+Parameter!$H$6+Parameter!$H$7))-(AY692-AT692))/AT692)))</f>
        <v>1</v>
      </c>
      <c r="BA692" s="62" t="n">
        <f aca="false">IF(LEFT(Cockpit!$O$5,1)="A",H692,IF(Parameter!$E$30="MAX-Bestand",IF(CI692=1,CJ692,IF(LEFT(Cockpit!$O$5,1)="B",BG692,MAX(BG692,H692))),ROUNDUP(BE692,0)))</f>
        <v>1</v>
      </c>
      <c r="BB692" s="62" t="n">
        <f aca="false">IF(CA692=1,0,ROUNDUP(BA692/BZ692,0))</f>
        <v>1</v>
      </c>
      <c r="BC692" s="64" t="n">
        <f aca="false">IF(CR692&gt;0,CR692*MAX(1,BA692/X692),IF(CA692=1,IF(BA692&lt;=0,0,CE692*MAX(1,IF(H692&gt;0,BA692/H692,1))),IF(R692&gt;0,BB692/R692,0))/MAX(0.1,N(Parameter!$M$21)))</f>
        <v>0.25</v>
      </c>
      <c r="BD692" s="62" t="n">
        <f aca="false">BC692*CC692</f>
        <v>58.75</v>
      </c>
      <c r="BE692" s="63" t="n">
        <f aca="false">IF(LEFT(Cockpit!$O$5,1)="A",H692,IF(CI692=1,(CL692+CJ692)/2,IF(LEFT(Cockpit!$O$5,1)="B",(CL692+BG692)/2,MAX((CL692+BG692)/2,H692))))</f>
        <v>0.5</v>
      </c>
      <c r="BF692" s="62" t="n">
        <f aca="false">BE692*G692</f>
        <v>5522.58</v>
      </c>
      <c r="BG692" s="62" t="n">
        <f aca="false">ROUNDUP(CL692+MAX(CM692,2*(J692/IF(CH692&gt;0,CH692,MAX(0.1,N(Cockpit!$O$6)))-CL692)),0)</f>
        <v>1</v>
      </c>
      <c r="BH692" s="63" t="n">
        <f aca="false">IF(BD692&gt;0,J692/BD692,-1)</f>
        <v>0.0340425531914894</v>
      </c>
      <c r="BI692" s="63" t="n">
        <f aca="false">IF(AND(OR(CG692="L1",CG692="L23",CG692="LIFT"),BD692&gt;0),SUMIFS($BD$7:$BD$1843,$CG$7:$CG$1843,CG692,$BH$7:$BH$1843,"&gt;"&amp;BH692)+SUMIFS($BD$7:$BD$1843,$CG$7:$CG$1843,CG692,$BH$7:$BH$1843,BH692,$BX$7:$BX$1843,"&lt;="&amp;BX692),"")</f>
        <v>21330.1640823865</v>
      </c>
      <c r="BJ692" s="70" t="n">
        <f aca="false">IF(BI692="",0,MAX(0,MIN(1,(IF(CG692="L1",Parameter!$H$5,IF(CG692="L23",Parameter!$H$6+Parameter!$H$7,Parameter!$H$5+Parameter!$H$6+Parameter!$H$7))-(BI692-BD692))/BD692)))</f>
        <v>1</v>
      </c>
      <c r="BK692" s="60" t="str">
        <f aca="false">IF(AJ692&lt;=0,"",IF(CG692="Aussen","Aussenlager",IF(CG692="-","Nicht im Lift",IF(AP692&gt;=1,"Lift",IF(AP692&lt;=0,"Aussenlager","teilweise")))))</f>
        <v/>
      </c>
      <c r="BL692" s="60" t="str">
        <f aca="false">IF(AT692&lt;=0,"",IF(CG692="Aussen","Aussenlager",IF(CG692="-","Nicht im Lift",IF(AZ692&gt;=1,"Lift",IF(AZ692&lt;=0,"Aussenlager","teilweise")))))</f>
        <v>Lift</v>
      </c>
      <c r="BM692" s="60" t="str">
        <f aca="false">IF(BD692&lt;=0,"",IF(CG692="Aussen","Aussenlager",IF(CG692="-","Nicht im Lift",IF(BJ692&gt;=1,"Lift",IF(BJ692&lt;=0,"Aussenlager","teilweise")))))</f>
        <v>Lift</v>
      </c>
      <c r="BN692" s="60" t="str">
        <f aca="false">IF(A692="","",IF(BW692=1,"Neu; ","")&amp;IF(AND(BW692=0,BR692&lt;0),"negativer Bestand (Export "&amp;BR692&amp;"); ","")&amp;IF(J692&lt;=0,"Kein Verbrauch; ","")&amp;IF(CR692&gt;0,"Lift "&amp;W692&amp;" lt. Liftbericht (Fach "&amp;X692&amp;" Stk); ",IF(CB692=1,"Gebinde geschätzt ("&amp;T692&amp;"); ",IF(CA692=1,"Lose – Tablare geschätzt; ","")))&amp;IF(H692&gt;AW692,"Überbestand "&amp;ROUND(H692-AW692,0)&amp;" Stk / CHF "&amp;ROUND((H692-AW692)*G692,0)&amp;"; ","")&amp;IF(AND(CI692=1,CJ692&lt;CK692),"MAX &lt; MB+LG; ","")&amp;IF(AND(CQ692&gt;0,CP692*10&gt;CQ692),"zu hoch für Tablar; ","")&amp;IF(AND(BW692=0,OR(CI692=1,AB692&lt;&gt;"",U692&lt;&gt;"",V692&lt;&gt;"",AC692&lt;&gt;"")),"manuell übersteuert; ","")&amp;IF(AND(CA692=0,R692=0),"Gebinde unbekannt / Stellmass fehlt; ","")&amp;IF(AND(CA692=0,N(V692)&lt;=0,N(Q692)&lt;=0),"Menge pro Gebinde fehlt (Ist = 1 Gebinde); ","")&amp;BV692)</f>
        <v>Gebinde geschätzt (Gross); Menge pro Gebinde fehlt (Ist = 1 Gebinde); </v>
      </c>
      <c r="BO692" s="60"/>
      <c r="BP692" s="60"/>
      <c r="BQ692" s="67"/>
      <c r="BR692" s="62" t="n">
        <v>0</v>
      </c>
      <c r="BS692" s="62" t="n">
        <v>0</v>
      </c>
      <c r="BT692" s="61" t="n">
        <v>0</v>
      </c>
      <c r="BU692" s="62" t="n">
        <v>2</v>
      </c>
      <c r="BV692" s="60"/>
      <c r="BW692" s="65" t="n">
        <v>0</v>
      </c>
      <c r="BX692" s="65" t="n">
        <v>692</v>
      </c>
      <c r="BY692" s="60" t="str">
        <f aca="false">IF(U692&lt;&gt;"",UPPER(TRIM(U692)),IF(CB692=1,UPPER(VLOOKUP(T692,Parameter!$I$27:$K$29,2,0)),IF(P692="","LOSE",P692)))</f>
        <v>S81</v>
      </c>
      <c r="BZ692" s="62" t="n">
        <f aca="false">IF(BY692="LOSE",1,IF(N(V692)&gt;0,V692,IF(CB692=1,MAX(1,N(VLOOKUP(T692,Parameter!$I$27:$K$29,3,0)),H692,N(N692)),IF(N(Q692)&gt;0,Q692,MAX(1,H692)))))</f>
        <v>2</v>
      </c>
      <c r="CA692" s="65" t="n">
        <f aca="false">IF(BY692="LOSE",1,0)</f>
        <v>0</v>
      </c>
      <c r="CB692" s="65" t="n">
        <f aca="false">IF(AND(U692="",OR(P692="",P692="LOSE"),T692&lt;&gt;"",N(S692)&lt;=0,ISNUMBER(MATCH(T692,Parameter!$I$27:$I$29,0))),1,0)</f>
        <v>1</v>
      </c>
      <c r="CC692" s="65" t="n">
        <f aca="false">IF(CR692&gt;0,INDEX(Parameter!$H$5:$H$7,W692)/INDEX(Parameter!$E$5:$E$7,W692),IF(AND(CA692=0,N(IFERROR(VLOOKUP(BY692,'Gebinde-Kategorie'!$A$5:$N$45,14,0),0))&gt;0),VLOOKUP(BY692,'Gebinde-Kategorie'!$A$5:$N$45,14,0)*10+Parameter!$M$23,Parameter!$M$24))</f>
        <v>235</v>
      </c>
      <c r="CD692" s="60" t="str">
        <f aca="false">IF(AND(Parameter!$B$19="Ja",E692&lt;&gt;"",ISNUMBER(MATCH(E692,Parameter!$I$35:$I$52,0))),VLOOKUP(E692,Parameter!$I$35:$J$52,2,0),IFERROR(VLOOKUP(D692,Parameter!$A$35:$C$64,2,0),"Nein"))</f>
        <v>2+3</v>
      </c>
      <c r="CE692" s="64" t="n">
        <f aca="false">IF(CA692=0,0,IF(N(S692)&gt;0,S692,IFERROR(VLOOKUP(D692,Parameter!$A$35:$C$64,3,0)+0,0)))</f>
        <v>0</v>
      </c>
      <c r="CF692" s="60" t="n">
        <f aca="false">IF(AB692&lt;&gt;"",AB692,AA692)</f>
        <v>2</v>
      </c>
      <c r="CG692" s="60" t="str">
        <f aca="false">IF(OR(CF692=1,CF692=2,CF692=3),IF(Parameter!$E$27="Ja","LIFT",IF(CF692=1,"L1","L23")),IF(CF692="Aussen","Aussen","-"))</f>
        <v>LIFT</v>
      </c>
      <c r="CH692" s="71" t="n">
        <f aca="false">IF(N(AC692)&gt;0,AC692,0)</f>
        <v>0</v>
      </c>
      <c r="CI692" s="65" t="n">
        <f aca="false">IF(ISNUMBER(AF692),1,0)</f>
        <v>0</v>
      </c>
      <c r="CJ692" s="62" t="n">
        <f aca="false">N(AF692)</f>
        <v>0</v>
      </c>
      <c r="CK692" s="62" t="n">
        <f aca="false">N(M692)+N(N692)</f>
        <v>1</v>
      </c>
      <c r="CL692" s="62" t="n">
        <f aca="false">N(M692)</f>
        <v>0</v>
      </c>
      <c r="CM692" s="62" t="n">
        <f aca="false">N(N692)</f>
        <v>1</v>
      </c>
      <c r="CN692" s="62" t="n">
        <f aca="false">ROUNDUP(H692/BZ692,0)</f>
        <v>0</v>
      </c>
      <c r="CO692" s="62" t="n">
        <f aca="false">ROUNDUP(CJ692/BZ692,0)</f>
        <v>0</v>
      </c>
      <c r="CP692" s="65" t="n">
        <f aca="false">IF(CA692=1,0,IFERROR(VLOOKUP(BY692,'Gebinde-Kategorie'!$A$5:$N$45,5,0)+0,0))</f>
        <v>20</v>
      </c>
      <c r="CQ692" s="65" t="n">
        <f aca="false">IFERROR(IF(OR(CF692=1,CF692=2,CF692=3),N(INDEX(Parameter!$I$5:$I$7,CF692)),0),0)</f>
        <v>0</v>
      </c>
      <c r="CR692" s="64" t="n">
        <f aca="false">IF(AND(Parameter!$B$21="Ja",ISNUMBER(W692),N(X692)&gt;0),IFERROR(N(INDEX(Parameter!$L$5:$L$7,W692))*INDEX(Parameter!$E$5:$E$7,W692)*X692/SUMIFS($X$7:$X$1843,$W$7:$W$1843,W692),0),0)</f>
        <v>0</v>
      </c>
      <c r="CS692" s="62" t="str">
        <f aca="false">IF(AND(OR(CG692="L1",CG692="L23",CG692="LIFT"),H692&gt;0),CC692*IF(CR692&gt;0,CR692*MAX(1,H692/X692),IF(CA692=1,CE692,IF(R692&gt;0,CN692/R692,0))/MAX(0.1,N(Parameter!$M$21))),"")</f>
        <v/>
      </c>
      <c r="CT692" s="64" t="str">
        <f aca="false">IF(CS692="","",J692/H692)</f>
        <v/>
      </c>
      <c r="CU692" s="62" t="str">
        <f aca="false">IF(CS692="","",H692*G692)</f>
        <v/>
      </c>
      <c r="CV692" s="63" t="str">
        <f aca="false">IF(CS692="","",(CL692+ROUNDUP(CL692+MAX(CM692,2*(J692/MAX(0.1,N(Einkauf!$C$6))-CL692)),0))/2)</f>
        <v/>
      </c>
      <c r="CW692" s="62" t="str">
        <f aca="false">IF(CS692="","",MAX(0,H692-CV692)*G692)</f>
        <v/>
      </c>
      <c r="CX692" s="62" t="str">
        <f aca="false">IF(CS692="","",CS692*MAX(0,1-CV692/H692))</f>
        <v/>
      </c>
      <c r="CY692" s="64" t="str">
        <f aca="false">IF(CS692="","",PERCENTRANK($CS$7:$CS$1843,CS692)+PERCENTRANK($CU$7:$CU$1843,CU692)+1-PERCENTRANK($CT$7:$CT$1843,CT692))</f>
        <v/>
      </c>
      <c r="CZ692" s="72" t="str">
        <f aca="false">IF(CS692="","",CHOOSE(MATCH(Einkauf!$C$5,Parameter!$G$23:$G$27,0),CY692,CS692,CU692,-CT692,CW692)+ROW()/1000000000)</f>
        <v/>
      </c>
    </row>
    <row r="693" customFormat="false" ht="15" hidden="false" customHeight="false" outlineLevel="0" collapsed="false">
      <c r="A693" s="60" t="s">
        <v>1426</v>
      </c>
      <c r="B693" s="60" t="s">
        <v>1427</v>
      </c>
      <c r="C693" s="60" t="s">
        <v>206</v>
      </c>
      <c r="D693" s="60" t="s">
        <v>226</v>
      </c>
      <c r="E693" s="60" t="s">
        <v>227</v>
      </c>
      <c r="F693" s="60" t="s">
        <v>260</v>
      </c>
      <c r="G693" s="61" t="n">
        <v>480</v>
      </c>
      <c r="H693" s="62" t="n">
        <f aca="false">MAX(0,IF(AND(Parameter!$B$21="Ja",ISNUMBER(Y693)),Y693,IF(Parameter!$B$20="Jahresanfang 2025 + Export",BS693+BR693,BR693)))</f>
        <v>4</v>
      </c>
      <c r="I693" s="62" t="n">
        <f aca="false">H693*G693</f>
        <v>1920</v>
      </c>
      <c r="J693" s="62" t="n">
        <f aca="false">BU693*Parameter!$B$18</f>
        <v>5</v>
      </c>
      <c r="K693" s="63" t="n">
        <v>2.5</v>
      </c>
      <c r="L693" s="64" t="n">
        <v>2</v>
      </c>
      <c r="M693" s="62" t="n">
        <v>0</v>
      </c>
      <c r="N693" s="62" t="n">
        <v>5</v>
      </c>
      <c r="O693" s="65" t="n">
        <v>35</v>
      </c>
      <c r="P693" s="60" t="s">
        <v>216</v>
      </c>
      <c r="Q693" s="62" t="n">
        <v>1</v>
      </c>
      <c r="R693" s="65" t="n">
        <f aca="false">IF(CA693=1,0,IFERROR(VLOOKUP(BY693,'Gebinde-Kategorie'!$A$5:$N$45,13,0)+0,0))</f>
        <v>6</v>
      </c>
      <c r="S693" s="66"/>
      <c r="T693" s="67"/>
      <c r="U693" s="67"/>
      <c r="V693" s="67"/>
      <c r="W693" s="60"/>
      <c r="X693" s="62"/>
      <c r="Y693" s="62"/>
      <c r="Z693" s="60" t="n">
        <v>2</v>
      </c>
      <c r="AA693" s="60" t="n">
        <f aca="false">IF(A693="","",IF(AND(Parameter!$B$21="Ja",ISNUMBER(W693)),W693,IF(AND(Parameter!$E$27="Ja",ISNUMBER(Z693),CD693&lt;&gt;"Nein"),Z693,IF(CD693="2+3",IF(ISNUMBER(SEARCH("grosser Artikel",BV693)),2,IFERROR(VLOOKUP(BY693,Parameter!$F$35:$G$64,2,0),2)),IF(OR(CD693="Nein",CD693=""),"-",CD693)))))</f>
        <v>2</v>
      </c>
      <c r="AB693" s="67"/>
      <c r="AC693" s="68"/>
      <c r="AD693" s="62" t="n">
        <f aca="false">AW693</f>
        <v>5</v>
      </c>
      <c r="AE693" s="62" t="n">
        <f aca="false">MAX(AW693,H693)</f>
        <v>5</v>
      </c>
      <c r="AF693" s="69"/>
      <c r="AG693" s="62" t="n">
        <f aca="false">IF(LEFT(Cockpit!$C$5,1)="A",H693,IF(Parameter!$E$30="MAX-Bestand",IF(CI693=1,CJ693,IF(LEFT(Cockpit!$C$5,1)="B",AM693,MAX(AM693,H693))),ROUNDUP(AK693,0)))</f>
        <v>4</v>
      </c>
      <c r="AH693" s="62" t="n">
        <f aca="false">IF(CA693=1,0,ROUNDUP(AG693/BZ693,0))</f>
        <v>4</v>
      </c>
      <c r="AI693" s="64" t="n">
        <f aca="false">IF(CR693&gt;0,CR693*MAX(1,AG693/X693),IF(CA693=1,IF(AG693&lt;=0,0,CE693*MAX(1,IF(H693&gt;0,AG693/H693,1))),IF(R693&gt;0,AH693/R693,0))/MAX(0.1,N(Parameter!$M$21)))</f>
        <v>0.666666666666667</v>
      </c>
      <c r="AJ693" s="62" t="n">
        <f aca="false">AI693*CC693</f>
        <v>156.666666666667</v>
      </c>
      <c r="AK693" s="63" t="n">
        <f aca="false">IF(LEFT(Cockpit!$C$5,1)="A",H693,IF(CI693=1,(CL693+CJ693)/2,IF(LEFT(Cockpit!$C$5,1)="B",(CL693+AM693)/2,MAX((CL693+AM693)/2,H693))))</f>
        <v>4</v>
      </c>
      <c r="AL693" s="62" t="n">
        <f aca="false">AK693*G693</f>
        <v>1920</v>
      </c>
      <c r="AM693" s="62" t="n">
        <f aca="false">ROUNDUP(CL693+MAX(CM693,2*(J693/IF(CH693&gt;0,CH693,MAX(0.1,N(Cockpit!$C$6)))-CL693)),0)</f>
        <v>5</v>
      </c>
      <c r="AN693" s="63" t="n">
        <f aca="false">IF(AJ693&gt;0,J693/AJ693,-1)</f>
        <v>0.0319148936170213</v>
      </c>
      <c r="AO693" s="63" t="n">
        <f aca="false">IF(AND(OR(CG693="L1",CG693="L23",CG693="LIFT"),AJ693&gt;0),SUMIFS($AJ$7:$AJ$1843,$CG$7:$CG$1843,CG693,$AN$7:$AN$1843,"&gt;"&amp;AN693)+SUMIFS($AJ$7:$AJ$1843,$CG$7:$CG$1843,CG693,$AN$7:$AN$1843,AN693,$BX$7:$BX$1843,"&lt;="&amp;BX693),"")</f>
        <v>20967.6518361582</v>
      </c>
      <c r="AP693" s="70" t="n">
        <f aca="false">IF(AO693="",0,MAX(0,MIN(1,(IF(CG693="L1",Parameter!$H$5,IF(CG693="L23",Parameter!$H$6+Parameter!$H$7,Parameter!$H$5+Parameter!$H$6+Parameter!$H$7))-(AO693-AJ693))/AJ693)))</f>
        <v>1</v>
      </c>
      <c r="AQ693" s="62" t="n">
        <f aca="false">IF(LEFT(Cockpit!$I$5,1)="A",H693,IF(Parameter!$E$30="MAX-Bestand",IF(CI693=1,CJ693,IF(LEFT(Cockpit!$I$5,1)="B",AW693,MAX(AW693,H693))),ROUNDUP(AU693,0)))</f>
        <v>4</v>
      </c>
      <c r="AR693" s="62" t="n">
        <f aca="false">IF(CA693=1,0,ROUNDUP(AQ693/BZ693,0))</f>
        <v>4</v>
      </c>
      <c r="AS693" s="64" t="n">
        <f aca="false">IF(CR693&gt;0,CR693*MAX(1,AQ693/X693),IF(CA693=1,IF(AQ693&lt;=0,0,CE693*MAX(1,IF(H693&gt;0,AQ693/H693,1))),IF(R693&gt;0,AR693/R693,0))/MAX(0.1,N(Parameter!$M$21)))</f>
        <v>0.666666666666667</v>
      </c>
      <c r="AT693" s="62" t="n">
        <f aca="false">AS693*CC693</f>
        <v>156.666666666667</v>
      </c>
      <c r="AU693" s="63" t="n">
        <f aca="false">IF(LEFT(Cockpit!$I$5,1)="A",H693,IF(CI693=1,(CL693+CJ693)/2,IF(LEFT(Cockpit!$I$5,1)="B",(CL693+AW693)/2,MAX((CL693+AW693)/2,H693))))</f>
        <v>4</v>
      </c>
      <c r="AV693" s="62" t="n">
        <f aca="false">AU693*G693</f>
        <v>1920</v>
      </c>
      <c r="AW693" s="62" t="n">
        <f aca="false">ROUNDUP(CL693+MAX(CM693,2*(J693/IF(CH693&gt;0,CH693,MAX(0.1,N(Cockpit!$I$6)))-CL693)),0)</f>
        <v>5</v>
      </c>
      <c r="AX693" s="63" t="n">
        <f aca="false">IF(AT693&gt;0,J693/AT693,-1)</f>
        <v>0.0319148936170213</v>
      </c>
      <c r="AY693" s="63" t="n">
        <f aca="false">IF(AND(OR(CG693="L1",CG693="L23",CG693="LIFT"),AT693&gt;0),SUMIFS($AT$7:$AT$1843,$CG$7:$CG$1843,CG693,$AX$7:$AX$1843,"&gt;"&amp;AX693)+SUMIFS($AT$7:$AT$1843,$CG$7:$CG$1843,CG693,$AX$7:$AX$1843,AX693,$BX$7:$BX$1843,"&lt;="&amp;BX693),"")</f>
        <v>26085.8004775357</v>
      </c>
      <c r="AZ693" s="70" t="n">
        <f aca="false">IF(AY693="",0,MAX(0,MIN(1,(IF(CG693="L1",Parameter!$H$5,IF(CG693="L23",Parameter!$H$6+Parameter!$H$7,Parameter!$H$5+Parameter!$H$6+Parameter!$H$7))-(AY693-AT693))/AT693)))</f>
        <v>1</v>
      </c>
      <c r="BA693" s="62" t="n">
        <f aca="false">IF(LEFT(Cockpit!$O$5,1)="A",H693,IF(Parameter!$E$30="MAX-Bestand",IF(CI693=1,CJ693,IF(LEFT(Cockpit!$O$5,1)="B",BG693,MAX(BG693,H693))),ROUNDUP(BE693,0)))</f>
        <v>3</v>
      </c>
      <c r="BB693" s="62" t="n">
        <f aca="false">IF(CA693=1,0,ROUNDUP(BA693/BZ693,0))</f>
        <v>3</v>
      </c>
      <c r="BC693" s="64" t="n">
        <f aca="false">IF(CR693&gt;0,CR693*MAX(1,BA693/X693),IF(CA693=1,IF(BA693&lt;=0,0,CE693*MAX(1,IF(H693&gt;0,BA693/H693,1))),IF(R693&gt;0,BB693/R693,0))/MAX(0.1,N(Parameter!$M$21)))</f>
        <v>0.5</v>
      </c>
      <c r="BD693" s="62" t="n">
        <f aca="false">BC693*CC693</f>
        <v>117.5</v>
      </c>
      <c r="BE693" s="63" t="n">
        <f aca="false">IF(LEFT(Cockpit!$O$5,1)="A",H693,IF(CI693=1,(CL693+CJ693)/2,IF(LEFT(Cockpit!$O$5,1)="B",(CL693+BG693)/2,MAX((CL693+BG693)/2,H693))))</f>
        <v>2.5</v>
      </c>
      <c r="BF693" s="62" t="n">
        <f aca="false">BE693*G693</f>
        <v>1200</v>
      </c>
      <c r="BG693" s="62" t="n">
        <f aca="false">ROUNDUP(CL693+MAX(CM693,2*(J693/IF(CH693&gt;0,CH693,MAX(0.1,N(Cockpit!$O$6)))-CL693)),0)</f>
        <v>5</v>
      </c>
      <c r="BH693" s="63" t="n">
        <f aca="false">IF(BD693&gt;0,J693/BD693,-1)</f>
        <v>0.0425531914893617</v>
      </c>
      <c r="BI693" s="63" t="n">
        <f aca="false">IF(AND(OR(CG693="L1",CG693="L23",CG693="LIFT"),BD693&gt;0),SUMIFS($BD$7:$BD$1843,$CG$7:$CG$1843,CG693,$BH$7:$BH$1843,"&gt;"&amp;BH693)+SUMIFS($BD$7:$BD$1843,$CG$7:$CG$1843,CG693,$BH$7:$BH$1843,BH693,$BX$7:$BX$1843,"&lt;="&amp;BX693),"")</f>
        <v>20775.7879053621</v>
      </c>
      <c r="BJ693" s="70" t="n">
        <f aca="false">IF(BI693="",0,MAX(0,MIN(1,(IF(CG693="L1",Parameter!$H$5,IF(CG693="L23",Parameter!$H$6+Parameter!$H$7,Parameter!$H$5+Parameter!$H$6+Parameter!$H$7))-(BI693-BD693))/BD693)))</f>
        <v>1</v>
      </c>
      <c r="BK693" s="60" t="str">
        <f aca="false">IF(AJ693&lt;=0,"",IF(CG693="Aussen","Aussenlager",IF(CG693="-","Nicht im Lift",IF(AP693&gt;=1,"Lift",IF(AP693&lt;=0,"Aussenlager","teilweise")))))</f>
        <v>Lift</v>
      </c>
      <c r="BL693" s="60" t="str">
        <f aca="false">IF(AT693&lt;=0,"",IF(CG693="Aussen","Aussenlager",IF(CG693="-","Nicht im Lift",IF(AZ693&gt;=1,"Lift",IF(AZ693&lt;=0,"Aussenlager","teilweise")))))</f>
        <v>Lift</v>
      </c>
      <c r="BM693" s="60" t="str">
        <f aca="false">IF(BD693&lt;=0,"",IF(CG693="Aussen","Aussenlager",IF(CG693="-","Nicht im Lift",IF(BJ693&gt;=1,"Lift",IF(BJ693&lt;=0,"Aussenlager","teilweise")))))</f>
        <v>Lift</v>
      </c>
      <c r="BN693" s="60" t="str">
        <f aca="false">IF(A693="","",IF(BW693=1,"Neu; ","")&amp;IF(AND(BW693=0,BR693&lt;0),"negativer Bestand (Export "&amp;BR693&amp;"); ","")&amp;IF(J693&lt;=0,"Kein Verbrauch; ","")&amp;IF(CR693&gt;0,"Lift "&amp;W693&amp;" lt. Liftbericht (Fach "&amp;X693&amp;" Stk); ",IF(CB693=1,"Gebinde geschätzt ("&amp;T693&amp;"); ",IF(CA693=1,"Lose – Tablare geschätzt; ","")))&amp;IF(H693&gt;AW693,"Überbestand "&amp;ROUND(H693-AW693,0)&amp;" Stk / CHF "&amp;ROUND((H693-AW693)*G693,0)&amp;"; ","")&amp;IF(AND(CI693=1,CJ693&lt;CK693),"MAX &lt; MB+LG; ","")&amp;IF(AND(CQ693&gt;0,CP693*10&gt;CQ693),"zu hoch für Tablar; ","")&amp;IF(AND(BW693=0,OR(CI693=1,AB693&lt;&gt;"",U693&lt;&gt;"",V693&lt;&gt;"",AC693&lt;&gt;"")),"manuell übersteuert; ","")&amp;IF(AND(CA693=0,R693=0),"Gebinde unbekannt / Stellmass fehlt; ","")&amp;IF(AND(CA693=0,N(V693)&lt;=0,N(Q693)&lt;=0),"Menge pro Gebinde fehlt (Ist = 1 Gebinde); ","")&amp;BV693)</f>
        <v>grosser Artikel &amp; nicht im KTL</v>
      </c>
      <c r="BO693" s="60"/>
      <c r="BP693" s="60"/>
      <c r="BQ693" s="67"/>
      <c r="BR693" s="62" t="n">
        <v>0</v>
      </c>
      <c r="BS693" s="62" t="n">
        <v>4</v>
      </c>
      <c r="BT693" s="61" t="n">
        <v>0</v>
      </c>
      <c r="BU693" s="62" t="n">
        <v>5</v>
      </c>
      <c r="BV693" s="60" t="s">
        <v>303</v>
      </c>
      <c r="BW693" s="65" t="n">
        <v>0</v>
      </c>
      <c r="BX693" s="65" t="n">
        <v>693</v>
      </c>
      <c r="BY693" s="60" t="str">
        <f aca="false">IF(U693&lt;&gt;"",UPPER(TRIM(U693)),IF(CB693=1,UPPER(VLOOKUP(T693,Parameter!$I$27:$K$29,2,0)),IF(P693="","LOSE",P693)))</f>
        <v>S71</v>
      </c>
      <c r="BZ693" s="62" t="n">
        <f aca="false">IF(BY693="LOSE",1,IF(N(V693)&gt;0,V693,IF(CB693=1,MAX(1,N(VLOOKUP(T693,Parameter!$I$27:$K$29,3,0)),H693,N(N693)),IF(N(Q693)&gt;0,Q693,MAX(1,H693)))))</f>
        <v>1</v>
      </c>
      <c r="CA693" s="65" t="n">
        <f aca="false">IF(BY693="LOSE",1,0)</f>
        <v>0</v>
      </c>
      <c r="CB693" s="65" t="n">
        <f aca="false">IF(AND(U693="",OR(P693="",P693="LOSE"),T693&lt;&gt;"",N(S693)&lt;=0,ISNUMBER(MATCH(T693,Parameter!$I$27:$I$29,0))),1,0)</f>
        <v>0</v>
      </c>
      <c r="CC693" s="65" t="n">
        <f aca="false">IF(CR693&gt;0,INDEX(Parameter!$H$5:$H$7,W693)/INDEX(Parameter!$E$5:$E$7,W693),IF(AND(CA693=0,N(IFERROR(VLOOKUP(BY693,'Gebinde-Kategorie'!$A$5:$N$45,14,0),0))&gt;0),VLOOKUP(BY693,'Gebinde-Kategorie'!$A$5:$N$45,14,0)*10+Parameter!$M$23,Parameter!$M$24))</f>
        <v>235</v>
      </c>
      <c r="CD693" s="60" t="str">
        <f aca="false">IF(AND(Parameter!$B$19="Ja",E693&lt;&gt;"",ISNUMBER(MATCH(E693,Parameter!$I$35:$I$52,0))),VLOOKUP(E693,Parameter!$I$35:$J$52,2,0),IFERROR(VLOOKUP(D693,Parameter!$A$35:$C$64,2,0),"Nein"))</f>
        <v>2+3</v>
      </c>
      <c r="CE693" s="64" t="n">
        <f aca="false">IF(CA693=0,0,IF(N(S693)&gt;0,S693,IFERROR(VLOOKUP(D693,Parameter!$A$35:$C$64,3,0)+0,0)))</f>
        <v>0</v>
      </c>
      <c r="CF693" s="60" t="n">
        <f aca="false">IF(AB693&lt;&gt;"",AB693,AA693)</f>
        <v>2</v>
      </c>
      <c r="CG693" s="60" t="str">
        <f aca="false">IF(OR(CF693=1,CF693=2,CF693=3),IF(Parameter!$E$27="Ja","LIFT",IF(CF693=1,"L1","L23")),IF(CF693="Aussen","Aussen","-"))</f>
        <v>LIFT</v>
      </c>
      <c r="CH693" s="71" t="n">
        <f aca="false">IF(N(AC693)&gt;0,AC693,0)</f>
        <v>0</v>
      </c>
      <c r="CI693" s="65" t="n">
        <f aca="false">IF(ISNUMBER(AF693),1,0)</f>
        <v>0</v>
      </c>
      <c r="CJ693" s="62" t="n">
        <f aca="false">N(AF693)</f>
        <v>0</v>
      </c>
      <c r="CK693" s="62" t="n">
        <f aca="false">N(M693)+N(N693)</f>
        <v>5</v>
      </c>
      <c r="CL693" s="62" t="n">
        <f aca="false">N(M693)</f>
        <v>0</v>
      </c>
      <c r="CM693" s="62" t="n">
        <f aca="false">N(N693)</f>
        <v>5</v>
      </c>
      <c r="CN693" s="62" t="n">
        <f aca="false">ROUNDUP(H693/BZ693,0)</f>
        <v>4</v>
      </c>
      <c r="CO693" s="62" t="n">
        <f aca="false">ROUNDUP(CJ693/BZ693,0)</f>
        <v>0</v>
      </c>
      <c r="CP693" s="65" t="n">
        <f aca="false">IF(CA693=1,0,IFERROR(VLOOKUP(BY693,'Gebinde-Kategorie'!$A$5:$N$45,5,0)+0,0))</f>
        <v>20</v>
      </c>
      <c r="CQ693" s="65" t="n">
        <f aca="false">IFERROR(IF(OR(CF693=1,CF693=2,CF693=3),N(INDEX(Parameter!$I$5:$I$7,CF693)),0),0)</f>
        <v>0</v>
      </c>
      <c r="CR693" s="64" t="n">
        <f aca="false">IF(AND(Parameter!$B$21="Ja",ISNUMBER(W693),N(X693)&gt;0),IFERROR(N(INDEX(Parameter!$L$5:$L$7,W693))*INDEX(Parameter!$E$5:$E$7,W693)*X693/SUMIFS($X$7:$X$1843,$W$7:$W$1843,W693),0),0)</f>
        <v>0</v>
      </c>
      <c r="CS693" s="62" t="n">
        <f aca="false">IF(AND(OR(CG693="L1",CG693="L23",CG693="LIFT"),H693&gt;0),CC693*IF(CR693&gt;0,CR693*MAX(1,H693/X693),IF(CA693=1,CE693,IF(R693&gt;0,CN693/R693,0))/MAX(0.1,N(Parameter!$M$21))),"")</f>
        <v>156.666666666667</v>
      </c>
      <c r="CT693" s="64" t="n">
        <f aca="false">IF(CS693="","",J693/H693)</f>
        <v>1.25</v>
      </c>
      <c r="CU693" s="62" t="n">
        <f aca="false">IF(CS693="","",H693*G693)</f>
        <v>1920</v>
      </c>
      <c r="CV693" s="63" t="n">
        <f aca="false">IF(CS693="","",(CL693+ROUNDUP(CL693+MAX(CM693,2*(J693/MAX(0.1,N(Einkauf!$C$6))-CL693)),0))/2)</f>
        <v>2.5</v>
      </c>
      <c r="CW693" s="62" t="n">
        <f aca="false">IF(CS693="","",MAX(0,H693-CV693)*G693)</f>
        <v>720</v>
      </c>
      <c r="CX693" s="62" t="n">
        <f aca="false">IF(CS693="","",CS693*MAX(0,1-CV693/H693))</f>
        <v>58.75</v>
      </c>
      <c r="CY693" s="64" t="n">
        <f aca="false">IF(CS693="","",PERCENTRANK($CS$7:$CS$1843,CS693)+PERCENTRANK($CU$7:$CU$1843,CU693)+1-PERCENTRANK($CT$7:$CT$1843,CT693))</f>
        <v>2.018</v>
      </c>
      <c r="CZ693" s="72" t="n">
        <f aca="false">IF(CS693="","",CHOOSE(MATCH(Einkauf!$C$5,Parameter!$G$23:$G$27,0),CY693,CS693,CU693,-CT693,CW693)+ROW()/1000000000)</f>
        <v>2.018000693</v>
      </c>
    </row>
    <row r="694" customFormat="false" ht="15" hidden="false" customHeight="false" outlineLevel="0" collapsed="false">
      <c r="A694" s="60" t="s">
        <v>1428</v>
      </c>
      <c r="B694" s="60" t="s">
        <v>1429</v>
      </c>
      <c r="C694" s="60" t="s">
        <v>206</v>
      </c>
      <c r="D694" s="60" t="s">
        <v>1430</v>
      </c>
      <c r="E694" s="60"/>
      <c r="F694" s="60" t="s">
        <v>260</v>
      </c>
      <c r="G694" s="61" t="n">
        <v>930</v>
      </c>
      <c r="H694" s="62" t="n">
        <f aca="false">MAX(0,IF(AND(Parameter!$B$21="Ja",ISNUMBER(Y694)),Y694,IF(Parameter!$B$20="Jahresanfang 2025 + Export",BS694+BR694,BR694)))</f>
        <v>0</v>
      </c>
      <c r="I694" s="62" t="n">
        <f aca="false">H694*G694</f>
        <v>0</v>
      </c>
      <c r="J694" s="62" t="n">
        <f aca="false">BU694*Parameter!$B$18</f>
        <v>4</v>
      </c>
      <c r="K694" s="63" t="n">
        <v>3</v>
      </c>
      <c r="L694" s="64" t="n">
        <v>1.33333333333333</v>
      </c>
      <c r="M694" s="62" t="n">
        <v>0</v>
      </c>
      <c r="N694" s="62" t="n">
        <v>1</v>
      </c>
      <c r="O694" s="65" t="n">
        <v>0</v>
      </c>
      <c r="P694" s="60" t="s">
        <v>210</v>
      </c>
      <c r="Q694" s="62"/>
      <c r="R694" s="65" t="n">
        <f aca="false">IF(CA694=1,0,IFERROR(VLOOKUP(BY694,'Gebinde-Kategorie'!$A$5:$N$45,13,0)+0,0))</f>
        <v>0</v>
      </c>
      <c r="S694" s="66"/>
      <c r="T694" s="67"/>
      <c r="U694" s="67"/>
      <c r="V694" s="67"/>
      <c r="W694" s="60"/>
      <c r="X694" s="62"/>
      <c r="Y694" s="62"/>
      <c r="Z694" s="60"/>
      <c r="AA694" s="60" t="str">
        <f aca="false">IF(A694="","",IF(AND(Parameter!$B$21="Ja",ISNUMBER(W694)),W694,IF(AND(Parameter!$E$27="Ja",ISNUMBER(Z694),CD694&lt;&gt;"Nein"),Z694,IF(CD694="2+3",IF(ISNUMBER(SEARCH("grosser Artikel",BV694)),2,IFERROR(VLOOKUP(BY694,Parameter!$F$35:$G$64,2,0),2)),IF(OR(CD694="Nein",CD694=""),"-",CD694)))))</f>
        <v>-</v>
      </c>
      <c r="AB694" s="67"/>
      <c r="AC694" s="68"/>
      <c r="AD694" s="62" t="n">
        <f aca="false">AW694</f>
        <v>3</v>
      </c>
      <c r="AE694" s="62" t="n">
        <f aca="false">MAX(AW694,H694)</f>
        <v>3</v>
      </c>
      <c r="AF694" s="69"/>
      <c r="AG694" s="62" t="n">
        <f aca="false">IF(LEFT(Cockpit!$C$5,1)="A",H694,IF(Parameter!$E$30="MAX-Bestand",IF(CI694=1,CJ694,IF(LEFT(Cockpit!$C$5,1)="B",AM694,MAX(AM694,H694))),ROUNDUP(AK694,0)))</f>
        <v>0</v>
      </c>
      <c r="AH694" s="62" t="n">
        <f aca="false">IF(CA694=1,0,ROUNDUP(AG694/BZ694,0))</f>
        <v>0</v>
      </c>
      <c r="AI694" s="64" t="n">
        <f aca="false">IF(CR694&gt;0,CR694*MAX(1,AG694/X694),IF(CA694=1,IF(AG694&lt;=0,0,CE694*MAX(1,IF(H694&gt;0,AG694/H694,1))),IF(R694&gt;0,AH694/R694,0))/MAX(0.1,N(Parameter!$M$21)))</f>
        <v>0</v>
      </c>
      <c r="AJ694" s="62" t="n">
        <f aca="false">AI694*CC694</f>
        <v>0</v>
      </c>
      <c r="AK694" s="63" t="n">
        <f aca="false">IF(LEFT(Cockpit!$C$5,1)="A",H694,IF(CI694=1,(CL694+CJ694)/2,IF(LEFT(Cockpit!$C$5,1)="B",(CL694+AM694)/2,MAX((CL694+AM694)/2,H694))))</f>
        <v>0</v>
      </c>
      <c r="AL694" s="62" t="n">
        <f aca="false">AK694*G694</f>
        <v>0</v>
      </c>
      <c r="AM694" s="62" t="n">
        <f aca="false">ROUNDUP(CL694+MAX(CM694,2*(J694/IF(CH694&gt;0,CH694,MAX(0.1,N(Cockpit!$C$6)))-CL694)),0)</f>
        <v>3</v>
      </c>
      <c r="AN694" s="63" t="n">
        <f aca="false">IF(AJ694&gt;0,J694/AJ694,-1)</f>
        <v>-1</v>
      </c>
      <c r="AO694" s="63" t="str">
        <f aca="false">IF(AND(OR(CG694="L1",CG694="L23",CG694="LIFT"),AJ694&gt;0),SUMIFS($AJ$7:$AJ$1843,$CG$7:$CG$1843,CG694,$AN$7:$AN$1843,"&gt;"&amp;AN694)+SUMIFS($AJ$7:$AJ$1843,$CG$7:$CG$1843,CG694,$AN$7:$AN$1843,AN694,$BX$7:$BX$1843,"&lt;="&amp;BX694),"")</f>
        <v/>
      </c>
      <c r="AP694" s="70" t="n">
        <f aca="false">IF(AO694="",0,MAX(0,MIN(1,(IF(CG694="L1",Parameter!$H$5,IF(CG694="L23",Parameter!$H$6+Parameter!$H$7,Parameter!$H$5+Parameter!$H$6+Parameter!$H$7))-(AO694-AJ694))/AJ694)))</f>
        <v>0</v>
      </c>
      <c r="AQ694" s="62" t="n">
        <f aca="false">IF(LEFT(Cockpit!$I$5,1)="A",H694,IF(Parameter!$E$30="MAX-Bestand",IF(CI694=1,CJ694,IF(LEFT(Cockpit!$I$5,1)="B",AW694,MAX(AW694,H694))),ROUNDUP(AU694,0)))</f>
        <v>2</v>
      </c>
      <c r="AR694" s="62" t="n">
        <f aca="false">IF(CA694=1,0,ROUNDUP(AQ694/BZ694,0))</f>
        <v>0</v>
      </c>
      <c r="AS694" s="64" t="n">
        <f aca="false">IF(CR694&gt;0,CR694*MAX(1,AQ694/X694),IF(CA694=1,IF(AQ694&lt;=0,0,CE694*MAX(1,IF(H694&gt;0,AQ694/H694,1))),IF(R694&gt;0,AR694/R694,0))/MAX(0.1,N(Parameter!$M$21)))</f>
        <v>0.15</v>
      </c>
      <c r="AT694" s="62" t="n">
        <f aca="false">AS694*CC694</f>
        <v>35.25</v>
      </c>
      <c r="AU694" s="63" t="n">
        <f aca="false">IF(LEFT(Cockpit!$I$5,1)="A",H694,IF(CI694=1,(CL694+CJ694)/2,IF(LEFT(Cockpit!$I$5,1)="B",(CL694+AW694)/2,MAX((CL694+AW694)/2,H694))))</f>
        <v>1.5</v>
      </c>
      <c r="AV694" s="62" t="n">
        <f aca="false">AU694*G694</f>
        <v>1395</v>
      </c>
      <c r="AW694" s="62" t="n">
        <f aca="false">ROUNDUP(CL694+MAX(CM694,2*(J694/IF(CH694&gt;0,CH694,MAX(0.1,N(Cockpit!$I$6)))-CL694)),0)</f>
        <v>3</v>
      </c>
      <c r="AX694" s="63" t="n">
        <f aca="false">IF(AT694&gt;0,J694/AT694,-1)</f>
        <v>0.113475177304965</v>
      </c>
      <c r="AY694" s="63" t="str">
        <f aca="false">IF(AND(OR(CG694="L1",CG694="L23",CG694="LIFT"),AT694&gt;0),SUMIFS($AT$7:$AT$1843,$CG$7:$CG$1843,CG694,$AX$7:$AX$1843,"&gt;"&amp;AX694)+SUMIFS($AT$7:$AT$1843,$CG$7:$CG$1843,CG694,$AX$7:$AX$1843,AX694,$BX$7:$BX$1843,"&lt;="&amp;BX694),"")</f>
        <v/>
      </c>
      <c r="AZ694" s="70" t="n">
        <f aca="false">IF(AY694="",0,MAX(0,MIN(1,(IF(CG694="L1",Parameter!$H$5,IF(CG694="L23",Parameter!$H$6+Parameter!$H$7,Parameter!$H$5+Parameter!$H$6+Parameter!$H$7))-(AY694-AT694))/AT694)))</f>
        <v>0</v>
      </c>
      <c r="BA694" s="62" t="n">
        <f aca="false">IF(LEFT(Cockpit!$O$5,1)="A",H694,IF(Parameter!$E$30="MAX-Bestand",IF(CI694=1,CJ694,IF(LEFT(Cockpit!$O$5,1)="B",BG694,MAX(BG694,H694))),ROUNDUP(BE694,0)))</f>
        <v>1</v>
      </c>
      <c r="BB694" s="62" t="n">
        <f aca="false">IF(CA694=1,0,ROUNDUP(BA694/BZ694,0))</f>
        <v>0</v>
      </c>
      <c r="BC694" s="64" t="n">
        <f aca="false">IF(CR694&gt;0,CR694*MAX(1,BA694/X694),IF(CA694=1,IF(BA694&lt;=0,0,CE694*MAX(1,IF(H694&gt;0,BA694/H694,1))),IF(R694&gt;0,BB694/R694,0))/MAX(0.1,N(Parameter!$M$21)))</f>
        <v>0.15</v>
      </c>
      <c r="BD694" s="62" t="n">
        <f aca="false">BC694*CC694</f>
        <v>35.25</v>
      </c>
      <c r="BE694" s="63" t="n">
        <f aca="false">IF(LEFT(Cockpit!$O$5,1)="A",H694,IF(CI694=1,(CL694+CJ694)/2,IF(LEFT(Cockpit!$O$5,1)="B",(CL694+BG694)/2,MAX((CL694+BG694)/2,H694))))</f>
        <v>1</v>
      </c>
      <c r="BF694" s="62" t="n">
        <f aca="false">BE694*G694</f>
        <v>930</v>
      </c>
      <c r="BG694" s="62" t="n">
        <f aca="false">ROUNDUP(CL694+MAX(CM694,2*(J694/IF(CH694&gt;0,CH694,MAX(0.1,N(Cockpit!$O$6)))-CL694)),0)</f>
        <v>2</v>
      </c>
      <c r="BH694" s="63" t="n">
        <f aca="false">IF(BD694&gt;0,J694/BD694,-1)</f>
        <v>0.113475177304965</v>
      </c>
      <c r="BI694" s="63" t="str">
        <f aca="false">IF(AND(OR(CG694="L1",CG694="L23",CG694="LIFT"),BD694&gt;0),SUMIFS($BD$7:$BD$1843,$CG$7:$CG$1843,CG694,$BH$7:$BH$1843,"&gt;"&amp;BH694)+SUMIFS($BD$7:$BD$1843,$CG$7:$CG$1843,CG694,$BH$7:$BH$1843,BH694,$BX$7:$BX$1843,"&lt;="&amp;BX694),"")</f>
        <v/>
      </c>
      <c r="BJ694" s="70" t="n">
        <f aca="false">IF(BI694="",0,MAX(0,MIN(1,(IF(CG694="L1",Parameter!$H$5,IF(CG694="L23",Parameter!$H$6+Parameter!$H$7,Parameter!$H$5+Parameter!$H$6+Parameter!$H$7))-(BI694-BD694))/BD694)))</f>
        <v>0</v>
      </c>
      <c r="BK694" s="60" t="str">
        <f aca="false">IF(AJ694&lt;=0,"",IF(CG694="Aussen","Aussenlager",IF(CG694="-","Nicht im Lift",IF(AP694&gt;=1,"Lift",IF(AP694&lt;=0,"Aussenlager","teilweise")))))</f>
        <v/>
      </c>
      <c r="BL694" s="60" t="str">
        <f aca="false">IF(AT694&lt;=0,"",IF(CG694="Aussen","Aussenlager",IF(CG694="-","Nicht im Lift",IF(AZ694&gt;=1,"Lift",IF(AZ694&lt;=0,"Aussenlager","teilweise")))))</f>
        <v>Nicht im Lift</v>
      </c>
      <c r="BM694" s="60" t="str">
        <f aca="false">IF(BD694&lt;=0,"",IF(CG694="Aussen","Aussenlager",IF(CG694="-","Nicht im Lift",IF(BJ694&gt;=1,"Lift",IF(BJ694&lt;=0,"Aussenlager","teilweise")))))</f>
        <v>Nicht im Lift</v>
      </c>
      <c r="BN694" s="60" t="str">
        <f aca="false">IF(A694="","",IF(BW694=1,"Neu; ","")&amp;IF(AND(BW694=0,BR694&lt;0),"negativer Bestand (Export "&amp;BR694&amp;"); ","")&amp;IF(J694&lt;=0,"Kein Verbrauch; ","")&amp;IF(CR694&gt;0,"Lift "&amp;W694&amp;" lt. Liftbericht (Fach "&amp;X694&amp;" Stk); ",IF(CB694=1,"Gebinde geschätzt ("&amp;T694&amp;"); ",IF(CA694=1,"Lose – Tablare geschätzt; ","")))&amp;IF(H694&gt;AW694,"Überbestand "&amp;ROUND(H694-AW694,0)&amp;" Stk / CHF "&amp;ROUND((H694-AW694)*G694,0)&amp;"; ","")&amp;IF(AND(CI694=1,CJ694&lt;CK694),"MAX &lt; MB+LG; ","")&amp;IF(AND(CQ694&gt;0,CP694*10&gt;CQ694),"zu hoch für Tablar; ","")&amp;IF(AND(BW694=0,OR(CI694=1,AB694&lt;&gt;"",U694&lt;&gt;"",V694&lt;&gt;"",AC694&lt;&gt;"")),"manuell übersteuert; ","")&amp;IF(AND(CA694=0,R694=0),"Gebinde unbekannt / Stellmass fehlt; ","")&amp;IF(AND(CA694=0,N(V694)&lt;=0,N(Q694)&lt;=0),"Menge pro Gebinde fehlt (Ist = 1 Gebinde); ","")&amp;BV694)</f>
        <v>Lose – Tablare geschätzt; </v>
      </c>
      <c r="BO694" s="60"/>
      <c r="BP694" s="60"/>
      <c r="BQ694" s="67"/>
      <c r="BR694" s="62" t="n">
        <v>0</v>
      </c>
      <c r="BS694" s="62" t="n">
        <v>0</v>
      </c>
      <c r="BT694" s="61" t="n">
        <v>0</v>
      </c>
      <c r="BU694" s="62" t="n">
        <v>4</v>
      </c>
      <c r="BV694" s="60"/>
      <c r="BW694" s="65" t="n">
        <v>0</v>
      </c>
      <c r="BX694" s="65" t="n">
        <v>694</v>
      </c>
      <c r="BY694" s="60" t="str">
        <f aca="false">IF(U694&lt;&gt;"",UPPER(TRIM(U694)),IF(CB694=1,UPPER(VLOOKUP(T694,Parameter!$I$27:$K$29,2,0)),IF(P694="","LOSE",P694)))</f>
        <v>LOSE</v>
      </c>
      <c r="BZ694" s="62" t="n">
        <f aca="false">IF(BY694="LOSE",1,IF(N(V694)&gt;0,V694,IF(CB694=1,MAX(1,N(VLOOKUP(T694,Parameter!$I$27:$K$29,3,0)),H694,N(N694)),IF(N(Q694)&gt;0,Q694,MAX(1,H694)))))</f>
        <v>1</v>
      </c>
      <c r="CA694" s="65" t="n">
        <f aca="false">IF(BY694="LOSE",1,0)</f>
        <v>1</v>
      </c>
      <c r="CB694" s="65" t="n">
        <f aca="false">IF(AND(U694="",OR(P694="",P694="LOSE"),T694&lt;&gt;"",N(S694)&lt;=0,ISNUMBER(MATCH(T694,Parameter!$I$27:$I$29,0))),1,0)</f>
        <v>0</v>
      </c>
      <c r="CC694" s="65" t="n">
        <f aca="false">IF(CR694&gt;0,INDEX(Parameter!$H$5:$H$7,W694)/INDEX(Parameter!$E$5:$E$7,W694),IF(AND(CA694=0,N(IFERROR(VLOOKUP(BY694,'Gebinde-Kategorie'!$A$5:$N$45,14,0),0))&gt;0),VLOOKUP(BY694,'Gebinde-Kategorie'!$A$5:$N$45,14,0)*10+Parameter!$M$23,Parameter!$M$24))</f>
        <v>235</v>
      </c>
      <c r="CD694" s="60" t="str">
        <f aca="false">IF(AND(Parameter!$B$19="Ja",E694&lt;&gt;"",ISNUMBER(MATCH(E694,Parameter!$I$35:$I$52,0))),VLOOKUP(E694,Parameter!$I$35:$J$52,2,0),IFERROR(VLOOKUP(D694,Parameter!$A$35:$C$64,2,0),"Nein"))</f>
        <v>Nein</v>
      </c>
      <c r="CE694" s="64" t="n">
        <f aca="false">IF(CA694=0,0,IF(N(S694)&gt;0,S694,IFERROR(VLOOKUP(D694,Parameter!$A$35:$C$64,3,0)+0,0)))</f>
        <v>0.15</v>
      </c>
      <c r="CF694" s="60" t="str">
        <f aca="false">IF(AB694&lt;&gt;"",AB694,AA694)</f>
        <v>-</v>
      </c>
      <c r="CG694" s="60" t="str">
        <f aca="false">IF(OR(CF694=1,CF694=2,CF694=3),IF(Parameter!$E$27="Ja","LIFT",IF(CF694=1,"L1","L23")),IF(CF694="Aussen","Aussen","-"))</f>
        <v>-</v>
      </c>
      <c r="CH694" s="71" t="n">
        <f aca="false">IF(N(AC694)&gt;0,AC694,0)</f>
        <v>0</v>
      </c>
      <c r="CI694" s="65" t="n">
        <f aca="false">IF(ISNUMBER(AF694),1,0)</f>
        <v>0</v>
      </c>
      <c r="CJ694" s="62" t="n">
        <f aca="false">N(AF694)</f>
        <v>0</v>
      </c>
      <c r="CK694" s="62" t="n">
        <f aca="false">N(M694)+N(N694)</f>
        <v>1</v>
      </c>
      <c r="CL694" s="62" t="n">
        <f aca="false">N(M694)</f>
        <v>0</v>
      </c>
      <c r="CM694" s="62" t="n">
        <f aca="false">N(N694)</f>
        <v>1</v>
      </c>
      <c r="CN694" s="62" t="n">
        <f aca="false">ROUNDUP(H694/BZ694,0)</f>
        <v>0</v>
      </c>
      <c r="CO694" s="62" t="n">
        <f aca="false">ROUNDUP(CJ694/BZ694,0)</f>
        <v>0</v>
      </c>
      <c r="CP694" s="65" t="n">
        <f aca="false">IF(CA694=1,0,IFERROR(VLOOKUP(BY694,'Gebinde-Kategorie'!$A$5:$N$45,5,0)+0,0))</f>
        <v>0</v>
      </c>
      <c r="CQ694" s="65" t="n">
        <f aca="false">IFERROR(IF(OR(CF694=1,CF694=2,CF694=3),N(INDEX(Parameter!$I$5:$I$7,CF694)),0),0)</f>
        <v>0</v>
      </c>
      <c r="CR694" s="64" t="n">
        <f aca="false">IF(AND(Parameter!$B$21="Ja",ISNUMBER(W694),N(X694)&gt;0),IFERROR(N(INDEX(Parameter!$L$5:$L$7,W694))*INDEX(Parameter!$E$5:$E$7,W694)*X694/SUMIFS($X$7:$X$1843,$W$7:$W$1843,W694),0),0)</f>
        <v>0</v>
      </c>
      <c r="CS694" s="62" t="str">
        <f aca="false">IF(AND(OR(CG694="L1",CG694="L23",CG694="LIFT"),H694&gt;0),CC694*IF(CR694&gt;0,CR694*MAX(1,H694/X694),IF(CA694=1,CE694,IF(R694&gt;0,CN694/R694,0))/MAX(0.1,N(Parameter!$M$21))),"")</f>
        <v/>
      </c>
      <c r="CT694" s="64" t="str">
        <f aca="false">IF(CS694="","",J694/H694)</f>
        <v/>
      </c>
      <c r="CU694" s="62" t="str">
        <f aca="false">IF(CS694="","",H694*G694)</f>
        <v/>
      </c>
      <c r="CV694" s="63" t="str">
        <f aca="false">IF(CS694="","",(CL694+ROUNDUP(CL694+MAX(CM694,2*(J694/MAX(0.1,N(Einkauf!$C$6))-CL694)),0))/2)</f>
        <v/>
      </c>
      <c r="CW694" s="62" t="str">
        <f aca="false">IF(CS694="","",MAX(0,H694-CV694)*G694)</f>
        <v/>
      </c>
      <c r="CX694" s="62" t="str">
        <f aca="false">IF(CS694="","",CS694*MAX(0,1-CV694/H694))</f>
        <v/>
      </c>
      <c r="CY694" s="64" t="str">
        <f aca="false">IF(CS694="","",PERCENTRANK($CS$7:$CS$1843,CS694)+PERCENTRANK($CU$7:$CU$1843,CU694)+1-PERCENTRANK($CT$7:$CT$1843,CT694))</f>
        <v/>
      </c>
      <c r="CZ694" s="72" t="str">
        <f aca="false">IF(CS694="","",CHOOSE(MATCH(Einkauf!$C$5,Parameter!$G$23:$G$27,0),CY694,CS694,CU694,-CT694,CW694)+ROW()/1000000000)</f>
        <v/>
      </c>
    </row>
    <row r="695" customFormat="false" ht="15" hidden="false" customHeight="false" outlineLevel="0" collapsed="false">
      <c r="A695" s="60" t="s">
        <v>1431</v>
      </c>
      <c r="B695" s="60" t="s">
        <v>586</v>
      </c>
      <c r="C695" s="60" t="s">
        <v>206</v>
      </c>
      <c r="D695" s="60" t="s">
        <v>1037</v>
      </c>
      <c r="E695" s="60"/>
      <c r="F695" s="60" t="s">
        <v>260</v>
      </c>
      <c r="G695" s="61" t="n">
        <v>27.23</v>
      </c>
      <c r="H695" s="62" t="n">
        <f aca="false">MAX(0,IF(AND(Parameter!$B$21="Ja",ISNUMBER(Y695)),Y695,IF(Parameter!$B$20="Jahresanfang 2025 + Export",BS695+BR695,BR695)))</f>
        <v>4</v>
      </c>
      <c r="I695" s="62" t="n">
        <f aca="false">H695*G695</f>
        <v>108.92</v>
      </c>
      <c r="J695" s="62" t="n">
        <f aca="false">BU695*Parameter!$B$18</f>
        <v>0</v>
      </c>
      <c r="K695" s="63" t="n">
        <v>3.5</v>
      </c>
      <c r="L695" s="64" t="n">
        <v>0</v>
      </c>
      <c r="M695" s="62" t="n">
        <v>0</v>
      </c>
      <c r="N695" s="62" t="n">
        <v>1</v>
      </c>
      <c r="O695" s="65" t="n">
        <v>21</v>
      </c>
      <c r="P695" s="60" t="s">
        <v>210</v>
      </c>
      <c r="Q695" s="62"/>
      <c r="R695" s="65" t="n">
        <f aca="false">IF(CA695=1,0,IFERROR(VLOOKUP(BY695,'Gebinde-Kategorie'!$A$5:$N$45,13,0)+0,0))</f>
        <v>0</v>
      </c>
      <c r="S695" s="66"/>
      <c r="T695" s="67"/>
      <c r="U695" s="67"/>
      <c r="V695" s="67"/>
      <c r="W695" s="60"/>
      <c r="X695" s="62"/>
      <c r="Y695" s="62"/>
      <c r="Z695" s="60"/>
      <c r="AA695" s="60" t="str">
        <f aca="false">IF(A695="","",IF(AND(Parameter!$B$21="Ja",ISNUMBER(W695)),W695,IF(AND(Parameter!$E$27="Ja",ISNUMBER(Z695),CD695&lt;&gt;"Nein"),Z695,IF(CD695="2+3",IF(ISNUMBER(SEARCH("grosser Artikel",BV695)),2,IFERROR(VLOOKUP(BY695,Parameter!$F$35:$G$64,2,0),2)),IF(OR(CD695="Nein",CD695=""),"-",CD695)))))</f>
        <v>-</v>
      </c>
      <c r="AB695" s="67"/>
      <c r="AC695" s="68"/>
      <c r="AD695" s="62" t="n">
        <f aca="false">AW695</f>
        <v>1</v>
      </c>
      <c r="AE695" s="62" t="n">
        <f aca="false">MAX(AW695,H695)</f>
        <v>4</v>
      </c>
      <c r="AF695" s="69"/>
      <c r="AG695" s="62" t="n">
        <f aca="false">IF(LEFT(Cockpit!$C$5,1)="A",H695,IF(Parameter!$E$30="MAX-Bestand",IF(CI695=1,CJ695,IF(LEFT(Cockpit!$C$5,1)="B",AM695,MAX(AM695,H695))),ROUNDUP(AK695,0)))</f>
        <v>4</v>
      </c>
      <c r="AH695" s="62" t="n">
        <f aca="false">IF(CA695=1,0,ROUNDUP(AG695/BZ695,0))</f>
        <v>0</v>
      </c>
      <c r="AI695" s="64" t="n">
        <f aca="false">IF(CR695&gt;0,CR695*MAX(1,AG695/X695),IF(CA695=1,IF(AG695&lt;=0,0,CE695*MAX(1,IF(H695&gt;0,AG695/H695,1))),IF(R695&gt;0,AH695/R695,0))/MAX(0.1,N(Parameter!$M$21)))</f>
        <v>0.15</v>
      </c>
      <c r="AJ695" s="62" t="n">
        <f aca="false">AI695*CC695</f>
        <v>35.25</v>
      </c>
      <c r="AK695" s="63" t="n">
        <f aca="false">IF(LEFT(Cockpit!$C$5,1)="A",H695,IF(CI695=1,(CL695+CJ695)/2,IF(LEFT(Cockpit!$C$5,1)="B",(CL695+AM695)/2,MAX((CL695+AM695)/2,H695))))</f>
        <v>4</v>
      </c>
      <c r="AL695" s="62" t="n">
        <f aca="false">AK695*G695</f>
        <v>108.92</v>
      </c>
      <c r="AM695" s="62" t="n">
        <f aca="false">ROUNDUP(CL695+MAX(CM695,2*(J695/IF(CH695&gt;0,CH695,MAX(0.1,N(Cockpit!$C$6)))-CL695)),0)</f>
        <v>1</v>
      </c>
      <c r="AN695" s="63" t="n">
        <f aca="false">IF(AJ695&gt;0,J695/AJ695,-1)</f>
        <v>0</v>
      </c>
      <c r="AO695" s="63" t="str">
        <f aca="false">IF(AND(OR(CG695="L1",CG695="L23",CG695="LIFT"),AJ695&gt;0),SUMIFS($AJ$7:$AJ$1843,$CG$7:$CG$1843,CG695,$AN$7:$AN$1843,"&gt;"&amp;AN695)+SUMIFS($AJ$7:$AJ$1843,$CG$7:$CG$1843,CG695,$AN$7:$AN$1843,AN695,$BX$7:$BX$1843,"&lt;="&amp;BX695),"")</f>
        <v/>
      </c>
      <c r="AP695" s="70" t="n">
        <f aca="false">IF(AO695="",0,MAX(0,MIN(1,(IF(CG695="L1",Parameter!$H$5,IF(CG695="L23",Parameter!$H$6+Parameter!$H$7,Parameter!$H$5+Parameter!$H$6+Parameter!$H$7))-(AO695-AJ695))/AJ695)))</f>
        <v>0</v>
      </c>
      <c r="AQ695" s="62" t="n">
        <f aca="false">IF(LEFT(Cockpit!$I$5,1)="A",H695,IF(Parameter!$E$30="MAX-Bestand",IF(CI695=1,CJ695,IF(LEFT(Cockpit!$I$5,1)="B",AW695,MAX(AW695,H695))),ROUNDUP(AU695,0)))</f>
        <v>4</v>
      </c>
      <c r="AR695" s="62" t="n">
        <f aca="false">IF(CA695=1,0,ROUNDUP(AQ695/BZ695,0))</f>
        <v>0</v>
      </c>
      <c r="AS695" s="64" t="n">
        <f aca="false">IF(CR695&gt;0,CR695*MAX(1,AQ695/X695),IF(CA695=1,IF(AQ695&lt;=0,0,CE695*MAX(1,IF(H695&gt;0,AQ695/H695,1))),IF(R695&gt;0,AR695/R695,0))/MAX(0.1,N(Parameter!$M$21)))</f>
        <v>0.15</v>
      </c>
      <c r="AT695" s="62" t="n">
        <f aca="false">AS695*CC695</f>
        <v>35.25</v>
      </c>
      <c r="AU695" s="63" t="n">
        <f aca="false">IF(LEFT(Cockpit!$I$5,1)="A",H695,IF(CI695=1,(CL695+CJ695)/2,IF(LEFT(Cockpit!$I$5,1)="B",(CL695+AW695)/2,MAX((CL695+AW695)/2,H695))))</f>
        <v>4</v>
      </c>
      <c r="AV695" s="62" t="n">
        <f aca="false">AU695*G695</f>
        <v>108.92</v>
      </c>
      <c r="AW695" s="62" t="n">
        <f aca="false">ROUNDUP(CL695+MAX(CM695,2*(J695/IF(CH695&gt;0,CH695,MAX(0.1,N(Cockpit!$I$6)))-CL695)),0)</f>
        <v>1</v>
      </c>
      <c r="AX695" s="63" t="n">
        <f aca="false">IF(AT695&gt;0,J695/AT695,-1)</f>
        <v>0</v>
      </c>
      <c r="AY695" s="63" t="str">
        <f aca="false">IF(AND(OR(CG695="L1",CG695="L23",CG695="LIFT"),AT695&gt;0),SUMIFS($AT$7:$AT$1843,$CG$7:$CG$1843,CG695,$AX$7:$AX$1843,"&gt;"&amp;AX695)+SUMIFS($AT$7:$AT$1843,$CG$7:$CG$1843,CG695,$AX$7:$AX$1843,AX695,$BX$7:$BX$1843,"&lt;="&amp;BX695),"")</f>
        <v/>
      </c>
      <c r="AZ695" s="70" t="n">
        <f aca="false">IF(AY695="",0,MAX(0,MIN(1,(IF(CG695="L1",Parameter!$H$5,IF(CG695="L23",Parameter!$H$6+Parameter!$H$7,Parameter!$H$5+Parameter!$H$6+Parameter!$H$7))-(AY695-AT695))/AT695)))</f>
        <v>0</v>
      </c>
      <c r="BA695" s="62" t="n">
        <f aca="false">IF(LEFT(Cockpit!$O$5,1)="A",H695,IF(Parameter!$E$30="MAX-Bestand",IF(CI695=1,CJ695,IF(LEFT(Cockpit!$O$5,1)="B",BG695,MAX(BG695,H695))),ROUNDUP(BE695,0)))</f>
        <v>1</v>
      </c>
      <c r="BB695" s="62" t="n">
        <f aca="false">IF(CA695=1,0,ROUNDUP(BA695/BZ695,0))</f>
        <v>0</v>
      </c>
      <c r="BC695" s="64" t="n">
        <f aca="false">IF(CR695&gt;0,CR695*MAX(1,BA695/X695),IF(CA695=1,IF(BA695&lt;=0,0,CE695*MAX(1,IF(H695&gt;0,BA695/H695,1))),IF(R695&gt;0,BB695/R695,0))/MAX(0.1,N(Parameter!$M$21)))</f>
        <v>0.15</v>
      </c>
      <c r="BD695" s="62" t="n">
        <f aca="false">BC695*CC695</f>
        <v>35.25</v>
      </c>
      <c r="BE695" s="63" t="n">
        <f aca="false">IF(LEFT(Cockpit!$O$5,1)="A",H695,IF(CI695=1,(CL695+CJ695)/2,IF(LEFT(Cockpit!$O$5,1)="B",(CL695+BG695)/2,MAX((CL695+BG695)/2,H695))))</f>
        <v>0.5</v>
      </c>
      <c r="BF695" s="62" t="n">
        <f aca="false">BE695*G695</f>
        <v>13.615</v>
      </c>
      <c r="BG695" s="62" t="n">
        <f aca="false">ROUNDUP(CL695+MAX(CM695,2*(J695/IF(CH695&gt;0,CH695,MAX(0.1,N(Cockpit!$O$6)))-CL695)),0)</f>
        <v>1</v>
      </c>
      <c r="BH695" s="63" t="n">
        <f aca="false">IF(BD695&gt;0,J695/BD695,-1)</f>
        <v>0</v>
      </c>
      <c r="BI695" s="63" t="str">
        <f aca="false">IF(AND(OR(CG695="L1",CG695="L23",CG695="LIFT"),BD695&gt;0),SUMIFS($BD$7:$BD$1843,$CG$7:$CG$1843,CG695,$BH$7:$BH$1843,"&gt;"&amp;BH695)+SUMIFS($BD$7:$BD$1843,$CG$7:$CG$1843,CG695,$BH$7:$BH$1843,BH695,$BX$7:$BX$1843,"&lt;="&amp;BX695),"")</f>
        <v/>
      </c>
      <c r="BJ695" s="70" t="n">
        <f aca="false">IF(BI695="",0,MAX(0,MIN(1,(IF(CG695="L1",Parameter!$H$5,IF(CG695="L23",Parameter!$H$6+Parameter!$H$7,Parameter!$H$5+Parameter!$H$6+Parameter!$H$7))-(BI695-BD695))/BD695)))</f>
        <v>0</v>
      </c>
      <c r="BK695" s="60" t="str">
        <f aca="false">IF(AJ695&lt;=0,"",IF(CG695="Aussen","Aussenlager",IF(CG695="-","Nicht im Lift",IF(AP695&gt;=1,"Lift",IF(AP695&lt;=0,"Aussenlager","teilweise")))))</f>
        <v>Nicht im Lift</v>
      </c>
      <c r="BL695" s="60" t="str">
        <f aca="false">IF(AT695&lt;=0,"",IF(CG695="Aussen","Aussenlager",IF(CG695="-","Nicht im Lift",IF(AZ695&gt;=1,"Lift",IF(AZ695&lt;=0,"Aussenlager","teilweise")))))</f>
        <v>Nicht im Lift</v>
      </c>
      <c r="BM695" s="60" t="str">
        <f aca="false">IF(BD695&lt;=0,"",IF(CG695="Aussen","Aussenlager",IF(CG695="-","Nicht im Lift",IF(BJ695&gt;=1,"Lift",IF(BJ695&lt;=0,"Aussenlager","teilweise")))))</f>
        <v>Nicht im Lift</v>
      </c>
      <c r="BN695" s="60" t="str">
        <f aca="false">IF(A695="","",IF(BW695=1,"Neu; ","")&amp;IF(AND(BW695=0,BR695&lt;0),"negativer Bestand (Export "&amp;BR695&amp;"); ","")&amp;IF(J695&lt;=0,"Kein Verbrauch; ","")&amp;IF(CR695&gt;0,"Lift "&amp;W695&amp;" lt. Liftbericht (Fach "&amp;X695&amp;" Stk); ",IF(CB695=1,"Gebinde geschätzt ("&amp;T695&amp;"); ",IF(CA695=1,"Lose – Tablare geschätzt; ","")))&amp;IF(H695&gt;AW695,"Überbestand "&amp;ROUND(H695-AW695,0)&amp;" Stk / CHF "&amp;ROUND((H695-AW695)*G695,0)&amp;"; ","")&amp;IF(AND(CI695=1,CJ695&lt;CK695),"MAX &lt; MB+LG; ","")&amp;IF(AND(CQ695&gt;0,CP695*10&gt;CQ695),"zu hoch für Tablar; ","")&amp;IF(AND(BW695=0,OR(CI695=1,AB695&lt;&gt;"",U695&lt;&gt;"",V695&lt;&gt;"",AC695&lt;&gt;"")),"manuell übersteuert; ","")&amp;IF(AND(CA695=0,R695=0),"Gebinde unbekannt / Stellmass fehlt; ","")&amp;IF(AND(CA695=0,N(V695)&lt;=0,N(Q695)&lt;=0),"Menge pro Gebinde fehlt (Ist = 1 Gebinde); ","")&amp;BV695)</f>
        <v>Kein Verbrauch; Lose – Tablare geschätzt; Überbestand 3 Stk / CHF 82; </v>
      </c>
      <c r="BO695" s="60"/>
      <c r="BP695" s="60"/>
      <c r="BQ695" s="67"/>
      <c r="BR695" s="62" t="n">
        <v>0</v>
      </c>
      <c r="BS695" s="62" t="n">
        <v>4</v>
      </c>
      <c r="BT695" s="61" t="n">
        <v>0</v>
      </c>
      <c r="BU695" s="62" t="n">
        <v>0</v>
      </c>
      <c r="BV695" s="60"/>
      <c r="BW695" s="65" t="n">
        <v>0</v>
      </c>
      <c r="BX695" s="65" t="n">
        <v>695</v>
      </c>
      <c r="BY695" s="60" t="str">
        <f aca="false">IF(U695&lt;&gt;"",UPPER(TRIM(U695)),IF(CB695=1,UPPER(VLOOKUP(T695,Parameter!$I$27:$K$29,2,0)),IF(P695="","LOSE",P695)))</f>
        <v>LOSE</v>
      </c>
      <c r="BZ695" s="62" t="n">
        <f aca="false">IF(BY695="LOSE",1,IF(N(V695)&gt;0,V695,IF(CB695=1,MAX(1,N(VLOOKUP(T695,Parameter!$I$27:$K$29,3,0)),H695,N(N695)),IF(N(Q695)&gt;0,Q695,MAX(1,H695)))))</f>
        <v>1</v>
      </c>
      <c r="CA695" s="65" t="n">
        <f aca="false">IF(BY695="LOSE",1,0)</f>
        <v>1</v>
      </c>
      <c r="CB695" s="65" t="n">
        <f aca="false">IF(AND(U695="",OR(P695="",P695="LOSE"),T695&lt;&gt;"",N(S695)&lt;=0,ISNUMBER(MATCH(T695,Parameter!$I$27:$I$29,0))),1,0)</f>
        <v>0</v>
      </c>
      <c r="CC695" s="65" t="n">
        <f aca="false">IF(CR695&gt;0,INDEX(Parameter!$H$5:$H$7,W695)/INDEX(Parameter!$E$5:$E$7,W695),IF(AND(CA695=0,N(IFERROR(VLOOKUP(BY695,'Gebinde-Kategorie'!$A$5:$N$45,14,0),0))&gt;0),VLOOKUP(BY695,'Gebinde-Kategorie'!$A$5:$N$45,14,0)*10+Parameter!$M$23,Parameter!$M$24))</f>
        <v>235</v>
      </c>
      <c r="CD695" s="60" t="str">
        <f aca="false">IF(AND(Parameter!$B$19="Ja",E695&lt;&gt;"",ISNUMBER(MATCH(E695,Parameter!$I$35:$I$52,0))),VLOOKUP(E695,Parameter!$I$35:$J$52,2,0),IFERROR(VLOOKUP(D695,Parameter!$A$35:$C$64,2,0),"Nein"))</f>
        <v>Nein</v>
      </c>
      <c r="CE695" s="64" t="n">
        <f aca="false">IF(CA695=0,0,IF(N(S695)&gt;0,S695,IFERROR(VLOOKUP(D695,Parameter!$A$35:$C$64,3,0)+0,0)))</f>
        <v>0.15</v>
      </c>
      <c r="CF695" s="60" t="str">
        <f aca="false">IF(AB695&lt;&gt;"",AB695,AA695)</f>
        <v>-</v>
      </c>
      <c r="CG695" s="60" t="str">
        <f aca="false">IF(OR(CF695=1,CF695=2,CF695=3),IF(Parameter!$E$27="Ja","LIFT",IF(CF695=1,"L1","L23")),IF(CF695="Aussen","Aussen","-"))</f>
        <v>-</v>
      </c>
      <c r="CH695" s="71" t="n">
        <f aca="false">IF(N(AC695)&gt;0,AC695,0)</f>
        <v>0</v>
      </c>
      <c r="CI695" s="65" t="n">
        <f aca="false">IF(ISNUMBER(AF695),1,0)</f>
        <v>0</v>
      </c>
      <c r="CJ695" s="62" t="n">
        <f aca="false">N(AF695)</f>
        <v>0</v>
      </c>
      <c r="CK695" s="62" t="n">
        <f aca="false">N(M695)+N(N695)</f>
        <v>1</v>
      </c>
      <c r="CL695" s="62" t="n">
        <f aca="false">N(M695)</f>
        <v>0</v>
      </c>
      <c r="CM695" s="62" t="n">
        <f aca="false">N(N695)</f>
        <v>1</v>
      </c>
      <c r="CN695" s="62" t="n">
        <f aca="false">ROUNDUP(H695/BZ695,0)</f>
        <v>4</v>
      </c>
      <c r="CO695" s="62" t="n">
        <f aca="false">ROUNDUP(CJ695/BZ695,0)</f>
        <v>0</v>
      </c>
      <c r="CP695" s="65" t="n">
        <f aca="false">IF(CA695=1,0,IFERROR(VLOOKUP(BY695,'Gebinde-Kategorie'!$A$5:$N$45,5,0)+0,0))</f>
        <v>0</v>
      </c>
      <c r="CQ695" s="65" t="n">
        <f aca="false">IFERROR(IF(OR(CF695=1,CF695=2,CF695=3),N(INDEX(Parameter!$I$5:$I$7,CF695)),0),0)</f>
        <v>0</v>
      </c>
      <c r="CR695" s="64" t="n">
        <f aca="false">IF(AND(Parameter!$B$21="Ja",ISNUMBER(W695),N(X695)&gt;0),IFERROR(N(INDEX(Parameter!$L$5:$L$7,W695))*INDEX(Parameter!$E$5:$E$7,W695)*X695/SUMIFS($X$7:$X$1843,$W$7:$W$1843,W695),0),0)</f>
        <v>0</v>
      </c>
      <c r="CS695" s="62" t="str">
        <f aca="false">IF(AND(OR(CG695="L1",CG695="L23",CG695="LIFT"),H695&gt;0),CC695*IF(CR695&gt;0,CR695*MAX(1,H695/X695),IF(CA695=1,CE695,IF(R695&gt;0,CN695/R695,0))/MAX(0.1,N(Parameter!$M$21))),"")</f>
        <v/>
      </c>
      <c r="CT695" s="64" t="str">
        <f aca="false">IF(CS695="","",J695/H695)</f>
        <v/>
      </c>
      <c r="CU695" s="62" t="str">
        <f aca="false">IF(CS695="","",H695*G695)</f>
        <v/>
      </c>
      <c r="CV695" s="63" t="str">
        <f aca="false">IF(CS695="","",(CL695+ROUNDUP(CL695+MAX(CM695,2*(J695/MAX(0.1,N(Einkauf!$C$6))-CL695)),0))/2)</f>
        <v/>
      </c>
      <c r="CW695" s="62" t="str">
        <f aca="false">IF(CS695="","",MAX(0,H695-CV695)*G695)</f>
        <v/>
      </c>
      <c r="CX695" s="62" t="str">
        <f aca="false">IF(CS695="","",CS695*MAX(0,1-CV695/H695))</f>
        <v/>
      </c>
      <c r="CY695" s="64" t="str">
        <f aca="false">IF(CS695="","",PERCENTRANK($CS$7:$CS$1843,CS695)+PERCENTRANK($CU$7:$CU$1843,CU695)+1-PERCENTRANK($CT$7:$CT$1843,CT695))</f>
        <v/>
      </c>
      <c r="CZ695" s="72" t="str">
        <f aca="false">IF(CS695="","",CHOOSE(MATCH(Einkauf!$C$5,Parameter!$G$23:$G$27,0),CY695,CS695,CU695,-CT695,CW695)+ROW()/1000000000)</f>
        <v/>
      </c>
    </row>
    <row r="696" customFormat="false" ht="15" hidden="false" customHeight="false" outlineLevel="0" collapsed="false">
      <c r="A696" s="60" t="s">
        <v>1432</v>
      </c>
      <c r="B696" s="60" t="s">
        <v>1433</v>
      </c>
      <c r="C696" s="60" t="s">
        <v>498</v>
      </c>
      <c r="D696" s="60" t="s">
        <v>226</v>
      </c>
      <c r="E696" s="60" t="s">
        <v>227</v>
      </c>
      <c r="F696" s="60" t="s">
        <v>260</v>
      </c>
      <c r="G696" s="61" t="n">
        <v>139.35</v>
      </c>
      <c r="H696" s="62" t="n">
        <f aca="false">MAX(0,IF(AND(Parameter!$B$21="Ja",ISNUMBER(Y696)),Y696,IF(Parameter!$B$20="Jahresanfang 2025 + Export",BS696+BR696,BR696)))</f>
        <v>0</v>
      </c>
      <c r="I696" s="62" t="n">
        <f aca="false">H696*G696</f>
        <v>0</v>
      </c>
      <c r="J696" s="62" t="n">
        <f aca="false">BU696*Parameter!$B$18</f>
        <v>0</v>
      </c>
      <c r="K696" s="63" t="n">
        <v>0</v>
      </c>
      <c r="L696" s="64" t="n">
        <v>0</v>
      </c>
      <c r="M696" s="62" t="n">
        <v>0</v>
      </c>
      <c r="N696" s="62" t="n">
        <v>1</v>
      </c>
      <c r="O696" s="65" t="n">
        <v>56</v>
      </c>
      <c r="P696" s="60" t="s">
        <v>268</v>
      </c>
      <c r="Q696" s="62" t="n">
        <v>140</v>
      </c>
      <c r="R696" s="65" t="n">
        <f aca="false">IF(CA696=1,0,IFERROR(VLOOKUP(BY696,'Gebinde-Kategorie'!$A$5:$N$45,13,0)+0,0))</f>
        <v>12</v>
      </c>
      <c r="S696" s="66"/>
      <c r="T696" s="67"/>
      <c r="U696" s="67"/>
      <c r="V696" s="67"/>
      <c r="W696" s="60"/>
      <c r="X696" s="62"/>
      <c r="Y696" s="62"/>
      <c r="Z696" s="60" t="n">
        <v>3</v>
      </c>
      <c r="AA696" s="60" t="n">
        <f aca="false">IF(A696="","",IF(AND(Parameter!$B$21="Ja",ISNUMBER(W696)),W696,IF(AND(Parameter!$E$27="Ja",ISNUMBER(Z696),CD696&lt;&gt;"Nein"),Z696,IF(CD696="2+3",IF(ISNUMBER(SEARCH("grosser Artikel",BV696)),2,IFERROR(VLOOKUP(BY696,Parameter!$F$35:$G$64,2,0),2)),IF(OR(CD696="Nein",CD696=""),"-",CD696)))))</f>
        <v>3</v>
      </c>
      <c r="AB696" s="67"/>
      <c r="AC696" s="68"/>
      <c r="AD696" s="62" t="n">
        <f aca="false">AW696</f>
        <v>1</v>
      </c>
      <c r="AE696" s="62" t="n">
        <f aca="false">MAX(AW696,H696)</f>
        <v>1</v>
      </c>
      <c r="AF696" s="69"/>
      <c r="AG696" s="62" t="n">
        <f aca="false">IF(LEFT(Cockpit!$C$5,1)="A",H696,IF(Parameter!$E$30="MAX-Bestand",IF(CI696=1,CJ696,IF(LEFT(Cockpit!$C$5,1)="B",AM696,MAX(AM696,H696))),ROUNDUP(AK696,0)))</f>
        <v>0</v>
      </c>
      <c r="AH696" s="62" t="n">
        <f aca="false">IF(CA696=1,0,ROUNDUP(AG696/BZ696,0))</f>
        <v>0</v>
      </c>
      <c r="AI696" s="64" t="n">
        <f aca="false">IF(CR696&gt;0,CR696*MAX(1,AG696/X696),IF(CA696=1,IF(AG696&lt;=0,0,CE696*MAX(1,IF(H696&gt;0,AG696/H696,1))),IF(R696&gt;0,AH696/R696,0))/MAX(0.1,N(Parameter!$M$21)))</f>
        <v>0</v>
      </c>
      <c r="AJ696" s="62" t="n">
        <f aca="false">AI696*CC696</f>
        <v>0</v>
      </c>
      <c r="AK696" s="63" t="n">
        <f aca="false">IF(LEFT(Cockpit!$C$5,1)="A",H696,IF(CI696=1,(CL696+CJ696)/2,IF(LEFT(Cockpit!$C$5,1)="B",(CL696+AM696)/2,MAX((CL696+AM696)/2,H696))))</f>
        <v>0</v>
      </c>
      <c r="AL696" s="62" t="n">
        <f aca="false">AK696*G696</f>
        <v>0</v>
      </c>
      <c r="AM696" s="62" t="n">
        <f aca="false">ROUNDUP(CL696+MAX(CM696,2*(J696/IF(CH696&gt;0,CH696,MAX(0.1,N(Cockpit!$C$6)))-CL696)),0)</f>
        <v>1</v>
      </c>
      <c r="AN696" s="63" t="n">
        <f aca="false">IF(AJ696&gt;0,J696/AJ696,-1)</f>
        <v>-1</v>
      </c>
      <c r="AO696" s="63" t="str">
        <f aca="false">IF(AND(OR(CG696="L1",CG696="L23",CG696="LIFT"),AJ696&gt;0),SUMIFS($AJ$7:$AJ$1843,$CG$7:$CG$1843,CG696,$AN$7:$AN$1843,"&gt;"&amp;AN696)+SUMIFS($AJ$7:$AJ$1843,$CG$7:$CG$1843,CG696,$AN$7:$AN$1843,AN696,$BX$7:$BX$1843,"&lt;="&amp;BX696),"")</f>
        <v/>
      </c>
      <c r="AP696" s="70" t="n">
        <f aca="false">IF(AO696="",0,MAX(0,MIN(1,(IF(CG696="L1",Parameter!$H$5,IF(CG696="L23",Parameter!$H$6+Parameter!$H$7,Parameter!$H$5+Parameter!$H$6+Parameter!$H$7))-(AO696-AJ696))/AJ696)))</f>
        <v>0</v>
      </c>
      <c r="AQ696" s="62" t="n">
        <f aca="false">IF(LEFT(Cockpit!$I$5,1)="A",H696,IF(Parameter!$E$30="MAX-Bestand",IF(CI696=1,CJ696,IF(LEFT(Cockpit!$I$5,1)="B",AW696,MAX(AW696,H696))),ROUNDUP(AU696,0)))</f>
        <v>1</v>
      </c>
      <c r="AR696" s="62" t="n">
        <f aca="false">IF(CA696=1,0,ROUNDUP(AQ696/BZ696,0))</f>
        <v>1</v>
      </c>
      <c r="AS696" s="64" t="n">
        <f aca="false">IF(CR696&gt;0,CR696*MAX(1,AQ696/X696),IF(CA696=1,IF(AQ696&lt;=0,0,CE696*MAX(1,IF(H696&gt;0,AQ696/H696,1))),IF(R696&gt;0,AR696/R696,0))/MAX(0.1,N(Parameter!$M$21)))</f>
        <v>0.0833333333333333</v>
      </c>
      <c r="AT696" s="62" t="n">
        <f aca="false">AS696*CC696</f>
        <v>28.75</v>
      </c>
      <c r="AU696" s="63" t="n">
        <f aca="false">IF(LEFT(Cockpit!$I$5,1)="A",H696,IF(CI696=1,(CL696+CJ696)/2,IF(LEFT(Cockpit!$I$5,1)="B",(CL696+AW696)/2,MAX((CL696+AW696)/2,H696))))</f>
        <v>0.5</v>
      </c>
      <c r="AV696" s="62" t="n">
        <f aca="false">AU696*G696</f>
        <v>69.675</v>
      </c>
      <c r="AW696" s="62" t="n">
        <f aca="false">ROUNDUP(CL696+MAX(CM696,2*(J696/IF(CH696&gt;0,CH696,MAX(0.1,N(Cockpit!$I$6)))-CL696)),0)</f>
        <v>1</v>
      </c>
      <c r="AX696" s="63" t="n">
        <f aca="false">IF(AT696&gt;0,J696/AT696,-1)</f>
        <v>0</v>
      </c>
      <c r="AY696" s="63" t="n">
        <f aca="false">IF(AND(OR(CG696="L1",CG696="L23",CG696="LIFT"),AT696&gt;0),SUMIFS($AT$7:$AT$1843,$CG$7:$CG$1843,CG696,$AX$7:$AX$1843,"&gt;"&amp;AX696)+SUMIFS($AT$7:$AT$1843,$CG$7:$CG$1843,CG696,$AX$7:$AX$1843,AX696,$BX$7:$BX$1843,"&lt;="&amp;BX696),"")</f>
        <v>34040.1213369963</v>
      </c>
      <c r="AZ696" s="70" t="n">
        <f aca="false">IF(AY696="",0,MAX(0,MIN(1,(IF(CG696="L1",Parameter!$H$5,IF(CG696="L23",Parameter!$H$6+Parameter!$H$7,Parameter!$H$5+Parameter!$H$6+Parameter!$H$7))-(AY696-AT696))/AT696)))</f>
        <v>1</v>
      </c>
      <c r="BA696" s="62" t="n">
        <f aca="false">IF(LEFT(Cockpit!$O$5,1)="A",H696,IF(Parameter!$E$30="MAX-Bestand",IF(CI696=1,CJ696,IF(LEFT(Cockpit!$O$5,1)="B",BG696,MAX(BG696,H696))),ROUNDUP(BE696,0)))</f>
        <v>1</v>
      </c>
      <c r="BB696" s="62" t="n">
        <f aca="false">IF(CA696=1,0,ROUNDUP(BA696/BZ696,0))</f>
        <v>1</v>
      </c>
      <c r="BC696" s="64" t="n">
        <f aca="false">IF(CR696&gt;0,CR696*MAX(1,BA696/X696),IF(CA696=1,IF(BA696&lt;=0,0,CE696*MAX(1,IF(H696&gt;0,BA696/H696,1))),IF(R696&gt;0,BB696/R696,0))/MAX(0.1,N(Parameter!$M$21)))</f>
        <v>0.0833333333333333</v>
      </c>
      <c r="BD696" s="62" t="n">
        <f aca="false">BC696*CC696</f>
        <v>28.75</v>
      </c>
      <c r="BE696" s="63" t="n">
        <f aca="false">IF(LEFT(Cockpit!$O$5,1)="A",H696,IF(CI696=1,(CL696+CJ696)/2,IF(LEFT(Cockpit!$O$5,1)="B",(CL696+BG696)/2,MAX((CL696+BG696)/2,H696))))</f>
        <v>0.5</v>
      </c>
      <c r="BF696" s="62" t="n">
        <f aca="false">BE696*G696</f>
        <v>69.675</v>
      </c>
      <c r="BG696" s="62" t="n">
        <f aca="false">ROUNDUP(CL696+MAX(CM696,2*(J696/IF(CH696&gt;0,CH696,MAX(0.1,N(Cockpit!$O$6)))-CL696)),0)</f>
        <v>1</v>
      </c>
      <c r="BH696" s="63" t="n">
        <f aca="false">IF(BD696&gt;0,J696/BD696,-1)</f>
        <v>0</v>
      </c>
      <c r="BI696" s="63" t="n">
        <f aca="false">IF(AND(OR(CG696="L1",CG696="L23",CG696="LIFT"),BD696&gt;0),SUMIFS($BD$7:$BD$1843,$CG$7:$CG$1843,CG696,$BH$7:$BH$1843,"&gt;"&amp;BH696)+SUMIFS($BD$7:$BD$1843,$CG$7:$CG$1843,CG696,$BH$7:$BH$1843,BH696,$BX$7:$BX$1843,"&lt;="&amp;BX696),"")</f>
        <v>28104.2503414664</v>
      </c>
      <c r="BJ696" s="70" t="n">
        <f aca="false">IF(BI696="",0,MAX(0,MIN(1,(IF(CG696="L1",Parameter!$H$5,IF(CG696="L23",Parameter!$H$6+Parameter!$H$7,Parameter!$H$5+Parameter!$H$6+Parameter!$H$7))-(BI696-BD696))/BD696)))</f>
        <v>1</v>
      </c>
      <c r="BK696" s="60" t="str">
        <f aca="false">IF(AJ696&lt;=0,"",IF(CG696="Aussen","Aussenlager",IF(CG696="-","Nicht im Lift",IF(AP696&gt;=1,"Lift",IF(AP696&lt;=0,"Aussenlager","teilweise")))))</f>
        <v/>
      </c>
      <c r="BL696" s="60" t="str">
        <f aca="false">IF(AT696&lt;=0,"",IF(CG696="Aussen","Aussenlager",IF(CG696="-","Nicht im Lift",IF(AZ696&gt;=1,"Lift",IF(AZ696&lt;=0,"Aussenlager","teilweise")))))</f>
        <v>Lift</v>
      </c>
      <c r="BM696" s="60" t="str">
        <f aca="false">IF(BD696&lt;=0,"",IF(CG696="Aussen","Aussenlager",IF(CG696="-","Nicht im Lift",IF(BJ696&gt;=1,"Lift",IF(BJ696&lt;=0,"Aussenlager","teilweise")))))</f>
        <v>Lift</v>
      </c>
      <c r="BN696" s="60" t="str">
        <f aca="false">IF(A696="","",IF(BW696=1,"Neu; ","")&amp;IF(AND(BW696=0,BR696&lt;0),"negativer Bestand (Export "&amp;BR696&amp;"); ","")&amp;IF(J696&lt;=0,"Kein Verbrauch; ","")&amp;IF(CR696&gt;0,"Lift "&amp;W696&amp;" lt. Liftbericht (Fach "&amp;X696&amp;" Stk); ",IF(CB696=1,"Gebinde geschätzt ("&amp;T696&amp;"); ",IF(CA696=1,"Lose – Tablare geschätzt; ","")))&amp;IF(H696&gt;AW696,"Überbestand "&amp;ROUND(H696-AW696,0)&amp;" Stk / CHF "&amp;ROUND((H696-AW696)*G696,0)&amp;"; ","")&amp;IF(AND(CI696=1,CJ696&lt;CK696),"MAX &lt; MB+LG; ","")&amp;IF(AND(CQ696&gt;0,CP696*10&gt;CQ696),"zu hoch für Tablar; ","")&amp;IF(AND(BW696=0,OR(CI696=1,AB696&lt;&gt;"",U696&lt;&gt;"",V696&lt;&gt;"",AC696&lt;&gt;"")),"manuell übersteuert; ","")&amp;IF(AND(CA696=0,R696=0),"Gebinde unbekannt / Stellmass fehlt; ","")&amp;IF(AND(CA696=0,N(V696)&lt;=0,N(Q696)&lt;=0),"Menge pro Gebinde fehlt (Ist = 1 Gebinde); ","")&amp;BV696)</f>
        <v>Kein Verbrauch; </v>
      </c>
      <c r="BO696" s="60"/>
      <c r="BP696" s="60"/>
      <c r="BQ696" s="67"/>
      <c r="BR696" s="62" t="n">
        <v>0</v>
      </c>
      <c r="BS696" s="62" t="n">
        <v>0</v>
      </c>
      <c r="BT696" s="61" t="n">
        <v>0</v>
      </c>
      <c r="BU696" s="62" t="n">
        <v>0</v>
      </c>
      <c r="BV696" s="60"/>
      <c r="BW696" s="65" t="n">
        <v>0</v>
      </c>
      <c r="BX696" s="65" t="n">
        <v>696</v>
      </c>
      <c r="BY696" s="60" t="str">
        <f aca="false">IF(U696&lt;&gt;"",UPPER(TRIM(U696)),IF(CB696=1,UPPER(VLOOKUP(T696,Parameter!$I$27:$K$29,2,0)),IF(P696="","LOSE",P696)))</f>
        <v>S63</v>
      </c>
      <c r="BZ696" s="62" t="n">
        <f aca="false">IF(BY696="LOSE",1,IF(N(V696)&gt;0,V696,IF(CB696=1,MAX(1,N(VLOOKUP(T696,Parameter!$I$27:$K$29,3,0)),H696,N(N696)),IF(N(Q696)&gt;0,Q696,MAX(1,H696)))))</f>
        <v>140</v>
      </c>
      <c r="CA696" s="65" t="n">
        <f aca="false">IF(BY696="LOSE",1,0)</f>
        <v>0</v>
      </c>
      <c r="CB696" s="65" t="n">
        <f aca="false">IF(AND(U696="",OR(P696="",P696="LOSE"),T696&lt;&gt;"",N(S696)&lt;=0,ISNUMBER(MATCH(T696,Parameter!$I$27:$I$29,0))),1,0)</f>
        <v>0</v>
      </c>
      <c r="CC696" s="65" t="n">
        <f aca="false">IF(CR696&gt;0,INDEX(Parameter!$H$5:$H$7,W696)/INDEX(Parameter!$E$5:$E$7,W696),IF(AND(CA696=0,N(IFERROR(VLOOKUP(BY696,'Gebinde-Kategorie'!$A$5:$N$45,14,0),0))&gt;0),VLOOKUP(BY696,'Gebinde-Kategorie'!$A$5:$N$45,14,0)*10+Parameter!$M$23,Parameter!$M$24))</f>
        <v>345</v>
      </c>
      <c r="CD696" s="60" t="str">
        <f aca="false">IF(AND(Parameter!$B$19="Ja",E696&lt;&gt;"",ISNUMBER(MATCH(E696,Parameter!$I$35:$I$52,0))),VLOOKUP(E696,Parameter!$I$35:$J$52,2,0),IFERROR(VLOOKUP(D696,Parameter!$A$35:$C$64,2,0),"Nein"))</f>
        <v>2+3</v>
      </c>
      <c r="CE696" s="64" t="n">
        <f aca="false">IF(CA696=0,0,IF(N(S696)&gt;0,S696,IFERROR(VLOOKUP(D696,Parameter!$A$35:$C$64,3,0)+0,0)))</f>
        <v>0</v>
      </c>
      <c r="CF696" s="60" t="n">
        <f aca="false">IF(AB696&lt;&gt;"",AB696,AA696)</f>
        <v>3</v>
      </c>
      <c r="CG696" s="60" t="str">
        <f aca="false">IF(OR(CF696=1,CF696=2,CF696=3),IF(Parameter!$E$27="Ja","LIFT",IF(CF696=1,"L1","L23")),IF(CF696="Aussen","Aussen","-"))</f>
        <v>LIFT</v>
      </c>
      <c r="CH696" s="71" t="n">
        <f aca="false">IF(N(AC696)&gt;0,AC696,0)</f>
        <v>0</v>
      </c>
      <c r="CI696" s="65" t="n">
        <f aca="false">IF(ISNUMBER(AF696),1,0)</f>
        <v>0</v>
      </c>
      <c r="CJ696" s="62" t="n">
        <f aca="false">N(AF696)</f>
        <v>0</v>
      </c>
      <c r="CK696" s="62" t="n">
        <f aca="false">N(M696)+N(N696)</f>
        <v>1</v>
      </c>
      <c r="CL696" s="62" t="n">
        <f aca="false">N(M696)</f>
        <v>0</v>
      </c>
      <c r="CM696" s="62" t="n">
        <f aca="false">N(N696)</f>
        <v>1</v>
      </c>
      <c r="CN696" s="62" t="n">
        <f aca="false">ROUNDUP(H696/BZ696,0)</f>
        <v>0</v>
      </c>
      <c r="CO696" s="62" t="n">
        <f aca="false">ROUNDUP(CJ696/BZ696,0)</f>
        <v>0</v>
      </c>
      <c r="CP696" s="65" t="n">
        <f aca="false">IF(CA696=1,0,IFERROR(VLOOKUP(BY696,'Gebinde-Kategorie'!$A$5:$N$45,5,0)+0,0))</f>
        <v>31</v>
      </c>
      <c r="CQ696" s="65" t="n">
        <f aca="false">IFERROR(IF(OR(CF696=1,CF696=2,CF696=3),N(INDEX(Parameter!$I$5:$I$7,CF696)),0),0)</f>
        <v>0</v>
      </c>
      <c r="CR696" s="64" t="n">
        <f aca="false">IF(AND(Parameter!$B$21="Ja",ISNUMBER(W696),N(X696)&gt;0),IFERROR(N(INDEX(Parameter!$L$5:$L$7,W696))*INDEX(Parameter!$E$5:$E$7,W696)*X696/SUMIFS($X$7:$X$1843,$W$7:$W$1843,W696),0),0)</f>
        <v>0</v>
      </c>
      <c r="CS696" s="62" t="str">
        <f aca="false">IF(AND(OR(CG696="L1",CG696="L23",CG696="LIFT"),H696&gt;0),CC696*IF(CR696&gt;0,CR696*MAX(1,H696/X696),IF(CA696=1,CE696,IF(R696&gt;0,CN696/R696,0))/MAX(0.1,N(Parameter!$M$21))),"")</f>
        <v/>
      </c>
      <c r="CT696" s="64" t="str">
        <f aca="false">IF(CS696="","",J696/H696)</f>
        <v/>
      </c>
      <c r="CU696" s="62" t="str">
        <f aca="false">IF(CS696="","",H696*G696)</f>
        <v/>
      </c>
      <c r="CV696" s="63" t="str">
        <f aca="false">IF(CS696="","",(CL696+ROUNDUP(CL696+MAX(CM696,2*(J696/MAX(0.1,N(Einkauf!$C$6))-CL696)),0))/2)</f>
        <v/>
      </c>
      <c r="CW696" s="62" t="str">
        <f aca="false">IF(CS696="","",MAX(0,H696-CV696)*G696)</f>
        <v/>
      </c>
      <c r="CX696" s="62" t="str">
        <f aca="false">IF(CS696="","",CS696*MAX(0,1-CV696/H696))</f>
        <v/>
      </c>
      <c r="CY696" s="64" t="str">
        <f aca="false">IF(CS696="","",PERCENTRANK($CS$7:$CS$1843,CS696)+PERCENTRANK($CU$7:$CU$1843,CU696)+1-PERCENTRANK($CT$7:$CT$1843,CT696))</f>
        <v/>
      </c>
      <c r="CZ696" s="72" t="str">
        <f aca="false">IF(CS696="","",CHOOSE(MATCH(Einkauf!$C$5,Parameter!$G$23:$G$27,0),CY696,CS696,CU696,-CT696,CW696)+ROW()/1000000000)</f>
        <v/>
      </c>
    </row>
    <row r="697" customFormat="false" ht="15" hidden="false" customHeight="false" outlineLevel="0" collapsed="false">
      <c r="A697" s="60" t="s">
        <v>1434</v>
      </c>
      <c r="B697" s="60" t="s">
        <v>1435</v>
      </c>
      <c r="C697" s="60" t="s">
        <v>206</v>
      </c>
      <c r="D697" s="60" t="s">
        <v>226</v>
      </c>
      <c r="E697" s="60"/>
      <c r="F697" s="60" t="s">
        <v>260</v>
      </c>
      <c r="G697" s="61" t="n">
        <v>51.81</v>
      </c>
      <c r="H697" s="62" t="n">
        <f aca="false">MAX(0,IF(AND(Parameter!$B$21="Ja",ISNUMBER(Y697)),Y697,IF(Parameter!$B$20="Jahresanfang 2025 + Export",BS697+BR697,BR697)))</f>
        <v>7</v>
      </c>
      <c r="I697" s="62" t="n">
        <f aca="false">H697*G697</f>
        <v>362.67</v>
      </c>
      <c r="J697" s="62" t="n">
        <f aca="false">BU697*Parameter!$B$18</f>
        <v>1</v>
      </c>
      <c r="K697" s="63" t="n">
        <v>7</v>
      </c>
      <c r="L697" s="64" t="n">
        <v>0.142857142857143</v>
      </c>
      <c r="M697" s="62" t="n">
        <v>0</v>
      </c>
      <c r="N697" s="62" t="n">
        <v>1</v>
      </c>
      <c r="O697" s="65" t="n">
        <v>42</v>
      </c>
      <c r="P697" s="60" t="s">
        <v>463</v>
      </c>
      <c r="Q697" s="62" t="n">
        <v>4</v>
      </c>
      <c r="R697" s="65" t="n">
        <f aca="false">IF(CA697=1,0,IFERROR(VLOOKUP(BY697,'Gebinde-Kategorie'!$A$5:$N$45,13,0)+0,0))</f>
        <v>104</v>
      </c>
      <c r="S697" s="66"/>
      <c r="T697" s="67"/>
      <c r="U697" s="67"/>
      <c r="V697" s="67"/>
      <c r="W697" s="60"/>
      <c r="X697" s="62"/>
      <c r="Y697" s="62"/>
      <c r="Z697" s="60" t="n">
        <v>3</v>
      </c>
      <c r="AA697" s="60" t="n">
        <f aca="false">IF(A697="","",IF(AND(Parameter!$B$21="Ja",ISNUMBER(W697)),W697,IF(AND(Parameter!$E$27="Ja",ISNUMBER(Z697),CD697&lt;&gt;"Nein"),Z697,IF(CD697="2+3",IF(ISNUMBER(SEARCH("grosser Artikel",BV697)),2,IFERROR(VLOOKUP(BY697,Parameter!$F$35:$G$64,2,0),2)),IF(OR(CD697="Nein",CD697=""),"-",CD697)))))</f>
        <v>3</v>
      </c>
      <c r="AB697" s="67"/>
      <c r="AC697" s="68"/>
      <c r="AD697" s="62" t="n">
        <f aca="false">AW697</f>
        <v>1</v>
      </c>
      <c r="AE697" s="62" t="n">
        <f aca="false">MAX(AW697,H697)</f>
        <v>7</v>
      </c>
      <c r="AF697" s="69"/>
      <c r="AG697" s="62" t="n">
        <f aca="false">IF(LEFT(Cockpit!$C$5,1)="A",H697,IF(Parameter!$E$30="MAX-Bestand",IF(CI697=1,CJ697,IF(LEFT(Cockpit!$C$5,1)="B",AM697,MAX(AM697,H697))),ROUNDUP(AK697,0)))</f>
        <v>7</v>
      </c>
      <c r="AH697" s="62" t="n">
        <f aca="false">IF(CA697=1,0,ROUNDUP(AG697/BZ697,0))</f>
        <v>2</v>
      </c>
      <c r="AI697" s="64" t="n">
        <f aca="false">IF(CR697&gt;0,CR697*MAX(1,AG697/X697),IF(CA697=1,IF(AG697&lt;=0,0,CE697*MAX(1,IF(H697&gt;0,AG697/H697,1))),IF(R697&gt;0,AH697/R697,0))/MAX(0.1,N(Parameter!$M$21)))</f>
        <v>0.0192307692307692</v>
      </c>
      <c r="AJ697" s="62" t="n">
        <f aca="false">AI697*CC697</f>
        <v>2.98076923076923</v>
      </c>
      <c r="AK697" s="63" t="n">
        <f aca="false">IF(LEFT(Cockpit!$C$5,1)="A",H697,IF(CI697=1,(CL697+CJ697)/2,IF(LEFT(Cockpit!$C$5,1)="B",(CL697+AM697)/2,MAX((CL697+AM697)/2,H697))))</f>
        <v>7</v>
      </c>
      <c r="AL697" s="62" t="n">
        <f aca="false">AK697*G697</f>
        <v>362.67</v>
      </c>
      <c r="AM697" s="62" t="n">
        <f aca="false">ROUNDUP(CL697+MAX(CM697,2*(J697/IF(CH697&gt;0,CH697,MAX(0.1,N(Cockpit!$C$6)))-CL697)),0)</f>
        <v>1</v>
      </c>
      <c r="AN697" s="63" t="n">
        <f aca="false">IF(AJ697&gt;0,J697/AJ697,-1)</f>
        <v>0.335483870967742</v>
      </c>
      <c r="AO697" s="63" t="n">
        <f aca="false">IF(AND(OR(CG697="L1",CG697="L23",CG697="LIFT"),AJ697&gt;0),SUMIFS($AJ$7:$AJ$1843,$CG$7:$CG$1843,CG697,$AN$7:$AN$1843,"&gt;"&amp;AN697)+SUMIFS($AJ$7:$AJ$1843,$CG$7:$CG$1843,CG697,$AN$7:$AN$1843,AN697,$BX$7:$BX$1843,"&lt;="&amp;BX697),"")</f>
        <v>11189.000116409</v>
      </c>
      <c r="AP697" s="70" t="n">
        <f aca="false">IF(AO697="",0,MAX(0,MIN(1,(IF(CG697="L1",Parameter!$H$5,IF(CG697="L23",Parameter!$H$6+Parameter!$H$7,Parameter!$H$5+Parameter!$H$6+Parameter!$H$7))-(AO697-AJ697))/AJ697)))</f>
        <v>1</v>
      </c>
      <c r="AQ697" s="62" t="n">
        <f aca="false">IF(LEFT(Cockpit!$I$5,1)="A",H697,IF(Parameter!$E$30="MAX-Bestand",IF(CI697=1,CJ697,IF(LEFT(Cockpit!$I$5,1)="B",AW697,MAX(AW697,H697))),ROUNDUP(AU697,0)))</f>
        <v>7</v>
      </c>
      <c r="AR697" s="62" t="n">
        <f aca="false">IF(CA697=1,0,ROUNDUP(AQ697/BZ697,0))</f>
        <v>2</v>
      </c>
      <c r="AS697" s="64" t="n">
        <f aca="false">IF(CR697&gt;0,CR697*MAX(1,AQ697/X697),IF(CA697=1,IF(AQ697&lt;=0,0,CE697*MAX(1,IF(H697&gt;0,AQ697/H697,1))),IF(R697&gt;0,AR697/R697,0))/MAX(0.1,N(Parameter!$M$21)))</f>
        <v>0.0192307692307692</v>
      </c>
      <c r="AT697" s="62" t="n">
        <f aca="false">AS697*CC697</f>
        <v>2.98076923076923</v>
      </c>
      <c r="AU697" s="63" t="n">
        <f aca="false">IF(LEFT(Cockpit!$I$5,1)="A",H697,IF(CI697=1,(CL697+CJ697)/2,IF(LEFT(Cockpit!$I$5,1)="B",(CL697+AW697)/2,MAX((CL697+AW697)/2,H697))))</f>
        <v>7</v>
      </c>
      <c r="AV697" s="62" t="n">
        <f aca="false">AU697*G697</f>
        <v>362.67</v>
      </c>
      <c r="AW697" s="62" t="n">
        <f aca="false">ROUNDUP(CL697+MAX(CM697,2*(J697/IF(CH697&gt;0,CH697,MAX(0.1,N(Cockpit!$I$6)))-CL697)),0)</f>
        <v>1</v>
      </c>
      <c r="AX697" s="63" t="n">
        <f aca="false">IF(AT697&gt;0,J697/AT697,-1)</f>
        <v>0.335483870967742</v>
      </c>
      <c r="AY697" s="63" t="n">
        <f aca="false">IF(AND(OR(CG697="L1",CG697="L23",CG697="LIFT"),AT697&gt;0),SUMIFS($AT$7:$AT$1843,$CG$7:$CG$1843,CG697,$AX$7:$AX$1843,"&gt;"&amp;AX697)+SUMIFS($AT$7:$AT$1843,$CG$7:$CG$1843,CG697,$AX$7:$AX$1843,AX697,$BX$7:$BX$1843,"&lt;="&amp;BX697),"")</f>
        <v>13723.1378205128</v>
      </c>
      <c r="AZ697" s="70" t="n">
        <f aca="false">IF(AY697="",0,MAX(0,MIN(1,(IF(CG697="L1",Parameter!$H$5,IF(CG697="L23",Parameter!$H$6+Parameter!$H$7,Parameter!$H$5+Parameter!$H$6+Parameter!$H$7))-(AY697-AT697))/AT697)))</f>
        <v>1</v>
      </c>
      <c r="BA697" s="62" t="n">
        <f aca="false">IF(LEFT(Cockpit!$O$5,1)="A",H697,IF(Parameter!$E$30="MAX-Bestand",IF(CI697=1,CJ697,IF(LEFT(Cockpit!$O$5,1)="B",BG697,MAX(BG697,H697))),ROUNDUP(BE697,0)))</f>
        <v>1</v>
      </c>
      <c r="BB697" s="62" t="n">
        <f aca="false">IF(CA697=1,0,ROUNDUP(BA697/BZ697,0))</f>
        <v>1</v>
      </c>
      <c r="BC697" s="64" t="n">
        <f aca="false">IF(CR697&gt;0,CR697*MAX(1,BA697/X697),IF(CA697=1,IF(BA697&lt;=0,0,CE697*MAX(1,IF(H697&gt;0,BA697/H697,1))),IF(R697&gt;0,BB697/R697,0))/MAX(0.1,N(Parameter!$M$21)))</f>
        <v>0.00961538461538462</v>
      </c>
      <c r="BD697" s="62" t="n">
        <f aca="false">BC697*CC697</f>
        <v>1.49038461538462</v>
      </c>
      <c r="BE697" s="63" t="n">
        <f aca="false">IF(LEFT(Cockpit!$O$5,1)="A",H697,IF(CI697=1,(CL697+CJ697)/2,IF(LEFT(Cockpit!$O$5,1)="B",(CL697+BG697)/2,MAX((CL697+BG697)/2,H697))))</f>
        <v>0.5</v>
      </c>
      <c r="BF697" s="62" t="n">
        <f aca="false">BE697*G697</f>
        <v>25.905</v>
      </c>
      <c r="BG697" s="62" t="n">
        <f aca="false">ROUNDUP(CL697+MAX(CM697,2*(J697/IF(CH697&gt;0,CH697,MAX(0.1,N(Cockpit!$O$6)))-CL697)),0)</f>
        <v>1</v>
      </c>
      <c r="BH697" s="63" t="n">
        <f aca="false">IF(BD697&gt;0,J697/BD697,-1)</f>
        <v>0.670967741935484</v>
      </c>
      <c r="BI697" s="63" t="n">
        <f aca="false">IF(AND(OR(CG697="L1",CG697="L23",CG697="LIFT"),BD697&gt;0),SUMIFS($BD$7:$BD$1843,$CG$7:$CG$1843,CG697,$BH$7:$BH$1843,"&gt;"&amp;BH697)+SUMIFS($BD$7:$BD$1843,$CG$7:$CG$1843,CG697,$BH$7:$BH$1843,BH697,$BX$7:$BX$1843,"&lt;="&amp;BX697),"")</f>
        <v>9516.93315018315</v>
      </c>
      <c r="BJ697" s="70" t="n">
        <f aca="false">IF(BI697="",0,MAX(0,MIN(1,(IF(CG697="L1",Parameter!$H$5,IF(CG697="L23",Parameter!$H$6+Parameter!$H$7,Parameter!$H$5+Parameter!$H$6+Parameter!$H$7))-(BI697-BD697))/BD697)))</f>
        <v>1</v>
      </c>
      <c r="BK697" s="60" t="str">
        <f aca="false">IF(AJ697&lt;=0,"",IF(CG697="Aussen","Aussenlager",IF(CG697="-","Nicht im Lift",IF(AP697&gt;=1,"Lift",IF(AP697&lt;=0,"Aussenlager","teilweise")))))</f>
        <v>Lift</v>
      </c>
      <c r="BL697" s="60" t="str">
        <f aca="false">IF(AT697&lt;=0,"",IF(CG697="Aussen","Aussenlager",IF(CG697="-","Nicht im Lift",IF(AZ697&gt;=1,"Lift",IF(AZ697&lt;=0,"Aussenlager","teilweise")))))</f>
        <v>Lift</v>
      </c>
      <c r="BM697" s="60" t="str">
        <f aca="false">IF(BD697&lt;=0,"",IF(CG697="Aussen","Aussenlager",IF(CG697="-","Nicht im Lift",IF(BJ697&gt;=1,"Lift",IF(BJ697&lt;=0,"Aussenlager","teilweise")))))</f>
        <v>Lift</v>
      </c>
      <c r="BN697" s="60" t="str">
        <f aca="false">IF(A697="","",IF(BW697=1,"Neu; ","")&amp;IF(AND(BW697=0,BR697&lt;0),"negativer Bestand (Export "&amp;BR697&amp;"); ","")&amp;IF(J697&lt;=0,"Kein Verbrauch; ","")&amp;IF(CR697&gt;0,"Lift "&amp;W697&amp;" lt. Liftbericht (Fach "&amp;X697&amp;" Stk); ",IF(CB697=1,"Gebinde geschätzt ("&amp;T697&amp;"); ",IF(CA697=1,"Lose – Tablare geschätzt; ","")))&amp;IF(H697&gt;AW697,"Überbestand "&amp;ROUND(H697-AW697,0)&amp;" Stk / CHF "&amp;ROUND((H697-AW697)*G697,0)&amp;"; ","")&amp;IF(AND(CI697=1,CJ697&lt;CK697),"MAX &lt; MB+LG; ","")&amp;IF(AND(CQ697&gt;0,CP697*10&gt;CQ697),"zu hoch für Tablar; ","")&amp;IF(AND(BW697=0,OR(CI697=1,AB697&lt;&gt;"",U697&lt;&gt;"",V697&lt;&gt;"",AC697&lt;&gt;"")),"manuell übersteuert; ","")&amp;IF(AND(CA697=0,R697=0),"Gebinde unbekannt / Stellmass fehlt; ","")&amp;IF(AND(CA697=0,N(V697)&lt;=0,N(Q697)&lt;=0),"Menge pro Gebinde fehlt (Ist = 1 Gebinde); ","")&amp;BV697)</f>
        <v>Überbestand 6 Stk / CHF 311; </v>
      </c>
      <c r="BO697" s="60"/>
      <c r="BP697" s="60"/>
      <c r="BQ697" s="67"/>
      <c r="BR697" s="62" t="n">
        <v>0</v>
      </c>
      <c r="BS697" s="62" t="n">
        <v>7</v>
      </c>
      <c r="BT697" s="61" t="n">
        <v>0</v>
      </c>
      <c r="BU697" s="62" t="n">
        <v>1</v>
      </c>
      <c r="BV697" s="60"/>
      <c r="BW697" s="65" t="n">
        <v>0</v>
      </c>
      <c r="BX697" s="65" t="n">
        <v>697</v>
      </c>
      <c r="BY697" s="60" t="str">
        <f aca="false">IF(U697&lt;&gt;"",UPPER(TRIM(U697)),IF(CB697=1,UPPER(VLOOKUP(T697,Parameter!$I$27:$K$29,2,0)),IF(P697="","LOSE",P697)))</f>
        <v>S32</v>
      </c>
      <c r="BZ697" s="62" t="n">
        <f aca="false">IF(BY697="LOSE",1,IF(N(V697)&gt;0,V697,IF(CB697=1,MAX(1,N(VLOOKUP(T697,Parameter!$I$27:$K$29,3,0)),H697,N(N697)),IF(N(Q697)&gt;0,Q697,MAX(1,H697)))))</f>
        <v>4</v>
      </c>
      <c r="CA697" s="65" t="n">
        <f aca="false">IF(BY697="LOSE",1,0)</f>
        <v>0</v>
      </c>
      <c r="CB697" s="65" t="n">
        <f aca="false">IF(AND(U697="",OR(P697="",P697="LOSE"),T697&lt;&gt;"",N(S697)&lt;=0,ISNUMBER(MATCH(T697,Parameter!$I$27:$I$29,0))),1,0)</f>
        <v>0</v>
      </c>
      <c r="CC697" s="65" t="n">
        <f aca="false">IF(CR697&gt;0,INDEX(Parameter!$H$5:$H$7,W697)/INDEX(Parameter!$E$5:$E$7,W697),IF(AND(CA697=0,N(IFERROR(VLOOKUP(BY697,'Gebinde-Kategorie'!$A$5:$N$45,14,0),0))&gt;0),VLOOKUP(BY697,'Gebinde-Kategorie'!$A$5:$N$45,14,0)*10+Parameter!$M$23,Parameter!$M$24))</f>
        <v>155</v>
      </c>
      <c r="CD697" s="60" t="str">
        <f aca="false">IF(AND(Parameter!$B$19="Ja",E697&lt;&gt;"",ISNUMBER(MATCH(E697,Parameter!$I$35:$I$52,0))),VLOOKUP(E697,Parameter!$I$35:$J$52,2,0),IFERROR(VLOOKUP(D697,Parameter!$A$35:$C$64,2,0),"Nein"))</f>
        <v>2+3</v>
      </c>
      <c r="CE697" s="64" t="n">
        <f aca="false">IF(CA697=0,0,IF(N(S697)&gt;0,S697,IFERROR(VLOOKUP(D697,Parameter!$A$35:$C$64,3,0)+0,0)))</f>
        <v>0</v>
      </c>
      <c r="CF697" s="60" t="n">
        <f aca="false">IF(AB697&lt;&gt;"",AB697,AA697)</f>
        <v>3</v>
      </c>
      <c r="CG697" s="60" t="str">
        <f aca="false">IF(OR(CF697=1,CF697=2,CF697=3),IF(Parameter!$E$27="Ja","LIFT",IF(CF697=1,"L1","L23")),IF(CF697="Aussen","Aussen","-"))</f>
        <v>LIFT</v>
      </c>
      <c r="CH697" s="71" t="n">
        <f aca="false">IF(N(AC697)&gt;0,AC697,0)</f>
        <v>0</v>
      </c>
      <c r="CI697" s="65" t="n">
        <f aca="false">IF(ISNUMBER(AF697),1,0)</f>
        <v>0</v>
      </c>
      <c r="CJ697" s="62" t="n">
        <f aca="false">N(AF697)</f>
        <v>0</v>
      </c>
      <c r="CK697" s="62" t="n">
        <f aca="false">N(M697)+N(N697)</f>
        <v>1</v>
      </c>
      <c r="CL697" s="62" t="n">
        <f aca="false">N(M697)</f>
        <v>0</v>
      </c>
      <c r="CM697" s="62" t="n">
        <f aca="false">N(N697)</f>
        <v>1</v>
      </c>
      <c r="CN697" s="62" t="n">
        <f aca="false">ROUNDUP(H697/BZ697,0)</f>
        <v>2</v>
      </c>
      <c r="CO697" s="62" t="n">
        <f aca="false">ROUNDUP(CJ697/BZ697,0)</f>
        <v>0</v>
      </c>
      <c r="CP697" s="65" t="n">
        <f aca="false">IF(CA697=1,0,IFERROR(VLOOKUP(BY697,'Gebinde-Kategorie'!$A$5:$N$45,5,0)+0,0))</f>
        <v>8</v>
      </c>
      <c r="CQ697" s="65" t="n">
        <f aca="false">IFERROR(IF(OR(CF697=1,CF697=2,CF697=3),N(INDEX(Parameter!$I$5:$I$7,CF697)),0),0)</f>
        <v>0</v>
      </c>
      <c r="CR697" s="64" t="n">
        <f aca="false">IF(AND(Parameter!$B$21="Ja",ISNUMBER(W697),N(X697)&gt;0),IFERROR(N(INDEX(Parameter!$L$5:$L$7,W697))*INDEX(Parameter!$E$5:$E$7,W697)*X697/SUMIFS($X$7:$X$1843,$W$7:$W$1843,W697),0),0)</f>
        <v>0</v>
      </c>
      <c r="CS697" s="62" t="n">
        <f aca="false">IF(AND(OR(CG697="L1",CG697="L23",CG697="LIFT"),H697&gt;0),CC697*IF(CR697&gt;0,CR697*MAX(1,H697/X697),IF(CA697=1,CE697,IF(R697&gt;0,CN697/R697,0))/MAX(0.1,N(Parameter!$M$21))),"")</f>
        <v>2.98076923076923</v>
      </c>
      <c r="CT697" s="64" t="n">
        <f aca="false">IF(CS697="","",J697/H697)</f>
        <v>0.142857142857143</v>
      </c>
      <c r="CU697" s="62" t="n">
        <f aca="false">IF(CS697="","",H697*G697)</f>
        <v>362.67</v>
      </c>
      <c r="CV697" s="63" t="n">
        <f aca="false">IF(CS697="","",(CL697+ROUNDUP(CL697+MAX(CM697,2*(J697/MAX(0.1,N(Einkauf!$C$6))-CL697)),0))/2)</f>
        <v>0.5</v>
      </c>
      <c r="CW697" s="62" t="n">
        <f aca="false">IF(CS697="","",MAX(0,H697-CV697)*G697)</f>
        <v>336.765</v>
      </c>
      <c r="CX697" s="62" t="n">
        <f aca="false">IF(CS697="","",CS697*MAX(0,1-CV697/H697))</f>
        <v>2.76785714285714</v>
      </c>
      <c r="CY697" s="64" t="n">
        <f aca="false">IF(CS697="","",PERCENTRANK($CS$7:$CS$1843,CS697)+PERCENTRANK($CU$7:$CU$1843,CU697)+1-PERCENTRANK($CT$7:$CT$1843,CT697))</f>
        <v>1.228</v>
      </c>
      <c r="CZ697" s="72" t="n">
        <f aca="false">IF(CS697="","",CHOOSE(MATCH(Einkauf!$C$5,Parameter!$G$23:$G$27,0),CY697,CS697,CU697,-CT697,CW697)+ROW()/1000000000)</f>
        <v>1.228000697</v>
      </c>
    </row>
    <row r="698" customFormat="false" ht="15" hidden="false" customHeight="false" outlineLevel="0" collapsed="false">
      <c r="A698" s="60" t="s">
        <v>1436</v>
      </c>
      <c r="B698" s="60" t="s">
        <v>1437</v>
      </c>
      <c r="C698" s="60" t="s">
        <v>206</v>
      </c>
      <c r="D698" s="60" t="s">
        <v>215</v>
      </c>
      <c r="E698" s="60"/>
      <c r="F698" s="60" t="s">
        <v>260</v>
      </c>
      <c r="G698" s="61" t="n">
        <v>544.15</v>
      </c>
      <c r="H698" s="62" t="n">
        <f aca="false">MAX(0,IF(AND(Parameter!$B$21="Ja",ISNUMBER(Y698)),Y698,IF(Parameter!$B$20="Jahresanfang 2025 + Export",BS698+BR698,BR698)))</f>
        <v>0</v>
      </c>
      <c r="I698" s="62" t="n">
        <f aca="false">H698*G698</f>
        <v>0</v>
      </c>
      <c r="J698" s="62" t="n">
        <f aca="false">BU698*Parameter!$B$18</f>
        <v>1</v>
      </c>
      <c r="K698" s="63" t="n">
        <v>0</v>
      </c>
      <c r="L698" s="64" t="n">
        <v>0</v>
      </c>
      <c r="M698" s="62" t="n">
        <v>0</v>
      </c>
      <c r="N698" s="62" t="n">
        <v>1</v>
      </c>
      <c r="O698" s="65" t="n">
        <v>21</v>
      </c>
      <c r="P698" s="60" t="s">
        <v>210</v>
      </c>
      <c r="Q698" s="62"/>
      <c r="R698" s="65" t="n">
        <f aca="false">IF(CA698=1,0,IFERROR(VLOOKUP(BY698,'Gebinde-Kategorie'!$A$5:$N$45,13,0)+0,0))</f>
        <v>4</v>
      </c>
      <c r="S698" s="66"/>
      <c r="T698" s="67" t="s">
        <v>231</v>
      </c>
      <c r="U698" s="67"/>
      <c r="V698" s="67"/>
      <c r="W698" s="60"/>
      <c r="X698" s="62"/>
      <c r="Y698" s="62"/>
      <c r="Z698" s="60" t="n">
        <v>2</v>
      </c>
      <c r="AA698" s="60" t="n">
        <f aca="false">IF(A698="","",IF(AND(Parameter!$B$21="Ja",ISNUMBER(W698)),W698,IF(AND(Parameter!$E$27="Ja",ISNUMBER(Z698),CD698&lt;&gt;"Nein"),Z698,IF(CD698="2+3",IF(ISNUMBER(SEARCH("grosser Artikel",BV698)),2,IFERROR(VLOOKUP(BY698,Parameter!$F$35:$G$64,2,0),2)),IF(OR(CD698="Nein",CD698=""),"-",CD698)))))</f>
        <v>2</v>
      </c>
      <c r="AB698" s="67"/>
      <c r="AC698" s="68"/>
      <c r="AD698" s="62" t="n">
        <f aca="false">AW698</f>
        <v>1</v>
      </c>
      <c r="AE698" s="62" t="n">
        <f aca="false">MAX(AW698,H698)</f>
        <v>1</v>
      </c>
      <c r="AF698" s="69"/>
      <c r="AG698" s="62" t="n">
        <f aca="false">IF(LEFT(Cockpit!$C$5,1)="A",H698,IF(Parameter!$E$30="MAX-Bestand",IF(CI698=1,CJ698,IF(LEFT(Cockpit!$C$5,1)="B",AM698,MAX(AM698,H698))),ROUNDUP(AK698,0)))</f>
        <v>0</v>
      </c>
      <c r="AH698" s="62" t="n">
        <f aca="false">IF(CA698=1,0,ROUNDUP(AG698/BZ698,0))</f>
        <v>0</v>
      </c>
      <c r="AI698" s="64" t="n">
        <f aca="false">IF(CR698&gt;0,CR698*MAX(1,AG698/X698),IF(CA698=1,IF(AG698&lt;=0,0,CE698*MAX(1,IF(H698&gt;0,AG698/H698,1))),IF(R698&gt;0,AH698/R698,0))/MAX(0.1,N(Parameter!$M$21)))</f>
        <v>0</v>
      </c>
      <c r="AJ698" s="62" t="n">
        <f aca="false">AI698*CC698</f>
        <v>0</v>
      </c>
      <c r="AK698" s="63" t="n">
        <f aca="false">IF(LEFT(Cockpit!$C$5,1)="A",H698,IF(CI698=1,(CL698+CJ698)/2,IF(LEFT(Cockpit!$C$5,1)="B",(CL698+AM698)/2,MAX((CL698+AM698)/2,H698))))</f>
        <v>0</v>
      </c>
      <c r="AL698" s="62" t="n">
        <f aca="false">AK698*G698</f>
        <v>0</v>
      </c>
      <c r="AM698" s="62" t="n">
        <f aca="false">ROUNDUP(CL698+MAX(CM698,2*(J698/IF(CH698&gt;0,CH698,MAX(0.1,N(Cockpit!$C$6)))-CL698)),0)</f>
        <v>1</v>
      </c>
      <c r="AN698" s="63" t="n">
        <f aca="false">IF(AJ698&gt;0,J698/AJ698,-1)</f>
        <v>-1</v>
      </c>
      <c r="AO698" s="63" t="str">
        <f aca="false">IF(AND(OR(CG698="L1",CG698="L23",CG698="LIFT"),AJ698&gt;0),SUMIFS($AJ$7:$AJ$1843,$CG$7:$CG$1843,CG698,$AN$7:$AN$1843,"&gt;"&amp;AN698)+SUMIFS($AJ$7:$AJ$1843,$CG$7:$CG$1843,CG698,$AN$7:$AN$1843,AN698,$BX$7:$BX$1843,"&lt;="&amp;BX698),"")</f>
        <v/>
      </c>
      <c r="AP698" s="70" t="n">
        <f aca="false">IF(AO698="",0,MAX(0,MIN(1,(IF(CG698="L1",Parameter!$H$5,IF(CG698="L23",Parameter!$H$6+Parameter!$H$7,Parameter!$H$5+Parameter!$H$6+Parameter!$H$7))-(AO698-AJ698))/AJ698)))</f>
        <v>0</v>
      </c>
      <c r="AQ698" s="62" t="n">
        <f aca="false">IF(LEFT(Cockpit!$I$5,1)="A",H698,IF(Parameter!$E$30="MAX-Bestand",IF(CI698=1,CJ698,IF(LEFT(Cockpit!$I$5,1)="B",AW698,MAX(AW698,H698))),ROUNDUP(AU698,0)))</f>
        <v>1</v>
      </c>
      <c r="AR698" s="62" t="n">
        <f aca="false">IF(CA698=1,0,ROUNDUP(AQ698/BZ698,0))</f>
        <v>1</v>
      </c>
      <c r="AS698" s="64" t="n">
        <f aca="false">IF(CR698&gt;0,CR698*MAX(1,AQ698/X698),IF(CA698=1,IF(AQ698&lt;=0,0,CE698*MAX(1,IF(H698&gt;0,AQ698/H698,1))),IF(R698&gt;0,AR698/R698,0))/MAX(0.1,N(Parameter!$M$21)))</f>
        <v>0.25</v>
      </c>
      <c r="AT698" s="62" t="n">
        <f aca="false">AS698*CC698</f>
        <v>58.75</v>
      </c>
      <c r="AU698" s="63" t="n">
        <f aca="false">IF(LEFT(Cockpit!$I$5,1)="A",H698,IF(CI698=1,(CL698+CJ698)/2,IF(LEFT(Cockpit!$I$5,1)="B",(CL698+AW698)/2,MAX((CL698+AW698)/2,H698))))</f>
        <v>0.5</v>
      </c>
      <c r="AV698" s="62" t="n">
        <f aca="false">AU698*G698</f>
        <v>272.075</v>
      </c>
      <c r="AW698" s="62" t="n">
        <f aca="false">ROUNDUP(CL698+MAX(CM698,2*(J698/IF(CH698&gt;0,CH698,MAX(0.1,N(Cockpit!$I$6)))-CL698)),0)</f>
        <v>1</v>
      </c>
      <c r="AX698" s="63" t="n">
        <f aca="false">IF(AT698&gt;0,J698/AT698,-1)</f>
        <v>0.0170212765957447</v>
      </c>
      <c r="AY698" s="63" t="n">
        <f aca="false">IF(AND(OR(CG698="L1",CG698="L23",CG698="LIFT"),AT698&gt;0),SUMIFS($AT$7:$AT$1843,$CG$7:$CG$1843,CG698,$AX$7:$AX$1843,"&gt;"&amp;AX698)+SUMIFS($AT$7:$AT$1843,$CG$7:$CG$1843,CG698,$AX$7:$AX$1843,AX698,$BX$7:$BX$1843,"&lt;="&amp;BX698),"")</f>
        <v>28940.3195272242</v>
      </c>
      <c r="AZ698" s="70" t="n">
        <f aca="false">IF(AY698="",0,MAX(0,MIN(1,(IF(CG698="L1",Parameter!$H$5,IF(CG698="L23",Parameter!$H$6+Parameter!$H$7,Parameter!$H$5+Parameter!$H$6+Parameter!$H$7))-(AY698-AT698))/AT698)))</f>
        <v>1</v>
      </c>
      <c r="BA698" s="62" t="n">
        <f aca="false">IF(LEFT(Cockpit!$O$5,1)="A",H698,IF(Parameter!$E$30="MAX-Bestand",IF(CI698=1,CJ698,IF(LEFT(Cockpit!$O$5,1)="B",BG698,MAX(BG698,H698))),ROUNDUP(BE698,0)))</f>
        <v>1</v>
      </c>
      <c r="BB698" s="62" t="n">
        <f aca="false">IF(CA698=1,0,ROUNDUP(BA698/BZ698,0))</f>
        <v>1</v>
      </c>
      <c r="BC698" s="64" t="n">
        <f aca="false">IF(CR698&gt;0,CR698*MAX(1,BA698/X698),IF(CA698=1,IF(BA698&lt;=0,0,CE698*MAX(1,IF(H698&gt;0,BA698/H698,1))),IF(R698&gt;0,BB698/R698,0))/MAX(0.1,N(Parameter!$M$21)))</f>
        <v>0.25</v>
      </c>
      <c r="BD698" s="62" t="n">
        <f aca="false">BC698*CC698</f>
        <v>58.75</v>
      </c>
      <c r="BE698" s="63" t="n">
        <f aca="false">IF(LEFT(Cockpit!$O$5,1)="A",H698,IF(CI698=1,(CL698+CJ698)/2,IF(LEFT(Cockpit!$O$5,1)="B",(CL698+BG698)/2,MAX((CL698+BG698)/2,H698))))</f>
        <v>0.5</v>
      </c>
      <c r="BF698" s="62" t="n">
        <f aca="false">BE698*G698</f>
        <v>272.075</v>
      </c>
      <c r="BG698" s="62" t="n">
        <f aca="false">ROUNDUP(CL698+MAX(CM698,2*(J698/IF(CH698&gt;0,CH698,MAX(0.1,N(Cockpit!$O$6)))-CL698)),0)</f>
        <v>1</v>
      </c>
      <c r="BH698" s="63" t="n">
        <f aca="false">IF(BD698&gt;0,J698/BD698,-1)</f>
        <v>0.0170212765957447</v>
      </c>
      <c r="BI698" s="63" t="n">
        <f aca="false">IF(AND(OR(CG698="L1",CG698="L23",CG698="LIFT"),BD698&gt;0),SUMIFS($BD$7:$BD$1843,$CG$7:$CG$1843,CG698,$BH$7:$BH$1843,"&gt;"&amp;BH698)+SUMIFS($BD$7:$BD$1843,$CG$7:$CG$1843,CG698,$BH$7:$BH$1843,BH698,$BX$7:$BX$1843,"&lt;="&amp;BX698),"")</f>
        <v>24486.0680371888</v>
      </c>
      <c r="BJ698" s="70" t="n">
        <f aca="false">IF(BI698="",0,MAX(0,MIN(1,(IF(CG698="L1",Parameter!$H$5,IF(CG698="L23",Parameter!$H$6+Parameter!$H$7,Parameter!$H$5+Parameter!$H$6+Parameter!$H$7))-(BI698-BD698))/BD698)))</f>
        <v>1</v>
      </c>
      <c r="BK698" s="60" t="str">
        <f aca="false">IF(AJ698&lt;=0,"",IF(CG698="Aussen","Aussenlager",IF(CG698="-","Nicht im Lift",IF(AP698&gt;=1,"Lift",IF(AP698&lt;=0,"Aussenlager","teilweise")))))</f>
        <v/>
      </c>
      <c r="BL698" s="60" t="str">
        <f aca="false">IF(AT698&lt;=0,"",IF(CG698="Aussen","Aussenlager",IF(CG698="-","Nicht im Lift",IF(AZ698&gt;=1,"Lift",IF(AZ698&lt;=0,"Aussenlager","teilweise")))))</f>
        <v>Lift</v>
      </c>
      <c r="BM698" s="60" t="str">
        <f aca="false">IF(BD698&lt;=0,"",IF(CG698="Aussen","Aussenlager",IF(CG698="-","Nicht im Lift",IF(BJ698&gt;=1,"Lift",IF(BJ698&lt;=0,"Aussenlager","teilweise")))))</f>
        <v>Lift</v>
      </c>
      <c r="BN698" s="60" t="str">
        <f aca="false">IF(A698="","",IF(BW698=1,"Neu; ","")&amp;IF(AND(BW698=0,BR698&lt;0),"negativer Bestand (Export "&amp;BR698&amp;"); ","")&amp;IF(J698&lt;=0,"Kein Verbrauch; ","")&amp;IF(CR698&gt;0,"Lift "&amp;W698&amp;" lt. Liftbericht (Fach "&amp;X698&amp;" Stk); ",IF(CB698=1,"Gebinde geschätzt ("&amp;T698&amp;"); ",IF(CA698=1,"Lose – Tablare geschätzt; ","")))&amp;IF(H698&gt;AW698,"Überbestand "&amp;ROUND(H698-AW698,0)&amp;" Stk / CHF "&amp;ROUND((H698-AW698)*G698,0)&amp;"; ","")&amp;IF(AND(CI698=1,CJ698&lt;CK698),"MAX &lt; MB+LG; ","")&amp;IF(AND(CQ698&gt;0,CP698*10&gt;CQ698),"zu hoch für Tablar; ","")&amp;IF(AND(BW698=0,OR(CI698=1,AB698&lt;&gt;"",U698&lt;&gt;"",V698&lt;&gt;"",AC698&lt;&gt;"")),"manuell übersteuert; ","")&amp;IF(AND(CA698=0,R698=0),"Gebinde unbekannt / Stellmass fehlt; ","")&amp;IF(AND(CA698=0,N(V698)&lt;=0,N(Q698)&lt;=0),"Menge pro Gebinde fehlt (Ist = 1 Gebinde); ","")&amp;BV698)</f>
        <v>Gebinde geschätzt (Gross); Menge pro Gebinde fehlt (Ist = 1 Gebinde); </v>
      </c>
      <c r="BO698" s="60"/>
      <c r="BP698" s="60"/>
      <c r="BQ698" s="67"/>
      <c r="BR698" s="62" t="n">
        <v>0</v>
      </c>
      <c r="BS698" s="62" t="n">
        <v>0</v>
      </c>
      <c r="BT698" s="61" t="n">
        <v>0</v>
      </c>
      <c r="BU698" s="62" t="n">
        <v>1</v>
      </c>
      <c r="BV698" s="60"/>
      <c r="BW698" s="65" t="n">
        <v>0</v>
      </c>
      <c r="BX698" s="65" t="n">
        <v>698</v>
      </c>
      <c r="BY698" s="60" t="str">
        <f aca="false">IF(U698&lt;&gt;"",UPPER(TRIM(U698)),IF(CB698=1,UPPER(VLOOKUP(T698,Parameter!$I$27:$K$29,2,0)),IF(P698="","LOSE",P698)))</f>
        <v>S81</v>
      </c>
      <c r="BZ698" s="62" t="n">
        <f aca="false">IF(BY698="LOSE",1,IF(N(V698)&gt;0,V698,IF(CB698=1,MAX(1,N(VLOOKUP(T698,Parameter!$I$27:$K$29,3,0)),H698,N(N698)),IF(N(Q698)&gt;0,Q698,MAX(1,H698)))))</f>
        <v>2</v>
      </c>
      <c r="CA698" s="65" t="n">
        <f aca="false">IF(BY698="LOSE",1,0)</f>
        <v>0</v>
      </c>
      <c r="CB698" s="65" t="n">
        <f aca="false">IF(AND(U698="",OR(P698="",P698="LOSE"),T698&lt;&gt;"",N(S698)&lt;=0,ISNUMBER(MATCH(T698,Parameter!$I$27:$I$29,0))),1,0)</f>
        <v>1</v>
      </c>
      <c r="CC698" s="65" t="n">
        <f aca="false">IF(CR698&gt;0,INDEX(Parameter!$H$5:$H$7,W698)/INDEX(Parameter!$E$5:$E$7,W698),IF(AND(CA698=0,N(IFERROR(VLOOKUP(BY698,'Gebinde-Kategorie'!$A$5:$N$45,14,0),0))&gt;0),VLOOKUP(BY698,'Gebinde-Kategorie'!$A$5:$N$45,14,0)*10+Parameter!$M$23,Parameter!$M$24))</f>
        <v>235</v>
      </c>
      <c r="CD698" s="60" t="str">
        <f aca="false">IF(AND(Parameter!$B$19="Ja",E698&lt;&gt;"",ISNUMBER(MATCH(E698,Parameter!$I$35:$I$52,0))),VLOOKUP(E698,Parameter!$I$35:$J$52,2,0),IFERROR(VLOOKUP(D698,Parameter!$A$35:$C$64,2,0),"Nein"))</f>
        <v>2+3</v>
      </c>
      <c r="CE698" s="64" t="n">
        <f aca="false">IF(CA698=0,0,IF(N(S698)&gt;0,S698,IFERROR(VLOOKUP(D698,Parameter!$A$35:$C$64,3,0)+0,0)))</f>
        <v>0</v>
      </c>
      <c r="CF698" s="60" t="n">
        <f aca="false">IF(AB698&lt;&gt;"",AB698,AA698)</f>
        <v>2</v>
      </c>
      <c r="CG698" s="60" t="str">
        <f aca="false">IF(OR(CF698=1,CF698=2,CF698=3),IF(Parameter!$E$27="Ja","LIFT",IF(CF698=1,"L1","L23")),IF(CF698="Aussen","Aussen","-"))</f>
        <v>LIFT</v>
      </c>
      <c r="CH698" s="71" t="n">
        <f aca="false">IF(N(AC698)&gt;0,AC698,0)</f>
        <v>0</v>
      </c>
      <c r="CI698" s="65" t="n">
        <f aca="false">IF(ISNUMBER(AF698),1,0)</f>
        <v>0</v>
      </c>
      <c r="CJ698" s="62" t="n">
        <f aca="false">N(AF698)</f>
        <v>0</v>
      </c>
      <c r="CK698" s="62" t="n">
        <f aca="false">N(M698)+N(N698)</f>
        <v>1</v>
      </c>
      <c r="CL698" s="62" t="n">
        <f aca="false">N(M698)</f>
        <v>0</v>
      </c>
      <c r="CM698" s="62" t="n">
        <f aca="false">N(N698)</f>
        <v>1</v>
      </c>
      <c r="CN698" s="62" t="n">
        <f aca="false">ROUNDUP(H698/BZ698,0)</f>
        <v>0</v>
      </c>
      <c r="CO698" s="62" t="n">
        <f aca="false">ROUNDUP(CJ698/BZ698,0)</f>
        <v>0</v>
      </c>
      <c r="CP698" s="65" t="n">
        <f aca="false">IF(CA698=1,0,IFERROR(VLOOKUP(BY698,'Gebinde-Kategorie'!$A$5:$N$45,5,0)+0,0))</f>
        <v>20</v>
      </c>
      <c r="CQ698" s="65" t="n">
        <f aca="false">IFERROR(IF(OR(CF698=1,CF698=2,CF698=3),N(INDEX(Parameter!$I$5:$I$7,CF698)),0),0)</f>
        <v>0</v>
      </c>
      <c r="CR698" s="64" t="n">
        <f aca="false">IF(AND(Parameter!$B$21="Ja",ISNUMBER(W698),N(X698)&gt;0),IFERROR(N(INDEX(Parameter!$L$5:$L$7,W698))*INDEX(Parameter!$E$5:$E$7,W698)*X698/SUMIFS($X$7:$X$1843,$W$7:$W$1843,W698),0),0)</f>
        <v>0</v>
      </c>
      <c r="CS698" s="62" t="str">
        <f aca="false">IF(AND(OR(CG698="L1",CG698="L23",CG698="LIFT"),H698&gt;0),CC698*IF(CR698&gt;0,CR698*MAX(1,H698/X698),IF(CA698=1,CE698,IF(R698&gt;0,CN698/R698,0))/MAX(0.1,N(Parameter!$M$21))),"")</f>
        <v/>
      </c>
      <c r="CT698" s="64" t="str">
        <f aca="false">IF(CS698="","",J698/H698)</f>
        <v/>
      </c>
      <c r="CU698" s="62" t="str">
        <f aca="false">IF(CS698="","",H698*G698)</f>
        <v/>
      </c>
      <c r="CV698" s="63" t="str">
        <f aca="false">IF(CS698="","",(CL698+ROUNDUP(CL698+MAX(CM698,2*(J698/MAX(0.1,N(Einkauf!$C$6))-CL698)),0))/2)</f>
        <v/>
      </c>
      <c r="CW698" s="62" t="str">
        <f aca="false">IF(CS698="","",MAX(0,H698-CV698)*G698)</f>
        <v/>
      </c>
      <c r="CX698" s="62" t="str">
        <f aca="false">IF(CS698="","",CS698*MAX(0,1-CV698/H698))</f>
        <v/>
      </c>
      <c r="CY698" s="64" t="str">
        <f aca="false">IF(CS698="","",PERCENTRANK($CS$7:$CS$1843,CS698)+PERCENTRANK($CU$7:$CU$1843,CU698)+1-PERCENTRANK($CT$7:$CT$1843,CT698))</f>
        <v/>
      </c>
      <c r="CZ698" s="72" t="str">
        <f aca="false">IF(CS698="","",CHOOSE(MATCH(Einkauf!$C$5,Parameter!$G$23:$G$27,0),CY698,CS698,CU698,-CT698,CW698)+ROW()/1000000000)</f>
        <v/>
      </c>
    </row>
    <row r="699" customFormat="false" ht="15" hidden="false" customHeight="false" outlineLevel="0" collapsed="false">
      <c r="A699" s="60" t="s">
        <v>1438</v>
      </c>
      <c r="B699" s="60" t="s">
        <v>1439</v>
      </c>
      <c r="C699" s="60" t="s">
        <v>206</v>
      </c>
      <c r="D699" s="60" t="s">
        <v>1037</v>
      </c>
      <c r="E699" s="60"/>
      <c r="F699" s="60" t="s">
        <v>260</v>
      </c>
      <c r="G699" s="61" t="n">
        <v>1635.8</v>
      </c>
      <c r="H699" s="62" t="n">
        <f aca="false">MAX(0,IF(AND(Parameter!$B$21="Ja",ISNUMBER(Y699)),Y699,IF(Parameter!$B$20="Jahresanfang 2025 + Export",BS699+BR699,BR699)))</f>
        <v>0</v>
      </c>
      <c r="I699" s="62" t="n">
        <f aca="false">H699*G699</f>
        <v>0</v>
      </c>
      <c r="J699" s="62" t="n">
        <f aca="false">BU699*Parameter!$B$18</f>
        <v>0</v>
      </c>
      <c r="K699" s="63" t="n">
        <v>0.5</v>
      </c>
      <c r="L699" s="64" t="n">
        <v>0</v>
      </c>
      <c r="M699" s="62" t="n">
        <v>0</v>
      </c>
      <c r="N699" s="62" t="n">
        <v>1</v>
      </c>
      <c r="O699" s="65" t="n">
        <v>7</v>
      </c>
      <c r="P699" s="60" t="s">
        <v>210</v>
      </c>
      <c r="Q699" s="62"/>
      <c r="R699" s="65" t="n">
        <f aca="false">IF(CA699=1,0,IFERROR(VLOOKUP(BY699,'Gebinde-Kategorie'!$A$5:$N$45,13,0)+0,0))</f>
        <v>0</v>
      </c>
      <c r="S699" s="66"/>
      <c r="T699" s="67"/>
      <c r="U699" s="67"/>
      <c r="V699" s="67"/>
      <c r="W699" s="60"/>
      <c r="X699" s="62"/>
      <c r="Y699" s="62"/>
      <c r="Z699" s="60"/>
      <c r="AA699" s="60" t="str">
        <f aca="false">IF(A699="","",IF(AND(Parameter!$B$21="Ja",ISNUMBER(W699)),W699,IF(AND(Parameter!$E$27="Ja",ISNUMBER(Z699),CD699&lt;&gt;"Nein"),Z699,IF(CD699="2+3",IF(ISNUMBER(SEARCH("grosser Artikel",BV699)),2,IFERROR(VLOOKUP(BY699,Parameter!$F$35:$G$64,2,0),2)),IF(OR(CD699="Nein",CD699=""),"-",CD699)))))</f>
        <v>-</v>
      </c>
      <c r="AB699" s="67"/>
      <c r="AC699" s="68"/>
      <c r="AD699" s="62" t="n">
        <f aca="false">AW699</f>
        <v>1</v>
      </c>
      <c r="AE699" s="62" t="n">
        <f aca="false">MAX(AW699,H699)</f>
        <v>1</v>
      </c>
      <c r="AF699" s="69"/>
      <c r="AG699" s="62" t="n">
        <f aca="false">IF(LEFT(Cockpit!$C$5,1)="A",H699,IF(Parameter!$E$30="MAX-Bestand",IF(CI699=1,CJ699,IF(LEFT(Cockpit!$C$5,1)="B",AM699,MAX(AM699,H699))),ROUNDUP(AK699,0)))</f>
        <v>0</v>
      </c>
      <c r="AH699" s="62" t="n">
        <f aca="false">IF(CA699=1,0,ROUNDUP(AG699/BZ699,0))</f>
        <v>0</v>
      </c>
      <c r="AI699" s="64" t="n">
        <f aca="false">IF(CR699&gt;0,CR699*MAX(1,AG699/X699),IF(CA699=1,IF(AG699&lt;=0,0,CE699*MAX(1,IF(H699&gt;0,AG699/H699,1))),IF(R699&gt;0,AH699/R699,0))/MAX(0.1,N(Parameter!$M$21)))</f>
        <v>0</v>
      </c>
      <c r="AJ699" s="62" t="n">
        <f aca="false">AI699*CC699</f>
        <v>0</v>
      </c>
      <c r="AK699" s="63" t="n">
        <f aca="false">IF(LEFT(Cockpit!$C$5,1)="A",H699,IF(CI699=1,(CL699+CJ699)/2,IF(LEFT(Cockpit!$C$5,1)="B",(CL699+AM699)/2,MAX((CL699+AM699)/2,H699))))</f>
        <v>0</v>
      </c>
      <c r="AL699" s="62" t="n">
        <f aca="false">AK699*G699</f>
        <v>0</v>
      </c>
      <c r="AM699" s="62" t="n">
        <f aca="false">ROUNDUP(CL699+MAX(CM699,2*(J699/IF(CH699&gt;0,CH699,MAX(0.1,N(Cockpit!$C$6)))-CL699)),0)</f>
        <v>1</v>
      </c>
      <c r="AN699" s="63" t="n">
        <f aca="false">IF(AJ699&gt;0,J699/AJ699,-1)</f>
        <v>-1</v>
      </c>
      <c r="AO699" s="63" t="str">
        <f aca="false">IF(AND(OR(CG699="L1",CG699="L23",CG699="LIFT"),AJ699&gt;0),SUMIFS($AJ$7:$AJ$1843,$CG$7:$CG$1843,CG699,$AN$7:$AN$1843,"&gt;"&amp;AN699)+SUMIFS($AJ$7:$AJ$1843,$CG$7:$CG$1843,CG699,$AN$7:$AN$1843,AN699,$BX$7:$BX$1843,"&lt;="&amp;BX699),"")</f>
        <v/>
      </c>
      <c r="AP699" s="70" t="n">
        <f aca="false">IF(AO699="",0,MAX(0,MIN(1,(IF(CG699="L1",Parameter!$H$5,IF(CG699="L23",Parameter!$H$6+Parameter!$H$7,Parameter!$H$5+Parameter!$H$6+Parameter!$H$7))-(AO699-AJ699))/AJ699)))</f>
        <v>0</v>
      </c>
      <c r="AQ699" s="62" t="n">
        <f aca="false">IF(LEFT(Cockpit!$I$5,1)="A",H699,IF(Parameter!$E$30="MAX-Bestand",IF(CI699=1,CJ699,IF(LEFT(Cockpit!$I$5,1)="B",AW699,MAX(AW699,H699))),ROUNDUP(AU699,0)))</f>
        <v>1</v>
      </c>
      <c r="AR699" s="62" t="n">
        <f aca="false">IF(CA699=1,0,ROUNDUP(AQ699/BZ699,0))</f>
        <v>0</v>
      </c>
      <c r="AS699" s="64" t="n">
        <f aca="false">IF(CR699&gt;0,CR699*MAX(1,AQ699/X699),IF(CA699=1,IF(AQ699&lt;=0,0,CE699*MAX(1,IF(H699&gt;0,AQ699/H699,1))),IF(R699&gt;0,AR699/R699,0))/MAX(0.1,N(Parameter!$M$21)))</f>
        <v>0.15</v>
      </c>
      <c r="AT699" s="62" t="n">
        <f aca="false">AS699*CC699</f>
        <v>35.25</v>
      </c>
      <c r="AU699" s="63" t="n">
        <f aca="false">IF(LEFT(Cockpit!$I$5,1)="A",H699,IF(CI699=1,(CL699+CJ699)/2,IF(LEFT(Cockpit!$I$5,1)="B",(CL699+AW699)/2,MAX((CL699+AW699)/2,H699))))</f>
        <v>0.5</v>
      </c>
      <c r="AV699" s="62" t="n">
        <f aca="false">AU699*G699</f>
        <v>817.9</v>
      </c>
      <c r="AW699" s="62" t="n">
        <f aca="false">ROUNDUP(CL699+MAX(CM699,2*(J699/IF(CH699&gt;0,CH699,MAX(0.1,N(Cockpit!$I$6)))-CL699)),0)</f>
        <v>1</v>
      </c>
      <c r="AX699" s="63" t="n">
        <f aca="false">IF(AT699&gt;0,J699/AT699,-1)</f>
        <v>0</v>
      </c>
      <c r="AY699" s="63" t="str">
        <f aca="false">IF(AND(OR(CG699="L1",CG699="L23",CG699="LIFT"),AT699&gt;0),SUMIFS($AT$7:$AT$1843,$CG$7:$CG$1843,CG699,$AX$7:$AX$1843,"&gt;"&amp;AX699)+SUMIFS($AT$7:$AT$1843,$CG$7:$CG$1843,CG699,$AX$7:$AX$1843,AX699,$BX$7:$BX$1843,"&lt;="&amp;BX699),"")</f>
        <v/>
      </c>
      <c r="AZ699" s="70" t="n">
        <f aca="false">IF(AY699="",0,MAX(0,MIN(1,(IF(CG699="L1",Parameter!$H$5,IF(CG699="L23",Parameter!$H$6+Parameter!$H$7,Parameter!$H$5+Parameter!$H$6+Parameter!$H$7))-(AY699-AT699))/AT699)))</f>
        <v>0</v>
      </c>
      <c r="BA699" s="62" t="n">
        <f aca="false">IF(LEFT(Cockpit!$O$5,1)="A",H699,IF(Parameter!$E$30="MAX-Bestand",IF(CI699=1,CJ699,IF(LEFT(Cockpit!$O$5,1)="B",BG699,MAX(BG699,H699))),ROUNDUP(BE699,0)))</f>
        <v>1</v>
      </c>
      <c r="BB699" s="62" t="n">
        <f aca="false">IF(CA699=1,0,ROUNDUP(BA699/BZ699,0))</f>
        <v>0</v>
      </c>
      <c r="BC699" s="64" t="n">
        <f aca="false">IF(CR699&gt;0,CR699*MAX(1,BA699/X699),IF(CA699=1,IF(BA699&lt;=0,0,CE699*MAX(1,IF(H699&gt;0,BA699/H699,1))),IF(R699&gt;0,BB699/R699,0))/MAX(0.1,N(Parameter!$M$21)))</f>
        <v>0.15</v>
      </c>
      <c r="BD699" s="62" t="n">
        <f aca="false">BC699*CC699</f>
        <v>35.25</v>
      </c>
      <c r="BE699" s="63" t="n">
        <f aca="false">IF(LEFT(Cockpit!$O$5,1)="A",H699,IF(CI699=1,(CL699+CJ699)/2,IF(LEFT(Cockpit!$O$5,1)="B",(CL699+BG699)/2,MAX((CL699+BG699)/2,H699))))</f>
        <v>0.5</v>
      </c>
      <c r="BF699" s="62" t="n">
        <f aca="false">BE699*G699</f>
        <v>817.9</v>
      </c>
      <c r="BG699" s="62" t="n">
        <f aca="false">ROUNDUP(CL699+MAX(CM699,2*(J699/IF(CH699&gt;0,CH699,MAX(0.1,N(Cockpit!$O$6)))-CL699)),0)</f>
        <v>1</v>
      </c>
      <c r="BH699" s="63" t="n">
        <f aca="false">IF(BD699&gt;0,J699/BD699,-1)</f>
        <v>0</v>
      </c>
      <c r="BI699" s="63" t="str">
        <f aca="false">IF(AND(OR(CG699="L1",CG699="L23",CG699="LIFT"),BD699&gt;0),SUMIFS($BD$7:$BD$1843,$CG$7:$CG$1843,CG699,$BH$7:$BH$1843,"&gt;"&amp;BH699)+SUMIFS($BD$7:$BD$1843,$CG$7:$CG$1843,CG699,$BH$7:$BH$1843,BH699,$BX$7:$BX$1843,"&lt;="&amp;BX699),"")</f>
        <v/>
      </c>
      <c r="BJ699" s="70" t="n">
        <f aca="false">IF(BI699="",0,MAX(0,MIN(1,(IF(CG699="L1",Parameter!$H$5,IF(CG699="L23",Parameter!$H$6+Parameter!$H$7,Parameter!$H$5+Parameter!$H$6+Parameter!$H$7))-(BI699-BD699))/BD699)))</f>
        <v>0</v>
      </c>
      <c r="BK699" s="60" t="str">
        <f aca="false">IF(AJ699&lt;=0,"",IF(CG699="Aussen","Aussenlager",IF(CG699="-","Nicht im Lift",IF(AP699&gt;=1,"Lift",IF(AP699&lt;=0,"Aussenlager","teilweise")))))</f>
        <v/>
      </c>
      <c r="BL699" s="60" t="str">
        <f aca="false">IF(AT699&lt;=0,"",IF(CG699="Aussen","Aussenlager",IF(CG699="-","Nicht im Lift",IF(AZ699&gt;=1,"Lift",IF(AZ699&lt;=0,"Aussenlager","teilweise")))))</f>
        <v>Nicht im Lift</v>
      </c>
      <c r="BM699" s="60" t="str">
        <f aca="false">IF(BD699&lt;=0,"",IF(CG699="Aussen","Aussenlager",IF(CG699="-","Nicht im Lift",IF(BJ699&gt;=1,"Lift",IF(BJ699&lt;=0,"Aussenlager","teilweise")))))</f>
        <v>Nicht im Lift</v>
      </c>
      <c r="BN699" s="60" t="str">
        <f aca="false">IF(A699="","",IF(BW699=1,"Neu; ","")&amp;IF(AND(BW699=0,BR699&lt;0),"negativer Bestand (Export "&amp;BR699&amp;"); ","")&amp;IF(J699&lt;=0,"Kein Verbrauch; ","")&amp;IF(CR699&gt;0,"Lift "&amp;W699&amp;" lt. Liftbericht (Fach "&amp;X699&amp;" Stk); ",IF(CB699=1,"Gebinde geschätzt ("&amp;T699&amp;"); ",IF(CA699=1,"Lose – Tablare geschätzt; ","")))&amp;IF(H699&gt;AW699,"Überbestand "&amp;ROUND(H699-AW699,0)&amp;" Stk / CHF "&amp;ROUND((H699-AW699)*G699,0)&amp;"; ","")&amp;IF(AND(CI699=1,CJ699&lt;CK699),"MAX &lt; MB+LG; ","")&amp;IF(AND(CQ699&gt;0,CP699*10&gt;CQ699),"zu hoch für Tablar; ","")&amp;IF(AND(BW699=0,OR(CI699=1,AB699&lt;&gt;"",U699&lt;&gt;"",V699&lt;&gt;"",AC699&lt;&gt;"")),"manuell übersteuert; ","")&amp;IF(AND(CA699=0,R699=0),"Gebinde unbekannt / Stellmass fehlt; ","")&amp;IF(AND(CA699=0,N(V699)&lt;=0,N(Q699)&lt;=0),"Menge pro Gebinde fehlt (Ist = 1 Gebinde); ","")&amp;BV699)</f>
        <v>Kein Verbrauch; Lose – Tablare geschätzt; </v>
      </c>
      <c r="BO699" s="60"/>
      <c r="BP699" s="60"/>
      <c r="BQ699" s="67"/>
      <c r="BR699" s="62" t="n">
        <v>0</v>
      </c>
      <c r="BS699" s="62" t="n">
        <v>0</v>
      </c>
      <c r="BT699" s="61" t="n">
        <v>0</v>
      </c>
      <c r="BU699" s="62" t="n">
        <v>0</v>
      </c>
      <c r="BV699" s="60"/>
      <c r="BW699" s="65" t="n">
        <v>0</v>
      </c>
      <c r="BX699" s="65" t="n">
        <v>699</v>
      </c>
      <c r="BY699" s="60" t="str">
        <f aca="false">IF(U699&lt;&gt;"",UPPER(TRIM(U699)),IF(CB699=1,UPPER(VLOOKUP(T699,Parameter!$I$27:$K$29,2,0)),IF(P699="","LOSE",P699)))</f>
        <v>LOSE</v>
      </c>
      <c r="BZ699" s="62" t="n">
        <f aca="false">IF(BY699="LOSE",1,IF(N(V699)&gt;0,V699,IF(CB699=1,MAX(1,N(VLOOKUP(T699,Parameter!$I$27:$K$29,3,0)),H699,N(N699)),IF(N(Q699)&gt;0,Q699,MAX(1,H699)))))</f>
        <v>1</v>
      </c>
      <c r="CA699" s="65" t="n">
        <f aca="false">IF(BY699="LOSE",1,0)</f>
        <v>1</v>
      </c>
      <c r="CB699" s="65" t="n">
        <f aca="false">IF(AND(U699="",OR(P699="",P699="LOSE"),T699&lt;&gt;"",N(S699)&lt;=0,ISNUMBER(MATCH(T699,Parameter!$I$27:$I$29,0))),1,0)</f>
        <v>0</v>
      </c>
      <c r="CC699" s="65" t="n">
        <f aca="false">IF(CR699&gt;0,INDEX(Parameter!$H$5:$H$7,W699)/INDEX(Parameter!$E$5:$E$7,W699),IF(AND(CA699=0,N(IFERROR(VLOOKUP(BY699,'Gebinde-Kategorie'!$A$5:$N$45,14,0),0))&gt;0),VLOOKUP(BY699,'Gebinde-Kategorie'!$A$5:$N$45,14,0)*10+Parameter!$M$23,Parameter!$M$24))</f>
        <v>235</v>
      </c>
      <c r="CD699" s="60" t="str">
        <f aca="false">IF(AND(Parameter!$B$19="Ja",E699&lt;&gt;"",ISNUMBER(MATCH(E699,Parameter!$I$35:$I$52,0))),VLOOKUP(E699,Parameter!$I$35:$J$52,2,0),IFERROR(VLOOKUP(D699,Parameter!$A$35:$C$64,2,0),"Nein"))</f>
        <v>Nein</v>
      </c>
      <c r="CE699" s="64" t="n">
        <f aca="false">IF(CA699=0,0,IF(N(S699)&gt;0,S699,IFERROR(VLOOKUP(D699,Parameter!$A$35:$C$64,3,0)+0,0)))</f>
        <v>0.15</v>
      </c>
      <c r="CF699" s="60" t="str">
        <f aca="false">IF(AB699&lt;&gt;"",AB699,AA699)</f>
        <v>-</v>
      </c>
      <c r="CG699" s="60" t="str">
        <f aca="false">IF(OR(CF699=1,CF699=2,CF699=3),IF(Parameter!$E$27="Ja","LIFT",IF(CF699=1,"L1","L23")),IF(CF699="Aussen","Aussen","-"))</f>
        <v>-</v>
      </c>
      <c r="CH699" s="71" t="n">
        <f aca="false">IF(N(AC699)&gt;0,AC699,0)</f>
        <v>0</v>
      </c>
      <c r="CI699" s="65" t="n">
        <f aca="false">IF(ISNUMBER(AF699),1,0)</f>
        <v>0</v>
      </c>
      <c r="CJ699" s="62" t="n">
        <f aca="false">N(AF699)</f>
        <v>0</v>
      </c>
      <c r="CK699" s="62" t="n">
        <f aca="false">N(M699)+N(N699)</f>
        <v>1</v>
      </c>
      <c r="CL699" s="62" t="n">
        <f aca="false">N(M699)</f>
        <v>0</v>
      </c>
      <c r="CM699" s="62" t="n">
        <f aca="false">N(N699)</f>
        <v>1</v>
      </c>
      <c r="CN699" s="62" t="n">
        <f aca="false">ROUNDUP(H699/BZ699,0)</f>
        <v>0</v>
      </c>
      <c r="CO699" s="62" t="n">
        <f aca="false">ROUNDUP(CJ699/BZ699,0)</f>
        <v>0</v>
      </c>
      <c r="CP699" s="65" t="n">
        <f aca="false">IF(CA699=1,0,IFERROR(VLOOKUP(BY699,'Gebinde-Kategorie'!$A$5:$N$45,5,0)+0,0))</f>
        <v>0</v>
      </c>
      <c r="CQ699" s="65" t="n">
        <f aca="false">IFERROR(IF(OR(CF699=1,CF699=2,CF699=3),N(INDEX(Parameter!$I$5:$I$7,CF699)),0),0)</f>
        <v>0</v>
      </c>
      <c r="CR699" s="64" t="n">
        <f aca="false">IF(AND(Parameter!$B$21="Ja",ISNUMBER(W699),N(X699)&gt;0),IFERROR(N(INDEX(Parameter!$L$5:$L$7,W699))*INDEX(Parameter!$E$5:$E$7,W699)*X699/SUMIFS($X$7:$X$1843,$W$7:$W$1843,W699),0),0)</f>
        <v>0</v>
      </c>
      <c r="CS699" s="62" t="str">
        <f aca="false">IF(AND(OR(CG699="L1",CG699="L23",CG699="LIFT"),H699&gt;0),CC699*IF(CR699&gt;0,CR699*MAX(1,H699/X699),IF(CA699=1,CE699,IF(R699&gt;0,CN699/R699,0))/MAX(0.1,N(Parameter!$M$21))),"")</f>
        <v/>
      </c>
      <c r="CT699" s="64" t="str">
        <f aca="false">IF(CS699="","",J699/H699)</f>
        <v/>
      </c>
      <c r="CU699" s="62" t="str">
        <f aca="false">IF(CS699="","",H699*G699)</f>
        <v/>
      </c>
      <c r="CV699" s="63" t="str">
        <f aca="false">IF(CS699="","",(CL699+ROUNDUP(CL699+MAX(CM699,2*(J699/MAX(0.1,N(Einkauf!$C$6))-CL699)),0))/2)</f>
        <v/>
      </c>
      <c r="CW699" s="62" t="str">
        <f aca="false">IF(CS699="","",MAX(0,H699-CV699)*G699)</f>
        <v/>
      </c>
      <c r="CX699" s="62" t="str">
        <f aca="false">IF(CS699="","",CS699*MAX(0,1-CV699/H699))</f>
        <v/>
      </c>
      <c r="CY699" s="64" t="str">
        <f aca="false">IF(CS699="","",PERCENTRANK($CS$7:$CS$1843,CS699)+PERCENTRANK($CU$7:$CU$1843,CU699)+1-PERCENTRANK($CT$7:$CT$1843,CT699))</f>
        <v/>
      </c>
      <c r="CZ699" s="72" t="str">
        <f aca="false">IF(CS699="","",CHOOSE(MATCH(Einkauf!$C$5,Parameter!$G$23:$G$27,0),CY699,CS699,CU699,-CT699,CW699)+ROW()/1000000000)</f>
        <v/>
      </c>
    </row>
    <row r="700" customFormat="false" ht="15" hidden="false" customHeight="false" outlineLevel="0" collapsed="false">
      <c r="A700" s="60" t="s">
        <v>1440</v>
      </c>
      <c r="B700" s="60" t="s">
        <v>1441</v>
      </c>
      <c r="C700" s="60" t="s">
        <v>206</v>
      </c>
      <c r="D700" s="60" t="s">
        <v>226</v>
      </c>
      <c r="E700" s="60"/>
      <c r="F700" s="60" t="s">
        <v>260</v>
      </c>
      <c r="G700" s="61" t="n">
        <v>956</v>
      </c>
      <c r="H700" s="62" t="n">
        <f aca="false">MAX(0,IF(AND(Parameter!$B$21="Ja",ISNUMBER(Y700)),Y700,IF(Parameter!$B$20="Jahresanfang 2025 + Export",BS700+BR700,BR700)))</f>
        <v>0</v>
      </c>
      <c r="I700" s="62" t="n">
        <f aca="false">H700*G700</f>
        <v>0</v>
      </c>
      <c r="J700" s="62" t="n">
        <f aca="false">BU700*Parameter!$B$18</f>
        <v>1</v>
      </c>
      <c r="K700" s="63" t="n">
        <v>0</v>
      </c>
      <c r="L700" s="64" t="n">
        <v>0</v>
      </c>
      <c r="M700" s="62" t="n">
        <v>0</v>
      </c>
      <c r="N700" s="62" t="n">
        <v>1</v>
      </c>
      <c r="O700" s="65" t="n">
        <v>100</v>
      </c>
      <c r="P700" s="60" t="s">
        <v>210</v>
      </c>
      <c r="Q700" s="62"/>
      <c r="R700" s="65" t="n">
        <f aca="false">IF(CA700=1,0,IFERROR(VLOOKUP(BY700,'Gebinde-Kategorie'!$A$5:$N$45,13,0)+0,0))</f>
        <v>26</v>
      </c>
      <c r="S700" s="66"/>
      <c r="T700" s="67" t="s">
        <v>317</v>
      </c>
      <c r="U700" s="67"/>
      <c r="V700" s="67"/>
      <c r="W700" s="60"/>
      <c r="X700" s="62"/>
      <c r="Y700" s="62"/>
      <c r="Z700" s="60" t="n">
        <v>3</v>
      </c>
      <c r="AA700" s="60" t="n">
        <f aca="false">IF(A700="","",IF(AND(Parameter!$B$21="Ja",ISNUMBER(W700)),W700,IF(AND(Parameter!$E$27="Ja",ISNUMBER(Z700),CD700&lt;&gt;"Nein"),Z700,IF(CD700="2+3",IF(ISNUMBER(SEARCH("grosser Artikel",BV700)),2,IFERROR(VLOOKUP(BY700,Parameter!$F$35:$G$64,2,0),2)),IF(OR(CD700="Nein",CD700=""),"-",CD700)))))</f>
        <v>3</v>
      </c>
      <c r="AB700" s="67"/>
      <c r="AC700" s="68"/>
      <c r="AD700" s="62" t="n">
        <f aca="false">AW700</f>
        <v>1</v>
      </c>
      <c r="AE700" s="62" t="n">
        <f aca="false">MAX(AW700,H700)</f>
        <v>1</v>
      </c>
      <c r="AF700" s="69"/>
      <c r="AG700" s="62" t="n">
        <f aca="false">IF(LEFT(Cockpit!$C$5,1)="A",H700,IF(Parameter!$E$30="MAX-Bestand",IF(CI700=1,CJ700,IF(LEFT(Cockpit!$C$5,1)="B",AM700,MAX(AM700,H700))),ROUNDUP(AK700,0)))</f>
        <v>0</v>
      </c>
      <c r="AH700" s="62" t="n">
        <f aca="false">IF(CA700=1,0,ROUNDUP(AG700/BZ700,0))</f>
        <v>0</v>
      </c>
      <c r="AI700" s="64" t="n">
        <f aca="false">IF(CR700&gt;0,CR700*MAX(1,AG700/X700),IF(CA700=1,IF(AG700&lt;=0,0,CE700*MAX(1,IF(H700&gt;0,AG700/H700,1))),IF(R700&gt;0,AH700/R700,0))/MAX(0.1,N(Parameter!$M$21)))</f>
        <v>0</v>
      </c>
      <c r="AJ700" s="62" t="n">
        <f aca="false">AI700*CC700</f>
        <v>0</v>
      </c>
      <c r="AK700" s="63" t="n">
        <f aca="false">IF(LEFT(Cockpit!$C$5,1)="A",H700,IF(CI700=1,(CL700+CJ700)/2,IF(LEFT(Cockpit!$C$5,1)="B",(CL700+AM700)/2,MAX((CL700+AM700)/2,H700))))</f>
        <v>0</v>
      </c>
      <c r="AL700" s="62" t="n">
        <f aca="false">AK700*G700</f>
        <v>0</v>
      </c>
      <c r="AM700" s="62" t="n">
        <f aca="false">ROUNDUP(CL700+MAX(CM700,2*(J700/IF(CH700&gt;0,CH700,MAX(0.1,N(Cockpit!$C$6)))-CL700)),0)</f>
        <v>1</v>
      </c>
      <c r="AN700" s="63" t="n">
        <f aca="false">IF(AJ700&gt;0,J700/AJ700,-1)</f>
        <v>-1</v>
      </c>
      <c r="AO700" s="63" t="str">
        <f aca="false">IF(AND(OR(CG700="L1",CG700="L23",CG700="LIFT"),AJ700&gt;0),SUMIFS($AJ$7:$AJ$1843,$CG$7:$CG$1843,CG700,$AN$7:$AN$1843,"&gt;"&amp;AN700)+SUMIFS($AJ$7:$AJ$1843,$CG$7:$CG$1843,CG700,$AN$7:$AN$1843,AN700,$BX$7:$BX$1843,"&lt;="&amp;BX700),"")</f>
        <v/>
      </c>
      <c r="AP700" s="70" t="n">
        <f aca="false">IF(AO700="",0,MAX(0,MIN(1,(IF(CG700="L1",Parameter!$H$5,IF(CG700="L23",Parameter!$H$6+Parameter!$H$7,Parameter!$H$5+Parameter!$H$6+Parameter!$H$7))-(AO700-AJ700))/AJ700)))</f>
        <v>0</v>
      </c>
      <c r="AQ700" s="62" t="n">
        <f aca="false">IF(LEFT(Cockpit!$I$5,1)="A",H700,IF(Parameter!$E$30="MAX-Bestand",IF(CI700=1,CJ700,IF(LEFT(Cockpit!$I$5,1)="B",AW700,MAX(AW700,H700))),ROUNDUP(AU700,0)))</f>
        <v>1</v>
      </c>
      <c r="AR700" s="62" t="n">
        <f aca="false">IF(CA700=1,0,ROUNDUP(AQ700/BZ700,0))</f>
        <v>1</v>
      </c>
      <c r="AS700" s="64" t="n">
        <f aca="false">IF(CR700&gt;0,CR700*MAX(1,AQ700/X700),IF(CA700=1,IF(AQ700&lt;=0,0,CE700*MAX(1,IF(H700&gt;0,AQ700/H700,1))),IF(R700&gt;0,AR700/R700,0))/MAX(0.1,N(Parameter!$M$21)))</f>
        <v>0.0384615384615385</v>
      </c>
      <c r="AT700" s="62" t="n">
        <f aca="false">AS700*CC700</f>
        <v>5.96153846153846</v>
      </c>
      <c r="AU700" s="63" t="n">
        <f aca="false">IF(LEFT(Cockpit!$I$5,1)="A",H700,IF(CI700=1,(CL700+CJ700)/2,IF(LEFT(Cockpit!$I$5,1)="B",(CL700+AW700)/2,MAX((CL700+AW700)/2,H700))))</f>
        <v>0.5</v>
      </c>
      <c r="AV700" s="62" t="n">
        <f aca="false">AU700*G700</f>
        <v>478</v>
      </c>
      <c r="AW700" s="62" t="n">
        <f aca="false">ROUNDUP(CL700+MAX(CM700,2*(J700/IF(CH700&gt;0,CH700,MAX(0.1,N(Cockpit!$I$6)))-CL700)),0)</f>
        <v>1</v>
      </c>
      <c r="AX700" s="63" t="n">
        <f aca="false">IF(AT700&gt;0,J700/AT700,-1)</f>
        <v>0.167741935483871</v>
      </c>
      <c r="AY700" s="63" t="n">
        <f aca="false">IF(AND(OR(CG700="L1",CG700="L23",CG700="LIFT"),AT700&gt;0),SUMIFS($AT$7:$AT$1843,$CG$7:$CG$1843,CG700,$AX$7:$AX$1843,"&gt;"&amp;AX700)+SUMIFS($AT$7:$AT$1843,$CG$7:$CG$1843,CG700,$AX$7:$AX$1843,AX700,$BX$7:$BX$1843,"&lt;="&amp;BX700),"")</f>
        <v>15632.2605311355</v>
      </c>
      <c r="AZ700" s="70" t="n">
        <f aca="false">IF(AY700="",0,MAX(0,MIN(1,(IF(CG700="L1",Parameter!$H$5,IF(CG700="L23",Parameter!$H$6+Parameter!$H$7,Parameter!$H$5+Parameter!$H$6+Parameter!$H$7))-(AY700-AT700))/AT700)))</f>
        <v>1</v>
      </c>
      <c r="BA700" s="62" t="n">
        <f aca="false">IF(LEFT(Cockpit!$O$5,1)="A",H700,IF(Parameter!$E$30="MAX-Bestand",IF(CI700=1,CJ700,IF(LEFT(Cockpit!$O$5,1)="B",BG700,MAX(BG700,H700))),ROUNDUP(BE700,0)))</f>
        <v>1</v>
      </c>
      <c r="BB700" s="62" t="n">
        <f aca="false">IF(CA700=1,0,ROUNDUP(BA700/BZ700,0))</f>
        <v>1</v>
      </c>
      <c r="BC700" s="64" t="n">
        <f aca="false">IF(CR700&gt;0,CR700*MAX(1,BA700/X700),IF(CA700=1,IF(BA700&lt;=0,0,CE700*MAX(1,IF(H700&gt;0,BA700/H700,1))),IF(R700&gt;0,BB700/R700,0))/MAX(0.1,N(Parameter!$M$21)))</f>
        <v>0.0384615384615385</v>
      </c>
      <c r="BD700" s="62" t="n">
        <f aca="false">BC700*CC700</f>
        <v>5.96153846153846</v>
      </c>
      <c r="BE700" s="63" t="n">
        <f aca="false">IF(LEFT(Cockpit!$O$5,1)="A",H700,IF(CI700=1,(CL700+CJ700)/2,IF(LEFT(Cockpit!$O$5,1)="B",(CL700+BG700)/2,MAX((CL700+BG700)/2,H700))))</f>
        <v>0.5</v>
      </c>
      <c r="BF700" s="62" t="n">
        <f aca="false">BE700*G700</f>
        <v>478</v>
      </c>
      <c r="BG700" s="62" t="n">
        <f aca="false">ROUNDUP(CL700+MAX(CM700,2*(J700/IF(CH700&gt;0,CH700,MAX(0.1,N(Cockpit!$O$6)))-CL700)),0)</f>
        <v>1</v>
      </c>
      <c r="BH700" s="63" t="n">
        <f aca="false">IF(BD700&gt;0,J700/BD700,-1)</f>
        <v>0.167741935483871</v>
      </c>
      <c r="BI700" s="63" t="n">
        <f aca="false">IF(AND(OR(CG700="L1",CG700="L23",CG700="LIFT"),BD700&gt;0),SUMIFS($BD$7:$BD$1843,$CG$7:$CG$1843,CG700,$BH$7:$BH$1843,"&gt;"&amp;BH700)+SUMIFS($BD$7:$BD$1843,$CG$7:$CG$1843,CG700,$BH$7:$BH$1843,BH700,$BX$7:$BX$1843,"&lt;="&amp;BX700),"")</f>
        <v>13434.5603593676</v>
      </c>
      <c r="BJ700" s="70" t="n">
        <f aca="false">IF(BI700="",0,MAX(0,MIN(1,(IF(CG700="L1",Parameter!$H$5,IF(CG700="L23",Parameter!$H$6+Parameter!$H$7,Parameter!$H$5+Parameter!$H$6+Parameter!$H$7))-(BI700-BD700))/BD700)))</f>
        <v>1</v>
      </c>
      <c r="BK700" s="60" t="str">
        <f aca="false">IF(AJ700&lt;=0,"",IF(CG700="Aussen","Aussenlager",IF(CG700="-","Nicht im Lift",IF(AP700&gt;=1,"Lift",IF(AP700&lt;=0,"Aussenlager","teilweise")))))</f>
        <v/>
      </c>
      <c r="BL700" s="60" t="str">
        <f aca="false">IF(AT700&lt;=0,"",IF(CG700="Aussen","Aussenlager",IF(CG700="-","Nicht im Lift",IF(AZ700&gt;=1,"Lift",IF(AZ700&lt;=0,"Aussenlager","teilweise")))))</f>
        <v>Lift</v>
      </c>
      <c r="BM700" s="60" t="str">
        <f aca="false">IF(BD700&lt;=0,"",IF(CG700="Aussen","Aussenlager",IF(CG700="-","Nicht im Lift",IF(BJ700&gt;=1,"Lift",IF(BJ700&lt;=0,"Aussenlager","teilweise")))))</f>
        <v>Lift</v>
      </c>
      <c r="BN700" s="60" t="str">
        <f aca="false">IF(A700="","",IF(BW700=1,"Neu; ","")&amp;IF(AND(BW700=0,BR700&lt;0),"negativer Bestand (Export "&amp;BR700&amp;"); ","")&amp;IF(J700&lt;=0,"Kein Verbrauch; ","")&amp;IF(CR700&gt;0,"Lift "&amp;W700&amp;" lt. Liftbericht (Fach "&amp;X700&amp;" Stk); ",IF(CB700=1,"Gebinde geschätzt ("&amp;T700&amp;"); ",IF(CA700=1,"Lose – Tablare geschätzt; ","")))&amp;IF(H700&gt;AW700,"Überbestand "&amp;ROUND(H700-AW700,0)&amp;" Stk / CHF "&amp;ROUND((H700-AW700)*G700,0)&amp;"; ","")&amp;IF(AND(CI700=1,CJ700&lt;CK700),"MAX &lt; MB+LG; ","")&amp;IF(AND(CQ700&gt;0,CP700*10&gt;CQ700),"zu hoch für Tablar; ","")&amp;IF(AND(BW700=0,OR(CI700=1,AB700&lt;&gt;"",U700&lt;&gt;"",V700&lt;&gt;"",AC700&lt;&gt;"")),"manuell übersteuert; ","")&amp;IF(AND(CA700=0,R700=0),"Gebinde unbekannt / Stellmass fehlt; ","")&amp;IF(AND(CA700=0,N(V700)&lt;=0,N(Q700)&lt;=0),"Menge pro Gebinde fehlt (Ist = 1 Gebinde); ","")&amp;BV700)</f>
        <v>Gebinde geschätzt (Klein); Menge pro Gebinde fehlt (Ist = 1 Gebinde); </v>
      </c>
      <c r="BO700" s="60"/>
      <c r="BP700" s="60"/>
      <c r="BQ700" s="67"/>
      <c r="BR700" s="62" t="n">
        <v>0</v>
      </c>
      <c r="BS700" s="62" t="n">
        <v>0</v>
      </c>
      <c r="BT700" s="61" t="n">
        <v>0</v>
      </c>
      <c r="BU700" s="62" t="n">
        <v>1</v>
      </c>
      <c r="BV700" s="60"/>
      <c r="BW700" s="65" t="n">
        <v>0</v>
      </c>
      <c r="BX700" s="65" t="n">
        <v>700</v>
      </c>
      <c r="BY700" s="60" t="str">
        <f aca="false">IF(U700&lt;&gt;"",UPPER(TRIM(U700)),IF(CB700=1,UPPER(VLOOKUP(T700,Parameter!$I$27:$K$29,2,0)),IF(P700="","LOSE",P700)))</f>
        <v>S51</v>
      </c>
      <c r="BZ700" s="62" t="n">
        <f aca="false">IF(BY700="LOSE",1,IF(N(V700)&gt;0,V700,IF(CB700=1,MAX(1,N(VLOOKUP(T700,Parameter!$I$27:$K$29,3,0)),H700,N(N700)),IF(N(Q700)&gt;0,Q700,MAX(1,H700)))))</f>
        <v>20</v>
      </c>
      <c r="CA700" s="65" t="n">
        <f aca="false">IF(BY700="LOSE",1,0)</f>
        <v>0</v>
      </c>
      <c r="CB700" s="65" t="n">
        <f aca="false">IF(AND(U700="",OR(P700="",P700="LOSE"),T700&lt;&gt;"",N(S700)&lt;=0,ISNUMBER(MATCH(T700,Parameter!$I$27:$I$29,0))),1,0)</f>
        <v>1</v>
      </c>
      <c r="CC700" s="65" t="n">
        <f aca="false">IF(CR700&gt;0,INDEX(Parameter!$H$5:$H$7,W700)/INDEX(Parameter!$E$5:$E$7,W700),IF(AND(CA700=0,N(IFERROR(VLOOKUP(BY700,'Gebinde-Kategorie'!$A$5:$N$45,14,0),0))&gt;0),VLOOKUP(BY700,'Gebinde-Kategorie'!$A$5:$N$45,14,0)*10+Parameter!$M$23,Parameter!$M$24))</f>
        <v>155</v>
      </c>
      <c r="CD700" s="60" t="str">
        <f aca="false">IF(AND(Parameter!$B$19="Ja",E700&lt;&gt;"",ISNUMBER(MATCH(E700,Parameter!$I$35:$I$52,0))),VLOOKUP(E700,Parameter!$I$35:$J$52,2,0),IFERROR(VLOOKUP(D700,Parameter!$A$35:$C$64,2,0),"Nein"))</f>
        <v>2+3</v>
      </c>
      <c r="CE700" s="64" t="n">
        <f aca="false">IF(CA700=0,0,IF(N(S700)&gt;0,S700,IFERROR(VLOOKUP(D700,Parameter!$A$35:$C$64,3,0)+0,0)))</f>
        <v>0</v>
      </c>
      <c r="CF700" s="60" t="n">
        <f aca="false">IF(AB700&lt;&gt;"",AB700,AA700)</f>
        <v>3</v>
      </c>
      <c r="CG700" s="60" t="str">
        <f aca="false">IF(OR(CF700=1,CF700=2,CF700=3),IF(Parameter!$E$27="Ja","LIFT",IF(CF700=1,"L1","L23")),IF(CF700="Aussen","Aussen","-"))</f>
        <v>LIFT</v>
      </c>
      <c r="CH700" s="71" t="n">
        <f aca="false">IF(N(AC700)&gt;0,AC700,0)</f>
        <v>0</v>
      </c>
      <c r="CI700" s="65" t="n">
        <f aca="false">IF(ISNUMBER(AF700),1,0)</f>
        <v>0</v>
      </c>
      <c r="CJ700" s="62" t="n">
        <f aca="false">N(AF700)</f>
        <v>0</v>
      </c>
      <c r="CK700" s="62" t="n">
        <f aca="false">N(M700)+N(N700)</f>
        <v>1</v>
      </c>
      <c r="CL700" s="62" t="n">
        <f aca="false">N(M700)</f>
        <v>0</v>
      </c>
      <c r="CM700" s="62" t="n">
        <f aca="false">N(N700)</f>
        <v>1</v>
      </c>
      <c r="CN700" s="62" t="n">
        <f aca="false">ROUNDUP(H700/BZ700,0)</f>
        <v>0</v>
      </c>
      <c r="CO700" s="62" t="n">
        <f aca="false">ROUNDUP(CJ700/BZ700,0)</f>
        <v>0</v>
      </c>
      <c r="CP700" s="65" t="n">
        <f aca="false">IF(CA700=1,0,IFERROR(VLOOKUP(BY700,'Gebinde-Kategorie'!$A$5:$N$45,5,0)+0,0))</f>
        <v>11</v>
      </c>
      <c r="CQ700" s="65" t="n">
        <f aca="false">IFERROR(IF(OR(CF700=1,CF700=2,CF700=3),N(INDEX(Parameter!$I$5:$I$7,CF700)),0),0)</f>
        <v>0</v>
      </c>
      <c r="CR700" s="64" t="n">
        <f aca="false">IF(AND(Parameter!$B$21="Ja",ISNUMBER(W700),N(X700)&gt;0),IFERROR(N(INDEX(Parameter!$L$5:$L$7,W700))*INDEX(Parameter!$E$5:$E$7,W700)*X700/SUMIFS($X$7:$X$1843,$W$7:$W$1843,W700),0),0)</f>
        <v>0</v>
      </c>
      <c r="CS700" s="62" t="str">
        <f aca="false">IF(AND(OR(CG700="L1",CG700="L23",CG700="LIFT"),H700&gt;0),CC700*IF(CR700&gt;0,CR700*MAX(1,H700/X700),IF(CA700=1,CE700,IF(R700&gt;0,CN700/R700,0))/MAX(0.1,N(Parameter!$M$21))),"")</f>
        <v/>
      </c>
      <c r="CT700" s="64" t="str">
        <f aca="false">IF(CS700="","",J700/H700)</f>
        <v/>
      </c>
      <c r="CU700" s="62" t="str">
        <f aca="false">IF(CS700="","",H700*G700)</f>
        <v/>
      </c>
      <c r="CV700" s="63" t="str">
        <f aca="false">IF(CS700="","",(CL700+ROUNDUP(CL700+MAX(CM700,2*(J700/MAX(0.1,N(Einkauf!$C$6))-CL700)),0))/2)</f>
        <v/>
      </c>
      <c r="CW700" s="62" t="str">
        <f aca="false">IF(CS700="","",MAX(0,H700-CV700)*G700)</f>
        <v/>
      </c>
      <c r="CX700" s="62" t="str">
        <f aca="false">IF(CS700="","",CS700*MAX(0,1-CV700/H700))</f>
        <v/>
      </c>
      <c r="CY700" s="64" t="str">
        <f aca="false">IF(CS700="","",PERCENTRANK($CS$7:$CS$1843,CS700)+PERCENTRANK($CU$7:$CU$1843,CU700)+1-PERCENTRANK($CT$7:$CT$1843,CT700))</f>
        <v/>
      </c>
      <c r="CZ700" s="72" t="str">
        <f aca="false">IF(CS700="","",CHOOSE(MATCH(Einkauf!$C$5,Parameter!$G$23:$G$27,0),CY700,CS700,CU700,-CT700,CW700)+ROW()/1000000000)</f>
        <v/>
      </c>
    </row>
    <row r="701" customFormat="false" ht="15" hidden="false" customHeight="false" outlineLevel="0" collapsed="false">
      <c r="A701" s="60" t="s">
        <v>1442</v>
      </c>
      <c r="B701" s="60" t="s">
        <v>1443</v>
      </c>
      <c r="C701" s="60" t="s">
        <v>206</v>
      </c>
      <c r="D701" s="60" t="s">
        <v>215</v>
      </c>
      <c r="E701" s="60" t="s">
        <v>227</v>
      </c>
      <c r="F701" s="60" t="s">
        <v>260</v>
      </c>
      <c r="G701" s="61" t="n">
        <v>79.13</v>
      </c>
      <c r="H701" s="62" t="n">
        <f aca="false">MAX(0,IF(AND(Parameter!$B$21="Ja",ISNUMBER(Y701)),Y701,IF(Parameter!$B$20="Jahresanfang 2025 + Export",BS701+BR701,BR701)))</f>
        <v>13</v>
      </c>
      <c r="I701" s="62" t="n">
        <f aca="false">H701*G701</f>
        <v>1028.69</v>
      </c>
      <c r="J701" s="62" t="n">
        <f aca="false">BU701*Parameter!$B$18</f>
        <v>1</v>
      </c>
      <c r="K701" s="63" t="n">
        <v>12.5</v>
      </c>
      <c r="L701" s="64" t="n">
        <v>0.08</v>
      </c>
      <c r="M701" s="62" t="n">
        <v>0</v>
      </c>
      <c r="N701" s="62" t="n">
        <v>1</v>
      </c>
      <c r="O701" s="65" t="n">
        <v>14</v>
      </c>
      <c r="P701" s="60" t="s">
        <v>216</v>
      </c>
      <c r="Q701" s="62" t="n">
        <v>4</v>
      </c>
      <c r="R701" s="65" t="n">
        <f aca="false">IF(CA701=1,0,IFERROR(VLOOKUP(BY701,'Gebinde-Kategorie'!$A$5:$N$45,13,0)+0,0))</f>
        <v>6</v>
      </c>
      <c r="S701" s="66"/>
      <c r="T701" s="67"/>
      <c r="U701" s="67"/>
      <c r="V701" s="67"/>
      <c r="W701" s="60"/>
      <c r="X701" s="62"/>
      <c r="Y701" s="62"/>
      <c r="Z701" s="60" t="n">
        <v>2</v>
      </c>
      <c r="AA701" s="60" t="n">
        <f aca="false">IF(A701="","",IF(AND(Parameter!$B$21="Ja",ISNUMBER(W701)),W701,IF(AND(Parameter!$E$27="Ja",ISNUMBER(Z701),CD701&lt;&gt;"Nein"),Z701,IF(CD701="2+3",IF(ISNUMBER(SEARCH("grosser Artikel",BV701)),2,IFERROR(VLOOKUP(BY701,Parameter!$F$35:$G$64,2,0),2)),IF(OR(CD701="Nein",CD701=""),"-",CD701)))))</f>
        <v>2</v>
      </c>
      <c r="AB701" s="67"/>
      <c r="AC701" s="68"/>
      <c r="AD701" s="62" t="n">
        <f aca="false">AW701</f>
        <v>1</v>
      </c>
      <c r="AE701" s="62" t="n">
        <f aca="false">MAX(AW701,H701)</f>
        <v>13</v>
      </c>
      <c r="AF701" s="69"/>
      <c r="AG701" s="62" t="n">
        <f aca="false">IF(LEFT(Cockpit!$C$5,1)="A",H701,IF(Parameter!$E$30="MAX-Bestand",IF(CI701=1,CJ701,IF(LEFT(Cockpit!$C$5,1)="B",AM701,MAX(AM701,H701))),ROUNDUP(AK701,0)))</f>
        <v>13</v>
      </c>
      <c r="AH701" s="62" t="n">
        <f aca="false">IF(CA701=1,0,ROUNDUP(AG701/BZ701,0))</f>
        <v>4</v>
      </c>
      <c r="AI701" s="64" t="n">
        <f aca="false">IF(CR701&gt;0,CR701*MAX(1,AG701/X701),IF(CA701=1,IF(AG701&lt;=0,0,CE701*MAX(1,IF(H701&gt;0,AG701/H701,1))),IF(R701&gt;0,AH701/R701,0))/MAX(0.1,N(Parameter!$M$21)))</f>
        <v>0.666666666666667</v>
      </c>
      <c r="AJ701" s="62" t="n">
        <f aca="false">AI701*CC701</f>
        <v>156.666666666667</v>
      </c>
      <c r="AK701" s="63" t="n">
        <f aca="false">IF(LEFT(Cockpit!$C$5,1)="A",H701,IF(CI701=1,(CL701+CJ701)/2,IF(LEFT(Cockpit!$C$5,1)="B",(CL701+AM701)/2,MAX((CL701+AM701)/2,H701))))</f>
        <v>13</v>
      </c>
      <c r="AL701" s="62" t="n">
        <f aca="false">AK701*G701</f>
        <v>1028.69</v>
      </c>
      <c r="AM701" s="62" t="n">
        <f aca="false">ROUNDUP(CL701+MAX(CM701,2*(J701/IF(CH701&gt;0,CH701,MAX(0.1,N(Cockpit!$C$6)))-CL701)),0)</f>
        <v>1</v>
      </c>
      <c r="AN701" s="63" t="n">
        <f aca="false">IF(AJ701&gt;0,J701/AJ701,-1)</f>
        <v>0.00638297872340426</v>
      </c>
      <c r="AO701" s="63" t="n">
        <f aca="false">IF(AND(OR(CG701="L1",CG701="L23",CG701="LIFT"),AJ701&gt;0),SUMIFS($AJ$7:$AJ$1843,$CG$7:$CG$1843,CG701,$AN$7:$AN$1843,"&gt;"&amp;AN701)+SUMIFS($AJ$7:$AJ$1843,$CG$7:$CG$1843,CG701,$AN$7:$AN$1843,AN701,$BX$7:$BX$1843,"&lt;="&amp;BX701),"")</f>
        <v>24568.3314319861</v>
      </c>
      <c r="AP701" s="70" t="n">
        <f aca="false">IF(AO701="",0,MAX(0,MIN(1,(IF(CG701="L1",Parameter!$H$5,IF(CG701="L23",Parameter!$H$6+Parameter!$H$7,Parameter!$H$5+Parameter!$H$6+Parameter!$H$7))-(AO701-AJ701))/AJ701)))</f>
        <v>1</v>
      </c>
      <c r="AQ701" s="62" t="n">
        <f aca="false">IF(LEFT(Cockpit!$I$5,1)="A",H701,IF(Parameter!$E$30="MAX-Bestand",IF(CI701=1,CJ701,IF(LEFT(Cockpit!$I$5,1)="B",AW701,MAX(AW701,H701))),ROUNDUP(AU701,0)))</f>
        <v>13</v>
      </c>
      <c r="AR701" s="62" t="n">
        <f aca="false">IF(CA701=1,0,ROUNDUP(AQ701/BZ701,0))</f>
        <v>4</v>
      </c>
      <c r="AS701" s="64" t="n">
        <f aca="false">IF(CR701&gt;0,CR701*MAX(1,AQ701/X701),IF(CA701=1,IF(AQ701&lt;=0,0,CE701*MAX(1,IF(H701&gt;0,AQ701/H701,1))),IF(R701&gt;0,AR701/R701,0))/MAX(0.1,N(Parameter!$M$21)))</f>
        <v>0.666666666666667</v>
      </c>
      <c r="AT701" s="62" t="n">
        <f aca="false">AS701*CC701</f>
        <v>156.666666666667</v>
      </c>
      <c r="AU701" s="63" t="n">
        <f aca="false">IF(LEFT(Cockpit!$I$5,1)="A",H701,IF(CI701=1,(CL701+CJ701)/2,IF(LEFT(Cockpit!$I$5,1)="B",(CL701+AW701)/2,MAX((CL701+AW701)/2,H701))))</f>
        <v>13</v>
      </c>
      <c r="AV701" s="62" t="n">
        <f aca="false">AU701*G701</f>
        <v>1028.69</v>
      </c>
      <c r="AW701" s="62" t="n">
        <f aca="false">ROUNDUP(CL701+MAX(CM701,2*(J701/IF(CH701&gt;0,CH701,MAX(0.1,N(Cockpit!$I$6)))-CL701)),0)</f>
        <v>1</v>
      </c>
      <c r="AX701" s="63" t="n">
        <f aca="false">IF(AT701&gt;0,J701/AT701,-1)</f>
        <v>0.00638297872340426</v>
      </c>
      <c r="AY701" s="63" t="n">
        <f aca="false">IF(AND(OR(CG701="L1",CG701="L23",CG701="LIFT"),AT701&gt;0),SUMIFS($AT$7:$AT$1843,$CG$7:$CG$1843,CG701,$AX$7:$AX$1843,"&gt;"&amp;AX701)+SUMIFS($AT$7:$AT$1843,$CG$7:$CG$1843,CG701,$AX$7:$AX$1843,AX701,$BX$7:$BX$1843,"&lt;="&amp;BX701),"")</f>
        <v>29921.4800733636</v>
      </c>
      <c r="AZ701" s="70" t="n">
        <f aca="false">IF(AY701="",0,MAX(0,MIN(1,(IF(CG701="L1",Parameter!$H$5,IF(CG701="L23",Parameter!$H$6+Parameter!$H$7,Parameter!$H$5+Parameter!$H$6+Parameter!$H$7))-(AY701-AT701))/AT701)))</f>
        <v>1</v>
      </c>
      <c r="BA701" s="62" t="n">
        <f aca="false">IF(LEFT(Cockpit!$O$5,1)="A",H701,IF(Parameter!$E$30="MAX-Bestand",IF(CI701=1,CJ701,IF(LEFT(Cockpit!$O$5,1)="B",BG701,MAX(BG701,H701))),ROUNDUP(BE701,0)))</f>
        <v>1</v>
      </c>
      <c r="BB701" s="62" t="n">
        <f aca="false">IF(CA701=1,0,ROUNDUP(BA701/BZ701,0))</f>
        <v>1</v>
      </c>
      <c r="BC701" s="64" t="n">
        <f aca="false">IF(CR701&gt;0,CR701*MAX(1,BA701/X701),IF(CA701=1,IF(BA701&lt;=0,0,CE701*MAX(1,IF(H701&gt;0,BA701/H701,1))),IF(R701&gt;0,BB701/R701,0))/MAX(0.1,N(Parameter!$M$21)))</f>
        <v>0.166666666666667</v>
      </c>
      <c r="BD701" s="62" t="n">
        <f aca="false">BC701*CC701</f>
        <v>39.1666666666667</v>
      </c>
      <c r="BE701" s="63" t="n">
        <f aca="false">IF(LEFT(Cockpit!$O$5,1)="A",H701,IF(CI701=1,(CL701+CJ701)/2,IF(LEFT(Cockpit!$O$5,1)="B",(CL701+BG701)/2,MAX((CL701+BG701)/2,H701))))</f>
        <v>0.5</v>
      </c>
      <c r="BF701" s="62" t="n">
        <f aca="false">BE701*G701</f>
        <v>39.565</v>
      </c>
      <c r="BG701" s="62" t="n">
        <f aca="false">ROUNDUP(CL701+MAX(CM701,2*(J701/IF(CH701&gt;0,CH701,MAX(0.1,N(Cockpit!$O$6)))-CL701)),0)</f>
        <v>1</v>
      </c>
      <c r="BH701" s="63" t="n">
        <f aca="false">IF(BD701&gt;0,J701/BD701,-1)</f>
        <v>0.025531914893617</v>
      </c>
      <c r="BI701" s="63" t="n">
        <f aca="false">IF(AND(OR(CG701="L1",CG701="L23",CG701="LIFT"),BD701&gt;0),SUMIFS($BD$7:$BD$1843,$CG$7:$CG$1843,CG701,$BH$7:$BH$1843,"&gt;"&amp;BH701)+SUMIFS($BD$7:$BD$1843,$CG$7:$CG$1843,CG701,$BH$7:$BH$1843,BH701,$BX$7:$BX$1843,"&lt;="&amp;BX701),"")</f>
        <v>22550.3665305975</v>
      </c>
      <c r="BJ701" s="70" t="n">
        <f aca="false">IF(BI701="",0,MAX(0,MIN(1,(IF(CG701="L1",Parameter!$H$5,IF(CG701="L23",Parameter!$H$6+Parameter!$H$7,Parameter!$H$5+Parameter!$H$6+Parameter!$H$7))-(BI701-BD701))/BD701)))</f>
        <v>1</v>
      </c>
      <c r="BK701" s="60" t="str">
        <f aca="false">IF(AJ701&lt;=0,"",IF(CG701="Aussen","Aussenlager",IF(CG701="-","Nicht im Lift",IF(AP701&gt;=1,"Lift",IF(AP701&lt;=0,"Aussenlager","teilweise")))))</f>
        <v>Lift</v>
      </c>
      <c r="BL701" s="60" t="str">
        <f aca="false">IF(AT701&lt;=0,"",IF(CG701="Aussen","Aussenlager",IF(CG701="-","Nicht im Lift",IF(AZ701&gt;=1,"Lift",IF(AZ701&lt;=0,"Aussenlager","teilweise")))))</f>
        <v>Lift</v>
      </c>
      <c r="BM701" s="60" t="str">
        <f aca="false">IF(BD701&lt;=0,"",IF(CG701="Aussen","Aussenlager",IF(CG701="-","Nicht im Lift",IF(BJ701&gt;=1,"Lift",IF(BJ701&lt;=0,"Aussenlager","teilweise")))))</f>
        <v>Lift</v>
      </c>
      <c r="BN701" s="60" t="str">
        <f aca="false">IF(A701="","",IF(BW701=1,"Neu; ","")&amp;IF(AND(BW701=0,BR701&lt;0),"negativer Bestand (Export "&amp;BR701&amp;"); ","")&amp;IF(J701&lt;=0,"Kein Verbrauch; ","")&amp;IF(CR701&gt;0,"Lift "&amp;W701&amp;" lt. Liftbericht (Fach "&amp;X701&amp;" Stk); ",IF(CB701=1,"Gebinde geschätzt ("&amp;T701&amp;"); ",IF(CA701=1,"Lose – Tablare geschätzt; ","")))&amp;IF(H701&gt;AW701,"Überbestand "&amp;ROUND(H701-AW701,0)&amp;" Stk / CHF "&amp;ROUND((H701-AW701)*G701,0)&amp;"; ","")&amp;IF(AND(CI701=1,CJ701&lt;CK701),"MAX &lt; MB+LG; ","")&amp;IF(AND(CQ701&gt;0,CP701*10&gt;CQ701),"zu hoch für Tablar; ","")&amp;IF(AND(BW701=0,OR(CI701=1,AB701&lt;&gt;"",U701&lt;&gt;"",V701&lt;&gt;"",AC701&lt;&gt;"")),"manuell übersteuert; ","")&amp;IF(AND(CA701=0,R701=0),"Gebinde unbekannt / Stellmass fehlt; ","")&amp;IF(AND(CA701=0,N(V701)&lt;=0,N(Q701)&lt;=0),"Menge pro Gebinde fehlt (Ist = 1 Gebinde); ","")&amp;BV701)</f>
        <v>Überbestand 12 Stk / CHF 950; grosser Artikel &amp; nicht im KTL</v>
      </c>
      <c r="BO701" s="60"/>
      <c r="BP701" s="60"/>
      <c r="BQ701" s="67"/>
      <c r="BR701" s="62" t="n">
        <v>0</v>
      </c>
      <c r="BS701" s="62" t="n">
        <v>13</v>
      </c>
      <c r="BT701" s="61" t="n">
        <v>0</v>
      </c>
      <c r="BU701" s="62" t="n">
        <v>1</v>
      </c>
      <c r="BV701" s="60" t="s">
        <v>303</v>
      </c>
      <c r="BW701" s="65" t="n">
        <v>0</v>
      </c>
      <c r="BX701" s="65" t="n">
        <v>701</v>
      </c>
      <c r="BY701" s="60" t="str">
        <f aca="false">IF(U701&lt;&gt;"",UPPER(TRIM(U701)),IF(CB701=1,UPPER(VLOOKUP(T701,Parameter!$I$27:$K$29,2,0)),IF(P701="","LOSE",P701)))</f>
        <v>S71</v>
      </c>
      <c r="BZ701" s="62" t="n">
        <f aca="false">IF(BY701="LOSE",1,IF(N(V701)&gt;0,V701,IF(CB701=1,MAX(1,N(VLOOKUP(T701,Parameter!$I$27:$K$29,3,0)),H701,N(N701)),IF(N(Q701)&gt;0,Q701,MAX(1,H701)))))</f>
        <v>4</v>
      </c>
      <c r="CA701" s="65" t="n">
        <f aca="false">IF(BY701="LOSE",1,0)</f>
        <v>0</v>
      </c>
      <c r="CB701" s="65" t="n">
        <f aca="false">IF(AND(U701="",OR(P701="",P701="LOSE"),T701&lt;&gt;"",N(S701)&lt;=0,ISNUMBER(MATCH(T701,Parameter!$I$27:$I$29,0))),1,0)</f>
        <v>0</v>
      </c>
      <c r="CC701" s="65" t="n">
        <f aca="false">IF(CR701&gt;0,INDEX(Parameter!$H$5:$H$7,W701)/INDEX(Parameter!$E$5:$E$7,W701),IF(AND(CA701=0,N(IFERROR(VLOOKUP(BY701,'Gebinde-Kategorie'!$A$5:$N$45,14,0),0))&gt;0),VLOOKUP(BY701,'Gebinde-Kategorie'!$A$5:$N$45,14,0)*10+Parameter!$M$23,Parameter!$M$24))</f>
        <v>235</v>
      </c>
      <c r="CD701" s="60" t="str">
        <f aca="false">IF(AND(Parameter!$B$19="Ja",E701&lt;&gt;"",ISNUMBER(MATCH(E701,Parameter!$I$35:$I$52,0))),VLOOKUP(E701,Parameter!$I$35:$J$52,2,0),IFERROR(VLOOKUP(D701,Parameter!$A$35:$C$64,2,0),"Nein"))</f>
        <v>2+3</v>
      </c>
      <c r="CE701" s="64" t="n">
        <f aca="false">IF(CA701=0,0,IF(N(S701)&gt;0,S701,IFERROR(VLOOKUP(D701,Parameter!$A$35:$C$64,3,0)+0,0)))</f>
        <v>0</v>
      </c>
      <c r="CF701" s="60" t="n">
        <f aca="false">IF(AB701&lt;&gt;"",AB701,AA701)</f>
        <v>2</v>
      </c>
      <c r="CG701" s="60" t="str">
        <f aca="false">IF(OR(CF701=1,CF701=2,CF701=3),IF(Parameter!$E$27="Ja","LIFT",IF(CF701=1,"L1","L23")),IF(CF701="Aussen","Aussen","-"))</f>
        <v>LIFT</v>
      </c>
      <c r="CH701" s="71" t="n">
        <f aca="false">IF(N(AC701)&gt;0,AC701,0)</f>
        <v>0</v>
      </c>
      <c r="CI701" s="65" t="n">
        <f aca="false">IF(ISNUMBER(AF701),1,0)</f>
        <v>0</v>
      </c>
      <c r="CJ701" s="62" t="n">
        <f aca="false">N(AF701)</f>
        <v>0</v>
      </c>
      <c r="CK701" s="62" t="n">
        <f aca="false">N(M701)+N(N701)</f>
        <v>1</v>
      </c>
      <c r="CL701" s="62" t="n">
        <f aca="false">N(M701)</f>
        <v>0</v>
      </c>
      <c r="CM701" s="62" t="n">
        <f aca="false">N(N701)</f>
        <v>1</v>
      </c>
      <c r="CN701" s="62" t="n">
        <f aca="false">ROUNDUP(H701/BZ701,0)</f>
        <v>4</v>
      </c>
      <c r="CO701" s="62" t="n">
        <f aca="false">ROUNDUP(CJ701/BZ701,0)</f>
        <v>0</v>
      </c>
      <c r="CP701" s="65" t="n">
        <f aca="false">IF(CA701=1,0,IFERROR(VLOOKUP(BY701,'Gebinde-Kategorie'!$A$5:$N$45,5,0)+0,0))</f>
        <v>20</v>
      </c>
      <c r="CQ701" s="65" t="n">
        <f aca="false">IFERROR(IF(OR(CF701=1,CF701=2,CF701=3),N(INDEX(Parameter!$I$5:$I$7,CF701)),0),0)</f>
        <v>0</v>
      </c>
      <c r="CR701" s="64" t="n">
        <f aca="false">IF(AND(Parameter!$B$21="Ja",ISNUMBER(W701),N(X701)&gt;0),IFERROR(N(INDEX(Parameter!$L$5:$L$7,W701))*INDEX(Parameter!$E$5:$E$7,W701)*X701/SUMIFS($X$7:$X$1843,$W$7:$W$1843,W701),0),0)</f>
        <v>0</v>
      </c>
      <c r="CS701" s="62" t="n">
        <f aca="false">IF(AND(OR(CG701="L1",CG701="L23",CG701="LIFT"),H701&gt;0),CC701*IF(CR701&gt;0,CR701*MAX(1,H701/X701),IF(CA701=1,CE701,IF(R701&gt;0,CN701/R701,0))/MAX(0.1,N(Parameter!$M$21))),"")</f>
        <v>156.666666666667</v>
      </c>
      <c r="CT701" s="64" t="n">
        <f aca="false">IF(CS701="","",J701/H701)</f>
        <v>0.0769230769230769</v>
      </c>
      <c r="CU701" s="62" t="n">
        <f aca="false">IF(CS701="","",H701*G701)</f>
        <v>1028.69</v>
      </c>
      <c r="CV701" s="63" t="n">
        <f aca="false">IF(CS701="","",(CL701+ROUNDUP(CL701+MAX(CM701,2*(J701/MAX(0.1,N(Einkauf!$C$6))-CL701)),0))/2)</f>
        <v>0.5</v>
      </c>
      <c r="CW701" s="62" t="n">
        <f aca="false">IF(CS701="","",MAX(0,H701-CV701)*G701)</f>
        <v>989.125</v>
      </c>
      <c r="CX701" s="62" t="n">
        <f aca="false">IF(CS701="","",CS701*MAX(0,1-CV701/H701))</f>
        <v>150.641025641026</v>
      </c>
      <c r="CY701" s="64" t="n">
        <f aca="false">IF(CS701="","",PERCENTRANK($CS$7:$CS$1843,CS701)+PERCENTRANK($CU$7:$CU$1843,CU701)+1-PERCENTRANK($CT$7:$CT$1843,CT701))</f>
        <v>2.213</v>
      </c>
      <c r="CZ701" s="72" t="n">
        <f aca="false">IF(CS701="","",CHOOSE(MATCH(Einkauf!$C$5,Parameter!$G$23:$G$27,0),CY701,CS701,CU701,-CT701,CW701)+ROW()/1000000000)</f>
        <v>2.213000701</v>
      </c>
    </row>
    <row r="702" customFormat="false" ht="15" hidden="false" customHeight="false" outlineLevel="0" collapsed="false">
      <c r="A702" s="60" t="s">
        <v>1444</v>
      </c>
      <c r="B702" s="60" t="s">
        <v>1445</v>
      </c>
      <c r="C702" s="60" t="s">
        <v>206</v>
      </c>
      <c r="D702" s="60" t="s">
        <v>226</v>
      </c>
      <c r="E702" s="60"/>
      <c r="F702" s="60" t="s">
        <v>260</v>
      </c>
      <c r="G702" s="61" t="n">
        <v>293</v>
      </c>
      <c r="H702" s="62" t="n">
        <f aca="false">MAX(0,IF(AND(Parameter!$B$21="Ja",ISNUMBER(Y702)),Y702,IF(Parameter!$B$20="Jahresanfang 2025 + Export",BS702+BR702,BR702)))</f>
        <v>0</v>
      </c>
      <c r="I702" s="62" t="n">
        <f aca="false">H702*G702</f>
        <v>0</v>
      </c>
      <c r="J702" s="62" t="n">
        <f aca="false">BU702*Parameter!$B$18</f>
        <v>3</v>
      </c>
      <c r="K702" s="63" t="n">
        <v>0</v>
      </c>
      <c r="L702" s="64" t="n">
        <v>0</v>
      </c>
      <c r="M702" s="62" t="n">
        <v>0</v>
      </c>
      <c r="N702" s="62" t="n">
        <v>5</v>
      </c>
      <c r="O702" s="65" t="n">
        <v>112</v>
      </c>
      <c r="P702" s="60" t="s">
        <v>210</v>
      </c>
      <c r="Q702" s="62"/>
      <c r="R702" s="65" t="n">
        <f aca="false">IF(CA702=1,0,IFERROR(VLOOKUP(BY702,'Gebinde-Kategorie'!$A$5:$N$45,13,0)+0,0))</f>
        <v>26</v>
      </c>
      <c r="S702" s="66"/>
      <c r="T702" s="67" t="s">
        <v>317</v>
      </c>
      <c r="U702" s="67"/>
      <c r="V702" s="67"/>
      <c r="W702" s="60"/>
      <c r="X702" s="62"/>
      <c r="Y702" s="62"/>
      <c r="Z702" s="60" t="n">
        <v>3</v>
      </c>
      <c r="AA702" s="60" t="n">
        <f aca="false">IF(A702="","",IF(AND(Parameter!$B$21="Ja",ISNUMBER(W702)),W702,IF(AND(Parameter!$E$27="Ja",ISNUMBER(Z702),CD702&lt;&gt;"Nein"),Z702,IF(CD702="2+3",IF(ISNUMBER(SEARCH("grosser Artikel",BV702)),2,IFERROR(VLOOKUP(BY702,Parameter!$F$35:$G$64,2,0),2)),IF(OR(CD702="Nein",CD702=""),"-",CD702)))))</f>
        <v>3</v>
      </c>
      <c r="AB702" s="67"/>
      <c r="AC702" s="68"/>
      <c r="AD702" s="62" t="n">
        <f aca="false">AW702</f>
        <v>5</v>
      </c>
      <c r="AE702" s="62" t="n">
        <f aca="false">MAX(AW702,H702)</f>
        <v>5</v>
      </c>
      <c r="AF702" s="69"/>
      <c r="AG702" s="62" t="n">
        <f aca="false">IF(LEFT(Cockpit!$C$5,1)="A",H702,IF(Parameter!$E$30="MAX-Bestand",IF(CI702=1,CJ702,IF(LEFT(Cockpit!$C$5,1)="B",AM702,MAX(AM702,H702))),ROUNDUP(AK702,0)))</f>
        <v>0</v>
      </c>
      <c r="AH702" s="62" t="n">
        <f aca="false">IF(CA702=1,0,ROUNDUP(AG702/BZ702,0))</f>
        <v>0</v>
      </c>
      <c r="AI702" s="64" t="n">
        <f aca="false">IF(CR702&gt;0,CR702*MAX(1,AG702/X702),IF(CA702=1,IF(AG702&lt;=0,0,CE702*MAX(1,IF(H702&gt;0,AG702/H702,1))),IF(R702&gt;0,AH702/R702,0))/MAX(0.1,N(Parameter!$M$21)))</f>
        <v>0</v>
      </c>
      <c r="AJ702" s="62" t="n">
        <f aca="false">AI702*CC702</f>
        <v>0</v>
      </c>
      <c r="AK702" s="63" t="n">
        <f aca="false">IF(LEFT(Cockpit!$C$5,1)="A",H702,IF(CI702=1,(CL702+CJ702)/2,IF(LEFT(Cockpit!$C$5,1)="B",(CL702+AM702)/2,MAX((CL702+AM702)/2,H702))))</f>
        <v>0</v>
      </c>
      <c r="AL702" s="62" t="n">
        <f aca="false">AK702*G702</f>
        <v>0</v>
      </c>
      <c r="AM702" s="62" t="n">
        <f aca="false">ROUNDUP(CL702+MAX(CM702,2*(J702/IF(CH702&gt;0,CH702,MAX(0.1,N(Cockpit!$C$6)))-CL702)),0)</f>
        <v>5</v>
      </c>
      <c r="AN702" s="63" t="n">
        <f aca="false">IF(AJ702&gt;0,J702/AJ702,-1)</f>
        <v>-1</v>
      </c>
      <c r="AO702" s="63" t="str">
        <f aca="false">IF(AND(OR(CG702="L1",CG702="L23",CG702="LIFT"),AJ702&gt;0),SUMIFS($AJ$7:$AJ$1843,$CG$7:$CG$1843,CG702,$AN$7:$AN$1843,"&gt;"&amp;AN702)+SUMIFS($AJ$7:$AJ$1843,$CG$7:$CG$1843,CG702,$AN$7:$AN$1843,AN702,$BX$7:$BX$1843,"&lt;="&amp;BX702),"")</f>
        <v/>
      </c>
      <c r="AP702" s="70" t="n">
        <f aca="false">IF(AO702="",0,MAX(0,MIN(1,(IF(CG702="L1",Parameter!$H$5,IF(CG702="L23",Parameter!$H$6+Parameter!$H$7,Parameter!$H$5+Parameter!$H$6+Parameter!$H$7))-(AO702-AJ702))/AJ702)))</f>
        <v>0</v>
      </c>
      <c r="AQ702" s="62" t="n">
        <f aca="false">IF(LEFT(Cockpit!$I$5,1)="A",H702,IF(Parameter!$E$30="MAX-Bestand",IF(CI702=1,CJ702,IF(LEFT(Cockpit!$I$5,1)="B",AW702,MAX(AW702,H702))),ROUNDUP(AU702,0)))</f>
        <v>3</v>
      </c>
      <c r="AR702" s="62" t="n">
        <f aca="false">IF(CA702=1,0,ROUNDUP(AQ702/BZ702,0))</f>
        <v>1</v>
      </c>
      <c r="AS702" s="64" t="n">
        <f aca="false">IF(CR702&gt;0,CR702*MAX(1,AQ702/X702),IF(CA702=1,IF(AQ702&lt;=0,0,CE702*MAX(1,IF(H702&gt;0,AQ702/H702,1))),IF(R702&gt;0,AR702/R702,0))/MAX(0.1,N(Parameter!$M$21)))</f>
        <v>0.0384615384615385</v>
      </c>
      <c r="AT702" s="62" t="n">
        <f aca="false">AS702*CC702</f>
        <v>5.96153846153846</v>
      </c>
      <c r="AU702" s="63" t="n">
        <f aca="false">IF(LEFT(Cockpit!$I$5,1)="A",H702,IF(CI702=1,(CL702+CJ702)/2,IF(LEFT(Cockpit!$I$5,1)="B",(CL702+AW702)/2,MAX((CL702+AW702)/2,H702))))</f>
        <v>2.5</v>
      </c>
      <c r="AV702" s="62" t="n">
        <f aca="false">AU702*G702</f>
        <v>732.5</v>
      </c>
      <c r="AW702" s="62" t="n">
        <f aca="false">ROUNDUP(CL702+MAX(CM702,2*(J702/IF(CH702&gt;0,CH702,MAX(0.1,N(Cockpit!$I$6)))-CL702)),0)</f>
        <v>5</v>
      </c>
      <c r="AX702" s="63" t="n">
        <f aca="false">IF(AT702&gt;0,J702/AT702,-1)</f>
        <v>0.503225806451613</v>
      </c>
      <c r="AY702" s="63" t="n">
        <f aca="false">IF(AND(OR(CG702="L1",CG702="L23",CG702="LIFT"),AT702&gt;0),SUMIFS($AT$7:$AT$1843,$CG$7:$CG$1843,CG702,$AX$7:$AX$1843,"&gt;"&amp;AX702)+SUMIFS($AT$7:$AT$1843,$CG$7:$CG$1843,CG702,$AX$7:$AX$1843,AX702,$BX$7:$BX$1843,"&lt;="&amp;BX702),"")</f>
        <v>11976.0009157509</v>
      </c>
      <c r="AZ702" s="70" t="n">
        <f aca="false">IF(AY702="",0,MAX(0,MIN(1,(IF(CG702="L1",Parameter!$H$5,IF(CG702="L23",Parameter!$H$6+Parameter!$H$7,Parameter!$H$5+Parameter!$H$6+Parameter!$H$7))-(AY702-AT702))/AT702)))</f>
        <v>1</v>
      </c>
      <c r="BA702" s="62" t="n">
        <f aca="false">IF(LEFT(Cockpit!$O$5,1)="A",H702,IF(Parameter!$E$30="MAX-Bestand",IF(CI702=1,CJ702,IF(LEFT(Cockpit!$O$5,1)="B",BG702,MAX(BG702,H702))),ROUNDUP(BE702,0)))</f>
        <v>3</v>
      </c>
      <c r="BB702" s="62" t="n">
        <f aca="false">IF(CA702=1,0,ROUNDUP(BA702/BZ702,0))</f>
        <v>1</v>
      </c>
      <c r="BC702" s="64" t="n">
        <f aca="false">IF(CR702&gt;0,CR702*MAX(1,BA702/X702),IF(CA702=1,IF(BA702&lt;=0,0,CE702*MAX(1,IF(H702&gt;0,BA702/H702,1))),IF(R702&gt;0,BB702/R702,0))/MAX(0.1,N(Parameter!$M$21)))</f>
        <v>0.0384615384615385</v>
      </c>
      <c r="BD702" s="62" t="n">
        <f aca="false">BC702*CC702</f>
        <v>5.96153846153846</v>
      </c>
      <c r="BE702" s="63" t="n">
        <f aca="false">IF(LEFT(Cockpit!$O$5,1)="A",H702,IF(CI702=1,(CL702+CJ702)/2,IF(LEFT(Cockpit!$O$5,1)="B",(CL702+BG702)/2,MAX((CL702+BG702)/2,H702))))</f>
        <v>2.5</v>
      </c>
      <c r="BF702" s="62" t="n">
        <f aca="false">BE702*G702</f>
        <v>732.5</v>
      </c>
      <c r="BG702" s="62" t="n">
        <f aca="false">ROUNDUP(CL702+MAX(CM702,2*(J702/IF(CH702&gt;0,CH702,MAX(0.1,N(Cockpit!$O$6)))-CL702)),0)</f>
        <v>5</v>
      </c>
      <c r="BH702" s="63" t="n">
        <f aca="false">IF(BD702&gt;0,J702/BD702,-1)</f>
        <v>0.503225806451613</v>
      </c>
      <c r="BI702" s="63" t="n">
        <f aca="false">IF(AND(OR(CG702="L1",CG702="L23",CG702="LIFT"),BD702&gt;0),SUMIFS($BD$7:$BD$1843,$CG$7:$CG$1843,CG702,$BH$7:$BH$1843,"&gt;"&amp;BH702)+SUMIFS($BD$7:$BD$1843,$CG$7:$CG$1843,CG702,$BH$7:$BH$1843,BH702,$BX$7:$BX$1843,"&lt;="&amp;BX702),"")</f>
        <v>10339.4171245421</v>
      </c>
      <c r="BJ702" s="70" t="n">
        <f aca="false">IF(BI702="",0,MAX(0,MIN(1,(IF(CG702="L1",Parameter!$H$5,IF(CG702="L23",Parameter!$H$6+Parameter!$H$7,Parameter!$H$5+Parameter!$H$6+Parameter!$H$7))-(BI702-BD702))/BD702)))</f>
        <v>1</v>
      </c>
      <c r="BK702" s="60" t="str">
        <f aca="false">IF(AJ702&lt;=0,"",IF(CG702="Aussen","Aussenlager",IF(CG702="-","Nicht im Lift",IF(AP702&gt;=1,"Lift",IF(AP702&lt;=0,"Aussenlager","teilweise")))))</f>
        <v/>
      </c>
      <c r="BL702" s="60" t="str">
        <f aca="false">IF(AT702&lt;=0,"",IF(CG702="Aussen","Aussenlager",IF(CG702="-","Nicht im Lift",IF(AZ702&gt;=1,"Lift",IF(AZ702&lt;=0,"Aussenlager","teilweise")))))</f>
        <v>Lift</v>
      </c>
      <c r="BM702" s="60" t="str">
        <f aca="false">IF(BD702&lt;=0,"",IF(CG702="Aussen","Aussenlager",IF(CG702="-","Nicht im Lift",IF(BJ702&gt;=1,"Lift",IF(BJ702&lt;=0,"Aussenlager","teilweise")))))</f>
        <v>Lift</v>
      </c>
      <c r="BN702" s="60" t="str">
        <f aca="false">IF(A702="","",IF(BW702=1,"Neu; ","")&amp;IF(AND(BW702=0,BR702&lt;0),"negativer Bestand (Export "&amp;BR702&amp;"); ","")&amp;IF(J702&lt;=0,"Kein Verbrauch; ","")&amp;IF(CR702&gt;0,"Lift "&amp;W702&amp;" lt. Liftbericht (Fach "&amp;X702&amp;" Stk); ",IF(CB702=1,"Gebinde geschätzt ("&amp;T702&amp;"); ",IF(CA702=1,"Lose – Tablare geschätzt; ","")))&amp;IF(H702&gt;AW702,"Überbestand "&amp;ROUND(H702-AW702,0)&amp;" Stk / CHF "&amp;ROUND((H702-AW702)*G702,0)&amp;"; ","")&amp;IF(AND(CI702=1,CJ702&lt;CK702),"MAX &lt; MB+LG; ","")&amp;IF(AND(CQ702&gt;0,CP702*10&gt;CQ702),"zu hoch für Tablar; ","")&amp;IF(AND(BW702=0,OR(CI702=1,AB702&lt;&gt;"",U702&lt;&gt;"",V702&lt;&gt;"",AC702&lt;&gt;"")),"manuell übersteuert; ","")&amp;IF(AND(CA702=0,R702=0),"Gebinde unbekannt / Stellmass fehlt; ","")&amp;IF(AND(CA702=0,N(V702)&lt;=0,N(Q702)&lt;=0),"Menge pro Gebinde fehlt (Ist = 1 Gebinde); ","")&amp;BV702)</f>
        <v>Gebinde geschätzt (Klein); Menge pro Gebinde fehlt (Ist = 1 Gebinde); </v>
      </c>
      <c r="BO702" s="60"/>
      <c r="BP702" s="60"/>
      <c r="BQ702" s="67"/>
      <c r="BR702" s="62" t="n">
        <v>0</v>
      </c>
      <c r="BS702" s="62" t="n">
        <v>0</v>
      </c>
      <c r="BT702" s="61" t="n">
        <v>0</v>
      </c>
      <c r="BU702" s="62" t="n">
        <v>3</v>
      </c>
      <c r="BV702" s="60"/>
      <c r="BW702" s="65" t="n">
        <v>0</v>
      </c>
      <c r="BX702" s="65" t="n">
        <v>702</v>
      </c>
      <c r="BY702" s="60" t="str">
        <f aca="false">IF(U702&lt;&gt;"",UPPER(TRIM(U702)),IF(CB702=1,UPPER(VLOOKUP(T702,Parameter!$I$27:$K$29,2,0)),IF(P702="","LOSE",P702)))</f>
        <v>S51</v>
      </c>
      <c r="BZ702" s="62" t="n">
        <f aca="false">IF(BY702="LOSE",1,IF(N(V702)&gt;0,V702,IF(CB702=1,MAX(1,N(VLOOKUP(T702,Parameter!$I$27:$K$29,3,0)),H702,N(N702)),IF(N(Q702)&gt;0,Q702,MAX(1,H702)))))</f>
        <v>20</v>
      </c>
      <c r="CA702" s="65" t="n">
        <f aca="false">IF(BY702="LOSE",1,0)</f>
        <v>0</v>
      </c>
      <c r="CB702" s="65" t="n">
        <f aca="false">IF(AND(U702="",OR(P702="",P702="LOSE"),T702&lt;&gt;"",N(S702)&lt;=0,ISNUMBER(MATCH(T702,Parameter!$I$27:$I$29,0))),1,0)</f>
        <v>1</v>
      </c>
      <c r="CC702" s="65" t="n">
        <f aca="false">IF(CR702&gt;0,INDEX(Parameter!$H$5:$H$7,W702)/INDEX(Parameter!$E$5:$E$7,W702),IF(AND(CA702=0,N(IFERROR(VLOOKUP(BY702,'Gebinde-Kategorie'!$A$5:$N$45,14,0),0))&gt;0),VLOOKUP(BY702,'Gebinde-Kategorie'!$A$5:$N$45,14,0)*10+Parameter!$M$23,Parameter!$M$24))</f>
        <v>155</v>
      </c>
      <c r="CD702" s="60" t="str">
        <f aca="false">IF(AND(Parameter!$B$19="Ja",E702&lt;&gt;"",ISNUMBER(MATCH(E702,Parameter!$I$35:$I$52,0))),VLOOKUP(E702,Parameter!$I$35:$J$52,2,0),IFERROR(VLOOKUP(D702,Parameter!$A$35:$C$64,2,0),"Nein"))</f>
        <v>2+3</v>
      </c>
      <c r="CE702" s="64" t="n">
        <f aca="false">IF(CA702=0,0,IF(N(S702)&gt;0,S702,IFERROR(VLOOKUP(D702,Parameter!$A$35:$C$64,3,0)+0,0)))</f>
        <v>0</v>
      </c>
      <c r="CF702" s="60" t="n">
        <f aca="false">IF(AB702&lt;&gt;"",AB702,AA702)</f>
        <v>3</v>
      </c>
      <c r="CG702" s="60" t="str">
        <f aca="false">IF(OR(CF702=1,CF702=2,CF702=3),IF(Parameter!$E$27="Ja","LIFT",IF(CF702=1,"L1","L23")),IF(CF702="Aussen","Aussen","-"))</f>
        <v>LIFT</v>
      </c>
      <c r="CH702" s="71" t="n">
        <f aca="false">IF(N(AC702)&gt;0,AC702,0)</f>
        <v>0</v>
      </c>
      <c r="CI702" s="65" t="n">
        <f aca="false">IF(ISNUMBER(AF702),1,0)</f>
        <v>0</v>
      </c>
      <c r="CJ702" s="62" t="n">
        <f aca="false">N(AF702)</f>
        <v>0</v>
      </c>
      <c r="CK702" s="62" t="n">
        <f aca="false">N(M702)+N(N702)</f>
        <v>5</v>
      </c>
      <c r="CL702" s="62" t="n">
        <f aca="false">N(M702)</f>
        <v>0</v>
      </c>
      <c r="CM702" s="62" t="n">
        <f aca="false">N(N702)</f>
        <v>5</v>
      </c>
      <c r="CN702" s="62" t="n">
        <f aca="false">ROUNDUP(H702/BZ702,0)</f>
        <v>0</v>
      </c>
      <c r="CO702" s="62" t="n">
        <f aca="false">ROUNDUP(CJ702/BZ702,0)</f>
        <v>0</v>
      </c>
      <c r="CP702" s="65" t="n">
        <f aca="false">IF(CA702=1,0,IFERROR(VLOOKUP(BY702,'Gebinde-Kategorie'!$A$5:$N$45,5,0)+0,0))</f>
        <v>11</v>
      </c>
      <c r="CQ702" s="65" t="n">
        <f aca="false">IFERROR(IF(OR(CF702=1,CF702=2,CF702=3),N(INDEX(Parameter!$I$5:$I$7,CF702)),0),0)</f>
        <v>0</v>
      </c>
      <c r="CR702" s="64" t="n">
        <f aca="false">IF(AND(Parameter!$B$21="Ja",ISNUMBER(W702),N(X702)&gt;0),IFERROR(N(INDEX(Parameter!$L$5:$L$7,W702))*INDEX(Parameter!$E$5:$E$7,W702)*X702/SUMIFS($X$7:$X$1843,$W$7:$W$1843,W702),0),0)</f>
        <v>0</v>
      </c>
      <c r="CS702" s="62" t="str">
        <f aca="false">IF(AND(OR(CG702="L1",CG702="L23",CG702="LIFT"),H702&gt;0),CC702*IF(CR702&gt;0,CR702*MAX(1,H702/X702),IF(CA702=1,CE702,IF(R702&gt;0,CN702/R702,0))/MAX(0.1,N(Parameter!$M$21))),"")</f>
        <v/>
      </c>
      <c r="CT702" s="64" t="str">
        <f aca="false">IF(CS702="","",J702/H702)</f>
        <v/>
      </c>
      <c r="CU702" s="62" t="str">
        <f aca="false">IF(CS702="","",H702*G702)</f>
        <v/>
      </c>
      <c r="CV702" s="63" t="str">
        <f aca="false">IF(CS702="","",(CL702+ROUNDUP(CL702+MAX(CM702,2*(J702/MAX(0.1,N(Einkauf!$C$6))-CL702)),0))/2)</f>
        <v/>
      </c>
      <c r="CW702" s="62" t="str">
        <f aca="false">IF(CS702="","",MAX(0,H702-CV702)*G702)</f>
        <v/>
      </c>
      <c r="CX702" s="62" t="str">
        <f aca="false">IF(CS702="","",CS702*MAX(0,1-CV702/H702))</f>
        <v/>
      </c>
      <c r="CY702" s="64" t="str">
        <f aca="false">IF(CS702="","",PERCENTRANK($CS$7:$CS$1843,CS702)+PERCENTRANK($CU$7:$CU$1843,CU702)+1-PERCENTRANK($CT$7:$CT$1843,CT702))</f>
        <v/>
      </c>
      <c r="CZ702" s="72" t="str">
        <f aca="false">IF(CS702="","",CHOOSE(MATCH(Einkauf!$C$5,Parameter!$G$23:$G$27,0),CY702,CS702,CU702,-CT702,CW702)+ROW()/1000000000)</f>
        <v/>
      </c>
    </row>
    <row r="703" customFormat="false" ht="15" hidden="false" customHeight="false" outlineLevel="0" collapsed="false">
      <c r="A703" s="60" t="s">
        <v>1446</v>
      </c>
      <c r="B703" s="60" t="s">
        <v>586</v>
      </c>
      <c r="C703" s="60" t="s">
        <v>206</v>
      </c>
      <c r="D703" s="60" t="s">
        <v>1037</v>
      </c>
      <c r="E703" s="60" t="s">
        <v>227</v>
      </c>
      <c r="F703" s="60" t="s">
        <v>260</v>
      </c>
      <c r="G703" s="61" t="n">
        <v>27.2</v>
      </c>
      <c r="H703" s="62" t="n">
        <f aca="false">MAX(0,IF(AND(Parameter!$B$21="Ja",ISNUMBER(Y703)),Y703,IF(Parameter!$B$20="Jahresanfang 2025 + Export",BS703+BR703,BR703)))</f>
        <v>14</v>
      </c>
      <c r="I703" s="62" t="n">
        <f aca="false">H703*G703</f>
        <v>380.8</v>
      </c>
      <c r="J703" s="62" t="n">
        <f aca="false">BU703*Parameter!$B$18</f>
        <v>0</v>
      </c>
      <c r="K703" s="63" t="n">
        <v>17</v>
      </c>
      <c r="L703" s="64" t="n">
        <v>0</v>
      </c>
      <c r="M703" s="62" t="n">
        <v>0</v>
      </c>
      <c r="N703" s="62" t="n">
        <v>1</v>
      </c>
      <c r="O703" s="65" t="n">
        <v>21</v>
      </c>
      <c r="P703" s="60" t="s">
        <v>210</v>
      </c>
      <c r="Q703" s="62"/>
      <c r="R703" s="65" t="n">
        <f aca="false">IF(CA703=1,0,IFERROR(VLOOKUP(BY703,'Gebinde-Kategorie'!$A$5:$N$45,13,0)+0,0))</f>
        <v>12</v>
      </c>
      <c r="S703" s="66"/>
      <c r="T703" s="67" t="s">
        <v>221</v>
      </c>
      <c r="U703" s="67"/>
      <c r="V703" s="67"/>
      <c r="W703" s="60"/>
      <c r="X703" s="62"/>
      <c r="Y703" s="62"/>
      <c r="Z703" s="60" t="n">
        <v>3</v>
      </c>
      <c r="AA703" s="60" t="n">
        <f aca="false">IF(A703="","",IF(AND(Parameter!$B$21="Ja",ISNUMBER(W703)),W703,IF(AND(Parameter!$E$27="Ja",ISNUMBER(Z703),CD703&lt;&gt;"Nein"),Z703,IF(CD703="2+3",IF(ISNUMBER(SEARCH("grosser Artikel",BV703)),2,IFERROR(VLOOKUP(BY703,Parameter!$F$35:$G$64,2,0),2)),IF(OR(CD703="Nein",CD703=""),"-",CD703)))))</f>
        <v>3</v>
      </c>
      <c r="AB703" s="67"/>
      <c r="AC703" s="68"/>
      <c r="AD703" s="62" t="n">
        <f aca="false">AW703</f>
        <v>1</v>
      </c>
      <c r="AE703" s="62" t="n">
        <f aca="false">MAX(AW703,H703)</f>
        <v>14</v>
      </c>
      <c r="AF703" s="69"/>
      <c r="AG703" s="62" t="n">
        <f aca="false">IF(LEFT(Cockpit!$C$5,1)="A",H703,IF(Parameter!$E$30="MAX-Bestand",IF(CI703=1,CJ703,IF(LEFT(Cockpit!$C$5,1)="B",AM703,MAX(AM703,H703))),ROUNDUP(AK703,0)))</f>
        <v>14</v>
      </c>
      <c r="AH703" s="62" t="n">
        <f aca="false">IF(CA703=1,0,ROUNDUP(AG703/BZ703,0))</f>
        <v>1</v>
      </c>
      <c r="AI703" s="64" t="n">
        <f aca="false">IF(CR703&gt;0,CR703*MAX(1,AG703/X703),IF(CA703=1,IF(AG703&lt;=0,0,CE703*MAX(1,IF(H703&gt;0,AG703/H703,1))),IF(R703&gt;0,AH703/R703,0))/MAX(0.1,N(Parameter!$M$21)))</f>
        <v>0.0833333333333333</v>
      </c>
      <c r="AJ703" s="62" t="n">
        <f aca="false">AI703*CC703</f>
        <v>12.0833333333333</v>
      </c>
      <c r="AK703" s="63" t="n">
        <f aca="false">IF(LEFT(Cockpit!$C$5,1)="A",H703,IF(CI703=1,(CL703+CJ703)/2,IF(LEFT(Cockpit!$C$5,1)="B",(CL703+AM703)/2,MAX((CL703+AM703)/2,H703))))</f>
        <v>14</v>
      </c>
      <c r="AL703" s="62" t="n">
        <f aca="false">AK703*G703</f>
        <v>380.8</v>
      </c>
      <c r="AM703" s="62" t="n">
        <f aca="false">ROUNDUP(CL703+MAX(CM703,2*(J703/IF(CH703&gt;0,CH703,MAX(0.1,N(Cockpit!$C$6)))-CL703)),0)</f>
        <v>1</v>
      </c>
      <c r="AN703" s="63" t="n">
        <f aca="false">IF(AJ703&gt;0,J703/AJ703,-1)</f>
        <v>0</v>
      </c>
      <c r="AO703" s="63" t="n">
        <f aca="false">IF(AND(OR(CG703="L1",CG703="L23",CG703="LIFT"),AJ703&gt;0),SUMIFS($AJ$7:$AJ$1843,$CG$7:$CG$1843,CG703,$AN$7:$AN$1843,"&gt;"&amp;AN703)+SUMIFS($AJ$7:$AJ$1843,$CG$7:$CG$1843,CG703,$AN$7:$AN$1843,AN703,$BX$7:$BX$1843,"&lt;="&amp;BX703),"")</f>
        <v>28631.1393622855</v>
      </c>
      <c r="AP703" s="70" t="n">
        <f aca="false">IF(AO703="",0,MAX(0,MIN(1,(IF(CG703="L1",Parameter!$H$5,IF(CG703="L23",Parameter!$H$6+Parameter!$H$7,Parameter!$H$5+Parameter!$H$6+Parameter!$H$7))-(AO703-AJ703))/AJ703)))</f>
        <v>1</v>
      </c>
      <c r="AQ703" s="62" t="n">
        <f aca="false">IF(LEFT(Cockpit!$I$5,1)="A",H703,IF(Parameter!$E$30="MAX-Bestand",IF(CI703=1,CJ703,IF(LEFT(Cockpit!$I$5,1)="B",AW703,MAX(AW703,H703))),ROUNDUP(AU703,0)))</f>
        <v>14</v>
      </c>
      <c r="AR703" s="62" t="n">
        <f aca="false">IF(CA703=1,0,ROUNDUP(AQ703/BZ703,0))</f>
        <v>1</v>
      </c>
      <c r="AS703" s="64" t="n">
        <f aca="false">IF(CR703&gt;0,CR703*MAX(1,AQ703/X703),IF(CA703=1,IF(AQ703&lt;=0,0,CE703*MAX(1,IF(H703&gt;0,AQ703/H703,1))),IF(R703&gt;0,AR703/R703,0))/MAX(0.1,N(Parameter!$M$21)))</f>
        <v>0.0833333333333333</v>
      </c>
      <c r="AT703" s="62" t="n">
        <f aca="false">AS703*CC703</f>
        <v>12.0833333333333</v>
      </c>
      <c r="AU703" s="63" t="n">
        <f aca="false">IF(LEFT(Cockpit!$I$5,1)="A",H703,IF(CI703=1,(CL703+CJ703)/2,IF(LEFT(Cockpit!$I$5,1)="B",(CL703+AW703)/2,MAX((CL703+AW703)/2,H703))))</f>
        <v>14</v>
      </c>
      <c r="AV703" s="62" t="n">
        <f aca="false">AU703*G703</f>
        <v>380.8</v>
      </c>
      <c r="AW703" s="62" t="n">
        <f aca="false">ROUNDUP(CL703+MAX(CM703,2*(J703/IF(CH703&gt;0,CH703,MAX(0.1,N(Cockpit!$I$6)))-CL703)),0)</f>
        <v>1</v>
      </c>
      <c r="AX703" s="63" t="n">
        <f aca="false">IF(AT703&gt;0,J703/AT703,-1)</f>
        <v>0</v>
      </c>
      <c r="AY703" s="63" t="n">
        <f aca="false">IF(AND(OR(CG703="L1",CG703="L23",CG703="LIFT"),AT703&gt;0),SUMIFS($AT$7:$AT$1843,$CG$7:$CG$1843,CG703,$AX$7:$AX$1843,"&gt;"&amp;AX703)+SUMIFS($AT$7:$AT$1843,$CG$7:$CG$1843,CG703,$AX$7:$AX$1843,AX703,$BX$7:$BX$1843,"&lt;="&amp;BX703),"")</f>
        <v>34052.2046703297</v>
      </c>
      <c r="AZ703" s="70" t="n">
        <f aca="false">IF(AY703="",0,MAX(0,MIN(1,(IF(CG703="L1",Parameter!$H$5,IF(CG703="L23",Parameter!$H$6+Parameter!$H$7,Parameter!$H$5+Parameter!$H$6+Parameter!$H$7))-(AY703-AT703))/AT703)))</f>
        <v>1</v>
      </c>
      <c r="BA703" s="62" t="n">
        <f aca="false">IF(LEFT(Cockpit!$O$5,1)="A",H703,IF(Parameter!$E$30="MAX-Bestand",IF(CI703=1,CJ703,IF(LEFT(Cockpit!$O$5,1)="B",BG703,MAX(BG703,H703))),ROUNDUP(BE703,0)))</f>
        <v>1</v>
      </c>
      <c r="BB703" s="62" t="n">
        <f aca="false">IF(CA703=1,0,ROUNDUP(BA703/BZ703,0))</f>
        <v>1</v>
      </c>
      <c r="BC703" s="64" t="n">
        <f aca="false">IF(CR703&gt;0,CR703*MAX(1,BA703/X703),IF(CA703=1,IF(BA703&lt;=0,0,CE703*MAX(1,IF(H703&gt;0,BA703/H703,1))),IF(R703&gt;0,BB703/R703,0))/MAX(0.1,N(Parameter!$M$21)))</f>
        <v>0.0833333333333333</v>
      </c>
      <c r="BD703" s="62" t="n">
        <f aca="false">BC703*CC703</f>
        <v>12.0833333333333</v>
      </c>
      <c r="BE703" s="63" t="n">
        <f aca="false">IF(LEFT(Cockpit!$O$5,1)="A",H703,IF(CI703=1,(CL703+CJ703)/2,IF(LEFT(Cockpit!$O$5,1)="B",(CL703+BG703)/2,MAX((CL703+BG703)/2,H703))))</f>
        <v>0.5</v>
      </c>
      <c r="BF703" s="62" t="n">
        <f aca="false">BE703*G703</f>
        <v>13.6</v>
      </c>
      <c r="BG703" s="62" t="n">
        <f aca="false">ROUNDUP(CL703+MAX(CM703,2*(J703/IF(CH703&gt;0,CH703,MAX(0.1,N(Cockpit!$O$6)))-CL703)),0)</f>
        <v>1</v>
      </c>
      <c r="BH703" s="63" t="n">
        <f aca="false">IF(BD703&gt;0,J703/BD703,-1)</f>
        <v>0</v>
      </c>
      <c r="BI703" s="63" t="n">
        <f aca="false">IF(AND(OR(CG703="L1",CG703="L23",CG703="LIFT"),BD703&gt;0),SUMIFS($BD$7:$BD$1843,$CG$7:$CG$1843,CG703,$BH$7:$BH$1843,"&gt;"&amp;BH703)+SUMIFS($BD$7:$BD$1843,$CG$7:$CG$1843,CG703,$BH$7:$BH$1843,BH703,$BX$7:$BX$1843,"&lt;="&amp;BX703),"")</f>
        <v>28116.3336747998</v>
      </c>
      <c r="BJ703" s="70" t="n">
        <f aca="false">IF(BI703="",0,MAX(0,MIN(1,(IF(CG703="L1",Parameter!$H$5,IF(CG703="L23",Parameter!$H$6+Parameter!$H$7,Parameter!$H$5+Parameter!$H$6+Parameter!$H$7))-(BI703-BD703))/BD703)))</f>
        <v>1</v>
      </c>
      <c r="BK703" s="60" t="str">
        <f aca="false">IF(AJ703&lt;=0,"",IF(CG703="Aussen","Aussenlager",IF(CG703="-","Nicht im Lift",IF(AP703&gt;=1,"Lift",IF(AP703&lt;=0,"Aussenlager","teilweise")))))</f>
        <v>Lift</v>
      </c>
      <c r="BL703" s="60" t="str">
        <f aca="false">IF(AT703&lt;=0,"",IF(CG703="Aussen","Aussenlager",IF(CG703="-","Nicht im Lift",IF(AZ703&gt;=1,"Lift",IF(AZ703&lt;=0,"Aussenlager","teilweise")))))</f>
        <v>Lift</v>
      </c>
      <c r="BM703" s="60" t="str">
        <f aca="false">IF(BD703&lt;=0,"",IF(CG703="Aussen","Aussenlager",IF(CG703="-","Nicht im Lift",IF(BJ703&gt;=1,"Lift",IF(BJ703&lt;=0,"Aussenlager","teilweise")))))</f>
        <v>Lift</v>
      </c>
      <c r="BN703" s="60" t="str">
        <f aca="false">IF(A703="","",IF(BW703=1,"Neu; ","")&amp;IF(AND(BW703=0,BR703&lt;0),"negativer Bestand (Export "&amp;BR703&amp;"); ","")&amp;IF(J703&lt;=0,"Kein Verbrauch; ","")&amp;IF(CR703&gt;0,"Lift "&amp;W703&amp;" lt. Liftbericht (Fach "&amp;X703&amp;" Stk); ",IF(CB703=1,"Gebinde geschätzt ("&amp;T703&amp;"); ",IF(CA703=1,"Lose – Tablare geschätzt; ","")))&amp;IF(H703&gt;AW703,"Überbestand "&amp;ROUND(H703-AW703,0)&amp;" Stk / CHF "&amp;ROUND((H703-AW703)*G703,0)&amp;"; ","")&amp;IF(AND(CI703=1,CJ703&lt;CK703),"MAX &lt; MB+LG; ","")&amp;IF(AND(CQ703&gt;0,CP703*10&gt;CQ703),"zu hoch für Tablar; ","")&amp;IF(AND(BW703=0,OR(CI703=1,AB703&lt;&gt;"",U703&lt;&gt;"",V703&lt;&gt;"",AC703&lt;&gt;"")),"manuell übersteuert; ","")&amp;IF(AND(CA703=0,R703=0),"Gebinde unbekannt / Stellmass fehlt; ","")&amp;IF(AND(CA703=0,N(V703)&lt;=0,N(Q703)&lt;=0),"Menge pro Gebinde fehlt (Ist = 1 Gebinde); ","")&amp;BV703)</f>
        <v>Kein Verbrauch; Gebinde geschätzt (Mittel); Überbestand 13 Stk / CHF 354; Menge pro Gebinde fehlt (Ist = 1 Gebinde); Neu; gehört nicht ins KTL</v>
      </c>
      <c r="BO703" s="60"/>
      <c r="BP703" s="60"/>
      <c r="BQ703" s="67"/>
      <c r="BR703" s="62" t="n">
        <v>0</v>
      </c>
      <c r="BS703" s="62" t="n">
        <v>14</v>
      </c>
      <c r="BT703" s="61" t="n">
        <v>0</v>
      </c>
      <c r="BU703" s="62" t="n">
        <v>0</v>
      </c>
      <c r="BV703" s="60" t="s">
        <v>1447</v>
      </c>
      <c r="BW703" s="65" t="n">
        <v>0</v>
      </c>
      <c r="BX703" s="65" t="n">
        <v>703</v>
      </c>
      <c r="BY703" s="60" t="str">
        <f aca="false">IF(U703&lt;&gt;"",UPPER(TRIM(U703)),IF(CB703=1,UPPER(VLOOKUP(T703,Parameter!$I$27:$K$29,2,0)),IF(P703="","LOSE",P703)))</f>
        <v>S61</v>
      </c>
      <c r="BZ703" s="62" t="n">
        <f aca="false">IF(BY703="LOSE",1,IF(N(V703)&gt;0,V703,IF(CB703=1,MAX(1,N(VLOOKUP(T703,Parameter!$I$27:$K$29,3,0)),H703,N(N703)),IF(N(Q703)&gt;0,Q703,MAX(1,H703)))))</f>
        <v>14</v>
      </c>
      <c r="CA703" s="65" t="n">
        <f aca="false">IF(BY703="LOSE",1,0)</f>
        <v>0</v>
      </c>
      <c r="CB703" s="65" t="n">
        <f aca="false">IF(AND(U703="",OR(P703="",P703="LOSE"),T703&lt;&gt;"",N(S703)&lt;=0,ISNUMBER(MATCH(T703,Parameter!$I$27:$I$29,0))),1,0)</f>
        <v>1</v>
      </c>
      <c r="CC703" s="65" t="n">
        <f aca="false">IF(CR703&gt;0,INDEX(Parameter!$H$5:$H$7,W703)/INDEX(Parameter!$E$5:$E$7,W703),IF(AND(CA703=0,N(IFERROR(VLOOKUP(BY703,'Gebinde-Kategorie'!$A$5:$N$45,14,0),0))&gt;0),VLOOKUP(BY703,'Gebinde-Kategorie'!$A$5:$N$45,14,0)*10+Parameter!$M$23,Parameter!$M$24))</f>
        <v>145</v>
      </c>
      <c r="CD703" s="60" t="str">
        <f aca="false">IF(AND(Parameter!$B$19="Ja",E703&lt;&gt;"",ISNUMBER(MATCH(E703,Parameter!$I$35:$I$52,0))),VLOOKUP(E703,Parameter!$I$35:$J$52,2,0),IFERROR(VLOOKUP(D703,Parameter!$A$35:$C$64,2,0),"Nein"))</f>
        <v>2+3</v>
      </c>
      <c r="CE703" s="64" t="n">
        <f aca="false">IF(CA703=0,0,IF(N(S703)&gt;0,S703,IFERROR(VLOOKUP(D703,Parameter!$A$35:$C$64,3,0)+0,0)))</f>
        <v>0</v>
      </c>
      <c r="CF703" s="60" t="n">
        <f aca="false">IF(AB703&lt;&gt;"",AB703,AA703)</f>
        <v>3</v>
      </c>
      <c r="CG703" s="60" t="str">
        <f aca="false">IF(OR(CF703=1,CF703=2,CF703=3),IF(Parameter!$E$27="Ja","LIFT",IF(CF703=1,"L1","L23")),IF(CF703="Aussen","Aussen","-"))</f>
        <v>LIFT</v>
      </c>
      <c r="CH703" s="71" t="n">
        <f aca="false">IF(N(AC703)&gt;0,AC703,0)</f>
        <v>0</v>
      </c>
      <c r="CI703" s="65" t="n">
        <f aca="false">IF(ISNUMBER(AF703),1,0)</f>
        <v>0</v>
      </c>
      <c r="CJ703" s="62" t="n">
        <f aca="false">N(AF703)</f>
        <v>0</v>
      </c>
      <c r="CK703" s="62" t="n">
        <f aca="false">N(M703)+N(N703)</f>
        <v>1</v>
      </c>
      <c r="CL703" s="62" t="n">
        <f aca="false">N(M703)</f>
        <v>0</v>
      </c>
      <c r="CM703" s="62" t="n">
        <f aca="false">N(N703)</f>
        <v>1</v>
      </c>
      <c r="CN703" s="62" t="n">
        <f aca="false">ROUNDUP(H703/BZ703,0)</f>
        <v>1</v>
      </c>
      <c r="CO703" s="62" t="n">
        <f aca="false">ROUNDUP(CJ703/BZ703,0)</f>
        <v>0</v>
      </c>
      <c r="CP703" s="65" t="n">
        <f aca="false">IF(CA703=1,0,IFERROR(VLOOKUP(BY703,'Gebinde-Kategorie'!$A$5:$N$45,5,0)+0,0))</f>
        <v>11</v>
      </c>
      <c r="CQ703" s="65" t="n">
        <f aca="false">IFERROR(IF(OR(CF703=1,CF703=2,CF703=3),N(INDEX(Parameter!$I$5:$I$7,CF703)),0),0)</f>
        <v>0</v>
      </c>
      <c r="CR703" s="64" t="n">
        <f aca="false">IF(AND(Parameter!$B$21="Ja",ISNUMBER(W703),N(X703)&gt;0),IFERROR(N(INDEX(Parameter!$L$5:$L$7,W703))*INDEX(Parameter!$E$5:$E$7,W703)*X703/SUMIFS($X$7:$X$1843,$W$7:$W$1843,W703),0),0)</f>
        <v>0</v>
      </c>
      <c r="CS703" s="62" t="n">
        <f aca="false">IF(AND(OR(CG703="L1",CG703="L23",CG703="LIFT"),H703&gt;0),CC703*IF(CR703&gt;0,CR703*MAX(1,H703/X703),IF(CA703=1,CE703,IF(R703&gt;0,CN703/R703,0))/MAX(0.1,N(Parameter!$M$21))),"")</f>
        <v>12.0833333333333</v>
      </c>
      <c r="CT703" s="64" t="n">
        <f aca="false">IF(CS703="","",J703/H703)</f>
        <v>0</v>
      </c>
      <c r="CU703" s="62" t="n">
        <f aca="false">IF(CS703="","",H703*G703)</f>
        <v>380.8</v>
      </c>
      <c r="CV703" s="63" t="n">
        <f aca="false">IF(CS703="","",(CL703+ROUNDUP(CL703+MAX(CM703,2*(J703/MAX(0.1,N(Einkauf!$C$6))-CL703)),0))/2)</f>
        <v>0.5</v>
      </c>
      <c r="CW703" s="62" t="n">
        <f aca="false">IF(CS703="","",MAX(0,H703-CV703)*G703)</f>
        <v>367.2</v>
      </c>
      <c r="CX703" s="62" t="n">
        <f aca="false">IF(CS703="","",CS703*MAX(0,1-CV703/H703))</f>
        <v>11.6517857142857</v>
      </c>
      <c r="CY703" s="64" t="n">
        <f aca="false">IF(CS703="","",PERCENTRANK($CS$7:$CS$1843,CS703)+PERCENTRANK($CU$7:$CU$1843,CU703)+1-PERCENTRANK($CT$7:$CT$1843,CT703))</f>
        <v>2.132</v>
      </c>
      <c r="CZ703" s="72" t="n">
        <f aca="false">IF(CS703="","",CHOOSE(MATCH(Einkauf!$C$5,Parameter!$G$23:$G$27,0),CY703,CS703,CU703,-CT703,CW703)+ROW()/1000000000)</f>
        <v>2.132000703</v>
      </c>
    </row>
    <row r="704" customFormat="false" ht="15" hidden="false" customHeight="false" outlineLevel="0" collapsed="false">
      <c r="A704" s="60" t="s">
        <v>1448</v>
      </c>
      <c r="B704" s="60" t="s">
        <v>1449</v>
      </c>
      <c r="C704" s="60" t="s">
        <v>206</v>
      </c>
      <c r="D704" s="60" t="s">
        <v>215</v>
      </c>
      <c r="E704" s="60" t="s">
        <v>1450</v>
      </c>
      <c r="F704" s="60" t="s">
        <v>260</v>
      </c>
      <c r="G704" s="61" t="n">
        <v>629.85</v>
      </c>
      <c r="H704" s="62" t="n">
        <f aca="false">MAX(0,IF(AND(Parameter!$B$21="Ja",ISNUMBER(Y704)),Y704,IF(Parameter!$B$20="Jahresanfang 2025 + Export",BS704+BR704,BR704)))</f>
        <v>0</v>
      </c>
      <c r="I704" s="62" t="n">
        <f aca="false">H704*G704</f>
        <v>0</v>
      </c>
      <c r="J704" s="62" t="n">
        <f aca="false">BU704*Parameter!$B$18</f>
        <v>0</v>
      </c>
      <c r="K704" s="63" t="n">
        <v>0</v>
      </c>
      <c r="L704" s="64" t="n">
        <v>0</v>
      </c>
      <c r="M704" s="62" t="n">
        <v>0</v>
      </c>
      <c r="N704" s="62" t="n">
        <v>1</v>
      </c>
      <c r="O704" s="65" t="n">
        <v>14</v>
      </c>
      <c r="P704" s="60" t="s">
        <v>210</v>
      </c>
      <c r="Q704" s="62"/>
      <c r="R704" s="65" t="n">
        <f aca="false">IF(CA704=1,0,IFERROR(VLOOKUP(BY704,'Gebinde-Kategorie'!$A$5:$N$45,13,0)+0,0))</f>
        <v>4</v>
      </c>
      <c r="S704" s="66"/>
      <c r="T704" s="67" t="s">
        <v>231</v>
      </c>
      <c r="U704" s="67"/>
      <c r="V704" s="67"/>
      <c r="W704" s="60"/>
      <c r="X704" s="62"/>
      <c r="Y704" s="62"/>
      <c r="Z704" s="60"/>
      <c r="AA704" s="60" t="str">
        <f aca="false">IF(A704="","",IF(AND(Parameter!$B$21="Ja",ISNUMBER(W704)),W704,IF(AND(Parameter!$E$27="Ja",ISNUMBER(Z704),CD704&lt;&gt;"Nein"),Z704,IF(CD704="2+3",IF(ISNUMBER(SEARCH("grosser Artikel",BV704)),2,IFERROR(VLOOKUP(BY704,Parameter!$F$35:$G$64,2,0),2)),IF(OR(CD704="Nein",CD704=""),"-",CD704)))))</f>
        <v>-</v>
      </c>
      <c r="AB704" s="67"/>
      <c r="AC704" s="68"/>
      <c r="AD704" s="62" t="n">
        <f aca="false">AW704</f>
        <v>1</v>
      </c>
      <c r="AE704" s="62" t="n">
        <f aca="false">MAX(AW704,H704)</f>
        <v>1</v>
      </c>
      <c r="AF704" s="69"/>
      <c r="AG704" s="62" t="n">
        <f aca="false">IF(LEFT(Cockpit!$C$5,1)="A",H704,IF(Parameter!$E$30="MAX-Bestand",IF(CI704=1,CJ704,IF(LEFT(Cockpit!$C$5,1)="B",AM704,MAX(AM704,H704))),ROUNDUP(AK704,0)))</f>
        <v>0</v>
      </c>
      <c r="AH704" s="62" t="n">
        <f aca="false">IF(CA704=1,0,ROUNDUP(AG704/BZ704,0))</f>
        <v>0</v>
      </c>
      <c r="AI704" s="64" t="n">
        <f aca="false">IF(CR704&gt;0,CR704*MAX(1,AG704/X704),IF(CA704=1,IF(AG704&lt;=0,0,CE704*MAX(1,IF(H704&gt;0,AG704/H704,1))),IF(R704&gt;0,AH704/R704,0))/MAX(0.1,N(Parameter!$M$21)))</f>
        <v>0</v>
      </c>
      <c r="AJ704" s="62" t="n">
        <f aca="false">AI704*CC704</f>
        <v>0</v>
      </c>
      <c r="AK704" s="63" t="n">
        <f aca="false">IF(LEFT(Cockpit!$C$5,1)="A",H704,IF(CI704=1,(CL704+CJ704)/2,IF(LEFT(Cockpit!$C$5,1)="B",(CL704+AM704)/2,MAX((CL704+AM704)/2,H704))))</f>
        <v>0</v>
      </c>
      <c r="AL704" s="62" t="n">
        <f aca="false">AK704*G704</f>
        <v>0</v>
      </c>
      <c r="AM704" s="62" t="n">
        <f aca="false">ROUNDUP(CL704+MAX(CM704,2*(J704/IF(CH704&gt;0,CH704,MAX(0.1,N(Cockpit!$C$6)))-CL704)),0)</f>
        <v>1</v>
      </c>
      <c r="AN704" s="63" t="n">
        <f aca="false">IF(AJ704&gt;0,J704/AJ704,-1)</f>
        <v>-1</v>
      </c>
      <c r="AO704" s="63" t="str">
        <f aca="false">IF(AND(OR(CG704="L1",CG704="L23",CG704="LIFT"),AJ704&gt;0),SUMIFS($AJ$7:$AJ$1843,$CG$7:$CG$1843,CG704,$AN$7:$AN$1843,"&gt;"&amp;AN704)+SUMIFS($AJ$7:$AJ$1843,$CG$7:$CG$1843,CG704,$AN$7:$AN$1843,AN704,$BX$7:$BX$1843,"&lt;="&amp;BX704),"")</f>
        <v/>
      </c>
      <c r="AP704" s="70" t="n">
        <f aca="false">IF(AO704="",0,MAX(0,MIN(1,(IF(CG704="L1",Parameter!$H$5,IF(CG704="L23",Parameter!$H$6+Parameter!$H$7,Parameter!$H$5+Parameter!$H$6+Parameter!$H$7))-(AO704-AJ704))/AJ704)))</f>
        <v>0</v>
      </c>
      <c r="AQ704" s="62" t="n">
        <f aca="false">IF(LEFT(Cockpit!$I$5,1)="A",H704,IF(Parameter!$E$30="MAX-Bestand",IF(CI704=1,CJ704,IF(LEFT(Cockpit!$I$5,1)="B",AW704,MAX(AW704,H704))),ROUNDUP(AU704,0)))</f>
        <v>1</v>
      </c>
      <c r="AR704" s="62" t="n">
        <f aca="false">IF(CA704=1,0,ROUNDUP(AQ704/BZ704,0))</f>
        <v>1</v>
      </c>
      <c r="AS704" s="64" t="n">
        <f aca="false">IF(CR704&gt;0,CR704*MAX(1,AQ704/X704),IF(CA704=1,IF(AQ704&lt;=0,0,CE704*MAX(1,IF(H704&gt;0,AQ704/H704,1))),IF(R704&gt;0,AR704/R704,0))/MAX(0.1,N(Parameter!$M$21)))</f>
        <v>0.25</v>
      </c>
      <c r="AT704" s="62" t="n">
        <f aca="false">AS704*CC704</f>
        <v>58.75</v>
      </c>
      <c r="AU704" s="63" t="n">
        <f aca="false">IF(LEFT(Cockpit!$I$5,1)="A",H704,IF(CI704=1,(CL704+CJ704)/2,IF(LEFT(Cockpit!$I$5,1)="B",(CL704+AW704)/2,MAX((CL704+AW704)/2,H704))))</f>
        <v>0.5</v>
      </c>
      <c r="AV704" s="62" t="n">
        <f aca="false">AU704*G704</f>
        <v>314.925</v>
      </c>
      <c r="AW704" s="62" t="n">
        <f aca="false">ROUNDUP(CL704+MAX(CM704,2*(J704/IF(CH704&gt;0,CH704,MAX(0.1,N(Cockpit!$I$6)))-CL704)),0)</f>
        <v>1</v>
      </c>
      <c r="AX704" s="63" t="n">
        <f aca="false">IF(AT704&gt;0,J704/AT704,-1)</f>
        <v>0</v>
      </c>
      <c r="AY704" s="63" t="str">
        <f aca="false">IF(AND(OR(CG704="L1",CG704="L23",CG704="LIFT"),AT704&gt;0),SUMIFS($AT$7:$AT$1843,$CG$7:$CG$1843,CG704,$AX$7:$AX$1843,"&gt;"&amp;AX704)+SUMIFS($AT$7:$AT$1843,$CG$7:$CG$1843,CG704,$AX$7:$AX$1843,AX704,$BX$7:$BX$1843,"&lt;="&amp;BX704),"")</f>
        <v/>
      </c>
      <c r="AZ704" s="70" t="n">
        <f aca="false">IF(AY704="",0,MAX(0,MIN(1,(IF(CG704="L1",Parameter!$H$5,IF(CG704="L23",Parameter!$H$6+Parameter!$H$7,Parameter!$H$5+Parameter!$H$6+Parameter!$H$7))-(AY704-AT704))/AT704)))</f>
        <v>0</v>
      </c>
      <c r="BA704" s="62" t="n">
        <f aca="false">IF(LEFT(Cockpit!$O$5,1)="A",H704,IF(Parameter!$E$30="MAX-Bestand",IF(CI704=1,CJ704,IF(LEFT(Cockpit!$O$5,1)="B",BG704,MAX(BG704,H704))),ROUNDUP(BE704,0)))</f>
        <v>1</v>
      </c>
      <c r="BB704" s="62" t="n">
        <f aca="false">IF(CA704=1,0,ROUNDUP(BA704/BZ704,0))</f>
        <v>1</v>
      </c>
      <c r="BC704" s="64" t="n">
        <f aca="false">IF(CR704&gt;0,CR704*MAX(1,BA704/X704),IF(CA704=1,IF(BA704&lt;=0,0,CE704*MAX(1,IF(H704&gt;0,BA704/H704,1))),IF(R704&gt;0,BB704/R704,0))/MAX(0.1,N(Parameter!$M$21)))</f>
        <v>0.25</v>
      </c>
      <c r="BD704" s="62" t="n">
        <f aca="false">BC704*CC704</f>
        <v>58.75</v>
      </c>
      <c r="BE704" s="63" t="n">
        <f aca="false">IF(LEFT(Cockpit!$O$5,1)="A",H704,IF(CI704=1,(CL704+CJ704)/2,IF(LEFT(Cockpit!$O$5,1)="B",(CL704+BG704)/2,MAX((CL704+BG704)/2,H704))))</f>
        <v>0.5</v>
      </c>
      <c r="BF704" s="62" t="n">
        <f aca="false">BE704*G704</f>
        <v>314.925</v>
      </c>
      <c r="BG704" s="62" t="n">
        <f aca="false">ROUNDUP(CL704+MAX(CM704,2*(J704/IF(CH704&gt;0,CH704,MAX(0.1,N(Cockpit!$O$6)))-CL704)),0)</f>
        <v>1</v>
      </c>
      <c r="BH704" s="63" t="n">
        <f aca="false">IF(BD704&gt;0,J704/BD704,-1)</f>
        <v>0</v>
      </c>
      <c r="BI704" s="63" t="str">
        <f aca="false">IF(AND(OR(CG704="L1",CG704="L23",CG704="LIFT"),BD704&gt;0),SUMIFS($BD$7:$BD$1843,$CG$7:$CG$1843,CG704,$BH$7:$BH$1843,"&gt;"&amp;BH704)+SUMIFS($BD$7:$BD$1843,$CG$7:$CG$1843,CG704,$BH$7:$BH$1843,BH704,$BX$7:$BX$1843,"&lt;="&amp;BX704),"")</f>
        <v/>
      </c>
      <c r="BJ704" s="70" t="n">
        <f aca="false">IF(BI704="",0,MAX(0,MIN(1,(IF(CG704="L1",Parameter!$H$5,IF(CG704="L23",Parameter!$H$6+Parameter!$H$7,Parameter!$H$5+Parameter!$H$6+Parameter!$H$7))-(BI704-BD704))/BD704)))</f>
        <v>0</v>
      </c>
      <c r="BK704" s="60" t="str">
        <f aca="false">IF(AJ704&lt;=0,"",IF(CG704="Aussen","Aussenlager",IF(CG704="-","Nicht im Lift",IF(AP704&gt;=1,"Lift",IF(AP704&lt;=0,"Aussenlager","teilweise")))))</f>
        <v/>
      </c>
      <c r="BL704" s="60" t="str">
        <f aca="false">IF(AT704&lt;=0,"",IF(CG704="Aussen","Aussenlager",IF(CG704="-","Nicht im Lift",IF(AZ704&gt;=1,"Lift",IF(AZ704&lt;=0,"Aussenlager","teilweise")))))</f>
        <v>Nicht im Lift</v>
      </c>
      <c r="BM704" s="60" t="str">
        <f aca="false">IF(BD704&lt;=0,"",IF(CG704="Aussen","Aussenlager",IF(CG704="-","Nicht im Lift",IF(BJ704&gt;=1,"Lift",IF(BJ704&lt;=0,"Aussenlager","teilweise")))))</f>
        <v>Nicht im Lift</v>
      </c>
      <c r="BN704" s="60" t="str">
        <f aca="false">IF(A704="","",IF(BW704=1,"Neu; ","")&amp;IF(AND(BW704=0,BR704&lt;0),"negativer Bestand (Export "&amp;BR704&amp;"); ","")&amp;IF(J704&lt;=0,"Kein Verbrauch; ","")&amp;IF(CR704&gt;0,"Lift "&amp;W704&amp;" lt. Liftbericht (Fach "&amp;X704&amp;" Stk); ",IF(CB704=1,"Gebinde geschätzt ("&amp;T704&amp;"); ",IF(CA704=1,"Lose – Tablare geschätzt; ","")))&amp;IF(H704&gt;AW704,"Überbestand "&amp;ROUND(H704-AW704,0)&amp;" Stk / CHF "&amp;ROUND((H704-AW704)*G704,0)&amp;"; ","")&amp;IF(AND(CI704=1,CJ704&lt;CK704),"MAX &lt; MB+LG; ","")&amp;IF(AND(CQ704&gt;0,CP704*10&gt;CQ704),"zu hoch für Tablar; ","")&amp;IF(AND(BW704=0,OR(CI704=1,AB704&lt;&gt;"",U704&lt;&gt;"",V704&lt;&gt;"",AC704&lt;&gt;"")),"manuell übersteuert; ","")&amp;IF(AND(CA704=0,R704=0),"Gebinde unbekannt / Stellmass fehlt; ","")&amp;IF(AND(CA704=0,N(V704)&lt;=0,N(Q704)&lt;=0),"Menge pro Gebinde fehlt (Ist = 1 Gebinde); ","")&amp;BV704)</f>
        <v>Kein Verbrauch; Gebinde geschätzt (Gross); Menge pro Gebinde fehlt (Ist = 1 Gebinde); </v>
      </c>
      <c r="BO704" s="60"/>
      <c r="BP704" s="60"/>
      <c r="BQ704" s="67"/>
      <c r="BR704" s="62" t="n">
        <v>0</v>
      </c>
      <c r="BS704" s="62" t="n">
        <v>0</v>
      </c>
      <c r="BT704" s="61" t="n">
        <v>0</v>
      </c>
      <c r="BU704" s="62" t="n">
        <v>0</v>
      </c>
      <c r="BV704" s="60"/>
      <c r="BW704" s="65" t="n">
        <v>0</v>
      </c>
      <c r="BX704" s="65" t="n">
        <v>704</v>
      </c>
      <c r="BY704" s="60" t="str">
        <f aca="false">IF(U704&lt;&gt;"",UPPER(TRIM(U704)),IF(CB704=1,UPPER(VLOOKUP(T704,Parameter!$I$27:$K$29,2,0)),IF(P704="","LOSE",P704)))</f>
        <v>S81</v>
      </c>
      <c r="BZ704" s="62" t="n">
        <f aca="false">IF(BY704="LOSE",1,IF(N(V704)&gt;0,V704,IF(CB704=1,MAX(1,N(VLOOKUP(T704,Parameter!$I$27:$K$29,3,0)),H704,N(N704)),IF(N(Q704)&gt;0,Q704,MAX(1,H704)))))</f>
        <v>2</v>
      </c>
      <c r="CA704" s="65" t="n">
        <f aca="false">IF(BY704="LOSE",1,0)</f>
        <v>0</v>
      </c>
      <c r="CB704" s="65" t="n">
        <f aca="false">IF(AND(U704="",OR(P704="",P704="LOSE"),T704&lt;&gt;"",N(S704)&lt;=0,ISNUMBER(MATCH(T704,Parameter!$I$27:$I$29,0))),1,0)</f>
        <v>1</v>
      </c>
      <c r="CC704" s="65" t="n">
        <f aca="false">IF(CR704&gt;0,INDEX(Parameter!$H$5:$H$7,W704)/INDEX(Parameter!$E$5:$E$7,W704),IF(AND(CA704=0,N(IFERROR(VLOOKUP(BY704,'Gebinde-Kategorie'!$A$5:$N$45,14,0),0))&gt;0),VLOOKUP(BY704,'Gebinde-Kategorie'!$A$5:$N$45,14,0)*10+Parameter!$M$23,Parameter!$M$24))</f>
        <v>235</v>
      </c>
      <c r="CD704" s="60" t="str">
        <f aca="false">IF(AND(Parameter!$B$19="Ja",E704&lt;&gt;"",ISNUMBER(MATCH(E704,Parameter!$I$35:$I$52,0))),VLOOKUP(E704,Parameter!$I$35:$J$52,2,0),IFERROR(VLOOKUP(D704,Parameter!$A$35:$C$64,2,0),"Nein"))</f>
        <v>Nein</v>
      </c>
      <c r="CE704" s="64" t="n">
        <f aca="false">IF(CA704=0,0,IF(N(S704)&gt;0,S704,IFERROR(VLOOKUP(D704,Parameter!$A$35:$C$64,3,0)+0,0)))</f>
        <v>0</v>
      </c>
      <c r="CF704" s="60" t="str">
        <f aca="false">IF(AB704&lt;&gt;"",AB704,AA704)</f>
        <v>-</v>
      </c>
      <c r="CG704" s="60" t="str">
        <f aca="false">IF(OR(CF704=1,CF704=2,CF704=3),IF(Parameter!$E$27="Ja","LIFT",IF(CF704=1,"L1","L23")),IF(CF704="Aussen","Aussen","-"))</f>
        <v>-</v>
      </c>
      <c r="CH704" s="71" t="n">
        <f aca="false">IF(N(AC704)&gt;0,AC704,0)</f>
        <v>0</v>
      </c>
      <c r="CI704" s="65" t="n">
        <f aca="false">IF(ISNUMBER(AF704),1,0)</f>
        <v>0</v>
      </c>
      <c r="CJ704" s="62" t="n">
        <f aca="false">N(AF704)</f>
        <v>0</v>
      </c>
      <c r="CK704" s="62" t="n">
        <f aca="false">N(M704)+N(N704)</f>
        <v>1</v>
      </c>
      <c r="CL704" s="62" t="n">
        <f aca="false">N(M704)</f>
        <v>0</v>
      </c>
      <c r="CM704" s="62" t="n">
        <f aca="false">N(N704)</f>
        <v>1</v>
      </c>
      <c r="CN704" s="62" t="n">
        <f aca="false">ROUNDUP(H704/BZ704,0)</f>
        <v>0</v>
      </c>
      <c r="CO704" s="62" t="n">
        <f aca="false">ROUNDUP(CJ704/BZ704,0)</f>
        <v>0</v>
      </c>
      <c r="CP704" s="65" t="n">
        <f aca="false">IF(CA704=1,0,IFERROR(VLOOKUP(BY704,'Gebinde-Kategorie'!$A$5:$N$45,5,0)+0,0))</f>
        <v>20</v>
      </c>
      <c r="CQ704" s="65" t="n">
        <f aca="false">IFERROR(IF(OR(CF704=1,CF704=2,CF704=3),N(INDEX(Parameter!$I$5:$I$7,CF704)),0),0)</f>
        <v>0</v>
      </c>
      <c r="CR704" s="64" t="n">
        <f aca="false">IF(AND(Parameter!$B$21="Ja",ISNUMBER(W704),N(X704)&gt;0),IFERROR(N(INDEX(Parameter!$L$5:$L$7,W704))*INDEX(Parameter!$E$5:$E$7,W704)*X704/SUMIFS($X$7:$X$1843,$W$7:$W$1843,W704),0),0)</f>
        <v>0</v>
      </c>
      <c r="CS704" s="62" t="str">
        <f aca="false">IF(AND(OR(CG704="L1",CG704="L23",CG704="LIFT"),H704&gt;0),CC704*IF(CR704&gt;0,CR704*MAX(1,H704/X704),IF(CA704=1,CE704,IF(R704&gt;0,CN704/R704,0))/MAX(0.1,N(Parameter!$M$21))),"")</f>
        <v/>
      </c>
      <c r="CT704" s="64" t="str">
        <f aca="false">IF(CS704="","",J704/H704)</f>
        <v/>
      </c>
      <c r="CU704" s="62" t="str">
        <f aca="false">IF(CS704="","",H704*G704)</f>
        <v/>
      </c>
      <c r="CV704" s="63" t="str">
        <f aca="false">IF(CS704="","",(CL704+ROUNDUP(CL704+MAX(CM704,2*(J704/MAX(0.1,N(Einkauf!$C$6))-CL704)),0))/2)</f>
        <v/>
      </c>
      <c r="CW704" s="62" t="str">
        <f aca="false">IF(CS704="","",MAX(0,H704-CV704)*G704)</f>
        <v/>
      </c>
      <c r="CX704" s="62" t="str">
        <f aca="false">IF(CS704="","",CS704*MAX(0,1-CV704/H704))</f>
        <v/>
      </c>
      <c r="CY704" s="64" t="str">
        <f aca="false">IF(CS704="","",PERCENTRANK($CS$7:$CS$1843,CS704)+PERCENTRANK($CU$7:$CU$1843,CU704)+1-PERCENTRANK($CT$7:$CT$1843,CT704))</f>
        <v/>
      </c>
      <c r="CZ704" s="72" t="str">
        <f aca="false">IF(CS704="","",CHOOSE(MATCH(Einkauf!$C$5,Parameter!$G$23:$G$27,0),CY704,CS704,CU704,-CT704,CW704)+ROW()/1000000000)</f>
        <v/>
      </c>
    </row>
    <row r="705" customFormat="false" ht="15" hidden="false" customHeight="false" outlineLevel="0" collapsed="false">
      <c r="A705" s="60" t="s">
        <v>1451</v>
      </c>
      <c r="B705" s="60" t="s">
        <v>1452</v>
      </c>
      <c r="C705" s="60" t="s">
        <v>206</v>
      </c>
      <c r="D705" s="60" t="s">
        <v>1037</v>
      </c>
      <c r="E705" s="60" t="s">
        <v>1450</v>
      </c>
      <c r="F705" s="60" t="s">
        <v>260</v>
      </c>
      <c r="G705" s="61" t="n">
        <v>12657.45</v>
      </c>
      <c r="H705" s="62" t="n">
        <f aca="false">MAX(0,IF(AND(Parameter!$B$21="Ja",ISNUMBER(Y705)),Y705,IF(Parameter!$B$20="Jahresanfang 2025 + Export",BS705+BR705,BR705)))</f>
        <v>0</v>
      </c>
      <c r="I705" s="62" t="n">
        <f aca="false">H705*G705</f>
        <v>0</v>
      </c>
      <c r="J705" s="62" t="n">
        <f aca="false">BU705*Parameter!$B$18</f>
        <v>0</v>
      </c>
      <c r="K705" s="63" t="n">
        <v>1</v>
      </c>
      <c r="L705" s="64" t="n">
        <v>0</v>
      </c>
      <c r="M705" s="62" t="n">
        <v>0</v>
      </c>
      <c r="N705" s="62" t="n">
        <v>1</v>
      </c>
      <c r="O705" s="65" t="n">
        <v>35</v>
      </c>
      <c r="P705" s="60" t="s">
        <v>210</v>
      </c>
      <c r="Q705" s="62"/>
      <c r="R705" s="65" t="n">
        <f aca="false">IF(CA705=1,0,IFERROR(VLOOKUP(BY705,'Gebinde-Kategorie'!$A$5:$N$45,13,0)+0,0))</f>
        <v>0</v>
      </c>
      <c r="S705" s="66"/>
      <c r="T705" s="67"/>
      <c r="U705" s="67"/>
      <c r="V705" s="67"/>
      <c r="W705" s="60"/>
      <c r="X705" s="62"/>
      <c r="Y705" s="62"/>
      <c r="Z705" s="60"/>
      <c r="AA705" s="60" t="str">
        <f aca="false">IF(A705="","",IF(AND(Parameter!$B$21="Ja",ISNUMBER(W705)),W705,IF(AND(Parameter!$E$27="Ja",ISNUMBER(Z705),CD705&lt;&gt;"Nein"),Z705,IF(CD705="2+3",IF(ISNUMBER(SEARCH("grosser Artikel",BV705)),2,IFERROR(VLOOKUP(BY705,Parameter!$F$35:$G$64,2,0),2)),IF(OR(CD705="Nein",CD705=""),"-",CD705)))))</f>
        <v>-</v>
      </c>
      <c r="AB705" s="67"/>
      <c r="AC705" s="68"/>
      <c r="AD705" s="62" t="n">
        <f aca="false">AW705</f>
        <v>1</v>
      </c>
      <c r="AE705" s="62" t="n">
        <f aca="false">MAX(AW705,H705)</f>
        <v>1</v>
      </c>
      <c r="AF705" s="69"/>
      <c r="AG705" s="62" t="n">
        <f aca="false">IF(LEFT(Cockpit!$C$5,1)="A",H705,IF(Parameter!$E$30="MAX-Bestand",IF(CI705=1,CJ705,IF(LEFT(Cockpit!$C$5,1)="B",AM705,MAX(AM705,H705))),ROUNDUP(AK705,0)))</f>
        <v>0</v>
      </c>
      <c r="AH705" s="62" t="n">
        <f aca="false">IF(CA705=1,0,ROUNDUP(AG705/BZ705,0))</f>
        <v>0</v>
      </c>
      <c r="AI705" s="64" t="n">
        <f aca="false">IF(CR705&gt;0,CR705*MAX(1,AG705/X705),IF(CA705=1,IF(AG705&lt;=0,0,CE705*MAX(1,IF(H705&gt;0,AG705/H705,1))),IF(R705&gt;0,AH705/R705,0))/MAX(0.1,N(Parameter!$M$21)))</f>
        <v>0</v>
      </c>
      <c r="AJ705" s="62" t="n">
        <f aca="false">AI705*CC705</f>
        <v>0</v>
      </c>
      <c r="AK705" s="63" t="n">
        <f aca="false">IF(LEFT(Cockpit!$C$5,1)="A",H705,IF(CI705=1,(CL705+CJ705)/2,IF(LEFT(Cockpit!$C$5,1)="B",(CL705+AM705)/2,MAX((CL705+AM705)/2,H705))))</f>
        <v>0</v>
      </c>
      <c r="AL705" s="62" t="n">
        <f aca="false">AK705*G705</f>
        <v>0</v>
      </c>
      <c r="AM705" s="62" t="n">
        <f aca="false">ROUNDUP(CL705+MAX(CM705,2*(J705/IF(CH705&gt;0,CH705,MAX(0.1,N(Cockpit!$C$6)))-CL705)),0)</f>
        <v>1</v>
      </c>
      <c r="AN705" s="63" t="n">
        <f aca="false">IF(AJ705&gt;0,J705/AJ705,-1)</f>
        <v>-1</v>
      </c>
      <c r="AO705" s="63" t="str">
        <f aca="false">IF(AND(OR(CG705="L1",CG705="L23",CG705="LIFT"),AJ705&gt;0),SUMIFS($AJ$7:$AJ$1843,$CG$7:$CG$1843,CG705,$AN$7:$AN$1843,"&gt;"&amp;AN705)+SUMIFS($AJ$7:$AJ$1843,$CG$7:$CG$1843,CG705,$AN$7:$AN$1843,AN705,$BX$7:$BX$1843,"&lt;="&amp;BX705),"")</f>
        <v/>
      </c>
      <c r="AP705" s="70" t="n">
        <f aca="false">IF(AO705="",0,MAX(0,MIN(1,(IF(CG705="L1",Parameter!$H$5,IF(CG705="L23",Parameter!$H$6+Parameter!$H$7,Parameter!$H$5+Parameter!$H$6+Parameter!$H$7))-(AO705-AJ705))/AJ705)))</f>
        <v>0</v>
      </c>
      <c r="AQ705" s="62" t="n">
        <f aca="false">IF(LEFT(Cockpit!$I$5,1)="A",H705,IF(Parameter!$E$30="MAX-Bestand",IF(CI705=1,CJ705,IF(LEFT(Cockpit!$I$5,1)="B",AW705,MAX(AW705,H705))),ROUNDUP(AU705,0)))</f>
        <v>1</v>
      </c>
      <c r="AR705" s="62" t="n">
        <f aca="false">IF(CA705=1,0,ROUNDUP(AQ705/BZ705,0))</f>
        <v>0</v>
      </c>
      <c r="AS705" s="64" t="n">
        <f aca="false">IF(CR705&gt;0,CR705*MAX(1,AQ705/X705),IF(CA705=1,IF(AQ705&lt;=0,0,CE705*MAX(1,IF(H705&gt;0,AQ705/H705,1))),IF(R705&gt;0,AR705/R705,0))/MAX(0.1,N(Parameter!$M$21)))</f>
        <v>0.15</v>
      </c>
      <c r="AT705" s="62" t="n">
        <f aca="false">AS705*CC705</f>
        <v>35.25</v>
      </c>
      <c r="AU705" s="63" t="n">
        <f aca="false">IF(LEFT(Cockpit!$I$5,1)="A",H705,IF(CI705=1,(CL705+CJ705)/2,IF(LEFT(Cockpit!$I$5,1)="B",(CL705+AW705)/2,MAX((CL705+AW705)/2,H705))))</f>
        <v>0.5</v>
      </c>
      <c r="AV705" s="62" t="n">
        <f aca="false">AU705*G705</f>
        <v>6328.725</v>
      </c>
      <c r="AW705" s="62" t="n">
        <f aca="false">ROUNDUP(CL705+MAX(CM705,2*(J705/IF(CH705&gt;0,CH705,MAX(0.1,N(Cockpit!$I$6)))-CL705)),0)</f>
        <v>1</v>
      </c>
      <c r="AX705" s="63" t="n">
        <f aca="false">IF(AT705&gt;0,J705/AT705,-1)</f>
        <v>0</v>
      </c>
      <c r="AY705" s="63" t="str">
        <f aca="false">IF(AND(OR(CG705="L1",CG705="L23",CG705="LIFT"),AT705&gt;0),SUMIFS($AT$7:$AT$1843,$CG$7:$CG$1843,CG705,$AX$7:$AX$1843,"&gt;"&amp;AX705)+SUMIFS($AT$7:$AT$1843,$CG$7:$CG$1843,CG705,$AX$7:$AX$1843,AX705,$BX$7:$BX$1843,"&lt;="&amp;BX705),"")</f>
        <v/>
      </c>
      <c r="AZ705" s="70" t="n">
        <f aca="false">IF(AY705="",0,MAX(0,MIN(1,(IF(CG705="L1",Parameter!$H$5,IF(CG705="L23",Parameter!$H$6+Parameter!$H$7,Parameter!$H$5+Parameter!$H$6+Parameter!$H$7))-(AY705-AT705))/AT705)))</f>
        <v>0</v>
      </c>
      <c r="BA705" s="62" t="n">
        <f aca="false">IF(LEFT(Cockpit!$O$5,1)="A",H705,IF(Parameter!$E$30="MAX-Bestand",IF(CI705=1,CJ705,IF(LEFT(Cockpit!$O$5,1)="B",BG705,MAX(BG705,H705))),ROUNDUP(BE705,0)))</f>
        <v>1</v>
      </c>
      <c r="BB705" s="62" t="n">
        <f aca="false">IF(CA705=1,0,ROUNDUP(BA705/BZ705,0))</f>
        <v>0</v>
      </c>
      <c r="BC705" s="64" t="n">
        <f aca="false">IF(CR705&gt;0,CR705*MAX(1,BA705/X705),IF(CA705=1,IF(BA705&lt;=0,0,CE705*MAX(1,IF(H705&gt;0,BA705/H705,1))),IF(R705&gt;0,BB705/R705,0))/MAX(0.1,N(Parameter!$M$21)))</f>
        <v>0.15</v>
      </c>
      <c r="BD705" s="62" t="n">
        <f aca="false">BC705*CC705</f>
        <v>35.25</v>
      </c>
      <c r="BE705" s="63" t="n">
        <f aca="false">IF(LEFT(Cockpit!$O$5,1)="A",H705,IF(CI705=1,(CL705+CJ705)/2,IF(LEFT(Cockpit!$O$5,1)="B",(CL705+BG705)/2,MAX((CL705+BG705)/2,H705))))</f>
        <v>0.5</v>
      </c>
      <c r="BF705" s="62" t="n">
        <f aca="false">BE705*G705</f>
        <v>6328.725</v>
      </c>
      <c r="BG705" s="62" t="n">
        <f aca="false">ROUNDUP(CL705+MAX(CM705,2*(J705/IF(CH705&gt;0,CH705,MAX(0.1,N(Cockpit!$O$6)))-CL705)),0)</f>
        <v>1</v>
      </c>
      <c r="BH705" s="63" t="n">
        <f aca="false">IF(BD705&gt;0,J705/BD705,-1)</f>
        <v>0</v>
      </c>
      <c r="BI705" s="63" t="str">
        <f aca="false">IF(AND(OR(CG705="L1",CG705="L23",CG705="LIFT"),BD705&gt;0),SUMIFS($BD$7:$BD$1843,$CG$7:$CG$1843,CG705,$BH$7:$BH$1843,"&gt;"&amp;BH705)+SUMIFS($BD$7:$BD$1843,$CG$7:$CG$1843,CG705,$BH$7:$BH$1843,BH705,$BX$7:$BX$1843,"&lt;="&amp;BX705),"")</f>
        <v/>
      </c>
      <c r="BJ705" s="70" t="n">
        <f aca="false">IF(BI705="",0,MAX(0,MIN(1,(IF(CG705="L1",Parameter!$H$5,IF(CG705="L23",Parameter!$H$6+Parameter!$H$7,Parameter!$H$5+Parameter!$H$6+Parameter!$H$7))-(BI705-BD705))/BD705)))</f>
        <v>0</v>
      </c>
      <c r="BK705" s="60" t="str">
        <f aca="false">IF(AJ705&lt;=0,"",IF(CG705="Aussen","Aussenlager",IF(CG705="-","Nicht im Lift",IF(AP705&gt;=1,"Lift",IF(AP705&lt;=0,"Aussenlager","teilweise")))))</f>
        <v/>
      </c>
      <c r="BL705" s="60" t="str">
        <f aca="false">IF(AT705&lt;=0,"",IF(CG705="Aussen","Aussenlager",IF(CG705="-","Nicht im Lift",IF(AZ705&gt;=1,"Lift",IF(AZ705&lt;=0,"Aussenlager","teilweise")))))</f>
        <v>Nicht im Lift</v>
      </c>
      <c r="BM705" s="60" t="str">
        <f aca="false">IF(BD705&lt;=0,"",IF(CG705="Aussen","Aussenlager",IF(CG705="-","Nicht im Lift",IF(BJ705&gt;=1,"Lift",IF(BJ705&lt;=0,"Aussenlager","teilweise")))))</f>
        <v>Nicht im Lift</v>
      </c>
      <c r="BN705" s="60" t="str">
        <f aca="false">IF(A705="","",IF(BW705=1,"Neu; ","")&amp;IF(AND(BW705=0,BR705&lt;0),"negativer Bestand (Export "&amp;BR705&amp;"); ","")&amp;IF(J705&lt;=0,"Kein Verbrauch; ","")&amp;IF(CR705&gt;0,"Lift "&amp;W705&amp;" lt. Liftbericht (Fach "&amp;X705&amp;" Stk); ",IF(CB705=1,"Gebinde geschätzt ("&amp;T705&amp;"); ",IF(CA705=1,"Lose – Tablare geschätzt; ","")))&amp;IF(H705&gt;AW705,"Überbestand "&amp;ROUND(H705-AW705,0)&amp;" Stk / CHF "&amp;ROUND((H705-AW705)*G705,0)&amp;"; ","")&amp;IF(AND(CI705=1,CJ705&lt;CK705),"MAX &lt; MB+LG; ","")&amp;IF(AND(CQ705&gt;0,CP705*10&gt;CQ705),"zu hoch für Tablar; ","")&amp;IF(AND(BW705=0,OR(CI705=1,AB705&lt;&gt;"",U705&lt;&gt;"",V705&lt;&gt;"",AC705&lt;&gt;"")),"manuell übersteuert; ","")&amp;IF(AND(CA705=0,R705=0),"Gebinde unbekannt / Stellmass fehlt; ","")&amp;IF(AND(CA705=0,N(V705)&lt;=0,N(Q705)&lt;=0),"Menge pro Gebinde fehlt (Ist = 1 Gebinde); ","")&amp;BV705)</f>
        <v>Kein Verbrauch; Lose – Tablare geschätzt; </v>
      </c>
      <c r="BO705" s="60"/>
      <c r="BP705" s="60"/>
      <c r="BQ705" s="67"/>
      <c r="BR705" s="62" t="n">
        <v>0</v>
      </c>
      <c r="BS705" s="62" t="n">
        <v>0</v>
      </c>
      <c r="BT705" s="61" t="n">
        <v>0</v>
      </c>
      <c r="BU705" s="62" t="n">
        <v>0</v>
      </c>
      <c r="BV705" s="60"/>
      <c r="BW705" s="65" t="n">
        <v>0</v>
      </c>
      <c r="BX705" s="65" t="n">
        <v>705</v>
      </c>
      <c r="BY705" s="60" t="str">
        <f aca="false">IF(U705&lt;&gt;"",UPPER(TRIM(U705)),IF(CB705=1,UPPER(VLOOKUP(T705,Parameter!$I$27:$K$29,2,0)),IF(P705="","LOSE",P705)))</f>
        <v>LOSE</v>
      </c>
      <c r="BZ705" s="62" t="n">
        <f aca="false">IF(BY705="LOSE",1,IF(N(V705)&gt;0,V705,IF(CB705=1,MAX(1,N(VLOOKUP(T705,Parameter!$I$27:$K$29,3,0)),H705,N(N705)),IF(N(Q705)&gt;0,Q705,MAX(1,H705)))))</f>
        <v>1</v>
      </c>
      <c r="CA705" s="65" t="n">
        <f aca="false">IF(BY705="LOSE",1,0)</f>
        <v>1</v>
      </c>
      <c r="CB705" s="65" t="n">
        <f aca="false">IF(AND(U705="",OR(P705="",P705="LOSE"),T705&lt;&gt;"",N(S705)&lt;=0,ISNUMBER(MATCH(T705,Parameter!$I$27:$I$29,0))),1,0)</f>
        <v>0</v>
      </c>
      <c r="CC705" s="65" t="n">
        <f aca="false">IF(CR705&gt;0,INDEX(Parameter!$H$5:$H$7,W705)/INDEX(Parameter!$E$5:$E$7,W705),IF(AND(CA705=0,N(IFERROR(VLOOKUP(BY705,'Gebinde-Kategorie'!$A$5:$N$45,14,0),0))&gt;0),VLOOKUP(BY705,'Gebinde-Kategorie'!$A$5:$N$45,14,0)*10+Parameter!$M$23,Parameter!$M$24))</f>
        <v>235</v>
      </c>
      <c r="CD705" s="60" t="str">
        <f aca="false">IF(AND(Parameter!$B$19="Ja",E705&lt;&gt;"",ISNUMBER(MATCH(E705,Parameter!$I$35:$I$52,0))),VLOOKUP(E705,Parameter!$I$35:$J$52,2,0),IFERROR(VLOOKUP(D705,Parameter!$A$35:$C$64,2,0),"Nein"))</f>
        <v>Nein</v>
      </c>
      <c r="CE705" s="64" t="n">
        <f aca="false">IF(CA705=0,0,IF(N(S705)&gt;0,S705,IFERROR(VLOOKUP(D705,Parameter!$A$35:$C$64,3,0)+0,0)))</f>
        <v>0.15</v>
      </c>
      <c r="CF705" s="60" t="str">
        <f aca="false">IF(AB705&lt;&gt;"",AB705,AA705)</f>
        <v>-</v>
      </c>
      <c r="CG705" s="60" t="str">
        <f aca="false">IF(OR(CF705=1,CF705=2,CF705=3),IF(Parameter!$E$27="Ja","LIFT",IF(CF705=1,"L1","L23")),IF(CF705="Aussen","Aussen","-"))</f>
        <v>-</v>
      </c>
      <c r="CH705" s="71" t="n">
        <f aca="false">IF(N(AC705)&gt;0,AC705,0)</f>
        <v>0</v>
      </c>
      <c r="CI705" s="65" t="n">
        <f aca="false">IF(ISNUMBER(AF705),1,0)</f>
        <v>0</v>
      </c>
      <c r="CJ705" s="62" t="n">
        <f aca="false">N(AF705)</f>
        <v>0</v>
      </c>
      <c r="CK705" s="62" t="n">
        <f aca="false">N(M705)+N(N705)</f>
        <v>1</v>
      </c>
      <c r="CL705" s="62" t="n">
        <f aca="false">N(M705)</f>
        <v>0</v>
      </c>
      <c r="CM705" s="62" t="n">
        <f aca="false">N(N705)</f>
        <v>1</v>
      </c>
      <c r="CN705" s="62" t="n">
        <f aca="false">ROUNDUP(H705/BZ705,0)</f>
        <v>0</v>
      </c>
      <c r="CO705" s="62" t="n">
        <f aca="false">ROUNDUP(CJ705/BZ705,0)</f>
        <v>0</v>
      </c>
      <c r="CP705" s="65" t="n">
        <f aca="false">IF(CA705=1,0,IFERROR(VLOOKUP(BY705,'Gebinde-Kategorie'!$A$5:$N$45,5,0)+0,0))</f>
        <v>0</v>
      </c>
      <c r="CQ705" s="65" t="n">
        <f aca="false">IFERROR(IF(OR(CF705=1,CF705=2,CF705=3),N(INDEX(Parameter!$I$5:$I$7,CF705)),0),0)</f>
        <v>0</v>
      </c>
      <c r="CR705" s="64" t="n">
        <f aca="false">IF(AND(Parameter!$B$21="Ja",ISNUMBER(W705),N(X705)&gt;0),IFERROR(N(INDEX(Parameter!$L$5:$L$7,W705))*INDEX(Parameter!$E$5:$E$7,W705)*X705/SUMIFS($X$7:$X$1843,$W$7:$W$1843,W705),0),0)</f>
        <v>0</v>
      </c>
      <c r="CS705" s="62" t="str">
        <f aca="false">IF(AND(OR(CG705="L1",CG705="L23",CG705="LIFT"),H705&gt;0),CC705*IF(CR705&gt;0,CR705*MAX(1,H705/X705),IF(CA705=1,CE705,IF(R705&gt;0,CN705/R705,0))/MAX(0.1,N(Parameter!$M$21))),"")</f>
        <v/>
      </c>
      <c r="CT705" s="64" t="str">
        <f aca="false">IF(CS705="","",J705/H705)</f>
        <v/>
      </c>
      <c r="CU705" s="62" t="str">
        <f aca="false">IF(CS705="","",H705*G705)</f>
        <v/>
      </c>
      <c r="CV705" s="63" t="str">
        <f aca="false">IF(CS705="","",(CL705+ROUNDUP(CL705+MAX(CM705,2*(J705/MAX(0.1,N(Einkauf!$C$6))-CL705)),0))/2)</f>
        <v/>
      </c>
      <c r="CW705" s="62" t="str">
        <f aca="false">IF(CS705="","",MAX(0,H705-CV705)*G705)</f>
        <v/>
      </c>
      <c r="CX705" s="62" t="str">
        <f aca="false">IF(CS705="","",CS705*MAX(0,1-CV705/H705))</f>
        <v/>
      </c>
      <c r="CY705" s="64" t="str">
        <f aca="false">IF(CS705="","",PERCENTRANK($CS$7:$CS$1843,CS705)+PERCENTRANK($CU$7:$CU$1843,CU705)+1-PERCENTRANK($CT$7:$CT$1843,CT705))</f>
        <v/>
      </c>
      <c r="CZ705" s="72" t="str">
        <f aca="false">IF(CS705="","",CHOOSE(MATCH(Einkauf!$C$5,Parameter!$G$23:$G$27,0),CY705,CS705,CU705,-CT705,CW705)+ROW()/1000000000)</f>
        <v/>
      </c>
    </row>
    <row r="706" customFormat="false" ht="15" hidden="false" customHeight="false" outlineLevel="0" collapsed="false">
      <c r="A706" s="60" t="s">
        <v>1453</v>
      </c>
      <c r="B706" s="60" t="s">
        <v>675</v>
      </c>
      <c r="C706" s="60" t="s">
        <v>206</v>
      </c>
      <c r="D706" s="60" t="s">
        <v>215</v>
      </c>
      <c r="E706" s="60" t="s">
        <v>1450</v>
      </c>
      <c r="F706" s="60" t="s">
        <v>260</v>
      </c>
      <c r="G706" s="61" t="n">
        <v>798.3</v>
      </c>
      <c r="H706" s="62" t="n">
        <f aca="false">MAX(0,IF(AND(Parameter!$B$21="Ja",ISNUMBER(Y706)),Y706,IF(Parameter!$B$20="Jahresanfang 2025 + Export",BS706+BR706,BR706)))</f>
        <v>0</v>
      </c>
      <c r="I706" s="62" t="n">
        <f aca="false">H706*G706</f>
        <v>0</v>
      </c>
      <c r="J706" s="62" t="n">
        <f aca="false">BU706*Parameter!$B$18</f>
        <v>2</v>
      </c>
      <c r="K706" s="63" t="n">
        <v>5.5</v>
      </c>
      <c r="L706" s="64" t="n">
        <v>0.363636363636364</v>
      </c>
      <c r="M706" s="62" t="n">
        <v>0</v>
      </c>
      <c r="N706" s="62" t="n">
        <v>1</v>
      </c>
      <c r="O706" s="65" t="n">
        <v>14</v>
      </c>
      <c r="P706" s="60" t="s">
        <v>210</v>
      </c>
      <c r="Q706" s="62"/>
      <c r="R706" s="65" t="n">
        <f aca="false">IF(CA706=1,0,IFERROR(VLOOKUP(BY706,'Gebinde-Kategorie'!$A$5:$N$45,13,0)+0,0))</f>
        <v>4</v>
      </c>
      <c r="S706" s="66"/>
      <c r="T706" s="67" t="s">
        <v>231</v>
      </c>
      <c r="U706" s="67"/>
      <c r="V706" s="67"/>
      <c r="W706" s="60"/>
      <c r="X706" s="62"/>
      <c r="Y706" s="62"/>
      <c r="Z706" s="60"/>
      <c r="AA706" s="60" t="str">
        <f aca="false">IF(A706="","",IF(AND(Parameter!$B$21="Ja",ISNUMBER(W706)),W706,IF(AND(Parameter!$E$27="Ja",ISNUMBER(Z706),CD706&lt;&gt;"Nein"),Z706,IF(CD706="2+3",IF(ISNUMBER(SEARCH("grosser Artikel",BV706)),2,IFERROR(VLOOKUP(BY706,Parameter!$F$35:$G$64,2,0),2)),IF(OR(CD706="Nein",CD706=""),"-",CD706)))))</f>
        <v>-</v>
      </c>
      <c r="AB706" s="67"/>
      <c r="AC706" s="68"/>
      <c r="AD706" s="62" t="n">
        <f aca="false">AW706</f>
        <v>2</v>
      </c>
      <c r="AE706" s="62" t="n">
        <f aca="false">MAX(AW706,H706)</f>
        <v>2</v>
      </c>
      <c r="AF706" s="69"/>
      <c r="AG706" s="62" t="n">
        <f aca="false">IF(LEFT(Cockpit!$C$5,1)="A",H706,IF(Parameter!$E$30="MAX-Bestand",IF(CI706=1,CJ706,IF(LEFT(Cockpit!$C$5,1)="B",AM706,MAX(AM706,H706))),ROUNDUP(AK706,0)))</f>
        <v>0</v>
      </c>
      <c r="AH706" s="62" t="n">
        <f aca="false">IF(CA706=1,0,ROUNDUP(AG706/BZ706,0))</f>
        <v>0</v>
      </c>
      <c r="AI706" s="64" t="n">
        <f aca="false">IF(CR706&gt;0,CR706*MAX(1,AG706/X706),IF(CA706=1,IF(AG706&lt;=0,0,CE706*MAX(1,IF(H706&gt;0,AG706/H706,1))),IF(R706&gt;0,AH706/R706,0))/MAX(0.1,N(Parameter!$M$21)))</f>
        <v>0</v>
      </c>
      <c r="AJ706" s="62" t="n">
        <f aca="false">AI706*CC706</f>
        <v>0</v>
      </c>
      <c r="AK706" s="63" t="n">
        <f aca="false">IF(LEFT(Cockpit!$C$5,1)="A",H706,IF(CI706=1,(CL706+CJ706)/2,IF(LEFT(Cockpit!$C$5,1)="B",(CL706+AM706)/2,MAX((CL706+AM706)/2,H706))))</f>
        <v>0</v>
      </c>
      <c r="AL706" s="62" t="n">
        <f aca="false">AK706*G706</f>
        <v>0</v>
      </c>
      <c r="AM706" s="62" t="n">
        <f aca="false">ROUNDUP(CL706+MAX(CM706,2*(J706/IF(CH706&gt;0,CH706,MAX(0.1,N(Cockpit!$C$6)))-CL706)),0)</f>
        <v>2</v>
      </c>
      <c r="AN706" s="63" t="n">
        <f aca="false">IF(AJ706&gt;0,J706/AJ706,-1)</f>
        <v>-1</v>
      </c>
      <c r="AO706" s="63" t="str">
        <f aca="false">IF(AND(OR(CG706="L1",CG706="L23",CG706="LIFT"),AJ706&gt;0),SUMIFS($AJ$7:$AJ$1843,$CG$7:$CG$1843,CG706,$AN$7:$AN$1843,"&gt;"&amp;AN706)+SUMIFS($AJ$7:$AJ$1843,$CG$7:$CG$1843,CG706,$AN$7:$AN$1843,AN706,$BX$7:$BX$1843,"&lt;="&amp;BX706),"")</f>
        <v/>
      </c>
      <c r="AP706" s="70" t="n">
        <f aca="false">IF(AO706="",0,MAX(0,MIN(1,(IF(CG706="L1",Parameter!$H$5,IF(CG706="L23",Parameter!$H$6+Parameter!$H$7,Parameter!$H$5+Parameter!$H$6+Parameter!$H$7))-(AO706-AJ706))/AJ706)))</f>
        <v>0</v>
      </c>
      <c r="AQ706" s="62" t="n">
        <f aca="false">IF(LEFT(Cockpit!$I$5,1)="A",H706,IF(Parameter!$E$30="MAX-Bestand",IF(CI706=1,CJ706,IF(LEFT(Cockpit!$I$5,1)="B",AW706,MAX(AW706,H706))),ROUNDUP(AU706,0)))</f>
        <v>1</v>
      </c>
      <c r="AR706" s="62" t="n">
        <f aca="false">IF(CA706=1,0,ROUNDUP(AQ706/BZ706,0))</f>
        <v>1</v>
      </c>
      <c r="AS706" s="64" t="n">
        <f aca="false">IF(CR706&gt;0,CR706*MAX(1,AQ706/X706),IF(CA706=1,IF(AQ706&lt;=0,0,CE706*MAX(1,IF(H706&gt;0,AQ706/H706,1))),IF(R706&gt;0,AR706/R706,0))/MAX(0.1,N(Parameter!$M$21)))</f>
        <v>0.25</v>
      </c>
      <c r="AT706" s="62" t="n">
        <f aca="false">AS706*CC706</f>
        <v>58.75</v>
      </c>
      <c r="AU706" s="63" t="n">
        <f aca="false">IF(LEFT(Cockpit!$I$5,1)="A",H706,IF(CI706=1,(CL706+CJ706)/2,IF(LEFT(Cockpit!$I$5,1)="B",(CL706+AW706)/2,MAX((CL706+AW706)/2,H706))))</f>
        <v>1</v>
      </c>
      <c r="AV706" s="62" t="n">
        <f aca="false">AU706*G706</f>
        <v>798.3</v>
      </c>
      <c r="AW706" s="62" t="n">
        <f aca="false">ROUNDUP(CL706+MAX(CM706,2*(J706/IF(CH706&gt;0,CH706,MAX(0.1,N(Cockpit!$I$6)))-CL706)),0)</f>
        <v>2</v>
      </c>
      <c r="AX706" s="63" t="n">
        <f aca="false">IF(AT706&gt;0,J706/AT706,-1)</f>
        <v>0.0340425531914894</v>
      </c>
      <c r="AY706" s="63" t="str">
        <f aca="false">IF(AND(OR(CG706="L1",CG706="L23",CG706="LIFT"),AT706&gt;0),SUMIFS($AT$7:$AT$1843,$CG$7:$CG$1843,CG706,$AX$7:$AX$1843,"&gt;"&amp;AX706)+SUMIFS($AT$7:$AT$1843,$CG$7:$CG$1843,CG706,$AX$7:$AX$1843,AX706,$BX$7:$BX$1843,"&lt;="&amp;BX706),"")</f>
        <v/>
      </c>
      <c r="AZ706" s="70" t="n">
        <f aca="false">IF(AY706="",0,MAX(0,MIN(1,(IF(CG706="L1",Parameter!$H$5,IF(CG706="L23",Parameter!$H$6+Parameter!$H$7,Parameter!$H$5+Parameter!$H$6+Parameter!$H$7))-(AY706-AT706))/AT706)))</f>
        <v>0</v>
      </c>
      <c r="BA706" s="62" t="n">
        <f aca="false">IF(LEFT(Cockpit!$O$5,1)="A",H706,IF(Parameter!$E$30="MAX-Bestand",IF(CI706=1,CJ706,IF(LEFT(Cockpit!$O$5,1)="B",BG706,MAX(BG706,H706))),ROUNDUP(BE706,0)))</f>
        <v>1</v>
      </c>
      <c r="BB706" s="62" t="n">
        <f aca="false">IF(CA706=1,0,ROUNDUP(BA706/BZ706,0))</f>
        <v>1</v>
      </c>
      <c r="BC706" s="64" t="n">
        <f aca="false">IF(CR706&gt;0,CR706*MAX(1,BA706/X706),IF(CA706=1,IF(BA706&lt;=0,0,CE706*MAX(1,IF(H706&gt;0,BA706/H706,1))),IF(R706&gt;0,BB706/R706,0))/MAX(0.1,N(Parameter!$M$21)))</f>
        <v>0.25</v>
      </c>
      <c r="BD706" s="62" t="n">
        <f aca="false">BC706*CC706</f>
        <v>58.75</v>
      </c>
      <c r="BE706" s="63" t="n">
        <f aca="false">IF(LEFT(Cockpit!$O$5,1)="A",H706,IF(CI706=1,(CL706+CJ706)/2,IF(LEFT(Cockpit!$O$5,1)="B",(CL706+BG706)/2,MAX((CL706+BG706)/2,H706))))</f>
        <v>0.5</v>
      </c>
      <c r="BF706" s="62" t="n">
        <f aca="false">BE706*G706</f>
        <v>399.15</v>
      </c>
      <c r="BG706" s="62" t="n">
        <f aca="false">ROUNDUP(CL706+MAX(CM706,2*(J706/IF(CH706&gt;0,CH706,MAX(0.1,N(Cockpit!$O$6)))-CL706)),0)</f>
        <v>1</v>
      </c>
      <c r="BH706" s="63" t="n">
        <f aca="false">IF(BD706&gt;0,J706/BD706,-1)</f>
        <v>0.0340425531914894</v>
      </c>
      <c r="BI706" s="63" t="str">
        <f aca="false">IF(AND(OR(CG706="L1",CG706="L23",CG706="LIFT"),BD706&gt;0),SUMIFS($BD$7:$BD$1843,$CG$7:$CG$1843,CG706,$BH$7:$BH$1843,"&gt;"&amp;BH706)+SUMIFS($BD$7:$BD$1843,$CG$7:$CG$1843,CG706,$BH$7:$BH$1843,BH706,$BX$7:$BX$1843,"&lt;="&amp;BX706),"")</f>
        <v/>
      </c>
      <c r="BJ706" s="70" t="n">
        <f aca="false">IF(BI706="",0,MAX(0,MIN(1,(IF(CG706="L1",Parameter!$H$5,IF(CG706="L23",Parameter!$H$6+Parameter!$H$7,Parameter!$H$5+Parameter!$H$6+Parameter!$H$7))-(BI706-BD706))/BD706)))</f>
        <v>0</v>
      </c>
      <c r="BK706" s="60" t="str">
        <f aca="false">IF(AJ706&lt;=0,"",IF(CG706="Aussen","Aussenlager",IF(CG706="-","Nicht im Lift",IF(AP706&gt;=1,"Lift",IF(AP706&lt;=0,"Aussenlager","teilweise")))))</f>
        <v/>
      </c>
      <c r="BL706" s="60" t="str">
        <f aca="false">IF(AT706&lt;=0,"",IF(CG706="Aussen","Aussenlager",IF(CG706="-","Nicht im Lift",IF(AZ706&gt;=1,"Lift",IF(AZ706&lt;=0,"Aussenlager","teilweise")))))</f>
        <v>Nicht im Lift</v>
      </c>
      <c r="BM706" s="60" t="str">
        <f aca="false">IF(BD706&lt;=0,"",IF(CG706="Aussen","Aussenlager",IF(CG706="-","Nicht im Lift",IF(BJ706&gt;=1,"Lift",IF(BJ706&lt;=0,"Aussenlager","teilweise")))))</f>
        <v>Nicht im Lift</v>
      </c>
      <c r="BN706" s="60" t="str">
        <f aca="false">IF(A706="","",IF(BW706=1,"Neu; ","")&amp;IF(AND(BW706=0,BR706&lt;0),"negativer Bestand (Export "&amp;BR706&amp;"); ","")&amp;IF(J706&lt;=0,"Kein Verbrauch; ","")&amp;IF(CR706&gt;0,"Lift "&amp;W706&amp;" lt. Liftbericht (Fach "&amp;X706&amp;" Stk); ",IF(CB706=1,"Gebinde geschätzt ("&amp;T706&amp;"); ",IF(CA706=1,"Lose – Tablare geschätzt; ","")))&amp;IF(H706&gt;AW706,"Überbestand "&amp;ROUND(H706-AW706,0)&amp;" Stk / CHF "&amp;ROUND((H706-AW706)*G706,0)&amp;"; ","")&amp;IF(AND(CI706=1,CJ706&lt;CK706),"MAX &lt; MB+LG; ","")&amp;IF(AND(CQ706&gt;0,CP706*10&gt;CQ706),"zu hoch für Tablar; ","")&amp;IF(AND(BW706=0,OR(CI706=1,AB706&lt;&gt;"",U706&lt;&gt;"",V706&lt;&gt;"",AC706&lt;&gt;"")),"manuell übersteuert; ","")&amp;IF(AND(CA706=0,R706=0),"Gebinde unbekannt / Stellmass fehlt; ","")&amp;IF(AND(CA706=0,N(V706)&lt;=0,N(Q706)&lt;=0),"Menge pro Gebinde fehlt (Ist = 1 Gebinde); ","")&amp;BV706)</f>
        <v>Gebinde geschätzt (Gross); Menge pro Gebinde fehlt (Ist = 1 Gebinde); </v>
      </c>
      <c r="BO706" s="60"/>
      <c r="BP706" s="60"/>
      <c r="BQ706" s="67"/>
      <c r="BR706" s="62" t="n">
        <v>0</v>
      </c>
      <c r="BS706" s="62" t="n">
        <v>0</v>
      </c>
      <c r="BT706" s="61" t="n">
        <v>0</v>
      </c>
      <c r="BU706" s="62" t="n">
        <v>2</v>
      </c>
      <c r="BV706" s="60"/>
      <c r="BW706" s="65" t="n">
        <v>0</v>
      </c>
      <c r="BX706" s="65" t="n">
        <v>706</v>
      </c>
      <c r="BY706" s="60" t="str">
        <f aca="false">IF(U706&lt;&gt;"",UPPER(TRIM(U706)),IF(CB706=1,UPPER(VLOOKUP(T706,Parameter!$I$27:$K$29,2,0)),IF(P706="","LOSE",P706)))</f>
        <v>S81</v>
      </c>
      <c r="BZ706" s="62" t="n">
        <f aca="false">IF(BY706="LOSE",1,IF(N(V706)&gt;0,V706,IF(CB706=1,MAX(1,N(VLOOKUP(T706,Parameter!$I$27:$K$29,3,0)),H706,N(N706)),IF(N(Q706)&gt;0,Q706,MAX(1,H706)))))</f>
        <v>2</v>
      </c>
      <c r="CA706" s="65" t="n">
        <f aca="false">IF(BY706="LOSE",1,0)</f>
        <v>0</v>
      </c>
      <c r="CB706" s="65" t="n">
        <f aca="false">IF(AND(U706="",OR(P706="",P706="LOSE"),T706&lt;&gt;"",N(S706)&lt;=0,ISNUMBER(MATCH(T706,Parameter!$I$27:$I$29,0))),1,0)</f>
        <v>1</v>
      </c>
      <c r="CC706" s="65" t="n">
        <f aca="false">IF(CR706&gt;0,INDEX(Parameter!$H$5:$H$7,W706)/INDEX(Parameter!$E$5:$E$7,W706),IF(AND(CA706=0,N(IFERROR(VLOOKUP(BY706,'Gebinde-Kategorie'!$A$5:$N$45,14,0),0))&gt;0),VLOOKUP(BY706,'Gebinde-Kategorie'!$A$5:$N$45,14,0)*10+Parameter!$M$23,Parameter!$M$24))</f>
        <v>235</v>
      </c>
      <c r="CD706" s="60" t="str">
        <f aca="false">IF(AND(Parameter!$B$19="Ja",E706&lt;&gt;"",ISNUMBER(MATCH(E706,Parameter!$I$35:$I$52,0))),VLOOKUP(E706,Parameter!$I$35:$J$52,2,0),IFERROR(VLOOKUP(D706,Parameter!$A$35:$C$64,2,0),"Nein"))</f>
        <v>Nein</v>
      </c>
      <c r="CE706" s="64" t="n">
        <f aca="false">IF(CA706=0,0,IF(N(S706)&gt;0,S706,IFERROR(VLOOKUP(D706,Parameter!$A$35:$C$64,3,0)+0,0)))</f>
        <v>0</v>
      </c>
      <c r="CF706" s="60" t="str">
        <f aca="false">IF(AB706&lt;&gt;"",AB706,AA706)</f>
        <v>-</v>
      </c>
      <c r="CG706" s="60" t="str">
        <f aca="false">IF(OR(CF706=1,CF706=2,CF706=3),IF(Parameter!$E$27="Ja","LIFT",IF(CF706=1,"L1","L23")),IF(CF706="Aussen","Aussen","-"))</f>
        <v>-</v>
      </c>
      <c r="CH706" s="71" t="n">
        <f aca="false">IF(N(AC706)&gt;0,AC706,0)</f>
        <v>0</v>
      </c>
      <c r="CI706" s="65" t="n">
        <f aca="false">IF(ISNUMBER(AF706),1,0)</f>
        <v>0</v>
      </c>
      <c r="CJ706" s="62" t="n">
        <f aca="false">N(AF706)</f>
        <v>0</v>
      </c>
      <c r="CK706" s="62" t="n">
        <f aca="false">N(M706)+N(N706)</f>
        <v>1</v>
      </c>
      <c r="CL706" s="62" t="n">
        <f aca="false">N(M706)</f>
        <v>0</v>
      </c>
      <c r="CM706" s="62" t="n">
        <f aca="false">N(N706)</f>
        <v>1</v>
      </c>
      <c r="CN706" s="62" t="n">
        <f aca="false">ROUNDUP(H706/BZ706,0)</f>
        <v>0</v>
      </c>
      <c r="CO706" s="62" t="n">
        <f aca="false">ROUNDUP(CJ706/BZ706,0)</f>
        <v>0</v>
      </c>
      <c r="CP706" s="65" t="n">
        <f aca="false">IF(CA706=1,0,IFERROR(VLOOKUP(BY706,'Gebinde-Kategorie'!$A$5:$N$45,5,0)+0,0))</f>
        <v>20</v>
      </c>
      <c r="CQ706" s="65" t="n">
        <f aca="false">IFERROR(IF(OR(CF706=1,CF706=2,CF706=3),N(INDEX(Parameter!$I$5:$I$7,CF706)),0),0)</f>
        <v>0</v>
      </c>
      <c r="CR706" s="64" t="n">
        <f aca="false">IF(AND(Parameter!$B$21="Ja",ISNUMBER(W706),N(X706)&gt;0),IFERROR(N(INDEX(Parameter!$L$5:$L$7,W706))*INDEX(Parameter!$E$5:$E$7,W706)*X706/SUMIFS($X$7:$X$1843,$W$7:$W$1843,W706),0),0)</f>
        <v>0</v>
      </c>
      <c r="CS706" s="62" t="str">
        <f aca="false">IF(AND(OR(CG706="L1",CG706="L23",CG706="LIFT"),H706&gt;0),CC706*IF(CR706&gt;0,CR706*MAX(1,H706/X706),IF(CA706=1,CE706,IF(R706&gt;0,CN706/R706,0))/MAX(0.1,N(Parameter!$M$21))),"")</f>
        <v/>
      </c>
      <c r="CT706" s="64" t="str">
        <f aca="false">IF(CS706="","",J706/H706)</f>
        <v/>
      </c>
      <c r="CU706" s="62" t="str">
        <f aca="false">IF(CS706="","",H706*G706)</f>
        <v/>
      </c>
      <c r="CV706" s="63" t="str">
        <f aca="false">IF(CS706="","",(CL706+ROUNDUP(CL706+MAX(CM706,2*(J706/MAX(0.1,N(Einkauf!$C$6))-CL706)),0))/2)</f>
        <v/>
      </c>
      <c r="CW706" s="62" t="str">
        <f aca="false">IF(CS706="","",MAX(0,H706-CV706)*G706)</f>
        <v/>
      </c>
      <c r="CX706" s="62" t="str">
        <f aca="false">IF(CS706="","",CS706*MAX(0,1-CV706/H706))</f>
        <v/>
      </c>
      <c r="CY706" s="64" t="str">
        <f aca="false">IF(CS706="","",PERCENTRANK($CS$7:$CS$1843,CS706)+PERCENTRANK($CU$7:$CU$1843,CU706)+1-PERCENTRANK($CT$7:$CT$1843,CT706))</f>
        <v/>
      </c>
      <c r="CZ706" s="72" t="str">
        <f aca="false">IF(CS706="","",CHOOSE(MATCH(Einkauf!$C$5,Parameter!$G$23:$G$27,0),CY706,CS706,CU706,-CT706,CW706)+ROW()/1000000000)</f>
        <v/>
      </c>
    </row>
    <row r="707" customFormat="false" ht="15" hidden="false" customHeight="false" outlineLevel="0" collapsed="false">
      <c r="A707" s="60" t="s">
        <v>1454</v>
      </c>
      <c r="B707" s="60" t="s">
        <v>1455</v>
      </c>
      <c r="C707" s="60" t="s">
        <v>206</v>
      </c>
      <c r="D707" s="60" t="s">
        <v>1037</v>
      </c>
      <c r="E707" s="60"/>
      <c r="F707" s="60" t="s">
        <v>260</v>
      </c>
      <c r="G707" s="61" t="n">
        <v>4993.1</v>
      </c>
      <c r="H707" s="62" t="n">
        <f aca="false">MAX(0,IF(AND(Parameter!$B$21="Ja",ISNUMBER(Y707)),Y707,IF(Parameter!$B$20="Jahresanfang 2025 + Export",BS707+BR707,BR707)))</f>
        <v>0</v>
      </c>
      <c r="I707" s="62" t="n">
        <f aca="false">H707*G707</f>
        <v>0</v>
      </c>
      <c r="J707" s="62" t="n">
        <f aca="false">BU707*Parameter!$B$18</f>
        <v>0</v>
      </c>
      <c r="K707" s="63" t="n">
        <v>1</v>
      </c>
      <c r="L707" s="64" t="n">
        <v>0</v>
      </c>
      <c r="M707" s="62" t="n">
        <v>0</v>
      </c>
      <c r="N707" s="62" t="n">
        <v>1</v>
      </c>
      <c r="O707" s="65" t="n">
        <v>35</v>
      </c>
      <c r="P707" s="60" t="s">
        <v>210</v>
      </c>
      <c r="Q707" s="62"/>
      <c r="R707" s="65" t="n">
        <f aca="false">IF(CA707=1,0,IFERROR(VLOOKUP(BY707,'Gebinde-Kategorie'!$A$5:$N$45,13,0)+0,0))</f>
        <v>0</v>
      </c>
      <c r="S707" s="66"/>
      <c r="T707" s="67"/>
      <c r="U707" s="67"/>
      <c r="V707" s="67"/>
      <c r="W707" s="60"/>
      <c r="X707" s="62"/>
      <c r="Y707" s="62"/>
      <c r="Z707" s="60"/>
      <c r="AA707" s="60" t="str">
        <f aca="false">IF(A707="","",IF(AND(Parameter!$B$21="Ja",ISNUMBER(W707)),W707,IF(AND(Parameter!$E$27="Ja",ISNUMBER(Z707),CD707&lt;&gt;"Nein"),Z707,IF(CD707="2+3",IF(ISNUMBER(SEARCH("grosser Artikel",BV707)),2,IFERROR(VLOOKUP(BY707,Parameter!$F$35:$G$64,2,0),2)),IF(OR(CD707="Nein",CD707=""),"-",CD707)))))</f>
        <v>-</v>
      </c>
      <c r="AB707" s="67"/>
      <c r="AC707" s="68"/>
      <c r="AD707" s="62" t="n">
        <f aca="false">AW707</f>
        <v>1</v>
      </c>
      <c r="AE707" s="62" t="n">
        <f aca="false">MAX(AW707,H707)</f>
        <v>1</v>
      </c>
      <c r="AF707" s="69"/>
      <c r="AG707" s="62" t="n">
        <f aca="false">IF(LEFT(Cockpit!$C$5,1)="A",H707,IF(Parameter!$E$30="MAX-Bestand",IF(CI707=1,CJ707,IF(LEFT(Cockpit!$C$5,1)="B",AM707,MAX(AM707,H707))),ROUNDUP(AK707,0)))</f>
        <v>0</v>
      </c>
      <c r="AH707" s="62" t="n">
        <f aca="false">IF(CA707=1,0,ROUNDUP(AG707/BZ707,0))</f>
        <v>0</v>
      </c>
      <c r="AI707" s="64" t="n">
        <f aca="false">IF(CR707&gt;0,CR707*MAX(1,AG707/X707),IF(CA707=1,IF(AG707&lt;=0,0,CE707*MAX(1,IF(H707&gt;0,AG707/H707,1))),IF(R707&gt;0,AH707/R707,0))/MAX(0.1,N(Parameter!$M$21)))</f>
        <v>0</v>
      </c>
      <c r="AJ707" s="62" t="n">
        <f aca="false">AI707*CC707</f>
        <v>0</v>
      </c>
      <c r="AK707" s="63" t="n">
        <f aca="false">IF(LEFT(Cockpit!$C$5,1)="A",H707,IF(CI707=1,(CL707+CJ707)/2,IF(LEFT(Cockpit!$C$5,1)="B",(CL707+AM707)/2,MAX((CL707+AM707)/2,H707))))</f>
        <v>0</v>
      </c>
      <c r="AL707" s="62" t="n">
        <f aca="false">AK707*G707</f>
        <v>0</v>
      </c>
      <c r="AM707" s="62" t="n">
        <f aca="false">ROUNDUP(CL707+MAX(CM707,2*(J707/IF(CH707&gt;0,CH707,MAX(0.1,N(Cockpit!$C$6)))-CL707)),0)</f>
        <v>1</v>
      </c>
      <c r="AN707" s="63" t="n">
        <f aca="false">IF(AJ707&gt;0,J707/AJ707,-1)</f>
        <v>-1</v>
      </c>
      <c r="AO707" s="63" t="str">
        <f aca="false">IF(AND(OR(CG707="L1",CG707="L23",CG707="LIFT"),AJ707&gt;0),SUMIFS($AJ$7:$AJ$1843,$CG$7:$CG$1843,CG707,$AN$7:$AN$1843,"&gt;"&amp;AN707)+SUMIFS($AJ$7:$AJ$1843,$CG$7:$CG$1843,CG707,$AN$7:$AN$1843,AN707,$BX$7:$BX$1843,"&lt;="&amp;BX707),"")</f>
        <v/>
      </c>
      <c r="AP707" s="70" t="n">
        <f aca="false">IF(AO707="",0,MAX(0,MIN(1,(IF(CG707="L1",Parameter!$H$5,IF(CG707="L23",Parameter!$H$6+Parameter!$H$7,Parameter!$H$5+Parameter!$H$6+Parameter!$H$7))-(AO707-AJ707))/AJ707)))</f>
        <v>0</v>
      </c>
      <c r="AQ707" s="62" t="n">
        <f aca="false">IF(LEFT(Cockpit!$I$5,1)="A",H707,IF(Parameter!$E$30="MAX-Bestand",IF(CI707=1,CJ707,IF(LEFT(Cockpit!$I$5,1)="B",AW707,MAX(AW707,H707))),ROUNDUP(AU707,0)))</f>
        <v>1</v>
      </c>
      <c r="AR707" s="62" t="n">
        <f aca="false">IF(CA707=1,0,ROUNDUP(AQ707/BZ707,0))</f>
        <v>0</v>
      </c>
      <c r="AS707" s="64" t="n">
        <f aca="false">IF(CR707&gt;0,CR707*MAX(1,AQ707/X707),IF(CA707=1,IF(AQ707&lt;=0,0,CE707*MAX(1,IF(H707&gt;0,AQ707/H707,1))),IF(R707&gt;0,AR707/R707,0))/MAX(0.1,N(Parameter!$M$21)))</f>
        <v>0.15</v>
      </c>
      <c r="AT707" s="62" t="n">
        <f aca="false">AS707*CC707</f>
        <v>35.25</v>
      </c>
      <c r="AU707" s="63" t="n">
        <f aca="false">IF(LEFT(Cockpit!$I$5,1)="A",H707,IF(CI707=1,(CL707+CJ707)/2,IF(LEFT(Cockpit!$I$5,1)="B",(CL707+AW707)/2,MAX((CL707+AW707)/2,H707))))</f>
        <v>0.5</v>
      </c>
      <c r="AV707" s="62" t="n">
        <f aca="false">AU707*G707</f>
        <v>2496.55</v>
      </c>
      <c r="AW707" s="62" t="n">
        <f aca="false">ROUNDUP(CL707+MAX(CM707,2*(J707/IF(CH707&gt;0,CH707,MAX(0.1,N(Cockpit!$I$6)))-CL707)),0)</f>
        <v>1</v>
      </c>
      <c r="AX707" s="63" t="n">
        <f aca="false">IF(AT707&gt;0,J707/AT707,-1)</f>
        <v>0</v>
      </c>
      <c r="AY707" s="63" t="str">
        <f aca="false">IF(AND(OR(CG707="L1",CG707="L23",CG707="LIFT"),AT707&gt;0),SUMIFS($AT$7:$AT$1843,$CG$7:$CG$1843,CG707,$AX$7:$AX$1843,"&gt;"&amp;AX707)+SUMIFS($AT$7:$AT$1843,$CG$7:$CG$1843,CG707,$AX$7:$AX$1843,AX707,$BX$7:$BX$1843,"&lt;="&amp;BX707),"")</f>
        <v/>
      </c>
      <c r="AZ707" s="70" t="n">
        <f aca="false">IF(AY707="",0,MAX(0,MIN(1,(IF(CG707="L1",Parameter!$H$5,IF(CG707="L23",Parameter!$H$6+Parameter!$H$7,Parameter!$H$5+Parameter!$H$6+Parameter!$H$7))-(AY707-AT707))/AT707)))</f>
        <v>0</v>
      </c>
      <c r="BA707" s="62" t="n">
        <f aca="false">IF(LEFT(Cockpit!$O$5,1)="A",H707,IF(Parameter!$E$30="MAX-Bestand",IF(CI707=1,CJ707,IF(LEFT(Cockpit!$O$5,1)="B",BG707,MAX(BG707,H707))),ROUNDUP(BE707,0)))</f>
        <v>1</v>
      </c>
      <c r="BB707" s="62" t="n">
        <f aca="false">IF(CA707=1,0,ROUNDUP(BA707/BZ707,0))</f>
        <v>0</v>
      </c>
      <c r="BC707" s="64" t="n">
        <f aca="false">IF(CR707&gt;0,CR707*MAX(1,BA707/X707),IF(CA707=1,IF(BA707&lt;=0,0,CE707*MAX(1,IF(H707&gt;0,BA707/H707,1))),IF(R707&gt;0,BB707/R707,0))/MAX(0.1,N(Parameter!$M$21)))</f>
        <v>0.15</v>
      </c>
      <c r="BD707" s="62" t="n">
        <f aca="false">BC707*CC707</f>
        <v>35.25</v>
      </c>
      <c r="BE707" s="63" t="n">
        <f aca="false">IF(LEFT(Cockpit!$O$5,1)="A",H707,IF(CI707=1,(CL707+CJ707)/2,IF(LEFT(Cockpit!$O$5,1)="B",(CL707+BG707)/2,MAX((CL707+BG707)/2,H707))))</f>
        <v>0.5</v>
      </c>
      <c r="BF707" s="62" t="n">
        <f aca="false">BE707*G707</f>
        <v>2496.55</v>
      </c>
      <c r="BG707" s="62" t="n">
        <f aca="false">ROUNDUP(CL707+MAX(CM707,2*(J707/IF(CH707&gt;0,CH707,MAX(0.1,N(Cockpit!$O$6)))-CL707)),0)</f>
        <v>1</v>
      </c>
      <c r="BH707" s="63" t="n">
        <f aca="false">IF(BD707&gt;0,J707/BD707,-1)</f>
        <v>0</v>
      </c>
      <c r="BI707" s="63" t="str">
        <f aca="false">IF(AND(OR(CG707="L1",CG707="L23",CG707="LIFT"),BD707&gt;0),SUMIFS($BD$7:$BD$1843,$CG$7:$CG$1843,CG707,$BH$7:$BH$1843,"&gt;"&amp;BH707)+SUMIFS($BD$7:$BD$1843,$CG$7:$CG$1843,CG707,$BH$7:$BH$1843,BH707,$BX$7:$BX$1843,"&lt;="&amp;BX707),"")</f>
        <v/>
      </c>
      <c r="BJ707" s="70" t="n">
        <f aca="false">IF(BI707="",0,MAX(0,MIN(1,(IF(CG707="L1",Parameter!$H$5,IF(CG707="L23",Parameter!$H$6+Parameter!$H$7,Parameter!$H$5+Parameter!$H$6+Parameter!$H$7))-(BI707-BD707))/BD707)))</f>
        <v>0</v>
      </c>
      <c r="BK707" s="60" t="str">
        <f aca="false">IF(AJ707&lt;=0,"",IF(CG707="Aussen","Aussenlager",IF(CG707="-","Nicht im Lift",IF(AP707&gt;=1,"Lift",IF(AP707&lt;=0,"Aussenlager","teilweise")))))</f>
        <v/>
      </c>
      <c r="BL707" s="60" t="str">
        <f aca="false">IF(AT707&lt;=0,"",IF(CG707="Aussen","Aussenlager",IF(CG707="-","Nicht im Lift",IF(AZ707&gt;=1,"Lift",IF(AZ707&lt;=0,"Aussenlager","teilweise")))))</f>
        <v>Nicht im Lift</v>
      </c>
      <c r="BM707" s="60" t="str">
        <f aca="false">IF(BD707&lt;=0,"",IF(CG707="Aussen","Aussenlager",IF(CG707="-","Nicht im Lift",IF(BJ707&gt;=1,"Lift",IF(BJ707&lt;=0,"Aussenlager","teilweise")))))</f>
        <v>Nicht im Lift</v>
      </c>
      <c r="BN707" s="60" t="str">
        <f aca="false">IF(A707="","",IF(BW707=1,"Neu; ","")&amp;IF(AND(BW707=0,BR707&lt;0),"negativer Bestand (Export "&amp;BR707&amp;"); ","")&amp;IF(J707&lt;=0,"Kein Verbrauch; ","")&amp;IF(CR707&gt;0,"Lift "&amp;W707&amp;" lt. Liftbericht (Fach "&amp;X707&amp;" Stk); ",IF(CB707=1,"Gebinde geschätzt ("&amp;T707&amp;"); ",IF(CA707=1,"Lose – Tablare geschätzt; ","")))&amp;IF(H707&gt;AW707,"Überbestand "&amp;ROUND(H707-AW707,0)&amp;" Stk / CHF "&amp;ROUND((H707-AW707)*G707,0)&amp;"; ","")&amp;IF(AND(CI707=1,CJ707&lt;CK707),"MAX &lt; MB+LG; ","")&amp;IF(AND(CQ707&gt;0,CP707*10&gt;CQ707),"zu hoch für Tablar; ","")&amp;IF(AND(BW707=0,OR(CI707=1,AB707&lt;&gt;"",U707&lt;&gt;"",V707&lt;&gt;"",AC707&lt;&gt;"")),"manuell übersteuert; ","")&amp;IF(AND(CA707=0,R707=0),"Gebinde unbekannt / Stellmass fehlt; ","")&amp;IF(AND(CA707=0,N(V707)&lt;=0,N(Q707)&lt;=0),"Menge pro Gebinde fehlt (Ist = 1 Gebinde); ","")&amp;BV707)</f>
        <v>Kein Verbrauch; Lose – Tablare geschätzt; </v>
      </c>
      <c r="BO707" s="60"/>
      <c r="BP707" s="60"/>
      <c r="BQ707" s="67"/>
      <c r="BR707" s="62" t="n">
        <v>0</v>
      </c>
      <c r="BS707" s="62" t="n">
        <v>0</v>
      </c>
      <c r="BT707" s="61" t="n">
        <v>0</v>
      </c>
      <c r="BU707" s="62" t="n">
        <v>0</v>
      </c>
      <c r="BV707" s="60"/>
      <c r="BW707" s="65" t="n">
        <v>0</v>
      </c>
      <c r="BX707" s="65" t="n">
        <v>707</v>
      </c>
      <c r="BY707" s="60" t="str">
        <f aca="false">IF(U707&lt;&gt;"",UPPER(TRIM(U707)),IF(CB707=1,UPPER(VLOOKUP(T707,Parameter!$I$27:$K$29,2,0)),IF(P707="","LOSE",P707)))</f>
        <v>LOSE</v>
      </c>
      <c r="BZ707" s="62" t="n">
        <f aca="false">IF(BY707="LOSE",1,IF(N(V707)&gt;0,V707,IF(CB707=1,MAX(1,N(VLOOKUP(T707,Parameter!$I$27:$K$29,3,0)),H707,N(N707)),IF(N(Q707)&gt;0,Q707,MAX(1,H707)))))</f>
        <v>1</v>
      </c>
      <c r="CA707" s="65" t="n">
        <f aca="false">IF(BY707="LOSE",1,0)</f>
        <v>1</v>
      </c>
      <c r="CB707" s="65" t="n">
        <f aca="false">IF(AND(U707="",OR(P707="",P707="LOSE"),T707&lt;&gt;"",N(S707)&lt;=0,ISNUMBER(MATCH(T707,Parameter!$I$27:$I$29,0))),1,0)</f>
        <v>0</v>
      </c>
      <c r="CC707" s="65" t="n">
        <f aca="false">IF(CR707&gt;0,INDEX(Parameter!$H$5:$H$7,W707)/INDEX(Parameter!$E$5:$E$7,W707),IF(AND(CA707=0,N(IFERROR(VLOOKUP(BY707,'Gebinde-Kategorie'!$A$5:$N$45,14,0),0))&gt;0),VLOOKUP(BY707,'Gebinde-Kategorie'!$A$5:$N$45,14,0)*10+Parameter!$M$23,Parameter!$M$24))</f>
        <v>235</v>
      </c>
      <c r="CD707" s="60" t="str">
        <f aca="false">IF(AND(Parameter!$B$19="Ja",E707&lt;&gt;"",ISNUMBER(MATCH(E707,Parameter!$I$35:$I$52,0))),VLOOKUP(E707,Parameter!$I$35:$J$52,2,0),IFERROR(VLOOKUP(D707,Parameter!$A$35:$C$64,2,0),"Nein"))</f>
        <v>Nein</v>
      </c>
      <c r="CE707" s="64" t="n">
        <f aca="false">IF(CA707=0,0,IF(N(S707)&gt;0,S707,IFERROR(VLOOKUP(D707,Parameter!$A$35:$C$64,3,0)+0,0)))</f>
        <v>0.15</v>
      </c>
      <c r="CF707" s="60" t="str">
        <f aca="false">IF(AB707&lt;&gt;"",AB707,AA707)</f>
        <v>-</v>
      </c>
      <c r="CG707" s="60" t="str">
        <f aca="false">IF(OR(CF707=1,CF707=2,CF707=3),IF(Parameter!$E$27="Ja","LIFT",IF(CF707=1,"L1","L23")),IF(CF707="Aussen","Aussen","-"))</f>
        <v>-</v>
      </c>
      <c r="CH707" s="71" t="n">
        <f aca="false">IF(N(AC707)&gt;0,AC707,0)</f>
        <v>0</v>
      </c>
      <c r="CI707" s="65" t="n">
        <f aca="false">IF(ISNUMBER(AF707),1,0)</f>
        <v>0</v>
      </c>
      <c r="CJ707" s="62" t="n">
        <f aca="false">N(AF707)</f>
        <v>0</v>
      </c>
      <c r="CK707" s="62" t="n">
        <f aca="false">N(M707)+N(N707)</f>
        <v>1</v>
      </c>
      <c r="CL707" s="62" t="n">
        <f aca="false">N(M707)</f>
        <v>0</v>
      </c>
      <c r="CM707" s="62" t="n">
        <f aca="false">N(N707)</f>
        <v>1</v>
      </c>
      <c r="CN707" s="62" t="n">
        <f aca="false">ROUNDUP(H707/BZ707,0)</f>
        <v>0</v>
      </c>
      <c r="CO707" s="62" t="n">
        <f aca="false">ROUNDUP(CJ707/BZ707,0)</f>
        <v>0</v>
      </c>
      <c r="CP707" s="65" t="n">
        <f aca="false">IF(CA707=1,0,IFERROR(VLOOKUP(BY707,'Gebinde-Kategorie'!$A$5:$N$45,5,0)+0,0))</f>
        <v>0</v>
      </c>
      <c r="CQ707" s="65" t="n">
        <f aca="false">IFERROR(IF(OR(CF707=1,CF707=2,CF707=3),N(INDEX(Parameter!$I$5:$I$7,CF707)),0),0)</f>
        <v>0</v>
      </c>
      <c r="CR707" s="64" t="n">
        <f aca="false">IF(AND(Parameter!$B$21="Ja",ISNUMBER(W707),N(X707)&gt;0),IFERROR(N(INDEX(Parameter!$L$5:$L$7,W707))*INDEX(Parameter!$E$5:$E$7,W707)*X707/SUMIFS($X$7:$X$1843,$W$7:$W$1843,W707),0),0)</f>
        <v>0</v>
      </c>
      <c r="CS707" s="62" t="str">
        <f aca="false">IF(AND(OR(CG707="L1",CG707="L23",CG707="LIFT"),H707&gt;0),CC707*IF(CR707&gt;0,CR707*MAX(1,H707/X707),IF(CA707=1,CE707,IF(R707&gt;0,CN707/R707,0))/MAX(0.1,N(Parameter!$M$21))),"")</f>
        <v/>
      </c>
      <c r="CT707" s="64" t="str">
        <f aca="false">IF(CS707="","",J707/H707)</f>
        <v/>
      </c>
      <c r="CU707" s="62" t="str">
        <f aca="false">IF(CS707="","",H707*G707)</f>
        <v/>
      </c>
      <c r="CV707" s="63" t="str">
        <f aca="false">IF(CS707="","",(CL707+ROUNDUP(CL707+MAX(CM707,2*(J707/MAX(0.1,N(Einkauf!$C$6))-CL707)),0))/2)</f>
        <v/>
      </c>
      <c r="CW707" s="62" t="str">
        <f aca="false">IF(CS707="","",MAX(0,H707-CV707)*G707)</f>
        <v/>
      </c>
      <c r="CX707" s="62" t="str">
        <f aca="false">IF(CS707="","",CS707*MAX(0,1-CV707/H707))</f>
        <v/>
      </c>
      <c r="CY707" s="64" t="str">
        <f aca="false">IF(CS707="","",PERCENTRANK($CS$7:$CS$1843,CS707)+PERCENTRANK($CU$7:$CU$1843,CU707)+1-PERCENTRANK($CT$7:$CT$1843,CT707))</f>
        <v/>
      </c>
      <c r="CZ707" s="72" t="str">
        <f aca="false">IF(CS707="","",CHOOSE(MATCH(Einkauf!$C$5,Parameter!$G$23:$G$27,0),CY707,CS707,CU707,-CT707,CW707)+ROW()/1000000000)</f>
        <v/>
      </c>
    </row>
    <row r="708" customFormat="false" ht="15" hidden="false" customHeight="false" outlineLevel="0" collapsed="false">
      <c r="A708" s="60" t="s">
        <v>1456</v>
      </c>
      <c r="B708" s="60" t="s">
        <v>409</v>
      </c>
      <c r="C708" s="60" t="s">
        <v>206</v>
      </c>
      <c r="D708" s="60" t="s">
        <v>226</v>
      </c>
      <c r="E708" s="60"/>
      <c r="F708" s="60" t="s">
        <v>260</v>
      </c>
      <c r="G708" s="61" t="n">
        <v>5.85</v>
      </c>
      <c r="H708" s="62" t="n">
        <f aca="false">MAX(0,IF(AND(Parameter!$B$21="Ja",ISNUMBER(Y708)),Y708,IF(Parameter!$B$20="Jahresanfang 2025 + Export",BS708+BR708,BR708)))</f>
        <v>43</v>
      </c>
      <c r="I708" s="62" t="n">
        <f aca="false">H708*G708</f>
        <v>251.55</v>
      </c>
      <c r="J708" s="62" t="n">
        <f aca="false">BU708*Parameter!$B$18</f>
        <v>0</v>
      </c>
      <c r="K708" s="63" t="n">
        <v>43.5</v>
      </c>
      <c r="L708" s="64" t="n">
        <v>0</v>
      </c>
      <c r="M708" s="62" t="n">
        <v>0</v>
      </c>
      <c r="N708" s="62" t="n">
        <v>1</v>
      </c>
      <c r="O708" s="65" t="n">
        <v>21</v>
      </c>
      <c r="P708" s="60" t="s">
        <v>443</v>
      </c>
      <c r="Q708" s="62" t="n">
        <v>50</v>
      </c>
      <c r="R708" s="65" t="n">
        <f aca="false">IF(CA708=1,0,IFERROR(VLOOKUP(BY708,'Gebinde-Kategorie'!$A$5:$N$45,13,0)+0,0))</f>
        <v>280</v>
      </c>
      <c r="S708" s="66"/>
      <c r="T708" s="67"/>
      <c r="U708" s="67"/>
      <c r="V708" s="67"/>
      <c r="W708" s="60"/>
      <c r="X708" s="62"/>
      <c r="Y708" s="62"/>
      <c r="Z708" s="60" t="n">
        <v>2</v>
      </c>
      <c r="AA708" s="60" t="n">
        <f aca="false">IF(A708="","",IF(AND(Parameter!$B$21="Ja",ISNUMBER(W708)),W708,IF(AND(Parameter!$E$27="Ja",ISNUMBER(Z708),CD708&lt;&gt;"Nein"),Z708,IF(CD708="2+3",IF(ISNUMBER(SEARCH("grosser Artikel",BV708)),2,IFERROR(VLOOKUP(BY708,Parameter!$F$35:$G$64,2,0),2)),IF(OR(CD708="Nein",CD708=""),"-",CD708)))))</f>
        <v>2</v>
      </c>
      <c r="AB708" s="67"/>
      <c r="AC708" s="68"/>
      <c r="AD708" s="62" t="n">
        <f aca="false">AW708</f>
        <v>1</v>
      </c>
      <c r="AE708" s="62" t="n">
        <f aca="false">MAX(AW708,H708)</f>
        <v>43</v>
      </c>
      <c r="AF708" s="69"/>
      <c r="AG708" s="62" t="n">
        <f aca="false">IF(LEFT(Cockpit!$C$5,1)="A",H708,IF(Parameter!$E$30="MAX-Bestand",IF(CI708=1,CJ708,IF(LEFT(Cockpit!$C$5,1)="B",AM708,MAX(AM708,H708))),ROUNDUP(AK708,0)))</f>
        <v>43</v>
      </c>
      <c r="AH708" s="62" t="n">
        <f aca="false">IF(CA708=1,0,ROUNDUP(AG708/BZ708,0))</f>
        <v>1</v>
      </c>
      <c r="AI708" s="64" t="n">
        <f aca="false">IF(CR708&gt;0,CR708*MAX(1,AG708/X708),IF(CA708=1,IF(AG708&lt;=0,0,CE708*MAX(1,IF(H708&gt;0,AG708/H708,1))),IF(R708&gt;0,AH708/R708,0))/MAX(0.1,N(Parameter!$M$21)))</f>
        <v>0.00357142857142857</v>
      </c>
      <c r="AJ708" s="62" t="n">
        <f aca="false">AI708*CC708</f>
        <v>0.553571428571429</v>
      </c>
      <c r="AK708" s="63" t="n">
        <f aca="false">IF(LEFT(Cockpit!$C$5,1)="A",H708,IF(CI708=1,(CL708+CJ708)/2,IF(LEFT(Cockpit!$C$5,1)="B",(CL708+AM708)/2,MAX((CL708+AM708)/2,H708))))</f>
        <v>43</v>
      </c>
      <c r="AL708" s="62" t="n">
        <f aca="false">AK708*G708</f>
        <v>251.55</v>
      </c>
      <c r="AM708" s="62" t="n">
        <f aca="false">ROUNDUP(CL708+MAX(CM708,2*(J708/IF(CH708&gt;0,CH708,MAX(0.1,N(Cockpit!$C$6)))-CL708)),0)</f>
        <v>1</v>
      </c>
      <c r="AN708" s="63" t="n">
        <f aca="false">IF(AJ708&gt;0,J708/AJ708,-1)</f>
        <v>0</v>
      </c>
      <c r="AO708" s="63" t="n">
        <f aca="false">IF(AND(OR(CG708="L1",CG708="L23",CG708="LIFT"),AJ708&gt;0),SUMIFS($AJ$7:$AJ$1843,$CG$7:$CG$1843,CG708,$AN$7:$AN$1843,"&gt;"&amp;AN708)+SUMIFS($AJ$7:$AJ$1843,$CG$7:$CG$1843,CG708,$AN$7:$AN$1843,AN708,$BX$7:$BX$1843,"&lt;="&amp;BX708),"")</f>
        <v>28631.6929337141</v>
      </c>
      <c r="AP708" s="70" t="n">
        <f aca="false">IF(AO708="",0,MAX(0,MIN(1,(IF(CG708="L1",Parameter!$H$5,IF(CG708="L23",Parameter!$H$6+Parameter!$H$7,Parameter!$H$5+Parameter!$H$6+Parameter!$H$7))-(AO708-AJ708))/AJ708)))</f>
        <v>1</v>
      </c>
      <c r="AQ708" s="62" t="n">
        <f aca="false">IF(LEFT(Cockpit!$I$5,1)="A",H708,IF(Parameter!$E$30="MAX-Bestand",IF(CI708=1,CJ708,IF(LEFT(Cockpit!$I$5,1)="B",AW708,MAX(AW708,H708))),ROUNDUP(AU708,0)))</f>
        <v>43</v>
      </c>
      <c r="AR708" s="62" t="n">
        <f aca="false">IF(CA708=1,0,ROUNDUP(AQ708/BZ708,0))</f>
        <v>1</v>
      </c>
      <c r="AS708" s="64" t="n">
        <f aca="false">IF(CR708&gt;0,CR708*MAX(1,AQ708/X708),IF(CA708=1,IF(AQ708&lt;=0,0,CE708*MAX(1,IF(H708&gt;0,AQ708/H708,1))),IF(R708&gt;0,AR708/R708,0))/MAX(0.1,N(Parameter!$M$21)))</f>
        <v>0.00357142857142857</v>
      </c>
      <c r="AT708" s="62" t="n">
        <f aca="false">AS708*CC708</f>
        <v>0.553571428571429</v>
      </c>
      <c r="AU708" s="63" t="n">
        <f aca="false">IF(LEFT(Cockpit!$I$5,1)="A",H708,IF(CI708=1,(CL708+CJ708)/2,IF(LEFT(Cockpit!$I$5,1)="B",(CL708+AW708)/2,MAX((CL708+AW708)/2,H708))))</f>
        <v>43</v>
      </c>
      <c r="AV708" s="62" t="n">
        <f aca="false">AU708*G708</f>
        <v>251.55</v>
      </c>
      <c r="AW708" s="62" t="n">
        <f aca="false">ROUNDUP(CL708+MAX(CM708,2*(J708/IF(CH708&gt;0,CH708,MAX(0.1,N(Cockpit!$I$6)))-CL708)),0)</f>
        <v>1</v>
      </c>
      <c r="AX708" s="63" t="n">
        <f aca="false">IF(AT708&gt;0,J708/AT708,-1)</f>
        <v>0</v>
      </c>
      <c r="AY708" s="63" t="n">
        <f aca="false">IF(AND(OR(CG708="L1",CG708="L23",CG708="LIFT"),AT708&gt;0),SUMIFS($AT$7:$AT$1843,$CG$7:$CG$1843,CG708,$AX$7:$AX$1843,"&gt;"&amp;AX708)+SUMIFS($AT$7:$AT$1843,$CG$7:$CG$1843,CG708,$AX$7:$AX$1843,AX708,$BX$7:$BX$1843,"&lt;="&amp;BX708),"")</f>
        <v>34052.7582417582</v>
      </c>
      <c r="AZ708" s="70" t="n">
        <f aca="false">IF(AY708="",0,MAX(0,MIN(1,(IF(CG708="L1",Parameter!$H$5,IF(CG708="L23",Parameter!$H$6+Parameter!$H$7,Parameter!$H$5+Parameter!$H$6+Parameter!$H$7))-(AY708-AT708))/AT708)))</f>
        <v>1</v>
      </c>
      <c r="BA708" s="62" t="n">
        <f aca="false">IF(LEFT(Cockpit!$O$5,1)="A",H708,IF(Parameter!$E$30="MAX-Bestand",IF(CI708=1,CJ708,IF(LEFT(Cockpit!$O$5,1)="B",BG708,MAX(BG708,H708))),ROUNDUP(BE708,0)))</f>
        <v>1</v>
      </c>
      <c r="BB708" s="62" t="n">
        <f aca="false">IF(CA708=1,0,ROUNDUP(BA708/BZ708,0))</f>
        <v>1</v>
      </c>
      <c r="BC708" s="64" t="n">
        <f aca="false">IF(CR708&gt;0,CR708*MAX(1,BA708/X708),IF(CA708=1,IF(BA708&lt;=0,0,CE708*MAX(1,IF(H708&gt;0,BA708/H708,1))),IF(R708&gt;0,BB708/R708,0))/MAX(0.1,N(Parameter!$M$21)))</f>
        <v>0.00357142857142857</v>
      </c>
      <c r="BD708" s="62" t="n">
        <f aca="false">BC708*CC708</f>
        <v>0.553571428571429</v>
      </c>
      <c r="BE708" s="63" t="n">
        <f aca="false">IF(LEFT(Cockpit!$O$5,1)="A",H708,IF(CI708=1,(CL708+CJ708)/2,IF(LEFT(Cockpit!$O$5,1)="B",(CL708+BG708)/2,MAX((CL708+BG708)/2,H708))))</f>
        <v>0.5</v>
      </c>
      <c r="BF708" s="62" t="n">
        <f aca="false">BE708*G708</f>
        <v>2.925</v>
      </c>
      <c r="BG708" s="62" t="n">
        <f aca="false">ROUNDUP(CL708+MAX(CM708,2*(J708/IF(CH708&gt;0,CH708,MAX(0.1,N(Cockpit!$O$6)))-CL708)),0)</f>
        <v>1</v>
      </c>
      <c r="BH708" s="63" t="n">
        <f aca="false">IF(BD708&gt;0,J708/BD708,-1)</f>
        <v>0</v>
      </c>
      <c r="BI708" s="63" t="n">
        <f aca="false">IF(AND(OR(CG708="L1",CG708="L23",CG708="LIFT"),BD708&gt;0),SUMIFS($BD$7:$BD$1843,$CG$7:$CG$1843,CG708,$BH$7:$BH$1843,"&gt;"&amp;BH708)+SUMIFS($BD$7:$BD$1843,$CG$7:$CG$1843,CG708,$BH$7:$BH$1843,BH708,$BX$7:$BX$1843,"&lt;="&amp;BX708),"")</f>
        <v>28116.8872462283</v>
      </c>
      <c r="BJ708" s="70" t="n">
        <f aca="false">IF(BI708="",0,MAX(0,MIN(1,(IF(CG708="L1",Parameter!$H$5,IF(CG708="L23",Parameter!$H$6+Parameter!$H$7,Parameter!$H$5+Parameter!$H$6+Parameter!$H$7))-(BI708-BD708))/BD708)))</f>
        <v>1</v>
      </c>
      <c r="BK708" s="60" t="str">
        <f aca="false">IF(AJ708&lt;=0,"",IF(CG708="Aussen","Aussenlager",IF(CG708="-","Nicht im Lift",IF(AP708&gt;=1,"Lift",IF(AP708&lt;=0,"Aussenlager","teilweise")))))</f>
        <v>Lift</v>
      </c>
      <c r="BL708" s="60" t="str">
        <f aca="false">IF(AT708&lt;=0,"",IF(CG708="Aussen","Aussenlager",IF(CG708="-","Nicht im Lift",IF(AZ708&gt;=1,"Lift",IF(AZ708&lt;=0,"Aussenlager","teilweise")))))</f>
        <v>Lift</v>
      </c>
      <c r="BM708" s="60" t="str">
        <f aca="false">IF(BD708&lt;=0,"",IF(CG708="Aussen","Aussenlager",IF(CG708="-","Nicht im Lift",IF(BJ708&gt;=1,"Lift",IF(BJ708&lt;=0,"Aussenlager","teilweise")))))</f>
        <v>Lift</v>
      </c>
      <c r="BN708" s="60" t="str">
        <f aca="false">IF(A708="","",IF(BW708=1,"Neu; ","")&amp;IF(AND(BW708=0,BR708&lt;0),"negativer Bestand (Export "&amp;BR708&amp;"); ","")&amp;IF(J708&lt;=0,"Kein Verbrauch; ","")&amp;IF(CR708&gt;0,"Lift "&amp;W708&amp;" lt. Liftbericht (Fach "&amp;X708&amp;" Stk); ",IF(CB708=1,"Gebinde geschätzt ("&amp;T708&amp;"); ",IF(CA708=1,"Lose – Tablare geschätzt; ","")))&amp;IF(H708&gt;AW708,"Überbestand "&amp;ROUND(H708-AW708,0)&amp;" Stk / CHF "&amp;ROUND((H708-AW708)*G708,0)&amp;"; ","")&amp;IF(AND(CI708=1,CJ708&lt;CK708),"MAX &lt; MB+LG; ","")&amp;IF(AND(CQ708&gt;0,CP708*10&gt;CQ708),"zu hoch für Tablar; ","")&amp;IF(AND(BW708=0,OR(CI708=1,AB708&lt;&gt;"",U708&lt;&gt;"",V708&lt;&gt;"",AC708&lt;&gt;"")),"manuell übersteuert; ","")&amp;IF(AND(CA708=0,R708=0),"Gebinde unbekannt / Stellmass fehlt; ","")&amp;IF(AND(CA708=0,N(V708)&lt;=0,N(Q708)&lt;=0),"Menge pro Gebinde fehlt (Ist = 1 Gebinde); ","")&amp;BV708)</f>
        <v>Kein Verbrauch; Überbestand 42 Stk / CHF 246; </v>
      </c>
      <c r="BO708" s="60"/>
      <c r="BP708" s="60"/>
      <c r="BQ708" s="67"/>
      <c r="BR708" s="62" t="n">
        <v>0</v>
      </c>
      <c r="BS708" s="62" t="n">
        <v>43</v>
      </c>
      <c r="BT708" s="61" t="n">
        <v>0</v>
      </c>
      <c r="BU708" s="62" t="n">
        <v>0</v>
      </c>
      <c r="BV708" s="60"/>
      <c r="BW708" s="65" t="n">
        <v>0</v>
      </c>
      <c r="BX708" s="65" t="n">
        <v>708</v>
      </c>
      <c r="BY708" s="60" t="str">
        <f aca="false">IF(U708&lt;&gt;"",UPPER(TRIM(U708)),IF(CB708=1,UPPER(VLOOKUP(T708,Parameter!$I$27:$K$29,2,0)),IF(P708="","LOSE",P708)))</f>
        <v>S21</v>
      </c>
      <c r="BZ708" s="62" t="n">
        <f aca="false">IF(BY708="LOSE",1,IF(N(V708)&gt;0,V708,IF(CB708=1,MAX(1,N(VLOOKUP(T708,Parameter!$I$27:$K$29,3,0)),H708,N(N708)),IF(N(Q708)&gt;0,Q708,MAX(1,H708)))))</f>
        <v>50</v>
      </c>
      <c r="CA708" s="65" t="n">
        <f aca="false">IF(BY708="LOSE",1,0)</f>
        <v>0</v>
      </c>
      <c r="CB708" s="65" t="n">
        <f aca="false">IF(AND(U708="",OR(P708="",P708="LOSE"),T708&lt;&gt;"",N(S708)&lt;=0,ISNUMBER(MATCH(T708,Parameter!$I$27:$I$29,0))),1,0)</f>
        <v>0</v>
      </c>
      <c r="CC708" s="65" t="n">
        <f aca="false">IF(CR708&gt;0,INDEX(Parameter!$H$5:$H$7,W708)/INDEX(Parameter!$E$5:$E$7,W708),IF(AND(CA708=0,N(IFERROR(VLOOKUP(BY708,'Gebinde-Kategorie'!$A$5:$N$45,14,0),0))&gt;0),VLOOKUP(BY708,'Gebinde-Kategorie'!$A$5:$N$45,14,0)*10+Parameter!$M$23,Parameter!$M$24))</f>
        <v>155</v>
      </c>
      <c r="CD708" s="60" t="str">
        <f aca="false">IF(AND(Parameter!$B$19="Ja",E708&lt;&gt;"",ISNUMBER(MATCH(E708,Parameter!$I$35:$I$52,0))),VLOOKUP(E708,Parameter!$I$35:$J$52,2,0),IFERROR(VLOOKUP(D708,Parameter!$A$35:$C$64,2,0),"Nein"))</f>
        <v>2+3</v>
      </c>
      <c r="CE708" s="64" t="n">
        <f aca="false">IF(CA708=0,0,IF(N(S708)&gt;0,S708,IFERROR(VLOOKUP(D708,Parameter!$A$35:$C$64,3,0)+0,0)))</f>
        <v>0</v>
      </c>
      <c r="CF708" s="60" t="n">
        <f aca="false">IF(AB708&lt;&gt;"",AB708,AA708)</f>
        <v>2</v>
      </c>
      <c r="CG708" s="60" t="str">
        <f aca="false">IF(OR(CF708=1,CF708=2,CF708=3),IF(Parameter!$E$27="Ja","LIFT",IF(CF708=1,"L1","L23")),IF(CF708="Aussen","Aussen","-"))</f>
        <v>LIFT</v>
      </c>
      <c r="CH708" s="71" t="n">
        <f aca="false">IF(N(AC708)&gt;0,AC708,0)</f>
        <v>0</v>
      </c>
      <c r="CI708" s="65" t="n">
        <f aca="false">IF(ISNUMBER(AF708),1,0)</f>
        <v>0</v>
      </c>
      <c r="CJ708" s="62" t="n">
        <f aca="false">N(AF708)</f>
        <v>0</v>
      </c>
      <c r="CK708" s="62" t="n">
        <f aca="false">N(M708)+N(N708)</f>
        <v>1</v>
      </c>
      <c r="CL708" s="62" t="n">
        <f aca="false">N(M708)</f>
        <v>0</v>
      </c>
      <c r="CM708" s="62" t="n">
        <f aca="false">N(N708)</f>
        <v>1</v>
      </c>
      <c r="CN708" s="62" t="n">
        <f aca="false">ROUNDUP(H708/BZ708,0)</f>
        <v>1</v>
      </c>
      <c r="CO708" s="62" t="n">
        <f aca="false">ROUNDUP(CJ708/BZ708,0)</f>
        <v>0</v>
      </c>
      <c r="CP708" s="65" t="n">
        <f aca="false">IF(CA708=1,0,IFERROR(VLOOKUP(BY708,'Gebinde-Kategorie'!$A$5:$N$45,5,0)+0,0))</f>
        <v>8</v>
      </c>
      <c r="CQ708" s="65" t="n">
        <f aca="false">IFERROR(IF(OR(CF708=1,CF708=2,CF708=3),N(INDEX(Parameter!$I$5:$I$7,CF708)),0),0)</f>
        <v>0</v>
      </c>
      <c r="CR708" s="64" t="n">
        <f aca="false">IF(AND(Parameter!$B$21="Ja",ISNUMBER(W708),N(X708)&gt;0),IFERROR(N(INDEX(Parameter!$L$5:$L$7,W708))*INDEX(Parameter!$E$5:$E$7,W708)*X708/SUMIFS($X$7:$X$1843,$W$7:$W$1843,W708),0),0)</f>
        <v>0</v>
      </c>
      <c r="CS708" s="62" t="n">
        <f aca="false">IF(AND(OR(CG708="L1",CG708="L23",CG708="LIFT"),H708&gt;0),CC708*IF(CR708&gt;0,CR708*MAX(1,H708/X708),IF(CA708=1,CE708,IF(R708&gt;0,CN708/R708,0))/MAX(0.1,N(Parameter!$M$21))),"")</f>
        <v>0.553571428571429</v>
      </c>
      <c r="CT708" s="64" t="n">
        <f aca="false">IF(CS708="","",J708/H708)</f>
        <v>0</v>
      </c>
      <c r="CU708" s="62" t="n">
        <f aca="false">IF(CS708="","",H708*G708)</f>
        <v>251.55</v>
      </c>
      <c r="CV708" s="63" t="n">
        <f aca="false">IF(CS708="","",(CL708+ROUNDUP(CL708+MAX(CM708,2*(J708/MAX(0.1,N(Einkauf!$C$6))-CL708)),0))/2)</f>
        <v>0.5</v>
      </c>
      <c r="CW708" s="62" t="n">
        <f aca="false">IF(CS708="","",MAX(0,H708-CV708)*G708)</f>
        <v>248.625</v>
      </c>
      <c r="CX708" s="62" t="n">
        <f aca="false">IF(CS708="","",CS708*MAX(0,1-CV708/H708))</f>
        <v>0.547134551495017</v>
      </c>
      <c r="CY708" s="64" t="n">
        <f aca="false">IF(CS708="","",PERCENTRANK($CS$7:$CS$1843,CS708)+PERCENTRANK($CU$7:$CU$1843,CU708)+1-PERCENTRANK($CT$7:$CT$1843,CT708))</f>
        <v>1.38</v>
      </c>
      <c r="CZ708" s="72" t="n">
        <f aca="false">IF(CS708="","",CHOOSE(MATCH(Einkauf!$C$5,Parameter!$G$23:$G$27,0),CY708,CS708,CU708,-CT708,CW708)+ROW()/1000000000)</f>
        <v>1.380000708</v>
      </c>
    </row>
    <row r="709" customFormat="false" ht="15" hidden="false" customHeight="false" outlineLevel="0" collapsed="false">
      <c r="A709" s="60" t="s">
        <v>1457</v>
      </c>
      <c r="B709" s="60" t="s">
        <v>1370</v>
      </c>
      <c r="C709" s="60" t="s">
        <v>206</v>
      </c>
      <c r="D709" s="60" t="s">
        <v>226</v>
      </c>
      <c r="E709" s="60" t="s">
        <v>227</v>
      </c>
      <c r="F709" s="60" t="s">
        <v>260</v>
      </c>
      <c r="G709" s="61" t="n">
        <v>55.5</v>
      </c>
      <c r="H709" s="62" t="n">
        <f aca="false">MAX(0,IF(AND(Parameter!$B$21="Ja",ISNUMBER(Y709)),Y709,IF(Parameter!$B$20="Jahresanfang 2025 + Export",BS709+BR709,BR709)))</f>
        <v>4</v>
      </c>
      <c r="I709" s="62" t="n">
        <f aca="false">H709*G709</f>
        <v>222</v>
      </c>
      <c r="J709" s="62" t="n">
        <f aca="false">BU709*Parameter!$B$18</f>
        <v>2</v>
      </c>
      <c r="K709" s="63" t="n">
        <v>3</v>
      </c>
      <c r="L709" s="64" t="n">
        <v>0.666666666666667</v>
      </c>
      <c r="M709" s="62" t="n">
        <v>0</v>
      </c>
      <c r="N709" s="62" t="n">
        <v>1</v>
      </c>
      <c r="O709" s="65" t="n">
        <v>28</v>
      </c>
      <c r="P709" s="60" t="s">
        <v>344</v>
      </c>
      <c r="Q709" s="62" t="n">
        <v>6</v>
      </c>
      <c r="R709" s="65" t="n">
        <f aca="false">IF(CA709=1,0,IFERROR(VLOOKUP(BY709,'Gebinde-Kategorie'!$A$5:$N$45,13,0)+0,0))</f>
        <v>26</v>
      </c>
      <c r="S709" s="66"/>
      <c r="T709" s="67"/>
      <c r="U709" s="67"/>
      <c r="V709" s="67"/>
      <c r="W709" s="60"/>
      <c r="X709" s="62"/>
      <c r="Y709" s="62"/>
      <c r="Z709" s="60" t="n">
        <v>3</v>
      </c>
      <c r="AA709" s="60" t="n">
        <f aca="false">IF(A709="","",IF(AND(Parameter!$B$21="Ja",ISNUMBER(W709)),W709,IF(AND(Parameter!$E$27="Ja",ISNUMBER(Z709),CD709&lt;&gt;"Nein"),Z709,IF(CD709="2+3",IF(ISNUMBER(SEARCH("grosser Artikel",BV709)),2,IFERROR(VLOOKUP(BY709,Parameter!$F$35:$G$64,2,0),2)),IF(OR(CD709="Nein",CD709=""),"-",CD709)))))</f>
        <v>3</v>
      </c>
      <c r="AB709" s="67"/>
      <c r="AC709" s="68"/>
      <c r="AD709" s="62" t="n">
        <f aca="false">AW709</f>
        <v>2</v>
      </c>
      <c r="AE709" s="62" t="n">
        <f aca="false">MAX(AW709,H709)</f>
        <v>4</v>
      </c>
      <c r="AF709" s="69"/>
      <c r="AG709" s="62" t="n">
        <f aca="false">IF(LEFT(Cockpit!$C$5,1)="A",H709,IF(Parameter!$E$30="MAX-Bestand",IF(CI709=1,CJ709,IF(LEFT(Cockpit!$C$5,1)="B",AM709,MAX(AM709,H709))),ROUNDUP(AK709,0)))</f>
        <v>4</v>
      </c>
      <c r="AH709" s="62" t="n">
        <f aca="false">IF(CA709=1,0,ROUNDUP(AG709/BZ709,0))</f>
        <v>1</v>
      </c>
      <c r="AI709" s="64" t="n">
        <f aca="false">IF(CR709&gt;0,CR709*MAX(1,AG709/X709),IF(CA709=1,IF(AG709&lt;=0,0,CE709*MAX(1,IF(H709&gt;0,AG709/H709,1))),IF(R709&gt;0,AH709/R709,0))/MAX(0.1,N(Parameter!$M$21)))</f>
        <v>0.0384615384615385</v>
      </c>
      <c r="AJ709" s="62" t="n">
        <f aca="false">AI709*CC709</f>
        <v>5.96153846153846</v>
      </c>
      <c r="AK709" s="63" t="n">
        <f aca="false">IF(LEFT(Cockpit!$C$5,1)="A",H709,IF(CI709=1,(CL709+CJ709)/2,IF(LEFT(Cockpit!$C$5,1)="B",(CL709+AM709)/2,MAX((CL709+AM709)/2,H709))))</f>
        <v>4</v>
      </c>
      <c r="AL709" s="62" t="n">
        <f aca="false">AK709*G709</f>
        <v>222</v>
      </c>
      <c r="AM709" s="62" t="n">
        <f aca="false">ROUNDUP(CL709+MAX(CM709,2*(J709/IF(CH709&gt;0,CH709,MAX(0.1,N(Cockpit!$C$6)))-CL709)),0)</f>
        <v>2</v>
      </c>
      <c r="AN709" s="63" t="n">
        <f aca="false">IF(AJ709&gt;0,J709/AJ709,-1)</f>
        <v>0.335483870967742</v>
      </c>
      <c r="AO709" s="63" t="n">
        <f aca="false">IF(AND(OR(CG709="L1",CG709="L23",CG709="LIFT"),AJ709&gt;0),SUMIFS($AJ$7:$AJ$1843,$CG$7:$CG$1843,CG709,$AN$7:$AN$1843,"&gt;"&amp;AN709)+SUMIFS($AJ$7:$AJ$1843,$CG$7:$CG$1843,CG709,$AN$7:$AN$1843,AN709,$BX$7:$BX$1843,"&lt;="&amp;BX709),"")</f>
        <v>11194.9616548706</v>
      </c>
      <c r="AP709" s="70" t="n">
        <f aca="false">IF(AO709="",0,MAX(0,MIN(1,(IF(CG709="L1",Parameter!$H$5,IF(CG709="L23",Parameter!$H$6+Parameter!$H$7,Parameter!$H$5+Parameter!$H$6+Parameter!$H$7))-(AO709-AJ709))/AJ709)))</f>
        <v>1</v>
      </c>
      <c r="AQ709" s="62" t="n">
        <f aca="false">IF(LEFT(Cockpit!$I$5,1)="A",H709,IF(Parameter!$E$30="MAX-Bestand",IF(CI709=1,CJ709,IF(LEFT(Cockpit!$I$5,1)="B",AW709,MAX(AW709,H709))),ROUNDUP(AU709,0)))</f>
        <v>4</v>
      </c>
      <c r="AR709" s="62" t="n">
        <f aca="false">IF(CA709=1,0,ROUNDUP(AQ709/BZ709,0))</f>
        <v>1</v>
      </c>
      <c r="AS709" s="64" t="n">
        <f aca="false">IF(CR709&gt;0,CR709*MAX(1,AQ709/X709),IF(CA709=1,IF(AQ709&lt;=0,0,CE709*MAX(1,IF(H709&gt;0,AQ709/H709,1))),IF(R709&gt;0,AR709/R709,0))/MAX(0.1,N(Parameter!$M$21)))</f>
        <v>0.0384615384615385</v>
      </c>
      <c r="AT709" s="62" t="n">
        <f aca="false">AS709*CC709</f>
        <v>5.96153846153846</v>
      </c>
      <c r="AU709" s="63" t="n">
        <f aca="false">IF(LEFT(Cockpit!$I$5,1)="A",H709,IF(CI709=1,(CL709+CJ709)/2,IF(LEFT(Cockpit!$I$5,1)="B",(CL709+AW709)/2,MAX((CL709+AW709)/2,H709))))</f>
        <v>4</v>
      </c>
      <c r="AV709" s="62" t="n">
        <f aca="false">AU709*G709</f>
        <v>222</v>
      </c>
      <c r="AW709" s="62" t="n">
        <f aca="false">ROUNDUP(CL709+MAX(CM709,2*(J709/IF(CH709&gt;0,CH709,MAX(0.1,N(Cockpit!$I$6)))-CL709)),0)</f>
        <v>2</v>
      </c>
      <c r="AX709" s="63" t="n">
        <f aca="false">IF(AT709&gt;0,J709/AT709,-1)</f>
        <v>0.335483870967742</v>
      </c>
      <c r="AY709" s="63" t="n">
        <f aca="false">IF(AND(OR(CG709="L1",CG709="L23",CG709="LIFT"),AT709&gt;0),SUMIFS($AT$7:$AT$1843,$CG$7:$CG$1843,CG709,$AX$7:$AX$1843,"&gt;"&amp;AX709)+SUMIFS($AT$7:$AT$1843,$CG$7:$CG$1843,CG709,$AX$7:$AX$1843,AX709,$BX$7:$BX$1843,"&lt;="&amp;BX709),"")</f>
        <v>13729.0993589744</v>
      </c>
      <c r="AZ709" s="70" t="n">
        <f aca="false">IF(AY709="",0,MAX(0,MIN(1,(IF(CG709="L1",Parameter!$H$5,IF(CG709="L23",Parameter!$H$6+Parameter!$H$7,Parameter!$H$5+Parameter!$H$6+Parameter!$H$7))-(AY709-AT709))/AT709)))</f>
        <v>1</v>
      </c>
      <c r="BA709" s="62" t="n">
        <f aca="false">IF(LEFT(Cockpit!$O$5,1)="A",H709,IF(Parameter!$E$30="MAX-Bestand",IF(CI709=1,CJ709,IF(LEFT(Cockpit!$O$5,1)="B",BG709,MAX(BG709,H709))),ROUNDUP(BE709,0)))</f>
        <v>1</v>
      </c>
      <c r="BB709" s="62" t="n">
        <f aca="false">IF(CA709=1,0,ROUNDUP(BA709/BZ709,0))</f>
        <v>1</v>
      </c>
      <c r="BC709" s="64" t="n">
        <f aca="false">IF(CR709&gt;0,CR709*MAX(1,BA709/X709),IF(CA709=1,IF(BA709&lt;=0,0,CE709*MAX(1,IF(H709&gt;0,BA709/H709,1))),IF(R709&gt;0,BB709/R709,0))/MAX(0.1,N(Parameter!$M$21)))</f>
        <v>0.0384615384615385</v>
      </c>
      <c r="BD709" s="62" t="n">
        <f aca="false">BC709*CC709</f>
        <v>5.96153846153846</v>
      </c>
      <c r="BE709" s="63" t="n">
        <f aca="false">IF(LEFT(Cockpit!$O$5,1)="A",H709,IF(CI709=1,(CL709+CJ709)/2,IF(LEFT(Cockpit!$O$5,1)="B",(CL709+BG709)/2,MAX((CL709+BG709)/2,H709))))</f>
        <v>0.5</v>
      </c>
      <c r="BF709" s="62" t="n">
        <f aca="false">BE709*G709</f>
        <v>27.75</v>
      </c>
      <c r="BG709" s="62" t="n">
        <f aca="false">ROUNDUP(CL709+MAX(CM709,2*(J709/IF(CH709&gt;0,CH709,MAX(0.1,N(Cockpit!$O$6)))-CL709)),0)</f>
        <v>1</v>
      </c>
      <c r="BH709" s="63" t="n">
        <f aca="false">IF(BD709&gt;0,J709/BD709,-1)</f>
        <v>0.335483870967742</v>
      </c>
      <c r="BI709" s="63" t="n">
        <f aca="false">IF(AND(OR(CG709="L1",CG709="L23",CG709="LIFT"),BD709&gt;0),SUMIFS($BD$7:$BD$1843,$CG$7:$CG$1843,CG709,$BH$7:$BH$1843,"&gt;"&amp;BH709)+SUMIFS($BD$7:$BD$1843,$CG$7:$CG$1843,CG709,$BH$7:$BH$1843,BH709,$BX$7:$BX$1843,"&lt;="&amp;BX709),"")</f>
        <v>11580.0581501832</v>
      </c>
      <c r="BJ709" s="70" t="n">
        <f aca="false">IF(BI709="",0,MAX(0,MIN(1,(IF(CG709="L1",Parameter!$H$5,IF(CG709="L23",Parameter!$H$6+Parameter!$H$7,Parameter!$H$5+Parameter!$H$6+Parameter!$H$7))-(BI709-BD709))/BD709)))</f>
        <v>1</v>
      </c>
      <c r="BK709" s="60" t="str">
        <f aca="false">IF(AJ709&lt;=0,"",IF(CG709="Aussen","Aussenlager",IF(CG709="-","Nicht im Lift",IF(AP709&gt;=1,"Lift",IF(AP709&lt;=0,"Aussenlager","teilweise")))))</f>
        <v>Lift</v>
      </c>
      <c r="BL709" s="60" t="str">
        <f aca="false">IF(AT709&lt;=0,"",IF(CG709="Aussen","Aussenlager",IF(CG709="-","Nicht im Lift",IF(AZ709&gt;=1,"Lift",IF(AZ709&lt;=0,"Aussenlager","teilweise")))))</f>
        <v>Lift</v>
      </c>
      <c r="BM709" s="60" t="str">
        <f aca="false">IF(BD709&lt;=0,"",IF(CG709="Aussen","Aussenlager",IF(CG709="-","Nicht im Lift",IF(BJ709&gt;=1,"Lift",IF(BJ709&lt;=0,"Aussenlager","teilweise")))))</f>
        <v>Lift</v>
      </c>
      <c r="BN709" s="60" t="str">
        <f aca="false">IF(A709="","",IF(BW709=1,"Neu; ","")&amp;IF(AND(BW709=0,BR709&lt;0),"negativer Bestand (Export "&amp;BR709&amp;"); ","")&amp;IF(J709&lt;=0,"Kein Verbrauch; ","")&amp;IF(CR709&gt;0,"Lift "&amp;W709&amp;" lt. Liftbericht (Fach "&amp;X709&amp;" Stk); ",IF(CB709=1,"Gebinde geschätzt ("&amp;T709&amp;"); ",IF(CA709=1,"Lose – Tablare geschätzt; ","")))&amp;IF(H709&gt;AW709,"Überbestand "&amp;ROUND(H709-AW709,0)&amp;" Stk / CHF "&amp;ROUND((H709-AW709)*G709,0)&amp;"; ","")&amp;IF(AND(CI709=1,CJ709&lt;CK709),"MAX &lt; MB+LG; ","")&amp;IF(AND(CQ709&gt;0,CP709*10&gt;CQ709),"zu hoch für Tablar; ","")&amp;IF(AND(BW709=0,OR(CI709=1,AB709&lt;&gt;"",U709&lt;&gt;"",V709&lt;&gt;"",AC709&lt;&gt;"")),"manuell übersteuert; ","")&amp;IF(AND(CA709=0,R709=0),"Gebinde unbekannt / Stellmass fehlt; ","")&amp;IF(AND(CA709=0,N(V709)&lt;=0,N(Q709)&lt;=0),"Menge pro Gebinde fehlt (Ist = 1 Gebinde); ","")&amp;BV709)</f>
        <v>Überbestand 2 Stk / CHF 111; </v>
      </c>
      <c r="BO709" s="60"/>
      <c r="BP709" s="60"/>
      <c r="BQ709" s="67"/>
      <c r="BR709" s="62" t="n">
        <v>0</v>
      </c>
      <c r="BS709" s="62" t="n">
        <v>4</v>
      </c>
      <c r="BT709" s="61" t="n">
        <v>0</v>
      </c>
      <c r="BU709" s="62" t="n">
        <v>2</v>
      </c>
      <c r="BV709" s="60"/>
      <c r="BW709" s="65" t="n">
        <v>0</v>
      </c>
      <c r="BX709" s="65" t="n">
        <v>709</v>
      </c>
      <c r="BY709" s="60" t="str">
        <f aca="false">IF(U709&lt;&gt;"",UPPER(TRIM(U709)),IF(CB709=1,UPPER(VLOOKUP(T709,Parameter!$I$27:$K$29,2,0)),IF(P709="","LOSE",P709)))</f>
        <v>S51</v>
      </c>
      <c r="BZ709" s="62" t="n">
        <f aca="false">IF(BY709="LOSE",1,IF(N(V709)&gt;0,V709,IF(CB709=1,MAX(1,N(VLOOKUP(T709,Parameter!$I$27:$K$29,3,0)),H709,N(N709)),IF(N(Q709)&gt;0,Q709,MAX(1,H709)))))</f>
        <v>6</v>
      </c>
      <c r="CA709" s="65" t="n">
        <f aca="false">IF(BY709="LOSE",1,0)</f>
        <v>0</v>
      </c>
      <c r="CB709" s="65" t="n">
        <f aca="false">IF(AND(U709="",OR(P709="",P709="LOSE"),T709&lt;&gt;"",N(S709)&lt;=0,ISNUMBER(MATCH(T709,Parameter!$I$27:$I$29,0))),1,0)</f>
        <v>0</v>
      </c>
      <c r="CC709" s="65" t="n">
        <f aca="false">IF(CR709&gt;0,INDEX(Parameter!$H$5:$H$7,W709)/INDEX(Parameter!$E$5:$E$7,W709),IF(AND(CA709=0,N(IFERROR(VLOOKUP(BY709,'Gebinde-Kategorie'!$A$5:$N$45,14,0),0))&gt;0),VLOOKUP(BY709,'Gebinde-Kategorie'!$A$5:$N$45,14,0)*10+Parameter!$M$23,Parameter!$M$24))</f>
        <v>155</v>
      </c>
      <c r="CD709" s="60" t="str">
        <f aca="false">IF(AND(Parameter!$B$19="Ja",E709&lt;&gt;"",ISNUMBER(MATCH(E709,Parameter!$I$35:$I$52,0))),VLOOKUP(E709,Parameter!$I$35:$J$52,2,0),IFERROR(VLOOKUP(D709,Parameter!$A$35:$C$64,2,0),"Nein"))</f>
        <v>2+3</v>
      </c>
      <c r="CE709" s="64" t="n">
        <f aca="false">IF(CA709=0,0,IF(N(S709)&gt;0,S709,IFERROR(VLOOKUP(D709,Parameter!$A$35:$C$64,3,0)+0,0)))</f>
        <v>0</v>
      </c>
      <c r="CF709" s="60" t="n">
        <f aca="false">IF(AB709&lt;&gt;"",AB709,AA709)</f>
        <v>3</v>
      </c>
      <c r="CG709" s="60" t="str">
        <f aca="false">IF(OR(CF709=1,CF709=2,CF709=3),IF(Parameter!$E$27="Ja","LIFT",IF(CF709=1,"L1","L23")),IF(CF709="Aussen","Aussen","-"))</f>
        <v>LIFT</v>
      </c>
      <c r="CH709" s="71" t="n">
        <f aca="false">IF(N(AC709)&gt;0,AC709,0)</f>
        <v>0</v>
      </c>
      <c r="CI709" s="65" t="n">
        <f aca="false">IF(ISNUMBER(AF709),1,0)</f>
        <v>0</v>
      </c>
      <c r="CJ709" s="62" t="n">
        <f aca="false">N(AF709)</f>
        <v>0</v>
      </c>
      <c r="CK709" s="62" t="n">
        <f aca="false">N(M709)+N(N709)</f>
        <v>1</v>
      </c>
      <c r="CL709" s="62" t="n">
        <f aca="false">N(M709)</f>
        <v>0</v>
      </c>
      <c r="CM709" s="62" t="n">
        <f aca="false">N(N709)</f>
        <v>1</v>
      </c>
      <c r="CN709" s="62" t="n">
        <f aca="false">ROUNDUP(H709/BZ709,0)</f>
        <v>1</v>
      </c>
      <c r="CO709" s="62" t="n">
        <f aca="false">ROUNDUP(CJ709/BZ709,0)</f>
        <v>0</v>
      </c>
      <c r="CP709" s="65" t="n">
        <f aca="false">IF(CA709=1,0,IFERROR(VLOOKUP(BY709,'Gebinde-Kategorie'!$A$5:$N$45,5,0)+0,0))</f>
        <v>11</v>
      </c>
      <c r="CQ709" s="65" t="n">
        <f aca="false">IFERROR(IF(OR(CF709=1,CF709=2,CF709=3),N(INDEX(Parameter!$I$5:$I$7,CF709)),0),0)</f>
        <v>0</v>
      </c>
      <c r="CR709" s="64" t="n">
        <f aca="false">IF(AND(Parameter!$B$21="Ja",ISNUMBER(W709),N(X709)&gt;0),IFERROR(N(INDEX(Parameter!$L$5:$L$7,W709))*INDEX(Parameter!$E$5:$E$7,W709)*X709/SUMIFS($X$7:$X$1843,$W$7:$W$1843,W709),0),0)</f>
        <v>0</v>
      </c>
      <c r="CS709" s="62" t="n">
        <f aca="false">IF(AND(OR(CG709="L1",CG709="L23",CG709="LIFT"),H709&gt;0),CC709*IF(CR709&gt;0,CR709*MAX(1,H709/X709),IF(CA709=1,CE709,IF(R709&gt;0,CN709/R709,0))/MAX(0.1,N(Parameter!$M$21))),"")</f>
        <v>5.96153846153846</v>
      </c>
      <c r="CT709" s="64" t="n">
        <f aca="false">IF(CS709="","",J709/H709)</f>
        <v>0.5</v>
      </c>
      <c r="CU709" s="62" t="n">
        <f aca="false">IF(CS709="","",H709*G709)</f>
        <v>222</v>
      </c>
      <c r="CV709" s="63" t="n">
        <f aca="false">IF(CS709="","",(CL709+ROUNDUP(CL709+MAX(CM709,2*(J709/MAX(0.1,N(Einkauf!$C$6))-CL709)),0))/2)</f>
        <v>0.5</v>
      </c>
      <c r="CW709" s="62" t="n">
        <f aca="false">IF(CS709="","",MAX(0,H709-CV709)*G709)</f>
        <v>194.25</v>
      </c>
      <c r="CX709" s="62" t="n">
        <f aca="false">IF(CS709="","",CS709*MAX(0,1-CV709/H709))</f>
        <v>5.21634615384615</v>
      </c>
      <c r="CY709" s="64" t="n">
        <f aca="false">IF(CS709="","",PERCENTRANK($CS$7:$CS$1843,CS709)+PERCENTRANK($CU$7:$CU$1843,CU709)+1-PERCENTRANK($CT$7:$CT$1843,CT709))</f>
        <v>1.163</v>
      </c>
      <c r="CZ709" s="72" t="n">
        <f aca="false">IF(CS709="","",CHOOSE(MATCH(Einkauf!$C$5,Parameter!$G$23:$G$27,0),CY709,CS709,CU709,-CT709,CW709)+ROW()/1000000000)</f>
        <v>1.163000709</v>
      </c>
    </row>
    <row r="710" customFormat="false" ht="15" hidden="false" customHeight="false" outlineLevel="0" collapsed="false">
      <c r="A710" s="60" t="s">
        <v>1458</v>
      </c>
      <c r="B710" s="60" t="s">
        <v>1459</v>
      </c>
      <c r="C710" s="60" t="s">
        <v>206</v>
      </c>
      <c r="D710" s="60" t="s">
        <v>226</v>
      </c>
      <c r="E710" s="60"/>
      <c r="F710" s="60" t="s">
        <v>260</v>
      </c>
      <c r="G710" s="61" t="n">
        <v>268</v>
      </c>
      <c r="H710" s="62" t="n">
        <f aca="false">MAX(0,IF(AND(Parameter!$B$21="Ja",ISNUMBER(Y710)),Y710,IF(Parameter!$B$20="Jahresanfang 2025 + Export",BS710+BR710,BR710)))</f>
        <v>0</v>
      </c>
      <c r="I710" s="62" t="n">
        <f aca="false">H710*G710</f>
        <v>0</v>
      </c>
      <c r="J710" s="62" t="n">
        <f aca="false">BU710*Parameter!$B$18</f>
        <v>0</v>
      </c>
      <c r="K710" s="63" t="n">
        <v>0</v>
      </c>
      <c r="L710" s="64" t="n">
        <v>0</v>
      </c>
      <c r="M710" s="62" t="n">
        <v>0</v>
      </c>
      <c r="N710" s="62" t="n">
        <v>1</v>
      </c>
      <c r="O710" s="65" t="n">
        <v>90</v>
      </c>
      <c r="P710" s="60" t="s">
        <v>210</v>
      </c>
      <c r="Q710" s="62"/>
      <c r="R710" s="65" t="n">
        <f aca="false">IF(CA710=1,0,IFERROR(VLOOKUP(BY710,'Gebinde-Kategorie'!$A$5:$N$45,13,0)+0,0))</f>
        <v>26</v>
      </c>
      <c r="S710" s="66"/>
      <c r="T710" s="67" t="s">
        <v>317</v>
      </c>
      <c r="U710" s="67"/>
      <c r="V710" s="67"/>
      <c r="W710" s="60"/>
      <c r="X710" s="62"/>
      <c r="Y710" s="62"/>
      <c r="Z710" s="60" t="n">
        <v>3</v>
      </c>
      <c r="AA710" s="60" t="n">
        <f aca="false">IF(A710="","",IF(AND(Parameter!$B$21="Ja",ISNUMBER(W710)),W710,IF(AND(Parameter!$E$27="Ja",ISNUMBER(Z710),CD710&lt;&gt;"Nein"),Z710,IF(CD710="2+3",IF(ISNUMBER(SEARCH("grosser Artikel",BV710)),2,IFERROR(VLOOKUP(BY710,Parameter!$F$35:$G$64,2,0),2)),IF(OR(CD710="Nein",CD710=""),"-",CD710)))))</f>
        <v>3</v>
      </c>
      <c r="AB710" s="67"/>
      <c r="AC710" s="68"/>
      <c r="AD710" s="62" t="n">
        <f aca="false">AW710</f>
        <v>1</v>
      </c>
      <c r="AE710" s="62" t="n">
        <f aca="false">MAX(AW710,H710)</f>
        <v>1</v>
      </c>
      <c r="AF710" s="69"/>
      <c r="AG710" s="62" t="n">
        <f aca="false">IF(LEFT(Cockpit!$C$5,1)="A",H710,IF(Parameter!$E$30="MAX-Bestand",IF(CI710=1,CJ710,IF(LEFT(Cockpit!$C$5,1)="B",AM710,MAX(AM710,H710))),ROUNDUP(AK710,0)))</f>
        <v>0</v>
      </c>
      <c r="AH710" s="62" t="n">
        <f aca="false">IF(CA710=1,0,ROUNDUP(AG710/BZ710,0))</f>
        <v>0</v>
      </c>
      <c r="AI710" s="64" t="n">
        <f aca="false">IF(CR710&gt;0,CR710*MAX(1,AG710/X710),IF(CA710=1,IF(AG710&lt;=0,0,CE710*MAX(1,IF(H710&gt;0,AG710/H710,1))),IF(R710&gt;0,AH710/R710,0))/MAX(0.1,N(Parameter!$M$21)))</f>
        <v>0</v>
      </c>
      <c r="AJ710" s="62" t="n">
        <f aca="false">AI710*CC710</f>
        <v>0</v>
      </c>
      <c r="AK710" s="63" t="n">
        <f aca="false">IF(LEFT(Cockpit!$C$5,1)="A",H710,IF(CI710=1,(CL710+CJ710)/2,IF(LEFT(Cockpit!$C$5,1)="B",(CL710+AM710)/2,MAX((CL710+AM710)/2,H710))))</f>
        <v>0</v>
      </c>
      <c r="AL710" s="62" t="n">
        <f aca="false">AK710*G710</f>
        <v>0</v>
      </c>
      <c r="AM710" s="62" t="n">
        <f aca="false">ROUNDUP(CL710+MAX(CM710,2*(J710/IF(CH710&gt;0,CH710,MAX(0.1,N(Cockpit!$C$6)))-CL710)),0)</f>
        <v>1</v>
      </c>
      <c r="AN710" s="63" t="n">
        <f aca="false">IF(AJ710&gt;0,J710/AJ710,-1)</f>
        <v>-1</v>
      </c>
      <c r="AO710" s="63" t="str">
        <f aca="false">IF(AND(OR(CG710="L1",CG710="L23",CG710="LIFT"),AJ710&gt;0),SUMIFS($AJ$7:$AJ$1843,$CG$7:$CG$1843,CG710,$AN$7:$AN$1843,"&gt;"&amp;AN710)+SUMIFS($AJ$7:$AJ$1843,$CG$7:$CG$1843,CG710,$AN$7:$AN$1843,AN710,$BX$7:$BX$1843,"&lt;="&amp;BX710),"")</f>
        <v/>
      </c>
      <c r="AP710" s="70" t="n">
        <f aca="false">IF(AO710="",0,MAX(0,MIN(1,(IF(CG710="L1",Parameter!$H$5,IF(CG710="L23",Parameter!$H$6+Parameter!$H$7,Parameter!$H$5+Parameter!$H$6+Parameter!$H$7))-(AO710-AJ710))/AJ710)))</f>
        <v>0</v>
      </c>
      <c r="AQ710" s="62" t="n">
        <f aca="false">IF(LEFT(Cockpit!$I$5,1)="A",H710,IF(Parameter!$E$30="MAX-Bestand",IF(CI710=1,CJ710,IF(LEFT(Cockpit!$I$5,1)="B",AW710,MAX(AW710,H710))),ROUNDUP(AU710,0)))</f>
        <v>1</v>
      </c>
      <c r="AR710" s="62" t="n">
        <f aca="false">IF(CA710=1,0,ROUNDUP(AQ710/BZ710,0))</f>
        <v>1</v>
      </c>
      <c r="AS710" s="64" t="n">
        <f aca="false">IF(CR710&gt;0,CR710*MAX(1,AQ710/X710),IF(CA710=1,IF(AQ710&lt;=0,0,CE710*MAX(1,IF(H710&gt;0,AQ710/H710,1))),IF(R710&gt;0,AR710/R710,0))/MAX(0.1,N(Parameter!$M$21)))</f>
        <v>0.0384615384615385</v>
      </c>
      <c r="AT710" s="62" t="n">
        <f aca="false">AS710*CC710</f>
        <v>5.96153846153846</v>
      </c>
      <c r="AU710" s="63" t="n">
        <f aca="false">IF(LEFT(Cockpit!$I$5,1)="A",H710,IF(CI710=1,(CL710+CJ710)/2,IF(LEFT(Cockpit!$I$5,1)="B",(CL710+AW710)/2,MAX((CL710+AW710)/2,H710))))</f>
        <v>0.5</v>
      </c>
      <c r="AV710" s="62" t="n">
        <f aca="false">AU710*G710</f>
        <v>134</v>
      </c>
      <c r="AW710" s="62" t="n">
        <f aca="false">ROUNDUP(CL710+MAX(CM710,2*(J710/IF(CH710&gt;0,CH710,MAX(0.1,N(Cockpit!$I$6)))-CL710)),0)</f>
        <v>1</v>
      </c>
      <c r="AX710" s="63" t="n">
        <f aca="false">IF(AT710&gt;0,J710/AT710,-1)</f>
        <v>0</v>
      </c>
      <c r="AY710" s="63" t="n">
        <f aca="false">IF(AND(OR(CG710="L1",CG710="L23",CG710="LIFT"),AT710&gt;0),SUMIFS($AT$7:$AT$1843,$CG$7:$CG$1843,CG710,$AX$7:$AX$1843,"&gt;"&amp;AX710)+SUMIFS($AT$7:$AT$1843,$CG$7:$CG$1843,CG710,$AX$7:$AX$1843,AX710,$BX$7:$BX$1843,"&lt;="&amp;BX710),"")</f>
        <v>34058.7197802198</v>
      </c>
      <c r="AZ710" s="70" t="n">
        <f aca="false">IF(AY710="",0,MAX(0,MIN(1,(IF(CG710="L1",Parameter!$H$5,IF(CG710="L23",Parameter!$H$6+Parameter!$H$7,Parameter!$H$5+Parameter!$H$6+Parameter!$H$7))-(AY710-AT710))/AT710)))</f>
        <v>1</v>
      </c>
      <c r="BA710" s="62" t="n">
        <f aca="false">IF(LEFT(Cockpit!$O$5,1)="A",H710,IF(Parameter!$E$30="MAX-Bestand",IF(CI710=1,CJ710,IF(LEFT(Cockpit!$O$5,1)="B",BG710,MAX(BG710,H710))),ROUNDUP(BE710,0)))</f>
        <v>1</v>
      </c>
      <c r="BB710" s="62" t="n">
        <f aca="false">IF(CA710=1,0,ROUNDUP(BA710/BZ710,0))</f>
        <v>1</v>
      </c>
      <c r="BC710" s="64" t="n">
        <f aca="false">IF(CR710&gt;0,CR710*MAX(1,BA710/X710),IF(CA710=1,IF(BA710&lt;=0,0,CE710*MAX(1,IF(H710&gt;0,BA710/H710,1))),IF(R710&gt;0,BB710/R710,0))/MAX(0.1,N(Parameter!$M$21)))</f>
        <v>0.0384615384615385</v>
      </c>
      <c r="BD710" s="62" t="n">
        <f aca="false">BC710*CC710</f>
        <v>5.96153846153846</v>
      </c>
      <c r="BE710" s="63" t="n">
        <f aca="false">IF(LEFT(Cockpit!$O$5,1)="A",H710,IF(CI710=1,(CL710+CJ710)/2,IF(LEFT(Cockpit!$O$5,1)="B",(CL710+BG710)/2,MAX((CL710+BG710)/2,H710))))</f>
        <v>0.5</v>
      </c>
      <c r="BF710" s="62" t="n">
        <f aca="false">BE710*G710</f>
        <v>134</v>
      </c>
      <c r="BG710" s="62" t="n">
        <f aca="false">ROUNDUP(CL710+MAX(CM710,2*(J710/IF(CH710&gt;0,CH710,MAX(0.1,N(Cockpit!$O$6)))-CL710)),0)</f>
        <v>1</v>
      </c>
      <c r="BH710" s="63" t="n">
        <f aca="false">IF(BD710&gt;0,J710/BD710,-1)</f>
        <v>0</v>
      </c>
      <c r="BI710" s="63" t="n">
        <f aca="false">IF(AND(OR(CG710="L1",CG710="L23",CG710="LIFT"),BD710&gt;0),SUMIFS($BD$7:$BD$1843,$CG$7:$CG$1843,CG710,$BH$7:$BH$1843,"&gt;"&amp;BH710)+SUMIFS($BD$7:$BD$1843,$CG$7:$CG$1843,CG710,$BH$7:$BH$1843,BH710,$BX$7:$BX$1843,"&lt;="&amp;BX710),"")</f>
        <v>28122.8487846899</v>
      </c>
      <c r="BJ710" s="70" t="n">
        <f aca="false">IF(BI710="",0,MAX(0,MIN(1,(IF(CG710="L1",Parameter!$H$5,IF(CG710="L23",Parameter!$H$6+Parameter!$H$7,Parameter!$H$5+Parameter!$H$6+Parameter!$H$7))-(BI710-BD710))/BD710)))</f>
        <v>1</v>
      </c>
      <c r="BK710" s="60" t="str">
        <f aca="false">IF(AJ710&lt;=0,"",IF(CG710="Aussen","Aussenlager",IF(CG710="-","Nicht im Lift",IF(AP710&gt;=1,"Lift",IF(AP710&lt;=0,"Aussenlager","teilweise")))))</f>
        <v/>
      </c>
      <c r="BL710" s="60" t="str">
        <f aca="false">IF(AT710&lt;=0,"",IF(CG710="Aussen","Aussenlager",IF(CG710="-","Nicht im Lift",IF(AZ710&gt;=1,"Lift",IF(AZ710&lt;=0,"Aussenlager","teilweise")))))</f>
        <v>Lift</v>
      </c>
      <c r="BM710" s="60" t="str">
        <f aca="false">IF(BD710&lt;=0,"",IF(CG710="Aussen","Aussenlager",IF(CG710="-","Nicht im Lift",IF(BJ710&gt;=1,"Lift",IF(BJ710&lt;=0,"Aussenlager","teilweise")))))</f>
        <v>Lift</v>
      </c>
      <c r="BN710" s="60" t="str">
        <f aca="false">IF(A710="","",IF(BW710=1,"Neu; ","")&amp;IF(AND(BW710=0,BR710&lt;0),"negativer Bestand (Export "&amp;BR710&amp;"); ","")&amp;IF(J710&lt;=0,"Kein Verbrauch; ","")&amp;IF(CR710&gt;0,"Lift "&amp;W710&amp;" lt. Liftbericht (Fach "&amp;X710&amp;" Stk); ",IF(CB710=1,"Gebinde geschätzt ("&amp;T710&amp;"); ",IF(CA710=1,"Lose – Tablare geschätzt; ","")))&amp;IF(H710&gt;AW710,"Überbestand "&amp;ROUND(H710-AW710,0)&amp;" Stk / CHF "&amp;ROUND((H710-AW710)*G710,0)&amp;"; ","")&amp;IF(AND(CI710=1,CJ710&lt;CK710),"MAX &lt; MB+LG; ","")&amp;IF(AND(CQ710&gt;0,CP710*10&gt;CQ710),"zu hoch für Tablar; ","")&amp;IF(AND(BW710=0,OR(CI710=1,AB710&lt;&gt;"",U710&lt;&gt;"",V710&lt;&gt;"",AC710&lt;&gt;"")),"manuell übersteuert; ","")&amp;IF(AND(CA710=0,R710=0),"Gebinde unbekannt / Stellmass fehlt; ","")&amp;IF(AND(CA710=0,N(V710)&lt;=0,N(Q710)&lt;=0),"Menge pro Gebinde fehlt (Ist = 1 Gebinde); ","")&amp;BV710)</f>
        <v>Kein Verbrauch; Gebinde geschätzt (Klein); Menge pro Gebinde fehlt (Ist = 1 Gebinde); </v>
      </c>
      <c r="BO710" s="60"/>
      <c r="BP710" s="60"/>
      <c r="BQ710" s="67"/>
      <c r="BR710" s="62" t="n">
        <v>0</v>
      </c>
      <c r="BS710" s="62" t="n">
        <v>0</v>
      </c>
      <c r="BT710" s="61" t="n">
        <v>0</v>
      </c>
      <c r="BU710" s="62" t="n">
        <v>0</v>
      </c>
      <c r="BV710" s="60"/>
      <c r="BW710" s="65" t="n">
        <v>0</v>
      </c>
      <c r="BX710" s="65" t="n">
        <v>710</v>
      </c>
      <c r="BY710" s="60" t="str">
        <f aca="false">IF(U710&lt;&gt;"",UPPER(TRIM(U710)),IF(CB710=1,UPPER(VLOOKUP(T710,Parameter!$I$27:$K$29,2,0)),IF(P710="","LOSE",P710)))</f>
        <v>S51</v>
      </c>
      <c r="BZ710" s="62" t="n">
        <f aca="false">IF(BY710="LOSE",1,IF(N(V710)&gt;0,V710,IF(CB710=1,MAX(1,N(VLOOKUP(T710,Parameter!$I$27:$K$29,3,0)),H710,N(N710)),IF(N(Q710)&gt;0,Q710,MAX(1,H710)))))</f>
        <v>20</v>
      </c>
      <c r="CA710" s="65" t="n">
        <f aca="false">IF(BY710="LOSE",1,0)</f>
        <v>0</v>
      </c>
      <c r="CB710" s="65" t="n">
        <f aca="false">IF(AND(U710="",OR(P710="",P710="LOSE"),T710&lt;&gt;"",N(S710)&lt;=0,ISNUMBER(MATCH(T710,Parameter!$I$27:$I$29,0))),1,0)</f>
        <v>1</v>
      </c>
      <c r="CC710" s="65" t="n">
        <f aca="false">IF(CR710&gt;0,INDEX(Parameter!$H$5:$H$7,W710)/INDEX(Parameter!$E$5:$E$7,W710),IF(AND(CA710=0,N(IFERROR(VLOOKUP(BY710,'Gebinde-Kategorie'!$A$5:$N$45,14,0),0))&gt;0),VLOOKUP(BY710,'Gebinde-Kategorie'!$A$5:$N$45,14,0)*10+Parameter!$M$23,Parameter!$M$24))</f>
        <v>155</v>
      </c>
      <c r="CD710" s="60" t="str">
        <f aca="false">IF(AND(Parameter!$B$19="Ja",E710&lt;&gt;"",ISNUMBER(MATCH(E710,Parameter!$I$35:$I$52,0))),VLOOKUP(E710,Parameter!$I$35:$J$52,2,0),IFERROR(VLOOKUP(D710,Parameter!$A$35:$C$64,2,0),"Nein"))</f>
        <v>2+3</v>
      </c>
      <c r="CE710" s="64" t="n">
        <f aca="false">IF(CA710=0,0,IF(N(S710)&gt;0,S710,IFERROR(VLOOKUP(D710,Parameter!$A$35:$C$64,3,0)+0,0)))</f>
        <v>0</v>
      </c>
      <c r="CF710" s="60" t="n">
        <f aca="false">IF(AB710&lt;&gt;"",AB710,AA710)</f>
        <v>3</v>
      </c>
      <c r="CG710" s="60" t="str">
        <f aca="false">IF(OR(CF710=1,CF710=2,CF710=3),IF(Parameter!$E$27="Ja","LIFT",IF(CF710=1,"L1","L23")),IF(CF710="Aussen","Aussen","-"))</f>
        <v>LIFT</v>
      </c>
      <c r="CH710" s="71" t="n">
        <f aca="false">IF(N(AC710)&gt;0,AC710,0)</f>
        <v>0</v>
      </c>
      <c r="CI710" s="65" t="n">
        <f aca="false">IF(ISNUMBER(AF710),1,0)</f>
        <v>0</v>
      </c>
      <c r="CJ710" s="62" t="n">
        <f aca="false">N(AF710)</f>
        <v>0</v>
      </c>
      <c r="CK710" s="62" t="n">
        <f aca="false">N(M710)+N(N710)</f>
        <v>1</v>
      </c>
      <c r="CL710" s="62" t="n">
        <f aca="false">N(M710)</f>
        <v>0</v>
      </c>
      <c r="CM710" s="62" t="n">
        <f aca="false">N(N710)</f>
        <v>1</v>
      </c>
      <c r="CN710" s="62" t="n">
        <f aca="false">ROUNDUP(H710/BZ710,0)</f>
        <v>0</v>
      </c>
      <c r="CO710" s="62" t="n">
        <f aca="false">ROUNDUP(CJ710/BZ710,0)</f>
        <v>0</v>
      </c>
      <c r="CP710" s="65" t="n">
        <f aca="false">IF(CA710=1,0,IFERROR(VLOOKUP(BY710,'Gebinde-Kategorie'!$A$5:$N$45,5,0)+0,0))</f>
        <v>11</v>
      </c>
      <c r="CQ710" s="65" t="n">
        <f aca="false">IFERROR(IF(OR(CF710=1,CF710=2,CF710=3),N(INDEX(Parameter!$I$5:$I$7,CF710)),0),0)</f>
        <v>0</v>
      </c>
      <c r="CR710" s="64" t="n">
        <f aca="false">IF(AND(Parameter!$B$21="Ja",ISNUMBER(W710),N(X710)&gt;0),IFERROR(N(INDEX(Parameter!$L$5:$L$7,W710))*INDEX(Parameter!$E$5:$E$7,W710)*X710/SUMIFS($X$7:$X$1843,$W$7:$W$1843,W710),0),0)</f>
        <v>0</v>
      </c>
      <c r="CS710" s="62" t="str">
        <f aca="false">IF(AND(OR(CG710="L1",CG710="L23",CG710="LIFT"),H710&gt;0),CC710*IF(CR710&gt;0,CR710*MAX(1,H710/X710),IF(CA710=1,CE710,IF(R710&gt;0,CN710/R710,0))/MAX(0.1,N(Parameter!$M$21))),"")</f>
        <v/>
      </c>
      <c r="CT710" s="64" t="str">
        <f aca="false">IF(CS710="","",J710/H710)</f>
        <v/>
      </c>
      <c r="CU710" s="62" t="str">
        <f aca="false">IF(CS710="","",H710*G710)</f>
        <v/>
      </c>
      <c r="CV710" s="63" t="str">
        <f aca="false">IF(CS710="","",(CL710+ROUNDUP(CL710+MAX(CM710,2*(J710/MAX(0.1,N(Einkauf!$C$6))-CL710)),0))/2)</f>
        <v/>
      </c>
      <c r="CW710" s="62" t="str">
        <f aca="false">IF(CS710="","",MAX(0,H710-CV710)*G710)</f>
        <v/>
      </c>
      <c r="CX710" s="62" t="str">
        <f aca="false">IF(CS710="","",CS710*MAX(0,1-CV710/H710))</f>
        <v/>
      </c>
      <c r="CY710" s="64" t="str">
        <f aca="false">IF(CS710="","",PERCENTRANK($CS$7:$CS$1843,CS710)+PERCENTRANK($CU$7:$CU$1843,CU710)+1-PERCENTRANK($CT$7:$CT$1843,CT710))</f>
        <v/>
      </c>
      <c r="CZ710" s="72" t="str">
        <f aca="false">IF(CS710="","",CHOOSE(MATCH(Einkauf!$C$5,Parameter!$G$23:$G$27,0),CY710,CS710,CU710,-CT710,CW710)+ROW()/1000000000)</f>
        <v/>
      </c>
    </row>
    <row r="711" customFormat="false" ht="15" hidden="false" customHeight="false" outlineLevel="0" collapsed="false">
      <c r="A711" s="60" t="s">
        <v>1460</v>
      </c>
      <c r="B711" s="60" t="s">
        <v>1461</v>
      </c>
      <c r="C711" s="60" t="s">
        <v>206</v>
      </c>
      <c r="D711" s="60" t="s">
        <v>226</v>
      </c>
      <c r="E711" s="60"/>
      <c r="F711" s="60" t="s">
        <v>260</v>
      </c>
      <c r="G711" s="61" t="n">
        <v>644</v>
      </c>
      <c r="H711" s="62" t="n">
        <f aca="false">MAX(0,IF(AND(Parameter!$B$21="Ja",ISNUMBER(Y711)),Y711,IF(Parameter!$B$20="Jahresanfang 2025 + Export",BS711+BR711,BR711)))</f>
        <v>0</v>
      </c>
      <c r="I711" s="62" t="n">
        <f aca="false">H711*G711</f>
        <v>0</v>
      </c>
      <c r="J711" s="62" t="n">
        <f aca="false">BU711*Parameter!$B$18</f>
        <v>1</v>
      </c>
      <c r="K711" s="63" t="n">
        <v>0</v>
      </c>
      <c r="L711" s="64" t="n">
        <v>0</v>
      </c>
      <c r="M711" s="62" t="n">
        <v>0</v>
      </c>
      <c r="N711" s="62" t="n">
        <v>1</v>
      </c>
      <c r="O711" s="65" t="n">
        <v>28</v>
      </c>
      <c r="P711" s="60" t="s">
        <v>210</v>
      </c>
      <c r="Q711" s="62"/>
      <c r="R711" s="65" t="n">
        <f aca="false">IF(CA711=1,0,IFERROR(VLOOKUP(BY711,'Gebinde-Kategorie'!$A$5:$N$45,13,0)+0,0))</f>
        <v>26</v>
      </c>
      <c r="S711" s="66"/>
      <c r="T711" s="67" t="s">
        <v>317</v>
      </c>
      <c r="U711" s="67"/>
      <c r="V711" s="67"/>
      <c r="W711" s="60"/>
      <c r="X711" s="62"/>
      <c r="Y711" s="62"/>
      <c r="Z711" s="60" t="n">
        <v>3</v>
      </c>
      <c r="AA711" s="60" t="n">
        <f aca="false">IF(A711="","",IF(AND(Parameter!$B$21="Ja",ISNUMBER(W711)),W711,IF(AND(Parameter!$E$27="Ja",ISNUMBER(Z711),CD711&lt;&gt;"Nein"),Z711,IF(CD711="2+3",IF(ISNUMBER(SEARCH("grosser Artikel",BV711)),2,IFERROR(VLOOKUP(BY711,Parameter!$F$35:$G$64,2,0),2)),IF(OR(CD711="Nein",CD711=""),"-",CD711)))))</f>
        <v>3</v>
      </c>
      <c r="AB711" s="67"/>
      <c r="AC711" s="68"/>
      <c r="AD711" s="62" t="n">
        <f aca="false">AW711</f>
        <v>1</v>
      </c>
      <c r="AE711" s="62" t="n">
        <f aca="false">MAX(AW711,H711)</f>
        <v>1</v>
      </c>
      <c r="AF711" s="69"/>
      <c r="AG711" s="62" t="n">
        <f aca="false">IF(LEFT(Cockpit!$C$5,1)="A",H711,IF(Parameter!$E$30="MAX-Bestand",IF(CI711=1,CJ711,IF(LEFT(Cockpit!$C$5,1)="B",AM711,MAX(AM711,H711))),ROUNDUP(AK711,0)))</f>
        <v>0</v>
      </c>
      <c r="AH711" s="62" t="n">
        <f aca="false">IF(CA711=1,0,ROUNDUP(AG711/BZ711,0))</f>
        <v>0</v>
      </c>
      <c r="AI711" s="64" t="n">
        <f aca="false">IF(CR711&gt;0,CR711*MAX(1,AG711/X711),IF(CA711=1,IF(AG711&lt;=0,0,CE711*MAX(1,IF(H711&gt;0,AG711/H711,1))),IF(R711&gt;0,AH711/R711,0))/MAX(0.1,N(Parameter!$M$21)))</f>
        <v>0</v>
      </c>
      <c r="AJ711" s="62" t="n">
        <f aca="false">AI711*CC711</f>
        <v>0</v>
      </c>
      <c r="AK711" s="63" t="n">
        <f aca="false">IF(LEFT(Cockpit!$C$5,1)="A",H711,IF(CI711=1,(CL711+CJ711)/2,IF(LEFT(Cockpit!$C$5,1)="B",(CL711+AM711)/2,MAX((CL711+AM711)/2,H711))))</f>
        <v>0</v>
      </c>
      <c r="AL711" s="62" t="n">
        <f aca="false">AK711*G711</f>
        <v>0</v>
      </c>
      <c r="AM711" s="62" t="n">
        <f aca="false">ROUNDUP(CL711+MAX(CM711,2*(J711/IF(CH711&gt;0,CH711,MAX(0.1,N(Cockpit!$C$6)))-CL711)),0)</f>
        <v>1</v>
      </c>
      <c r="AN711" s="63" t="n">
        <f aca="false">IF(AJ711&gt;0,J711/AJ711,-1)</f>
        <v>-1</v>
      </c>
      <c r="AO711" s="63" t="str">
        <f aca="false">IF(AND(OR(CG711="L1",CG711="L23",CG711="LIFT"),AJ711&gt;0),SUMIFS($AJ$7:$AJ$1843,$CG$7:$CG$1843,CG711,$AN$7:$AN$1843,"&gt;"&amp;AN711)+SUMIFS($AJ$7:$AJ$1843,$CG$7:$CG$1843,CG711,$AN$7:$AN$1843,AN711,$BX$7:$BX$1843,"&lt;="&amp;BX711),"")</f>
        <v/>
      </c>
      <c r="AP711" s="70" t="n">
        <f aca="false">IF(AO711="",0,MAX(0,MIN(1,(IF(CG711="L1",Parameter!$H$5,IF(CG711="L23",Parameter!$H$6+Parameter!$H$7,Parameter!$H$5+Parameter!$H$6+Parameter!$H$7))-(AO711-AJ711))/AJ711)))</f>
        <v>0</v>
      </c>
      <c r="AQ711" s="62" t="n">
        <f aca="false">IF(LEFT(Cockpit!$I$5,1)="A",H711,IF(Parameter!$E$30="MAX-Bestand",IF(CI711=1,CJ711,IF(LEFT(Cockpit!$I$5,1)="B",AW711,MAX(AW711,H711))),ROUNDUP(AU711,0)))</f>
        <v>1</v>
      </c>
      <c r="AR711" s="62" t="n">
        <f aca="false">IF(CA711=1,0,ROUNDUP(AQ711/BZ711,0))</f>
        <v>1</v>
      </c>
      <c r="AS711" s="64" t="n">
        <f aca="false">IF(CR711&gt;0,CR711*MAX(1,AQ711/X711),IF(CA711=1,IF(AQ711&lt;=0,0,CE711*MAX(1,IF(H711&gt;0,AQ711/H711,1))),IF(R711&gt;0,AR711/R711,0))/MAX(0.1,N(Parameter!$M$21)))</f>
        <v>0.0384615384615385</v>
      </c>
      <c r="AT711" s="62" t="n">
        <f aca="false">AS711*CC711</f>
        <v>5.96153846153846</v>
      </c>
      <c r="AU711" s="63" t="n">
        <f aca="false">IF(LEFT(Cockpit!$I$5,1)="A",H711,IF(CI711=1,(CL711+CJ711)/2,IF(LEFT(Cockpit!$I$5,1)="B",(CL711+AW711)/2,MAX((CL711+AW711)/2,H711))))</f>
        <v>0.5</v>
      </c>
      <c r="AV711" s="62" t="n">
        <f aca="false">AU711*G711</f>
        <v>322</v>
      </c>
      <c r="AW711" s="62" t="n">
        <f aca="false">ROUNDUP(CL711+MAX(CM711,2*(J711/IF(CH711&gt;0,CH711,MAX(0.1,N(Cockpit!$I$6)))-CL711)),0)</f>
        <v>1</v>
      </c>
      <c r="AX711" s="63" t="n">
        <f aca="false">IF(AT711&gt;0,J711/AT711,-1)</f>
        <v>0.167741935483871</v>
      </c>
      <c r="AY711" s="63" t="n">
        <f aca="false">IF(AND(OR(CG711="L1",CG711="L23",CG711="LIFT"),AT711&gt;0),SUMIFS($AT$7:$AT$1843,$CG$7:$CG$1843,CG711,$AX$7:$AX$1843,"&gt;"&amp;AX711)+SUMIFS($AT$7:$AT$1843,$CG$7:$CG$1843,CG711,$AX$7:$AX$1843,AX711,$BX$7:$BX$1843,"&lt;="&amp;BX711),"")</f>
        <v>15638.2220695971</v>
      </c>
      <c r="AZ711" s="70" t="n">
        <f aca="false">IF(AY711="",0,MAX(0,MIN(1,(IF(CG711="L1",Parameter!$H$5,IF(CG711="L23",Parameter!$H$6+Parameter!$H$7,Parameter!$H$5+Parameter!$H$6+Parameter!$H$7))-(AY711-AT711))/AT711)))</f>
        <v>1</v>
      </c>
      <c r="BA711" s="62" t="n">
        <f aca="false">IF(LEFT(Cockpit!$O$5,1)="A",H711,IF(Parameter!$E$30="MAX-Bestand",IF(CI711=1,CJ711,IF(LEFT(Cockpit!$O$5,1)="B",BG711,MAX(BG711,H711))),ROUNDUP(BE711,0)))</f>
        <v>1</v>
      </c>
      <c r="BB711" s="62" t="n">
        <f aca="false">IF(CA711=1,0,ROUNDUP(BA711/BZ711,0))</f>
        <v>1</v>
      </c>
      <c r="BC711" s="64" t="n">
        <f aca="false">IF(CR711&gt;0,CR711*MAX(1,BA711/X711),IF(CA711=1,IF(BA711&lt;=0,0,CE711*MAX(1,IF(H711&gt;0,BA711/H711,1))),IF(R711&gt;0,BB711/R711,0))/MAX(0.1,N(Parameter!$M$21)))</f>
        <v>0.0384615384615385</v>
      </c>
      <c r="BD711" s="62" t="n">
        <f aca="false">BC711*CC711</f>
        <v>5.96153846153846</v>
      </c>
      <c r="BE711" s="63" t="n">
        <f aca="false">IF(LEFT(Cockpit!$O$5,1)="A",H711,IF(CI711=1,(CL711+CJ711)/2,IF(LEFT(Cockpit!$O$5,1)="B",(CL711+BG711)/2,MAX((CL711+BG711)/2,H711))))</f>
        <v>0.5</v>
      </c>
      <c r="BF711" s="62" t="n">
        <f aca="false">BE711*G711</f>
        <v>322</v>
      </c>
      <c r="BG711" s="62" t="n">
        <f aca="false">ROUNDUP(CL711+MAX(CM711,2*(J711/IF(CH711&gt;0,CH711,MAX(0.1,N(Cockpit!$O$6)))-CL711)),0)</f>
        <v>1</v>
      </c>
      <c r="BH711" s="63" t="n">
        <f aca="false">IF(BD711&gt;0,J711/BD711,-1)</f>
        <v>0.167741935483871</v>
      </c>
      <c r="BI711" s="63" t="n">
        <f aca="false">IF(AND(OR(CG711="L1",CG711="L23",CG711="LIFT"),BD711&gt;0),SUMIFS($BD$7:$BD$1843,$CG$7:$CG$1843,CG711,$BH$7:$BH$1843,"&gt;"&amp;BH711)+SUMIFS($BD$7:$BD$1843,$CG$7:$CG$1843,CG711,$BH$7:$BH$1843,BH711,$BX$7:$BX$1843,"&lt;="&amp;BX711),"")</f>
        <v>13440.5218978291</v>
      </c>
      <c r="BJ711" s="70" t="n">
        <f aca="false">IF(BI711="",0,MAX(0,MIN(1,(IF(CG711="L1",Parameter!$H$5,IF(CG711="L23",Parameter!$H$6+Parameter!$H$7,Parameter!$H$5+Parameter!$H$6+Parameter!$H$7))-(BI711-BD711))/BD711)))</f>
        <v>1</v>
      </c>
      <c r="BK711" s="60" t="str">
        <f aca="false">IF(AJ711&lt;=0,"",IF(CG711="Aussen","Aussenlager",IF(CG711="-","Nicht im Lift",IF(AP711&gt;=1,"Lift",IF(AP711&lt;=0,"Aussenlager","teilweise")))))</f>
        <v/>
      </c>
      <c r="BL711" s="60" t="str">
        <f aca="false">IF(AT711&lt;=0,"",IF(CG711="Aussen","Aussenlager",IF(CG711="-","Nicht im Lift",IF(AZ711&gt;=1,"Lift",IF(AZ711&lt;=0,"Aussenlager","teilweise")))))</f>
        <v>Lift</v>
      </c>
      <c r="BM711" s="60" t="str">
        <f aca="false">IF(BD711&lt;=0,"",IF(CG711="Aussen","Aussenlager",IF(CG711="-","Nicht im Lift",IF(BJ711&gt;=1,"Lift",IF(BJ711&lt;=0,"Aussenlager","teilweise")))))</f>
        <v>Lift</v>
      </c>
      <c r="BN711" s="60" t="str">
        <f aca="false">IF(A711="","",IF(BW711=1,"Neu; ","")&amp;IF(AND(BW711=0,BR711&lt;0),"negativer Bestand (Export "&amp;BR711&amp;"); ","")&amp;IF(J711&lt;=0,"Kein Verbrauch; ","")&amp;IF(CR711&gt;0,"Lift "&amp;W711&amp;" lt. Liftbericht (Fach "&amp;X711&amp;" Stk); ",IF(CB711=1,"Gebinde geschätzt ("&amp;T711&amp;"); ",IF(CA711=1,"Lose – Tablare geschätzt; ","")))&amp;IF(H711&gt;AW711,"Überbestand "&amp;ROUND(H711-AW711,0)&amp;" Stk / CHF "&amp;ROUND((H711-AW711)*G711,0)&amp;"; ","")&amp;IF(AND(CI711=1,CJ711&lt;CK711),"MAX &lt; MB+LG; ","")&amp;IF(AND(CQ711&gt;0,CP711*10&gt;CQ711),"zu hoch für Tablar; ","")&amp;IF(AND(BW711=0,OR(CI711=1,AB711&lt;&gt;"",U711&lt;&gt;"",V711&lt;&gt;"",AC711&lt;&gt;"")),"manuell übersteuert; ","")&amp;IF(AND(CA711=0,R711=0),"Gebinde unbekannt / Stellmass fehlt; ","")&amp;IF(AND(CA711=0,N(V711)&lt;=0,N(Q711)&lt;=0),"Menge pro Gebinde fehlt (Ist = 1 Gebinde); ","")&amp;BV711)</f>
        <v>Gebinde geschätzt (Klein); Menge pro Gebinde fehlt (Ist = 1 Gebinde); </v>
      </c>
      <c r="BO711" s="60"/>
      <c r="BP711" s="60"/>
      <c r="BQ711" s="67"/>
      <c r="BR711" s="62" t="n">
        <v>0</v>
      </c>
      <c r="BS711" s="62" t="n">
        <v>0</v>
      </c>
      <c r="BT711" s="61" t="n">
        <v>0</v>
      </c>
      <c r="BU711" s="62" t="n">
        <v>1</v>
      </c>
      <c r="BV711" s="60"/>
      <c r="BW711" s="65" t="n">
        <v>0</v>
      </c>
      <c r="BX711" s="65" t="n">
        <v>711</v>
      </c>
      <c r="BY711" s="60" t="str">
        <f aca="false">IF(U711&lt;&gt;"",UPPER(TRIM(U711)),IF(CB711=1,UPPER(VLOOKUP(T711,Parameter!$I$27:$K$29,2,0)),IF(P711="","LOSE",P711)))</f>
        <v>S51</v>
      </c>
      <c r="BZ711" s="62" t="n">
        <f aca="false">IF(BY711="LOSE",1,IF(N(V711)&gt;0,V711,IF(CB711=1,MAX(1,N(VLOOKUP(T711,Parameter!$I$27:$K$29,3,0)),H711,N(N711)),IF(N(Q711)&gt;0,Q711,MAX(1,H711)))))</f>
        <v>20</v>
      </c>
      <c r="CA711" s="65" t="n">
        <f aca="false">IF(BY711="LOSE",1,0)</f>
        <v>0</v>
      </c>
      <c r="CB711" s="65" t="n">
        <f aca="false">IF(AND(U711="",OR(P711="",P711="LOSE"),T711&lt;&gt;"",N(S711)&lt;=0,ISNUMBER(MATCH(T711,Parameter!$I$27:$I$29,0))),1,0)</f>
        <v>1</v>
      </c>
      <c r="CC711" s="65" t="n">
        <f aca="false">IF(CR711&gt;0,INDEX(Parameter!$H$5:$H$7,W711)/INDEX(Parameter!$E$5:$E$7,W711),IF(AND(CA711=0,N(IFERROR(VLOOKUP(BY711,'Gebinde-Kategorie'!$A$5:$N$45,14,0),0))&gt;0),VLOOKUP(BY711,'Gebinde-Kategorie'!$A$5:$N$45,14,0)*10+Parameter!$M$23,Parameter!$M$24))</f>
        <v>155</v>
      </c>
      <c r="CD711" s="60" t="str">
        <f aca="false">IF(AND(Parameter!$B$19="Ja",E711&lt;&gt;"",ISNUMBER(MATCH(E711,Parameter!$I$35:$I$52,0))),VLOOKUP(E711,Parameter!$I$35:$J$52,2,0),IFERROR(VLOOKUP(D711,Parameter!$A$35:$C$64,2,0),"Nein"))</f>
        <v>2+3</v>
      </c>
      <c r="CE711" s="64" t="n">
        <f aca="false">IF(CA711=0,0,IF(N(S711)&gt;0,S711,IFERROR(VLOOKUP(D711,Parameter!$A$35:$C$64,3,0)+0,0)))</f>
        <v>0</v>
      </c>
      <c r="CF711" s="60" t="n">
        <f aca="false">IF(AB711&lt;&gt;"",AB711,AA711)</f>
        <v>3</v>
      </c>
      <c r="CG711" s="60" t="str">
        <f aca="false">IF(OR(CF711=1,CF711=2,CF711=3),IF(Parameter!$E$27="Ja","LIFT",IF(CF711=1,"L1","L23")),IF(CF711="Aussen","Aussen","-"))</f>
        <v>LIFT</v>
      </c>
      <c r="CH711" s="71" t="n">
        <f aca="false">IF(N(AC711)&gt;0,AC711,0)</f>
        <v>0</v>
      </c>
      <c r="CI711" s="65" t="n">
        <f aca="false">IF(ISNUMBER(AF711),1,0)</f>
        <v>0</v>
      </c>
      <c r="CJ711" s="62" t="n">
        <f aca="false">N(AF711)</f>
        <v>0</v>
      </c>
      <c r="CK711" s="62" t="n">
        <f aca="false">N(M711)+N(N711)</f>
        <v>1</v>
      </c>
      <c r="CL711" s="62" t="n">
        <f aca="false">N(M711)</f>
        <v>0</v>
      </c>
      <c r="CM711" s="62" t="n">
        <f aca="false">N(N711)</f>
        <v>1</v>
      </c>
      <c r="CN711" s="62" t="n">
        <f aca="false">ROUNDUP(H711/BZ711,0)</f>
        <v>0</v>
      </c>
      <c r="CO711" s="62" t="n">
        <f aca="false">ROUNDUP(CJ711/BZ711,0)</f>
        <v>0</v>
      </c>
      <c r="CP711" s="65" t="n">
        <f aca="false">IF(CA711=1,0,IFERROR(VLOOKUP(BY711,'Gebinde-Kategorie'!$A$5:$N$45,5,0)+0,0))</f>
        <v>11</v>
      </c>
      <c r="CQ711" s="65" t="n">
        <f aca="false">IFERROR(IF(OR(CF711=1,CF711=2,CF711=3),N(INDEX(Parameter!$I$5:$I$7,CF711)),0),0)</f>
        <v>0</v>
      </c>
      <c r="CR711" s="64" t="n">
        <f aca="false">IF(AND(Parameter!$B$21="Ja",ISNUMBER(W711),N(X711)&gt;0),IFERROR(N(INDEX(Parameter!$L$5:$L$7,W711))*INDEX(Parameter!$E$5:$E$7,W711)*X711/SUMIFS($X$7:$X$1843,$W$7:$W$1843,W711),0),0)</f>
        <v>0</v>
      </c>
      <c r="CS711" s="62" t="str">
        <f aca="false">IF(AND(OR(CG711="L1",CG711="L23",CG711="LIFT"),H711&gt;0),CC711*IF(CR711&gt;0,CR711*MAX(1,H711/X711),IF(CA711=1,CE711,IF(R711&gt;0,CN711/R711,0))/MAX(0.1,N(Parameter!$M$21))),"")</f>
        <v/>
      </c>
      <c r="CT711" s="64" t="str">
        <f aca="false">IF(CS711="","",J711/H711)</f>
        <v/>
      </c>
      <c r="CU711" s="62" t="str">
        <f aca="false">IF(CS711="","",H711*G711)</f>
        <v/>
      </c>
      <c r="CV711" s="63" t="str">
        <f aca="false">IF(CS711="","",(CL711+ROUNDUP(CL711+MAX(CM711,2*(J711/MAX(0.1,N(Einkauf!$C$6))-CL711)),0))/2)</f>
        <v/>
      </c>
      <c r="CW711" s="62" t="str">
        <f aca="false">IF(CS711="","",MAX(0,H711-CV711)*G711)</f>
        <v/>
      </c>
      <c r="CX711" s="62" t="str">
        <f aca="false">IF(CS711="","",CS711*MAX(0,1-CV711/H711))</f>
        <v/>
      </c>
      <c r="CY711" s="64" t="str">
        <f aca="false">IF(CS711="","",PERCENTRANK($CS$7:$CS$1843,CS711)+PERCENTRANK($CU$7:$CU$1843,CU711)+1-PERCENTRANK($CT$7:$CT$1843,CT711))</f>
        <v/>
      </c>
      <c r="CZ711" s="72" t="str">
        <f aca="false">IF(CS711="","",CHOOSE(MATCH(Einkauf!$C$5,Parameter!$G$23:$G$27,0),CY711,CS711,CU711,-CT711,CW711)+ROW()/1000000000)</f>
        <v/>
      </c>
    </row>
    <row r="712" customFormat="false" ht="15" hidden="false" customHeight="false" outlineLevel="0" collapsed="false">
      <c r="A712" s="60" t="s">
        <v>1462</v>
      </c>
      <c r="B712" s="60" t="s">
        <v>504</v>
      </c>
      <c r="C712" s="60" t="s">
        <v>206</v>
      </c>
      <c r="D712" s="60" t="s">
        <v>215</v>
      </c>
      <c r="E712" s="60"/>
      <c r="F712" s="60" t="s">
        <v>260</v>
      </c>
      <c r="G712" s="61" t="n">
        <v>531.26</v>
      </c>
      <c r="H712" s="62" t="n">
        <f aca="false">MAX(0,IF(AND(Parameter!$B$21="Ja",ISNUMBER(Y712)),Y712,IF(Parameter!$B$20="Jahresanfang 2025 + Export",BS712+BR712,BR712)))</f>
        <v>0</v>
      </c>
      <c r="I712" s="62" t="n">
        <f aca="false">H712*G712</f>
        <v>0</v>
      </c>
      <c r="J712" s="62" t="n">
        <f aca="false">BU712*Parameter!$B$18</f>
        <v>0</v>
      </c>
      <c r="K712" s="63" t="n">
        <v>0</v>
      </c>
      <c r="L712" s="64" t="n">
        <v>0</v>
      </c>
      <c r="M712" s="62" t="n">
        <v>0</v>
      </c>
      <c r="N712" s="62" t="n">
        <v>1</v>
      </c>
      <c r="O712" s="65" t="n">
        <v>28</v>
      </c>
      <c r="P712" s="60" t="s">
        <v>210</v>
      </c>
      <c r="Q712" s="62"/>
      <c r="R712" s="65" t="n">
        <f aca="false">IF(CA712=1,0,IFERROR(VLOOKUP(BY712,'Gebinde-Kategorie'!$A$5:$N$45,13,0)+0,0))</f>
        <v>4</v>
      </c>
      <c r="S712" s="66"/>
      <c r="T712" s="67" t="s">
        <v>231</v>
      </c>
      <c r="U712" s="67"/>
      <c r="V712" s="67"/>
      <c r="W712" s="60"/>
      <c r="X712" s="62"/>
      <c r="Y712" s="62"/>
      <c r="Z712" s="60" t="n">
        <v>2</v>
      </c>
      <c r="AA712" s="60" t="n">
        <f aca="false">IF(A712="","",IF(AND(Parameter!$B$21="Ja",ISNUMBER(W712)),W712,IF(AND(Parameter!$E$27="Ja",ISNUMBER(Z712),CD712&lt;&gt;"Nein"),Z712,IF(CD712="2+3",IF(ISNUMBER(SEARCH("grosser Artikel",BV712)),2,IFERROR(VLOOKUP(BY712,Parameter!$F$35:$G$64,2,0),2)),IF(OR(CD712="Nein",CD712=""),"-",CD712)))))</f>
        <v>2</v>
      </c>
      <c r="AB712" s="67"/>
      <c r="AC712" s="68"/>
      <c r="AD712" s="62" t="n">
        <f aca="false">AW712</f>
        <v>1</v>
      </c>
      <c r="AE712" s="62" t="n">
        <f aca="false">MAX(AW712,H712)</f>
        <v>1</v>
      </c>
      <c r="AF712" s="69"/>
      <c r="AG712" s="62" t="n">
        <f aca="false">IF(LEFT(Cockpit!$C$5,1)="A",H712,IF(Parameter!$E$30="MAX-Bestand",IF(CI712=1,CJ712,IF(LEFT(Cockpit!$C$5,1)="B",AM712,MAX(AM712,H712))),ROUNDUP(AK712,0)))</f>
        <v>0</v>
      </c>
      <c r="AH712" s="62" t="n">
        <f aca="false">IF(CA712=1,0,ROUNDUP(AG712/BZ712,0))</f>
        <v>0</v>
      </c>
      <c r="AI712" s="64" t="n">
        <f aca="false">IF(CR712&gt;0,CR712*MAX(1,AG712/X712),IF(CA712=1,IF(AG712&lt;=0,0,CE712*MAX(1,IF(H712&gt;0,AG712/H712,1))),IF(R712&gt;0,AH712/R712,0))/MAX(0.1,N(Parameter!$M$21)))</f>
        <v>0</v>
      </c>
      <c r="AJ712" s="62" t="n">
        <f aca="false">AI712*CC712</f>
        <v>0</v>
      </c>
      <c r="AK712" s="63" t="n">
        <f aca="false">IF(LEFT(Cockpit!$C$5,1)="A",H712,IF(CI712=1,(CL712+CJ712)/2,IF(LEFT(Cockpit!$C$5,1)="B",(CL712+AM712)/2,MAX((CL712+AM712)/2,H712))))</f>
        <v>0</v>
      </c>
      <c r="AL712" s="62" t="n">
        <f aca="false">AK712*G712</f>
        <v>0</v>
      </c>
      <c r="AM712" s="62" t="n">
        <f aca="false">ROUNDUP(CL712+MAX(CM712,2*(J712/IF(CH712&gt;0,CH712,MAX(0.1,N(Cockpit!$C$6)))-CL712)),0)</f>
        <v>1</v>
      </c>
      <c r="AN712" s="63" t="n">
        <f aca="false">IF(AJ712&gt;0,J712/AJ712,-1)</f>
        <v>-1</v>
      </c>
      <c r="AO712" s="63" t="str">
        <f aca="false">IF(AND(OR(CG712="L1",CG712="L23",CG712="LIFT"),AJ712&gt;0),SUMIFS($AJ$7:$AJ$1843,$CG$7:$CG$1843,CG712,$AN$7:$AN$1843,"&gt;"&amp;AN712)+SUMIFS($AJ$7:$AJ$1843,$CG$7:$CG$1843,CG712,$AN$7:$AN$1843,AN712,$BX$7:$BX$1843,"&lt;="&amp;BX712),"")</f>
        <v/>
      </c>
      <c r="AP712" s="70" t="n">
        <f aca="false">IF(AO712="",0,MAX(0,MIN(1,(IF(CG712="L1",Parameter!$H$5,IF(CG712="L23",Parameter!$H$6+Parameter!$H$7,Parameter!$H$5+Parameter!$H$6+Parameter!$H$7))-(AO712-AJ712))/AJ712)))</f>
        <v>0</v>
      </c>
      <c r="AQ712" s="62" t="n">
        <f aca="false">IF(LEFT(Cockpit!$I$5,1)="A",H712,IF(Parameter!$E$30="MAX-Bestand",IF(CI712=1,CJ712,IF(LEFT(Cockpit!$I$5,1)="B",AW712,MAX(AW712,H712))),ROUNDUP(AU712,0)))</f>
        <v>1</v>
      </c>
      <c r="AR712" s="62" t="n">
        <f aca="false">IF(CA712=1,0,ROUNDUP(AQ712/BZ712,0))</f>
        <v>1</v>
      </c>
      <c r="AS712" s="64" t="n">
        <f aca="false">IF(CR712&gt;0,CR712*MAX(1,AQ712/X712),IF(CA712=1,IF(AQ712&lt;=0,0,CE712*MAX(1,IF(H712&gt;0,AQ712/H712,1))),IF(R712&gt;0,AR712/R712,0))/MAX(0.1,N(Parameter!$M$21)))</f>
        <v>0.25</v>
      </c>
      <c r="AT712" s="62" t="n">
        <f aca="false">AS712*CC712</f>
        <v>58.75</v>
      </c>
      <c r="AU712" s="63" t="n">
        <f aca="false">IF(LEFT(Cockpit!$I$5,1)="A",H712,IF(CI712=1,(CL712+CJ712)/2,IF(LEFT(Cockpit!$I$5,1)="B",(CL712+AW712)/2,MAX((CL712+AW712)/2,H712))))</f>
        <v>0.5</v>
      </c>
      <c r="AV712" s="62" t="n">
        <f aca="false">AU712*G712</f>
        <v>265.63</v>
      </c>
      <c r="AW712" s="62" t="n">
        <f aca="false">ROUNDUP(CL712+MAX(CM712,2*(J712/IF(CH712&gt;0,CH712,MAX(0.1,N(Cockpit!$I$6)))-CL712)),0)</f>
        <v>1</v>
      </c>
      <c r="AX712" s="63" t="n">
        <f aca="false">IF(AT712&gt;0,J712/AT712,-1)</f>
        <v>0</v>
      </c>
      <c r="AY712" s="63" t="n">
        <f aca="false">IF(AND(OR(CG712="L1",CG712="L23",CG712="LIFT"),AT712&gt;0),SUMIFS($AT$7:$AT$1843,$CG$7:$CG$1843,CG712,$AX$7:$AX$1843,"&gt;"&amp;AX712)+SUMIFS($AT$7:$AT$1843,$CG$7:$CG$1843,CG712,$AX$7:$AX$1843,AX712,$BX$7:$BX$1843,"&lt;="&amp;BX712),"")</f>
        <v>34117.4697802198</v>
      </c>
      <c r="AZ712" s="70" t="n">
        <f aca="false">IF(AY712="",0,MAX(0,MIN(1,(IF(CG712="L1",Parameter!$H$5,IF(CG712="L23",Parameter!$H$6+Parameter!$H$7,Parameter!$H$5+Parameter!$H$6+Parameter!$H$7))-(AY712-AT712))/AT712)))</f>
        <v>1</v>
      </c>
      <c r="BA712" s="62" t="n">
        <f aca="false">IF(LEFT(Cockpit!$O$5,1)="A",H712,IF(Parameter!$E$30="MAX-Bestand",IF(CI712=1,CJ712,IF(LEFT(Cockpit!$O$5,1)="B",BG712,MAX(BG712,H712))),ROUNDUP(BE712,0)))</f>
        <v>1</v>
      </c>
      <c r="BB712" s="62" t="n">
        <f aca="false">IF(CA712=1,0,ROUNDUP(BA712/BZ712,0))</f>
        <v>1</v>
      </c>
      <c r="BC712" s="64" t="n">
        <f aca="false">IF(CR712&gt;0,CR712*MAX(1,BA712/X712),IF(CA712=1,IF(BA712&lt;=0,0,CE712*MAX(1,IF(H712&gt;0,BA712/H712,1))),IF(R712&gt;0,BB712/R712,0))/MAX(0.1,N(Parameter!$M$21)))</f>
        <v>0.25</v>
      </c>
      <c r="BD712" s="62" t="n">
        <f aca="false">BC712*CC712</f>
        <v>58.75</v>
      </c>
      <c r="BE712" s="63" t="n">
        <f aca="false">IF(LEFT(Cockpit!$O$5,1)="A",H712,IF(CI712=1,(CL712+CJ712)/2,IF(LEFT(Cockpit!$O$5,1)="B",(CL712+BG712)/2,MAX((CL712+BG712)/2,H712))))</f>
        <v>0.5</v>
      </c>
      <c r="BF712" s="62" t="n">
        <f aca="false">BE712*G712</f>
        <v>265.63</v>
      </c>
      <c r="BG712" s="62" t="n">
        <f aca="false">ROUNDUP(CL712+MAX(CM712,2*(J712/IF(CH712&gt;0,CH712,MAX(0.1,N(Cockpit!$O$6)))-CL712)),0)</f>
        <v>1</v>
      </c>
      <c r="BH712" s="63" t="n">
        <f aca="false">IF(BD712&gt;0,J712/BD712,-1)</f>
        <v>0</v>
      </c>
      <c r="BI712" s="63" t="n">
        <f aca="false">IF(AND(OR(CG712="L1",CG712="L23",CG712="LIFT"),BD712&gt;0),SUMIFS($BD$7:$BD$1843,$CG$7:$CG$1843,CG712,$BH$7:$BH$1843,"&gt;"&amp;BH712)+SUMIFS($BD$7:$BD$1843,$CG$7:$CG$1843,CG712,$BH$7:$BH$1843,BH712,$BX$7:$BX$1843,"&lt;="&amp;BX712),"")</f>
        <v>28181.5987846899</v>
      </c>
      <c r="BJ712" s="70" t="n">
        <f aca="false">IF(BI712="",0,MAX(0,MIN(1,(IF(CG712="L1",Parameter!$H$5,IF(CG712="L23",Parameter!$H$6+Parameter!$H$7,Parameter!$H$5+Parameter!$H$6+Parameter!$H$7))-(BI712-BD712))/BD712)))</f>
        <v>1</v>
      </c>
      <c r="BK712" s="60" t="str">
        <f aca="false">IF(AJ712&lt;=0,"",IF(CG712="Aussen","Aussenlager",IF(CG712="-","Nicht im Lift",IF(AP712&gt;=1,"Lift",IF(AP712&lt;=0,"Aussenlager","teilweise")))))</f>
        <v/>
      </c>
      <c r="BL712" s="60" t="str">
        <f aca="false">IF(AT712&lt;=0,"",IF(CG712="Aussen","Aussenlager",IF(CG712="-","Nicht im Lift",IF(AZ712&gt;=1,"Lift",IF(AZ712&lt;=0,"Aussenlager","teilweise")))))</f>
        <v>Lift</v>
      </c>
      <c r="BM712" s="60" t="str">
        <f aca="false">IF(BD712&lt;=0,"",IF(CG712="Aussen","Aussenlager",IF(CG712="-","Nicht im Lift",IF(BJ712&gt;=1,"Lift",IF(BJ712&lt;=0,"Aussenlager","teilweise")))))</f>
        <v>Lift</v>
      </c>
      <c r="BN712" s="60" t="str">
        <f aca="false">IF(A712="","",IF(BW712=1,"Neu; ","")&amp;IF(AND(BW712=0,BR712&lt;0),"negativer Bestand (Export "&amp;BR712&amp;"); ","")&amp;IF(J712&lt;=0,"Kein Verbrauch; ","")&amp;IF(CR712&gt;0,"Lift "&amp;W712&amp;" lt. Liftbericht (Fach "&amp;X712&amp;" Stk); ",IF(CB712=1,"Gebinde geschätzt ("&amp;T712&amp;"); ",IF(CA712=1,"Lose – Tablare geschätzt; ","")))&amp;IF(H712&gt;AW712,"Überbestand "&amp;ROUND(H712-AW712,0)&amp;" Stk / CHF "&amp;ROUND((H712-AW712)*G712,0)&amp;"; ","")&amp;IF(AND(CI712=1,CJ712&lt;CK712),"MAX &lt; MB+LG; ","")&amp;IF(AND(CQ712&gt;0,CP712*10&gt;CQ712),"zu hoch für Tablar; ","")&amp;IF(AND(BW712=0,OR(CI712=1,AB712&lt;&gt;"",U712&lt;&gt;"",V712&lt;&gt;"",AC712&lt;&gt;"")),"manuell übersteuert; ","")&amp;IF(AND(CA712=0,R712=0),"Gebinde unbekannt / Stellmass fehlt; ","")&amp;IF(AND(CA712=0,N(V712)&lt;=0,N(Q712)&lt;=0),"Menge pro Gebinde fehlt (Ist = 1 Gebinde); ","")&amp;BV712)</f>
        <v>Kein Verbrauch; Gebinde geschätzt (Gross); Menge pro Gebinde fehlt (Ist = 1 Gebinde); </v>
      </c>
      <c r="BO712" s="60"/>
      <c r="BP712" s="60"/>
      <c r="BQ712" s="67"/>
      <c r="BR712" s="62" t="n">
        <v>0</v>
      </c>
      <c r="BS712" s="62" t="n">
        <v>0</v>
      </c>
      <c r="BT712" s="61" t="n">
        <v>0</v>
      </c>
      <c r="BU712" s="62" t="n">
        <v>0</v>
      </c>
      <c r="BV712" s="60"/>
      <c r="BW712" s="65" t="n">
        <v>0</v>
      </c>
      <c r="BX712" s="65" t="n">
        <v>712</v>
      </c>
      <c r="BY712" s="60" t="str">
        <f aca="false">IF(U712&lt;&gt;"",UPPER(TRIM(U712)),IF(CB712=1,UPPER(VLOOKUP(T712,Parameter!$I$27:$K$29,2,0)),IF(P712="","LOSE",P712)))</f>
        <v>S81</v>
      </c>
      <c r="BZ712" s="62" t="n">
        <f aca="false">IF(BY712="LOSE",1,IF(N(V712)&gt;0,V712,IF(CB712=1,MAX(1,N(VLOOKUP(T712,Parameter!$I$27:$K$29,3,0)),H712,N(N712)),IF(N(Q712)&gt;0,Q712,MAX(1,H712)))))</f>
        <v>2</v>
      </c>
      <c r="CA712" s="65" t="n">
        <f aca="false">IF(BY712="LOSE",1,0)</f>
        <v>0</v>
      </c>
      <c r="CB712" s="65" t="n">
        <f aca="false">IF(AND(U712="",OR(P712="",P712="LOSE"),T712&lt;&gt;"",N(S712)&lt;=0,ISNUMBER(MATCH(T712,Parameter!$I$27:$I$29,0))),1,0)</f>
        <v>1</v>
      </c>
      <c r="CC712" s="65" t="n">
        <f aca="false">IF(CR712&gt;0,INDEX(Parameter!$H$5:$H$7,W712)/INDEX(Parameter!$E$5:$E$7,W712),IF(AND(CA712=0,N(IFERROR(VLOOKUP(BY712,'Gebinde-Kategorie'!$A$5:$N$45,14,0),0))&gt;0),VLOOKUP(BY712,'Gebinde-Kategorie'!$A$5:$N$45,14,0)*10+Parameter!$M$23,Parameter!$M$24))</f>
        <v>235</v>
      </c>
      <c r="CD712" s="60" t="str">
        <f aca="false">IF(AND(Parameter!$B$19="Ja",E712&lt;&gt;"",ISNUMBER(MATCH(E712,Parameter!$I$35:$I$52,0))),VLOOKUP(E712,Parameter!$I$35:$J$52,2,0),IFERROR(VLOOKUP(D712,Parameter!$A$35:$C$64,2,0),"Nein"))</f>
        <v>2+3</v>
      </c>
      <c r="CE712" s="64" t="n">
        <f aca="false">IF(CA712=0,0,IF(N(S712)&gt;0,S712,IFERROR(VLOOKUP(D712,Parameter!$A$35:$C$64,3,0)+0,0)))</f>
        <v>0</v>
      </c>
      <c r="CF712" s="60" t="n">
        <f aca="false">IF(AB712&lt;&gt;"",AB712,AA712)</f>
        <v>2</v>
      </c>
      <c r="CG712" s="60" t="str">
        <f aca="false">IF(OR(CF712=1,CF712=2,CF712=3),IF(Parameter!$E$27="Ja","LIFT",IF(CF712=1,"L1","L23")),IF(CF712="Aussen","Aussen","-"))</f>
        <v>LIFT</v>
      </c>
      <c r="CH712" s="71" t="n">
        <f aca="false">IF(N(AC712)&gt;0,AC712,0)</f>
        <v>0</v>
      </c>
      <c r="CI712" s="65" t="n">
        <f aca="false">IF(ISNUMBER(AF712),1,0)</f>
        <v>0</v>
      </c>
      <c r="CJ712" s="62" t="n">
        <f aca="false">N(AF712)</f>
        <v>0</v>
      </c>
      <c r="CK712" s="62" t="n">
        <f aca="false">N(M712)+N(N712)</f>
        <v>1</v>
      </c>
      <c r="CL712" s="62" t="n">
        <f aca="false">N(M712)</f>
        <v>0</v>
      </c>
      <c r="CM712" s="62" t="n">
        <f aca="false">N(N712)</f>
        <v>1</v>
      </c>
      <c r="CN712" s="62" t="n">
        <f aca="false">ROUNDUP(H712/BZ712,0)</f>
        <v>0</v>
      </c>
      <c r="CO712" s="62" t="n">
        <f aca="false">ROUNDUP(CJ712/BZ712,0)</f>
        <v>0</v>
      </c>
      <c r="CP712" s="65" t="n">
        <f aca="false">IF(CA712=1,0,IFERROR(VLOOKUP(BY712,'Gebinde-Kategorie'!$A$5:$N$45,5,0)+0,0))</f>
        <v>20</v>
      </c>
      <c r="CQ712" s="65" t="n">
        <f aca="false">IFERROR(IF(OR(CF712=1,CF712=2,CF712=3),N(INDEX(Parameter!$I$5:$I$7,CF712)),0),0)</f>
        <v>0</v>
      </c>
      <c r="CR712" s="64" t="n">
        <f aca="false">IF(AND(Parameter!$B$21="Ja",ISNUMBER(W712),N(X712)&gt;0),IFERROR(N(INDEX(Parameter!$L$5:$L$7,W712))*INDEX(Parameter!$E$5:$E$7,W712)*X712/SUMIFS($X$7:$X$1843,$W$7:$W$1843,W712),0),0)</f>
        <v>0</v>
      </c>
      <c r="CS712" s="62" t="str">
        <f aca="false">IF(AND(OR(CG712="L1",CG712="L23",CG712="LIFT"),H712&gt;0),CC712*IF(CR712&gt;0,CR712*MAX(1,H712/X712),IF(CA712=1,CE712,IF(R712&gt;0,CN712/R712,0))/MAX(0.1,N(Parameter!$M$21))),"")</f>
        <v/>
      </c>
      <c r="CT712" s="64" t="str">
        <f aca="false">IF(CS712="","",J712/H712)</f>
        <v/>
      </c>
      <c r="CU712" s="62" t="str">
        <f aca="false">IF(CS712="","",H712*G712)</f>
        <v/>
      </c>
      <c r="CV712" s="63" t="str">
        <f aca="false">IF(CS712="","",(CL712+ROUNDUP(CL712+MAX(CM712,2*(J712/MAX(0.1,N(Einkauf!$C$6))-CL712)),0))/2)</f>
        <v/>
      </c>
      <c r="CW712" s="62" t="str">
        <f aca="false">IF(CS712="","",MAX(0,H712-CV712)*G712)</f>
        <v/>
      </c>
      <c r="CX712" s="62" t="str">
        <f aca="false">IF(CS712="","",CS712*MAX(0,1-CV712/H712))</f>
        <v/>
      </c>
      <c r="CY712" s="64" t="str">
        <f aca="false">IF(CS712="","",PERCENTRANK($CS$7:$CS$1843,CS712)+PERCENTRANK($CU$7:$CU$1843,CU712)+1-PERCENTRANK($CT$7:$CT$1843,CT712))</f>
        <v/>
      </c>
      <c r="CZ712" s="72" t="str">
        <f aca="false">IF(CS712="","",CHOOSE(MATCH(Einkauf!$C$5,Parameter!$G$23:$G$27,0),CY712,CS712,CU712,-CT712,CW712)+ROW()/1000000000)</f>
        <v/>
      </c>
    </row>
    <row r="713" customFormat="false" ht="15" hidden="false" customHeight="false" outlineLevel="0" collapsed="false">
      <c r="A713" s="60" t="s">
        <v>1463</v>
      </c>
      <c r="B713" s="60" t="s">
        <v>1464</v>
      </c>
      <c r="C713" s="60" t="s">
        <v>206</v>
      </c>
      <c r="D713" s="60" t="s">
        <v>215</v>
      </c>
      <c r="E713" s="60" t="s">
        <v>208</v>
      </c>
      <c r="F713" s="60" t="s">
        <v>260</v>
      </c>
      <c r="G713" s="61" t="n">
        <v>700</v>
      </c>
      <c r="H713" s="62" t="n">
        <f aca="false">MAX(0,IF(AND(Parameter!$B$21="Ja",ISNUMBER(Y713)),Y713,IF(Parameter!$B$20="Jahresanfang 2025 + Export",BS713+BR713,BR713)))</f>
        <v>0</v>
      </c>
      <c r="I713" s="62" t="n">
        <f aca="false">H713*G713</f>
        <v>0</v>
      </c>
      <c r="J713" s="62" t="n">
        <f aca="false">BU713*Parameter!$B$18</f>
        <v>4</v>
      </c>
      <c r="K713" s="63" t="n">
        <v>0</v>
      </c>
      <c r="L713" s="64" t="n">
        <v>0</v>
      </c>
      <c r="M713" s="62" t="n">
        <v>0</v>
      </c>
      <c r="N713" s="62" t="n">
        <v>5</v>
      </c>
      <c r="O713" s="65" t="n">
        <v>21</v>
      </c>
      <c r="P713" s="60" t="s">
        <v>210</v>
      </c>
      <c r="Q713" s="62"/>
      <c r="R713" s="65" t="n">
        <f aca="false">IF(CA713=1,0,IFERROR(VLOOKUP(BY713,'Gebinde-Kategorie'!$A$5:$N$45,13,0)+0,0))</f>
        <v>4</v>
      </c>
      <c r="S713" s="66"/>
      <c r="T713" s="67" t="s">
        <v>231</v>
      </c>
      <c r="U713" s="67"/>
      <c r="V713" s="67"/>
      <c r="W713" s="60"/>
      <c r="X713" s="62"/>
      <c r="Y713" s="62"/>
      <c r="Z713" s="60" t="n">
        <v>2</v>
      </c>
      <c r="AA713" s="60" t="n">
        <f aca="false">IF(A713="","",IF(AND(Parameter!$B$21="Ja",ISNUMBER(W713)),W713,IF(AND(Parameter!$E$27="Ja",ISNUMBER(Z713),CD713&lt;&gt;"Nein"),Z713,IF(CD713="2+3",IF(ISNUMBER(SEARCH("grosser Artikel",BV713)),2,IFERROR(VLOOKUP(BY713,Parameter!$F$35:$G$64,2,0),2)),IF(OR(CD713="Nein",CD713=""),"-",CD713)))))</f>
        <v>2</v>
      </c>
      <c r="AB713" s="67"/>
      <c r="AC713" s="68"/>
      <c r="AD713" s="62" t="n">
        <f aca="false">AW713</f>
        <v>5</v>
      </c>
      <c r="AE713" s="62" t="n">
        <f aca="false">MAX(AW713,H713)</f>
        <v>5</v>
      </c>
      <c r="AF713" s="69"/>
      <c r="AG713" s="62" t="n">
        <f aca="false">IF(LEFT(Cockpit!$C$5,1)="A",H713,IF(Parameter!$E$30="MAX-Bestand",IF(CI713=1,CJ713,IF(LEFT(Cockpit!$C$5,1)="B",AM713,MAX(AM713,H713))),ROUNDUP(AK713,0)))</f>
        <v>0</v>
      </c>
      <c r="AH713" s="62" t="n">
        <f aca="false">IF(CA713=1,0,ROUNDUP(AG713/BZ713,0))</f>
        <v>0</v>
      </c>
      <c r="AI713" s="64" t="n">
        <f aca="false">IF(CR713&gt;0,CR713*MAX(1,AG713/X713),IF(CA713=1,IF(AG713&lt;=0,0,CE713*MAX(1,IF(H713&gt;0,AG713/H713,1))),IF(R713&gt;0,AH713/R713,0))/MAX(0.1,N(Parameter!$M$21)))</f>
        <v>0</v>
      </c>
      <c r="AJ713" s="62" t="n">
        <f aca="false">AI713*CC713</f>
        <v>0</v>
      </c>
      <c r="AK713" s="63" t="n">
        <f aca="false">IF(LEFT(Cockpit!$C$5,1)="A",H713,IF(CI713=1,(CL713+CJ713)/2,IF(LEFT(Cockpit!$C$5,1)="B",(CL713+AM713)/2,MAX((CL713+AM713)/2,H713))))</f>
        <v>0</v>
      </c>
      <c r="AL713" s="62" t="n">
        <f aca="false">AK713*G713</f>
        <v>0</v>
      </c>
      <c r="AM713" s="62" t="n">
        <f aca="false">ROUNDUP(CL713+MAX(CM713,2*(J713/IF(CH713&gt;0,CH713,MAX(0.1,N(Cockpit!$C$6)))-CL713)),0)</f>
        <v>5</v>
      </c>
      <c r="AN713" s="63" t="n">
        <f aca="false">IF(AJ713&gt;0,J713/AJ713,-1)</f>
        <v>-1</v>
      </c>
      <c r="AO713" s="63" t="str">
        <f aca="false">IF(AND(OR(CG713="L1",CG713="L23",CG713="LIFT"),AJ713&gt;0),SUMIFS($AJ$7:$AJ$1843,$CG$7:$CG$1843,CG713,$AN$7:$AN$1843,"&gt;"&amp;AN713)+SUMIFS($AJ$7:$AJ$1843,$CG$7:$CG$1843,CG713,$AN$7:$AN$1843,AN713,$BX$7:$BX$1843,"&lt;="&amp;BX713),"")</f>
        <v/>
      </c>
      <c r="AP713" s="70" t="n">
        <f aca="false">IF(AO713="",0,MAX(0,MIN(1,(IF(CG713="L1",Parameter!$H$5,IF(CG713="L23",Parameter!$H$6+Parameter!$H$7,Parameter!$H$5+Parameter!$H$6+Parameter!$H$7))-(AO713-AJ713))/AJ713)))</f>
        <v>0</v>
      </c>
      <c r="AQ713" s="62" t="n">
        <f aca="false">IF(LEFT(Cockpit!$I$5,1)="A",H713,IF(Parameter!$E$30="MAX-Bestand",IF(CI713=1,CJ713,IF(LEFT(Cockpit!$I$5,1)="B",AW713,MAX(AW713,H713))),ROUNDUP(AU713,0)))</f>
        <v>3</v>
      </c>
      <c r="AR713" s="62" t="n">
        <f aca="false">IF(CA713=1,0,ROUNDUP(AQ713/BZ713,0))</f>
        <v>1</v>
      </c>
      <c r="AS713" s="64" t="n">
        <f aca="false">IF(CR713&gt;0,CR713*MAX(1,AQ713/X713),IF(CA713=1,IF(AQ713&lt;=0,0,CE713*MAX(1,IF(H713&gt;0,AQ713/H713,1))),IF(R713&gt;0,AR713/R713,0))/MAX(0.1,N(Parameter!$M$21)))</f>
        <v>0.25</v>
      </c>
      <c r="AT713" s="62" t="n">
        <f aca="false">AS713*CC713</f>
        <v>58.75</v>
      </c>
      <c r="AU713" s="63" t="n">
        <f aca="false">IF(LEFT(Cockpit!$I$5,1)="A",H713,IF(CI713=1,(CL713+CJ713)/2,IF(LEFT(Cockpit!$I$5,1)="B",(CL713+AW713)/2,MAX((CL713+AW713)/2,H713))))</f>
        <v>2.5</v>
      </c>
      <c r="AV713" s="62" t="n">
        <f aca="false">AU713*G713</f>
        <v>1750</v>
      </c>
      <c r="AW713" s="62" t="n">
        <f aca="false">ROUNDUP(CL713+MAX(CM713,2*(J713/IF(CH713&gt;0,CH713,MAX(0.1,N(Cockpit!$I$6)))-CL713)),0)</f>
        <v>5</v>
      </c>
      <c r="AX713" s="63" t="n">
        <f aca="false">IF(AT713&gt;0,J713/AT713,-1)</f>
        <v>0.0680851063829787</v>
      </c>
      <c r="AY713" s="63" t="n">
        <f aca="false">IF(AND(OR(CG713="L1",CG713="L23",CG713="LIFT"),AT713&gt;0),SUMIFS($AT$7:$AT$1843,$CG$7:$CG$1843,CG713,$AX$7:$AX$1843,"&gt;"&amp;AX713)+SUMIFS($AT$7:$AT$1843,$CG$7:$CG$1843,CG713,$AX$7:$AX$1843,AX713,$BX$7:$BX$1843,"&lt;="&amp;BX713),"")</f>
        <v>24060.2565111442</v>
      </c>
      <c r="AZ713" s="70" t="n">
        <f aca="false">IF(AY713="",0,MAX(0,MIN(1,(IF(CG713="L1",Parameter!$H$5,IF(CG713="L23",Parameter!$H$6+Parameter!$H$7,Parameter!$H$5+Parameter!$H$6+Parameter!$H$7))-(AY713-AT713))/AT713)))</f>
        <v>1</v>
      </c>
      <c r="BA713" s="62" t="n">
        <f aca="false">IF(LEFT(Cockpit!$O$5,1)="A",H713,IF(Parameter!$E$30="MAX-Bestand",IF(CI713=1,CJ713,IF(LEFT(Cockpit!$O$5,1)="B",BG713,MAX(BG713,H713))),ROUNDUP(BE713,0)))</f>
        <v>3</v>
      </c>
      <c r="BB713" s="62" t="n">
        <f aca="false">IF(CA713=1,0,ROUNDUP(BA713/BZ713,0))</f>
        <v>1</v>
      </c>
      <c r="BC713" s="64" t="n">
        <f aca="false">IF(CR713&gt;0,CR713*MAX(1,BA713/X713),IF(CA713=1,IF(BA713&lt;=0,0,CE713*MAX(1,IF(H713&gt;0,BA713/H713,1))),IF(R713&gt;0,BB713/R713,0))/MAX(0.1,N(Parameter!$M$21)))</f>
        <v>0.25</v>
      </c>
      <c r="BD713" s="62" t="n">
        <f aca="false">BC713*CC713</f>
        <v>58.75</v>
      </c>
      <c r="BE713" s="63" t="n">
        <f aca="false">IF(LEFT(Cockpit!$O$5,1)="A",H713,IF(CI713=1,(CL713+CJ713)/2,IF(LEFT(Cockpit!$O$5,1)="B",(CL713+BG713)/2,MAX((CL713+BG713)/2,H713))))</f>
        <v>2.5</v>
      </c>
      <c r="BF713" s="62" t="n">
        <f aca="false">BE713*G713</f>
        <v>1750</v>
      </c>
      <c r="BG713" s="62" t="n">
        <f aca="false">ROUNDUP(CL713+MAX(CM713,2*(J713/IF(CH713&gt;0,CH713,MAX(0.1,N(Cockpit!$O$6)))-CL713)),0)</f>
        <v>5</v>
      </c>
      <c r="BH713" s="63" t="n">
        <f aca="false">IF(BD713&gt;0,J713/BD713,-1)</f>
        <v>0.0680851063829787</v>
      </c>
      <c r="BI713" s="63" t="n">
        <f aca="false">IF(AND(OR(CG713="L1",CG713="L23",CG713="LIFT"),BD713&gt;0),SUMIFS($BD$7:$BD$1843,$CG$7:$CG$1843,CG713,$BH$7:$BH$1843,"&gt;"&amp;BH713)+SUMIFS($BD$7:$BD$1843,$CG$7:$CG$1843,CG713,$BH$7:$BH$1843,BH713,$BX$7:$BX$1843,"&lt;="&amp;BX713),"")</f>
        <v>20053.7293800832</v>
      </c>
      <c r="BJ713" s="70" t="n">
        <f aca="false">IF(BI713="",0,MAX(0,MIN(1,(IF(CG713="L1",Parameter!$H$5,IF(CG713="L23",Parameter!$H$6+Parameter!$H$7,Parameter!$H$5+Parameter!$H$6+Parameter!$H$7))-(BI713-BD713))/BD713)))</f>
        <v>1</v>
      </c>
      <c r="BK713" s="60" t="str">
        <f aca="false">IF(AJ713&lt;=0,"",IF(CG713="Aussen","Aussenlager",IF(CG713="-","Nicht im Lift",IF(AP713&gt;=1,"Lift",IF(AP713&lt;=0,"Aussenlager","teilweise")))))</f>
        <v/>
      </c>
      <c r="BL713" s="60" t="str">
        <f aca="false">IF(AT713&lt;=0,"",IF(CG713="Aussen","Aussenlager",IF(CG713="-","Nicht im Lift",IF(AZ713&gt;=1,"Lift",IF(AZ713&lt;=0,"Aussenlager","teilweise")))))</f>
        <v>Lift</v>
      </c>
      <c r="BM713" s="60" t="str">
        <f aca="false">IF(BD713&lt;=0,"",IF(CG713="Aussen","Aussenlager",IF(CG713="-","Nicht im Lift",IF(BJ713&gt;=1,"Lift",IF(BJ713&lt;=0,"Aussenlager","teilweise")))))</f>
        <v>Lift</v>
      </c>
      <c r="BN713" s="60" t="str">
        <f aca="false">IF(A713="","",IF(BW713=1,"Neu; ","")&amp;IF(AND(BW713=0,BR713&lt;0),"negativer Bestand (Export "&amp;BR713&amp;"); ","")&amp;IF(J713&lt;=0,"Kein Verbrauch; ","")&amp;IF(CR713&gt;0,"Lift "&amp;W713&amp;" lt. Liftbericht (Fach "&amp;X713&amp;" Stk); ",IF(CB713=1,"Gebinde geschätzt ("&amp;T713&amp;"); ",IF(CA713=1,"Lose – Tablare geschätzt; ","")))&amp;IF(H713&gt;AW713,"Überbestand "&amp;ROUND(H713-AW713,0)&amp;" Stk / CHF "&amp;ROUND((H713-AW713)*G713,0)&amp;"; ","")&amp;IF(AND(CI713=1,CJ713&lt;CK713),"MAX &lt; MB+LG; ","")&amp;IF(AND(CQ713&gt;0,CP713*10&gt;CQ713),"zu hoch für Tablar; ","")&amp;IF(AND(BW713=0,OR(CI713=1,AB713&lt;&gt;"",U713&lt;&gt;"",V713&lt;&gt;"",AC713&lt;&gt;"")),"manuell übersteuert; ","")&amp;IF(AND(CA713=0,R713=0),"Gebinde unbekannt / Stellmass fehlt; ","")&amp;IF(AND(CA713=0,N(V713)&lt;=0,N(Q713)&lt;=0),"Menge pro Gebinde fehlt (Ist = 1 Gebinde); ","")&amp;BV713)</f>
        <v>Gebinde geschätzt (Gross); Menge pro Gebinde fehlt (Ist = 1 Gebinde); </v>
      </c>
      <c r="BO713" s="60"/>
      <c r="BP713" s="60"/>
      <c r="BQ713" s="67"/>
      <c r="BR713" s="62" t="n">
        <v>0</v>
      </c>
      <c r="BS713" s="62" t="n">
        <v>0</v>
      </c>
      <c r="BT713" s="61" t="n">
        <v>0</v>
      </c>
      <c r="BU713" s="62" t="n">
        <v>4</v>
      </c>
      <c r="BV713" s="60"/>
      <c r="BW713" s="65" t="n">
        <v>0</v>
      </c>
      <c r="BX713" s="65" t="n">
        <v>713</v>
      </c>
      <c r="BY713" s="60" t="str">
        <f aca="false">IF(U713&lt;&gt;"",UPPER(TRIM(U713)),IF(CB713=1,UPPER(VLOOKUP(T713,Parameter!$I$27:$K$29,2,0)),IF(P713="","LOSE",P713)))</f>
        <v>S81</v>
      </c>
      <c r="BZ713" s="62" t="n">
        <f aca="false">IF(BY713="LOSE",1,IF(N(V713)&gt;0,V713,IF(CB713=1,MAX(1,N(VLOOKUP(T713,Parameter!$I$27:$K$29,3,0)),H713,N(N713)),IF(N(Q713)&gt;0,Q713,MAX(1,H713)))))</f>
        <v>5</v>
      </c>
      <c r="CA713" s="65" t="n">
        <f aca="false">IF(BY713="LOSE",1,0)</f>
        <v>0</v>
      </c>
      <c r="CB713" s="65" t="n">
        <f aca="false">IF(AND(U713="",OR(P713="",P713="LOSE"),T713&lt;&gt;"",N(S713)&lt;=0,ISNUMBER(MATCH(T713,Parameter!$I$27:$I$29,0))),1,0)</f>
        <v>1</v>
      </c>
      <c r="CC713" s="65" t="n">
        <f aca="false">IF(CR713&gt;0,INDEX(Parameter!$H$5:$H$7,W713)/INDEX(Parameter!$E$5:$E$7,W713),IF(AND(CA713=0,N(IFERROR(VLOOKUP(BY713,'Gebinde-Kategorie'!$A$5:$N$45,14,0),0))&gt;0),VLOOKUP(BY713,'Gebinde-Kategorie'!$A$5:$N$45,14,0)*10+Parameter!$M$23,Parameter!$M$24))</f>
        <v>235</v>
      </c>
      <c r="CD713" s="60" t="n">
        <f aca="false">IF(AND(Parameter!$B$19="Ja",E713&lt;&gt;"",ISNUMBER(MATCH(E713,Parameter!$I$35:$I$52,0))),VLOOKUP(E713,Parameter!$I$35:$J$52,2,0),IFERROR(VLOOKUP(D713,Parameter!$A$35:$C$64,2,0),"Nein"))</f>
        <v>1</v>
      </c>
      <c r="CE713" s="64" t="n">
        <f aca="false">IF(CA713=0,0,IF(N(S713)&gt;0,S713,IFERROR(VLOOKUP(D713,Parameter!$A$35:$C$64,3,0)+0,0)))</f>
        <v>0</v>
      </c>
      <c r="CF713" s="60" t="n">
        <f aca="false">IF(AB713&lt;&gt;"",AB713,AA713)</f>
        <v>2</v>
      </c>
      <c r="CG713" s="60" t="str">
        <f aca="false">IF(OR(CF713=1,CF713=2,CF713=3),IF(Parameter!$E$27="Ja","LIFT",IF(CF713=1,"L1","L23")),IF(CF713="Aussen","Aussen","-"))</f>
        <v>LIFT</v>
      </c>
      <c r="CH713" s="71" t="n">
        <f aca="false">IF(N(AC713)&gt;0,AC713,0)</f>
        <v>0</v>
      </c>
      <c r="CI713" s="65" t="n">
        <f aca="false">IF(ISNUMBER(AF713),1,0)</f>
        <v>0</v>
      </c>
      <c r="CJ713" s="62" t="n">
        <f aca="false">N(AF713)</f>
        <v>0</v>
      </c>
      <c r="CK713" s="62" t="n">
        <f aca="false">N(M713)+N(N713)</f>
        <v>5</v>
      </c>
      <c r="CL713" s="62" t="n">
        <f aca="false">N(M713)</f>
        <v>0</v>
      </c>
      <c r="CM713" s="62" t="n">
        <f aca="false">N(N713)</f>
        <v>5</v>
      </c>
      <c r="CN713" s="62" t="n">
        <f aca="false">ROUNDUP(H713/BZ713,0)</f>
        <v>0</v>
      </c>
      <c r="CO713" s="62" t="n">
        <f aca="false">ROUNDUP(CJ713/BZ713,0)</f>
        <v>0</v>
      </c>
      <c r="CP713" s="65" t="n">
        <f aca="false">IF(CA713=1,0,IFERROR(VLOOKUP(BY713,'Gebinde-Kategorie'!$A$5:$N$45,5,0)+0,0))</f>
        <v>20</v>
      </c>
      <c r="CQ713" s="65" t="n">
        <f aca="false">IFERROR(IF(OR(CF713=1,CF713=2,CF713=3),N(INDEX(Parameter!$I$5:$I$7,CF713)),0),0)</f>
        <v>0</v>
      </c>
      <c r="CR713" s="64" t="n">
        <f aca="false">IF(AND(Parameter!$B$21="Ja",ISNUMBER(W713),N(X713)&gt;0),IFERROR(N(INDEX(Parameter!$L$5:$L$7,W713))*INDEX(Parameter!$E$5:$E$7,W713)*X713/SUMIFS($X$7:$X$1843,$W$7:$W$1843,W713),0),0)</f>
        <v>0</v>
      </c>
      <c r="CS713" s="62" t="str">
        <f aca="false">IF(AND(OR(CG713="L1",CG713="L23",CG713="LIFT"),H713&gt;0),CC713*IF(CR713&gt;0,CR713*MAX(1,H713/X713),IF(CA713=1,CE713,IF(R713&gt;0,CN713/R713,0))/MAX(0.1,N(Parameter!$M$21))),"")</f>
        <v/>
      </c>
      <c r="CT713" s="64" t="str">
        <f aca="false">IF(CS713="","",J713/H713)</f>
        <v/>
      </c>
      <c r="CU713" s="62" t="str">
        <f aca="false">IF(CS713="","",H713*G713)</f>
        <v/>
      </c>
      <c r="CV713" s="63" t="str">
        <f aca="false">IF(CS713="","",(CL713+ROUNDUP(CL713+MAX(CM713,2*(J713/MAX(0.1,N(Einkauf!$C$6))-CL713)),0))/2)</f>
        <v/>
      </c>
      <c r="CW713" s="62" t="str">
        <f aca="false">IF(CS713="","",MAX(0,H713-CV713)*G713)</f>
        <v/>
      </c>
      <c r="CX713" s="62" t="str">
        <f aca="false">IF(CS713="","",CS713*MAX(0,1-CV713/H713))</f>
        <v/>
      </c>
      <c r="CY713" s="64" t="str">
        <f aca="false">IF(CS713="","",PERCENTRANK($CS$7:$CS$1843,CS713)+PERCENTRANK($CU$7:$CU$1843,CU713)+1-PERCENTRANK($CT$7:$CT$1843,CT713))</f>
        <v/>
      </c>
      <c r="CZ713" s="72" t="str">
        <f aca="false">IF(CS713="","",CHOOSE(MATCH(Einkauf!$C$5,Parameter!$G$23:$G$27,0),CY713,CS713,CU713,-CT713,CW713)+ROW()/1000000000)</f>
        <v/>
      </c>
    </row>
    <row r="714" customFormat="false" ht="15" hidden="false" customHeight="false" outlineLevel="0" collapsed="false">
      <c r="A714" s="60" t="s">
        <v>1465</v>
      </c>
      <c r="B714" s="60" t="s">
        <v>646</v>
      </c>
      <c r="C714" s="60" t="s">
        <v>206</v>
      </c>
      <c r="D714" s="60" t="s">
        <v>215</v>
      </c>
      <c r="E714" s="60" t="s">
        <v>227</v>
      </c>
      <c r="F714" s="60" t="s">
        <v>260</v>
      </c>
      <c r="G714" s="61" t="n">
        <v>144.5</v>
      </c>
      <c r="H714" s="62" t="n">
        <f aca="false">MAX(0,IF(AND(Parameter!$B$21="Ja",ISNUMBER(Y714)),Y714,IF(Parameter!$B$20="Jahresanfang 2025 + Export",BS714+BR714,BR714)))</f>
        <v>13</v>
      </c>
      <c r="I714" s="62" t="n">
        <f aca="false">H714*G714</f>
        <v>1878.5</v>
      </c>
      <c r="J714" s="62" t="n">
        <f aca="false">BU714*Parameter!$B$18</f>
        <v>0</v>
      </c>
      <c r="K714" s="63" t="n">
        <v>13.5</v>
      </c>
      <c r="L714" s="64" t="n">
        <v>0</v>
      </c>
      <c r="M714" s="62" t="n">
        <v>0</v>
      </c>
      <c r="N714" s="62" t="n">
        <v>1</v>
      </c>
      <c r="O714" s="65" t="n">
        <v>49</v>
      </c>
      <c r="P714" s="60" t="s">
        <v>216</v>
      </c>
      <c r="Q714" s="62" t="n">
        <v>15</v>
      </c>
      <c r="R714" s="65" t="n">
        <f aca="false">IF(CA714=1,0,IFERROR(VLOOKUP(BY714,'Gebinde-Kategorie'!$A$5:$N$45,13,0)+0,0))</f>
        <v>6</v>
      </c>
      <c r="S714" s="66"/>
      <c r="T714" s="67"/>
      <c r="U714" s="67"/>
      <c r="V714" s="67"/>
      <c r="W714" s="60"/>
      <c r="X714" s="62"/>
      <c r="Y714" s="62"/>
      <c r="Z714" s="60" t="n">
        <v>2</v>
      </c>
      <c r="AA714" s="60" t="n">
        <f aca="false">IF(A714="","",IF(AND(Parameter!$B$21="Ja",ISNUMBER(W714)),W714,IF(AND(Parameter!$E$27="Ja",ISNUMBER(Z714),CD714&lt;&gt;"Nein"),Z714,IF(CD714="2+3",IF(ISNUMBER(SEARCH("grosser Artikel",BV714)),2,IFERROR(VLOOKUP(BY714,Parameter!$F$35:$G$64,2,0),2)),IF(OR(CD714="Nein",CD714=""),"-",CD714)))))</f>
        <v>2</v>
      </c>
      <c r="AB714" s="67"/>
      <c r="AC714" s="68"/>
      <c r="AD714" s="62" t="n">
        <f aca="false">AW714</f>
        <v>1</v>
      </c>
      <c r="AE714" s="62" t="n">
        <f aca="false">MAX(AW714,H714)</f>
        <v>13</v>
      </c>
      <c r="AF714" s="69"/>
      <c r="AG714" s="62" t="n">
        <f aca="false">IF(LEFT(Cockpit!$C$5,1)="A",H714,IF(Parameter!$E$30="MAX-Bestand",IF(CI714=1,CJ714,IF(LEFT(Cockpit!$C$5,1)="B",AM714,MAX(AM714,H714))),ROUNDUP(AK714,0)))</f>
        <v>13</v>
      </c>
      <c r="AH714" s="62" t="n">
        <f aca="false">IF(CA714=1,0,ROUNDUP(AG714/BZ714,0))</f>
        <v>1</v>
      </c>
      <c r="AI714" s="64" t="n">
        <f aca="false">IF(CR714&gt;0,CR714*MAX(1,AG714/X714),IF(CA714=1,IF(AG714&lt;=0,0,CE714*MAX(1,IF(H714&gt;0,AG714/H714,1))),IF(R714&gt;0,AH714/R714,0))/MAX(0.1,N(Parameter!$M$21)))</f>
        <v>0.166666666666667</v>
      </c>
      <c r="AJ714" s="62" t="n">
        <f aca="false">AI714*CC714</f>
        <v>39.1666666666667</v>
      </c>
      <c r="AK714" s="63" t="n">
        <f aca="false">IF(LEFT(Cockpit!$C$5,1)="A",H714,IF(CI714=1,(CL714+CJ714)/2,IF(LEFT(Cockpit!$C$5,1)="B",(CL714+AM714)/2,MAX((CL714+AM714)/2,H714))))</f>
        <v>13</v>
      </c>
      <c r="AL714" s="62" t="n">
        <f aca="false">AK714*G714</f>
        <v>1878.5</v>
      </c>
      <c r="AM714" s="62" t="n">
        <f aca="false">ROUNDUP(CL714+MAX(CM714,2*(J714/IF(CH714&gt;0,CH714,MAX(0.1,N(Cockpit!$C$6)))-CL714)),0)</f>
        <v>1</v>
      </c>
      <c r="AN714" s="63" t="n">
        <f aca="false">IF(AJ714&gt;0,J714/AJ714,-1)</f>
        <v>0</v>
      </c>
      <c r="AO714" s="63" t="n">
        <f aca="false">IF(AND(OR(CG714="L1",CG714="L23",CG714="LIFT"),AJ714&gt;0),SUMIFS($AJ$7:$AJ$1843,$CG$7:$CG$1843,CG714,$AN$7:$AN$1843,"&gt;"&amp;AN714)+SUMIFS($AJ$7:$AJ$1843,$CG$7:$CG$1843,CG714,$AN$7:$AN$1843,AN714,$BX$7:$BX$1843,"&lt;="&amp;BX714),"")</f>
        <v>28670.8596003808</v>
      </c>
      <c r="AP714" s="70" t="n">
        <f aca="false">IF(AO714="",0,MAX(0,MIN(1,(IF(CG714="L1",Parameter!$H$5,IF(CG714="L23",Parameter!$H$6+Parameter!$H$7,Parameter!$H$5+Parameter!$H$6+Parameter!$H$7))-(AO714-AJ714))/AJ714)))</f>
        <v>1</v>
      </c>
      <c r="AQ714" s="62" t="n">
        <f aca="false">IF(LEFT(Cockpit!$I$5,1)="A",H714,IF(Parameter!$E$30="MAX-Bestand",IF(CI714=1,CJ714,IF(LEFT(Cockpit!$I$5,1)="B",AW714,MAX(AW714,H714))),ROUNDUP(AU714,0)))</f>
        <v>13</v>
      </c>
      <c r="AR714" s="62" t="n">
        <f aca="false">IF(CA714=1,0,ROUNDUP(AQ714/BZ714,0))</f>
        <v>1</v>
      </c>
      <c r="AS714" s="64" t="n">
        <f aca="false">IF(CR714&gt;0,CR714*MAX(1,AQ714/X714),IF(CA714=1,IF(AQ714&lt;=0,0,CE714*MAX(1,IF(H714&gt;0,AQ714/H714,1))),IF(R714&gt;0,AR714/R714,0))/MAX(0.1,N(Parameter!$M$21)))</f>
        <v>0.166666666666667</v>
      </c>
      <c r="AT714" s="62" t="n">
        <f aca="false">AS714*CC714</f>
        <v>39.1666666666667</v>
      </c>
      <c r="AU714" s="63" t="n">
        <f aca="false">IF(LEFT(Cockpit!$I$5,1)="A",H714,IF(CI714=1,(CL714+CJ714)/2,IF(LEFT(Cockpit!$I$5,1)="B",(CL714+AW714)/2,MAX((CL714+AW714)/2,H714))))</f>
        <v>13</v>
      </c>
      <c r="AV714" s="62" t="n">
        <f aca="false">AU714*G714</f>
        <v>1878.5</v>
      </c>
      <c r="AW714" s="62" t="n">
        <f aca="false">ROUNDUP(CL714+MAX(CM714,2*(J714/IF(CH714&gt;0,CH714,MAX(0.1,N(Cockpit!$I$6)))-CL714)),0)</f>
        <v>1</v>
      </c>
      <c r="AX714" s="63" t="n">
        <f aca="false">IF(AT714&gt;0,J714/AT714,-1)</f>
        <v>0</v>
      </c>
      <c r="AY714" s="63" t="n">
        <f aca="false">IF(AND(OR(CG714="L1",CG714="L23",CG714="LIFT"),AT714&gt;0),SUMIFS($AT$7:$AT$1843,$CG$7:$CG$1843,CG714,$AX$7:$AX$1843,"&gt;"&amp;AX714)+SUMIFS($AT$7:$AT$1843,$CG$7:$CG$1843,CG714,$AX$7:$AX$1843,AX714,$BX$7:$BX$1843,"&lt;="&amp;BX714),"")</f>
        <v>34156.6364468865</v>
      </c>
      <c r="AZ714" s="70" t="n">
        <f aca="false">IF(AY714="",0,MAX(0,MIN(1,(IF(CG714="L1",Parameter!$H$5,IF(CG714="L23",Parameter!$H$6+Parameter!$H$7,Parameter!$H$5+Parameter!$H$6+Parameter!$H$7))-(AY714-AT714))/AT714)))</f>
        <v>1</v>
      </c>
      <c r="BA714" s="62" t="n">
        <f aca="false">IF(LEFT(Cockpit!$O$5,1)="A",H714,IF(Parameter!$E$30="MAX-Bestand",IF(CI714=1,CJ714,IF(LEFT(Cockpit!$O$5,1)="B",BG714,MAX(BG714,H714))),ROUNDUP(BE714,0)))</f>
        <v>1</v>
      </c>
      <c r="BB714" s="62" t="n">
        <f aca="false">IF(CA714=1,0,ROUNDUP(BA714/BZ714,0))</f>
        <v>1</v>
      </c>
      <c r="BC714" s="64" t="n">
        <f aca="false">IF(CR714&gt;0,CR714*MAX(1,BA714/X714),IF(CA714=1,IF(BA714&lt;=0,0,CE714*MAX(1,IF(H714&gt;0,BA714/H714,1))),IF(R714&gt;0,BB714/R714,0))/MAX(0.1,N(Parameter!$M$21)))</f>
        <v>0.166666666666667</v>
      </c>
      <c r="BD714" s="62" t="n">
        <f aca="false">BC714*CC714</f>
        <v>39.1666666666667</v>
      </c>
      <c r="BE714" s="63" t="n">
        <f aca="false">IF(LEFT(Cockpit!$O$5,1)="A",H714,IF(CI714=1,(CL714+CJ714)/2,IF(LEFT(Cockpit!$O$5,1)="B",(CL714+BG714)/2,MAX((CL714+BG714)/2,H714))))</f>
        <v>0.5</v>
      </c>
      <c r="BF714" s="62" t="n">
        <f aca="false">BE714*G714</f>
        <v>72.25</v>
      </c>
      <c r="BG714" s="62" t="n">
        <f aca="false">ROUNDUP(CL714+MAX(CM714,2*(J714/IF(CH714&gt;0,CH714,MAX(0.1,N(Cockpit!$O$6)))-CL714)),0)</f>
        <v>1</v>
      </c>
      <c r="BH714" s="63" t="n">
        <f aca="false">IF(BD714&gt;0,J714/BD714,-1)</f>
        <v>0</v>
      </c>
      <c r="BI714" s="63" t="n">
        <f aca="false">IF(AND(OR(CG714="L1",CG714="L23",CG714="LIFT"),BD714&gt;0),SUMIFS($BD$7:$BD$1843,$CG$7:$CG$1843,CG714,$BH$7:$BH$1843,"&gt;"&amp;BH714)+SUMIFS($BD$7:$BD$1843,$CG$7:$CG$1843,CG714,$BH$7:$BH$1843,BH714,$BX$7:$BX$1843,"&lt;="&amp;BX714),"")</f>
        <v>28220.7654513566</v>
      </c>
      <c r="BJ714" s="70" t="n">
        <f aca="false">IF(BI714="",0,MAX(0,MIN(1,(IF(CG714="L1",Parameter!$H$5,IF(CG714="L23",Parameter!$H$6+Parameter!$H$7,Parameter!$H$5+Parameter!$H$6+Parameter!$H$7))-(BI714-BD714))/BD714)))</f>
        <v>1</v>
      </c>
      <c r="BK714" s="60" t="str">
        <f aca="false">IF(AJ714&lt;=0,"",IF(CG714="Aussen","Aussenlager",IF(CG714="-","Nicht im Lift",IF(AP714&gt;=1,"Lift",IF(AP714&lt;=0,"Aussenlager","teilweise")))))</f>
        <v>Lift</v>
      </c>
      <c r="BL714" s="60" t="str">
        <f aca="false">IF(AT714&lt;=0,"",IF(CG714="Aussen","Aussenlager",IF(CG714="-","Nicht im Lift",IF(AZ714&gt;=1,"Lift",IF(AZ714&lt;=0,"Aussenlager","teilweise")))))</f>
        <v>Lift</v>
      </c>
      <c r="BM714" s="60" t="str">
        <f aca="false">IF(BD714&lt;=0,"",IF(CG714="Aussen","Aussenlager",IF(CG714="-","Nicht im Lift",IF(BJ714&gt;=1,"Lift",IF(BJ714&lt;=0,"Aussenlager","teilweise")))))</f>
        <v>Lift</v>
      </c>
      <c r="BN714" s="60" t="str">
        <f aca="false">IF(A714="","",IF(BW714=1,"Neu; ","")&amp;IF(AND(BW714=0,BR714&lt;0),"negativer Bestand (Export "&amp;BR714&amp;"); ","")&amp;IF(J714&lt;=0,"Kein Verbrauch; ","")&amp;IF(CR714&gt;0,"Lift "&amp;W714&amp;" lt. Liftbericht (Fach "&amp;X714&amp;" Stk); ",IF(CB714=1,"Gebinde geschätzt ("&amp;T714&amp;"); ",IF(CA714=1,"Lose – Tablare geschätzt; ","")))&amp;IF(H714&gt;AW714,"Überbestand "&amp;ROUND(H714-AW714,0)&amp;" Stk / CHF "&amp;ROUND((H714-AW714)*G714,0)&amp;"; ","")&amp;IF(AND(CI714=1,CJ714&lt;CK714),"MAX &lt; MB+LG; ","")&amp;IF(AND(CQ714&gt;0,CP714*10&gt;CQ714),"zu hoch für Tablar; ","")&amp;IF(AND(BW714=0,OR(CI714=1,AB714&lt;&gt;"",U714&lt;&gt;"",V714&lt;&gt;"",AC714&lt;&gt;"")),"manuell übersteuert; ","")&amp;IF(AND(CA714=0,R714=0),"Gebinde unbekannt / Stellmass fehlt; ","")&amp;IF(AND(CA714=0,N(V714)&lt;=0,N(Q714)&lt;=0),"Menge pro Gebinde fehlt (Ist = 1 Gebinde); ","")&amp;BV714)</f>
        <v>Kein Verbrauch; Überbestand 12 Stk / CHF 1734; Überbestand; grosser Artikel &amp; nicht im KTL</v>
      </c>
      <c r="BO714" s="60"/>
      <c r="BP714" s="60"/>
      <c r="BQ714" s="67"/>
      <c r="BR714" s="62" t="n">
        <v>0</v>
      </c>
      <c r="BS714" s="62" t="n">
        <v>13</v>
      </c>
      <c r="BT714" s="61" t="n">
        <v>0</v>
      </c>
      <c r="BU714" s="62" t="n">
        <v>0</v>
      </c>
      <c r="BV714" s="60" t="s">
        <v>401</v>
      </c>
      <c r="BW714" s="65" t="n">
        <v>0</v>
      </c>
      <c r="BX714" s="65" t="n">
        <v>714</v>
      </c>
      <c r="BY714" s="60" t="str">
        <f aca="false">IF(U714&lt;&gt;"",UPPER(TRIM(U714)),IF(CB714=1,UPPER(VLOOKUP(T714,Parameter!$I$27:$K$29,2,0)),IF(P714="","LOSE",P714)))</f>
        <v>S71</v>
      </c>
      <c r="BZ714" s="62" t="n">
        <f aca="false">IF(BY714="LOSE",1,IF(N(V714)&gt;0,V714,IF(CB714=1,MAX(1,N(VLOOKUP(T714,Parameter!$I$27:$K$29,3,0)),H714,N(N714)),IF(N(Q714)&gt;0,Q714,MAX(1,H714)))))</f>
        <v>15</v>
      </c>
      <c r="CA714" s="65" t="n">
        <f aca="false">IF(BY714="LOSE",1,0)</f>
        <v>0</v>
      </c>
      <c r="CB714" s="65" t="n">
        <f aca="false">IF(AND(U714="",OR(P714="",P714="LOSE"),T714&lt;&gt;"",N(S714)&lt;=0,ISNUMBER(MATCH(T714,Parameter!$I$27:$I$29,0))),1,0)</f>
        <v>0</v>
      </c>
      <c r="CC714" s="65" t="n">
        <f aca="false">IF(CR714&gt;0,INDEX(Parameter!$H$5:$H$7,W714)/INDEX(Parameter!$E$5:$E$7,W714),IF(AND(CA714=0,N(IFERROR(VLOOKUP(BY714,'Gebinde-Kategorie'!$A$5:$N$45,14,0),0))&gt;0),VLOOKUP(BY714,'Gebinde-Kategorie'!$A$5:$N$45,14,0)*10+Parameter!$M$23,Parameter!$M$24))</f>
        <v>235</v>
      </c>
      <c r="CD714" s="60" t="str">
        <f aca="false">IF(AND(Parameter!$B$19="Ja",E714&lt;&gt;"",ISNUMBER(MATCH(E714,Parameter!$I$35:$I$52,0))),VLOOKUP(E714,Parameter!$I$35:$J$52,2,0),IFERROR(VLOOKUP(D714,Parameter!$A$35:$C$64,2,0),"Nein"))</f>
        <v>2+3</v>
      </c>
      <c r="CE714" s="64" t="n">
        <f aca="false">IF(CA714=0,0,IF(N(S714)&gt;0,S714,IFERROR(VLOOKUP(D714,Parameter!$A$35:$C$64,3,0)+0,0)))</f>
        <v>0</v>
      </c>
      <c r="CF714" s="60" t="n">
        <f aca="false">IF(AB714&lt;&gt;"",AB714,AA714)</f>
        <v>2</v>
      </c>
      <c r="CG714" s="60" t="str">
        <f aca="false">IF(OR(CF714=1,CF714=2,CF714=3),IF(Parameter!$E$27="Ja","LIFT",IF(CF714=1,"L1","L23")),IF(CF714="Aussen","Aussen","-"))</f>
        <v>LIFT</v>
      </c>
      <c r="CH714" s="71" t="n">
        <f aca="false">IF(N(AC714)&gt;0,AC714,0)</f>
        <v>0</v>
      </c>
      <c r="CI714" s="65" t="n">
        <f aca="false">IF(ISNUMBER(AF714),1,0)</f>
        <v>0</v>
      </c>
      <c r="CJ714" s="62" t="n">
        <f aca="false">N(AF714)</f>
        <v>0</v>
      </c>
      <c r="CK714" s="62" t="n">
        <f aca="false">N(M714)+N(N714)</f>
        <v>1</v>
      </c>
      <c r="CL714" s="62" t="n">
        <f aca="false">N(M714)</f>
        <v>0</v>
      </c>
      <c r="CM714" s="62" t="n">
        <f aca="false">N(N714)</f>
        <v>1</v>
      </c>
      <c r="CN714" s="62" t="n">
        <f aca="false">ROUNDUP(H714/BZ714,0)</f>
        <v>1</v>
      </c>
      <c r="CO714" s="62" t="n">
        <f aca="false">ROUNDUP(CJ714/BZ714,0)</f>
        <v>0</v>
      </c>
      <c r="CP714" s="65" t="n">
        <f aca="false">IF(CA714=1,0,IFERROR(VLOOKUP(BY714,'Gebinde-Kategorie'!$A$5:$N$45,5,0)+0,0))</f>
        <v>20</v>
      </c>
      <c r="CQ714" s="65" t="n">
        <f aca="false">IFERROR(IF(OR(CF714=1,CF714=2,CF714=3),N(INDEX(Parameter!$I$5:$I$7,CF714)),0),0)</f>
        <v>0</v>
      </c>
      <c r="CR714" s="64" t="n">
        <f aca="false">IF(AND(Parameter!$B$21="Ja",ISNUMBER(W714),N(X714)&gt;0),IFERROR(N(INDEX(Parameter!$L$5:$L$7,W714))*INDEX(Parameter!$E$5:$E$7,W714)*X714/SUMIFS($X$7:$X$1843,$W$7:$W$1843,W714),0),0)</f>
        <v>0</v>
      </c>
      <c r="CS714" s="62" t="n">
        <f aca="false">IF(AND(OR(CG714="L1",CG714="L23",CG714="LIFT"),H714&gt;0),CC714*IF(CR714&gt;0,CR714*MAX(1,H714/X714),IF(CA714=1,CE714,IF(R714&gt;0,CN714/R714,0))/MAX(0.1,N(Parameter!$M$21))),"")</f>
        <v>39.1666666666667</v>
      </c>
      <c r="CT714" s="64" t="n">
        <f aca="false">IF(CS714="","",J714/H714)</f>
        <v>0</v>
      </c>
      <c r="CU714" s="62" t="n">
        <f aca="false">IF(CS714="","",H714*G714)</f>
        <v>1878.5</v>
      </c>
      <c r="CV714" s="63" t="n">
        <f aca="false">IF(CS714="","",(CL714+ROUNDUP(CL714+MAX(CM714,2*(J714/MAX(0.1,N(Einkauf!$C$6))-CL714)),0))/2)</f>
        <v>0.5</v>
      </c>
      <c r="CW714" s="62" t="n">
        <f aca="false">IF(CS714="","",MAX(0,H714-CV714)*G714)</f>
        <v>1806.25</v>
      </c>
      <c r="CX714" s="62" t="n">
        <f aca="false">IF(CS714="","",CS714*MAX(0,1-CV714/H714))</f>
        <v>37.6602564102564</v>
      </c>
      <c r="CY714" s="64" t="n">
        <f aca="false">IF(CS714="","",PERCENTRANK($CS$7:$CS$1843,CS714)+PERCENTRANK($CU$7:$CU$1843,CU714)+1-PERCENTRANK($CT$7:$CT$1843,CT714))</f>
        <v>2.621</v>
      </c>
      <c r="CZ714" s="72" t="n">
        <f aca="false">IF(CS714="","",CHOOSE(MATCH(Einkauf!$C$5,Parameter!$G$23:$G$27,0),CY714,CS714,CU714,-CT714,CW714)+ROW()/1000000000)</f>
        <v>2.621000714</v>
      </c>
    </row>
    <row r="715" customFormat="false" ht="15" hidden="false" customHeight="false" outlineLevel="0" collapsed="false">
      <c r="A715" s="60" t="s">
        <v>1466</v>
      </c>
      <c r="B715" s="60" t="s">
        <v>1467</v>
      </c>
      <c r="C715" s="60" t="s">
        <v>206</v>
      </c>
      <c r="D715" s="60" t="s">
        <v>1037</v>
      </c>
      <c r="E715" s="60"/>
      <c r="F715" s="60" t="s">
        <v>260</v>
      </c>
      <c r="G715" s="61" t="n">
        <v>5572.64</v>
      </c>
      <c r="H715" s="62" t="n">
        <f aca="false">MAX(0,IF(AND(Parameter!$B$21="Ja",ISNUMBER(Y715)),Y715,IF(Parameter!$B$20="Jahresanfang 2025 + Export",BS715+BR715,BR715)))</f>
        <v>5</v>
      </c>
      <c r="I715" s="62" t="n">
        <f aca="false">H715*G715</f>
        <v>27863.2</v>
      </c>
      <c r="J715" s="62" t="n">
        <f aca="false">BU715*Parameter!$B$18</f>
        <v>0</v>
      </c>
      <c r="K715" s="63" t="n">
        <v>0.5</v>
      </c>
      <c r="L715" s="64" t="n">
        <v>0</v>
      </c>
      <c r="M715" s="62" t="n">
        <v>0</v>
      </c>
      <c r="N715" s="62" t="n">
        <v>1</v>
      </c>
      <c r="O715" s="65" t="n">
        <v>28</v>
      </c>
      <c r="P715" s="60" t="s">
        <v>210</v>
      </c>
      <c r="Q715" s="62"/>
      <c r="R715" s="65" t="n">
        <f aca="false">IF(CA715=1,0,IFERROR(VLOOKUP(BY715,'Gebinde-Kategorie'!$A$5:$N$45,13,0)+0,0))</f>
        <v>0</v>
      </c>
      <c r="S715" s="66"/>
      <c r="T715" s="67"/>
      <c r="U715" s="67"/>
      <c r="V715" s="67"/>
      <c r="W715" s="60"/>
      <c r="X715" s="62"/>
      <c r="Y715" s="62"/>
      <c r="Z715" s="60"/>
      <c r="AA715" s="60" t="str">
        <f aca="false">IF(A715="","",IF(AND(Parameter!$B$21="Ja",ISNUMBER(W715)),W715,IF(AND(Parameter!$E$27="Ja",ISNUMBER(Z715),CD715&lt;&gt;"Nein"),Z715,IF(CD715="2+3",IF(ISNUMBER(SEARCH("grosser Artikel",BV715)),2,IFERROR(VLOOKUP(BY715,Parameter!$F$35:$G$64,2,0),2)),IF(OR(CD715="Nein",CD715=""),"-",CD715)))))</f>
        <v>-</v>
      </c>
      <c r="AB715" s="67"/>
      <c r="AC715" s="68"/>
      <c r="AD715" s="62" t="n">
        <f aca="false">AW715</f>
        <v>1</v>
      </c>
      <c r="AE715" s="62" t="n">
        <f aca="false">MAX(AW715,H715)</f>
        <v>5</v>
      </c>
      <c r="AF715" s="69"/>
      <c r="AG715" s="62" t="n">
        <f aca="false">IF(LEFT(Cockpit!$C$5,1)="A",H715,IF(Parameter!$E$30="MAX-Bestand",IF(CI715=1,CJ715,IF(LEFT(Cockpit!$C$5,1)="B",AM715,MAX(AM715,H715))),ROUNDUP(AK715,0)))</f>
        <v>5</v>
      </c>
      <c r="AH715" s="62" t="n">
        <f aca="false">IF(CA715=1,0,ROUNDUP(AG715/BZ715,0))</f>
        <v>0</v>
      </c>
      <c r="AI715" s="64" t="n">
        <f aca="false">IF(CR715&gt;0,CR715*MAX(1,AG715/X715),IF(CA715=1,IF(AG715&lt;=0,0,CE715*MAX(1,IF(H715&gt;0,AG715/H715,1))),IF(R715&gt;0,AH715/R715,0))/MAX(0.1,N(Parameter!$M$21)))</f>
        <v>0.15</v>
      </c>
      <c r="AJ715" s="62" t="n">
        <f aca="false">AI715*CC715</f>
        <v>35.25</v>
      </c>
      <c r="AK715" s="63" t="n">
        <f aca="false">IF(LEFT(Cockpit!$C$5,1)="A",H715,IF(CI715=1,(CL715+CJ715)/2,IF(LEFT(Cockpit!$C$5,1)="B",(CL715+AM715)/2,MAX((CL715+AM715)/2,H715))))</f>
        <v>5</v>
      </c>
      <c r="AL715" s="62" t="n">
        <f aca="false">AK715*G715</f>
        <v>27863.2</v>
      </c>
      <c r="AM715" s="62" t="n">
        <f aca="false">ROUNDUP(CL715+MAX(CM715,2*(J715/IF(CH715&gt;0,CH715,MAX(0.1,N(Cockpit!$C$6)))-CL715)),0)</f>
        <v>1</v>
      </c>
      <c r="AN715" s="63" t="n">
        <f aca="false">IF(AJ715&gt;0,J715/AJ715,-1)</f>
        <v>0</v>
      </c>
      <c r="AO715" s="63" t="str">
        <f aca="false">IF(AND(OR(CG715="L1",CG715="L23",CG715="LIFT"),AJ715&gt;0),SUMIFS($AJ$7:$AJ$1843,$CG$7:$CG$1843,CG715,$AN$7:$AN$1843,"&gt;"&amp;AN715)+SUMIFS($AJ$7:$AJ$1843,$CG$7:$CG$1843,CG715,$AN$7:$AN$1843,AN715,$BX$7:$BX$1843,"&lt;="&amp;BX715),"")</f>
        <v/>
      </c>
      <c r="AP715" s="70" t="n">
        <f aca="false">IF(AO715="",0,MAX(0,MIN(1,(IF(CG715="L1",Parameter!$H$5,IF(CG715="L23",Parameter!$H$6+Parameter!$H$7,Parameter!$H$5+Parameter!$H$6+Parameter!$H$7))-(AO715-AJ715))/AJ715)))</f>
        <v>0</v>
      </c>
      <c r="AQ715" s="62" t="n">
        <f aca="false">IF(LEFT(Cockpit!$I$5,1)="A",H715,IF(Parameter!$E$30="MAX-Bestand",IF(CI715=1,CJ715,IF(LEFT(Cockpit!$I$5,1)="B",AW715,MAX(AW715,H715))),ROUNDUP(AU715,0)))</f>
        <v>5</v>
      </c>
      <c r="AR715" s="62" t="n">
        <f aca="false">IF(CA715=1,0,ROUNDUP(AQ715/BZ715,0))</f>
        <v>0</v>
      </c>
      <c r="AS715" s="64" t="n">
        <f aca="false">IF(CR715&gt;0,CR715*MAX(1,AQ715/X715),IF(CA715=1,IF(AQ715&lt;=0,0,CE715*MAX(1,IF(H715&gt;0,AQ715/H715,1))),IF(R715&gt;0,AR715/R715,0))/MAX(0.1,N(Parameter!$M$21)))</f>
        <v>0.15</v>
      </c>
      <c r="AT715" s="62" t="n">
        <f aca="false">AS715*CC715</f>
        <v>35.25</v>
      </c>
      <c r="AU715" s="63" t="n">
        <f aca="false">IF(LEFT(Cockpit!$I$5,1)="A",H715,IF(CI715=1,(CL715+CJ715)/2,IF(LEFT(Cockpit!$I$5,1)="B",(CL715+AW715)/2,MAX((CL715+AW715)/2,H715))))</f>
        <v>5</v>
      </c>
      <c r="AV715" s="62" t="n">
        <f aca="false">AU715*G715</f>
        <v>27863.2</v>
      </c>
      <c r="AW715" s="62" t="n">
        <f aca="false">ROUNDUP(CL715+MAX(CM715,2*(J715/IF(CH715&gt;0,CH715,MAX(0.1,N(Cockpit!$I$6)))-CL715)),0)</f>
        <v>1</v>
      </c>
      <c r="AX715" s="63" t="n">
        <f aca="false">IF(AT715&gt;0,J715/AT715,-1)</f>
        <v>0</v>
      </c>
      <c r="AY715" s="63" t="str">
        <f aca="false">IF(AND(OR(CG715="L1",CG715="L23",CG715="LIFT"),AT715&gt;0),SUMIFS($AT$7:$AT$1843,$CG$7:$CG$1843,CG715,$AX$7:$AX$1843,"&gt;"&amp;AX715)+SUMIFS($AT$7:$AT$1843,$CG$7:$CG$1843,CG715,$AX$7:$AX$1843,AX715,$BX$7:$BX$1843,"&lt;="&amp;BX715),"")</f>
        <v/>
      </c>
      <c r="AZ715" s="70" t="n">
        <f aca="false">IF(AY715="",0,MAX(0,MIN(1,(IF(CG715="L1",Parameter!$H$5,IF(CG715="L23",Parameter!$H$6+Parameter!$H$7,Parameter!$H$5+Parameter!$H$6+Parameter!$H$7))-(AY715-AT715))/AT715)))</f>
        <v>0</v>
      </c>
      <c r="BA715" s="62" t="n">
        <f aca="false">IF(LEFT(Cockpit!$O$5,1)="A",H715,IF(Parameter!$E$30="MAX-Bestand",IF(CI715=1,CJ715,IF(LEFT(Cockpit!$O$5,1)="B",BG715,MAX(BG715,H715))),ROUNDUP(BE715,0)))</f>
        <v>1</v>
      </c>
      <c r="BB715" s="62" t="n">
        <f aca="false">IF(CA715=1,0,ROUNDUP(BA715/BZ715,0))</f>
        <v>0</v>
      </c>
      <c r="BC715" s="64" t="n">
        <f aca="false">IF(CR715&gt;0,CR715*MAX(1,BA715/X715),IF(CA715=1,IF(BA715&lt;=0,0,CE715*MAX(1,IF(H715&gt;0,BA715/H715,1))),IF(R715&gt;0,BB715/R715,0))/MAX(0.1,N(Parameter!$M$21)))</f>
        <v>0.15</v>
      </c>
      <c r="BD715" s="62" t="n">
        <f aca="false">BC715*CC715</f>
        <v>35.25</v>
      </c>
      <c r="BE715" s="63" t="n">
        <f aca="false">IF(LEFT(Cockpit!$O$5,1)="A",H715,IF(CI715=1,(CL715+CJ715)/2,IF(LEFT(Cockpit!$O$5,1)="B",(CL715+BG715)/2,MAX((CL715+BG715)/2,H715))))</f>
        <v>0.5</v>
      </c>
      <c r="BF715" s="62" t="n">
        <f aca="false">BE715*G715</f>
        <v>2786.32</v>
      </c>
      <c r="BG715" s="62" t="n">
        <f aca="false">ROUNDUP(CL715+MAX(CM715,2*(J715/IF(CH715&gt;0,CH715,MAX(0.1,N(Cockpit!$O$6)))-CL715)),0)</f>
        <v>1</v>
      </c>
      <c r="BH715" s="63" t="n">
        <f aca="false">IF(BD715&gt;0,J715/BD715,-1)</f>
        <v>0</v>
      </c>
      <c r="BI715" s="63" t="str">
        <f aca="false">IF(AND(OR(CG715="L1",CG715="L23",CG715="LIFT"),BD715&gt;0),SUMIFS($BD$7:$BD$1843,$CG$7:$CG$1843,CG715,$BH$7:$BH$1843,"&gt;"&amp;BH715)+SUMIFS($BD$7:$BD$1843,$CG$7:$CG$1843,CG715,$BH$7:$BH$1843,BH715,$BX$7:$BX$1843,"&lt;="&amp;BX715),"")</f>
        <v/>
      </c>
      <c r="BJ715" s="70" t="n">
        <f aca="false">IF(BI715="",0,MAX(0,MIN(1,(IF(CG715="L1",Parameter!$H$5,IF(CG715="L23",Parameter!$H$6+Parameter!$H$7,Parameter!$H$5+Parameter!$H$6+Parameter!$H$7))-(BI715-BD715))/BD715)))</f>
        <v>0</v>
      </c>
      <c r="BK715" s="60" t="str">
        <f aca="false">IF(AJ715&lt;=0,"",IF(CG715="Aussen","Aussenlager",IF(CG715="-","Nicht im Lift",IF(AP715&gt;=1,"Lift",IF(AP715&lt;=0,"Aussenlager","teilweise")))))</f>
        <v>Nicht im Lift</v>
      </c>
      <c r="BL715" s="60" t="str">
        <f aca="false">IF(AT715&lt;=0,"",IF(CG715="Aussen","Aussenlager",IF(CG715="-","Nicht im Lift",IF(AZ715&gt;=1,"Lift",IF(AZ715&lt;=0,"Aussenlager","teilweise")))))</f>
        <v>Nicht im Lift</v>
      </c>
      <c r="BM715" s="60" t="str">
        <f aca="false">IF(BD715&lt;=0,"",IF(CG715="Aussen","Aussenlager",IF(CG715="-","Nicht im Lift",IF(BJ715&gt;=1,"Lift",IF(BJ715&lt;=0,"Aussenlager","teilweise")))))</f>
        <v>Nicht im Lift</v>
      </c>
      <c r="BN715" s="60" t="str">
        <f aca="false">IF(A715="","",IF(BW715=1,"Neu; ","")&amp;IF(AND(BW715=0,BR715&lt;0),"negativer Bestand (Export "&amp;BR715&amp;"); ","")&amp;IF(J715&lt;=0,"Kein Verbrauch; ","")&amp;IF(CR715&gt;0,"Lift "&amp;W715&amp;" lt. Liftbericht (Fach "&amp;X715&amp;" Stk); ",IF(CB715=1,"Gebinde geschätzt ("&amp;T715&amp;"); ",IF(CA715=1,"Lose – Tablare geschätzt; ","")))&amp;IF(H715&gt;AW715,"Überbestand "&amp;ROUND(H715-AW715,0)&amp;" Stk / CHF "&amp;ROUND((H715-AW715)*G715,0)&amp;"; ","")&amp;IF(AND(CI715=1,CJ715&lt;CK715),"MAX &lt; MB+LG; ","")&amp;IF(AND(CQ715&gt;0,CP715*10&gt;CQ715),"zu hoch für Tablar; ","")&amp;IF(AND(BW715=0,OR(CI715=1,AB715&lt;&gt;"",U715&lt;&gt;"",V715&lt;&gt;"",AC715&lt;&gt;"")),"manuell übersteuert; ","")&amp;IF(AND(CA715=0,R715=0),"Gebinde unbekannt / Stellmass fehlt; ","")&amp;IF(AND(CA715=0,N(V715)&lt;=0,N(Q715)&lt;=0),"Menge pro Gebinde fehlt (Ist = 1 Gebinde); ","")&amp;BV715)</f>
        <v>Kein Verbrauch; Lose – Tablare geschätzt; Überbestand 4 Stk / CHF 22291; </v>
      </c>
      <c r="BO715" s="60"/>
      <c r="BP715" s="60"/>
      <c r="BQ715" s="67"/>
      <c r="BR715" s="62" t="n">
        <v>5</v>
      </c>
      <c r="BS715" s="62" t="n">
        <v>0</v>
      </c>
      <c r="BT715" s="61" t="n">
        <v>0</v>
      </c>
      <c r="BU715" s="62" t="n">
        <v>0</v>
      </c>
      <c r="BV715" s="60"/>
      <c r="BW715" s="65" t="n">
        <v>0</v>
      </c>
      <c r="BX715" s="65" t="n">
        <v>715</v>
      </c>
      <c r="BY715" s="60" t="str">
        <f aca="false">IF(U715&lt;&gt;"",UPPER(TRIM(U715)),IF(CB715=1,UPPER(VLOOKUP(T715,Parameter!$I$27:$K$29,2,0)),IF(P715="","LOSE",P715)))</f>
        <v>LOSE</v>
      </c>
      <c r="BZ715" s="62" t="n">
        <f aca="false">IF(BY715="LOSE",1,IF(N(V715)&gt;0,V715,IF(CB715=1,MAX(1,N(VLOOKUP(T715,Parameter!$I$27:$K$29,3,0)),H715,N(N715)),IF(N(Q715)&gt;0,Q715,MAX(1,H715)))))</f>
        <v>1</v>
      </c>
      <c r="CA715" s="65" t="n">
        <f aca="false">IF(BY715="LOSE",1,0)</f>
        <v>1</v>
      </c>
      <c r="CB715" s="65" t="n">
        <f aca="false">IF(AND(U715="",OR(P715="",P715="LOSE"),T715&lt;&gt;"",N(S715)&lt;=0,ISNUMBER(MATCH(T715,Parameter!$I$27:$I$29,0))),1,0)</f>
        <v>0</v>
      </c>
      <c r="CC715" s="65" t="n">
        <f aca="false">IF(CR715&gt;0,INDEX(Parameter!$H$5:$H$7,W715)/INDEX(Parameter!$E$5:$E$7,W715),IF(AND(CA715=0,N(IFERROR(VLOOKUP(BY715,'Gebinde-Kategorie'!$A$5:$N$45,14,0),0))&gt;0),VLOOKUP(BY715,'Gebinde-Kategorie'!$A$5:$N$45,14,0)*10+Parameter!$M$23,Parameter!$M$24))</f>
        <v>235</v>
      </c>
      <c r="CD715" s="60" t="str">
        <f aca="false">IF(AND(Parameter!$B$19="Ja",E715&lt;&gt;"",ISNUMBER(MATCH(E715,Parameter!$I$35:$I$52,0))),VLOOKUP(E715,Parameter!$I$35:$J$52,2,0),IFERROR(VLOOKUP(D715,Parameter!$A$35:$C$64,2,0),"Nein"))</f>
        <v>Nein</v>
      </c>
      <c r="CE715" s="64" t="n">
        <f aca="false">IF(CA715=0,0,IF(N(S715)&gt;0,S715,IFERROR(VLOOKUP(D715,Parameter!$A$35:$C$64,3,0)+0,0)))</f>
        <v>0.15</v>
      </c>
      <c r="CF715" s="60" t="str">
        <f aca="false">IF(AB715&lt;&gt;"",AB715,AA715)</f>
        <v>-</v>
      </c>
      <c r="CG715" s="60" t="str">
        <f aca="false">IF(OR(CF715=1,CF715=2,CF715=3),IF(Parameter!$E$27="Ja","LIFT",IF(CF715=1,"L1","L23")),IF(CF715="Aussen","Aussen","-"))</f>
        <v>-</v>
      </c>
      <c r="CH715" s="71" t="n">
        <f aca="false">IF(N(AC715)&gt;0,AC715,0)</f>
        <v>0</v>
      </c>
      <c r="CI715" s="65" t="n">
        <f aca="false">IF(ISNUMBER(AF715),1,0)</f>
        <v>0</v>
      </c>
      <c r="CJ715" s="62" t="n">
        <f aca="false">N(AF715)</f>
        <v>0</v>
      </c>
      <c r="CK715" s="62" t="n">
        <f aca="false">N(M715)+N(N715)</f>
        <v>1</v>
      </c>
      <c r="CL715" s="62" t="n">
        <f aca="false">N(M715)</f>
        <v>0</v>
      </c>
      <c r="CM715" s="62" t="n">
        <f aca="false">N(N715)</f>
        <v>1</v>
      </c>
      <c r="CN715" s="62" t="n">
        <f aca="false">ROUNDUP(H715/BZ715,0)</f>
        <v>5</v>
      </c>
      <c r="CO715" s="62" t="n">
        <f aca="false">ROUNDUP(CJ715/BZ715,0)</f>
        <v>0</v>
      </c>
      <c r="CP715" s="65" t="n">
        <f aca="false">IF(CA715=1,0,IFERROR(VLOOKUP(BY715,'Gebinde-Kategorie'!$A$5:$N$45,5,0)+0,0))</f>
        <v>0</v>
      </c>
      <c r="CQ715" s="65" t="n">
        <f aca="false">IFERROR(IF(OR(CF715=1,CF715=2,CF715=3),N(INDEX(Parameter!$I$5:$I$7,CF715)),0),0)</f>
        <v>0</v>
      </c>
      <c r="CR715" s="64" t="n">
        <f aca="false">IF(AND(Parameter!$B$21="Ja",ISNUMBER(W715),N(X715)&gt;0),IFERROR(N(INDEX(Parameter!$L$5:$L$7,W715))*INDEX(Parameter!$E$5:$E$7,W715)*X715/SUMIFS($X$7:$X$1843,$W$7:$W$1843,W715),0),0)</f>
        <v>0</v>
      </c>
      <c r="CS715" s="62" t="str">
        <f aca="false">IF(AND(OR(CG715="L1",CG715="L23",CG715="LIFT"),H715&gt;0),CC715*IF(CR715&gt;0,CR715*MAX(1,H715/X715),IF(CA715=1,CE715,IF(R715&gt;0,CN715/R715,0))/MAX(0.1,N(Parameter!$M$21))),"")</f>
        <v/>
      </c>
      <c r="CT715" s="64" t="str">
        <f aca="false">IF(CS715="","",J715/H715)</f>
        <v/>
      </c>
      <c r="CU715" s="62" t="str">
        <f aca="false">IF(CS715="","",H715*G715)</f>
        <v/>
      </c>
      <c r="CV715" s="63" t="str">
        <f aca="false">IF(CS715="","",(CL715+ROUNDUP(CL715+MAX(CM715,2*(J715/MAX(0.1,N(Einkauf!$C$6))-CL715)),0))/2)</f>
        <v/>
      </c>
      <c r="CW715" s="62" t="str">
        <f aca="false">IF(CS715="","",MAX(0,H715-CV715)*G715)</f>
        <v/>
      </c>
      <c r="CX715" s="62" t="str">
        <f aca="false">IF(CS715="","",CS715*MAX(0,1-CV715/H715))</f>
        <v/>
      </c>
      <c r="CY715" s="64" t="str">
        <f aca="false">IF(CS715="","",PERCENTRANK($CS$7:$CS$1843,CS715)+PERCENTRANK($CU$7:$CU$1843,CU715)+1-PERCENTRANK($CT$7:$CT$1843,CT715))</f>
        <v/>
      </c>
      <c r="CZ715" s="72" t="str">
        <f aca="false">IF(CS715="","",CHOOSE(MATCH(Einkauf!$C$5,Parameter!$G$23:$G$27,0),CY715,CS715,CU715,-CT715,CW715)+ROW()/1000000000)</f>
        <v/>
      </c>
    </row>
    <row r="716" customFormat="false" ht="15" hidden="false" customHeight="false" outlineLevel="0" collapsed="false">
      <c r="A716" s="60" t="s">
        <v>1468</v>
      </c>
      <c r="B716" s="60" t="s">
        <v>586</v>
      </c>
      <c r="C716" s="60" t="s">
        <v>206</v>
      </c>
      <c r="D716" s="60" t="s">
        <v>1037</v>
      </c>
      <c r="E716" s="60"/>
      <c r="F716" s="60" t="s">
        <v>260</v>
      </c>
      <c r="G716" s="61" t="n">
        <v>27.64</v>
      </c>
      <c r="H716" s="62" t="n">
        <f aca="false">MAX(0,IF(AND(Parameter!$B$21="Ja",ISNUMBER(Y716)),Y716,IF(Parameter!$B$20="Jahresanfang 2025 + Export",BS716+BR716,BR716)))</f>
        <v>0</v>
      </c>
      <c r="I716" s="62" t="n">
        <f aca="false">H716*G716</f>
        <v>0</v>
      </c>
      <c r="J716" s="62" t="n">
        <f aca="false">BU716*Parameter!$B$18</f>
        <v>0</v>
      </c>
      <c r="K716" s="63" t="n">
        <v>0</v>
      </c>
      <c r="L716" s="64" t="n">
        <v>0</v>
      </c>
      <c r="M716" s="62" t="n">
        <v>0</v>
      </c>
      <c r="N716" s="62" t="n">
        <v>10</v>
      </c>
      <c r="O716" s="65" t="n">
        <v>28</v>
      </c>
      <c r="P716" s="60" t="s">
        <v>210</v>
      </c>
      <c r="Q716" s="62"/>
      <c r="R716" s="65" t="n">
        <f aca="false">IF(CA716=1,0,IFERROR(VLOOKUP(BY716,'Gebinde-Kategorie'!$A$5:$N$45,13,0)+0,0))</f>
        <v>0</v>
      </c>
      <c r="S716" s="66"/>
      <c r="T716" s="67"/>
      <c r="U716" s="67"/>
      <c r="V716" s="67"/>
      <c r="W716" s="60"/>
      <c r="X716" s="62"/>
      <c r="Y716" s="62"/>
      <c r="Z716" s="60"/>
      <c r="AA716" s="60" t="str">
        <f aca="false">IF(A716="","",IF(AND(Parameter!$B$21="Ja",ISNUMBER(W716)),W716,IF(AND(Parameter!$E$27="Ja",ISNUMBER(Z716),CD716&lt;&gt;"Nein"),Z716,IF(CD716="2+3",IF(ISNUMBER(SEARCH("grosser Artikel",BV716)),2,IFERROR(VLOOKUP(BY716,Parameter!$F$35:$G$64,2,0),2)),IF(OR(CD716="Nein",CD716=""),"-",CD716)))))</f>
        <v>-</v>
      </c>
      <c r="AB716" s="67"/>
      <c r="AC716" s="68"/>
      <c r="AD716" s="62" t="n">
        <f aca="false">AW716</f>
        <v>10</v>
      </c>
      <c r="AE716" s="62" t="n">
        <f aca="false">MAX(AW716,H716)</f>
        <v>10</v>
      </c>
      <c r="AF716" s="69"/>
      <c r="AG716" s="62" t="n">
        <f aca="false">IF(LEFT(Cockpit!$C$5,1)="A",H716,IF(Parameter!$E$30="MAX-Bestand",IF(CI716=1,CJ716,IF(LEFT(Cockpit!$C$5,1)="B",AM716,MAX(AM716,H716))),ROUNDUP(AK716,0)))</f>
        <v>0</v>
      </c>
      <c r="AH716" s="62" t="n">
        <f aca="false">IF(CA716=1,0,ROUNDUP(AG716/BZ716,0))</f>
        <v>0</v>
      </c>
      <c r="AI716" s="64" t="n">
        <f aca="false">IF(CR716&gt;0,CR716*MAX(1,AG716/X716),IF(CA716=1,IF(AG716&lt;=0,0,CE716*MAX(1,IF(H716&gt;0,AG716/H716,1))),IF(R716&gt;0,AH716/R716,0))/MAX(0.1,N(Parameter!$M$21)))</f>
        <v>0</v>
      </c>
      <c r="AJ716" s="62" t="n">
        <f aca="false">AI716*CC716</f>
        <v>0</v>
      </c>
      <c r="AK716" s="63" t="n">
        <f aca="false">IF(LEFT(Cockpit!$C$5,1)="A",H716,IF(CI716=1,(CL716+CJ716)/2,IF(LEFT(Cockpit!$C$5,1)="B",(CL716+AM716)/2,MAX((CL716+AM716)/2,H716))))</f>
        <v>0</v>
      </c>
      <c r="AL716" s="62" t="n">
        <f aca="false">AK716*G716</f>
        <v>0</v>
      </c>
      <c r="AM716" s="62" t="n">
        <f aca="false">ROUNDUP(CL716+MAX(CM716,2*(J716/IF(CH716&gt;0,CH716,MAX(0.1,N(Cockpit!$C$6)))-CL716)),0)</f>
        <v>10</v>
      </c>
      <c r="AN716" s="63" t="n">
        <f aca="false">IF(AJ716&gt;0,J716/AJ716,-1)</f>
        <v>-1</v>
      </c>
      <c r="AO716" s="63" t="str">
        <f aca="false">IF(AND(OR(CG716="L1",CG716="L23",CG716="LIFT"),AJ716&gt;0),SUMIFS($AJ$7:$AJ$1843,$CG$7:$CG$1843,CG716,$AN$7:$AN$1843,"&gt;"&amp;AN716)+SUMIFS($AJ$7:$AJ$1843,$CG$7:$CG$1843,CG716,$AN$7:$AN$1843,AN716,$BX$7:$BX$1843,"&lt;="&amp;BX716),"")</f>
        <v/>
      </c>
      <c r="AP716" s="70" t="n">
        <f aca="false">IF(AO716="",0,MAX(0,MIN(1,(IF(CG716="L1",Parameter!$H$5,IF(CG716="L23",Parameter!$H$6+Parameter!$H$7,Parameter!$H$5+Parameter!$H$6+Parameter!$H$7))-(AO716-AJ716))/AJ716)))</f>
        <v>0</v>
      </c>
      <c r="AQ716" s="62" t="n">
        <f aca="false">IF(LEFT(Cockpit!$I$5,1)="A",H716,IF(Parameter!$E$30="MAX-Bestand",IF(CI716=1,CJ716,IF(LEFT(Cockpit!$I$5,1)="B",AW716,MAX(AW716,H716))),ROUNDUP(AU716,0)))</f>
        <v>5</v>
      </c>
      <c r="AR716" s="62" t="n">
        <f aca="false">IF(CA716=1,0,ROUNDUP(AQ716/BZ716,0))</f>
        <v>0</v>
      </c>
      <c r="AS716" s="64" t="n">
        <f aca="false">IF(CR716&gt;0,CR716*MAX(1,AQ716/X716),IF(CA716=1,IF(AQ716&lt;=0,0,CE716*MAX(1,IF(H716&gt;0,AQ716/H716,1))),IF(R716&gt;0,AR716/R716,0))/MAX(0.1,N(Parameter!$M$21)))</f>
        <v>0.15</v>
      </c>
      <c r="AT716" s="62" t="n">
        <f aca="false">AS716*CC716</f>
        <v>35.25</v>
      </c>
      <c r="AU716" s="63" t="n">
        <f aca="false">IF(LEFT(Cockpit!$I$5,1)="A",H716,IF(CI716=1,(CL716+CJ716)/2,IF(LEFT(Cockpit!$I$5,1)="B",(CL716+AW716)/2,MAX((CL716+AW716)/2,H716))))</f>
        <v>5</v>
      </c>
      <c r="AV716" s="62" t="n">
        <f aca="false">AU716*G716</f>
        <v>138.2</v>
      </c>
      <c r="AW716" s="62" t="n">
        <f aca="false">ROUNDUP(CL716+MAX(CM716,2*(J716/IF(CH716&gt;0,CH716,MAX(0.1,N(Cockpit!$I$6)))-CL716)),0)</f>
        <v>10</v>
      </c>
      <c r="AX716" s="63" t="n">
        <f aca="false">IF(AT716&gt;0,J716/AT716,-1)</f>
        <v>0</v>
      </c>
      <c r="AY716" s="63" t="str">
        <f aca="false">IF(AND(OR(CG716="L1",CG716="L23",CG716="LIFT"),AT716&gt;0),SUMIFS($AT$7:$AT$1843,$CG$7:$CG$1843,CG716,$AX$7:$AX$1843,"&gt;"&amp;AX716)+SUMIFS($AT$7:$AT$1843,$CG$7:$CG$1843,CG716,$AX$7:$AX$1843,AX716,$BX$7:$BX$1843,"&lt;="&amp;BX716),"")</f>
        <v/>
      </c>
      <c r="AZ716" s="70" t="n">
        <f aca="false">IF(AY716="",0,MAX(0,MIN(1,(IF(CG716="L1",Parameter!$H$5,IF(CG716="L23",Parameter!$H$6+Parameter!$H$7,Parameter!$H$5+Parameter!$H$6+Parameter!$H$7))-(AY716-AT716))/AT716)))</f>
        <v>0</v>
      </c>
      <c r="BA716" s="62" t="n">
        <f aca="false">IF(LEFT(Cockpit!$O$5,1)="A",H716,IF(Parameter!$E$30="MAX-Bestand",IF(CI716=1,CJ716,IF(LEFT(Cockpit!$O$5,1)="B",BG716,MAX(BG716,H716))),ROUNDUP(BE716,0)))</f>
        <v>5</v>
      </c>
      <c r="BB716" s="62" t="n">
        <f aca="false">IF(CA716=1,0,ROUNDUP(BA716/BZ716,0))</f>
        <v>0</v>
      </c>
      <c r="BC716" s="64" t="n">
        <f aca="false">IF(CR716&gt;0,CR716*MAX(1,BA716/X716),IF(CA716=1,IF(BA716&lt;=0,0,CE716*MAX(1,IF(H716&gt;0,BA716/H716,1))),IF(R716&gt;0,BB716/R716,0))/MAX(0.1,N(Parameter!$M$21)))</f>
        <v>0.15</v>
      </c>
      <c r="BD716" s="62" t="n">
        <f aca="false">BC716*CC716</f>
        <v>35.25</v>
      </c>
      <c r="BE716" s="63" t="n">
        <f aca="false">IF(LEFT(Cockpit!$O$5,1)="A",H716,IF(CI716=1,(CL716+CJ716)/2,IF(LEFT(Cockpit!$O$5,1)="B",(CL716+BG716)/2,MAX((CL716+BG716)/2,H716))))</f>
        <v>5</v>
      </c>
      <c r="BF716" s="62" t="n">
        <f aca="false">BE716*G716</f>
        <v>138.2</v>
      </c>
      <c r="BG716" s="62" t="n">
        <f aca="false">ROUNDUP(CL716+MAX(CM716,2*(J716/IF(CH716&gt;0,CH716,MAX(0.1,N(Cockpit!$O$6)))-CL716)),0)</f>
        <v>10</v>
      </c>
      <c r="BH716" s="63" t="n">
        <f aca="false">IF(BD716&gt;0,J716/BD716,-1)</f>
        <v>0</v>
      </c>
      <c r="BI716" s="63" t="str">
        <f aca="false">IF(AND(OR(CG716="L1",CG716="L23",CG716="LIFT"),BD716&gt;0),SUMIFS($BD$7:$BD$1843,$CG$7:$CG$1843,CG716,$BH$7:$BH$1843,"&gt;"&amp;BH716)+SUMIFS($BD$7:$BD$1843,$CG$7:$CG$1843,CG716,$BH$7:$BH$1843,BH716,$BX$7:$BX$1843,"&lt;="&amp;BX716),"")</f>
        <v/>
      </c>
      <c r="BJ716" s="70" t="n">
        <f aca="false">IF(BI716="",0,MAX(0,MIN(1,(IF(CG716="L1",Parameter!$H$5,IF(CG716="L23",Parameter!$H$6+Parameter!$H$7,Parameter!$H$5+Parameter!$H$6+Parameter!$H$7))-(BI716-BD716))/BD716)))</f>
        <v>0</v>
      </c>
      <c r="BK716" s="60" t="str">
        <f aca="false">IF(AJ716&lt;=0,"",IF(CG716="Aussen","Aussenlager",IF(CG716="-","Nicht im Lift",IF(AP716&gt;=1,"Lift",IF(AP716&lt;=0,"Aussenlager","teilweise")))))</f>
        <v/>
      </c>
      <c r="BL716" s="60" t="str">
        <f aca="false">IF(AT716&lt;=0,"",IF(CG716="Aussen","Aussenlager",IF(CG716="-","Nicht im Lift",IF(AZ716&gt;=1,"Lift",IF(AZ716&lt;=0,"Aussenlager","teilweise")))))</f>
        <v>Nicht im Lift</v>
      </c>
      <c r="BM716" s="60" t="str">
        <f aca="false">IF(BD716&lt;=0,"",IF(CG716="Aussen","Aussenlager",IF(CG716="-","Nicht im Lift",IF(BJ716&gt;=1,"Lift",IF(BJ716&lt;=0,"Aussenlager","teilweise")))))</f>
        <v>Nicht im Lift</v>
      </c>
      <c r="BN716" s="60" t="str">
        <f aca="false">IF(A716="","",IF(BW716=1,"Neu; ","")&amp;IF(AND(BW716=0,BR716&lt;0),"negativer Bestand (Export "&amp;BR716&amp;"); ","")&amp;IF(J716&lt;=0,"Kein Verbrauch; ","")&amp;IF(CR716&gt;0,"Lift "&amp;W716&amp;" lt. Liftbericht (Fach "&amp;X716&amp;" Stk); ",IF(CB716=1,"Gebinde geschätzt ("&amp;T716&amp;"); ",IF(CA716=1,"Lose – Tablare geschätzt; ","")))&amp;IF(H716&gt;AW716,"Überbestand "&amp;ROUND(H716-AW716,0)&amp;" Stk / CHF "&amp;ROUND((H716-AW716)*G716,0)&amp;"; ","")&amp;IF(AND(CI716=1,CJ716&lt;CK716),"MAX &lt; MB+LG; ","")&amp;IF(AND(CQ716&gt;0,CP716*10&gt;CQ716),"zu hoch für Tablar; ","")&amp;IF(AND(BW716=0,OR(CI716=1,AB716&lt;&gt;"",U716&lt;&gt;"",V716&lt;&gt;"",AC716&lt;&gt;"")),"manuell übersteuert; ","")&amp;IF(AND(CA716=0,R716=0),"Gebinde unbekannt / Stellmass fehlt; ","")&amp;IF(AND(CA716=0,N(V716)&lt;=0,N(Q716)&lt;=0),"Menge pro Gebinde fehlt (Ist = 1 Gebinde); ","")&amp;BV716)</f>
        <v>Kein Verbrauch; Lose – Tablare geschätzt; </v>
      </c>
      <c r="BO716" s="60"/>
      <c r="BP716" s="60"/>
      <c r="BQ716" s="67"/>
      <c r="BR716" s="62" t="n">
        <v>0</v>
      </c>
      <c r="BS716" s="62" t="n">
        <v>0</v>
      </c>
      <c r="BT716" s="61" t="n">
        <v>0</v>
      </c>
      <c r="BU716" s="62" t="n">
        <v>0</v>
      </c>
      <c r="BV716" s="60"/>
      <c r="BW716" s="65" t="n">
        <v>0</v>
      </c>
      <c r="BX716" s="65" t="n">
        <v>716</v>
      </c>
      <c r="BY716" s="60" t="str">
        <f aca="false">IF(U716&lt;&gt;"",UPPER(TRIM(U716)),IF(CB716=1,UPPER(VLOOKUP(T716,Parameter!$I$27:$K$29,2,0)),IF(P716="","LOSE",P716)))</f>
        <v>LOSE</v>
      </c>
      <c r="BZ716" s="62" t="n">
        <f aca="false">IF(BY716="LOSE",1,IF(N(V716)&gt;0,V716,IF(CB716=1,MAX(1,N(VLOOKUP(T716,Parameter!$I$27:$K$29,3,0)),H716,N(N716)),IF(N(Q716)&gt;0,Q716,MAX(1,H716)))))</f>
        <v>1</v>
      </c>
      <c r="CA716" s="65" t="n">
        <f aca="false">IF(BY716="LOSE",1,0)</f>
        <v>1</v>
      </c>
      <c r="CB716" s="65" t="n">
        <f aca="false">IF(AND(U716="",OR(P716="",P716="LOSE"),T716&lt;&gt;"",N(S716)&lt;=0,ISNUMBER(MATCH(T716,Parameter!$I$27:$I$29,0))),1,0)</f>
        <v>0</v>
      </c>
      <c r="CC716" s="65" t="n">
        <f aca="false">IF(CR716&gt;0,INDEX(Parameter!$H$5:$H$7,W716)/INDEX(Parameter!$E$5:$E$7,W716),IF(AND(CA716=0,N(IFERROR(VLOOKUP(BY716,'Gebinde-Kategorie'!$A$5:$N$45,14,0),0))&gt;0),VLOOKUP(BY716,'Gebinde-Kategorie'!$A$5:$N$45,14,0)*10+Parameter!$M$23,Parameter!$M$24))</f>
        <v>235</v>
      </c>
      <c r="CD716" s="60" t="str">
        <f aca="false">IF(AND(Parameter!$B$19="Ja",E716&lt;&gt;"",ISNUMBER(MATCH(E716,Parameter!$I$35:$I$52,0))),VLOOKUP(E716,Parameter!$I$35:$J$52,2,0),IFERROR(VLOOKUP(D716,Parameter!$A$35:$C$64,2,0),"Nein"))</f>
        <v>Nein</v>
      </c>
      <c r="CE716" s="64" t="n">
        <f aca="false">IF(CA716=0,0,IF(N(S716)&gt;0,S716,IFERROR(VLOOKUP(D716,Parameter!$A$35:$C$64,3,0)+0,0)))</f>
        <v>0.15</v>
      </c>
      <c r="CF716" s="60" t="str">
        <f aca="false">IF(AB716&lt;&gt;"",AB716,AA716)</f>
        <v>-</v>
      </c>
      <c r="CG716" s="60" t="str">
        <f aca="false">IF(OR(CF716=1,CF716=2,CF716=3),IF(Parameter!$E$27="Ja","LIFT",IF(CF716=1,"L1","L23")),IF(CF716="Aussen","Aussen","-"))</f>
        <v>-</v>
      </c>
      <c r="CH716" s="71" t="n">
        <f aca="false">IF(N(AC716)&gt;0,AC716,0)</f>
        <v>0</v>
      </c>
      <c r="CI716" s="65" t="n">
        <f aca="false">IF(ISNUMBER(AF716),1,0)</f>
        <v>0</v>
      </c>
      <c r="CJ716" s="62" t="n">
        <f aca="false">N(AF716)</f>
        <v>0</v>
      </c>
      <c r="CK716" s="62" t="n">
        <f aca="false">N(M716)+N(N716)</f>
        <v>10</v>
      </c>
      <c r="CL716" s="62" t="n">
        <f aca="false">N(M716)</f>
        <v>0</v>
      </c>
      <c r="CM716" s="62" t="n">
        <f aca="false">N(N716)</f>
        <v>10</v>
      </c>
      <c r="CN716" s="62" t="n">
        <f aca="false">ROUNDUP(H716/BZ716,0)</f>
        <v>0</v>
      </c>
      <c r="CO716" s="62" t="n">
        <f aca="false">ROUNDUP(CJ716/BZ716,0)</f>
        <v>0</v>
      </c>
      <c r="CP716" s="65" t="n">
        <f aca="false">IF(CA716=1,0,IFERROR(VLOOKUP(BY716,'Gebinde-Kategorie'!$A$5:$N$45,5,0)+0,0))</f>
        <v>0</v>
      </c>
      <c r="CQ716" s="65" t="n">
        <f aca="false">IFERROR(IF(OR(CF716=1,CF716=2,CF716=3),N(INDEX(Parameter!$I$5:$I$7,CF716)),0),0)</f>
        <v>0</v>
      </c>
      <c r="CR716" s="64" t="n">
        <f aca="false">IF(AND(Parameter!$B$21="Ja",ISNUMBER(W716),N(X716)&gt;0),IFERROR(N(INDEX(Parameter!$L$5:$L$7,W716))*INDEX(Parameter!$E$5:$E$7,W716)*X716/SUMIFS($X$7:$X$1843,$W$7:$W$1843,W716),0),0)</f>
        <v>0</v>
      </c>
      <c r="CS716" s="62" t="str">
        <f aca="false">IF(AND(OR(CG716="L1",CG716="L23",CG716="LIFT"),H716&gt;0),CC716*IF(CR716&gt;0,CR716*MAX(1,H716/X716),IF(CA716=1,CE716,IF(R716&gt;0,CN716/R716,0))/MAX(0.1,N(Parameter!$M$21))),"")</f>
        <v/>
      </c>
      <c r="CT716" s="64" t="str">
        <f aca="false">IF(CS716="","",J716/H716)</f>
        <v/>
      </c>
      <c r="CU716" s="62" t="str">
        <f aca="false">IF(CS716="","",H716*G716)</f>
        <v/>
      </c>
      <c r="CV716" s="63" t="str">
        <f aca="false">IF(CS716="","",(CL716+ROUNDUP(CL716+MAX(CM716,2*(J716/MAX(0.1,N(Einkauf!$C$6))-CL716)),0))/2)</f>
        <v/>
      </c>
      <c r="CW716" s="62" t="str">
        <f aca="false">IF(CS716="","",MAX(0,H716-CV716)*G716)</f>
        <v/>
      </c>
      <c r="CX716" s="62" t="str">
        <f aca="false">IF(CS716="","",CS716*MAX(0,1-CV716/H716))</f>
        <v/>
      </c>
      <c r="CY716" s="64" t="str">
        <f aca="false">IF(CS716="","",PERCENTRANK($CS$7:$CS$1843,CS716)+PERCENTRANK($CU$7:$CU$1843,CU716)+1-PERCENTRANK($CT$7:$CT$1843,CT716))</f>
        <v/>
      </c>
      <c r="CZ716" s="72" t="str">
        <f aca="false">IF(CS716="","",CHOOSE(MATCH(Einkauf!$C$5,Parameter!$G$23:$G$27,0),CY716,CS716,CU716,-CT716,CW716)+ROW()/1000000000)</f>
        <v/>
      </c>
    </row>
    <row r="717" customFormat="false" ht="15" hidden="false" customHeight="false" outlineLevel="0" collapsed="false">
      <c r="A717" s="60" t="s">
        <v>1469</v>
      </c>
      <c r="B717" s="60" t="s">
        <v>1470</v>
      </c>
      <c r="C717" s="60" t="s">
        <v>206</v>
      </c>
      <c r="D717" s="60" t="s">
        <v>1037</v>
      </c>
      <c r="E717" s="60"/>
      <c r="F717" s="60" t="s">
        <v>260</v>
      </c>
      <c r="G717" s="61" t="n">
        <v>161.1</v>
      </c>
      <c r="H717" s="62" t="n">
        <f aca="false">MAX(0,IF(AND(Parameter!$B$21="Ja",ISNUMBER(Y717)),Y717,IF(Parameter!$B$20="Jahresanfang 2025 + Export",BS717+BR717,BR717)))</f>
        <v>0</v>
      </c>
      <c r="I717" s="62" t="n">
        <f aca="false">H717*G717</f>
        <v>0</v>
      </c>
      <c r="J717" s="62" t="n">
        <f aca="false">BU717*Parameter!$B$18</f>
        <v>0</v>
      </c>
      <c r="K717" s="63" t="n">
        <v>0.5</v>
      </c>
      <c r="L717" s="64" t="n">
        <v>0</v>
      </c>
      <c r="M717" s="62" t="n">
        <v>0</v>
      </c>
      <c r="N717" s="62" t="n">
        <v>1</v>
      </c>
      <c r="O717" s="65" t="n">
        <v>7</v>
      </c>
      <c r="P717" s="60" t="s">
        <v>210</v>
      </c>
      <c r="Q717" s="62"/>
      <c r="R717" s="65" t="n">
        <f aca="false">IF(CA717=1,0,IFERROR(VLOOKUP(BY717,'Gebinde-Kategorie'!$A$5:$N$45,13,0)+0,0))</f>
        <v>0</v>
      </c>
      <c r="S717" s="66"/>
      <c r="T717" s="67"/>
      <c r="U717" s="67"/>
      <c r="V717" s="67"/>
      <c r="W717" s="60"/>
      <c r="X717" s="62"/>
      <c r="Y717" s="62"/>
      <c r="Z717" s="60"/>
      <c r="AA717" s="60" t="str">
        <f aca="false">IF(A717="","",IF(AND(Parameter!$B$21="Ja",ISNUMBER(W717)),W717,IF(AND(Parameter!$E$27="Ja",ISNUMBER(Z717),CD717&lt;&gt;"Nein"),Z717,IF(CD717="2+3",IF(ISNUMBER(SEARCH("grosser Artikel",BV717)),2,IFERROR(VLOOKUP(BY717,Parameter!$F$35:$G$64,2,0),2)),IF(OR(CD717="Nein",CD717=""),"-",CD717)))))</f>
        <v>-</v>
      </c>
      <c r="AB717" s="67"/>
      <c r="AC717" s="68"/>
      <c r="AD717" s="62" t="n">
        <f aca="false">AW717</f>
        <v>1</v>
      </c>
      <c r="AE717" s="62" t="n">
        <f aca="false">MAX(AW717,H717)</f>
        <v>1</v>
      </c>
      <c r="AF717" s="69"/>
      <c r="AG717" s="62" t="n">
        <f aca="false">IF(LEFT(Cockpit!$C$5,1)="A",H717,IF(Parameter!$E$30="MAX-Bestand",IF(CI717=1,CJ717,IF(LEFT(Cockpit!$C$5,1)="B",AM717,MAX(AM717,H717))),ROUNDUP(AK717,0)))</f>
        <v>0</v>
      </c>
      <c r="AH717" s="62" t="n">
        <f aca="false">IF(CA717=1,0,ROUNDUP(AG717/BZ717,0))</f>
        <v>0</v>
      </c>
      <c r="AI717" s="64" t="n">
        <f aca="false">IF(CR717&gt;0,CR717*MAX(1,AG717/X717),IF(CA717=1,IF(AG717&lt;=0,0,CE717*MAX(1,IF(H717&gt;0,AG717/H717,1))),IF(R717&gt;0,AH717/R717,0))/MAX(0.1,N(Parameter!$M$21)))</f>
        <v>0</v>
      </c>
      <c r="AJ717" s="62" t="n">
        <f aca="false">AI717*CC717</f>
        <v>0</v>
      </c>
      <c r="AK717" s="63" t="n">
        <f aca="false">IF(LEFT(Cockpit!$C$5,1)="A",H717,IF(CI717=1,(CL717+CJ717)/2,IF(LEFT(Cockpit!$C$5,1)="B",(CL717+AM717)/2,MAX((CL717+AM717)/2,H717))))</f>
        <v>0</v>
      </c>
      <c r="AL717" s="62" t="n">
        <f aca="false">AK717*G717</f>
        <v>0</v>
      </c>
      <c r="AM717" s="62" t="n">
        <f aca="false">ROUNDUP(CL717+MAX(CM717,2*(J717/IF(CH717&gt;0,CH717,MAX(0.1,N(Cockpit!$C$6)))-CL717)),0)</f>
        <v>1</v>
      </c>
      <c r="AN717" s="63" t="n">
        <f aca="false">IF(AJ717&gt;0,J717/AJ717,-1)</f>
        <v>-1</v>
      </c>
      <c r="AO717" s="63" t="str">
        <f aca="false">IF(AND(OR(CG717="L1",CG717="L23",CG717="LIFT"),AJ717&gt;0),SUMIFS($AJ$7:$AJ$1843,$CG$7:$CG$1843,CG717,$AN$7:$AN$1843,"&gt;"&amp;AN717)+SUMIFS($AJ$7:$AJ$1843,$CG$7:$CG$1843,CG717,$AN$7:$AN$1843,AN717,$BX$7:$BX$1843,"&lt;="&amp;BX717),"")</f>
        <v/>
      </c>
      <c r="AP717" s="70" t="n">
        <f aca="false">IF(AO717="",0,MAX(0,MIN(1,(IF(CG717="L1",Parameter!$H$5,IF(CG717="L23",Parameter!$H$6+Parameter!$H$7,Parameter!$H$5+Parameter!$H$6+Parameter!$H$7))-(AO717-AJ717))/AJ717)))</f>
        <v>0</v>
      </c>
      <c r="AQ717" s="62" t="n">
        <f aca="false">IF(LEFT(Cockpit!$I$5,1)="A",H717,IF(Parameter!$E$30="MAX-Bestand",IF(CI717=1,CJ717,IF(LEFT(Cockpit!$I$5,1)="B",AW717,MAX(AW717,H717))),ROUNDUP(AU717,0)))</f>
        <v>1</v>
      </c>
      <c r="AR717" s="62" t="n">
        <f aca="false">IF(CA717=1,0,ROUNDUP(AQ717/BZ717,0))</f>
        <v>0</v>
      </c>
      <c r="AS717" s="64" t="n">
        <f aca="false">IF(CR717&gt;0,CR717*MAX(1,AQ717/X717),IF(CA717=1,IF(AQ717&lt;=0,0,CE717*MAX(1,IF(H717&gt;0,AQ717/H717,1))),IF(R717&gt;0,AR717/R717,0))/MAX(0.1,N(Parameter!$M$21)))</f>
        <v>0.15</v>
      </c>
      <c r="AT717" s="62" t="n">
        <f aca="false">AS717*CC717</f>
        <v>35.25</v>
      </c>
      <c r="AU717" s="63" t="n">
        <f aca="false">IF(LEFT(Cockpit!$I$5,1)="A",H717,IF(CI717=1,(CL717+CJ717)/2,IF(LEFT(Cockpit!$I$5,1)="B",(CL717+AW717)/2,MAX((CL717+AW717)/2,H717))))</f>
        <v>0.5</v>
      </c>
      <c r="AV717" s="62" t="n">
        <f aca="false">AU717*G717</f>
        <v>80.55</v>
      </c>
      <c r="AW717" s="62" t="n">
        <f aca="false">ROUNDUP(CL717+MAX(CM717,2*(J717/IF(CH717&gt;0,CH717,MAX(0.1,N(Cockpit!$I$6)))-CL717)),0)</f>
        <v>1</v>
      </c>
      <c r="AX717" s="63" t="n">
        <f aca="false">IF(AT717&gt;0,J717/AT717,-1)</f>
        <v>0</v>
      </c>
      <c r="AY717" s="63" t="str">
        <f aca="false">IF(AND(OR(CG717="L1",CG717="L23",CG717="LIFT"),AT717&gt;0),SUMIFS($AT$7:$AT$1843,$CG$7:$CG$1843,CG717,$AX$7:$AX$1843,"&gt;"&amp;AX717)+SUMIFS($AT$7:$AT$1843,$CG$7:$CG$1843,CG717,$AX$7:$AX$1843,AX717,$BX$7:$BX$1843,"&lt;="&amp;BX717),"")</f>
        <v/>
      </c>
      <c r="AZ717" s="70" t="n">
        <f aca="false">IF(AY717="",0,MAX(0,MIN(1,(IF(CG717="L1",Parameter!$H$5,IF(CG717="L23",Parameter!$H$6+Parameter!$H$7,Parameter!$H$5+Parameter!$H$6+Parameter!$H$7))-(AY717-AT717))/AT717)))</f>
        <v>0</v>
      </c>
      <c r="BA717" s="62" t="n">
        <f aca="false">IF(LEFT(Cockpit!$O$5,1)="A",H717,IF(Parameter!$E$30="MAX-Bestand",IF(CI717=1,CJ717,IF(LEFT(Cockpit!$O$5,1)="B",BG717,MAX(BG717,H717))),ROUNDUP(BE717,0)))</f>
        <v>1</v>
      </c>
      <c r="BB717" s="62" t="n">
        <f aca="false">IF(CA717=1,0,ROUNDUP(BA717/BZ717,0))</f>
        <v>0</v>
      </c>
      <c r="BC717" s="64" t="n">
        <f aca="false">IF(CR717&gt;0,CR717*MAX(1,BA717/X717),IF(CA717=1,IF(BA717&lt;=0,0,CE717*MAX(1,IF(H717&gt;0,BA717/H717,1))),IF(R717&gt;0,BB717/R717,0))/MAX(0.1,N(Parameter!$M$21)))</f>
        <v>0.15</v>
      </c>
      <c r="BD717" s="62" t="n">
        <f aca="false">BC717*CC717</f>
        <v>35.25</v>
      </c>
      <c r="BE717" s="63" t="n">
        <f aca="false">IF(LEFT(Cockpit!$O$5,1)="A",H717,IF(CI717=1,(CL717+CJ717)/2,IF(LEFT(Cockpit!$O$5,1)="B",(CL717+BG717)/2,MAX((CL717+BG717)/2,H717))))</f>
        <v>0.5</v>
      </c>
      <c r="BF717" s="62" t="n">
        <f aca="false">BE717*G717</f>
        <v>80.55</v>
      </c>
      <c r="BG717" s="62" t="n">
        <f aca="false">ROUNDUP(CL717+MAX(CM717,2*(J717/IF(CH717&gt;0,CH717,MAX(0.1,N(Cockpit!$O$6)))-CL717)),0)</f>
        <v>1</v>
      </c>
      <c r="BH717" s="63" t="n">
        <f aca="false">IF(BD717&gt;0,J717/BD717,-1)</f>
        <v>0</v>
      </c>
      <c r="BI717" s="63" t="str">
        <f aca="false">IF(AND(OR(CG717="L1",CG717="L23",CG717="LIFT"),BD717&gt;0),SUMIFS($BD$7:$BD$1843,$CG$7:$CG$1843,CG717,$BH$7:$BH$1843,"&gt;"&amp;BH717)+SUMIFS($BD$7:$BD$1843,$CG$7:$CG$1843,CG717,$BH$7:$BH$1843,BH717,$BX$7:$BX$1843,"&lt;="&amp;BX717),"")</f>
        <v/>
      </c>
      <c r="BJ717" s="70" t="n">
        <f aca="false">IF(BI717="",0,MAX(0,MIN(1,(IF(CG717="L1",Parameter!$H$5,IF(CG717="L23",Parameter!$H$6+Parameter!$H$7,Parameter!$H$5+Parameter!$H$6+Parameter!$H$7))-(BI717-BD717))/BD717)))</f>
        <v>0</v>
      </c>
      <c r="BK717" s="60" t="str">
        <f aca="false">IF(AJ717&lt;=0,"",IF(CG717="Aussen","Aussenlager",IF(CG717="-","Nicht im Lift",IF(AP717&gt;=1,"Lift",IF(AP717&lt;=0,"Aussenlager","teilweise")))))</f>
        <v/>
      </c>
      <c r="BL717" s="60" t="str">
        <f aca="false">IF(AT717&lt;=0,"",IF(CG717="Aussen","Aussenlager",IF(CG717="-","Nicht im Lift",IF(AZ717&gt;=1,"Lift",IF(AZ717&lt;=0,"Aussenlager","teilweise")))))</f>
        <v>Nicht im Lift</v>
      </c>
      <c r="BM717" s="60" t="str">
        <f aca="false">IF(BD717&lt;=0,"",IF(CG717="Aussen","Aussenlager",IF(CG717="-","Nicht im Lift",IF(BJ717&gt;=1,"Lift",IF(BJ717&lt;=0,"Aussenlager","teilweise")))))</f>
        <v>Nicht im Lift</v>
      </c>
      <c r="BN717" s="60" t="str">
        <f aca="false">IF(A717="","",IF(BW717=1,"Neu; ","")&amp;IF(AND(BW717=0,BR717&lt;0),"negativer Bestand (Export "&amp;BR717&amp;"); ","")&amp;IF(J717&lt;=0,"Kein Verbrauch; ","")&amp;IF(CR717&gt;0,"Lift "&amp;W717&amp;" lt. Liftbericht (Fach "&amp;X717&amp;" Stk); ",IF(CB717=1,"Gebinde geschätzt ("&amp;T717&amp;"); ",IF(CA717=1,"Lose – Tablare geschätzt; ","")))&amp;IF(H717&gt;AW717,"Überbestand "&amp;ROUND(H717-AW717,0)&amp;" Stk / CHF "&amp;ROUND((H717-AW717)*G717,0)&amp;"; ","")&amp;IF(AND(CI717=1,CJ717&lt;CK717),"MAX &lt; MB+LG; ","")&amp;IF(AND(CQ717&gt;0,CP717*10&gt;CQ717),"zu hoch für Tablar; ","")&amp;IF(AND(BW717=0,OR(CI717=1,AB717&lt;&gt;"",U717&lt;&gt;"",V717&lt;&gt;"",AC717&lt;&gt;"")),"manuell übersteuert; ","")&amp;IF(AND(CA717=0,R717=0),"Gebinde unbekannt / Stellmass fehlt; ","")&amp;IF(AND(CA717=0,N(V717)&lt;=0,N(Q717)&lt;=0),"Menge pro Gebinde fehlt (Ist = 1 Gebinde); ","")&amp;BV717)</f>
        <v>Kein Verbrauch; Lose – Tablare geschätzt; </v>
      </c>
      <c r="BO717" s="60"/>
      <c r="BP717" s="60"/>
      <c r="BQ717" s="67"/>
      <c r="BR717" s="62" t="n">
        <v>0</v>
      </c>
      <c r="BS717" s="62" t="n">
        <v>0</v>
      </c>
      <c r="BT717" s="61" t="n">
        <v>0</v>
      </c>
      <c r="BU717" s="62" t="n">
        <v>0</v>
      </c>
      <c r="BV717" s="60"/>
      <c r="BW717" s="65" t="n">
        <v>0</v>
      </c>
      <c r="BX717" s="65" t="n">
        <v>717</v>
      </c>
      <c r="BY717" s="60" t="str">
        <f aca="false">IF(U717&lt;&gt;"",UPPER(TRIM(U717)),IF(CB717=1,UPPER(VLOOKUP(T717,Parameter!$I$27:$K$29,2,0)),IF(P717="","LOSE",P717)))</f>
        <v>LOSE</v>
      </c>
      <c r="BZ717" s="62" t="n">
        <f aca="false">IF(BY717="LOSE",1,IF(N(V717)&gt;0,V717,IF(CB717=1,MAX(1,N(VLOOKUP(T717,Parameter!$I$27:$K$29,3,0)),H717,N(N717)),IF(N(Q717)&gt;0,Q717,MAX(1,H717)))))</f>
        <v>1</v>
      </c>
      <c r="CA717" s="65" t="n">
        <f aca="false">IF(BY717="LOSE",1,0)</f>
        <v>1</v>
      </c>
      <c r="CB717" s="65" t="n">
        <f aca="false">IF(AND(U717="",OR(P717="",P717="LOSE"),T717&lt;&gt;"",N(S717)&lt;=0,ISNUMBER(MATCH(T717,Parameter!$I$27:$I$29,0))),1,0)</f>
        <v>0</v>
      </c>
      <c r="CC717" s="65" t="n">
        <f aca="false">IF(CR717&gt;0,INDEX(Parameter!$H$5:$H$7,W717)/INDEX(Parameter!$E$5:$E$7,W717),IF(AND(CA717=0,N(IFERROR(VLOOKUP(BY717,'Gebinde-Kategorie'!$A$5:$N$45,14,0),0))&gt;0),VLOOKUP(BY717,'Gebinde-Kategorie'!$A$5:$N$45,14,0)*10+Parameter!$M$23,Parameter!$M$24))</f>
        <v>235</v>
      </c>
      <c r="CD717" s="60" t="str">
        <f aca="false">IF(AND(Parameter!$B$19="Ja",E717&lt;&gt;"",ISNUMBER(MATCH(E717,Parameter!$I$35:$I$52,0))),VLOOKUP(E717,Parameter!$I$35:$J$52,2,0),IFERROR(VLOOKUP(D717,Parameter!$A$35:$C$64,2,0),"Nein"))</f>
        <v>Nein</v>
      </c>
      <c r="CE717" s="64" t="n">
        <f aca="false">IF(CA717=0,0,IF(N(S717)&gt;0,S717,IFERROR(VLOOKUP(D717,Parameter!$A$35:$C$64,3,0)+0,0)))</f>
        <v>0.15</v>
      </c>
      <c r="CF717" s="60" t="str">
        <f aca="false">IF(AB717&lt;&gt;"",AB717,AA717)</f>
        <v>-</v>
      </c>
      <c r="CG717" s="60" t="str">
        <f aca="false">IF(OR(CF717=1,CF717=2,CF717=3),IF(Parameter!$E$27="Ja","LIFT",IF(CF717=1,"L1","L23")),IF(CF717="Aussen","Aussen","-"))</f>
        <v>-</v>
      </c>
      <c r="CH717" s="71" t="n">
        <f aca="false">IF(N(AC717)&gt;0,AC717,0)</f>
        <v>0</v>
      </c>
      <c r="CI717" s="65" t="n">
        <f aca="false">IF(ISNUMBER(AF717),1,0)</f>
        <v>0</v>
      </c>
      <c r="CJ717" s="62" t="n">
        <f aca="false">N(AF717)</f>
        <v>0</v>
      </c>
      <c r="CK717" s="62" t="n">
        <f aca="false">N(M717)+N(N717)</f>
        <v>1</v>
      </c>
      <c r="CL717" s="62" t="n">
        <f aca="false">N(M717)</f>
        <v>0</v>
      </c>
      <c r="CM717" s="62" t="n">
        <f aca="false">N(N717)</f>
        <v>1</v>
      </c>
      <c r="CN717" s="62" t="n">
        <f aca="false">ROUNDUP(H717/BZ717,0)</f>
        <v>0</v>
      </c>
      <c r="CO717" s="62" t="n">
        <f aca="false">ROUNDUP(CJ717/BZ717,0)</f>
        <v>0</v>
      </c>
      <c r="CP717" s="65" t="n">
        <f aca="false">IF(CA717=1,0,IFERROR(VLOOKUP(BY717,'Gebinde-Kategorie'!$A$5:$N$45,5,0)+0,0))</f>
        <v>0</v>
      </c>
      <c r="CQ717" s="65" t="n">
        <f aca="false">IFERROR(IF(OR(CF717=1,CF717=2,CF717=3),N(INDEX(Parameter!$I$5:$I$7,CF717)),0),0)</f>
        <v>0</v>
      </c>
      <c r="CR717" s="64" t="n">
        <f aca="false">IF(AND(Parameter!$B$21="Ja",ISNUMBER(W717),N(X717)&gt;0),IFERROR(N(INDEX(Parameter!$L$5:$L$7,W717))*INDEX(Parameter!$E$5:$E$7,W717)*X717/SUMIFS($X$7:$X$1843,$W$7:$W$1843,W717),0),0)</f>
        <v>0</v>
      </c>
      <c r="CS717" s="62" t="str">
        <f aca="false">IF(AND(OR(CG717="L1",CG717="L23",CG717="LIFT"),H717&gt;0),CC717*IF(CR717&gt;0,CR717*MAX(1,H717/X717),IF(CA717=1,CE717,IF(R717&gt;0,CN717/R717,0))/MAX(0.1,N(Parameter!$M$21))),"")</f>
        <v/>
      </c>
      <c r="CT717" s="64" t="str">
        <f aca="false">IF(CS717="","",J717/H717)</f>
        <v/>
      </c>
      <c r="CU717" s="62" t="str">
        <f aca="false">IF(CS717="","",H717*G717)</f>
        <v/>
      </c>
      <c r="CV717" s="63" t="str">
        <f aca="false">IF(CS717="","",(CL717+ROUNDUP(CL717+MAX(CM717,2*(J717/MAX(0.1,N(Einkauf!$C$6))-CL717)),0))/2)</f>
        <v/>
      </c>
      <c r="CW717" s="62" t="str">
        <f aca="false">IF(CS717="","",MAX(0,H717-CV717)*G717)</f>
        <v/>
      </c>
      <c r="CX717" s="62" t="str">
        <f aca="false">IF(CS717="","",CS717*MAX(0,1-CV717/H717))</f>
        <v/>
      </c>
      <c r="CY717" s="64" t="str">
        <f aca="false">IF(CS717="","",PERCENTRANK($CS$7:$CS$1843,CS717)+PERCENTRANK($CU$7:$CU$1843,CU717)+1-PERCENTRANK($CT$7:$CT$1843,CT717))</f>
        <v/>
      </c>
      <c r="CZ717" s="72" t="str">
        <f aca="false">IF(CS717="","",CHOOSE(MATCH(Einkauf!$C$5,Parameter!$G$23:$G$27,0),CY717,CS717,CU717,-CT717,CW717)+ROW()/1000000000)</f>
        <v/>
      </c>
    </row>
    <row r="718" customFormat="false" ht="15" hidden="false" customHeight="false" outlineLevel="0" collapsed="false">
      <c r="A718" s="60" t="s">
        <v>1471</v>
      </c>
      <c r="B718" s="60" t="s">
        <v>586</v>
      </c>
      <c r="C718" s="60" t="s">
        <v>206</v>
      </c>
      <c r="D718" s="60" t="s">
        <v>1037</v>
      </c>
      <c r="E718" s="60"/>
      <c r="F718" s="60" t="s">
        <v>260</v>
      </c>
      <c r="G718" s="61" t="n">
        <v>27.2</v>
      </c>
      <c r="H718" s="62" t="n">
        <f aca="false">MAX(0,IF(AND(Parameter!$B$21="Ja",ISNUMBER(Y718)),Y718,IF(Parameter!$B$20="Jahresanfang 2025 + Export",BS718+BR718,BR718)))</f>
        <v>1</v>
      </c>
      <c r="I718" s="62" t="n">
        <f aca="false">H718*G718</f>
        <v>27.2</v>
      </c>
      <c r="J718" s="62" t="n">
        <f aca="false">BU718*Parameter!$B$18</f>
        <v>0</v>
      </c>
      <c r="K718" s="63" t="n">
        <v>0.5</v>
      </c>
      <c r="L718" s="64" t="n">
        <v>0</v>
      </c>
      <c r="M718" s="62" t="n">
        <v>0</v>
      </c>
      <c r="N718" s="62" t="n">
        <v>10</v>
      </c>
      <c r="O718" s="65" t="n">
        <v>28</v>
      </c>
      <c r="P718" s="60" t="s">
        <v>210</v>
      </c>
      <c r="Q718" s="62"/>
      <c r="R718" s="65" t="n">
        <f aca="false">IF(CA718=1,0,IFERROR(VLOOKUP(BY718,'Gebinde-Kategorie'!$A$5:$N$45,13,0)+0,0))</f>
        <v>0</v>
      </c>
      <c r="S718" s="66"/>
      <c r="T718" s="67"/>
      <c r="U718" s="67"/>
      <c r="V718" s="67"/>
      <c r="W718" s="60"/>
      <c r="X718" s="62"/>
      <c r="Y718" s="62"/>
      <c r="Z718" s="60"/>
      <c r="AA718" s="60" t="str">
        <f aca="false">IF(A718="","",IF(AND(Parameter!$B$21="Ja",ISNUMBER(W718)),W718,IF(AND(Parameter!$E$27="Ja",ISNUMBER(Z718),CD718&lt;&gt;"Nein"),Z718,IF(CD718="2+3",IF(ISNUMBER(SEARCH("grosser Artikel",BV718)),2,IFERROR(VLOOKUP(BY718,Parameter!$F$35:$G$64,2,0),2)),IF(OR(CD718="Nein",CD718=""),"-",CD718)))))</f>
        <v>-</v>
      </c>
      <c r="AB718" s="67"/>
      <c r="AC718" s="68"/>
      <c r="AD718" s="62" t="n">
        <f aca="false">AW718</f>
        <v>10</v>
      </c>
      <c r="AE718" s="62" t="n">
        <f aca="false">MAX(AW718,H718)</f>
        <v>10</v>
      </c>
      <c r="AF718" s="69"/>
      <c r="AG718" s="62" t="n">
        <f aca="false">IF(LEFT(Cockpit!$C$5,1)="A",H718,IF(Parameter!$E$30="MAX-Bestand",IF(CI718=1,CJ718,IF(LEFT(Cockpit!$C$5,1)="B",AM718,MAX(AM718,H718))),ROUNDUP(AK718,0)))</f>
        <v>1</v>
      </c>
      <c r="AH718" s="62" t="n">
        <f aca="false">IF(CA718=1,0,ROUNDUP(AG718/BZ718,0))</f>
        <v>0</v>
      </c>
      <c r="AI718" s="64" t="n">
        <f aca="false">IF(CR718&gt;0,CR718*MAX(1,AG718/X718),IF(CA718=1,IF(AG718&lt;=0,0,CE718*MAX(1,IF(H718&gt;0,AG718/H718,1))),IF(R718&gt;0,AH718/R718,0))/MAX(0.1,N(Parameter!$M$21)))</f>
        <v>0.15</v>
      </c>
      <c r="AJ718" s="62" t="n">
        <f aca="false">AI718*CC718</f>
        <v>35.25</v>
      </c>
      <c r="AK718" s="63" t="n">
        <f aca="false">IF(LEFT(Cockpit!$C$5,1)="A",H718,IF(CI718=1,(CL718+CJ718)/2,IF(LEFT(Cockpit!$C$5,1)="B",(CL718+AM718)/2,MAX((CL718+AM718)/2,H718))))</f>
        <v>1</v>
      </c>
      <c r="AL718" s="62" t="n">
        <f aca="false">AK718*G718</f>
        <v>27.2</v>
      </c>
      <c r="AM718" s="62" t="n">
        <f aca="false">ROUNDUP(CL718+MAX(CM718,2*(J718/IF(CH718&gt;0,CH718,MAX(0.1,N(Cockpit!$C$6)))-CL718)),0)</f>
        <v>10</v>
      </c>
      <c r="AN718" s="63" t="n">
        <f aca="false">IF(AJ718&gt;0,J718/AJ718,-1)</f>
        <v>0</v>
      </c>
      <c r="AO718" s="63" t="str">
        <f aca="false">IF(AND(OR(CG718="L1",CG718="L23",CG718="LIFT"),AJ718&gt;0),SUMIFS($AJ$7:$AJ$1843,$CG$7:$CG$1843,CG718,$AN$7:$AN$1843,"&gt;"&amp;AN718)+SUMIFS($AJ$7:$AJ$1843,$CG$7:$CG$1843,CG718,$AN$7:$AN$1843,AN718,$BX$7:$BX$1843,"&lt;="&amp;BX718),"")</f>
        <v/>
      </c>
      <c r="AP718" s="70" t="n">
        <f aca="false">IF(AO718="",0,MAX(0,MIN(1,(IF(CG718="L1",Parameter!$H$5,IF(CG718="L23",Parameter!$H$6+Parameter!$H$7,Parameter!$H$5+Parameter!$H$6+Parameter!$H$7))-(AO718-AJ718))/AJ718)))</f>
        <v>0</v>
      </c>
      <c r="AQ718" s="62" t="n">
        <f aca="false">IF(LEFT(Cockpit!$I$5,1)="A",H718,IF(Parameter!$E$30="MAX-Bestand",IF(CI718=1,CJ718,IF(LEFT(Cockpit!$I$5,1)="B",AW718,MAX(AW718,H718))),ROUNDUP(AU718,0)))</f>
        <v>5</v>
      </c>
      <c r="AR718" s="62" t="n">
        <f aca="false">IF(CA718=1,0,ROUNDUP(AQ718/BZ718,0))</f>
        <v>0</v>
      </c>
      <c r="AS718" s="64" t="n">
        <f aca="false">IF(CR718&gt;0,CR718*MAX(1,AQ718/X718),IF(CA718=1,IF(AQ718&lt;=0,0,CE718*MAX(1,IF(H718&gt;0,AQ718/H718,1))),IF(R718&gt;0,AR718/R718,0))/MAX(0.1,N(Parameter!$M$21)))</f>
        <v>0.75</v>
      </c>
      <c r="AT718" s="62" t="n">
        <f aca="false">AS718*CC718</f>
        <v>176.25</v>
      </c>
      <c r="AU718" s="63" t="n">
        <f aca="false">IF(LEFT(Cockpit!$I$5,1)="A",H718,IF(CI718=1,(CL718+CJ718)/2,IF(LEFT(Cockpit!$I$5,1)="B",(CL718+AW718)/2,MAX((CL718+AW718)/2,H718))))</f>
        <v>5</v>
      </c>
      <c r="AV718" s="62" t="n">
        <f aca="false">AU718*G718</f>
        <v>136</v>
      </c>
      <c r="AW718" s="62" t="n">
        <f aca="false">ROUNDUP(CL718+MAX(CM718,2*(J718/IF(CH718&gt;0,CH718,MAX(0.1,N(Cockpit!$I$6)))-CL718)),0)</f>
        <v>10</v>
      </c>
      <c r="AX718" s="63" t="n">
        <f aca="false">IF(AT718&gt;0,J718/AT718,-1)</f>
        <v>0</v>
      </c>
      <c r="AY718" s="63" t="str">
        <f aca="false">IF(AND(OR(CG718="L1",CG718="L23",CG718="LIFT"),AT718&gt;0),SUMIFS($AT$7:$AT$1843,$CG$7:$CG$1843,CG718,$AX$7:$AX$1843,"&gt;"&amp;AX718)+SUMIFS($AT$7:$AT$1843,$CG$7:$CG$1843,CG718,$AX$7:$AX$1843,AX718,$BX$7:$BX$1843,"&lt;="&amp;BX718),"")</f>
        <v/>
      </c>
      <c r="AZ718" s="70" t="n">
        <f aca="false">IF(AY718="",0,MAX(0,MIN(1,(IF(CG718="L1",Parameter!$H$5,IF(CG718="L23",Parameter!$H$6+Parameter!$H$7,Parameter!$H$5+Parameter!$H$6+Parameter!$H$7))-(AY718-AT718))/AT718)))</f>
        <v>0</v>
      </c>
      <c r="BA718" s="62" t="n">
        <f aca="false">IF(LEFT(Cockpit!$O$5,1)="A",H718,IF(Parameter!$E$30="MAX-Bestand",IF(CI718=1,CJ718,IF(LEFT(Cockpit!$O$5,1)="B",BG718,MAX(BG718,H718))),ROUNDUP(BE718,0)))</f>
        <v>5</v>
      </c>
      <c r="BB718" s="62" t="n">
        <f aca="false">IF(CA718=1,0,ROUNDUP(BA718/BZ718,0))</f>
        <v>0</v>
      </c>
      <c r="BC718" s="64" t="n">
        <f aca="false">IF(CR718&gt;0,CR718*MAX(1,BA718/X718),IF(CA718=1,IF(BA718&lt;=0,0,CE718*MAX(1,IF(H718&gt;0,BA718/H718,1))),IF(R718&gt;0,BB718/R718,0))/MAX(0.1,N(Parameter!$M$21)))</f>
        <v>0.75</v>
      </c>
      <c r="BD718" s="62" t="n">
        <f aca="false">BC718*CC718</f>
        <v>176.25</v>
      </c>
      <c r="BE718" s="63" t="n">
        <f aca="false">IF(LEFT(Cockpit!$O$5,1)="A",H718,IF(CI718=1,(CL718+CJ718)/2,IF(LEFT(Cockpit!$O$5,1)="B",(CL718+BG718)/2,MAX((CL718+BG718)/2,H718))))</f>
        <v>5</v>
      </c>
      <c r="BF718" s="62" t="n">
        <f aca="false">BE718*G718</f>
        <v>136</v>
      </c>
      <c r="BG718" s="62" t="n">
        <f aca="false">ROUNDUP(CL718+MAX(CM718,2*(J718/IF(CH718&gt;0,CH718,MAX(0.1,N(Cockpit!$O$6)))-CL718)),0)</f>
        <v>10</v>
      </c>
      <c r="BH718" s="63" t="n">
        <f aca="false">IF(BD718&gt;0,J718/BD718,-1)</f>
        <v>0</v>
      </c>
      <c r="BI718" s="63" t="str">
        <f aca="false">IF(AND(OR(CG718="L1",CG718="L23",CG718="LIFT"),BD718&gt;0),SUMIFS($BD$7:$BD$1843,$CG$7:$CG$1843,CG718,$BH$7:$BH$1843,"&gt;"&amp;BH718)+SUMIFS($BD$7:$BD$1843,$CG$7:$CG$1843,CG718,$BH$7:$BH$1843,BH718,$BX$7:$BX$1843,"&lt;="&amp;BX718),"")</f>
        <v/>
      </c>
      <c r="BJ718" s="70" t="n">
        <f aca="false">IF(BI718="",0,MAX(0,MIN(1,(IF(CG718="L1",Parameter!$H$5,IF(CG718="L23",Parameter!$H$6+Parameter!$H$7,Parameter!$H$5+Parameter!$H$6+Parameter!$H$7))-(BI718-BD718))/BD718)))</f>
        <v>0</v>
      </c>
      <c r="BK718" s="60" t="str">
        <f aca="false">IF(AJ718&lt;=0,"",IF(CG718="Aussen","Aussenlager",IF(CG718="-","Nicht im Lift",IF(AP718&gt;=1,"Lift",IF(AP718&lt;=0,"Aussenlager","teilweise")))))</f>
        <v>Nicht im Lift</v>
      </c>
      <c r="BL718" s="60" t="str">
        <f aca="false">IF(AT718&lt;=0,"",IF(CG718="Aussen","Aussenlager",IF(CG718="-","Nicht im Lift",IF(AZ718&gt;=1,"Lift",IF(AZ718&lt;=0,"Aussenlager","teilweise")))))</f>
        <v>Nicht im Lift</v>
      </c>
      <c r="BM718" s="60" t="str">
        <f aca="false">IF(BD718&lt;=0,"",IF(CG718="Aussen","Aussenlager",IF(CG718="-","Nicht im Lift",IF(BJ718&gt;=1,"Lift",IF(BJ718&lt;=0,"Aussenlager","teilweise")))))</f>
        <v>Nicht im Lift</v>
      </c>
      <c r="BN718" s="60" t="str">
        <f aca="false">IF(A718="","",IF(BW718=1,"Neu; ","")&amp;IF(AND(BW718=0,BR718&lt;0),"negativer Bestand (Export "&amp;BR718&amp;"); ","")&amp;IF(J718&lt;=0,"Kein Verbrauch; ","")&amp;IF(CR718&gt;0,"Lift "&amp;W718&amp;" lt. Liftbericht (Fach "&amp;X718&amp;" Stk); ",IF(CB718=1,"Gebinde geschätzt ("&amp;T718&amp;"); ",IF(CA718=1,"Lose – Tablare geschätzt; ","")))&amp;IF(H718&gt;AW718,"Überbestand "&amp;ROUND(H718-AW718,0)&amp;" Stk / CHF "&amp;ROUND((H718-AW718)*G718,0)&amp;"; ","")&amp;IF(AND(CI718=1,CJ718&lt;CK718),"MAX &lt; MB+LG; ","")&amp;IF(AND(CQ718&gt;0,CP718*10&gt;CQ718),"zu hoch für Tablar; ","")&amp;IF(AND(BW718=0,OR(CI718=1,AB718&lt;&gt;"",U718&lt;&gt;"",V718&lt;&gt;"",AC718&lt;&gt;"")),"manuell übersteuert; ","")&amp;IF(AND(CA718=0,R718=0),"Gebinde unbekannt / Stellmass fehlt; ","")&amp;IF(AND(CA718=0,N(V718)&lt;=0,N(Q718)&lt;=0),"Menge pro Gebinde fehlt (Ist = 1 Gebinde); ","")&amp;BV718)</f>
        <v>Kein Verbrauch; Lose – Tablare geschätzt; </v>
      </c>
      <c r="BO718" s="60"/>
      <c r="BP718" s="60"/>
      <c r="BQ718" s="67"/>
      <c r="BR718" s="62" t="n">
        <v>1</v>
      </c>
      <c r="BS718" s="62" t="n">
        <v>0</v>
      </c>
      <c r="BT718" s="61" t="n">
        <v>0</v>
      </c>
      <c r="BU718" s="62" t="n">
        <v>0</v>
      </c>
      <c r="BV718" s="60"/>
      <c r="BW718" s="65" t="n">
        <v>0</v>
      </c>
      <c r="BX718" s="65" t="n">
        <v>718</v>
      </c>
      <c r="BY718" s="60" t="str">
        <f aca="false">IF(U718&lt;&gt;"",UPPER(TRIM(U718)),IF(CB718=1,UPPER(VLOOKUP(T718,Parameter!$I$27:$K$29,2,0)),IF(P718="","LOSE",P718)))</f>
        <v>LOSE</v>
      </c>
      <c r="BZ718" s="62" t="n">
        <f aca="false">IF(BY718="LOSE",1,IF(N(V718)&gt;0,V718,IF(CB718=1,MAX(1,N(VLOOKUP(T718,Parameter!$I$27:$K$29,3,0)),H718,N(N718)),IF(N(Q718)&gt;0,Q718,MAX(1,H718)))))</f>
        <v>1</v>
      </c>
      <c r="CA718" s="65" t="n">
        <f aca="false">IF(BY718="LOSE",1,0)</f>
        <v>1</v>
      </c>
      <c r="CB718" s="65" t="n">
        <f aca="false">IF(AND(U718="",OR(P718="",P718="LOSE"),T718&lt;&gt;"",N(S718)&lt;=0,ISNUMBER(MATCH(T718,Parameter!$I$27:$I$29,0))),1,0)</f>
        <v>0</v>
      </c>
      <c r="CC718" s="65" t="n">
        <f aca="false">IF(CR718&gt;0,INDEX(Parameter!$H$5:$H$7,W718)/INDEX(Parameter!$E$5:$E$7,W718),IF(AND(CA718=0,N(IFERROR(VLOOKUP(BY718,'Gebinde-Kategorie'!$A$5:$N$45,14,0),0))&gt;0),VLOOKUP(BY718,'Gebinde-Kategorie'!$A$5:$N$45,14,0)*10+Parameter!$M$23,Parameter!$M$24))</f>
        <v>235</v>
      </c>
      <c r="CD718" s="60" t="str">
        <f aca="false">IF(AND(Parameter!$B$19="Ja",E718&lt;&gt;"",ISNUMBER(MATCH(E718,Parameter!$I$35:$I$52,0))),VLOOKUP(E718,Parameter!$I$35:$J$52,2,0),IFERROR(VLOOKUP(D718,Parameter!$A$35:$C$64,2,0),"Nein"))</f>
        <v>Nein</v>
      </c>
      <c r="CE718" s="64" t="n">
        <f aca="false">IF(CA718=0,0,IF(N(S718)&gt;0,S718,IFERROR(VLOOKUP(D718,Parameter!$A$35:$C$64,3,0)+0,0)))</f>
        <v>0.15</v>
      </c>
      <c r="CF718" s="60" t="str">
        <f aca="false">IF(AB718&lt;&gt;"",AB718,AA718)</f>
        <v>-</v>
      </c>
      <c r="CG718" s="60" t="str">
        <f aca="false">IF(OR(CF718=1,CF718=2,CF718=3),IF(Parameter!$E$27="Ja","LIFT",IF(CF718=1,"L1","L23")),IF(CF718="Aussen","Aussen","-"))</f>
        <v>-</v>
      </c>
      <c r="CH718" s="71" t="n">
        <f aca="false">IF(N(AC718)&gt;0,AC718,0)</f>
        <v>0</v>
      </c>
      <c r="CI718" s="65" t="n">
        <f aca="false">IF(ISNUMBER(AF718),1,0)</f>
        <v>0</v>
      </c>
      <c r="CJ718" s="62" t="n">
        <f aca="false">N(AF718)</f>
        <v>0</v>
      </c>
      <c r="CK718" s="62" t="n">
        <f aca="false">N(M718)+N(N718)</f>
        <v>10</v>
      </c>
      <c r="CL718" s="62" t="n">
        <f aca="false">N(M718)</f>
        <v>0</v>
      </c>
      <c r="CM718" s="62" t="n">
        <f aca="false">N(N718)</f>
        <v>10</v>
      </c>
      <c r="CN718" s="62" t="n">
        <f aca="false">ROUNDUP(H718/BZ718,0)</f>
        <v>1</v>
      </c>
      <c r="CO718" s="62" t="n">
        <f aca="false">ROUNDUP(CJ718/BZ718,0)</f>
        <v>0</v>
      </c>
      <c r="CP718" s="65" t="n">
        <f aca="false">IF(CA718=1,0,IFERROR(VLOOKUP(BY718,'Gebinde-Kategorie'!$A$5:$N$45,5,0)+0,0))</f>
        <v>0</v>
      </c>
      <c r="CQ718" s="65" t="n">
        <f aca="false">IFERROR(IF(OR(CF718=1,CF718=2,CF718=3),N(INDEX(Parameter!$I$5:$I$7,CF718)),0),0)</f>
        <v>0</v>
      </c>
      <c r="CR718" s="64" t="n">
        <f aca="false">IF(AND(Parameter!$B$21="Ja",ISNUMBER(W718),N(X718)&gt;0),IFERROR(N(INDEX(Parameter!$L$5:$L$7,W718))*INDEX(Parameter!$E$5:$E$7,W718)*X718/SUMIFS($X$7:$X$1843,$W$7:$W$1843,W718),0),0)</f>
        <v>0</v>
      </c>
      <c r="CS718" s="62" t="str">
        <f aca="false">IF(AND(OR(CG718="L1",CG718="L23",CG718="LIFT"),H718&gt;0),CC718*IF(CR718&gt;0,CR718*MAX(1,H718/X718),IF(CA718=1,CE718,IF(R718&gt;0,CN718/R718,0))/MAX(0.1,N(Parameter!$M$21))),"")</f>
        <v/>
      </c>
      <c r="CT718" s="64" t="str">
        <f aca="false">IF(CS718="","",J718/H718)</f>
        <v/>
      </c>
      <c r="CU718" s="62" t="str">
        <f aca="false">IF(CS718="","",H718*G718)</f>
        <v/>
      </c>
      <c r="CV718" s="63" t="str">
        <f aca="false">IF(CS718="","",(CL718+ROUNDUP(CL718+MAX(CM718,2*(J718/MAX(0.1,N(Einkauf!$C$6))-CL718)),0))/2)</f>
        <v/>
      </c>
      <c r="CW718" s="62" t="str">
        <f aca="false">IF(CS718="","",MAX(0,H718-CV718)*G718)</f>
        <v/>
      </c>
      <c r="CX718" s="62" t="str">
        <f aca="false">IF(CS718="","",CS718*MAX(0,1-CV718/H718))</f>
        <v/>
      </c>
      <c r="CY718" s="64" t="str">
        <f aca="false">IF(CS718="","",PERCENTRANK($CS$7:$CS$1843,CS718)+PERCENTRANK($CU$7:$CU$1843,CU718)+1-PERCENTRANK($CT$7:$CT$1843,CT718))</f>
        <v/>
      </c>
      <c r="CZ718" s="72" t="str">
        <f aca="false">IF(CS718="","",CHOOSE(MATCH(Einkauf!$C$5,Parameter!$G$23:$G$27,0),CY718,CS718,CU718,-CT718,CW718)+ROW()/1000000000)</f>
        <v/>
      </c>
    </row>
    <row r="719" customFormat="false" ht="15" hidden="false" customHeight="false" outlineLevel="0" collapsed="false">
      <c r="A719" s="60" t="s">
        <v>1472</v>
      </c>
      <c r="B719" s="60" t="s">
        <v>696</v>
      </c>
      <c r="C719" s="60" t="s">
        <v>206</v>
      </c>
      <c r="D719" s="60" t="s">
        <v>226</v>
      </c>
      <c r="E719" s="60" t="s">
        <v>227</v>
      </c>
      <c r="F719" s="60" t="s">
        <v>260</v>
      </c>
      <c r="G719" s="61" t="n">
        <v>0.39</v>
      </c>
      <c r="H719" s="62" t="n">
        <f aca="false">MAX(0,IF(AND(Parameter!$B$21="Ja",ISNUMBER(Y719)),Y719,IF(Parameter!$B$20="Jahresanfang 2025 + Export",BS719+BR719,BR719)))</f>
        <v>22</v>
      </c>
      <c r="I719" s="62" t="n">
        <f aca="false">H719*G719</f>
        <v>8.58</v>
      </c>
      <c r="J719" s="62" t="n">
        <f aca="false">BU719*Parameter!$B$18</f>
        <v>2</v>
      </c>
      <c r="K719" s="63" t="n">
        <v>21</v>
      </c>
      <c r="L719" s="64" t="n">
        <v>0.0952380952380952</v>
      </c>
      <c r="M719" s="62" t="n">
        <v>0</v>
      </c>
      <c r="N719" s="62" t="n">
        <v>1</v>
      </c>
      <c r="O719" s="65" t="n">
        <v>21</v>
      </c>
      <c r="P719" s="60" t="s">
        <v>443</v>
      </c>
      <c r="Q719" s="62" t="n">
        <v>36</v>
      </c>
      <c r="R719" s="65" t="n">
        <f aca="false">IF(CA719=1,0,IFERROR(VLOOKUP(BY719,'Gebinde-Kategorie'!$A$5:$N$45,13,0)+0,0))</f>
        <v>280</v>
      </c>
      <c r="S719" s="66"/>
      <c r="T719" s="67"/>
      <c r="U719" s="67"/>
      <c r="V719" s="67"/>
      <c r="W719" s="60"/>
      <c r="X719" s="62"/>
      <c r="Y719" s="62"/>
      <c r="Z719" s="60" t="n">
        <v>2</v>
      </c>
      <c r="AA719" s="60" t="n">
        <f aca="false">IF(A719="","",IF(AND(Parameter!$B$21="Ja",ISNUMBER(W719)),W719,IF(AND(Parameter!$E$27="Ja",ISNUMBER(Z719),CD719&lt;&gt;"Nein"),Z719,IF(CD719="2+3",IF(ISNUMBER(SEARCH("grosser Artikel",BV719)),2,IFERROR(VLOOKUP(BY719,Parameter!$F$35:$G$64,2,0),2)),IF(OR(CD719="Nein",CD719=""),"-",CD719)))))</f>
        <v>2</v>
      </c>
      <c r="AB719" s="67"/>
      <c r="AC719" s="68"/>
      <c r="AD719" s="62" t="n">
        <f aca="false">AW719</f>
        <v>2</v>
      </c>
      <c r="AE719" s="62" t="n">
        <f aca="false">MAX(AW719,H719)</f>
        <v>22</v>
      </c>
      <c r="AF719" s="69"/>
      <c r="AG719" s="62" t="n">
        <f aca="false">IF(LEFT(Cockpit!$C$5,1)="A",H719,IF(Parameter!$E$30="MAX-Bestand",IF(CI719=1,CJ719,IF(LEFT(Cockpit!$C$5,1)="B",AM719,MAX(AM719,H719))),ROUNDUP(AK719,0)))</f>
        <v>22</v>
      </c>
      <c r="AH719" s="62" t="n">
        <f aca="false">IF(CA719=1,0,ROUNDUP(AG719/BZ719,0))</f>
        <v>1</v>
      </c>
      <c r="AI719" s="64" t="n">
        <f aca="false">IF(CR719&gt;0,CR719*MAX(1,AG719/X719),IF(CA719=1,IF(AG719&lt;=0,0,CE719*MAX(1,IF(H719&gt;0,AG719/H719,1))),IF(R719&gt;0,AH719/R719,0))/MAX(0.1,N(Parameter!$M$21)))</f>
        <v>0.00357142857142857</v>
      </c>
      <c r="AJ719" s="62" t="n">
        <f aca="false">AI719*CC719</f>
        <v>0.553571428571429</v>
      </c>
      <c r="AK719" s="63" t="n">
        <f aca="false">IF(LEFT(Cockpit!$C$5,1)="A",H719,IF(CI719=1,(CL719+CJ719)/2,IF(LEFT(Cockpit!$C$5,1)="B",(CL719+AM719)/2,MAX((CL719+AM719)/2,H719))))</f>
        <v>22</v>
      </c>
      <c r="AL719" s="62" t="n">
        <f aca="false">AK719*G719</f>
        <v>8.58</v>
      </c>
      <c r="AM719" s="62" t="n">
        <f aca="false">ROUNDUP(CL719+MAX(CM719,2*(J719/IF(CH719&gt;0,CH719,MAX(0.1,N(Cockpit!$C$6)))-CL719)),0)</f>
        <v>2</v>
      </c>
      <c r="AN719" s="63" t="n">
        <f aca="false">IF(AJ719&gt;0,J719/AJ719,-1)</f>
        <v>3.61290322580645</v>
      </c>
      <c r="AO719" s="63" t="n">
        <f aca="false">IF(AND(OR(CG719="L1",CG719="L23",CG719="LIFT"),AJ719&gt;0),SUMIFS($AJ$7:$AJ$1843,$CG$7:$CG$1843,CG719,$AN$7:$AN$1843,"&gt;"&amp;AN719)+SUMIFS($AJ$7:$AJ$1843,$CG$7:$CG$1843,CG719,$AN$7:$AN$1843,AN719,$BX$7:$BX$1843,"&lt;="&amp;BX719),"")</f>
        <v>4827.32051282051</v>
      </c>
      <c r="AP719" s="70" t="n">
        <f aca="false">IF(AO719="",0,MAX(0,MIN(1,(IF(CG719="L1",Parameter!$H$5,IF(CG719="L23",Parameter!$H$6+Parameter!$H$7,Parameter!$H$5+Parameter!$H$6+Parameter!$H$7))-(AO719-AJ719))/AJ719)))</f>
        <v>1</v>
      </c>
      <c r="AQ719" s="62" t="n">
        <f aca="false">IF(LEFT(Cockpit!$I$5,1)="A",H719,IF(Parameter!$E$30="MAX-Bestand",IF(CI719=1,CJ719,IF(LEFT(Cockpit!$I$5,1)="B",AW719,MAX(AW719,H719))),ROUNDUP(AU719,0)))</f>
        <v>22</v>
      </c>
      <c r="AR719" s="62" t="n">
        <f aca="false">IF(CA719=1,0,ROUNDUP(AQ719/BZ719,0))</f>
        <v>1</v>
      </c>
      <c r="AS719" s="64" t="n">
        <f aca="false">IF(CR719&gt;0,CR719*MAX(1,AQ719/X719),IF(CA719=1,IF(AQ719&lt;=0,0,CE719*MAX(1,IF(H719&gt;0,AQ719/H719,1))),IF(R719&gt;0,AR719/R719,0))/MAX(0.1,N(Parameter!$M$21)))</f>
        <v>0.00357142857142857</v>
      </c>
      <c r="AT719" s="62" t="n">
        <f aca="false">AS719*CC719</f>
        <v>0.553571428571429</v>
      </c>
      <c r="AU719" s="63" t="n">
        <f aca="false">IF(LEFT(Cockpit!$I$5,1)="A",H719,IF(CI719=1,(CL719+CJ719)/2,IF(LEFT(Cockpit!$I$5,1)="B",(CL719+AW719)/2,MAX((CL719+AW719)/2,H719))))</f>
        <v>22</v>
      </c>
      <c r="AV719" s="62" t="n">
        <f aca="false">AU719*G719</f>
        <v>8.58</v>
      </c>
      <c r="AW719" s="62" t="n">
        <f aca="false">ROUNDUP(CL719+MAX(CM719,2*(J719/IF(CH719&gt;0,CH719,MAX(0.1,N(Cockpit!$I$6)))-CL719)),0)</f>
        <v>2</v>
      </c>
      <c r="AX719" s="63" t="n">
        <f aca="false">IF(AT719&gt;0,J719/AT719,-1)</f>
        <v>3.61290322580645</v>
      </c>
      <c r="AY719" s="63" t="n">
        <f aca="false">IF(AND(OR(CG719="L1",CG719="L23",CG719="LIFT"),AT719&gt;0),SUMIFS($AT$7:$AT$1843,$CG$7:$CG$1843,CG719,$AX$7:$AX$1843,"&gt;"&amp;AX719)+SUMIFS($AT$7:$AT$1843,$CG$7:$CG$1843,CG719,$AX$7:$AX$1843,AX719,$BX$7:$BX$1843,"&lt;="&amp;BX719),"")</f>
        <v>5404.90750915751</v>
      </c>
      <c r="AZ719" s="70" t="n">
        <f aca="false">IF(AY719="",0,MAX(0,MIN(1,(IF(CG719="L1",Parameter!$H$5,IF(CG719="L23",Parameter!$H$6+Parameter!$H$7,Parameter!$H$5+Parameter!$H$6+Parameter!$H$7))-(AY719-AT719))/AT719)))</f>
        <v>1</v>
      </c>
      <c r="BA719" s="62" t="n">
        <f aca="false">IF(LEFT(Cockpit!$O$5,1)="A",H719,IF(Parameter!$E$30="MAX-Bestand",IF(CI719=1,CJ719,IF(LEFT(Cockpit!$O$5,1)="B",BG719,MAX(BG719,H719))),ROUNDUP(BE719,0)))</f>
        <v>1</v>
      </c>
      <c r="BB719" s="62" t="n">
        <f aca="false">IF(CA719=1,0,ROUNDUP(BA719/BZ719,0))</f>
        <v>1</v>
      </c>
      <c r="BC719" s="64" t="n">
        <f aca="false">IF(CR719&gt;0,CR719*MAX(1,BA719/X719),IF(CA719=1,IF(BA719&lt;=0,0,CE719*MAX(1,IF(H719&gt;0,BA719/H719,1))),IF(R719&gt;0,BB719/R719,0))/MAX(0.1,N(Parameter!$M$21)))</f>
        <v>0.00357142857142857</v>
      </c>
      <c r="BD719" s="62" t="n">
        <f aca="false">BC719*CC719</f>
        <v>0.553571428571429</v>
      </c>
      <c r="BE719" s="63" t="n">
        <f aca="false">IF(LEFT(Cockpit!$O$5,1)="A",H719,IF(CI719=1,(CL719+CJ719)/2,IF(LEFT(Cockpit!$O$5,1)="B",(CL719+BG719)/2,MAX((CL719+BG719)/2,H719))))</f>
        <v>0.5</v>
      </c>
      <c r="BF719" s="62" t="n">
        <f aca="false">BE719*G719</f>
        <v>0.195</v>
      </c>
      <c r="BG719" s="62" t="n">
        <f aca="false">ROUNDUP(CL719+MAX(CM719,2*(J719/IF(CH719&gt;0,CH719,MAX(0.1,N(Cockpit!$O$6)))-CL719)),0)</f>
        <v>1</v>
      </c>
      <c r="BH719" s="63" t="n">
        <f aca="false">IF(BD719&gt;0,J719/BD719,-1)</f>
        <v>3.61290322580645</v>
      </c>
      <c r="BI719" s="63" t="n">
        <f aca="false">IF(AND(OR(CG719="L1",CG719="L23",CG719="LIFT"),BD719&gt;0),SUMIFS($BD$7:$BD$1843,$CG$7:$CG$1843,CG719,$BH$7:$BH$1843,"&gt;"&amp;BH719)+SUMIFS($BD$7:$BD$1843,$CG$7:$CG$1843,CG719,$BH$7:$BH$1843,BH719,$BX$7:$BX$1843,"&lt;="&amp;BX719),"")</f>
        <v>4419.4043040293</v>
      </c>
      <c r="BJ719" s="70" t="n">
        <f aca="false">IF(BI719="",0,MAX(0,MIN(1,(IF(CG719="L1",Parameter!$H$5,IF(CG719="L23",Parameter!$H$6+Parameter!$H$7,Parameter!$H$5+Parameter!$H$6+Parameter!$H$7))-(BI719-BD719))/BD719)))</f>
        <v>1</v>
      </c>
      <c r="BK719" s="60" t="str">
        <f aca="false">IF(AJ719&lt;=0,"",IF(CG719="Aussen","Aussenlager",IF(CG719="-","Nicht im Lift",IF(AP719&gt;=1,"Lift",IF(AP719&lt;=0,"Aussenlager","teilweise")))))</f>
        <v>Lift</v>
      </c>
      <c r="BL719" s="60" t="str">
        <f aca="false">IF(AT719&lt;=0,"",IF(CG719="Aussen","Aussenlager",IF(CG719="-","Nicht im Lift",IF(AZ719&gt;=1,"Lift",IF(AZ719&lt;=0,"Aussenlager","teilweise")))))</f>
        <v>Lift</v>
      </c>
      <c r="BM719" s="60" t="str">
        <f aca="false">IF(BD719&lt;=0,"",IF(CG719="Aussen","Aussenlager",IF(CG719="-","Nicht im Lift",IF(BJ719&gt;=1,"Lift",IF(BJ719&lt;=0,"Aussenlager","teilweise")))))</f>
        <v>Lift</v>
      </c>
      <c r="BN719" s="60" t="str">
        <f aca="false">IF(A719="","",IF(BW719=1,"Neu; ","")&amp;IF(AND(BW719=0,BR719&lt;0),"negativer Bestand (Export "&amp;BR719&amp;"); ","")&amp;IF(J719&lt;=0,"Kein Verbrauch; ","")&amp;IF(CR719&gt;0,"Lift "&amp;W719&amp;" lt. Liftbericht (Fach "&amp;X719&amp;" Stk); ",IF(CB719=1,"Gebinde geschätzt ("&amp;T719&amp;"); ",IF(CA719=1,"Lose – Tablare geschätzt; ","")))&amp;IF(H719&gt;AW719,"Überbestand "&amp;ROUND(H719-AW719,0)&amp;" Stk / CHF "&amp;ROUND((H719-AW719)*G719,0)&amp;"; ","")&amp;IF(AND(CI719=1,CJ719&lt;CK719),"MAX &lt; MB+LG; ","")&amp;IF(AND(CQ719&gt;0,CP719*10&gt;CQ719),"zu hoch für Tablar; ","")&amp;IF(AND(BW719=0,OR(CI719=1,AB719&lt;&gt;"",U719&lt;&gt;"",V719&lt;&gt;"",AC719&lt;&gt;"")),"manuell übersteuert; ","")&amp;IF(AND(CA719=0,R719=0),"Gebinde unbekannt / Stellmass fehlt; ","")&amp;IF(AND(CA719=0,N(V719)&lt;=0,N(Q719)&lt;=0),"Menge pro Gebinde fehlt (Ist = 1 Gebinde); ","")&amp;BV719)</f>
        <v>Überbestand 20 Stk / CHF 8; Überbestand</v>
      </c>
      <c r="BO719" s="60"/>
      <c r="BP719" s="60"/>
      <c r="BQ719" s="67"/>
      <c r="BR719" s="62" t="n">
        <v>0</v>
      </c>
      <c r="BS719" s="62" t="n">
        <v>22</v>
      </c>
      <c r="BT719" s="61" t="n">
        <v>0</v>
      </c>
      <c r="BU719" s="62" t="n">
        <v>2</v>
      </c>
      <c r="BV719" s="60" t="s">
        <v>434</v>
      </c>
      <c r="BW719" s="65" t="n">
        <v>0</v>
      </c>
      <c r="BX719" s="65" t="n">
        <v>719</v>
      </c>
      <c r="BY719" s="60" t="str">
        <f aca="false">IF(U719&lt;&gt;"",UPPER(TRIM(U719)),IF(CB719=1,UPPER(VLOOKUP(T719,Parameter!$I$27:$K$29,2,0)),IF(P719="","LOSE",P719)))</f>
        <v>S21</v>
      </c>
      <c r="BZ719" s="62" t="n">
        <f aca="false">IF(BY719="LOSE",1,IF(N(V719)&gt;0,V719,IF(CB719=1,MAX(1,N(VLOOKUP(T719,Parameter!$I$27:$K$29,3,0)),H719,N(N719)),IF(N(Q719)&gt;0,Q719,MAX(1,H719)))))</f>
        <v>36</v>
      </c>
      <c r="CA719" s="65" t="n">
        <f aca="false">IF(BY719="LOSE",1,0)</f>
        <v>0</v>
      </c>
      <c r="CB719" s="65" t="n">
        <f aca="false">IF(AND(U719="",OR(P719="",P719="LOSE"),T719&lt;&gt;"",N(S719)&lt;=0,ISNUMBER(MATCH(T719,Parameter!$I$27:$I$29,0))),1,0)</f>
        <v>0</v>
      </c>
      <c r="CC719" s="65" t="n">
        <f aca="false">IF(CR719&gt;0,INDEX(Parameter!$H$5:$H$7,W719)/INDEX(Parameter!$E$5:$E$7,W719),IF(AND(CA719=0,N(IFERROR(VLOOKUP(BY719,'Gebinde-Kategorie'!$A$5:$N$45,14,0),0))&gt;0),VLOOKUP(BY719,'Gebinde-Kategorie'!$A$5:$N$45,14,0)*10+Parameter!$M$23,Parameter!$M$24))</f>
        <v>155</v>
      </c>
      <c r="CD719" s="60" t="str">
        <f aca="false">IF(AND(Parameter!$B$19="Ja",E719&lt;&gt;"",ISNUMBER(MATCH(E719,Parameter!$I$35:$I$52,0))),VLOOKUP(E719,Parameter!$I$35:$J$52,2,0),IFERROR(VLOOKUP(D719,Parameter!$A$35:$C$64,2,0),"Nein"))</f>
        <v>2+3</v>
      </c>
      <c r="CE719" s="64" t="n">
        <f aca="false">IF(CA719=0,0,IF(N(S719)&gt;0,S719,IFERROR(VLOOKUP(D719,Parameter!$A$35:$C$64,3,0)+0,0)))</f>
        <v>0</v>
      </c>
      <c r="CF719" s="60" t="n">
        <f aca="false">IF(AB719&lt;&gt;"",AB719,AA719)</f>
        <v>2</v>
      </c>
      <c r="CG719" s="60" t="str">
        <f aca="false">IF(OR(CF719=1,CF719=2,CF719=3),IF(Parameter!$E$27="Ja","LIFT",IF(CF719=1,"L1","L23")),IF(CF719="Aussen","Aussen","-"))</f>
        <v>LIFT</v>
      </c>
      <c r="CH719" s="71" t="n">
        <f aca="false">IF(N(AC719)&gt;0,AC719,0)</f>
        <v>0</v>
      </c>
      <c r="CI719" s="65" t="n">
        <f aca="false">IF(ISNUMBER(AF719),1,0)</f>
        <v>0</v>
      </c>
      <c r="CJ719" s="62" t="n">
        <f aca="false">N(AF719)</f>
        <v>0</v>
      </c>
      <c r="CK719" s="62" t="n">
        <f aca="false">N(M719)+N(N719)</f>
        <v>1</v>
      </c>
      <c r="CL719" s="62" t="n">
        <f aca="false">N(M719)</f>
        <v>0</v>
      </c>
      <c r="CM719" s="62" t="n">
        <f aca="false">N(N719)</f>
        <v>1</v>
      </c>
      <c r="CN719" s="62" t="n">
        <f aca="false">ROUNDUP(H719/BZ719,0)</f>
        <v>1</v>
      </c>
      <c r="CO719" s="62" t="n">
        <f aca="false">ROUNDUP(CJ719/BZ719,0)</f>
        <v>0</v>
      </c>
      <c r="CP719" s="65" t="n">
        <f aca="false">IF(CA719=1,0,IFERROR(VLOOKUP(BY719,'Gebinde-Kategorie'!$A$5:$N$45,5,0)+0,0))</f>
        <v>8</v>
      </c>
      <c r="CQ719" s="65" t="n">
        <f aca="false">IFERROR(IF(OR(CF719=1,CF719=2,CF719=3),N(INDEX(Parameter!$I$5:$I$7,CF719)),0),0)</f>
        <v>0</v>
      </c>
      <c r="CR719" s="64" t="n">
        <f aca="false">IF(AND(Parameter!$B$21="Ja",ISNUMBER(W719),N(X719)&gt;0),IFERROR(N(INDEX(Parameter!$L$5:$L$7,W719))*INDEX(Parameter!$E$5:$E$7,W719)*X719/SUMIFS($X$7:$X$1843,$W$7:$W$1843,W719),0),0)</f>
        <v>0</v>
      </c>
      <c r="CS719" s="62" t="n">
        <f aca="false">IF(AND(OR(CG719="L1",CG719="L23",CG719="LIFT"),H719&gt;0),CC719*IF(CR719&gt;0,CR719*MAX(1,H719/X719),IF(CA719=1,CE719,IF(R719&gt;0,CN719/R719,0))/MAX(0.1,N(Parameter!$M$21))),"")</f>
        <v>0.553571428571429</v>
      </c>
      <c r="CT719" s="64" t="n">
        <f aca="false">IF(CS719="","",J719/H719)</f>
        <v>0.0909090909090909</v>
      </c>
      <c r="CU719" s="62" t="n">
        <f aca="false">IF(CS719="","",H719*G719)</f>
        <v>8.58</v>
      </c>
      <c r="CV719" s="63" t="n">
        <f aca="false">IF(CS719="","",(CL719+ROUNDUP(CL719+MAX(CM719,2*(J719/MAX(0.1,N(Einkauf!$C$6))-CL719)),0))/2)</f>
        <v>0.5</v>
      </c>
      <c r="CW719" s="62" t="n">
        <f aca="false">IF(CS719="","",MAX(0,H719-CV719)*G719)</f>
        <v>8.385</v>
      </c>
      <c r="CX719" s="62" t="n">
        <f aca="false">IF(CS719="","",CS719*MAX(0,1-CV719/H719))</f>
        <v>0.54099025974026</v>
      </c>
      <c r="CY719" s="64" t="n">
        <f aca="false">IF(CS719="","",PERCENTRANK($CS$7:$CS$1843,CS719)+PERCENTRANK($CU$7:$CU$1843,CU719)+1-PERCENTRANK($CT$7:$CT$1843,CT719))</f>
        <v>0.6164</v>
      </c>
      <c r="CZ719" s="72" t="n">
        <f aca="false">IF(CS719="","",CHOOSE(MATCH(Einkauf!$C$5,Parameter!$G$23:$G$27,0),CY719,CS719,CU719,-CT719,CW719)+ROW()/1000000000)</f>
        <v>0.616400719</v>
      </c>
    </row>
    <row r="720" customFormat="false" ht="15" hidden="false" customHeight="false" outlineLevel="0" collapsed="false">
      <c r="A720" s="60" t="s">
        <v>1473</v>
      </c>
      <c r="B720" s="60" t="s">
        <v>586</v>
      </c>
      <c r="C720" s="60" t="s">
        <v>206</v>
      </c>
      <c r="D720" s="60" t="s">
        <v>1037</v>
      </c>
      <c r="E720" s="60"/>
      <c r="F720" s="60" t="s">
        <v>260</v>
      </c>
      <c r="G720" s="61" t="n">
        <v>32.17</v>
      </c>
      <c r="H720" s="62" t="n">
        <f aca="false">MAX(0,IF(AND(Parameter!$B$21="Ja",ISNUMBER(Y720)),Y720,IF(Parameter!$B$20="Jahresanfang 2025 + Export",BS720+BR720,BR720)))</f>
        <v>6</v>
      </c>
      <c r="I720" s="62" t="n">
        <f aca="false">H720*G720</f>
        <v>193.02</v>
      </c>
      <c r="J720" s="62" t="n">
        <f aca="false">BU720*Parameter!$B$18</f>
        <v>0</v>
      </c>
      <c r="K720" s="63" t="n">
        <v>2.5</v>
      </c>
      <c r="L720" s="64" t="n">
        <v>0</v>
      </c>
      <c r="M720" s="62" t="n">
        <v>0</v>
      </c>
      <c r="N720" s="62" t="n">
        <v>10</v>
      </c>
      <c r="O720" s="65" t="n">
        <v>28</v>
      </c>
      <c r="P720" s="60" t="s">
        <v>210</v>
      </c>
      <c r="Q720" s="62"/>
      <c r="R720" s="65" t="n">
        <f aca="false">IF(CA720=1,0,IFERROR(VLOOKUP(BY720,'Gebinde-Kategorie'!$A$5:$N$45,13,0)+0,0))</f>
        <v>0</v>
      </c>
      <c r="S720" s="66"/>
      <c r="T720" s="67"/>
      <c r="U720" s="67"/>
      <c r="V720" s="67"/>
      <c r="W720" s="60"/>
      <c r="X720" s="62"/>
      <c r="Y720" s="62"/>
      <c r="Z720" s="60"/>
      <c r="AA720" s="60" t="str">
        <f aca="false">IF(A720="","",IF(AND(Parameter!$B$21="Ja",ISNUMBER(W720)),W720,IF(AND(Parameter!$E$27="Ja",ISNUMBER(Z720),CD720&lt;&gt;"Nein"),Z720,IF(CD720="2+3",IF(ISNUMBER(SEARCH("grosser Artikel",BV720)),2,IFERROR(VLOOKUP(BY720,Parameter!$F$35:$G$64,2,0),2)),IF(OR(CD720="Nein",CD720=""),"-",CD720)))))</f>
        <v>-</v>
      </c>
      <c r="AB720" s="67"/>
      <c r="AC720" s="68"/>
      <c r="AD720" s="62" t="n">
        <f aca="false">AW720</f>
        <v>10</v>
      </c>
      <c r="AE720" s="62" t="n">
        <f aca="false">MAX(AW720,H720)</f>
        <v>10</v>
      </c>
      <c r="AF720" s="69"/>
      <c r="AG720" s="62" t="n">
        <f aca="false">IF(LEFT(Cockpit!$C$5,1)="A",H720,IF(Parameter!$E$30="MAX-Bestand",IF(CI720=1,CJ720,IF(LEFT(Cockpit!$C$5,1)="B",AM720,MAX(AM720,H720))),ROUNDUP(AK720,0)))</f>
        <v>6</v>
      </c>
      <c r="AH720" s="62" t="n">
        <f aca="false">IF(CA720=1,0,ROUNDUP(AG720/BZ720,0))</f>
        <v>0</v>
      </c>
      <c r="AI720" s="64" t="n">
        <f aca="false">IF(CR720&gt;0,CR720*MAX(1,AG720/X720),IF(CA720=1,IF(AG720&lt;=0,0,CE720*MAX(1,IF(H720&gt;0,AG720/H720,1))),IF(R720&gt;0,AH720/R720,0))/MAX(0.1,N(Parameter!$M$21)))</f>
        <v>0.15</v>
      </c>
      <c r="AJ720" s="62" t="n">
        <f aca="false">AI720*CC720</f>
        <v>35.25</v>
      </c>
      <c r="AK720" s="63" t="n">
        <f aca="false">IF(LEFT(Cockpit!$C$5,1)="A",H720,IF(CI720=1,(CL720+CJ720)/2,IF(LEFT(Cockpit!$C$5,1)="B",(CL720+AM720)/2,MAX((CL720+AM720)/2,H720))))</f>
        <v>6</v>
      </c>
      <c r="AL720" s="62" t="n">
        <f aca="false">AK720*G720</f>
        <v>193.02</v>
      </c>
      <c r="AM720" s="62" t="n">
        <f aca="false">ROUNDUP(CL720+MAX(CM720,2*(J720/IF(CH720&gt;0,CH720,MAX(0.1,N(Cockpit!$C$6)))-CL720)),0)</f>
        <v>10</v>
      </c>
      <c r="AN720" s="63" t="n">
        <f aca="false">IF(AJ720&gt;0,J720/AJ720,-1)</f>
        <v>0</v>
      </c>
      <c r="AO720" s="63" t="str">
        <f aca="false">IF(AND(OR(CG720="L1",CG720="L23",CG720="LIFT"),AJ720&gt;0),SUMIFS($AJ$7:$AJ$1843,$CG$7:$CG$1843,CG720,$AN$7:$AN$1843,"&gt;"&amp;AN720)+SUMIFS($AJ$7:$AJ$1843,$CG$7:$CG$1843,CG720,$AN$7:$AN$1843,AN720,$BX$7:$BX$1843,"&lt;="&amp;BX720),"")</f>
        <v/>
      </c>
      <c r="AP720" s="70" t="n">
        <f aca="false">IF(AO720="",0,MAX(0,MIN(1,(IF(CG720="L1",Parameter!$H$5,IF(CG720="L23",Parameter!$H$6+Parameter!$H$7,Parameter!$H$5+Parameter!$H$6+Parameter!$H$7))-(AO720-AJ720))/AJ720)))</f>
        <v>0</v>
      </c>
      <c r="AQ720" s="62" t="n">
        <f aca="false">IF(LEFT(Cockpit!$I$5,1)="A",H720,IF(Parameter!$E$30="MAX-Bestand",IF(CI720=1,CJ720,IF(LEFT(Cockpit!$I$5,1)="B",AW720,MAX(AW720,H720))),ROUNDUP(AU720,0)))</f>
        <v>6</v>
      </c>
      <c r="AR720" s="62" t="n">
        <f aca="false">IF(CA720=1,0,ROUNDUP(AQ720/BZ720,0))</f>
        <v>0</v>
      </c>
      <c r="AS720" s="64" t="n">
        <f aca="false">IF(CR720&gt;0,CR720*MAX(1,AQ720/X720),IF(CA720=1,IF(AQ720&lt;=0,0,CE720*MAX(1,IF(H720&gt;0,AQ720/H720,1))),IF(R720&gt;0,AR720/R720,0))/MAX(0.1,N(Parameter!$M$21)))</f>
        <v>0.15</v>
      </c>
      <c r="AT720" s="62" t="n">
        <f aca="false">AS720*CC720</f>
        <v>35.25</v>
      </c>
      <c r="AU720" s="63" t="n">
        <f aca="false">IF(LEFT(Cockpit!$I$5,1)="A",H720,IF(CI720=1,(CL720+CJ720)/2,IF(LEFT(Cockpit!$I$5,1)="B",(CL720+AW720)/2,MAX((CL720+AW720)/2,H720))))</f>
        <v>6</v>
      </c>
      <c r="AV720" s="62" t="n">
        <f aca="false">AU720*G720</f>
        <v>193.02</v>
      </c>
      <c r="AW720" s="62" t="n">
        <f aca="false">ROUNDUP(CL720+MAX(CM720,2*(J720/IF(CH720&gt;0,CH720,MAX(0.1,N(Cockpit!$I$6)))-CL720)),0)</f>
        <v>10</v>
      </c>
      <c r="AX720" s="63" t="n">
        <f aca="false">IF(AT720&gt;0,J720/AT720,-1)</f>
        <v>0</v>
      </c>
      <c r="AY720" s="63" t="str">
        <f aca="false">IF(AND(OR(CG720="L1",CG720="L23",CG720="LIFT"),AT720&gt;0),SUMIFS($AT$7:$AT$1843,$CG$7:$CG$1843,CG720,$AX$7:$AX$1843,"&gt;"&amp;AX720)+SUMIFS($AT$7:$AT$1843,$CG$7:$CG$1843,CG720,$AX$7:$AX$1843,AX720,$BX$7:$BX$1843,"&lt;="&amp;BX720),"")</f>
        <v/>
      </c>
      <c r="AZ720" s="70" t="n">
        <f aca="false">IF(AY720="",0,MAX(0,MIN(1,(IF(CG720="L1",Parameter!$H$5,IF(CG720="L23",Parameter!$H$6+Parameter!$H$7,Parameter!$H$5+Parameter!$H$6+Parameter!$H$7))-(AY720-AT720))/AT720)))</f>
        <v>0</v>
      </c>
      <c r="BA720" s="62" t="n">
        <f aca="false">IF(LEFT(Cockpit!$O$5,1)="A",H720,IF(Parameter!$E$30="MAX-Bestand",IF(CI720=1,CJ720,IF(LEFT(Cockpit!$O$5,1)="B",BG720,MAX(BG720,H720))),ROUNDUP(BE720,0)))</f>
        <v>5</v>
      </c>
      <c r="BB720" s="62" t="n">
        <f aca="false">IF(CA720=1,0,ROUNDUP(BA720/BZ720,0))</f>
        <v>0</v>
      </c>
      <c r="BC720" s="64" t="n">
        <f aca="false">IF(CR720&gt;0,CR720*MAX(1,BA720/X720),IF(CA720=1,IF(BA720&lt;=0,0,CE720*MAX(1,IF(H720&gt;0,BA720/H720,1))),IF(R720&gt;0,BB720/R720,0))/MAX(0.1,N(Parameter!$M$21)))</f>
        <v>0.15</v>
      </c>
      <c r="BD720" s="62" t="n">
        <f aca="false">BC720*CC720</f>
        <v>35.25</v>
      </c>
      <c r="BE720" s="63" t="n">
        <f aca="false">IF(LEFT(Cockpit!$O$5,1)="A",H720,IF(CI720=1,(CL720+CJ720)/2,IF(LEFT(Cockpit!$O$5,1)="B",(CL720+BG720)/2,MAX((CL720+BG720)/2,H720))))</f>
        <v>5</v>
      </c>
      <c r="BF720" s="62" t="n">
        <f aca="false">BE720*G720</f>
        <v>160.85</v>
      </c>
      <c r="BG720" s="62" t="n">
        <f aca="false">ROUNDUP(CL720+MAX(CM720,2*(J720/IF(CH720&gt;0,CH720,MAX(0.1,N(Cockpit!$O$6)))-CL720)),0)</f>
        <v>10</v>
      </c>
      <c r="BH720" s="63" t="n">
        <f aca="false">IF(BD720&gt;0,J720/BD720,-1)</f>
        <v>0</v>
      </c>
      <c r="BI720" s="63" t="str">
        <f aca="false">IF(AND(OR(CG720="L1",CG720="L23",CG720="LIFT"),BD720&gt;0),SUMIFS($BD$7:$BD$1843,$CG$7:$CG$1843,CG720,$BH$7:$BH$1843,"&gt;"&amp;BH720)+SUMIFS($BD$7:$BD$1843,$CG$7:$CG$1843,CG720,$BH$7:$BH$1843,BH720,$BX$7:$BX$1843,"&lt;="&amp;BX720),"")</f>
        <v/>
      </c>
      <c r="BJ720" s="70" t="n">
        <f aca="false">IF(BI720="",0,MAX(0,MIN(1,(IF(CG720="L1",Parameter!$H$5,IF(CG720="L23",Parameter!$H$6+Parameter!$H$7,Parameter!$H$5+Parameter!$H$6+Parameter!$H$7))-(BI720-BD720))/BD720)))</f>
        <v>0</v>
      </c>
      <c r="BK720" s="60" t="str">
        <f aca="false">IF(AJ720&lt;=0,"",IF(CG720="Aussen","Aussenlager",IF(CG720="-","Nicht im Lift",IF(AP720&gt;=1,"Lift",IF(AP720&lt;=0,"Aussenlager","teilweise")))))</f>
        <v>Nicht im Lift</v>
      </c>
      <c r="BL720" s="60" t="str">
        <f aca="false">IF(AT720&lt;=0,"",IF(CG720="Aussen","Aussenlager",IF(CG720="-","Nicht im Lift",IF(AZ720&gt;=1,"Lift",IF(AZ720&lt;=0,"Aussenlager","teilweise")))))</f>
        <v>Nicht im Lift</v>
      </c>
      <c r="BM720" s="60" t="str">
        <f aca="false">IF(BD720&lt;=0,"",IF(CG720="Aussen","Aussenlager",IF(CG720="-","Nicht im Lift",IF(BJ720&gt;=1,"Lift",IF(BJ720&lt;=0,"Aussenlager","teilweise")))))</f>
        <v>Nicht im Lift</v>
      </c>
      <c r="BN720" s="60" t="str">
        <f aca="false">IF(A720="","",IF(BW720=1,"Neu; ","")&amp;IF(AND(BW720=0,BR720&lt;0),"negativer Bestand (Export "&amp;BR720&amp;"); ","")&amp;IF(J720&lt;=0,"Kein Verbrauch; ","")&amp;IF(CR720&gt;0,"Lift "&amp;W720&amp;" lt. Liftbericht (Fach "&amp;X720&amp;" Stk); ",IF(CB720=1,"Gebinde geschätzt ("&amp;T720&amp;"); ",IF(CA720=1,"Lose – Tablare geschätzt; ","")))&amp;IF(H720&gt;AW720,"Überbestand "&amp;ROUND(H720-AW720,0)&amp;" Stk / CHF "&amp;ROUND((H720-AW720)*G720,0)&amp;"; ","")&amp;IF(AND(CI720=1,CJ720&lt;CK720),"MAX &lt; MB+LG; ","")&amp;IF(AND(CQ720&gt;0,CP720*10&gt;CQ720),"zu hoch für Tablar; ","")&amp;IF(AND(BW720=0,OR(CI720=1,AB720&lt;&gt;"",U720&lt;&gt;"",V720&lt;&gt;"",AC720&lt;&gt;"")),"manuell übersteuert; ","")&amp;IF(AND(CA720=0,R720=0),"Gebinde unbekannt / Stellmass fehlt; ","")&amp;IF(AND(CA720=0,N(V720)&lt;=0,N(Q720)&lt;=0),"Menge pro Gebinde fehlt (Ist = 1 Gebinde); ","")&amp;BV720)</f>
        <v>Kein Verbrauch; Lose – Tablare geschätzt; </v>
      </c>
      <c r="BO720" s="60"/>
      <c r="BP720" s="60"/>
      <c r="BQ720" s="67"/>
      <c r="BR720" s="62" t="n">
        <v>4</v>
      </c>
      <c r="BS720" s="62" t="n">
        <v>2</v>
      </c>
      <c r="BT720" s="61" t="n">
        <v>0</v>
      </c>
      <c r="BU720" s="62" t="n">
        <v>0</v>
      </c>
      <c r="BV720" s="60"/>
      <c r="BW720" s="65" t="n">
        <v>0</v>
      </c>
      <c r="BX720" s="65" t="n">
        <v>720</v>
      </c>
      <c r="BY720" s="60" t="str">
        <f aca="false">IF(U720&lt;&gt;"",UPPER(TRIM(U720)),IF(CB720=1,UPPER(VLOOKUP(T720,Parameter!$I$27:$K$29,2,0)),IF(P720="","LOSE",P720)))</f>
        <v>LOSE</v>
      </c>
      <c r="BZ720" s="62" t="n">
        <f aca="false">IF(BY720="LOSE",1,IF(N(V720)&gt;0,V720,IF(CB720=1,MAX(1,N(VLOOKUP(T720,Parameter!$I$27:$K$29,3,0)),H720,N(N720)),IF(N(Q720)&gt;0,Q720,MAX(1,H720)))))</f>
        <v>1</v>
      </c>
      <c r="CA720" s="65" t="n">
        <f aca="false">IF(BY720="LOSE",1,0)</f>
        <v>1</v>
      </c>
      <c r="CB720" s="65" t="n">
        <f aca="false">IF(AND(U720="",OR(P720="",P720="LOSE"),T720&lt;&gt;"",N(S720)&lt;=0,ISNUMBER(MATCH(T720,Parameter!$I$27:$I$29,0))),1,0)</f>
        <v>0</v>
      </c>
      <c r="CC720" s="65" t="n">
        <f aca="false">IF(CR720&gt;0,INDEX(Parameter!$H$5:$H$7,W720)/INDEX(Parameter!$E$5:$E$7,W720),IF(AND(CA720=0,N(IFERROR(VLOOKUP(BY720,'Gebinde-Kategorie'!$A$5:$N$45,14,0),0))&gt;0),VLOOKUP(BY720,'Gebinde-Kategorie'!$A$5:$N$45,14,0)*10+Parameter!$M$23,Parameter!$M$24))</f>
        <v>235</v>
      </c>
      <c r="CD720" s="60" t="str">
        <f aca="false">IF(AND(Parameter!$B$19="Ja",E720&lt;&gt;"",ISNUMBER(MATCH(E720,Parameter!$I$35:$I$52,0))),VLOOKUP(E720,Parameter!$I$35:$J$52,2,0),IFERROR(VLOOKUP(D720,Parameter!$A$35:$C$64,2,0),"Nein"))</f>
        <v>Nein</v>
      </c>
      <c r="CE720" s="64" t="n">
        <f aca="false">IF(CA720=0,0,IF(N(S720)&gt;0,S720,IFERROR(VLOOKUP(D720,Parameter!$A$35:$C$64,3,0)+0,0)))</f>
        <v>0.15</v>
      </c>
      <c r="CF720" s="60" t="str">
        <f aca="false">IF(AB720&lt;&gt;"",AB720,AA720)</f>
        <v>-</v>
      </c>
      <c r="CG720" s="60" t="str">
        <f aca="false">IF(OR(CF720=1,CF720=2,CF720=3),IF(Parameter!$E$27="Ja","LIFT",IF(CF720=1,"L1","L23")),IF(CF720="Aussen","Aussen","-"))</f>
        <v>-</v>
      </c>
      <c r="CH720" s="71" t="n">
        <f aca="false">IF(N(AC720)&gt;0,AC720,0)</f>
        <v>0</v>
      </c>
      <c r="CI720" s="65" t="n">
        <f aca="false">IF(ISNUMBER(AF720),1,0)</f>
        <v>0</v>
      </c>
      <c r="CJ720" s="62" t="n">
        <f aca="false">N(AF720)</f>
        <v>0</v>
      </c>
      <c r="CK720" s="62" t="n">
        <f aca="false">N(M720)+N(N720)</f>
        <v>10</v>
      </c>
      <c r="CL720" s="62" t="n">
        <f aca="false">N(M720)</f>
        <v>0</v>
      </c>
      <c r="CM720" s="62" t="n">
        <f aca="false">N(N720)</f>
        <v>10</v>
      </c>
      <c r="CN720" s="62" t="n">
        <f aca="false">ROUNDUP(H720/BZ720,0)</f>
        <v>6</v>
      </c>
      <c r="CO720" s="62" t="n">
        <f aca="false">ROUNDUP(CJ720/BZ720,0)</f>
        <v>0</v>
      </c>
      <c r="CP720" s="65" t="n">
        <f aca="false">IF(CA720=1,0,IFERROR(VLOOKUP(BY720,'Gebinde-Kategorie'!$A$5:$N$45,5,0)+0,0))</f>
        <v>0</v>
      </c>
      <c r="CQ720" s="65" t="n">
        <f aca="false">IFERROR(IF(OR(CF720=1,CF720=2,CF720=3),N(INDEX(Parameter!$I$5:$I$7,CF720)),0),0)</f>
        <v>0</v>
      </c>
      <c r="CR720" s="64" t="n">
        <f aca="false">IF(AND(Parameter!$B$21="Ja",ISNUMBER(W720),N(X720)&gt;0),IFERROR(N(INDEX(Parameter!$L$5:$L$7,W720))*INDEX(Parameter!$E$5:$E$7,W720)*X720/SUMIFS($X$7:$X$1843,$W$7:$W$1843,W720),0),0)</f>
        <v>0</v>
      </c>
      <c r="CS720" s="62" t="str">
        <f aca="false">IF(AND(OR(CG720="L1",CG720="L23",CG720="LIFT"),H720&gt;0),CC720*IF(CR720&gt;0,CR720*MAX(1,H720/X720),IF(CA720=1,CE720,IF(R720&gt;0,CN720/R720,0))/MAX(0.1,N(Parameter!$M$21))),"")</f>
        <v/>
      </c>
      <c r="CT720" s="64" t="str">
        <f aca="false">IF(CS720="","",J720/H720)</f>
        <v/>
      </c>
      <c r="CU720" s="62" t="str">
        <f aca="false">IF(CS720="","",H720*G720)</f>
        <v/>
      </c>
      <c r="CV720" s="63" t="str">
        <f aca="false">IF(CS720="","",(CL720+ROUNDUP(CL720+MAX(CM720,2*(J720/MAX(0.1,N(Einkauf!$C$6))-CL720)),0))/2)</f>
        <v/>
      </c>
      <c r="CW720" s="62" t="str">
        <f aca="false">IF(CS720="","",MAX(0,H720-CV720)*G720)</f>
        <v/>
      </c>
      <c r="CX720" s="62" t="str">
        <f aca="false">IF(CS720="","",CS720*MAX(0,1-CV720/H720))</f>
        <v/>
      </c>
      <c r="CY720" s="64" t="str">
        <f aca="false">IF(CS720="","",PERCENTRANK($CS$7:$CS$1843,CS720)+PERCENTRANK($CU$7:$CU$1843,CU720)+1-PERCENTRANK($CT$7:$CT$1843,CT720))</f>
        <v/>
      </c>
      <c r="CZ720" s="72" t="str">
        <f aca="false">IF(CS720="","",CHOOSE(MATCH(Einkauf!$C$5,Parameter!$G$23:$G$27,0),CY720,CS720,CU720,-CT720,CW720)+ROW()/1000000000)</f>
        <v/>
      </c>
    </row>
    <row r="721" customFormat="false" ht="15" hidden="false" customHeight="false" outlineLevel="0" collapsed="false">
      <c r="A721" s="60" t="s">
        <v>1474</v>
      </c>
      <c r="B721" s="60" t="s">
        <v>1475</v>
      </c>
      <c r="C721" s="60" t="s">
        <v>206</v>
      </c>
      <c r="D721" s="60" t="s">
        <v>215</v>
      </c>
      <c r="E721" s="60" t="s">
        <v>227</v>
      </c>
      <c r="F721" s="60" t="s">
        <v>260</v>
      </c>
      <c r="G721" s="61" t="n">
        <v>299</v>
      </c>
      <c r="H721" s="62" t="n">
        <f aca="false">MAX(0,IF(AND(Parameter!$B$21="Ja",ISNUMBER(Y721)),Y721,IF(Parameter!$B$20="Jahresanfang 2025 + Export",BS721+BR721,BR721)))</f>
        <v>0</v>
      </c>
      <c r="I721" s="62" t="n">
        <f aca="false">H721*G721</f>
        <v>0</v>
      </c>
      <c r="J721" s="62" t="n">
        <f aca="false">BU721*Parameter!$B$18</f>
        <v>0</v>
      </c>
      <c r="K721" s="63" t="n">
        <v>0</v>
      </c>
      <c r="L721" s="64" t="n">
        <v>0</v>
      </c>
      <c r="M721" s="62" t="n">
        <v>0</v>
      </c>
      <c r="N721" s="62" t="n">
        <v>1</v>
      </c>
      <c r="O721" s="65" t="n">
        <v>28</v>
      </c>
      <c r="P721" s="60" t="s">
        <v>228</v>
      </c>
      <c r="Q721" s="62" t="n">
        <v>1</v>
      </c>
      <c r="R721" s="65" t="n">
        <f aca="false">IF(CA721=1,0,IFERROR(VLOOKUP(BY721,'Gebinde-Kategorie'!$A$5:$N$45,13,0)+0,0))</f>
        <v>12</v>
      </c>
      <c r="S721" s="66"/>
      <c r="T721" s="67"/>
      <c r="U721" s="67"/>
      <c r="V721" s="67"/>
      <c r="W721" s="60"/>
      <c r="X721" s="62"/>
      <c r="Y721" s="62"/>
      <c r="Z721" s="60" t="n">
        <v>3</v>
      </c>
      <c r="AA721" s="60" t="n">
        <f aca="false">IF(A721="","",IF(AND(Parameter!$B$21="Ja",ISNUMBER(W721)),W721,IF(AND(Parameter!$E$27="Ja",ISNUMBER(Z721),CD721&lt;&gt;"Nein"),Z721,IF(CD721="2+3",IF(ISNUMBER(SEARCH("grosser Artikel",BV721)),2,IFERROR(VLOOKUP(BY721,Parameter!$F$35:$G$64,2,0),2)),IF(OR(CD721="Nein",CD721=""),"-",CD721)))))</f>
        <v>3</v>
      </c>
      <c r="AB721" s="67"/>
      <c r="AC721" s="68"/>
      <c r="AD721" s="62" t="n">
        <f aca="false">AW721</f>
        <v>1</v>
      </c>
      <c r="AE721" s="62" t="n">
        <f aca="false">MAX(AW721,H721)</f>
        <v>1</v>
      </c>
      <c r="AF721" s="69"/>
      <c r="AG721" s="62" t="n">
        <f aca="false">IF(LEFT(Cockpit!$C$5,1)="A",H721,IF(Parameter!$E$30="MAX-Bestand",IF(CI721=1,CJ721,IF(LEFT(Cockpit!$C$5,1)="B",AM721,MAX(AM721,H721))),ROUNDUP(AK721,0)))</f>
        <v>0</v>
      </c>
      <c r="AH721" s="62" t="n">
        <f aca="false">IF(CA721=1,0,ROUNDUP(AG721/BZ721,0))</f>
        <v>0</v>
      </c>
      <c r="AI721" s="64" t="n">
        <f aca="false">IF(CR721&gt;0,CR721*MAX(1,AG721/X721),IF(CA721=1,IF(AG721&lt;=0,0,CE721*MAX(1,IF(H721&gt;0,AG721/H721,1))),IF(R721&gt;0,AH721/R721,0))/MAX(0.1,N(Parameter!$M$21)))</f>
        <v>0</v>
      </c>
      <c r="AJ721" s="62" t="n">
        <f aca="false">AI721*CC721</f>
        <v>0</v>
      </c>
      <c r="AK721" s="63" t="n">
        <f aca="false">IF(LEFT(Cockpit!$C$5,1)="A",H721,IF(CI721=1,(CL721+CJ721)/2,IF(LEFT(Cockpit!$C$5,1)="B",(CL721+AM721)/2,MAX((CL721+AM721)/2,H721))))</f>
        <v>0</v>
      </c>
      <c r="AL721" s="62" t="n">
        <f aca="false">AK721*G721</f>
        <v>0</v>
      </c>
      <c r="AM721" s="62" t="n">
        <f aca="false">ROUNDUP(CL721+MAX(CM721,2*(J721/IF(CH721&gt;0,CH721,MAX(0.1,N(Cockpit!$C$6)))-CL721)),0)</f>
        <v>1</v>
      </c>
      <c r="AN721" s="63" t="n">
        <f aca="false">IF(AJ721&gt;0,J721/AJ721,-1)</f>
        <v>-1</v>
      </c>
      <c r="AO721" s="63" t="str">
        <f aca="false">IF(AND(OR(CG721="L1",CG721="L23",CG721="LIFT"),AJ721&gt;0),SUMIFS($AJ$7:$AJ$1843,$CG$7:$CG$1843,CG721,$AN$7:$AN$1843,"&gt;"&amp;AN721)+SUMIFS($AJ$7:$AJ$1843,$CG$7:$CG$1843,CG721,$AN$7:$AN$1843,AN721,$BX$7:$BX$1843,"&lt;="&amp;BX721),"")</f>
        <v/>
      </c>
      <c r="AP721" s="70" t="n">
        <f aca="false">IF(AO721="",0,MAX(0,MIN(1,(IF(CG721="L1",Parameter!$H$5,IF(CG721="L23",Parameter!$H$6+Parameter!$H$7,Parameter!$H$5+Parameter!$H$6+Parameter!$H$7))-(AO721-AJ721))/AJ721)))</f>
        <v>0</v>
      </c>
      <c r="AQ721" s="62" t="n">
        <f aca="false">IF(LEFT(Cockpit!$I$5,1)="A",H721,IF(Parameter!$E$30="MAX-Bestand",IF(CI721=1,CJ721,IF(LEFT(Cockpit!$I$5,1)="B",AW721,MAX(AW721,H721))),ROUNDUP(AU721,0)))</f>
        <v>1</v>
      </c>
      <c r="AR721" s="62" t="n">
        <f aca="false">IF(CA721=1,0,ROUNDUP(AQ721/BZ721,0))</f>
        <v>1</v>
      </c>
      <c r="AS721" s="64" t="n">
        <f aca="false">IF(CR721&gt;0,CR721*MAX(1,AQ721/X721),IF(CA721=1,IF(AQ721&lt;=0,0,CE721*MAX(1,IF(H721&gt;0,AQ721/H721,1))),IF(R721&gt;0,AR721/R721,0))/MAX(0.1,N(Parameter!$M$21)))</f>
        <v>0.0833333333333333</v>
      </c>
      <c r="AT721" s="62" t="n">
        <f aca="false">AS721*CC721</f>
        <v>12.0833333333333</v>
      </c>
      <c r="AU721" s="63" t="n">
        <f aca="false">IF(LEFT(Cockpit!$I$5,1)="A",H721,IF(CI721=1,(CL721+CJ721)/2,IF(LEFT(Cockpit!$I$5,1)="B",(CL721+AW721)/2,MAX((CL721+AW721)/2,H721))))</f>
        <v>0.5</v>
      </c>
      <c r="AV721" s="62" t="n">
        <f aca="false">AU721*G721</f>
        <v>149.5</v>
      </c>
      <c r="AW721" s="62" t="n">
        <f aca="false">ROUNDUP(CL721+MAX(CM721,2*(J721/IF(CH721&gt;0,CH721,MAX(0.1,N(Cockpit!$I$6)))-CL721)),0)</f>
        <v>1</v>
      </c>
      <c r="AX721" s="63" t="n">
        <f aca="false">IF(AT721&gt;0,J721/AT721,-1)</f>
        <v>0</v>
      </c>
      <c r="AY721" s="63" t="n">
        <f aca="false">IF(AND(OR(CG721="L1",CG721="L23",CG721="LIFT"),AT721&gt;0),SUMIFS($AT$7:$AT$1843,$CG$7:$CG$1843,CG721,$AX$7:$AX$1843,"&gt;"&amp;AX721)+SUMIFS($AT$7:$AT$1843,$CG$7:$CG$1843,CG721,$AX$7:$AX$1843,AX721,$BX$7:$BX$1843,"&lt;="&amp;BX721),"")</f>
        <v>34168.7197802198</v>
      </c>
      <c r="AZ721" s="70" t="n">
        <f aca="false">IF(AY721="",0,MAX(0,MIN(1,(IF(CG721="L1",Parameter!$H$5,IF(CG721="L23",Parameter!$H$6+Parameter!$H$7,Parameter!$H$5+Parameter!$H$6+Parameter!$H$7))-(AY721-AT721))/AT721)))</f>
        <v>1</v>
      </c>
      <c r="BA721" s="62" t="n">
        <f aca="false">IF(LEFT(Cockpit!$O$5,1)="A",H721,IF(Parameter!$E$30="MAX-Bestand",IF(CI721=1,CJ721,IF(LEFT(Cockpit!$O$5,1)="B",BG721,MAX(BG721,H721))),ROUNDUP(BE721,0)))</f>
        <v>1</v>
      </c>
      <c r="BB721" s="62" t="n">
        <f aca="false">IF(CA721=1,0,ROUNDUP(BA721/BZ721,0))</f>
        <v>1</v>
      </c>
      <c r="BC721" s="64" t="n">
        <f aca="false">IF(CR721&gt;0,CR721*MAX(1,BA721/X721),IF(CA721=1,IF(BA721&lt;=0,0,CE721*MAX(1,IF(H721&gt;0,BA721/H721,1))),IF(R721&gt;0,BB721/R721,0))/MAX(0.1,N(Parameter!$M$21)))</f>
        <v>0.0833333333333333</v>
      </c>
      <c r="BD721" s="62" t="n">
        <f aca="false">BC721*CC721</f>
        <v>12.0833333333333</v>
      </c>
      <c r="BE721" s="63" t="n">
        <f aca="false">IF(LEFT(Cockpit!$O$5,1)="A",H721,IF(CI721=1,(CL721+CJ721)/2,IF(LEFT(Cockpit!$O$5,1)="B",(CL721+BG721)/2,MAX((CL721+BG721)/2,H721))))</f>
        <v>0.5</v>
      </c>
      <c r="BF721" s="62" t="n">
        <f aca="false">BE721*G721</f>
        <v>149.5</v>
      </c>
      <c r="BG721" s="62" t="n">
        <f aca="false">ROUNDUP(CL721+MAX(CM721,2*(J721/IF(CH721&gt;0,CH721,MAX(0.1,N(Cockpit!$O$6)))-CL721)),0)</f>
        <v>1</v>
      </c>
      <c r="BH721" s="63" t="n">
        <f aca="false">IF(BD721&gt;0,J721/BD721,-1)</f>
        <v>0</v>
      </c>
      <c r="BI721" s="63" t="n">
        <f aca="false">IF(AND(OR(CG721="L1",CG721="L23",CG721="LIFT"),BD721&gt;0),SUMIFS($BD$7:$BD$1843,$CG$7:$CG$1843,CG721,$BH$7:$BH$1843,"&gt;"&amp;BH721)+SUMIFS($BD$7:$BD$1843,$CG$7:$CG$1843,CG721,$BH$7:$BH$1843,BH721,$BX$7:$BX$1843,"&lt;="&amp;BX721),"")</f>
        <v>28232.8487846899</v>
      </c>
      <c r="BJ721" s="70" t="n">
        <f aca="false">IF(BI721="",0,MAX(0,MIN(1,(IF(CG721="L1",Parameter!$H$5,IF(CG721="L23",Parameter!$H$6+Parameter!$H$7,Parameter!$H$5+Parameter!$H$6+Parameter!$H$7))-(BI721-BD721))/BD721)))</f>
        <v>1</v>
      </c>
      <c r="BK721" s="60" t="str">
        <f aca="false">IF(AJ721&lt;=0,"",IF(CG721="Aussen","Aussenlager",IF(CG721="-","Nicht im Lift",IF(AP721&gt;=1,"Lift",IF(AP721&lt;=0,"Aussenlager","teilweise")))))</f>
        <v/>
      </c>
      <c r="BL721" s="60" t="str">
        <f aca="false">IF(AT721&lt;=0,"",IF(CG721="Aussen","Aussenlager",IF(CG721="-","Nicht im Lift",IF(AZ721&gt;=1,"Lift",IF(AZ721&lt;=0,"Aussenlager","teilweise")))))</f>
        <v>Lift</v>
      </c>
      <c r="BM721" s="60" t="str">
        <f aca="false">IF(BD721&lt;=0,"",IF(CG721="Aussen","Aussenlager",IF(CG721="-","Nicht im Lift",IF(BJ721&gt;=1,"Lift",IF(BJ721&lt;=0,"Aussenlager","teilweise")))))</f>
        <v>Lift</v>
      </c>
      <c r="BN721" s="60" t="str">
        <f aca="false">IF(A721="","",IF(BW721=1,"Neu; ","")&amp;IF(AND(BW721=0,BR721&lt;0),"negativer Bestand (Export "&amp;BR721&amp;"); ","")&amp;IF(J721&lt;=0,"Kein Verbrauch; ","")&amp;IF(CR721&gt;0,"Lift "&amp;W721&amp;" lt. Liftbericht (Fach "&amp;X721&amp;" Stk); ",IF(CB721=1,"Gebinde geschätzt ("&amp;T721&amp;"); ",IF(CA721=1,"Lose – Tablare geschätzt; ","")))&amp;IF(H721&gt;AW721,"Überbestand "&amp;ROUND(H721-AW721,0)&amp;" Stk / CHF "&amp;ROUND((H721-AW721)*G721,0)&amp;"; ","")&amp;IF(AND(CI721=1,CJ721&lt;CK721),"MAX &lt; MB+LG; ","")&amp;IF(AND(CQ721&gt;0,CP721*10&gt;CQ721),"zu hoch für Tablar; ","")&amp;IF(AND(BW721=0,OR(CI721=1,AB721&lt;&gt;"",U721&lt;&gt;"",V721&lt;&gt;"",AC721&lt;&gt;"")),"manuell übersteuert; ","")&amp;IF(AND(CA721=0,R721=0),"Gebinde unbekannt / Stellmass fehlt; ","")&amp;IF(AND(CA721=0,N(V721)&lt;=0,N(Q721)&lt;=0),"Menge pro Gebinde fehlt (Ist = 1 Gebinde); ","")&amp;BV721)</f>
        <v>Kein Verbrauch; </v>
      </c>
      <c r="BO721" s="60"/>
      <c r="BP721" s="60"/>
      <c r="BQ721" s="67"/>
      <c r="BR721" s="62" t="n">
        <v>0</v>
      </c>
      <c r="BS721" s="62" t="n">
        <v>0</v>
      </c>
      <c r="BT721" s="61" t="n">
        <v>0</v>
      </c>
      <c r="BU721" s="62" t="n">
        <v>0</v>
      </c>
      <c r="BV721" s="60"/>
      <c r="BW721" s="65" t="n">
        <v>0</v>
      </c>
      <c r="BX721" s="65" t="n">
        <v>721</v>
      </c>
      <c r="BY721" s="60" t="str">
        <f aca="false">IF(U721&lt;&gt;"",UPPER(TRIM(U721)),IF(CB721=1,UPPER(VLOOKUP(T721,Parameter!$I$27:$K$29,2,0)),IF(P721="","LOSE",P721)))</f>
        <v>S61</v>
      </c>
      <c r="BZ721" s="62" t="n">
        <f aca="false">IF(BY721="LOSE",1,IF(N(V721)&gt;0,V721,IF(CB721=1,MAX(1,N(VLOOKUP(T721,Parameter!$I$27:$K$29,3,0)),H721,N(N721)),IF(N(Q721)&gt;0,Q721,MAX(1,H721)))))</f>
        <v>1</v>
      </c>
      <c r="CA721" s="65" t="n">
        <f aca="false">IF(BY721="LOSE",1,0)</f>
        <v>0</v>
      </c>
      <c r="CB721" s="65" t="n">
        <f aca="false">IF(AND(U721="",OR(P721="",P721="LOSE"),T721&lt;&gt;"",N(S721)&lt;=0,ISNUMBER(MATCH(T721,Parameter!$I$27:$I$29,0))),1,0)</f>
        <v>0</v>
      </c>
      <c r="CC721" s="65" t="n">
        <f aca="false">IF(CR721&gt;0,INDEX(Parameter!$H$5:$H$7,W721)/INDEX(Parameter!$E$5:$E$7,W721),IF(AND(CA721=0,N(IFERROR(VLOOKUP(BY721,'Gebinde-Kategorie'!$A$5:$N$45,14,0),0))&gt;0),VLOOKUP(BY721,'Gebinde-Kategorie'!$A$5:$N$45,14,0)*10+Parameter!$M$23,Parameter!$M$24))</f>
        <v>145</v>
      </c>
      <c r="CD721" s="60" t="str">
        <f aca="false">IF(AND(Parameter!$B$19="Ja",E721&lt;&gt;"",ISNUMBER(MATCH(E721,Parameter!$I$35:$I$52,0))),VLOOKUP(E721,Parameter!$I$35:$J$52,2,0),IFERROR(VLOOKUP(D721,Parameter!$A$35:$C$64,2,0),"Nein"))</f>
        <v>2+3</v>
      </c>
      <c r="CE721" s="64" t="n">
        <f aca="false">IF(CA721=0,0,IF(N(S721)&gt;0,S721,IFERROR(VLOOKUP(D721,Parameter!$A$35:$C$64,3,0)+0,0)))</f>
        <v>0</v>
      </c>
      <c r="CF721" s="60" t="n">
        <f aca="false">IF(AB721&lt;&gt;"",AB721,AA721)</f>
        <v>3</v>
      </c>
      <c r="CG721" s="60" t="str">
        <f aca="false">IF(OR(CF721=1,CF721=2,CF721=3),IF(Parameter!$E$27="Ja","LIFT",IF(CF721=1,"L1","L23")),IF(CF721="Aussen","Aussen","-"))</f>
        <v>LIFT</v>
      </c>
      <c r="CH721" s="71" t="n">
        <f aca="false">IF(N(AC721)&gt;0,AC721,0)</f>
        <v>0</v>
      </c>
      <c r="CI721" s="65" t="n">
        <f aca="false">IF(ISNUMBER(AF721),1,0)</f>
        <v>0</v>
      </c>
      <c r="CJ721" s="62" t="n">
        <f aca="false">N(AF721)</f>
        <v>0</v>
      </c>
      <c r="CK721" s="62" t="n">
        <f aca="false">N(M721)+N(N721)</f>
        <v>1</v>
      </c>
      <c r="CL721" s="62" t="n">
        <f aca="false">N(M721)</f>
        <v>0</v>
      </c>
      <c r="CM721" s="62" t="n">
        <f aca="false">N(N721)</f>
        <v>1</v>
      </c>
      <c r="CN721" s="62" t="n">
        <f aca="false">ROUNDUP(H721/BZ721,0)</f>
        <v>0</v>
      </c>
      <c r="CO721" s="62" t="n">
        <f aca="false">ROUNDUP(CJ721/BZ721,0)</f>
        <v>0</v>
      </c>
      <c r="CP721" s="65" t="n">
        <f aca="false">IF(CA721=1,0,IFERROR(VLOOKUP(BY721,'Gebinde-Kategorie'!$A$5:$N$45,5,0)+0,0))</f>
        <v>11</v>
      </c>
      <c r="CQ721" s="65" t="n">
        <f aca="false">IFERROR(IF(OR(CF721=1,CF721=2,CF721=3),N(INDEX(Parameter!$I$5:$I$7,CF721)),0),0)</f>
        <v>0</v>
      </c>
      <c r="CR721" s="64" t="n">
        <f aca="false">IF(AND(Parameter!$B$21="Ja",ISNUMBER(W721),N(X721)&gt;0),IFERROR(N(INDEX(Parameter!$L$5:$L$7,W721))*INDEX(Parameter!$E$5:$E$7,W721)*X721/SUMIFS($X$7:$X$1843,$W$7:$W$1843,W721),0),0)</f>
        <v>0</v>
      </c>
      <c r="CS721" s="62" t="str">
        <f aca="false">IF(AND(OR(CG721="L1",CG721="L23",CG721="LIFT"),H721&gt;0),CC721*IF(CR721&gt;0,CR721*MAX(1,H721/X721),IF(CA721=1,CE721,IF(R721&gt;0,CN721/R721,0))/MAX(0.1,N(Parameter!$M$21))),"")</f>
        <v/>
      </c>
      <c r="CT721" s="64" t="str">
        <f aca="false">IF(CS721="","",J721/H721)</f>
        <v/>
      </c>
      <c r="CU721" s="62" t="str">
        <f aca="false">IF(CS721="","",H721*G721)</f>
        <v/>
      </c>
      <c r="CV721" s="63" t="str">
        <f aca="false">IF(CS721="","",(CL721+ROUNDUP(CL721+MAX(CM721,2*(J721/MAX(0.1,N(Einkauf!$C$6))-CL721)),0))/2)</f>
        <v/>
      </c>
      <c r="CW721" s="62" t="str">
        <f aca="false">IF(CS721="","",MAX(0,H721-CV721)*G721)</f>
        <v/>
      </c>
      <c r="CX721" s="62" t="str">
        <f aca="false">IF(CS721="","",CS721*MAX(0,1-CV721/H721))</f>
        <v/>
      </c>
      <c r="CY721" s="64" t="str">
        <f aca="false">IF(CS721="","",PERCENTRANK($CS$7:$CS$1843,CS721)+PERCENTRANK($CU$7:$CU$1843,CU721)+1-PERCENTRANK($CT$7:$CT$1843,CT721))</f>
        <v/>
      </c>
      <c r="CZ721" s="72" t="str">
        <f aca="false">IF(CS721="","",CHOOSE(MATCH(Einkauf!$C$5,Parameter!$G$23:$G$27,0),CY721,CS721,CU721,-CT721,CW721)+ROW()/1000000000)</f>
        <v/>
      </c>
    </row>
    <row r="722" customFormat="false" ht="15" hidden="false" customHeight="false" outlineLevel="0" collapsed="false">
      <c r="A722" s="60" t="s">
        <v>1476</v>
      </c>
      <c r="B722" s="60" t="s">
        <v>586</v>
      </c>
      <c r="C722" s="60" t="s">
        <v>206</v>
      </c>
      <c r="D722" s="60" t="s">
        <v>1037</v>
      </c>
      <c r="E722" s="60"/>
      <c r="F722" s="60" t="s">
        <v>260</v>
      </c>
      <c r="G722" s="61" t="n">
        <v>28.69</v>
      </c>
      <c r="H722" s="62" t="n">
        <f aca="false">MAX(0,IF(AND(Parameter!$B$21="Ja",ISNUMBER(Y722)),Y722,IF(Parameter!$B$20="Jahresanfang 2025 + Export",BS722+BR722,BR722)))</f>
        <v>15</v>
      </c>
      <c r="I722" s="62" t="n">
        <f aca="false">H722*G722</f>
        <v>430.35</v>
      </c>
      <c r="J722" s="62" t="n">
        <f aca="false">BU722*Parameter!$B$18</f>
        <v>0</v>
      </c>
      <c r="K722" s="63" t="n">
        <v>12</v>
      </c>
      <c r="L722" s="64" t="n">
        <v>0</v>
      </c>
      <c r="M722" s="62" t="n">
        <v>0</v>
      </c>
      <c r="N722" s="62" t="n">
        <v>10</v>
      </c>
      <c r="O722" s="65" t="n">
        <v>28</v>
      </c>
      <c r="P722" s="60" t="s">
        <v>210</v>
      </c>
      <c r="Q722" s="62"/>
      <c r="R722" s="65" t="n">
        <f aca="false">IF(CA722=1,0,IFERROR(VLOOKUP(BY722,'Gebinde-Kategorie'!$A$5:$N$45,13,0)+0,0))</f>
        <v>0</v>
      </c>
      <c r="S722" s="66"/>
      <c r="T722" s="67"/>
      <c r="U722" s="67"/>
      <c r="V722" s="67"/>
      <c r="W722" s="60"/>
      <c r="X722" s="62"/>
      <c r="Y722" s="62"/>
      <c r="Z722" s="60"/>
      <c r="AA722" s="60" t="str">
        <f aca="false">IF(A722="","",IF(AND(Parameter!$B$21="Ja",ISNUMBER(W722)),W722,IF(AND(Parameter!$E$27="Ja",ISNUMBER(Z722),CD722&lt;&gt;"Nein"),Z722,IF(CD722="2+3",IF(ISNUMBER(SEARCH("grosser Artikel",BV722)),2,IFERROR(VLOOKUP(BY722,Parameter!$F$35:$G$64,2,0),2)),IF(OR(CD722="Nein",CD722=""),"-",CD722)))))</f>
        <v>-</v>
      </c>
      <c r="AB722" s="67"/>
      <c r="AC722" s="68"/>
      <c r="AD722" s="62" t="n">
        <f aca="false">AW722</f>
        <v>10</v>
      </c>
      <c r="AE722" s="62" t="n">
        <f aca="false">MAX(AW722,H722)</f>
        <v>15</v>
      </c>
      <c r="AF722" s="69"/>
      <c r="AG722" s="62" t="n">
        <f aca="false">IF(LEFT(Cockpit!$C$5,1)="A",H722,IF(Parameter!$E$30="MAX-Bestand",IF(CI722=1,CJ722,IF(LEFT(Cockpit!$C$5,1)="B",AM722,MAX(AM722,H722))),ROUNDUP(AK722,0)))</f>
        <v>15</v>
      </c>
      <c r="AH722" s="62" t="n">
        <f aca="false">IF(CA722=1,0,ROUNDUP(AG722/BZ722,0))</f>
        <v>0</v>
      </c>
      <c r="AI722" s="64" t="n">
        <f aca="false">IF(CR722&gt;0,CR722*MAX(1,AG722/X722),IF(CA722=1,IF(AG722&lt;=0,0,CE722*MAX(1,IF(H722&gt;0,AG722/H722,1))),IF(R722&gt;0,AH722/R722,0))/MAX(0.1,N(Parameter!$M$21)))</f>
        <v>0.15</v>
      </c>
      <c r="AJ722" s="62" t="n">
        <f aca="false">AI722*CC722</f>
        <v>35.25</v>
      </c>
      <c r="AK722" s="63" t="n">
        <f aca="false">IF(LEFT(Cockpit!$C$5,1)="A",H722,IF(CI722=1,(CL722+CJ722)/2,IF(LEFT(Cockpit!$C$5,1)="B",(CL722+AM722)/2,MAX((CL722+AM722)/2,H722))))</f>
        <v>15</v>
      </c>
      <c r="AL722" s="62" t="n">
        <f aca="false">AK722*G722</f>
        <v>430.35</v>
      </c>
      <c r="AM722" s="62" t="n">
        <f aca="false">ROUNDUP(CL722+MAX(CM722,2*(J722/IF(CH722&gt;0,CH722,MAX(0.1,N(Cockpit!$C$6)))-CL722)),0)</f>
        <v>10</v>
      </c>
      <c r="AN722" s="63" t="n">
        <f aca="false">IF(AJ722&gt;0,J722/AJ722,-1)</f>
        <v>0</v>
      </c>
      <c r="AO722" s="63" t="str">
        <f aca="false">IF(AND(OR(CG722="L1",CG722="L23",CG722="LIFT"),AJ722&gt;0),SUMIFS($AJ$7:$AJ$1843,$CG$7:$CG$1843,CG722,$AN$7:$AN$1843,"&gt;"&amp;AN722)+SUMIFS($AJ$7:$AJ$1843,$CG$7:$CG$1843,CG722,$AN$7:$AN$1843,AN722,$BX$7:$BX$1843,"&lt;="&amp;BX722),"")</f>
        <v/>
      </c>
      <c r="AP722" s="70" t="n">
        <f aca="false">IF(AO722="",0,MAX(0,MIN(1,(IF(CG722="L1",Parameter!$H$5,IF(CG722="L23",Parameter!$H$6+Parameter!$H$7,Parameter!$H$5+Parameter!$H$6+Parameter!$H$7))-(AO722-AJ722))/AJ722)))</f>
        <v>0</v>
      </c>
      <c r="AQ722" s="62" t="n">
        <f aca="false">IF(LEFT(Cockpit!$I$5,1)="A",H722,IF(Parameter!$E$30="MAX-Bestand",IF(CI722=1,CJ722,IF(LEFT(Cockpit!$I$5,1)="B",AW722,MAX(AW722,H722))),ROUNDUP(AU722,0)))</f>
        <v>15</v>
      </c>
      <c r="AR722" s="62" t="n">
        <f aca="false">IF(CA722=1,0,ROUNDUP(AQ722/BZ722,0))</f>
        <v>0</v>
      </c>
      <c r="AS722" s="64" t="n">
        <f aca="false">IF(CR722&gt;0,CR722*MAX(1,AQ722/X722),IF(CA722=1,IF(AQ722&lt;=0,0,CE722*MAX(1,IF(H722&gt;0,AQ722/H722,1))),IF(R722&gt;0,AR722/R722,0))/MAX(0.1,N(Parameter!$M$21)))</f>
        <v>0.15</v>
      </c>
      <c r="AT722" s="62" t="n">
        <f aca="false">AS722*CC722</f>
        <v>35.25</v>
      </c>
      <c r="AU722" s="63" t="n">
        <f aca="false">IF(LEFT(Cockpit!$I$5,1)="A",H722,IF(CI722=1,(CL722+CJ722)/2,IF(LEFT(Cockpit!$I$5,1)="B",(CL722+AW722)/2,MAX((CL722+AW722)/2,H722))))</f>
        <v>15</v>
      </c>
      <c r="AV722" s="62" t="n">
        <f aca="false">AU722*G722</f>
        <v>430.35</v>
      </c>
      <c r="AW722" s="62" t="n">
        <f aca="false">ROUNDUP(CL722+MAX(CM722,2*(J722/IF(CH722&gt;0,CH722,MAX(0.1,N(Cockpit!$I$6)))-CL722)),0)</f>
        <v>10</v>
      </c>
      <c r="AX722" s="63" t="n">
        <f aca="false">IF(AT722&gt;0,J722/AT722,-1)</f>
        <v>0</v>
      </c>
      <c r="AY722" s="63" t="str">
        <f aca="false">IF(AND(OR(CG722="L1",CG722="L23",CG722="LIFT"),AT722&gt;0),SUMIFS($AT$7:$AT$1843,$CG$7:$CG$1843,CG722,$AX$7:$AX$1843,"&gt;"&amp;AX722)+SUMIFS($AT$7:$AT$1843,$CG$7:$CG$1843,CG722,$AX$7:$AX$1843,AX722,$BX$7:$BX$1843,"&lt;="&amp;BX722),"")</f>
        <v/>
      </c>
      <c r="AZ722" s="70" t="n">
        <f aca="false">IF(AY722="",0,MAX(0,MIN(1,(IF(CG722="L1",Parameter!$H$5,IF(CG722="L23",Parameter!$H$6+Parameter!$H$7,Parameter!$H$5+Parameter!$H$6+Parameter!$H$7))-(AY722-AT722))/AT722)))</f>
        <v>0</v>
      </c>
      <c r="BA722" s="62" t="n">
        <f aca="false">IF(LEFT(Cockpit!$O$5,1)="A",H722,IF(Parameter!$E$30="MAX-Bestand",IF(CI722=1,CJ722,IF(LEFT(Cockpit!$O$5,1)="B",BG722,MAX(BG722,H722))),ROUNDUP(BE722,0)))</f>
        <v>5</v>
      </c>
      <c r="BB722" s="62" t="n">
        <f aca="false">IF(CA722=1,0,ROUNDUP(BA722/BZ722,0))</f>
        <v>0</v>
      </c>
      <c r="BC722" s="64" t="n">
        <f aca="false">IF(CR722&gt;0,CR722*MAX(1,BA722/X722),IF(CA722=1,IF(BA722&lt;=0,0,CE722*MAX(1,IF(H722&gt;0,BA722/H722,1))),IF(R722&gt;0,BB722/R722,0))/MAX(0.1,N(Parameter!$M$21)))</f>
        <v>0.15</v>
      </c>
      <c r="BD722" s="62" t="n">
        <f aca="false">BC722*CC722</f>
        <v>35.25</v>
      </c>
      <c r="BE722" s="63" t="n">
        <f aca="false">IF(LEFT(Cockpit!$O$5,1)="A",H722,IF(CI722=1,(CL722+CJ722)/2,IF(LEFT(Cockpit!$O$5,1)="B",(CL722+BG722)/2,MAX((CL722+BG722)/2,H722))))</f>
        <v>5</v>
      </c>
      <c r="BF722" s="62" t="n">
        <f aca="false">BE722*G722</f>
        <v>143.45</v>
      </c>
      <c r="BG722" s="62" t="n">
        <f aca="false">ROUNDUP(CL722+MAX(CM722,2*(J722/IF(CH722&gt;0,CH722,MAX(0.1,N(Cockpit!$O$6)))-CL722)),0)</f>
        <v>10</v>
      </c>
      <c r="BH722" s="63" t="n">
        <f aca="false">IF(BD722&gt;0,J722/BD722,-1)</f>
        <v>0</v>
      </c>
      <c r="BI722" s="63" t="str">
        <f aca="false">IF(AND(OR(CG722="L1",CG722="L23",CG722="LIFT"),BD722&gt;0),SUMIFS($BD$7:$BD$1843,$CG$7:$CG$1843,CG722,$BH$7:$BH$1843,"&gt;"&amp;BH722)+SUMIFS($BD$7:$BD$1843,$CG$7:$CG$1843,CG722,$BH$7:$BH$1843,BH722,$BX$7:$BX$1843,"&lt;="&amp;BX722),"")</f>
        <v/>
      </c>
      <c r="BJ722" s="70" t="n">
        <f aca="false">IF(BI722="",0,MAX(0,MIN(1,(IF(CG722="L1",Parameter!$H$5,IF(CG722="L23",Parameter!$H$6+Parameter!$H$7,Parameter!$H$5+Parameter!$H$6+Parameter!$H$7))-(BI722-BD722))/BD722)))</f>
        <v>0</v>
      </c>
      <c r="BK722" s="60" t="str">
        <f aca="false">IF(AJ722&lt;=0,"",IF(CG722="Aussen","Aussenlager",IF(CG722="-","Nicht im Lift",IF(AP722&gt;=1,"Lift",IF(AP722&lt;=0,"Aussenlager","teilweise")))))</f>
        <v>Nicht im Lift</v>
      </c>
      <c r="BL722" s="60" t="str">
        <f aca="false">IF(AT722&lt;=0,"",IF(CG722="Aussen","Aussenlager",IF(CG722="-","Nicht im Lift",IF(AZ722&gt;=1,"Lift",IF(AZ722&lt;=0,"Aussenlager","teilweise")))))</f>
        <v>Nicht im Lift</v>
      </c>
      <c r="BM722" s="60" t="str">
        <f aca="false">IF(BD722&lt;=0,"",IF(CG722="Aussen","Aussenlager",IF(CG722="-","Nicht im Lift",IF(BJ722&gt;=1,"Lift",IF(BJ722&lt;=0,"Aussenlager","teilweise")))))</f>
        <v>Nicht im Lift</v>
      </c>
      <c r="BN722" s="60" t="str">
        <f aca="false">IF(A722="","",IF(BW722=1,"Neu; ","")&amp;IF(AND(BW722=0,BR722&lt;0),"negativer Bestand (Export "&amp;BR722&amp;"); ","")&amp;IF(J722&lt;=0,"Kein Verbrauch; ","")&amp;IF(CR722&gt;0,"Lift "&amp;W722&amp;" lt. Liftbericht (Fach "&amp;X722&amp;" Stk); ",IF(CB722=1,"Gebinde geschätzt ("&amp;T722&amp;"); ",IF(CA722=1,"Lose – Tablare geschätzt; ","")))&amp;IF(H722&gt;AW722,"Überbestand "&amp;ROUND(H722-AW722,0)&amp;" Stk / CHF "&amp;ROUND((H722-AW722)*G722,0)&amp;"; ","")&amp;IF(AND(CI722=1,CJ722&lt;CK722),"MAX &lt; MB+LG; ","")&amp;IF(AND(CQ722&gt;0,CP722*10&gt;CQ722),"zu hoch für Tablar; ","")&amp;IF(AND(BW722=0,OR(CI722=1,AB722&lt;&gt;"",U722&lt;&gt;"",V722&lt;&gt;"",AC722&lt;&gt;"")),"manuell übersteuert; ","")&amp;IF(AND(CA722=0,R722=0),"Gebinde unbekannt / Stellmass fehlt; ","")&amp;IF(AND(CA722=0,N(V722)&lt;=0,N(Q722)&lt;=0),"Menge pro Gebinde fehlt (Ist = 1 Gebinde); ","")&amp;BV722)</f>
        <v>Kein Verbrauch; Lose – Tablare geschätzt; Überbestand 5 Stk / CHF 143; </v>
      </c>
      <c r="BO722" s="60"/>
      <c r="BP722" s="60"/>
      <c r="BQ722" s="67"/>
      <c r="BR722" s="62" t="n">
        <v>3</v>
      </c>
      <c r="BS722" s="62" t="n">
        <v>12</v>
      </c>
      <c r="BT722" s="61" t="n">
        <v>0</v>
      </c>
      <c r="BU722" s="62" t="n">
        <v>0</v>
      </c>
      <c r="BV722" s="60"/>
      <c r="BW722" s="65" t="n">
        <v>0</v>
      </c>
      <c r="BX722" s="65" t="n">
        <v>722</v>
      </c>
      <c r="BY722" s="60" t="str">
        <f aca="false">IF(U722&lt;&gt;"",UPPER(TRIM(U722)),IF(CB722=1,UPPER(VLOOKUP(T722,Parameter!$I$27:$K$29,2,0)),IF(P722="","LOSE",P722)))</f>
        <v>LOSE</v>
      </c>
      <c r="BZ722" s="62" t="n">
        <f aca="false">IF(BY722="LOSE",1,IF(N(V722)&gt;0,V722,IF(CB722=1,MAX(1,N(VLOOKUP(T722,Parameter!$I$27:$K$29,3,0)),H722,N(N722)),IF(N(Q722)&gt;0,Q722,MAX(1,H722)))))</f>
        <v>1</v>
      </c>
      <c r="CA722" s="65" t="n">
        <f aca="false">IF(BY722="LOSE",1,0)</f>
        <v>1</v>
      </c>
      <c r="CB722" s="65" t="n">
        <f aca="false">IF(AND(U722="",OR(P722="",P722="LOSE"),T722&lt;&gt;"",N(S722)&lt;=0,ISNUMBER(MATCH(T722,Parameter!$I$27:$I$29,0))),1,0)</f>
        <v>0</v>
      </c>
      <c r="CC722" s="65" t="n">
        <f aca="false">IF(CR722&gt;0,INDEX(Parameter!$H$5:$H$7,W722)/INDEX(Parameter!$E$5:$E$7,W722),IF(AND(CA722=0,N(IFERROR(VLOOKUP(BY722,'Gebinde-Kategorie'!$A$5:$N$45,14,0),0))&gt;0),VLOOKUP(BY722,'Gebinde-Kategorie'!$A$5:$N$45,14,0)*10+Parameter!$M$23,Parameter!$M$24))</f>
        <v>235</v>
      </c>
      <c r="CD722" s="60" t="str">
        <f aca="false">IF(AND(Parameter!$B$19="Ja",E722&lt;&gt;"",ISNUMBER(MATCH(E722,Parameter!$I$35:$I$52,0))),VLOOKUP(E722,Parameter!$I$35:$J$52,2,0),IFERROR(VLOOKUP(D722,Parameter!$A$35:$C$64,2,0),"Nein"))</f>
        <v>Nein</v>
      </c>
      <c r="CE722" s="64" t="n">
        <f aca="false">IF(CA722=0,0,IF(N(S722)&gt;0,S722,IFERROR(VLOOKUP(D722,Parameter!$A$35:$C$64,3,0)+0,0)))</f>
        <v>0.15</v>
      </c>
      <c r="CF722" s="60" t="str">
        <f aca="false">IF(AB722&lt;&gt;"",AB722,AA722)</f>
        <v>-</v>
      </c>
      <c r="CG722" s="60" t="str">
        <f aca="false">IF(OR(CF722=1,CF722=2,CF722=3),IF(Parameter!$E$27="Ja","LIFT",IF(CF722=1,"L1","L23")),IF(CF722="Aussen","Aussen","-"))</f>
        <v>-</v>
      </c>
      <c r="CH722" s="71" t="n">
        <f aca="false">IF(N(AC722)&gt;0,AC722,0)</f>
        <v>0</v>
      </c>
      <c r="CI722" s="65" t="n">
        <f aca="false">IF(ISNUMBER(AF722),1,0)</f>
        <v>0</v>
      </c>
      <c r="CJ722" s="62" t="n">
        <f aca="false">N(AF722)</f>
        <v>0</v>
      </c>
      <c r="CK722" s="62" t="n">
        <f aca="false">N(M722)+N(N722)</f>
        <v>10</v>
      </c>
      <c r="CL722" s="62" t="n">
        <f aca="false">N(M722)</f>
        <v>0</v>
      </c>
      <c r="CM722" s="62" t="n">
        <f aca="false">N(N722)</f>
        <v>10</v>
      </c>
      <c r="CN722" s="62" t="n">
        <f aca="false">ROUNDUP(H722/BZ722,0)</f>
        <v>15</v>
      </c>
      <c r="CO722" s="62" t="n">
        <f aca="false">ROUNDUP(CJ722/BZ722,0)</f>
        <v>0</v>
      </c>
      <c r="CP722" s="65" t="n">
        <f aca="false">IF(CA722=1,0,IFERROR(VLOOKUP(BY722,'Gebinde-Kategorie'!$A$5:$N$45,5,0)+0,0))</f>
        <v>0</v>
      </c>
      <c r="CQ722" s="65" t="n">
        <f aca="false">IFERROR(IF(OR(CF722=1,CF722=2,CF722=3),N(INDEX(Parameter!$I$5:$I$7,CF722)),0),0)</f>
        <v>0</v>
      </c>
      <c r="CR722" s="64" t="n">
        <f aca="false">IF(AND(Parameter!$B$21="Ja",ISNUMBER(W722),N(X722)&gt;0),IFERROR(N(INDEX(Parameter!$L$5:$L$7,W722))*INDEX(Parameter!$E$5:$E$7,W722)*X722/SUMIFS($X$7:$X$1843,$W$7:$W$1843,W722),0),0)</f>
        <v>0</v>
      </c>
      <c r="CS722" s="62" t="str">
        <f aca="false">IF(AND(OR(CG722="L1",CG722="L23",CG722="LIFT"),H722&gt;0),CC722*IF(CR722&gt;0,CR722*MAX(1,H722/X722),IF(CA722=1,CE722,IF(R722&gt;0,CN722/R722,0))/MAX(0.1,N(Parameter!$M$21))),"")</f>
        <v/>
      </c>
      <c r="CT722" s="64" t="str">
        <f aca="false">IF(CS722="","",J722/H722)</f>
        <v/>
      </c>
      <c r="CU722" s="62" t="str">
        <f aca="false">IF(CS722="","",H722*G722)</f>
        <v/>
      </c>
      <c r="CV722" s="63" t="str">
        <f aca="false">IF(CS722="","",(CL722+ROUNDUP(CL722+MAX(CM722,2*(J722/MAX(0.1,N(Einkauf!$C$6))-CL722)),0))/2)</f>
        <v/>
      </c>
      <c r="CW722" s="62" t="str">
        <f aca="false">IF(CS722="","",MAX(0,H722-CV722)*G722)</f>
        <v/>
      </c>
      <c r="CX722" s="62" t="str">
        <f aca="false">IF(CS722="","",CS722*MAX(0,1-CV722/H722))</f>
        <v/>
      </c>
      <c r="CY722" s="64" t="str">
        <f aca="false">IF(CS722="","",PERCENTRANK($CS$7:$CS$1843,CS722)+PERCENTRANK($CU$7:$CU$1843,CU722)+1-PERCENTRANK($CT$7:$CT$1843,CT722))</f>
        <v/>
      </c>
      <c r="CZ722" s="72" t="str">
        <f aca="false">IF(CS722="","",CHOOSE(MATCH(Einkauf!$C$5,Parameter!$G$23:$G$27,0),CY722,CS722,CU722,-CT722,CW722)+ROW()/1000000000)</f>
        <v/>
      </c>
    </row>
    <row r="723" customFormat="false" ht="15" hidden="false" customHeight="false" outlineLevel="0" collapsed="false">
      <c r="A723" s="60" t="s">
        <v>1477</v>
      </c>
      <c r="B723" s="60" t="s">
        <v>1096</v>
      </c>
      <c r="C723" s="60" t="s">
        <v>206</v>
      </c>
      <c r="D723" s="60" t="s">
        <v>892</v>
      </c>
      <c r="E723" s="60" t="s">
        <v>227</v>
      </c>
      <c r="F723" s="60" t="s">
        <v>260</v>
      </c>
      <c r="G723" s="61" t="n">
        <v>4.4</v>
      </c>
      <c r="H723" s="62" t="n">
        <f aca="false">MAX(0,IF(AND(Parameter!$B$21="Ja",ISNUMBER(Y723)),Y723,IF(Parameter!$B$20="Jahresanfang 2025 + Export",BS723+BR723,BR723)))</f>
        <v>0</v>
      </c>
      <c r="I723" s="62" t="n">
        <f aca="false">H723*G723</f>
        <v>0</v>
      </c>
      <c r="J723" s="62" t="n">
        <f aca="false">BU723*Parameter!$B$18</f>
        <v>24</v>
      </c>
      <c r="K723" s="63" t="n">
        <v>0</v>
      </c>
      <c r="L723" s="64" t="n">
        <v>0</v>
      </c>
      <c r="M723" s="62" t="n">
        <v>0</v>
      </c>
      <c r="N723" s="62" t="n">
        <v>12</v>
      </c>
      <c r="O723" s="65" t="n">
        <v>14</v>
      </c>
      <c r="P723" s="60" t="s">
        <v>344</v>
      </c>
      <c r="Q723" s="62" t="n">
        <v>50</v>
      </c>
      <c r="R723" s="65" t="n">
        <f aca="false">IF(CA723=1,0,IFERROR(VLOOKUP(BY723,'Gebinde-Kategorie'!$A$5:$N$45,13,0)+0,0))</f>
        <v>26</v>
      </c>
      <c r="S723" s="66"/>
      <c r="T723" s="67"/>
      <c r="U723" s="67"/>
      <c r="V723" s="67"/>
      <c r="W723" s="60"/>
      <c r="X723" s="62"/>
      <c r="Y723" s="62"/>
      <c r="Z723" s="60" t="n">
        <v>3</v>
      </c>
      <c r="AA723" s="60" t="n">
        <f aca="false">IF(A723="","",IF(AND(Parameter!$B$21="Ja",ISNUMBER(W723)),W723,IF(AND(Parameter!$E$27="Ja",ISNUMBER(Z723),CD723&lt;&gt;"Nein"),Z723,IF(CD723="2+3",IF(ISNUMBER(SEARCH("grosser Artikel",BV723)),2,IFERROR(VLOOKUP(BY723,Parameter!$F$35:$G$64,2,0),2)),IF(OR(CD723="Nein",CD723=""),"-",CD723)))))</f>
        <v>3</v>
      </c>
      <c r="AB723" s="67"/>
      <c r="AC723" s="68"/>
      <c r="AD723" s="62" t="n">
        <f aca="false">AW723</f>
        <v>16</v>
      </c>
      <c r="AE723" s="62" t="n">
        <f aca="false">MAX(AW723,H723)</f>
        <v>16</v>
      </c>
      <c r="AF723" s="69"/>
      <c r="AG723" s="62" t="n">
        <f aca="false">IF(LEFT(Cockpit!$C$5,1)="A",H723,IF(Parameter!$E$30="MAX-Bestand",IF(CI723=1,CJ723,IF(LEFT(Cockpit!$C$5,1)="B",AM723,MAX(AM723,H723))),ROUNDUP(AK723,0)))</f>
        <v>0</v>
      </c>
      <c r="AH723" s="62" t="n">
        <f aca="false">IF(CA723=1,0,ROUNDUP(AG723/BZ723,0))</f>
        <v>0</v>
      </c>
      <c r="AI723" s="64" t="n">
        <f aca="false">IF(CR723&gt;0,CR723*MAX(1,AG723/X723),IF(CA723=1,IF(AG723&lt;=0,0,CE723*MAX(1,IF(H723&gt;0,AG723/H723,1))),IF(R723&gt;0,AH723/R723,0))/MAX(0.1,N(Parameter!$M$21)))</f>
        <v>0</v>
      </c>
      <c r="AJ723" s="62" t="n">
        <f aca="false">AI723*CC723</f>
        <v>0</v>
      </c>
      <c r="AK723" s="63" t="n">
        <f aca="false">IF(LEFT(Cockpit!$C$5,1)="A",H723,IF(CI723=1,(CL723+CJ723)/2,IF(LEFT(Cockpit!$C$5,1)="B",(CL723+AM723)/2,MAX((CL723+AM723)/2,H723))))</f>
        <v>0</v>
      </c>
      <c r="AL723" s="62" t="n">
        <f aca="false">AK723*G723</f>
        <v>0</v>
      </c>
      <c r="AM723" s="62" t="n">
        <f aca="false">ROUNDUP(CL723+MAX(CM723,2*(J723/IF(CH723&gt;0,CH723,MAX(0.1,N(Cockpit!$C$6)))-CL723)),0)</f>
        <v>16</v>
      </c>
      <c r="AN723" s="63" t="n">
        <f aca="false">IF(AJ723&gt;0,J723/AJ723,-1)</f>
        <v>-1</v>
      </c>
      <c r="AO723" s="63" t="str">
        <f aca="false">IF(AND(OR(CG723="L1",CG723="L23",CG723="LIFT"),AJ723&gt;0),SUMIFS($AJ$7:$AJ$1843,$CG$7:$CG$1843,CG723,$AN$7:$AN$1843,"&gt;"&amp;AN723)+SUMIFS($AJ$7:$AJ$1843,$CG$7:$CG$1843,CG723,$AN$7:$AN$1843,AN723,$BX$7:$BX$1843,"&lt;="&amp;BX723),"")</f>
        <v/>
      </c>
      <c r="AP723" s="70" t="n">
        <f aca="false">IF(AO723="",0,MAX(0,MIN(1,(IF(CG723="L1",Parameter!$H$5,IF(CG723="L23",Parameter!$H$6+Parameter!$H$7,Parameter!$H$5+Parameter!$H$6+Parameter!$H$7))-(AO723-AJ723))/AJ723)))</f>
        <v>0</v>
      </c>
      <c r="AQ723" s="62" t="n">
        <f aca="false">IF(LEFT(Cockpit!$I$5,1)="A",H723,IF(Parameter!$E$30="MAX-Bestand",IF(CI723=1,CJ723,IF(LEFT(Cockpit!$I$5,1)="B",AW723,MAX(AW723,H723))),ROUNDUP(AU723,0)))</f>
        <v>8</v>
      </c>
      <c r="AR723" s="62" t="n">
        <f aca="false">IF(CA723=1,0,ROUNDUP(AQ723/BZ723,0))</f>
        <v>1</v>
      </c>
      <c r="AS723" s="64" t="n">
        <f aca="false">IF(CR723&gt;0,CR723*MAX(1,AQ723/X723),IF(CA723=1,IF(AQ723&lt;=0,0,CE723*MAX(1,IF(H723&gt;0,AQ723/H723,1))),IF(R723&gt;0,AR723/R723,0))/MAX(0.1,N(Parameter!$M$21)))</f>
        <v>0.0384615384615385</v>
      </c>
      <c r="AT723" s="62" t="n">
        <f aca="false">AS723*CC723</f>
        <v>5.96153846153846</v>
      </c>
      <c r="AU723" s="63" t="n">
        <f aca="false">IF(LEFT(Cockpit!$I$5,1)="A",H723,IF(CI723=1,(CL723+CJ723)/2,IF(LEFT(Cockpit!$I$5,1)="B",(CL723+AW723)/2,MAX((CL723+AW723)/2,H723))))</f>
        <v>8</v>
      </c>
      <c r="AV723" s="62" t="n">
        <f aca="false">AU723*G723</f>
        <v>35.2</v>
      </c>
      <c r="AW723" s="62" t="n">
        <f aca="false">ROUNDUP(CL723+MAX(CM723,2*(J723/IF(CH723&gt;0,CH723,MAX(0.1,N(Cockpit!$I$6)))-CL723)),0)</f>
        <v>16</v>
      </c>
      <c r="AX723" s="63" t="n">
        <f aca="false">IF(AT723&gt;0,J723/AT723,-1)</f>
        <v>4.0258064516129</v>
      </c>
      <c r="AY723" s="63" t="n">
        <f aca="false">IF(AND(OR(CG723="L1",CG723="L23",CG723="LIFT"),AT723&gt;0),SUMIFS($AT$7:$AT$1843,$CG$7:$CG$1843,CG723,$AX$7:$AX$1843,"&gt;"&amp;AX723)+SUMIFS($AT$7:$AT$1843,$CG$7:$CG$1843,CG723,$AX$7:$AX$1843,AX723,$BX$7:$BX$1843,"&lt;="&amp;BX723),"")</f>
        <v>4946.82097069597</v>
      </c>
      <c r="AZ723" s="70" t="n">
        <f aca="false">IF(AY723="",0,MAX(0,MIN(1,(IF(CG723="L1",Parameter!$H$5,IF(CG723="L23",Parameter!$H$6+Parameter!$H$7,Parameter!$H$5+Parameter!$H$6+Parameter!$H$7))-(AY723-AT723))/AT723)))</f>
        <v>1</v>
      </c>
      <c r="BA723" s="62" t="n">
        <f aca="false">IF(LEFT(Cockpit!$O$5,1)="A",H723,IF(Parameter!$E$30="MAX-Bestand",IF(CI723=1,CJ723,IF(LEFT(Cockpit!$O$5,1)="B",BG723,MAX(BG723,H723))),ROUNDUP(BE723,0)))</f>
        <v>6</v>
      </c>
      <c r="BB723" s="62" t="n">
        <f aca="false">IF(CA723=1,0,ROUNDUP(BA723/BZ723,0))</f>
        <v>1</v>
      </c>
      <c r="BC723" s="64" t="n">
        <f aca="false">IF(CR723&gt;0,CR723*MAX(1,BA723/X723),IF(CA723=1,IF(BA723&lt;=0,0,CE723*MAX(1,IF(H723&gt;0,BA723/H723,1))),IF(R723&gt;0,BB723/R723,0))/MAX(0.1,N(Parameter!$M$21)))</f>
        <v>0.0384615384615385</v>
      </c>
      <c r="BD723" s="62" t="n">
        <f aca="false">BC723*CC723</f>
        <v>5.96153846153846</v>
      </c>
      <c r="BE723" s="63" t="n">
        <f aca="false">IF(LEFT(Cockpit!$O$5,1)="A",H723,IF(CI723=1,(CL723+CJ723)/2,IF(LEFT(Cockpit!$O$5,1)="B",(CL723+BG723)/2,MAX((CL723+BG723)/2,H723))))</f>
        <v>6</v>
      </c>
      <c r="BF723" s="62" t="n">
        <f aca="false">BE723*G723</f>
        <v>26.4</v>
      </c>
      <c r="BG723" s="62" t="n">
        <f aca="false">ROUNDUP(CL723+MAX(CM723,2*(J723/IF(CH723&gt;0,CH723,MAX(0.1,N(Cockpit!$O$6)))-CL723)),0)</f>
        <v>12</v>
      </c>
      <c r="BH723" s="63" t="n">
        <f aca="false">IF(BD723&gt;0,J723/BD723,-1)</f>
        <v>4.0258064516129</v>
      </c>
      <c r="BI723" s="63" t="n">
        <f aca="false">IF(AND(OR(CG723="L1",CG723="L23",CG723="LIFT"),BD723&gt;0),SUMIFS($BD$7:$BD$1843,$CG$7:$CG$1843,CG723,$BH$7:$BH$1843,"&gt;"&amp;BH723)+SUMIFS($BD$7:$BD$1843,$CG$7:$CG$1843,CG723,$BH$7:$BH$1843,BH723,$BX$7:$BX$1843,"&lt;="&amp;BX723),"")</f>
        <v>4058.42994505495</v>
      </c>
      <c r="BJ723" s="70" t="n">
        <f aca="false">IF(BI723="",0,MAX(0,MIN(1,(IF(CG723="L1",Parameter!$H$5,IF(CG723="L23",Parameter!$H$6+Parameter!$H$7,Parameter!$H$5+Parameter!$H$6+Parameter!$H$7))-(BI723-BD723))/BD723)))</f>
        <v>1</v>
      </c>
      <c r="BK723" s="60" t="str">
        <f aca="false">IF(AJ723&lt;=0,"",IF(CG723="Aussen","Aussenlager",IF(CG723="-","Nicht im Lift",IF(AP723&gt;=1,"Lift",IF(AP723&lt;=0,"Aussenlager","teilweise")))))</f>
        <v/>
      </c>
      <c r="BL723" s="60" t="str">
        <f aca="false">IF(AT723&lt;=0,"",IF(CG723="Aussen","Aussenlager",IF(CG723="-","Nicht im Lift",IF(AZ723&gt;=1,"Lift",IF(AZ723&lt;=0,"Aussenlager","teilweise")))))</f>
        <v>Lift</v>
      </c>
      <c r="BM723" s="60" t="str">
        <f aca="false">IF(BD723&lt;=0,"",IF(CG723="Aussen","Aussenlager",IF(CG723="-","Nicht im Lift",IF(BJ723&gt;=1,"Lift",IF(BJ723&lt;=0,"Aussenlager","teilweise")))))</f>
        <v>Lift</v>
      </c>
      <c r="BN723" s="60" t="str">
        <f aca="false">IF(A723="","",IF(BW723=1,"Neu; ","")&amp;IF(AND(BW723=0,BR723&lt;0),"negativer Bestand (Export "&amp;BR723&amp;"); ","")&amp;IF(J723&lt;=0,"Kein Verbrauch; ","")&amp;IF(CR723&gt;0,"Lift "&amp;W723&amp;" lt. Liftbericht (Fach "&amp;X723&amp;" Stk); ",IF(CB723=1,"Gebinde geschätzt ("&amp;T723&amp;"); ",IF(CA723=1,"Lose – Tablare geschätzt; ","")))&amp;IF(H723&gt;AW723,"Überbestand "&amp;ROUND(H723-AW723,0)&amp;" Stk / CHF "&amp;ROUND((H723-AW723)*G723,0)&amp;"; ","")&amp;IF(AND(CI723=1,CJ723&lt;CK723),"MAX &lt; MB+LG; ","")&amp;IF(AND(CQ723&gt;0,CP723*10&gt;CQ723),"zu hoch für Tablar; ","")&amp;IF(AND(BW723=0,OR(CI723=1,AB723&lt;&gt;"",U723&lt;&gt;"",V723&lt;&gt;"",AC723&lt;&gt;"")),"manuell übersteuert; ","")&amp;IF(AND(CA723=0,R723=0),"Gebinde unbekannt / Stellmass fehlt; ","")&amp;IF(AND(CA723=0,N(V723)&lt;=0,N(Q723)&lt;=0),"Menge pro Gebinde fehlt (Ist = 1 Gebinde); ","")&amp;BV723)</f>
        <v/>
      </c>
      <c r="BO723" s="60"/>
      <c r="BP723" s="60"/>
      <c r="BQ723" s="67"/>
      <c r="BR723" s="62" t="n">
        <v>0</v>
      </c>
      <c r="BS723" s="62" t="n">
        <v>0</v>
      </c>
      <c r="BT723" s="61" t="n">
        <v>0</v>
      </c>
      <c r="BU723" s="62" t="n">
        <v>24</v>
      </c>
      <c r="BV723" s="60"/>
      <c r="BW723" s="65" t="n">
        <v>0</v>
      </c>
      <c r="BX723" s="65" t="n">
        <v>723</v>
      </c>
      <c r="BY723" s="60" t="str">
        <f aca="false">IF(U723&lt;&gt;"",UPPER(TRIM(U723)),IF(CB723=1,UPPER(VLOOKUP(T723,Parameter!$I$27:$K$29,2,0)),IF(P723="","LOSE",P723)))</f>
        <v>S51</v>
      </c>
      <c r="BZ723" s="62" t="n">
        <f aca="false">IF(BY723="LOSE",1,IF(N(V723)&gt;0,V723,IF(CB723=1,MAX(1,N(VLOOKUP(T723,Parameter!$I$27:$K$29,3,0)),H723,N(N723)),IF(N(Q723)&gt;0,Q723,MAX(1,H723)))))</f>
        <v>50</v>
      </c>
      <c r="CA723" s="65" t="n">
        <f aca="false">IF(BY723="LOSE",1,0)</f>
        <v>0</v>
      </c>
      <c r="CB723" s="65" t="n">
        <f aca="false">IF(AND(U723="",OR(P723="",P723="LOSE"),T723&lt;&gt;"",N(S723)&lt;=0,ISNUMBER(MATCH(T723,Parameter!$I$27:$I$29,0))),1,0)</f>
        <v>0</v>
      </c>
      <c r="CC723" s="65" t="n">
        <f aca="false">IF(CR723&gt;0,INDEX(Parameter!$H$5:$H$7,W723)/INDEX(Parameter!$E$5:$E$7,W723),IF(AND(CA723=0,N(IFERROR(VLOOKUP(BY723,'Gebinde-Kategorie'!$A$5:$N$45,14,0),0))&gt;0),VLOOKUP(BY723,'Gebinde-Kategorie'!$A$5:$N$45,14,0)*10+Parameter!$M$23,Parameter!$M$24))</f>
        <v>155</v>
      </c>
      <c r="CD723" s="60" t="str">
        <f aca="false">IF(AND(Parameter!$B$19="Ja",E723&lt;&gt;"",ISNUMBER(MATCH(E723,Parameter!$I$35:$I$52,0))),VLOOKUP(E723,Parameter!$I$35:$J$52,2,0),IFERROR(VLOOKUP(D723,Parameter!$A$35:$C$64,2,0),"Nein"))</f>
        <v>2+3</v>
      </c>
      <c r="CE723" s="64" t="n">
        <f aca="false">IF(CA723=0,0,IF(N(S723)&gt;0,S723,IFERROR(VLOOKUP(D723,Parameter!$A$35:$C$64,3,0)+0,0)))</f>
        <v>0</v>
      </c>
      <c r="CF723" s="60" t="n">
        <f aca="false">IF(AB723&lt;&gt;"",AB723,AA723)</f>
        <v>3</v>
      </c>
      <c r="CG723" s="60" t="str">
        <f aca="false">IF(OR(CF723=1,CF723=2,CF723=3),IF(Parameter!$E$27="Ja","LIFT",IF(CF723=1,"L1","L23")),IF(CF723="Aussen","Aussen","-"))</f>
        <v>LIFT</v>
      </c>
      <c r="CH723" s="71" t="n">
        <f aca="false">IF(N(AC723)&gt;0,AC723,0)</f>
        <v>0</v>
      </c>
      <c r="CI723" s="65" t="n">
        <f aca="false">IF(ISNUMBER(AF723),1,0)</f>
        <v>0</v>
      </c>
      <c r="CJ723" s="62" t="n">
        <f aca="false">N(AF723)</f>
        <v>0</v>
      </c>
      <c r="CK723" s="62" t="n">
        <f aca="false">N(M723)+N(N723)</f>
        <v>12</v>
      </c>
      <c r="CL723" s="62" t="n">
        <f aca="false">N(M723)</f>
        <v>0</v>
      </c>
      <c r="CM723" s="62" t="n">
        <f aca="false">N(N723)</f>
        <v>12</v>
      </c>
      <c r="CN723" s="62" t="n">
        <f aca="false">ROUNDUP(H723/BZ723,0)</f>
        <v>0</v>
      </c>
      <c r="CO723" s="62" t="n">
        <f aca="false">ROUNDUP(CJ723/BZ723,0)</f>
        <v>0</v>
      </c>
      <c r="CP723" s="65" t="n">
        <f aca="false">IF(CA723=1,0,IFERROR(VLOOKUP(BY723,'Gebinde-Kategorie'!$A$5:$N$45,5,0)+0,0))</f>
        <v>11</v>
      </c>
      <c r="CQ723" s="65" t="n">
        <f aca="false">IFERROR(IF(OR(CF723=1,CF723=2,CF723=3),N(INDEX(Parameter!$I$5:$I$7,CF723)),0),0)</f>
        <v>0</v>
      </c>
      <c r="CR723" s="64" t="n">
        <f aca="false">IF(AND(Parameter!$B$21="Ja",ISNUMBER(W723),N(X723)&gt;0),IFERROR(N(INDEX(Parameter!$L$5:$L$7,W723))*INDEX(Parameter!$E$5:$E$7,W723)*X723/SUMIFS($X$7:$X$1843,$W$7:$W$1843,W723),0),0)</f>
        <v>0</v>
      </c>
      <c r="CS723" s="62" t="str">
        <f aca="false">IF(AND(OR(CG723="L1",CG723="L23",CG723="LIFT"),H723&gt;0),CC723*IF(CR723&gt;0,CR723*MAX(1,H723/X723),IF(CA723=1,CE723,IF(R723&gt;0,CN723/R723,0))/MAX(0.1,N(Parameter!$M$21))),"")</f>
        <v/>
      </c>
      <c r="CT723" s="64" t="str">
        <f aca="false">IF(CS723="","",J723/H723)</f>
        <v/>
      </c>
      <c r="CU723" s="62" t="str">
        <f aca="false">IF(CS723="","",H723*G723)</f>
        <v/>
      </c>
      <c r="CV723" s="63" t="str">
        <f aca="false">IF(CS723="","",(CL723+ROUNDUP(CL723+MAX(CM723,2*(J723/MAX(0.1,N(Einkauf!$C$6))-CL723)),0))/2)</f>
        <v/>
      </c>
      <c r="CW723" s="62" t="str">
        <f aca="false">IF(CS723="","",MAX(0,H723-CV723)*G723)</f>
        <v/>
      </c>
      <c r="CX723" s="62" t="str">
        <f aca="false">IF(CS723="","",CS723*MAX(0,1-CV723/H723))</f>
        <v/>
      </c>
      <c r="CY723" s="64" t="str">
        <f aca="false">IF(CS723="","",PERCENTRANK($CS$7:$CS$1843,CS723)+PERCENTRANK($CU$7:$CU$1843,CU723)+1-PERCENTRANK($CT$7:$CT$1843,CT723))</f>
        <v/>
      </c>
      <c r="CZ723" s="72" t="str">
        <f aca="false">IF(CS723="","",CHOOSE(MATCH(Einkauf!$C$5,Parameter!$G$23:$G$27,0),CY723,CS723,CU723,-CT723,CW723)+ROW()/1000000000)</f>
        <v/>
      </c>
    </row>
    <row r="724" customFormat="false" ht="15" hidden="false" customHeight="false" outlineLevel="0" collapsed="false">
      <c r="A724" s="60" t="s">
        <v>1478</v>
      </c>
      <c r="B724" s="60" t="s">
        <v>1479</v>
      </c>
      <c r="C724" s="60" t="s">
        <v>206</v>
      </c>
      <c r="D724" s="60" t="s">
        <v>215</v>
      </c>
      <c r="E724" s="60" t="s">
        <v>412</v>
      </c>
      <c r="F724" s="60" t="s">
        <v>260</v>
      </c>
      <c r="G724" s="61" t="n">
        <v>658.54</v>
      </c>
      <c r="H724" s="62" t="n">
        <f aca="false">MAX(0,IF(AND(Parameter!$B$21="Ja",ISNUMBER(Y724)),Y724,IF(Parameter!$B$20="Jahresanfang 2025 + Export",BS724+BR724,BR724)))</f>
        <v>0</v>
      </c>
      <c r="I724" s="62" t="n">
        <f aca="false">H724*G724</f>
        <v>0</v>
      </c>
      <c r="J724" s="62" t="n">
        <f aca="false">BU724*Parameter!$B$18</f>
        <v>3</v>
      </c>
      <c r="K724" s="63" t="n">
        <v>4</v>
      </c>
      <c r="L724" s="64" t="n">
        <v>0.75</v>
      </c>
      <c r="M724" s="62" t="n">
        <v>0</v>
      </c>
      <c r="N724" s="62" t="n">
        <v>1</v>
      </c>
      <c r="O724" s="65" t="n">
        <v>14</v>
      </c>
      <c r="P724" s="60" t="s">
        <v>210</v>
      </c>
      <c r="Q724" s="62"/>
      <c r="R724" s="65" t="n">
        <f aca="false">IF(CA724=1,0,IFERROR(VLOOKUP(BY724,'Gebinde-Kategorie'!$A$5:$N$45,13,0)+0,0))</f>
        <v>4</v>
      </c>
      <c r="S724" s="66"/>
      <c r="T724" s="67" t="s">
        <v>231</v>
      </c>
      <c r="U724" s="67"/>
      <c r="V724" s="67"/>
      <c r="W724" s="60"/>
      <c r="X724" s="62"/>
      <c r="Y724" s="62"/>
      <c r="Z724" s="60"/>
      <c r="AA724" s="60" t="str">
        <f aca="false">IF(A724="","",IF(AND(Parameter!$B$21="Ja",ISNUMBER(W724)),W724,IF(AND(Parameter!$E$27="Ja",ISNUMBER(Z724),CD724&lt;&gt;"Nein"),Z724,IF(CD724="2+3",IF(ISNUMBER(SEARCH("grosser Artikel",BV724)),2,IFERROR(VLOOKUP(BY724,Parameter!$F$35:$G$64,2,0),2)),IF(OR(CD724="Nein",CD724=""),"-",CD724)))))</f>
        <v>-</v>
      </c>
      <c r="AB724" s="67"/>
      <c r="AC724" s="68"/>
      <c r="AD724" s="62" t="n">
        <f aca="false">AW724</f>
        <v>2</v>
      </c>
      <c r="AE724" s="62" t="n">
        <f aca="false">MAX(AW724,H724)</f>
        <v>2</v>
      </c>
      <c r="AF724" s="69"/>
      <c r="AG724" s="62" t="n">
        <f aca="false">IF(LEFT(Cockpit!$C$5,1)="A",H724,IF(Parameter!$E$30="MAX-Bestand",IF(CI724=1,CJ724,IF(LEFT(Cockpit!$C$5,1)="B",AM724,MAX(AM724,H724))),ROUNDUP(AK724,0)))</f>
        <v>0</v>
      </c>
      <c r="AH724" s="62" t="n">
        <f aca="false">IF(CA724=1,0,ROUNDUP(AG724/BZ724,0))</f>
        <v>0</v>
      </c>
      <c r="AI724" s="64" t="n">
        <f aca="false">IF(CR724&gt;0,CR724*MAX(1,AG724/X724),IF(CA724=1,IF(AG724&lt;=0,0,CE724*MAX(1,IF(H724&gt;0,AG724/H724,1))),IF(R724&gt;0,AH724/R724,0))/MAX(0.1,N(Parameter!$M$21)))</f>
        <v>0</v>
      </c>
      <c r="AJ724" s="62" t="n">
        <f aca="false">AI724*CC724</f>
        <v>0</v>
      </c>
      <c r="AK724" s="63" t="n">
        <f aca="false">IF(LEFT(Cockpit!$C$5,1)="A",H724,IF(CI724=1,(CL724+CJ724)/2,IF(LEFT(Cockpit!$C$5,1)="B",(CL724+AM724)/2,MAX((CL724+AM724)/2,H724))))</f>
        <v>0</v>
      </c>
      <c r="AL724" s="62" t="n">
        <f aca="false">AK724*G724</f>
        <v>0</v>
      </c>
      <c r="AM724" s="62" t="n">
        <f aca="false">ROUNDUP(CL724+MAX(CM724,2*(J724/IF(CH724&gt;0,CH724,MAX(0.1,N(Cockpit!$C$6)))-CL724)),0)</f>
        <v>2</v>
      </c>
      <c r="AN724" s="63" t="n">
        <f aca="false">IF(AJ724&gt;0,J724/AJ724,-1)</f>
        <v>-1</v>
      </c>
      <c r="AO724" s="63" t="str">
        <f aca="false">IF(AND(OR(CG724="L1",CG724="L23",CG724="LIFT"),AJ724&gt;0),SUMIFS($AJ$7:$AJ$1843,$CG$7:$CG$1843,CG724,$AN$7:$AN$1843,"&gt;"&amp;AN724)+SUMIFS($AJ$7:$AJ$1843,$CG$7:$CG$1843,CG724,$AN$7:$AN$1843,AN724,$BX$7:$BX$1843,"&lt;="&amp;BX724),"")</f>
        <v/>
      </c>
      <c r="AP724" s="70" t="n">
        <f aca="false">IF(AO724="",0,MAX(0,MIN(1,(IF(CG724="L1",Parameter!$H$5,IF(CG724="L23",Parameter!$H$6+Parameter!$H$7,Parameter!$H$5+Parameter!$H$6+Parameter!$H$7))-(AO724-AJ724))/AJ724)))</f>
        <v>0</v>
      </c>
      <c r="AQ724" s="62" t="n">
        <f aca="false">IF(LEFT(Cockpit!$I$5,1)="A",H724,IF(Parameter!$E$30="MAX-Bestand",IF(CI724=1,CJ724,IF(LEFT(Cockpit!$I$5,1)="B",AW724,MAX(AW724,H724))),ROUNDUP(AU724,0)))</f>
        <v>1</v>
      </c>
      <c r="AR724" s="62" t="n">
        <f aca="false">IF(CA724=1,0,ROUNDUP(AQ724/BZ724,0))</f>
        <v>1</v>
      </c>
      <c r="AS724" s="64" t="n">
        <f aca="false">IF(CR724&gt;0,CR724*MAX(1,AQ724/X724),IF(CA724=1,IF(AQ724&lt;=0,0,CE724*MAX(1,IF(H724&gt;0,AQ724/H724,1))),IF(R724&gt;0,AR724/R724,0))/MAX(0.1,N(Parameter!$M$21)))</f>
        <v>0.25</v>
      </c>
      <c r="AT724" s="62" t="n">
        <f aca="false">AS724*CC724</f>
        <v>58.75</v>
      </c>
      <c r="AU724" s="63" t="n">
        <f aca="false">IF(LEFT(Cockpit!$I$5,1)="A",H724,IF(CI724=1,(CL724+CJ724)/2,IF(LEFT(Cockpit!$I$5,1)="B",(CL724+AW724)/2,MAX((CL724+AW724)/2,H724))))</f>
        <v>1</v>
      </c>
      <c r="AV724" s="62" t="n">
        <f aca="false">AU724*G724</f>
        <v>658.54</v>
      </c>
      <c r="AW724" s="62" t="n">
        <f aca="false">ROUNDUP(CL724+MAX(CM724,2*(J724/IF(CH724&gt;0,CH724,MAX(0.1,N(Cockpit!$I$6)))-CL724)),0)</f>
        <v>2</v>
      </c>
      <c r="AX724" s="63" t="n">
        <f aca="false">IF(AT724&gt;0,J724/AT724,-1)</f>
        <v>0.051063829787234</v>
      </c>
      <c r="AY724" s="63" t="str">
        <f aca="false">IF(AND(OR(CG724="L1",CG724="L23",CG724="LIFT"),AT724&gt;0),SUMIFS($AT$7:$AT$1843,$CG$7:$CG$1843,CG724,$AX$7:$AX$1843,"&gt;"&amp;AX724)+SUMIFS($AT$7:$AT$1843,$CG$7:$CG$1843,CG724,$AX$7:$AX$1843,AX724,$BX$7:$BX$1843,"&lt;="&amp;BX724),"")</f>
        <v/>
      </c>
      <c r="AZ724" s="70" t="n">
        <f aca="false">IF(AY724="",0,MAX(0,MIN(1,(IF(CG724="L1",Parameter!$H$5,IF(CG724="L23",Parameter!$H$6+Parameter!$H$7,Parameter!$H$5+Parameter!$H$6+Parameter!$H$7))-(AY724-AT724))/AT724)))</f>
        <v>0</v>
      </c>
      <c r="BA724" s="62" t="n">
        <f aca="false">IF(LEFT(Cockpit!$O$5,1)="A",H724,IF(Parameter!$E$30="MAX-Bestand",IF(CI724=1,CJ724,IF(LEFT(Cockpit!$O$5,1)="B",BG724,MAX(BG724,H724))),ROUNDUP(BE724,0)))</f>
        <v>1</v>
      </c>
      <c r="BB724" s="62" t="n">
        <f aca="false">IF(CA724=1,0,ROUNDUP(BA724/BZ724,0))</f>
        <v>1</v>
      </c>
      <c r="BC724" s="64" t="n">
        <f aca="false">IF(CR724&gt;0,CR724*MAX(1,BA724/X724),IF(CA724=1,IF(BA724&lt;=0,0,CE724*MAX(1,IF(H724&gt;0,BA724/H724,1))),IF(R724&gt;0,BB724/R724,0))/MAX(0.1,N(Parameter!$M$21)))</f>
        <v>0.25</v>
      </c>
      <c r="BD724" s="62" t="n">
        <f aca="false">BC724*CC724</f>
        <v>58.75</v>
      </c>
      <c r="BE724" s="63" t="n">
        <f aca="false">IF(LEFT(Cockpit!$O$5,1)="A",H724,IF(CI724=1,(CL724+CJ724)/2,IF(LEFT(Cockpit!$O$5,1)="B",(CL724+BG724)/2,MAX((CL724+BG724)/2,H724))))</f>
        <v>1</v>
      </c>
      <c r="BF724" s="62" t="n">
        <f aca="false">BE724*G724</f>
        <v>658.54</v>
      </c>
      <c r="BG724" s="62" t="n">
        <f aca="false">ROUNDUP(CL724+MAX(CM724,2*(J724/IF(CH724&gt;0,CH724,MAX(0.1,N(Cockpit!$O$6)))-CL724)),0)</f>
        <v>2</v>
      </c>
      <c r="BH724" s="63" t="n">
        <f aca="false">IF(BD724&gt;0,J724/BD724,-1)</f>
        <v>0.051063829787234</v>
      </c>
      <c r="BI724" s="63" t="str">
        <f aca="false">IF(AND(OR(CG724="L1",CG724="L23",CG724="LIFT"),BD724&gt;0),SUMIFS($BD$7:$BD$1843,$CG$7:$CG$1843,CG724,$BH$7:$BH$1843,"&gt;"&amp;BH724)+SUMIFS($BD$7:$BD$1843,$CG$7:$CG$1843,CG724,$BH$7:$BH$1843,BH724,$BX$7:$BX$1843,"&lt;="&amp;BX724),"")</f>
        <v/>
      </c>
      <c r="BJ724" s="70" t="n">
        <f aca="false">IF(BI724="",0,MAX(0,MIN(1,(IF(CG724="L1",Parameter!$H$5,IF(CG724="L23",Parameter!$H$6+Parameter!$H$7,Parameter!$H$5+Parameter!$H$6+Parameter!$H$7))-(BI724-BD724))/BD724)))</f>
        <v>0</v>
      </c>
      <c r="BK724" s="60" t="str">
        <f aca="false">IF(AJ724&lt;=0,"",IF(CG724="Aussen","Aussenlager",IF(CG724="-","Nicht im Lift",IF(AP724&gt;=1,"Lift",IF(AP724&lt;=0,"Aussenlager","teilweise")))))</f>
        <v/>
      </c>
      <c r="BL724" s="60" t="str">
        <f aca="false">IF(AT724&lt;=0,"",IF(CG724="Aussen","Aussenlager",IF(CG724="-","Nicht im Lift",IF(AZ724&gt;=1,"Lift",IF(AZ724&lt;=0,"Aussenlager","teilweise")))))</f>
        <v>Nicht im Lift</v>
      </c>
      <c r="BM724" s="60" t="str">
        <f aca="false">IF(BD724&lt;=0,"",IF(CG724="Aussen","Aussenlager",IF(CG724="-","Nicht im Lift",IF(BJ724&gt;=1,"Lift",IF(BJ724&lt;=0,"Aussenlager","teilweise")))))</f>
        <v>Nicht im Lift</v>
      </c>
      <c r="BN724" s="60" t="str">
        <f aca="false">IF(A724="","",IF(BW724=1,"Neu; ","")&amp;IF(AND(BW724=0,BR724&lt;0),"negativer Bestand (Export "&amp;BR724&amp;"); ","")&amp;IF(J724&lt;=0,"Kein Verbrauch; ","")&amp;IF(CR724&gt;0,"Lift "&amp;W724&amp;" lt. Liftbericht (Fach "&amp;X724&amp;" Stk); ",IF(CB724=1,"Gebinde geschätzt ("&amp;T724&amp;"); ",IF(CA724=1,"Lose – Tablare geschätzt; ","")))&amp;IF(H724&gt;AW724,"Überbestand "&amp;ROUND(H724-AW724,0)&amp;" Stk / CHF "&amp;ROUND((H724-AW724)*G724,0)&amp;"; ","")&amp;IF(AND(CI724=1,CJ724&lt;CK724),"MAX &lt; MB+LG; ","")&amp;IF(AND(CQ724&gt;0,CP724*10&gt;CQ724),"zu hoch für Tablar; ","")&amp;IF(AND(BW724=0,OR(CI724=1,AB724&lt;&gt;"",U724&lt;&gt;"",V724&lt;&gt;"",AC724&lt;&gt;"")),"manuell übersteuert; ","")&amp;IF(AND(CA724=0,R724=0),"Gebinde unbekannt / Stellmass fehlt; ","")&amp;IF(AND(CA724=0,N(V724)&lt;=0,N(Q724)&lt;=0),"Menge pro Gebinde fehlt (Ist = 1 Gebinde); ","")&amp;BV724)</f>
        <v>Gebinde geschätzt (Gross); Menge pro Gebinde fehlt (Ist = 1 Gebinde); </v>
      </c>
      <c r="BO724" s="60"/>
      <c r="BP724" s="60"/>
      <c r="BQ724" s="67"/>
      <c r="BR724" s="62" t="n">
        <v>0</v>
      </c>
      <c r="BS724" s="62" t="n">
        <v>0</v>
      </c>
      <c r="BT724" s="61" t="n">
        <v>0</v>
      </c>
      <c r="BU724" s="62" t="n">
        <v>3</v>
      </c>
      <c r="BV724" s="60"/>
      <c r="BW724" s="65" t="n">
        <v>0</v>
      </c>
      <c r="BX724" s="65" t="n">
        <v>724</v>
      </c>
      <c r="BY724" s="60" t="str">
        <f aca="false">IF(U724&lt;&gt;"",UPPER(TRIM(U724)),IF(CB724=1,UPPER(VLOOKUP(T724,Parameter!$I$27:$K$29,2,0)),IF(P724="","LOSE",P724)))</f>
        <v>S81</v>
      </c>
      <c r="BZ724" s="62" t="n">
        <f aca="false">IF(BY724="LOSE",1,IF(N(V724)&gt;0,V724,IF(CB724=1,MAX(1,N(VLOOKUP(T724,Parameter!$I$27:$K$29,3,0)),H724,N(N724)),IF(N(Q724)&gt;0,Q724,MAX(1,H724)))))</f>
        <v>2</v>
      </c>
      <c r="CA724" s="65" t="n">
        <f aca="false">IF(BY724="LOSE",1,0)</f>
        <v>0</v>
      </c>
      <c r="CB724" s="65" t="n">
        <f aca="false">IF(AND(U724="",OR(P724="",P724="LOSE"),T724&lt;&gt;"",N(S724)&lt;=0,ISNUMBER(MATCH(T724,Parameter!$I$27:$I$29,0))),1,0)</f>
        <v>1</v>
      </c>
      <c r="CC724" s="65" t="n">
        <f aca="false">IF(CR724&gt;0,INDEX(Parameter!$H$5:$H$7,W724)/INDEX(Parameter!$E$5:$E$7,W724),IF(AND(CA724=0,N(IFERROR(VLOOKUP(BY724,'Gebinde-Kategorie'!$A$5:$N$45,14,0),0))&gt;0),VLOOKUP(BY724,'Gebinde-Kategorie'!$A$5:$N$45,14,0)*10+Parameter!$M$23,Parameter!$M$24))</f>
        <v>235</v>
      </c>
      <c r="CD724" s="60" t="str">
        <f aca="false">IF(AND(Parameter!$B$19="Ja",E724&lt;&gt;"",ISNUMBER(MATCH(E724,Parameter!$I$35:$I$52,0))),VLOOKUP(E724,Parameter!$I$35:$J$52,2,0),IFERROR(VLOOKUP(D724,Parameter!$A$35:$C$64,2,0),"Nein"))</f>
        <v>Nein</v>
      </c>
      <c r="CE724" s="64" t="n">
        <f aca="false">IF(CA724=0,0,IF(N(S724)&gt;0,S724,IFERROR(VLOOKUP(D724,Parameter!$A$35:$C$64,3,0)+0,0)))</f>
        <v>0</v>
      </c>
      <c r="CF724" s="60" t="str">
        <f aca="false">IF(AB724&lt;&gt;"",AB724,AA724)</f>
        <v>-</v>
      </c>
      <c r="CG724" s="60" t="str">
        <f aca="false">IF(OR(CF724=1,CF724=2,CF724=3),IF(Parameter!$E$27="Ja","LIFT",IF(CF724=1,"L1","L23")),IF(CF724="Aussen","Aussen","-"))</f>
        <v>-</v>
      </c>
      <c r="CH724" s="71" t="n">
        <f aca="false">IF(N(AC724)&gt;0,AC724,0)</f>
        <v>0</v>
      </c>
      <c r="CI724" s="65" t="n">
        <f aca="false">IF(ISNUMBER(AF724),1,0)</f>
        <v>0</v>
      </c>
      <c r="CJ724" s="62" t="n">
        <f aca="false">N(AF724)</f>
        <v>0</v>
      </c>
      <c r="CK724" s="62" t="n">
        <f aca="false">N(M724)+N(N724)</f>
        <v>1</v>
      </c>
      <c r="CL724" s="62" t="n">
        <f aca="false">N(M724)</f>
        <v>0</v>
      </c>
      <c r="CM724" s="62" t="n">
        <f aca="false">N(N724)</f>
        <v>1</v>
      </c>
      <c r="CN724" s="62" t="n">
        <f aca="false">ROUNDUP(H724/BZ724,0)</f>
        <v>0</v>
      </c>
      <c r="CO724" s="62" t="n">
        <f aca="false">ROUNDUP(CJ724/BZ724,0)</f>
        <v>0</v>
      </c>
      <c r="CP724" s="65" t="n">
        <f aca="false">IF(CA724=1,0,IFERROR(VLOOKUP(BY724,'Gebinde-Kategorie'!$A$5:$N$45,5,0)+0,0))</f>
        <v>20</v>
      </c>
      <c r="CQ724" s="65" t="n">
        <f aca="false">IFERROR(IF(OR(CF724=1,CF724=2,CF724=3),N(INDEX(Parameter!$I$5:$I$7,CF724)),0),0)</f>
        <v>0</v>
      </c>
      <c r="CR724" s="64" t="n">
        <f aca="false">IF(AND(Parameter!$B$21="Ja",ISNUMBER(W724),N(X724)&gt;0),IFERROR(N(INDEX(Parameter!$L$5:$L$7,W724))*INDEX(Parameter!$E$5:$E$7,W724)*X724/SUMIFS($X$7:$X$1843,$W$7:$W$1843,W724),0),0)</f>
        <v>0</v>
      </c>
      <c r="CS724" s="62" t="str">
        <f aca="false">IF(AND(OR(CG724="L1",CG724="L23",CG724="LIFT"),H724&gt;0),CC724*IF(CR724&gt;0,CR724*MAX(1,H724/X724),IF(CA724=1,CE724,IF(R724&gt;0,CN724/R724,0))/MAX(0.1,N(Parameter!$M$21))),"")</f>
        <v/>
      </c>
      <c r="CT724" s="64" t="str">
        <f aca="false">IF(CS724="","",J724/H724)</f>
        <v/>
      </c>
      <c r="CU724" s="62" t="str">
        <f aca="false">IF(CS724="","",H724*G724)</f>
        <v/>
      </c>
      <c r="CV724" s="63" t="str">
        <f aca="false">IF(CS724="","",(CL724+ROUNDUP(CL724+MAX(CM724,2*(J724/MAX(0.1,N(Einkauf!$C$6))-CL724)),0))/2)</f>
        <v/>
      </c>
      <c r="CW724" s="62" t="str">
        <f aca="false">IF(CS724="","",MAX(0,H724-CV724)*G724)</f>
        <v/>
      </c>
      <c r="CX724" s="62" t="str">
        <f aca="false">IF(CS724="","",CS724*MAX(0,1-CV724/H724))</f>
        <v/>
      </c>
      <c r="CY724" s="64" t="str">
        <f aca="false">IF(CS724="","",PERCENTRANK($CS$7:$CS$1843,CS724)+PERCENTRANK($CU$7:$CU$1843,CU724)+1-PERCENTRANK($CT$7:$CT$1843,CT724))</f>
        <v/>
      </c>
      <c r="CZ724" s="72" t="str">
        <f aca="false">IF(CS724="","",CHOOSE(MATCH(Einkauf!$C$5,Parameter!$G$23:$G$27,0),CY724,CS724,CU724,-CT724,CW724)+ROW()/1000000000)</f>
        <v/>
      </c>
    </row>
    <row r="725" customFormat="false" ht="15" hidden="false" customHeight="false" outlineLevel="0" collapsed="false">
      <c r="A725" s="60" t="s">
        <v>1480</v>
      </c>
      <c r="B725" s="60" t="s">
        <v>1481</v>
      </c>
      <c r="C725" s="60" t="s">
        <v>498</v>
      </c>
      <c r="D725" s="60" t="s">
        <v>215</v>
      </c>
      <c r="E725" s="60"/>
      <c r="F725" s="60" t="s">
        <v>260</v>
      </c>
      <c r="G725" s="61" t="n">
        <v>100.23</v>
      </c>
      <c r="H725" s="62" t="n">
        <f aca="false">MAX(0,IF(AND(Parameter!$B$21="Ja",ISNUMBER(Y725)),Y725,IF(Parameter!$B$20="Jahresanfang 2025 + Export",BS725+BR725,BR725)))</f>
        <v>0</v>
      </c>
      <c r="I725" s="62" t="n">
        <f aca="false">H725*G725</f>
        <v>0</v>
      </c>
      <c r="J725" s="62" t="n">
        <f aca="false">BU725*Parameter!$B$18</f>
        <v>0</v>
      </c>
      <c r="K725" s="63" t="n">
        <v>0</v>
      </c>
      <c r="L725" s="64" t="n">
        <v>0</v>
      </c>
      <c r="M725" s="62" t="n">
        <v>0</v>
      </c>
      <c r="N725" s="62" t="n">
        <v>1</v>
      </c>
      <c r="O725" s="65" t="n">
        <v>21</v>
      </c>
      <c r="P725" s="60" t="s">
        <v>210</v>
      </c>
      <c r="Q725" s="62"/>
      <c r="R725" s="65" t="n">
        <f aca="false">IF(CA725=1,0,IFERROR(VLOOKUP(BY725,'Gebinde-Kategorie'!$A$5:$N$45,13,0)+0,0))</f>
        <v>12</v>
      </c>
      <c r="S725" s="66"/>
      <c r="T725" s="67" t="s">
        <v>221</v>
      </c>
      <c r="U725" s="67"/>
      <c r="V725" s="67"/>
      <c r="W725" s="60"/>
      <c r="X725" s="62"/>
      <c r="Y725" s="62"/>
      <c r="Z725" s="60" t="n">
        <v>3</v>
      </c>
      <c r="AA725" s="60" t="n">
        <f aca="false">IF(A725="","",IF(AND(Parameter!$B$21="Ja",ISNUMBER(W725)),W725,IF(AND(Parameter!$E$27="Ja",ISNUMBER(Z725),CD725&lt;&gt;"Nein"),Z725,IF(CD725="2+3",IF(ISNUMBER(SEARCH("grosser Artikel",BV725)),2,IFERROR(VLOOKUP(BY725,Parameter!$F$35:$G$64,2,0),2)),IF(OR(CD725="Nein",CD725=""),"-",CD725)))))</f>
        <v>3</v>
      </c>
      <c r="AB725" s="67"/>
      <c r="AC725" s="68"/>
      <c r="AD725" s="62" t="n">
        <f aca="false">AW725</f>
        <v>1</v>
      </c>
      <c r="AE725" s="62" t="n">
        <f aca="false">MAX(AW725,H725)</f>
        <v>1</v>
      </c>
      <c r="AF725" s="69"/>
      <c r="AG725" s="62" t="n">
        <f aca="false">IF(LEFT(Cockpit!$C$5,1)="A",H725,IF(Parameter!$E$30="MAX-Bestand",IF(CI725=1,CJ725,IF(LEFT(Cockpit!$C$5,1)="B",AM725,MAX(AM725,H725))),ROUNDUP(AK725,0)))</f>
        <v>0</v>
      </c>
      <c r="AH725" s="62" t="n">
        <f aca="false">IF(CA725=1,0,ROUNDUP(AG725/BZ725,0))</f>
        <v>0</v>
      </c>
      <c r="AI725" s="64" t="n">
        <f aca="false">IF(CR725&gt;0,CR725*MAX(1,AG725/X725),IF(CA725=1,IF(AG725&lt;=0,0,CE725*MAX(1,IF(H725&gt;0,AG725/H725,1))),IF(R725&gt;0,AH725/R725,0))/MAX(0.1,N(Parameter!$M$21)))</f>
        <v>0</v>
      </c>
      <c r="AJ725" s="62" t="n">
        <f aca="false">AI725*CC725</f>
        <v>0</v>
      </c>
      <c r="AK725" s="63" t="n">
        <f aca="false">IF(LEFT(Cockpit!$C$5,1)="A",H725,IF(CI725=1,(CL725+CJ725)/2,IF(LEFT(Cockpit!$C$5,1)="B",(CL725+AM725)/2,MAX((CL725+AM725)/2,H725))))</f>
        <v>0</v>
      </c>
      <c r="AL725" s="62" t="n">
        <f aca="false">AK725*G725</f>
        <v>0</v>
      </c>
      <c r="AM725" s="62" t="n">
        <f aca="false">ROUNDUP(CL725+MAX(CM725,2*(J725/IF(CH725&gt;0,CH725,MAX(0.1,N(Cockpit!$C$6)))-CL725)),0)</f>
        <v>1</v>
      </c>
      <c r="AN725" s="63" t="n">
        <f aca="false">IF(AJ725&gt;0,J725/AJ725,-1)</f>
        <v>-1</v>
      </c>
      <c r="AO725" s="63" t="str">
        <f aca="false">IF(AND(OR(CG725="L1",CG725="L23",CG725="LIFT"),AJ725&gt;0),SUMIFS($AJ$7:$AJ$1843,$CG$7:$CG$1843,CG725,$AN$7:$AN$1843,"&gt;"&amp;AN725)+SUMIFS($AJ$7:$AJ$1843,$CG$7:$CG$1843,CG725,$AN$7:$AN$1843,AN725,$BX$7:$BX$1843,"&lt;="&amp;BX725),"")</f>
        <v/>
      </c>
      <c r="AP725" s="70" t="n">
        <f aca="false">IF(AO725="",0,MAX(0,MIN(1,(IF(CG725="L1",Parameter!$H$5,IF(CG725="L23",Parameter!$H$6+Parameter!$H$7,Parameter!$H$5+Parameter!$H$6+Parameter!$H$7))-(AO725-AJ725))/AJ725)))</f>
        <v>0</v>
      </c>
      <c r="AQ725" s="62" t="n">
        <f aca="false">IF(LEFT(Cockpit!$I$5,1)="A",H725,IF(Parameter!$E$30="MAX-Bestand",IF(CI725=1,CJ725,IF(LEFT(Cockpit!$I$5,1)="B",AW725,MAX(AW725,H725))),ROUNDUP(AU725,0)))</f>
        <v>1</v>
      </c>
      <c r="AR725" s="62" t="n">
        <f aca="false">IF(CA725=1,0,ROUNDUP(AQ725/BZ725,0))</f>
        <v>1</v>
      </c>
      <c r="AS725" s="64" t="n">
        <f aca="false">IF(CR725&gt;0,CR725*MAX(1,AQ725/X725),IF(CA725=1,IF(AQ725&lt;=0,0,CE725*MAX(1,IF(H725&gt;0,AQ725/H725,1))),IF(R725&gt;0,AR725/R725,0))/MAX(0.1,N(Parameter!$M$21)))</f>
        <v>0.0833333333333333</v>
      </c>
      <c r="AT725" s="62" t="n">
        <f aca="false">AS725*CC725</f>
        <v>12.0833333333333</v>
      </c>
      <c r="AU725" s="63" t="n">
        <f aca="false">IF(LEFT(Cockpit!$I$5,1)="A",H725,IF(CI725=1,(CL725+CJ725)/2,IF(LEFT(Cockpit!$I$5,1)="B",(CL725+AW725)/2,MAX((CL725+AW725)/2,H725))))</f>
        <v>0.5</v>
      </c>
      <c r="AV725" s="62" t="n">
        <f aca="false">AU725*G725</f>
        <v>50.115</v>
      </c>
      <c r="AW725" s="62" t="n">
        <f aca="false">ROUNDUP(CL725+MAX(CM725,2*(J725/IF(CH725&gt;0,CH725,MAX(0.1,N(Cockpit!$I$6)))-CL725)),0)</f>
        <v>1</v>
      </c>
      <c r="AX725" s="63" t="n">
        <f aca="false">IF(AT725&gt;0,J725/AT725,-1)</f>
        <v>0</v>
      </c>
      <c r="AY725" s="63" t="n">
        <f aca="false">IF(AND(OR(CG725="L1",CG725="L23",CG725="LIFT"),AT725&gt;0),SUMIFS($AT$7:$AT$1843,$CG$7:$CG$1843,CG725,$AX$7:$AX$1843,"&gt;"&amp;AX725)+SUMIFS($AT$7:$AT$1843,$CG$7:$CG$1843,CG725,$AX$7:$AX$1843,AX725,$BX$7:$BX$1843,"&lt;="&amp;BX725),"")</f>
        <v>34180.8031135531</v>
      </c>
      <c r="AZ725" s="70" t="n">
        <f aca="false">IF(AY725="",0,MAX(0,MIN(1,(IF(CG725="L1",Parameter!$H$5,IF(CG725="L23",Parameter!$H$6+Parameter!$H$7,Parameter!$H$5+Parameter!$H$6+Parameter!$H$7))-(AY725-AT725))/AT725)))</f>
        <v>1</v>
      </c>
      <c r="BA725" s="62" t="n">
        <f aca="false">IF(LEFT(Cockpit!$O$5,1)="A",H725,IF(Parameter!$E$30="MAX-Bestand",IF(CI725=1,CJ725,IF(LEFT(Cockpit!$O$5,1)="B",BG725,MAX(BG725,H725))),ROUNDUP(BE725,0)))</f>
        <v>1</v>
      </c>
      <c r="BB725" s="62" t="n">
        <f aca="false">IF(CA725=1,0,ROUNDUP(BA725/BZ725,0))</f>
        <v>1</v>
      </c>
      <c r="BC725" s="64" t="n">
        <f aca="false">IF(CR725&gt;0,CR725*MAX(1,BA725/X725),IF(CA725=1,IF(BA725&lt;=0,0,CE725*MAX(1,IF(H725&gt;0,BA725/H725,1))),IF(R725&gt;0,BB725/R725,0))/MAX(0.1,N(Parameter!$M$21)))</f>
        <v>0.0833333333333333</v>
      </c>
      <c r="BD725" s="62" t="n">
        <f aca="false">BC725*CC725</f>
        <v>12.0833333333333</v>
      </c>
      <c r="BE725" s="63" t="n">
        <f aca="false">IF(LEFT(Cockpit!$O$5,1)="A",H725,IF(CI725=1,(CL725+CJ725)/2,IF(LEFT(Cockpit!$O$5,1)="B",(CL725+BG725)/2,MAX((CL725+BG725)/2,H725))))</f>
        <v>0.5</v>
      </c>
      <c r="BF725" s="62" t="n">
        <f aca="false">BE725*G725</f>
        <v>50.115</v>
      </c>
      <c r="BG725" s="62" t="n">
        <f aca="false">ROUNDUP(CL725+MAX(CM725,2*(J725/IF(CH725&gt;0,CH725,MAX(0.1,N(Cockpit!$O$6)))-CL725)),0)</f>
        <v>1</v>
      </c>
      <c r="BH725" s="63" t="n">
        <f aca="false">IF(BD725&gt;0,J725/BD725,-1)</f>
        <v>0</v>
      </c>
      <c r="BI725" s="63" t="n">
        <f aca="false">IF(AND(OR(CG725="L1",CG725="L23",CG725="LIFT"),BD725&gt;0),SUMIFS($BD$7:$BD$1843,$CG$7:$CG$1843,CG725,$BH$7:$BH$1843,"&gt;"&amp;BH725)+SUMIFS($BD$7:$BD$1843,$CG$7:$CG$1843,CG725,$BH$7:$BH$1843,BH725,$BX$7:$BX$1843,"&lt;="&amp;BX725),"")</f>
        <v>28244.9321180232</v>
      </c>
      <c r="BJ725" s="70" t="n">
        <f aca="false">IF(BI725="",0,MAX(0,MIN(1,(IF(CG725="L1",Parameter!$H$5,IF(CG725="L23",Parameter!$H$6+Parameter!$H$7,Parameter!$H$5+Parameter!$H$6+Parameter!$H$7))-(BI725-BD725))/BD725)))</f>
        <v>1</v>
      </c>
      <c r="BK725" s="60" t="str">
        <f aca="false">IF(AJ725&lt;=0,"",IF(CG725="Aussen","Aussenlager",IF(CG725="-","Nicht im Lift",IF(AP725&gt;=1,"Lift",IF(AP725&lt;=0,"Aussenlager","teilweise")))))</f>
        <v/>
      </c>
      <c r="BL725" s="60" t="str">
        <f aca="false">IF(AT725&lt;=0,"",IF(CG725="Aussen","Aussenlager",IF(CG725="-","Nicht im Lift",IF(AZ725&gt;=1,"Lift",IF(AZ725&lt;=0,"Aussenlager","teilweise")))))</f>
        <v>Lift</v>
      </c>
      <c r="BM725" s="60" t="str">
        <f aca="false">IF(BD725&lt;=0,"",IF(CG725="Aussen","Aussenlager",IF(CG725="-","Nicht im Lift",IF(BJ725&gt;=1,"Lift",IF(BJ725&lt;=0,"Aussenlager","teilweise")))))</f>
        <v>Lift</v>
      </c>
      <c r="BN725" s="60" t="str">
        <f aca="false">IF(A725="","",IF(BW725=1,"Neu; ","")&amp;IF(AND(BW725=0,BR725&lt;0),"negativer Bestand (Export "&amp;BR725&amp;"); ","")&amp;IF(J725&lt;=0,"Kein Verbrauch; ","")&amp;IF(CR725&gt;0,"Lift "&amp;W725&amp;" lt. Liftbericht (Fach "&amp;X725&amp;" Stk); ",IF(CB725=1,"Gebinde geschätzt ("&amp;T725&amp;"); ",IF(CA725=1,"Lose – Tablare geschätzt; ","")))&amp;IF(H725&gt;AW725,"Überbestand "&amp;ROUND(H725-AW725,0)&amp;" Stk / CHF "&amp;ROUND((H725-AW725)*G725,0)&amp;"; ","")&amp;IF(AND(CI725=1,CJ725&lt;CK725),"MAX &lt; MB+LG; ","")&amp;IF(AND(CQ725&gt;0,CP725*10&gt;CQ725),"zu hoch für Tablar; ","")&amp;IF(AND(BW725=0,OR(CI725=1,AB725&lt;&gt;"",U725&lt;&gt;"",V725&lt;&gt;"",AC725&lt;&gt;"")),"manuell übersteuert; ","")&amp;IF(AND(CA725=0,R725=0),"Gebinde unbekannt / Stellmass fehlt; ","")&amp;IF(AND(CA725=0,N(V725)&lt;=0,N(Q725)&lt;=0),"Menge pro Gebinde fehlt (Ist = 1 Gebinde); ","")&amp;BV725)</f>
        <v>Kein Verbrauch; Gebinde geschätzt (Mittel); Menge pro Gebinde fehlt (Ist = 1 Gebinde); </v>
      </c>
      <c r="BO725" s="60"/>
      <c r="BP725" s="60"/>
      <c r="BQ725" s="67"/>
      <c r="BR725" s="62" t="n">
        <v>0</v>
      </c>
      <c r="BS725" s="62" t="n">
        <v>0</v>
      </c>
      <c r="BT725" s="61" t="n">
        <v>0</v>
      </c>
      <c r="BU725" s="62" t="n">
        <v>0</v>
      </c>
      <c r="BV725" s="60"/>
      <c r="BW725" s="65" t="n">
        <v>0</v>
      </c>
      <c r="BX725" s="65" t="n">
        <v>725</v>
      </c>
      <c r="BY725" s="60" t="str">
        <f aca="false">IF(U725&lt;&gt;"",UPPER(TRIM(U725)),IF(CB725=1,UPPER(VLOOKUP(T725,Parameter!$I$27:$K$29,2,0)),IF(P725="","LOSE",P725)))</f>
        <v>S61</v>
      </c>
      <c r="BZ725" s="62" t="n">
        <f aca="false">IF(BY725="LOSE",1,IF(N(V725)&gt;0,V725,IF(CB725=1,MAX(1,N(VLOOKUP(T725,Parameter!$I$27:$K$29,3,0)),H725,N(N725)),IF(N(Q725)&gt;0,Q725,MAX(1,H725)))))</f>
        <v>4</v>
      </c>
      <c r="CA725" s="65" t="n">
        <f aca="false">IF(BY725="LOSE",1,0)</f>
        <v>0</v>
      </c>
      <c r="CB725" s="65" t="n">
        <f aca="false">IF(AND(U725="",OR(P725="",P725="LOSE"),T725&lt;&gt;"",N(S725)&lt;=0,ISNUMBER(MATCH(T725,Parameter!$I$27:$I$29,0))),1,0)</f>
        <v>1</v>
      </c>
      <c r="CC725" s="65" t="n">
        <f aca="false">IF(CR725&gt;0,INDEX(Parameter!$H$5:$H$7,W725)/INDEX(Parameter!$E$5:$E$7,W725),IF(AND(CA725=0,N(IFERROR(VLOOKUP(BY725,'Gebinde-Kategorie'!$A$5:$N$45,14,0),0))&gt;0),VLOOKUP(BY725,'Gebinde-Kategorie'!$A$5:$N$45,14,0)*10+Parameter!$M$23,Parameter!$M$24))</f>
        <v>145</v>
      </c>
      <c r="CD725" s="60" t="str">
        <f aca="false">IF(AND(Parameter!$B$19="Ja",E725&lt;&gt;"",ISNUMBER(MATCH(E725,Parameter!$I$35:$I$52,0))),VLOOKUP(E725,Parameter!$I$35:$J$52,2,0),IFERROR(VLOOKUP(D725,Parameter!$A$35:$C$64,2,0),"Nein"))</f>
        <v>2+3</v>
      </c>
      <c r="CE725" s="64" t="n">
        <f aca="false">IF(CA725=0,0,IF(N(S725)&gt;0,S725,IFERROR(VLOOKUP(D725,Parameter!$A$35:$C$64,3,0)+0,0)))</f>
        <v>0</v>
      </c>
      <c r="CF725" s="60" t="n">
        <f aca="false">IF(AB725&lt;&gt;"",AB725,AA725)</f>
        <v>3</v>
      </c>
      <c r="CG725" s="60" t="str">
        <f aca="false">IF(OR(CF725=1,CF725=2,CF725=3),IF(Parameter!$E$27="Ja","LIFT",IF(CF725=1,"L1","L23")),IF(CF725="Aussen","Aussen","-"))</f>
        <v>LIFT</v>
      </c>
      <c r="CH725" s="71" t="n">
        <f aca="false">IF(N(AC725)&gt;0,AC725,0)</f>
        <v>0</v>
      </c>
      <c r="CI725" s="65" t="n">
        <f aca="false">IF(ISNUMBER(AF725),1,0)</f>
        <v>0</v>
      </c>
      <c r="CJ725" s="62" t="n">
        <f aca="false">N(AF725)</f>
        <v>0</v>
      </c>
      <c r="CK725" s="62" t="n">
        <f aca="false">N(M725)+N(N725)</f>
        <v>1</v>
      </c>
      <c r="CL725" s="62" t="n">
        <f aca="false">N(M725)</f>
        <v>0</v>
      </c>
      <c r="CM725" s="62" t="n">
        <f aca="false">N(N725)</f>
        <v>1</v>
      </c>
      <c r="CN725" s="62" t="n">
        <f aca="false">ROUNDUP(H725/BZ725,0)</f>
        <v>0</v>
      </c>
      <c r="CO725" s="62" t="n">
        <f aca="false">ROUNDUP(CJ725/BZ725,0)</f>
        <v>0</v>
      </c>
      <c r="CP725" s="65" t="n">
        <f aca="false">IF(CA725=1,0,IFERROR(VLOOKUP(BY725,'Gebinde-Kategorie'!$A$5:$N$45,5,0)+0,0))</f>
        <v>11</v>
      </c>
      <c r="CQ725" s="65" t="n">
        <f aca="false">IFERROR(IF(OR(CF725=1,CF725=2,CF725=3),N(INDEX(Parameter!$I$5:$I$7,CF725)),0),0)</f>
        <v>0</v>
      </c>
      <c r="CR725" s="64" t="n">
        <f aca="false">IF(AND(Parameter!$B$21="Ja",ISNUMBER(W725),N(X725)&gt;0),IFERROR(N(INDEX(Parameter!$L$5:$L$7,W725))*INDEX(Parameter!$E$5:$E$7,W725)*X725/SUMIFS($X$7:$X$1843,$W$7:$W$1843,W725),0),0)</f>
        <v>0</v>
      </c>
      <c r="CS725" s="62" t="str">
        <f aca="false">IF(AND(OR(CG725="L1",CG725="L23",CG725="LIFT"),H725&gt;0),CC725*IF(CR725&gt;0,CR725*MAX(1,H725/X725),IF(CA725=1,CE725,IF(R725&gt;0,CN725/R725,0))/MAX(0.1,N(Parameter!$M$21))),"")</f>
        <v/>
      </c>
      <c r="CT725" s="64" t="str">
        <f aca="false">IF(CS725="","",J725/H725)</f>
        <v/>
      </c>
      <c r="CU725" s="62" t="str">
        <f aca="false">IF(CS725="","",H725*G725)</f>
        <v/>
      </c>
      <c r="CV725" s="63" t="str">
        <f aca="false">IF(CS725="","",(CL725+ROUNDUP(CL725+MAX(CM725,2*(J725/MAX(0.1,N(Einkauf!$C$6))-CL725)),0))/2)</f>
        <v/>
      </c>
      <c r="CW725" s="62" t="str">
        <f aca="false">IF(CS725="","",MAX(0,H725-CV725)*G725)</f>
        <v/>
      </c>
      <c r="CX725" s="62" t="str">
        <f aca="false">IF(CS725="","",CS725*MAX(0,1-CV725/H725))</f>
        <v/>
      </c>
      <c r="CY725" s="64" t="str">
        <f aca="false">IF(CS725="","",PERCENTRANK($CS$7:$CS$1843,CS725)+PERCENTRANK($CU$7:$CU$1843,CU725)+1-PERCENTRANK($CT$7:$CT$1843,CT725))</f>
        <v/>
      </c>
      <c r="CZ725" s="72" t="str">
        <f aca="false">IF(CS725="","",CHOOSE(MATCH(Einkauf!$C$5,Parameter!$G$23:$G$27,0),CY725,CS725,CU725,-CT725,CW725)+ROW()/1000000000)</f>
        <v/>
      </c>
    </row>
    <row r="726" customFormat="false" ht="15" hidden="false" customHeight="false" outlineLevel="0" collapsed="false">
      <c r="A726" s="60" t="s">
        <v>1482</v>
      </c>
      <c r="B726" s="60" t="s">
        <v>1483</v>
      </c>
      <c r="C726" s="60" t="s">
        <v>206</v>
      </c>
      <c r="D726" s="60" t="s">
        <v>215</v>
      </c>
      <c r="E726" s="60"/>
      <c r="F726" s="60" t="s">
        <v>260</v>
      </c>
      <c r="G726" s="61" t="n">
        <v>467.1</v>
      </c>
      <c r="H726" s="62" t="n">
        <f aca="false">MAX(0,IF(AND(Parameter!$B$21="Ja",ISNUMBER(Y726)),Y726,IF(Parameter!$B$20="Jahresanfang 2025 + Export",BS726+BR726,BR726)))</f>
        <v>0</v>
      </c>
      <c r="I726" s="62" t="n">
        <f aca="false">H726*G726</f>
        <v>0</v>
      </c>
      <c r="J726" s="62" t="n">
        <f aca="false">BU726*Parameter!$B$18</f>
        <v>1</v>
      </c>
      <c r="K726" s="63" t="n">
        <v>0</v>
      </c>
      <c r="L726" s="64" t="n">
        <v>0</v>
      </c>
      <c r="M726" s="62" t="n">
        <v>0</v>
      </c>
      <c r="N726" s="62" t="n">
        <v>1</v>
      </c>
      <c r="O726" s="65" t="n">
        <v>28</v>
      </c>
      <c r="P726" s="60" t="s">
        <v>210</v>
      </c>
      <c r="Q726" s="62"/>
      <c r="R726" s="65" t="n">
        <f aca="false">IF(CA726=1,0,IFERROR(VLOOKUP(BY726,'Gebinde-Kategorie'!$A$5:$N$45,13,0)+0,0))</f>
        <v>12</v>
      </c>
      <c r="S726" s="66"/>
      <c r="T726" s="67" t="s">
        <v>221</v>
      </c>
      <c r="U726" s="67"/>
      <c r="V726" s="67"/>
      <c r="W726" s="60"/>
      <c r="X726" s="62"/>
      <c r="Y726" s="62"/>
      <c r="Z726" s="60" t="n">
        <v>3</v>
      </c>
      <c r="AA726" s="60" t="n">
        <f aca="false">IF(A726="","",IF(AND(Parameter!$B$21="Ja",ISNUMBER(W726)),W726,IF(AND(Parameter!$E$27="Ja",ISNUMBER(Z726),CD726&lt;&gt;"Nein"),Z726,IF(CD726="2+3",IF(ISNUMBER(SEARCH("grosser Artikel",BV726)),2,IFERROR(VLOOKUP(BY726,Parameter!$F$35:$G$64,2,0),2)),IF(OR(CD726="Nein",CD726=""),"-",CD726)))))</f>
        <v>3</v>
      </c>
      <c r="AB726" s="67"/>
      <c r="AC726" s="68"/>
      <c r="AD726" s="62" t="n">
        <f aca="false">AW726</f>
        <v>1</v>
      </c>
      <c r="AE726" s="62" t="n">
        <f aca="false">MAX(AW726,H726)</f>
        <v>1</v>
      </c>
      <c r="AF726" s="69"/>
      <c r="AG726" s="62" t="n">
        <f aca="false">IF(LEFT(Cockpit!$C$5,1)="A",H726,IF(Parameter!$E$30="MAX-Bestand",IF(CI726=1,CJ726,IF(LEFT(Cockpit!$C$5,1)="B",AM726,MAX(AM726,H726))),ROUNDUP(AK726,0)))</f>
        <v>0</v>
      </c>
      <c r="AH726" s="62" t="n">
        <f aca="false">IF(CA726=1,0,ROUNDUP(AG726/BZ726,0))</f>
        <v>0</v>
      </c>
      <c r="AI726" s="64" t="n">
        <f aca="false">IF(CR726&gt;0,CR726*MAX(1,AG726/X726),IF(CA726=1,IF(AG726&lt;=0,0,CE726*MAX(1,IF(H726&gt;0,AG726/H726,1))),IF(R726&gt;0,AH726/R726,0))/MAX(0.1,N(Parameter!$M$21)))</f>
        <v>0</v>
      </c>
      <c r="AJ726" s="62" t="n">
        <f aca="false">AI726*CC726</f>
        <v>0</v>
      </c>
      <c r="AK726" s="63" t="n">
        <f aca="false">IF(LEFT(Cockpit!$C$5,1)="A",H726,IF(CI726=1,(CL726+CJ726)/2,IF(LEFT(Cockpit!$C$5,1)="B",(CL726+AM726)/2,MAX((CL726+AM726)/2,H726))))</f>
        <v>0</v>
      </c>
      <c r="AL726" s="62" t="n">
        <f aca="false">AK726*G726</f>
        <v>0</v>
      </c>
      <c r="AM726" s="62" t="n">
        <f aca="false">ROUNDUP(CL726+MAX(CM726,2*(J726/IF(CH726&gt;0,CH726,MAX(0.1,N(Cockpit!$C$6)))-CL726)),0)</f>
        <v>1</v>
      </c>
      <c r="AN726" s="63" t="n">
        <f aca="false">IF(AJ726&gt;0,J726/AJ726,-1)</f>
        <v>-1</v>
      </c>
      <c r="AO726" s="63" t="str">
        <f aca="false">IF(AND(OR(CG726="L1",CG726="L23",CG726="LIFT"),AJ726&gt;0),SUMIFS($AJ$7:$AJ$1843,$CG$7:$CG$1843,CG726,$AN$7:$AN$1843,"&gt;"&amp;AN726)+SUMIFS($AJ$7:$AJ$1843,$CG$7:$CG$1843,CG726,$AN$7:$AN$1843,AN726,$BX$7:$BX$1843,"&lt;="&amp;BX726),"")</f>
        <v/>
      </c>
      <c r="AP726" s="70" t="n">
        <f aca="false">IF(AO726="",0,MAX(0,MIN(1,(IF(CG726="L1",Parameter!$H$5,IF(CG726="L23",Parameter!$H$6+Parameter!$H$7,Parameter!$H$5+Parameter!$H$6+Parameter!$H$7))-(AO726-AJ726))/AJ726)))</f>
        <v>0</v>
      </c>
      <c r="AQ726" s="62" t="n">
        <f aca="false">IF(LEFT(Cockpit!$I$5,1)="A",H726,IF(Parameter!$E$30="MAX-Bestand",IF(CI726=1,CJ726,IF(LEFT(Cockpit!$I$5,1)="B",AW726,MAX(AW726,H726))),ROUNDUP(AU726,0)))</f>
        <v>1</v>
      </c>
      <c r="AR726" s="62" t="n">
        <f aca="false">IF(CA726=1,0,ROUNDUP(AQ726/BZ726,0))</f>
        <v>1</v>
      </c>
      <c r="AS726" s="64" t="n">
        <f aca="false">IF(CR726&gt;0,CR726*MAX(1,AQ726/X726),IF(CA726=1,IF(AQ726&lt;=0,0,CE726*MAX(1,IF(H726&gt;0,AQ726/H726,1))),IF(R726&gt;0,AR726/R726,0))/MAX(0.1,N(Parameter!$M$21)))</f>
        <v>0.0833333333333333</v>
      </c>
      <c r="AT726" s="62" t="n">
        <f aca="false">AS726*CC726</f>
        <v>12.0833333333333</v>
      </c>
      <c r="AU726" s="63" t="n">
        <f aca="false">IF(LEFT(Cockpit!$I$5,1)="A",H726,IF(CI726=1,(CL726+CJ726)/2,IF(LEFT(Cockpit!$I$5,1)="B",(CL726+AW726)/2,MAX((CL726+AW726)/2,H726))))</f>
        <v>0.5</v>
      </c>
      <c r="AV726" s="62" t="n">
        <f aca="false">AU726*G726</f>
        <v>233.55</v>
      </c>
      <c r="AW726" s="62" t="n">
        <f aca="false">ROUNDUP(CL726+MAX(CM726,2*(J726/IF(CH726&gt;0,CH726,MAX(0.1,N(Cockpit!$I$6)))-CL726)),0)</f>
        <v>1</v>
      </c>
      <c r="AX726" s="63" t="n">
        <f aca="false">IF(AT726&gt;0,J726/AT726,-1)</f>
        <v>0.0827586206896552</v>
      </c>
      <c r="AY726" s="63" t="n">
        <f aca="false">IF(AND(OR(CG726="L1",CG726="L23",CG726="LIFT"),AT726&gt;0),SUMIFS($AT$7:$AT$1843,$CG$7:$CG$1843,CG726,$AX$7:$AX$1843,"&gt;"&amp;AX726)+SUMIFS($AT$7:$AT$1843,$CG$7:$CG$1843,CG726,$AX$7:$AX$1843,AX726,$BX$7:$BX$1843,"&lt;="&amp;BX726),"")</f>
        <v>21773.0060403344</v>
      </c>
      <c r="AZ726" s="70" t="n">
        <f aca="false">IF(AY726="",0,MAX(0,MIN(1,(IF(CG726="L1",Parameter!$H$5,IF(CG726="L23",Parameter!$H$6+Parameter!$H$7,Parameter!$H$5+Parameter!$H$6+Parameter!$H$7))-(AY726-AT726))/AT726)))</f>
        <v>1</v>
      </c>
      <c r="BA726" s="62" t="n">
        <f aca="false">IF(LEFT(Cockpit!$O$5,1)="A",H726,IF(Parameter!$E$30="MAX-Bestand",IF(CI726=1,CJ726,IF(LEFT(Cockpit!$O$5,1)="B",BG726,MAX(BG726,H726))),ROUNDUP(BE726,0)))</f>
        <v>1</v>
      </c>
      <c r="BB726" s="62" t="n">
        <f aca="false">IF(CA726=1,0,ROUNDUP(BA726/BZ726,0))</f>
        <v>1</v>
      </c>
      <c r="BC726" s="64" t="n">
        <f aca="false">IF(CR726&gt;0,CR726*MAX(1,BA726/X726),IF(CA726=1,IF(BA726&lt;=0,0,CE726*MAX(1,IF(H726&gt;0,BA726/H726,1))),IF(R726&gt;0,BB726/R726,0))/MAX(0.1,N(Parameter!$M$21)))</f>
        <v>0.0833333333333333</v>
      </c>
      <c r="BD726" s="62" t="n">
        <f aca="false">BC726*CC726</f>
        <v>12.0833333333333</v>
      </c>
      <c r="BE726" s="63" t="n">
        <f aca="false">IF(LEFT(Cockpit!$O$5,1)="A",H726,IF(CI726=1,(CL726+CJ726)/2,IF(LEFT(Cockpit!$O$5,1)="B",(CL726+BG726)/2,MAX((CL726+BG726)/2,H726))))</f>
        <v>0.5</v>
      </c>
      <c r="BF726" s="62" t="n">
        <f aca="false">BE726*G726</f>
        <v>233.55</v>
      </c>
      <c r="BG726" s="62" t="n">
        <f aca="false">ROUNDUP(CL726+MAX(CM726,2*(J726/IF(CH726&gt;0,CH726,MAX(0.1,N(Cockpit!$O$6)))-CL726)),0)</f>
        <v>1</v>
      </c>
      <c r="BH726" s="63" t="n">
        <f aca="false">IF(BD726&gt;0,J726/BD726,-1)</f>
        <v>0.0827586206896552</v>
      </c>
      <c r="BI726" s="63" t="n">
        <f aca="false">IF(AND(OR(CG726="L1",CG726="L23",CG726="LIFT"),BD726&gt;0),SUMIFS($BD$7:$BD$1843,$CG$7:$CG$1843,CG726,$BH$7:$BH$1843,"&gt;"&amp;BH726)+SUMIFS($BD$7:$BD$1843,$CG$7:$CG$1843,CG726,$BH$7:$BH$1843,BH726,$BX$7:$BX$1843,"&lt;="&amp;BX726),"")</f>
        <v>18311.0622426067</v>
      </c>
      <c r="BJ726" s="70" t="n">
        <f aca="false">IF(BI726="",0,MAX(0,MIN(1,(IF(CG726="L1",Parameter!$H$5,IF(CG726="L23",Parameter!$H$6+Parameter!$H$7,Parameter!$H$5+Parameter!$H$6+Parameter!$H$7))-(BI726-BD726))/BD726)))</f>
        <v>1</v>
      </c>
      <c r="BK726" s="60" t="str">
        <f aca="false">IF(AJ726&lt;=0,"",IF(CG726="Aussen","Aussenlager",IF(CG726="-","Nicht im Lift",IF(AP726&gt;=1,"Lift",IF(AP726&lt;=0,"Aussenlager","teilweise")))))</f>
        <v/>
      </c>
      <c r="BL726" s="60" t="str">
        <f aca="false">IF(AT726&lt;=0,"",IF(CG726="Aussen","Aussenlager",IF(CG726="-","Nicht im Lift",IF(AZ726&gt;=1,"Lift",IF(AZ726&lt;=0,"Aussenlager","teilweise")))))</f>
        <v>Lift</v>
      </c>
      <c r="BM726" s="60" t="str">
        <f aca="false">IF(BD726&lt;=0,"",IF(CG726="Aussen","Aussenlager",IF(CG726="-","Nicht im Lift",IF(BJ726&gt;=1,"Lift",IF(BJ726&lt;=0,"Aussenlager","teilweise")))))</f>
        <v>Lift</v>
      </c>
      <c r="BN726" s="60" t="str">
        <f aca="false">IF(A726="","",IF(BW726=1,"Neu; ","")&amp;IF(AND(BW726=0,BR726&lt;0),"negativer Bestand (Export "&amp;BR726&amp;"); ","")&amp;IF(J726&lt;=0,"Kein Verbrauch; ","")&amp;IF(CR726&gt;0,"Lift "&amp;W726&amp;" lt. Liftbericht (Fach "&amp;X726&amp;" Stk); ",IF(CB726=1,"Gebinde geschätzt ("&amp;T726&amp;"); ",IF(CA726=1,"Lose – Tablare geschätzt; ","")))&amp;IF(H726&gt;AW726,"Überbestand "&amp;ROUND(H726-AW726,0)&amp;" Stk / CHF "&amp;ROUND((H726-AW726)*G726,0)&amp;"; ","")&amp;IF(AND(CI726=1,CJ726&lt;CK726),"MAX &lt; MB+LG; ","")&amp;IF(AND(CQ726&gt;0,CP726*10&gt;CQ726),"zu hoch für Tablar; ","")&amp;IF(AND(BW726=0,OR(CI726=1,AB726&lt;&gt;"",U726&lt;&gt;"",V726&lt;&gt;"",AC726&lt;&gt;"")),"manuell übersteuert; ","")&amp;IF(AND(CA726=0,R726=0),"Gebinde unbekannt / Stellmass fehlt; ","")&amp;IF(AND(CA726=0,N(V726)&lt;=0,N(Q726)&lt;=0),"Menge pro Gebinde fehlt (Ist = 1 Gebinde); ","")&amp;BV726)</f>
        <v>Gebinde geschätzt (Mittel); Menge pro Gebinde fehlt (Ist = 1 Gebinde); </v>
      </c>
      <c r="BO726" s="60"/>
      <c r="BP726" s="60"/>
      <c r="BQ726" s="67"/>
      <c r="BR726" s="62" t="n">
        <v>0</v>
      </c>
      <c r="BS726" s="62" t="n">
        <v>0</v>
      </c>
      <c r="BT726" s="61" t="n">
        <v>0</v>
      </c>
      <c r="BU726" s="62" t="n">
        <v>1</v>
      </c>
      <c r="BV726" s="60"/>
      <c r="BW726" s="65" t="n">
        <v>0</v>
      </c>
      <c r="BX726" s="65" t="n">
        <v>726</v>
      </c>
      <c r="BY726" s="60" t="str">
        <f aca="false">IF(U726&lt;&gt;"",UPPER(TRIM(U726)),IF(CB726=1,UPPER(VLOOKUP(T726,Parameter!$I$27:$K$29,2,0)),IF(P726="","LOSE",P726)))</f>
        <v>S61</v>
      </c>
      <c r="BZ726" s="62" t="n">
        <f aca="false">IF(BY726="LOSE",1,IF(N(V726)&gt;0,V726,IF(CB726=1,MAX(1,N(VLOOKUP(T726,Parameter!$I$27:$K$29,3,0)),H726,N(N726)),IF(N(Q726)&gt;0,Q726,MAX(1,H726)))))</f>
        <v>4</v>
      </c>
      <c r="CA726" s="65" t="n">
        <f aca="false">IF(BY726="LOSE",1,0)</f>
        <v>0</v>
      </c>
      <c r="CB726" s="65" t="n">
        <f aca="false">IF(AND(U726="",OR(P726="",P726="LOSE"),T726&lt;&gt;"",N(S726)&lt;=0,ISNUMBER(MATCH(T726,Parameter!$I$27:$I$29,0))),1,0)</f>
        <v>1</v>
      </c>
      <c r="CC726" s="65" t="n">
        <f aca="false">IF(CR726&gt;0,INDEX(Parameter!$H$5:$H$7,W726)/INDEX(Parameter!$E$5:$E$7,W726),IF(AND(CA726=0,N(IFERROR(VLOOKUP(BY726,'Gebinde-Kategorie'!$A$5:$N$45,14,0),0))&gt;0),VLOOKUP(BY726,'Gebinde-Kategorie'!$A$5:$N$45,14,0)*10+Parameter!$M$23,Parameter!$M$24))</f>
        <v>145</v>
      </c>
      <c r="CD726" s="60" t="str">
        <f aca="false">IF(AND(Parameter!$B$19="Ja",E726&lt;&gt;"",ISNUMBER(MATCH(E726,Parameter!$I$35:$I$52,0))),VLOOKUP(E726,Parameter!$I$35:$J$52,2,0),IFERROR(VLOOKUP(D726,Parameter!$A$35:$C$64,2,0),"Nein"))</f>
        <v>2+3</v>
      </c>
      <c r="CE726" s="64" t="n">
        <f aca="false">IF(CA726=0,0,IF(N(S726)&gt;0,S726,IFERROR(VLOOKUP(D726,Parameter!$A$35:$C$64,3,0)+0,0)))</f>
        <v>0</v>
      </c>
      <c r="CF726" s="60" t="n">
        <f aca="false">IF(AB726&lt;&gt;"",AB726,AA726)</f>
        <v>3</v>
      </c>
      <c r="CG726" s="60" t="str">
        <f aca="false">IF(OR(CF726=1,CF726=2,CF726=3),IF(Parameter!$E$27="Ja","LIFT",IF(CF726=1,"L1","L23")),IF(CF726="Aussen","Aussen","-"))</f>
        <v>LIFT</v>
      </c>
      <c r="CH726" s="71" t="n">
        <f aca="false">IF(N(AC726)&gt;0,AC726,0)</f>
        <v>0</v>
      </c>
      <c r="CI726" s="65" t="n">
        <f aca="false">IF(ISNUMBER(AF726),1,0)</f>
        <v>0</v>
      </c>
      <c r="CJ726" s="62" t="n">
        <f aca="false">N(AF726)</f>
        <v>0</v>
      </c>
      <c r="CK726" s="62" t="n">
        <f aca="false">N(M726)+N(N726)</f>
        <v>1</v>
      </c>
      <c r="CL726" s="62" t="n">
        <f aca="false">N(M726)</f>
        <v>0</v>
      </c>
      <c r="CM726" s="62" t="n">
        <f aca="false">N(N726)</f>
        <v>1</v>
      </c>
      <c r="CN726" s="62" t="n">
        <f aca="false">ROUNDUP(H726/BZ726,0)</f>
        <v>0</v>
      </c>
      <c r="CO726" s="62" t="n">
        <f aca="false">ROUNDUP(CJ726/BZ726,0)</f>
        <v>0</v>
      </c>
      <c r="CP726" s="65" t="n">
        <f aca="false">IF(CA726=1,0,IFERROR(VLOOKUP(BY726,'Gebinde-Kategorie'!$A$5:$N$45,5,0)+0,0))</f>
        <v>11</v>
      </c>
      <c r="CQ726" s="65" t="n">
        <f aca="false">IFERROR(IF(OR(CF726=1,CF726=2,CF726=3),N(INDEX(Parameter!$I$5:$I$7,CF726)),0),0)</f>
        <v>0</v>
      </c>
      <c r="CR726" s="64" t="n">
        <f aca="false">IF(AND(Parameter!$B$21="Ja",ISNUMBER(W726),N(X726)&gt;0),IFERROR(N(INDEX(Parameter!$L$5:$L$7,W726))*INDEX(Parameter!$E$5:$E$7,W726)*X726/SUMIFS($X$7:$X$1843,$W$7:$W$1843,W726),0),0)</f>
        <v>0</v>
      </c>
      <c r="CS726" s="62" t="str">
        <f aca="false">IF(AND(OR(CG726="L1",CG726="L23",CG726="LIFT"),H726&gt;0),CC726*IF(CR726&gt;0,CR726*MAX(1,H726/X726),IF(CA726=1,CE726,IF(R726&gt;0,CN726/R726,0))/MAX(0.1,N(Parameter!$M$21))),"")</f>
        <v/>
      </c>
      <c r="CT726" s="64" t="str">
        <f aca="false">IF(CS726="","",J726/H726)</f>
        <v/>
      </c>
      <c r="CU726" s="62" t="str">
        <f aca="false">IF(CS726="","",H726*G726)</f>
        <v/>
      </c>
      <c r="CV726" s="63" t="str">
        <f aca="false">IF(CS726="","",(CL726+ROUNDUP(CL726+MAX(CM726,2*(J726/MAX(0.1,N(Einkauf!$C$6))-CL726)),0))/2)</f>
        <v/>
      </c>
      <c r="CW726" s="62" t="str">
        <f aca="false">IF(CS726="","",MAX(0,H726-CV726)*G726)</f>
        <v/>
      </c>
      <c r="CX726" s="62" t="str">
        <f aca="false">IF(CS726="","",CS726*MAX(0,1-CV726/H726))</f>
        <v/>
      </c>
      <c r="CY726" s="64" t="str">
        <f aca="false">IF(CS726="","",PERCENTRANK($CS$7:$CS$1843,CS726)+PERCENTRANK($CU$7:$CU$1843,CU726)+1-PERCENTRANK($CT$7:$CT$1843,CT726))</f>
        <v/>
      </c>
      <c r="CZ726" s="72" t="str">
        <f aca="false">IF(CS726="","",CHOOSE(MATCH(Einkauf!$C$5,Parameter!$G$23:$G$27,0),CY726,CS726,CU726,-CT726,CW726)+ROW()/1000000000)</f>
        <v/>
      </c>
    </row>
    <row r="727" customFormat="false" ht="15" hidden="false" customHeight="false" outlineLevel="0" collapsed="false">
      <c r="A727" s="60" t="s">
        <v>1484</v>
      </c>
      <c r="B727" s="60" t="s">
        <v>1485</v>
      </c>
      <c r="C727" s="60" t="s">
        <v>206</v>
      </c>
      <c r="D727" s="60" t="s">
        <v>226</v>
      </c>
      <c r="E727" s="60" t="s">
        <v>227</v>
      </c>
      <c r="F727" s="60" t="s">
        <v>260</v>
      </c>
      <c r="G727" s="61" t="n">
        <v>141.03</v>
      </c>
      <c r="H727" s="62" t="n">
        <f aca="false">MAX(0,IF(AND(Parameter!$B$21="Ja",ISNUMBER(Y727)),Y727,IF(Parameter!$B$20="Jahresanfang 2025 + Export",BS727+BR727,BR727)))</f>
        <v>12</v>
      </c>
      <c r="I727" s="62" t="n">
        <f aca="false">H727*G727</f>
        <v>1692.36</v>
      </c>
      <c r="J727" s="62" t="n">
        <f aca="false">BU727*Parameter!$B$18</f>
        <v>1</v>
      </c>
      <c r="K727" s="63" t="n">
        <v>11.5</v>
      </c>
      <c r="L727" s="64" t="n">
        <v>0.0869565217391304</v>
      </c>
      <c r="M727" s="62" t="n">
        <v>0</v>
      </c>
      <c r="N727" s="62" t="n">
        <v>1</v>
      </c>
      <c r="O727" s="65" t="n">
        <v>28</v>
      </c>
      <c r="P727" s="60" t="s">
        <v>344</v>
      </c>
      <c r="Q727" s="62" t="n">
        <v>15</v>
      </c>
      <c r="R727" s="65" t="n">
        <f aca="false">IF(CA727=1,0,IFERROR(VLOOKUP(BY727,'Gebinde-Kategorie'!$A$5:$N$45,13,0)+0,0))</f>
        <v>26</v>
      </c>
      <c r="S727" s="66"/>
      <c r="T727" s="67"/>
      <c r="U727" s="67"/>
      <c r="V727" s="67"/>
      <c r="W727" s="60"/>
      <c r="X727" s="62"/>
      <c r="Y727" s="62"/>
      <c r="Z727" s="60" t="n">
        <v>3</v>
      </c>
      <c r="AA727" s="60" t="n">
        <f aca="false">IF(A727="","",IF(AND(Parameter!$B$21="Ja",ISNUMBER(W727)),W727,IF(AND(Parameter!$E$27="Ja",ISNUMBER(Z727),CD727&lt;&gt;"Nein"),Z727,IF(CD727="2+3",IF(ISNUMBER(SEARCH("grosser Artikel",BV727)),2,IFERROR(VLOOKUP(BY727,Parameter!$F$35:$G$64,2,0),2)),IF(OR(CD727="Nein",CD727=""),"-",CD727)))))</f>
        <v>3</v>
      </c>
      <c r="AB727" s="67"/>
      <c r="AC727" s="68"/>
      <c r="AD727" s="62" t="n">
        <f aca="false">AW727</f>
        <v>1</v>
      </c>
      <c r="AE727" s="62" t="n">
        <f aca="false">MAX(AW727,H727)</f>
        <v>12</v>
      </c>
      <c r="AF727" s="69"/>
      <c r="AG727" s="62" t="n">
        <f aca="false">IF(LEFT(Cockpit!$C$5,1)="A",H727,IF(Parameter!$E$30="MAX-Bestand",IF(CI727=1,CJ727,IF(LEFT(Cockpit!$C$5,1)="B",AM727,MAX(AM727,H727))),ROUNDUP(AK727,0)))</f>
        <v>12</v>
      </c>
      <c r="AH727" s="62" t="n">
        <f aca="false">IF(CA727=1,0,ROUNDUP(AG727/BZ727,0))</f>
        <v>1</v>
      </c>
      <c r="AI727" s="64" t="n">
        <f aca="false">IF(CR727&gt;0,CR727*MAX(1,AG727/X727),IF(CA727=1,IF(AG727&lt;=0,0,CE727*MAX(1,IF(H727&gt;0,AG727/H727,1))),IF(R727&gt;0,AH727/R727,0))/MAX(0.1,N(Parameter!$M$21)))</f>
        <v>0.0384615384615385</v>
      </c>
      <c r="AJ727" s="62" t="n">
        <f aca="false">AI727*CC727</f>
        <v>5.96153846153846</v>
      </c>
      <c r="AK727" s="63" t="n">
        <f aca="false">IF(LEFT(Cockpit!$C$5,1)="A",H727,IF(CI727=1,(CL727+CJ727)/2,IF(LEFT(Cockpit!$C$5,1)="B",(CL727+AM727)/2,MAX((CL727+AM727)/2,H727))))</f>
        <v>12</v>
      </c>
      <c r="AL727" s="62" t="n">
        <f aca="false">AK727*G727</f>
        <v>1692.36</v>
      </c>
      <c r="AM727" s="62" t="n">
        <f aca="false">ROUNDUP(CL727+MAX(CM727,2*(J727/IF(CH727&gt;0,CH727,MAX(0.1,N(Cockpit!$C$6)))-CL727)),0)</f>
        <v>1</v>
      </c>
      <c r="AN727" s="63" t="n">
        <f aca="false">IF(AJ727&gt;0,J727/AJ727,-1)</f>
        <v>0.167741935483871</v>
      </c>
      <c r="AO727" s="63" t="n">
        <f aca="false">IF(AND(OR(CG727="L1",CG727="L23",CG727="LIFT"),AJ727&gt;0),SUMIFS($AJ$7:$AJ$1843,$CG$7:$CG$1843,CG727,$AN$7:$AN$1843,"&gt;"&amp;AN727)+SUMIFS($AJ$7:$AJ$1843,$CG$7:$CG$1843,CG727,$AN$7:$AN$1843,AN727,$BX$7:$BX$1843,"&lt;="&amp;BX727),"")</f>
        <v>12715.5029516152</v>
      </c>
      <c r="AP727" s="70" t="n">
        <f aca="false">IF(AO727="",0,MAX(0,MIN(1,(IF(CG727="L1",Parameter!$H$5,IF(CG727="L23",Parameter!$H$6+Parameter!$H$7,Parameter!$H$5+Parameter!$H$6+Parameter!$H$7))-(AO727-AJ727))/AJ727)))</f>
        <v>1</v>
      </c>
      <c r="AQ727" s="62" t="n">
        <f aca="false">IF(LEFT(Cockpit!$I$5,1)="A",H727,IF(Parameter!$E$30="MAX-Bestand",IF(CI727=1,CJ727,IF(LEFT(Cockpit!$I$5,1)="B",AW727,MAX(AW727,H727))),ROUNDUP(AU727,0)))</f>
        <v>12</v>
      </c>
      <c r="AR727" s="62" t="n">
        <f aca="false">IF(CA727=1,0,ROUNDUP(AQ727/BZ727,0))</f>
        <v>1</v>
      </c>
      <c r="AS727" s="64" t="n">
        <f aca="false">IF(CR727&gt;0,CR727*MAX(1,AQ727/X727),IF(CA727=1,IF(AQ727&lt;=0,0,CE727*MAX(1,IF(H727&gt;0,AQ727/H727,1))),IF(R727&gt;0,AR727/R727,0))/MAX(0.1,N(Parameter!$M$21)))</f>
        <v>0.0384615384615385</v>
      </c>
      <c r="AT727" s="62" t="n">
        <f aca="false">AS727*CC727</f>
        <v>5.96153846153846</v>
      </c>
      <c r="AU727" s="63" t="n">
        <f aca="false">IF(LEFT(Cockpit!$I$5,1)="A",H727,IF(CI727=1,(CL727+CJ727)/2,IF(LEFT(Cockpit!$I$5,1)="B",(CL727+AW727)/2,MAX((CL727+AW727)/2,H727))))</f>
        <v>12</v>
      </c>
      <c r="AV727" s="62" t="n">
        <f aca="false">AU727*G727</f>
        <v>1692.36</v>
      </c>
      <c r="AW727" s="62" t="n">
        <f aca="false">ROUNDUP(CL727+MAX(CM727,2*(J727/IF(CH727&gt;0,CH727,MAX(0.1,N(Cockpit!$I$6)))-CL727)),0)</f>
        <v>1</v>
      </c>
      <c r="AX727" s="63" t="n">
        <f aca="false">IF(AT727&gt;0,J727/AT727,-1)</f>
        <v>0.167741935483871</v>
      </c>
      <c r="AY727" s="63" t="n">
        <f aca="false">IF(AND(OR(CG727="L1",CG727="L23",CG727="LIFT"),AT727&gt;0),SUMIFS($AT$7:$AT$1843,$CG$7:$CG$1843,CG727,$AX$7:$AX$1843,"&gt;"&amp;AX727)+SUMIFS($AT$7:$AT$1843,$CG$7:$CG$1843,CG727,$AX$7:$AX$1843,AX727,$BX$7:$BX$1843,"&lt;="&amp;BX727),"")</f>
        <v>15644.1836080586</v>
      </c>
      <c r="AZ727" s="70" t="n">
        <f aca="false">IF(AY727="",0,MAX(0,MIN(1,(IF(CG727="L1",Parameter!$H$5,IF(CG727="L23",Parameter!$H$6+Parameter!$H$7,Parameter!$H$5+Parameter!$H$6+Parameter!$H$7))-(AY727-AT727))/AT727)))</f>
        <v>1</v>
      </c>
      <c r="BA727" s="62" t="n">
        <f aca="false">IF(LEFT(Cockpit!$O$5,1)="A",H727,IF(Parameter!$E$30="MAX-Bestand",IF(CI727=1,CJ727,IF(LEFT(Cockpit!$O$5,1)="B",BG727,MAX(BG727,H727))),ROUNDUP(BE727,0)))</f>
        <v>1</v>
      </c>
      <c r="BB727" s="62" t="n">
        <f aca="false">IF(CA727=1,0,ROUNDUP(BA727/BZ727,0))</f>
        <v>1</v>
      </c>
      <c r="BC727" s="64" t="n">
        <f aca="false">IF(CR727&gt;0,CR727*MAX(1,BA727/X727),IF(CA727=1,IF(BA727&lt;=0,0,CE727*MAX(1,IF(H727&gt;0,BA727/H727,1))),IF(R727&gt;0,BB727/R727,0))/MAX(0.1,N(Parameter!$M$21)))</f>
        <v>0.0384615384615385</v>
      </c>
      <c r="BD727" s="62" t="n">
        <f aca="false">BC727*CC727</f>
        <v>5.96153846153846</v>
      </c>
      <c r="BE727" s="63" t="n">
        <f aca="false">IF(LEFT(Cockpit!$O$5,1)="A",H727,IF(CI727=1,(CL727+CJ727)/2,IF(LEFT(Cockpit!$O$5,1)="B",(CL727+BG727)/2,MAX((CL727+BG727)/2,H727))))</f>
        <v>0.5</v>
      </c>
      <c r="BF727" s="62" t="n">
        <f aca="false">BE727*G727</f>
        <v>70.515</v>
      </c>
      <c r="BG727" s="62" t="n">
        <f aca="false">ROUNDUP(CL727+MAX(CM727,2*(J727/IF(CH727&gt;0,CH727,MAX(0.1,N(Cockpit!$O$6)))-CL727)),0)</f>
        <v>1</v>
      </c>
      <c r="BH727" s="63" t="n">
        <f aca="false">IF(BD727&gt;0,J727/BD727,-1)</f>
        <v>0.167741935483871</v>
      </c>
      <c r="BI727" s="63" t="n">
        <f aca="false">IF(AND(OR(CG727="L1",CG727="L23",CG727="LIFT"),BD727&gt;0),SUMIFS($BD$7:$BD$1843,$CG$7:$CG$1843,CG727,$BH$7:$BH$1843,"&gt;"&amp;BH727)+SUMIFS($BD$7:$BD$1843,$CG$7:$CG$1843,CG727,$BH$7:$BH$1843,BH727,$BX$7:$BX$1843,"&lt;="&amp;BX727),"")</f>
        <v>13446.4834362906</v>
      </c>
      <c r="BJ727" s="70" t="n">
        <f aca="false">IF(BI727="",0,MAX(0,MIN(1,(IF(CG727="L1",Parameter!$H$5,IF(CG727="L23",Parameter!$H$6+Parameter!$H$7,Parameter!$H$5+Parameter!$H$6+Parameter!$H$7))-(BI727-BD727))/BD727)))</f>
        <v>1</v>
      </c>
      <c r="BK727" s="60" t="str">
        <f aca="false">IF(AJ727&lt;=0,"",IF(CG727="Aussen","Aussenlager",IF(CG727="-","Nicht im Lift",IF(AP727&gt;=1,"Lift",IF(AP727&lt;=0,"Aussenlager","teilweise")))))</f>
        <v>Lift</v>
      </c>
      <c r="BL727" s="60" t="str">
        <f aca="false">IF(AT727&lt;=0,"",IF(CG727="Aussen","Aussenlager",IF(CG727="-","Nicht im Lift",IF(AZ727&gt;=1,"Lift",IF(AZ727&lt;=0,"Aussenlager","teilweise")))))</f>
        <v>Lift</v>
      </c>
      <c r="BM727" s="60" t="str">
        <f aca="false">IF(BD727&lt;=0,"",IF(CG727="Aussen","Aussenlager",IF(CG727="-","Nicht im Lift",IF(BJ727&gt;=1,"Lift",IF(BJ727&lt;=0,"Aussenlager","teilweise")))))</f>
        <v>Lift</v>
      </c>
      <c r="BN727" s="60" t="str">
        <f aca="false">IF(A727="","",IF(BW727=1,"Neu; ","")&amp;IF(AND(BW727=0,BR727&lt;0),"negativer Bestand (Export "&amp;BR727&amp;"); ","")&amp;IF(J727&lt;=0,"Kein Verbrauch; ","")&amp;IF(CR727&gt;0,"Lift "&amp;W727&amp;" lt. Liftbericht (Fach "&amp;X727&amp;" Stk); ",IF(CB727=1,"Gebinde geschätzt ("&amp;T727&amp;"); ",IF(CA727=1,"Lose – Tablare geschätzt; ","")))&amp;IF(H727&gt;AW727,"Überbestand "&amp;ROUND(H727-AW727,0)&amp;" Stk / CHF "&amp;ROUND((H727-AW727)*G727,0)&amp;"; ","")&amp;IF(AND(CI727=1,CJ727&lt;CK727),"MAX &lt; MB+LG; ","")&amp;IF(AND(CQ727&gt;0,CP727*10&gt;CQ727),"zu hoch für Tablar; ","")&amp;IF(AND(BW727=0,OR(CI727=1,AB727&lt;&gt;"",U727&lt;&gt;"",V727&lt;&gt;"",AC727&lt;&gt;"")),"manuell übersteuert; ","")&amp;IF(AND(CA727=0,R727=0),"Gebinde unbekannt / Stellmass fehlt; ","")&amp;IF(AND(CA727=0,N(V727)&lt;=0,N(Q727)&lt;=0),"Menge pro Gebinde fehlt (Ist = 1 Gebinde); ","")&amp;BV727)</f>
        <v>Überbestand 11 Stk / CHF 1551; </v>
      </c>
      <c r="BO727" s="60"/>
      <c r="BP727" s="60"/>
      <c r="BQ727" s="67"/>
      <c r="BR727" s="62" t="n">
        <v>0</v>
      </c>
      <c r="BS727" s="62" t="n">
        <v>12</v>
      </c>
      <c r="BT727" s="61" t="n">
        <v>0</v>
      </c>
      <c r="BU727" s="62" t="n">
        <v>1</v>
      </c>
      <c r="BV727" s="60"/>
      <c r="BW727" s="65" t="n">
        <v>0</v>
      </c>
      <c r="BX727" s="65" t="n">
        <v>727</v>
      </c>
      <c r="BY727" s="60" t="str">
        <f aca="false">IF(U727&lt;&gt;"",UPPER(TRIM(U727)),IF(CB727=1,UPPER(VLOOKUP(T727,Parameter!$I$27:$K$29,2,0)),IF(P727="","LOSE",P727)))</f>
        <v>S51</v>
      </c>
      <c r="BZ727" s="62" t="n">
        <f aca="false">IF(BY727="LOSE",1,IF(N(V727)&gt;0,V727,IF(CB727=1,MAX(1,N(VLOOKUP(T727,Parameter!$I$27:$K$29,3,0)),H727,N(N727)),IF(N(Q727)&gt;0,Q727,MAX(1,H727)))))</f>
        <v>15</v>
      </c>
      <c r="CA727" s="65" t="n">
        <f aca="false">IF(BY727="LOSE",1,0)</f>
        <v>0</v>
      </c>
      <c r="CB727" s="65" t="n">
        <f aca="false">IF(AND(U727="",OR(P727="",P727="LOSE"),T727&lt;&gt;"",N(S727)&lt;=0,ISNUMBER(MATCH(T727,Parameter!$I$27:$I$29,0))),1,0)</f>
        <v>0</v>
      </c>
      <c r="CC727" s="65" t="n">
        <f aca="false">IF(CR727&gt;0,INDEX(Parameter!$H$5:$H$7,W727)/INDEX(Parameter!$E$5:$E$7,W727),IF(AND(CA727=0,N(IFERROR(VLOOKUP(BY727,'Gebinde-Kategorie'!$A$5:$N$45,14,0),0))&gt;0),VLOOKUP(BY727,'Gebinde-Kategorie'!$A$5:$N$45,14,0)*10+Parameter!$M$23,Parameter!$M$24))</f>
        <v>155</v>
      </c>
      <c r="CD727" s="60" t="str">
        <f aca="false">IF(AND(Parameter!$B$19="Ja",E727&lt;&gt;"",ISNUMBER(MATCH(E727,Parameter!$I$35:$I$52,0))),VLOOKUP(E727,Parameter!$I$35:$J$52,2,0),IFERROR(VLOOKUP(D727,Parameter!$A$35:$C$64,2,0),"Nein"))</f>
        <v>2+3</v>
      </c>
      <c r="CE727" s="64" t="n">
        <f aca="false">IF(CA727=0,0,IF(N(S727)&gt;0,S727,IFERROR(VLOOKUP(D727,Parameter!$A$35:$C$64,3,0)+0,0)))</f>
        <v>0</v>
      </c>
      <c r="CF727" s="60" t="n">
        <f aca="false">IF(AB727&lt;&gt;"",AB727,AA727)</f>
        <v>3</v>
      </c>
      <c r="CG727" s="60" t="str">
        <f aca="false">IF(OR(CF727=1,CF727=2,CF727=3),IF(Parameter!$E$27="Ja","LIFT",IF(CF727=1,"L1","L23")),IF(CF727="Aussen","Aussen","-"))</f>
        <v>LIFT</v>
      </c>
      <c r="CH727" s="71" t="n">
        <f aca="false">IF(N(AC727)&gt;0,AC727,0)</f>
        <v>0</v>
      </c>
      <c r="CI727" s="65" t="n">
        <f aca="false">IF(ISNUMBER(AF727),1,0)</f>
        <v>0</v>
      </c>
      <c r="CJ727" s="62" t="n">
        <f aca="false">N(AF727)</f>
        <v>0</v>
      </c>
      <c r="CK727" s="62" t="n">
        <f aca="false">N(M727)+N(N727)</f>
        <v>1</v>
      </c>
      <c r="CL727" s="62" t="n">
        <f aca="false">N(M727)</f>
        <v>0</v>
      </c>
      <c r="CM727" s="62" t="n">
        <f aca="false">N(N727)</f>
        <v>1</v>
      </c>
      <c r="CN727" s="62" t="n">
        <f aca="false">ROUNDUP(H727/BZ727,0)</f>
        <v>1</v>
      </c>
      <c r="CO727" s="62" t="n">
        <f aca="false">ROUNDUP(CJ727/BZ727,0)</f>
        <v>0</v>
      </c>
      <c r="CP727" s="65" t="n">
        <f aca="false">IF(CA727=1,0,IFERROR(VLOOKUP(BY727,'Gebinde-Kategorie'!$A$5:$N$45,5,0)+0,0))</f>
        <v>11</v>
      </c>
      <c r="CQ727" s="65" t="n">
        <f aca="false">IFERROR(IF(OR(CF727=1,CF727=2,CF727=3),N(INDEX(Parameter!$I$5:$I$7,CF727)),0),0)</f>
        <v>0</v>
      </c>
      <c r="CR727" s="64" t="n">
        <f aca="false">IF(AND(Parameter!$B$21="Ja",ISNUMBER(W727),N(X727)&gt;0),IFERROR(N(INDEX(Parameter!$L$5:$L$7,W727))*INDEX(Parameter!$E$5:$E$7,W727)*X727/SUMIFS($X$7:$X$1843,$W$7:$W$1843,W727),0),0)</f>
        <v>0</v>
      </c>
      <c r="CS727" s="62" t="n">
        <f aca="false">IF(AND(OR(CG727="L1",CG727="L23",CG727="LIFT"),H727&gt;0),CC727*IF(CR727&gt;0,CR727*MAX(1,H727/X727),IF(CA727=1,CE727,IF(R727&gt;0,CN727/R727,0))/MAX(0.1,N(Parameter!$M$21))),"")</f>
        <v>5.96153846153846</v>
      </c>
      <c r="CT727" s="64" t="n">
        <f aca="false">IF(CS727="","",J727/H727)</f>
        <v>0.0833333333333333</v>
      </c>
      <c r="CU727" s="62" t="n">
        <f aca="false">IF(CS727="","",H727*G727)</f>
        <v>1692.36</v>
      </c>
      <c r="CV727" s="63" t="n">
        <f aca="false">IF(CS727="","",(CL727+ROUNDUP(CL727+MAX(CM727,2*(J727/MAX(0.1,N(Einkauf!$C$6))-CL727)),0))/2)</f>
        <v>0.5</v>
      </c>
      <c r="CW727" s="62" t="n">
        <f aca="false">IF(CS727="","",MAX(0,H727-CV727)*G727)</f>
        <v>1621.845</v>
      </c>
      <c r="CX727" s="62" t="n">
        <f aca="false">IF(CS727="","",CS727*MAX(0,1-CV727/H727))</f>
        <v>5.71314102564103</v>
      </c>
      <c r="CY727" s="64" t="n">
        <f aca="false">IF(CS727="","",PERCENTRANK($CS$7:$CS$1843,CS727)+PERCENTRANK($CU$7:$CU$1843,CU727)+1-PERCENTRANK($CT$7:$CT$1843,CT727))</f>
        <v>1.674</v>
      </c>
      <c r="CZ727" s="72" t="n">
        <f aca="false">IF(CS727="","",CHOOSE(MATCH(Einkauf!$C$5,Parameter!$G$23:$G$27,0),CY727,CS727,CU727,-CT727,CW727)+ROW()/1000000000)</f>
        <v>1.674000727</v>
      </c>
    </row>
    <row r="728" customFormat="false" ht="15" hidden="false" customHeight="false" outlineLevel="0" collapsed="false">
      <c r="A728" s="60" t="s">
        <v>1486</v>
      </c>
      <c r="B728" s="60" t="s">
        <v>1487</v>
      </c>
      <c r="C728" s="60" t="s">
        <v>206</v>
      </c>
      <c r="D728" s="60" t="s">
        <v>226</v>
      </c>
      <c r="E728" s="60"/>
      <c r="F728" s="60" t="s">
        <v>260</v>
      </c>
      <c r="G728" s="61" t="n">
        <v>0</v>
      </c>
      <c r="H728" s="62" t="n">
        <f aca="false">MAX(0,IF(AND(Parameter!$B$21="Ja",ISNUMBER(Y728)),Y728,IF(Parameter!$B$20="Jahresanfang 2025 + Export",BS728+BR728,BR728)))</f>
        <v>0</v>
      </c>
      <c r="I728" s="62" t="n">
        <f aca="false">H728*G728</f>
        <v>0</v>
      </c>
      <c r="J728" s="62" t="n">
        <f aca="false">BU728*Parameter!$B$18</f>
        <v>0</v>
      </c>
      <c r="K728" s="63" t="n">
        <v>0.5</v>
      </c>
      <c r="L728" s="64" t="n">
        <v>0</v>
      </c>
      <c r="M728" s="62" t="n">
        <v>0</v>
      </c>
      <c r="N728" s="62" t="n">
        <v>1</v>
      </c>
      <c r="O728" s="65" t="n">
        <v>14</v>
      </c>
      <c r="P728" s="60" t="s">
        <v>210</v>
      </c>
      <c r="Q728" s="62"/>
      <c r="R728" s="65" t="n">
        <f aca="false">IF(CA728=1,0,IFERROR(VLOOKUP(BY728,'Gebinde-Kategorie'!$A$5:$N$45,13,0)+0,0))</f>
        <v>26</v>
      </c>
      <c r="S728" s="66"/>
      <c r="T728" s="67" t="s">
        <v>317</v>
      </c>
      <c r="U728" s="67"/>
      <c r="V728" s="67"/>
      <c r="W728" s="60"/>
      <c r="X728" s="62"/>
      <c r="Y728" s="62"/>
      <c r="Z728" s="60" t="n">
        <v>3</v>
      </c>
      <c r="AA728" s="60" t="n">
        <f aca="false">IF(A728="","",IF(AND(Parameter!$B$21="Ja",ISNUMBER(W728)),W728,IF(AND(Parameter!$E$27="Ja",ISNUMBER(Z728),CD728&lt;&gt;"Nein"),Z728,IF(CD728="2+3",IF(ISNUMBER(SEARCH("grosser Artikel",BV728)),2,IFERROR(VLOOKUP(BY728,Parameter!$F$35:$G$64,2,0),2)),IF(OR(CD728="Nein",CD728=""),"-",CD728)))))</f>
        <v>3</v>
      </c>
      <c r="AB728" s="67"/>
      <c r="AC728" s="68"/>
      <c r="AD728" s="62" t="n">
        <f aca="false">AW728</f>
        <v>1</v>
      </c>
      <c r="AE728" s="62" t="n">
        <f aca="false">MAX(AW728,H728)</f>
        <v>1</v>
      </c>
      <c r="AF728" s="69"/>
      <c r="AG728" s="62" t="n">
        <f aca="false">IF(LEFT(Cockpit!$C$5,1)="A",H728,IF(Parameter!$E$30="MAX-Bestand",IF(CI728=1,CJ728,IF(LEFT(Cockpit!$C$5,1)="B",AM728,MAX(AM728,H728))),ROUNDUP(AK728,0)))</f>
        <v>0</v>
      </c>
      <c r="AH728" s="62" t="n">
        <f aca="false">IF(CA728=1,0,ROUNDUP(AG728/BZ728,0))</f>
        <v>0</v>
      </c>
      <c r="AI728" s="64" t="n">
        <f aca="false">IF(CR728&gt;0,CR728*MAX(1,AG728/X728),IF(CA728=1,IF(AG728&lt;=0,0,CE728*MAX(1,IF(H728&gt;0,AG728/H728,1))),IF(R728&gt;0,AH728/R728,0))/MAX(0.1,N(Parameter!$M$21)))</f>
        <v>0</v>
      </c>
      <c r="AJ728" s="62" t="n">
        <f aca="false">AI728*CC728</f>
        <v>0</v>
      </c>
      <c r="AK728" s="63" t="n">
        <f aca="false">IF(LEFT(Cockpit!$C$5,1)="A",H728,IF(CI728=1,(CL728+CJ728)/2,IF(LEFT(Cockpit!$C$5,1)="B",(CL728+AM728)/2,MAX((CL728+AM728)/2,H728))))</f>
        <v>0</v>
      </c>
      <c r="AL728" s="62" t="n">
        <f aca="false">AK728*G728</f>
        <v>0</v>
      </c>
      <c r="AM728" s="62" t="n">
        <f aca="false">ROUNDUP(CL728+MAX(CM728,2*(J728/IF(CH728&gt;0,CH728,MAX(0.1,N(Cockpit!$C$6)))-CL728)),0)</f>
        <v>1</v>
      </c>
      <c r="AN728" s="63" t="n">
        <f aca="false">IF(AJ728&gt;0,J728/AJ728,-1)</f>
        <v>-1</v>
      </c>
      <c r="AO728" s="63" t="str">
        <f aca="false">IF(AND(OR(CG728="L1",CG728="L23",CG728="LIFT"),AJ728&gt;0),SUMIFS($AJ$7:$AJ$1843,$CG$7:$CG$1843,CG728,$AN$7:$AN$1843,"&gt;"&amp;AN728)+SUMIFS($AJ$7:$AJ$1843,$CG$7:$CG$1843,CG728,$AN$7:$AN$1843,AN728,$BX$7:$BX$1843,"&lt;="&amp;BX728),"")</f>
        <v/>
      </c>
      <c r="AP728" s="70" t="n">
        <f aca="false">IF(AO728="",0,MAX(0,MIN(1,(IF(CG728="L1",Parameter!$H$5,IF(CG728="L23",Parameter!$H$6+Parameter!$H$7,Parameter!$H$5+Parameter!$H$6+Parameter!$H$7))-(AO728-AJ728))/AJ728)))</f>
        <v>0</v>
      </c>
      <c r="AQ728" s="62" t="n">
        <f aca="false">IF(LEFT(Cockpit!$I$5,1)="A",H728,IF(Parameter!$E$30="MAX-Bestand",IF(CI728=1,CJ728,IF(LEFT(Cockpit!$I$5,1)="B",AW728,MAX(AW728,H728))),ROUNDUP(AU728,0)))</f>
        <v>1</v>
      </c>
      <c r="AR728" s="62" t="n">
        <f aca="false">IF(CA728=1,0,ROUNDUP(AQ728/BZ728,0))</f>
        <v>1</v>
      </c>
      <c r="AS728" s="64" t="n">
        <f aca="false">IF(CR728&gt;0,CR728*MAX(1,AQ728/X728),IF(CA728=1,IF(AQ728&lt;=0,0,CE728*MAX(1,IF(H728&gt;0,AQ728/H728,1))),IF(R728&gt;0,AR728/R728,0))/MAX(0.1,N(Parameter!$M$21)))</f>
        <v>0.0384615384615385</v>
      </c>
      <c r="AT728" s="62" t="n">
        <f aca="false">AS728*CC728</f>
        <v>5.96153846153846</v>
      </c>
      <c r="AU728" s="63" t="n">
        <f aca="false">IF(LEFT(Cockpit!$I$5,1)="A",H728,IF(CI728=1,(CL728+CJ728)/2,IF(LEFT(Cockpit!$I$5,1)="B",(CL728+AW728)/2,MAX((CL728+AW728)/2,H728))))</f>
        <v>0.5</v>
      </c>
      <c r="AV728" s="62" t="n">
        <f aca="false">AU728*G728</f>
        <v>0</v>
      </c>
      <c r="AW728" s="62" t="n">
        <f aca="false">ROUNDUP(CL728+MAX(CM728,2*(J728/IF(CH728&gt;0,CH728,MAX(0.1,N(Cockpit!$I$6)))-CL728)),0)</f>
        <v>1</v>
      </c>
      <c r="AX728" s="63" t="n">
        <f aca="false">IF(AT728&gt;0,J728/AT728,-1)</f>
        <v>0</v>
      </c>
      <c r="AY728" s="63" t="n">
        <f aca="false">IF(AND(OR(CG728="L1",CG728="L23",CG728="LIFT"),AT728&gt;0),SUMIFS($AT$7:$AT$1843,$CG$7:$CG$1843,CG728,$AX$7:$AX$1843,"&gt;"&amp;AX728)+SUMIFS($AT$7:$AT$1843,$CG$7:$CG$1843,CG728,$AX$7:$AX$1843,AX728,$BX$7:$BX$1843,"&lt;="&amp;BX728),"")</f>
        <v>34186.7646520147</v>
      </c>
      <c r="AZ728" s="70" t="n">
        <f aca="false">IF(AY728="",0,MAX(0,MIN(1,(IF(CG728="L1",Parameter!$H$5,IF(CG728="L23",Parameter!$H$6+Parameter!$H$7,Parameter!$H$5+Parameter!$H$6+Parameter!$H$7))-(AY728-AT728))/AT728)))</f>
        <v>1</v>
      </c>
      <c r="BA728" s="62" t="n">
        <f aca="false">IF(LEFT(Cockpit!$O$5,1)="A",H728,IF(Parameter!$E$30="MAX-Bestand",IF(CI728=1,CJ728,IF(LEFT(Cockpit!$O$5,1)="B",BG728,MAX(BG728,H728))),ROUNDUP(BE728,0)))</f>
        <v>1</v>
      </c>
      <c r="BB728" s="62" t="n">
        <f aca="false">IF(CA728=1,0,ROUNDUP(BA728/BZ728,0))</f>
        <v>1</v>
      </c>
      <c r="BC728" s="64" t="n">
        <f aca="false">IF(CR728&gt;0,CR728*MAX(1,BA728/X728),IF(CA728=1,IF(BA728&lt;=0,0,CE728*MAX(1,IF(H728&gt;0,BA728/H728,1))),IF(R728&gt;0,BB728/R728,0))/MAX(0.1,N(Parameter!$M$21)))</f>
        <v>0.0384615384615385</v>
      </c>
      <c r="BD728" s="62" t="n">
        <f aca="false">BC728*CC728</f>
        <v>5.96153846153846</v>
      </c>
      <c r="BE728" s="63" t="n">
        <f aca="false">IF(LEFT(Cockpit!$O$5,1)="A",H728,IF(CI728=1,(CL728+CJ728)/2,IF(LEFT(Cockpit!$O$5,1)="B",(CL728+BG728)/2,MAX((CL728+BG728)/2,H728))))</f>
        <v>0.5</v>
      </c>
      <c r="BF728" s="62" t="n">
        <f aca="false">BE728*G728</f>
        <v>0</v>
      </c>
      <c r="BG728" s="62" t="n">
        <f aca="false">ROUNDUP(CL728+MAX(CM728,2*(J728/IF(CH728&gt;0,CH728,MAX(0.1,N(Cockpit!$O$6)))-CL728)),0)</f>
        <v>1</v>
      </c>
      <c r="BH728" s="63" t="n">
        <f aca="false">IF(BD728&gt;0,J728/BD728,-1)</f>
        <v>0</v>
      </c>
      <c r="BI728" s="63" t="n">
        <f aca="false">IF(AND(OR(CG728="L1",CG728="L23",CG728="LIFT"),BD728&gt;0),SUMIFS($BD$7:$BD$1843,$CG$7:$CG$1843,CG728,$BH$7:$BH$1843,"&gt;"&amp;BH728)+SUMIFS($BD$7:$BD$1843,$CG$7:$CG$1843,CG728,$BH$7:$BH$1843,BH728,$BX$7:$BX$1843,"&lt;="&amp;BX728),"")</f>
        <v>28250.8936564848</v>
      </c>
      <c r="BJ728" s="70" t="n">
        <f aca="false">IF(BI728="",0,MAX(0,MIN(1,(IF(CG728="L1",Parameter!$H$5,IF(CG728="L23",Parameter!$H$6+Parameter!$H$7,Parameter!$H$5+Parameter!$H$6+Parameter!$H$7))-(BI728-BD728))/BD728)))</f>
        <v>1</v>
      </c>
      <c r="BK728" s="60" t="str">
        <f aca="false">IF(AJ728&lt;=0,"",IF(CG728="Aussen","Aussenlager",IF(CG728="-","Nicht im Lift",IF(AP728&gt;=1,"Lift",IF(AP728&lt;=0,"Aussenlager","teilweise")))))</f>
        <v/>
      </c>
      <c r="BL728" s="60" t="str">
        <f aca="false">IF(AT728&lt;=0,"",IF(CG728="Aussen","Aussenlager",IF(CG728="-","Nicht im Lift",IF(AZ728&gt;=1,"Lift",IF(AZ728&lt;=0,"Aussenlager","teilweise")))))</f>
        <v>Lift</v>
      </c>
      <c r="BM728" s="60" t="str">
        <f aca="false">IF(BD728&lt;=0,"",IF(CG728="Aussen","Aussenlager",IF(CG728="-","Nicht im Lift",IF(BJ728&gt;=1,"Lift",IF(BJ728&lt;=0,"Aussenlager","teilweise")))))</f>
        <v>Lift</v>
      </c>
      <c r="BN728" s="60" t="str">
        <f aca="false">IF(A728="","",IF(BW728=1,"Neu; ","")&amp;IF(AND(BW728=0,BR728&lt;0),"negativer Bestand (Export "&amp;BR728&amp;"); ","")&amp;IF(J728&lt;=0,"Kein Verbrauch; ","")&amp;IF(CR728&gt;0,"Lift "&amp;W728&amp;" lt. Liftbericht (Fach "&amp;X728&amp;" Stk); ",IF(CB728=1,"Gebinde geschätzt ("&amp;T728&amp;"); ",IF(CA728=1,"Lose – Tablare geschätzt; ","")))&amp;IF(H728&gt;AW728,"Überbestand "&amp;ROUND(H728-AW728,0)&amp;" Stk / CHF "&amp;ROUND((H728-AW728)*G728,0)&amp;"; ","")&amp;IF(AND(CI728=1,CJ728&lt;CK728),"MAX &lt; MB+LG; ","")&amp;IF(AND(CQ728&gt;0,CP728*10&gt;CQ728),"zu hoch für Tablar; ","")&amp;IF(AND(BW728=0,OR(CI728=1,AB728&lt;&gt;"",U728&lt;&gt;"",V728&lt;&gt;"",AC728&lt;&gt;"")),"manuell übersteuert; ","")&amp;IF(AND(CA728=0,R728=0),"Gebinde unbekannt / Stellmass fehlt; ","")&amp;IF(AND(CA728=0,N(V728)&lt;=0,N(Q728)&lt;=0),"Menge pro Gebinde fehlt (Ist = 1 Gebinde); ","")&amp;BV728)</f>
        <v>negativer Bestand (Export -1); Kein Verbrauch; Gebinde geschätzt (Klein); Menge pro Gebinde fehlt (Ist = 1 Gebinde); </v>
      </c>
      <c r="BO728" s="60"/>
      <c r="BP728" s="60"/>
      <c r="BQ728" s="67"/>
      <c r="BR728" s="62" t="n">
        <v>-1</v>
      </c>
      <c r="BS728" s="62" t="n">
        <v>1</v>
      </c>
      <c r="BT728" s="61" t="n">
        <v>0</v>
      </c>
      <c r="BU728" s="62" t="n">
        <v>0</v>
      </c>
      <c r="BV728" s="60"/>
      <c r="BW728" s="65" t="n">
        <v>0</v>
      </c>
      <c r="BX728" s="65" t="n">
        <v>728</v>
      </c>
      <c r="BY728" s="60" t="str">
        <f aca="false">IF(U728&lt;&gt;"",UPPER(TRIM(U728)),IF(CB728=1,UPPER(VLOOKUP(T728,Parameter!$I$27:$K$29,2,0)),IF(P728="","LOSE",P728)))</f>
        <v>S51</v>
      </c>
      <c r="BZ728" s="62" t="n">
        <f aca="false">IF(BY728="LOSE",1,IF(N(V728)&gt;0,V728,IF(CB728=1,MAX(1,N(VLOOKUP(T728,Parameter!$I$27:$K$29,3,0)),H728,N(N728)),IF(N(Q728)&gt;0,Q728,MAX(1,H728)))))</f>
        <v>20</v>
      </c>
      <c r="CA728" s="65" t="n">
        <f aca="false">IF(BY728="LOSE",1,0)</f>
        <v>0</v>
      </c>
      <c r="CB728" s="65" t="n">
        <f aca="false">IF(AND(U728="",OR(P728="",P728="LOSE"),T728&lt;&gt;"",N(S728)&lt;=0,ISNUMBER(MATCH(T728,Parameter!$I$27:$I$29,0))),1,0)</f>
        <v>1</v>
      </c>
      <c r="CC728" s="65" t="n">
        <f aca="false">IF(CR728&gt;0,INDEX(Parameter!$H$5:$H$7,W728)/INDEX(Parameter!$E$5:$E$7,W728),IF(AND(CA728=0,N(IFERROR(VLOOKUP(BY728,'Gebinde-Kategorie'!$A$5:$N$45,14,0),0))&gt;0),VLOOKUP(BY728,'Gebinde-Kategorie'!$A$5:$N$45,14,0)*10+Parameter!$M$23,Parameter!$M$24))</f>
        <v>155</v>
      </c>
      <c r="CD728" s="60" t="str">
        <f aca="false">IF(AND(Parameter!$B$19="Ja",E728&lt;&gt;"",ISNUMBER(MATCH(E728,Parameter!$I$35:$I$52,0))),VLOOKUP(E728,Parameter!$I$35:$J$52,2,0),IFERROR(VLOOKUP(D728,Parameter!$A$35:$C$64,2,0),"Nein"))</f>
        <v>2+3</v>
      </c>
      <c r="CE728" s="64" t="n">
        <f aca="false">IF(CA728=0,0,IF(N(S728)&gt;0,S728,IFERROR(VLOOKUP(D728,Parameter!$A$35:$C$64,3,0)+0,0)))</f>
        <v>0</v>
      </c>
      <c r="CF728" s="60" t="n">
        <f aca="false">IF(AB728&lt;&gt;"",AB728,AA728)</f>
        <v>3</v>
      </c>
      <c r="CG728" s="60" t="str">
        <f aca="false">IF(OR(CF728=1,CF728=2,CF728=3),IF(Parameter!$E$27="Ja","LIFT",IF(CF728=1,"L1","L23")),IF(CF728="Aussen","Aussen","-"))</f>
        <v>LIFT</v>
      </c>
      <c r="CH728" s="71" t="n">
        <f aca="false">IF(N(AC728)&gt;0,AC728,0)</f>
        <v>0</v>
      </c>
      <c r="CI728" s="65" t="n">
        <f aca="false">IF(ISNUMBER(AF728),1,0)</f>
        <v>0</v>
      </c>
      <c r="CJ728" s="62" t="n">
        <f aca="false">N(AF728)</f>
        <v>0</v>
      </c>
      <c r="CK728" s="62" t="n">
        <f aca="false">N(M728)+N(N728)</f>
        <v>1</v>
      </c>
      <c r="CL728" s="62" t="n">
        <f aca="false">N(M728)</f>
        <v>0</v>
      </c>
      <c r="CM728" s="62" t="n">
        <f aca="false">N(N728)</f>
        <v>1</v>
      </c>
      <c r="CN728" s="62" t="n">
        <f aca="false">ROUNDUP(H728/BZ728,0)</f>
        <v>0</v>
      </c>
      <c r="CO728" s="62" t="n">
        <f aca="false">ROUNDUP(CJ728/BZ728,0)</f>
        <v>0</v>
      </c>
      <c r="CP728" s="65" t="n">
        <f aca="false">IF(CA728=1,0,IFERROR(VLOOKUP(BY728,'Gebinde-Kategorie'!$A$5:$N$45,5,0)+0,0))</f>
        <v>11</v>
      </c>
      <c r="CQ728" s="65" t="n">
        <f aca="false">IFERROR(IF(OR(CF728=1,CF728=2,CF728=3),N(INDEX(Parameter!$I$5:$I$7,CF728)),0),0)</f>
        <v>0</v>
      </c>
      <c r="CR728" s="64" t="n">
        <f aca="false">IF(AND(Parameter!$B$21="Ja",ISNUMBER(W728),N(X728)&gt;0),IFERROR(N(INDEX(Parameter!$L$5:$L$7,W728))*INDEX(Parameter!$E$5:$E$7,W728)*X728/SUMIFS($X$7:$X$1843,$W$7:$W$1843,W728),0),0)</f>
        <v>0</v>
      </c>
      <c r="CS728" s="62" t="str">
        <f aca="false">IF(AND(OR(CG728="L1",CG728="L23",CG728="LIFT"),H728&gt;0),CC728*IF(CR728&gt;0,CR728*MAX(1,H728/X728),IF(CA728=1,CE728,IF(R728&gt;0,CN728/R728,0))/MAX(0.1,N(Parameter!$M$21))),"")</f>
        <v/>
      </c>
      <c r="CT728" s="64" t="str">
        <f aca="false">IF(CS728="","",J728/H728)</f>
        <v/>
      </c>
      <c r="CU728" s="62" t="str">
        <f aca="false">IF(CS728="","",H728*G728)</f>
        <v/>
      </c>
      <c r="CV728" s="63" t="str">
        <f aca="false">IF(CS728="","",(CL728+ROUNDUP(CL728+MAX(CM728,2*(J728/MAX(0.1,N(Einkauf!$C$6))-CL728)),0))/2)</f>
        <v/>
      </c>
      <c r="CW728" s="62" t="str">
        <f aca="false">IF(CS728="","",MAX(0,H728-CV728)*G728)</f>
        <v/>
      </c>
      <c r="CX728" s="62" t="str">
        <f aca="false">IF(CS728="","",CS728*MAX(0,1-CV728/H728))</f>
        <v/>
      </c>
      <c r="CY728" s="64" t="str">
        <f aca="false">IF(CS728="","",PERCENTRANK($CS$7:$CS$1843,CS728)+PERCENTRANK($CU$7:$CU$1843,CU728)+1-PERCENTRANK($CT$7:$CT$1843,CT728))</f>
        <v/>
      </c>
      <c r="CZ728" s="72" t="str">
        <f aca="false">IF(CS728="","",CHOOSE(MATCH(Einkauf!$C$5,Parameter!$G$23:$G$27,0),CY728,CS728,CU728,-CT728,CW728)+ROW()/1000000000)</f>
        <v/>
      </c>
    </row>
    <row r="729" customFormat="false" ht="15" hidden="false" customHeight="false" outlineLevel="0" collapsed="false">
      <c r="A729" s="60" t="s">
        <v>1488</v>
      </c>
      <c r="B729" s="60" t="s">
        <v>1096</v>
      </c>
      <c r="C729" s="60" t="s">
        <v>206</v>
      </c>
      <c r="D729" s="60" t="s">
        <v>892</v>
      </c>
      <c r="E729" s="60" t="s">
        <v>227</v>
      </c>
      <c r="F729" s="60" t="s">
        <v>260</v>
      </c>
      <c r="G729" s="61" t="n">
        <v>4.4</v>
      </c>
      <c r="H729" s="62" t="n">
        <f aca="false">MAX(0,IF(AND(Parameter!$B$21="Ja",ISNUMBER(Y729)),Y729,IF(Parameter!$B$20="Jahresanfang 2025 + Export",BS729+BR729,BR729)))</f>
        <v>0</v>
      </c>
      <c r="I729" s="62" t="n">
        <f aca="false">H729*G729</f>
        <v>0</v>
      </c>
      <c r="J729" s="62" t="n">
        <f aca="false">BU729*Parameter!$B$18</f>
        <v>24</v>
      </c>
      <c r="K729" s="63" t="n">
        <v>0</v>
      </c>
      <c r="L729" s="64" t="n">
        <v>0</v>
      </c>
      <c r="M729" s="62" t="n">
        <v>0</v>
      </c>
      <c r="N729" s="62" t="n">
        <v>12</v>
      </c>
      <c r="O729" s="65" t="n">
        <v>14</v>
      </c>
      <c r="P729" s="60" t="s">
        <v>344</v>
      </c>
      <c r="Q729" s="62" t="n">
        <v>24</v>
      </c>
      <c r="R729" s="65" t="n">
        <f aca="false">IF(CA729=1,0,IFERROR(VLOOKUP(BY729,'Gebinde-Kategorie'!$A$5:$N$45,13,0)+0,0))</f>
        <v>26</v>
      </c>
      <c r="S729" s="66"/>
      <c r="T729" s="67"/>
      <c r="U729" s="67"/>
      <c r="V729" s="67"/>
      <c r="W729" s="60"/>
      <c r="X729" s="62"/>
      <c r="Y729" s="62"/>
      <c r="Z729" s="60" t="n">
        <v>3</v>
      </c>
      <c r="AA729" s="60" t="n">
        <f aca="false">IF(A729="","",IF(AND(Parameter!$B$21="Ja",ISNUMBER(W729)),W729,IF(AND(Parameter!$E$27="Ja",ISNUMBER(Z729),CD729&lt;&gt;"Nein"),Z729,IF(CD729="2+3",IF(ISNUMBER(SEARCH("grosser Artikel",BV729)),2,IFERROR(VLOOKUP(BY729,Parameter!$F$35:$G$64,2,0),2)),IF(OR(CD729="Nein",CD729=""),"-",CD729)))))</f>
        <v>3</v>
      </c>
      <c r="AB729" s="67"/>
      <c r="AC729" s="68"/>
      <c r="AD729" s="62" t="n">
        <f aca="false">AW729</f>
        <v>16</v>
      </c>
      <c r="AE729" s="62" t="n">
        <f aca="false">MAX(AW729,H729)</f>
        <v>16</v>
      </c>
      <c r="AF729" s="69"/>
      <c r="AG729" s="62" t="n">
        <f aca="false">IF(LEFT(Cockpit!$C$5,1)="A",H729,IF(Parameter!$E$30="MAX-Bestand",IF(CI729=1,CJ729,IF(LEFT(Cockpit!$C$5,1)="B",AM729,MAX(AM729,H729))),ROUNDUP(AK729,0)))</f>
        <v>0</v>
      </c>
      <c r="AH729" s="62" t="n">
        <f aca="false">IF(CA729=1,0,ROUNDUP(AG729/BZ729,0))</f>
        <v>0</v>
      </c>
      <c r="AI729" s="64" t="n">
        <f aca="false">IF(CR729&gt;0,CR729*MAX(1,AG729/X729),IF(CA729=1,IF(AG729&lt;=0,0,CE729*MAX(1,IF(H729&gt;0,AG729/H729,1))),IF(R729&gt;0,AH729/R729,0))/MAX(0.1,N(Parameter!$M$21)))</f>
        <v>0</v>
      </c>
      <c r="AJ729" s="62" t="n">
        <f aca="false">AI729*CC729</f>
        <v>0</v>
      </c>
      <c r="AK729" s="63" t="n">
        <f aca="false">IF(LEFT(Cockpit!$C$5,1)="A",H729,IF(CI729=1,(CL729+CJ729)/2,IF(LEFT(Cockpit!$C$5,1)="B",(CL729+AM729)/2,MAX((CL729+AM729)/2,H729))))</f>
        <v>0</v>
      </c>
      <c r="AL729" s="62" t="n">
        <f aca="false">AK729*G729</f>
        <v>0</v>
      </c>
      <c r="AM729" s="62" t="n">
        <f aca="false">ROUNDUP(CL729+MAX(CM729,2*(J729/IF(CH729&gt;0,CH729,MAX(0.1,N(Cockpit!$C$6)))-CL729)),0)</f>
        <v>16</v>
      </c>
      <c r="AN729" s="63" t="n">
        <f aca="false">IF(AJ729&gt;0,J729/AJ729,-1)</f>
        <v>-1</v>
      </c>
      <c r="AO729" s="63" t="str">
        <f aca="false">IF(AND(OR(CG729="L1",CG729="L23",CG729="LIFT"),AJ729&gt;0),SUMIFS($AJ$7:$AJ$1843,$CG$7:$CG$1843,CG729,$AN$7:$AN$1843,"&gt;"&amp;AN729)+SUMIFS($AJ$7:$AJ$1843,$CG$7:$CG$1843,CG729,$AN$7:$AN$1843,AN729,$BX$7:$BX$1843,"&lt;="&amp;BX729),"")</f>
        <v/>
      </c>
      <c r="AP729" s="70" t="n">
        <f aca="false">IF(AO729="",0,MAX(0,MIN(1,(IF(CG729="L1",Parameter!$H$5,IF(CG729="L23",Parameter!$H$6+Parameter!$H$7,Parameter!$H$5+Parameter!$H$6+Parameter!$H$7))-(AO729-AJ729))/AJ729)))</f>
        <v>0</v>
      </c>
      <c r="AQ729" s="62" t="n">
        <f aca="false">IF(LEFT(Cockpit!$I$5,1)="A",H729,IF(Parameter!$E$30="MAX-Bestand",IF(CI729=1,CJ729,IF(LEFT(Cockpit!$I$5,1)="B",AW729,MAX(AW729,H729))),ROUNDUP(AU729,0)))</f>
        <v>8</v>
      </c>
      <c r="AR729" s="62" t="n">
        <f aca="false">IF(CA729=1,0,ROUNDUP(AQ729/BZ729,0))</f>
        <v>1</v>
      </c>
      <c r="AS729" s="64" t="n">
        <f aca="false">IF(CR729&gt;0,CR729*MAX(1,AQ729/X729),IF(CA729=1,IF(AQ729&lt;=0,0,CE729*MAX(1,IF(H729&gt;0,AQ729/H729,1))),IF(R729&gt;0,AR729/R729,0))/MAX(0.1,N(Parameter!$M$21)))</f>
        <v>0.0384615384615385</v>
      </c>
      <c r="AT729" s="62" t="n">
        <f aca="false">AS729*CC729</f>
        <v>5.96153846153846</v>
      </c>
      <c r="AU729" s="63" t="n">
        <f aca="false">IF(LEFT(Cockpit!$I$5,1)="A",H729,IF(CI729=1,(CL729+CJ729)/2,IF(LEFT(Cockpit!$I$5,1)="B",(CL729+AW729)/2,MAX((CL729+AW729)/2,H729))))</f>
        <v>8</v>
      </c>
      <c r="AV729" s="62" t="n">
        <f aca="false">AU729*G729</f>
        <v>35.2</v>
      </c>
      <c r="AW729" s="62" t="n">
        <f aca="false">ROUNDUP(CL729+MAX(CM729,2*(J729/IF(CH729&gt;0,CH729,MAX(0.1,N(Cockpit!$I$6)))-CL729)),0)</f>
        <v>16</v>
      </c>
      <c r="AX729" s="63" t="n">
        <f aca="false">IF(AT729&gt;0,J729/AT729,-1)</f>
        <v>4.0258064516129</v>
      </c>
      <c r="AY729" s="63" t="n">
        <f aca="false">IF(AND(OR(CG729="L1",CG729="L23",CG729="LIFT"),AT729&gt;0),SUMIFS($AT$7:$AT$1843,$CG$7:$CG$1843,CG729,$AX$7:$AX$1843,"&gt;"&amp;AX729)+SUMIFS($AT$7:$AT$1843,$CG$7:$CG$1843,CG729,$AX$7:$AX$1843,AX729,$BX$7:$BX$1843,"&lt;="&amp;BX729),"")</f>
        <v>4952.78250915751</v>
      </c>
      <c r="AZ729" s="70" t="n">
        <f aca="false">IF(AY729="",0,MAX(0,MIN(1,(IF(CG729="L1",Parameter!$H$5,IF(CG729="L23",Parameter!$H$6+Parameter!$H$7,Parameter!$H$5+Parameter!$H$6+Parameter!$H$7))-(AY729-AT729))/AT729)))</f>
        <v>1</v>
      </c>
      <c r="BA729" s="62" t="n">
        <f aca="false">IF(LEFT(Cockpit!$O$5,1)="A",H729,IF(Parameter!$E$30="MAX-Bestand",IF(CI729=1,CJ729,IF(LEFT(Cockpit!$O$5,1)="B",BG729,MAX(BG729,H729))),ROUNDUP(BE729,0)))</f>
        <v>6</v>
      </c>
      <c r="BB729" s="62" t="n">
        <f aca="false">IF(CA729=1,0,ROUNDUP(BA729/BZ729,0))</f>
        <v>1</v>
      </c>
      <c r="BC729" s="64" t="n">
        <f aca="false">IF(CR729&gt;0,CR729*MAX(1,BA729/X729),IF(CA729=1,IF(BA729&lt;=0,0,CE729*MAX(1,IF(H729&gt;0,BA729/H729,1))),IF(R729&gt;0,BB729/R729,0))/MAX(0.1,N(Parameter!$M$21)))</f>
        <v>0.0384615384615385</v>
      </c>
      <c r="BD729" s="62" t="n">
        <f aca="false">BC729*CC729</f>
        <v>5.96153846153846</v>
      </c>
      <c r="BE729" s="63" t="n">
        <f aca="false">IF(LEFT(Cockpit!$O$5,1)="A",H729,IF(CI729=1,(CL729+CJ729)/2,IF(LEFT(Cockpit!$O$5,1)="B",(CL729+BG729)/2,MAX((CL729+BG729)/2,H729))))</f>
        <v>6</v>
      </c>
      <c r="BF729" s="62" t="n">
        <f aca="false">BE729*G729</f>
        <v>26.4</v>
      </c>
      <c r="BG729" s="62" t="n">
        <f aca="false">ROUNDUP(CL729+MAX(CM729,2*(J729/IF(CH729&gt;0,CH729,MAX(0.1,N(Cockpit!$O$6)))-CL729)),0)</f>
        <v>12</v>
      </c>
      <c r="BH729" s="63" t="n">
        <f aca="false">IF(BD729&gt;0,J729/BD729,-1)</f>
        <v>4.0258064516129</v>
      </c>
      <c r="BI729" s="63" t="n">
        <f aca="false">IF(AND(OR(CG729="L1",CG729="L23",CG729="LIFT"),BD729&gt;0),SUMIFS($BD$7:$BD$1843,$CG$7:$CG$1843,CG729,$BH$7:$BH$1843,"&gt;"&amp;BH729)+SUMIFS($BD$7:$BD$1843,$CG$7:$CG$1843,CG729,$BH$7:$BH$1843,BH729,$BX$7:$BX$1843,"&lt;="&amp;BX729),"")</f>
        <v>4064.39148351648</v>
      </c>
      <c r="BJ729" s="70" t="n">
        <f aca="false">IF(BI729="",0,MAX(0,MIN(1,(IF(CG729="L1",Parameter!$H$5,IF(CG729="L23",Parameter!$H$6+Parameter!$H$7,Parameter!$H$5+Parameter!$H$6+Parameter!$H$7))-(BI729-BD729))/BD729)))</f>
        <v>1</v>
      </c>
      <c r="BK729" s="60" t="str">
        <f aca="false">IF(AJ729&lt;=0,"",IF(CG729="Aussen","Aussenlager",IF(CG729="-","Nicht im Lift",IF(AP729&gt;=1,"Lift",IF(AP729&lt;=0,"Aussenlager","teilweise")))))</f>
        <v/>
      </c>
      <c r="BL729" s="60" t="str">
        <f aca="false">IF(AT729&lt;=0,"",IF(CG729="Aussen","Aussenlager",IF(CG729="-","Nicht im Lift",IF(AZ729&gt;=1,"Lift",IF(AZ729&lt;=0,"Aussenlager","teilweise")))))</f>
        <v>Lift</v>
      </c>
      <c r="BM729" s="60" t="str">
        <f aca="false">IF(BD729&lt;=0,"",IF(CG729="Aussen","Aussenlager",IF(CG729="-","Nicht im Lift",IF(BJ729&gt;=1,"Lift",IF(BJ729&lt;=0,"Aussenlager","teilweise")))))</f>
        <v>Lift</v>
      </c>
      <c r="BN729" s="60" t="str">
        <f aca="false">IF(A729="","",IF(BW729=1,"Neu; ","")&amp;IF(AND(BW729=0,BR729&lt;0),"negativer Bestand (Export "&amp;BR729&amp;"); ","")&amp;IF(J729&lt;=0,"Kein Verbrauch; ","")&amp;IF(CR729&gt;0,"Lift "&amp;W729&amp;" lt. Liftbericht (Fach "&amp;X729&amp;" Stk); ",IF(CB729=1,"Gebinde geschätzt ("&amp;T729&amp;"); ",IF(CA729=1,"Lose – Tablare geschätzt; ","")))&amp;IF(H729&gt;AW729,"Überbestand "&amp;ROUND(H729-AW729,0)&amp;" Stk / CHF "&amp;ROUND((H729-AW729)*G729,0)&amp;"; ","")&amp;IF(AND(CI729=1,CJ729&lt;CK729),"MAX &lt; MB+LG; ","")&amp;IF(AND(CQ729&gt;0,CP729*10&gt;CQ729),"zu hoch für Tablar; ","")&amp;IF(AND(BW729=0,OR(CI729=1,AB729&lt;&gt;"",U729&lt;&gt;"",V729&lt;&gt;"",AC729&lt;&gt;"")),"manuell übersteuert; ","")&amp;IF(AND(CA729=0,R729=0),"Gebinde unbekannt / Stellmass fehlt; ","")&amp;IF(AND(CA729=0,N(V729)&lt;=0,N(Q729)&lt;=0),"Menge pro Gebinde fehlt (Ist = 1 Gebinde); ","")&amp;BV729)</f>
        <v/>
      </c>
      <c r="BO729" s="60"/>
      <c r="BP729" s="60"/>
      <c r="BQ729" s="67"/>
      <c r="BR729" s="62" t="n">
        <v>0</v>
      </c>
      <c r="BS729" s="62" t="n">
        <v>0</v>
      </c>
      <c r="BT729" s="61" t="n">
        <v>0</v>
      </c>
      <c r="BU729" s="62" t="n">
        <v>24</v>
      </c>
      <c r="BV729" s="60"/>
      <c r="BW729" s="65" t="n">
        <v>0</v>
      </c>
      <c r="BX729" s="65" t="n">
        <v>729</v>
      </c>
      <c r="BY729" s="60" t="str">
        <f aca="false">IF(U729&lt;&gt;"",UPPER(TRIM(U729)),IF(CB729=1,UPPER(VLOOKUP(T729,Parameter!$I$27:$K$29,2,0)),IF(P729="","LOSE",P729)))</f>
        <v>S51</v>
      </c>
      <c r="BZ729" s="62" t="n">
        <f aca="false">IF(BY729="LOSE",1,IF(N(V729)&gt;0,V729,IF(CB729=1,MAX(1,N(VLOOKUP(T729,Parameter!$I$27:$K$29,3,0)),H729,N(N729)),IF(N(Q729)&gt;0,Q729,MAX(1,H729)))))</f>
        <v>24</v>
      </c>
      <c r="CA729" s="65" t="n">
        <f aca="false">IF(BY729="LOSE",1,0)</f>
        <v>0</v>
      </c>
      <c r="CB729" s="65" t="n">
        <f aca="false">IF(AND(U729="",OR(P729="",P729="LOSE"),T729&lt;&gt;"",N(S729)&lt;=0,ISNUMBER(MATCH(T729,Parameter!$I$27:$I$29,0))),1,0)</f>
        <v>0</v>
      </c>
      <c r="CC729" s="65" t="n">
        <f aca="false">IF(CR729&gt;0,INDEX(Parameter!$H$5:$H$7,W729)/INDEX(Parameter!$E$5:$E$7,W729),IF(AND(CA729=0,N(IFERROR(VLOOKUP(BY729,'Gebinde-Kategorie'!$A$5:$N$45,14,0),0))&gt;0),VLOOKUP(BY729,'Gebinde-Kategorie'!$A$5:$N$45,14,0)*10+Parameter!$M$23,Parameter!$M$24))</f>
        <v>155</v>
      </c>
      <c r="CD729" s="60" t="str">
        <f aca="false">IF(AND(Parameter!$B$19="Ja",E729&lt;&gt;"",ISNUMBER(MATCH(E729,Parameter!$I$35:$I$52,0))),VLOOKUP(E729,Parameter!$I$35:$J$52,2,0),IFERROR(VLOOKUP(D729,Parameter!$A$35:$C$64,2,0),"Nein"))</f>
        <v>2+3</v>
      </c>
      <c r="CE729" s="64" t="n">
        <f aca="false">IF(CA729=0,0,IF(N(S729)&gt;0,S729,IFERROR(VLOOKUP(D729,Parameter!$A$35:$C$64,3,0)+0,0)))</f>
        <v>0</v>
      </c>
      <c r="CF729" s="60" t="n">
        <f aca="false">IF(AB729&lt;&gt;"",AB729,AA729)</f>
        <v>3</v>
      </c>
      <c r="CG729" s="60" t="str">
        <f aca="false">IF(OR(CF729=1,CF729=2,CF729=3),IF(Parameter!$E$27="Ja","LIFT",IF(CF729=1,"L1","L23")),IF(CF729="Aussen","Aussen","-"))</f>
        <v>LIFT</v>
      </c>
      <c r="CH729" s="71" t="n">
        <f aca="false">IF(N(AC729)&gt;0,AC729,0)</f>
        <v>0</v>
      </c>
      <c r="CI729" s="65" t="n">
        <f aca="false">IF(ISNUMBER(AF729),1,0)</f>
        <v>0</v>
      </c>
      <c r="CJ729" s="62" t="n">
        <f aca="false">N(AF729)</f>
        <v>0</v>
      </c>
      <c r="CK729" s="62" t="n">
        <f aca="false">N(M729)+N(N729)</f>
        <v>12</v>
      </c>
      <c r="CL729" s="62" t="n">
        <f aca="false">N(M729)</f>
        <v>0</v>
      </c>
      <c r="CM729" s="62" t="n">
        <f aca="false">N(N729)</f>
        <v>12</v>
      </c>
      <c r="CN729" s="62" t="n">
        <f aca="false">ROUNDUP(H729/BZ729,0)</f>
        <v>0</v>
      </c>
      <c r="CO729" s="62" t="n">
        <f aca="false">ROUNDUP(CJ729/BZ729,0)</f>
        <v>0</v>
      </c>
      <c r="CP729" s="65" t="n">
        <f aca="false">IF(CA729=1,0,IFERROR(VLOOKUP(BY729,'Gebinde-Kategorie'!$A$5:$N$45,5,0)+0,0))</f>
        <v>11</v>
      </c>
      <c r="CQ729" s="65" t="n">
        <f aca="false">IFERROR(IF(OR(CF729=1,CF729=2,CF729=3),N(INDEX(Parameter!$I$5:$I$7,CF729)),0),0)</f>
        <v>0</v>
      </c>
      <c r="CR729" s="64" t="n">
        <f aca="false">IF(AND(Parameter!$B$21="Ja",ISNUMBER(W729),N(X729)&gt;0),IFERROR(N(INDEX(Parameter!$L$5:$L$7,W729))*INDEX(Parameter!$E$5:$E$7,W729)*X729/SUMIFS($X$7:$X$1843,$W$7:$W$1843,W729),0),0)</f>
        <v>0</v>
      </c>
      <c r="CS729" s="62" t="str">
        <f aca="false">IF(AND(OR(CG729="L1",CG729="L23",CG729="LIFT"),H729&gt;0),CC729*IF(CR729&gt;0,CR729*MAX(1,H729/X729),IF(CA729=1,CE729,IF(R729&gt;0,CN729/R729,0))/MAX(0.1,N(Parameter!$M$21))),"")</f>
        <v/>
      </c>
      <c r="CT729" s="64" t="str">
        <f aca="false">IF(CS729="","",J729/H729)</f>
        <v/>
      </c>
      <c r="CU729" s="62" t="str">
        <f aca="false">IF(CS729="","",H729*G729)</f>
        <v/>
      </c>
      <c r="CV729" s="63" t="str">
        <f aca="false">IF(CS729="","",(CL729+ROUNDUP(CL729+MAX(CM729,2*(J729/MAX(0.1,N(Einkauf!$C$6))-CL729)),0))/2)</f>
        <v/>
      </c>
      <c r="CW729" s="62" t="str">
        <f aca="false">IF(CS729="","",MAX(0,H729-CV729)*G729)</f>
        <v/>
      </c>
      <c r="CX729" s="62" t="str">
        <f aca="false">IF(CS729="","",CS729*MAX(0,1-CV729/H729))</f>
        <v/>
      </c>
      <c r="CY729" s="64" t="str">
        <f aca="false">IF(CS729="","",PERCENTRANK($CS$7:$CS$1843,CS729)+PERCENTRANK($CU$7:$CU$1843,CU729)+1-PERCENTRANK($CT$7:$CT$1843,CT729))</f>
        <v/>
      </c>
      <c r="CZ729" s="72" t="str">
        <f aca="false">IF(CS729="","",CHOOSE(MATCH(Einkauf!$C$5,Parameter!$G$23:$G$27,0),CY729,CS729,CU729,-CT729,CW729)+ROW()/1000000000)</f>
        <v/>
      </c>
    </row>
    <row r="730" customFormat="false" ht="15" hidden="false" customHeight="false" outlineLevel="0" collapsed="false">
      <c r="A730" s="60" t="s">
        <v>1489</v>
      </c>
      <c r="B730" s="60" t="s">
        <v>1490</v>
      </c>
      <c r="C730" s="60" t="s">
        <v>206</v>
      </c>
      <c r="D730" s="60" t="s">
        <v>226</v>
      </c>
      <c r="E730" s="60" t="s">
        <v>227</v>
      </c>
      <c r="F730" s="60" t="s">
        <v>260</v>
      </c>
      <c r="G730" s="61" t="n">
        <v>70.7</v>
      </c>
      <c r="H730" s="62" t="n">
        <f aca="false">MAX(0,IF(AND(Parameter!$B$21="Ja",ISNUMBER(Y730)),Y730,IF(Parameter!$B$20="Jahresanfang 2025 + Export",BS730+BR730,BR730)))</f>
        <v>172</v>
      </c>
      <c r="I730" s="62" t="n">
        <f aca="false">H730*G730</f>
        <v>12160.4</v>
      </c>
      <c r="J730" s="62" t="n">
        <f aca="false">BU730*Parameter!$B$18</f>
        <v>1</v>
      </c>
      <c r="K730" s="63" t="n">
        <v>172</v>
      </c>
      <c r="L730" s="64" t="n">
        <v>0.00581395348837209</v>
      </c>
      <c r="M730" s="62" t="n">
        <v>0</v>
      </c>
      <c r="N730" s="62" t="n">
        <v>10</v>
      </c>
      <c r="O730" s="65" t="n">
        <v>105</v>
      </c>
      <c r="P730" s="60" t="s">
        <v>344</v>
      </c>
      <c r="Q730" s="62" t="n">
        <v>181</v>
      </c>
      <c r="R730" s="65" t="n">
        <f aca="false">IF(CA730=1,0,IFERROR(VLOOKUP(BY730,'Gebinde-Kategorie'!$A$5:$N$45,13,0)+0,0))</f>
        <v>26</v>
      </c>
      <c r="S730" s="66"/>
      <c r="T730" s="67"/>
      <c r="U730" s="67"/>
      <c r="V730" s="67"/>
      <c r="W730" s="60"/>
      <c r="X730" s="62"/>
      <c r="Y730" s="62"/>
      <c r="Z730" s="60" t="n">
        <v>3</v>
      </c>
      <c r="AA730" s="60" t="n">
        <f aca="false">IF(A730="","",IF(AND(Parameter!$B$21="Ja",ISNUMBER(W730)),W730,IF(AND(Parameter!$E$27="Ja",ISNUMBER(Z730),CD730&lt;&gt;"Nein"),Z730,IF(CD730="2+3",IF(ISNUMBER(SEARCH("grosser Artikel",BV730)),2,IFERROR(VLOOKUP(BY730,Parameter!$F$35:$G$64,2,0),2)),IF(OR(CD730="Nein",CD730=""),"-",CD730)))))</f>
        <v>3</v>
      </c>
      <c r="AB730" s="67"/>
      <c r="AC730" s="68"/>
      <c r="AD730" s="62" t="n">
        <f aca="false">AW730</f>
        <v>10</v>
      </c>
      <c r="AE730" s="62" t="n">
        <f aca="false">MAX(AW730,H730)</f>
        <v>172</v>
      </c>
      <c r="AF730" s="69"/>
      <c r="AG730" s="62" t="n">
        <f aca="false">IF(LEFT(Cockpit!$C$5,1)="A",H730,IF(Parameter!$E$30="MAX-Bestand",IF(CI730=1,CJ730,IF(LEFT(Cockpit!$C$5,1)="B",AM730,MAX(AM730,H730))),ROUNDUP(AK730,0)))</f>
        <v>172</v>
      </c>
      <c r="AH730" s="62" t="n">
        <f aca="false">IF(CA730=1,0,ROUNDUP(AG730/BZ730,0))</f>
        <v>1</v>
      </c>
      <c r="AI730" s="64" t="n">
        <f aca="false">IF(CR730&gt;0,CR730*MAX(1,AG730/X730),IF(CA730=1,IF(AG730&lt;=0,0,CE730*MAX(1,IF(H730&gt;0,AG730/H730,1))),IF(R730&gt;0,AH730/R730,0))/MAX(0.1,N(Parameter!$M$21)))</f>
        <v>0.0384615384615385</v>
      </c>
      <c r="AJ730" s="62" t="n">
        <f aca="false">AI730*CC730</f>
        <v>5.96153846153846</v>
      </c>
      <c r="AK730" s="63" t="n">
        <f aca="false">IF(LEFT(Cockpit!$C$5,1)="A",H730,IF(CI730=1,(CL730+CJ730)/2,IF(LEFT(Cockpit!$C$5,1)="B",(CL730+AM730)/2,MAX((CL730+AM730)/2,H730))))</f>
        <v>172</v>
      </c>
      <c r="AL730" s="62" t="n">
        <f aca="false">AK730*G730</f>
        <v>12160.4</v>
      </c>
      <c r="AM730" s="62" t="n">
        <f aca="false">ROUNDUP(CL730+MAX(CM730,2*(J730/IF(CH730&gt;0,CH730,MAX(0.1,N(Cockpit!$C$6)))-CL730)),0)</f>
        <v>10</v>
      </c>
      <c r="AN730" s="63" t="n">
        <f aca="false">IF(AJ730&gt;0,J730/AJ730,-1)</f>
        <v>0.167741935483871</v>
      </c>
      <c r="AO730" s="63" t="n">
        <f aca="false">IF(AND(OR(CG730="L1",CG730="L23",CG730="LIFT"),AJ730&gt;0),SUMIFS($AJ$7:$AJ$1843,$CG$7:$CG$1843,CG730,$AN$7:$AN$1843,"&gt;"&amp;AN730)+SUMIFS($AJ$7:$AJ$1843,$CG$7:$CG$1843,CG730,$AN$7:$AN$1843,AN730,$BX$7:$BX$1843,"&lt;="&amp;BX730),"")</f>
        <v>12721.4644900768</v>
      </c>
      <c r="AP730" s="70" t="n">
        <f aca="false">IF(AO730="",0,MAX(0,MIN(1,(IF(CG730="L1",Parameter!$H$5,IF(CG730="L23",Parameter!$H$6+Parameter!$H$7,Parameter!$H$5+Parameter!$H$6+Parameter!$H$7))-(AO730-AJ730))/AJ730)))</f>
        <v>1</v>
      </c>
      <c r="AQ730" s="62" t="n">
        <f aca="false">IF(LEFT(Cockpit!$I$5,1)="A",H730,IF(Parameter!$E$30="MAX-Bestand",IF(CI730=1,CJ730,IF(LEFT(Cockpit!$I$5,1)="B",AW730,MAX(AW730,H730))),ROUNDUP(AU730,0)))</f>
        <v>172</v>
      </c>
      <c r="AR730" s="62" t="n">
        <f aca="false">IF(CA730=1,0,ROUNDUP(AQ730/BZ730,0))</f>
        <v>1</v>
      </c>
      <c r="AS730" s="64" t="n">
        <f aca="false">IF(CR730&gt;0,CR730*MAX(1,AQ730/X730),IF(CA730=1,IF(AQ730&lt;=0,0,CE730*MAX(1,IF(H730&gt;0,AQ730/H730,1))),IF(R730&gt;0,AR730/R730,0))/MAX(0.1,N(Parameter!$M$21)))</f>
        <v>0.0384615384615385</v>
      </c>
      <c r="AT730" s="62" t="n">
        <f aca="false">AS730*CC730</f>
        <v>5.96153846153846</v>
      </c>
      <c r="AU730" s="63" t="n">
        <f aca="false">IF(LEFT(Cockpit!$I$5,1)="A",H730,IF(CI730=1,(CL730+CJ730)/2,IF(LEFT(Cockpit!$I$5,1)="B",(CL730+AW730)/2,MAX((CL730+AW730)/2,H730))))</f>
        <v>172</v>
      </c>
      <c r="AV730" s="62" t="n">
        <f aca="false">AU730*G730</f>
        <v>12160.4</v>
      </c>
      <c r="AW730" s="62" t="n">
        <f aca="false">ROUNDUP(CL730+MAX(CM730,2*(J730/IF(CH730&gt;0,CH730,MAX(0.1,N(Cockpit!$I$6)))-CL730)),0)</f>
        <v>10</v>
      </c>
      <c r="AX730" s="63" t="n">
        <f aca="false">IF(AT730&gt;0,J730/AT730,-1)</f>
        <v>0.167741935483871</v>
      </c>
      <c r="AY730" s="63" t="n">
        <f aca="false">IF(AND(OR(CG730="L1",CG730="L23",CG730="LIFT"),AT730&gt;0),SUMIFS($AT$7:$AT$1843,$CG$7:$CG$1843,CG730,$AX$7:$AX$1843,"&gt;"&amp;AX730)+SUMIFS($AT$7:$AT$1843,$CG$7:$CG$1843,CG730,$AX$7:$AX$1843,AX730,$BX$7:$BX$1843,"&lt;="&amp;BX730),"")</f>
        <v>15650.1451465201</v>
      </c>
      <c r="AZ730" s="70" t="n">
        <f aca="false">IF(AY730="",0,MAX(0,MIN(1,(IF(CG730="L1",Parameter!$H$5,IF(CG730="L23",Parameter!$H$6+Parameter!$H$7,Parameter!$H$5+Parameter!$H$6+Parameter!$H$7))-(AY730-AT730))/AT730)))</f>
        <v>1</v>
      </c>
      <c r="BA730" s="62" t="n">
        <f aca="false">IF(LEFT(Cockpit!$O$5,1)="A",H730,IF(Parameter!$E$30="MAX-Bestand",IF(CI730=1,CJ730,IF(LEFT(Cockpit!$O$5,1)="B",BG730,MAX(BG730,H730))),ROUNDUP(BE730,0)))</f>
        <v>5</v>
      </c>
      <c r="BB730" s="62" t="n">
        <f aca="false">IF(CA730=1,0,ROUNDUP(BA730/BZ730,0))</f>
        <v>1</v>
      </c>
      <c r="BC730" s="64" t="n">
        <f aca="false">IF(CR730&gt;0,CR730*MAX(1,BA730/X730),IF(CA730=1,IF(BA730&lt;=0,0,CE730*MAX(1,IF(H730&gt;0,BA730/H730,1))),IF(R730&gt;0,BB730/R730,0))/MAX(0.1,N(Parameter!$M$21)))</f>
        <v>0.0384615384615385</v>
      </c>
      <c r="BD730" s="62" t="n">
        <f aca="false">BC730*CC730</f>
        <v>5.96153846153846</v>
      </c>
      <c r="BE730" s="63" t="n">
        <f aca="false">IF(LEFT(Cockpit!$O$5,1)="A",H730,IF(CI730=1,(CL730+CJ730)/2,IF(LEFT(Cockpit!$O$5,1)="B",(CL730+BG730)/2,MAX((CL730+BG730)/2,H730))))</f>
        <v>5</v>
      </c>
      <c r="BF730" s="62" t="n">
        <f aca="false">BE730*G730</f>
        <v>353.5</v>
      </c>
      <c r="BG730" s="62" t="n">
        <f aca="false">ROUNDUP(CL730+MAX(CM730,2*(J730/IF(CH730&gt;0,CH730,MAX(0.1,N(Cockpit!$O$6)))-CL730)),0)</f>
        <v>10</v>
      </c>
      <c r="BH730" s="63" t="n">
        <f aca="false">IF(BD730&gt;0,J730/BD730,-1)</f>
        <v>0.167741935483871</v>
      </c>
      <c r="BI730" s="63" t="n">
        <f aca="false">IF(AND(OR(CG730="L1",CG730="L23",CG730="LIFT"),BD730&gt;0),SUMIFS($BD$7:$BD$1843,$CG$7:$CG$1843,CG730,$BH$7:$BH$1843,"&gt;"&amp;BH730)+SUMIFS($BD$7:$BD$1843,$CG$7:$CG$1843,CG730,$BH$7:$BH$1843,BH730,$BX$7:$BX$1843,"&lt;="&amp;BX730),"")</f>
        <v>13452.4449747522</v>
      </c>
      <c r="BJ730" s="70" t="n">
        <f aca="false">IF(BI730="",0,MAX(0,MIN(1,(IF(CG730="L1",Parameter!$H$5,IF(CG730="L23",Parameter!$H$6+Parameter!$H$7,Parameter!$H$5+Parameter!$H$6+Parameter!$H$7))-(BI730-BD730))/BD730)))</f>
        <v>1</v>
      </c>
      <c r="BK730" s="60" t="str">
        <f aca="false">IF(AJ730&lt;=0,"",IF(CG730="Aussen","Aussenlager",IF(CG730="-","Nicht im Lift",IF(AP730&gt;=1,"Lift",IF(AP730&lt;=0,"Aussenlager","teilweise")))))</f>
        <v>Lift</v>
      </c>
      <c r="BL730" s="60" t="str">
        <f aca="false">IF(AT730&lt;=0,"",IF(CG730="Aussen","Aussenlager",IF(CG730="-","Nicht im Lift",IF(AZ730&gt;=1,"Lift",IF(AZ730&lt;=0,"Aussenlager","teilweise")))))</f>
        <v>Lift</v>
      </c>
      <c r="BM730" s="60" t="str">
        <f aca="false">IF(BD730&lt;=0,"",IF(CG730="Aussen","Aussenlager",IF(CG730="-","Nicht im Lift",IF(BJ730&gt;=1,"Lift",IF(BJ730&lt;=0,"Aussenlager","teilweise")))))</f>
        <v>Lift</v>
      </c>
      <c r="BN730" s="60" t="str">
        <f aca="false">IF(A730="","",IF(BW730=1,"Neu; ","")&amp;IF(AND(BW730=0,BR730&lt;0),"negativer Bestand (Export "&amp;BR730&amp;"); ","")&amp;IF(J730&lt;=0,"Kein Verbrauch; ","")&amp;IF(CR730&gt;0,"Lift "&amp;W730&amp;" lt. Liftbericht (Fach "&amp;X730&amp;" Stk); ",IF(CB730=1,"Gebinde geschätzt ("&amp;T730&amp;"); ",IF(CA730=1,"Lose – Tablare geschätzt; ","")))&amp;IF(H730&gt;AW730,"Überbestand "&amp;ROUND(H730-AW730,0)&amp;" Stk / CHF "&amp;ROUND((H730-AW730)*G730,0)&amp;"; ","")&amp;IF(AND(CI730=1,CJ730&lt;CK730),"MAX &lt; MB+LG; ","")&amp;IF(AND(CQ730&gt;0,CP730*10&gt;CQ730),"zu hoch für Tablar; ","")&amp;IF(AND(BW730=0,OR(CI730=1,AB730&lt;&gt;"",U730&lt;&gt;"",V730&lt;&gt;"",AC730&lt;&gt;"")),"manuell übersteuert; ","")&amp;IF(AND(CA730=0,R730=0),"Gebinde unbekannt / Stellmass fehlt; ","")&amp;IF(AND(CA730=0,N(V730)&lt;=0,N(Q730)&lt;=0),"Menge pro Gebinde fehlt (Ist = 1 Gebinde); ","")&amp;BV730)</f>
        <v>Überbestand 162 Stk / CHF 11453; Überbestand</v>
      </c>
      <c r="BO730" s="60"/>
      <c r="BP730" s="60"/>
      <c r="BQ730" s="67"/>
      <c r="BR730" s="62" t="n">
        <v>0</v>
      </c>
      <c r="BS730" s="62" t="n">
        <v>172</v>
      </c>
      <c r="BT730" s="61" t="n">
        <v>0</v>
      </c>
      <c r="BU730" s="62" t="n">
        <v>1</v>
      </c>
      <c r="BV730" s="60" t="s">
        <v>434</v>
      </c>
      <c r="BW730" s="65" t="n">
        <v>0</v>
      </c>
      <c r="BX730" s="65" t="n">
        <v>730</v>
      </c>
      <c r="BY730" s="60" t="str">
        <f aca="false">IF(U730&lt;&gt;"",UPPER(TRIM(U730)),IF(CB730=1,UPPER(VLOOKUP(T730,Parameter!$I$27:$K$29,2,0)),IF(P730="","LOSE",P730)))</f>
        <v>S51</v>
      </c>
      <c r="BZ730" s="62" t="n">
        <f aca="false">IF(BY730="LOSE",1,IF(N(V730)&gt;0,V730,IF(CB730=1,MAX(1,N(VLOOKUP(T730,Parameter!$I$27:$K$29,3,0)),H730,N(N730)),IF(N(Q730)&gt;0,Q730,MAX(1,H730)))))</f>
        <v>181</v>
      </c>
      <c r="CA730" s="65" t="n">
        <f aca="false">IF(BY730="LOSE",1,0)</f>
        <v>0</v>
      </c>
      <c r="CB730" s="65" t="n">
        <f aca="false">IF(AND(U730="",OR(P730="",P730="LOSE"),T730&lt;&gt;"",N(S730)&lt;=0,ISNUMBER(MATCH(T730,Parameter!$I$27:$I$29,0))),1,0)</f>
        <v>0</v>
      </c>
      <c r="CC730" s="65" t="n">
        <f aca="false">IF(CR730&gt;0,INDEX(Parameter!$H$5:$H$7,W730)/INDEX(Parameter!$E$5:$E$7,W730),IF(AND(CA730=0,N(IFERROR(VLOOKUP(BY730,'Gebinde-Kategorie'!$A$5:$N$45,14,0),0))&gt;0),VLOOKUP(BY730,'Gebinde-Kategorie'!$A$5:$N$45,14,0)*10+Parameter!$M$23,Parameter!$M$24))</f>
        <v>155</v>
      </c>
      <c r="CD730" s="60" t="str">
        <f aca="false">IF(AND(Parameter!$B$19="Ja",E730&lt;&gt;"",ISNUMBER(MATCH(E730,Parameter!$I$35:$I$52,0))),VLOOKUP(E730,Parameter!$I$35:$J$52,2,0),IFERROR(VLOOKUP(D730,Parameter!$A$35:$C$64,2,0),"Nein"))</f>
        <v>2+3</v>
      </c>
      <c r="CE730" s="64" t="n">
        <f aca="false">IF(CA730=0,0,IF(N(S730)&gt;0,S730,IFERROR(VLOOKUP(D730,Parameter!$A$35:$C$64,3,0)+0,0)))</f>
        <v>0</v>
      </c>
      <c r="CF730" s="60" t="n">
        <f aca="false">IF(AB730&lt;&gt;"",AB730,AA730)</f>
        <v>3</v>
      </c>
      <c r="CG730" s="60" t="str">
        <f aca="false">IF(OR(CF730=1,CF730=2,CF730=3),IF(Parameter!$E$27="Ja","LIFT",IF(CF730=1,"L1","L23")),IF(CF730="Aussen","Aussen","-"))</f>
        <v>LIFT</v>
      </c>
      <c r="CH730" s="71" t="n">
        <f aca="false">IF(N(AC730)&gt;0,AC730,0)</f>
        <v>0</v>
      </c>
      <c r="CI730" s="65" t="n">
        <f aca="false">IF(ISNUMBER(AF730),1,0)</f>
        <v>0</v>
      </c>
      <c r="CJ730" s="62" t="n">
        <f aca="false">N(AF730)</f>
        <v>0</v>
      </c>
      <c r="CK730" s="62" t="n">
        <f aca="false">N(M730)+N(N730)</f>
        <v>10</v>
      </c>
      <c r="CL730" s="62" t="n">
        <f aca="false">N(M730)</f>
        <v>0</v>
      </c>
      <c r="CM730" s="62" t="n">
        <f aca="false">N(N730)</f>
        <v>10</v>
      </c>
      <c r="CN730" s="62" t="n">
        <f aca="false">ROUNDUP(H730/BZ730,0)</f>
        <v>1</v>
      </c>
      <c r="CO730" s="62" t="n">
        <f aca="false">ROUNDUP(CJ730/BZ730,0)</f>
        <v>0</v>
      </c>
      <c r="CP730" s="65" t="n">
        <f aca="false">IF(CA730=1,0,IFERROR(VLOOKUP(BY730,'Gebinde-Kategorie'!$A$5:$N$45,5,0)+0,0))</f>
        <v>11</v>
      </c>
      <c r="CQ730" s="65" t="n">
        <f aca="false">IFERROR(IF(OR(CF730=1,CF730=2,CF730=3),N(INDEX(Parameter!$I$5:$I$7,CF730)),0),0)</f>
        <v>0</v>
      </c>
      <c r="CR730" s="64" t="n">
        <f aca="false">IF(AND(Parameter!$B$21="Ja",ISNUMBER(W730),N(X730)&gt;0),IFERROR(N(INDEX(Parameter!$L$5:$L$7,W730))*INDEX(Parameter!$E$5:$E$7,W730)*X730/SUMIFS($X$7:$X$1843,$W$7:$W$1843,W730),0),0)</f>
        <v>0</v>
      </c>
      <c r="CS730" s="62" t="n">
        <f aca="false">IF(AND(OR(CG730="L1",CG730="L23",CG730="LIFT"),H730&gt;0),CC730*IF(CR730&gt;0,CR730*MAX(1,H730/X730),IF(CA730=1,CE730,IF(R730&gt;0,CN730/R730,0))/MAX(0.1,N(Parameter!$M$21))),"")</f>
        <v>5.96153846153846</v>
      </c>
      <c r="CT730" s="64" t="n">
        <f aca="false">IF(CS730="","",J730/H730)</f>
        <v>0.00581395348837209</v>
      </c>
      <c r="CU730" s="62" t="n">
        <f aca="false">IF(CS730="","",H730*G730)</f>
        <v>12160.4</v>
      </c>
      <c r="CV730" s="63" t="n">
        <f aca="false">IF(CS730="","",(CL730+ROUNDUP(CL730+MAX(CM730,2*(J730/MAX(0.1,N(Einkauf!$C$6))-CL730)),0))/2)</f>
        <v>5</v>
      </c>
      <c r="CW730" s="62" t="n">
        <f aca="false">IF(CS730="","",MAX(0,H730-CV730)*G730)</f>
        <v>11806.9</v>
      </c>
      <c r="CX730" s="62" t="n">
        <f aca="false">IF(CS730="","",CS730*MAX(0,1-CV730/H730))</f>
        <v>5.78823792486583</v>
      </c>
      <c r="CY730" s="64" t="n">
        <f aca="false">IF(CS730="","",PERCENTRANK($CS$7:$CS$1843,CS730)+PERCENTRANK($CU$7:$CU$1843,CU730)+1-PERCENTRANK($CT$7:$CT$1843,CT730))</f>
        <v>1.947</v>
      </c>
      <c r="CZ730" s="72" t="n">
        <f aca="false">IF(CS730="","",CHOOSE(MATCH(Einkauf!$C$5,Parameter!$G$23:$G$27,0),CY730,CS730,CU730,-CT730,CW730)+ROW()/1000000000)</f>
        <v>1.94700073</v>
      </c>
    </row>
    <row r="731" customFormat="false" ht="15" hidden="false" customHeight="false" outlineLevel="0" collapsed="false">
      <c r="A731" s="60" t="s">
        <v>1491</v>
      </c>
      <c r="B731" s="60" t="s">
        <v>1492</v>
      </c>
      <c r="C731" s="60" t="s">
        <v>206</v>
      </c>
      <c r="D731" s="60" t="s">
        <v>215</v>
      </c>
      <c r="E731" s="60"/>
      <c r="F731" s="60" t="s">
        <v>260</v>
      </c>
      <c r="G731" s="61" t="n">
        <v>0</v>
      </c>
      <c r="H731" s="62" t="n">
        <f aca="false">MAX(0,IF(AND(Parameter!$B$21="Ja",ISNUMBER(Y731)),Y731,IF(Parameter!$B$20="Jahresanfang 2025 + Export",BS731+BR731,BR731)))</f>
        <v>0</v>
      </c>
      <c r="I731" s="62" t="n">
        <f aca="false">H731*G731</f>
        <v>0</v>
      </c>
      <c r="J731" s="62" t="n">
        <f aca="false">BU731*Parameter!$B$18</f>
        <v>0</v>
      </c>
      <c r="K731" s="63" t="n">
        <v>0.5</v>
      </c>
      <c r="L731" s="64" t="n">
        <v>0</v>
      </c>
      <c r="M731" s="62" t="n">
        <v>0</v>
      </c>
      <c r="N731" s="62" t="n">
        <v>1</v>
      </c>
      <c r="O731" s="65" t="n">
        <v>90</v>
      </c>
      <c r="P731" s="60" t="s">
        <v>210</v>
      </c>
      <c r="Q731" s="62"/>
      <c r="R731" s="65" t="n">
        <f aca="false">IF(CA731=1,0,IFERROR(VLOOKUP(BY731,'Gebinde-Kategorie'!$A$5:$N$45,13,0)+0,0))</f>
        <v>4</v>
      </c>
      <c r="S731" s="66"/>
      <c r="T731" s="67" t="s">
        <v>231</v>
      </c>
      <c r="U731" s="67"/>
      <c r="V731" s="67"/>
      <c r="W731" s="60"/>
      <c r="X731" s="62"/>
      <c r="Y731" s="62"/>
      <c r="Z731" s="60" t="n">
        <v>2</v>
      </c>
      <c r="AA731" s="60" t="n">
        <f aca="false">IF(A731="","",IF(AND(Parameter!$B$21="Ja",ISNUMBER(W731)),W731,IF(AND(Parameter!$E$27="Ja",ISNUMBER(Z731),CD731&lt;&gt;"Nein"),Z731,IF(CD731="2+3",IF(ISNUMBER(SEARCH("grosser Artikel",BV731)),2,IFERROR(VLOOKUP(BY731,Parameter!$F$35:$G$64,2,0),2)),IF(OR(CD731="Nein",CD731=""),"-",CD731)))))</f>
        <v>2</v>
      </c>
      <c r="AB731" s="67"/>
      <c r="AC731" s="68"/>
      <c r="AD731" s="62" t="n">
        <f aca="false">AW731</f>
        <v>1</v>
      </c>
      <c r="AE731" s="62" t="n">
        <f aca="false">MAX(AW731,H731)</f>
        <v>1</v>
      </c>
      <c r="AF731" s="69"/>
      <c r="AG731" s="62" t="n">
        <f aca="false">IF(LEFT(Cockpit!$C$5,1)="A",H731,IF(Parameter!$E$30="MAX-Bestand",IF(CI731=1,CJ731,IF(LEFT(Cockpit!$C$5,1)="B",AM731,MAX(AM731,H731))),ROUNDUP(AK731,0)))</f>
        <v>0</v>
      </c>
      <c r="AH731" s="62" t="n">
        <f aca="false">IF(CA731=1,0,ROUNDUP(AG731/BZ731,0))</f>
        <v>0</v>
      </c>
      <c r="AI731" s="64" t="n">
        <f aca="false">IF(CR731&gt;0,CR731*MAX(1,AG731/X731),IF(CA731=1,IF(AG731&lt;=0,0,CE731*MAX(1,IF(H731&gt;0,AG731/H731,1))),IF(R731&gt;0,AH731/R731,0))/MAX(0.1,N(Parameter!$M$21)))</f>
        <v>0</v>
      </c>
      <c r="AJ731" s="62" t="n">
        <f aca="false">AI731*CC731</f>
        <v>0</v>
      </c>
      <c r="AK731" s="63" t="n">
        <f aca="false">IF(LEFT(Cockpit!$C$5,1)="A",H731,IF(CI731=1,(CL731+CJ731)/2,IF(LEFT(Cockpit!$C$5,1)="B",(CL731+AM731)/2,MAX((CL731+AM731)/2,H731))))</f>
        <v>0</v>
      </c>
      <c r="AL731" s="62" t="n">
        <f aca="false">AK731*G731</f>
        <v>0</v>
      </c>
      <c r="AM731" s="62" t="n">
        <f aca="false">ROUNDUP(CL731+MAX(CM731,2*(J731/IF(CH731&gt;0,CH731,MAX(0.1,N(Cockpit!$C$6)))-CL731)),0)</f>
        <v>1</v>
      </c>
      <c r="AN731" s="63" t="n">
        <f aca="false">IF(AJ731&gt;0,J731/AJ731,-1)</f>
        <v>-1</v>
      </c>
      <c r="AO731" s="63" t="str">
        <f aca="false">IF(AND(OR(CG731="L1",CG731="L23",CG731="LIFT"),AJ731&gt;0),SUMIFS($AJ$7:$AJ$1843,$CG$7:$CG$1843,CG731,$AN$7:$AN$1843,"&gt;"&amp;AN731)+SUMIFS($AJ$7:$AJ$1843,$CG$7:$CG$1843,CG731,$AN$7:$AN$1843,AN731,$BX$7:$BX$1843,"&lt;="&amp;BX731),"")</f>
        <v/>
      </c>
      <c r="AP731" s="70" t="n">
        <f aca="false">IF(AO731="",0,MAX(0,MIN(1,(IF(CG731="L1",Parameter!$H$5,IF(CG731="L23",Parameter!$H$6+Parameter!$H$7,Parameter!$H$5+Parameter!$H$6+Parameter!$H$7))-(AO731-AJ731))/AJ731)))</f>
        <v>0</v>
      </c>
      <c r="AQ731" s="62" t="n">
        <f aca="false">IF(LEFT(Cockpit!$I$5,1)="A",H731,IF(Parameter!$E$30="MAX-Bestand",IF(CI731=1,CJ731,IF(LEFT(Cockpit!$I$5,1)="B",AW731,MAX(AW731,H731))),ROUNDUP(AU731,0)))</f>
        <v>1</v>
      </c>
      <c r="AR731" s="62" t="n">
        <f aca="false">IF(CA731=1,0,ROUNDUP(AQ731/BZ731,0))</f>
        <v>1</v>
      </c>
      <c r="AS731" s="64" t="n">
        <f aca="false">IF(CR731&gt;0,CR731*MAX(1,AQ731/X731),IF(CA731=1,IF(AQ731&lt;=0,0,CE731*MAX(1,IF(H731&gt;0,AQ731/H731,1))),IF(R731&gt;0,AR731/R731,0))/MAX(0.1,N(Parameter!$M$21)))</f>
        <v>0.25</v>
      </c>
      <c r="AT731" s="62" t="n">
        <f aca="false">AS731*CC731</f>
        <v>58.75</v>
      </c>
      <c r="AU731" s="63" t="n">
        <f aca="false">IF(LEFT(Cockpit!$I$5,1)="A",H731,IF(CI731=1,(CL731+CJ731)/2,IF(LEFT(Cockpit!$I$5,1)="B",(CL731+AW731)/2,MAX((CL731+AW731)/2,H731))))</f>
        <v>0.5</v>
      </c>
      <c r="AV731" s="62" t="n">
        <f aca="false">AU731*G731</f>
        <v>0</v>
      </c>
      <c r="AW731" s="62" t="n">
        <f aca="false">ROUNDUP(CL731+MAX(CM731,2*(J731/IF(CH731&gt;0,CH731,MAX(0.1,N(Cockpit!$I$6)))-CL731)),0)</f>
        <v>1</v>
      </c>
      <c r="AX731" s="63" t="n">
        <f aca="false">IF(AT731&gt;0,J731/AT731,-1)</f>
        <v>0</v>
      </c>
      <c r="AY731" s="63" t="n">
        <f aca="false">IF(AND(OR(CG731="L1",CG731="L23",CG731="LIFT"),AT731&gt;0),SUMIFS($AT$7:$AT$1843,$CG$7:$CG$1843,CG731,$AX$7:$AX$1843,"&gt;"&amp;AX731)+SUMIFS($AT$7:$AT$1843,$CG$7:$CG$1843,CG731,$AX$7:$AX$1843,AX731,$BX$7:$BX$1843,"&lt;="&amp;BX731),"")</f>
        <v>34245.5146520147</v>
      </c>
      <c r="AZ731" s="70" t="n">
        <f aca="false">IF(AY731="",0,MAX(0,MIN(1,(IF(CG731="L1",Parameter!$H$5,IF(CG731="L23",Parameter!$H$6+Parameter!$H$7,Parameter!$H$5+Parameter!$H$6+Parameter!$H$7))-(AY731-AT731))/AT731)))</f>
        <v>1</v>
      </c>
      <c r="BA731" s="62" t="n">
        <f aca="false">IF(LEFT(Cockpit!$O$5,1)="A",H731,IF(Parameter!$E$30="MAX-Bestand",IF(CI731=1,CJ731,IF(LEFT(Cockpit!$O$5,1)="B",BG731,MAX(BG731,H731))),ROUNDUP(BE731,0)))</f>
        <v>1</v>
      </c>
      <c r="BB731" s="62" t="n">
        <f aca="false">IF(CA731=1,0,ROUNDUP(BA731/BZ731,0))</f>
        <v>1</v>
      </c>
      <c r="BC731" s="64" t="n">
        <f aca="false">IF(CR731&gt;0,CR731*MAX(1,BA731/X731),IF(CA731=1,IF(BA731&lt;=0,0,CE731*MAX(1,IF(H731&gt;0,BA731/H731,1))),IF(R731&gt;0,BB731/R731,0))/MAX(0.1,N(Parameter!$M$21)))</f>
        <v>0.25</v>
      </c>
      <c r="BD731" s="62" t="n">
        <f aca="false">BC731*CC731</f>
        <v>58.75</v>
      </c>
      <c r="BE731" s="63" t="n">
        <f aca="false">IF(LEFT(Cockpit!$O$5,1)="A",H731,IF(CI731=1,(CL731+CJ731)/2,IF(LEFT(Cockpit!$O$5,1)="B",(CL731+BG731)/2,MAX((CL731+BG731)/2,H731))))</f>
        <v>0.5</v>
      </c>
      <c r="BF731" s="62" t="n">
        <f aca="false">BE731*G731</f>
        <v>0</v>
      </c>
      <c r="BG731" s="62" t="n">
        <f aca="false">ROUNDUP(CL731+MAX(CM731,2*(J731/IF(CH731&gt;0,CH731,MAX(0.1,N(Cockpit!$O$6)))-CL731)),0)</f>
        <v>1</v>
      </c>
      <c r="BH731" s="63" t="n">
        <f aca="false">IF(BD731&gt;0,J731/BD731,-1)</f>
        <v>0</v>
      </c>
      <c r="BI731" s="63" t="n">
        <f aca="false">IF(AND(OR(CG731="L1",CG731="L23",CG731="LIFT"),BD731&gt;0),SUMIFS($BD$7:$BD$1843,$CG$7:$CG$1843,CG731,$BH$7:$BH$1843,"&gt;"&amp;BH731)+SUMIFS($BD$7:$BD$1843,$CG$7:$CG$1843,CG731,$BH$7:$BH$1843,BH731,$BX$7:$BX$1843,"&lt;="&amp;BX731),"")</f>
        <v>28309.6436564848</v>
      </c>
      <c r="BJ731" s="70" t="n">
        <f aca="false">IF(BI731="",0,MAX(0,MIN(1,(IF(CG731="L1",Parameter!$H$5,IF(CG731="L23",Parameter!$H$6+Parameter!$H$7,Parameter!$H$5+Parameter!$H$6+Parameter!$H$7))-(BI731-BD731))/BD731)))</f>
        <v>1</v>
      </c>
      <c r="BK731" s="60" t="str">
        <f aca="false">IF(AJ731&lt;=0,"",IF(CG731="Aussen","Aussenlager",IF(CG731="-","Nicht im Lift",IF(AP731&gt;=1,"Lift",IF(AP731&lt;=0,"Aussenlager","teilweise")))))</f>
        <v/>
      </c>
      <c r="BL731" s="60" t="str">
        <f aca="false">IF(AT731&lt;=0,"",IF(CG731="Aussen","Aussenlager",IF(CG731="-","Nicht im Lift",IF(AZ731&gt;=1,"Lift",IF(AZ731&lt;=0,"Aussenlager","teilweise")))))</f>
        <v>Lift</v>
      </c>
      <c r="BM731" s="60" t="str">
        <f aca="false">IF(BD731&lt;=0,"",IF(CG731="Aussen","Aussenlager",IF(CG731="-","Nicht im Lift",IF(BJ731&gt;=1,"Lift",IF(BJ731&lt;=0,"Aussenlager","teilweise")))))</f>
        <v>Lift</v>
      </c>
      <c r="BN731" s="60" t="str">
        <f aca="false">IF(A731="","",IF(BW731=1,"Neu; ","")&amp;IF(AND(BW731=0,BR731&lt;0),"negativer Bestand (Export "&amp;BR731&amp;"); ","")&amp;IF(J731&lt;=0,"Kein Verbrauch; ","")&amp;IF(CR731&gt;0,"Lift "&amp;W731&amp;" lt. Liftbericht (Fach "&amp;X731&amp;" Stk); ",IF(CB731=1,"Gebinde geschätzt ("&amp;T731&amp;"); ",IF(CA731=1,"Lose – Tablare geschätzt; ","")))&amp;IF(H731&gt;AW731,"Überbestand "&amp;ROUND(H731-AW731,0)&amp;" Stk / CHF "&amp;ROUND((H731-AW731)*G731,0)&amp;"; ","")&amp;IF(AND(CI731=1,CJ731&lt;CK731),"MAX &lt; MB+LG; ","")&amp;IF(AND(CQ731&gt;0,CP731*10&gt;CQ731),"zu hoch für Tablar; ","")&amp;IF(AND(BW731=0,OR(CI731=1,AB731&lt;&gt;"",U731&lt;&gt;"",V731&lt;&gt;"",AC731&lt;&gt;"")),"manuell übersteuert; ","")&amp;IF(AND(CA731=0,R731=0),"Gebinde unbekannt / Stellmass fehlt; ","")&amp;IF(AND(CA731=0,N(V731)&lt;=0,N(Q731)&lt;=0),"Menge pro Gebinde fehlt (Ist = 1 Gebinde); ","")&amp;BV731)</f>
        <v>negativer Bestand (Export -1); Kein Verbrauch; Gebinde geschätzt (Gross); Menge pro Gebinde fehlt (Ist = 1 Gebinde); </v>
      </c>
      <c r="BO731" s="60"/>
      <c r="BP731" s="60"/>
      <c r="BQ731" s="67"/>
      <c r="BR731" s="62" t="n">
        <v>-1</v>
      </c>
      <c r="BS731" s="62" t="n">
        <v>1</v>
      </c>
      <c r="BT731" s="61" t="n">
        <v>0</v>
      </c>
      <c r="BU731" s="62" t="n">
        <v>0</v>
      </c>
      <c r="BV731" s="60"/>
      <c r="BW731" s="65" t="n">
        <v>0</v>
      </c>
      <c r="BX731" s="65" t="n">
        <v>731</v>
      </c>
      <c r="BY731" s="60" t="str">
        <f aca="false">IF(U731&lt;&gt;"",UPPER(TRIM(U731)),IF(CB731=1,UPPER(VLOOKUP(T731,Parameter!$I$27:$K$29,2,0)),IF(P731="","LOSE",P731)))</f>
        <v>S81</v>
      </c>
      <c r="BZ731" s="62" t="n">
        <f aca="false">IF(BY731="LOSE",1,IF(N(V731)&gt;0,V731,IF(CB731=1,MAX(1,N(VLOOKUP(T731,Parameter!$I$27:$K$29,3,0)),H731,N(N731)),IF(N(Q731)&gt;0,Q731,MAX(1,H731)))))</f>
        <v>2</v>
      </c>
      <c r="CA731" s="65" t="n">
        <f aca="false">IF(BY731="LOSE",1,0)</f>
        <v>0</v>
      </c>
      <c r="CB731" s="65" t="n">
        <f aca="false">IF(AND(U731="",OR(P731="",P731="LOSE"),T731&lt;&gt;"",N(S731)&lt;=0,ISNUMBER(MATCH(T731,Parameter!$I$27:$I$29,0))),1,0)</f>
        <v>1</v>
      </c>
      <c r="CC731" s="65" t="n">
        <f aca="false">IF(CR731&gt;0,INDEX(Parameter!$H$5:$H$7,W731)/INDEX(Parameter!$E$5:$E$7,W731),IF(AND(CA731=0,N(IFERROR(VLOOKUP(BY731,'Gebinde-Kategorie'!$A$5:$N$45,14,0),0))&gt;0),VLOOKUP(BY731,'Gebinde-Kategorie'!$A$5:$N$45,14,0)*10+Parameter!$M$23,Parameter!$M$24))</f>
        <v>235</v>
      </c>
      <c r="CD731" s="60" t="str">
        <f aca="false">IF(AND(Parameter!$B$19="Ja",E731&lt;&gt;"",ISNUMBER(MATCH(E731,Parameter!$I$35:$I$52,0))),VLOOKUP(E731,Parameter!$I$35:$J$52,2,0),IFERROR(VLOOKUP(D731,Parameter!$A$35:$C$64,2,0),"Nein"))</f>
        <v>2+3</v>
      </c>
      <c r="CE731" s="64" t="n">
        <f aca="false">IF(CA731=0,0,IF(N(S731)&gt;0,S731,IFERROR(VLOOKUP(D731,Parameter!$A$35:$C$64,3,0)+0,0)))</f>
        <v>0</v>
      </c>
      <c r="CF731" s="60" t="n">
        <f aca="false">IF(AB731&lt;&gt;"",AB731,AA731)</f>
        <v>2</v>
      </c>
      <c r="CG731" s="60" t="str">
        <f aca="false">IF(OR(CF731=1,CF731=2,CF731=3),IF(Parameter!$E$27="Ja","LIFT",IF(CF731=1,"L1","L23")),IF(CF731="Aussen","Aussen","-"))</f>
        <v>LIFT</v>
      </c>
      <c r="CH731" s="71" t="n">
        <f aca="false">IF(N(AC731)&gt;0,AC731,0)</f>
        <v>0</v>
      </c>
      <c r="CI731" s="65" t="n">
        <f aca="false">IF(ISNUMBER(AF731),1,0)</f>
        <v>0</v>
      </c>
      <c r="CJ731" s="62" t="n">
        <f aca="false">N(AF731)</f>
        <v>0</v>
      </c>
      <c r="CK731" s="62" t="n">
        <f aca="false">N(M731)+N(N731)</f>
        <v>1</v>
      </c>
      <c r="CL731" s="62" t="n">
        <f aca="false">N(M731)</f>
        <v>0</v>
      </c>
      <c r="CM731" s="62" t="n">
        <f aca="false">N(N731)</f>
        <v>1</v>
      </c>
      <c r="CN731" s="62" t="n">
        <f aca="false">ROUNDUP(H731/BZ731,0)</f>
        <v>0</v>
      </c>
      <c r="CO731" s="62" t="n">
        <f aca="false">ROUNDUP(CJ731/BZ731,0)</f>
        <v>0</v>
      </c>
      <c r="CP731" s="65" t="n">
        <f aca="false">IF(CA731=1,0,IFERROR(VLOOKUP(BY731,'Gebinde-Kategorie'!$A$5:$N$45,5,0)+0,0))</f>
        <v>20</v>
      </c>
      <c r="CQ731" s="65" t="n">
        <f aca="false">IFERROR(IF(OR(CF731=1,CF731=2,CF731=3),N(INDEX(Parameter!$I$5:$I$7,CF731)),0),0)</f>
        <v>0</v>
      </c>
      <c r="CR731" s="64" t="n">
        <f aca="false">IF(AND(Parameter!$B$21="Ja",ISNUMBER(W731),N(X731)&gt;0),IFERROR(N(INDEX(Parameter!$L$5:$L$7,W731))*INDEX(Parameter!$E$5:$E$7,W731)*X731/SUMIFS($X$7:$X$1843,$W$7:$W$1843,W731),0),0)</f>
        <v>0</v>
      </c>
      <c r="CS731" s="62" t="str">
        <f aca="false">IF(AND(OR(CG731="L1",CG731="L23",CG731="LIFT"),H731&gt;0),CC731*IF(CR731&gt;0,CR731*MAX(1,H731/X731),IF(CA731=1,CE731,IF(R731&gt;0,CN731/R731,0))/MAX(0.1,N(Parameter!$M$21))),"")</f>
        <v/>
      </c>
      <c r="CT731" s="64" t="str">
        <f aca="false">IF(CS731="","",J731/H731)</f>
        <v/>
      </c>
      <c r="CU731" s="62" t="str">
        <f aca="false">IF(CS731="","",H731*G731)</f>
        <v/>
      </c>
      <c r="CV731" s="63" t="str">
        <f aca="false">IF(CS731="","",(CL731+ROUNDUP(CL731+MAX(CM731,2*(J731/MAX(0.1,N(Einkauf!$C$6))-CL731)),0))/2)</f>
        <v/>
      </c>
      <c r="CW731" s="62" t="str">
        <f aca="false">IF(CS731="","",MAX(0,H731-CV731)*G731)</f>
        <v/>
      </c>
      <c r="CX731" s="62" t="str">
        <f aca="false">IF(CS731="","",CS731*MAX(0,1-CV731/H731))</f>
        <v/>
      </c>
      <c r="CY731" s="64" t="str">
        <f aca="false">IF(CS731="","",PERCENTRANK($CS$7:$CS$1843,CS731)+PERCENTRANK($CU$7:$CU$1843,CU731)+1-PERCENTRANK($CT$7:$CT$1843,CT731))</f>
        <v/>
      </c>
      <c r="CZ731" s="72" t="str">
        <f aca="false">IF(CS731="","",CHOOSE(MATCH(Einkauf!$C$5,Parameter!$G$23:$G$27,0),CY731,CS731,CU731,-CT731,CW731)+ROW()/1000000000)</f>
        <v/>
      </c>
    </row>
    <row r="732" customFormat="false" ht="15" hidden="false" customHeight="false" outlineLevel="0" collapsed="false">
      <c r="A732" s="60" t="s">
        <v>1493</v>
      </c>
      <c r="B732" s="60" t="s">
        <v>934</v>
      </c>
      <c r="C732" s="60" t="s">
        <v>206</v>
      </c>
      <c r="D732" s="60" t="s">
        <v>226</v>
      </c>
      <c r="E732" s="60" t="s">
        <v>227</v>
      </c>
      <c r="F732" s="60" t="s">
        <v>260</v>
      </c>
      <c r="G732" s="61" t="n">
        <v>22.27</v>
      </c>
      <c r="H732" s="62" t="n">
        <f aca="false">MAX(0,IF(AND(Parameter!$B$21="Ja",ISNUMBER(Y732)),Y732,IF(Parameter!$B$20="Jahresanfang 2025 + Export",BS732+BR732,BR732)))</f>
        <v>13</v>
      </c>
      <c r="I732" s="62" t="n">
        <f aca="false">H732*G732</f>
        <v>289.51</v>
      </c>
      <c r="J732" s="62" t="n">
        <f aca="false">BU732*Parameter!$B$18</f>
        <v>1</v>
      </c>
      <c r="K732" s="63" t="n">
        <v>12.5</v>
      </c>
      <c r="L732" s="64" t="n">
        <v>0.08</v>
      </c>
      <c r="M732" s="62" t="n">
        <v>0</v>
      </c>
      <c r="N732" s="62" t="n">
        <v>1</v>
      </c>
      <c r="O732" s="65" t="n">
        <v>14</v>
      </c>
      <c r="P732" s="60" t="s">
        <v>518</v>
      </c>
      <c r="Q732" s="62" t="n">
        <v>16</v>
      </c>
      <c r="R732" s="65" t="n">
        <f aca="false">IF(CA732=1,0,IFERROR(VLOOKUP(BY732,'Gebinde-Kategorie'!$A$5:$N$45,13,0)+0,0))</f>
        <v>52</v>
      </c>
      <c r="S732" s="66"/>
      <c r="T732" s="67"/>
      <c r="U732" s="67"/>
      <c r="V732" s="67"/>
      <c r="W732" s="60"/>
      <c r="X732" s="62"/>
      <c r="Y732" s="62"/>
      <c r="Z732" s="60" t="n">
        <v>3</v>
      </c>
      <c r="AA732" s="60" t="n">
        <f aca="false">IF(A732="","",IF(AND(Parameter!$B$21="Ja",ISNUMBER(W732)),W732,IF(AND(Parameter!$E$27="Ja",ISNUMBER(Z732),CD732&lt;&gt;"Nein"),Z732,IF(CD732="2+3",IF(ISNUMBER(SEARCH("grosser Artikel",BV732)),2,IFERROR(VLOOKUP(BY732,Parameter!$F$35:$G$64,2,0),2)),IF(OR(CD732="Nein",CD732=""),"-",CD732)))))</f>
        <v>3</v>
      </c>
      <c r="AB732" s="67"/>
      <c r="AC732" s="68"/>
      <c r="AD732" s="62" t="n">
        <f aca="false">AW732</f>
        <v>1</v>
      </c>
      <c r="AE732" s="62" t="n">
        <f aca="false">MAX(AW732,H732)</f>
        <v>13</v>
      </c>
      <c r="AF732" s="69"/>
      <c r="AG732" s="62" t="n">
        <f aca="false">IF(LEFT(Cockpit!$C$5,1)="A",H732,IF(Parameter!$E$30="MAX-Bestand",IF(CI732=1,CJ732,IF(LEFT(Cockpit!$C$5,1)="B",AM732,MAX(AM732,H732))),ROUNDUP(AK732,0)))</f>
        <v>13</v>
      </c>
      <c r="AH732" s="62" t="n">
        <f aca="false">IF(CA732=1,0,ROUNDUP(AG732/BZ732,0))</f>
        <v>1</v>
      </c>
      <c r="AI732" s="64" t="n">
        <f aca="false">IF(CR732&gt;0,CR732*MAX(1,AG732/X732),IF(CA732=1,IF(AG732&lt;=0,0,CE732*MAX(1,IF(H732&gt;0,AG732/H732,1))),IF(R732&gt;0,AH732/R732,0))/MAX(0.1,N(Parameter!$M$21)))</f>
        <v>0.0192307692307692</v>
      </c>
      <c r="AJ732" s="62" t="n">
        <f aca="false">AI732*CC732</f>
        <v>2.98076923076923</v>
      </c>
      <c r="AK732" s="63" t="n">
        <f aca="false">IF(LEFT(Cockpit!$C$5,1)="A",H732,IF(CI732=1,(CL732+CJ732)/2,IF(LEFT(Cockpit!$C$5,1)="B",(CL732+AM732)/2,MAX((CL732+AM732)/2,H732))))</f>
        <v>13</v>
      </c>
      <c r="AL732" s="62" t="n">
        <f aca="false">AK732*G732</f>
        <v>289.51</v>
      </c>
      <c r="AM732" s="62" t="n">
        <f aca="false">ROUNDUP(CL732+MAX(CM732,2*(J732/IF(CH732&gt;0,CH732,MAX(0.1,N(Cockpit!$C$6)))-CL732)),0)</f>
        <v>1</v>
      </c>
      <c r="AN732" s="63" t="n">
        <f aca="false">IF(AJ732&gt;0,J732/AJ732,-1)</f>
        <v>0.335483870967742</v>
      </c>
      <c r="AO732" s="63" t="n">
        <f aca="false">IF(AND(OR(CG732="L1",CG732="L23",CG732="LIFT"),AJ732&gt;0),SUMIFS($AJ$7:$AJ$1843,$CG$7:$CG$1843,CG732,$AN$7:$AN$1843,"&gt;"&amp;AN732)+SUMIFS($AJ$7:$AJ$1843,$CG$7:$CG$1843,CG732,$AN$7:$AN$1843,AN732,$BX$7:$BX$1843,"&lt;="&amp;BX732),"")</f>
        <v>11197.9424241013</v>
      </c>
      <c r="AP732" s="70" t="n">
        <f aca="false">IF(AO732="",0,MAX(0,MIN(1,(IF(CG732="L1",Parameter!$H$5,IF(CG732="L23",Parameter!$H$6+Parameter!$H$7,Parameter!$H$5+Parameter!$H$6+Parameter!$H$7))-(AO732-AJ732))/AJ732)))</f>
        <v>1</v>
      </c>
      <c r="AQ732" s="62" t="n">
        <f aca="false">IF(LEFT(Cockpit!$I$5,1)="A",H732,IF(Parameter!$E$30="MAX-Bestand",IF(CI732=1,CJ732,IF(LEFT(Cockpit!$I$5,1)="B",AW732,MAX(AW732,H732))),ROUNDUP(AU732,0)))</f>
        <v>13</v>
      </c>
      <c r="AR732" s="62" t="n">
        <f aca="false">IF(CA732=1,0,ROUNDUP(AQ732/BZ732,0))</f>
        <v>1</v>
      </c>
      <c r="AS732" s="64" t="n">
        <f aca="false">IF(CR732&gt;0,CR732*MAX(1,AQ732/X732),IF(CA732=1,IF(AQ732&lt;=0,0,CE732*MAX(1,IF(H732&gt;0,AQ732/H732,1))),IF(R732&gt;0,AR732/R732,0))/MAX(0.1,N(Parameter!$M$21)))</f>
        <v>0.0192307692307692</v>
      </c>
      <c r="AT732" s="62" t="n">
        <f aca="false">AS732*CC732</f>
        <v>2.98076923076923</v>
      </c>
      <c r="AU732" s="63" t="n">
        <f aca="false">IF(LEFT(Cockpit!$I$5,1)="A",H732,IF(CI732=1,(CL732+CJ732)/2,IF(LEFT(Cockpit!$I$5,1)="B",(CL732+AW732)/2,MAX((CL732+AW732)/2,H732))))</f>
        <v>13</v>
      </c>
      <c r="AV732" s="62" t="n">
        <f aca="false">AU732*G732</f>
        <v>289.51</v>
      </c>
      <c r="AW732" s="62" t="n">
        <f aca="false">ROUNDUP(CL732+MAX(CM732,2*(J732/IF(CH732&gt;0,CH732,MAX(0.1,N(Cockpit!$I$6)))-CL732)),0)</f>
        <v>1</v>
      </c>
      <c r="AX732" s="63" t="n">
        <f aca="false">IF(AT732&gt;0,J732/AT732,-1)</f>
        <v>0.335483870967742</v>
      </c>
      <c r="AY732" s="63" t="n">
        <f aca="false">IF(AND(OR(CG732="L1",CG732="L23",CG732="LIFT"),AT732&gt;0),SUMIFS($AT$7:$AT$1843,$CG$7:$CG$1843,CG732,$AX$7:$AX$1843,"&gt;"&amp;AX732)+SUMIFS($AT$7:$AT$1843,$CG$7:$CG$1843,CG732,$AX$7:$AX$1843,AX732,$BX$7:$BX$1843,"&lt;="&amp;BX732),"")</f>
        <v>13732.0801282051</v>
      </c>
      <c r="AZ732" s="70" t="n">
        <f aca="false">IF(AY732="",0,MAX(0,MIN(1,(IF(CG732="L1",Parameter!$H$5,IF(CG732="L23",Parameter!$H$6+Parameter!$H$7,Parameter!$H$5+Parameter!$H$6+Parameter!$H$7))-(AY732-AT732))/AT732)))</f>
        <v>1</v>
      </c>
      <c r="BA732" s="62" t="n">
        <f aca="false">IF(LEFT(Cockpit!$O$5,1)="A",H732,IF(Parameter!$E$30="MAX-Bestand",IF(CI732=1,CJ732,IF(LEFT(Cockpit!$O$5,1)="B",BG732,MAX(BG732,H732))),ROUNDUP(BE732,0)))</f>
        <v>1</v>
      </c>
      <c r="BB732" s="62" t="n">
        <f aca="false">IF(CA732=1,0,ROUNDUP(BA732/BZ732,0))</f>
        <v>1</v>
      </c>
      <c r="BC732" s="64" t="n">
        <f aca="false">IF(CR732&gt;0,CR732*MAX(1,BA732/X732),IF(CA732=1,IF(BA732&lt;=0,0,CE732*MAX(1,IF(H732&gt;0,BA732/H732,1))),IF(R732&gt;0,BB732/R732,0))/MAX(0.1,N(Parameter!$M$21)))</f>
        <v>0.0192307692307692</v>
      </c>
      <c r="BD732" s="62" t="n">
        <f aca="false">BC732*CC732</f>
        <v>2.98076923076923</v>
      </c>
      <c r="BE732" s="63" t="n">
        <f aca="false">IF(LEFT(Cockpit!$O$5,1)="A",H732,IF(CI732=1,(CL732+CJ732)/2,IF(LEFT(Cockpit!$O$5,1)="B",(CL732+BG732)/2,MAX((CL732+BG732)/2,H732))))</f>
        <v>0.5</v>
      </c>
      <c r="BF732" s="62" t="n">
        <f aca="false">BE732*G732</f>
        <v>11.135</v>
      </c>
      <c r="BG732" s="62" t="n">
        <f aca="false">ROUNDUP(CL732+MAX(CM732,2*(J732/IF(CH732&gt;0,CH732,MAX(0.1,N(Cockpit!$O$6)))-CL732)),0)</f>
        <v>1</v>
      </c>
      <c r="BH732" s="63" t="n">
        <f aca="false">IF(BD732&gt;0,J732/BD732,-1)</f>
        <v>0.335483870967742</v>
      </c>
      <c r="BI732" s="63" t="n">
        <f aca="false">IF(AND(OR(CG732="L1",CG732="L23",CG732="LIFT"),BD732&gt;0),SUMIFS($BD$7:$BD$1843,$CG$7:$CG$1843,CG732,$BH$7:$BH$1843,"&gt;"&amp;BH732)+SUMIFS($BD$7:$BD$1843,$CG$7:$CG$1843,CG732,$BH$7:$BH$1843,BH732,$BX$7:$BX$1843,"&lt;="&amp;BX732),"")</f>
        <v>11583.0389194139</v>
      </c>
      <c r="BJ732" s="70" t="n">
        <f aca="false">IF(BI732="",0,MAX(0,MIN(1,(IF(CG732="L1",Parameter!$H$5,IF(CG732="L23",Parameter!$H$6+Parameter!$H$7,Parameter!$H$5+Parameter!$H$6+Parameter!$H$7))-(BI732-BD732))/BD732)))</f>
        <v>1</v>
      </c>
      <c r="BK732" s="60" t="str">
        <f aca="false">IF(AJ732&lt;=0,"",IF(CG732="Aussen","Aussenlager",IF(CG732="-","Nicht im Lift",IF(AP732&gt;=1,"Lift",IF(AP732&lt;=0,"Aussenlager","teilweise")))))</f>
        <v>Lift</v>
      </c>
      <c r="BL732" s="60" t="str">
        <f aca="false">IF(AT732&lt;=0,"",IF(CG732="Aussen","Aussenlager",IF(CG732="-","Nicht im Lift",IF(AZ732&gt;=1,"Lift",IF(AZ732&lt;=0,"Aussenlager","teilweise")))))</f>
        <v>Lift</v>
      </c>
      <c r="BM732" s="60" t="str">
        <f aca="false">IF(BD732&lt;=0,"",IF(CG732="Aussen","Aussenlager",IF(CG732="-","Nicht im Lift",IF(BJ732&gt;=1,"Lift",IF(BJ732&lt;=0,"Aussenlager","teilweise")))))</f>
        <v>Lift</v>
      </c>
      <c r="BN732" s="60" t="str">
        <f aca="false">IF(A732="","",IF(BW732=1,"Neu; ","")&amp;IF(AND(BW732=0,BR732&lt;0),"negativer Bestand (Export "&amp;BR732&amp;"); ","")&amp;IF(J732&lt;=0,"Kein Verbrauch; ","")&amp;IF(CR732&gt;0,"Lift "&amp;W732&amp;" lt. Liftbericht (Fach "&amp;X732&amp;" Stk); ",IF(CB732=1,"Gebinde geschätzt ("&amp;T732&amp;"); ",IF(CA732=1,"Lose – Tablare geschätzt; ","")))&amp;IF(H732&gt;AW732,"Überbestand "&amp;ROUND(H732-AW732,0)&amp;" Stk / CHF "&amp;ROUND((H732-AW732)*G732,0)&amp;"; ","")&amp;IF(AND(CI732=1,CJ732&lt;CK732),"MAX &lt; MB+LG; ","")&amp;IF(AND(CQ732&gt;0,CP732*10&gt;CQ732),"zu hoch für Tablar; ","")&amp;IF(AND(BW732=0,OR(CI732=1,AB732&lt;&gt;"",U732&lt;&gt;"",V732&lt;&gt;"",AC732&lt;&gt;"")),"manuell übersteuert; ","")&amp;IF(AND(CA732=0,R732=0),"Gebinde unbekannt / Stellmass fehlt; ","")&amp;IF(AND(CA732=0,N(V732)&lt;=0,N(Q732)&lt;=0),"Menge pro Gebinde fehlt (Ist = 1 Gebinde); ","")&amp;BV732)</f>
        <v>Überbestand 12 Stk / CHF 267; </v>
      </c>
      <c r="BO732" s="60"/>
      <c r="BP732" s="60"/>
      <c r="BQ732" s="67"/>
      <c r="BR732" s="62" t="n">
        <v>0</v>
      </c>
      <c r="BS732" s="62" t="n">
        <v>13</v>
      </c>
      <c r="BT732" s="61" t="n">
        <v>0</v>
      </c>
      <c r="BU732" s="62" t="n">
        <v>1</v>
      </c>
      <c r="BV732" s="60"/>
      <c r="BW732" s="65" t="n">
        <v>0</v>
      </c>
      <c r="BX732" s="65" t="n">
        <v>732</v>
      </c>
      <c r="BY732" s="60" t="str">
        <f aca="false">IF(U732&lt;&gt;"",UPPER(TRIM(U732)),IF(CB732=1,UPPER(VLOOKUP(T732,Parameter!$I$27:$K$29,2,0)),IF(P732="","LOSE",P732)))</f>
        <v>S33</v>
      </c>
      <c r="BZ732" s="62" t="n">
        <f aca="false">IF(BY732="LOSE",1,IF(N(V732)&gt;0,V732,IF(CB732=1,MAX(1,N(VLOOKUP(T732,Parameter!$I$27:$K$29,3,0)),H732,N(N732)),IF(N(Q732)&gt;0,Q732,MAX(1,H732)))))</f>
        <v>16</v>
      </c>
      <c r="CA732" s="65" t="n">
        <f aca="false">IF(BY732="LOSE",1,0)</f>
        <v>0</v>
      </c>
      <c r="CB732" s="65" t="n">
        <f aca="false">IF(AND(U732="",OR(P732="",P732="LOSE"),T732&lt;&gt;"",N(S732)&lt;=0,ISNUMBER(MATCH(T732,Parameter!$I$27:$I$29,0))),1,0)</f>
        <v>0</v>
      </c>
      <c r="CC732" s="65" t="n">
        <f aca="false">IF(CR732&gt;0,INDEX(Parameter!$H$5:$H$7,W732)/INDEX(Parameter!$E$5:$E$7,W732),IF(AND(CA732=0,N(IFERROR(VLOOKUP(BY732,'Gebinde-Kategorie'!$A$5:$N$45,14,0),0))&gt;0),VLOOKUP(BY732,'Gebinde-Kategorie'!$A$5:$N$45,14,0)*10+Parameter!$M$23,Parameter!$M$24))</f>
        <v>155</v>
      </c>
      <c r="CD732" s="60" t="str">
        <f aca="false">IF(AND(Parameter!$B$19="Ja",E732&lt;&gt;"",ISNUMBER(MATCH(E732,Parameter!$I$35:$I$52,0))),VLOOKUP(E732,Parameter!$I$35:$J$52,2,0),IFERROR(VLOOKUP(D732,Parameter!$A$35:$C$64,2,0),"Nein"))</f>
        <v>2+3</v>
      </c>
      <c r="CE732" s="64" t="n">
        <f aca="false">IF(CA732=0,0,IF(N(S732)&gt;0,S732,IFERROR(VLOOKUP(D732,Parameter!$A$35:$C$64,3,0)+0,0)))</f>
        <v>0</v>
      </c>
      <c r="CF732" s="60" t="n">
        <f aca="false">IF(AB732&lt;&gt;"",AB732,AA732)</f>
        <v>3</v>
      </c>
      <c r="CG732" s="60" t="str">
        <f aca="false">IF(OR(CF732=1,CF732=2,CF732=3),IF(Parameter!$E$27="Ja","LIFT",IF(CF732=1,"L1","L23")),IF(CF732="Aussen","Aussen","-"))</f>
        <v>LIFT</v>
      </c>
      <c r="CH732" s="71" t="n">
        <f aca="false">IF(N(AC732)&gt;0,AC732,0)</f>
        <v>0</v>
      </c>
      <c r="CI732" s="65" t="n">
        <f aca="false">IF(ISNUMBER(AF732),1,0)</f>
        <v>0</v>
      </c>
      <c r="CJ732" s="62" t="n">
        <f aca="false">N(AF732)</f>
        <v>0</v>
      </c>
      <c r="CK732" s="62" t="n">
        <f aca="false">N(M732)+N(N732)</f>
        <v>1</v>
      </c>
      <c r="CL732" s="62" t="n">
        <f aca="false">N(M732)</f>
        <v>0</v>
      </c>
      <c r="CM732" s="62" t="n">
        <f aca="false">N(N732)</f>
        <v>1</v>
      </c>
      <c r="CN732" s="62" t="n">
        <f aca="false">ROUNDUP(H732/BZ732,0)</f>
        <v>1</v>
      </c>
      <c r="CO732" s="62" t="n">
        <f aca="false">ROUNDUP(CJ732/BZ732,0)</f>
        <v>0</v>
      </c>
      <c r="CP732" s="65" t="n">
        <f aca="false">IF(CA732=1,0,IFERROR(VLOOKUP(BY732,'Gebinde-Kategorie'!$A$5:$N$45,5,0)+0,0))</f>
        <v>8</v>
      </c>
      <c r="CQ732" s="65" t="n">
        <f aca="false">IFERROR(IF(OR(CF732=1,CF732=2,CF732=3),N(INDEX(Parameter!$I$5:$I$7,CF732)),0),0)</f>
        <v>0</v>
      </c>
      <c r="CR732" s="64" t="n">
        <f aca="false">IF(AND(Parameter!$B$21="Ja",ISNUMBER(W732),N(X732)&gt;0),IFERROR(N(INDEX(Parameter!$L$5:$L$7,W732))*INDEX(Parameter!$E$5:$E$7,W732)*X732/SUMIFS($X$7:$X$1843,$W$7:$W$1843,W732),0),0)</f>
        <v>0</v>
      </c>
      <c r="CS732" s="62" t="n">
        <f aca="false">IF(AND(OR(CG732="L1",CG732="L23",CG732="LIFT"),H732&gt;0),CC732*IF(CR732&gt;0,CR732*MAX(1,H732/X732),IF(CA732=1,CE732,IF(R732&gt;0,CN732/R732,0))/MAX(0.1,N(Parameter!$M$21))),"")</f>
        <v>2.98076923076923</v>
      </c>
      <c r="CT732" s="64" t="n">
        <f aca="false">IF(CS732="","",J732/H732)</f>
        <v>0.0769230769230769</v>
      </c>
      <c r="CU732" s="62" t="n">
        <f aca="false">IF(CS732="","",H732*G732)</f>
        <v>289.51</v>
      </c>
      <c r="CV732" s="63" t="n">
        <f aca="false">IF(CS732="","",(CL732+ROUNDUP(CL732+MAX(CM732,2*(J732/MAX(0.1,N(Einkauf!$C$6))-CL732)),0))/2)</f>
        <v>0.5</v>
      </c>
      <c r="CW732" s="62" t="n">
        <f aca="false">IF(CS732="","",MAX(0,H732-CV732)*G732)</f>
        <v>278.375</v>
      </c>
      <c r="CX732" s="62" t="n">
        <f aca="false">IF(CS732="","",CS732*MAX(0,1-CV732/H732))</f>
        <v>2.86612426035503</v>
      </c>
      <c r="CY732" s="64" t="n">
        <f aca="false">IF(CS732="","",PERCENTRANK($CS$7:$CS$1843,CS732)+PERCENTRANK($CU$7:$CU$1843,CU732)+1-PERCENTRANK($CT$7:$CT$1843,CT732))</f>
        <v>1.204</v>
      </c>
      <c r="CZ732" s="72" t="n">
        <f aca="false">IF(CS732="","",CHOOSE(MATCH(Einkauf!$C$5,Parameter!$G$23:$G$27,0),CY732,CS732,CU732,-CT732,CW732)+ROW()/1000000000)</f>
        <v>1.204000732</v>
      </c>
    </row>
    <row r="733" customFormat="false" ht="15" hidden="false" customHeight="false" outlineLevel="0" collapsed="false">
      <c r="A733" s="60" t="s">
        <v>1494</v>
      </c>
      <c r="B733" s="60" t="s">
        <v>1495</v>
      </c>
      <c r="C733" s="60" t="s">
        <v>206</v>
      </c>
      <c r="D733" s="60" t="s">
        <v>226</v>
      </c>
      <c r="E733" s="60"/>
      <c r="F733" s="60" t="s">
        <v>260</v>
      </c>
      <c r="G733" s="61" t="n">
        <v>20.37</v>
      </c>
      <c r="H733" s="62" t="n">
        <f aca="false">MAX(0,IF(AND(Parameter!$B$21="Ja",ISNUMBER(Y733)),Y733,IF(Parameter!$B$20="Jahresanfang 2025 + Export",BS733+BR733,BR733)))</f>
        <v>17</v>
      </c>
      <c r="I733" s="62" t="n">
        <f aca="false">H733*G733</f>
        <v>346.29</v>
      </c>
      <c r="J733" s="62" t="n">
        <f aca="false">BU733*Parameter!$B$18</f>
        <v>0</v>
      </c>
      <c r="K733" s="63" t="n">
        <v>17</v>
      </c>
      <c r="L733" s="64" t="n">
        <v>0</v>
      </c>
      <c r="M733" s="62" t="n">
        <v>0</v>
      </c>
      <c r="N733" s="62" t="n">
        <v>1</v>
      </c>
      <c r="O733" s="65" t="n">
        <v>28</v>
      </c>
      <c r="P733" s="60" t="s">
        <v>468</v>
      </c>
      <c r="Q733" s="62" t="n">
        <v>7</v>
      </c>
      <c r="R733" s="65" t="n">
        <f aca="false">IF(CA733=1,0,IFERROR(VLOOKUP(BY733,'Gebinde-Kategorie'!$A$5:$N$45,13,0)+0,0))</f>
        <v>140</v>
      </c>
      <c r="S733" s="66"/>
      <c r="T733" s="67"/>
      <c r="U733" s="67"/>
      <c r="V733" s="67"/>
      <c r="W733" s="60"/>
      <c r="X733" s="62"/>
      <c r="Y733" s="62"/>
      <c r="Z733" s="60" t="n">
        <v>3</v>
      </c>
      <c r="AA733" s="60" t="n">
        <f aca="false">IF(A733="","",IF(AND(Parameter!$B$21="Ja",ISNUMBER(W733)),W733,IF(AND(Parameter!$E$27="Ja",ISNUMBER(Z733),CD733&lt;&gt;"Nein"),Z733,IF(CD733="2+3",IF(ISNUMBER(SEARCH("grosser Artikel",BV733)),2,IFERROR(VLOOKUP(BY733,Parameter!$F$35:$G$64,2,0),2)),IF(OR(CD733="Nein",CD733=""),"-",CD733)))))</f>
        <v>3</v>
      </c>
      <c r="AB733" s="67"/>
      <c r="AC733" s="68"/>
      <c r="AD733" s="62" t="n">
        <f aca="false">AW733</f>
        <v>1</v>
      </c>
      <c r="AE733" s="62" t="n">
        <f aca="false">MAX(AW733,H733)</f>
        <v>17</v>
      </c>
      <c r="AF733" s="69"/>
      <c r="AG733" s="62" t="n">
        <f aca="false">IF(LEFT(Cockpit!$C$5,1)="A",H733,IF(Parameter!$E$30="MAX-Bestand",IF(CI733=1,CJ733,IF(LEFT(Cockpit!$C$5,1)="B",AM733,MAX(AM733,H733))),ROUNDUP(AK733,0)))</f>
        <v>17</v>
      </c>
      <c r="AH733" s="62" t="n">
        <f aca="false">IF(CA733=1,0,ROUNDUP(AG733/BZ733,0))</f>
        <v>3</v>
      </c>
      <c r="AI733" s="64" t="n">
        <f aca="false">IF(CR733&gt;0,CR733*MAX(1,AG733/X733),IF(CA733=1,IF(AG733&lt;=0,0,CE733*MAX(1,IF(H733&gt;0,AG733/H733,1))),IF(R733&gt;0,AH733/R733,0))/MAX(0.1,N(Parameter!$M$21)))</f>
        <v>0.0214285714285714</v>
      </c>
      <c r="AJ733" s="62" t="n">
        <f aca="false">AI733*CC733</f>
        <v>3.32142857142857</v>
      </c>
      <c r="AK733" s="63" t="n">
        <f aca="false">IF(LEFT(Cockpit!$C$5,1)="A",H733,IF(CI733=1,(CL733+CJ733)/2,IF(LEFT(Cockpit!$C$5,1)="B",(CL733+AM733)/2,MAX((CL733+AM733)/2,H733))))</f>
        <v>17</v>
      </c>
      <c r="AL733" s="62" t="n">
        <f aca="false">AK733*G733</f>
        <v>346.29</v>
      </c>
      <c r="AM733" s="62" t="n">
        <f aca="false">ROUNDUP(CL733+MAX(CM733,2*(J733/IF(CH733&gt;0,CH733,MAX(0.1,N(Cockpit!$C$6)))-CL733)),0)</f>
        <v>1</v>
      </c>
      <c r="AN733" s="63" t="n">
        <f aca="false">IF(AJ733&gt;0,J733/AJ733,-1)</f>
        <v>0</v>
      </c>
      <c r="AO733" s="63" t="n">
        <f aca="false">IF(AND(OR(CG733="L1",CG733="L23",CG733="LIFT"),AJ733&gt;0),SUMIFS($AJ$7:$AJ$1843,$CG$7:$CG$1843,CG733,$AN$7:$AN$1843,"&gt;"&amp;AN733)+SUMIFS($AJ$7:$AJ$1843,$CG$7:$CG$1843,CG733,$AN$7:$AN$1843,AN733,$BX$7:$BX$1843,"&lt;="&amp;BX733),"")</f>
        <v>28674.1810289522</v>
      </c>
      <c r="AP733" s="70" t="n">
        <f aca="false">IF(AO733="",0,MAX(0,MIN(1,(IF(CG733="L1",Parameter!$H$5,IF(CG733="L23",Parameter!$H$6+Parameter!$H$7,Parameter!$H$5+Parameter!$H$6+Parameter!$H$7))-(AO733-AJ733))/AJ733)))</f>
        <v>1</v>
      </c>
      <c r="AQ733" s="62" t="n">
        <f aca="false">IF(LEFT(Cockpit!$I$5,1)="A",H733,IF(Parameter!$E$30="MAX-Bestand",IF(CI733=1,CJ733,IF(LEFT(Cockpit!$I$5,1)="B",AW733,MAX(AW733,H733))),ROUNDUP(AU733,0)))</f>
        <v>17</v>
      </c>
      <c r="AR733" s="62" t="n">
        <f aca="false">IF(CA733=1,0,ROUNDUP(AQ733/BZ733,0))</f>
        <v>3</v>
      </c>
      <c r="AS733" s="64" t="n">
        <f aca="false">IF(CR733&gt;0,CR733*MAX(1,AQ733/X733),IF(CA733=1,IF(AQ733&lt;=0,0,CE733*MAX(1,IF(H733&gt;0,AQ733/H733,1))),IF(R733&gt;0,AR733/R733,0))/MAX(0.1,N(Parameter!$M$21)))</f>
        <v>0.0214285714285714</v>
      </c>
      <c r="AT733" s="62" t="n">
        <f aca="false">AS733*CC733</f>
        <v>3.32142857142857</v>
      </c>
      <c r="AU733" s="63" t="n">
        <f aca="false">IF(LEFT(Cockpit!$I$5,1)="A",H733,IF(CI733=1,(CL733+CJ733)/2,IF(LEFT(Cockpit!$I$5,1)="B",(CL733+AW733)/2,MAX((CL733+AW733)/2,H733))))</f>
        <v>17</v>
      </c>
      <c r="AV733" s="62" t="n">
        <f aca="false">AU733*G733</f>
        <v>346.29</v>
      </c>
      <c r="AW733" s="62" t="n">
        <f aca="false">ROUNDUP(CL733+MAX(CM733,2*(J733/IF(CH733&gt;0,CH733,MAX(0.1,N(Cockpit!$I$6)))-CL733)),0)</f>
        <v>1</v>
      </c>
      <c r="AX733" s="63" t="n">
        <f aca="false">IF(AT733&gt;0,J733/AT733,-1)</f>
        <v>0</v>
      </c>
      <c r="AY733" s="63" t="n">
        <f aca="false">IF(AND(OR(CG733="L1",CG733="L23",CG733="LIFT"),AT733&gt;0),SUMIFS($AT$7:$AT$1843,$CG$7:$CG$1843,CG733,$AX$7:$AX$1843,"&gt;"&amp;AX733)+SUMIFS($AT$7:$AT$1843,$CG$7:$CG$1843,CG733,$AX$7:$AX$1843,AX733,$BX$7:$BX$1843,"&lt;="&amp;BX733),"")</f>
        <v>34248.8360805861</v>
      </c>
      <c r="AZ733" s="70" t="n">
        <f aca="false">IF(AY733="",0,MAX(0,MIN(1,(IF(CG733="L1",Parameter!$H$5,IF(CG733="L23",Parameter!$H$6+Parameter!$H$7,Parameter!$H$5+Parameter!$H$6+Parameter!$H$7))-(AY733-AT733))/AT733)))</f>
        <v>1</v>
      </c>
      <c r="BA733" s="62" t="n">
        <f aca="false">IF(LEFT(Cockpit!$O$5,1)="A",H733,IF(Parameter!$E$30="MAX-Bestand",IF(CI733=1,CJ733,IF(LEFT(Cockpit!$O$5,1)="B",BG733,MAX(BG733,H733))),ROUNDUP(BE733,0)))</f>
        <v>1</v>
      </c>
      <c r="BB733" s="62" t="n">
        <f aca="false">IF(CA733=1,0,ROUNDUP(BA733/BZ733,0))</f>
        <v>1</v>
      </c>
      <c r="BC733" s="64" t="n">
        <f aca="false">IF(CR733&gt;0,CR733*MAX(1,BA733/X733),IF(CA733=1,IF(BA733&lt;=0,0,CE733*MAX(1,IF(H733&gt;0,BA733/H733,1))),IF(R733&gt;0,BB733/R733,0))/MAX(0.1,N(Parameter!$M$21)))</f>
        <v>0.00714285714285714</v>
      </c>
      <c r="BD733" s="62" t="n">
        <f aca="false">BC733*CC733</f>
        <v>1.10714285714286</v>
      </c>
      <c r="BE733" s="63" t="n">
        <f aca="false">IF(LEFT(Cockpit!$O$5,1)="A",H733,IF(CI733=1,(CL733+CJ733)/2,IF(LEFT(Cockpit!$O$5,1)="B",(CL733+BG733)/2,MAX((CL733+BG733)/2,H733))))</f>
        <v>0.5</v>
      </c>
      <c r="BF733" s="62" t="n">
        <f aca="false">BE733*G733</f>
        <v>10.185</v>
      </c>
      <c r="BG733" s="62" t="n">
        <f aca="false">ROUNDUP(CL733+MAX(CM733,2*(J733/IF(CH733&gt;0,CH733,MAX(0.1,N(Cockpit!$O$6)))-CL733)),0)</f>
        <v>1</v>
      </c>
      <c r="BH733" s="63" t="n">
        <f aca="false">IF(BD733&gt;0,J733/BD733,-1)</f>
        <v>0</v>
      </c>
      <c r="BI733" s="63" t="n">
        <f aca="false">IF(AND(OR(CG733="L1",CG733="L23",CG733="LIFT"),BD733&gt;0),SUMIFS($BD$7:$BD$1843,$CG$7:$CG$1843,CG733,$BH$7:$BH$1843,"&gt;"&amp;BH733)+SUMIFS($BD$7:$BD$1843,$CG$7:$CG$1843,CG733,$BH$7:$BH$1843,BH733,$BX$7:$BX$1843,"&lt;="&amp;BX733),"")</f>
        <v>28310.7507993419</v>
      </c>
      <c r="BJ733" s="70" t="n">
        <f aca="false">IF(BI733="",0,MAX(0,MIN(1,(IF(CG733="L1",Parameter!$H$5,IF(CG733="L23",Parameter!$H$6+Parameter!$H$7,Parameter!$H$5+Parameter!$H$6+Parameter!$H$7))-(BI733-BD733))/BD733)))</f>
        <v>1</v>
      </c>
      <c r="BK733" s="60" t="str">
        <f aca="false">IF(AJ733&lt;=0,"",IF(CG733="Aussen","Aussenlager",IF(CG733="-","Nicht im Lift",IF(AP733&gt;=1,"Lift",IF(AP733&lt;=0,"Aussenlager","teilweise")))))</f>
        <v>Lift</v>
      </c>
      <c r="BL733" s="60" t="str">
        <f aca="false">IF(AT733&lt;=0,"",IF(CG733="Aussen","Aussenlager",IF(CG733="-","Nicht im Lift",IF(AZ733&gt;=1,"Lift",IF(AZ733&lt;=0,"Aussenlager","teilweise")))))</f>
        <v>Lift</v>
      </c>
      <c r="BM733" s="60" t="str">
        <f aca="false">IF(BD733&lt;=0,"",IF(CG733="Aussen","Aussenlager",IF(CG733="-","Nicht im Lift",IF(BJ733&gt;=1,"Lift",IF(BJ733&lt;=0,"Aussenlager","teilweise")))))</f>
        <v>Lift</v>
      </c>
      <c r="BN733" s="60" t="str">
        <f aca="false">IF(A733="","",IF(BW733=1,"Neu; ","")&amp;IF(AND(BW733=0,BR733&lt;0),"negativer Bestand (Export "&amp;BR733&amp;"); ","")&amp;IF(J733&lt;=0,"Kein Verbrauch; ","")&amp;IF(CR733&gt;0,"Lift "&amp;W733&amp;" lt. Liftbericht (Fach "&amp;X733&amp;" Stk); ",IF(CB733=1,"Gebinde geschätzt ("&amp;T733&amp;"); ",IF(CA733=1,"Lose – Tablare geschätzt; ","")))&amp;IF(H733&gt;AW733,"Überbestand "&amp;ROUND(H733-AW733,0)&amp;" Stk / CHF "&amp;ROUND((H733-AW733)*G733,0)&amp;"; ","")&amp;IF(AND(CI733=1,CJ733&lt;CK733),"MAX &lt; MB+LG; ","")&amp;IF(AND(CQ733&gt;0,CP733*10&gt;CQ733),"zu hoch für Tablar; ","")&amp;IF(AND(BW733=0,OR(CI733=1,AB733&lt;&gt;"",U733&lt;&gt;"",V733&lt;&gt;"",AC733&lt;&gt;"")),"manuell übersteuert; ","")&amp;IF(AND(CA733=0,R733=0),"Gebinde unbekannt / Stellmass fehlt; ","")&amp;IF(AND(CA733=0,N(V733)&lt;=0,N(Q733)&lt;=0),"Menge pro Gebinde fehlt (Ist = 1 Gebinde); ","")&amp;BV733)</f>
        <v>Kein Verbrauch; Überbestand 16 Stk / CHF 326; Überbestand</v>
      </c>
      <c r="BO733" s="60"/>
      <c r="BP733" s="60"/>
      <c r="BQ733" s="67"/>
      <c r="BR733" s="62" t="n">
        <v>0</v>
      </c>
      <c r="BS733" s="62" t="n">
        <v>17</v>
      </c>
      <c r="BT733" s="61" t="n">
        <v>0</v>
      </c>
      <c r="BU733" s="62" t="n">
        <v>0</v>
      </c>
      <c r="BV733" s="60" t="s">
        <v>434</v>
      </c>
      <c r="BW733" s="65" t="n">
        <v>0</v>
      </c>
      <c r="BX733" s="65" t="n">
        <v>733</v>
      </c>
      <c r="BY733" s="60" t="str">
        <f aca="false">IF(U733&lt;&gt;"",UPPER(TRIM(U733)),IF(CB733=1,UPPER(VLOOKUP(T733,Parameter!$I$27:$K$29,2,0)),IF(P733="","LOSE",P733)))</f>
        <v>S22</v>
      </c>
      <c r="BZ733" s="62" t="n">
        <f aca="false">IF(BY733="LOSE",1,IF(N(V733)&gt;0,V733,IF(CB733=1,MAX(1,N(VLOOKUP(T733,Parameter!$I$27:$K$29,3,0)),H733,N(N733)),IF(N(Q733)&gt;0,Q733,MAX(1,H733)))))</f>
        <v>7</v>
      </c>
      <c r="CA733" s="65" t="n">
        <f aca="false">IF(BY733="LOSE",1,0)</f>
        <v>0</v>
      </c>
      <c r="CB733" s="65" t="n">
        <f aca="false">IF(AND(U733="",OR(P733="",P733="LOSE"),T733&lt;&gt;"",N(S733)&lt;=0,ISNUMBER(MATCH(T733,Parameter!$I$27:$I$29,0))),1,0)</f>
        <v>0</v>
      </c>
      <c r="CC733" s="65" t="n">
        <f aca="false">IF(CR733&gt;0,INDEX(Parameter!$H$5:$H$7,W733)/INDEX(Parameter!$E$5:$E$7,W733),IF(AND(CA733=0,N(IFERROR(VLOOKUP(BY733,'Gebinde-Kategorie'!$A$5:$N$45,14,0),0))&gt;0),VLOOKUP(BY733,'Gebinde-Kategorie'!$A$5:$N$45,14,0)*10+Parameter!$M$23,Parameter!$M$24))</f>
        <v>155</v>
      </c>
      <c r="CD733" s="60" t="str">
        <f aca="false">IF(AND(Parameter!$B$19="Ja",E733&lt;&gt;"",ISNUMBER(MATCH(E733,Parameter!$I$35:$I$52,0))),VLOOKUP(E733,Parameter!$I$35:$J$52,2,0),IFERROR(VLOOKUP(D733,Parameter!$A$35:$C$64,2,0),"Nein"))</f>
        <v>2+3</v>
      </c>
      <c r="CE733" s="64" t="n">
        <f aca="false">IF(CA733=0,0,IF(N(S733)&gt;0,S733,IFERROR(VLOOKUP(D733,Parameter!$A$35:$C$64,3,0)+0,0)))</f>
        <v>0</v>
      </c>
      <c r="CF733" s="60" t="n">
        <f aca="false">IF(AB733&lt;&gt;"",AB733,AA733)</f>
        <v>3</v>
      </c>
      <c r="CG733" s="60" t="str">
        <f aca="false">IF(OR(CF733=1,CF733=2,CF733=3),IF(Parameter!$E$27="Ja","LIFT",IF(CF733=1,"L1","L23")),IF(CF733="Aussen","Aussen","-"))</f>
        <v>LIFT</v>
      </c>
      <c r="CH733" s="71" t="n">
        <f aca="false">IF(N(AC733)&gt;0,AC733,0)</f>
        <v>0</v>
      </c>
      <c r="CI733" s="65" t="n">
        <f aca="false">IF(ISNUMBER(AF733),1,0)</f>
        <v>0</v>
      </c>
      <c r="CJ733" s="62" t="n">
        <f aca="false">N(AF733)</f>
        <v>0</v>
      </c>
      <c r="CK733" s="62" t="n">
        <f aca="false">N(M733)+N(N733)</f>
        <v>1</v>
      </c>
      <c r="CL733" s="62" t="n">
        <f aca="false">N(M733)</f>
        <v>0</v>
      </c>
      <c r="CM733" s="62" t="n">
        <f aca="false">N(N733)</f>
        <v>1</v>
      </c>
      <c r="CN733" s="62" t="n">
        <f aca="false">ROUNDUP(H733/BZ733,0)</f>
        <v>3</v>
      </c>
      <c r="CO733" s="62" t="n">
        <f aca="false">ROUNDUP(CJ733/BZ733,0)</f>
        <v>0</v>
      </c>
      <c r="CP733" s="65" t="n">
        <f aca="false">IF(CA733=1,0,IFERROR(VLOOKUP(BY733,'Gebinde-Kategorie'!$A$5:$N$45,5,0)+0,0))</f>
        <v>8</v>
      </c>
      <c r="CQ733" s="65" t="n">
        <f aca="false">IFERROR(IF(OR(CF733=1,CF733=2,CF733=3),N(INDEX(Parameter!$I$5:$I$7,CF733)),0),0)</f>
        <v>0</v>
      </c>
      <c r="CR733" s="64" t="n">
        <f aca="false">IF(AND(Parameter!$B$21="Ja",ISNUMBER(W733),N(X733)&gt;0),IFERROR(N(INDEX(Parameter!$L$5:$L$7,W733))*INDEX(Parameter!$E$5:$E$7,W733)*X733/SUMIFS($X$7:$X$1843,$W$7:$W$1843,W733),0),0)</f>
        <v>0</v>
      </c>
      <c r="CS733" s="62" t="n">
        <f aca="false">IF(AND(OR(CG733="L1",CG733="L23",CG733="LIFT"),H733&gt;0),CC733*IF(CR733&gt;0,CR733*MAX(1,H733/X733),IF(CA733=1,CE733,IF(R733&gt;0,CN733/R733,0))/MAX(0.1,N(Parameter!$M$21))),"")</f>
        <v>3.32142857142857</v>
      </c>
      <c r="CT733" s="64" t="n">
        <f aca="false">IF(CS733="","",J733/H733)</f>
        <v>0</v>
      </c>
      <c r="CU733" s="62" t="n">
        <f aca="false">IF(CS733="","",H733*G733)</f>
        <v>346.29</v>
      </c>
      <c r="CV733" s="63" t="n">
        <f aca="false">IF(CS733="","",(CL733+ROUNDUP(CL733+MAX(CM733,2*(J733/MAX(0.1,N(Einkauf!$C$6))-CL733)),0))/2)</f>
        <v>0.5</v>
      </c>
      <c r="CW733" s="62" t="n">
        <f aca="false">IF(CS733="","",MAX(0,H733-CV733)*G733)</f>
        <v>336.105</v>
      </c>
      <c r="CX733" s="62" t="n">
        <f aca="false">IF(CS733="","",CS733*MAX(0,1-CV733/H733))</f>
        <v>3.22373949579832</v>
      </c>
      <c r="CY733" s="64" t="n">
        <f aca="false">IF(CS733="","",PERCENTRANK($CS$7:$CS$1843,CS733)+PERCENTRANK($CU$7:$CU$1843,CU733)+1-PERCENTRANK($CT$7:$CT$1843,CT733))</f>
        <v>1.797</v>
      </c>
      <c r="CZ733" s="72" t="n">
        <f aca="false">IF(CS733="","",CHOOSE(MATCH(Einkauf!$C$5,Parameter!$G$23:$G$27,0),CY733,CS733,CU733,-CT733,CW733)+ROW()/1000000000)</f>
        <v>1.797000733</v>
      </c>
    </row>
    <row r="734" customFormat="false" ht="15" hidden="false" customHeight="false" outlineLevel="0" collapsed="false">
      <c r="A734" s="60" t="s">
        <v>1496</v>
      </c>
      <c r="B734" s="60" t="s">
        <v>1483</v>
      </c>
      <c r="C734" s="60" t="s">
        <v>206</v>
      </c>
      <c r="D734" s="60" t="s">
        <v>215</v>
      </c>
      <c r="E734" s="60" t="s">
        <v>215</v>
      </c>
      <c r="F734" s="60" t="s">
        <v>260</v>
      </c>
      <c r="G734" s="61" t="n">
        <v>490.5</v>
      </c>
      <c r="H734" s="62" t="n">
        <f aca="false">MAX(0,IF(AND(Parameter!$B$21="Ja",ISNUMBER(Y734)),Y734,IF(Parameter!$B$20="Jahresanfang 2025 + Export",BS734+BR734,BR734)))</f>
        <v>0</v>
      </c>
      <c r="I734" s="62" t="n">
        <f aca="false">H734*G734</f>
        <v>0</v>
      </c>
      <c r="J734" s="62" t="n">
        <f aca="false">BU734*Parameter!$B$18</f>
        <v>2</v>
      </c>
      <c r="K734" s="63" t="n">
        <v>0</v>
      </c>
      <c r="L734" s="64" t="n">
        <v>0</v>
      </c>
      <c r="M734" s="62" t="n">
        <v>0</v>
      </c>
      <c r="N734" s="62" t="n">
        <v>1</v>
      </c>
      <c r="O734" s="65" t="n">
        <v>42</v>
      </c>
      <c r="P734" s="60" t="s">
        <v>210</v>
      </c>
      <c r="Q734" s="62"/>
      <c r="R734" s="65" t="n">
        <f aca="false">IF(CA734=1,0,IFERROR(VLOOKUP(BY734,'Gebinde-Kategorie'!$A$5:$N$45,13,0)+0,0))</f>
        <v>12</v>
      </c>
      <c r="S734" s="66"/>
      <c r="T734" s="67" t="s">
        <v>221</v>
      </c>
      <c r="U734" s="67"/>
      <c r="V734" s="67"/>
      <c r="W734" s="60"/>
      <c r="X734" s="62"/>
      <c r="Y734" s="62"/>
      <c r="Z734" s="60"/>
      <c r="AA734" s="60" t="str">
        <f aca="false">IF(A734="","",IF(AND(Parameter!$B$21="Ja",ISNUMBER(W734)),W734,IF(AND(Parameter!$E$27="Ja",ISNUMBER(Z734),CD734&lt;&gt;"Nein"),Z734,IF(CD734="2+3",IF(ISNUMBER(SEARCH("grosser Artikel",BV734)),2,IFERROR(VLOOKUP(BY734,Parameter!$F$35:$G$64,2,0),2)),IF(OR(CD734="Nein",CD734=""),"-",CD734)))))</f>
        <v>-</v>
      </c>
      <c r="AB734" s="67"/>
      <c r="AC734" s="68"/>
      <c r="AD734" s="62" t="n">
        <f aca="false">AW734</f>
        <v>2</v>
      </c>
      <c r="AE734" s="62" t="n">
        <f aca="false">MAX(AW734,H734)</f>
        <v>2</v>
      </c>
      <c r="AF734" s="69"/>
      <c r="AG734" s="62" t="n">
        <f aca="false">IF(LEFT(Cockpit!$C$5,1)="A",H734,IF(Parameter!$E$30="MAX-Bestand",IF(CI734=1,CJ734,IF(LEFT(Cockpit!$C$5,1)="B",AM734,MAX(AM734,H734))),ROUNDUP(AK734,0)))</f>
        <v>0</v>
      </c>
      <c r="AH734" s="62" t="n">
        <f aca="false">IF(CA734=1,0,ROUNDUP(AG734/BZ734,0))</f>
        <v>0</v>
      </c>
      <c r="AI734" s="64" t="n">
        <f aca="false">IF(CR734&gt;0,CR734*MAX(1,AG734/X734),IF(CA734=1,IF(AG734&lt;=0,0,CE734*MAX(1,IF(H734&gt;0,AG734/H734,1))),IF(R734&gt;0,AH734/R734,0))/MAX(0.1,N(Parameter!$M$21)))</f>
        <v>0</v>
      </c>
      <c r="AJ734" s="62" t="n">
        <f aca="false">AI734*CC734</f>
        <v>0</v>
      </c>
      <c r="AK734" s="63" t="n">
        <f aca="false">IF(LEFT(Cockpit!$C$5,1)="A",H734,IF(CI734=1,(CL734+CJ734)/2,IF(LEFT(Cockpit!$C$5,1)="B",(CL734+AM734)/2,MAX((CL734+AM734)/2,H734))))</f>
        <v>0</v>
      </c>
      <c r="AL734" s="62" t="n">
        <f aca="false">AK734*G734</f>
        <v>0</v>
      </c>
      <c r="AM734" s="62" t="n">
        <f aca="false">ROUNDUP(CL734+MAX(CM734,2*(J734/IF(CH734&gt;0,CH734,MAX(0.1,N(Cockpit!$C$6)))-CL734)),0)</f>
        <v>2</v>
      </c>
      <c r="AN734" s="63" t="n">
        <f aca="false">IF(AJ734&gt;0,J734/AJ734,-1)</f>
        <v>-1</v>
      </c>
      <c r="AO734" s="63" t="str">
        <f aca="false">IF(AND(OR(CG734="L1",CG734="L23",CG734="LIFT"),AJ734&gt;0),SUMIFS($AJ$7:$AJ$1843,$CG$7:$CG$1843,CG734,$AN$7:$AN$1843,"&gt;"&amp;AN734)+SUMIFS($AJ$7:$AJ$1843,$CG$7:$CG$1843,CG734,$AN$7:$AN$1843,AN734,$BX$7:$BX$1843,"&lt;="&amp;BX734),"")</f>
        <v/>
      </c>
      <c r="AP734" s="70" t="n">
        <f aca="false">IF(AO734="",0,MAX(0,MIN(1,(IF(CG734="L1",Parameter!$H$5,IF(CG734="L23",Parameter!$H$6+Parameter!$H$7,Parameter!$H$5+Parameter!$H$6+Parameter!$H$7))-(AO734-AJ734))/AJ734)))</f>
        <v>0</v>
      </c>
      <c r="AQ734" s="62" t="n">
        <f aca="false">IF(LEFT(Cockpit!$I$5,1)="A",H734,IF(Parameter!$E$30="MAX-Bestand",IF(CI734=1,CJ734,IF(LEFT(Cockpit!$I$5,1)="B",AW734,MAX(AW734,H734))),ROUNDUP(AU734,0)))</f>
        <v>1</v>
      </c>
      <c r="AR734" s="62" t="n">
        <f aca="false">IF(CA734=1,0,ROUNDUP(AQ734/BZ734,0))</f>
        <v>1</v>
      </c>
      <c r="AS734" s="64" t="n">
        <f aca="false">IF(CR734&gt;0,CR734*MAX(1,AQ734/X734),IF(CA734=1,IF(AQ734&lt;=0,0,CE734*MAX(1,IF(H734&gt;0,AQ734/H734,1))),IF(R734&gt;0,AR734/R734,0))/MAX(0.1,N(Parameter!$M$21)))</f>
        <v>0.0833333333333333</v>
      </c>
      <c r="AT734" s="62" t="n">
        <f aca="false">AS734*CC734</f>
        <v>12.0833333333333</v>
      </c>
      <c r="AU734" s="63" t="n">
        <f aca="false">IF(LEFT(Cockpit!$I$5,1)="A",H734,IF(CI734=1,(CL734+CJ734)/2,IF(LEFT(Cockpit!$I$5,1)="B",(CL734+AW734)/2,MAX((CL734+AW734)/2,H734))))</f>
        <v>1</v>
      </c>
      <c r="AV734" s="62" t="n">
        <f aca="false">AU734*G734</f>
        <v>490.5</v>
      </c>
      <c r="AW734" s="62" t="n">
        <f aca="false">ROUNDUP(CL734+MAX(CM734,2*(J734/IF(CH734&gt;0,CH734,MAX(0.1,N(Cockpit!$I$6)))-CL734)),0)</f>
        <v>2</v>
      </c>
      <c r="AX734" s="63" t="n">
        <f aca="false">IF(AT734&gt;0,J734/AT734,-1)</f>
        <v>0.16551724137931</v>
      </c>
      <c r="AY734" s="63" t="str">
        <f aca="false">IF(AND(OR(CG734="L1",CG734="L23",CG734="LIFT"),AT734&gt;0),SUMIFS($AT$7:$AT$1843,$CG$7:$CG$1843,CG734,$AX$7:$AX$1843,"&gt;"&amp;AX734)+SUMIFS($AT$7:$AT$1843,$CG$7:$CG$1843,CG734,$AX$7:$AX$1843,AX734,$BX$7:$BX$1843,"&lt;="&amp;BX734),"")</f>
        <v/>
      </c>
      <c r="AZ734" s="70" t="n">
        <f aca="false">IF(AY734="",0,MAX(0,MIN(1,(IF(CG734="L1",Parameter!$H$5,IF(CG734="L23",Parameter!$H$6+Parameter!$H$7,Parameter!$H$5+Parameter!$H$6+Parameter!$H$7))-(AY734-AT734))/AT734)))</f>
        <v>0</v>
      </c>
      <c r="BA734" s="62" t="n">
        <f aca="false">IF(LEFT(Cockpit!$O$5,1)="A",H734,IF(Parameter!$E$30="MAX-Bestand",IF(CI734=1,CJ734,IF(LEFT(Cockpit!$O$5,1)="B",BG734,MAX(BG734,H734))),ROUNDUP(BE734,0)))</f>
        <v>1</v>
      </c>
      <c r="BB734" s="62" t="n">
        <f aca="false">IF(CA734=1,0,ROUNDUP(BA734/BZ734,0))</f>
        <v>1</v>
      </c>
      <c r="BC734" s="64" t="n">
        <f aca="false">IF(CR734&gt;0,CR734*MAX(1,BA734/X734),IF(CA734=1,IF(BA734&lt;=0,0,CE734*MAX(1,IF(H734&gt;0,BA734/H734,1))),IF(R734&gt;0,BB734/R734,0))/MAX(0.1,N(Parameter!$M$21)))</f>
        <v>0.0833333333333333</v>
      </c>
      <c r="BD734" s="62" t="n">
        <f aca="false">BC734*CC734</f>
        <v>12.0833333333333</v>
      </c>
      <c r="BE734" s="63" t="n">
        <f aca="false">IF(LEFT(Cockpit!$O$5,1)="A",H734,IF(CI734=1,(CL734+CJ734)/2,IF(LEFT(Cockpit!$O$5,1)="B",(CL734+BG734)/2,MAX((CL734+BG734)/2,H734))))</f>
        <v>0.5</v>
      </c>
      <c r="BF734" s="62" t="n">
        <f aca="false">BE734*G734</f>
        <v>245.25</v>
      </c>
      <c r="BG734" s="62" t="n">
        <f aca="false">ROUNDUP(CL734+MAX(CM734,2*(J734/IF(CH734&gt;0,CH734,MAX(0.1,N(Cockpit!$O$6)))-CL734)),0)</f>
        <v>1</v>
      </c>
      <c r="BH734" s="63" t="n">
        <f aca="false">IF(BD734&gt;0,J734/BD734,-1)</f>
        <v>0.16551724137931</v>
      </c>
      <c r="BI734" s="63" t="str">
        <f aca="false">IF(AND(OR(CG734="L1",CG734="L23",CG734="LIFT"),BD734&gt;0),SUMIFS($BD$7:$BD$1843,$CG$7:$CG$1843,CG734,$BH$7:$BH$1843,"&gt;"&amp;BH734)+SUMIFS($BD$7:$BD$1843,$CG$7:$CG$1843,CG734,$BH$7:$BH$1843,BH734,$BX$7:$BX$1843,"&lt;="&amp;BX734),"")</f>
        <v/>
      </c>
      <c r="BJ734" s="70" t="n">
        <f aca="false">IF(BI734="",0,MAX(0,MIN(1,(IF(CG734="L1",Parameter!$H$5,IF(CG734="L23",Parameter!$H$6+Parameter!$H$7,Parameter!$H$5+Parameter!$H$6+Parameter!$H$7))-(BI734-BD734))/BD734)))</f>
        <v>0</v>
      </c>
      <c r="BK734" s="60" t="str">
        <f aca="false">IF(AJ734&lt;=0,"",IF(CG734="Aussen","Aussenlager",IF(CG734="-","Nicht im Lift",IF(AP734&gt;=1,"Lift",IF(AP734&lt;=0,"Aussenlager","teilweise")))))</f>
        <v/>
      </c>
      <c r="BL734" s="60" t="str">
        <f aca="false">IF(AT734&lt;=0,"",IF(CG734="Aussen","Aussenlager",IF(CG734="-","Nicht im Lift",IF(AZ734&gt;=1,"Lift",IF(AZ734&lt;=0,"Aussenlager","teilweise")))))</f>
        <v>Nicht im Lift</v>
      </c>
      <c r="BM734" s="60" t="str">
        <f aca="false">IF(BD734&lt;=0,"",IF(CG734="Aussen","Aussenlager",IF(CG734="-","Nicht im Lift",IF(BJ734&gt;=1,"Lift",IF(BJ734&lt;=0,"Aussenlager","teilweise")))))</f>
        <v>Nicht im Lift</v>
      </c>
      <c r="BN734" s="60" t="str">
        <f aca="false">IF(A734="","",IF(BW734=1,"Neu; ","")&amp;IF(AND(BW734=0,BR734&lt;0),"negativer Bestand (Export "&amp;BR734&amp;"); ","")&amp;IF(J734&lt;=0,"Kein Verbrauch; ","")&amp;IF(CR734&gt;0,"Lift "&amp;W734&amp;" lt. Liftbericht (Fach "&amp;X734&amp;" Stk); ",IF(CB734=1,"Gebinde geschätzt ("&amp;T734&amp;"); ",IF(CA734=1,"Lose – Tablare geschätzt; ","")))&amp;IF(H734&gt;AW734,"Überbestand "&amp;ROUND(H734-AW734,0)&amp;" Stk / CHF "&amp;ROUND((H734-AW734)*G734,0)&amp;"; ","")&amp;IF(AND(CI734=1,CJ734&lt;CK734),"MAX &lt; MB+LG; ","")&amp;IF(AND(CQ734&gt;0,CP734*10&gt;CQ734),"zu hoch für Tablar; ","")&amp;IF(AND(BW734=0,OR(CI734=1,AB734&lt;&gt;"",U734&lt;&gt;"",V734&lt;&gt;"",AC734&lt;&gt;"")),"manuell übersteuert; ","")&amp;IF(AND(CA734=0,R734=0),"Gebinde unbekannt / Stellmass fehlt; ","")&amp;IF(AND(CA734=0,N(V734)&lt;=0,N(Q734)&lt;=0),"Menge pro Gebinde fehlt (Ist = 1 Gebinde); ","")&amp;BV734)</f>
        <v>Gebinde geschätzt (Mittel); Menge pro Gebinde fehlt (Ist = 1 Gebinde); </v>
      </c>
      <c r="BO734" s="60"/>
      <c r="BP734" s="60"/>
      <c r="BQ734" s="67"/>
      <c r="BR734" s="62" t="n">
        <v>0</v>
      </c>
      <c r="BS734" s="62" t="n">
        <v>0</v>
      </c>
      <c r="BT734" s="61" t="n">
        <v>0</v>
      </c>
      <c r="BU734" s="62" t="n">
        <v>2</v>
      </c>
      <c r="BV734" s="60"/>
      <c r="BW734" s="65" t="n">
        <v>0</v>
      </c>
      <c r="BX734" s="65" t="n">
        <v>734</v>
      </c>
      <c r="BY734" s="60" t="str">
        <f aca="false">IF(U734&lt;&gt;"",UPPER(TRIM(U734)),IF(CB734=1,UPPER(VLOOKUP(T734,Parameter!$I$27:$K$29,2,0)),IF(P734="","LOSE",P734)))</f>
        <v>S61</v>
      </c>
      <c r="BZ734" s="62" t="n">
        <f aca="false">IF(BY734="LOSE",1,IF(N(V734)&gt;0,V734,IF(CB734=1,MAX(1,N(VLOOKUP(T734,Parameter!$I$27:$K$29,3,0)),H734,N(N734)),IF(N(Q734)&gt;0,Q734,MAX(1,H734)))))</f>
        <v>4</v>
      </c>
      <c r="CA734" s="65" t="n">
        <f aca="false">IF(BY734="LOSE",1,0)</f>
        <v>0</v>
      </c>
      <c r="CB734" s="65" t="n">
        <f aca="false">IF(AND(U734="",OR(P734="",P734="LOSE"),T734&lt;&gt;"",N(S734)&lt;=0,ISNUMBER(MATCH(T734,Parameter!$I$27:$I$29,0))),1,0)</f>
        <v>1</v>
      </c>
      <c r="CC734" s="65" t="n">
        <f aca="false">IF(CR734&gt;0,INDEX(Parameter!$H$5:$H$7,W734)/INDEX(Parameter!$E$5:$E$7,W734),IF(AND(CA734=0,N(IFERROR(VLOOKUP(BY734,'Gebinde-Kategorie'!$A$5:$N$45,14,0),0))&gt;0),VLOOKUP(BY734,'Gebinde-Kategorie'!$A$5:$N$45,14,0)*10+Parameter!$M$23,Parameter!$M$24))</f>
        <v>145</v>
      </c>
      <c r="CD734" s="60" t="str">
        <f aca="false">IF(AND(Parameter!$B$19="Ja",E734&lt;&gt;"",ISNUMBER(MATCH(E734,Parameter!$I$35:$I$52,0))),VLOOKUP(E734,Parameter!$I$35:$J$52,2,0),IFERROR(VLOOKUP(D734,Parameter!$A$35:$C$64,2,0),"Nein"))</f>
        <v>Nein</v>
      </c>
      <c r="CE734" s="64" t="n">
        <f aca="false">IF(CA734=0,0,IF(N(S734)&gt;0,S734,IFERROR(VLOOKUP(D734,Parameter!$A$35:$C$64,3,0)+0,0)))</f>
        <v>0</v>
      </c>
      <c r="CF734" s="60" t="str">
        <f aca="false">IF(AB734&lt;&gt;"",AB734,AA734)</f>
        <v>-</v>
      </c>
      <c r="CG734" s="60" t="str">
        <f aca="false">IF(OR(CF734=1,CF734=2,CF734=3),IF(Parameter!$E$27="Ja","LIFT",IF(CF734=1,"L1","L23")),IF(CF734="Aussen","Aussen","-"))</f>
        <v>-</v>
      </c>
      <c r="CH734" s="71" t="n">
        <f aca="false">IF(N(AC734)&gt;0,AC734,0)</f>
        <v>0</v>
      </c>
      <c r="CI734" s="65" t="n">
        <f aca="false">IF(ISNUMBER(AF734),1,0)</f>
        <v>0</v>
      </c>
      <c r="CJ734" s="62" t="n">
        <f aca="false">N(AF734)</f>
        <v>0</v>
      </c>
      <c r="CK734" s="62" t="n">
        <f aca="false">N(M734)+N(N734)</f>
        <v>1</v>
      </c>
      <c r="CL734" s="62" t="n">
        <f aca="false">N(M734)</f>
        <v>0</v>
      </c>
      <c r="CM734" s="62" t="n">
        <f aca="false">N(N734)</f>
        <v>1</v>
      </c>
      <c r="CN734" s="62" t="n">
        <f aca="false">ROUNDUP(H734/BZ734,0)</f>
        <v>0</v>
      </c>
      <c r="CO734" s="62" t="n">
        <f aca="false">ROUNDUP(CJ734/BZ734,0)</f>
        <v>0</v>
      </c>
      <c r="CP734" s="65" t="n">
        <f aca="false">IF(CA734=1,0,IFERROR(VLOOKUP(BY734,'Gebinde-Kategorie'!$A$5:$N$45,5,0)+0,0))</f>
        <v>11</v>
      </c>
      <c r="CQ734" s="65" t="n">
        <f aca="false">IFERROR(IF(OR(CF734=1,CF734=2,CF734=3),N(INDEX(Parameter!$I$5:$I$7,CF734)),0),0)</f>
        <v>0</v>
      </c>
      <c r="CR734" s="64" t="n">
        <f aca="false">IF(AND(Parameter!$B$21="Ja",ISNUMBER(W734),N(X734)&gt;0),IFERROR(N(INDEX(Parameter!$L$5:$L$7,W734))*INDEX(Parameter!$E$5:$E$7,W734)*X734/SUMIFS($X$7:$X$1843,$W$7:$W$1843,W734),0),0)</f>
        <v>0</v>
      </c>
      <c r="CS734" s="62" t="str">
        <f aca="false">IF(AND(OR(CG734="L1",CG734="L23",CG734="LIFT"),H734&gt;0),CC734*IF(CR734&gt;0,CR734*MAX(1,H734/X734),IF(CA734=1,CE734,IF(R734&gt;0,CN734/R734,0))/MAX(0.1,N(Parameter!$M$21))),"")</f>
        <v/>
      </c>
      <c r="CT734" s="64" t="str">
        <f aca="false">IF(CS734="","",J734/H734)</f>
        <v/>
      </c>
      <c r="CU734" s="62" t="str">
        <f aca="false">IF(CS734="","",H734*G734)</f>
        <v/>
      </c>
      <c r="CV734" s="63" t="str">
        <f aca="false">IF(CS734="","",(CL734+ROUNDUP(CL734+MAX(CM734,2*(J734/MAX(0.1,N(Einkauf!$C$6))-CL734)),0))/2)</f>
        <v/>
      </c>
      <c r="CW734" s="62" t="str">
        <f aca="false">IF(CS734="","",MAX(0,H734-CV734)*G734)</f>
        <v/>
      </c>
      <c r="CX734" s="62" t="str">
        <f aca="false">IF(CS734="","",CS734*MAX(0,1-CV734/H734))</f>
        <v/>
      </c>
      <c r="CY734" s="64" t="str">
        <f aca="false">IF(CS734="","",PERCENTRANK($CS$7:$CS$1843,CS734)+PERCENTRANK($CU$7:$CU$1843,CU734)+1-PERCENTRANK($CT$7:$CT$1843,CT734))</f>
        <v/>
      </c>
      <c r="CZ734" s="72" t="str">
        <f aca="false">IF(CS734="","",CHOOSE(MATCH(Einkauf!$C$5,Parameter!$G$23:$G$27,0),CY734,CS734,CU734,-CT734,CW734)+ROW()/1000000000)</f>
        <v/>
      </c>
    </row>
    <row r="735" customFormat="false" ht="15" hidden="false" customHeight="false" outlineLevel="0" collapsed="false">
      <c r="A735" s="60" t="s">
        <v>1497</v>
      </c>
      <c r="B735" s="60" t="s">
        <v>1498</v>
      </c>
      <c r="C735" s="60" t="s">
        <v>206</v>
      </c>
      <c r="D735" s="60" t="s">
        <v>226</v>
      </c>
      <c r="E735" s="60"/>
      <c r="F735" s="60" t="s">
        <v>260</v>
      </c>
      <c r="G735" s="61" t="n">
        <v>0</v>
      </c>
      <c r="H735" s="62" t="n">
        <f aca="false">MAX(0,IF(AND(Parameter!$B$21="Ja",ISNUMBER(Y735)),Y735,IF(Parameter!$B$20="Jahresanfang 2025 + Export",BS735+BR735,BR735)))</f>
        <v>0</v>
      </c>
      <c r="I735" s="62" t="n">
        <f aca="false">H735*G735</f>
        <v>0</v>
      </c>
      <c r="J735" s="62" t="n">
        <f aca="false">BU735*Parameter!$B$18</f>
        <v>0</v>
      </c>
      <c r="K735" s="63" t="n">
        <v>0.5</v>
      </c>
      <c r="L735" s="64" t="n">
        <v>0</v>
      </c>
      <c r="M735" s="62" t="n">
        <v>0</v>
      </c>
      <c r="N735" s="62" t="n">
        <v>1</v>
      </c>
      <c r="O735" s="65" t="n">
        <v>14</v>
      </c>
      <c r="P735" s="60" t="s">
        <v>210</v>
      </c>
      <c r="Q735" s="62"/>
      <c r="R735" s="65" t="n">
        <f aca="false">IF(CA735=1,0,IFERROR(VLOOKUP(BY735,'Gebinde-Kategorie'!$A$5:$N$45,13,0)+0,0))</f>
        <v>26</v>
      </c>
      <c r="S735" s="66"/>
      <c r="T735" s="67" t="s">
        <v>317</v>
      </c>
      <c r="U735" s="67"/>
      <c r="V735" s="67"/>
      <c r="W735" s="60"/>
      <c r="X735" s="62"/>
      <c r="Y735" s="62"/>
      <c r="Z735" s="60" t="n">
        <v>3</v>
      </c>
      <c r="AA735" s="60" t="n">
        <f aca="false">IF(A735="","",IF(AND(Parameter!$B$21="Ja",ISNUMBER(W735)),W735,IF(AND(Parameter!$E$27="Ja",ISNUMBER(Z735),CD735&lt;&gt;"Nein"),Z735,IF(CD735="2+3",IF(ISNUMBER(SEARCH("grosser Artikel",BV735)),2,IFERROR(VLOOKUP(BY735,Parameter!$F$35:$G$64,2,0),2)),IF(OR(CD735="Nein",CD735=""),"-",CD735)))))</f>
        <v>3</v>
      </c>
      <c r="AB735" s="67"/>
      <c r="AC735" s="68"/>
      <c r="AD735" s="62" t="n">
        <f aca="false">AW735</f>
        <v>1</v>
      </c>
      <c r="AE735" s="62" t="n">
        <f aca="false">MAX(AW735,H735)</f>
        <v>1</v>
      </c>
      <c r="AF735" s="69"/>
      <c r="AG735" s="62" t="n">
        <f aca="false">IF(LEFT(Cockpit!$C$5,1)="A",H735,IF(Parameter!$E$30="MAX-Bestand",IF(CI735=1,CJ735,IF(LEFT(Cockpit!$C$5,1)="B",AM735,MAX(AM735,H735))),ROUNDUP(AK735,0)))</f>
        <v>0</v>
      </c>
      <c r="AH735" s="62" t="n">
        <f aca="false">IF(CA735=1,0,ROUNDUP(AG735/BZ735,0))</f>
        <v>0</v>
      </c>
      <c r="AI735" s="64" t="n">
        <f aca="false">IF(CR735&gt;0,CR735*MAX(1,AG735/X735),IF(CA735=1,IF(AG735&lt;=0,0,CE735*MAX(1,IF(H735&gt;0,AG735/H735,1))),IF(R735&gt;0,AH735/R735,0))/MAX(0.1,N(Parameter!$M$21)))</f>
        <v>0</v>
      </c>
      <c r="AJ735" s="62" t="n">
        <f aca="false">AI735*CC735</f>
        <v>0</v>
      </c>
      <c r="AK735" s="63" t="n">
        <f aca="false">IF(LEFT(Cockpit!$C$5,1)="A",H735,IF(CI735=1,(CL735+CJ735)/2,IF(LEFT(Cockpit!$C$5,1)="B",(CL735+AM735)/2,MAX((CL735+AM735)/2,H735))))</f>
        <v>0</v>
      </c>
      <c r="AL735" s="62" t="n">
        <f aca="false">AK735*G735</f>
        <v>0</v>
      </c>
      <c r="AM735" s="62" t="n">
        <f aca="false">ROUNDUP(CL735+MAX(CM735,2*(J735/IF(CH735&gt;0,CH735,MAX(0.1,N(Cockpit!$C$6)))-CL735)),0)</f>
        <v>1</v>
      </c>
      <c r="AN735" s="63" t="n">
        <f aca="false">IF(AJ735&gt;0,J735/AJ735,-1)</f>
        <v>-1</v>
      </c>
      <c r="AO735" s="63" t="str">
        <f aca="false">IF(AND(OR(CG735="L1",CG735="L23",CG735="LIFT"),AJ735&gt;0),SUMIFS($AJ$7:$AJ$1843,$CG$7:$CG$1843,CG735,$AN$7:$AN$1843,"&gt;"&amp;AN735)+SUMIFS($AJ$7:$AJ$1843,$CG$7:$CG$1843,CG735,$AN$7:$AN$1843,AN735,$BX$7:$BX$1843,"&lt;="&amp;BX735),"")</f>
        <v/>
      </c>
      <c r="AP735" s="70" t="n">
        <f aca="false">IF(AO735="",0,MAX(0,MIN(1,(IF(CG735="L1",Parameter!$H$5,IF(CG735="L23",Parameter!$H$6+Parameter!$H$7,Parameter!$H$5+Parameter!$H$6+Parameter!$H$7))-(AO735-AJ735))/AJ735)))</f>
        <v>0</v>
      </c>
      <c r="AQ735" s="62" t="n">
        <f aca="false">IF(LEFT(Cockpit!$I$5,1)="A",H735,IF(Parameter!$E$30="MAX-Bestand",IF(CI735=1,CJ735,IF(LEFT(Cockpit!$I$5,1)="B",AW735,MAX(AW735,H735))),ROUNDUP(AU735,0)))</f>
        <v>1</v>
      </c>
      <c r="AR735" s="62" t="n">
        <f aca="false">IF(CA735=1,0,ROUNDUP(AQ735/BZ735,0))</f>
        <v>1</v>
      </c>
      <c r="AS735" s="64" t="n">
        <f aca="false">IF(CR735&gt;0,CR735*MAX(1,AQ735/X735),IF(CA735=1,IF(AQ735&lt;=0,0,CE735*MAX(1,IF(H735&gt;0,AQ735/H735,1))),IF(R735&gt;0,AR735/R735,0))/MAX(0.1,N(Parameter!$M$21)))</f>
        <v>0.0384615384615385</v>
      </c>
      <c r="AT735" s="62" t="n">
        <f aca="false">AS735*CC735</f>
        <v>5.96153846153846</v>
      </c>
      <c r="AU735" s="63" t="n">
        <f aca="false">IF(LEFT(Cockpit!$I$5,1)="A",H735,IF(CI735=1,(CL735+CJ735)/2,IF(LEFT(Cockpit!$I$5,1)="B",(CL735+AW735)/2,MAX((CL735+AW735)/2,H735))))</f>
        <v>0.5</v>
      </c>
      <c r="AV735" s="62" t="n">
        <f aca="false">AU735*G735</f>
        <v>0</v>
      </c>
      <c r="AW735" s="62" t="n">
        <f aca="false">ROUNDUP(CL735+MAX(CM735,2*(J735/IF(CH735&gt;0,CH735,MAX(0.1,N(Cockpit!$I$6)))-CL735)),0)</f>
        <v>1</v>
      </c>
      <c r="AX735" s="63" t="n">
        <f aca="false">IF(AT735&gt;0,J735/AT735,-1)</f>
        <v>0</v>
      </c>
      <c r="AY735" s="63" t="n">
        <f aca="false">IF(AND(OR(CG735="L1",CG735="L23",CG735="LIFT"),AT735&gt;0),SUMIFS($AT$7:$AT$1843,$CG$7:$CG$1843,CG735,$AX$7:$AX$1843,"&gt;"&amp;AX735)+SUMIFS($AT$7:$AT$1843,$CG$7:$CG$1843,CG735,$AX$7:$AX$1843,AX735,$BX$7:$BX$1843,"&lt;="&amp;BX735),"")</f>
        <v>34254.7976190476</v>
      </c>
      <c r="AZ735" s="70" t="n">
        <f aca="false">IF(AY735="",0,MAX(0,MIN(1,(IF(CG735="L1",Parameter!$H$5,IF(CG735="L23",Parameter!$H$6+Parameter!$H$7,Parameter!$H$5+Parameter!$H$6+Parameter!$H$7))-(AY735-AT735))/AT735)))</f>
        <v>1</v>
      </c>
      <c r="BA735" s="62" t="n">
        <f aca="false">IF(LEFT(Cockpit!$O$5,1)="A",H735,IF(Parameter!$E$30="MAX-Bestand",IF(CI735=1,CJ735,IF(LEFT(Cockpit!$O$5,1)="B",BG735,MAX(BG735,H735))),ROUNDUP(BE735,0)))</f>
        <v>1</v>
      </c>
      <c r="BB735" s="62" t="n">
        <f aca="false">IF(CA735=1,0,ROUNDUP(BA735/BZ735,0))</f>
        <v>1</v>
      </c>
      <c r="BC735" s="64" t="n">
        <f aca="false">IF(CR735&gt;0,CR735*MAX(1,BA735/X735),IF(CA735=1,IF(BA735&lt;=0,0,CE735*MAX(1,IF(H735&gt;0,BA735/H735,1))),IF(R735&gt;0,BB735/R735,0))/MAX(0.1,N(Parameter!$M$21)))</f>
        <v>0.0384615384615385</v>
      </c>
      <c r="BD735" s="62" t="n">
        <f aca="false">BC735*CC735</f>
        <v>5.96153846153846</v>
      </c>
      <c r="BE735" s="63" t="n">
        <f aca="false">IF(LEFT(Cockpit!$O$5,1)="A",H735,IF(CI735=1,(CL735+CJ735)/2,IF(LEFT(Cockpit!$O$5,1)="B",(CL735+BG735)/2,MAX((CL735+BG735)/2,H735))))</f>
        <v>0.5</v>
      </c>
      <c r="BF735" s="62" t="n">
        <f aca="false">BE735*G735</f>
        <v>0</v>
      </c>
      <c r="BG735" s="62" t="n">
        <f aca="false">ROUNDUP(CL735+MAX(CM735,2*(J735/IF(CH735&gt;0,CH735,MAX(0.1,N(Cockpit!$O$6)))-CL735)),0)</f>
        <v>1</v>
      </c>
      <c r="BH735" s="63" t="n">
        <f aca="false">IF(BD735&gt;0,J735/BD735,-1)</f>
        <v>0</v>
      </c>
      <c r="BI735" s="63" t="n">
        <f aca="false">IF(AND(OR(CG735="L1",CG735="L23",CG735="LIFT"),BD735&gt;0),SUMIFS($BD$7:$BD$1843,$CG$7:$CG$1843,CG735,$BH$7:$BH$1843,"&gt;"&amp;BH735)+SUMIFS($BD$7:$BD$1843,$CG$7:$CG$1843,CG735,$BH$7:$BH$1843,BH735,$BX$7:$BX$1843,"&lt;="&amp;BX735),"")</f>
        <v>28316.7123378034</v>
      </c>
      <c r="BJ735" s="70" t="n">
        <f aca="false">IF(BI735="",0,MAX(0,MIN(1,(IF(CG735="L1",Parameter!$H$5,IF(CG735="L23",Parameter!$H$6+Parameter!$H$7,Parameter!$H$5+Parameter!$H$6+Parameter!$H$7))-(BI735-BD735))/BD735)))</f>
        <v>1</v>
      </c>
      <c r="BK735" s="60" t="str">
        <f aca="false">IF(AJ735&lt;=0,"",IF(CG735="Aussen","Aussenlager",IF(CG735="-","Nicht im Lift",IF(AP735&gt;=1,"Lift",IF(AP735&lt;=0,"Aussenlager","teilweise")))))</f>
        <v/>
      </c>
      <c r="BL735" s="60" t="str">
        <f aca="false">IF(AT735&lt;=0,"",IF(CG735="Aussen","Aussenlager",IF(CG735="-","Nicht im Lift",IF(AZ735&gt;=1,"Lift",IF(AZ735&lt;=0,"Aussenlager","teilweise")))))</f>
        <v>Lift</v>
      </c>
      <c r="BM735" s="60" t="str">
        <f aca="false">IF(BD735&lt;=0,"",IF(CG735="Aussen","Aussenlager",IF(CG735="-","Nicht im Lift",IF(BJ735&gt;=1,"Lift",IF(BJ735&lt;=0,"Aussenlager","teilweise")))))</f>
        <v>Lift</v>
      </c>
      <c r="BN735" s="60" t="str">
        <f aca="false">IF(A735="","",IF(BW735=1,"Neu; ","")&amp;IF(AND(BW735=0,BR735&lt;0),"negativer Bestand (Export "&amp;BR735&amp;"); ","")&amp;IF(J735&lt;=0,"Kein Verbrauch; ","")&amp;IF(CR735&gt;0,"Lift "&amp;W735&amp;" lt. Liftbericht (Fach "&amp;X735&amp;" Stk); ",IF(CB735=1,"Gebinde geschätzt ("&amp;T735&amp;"); ",IF(CA735=1,"Lose – Tablare geschätzt; ","")))&amp;IF(H735&gt;AW735,"Überbestand "&amp;ROUND(H735-AW735,0)&amp;" Stk / CHF "&amp;ROUND((H735-AW735)*G735,0)&amp;"; ","")&amp;IF(AND(CI735=1,CJ735&lt;CK735),"MAX &lt; MB+LG; ","")&amp;IF(AND(CQ735&gt;0,CP735*10&gt;CQ735),"zu hoch für Tablar; ","")&amp;IF(AND(BW735=0,OR(CI735=1,AB735&lt;&gt;"",U735&lt;&gt;"",V735&lt;&gt;"",AC735&lt;&gt;"")),"manuell übersteuert; ","")&amp;IF(AND(CA735=0,R735=0),"Gebinde unbekannt / Stellmass fehlt; ","")&amp;IF(AND(CA735=0,N(V735)&lt;=0,N(Q735)&lt;=0),"Menge pro Gebinde fehlt (Ist = 1 Gebinde); ","")&amp;BV735)</f>
        <v>negativer Bestand (Export -1); Kein Verbrauch; Gebinde geschätzt (Klein); Menge pro Gebinde fehlt (Ist = 1 Gebinde); </v>
      </c>
      <c r="BO735" s="60"/>
      <c r="BP735" s="60"/>
      <c r="BQ735" s="67"/>
      <c r="BR735" s="62" t="n">
        <v>-1</v>
      </c>
      <c r="BS735" s="62" t="n">
        <v>1</v>
      </c>
      <c r="BT735" s="61" t="n">
        <v>0</v>
      </c>
      <c r="BU735" s="62" t="n">
        <v>0</v>
      </c>
      <c r="BV735" s="60"/>
      <c r="BW735" s="65" t="n">
        <v>0</v>
      </c>
      <c r="BX735" s="65" t="n">
        <v>735</v>
      </c>
      <c r="BY735" s="60" t="str">
        <f aca="false">IF(U735&lt;&gt;"",UPPER(TRIM(U735)),IF(CB735=1,UPPER(VLOOKUP(T735,Parameter!$I$27:$K$29,2,0)),IF(P735="","LOSE",P735)))</f>
        <v>S51</v>
      </c>
      <c r="BZ735" s="62" t="n">
        <f aca="false">IF(BY735="LOSE",1,IF(N(V735)&gt;0,V735,IF(CB735=1,MAX(1,N(VLOOKUP(T735,Parameter!$I$27:$K$29,3,0)),H735,N(N735)),IF(N(Q735)&gt;0,Q735,MAX(1,H735)))))</f>
        <v>20</v>
      </c>
      <c r="CA735" s="65" t="n">
        <f aca="false">IF(BY735="LOSE",1,0)</f>
        <v>0</v>
      </c>
      <c r="CB735" s="65" t="n">
        <f aca="false">IF(AND(U735="",OR(P735="",P735="LOSE"),T735&lt;&gt;"",N(S735)&lt;=0,ISNUMBER(MATCH(T735,Parameter!$I$27:$I$29,0))),1,0)</f>
        <v>1</v>
      </c>
      <c r="CC735" s="65" t="n">
        <f aca="false">IF(CR735&gt;0,INDEX(Parameter!$H$5:$H$7,W735)/INDEX(Parameter!$E$5:$E$7,W735),IF(AND(CA735=0,N(IFERROR(VLOOKUP(BY735,'Gebinde-Kategorie'!$A$5:$N$45,14,0),0))&gt;0),VLOOKUP(BY735,'Gebinde-Kategorie'!$A$5:$N$45,14,0)*10+Parameter!$M$23,Parameter!$M$24))</f>
        <v>155</v>
      </c>
      <c r="CD735" s="60" t="str">
        <f aca="false">IF(AND(Parameter!$B$19="Ja",E735&lt;&gt;"",ISNUMBER(MATCH(E735,Parameter!$I$35:$I$52,0))),VLOOKUP(E735,Parameter!$I$35:$J$52,2,0),IFERROR(VLOOKUP(D735,Parameter!$A$35:$C$64,2,0),"Nein"))</f>
        <v>2+3</v>
      </c>
      <c r="CE735" s="64" t="n">
        <f aca="false">IF(CA735=0,0,IF(N(S735)&gt;0,S735,IFERROR(VLOOKUP(D735,Parameter!$A$35:$C$64,3,0)+0,0)))</f>
        <v>0</v>
      </c>
      <c r="CF735" s="60" t="n">
        <f aca="false">IF(AB735&lt;&gt;"",AB735,AA735)</f>
        <v>3</v>
      </c>
      <c r="CG735" s="60" t="str">
        <f aca="false">IF(OR(CF735=1,CF735=2,CF735=3),IF(Parameter!$E$27="Ja","LIFT",IF(CF735=1,"L1","L23")),IF(CF735="Aussen","Aussen","-"))</f>
        <v>LIFT</v>
      </c>
      <c r="CH735" s="71" t="n">
        <f aca="false">IF(N(AC735)&gt;0,AC735,0)</f>
        <v>0</v>
      </c>
      <c r="CI735" s="65" t="n">
        <f aca="false">IF(ISNUMBER(AF735),1,0)</f>
        <v>0</v>
      </c>
      <c r="CJ735" s="62" t="n">
        <f aca="false">N(AF735)</f>
        <v>0</v>
      </c>
      <c r="CK735" s="62" t="n">
        <f aca="false">N(M735)+N(N735)</f>
        <v>1</v>
      </c>
      <c r="CL735" s="62" t="n">
        <f aca="false">N(M735)</f>
        <v>0</v>
      </c>
      <c r="CM735" s="62" t="n">
        <f aca="false">N(N735)</f>
        <v>1</v>
      </c>
      <c r="CN735" s="62" t="n">
        <f aca="false">ROUNDUP(H735/BZ735,0)</f>
        <v>0</v>
      </c>
      <c r="CO735" s="62" t="n">
        <f aca="false">ROUNDUP(CJ735/BZ735,0)</f>
        <v>0</v>
      </c>
      <c r="CP735" s="65" t="n">
        <f aca="false">IF(CA735=1,0,IFERROR(VLOOKUP(BY735,'Gebinde-Kategorie'!$A$5:$N$45,5,0)+0,0))</f>
        <v>11</v>
      </c>
      <c r="CQ735" s="65" t="n">
        <f aca="false">IFERROR(IF(OR(CF735=1,CF735=2,CF735=3),N(INDEX(Parameter!$I$5:$I$7,CF735)),0),0)</f>
        <v>0</v>
      </c>
      <c r="CR735" s="64" t="n">
        <f aca="false">IF(AND(Parameter!$B$21="Ja",ISNUMBER(W735),N(X735)&gt;0),IFERROR(N(INDEX(Parameter!$L$5:$L$7,W735))*INDEX(Parameter!$E$5:$E$7,W735)*X735/SUMIFS($X$7:$X$1843,$W$7:$W$1843,W735),0),0)</f>
        <v>0</v>
      </c>
      <c r="CS735" s="62" t="str">
        <f aca="false">IF(AND(OR(CG735="L1",CG735="L23",CG735="LIFT"),H735&gt;0),CC735*IF(CR735&gt;0,CR735*MAX(1,H735/X735),IF(CA735=1,CE735,IF(R735&gt;0,CN735/R735,0))/MAX(0.1,N(Parameter!$M$21))),"")</f>
        <v/>
      </c>
      <c r="CT735" s="64" t="str">
        <f aca="false">IF(CS735="","",J735/H735)</f>
        <v/>
      </c>
      <c r="CU735" s="62" t="str">
        <f aca="false">IF(CS735="","",H735*G735)</f>
        <v/>
      </c>
      <c r="CV735" s="63" t="str">
        <f aca="false">IF(CS735="","",(CL735+ROUNDUP(CL735+MAX(CM735,2*(J735/MAX(0.1,N(Einkauf!$C$6))-CL735)),0))/2)</f>
        <v/>
      </c>
      <c r="CW735" s="62" t="str">
        <f aca="false">IF(CS735="","",MAX(0,H735-CV735)*G735)</f>
        <v/>
      </c>
      <c r="CX735" s="62" t="str">
        <f aca="false">IF(CS735="","",CS735*MAX(0,1-CV735/H735))</f>
        <v/>
      </c>
      <c r="CY735" s="64" t="str">
        <f aca="false">IF(CS735="","",PERCENTRANK($CS$7:$CS$1843,CS735)+PERCENTRANK($CU$7:$CU$1843,CU735)+1-PERCENTRANK($CT$7:$CT$1843,CT735))</f>
        <v/>
      </c>
      <c r="CZ735" s="72" t="str">
        <f aca="false">IF(CS735="","",CHOOSE(MATCH(Einkauf!$C$5,Parameter!$G$23:$G$27,0),CY735,CS735,CU735,-CT735,CW735)+ROW()/1000000000)</f>
        <v/>
      </c>
    </row>
    <row r="736" customFormat="false" ht="15" hidden="false" customHeight="false" outlineLevel="0" collapsed="false">
      <c r="A736" s="60" t="s">
        <v>1499</v>
      </c>
      <c r="B736" s="60" t="s">
        <v>1500</v>
      </c>
      <c r="C736" s="60" t="s">
        <v>206</v>
      </c>
      <c r="D736" s="60" t="s">
        <v>226</v>
      </c>
      <c r="E736" s="60"/>
      <c r="F736" s="60" t="s">
        <v>260</v>
      </c>
      <c r="G736" s="61" t="n">
        <v>16.35</v>
      </c>
      <c r="H736" s="62" t="n">
        <f aca="false">MAX(0,IF(AND(Parameter!$B$21="Ja",ISNUMBER(Y736)),Y736,IF(Parameter!$B$20="Jahresanfang 2025 + Export",BS736+BR736,BR736)))</f>
        <v>0</v>
      </c>
      <c r="I736" s="62" t="n">
        <f aca="false">H736*G736</f>
        <v>0</v>
      </c>
      <c r="J736" s="62" t="n">
        <f aca="false">BU736*Parameter!$B$18</f>
        <v>72</v>
      </c>
      <c r="K736" s="63" t="n">
        <v>0</v>
      </c>
      <c r="L736" s="64" t="n">
        <v>0</v>
      </c>
      <c r="M736" s="62" t="n">
        <v>0</v>
      </c>
      <c r="N736" s="62" t="n">
        <v>0</v>
      </c>
      <c r="O736" s="65" t="n">
        <v>21</v>
      </c>
      <c r="P736" s="60" t="s">
        <v>210</v>
      </c>
      <c r="Q736" s="62"/>
      <c r="R736" s="65" t="n">
        <f aca="false">IF(CA736=1,0,IFERROR(VLOOKUP(BY736,'Gebinde-Kategorie'!$A$5:$N$45,13,0)+0,0))</f>
        <v>4</v>
      </c>
      <c r="S736" s="66"/>
      <c r="T736" s="67" t="s">
        <v>231</v>
      </c>
      <c r="U736" s="67"/>
      <c r="V736" s="67"/>
      <c r="W736" s="60"/>
      <c r="X736" s="62"/>
      <c r="Y736" s="62"/>
      <c r="Z736" s="60" t="n">
        <v>2</v>
      </c>
      <c r="AA736" s="60" t="n">
        <f aca="false">IF(A736="","",IF(AND(Parameter!$B$21="Ja",ISNUMBER(W736)),W736,IF(AND(Parameter!$E$27="Ja",ISNUMBER(Z736),CD736&lt;&gt;"Nein"),Z736,IF(CD736="2+3",IF(ISNUMBER(SEARCH("grosser Artikel",BV736)),2,IFERROR(VLOOKUP(BY736,Parameter!$F$35:$G$64,2,0),2)),IF(OR(CD736="Nein",CD736=""),"-",CD736)))))</f>
        <v>2</v>
      </c>
      <c r="AB736" s="67"/>
      <c r="AC736" s="68"/>
      <c r="AD736" s="62" t="n">
        <f aca="false">AW736</f>
        <v>48</v>
      </c>
      <c r="AE736" s="62" t="n">
        <f aca="false">MAX(AW736,H736)</f>
        <v>48</v>
      </c>
      <c r="AF736" s="69"/>
      <c r="AG736" s="62" t="n">
        <f aca="false">IF(LEFT(Cockpit!$C$5,1)="A",H736,IF(Parameter!$E$30="MAX-Bestand",IF(CI736=1,CJ736,IF(LEFT(Cockpit!$C$5,1)="B",AM736,MAX(AM736,H736))),ROUNDUP(AK736,0)))</f>
        <v>0</v>
      </c>
      <c r="AH736" s="62" t="n">
        <f aca="false">IF(CA736=1,0,ROUNDUP(AG736/BZ736,0))</f>
        <v>0</v>
      </c>
      <c r="AI736" s="64" t="n">
        <f aca="false">IF(CR736&gt;0,CR736*MAX(1,AG736/X736),IF(CA736=1,IF(AG736&lt;=0,0,CE736*MAX(1,IF(H736&gt;0,AG736/H736,1))),IF(R736&gt;0,AH736/R736,0))/MAX(0.1,N(Parameter!$M$21)))</f>
        <v>0</v>
      </c>
      <c r="AJ736" s="62" t="n">
        <f aca="false">AI736*CC736</f>
        <v>0</v>
      </c>
      <c r="AK736" s="63" t="n">
        <f aca="false">IF(LEFT(Cockpit!$C$5,1)="A",H736,IF(CI736=1,(CL736+CJ736)/2,IF(LEFT(Cockpit!$C$5,1)="B",(CL736+AM736)/2,MAX((CL736+AM736)/2,H736))))</f>
        <v>0</v>
      </c>
      <c r="AL736" s="62" t="n">
        <f aca="false">AK736*G736</f>
        <v>0</v>
      </c>
      <c r="AM736" s="62" t="n">
        <f aca="false">ROUNDUP(CL736+MAX(CM736,2*(J736/IF(CH736&gt;0,CH736,MAX(0.1,N(Cockpit!$C$6)))-CL736)),0)</f>
        <v>48</v>
      </c>
      <c r="AN736" s="63" t="n">
        <f aca="false">IF(AJ736&gt;0,J736/AJ736,-1)</f>
        <v>-1</v>
      </c>
      <c r="AO736" s="63" t="str">
        <f aca="false">IF(AND(OR(CG736="L1",CG736="L23",CG736="LIFT"),AJ736&gt;0),SUMIFS($AJ$7:$AJ$1843,$CG$7:$CG$1843,CG736,$AN$7:$AN$1843,"&gt;"&amp;AN736)+SUMIFS($AJ$7:$AJ$1843,$CG$7:$CG$1843,CG736,$AN$7:$AN$1843,AN736,$BX$7:$BX$1843,"&lt;="&amp;BX736),"")</f>
        <v/>
      </c>
      <c r="AP736" s="70" t="n">
        <f aca="false">IF(AO736="",0,MAX(0,MIN(1,(IF(CG736="L1",Parameter!$H$5,IF(CG736="L23",Parameter!$H$6+Parameter!$H$7,Parameter!$H$5+Parameter!$H$6+Parameter!$H$7))-(AO736-AJ736))/AJ736)))</f>
        <v>0</v>
      </c>
      <c r="AQ736" s="62" t="n">
        <f aca="false">IF(LEFT(Cockpit!$I$5,1)="A",H736,IF(Parameter!$E$30="MAX-Bestand",IF(CI736=1,CJ736,IF(LEFT(Cockpit!$I$5,1)="B",AW736,MAX(AW736,H736))),ROUNDUP(AU736,0)))</f>
        <v>24</v>
      </c>
      <c r="AR736" s="62" t="n">
        <f aca="false">IF(CA736=1,0,ROUNDUP(AQ736/BZ736,0))</f>
        <v>12</v>
      </c>
      <c r="AS736" s="64" t="n">
        <f aca="false">IF(CR736&gt;0,CR736*MAX(1,AQ736/X736),IF(CA736=1,IF(AQ736&lt;=0,0,CE736*MAX(1,IF(H736&gt;0,AQ736/H736,1))),IF(R736&gt;0,AR736/R736,0))/MAX(0.1,N(Parameter!$M$21)))</f>
        <v>3</v>
      </c>
      <c r="AT736" s="62" t="n">
        <f aca="false">AS736*CC736</f>
        <v>705</v>
      </c>
      <c r="AU736" s="63" t="n">
        <f aca="false">IF(LEFT(Cockpit!$I$5,1)="A",H736,IF(CI736=1,(CL736+CJ736)/2,IF(LEFT(Cockpit!$I$5,1)="B",(CL736+AW736)/2,MAX((CL736+AW736)/2,H736))))</f>
        <v>24</v>
      </c>
      <c r="AV736" s="62" t="n">
        <f aca="false">AU736*G736</f>
        <v>392.4</v>
      </c>
      <c r="AW736" s="62" t="n">
        <f aca="false">ROUNDUP(CL736+MAX(CM736,2*(J736/IF(CH736&gt;0,CH736,MAX(0.1,N(Cockpit!$I$6)))-CL736)),0)</f>
        <v>48</v>
      </c>
      <c r="AX736" s="63" t="n">
        <f aca="false">IF(AT736&gt;0,J736/AT736,-1)</f>
        <v>0.102127659574468</v>
      </c>
      <c r="AY736" s="63" t="n">
        <f aca="false">IF(AND(OR(CG736="L1",CG736="L23",CG736="LIFT"),AT736&gt;0),SUMIFS($AT$7:$AT$1843,$CG$7:$CG$1843,CG736,$AX$7:$AX$1843,"&gt;"&amp;AX736)+SUMIFS($AT$7:$AT$1843,$CG$7:$CG$1843,CG736,$AX$7:$AX$1843,AX736,$BX$7:$BX$1843,"&lt;="&amp;BX736),"")</f>
        <v>20524.5830720598</v>
      </c>
      <c r="AZ736" s="70" t="n">
        <f aca="false">IF(AY736="",0,MAX(0,MIN(1,(IF(CG736="L1",Parameter!$H$5,IF(CG736="L23",Parameter!$H$6+Parameter!$H$7,Parameter!$H$5+Parameter!$H$6+Parameter!$H$7))-(AY736-AT736))/AT736)))</f>
        <v>1</v>
      </c>
      <c r="BA736" s="62" t="n">
        <f aca="false">IF(LEFT(Cockpit!$O$5,1)="A",H736,IF(Parameter!$E$30="MAX-Bestand",IF(CI736=1,CJ736,IF(LEFT(Cockpit!$O$5,1)="B",BG736,MAX(BG736,H736))),ROUNDUP(BE736,0)))</f>
        <v>18</v>
      </c>
      <c r="BB736" s="62" t="n">
        <f aca="false">IF(CA736=1,0,ROUNDUP(BA736/BZ736,0))</f>
        <v>9</v>
      </c>
      <c r="BC736" s="64" t="n">
        <f aca="false">IF(CR736&gt;0,CR736*MAX(1,BA736/X736),IF(CA736=1,IF(BA736&lt;=0,0,CE736*MAX(1,IF(H736&gt;0,BA736/H736,1))),IF(R736&gt;0,BB736/R736,0))/MAX(0.1,N(Parameter!$M$21)))</f>
        <v>2.25</v>
      </c>
      <c r="BD736" s="62" t="n">
        <f aca="false">BC736*CC736</f>
        <v>528.75</v>
      </c>
      <c r="BE736" s="63" t="n">
        <f aca="false">IF(LEFT(Cockpit!$O$5,1)="A",H736,IF(CI736=1,(CL736+CJ736)/2,IF(LEFT(Cockpit!$O$5,1)="B",(CL736+BG736)/2,MAX((CL736+BG736)/2,H736))))</f>
        <v>18</v>
      </c>
      <c r="BF736" s="62" t="n">
        <f aca="false">BE736*G736</f>
        <v>294.3</v>
      </c>
      <c r="BG736" s="62" t="n">
        <f aca="false">ROUNDUP(CL736+MAX(CM736,2*(J736/IF(CH736&gt;0,CH736,MAX(0.1,N(Cockpit!$O$6)))-CL736)),0)</f>
        <v>36</v>
      </c>
      <c r="BH736" s="63" t="n">
        <f aca="false">IF(BD736&gt;0,J736/BD736,-1)</f>
        <v>0.136170212765957</v>
      </c>
      <c r="BI736" s="63" t="n">
        <f aca="false">IF(AND(OR(CG736="L1",CG736="L23",CG736="LIFT"),BD736&gt;0),SUMIFS($BD$7:$BD$1843,$CG$7:$CG$1843,CG736,$BH$7:$BH$1843,"&gt;"&amp;BH736)+SUMIFS($BD$7:$BD$1843,$CG$7:$CG$1843,CG736,$BH$7:$BH$1843,BH736,$BX$7:$BX$1843,"&lt;="&amp;BX736),"")</f>
        <v>14449.7206157778</v>
      </c>
      <c r="BJ736" s="70" t="n">
        <f aca="false">IF(BI736="",0,MAX(0,MIN(1,(IF(CG736="L1",Parameter!$H$5,IF(CG736="L23",Parameter!$H$6+Parameter!$H$7,Parameter!$H$5+Parameter!$H$6+Parameter!$H$7))-(BI736-BD736))/BD736)))</f>
        <v>1</v>
      </c>
      <c r="BK736" s="60" t="str">
        <f aca="false">IF(AJ736&lt;=0,"",IF(CG736="Aussen","Aussenlager",IF(CG736="-","Nicht im Lift",IF(AP736&gt;=1,"Lift",IF(AP736&lt;=0,"Aussenlager","teilweise")))))</f>
        <v/>
      </c>
      <c r="BL736" s="60" t="str">
        <f aca="false">IF(AT736&lt;=0,"",IF(CG736="Aussen","Aussenlager",IF(CG736="-","Nicht im Lift",IF(AZ736&gt;=1,"Lift",IF(AZ736&lt;=0,"Aussenlager","teilweise")))))</f>
        <v>Lift</v>
      </c>
      <c r="BM736" s="60" t="str">
        <f aca="false">IF(BD736&lt;=0,"",IF(CG736="Aussen","Aussenlager",IF(CG736="-","Nicht im Lift",IF(BJ736&gt;=1,"Lift",IF(BJ736&lt;=0,"Aussenlager","teilweise")))))</f>
        <v>Lift</v>
      </c>
      <c r="BN736" s="60" t="str">
        <f aca="false">IF(A736="","",IF(BW736=1,"Neu; ","")&amp;IF(AND(BW736=0,BR736&lt;0),"negativer Bestand (Export "&amp;BR736&amp;"); ","")&amp;IF(J736&lt;=0,"Kein Verbrauch; ","")&amp;IF(CR736&gt;0,"Lift "&amp;W736&amp;" lt. Liftbericht (Fach "&amp;X736&amp;" Stk); ",IF(CB736=1,"Gebinde geschätzt ("&amp;T736&amp;"); ",IF(CA736=1,"Lose – Tablare geschätzt; ","")))&amp;IF(H736&gt;AW736,"Überbestand "&amp;ROUND(H736-AW736,0)&amp;" Stk / CHF "&amp;ROUND((H736-AW736)*G736,0)&amp;"; ","")&amp;IF(AND(CI736=1,CJ736&lt;CK736),"MAX &lt; MB+LG; ","")&amp;IF(AND(CQ736&gt;0,CP736*10&gt;CQ736),"zu hoch für Tablar; ","")&amp;IF(AND(BW736=0,OR(CI736=1,AB736&lt;&gt;"",U736&lt;&gt;"",V736&lt;&gt;"",AC736&lt;&gt;"")),"manuell übersteuert; ","")&amp;IF(AND(CA736=0,R736=0),"Gebinde unbekannt / Stellmass fehlt; ","")&amp;IF(AND(CA736=0,N(V736)&lt;=0,N(Q736)&lt;=0),"Menge pro Gebinde fehlt (Ist = 1 Gebinde); ","")&amp;BV736)</f>
        <v>Gebinde geschätzt (Gross); Menge pro Gebinde fehlt (Ist = 1 Gebinde); </v>
      </c>
      <c r="BO736" s="60"/>
      <c r="BP736" s="60"/>
      <c r="BQ736" s="67"/>
      <c r="BR736" s="62" t="n">
        <v>0</v>
      </c>
      <c r="BS736" s="62" t="n">
        <v>0</v>
      </c>
      <c r="BT736" s="61" t="n">
        <v>0</v>
      </c>
      <c r="BU736" s="62" t="n">
        <v>72</v>
      </c>
      <c r="BV736" s="60"/>
      <c r="BW736" s="65" t="n">
        <v>0</v>
      </c>
      <c r="BX736" s="65" t="n">
        <v>736</v>
      </c>
      <c r="BY736" s="60" t="str">
        <f aca="false">IF(U736&lt;&gt;"",UPPER(TRIM(U736)),IF(CB736=1,UPPER(VLOOKUP(T736,Parameter!$I$27:$K$29,2,0)),IF(P736="","LOSE",P736)))</f>
        <v>S81</v>
      </c>
      <c r="BZ736" s="62" t="n">
        <f aca="false">IF(BY736="LOSE",1,IF(N(V736)&gt;0,V736,IF(CB736=1,MAX(1,N(VLOOKUP(T736,Parameter!$I$27:$K$29,3,0)),H736,N(N736)),IF(N(Q736)&gt;0,Q736,MAX(1,H736)))))</f>
        <v>2</v>
      </c>
      <c r="CA736" s="65" t="n">
        <f aca="false">IF(BY736="LOSE",1,0)</f>
        <v>0</v>
      </c>
      <c r="CB736" s="65" t="n">
        <f aca="false">IF(AND(U736="",OR(P736="",P736="LOSE"),T736&lt;&gt;"",N(S736)&lt;=0,ISNUMBER(MATCH(T736,Parameter!$I$27:$I$29,0))),1,0)</f>
        <v>1</v>
      </c>
      <c r="CC736" s="65" t="n">
        <f aca="false">IF(CR736&gt;0,INDEX(Parameter!$H$5:$H$7,W736)/INDEX(Parameter!$E$5:$E$7,W736),IF(AND(CA736=0,N(IFERROR(VLOOKUP(BY736,'Gebinde-Kategorie'!$A$5:$N$45,14,0),0))&gt;0),VLOOKUP(BY736,'Gebinde-Kategorie'!$A$5:$N$45,14,0)*10+Parameter!$M$23,Parameter!$M$24))</f>
        <v>235</v>
      </c>
      <c r="CD736" s="60" t="str">
        <f aca="false">IF(AND(Parameter!$B$19="Ja",E736&lt;&gt;"",ISNUMBER(MATCH(E736,Parameter!$I$35:$I$52,0))),VLOOKUP(E736,Parameter!$I$35:$J$52,2,0),IFERROR(VLOOKUP(D736,Parameter!$A$35:$C$64,2,0),"Nein"))</f>
        <v>2+3</v>
      </c>
      <c r="CE736" s="64" t="n">
        <f aca="false">IF(CA736=0,0,IF(N(S736)&gt;0,S736,IFERROR(VLOOKUP(D736,Parameter!$A$35:$C$64,3,0)+0,0)))</f>
        <v>0</v>
      </c>
      <c r="CF736" s="60" t="n">
        <f aca="false">IF(AB736&lt;&gt;"",AB736,AA736)</f>
        <v>2</v>
      </c>
      <c r="CG736" s="60" t="str">
        <f aca="false">IF(OR(CF736=1,CF736=2,CF736=3),IF(Parameter!$E$27="Ja","LIFT",IF(CF736=1,"L1","L23")),IF(CF736="Aussen","Aussen","-"))</f>
        <v>LIFT</v>
      </c>
      <c r="CH736" s="71" t="n">
        <f aca="false">IF(N(AC736)&gt;0,AC736,0)</f>
        <v>0</v>
      </c>
      <c r="CI736" s="65" t="n">
        <f aca="false">IF(ISNUMBER(AF736),1,0)</f>
        <v>0</v>
      </c>
      <c r="CJ736" s="62" t="n">
        <f aca="false">N(AF736)</f>
        <v>0</v>
      </c>
      <c r="CK736" s="62" t="n">
        <f aca="false">N(M736)+N(N736)</f>
        <v>0</v>
      </c>
      <c r="CL736" s="62" t="n">
        <f aca="false">N(M736)</f>
        <v>0</v>
      </c>
      <c r="CM736" s="62" t="n">
        <f aca="false">N(N736)</f>
        <v>0</v>
      </c>
      <c r="CN736" s="62" t="n">
        <f aca="false">ROUNDUP(H736/BZ736,0)</f>
        <v>0</v>
      </c>
      <c r="CO736" s="62" t="n">
        <f aca="false">ROUNDUP(CJ736/BZ736,0)</f>
        <v>0</v>
      </c>
      <c r="CP736" s="65" t="n">
        <f aca="false">IF(CA736=1,0,IFERROR(VLOOKUP(BY736,'Gebinde-Kategorie'!$A$5:$N$45,5,0)+0,0))</f>
        <v>20</v>
      </c>
      <c r="CQ736" s="65" t="n">
        <f aca="false">IFERROR(IF(OR(CF736=1,CF736=2,CF736=3),N(INDEX(Parameter!$I$5:$I$7,CF736)),0),0)</f>
        <v>0</v>
      </c>
      <c r="CR736" s="64" t="n">
        <f aca="false">IF(AND(Parameter!$B$21="Ja",ISNUMBER(W736),N(X736)&gt;0),IFERROR(N(INDEX(Parameter!$L$5:$L$7,W736))*INDEX(Parameter!$E$5:$E$7,W736)*X736/SUMIFS($X$7:$X$1843,$W$7:$W$1843,W736),0),0)</f>
        <v>0</v>
      </c>
      <c r="CS736" s="62" t="str">
        <f aca="false">IF(AND(OR(CG736="L1",CG736="L23",CG736="LIFT"),H736&gt;0),CC736*IF(CR736&gt;0,CR736*MAX(1,H736/X736),IF(CA736=1,CE736,IF(R736&gt;0,CN736/R736,0))/MAX(0.1,N(Parameter!$M$21))),"")</f>
        <v/>
      </c>
      <c r="CT736" s="64" t="str">
        <f aca="false">IF(CS736="","",J736/H736)</f>
        <v/>
      </c>
      <c r="CU736" s="62" t="str">
        <f aca="false">IF(CS736="","",H736*G736)</f>
        <v/>
      </c>
      <c r="CV736" s="63" t="str">
        <f aca="false">IF(CS736="","",(CL736+ROUNDUP(CL736+MAX(CM736,2*(J736/MAX(0.1,N(Einkauf!$C$6))-CL736)),0))/2)</f>
        <v/>
      </c>
      <c r="CW736" s="62" t="str">
        <f aca="false">IF(CS736="","",MAX(0,H736-CV736)*G736)</f>
        <v/>
      </c>
      <c r="CX736" s="62" t="str">
        <f aca="false">IF(CS736="","",CS736*MAX(0,1-CV736/H736))</f>
        <v/>
      </c>
      <c r="CY736" s="64" t="str">
        <f aca="false">IF(CS736="","",PERCENTRANK($CS$7:$CS$1843,CS736)+PERCENTRANK($CU$7:$CU$1843,CU736)+1-PERCENTRANK($CT$7:$CT$1843,CT736))</f>
        <v/>
      </c>
      <c r="CZ736" s="72" t="str">
        <f aca="false">IF(CS736="","",CHOOSE(MATCH(Einkauf!$C$5,Parameter!$G$23:$G$27,0),CY736,CS736,CU736,-CT736,CW736)+ROW()/1000000000)</f>
        <v/>
      </c>
    </row>
    <row r="737" customFormat="false" ht="15" hidden="false" customHeight="false" outlineLevel="0" collapsed="false">
      <c r="A737" s="60" t="s">
        <v>1501</v>
      </c>
      <c r="B737" s="60" t="s">
        <v>1502</v>
      </c>
      <c r="C737" s="60" t="s">
        <v>206</v>
      </c>
      <c r="D737" s="60" t="s">
        <v>226</v>
      </c>
      <c r="E737" s="60" t="s">
        <v>227</v>
      </c>
      <c r="F737" s="60" t="s">
        <v>260</v>
      </c>
      <c r="G737" s="61" t="n">
        <v>914.73</v>
      </c>
      <c r="H737" s="62" t="n">
        <f aca="false">MAX(0,IF(AND(Parameter!$B$21="Ja",ISNUMBER(Y737)),Y737,IF(Parameter!$B$20="Jahresanfang 2025 + Export",BS737+BR737,BR737)))</f>
        <v>5</v>
      </c>
      <c r="I737" s="62" t="n">
        <f aca="false">H737*G737</f>
        <v>4573.65</v>
      </c>
      <c r="J737" s="62" t="n">
        <f aca="false">BU737*Parameter!$B$18</f>
        <v>0</v>
      </c>
      <c r="K737" s="63" t="n">
        <v>5</v>
      </c>
      <c r="L737" s="64" t="n">
        <v>0</v>
      </c>
      <c r="M737" s="62" t="n">
        <v>0</v>
      </c>
      <c r="N737" s="62" t="n">
        <v>1</v>
      </c>
      <c r="O737" s="65" t="n">
        <v>14</v>
      </c>
      <c r="P737" s="60" t="s">
        <v>228</v>
      </c>
      <c r="Q737" s="62" t="n">
        <v>3</v>
      </c>
      <c r="R737" s="65" t="n">
        <f aca="false">IF(CA737=1,0,IFERROR(VLOOKUP(BY737,'Gebinde-Kategorie'!$A$5:$N$45,13,0)+0,0))</f>
        <v>12</v>
      </c>
      <c r="S737" s="66"/>
      <c r="T737" s="67"/>
      <c r="U737" s="67"/>
      <c r="V737" s="67"/>
      <c r="W737" s="60"/>
      <c r="X737" s="62"/>
      <c r="Y737" s="62"/>
      <c r="Z737" s="60" t="n">
        <v>3</v>
      </c>
      <c r="AA737" s="60" t="n">
        <f aca="false">IF(A737="","",IF(AND(Parameter!$B$21="Ja",ISNUMBER(W737)),W737,IF(AND(Parameter!$E$27="Ja",ISNUMBER(Z737),CD737&lt;&gt;"Nein"),Z737,IF(CD737="2+3",IF(ISNUMBER(SEARCH("grosser Artikel",BV737)),2,IFERROR(VLOOKUP(BY737,Parameter!$F$35:$G$64,2,0),2)),IF(OR(CD737="Nein",CD737=""),"-",CD737)))))</f>
        <v>3</v>
      </c>
      <c r="AB737" s="67"/>
      <c r="AC737" s="68"/>
      <c r="AD737" s="62" t="n">
        <f aca="false">AW737</f>
        <v>1</v>
      </c>
      <c r="AE737" s="62" t="n">
        <f aca="false">MAX(AW737,H737)</f>
        <v>5</v>
      </c>
      <c r="AF737" s="69"/>
      <c r="AG737" s="62" t="n">
        <f aca="false">IF(LEFT(Cockpit!$C$5,1)="A",H737,IF(Parameter!$E$30="MAX-Bestand",IF(CI737=1,CJ737,IF(LEFT(Cockpit!$C$5,1)="B",AM737,MAX(AM737,H737))),ROUNDUP(AK737,0)))</f>
        <v>5</v>
      </c>
      <c r="AH737" s="62" t="n">
        <f aca="false">IF(CA737=1,0,ROUNDUP(AG737/BZ737,0))</f>
        <v>2</v>
      </c>
      <c r="AI737" s="64" t="n">
        <f aca="false">IF(CR737&gt;0,CR737*MAX(1,AG737/X737),IF(CA737=1,IF(AG737&lt;=0,0,CE737*MAX(1,IF(H737&gt;0,AG737/H737,1))),IF(R737&gt;0,AH737/R737,0))/MAX(0.1,N(Parameter!$M$21)))</f>
        <v>0.166666666666667</v>
      </c>
      <c r="AJ737" s="62" t="n">
        <f aca="false">AI737*CC737</f>
        <v>24.1666666666667</v>
      </c>
      <c r="AK737" s="63" t="n">
        <f aca="false">IF(LEFT(Cockpit!$C$5,1)="A",H737,IF(CI737=1,(CL737+CJ737)/2,IF(LEFT(Cockpit!$C$5,1)="B",(CL737+AM737)/2,MAX((CL737+AM737)/2,H737))))</f>
        <v>5</v>
      </c>
      <c r="AL737" s="62" t="n">
        <f aca="false">AK737*G737</f>
        <v>4573.65</v>
      </c>
      <c r="AM737" s="62" t="n">
        <f aca="false">ROUNDUP(CL737+MAX(CM737,2*(J737/IF(CH737&gt;0,CH737,MAX(0.1,N(Cockpit!$C$6)))-CL737)),0)</f>
        <v>1</v>
      </c>
      <c r="AN737" s="63" t="n">
        <f aca="false">IF(AJ737&gt;0,J737/AJ737,-1)</f>
        <v>0</v>
      </c>
      <c r="AO737" s="63" t="n">
        <f aca="false">IF(AND(OR(CG737="L1",CG737="L23",CG737="LIFT"),AJ737&gt;0),SUMIFS($AJ$7:$AJ$1843,$CG$7:$CG$1843,CG737,$AN$7:$AN$1843,"&gt;"&amp;AN737)+SUMIFS($AJ$7:$AJ$1843,$CG$7:$CG$1843,CG737,$AN$7:$AN$1843,AN737,$BX$7:$BX$1843,"&lt;="&amp;BX737),"")</f>
        <v>28698.3476956189</v>
      </c>
      <c r="AP737" s="70" t="n">
        <f aca="false">IF(AO737="",0,MAX(0,MIN(1,(IF(CG737="L1",Parameter!$H$5,IF(CG737="L23",Parameter!$H$6+Parameter!$H$7,Parameter!$H$5+Parameter!$H$6+Parameter!$H$7))-(AO737-AJ737))/AJ737)))</f>
        <v>1</v>
      </c>
      <c r="AQ737" s="62" t="n">
        <f aca="false">IF(LEFT(Cockpit!$I$5,1)="A",H737,IF(Parameter!$E$30="MAX-Bestand",IF(CI737=1,CJ737,IF(LEFT(Cockpit!$I$5,1)="B",AW737,MAX(AW737,H737))),ROUNDUP(AU737,0)))</f>
        <v>5</v>
      </c>
      <c r="AR737" s="62" t="n">
        <f aca="false">IF(CA737=1,0,ROUNDUP(AQ737/BZ737,0))</f>
        <v>2</v>
      </c>
      <c r="AS737" s="64" t="n">
        <f aca="false">IF(CR737&gt;0,CR737*MAX(1,AQ737/X737),IF(CA737=1,IF(AQ737&lt;=0,0,CE737*MAX(1,IF(H737&gt;0,AQ737/H737,1))),IF(R737&gt;0,AR737/R737,0))/MAX(0.1,N(Parameter!$M$21)))</f>
        <v>0.166666666666667</v>
      </c>
      <c r="AT737" s="62" t="n">
        <f aca="false">AS737*CC737</f>
        <v>24.1666666666667</v>
      </c>
      <c r="AU737" s="63" t="n">
        <f aca="false">IF(LEFT(Cockpit!$I$5,1)="A",H737,IF(CI737=1,(CL737+CJ737)/2,IF(LEFT(Cockpit!$I$5,1)="B",(CL737+AW737)/2,MAX((CL737+AW737)/2,H737))))</f>
        <v>5</v>
      </c>
      <c r="AV737" s="62" t="n">
        <f aca="false">AU737*G737</f>
        <v>4573.65</v>
      </c>
      <c r="AW737" s="62" t="n">
        <f aca="false">ROUNDUP(CL737+MAX(CM737,2*(J737/IF(CH737&gt;0,CH737,MAX(0.1,N(Cockpit!$I$6)))-CL737)),0)</f>
        <v>1</v>
      </c>
      <c r="AX737" s="63" t="n">
        <f aca="false">IF(AT737&gt;0,J737/AT737,-1)</f>
        <v>0</v>
      </c>
      <c r="AY737" s="63" t="n">
        <f aca="false">IF(AND(OR(CG737="L1",CG737="L23",CG737="LIFT"),AT737&gt;0),SUMIFS($AT$7:$AT$1843,$CG$7:$CG$1843,CG737,$AX$7:$AX$1843,"&gt;"&amp;AX737)+SUMIFS($AT$7:$AT$1843,$CG$7:$CG$1843,CG737,$AX$7:$AX$1843,AX737,$BX$7:$BX$1843,"&lt;="&amp;BX737),"")</f>
        <v>34278.9642857143</v>
      </c>
      <c r="AZ737" s="70" t="n">
        <f aca="false">IF(AY737="",0,MAX(0,MIN(1,(IF(CG737="L1",Parameter!$H$5,IF(CG737="L23",Parameter!$H$6+Parameter!$H$7,Parameter!$H$5+Parameter!$H$6+Parameter!$H$7))-(AY737-AT737))/AT737)))</f>
        <v>1</v>
      </c>
      <c r="BA737" s="62" t="n">
        <f aca="false">IF(LEFT(Cockpit!$O$5,1)="A",H737,IF(Parameter!$E$30="MAX-Bestand",IF(CI737=1,CJ737,IF(LEFT(Cockpit!$O$5,1)="B",BG737,MAX(BG737,H737))),ROUNDUP(BE737,0)))</f>
        <v>1</v>
      </c>
      <c r="BB737" s="62" t="n">
        <f aca="false">IF(CA737=1,0,ROUNDUP(BA737/BZ737,0))</f>
        <v>1</v>
      </c>
      <c r="BC737" s="64" t="n">
        <f aca="false">IF(CR737&gt;0,CR737*MAX(1,BA737/X737),IF(CA737=1,IF(BA737&lt;=0,0,CE737*MAX(1,IF(H737&gt;0,BA737/H737,1))),IF(R737&gt;0,BB737/R737,0))/MAX(0.1,N(Parameter!$M$21)))</f>
        <v>0.0833333333333333</v>
      </c>
      <c r="BD737" s="62" t="n">
        <f aca="false">BC737*CC737</f>
        <v>12.0833333333333</v>
      </c>
      <c r="BE737" s="63" t="n">
        <f aca="false">IF(LEFT(Cockpit!$O$5,1)="A",H737,IF(CI737=1,(CL737+CJ737)/2,IF(LEFT(Cockpit!$O$5,1)="B",(CL737+BG737)/2,MAX((CL737+BG737)/2,H737))))</f>
        <v>0.5</v>
      </c>
      <c r="BF737" s="62" t="n">
        <f aca="false">BE737*G737</f>
        <v>457.365</v>
      </c>
      <c r="BG737" s="62" t="n">
        <f aca="false">ROUNDUP(CL737+MAX(CM737,2*(J737/IF(CH737&gt;0,CH737,MAX(0.1,N(Cockpit!$O$6)))-CL737)),0)</f>
        <v>1</v>
      </c>
      <c r="BH737" s="63" t="n">
        <f aca="false">IF(BD737&gt;0,J737/BD737,-1)</f>
        <v>0</v>
      </c>
      <c r="BI737" s="63" t="n">
        <f aca="false">IF(AND(OR(CG737="L1",CG737="L23",CG737="LIFT"),BD737&gt;0),SUMIFS($BD$7:$BD$1843,$CG$7:$CG$1843,CG737,$BH$7:$BH$1843,"&gt;"&amp;BH737)+SUMIFS($BD$7:$BD$1843,$CG$7:$CG$1843,CG737,$BH$7:$BH$1843,BH737,$BX$7:$BX$1843,"&lt;="&amp;BX737),"")</f>
        <v>28328.7956711368</v>
      </c>
      <c r="BJ737" s="70" t="n">
        <f aca="false">IF(BI737="",0,MAX(0,MIN(1,(IF(CG737="L1",Parameter!$H$5,IF(CG737="L23",Parameter!$H$6+Parameter!$H$7,Parameter!$H$5+Parameter!$H$6+Parameter!$H$7))-(BI737-BD737))/BD737)))</f>
        <v>1</v>
      </c>
      <c r="BK737" s="60" t="str">
        <f aca="false">IF(AJ737&lt;=0,"",IF(CG737="Aussen","Aussenlager",IF(CG737="-","Nicht im Lift",IF(AP737&gt;=1,"Lift",IF(AP737&lt;=0,"Aussenlager","teilweise")))))</f>
        <v>Lift</v>
      </c>
      <c r="BL737" s="60" t="str">
        <f aca="false">IF(AT737&lt;=0,"",IF(CG737="Aussen","Aussenlager",IF(CG737="-","Nicht im Lift",IF(AZ737&gt;=1,"Lift",IF(AZ737&lt;=0,"Aussenlager","teilweise")))))</f>
        <v>Lift</v>
      </c>
      <c r="BM737" s="60" t="str">
        <f aca="false">IF(BD737&lt;=0,"",IF(CG737="Aussen","Aussenlager",IF(CG737="-","Nicht im Lift",IF(BJ737&gt;=1,"Lift",IF(BJ737&lt;=0,"Aussenlager","teilweise")))))</f>
        <v>Lift</v>
      </c>
      <c r="BN737" s="60" t="str">
        <f aca="false">IF(A737="","",IF(BW737=1,"Neu; ","")&amp;IF(AND(BW737=0,BR737&lt;0),"negativer Bestand (Export "&amp;BR737&amp;"); ","")&amp;IF(J737&lt;=0,"Kein Verbrauch; ","")&amp;IF(CR737&gt;0,"Lift "&amp;W737&amp;" lt. Liftbericht (Fach "&amp;X737&amp;" Stk); ",IF(CB737=1,"Gebinde geschätzt ("&amp;T737&amp;"); ",IF(CA737=1,"Lose – Tablare geschätzt; ","")))&amp;IF(H737&gt;AW737,"Überbestand "&amp;ROUND(H737-AW737,0)&amp;" Stk / CHF "&amp;ROUND((H737-AW737)*G737,0)&amp;"; ","")&amp;IF(AND(CI737=1,CJ737&lt;CK737),"MAX &lt; MB+LG; ","")&amp;IF(AND(CQ737&gt;0,CP737*10&gt;CQ737),"zu hoch für Tablar; ","")&amp;IF(AND(BW737=0,OR(CI737=1,AB737&lt;&gt;"",U737&lt;&gt;"",V737&lt;&gt;"",AC737&lt;&gt;"")),"manuell übersteuert; ","")&amp;IF(AND(CA737=0,R737=0),"Gebinde unbekannt / Stellmass fehlt; ","")&amp;IF(AND(CA737=0,N(V737)&lt;=0,N(Q737)&lt;=0),"Menge pro Gebinde fehlt (Ist = 1 Gebinde); ","")&amp;BV737)</f>
        <v>Kein Verbrauch; Überbestand 4 Stk / CHF 3659; Ohne Fuss</v>
      </c>
      <c r="BO737" s="60"/>
      <c r="BP737" s="60"/>
      <c r="BQ737" s="67"/>
      <c r="BR737" s="62" t="n">
        <v>0</v>
      </c>
      <c r="BS737" s="62" t="n">
        <v>5</v>
      </c>
      <c r="BT737" s="61" t="n">
        <v>0</v>
      </c>
      <c r="BU737" s="62" t="n">
        <v>0</v>
      </c>
      <c r="BV737" s="60" t="s">
        <v>1503</v>
      </c>
      <c r="BW737" s="65" t="n">
        <v>0</v>
      </c>
      <c r="BX737" s="65" t="n">
        <v>737</v>
      </c>
      <c r="BY737" s="60" t="str">
        <f aca="false">IF(U737&lt;&gt;"",UPPER(TRIM(U737)),IF(CB737=1,UPPER(VLOOKUP(T737,Parameter!$I$27:$K$29,2,0)),IF(P737="","LOSE",P737)))</f>
        <v>S61</v>
      </c>
      <c r="BZ737" s="62" t="n">
        <f aca="false">IF(BY737="LOSE",1,IF(N(V737)&gt;0,V737,IF(CB737=1,MAX(1,N(VLOOKUP(T737,Parameter!$I$27:$K$29,3,0)),H737,N(N737)),IF(N(Q737)&gt;0,Q737,MAX(1,H737)))))</f>
        <v>3</v>
      </c>
      <c r="CA737" s="65" t="n">
        <f aca="false">IF(BY737="LOSE",1,0)</f>
        <v>0</v>
      </c>
      <c r="CB737" s="65" t="n">
        <f aca="false">IF(AND(U737="",OR(P737="",P737="LOSE"),T737&lt;&gt;"",N(S737)&lt;=0,ISNUMBER(MATCH(T737,Parameter!$I$27:$I$29,0))),1,0)</f>
        <v>0</v>
      </c>
      <c r="CC737" s="65" t="n">
        <f aca="false">IF(CR737&gt;0,INDEX(Parameter!$H$5:$H$7,W737)/INDEX(Parameter!$E$5:$E$7,W737),IF(AND(CA737=0,N(IFERROR(VLOOKUP(BY737,'Gebinde-Kategorie'!$A$5:$N$45,14,0),0))&gt;0),VLOOKUP(BY737,'Gebinde-Kategorie'!$A$5:$N$45,14,0)*10+Parameter!$M$23,Parameter!$M$24))</f>
        <v>145</v>
      </c>
      <c r="CD737" s="60" t="str">
        <f aca="false">IF(AND(Parameter!$B$19="Ja",E737&lt;&gt;"",ISNUMBER(MATCH(E737,Parameter!$I$35:$I$52,0))),VLOOKUP(E737,Parameter!$I$35:$J$52,2,0),IFERROR(VLOOKUP(D737,Parameter!$A$35:$C$64,2,0),"Nein"))</f>
        <v>2+3</v>
      </c>
      <c r="CE737" s="64" t="n">
        <f aca="false">IF(CA737=0,0,IF(N(S737)&gt;0,S737,IFERROR(VLOOKUP(D737,Parameter!$A$35:$C$64,3,0)+0,0)))</f>
        <v>0</v>
      </c>
      <c r="CF737" s="60" t="n">
        <f aca="false">IF(AB737&lt;&gt;"",AB737,AA737)</f>
        <v>3</v>
      </c>
      <c r="CG737" s="60" t="str">
        <f aca="false">IF(OR(CF737=1,CF737=2,CF737=3),IF(Parameter!$E$27="Ja","LIFT",IF(CF737=1,"L1","L23")),IF(CF737="Aussen","Aussen","-"))</f>
        <v>LIFT</v>
      </c>
      <c r="CH737" s="71" t="n">
        <f aca="false">IF(N(AC737)&gt;0,AC737,0)</f>
        <v>0</v>
      </c>
      <c r="CI737" s="65" t="n">
        <f aca="false">IF(ISNUMBER(AF737),1,0)</f>
        <v>0</v>
      </c>
      <c r="CJ737" s="62" t="n">
        <f aca="false">N(AF737)</f>
        <v>0</v>
      </c>
      <c r="CK737" s="62" t="n">
        <f aca="false">N(M737)+N(N737)</f>
        <v>1</v>
      </c>
      <c r="CL737" s="62" t="n">
        <f aca="false">N(M737)</f>
        <v>0</v>
      </c>
      <c r="CM737" s="62" t="n">
        <f aca="false">N(N737)</f>
        <v>1</v>
      </c>
      <c r="CN737" s="62" t="n">
        <f aca="false">ROUNDUP(H737/BZ737,0)</f>
        <v>2</v>
      </c>
      <c r="CO737" s="62" t="n">
        <f aca="false">ROUNDUP(CJ737/BZ737,0)</f>
        <v>0</v>
      </c>
      <c r="CP737" s="65" t="n">
        <f aca="false">IF(CA737=1,0,IFERROR(VLOOKUP(BY737,'Gebinde-Kategorie'!$A$5:$N$45,5,0)+0,0))</f>
        <v>11</v>
      </c>
      <c r="CQ737" s="65" t="n">
        <f aca="false">IFERROR(IF(OR(CF737=1,CF737=2,CF737=3),N(INDEX(Parameter!$I$5:$I$7,CF737)),0),0)</f>
        <v>0</v>
      </c>
      <c r="CR737" s="64" t="n">
        <f aca="false">IF(AND(Parameter!$B$21="Ja",ISNUMBER(W737),N(X737)&gt;0),IFERROR(N(INDEX(Parameter!$L$5:$L$7,W737))*INDEX(Parameter!$E$5:$E$7,W737)*X737/SUMIFS($X$7:$X$1843,$W$7:$W$1843,W737),0),0)</f>
        <v>0</v>
      </c>
      <c r="CS737" s="62" t="n">
        <f aca="false">IF(AND(OR(CG737="L1",CG737="L23",CG737="LIFT"),H737&gt;0),CC737*IF(CR737&gt;0,CR737*MAX(1,H737/X737),IF(CA737=1,CE737,IF(R737&gt;0,CN737/R737,0))/MAX(0.1,N(Parameter!$M$21))),"")</f>
        <v>24.1666666666667</v>
      </c>
      <c r="CT737" s="64" t="n">
        <f aca="false">IF(CS737="","",J737/H737)</f>
        <v>0</v>
      </c>
      <c r="CU737" s="62" t="n">
        <f aca="false">IF(CS737="","",H737*G737)</f>
        <v>4573.65</v>
      </c>
      <c r="CV737" s="63" t="n">
        <f aca="false">IF(CS737="","",(CL737+ROUNDUP(CL737+MAX(CM737,2*(J737/MAX(0.1,N(Einkauf!$C$6))-CL737)),0))/2)</f>
        <v>0.5</v>
      </c>
      <c r="CW737" s="62" t="n">
        <f aca="false">IF(CS737="","",MAX(0,H737-CV737)*G737)</f>
        <v>4116.285</v>
      </c>
      <c r="CX737" s="62" t="n">
        <f aca="false">IF(CS737="","",CS737*MAX(0,1-CV737/H737))</f>
        <v>21.75</v>
      </c>
      <c r="CY737" s="64" t="n">
        <f aca="false">IF(CS737="","",PERCENTRANK($CS$7:$CS$1843,CS737)+PERCENTRANK($CU$7:$CU$1843,CU737)+1-PERCENTRANK($CT$7:$CT$1843,CT737))</f>
        <v>2.708</v>
      </c>
      <c r="CZ737" s="72" t="n">
        <f aca="false">IF(CS737="","",CHOOSE(MATCH(Einkauf!$C$5,Parameter!$G$23:$G$27,0),CY737,CS737,CU737,-CT737,CW737)+ROW()/1000000000)</f>
        <v>2.708000737</v>
      </c>
    </row>
    <row r="738" customFormat="false" ht="15" hidden="false" customHeight="false" outlineLevel="0" collapsed="false">
      <c r="A738" s="60" t="s">
        <v>1504</v>
      </c>
      <c r="B738" s="60" t="s">
        <v>1505</v>
      </c>
      <c r="C738" s="60" t="s">
        <v>206</v>
      </c>
      <c r="D738" s="60" t="s">
        <v>226</v>
      </c>
      <c r="E738" s="60" t="s">
        <v>227</v>
      </c>
      <c r="F738" s="60" t="s">
        <v>260</v>
      </c>
      <c r="G738" s="61" t="n">
        <v>170.05</v>
      </c>
      <c r="H738" s="62" t="n">
        <f aca="false">MAX(0,IF(AND(Parameter!$B$21="Ja",ISNUMBER(Y738)),Y738,IF(Parameter!$B$20="Jahresanfang 2025 + Export",BS738+BR738,BR738)))</f>
        <v>8</v>
      </c>
      <c r="I738" s="62" t="n">
        <f aca="false">H738*G738</f>
        <v>1360.4</v>
      </c>
      <c r="J738" s="62" t="n">
        <f aca="false">BU738*Parameter!$B$18</f>
        <v>0</v>
      </c>
      <c r="K738" s="63" t="n">
        <v>8</v>
      </c>
      <c r="L738" s="64" t="n">
        <v>0</v>
      </c>
      <c r="M738" s="62" t="n">
        <v>0</v>
      </c>
      <c r="N738" s="62" t="n">
        <v>1</v>
      </c>
      <c r="O738" s="65" t="n">
        <v>28</v>
      </c>
      <c r="P738" s="60" t="s">
        <v>370</v>
      </c>
      <c r="Q738" s="62" t="n">
        <v>15</v>
      </c>
      <c r="R738" s="65" t="n">
        <f aca="false">IF(CA738=1,0,IFERROR(VLOOKUP(BY738,'Gebinde-Kategorie'!$A$5:$N$45,13,0)+0,0))</f>
        <v>52</v>
      </c>
      <c r="S738" s="66"/>
      <c r="T738" s="67"/>
      <c r="U738" s="67"/>
      <c r="V738" s="67"/>
      <c r="W738" s="60"/>
      <c r="X738" s="62"/>
      <c r="Y738" s="62"/>
      <c r="Z738" s="60" t="n">
        <v>2</v>
      </c>
      <c r="AA738" s="60" t="n">
        <f aca="false">IF(A738="","",IF(AND(Parameter!$B$21="Ja",ISNUMBER(W738)),W738,IF(AND(Parameter!$E$27="Ja",ISNUMBER(Z738),CD738&lt;&gt;"Nein"),Z738,IF(CD738="2+3",IF(ISNUMBER(SEARCH("grosser Artikel",BV738)),2,IFERROR(VLOOKUP(BY738,Parameter!$F$35:$G$64,2,0),2)),IF(OR(CD738="Nein",CD738=""),"-",CD738)))))</f>
        <v>2</v>
      </c>
      <c r="AB738" s="67"/>
      <c r="AC738" s="68"/>
      <c r="AD738" s="62" t="n">
        <f aca="false">AW738</f>
        <v>1</v>
      </c>
      <c r="AE738" s="62" t="n">
        <f aca="false">MAX(AW738,H738)</f>
        <v>8</v>
      </c>
      <c r="AF738" s="69"/>
      <c r="AG738" s="62" t="n">
        <f aca="false">IF(LEFT(Cockpit!$C$5,1)="A",H738,IF(Parameter!$E$30="MAX-Bestand",IF(CI738=1,CJ738,IF(LEFT(Cockpit!$C$5,1)="B",AM738,MAX(AM738,H738))),ROUNDUP(AK738,0)))</f>
        <v>8</v>
      </c>
      <c r="AH738" s="62" t="n">
        <f aca="false">IF(CA738=1,0,ROUNDUP(AG738/BZ738,0))</f>
        <v>1</v>
      </c>
      <c r="AI738" s="64" t="n">
        <f aca="false">IF(CR738&gt;0,CR738*MAX(1,AG738/X738),IF(CA738=1,IF(AG738&lt;=0,0,CE738*MAX(1,IF(H738&gt;0,AG738/H738,1))),IF(R738&gt;0,AH738/R738,0))/MAX(0.1,N(Parameter!$M$21)))</f>
        <v>0.0192307692307692</v>
      </c>
      <c r="AJ738" s="62" t="n">
        <f aca="false">AI738*CC738</f>
        <v>2.98076923076923</v>
      </c>
      <c r="AK738" s="63" t="n">
        <f aca="false">IF(LEFT(Cockpit!$C$5,1)="A",H738,IF(CI738=1,(CL738+CJ738)/2,IF(LEFT(Cockpit!$C$5,1)="B",(CL738+AM738)/2,MAX((CL738+AM738)/2,H738))))</f>
        <v>8</v>
      </c>
      <c r="AL738" s="62" t="n">
        <f aca="false">AK738*G738</f>
        <v>1360.4</v>
      </c>
      <c r="AM738" s="62" t="n">
        <f aca="false">ROUNDUP(CL738+MAX(CM738,2*(J738/IF(CH738&gt;0,CH738,MAX(0.1,N(Cockpit!$C$6)))-CL738)),0)</f>
        <v>1</v>
      </c>
      <c r="AN738" s="63" t="n">
        <f aca="false">IF(AJ738&gt;0,J738/AJ738,-1)</f>
        <v>0</v>
      </c>
      <c r="AO738" s="63" t="n">
        <f aca="false">IF(AND(OR(CG738="L1",CG738="L23",CG738="LIFT"),AJ738&gt;0),SUMIFS($AJ$7:$AJ$1843,$CG$7:$CG$1843,CG738,$AN$7:$AN$1843,"&gt;"&amp;AN738)+SUMIFS($AJ$7:$AJ$1843,$CG$7:$CG$1843,CG738,$AN$7:$AN$1843,AN738,$BX$7:$BX$1843,"&lt;="&amp;BX738),"")</f>
        <v>28701.3284648497</v>
      </c>
      <c r="AP738" s="70" t="n">
        <f aca="false">IF(AO738="",0,MAX(0,MIN(1,(IF(CG738="L1",Parameter!$H$5,IF(CG738="L23",Parameter!$H$6+Parameter!$H$7,Parameter!$H$5+Parameter!$H$6+Parameter!$H$7))-(AO738-AJ738))/AJ738)))</f>
        <v>1</v>
      </c>
      <c r="AQ738" s="62" t="n">
        <f aca="false">IF(LEFT(Cockpit!$I$5,1)="A",H738,IF(Parameter!$E$30="MAX-Bestand",IF(CI738=1,CJ738,IF(LEFT(Cockpit!$I$5,1)="B",AW738,MAX(AW738,H738))),ROUNDUP(AU738,0)))</f>
        <v>8</v>
      </c>
      <c r="AR738" s="62" t="n">
        <f aca="false">IF(CA738=1,0,ROUNDUP(AQ738/BZ738,0))</f>
        <v>1</v>
      </c>
      <c r="AS738" s="64" t="n">
        <f aca="false">IF(CR738&gt;0,CR738*MAX(1,AQ738/X738),IF(CA738=1,IF(AQ738&lt;=0,0,CE738*MAX(1,IF(H738&gt;0,AQ738/H738,1))),IF(R738&gt;0,AR738/R738,0))/MAX(0.1,N(Parameter!$M$21)))</f>
        <v>0.0192307692307692</v>
      </c>
      <c r="AT738" s="62" t="n">
        <f aca="false">AS738*CC738</f>
        <v>2.98076923076923</v>
      </c>
      <c r="AU738" s="63" t="n">
        <f aca="false">IF(LEFT(Cockpit!$I$5,1)="A",H738,IF(CI738=1,(CL738+CJ738)/2,IF(LEFT(Cockpit!$I$5,1)="B",(CL738+AW738)/2,MAX((CL738+AW738)/2,H738))))</f>
        <v>8</v>
      </c>
      <c r="AV738" s="62" t="n">
        <f aca="false">AU738*G738</f>
        <v>1360.4</v>
      </c>
      <c r="AW738" s="62" t="n">
        <f aca="false">ROUNDUP(CL738+MAX(CM738,2*(J738/IF(CH738&gt;0,CH738,MAX(0.1,N(Cockpit!$I$6)))-CL738)),0)</f>
        <v>1</v>
      </c>
      <c r="AX738" s="63" t="n">
        <f aca="false">IF(AT738&gt;0,J738/AT738,-1)</f>
        <v>0</v>
      </c>
      <c r="AY738" s="63" t="n">
        <f aca="false">IF(AND(OR(CG738="L1",CG738="L23",CG738="LIFT"),AT738&gt;0),SUMIFS($AT$7:$AT$1843,$CG$7:$CG$1843,CG738,$AX$7:$AX$1843,"&gt;"&amp;AX738)+SUMIFS($AT$7:$AT$1843,$CG$7:$CG$1843,CG738,$AX$7:$AX$1843,AX738,$BX$7:$BX$1843,"&lt;="&amp;BX738),"")</f>
        <v>34281.9450549451</v>
      </c>
      <c r="AZ738" s="70" t="n">
        <f aca="false">IF(AY738="",0,MAX(0,MIN(1,(IF(CG738="L1",Parameter!$H$5,IF(CG738="L23",Parameter!$H$6+Parameter!$H$7,Parameter!$H$5+Parameter!$H$6+Parameter!$H$7))-(AY738-AT738))/AT738)))</f>
        <v>1</v>
      </c>
      <c r="BA738" s="62" t="n">
        <f aca="false">IF(LEFT(Cockpit!$O$5,1)="A",H738,IF(Parameter!$E$30="MAX-Bestand",IF(CI738=1,CJ738,IF(LEFT(Cockpit!$O$5,1)="B",BG738,MAX(BG738,H738))),ROUNDUP(BE738,0)))</f>
        <v>1</v>
      </c>
      <c r="BB738" s="62" t="n">
        <f aca="false">IF(CA738=1,0,ROUNDUP(BA738/BZ738,0))</f>
        <v>1</v>
      </c>
      <c r="BC738" s="64" t="n">
        <f aca="false">IF(CR738&gt;0,CR738*MAX(1,BA738/X738),IF(CA738=1,IF(BA738&lt;=0,0,CE738*MAX(1,IF(H738&gt;0,BA738/H738,1))),IF(R738&gt;0,BB738/R738,0))/MAX(0.1,N(Parameter!$M$21)))</f>
        <v>0.0192307692307692</v>
      </c>
      <c r="BD738" s="62" t="n">
        <f aca="false">BC738*CC738</f>
        <v>2.98076923076923</v>
      </c>
      <c r="BE738" s="63" t="n">
        <f aca="false">IF(LEFT(Cockpit!$O$5,1)="A",H738,IF(CI738=1,(CL738+CJ738)/2,IF(LEFT(Cockpit!$O$5,1)="B",(CL738+BG738)/2,MAX((CL738+BG738)/2,H738))))</f>
        <v>0.5</v>
      </c>
      <c r="BF738" s="62" t="n">
        <f aca="false">BE738*G738</f>
        <v>85.025</v>
      </c>
      <c r="BG738" s="62" t="n">
        <f aca="false">ROUNDUP(CL738+MAX(CM738,2*(J738/IF(CH738&gt;0,CH738,MAX(0.1,N(Cockpit!$O$6)))-CL738)),0)</f>
        <v>1</v>
      </c>
      <c r="BH738" s="63" t="n">
        <f aca="false">IF(BD738&gt;0,J738/BD738,-1)</f>
        <v>0</v>
      </c>
      <c r="BI738" s="63" t="n">
        <f aca="false">IF(AND(OR(CG738="L1",CG738="L23",CG738="LIFT"),BD738&gt;0),SUMIFS($BD$7:$BD$1843,$CG$7:$CG$1843,CG738,$BH$7:$BH$1843,"&gt;"&amp;BH738)+SUMIFS($BD$7:$BD$1843,$CG$7:$CG$1843,CG738,$BH$7:$BH$1843,BH738,$BX$7:$BX$1843,"&lt;="&amp;BX738),"")</f>
        <v>28331.7764403675</v>
      </c>
      <c r="BJ738" s="70" t="n">
        <f aca="false">IF(BI738="",0,MAX(0,MIN(1,(IF(CG738="L1",Parameter!$H$5,IF(CG738="L23",Parameter!$H$6+Parameter!$H$7,Parameter!$H$5+Parameter!$H$6+Parameter!$H$7))-(BI738-BD738))/BD738)))</f>
        <v>1</v>
      </c>
      <c r="BK738" s="60" t="str">
        <f aca="false">IF(AJ738&lt;=0,"",IF(CG738="Aussen","Aussenlager",IF(CG738="-","Nicht im Lift",IF(AP738&gt;=1,"Lift",IF(AP738&lt;=0,"Aussenlager","teilweise")))))</f>
        <v>Lift</v>
      </c>
      <c r="BL738" s="60" t="str">
        <f aca="false">IF(AT738&lt;=0,"",IF(CG738="Aussen","Aussenlager",IF(CG738="-","Nicht im Lift",IF(AZ738&gt;=1,"Lift",IF(AZ738&lt;=0,"Aussenlager","teilweise")))))</f>
        <v>Lift</v>
      </c>
      <c r="BM738" s="60" t="str">
        <f aca="false">IF(BD738&lt;=0,"",IF(CG738="Aussen","Aussenlager",IF(CG738="-","Nicht im Lift",IF(BJ738&gt;=1,"Lift",IF(BJ738&lt;=0,"Aussenlager","teilweise")))))</f>
        <v>Lift</v>
      </c>
      <c r="BN738" s="60" t="str">
        <f aca="false">IF(A738="","",IF(BW738=1,"Neu; ","")&amp;IF(AND(BW738=0,BR738&lt;0),"negativer Bestand (Export "&amp;BR738&amp;"); ","")&amp;IF(J738&lt;=0,"Kein Verbrauch; ","")&amp;IF(CR738&gt;0,"Lift "&amp;W738&amp;" lt. Liftbericht (Fach "&amp;X738&amp;" Stk); ",IF(CB738=1,"Gebinde geschätzt ("&amp;T738&amp;"); ",IF(CA738=1,"Lose – Tablare geschätzt; ","")))&amp;IF(H738&gt;AW738,"Überbestand "&amp;ROUND(H738-AW738,0)&amp;" Stk / CHF "&amp;ROUND((H738-AW738)*G738,0)&amp;"; ","")&amp;IF(AND(CI738=1,CJ738&lt;CK738),"MAX &lt; MB+LG; ","")&amp;IF(AND(CQ738&gt;0,CP738*10&gt;CQ738),"zu hoch für Tablar; ","")&amp;IF(AND(BW738=0,OR(CI738=1,AB738&lt;&gt;"",U738&lt;&gt;"",V738&lt;&gt;"",AC738&lt;&gt;"")),"manuell übersteuert; ","")&amp;IF(AND(CA738=0,R738=0),"Gebinde unbekannt / Stellmass fehlt; ","")&amp;IF(AND(CA738=0,N(V738)&lt;=0,N(Q738)&lt;=0),"Menge pro Gebinde fehlt (Ist = 1 Gebinde); ","")&amp;BV738)</f>
        <v>Kein Verbrauch; Überbestand 7 Stk / CHF 1190; </v>
      </c>
      <c r="BO738" s="60"/>
      <c r="BP738" s="60"/>
      <c r="BQ738" s="67"/>
      <c r="BR738" s="62" t="n">
        <v>0</v>
      </c>
      <c r="BS738" s="62" t="n">
        <v>8</v>
      </c>
      <c r="BT738" s="61" t="n">
        <v>0</v>
      </c>
      <c r="BU738" s="62" t="n">
        <v>0</v>
      </c>
      <c r="BV738" s="60"/>
      <c r="BW738" s="65" t="n">
        <v>0</v>
      </c>
      <c r="BX738" s="65" t="n">
        <v>738</v>
      </c>
      <c r="BY738" s="60" t="str">
        <f aca="false">IF(U738&lt;&gt;"",UPPER(TRIM(U738)),IF(CB738=1,UPPER(VLOOKUP(T738,Parameter!$I$27:$K$29,2,0)),IF(P738="","LOSE",P738)))</f>
        <v>S41</v>
      </c>
      <c r="BZ738" s="62" t="n">
        <f aca="false">IF(BY738="LOSE",1,IF(N(V738)&gt;0,V738,IF(CB738=1,MAX(1,N(VLOOKUP(T738,Parameter!$I$27:$K$29,3,0)),H738,N(N738)),IF(N(Q738)&gt;0,Q738,MAX(1,H738)))))</f>
        <v>15</v>
      </c>
      <c r="CA738" s="65" t="n">
        <f aca="false">IF(BY738="LOSE",1,0)</f>
        <v>0</v>
      </c>
      <c r="CB738" s="65" t="n">
        <f aca="false">IF(AND(U738="",OR(P738="",P738="LOSE"),T738&lt;&gt;"",N(S738)&lt;=0,ISNUMBER(MATCH(T738,Parameter!$I$27:$I$29,0))),1,0)</f>
        <v>0</v>
      </c>
      <c r="CC738" s="65" t="n">
        <f aca="false">IF(CR738&gt;0,INDEX(Parameter!$H$5:$H$7,W738)/INDEX(Parameter!$E$5:$E$7,W738),IF(AND(CA738=0,N(IFERROR(VLOOKUP(BY738,'Gebinde-Kategorie'!$A$5:$N$45,14,0),0))&gt;0),VLOOKUP(BY738,'Gebinde-Kategorie'!$A$5:$N$45,14,0)*10+Parameter!$M$23,Parameter!$M$24))</f>
        <v>155</v>
      </c>
      <c r="CD738" s="60" t="str">
        <f aca="false">IF(AND(Parameter!$B$19="Ja",E738&lt;&gt;"",ISNUMBER(MATCH(E738,Parameter!$I$35:$I$52,0))),VLOOKUP(E738,Parameter!$I$35:$J$52,2,0),IFERROR(VLOOKUP(D738,Parameter!$A$35:$C$64,2,0),"Nein"))</f>
        <v>2+3</v>
      </c>
      <c r="CE738" s="64" t="n">
        <f aca="false">IF(CA738=0,0,IF(N(S738)&gt;0,S738,IFERROR(VLOOKUP(D738,Parameter!$A$35:$C$64,3,0)+0,0)))</f>
        <v>0</v>
      </c>
      <c r="CF738" s="60" t="n">
        <f aca="false">IF(AB738&lt;&gt;"",AB738,AA738)</f>
        <v>2</v>
      </c>
      <c r="CG738" s="60" t="str">
        <f aca="false">IF(OR(CF738=1,CF738=2,CF738=3),IF(Parameter!$E$27="Ja","LIFT",IF(CF738=1,"L1","L23")),IF(CF738="Aussen","Aussen","-"))</f>
        <v>LIFT</v>
      </c>
      <c r="CH738" s="71" t="n">
        <f aca="false">IF(N(AC738)&gt;0,AC738,0)</f>
        <v>0</v>
      </c>
      <c r="CI738" s="65" t="n">
        <f aca="false">IF(ISNUMBER(AF738),1,0)</f>
        <v>0</v>
      </c>
      <c r="CJ738" s="62" t="n">
        <f aca="false">N(AF738)</f>
        <v>0</v>
      </c>
      <c r="CK738" s="62" t="n">
        <f aca="false">N(M738)+N(N738)</f>
        <v>1</v>
      </c>
      <c r="CL738" s="62" t="n">
        <f aca="false">N(M738)</f>
        <v>0</v>
      </c>
      <c r="CM738" s="62" t="n">
        <f aca="false">N(N738)</f>
        <v>1</v>
      </c>
      <c r="CN738" s="62" t="n">
        <f aca="false">ROUNDUP(H738/BZ738,0)</f>
        <v>1</v>
      </c>
      <c r="CO738" s="62" t="n">
        <f aca="false">ROUNDUP(CJ738/BZ738,0)</f>
        <v>0</v>
      </c>
      <c r="CP738" s="65" t="n">
        <f aca="false">IF(CA738=1,0,IFERROR(VLOOKUP(BY738,'Gebinde-Kategorie'!$A$5:$N$45,5,0)+0,0))</f>
        <v>11</v>
      </c>
      <c r="CQ738" s="65" t="n">
        <f aca="false">IFERROR(IF(OR(CF738=1,CF738=2,CF738=3),N(INDEX(Parameter!$I$5:$I$7,CF738)),0),0)</f>
        <v>0</v>
      </c>
      <c r="CR738" s="64" t="n">
        <f aca="false">IF(AND(Parameter!$B$21="Ja",ISNUMBER(W738),N(X738)&gt;0),IFERROR(N(INDEX(Parameter!$L$5:$L$7,W738))*INDEX(Parameter!$E$5:$E$7,W738)*X738/SUMIFS($X$7:$X$1843,$W$7:$W$1843,W738),0),0)</f>
        <v>0</v>
      </c>
      <c r="CS738" s="62" t="n">
        <f aca="false">IF(AND(OR(CG738="L1",CG738="L23",CG738="LIFT"),H738&gt;0),CC738*IF(CR738&gt;0,CR738*MAX(1,H738/X738),IF(CA738=1,CE738,IF(R738&gt;0,CN738/R738,0))/MAX(0.1,N(Parameter!$M$21))),"")</f>
        <v>2.98076923076923</v>
      </c>
      <c r="CT738" s="64" t="n">
        <f aca="false">IF(CS738="","",J738/H738)</f>
        <v>0</v>
      </c>
      <c r="CU738" s="62" t="n">
        <f aca="false">IF(CS738="","",H738*G738)</f>
        <v>1360.4</v>
      </c>
      <c r="CV738" s="63" t="n">
        <f aca="false">IF(CS738="","",(CL738+ROUNDUP(CL738+MAX(CM738,2*(J738/MAX(0.1,N(Einkauf!$C$6))-CL738)),0))/2)</f>
        <v>0.5</v>
      </c>
      <c r="CW738" s="62" t="n">
        <f aca="false">IF(CS738="","",MAX(0,H738-CV738)*G738)</f>
        <v>1275.375</v>
      </c>
      <c r="CX738" s="62" t="n">
        <f aca="false">IF(CS738="","",CS738*MAX(0,1-CV738/H738))</f>
        <v>2.79447115384615</v>
      </c>
      <c r="CY738" s="64" t="n">
        <f aca="false">IF(CS738="","",PERCENTRANK($CS$7:$CS$1843,CS738)+PERCENTRANK($CU$7:$CU$1843,CU738)+1-PERCENTRANK($CT$7:$CT$1843,CT738))</f>
        <v>1.911</v>
      </c>
      <c r="CZ738" s="72" t="n">
        <f aca="false">IF(CS738="","",CHOOSE(MATCH(Einkauf!$C$5,Parameter!$G$23:$G$27,0),CY738,CS738,CU738,-CT738,CW738)+ROW()/1000000000)</f>
        <v>1.911000738</v>
      </c>
    </row>
    <row r="739" customFormat="false" ht="15" hidden="false" customHeight="false" outlineLevel="0" collapsed="false">
      <c r="A739" s="60" t="s">
        <v>1506</v>
      </c>
      <c r="B739" s="60" t="s">
        <v>1507</v>
      </c>
      <c r="C739" s="60" t="s">
        <v>206</v>
      </c>
      <c r="D739" s="60" t="s">
        <v>1037</v>
      </c>
      <c r="E739" s="60"/>
      <c r="F739" s="60" t="s">
        <v>260</v>
      </c>
      <c r="G739" s="61" t="n">
        <v>1088.02</v>
      </c>
      <c r="H739" s="62" t="n">
        <f aca="false">MAX(0,IF(AND(Parameter!$B$21="Ja",ISNUMBER(Y739)),Y739,IF(Parameter!$B$20="Jahresanfang 2025 + Export",BS739+BR739,BR739)))</f>
        <v>0</v>
      </c>
      <c r="I739" s="62" t="n">
        <f aca="false">H739*G739</f>
        <v>0</v>
      </c>
      <c r="J739" s="62" t="n">
        <f aca="false">BU739*Parameter!$B$18</f>
        <v>0</v>
      </c>
      <c r="K739" s="63" t="n">
        <v>0</v>
      </c>
      <c r="L739" s="64" t="n">
        <v>0</v>
      </c>
      <c r="M739" s="62" t="n">
        <v>0</v>
      </c>
      <c r="N739" s="62" t="n">
        <v>1</v>
      </c>
      <c r="O739" s="65" t="n">
        <v>42</v>
      </c>
      <c r="P739" s="60" t="s">
        <v>210</v>
      </c>
      <c r="Q739" s="62"/>
      <c r="R739" s="65" t="n">
        <f aca="false">IF(CA739=1,0,IFERROR(VLOOKUP(BY739,'Gebinde-Kategorie'!$A$5:$N$45,13,0)+0,0))</f>
        <v>0</v>
      </c>
      <c r="S739" s="66"/>
      <c r="T739" s="67"/>
      <c r="U739" s="67"/>
      <c r="V739" s="67"/>
      <c r="W739" s="60"/>
      <c r="X739" s="62"/>
      <c r="Y739" s="62"/>
      <c r="Z739" s="60"/>
      <c r="AA739" s="60" t="str">
        <f aca="false">IF(A739="","",IF(AND(Parameter!$B$21="Ja",ISNUMBER(W739)),W739,IF(AND(Parameter!$E$27="Ja",ISNUMBER(Z739),CD739&lt;&gt;"Nein"),Z739,IF(CD739="2+3",IF(ISNUMBER(SEARCH("grosser Artikel",BV739)),2,IFERROR(VLOOKUP(BY739,Parameter!$F$35:$G$64,2,0),2)),IF(OR(CD739="Nein",CD739=""),"-",CD739)))))</f>
        <v>-</v>
      </c>
      <c r="AB739" s="67"/>
      <c r="AC739" s="68"/>
      <c r="AD739" s="62" t="n">
        <f aca="false">AW739</f>
        <v>1</v>
      </c>
      <c r="AE739" s="62" t="n">
        <f aca="false">MAX(AW739,H739)</f>
        <v>1</v>
      </c>
      <c r="AF739" s="69"/>
      <c r="AG739" s="62" t="n">
        <f aca="false">IF(LEFT(Cockpit!$C$5,1)="A",H739,IF(Parameter!$E$30="MAX-Bestand",IF(CI739=1,CJ739,IF(LEFT(Cockpit!$C$5,1)="B",AM739,MAX(AM739,H739))),ROUNDUP(AK739,0)))</f>
        <v>0</v>
      </c>
      <c r="AH739" s="62" t="n">
        <f aca="false">IF(CA739=1,0,ROUNDUP(AG739/BZ739,0))</f>
        <v>0</v>
      </c>
      <c r="AI739" s="64" t="n">
        <f aca="false">IF(CR739&gt;0,CR739*MAX(1,AG739/X739),IF(CA739=1,IF(AG739&lt;=0,0,CE739*MAX(1,IF(H739&gt;0,AG739/H739,1))),IF(R739&gt;0,AH739/R739,0))/MAX(0.1,N(Parameter!$M$21)))</f>
        <v>0</v>
      </c>
      <c r="AJ739" s="62" t="n">
        <f aca="false">AI739*CC739</f>
        <v>0</v>
      </c>
      <c r="AK739" s="63" t="n">
        <f aca="false">IF(LEFT(Cockpit!$C$5,1)="A",H739,IF(CI739=1,(CL739+CJ739)/2,IF(LEFT(Cockpit!$C$5,1)="B",(CL739+AM739)/2,MAX((CL739+AM739)/2,H739))))</f>
        <v>0</v>
      </c>
      <c r="AL739" s="62" t="n">
        <f aca="false">AK739*G739</f>
        <v>0</v>
      </c>
      <c r="AM739" s="62" t="n">
        <f aca="false">ROUNDUP(CL739+MAX(CM739,2*(J739/IF(CH739&gt;0,CH739,MAX(0.1,N(Cockpit!$C$6)))-CL739)),0)</f>
        <v>1</v>
      </c>
      <c r="AN739" s="63" t="n">
        <f aca="false">IF(AJ739&gt;0,J739/AJ739,-1)</f>
        <v>-1</v>
      </c>
      <c r="AO739" s="63" t="str">
        <f aca="false">IF(AND(OR(CG739="L1",CG739="L23",CG739="LIFT"),AJ739&gt;0),SUMIFS($AJ$7:$AJ$1843,$CG$7:$CG$1843,CG739,$AN$7:$AN$1843,"&gt;"&amp;AN739)+SUMIFS($AJ$7:$AJ$1843,$CG$7:$CG$1843,CG739,$AN$7:$AN$1843,AN739,$BX$7:$BX$1843,"&lt;="&amp;BX739),"")</f>
        <v/>
      </c>
      <c r="AP739" s="70" t="n">
        <f aca="false">IF(AO739="",0,MAX(0,MIN(1,(IF(CG739="L1",Parameter!$H$5,IF(CG739="L23",Parameter!$H$6+Parameter!$H$7,Parameter!$H$5+Parameter!$H$6+Parameter!$H$7))-(AO739-AJ739))/AJ739)))</f>
        <v>0</v>
      </c>
      <c r="AQ739" s="62" t="n">
        <f aca="false">IF(LEFT(Cockpit!$I$5,1)="A",H739,IF(Parameter!$E$30="MAX-Bestand",IF(CI739=1,CJ739,IF(LEFT(Cockpit!$I$5,1)="B",AW739,MAX(AW739,H739))),ROUNDUP(AU739,0)))</f>
        <v>1</v>
      </c>
      <c r="AR739" s="62" t="n">
        <f aca="false">IF(CA739=1,0,ROUNDUP(AQ739/BZ739,0))</f>
        <v>0</v>
      </c>
      <c r="AS739" s="64" t="n">
        <f aca="false">IF(CR739&gt;0,CR739*MAX(1,AQ739/X739),IF(CA739=1,IF(AQ739&lt;=0,0,CE739*MAX(1,IF(H739&gt;0,AQ739/H739,1))),IF(R739&gt;0,AR739/R739,0))/MAX(0.1,N(Parameter!$M$21)))</f>
        <v>0.15</v>
      </c>
      <c r="AT739" s="62" t="n">
        <f aca="false">AS739*CC739</f>
        <v>35.25</v>
      </c>
      <c r="AU739" s="63" t="n">
        <f aca="false">IF(LEFT(Cockpit!$I$5,1)="A",H739,IF(CI739=1,(CL739+CJ739)/2,IF(LEFT(Cockpit!$I$5,1)="B",(CL739+AW739)/2,MAX((CL739+AW739)/2,H739))))</f>
        <v>0.5</v>
      </c>
      <c r="AV739" s="62" t="n">
        <f aca="false">AU739*G739</f>
        <v>544.01</v>
      </c>
      <c r="AW739" s="62" t="n">
        <f aca="false">ROUNDUP(CL739+MAX(CM739,2*(J739/IF(CH739&gt;0,CH739,MAX(0.1,N(Cockpit!$I$6)))-CL739)),0)</f>
        <v>1</v>
      </c>
      <c r="AX739" s="63" t="n">
        <f aca="false">IF(AT739&gt;0,J739/AT739,-1)</f>
        <v>0</v>
      </c>
      <c r="AY739" s="63" t="str">
        <f aca="false">IF(AND(OR(CG739="L1",CG739="L23",CG739="LIFT"),AT739&gt;0),SUMIFS($AT$7:$AT$1843,$CG$7:$CG$1843,CG739,$AX$7:$AX$1843,"&gt;"&amp;AX739)+SUMIFS($AT$7:$AT$1843,$CG$7:$CG$1843,CG739,$AX$7:$AX$1843,AX739,$BX$7:$BX$1843,"&lt;="&amp;BX739),"")</f>
        <v/>
      </c>
      <c r="AZ739" s="70" t="n">
        <f aca="false">IF(AY739="",0,MAX(0,MIN(1,(IF(CG739="L1",Parameter!$H$5,IF(CG739="L23",Parameter!$H$6+Parameter!$H$7,Parameter!$H$5+Parameter!$H$6+Parameter!$H$7))-(AY739-AT739))/AT739)))</f>
        <v>0</v>
      </c>
      <c r="BA739" s="62" t="n">
        <f aca="false">IF(LEFT(Cockpit!$O$5,1)="A",H739,IF(Parameter!$E$30="MAX-Bestand",IF(CI739=1,CJ739,IF(LEFT(Cockpit!$O$5,1)="B",BG739,MAX(BG739,H739))),ROUNDUP(BE739,0)))</f>
        <v>1</v>
      </c>
      <c r="BB739" s="62" t="n">
        <f aca="false">IF(CA739=1,0,ROUNDUP(BA739/BZ739,0))</f>
        <v>0</v>
      </c>
      <c r="BC739" s="64" t="n">
        <f aca="false">IF(CR739&gt;0,CR739*MAX(1,BA739/X739),IF(CA739=1,IF(BA739&lt;=0,0,CE739*MAX(1,IF(H739&gt;0,BA739/H739,1))),IF(R739&gt;0,BB739/R739,0))/MAX(0.1,N(Parameter!$M$21)))</f>
        <v>0.15</v>
      </c>
      <c r="BD739" s="62" t="n">
        <f aca="false">BC739*CC739</f>
        <v>35.25</v>
      </c>
      <c r="BE739" s="63" t="n">
        <f aca="false">IF(LEFT(Cockpit!$O$5,1)="A",H739,IF(CI739=1,(CL739+CJ739)/2,IF(LEFT(Cockpit!$O$5,1)="B",(CL739+BG739)/2,MAX((CL739+BG739)/2,H739))))</f>
        <v>0.5</v>
      </c>
      <c r="BF739" s="62" t="n">
        <f aca="false">BE739*G739</f>
        <v>544.01</v>
      </c>
      <c r="BG739" s="62" t="n">
        <f aca="false">ROUNDUP(CL739+MAX(CM739,2*(J739/IF(CH739&gt;0,CH739,MAX(0.1,N(Cockpit!$O$6)))-CL739)),0)</f>
        <v>1</v>
      </c>
      <c r="BH739" s="63" t="n">
        <f aca="false">IF(BD739&gt;0,J739/BD739,-1)</f>
        <v>0</v>
      </c>
      <c r="BI739" s="63" t="str">
        <f aca="false">IF(AND(OR(CG739="L1",CG739="L23",CG739="LIFT"),BD739&gt;0),SUMIFS($BD$7:$BD$1843,$CG$7:$CG$1843,CG739,$BH$7:$BH$1843,"&gt;"&amp;BH739)+SUMIFS($BD$7:$BD$1843,$CG$7:$CG$1843,CG739,$BH$7:$BH$1843,BH739,$BX$7:$BX$1843,"&lt;="&amp;BX739),"")</f>
        <v/>
      </c>
      <c r="BJ739" s="70" t="n">
        <f aca="false">IF(BI739="",0,MAX(0,MIN(1,(IF(CG739="L1",Parameter!$H$5,IF(CG739="L23",Parameter!$H$6+Parameter!$H$7,Parameter!$H$5+Parameter!$H$6+Parameter!$H$7))-(BI739-BD739))/BD739)))</f>
        <v>0</v>
      </c>
      <c r="BK739" s="60" t="str">
        <f aca="false">IF(AJ739&lt;=0,"",IF(CG739="Aussen","Aussenlager",IF(CG739="-","Nicht im Lift",IF(AP739&gt;=1,"Lift",IF(AP739&lt;=0,"Aussenlager","teilweise")))))</f>
        <v/>
      </c>
      <c r="BL739" s="60" t="str">
        <f aca="false">IF(AT739&lt;=0,"",IF(CG739="Aussen","Aussenlager",IF(CG739="-","Nicht im Lift",IF(AZ739&gt;=1,"Lift",IF(AZ739&lt;=0,"Aussenlager","teilweise")))))</f>
        <v>Nicht im Lift</v>
      </c>
      <c r="BM739" s="60" t="str">
        <f aca="false">IF(BD739&lt;=0,"",IF(CG739="Aussen","Aussenlager",IF(CG739="-","Nicht im Lift",IF(BJ739&gt;=1,"Lift",IF(BJ739&lt;=0,"Aussenlager","teilweise")))))</f>
        <v>Nicht im Lift</v>
      </c>
      <c r="BN739" s="60" t="str">
        <f aca="false">IF(A739="","",IF(BW739=1,"Neu; ","")&amp;IF(AND(BW739=0,BR739&lt;0),"negativer Bestand (Export "&amp;BR739&amp;"); ","")&amp;IF(J739&lt;=0,"Kein Verbrauch; ","")&amp;IF(CR739&gt;0,"Lift "&amp;W739&amp;" lt. Liftbericht (Fach "&amp;X739&amp;" Stk); ",IF(CB739=1,"Gebinde geschätzt ("&amp;T739&amp;"); ",IF(CA739=1,"Lose – Tablare geschätzt; ","")))&amp;IF(H739&gt;AW739,"Überbestand "&amp;ROUND(H739-AW739,0)&amp;" Stk / CHF "&amp;ROUND((H739-AW739)*G739,0)&amp;"; ","")&amp;IF(AND(CI739=1,CJ739&lt;CK739),"MAX &lt; MB+LG; ","")&amp;IF(AND(CQ739&gt;0,CP739*10&gt;CQ739),"zu hoch für Tablar; ","")&amp;IF(AND(BW739=0,OR(CI739=1,AB739&lt;&gt;"",U739&lt;&gt;"",V739&lt;&gt;"",AC739&lt;&gt;"")),"manuell übersteuert; ","")&amp;IF(AND(CA739=0,R739=0),"Gebinde unbekannt / Stellmass fehlt; ","")&amp;IF(AND(CA739=0,N(V739)&lt;=0,N(Q739)&lt;=0),"Menge pro Gebinde fehlt (Ist = 1 Gebinde); ","")&amp;BV739)</f>
        <v>Kein Verbrauch; Lose – Tablare geschätzt; </v>
      </c>
      <c r="BO739" s="60"/>
      <c r="BP739" s="60"/>
      <c r="BQ739" s="67"/>
      <c r="BR739" s="62" t="n">
        <v>0</v>
      </c>
      <c r="BS739" s="62" t="n">
        <v>0</v>
      </c>
      <c r="BT739" s="61" t="n">
        <v>0</v>
      </c>
      <c r="BU739" s="62" t="n">
        <v>0</v>
      </c>
      <c r="BV739" s="60"/>
      <c r="BW739" s="65" t="n">
        <v>0</v>
      </c>
      <c r="BX739" s="65" t="n">
        <v>739</v>
      </c>
      <c r="BY739" s="60" t="str">
        <f aca="false">IF(U739&lt;&gt;"",UPPER(TRIM(U739)),IF(CB739=1,UPPER(VLOOKUP(T739,Parameter!$I$27:$K$29,2,0)),IF(P739="","LOSE",P739)))</f>
        <v>LOSE</v>
      </c>
      <c r="BZ739" s="62" t="n">
        <f aca="false">IF(BY739="LOSE",1,IF(N(V739)&gt;0,V739,IF(CB739=1,MAX(1,N(VLOOKUP(T739,Parameter!$I$27:$K$29,3,0)),H739,N(N739)),IF(N(Q739)&gt;0,Q739,MAX(1,H739)))))</f>
        <v>1</v>
      </c>
      <c r="CA739" s="65" t="n">
        <f aca="false">IF(BY739="LOSE",1,0)</f>
        <v>1</v>
      </c>
      <c r="CB739" s="65" t="n">
        <f aca="false">IF(AND(U739="",OR(P739="",P739="LOSE"),T739&lt;&gt;"",N(S739)&lt;=0,ISNUMBER(MATCH(T739,Parameter!$I$27:$I$29,0))),1,0)</f>
        <v>0</v>
      </c>
      <c r="CC739" s="65" t="n">
        <f aca="false">IF(CR739&gt;0,INDEX(Parameter!$H$5:$H$7,W739)/INDEX(Parameter!$E$5:$E$7,W739),IF(AND(CA739=0,N(IFERROR(VLOOKUP(BY739,'Gebinde-Kategorie'!$A$5:$N$45,14,0),0))&gt;0),VLOOKUP(BY739,'Gebinde-Kategorie'!$A$5:$N$45,14,0)*10+Parameter!$M$23,Parameter!$M$24))</f>
        <v>235</v>
      </c>
      <c r="CD739" s="60" t="str">
        <f aca="false">IF(AND(Parameter!$B$19="Ja",E739&lt;&gt;"",ISNUMBER(MATCH(E739,Parameter!$I$35:$I$52,0))),VLOOKUP(E739,Parameter!$I$35:$J$52,2,0),IFERROR(VLOOKUP(D739,Parameter!$A$35:$C$64,2,0),"Nein"))</f>
        <v>Nein</v>
      </c>
      <c r="CE739" s="64" t="n">
        <f aca="false">IF(CA739=0,0,IF(N(S739)&gt;0,S739,IFERROR(VLOOKUP(D739,Parameter!$A$35:$C$64,3,0)+0,0)))</f>
        <v>0.15</v>
      </c>
      <c r="CF739" s="60" t="str">
        <f aca="false">IF(AB739&lt;&gt;"",AB739,AA739)</f>
        <v>-</v>
      </c>
      <c r="CG739" s="60" t="str">
        <f aca="false">IF(OR(CF739=1,CF739=2,CF739=3),IF(Parameter!$E$27="Ja","LIFT",IF(CF739=1,"L1","L23")),IF(CF739="Aussen","Aussen","-"))</f>
        <v>-</v>
      </c>
      <c r="CH739" s="71" t="n">
        <f aca="false">IF(N(AC739)&gt;0,AC739,0)</f>
        <v>0</v>
      </c>
      <c r="CI739" s="65" t="n">
        <f aca="false">IF(ISNUMBER(AF739),1,0)</f>
        <v>0</v>
      </c>
      <c r="CJ739" s="62" t="n">
        <f aca="false">N(AF739)</f>
        <v>0</v>
      </c>
      <c r="CK739" s="62" t="n">
        <f aca="false">N(M739)+N(N739)</f>
        <v>1</v>
      </c>
      <c r="CL739" s="62" t="n">
        <f aca="false">N(M739)</f>
        <v>0</v>
      </c>
      <c r="CM739" s="62" t="n">
        <f aca="false">N(N739)</f>
        <v>1</v>
      </c>
      <c r="CN739" s="62" t="n">
        <f aca="false">ROUNDUP(H739/BZ739,0)</f>
        <v>0</v>
      </c>
      <c r="CO739" s="62" t="n">
        <f aca="false">ROUNDUP(CJ739/BZ739,0)</f>
        <v>0</v>
      </c>
      <c r="CP739" s="65" t="n">
        <f aca="false">IF(CA739=1,0,IFERROR(VLOOKUP(BY739,'Gebinde-Kategorie'!$A$5:$N$45,5,0)+0,0))</f>
        <v>0</v>
      </c>
      <c r="CQ739" s="65" t="n">
        <f aca="false">IFERROR(IF(OR(CF739=1,CF739=2,CF739=3),N(INDEX(Parameter!$I$5:$I$7,CF739)),0),0)</f>
        <v>0</v>
      </c>
      <c r="CR739" s="64" t="n">
        <f aca="false">IF(AND(Parameter!$B$21="Ja",ISNUMBER(W739),N(X739)&gt;0),IFERROR(N(INDEX(Parameter!$L$5:$L$7,W739))*INDEX(Parameter!$E$5:$E$7,W739)*X739/SUMIFS($X$7:$X$1843,$W$7:$W$1843,W739),0),0)</f>
        <v>0</v>
      </c>
      <c r="CS739" s="62" t="str">
        <f aca="false">IF(AND(OR(CG739="L1",CG739="L23",CG739="LIFT"),H739&gt;0),CC739*IF(CR739&gt;0,CR739*MAX(1,H739/X739),IF(CA739=1,CE739,IF(R739&gt;0,CN739/R739,0))/MAX(0.1,N(Parameter!$M$21))),"")</f>
        <v/>
      </c>
      <c r="CT739" s="64" t="str">
        <f aca="false">IF(CS739="","",J739/H739)</f>
        <v/>
      </c>
      <c r="CU739" s="62" t="str">
        <f aca="false">IF(CS739="","",H739*G739)</f>
        <v/>
      </c>
      <c r="CV739" s="63" t="str">
        <f aca="false">IF(CS739="","",(CL739+ROUNDUP(CL739+MAX(CM739,2*(J739/MAX(0.1,N(Einkauf!$C$6))-CL739)),0))/2)</f>
        <v/>
      </c>
      <c r="CW739" s="62" t="str">
        <f aca="false">IF(CS739="","",MAX(0,H739-CV739)*G739)</f>
        <v/>
      </c>
      <c r="CX739" s="62" t="str">
        <f aca="false">IF(CS739="","",CS739*MAX(0,1-CV739/H739))</f>
        <v/>
      </c>
      <c r="CY739" s="64" t="str">
        <f aca="false">IF(CS739="","",PERCENTRANK($CS$7:$CS$1843,CS739)+PERCENTRANK($CU$7:$CU$1843,CU739)+1-PERCENTRANK($CT$7:$CT$1843,CT739))</f>
        <v/>
      </c>
      <c r="CZ739" s="72" t="str">
        <f aca="false">IF(CS739="","",CHOOSE(MATCH(Einkauf!$C$5,Parameter!$G$23:$G$27,0),CY739,CS739,CU739,-CT739,CW739)+ROW()/1000000000)</f>
        <v/>
      </c>
    </row>
    <row r="740" customFormat="false" ht="15" hidden="false" customHeight="false" outlineLevel="0" collapsed="false">
      <c r="A740" s="60" t="s">
        <v>1508</v>
      </c>
      <c r="B740" s="60" t="s">
        <v>1509</v>
      </c>
      <c r="C740" s="60" t="s">
        <v>498</v>
      </c>
      <c r="D740" s="60" t="s">
        <v>215</v>
      </c>
      <c r="E740" s="60"/>
      <c r="F740" s="60" t="s">
        <v>260</v>
      </c>
      <c r="G740" s="61" t="n">
        <v>0.01</v>
      </c>
      <c r="H740" s="62" t="n">
        <f aca="false">MAX(0,IF(AND(Parameter!$B$21="Ja",ISNUMBER(Y740)),Y740,IF(Parameter!$B$20="Jahresanfang 2025 + Export",BS740+BR740,BR740)))</f>
        <v>0</v>
      </c>
      <c r="I740" s="62" t="n">
        <f aca="false">H740*G740</f>
        <v>0</v>
      </c>
      <c r="J740" s="62" t="n">
        <f aca="false">BU740*Parameter!$B$18</f>
        <v>0</v>
      </c>
      <c r="K740" s="63" t="n">
        <v>49.5</v>
      </c>
      <c r="L740" s="64" t="n">
        <v>0</v>
      </c>
      <c r="M740" s="62" t="n">
        <v>0</v>
      </c>
      <c r="N740" s="62" t="n">
        <v>10</v>
      </c>
      <c r="O740" s="65" t="n">
        <v>90</v>
      </c>
      <c r="P740" s="60" t="s">
        <v>210</v>
      </c>
      <c r="Q740" s="62"/>
      <c r="R740" s="65" t="n">
        <f aca="false">IF(CA740=1,0,IFERROR(VLOOKUP(BY740,'Gebinde-Kategorie'!$A$5:$N$45,13,0)+0,0))</f>
        <v>12</v>
      </c>
      <c r="S740" s="66"/>
      <c r="T740" s="67" t="s">
        <v>221</v>
      </c>
      <c r="U740" s="67"/>
      <c r="V740" s="67"/>
      <c r="W740" s="60"/>
      <c r="X740" s="62"/>
      <c r="Y740" s="62"/>
      <c r="Z740" s="60" t="n">
        <v>3</v>
      </c>
      <c r="AA740" s="60" t="n">
        <f aca="false">IF(A740="","",IF(AND(Parameter!$B$21="Ja",ISNUMBER(W740)),W740,IF(AND(Parameter!$E$27="Ja",ISNUMBER(Z740),CD740&lt;&gt;"Nein"),Z740,IF(CD740="2+3",IF(ISNUMBER(SEARCH("grosser Artikel",BV740)),2,IFERROR(VLOOKUP(BY740,Parameter!$F$35:$G$64,2,0),2)),IF(OR(CD740="Nein",CD740=""),"-",CD740)))))</f>
        <v>3</v>
      </c>
      <c r="AB740" s="67"/>
      <c r="AC740" s="68"/>
      <c r="AD740" s="62" t="n">
        <f aca="false">AW740</f>
        <v>10</v>
      </c>
      <c r="AE740" s="62" t="n">
        <f aca="false">MAX(AW740,H740)</f>
        <v>10</v>
      </c>
      <c r="AF740" s="69"/>
      <c r="AG740" s="62" t="n">
        <f aca="false">IF(LEFT(Cockpit!$C$5,1)="A",H740,IF(Parameter!$E$30="MAX-Bestand",IF(CI740=1,CJ740,IF(LEFT(Cockpit!$C$5,1)="B",AM740,MAX(AM740,H740))),ROUNDUP(AK740,0)))</f>
        <v>0</v>
      </c>
      <c r="AH740" s="62" t="n">
        <f aca="false">IF(CA740=1,0,ROUNDUP(AG740/BZ740,0))</f>
        <v>0</v>
      </c>
      <c r="AI740" s="64" t="n">
        <f aca="false">IF(CR740&gt;0,CR740*MAX(1,AG740/X740),IF(CA740=1,IF(AG740&lt;=0,0,CE740*MAX(1,IF(H740&gt;0,AG740/H740,1))),IF(R740&gt;0,AH740/R740,0))/MAX(0.1,N(Parameter!$M$21)))</f>
        <v>0</v>
      </c>
      <c r="AJ740" s="62" t="n">
        <f aca="false">AI740*CC740</f>
        <v>0</v>
      </c>
      <c r="AK740" s="63" t="n">
        <f aca="false">IF(LEFT(Cockpit!$C$5,1)="A",H740,IF(CI740=1,(CL740+CJ740)/2,IF(LEFT(Cockpit!$C$5,1)="B",(CL740+AM740)/2,MAX((CL740+AM740)/2,H740))))</f>
        <v>0</v>
      </c>
      <c r="AL740" s="62" t="n">
        <f aca="false">AK740*G740</f>
        <v>0</v>
      </c>
      <c r="AM740" s="62" t="n">
        <f aca="false">ROUNDUP(CL740+MAX(CM740,2*(J740/IF(CH740&gt;0,CH740,MAX(0.1,N(Cockpit!$C$6)))-CL740)),0)</f>
        <v>10</v>
      </c>
      <c r="AN740" s="63" t="n">
        <f aca="false">IF(AJ740&gt;0,J740/AJ740,-1)</f>
        <v>-1</v>
      </c>
      <c r="AO740" s="63" t="str">
        <f aca="false">IF(AND(OR(CG740="L1",CG740="L23",CG740="LIFT"),AJ740&gt;0),SUMIFS($AJ$7:$AJ$1843,$CG$7:$CG$1843,CG740,$AN$7:$AN$1843,"&gt;"&amp;AN740)+SUMIFS($AJ$7:$AJ$1843,$CG$7:$CG$1843,CG740,$AN$7:$AN$1843,AN740,$BX$7:$BX$1843,"&lt;="&amp;BX740),"")</f>
        <v/>
      </c>
      <c r="AP740" s="70" t="n">
        <f aca="false">IF(AO740="",0,MAX(0,MIN(1,(IF(CG740="L1",Parameter!$H$5,IF(CG740="L23",Parameter!$H$6+Parameter!$H$7,Parameter!$H$5+Parameter!$H$6+Parameter!$H$7))-(AO740-AJ740))/AJ740)))</f>
        <v>0</v>
      </c>
      <c r="AQ740" s="62" t="n">
        <f aca="false">IF(LEFT(Cockpit!$I$5,1)="A",H740,IF(Parameter!$E$30="MAX-Bestand",IF(CI740=1,CJ740,IF(LEFT(Cockpit!$I$5,1)="B",AW740,MAX(AW740,H740))),ROUNDUP(AU740,0)))</f>
        <v>5</v>
      </c>
      <c r="AR740" s="62" t="n">
        <f aca="false">IF(CA740=1,0,ROUNDUP(AQ740/BZ740,0))</f>
        <v>1</v>
      </c>
      <c r="AS740" s="64" t="n">
        <f aca="false">IF(CR740&gt;0,CR740*MAX(1,AQ740/X740),IF(CA740=1,IF(AQ740&lt;=0,0,CE740*MAX(1,IF(H740&gt;0,AQ740/H740,1))),IF(R740&gt;0,AR740/R740,0))/MAX(0.1,N(Parameter!$M$21)))</f>
        <v>0.0833333333333333</v>
      </c>
      <c r="AT740" s="62" t="n">
        <f aca="false">AS740*CC740</f>
        <v>12.0833333333333</v>
      </c>
      <c r="AU740" s="63" t="n">
        <f aca="false">IF(LEFT(Cockpit!$I$5,1)="A",H740,IF(CI740=1,(CL740+CJ740)/2,IF(LEFT(Cockpit!$I$5,1)="B",(CL740+AW740)/2,MAX((CL740+AW740)/2,H740))))</f>
        <v>5</v>
      </c>
      <c r="AV740" s="62" t="n">
        <f aca="false">AU740*G740</f>
        <v>0.05</v>
      </c>
      <c r="AW740" s="62" t="n">
        <f aca="false">ROUNDUP(CL740+MAX(CM740,2*(J740/IF(CH740&gt;0,CH740,MAX(0.1,N(Cockpit!$I$6)))-CL740)),0)</f>
        <v>10</v>
      </c>
      <c r="AX740" s="63" t="n">
        <f aca="false">IF(AT740&gt;0,J740/AT740,-1)</f>
        <v>0</v>
      </c>
      <c r="AY740" s="63" t="n">
        <f aca="false">IF(AND(OR(CG740="L1",CG740="L23",CG740="LIFT"),AT740&gt;0),SUMIFS($AT$7:$AT$1843,$CG$7:$CG$1843,CG740,$AX$7:$AX$1843,"&gt;"&amp;AX740)+SUMIFS($AT$7:$AT$1843,$CG$7:$CG$1843,CG740,$AX$7:$AX$1843,AX740,$BX$7:$BX$1843,"&lt;="&amp;BX740),"")</f>
        <v>34294.0283882784</v>
      </c>
      <c r="AZ740" s="70" t="n">
        <f aca="false">IF(AY740="",0,MAX(0,MIN(1,(IF(CG740="L1",Parameter!$H$5,IF(CG740="L23",Parameter!$H$6+Parameter!$H$7,Parameter!$H$5+Parameter!$H$6+Parameter!$H$7))-(AY740-AT740))/AT740)))</f>
        <v>1</v>
      </c>
      <c r="BA740" s="62" t="n">
        <f aca="false">IF(LEFT(Cockpit!$O$5,1)="A",H740,IF(Parameter!$E$30="MAX-Bestand",IF(CI740=1,CJ740,IF(LEFT(Cockpit!$O$5,1)="B",BG740,MAX(BG740,H740))),ROUNDUP(BE740,0)))</f>
        <v>5</v>
      </c>
      <c r="BB740" s="62" t="n">
        <f aca="false">IF(CA740=1,0,ROUNDUP(BA740/BZ740,0))</f>
        <v>1</v>
      </c>
      <c r="BC740" s="64" t="n">
        <f aca="false">IF(CR740&gt;0,CR740*MAX(1,BA740/X740),IF(CA740=1,IF(BA740&lt;=0,0,CE740*MAX(1,IF(H740&gt;0,BA740/H740,1))),IF(R740&gt;0,BB740/R740,0))/MAX(0.1,N(Parameter!$M$21)))</f>
        <v>0.0833333333333333</v>
      </c>
      <c r="BD740" s="62" t="n">
        <f aca="false">BC740*CC740</f>
        <v>12.0833333333333</v>
      </c>
      <c r="BE740" s="63" t="n">
        <f aca="false">IF(LEFT(Cockpit!$O$5,1)="A",H740,IF(CI740=1,(CL740+CJ740)/2,IF(LEFT(Cockpit!$O$5,1)="B",(CL740+BG740)/2,MAX((CL740+BG740)/2,H740))))</f>
        <v>5</v>
      </c>
      <c r="BF740" s="62" t="n">
        <f aca="false">BE740*G740</f>
        <v>0.05</v>
      </c>
      <c r="BG740" s="62" t="n">
        <f aca="false">ROUNDUP(CL740+MAX(CM740,2*(J740/IF(CH740&gt;0,CH740,MAX(0.1,N(Cockpit!$O$6)))-CL740)),0)</f>
        <v>10</v>
      </c>
      <c r="BH740" s="63" t="n">
        <f aca="false">IF(BD740&gt;0,J740/BD740,-1)</f>
        <v>0</v>
      </c>
      <c r="BI740" s="63" t="n">
        <f aca="false">IF(AND(OR(CG740="L1",CG740="L23",CG740="LIFT"),BD740&gt;0),SUMIFS($BD$7:$BD$1843,$CG$7:$CG$1843,CG740,$BH$7:$BH$1843,"&gt;"&amp;BH740)+SUMIFS($BD$7:$BD$1843,$CG$7:$CG$1843,CG740,$BH$7:$BH$1843,BH740,$BX$7:$BX$1843,"&lt;="&amp;BX740),"")</f>
        <v>28343.8597737009</v>
      </c>
      <c r="BJ740" s="70" t="n">
        <f aca="false">IF(BI740="",0,MAX(0,MIN(1,(IF(CG740="L1",Parameter!$H$5,IF(CG740="L23",Parameter!$H$6+Parameter!$H$7,Parameter!$H$5+Parameter!$H$6+Parameter!$H$7))-(BI740-BD740))/BD740)))</f>
        <v>1</v>
      </c>
      <c r="BK740" s="60" t="str">
        <f aca="false">IF(AJ740&lt;=0,"",IF(CG740="Aussen","Aussenlager",IF(CG740="-","Nicht im Lift",IF(AP740&gt;=1,"Lift",IF(AP740&lt;=0,"Aussenlager","teilweise")))))</f>
        <v/>
      </c>
      <c r="BL740" s="60" t="str">
        <f aca="false">IF(AT740&lt;=0,"",IF(CG740="Aussen","Aussenlager",IF(CG740="-","Nicht im Lift",IF(AZ740&gt;=1,"Lift",IF(AZ740&lt;=0,"Aussenlager","teilweise")))))</f>
        <v>Lift</v>
      </c>
      <c r="BM740" s="60" t="str">
        <f aca="false">IF(BD740&lt;=0,"",IF(CG740="Aussen","Aussenlager",IF(CG740="-","Nicht im Lift",IF(BJ740&gt;=1,"Lift",IF(BJ740&lt;=0,"Aussenlager","teilweise")))))</f>
        <v>Lift</v>
      </c>
      <c r="BN740" s="60" t="str">
        <f aca="false">IF(A740="","",IF(BW740=1,"Neu; ","")&amp;IF(AND(BW740=0,BR740&lt;0),"negativer Bestand (Export "&amp;BR740&amp;"); ","")&amp;IF(J740&lt;=0,"Kein Verbrauch; ","")&amp;IF(CR740&gt;0,"Lift "&amp;W740&amp;" lt. Liftbericht (Fach "&amp;X740&amp;" Stk); ",IF(CB740=1,"Gebinde geschätzt ("&amp;T740&amp;"); ",IF(CA740=1,"Lose – Tablare geschätzt; ","")))&amp;IF(H740&gt;AW740,"Überbestand "&amp;ROUND(H740-AW740,0)&amp;" Stk / CHF "&amp;ROUND((H740-AW740)*G740,0)&amp;"; ","")&amp;IF(AND(CI740=1,CJ740&lt;CK740),"MAX &lt; MB+LG; ","")&amp;IF(AND(CQ740&gt;0,CP740*10&gt;CQ740),"zu hoch für Tablar; ","")&amp;IF(AND(BW740=0,OR(CI740=1,AB740&lt;&gt;"",U740&lt;&gt;"",V740&lt;&gt;"",AC740&lt;&gt;"")),"manuell übersteuert; ","")&amp;IF(AND(CA740=0,R740=0),"Gebinde unbekannt / Stellmass fehlt; ","")&amp;IF(AND(CA740=0,N(V740)&lt;=0,N(Q740)&lt;=0),"Menge pro Gebinde fehlt (Ist = 1 Gebinde); ","")&amp;BV740)</f>
        <v>Kein Verbrauch; Gebinde geschätzt (Mittel); Menge pro Gebinde fehlt (Ist = 1 Gebinde); </v>
      </c>
      <c r="BO740" s="60"/>
      <c r="BP740" s="60"/>
      <c r="BQ740" s="67"/>
      <c r="BR740" s="62" t="n">
        <v>0</v>
      </c>
      <c r="BS740" s="62" t="n">
        <v>0</v>
      </c>
      <c r="BT740" s="61" t="n">
        <v>-1.11022302462516E-016</v>
      </c>
      <c r="BU740" s="62" t="n">
        <v>0</v>
      </c>
      <c r="BV740" s="60"/>
      <c r="BW740" s="65" t="n">
        <v>0</v>
      </c>
      <c r="BX740" s="65" t="n">
        <v>740</v>
      </c>
      <c r="BY740" s="60" t="str">
        <f aca="false">IF(U740&lt;&gt;"",UPPER(TRIM(U740)),IF(CB740=1,UPPER(VLOOKUP(T740,Parameter!$I$27:$K$29,2,0)),IF(P740="","LOSE",P740)))</f>
        <v>S61</v>
      </c>
      <c r="BZ740" s="62" t="n">
        <f aca="false">IF(BY740="LOSE",1,IF(N(V740)&gt;0,V740,IF(CB740=1,MAX(1,N(VLOOKUP(T740,Parameter!$I$27:$K$29,3,0)),H740,N(N740)),IF(N(Q740)&gt;0,Q740,MAX(1,H740)))))</f>
        <v>10</v>
      </c>
      <c r="CA740" s="65" t="n">
        <f aca="false">IF(BY740="LOSE",1,0)</f>
        <v>0</v>
      </c>
      <c r="CB740" s="65" t="n">
        <f aca="false">IF(AND(U740="",OR(P740="",P740="LOSE"),T740&lt;&gt;"",N(S740)&lt;=0,ISNUMBER(MATCH(T740,Parameter!$I$27:$I$29,0))),1,0)</f>
        <v>1</v>
      </c>
      <c r="CC740" s="65" t="n">
        <f aca="false">IF(CR740&gt;0,INDEX(Parameter!$H$5:$H$7,W740)/INDEX(Parameter!$E$5:$E$7,W740),IF(AND(CA740=0,N(IFERROR(VLOOKUP(BY740,'Gebinde-Kategorie'!$A$5:$N$45,14,0),0))&gt;0),VLOOKUP(BY740,'Gebinde-Kategorie'!$A$5:$N$45,14,0)*10+Parameter!$M$23,Parameter!$M$24))</f>
        <v>145</v>
      </c>
      <c r="CD740" s="60" t="str">
        <f aca="false">IF(AND(Parameter!$B$19="Ja",E740&lt;&gt;"",ISNUMBER(MATCH(E740,Parameter!$I$35:$I$52,0))),VLOOKUP(E740,Parameter!$I$35:$J$52,2,0),IFERROR(VLOOKUP(D740,Parameter!$A$35:$C$64,2,0),"Nein"))</f>
        <v>2+3</v>
      </c>
      <c r="CE740" s="64" t="n">
        <f aca="false">IF(CA740=0,0,IF(N(S740)&gt;0,S740,IFERROR(VLOOKUP(D740,Parameter!$A$35:$C$64,3,0)+0,0)))</f>
        <v>0</v>
      </c>
      <c r="CF740" s="60" t="n">
        <f aca="false">IF(AB740&lt;&gt;"",AB740,AA740)</f>
        <v>3</v>
      </c>
      <c r="CG740" s="60" t="str">
        <f aca="false">IF(OR(CF740=1,CF740=2,CF740=3),IF(Parameter!$E$27="Ja","LIFT",IF(CF740=1,"L1","L23")),IF(CF740="Aussen","Aussen","-"))</f>
        <v>LIFT</v>
      </c>
      <c r="CH740" s="71" t="n">
        <f aca="false">IF(N(AC740)&gt;0,AC740,0)</f>
        <v>0</v>
      </c>
      <c r="CI740" s="65" t="n">
        <f aca="false">IF(ISNUMBER(AF740),1,0)</f>
        <v>0</v>
      </c>
      <c r="CJ740" s="62" t="n">
        <f aca="false">N(AF740)</f>
        <v>0</v>
      </c>
      <c r="CK740" s="62" t="n">
        <f aca="false">N(M740)+N(N740)</f>
        <v>10</v>
      </c>
      <c r="CL740" s="62" t="n">
        <f aca="false">N(M740)</f>
        <v>0</v>
      </c>
      <c r="CM740" s="62" t="n">
        <f aca="false">N(N740)</f>
        <v>10</v>
      </c>
      <c r="CN740" s="62" t="n">
        <f aca="false">ROUNDUP(H740/BZ740,0)</f>
        <v>0</v>
      </c>
      <c r="CO740" s="62" t="n">
        <f aca="false">ROUNDUP(CJ740/BZ740,0)</f>
        <v>0</v>
      </c>
      <c r="CP740" s="65" t="n">
        <f aca="false">IF(CA740=1,0,IFERROR(VLOOKUP(BY740,'Gebinde-Kategorie'!$A$5:$N$45,5,0)+0,0))</f>
        <v>11</v>
      </c>
      <c r="CQ740" s="65" t="n">
        <f aca="false">IFERROR(IF(OR(CF740=1,CF740=2,CF740=3),N(INDEX(Parameter!$I$5:$I$7,CF740)),0),0)</f>
        <v>0</v>
      </c>
      <c r="CR740" s="64" t="n">
        <f aca="false">IF(AND(Parameter!$B$21="Ja",ISNUMBER(W740),N(X740)&gt;0),IFERROR(N(INDEX(Parameter!$L$5:$L$7,W740))*INDEX(Parameter!$E$5:$E$7,W740)*X740/SUMIFS($X$7:$X$1843,$W$7:$W$1843,W740),0),0)</f>
        <v>0</v>
      </c>
      <c r="CS740" s="62" t="str">
        <f aca="false">IF(AND(OR(CG740="L1",CG740="L23",CG740="LIFT"),H740&gt;0),CC740*IF(CR740&gt;0,CR740*MAX(1,H740/X740),IF(CA740=1,CE740,IF(R740&gt;0,CN740/R740,0))/MAX(0.1,N(Parameter!$M$21))),"")</f>
        <v/>
      </c>
      <c r="CT740" s="64" t="str">
        <f aca="false">IF(CS740="","",J740/H740)</f>
        <v/>
      </c>
      <c r="CU740" s="62" t="str">
        <f aca="false">IF(CS740="","",H740*G740)</f>
        <v/>
      </c>
      <c r="CV740" s="63" t="str">
        <f aca="false">IF(CS740="","",(CL740+ROUNDUP(CL740+MAX(CM740,2*(J740/MAX(0.1,N(Einkauf!$C$6))-CL740)),0))/2)</f>
        <v/>
      </c>
      <c r="CW740" s="62" t="str">
        <f aca="false">IF(CS740="","",MAX(0,H740-CV740)*G740)</f>
        <v/>
      </c>
      <c r="CX740" s="62" t="str">
        <f aca="false">IF(CS740="","",CS740*MAX(0,1-CV740/H740))</f>
        <v/>
      </c>
      <c r="CY740" s="64" t="str">
        <f aca="false">IF(CS740="","",PERCENTRANK($CS$7:$CS$1843,CS740)+PERCENTRANK($CU$7:$CU$1843,CU740)+1-PERCENTRANK($CT$7:$CT$1843,CT740))</f>
        <v/>
      </c>
      <c r="CZ740" s="72" t="str">
        <f aca="false">IF(CS740="","",CHOOSE(MATCH(Einkauf!$C$5,Parameter!$G$23:$G$27,0),CY740,CS740,CU740,-CT740,CW740)+ROW()/1000000000)</f>
        <v/>
      </c>
    </row>
    <row r="741" customFormat="false" ht="15" hidden="false" customHeight="false" outlineLevel="0" collapsed="false">
      <c r="A741" s="60" t="s">
        <v>1510</v>
      </c>
      <c r="B741" s="60" t="s">
        <v>586</v>
      </c>
      <c r="C741" s="60" t="s">
        <v>206</v>
      </c>
      <c r="D741" s="60" t="s">
        <v>1037</v>
      </c>
      <c r="E741" s="60" t="s">
        <v>227</v>
      </c>
      <c r="F741" s="60" t="s">
        <v>260</v>
      </c>
      <c r="G741" s="61" t="n">
        <v>32.3</v>
      </c>
      <c r="H741" s="62" t="n">
        <f aca="false">MAX(0,IF(AND(Parameter!$B$21="Ja",ISNUMBER(Y741)),Y741,IF(Parameter!$B$20="Jahresanfang 2025 + Export",BS741+BR741,BR741)))</f>
        <v>7</v>
      </c>
      <c r="I741" s="62" t="n">
        <f aca="false">H741*G741</f>
        <v>226.1</v>
      </c>
      <c r="J741" s="62" t="n">
        <f aca="false">BU741*Parameter!$B$18</f>
        <v>3</v>
      </c>
      <c r="K741" s="63" t="n">
        <v>7.5</v>
      </c>
      <c r="L741" s="64" t="n">
        <v>0.4</v>
      </c>
      <c r="M741" s="62" t="n">
        <v>0</v>
      </c>
      <c r="N741" s="62" t="n">
        <v>0</v>
      </c>
      <c r="O741" s="65" t="n">
        <v>28</v>
      </c>
      <c r="P741" s="60" t="s">
        <v>210</v>
      </c>
      <c r="Q741" s="62"/>
      <c r="R741" s="65" t="n">
        <f aca="false">IF(CA741=1,0,IFERROR(VLOOKUP(BY741,'Gebinde-Kategorie'!$A$5:$N$45,13,0)+0,0))</f>
        <v>12</v>
      </c>
      <c r="S741" s="66"/>
      <c r="T741" s="67" t="s">
        <v>221</v>
      </c>
      <c r="U741" s="67"/>
      <c r="V741" s="67"/>
      <c r="W741" s="60"/>
      <c r="X741" s="62"/>
      <c r="Y741" s="62"/>
      <c r="Z741" s="60" t="n">
        <v>3</v>
      </c>
      <c r="AA741" s="60" t="n">
        <f aca="false">IF(A741="","",IF(AND(Parameter!$B$21="Ja",ISNUMBER(W741)),W741,IF(AND(Parameter!$E$27="Ja",ISNUMBER(Z741),CD741&lt;&gt;"Nein"),Z741,IF(CD741="2+3",IF(ISNUMBER(SEARCH("grosser Artikel",BV741)),2,IFERROR(VLOOKUP(BY741,Parameter!$F$35:$G$64,2,0),2)),IF(OR(CD741="Nein",CD741=""),"-",CD741)))))</f>
        <v>3</v>
      </c>
      <c r="AB741" s="67"/>
      <c r="AC741" s="68"/>
      <c r="AD741" s="62" t="n">
        <f aca="false">AW741</f>
        <v>2</v>
      </c>
      <c r="AE741" s="62" t="n">
        <f aca="false">MAX(AW741,H741)</f>
        <v>7</v>
      </c>
      <c r="AF741" s="69"/>
      <c r="AG741" s="62" t="n">
        <f aca="false">IF(LEFT(Cockpit!$C$5,1)="A",H741,IF(Parameter!$E$30="MAX-Bestand",IF(CI741=1,CJ741,IF(LEFT(Cockpit!$C$5,1)="B",AM741,MAX(AM741,H741))),ROUNDUP(AK741,0)))</f>
        <v>7</v>
      </c>
      <c r="AH741" s="62" t="n">
        <f aca="false">IF(CA741=1,0,ROUNDUP(AG741/BZ741,0))</f>
        <v>1</v>
      </c>
      <c r="AI741" s="64" t="n">
        <f aca="false">IF(CR741&gt;0,CR741*MAX(1,AG741/X741),IF(CA741=1,IF(AG741&lt;=0,0,CE741*MAX(1,IF(H741&gt;0,AG741/H741,1))),IF(R741&gt;0,AH741/R741,0))/MAX(0.1,N(Parameter!$M$21)))</f>
        <v>0.0833333333333333</v>
      </c>
      <c r="AJ741" s="62" t="n">
        <f aca="false">AI741*CC741</f>
        <v>12.0833333333333</v>
      </c>
      <c r="AK741" s="63" t="n">
        <f aca="false">IF(LEFT(Cockpit!$C$5,1)="A",H741,IF(CI741=1,(CL741+CJ741)/2,IF(LEFT(Cockpit!$C$5,1)="B",(CL741+AM741)/2,MAX((CL741+AM741)/2,H741))))</f>
        <v>7</v>
      </c>
      <c r="AL741" s="62" t="n">
        <f aca="false">AK741*G741</f>
        <v>226.1</v>
      </c>
      <c r="AM741" s="62" t="n">
        <f aca="false">ROUNDUP(CL741+MAX(CM741,2*(J741/IF(CH741&gt;0,CH741,MAX(0.1,N(Cockpit!$C$6)))-CL741)),0)</f>
        <v>2</v>
      </c>
      <c r="AN741" s="63" t="n">
        <f aca="false">IF(AJ741&gt;0,J741/AJ741,-1)</f>
        <v>0.248275862068966</v>
      </c>
      <c r="AO741" s="63" t="n">
        <f aca="false">IF(AND(OR(CG741="L1",CG741="L23",CG741="LIFT"),AJ741&gt;0),SUMIFS($AJ$7:$AJ$1843,$CG$7:$CG$1843,CG741,$AN$7:$AN$1843,"&gt;"&amp;AN741)+SUMIFS($AJ$7:$AJ$1843,$CG$7:$CG$1843,CG741,$AN$7:$AN$1843,AN741,$BX$7:$BX$1843,"&lt;="&amp;BX741),"")</f>
        <v>11864.8535962625</v>
      </c>
      <c r="AP741" s="70" t="n">
        <f aca="false">IF(AO741="",0,MAX(0,MIN(1,(IF(CG741="L1",Parameter!$H$5,IF(CG741="L23",Parameter!$H$6+Parameter!$H$7,Parameter!$H$5+Parameter!$H$6+Parameter!$H$7))-(AO741-AJ741))/AJ741)))</f>
        <v>1</v>
      </c>
      <c r="AQ741" s="62" t="n">
        <f aca="false">IF(LEFT(Cockpit!$I$5,1)="A",H741,IF(Parameter!$E$30="MAX-Bestand",IF(CI741=1,CJ741,IF(LEFT(Cockpit!$I$5,1)="B",AW741,MAX(AW741,H741))),ROUNDUP(AU741,0)))</f>
        <v>7</v>
      </c>
      <c r="AR741" s="62" t="n">
        <f aca="false">IF(CA741=1,0,ROUNDUP(AQ741/BZ741,0))</f>
        <v>1</v>
      </c>
      <c r="AS741" s="64" t="n">
        <f aca="false">IF(CR741&gt;0,CR741*MAX(1,AQ741/X741),IF(CA741=1,IF(AQ741&lt;=0,0,CE741*MAX(1,IF(H741&gt;0,AQ741/H741,1))),IF(R741&gt;0,AR741/R741,0))/MAX(0.1,N(Parameter!$M$21)))</f>
        <v>0.0833333333333333</v>
      </c>
      <c r="AT741" s="62" t="n">
        <f aca="false">AS741*CC741</f>
        <v>12.0833333333333</v>
      </c>
      <c r="AU741" s="63" t="n">
        <f aca="false">IF(LEFT(Cockpit!$I$5,1)="A",H741,IF(CI741=1,(CL741+CJ741)/2,IF(LEFT(Cockpit!$I$5,1)="B",(CL741+AW741)/2,MAX((CL741+AW741)/2,H741))))</f>
        <v>7</v>
      </c>
      <c r="AV741" s="62" t="n">
        <f aca="false">AU741*G741</f>
        <v>226.1</v>
      </c>
      <c r="AW741" s="62" t="n">
        <f aca="false">ROUNDUP(CL741+MAX(CM741,2*(J741/IF(CH741&gt;0,CH741,MAX(0.1,N(Cockpit!$I$6)))-CL741)),0)</f>
        <v>2</v>
      </c>
      <c r="AX741" s="63" t="n">
        <f aca="false">IF(AT741&gt;0,J741/AT741,-1)</f>
        <v>0.248275862068966</v>
      </c>
      <c r="AY741" s="63" t="n">
        <f aca="false">IF(AND(OR(CG741="L1",CG741="L23",CG741="LIFT"),AT741&gt;0),SUMIFS($AT$7:$AT$1843,$CG$7:$CG$1843,CG741,$AX$7:$AX$1843,"&gt;"&amp;AX741)+SUMIFS($AT$7:$AT$1843,$CG$7:$CG$1843,CG741,$AX$7:$AX$1843,AX741,$BX$7:$BX$1843,"&lt;="&amp;BX741),"")</f>
        <v>14941.7477106227</v>
      </c>
      <c r="AZ741" s="70" t="n">
        <f aca="false">IF(AY741="",0,MAX(0,MIN(1,(IF(CG741="L1",Parameter!$H$5,IF(CG741="L23",Parameter!$H$6+Parameter!$H$7,Parameter!$H$5+Parameter!$H$6+Parameter!$H$7))-(AY741-AT741))/AT741)))</f>
        <v>1</v>
      </c>
      <c r="BA741" s="62" t="n">
        <f aca="false">IF(LEFT(Cockpit!$O$5,1)="A",H741,IF(Parameter!$E$30="MAX-Bestand",IF(CI741=1,CJ741,IF(LEFT(Cockpit!$O$5,1)="B",BG741,MAX(BG741,H741))),ROUNDUP(BE741,0)))</f>
        <v>1</v>
      </c>
      <c r="BB741" s="62" t="n">
        <f aca="false">IF(CA741=1,0,ROUNDUP(BA741/BZ741,0))</f>
        <v>1</v>
      </c>
      <c r="BC741" s="64" t="n">
        <f aca="false">IF(CR741&gt;0,CR741*MAX(1,BA741/X741),IF(CA741=1,IF(BA741&lt;=0,0,CE741*MAX(1,IF(H741&gt;0,BA741/H741,1))),IF(R741&gt;0,BB741/R741,0))/MAX(0.1,N(Parameter!$M$21)))</f>
        <v>0.0833333333333333</v>
      </c>
      <c r="BD741" s="62" t="n">
        <f aca="false">BC741*CC741</f>
        <v>12.0833333333333</v>
      </c>
      <c r="BE741" s="63" t="n">
        <f aca="false">IF(LEFT(Cockpit!$O$5,1)="A",H741,IF(CI741=1,(CL741+CJ741)/2,IF(LEFT(Cockpit!$O$5,1)="B",(CL741+BG741)/2,MAX((CL741+BG741)/2,H741))))</f>
        <v>1</v>
      </c>
      <c r="BF741" s="62" t="n">
        <f aca="false">BE741*G741</f>
        <v>32.3</v>
      </c>
      <c r="BG741" s="62" t="n">
        <f aca="false">ROUNDUP(CL741+MAX(CM741,2*(J741/IF(CH741&gt;0,CH741,MAX(0.1,N(Cockpit!$O$6)))-CL741)),0)</f>
        <v>2</v>
      </c>
      <c r="BH741" s="63" t="n">
        <f aca="false">IF(BD741&gt;0,J741/BD741,-1)</f>
        <v>0.248275862068966</v>
      </c>
      <c r="BI741" s="63" t="n">
        <f aca="false">IF(AND(OR(CG741="L1",CG741="L23",CG741="LIFT"),BD741&gt;0),SUMIFS($BD$7:$BD$1843,$CG$7:$CG$1843,CG741,$BH$7:$BH$1843,"&gt;"&amp;BH741)+SUMIFS($BD$7:$BD$1843,$CG$7:$CG$1843,CG741,$BH$7:$BH$1843,BH741,$BX$7:$BX$1843,"&lt;="&amp;BX741),"")</f>
        <v>12117.1414835165</v>
      </c>
      <c r="BJ741" s="70" t="n">
        <f aca="false">IF(BI741="",0,MAX(0,MIN(1,(IF(CG741="L1",Parameter!$H$5,IF(CG741="L23",Parameter!$H$6+Parameter!$H$7,Parameter!$H$5+Parameter!$H$6+Parameter!$H$7))-(BI741-BD741))/BD741)))</f>
        <v>1</v>
      </c>
      <c r="BK741" s="60" t="str">
        <f aca="false">IF(AJ741&lt;=0,"",IF(CG741="Aussen","Aussenlager",IF(CG741="-","Nicht im Lift",IF(AP741&gt;=1,"Lift",IF(AP741&lt;=0,"Aussenlager","teilweise")))))</f>
        <v>Lift</v>
      </c>
      <c r="BL741" s="60" t="str">
        <f aca="false">IF(AT741&lt;=0,"",IF(CG741="Aussen","Aussenlager",IF(CG741="-","Nicht im Lift",IF(AZ741&gt;=1,"Lift",IF(AZ741&lt;=0,"Aussenlager","teilweise")))))</f>
        <v>Lift</v>
      </c>
      <c r="BM741" s="60" t="str">
        <f aca="false">IF(BD741&lt;=0,"",IF(CG741="Aussen","Aussenlager",IF(CG741="-","Nicht im Lift",IF(BJ741&gt;=1,"Lift",IF(BJ741&lt;=0,"Aussenlager","teilweise")))))</f>
        <v>Lift</v>
      </c>
      <c r="BN741" s="60" t="str">
        <f aca="false">IF(A741="","",IF(BW741=1,"Neu; ","")&amp;IF(AND(BW741=0,BR741&lt;0),"negativer Bestand (Export "&amp;BR741&amp;"); ","")&amp;IF(J741&lt;=0,"Kein Verbrauch; ","")&amp;IF(CR741&gt;0,"Lift "&amp;W741&amp;" lt. Liftbericht (Fach "&amp;X741&amp;" Stk); ",IF(CB741=1,"Gebinde geschätzt ("&amp;T741&amp;"); ",IF(CA741=1,"Lose – Tablare geschätzt; ","")))&amp;IF(H741&gt;AW741,"Überbestand "&amp;ROUND(H741-AW741,0)&amp;" Stk / CHF "&amp;ROUND((H741-AW741)*G741,0)&amp;"; ","")&amp;IF(AND(CI741=1,CJ741&lt;CK741),"MAX &lt; MB+LG; ","")&amp;IF(AND(CQ741&gt;0,CP741*10&gt;CQ741),"zu hoch für Tablar; ","")&amp;IF(AND(BW741=0,OR(CI741=1,AB741&lt;&gt;"",U741&lt;&gt;"",V741&lt;&gt;"",AC741&lt;&gt;"")),"manuell übersteuert; ","")&amp;IF(AND(CA741=0,R741=0),"Gebinde unbekannt / Stellmass fehlt; ","")&amp;IF(AND(CA741=0,N(V741)&lt;=0,N(Q741)&lt;=0),"Menge pro Gebinde fehlt (Ist = 1 Gebinde); ","")&amp;BV741)</f>
        <v>Gebinde geschätzt (Mittel); Überbestand 5 Stk / CHF 162; Menge pro Gebinde fehlt (Ist = 1 Gebinde); gehört nicht ins KTL</v>
      </c>
      <c r="BO741" s="60"/>
      <c r="BP741" s="60"/>
      <c r="BQ741" s="67"/>
      <c r="BR741" s="62" t="n">
        <v>0</v>
      </c>
      <c r="BS741" s="62" t="n">
        <v>7</v>
      </c>
      <c r="BT741" s="61" t="n">
        <v>-1.4210854715202E-014</v>
      </c>
      <c r="BU741" s="62" t="n">
        <v>3</v>
      </c>
      <c r="BV741" s="60" t="s">
        <v>1511</v>
      </c>
      <c r="BW741" s="65" t="n">
        <v>0</v>
      </c>
      <c r="BX741" s="65" t="n">
        <v>741</v>
      </c>
      <c r="BY741" s="60" t="str">
        <f aca="false">IF(U741&lt;&gt;"",UPPER(TRIM(U741)),IF(CB741=1,UPPER(VLOOKUP(T741,Parameter!$I$27:$K$29,2,0)),IF(P741="","LOSE",P741)))</f>
        <v>S61</v>
      </c>
      <c r="BZ741" s="62" t="n">
        <f aca="false">IF(BY741="LOSE",1,IF(N(V741)&gt;0,V741,IF(CB741=1,MAX(1,N(VLOOKUP(T741,Parameter!$I$27:$K$29,3,0)),H741,N(N741)),IF(N(Q741)&gt;0,Q741,MAX(1,H741)))))</f>
        <v>7</v>
      </c>
      <c r="CA741" s="65" t="n">
        <f aca="false">IF(BY741="LOSE",1,0)</f>
        <v>0</v>
      </c>
      <c r="CB741" s="65" t="n">
        <f aca="false">IF(AND(U741="",OR(P741="",P741="LOSE"),T741&lt;&gt;"",N(S741)&lt;=0,ISNUMBER(MATCH(T741,Parameter!$I$27:$I$29,0))),1,0)</f>
        <v>1</v>
      </c>
      <c r="CC741" s="65" t="n">
        <f aca="false">IF(CR741&gt;0,INDEX(Parameter!$H$5:$H$7,W741)/INDEX(Parameter!$E$5:$E$7,W741),IF(AND(CA741=0,N(IFERROR(VLOOKUP(BY741,'Gebinde-Kategorie'!$A$5:$N$45,14,0),0))&gt;0),VLOOKUP(BY741,'Gebinde-Kategorie'!$A$5:$N$45,14,0)*10+Parameter!$M$23,Parameter!$M$24))</f>
        <v>145</v>
      </c>
      <c r="CD741" s="60" t="str">
        <f aca="false">IF(AND(Parameter!$B$19="Ja",E741&lt;&gt;"",ISNUMBER(MATCH(E741,Parameter!$I$35:$I$52,0))),VLOOKUP(E741,Parameter!$I$35:$J$52,2,0),IFERROR(VLOOKUP(D741,Parameter!$A$35:$C$64,2,0),"Nein"))</f>
        <v>2+3</v>
      </c>
      <c r="CE741" s="64" t="n">
        <f aca="false">IF(CA741=0,0,IF(N(S741)&gt;0,S741,IFERROR(VLOOKUP(D741,Parameter!$A$35:$C$64,3,0)+0,0)))</f>
        <v>0</v>
      </c>
      <c r="CF741" s="60" t="n">
        <f aca="false">IF(AB741&lt;&gt;"",AB741,AA741)</f>
        <v>3</v>
      </c>
      <c r="CG741" s="60" t="str">
        <f aca="false">IF(OR(CF741=1,CF741=2,CF741=3),IF(Parameter!$E$27="Ja","LIFT",IF(CF741=1,"L1","L23")),IF(CF741="Aussen","Aussen","-"))</f>
        <v>LIFT</v>
      </c>
      <c r="CH741" s="71" t="n">
        <f aca="false">IF(N(AC741)&gt;0,AC741,0)</f>
        <v>0</v>
      </c>
      <c r="CI741" s="65" t="n">
        <f aca="false">IF(ISNUMBER(AF741),1,0)</f>
        <v>0</v>
      </c>
      <c r="CJ741" s="62" t="n">
        <f aca="false">N(AF741)</f>
        <v>0</v>
      </c>
      <c r="CK741" s="62" t="n">
        <f aca="false">N(M741)+N(N741)</f>
        <v>0</v>
      </c>
      <c r="CL741" s="62" t="n">
        <f aca="false">N(M741)</f>
        <v>0</v>
      </c>
      <c r="CM741" s="62" t="n">
        <f aca="false">N(N741)</f>
        <v>0</v>
      </c>
      <c r="CN741" s="62" t="n">
        <f aca="false">ROUNDUP(H741/BZ741,0)</f>
        <v>1</v>
      </c>
      <c r="CO741" s="62" t="n">
        <f aca="false">ROUNDUP(CJ741/BZ741,0)</f>
        <v>0</v>
      </c>
      <c r="CP741" s="65" t="n">
        <f aca="false">IF(CA741=1,0,IFERROR(VLOOKUP(BY741,'Gebinde-Kategorie'!$A$5:$N$45,5,0)+0,0))</f>
        <v>11</v>
      </c>
      <c r="CQ741" s="65" t="n">
        <f aca="false">IFERROR(IF(OR(CF741=1,CF741=2,CF741=3),N(INDEX(Parameter!$I$5:$I$7,CF741)),0),0)</f>
        <v>0</v>
      </c>
      <c r="CR741" s="64" t="n">
        <f aca="false">IF(AND(Parameter!$B$21="Ja",ISNUMBER(W741),N(X741)&gt;0),IFERROR(N(INDEX(Parameter!$L$5:$L$7,W741))*INDEX(Parameter!$E$5:$E$7,W741)*X741/SUMIFS($X$7:$X$1843,$W$7:$W$1843,W741),0),0)</f>
        <v>0</v>
      </c>
      <c r="CS741" s="62" t="n">
        <f aca="false">IF(AND(OR(CG741="L1",CG741="L23",CG741="LIFT"),H741&gt;0),CC741*IF(CR741&gt;0,CR741*MAX(1,H741/X741),IF(CA741=1,CE741,IF(R741&gt;0,CN741/R741,0))/MAX(0.1,N(Parameter!$M$21))),"")</f>
        <v>12.0833333333333</v>
      </c>
      <c r="CT741" s="64" t="n">
        <f aca="false">IF(CS741="","",J741/H741)</f>
        <v>0.428571428571429</v>
      </c>
      <c r="CU741" s="62" t="n">
        <f aca="false">IF(CS741="","",H741*G741)</f>
        <v>226.1</v>
      </c>
      <c r="CV741" s="63" t="n">
        <f aca="false">IF(CS741="","",(CL741+ROUNDUP(CL741+MAX(CM741,2*(J741/MAX(0.1,N(Einkauf!$C$6))-CL741)),0))/2)</f>
        <v>1</v>
      </c>
      <c r="CW741" s="62" t="n">
        <f aca="false">IF(CS741="","",MAX(0,H741-CV741)*G741)</f>
        <v>193.8</v>
      </c>
      <c r="CX741" s="62" t="n">
        <f aca="false">IF(CS741="","",CS741*MAX(0,1-CV741/H741))</f>
        <v>10.3571428571429</v>
      </c>
      <c r="CY741" s="64" t="n">
        <f aca="false">IF(CS741="","",PERCENTRANK($CS$7:$CS$1843,CS741)+PERCENTRANK($CU$7:$CU$1843,CU741)+1-PERCENTRANK($CT$7:$CT$1843,CT741))</f>
        <v>1.483</v>
      </c>
      <c r="CZ741" s="72" t="n">
        <f aca="false">IF(CS741="","",CHOOSE(MATCH(Einkauf!$C$5,Parameter!$G$23:$G$27,0),CY741,CS741,CU741,-CT741,CW741)+ROW()/1000000000)</f>
        <v>1.483000741</v>
      </c>
    </row>
    <row r="742" customFormat="false" ht="15" hidden="false" customHeight="false" outlineLevel="0" collapsed="false">
      <c r="A742" s="60" t="s">
        <v>1512</v>
      </c>
      <c r="B742" s="60" t="s">
        <v>1513</v>
      </c>
      <c r="C742" s="60" t="s">
        <v>206</v>
      </c>
      <c r="D742" s="60" t="s">
        <v>1514</v>
      </c>
      <c r="E742" s="60"/>
      <c r="F742" s="60" t="s">
        <v>260</v>
      </c>
      <c r="G742" s="61" t="n">
        <v>79.34</v>
      </c>
      <c r="H742" s="62" t="n">
        <f aca="false">MAX(0,IF(AND(Parameter!$B$21="Ja",ISNUMBER(Y742)),Y742,IF(Parameter!$B$20="Jahresanfang 2025 + Export",BS742+BR742,BR742)))</f>
        <v>1</v>
      </c>
      <c r="I742" s="62" t="n">
        <f aca="false">H742*G742</f>
        <v>79.34</v>
      </c>
      <c r="J742" s="62" t="n">
        <f aca="false">BU742*Parameter!$B$18</f>
        <v>2</v>
      </c>
      <c r="K742" s="63" t="n">
        <v>3</v>
      </c>
      <c r="L742" s="64" t="n">
        <v>0.666666666666667</v>
      </c>
      <c r="M742" s="62" t="n">
        <v>0</v>
      </c>
      <c r="N742" s="62" t="n">
        <v>2</v>
      </c>
      <c r="O742" s="65" t="n">
        <v>21</v>
      </c>
      <c r="P742" s="60" t="s">
        <v>210</v>
      </c>
      <c r="Q742" s="62"/>
      <c r="R742" s="65" t="n">
        <f aca="false">IF(CA742=1,0,IFERROR(VLOOKUP(BY742,'Gebinde-Kategorie'!$A$5:$N$45,13,0)+0,0))</f>
        <v>0</v>
      </c>
      <c r="S742" s="66"/>
      <c r="T742" s="67"/>
      <c r="U742" s="67"/>
      <c r="V742" s="67"/>
      <c r="W742" s="60"/>
      <c r="X742" s="62"/>
      <c r="Y742" s="62"/>
      <c r="Z742" s="60"/>
      <c r="AA742" s="60" t="str">
        <f aca="false">IF(A742="","",IF(AND(Parameter!$B$21="Ja",ISNUMBER(W742)),W742,IF(AND(Parameter!$E$27="Ja",ISNUMBER(Z742),CD742&lt;&gt;"Nein"),Z742,IF(CD742="2+3",IF(ISNUMBER(SEARCH("grosser Artikel",BV742)),2,IFERROR(VLOOKUP(BY742,Parameter!$F$35:$G$64,2,0),2)),IF(OR(CD742="Nein",CD742=""),"-",CD742)))))</f>
        <v>-</v>
      </c>
      <c r="AB742" s="67"/>
      <c r="AC742" s="68"/>
      <c r="AD742" s="62" t="n">
        <f aca="false">AW742</f>
        <v>2</v>
      </c>
      <c r="AE742" s="62" t="n">
        <f aca="false">MAX(AW742,H742)</f>
        <v>2</v>
      </c>
      <c r="AF742" s="69"/>
      <c r="AG742" s="62" t="n">
        <f aca="false">IF(LEFT(Cockpit!$C$5,1)="A",H742,IF(Parameter!$E$30="MAX-Bestand",IF(CI742=1,CJ742,IF(LEFT(Cockpit!$C$5,1)="B",AM742,MAX(AM742,H742))),ROUNDUP(AK742,0)))</f>
        <v>1</v>
      </c>
      <c r="AH742" s="62" t="n">
        <f aca="false">IF(CA742=1,0,ROUNDUP(AG742/BZ742,0))</f>
        <v>0</v>
      </c>
      <c r="AI742" s="64" t="n">
        <f aca="false">IF(CR742&gt;0,CR742*MAX(1,AG742/X742),IF(CA742=1,IF(AG742&lt;=0,0,CE742*MAX(1,IF(H742&gt;0,AG742/H742,1))),IF(R742&gt;0,AH742/R742,0))/MAX(0.1,N(Parameter!$M$21)))</f>
        <v>0.15</v>
      </c>
      <c r="AJ742" s="62" t="n">
        <f aca="false">AI742*CC742</f>
        <v>35.25</v>
      </c>
      <c r="AK742" s="63" t="n">
        <f aca="false">IF(LEFT(Cockpit!$C$5,1)="A",H742,IF(CI742=1,(CL742+CJ742)/2,IF(LEFT(Cockpit!$C$5,1)="B",(CL742+AM742)/2,MAX((CL742+AM742)/2,H742))))</f>
        <v>1</v>
      </c>
      <c r="AL742" s="62" t="n">
        <f aca="false">AK742*G742</f>
        <v>79.34</v>
      </c>
      <c r="AM742" s="62" t="n">
        <f aca="false">ROUNDUP(CL742+MAX(CM742,2*(J742/IF(CH742&gt;0,CH742,MAX(0.1,N(Cockpit!$C$6)))-CL742)),0)</f>
        <v>2</v>
      </c>
      <c r="AN742" s="63" t="n">
        <f aca="false">IF(AJ742&gt;0,J742/AJ742,-1)</f>
        <v>0.0567375886524823</v>
      </c>
      <c r="AO742" s="63" t="str">
        <f aca="false">IF(AND(OR(CG742="L1",CG742="L23",CG742="LIFT"),AJ742&gt;0),SUMIFS($AJ$7:$AJ$1843,$CG$7:$CG$1843,CG742,$AN$7:$AN$1843,"&gt;"&amp;AN742)+SUMIFS($AJ$7:$AJ$1843,$CG$7:$CG$1843,CG742,$AN$7:$AN$1843,AN742,$BX$7:$BX$1843,"&lt;="&amp;BX742),"")</f>
        <v/>
      </c>
      <c r="AP742" s="70" t="n">
        <f aca="false">IF(AO742="",0,MAX(0,MIN(1,(IF(CG742="L1",Parameter!$H$5,IF(CG742="L23",Parameter!$H$6+Parameter!$H$7,Parameter!$H$5+Parameter!$H$6+Parameter!$H$7))-(AO742-AJ742))/AJ742)))</f>
        <v>0</v>
      </c>
      <c r="AQ742" s="62" t="n">
        <f aca="false">IF(LEFT(Cockpit!$I$5,1)="A",H742,IF(Parameter!$E$30="MAX-Bestand",IF(CI742=1,CJ742,IF(LEFT(Cockpit!$I$5,1)="B",AW742,MAX(AW742,H742))),ROUNDUP(AU742,0)))</f>
        <v>1</v>
      </c>
      <c r="AR742" s="62" t="n">
        <f aca="false">IF(CA742=1,0,ROUNDUP(AQ742/BZ742,0))</f>
        <v>0</v>
      </c>
      <c r="AS742" s="64" t="n">
        <f aca="false">IF(CR742&gt;0,CR742*MAX(1,AQ742/X742),IF(CA742=1,IF(AQ742&lt;=0,0,CE742*MAX(1,IF(H742&gt;0,AQ742/H742,1))),IF(R742&gt;0,AR742/R742,0))/MAX(0.1,N(Parameter!$M$21)))</f>
        <v>0.15</v>
      </c>
      <c r="AT742" s="62" t="n">
        <f aca="false">AS742*CC742</f>
        <v>35.25</v>
      </c>
      <c r="AU742" s="63" t="n">
        <f aca="false">IF(LEFT(Cockpit!$I$5,1)="A",H742,IF(CI742=1,(CL742+CJ742)/2,IF(LEFT(Cockpit!$I$5,1)="B",(CL742+AW742)/2,MAX((CL742+AW742)/2,H742))))</f>
        <v>1</v>
      </c>
      <c r="AV742" s="62" t="n">
        <f aca="false">AU742*G742</f>
        <v>79.34</v>
      </c>
      <c r="AW742" s="62" t="n">
        <f aca="false">ROUNDUP(CL742+MAX(CM742,2*(J742/IF(CH742&gt;0,CH742,MAX(0.1,N(Cockpit!$I$6)))-CL742)),0)</f>
        <v>2</v>
      </c>
      <c r="AX742" s="63" t="n">
        <f aca="false">IF(AT742&gt;0,J742/AT742,-1)</f>
        <v>0.0567375886524823</v>
      </c>
      <c r="AY742" s="63" t="str">
        <f aca="false">IF(AND(OR(CG742="L1",CG742="L23",CG742="LIFT"),AT742&gt;0),SUMIFS($AT$7:$AT$1843,$CG$7:$CG$1843,CG742,$AX$7:$AX$1843,"&gt;"&amp;AX742)+SUMIFS($AT$7:$AT$1843,$CG$7:$CG$1843,CG742,$AX$7:$AX$1843,AX742,$BX$7:$BX$1843,"&lt;="&amp;BX742),"")</f>
        <v/>
      </c>
      <c r="AZ742" s="70" t="n">
        <f aca="false">IF(AY742="",0,MAX(0,MIN(1,(IF(CG742="L1",Parameter!$H$5,IF(CG742="L23",Parameter!$H$6+Parameter!$H$7,Parameter!$H$5+Parameter!$H$6+Parameter!$H$7))-(AY742-AT742))/AT742)))</f>
        <v>0</v>
      </c>
      <c r="BA742" s="62" t="n">
        <f aca="false">IF(LEFT(Cockpit!$O$5,1)="A",H742,IF(Parameter!$E$30="MAX-Bestand",IF(CI742=1,CJ742,IF(LEFT(Cockpit!$O$5,1)="B",BG742,MAX(BG742,H742))),ROUNDUP(BE742,0)))</f>
        <v>1</v>
      </c>
      <c r="BB742" s="62" t="n">
        <f aca="false">IF(CA742=1,0,ROUNDUP(BA742/BZ742,0))</f>
        <v>0</v>
      </c>
      <c r="BC742" s="64" t="n">
        <f aca="false">IF(CR742&gt;0,CR742*MAX(1,BA742/X742),IF(CA742=1,IF(BA742&lt;=0,0,CE742*MAX(1,IF(H742&gt;0,BA742/H742,1))),IF(R742&gt;0,BB742/R742,0))/MAX(0.1,N(Parameter!$M$21)))</f>
        <v>0.15</v>
      </c>
      <c r="BD742" s="62" t="n">
        <f aca="false">BC742*CC742</f>
        <v>35.25</v>
      </c>
      <c r="BE742" s="63" t="n">
        <f aca="false">IF(LEFT(Cockpit!$O$5,1)="A",H742,IF(CI742=1,(CL742+CJ742)/2,IF(LEFT(Cockpit!$O$5,1)="B",(CL742+BG742)/2,MAX((CL742+BG742)/2,H742))))</f>
        <v>1</v>
      </c>
      <c r="BF742" s="62" t="n">
        <f aca="false">BE742*G742</f>
        <v>79.34</v>
      </c>
      <c r="BG742" s="62" t="n">
        <f aca="false">ROUNDUP(CL742+MAX(CM742,2*(J742/IF(CH742&gt;0,CH742,MAX(0.1,N(Cockpit!$O$6)))-CL742)),0)</f>
        <v>2</v>
      </c>
      <c r="BH742" s="63" t="n">
        <f aca="false">IF(BD742&gt;0,J742/BD742,-1)</f>
        <v>0.0567375886524823</v>
      </c>
      <c r="BI742" s="63" t="str">
        <f aca="false">IF(AND(OR(CG742="L1",CG742="L23",CG742="LIFT"),BD742&gt;0),SUMIFS($BD$7:$BD$1843,$CG$7:$CG$1843,CG742,$BH$7:$BH$1843,"&gt;"&amp;BH742)+SUMIFS($BD$7:$BD$1843,$CG$7:$CG$1843,CG742,$BH$7:$BH$1843,BH742,$BX$7:$BX$1843,"&lt;="&amp;BX742),"")</f>
        <v/>
      </c>
      <c r="BJ742" s="70" t="n">
        <f aca="false">IF(BI742="",0,MAX(0,MIN(1,(IF(CG742="L1",Parameter!$H$5,IF(CG742="L23",Parameter!$H$6+Parameter!$H$7,Parameter!$H$5+Parameter!$H$6+Parameter!$H$7))-(BI742-BD742))/BD742)))</f>
        <v>0</v>
      </c>
      <c r="BK742" s="60" t="str">
        <f aca="false">IF(AJ742&lt;=0,"",IF(CG742="Aussen","Aussenlager",IF(CG742="-","Nicht im Lift",IF(AP742&gt;=1,"Lift",IF(AP742&lt;=0,"Aussenlager","teilweise")))))</f>
        <v>Nicht im Lift</v>
      </c>
      <c r="BL742" s="60" t="str">
        <f aca="false">IF(AT742&lt;=0,"",IF(CG742="Aussen","Aussenlager",IF(CG742="-","Nicht im Lift",IF(AZ742&gt;=1,"Lift",IF(AZ742&lt;=0,"Aussenlager","teilweise")))))</f>
        <v>Nicht im Lift</v>
      </c>
      <c r="BM742" s="60" t="str">
        <f aca="false">IF(BD742&lt;=0,"",IF(CG742="Aussen","Aussenlager",IF(CG742="-","Nicht im Lift",IF(BJ742&gt;=1,"Lift",IF(BJ742&lt;=0,"Aussenlager","teilweise")))))</f>
        <v>Nicht im Lift</v>
      </c>
      <c r="BN742" s="60" t="str">
        <f aca="false">IF(A742="","",IF(BW742=1,"Neu; ","")&amp;IF(AND(BW742=0,BR742&lt;0),"negativer Bestand (Export "&amp;BR742&amp;"); ","")&amp;IF(J742&lt;=0,"Kein Verbrauch; ","")&amp;IF(CR742&gt;0,"Lift "&amp;W742&amp;" lt. Liftbericht (Fach "&amp;X742&amp;" Stk); ",IF(CB742=1,"Gebinde geschätzt ("&amp;T742&amp;"); ",IF(CA742=1,"Lose – Tablare geschätzt; ","")))&amp;IF(H742&gt;AW742,"Überbestand "&amp;ROUND(H742-AW742,0)&amp;" Stk / CHF "&amp;ROUND((H742-AW742)*G742,0)&amp;"; ","")&amp;IF(AND(CI742=1,CJ742&lt;CK742),"MAX &lt; MB+LG; ","")&amp;IF(AND(CQ742&gt;0,CP742*10&gt;CQ742),"zu hoch für Tablar; ","")&amp;IF(AND(BW742=0,OR(CI742=1,AB742&lt;&gt;"",U742&lt;&gt;"",V742&lt;&gt;"",AC742&lt;&gt;"")),"manuell übersteuert; ","")&amp;IF(AND(CA742=0,R742=0),"Gebinde unbekannt / Stellmass fehlt; ","")&amp;IF(AND(CA742=0,N(V742)&lt;=0,N(Q742)&lt;=0),"Menge pro Gebinde fehlt (Ist = 1 Gebinde); ","")&amp;BV742)</f>
        <v>Lose – Tablare geschätzt; Kleidung</v>
      </c>
      <c r="BO742" s="60"/>
      <c r="BP742" s="60"/>
      <c r="BQ742" s="67"/>
      <c r="BR742" s="62" t="n">
        <v>0</v>
      </c>
      <c r="BS742" s="62" t="n">
        <v>1</v>
      </c>
      <c r="BT742" s="61" t="n">
        <v>-1.4210854715202E-014</v>
      </c>
      <c r="BU742" s="62" t="n">
        <v>2</v>
      </c>
      <c r="BV742" s="60" t="s">
        <v>1515</v>
      </c>
      <c r="BW742" s="65" t="n">
        <v>0</v>
      </c>
      <c r="BX742" s="65" t="n">
        <v>742</v>
      </c>
      <c r="BY742" s="60" t="str">
        <f aca="false">IF(U742&lt;&gt;"",UPPER(TRIM(U742)),IF(CB742=1,UPPER(VLOOKUP(T742,Parameter!$I$27:$K$29,2,0)),IF(P742="","LOSE",P742)))</f>
        <v>LOSE</v>
      </c>
      <c r="BZ742" s="62" t="n">
        <f aca="false">IF(BY742="LOSE",1,IF(N(V742)&gt;0,V742,IF(CB742=1,MAX(1,N(VLOOKUP(T742,Parameter!$I$27:$K$29,3,0)),H742,N(N742)),IF(N(Q742)&gt;0,Q742,MAX(1,H742)))))</f>
        <v>1</v>
      </c>
      <c r="CA742" s="65" t="n">
        <f aca="false">IF(BY742="LOSE",1,0)</f>
        <v>1</v>
      </c>
      <c r="CB742" s="65" t="n">
        <f aca="false">IF(AND(U742="",OR(P742="",P742="LOSE"),T742&lt;&gt;"",N(S742)&lt;=0,ISNUMBER(MATCH(T742,Parameter!$I$27:$I$29,0))),1,0)</f>
        <v>0</v>
      </c>
      <c r="CC742" s="65" t="n">
        <f aca="false">IF(CR742&gt;0,INDEX(Parameter!$H$5:$H$7,W742)/INDEX(Parameter!$E$5:$E$7,W742),IF(AND(CA742=0,N(IFERROR(VLOOKUP(BY742,'Gebinde-Kategorie'!$A$5:$N$45,14,0),0))&gt;0),VLOOKUP(BY742,'Gebinde-Kategorie'!$A$5:$N$45,14,0)*10+Parameter!$M$23,Parameter!$M$24))</f>
        <v>235</v>
      </c>
      <c r="CD742" s="60" t="str">
        <f aca="false">IF(AND(Parameter!$B$19="Ja",E742&lt;&gt;"",ISNUMBER(MATCH(E742,Parameter!$I$35:$I$52,0))),VLOOKUP(E742,Parameter!$I$35:$J$52,2,0),IFERROR(VLOOKUP(D742,Parameter!$A$35:$C$64,2,0),"Nein"))</f>
        <v>Nein</v>
      </c>
      <c r="CE742" s="64" t="n">
        <f aca="false">IF(CA742=0,0,IF(N(S742)&gt;0,S742,IFERROR(VLOOKUP(D742,Parameter!$A$35:$C$64,3,0)+0,0)))</f>
        <v>0.15</v>
      </c>
      <c r="CF742" s="60" t="str">
        <f aca="false">IF(AB742&lt;&gt;"",AB742,AA742)</f>
        <v>-</v>
      </c>
      <c r="CG742" s="60" t="str">
        <f aca="false">IF(OR(CF742=1,CF742=2,CF742=3),IF(Parameter!$E$27="Ja","LIFT",IF(CF742=1,"L1","L23")),IF(CF742="Aussen","Aussen","-"))</f>
        <v>-</v>
      </c>
      <c r="CH742" s="71" t="n">
        <f aca="false">IF(N(AC742)&gt;0,AC742,0)</f>
        <v>0</v>
      </c>
      <c r="CI742" s="65" t="n">
        <f aca="false">IF(ISNUMBER(AF742),1,0)</f>
        <v>0</v>
      </c>
      <c r="CJ742" s="62" t="n">
        <f aca="false">N(AF742)</f>
        <v>0</v>
      </c>
      <c r="CK742" s="62" t="n">
        <f aca="false">N(M742)+N(N742)</f>
        <v>2</v>
      </c>
      <c r="CL742" s="62" t="n">
        <f aca="false">N(M742)</f>
        <v>0</v>
      </c>
      <c r="CM742" s="62" t="n">
        <f aca="false">N(N742)</f>
        <v>2</v>
      </c>
      <c r="CN742" s="62" t="n">
        <f aca="false">ROUNDUP(H742/BZ742,0)</f>
        <v>1</v>
      </c>
      <c r="CO742" s="62" t="n">
        <f aca="false">ROUNDUP(CJ742/BZ742,0)</f>
        <v>0</v>
      </c>
      <c r="CP742" s="65" t="n">
        <f aca="false">IF(CA742=1,0,IFERROR(VLOOKUP(BY742,'Gebinde-Kategorie'!$A$5:$N$45,5,0)+0,0))</f>
        <v>0</v>
      </c>
      <c r="CQ742" s="65" t="n">
        <f aca="false">IFERROR(IF(OR(CF742=1,CF742=2,CF742=3),N(INDEX(Parameter!$I$5:$I$7,CF742)),0),0)</f>
        <v>0</v>
      </c>
      <c r="CR742" s="64" t="n">
        <f aca="false">IF(AND(Parameter!$B$21="Ja",ISNUMBER(W742),N(X742)&gt;0),IFERROR(N(INDEX(Parameter!$L$5:$L$7,W742))*INDEX(Parameter!$E$5:$E$7,W742)*X742/SUMIFS($X$7:$X$1843,$W$7:$W$1843,W742),0),0)</f>
        <v>0</v>
      </c>
      <c r="CS742" s="62" t="str">
        <f aca="false">IF(AND(OR(CG742="L1",CG742="L23",CG742="LIFT"),H742&gt;0),CC742*IF(CR742&gt;0,CR742*MAX(1,H742/X742),IF(CA742=1,CE742,IF(R742&gt;0,CN742/R742,0))/MAX(0.1,N(Parameter!$M$21))),"")</f>
        <v/>
      </c>
      <c r="CT742" s="64" t="str">
        <f aca="false">IF(CS742="","",J742/H742)</f>
        <v/>
      </c>
      <c r="CU742" s="62" t="str">
        <f aca="false">IF(CS742="","",H742*G742)</f>
        <v/>
      </c>
      <c r="CV742" s="63" t="str">
        <f aca="false">IF(CS742="","",(CL742+ROUNDUP(CL742+MAX(CM742,2*(J742/MAX(0.1,N(Einkauf!$C$6))-CL742)),0))/2)</f>
        <v/>
      </c>
      <c r="CW742" s="62" t="str">
        <f aca="false">IF(CS742="","",MAX(0,H742-CV742)*G742)</f>
        <v/>
      </c>
      <c r="CX742" s="62" t="str">
        <f aca="false">IF(CS742="","",CS742*MAX(0,1-CV742/H742))</f>
        <v/>
      </c>
      <c r="CY742" s="64" t="str">
        <f aca="false">IF(CS742="","",PERCENTRANK($CS$7:$CS$1843,CS742)+PERCENTRANK($CU$7:$CU$1843,CU742)+1-PERCENTRANK($CT$7:$CT$1843,CT742))</f>
        <v/>
      </c>
      <c r="CZ742" s="72" t="str">
        <f aca="false">IF(CS742="","",CHOOSE(MATCH(Einkauf!$C$5,Parameter!$G$23:$G$27,0),CY742,CS742,CU742,-CT742,CW742)+ROW()/1000000000)</f>
        <v/>
      </c>
    </row>
    <row r="743" customFormat="false" ht="15" hidden="false" customHeight="false" outlineLevel="0" collapsed="false">
      <c r="A743" s="60" t="s">
        <v>1516</v>
      </c>
      <c r="B743" s="60" t="s">
        <v>1370</v>
      </c>
      <c r="C743" s="60" t="s">
        <v>206</v>
      </c>
      <c r="D743" s="60" t="s">
        <v>1037</v>
      </c>
      <c r="E743" s="60"/>
      <c r="F743" s="60" t="s">
        <v>260</v>
      </c>
      <c r="G743" s="61" t="n">
        <v>19.76</v>
      </c>
      <c r="H743" s="62" t="n">
        <f aca="false">MAX(0,IF(AND(Parameter!$B$21="Ja",ISNUMBER(Y743)),Y743,IF(Parameter!$B$20="Jahresanfang 2025 + Export",BS743+BR743,BR743)))</f>
        <v>0</v>
      </c>
      <c r="I743" s="62" t="n">
        <f aca="false">H743*G743</f>
        <v>0</v>
      </c>
      <c r="J743" s="62" t="n">
        <f aca="false">BU743*Parameter!$B$18</f>
        <v>60</v>
      </c>
      <c r="K743" s="63" t="n">
        <v>0</v>
      </c>
      <c r="L743" s="64" t="n">
        <v>0</v>
      </c>
      <c r="M743" s="62" t="n">
        <v>0</v>
      </c>
      <c r="N743" s="62" t="n">
        <v>10</v>
      </c>
      <c r="O743" s="65" t="n">
        <v>28</v>
      </c>
      <c r="P743" s="60" t="s">
        <v>210</v>
      </c>
      <c r="Q743" s="62"/>
      <c r="R743" s="65" t="n">
        <f aca="false">IF(CA743=1,0,IFERROR(VLOOKUP(BY743,'Gebinde-Kategorie'!$A$5:$N$45,13,0)+0,0))</f>
        <v>0</v>
      </c>
      <c r="S743" s="66"/>
      <c r="T743" s="67"/>
      <c r="U743" s="67"/>
      <c r="V743" s="67"/>
      <c r="W743" s="60"/>
      <c r="X743" s="62"/>
      <c r="Y743" s="62"/>
      <c r="Z743" s="60"/>
      <c r="AA743" s="60" t="str">
        <f aca="false">IF(A743="","",IF(AND(Parameter!$B$21="Ja",ISNUMBER(W743)),W743,IF(AND(Parameter!$E$27="Ja",ISNUMBER(Z743),CD743&lt;&gt;"Nein"),Z743,IF(CD743="2+3",IF(ISNUMBER(SEARCH("grosser Artikel",BV743)),2,IFERROR(VLOOKUP(BY743,Parameter!$F$35:$G$64,2,0),2)),IF(OR(CD743="Nein",CD743=""),"-",CD743)))))</f>
        <v>-</v>
      </c>
      <c r="AB743" s="67"/>
      <c r="AC743" s="68"/>
      <c r="AD743" s="62" t="n">
        <f aca="false">AW743</f>
        <v>40</v>
      </c>
      <c r="AE743" s="62" t="n">
        <f aca="false">MAX(AW743,H743)</f>
        <v>40</v>
      </c>
      <c r="AF743" s="69"/>
      <c r="AG743" s="62" t="n">
        <f aca="false">IF(LEFT(Cockpit!$C$5,1)="A",H743,IF(Parameter!$E$30="MAX-Bestand",IF(CI743=1,CJ743,IF(LEFT(Cockpit!$C$5,1)="B",AM743,MAX(AM743,H743))),ROUNDUP(AK743,0)))</f>
        <v>0</v>
      </c>
      <c r="AH743" s="62" t="n">
        <f aca="false">IF(CA743=1,0,ROUNDUP(AG743/BZ743,0))</f>
        <v>0</v>
      </c>
      <c r="AI743" s="64" t="n">
        <f aca="false">IF(CR743&gt;0,CR743*MAX(1,AG743/X743),IF(CA743=1,IF(AG743&lt;=0,0,CE743*MAX(1,IF(H743&gt;0,AG743/H743,1))),IF(R743&gt;0,AH743/R743,0))/MAX(0.1,N(Parameter!$M$21)))</f>
        <v>0</v>
      </c>
      <c r="AJ743" s="62" t="n">
        <f aca="false">AI743*CC743</f>
        <v>0</v>
      </c>
      <c r="AK743" s="63" t="n">
        <f aca="false">IF(LEFT(Cockpit!$C$5,1)="A",H743,IF(CI743=1,(CL743+CJ743)/2,IF(LEFT(Cockpit!$C$5,1)="B",(CL743+AM743)/2,MAX((CL743+AM743)/2,H743))))</f>
        <v>0</v>
      </c>
      <c r="AL743" s="62" t="n">
        <f aca="false">AK743*G743</f>
        <v>0</v>
      </c>
      <c r="AM743" s="62" t="n">
        <f aca="false">ROUNDUP(CL743+MAX(CM743,2*(J743/IF(CH743&gt;0,CH743,MAX(0.1,N(Cockpit!$C$6)))-CL743)),0)</f>
        <v>40</v>
      </c>
      <c r="AN743" s="63" t="n">
        <f aca="false">IF(AJ743&gt;0,J743/AJ743,-1)</f>
        <v>-1</v>
      </c>
      <c r="AO743" s="63" t="str">
        <f aca="false">IF(AND(OR(CG743="L1",CG743="L23",CG743="LIFT"),AJ743&gt;0),SUMIFS($AJ$7:$AJ$1843,$CG$7:$CG$1843,CG743,$AN$7:$AN$1843,"&gt;"&amp;AN743)+SUMIFS($AJ$7:$AJ$1843,$CG$7:$CG$1843,CG743,$AN$7:$AN$1843,AN743,$BX$7:$BX$1843,"&lt;="&amp;BX743),"")</f>
        <v/>
      </c>
      <c r="AP743" s="70" t="n">
        <f aca="false">IF(AO743="",0,MAX(0,MIN(1,(IF(CG743="L1",Parameter!$H$5,IF(CG743="L23",Parameter!$H$6+Parameter!$H$7,Parameter!$H$5+Parameter!$H$6+Parameter!$H$7))-(AO743-AJ743))/AJ743)))</f>
        <v>0</v>
      </c>
      <c r="AQ743" s="62" t="n">
        <f aca="false">IF(LEFT(Cockpit!$I$5,1)="A",H743,IF(Parameter!$E$30="MAX-Bestand",IF(CI743=1,CJ743,IF(LEFT(Cockpit!$I$5,1)="B",AW743,MAX(AW743,H743))),ROUNDUP(AU743,0)))</f>
        <v>20</v>
      </c>
      <c r="AR743" s="62" t="n">
        <f aca="false">IF(CA743=1,0,ROUNDUP(AQ743/BZ743,0))</f>
        <v>0</v>
      </c>
      <c r="AS743" s="64" t="n">
        <f aca="false">IF(CR743&gt;0,CR743*MAX(1,AQ743/X743),IF(CA743=1,IF(AQ743&lt;=0,0,CE743*MAX(1,IF(H743&gt;0,AQ743/H743,1))),IF(R743&gt;0,AR743/R743,0))/MAX(0.1,N(Parameter!$M$21)))</f>
        <v>0.15</v>
      </c>
      <c r="AT743" s="62" t="n">
        <f aca="false">AS743*CC743</f>
        <v>35.25</v>
      </c>
      <c r="AU743" s="63" t="n">
        <f aca="false">IF(LEFT(Cockpit!$I$5,1)="A",H743,IF(CI743=1,(CL743+CJ743)/2,IF(LEFT(Cockpit!$I$5,1)="B",(CL743+AW743)/2,MAX((CL743+AW743)/2,H743))))</f>
        <v>20</v>
      </c>
      <c r="AV743" s="62" t="n">
        <f aca="false">AU743*G743</f>
        <v>395.2</v>
      </c>
      <c r="AW743" s="62" t="n">
        <f aca="false">ROUNDUP(CL743+MAX(CM743,2*(J743/IF(CH743&gt;0,CH743,MAX(0.1,N(Cockpit!$I$6)))-CL743)),0)</f>
        <v>40</v>
      </c>
      <c r="AX743" s="63" t="n">
        <f aca="false">IF(AT743&gt;0,J743/AT743,-1)</f>
        <v>1.70212765957447</v>
      </c>
      <c r="AY743" s="63" t="str">
        <f aca="false">IF(AND(OR(CG743="L1",CG743="L23",CG743="LIFT"),AT743&gt;0),SUMIFS($AT$7:$AT$1843,$CG$7:$CG$1843,CG743,$AX$7:$AX$1843,"&gt;"&amp;AX743)+SUMIFS($AT$7:$AT$1843,$CG$7:$CG$1843,CG743,$AX$7:$AX$1843,AX743,$BX$7:$BX$1843,"&lt;="&amp;BX743),"")</f>
        <v/>
      </c>
      <c r="AZ743" s="70" t="n">
        <f aca="false">IF(AY743="",0,MAX(0,MIN(1,(IF(CG743="L1",Parameter!$H$5,IF(CG743="L23",Parameter!$H$6+Parameter!$H$7,Parameter!$H$5+Parameter!$H$6+Parameter!$H$7))-(AY743-AT743))/AT743)))</f>
        <v>0</v>
      </c>
      <c r="BA743" s="62" t="n">
        <f aca="false">IF(LEFT(Cockpit!$O$5,1)="A",H743,IF(Parameter!$E$30="MAX-Bestand",IF(CI743=1,CJ743,IF(LEFT(Cockpit!$O$5,1)="B",BG743,MAX(BG743,H743))),ROUNDUP(BE743,0)))</f>
        <v>15</v>
      </c>
      <c r="BB743" s="62" t="n">
        <f aca="false">IF(CA743=1,0,ROUNDUP(BA743/BZ743,0))</f>
        <v>0</v>
      </c>
      <c r="BC743" s="64" t="n">
        <f aca="false">IF(CR743&gt;0,CR743*MAX(1,BA743/X743),IF(CA743=1,IF(BA743&lt;=0,0,CE743*MAX(1,IF(H743&gt;0,BA743/H743,1))),IF(R743&gt;0,BB743/R743,0))/MAX(0.1,N(Parameter!$M$21)))</f>
        <v>0.15</v>
      </c>
      <c r="BD743" s="62" t="n">
        <f aca="false">BC743*CC743</f>
        <v>35.25</v>
      </c>
      <c r="BE743" s="63" t="n">
        <f aca="false">IF(LEFT(Cockpit!$O$5,1)="A",H743,IF(CI743=1,(CL743+CJ743)/2,IF(LEFT(Cockpit!$O$5,1)="B",(CL743+BG743)/2,MAX((CL743+BG743)/2,H743))))</f>
        <v>15</v>
      </c>
      <c r="BF743" s="62" t="n">
        <f aca="false">BE743*G743</f>
        <v>296.4</v>
      </c>
      <c r="BG743" s="62" t="n">
        <f aca="false">ROUNDUP(CL743+MAX(CM743,2*(J743/IF(CH743&gt;0,CH743,MAX(0.1,N(Cockpit!$O$6)))-CL743)),0)</f>
        <v>30</v>
      </c>
      <c r="BH743" s="63" t="n">
        <f aca="false">IF(BD743&gt;0,J743/BD743,-1)</f>
        <v>1.70212765957447</v>
      </c>
      <c r="BI743" s="63" t="str">
        <f aca="false">IF(AND(OR(CG743="L1",CG743="L23",CG743="LIFT"),BD743&gt;0),SUMIFS($BD$7:$BD$1843,$CG$7:$CG$1843,CG743,$BH$7:$BH$1843,"&gt;"&amp;BH743)+SUMIFS($BD$7:$BD$1843,$CG$7:$CG$1843,CG743,$BH$7:$BH$1843,BH743,$BX$7:$BX$1843,"&lt;="&amp;BX743),"")</f>
        <v/>
      </c>
      <c r="BJ743" s="70" t="n">
        <f aca="false">IF(BI743="",0,MAX(0,MIN(1,(IF(CG743="L1",Parameter!$H$5,IF(CG743="L23",Parameter!$H$6+Parameter!$H$7,Parameter!$H$5+Parameter!$H$6+Parameter!$H$7))-(BI743-BD743))/BD743)))</f>
        <v>0</v>
      </c>
      <c r="BK743" s="60" t="str">
        <f aca="false">IF(AJ743&lt;=0,"",IF(CG743="Aussen","Aussenlager",IF(CG743="-","Nicht im Lift",IF(AP743&gt;=1,"Lift",IF(AP743&lt;=0,"Aussenlager","teilweise")))))</f>
        <v/>
      </c>
      <c r="BL743" s="60" t="str">
        <f aca="false">IF(AT743&lt;=0,"",IF(CG743="Aussen","Aussenlager",IF(CG743="-","Nicht im Lift",IF(AZ743&gt;=1,"Lift",IF(AZ743&lt;=0,"Aussenlager","teilweise")))))</f>
        <v>Nicht im Lift</v>
      </c>
      <c r="BM743" s="60" t="str">
        <f aca="false">IF(BD743&lt;=0,"",IF(CG743="Aussen","Aussenlager",IF(CG743="-","Nicht im Lift",IF(BJ743&gt;=1,"Lift",IF(BJ743&lt;=0,"Aussenlager","teilweise")))))</f>
        <v>Nicht im Lift</v>
      </c>
      <c r="BN743" s="60" t="str">
        <f aca="false">IF(A743="","",IF(BW743=1,"Neu; ","")&amp;IF(AND(BW743=0,BR743&lt;0),"negativer Bestand (Export "&amp;BR743&amp;"); ","")&amp;IF(J743&lt;=0,"Kein Verbrauch; ","")&amp;IF(CR743&gt;0,"Lift "&amp;W743&amp;" lt. Liftbericht (Fach "&amp;X743&amp;" Stk); ",IF(CB743=1,"Gebinde geschätzt ("&amp;T743&amp;"); ",IF(CA743=1,"Lose – Tablare geschätzt; ","")))&amp;IF(H743&gt;AW743,"Überbestand "&amp;ROUND(H743-AW743,0)&amp;" Stk / CHF "&amp;ROUND((H743-AW743)*G743,0)&amp;"; ","")&amp;IF(AND(CI743=1,CJ743&lt;CK743),"MAX &lt; MB+LG; ","")&amp;IF(AND(CQ743&gt;0,CP743*10&gt;CQ743),"zu hoch für Tablar; ","")&amp;IF(AND(BW743=0,OR(CI743=1,AB743&lt;&gt;"",U743&lt;&gt;"",V743&lt;&gt;"",AC743&lt;&gt;"")),"manuell übersteuert; ","")&amp;IF(AND(CA743=0,R743=0),"Gebinde unbekannt / Stellmass fehlt; ","")&amp;IF(AND(CA743=0,N(V743)&lt;=0,N(Q743)&lt;=0),"Menge pro Gebinde fehlt (Ist = 1 Gebinde); ","")&amp;BV743)</f>
        <v>Lose – Tablare geschätzt; </v>
      </c>
      <c r="BO743" s="60"/>
      <c r="BP743" s="60"/>
      <c r="BQ743" s="67"/>
      <c r="BR743" s="62" t="n">
        <v>0</v>
      </c>
      <c r="BS743" s="62" t="n">
        <v>0</v>
      </c>
      <c r="BT743" s="61" t="n">
        <v>-2.1316282072803E-014</v>
      </c>
      <c r="BU743" s="62" t="n">
        <v>60</v>
      </c>
      <c r="BV743" s="60"/>
      <c r="BW743" s="65" t="n">
        <v>0</v>
      </c>
      <c r="BX743" s="65" t="n">
        <v>743</v>
      </c>
      <c r="BY743" s="60" t="str">
        <f aca="false">IF(U743&lt;&gt;"",UPPER(TRIM(U743)),IF(CB743=1,UPPER(VLOOKUP(T743,Parameter!$I$27:$K$29,2,0)),IF(P743="","LOSE",P743)))</f>
        <v>LOSE</v>
      </c>
      <c r="BZ743" s="62" t="n">
        <f aca="false">IF(BY743="LOSE",1,IF(N(V743)&gt;0,V743,IF(CB743=1,MAX(1,N(VLOOKUP(T743,Parameter!$I$27:$K$29,3,0)),H743,N(N743)),IF(N(Q743)&gt;0,Q743,MAX(1,H743)))))</f>
        <v>1</v>
      </c>
      <c r="CA743" s="65" t="n">
        <f aca="false">IF(BY743="LOSE",1,0)</f>
        <v>1</v>
      </c>
      <c r="CB743" s="65" t="n">
        <f aca="false">IF(AND(U743="",OR(P743="",P743="LOSE"),T743&lt;&gt;"",N(S743)&lt;=0,ISNUMBER(MATCH(T743,Parameter!$I$27:$I$29,0))),1,0)</f>
        <v>0</v>
      </c>
      <c r="CC743" s="65" t="n">
        <f aca="false">IF(CR743&gt;0,INDEX(Parameter!$H$5:$H$7,W743)/INDEX(Parameter!$E$5:$E$7,W743),IF(AND(CA743=0,N(IFERROR(VLOOKUP(BY743,'Gebinde-Kategorie'!$A$5:$N$45,14,0),0))&gt;0),VLOOKUP(BY743,'Gebinde-Kategorie'!$A$5:$N$45,14,0)*10+Parameter!$M$23,Parameter!$M$24))</f>
        <v>235</v>
      </c>
      <c r="CD743" s="60" t="str">
        <f aca="false">IF(AND(Parameter!$B$19="Ja",E743&lt;&gt;"",ISNUMBER(MATCH(E743,Parameter!$I$35:$I$52,0))),VLOOKUP(E743,Parameter!$I$35:$J$52,2,0),IFERROR(VLOOKUP(D743,Parameter!$A$35:$C$64,2,0),"Nein"))</f>
        <v>Nein</v>
      </c>
      <c r="CE743" s="64" t="n">
        <f aca="false">IF(CA743=0,0,IF(N(S743)&gt;0,S743,IFERROR(VLOOKUP(D743,Parameter!$A$35:$C$64,3,0)+0,0)))</f>
        <v>0.15</v>
      </c>
      <c r="CF743" s="60" t="str">
        <f aca="false">IF(AB743&lt;&gt;"",AB743,AA743)</f>
        <v>-</v>
      </c>
      <c r="CG743" s="60" t="str">
        <f aca="false">IF(OR(CF743=1,CF743=2,CF743=3),IF(Parameter!$E$27="Ja","LIFT",IF(CF743=1,"L1","L23")),IF(CF743="Aussen","Aussen","-"))</f>
        <v>-</v>
      </c>
      <c r="CH743" s="71" t="n">
        <f aca="false">IF(N(AC743)&gt;0,AC743,0)</f>
        <v>0</v>
      </c>
      <c r="CI743" s="65" t="n">
        <f aca="false">IF(ISNUMBER(AF743),1,0)</f>
        <v>0</v>
      </c>
      <c r="CJ743" s="62" t="n">
        <f aca="false">N(AF743)</f>
        <v>0</v>
      </c>
      <c r="CK743" s="62" t="n">
        <f aca="false">N(M743)+N(N743)</f>
        <v>10</v>
      </c>
      <c r="CL743" s="62" t="n">
        <f aca="false">N(M743)</f>
        <v>0</v>
      </c>
      <c r="CM743" s="62" t="n">
        <f aca="false">N(N743)</f>
        <v>10</v>
      </c>
      <c r="CN743" s="62" t="n">
        <f aca="false">ROUNDUP(H743/BZ743,0)</f>
        <v>0</v>
      </c>
      <c r="CO743" s="62" t="n">
        <f aca="false">ROUNDUP(CJ743/BZ743,0)</f>
        <v>0</v>
      </c>
      <c r="CP743" s="65" t="n">
        <f aca="false">IF(CA743=1,0,IFERROR(VLOOKUP(BY743,'Gebinde-Kategorie'!$A$5:$N$45,5,0)+0,0))</f>
        <v>0</v>
      </c>
      <c r="CQ743" s="65" t="n">
        <f aca="false">IFERROR(IF(OR(CF743=1,CF743=2,CF743=3),N(INDEX(Parameter!$I$5:$I$7,CF743)),0),0)</f>
        <v>0</v>
      </c>
      <c r="CR743" s="64" t="n">
        <f aca="false">IF(AND(Parameter!$B$21="Ja",ISNUMBER(W743),N(X743)&gt;0),IFERROR(N(INDEX(Parameter!$L$5:$L$7,W743))*INDEX(Parameter!$E$5:$E$7,W743)*X743/SUMIFS($X$7:$X$1843,$W$7:$W$1843,W743),0),0)</f>
        <v>0</v>
      </c>
      <c r="CS743" s="62" t="str">
        <f aca="false">IF(AND(OR(CG743="L1",CG743="L23",CG743="LIFT"),H743&gt;0),CC743*IF(CR743&gt;0,CR743*MAX(1,H743/X743),IF(CA743=1,CE743,IF(R743&gt;0,CN743/R743,0))/MAX(0.1,N(Parameter!$M$21))),"")</f>
        <v/>
      </c>
      <c r="CT743" s="64" t="str">
        <f aca="false">IF(CS743="","",J743/H743)</f>
        <v/>
      </c>
      <c r="CU743" s="62" t="str">
        <f aca="false">IF(CS743="","",H743*G743)</f>
        <v/>
      </c>
      <c r="CV743" s="63" t="str">
        <f aca="false">IF(CS743="","",(CL743+ROUNDUP(CL743+MAX(CM743,2*(J743/MAX(0.1,N(Einkauf!$C$6))-CL743)),0))/2)</f>
        <v/>
      </c>
      <c r="CW743" s="62" t="str">
        <f aca="false">IF(CS743="","",MAX(0,H743-CV743)*G743)</f>
        <v/>
      </c>
      <c r="CX743" s="62" t="str">
        <f aca="false">IF(CS743="","",CS743*MAX(0,1-CV743/H743))</f>
        <v/>
      </c>
      <c r="CY743" s="64" t="str">
        <f aca="false">IF(CS743="","",PERCENTRANK($CS$7:$CS$1843,CS743)+PERCENTRANK($CU$7:$CU$1843,CU743)+1-PERCENTRANK($CT$7:$CT$1843,CT743))</f>
        <v/>
      </c>
      <c r="CZ743" s="72" t="str">
        <f aca="false">IF(CS743="","",CHOOSE(MATCH(Einkauf!$C$5,Parameter!$G$23:$G$27,0),CY743,CS743,CU743,-CT743,CW743)+ROW()/1000000000)</f>
        <v/>
      </c>
    </row>
    <row r="744" customFormat="false" ht="15" hidden="false" customHeight="false" outlineLevel="0" collapsed="false">
      <c r="A744" s="60" t="s">
        <v>1517</v>
      </c>
      <c r="B744" s="60" t="s">
        <v>631</v>
      </c>
      <c r="C744" s="60" t="s">
        <v>206</v>
      </c>
      <c r="D744" s="60" t="s">
        <v>226</v>
      </c>
      <c r="E744" s="60" t="s">
        <v>227</v>
      </c>
      <c r="F744" s="60" t="s">
        <v>260</v>
      </c>
      <c r="G744" s="61" t="n">
        <v>1.7</v>
      </c>
      <c r="H744" s="62" t="n">
        <f aca="false">MAX(0,IF(AND(Parameter!$B$21="Ja",ISNUMBER(Y744)),Y744,IF(Parameter!$B$20="Jahresanfang 2025 + Export",BS744+BR744,BR744)))</f>
        <v>78</v>
      </c>
      <c r="I744" s="62" t="n">
        <f aca="false">H744*G744</f>
        <v>132.6</v>
      </c>
      <c r="J744" s="62" t="n">
        <f aca="false">BU744*Parameter!$B$18</f>
        <v>80</v>
      </c>
      <c r="K744" s="63" t="n">
        <v>74</v>
      </c>
      <c r="L744" s="64" t="n">
        <v>1.08108108108108</v>
      </c>
      <c r="M744" s="62" t="n">
        <v>4</v>
      </c>
      <c r="N744" s="62" t="n">
        <v>80</v>
      </c>
      <c r="O744" s="65" t="n">
        <v>21</v>
      </c>
      <c r="P744" s="60" t="s">
        <v>468</v>
      </c>
      <c r="Q744" s="62" t="n">
        <v>157</v>
      </c>
      <c r="R744" s="65" t="n">
        <f aca="false">IF(CA744=1,0,IFERROR(VLOOKUP(BY744,'Gebinde-Kategorie'!$A$5:$N$45,13,0)+0,0))</f>
        <v>140</v>
      </c>
      <c r="S744" s="66"/>
      <c r="T744" s="67"/>
      <c r="U744" s="67"/>
      <c r="V744" s="67"/>
      <c r="W744" s="60"/>
      <c r="X744" s="62"/>
      <c r="Y744" s="62"/>
      <c r="Z744" s="60" t="n">
        <v>3</v>
      </c>
      <c r="AA744" s="60" t="n">
        <f aca="false">IF(A744="","",IF(AND(Parameter!$B$21="Ja",ISNUMBER(W744)),W744,IF(AND(Parameter!$E$27="Ja",ISNUMBER(Z744),CD744&lt;&gt;"Nein"),Z744,IF(CD744="2+3",IF(ISNUMBER(SEARCH("grosser Artikel",BV744)),2,IFERROR(VLOOKUP(BY744,Parameter!$F$35:$G$64,2,0),2)),IF(OR(CD744="Nein",CD744=""),"-",CD744)))))</f>
        <v>3</v>
      </c>
      <c r="AB744" s="67"/>
      <c r="AC744" s="68"/>
      <c r="AD744" s="62" t="n">
        <f aca="false">AW744</f>
        <v>84</v>
      </c>
      <c r="AE744" s="62" t="n">
        <f aca="false">MAX(AW744,H744)</f>
        <v>84</v>
      </c>
      <c r="AF744" s="69"/>
      <c r="AG744" s="62" t="n">
        <f aca="false">IF(LEFT(Cockpit!$C$5,1)="A",H744,IF(Parameter!$E$30="MAX-Bestand",IF(CI744=1,CJ744,IF(LEFT(Cockpit!$C$5,1)="B",AM744,MAX(AM744,H744))),ROUNDUP(AK744,0)))</f>
        <v>78</v>
      </c>
      <c r="AH744" s="62" t="n">
        <f aca="false">IF(CA744=1,0,ROUNDUP(AG744/BZ744,0))</f>
        <v>1</v>
      </c>
      <c r="AI744" s="64" t="n">
        <f aca="false">IF(CR744&gt;0,CR744*MAX(1,AG744/X744),IF(CA744=1,IF(AG744&lt;=0,0,CE744*MAX(1,IF(H744&gt;0,AG744/H744,1))),IF(R744&gt;0,AH744/R744,0))/MAX(0.1,N(Parameter!$M$21)))</f>
        <v>0.00714285714285714</v>
      </c>
      <c r="AJ744" s="62" t="n">
        <f aca="false">AI744*CC744</f>
        <v>1.10714285714286</v>
      </c>
      <c r="AK744" s="63" t="n">
        <f aca="false">IF(LEFT(Cockpit!$C$5,1)="A",H744,IF(CI744=1,(CL744+CJ744)/2,IF(LEFT(Cockpit!$C$5,1)="B",(CL744+AM744)/2,MAX((CL744+AM744)/2,H744))))</f>
        <v>78</v>
      </c>
      <c r="AL744" s="62" t="n">
        <f aca="false">AK744*G744</f>
        <v>132.6</v>
      </c>
      <c r="AM744" s="62" t="n">
        <f aca="false">ROUNDUP(CL744+MAX(CM744,2*(J744/IF(CH744&gt;0,CH744,MAX(0.1,N(Cockpit!$C$6)))-CL744)),0)</f>
        <v>84</v>
      </c>
      <c r="AN744" s="63" t="n">
        <f aca="false">IF(AJ744&gt;0,J744/AJ744,-1)</f>
        <v>72.258064516129</v>
      </c>
      <c r="AO744" s="63" t="n">
        <f aca="false">IF(AND(OR(CG744="L1",CG744="L23",CG744="LIFT"),AJ744&gt;0),SUMIFS($AJ$7:$AJ$1843,$CG$7:$CG$1843,CG744,$AN$7:$AN$1843,"&gt;"&amp;AN744)+SUMIFS($AJ$7:$AJ$1843,$CG$7:$CG$1843,CG744,$AN$7:$AN$1843,AN744,$BX$7:$BX$1843,"&lt;="&amp;BX744),"")</f>
        <v>879.429945054945</v>
      </c>
      <c r="AP744" s="70" t="n">
        <f aca="false">IF(AO744="",0,MAX(0,MIN(1,(IF(CG744="L1",Parameter!$H$5,IF(CG744="L23",Parameter!$H$6+Parameter!$H$7,Parameter!$H$5+Parameter!$H$6+Parameter!$H$7))-(AO744-AJ744))/AJ744)))</f>
        <v>1</v>
      </c>
      <c r="AQ744" s="62" t="n">
        <f aca="false">IF(LEFT(Cockpit!$I$5,1)="A",H744,IF(Parameter!$E$30="MAX-Bestand",IF(CI744=1,CJ744,IF(LEFT(Cockpit!$I$5,1)="B",AW744,MAX(AW744,H744))),ROUNDUP(AU744,0)))</f>
        <v>78</v>
      </c>
      <c r="AR744" s="62" t="n">
        <f aca="false">IF(CA744=1,0,ROUNDUP(AQ744/BZ744,0))</f>
        <v>1</v>
      </c>
      <c r="AS744" s="64" t="n">
        <f aca="false">IF(CR744&gt;0,CR744*MAX(1,AQ744/X744),IF(CA744=1,IF(AQ744&lt;=0,0,CE744*MAX(1,IF(H744&gt;0,AQ744/H744,1))),IF(R744&gt;0,AR744/R744,0))/MAX(0.1,N(Parameter!$M$21)))</f>
        <v>0.00714285714285714</v>
      </c>
      <c r="AT744" s="62" t="n">
        <f aca="false">AS744*CC744</f>
        <v>1.10714285714286</v>
      </c>
      <c r="AU744" s="63" t="n">
        <f aca="false">IF(LEFT(Cockpit!$I$5,1)="A",H744,IF(CI744=1,(CL744+CJ744)/2,IF(LEFT(Cockpit!$I$5,1)="B",(CL744+AW744)/2,MAX((CL744+AW744)/2,H744))))</f>
        <v>78</v>
      </c>
      <c r="AV744" s="62" t="n">
        <f aca="false">AU744*G744</f>
        <v>132.6</v>
      </c>
      <c r="AW744" s="62" t="n">
        <f aca="false">ROUNDUP(CL744+MAX(CM744,2*(J744/IF(CH744&gt;0,CH744,MAX(0.1,N(Cockpit!$I$6)))-CL744)),0)</f>
        <v>84</v>
      </c>
      <c r="AX744" s="63" t="n">
        <f aca="false">IF(AT744&gt;0,J744/AT744,-1)</f>
        <v>72.258064516129</v>
      </c>
      <c r="AY744" s="63" t="n">
        <f aca="false">IF(AND(OR(CG744="L1",CG744="L23",CG744="LIFT"),AT744&gt;0),SUMIFS($AT$7:$AT$1843,$CG$7:$CG$1843,CG744,$AX$7:$AX$1843,"&gt;"&amp;AX744)+SUMIFS($AT$7:$AT$1843,$CG$7:$CG$1843,CG744,$AX$7:$AX$1843,AX744,$BX$7:$BX$1843,"&lt;="&amp;BX744),"")</f>
        <v>1092.34203296703</v>
      </c>
      <c r="AZ744" s="70" t="n">
        <f aca="false">IF(AY744="",0,MAX(0,MIN(1,(IF(CG744="L1",Parameter!$H$5,IF(CG744="L23",Parameter!$H$6+Parameter!$H$7,Parameter!$H$5+Parameter!$H$6+Parameter!$H$7))-(AY744-AT744))/AT744)))</f>
        <v>1</v>
      </c>
      <c r="BA744" s="62" t="n">
        <f aca="false">IF(LEFT(Cockpit!$O$5,1)="A",H744,IF(Parameter!$E$30="MAX-Bestand",IF(CI744=1,CJ744,IF(LEFT(Cockpit!$O$5,1)="B",BG744,MAX(BG744,H744))),ROUNDUP(BE744,0)))</f>
        <v>44</v>
      </c>
      <c r="BB744" s="62" t="n">
        <f aca="false">IF(CA744=1,0,ROUNDUP(BA744/BZ744,0))</f>
        <v>1</v>
      </c>
      <c r="BC744" s="64" t="n">
        <f aca="false">IF(CR744&gt;0,CR744*MAX(1,BA744/X744),IF(CA744=1,IF(BA744&lt;=0,0,CE744*MAX(1,IF(H744&gt;0,BA744/H744,1))),IF(R744&gt;0,BB744/R744,0))/MAX(0.1,N(Parameter!$M$21)))</f>
        <v>0.00714285714285714</v>
      </c>
      <c r="BD744" s="62" t="n">
        <f aca="false">BC744*CC744</f>
        <v>1.10714285714286</v>
      </c>
      <c r="BE744" s="63" t="n">
        <f aca="false">IF(LEFT(Cockpit!$O$5,1)="A",H744,IF(CI744=1,(CL744+CJ744)/2,IF(LEFT(Cockpit!$O$5,1)="B",(CL744+BG744)/2,MAX((CL744+BG744)/2,H744))))</f>
        <v>44</v>
      </c>
      <c r="BF744" s="62" t="n">
        <f aca="false">BE744*G744</f>
        <v>74.8</v>
      </c>
      <c r="BG744" s="62" t="n">
        <f aca="false">ROUNDUP(CL744+MAX(CM744,2*(J744/IF(CH744&gt;0,CH744,MAX(0.1,N(Cockpit!$O$6)))-CL744)),0)</f>
        <v>84</v>
      </c>
      <c r="BH744" s="63" t="n">
        <f aca="false">IF(BD744&gt;0,J744/BD744,-1)</f>
        <v>72.258064516129</v>
      </c>
      <c r="BI744" s="63" t="n">
        <f aca="false">IF(AND(OR(CG744="L1",CG744="L23",CG744="LIFT"),BD744&gt;0),SUMIFS($BD$7:$BD$1843,$CG$7:$CG$1843,CG744,$BH$7:$BH$1843,"&gt;"&amp;BH744)+SUMIFS($BD$7:$BD$1843,$CG$7:$CG$1843,CG744,$BH$7:$BH$1843,BH744,$BX$7:$BX$1843,"&lt;="&amp;BX744),"")</f>
        <v>1011.03388278388</v>
      </c>
      <c r="BJ744" s="70" t="n">
        <f aca="false">IF(BI744="",0,MAX(0,MIN(1,(IF(CG744="L1",Parameter!$H$5,IF(CG744="L23",Parameter!$H$6+Parameter!$H$7,Parameter!$H$5+Parameter!$H$6+Parameter!$H$7))-(BI744-BD744))/BD744)))</f>
        <v>1</v>
      </c>
      <c r="BK744" s="60" t="str">
        <f aca="false">IF(AJ744&lt;=0,"",IF(CG744="Aussen","Aussenlager",IF(CG744="-","Nicht im Lift",IF(AP744&gt;=1,"Lift",IF(AP744&lt;=0,"Aussenlager","teilweise")))))</f>
        <v>Lift</v>
      </c>
      <c r="BL744" s="60" t="str">
        <f aca="false">IF(AT744&lt;=0,"",IF(CG744="Aussen","Aussenlager",IF(CG744="-","Nicht im Lift",IF(AZ744&gt;=1,"Lift",IF(AZ744&lt;=0,"Aussenlager","teilweise")))))</f>
        <v>Lift</v>
      </c>
      <c r="BM744" s="60" t="str">
        <f aca="false">IF(BD744&lt;=0,"",IF(CG744="Aussen","Aussenlager",IF(CG744="-","Nicht im Lift",IF(BJ744&gt;=1,"Lift",IF(BJ744&lt;=0,"Aussenlager","teilweise")))))</f>
        <v>Lift</v>
      </c>
      <c r="BN744" s="60" t="str">
        <f aca="false">IF(A744="","",IF(BW744=1,"Neu; ","")&amp;IF(AND(BW744=0,BR744&lt;0),"negativer Bestand (Export "&amp;BR744&amp;"); ","")&amp;IF(J744&lt;=0,"Kein Verbrauch; ","")&amp;IF(CR744&gt;0,"Lift "&amp;W744&amp;" lt. Liftbericht (Fach "&amp;X744&amp;" Stk); ",IF(CB744=1,"Gebinde geschätzt ("&amp;T744&amp;"); ",IF(CA744=1,"Lose – Tablare geschätzt; ","")))&amp;IF(H744&gt;AW744,"Überbestand "&amp;ROUND(H744-AW744,0)&amp;" Stk / CHF "&amp;ROUND((H744-AW744)*G744,0)&amp;"; ","")&amp;IF(AND(CI744=1,CJ744&lt;CK744),"MAX &lt; MB+LG; ","")&amp;IF(AND(CQ744&gt;0,CP744*10&gt;CQ744),"zu hoch für Tablar; ","")&amp;IF(AND(BW744=0,OR(CI744=1,AB744&lt;&gt;"",U744&lt;&gt;"",V744&lt;&gt;"",AC744&lt;&gt;"")),"manuell übersteuert; ","")&amp;IF(AND(CA744=0,R744=0),"Gebinde unbekannt / Stellmass fehlt; ","")&amp;IF(AND(CA744=0,N(V744)&lt;=0,N(Q744)&lt;=0),"Menge pro Gebinde fehlt (Ist = 1 Gebinde); ","")&amp;BV744)</f>
        <v/>
      </c>
      <c r="BO744" s="60"/>
      <c r="BP744" s="60"/>
      <c r="BQ744" s="67"/>
      <c r="BR744" s="62" t="n">
        <v>0</v>
      </c>
      <c r="BS744" s="62" t="n">
        <v>78</v>
      </c>
      <c r="BT744" s="61" t="n">
        <v>-2.1316282072803E-014</v>
      </c>
      <c r="BU744" s="62" t="n">
        <v>80</v>
      </c>
      <c r="BV744" s="60"/>
      <c r="BW744" s="65" t="n">
        <v>0</v>
      </c>
      <c r="BX744" s="65" t="n">
        <v>744</v>
      </c>
      <c r="BY744" s="60" t="str">
        <f aca="false">IF(U744&lt;&gt;"",UPPER(TRIM(U744)),IF(CB744=1,UPPER(VLOOKUP(T744,Parameter!$I$27:$K$29,2,0)),IF(P744="","LOSE",P744)))</f>
        <v>S22</v>
      </c>
      <c r="BZ744" s="62" t="n">
        <f aca="false">IF(BY744="LOSE",1,IF(N(V744)&gt;0,V744,IF(CB744=1,MAX(1,N(VLOOKUP(T744,Parameter!$I$27:$K$29,3,0)),H744,N(N744)),IF(N(Q744)&gt;0,Q744,MAX(1,H744)))))</f>
        <v>157</v>
      </c>
      <c r="CA744" s="65" t="n">
        <f aca="false">IF(BY744="LOSE",1,0)</f>
        <v>0</v>
      </c>
      <c r="CB744" s="65" t="n">
        <f aca="false">IF(AND(U744="",OR(P744="",P744="LOSE"),T744&lt;&gt;"",N(S744)&lt;=0,ISNUMBER(MATCH(T744,Parameter!$I$27:$I$29,0))),1,0)</f>
        <v>0</v>
      </c>
      <c r="CC744" s="65" t="n">
        <f aca="false">IF(CR744&gt;0,INDEX(Parameter!$H$5:$H$7,W744)/INDEX(Parameter!$E$5:$E$7,W744),IF(AND(CA744=0,N(IFERROR(VLOOKUP(BY744,'Gebinde-Kategorie'!$A$5:$N$45,14,0),0))&gt;0),VLOOKUP(BY744,'Gebinde-Kategorie'!$A$5:$N$45,14,0)*10+Parameter!$M$23,Parameter!$M$24))</f>
        <v>155</v>
      </c>
      <c r="CD744" s="60" t="str">
        <f aca="false">IF(AND(Parameter!$B$19="Ja",E744&lt;&gt;"",ISNUMBER(MATCH(E744,Parameter!$I$35:$I$52,0))),VLOOKUP(E744,Parameter!$I$35:$J$52,2,0),IFERROR(VLOOKUP(D744,Parameter!$A$35:$C$64,2,0),"Nein"))</f>
        <v>2+3</v>
      </c>
      <c r="CE744" s="64" t="n">
        <f aca="false">IF(CA744=0,0,IF(N(S744)&gt;0,S744,IFERROR(VLOOKUP(D744,Parameter!$A$35:$C$64,3,0)+0,0)))</f>
        <v>0</v>
      </c>
      <c r="CF744" s="60" t="n">
        <f aca="false">IF(AB744&lt;&gt;"",AB744,AA744)</f>
        <v>3</v>
      </c>
      <c r="CG744" s="60" t="str">
        <f aca="false">IF(OR(CF744=1,CF744=2,CF744=3),IF(Parameter!$E$27="Ja","LIFT",IF(CF744=1,"L1","L23")),IF(CF744="Aussen","Aussen","-"))</f>
        <v>LIFT</v>
      </c>
      <c r="CH744" s="71" t="n">
        <f aca="false">IF(N(AC744)&gt;0,AC744,0)</f>
        <v>0</v>
      </c>
      <c r="CI744" s="65" t="n">
        <f aca="false">IF(ISNUMBER(AF744),1,0)</f>
        <v>0</v>
      </c>
      <c r="CJ744" s="62" t="n">
        <f aca="false">N(AF744)</f>
        <v>0</v>
      </c>
      <c r="CK744" s="62" t="n">
        <f aca="false">N(M744)+N(N744)</f>
        <v>84</v>
      </c>
      <c r="CL744" s="62" t="n">
        <f aca="false">N(M744)</f>
        <v>4</v>
      </c>
      <c r="CM744" s="62" t="n">
        <f aca="false">N(N744)</f>
        <v>80</v>
      </c>
      <c r="CN744" s="62" t="n">
        <f aca="false">ROUNDUP(H744/BZ744,0)</f>
        <v>1</v>
      </c>
      <c r="CO744" s="62" t="n">
        <f aca="false">ROUNDUP(CJ744/BZ744,0)</f>
        <v>0</v>
      </c>
      <c r="CP744" s="65" t="n">
        <f aca="false">IF(CA744=1,0,IFERROR(VLOOKUP(BY744,'Gebinde-Kategorie'!$A$5:$N$45,5,0)+0,0))</f>
        <v>8</v>
      </c>
      <c r="CQ744" s="65" t="n">
        <f aca="false">IFERROR(IF(OR(CF744=1,CF744=2,CF744=3),N(INDEX(Parameter!$I$5:$I$7,CF744)),0),0)</f>
        <v>0</v>
      </c>
      <c r="CR744" s="64" t="n">
        <f aca="false">IF(AND(Parameter!$B$21="Ja",ISNUMBER(W744),N(X744)&gt;0),IFERROR(N(INDEX(Parameter!$L$5:$L$7,W744))*INDEX(Parameter!$E$5:$E$7,W744)*X744/SUMIFS($X$7:$X$1843,$W$7:$W$1843,W744),0),0)</f>
        <v>0</v>
      </c>
      <c r="CS744" s="62" t="n">
        <f aca="false">IF(AND(OR(CG744="L1",CG744="L23",CG744="LIFT"),H744&gt;0),CC744*IF(CR744&gt;0,CR744*MAX(1,H744/X744),IF(CA744=1,CE744,IF(R744&gt;0,CN744/R744,0))/MAX(0.1,N(Parameter!$M$21))),"")</f>
        <v>1.10714285714286</v>
      </c>
      <c r="CT744" s="64" t="n">
        <f aca="false">IF(CS744="","",J744/H744)</f>
        <v>1.02564102564103</v>
      </c>
      <c r="CU744" s="62" t="n">
        <f aca="false">IF(CS744="","",H744*G744)</f>
        <v>132.6</v>
      </c>
      <c r="CV744" s="63" t="n">
        <f aca="false">IF(CS744="","",(CL744+ROUNDUP(CL744+MAX(CM744,2*(J744/MAX(0.1,N(Einkauf!$C$6))-CL744)),0))/2)</f>
        <v>44</v>
      </c>
      <c r="CW744" s="62" t="n">
        <f aca="false">IF(CS744="","",MAX(0,H744-CV744)*G744)</f>
        <v>57.8</v>
      </c>
      <c r="CX744" s="62" t="n">
        <f aca="false">IF(CS744="","",CS744*MAX(0,1-CV744/H744))</f>
        <v>0.482600732600733</v>
      </c>
      <c r="CY744" s="64" t="n">
        <f aca="false">IF(CS744="","",PERCENTRANK($CS$7:$CS$1843,CS744)+PERCENTRANK($CU$7:$CU$1843,CU744)+1-PERCENTRANK($CT$7:$CT$1843,CT744))</f>
        <v>0.6604</v>
      </c>
      <c r="CZ744" s="72" t="n">
        <f aca="false">IF(CS744="","",CHOOSE(MATCH(Einkauf!$C$5,Parameter!$G$23:$G$27,0),CY744,CS744,CU744,-CT744,CW744)+ROW()/1000000000)</f>
        <v>0.660400744</v>
      </c>
    </row>
    <row r="745" customFormat="false" ht="15" hidden="false" customHeight="false" outlineLevel="0" collapsed="false">
      <c r="A745" s="60" t="s">
        <v>1518</v>
      </c>
      <c r="B745" s="60" t="s">
        <v>1425</v>
      </c>
      <c r="C745" s="60" t="s">
        <v>206</v>
      </c>
      <c r="D745" s="60" t="s">
        <v>215</v>
      </c>
      <c r="E745" s="60"/>
      <c r="F745" s="60" t="s">
        <v>260</v>
      </c>
      <c r="G745" s="61" t="n">
        <v>11075.32</v>
      </c>
      <c r="H745" s="62" t="n">
        <f aca="false">MAX(0,IF(AND(Parameter!$B$21="Ja",ISNUMBER(Y745)),Y745,IF(Parameter!$B$20="Jahresanfang 2025 + Export",BS745+BR745,BR745)))</f>
        <v>0</v>
      </c>
      <c r="I745" s="62" t="n">
        <f aca="false">H745*G745</f>
        <v>0</v>
      </c>
      <c r="J745" s="62" t="n">
        <f aca="false">BU745*Parameter!$B$18</f>
        <v>1</v>
      </c>
      <c r="K745" s="63" t="n">
        <v>0</v>
      </c>
      <c r="L745" s="64" t="n">
        <v>0</v>
      </c>
      <c r="M745" s="62" t="n">
        <v>0</v>
      </c>
      <c r="N745" s="62" t="n">
        <v>1</v>
      </c>
      <c r="O745" s="65" t="n">
        <v>170</v>
      </c>
      <c r="P745" s="60" t="s">
        <v>210</v>
      </c>
      <c r="Q745" s="62"/>
      <c r="R745" s="65" t="n">
        <f aca="false">IF(CA745=1,0,IFERROR(VLOOKUP(BY745,'Gebinde-Kategorie'!$A$5:$N$45,13,0)+0,0))</f>
        <v>4</v>
      </c>
      <c r="S745" s="66"/>
      <c r="T745" s="67" t="s">
        <v>231</v>
      </c>
      <c r="U745" s="67"/>
      <c r="V745" s="67"/>
      <c r="W745" s="60"/>
      <c r="X745" s="62"/>
      <c r="Y745" s="62"/>
      <c r="Z745" s="60" t="n">
        <v>2</v>
      </c>
      <c r="AA745" s="60" t="n">
        <f aca="false">IF(A745="","",IF(AND(Parameter!$B$21="Ja",ISNUMBER(W745)),W745,IF(AND(Parameter!$E$27="Ja",ISNUMBER(Z745),CD745&lt;&gt;"Nein"),Z745,IF(CD745="2+3",IF(ISNUMBER(SEARCH("grosser Artikel",BV745)),2,IFERROR(VLOOKUP(BY745,Parameter!$F$35:$G$64,2,0),2)),IF(OR(CD745="Nein",CD745=""),"-",CD745)))))</f>
        <v>2</v>
      </c>
      <c r="AB745" s="67"/>
      <c r="AC745" s="68"/>
      <c r="AD745" s="62" t="n">
        <f aca="false">AW745</f>
        <v>1</v>
      </c>
      <c r="AE745" s="62" t="n">
        <f aca="false">MAX(AW745,H745)</f>
        <v>1</v>
      </c>
      <c r="AF745" s="69"/>
      <c r="AG745" s="62" t="n">
        <f aca="false">IF(LEFT(Cockpit!$C$5,1)="A",H745,IF(Parameter!$E$30="MAX-Bestand",IF(CI745=1,CJ745,IF(LEFT(Cockpit!$C$5,1)="B",AM745,MAX(AM745,H745))),ROUNDUP(AK745,0)))</f>
        <v>0</v>
      </c>
      <c r="AH745" s="62" t="n">
        <f aca="false">IF(CA745=1,0,ROUNDUP(AG745/BZ745,0))</f>
        <v>0</v>
      </c>
      <c r="AI745" s="64" t="n">
        <f aca="false">IF(CR745&gt;0,CR745*MAX(1,AG745/X745),IF(CA745=1,IF(AG745&lt;=0,0,CE745*MAX(1,IF(H745&gt;0,AG745/H745,1))),IF(R745&gt;0,AH745/R745,0))/MAX(0.1,N(Parameter!$M$21)))</f>
        <v>0</v>
      </c>
      <c r="AJ745" s="62" t="n">
        <f aca="false">AI745*CC745</f>
        <v>0</v>
      </c>
      <c r="AK745" s="63" t="n">
        <f aca="false">IF(LEFT(Cockpit!$C$5,1)="A",H745,IF(CI745=1,(CL745+CJ745)/2,IF(LEFT(Cockpit!$C$5,1)="B",(CL745+AM745)/2,MAX((CL745+AM745)/2,H745))))</f>
        <v>0</v>
      </c>
      <c r="AL745" s="62" t="n">
        <f aca="false">AK745*G745</f>
        <v>0</v>
      </c>
      <c r="AM745" s="62" t="n">
        <f aca="false">ROUNDUP(CL745+MAX(CM745,2*(J745/IF(CH745&gt;0,CH745,MAX(0.1,N(Cockpit!$C$6)))-CL745)),0)</f>
        <v>1</v>
      </c>
      <c r="AN745" s="63" t="n">
        <f aca="false">IF(AJ745&gt;0,J745/AJ745,-1)</f>
        <v>-1</v>
      </c>
      <c r="AO745" s="63" t="str">
        <f aca="false">IF(AND(OR(CG745="L1",CG745="L23",CG745="LIFT"),AJ745&gt;0),SUMIFS($AJ$7:$AJ$1843,$CG$7:$CG$1843,CG745,$AN$7:$AN$1843,"&gt;"&amp;AN745)+SUMIFS($AJ$7:$AJ$1843,$CG$7:$CG$1843,CG745,$AN$7:$AN$1843,AN745,$BX$7:$BX$1843,"&lt;="&amp;BX745),"")</f>
        <v/>
      </c>
      <c r="AP745" s="70" t="n">
        <f aca="false">IF(AO745="",0,MAX(0,MIN(1,(IF(CG745="L1",Parameter!$H$5,IF(CG745="L23",Parameter!$H$6+Parameter!$H$7,Parameter!$H$5+Parameter!$H$6+Parameter!$H$7))-(AO745-AJ745))/AJ745)))</f>
        <v>0</v>
      </c>
      <c r="AQ745" s="62" t="n">
        <f aca="false">IF(LEFT(Cockpit!$I$5,1)="A",H745,IF(Parameter!$E$30="MAX-Bestand",IF(CI745=1,CJ745,IF(LEFT(Cockpit!$I$5,1)="B",AW745,MAX(AW745,H745))),ROUNDUP(AU745,0)))</f>
        <v>1</v>
      </c>
      <c r="AR745" s="62" t="n">
        <f aca="false">IF(CA745=1,0,ROUNDUP(AQ745/BZ745,0))</f>
        <v>1</v>
      </c>
      <c r="AS745" s="64" t="n">
        <f aca="false">IF(CR745&gt;0,CR745*MAX(1,AQ745/X745),IF(CA745=1,IF(AQ745&lt;=0,0,CE745*MAX(1,IF(H745&gt;0,AQ745/H745,1))),IF(R745&gt;0,AR745/R745,0))/MAX(0.1,N(Parameter!$M$21)))</f>
        <v>0.25</v>
      </c>
      <c r="AT745" s="62" t="n">
        <f aca="false">AS745*CC745</f>
        <v>58.75</v>
      </c>
      <c r="AU745" s="63" t="n">
        <f aca="false">IF(LEFT(Cockpit!$I$5,1)="A",H745,IF(CI745=1,(CL745+CJ745)/2,IF(LEFT(Cockpit!$I$5,1)="B",(CL745+AW745)/2,MAX((CL745+AW745)/2,H745))))</f>
        <v>0.5</v>
      </c>
      <c r="AV745" s="62" t="n">
        <f aca="false">AU745*G745</f>
        <v>5537.66</v>
      </c>
      <c r="AW745" s="62" t="n">
        <f aca="false">ROUNDUP(CL745+MAX(CM745,2*(J745/IF(CH745&gt;0,CH745,MAX(0.1,N(Cockpit!$I$6)))-CL745)),0)</f>
        <v>1</v>
      </c>
      <c r="AX745" s="63" t="n">
        <f aca="false">IF(AT745&gt;0,J745/AT745,-1)</f>
        <v>0.0170212765957447</v>
      </c>
      <c r="AY745" s="63" t="n">
        <f aca="false">IF(AND(OR(CG745="L1",CG745="L23",CG745="LIFT"),AT745&gt;0),SUMIFS($AT$7:$AT$1843,$CG$7:$CG$1843,CG745,$AX$7:$AX$1843,"&gt;"&amp;AX745)+SUMIFS($AT$7:$AT$1843,$CG$7:$CG$1843,CG745,$AX$7:$AX$1843,AX745,$BX$7:$BX$1843,"&lt;="&amp;BX745),"")</f>
        <v>28999.0695272242</v>
      </c>
      <c r="AZ745" s="70" t="n">
        <f aca="false">IF(AY745="",0,MAX(0,MIN(1,(IF(CG745="L1",Parameter!$H$5,IF(CG745="L23",Parameter!$H$6+Parameter!$H$7,Parameter!$H$5+Parameter!$H$6+Parameter!$H$7))-(AY745-AT745))/AT745)))</f>
        <v>1</v>
      </c>
      <c r="BA745" s="62" t="n">
        <f aca="false">IF(LEFT(Cockpit!$O$5,1)="A",H745,IF(Parameter!$E$30="MAX-Bestand",IF(CI745=1,CJ745,IF(LEFT(Cockpit!$O$5,1)="B",BG745,MAX(BG745,H745))),ROUNDUP(BE745,0)))</f>
        <v>1</v>
      </c>
      <c r="BB745" s="62" t="n">
        <f aca="false">IF(CA745=1,0,ROUNDUP(BA745/BZ745,0))</f>
        <v>1</v>
      </c>
      <c r="BC745" s="64" t="n">
        <f aca="false">IF(CR745&gt;0,CR745*MAX(1,BA745/X745),IF(CA745=1,IF(BA745&lt;=0,0,CE745*MAX(1,IF(H745&gt;0,BA745/H745,1))),IF(R745&gt;0,BB745/R745,0))/MAX(0.1,N(Parameter!$M$21)))</f>
        <v>0.25</v>
      </c>
      <c r="BD745" s="62" t="n">
        <f aca="false">BC745*CC745</f>
        <v>58.75</v>
      </c>
      <c r="BE745" s="63" t="n">
        <f aca="false">IF(LEFT(Cockpit!$O$5,1)="A",H745,IF(CI745=1,(CL745+CJ745)/2,IF(LEFT(Cockpit!$O$5,1)="B",(CL745+BG745)/2,MAX((CL745+BG745)/2,H745))))</f>
        <v>0.5</v>
      </c>
      <c r="BF745" s="62" t="n">
        <f aca="false">BE745*G745</f>
        <v>5537.66</v>
      </c>
      <c r="BG745" s="62" t="n">
        <f aca="false">ROUNDUP(CL745+MAX(CM745,2*(J745/IF(CH745&gt;0,CH745,MAX(0.1,N(Cockpit!$O$6)))-CL745)),0)</f>
        <v>1</v>
      </c>
      <c r="BH745" s="63" t="n">
        <f aca="false">IF(BD745&gt;0,J745/BD745,-1)</f>
        <v>0.0170212765957447</v>
      </c>
      <c r="BI745" s="63" t="n">
        <f aca="false">IF(AND(OR(CG745="L1",CG745="L23",CG745="LIFT"),BD745&gt;0),SUMIFS($BD$7:$BD$1843,$CG$7:$CG$1843,CG745,$BH$7:$BH$1843,"&gt;"&amp;BH745)+SUMIFS($BD$7:$BD$1843,$CG$7:$CG$1843,CG745,$BH$7:$BH$1843,BH745,$BX$7:$BX$1843,"&lt;="&amp;BX745),"")</f>
        <v>24544.8180371888</v>
      </c>
      <c r="BJ745" s="70" t="n">
        <f aca="false">IF(BI745="",0,MAX(0,MIN(1,(IF(CG745="L1",Parameter!$H$5,IF(CG745="L23",Parameter!$H$6+Parameter!$H$7,Parameter!$H$5+Parameter!$H$6+Parameter!$H$7))-(BI745-BD745))/BD745)))</f>
        <v>1</v>
      </c>
      <c r="BK745" s="60" t="str">
        <f aca="false">IF(AJ745&lt;=0,"",IF(CG745="Aussen","Aussenlager",IF(CG745="-","Nicht im Lift",IF(AP745&gt;=1,"Lift",IF(AP745&lt;=0,"Aussenlager","teilweise")))))</f>
        <v/>
      </c>
      <c r="BL745" s="60" t="str">
        <f aca="false">IF(AT745&lt;=0,"",IF(CG745="Aussen","Aussenlager",IF(CG745="-","Nicht im Lift",IF(AZ745&gt;=1,"Lift",IF(AZ745&lt;=0,"Aussenlager","teilweise")))))</f>
        <v>Lift</v>
      </c>
      <c r="BM745" s="60" t="str">
        <f aca="false">IF(BD745&lt;=0,"",IF(CG745="Aussen","Aussenlager",IF(CG745="-","Nicht im Lift",IF(BJ745&gt;=1,"Lift",IF(BJ745&lt;=0,"Aussenlager","teilweise")))))</f>
        <v>Lift</v>
      </c>
      <c r="BN745" s="60" t="str">
        <f aca="false">IF(A745="","",IF(BW745=1,"Neu; ","")&amp;IF(AND(BW745=0,BR745&lt;0),"negativer Bestand (Export "&amp;BR745&amp;"); ","")&amp;IF(J745&lt;=0,"Kein Verbrauch; ","")&amp;IF(CR745&gt;0,"Lift "&amp;W745&amp;" lt. Liftbericht (Fach "&amp;X745&amp;" Stk); ",IF(CB745=1,"Gebinde geschätzt ("&amp;T745&amp;"); ",IF(CA745=1,"Lose – Tablare geschätzt; ","")))&amp;IF(H745&gt;AW745,"Überbestand "&amp;ROUND(H745-AW745,0)&amp;" Stk / CHF "&amp;ROUND((H745-AW745)*G745,0)&amp;"; ","")&amp;IF(AND(CI745=1,CJ745&lt;CK745),"MAX &lt; MB+LG; ","")&amp;IF(AND(CQ745&gt;0,CP745*10&gt;CQ745),"zu hoch für Tablar; ","")&amp;IF(AND(BW745=0,OR(CI745=1,AB745&lt;&gt;"",U745&lt;&gt;"",V745&lt;&gt;"",AC745&lt;&gt;"")),"manuell übersteuert; ","")&amp;IF(AND(CA745=0,R745=0),"Gebinde unbekannt / Stellmass fehlt; ","")&amp;IF(AND(CA745=0,N(V745)&lt;=0,N(Q745)&lt;=0),"Menge pro Gebinde fehlt (Ist = 1 Gebinde); ","")&amp;BV745)</f>
        <v>Gebinde geschätzt (Gross); Menge pro Gebinde fehlt (Ist = 1 Gebinde); </v>
      </c>
      <c r="BO745" s="60"/>
      <c r="BP745" s="60"/>
      <c r="BQ745" s="67"/>
      <c r="BR745" s="62" t="n">
        <v>0</v>
      </c>
      <c r="BS745" s="62" t="n">
        <v>0</v>
      </c>
      <c r="BT745" s="61" t="n">
        <v>-1.70530256582424E-013</v>
      </c>
      <c r="BU745" s="62" t="n">
        <v>1</v>
      </c>
      <c r="BV745" s="60"/>
      <c r="BW745" s="65" t="n">
        <v>0</v>
      </c>
      <c r="BX745" s="65" t="n">
        <v>745</v>
      </c>
      <c r="BY745" s="60" t="str">
        <f aca="false">IF(U745&lt;&gt;"",UPPER(TRIM(U745)),IF(CB745=1,UPPER(VLOOKUP(T745,Parameter!$I$27:$K$29,2,0)),IF(P745="","LOSE",P745)))</f>
        <v>S81</v>
      </c>
      <c r="BZ745" s="62" t="n">
        <f aca="false">IF(BY745="LOSE",1,IF(N(V745)&gt;0,V745,IF(CB745=1,MAX(1,N(VLOOKUP(T745,Parameter!$I$27:$K$29,3,0)),H745,N(N745)),IF(N(Q745)&gt;0,Q745,MAX(1,H745)))))</f>
        <v>2</v>
      </c>
      <c r="CA745" s="65" t="n">
        <f aca="false">IF(BY745="LOSE",1,0)</f>
        <v>0</v>
      </c>
      <c r="CB745" s="65" t="n">
        <f aca="false">IF(AND(U745="",OR(P745="",P745="LOSE"),T745&lt;&gt;"",N(S745)&lt;=0,ISNUMBER(MATCH(T745,Parameter!$I$27:$I$29,0))),1,0)</f>
        <v>1</v>
      </c>
      <c r="CC745" s="65" t="n">
        <f aca="false">IF(CR745&gt;0,INDEX(Parameter!$H$5:$H$7,W745)/INDEX(Parameter!$E$5:$E$7,W745),IF(AND(CA745=0,N(IFERROR(VLOOKUP(BY745,'Gebinde-Kategorie'!$A$5:$N$45,14,0),0))&gt;0),VLOOKUP(BY745,'Gebinde-Kategorie'!$A$5:$N$45,14,0)*10+Parameter!$M$23,Parameter!$M$24))</f>
        <v>235</v>
      </c>
      <c r="CD745" s="60" t="str">
        <f aca="false">IF(AND(Parameter!$B$19="Ja",E745&lt;&gt;"",ISNUMBER(MATCH(E745,Parameter!$I$35:$I$52,0))),VLOOKUP(E745,Parameter!$I$35:$J$52,2,0),IFERROR(VLOOKUP(D745,Parameter!$A$35:$C$64,2,0),"Nein"))</f>
        <v>2+3</v>
      </c>
      <c r="CE745" s="64" t="n">
        <f aca="false">IF(CA745=0,0,IF(N(S745)&gt;0,S745,IFERROR(VLOOKUP(D745,Parameter!$A$35:$C$64,3,0)+0,0)))</f>
        <v>0</v>
      </c>
      <c r="CF745" s="60" t="n">
        <f aca="false">IF(AB745&lt;&gt;"",AB745,AA745)</f>
        <v>2</v>
      </c>
      <c r="CG745" s="60" t="str">
        <f aca="false">IF(OR(CF745=1,CF745=2,CF745=3),IF(Parameter!$E$27="Ja","LIFT",IF(CF745=1,"L1","L23")),IF(CF745="Aussen","Aussen","-"))</f>
        <v>LIFT</v>
      </c>
      <c r="CH745" s="71" t="n">
        <f aca="false">IF(N(AC745)&gt;0,AC745,0)</f>
        <v>0</v>
      </c>
      <c r="CI745" s="65" t="n">
        <f aca="false">IF(ISNUMBER(AF745),1,0)</f>
        <v>0</v>
      </c>
      <c r="CJ745" s="62" t="n">
        <f aca="false">N(AF745)</f>
        <v>0</v>
      </c>
      <c r="CK745" s="62" t="n">
        <f aca="false">N(M745)+N(N745)</f>
        <v>1</v>
      </c>
      <c r="CL745" s="62" t="n">
        <f aca="false">N(M745)</f>
        <v>0</v>
      </c>
      <c r="CM745" s="62" t="n">
        <f aca="false">N(N745)</f>
        <v>1</v>
      </c>
      <c r="CN745" s="62" t="n">
        <f aca="false">ROUNDUP(H745/BZ745,0)</f>
        <v>0</v>
      </c>
      <c r="CO745" s="62" t="n">
        <f aca="false">ROUNDUP(CJ745/BZ745,0)</f>
        <v>0</v>
      </c>
      <c r="CP745" s="65" t="n">
        <f aca="false">IF(CA745=1,0,IFERROR(VLOOKUP(BY745,'Gebinde-Kategorie'!$A$5:$N$45,5,0)+0,0))</f>
        <v>20</v>
      </c>
      <c r="CQ745" s="65" t="n">
        <f aca="false">IFERROR(IF(OR(CF745=1,CF745=2,CF745=3),N(INDEX(Parameter!$I$5:$I$7,CF745)),0),0)</f>
        <v>0</v>
      </c>
      <c r="CR745" s="64" t="n">
        <f aca="false">IF(AND(Parameter!$B$21="Ja",ISNUMBER(W745),N(X745)&gt;0),IFERROR(N(INDEX(Parameter!$L$5:$L$7,W745))*INDEX(Parameter!$E$5:$E$7,W745)*X745/SUMIFS($X$7:$X$1843,$W$7:$W$1843,W745),0),0)</f>
        <v>0</v>
      </c>
      <c r="CS745" s="62" t="str">
        <f aca="false">IF(AND(OR(CG745="L1",CG745="L23",CG745="LIFT"),H745&gt;0),CC745*IF(CR745&gt;0,CR745*MAX(1,H745/X745),IF(CA745=1,CE745,IF(R745&gt;0,CN745/R745,0))/MAX(0.1,N(Parameter!$M$21))),"")</f>
        <v/>
      </c>
      <c r="CT745" s="64" t="str">
        <f aca="false">IF(CS745="","",J745/H745)</f>
        <v/>
      </c>
      <c r="CU745" s="62" t="str">
        <f aca="false">IF(CS745="","",H745*G745)</f>
        <v/>
      </c>
      <c r="CV745" s="63" t="str">
        <f aca="false">IF(CS745="","",(CL745+ROUNDUP(CL745+MAX(CM745,2*(J745/MAX(0.1,N(Einkauf!$C$6))-CL745)),0))/2)</f>
        <v/>
      </c>
      <c r="CW745" s="62" t="str">
        <f aca="false">IF(CS745="","",MAX(0,H745-CV745)*G745)</f>
        <v/>
      </c>
      <c r="CX745" s="62" t="str">
        <f aca="false">IF(CS745="","",CS745*MAX(0,1-CV745/H745))</f>
        <v/>
      </c>
      <c r="CY745" s="64" t="str">
        <f aca="false">IF(CS745="","",PERCENTRANK($CS$7:$CS$1843,CS745)+PERCENTRANK($CU$7:$CU$1843,CU745)+1-PERCENTRANK($CT$7:$CT$1843,CT745))</f>
        <v/>
      </c>
      <c r="CZ745" s="72" t="str">
        <f aca="false">IF(CS745="","",CHOOSE(MATCH(Einkauf!$C$5,Parameter!$G$23:$G$27,0),CY745,CS745,CU745,-CT745,CW745)+ROW()/1000000000)</f>
        <v/>
      </c>
    </row>
    <row r="746" customFormat="false" ht="15" hidden="false" customHeight="false" outlineLevel="0" collapsed="false">
      <c r="A746" s="60" t="s">
        <v>1519</v>
      </c>
      <c r="B746" s="60" t="s">
        <v>1520</v>
      </c>
      <c r="C746" s="60" t="s">
        <v>209</v>
      </c>
      <c r="D746" s="60" t="s">
        <v>1430</v>
      </c>
      <c r="E746" s="60" t="s">
        <v>1521</v>
      </c>
      <c r="F746" s="60" t="s">
        <v>260</v>
      </c>
      <c r="G746" s="61" t="n">
        <v>2567.23</v>
      </c>
      <c r="H746" s="62" t="n">
        <f aca="false">MAX(0,IF(AND(Parameter!$B$21="Ja",ISNUMBER(Y746)),Y746,IF(Parameter!$B$20="Jahresanfang 2025 + Export",BS746+BR746,BR746)))</f>
        <v>0</v>
      </c>
      <c r="I746" s="62" t="n">
        <f aca="false">H746*G746</f>
        <v>0</v>
      </c>
      <c r="J746" s="62" t="n">
        <f aca="false">BU746*Parameter!$B$18</f>
        <v>44</v>
      </c>
      <c r="K746" s="63" t="n">
        <v>0</v>
      </c>
      <c r="L746" s="64" t="n">
        <v>0</v>
      </c>
      <c r="M746" s="62" t="n">
        <v>0</v>
      </c>
      <c r="N746" s="62" t="n">
        <v>1</v>
      </c>
      <c r="O746" s="65" t="n">
        <v>7</v>
      </c>
      <c r="P746" s="60" t="s">
        <v>210</v>
      </c>
      <c r="Q746" s="62"/>
      <c r="R746" s="65" t="n">
        <f aca="false">IF(CA746=1,0,IFERROR(VLOOKUP(BY746,'Gebinde-Kategorie'!$A$5:$N$45,13,0)+0,0))</f>
        <v>0</v>
      </c>
      <c r="S746" s="66"/>
      <c r="T746" s="67"/>
      <c r="U746" s="67"/>
      <c r="V746" s="67"/>
      <c r="W746" s="60"/>
      <c r="X746" s="62"/>
      <c r="Y746" s="62"/>
      <c r="Z746" s="60"/>
      <c r="AA746" s="60" t="str">
        <f aca="false">IF(A746="","",IF(AND(Parameter!$B$21="Ja",ISNUMBER(W746)),W746,IF(AND(Parameter!$E$27="Ja",ISNUMBER(Z746),CD746&lt;&gt;"Nein"),Z746,IF(CD746="2+3",IF(ISNUMBER(SEARCH("grosser Artikel",BV746)),2,IFERROR(VLOOKUP(BY746,Parameter!$F$35:$G$64,2,0),2)),IF(OR(CD746="Nein",CD746=""),"-",CD746)))))</f>
        <v>-</v>
      </c>
      <c r="AB746" s="67"/>
      <c r="AC746" s="68"/>
      <c r="AD746" s="62" t="n">
        <f aca="false">AW746</f>
        <v>30</v>
      </c>
      <c r="AE746" s="62" t="n">
        <f aca="false">MAX(AW746,H746)</f>
        <v>30</v>
      </c>
      <c r="AF746" s="69"/>
      <c r="AG746" s="62" t="n">
        <f aca="false">IF(LEFT(Cockpit!$C$5,1)="A",H746,IF(Parameter!$E$30="MAX-Bestand",IF(CI746=1,CJ746,IF(LEFT(Cockpit!$C$5,1)="B",AM746,MAX(AM746,H746))),ROUNDUP(AK746,0)))</f>
        <v>0</v>
      </c>
      <c r="AH746" s="62" t="n">
        <f aca="false">IF(CA746=1,0,ROUNDUP(AG746/BZ746,0))</f>
        <v>0</v>
      </c>
      <c r="AI746" s="64" t="n">
        <f aca="false">IF(CR746&gt;0,CR746*MAX(1,AG746/X746),IF(CA746=1,IF(AG746&lt;=0,0,CE746*MAX(1,IF(H746&gt;0,AG746/H746,1))),IF(R746&gt;0,AH746/R746,0))/MAX(0.1,N(Parameter!$M$21)))</f>
        <v>0</v>
      </c>
      <c r="AJ746" s="62" t="n">
        <f aca="false">AI746*CC746</f>
        <v>0</v>
      </c>
      <c r="AK746" s="63" t="n">
        <f aca="false">IF(LEFT(Cockpit!$C$5,1)="A",H746,IF(CI746=1,(CL746+CJ746)/2,IF(LEFT(Cockpit!$C$5,1)="B",(CL746+AM746)/2,MAX((CL746+AM746)/2,H746))))</f>
        <v>0</v>
      </c>
      <c r="AL746" s="62" t="n">
        <f aca="false">AK746*G746</f>
        <v>0</v>
      </c>
      <c r="AM746" s="62" t="n">
        <f aca="false">ROUNDUP(CL746+MAX(CM746,2*(J746/IF(CH746&gt;0,CH746,MAX(0.1,N(Cockpit!$C$6)))-CL746)),0)</f>
        <v>30</v>
      </c>
      <c r="AN746" s="63" t="n">
        <f aca="false">IF(AJ746&gt;0,J746/AJ746,-1)</f>
        <v>-1</v>
      </c>
      <c r="AO746" s="63" t="str">
        <f aca="false">IF(AND(OR(CG746="L1",CG746="L23",CG746="LIFT"),AJ746&gt;0),SUMIFS($AJ$7:$AJ$1843,$CG$7:$CG$1843,CG746,$AN$7:$AN$1843,"&gt;"&amp;AN746)+SUMIFS($AJ$7:$AJ$1843,$CG$7:$CG$1843,CG746,$AN$7:$AN$1843,AN746,$BX$7:$BX$1843,"&lt;="&amp;BX746),"")</f>
        <v/>
      </c>
      <c r="AP746" s="70" t="n">
        <f aca="false">IF(AO746="",0,MAX(0,MIN(1,(IF(CG746="L1",Parameter!$H$5,IF(CG746="L23",Parameter!$H$6+Parameter!$H$7,Parameter!$H$5+Parameter!$H$6+Parameter!$H$7))-(AO746-AJ746))/AJ746)))</f>
        <v>0</v>
      </c>
      <c r="AQ746" s="62" t="n">
        <f aca="false">IF(LEFT(Cockpit!$I$5,1)="A",H746,IF(Parameter!$E$30="MAX-Bestand",IF(CI746=1,CJ746,IF(LEFT(Cockpit!$I$5,1)="B",AW746,MAX(AW746,H746))),ROUNDUP(AU746,0)))</f>
        <v>15</v>
      </c>
      <c r="AR746" s="62" t="n">
        <f aca="false">IF(CA746=1,0,ROUNDUP(AQ746/BZ746,0))</f>
        <v>0</v>
      </c>
      <c r="AS746" s="64" t="n">
        <f aca="false">IF(CR746&gt;0,CR746*MAX(1,AQ746/X746),IF(CA746=1,IF(AQ746&lt;=0,0,CE746*MAX(1,IF(H746&gt;0,AQ746/H746,1))),IF(R746&gt;0,AR746/R746,0))/MAX(0.1,N(Parameter!$M$21)))</f>
        <v>0.15</v>
      </c>
      <c r="AT746" s="62" t="n">
        <f aca="false">AS746*CC746</f>
        <v>35.25</v>
      </c>
      <c r="AU746" s="63" t="n">
        <f aca="false">IF(LEFT(Cockpit!$I$5,1)="A",H746,IF(CI746=1,(CL746+CJ746)/2,IF(LEFT(Cockpit!$I$5,1)="B",(CL746+AW746)/2,MAX((CL746+AW746)/2,H746))))</f>
        <v>15</v>
      </c>
      <c r="AV746" s="62" t="n">
        <f aca="false">AU746*G746</f>
        <v>38508.45</v>
      </c>
      <c r="AW746" s="62" t="n">
        <f aca="false">ROUNDUP(CL746+MAX(CM746,2*(J746/IF(CH746&gt;0,CH746,MAX(0.1,N(Cockpit!$I$6)))-CL746)),0)</f>
        <v>30</v>
      </c>
      <c r="AX746" s="63" t="n">
        <f aca="false">IF(AT746&gt;0,J746/AT746,-1)</f>
        <v>1.24822695035461</v>
      </c>
      <c r="AY746" s="63" t="str">
        <f aca="false">IF(AND(OR(CG746="L1",CG746="L23",CG746="LIFT"),AT746&gt;0),SUMIFS($AT$7:$AT$1843,$CG$7:$CG$1843,CG746,$AX$7:$AX$1843,"&gt;"&amp;AX746)+SUMIFS($AT$7:$AT$1843,$CG$7:$CG$1843,CG746,$AX$7:$AX$1843,AX746,$BX$7:$BX$1843,"&lt;="&amp;BX746),"")</f>
        <v/>
      </c>
      <c r="AZ746" s="70" t="n">
        <f aca="false">IF(AY746="",0,MAX(0,MIN(1,(IF(CG746="L1",Parameter!$H$5,IF(CG746="L23",Parameter!$H$6+Parameter!$H$7,Parameter!$H$5+Parameter!$H$6+Parameter!$H$7))-(AY746-AT746))/AT746)))</f>
        <v>0</v>
      </c>
      <c r="BA746" s="62" t="n">
        <f aca="false">IF(LEFT(Cockpit!$O$5,1)="A",H746,IF(Parameter!$E$30="MAX-Bestand",IF(CI746=1,CJ746,IF(LEFT(Cockpit!$O$5,1)="B",BG746,MAX(BG746,H746))),ROUNDUP(BE746,0)))</f>
        <v>11</v>
      </c>
      <c r="BB746" s="62" t="n">
        <f aca="false">IF(CA746=1,0,ROUNDUP(BA746/BZ746,0))</f>
        <v>0</v>
      </c>
      <c r="BC746" s="64" t="n">
        <f aca="false">IF(CR746&gt;0,CR746*MAX(1,BA746/X746),IF(CA746=1,IF(BA746&lt;=0,0,CE746*MAX(1,IF(H746&gt;0,BA746/H746,1))),IF(R746&gt;0,BB746/R746,0))/MAX(0.1,N(Parameter!$M$21)))</f>
        <v>0.15</v>
      </c>
      <c r="BD746" s="62" t="n">
        <f aca="false">BC746*CC746</f>
        <v>35.25</v>
      </c>
      <c r="BE746" s="63" t="n">
        <f aca="false">IF(LEFT(Cockpit!$O$5,1)="A",H746,IF(CI746=1,(CL746+CJ746)/2,IF(LEFT(Cockpit!$O$5,1)="B",(CL746+BG746)/2,MAX((CL746+BG746)/2,H746))))</f>
        <v>11</v>
      </c>
      <c r="BF746" s="62" t="n">
        <f aca="false">BE746*G746</f>
        <v>28239.53</v>
      </c>
      <c r="BG746" s="62" t="n">
        <f aca="false">ROUNDUP(CL746+MAX(CM746,2*(J746/IF(CH746&gt;0,CH746,MAX(0.1,N(Cockpit!$O$6)))-CL746)),0)</f>
        <v>22</v>
      </c>
      <c r="BH746" s="63" t="n">
        <f aca="false">IF(BD746&gt;0,J746/BD746,-1)</f>
        <v>1.24822695035461</v>
      </c>
      <c r="BI746" s="63" t="str">
        <f aca="false">IF(AND(OR(CG746="L1",CG746="L23",CG746="LIFT"),BD746&gt;0),SUMIFS($BD$7:$BD$1843,$CG$7:$CG$1843,CG746,$BH$7:$BH$1843,"&gt;"&amp;BH746)+SUMIFS($BD$7:$BD$1843,$CG$7:$CG$1843,CG746,$BH$7:$BH$1843,BH746,$BX$7:$BX$1843,"&lt;="&amp;BX746),"")</f>
        <v/>
      </c>
      <c r="BJ746" s="70" t="n">
        <f aca="false">IF(BI746="",0,MAX(0,MIN(1,(IF(CG746="L1",Parameter!$H$5,IF(CG746="L23",Parameter!$H$6+Parameter!$H$7,Parameter!$H$5+Parameter!$H$6+Parameter!$H$7))-(BI746-BD746))/BD746)))</f>
        <v>0</v>
      </c>
      <c r="BK746" s="60" t="str">
        <f aca="false">IF(AJ746&lt;=0,"",IF(CG746="Aussen","Aussenlager",IF(CG746="-","Nicht im Lift",IF(AP746&gt;=1,"Lift",IF(AP746&lt;=0,"Aussenlager","teilweise")))))</f>
        <v/>
      </c>
      <c r="BL746" s="60" t="str">
        <f aca="false">IF(AT746&lt;=0,"",IF(CG746="Aussen","Aussenlager",IF(CG746="-","Nicht im Lift",IF(AZ746&gt;=1,"Lift",IF(AZ746&lt;=0,"Aussenlager","teilweise")))))</f>
        <v>Nicht im Lift</v>
      </c>
      <c r="BM746" s="60" t="str">
        <f aca="false">IF(BD746&lt;=0,"",IF(CG746="Aussen","Aussenlager",IF(CG746="-","Nicht im Lift",IF(BJ746&gt;=1,"Lift",IF(BJ746&lt;=0,"Aussenlager","teilweise")))))</f>
        <v>Nicht im Lift</v>
      </c>
      <c r="BN746" s="60" t="str">
        <f aca="false">IF(A746="","",IF(BW746=1,"Neu; ","")&amp;IF(AND(BW746=0,BR746&lt;0),"negativer Bestand (Export "&amp;BR746&amp;"); ","")&amp;IF(J746&lt;=0,"Kein Verbrauch; ","")&amp;IF(CR746&gt;0,"Lift "&amp;W746&amp;" lt. Liftbericht (Fach "&amp;X746&amp;" Stk); ",IF(CB746=1,"Gebinde geschätzt ("&amp;T746&amp;"); ",IF(CA746=1,"Lose – Tablare geschätzt; ","")))&amp;IF(H746&gt;AW746,"Überbestand "&amp;ROUND(H746-AW746,0)&amp;" Stk / CHF "&amp;ROUND((H746-AW746)*G746,0)&amp;"; ","")&amp;IF(AND(CI746=1,CJ746&lt;CK746),"MAX &lt; MB+LG; ","")&amp;IF(AND(CQ746&gt;0,CP746*10&gt;CQ746),"zu hoch für Tablar; ","")&amp;IF(AND(BW746=0,OR(CI746=1,AB746&lt;&gt;"",U746&lt;&gt;"",V746&lt;&gt;"",AC746&lt;&gt;"")),"manuell übersteuert; ","")&amp;IF(AND(CA746=0,R746=0),"Gebinde unbekannt / Stellmass fehlt; ","")&amp;IF(AND(CA746=0,N(V746)&lt;=0,N(Q746)&lt;=0),"Menge pro Gebinde fehlt (Ist = 1 Gebinde); ","")&amp;BV746)</f>
        <v>Lose – Tablare geschätzt; </v>
      </c>
      <c r="BO746" s="60"/>
      <c r="BP746" s="60"/>
      <c r="BQ746" s="67"/>
      <c r="BR746" s="62" t="n">
        <v>0</v>
      </c>
      <c r="BS746" s="62" t="n">
        <v>0</v>
      </c>
      <c r="BT746" s="61" t="n">
        <v>-7.27595761418343E-012</v>
      </c>
      <c r="BU746" s="62" t="n">
        <v>44</v>
      </c>
      <c r="BV746" s="60"/>
      <c r="BW746" s="65" t="n">
        <v>0</v>
      </c>
      <c r="BX746" s="65" t="n">
        <v>746</v>
      </c>
      <c r="BY746" s="60" t="str">
        <f aca="false">IF(U746&lt;&gt;"",UPPER(TRIM(U746)),IF(CB746=1,UPPER(VLOOKUP(T746,Parameter!$I$27:$K$29,2,0)),IF(P746="","LOSE",P746)))</f>
        <v>LOSE</v>
      </c>
      <c r="BZ746" s="62" t="n">
        <f aca="false">IF(BY746="LOSE",1,IF(N(V746)&gt;0,V746,IF(CB746=1,MAX(1,N(VLOOKUP(T746,Parameter!$I$27:$K$29,3,0)),H746,N(N746)),IF(N(Q746)&gt;0,Q746,MAX(1,H746)))))</f>
        <v>1</v>
      </c>
      <c r="CA746" s="65" t="n">
        <f aca="false">IF(BY746="LOSE",1,0)</f>
        <v>1</v>
      </c>
      <c r="CB746" s="65" t="n">
        <f aca="false">IF(AND(U746="",OR(P746="",P746="LOSE"),T746&lt;&gt;"",N(S746)&lt;=0,ISNUMBER(MATCH(T746,Parameter!$I$27:$I$29,0))),1,0)</f>
        <v>0</v>
      </c>
      <c r="CC746" s="65" t="n">
        <f aca="false">IF(CR746&gt;0,INDEX(Parameter!$H$5:$H$7,W746)/INDEX(Parameter!$E$5:$E$7,W746),IF(AND(CA746=0,N(IFERROR(VLOOKUP(BY746,'Gebinde-Kategorie'!$A$5:$N$45,14,0),0))&gt;0),VLOOKUP(BY746,'Gebinde-Kategorie'!$A$5:$N$45,14,0)*10+Parameter!$M$23,Parameter!$M$24))</f>
        <v>235</v>
      </c>
      <c r="CD746" s="60" t="str">
        <f aca="false">IF(AND(Parameter!$B$19="Ja",E746&lt;&gt;"",ISNUMBER(MATCH(E746,Parameter!$I$35:$I$52,0))),VLOOKUP(E746,Parameter!$I$35:$J$52,2,0),IFERROR(VLOOKUP(D746,Parameter!$A$35:$C$64,2,0),"Nein"))</f>
        <v>Nein</v>
      </c>
      <c r="CE746" s="64" t="n">
        <f aca="false">IF(CA746=0,0,IF(N(S746)&gt;0,S746,IFERROR(VLOOKUP(D746,Parameter!$A$35:$C$64,3,0)+0,0)))</f>
        <v>0.15</v>
      </c>
      <c r="CF746" s="60" t="str">
        <f aca="false">IF(AB746&lt;&gt;"",AB746,AA746)</f>
        <v>-</v>
      </c>
      <c r="CG746" s="60" t="str">
        <f aca="false">IF(OR(CF746=1,CF746=2,CF746=3),IF(Parameter!$E$27="Ja","LIFT",IF(CF746=1,"L1","L23")),IF(CF746="Aussen","Aussen","-"))</f>
        <v>-</v>
      </c>
      <c r="CH746" s="71" t="n">
        <f aca="false">IF(N(AC746)&gt;0,AC746,0)</f>
        <v>0</v>
      </c>
      <c r="CI746" s="65" t="n">
        <f aca="false">IF(ISNUMBER(AF746),1,0)</f>
        <v>0</v>
      </c>
      <c r="CJ746" s="62" t="n">
        <f aca="false">N(AF746)</f>
        <v>0</v>
      </c>
      <c r="CK746" s="62" t="n">
        <f aca="false">N(M746)+N(N746)</f>
        <v>1</v>
      </c>
      <c r="CL746" s="62" t="n">
        <f aca="false">N(M746)</f>
        <v>0</v>
      </c>
      <c r="CM746" s="62" t="n">
        <f aca="false">N(N746)</f>
        <v>1</v>
      </c>
      <c r="CN746" s="62" t="n">
        <f aca="false">ROUNDUP(H746/BZ746,0)</f>
        <v>0</v>
      </c>
      <c r="CO746" s="62" t="n">
        <f aca="false">ROUNDUP(CJ746/BZ746,0)</f>
        <v>0</v>
      </c>
      <c r="CP746" s="65" t="n">
        <f aca="false">IF(CA746=1,0,IFERROR(VLOOKUP(BY746,'Gebinde-Kategorie'!$A$5:$N$45,5,0)+0,0))</f>
        <v>0</v>
      </c>
      <c r="CQ746" s="65" t="n">
        <f aca="false">IFERROR(IF(OR(CF746=1,CF746=2,CF746=3),N(INDEX(Parameter!$I$5:$I$7,CF746)),0),0)</f>
        <v>0</v>
      </c>
      <c r="CR746" s="64" t="n">
        <f aca="false">IF(AND(Parameter!$B$21="Ja",ISNUMBER(W746),N(X746)&gt;0),IFERROR(N(INDEX(Parameter!$L$5:$L$7,W746))*INDEX(Parameter!$E$5:$E$7,W746)*X746/SUMIFS($X$7:$X$1843,$W$7:$W$1843,W746),0),0)</f>
        <v>0</v>
      </c>
      <c r="CS746" s="62" t="str">
        <f aca="false">IF(AND(OR(CG746="L1",CG746="L23",CG746="LIFT"),H746&gt;0),CC746*IF(CR746&gt;0,CR746*MAX(1,H746/X746),IF(CA746=1,CE746,IF(R746&gt;0,CN746/R746,0))/MAX(0.1,N(Parameter!$M$21))),"")</f>
        <v/>
      </c>
      <c r="CT746" s="64" t="str">
        <f aca="false">IF(CS746="","",J746/H746)</f>
        <v/>
      </c>
      <c r="CU746" s="62" t="str">
        <f aca="false">IF(CS746="","",H746*G746)</f>
        <v/>
      </c>
      <c r="CV746" s="63" t="str">
        <f aca="false">IF(CS746="","",(CL746+ROUNDUP(CL746+MAX(CM746,2*(J746/MAX(0.1,N(Einkauf!$C$6))-CL746)),0))/2)</f>
        <v/>
      </c>
      <c r="CW746" s="62" t="str">
        <f aca="false">IF(CS746="","",MAX(0,H746-CV746)*G746)</f>
        <v/>
      </c>
      <c r="CX746" s="62" t="str">
        <f aca="false">IF(CS746="","",CS746*MAX(0,1-CV746/H746))</f>
        <v/>
      </c>
      <c r="CY746" s="64" t="str">
        <f aca="false">IF(CS746="","",PERCENTRANK($CS$7:$CS$1843,CS746)+PERCENTRANK($CU$7:$CU$1843,CU746)+1-PERCENTRANK($CT$7:$CT$1843,CT746))</f>
        <v/>
      </c>
      <c r="CZ746" s="72" t="str">
        <f aca="false">IF(CS746="","",CHOOSE(MATCH(Einkauf!$C$5,Parameter!$G$23:$G$27,0),CY746,CS746,CU746,-CT746,CW746)+ROW()/1000000000)</f>
        <v/>
      </c>
    </row>
    <row r="747" customFormat="false" ht="15" hidden="false" customHeight="false" outlineLevel="0" collapsed="false">
      <c r="A747" s="60" t="s">
        <v>1522</v>
      </c>
      <c r="B747" s="60" t="s">
        <v>1523</v>
      </c>
      <c r="C747" s="60" t="s">
        <v>209</v>
      </c>
      <c r="D747" s="60" t="s">
        <v>1430</v>
      </c>
      <c r="E747" s="60" t="s">
        <v>1521</v>
      </c>
      <c r="F747" s="60" t="s">
        <v>260</v>
      </c>
      <c r="G747" s="61" t="n">
        <v>2080.97</v>
      </c>
      <c r="H747" s="62" t="n">
        <f aca="false">MAX(0,IF(AND(Parameter!$B$21="Ja",ISNUMBER(Y747)),Y747,IF(Parameter!$B$20="Jahresanfang 2025 + Export",BS747+BR747,BR747)))</f>
        <v>0</v>
      </c>
      <c r="I747" s="62" t="n">
        <f aca="false">H747*G747</f>
        <v>0</v>
      </c>
      <c r="J747" s="62" t="n">
        <f aca="false">BU747*Parameter!$B$18</f>
        <v>115</v>
      </c>
      <c r="K747" s="63" t="n">
        <v>0</v>
      </c>
      <c r="L747" s="64" t="n">
        <v>0</v>
      </c>
      <c r="M747" s="62" t="n">
        <v>0</v>
      </c>
      <c r="N747" s="62" t="n">
        <v>1</v>
      </c>
      <c r="O747" s="65" t="n">
        <v>7</v>
      </c>
      <c r="P747" s="60" t="s">
        <v>210</v>
      </c>
      <c r="Q747" s="62"/>
      <c r="R747" s="65" t="n">
        <f aca="false">IF(CA747=1,0,IFERROR(VLOOKUP(BY747,'Gebinde-Kategorie'!$A$5:$N$45,13,0)+0,0))</f>
        <v>0</v>
      </c>
      <c r="S747" s="66"/>
      <c r="T747" s="67"/>
      <c r="U747" s="67"/>
      <c r="V747" s="67"/>
      <c r="W747" s="60"/>
      <c r="X747" s="62"/>
      <c r="Y747" s="62"/>
      <c r="Z747" s="60"/>
      <c r="AA747" s="60" t="str">
        <f aca="false">IF(A747="","",IF(AND(Parameter!$B$21="Ja",ISNUMBER(W747)),W747,IF(AND(Parameter!$E$27="Ja",ISNUMBER(Z747),CD747&lt;&gt;"Nein"),Z747,IF(CD747="2+3",IF(ISNUMBER(SEARCH("grosser Artikel",BV747)),2,IFERROR(VLOOKUP(BY747,Parameter!$F$35:$G$64,2,0),2)),IF(OR(CD747="Nein",CD747=""),"-",CD747)))))</f>
        <v>-</v>
      </c>
      <c r="AB747" s="67"/>
      <c r="AC747" s="68"/>
      <c r="AD747" s="62" t="n">
        <f aca="false">AW747</f>
        <v>77</v>
      </c>
      <c r="AE747" s="62" t="n">
        <f aca="false">MAX(AW747,H747)</f>
        <v>77</v>
      </c>
      <c r="AF747" s="69"/>
      <c r="AG747" s="62" t="n">
        <f aca="false">IF(LEFT(Cockpit!$C$5,1)="A",H747,IF(Parameter!$E$30="MAX-Bestand",IF(CI747=1,CJ747,IF(LEFT(Cockpit!$C$5,1)="B",AM747,MAX(AM747,H747))),ROUNDUP(AK747,0)))</f>
        <v>0</v>
      </c>
      <c r="AH747" s="62" t="n">
        <f aca="false">IF(CA747=1,0,ROUNDUP(AG747/BZ747,0))</f>
        <v>0</v>
      </c>
      <c r="AI747" s="64" t="n">
        <f aca="false">IF(CR747&gt;0,CR747*MAX(1,AG747/X747),IF(CA747=1,IF(AG747&lt;=0,0,CE747*MAX(1,IF(H747&gt;0,AG747/H747,1))),IF(R747&gt;0,AH747/R747,0))/MAX(0.1,N(Parameter!$M$21)))</f>
        <v>0</v>
      </c>
      <c r="AJ747" s="62" t="n">
        <f aca="false">AI747*CC747</f>
        <v>0</v>
      </c>
      <c r="AK747" s="63" t="n">
        <f aca="false">IF(LEFT(Cockpit!$C$5,1)="A",H747,IF(CI747=1,(CL747+CJ747)/2,IF(LEFT(Cockpit!$C$5,1)="B",(CL747+AM747)/2,MAX((CL747+AM747)/2,H747))))</f>
        <v>0</v>
      </c>
      <c r="AL747" s="62" t="n">
        <f aca="false">AK747*G747</f>
        <v>0</v>
      </c>
      <c r="AM747" s="62" t="n">
        <f aca="false">ROUNDUP(CL747+MAX(CM747,2*(J747/IF(CH747&gt;0,CH747,MAX(0.1,N(Cockpit!$C$6)))-CL747)),0)</f>
        <v>77</v>
      </c>
      <c r="AN747" s="63" t="n">
        <f aca="false">IF(AJ747&gt;0,J747/AJ747,-1)</f>
        <v>-1</v>
      </c>
      <c r="AO747" s="63" t="str">
        <f aca="false">IF(AND(OR(CG747="L1",CG747="L23",CG747="LIFT"),AJ747&gt;0),SUMIFS($AJ$7:$AJ$1843,$CG$7:$CG$1843,CG747,$AN$7:$AN$1843,"&gt;"&amp;AN747)+SUMIFS($AJ$7:$AJ$1843,$CG$7:$CG$1843,CG747,$AN$7:$AN$1843,AN747,$BX$7:$BX$1843,"&lt;="&amp;BX747),"")</f>
        <v/>
      </c>
      <c r="AP747" s="70" t="n">
        <f aca="false">IF(AO747="",0,MAX(0,MIN(1,(IF(CG747="L1",Parameter!$H$5,IF(CG747="L23",Parameter!$H$6+Parameter!$H$7,Parameter!$H$5+Parameter!$H$6+Parameter!$H$7))-(AO747-AJ747))/AJ747)))</f>
        <v>0</v>
      </c>
      <c r="AQ747" s="62" t="n">
        <f aca="false">IF(LEFT(Cockpit!$I$5,1)="A",H747,IF(Parameter!$E$30="MAX-Bestand",IF(CI747=1,CJ747,IF(LEFT(Cockpit!$I$5,1)="B",AW747,MAX(AW747,H747))),ROUNDUP(AU747,0)))</f>
        <v>39</v>
      </c>
      <c r="AR747" s="62" t="n">
        <f aca="false">IF(CA747=1,0,ROUNDUP(AQ747/BZ747,0))</f>
        <v>0</v>
      </c>
      <c r="AS747" s="64" t="n">
        <f aca="false">IF(CR747&gt;0,CR747*MAX(1,AQ747/X747),IF(CA747=1,IF(AQ747&lt;=0,0,CE747*MAX(1,IF(H747&gt;0,AQ747/H747,1))),IF(R747&gt;0,AR747/R747,0))/MAX(0.1,N(Parameter!$M$21)))</f>
        <v>0.15</v>
      </c>
      <c r="AT747" s="62" t="n">
        <f aca="false">AS747*CC747</f>
        <v>35.25</v>
      </c>
      <c r="AU747" s="63" t="n">
        <f aca="false">IF(LEFT(Cockpit!$I$5,1)="A",H747,IF(CI747=1,(CL747+CJ747)/2,IF(LEFT(Cockpit!$I$5,1)="B",(CL747+AW747)/2,MAX((CL747+AW747)/2,H747))))</f>
        <v>38.5</v>
      </c>
      <c r="AV747" s="62" t="n">
        <f aca="false">AU747*G747</f>
        <v>80117.345</v>
      </c>
      <c r="AW747" s="62" t="n">
        <f aca="false">ROUNDUP(CL747+MAX(CM747,2*(J747/IF(CH747&gt;0,CH747,MAX(0.1,N(Cockpit!$I$6)))-CL747)),0)</f>
        <v>77</v>
      </c>
      <c r="AX747" s="63" t="n">
        <f aca="false">IF(AT747&gt;0,J747/AT747,-1)</f>
        <v>3.26241134751773</v>
      </c>
      <c r="AY747" s="63" t="str">
        <f aca="false">IF(AND(OR(CG747="L1",CG747="L23",CG747="LIFT"),AT747&gt;0),SUMIFS($AT$7:$AT$1843,$CG$7:$CG$1843,CG747,$AX$7:$AX$1843,"&gt;"&amp;AX747)+SUMIFS($AT$7:$AT$1843,$CG$7:$CG$1843,CG747,$AX$7:$AX$1843,AX747,$BX$7:$BX$1843,"&lt;="&amp;BX747),"")</f>
        <v/>
      </c>
      <c r="AZ747" s="70" t="n">
        <f aca="false">IF(AY747="",0,MAX(0,MIN(1,(IF(CG747="L1",Parameter!$H$5,IF(CG747="L23",Parameter!$H$6+Parameter!$H$7,Parameter!$H$5+Parameter!$H$6+Parameter!$H$7))-(AY747-AT747))/AT747)))</f>
        <v>0</v>
      </c>
      <c r="BA747" s="62" t="n">
        <f aca="false">IF(LEFT(Cockpit!$O$5,1)="A",H747,IF(Parameter!$E$30="MAX-Bestand",IF(CI747=1,CJ747,IF(LEFT(Cockpit!$O$5,1)="B",BG747,MAX(BG747,H747))),ROUNDUP(BE747,0)))</f>
        <v>29</v>
      </c>
      <c r="BB747" s="62" t="n">
        <f aca="false">IF(CA747=1,0,ROUNDUP(BA747/BZ747,0))</f>
        <v>0</v>
      </c>
      <c r="BC747" s="64" t="n">
        <f aca="false">IF(CR747&gt;0,CR747*MAX(1,BA747/X747),IF(CA747=1,IF(BA747&lt;=0,0,CE747*MAX(1,IF(H747&gt;0,BA747/H747,1))),IF(R747&gt;0,BB747/R747,0))/MAX(0.1,N(Parameter!$M$21)))</f>
        <v>0.15</v>
      </c>
      <c r="BD747" s="62" t="n">
        <f aca="false">BC747*CC747</f>
        <v>35.25</v>
      </c>
      <c r="BE747" s="63" t="n">
        <f aca="false">IF(LEFT(Cockpit!$O$5,1)="A",H747,IF(CI747=1,(CL747+CJ747)/2,IF(LEFT(Cockpit!$O$5,1)="B",(CL747+BG747)/2,MAX((CL747+BG747)/2,H747))))</f>
        <v>29</v>
      </c>
      <c r="BF747" s="62" t="n">
        <f aca="false">BE747*G747</f>
        <v>60348.13</v>
      </c>
      <c r="BG747" s="62" t="n">
        <f aca="false">ROUNDUP(CL747+MAX(CM747,2*(J747/IF(CH747&gt;0,CH747,MAX(0.1,N(Cockpit!$O$6)))-CL747)),0)</f>
        <v>58</v>
      </c>
      <c r="BH747" s="63" t="n">
        <f aca="false">IF(BD747&gt;0,J747/BD747,-1)</f>
        <v>3.26241134751773</v>
      </c>
      <c r="BI747" s="63" t="str">
        <f aca="false">IF(AND(OR(CG747="L1",CG747="L23",CG747="LIFT"),BD747&gt;0),SUMIFS($BD$7:$BD$1843,$CG$7:$CG$1843,CG747,$BH$7:$BH$1843,"&gt;"&amp;BH747)+SUMIFS($BD$7:$BD$1843,$CG$7:$CG$1843,CG747,$BH$7:$BH$1843,BH747,$BX$7:$BX$1843,"&lt;="&amp;BX747),"")</f>
        <v/>
      </c>
      <c r="BJ747" s="70" t="n">
        <f aca="false">IF(BI747="",0,MAX(0,MIN(1,(IF(CG747="L1",Parameter!$H$5,IF(CG747="L23",Parameter!$H$6+Parameter!$H$7,Parameter!$H$5+Parameter!$H$6+Parameter!$H$7))-(BI747-BD747))/BD747)))</f>
        <v>0</v>
      </c>
      <c r="BK747" s="60" t="str">
        <f aca="false">IF(AJ747&lt;=0,"",IF(CG747="Aussen","Aussenlager",IF(CG747="-","Nicht im Lift",IF(AP747&gt;=1,"Lift",IF(AP747&lt;=0,"Aussenlager","teilweise")))))</f>
        <v/>
      </c>
      <c r="BL747" s="60" t="str">
        <f aca="false">IF(AT747&lt;=0,"",IF(CG747="Aussen","Aussenlager",IF(CG747="-","Nicht im Lift",IF(AZ747&gt;=1,"Lift",IF(AZ747&lt;=0,"Aussenlager","teilweise")))))</f>
        <v>Nicht im Lift</v>
      </c>
      <c r="BM747" s="60" t="str">
        <f aca="false">IF(BD747&lt;=0,"",IF(CG747="Aussen","Aussenlager",IF(CG747="-","Nicht im Lift",IF(BJ747&gt;=1,"Lift",IF(BJ747&lt;=0,"Aussenlager","teilweise")))))</f>
        <v>Nicht im Lift</v>
      </c>
      <c r="BN747" s="60" t="str">
        <f aca="false">IF(A747="","",IF(BW747=1,"Neu; ","")&amp;IF(AND(BW747=0,BR747&lt;0),"negativer Bestand (Export "&amp;BR747&amp;"); ","")&amp;IF(J747&lt;=0,"Kein Verbrauch; ","")&amp;IF(CR747&gt;0,"Lift "&amp;W747&amp;" lt. Liftbericht (Fach "&amp;X747&amp;" Stk); ",IF(CB747=1,"Gebinde geschätzt ("&amp;T747&amp;"); ",IF(CA747=1,"Lose – Tablare geschätzt; ","")))&amp;IF(H747&gt;AW747,"Überbestand "&amp;ROUND(H747-AW747,0)&amp;" Stk / CHF "&amp;ROUND((H747-AW747)*G747,0)&amp;"; ","")&amp;IF(AND(CI747=1,CJ747&lt;CK747),"MAX &lt; MB+LG; ","")&amp;IF(AND(CQ747&gt;0,CP747*10&gt;CQ747),"zu hoch für Tablar; ","")&amp;IF(AND(BW747=0,OR(CI747=1,AB747&lt;&gt;"",U747&lt;&gt;"",V747&lt;&gt;"",AC747&lt;&gt;"")),"manuell übersteuert; ","")&amp;IF(AND(CA747=0,R747=0),"Gebinde unbekannt / Stellmass fehlt; ","")&amp;IF(AND(CA747=0,N(V747)&lt;=0,N(Q747)&lt;=0),"Menge pro Gebinde fehlt (Ist = 1 Gebinde); ","")&amp;BV747)</f>
        <v>Lose – Tablare geschätzt; </v>
      </c>
      <c r="BO747" s="60"/>
      <c r="BP747" s="60"/>
      <c r="BQ747" s="67"/>
      <c r="BR747" s="62" t="n">
        <v>0</v>
      </c>
      <c r="BS747" s="62" t="n">
        <v>0</v>
      </c>
      <c r="BT747" s="61" t="n">
        <v>-1.45519152283669E-011</v>
      </c>
      <c r="BU747" s="62" t="n">
        <v>115</v>
      </c>
      <c r="BV747" s="60"/>
      <c r="BW747" s="65" t="n">
        <v>0</v>
      </c>
      <c r="BX747" s="65" t="n">
        <v>747</v>
      </c>
      <c r="BY747" s="60" t="str">
        <f aca="false">IF(U747&lt;&gt;"",UPPER(TRIM(U747)),IF(CB747=1,UPPER(VLOOKUP(T747,Parameter!$I$27:$K$29,2,0)),IF(P747="","LOSE",P747)))</f>
        <v>LOSE</v>
      </c>
      <c r="BZ747" s="62" t="n">
        <f aca="false">IF(BY747="LOSE",1,IF(N(V747)&gt;0,V747,IF(CB747=1,MAX(1,N(VLOOKUP(T747,Parameter!$I$27:$K$29,3,0)),H747,N(N747)),IF(N(Q747)&gt;0,Q747,MAX(1,H747)))))</f>
        <v>1</v>
      </c>
      <c r="CA747" s="65" t="n">
        <f aca="false">IF(BY747="LOSE",1,0)</f>
        <v>1</v>
      </c>
      <c r="CB747" s="65" t="n">
        <f aca="false">IF(AND(U747="",OR(P747="",P747="LOSE"),T747&lt;&gt;"",N(S747)&lt;=0,ISNUMBER(MATCH(T747,Parameter!$I$27:$I$29,0))),1,0)</f>
        <v>0</v>
      </c>
      <c r="CC747" s="65" t="n">
        <f aca="false">IF(CR747&gt;0,INDEX(Parameter!$H$5:$H$7,W747)/INDEX(Parameter!$E$5:$E$7,W747),IF(AND(CA747=0,N(IFERROR(VLOOKUP(BY747,'Gebinde-Kategorie'!$A$5:$N$45,14,0),0))&gt;0),VLOOKUP(BY747,'Gebinde-Kategorie'!$A$5:$N$45,14,0)*10+Parameter!$M$23,Parameter!$M$24))</f>
        <v>235</v>
      </c>
      <c r="CD747" s="60" t="str">
        <f aca="false">IF(AND(Parameter!$B$19="Ja",E747&lt;&gt;"",ISNUMBER(MATCH(E747,Parameter!$I$35:$I$52,0))),VLOOKUP(E747,Parameter!$I$35:$J$52,2,0),IFERROR(VLOOKUP(D747,Parameter!$A$35:$C$64,2,0),"Nein"))</f>
        <v>Nein</v>
      </c>
      <c r="CE747" s="64" t="n">
        <f aca="false">IF(CA747=0,0,IF(N(S747)&gt;0,S747,IFERROR(VLOOKUP(D747,Parameter!$A$35:$C$64,3,0)+0,0)))</f>
        <v>0.15</v>
      </c>
      <c r="CF747" s="60" t="str">
        <f aca="false">IF(AB747&lt;&gt;"",AB747,AA747)</f>
        <v>-</v>
      </c>
      <c r="CG747" s="60" t="str">
        <f aca="false">IF(OR(CF747=1,CF747=2,CF747=3),IF(Parameter!$E$27="Ja","LIFT",IF(CF747=1,"L1","L23")),IF(CF747="Aussen","Aussen","-"))</f>
        <v>-</v>
      </c>
      <c r="CH747" s="71" t="n">
        <f aca="false">IF(N(AC747)&gt;0,AC747,0)</f>
        <v>0</v>
      </c>
      <c r="CI747" s="65" t="n">
        <f aca="false">IF(ISNUMBER(AF747),1,0)</f>
        <v>0</v>
      </c>
      <c r="CJ747" s="62" t="n">
        <f aca="false">N(AF747)</f>
        <v>0</v>
      </c>
      <c r="CK747" s="62" t="n">
        <f aca="false">N(M747)+N(N747)</f>
        <v>1</v>
      </c>
      <c r="CL747" s="62" t="n">
        <f aca="false">N(M747)</f>
        <v>0</v>
      </c>
      <c r="CM747" s="62" t="n">
        <f aca="false">N(N747)</f>
        <v>1</v>
      </c>
      <c r="CN747" s="62" t="n">
        <f aca="false">ROUNDUP(H747/BZ747,0)</f>
        <v>0</v>
      </c>
      <c r="CO747" s="62" t="n">
        <f aca="false">ROUNDUP(CJ747/BZ747,0)</f>
        <v>0</v>
      </c>
      <c r="CP747" s="65" t="n">
        <f aca="false">IF(CA747=1,0,IFERROR(VLOOKUP(BY747,'Gebinde-Kategorie'!$A$5:$N$45,5,0)+0,0))</f>
        <v>0</v>
      </c>
      <c r="CQ747" s="65" t="n">
        <f aca="false">IFERROR(IF(OR(CF747=1,CF747=2,CF747=3),N(INDEX(Parameter!$I$5:$I$7,CF747)),0),0)</f>
        <v>0</v>
      </c>
      <c r="CR747" s="64" t="n">
        <f aca="false">IF(AND(Parameter!$B$21="Ja",ISNUMBER(W747),N(X747)&gt;0),IFERROR(N(INDEX(Parameter!$L$5:$L$7,W747))*INDEX(Parameter!$E$5:$E$7,W747)*X747/SUMIFS($X$7:$X$1843,$W$7:$W$1843,W747),0),0)</f>
        <v>0</v>
      </c>
      <c r="CS747" s="62" t="str">
        <f aca="false">IF(AND(OR(CG747="L1",CG747="L23",CG747="LIFT"),H747&gt;0),CC747*IF(CR747&gt;0,CR747*MAX(1,H747/X747),IF(CA747=1,CE747,IF(R747&gt;0,CN747/R747,0))/MAX(0.1,N(Parameter!$M$21))),"")</f>
        <v/>
      </c>
      <c r="CT747" s="64" t="str">
        <f aca="false">IF(CS747="","",J747/H747)</f>
        <v/>
      </c>
      <c r="CU747" s="62" t="str">
        <f aca="false">IF(CS747="","",H747*G747)</f>
        <v/>
      </c>
      <c r="CV747" s="63" t="str">
        <f aca="false">IF(CS747="","",(CL747+ROUNDUP(CL747+MAX(CM747,2*(J747/MAX(0.1,N(Einkauf!$C$6))-CL747)),0))/2)</f>
        <v/>
      </c>
      <c r="CW747" s="62" t="str">
        <f aca="false">IF(CS747="","",MAX(0,H747-CV747)*G747)</f>
        <v/>
      </c>
      <c r="CX747" s="62" t="str">
        <f aca="false">IF(CS747="","",CS747*MAX(0,1-CV747/H747))</f>
        <v/>
      </c>
      <c r="CY747" s="64" t="str">
        <f aca="false">IF(CS747="","",PERCENTRANK($CS$7:$CS$1843,CS747)+PERCENTRANK($CU$7:$CU$1843,CU747)+1-PERCENTRANK($CT$7:$CT$1843,CT747))</f>
        <v/>
      </c>
      <c r="CZ747" s="72" t="str">
        <f aca="false">IF(CS747="","",CHOOSE(MATCH(Einkauf!$C$5,Parameter!$G$23:$G$27,0),CY747,CS747,CU747,-CT747,CW747)+ROW()/1000000000)</f>
        <v/>
      </c>
    </row>
    <row r="748" customFormat="false" ht="15" hidden="false" customHeight="false" outlineLevel="0" collapsed="false">
      <c r="A748" s="60" t="s">
        <v>1524</v>
      </c>
      <c r="B748" s="60" t="s">
        <v>991</v>
      </c>
      <c r="C748" s="60" t="s">
        <v>206</v>
      </c>
      <c r="D748" s="60" t="s">
        <v>226</v>
      </c>
      <c r="E748" s="60"/>
      <c r="F748" s="60" t="s">
        <v>260</v>
      </c>
      <c r="G748" s="61" t="n">
        <v>0.02</v>
      </c>
      <c r="H748" s="62" t="n">
        <f aca="false">MAX(0,IF(AND(Parameter!$B$21="Ja",ISNUMBER(Y748)),Y748,IF(Parameter!$B$20="Jahresanfang 2025 + Export",BS748+BR748,BR748)))</f>
        <v>94</v>
      </c>
      <c r="I748" s="62" t="n">
        <f aca="false">H748*G748</f>
        <v>1.88</v>
      </c>
      <c r="J748" s="62" t="n">
        <f aca="false">BU748*Parameter!$B$18</f>
        <v>0</v>
      </c>
      <c r="K748" s="63" t="n">
        <v>94.5</v>
      </c>
      <c r="L748" s="64" t="n">
        <v>0</v>
      </c>
      <c r="M748" s="62" t="n">
        <v>0</v>
      </c>
      <c r="N748" s="62" t="n">
        <v>1</v>
      </c>
      <c r="O748" s="65" t="n">
        <v>14</v>
      </c>
      <c r="P748" s="60" t="s">
        <v>210</v>
      </c>
      <c r="Q748" s="62"/>
      <c r="R748" s="65" t="n">
        <f aca="false">IF(CA748=1,0,IFERROR(VLOOKUP(BY748,'Gebinde-Kategorie'!$A$5:$N$45,13,0)+0,0))</f>
        <v>26</v>
      </c>
      <c r="S748" s="66"/>
      <c r="T748" s="67" t="s">
        <v>317</v>
      </c>
      <c r="U748" s="67"/>
      <c r="V748" s="67"/>
      <c r="W748" s="60"/>
      <c r="X748" s="62"/>
      <c r="Y748" s="62"/>
      <c r="Z748" s="60" t="n">
        <v>3</v>
      </c>
      <c r="AA748" s="60" t="n">
        <f aca="false">IF(A748="","",IF(AND(Parameter!$B$21="Ja",ISNUMBER(W748)),W748,IF(AND(Parameter!$E$27="Ja",ISNUMBER(Z748),CD748&lt;&gt;"Nein"),Z748,IF(CD748="2+3",IF(ISNUMBER(SEARCH("grosser Artikel",BV748)),2,IFERROR(VLOOKUP(BY748,Parameter!$F$35:$G$64,2,0),2)),IF(OR(CD748="Nein",CD748=""),"-",CD748)))))</f>
        <v>3</v>
      </c>
      <c r="AB748" s="67"/>
      <c r="AC748" s="68"/>
      <c r="AD748" s="62" t="n">
        <f aca="false">AW748</f>
        <v>1</v>
      </c>
      <c r="AE748" s="62" t="n">
        <f aca="false">MAX(AW748,H748)</f>
        <v>94</v>
      </c>
      <c r="AF748" s="69"/>
      <c r="AG748" s="62" t="n">
        <f aca="false">IF(LEFT(Cockpit!$C$5,1)="A",H748,IF(Parameter!$E$30="MAX-Bestand",IF(CI748=1,CJ748,IF(LEFT(Cockpit!$C$5,1)="B",AM748,MAX(AM748,H748))),ROUNDUP(AK748,0)))</f>
        <v>94</v>
      </c>
      <c r="AH748" s="62" t="n">
        <f aca="false">IF(CA748=1,0,ROUNDUP(AG748/BZ748,0))</f>
        <v>1</v>
      </c>
      <c r="AI748" s="64" t="n">
        <f aca="false">IF(CR748&gt;0,CR748*MAX(1,AG748/X748),IF(CA748=1,IF(AG748&lt;=0,0,CE748*MAX(1,IF(H748&gt;0,AG748/H748,1))),IF(R748&gt;0,AH748/R748,0))/MAX(0.1,N(Parameter!$M$21)))</f>
        <v>0.0384615384615385</v>
      </c>
      <c r="AJ748" s="62" t="n">
        <f aca="false">AI748*CC748</f>
        <v>5.96153846153846</v>
      </c>
      <c r="AK748" s="63" t="n">
        <f aca="false">IF(LEFT(Cockpit!$C$5,1)="A",H748,IF(CI748=1,(CL748+CJ748)/2,IF(LEFT(Cockpit!$C$5,1)="B",(CL748+AM748)/2,MAX((CL748+AM748)/2,H748))))</f>
        <v>94</v>
      </c>
      <c r="AL748" s="62" t="n">
        <f aca="false">AK748*G748</f>
        <v>1.88</v>
      </c>
      <c r="AM748" s="62" t="n">
        <f aca="false">ROUNDUP(CL748+MAX(CM748,2*(J748/IF(CH748&gt;0,CH748,MAX(0.1,N(Cockpit!$C$6)))-CL748)),0)</f>
        <v>1</v>
      </c>
      <c r="AN748" s="63" t="n">
        <f aca="false">IF(AJ748&gt;0,J748/AJ748,-1)</f>
        <v>0</v>
      </c>
      <c r="AO748" s="63" t="n">
        <f aca="false">IF(AND(OR(CG748="L1",CG748="L23",CG748="LIFT"),AJ748&gt;0),SUMIFS($AJ$7:$AJ$1843,$CG$7:$CG$1843,CG748,$AN$7:$AN$1843,"&gt;"&amp;AN748)+SUMIFS($AJ$7:$AJ$1843,$CG$7:$CG$1843,CG748,$AN$7:$AN$1843,AN748,$BX$7:$BX$1843,"&lt;="&amp;BX748),"")</f>
        <v>28707.2900033112</v>
      </c>
      <c r="AP748" s="70" t="n">
        <f aca="false">IF(AO748="",0,MAX(0,MIN(1,(IF(CG748="L1",Parameter!$H$5,IF(CG748="L23",Parameter!$H$6+Parameter!$H$7,Parameter!$H$5+Parameter!$H$6+Parameter!$H$7))-(AO748-AJ748))/AJ748)))</f>
        <v>1</v>
      </c>
      <c r="AQ748" s="62" t="n">
        <f aca="false">IF(LEFT(Cockpit!$I$5,1)="A",H748,IF(Parameter!$E$30="MAX-Bestand",IF(CI748=1,CJ748,IF(LEFT(Cockpit!$I$5,1)="B",AW748,MAX(AW748,H748))),ROUNDUP(AU748,0)))</f>
        <v>94</v>
      </c>
      <c r="AR748" s="62" t="n">
        <f aca="false">IF(CA748=1,0,ROUNDUP(AQ748/BZ748,0))</f>
        <v>1</v>
      </c>
      <c r="AS748" s="64" t="n">
        <f aca="false">IF(CR748&gt;0,CR748*MAX(1,AQ748/X748),IF(CA748=1,IF(AQ748&lt;=0,0,CE748*MAX(1,IF(H748&gt;0,AQ748/H748,1))),IF(R748&gt;0,AR748/R748,0))/MAX(0.1,N(Parameter!$M$21)))</f>
        <v>0.0384615384615385</v>
      </c>
      <c r="AT748" s="62" t="n">
        <f aca="false">AS748*CC748</f>
        <v>5.96153846153846</v>
      </c>
      <c r="AU748" s="63" t="n">
        <f aca="false">IF(LEFT(Cockpit!$I$5,1)="A",H748,IF(CI748=1,(CL748+CJ748)/2,IF(LEFT(Cockpit!$I$5,1)="B",(CL748+AW748)/2,MAX((CL748+AW748)/2,H748))))</f>
        <v>94</v>
      </c>
      <c r="AV748" s="62" t="n">
        <f aca="false">AU748*G748</f>
        <v>1.88</v>
      </c>
      <c r="AW748" s="62" t="n">
        <f aca="false">ROUNDUP(CL748+MAX(CM748,2*(J748/IF(CH748&gt;0,CH748,MAX(0.1,N(Cockpit!$I$6)))-CL748)),0)</f>
        <v>1</v>
      </c>
      <c r="AX748" s="63" t="n">
        <f aca="false">IF(AT748&gt;0,J748/AT748,-1)</f>
        <v>0</v>
      </c>
      <c r="AY748" s="63" t="n">
        <f aca="false">IF(AND(OR(CG748="L1",CG748="L23",CG748="LIFT"),AT748&gt;0),SUMIFS($AT$7:$AT$1843,$CG$7:$CG$1843,CG748,$AX$7:$AX$1843,"&gt;"&amp;AX748)+SUMIFS($AT$7:$AT$1843,$CG$7:$CG$1843,CG748,$AX$7:$AX$1843,AX748,$BX$7:$BX$1843,"&lt;="&amp;BX748),"")</f>
        <v>34299.9899267399</v>
      </c>
      <c r="AZ748" s="70" t="n">
        <f aca="false">IF(AY748="",0,MAX(0,MIN(1,(IF(CG748="L1",Parameter!$H$5,IF(CG748="L23",Parameter!$H$6+Parameter!$H$7,Parameter!$H$5+Parameter!$H$6+Parameter!$H$7))-(AY748-AT748))/AT748)))</f>
        <v>1</v>
      </c>
      <c r="BA748" s="62" t="n">
        <f aca="false">IF(LEFT(Cockpit!$O$5,1)="A",H748,IF(Parameter!$E$30="MAX-Bestand",IF(CI748=1,CJ748,IF(LEFT(Cockpit!$O$5,1)="B",BG748,MAX(BG748,H748))),ROUNDUP(BE748,0)))</f>
        <v>1</v>
      </c>
      <c r="BB748" s="62" t="n">
        <f aca="false">IF(CA748=1,0,ROUNDUP(BA748/BZ748,0))</f>
        <v>1</v>
      </c>
      <c r="BC748" s="64" t="n">
        <f aca="false">IF(CR748&gt;0,CR748*MAX(1,BA748/X748),IF(CA748=1,IF(BA748&lt;=0,0,CE748*MAX(1,IF(H748&gt;0,BA748/H748,1))),IF(R748&gt;0,BB748/R748,0))/MAX(0.1,N(Parameter!$M$21)))</f>
        <v>0.0384615384615385</v>
      </c>
      <c r="BD748" s="62" t="n">
        <f aca="false">BC748*CC748</f>
        <v>5.96153846153846</v>
      </c>
      <c r="BE748" s="63" t="n">
        <f aca="false">IF(LEFT(Cockpit!$O$5,1)="A",H748,IF(CI748=1,(CL748+CJ748)/2,IF(LEFT(Cockpit!$O$5,1)="B",(CL748+BG748)/2,MAX((CL748+BG748)/2,H748))))</f>
        <v>0.5</v>
      </c>
      <c r="BF748" s="62" t="n">
        <f aca="false">BE748*G748</f>
        <v>0.01</v>
      </c>
      <c r="BG748" s="62" t="n">
        <f aca="false">ROUNDUP(CL748+MAX(CM748,2*(J748/IF(CH748&gt;0,CH748,MAX(0.1,N(Cockpit!$O$6)))-CL748)),0)</f>
        <v>1</v>
      </c>
      <c r="BH748" s="63" t="n">
        <f aca="false">IF(BD748&gt;0,J748/BD748,-1)</f>
        <v>0</v>
      </c>
      <c r="BI748" s="63" t="n">
        <f aca="false">IF(AND(OR(CG748="L1",CG748="L23",CG748="LIFT"),BD748&gt;0),SUMIFS($BD$7:$BD$1843,$CG$7:$CG$1843,CG748,$BH$7:$BH$1843,"&gt;"&amp;BH748)+SUMIFS($BD$7:$BD$1843,$CG$7:$CG$1843,CG748,$BH$7:$BH$1843,BH748,$BX$7:$BX$1843,"&lt;="&amp;BX748),"")</f>
        <v>28349.8213121624</v>
      </c>
      <c r="BJ748" s="70" t="n">
        <f aca="false">IF(BI748="",0,MAX(0,MIN(1,(IF(CG748="L1",Parameter!$H$5,IF(CG748="L23",Parameter!$H$6+Parameter!$H$7,Parameter!$H$5+Parameter!$H$6+Parameter!$H$7))-(BI748-BD748))/BD748)))</f>
        <v>1</v>
      </c>
      <c r="BK748" s="60" t="str">
        <f aca="false">IF(AJ748&lt;=0,"",IF(CG748="Aussen","Aussenlager",IF(CG748="-","Nicht im Lift",IF(AP748&gt;=1,"Lift",IF(AP748&lt;=0,"Aussenlager","teilweise")))))</f>
        <v>Lift</v>
      </c>
      <c r="BL748" s="60" t="str">
        <f aca="false">IF(AT748&lt;=0,"",IF(CG748="Aussen","Aussenlager",IF(CG748="-","Nicht im Lift",IF(AZ748&gt;=1,"Lift",IF(AZ748&lt;=0,"Aussenlager","teilweise")))))</f>
        <v>Lift</v>
      </c>
      <c r="BM748" s="60" t="str">
        <f aca="false">IF(BD748&lt;=0,"",IF(CG748="Aussen","Aussenlager",IF(CG748="-","Nicht im Lift",IF(BJ748&gt;=1,"Lift",IF(BJ748&lt;=0,"Aussenlager","teilweise")))))</f>
        <v>Lift</v>
      </c>
      <c r="BN748" s="60" t="str">
        <f aca="false">IF(A748="","",IF(BW748=1,"Neu; ","")&amp;IF(AND(BW748=0,BR748&lt;0),"negativer Bestand (Export "&amp;BR748&amp;"); ","")&amp;IF(J748&lt;=0,"Kein Verbrauch; ","")&amp;IF(CR748&gt;0,"Lift "&amp;W748&amp;" lt. Liftbericht (Fach "&amp;X748&amp;" Stk); ",IF(CB748=1,"Gebinde geschätzt ("&amp;T748&amp;"); ",IF(CA748=1,"Lose – Tablare geschätzt; ","")))&amp;IF(H748&gt;AW748,"Überbestand "&amp;ROUND(H748-AW748,0)&amp;" Stk / CHF "&amp;ROUND((H748-AW748)*G748,0)&amp;"; ","")&amp;IF(AND(CI748=1,CJ748&lt;CK748),"MAX &lt; MB+LG; ","")&amp;IF(AND(CQ748&gt;0,CP748*10&gt;CQ748),"zu hoch für Tablar; ","")&amp;IF(AND(BW748=0,OR(CI748=1,AB748&lt;&gt;"",U748&lt;&gt;"",V748&lt;&gt;"",AC748&lt;&gt;"")),"manuell übersteuert; ","")&amp;IF(AND(CA748=0,R748=0),"Gebinde unbekannt / Stellmass fehlt; ","")&amp;IF(AND(CA748=0,N(V748)&lt;=0,N(Q748)&lt;=0),"Menge pro Gebinde fehlt (Ist = 1 Gebinde); ","")&amp;BV748)</f>
        <v>negativer Bestand (Export -1); Kein Verbrauch; Gebinde geschätzt (Klein); Überbestand 93 Stk / CHF 2; Menge pro Gebinde fehlt (Ist = 1 Gebinde); </v>
      </c>
      <c r="BO748" s="60"/>
      <c r="BP748" s="60"/>
      <c r="BQ748" s="67"/>
      <c r="BR748" s="62" t="n">
        <v>-1</v>
      </c>
      <c r="BS748" s="62" t="n">
        <v>95</v>
      </c>
      <c r="BT748" s="61" t="n">
        <v>-0.02</v>
      </c>
      <c r="BU748" s="62" t="n">
        <v>0</v>
      </c>
      <c r="BV748" s="60"/>
      <c r="BW748" s="65" t="n">
        <v>0</v>
      </c>
      <c r="BX748" s="65" t="n">
        <v>748</v>
      </c>
      <c r="BY748" s="60" t="str">
        <f aca="false">IF(U748&lt;&gt;"",UPPER(TRIM(U748)),IF(CB748=1,UPPER(VLOOKUP(T748,Parameter!$I$27:$K$29,2,0)),IF(P748="","LOSE",P748)))</f>
        <v>S51</v>
      </c>
      <c r="BZ748" s="62" t="n">
        <f aca="false">IF(BY748="LOSE",1,IF(N(V748)&gt;0,V748,IF(CB748=1,MAX(1,N(VLOOKUP(T748,Parameter!$I$27:$K$29,3,0)),H748,N(N748)),IF(N(Q748)&gt;0,Q748,MAX(1,H748)))))</f>
        <v>94</v>
      </c>
      <c r="CA748" s="65" t="n">
        <f aca="false">IF(BY748="LOSE",1,0)</f>
        <v>0</v>
      </c>
      <c r="CB748" s="65" t="n">
        <f aca="false">IF(AND(U748="",OR(P748="",P748="LOSE"),T748&lt;&gt;"",N(S748)&lt;=0,ISNUMBER(MATCH(T748,Parameter!$I$27:$I$29,0))),1,0)</f>
        <v>1</v>
      </c>
      <c r="CC748" s="65" t="n">
        <f aca="false">IF(CR748&gt;0,INDEX(Parameter!$H$5:$H$7,W748)/INDEX(Parameter!$E$5:$E$7,W748),IF(AND(CA748=0,N(IFERROR(VLOOKUP(BY748,'Gebinde-Kategorie'!$A$5:$N$45,14,0),0))&gt;0),VLOOKUP(BY748,'Gebinde-Kategorie'!$A$5:$N$45,14,0)*10+Parameter!$M$23,Parameter!$M$24))</f>
        <v>155</v>
      </c>
      <c r="CD748" s="60" t="str">
        <f aca="false">IF(AND(Parameter!$B$19="Ja",E748&lt;&gt;"",ISNUMBER(MATCH(E748,Parameter!$I$35:$I$52,0))),VLOOKUP(E748,Parameter!$I$35:$J$52,2,0),IFERROR(VLOOKUP(D748,Parameter!$A$35:$C$64,2,0),"Nein"))</f>
        <v>2+3</v>
      </c>
      <c r="CE748" s="64" t="n">
        <f aca="false">IF(CA748=0,0,IF(N(S748)&gt;0,S748,IFERROR(VLOOKUP(D748,Parameter!$A$35:$C$64,3,0)+0,0)))</f>
        <v>0</v>
      </c>
      <c r="CF748" s="60" t="n">
        <f aca="false">IF(AB748&lt;&gt;"",AB748,AA748)</f>
        <v>3</v>
      </c>
      <c r="CG748" s="60" t="str">
        <f aca="false">IF(OR(CF748=1,CF748=2,CF748=3),IF(Parameter!$E$27="Ja","LIFT",IF(CF748=1,"L1","L23")),IF(CF748="Aussen","Aussen","-"))</f>
        <v>LIFT</v>
      </c>
      <c r="CH748" s="71" t="n">
        <f aca="false">IF(N(AC748)&gt;0,AC748,0)</f>
        <v>0</v>
      </c>
      <c r="CI748" s="65" t="n">
        <f aca="false">IF(ISNUMBER(AF748),1,0)</f>
        <v>0</v>
      </c>
      <c r="CJ748" s="62" t="n">
        <f aca="false">N(AF748)</f>
        <v>0</v>
      </c>
      <c r="CK748" s="62" t="n">
        <f aca="false">N(M748)+N(N748)</f>
        <v>1</v>
      </c>
      <c r="CL748" s="62" t="n">
        <f aca="false">N(M748)</f>
        <v>0</v>
      </c>
      <c r="CM748" s="62" t="n">
        <f aca="false">N(N748)</f>
        <v>1</v>
      </c>
      <c r="CN748" s="62" t="n">
        <f aca="false">ROUNDUP(H748/BZ748,0)</f>
        <v>1</v>
      </c>
      <c r="CO748" s="62" t="n">
        <f aca="false">ROUNDUP(CJ748/BZ748,0)</f>
        <v>0</v>
      </c>
      <c r="CP748" s="65" t="n">
        <f aca="false">IF(CA748=1,0,IFERROR(VLOOKUP(BY748,'Gebinde-Kategorie'!$A$5:$N$45,5,0)+0,0))</f>
        <v>11</v>
      </c>
      <c r="CQ748" s="65" t="n">
        <f aca="false">IFERROR(IF(OR(CF748=1,CF748=2,CF748=3),N(INDEX(Parameter!$I$5:$I$7,CF748)),0),0)</f>
        <v>0</v>
      </c>
      <c r="CR748" s="64" t="n">
        <f aca="false">IF(AND(Parameter!$B$21="Ja",ISNUMBER(W748),N(X748)&gt;0),IFERROR(N(INDEX(Parameter!$L$5:$L$7,W748))*INDEX(Parameter!$E$5:$E$7,W748)*X748/SUMIFS($X$7:$X$1843,$W$7:$W$1843,W748),0),0)</f>
        <v>0</v>
      </c>
      <c r="CS748" s="62" t="n">
        <f aca="false">IF(AND(OR(CG748="L1",CG748="L23",CG748="LIFT"),H748&gt;0),CC748*IF(CR748&gt;0,CR748*MAX(1,H748/X748),IF(CA748=1,CE748,IF(R748&gt;0,CN748/R748,0))/MAX(0.1,N(Parameter!$M$21))),"")</f>
        <v>5.96153846153846</v>
      </c>
      <c r="CT748" s="64" t="n">
        <f aca="false">IF(CS748="","",J748/H748)</f>
        <v>0</v>
      </c>
      <c r="CU748" s="62" t="n">
        <f aca="false">IF(CS748="","",H748*G748)</f>
        <v>1.88</v>
      </c>
      <c r="CV748" s="63" t="n">
        <f aca="false">IF(CS748="","",(CL748+ROUNDUP(CL748+MAX(CM748,2*(J748/MAX(0.1,N(Einkauf!$C$6))-CL748)),0))/2)</f>
        <v>0.5</v>
      </c>
      <c r="CW748" s="62" t="n">
        <f aca="false">IF(CS748="","",MAX(0,H748-CV748)*G748)</f>
        <v>1.87</v>
      </c>
      <c r="CX748" s="62" t="n">
        <f aca="false">IF(CS748="","",CS748*MAX(0,1-CV748/H748))</f>
        <v>5.92982815057283</v>
      </c>
      <c r="CY748" s="64" t="n">
        <f aca="false">IF(CS748="","",PERCENTRANK($CS$7:$CS$1843,CS748)+PERCENTRANK($CU$7:$CU$1843,CU748)+1-PERCENTRANK($CT$7:$CT$1843,CT748))</f>
        <v>1.369</v>
      </c>
      <c r="CZ748" s="72" t="n">
        <f aca="false">IF(CS748="","",CHOOSE(MATCH(Einkauf!$C$5,Parameter!$G$23:$G$27,0),CY748,CS748,CU748,-CT748,CW748)+ROW()/1000000000)</f>
        <v>1.369000748</v>
      </c>
    </row>
    <row r="749" customFormat="false" ht="15" hidden="false" customHeight="false" outlineLevel="0" collapsed="false">
      <c r="A749" s="60" t="s">
        <v>1525</v>
      </c>
      <c r="B749" s="60" t="s">
        <v>1526</v>
      </c>
      <c r="C749" s="60" t="s">
        <v>498</v>
      </c>
      <c r="D749" s="60" t="s">
        <v>215</v>
      </c>
      <c r="E749" s="60"/>
      <c r="F749" s="60" t="s">
        <v>260</v>
      </c>
      <c r="G749" s="61" t="n">
        <v>0.01</v>
      </c>
      <c r="H749" s="62" t="n">
        <f aca="false">MAX(0,IF(AND(Parameter!$B$21="Ja",ISNUMBER(Y749)),Y749,IF(Parameter!$B$20="Jahresanfang 2025 + Export",BS749+BR749,BR749)))</f>
        <v>7</v>
      </c>
      <c r="I749" s="62" t="n">
        <f aca="false">H749*G749</f>
        <v>0.07</v>
      </c>
      <c r="J749" s="62" t="n">
        <f aca="false">BU749*Parameter!$B$18</f>
        <v>7</v>
      </c>
      <c r="K749" s="63" t="n">
        <v>7</v>
      </c>
      <c r="L749" s="64" t="n">
        <v>1</v>
      </c>
      <c r="M749" s="62" t="n">
        <v>0</v>
      </c>
      <c r="N749" s="62" t="n">
        <v>5</v>
      </c>
      <c r="O749" s="65" t="n">
        <v>90</v>
      </c>
      <c r="P749" s="60" t="s">
        <v>210</v>
      </c>
      <c r="Q749" s="62"/>
      <c r="R749" s="65" t="n">
        <f aca="false">IF(CA749=1,0,IFERROR(VLOOKUP(BY749,'Gebinde-Kategorie'!$A$5:$N$45,13,0)+0,0))</f>
        <v>26</v>
      </c>
      <c r="S749" s="66"/>
      <c r="T749" s="67" t="s">
        <v>317</v>
      </c>
      <c r="U749" s="67"/>
      <c r="V749" s="67"/>
      <c r="W749" s="60"/>
      <c r="X749" s="62"/>
      <c r="Y749" s="62"/>
      <c r="Z749" s="60" t="n">
        <v>3</v>
      </c>
      <c r="AA749" s="60" t="n">
        <f aca="false">IF(A749="","",IF(AND(Parameter!$B$21="Ja",ISNUMBER(W749)),W749,IF(AND(Parameter!$E$27="Ja",ISNUMBER(Z749),CD749&lt;&gt;"Nein"),Z749,IF(CD749="2+3",IF(ISNUMBER(SEARCH("grosser Artikel",BV749)),2,IFERROR(VLOOKUP(BY749,Parameter!$F$35:$G$64,2,0),2)),IF(OR(CD749="Nein",CD749=""),"-",CD749)))))</f>
        <v>3</v>
      </c>
      <c r="AB749" s="67"/>
      <c r="AC749" s="68"/>
      <c r="AD749" s="62" t="n">
        <f aca="false">AW749</f>
        <v>5</v>
      </c>
      <c r="AE749" s="62" t="n">
        <f aca="false">MAX(AW749,H749)</f>
        <v>7</v>
      </c>
      <c r="AF749" s="69"/>
      <c r="AG749" s="62" t="n">
        <f aca="false">IF(LEFT(Cockpit!$C$5,1)="A",H749,IF(Parameter!$E$30="MAX-Bestand",IF(CI749=1,CJ749,IF(LEFT(Cockpit!$C$5,1)="B",AM749,MAX(AM749,H749))),ROUNDUP(AK749,0)))</f>
        <v>7</v>
      </c>
      <c r="AH749" s="62" t="n">
        <f aca="false">IF(CA749=1,0,ROUNDUP(AG749/BZ749,0))</f>
        <v>1</v>
      </c>
      <c r="AI749" s="64" t="n">
        <f aca="false">IF(CR749&gt;0,CR749*MAX(1,AG749/X749),IF(CA749=1,IF(AG749&lt;=0,0,CE749*MAX(1,IF(H749&gt;0,AG749/H749,1))),IF(R749&gt;0,AH749/R749,0))/MAX(0.1,N(Parameter!$M$21)))</f>
        <v>0.0384615384615385</v>
      </c>
      <c r="AJ749" s="62" t="n">
        <f aca="false">AI749*CC749</f>
        <v>5.96153846153846</v>
      </c>
      <c r="AK749" s="63" t="n">
        <f aca="false">IF(LEFT(Cockpit!$C$5,1)="A",H749,IF(CI749=1,(CL749+CJ749)/2,IF(LEFT(Cockpit!$C$5,1)="B",(CL749+AM749)/2,MAX((CL749+AM749)/2,H749))))</f>
        <v>7</v>
      </c>
      <c r="AL749" s="62" t="n">
        <f aca="false">AK749*G749</f>
        <v>0.07</v>
      </c>
      <c r="AM749" s="62" t="n">
        <f aca="false">ROUNDUP(CL749+MAX(CM749,2*(J749/IF(CH749&gt;0,CH749,MAX(0.1,N(Cockpit!$C$6)))-CL749)),0)</f>
        <v>5</v>
      </c>
      <c r="AN749" s="63" t="n">
        <f aca="false">IF(AJ749&gt;0,J749/AJ749,-1)</f>
        <v>1.1741935483871</v>
      </c>
      <c r="AO749" s="63" t="n">
        <f aca="false">IF(AND(OR(CG749="L1",CG749="L23",CG749="LIFT"),AJ749&gt;0),SUMIFS($AJ$7:$AJ$1843,$CG$7:$CG$1843,CG749,$AN$7:$AN$1843,"&gt;"&amp;AN749)+SUMIFS($AJ$7:$AJ$1843,$CG$7:$CG$1843,CG749,$AN$7:$AN$1843,AN749,$BX$7:$BX$1843,"&lt;="&amp;BX749),"")</f>
        <v>6697.55815018315</v>
      </c>
      <c r="AP749" s="70" t="n">
        <f aca="false">IF(AO749="",0,MAX(0,MIN(1,(IF(CG749="L1",Parameter!$H$5,IF(CG749="L23",Parameter!$H$6+Parameter!$H$7,Parameter!$H$5+Parameter!$H$6+Parameter!$H$7))-(AO749-AJ749))/AJ749)))</f>
        <v>1</v>
      </c>
      <c r="AQ749" s="62" t="n">
        <f aca="false">IF(LEFT(Cockpit!$I$5,1)="A",H749,IF(Parameter!$E$30="MAX-Bestand",IF(CI749=1,CJ749,IF(LEFT(Cockpit!$I$5,1)="B",AW749,MAX(AW749,H749))),ROUNDUP(AU749,0)))</f>
        <v>7</v>
      </c>
      <c r="AR749" s="62" t="n">
        <f aca="false">IF(CA749=1,0,ROUNDUP(AQ749/BZ749,0))</f>
        <v>1</v>
      </c>
      <c r="AS749" s="64" t="n">
        <f aca="false">IF(CR749&gt;0,CR749*MAX(1,AQ749/X749),IF(CA749=1,IF(AQ749&lt;=0,0,CE749*MAX(1,IF(H749&gt;0,AQ749/H749,1))),IF(R749&gt;0,AR749/R749,0))/MAX(0.1,N(Parameter!$M$21)))</f>
        <v>0.0384615384615385</v>
      </c>
      <c r="AT749" s="62" t="n">
        <f aca="false">AS749*CC749</f>
        <v>5.96153846153846</v>
      </c>
      <c r="AU749" s="63" t="n">
        <f aca="false">IF(LEFT(Cockpit!$I$5,1)="A",H749,IF(CI749=1,(CL749+CJ749)/2,IF(LEFT(Cockpit!$I$5,1)="B",(CL749+AW749)/2,MAX((CL749+AW749)/2,H749))))</f>
        <v>7</v>
      </c>
      <c r="AV749" s="62" t="n">
        <f aca="false">AU749*G749</f>
        <v>0.07</v>
      </c>
      <c r="AW749" s="62" t="n">
        <f aca="false">ROUNDUP(CL749+MAX(CM749,2*(J749/IF(CH749&gt;0,CH749,MAX(0.1,N(Cockpit!$I$6)))-CL749)),0)</f>
        <v>5</v>
      </c>
      <c r="AX749" s="63" t="n">
        <f aca="false">IF(AT749&gt;0,J749/AT749,-1)</f>
        <v>1.1741935483871</v>
      </c>
      <c r="AY749" s="63" t="n">
        <f aca="false">IF(AND(OR(CG749="L1",CG749="L23",CG749="LIFT"),AT749&gt;0),SUMIFS($AT$7:$AT$1843,$CG$7:$CG$1843,CG749,$AX$7:$AX$1843,"&gt;"&amp;AX749)+SUMIFS($AT$7:$AT$1843,$CG$7:$CG$1843,CG749,$AX$7:$AX$1843,AX749,$BX$7:$BX$1843,"&lt;="&amp;BX749),"")</f>
        <v>8143.05586080586</v>
      </c>
      <c r="AZ749" s="70" t="n">
        <f aca="false">IF(AY749="",0,MAX(0,MIN(1,(IF(CG749="L1",Parameter!$H$5,IF(CG749="L23",Parameter!$H$6+Parameter!$H$7,Parameter!$H$5+Parameter!$H$6+Parameter!$H$7))-(AY749-AT749))/AT749)))</f>
        <v>1</v>
      </c>
      <c r="BA749" s="62" t="n">
        <f aca="false">IF(LEFT(Cockpit!$O$5,1)="A",H749,IF(Parameter!$E$30="MAX-Bestand",IF(CI749=1,CJ749,IF(LEFT(Cockpit!$O$5,1)="B",BG749,MAX(BG749,H749))),ROUNDUP(BE749,0)))</f>
        <v>3</v>
      </c>
      <c r="BB749" s="62" t="n">
        <f aca="false">IF(CA749=1,0,ROUNDUP(BA749/BZ749,0))</f>
        <v>1</v>
      </c>
      <c r="BC749" s="64" t="n">
        <f aca="false">IF(CR749&gt;0,CR749*MAX(1,BA749/X749),IF(CA749=1,IF(BA749&lt;=0,0,CE749*MAX(1,IF(H749&gt;0,BA749/H749,1))),IF(R749&gt;0,BB749/R749,0))/MAX(0.1,N(Parameter!$M$21)))</f>
        <v>0.0384615384615385</v>
      </c>
      <c r="BD749" s="62" t="n">
        <f aca="false">BC749*CC749</f>
        <v>5.96153846153846</v>
      </c>
      <c r="BE749" s="63" t="n">
        <f aca="false">IF(LEFT(Cockpit!$O$5,1)="A",H749,IF(CI749=1,(CL749+CJ749)/2,IF(LEFT(Cockpit!$O$5,1)="B",(CL749+BG749)/2,MAX((CL749+BG749)/2,H749))))</f>
        <v>2.5</v>
      </c>
      <c r="BF749" s="62" t="n">
        <f aca="false">BE749*G749</f>
        <v>0.025</v>
      </c>
      <c r="BG749" s="62" t="n">
        <f aca="false">ROUNDUP(CL749+MAX(CM749,2*(J749/IF(CH749&gt;0,CH749,MAX(0.1,N(Cockpit!$O$6)))-CL749)),0)</f>
        <v>5</v>
      </c>
      <c r="BH749" s="63" t="n">
        <f aca="false">IF(BD749&gt;0,J749/BD749,-1)</f>
        <v>1.1741935483871</v>
      </c>
      <c r="BI749" s="63" t="n">
        <f aca="false">IF(AND(OR(CG749="L1",CG749="L23",CG749="LIFT"),BD749&gt;0),SUMIFS($BD$7:$BD$1843,$CG$7:$CG$1843,CG749,$BH$7:$BH$1843,"&gt;"&amp;BH749)+SUMIFS($BD$7:$BD$1843,$CG$7:$CG$1843,CG749,$BH$7:$BH$1843,BH749,$BX$7:$BX$1843,"&lt;="&amp;BX749),"")</f>
        <v>7194.34203296703</v>
      </c>
      <c r="BJ749" s="70" t="n">
        <f aca="false">IF(BI749="",0,MAX(0,MIN(1,(IF(CG749="L1",Parameter!$H$5,IF(CG749="L23",Parameter!$H$6+Parameter!$H$7,Parameter!$H$5+Parameter!$H$6+Parameter!$H$7))-(BI749-BD749))/BD749)))</f>
        <v>1</v>
      </c>
      <c r="BK749" s="60" t="str">
        <f aca="false">IF(AJ749&lt;=0,"",IF(CG749="Aussen","Aussenlager",IF(CG749="-","Nicht im Lift",IF(AP749&gt;=1,"Lift",IF(AP749&lt;=0,"Aussenlager","teilweise")))))</f>
        <v>Lift</v>
      </c>
      <c r="BL749" s="60" t="str">
        <f aca="false">IF(AT749&lt;=0,"",IF(CG749="Aussen","Aussenlager",IF(CG749="-","Nicht im Lift",IF(AZ749&gt;=1,"Lift",IF(AZ749&lt;=0,"Aussenlager","teilweise")))))</f>
        <v>Lift</v>
      </c>
      <c r="BM749" s="60" t="str">
        <f aca="false">IF(BD749&lt;=0,"",IF(CG749="Aussen","Aussenlager",IF(CG749="-","Nicht im Lift",IF(BJ749&gt;=1,"Lift",IF(BJ749&lt;=0,"Aussenlager","teilweise")))))</f>
        <v>Lift</v>
      </c>
      <c r="BN749" s="60" t="str">
        <f aca="false">IF(A749="","",IF(BW749=1,"Neu; ","")&amp;IF(AND(BW749=0,BR749&lt;0),"negativer Bestand (Export "&amp;BR749&amp;"); ","")&amp;IF(J749&lt;=0,"Kein Verbrauch; ","")&amp;IF(CR749&gt;0,"Lift "&amp;W749&amp;" lt. Liftbericht (Fach "&amp;X749&amp;" Stk); ",IF(CB749=1,"Gebinde geschätzt ("&amp;T749&amp;"); ",IF(CA749=1,"Lose – Tablare geschätzt; ","")))&amp;IF(H749&gt;AW749,"Überbestand "&amp;ROUND(H749-AW749,0)&amp;" Stk / CHF "&amp;ROUND((H749-AW749)*G749,0)&amp;"; ","")&amp;IF(AND(CI749=1,CJ749&lt;CK749),"MAX &lt; MB+LG; ","")&amp;IF(AND(CQ749&gt;0,CP749*10&gt;CQ749),"zu hoch für Tablar; ","")&amp;IF(AND(BW749=0,OR(CI749=1,AB749&lt;&gt;"",U749&lt;&gt;"",V749&lt;&gt;"",AC749&lt;&gt;"")),"manuell übersteuert; ","")&amp;IF(AND(CA749=0,R749=0),"Gebinde unbekannt / Stellmass fehlt; ","")&amp;IF(AND(CA749=0,N(V749)&lt;=0,N(Q749)&lt;=0),"Menge pro Gebinde fehlt (Ist = 1 Gebinde); ","")&amp;BV749)</f>
        <v>negativer Bestand (Export -7); Gebinde geschätzt (Klein); Überbestand 2 Stk / CHF 0; Menge pro Gebinde fehlt (Ist = 1 Gebinde); </v>
      </c>
      <c r="BO749" s="60"/>
      <c r="BP749" s="60"/>
      <c r="BQ749" s="67"/>
      <c r="BR749" s="62" t="n">
        <v>-7</v>
      </c>
      <c r="BS749" s="62" t="n">
        <v>14</v>
      </c>
      <c r="BT749" s="61" t="n">
        <v>-0.07</v>
      </c>
      <c r="BU749" s="62" t="n">
        <v>7</v>
      </c>
      <c r="BV749" s="60"/>
      <c r="BW749" s="65" t="n">
        <v>0</v>
      </c>
      <c r="BX749" s="65" t="n">
        <v>749</v>
      </c>
      <c r="BY749" s="60" t="str">
        <f aca="false">IF(U749&lt;&gt;"",UPPER(TRIM(U749)),IF(CB749=1,UPPER(VLOOKUP(T749,Parameter!$I$27:$K$29,2,0)),IF(P749="","LOSE",P749)))</f>
        <v>S51</v>
      </c>
      <c r="BZ749" s="62" t="n">
        <f aca="false">IF(BY749="LOSE",1,IF(N(V749)&gt;0,V749,IF(CB749=1,MAX(1,N(VLOOKUP(T749,Parameter!$I$27:$K$29,3,0)),H749,N(N749)),IF(N(Q749)&gt;0,Q749,MAX(1,H749)))))</f>
        <v>20</v>
      </c>
      <c r="CA749" s="65" t="n">
        <f aca="false">IF(BY749="LOSE",1,0)</f>
        <v>0</v>
      </c>
      <c r="CB749" s="65" t="n">
        <f aca="false">IF(AND(U749="",OR(P749="",P749="LOSE"),T749&lt;&gt;"",N(S749)&lt;=0,ISNUMBER(MATCH(T749,Parameter!$I$27:$I$29,0))),1,0)</f>
        <v>1</v>
      </c>
      <c r="CC749" s="65" t="n">
        <f aca="false">IF(CR749&gt;0,INDEX(Parameter!$H$5:$H$7,W749)/INDEX(Parameter!$E$5:$E$7,W749),IF(AND(CA749=0,N(IFERROR(VLOOKUP(BY749,'Gebinde-Kategorie'!$A$5:$N$45,14,0),0))&gt;0),VLOOKUP(BY749,'Gebinde-Kategorie'!$A$5:$N$45,14,0)*10+Parameter!$M$23,Parameter!$M$24))</f>
        <v>155</v>
      </c>
      <c r="CD749" s="60" t="str">
        <f aca="false">IF(AND(Parameter!$B$19="Ja",E749&lt;&gt;"",ISNUMBER(MATCH(E749,Parameter!$I$35:$I$52,0))),VLOOKUP(E749,Parameter!$I$35:$J$52,2,0),IFERROR(VLOOKUP(D749,Parameter!$A$35:$C$64,2,0),"Nein"))</f>
        <v>2+3</v>
      </c>
      <c r="CE749" s="64" t="n">
        <f aca="false">IF(CA749=0,0,IF(N(S749)&gt;0,S749,IFERROR(VLOOKUP(D749,Parameter!$A$35:$C$64,3,0)+0,0)))</f>
        <v>0</v>
      </c>
      <c r="CF749" s="60" t="n">
        <f aca="false">IF(AB749&lt;&gt;"",AB749,AA749)</f>
        <v>3</v>
      </c>
      <c r="CG749" s="60" t="str">
        <f aca="false">IF(OR(CF749=1,CF749=2,CF749=3),IF(Parameter!$E$27="Ja","LIFT",IF(CF749=1,"L1","L23")),IF(CF749="Aussen","Aussen","-"))</f>
        <v>LIFT</v>
      </c>
      <c r="CH749" s="71" t="n">
        <f aca="false">IF(N(AC749)&gt;0,AC749,0)</f>
        <v>0</v>
      </c>
      <c r="CI749" s="65" t="n">
        <f aca="false">IF(ISNUMBER(AF749),1,0)</f>
        <v>0</v>
      </c>
      <c r="CJ749" s="62" t="n">
        <f aca="false">N(AF749)</f>
        <v>0</v>
      </c>
      <c r="CK749" s="62" t="n">
        <f aca="false">N(M749)+N(N749)</f>
        <v>5</v>
      </c>
      <c r="CL749" s="62" t="n">
        <f aca="false">N(M749)</f>
        <v>0</v>
      </c>
      <c r="CM749" s="62" t="n">
        <f aca="false">N(N749)</f>
        <v>5</v>
      </c>
      <c r="CN749" s="62" t="n">
        <f aca="false">ROUNDUP(H749/BZ749,0)</f>
        <v>1</v>
      </c>
      <c r="CO749" s="62" t="n">
        <f aca="false">ROUNDUP(CJ749/BZ749,0)</f>
        <v>0</v>
      </c>
      <c r="CP749" s="65" t="n">
        <f aca="false">IF(CA749=1,0,IFERROR(VLOOKUP(BY749,'Gebinde-Kategorie'!$A$5:$N$45,5,0)+0,0))</f>
        <v>11</v>
      </c>
      <c r="CQ749" s="65" t="n">
        <f aca="false">IFERROR(IF(OR(CF749=1,CF749=2,CF749=3),N(INDEX(Parameter!$I$5:$I$7,CF749)),0),0)</f>
        <v>0</v>
      </c>
      <c r="CR749" s="64" t="n">
        <f aca="false">IF(AND(Parameter!$B$21="Ja",ISNUMBER(W749),N(X749)&gt;0),IFERROR(N(INDEX(Parameter!$L$5:$L$7,W749))*INDEX(Parameter!$E$5:$E$7,W749)*X749/SUMIFS($X$7:$X$1843,$W$7:$W$1843,W749),0),0)</f>
        <v>0</v>
      </c>
      <c r="CS749" s="62" t="n">
        <f aca="false">IF(AND(OR(CG749="L1",CG749="L23",CG749="LIFT"),H749&gt;0),CC749*IF(CR749&gt;0,CR749*MAX(1,H749/X749),IF(CA749=1,CE749,IF(R749&gt;0,CN749/R749,0))/MAX(0.1,N(Parameter!$M$21))),"")</f>
        <v>5.96153846153846</v>
      </c>
      <c r="CT749" s="64" t="n">
        <f aca="false">IF(CS749="","",J749/H749)</f>
        <v>1</v>
      </c>
      <c r="CU749" s="62" t="n">
        <f aca="false">IF(CS749="","",H749*G749)</f>
        <v>0.07</v>
      </c>
      <c r="CV749" s="63" t="n">
        <f aca="false">IF(CS749="","",(CL749+ROUNDUP(CL749+MAX(CM749,2*(J749/MAX(0.1,N(Einkauf!$C$6))-CL749)),0))/2)</f>
        <v>2.5</v>
      </c>
      <c r="CW749" s="62" t="n">
        <f aca="false">IF(CS749="","",MAX(0,H749-CV749)*G749)</f>
        <v>0.045</v>
      </c>
      <c r="CX749" s="62" t="n">
        <f aca="false">IF(CS749="","",CS749*MAX(0,1-CV749/H749))</f>
        <v>3.83241758241758</v>
      </c>
      <c r="CY749" s="64" t="n">
        <f aca="false">IF(CS749="","",PERCENTRANK($CS$7:$CS$1843,CS749)+PERCENTRANK($CU$7:$CU$1843,CU749)+1-PERCENTRANK($CT$7:$CT$1843,CT749))</f>
        <v>0.72337</v>
      </c>
      <c r="CZ749" s="72" t="n">
        <f aca="false">IF(CS749="","",CHOOSE(MATCH(Einkauf!$C$5,Parameter!$G$23:$G$27,0),CY749,CS749,CU749,-CT749,CW749)+ROW()/1000000000)</f>
        <v>0.723370749</v>
      </c>
    </row>
    <row r="750" customFormat="false" ht="15" hidden="false" customHeight="false" outlineLevel="0" collapsed="false">
      <c r="A750" s="60" t="s">
        <v>1527</v>
      </c>
      <c r="B750" s="60" t="s">
        <v>1528</v>
      </c>
      <c r="C750" s="60" t="s">
        <v>498</v>
      </c>
      <c r="D750" s="60" t="s">
        <v>215</v>
      </c>
      <c r="E750" s="60"/>
      <c r="F750" s="60" t="s">
        <v>260</v>
      </c>
      <c r="G750" s="61" t="n">
        <v>0.01</v>
      </c>
      <c r="H750" s="62" t="n">
        <f aca="false">MAX(0,IF(AND(Parameter!$B$21="Ja",ISNUMBER(Y750)),Y750,IF(Parameter!$B$20="Jahresanfang 2025 + Export",BS750+BR750,BR750)))</f>
        <v>0</v>
      </c>
      <c r="I750" s="62" t="n">
        <f aca="false">H750*G750</f>
        <v>0</v>
      </c>
      <c r="J750" s="62" t="n">
        <f aca="false">BU750*Parameter!$B$18</f>
        <v>0</v>
      </c>
      <c r="K750" s="63" t="n">
        <v>53.5</v>
      </c>
      <c r="L750" s="64" t="n">
        <v>0</v>
      </c>
      <c r="M750" s="62" t="n">
        <v>0</v>
      </c>
      <c r="N750" s="62" t="n">
        <v>20</v>
      </c>
      <c r="O750" s="65" t="n">
        <v>90</v>
      </c>
      <c r="P750" s="60" t="s">
        <v>210</v>
      </c>
      <c r="Q750" s="62"/>
      <c r="R750" s="65" t="n">
        <f aca="false">IF(CA750=1,0,IFERROR(VLOOKUP(BY750,'Gebinde-Kategorie'!$A$5:$N$45,13,0)+0,0))</f>
        <v>12</v>
      </c>
      <c r="S750" s="66"/>
      <c r="T750" s="67" t="s">
        <v>221</v>
      </c>
      <c r="U750" s="67"/>
      <c r="V750" s="67"/>
      <c r="W750" s="60"/>
      <c r="X750" s="62"/>
      <c r="Y750" s="62"/>
      <c r="Z750" s="60" t="n">
        <v>3</v>
      </c>
      <c r="AA750" s="60" t="n">
        <f aca="false">IF(A750="","",IF(AND(Parameter!$B$21="Ja",ISNUMBER(W750)),W750,IF(AND(Parameter!$E$27="Ja",ISNUMBER(Z750),CD750&lt;&gt;"Nein"),Z750,IF(CD750="2+3",IF(ISNUMBER(SEARCH("grosser Artikel",BV750)),2,IFERROR(VLOOKUP(BY750,Parameter!$F$35:$G$64,2,0),2)),IF(OR(CD750="Nein",CD750=""),"-",CD750)))))</f>
        <v>3</v>
      </c>
      <c r="AB750" s="67"/>
      <c r="AC750" s="68"/>
      <c r="AD750" s="62" t="n">
        <f aca="false">AW750</f>
        <v>20</v>
      </c>
      <c r="AE750" s="62" t="n">
        <f aca="false">MAX(AW750,H750)</f>
        <v>20</v>
      </c>
      <c r="AF750" s="69"/>
      <c r="AG750" s="62" t="n">
        <f aca="false">IF(LEFT(Cockpit!$C$5,1)="A",H750,IF(Parameter!$E$30="MAX-Bestand",IF(CI750=1,CJ750,IF(LEFT(Cockpit!$C$5,1)="B",AM750,MAX(AM750,H750))),ROUNDUP(AK750,0)))</f>
        <v>0</v>
      </c>
      <c r="AH750" s="62" t="n">
        <f aca="false">IF(CA750=1,0,ROUNDUP(AG750/BZ750,0))</f>
        <v>0</v>
      </c>
      <c r="AI750" s="64" t="n">
        <f aca="false">IF(CR750&gt;0,CR750*MAX(1,AG750/X750),IF(CA750=1,IF(AG750&lt;=0,0,CE750*MAX(1,IF(H750&gt;0,AG750/H750,1))),IF(R750&gt;0,AH750/R750,0))/MAX(0.1,N(Parameter!$M$21)))</f>
        <v>0</v>
      </c>
      <c r="AJ750" s="62" t="n">
        <f aca="false">AI750*CC750</f>
        <v>0</v>
      </c>
      <c r="AK750" s="63" t="n">
        <f aca="false">IF(LEFT(Cockpit!$C$5,1)="A",H750,IF(CI750=1,(CL750+CJ750)/2,IF(LEFT(Cockpit!$C$5,1)="B",(CL750+AM750)/2,MAX((CL750+AM750)/2,H750))))</f>
        <v>0</v>
      </c>
      <c r="AL750" s="62" t="n">
        <f aca="false">AK750*G750</f>
        <v>0</v>
      </c>
      <c r="AM750" s="62" t="n">
        <f aca="false">ROUNDUP(CL750+MAX(CM750,2*(J750/IF(CH750&gt;0,CH750,MAX(0.1,N(Cockpit!$C$6)))-CL750)),0)</f>
        <v>20</v>
      </c>
      <c r="AN750" s="63" t="n">
        <f aca="false">IF(AJ750&gt;0,J750/AJ750,-1)</f>
        <v>-1</v>
      </c>
      <c r="AO750" s="63" t="str">
        <f aca="false">IF(AND(OR(CG750="L1",CG750="L23",CG750="LIFT"),AJ750&gt;0),SUMIFS($AJ$7:$AJ$1843,$CG$7:$CG$1843,CG750,$AN$7:$AN$1843,"&gt;"&amp;AN750)+SUMIFS($AJ$7:$AJ$1843,$CG$7:$CG$1843,CG750,$AN$7:$AN$1843,AN750,$BX$7:$BX$1843,"&lt;="&amp;BX750),"")</f>
        <v/>
      </c>
      <c r="AP750" s="70" t="n">
        <f aca="false">IF(AO750="",0,MAX(0,MIN(1,(IF(CG750="L1",Parameter!$H$5,IF(CG750="L23",Parameter!$H$6+Parameter!$H$7,Parameter!$H$5+Parameter!$H$6+Parameter!$H$7))-(AO750-AJ750))/AJ750)))</f>
        <v>0</v>
      </c>
      <c r="AQ750" s="62" t="n">
        <f aca="false">IF(LEFT(Cockpit!$I$5,1)="A",H750,IF(Parameter!$E$30="MAX-Bestand",IF(CI750=1,CJ750,IF(LEFT(Cockpit!$I$5,1)="B",AW750,MAX(AW750,H750))),ROUNDUP(AU750,0)))</f>
        <v>10</v>
      </c>
      <c r="AR750" s="62" t="n">
        <f aca="false">IF(CA750=1,0,ROUNDUP(AQ750/BZ750,0))</f>
        <v>1</v>
      </c>
      <c r="AS750" s="64" t="n">
        <f aca="false">IF(CR750&gt;0,CR750*MAX(1,AQ750/X750),IF(CA750=1,IF(AQ750&lt;=0,0,CE750*MAX(1,IF(H750&gt;0,AQ750/H750,1))),IF(R750&gt;0,AR750/R750,0))/MAX(0.1,N(Parameter!$M$21)))</f>
        <v>0.0833333333333333</v>
      </c>
      <c r="AT750" s="62" t="n">
        <f aca="false">AS750*CC750</f>
        <v>12.0833333333333</v>
      </c>
      <c r="AU750" s="63" t="n">
        <f aca="false">IF(LEFT(Cockpit!$I$5,1)="A",H750,IF(CI750=1,(CL750+CJ750)/2,IF(LEFT(Cockpit!$I$5,1)="B",(CL750+AW750)/2,MAX((CL750+AW750)/2,H750))))</f>
        <v>10</v>
      </c>
      <c r="AV750" s="62" t="n">
        <f aca="false">AU750*G750</f>
        <v>0.1</v>
      </c>
      <c r="AW750" s="62" t="n">
        <f aca="false">ROUNDUP(CL750+MAX(CM750,2*(J750/IF(CH750&gt;0,CH750,MAX(0.1,N(Cockpit!$I$6)))-CL750)),0)</f>
        <v>20</v>
      </c>
      <c r="AX750" s="63" t="n">
        <f aca="false">IF(AT750&gt;0,J750/AT750,-1)</f>
        <v>0</v>
      </c>
      <c r="AY750" s="63" t="n">
        <f aca="false">IF(AND(OR(CG750="L1",CG750="L23",CG750="LIFT"),AT750&gt;0),SUMIFS($AT$7:$AT$1843,$CG$7:$CG$1843,CG750,$AX$7:$AX$1843,"&gt;"&amp;AX750)+SUMIFS($AT$7:$AT$1843,$CG$7:$CG$1843,CG750,$AX$7:$AX$1843,AX750,$BX$7:$BX$1843,"&lt;="&amp;BX750),"")</f>
        <v>34312.0732600733</v>
      </c>
      <c r="AZ750" s="70" t="n">
        <f aca="false">IF(AY750="",0,MAX(0,MIN(1,(IF(CG750="L1",Parameter!$H$5,IF(CG750="L23",Parameter!$H$6+Parameter!$H$7,Parameter!$H$5+Parameter!$H$6+Parameter!$H$7))-(AY750-AT750))/AT750)))</f>
        <v>1</v>
      </c>
      <c r="BA750" s="62" t="n">
        <f aca="false">IF(LEFT(Cockpit!$O$5,1)="A",H750,IF(Parameter!$E$30="MAX-Bestand",IF(CI750=1,CJ750,IF(LEFT(Cockpit!$O$5,1)="B",BG750,MAX(BG750,H750))),ROUNDUP(BE750,0)))</f>
        <v>10</v>
      </c>
      <c r="BB750" s="62" t="n">
        <f aca="false">IF(CA750=1,0,ROUNDUP(BA750/BZ750,0))</f>
        <v>1</v>
      </c>
      <c r="BC750" s="64" t="n">
        <f aca="false">IF(CR750&gt;0,CR750*MAX(1,BA750/X750),IF(CA750=1,IF(BA750&lt;=0,0,CE750*MAX(1,IF(H750&gt;0,BA750/H750,1))),IF(R750&gt;0,BB750/R750,0))/MAX(0.1,N(Parameter!$M$21)))</f>
        <v>0.0833333333333333</v>
      </c>
      <c r="BD750" s="62" t="n">
        <f aca="false">BC750*CC750</f>
        <v>12.0833333333333</v>
      </c>
      <c r="BE750" s="63" t="n">
        <f aca="false">IF(LEFT(Cockpit!$O$5,1)="A",H750,IF(CI750=1,(CL750+CJ750)/2,IF(LEFT(Cockpit!$O$5,1)="B",(CL750+BG750)/2,MAX((CL750+BG750)/2,H750))))</f>
        <v>10</v>
      </c>
      <c r="BF750" s="62" t="n">
        <f aca="false">BE750*G750</f>
        <v>0.1</v>
      </c>
      <c r="BG750" s="62" t="n">
        <f aca="false">ROUNDUP(CL750+MAX(CM750,2*(J750/IF(CH750&gt;0,CH750,MAX(0.1,N(Cockpit!$O$6)))-CL750)),0)</f>
        <v>20</v>
      </c>
      <c r="BH750" s="63" t="n">
        <f aca="false">IF(BD750&gt;0,J750/BD750,-1)</f>
        <v>0</v>
      </c>
      <c r="BI750" s="63" t="n">
        <f aca="false">IF(AND(OR(CG750="L1",CG750="L23",CG750="LIFT"),BD750&gt;0),SUMIFS($BD$7:$BD$1843,$CG$7:$CG$1843,CG750,$BH$7:$BH$1843,"&gt;"&amp;BH750)+SUMIFS($BD$7:$BD$1843,$CG$7:$CG$1843,CG750,$BH$7:$BH$1843,BH750,$BX$7:$BX$1843,"&lt;="&amp;BX750),"")</f>
        <v>28361.9046454957</v>
      </c>
      <c r="BJ750" s="70" t="n">
        <f aca="false">IF(BI750="",0,MAX(0,MIN(1,(IF(CG750="L1",Parameter!$H$5,IF(CG750="L23",Parameter!$H$6+Parameter!$H$7,Parameter!$H$5+Parameter!$H$6+Parameter!$H$7))-(BI750-BD750))/BD750)))</f>
        <v>1</v>
      </c>
      <c r="BK750" s="60" t="str">
        <f aca="false">IF(AJ750&lt;=0,"",IF(CG750="Aussen","Aussenlager",IF(CG750="-","Nicht im Lift",IF(AP750&gt;=1,"Lift",IF(AP750&lt;=0,"Aussenlager","teilweise")))))</f>
        <v/>
      </c>
      <c r="BL750" s="60" t="str">
        <f aca="false">IF(AT750&lt;=0,"",IF(CG750="Aussen","Aussenlager",IF(CG750="-","Nicht im Lift",IF(AZ750&gt;=1,"Lift",IF(AZ750&lt;=0,"Aussenlager","teilweise")))))</f>
        <v>Lift</v>
      </c>
      <c r="BM750" s="60" t="str">
        <f aca="false">IF(BD750&lt;=0,"",IF(CG750="Aussen","Aussenlager",IF(CG750="-","Nicht im Lift",IF(BJ750&gt;=1,"Lift",IF(BJ750&lt;=0,"Aussenlager","teilweise")))))</f>
        <v>Lift</v>
      </c>
      <c r="BN750" s="60" t="str">
        <f aca="false">IF(A750="","",IF(BW750=1,"Neu; ","")&amp;IF(AND(BW750=0,BR750&lt;0),"negativer Bestand (Export "&amp;BR750&amp;"); ","")&amp;IF(J750&lt;=0,"Kein Verbrauch; ","")&amp;IF(CR750&gt;0,"Lift "&amp;W750&amp;" lt. Liftbericht (Fach "&amp;X750&amp;" Stk); ",IF(CB750=1,"Gebinde geschätzt ("&amp;T750&amp;"); ",IF(CA750=1,"Lose – Tablare geschätzt; ","")))&amp;IF(H750&gt;AW750,"Überbestand "&amp;ROUND(H750-AW750,0)&amp;" Stk / CHF "&amp;ROUND((H750-AW750)*G750,0)&amp;"; ","")&amp;IF(AND(CI750=1,CJ750&lt;CK750),"MAX &lt; MB+LG; ","")&amp;IF(AND(CQ750&gt;0,CP750*10&gt;CQ750),"zu hoch für Tablar; ","")&amp;IF(AND(BW750=0,OR(CI750=1,AB750&lt;&gt;"",U750&lt;&gt;"",V750&lt;&gt;"",AC750&lt;&gt;"")),"manuell übersteuert; ","")&amp;IF(AND(CA750=0,R750=0),"Gebinde unbekannt / Stellmass fehlt; ","")&amp;IF(AND(CA750=0,N(V750)&lt;=0,N(Q750)&lt;=0),"Menge pro Gebinde fehlt (Ist = 1 Gebinde); ","")&amp;BV750)</f>
        <v>negativer Bestand (Export -7); Kein Verbrauch; Gebinde geschätzt (Mittel); Menge pro Gebinde fehlt (Ist = 1 Gebinde); </v>
      </c>
      <c r="BO750" s="60"/>
      <c r="BP750" s="60"/>
      <c r="BQ750" s="67"/>
      <c r="BR750" s="62" t="n">
        <v>-7</v>
      </c>
      <c r="BS750" s="62" t="n">
        <v>7</v>
      </c>
      <c r="BT750" s="61" t="n">
        <v>-0.0700000000000001</v>
      </c>
      <c r="BU750" s="62" t="n">
        <v>0</v>
      </c>
      <c r="BV750" s="60"/>
      <c r="BW750" s="65" t="n">
        <v>0</v>
      </c>
      <c r="BX750" s="65" t="n">
        <v>750</v>
      </c>
      <c r="BY750" s="60" t="str">
        <f aca="false">IF(U750&lt;&gt;"",UPPER(TRIM(U750)),IF(CB750=1,UPPER(VLOOKUP(T750,Parameter!$I$27:$K$29,2,0)),IF(P750="","LOSE",P750)))</f>
        <v>S61</v>
      </c>
      <c r="BZ750" s="62" t="n">
        <f aca="false">IF(BY750="LOSE",1,IF(N(V750)&gt;0,V750,IF(CB750=1,MAX(1,N(VLOOKUP(T750,Parameter!$I$27:$K$29,3,0)),H750,N(N750)),IF(N(Q750)&gt;0,Q750,MAX(1,H750)))))</f>
        <v>20</v>
      </c>
      <c r="CA750" s="65" t="n">
        <f aca="false">IF(BY750="LOSE",1,0)</f>
        <v>0</v>
      </c>
      <c r="CB750" s="65" t="n">
        <f aca="false">IF(AND(U750="",OR(P750="",P750="LOSE"),T750&lt;&gt;"",N(S750)&lt;=0,ISNUMBER(MATCH(T750,Parameter!$I$27:$I$29,0))),1,0)</f>
        <v>1</v>
      </c>
      <c r="CC750" s="65" t="n">
        <f aca="false">IF(CR750&gt;0,INDEX(Parameter!$H$5:$H$7,W750)/INDEX(Parameter!$E$5:$E$7,W750),IF(AND(CA750=0,N(IFERROR(VLOOKUP(BY750,'Gebinde-Kategorie'!$A$5:$N$45,14,0),0))&gt;0),VLOOKUP(BY750,'Gebinde-Kategorie'!$A$5:$N$45,14,0)*10+Parameter!$M$23,Parameter!$M$24))</f>
        <v>145</v>
      </c>
      <c r="CD750" s="60" t="str">
        <f aca="false">IF(AND(Parameter!$B$19="Ja",E750&lt;&gt;"",ISNUMBER(MATCH(E750,Parameter!$I$35:$I$52,0))),VLOOKUP(E750,Parameter!$I$35:$J$52,2,0),IFERROR(VLOOKUP(D750,Parameter!$A$35:$C$64,2,0),"Nein"))</f>
        <v>2+3</v>
      </c>
      <c r="CE750" s="64" t="n">
        <f aca="false">IF(CA750=0,0,IF(N(S750)&gt;0,S750,IFERROR(VLOOKUP(D750,Parameter!$A$35:$C$64,3,0)+0,0)))</f>
        <v>0</v>
      </c>
      <c r="CF750" s="60" t="n">
        <f aca="false">IF(AB750&lt;&gt;"",AB750,AA750)</f>
        <v>3</v>
      </c>
      <c r="CG750" s="60" t="str">
        <f aca="false">IF(OR(CF750=1,CF750=2,CF750=3),IF(Parameter!$E$27="Ja","LIFT",IF(CF750=1,"L1","L23")),IF(CF750="Aussen","Aussen","-"))</f>
        <v>LIFT</v>
      </c>
      <c r="CH750" s="71" t="n">
        <f aca="false">IF(N(AC750)&gt;0,AC750,0)</f>
        <v>0</v>
      </c>
      <c r="CI750" s="65" t="n">
        <f aca="false">IF(ISNUMBER(AF750),1,0)</f>
        <v>0</v>
      </c>
      <c r="CJ750" s="62" t="n">
        <f aca="false">N(AF750)</f>
        <v>0</v>
      </c>
      <c r="CK750" s="62" t="n">
        <f aca="false">N(M750)+N(N750)</f>
        <v>20</v>
      </c>
      <c r="CL750" s="62" t="n">
        <f aca="false">N(M750)</f>
        <v>0</v>
      </c>
      <c r="CM750" s="62" t="n">
        <f aca="false">N(N750)</f>
        <v>20</v>
      </c>
      <c r="CN750" s="62" t="n">
        <f aca="false">ROUNDUP(H750/BZ750,0)</f>
        <v>0</v>
      </c>
      <c r="CO750" s="62" t="n">
        <f aca="false">ROUNDUP(CJ750/BZ750,0)</f>
        <v>0</v>
      </c>
      <c r="CP750" s="65" t="n">
        <f aca="false">IF(CA750=1,0,IFERROR(VLOOKUP(BY750,'Gebinde-Kategorie'!$A$5:$N$45,5,0)+0,0))</f>
        <v>11</v>
      </c>
      <c r="CQ750" s="65" t="n">
        <f aca="false">IFERROR(IF(OR(CF750=1,CF750=2,CF750=3),N(INDEX(Parameter!$I$5:$I$7,CF750)),0),0)</f>
        <v>0</v>
      </c>
      <c r="CR750" s="64" t="n">
        <f aca="false">IF(AND(Parameter!$B$21="Ja",ISNUMBER(W750),N(X750)&gt;0),IFERROR(N(INDEX(Parameter!$L$5:$L$7,W750))*INDEX(Parameter!$E$5:$E$7,W750)*X750/SUMIFS($X$7:$X$1843,$W$7:$W$1843,W750),0),0)</f>
        <v>0</v>
      </c>
      <c r="CS750" s="62" t="str">
        <f aca="false">IF(AND(OR(CG750="L1",CG750="L23",CG750="LIFT"),H750&gt;0),CC750*IF(CR750&gt;0,CR750*MAX(1,H750/X750),IF(CA750=1,CE750,IF(R750&gt;0,CN750/R750,0))/MAX(0.1,N(Parameter!$M$21))),"")</f>
        <v/>
      </c>
      <c r="CT750" s="64" t="str">
        <f aca="false">IF(CS750="","",J750/H750)</f>
        <v/>
      </c>
      <c r="CU750" s="62" t="str">
        <f aca="false">IF(CS750="","",H750*G750)</f>
        <v/>
      </c>
      <c r="CV750" s="63" t="str">
        <f aca="false">IF(CS750="","",(CL750+ROUNDUP(CL750+MAX(CM750,2*(J750/MAX(0.1,N(Einkauf!$C$6))-CL750)),0))/2)</f>
        <v/>
      </c>
      <c r="CW750" s="62" t="str">
        <f aca="false">IF(CS750="","",MAX(0,H750-CV750)*G750)</f>
        <v/>
      </c>
      <c r="CX750" s="62" t="str">
        <f aca="false">IF(CS750="","",CS750*MAX(0,1-CV750/H750))</f>
        <v/>
      </c>
      <c r="CY750" s="64" t="str">
        <f aca="false">IF(CS750="","",PERCENTRANK($CS$7:$CS$1843,CS750)+PERCENTRANK($CU$7:$CU$1843,CU750)+1-PERCENTRANK($CT$7:$CT$1843,CT750))</f>
        <v/>
      </c>
      <c r="CZ750" s="72" t="str">
        <f aca="false">IF(CS750="","",CHOOSE(MATCH(Einkauf!$C$5,Parameter!$G$23:$G$27,0),CY750,CS750,CU750,-CT750,CW750)+ROW()/1000000000)</f>
        <v/>
      </c>
    </row>
    <row r="751" customFormat="false" ht="15" hidden="false" customHeight="false" outlineLevel="0" collapsed="false">
      <c r="A751" s="60" t="s">
        <v>1529</v>
      </c>
      <c r="B751" s="60" t="s">
        <v>1530</v>
      </c>
      <c r="C751" s="60" t="s">
        <v>498</v>
      </c>
      <c r="D751" s="60" t="s">
        <v>215</v>
      </c>
      <c r="E751" s="60"/>
      <c r="F751" s="60" t="s">
        <v>260</v>
      </c>
      <c r="G751" s="61" t="n">
        <v>0.01</v>
      </c>
      <c r="H751" s="62" t="n">
        <f aca="false">MAX(0,IF(AND(Parameter!$B$21="Ja",ISNUMBER(Y751)),Y751,IF(Parameter!$B$20="Jahresanfang 2025 + Export",BS751+BR751,BR751)))</f>
        <v>9</v>
      </c>
      <c r="I751" s="62" t="n">
        <f aca="false">H751*G751</f>
        <v>0.09</v>
      </c>
      <c r="J751" s="62" t="n">
        <f aca="false">BU751*Parameter!$B$18</f>
        <v>9</v>
      </c>
      <c r="K751" s="63" t="n">
        <v>9</v>
      </c>
      <c r="L751" s="64" t="n">
        <v>1</v>
      </c>
      <c r="M751" s="62" t="n">
        <v>0</v>
      </c>
      <c r="N751" s="62" t="n">
        <v>10</v>
      </c>
      <c r="O751" s="65" t="n">
        <v>90</v>
      </c>
      <c r="P751" s="60" t="s">
        <v>210</v>
      </c>
      <c r="Q751" s="62"/>
      <c r="R751" s="65" t="n">
        <f aca="false">IF(CA751=1,0,IFERROR(VLOOKUP(BY751,'Gebinde-Kategorie'!$A$5:$N$45,13,0)+0,0))</f>
        <v>26</v>
      </c>
      <c r="S751" s="66"/>
      <c r="T751" s="67" t="s">
        <v>317</v>
      </c>
      <c r="U751" s="67"/>
      <c r="V751" s="67"/>
      <c r="W751" s="60"/>
      <c r="X751" s="62"/>
      <c r="Y751" s="62"/>
      <c r="Z751" s="60" t="n">
        <v>3</v>
      </c>
      <c r="AA751" s="60" t="n">
        <f aca="false">IF(A751="","",IF(AND(Parameter!$B$21="Ja",ISNUMBER(W751)),W751,IF(AND(Parameter!$E$27="Ja",ISNUMBER(Z751),CD751&lt;&gt;"Nein"),Z751,IF(CD751="2+3",IF(ISNUMBER(SEARCH("grosser Artikel",BV751)),2,IFERROR(VLOOKUP(BY751,Parameter!$F$35:$G$64,2,0),2)),IF(OR(CD751="Nein",CD751=""),"-",CD751)))))</f>
        <v>3</v>
      </c>
      <c r="AB751" s="67"/>
      <c r="AC751" s="68"/>
      <c r="AD751" s="62" t="n">
        <f aca="false">AW751</f>
        <v>10</v>
      </c>
      <c r="AE751" s="62" t="n">
        <f aca="false">MAX(AW751,H751)</f>
        <v>10</v>
      </c>
      <c r="AF751" s="69"/>
      <c r="AG751" s="62" t="n">
        <f aca="false">IF(LEFT(Cockpit!$C$5,1)="A",H751,IF(Parameter!$E$30="MAX-Bestand",IF(CI751=1,CJ751,IF(LEFT(Cockpit!$C$5,1)="B",AM751,MAX(AM751,H751))),ROUNDUP(AK751,0)))</f>
        <v>9</v>
      </c>
      <c r="AH751" s="62" t="n">
        <f aca="false">IF(CA751=1,0,ROUNDUP(AG751/BZ751,0))</f>
        <v>1</v>
      </c>
      <c r="AI751" s="64" t="n">
        <f aca="false">IF(CR751&gt;0,CR751*MAX(1,AG751/X751),IF(CA751=1,IF(AG751&lt;=0,0,CE751*MAX(1,IF(H751&gt;0,AG751/H751,1))),IF(R751&gt;0,AH751/R751,0))/MAX(0.1,N(Parameter!$M$21)))</f>
        <v>0.0384615384615385</v>
      </c>
      <c r="AJ751" s="62" t="n">
        <f aca="false">AI751*CC751</f>
        <v>5.96153846153846</v>
      </c>
      <c r="AK751" s="63" t="n">
        <f aca="false">IF(LEFT(Cockpit!$C$5,1)="A",H751,IF(CI751=1,(CL751+CJ751)/2,IF(LEFT(Cockpit!$C$5,1)="B",(CL751+AM751)/2,MAX((CL751+AM751)/2,H751))))</f>
        <v>9</v>
      </c>
      <c r="AL751" s="62" t="n">
        <f aca="false">AK751*G751</f>
        <v>0.09</v>
      </c>
      <c r="AM751" s="62" t="n">
        <f aca="false">ROUNDUP(CL751+MAX(CM751,2*(J751/IF(CH751&gt;0,CH751,MAX(0.1,N(Cockpit!$C$6)))-CL751)),0)</f>
        <v>10</v>
      </c>
      <c r="AN751" s="63" t="n">
        <f aca="false">IF(AJ751&gt;0,J751/AJ751,-1)</f>
        <v>1.50967741935484</v>
      </c>
      <c r="AO751" s="63" t="n">
        <f aca="false">IF(AND(OR(CG751="L1",CG751="L23",CG751="LIFT"),AJ751&gt;0),SUMIFS($AJ$7:$AJ$1843,$CG$7:$CG$1843,CG751,$AN$7:$AN$1843,"&gt;"&amp;AN751)+SUMIFS($AJ$7:$AJ$1843,$CG$7:$CG$1843,CG751,$AN$7:$AN$1843,AN751,$BX$7:$BX$1843,"&lt;="&amp;BX751),"")</f>
        <v>6215.89148351648</v>
      </c>
      <c r="AP751" s="70" t="n">
        <f aca="false">IF(AO751="",0,MAX(0,MIN(1,(IF(CG751="L1",Parameter!$H$5,IF(CG751="L23",Parameter!$H$6+Parameter!$H$7,Parameter!$H$5+Parameter!$H$6+Parameter!$H$7))-(AO751-AJ751))/AJ751)))</f>
        <v>1</v>
      </c>
      <c r="AQ751" s="62" t="n">
        <f aca="false">IF(LEFT(Cockpit!$I$5,1)="A",H751,IF(Parameter!$E$30="MAX-Bestand",IF(CI751=1,CJ751,IF(LEFT(Cockpit!$I$5,1)="B",AW751,MAX(AW751,H751))),ROUNDUP(AU751,0)))</f>
        <v>9</v>
      </c>
      <c r="AR751" s="62" t="n">
        <f aca="false">IF(CA751=1,0,ROUNDUP(AQ751/BZ751,0))</f>
        <v>1</v>
      </c>
      <c r="AS751" s="64" t="n">
        <f aca="false">IF(CR751&gt;0,CR751*MAX(1,AQ751/X751),IF(CA751=1,IF(AQ751&lt;=0,0,CE751*MAX(1,IF(H751&gt;0,AQ751/H751,1))),IF(R751&gt;0,AR751/R751,0))/MAX(0.1,N(Parameter!$M$21)))</f>
        <v>0.0384615384615385</v>
      </c>
      <c r="AT751" s="62" t="n">
        <f aca="false">AS751*CC751</f>
        <v>5.96153846153846</v>
      </c>
      <c r="AU751" s="63" t="n">
        <f aca="false">IF(LEFT(Cockpit!$I$5,1)="A",H751,IF(CI751=1,(CL751+CJ751)/2,IF(LEFT(Cockpit!$I$5,1)="B",(CL751+AW751)/2,MAX((CL751+AW751)/2,H751))))</f>
        <v>9</v>
      </c>
      <c r="AV751" s="62" t="n">
        <f aca="false">AU751*G751</f>
        <v>0.09</v>
      </c>
      <c r="AW751" s="62" t="n">
        <f aca="false">ROUNDUP(CL751+MAX(CM751,2*(J751/IF(CH751&gt;0,CH751,MAX(0.1,N(Cockpit!$I$6)))-CL751)),0)</f>
        <v>10</v>
      </c>
      <c r="AX751" s="63" t="n">
        <f aca="false">IF(AT751&gt;0,J751/AT751,-1)</f>
        <v>1.50967741935484</v>
      </c>
      <c r="AY751" s="63" t="n">
        <f aca="false">IF(AND(OR(CG751="L1",CG751="L23",CG751="LIFT"),AT751&gt;0),SUMIFS($AT$7:$AT$1843,$CG$7:$CG$1843,CG751,$AX$7:$AX$1843,"&gt;"&amp;AX751)+SUMIFS($AT$7:$AT$1843,$CG$7:$CG$1843,CG751,$AX$7:$AX$1843,AX751,$BX$7:$BX$1843,"&lt;="&amp;BX751),"")</f>
        <v>7655.78021978022</v>
      </c>
      <c r="AZ751" s="70" t="n">
        <f aca="false">IF(AY751="",0,MAX(0,MIN(1,(IF(CG751="L1",Parameter!$H$5,IF(CG751="L23",Parameter!$H$6+Parameter!$H$7,Parameter!$H$5+Parameter!$H$6+Parameter!$H$7))-(AY751-AT751))/AT751)))</f>
        <v>1</v>
      </c>
      <c r="BA751" s="62" t="n">
        <f aca="false">IF(LEFT(Cockpit!$O$5,1)="A",H751,IF(Parameter!$E$30="MAX-Bestand",IF(CI751=1,CJ751,IF(LEFT(Cockpit!$O$5,1)="B",BG751,MAX(BG751,H751))),ROUNDUP(BE751,0)))</f>
        <v>5</v>
      </c>
      <c r="BB751" s="62" t="n">
        <f aca="false">IF(CA751=1,0,ROUNDUP(BA751/BZ751,0))</f>
        <v>1</v>
      </c>
      <c r="BC751" s="64" t="n">
        <f aca="false">IF(CR751&gt;0,CR751*MAX(1,BA751/X751),IF(CA751=1,IF(BA751&lt;=0,0,CE751*MAX(1,IF(H751&gt;0,BA751/H751,1))),IF(R751&gt;0,BB751/R751,0))/MAX(0.1,N(Parameter!$M$21)))</f>
        <v>0.0384615384615385</v>
      </c>
      <c r="BD751" s="62" t="n">
        <f aca="false">BC751*CC751</f>
        <v>5.96153846153846</v>
      </c>
      <c r="BE751" s="63" t="n">
        <f aca="false">IF(LEFT(Cockpit!$O$5,1)="A",H751,IF(CI751=1,(CL751+CJ751)/2,IF(LEFT(Cockpit!$O$5,1)="B",(CL751+BG751)/2,MAX((CL751+BG751)/2,H751))))</f>
        <v>5</v>
      </c>
      <c r="BF751" s="62" t="n">
        <f aca="false">BE751*G751</f>
        <v>0.05</v>
      </c>
      <c r="BG751" s="62" t="n">
        <f aca="false">ROUNDUP(CL751+MAX(CM751,2*(J751/IF(CH751&gt;0,CH751,MAX(0.1,N(Cockpit!$O$6)))-CL751)),0)</f>
        <v>10</v>
      </c>
      <c r="BH751" s="63" t="n">
        <f aca="false">IF(BD751&gt;0,J751/BD751,-1)</f>
        <v>1.50967741935484</v>
      </c>
      <c r="BI751" s="63" t="n">
        <f aca="false">IF(AND(OR(CG751="L1",CG751="L23",CG751="LIFT"),BD751&gt;0),SUMIFS($BD$7:$BD$1843,$CG$7:$CG$1843,CG751,$BH$7:$BH$1843,"&gt;"&amp;BH751)+SUMIFS($BD$7:$BD$1843,$CG$7:$CG$1843,CG751,$BH$7:$BH$1843,BH751,$BX$7:$BX$1843,"&lt;="&amp;BX751),"")</f>
        <v>6468.4445970696</v>
      </c>
      <c r="BJ751" s="70" t="n">
        <f aca="false">IF(BI751="",0,MAX(0,MIN(1,(IF(CG751="L1",Parameter!$H$5,IF(CG751="L23",Parameter!$H$6+Parameter!$H$7,Parameter!$H$5+Parameter!$H$6+Parameter!$H$7))-(BI751-BD751))/BD751)))</f>
        <v>1</v>
      </c>
      <c r="BK751" s="60" t="str">
        <f aca="false">IF(AJ751&lt;=0,"",IF(CG751="Aussen","Aussenlager",IF(CG751="-","Nicht im Lift",IF(AP751&gt;=1,"Lift",IF(AP751&lt;=0,"Aussenlager","teilweise")))))</f>
        <v>Lift</v>
      </c>
      <c r="BL751" s="60" t="str">
        <f aca="false">IF(AT751&lt;=0,"",IF(CG751="Aussen","Aussenlager",IF(CG751="-","Nicht im Lift",IF(AZ751&gt;=1,"Lift",IF(AZ751&lt;=0,"Aussenlager","teilweise")))))</f>
        <v>Lift</v>
      </c>
      <c r="BM751" s="60" t="str">
        <f aca="false">IF(BD751&lt;=0,"",IF(CG751="Aussen","Aussenlager",IF(CG751="-","Nicht im Lift",IF(BJ751&gt;=1,"Lift",IF(BJ751&lt;=0,"Aussenlager","teilweise")))))</f>
        <v>Lift</v>
      </c>
      <c r="BN751" s="60" t="str">
        <f aca="false">IF(A751="","",IF(BW751=1,"Neu; ","")&amp;IF(AND(BW751=0,BR751&lt;0),"negativer Bestand (Export "&amp;BR751&amp;"); ","")&amp;IF(J751&lt;=0,"Kein Verbrauch; ","")&amp;IF(CR751&gt;0,"Lift "&amp;W751&amp;" lt. Liftbericht (Fach "&amp;X751&amp;" Stk); ",IF(CB751=1,"Gebinde geschätzt ("&amp;T751&amp;"); ",IF(CA751=1,"Lose – Tablare geschätzt; ","")))&amp;IF(H751&gt;AW751,"Überbestand "&amp;ROUND(H751-AW751,0)&amp;" Stk / CHF "&amp;ROUND((H751-AW751)*G751,0)&amp;"; ","")&amp;IF(AND(CI751=1,CJ751&lt;CK751),"MAX &lt; MB+LG; ","")&amp;IF(AND(CQ751&gt;0,CP751*10&gt;CQ751),"zu hoch für Tablar; ","")&amp;IF(AND(BW751=0,OR(CI751=1,AB751&lt;&gt;"",U751&lt;&gt;"",V751&lt;&gt;"",AC751&lt;&gt;"")),"manuell übersteuert; ","")&amp;IF(AND(CA751=0,R751=0),"Gebinde unbekannt / Stellmass fehlt; ","")&amp;IF(AND(CA751=0,N(V751)&lt;=0,N(Q751)&lt;=0),"Menge pro Gebinde fehlt (Ist = 1 Gebinde); ","")&amp;BV751)</f>
        <v>negativer Bestand (Export -9); Gebinde geschätzt (Klein); Menge pro Gebinde fehlt (Ist = 1 Gebinde); </v>
      </c>
      <c r="BO751" s="60"/>
      <c r="BP751" s="60"/>
      <c r="BQ751" s="67"/>
      <c r="BR751" s="62" t="n">
        <v>-9</v>
      </c>
      <c r="BS751" s="62" t="n">
        <v>18</v>
      </c>
      <c r="BT751" s="61" t="n">
        <v>-0.09</v>
      </c>
      <c r="BU751" s="62" t="n">
        <v>9</v>
      </c>
      <c r="BV751" s="60"/>
      <c r="BW751" s="65" t="n">
        <v>0</v>
      </c>
      <c r="BX751" s="65" t="n">
        <v>751</v>
      </c>
      <c r="BY751" s="60" t="str">
        <f aca="false">IF(U751&lt;&gt;"",UPPER(TRIM(U751)),IF(CB751=1,UPPER(VLOOKUP(T751,Parameter!$I$27:$K$29,2,0)),IF(P751="","LOSE",P751)))</f>
        <v>S51</v>
      </c>
      <c r="BZ751" s="62" t="n">
        <f aca="false">IF(BY751="LOSE",1,IF(N(V751)&gt;0,V751,IF(CB751=1,MAX(1,N(VLOOKUP(T751,Parameter!$I$27:$K$29,3,0)),H751,N(N751)),IF(N(Q751)&gt;0,Q751,MAX(1,H751)))))</f>
        <v>20</v>
      </c>
      <c r="CA751" s="65" t="n">
        <f aca="false">IF(BY751="LOSE",1,0)</f>
        <v>0</v>
      </c>
      <c r="CB751" s="65" t="n">
        <f aca="false">IF(AND(U751="",OR(P751="",P751="LOSE"),T751&lt;&gt;"",N(S751)&lt;=0,ISNUMBER(MATCH(T751,Parameter!$I$27:$I$29,0))),1,0)</f>
        <v>1</v>
      </c>
      <c r="CC751" s="65" t="n">
        <f aca="false">IF(CR751&gt;0,INDEX(Parameter!$H$5:$H$7,W751)/INDEX(Parameter!$E$5:$E$7,W751),IF(AND(CA751=0,N(IFERROR(VLOOKUP(BY751,'Gebinde-Kategorie'!$A$5:$N$45,14,0),0))&gt;0),VLOOKUP(BY751,'Gebinde-Kategorie'!$A$5:$N$45,14,0)*10+Parameter!$M$23,Parameter!$M$24))</f>
        <v>155</v>
      </c>
      <c r="CD751" s="60" t="str">
        <f aca="false">IF(AND(Parameter!$B$19="Ja",E751&lt;&gt;"",ISNUMBER(MATCH(E751,Parameter!$I$35:$I$52,0))),VLOOKUP(E751,Parameter!$I$35:$J$52,2,0),IFERROR(VLOOKUP(D751,Parameter!$A$35:$C$64,2,0),"Nein"))</f>
        <v>2+3</v>
      </c>
      <c r="CE751" s="64" t="n">
        <f aca="false">IF(CA751=0,0,IF(N(S751)&gt;0,S751,IFERROR(VLOOKUP(D751,Parameter!$A$35:$C$64,3,0)+0,0)))</f>
        <v>0</v>
      </c>
      <c r="CF751" s="60" t="n">
        <f aca="false">IF(AB751&lt;&gt;"",AB751,AA751)</f>
        <v>3</v>
      </c>
      <c r="CG751" s="60" t="str">
        <f aca="false">IF(OR(CF751=1,CF751=2,CF751=3),IF(Parameter!$E$27="Ja","LIFT",IF(CF751=1,"L1","L23")),IF(CF751="Aussen","Aussen","-"))</f>
        <v>LIFT</v>
      </c>
      <c r="CH751" s="71" t="n">
        <f aca="false">IF(N(AC751)&gt;0,AC751,0)</f>
        <v>0</v>
      </c>
      <c r="CI751" s="65" t="n">
        <f aca="false">IF(ISNUMBER(AF751),1,0)</f>
        <v>0</v>
      </c>
      <c r="CJ751" s="62" t="n">
        <f aca="false">N(AF751)</f>
        <v>0</v>
      </c>
      <c r="CK751" s="62" t="n">
        <f aca="false">N(M751)+N(N751)</f>
        <v>10</v>
      </c>
      <c r="CL751" s="62" t="n">
        <f aca="false">N(M751)</f>
        <v>0</v>
      </c>
      <c r="CM751" s="62" t="n">
        <f aca="false">N(N751)</f>
        <v>10</v>
      </c>
      <c r="CN751" s="62" t="n">
        <f aca="false">ROUNDUP(H751/BZ751,0)</f>
        <v>1</v>
      </c>
      <c r="CO751" s="62" t="n">
        <f aca="false">ROUNDUP(CJ751/BZ751,0)</f>
        <v>0</v>
      </c>
      <c r="CP751" s="65" t="n">
        <f aca="false">IF(CA751=1,0,IFERROR(VLOOKUP(BY751,'Gebinde-Kategorie'!$A$5:$N$45,5,0)+0,0))</f>
        <v>11</v>
      </c>
      <c r="CQ751" s="65" t="n">
        <f aca="false">IFERROR(IF(OR(CF751=1,CF751=2,CF751=3),N(INDEX(Parameter!$I$5:$I$7,CF751)),0),0)</f>
        <v>0</v>
      </c>
      <c r="CR751" s="64" t="n">
        <f aca="false">IF(AND(Parameter!$B$21="Ja",ISNUMBER(W751),N(X751)&gt;0),IFERROR(N(INDEX(Parameter!$L$5:$L$7,W751))*INDEX(Parameter!$E$5:$E$7,W751)*X751/SUMIFS($X$7:$X$1843,$W$7:$W$1843,W751),0),0)</f>
        <v>0</v>
      </c>
      <c r="CS751" s="62" t="n">
        <f aca="false">IF(AND(OR(CG751="L1",CG751="L23",CG751="LIFT"),H751&gt;0),CC751*IF(CR751&gt;0,CR751*MAX(1,H751/X751),IF(CA751=1,CE751,IF(R751&gt;0,CN751/R751,0))/MAX(0.1,N(Parameter!$M$21))),"")</f>
        <v>5.96153846153846</v>
      </c>
      <c r="CT751" s="64" t="n">
        <f aca="false">IF(CS751="","",J751/H751)</f>
        <v>1</v>
      </c>
      <c r="CU751" s="62" t="n">
        <f aca="false">IF(CS751="","",H751*G751)</f>
        <v>0.09</v>
      </c>
      <c r="CV751" s="63" t="n">
        <f aca="false">IF(CS751="","",(CL751+ROUNDUP(CL751+MAX(CM751,2*(J751/MAX(0.1,N(Einkauf!$C$6))-CL751)),0))/2)</f>
        <v>5</v>
      </c>
      <c r="CW751" s="62" t="n">
        <f aca="false">IF(CS751="","",MAX(0,H751-CV751)*G751)</f>
        <v>0.04</v>
      </c>
      <c r="CX751" s="62" t="n">
        <f aca="false">IF(CS751="","",CS751*MAX(0,1-CV751/H751))</f>
        <v>2.64957264957265</v>
      </c>
      <c r="CY751" s="64" t="n">
        <f aca="false">IF(CS751="","",PERCENTRANK($CS$7:$CS$1843,CS751)+PERCENTRANK($CU$7:$CU$1843,CU751)+1-PERCENTRANK($CT$7:$CT$1843,CT751))</f>
        <v>0.72405</v>
      </c>
      <c r="CZ751" s="72" t="n">
        <f aca="false">IF(CS751="","",CHOOSE(MATCH(Einkauf!$C$5,Parameter!$G$23:$G$27,0),CY751,CS751,CU751,-CT751,CW751)+ROW()/1000000000)</f>
        <v>0.724050751</v>
      </c>
    </row>
    <row r="752" customFormat="false" ht="15" hidden="false" customHeight="false" outlineLevel="0" collapsed="false">
      <c r="A752" s="60" t="s">
        <v>1531</v>
      </c>
      <c r="B752" s="60" t="s">
        <v>1532</v>
      </c>
      <c r="C752" s="60" t="s">
        <v>498</v>
      </c>
      <c r="D752" s="60" t="s">
        <v>215</v>
      </c>
      <c r="E752" s="60"/>
      <c r="F752" s="60" t="s">
        <v>260</v>
      </c>
      <c r="G752" s="61" t="n">
        <v>0.01</v>
      </c>
      <c r="H752" s="62" t="n">
        <f aca="false">MAX(0,IF(AND(Parameter!$B$21="Ja",ISNUMBER(Y752)),Y752,IF(Parameter!$B$20="Jahresanfang 2025 + Export",BS752+BR752,BR752)))</f>
        <v>0</v>
      </c>
      <c r="I752" s="62" t="n">
        <f aca="false">H752*G752</f>
        <v>0</v>
      </c>
      <c r="J752" s="62" t="n">
        <f aca="false">BU752*Parameter!$B$18</f>
        <v>8</v>
      </c>
      <c r="K752" s="63" t="n">
        <v>8</v>
      </c>
      <c r="L752" s="64" t="n">
        <v>1</v>
      </c>
      <c r="M752" s="62" t="n">
        <v>0</v>
      </c>
      <c r="N752" s="62" t="n">
        <v>10</v>
      </c>
      <c r="O752" s="65" t="n">
        <v>90</v>
      </c>
      <c r="P752" s="60" t="s">
        <v>210</v>
      </c>
      <c r="Q752" s="62"/>
      <c r="R752" s="65" t="n">
        <f aca="false">IF(CA752=1,0,IFERROR(VLOOKUP(BY752,'Gebinde-Kategorie'!$A$5:$N$45,13,0)+0,0))</f>
        <v>26</v>
      </c>
      <c r="S752" s="66"/>
      <c r="T752" s="67" t="s">
        <v>317</v>
      </c>
      <c r="U752" s="67"/>
      <c r="V752" s="67"/>
      <c r="W752" s="60"/>
      <c r="X752" s="62"/>
      <c r="Y752" s="62"/>
      <c r="Z752" s="60" t="n">
        <v>3</v>
      </c>
      <c r="AA752" s="60" t="n">
        <f aca="false">IF(A752="","",IF(AND(Parameter!$B$21="Ja",ISNUMBER(W752)),W752,IF(AND(Parameter!$E$27="Ja",ISNUMBER(Z752),CD752&lt;&gt;"Nein"),Z752,IF(CD752="2+3",IF(ISNUMBER(SEARCH("grosser Artikel",BV752)),2,IFERROR(VLOOKUP(BY752,Parameter!$F$35:$G$64,2,0),2)),IF(OR(CD752="Nein",CD752=""),"-",CD752)))))</f>
        <v>3</v>
      </c>
      <c r="AB752" s="67"/>
      <c r="AC752" s="68"/>
      <c r="AD752" s="62" t="n">
        <f aca="false">AW752</f>
        <v>10</v>
      </c>
      <c r="AE752" s="62" t="n">
        <f aca="false">MAX(AW752,H752)</f>
        <v>10</v>
      </c>
      <c r="AF752" s="69"/>
      <c r="AG752" s="62" t="n">
        <f aca="false">IF(LEFT(Cockpit!$C$5,1)="A",H752,IF(Parameter!$E$30="MAX-Bestand",IF(CI752=1,CJ752,IF(LEFT(Cockpit!$C$5,1)="B",AM752,MAX(AM752,H752))),ROUNDUP(AK752,0)))</f>
        <v>0</v>
      </c>
      <c r="AH752" s="62" t="n">
        <f aca="false">IF(CA752=1,0,ROUNDUP(AG752/BZ752,0))</f>
        <v>0</v>
      </c>
      <c r="AI752" s="64" t="n">
        <f aca="false">IF(CR752&gt;0,CR752*MAX(1,AG752/X752),IF(CA752=1,IF(AG752&lt;=0,0,CE752*MAX(1,IF(H752&gt;0,AG752/H752,1))),IF(R752&gt;0,AH752/R752,0))/MAX(0.1,N(Parameter!$M$21)))</f>
        <v>0</v>
      </c>
      <c r="AJ752" s="62" t="n">
        <f aca="false">AI752*CC752</f>
        <v>0</v>
      </c>
      <c r="AK752" s="63" t="n">
        <f aca="false">IF(LEFT(Cockpit!$C$5,1)="A",H752,IF(CI752=1,(CL752+CJ752)/2,IF(LEFT(Cockpit!$C$5,1)="B",(CL752+AM752)/2,MAX((CL752+AM752)/2,H752))))</f>
        <v>0</v>
      </c>
      <c r="AL752" s="62" t="n">
        <f aca="false">AK752*G752</f>
        <v>0</v>
      </c>
      <c r="AM752" s="62" t="n">
        <f aca="false">ROUNDUP(CL752+MAX(CM752,2*(J752/IF(CH752&gt;0,CH752,MAX(0.1,N(Cockpit!$C$6)))-CL752)),0)</f>
        <v>10</v>
      </c>
      <c r="AN752" s="63" t="n">
        <f aca="false">IF(AJ752&gt;0,J752/AJ752,-1)</f>
        <v>-1</v>
      </c>
      <c r="AO752" s="63" t="str">
        <f aca="false">IF(AND(OR(CG752="L1",CG752="L23",CG752="LIFT"),AJ752&gt;0),SUMIFS($AJ$7:$AJ$1843,$CG$7:$CG$1843,CG752,$AN$7:$AN$1843,"&gt;"&amp;AN752)+SUMIFS($AJ$7:$AJ$1843,$CG$7:$CG$1843,CG752,$AN$7:$AN$1843,AN752,$BX$7:$BX$1843,"&lt;="&amp;BX752),"")</f>
        <v/>
      </c>
      <c r="AP752" s="70" t="n">
        <f aca="false">IF(AO752="",0,MAX(0,MIN(1,(IF(CG752="L1",Parameter!$H$5,IF(CG752="L23",Parameter!$H$6+Parameter!$H$7,Parameter!$H$5+Parameter!$H$6+Parameter!$H$7))-(AO752-AJ752))/AJ752)))</f>
        <v>0</v>
      </c>
      <c r="AQ752" s="62" t="n">
        <f aca="false">IF(LEFT(Cockpit!$I$5,1)="A",H752,IF(Parameter!$E$30="MAX-Bestand",IF(CI752=1,CJ752,IF(LEFT(Cockpit!$I$5,1)="B",AW752,MAX(AW752,H752))),ROUNDUP(AU752,0)))</f>
        <v>5</v>
      </c>
      <c r="AR752" s="62" t="n">
        <f aca="false">IF(CA752=1,0,ROUNDUP(AQ752/BZ752,0))</f>
        <v>1</v>
      </c>
      <c r="AS752" s="64" t="n">
        <f aca="false">IF(CR752&gt;0,CR752*MAX(1,AQ752/X752),IF(CA752=1,IF(AQ752&lt;=0,0,CE752*MAX(1,IF(H752&gt;0,AQ752/H752,1))),IF(R752&gt;0,AR752/R752,0))/MAX(0.1,N(Parameter!$M$21)))</f>
        <v>0.0384615384615385</v>
      </c>
      <c r="AT752" s="62" t="n">
        <f aca="false">AS752*CC752</f>
        <v>5.96153846153846</v>
      </c>
      <c r="AU752" s="63" t="n">
        <f aca="false">IF(LEFT(Cockpit!$I$5,1)="A",H752,IF(CI752=1,(CL752+CJ752)/2,IF(LEFT(Cockpit!$I$5,1)="B",(CL752+AW752)/2,MAX((CL752+AW752)/2,H752))))</f>
        <v>5</v>
      </c>
      <c r="AV752" s="62" t="n">
        <f aca="false">AU752*G752</f>
        <v>0.05</v>
      </c>
      <c r="AW752" s="62" t="n">
        <f aca="false">ROUNDUP(CL752+MAX(CM752,2*(J752/IF(CH752&gt;0,CH752,MAX(0.1,N(Cockpit!$I$6)))-CL752)),0)</f>
        <v>10</v>
      </c>
      <c r="AX752" s="63" t="n">
        <f aca="false">IF(AT752&gt;0,J752/AT752,-1)</f>
        <v>1.34193548387097</v>
      </c>
      <c r="AY752" s="63" t="n">
        <f aca="false">IF(AND(OR(CG752="L1",CG752="L23",CG752="LIFT"),AT752&gt;0),SUMIFS($AT$7:$AT$1843,$CG$7:$CG$1843,CG752,$AX$7:$AX$1843,"&gt;"&amp;AX752)+SUMIFS($AT$7:$AT$1843,$CG$7:$CG$1843,CG752,$AX$7:$AX$1843,AX752,$BX$7:$BX$1843,"&lt;="&amp;BX752),"")</f>
        <v>7853.84111721612</v>
      </c>
      <c r="AZ752" s="70" t="n">
        <f aca="false">IF(AY752="",0,MAX(0,MIN(1,(IF(CG752="L1",Parameter!$H$5,IF(CG752="L23",Parameter!$H$6+Parameter!$H$7,Parameter!$H$5+Parameter!$H$6+Parameter!$H$7))-(AY752-AT752))/AT752)))</f>
        <v>1</v>
      </c>
      <c r="BA752" s="62" t="n">
        <f aca="false">IF(LEFT(Cockpit!$O$5,1)="A",H752,IF(Parameter!$E$30="MAX-Bestand",IF(CI752=1,CJ752,IF(LEFT(Cockpit!$O$5,1)="B",BG752,MAX(BG752,H752))),ROUNDUP(BE752,0)))</f>
        <v>5</v>
      </c>
      <c r="BB752" s="62" t="n">
        <f aca="false">IF(CA752=1,0,ROUNDUP(BA752/BZ752,0))</f>
        <v>1</v>
      </c>
      <c r="BC752" s="64" t="n">
        <f aca="false">IF(CR752&gt;0,CR752*MAX(1,BA752/X752),IF(CA752=1,IF(BA752&lt;=0,0,CE752*MAX(1,IF(H752&gt;0,BA752/H752,1))),IF(R752&gt;0,BB752/R752,0))/MAX(0.1,N(Parameter!$M$21)))</f>
        <v>0.0384615384615385</v>
      </c>
      <c r="BD752" s="62" t="n">
        <f aca="false">BC752*CC752</f>
        <v>5.96153846153846</v>
      </c>
      <c r="BE752" s="63" t="n">
        <f aca="false">IF(LEFT(Cockpit!$O$5,1)="A",H752,IF(CI752=1,(CL752+CJ752)/2,IF(LEFT(Cockpit!$O$5,1)="B",(CL752+BG752)/2,MAX((CL752+BG752)/2,H752))))</f>
        <v>5</v>
      </c>
      <c r="BF752" s="62" t="n">
        <f aca="false">BE752*G752</f>
        <v>0.05</v>
      </c>
      <c r="BG752" s="62" t="n">
        <f aca="false">ROUNDUP(CL752+MAX(CM752,2*(J752/IF(CH752&gt;0,CH752,MAX(0.1,N(Cockpit!$O$6)))-CL752)),0)</f>
        <v>10</v>
      </c>
      <c r="BH752" s="63" t="n">
        <f aca="false">IF(BD752&gt;0,J752/BD752,-1)</f>
        <v>1.34193548387097</v>
      </c>
      <c r="BI752" s="63" t="n">
        <f aca="false">IF(AND(OR(CG752="L1",CG752="L23",CG752="LIFT"),BD752&gt;0),SUMIFS($BD$7:$BD$1843,$CG$7:$CG$1843,CG752,$BH$7:$BH$1843,"&gt;"&amp;BH752)+SUMIFS($BD$7:$BD$1843,$CG$7:$CG$1843,CG752,$BH$7:$BH$1843,BH752,$BX$7:$BX$1843,"&lt;="&amp;BX752),"")</f>
        <v>6791.05677655678</v>
      </c>
      <c r="BJ752" s="70" t="n">
        <f aca="false">IF(BI752="",0,MAX(0,MIN(1,(IF(CG752="L1",Parameter!$H$5,IF(CG752="L23",Parameter!$H$6+Parameter!$H$7,Parameter!$H$5+Parameter!$H$6+Parameter!$H$7))-(BI752-BD752))/BD752)))</f>
        <v>1</v>
      </c>
      <c r="BK752" s="60" t="str">
        <f aca="false">IF(AJ752&lt;=0,"",IF(CG752="Aussen","Aussenlager",IF(CG752="-","Nicht im Lift",IF(AP752&gt;=1,"Lift",IF(AP752&lt;=0,"Aussenlager","teilweise")))))</f>
        <v/>
      </c>
      <c r="BL752" s="60" t="str">
        <f aca="false">IF(AT752&lt;=0,"",IF(CG752="Aussen","Aussenlager",IF(CG752="-","Nicht im Lift",IF(AZ752&gt;=1,"Lift",IF(AZ752&lt;=0,"Aussenlager","teilweise")))))</f>
        <v>Lift</v>
      </c>
      <c r="BM752" s="60" t="str">
        <f aca="false">IF(BD752&lt;=0,"",IF(CG752="Aussen","Aussenlager",IF(CG752="-","Nicht im Lift",IF(BJ752&gt;=1,"Lift",IF(BJ752&lt;=0,"Aussenlager","teilweise")))))</f>
        <v>Lift</v>
      </c>
      <c r="BN752" s="60" t="str">
        <f aca="false">IF(A752="","",IF(BW752=1,"Neu; ","")&amp;IF(AND(BW752=0,BR752&lt;0),"negativer Bestand (Export "&amp;BR752&amp;"); ","")&amp;IF(J752&lt;=0,"Kein Verbrauch; ","")&amp;IF(CR752&gt;0,"Lift "&amp;W752&amp;" lt. Liftbericht (Fach "&amp;X752&amp;" Stk); ",IF(CB752=1,"Gebinde geschätzt ("&amp;T752&amp;"); ",IF(CA752=1,"Lose – Tablare geschätzt; ","")))&amp;IF(H752&gt;AW752,"Überbestand "&amp;ROUND(H752-AW752,0)&amp;" Stk / CHF "&amp;ROUND((H752-AW752)*G752,0)&amp;"; ","")&amp;IF(AND(CI752=1,CJ752&lt;CK752),"MAX &lt; MB+LG; ","")&amp;IF(AND(CQ752&gt;0,CP752*10&gt;CQ752),"zu hoch für Tablar; ","")&amp;IF(AND(BW752=0,OR(CI752=1,AB752&lt;&gt;"",U752&lt;&gt;"",V752&lt;&gt;"",AC752&lt;&gt;"")),"manuell übersteuert; ","")&amp;IF(AND(CA752=0,R752=0),"Gebinde unbekannt / Stellmass fehlt; ","")&amp;IF(AND(CA752=0,N(V752)&lt;=0,N(Q752)&lt;=0),"Menge pro Gebinde fehlt (Ist = 1 Gebinde); ","")&amp;BV752)</f>
        <v>negativer Bestand (Export -16); Gebinde geschätzt (Klein); Menge pro Gebinde fehlt (Ist = 1 Gebinde); </v>
      </c>
      <c r="BO752" s="60"/>
      <c r="BP752" s="60"/>
      <c r="BQ752" s="67"/>
      <c r="BR752" s="62" t="n">
        <v>-16</v>
      </c>
      <c r="BS752" s="62" t="n">
        <v>16</v>
      </c>
      <c r="BT752" s="61" t="n">
        <v>-0.16</v>
      </c>
      <c r="BU752" s="62" t="n">
        <v>8</v>
      </c>
      <c r="BV752" s="60"/>
      <c r="BW752" s="65" t="n">
        <v>0</v>
      </c>
      <c r="BX752" s="65" t="n">
        <v>752</v>
      </c>
      <c r="BY752" s="60" t="str">
        <f aca="false">IF(U752&lt;&gt;"",UPPER(TRIM(U752)),IF(CB752=1,UPPER(VLOOKUP(T752,Parameter!$I$27:$K$29,2,0)),IF(P752="","LOSE",P752)))</f>
        <v>S51</v>
      </c>
      <c r="BZ752" s="62" t="n">
        <f aca="false">IF(BY752="LOSE",1,IF(N(V752)&gt;0,V752,IF(CB752=1,MAX(1,N(VLOOKUP(T752,Parameter!$I$27:$K$29,3,0)),H752,N(N752)),IF(N(Q752)&gt;0,Q752,MAX(1,H752)))))</f>
        <v>20</v>
      </c>
      <c r="CA752" s="65" t="n">
        <f aca="false">IF(BY752="LOSE",1,0)</f>
        <v>0</v>
      </c>
      <c r="CB752" s="65" t="n">
        <f aca="false">IF(AND(U752="",OR(P752="",P752="LOSE"),T752&lt;&gt;"",N(S752)&lt;=0,ISNUMBER(MATCH(T752,Parameter!$I$27:$I$29,0))),1,0)</f>
        <v>1</v>
      </c>
      <c r="CC752" s="65" t="n">
        <f aca="false">IF(CR752&gt;0,INDEX(Parameter!$H$5:$H$7,W752)/INDEX(Parameter!$E$5:$E$7,W752),IF(AND(CA752=0,N(IFERROR(VLOOKUP(BY752,'Gebinde-Kategorie'!$A$5:$N$45,14,0),0))&gt;0),VLOOKUP(BY752,'Gebinde-Kategorie'!$A$5:$N$45,14,0)*10+Parameter!$M$23,Parameter!$M$24))</f>
        <v>155</v>
      </c>
      <c r="CD752" s="60" t="str">
        <f aca="false">IF(AND(Parameter!$B$19="Ja",E752&lt;&gt;"",ISNUMBER(MATCH(E752,Parameter!$I$35:$I$52,0))),VLOOKUP(E752,Parameter!$I$35:$J$52,2,0),IFERROR(VLOOKUP(D752,Parameter!$A$35:$C$64,2,0),"Nein"))</f>
        <v>2+3</v>
      </c>
      <c r="CE752" s="64" t="n">
        <f aca="false">IF(CA752=0,0,IF(N(S752)&gt;0,S752,IFERROR(VLOOKUP(D752,Parameter!$A$35:$C$64,3,0)+0,0)))</f>
        <v>0</v>
      </c>
      <c r="CF752" s="60" t="n">
        <f aca="false">IF(AB752&lt;&gt;"",AB752,AA752)</f>
        <v>3</v>
      </c>
      <c r="CG752" s="60" t="str">
        <f aca="false">IF(OR(CF752=1,CF752=2,CF752=3),IF(Parameter!$E$27="Ja","LIFT",IF(CF752=1,"L1","L23")),IF(CF752="Aussen","Aussen","-"))</f>
        <v>LIFT</v>
      </c>
      <c r="CH752" s="71" t="n">
        <f aca="false">IF(N(AC752)&gt;0,AC752,0)</f>
        <v>0</v>
      </c>
      <c r="CI752" s="65" t="n">
        <f aca="false">IF(ISNUMBER(AF752),1,0)</f>
        <v>0</v>
      </c>
      <c r="CJ752" s="62" t="n">
        <f aca="false">N(AF752)</f>
        <v>0</v>
      </c>
      <c r="CK752" s="62" t="n">
        <f aca="false">N(M752)+N(N752)</f>
        <v>10</v>
      </c>
      <c r="CL752" s="62" t="n">
        <f aca="false">N(M752)</f>
        <v>0</v>
      </c>
      <c r="CM752" s="62" t="n">
        <f aca="false">N(N752)</f>
        <v>10</v>
      </c>
      <c r="CN752" s="62" t="n">
        <f aca="false">ROUNDUP(H752/BZ752,0)</f>
        <v>0</v>
      </c>
      <c r="CO752" s="62" t="n">
        <f aca="false">ROUNDUP(CJ752/BZ752,0)</f>
        <v>0</v>
      </c>
      <c r="CP752" s="65" t="n">
        <f aca="false">IF(CA752=1,0,IFERROR(VLOOKUP(BY752,'Gebinde-Kategorie'!$A$5:$N$45,5,0)+0,0))</f>
        <v>11</v>
      </c>
      <c r="CQ752" s="65" t="n">
        <f aca="false">IFERROR(IF(OR(CF752=1,CF752=2,CF752=3),N(INDEX(Parameter!$I$5:$I$7,CF752)),0),0)</f>
        <v>0</v>
      </c>
      <c r="CR752" s="64" t="n">
        <f aca="false">IF(AND(Parameter!$B$21="Ja",ISNUMBER(W752),N(X752)&gt;0),IFERROR(N(INDEX(Parameter!$L$5:$L$7,W752))*INDEX(Parameter!$E$5:$E$7,W752)*X752/SUMIFS($X$7:$X$1843,$W$7:$W$1843,W752),0),0)</f>
        <v>0</v>
      </c>
      <c r="CS752" s="62" t="str">
        <f aca="false">IF(AND(OR(CG752="L1",CG752="L23",CG752="LIFT"),H752&gt;0),CC752*IF(CR752&gt;0,CR752*MAX(1,H752/X752),IF(CA752=1,CE752,IF(R752&gt;0,CN752/R752,0))/MAX(0.1,N(Parameter!$M$21))),"")</f>
        <v/>
      </c>
      <c r="CT752" s="64" t="str">
        <f aca="false">IF(CS752="","",J752/H752)</f>
        <v/>
      </c>
      <c r="CU752" s="62" t="str">
        <f aca="false">IF(CS752="","",H752*G752)</f>
        <v/>
      </c>
      <c r="CV752" s="63" t="str">
        <f aca="false">IF(CS752="","",(CL752+ROUNDUP(CL752+MAX(CM752,2*(J752/MAX(0.1,N(Einkauf!$C$6))-CL752)),0))/2)</f>
        <v/>
      </c>
      <c r="CW752" s="62" t="str">
        <f aca="false">IF(CS752="","",MAX(0,H752-CV752)*G752)</f>
        <v/>
      </c>
      <c r="CX752" s="62" t="str">
        <f aca="false">IF(CS752="","",CS752*MAX(0,1-CV752/H752))</f>
        <v/>
      </c>
      <c r="CY752" s="64" t="str">
        <f aca="false">IF(CS752="","",PERCENTRANK($CS$7:$CS$1843,CS752)+PERCENTRANK($CU$7:$CU$1843,CU752)+1-PERCENTRANK($CT$7:$CT$1843,CT752))</f>
        <v/>
      </c>
      <c r="CZ752" s="72" t="str">
        <f aca="false">IF(CS752="","",CHOOSE(MATCH(Einkauf!$C$5,Parameter!$G$23:$G$27,0),CY752,CS752,CU752,-CT752,CW752)+ROW()/1000000000)</f>
        <v/>
      </c>
    </row>
    <row r="753" customFormat="false" ht="15" hidden="false" customHeight="false" outlineLevel="0" collapsed="false">
      <c r="A753" s="60" t="s">
        <v>1533</v>
      </c>
      <c r="B753" s="60" t="s">
        <v>510</v>
      </c>
      <c r="C753" s="60" t="s">
        <v>206</v>
      </c>
      <c r="D753" s="60" t="s">
        <v>226</v>
      </c>
      <c r="E753" s="60" t="s">
        <v>227</v>
      </c>
      <c r="F753" s="60" t="s">
        <v>260</v>
      </c>
      <c r="G753" s="61" t="n">
        <v>0.2</v>
      </c>
      <c r="H753" s="62" t="n">
        <f aca="false">MAX(0,IF(AND(Parameter!$B$21="Ja",ISNUMBER(Y753)),Y753,IF(Parameter!$B$20="Jahresanfang 2025 + Export",BS753+BR753,BR753)))</f>
        <v>20</v>
      </c>
      <c r="I753" s="62" t="n">
        <f aca="false">H753*G753</f>
        <v>4</v>
      </c>
      <c r="J753" s="62" t="n">
        <f aca="false">BU753*Parameter!$B$18</f>
        <v>0</v>
      </c>
      <c r="K753" s="63" t="n">
        <v>20.5</v>
      </c>
      <c r="L753" s="64" t="n">
        <v>0</v>
      </c>
      <c r="M753" s="62" t="n">
        <v>0</v>
      </c>
      <c r="N753" s="62" t="n">
        <v>1</v>
      </c>
      <c r="O753" s="65" t="n">
        <v>28</v>
      </c>
      <c r="P753" s="60" t="s">
        <v>443</v>
      </c>
      <c r="Q753" s="62" t="n">
        <v>39</v>
      </c>
      <c r="R753" s="65" t="n">
        <f aca="false">IF(CA753=1,0,IFERROR(VLOOKUP(BY753,'Gebinde-Kategorie'!$A$5:$N$45,13,0)+0,0))</f>
        <v>280</v>
      </c>
      <c r="S753" s="66"/>
      <c r="T753" s="67"/>
      <c r="U753" s="67"/>
      <c r="V753" s="67"/>
      <c r="W753" s="60"/>
      <c r="X753" s="62"/>
      <c r="Y753" s="62"/>
      <c r="Z753" s="60" t="n">
        <v>2</v>
      </c>
      <c r="AA753" s="60" t="n">
        <f aca="false">IF(A753="","",IF(AND(Parameter!$B$21="Ja",ISNUMBER(W753)),W753,IF(AND(Parameter!$E$27="Ja",ISNUMBER(Z753),CD753&lt;&gt;"Nein"),Z753,IF(CD753="2+3",IF(ISNUMBER(SEARCH("grosser Artikel",BV753)),2,IFERROR(VLOOKUP(BY753,Parameter!$F$35:$G$64,2,0),2)),IF(OR(CD753="Nein",CD753=""),"-",CD753)))))</f>
        <v>2</v>
      </c>
      <c r="AB753" s="67"/>
      <c r="AC753" s="68"/>
      <c r="AD753" s="62" t="n">
        <f aca="false">AW753</f>
        <v>1</v>
      </c>
      <c r="AE753" s="62" t="n">
        <f aca="false">MAX(AW753,H753)</f>
        <v>20</v>
      </c>
      <c r="AF753" s="69"/>
      <c r="AG753" s="62" t="n">
        <f aca="false">IF(LEFT(Cockpit!$C$5,1)="A",H753,IF(Parameter!$E$30="MAX-Bestand",IF(CI753=1,CJ753,IF(LEFT(Cockpit!$C$5,1)="B",AM753,MAX(AM753,H753))),ROUNDUP(AK753,0)))</f>
        <v>20</v>
      </c>
      <c r="AH753" s="62" t="n">
        <f aca="false">IF(CA753=1,0,ROUNDUP(AG753/BZ753,0))</f>
        <v>1</v>
      </c>
      <c r="AI753" s="64" t="n">
        <f aca="false">IF(CR753&gt;0,CR753*MAX(1,AG753/X753),IF(CA753=1,IF(AG753&lt;=0,0,CE753*MAX(1,IF(H753&gt;0,AG753/H753,1))),IF(R753&gt;0,AH753/R753,0))/MAX(0.1,N(Parameter!$M$21)))</f>
        <v>0.00357142857142857</v>
      </c>
      <c r="AJ753" s="62" t="n">
        <f aca="false">AI753*CC753</f>
        <v>0.553571428571429</v>
      </c>
      <c r="AK753" s="63" t="n">
        <f aca="false">IF(LEFT(Cockpit!$C$5,1)="A",H753,IF(CI753=1,(CL753+CJ753)/2,IF(LEFT(Cockpit!$C$5,1)="B",(CL753+AM753)/2,MAX((CL753+AM753)/2,H753))))</f>
        <v>20</v>
      </c>
      <c r="AL753" s="62" t="n">
        <f aca="false">AK753*G753</f>
        <v>4</v>
      </c>
      <c r="AM753" s="62" t="n">
        <f aca="false">ROUNDUP(CL753+MAX(CM753,2*(J753/IF(CH753&gt;0,CH753,MAX(0.1,N(Cockpit!$C$6)))-CL753)),0)</f>
        <v>1</v>
      </c>
      <c r="AN753" s="63" t="n">
        <f aca="false">IF(AJ753&gt;0,J753/AJ753,-1)</f>
        <v>0</v>
      </c>
      <c r="AO753" s="63" t="n">
        <f aca="false">IF(AND(OR(CG753="L1",CG753="L23",CG753="LIFT"),AJ753&gt;0),SUMIFS($AJ$7:$AJ$1843,$CG$7:$CG$1843,CG753,$AN$7:$AN$1843,"&gt;"&amp;AN753)+SUMIFS($AJ$7:$AJ$1843,$CG$7:$CG$1843,CG753,$AN$7:$AN$1843,AN753,$BX$7:$BX$1843,"&lt;="&amp;BX753),"")</f>
        <v>28707.8435747398</v>
      </c>
      <c r="AP753" s="70" t="n">
        <f aca="false">IF(AO753="",0,MAX(0,MIN(1,(IF(CG753="L1",Parameter!$H$5,IF(CG753="L23",Parameter!$H$6+Parameter!$H$7,Parameter!$H$5+Parameter!$H$6+Parameter!$H$7))-(AO753-AJ753))/AJ753)))</f>
        <v>1</v>
      </c>
      <c r="AQ753" s="62" t="n">
        <f aca="false">IF(LEFT(Cockpit!$I$5,1)="A",H753,IF(Parameter!$E$30="MAX-Bestand",IF(CI753=1,CJ753,IF(LEFT(Cockpit!$I$5,1)="B",AW753,MAX(AW753,H753))),ROUNDUP(AU753,0)))</f>
        <v>20</v>
      </c>
      <c r="AR753" s="62" t="n">
        <f aca="false">IF(CA753=1,0,ROUNDUP(AQ753/BZ753,0))</f>
        <v>1</v>
      </c>
      <c r="AS753" s="64" t="n">
        <f aca="false">IF(CR753&gt;0,CR753*MAX(1,AQ753/X753),IF(CA753=1,IF(AQ753&lt;=0,0,CE753*MAX(1,IF(H753&gt;0,AQ753/H753,1))),IF(R753&gt;0,AR753/R753,0))/MAX(0.1,N(Parameter!$M$21)))</f>
        <v>0.00357142857142857</v>
      </c>
      <c r="AT753" s="62" t="n">
        <f aca="false">AS753*CC753</f>
        <v>0.553571428571429</v>
      </c>
      <c r="AU753" s="63" t="n">
        <f aca="false">IF(LEFT(Cockpit!$I$5,1)="A",H753,IF(CI753=1,(CL753+CJ753)/2,IF(LEFT(Cockpit!$I$5,1)="B",(CL753+AW753)/2,MAX((CL753+AW753)/2,H753))))</f>
        <v>20</v>
      </c>
      <c r="AV753" s="62" t="n">
        <f aca="false">AU753*G753</f>
        <v>4</v>
      </c>
      <c r="AW753" s="62" t="n">
        <f aca="false">ROUNDUP(CL753+MAX(CM753,2*(J753/IF(CH753&gt;0,CH753,MAX(0.1,N(Cockpit!$I$6)))-CL753)),0)</f>
        <v>1</v>
      </c>
      <c r="AX753" s="63" t="n">
        <f aca="false">IF(AT753&gt;0,J753/AT753,-1)</f>
        <v>0</v>
      </c>
      <c r="AY753" s="63" t="n">
        <f aca="false">IF(AND(OR(CG753="L1",CG753="L23",CG753="LIFT"),AT753&gt;0),SUMIFS($AT$7:$AT$1843,$CG$7:$CG$1843,CG753,$AX$7:$AX$1843,"&gt;"&amp;AX753)+SUMIFS($AT$7:$AT$1843,$CG$7:$CG$1843,CG753,$AX$7:$AX$1843,AX753,$BX$7:$BX$1843,"&lt;="&amp;BX753),"")</f>
        <v>34312.6268315018</v>
      </c>
      <c r="AZ753" s="70" t="n">
        <f aca="false">IF(AY753="",0,MAX(0,MIN(1,(IF(CG753="L1",Parameter!$H$5,IF(CG753="L23",Parameter!$H$6+Parameter!$H$7,Parameter!$H$5+Parameter!$H$6+Parameter!$H$7))-(AY753-AT753))/AT753)))</f>
        <v>1</v>
      </c>
      <c r="BA753" s="62" t="n">
        <f aca="false">IF(LEFT(Cockpit!$O$5,1)="A",H753,IF(Parameter!$E$30="MAX-Bestand",IF(CI753=1,CJ753,IF(LEFT(Cockpit!$O$5,1)="B",BG753,MAX(BG753,H753))),ROUNDUP(BE753,0)))</f>
        <v>1</v>
      </c>
      <c r="BB753" s="62" t="n">
        <f aca="false">IF(CA753=1,0,ROUNDUP(BA753/BZ753,0))</f>
        <v>1</v>
      </c>
      <c r="BC753" s="64" t="n">
        <f aca="false">IF(CR753&gt;0,CR753*MAX(1,BA753/X753),IF(CA753=1,IF(BA753&lt;=0,0,CE753*MAX(1,IF(H753&gt;0,BA753/H753,1))),IF(R753&gt;0,BB753/R753,0))/MAX(0.1,N(Parameter!$M$21)))</f>
        <v>0.00357142857142857</v>
      </c>
      <c r="BD753" s="62" t="n">
        <f aca="false">BC753*CC753</f>
        <v>0.553571428571429</v>
      </c>
      <c r="BE753" s="63" t="n">
        <f aca="false">IF(LEFT(Cockpit!$O$5,1)="A",H753,IF(CI753=1,(CL753+CJ753)/2,IF(LEFT(Cockpit!$O$5,1)="B",(CL753+BG753)/2,MAX((CL753+BG753)/2,H753))))</f>
        <v>0.5</v>
      </c>
      <c r="BF753" s="62" t="n">
        <f aca="false">BE753*G753</f>
        <v>0.1</v>
      </c>
      <c r="BG753" s="62" t="n">
        <f aca="false">ROUNDUP(CL753+MAX(CM753,2*(J753/IF(CH753&gt;0,CH753,MAX(0.1,N(Cockpit!$O$6)))-CL753)),0)</f>
        <v>1</v>
      </c>
      <c r="BH753" s="63" t="n">
        <f aca="false">IF(BD753&gt;0,J753/BD753,-1)</f>
        <v>0</v>
      </c>
      <c r="BI753" s="63" t="n">
        <f aca="false">IF(AND(OR(CG753="L1",CG753="L23",CG753="LIFT"),BD753&gt;0),SUMIFS($BD$7:$BD$1843,$CG$7:$CG$1843,CG753,$BH$7:$BH$1843,"&gt;"&amp;BH753)+SUMIFS($BD$7:$BD$1843,$CG$7:$CG$1843,CG753,$BH$7:$BH$1843,BH753,$BX$7:$BX$1843,"&lt;="&amp;BX753),"")</f>
        <v>28362.4582169243</v>
      </c>
      <c r="BJ753" s="70" t="n">
        <f aca="false">IF(BI753="",0,MAX(0,MIN(1,(IF(CG753="L1",Parameter!$H$5,IF(CG753="L23",Parameter!$H$6+Parameter!$H$7,Parameter!$H$5+Parameter!$H$6+Parameter!$H$7))-(BI753-BD753))/BD753)))</f>
        <v>1</v>
      </c>
      <c r="BK753" s="60" t="str">
        <f aca="false">IF(AJ753&lt;=0,"",IF(CG753="Aussen","Aussenlager",IF(CG753="-","Nicht im Lift",IF(AP753&gt;=1,"Lift",IF(AP753&lt;=0,"Aussenlager","teilweise")))))</f>
        <v>Lift</v>
      </c>
      <c r="BL753" s="60" t="str">
        <f aca="false">IF(AT753&lt;=0,"",IF(CG753="Aussen","Aussenlager",IF(CG753="-","Nicht im Lift",IF(AZ753&gt;=1,"Lift",IF(AZ753&lt;=0,"Aussenlager","teilweise")))))</f>
        <v>Lift</v>
      </c>
      <c r="BM753" s="60" t="str">
        <f aca="false">IF(BD753&lt;=0,"",IF(CG753="Aussen","Aussenlager",IF(CG753="-","Nicht im Lift",IF(BJ753&gt;=1,"Lift",IF(BJ753&lt;=0,"Aussenlager","teilweise")))))</f>
        <v>Lift</v>
      </c>
      <c r="BN753" s="60" t="str">
        <f aca="false">IF(A753="","",IF(BW753=1,"Neu; ","")&amp;IF(AND(BW753=0,BR753&lt;0),"negativer Bestand (Export "&amp;BR753&amp;"); ","")&amp;IF(J753&lt;=0,"Kein Verbrauch; ","")&amp;IF(CR753&gt;0,"Lift "&amp;W753&amp;" lt. Liftbericht (Fach "&amp;X753&amp;" Stk); ",IF(CB753=1,"Gebinde geschätzt ("&amp;T753&amp;"); ",IF(CA753=1,"Lose – Tablare geschätzt; ","")))&amp;IF(H753&gt;AW753,"Überbestand "&amp;ROUND(H753-AW753,0)&amp;" Stk / CHF "&amp;ROUND((H753-AW753)*G753,0)&amp;"; ","")&amp;IF(AND(CI753=1,CJ753&lt;CK753),"MAX &lt; MB+LG; ","")&amp;IF(AND(CQ753&gt;0,CP753*10&gt;CQ753),"zu hoch für Tablar; ","")&amp;IF(AND(BW753=0,OR(CI753=1,AB753&lt;&gt;"",U753&lt;&gt;"",V753&lt;&gt;"",AC753&lt;&gt;"")),"manuell übersteuert; ","")&amp;IF(AND(CA753=0,R753=0),"Gebinde unbekannt / Stellmass fehlt; ","")&amp;IF(AND(CA753=0,N(V753)&lt;=0,N(Q753)&lt;=0),"Menge pro Gebinde fehlt (Ist = 1 Gebinde); ","")&amp;BV753)</f>
        <v>negativer Bestand (Export -1); Kein Verbrauch; Überbestand 19 Stk / CHF 4; Überbestand</v>
      </c>
      <c r="BO753" s="60"/>
      <c r="BP753" s="60"/>
      <c r="BQ753" s="67"/>
      <c r="BR753" s="62" t="n">
        <v>-1</v>
      </c>
      <c r="BS753" s="62" t="n">
        <v>21</v>
      </c>
      <c r="BT753" s="61" t="n">
        <v>-0.2</v>
      </c>
      <c r="BU753" s="62" t="n">
        <v>0</v>
      </c>
      <c r="BV753" s="60" t="s">
        <v>434</v>
      </c>
      <c r="BW753" s="65" t="n">
        <v>0</v>
      </c>
      <c r="BX753" s="65" t="n">
        <v>753</v>
      </c>
      <c r="BY753" s="60" t="str">
        <f aca="false">IF(U753&lt;&gt;"",UPPER(TRIM(U753)),IF(CB753=1,UPPER(VLOOKUP(T753,Parameter!$I$27:$K$29,2,0)),IF(P753="","LOSE",P753)))</f>
        <v>S21</v>
      </c>
      <c r="BZ753" s="62" t="n">
        <f aca="false">IF(BY753="LOSE",1,IF(N(V753)&gt;0,V753,IF(CB753=1,MAX(1,N(VLOOKUP(T753,Parameter!$I$27:$K$29,3,0)),H753,N(N753)),IF(N(Q753)&gt;0,Q753,MAX(1,H753)))))</f>
        <v>39</v>
      </c>
      <c r="CA753" s="65" t="n">
        <f aca="false">IF(BY753="LOSE",1,0)</f>
        <v>0</v>
      </c>
      <c r="CB753" s="65" t="n">
        <f aca="false">IF(AND(U753="",OR(P753="",P753="LOSE"),T753&lt;&gt;"",N(S753)&lt;=0,ISNUMBER(MATCH(T753,Parameter!$I$27:$I$29,0))),1,0)</f>
        <v>0</v>
      </c>
      <c r="CC753" s="65" t="n">
        <f aca="false">IF(CR753&gt;0,INDEX(Parameter!$H$5:$H$7,W753)/INDEX(Parameter!$E$5:$E$7,W753),IF(AND(CA753=0,N(IFERROR(VLOOKUP(BY753,'Gebinde-Kategorie'!$A$5:$N$45,14,0),0))&gt;0),VLOOKUP(BY753,'Gebinde-Kategorie'!$A$5:$N$45,14,0)*10+Parameter!$M$23,Parameter!$M$24))</f>
        <v>155</v>
      </c>
      <c r="CD753" s="60" t="str">
        <f aca="false">IF(AND(Parameter!$B$19="Ja",E753&lt;&gt;"",ISNUMBER(MATCH(E753,Parameter!$I$35:$I$52,0))),VLOOKUP(E753,Parameter!$I$35:$J$52,2,0),IFERROR(VLOOKUP(D753,Parameter!$A$35:$C$64,2,0),"Nein"))</f>
        <v>2+3</v>
      </c>
      <c r="CE753" s="64" t="n">
        <f aca="false">IF(CA753=0,0,IF(N(S753)&gt;0,S753,IFERROR(VLOOKUP(D753,Parameter!$A$35:$C$64,3,0)+0,0)))</f>
        <v>0</v>
      </c>
      <c r="CF753" s="60" t="n">
        <f aca="false">IF(AB753&lt;&gt;"",AB753,AA753)</f>
        <v>2</v>
      </c>
      <c r="CG753" s="60" t="str">
        <f aca="false">IF(OR(CF753=1,CF753=2,CF753=3),IF(Parameter!$E$27="Ja","LIFT",IF(CF753=1,"L1","L23")),IF(CF753="Aussen","Aussen","-"))</f>
        <v>LIFT</v>
      </c>
      <c r="CH753" s="71" t="n">
        <f aca="false">IF(N(AC753)&gt;0,AC753,0)</f>
        <v>0</v>
      </c>
      <c r="CI753" s="65" t="n">
        <f aca="false">IF(ISNUMBER(AF753),1,0)</f>
        <v>0</v>
      </c>
      <c r="CJ753" s="62" t="n">
        <f aca="false">N(AF753)</f>
        <v>0</v>
      </c>
      <c r="CK753" s="62" t="n">
        <f aca="false">N(M753)+N(N753)</f>
        <v>1</v>
      </c>
      <c r="CL753" s="62" t="n">
        <f aca="false">N(M753)</f>
        <v>0</v>
      </c>
      <c r="CM753" s="62" t="n">
        <f aca="false">N(N753)</f>
        <v>1</v>
      </c>
      <c r="CN753" s="62" t="n">
        <f aca="false">ROUNDUP(H753/BZ753,0)</f>
        <v>1</v>
      </c>
      <c r="CO753" s="62" t="n">
        <f aca="false">ROUNDUP(CJ753/BZ753,0)</f>
        <v>0</v>
      </c>
      <c r="CP753" s="65" t="n">
        <f aca="false">IF(CA753=1,0,IFERROR(VLOOKUP(BY753,'Gebinde-Kategorie'!$A$5:$N$45,5,0)+0,0))</f>
        <v>8</v>
      </c>
      <c r="CQ753" s="65" t="n">
        <f aca="false">IFERROR(IF(OR(CF753=1,CF753=2,CF753=3),N(INDEX(Parameter!$I$5:$I$7,CF753)),0),0)</f>
        <v>0</v>
      </c>
      <c r="CR753" s="64" t="n">
        <f aca="false">IF(AND(Parameter!$B$21="Ja",ISNUMBER(W753),N(X753)&gt;0),IFERROR(N(INDEX(Parameter!$L$5:$L$7,W753))*INDEX(Parameter!$E$5:$E$7,W753)*X753/SUMIFS($X$7:$X$1843,$W$7:$W$1843,W753),0),0)</f>
        <v>0</v>
      </c>
      <c r="CS753" s="62" t="n">
        <f aca="false">IF(AND(OR(CG753="L1",CG753="L23",CG753="LIFT"),H753&gt;0),CC753*IF(CR753&gt;0,CR753*MAX(1,H753/X753),IF(CA753=1,CE753,IF(R753&gt;0,CN753/R753,0))/MAX(0.1,N(Parameter!$M$21))),"")</f>
        <v>0.553571428571429</v>
      </c>
      <c r="CT753" s="64" t="n">
        <f aca="false">IF(CS753="","",J753/H753)</f>
        <v>0</v>
      </c>
      <c r="CU753" s="62" t="n">
        <f aca="false">IF(CS753="","",H753*G753)</f>
        <v>4</v>
      </c>
      <c r="CV753" s="63" t="n">
        <f aca="false">IF(CS753="","",(CL753+ROUNDUP(CL753+MAX(CM753,2*(J753/MAX(0.1,N(Einkauf!$C$6))-CL753)),0))/2)</f>
        <v>0.5</v>
      </c>
      <c r="CW753" s="62" t="n">
        <f aca="false">IF(CS753="","",MAX(0,H753-CV753)*G753)</f>
        <v>3.9</v>
      </c>
      <c r="CX753" s="62" t="n">
        <f aca="false">IF(CS753="","",CS753*MAX(0,1-CV753/H753))</f>
        <v>0.539732142857143</v>
      </c>
      <c r="CY753" s="64" t="n">
        <f aca="false">IF(CS753="","",PERCENTRANK($CS$7:$CS$1843,CS753)+PERCENTRANK($CU$7:$CU$1843,CU753)+1-PERCENTRANK($CT$7:$CT$1843,CT753))</f>
        <v>1.0185</v>
      </c>
      <c r="CZ753" s="72" t="n">
        <f aca="false">IF(CS753="","",CHOOSE(MATCH(Einkauf!$C$5,Parameter!$G$23:$G$27,0),CY753,CS753,CU753,-CT753,CW753)+ROW()/1000000000)</f>
        <v>1.018500753</v>
      </c>
    </row>
    <row r="754" customFormat="false" ht="15" hidden="false" customHeight="false" outlineLevel="0" collapsed="false">
      <c r="A754" s="60" t="s">
        <v>1534</v>
      </c>
      <c r="B754" s="60" t="s">
        <v>1308</v>
      </c>
      <c r="C754" s="60" t="s">
        <v>206</v>
      </c>
      <c r="D754" s="60" t="s">
        <v>226</v>
      </c>
      <c r="E754" s="60"/>
      <c r="F754" s="60" t="s">
        <v>260</v>
      </c>
      <c r="G754" s="61" t="n">
        <v>0.04</v>
      </c>
      <c r="H754" s="62" t="n">
        <f aca="false">MAX(0,IF(AND(Parameter!$B$21="Ja",ISNUMBER(Y754)),Y754,IF(Parameter!$B$20="Jahresanfang 2025 + Export",BS754+BR754,BR754)))</f>
        <v>349</v>
      </c>
      <c r="I754" s="62" t="n">
        <f aca="false">H754*G754</f>
        <v>13.96</v>
      </c>
      <c r="J754" s="62" t="n">
        <f aca="false">BU754*Parameter!$B$18</f>
        <v>0</v>
      </c>
      <c r="K754" s="63" t="n">
        <v>352</v>
      </c>
      <c r="L754" s="64" t="n">
        <v>0</v>
      </c>
      <c r="M754" s="62" t="n">
        <v>0</v>
      </c>
      <c r="N754" s="62" t="n">
        <v>1</v>
      </c>
      <c r="O754" s="65" t="n">
        <v>21</v>
      </c>
      <c r="P754" s="60" t="s">
        <v>210</v>
      </c>
      <c r="Q754" s="62"/>
      <c r="R754" s="65" t="n">
        <f aca="false">IF(CA754=1,0,IFERROR(VLOOKUP(BY754,'Gebinde-Kategorie'!$A$5:$N$45,13,0)+0,0))</f>
        <v>26</v>
      </c>
      <c r="S754" s="66"/>
      <c r="T754" s="67" t="s">
        <v>317</v>
      </c>
      <c r="U754" s="67"/>
      <c r="V754" s="67"/>
      <c r="W754" s="60"/>
      <c r="X754" s="62"/>
      <c r="Y754" s="62"/>
      <c r="Z754" s="60" t="n">
        <v>3</v>
      </c>
      <c r="AA754" s="60" t="n">
        <f aca="false">IF(A754="","",IF(AND(Parameter!$B$21="Ja",ISNUMBER(W754)),W754,IF(AND(Parameter!$E$27="Ja",ISNUMBER(Z754),CD754&lt;&gt;"Nein"),Z754,IF(CD754="2+3",IF(ISNUMBER(SEARCH("grosser Artikel",BV754)),2,IFERROR(VLOOKUP(BY754,Parameter!$F$35:$G$64,2,0),2)),IF(OR(CD754="Nein",CD754=""),"-",CD754)))))</f>
        <v>3</v>
      </c>
      <c r="AB754" s="67"/>
      <c r="AC754" s="68"/>
      <c r="AD754" s="62" t="n">
        <f aca="false">AW754</f>
        <v>1</v>
      </c>
      <c r="AE754" s="62" t="n">
        <f aca="false">MAX(AW754,H754)</f>
        <v>349</v>
      </c>
      <c r="AF754" s="69"/>
      <c r="AG754" s="62" t="n">
        <f aca="false">IF(LEFT(Cockpit!$C$5,1)="A",H754,IF(Parameter!$E$30="MAX-Bestand",IF(CI754=1,CJ754,IF(LEFT(Cockpit!$C$5,1)="B",AM754,MAX(AM754,H754))),ROUNDUP(AK754,0)))</f>
        <v>349</v>
      </c>
      <c r="AH754" s="62" t="n">
        <f aca="false">IF(CA754=1,0,ROUNDUP(AG754/BZ754,0))</f>
        <v>1</v>
      </c>
      <c r="AI754" s="64" t="n">
        <f aca="false">IF(CR754&gt;0,CR754*MAX(1,AG754/X754),IF(CA754=1,IF(AG754&lt;=0,0,CE754*MAX(1,IF(H754&gt;0,AG754/H754,1))),IF(R754&gt;0,AH754/R754,0))/MAX(0.1,N(Parameter!$M$21)))</f>
        <v>0.0384615384615385</v>
      </c>
      <c r="AJ754" s="62" t="n">
        <f aca="false">AI754*CC754</f>
        <v>5.96153846153846</v>
      </c>
      <c r="AK754" s="63" t="n">
        <f aca="false">IF(LEFT(Cockpit!$C$5,1)="A",H754,IF(CI754=1,(CL754+CJ754)/2,IF(LEFT(Cockpit!$C$5,1)="B",(CL754+AM754)/2,MAX((CL754+AM754)/2,H754))))</f>
        <v>349</v>
      </c>
      <c r="AL754" s="62" t="n">
        <f aca="false">AK754*G754</f>
        <v>13.96</v>
      </c>
      <c r="AM754" s="62" t="n">
        <f aca="false">ROUNDUP(CL754+MAX(CM754,2*(J754/IF(CH754&gt;0,CH754,MAX(0.1,N(Cockpit!$C$6)))-CL754)),0)</f>
        <v>1</v>
      </c>
      <c r="AN754" s="63" t="n">
        <f aca="false">IF(AJ754&gt;0,J754/AJ754,-1)</f>
        <v>0</v>
      </c>
      <c r="AO754" s="63" t="n">
        <f aca="false">IF(AND(OR(CG754="L1",CG754="L23",CG754="LIFT"),AJ754&gt;0),SUMIFS($AJ$7:$AJ$1843,$CG$7:$CG$1843,CG754,$AN$7:$AN$1843,"&gt;"&amp;AN754)+SUMIFS($AJ$7:$AJ$1843,$CG$7:$CG$1843,CG754,$AN$7:$AN$1843,AN754,$BX$7:$BX$1843,"&lt;="&amp;BX754),"")</f>
        <v>28713.8051132013</v>
      </c>
      <c r="AP754" s="70" t="n">
        <f aca="false">IF(AO754="",0,MAX(0,MIN(1,(IF(CG754="L1",Parameter!$H$5,IF(CG754="L23",Parameter!$H$6+Parameter!$H$7,Parameter!$H$5+Parameter!$H$6+Parameter!$H$7))-(AO754-AJ754))/AJ754)))</f>
        <v>1</v>
      </c>
      <c r="AQ754" s="62" t="n">
        <f aca="false">IF(LEFT(Cockpit!$I$5,1)="A",H754,IF(Parameter!$E$30="MAX-Bestand",IF(CI754=1,CJ754,IF(LEFT(Cockpit!$I$5,1)="B",AW754,MAX(AW754,H754))),ROUNDUP(AU754,0)))</f>
        <v>349</v>
      </c>
      <c r="AR754" s="62" t="n">
        <f aca="false">IF(CA754=1,0,ROUNDUP(AQ754/BZ754,0))</f>
        <v>1</v>
      </c>
      <c r="AS754" s="64" t="n">
        <f aca="false">IF(CR754&gt;0,CR754*MAX(1,AQ754/X754),IF(CA754=1,IF(AQ754&lt;=0,0,CE754*MAX(1,IF(H754&gt;0,AQ754/H754,1))),IF(R754&gt;0,AR754/R754,0))/MAX(0.1,N(Parameter!$M$21)))</f>
        <v>0.0384615384615385</v>
      </c>
      <c r="AT754" s="62" t="n">
        <f aca="false">AS754*CC754</f>
        <v>5.96153846153846</v>
      </c>
      <c r="AU754" s="63" t="n">
        <f aca="false">IF(LEFT(Cockpit!$I$5,1)="A",H754,IF(CI754=1,(CL754+CJ754)/2,IF(LEFT(Cockpit!$I$5,1)="B",(CL754+AW754)/2,MAX((CL754+AW754)/2,H754))))</f>
        <v>349</v>
      </c>
      <c r="AV754" s="62" t="n">
        <f aca="false">AU754*G754</f>
        <v>13.96</v>
      </c>
      <c r="AW754" s="62" t="n">
        <f aca="false">ROUNDUP(CL754+MAX(CM754,2*(J754/IF(CH754&gt;0,CH754,MAX(0.1,N(Cockpit!$I$6)))-CL754)),0)</f>
        <v>1</v>
      </c>
      <c r="AX754" s="63" t="n">
        <f aca="false">IF(AT754&gt;0,J754/AT754,-1)</f>
        <v>0</v>
      </c>
      <c r="AY754" s="63" t="n">
        <f aca="false">IF(AND(OR(CG754="L1",CG754="L23",CG754="LIFT"),AT754&gt;0),SUMIFS($AT$7:$AT$1843,$CG$7:$CG$1843,CG754,$AX$7:$AX$1843,"&gt;"&amp;AX754)+SUMIFS($AT$7:$AT$1843,$CG$7:$CG$1843,CG754,$AX$7:$AX$1843,AX754,$BX$7:$BX$1843,"&lt;="&amp;BX754),"")</f>
        <v>34318.5883699634</v>
      </c>
      <c r="AZ754" s="70" t="n">
        <f aca="false">IF(AY754="",0,MAX(0,MIN(1,(IF(CG754="L1",Parameter!$H$5,IF(CG754="L23",Parameter!$H$6+Parameter!$H$7,Parameter!$H$5+Parameter!$H$6+Parameter!$H$7))-(AY754-AT754))/AT754)))</f>
        <v>1</v>
      </c>
      <c r="BA754" s="62" t="n">
        <f aca="false">IF(LEFT(Cockpit!$O$5,1)="A",H754,IF(Parameter!$E$30="MAX-Bestand",IF(CI754=1,CJ754,IF(LEFT(Cockpit!$O$5,1)="B",BG754,MAX(BG754,H754))),ROUNDUP(BE754,0)))</f>
        <v>1</v>
      </c>
      <c r="BB754" s="62" t="n">
        <f aca="false">IF(CA754=1,0,ROUNDUP(BA754/BZ754,0))</f>
        <v>1</v>
      </c>
      <c r="BC754" s="64" t="n">
        <f aca="false">IF(CR754&gt;0,CR754*MAX(1,BA754/X754),IF(CA754=1,IF(BA754&lt;=0,0,CE754*MAX(1,IF(H754&gt;0,BA754/H754,1))),IF(R754&gt;0,BB754/R754,0))/MAX(0.1,N(Parameter!$M$21)))</f>
        <v>0.0384615384615385</v>
      </c>
      <c r="BD754" s="62" t="n">
        <f aca="false">BC754*CC754</f>
        <v>5.96153846153846</v>
      </c>
      <c r="BE754" s="63" t="n">
        <f aca="false">IF(LEFT(Cockpit!$O$5,1)="A",H754,IF(CI754=1,(CL754+CJ754)/2,IF(LEFT(Cockpit!$O$5,1)="B",(CL754+BG754)/2,MAX((CL754+BG754)/2,H754))))</f>
        <v>0.5</v>
      </c>
      <c r="BF754" s="62" t="n">
        <f aca="false">BE754*G754</f>
        <v>0.02</v>
      </c>
      <c r="BG754" s="62" t="n">
        <f aca="false">ROUNDUP(CL754+MAX(CM754,2*(J754/IF(CH754&gt;0,CH754,MAX(0.1,N(Cockpit!$O$6)))-CL754)),0)</f>
        <v>1</v>
      </c>
      <c r="BH754" s="63" t="n">
        <f aca="false">IF(BD754&gt;0,J754/BD754,-1)</f>
        <v>0</v>
      </c>
      <c r="BI754" s="63" t="n">
        <f aca="false">IF(AND(OR(CG754="L1",CG754="L23",CG754="LIFT"),BD754&gt;0),SUMIFS($BD$7:$BD$1843,$CG$7:$CG$1843,CG754,$BH$7:$BH$1843,"&gt;"&amp;BH754)+SUMIFS($BD$7:$BD$1843,$CG$7:$CG$1843,CG754,$BH$7:$BH$1843,BH754,$BX$7:$BX$1843,"&lt;="&amp;BX754),"")</f>
        <v>28368.4197553859</v>
      </c>
      <c r="BJ754" s="70" t="n">
        <f aca="false">IF(BI754="",0,MAX(0,MIN(1,(IF(CG754="L1",Parameter!$H$5,IF(CG754="L23",Parameter!$H$6+Parameter!$H$7,Parameter!$H$5+Parameter!$H$6+Parameter!$H$7))-(BI754-BD754))/BD754)))</f>
        <v>1</v>
      </c>
      <c r="BK754" s="60" t="str">
        <f aca="false">IF(AJ754&lt;=0,"",IF(CG754="Aussen","Aussenlager",IF(CG754="-","Nicht im Lift",IF(AP754&gt;=1,"Lift",IF(AP754&lt;=0,"Aussenlager","teilweise")))))</f>
        <v>Lift</v>
      </c>
      <c r="BL754" s="60" t="str">
        <f aca="false">IF(AT754&lt;=0,"",IF(CG754="Aussen","Aussenlager",IF(CG754="-","Nicht im Lift",IF(AZ754&gt;=1,"Lift",IF(AZ754&lt;=0,"Aussenlager","teilweise")))))</f>
        <v>Lift</v>
      </c>
      <c r="BM754" s="60" t="str">
        <f aca="false">IF(BD754&lt;=0,"",IF(CG754="Aussen","Aussenlager",IF(CG754="-","Nicht im Lift",IF(BJ754&gt;=1,"Lift",IF(BJ754&lt;=0,"Aussenlager","teilweise")))))</f>
        <v>Lift</v>
      </c>
      <c r="BN754" s="60" t="str">
        <f aca="false">IF(A754="","",IF(BW754=1,"Neu; ","")&amp;IF(AND(BW754=0,BR754&lt;0),"negativer Bestand (Export "&amp;BR754&amp;"); ","")&amp;IF(J754&lt;=0,"Kein Verbrauch; ","")&amp;IF(CR754&gt;0,"Lift "&amp;W754&amp;" lt. Liftbericht (Fach "&amp;X754&amp;" Stk); ",IF(CB754=1,"Gebinde geschätzt ("&amp;T754&amp;"); ",IF(CA754=1,"Lose – Tablare geschätzt; ","")))&amp;IF(H754&gt;AW754,"Überbestand "&amp;ROUND(H754-AW754,0)&amp;" Stk / CHF "&amp;ROUND((H754-AW754)*G754,0)&amp;"; ","")&amp;IF(AND(CI754=1,CJ754&lt;CK754),"MAX &lt; MB+LG; ","")&amp;IF(AND(CQ754&gt;0,CP754*10&gt;CQ754),"zu hoch für Tablar; ","")&amp;IF(AND(BW754=0,OR(CI754=1,AB754&lt;&gt;"",U754&lt;&gt;"",V754&lt;&gt;"",AC754&lt;&gt;"")),"manuell übersteuert; ","")&amp;IF(AND(CA754=0,R754=0),"Gebinde unbekannt / Stellmass fehlt; ","")&amp;IF(AND(CA754=0,N(V754)&lt;=0,N(Q754)&lt;=0),"Menge pro Gebinde fehlt (Ist = 1 Gebinde); ","")&amp;BV754)</f>
        <v>negativer Bestand (Export -6); Kein Verbrauch; Gebinde geschätzt (Klein); Überbestand 348 Stk / CHF 14; Menge pro Gebinde fehlt (Ist = 1 Gebinde); </v>
      </c>
      <c r="BO754" s="60"/>
      <c r="BP754" s="60"/>
      <c r="BQ754" s="67"/>
      <c r="BR754" s="62" t="n">
        <v>-6</v>
      </c>
      <c r="BS754" s="62" t="n">
        <v>355</v>
      </c>
      <c r="BT754" s="61" t="n">
        <v>-0.24</v>
      </c>
      <c r="BU754" s="62" t="n">
        <v>0</v>
      </c>
      <c r="BV754" s="60"/>
      <c r="BW754" s="65" t="n">
        <v>0</v>
      </c>
      <c r="BX754" s="65" t="n">
        <v>754</v>
      </c>
      <c r="BY754" s="60" t="str">
        <f aca="false">IF(U754&lt;&gt;"",UPPER(TRIM(U754)),IF(CB754=1,UPPER(VLOOKUP(T754,Parameter!$I$27:$K$29,2,0)),IF(P754="","LOSE",P754)))</f>
        <v>S51</v>
      </c>
      <c r="BZ754" s="62" t="n">
        <f aca="false">IF(BY754="LOSE",1,IF(N(V754)&gt;0,V754,IF(CB754=1,MAX(1,N(VLOOKUP(T754,Parameter!$I$27:$K$29,3,0)),H754,N(N754)),IF(N(Q754)&gt;0,Q754,MAX(1,H754)))))</f>
        <v>349</v>
      </c>
      <c r="CA754" s="65" t="n">
        <f aca="false">IF(BY754="LOSE",1,0)</f>
        <v>0</v>
      </c>
      <c r="CB754" s="65" t="n">
        <f aca="false">IF(AND(U754="",OR(P754="",P754="LOSE"),T754&lt;&gt;"",N(S754)&lt;=0,ISNUMBER(MATCH(T754,Parameter!$I$27:$I$29,0))),1,0)</f>
        <v>1</v>
      </c>
      <c r="CC754" s="65" t="n">
        <f aca="false">IF(CR754&gt;0,INDEX(Parameter!$H$5:$H$7,W754)/INDEX(Parameter!$E$5:$E$7,W754),IF(AND(CA754=0,N(IFERROR(VLOOKUP(BY754,'Gebinde-Kategorie'!$A$5:$N$45,14,0),0))&gt;0),VLOOKUP(BY754,'Gebinde-Kategorie'!$A$5:$N$45,14,0)*10+Parameter!$M$23,Parameter!$M$24))</f>
        <v>155</v>
      </c>
      <c r="CD754" s="60" t="str">
        <f aca="false">IF(AND(Parameter!$B$19="Ja",E754&lt;&gt;"",ISNUMBER(MATCH(E754,Parameter!$I$35:$I$52,0))),VLOOKUP(E754,Parameter!$I$35:$J$52,2,0),IFERROR(VLOOKUP(D754,Parameter!$A$35:$C$64,2,0),"Nein"))</f>
        <v>2+3</v>
      </c>
      <c r="CE754" s="64" t="n">
        <f aca="false">IF(CA754=0,0,IF(N(S754)&gt;0,S754,IFERROR(VLOOKUP(D754,Parameter!$A$35:$C$64,3,0)+0,0)))</f>
        <v>0</v>
      </c>
      <c r="CF754" s="60" t="n">
        <f aca="false">IF(AB754&lt;&gt;"",AB754,AA754)</f>
        <v>3</v>
      </c>
      <c r="CG754" s="60" t="str">
        <f aca="false">IF(OR(CF754=1,CF754=2,CF754=3),IF(Parameter!$E$27="Ja","LIFT",IF(CF754=1,"L1","L23")),IF(CF754="Aussen","Aussen","-"))</f>
        <v>LIFT</v>
      </c>
      <c r="CH754" s="71" t="n">
        <f aca="false">IF(N(AC754)&gt;0,AC754,0)</f>
        <v>0</v>
      </c>
      <c r="CI754" s="65" t="n">
        <f aca="false">IF(ISNUMBER(AF754),1,0)</f>
        <v>0</v>
      </c>
      <c r="CJ754" s="62" t="n">
        <f aca="false">N(AF754)</f>
        <v>0</v>
      </c>
      <c r="CK754" s="62" t="n">
        <f aca="false">N(M754)+N(N754)</f>
        <v>1</v>
      </c>
      <c r="CL754" s="62" t="n">
        <f aca="false">N(M754)</f>
        <v>0</v>
      </c>
      <c r="CM754" s="62" t="n">
        <f aca="false">N(N754)</f>
        <v>1</v>
      </c>
      <c r="CN754" s="62" t="n">
        <f aca="false">ROUNDUP(H754/BZ754,0)</f>
        <v>1</v>
      </c>
      <c r="CO754" s="62" t="n">
        <f aca="false">ROUNDUP(CJ754/BZ754,0)</f>
        <v>0</v>
      </c>
      <c r="CP754" s="65" t="n">
        <f aca="false">IF(CA754=1,0,IFERROR(VLOOKUP(BY754,'Gebinde-Kategorie'!$A$5:$N$45,5,0)+0,0))</f>
        <v>11</v>
      </c>
      <c r="CQ754" s="65" t="n">
        <f aca="false">IFERROR(IF(OR(CF754=1,CF754=2,CF754=3),N(INDEX(Parameter!$I$5:$I$7,CF754)),0),0)</f>
        <v>0</v>
      </c>
      <c r="CR754" s="64" t="n">
        <f aca="false">IF(AND(Parameter!$B$21="Ja",ISNUMBER(W754),N(X754)&gt;0),IFERROR(N(INDEX(Parameter!$L$5:$L$7,W754))*INDEX(Parameter!$E$5:$E$7,W754)*X754/SUMIFS($X$7:$X$1843,$W$7:$W$1843,W754),0),0)</f>
        <v>0</v>
      </c>
      <c r="CS754" s="62" t="n">
        <f aca="false">IF(AND(OR(CG754="L1",CG754="L23",CG754="LIFT"),H754&gt;0),CC754*IF(CR754&gt;0,CR754*MAX(1,H754/X754),IF(CA754=1,CE754,IF(R754&gt;0,CN754/R754,0))/MAX(0.1,N(Parameter!$M$21))),"")</f>
        <v>5.96153846153846</v>
      </c>
      <c r="CT754" s="64" t="n">
        <f aca="false">IF(CS754="","",J754/H754)</f>
        <v>0</v>
      </c>
      <c r="CU754" s="62" t="n">
        <f aca="false">IF(CS754="","",H754*G754)</f>
        <v>13.96</v>
      </c>
      <c r="CV754" s="63" t="n">
        <f aca="false">IF(CS754="","",(CL754+ROUNDUP(CL754+MAX(CM754,2*(J754/MAX(0.1,N(Einkauf!$C$6))-CL754)),0))/2)</f>
        <v>0.5</v>
      </c>
      <c r="CW754" s="62" t="n">
        <f aca="false">IF(CS754="","",MAX(0,H754-CV754)*G754)</f>
        <v>13.94</v>
      </c>
      <c r="CX754" s="62" t="n">
        <f aca="false">IF(CS754="","",CS754*MAX(0,1-CV754/H754))</f>
        <v>5.95299757549041</v>
      </c>
      <c r="CY754" s="64" t="n">
        <f aca="false">IF(CS754="","",PERCENTRANK($CS$7:$CS$1843,CS754)+PERCENTRANK($CU$7:$CU$1843,CU754)+1-PERCENTRANK($CT$7:$CT$1843,CT754))</f>
        <v>1.4141</v>
      </c>
      <c r="CZ754" s="72" t="n">
        <f aca="false">IF(CS754="","",CHOOSE(MATCH(Einkauf!$C$5,Parameter!$G$23:$G$27,0),CY754,CS754,CU754,-CT754,CW754)+ROW()/1000000000)</f>
        <v>1.414100754</v>
      </c>
    </row>
    <row r="755" customFormat="false" ht="15" hidden="false" customHeight="false" outlineLevel="0" collapsed="false">
      <c r="A755" s="60" t="s">
        <v>1535</v>
      </c>
      <c r="B755" s="60" t="s">
        <v>445</v>
      </c>
      <c r="C755" s="60" t="s">
        <v>498</v>
      </c>
      <c r="D755" s="60" t="s">
        <v>226</v>
      </c>
      <c r="E755" s="60"/>
      <c r="F755" s="60" t="s">
        <v>260</v>
      </c>
      <c r="G755" s="61" t="n">
        <v>0.06</v>
      </c>
      <c r="H755" s="62" t="n">
        <f aca="false">MAX(0,IF(AND(Parameter!$B$21="Ja",ISNUMBER(Y755)),Y755,IF(Parameter!$B$20="Jahresanfang 2025 + Export",BS755+BR755,BR755)))</f>
        <v>5</v>
      </c>
      <c r="I755" s="62" t="n">
        <f aca="false">H755*G755</f>
        <v>0.3</v>
      </c>
      <c r="J755" s="62" t="n">
        <f aca="false">BU755*Parameter!$B$18</f>
        <v>0</v>
      </c>
      <c r="K755" s="63" t="n">
        <v>7</v>
      </c>
      <c r="L755" s="64" t="n">
        <v>0</v>
      </c>
      <c r="M755" s="62" t="n">
        <v>0</v>
      </c>
      <c r="N755" s="62" t="n">
        <v>1</v>
      </c>
      <c r="O755" s="65" t="n">
        <v>14</v>
      </c>
      <c r="P755" s="60" t="s">
        <v>210</v>
      </c>
      <c r="Q755" s="62"/>
      <c r="R755" s="65" t="n">
        <f aca="false">IF(CA755=1,0,IFERROR(VLOOKUP(BY755,'Gebinde-Kategorie'!$A$5:$N$45,13,0)+0,0))</f>
        <v>26</v>
      </c>
      <c r="S755" s="66"/>
      <c r="T755" s="67" t="s">
        <v>317</v>
      </c>
      <c r="U755" s="67"/>
      <c r="V755" s="67"/>
      <c r="W755" s="60"/>
      <c r="X755" s="62"/>
      <c r="Y755" s="62"/>
      <c r="Z755" s="60" t="n">
        <v>3</v>
      </c>
      <c r="AA755" s="60" t="n">
        <f aca="false">IF(A755="","",IF(AND(Parameter!$B$21="Ja",ISNUMBER(W755)),W755,IF(AND(Parameter!$E$27="Ja",ISNUMBER(Z755),CD755&lt;&gt;"Nein"),Z755,IF(CD755="2+3",IF(ISNUMBER(SEARCH("grosser Artikel",BV755)),2,IFERROR(VLOOKUP(BY755,Parameter!$F$35:$G$64,2,0),2)),IF(OR(CD755="Nein",CD755=""),"-",CD755)))))</f>
        <v>3</v>
      </c>
      <c r="AB755" s="67"/>
      <c r="AC755" s="68"/>
      <c r="AD755" s="62" t="n">
        <f aca="false">AW755</f>
        <v>1</v>
      </c>
      <c r="AE755" s="62" t="n">
        <f aca="false">MAX(AW755,H755)</f>
        <v>5</v>
      </c>
      <c r="AF755" s="69"/>
      <c r="AG755" s="62" t="n">
        <f aca="false">IF(LEFT(Cockpit!$C$5,1)="A",H755,IF(Parameter!$E$30="MAX-Bestand",IF(CI755=1,CJ755,IF(LEFT(Cockpit!$C$5,1)="B",AM755,MAX(AM755,H755))),ROUNDUP(AK755,0)))</f>
        <v>5</v>
      </c>
      <c r="AH755" s="62" t="n">
        <f aca="false">IF(CA755=1,0,ROUNDUP(AG755/BZ755,0))</f>
        <v>1</v>
      </c>
      <c r="AI755" s="64" t="n">
        <f aca="false">IF(CR755&gt;0,CR755*MAX(1,AG755/X755),IF(CA755=1,IF(AG755&lt;=0,0,CE755*MAX(1,IF(H755&gt;0,AG755/H755,1))),IF(R755&gt;0,AH755/R755,0))/MAX(0.1,N(Parameter!$M$21)))</f>
        <v>0.0384615384615385</v>
      </c>
      <c r="AJ755" s="62" t="n">
        <f aca="false">AI755*CC755</f>
        <v>5.96153846153846</v>
      </c>
      <c r="AK755" s="63" t="n">
        <f aca="false">IF(LEFT(Cockpit!$C$5,1)="A",H755,IF(CI755=1,(CL755+CJ755)/2,IF(LEFT(Cockpit!$C$5,1)="B",(CL755+AM755)/2,MAX((CL755+AM755)/2,H755))))</f>
        <v>5</v>
      </c>
      <c r="AL755" s="62" t="n">
        <f aca="false">AK755*G755</f>
        <v>0.3</v>
      </c>
      <c r="AM755" s="62" t="n">
        <f aca="false">ROUNDUP(CL755+MAX(CM755,2*(J755/IF(CH755&gt;0,CH755,MAX(0.1,N(Cockpit!$C$6)))-CL755)),0)</f>
        <v>1</v>
      </c>
      <c r="AN755" s="63" t="n">
        <f aca="false">IF(AJ755&gt;0,J755/AJ755,-1)</f>
        <v>0</v>
      </c>
      <c r="AO755" s="63" t="n">
        <f aca="false">IF(AND(OR(CG755="L1",CG755="L23",CG755="LIFT"),AJ755&gt;0),SUMIFS($AJ$7:$AJ$1843,$CG$7:$CG$1843,CG755,$AN$7:$AN$1843,"&gt;"&amp;AN755)+SUMIFS($AJ$7:$AJ$1843,$CG$7:$CG$1843,CG755,$AN$7:$AN$1843,AN755,$BX$7:$BX$1843,"&lt;="&amp;BX755),"")</f>
        <v>28719.7666516628</v>
      </c>
      <c r="AP755" s="70" t="n">
        <f aca="false">IF(AO755="",0,MAX(0,MIN(1,(IF(CG755="L1",Parameter!$H$5,IF(CG755="L23",Parameter!$H$6+Parameter!$H$7,Parameter!$H$5+Parameter!$H$6+Parameter!$H$7))-(AO755-AJ755))/AJ755)))</f>
        <v>1</v>
      </c>
      <c r="AQ755" s="62" t="n">
        <f aca="false">IF(LEFT(Cockpit!$I$5,1)="A",H755,IF(Parameter!$E$30="MAX-Bestand",IF(CI755=1,CJ755,IF(LEFT(Cockpit!$I$5,1)="B",AW755,MAX(AW755,H755))),ROUNDUP(AU755,0)))</f>
        <v>5</v>
      </c>
      <c r="AR755" s="62" t="n">
        <f aca="false">IF(CA755=1,0,ROUNDUP(AQ755/BZ755,0))</f>
        <v>1</v>
      </c>
      <c r="AS755" s="64" t="n">
        <f aca="false">IF(CR755&gt;0,CR755*MAX(1,AQ755/X755),IF(CA755=1,IF(AQ755&lt;=0,0,CE755*MAX(1,IF(H755&gt;0,AQ755/H755,1))),IF(R755&gt;0,AR755/R755,0))/MAX(0.1,N(Parameter!$M$21)))</f>
        <v>0.0384615384615385</v>
      </c>
      <c r="AT755" s="62" t="n">
        <f aca="false">AS755*CC755</f>
        <v>5.96153846153846</v>
      </c>
      <c r="AU755" s="63" t="n">
        <f aca="false">IF(LEFT(Cockpit!$I$5,1)="A",H755,IF(CI755=1,(CL755+CJ755)/2,IF(LEFT(Cockpit!$I$5,1)="B",(CL755+AW755)/2,MAX((CL755+AW755)/2,H755))))</f>
        <v>5</v>
      </c>
      <c r="AV755" s="62" t="n">
        <f aca="false">AU755*G755</f>
        <v>0.3</v>
      </c>
      <c r="AW755" s="62" t="n">
        <f aca="false">ROUNDUP(CL755+MAX(CM755,2*(J755/IF(CH755&gt;0,CH755,MAX(0.1,N(Cockpit!$I$6)))-CL755)),0)</f>
        <v>1</v>
      </c>
      <c r="AX755" s="63" t="n">
        <f aca="false">IF(AT755&gt;0,J755/AT755,-1)</f>
        <v>0</v>
      </c>
      <c r="AY755" s="63" t="n">
        <f aca="false">IF(AND(OR(CG755="L1",CG755="L23",CG755="LIFT"),AT755&gt;0),SUMIFS($AT$7:$AT$1843,$CG$7:$CG$1843,CG755,$AX$7:$AX$1843,"&gt;"&amp;AX755)+SUMIFS($AT$7:$AT$1843,$CG$7:$CG$1843,CG755,$AX$7:$AX$1843,AX755,$BX$7:$BX$1843,"&lt;="&amp;BX755),"")</f>
        <v>34324.5499084249</v>
      </c>
      <c r="AZ755" s="70" t="n">
        <f aca="false">IF(AY755="",0,MAX(0,MIN(1,(IF(CG755="L1",Parameter!$H$5,IF(CG755="L23",Parameter!$H$6+Parameter!$H$7,Parameter!$H$5+Parameter!$H$6+Parameter!$H$7))-(AY755-AT755))/AT755)))</f>
        <v>1</v>
      </c>
      <c r="BA755" s="62" t="n">
        <f aca="false">IF(LEFT(Cockpit!$O$5,1)="A",H755,IF(Parameter!$E$30="MAX-Bestand",IF(CI755=1,CJ755,IF(LEFT(Cockpit!$O$5,1)="B",BG755,MAX(BG755,H755))),ROUNDUP(BE755,0)))</f>
        <v>1</v>
      </c>
      <c r="BB755" s="62" t="n">
        <f aca="false">IF(CA755=1,0,ROUNDUP(BA755/BZ755,0))</f>
        <v>1</v>
      </c>
      <c r="BC755" s="64" t="n">
        <f aca="false">IF(CR755&gt;0,CR755*MAX(1,BA755/X755),IF(CA755=1,IF(BA755&lt;=0,0,CE755*MAX(1,IF(H755&gt;0,BA755/H755,1))),IF(R755&gt;0,BB755/R755,0))/MAX(0.1,N(Parameter!$M$21)))</f>
        <v>0.0384615384615385</v>
      </c>
      <c r="BD755" s="62" t="n">
        <f aca="false">BC755*CC755</f>
        <v>5.96153846153846</v>
      </c>
      <c r="BE755" s="63" t="n">
        <f aca="false">IF(LEFT(Cockpit!$O$5,1)="A",H755,IF(CI755=1,(CL755+CJ755)/2,IF(LEFT(Cockpit!$O$5,1)="B",(CL755+BG755)/2,MAX((CL755+BG755)/2,H755))))</f>
        <v>0.5</v>
      </c>
      <c r="BF755" s="62" t="n">
        <f aca="false">BE755*G755</f>
        <v>0.03</v>
      </c>
      <c r="BG755" s="62" t="n">
        <f aca="false">ROUNDUP(CL755+MAX(CM755,2*(J755/IF(CH755&gt;0,CH755,MAX(0.1,N(Cockpit!$O$6)))-CL755)),0)</f>
        <v>1</v>
      </c>
      <c r="BH755" s="63" t="n">
        <f aca="false">IF(BD755&gt;0,J755/BD755,-1)</f>
        <v>0</v>
      </c>
      <c r="BI755" s="63" t="n">
        <f aca="false">IF(AND(OR(CG755="L1",CG755="L23",CG755="LIFT"),BD755&gt;0),SUMIFS($BD$7:$BD$1843,$CG$7:$CG$1843,CG755,$BH$7:$BH$1843,"&gt;"&amp;BH755)+SUMIFS($BD$7:$BD$1843,$CG$7:$CG$1843,CG755,$BH$7:$BH$1843,BH755,$BX$7:$BX$1843,"&lt;="&amp;BX755),"")</f>
        <v>28374.3812938474</v>
      </c>
      <c r="BJ755" s="70" t="n">
        <f aca="false">IF(BI755="",0,MAX(0,MIN(1,(IF(CG755="L1",Parameter!$H$5,IF(CG755="L23",Parameter!$H$6+Parameter!$H$7,Parameter!$H$5+Parameter!$H$6+Parameter!$H$7))-(BI755-BD755))/BD755)))</f>
        <v>1</v>
      </c>
      <c r="BK755" s="60" t="str">
        <f aca="false">IF(AJ755&lt;=0,"",IF(CG755="Aussen","Aussenlager",IF(CG755="-","Nicht im Lift",IF(AP755&gt;=1,"Lift",IF(AP755&lt;=0,"Aussenlager","teilweise")))))</f>
        <v>Lift</v>
      </c>
      <c r="BL755" s="60" t="str">
        <f aca="false">IF(AT755&lt;=0,"",IF(CG755="Aussen","Aussenlager",IF(CG755="-","Nicht im Lift",IF(AZ755&gt;=1,"Lift",IF(AZ755&lt;=0,"Aussenlager","teilweise")))))</f>
        <v>Lift</v>
      </c>
      <c r="BM755" s="60" t="str">
        <f aca="false">IF(BD755&lt;=0,"",IF(CG755="Aussen","Aussenlager",IF(CG755="-","Nicht im Lift",IF(BJ755&gt;=1,"Lift",IF(BJ755&lt;=0,"Aussenlager","teilweise")))))</f>
        <v>Lift</v>
      </c>
      <c r="BN755" s="60" t="str">
        <f aca="false">IF(A755="","",IF(BW755=1,"Neu; ","")&amp;IF(AND(BW755=0,BR755&lt;0),"negativer Bestand (Export "&amp;BR755&amp;"); ","")&amp;IF(J755&lt;=0,"Kein Verbrauch; ","")&amp;IF(CR755&gt;0,"Lift "&amp;W755&amp;" lt. Liftbericht (Fach "&amp;X755&amp;" Stk); ",IF(CB755=1,"Gebinde geschätzt ("&amp;T755&amp;"); ",IF(CA755=1,"Lose – Tablare geschätzt; ","")))&amp;IF(H755&gt;AW755,"Überbestand "&amp;ROUND(H755-AW755,0)&amp;" Stk / CHF "&amp;ROUND((H755-AW755)*G755,0)&amp;"; ","")&amp;IF(AND(CI755=1,CJ755&lt;CK755),"MAX &lt; MB+LG; ","")&amp;IF(AND(CQ755&gt;0,CP755*10&gt;CQ755),"zu hoch für Tablar; ","")&amp;IF(AND(BW755=0,OR(CI755=1,AB755&lt;&gt;"",U755&lt;&gt;"",V755&lt;&gt;"",AC755&lt;&gt;"")),"manuell übersteuert; ","")&amp;IF(AND(CA755=0,R755=0),"Gebinde unbekannt / Stellmass fehlt; ","")&amp;IF(AND(CA755=0,N(V755)&lt;=0,N(Q755)&lt;=0),"Menge pro Gebinde fehlt (Ist = 1 Gebinde); ","")&amp;BV755)</f>
        <v>negativer Bestand (Export -4); Kein Verbrauch; Gebinde geschätzt (Klein); Überbestand 4 Stk / CHF 0; Menge pro Gebinde fehlt (Ist = 1 Gebinde); </v>
      </c>
      <c r="BO755" s="60"/>
      <c r="BP755" s="60"/>
      <c r="BQ755" s="67"/>
      <c r="BR755" s="62" t="n">
        <v>-4</v>
      </c>
      <c r="BS755" s="62" t="n">
        <v>9</v>
      </c>
      <c r="BT755" s="61" t="n">
        <v>-0.24</v>
      </c>
      <c r="BU755" s="62" t="n">
        <v>0</v>
      </c>
      <c r="BV755" s="60"/>
      <c r="BW755" s="65" t="n">
        <v>0</v>
      </c>
      <c r="BX755" s="65" t="n">
        <v>755</v>
      </c>
      <c r="BY755" s="60" t="str">
        <f aca="false">IF(U755&lt;&gt;"",UPPER(TRIM(U755)),IF(CB755=1,UPPER(VLOOKUP(T755,Parameter!$I$27:$K$29,2,0)),IF(P755="","LOSE",P755)))</f>
        <v>S51</v>
      </c>
      <c r="BZ755" s="62" t="n">
        <f aca="false">IF(BY755="LOSE",1,IF(N(V755)&gt;0,V755,IF(CB755=1,MAX(1,N(VLOOKUP(T755,Parameter!$I$27:$K$29,3,0)),H755,N(N755)),IF(N(Q755)&gt;0,Q755,MAX(1,H755)))))</f>
        <v>20</v>
      </c>
      <c r="CA755" s="65" t="n">
        <f aca="false">IF(BY755="LOSE",1,0)</f>
        <v>0</v>
      </c>
      <c r="CB755" s="65" t="n">
        <f aca="false">IF(AND(U755="",OR(P755="",P755="LOSE"),T755&lt;&gt;"",N(S755)&lt;=0,ISNUMBER(MATCH(T755,Parameter!$I$27:$I$29,0))),1,0)</f>
        <v>1</v>
      </c>
      <c r="CC755" s="65" t="n">
        <f aca="false">IF(CR755&gt;0,INDEX(Parameter!$H$5:$H$7,W755)/INDEX(Parameter!$E$5:$E$7,W755),IF(AND(CA755=0,N(IFERROR(VLOOKUP(BY755,'Gebinde-Kategorie'!$A$5:$N$45,14,0),0))&gt;0),VLOOKUP(BY755,'Gebinde-Kategorie'!$A$5:$N$45,14,0)*10+Parameter!$M$23,Parameter!$M$24))</f>
        <v>155</v>
      </c>
      <c r="CD755" s="60" t="str">
        <f aca="false">IF(AND(Parameter!$B$19="Ja",E755&lt;&gt;"",ISNUMBER(MATCH(E755,Parameter!$I$35:$I$52,0))),VLOOKUP(E755,Parameter!$I$35:$J$52,2,0),IFERROR(VLOOKUP(D755,Parameter!$A$35:$C$64,2,0),"Nein"))</f>
        <v>2+3</v>
      </c>
      <c r="CE755" s="64" t="n">
        <f aca="false">IF(CA755=0,0,IF(N(S755)&gt;0,S755,IFERROR(VLOOKUP(D755,Parameter!$A$35:$C$64,3,0)+0,0)))</f>
        <v>0</v>
      </c>
      <c r="CF755" s="60" t="n">
        <f aca="false">IF(AB755&lt;&gt;"",AB755,AA755)</f>
        <v>3</v>
      </c>
      <c r="CG755" s="60" t="str">
        <f aca="false">IF(OR(CF755=1,CF755=2,CF755=3),IF(Parameter!$E$27="Ja","LIFT",IF(CF755=1,"L1","L23")),IF(CF755="Aussen","Aussen","-"))</f>
        <v>LIFT</v>
      </c>
      <c r="CH755" s="71" t="n">
        <f aca="false">IF(N(AC755)&gt;0,AC755,0)</f>
        <v>0</v>
      </c>
      <c r="CI755" s="65" t="n">
        <f aca="false">IF(ISNUMBER(AF755),1,0)</f>
        <v>0</v>
      </c>
      <c r="CJ755" s="62" t="n">
        <f aca="false">N(AF755)</f>
        <v>0</v>
      </c>
      <c r="CK755" s="62" t="n">
        <f aca="false">N(M755)+N(N755)</f>
        <v>1</v>
      </c>
      <c r="CL755" s="62" t="n">
        <f aca="false">N(M755)</f>
        <v>0</v>
      </c>
      <c r="CM755" s="62" t="n">
        <f aca="false">N(N755)</f>
        <v>1</v>
      </c>
      <c r="CN755" s="62" t="n">
        <f aca="false">ROUNDUP(H755/BZ755,0)</f>
        <v>1</v>
      </c>
      <c r="CO755" s="62" t="n">
        <f aca="false">ROUNDUP(CJ755/BZ755,0)</f>
        <v>0</v>
      </c>
      <c r="CP755" s="65" t="n">
        <f aca="false">IF(CA755=1,0,IFERROR(VLOOKUP(BY755,'Gebinde-Kategorie'!$A$5:$N$45,5,0)+0,0))</f>
        <v>11</v>
      </c>
      <c r="CQ755" s="65" t="n">
        <f aca="false">IFERROR(IF(OR(CF755=1,CF755=2,CF755=3),N(INDEX(Parameter!$I$5:$I$7,CF755)),0),0)</f>
        <v>0</v>
      </c>
      <c r="CR755" s="64" t="n">
        <f aca="false">IF(AND(Parameter!$B$21="Ja",ISNUMBER(W755),N(X755)&gt;0),IFERROR(N(INDEX(Parameter!$L$5:$L$7,W755))*INDEX(Parameter!$E$5:$E$7,W755)*X755/SUMIFS($X$7:$X$1843,$W$7:$W$1843,W755),0),0)</f>
        <v>0</v>
      </c>
      <c r="CS755" s="62" t="n">
        <f aca="false">IF(AND(OR(CG755="L1",CG755="L23",CG755="LIFT"),H755&gt;0),CC755*IF(CR755&gt;0,CR755*MAX(1,H755/X755),IF(CA755=1,CE755,IF(R755&gt;0,CN755/R755,0))/MAX(0.1,N(Parameter!$M$21))),"")</f>
        <v>5.96153846153846</v>
      </c>
      <c r="CT755" s="64" t="n">
        <f aca="false">IF(CS755="","",J755/H755)</f>
        <v>0</v>
      </c>
      <c r="CU755" s="62" t="n">
        <f aca="false">IF(CS755="","",H755*G755)</f>
        <v>0.3</v>
      </c>
      <c r="CV755" s="63" t="n">
        <f aca="false">IF(CS755="","",(CL755+ROUNDUP(CL755+MAX(CM755,2*(J755/MAX(0.1,N(Einkauf!$C$6))-CL755)),0))/2)</f>
        <v>0.5</v>
      </c>
      <c r="CW755" s="62" t="n">
        <f aca="false">IF(CS755="","",MAX(0,H755-CV755)*G755)</f>
        <v>0.27</v>
      </c>
      <c r="CX755" s="62" t="n">
        <f aca="false">IF(CS755="","",CS755*MAX(0,1-CV755/H755))</f>
        <v>5.36538461538462</v>
      </c>
      <c r="CY755" s="64" t="n">
        <f aca="false">IF(CS755="","",PERCENTRANK($CS$7:$CS$1843,CS755)+PERCENTRANK($CU$7:$CU$1843,CU755)+1-PERCENTRANK($CT$7:$CT$1843,CT755))</f>
        <v>1.35942</v>
      </c>
      <c r="CZ755" s="72" t="n">
        <f aca="false">IF(CS755="","",CHOOSE(MATCH(Einkauf!$C$5,Parameter!$G$23:$G$27,0),CY755,CS755,CU755,-CT755,CW755)+ROW()/1000000000)</f>
        <v>1.359420755</v>
      </c>
    </row>
    <row r="756" customFormat="false" ht="15" hidden="false" customHeight="false" outlineLevel="0" collapsed="false">
      <c r="A756" s="60" t="s">
        <v>1536</v>
      </c>
      <c r="B756" s="60" t="s">
        <v>1537</v>
      </c>
      <c r="C756" s="60" t="s">
        <v>206</v>
      </c>
      <c r="D756" s="60" t="s">
        <v>226</v>
      </c>
      <c r="E756" s="60" t="s">
        <v>227</v>
      </c>
      <c r="F756" s="60" t="s">
        <v>260</v>
      </c>
      <c r="G756" s="61" t="n">
        <v>0.06</v>
      </c>
      <c r="H756" s="62" t="n">
        <f aca="false">MAX(0,IF(AND(Parameter!$B$21="Ja",ISNUMBER(Y756)),Y756,IF(Parameter!$B$20="Jahresanfang 2025 + Export",BS756+BR756,BR756)))</f>
        <v>81</v>
      </c>
      <c r="I756" s="62" t="n">
        <f aca="false">H756*G756</f>
        <v>4.86</v>
      </c>
      <c r="J756" s="62" t="n">
        <f aca="false">BU756*Parameter!$B$18</f>
        <v>393</v>
      </c>
      <c r="K756" s="63" t="n">
        <v>178</v>
      </c>
      <c r="L756" s="64" t="n">
        <v>2.20786516853933</v>
      </c>
      <c r="M756" s="62" t="n">
        <v>22</v>
      </c>
      <c r="N756" s="62" t="n">
        <v>500</v>
      </c>
      <c r="O756" s="65" t="n">
        <v>21</v>
      </c>
      <c r="P756" s="60" t="s">
        <v>370</v>
      </c>
      <c r="Q756" s="62" t="n">
        <v>675</v>
      </c>
      <c r="R756" s="65" t="n">
        <f aca="false">IF(CA756=1,0,IFERROR(VLOOKUP(BY756,'Gebinde-Kategorie'!$A$5:$N$45,13,0)+0,0))</f>
        <v>52</v>
      </c>
      <c r="S756" s="66"/>
      <c r="T756" s="67"/>
      <c r="U756" s="67"/>
      <c r="V756" s="67"/>
      <c r="W756" s="60"/>
      <c r="X756" s="62"/>
      <c r="Y756" s="62"/>
      <c r="Z756" s="60" t="n">
        <v>2</v>
      </c>
      <c r="AA756" s="60" t="n">
        <f aca="false">IF(A756="","",IF(AND(Parameter!$B$21="Ja",ISNUMBER(W756)),W756,IF(AND(Parameter!$E$27="Ja",ISNUMBER(Z756),CD756&lt;&gt;"Nein"),Z756,IF(CD756="2+3",IF(ISNUMBER(SEARCH("grosser Artikel",BV756)),2,IFERROR(VLOOKUP(BY756,Parameter!$F$35:$G$64,2,0),2)),IF(OR(CD756="Nein",CD756=""),"-",CD756)))))</f>
        <v>2</v>
      </c>
      <c r="AB756" s="67"/>
      <c r="AC756" s="68"/>
      <c r="AD756" s="62" t="n">
        <f aca="false">AW756</f>
        <v>522</v>
      </c>
      <c r="AE756" s="62" t="n">
        <f aca="false">MAX(AW756,H756)</f>
        <v>522</v>
      </c>
      <c r="AF756" s="69"/>
      <c r="AG756" s="62" t="n">
        <f aca="false">IF(LEFT(Cockpit!$C$5,1)="A",H756,IF(Parameter!$E$30="MAX-Bestand",IF(CI756=1,CJ756,IF(LEFT(Cockpit!$C$5,1)="B",AM756,MAX(AM756,H756))),ROUNDUP(AK756,0)))</f>
        <v>81</v>
      </c>
      <c r="AH756" s="62" t="n">
        <f aca="false">IF(CA756=1,0,ROUNDUP(AG756/BZ756,0))</f>
        <v>1</v>
      </c>
      <c r="AI756" s="64" t="n">
        <f aca="false">IF(CR756&gt;0,CR756*MAX(1,AG756/X756),IF(CA756=1,IF(AG756&lt;=0,0,CE756*MAX(1,IF(H756&gt;0,AG756/H756,1))),IF(R756&gt;0,AH756/R756,0))/MAX(0.1,N(Parameter!$M$21)))</f>
        <v>0.0192307692307692</v>
      </c>
      <c r="AJ756" s="62" t="n">
        <f aca="false">AI756*CC756</f>
        <v>2.98076923076923</v>
      </c>
      <c r="AK756" s="63" t="n">
        <f aca="false">IF(LEFT(Cockpit!$C$5,1)="A",H756,IF(CI756=1,(CL756+CJ756)/2,IF(LEFT(Cockpit!$C$5,1)="B",(CL756+AM756)/2,MAX((CL756+AM756)/2,H756))))</f>
        <v>81</v>
      </c>
      <c r="AL756" s="62" t="n">
        <f aca="false">AK756*G756</f>
        <v>4.86</v>
      </c>
      <c r="AM756" s="62" t="n">
        <f aca="false">ROUNDUP(CL756+MAX(CM756,2*(J756/IF(CH756&gt;0,CH756,MAX(0.1,N(Cockpit!$C$6)))-CL756)),0)</f>
        <v>522</v>
      </c>
      <c r="AN756" s="63" t="n">
        <f aca="false">IF(AJ756&gt;0,J756/AJ756,-1)</f>
        <v>131.845161290323</v>
      </c>
      <c r="AO756" s="63" t="n">
        <f aca="false">IF(AND(OR(CG756="L1",CG756="L23",CG756="LIFT"),AJ756&gt;0),SUMIFS($AJ$7:$AJ$1843,$CG$7:$CG$1843,CG756,$AN$7:$AN$1843,"&gt;"&amp;AN756)+SUMIFS($AJ$7:$AJ$1843,$CG$7:$CG$1843,CG756,$AN$7:$AN$1843,AN756,$BX$7:$BX$1843,"&lt;="&amp;BX756),"")</f>
        <v>548.798534798535</v>
      </c>
      <c r="AP756" s="70" t="n">
        <f aca="false">IF(AO756="",0,MAX(0,MIN(1,(IF(CG756="L1",Parameter!$H$5,IF(CG756="L23",Parameter!$H$6+Parameter!$H$7,Parameter!$H$5+Parameter!$H$6+Parameter!$H$7))-(AO756-AJ756))/AJ756)))</f>
        <v>1</v>
      </c>
      <c r="AQ756" s="62" t="n">
        <f aca="false">IF(LEFT(Cockpit!$I$5,1)="A",H756,IF(Parameter!$E$30="MAX-Bestand",IF(CI756=1,CJ756,IF(LEFT(Cockpit!$I$5,1)="B",AW756,MAX(AW756,H756))),ROUNDUP(AU756,0)))</f>
        <v>272</v>
      </c>
      <c r="AR756" s="62" t="n">
        <f aca="false">IF(CA756=1,0,ROUNDUP(AQ756/BZ756,0))</f>
        <v>1</v>
      </c>
      <c r="AS756" s="64" t="n">
        <f aca="false">IF(CR756&gt;0,CR756*MAX(1,AQ756/X756),IF(CA756=1,IF(AQ756&lt;=0,0,CE756*MAX(1,IF(H756&gt;0,AQ756/H756,1))),IF(R756&gt;0,AR756/R756,0))/MAX(0.1,N(Parameter!$M$21)))</f>
        <v>0.0192307692307692</v>
      </c>
      <c r="AT756" s="62" t="n">
        <f aca="false">AS756*CC756</f>
        <v>2.98076923076923</v>
      </c>
      <c r="AU756" s="63" t="n">
        <f aca="false">IF(LEFT(Cockpit!$I$5,1)="A",H756,IF(CI756=1,(CL756+CJ756)/2,IF(LEFT(Cockpit!$I$5,1)="B",(CL756+AW756)/2,MAX((CL756+AW756)/2,H756))))</f>
        <v>272</v>
      </c>
      <c r="AV756" s="62" t="n">
        <f aca="false">AU756*G756</f>
        <v>16.32</v>
      </c>
      <c r="AW756" s="62" t="n">
        <f aca="false">ROUNDUP(CL756+MAX(CM756,2*(J756/IF(CH756&gt;0,CH756,MAX(0.1,N(Cockpit!$I$6)))-CL756)),0)</f>
        <v>522</v>
      </c>
      <c r="AX756" s="63" t="n">
        <f aca="false">IF(AT756&gt;0,J756/AT756,-1)</f>
        <v>131.845161290323</v>
      </c>
      <c r="AY756" s="63" t="n">
        <f aca="false">IF(AND(OR(CG756="L1",CG756="L23",CG756="LIFT"),AT756&gt;0),SUMIFS($AT$7:$AT$1843,$CG$7:$CG$1843,CG756,$AX$7:$AX$1843,"&gt;"&amp;AX756)+SUMIFS($AT$7:$AT$1843,$CG$7:$CG$1843,CG756,$AX$7:$AX$1843,AX756,$BX$7:$BX$1843,"&lt;="&amp;BX756),"")</f>
        <v>666.43543956044</v>
      </c>
      <c r="AZ756" s="70" t="n">
        <f aca="false">IF(AY756="",0,MAX(0,MIN(1,(IF(CG756="L1",Parameter!$H$5,IF(CG756="L23",Parameter!$H$6+Parameter!$H$7,Parameter!$H$5+Parameter!$H$6+Parameter!$H$7))-(AY756-AT756))/AT756)))</f>
        <v>1</v>
      </c>
      <c r="BA756" s="62" t="n">
        <f aca="false">IF(LEFT(Cockpit!$O$5,1)="A",H756,IF(Parameter!$E$30="MAX-Bestand",IF(CI756=1,CJ756,IF(LEFT(Cockpit!$O$5,1)="B",BG756,MAX(BG756,H756))),ROUNDUP(BE756,0)))</f>
        <v>272</v>
      </c>
      <c r="BB756" s="62" t="n">
        <f aca="false">IF(CA756=1,0,ROUNDUP(BA756/BZ756,0))</f>
        <v>1</v>
      </c>
      <c r="BC756" s="64" t="n">
        <f aca="false">IF(CR756&gt;0,CR756*MAX(1,BA756/X756),IF(CA756=1,IF(BA756&lt;=0,0,CE756*MAX(1,IF(H756&gt;0,BA756/H756,1))),IF(R756&gt;0,BB756/R756,0))/MAX(0.1,N(Parameter!$M$21)))</f>
        <v>0.0192307692307692</v>
      </c>
      <c r="BD756" s="62" t="n">
        <f aca="false">BC756*CC756</f>
        <v>2.98076923076923</v>
      </c>
      <c r="BE756" s="63" t="n">
        <f aca="false">IF(LEFT(Cockpit!$O$5,1)="A",H756,IF(CI756=1,(CL756+CJ756)/2,IF(LEFT(Cockpit!$O$5,1)="B",(CL756+BG756)/2,MAX((CL756+BG756)/2,H756))))</f>
        <v>272</v>
      </c>
      <c r="BF756" s="62" t="n">
        <f aca="false">BE756*G756</f>
        <v>16.32</v>
      </c>
      <c r="BG756" s="62" t="n">
        <f aca="false">ROUNDUP(CL756+MAX(CM756,2*(J756/IF(CH756&gt;0,CH756,MAX(0.1,N(Cockpit!$O$6)))-CL756)),0)</f>
        <v>522</v>
      </c>
      <c r="BH756" s="63" t="n">
        <f aca="false">IF(BD756&gt;0,J756/BD756,-1)</f>
        <v>131.845161290323</v>
      </c>
      <c r="BI756" s="63" t="n">
        <f aca="false">IF(AND(OR(CG756="L1",CG756="L23",CG756="LIFT"),BD756&gt;0),SUMIFS($BD$7:$BD$1843,$CG$7:$CG$1843,CG756,$BH$7:$BH$1843,"&gt;"&amp;BH756)+SUMIFS($BD$7:$BD$1843,$CG$7:$CG$1843,CG756,$BH$7:$BH$1843,BH756,$BX$7:$BX$1843,"&lt;="&amp;BX756),"")</f>
        <v>600.787087912088</v>
      </c>
      <c r="BJ756" s="70" t="n">
        <f aca="false">IF(BI756="",0,MAX(0,MIN(1,(IF(CG756="L1",Parameter!$H$5,IF(CG756="L23",Parameter!$H$6+Parameter!$H$7,Parameter!$H$5+Parameter!$H$6+Parameter!$H$7))-(BI756-BD756))/BD756)))</f>
        <v>1</v>
      </c>
      <c r="BK756" s="60" t="str">
        <f aca="false">IF(AJ756&lt;=0,"",IF(CG756="Aussen","Aussenlager",IF(CG756="-","Nicht im Lift",IF(AP756&gt;=1,"Lift",IF(AP756&lt;=0,"Aussenlager","teilweise")))))</f>
        <v>Lift</v>
      </c>
      <c r="BL756" s="60" t="str">
        <f aca="false">IF(AT756&lt;=0,"",IF(CG756="Aussen","Aussenlager",IF(CG756="-","Nicht im Lift",IF(AZ756&gt;=1,"Lift",IF(AZ756&lt;=0,"Aussenlager","teilweise")))))</f>
        <v>Lift</v>
      </c>
      <c r="BM756" s="60" t="str">
        <f aca="false">IF(BD756&lt;=0,"",IF(CG756="Aussen","Aussenlager",IF(CG756="-","Nicht im Lift",IF(BJ756&gt;=1,"Lift",IF(BJ756&lt;=0,"Aussenlager","teilweise")))))</f>
        <v>Lift</v>
      </c>
      <c r="BN756" s="60" t="str">
        <f aca="false">IF(A756="","",IF(BW756=1,"Neu; ","")&amp;IF(AND(BW756=0,BR756&lt;0),"negativer Bestand (Export "&amp;BR756&amp;"); ","")&amp;IF(J756&lt;=0,"Kein Verbrauch; ","")&amp;IF(CR756&gt;0,"Lift "&amp;W756&amp;" lt. Liftbericht (Fach "&amp;X756&amp;" Stk); ",IF(CB756=1,"Gebinde geschätzt ("&amp;T756&amp;"); ",IF(CA756=1,"Lose – Tablare geschätzt; ","")))&amp;IF(H756&gt;AW756,"Überbestand "&amp;ROUND(H756-AW756,0)&amp;" Stk / CHF "&amp;ROUND((H756-AW756)*G756,0)&amp;"; ","")&amp;IF(AND(CI756=1,CJ756&lt;CK756),"MAX &lt; MB+LG; ","")&amp;IF(AND(CQ756&gt;0,CP756*10&gt;CQ756),"zu hoch für Tablar; ","")&amp;IF(AND(BW756=0,OR(CI756=1,AB756&lt;&gt;"",U756&lt;&gt;"",V756&lt;&gt;"",AC756&lt;&gt;"")),"manuell übersteuert; ","")&amp;IF(AND(CA756=0,R756=0),"Gebinde unbekannt / Stellmass fehlt; ","")&amp;IF(AND(CA756=0,N(V756)&lt;=0,N(Q756)&lt;=0),"Menge pro Gebinde fehlt (Ist = 1 Gebinde); ","")&amp;BV756)</f>
        <v/>
      </c>
      <c r="BO756" s="60"/>
      <c r="BP756" s="60"/>
      <c r="BQ756" s="67"/>
      <c r="BR756" s="62" t="n">
        <v>7</v>
      </c>
      <c r="BS756" s="62" t="n">
        <v>74</v>
      </c>
      <c r="BT756" s="61" t="n">
        <v>-0.269999999999946</v>
      </c>
      <c r="BU756" s="62" t="n">
        <v>393</v>
      </c>
      <c r="BV756" s="60"/>
      <c r="BW756" s="65" t="n">
        <v>0</v>
      </c>
      <c r="BX756" s="65" t="n">
        <v>756</v>
      </c>
      <c r="BY756" s="60" t="str">
        <f aca="false">IF(U756&lt;&gt;"",UPPER(TRIM(U756)),IF(CB756=1,UPPER(VLOOKUP(T756,Parameter!$I$27:$K$29,2,0)),IF(P756="","LOSE",P756)))</f>
        <v>S41</v>
      </c>
      <c r="BZ756" s="62" t="n">
        <f aca="false">IF(BY756="LOSE",1,IF(N(V756)&gt;0,V756,IF(CB756=1,MAX(1,N(VLOOKUP(T756,Parameter!$I$27:$K$29,3,0)),H756,N(N756)),IF(N(Q756)&gt;0,Q756,MAX(1,H756)))))</f>
        <v>675</v>
      </c>
      <c r="CA756" s="65" t="n">
        <f aca="false">IF(BY756="LOSE",1,0)</f>
        <v>0</v>
      </c>
      <c r="CB756" s="65" t="n">
        <f aca="false">IF(AND(U756="",OR(P756="",P756="LOSE"),T756&lt;&gt;"",N(S756)&lt;=0,ISNUMBER(MATCH(T756,Parameter!$I$27:$I$29,0))),1,0)</f>
        <v>0</v>
      </c>
      <c r="CC756" s="65" t="n">
        <f aca="false">IF(CR756&gt;0,INDEX(Parameter!$H$5:$H$7,W756)/INDEX(Parameter!$E$5:$E$7,W756),IF(AND(CA756=0,N(IFERROR(VLOOKUP(BY756,'Gebinde-Kategorie'!$A$5:$N$45,14,0),0))&gt;0),VLOOKUP(BY756,'Gebinde-Kategorie'!$A$5:$N$45,14,0)*10+Parameter!$M$23,Parameter!$M$24))</f>
        <v>155</v>
      </c>
      <c r="CD756" s="60" t="str">
        <f aca="false">IF(AND(Parameter!$B$19="Ja",E756&lt;&gt;"",ISNUMBER(MATCH(E756,Parameter!$I$35:$I$52,0))),VLOOKUP(E756,Parameter!$I$35:$J$52,2,0),IFERROR(VLOOKUP(D756,Parameter!$A$35:$C$64,2,0),"Nein"))</f>
        <v>2+3</v>
      </c>
      <c r="CE756" s="64" t="n">
        <f aca="false">IF(CA756=0,0,IF(N(S756)&gt;0,S756,IFERROR(VLOOKUP(D756,Parameter!$A$35:$C$64,3,0)+0,0)))</f>
        <v>0</v>
      </c>
      <c r="CF756" s="60" t="n">
        <f aca="false">IF(AB756&lt;&gt;"",AB756,AA756)</f>
        <v>2</v>
      </c>
      <c r="CG756" s="60" t="str">
        <f aca="false">IF(OR(CF756=1,CF756=2,CF756=3),IF(Parameter!$E$27="Ja","LIFT",IF(CF756=1,"L1","L23")),IF(CF756="Aussen","Aussen","-"))</f>
        <v>LIFT</v>
      </c>
      <c r="CH756" s="71" t="n">
        <f aca="false">IF(N(AC756)&gt;0,AC756,0)</f>
        <v>0</v>
      </c>
      <c r="CI756" s="65" t="n">
        <f aca="false">IF(ISNUMBER(AF756),1,0)</f>
        <v>0</v>
      </c>
      <c r="CJ756" s="62" t="n">
        <f aca="false">N(AF756)</f>
        <v>0</v>
      </c>
      <c r="CK756" s="62" t="n">
        <f aca="false">N(M756)+N(N756)</f>
        <v>522</v>
      </c>
      <c r="CL756" s="62" t="n">
        <f aca="false">N(M756)</f>
        <v>22</v>
      </c>
      <c r="CM756" s="62" t="n">
        <f aca="false">N(N756)</f>
        <v>500</v>
      </c>
      <c r="CN756" s="62" t="n">
        <f aca="false">ROUNDUP(H756/BZ756,0)</f>
        <v>1</v>
      </c>
      <c r="CO756" s="62" t="n">
        <f aca="false">ROUNDUP(CJ756/BZ756,0)</f>
        <v>0</v>
      </c>
      <c r="CP756" s="65" t="n">
        <f aca="false">IF(CA756=1,0,IFERROR(VLOOKUP(BY756,'Gebinde-Kategorie'!$A$5:$N$45,5,0)+0,0))</f>
        <v>11</v>
      </c>
      <c r="CQ756" s="65" t="n">
        <f aca="false">IFERROR(IF(OR(CF756=1,CF756=2,CF756=3),N(INDEX(Parameter!$I$5:$I$7,CF756)),0),0)</f>
        <v>0</v>
      </c>
      <c r="CR756" s="64" t="n">
        <f aca="false">IF(AND(Parameter!$B$21="Ja",ISNUMBER(W756),N(X756)&gt;0),IFERROR(N(INDEX(Parameter!$L$5:$L$7,W756))*INDEX(Parameter!$E$5:$E$7,W756)*X756/SUMIFS($X$7:$X$1843,$W$7:$W$1843,W756),0),0)</f>
        <v>0</v>
      </c>
      <c r="CS756" s="62" t="n">
        <f aca="false">IF(AND(OR(CG756="L1",CG756="L23",CG756="LIFT"),H756&gt;0),CC756*IF(CR756&gt;0,CR756*MAX(1,H756/X756),IF(CA756=1,CE756,IF(R756&gt;0,CN756/R756,0))/MAX(0.1,N(Parameter!$M$21))),"")</f>
        <v>2.98076923076923</v>
      </c>
      <c r="CT756" s="64" t="n">
        <f aca="false">IF(CS756="","",J756/H756)</f>
        <v>4.85185185185185</v>
      </c>
      <c r="CU756" s="62" t="n">
        <f aca="false">IF(CS756="","",H756*G756)</f>
        <v>4.86</v>
      </c>
      <c r="CV756" s="63" t="n">
        <f aca="false">IF(CS756="","",(CL756+ROUNDUP(CL756+MAX(CM756,2*(J756/MAX(0.1,N(Einkauf!$C$6))-CL756)),0))/2)</f>
        <v>272</v>
      </c>
      <c r="CW756" s="62" t="n">
        <f aca="false">IF(CS756="","",MAX(0,H756-CV756)*G756)</f>
        <v>0</v>
      </c>
      <c r="CX756" s="62" t="n">
        <f aca="false">IF(CS756="","",CS756*MAX(0,1-CV756/H756))</f>
        <v>0</v>
      </c>
      <c r="CY756" s="64" t="n">
        <f aca="false">IF(CS756="","",PERCENTRANK($CS$7:$CS$1843,CS756)+PERCENTRANK($CU$7:$CU$1843,CU756)+1-PERCENTRANK($CT$7:$CT$1843,CT756))</f>
        <v>0.2809</v>
      </c>
      <c r="CZ756" s="72" t="n">
        <f aca="false">IF(CS756="","",CHOOSE(MATCH(Einkauf!$C$5,Parameter!$G$23:$G$27,0),CY756,CS756,CU756,-CT756,CW756)+ROW()/1000000000)</f>
        <v>0.280900756</v>
      </c>
    </row>
    <row r="757" customFormat="false" ht="15" hidden="false" customHeight="false" outlineLevel="0" collapsed="false">
      <c r="A757" s="60" t="s">
        <v>1538</v>
      </c>
      <c r="B757" s="60" t="s">
        <v>447</v>
      </c>
      <c r="C757" s="60" t="s">
        <v>206</v>
      </c>
      <c r="D757" s="60" t="s">
        <v>226</v>
      </c>
      <c r="E757" s="60" t="s">
        <v>227</v>
      </c>
      <c r="F757" s="60" t="s">
        <v>260</v>
      </c>
      <c r="G757" s="61" t="n">
        <v>0.1</v>
      </c>
      <c r="H757" s="62" t="n">
        <f aca="false">MAX(0,IF(AND(Parameter!$B$21="Ja",ISNUMBER(Y757)),Y757,IF(Parameter!$B$20="Jahresanfang 2025 + Export",BS757+BR757,BR757)))</f>
        <v>365</v>
      </c>
      <c r="I757" s="62" t="n">
        <f aca="false">H757*G757</f>
        <v>36.5</v>
      </c>
      <c r="J757" s="62" t="n">
        <f aca="false">BU757*Parameter!$B$18</f>
        <v>1</v>
      </c>
      <c r="K757" s="63" t="n">
        <v>366.5</v>
      </c>
      <c r="L757" s="64" t="n">
        <v>0.00272851296043656</v>
      </c>
      <c r="M757" s="62" t="n">
        <v>0</v>
      </c>
      <c r="N757" s="62" t="n">
        <v>1</v>
      </c>
      <c r="O757" s="65" t="n">
        <v>21</v>
      </c>
      <c r="P757" s="60" t="s">
        <v>370</v>
      </c>
      <c r="Q757" s="62" t="n">
        <v>381</v>
      </c>
      <c r="R757" s="65" t="n">
        <f aca="false">IF(CA757=1,0,IFERROR(VLOOKUP(BY757,'Gebinde-Kategorie'!$A$5:$N$45,13,0)+0,0))</f>
        <v>52</v>
      </c>
      <c r="S757" s="66"/>
      <c r="T757" s="67"/>
      <c r="U757" s="67"/>
      <c r="V757" s="67"/>
      <c r="W757" s="60"/>
      <c r="X757" s="62"/>
      <c r="Y757" s="62"/>
      <c r="Z757" s="60" t="n">
        <v>2</v>
      </c>
      <c r="AA757" s="60" t="n">
        <f aca="false">IF(A757="","",IF(AND(Parameter!$B$21="Ja",ISNUMBER(W757)),W757,IF(AND(Parameter!$E$27="Ja",ISNUMBER(Z757),CD757&lt;&gt;"Nein"),Z757,IF(CD757="2+3",IF(ISNUMBER(SEARCH("grosser Artikel",BV757)),2,IFERROR(VLOOKUP(BY757,Parameter!$F$35:$G$64,2,0),2)),IF(OR(CD757="Nein",CD757=""),"-",CD757)))))</f>
        <v>2</v>
      </c>
      <c r="AB757" s="67"/>
      <c r="AC757" s="68"/>
      <c r="AD757" s="62" t="n">
        <f aca="false">AW757</f>
        <v>1</v>
      </c>
      <c r="AE757" s="62" t="n">
        <f aca="false">MAX(AW757,H757)</f>
        <v>365</v>
      </c>
      <c r="AF757" s="69"/>
      <c r="AG757" s="62" t="n">
        <f aca="false">IF(LEFT(Cockpit!$C$5,1)="A",H757,IF(Parameter!$E$30="MAX-Bestand",IF(CI757=1,CJ757,IF(LEFT(Cockpit!$C$5,1)="B",AM757,MAX(AM757,H757))),ROUNDUP(AK757,0)))</f>
        <v>365</v>
      </c>
      <c r="AH757" s="62" t="n">
        <f aca="false">IF(CA757=1,0,ROUNDUP(AG757/BZ757,0))</f>
        <v>1</v>
      </c>
      <c r="AI757" s="64" t="n">
        <f aca="false">IF(CR757&gt;0,CR757*MAX(1,AG757/X757),IF(CA757=1,IF(AG757&lt;=0,0,CE757*MAX(1,IF(H757&gt;0,AG757/H757,1))),IF(R757&gt;0,AH757/R757,0))/MAX(0.1,N(Parameter!$M$21)))</f>
        <v>0.0192307692307692</v>
      </c>
      <c r="AJ757" s="62" t="n">
        <f aca="false">AI757*CC757</f>
        <v>2.98076923076923</v>
      </c>
      <c r="AK757" s="63" t="n">
        <f aca="false">IF(LEFT(Cockpit!$C$5,1)="A",H757,IF(CI757=1,(CL757+CJ757)/2,IF(LEFT(Cockpit!$C$5,1)="B",(CL757+AM757)/2,MAX((CL757+AM757)/2,H757))))</f>
        <v>365</v>
      </c>
      <c r="AL757" s="62" t="n">
        <f aca="false">AK757*G757</f>
        <v>36.5</v>
      </c>
      <c r="AM757" s="62" t="n">
        <f aca="false">ROUNDUP(CL757+MAX(CM757,2*(J757/IF(CH757&gt;0,CH757,MAX(0.1,N(Cockpit!$C$6)))-CL757)),0)</f>
        <v>1</v>
      </c>
      <c r="AN757" s="63" t="n">
        <f aca="false">IF(AJ757&gt;0,J757/AJ757,-1)</f>
        <v>0.335483870967742</v>
      </c>
      <c r="AO757" s="63" t="n">
        <f aca="false">IF(AND(OR(CG757="L1",CG757="L23",CG757="LIFT"),AJ757&gt;0),SUMIFS($AJ$7:$AJ$1843,$CG$7:$CG$1843,CG757,$AN$7:$AN$1843,"&gt;"&amp;AN757)+SUMIFS($AJ$7:$AJ$1843,$CG$7:$CG$1843,CG757,$AN$7:$AN$1843,AN757,$BX$7:$BX$1843,"&lt;="&amp;BX757),"")</f>
        <v>11200.9231933321</v>
      </c>
      <c r="AP757" s="70" t="n">
        <f aca="false">IF(AO757="",0,MAX(0,MIN(1,(IF(CG757="L1",Parameter!$H$5,IF(CG757="L23",Parameter!$H$6+Parameter!$H$7,Parameter!$H$5+Parameter!$H$6+Parameter!$H$7))-(AO757-AJ757))/AJ757)))</f>
        <v>1</v>
      </c>
      <c r="AQ757" s="62" t="n">
        <f aca="false">IF(LEFT(Cockpit!$I$5,1)="A",H757,IF(Parameter!$E$30="MAX-Bestand",IF(CI757=1,CJ757,IF(LEFT(Cockpit!$I$5,1)="B",AW757,MAX(AW757,H757))),ROUNDUP(AU757,0)))</f>
        <v>365</v>
      </c>
      <c r="AR757" s="62" t="n">
        <f aca="false">IF(CA757=1,0,ROUNDUP(AQ757/BZ757,0))</f>
        <v>1</v>
      </c>
      <c r="AS757" s="64" t="n">
        <f aca="false">IF(CR757&gt;0,CR757*MAX(1,AQ757/X757),IF(CA757=1,IF(AQ757&lt;=0,0,CE757*MAX(1,IF(H757&gt;0,AQ757/H757,1))),IF(R757&gt;0,AR757/R757,0))/MAX(0.1,N(Parameter!$M$21)))</f>
        <v>0.0192307692307692</v>
      </c>
      <c r="AT757" s="62" t="n">
        <f aca="false">AS757*CC757</f>
        <v>2.98076923076923</v>
      </c>
      <c r="AU757" s="63" t="n">
        <f aca="false">IF(LEFT(Cockpit!$I$5,1)="A",H757,IF(CI757=1,(CL757+CJ757)/2,IF(LEFT(Cockpit!$I$5,1)="B",(CL757+AW757)/2,MAX((CL757+AW757)/2,H757))))</f>
        <v>365</v>
      </c>
      <c r="AV757" s="62" t="n">
        <f aca="false">AU757*G757</f>
        <v>36.5</v>
      </c>
      <c r="AW757" s="62" t="n">
        <f aca="false">ROUNDUP(CL757+MAX(CM757,2*(J757/IF(CH757&gt;0,CH757,MAX(0.1,N(Cockpit!$I$6)))-CL757)),0)</f>
        <v>1</v>
      </c>
      <c r="AX757" s="63" t="n">
        <f aca="false">IF(AT757&gt;0,J757/AT757,-1)</f>
        <v>0.335483870967742</v>
      </c>
      <c r="AY757" s="63" t="n">
        <f aca="false">IF(AND(OR(CG757="L1",CG757="L23",CG757="LIFT"),AT757&gt;0),SUMIFS($AT$7:$AT$1843,$CG$7:$CG$1843,CG757,$AX$7:$AX$1843,"&gt;"&amp;AX757)+SUMIFS($AT$7:$AT$1843,$CG$7:$CG$1843,CG757,$AX$7:$AX$1843,AX757,$BX$7:$BX$1843,"&lt;="&amp;BX757),"")</f>
        <v>13735.0608974359</v>
      </c>
      <c r="AZ757" s="70" t="n">
        <f aca="false">IF(AY757="",0,MAX(0,MIN(1,(IF(CG757="L1",Parameter!$H$5,IF(CG757="L23",Parameter!$H$6+Parameter!$H$7,Parameter!$H$5+Parameter!$H$6+Parameter!$H$7))-(AY757-AT757))/AT757)))</f>
        <v>1</v>
      </c>
      <c r="BA757" s="62" t="n">
        <f aca="false">IF(LEFT(Cockpit!$O$5,1)="A",H757,IF(Parameter!$E$30="MAX-Bestand",IF(CI757=1,CJ757,IF(LEFT(Cockpit!$O$5,1)="B",BG757,MAX(BG757,H757))),ROUNDUP(BE757,0)))</f>
        <v>1</v>
      </c>
      <c r="BB757" s="62" t="n">
        <f aca="false">IF(CA757=1,0,ROUNDUP(BA757/BZ757,0))</f>
        <v>1</v>
      </c>
      <c r="BC757" s="64" t="n">
        <f aca="false">IF(CR757&gt;0,CR757*MAX(1,BA757/X757),IF(CA757=1,IF(BA757&lt;=0,0,CE757*MAX(1,IF(H757&gt;0,BA757/H757,1))),IF(R757&gt;0,BB757/R757,0))/MAX(0.1,N(Parameter!$M$21)))</f>
        <v>0.0192307692307692</v>
      </c>
      <c r="BD757" s="62" t="n">
        <f aca="false">BC757*CC757</f>
        <v>2.98076923076923</v>
      </c>
      <c r="BE757" s="63" t="n">
        <f aca="false">IF(LEFT(Cockpit!$O$5,1)="A",H757,IF(CI757=1,(CL757+CJ757)/2,IF(LEFT(Cockpit!$O$5,1)="B",(CL757+BG757)/2,MAX((CL757+BG757)/2,H757))))</f>
        <v>0.5</v>
      </c>
      <c r="BF757" s="62" t="n">
        <f aca="false">BE757*G757</f>
        <v>0.05</v>
      </c>
      <c r="BG757" s="62" t="n">
        <f aca="false">ROUNDUP(CL757+MAX(CM757,2*(J757/IF(CH757&gt;0,CH757,MAX(0.1,N(Cockpit!$O$6)))-CL757)),0)</f>
        <v>1</v>
      </c>
      <c r="BH757" s="63" t="n">
        <f aca="false">IF(BD757&gt;0,J757/BD757,-1)</f>
        <v>0.335483870967742</v>
      </c>
      <c r="BI757" s="63" t="n">
        <f aca="false">IF(AND(OR(CG757="L1",CG757="L23",CG757="LIFT"),BD757&gt;0),SUMIFS($BD$7:$BD$1843,$CG$7:$CG$1843,CG757,$BH$7:$BH$1843,"&gt;"&amp;BH757)+SUMIFS($BD$7:$BD$1843,$CG$7:$CG$1843,CG757,$BH$7:$BH$1843,BH757,$BX$7:$BX$1843,"&lt;="&amp;BX757),"")</f>
        <v>11586.0196886447</v>
      </c>
      <c r="BJ757" s="70" t="n">
        <f aca="false">IF(BI757="",0,MAX(0,MIN(1,(IF(CG757="L1",Parameter!$H$5,IF(CG757="L23",Parameter!$H$6+Parameter!$H$7,Parameter!$H$5+Parameter!$H$6+Parameter!$H$7))-(BI757-BD757))/BD757)))</f>
        <v>1</v>
      </c>
      <c r="BK757" s="60" t="str">
        <f aca="false">IF(AJ757&lt;=0,"",IF(CG757="Aussen","Aussenlager",IF(CG757="-","Nicht im Lift",IF(AP757&gt;=1,"Lift",IF(AP757&lt;=0,"Aussenlager","teilweise")))))</f>
        <v>Lift</v>
      </c>
      <c r="BL757" s="60" t="str">
        <f aca="false">IF(AT757&lt;=0,"",IF(CG757="Aussen","Aussenlager",IF(CG757="-","Nicht im Lift",IF(AZ757&gt;=1,"Lift",IF(AZ757&lt;=0,"Aussenlager","teilweise")))))</f>
        <v>Lift</v>
      </c>
      <c r="BM757" s="60" t="str">
        <f aca="false">IF(BD757&lt;=0,"",IF(CG757="Aussen","Aussenlager",IF(CG757="-","Nicht im Lift",IF(BJ757&gt;=1,"Lift",IF(BJ757&lt;=0,"Aussenlager","teilweise")))))</f>
        <v>Lift</v>
      </c>
      <c r="BN757" s="60" t="str">
        <f aca="false">IF(A757="","",IF(BW757=1,"Neu; ","")&amp;IF(AND(BW757=0,BR757&lt;0),"negativer Bestand (Export "&amp;BR757&amp;"); ","")&amp;IF(J757&lt;=0,"Kein Verbrauch; ","")&amp;IF(CR757&gt;0,"Lift "&amp;W757&amp;" lt. Liftbericht (Fach "&amp;X757&amp;" Stk); ",IF(CB757=1,"Gebinde geschätzt ("&amp;T757&amp;"); ",IF(CA757=1,"Lose – Tablare geschätzt; ","")))&amp;IF(H757&gt;AW757,"Überbestand "&amp;ROUND(H757-AW757,0)&amp;" Stk / CHF "&amp;ROUND((H757-AW757)*G757,0)&amp;"; ","")&amp;IF(AND(CI757=1,CJ757&lt;CK757),"MAX &lt; MB+LG; ","")&amp;IF(AND(CQ757&gt;0,CP757*10&gt;CQ757),"zu hoch für Tablar; ","")&amp;IF(AND(BW757=0,OR(CI757=1,AB757&lt;&gt;"",U757&lt;&gt;"",V757&lt;&gt;"",AC757&lt;&gt;"")),"manuell übersteuert; ","")&amp;IF(AND(CA757=0,R757=0),"Gebinde unbekannt / Stellmass fehlt; ","")&amp;IF(AND(CA757=0,N(V757)&lt;=0,N(Q757)&lt;=0),"Menge pro Gebinde fehlt (Ist = 1 Gebinde); ","")&amp;BV757)</f>
        <v>negativer Bestand (Export -3); Überbestand 364 Stk / CHF 36; Überbestand</v>
      </c>
      <c r="BO757" s="60"/>
      <c r="BP757" s="60"/>
      <c r="BQ757" s="67"/>
      <c r="BR757" s="62" t="n">
        <v>-3</v>
      </c>
      <c r="BS757" s="62" t="n">
        <v>368</v>
      </c>
      <c r="BT757" s="61" t="n">
        <v>-0.3</v>
      </c>
      <c r="BU757" s="62" t="n">
        <v>1</v>
      </c>
      <c r="BV757" s="60" t="s">
        <v>434</v>
      </c>
      <c r="BW757" s="65" t="n">
        <v>0</v>
      </c>
      <c r="BX757" s="65" t="n">
        <v>757</v>
      </c>
      <c r="BY757" s="60" t="str">
        <f aca="false">IF(U757&lt;&gt;"",UPPER(TRIM(U757)),IF(CB757=1,UPPER(VLOOKUP(T757,Parameter!$I$27:$K$29,2,0)),IF(P757="","LOSE",P757)))</f>
        <v>S41</v>
      </c>
      <c r="BZ757" s="62" t="n">
        <f aca="false">IF(BY757="LOSE",1,IF(N(V757)&gt;0,V757,IF(CB757=1,MAX(1,N(VLOOKUP(T757,Parameter!$I$27:$K$29,3,0)),H757,N(N757)),IF(N(Q757)&gt;0,Q757,MAX(1,H757)))))</f>
        <v>381</v>
      </c>
      <c r="CA757" s="65" t="n">
        <f aca="false">IF(BY757="LOSE",1,0)</f>
        <v>0</v>
      </c>
      <c r="CB757" s="65" t="n">
        <f aca="false">IF(AND(U757="",OR(P757="",P757="LOSE"),T757&lt;&gt;"",N(S757)&lt;=0,ISNUMBER(MATCH(T757,Parameter!$I$27:$I$29,0))),1,0)</f>
        <v>0</v>
      </c>
      <c r="CC757" s="65" t="n">
        <f aca="false">IF(CR757&gt;0,INDEX(Parameter!$H$5:$H$7,W757)/INDEX(Parameter!$E$5:$E$7,W757),IF(AND(CA757=0,N(IFERROR(VLOOKUP(BY757,'Gebinde-Kategorie'!$A$5:$N$45,14,0),0))&gt;0),VLOOKUP(BY757,'Gebinde-Kategorie'!$A$5:$N$45,14,0)*10+Parameter!$M$23,Parameter!$M$24))</f>
        <v>155</v>
      </c>
      <c r="CD757" s="60" t="str">
        <f aca="false">IF(AND(Parameter!$B$19="Ja",E757&lt;&gt;"",ISNUMBER(MATCH(E757,Parameter!$I$35:$I$52,0))),VLOOKUP(E757,Parameter!$I$35:$J$52,2,0),IFERROR(VLOOKUP(D757,Parameter!$A$35:$C$64,2,0),"Nein"))</f>
        <v>2+3</v>
      </c>
      <c r="CE757" s="64" t="n">
        <f aca="false">IF(CA757=0,0,IF(N(S757)&gt;0,S757,IFERROR(VLOOKUP(D757,Parameter!$A$35:$C$64,3,0)+0,0)))</f>
        <v>0</v>
      </c>
      <c r="CF757" s="60" t="n">
        <f aca="false">IF(AB757&lt;&gt;"",AB757,AA757)</f>
        <v>2</v>
      </c>
      <c r="CG757" s="60" t="str">
        <f aca="false">IF(OR(CF757=1,CF757=2,CF757=3),IF(Parameter!$E$27="Ja","LIFT",IF(CF757=1,"L1","L23")),IF(CF757="Aussen","Aussen","-"))</f>
        <v>LIFT</v>
      </c>
      <c r="CH757" s="71" t="n">
        <f aca="false">IF(N(AC757)&gt;0,AC757,0)</f>
        <v>0</v>
      </c>
      <c r="CI757" s="65" t="n">
        <f aca="false">IF(ISNUMBER(AF757),1,0)</f>
        <v>0</v>
      </c>
      <c r="CJ757" s="62" t="n">
        <f aca="false">N(AF757)</f>
        <v>0</v>
      </c>
      <c r="CK757" s="62" t="n">
        <f aca="false">N(M757)+N(N757)</f>
        <v>1</v>
      </c>
      <c r="CL757" s="62" t="n">
        <f aca="false">N(M757)</f>
        <v>0</v>
      </c>
      <c r="CM757" s="62" t="n">
        <f aca="false">N(N757)</f>
        <v>1</v>
      </c>
      <c r="CN757" s="62" t="n">
        <f aca="false">ROUNDUP(H757/BZ757,0)</f>
        <v>1</v>
      </c>
      <c r="CO757" s="62" t="n">
        <f aca="false">ROUNDUP(CJ757/BZ757,0)</f>
        <v>0</v>
      </c>
      <c r="CP757" s="65" t="n">
        <f aca="false">IF(CA757=1,0,IFERROR(VLOOKUP(BY757,'Gebinde-Kategorie'!$A$5:$N$45,5,0)+0,0))</f>
        <v>11</v>
      </c>
      <c r="CQ757" s="65" t="n">
        <f aca="false">IFERROR(IF(OR(CF757=1,CF757=2,CF757=3),N(INDEX(Parameter!$I$5:$I$7,CF757)),0),0)</f>
        <v>0</v>
      </c>
      <c r="CR757" s="64" t="n">
        <f aca="false">IF(AND(Parameter!$B$21="Ja",ISNUMBER(W757),N(X757)&gt;0),IFERROR(N(INDEX(Parameter!$L$5:$L$7,W757))*INDEX(Parameter!$E$5:$E$7,W757)*X757/SUMIFS($X$7:$X$1843,$W$7:$W$1843,W757),0),0)</f>
        <v>0</v>
      </c>
      <c r="CS757" s="62" t="n">
        <f aca="false">IF(AND(OR(CG757="L1",CG757="L23",CG757="LIFT"),H757&gt;0),CC757*IF(CR757&gt;0,CR757*MAX(1,H757/X757),IF(CA757=1,CE757,IF(R757&gt;0,CN757/R757,0))/MAX(0.1,N(Parameter!$M$21))),"")</f>
        <v>2.98076923076923</v>
      </c>
      <c r="CT757" s="64" t="n">
        <f aca="false">IF(CS757="","",J757/H757)</f>
        <v>0.00273972602739726</v>
      </c>
      <c r="CU757" s="62" t="n">
        <f aca="false">IF(CS757="","",H757*G757)</f>
        <v>36.5</v>
      </c>
      <c r="CV757" s="63" t="n">
        <f aca="false">IF(CS757="","",(CL757+ROUNDUP(CL757+MAX(CM757,2*(J757/MAX(0.1,N(Einkauf!$C$6))-CL757)),0))/2)</f>
        <v>0.5</v>
      </c>
      <c r="CW757" s="62" t="n">
        <f aca="false">IF(CS757="","",MAX(0,H757-CV757)*G757)</f>
        <v>36.45</v>
      </c>
      <c r="CX757" s="62" t="n">
        <f aca="false">IF(CS757="","",CS757*MAX(0,1-CV757/H757))</f>
        <v>2.97668598524763</v>
      </c>
      <c r="CY757" s="64" t="n">
        <f aca="false">IF(CS757="","",PERCENTRANK($CS$7:$CS$1843,CS757)+PERCENTRANK($CU$7:$CU$1843,CU757)+1-PERCENTRANK($CT$7:$CT$1843,CT757))</f>
        <v>0.971</v>
      </c>
      <c r="CZ757" s="72" t="n">
        <f aca="false">IF(CS757="","",CHOOSE(MATCH(Einkauf!$C$5,Parameter!$G$23:$G$27,0),CY757,CS757,CU757,-CT757,CW757)+ROW()/1000000000)</f>
        <v>0.971000757</v>
      </c>
    </row>
    <row r="758" customFormat="false" ht="15" hidden="false" customHeight="false" outlineLevel="0" collapsed="false">
      <c r="A758" s="60" t="s">
        <v>1539</v>
      </c>
      <c r="B758" s="60" t="s">
        <v>447</v>
      </c>
      <c r="C758" s="60" t="s">
        <v>206</v>
      </c>
      <c r="D758" s="60" t="s">
        <v>226</v>
      </c>
      <c r="E758" s="60" t="s">
        <v>227</v>
      </c>
      <c r="F758" s="60" t="s">
        <v>260</v>
      </c>
      <c r="G758" s="61" t="n">
        <v>0.02</v>
      </c>
      <c r="H758" s="62" t="n">
        <f aca="false">MAX(0,IF(AND(Parameter!$B$21="Ja",ISNUMBER(Y758)),Y758,IF(Parameter!$B$20="Jahresanfang 2025 + Export",BS758+BR758,BR758)))</f>
        <v>227</v>
      </c>
      <c r="I758" s="62" t="n">
        <f aca="false">H758*G758</f>
        <v>4.54</v>
      </c>
      <c r="J758" s="62" t="n">
        <f aca="false">BU758*Parameter!$B$18</f>
        <v>12</v>
      </c>
      <c r="K758" s="63" t="n">
        <v>236.5</v>
      </c>
      <c r="L758" s="64" t="n">
        <v>0.0507399577167019</v>
      </c>
      <c r="M758" s="62" t="n">
        <v>0</v>
      </c>
      <c r="N758" s="62" t="n">
        <v>10</v>
      </c>
      <c r="O758" s="65" t="n">
        <v>14</v>
      </c>
      <c r="P758" s="60" t="s">
        <v>518</v>
      </c>
      <c r="Q758" s="62" t="n">
        <v>500</v>
      </c>
      <c r="R758" s="65" t="n">
        <f aca="false">IF(CA758=1,0,IFERROR(VLOOKUP(BY758,'Gebinde-Kategorie'!$A$5:$N$45,13,0)+0,0))</f>
        <v>52</v>
      </c>
      <c r="S758" s="66"/>
      <c r="T758" s="67"/>
      <c r="U758" s="67"/>
      <c r="V758" s="67"/>
      <c r="W758" s="60"/>
      <c r="X758" s="62"/>
      <c r="Y758" s="62"/>
      <c r="Z758" s="60" t="n">
        <v>2</v>
      </c>
      <c r="AA758" s="60" t="n">
        <f aca="false">IF(A758="","",IF(AND(Parameter!$B$21="Ja",ISNUMBER(W758)),W758,IF(AND(Parameter!$E$27="Ja",ISNUMBER(Z758),CD758&lt;&gt;"Nein"),Z758,IF(CD758="2+3",IF(ISNUMBER(SEARCH("grosser Artikel",BV758)),2,IFERROR(VLOOKUP(BY758,Parameter!$F$35:$G$64,2,0),2)),IF(OR(CD758="Nein",CD758=""),"-",CD758)))))</f>
        <v>2</v>
      </c>
      <c r="AB758" s="67"/>
      <c r="AC758" s="68"/>
      <c r="AD758" s="62" t="n">
        <f aca="false">AW758</f>
        <v>10</v>
      </c>
      <c r="AE758" s="62" t="n">
        <f aca="false">MAX(AW758,H758)</f>
        <v>227</v>
      </c>
      <c r="AF758" s="69"/>
      <c r="AG758" s="62" t="n">
        <f aca="false">IF(LEFT(Cockpit!$C$5,1)="A",H758,IF(Parameter!$E$30="MAX-Bestand",IF(CI758=1,CJ758,IF(LEFT(Cockpit!$C$5,1)="B",AM758,MAX(AM758,H758))),ROUNDUP(AK758,0)))</f>
        <v>227</v>
      </c>
      <c r="AH758" s="62" t="n">
        <f aca="false">IF(CA758=1,0,ROUNDUP(AG758/BZ758,0))</f>
        <v>1</v>
      </c>
      <c r="AI758" s="64" t="n">
        <f aca="false">IF(CR758&gt;0,CR758*MAX(1,AG758/X758),IF(CA758=1,IF(AG758&lt;=0,0,CE758*MAX(1,IF(H758&gt;0,AG758/H758,1))),IF(R758&gt;0,AH758/R758,0))/MAX(0.1,N(Parameter!$M$21)))</f>
        <v>0.0192307692307692</v>
      </c>
      <c r="AJ758" s="62" t="n">
        <f aca="false">AI758*CC758</f>
        <v>2.98076923076923</v>
      </c>
      <c r="AK758" s="63" t="n">
        <f aca="false">IF(LEFT(Cockpit!$C$5,1)="A",H758,IF(CI758=1,(CL758+CJ758)/2,IF(LEFT(Cockpit!$C$5,1)="B",(CL758+AM758)/2,MAX((CL758+AM758)/2,H758))))</f>
        <v>227</v>
      </c>
      <c r="AL758" s="62" t="n">
        <f aca="false">AK758*G758</f>
        <v>4.54</v>
      </c>
      <c r="AM758" s="62" t="n">
        <f aca="false">ROUNDUP(CL758+MAX(CM758,2*(J758/IF(CH758&gt;0,CH758,MAX(0.1,N(Cockpit!$C$6)))-CL758)),0)</f>
        <v>10</v>
      </c>
      <c r="AN758" s="63" t="n">
        <f aca="false">IF(AJ758&gt;0,J758/AJ758,-1)</f>
        <v>4.0258064516129</v>
      </c>
      <c r="AO758" s="63" t="n">
        <f aca="false">IF(AND(OR(CG758="L1",CG758="L23",CG758="LIFT"),AJ758&gt;0),SUMIFS($AJ$7:$AJ$1843,$CG$7:$CG$1843,CG758,$AN$7:$AN$1843,"&gt;"&amp;AN758)+SUMIFS($AJ$7:$AJ$1843,$CG$7:$CG$1843,CG758,$AN$7:$AN$1843,AN758,$BX$7:$BX$1843,"&lt;="&amp;BX758),"")</f>
        <v>4346.76602564103</v>
      </c>
      <c r="AP758" s="70" t="n">
        <f aca="false">IF(AO758="",0,MAX(0,MIN(1,(IF(CG758="L1",Parameter!$H$5,IF(CG758="L23",Parameter!$H$6+Parameter!$H$7,Parameter!$H$5+Parameter!$H$6+Parameter!$H$7))-(AO758-AJ758))/AJ758)))</f>
        <v>1</v>
      </c>
      <c r="AQ758" s="62" t="n">
        <f aca="false">IF(LEFT(Cockpit!$I$5,1)="A",H758,IF(Parameter!$E$30="MAX-Bestand",IF(CI758=1,CJ758,IF(LEFT(Cockpit!$I$5,1)="B",AW758,MAX(AW758,H758))),ROUNDUP(AU758,0)))</f>
        <v>227</v>
      </c>
      <c r="AR758" s="62" t="n">
        <f aca="false">IF(CA758=1,0,ROUNDUP(AQ758/BZ758,0))</f>
        <v>1</v>
      </c>
      <c r="AS758" s="64" t="n">
        <f aca="false">IF(CR758&gt;0,CR758*MAX(1,AQ758/X758),IF(CA758=1,IF(AQ758&lt;=0,0,CE758*MAX(1,IF(H758&gt;0,AQ758/H758,1))),IF(R758&gt;0,AR758/R758,0))/MAX(0.1,N(Parameter!$M$21)))</f>
        <v>0.0192307692307692</v>
      </c>
      <c r="AT758" s="62" t="n">
        <f aca="false">AS758*CC758</f>
        <v>2.98076923076923</v>
      </c>
      <c r="AU758" s="63" t="n">
        <f aca="false">IF(LEFT(Cockpit!$I$5,1)="A",H758,IF(CI758=1,(CL758+CJ758)/2,IF(LEFT(Cockpit!$I$5,1)="B",(CL758+AW758)/2,MAX((CL758+AW758)/2,H758))))</f>
        <v>227</v>
      </c>
      <c r="AV758" s="62" t="n">
        <f aca="false">AU758*G758</f>
        <v>4.54</v>
      </c>
      <c r="AW758" s="62" t="n">
        <f aca="false">ROUNDUP(CL758+MAX(CM758,2*(J758/IF(CH758&gt;0,CH758,MAX(0.1,N(Cockpit!$I$6)))-CL758)),0)</f>
        <v>10</v>
      </c>
      <c r="AX758" s="63" t="n">
        <f aca="false">IF(AT758&gt;0,J758/AT758,-1)</f>
        <v>4.0258064516129</v>
      </c>
      <c r="AY758" s="63" t="n">
        <f aca="false">IF(AND(OR(CG758="L1",CG758="L23",CG758="LIFT"),AT758&gt;0),SUMIFS($AT$7:$AT$1843,$CG$7:$CG$1843,CG758,$AX$7:$AX$1843,"&gt;"&amp;AX758)+SUMIFS($AT$7:$AT$1843,$CG$7:$CG$1843,CG758,$AX$7:$AX$1843,AX758,$BX$7:$BX$1843,"&lt;="&amp;BX758),"")</f>
        <v>4955.76327838828</v>
      </c>
      <c r="AZ758" s="70" t="n">
        <f aca="false">IF(AY758="",0,MAX(0,MIN(1,(IF(CG758="L1",Parameter!$H$5,IF(CG758="L23",Parameter!$H$6+Parameter!$H$7,Parameter!$H$5+Parameter!$H$6+Parameter!$H$7))-(AY758-AT758))/AT758)))</f>
        <v>1</v>
      </c>
      <c r="BA758" s="62" t="n">
        <f aca="false">IF(LEFT(Cockpit!$O$5,1)="A",H758,IF(Parameter!$E$30="MAX-Bestand",IF(CI758=1,CJ758,IF(LEFT(Cockpit!$O$5,1)="B",BG758,MAX(BG758,H758))),ROUNDUP(BE758,0)))</f>
        <v>5</v>
      </c>
      <c r="BB758" s="62" t="n">
        <f aca="false">IF(CA758=1,0,ROUNDUP(BA758/BZ758,0))</f>
        <v>1</v>
      </c>
      <c r="BC758" s="64" t="n">
        <f aca="false">IF(CR758&gt;0,CR758*MAX(1,BA758/X758),IF(CA758=1,IF(BA758&lt;=0,0,CE758*MAX(1,IF(H758&gt;0,BA758/H758,1))),IF(R758&gt;0,BB758/R758,0))/MAX(0.1,N(Parameter!$M$21)))</f>
        <v>0.0192307692307692</v>
      </c>
      <c r="BD758" s="62" t="n">
        <f aca="false">BC758*CC758</f>
        <v>2.98076923076923</v>
      </c>
      <c r="BE758" s="63" t="n">
        <f aca="false">IF(LEFT(Cockpit!$O$5,1)="A",H758,IF(CI758=1,(CL758+CJ758)/2,IF(LEFT(Cockpit!$O$5,1)="B",(CL758+BG758)/2,MAX((CL758+BG758)/2,H758))))</f>
        <v>5</v>
      </c>
      <c r="BF758" s="62" t="n">
        <f aca="false">BE758*G758</f>
        <v>0.1</v>
      </c>
      <c r="BG758" s="62" t="n">
        <f aca="false">ROUNDUP(CL758+MAX(CM758,2*(J758/IF(CH758&gt;0,CH758,MAX(0.1,N(Cockpit!$O$6)))-CL758)),0)</f>
        <v>10</v>
      </c>
      <c r="BH758" s="63" t="n">
        <f aca="false">IF(BD758&gt;0,J758/BD758,-1)</f>
        <v>4.0258064516129</v>
      </c>
      <c r="BI758" s="63" t="n">
        <f aca="false">IF(AND(OR(CG758="L1",CG758="L23",CG758="LIFT"),BD758&gt;0),SUMIFS($BD$7:$BD$1843,$CG$7:$CG$1843,CG758,$BH$7:$BH$1843,"&gt;"&amp;BH758)+SUMIFS($BD$7:$BD$1843,$CG$7:$CG$1843,CG758,$BH$7:$BH$1843,BH758,$BX$7:$BX$1843,"&lt;="&amp;BX758),"")</f>
        <v>4067.37225274725</v>
      </c>
      <c r="BJ758" s="70" t="n">
        <f aca="false">IF(BI758="",0,MAX(0,MIN(1,(IF(CG758="L1",Parameter!$H$5,IF(CG758="L23",Parameter!$H$6+Parameter!$H$7,Parameter!$H$5+Parameter!$H$6+Parameter!$H$7))-(BI758-BD758))/BD758)))</f>
        <v>1</v>
      </c>
      <c r="BK758" s="60" t="str">
        <f aca="false">IF(AJ758&lt;=0,"",IF(CG758="Aussen","Aussenlager",IF(CG758="-","Nicht im Lift",IF(AP758&gt;=1,"Lift",IF(AP758&lt;=0,"Aussenlager","teilweise")))))</f>
        <v>Lift</v>
      </c>
      <c r="BL758" s="60" t="str">
        <f aca="false">IF(AT758&lt;=0,"",IF(CG758="Aussen","Aussenlager",IF(CG758="-","Nicht im Lift",IF(AZ758&gt;=1,"Lift",IF(AZ758&lt;=0,"Aussenlager","teilweise")))))</f>
        <v>Lift</v>
      </c>
      <c r="BM758" s="60" t="str">
        <f aca="false">IF(BD758&lt;=0,"",IF(CG758="Aussen","Aussenlager",IF(CG758="-","Nicht im Lift",IF(BJ758&gt;=1,"Lift",IF(BJ758&lt;=0,"Aussenlager","teilweise")))))</f>
        <v>Lift</v>
      </c>
      <c r="BN758" s="60" t="str">
        <f aca="false">IF(A758="","",IF(BW758=1,"Neu; ","")&amp;IF(AND(BW758=0,BR758&lt;0),"negativer Bestand (Export "&amp;BR758&amp;"); ","")&amp;IF(J758&lt;=0,"Kein Verbrauch; ","")&amp;IF(CR758&gt;0,"Lift "&amp;W758&amp;" lt. Liftbericht (Fach "&amp;X758&amp;" Stk); ",IF(CB758=1,"Gebinde geschätzt ("&amp;T758&amp;"); ",IF(CA758=1,"Lose – Tablare geschätzt; ","")))&amp;IF(H758&gt;AW758,"Überbestand "&amp;ROUND(H758-AW758,0)&amp;" Stk / CHF "&amp;ROUND((H758-AW758)*G758,0)&amp;"; ","")&amp;IF(AND(CI758=1,CJ758&lt;CK758),"MAX &lt; MB+LG; ","")&amp;IF(AND(CQ758&gt;0,CP758*10&gt;CQ758),"zu hoch für Tablar; ","")&amp;IF(AND(BW758=0,OR(CI758=1,AB758&lt;&gt;"",U758&lt;&gt;"",V758&lt;&gt;"",AC758&lt;&gt;"")),"manuell übersteuert; ","")&amp;IF(AND(CA758=0,R758=0),"Gebinde unbekannt / Stellmass fehlt; ","")&amp;IF(AND(CA758=0,N(V758)&lt;=0,N(Q758)&lt;=0),"Menge pro Gebinde fehlt (Ist = 1 Gebinde); ","")&amp;BV758)</f>
        <v>negativer Bestand (Export -19); Überbestand 217 Stk / CHF 4; Neu</v>
      </c>
      <c r="BO758" s="60"/>
      <c r="BP758" s="60"/>
      <c r="BQ758" s="67"/>
      <c r="BR758" s="62" t="n">
        <v>-19</v>
      </c>
      <c r="BS758" s="62" t="n">
        <v>246</v>
      </c>
      <c r="BT758" s="61" t="n">
        <v>-0.38</v>
      </c>
      <c r="BU758" s="62" t="n">
        <v>12</v>
      </c>
      <c r="BV758" s="60" t="s">
        <v>668</v>
      </c>
      <c r="BW758" s="65" t="n">
        <v>0</v>
      </c>
      <c r="BX758" s="65" t="n">
        <v>758</v>
      </c>
      <c r="BY758" s="60" t="str">
        <f aca="false">IF(U758&lt;&gt;"",UPPER(TRIM(U758)),IF(CB758=1,UPPER(VLOOKUP(T758,Parameter!$I$27:$K$29,2,0)),IF(P758="","LOSE",P758)))</f>
        <v>S33</v>
      </c>
      <c r="BZ758" s="62" t="n">
        <f aca="false">IF(BY758="LOSE",1,IF(N(V758)&gt;0,V758,IF(CB758=1,MAX(1,N(VLOOKUP(T758,Parameter!$I$27:$K$29,3,0)),H758,N(N758)),IF(N(Q758)&gt;0,Q758,MAX(1,H758)))))</f>
        <v>500</v>
      </c>
      <c r="CA758" s="65" t="n">
        <f aca="false">IF(BY758="LOSE",1,0)</f>
        <v>0</v>
      </c>
      <c r="CB758" s="65" t="n">
        <f aca="false">IF(AND(U758="",OR(P758="",P758="LOSE"),T758&lt;&gt;"",N(S758)&lt;=0,ISNUMBER(MATCH(T758,Parameter!$I$27:$I$29,0))),1,0)</f>
        <v>0</v>
      </c>
      <c r="CC758" s="65" t="n">
        <f aca="false">IF(CR758&gt;0,INDEX(Parameter!$H$5:$H$7,W758)/INDEX(Parameter!$E$5:$E$7,W758),IF(AND(CA758=0,N(IFERROR(VLOOKUP(BY758,'Gebinde-Kategorie'!$A$5:$N$45,14,0),0))&gt;0),VLOOKUP(BY758,'Gebinde-Kategorie'!$A$5:$N$45,14,0)*10+Parameter!$M$23,Parameter!$M$24))</f>
        <v>155</v>
      </c>
      <c r="CD758" s="60" t="str">
        <f aca="false">IF(AND(Parameter!$B$19="Ja",E758&lt;&gt;"",ISNUMBER(MATCH(E758,Parameter!$I$35:$I$52,0))),VLOOKUP(E758,Parameter!$I$35:$J$52,2,0),IFERROR(VLOOKUP(D758,Parameter!$A$35:$C$64,2,0),"Nein"))</f>
        <v>2+3</v>
      </c>
      <c r="CE758" s="64" t="n">
        <f aca="false">IF(CA758=0,0,IF(N(S758)&gt;0,S758,IFERROR(VLOOKUP(D758,Parameter!$A$35:$C$64,3,0)+0,0)))</f>
        <v>0</v>
      </c>
      <c r="CF758" s="60" t="n">
        <f aca="false">IF(AB758&lt;&gt;"",AB758,AA758)</f>
        <v>2</v>
      </c>
      <c r="CG758" s="60" t="str">
        <f aca="false">IF(OR(CF758=1,CF758=2,CF758=3),IF(Parameter!$E$27="Ja","LIFT",IF(CF758=1,"L1","L23")),IF(CF758="Aussen","Aussen","-"))</f>
        <v>LIFT</v>
      </c>
      <c r="CH758" s="71" t="n">
        <f aca="false">IF(N(AC758)&gt;0,AC758,0)</f>
        <v>0</v>
      </c>
      <c r="CI758" s="65" t="n">
        <f aca="false">IF(ISNUMBER(AF758),1,0)</f>
        <v>0</v>
      </c>
      <c r="CJ758" s="62" t="n">
        <f aca="false">N(AF758)</f>
        <v>0</v>
      </c>
      <c r="CK758" s="62" t="n">
        <f aca="false">N(M758)+N(N758)</f>
        <v>10</v>
      </c>
      <c r="CL758" s="62" t="n">
        <f aca="false">N(M758)</f>
        <v>0</v>
      </c>
      <c r="CM758" s="62" t="n">
        <f aca="false">N(N758)</f>
        <v>10</v>
      </c>
      <c r="CN758" s="62" t="n">
        <f aca="false">ROUNDUP(H758/BZ758,0)</f>
        <v>1</v>
      </c>
      <c r="CO758" s="62" t="n">
        <f aca="false">ROUNDUP(CJ758/BZ758,0)</f>
        <v>0</v>
      </c>
      <c r="CP758" s="65" t="n">
        <f aca="false">IF(CA758=1,0,IFERROR(VLOOKUP(BY758,'Gebinde-Kategorie'!$A$5:$N$45,5,0)+0,0))</f>
        <v>8</v>
      </c>
      <c r="CQ758" s="65" t="n">
        <f aca="false">IFERROR(IF(OR(CF758=1,CF758=2,CF758=3),N(INDEX(Parameter!$I$5:$I$7,CF758)),0),0)</f>
        <v>0</v>
      </c>
      <c r="CR758" s="64" t="n">
        <f aca="false">IF(AND(Parameter!$B$21="Ja",ISNUMBER(W758),N(X758)&gt;0),IFERROR(N(INDEX(Parameter!$L$5:$L$7,W758))*INDEX(Parameter!$E$5:$E$7,W758)*X758/SUMIFS($X$7:$X$1843,$W$7:$W$1843,W758),0),0)</f>
        <v>0</v>
      </c>
      <c r="CS758" s="62" t="n">
        <f aca="false">IF(AND(OR(CG758="L1",CG758="L23",CG758="LIFT"),H758&gt;0),CC758*IF(CR758&gt;0,CR758*MAX(1,H758/X758),IF(CA758=1,CE758,IF(R758&gt;0,CN758/R758,0))/MAX(0.1,N(Parameter!$M$21))),"")</f>
        <v>2.98076923076923</v>
      </c>
      <c r="CT758" s="64" t="n">
        <f aca="false">IF(CS758="","",J758/H758)</f>
        <v>0.052863436123348</v>
      </c>
      <c r="CU758" s="62" t="n">
        <f aca="false">IF(CS758="","",H758*G758)</f>
        <v>4.54</v>
      </c>
      <c r="CV758" s="63" t="n">
        <f aca="false">IF(CS758="","",(CL758+ROUNDUP(CL758+MAX(CM758,2*(J758/MAX(0.1,N(Einkauf!$C$6))-CL758)),0))/2)</f>
        <v>5</v>
      </c>
      <c r="CW758" s="62" t="n">
        <f aca="false">IF(CS758="","",MAX(0,H758-CV758)*G758)</f>
        <v>4.44</v>
      </c>
      <c r="CX758" s="62" t="n">
        <f aca="false">IF(CS758="","",CS758*MAX(0,1-CV758/H758))</f>
        <v>2.91511352084039</v>
      </c>
      <c r="CY758" s="64" t="n">
        <f aca="false">IF(CS758="","",PERCENTRANK($CS$7:$CS$1843,CS758)+PERCENTRANK($CU$7:$CU$1843,CU758)+1-PERCENTRANK($CT$7:$CT$1843,CT758))</f>
        <v>0.8269</v>
      </c>
      <c r="CZ758" s="72" t="n">
        <f aca="false">IF(CS758="","",CHOOSE(MATCH(Einkauf!$C$5,Parameter!$G$23:$G$27,0),CY758,CS758,CU758,-CT758,CW758)+ROW()/1000000000)</f>
        <v>0.826900758</v>
      </c>
    </row>
    <row r="759" customFormat="false" ht="15" hidden="false" customHeight="false" outlineLevel="0" collapsed="false">
      <c r="A759" s="60" t="s">
        <v>1540</v>
      </c>
      <c r="B759" s="60" t="s">
        <v>447</v>
      </c>
      <c r="C759" s="60" t="s">
        <v>206</v>
      </c>
      <c r="D759" s="60" t="s">
        <v>226</v>
      </c>
      <c r="E759" s="60" t="s">
        <v>227</v>
      </c>
      <c r="F759" s="60" t="s">
        <v>260</v>
      </c>
      <c r="G759" s="61" t="n">
        <v>0.03</v>
      </c>
      <c r="H759" s="62" t="n">
        <f aca="false">MAX(0,IF(AND(Parameter!$B$21="Ja",ISNUMBER(Y759)),Y759,IF(Parameter!$B$20="Jahresanfang 2025 + Export",BS759+BR759,BR759)))</f>
        <v>205</v>
      </c>
      <c r="I759" s="62" t="n">
        <f aca="false">H759*G759</f>
        <v>6.15</v>
      </c>
      <c r="J759" s="62" t="n">
        <f aca="false">BU759*Parameter!$B$18</f>
        <v>0</v>
      </c>
      <c r="K759" s="63" t="n">
        <v>220</v>
      </c>
      <c r="L759" s="64" t="n">
        <v>0</v>
      </c>
      <c r="M759" s="62" t="n">
        <v>0</v>
      </c>
      <c r="N759" s="62" t="n">
        <v>1</v>
      </c>
      <c r="O759" s="65" t="n">
        <v>14</v>
      </c>
      <c r="P759" s="60" t="s">
        <v>468</v>
      </c>
      <c r="Q759" s="62" t="n">
        <v>259</v>
      </c>
      <c r="R759" s="65" t="n">
        <f aca="false">IF(CA759=1,0,IFERROR(VLOOKUP(BY759,'Gebinde-Kategorie'!$A$5:$N$45,13,0)+0,0))</f>
        <v>140</v>
      </c>
      <c r="S759" s="66"/>
      <c r="T759" s="67"/>
      <c r="U759" s="67"/>
      <c r="V759" s="67"/>
      <c r="W759" s="60"/>
      <c r="X759" s="62"/>
      <c r="Y759" s="62"/>
      <c r="Z759" s="60" t="n">
        <v>3</v>
      </c>
      <c r="AA759" s="60" t="n">
        <f aca="false">IF(A759="","",IF(AND(Parameter!$B$21="Ja",ISNUMBER(W759)),W759,IF(AND(Parameter!$E$27="Ja",ISNUMBER(Z759),CD759&lt;&gt;"Nein"),Z759,IF(CD759="2+3",IF(ISNUMBER(SEARCH("grosser Artikel",BV759)),2,IFERROR(VLOOKUP(BY759,Parameter!$F$35:$G$64,2,0),2)),IF(OR(CD759="Nein",CD759=""),"-",CD759)))))</f>
        <v>3</v>
      </c>
      <c r="AB759" s="67"/>
      <c r="AC759" s="68"/>
      <c r="AD759" s="62" t="n">
        <f aca="false">AW759</f>
        <v>1</v>
      </c>
      <c r="AE759" s="62" t="n">
        <f aca="false">MAX(AW759,H759)</f>
        <v>205</v>
      </c>
      <c r="AF759" s="69"/>
      <c r="AG759" s="62" t="n">
        <f aca="false">IF(LEFT(Cockpit!$C$5,1)="A",H759,IF(Parameter!$E$30="MAX-Bestand",IF(CI759=1,CJ759,IF(LEFT(Cockpit!$C$5,1)="B",AM759,MAX(AM759,H759))),ROUNDUP(AK759,0)))</f>
        <v>205</v>
      </c>
      <c r="AH759" s="62" t="n">
        <f aca="false">IF(CA759=1,0,ROUNDUP(AG759/BZ759,0))</f>
        <v>1</v>
      </c>
      <c r="AI759" s="64" t="n">
        <f aca="false">IF(CR759&gt;0,CR759*MAX(1,AG759/X759),IF(CA759=1,IF(AG759&lt;=0,0,CE759*MAX(1,IF(H759&gt;0,AG759/H759,1))),IF(R759&gt;0,AH759/R759,0))/MAX(0.1,N(Parameter!$M$21)))</f>
        <v>0.00714285714285714</v>
      </c>
      <c r="AJ759" s="62" t="n">
        <f aca="false">AI759*CC759</f>
        <v>1.10714285714286</v>
      </c>
      <c r="AK759" s="63" t="n">
        <f aca="false">IF(LEFT(Cockpit!$C$5,1)="A",H759,IF(CI759=1,(CL759+CJ759)/2,IF(LEFT(Cockpit!$C$5,1)="B",(CL759+AM759)/2,MAX((CL759+AM759)/2,H759))))</f>
        <v>205</v>
      </c>
      <c r="AL759" s="62" t="n">
        <f aca="false">AK759*G759</f>
        <v>6.15</v>
      </c>
      <c r="AM759" s="62" t="n">
        <f aca="false">ROUNDUP(CL759+MAX(CM759,2*(J759/IF(CH759&gt;0,CH759,MAX(0.1,N(Cockpit!$C$6)))-CL759)),0)</f>
        <v>1</v>
      </c>
      <c r="AN759" s="63" t="n">
        <f aca="false">IF(AJ759&gt;0,J759/AJ759,-1)</f>
        <v>0</v>
      </c>
      <c r="AO759" s="63" t="n">
        <f aca="false">IF(AND(OR(CG759="L1",CG759="L23",CG759="LIFT"),AJ759&gt;0),SUMIFS($AJ$7:$AJ$1843,$CG$7:$CG$1843,CG759,$AN$7:$AN$1843,"&gt;"&amp;AN759)+SUMIFS($AJ$7:$AJ$1843,$CG$7:$CG$1843,CG759,$AN$7:$AN$1843,AN759,$BX$7:$BX$1843,"&lt;="&amp;BX759),"")</f>
        <v>28720.87379452</v>
      </c>
      <c r="AP759" s="70" t="n">
        <f aca="false">IF(AO759="",0,MAX(0,MIN(1,(IF(CG759="L1",Parameter!$H$5,IF(CG759="L23",Parameter!$H$6+Parameter!$H$7,Parameter!$H$5+Parameter!$H$6+Parameter!$H$7))-(AO759-AJ759))/AJ759)))</f>
        <v>1</v>
      </c>
      <c r="AQ759" s="62" t="n">
        <f aca="false">IF(LEFT(Cockpit!$I$5,1)="A",H759,IF(Parameter!$E$30="MAX-Bestand",IF(CI759=1,CJ759,IF(LEFT(Cockpit!$I$5,1)="B",AW759,MAX(AW759,H759))),ROUNDUP(AU759,0)))</f>
        <v>205</v>
      </c>
      <c r="AR759" s="62" t="n">
        <f aca="false">IF(CA759=1,0,ROUNDUP(AQ759/BZ759,0))</f>
        <v>1</v>
      </c>
      <c r="AS759" s="64" t="n">
        <f aca="false">IF(CR759&gt;0,CR759*MAX(1,AQ759/X759),IF(CA759=1,IF(AQ759&lt;=0,0,CE759*MAX(1,IF(H759&gt;0,AQ759/H759,1))),IF(R759&gt;0,AR759/R759,0))/MAX(0.1,N(Parameter!$M$21)))</f>
        <v>0.00714285714285714</v>
      </c>
      <c r="AT759" s="62" t="n">
        <f aca="false">AS759*CC759</f>
        <v>1.10714285714286</v>
      </c>
      <c r="AU759" s="63" t="n">
        <f aca="false">IF(LEFT(Cockpit!$I$5,1)="A",H759,IF(CI759=1,(CL759+CJ759)/2,IF(LEFT(Cockpit!$I$5,1)="B",(CL759+AW759)/2,MAX((CL759+AW759)/2,H759))))</f>
        <v>205</v>
      </c>
      <c r="AV759" s="62" t="n">
        <f aca="false">AU759*G759</f>
        <v>6.15</v>
      </c>
      <c r="AW759" s="62" t="n">
        <f aca="false">ROUNDUP(CL759+MAX(CM759,2*(J759/IF(CH759&gt;0,CH759,MAX(0.1,N(Cockpit!$I$6)))-CL759)),0)</f>
        <v>1</v>
      </c>
      <c r="AX759" s="63" t="n">
        <f aca="false">IF(AT759&gt;0,J759/AT759,-1)</f>
        <v>0</v>
      </c>
      <c r="AY759" s="63" t="n">
        <f aca="false">IF(AND(OR(CG759="L1",CG759="L23",CG759="LIFT"),AT759&gt;0),SUMIFS($AT$7:$AT$1843,$CG$7:$CG$1843,CG759,$AX$7:$AX$1843,"&gt;"&amp;AX759)+SUMIFS($AT$7:$AT$1843,$CG$7:$CG$1843,CG759,$AX$7:$AX$1843,AX759,$BX$7:$BX$1843,"&lt;="&amp;BX759),"")</f>
        <v>34325.6570512821</v>
      </c>
      <c r="AZ759" s="70" t="n">
        <f aca="false">IF(AY759="",0,MAX(0,MIN(1,(IF(CG759="L1",Parameter!$H$5,IF(CG759="L23",Parameter!$H$6+Parameter!$H$7,Parameter!$H$5+Parameter!$H$6+Parameter!$H$7))-(AY759-AT759))/AT759)))</f>
        <v>1</v>
      </c>
      <c r="BA759" s="62" t="n">
        <f aca="false">IF(LEFT(Cockpit!$O$5,1)="A",H759,IF(Parameter!$E$30="MAX-Bestand",IF(CI759=1,CJ759,IF(LEFT(Cockpit!$O$5,1)="B",BG759,MAX(BG759,H759))),ROUNDUP(BE759,0)))</f>
        <v>1</v>
      </c>
      <c r="BB759" s="62" t="n">
        <f aca="false">IF(CA759=1,0,ROUNDUP(BA759/BZ759,0))</f>
        <v>1</v>
      </c>
      <c r="BC759" s="64" t="n">
        <f aca="false">IF(CR759&gt;0,CR759*MAX(1,BA759/X759),IF(CA759=1,IF(BA759&lt;=0,0,CE759*MAX(1,IF(H759&gt;0,BA759/H759,1))),IF(R759&gt;0,BB759/R759,0))/MAX(0.1,N(Parameter!$M$21)))</f>
        <v>0.00714285714285714</v>
      </c>
      <c r="BD759" s="62" t="n">
        <f aca="false">BC759*CC759</f>
        <v>1.10714285714286</v>
      </c>
      <c r="BE759" s="63" t="n">
        <f aca="false">IF(LEFT(Cockpit!$O$5,1)="A",H759,IF(CI759=1,(CL759+CJ759)/2,IF(LEFT(Cockpit!$O$5,1)="B",(CL759+BG759)/2,MAX((CL759+BG759)/2,H759))))</f>
        <v>0.5</v>
      </c>
      <c r="BF759" s="62" t="n">
        <f aca="false">BE759*G759</f>
        <v>0.015</v>
      </c>
      <c r="BG759" s="62" t="n">
        <f aca="false">ROUNDUP(CL759+MAX(CM759,2*(J759/IF(CH759&gt;0,CH759,MAX(0.1,N(Cockpit!$O$6)))-CL759)),0)</f>
        <v>1</v>
      </c>
      <c r="BH759" s="63" t="n">
        <f aca="false">IF(BD759&gt;0,J759/BD759,-1)</f>
        <v>0</v>
      </c>
      <c r="BI759" s="63" t="n">
        <f aca="false">IF(AND(OR(CG759="L1",CG759="L23",CG759="LIFT"),BD759&gt;0),SUMIFS($BD$7:$BD$1843,$CG$7:$CG$1843,CG759,$BH$7:$BH$1843,"&gt;"&amp;BH759)+SUMIFS($BD$7:$BD$1843,$CG$7:$CG$1843,CG759,$BH$7:$BH$1843,BH759,$BX$7:$BX$1843,"&lt;="&amp;BX759),"")</f>
        <v>28375.4884367045</v>
      </c>
      <c r="BJ759" s="70" t="n">
        <f aca="false">IF(BI759="",0,MAX(0,MIN(1,(IF(CG759="L1",Parameter!$H$5,IF(CG759="L23",Parameter!$H$6+Parameter!$H$7,Parameter!$H$5+Parameter!$H$6+Parameter!$H$7))-(BI759-BD759))/BD759)))</f>
        <v>1</v>
      </c>
      <c r="BK759" s="60" t="str">
        <f aca="false">IF(AJ759&lt;=0,"",IF(CG759="Aussen","Aussenlager",IF(CG759="-","Nicht im Lift",IF(AP759&gt;=1,"Lift",IF(AP759&lt;=0,"Aussenlager","teilweise")))))</f>
        <v>Lift</v>
      </c>
      <c r="BL759" s="60" t="str">
        <f aca="false">IF(AT759&lt;=0,"",IF(CG759="Aussen","Aussenlager",IF(CG759="-","Nicht im Lift",IF(AZ759&gt;=1,"Lift",IF(AZ759&lt;=0,"Aussenlager","teilweise")))))</f>
        <v>Lift</v>
      </c>
      <c r="BM759" s="60" t="str">
        <f aca="false">IF(BD759&lt;=0,"",IF(CG759="Aussen","Aussenlager",IF(CG759="-","Nicht im Lift",IF(BJ759&gt;=1,"Lift",IF(BJ759&lt;=0,"Aussenlager","teilweise")))))</f>
        <v>Lift</v>
      </c>
      <c r="BN759" s="60" t="str">
        <f aca="false">IF(A759="","",IF(BW759=1,"Neu; ","")&amp;IF(AND(BW759=0,BR759&lt;0),"negativer Bestand (Export "&amp;BR759&amp;"); ","")&amp;IF(J759&lt;=0,"Kein Verbrauch; ","")&amp;IF(CR759&gt;0,"Lift "&amp;W759&amp;" lt. Liftbericht (Fach "&amp;X759&amp;" Stk); ",IF(CB759=1,"Gebinde geschätzt ("&amp;T759&amp;"); ",IF(CA759=1,"Lose – Tablare geschätzt; ","")))&amp;IF(H759&gt;AW759,"Überbestand "&amp;ROUND(H759-AW759,0)&amp;" Stk / CHF "&amp;ROUND((H759-AW759)*G759,0)&amp;"; ","")&amp;IF(AND(CI759=1,CJ759&lt;CK759),"MAX &lt; MB+LG; ","")&amp;IF(AND(CQ759&gt;0,CP759*10&gt;CQ759),"zu hoch für Tablar; ","")&amp;IF(AND(BW759=0,OR(CI759=1,AB759&lt;&gt;"",U759&lt;&gt;"",V759&lt;&gt;"",AC759&lt;&gt;"")),"manuell übersteuert; ","")&amp;IF(AND(CA759=0,R759=0),"Gebinde unbekannt / Stellmass fehlt; ","")&amp;IF(AND(CA759=0,N(V759)&lt;=0,N(Q759)&lt;=0),"Menge pro Gebinde fehlt (Ist = 1 Gebinde); ","")&amp;BV759)</f>
        <v>negativer Bestand (Export -20); Kein Verbrauch; Überbestand 204 Stk / CHF 6; Überbestand</v>
      </c>
      <c r="BO759" s="60"/>
      <c r="BP759" s="60"/>
      <c r="BQ759" s="67"/>
      <c r="BR759" s="62" t="n">
        <v>-20</v>
      </c>
      <c r="BS759" s="62" t="n">
        <v>225</v>
      </c>
      <c r="BT759" s="61" t="n">
        <v>-0.6</v>
      </c>
      <c r="BU759" s="62" t="n">
        <v>0</v>
      </c>
      <c r="BV759" s="60" t="s">
        <v>434</v>
      </c>
      <c r="BW759" s="65" t="n">
        <v>0</v>
      </c>
      <c r="BX759" s="65" t="n">
        <v>759</v>
      </c>
      <c r="BY759" s="60" t="str">
        <f aca="false">IF(U759&lt;&gt;"",UPPER(TRIM(U759)),IF(CB759=1,UPPER(VLOOKUP(T759,Parameter!$I$27:$K$29,2,0)),IF(P759="","LOSE",P759)))</f>
        <v>S22</v>
      </c>
      <c r="BZ759" s="62" t="n">
        <f aca="false">IF(BY759="LOSE",1,IF(N(V759)&gt;0,V759,IF(CB759=1,MAX(1,N(VLOOKUP(T759,Parameter!$I$27:$K$29,3,0)),H759,N(N759)),IF(N(Q759)&gt;0,Q759,MAX(1,H759)))))</f>
        <v>259</v>
      </c>
      <c r="CA759" s="65" t="n">
        <f aca="false">IF(BY759="LOSE",1,0)</f>
        <v>0</v>
      </c>
      <c r="CB759" s="65" t="n">
        <f aca="false">IF(AND(U759="",OR(P759="",P759="LOSE"),T759&lt;&gt;"",N(S759)&lt;=0,ISNUMBER(MATCH(T759,Parameter!$I$27:$I$29,0))),1,0)</f>
        <v>0</v>
      </c>
      <c r="CC759" s="65" t="n">
        <f aca="false">IF(CR759&gt;0,INDEX(Parameter!$H$5:$H$7,W759)/INDEX(Parameter!$E$5:$E$7,W759),IF(AND(CA759=0,N(IFERROR(VLOOKUP(BY759,'Gebinde-Kategorie'!$A$5:$N$45,14,0),0))&gt;0),VLOOKUP(BY759,'Gebinde-Kategorie'!$A$5:$N$45,14,0)*10+Parameter!$M$23,Parameter!$M$24))</f>
        <v>155</v>
      </c>
      <c r="CD759" s="60" t="str">
        <f aca="false">IF(AND(Parameter!$B$19="Ja",E759&lt;&gt;"",ISNUMBER(MATCH(E759,Parameter!$I$35:$I$52,0))),VLOOKUP(E759,Parameter!$I$35:$J$52,2,0),IFERROR(VLOOKUP(D759,Parameter!$A$35:$C$64,2,0),"Nein"))</f>
        <v>2+3</v>
      </c>
      <c r="CE759" s="64" t="n">
        <f aca="false">IF(CA759=0,0,IF(N(S759)&gt;0,S759,IFERROR(VLOOKUP(D759,Parameter!$A$35:$C$64,3,0)+0,0)))</f>
        <v>0</v>
      </c>
      <c r="CF759" s="60" t="n">
        <f aca="false">IF(AB759&lt;&gt;"",AB759,AA759)</f>
        <v>3</v>
      </c>
      <c r="CG759" s="60" t="str">
        <f aca="false">IF(OR(CF759=1,CF759=2,CF759=3),IF(Parameter!$E$27="Ja","LIFT",IF(CF759=1,"L1","L23")),IF(CF759="Aussen","Aussen","-"))</f>
        <v>LIFT</v>
      </c>
      <c r="CH759" s="71" t="n">
        <f aca="false">IF(N(AC759)&gt;0,AC759,0)</f>
        <v>0</v>
      </c>
      <c r="CI759" s="65" t="n">
        <f aca="false">IF(ISNUMBER(AF759),1,0)</f>
        <v>0</v>
      </c>
      <c r="CJ759" s="62" t="n">
        <f aca="false">N(AF759)</f>
        <v>0</v>
      </c>
      <c r="CK759" s="62" t="n">
        <f aca="false">N(M759)+N(N759)</f>
        <v>1</v>
      </c>
      <c r="CL759" s="62" t="n">
        <f aca="false">N(M759)</f>
        <v>0</v>
      </c>
      <c r="CM759" s="62" t="n">
        <f aca="false">N(N759)</f>
        <v>1</v>
      </c>
      <c r="CN759" s="62" t="n">
        <f aca="false">ROUNDUP(H759/BZ759,0)</f>
        <v>1</v>
      </c>
      <c r="CO759" s="62" t="n">
        <f aca="false">ROUNDUP(CJ759/BZ759,0)</f>
        <v>0</v>
      </c>
      <c r="CP759" s="65" t="n">
        <f aca="false">IF(CA759=1,0,IFERROR(VLOOKUP(BY759,'Gebinde-Kategorie'!$A$5:$N$45,5,0)+0,0))</f>
        <v>8</v>
      </c>
      <c r="CQ759" s="65" t="n">
        <f aca="false">IFERROR(IF(OR(CF759=1,CF759=2,CF759=3),N(INDEX(Parameter!$I$5:$I$7,CF759)),0),0)</f>
        <v>0</v>
      </c>
      <c r="CR759" s="64" t="n">
        <f aca="false">IF(AND(Parameter!$B$21="Ja",ISNUMBER(W759),N(X759)&gt;0),IFERROR(N(INDEX(Parameter!$L$5:$L$7,W759))*INDEX(Parameter!$E$5:$E$7,W759)*X759/SUMIFS($X$7:$X$1843,$W$7:$W$1843,W759),0),0)</f>
        <v>0</v>
      </c>
      <c r="CS759" s="62" t="n">
        <f aca="false">IF(AND(OR(CG759="L1",CG759="L23",CG759="LIFT"),H759&gt;0),CC759*IF(CR759&gt;0,CR759*MAX(1,H759/X759),IF(CA759=1,CE759,IF(R759&gt;0,CN759/R759,0))/MAX(0.1,N(Parameter!$M$21))),"")</f>
        <v>1.10714285714286</v>
      </c>
      <c r="CT759" s="64" t="n">
        <f aca="false">IF(CS759="","",J759/H759)</f>
        <v>0</v>
      </c>
      <c r="CU759" s="62" t="n">
        <f aca="false">IF(CS759="","",H759*G759)</f>
        <v>6.15</v>
      </c>
      <c r="CV759" s="63" t="n">
        <f aca="false">IF(CS759="","",(CL759+ROUNDUP(CL759+MAX(CM759,2*(J759/MAX(0.1,N(Einkauf!$C$6))-CL759)),0))/2)</f>
        <v>0.5</v>
      </c>
      <c r="CW759" s="62" t="n">
        <f aca="false">IF(CS759="","",MAX(0,H759-CV759)*G759)</f>
        <v>6.135</v>
      </c>
      <c r="CX759" s="62" t="n">
        <f aca="false">IF(CS759="","",CS759*MAX(0,1-CV759/H759))</f>
        <v>1.1044425087108</v>
      </c>
      <c r="CY759" s="64" t="n">
        <f aca="false">IF(CS759="","",PERCENTRANK($CS$7:$CS$1843,CS759)+PERCENTRANK($CU$7:$CU$1843,CU759)+1-PERCENTRANK($CT$7:$CT$1843,CT759))</f>
        <v>1.0862</v>
      </c>
      <c r="CZ759" s="72" t="n">
        <f aca="false">IF(CS759="","",CHOOSE(MATCH(Einkauf!$C$5,Parameter!$G$23:$G$27,0),CY759,CS759,CU759,-CT759,CW759)+ROW()/1000000000)</f>
        <v>1.086200759</v>
      </c>
    </row>
    <row r="760" customFormat="false" ht="15" hidden="false" customHeight="false" outlineLevel="0" collapsed="false">
      <c r="A760" s="60" t="s">
        <v>1541</v>
      </c>
      <c r="B760" s="60" t="s">
        <v>1308</v>
      </c>
      <c r="C760" s="60" t="s">
        <v>206</v>
      </c>
      <c r="D760" s="60" t="s">
        <v>226</v>
      </c>
      <c r="E760" s="60"/>
      <c r="F760" s="60" t="s">
        <v>260</v>
      </c>
      <c r="G760" s="61" t="n">
        <v>0.09</v>
      </c>
      <c r="H760" s="62" t="n">
        <f aca="false">MAX(0,IF(AND(Parameter!$B$21="Ja",ISNUMBER(Y760)),Y760,IF(Parameter!$B$20="Jahresanfang 2025 + Export",BS760+BR760,BR760)))</f>
        <v>298</v>
      </c>
      <c r="I760" s="62" t="n">
        <f aca="false">H760*G760</f>
        <v>26.82</v>
      </c>
      <c r="J760" s="62" t="n">
        <f aca="false">BU760*Parameter!$B$18</f>
        <v>4</v>
      </c>
      <c r="K760" s="63" t="n">
        <v>301.5</v>
      </c>
      <c r="L760" s="64" t="n">
        <v>0.0132669983416252</v>
      </c>
      <c r="M760" s="62" t="n">
        <v>0</v>
      </c>
      <c r="N760" s="62" t="n">
        <v>5</v>
      </c>
      <c r="O760" s="65" t="n">
        <v>21</v>
      </c>
      <c r="P760" s="60" t="s">
        <v>468</v>
      </c>
      <c r="Q760" s="62" t="n">
        <v>300</v>
      </c>
      <c r="R760" s="65" t="n">
        <f aca="false">IF(CA760=1,0,IFERROR(VLOOKUP(BY760,'Gebinde-Kategorie'!$A$5:$N$45,13,0)+0,0))</f>
        <v>140</v>
      </c>
      <c r="S760" s="66"/>
      <c r="T760" s="67"/>
      <c r="U760" s="67"/>
      <c r="V760" s="67"/>
      <c r="W760" s="60"/>
      <c r="X760" s="62"/>
      <c r="Y760" s="62"/>
      <c r="Z760" s="60" t="n">
        <v>3</v>
      </c>
      <c r="AA760" s="60" t="n">
        <f aca="false">IF(A760="","",IF(AND(Parameter!$B$21="Ja",ISNUMBER(W760)),W760,IF(AND(Parameter!$E$27="Ja",ISNUMBER(Z760),CD760&lt;&gt;"Nein"),Z760,IF(CD760="2+3",IF(ISNUMBER(SEARCH("grosser Artikel",BV760)),2,IFERROR(VLOOKUP(BY760,Parameter!$F$35:$G$64,2,0),2)),IF(OR(CD760="Nein",CD760=""),"-",CD760)))))</f>
        <v>3</v>
      </c>
      <c r="AB760" s="67"/>
      <c r="AC760" s="68"/>
      <c r="AD760" s="62" t="n">
        <f aca="false">AW760</f>
        <v>5</v>
      </c>
      <c r="AE760" s="62" t="n">
        <f aca="false">MAX(AW760,H760)</f>
        <v>298</v>
      </c>
      <c r="AF760" s="69"/>
      <c r="AG760" s="62" t="n">
        <f aca="false">IF(LEFT(Cockpit!$C$5,1)="A",H760,IF(Parameter!$E$30="MAX-Bestand",IF(CI760=1,CJ760,IF(LEFT(Cockpit!$C$5,1)="B",AM760,MAX(AM760,H760))),ROUNDUP(AK760,0)))</f>
        <v>298</v>
      </c>
      <c r="AH760" s="62" t="n">
        <f aca="false">IF(CA760=1,0,ROUNDUP(AG760/BZ760,0))</f>
        <v>1</v>
      </c>
      <c r="AI760" s="64" t="n">
        <f aca="false">IF(CR760&gt;0,CR760*MAX(1,AG760/X760),IF(CA760=1,IF(AG760&lt;=0,0,CE760*MAX(1,IF(H760&gt;0,AG760/H760,1))),IF(R760&gt;0,AH760/R760,0))/MAX(0.1,N(Parameter!$M$21)))</f>
        <v>0.00714285714285714</v>
      </c>
      <c r="AJ760" s="62" t="n">
        <f aca="false">AI760*CC760</f>
        <v>1.10714285714286</v>
      </c>
      <c r="AK760" s="63" t="n">
        <f aca="false">IF(LEFT(Cockpit!$C$5,1)="A",H760,IF(CI760=1,(CL760+CJ760)/2,IF(LEFT(Cockpit!$C$5,1)="B",(CL760+AM760)/2,MAX((CL760+AM760)/2,H760))))</f>
        <v>298</v>
      </c>
      <c r="AL760" s="62" t="n">
        <f aca="false">AK760*G760</f>
        <v>26.82</v>
      </c>
      <c r="AM760" s="62" t="n">
        <f aca="false">ROUNDUP(CL760+MAX(CM760,2*(J760/IF(CH760&gt;0,CH760,MAX(0.1,N(Cockpit!$C$6)))-CL760)),0)</f>
        <v>5</v>
      </c>
      <c r="AN760" s="63" t="n">
        <f aca="false">IF(AJ760&gt;0,J760/AJ760,-1)</f>
        <v>3.61290322580645</v>
      </c>
      <c r="AO760" s="63" t="n">
        <f aca="false">IF(AND(OR(CG760="L1",CG760="L23",CG760="LIFT"),AJ760&gt;0),SUMIFS($AJ$7:$AJ$1843,$CG$7:$CG$1843,CG760,$AN$7:$AN$1843,"&gt;"&amp;AN760)+SUMIFS($AJ$7:$AJ$1843,$CG$7:$CG$1843,CG760,$AN$7:$AN$1843,AN760,$BX$7:$BX$1843,"&lt;="&amp;BX760),"")</f>
        <v>4828.42765567766</v>
      </c>
      <c r="AP760" s="70" t="n">
        <f aca="false">IF(AO760="",0,MAX(0,MIN(1,(IF(CG760="L1",Parameter!$H$5,IF(CG760="L23",Parameter!$H$6+Parameter!$H$7,Parameter!$H$5+Parameter!$H$6+Parameter!$H$7))-(AO760-AJ760))/AJ760)))</f>
        <v>1</v>
      </c>
      <c r="AQ760" s="62" t="n">
        <f aca="false">IF(LEFT(Cockpit!$I$5,1)="A",H760,IF(Parameter!$E$30="MAX-Bestand",IF(CI760=1,CJ760,IF(LEFT(Cockpit!$I$5,1)="B",AW760,MAX(AW760,H760))),ROUNDUP(AU760,0)))</f>
        <v>298</v>
      </c>
      <c r="AR760" s="62" t="n">
        <f aca="false">IF(CA760=1,0,ROUNDUP(AQ760/BZ760,0))</f>
        <v>1</v>
      </c>
      <c r="AS760" s="64" t="n">
        <f aca="false">IF(CR760&gt;0,CR760*MAX(1,AQ760/X760),IF(CA760=1,IF(AQ760&lt;=0,0,CE760*MAX(1,IF(H760&gt;0,AQ760/H760,1))),IF(R760&gt;0,AR760/R760,0))/MAX(0.1,N(Parameter!$M$21)))</f>
        <v>0.00714285714285714</v>
      </c>
      <c r="AT760" s="62" t="n">
        <f aca="false">AS760*CC760</f>
        <v>1.10714285714286</v>
      </c>
      <c r="AU760" s="63" t="n">
        <f aca="false">IF(LEFT(Cockpit!$I$5,1)="A",H760,IF(CI760=1,(CL760+CJ760)/2,IF(LEFT(Cockpit!$I$5,1)="B",(CL760+AW760)/2,MAX((CL760+AW760)/2,H760))))</f>
        <v>298</v>
      </c>
      <c r="AV760" s="62" t="n">
        <f aca="false">AU760*G760</f>
        <v>26.82</v>
      </c>
      <c r="AW760" s="62" t="n">
        <f aca="false">ROUNDUP(CL760+MAX(CM760,2*(J760/IF(CH760&gt;0,CH760,MAX(0.1,N(Cockpit!$I$6)))-CL760)),0)</f>
        <v>5</v>
      </c>
      <c r="AX760" s="63" t="n">
        <f aca="false">IF(AT760&gt;0,J760/AT760,-1)</f>
        <v>3.61290322580645</v>
      </c>
      <c r="AY760" s="63" t="n">
        <f aca="false">IF(AND(OR(CG760="L1",CG760="L23",CG760="LIFT"),AT760&gt;0),SUMIFS($AT$7:$AT$1843,$CG$7:$CG$1843,CG760,$AX$7:$AX$1843,"&gt;"&amp;AX760)+SUMIFS($AT$7:$AT$1843,$CG$7:$CG$1843,CG760,$AX$7:$AX$1843,AX760,$BX$7:$BX$1843,"&lt;="&amp;BX760),"")</f>
        <v>5406.01465201465</v>
      </c>
      <c r="AZ760" s="70" t="n">
        <f aca="false">IF(AY760="",0,MAX(0,MIN(1,(IF(CG760="L1",Parameter!$H$5,IF(CG760="L23",Parameter!$H$6+Parameter!$H$7,Parameter!$H$5+Parameter!$H$6+Parameter!$H$7))-(AY760-AT760))/AT760)))</f>
        <v>1</v>
      </c>
      <c r="BA760" s="62" t="n">
        <f aca="false">IF(LEFT(Cockpit!$O$5,1)="A",H760,IF(Parameter!$E$30="MAX-Bestand",IF(CI760=1,CJ760,IF(LEFT(Cockpit!$O$5,1)="B",BG760,MAX(BG760,H760))),ROUNDUP(BE760,0)))</f>
        <v>3</v>
      </c>
      <c r="BB760" s="62" t="n">
        <f aca="false">IF(CA760=1,0,ROUNDUP(BA760/BZ760,0))</f>
        <v>1</v>
      </c>
      <c r="BC760" s="64" t="n">
        <f aca="false">IF(CR760&gt;0,CR760*MAX(1,BA760/X760),IF(CA760=1,IF(BA760&lt;=0,0,CE760*MAX(1,IF(H760&gt;0,BA760/H760,1))),IF(R760&gt;0,BB760/R760,0))/MAX(0.1,N(Parameter!$M$21)))</f>
        <v>0.00714285714285714</v>
      </c>
      <c r="BD760" s="62" t="n">
        <f aca="false">BC760*CC760</f>
        <v>1.10714285714286</v>
      </c>
      <c r="BE760" s="63" t="n">
        <f aca="false">IF(LEFT(Cockpit!$O$5,1)="A",H760,IF(CI760=1,(CL760+CJ760)/2,IF(LEFT(Cockpit!$O$5,1)="B",(CL760+BG760)/2,MAX((CL760+BG760)/2,H760))))</f>
        <v>2.5</v>
      </c>
      <c r="BF760" s="62" t="n">
        <f aca="false">BE760*G760</f>
        <v>0.225</v>
      </c>
      <c r="BG760" s="62" t="n">
        <f aca="false">ROUNDUP(CL760+MAX(CM760,2*(J760/IF(CH760&gt;0,CH760,MAX(0.1,N(Cockpit!$O$6)))-CL760)),0)</f>
        <v>5</v>
      </c>
      <c r="BH760" s="63" t="n">
        <f aca="false">IF(BD760&gt;0,J760/BD760,-1)</f>
        <v>3.61290322580645</v>
      </c>
      <c r="BI760" s="63" t="n">
        <f aca="false">IF(AND(OR(CG760="L1",CG760="L23",CG760="LIFT"),BD760&gt;0),SUMIFS($BD$7:$BD$1843,$CG$7:$CG$1843,CG760,$BH$7:$BH$1843,"&gt;"&amp;BH760)+SUMIFS($BD$7:$BD$1843,$CG$7:$CG$1843,CG760,$BH$7:$BH$1843,BH760,$BX$7:$BX$1843,"&lt;="&amp;BX760),"")</f>
        <v>4420.51144688645</v>
      </c>
      <c r="BJ760" s="70" t="n">
        <f aca="false">IF(BI760="",0,MAX(0,MIN(1,(IF(CG760="L1",Parameter!$H$5,IF(CG760="L23",Parameter!$H$6+Parameter!$H$7,Parameter!$H$5+Parameter!$H$6+Parameter!$H$7))-(BI760-BD760))/BD760)))</f>
        <v>1</v>
      </c>
      <c r="BK760" s="60" t="str">
        <f aca="false">IF(AJ760&lt;=0,"",IF(CG760="Aussen","Aussenlager",IF(CG760="-","Nicht im Lift",IF(AP760&gt;=1,"Lift",IF(AP760&lt;=0,"Aussenlager","teilweise")))))</f>
        <v>Lift</v>
      </c>
      <c r="BL760" s="60" t="str">
        <f aca="false">IF(AT760&lt;=0,"",IF(CG760="Aussen","Aussenlager",IF(CG760="-","Nicht im Lift",IF(AZ760&gt;=1,"Lift",IF(AZ760&lt;=0,"Aussenlager","teilweise")))))</f>
        <v>Lift</v>
      </c>
      <c r="BM760" s="60" t="str">
        <f aca="false">IF(BD760&lt;=0,"",IF(CG760="Aussen","Aussenlager",IF(CG760="-","Nicht im Lift",IF(BJ760&gt;=1,"Lift",IF(BJ760&lt;=0,"Aussenlager","teilweise")))))</f>
        <v>Lift</v>
      </c>
      <c r="BN760" s="60" t="str">
        <f aca="false">IF(A760="","",IF(BW760=1,"Neu; ","")&amp;IF(AND(BW760=0,BR760&lt;0),"negativer Bestand (Export "&amp;BR760&amp;"); ","")&amp;IF(J760&lt;=0,"Kein Verbrauch; ","")&amp;IF(CR760&gt;0,"Lift "&amp;W760&amp;" lt. Liftbericht (Fach "&amp;X760&amp;" Stk); ",IF(CB760=1,"Gebinde geschätzt ("&amp;T760&amp;"); ",IF(CA760=1,"Lose – Tablare geschätzt; ","")))&amp;IF(H760&gt;AW760,"Überbestand "&amp;ROUND(H760-AW760,0)&amp;" Stk / CHF "&amp;ROUND((H760-AW760)*G760,0)&amp;"; ","")&amp;IF(AND(CI760=1,CJ760&lt;CK760),"MAX &lt; MB+LG; ","")&amp;IF(AND(CQ760&gt;0,CP760*10&gt;CQ760),"zu hoch für Tablar; ","")&amp;IF(AND(BW760=0,OR(CI760=1,AB760&lt;&gt;"",U760&lt;&gt;"",V760&lt;&gt;"",AC760&lt;&gt;"")),"manuell übersteuert; ","")&amp;IF(AND(CA760=0,R760=0),"Gebinde unbekannt / Stellmass fehlt; ","")&amp;IF(AND(CA760=0,N(V760)&lt;=0,N(Q760)&lt;=0),"Menge pro Gebinde fehlt (Ist = 1 Gebinde); ","")&amp;BV760)</f>
        <v>negativer Bestand (Export -7); Überbestand 293 Stk / CHF 26; </v>
      </c>
      <c r="BO760" s="60"/>
      <c r="BP760" s="60"/>
      <c r="BQ760" s="67"/>
      <c r="BR760" s="62" t="n">
        <v>-7</v>
      </c>
      <c r="BS760" s="62" t="n">
        <v>305</v>
      </c>
      <c r="BT760" s="61" t="n">
        <v>-0.63</v>
      </c>
      <c r="BU760" s="62" t="n">
        <v>4</v>
      </c>
      <c r="BV760" s="60"/>
      <c r="BW760" s="65" t="n">
        <v>0</v>
      </c>
      <c r="BX760" s="65" t="n">
        <v>760</v>
      </c>
      <c r="BY760" s="60" t="str">
        <f aca="false">IF(U760&lt;&gt;"",UPPER(TRIM(U760)),IF(CB760=1,UPPER(VLOOKUP(T760,Parameter!$I$27:$K$29,2,0)),IF(P760="","LOSE",P760)))</f>
        <v>S22</v>
      </c>
      <c r="BZ760" s="62" t="n">
        <f aca="false">IF(BY760="LOSE",1,IF(N(V760)&gt;0,V760,IF(CB760=1,MAX(1,N(VLOOKUP(T760,Parameter!$I$27:$K$29,3,0)),H760,N(N760)),IF(N(Q760)&gt;0,Q760,MAX(1,H760)))))</f>
        <v>300</v>
      </c>
      <c r="CA760" s="65" t="n">
        <f aca="false">IF(BY760="LOSE",1,0)</f>
        <v>0</v>
      </c>
      <c r="CB760" s="65" t="n">
        <f aca="false">IF(AND(U760="",OR(P760="",P760="LOSE"),T760&lt;&gt;"",N(S760)&lt;=0,ISNUMBER(MATCH(T760,Parameter!$I$27:$I$29,0))),1,0)</f>
        <v>0</v>
      </c>
      <c r="CC760" s="65" t="n">
        <f aca="false">IF(CR760&gt;0,INDEX(Parameter!$H$5:$H$7,W760)/INDEX(Parameter!$E$5:$E$7,W760),IF(AND(CA760=0,N(IFERROR(VLOOKUP(BY760,'Gebinde-Kategorie'!$A$5:$N$45,14,0),0))&gt;0),VLOOKUP(BY760,'Gebinde-Kategorie'!$A$5:$N$45,14,0)*10+Parameter!$M$23,Parameter!$M$24))</f>
        <v>155</v>
      </c>
      <c r="CD760" s="60" t="str">
        <f aca="false">IF(AND(Parameter!$B$19="Ja",E760&lt;&gt;"",ISNUMBER(MATCH(E760,Parameter!$I$35:$I$52,0))),VLOOKUP(E760,Parameter!$I$35:$J$52,2,0),IFERROR(VLOOKUP(D760,Parameter!$A$35:$C$64,2,0),"Nein"))</f>
        <v>2+3</v>
      </c>
      <c r="CE760" s="64" t="n">
        <f aca="false">IF(CA760=0,0,IF(N(S760)&gt;0,S760,IFERROR(VLOOKUP(D760,Parameter!$A$35:$C$64,3,0)+0,0)))</f>
        <v>0</v>
      </c>
      <c r="CF760" s="60" t="n">
        <f aca="false">IF(AB760&lt;&gt;"",AB760,AA760)</f>
        <v>3</v>
      </c>
      <c r="CG760" s="60" t="str">
        <f aca="false">IF(OR(CF760=1,CF760=2,CF760=3),IF(Parameter!$E$27="Ja","LIFT",IF(CF760=1,"L1","L23")),IF(CF760="Aussen","Aussen","-"))</f>
        <v>LIFT</v>
      </c>
      <c r="CH760" s="71" t="n">
        <f aca="false">IF(N(AC760)&gt;0,AC760,0)</f>
        <v>0</v>
      </c>
      <c r="CI760" s="65" t="n">
        <f aca="false">IF(ISNUMBER(AF760),1,0)</f>
        <v>0</v>
      </c>
      <c r="CJ760" s="62" t="n">
        <f aca="false">N(AF760)</f>
        <v>0</v>
      </c>
      <c r="CK760" s="62" t="n">
        <f aca="false">N(M760)+N(N760)</f>
        <v>5</v>
      </c>
      <c r="CL760" s="62" t="n">
        <f aca="false">N(M760)</f>
        <v>0</v>
      </c>
      <c r="CM760" s="62" t="n">
        <f aca="false">N(N760)</f>
        <v>5</v>
      </c>
      <c r="CN760" s="62" t="n">
        <f aca="false">ROUNDUP(H760/BZ760,0)</f>
        <v>1</v>
      </c>
      <c r="CO760" s="62" t="n">
        <f aca="false">ROUNDUP(CJ760/BZ760,0)</f>
        <v>0</v>
      </c>
      <c r="CP760" s="65" t="n">
        <f aca="false">IF(CA760=1,0,IFERROR(VLOOKUP(BY760,'Gebinde-Kategorie'!$A$5:$N$45,5,0)+0,0))</f>
        <v>8</v>
      </c>
      <c r="CQ760" s="65" t="n">
        <f aca="false">IFERROR(IF(OR(CF760=1,CF760=2,CF760=3),N(INDEX(Parameter!$I$5:$I$7,CF760)),0),0)</f>
        <v>0</v>
      </c>
      <c r="CR760" s="64" t="n">
        <f aca="false">IF(AND(Parameter!$B$21="Ja",ISNUMBER(W760),N(X760)&gt;0),IFERROR(N(INDEX(Parameter!$L$5:$L$7,W760))*INDEX(Parameter!$E$5:$E$7,W760)*X760/SUMIFS($X$7:$X$1843,$W$7:$W$1843,W760),0),0)</f>
        <v>0</v>
      </c>
      <c r="CS760" s="62" t="n">
        <f aca="false">IF(AND(OR(CG760="L1",CG760="L23",CG760="LIFT"),H760&gt;0),CC760*IF(CR760&gt;0,CR760*MAX(1,H760/X760),IF(CA760=1,CE760,IF(R760&gt;0,CN760/R760,0))/MAX(0.1,N(Parameter!$M$21))),"")</f>
        <v>1.10714285714286</v>
      </c>
      <c r="CT760" s="64" t="n">
        <f aca="false">IF(CS760="","",J760/H760)</f>
        <v>0.0134228187919463</v>
      </c>
      <c r="CU760" s="62" t="n">
        <f aca="false">IF(CS760="","",H760*G760)</f>
        <v>26.82</v>
      </c>
      <c r="CV760" s="63" t="n">
        <f aca="false">IF(CS760="","",(CL760+ROUNDUP(CL760+MAX(CM760,2*(J760/MAX(0.1,N(Einkauf!$C$6))-CL760)),0))/2)</f>
        <v>2.5</v>
      </c>
      <c r="CW760" s="62" t="n">
        <f aca="false">IF(CS760="","",MAX(0,H760-CV760)*G760)</f>
        <v>26.595</v>
      </c>
      <c r="CX760" s="62" t="n">
        <f aca="false">IF(CS760="","",CS760*MAX(0,1-CV760/H760))</f>
        <v>1.09785474592522</v>
      </c>
      <c r="CY760" s="64" t="n">
        <f aca="false">IF(CS760="","",PERCENTRANK($CS$7:$CS$1843,CS760)+PERCENTRANK($CU$7:$CU$1843,CU760)+1-PERCENTRANK($CT$7:$CT$1843,CT760))</f>
        <v>0.7824</v>
      </c>
      <c r="CZ760" s="72" t="n">
        <f aca="false">IF(CS760="","",CHOOSE(MATCH(Einkauf!$C$5,Parameter!$G$23:$G$27,0),CY760,CS760,CU760,-CT760,CW760)+ROW()/1000000000)</f>
        <v>0.78240076</v>
      </c>
    </row>
    <row r="761" customFormat="false" ht="15" hidden="false" customHeight="false" outlineLevel="0" collapsed="false">
      <c r="A761" s="60" t="s">
        <v>1542</v>
      </c>
      <c r="B761" s="60" t="s">
        <v>1543</v>
      </c>
      <c r="C761" s="60" t="s">
        <v>498</v>
      </c>
      <c r="D761" s="60" t="s">
        <v>215</v>
      </c>
      <c r="E761" s="60"/>
      <c r="F761" s="60" t="s">
        <v>260</v>
      </c>
      <c r="G761" s="61" t="n">
        <v>0.01</v>
      </c>
      <c r="H761" s="62" t="n">
        <f aca="false">MAX(0,IF(AND(Parameter!$B$21="Ja",ISNUMBER(Y761)),Y761,IF(Parameter!$B$20="Jahresanfang 2025 + Export",BS761+BR761,BR761)))</f>
        <v>0</v>
      </c>
      <c r="I761" s="62" t="n">
        <f aca="false">H761*G761</f>
        <v>0</v>
      </c>
      <c r="J761" s="62" t="n">
        <f aca="false">BU761*Parameter!$B$18</f>
        <v>35</v>
      </c>
      <c r="K761" s="63" t="n">
        <v>79.5</v>
      </c>
      <c r="L761" s="64" t="n">
        <v>0.440251572327044</v>
      </c>
      <c r="M761" s="62" t="n">
        <v>0</v>
      </c>
      <c r="N761" s="62" t="n">
        <v>105</v>
      </c>
      <c r="O761" s="65" t="n">
        <v>14</v>
      </c>
      <c r="P761" s="60" t="s">
        <v>210</v>
      </c>
      <c r="Q761" s="62"/>
      <c r="R761" s="65" t="n">
        <f aca="false">IF(CA761=1,0,IFERROR(VLOOKUP(BY761,'Gebinde-Kategorie'!$A$5:$N$45,13,0)+0,0))</f>
        <v>12</v>
      </c>
      <c r="S761" s="66"/>
      <c r="T761" s="67" t="s">
        <v>221</v>
      </c>
      <c r="U761" s="67"/>
      <c r="V761" s="67"/>
      <c r="W761" s="60"/>
      <c r="X761" s="62"/>
      <c r="Y761" s="62"/>
      <c r="Z761" s="60" t="n">
        <v>3</v>
      </c>
      <c r="AA761" s="60" t="n">
        <f aca="false">IF(A761="","",IF(AND(Parameter!$B$21="Ja",ISNUMBER(W761)),W761,IF(AND(Parameter!$E$27="Ja",ISNUMBER(Z761),CD761&lt;&gt;"Nein"),Z761,IF(CD761="2+3",IF(ISNUMBER(SEARCH("grosser Artikel",BV761)),2,IFERROR(VLOOKUP(BY761,Parameter!$F$35:$G$64,2,0),2)),IF(OR(CD761="Nein",CD761=""),"-",CD761)))))</f>
        <v>3</v>
      </c>
      <c r="AB761" s="67"/>
      <c r="AC761" s="68"/>
      <c r="AD761" s="62" t="n">
        <f aca="false">AW761</f>
        <v>105</v>
      </c>
      <c r="AE761" s="62" t="n">
        <f aca="false">MAX(AW761,H761)</f>
        <v>105</v>
      </c>
      <c r="AF761" s="69"/>
      <c r="AG761" s="62" t="n">
        <f aca="false">IF(LEFT(Cockpit!$C$5,1)="A",H761,IF(Parameter!$E$30="MAX-Bestand",IF(CI761=1,CJ761,IF(LEFT(Cockpit!$C$5,1)="B",AM761,MAX(AM761,H761))),ROUNDUP(AK761,0)))</f>
        <v>0</v>
      </c>
      <c r="AH761" s="62" t="n">
        <f aca="false">IF(CA761=1,0,ROUNDUP(AG761/BZ761,0))</f>
        <v>0</v>
      </c>
      <c r="AI761" s="64" t="n">
        <f aca="false">IF(CR761&gt;0,CR761*MAX(1,AG761/X761),IF(CA761=1,IF(AG761&lt;=0,0,CE761*MAX(1,IF(H761&gt;0,AG761/H761,1))),IF(R761&gt;0,AH761/R761,0))/MAX(0.1,N(Parameter!$M$21)))</f>
        <v>0</v>
      </c>
      <c r="AJ761" s="62" t="n">
        <f aca="false">AI761*CC761</f>
        <v>0</v>
      </c>
      <c r="AK761" s="63" t="n">
        <f aca="false">IF(LEFT(Cockpit!$C$5,1)="A",H761,IF(CI761=1,(CL761+CJ761)/2,IF(LEFT(Cockpit!$C$5,1)="B",(CL761+AM761)/2,MAX((CL761+AM761)/2,H761))))</f>
        <v>0</v>
      </c>
      <c r="AL761" s="62" t="n">
        <f aca="false">AK761*G761</f>
        <v>0</v>
      </c>
      <c r="AM761" s="62" t="n">
        <f aca="false">ROUNDUP(CL761+MAX(CM761,2*(J761/IF(CH761&gt;0,CH761,MAX(0.1,N(Cockpit!$C$6)))-CL761)),0)</f>
        <v>105</v>
      </c>
      <c r="AN761" s="63" t="n">
        <f aca="false">IF(AJ761&gt;0,J761/AJ761,-1)</f>
        <v>-1</v>
      </c>
      <c r="AO761" s="63" t="str">
        <f aca="false">IF(AND(OR(CG761="L1",CG761="L23",CG761="LIFT"),AJ761&gt;0),SUMIFS($AJ$7:$AJ$1843,$CG$7:$CG$1843,CG761,$AN$7:$AN$1843,"&gt;"&amp;AN761)+SUMIFS($AJ$7:$AJ$1843,$CG$7:$CG$1843,CG761,$AN$7:$AN$1843,AN761,$BX$7:$BX$1843,"&lt;="&amp;BX761),"")</f>
        <v/>
      </c>
      <c r="AP761" s="70" t="n">
        <f aca="false">IF(AO761="",0,MAX(0,MIN(1,(IF(CG761="L1",Parameter!$H$5,IF(CG761="L23",Parameter!$H$6+Parameter!$H$7,Parameter!$H$5+Parameter!$H$6+Parameter!$H$7))-(AO761-AJ761))/AJ761)))</f>
        <v>0</v>
      </c>
      <c r="AQ761" s="62" t="n">
        <f aca="false">IF(LEFT(Cockpit!$I$5,1)="A",H761,IF(Parameter!$E$30="MAX-Bestand",IF(CI761=1,CJ761,IF(LEFT(Cockpit!$I$5,1)="B",AW761,MAX(AW761,H761))),ROUNDUP(AU761,0)))</f>
        <v>53</v>
      </c>
      <c r="AR761" s="62" t="n">
        <f aca="false">IF(CA761=1,0,ROUNDUP(AQ761/BZ761,0))</f>
        <v>1</v>
      </c>
      <c r="AS761" s="64" t="n">
        <f aca="false">IF(CR761&gt;0,CR761*MAX(1,AQ761/X761),IF(CA761=1,IF(AQ761&lt;=0,0,CE761*MAX(1,IF(H761&gt;0,AQ761/H761,1))),IF(R761&gt;0,AR761/R761,0))/MAX(0.1,N(Parameter!$M$21)))</f>
        <v>0.0833333333333333</v>
      </c>
      <c r="AT761" s="62" t="n">
        <f aca="false">AS761*CC761</f>
        <v>12.0833333333333</v>
      </c>
      <c r="AU761" s="63" t="n">
        <f aca="false">IF(LEFT(Cockpit!$I$5,1)="A",H761,IF(CI761=1,(CL761+CJ761)/2,IF(LEFT(Cockpit!$I$5,1)="B",(CL761+AW761)/2,MAX((CL761+AW761)/2,H761))))</f>
        <v>52.5</v>
      </c>
      <c r="AV761" s="62" t="n">
        <f aca="false">AU761*G761</f>
        <v>0.525</v>
      </c>
      <c r="AW761" s="62" t="n">
        <f aca="false">ROUNDUP(CL761+MAX(CM761,2*(J761/IF(CH761&gt;0,CH761,MAX(0.1,N(Cockpit!$I$6)))-CL761)),0)</f>
        <v>105</v>
      </c>
      <c r="AX761" s="63" t="n">
        <f aca="false">IF(AT761&gt;0,J761/AT761,-1)</f>
        <v>2.89655172413793</v>
      </c>
      <c r="AY761" s="63" t="n">
        <f aca="false">IF(AND(OR(CG761="L1",CG761="L23",CG761="LIFT"),AT761&gt;0),SUMIFS($AT$7:$AT$1843,$CG$7:$CG$1843,CG761,$AX$7:$AX$1843,"&gt;"&amp;AX761)+SUMIFS($AT$7:$AT$1843,$CG$7:$CG$1843,CG761,$AX$7:$AX$1843,AX761,$BX$7:$BX$1843,"&lt;="&amp;BX761),"")</f>
        <v>5974.24862637363</v>
      </c>
      <c r="AZ761" s="70" t="n">
        <f aca="false">IF(AY761="",0,MAX(0,MIN(1,(IF(CG761="L1",Parameter!$H$5,IF(CG761="L23",Parameter!$H$6+Parameter!$H$7,Parameter!$H$5+Parameter!$H$6+Parameter!$H$7))-(AY761-AT761))/AT761)))</f>
        <v>1</v>
      </c>
      <c r="BA761" s="62" t="n">
        <f aca="false">IF(LEFT(Cockpit!$O$5,1)="A",H761,IF(Parameter!$E$30="MAX-Bestand",IF(CI761=1,CJ761,IF(LEFT(Cockpit!$O$5,1)="B",BG761,MAX(BG761,H761))),ROUNDUP(BE761,0)))</f>
        <v>53</v>
      </c>
      <c r="BB761" s="62" t="n">
        <f aca="false">IF(CA761=1,0,ROUNDUP(BA761/BZ761,0))</f>
        <v>1</v>
      </c>
      <c r="BC761" s="64" t="n">
        <f aca="false">IF(CR761&gt;0,CR761*MAX(1,BA761/X761),IF(CA761=1,IF(BA761&lt;=0,0,CE761*MAX(1,IF(H761&gt;0,BA761/H761,1))),IF(R761&gt;0,BB761/R761,0))/MAX(0.1,N(Parameter!$M$21)))</f>
        <v>0.0833333333333333</v>
      </c>
      <c r="BD761" s="62" t="n">
        <f aca="false">BC761*CC761</f>
        <v>12.0833333333333</v>
      </c>
      <c r="BE761" s="63" t="n">
        <f aca="false">IF(LEFT(Cockpit!$O$5,1)="A",H761,IF(CI761=1,(CL761+CJ761)/2,IF(LEFT(Cockpit!$O$5,1)="B",(CL761+BG761)/2,MAX((CL761+BG761)/2,H761))))</f>
        <v>52.5</v>
      </c>
      <c r="BF761" s="62" t="n">
        <f aca="false">BE761*G761</f>
        <v>0.525</v>
      </c>
      <c r="BG761" s="62" t="n">
        <f aca="false">ROUNDUP(CL761+MAX(CM761,2*(J761/IF(CH761&gt;0,CH761,MAX(0.1,N(Cockpit!$O$6)))-CL761)),0)</f>
        <v>105</v>
      </c>
      <c r="BH761" s="63" t="n">
        <f aca="false">IF(BD761&gt;0,J761/BD761,-1)</f>
        <v>2.89655172413793</v>
      </c>
      <c r="BI761" s="63" t="n">
        <f aca="false">IF(AND(OR(CG761="L1",CG761="L23",CG761="LIFT"),BD761&gt;0),SUMIFS($BD$7:$BD$1843,$CG$7:$CG$1843,CG761,$BH$7:$BH$1843,"&gt;"&amp;BH761)+SUMIFS($BD$7:$BD$1843,$CG$7:$CG$1843,CG761,$BH$7:$BH$1843,BH761,$BX$7:$BX$1843,"&lt;="&amp;BX761),"")</f>
        <v>4836.99862637363</v>
      </c>
      <c r="BJ761" s="70" t="n">
        <f aca="false">IF(BI761="",0,MAX(0,MIN(1,(IF(CG761="L1",Parameter!$H$5,IF(CG761="L23",Parameter!$H$6+Parameter!$H$7,Parameter!$H$5+Parameter!$H$6+Parameter!$H$7))-(BI761-BD761))/BD761)))</f>
        <v>1</v>
      </c>
      <c r="BK761" s="60" t="str">
        <f aca="false">IF(AJ761&lt;=0,"",IF(CG761="Aussen","Aussenlager",IF(CG761="-","Nicht im Lift",IF(AP761&gt;=1,"Lift",IF(AP761&lt;=0,"Aussenlager","teilweise")))))</f>
        <v/>
      </c>
      <c r="BL761" s="60" t="str">
        <f aca="false">IF(AT761&lt;=0,"",IF(CG761="Aussen","Aussenlager",IF(CG761="-","Nicht im Lift",IF(AZ761&gt;=1,"Lift",IF(AZ761&lt;=0,"Aussenlager","teilweise")))))</f>
        <v>Lift</v>
      </c>
      <c r="BM761" s="60" t="str">
        <f aca="false">IF(BD761&lt;=0,"",IF(CG761="Aussen","Aussenlager",IF(CG761="-","Nicht im Lift",IF(BJ761&gt;=1,"Lift",IF(BJ761&lt;=0,"Aussenlager","teilweise")))))</f>
        <v>Lift</v>
      </c>
      <c r="BN761" s="60" t="str">
        <f aca="false">IF(A761="","",IF(BW761=1,"Neu; ","")&amp;IF(AND(BW761=0,BR761&lt;0),"negativer Bestand (Export "&amp;BR761&amp;"); ","")&amp;IF(J761&lt;=0,"Kein Verbrauch; ","")&amp;IF(CR761&gt;0,"Lift "&amp;W761&amp;" lt. Liftbericht (Fach "&amp;X761&amp;" Stk); ",IF(CB761=1,"Gebinde geschätzt ("&amp;T761&amp;"); ",IF(CA761=1,"Lose – Tablare geschätzt; ","")))&amp;IF(H761&gt;AW761,"Überbestand "&amp;ROUND(H761-AW761,0)&amp;" Stk / CHF "&amp;ROUND((H761-AW761)*G761,0)&amp;"; ","")&amp;IF(AND(CI761=1,CJ761&lt;CK761),"MAX &lt; MB+LG; ","")&amp;IF(AND(CQ761&gt;0,CP761*10&gt;CQ761),"zu hoch für Tablar; ","")&amp;IF(AND(BW761=0,OR(CI761=1,AB761&lt;&gt;"",U761&lt;&gt;"",V761&lt;&gt;"",AC761&lt;&gt;"")),"manuell übersteuert; ","")&amp;IF(AND(CA761=0,R761=0),"Gebinde unbekannt / Stellmass fehlt; ","")&amp;IF(AND(CA761=0,N(V761)&lt;=0,N(Q761)&lt;=0),"Menge pro Gebinde fehlt (Ist = 1 Gebinde); ","")&amp;BV761)</f>
        <v>negativer Bestand (Export -67); Gebinde geschätzt (Mittel); Menge pro Gebinde fehlt (Ist = 1 Gebinde); </v>
      </c>
      <c r="BO761" s="60"/>
      <c r="BP761" s="60"/>
      <c r="BQ761" s="67"/>
      <c r="BR761" s="62" t="n">
        <v>-67</v>
      </c>
      <c r="BS761" s="62" t="n">
        <v>67</v>
      </c>
      <c r="BT761" s="61" t="n">
        <v>-0.67</v>
      </c>
      <c r="BU761" s="62" t="n">
        <v>35</v>
      </c>
      <c r="BV761" s="60"/>
      <c r="BW761" s="65" t="n">
        <v>0</v>
      </c>
      <c r="BX761" s="65" t="n">
        <v>761</v>
      </c>
      <c r="BY761" s="60" t="str">
        <f aca="false">IF(U761&lt;&gt;"",UPPER(TRIM(U761)),IF(CB761=1,UPPER(VLOOKUP(T761,Parameter!$I$27:$K$29,2,0)),IF(P761="","LOSE",P761)))</f>
        <v>S61</v>
      </c>
      <c r="BZ761" s="62" t="n">
        <f aca="false">IF(BY761="LOSE",1,IF(N(V761)&gt;0,V761,IF(CB761=1,MAX(1,N(VLOOKUP(T761,Parameter!$I$27:$K$29,3,0)),H761,N(N761)),IF(N(Q761)&gt;0,Q761,MAX(1,H761)))))</f>
        <v>105</v>
      </c>
      <c r="CA761" s="65" t="n">
        <f aca="false">IF(BY761="LOSE",1,0)</f>
        <v>0</v>
      </c>
      <c r="CB761" s="65" t="n">
        <f aca="false">IF(AND(U761="",OR(P761="",P761="LOSE"),T761&lt;&gt;"",N(S761)&lt;=0,ISNUMBER(MATCH(T761,Parameter!$I$27:$I$29,0))),1,0)</f>
        <v>1</v>
      </c>
      <c r="CC761" s="65" t="n">
        <f aca="false">IF(CR761&gt;0,INDEX(Parameter!$H$5:$H$7,W761)/INDEX(Parameter!$E$5:$E$7,W761),IF(AND(CA761=0,N(IFERROR(VLOOKUP(BY761,'Gebinde-Kategorie'!$A$5:$N$45,14,0),0))&gt;0),VLOOKUP(BY761,'Gebinde-Kategorie'!$A$5:$N$45,14,0)*10+Parameter!$M$23,Parameter!$M$24))</f>
        <v>145</v>
      </c>
      <c r="CD761" s="60" t="str">
        <f aca="false">IF(AND(Parameter!$B$19="Ja",E761&lt;&gt;"",ISNUMBER(MATCH(E761,Parameter!$I$35:$I$52,0))),VLOOKUP(E761,Parameter!$I$35:$J$52,2,0),IFERROR(VLOOKUP(D761,Parameter!$A$35:$C$64,2,0),"Nein"))</f>
        <v>2+3</v>
      </c>
      <c r="CE761" s="64" t="n">
        <f aca="false">IF(CA761=0,0,IF(N(S761)&gt;0,S761,IFERROR(VLOOKUP(D761,Parameter!$A$35:$C$64,3,0)+0,0)))</f>
        <v>0</v>
      </c>
      <c r="CF761" s="60" t="n">
        <f aca="false">IF(AB761&lt;&gt;"",AB761,AA761)</f>
        <v>3</v>
      </c>
      <c r="CG761" s="60" t="str">
        <f aca="false">IF(OR(CF761=1,CF761=2,CF761=3),IF(Parameter!$E$27="Ja","LIFT",IF(CF761=1,"L1","L23")),IF(CF761="Aussen","Aussen","-"))</f>
        <v>LIFT</v>
      </c>
      <c r="CH761" s="71" t="n">
        <f aca="false">IF(N(AC761)&gt;0,AC761,0)</f>
        <v>0</v>
      </c>
      <c r="CI761" s="65" t="n">
        <f aca="false">IF(ISNUMBER(AF761),1,0)</f>
        <v>0</v>
      </c>
      <c r="CJ761" s="62" t="n">
        <f aca="false">N(AF761)</f>
        <v>0</v>
      </c>
      <c r="CK761" s="62" t="n">
        <f aca="false">N(M761)+N(N761)</f>
        <v>105</v>
      </c>
      <c r="CL761" s="62" t="n">
        <f aca="false">N(M761)</f>
        <v>0</v>
      </c>
      <c r="CM761" s="62" t="n">
        <f aca="false">N(N761)</f>
        <v>105</v>
      </c>
      <c r="CN761" s="62" t="n">
        <f aca="false">ROUNDUP(H761/BZ761,0)</f>
        <v>0</v>
      </c>
      <c r="CO761" s="62" t="n">
        <f aca="false">ROUNDUP(CJ761/BZ761,0)</f>
        <v>0</v>
      </c>
      <c r="CP761" s="65" t="n">
        <f aca="false">IF(CA761=1,0,IFERROR(VLOOKUP(BY761,'Gebinde-Kategorie'!$A$5:$N$45,5,0)+0,0))</f>
        <v>11</v>
      </c>
      <c r="CQ761" s="65" t="n">
        <f aca="false">IFERROR(IF(OR(CF761=1,CF761=2,CF761=3),N(INDEX(Parameter!$I$5:$I$7,CF761)),0),0)</f>
        <v>0</v>
      </c>
      <c r="CR761" s="64" t="n">
        <f aca="false">IF(AND(Parameter!$B$21="Ja",ISNUMBER(W761),N(X761)&gt;0),IFERROR(N(INDEX(Parameter!$L$5:$L$7,W761))*INDEX(Parameter!$E$5:$E$7,W761)*X761/SUMIFS($X$7:$X$1843,$W$7:$W$1843,W761),0),0)</f>
        <v>0</v>
      </c>
      <c r="CS761" s="62" t="str">
        <f aca="false">IF(AND(OR(CG761="L1",CG761="L23",CG761="LIFT"),H761&gt;0),CC761*IF(CR761&gt;0,CR761*MAX(1,H761/X761),IF(CA761=1,CE761,IF(R761&gt;0,CN761/R761,0))/MAX(0.1,N(Parameter!$M$21))),"")</f>
        <v/>
      </c>
      <c r="CT761" s="64" t="str">
        <f aca="false">IF(CS761="","",J761/H761)</f>
        <v/>
      </c>
      <c r="CU761" s="62" t="str">
        <f aca="false">IF(CS761="","",H761*G761)</f>
        <v/>
      </c>
      <c r="CV761" s="63" t="str">
        <f aca="false">IF(CS761="","",(CL761+ROUNDUP(CL761+MAX(CM761,2*(J761/MAX(0.1,N(Einkauf!$C$6))-CL761)),0))/2)</f>
        <v/>
      </c>
      <c r="CW761" s="62" t="str">
        <f aca="false">IF(CS761="","",MAX(0,H761-CV761)*G761)</f>
        <v/>
      </c>
      <c r="CX761" s="62" t="str">
        <f aca="false">IF(CS761="","",CS761*MAX(0,1-CV761/H761))</f>
        <v/>
      </c>
      <c r="CY761" s="64" t="str">
        <f aca="false">IF(CS761="","",PERCENTRANK($CS$7:$CS$1843,CS761)+PERCENTRANK($CU$7:$CU$1843,CU761)+1-PERCENTRANK($CT$7:$CT$1843,CT761))</f>
        <v/>
      </c>
      <c r="CZ761" s="72" t="str">
        <f aca="false">IF(CS761="","",CHOOSE(MATCH(Einkauf!$C$5,Parameter!$G$23:$G$27,0),CY761,CS761,CU761,-CT761,CW761)+ROW()/1000000000)</f>
        <v/>
      </c>
    </row>
    <row r="762" customFormat="false" ht="15" hidden="false" customHeight="false" outlineLevel="0" collapsed="false">
      <c r="A762" s="60" t="s">
        <v>1544</v>
      </c>
      <c r="B762" s="60" t="s">
        <v>447</v>
      </c>
      <c r="C762" s="60" t="s">
        <v>206</v>
      </c>
      <c r="D762" s="60" t="s">
        <v>226</v>
      </c>
      <c r="E762" s="60" t="s">
        <v>227</v>
      </c>
      <c r="F762" s="60" t="s">
        <v>260</v>
      </c>
      <c r="G762" s="61" t="n">
        <v>0.02</v>
      </c>
      <c r="H762" s="62" t="n">
        <f aca="false">MAX(0,IF(AND(Parameter!$B$21="Ja",ISNUMBER(Y762)),Y762,IF(Parameter!$B$20="Jahresanfang 2025 + Export",BS762+BR762,BR762)))</f>
        <v>670</v>
      </c>
      <c r="I762" s="62" t="n">
        <f aca="false">H762*G762</f>
        <v>13.4</v>
      </c>
      <c r="J762" s="62" t="n">
        <f aca="false">BU762*Parameter!$B$18</f>
        <v>16</v>
      </c>
      <c r="K762" s="63" t="n">
        <v>695</v>
      </c>
      <c r="L762" s="64" t="n">
        <v>0.023021582733813</v>
      </c>
      <c r="M762" s="62" t="n">
        <v>0</v>
      </c>
      <c r="N762" s="62" t="n">
        <v>15</v>
      </c>
      <c r="O762" s="65" t="n">
        <v>14</v>
      </c>
      <c r="P762" s="60" t="s">
        <v>518</v>
      </c>
      <c r="Q762" s="62" t="n">
        <v>752</v>
      </c>
      <c r="R762" s="65" t="n">
        <f aca="false">IF(CA762=1,0,IFERROR(VLOOKUP(BY762,'Gebinde-Kategorie'!$A$5:$N$45,13,0)+0,0))</f>
        <v>52</v>
      </c>
      <c r="S762" s="66"/>
      <c r="T762" s="67"/>
      <c r="U762" s="67"/>
      <c r="V762" s="67"/>
      <c r="W762" s="60"/>
      <c r="X762" s="62"/>
      <c r="Y762" s="62"/>
      <c r="Z762" s="60" t="n">
        <v>1</v>
      </c>
      <c r="AA762" s="60" t="n">
        <f aca="false">IF(A762="","",IF(AND(Parameter!$B$21="Ja",ISNUMBER(W762)),W762,IF(AND(Parameter!$E$27="Ja",ISNUMBER(Z762),CD762&lt;&gt;"Nein"),Z762,IF(CD762="2+3",IF(ISNUMBER(SEARCH("grosser Artikel",BV762)),2,IFERROR(VLOOKUP(BY762,Parameter!$F$35:$G$64,2,0),2)),IF(OR(CD762="Nein",CD762=""),"-",CD762)))))</f>
        <v>1</v>
      </c>
      <c r="AB762" s="67"/>
      <c r="AC762" s="68"/>
      <c r="AD762" s="62" t="n">
        <f aca="false">AW762</f>
        <v>15</v>
      </c>
      <c r="AE762" s="62" t="n">
        <f aca="false">MAX(AW762,H762)</f>
        <v>670</v>
      </c>
      <c r="AF762" s="69"/>
      <c r="AG762" s="62" t="n">
        <f aca="false">IF(LEFT(Cockpit!$C$5,1)="A",H762,IF(Parameter!$E$30="MAX-Bestand",IF(CI762=1,CJ762,IF(LEFT(Cockpit!$C$5,1)="B",AM762,MAX(AM762,H762))),ROUNDUP(AK762,0)))</f>
        <v>670</v>
      </c>
      <c r="AH762" s="62" t="n">
        <f aca="false">IF(CA762=1,0,ROUNDUP(AG762/BZ762,0))</f>
        <v>1</v>
      </c>
      <c r="AI762" s="64" t="n">
        <f aca="false">IF(CR762&gt;0,CR762*MAX(1,AG762/X762),IF(CA762=1,IF(AG762&lt;=0,0,CE762*MAX(1,IF(H762&gt;0,AG762/H762,1))),IF(R762&gt;0,AH762/R762,0))/MAX(0.1,N(Parameter!$M$21)))</f>
        <v>0.0192307692307692</v>
      </c>
      <c r="AJ762" s="62" t="n">
        <f aca="false">AI762*CC762</f>
        <v>2.98076923076923</v>
      </c>
      <c r="AK762" s="63" t="n">
        <f aca="false">IF(LEFT(Cockpit!$C$5,1)="A",H762,IF(CI762=1,(CL762+CJ762)/2,IF(LEFT(Cockpit!$C$5,1)="B",(CL762+AM762)/2,MAX((CL762+AM762)/2,H762))))</f>
        <v>670</v>
      </c>
      <c r="AL762" s="62" t="n">
        <f aca="false">AK762*G762</f>
        <v>13.4</v>
      </c>
      <c r="AM762" s="62" t="n">
        <f aca="false">ROUNDUP(CL762+MAX(CM762,2*(J762/IF(CH762&gt;0,CH762,MAX(0.1,N(Cockpit!$C$6)))-CL762)),0)</f>
        <v>15</v>
      </c>
      <c r="AN762" s="63" t="n">
        <f aca="false">IF(AJ762&gt;0,J762/AJ762,-1)</f>
        <v>5.36774193548387</v>
      </c>
      <c r="AO762" s="63" t="n">
        <f aca="false">IF(AND(OR(CG762="L1",CG762="L23",CG762="LIFT"),AJ762&gt;0),SUMIFS($AJ$7:$AJ$1843,$CG$7:$CG$1843,CG762,$AN$7:$AN$1843,"&gt;"&amp;AN762)+SUMIFS($AJ$7:$AJ$1843,$CG$7:$CG$1843,CG762,$AN$7:$AN$1843,AN762,$BX$7:$BX$1843,"&lt;="&amp;BX762),"")</f>
        <v>3726.19139194139</v>
      </c>
      <c r="AP762" s="70" t="n">
        <f aca="false">IF(AO762="",0,MAX(0,MIN(1,(IF(CG762="L1",Parameter!$H$5,IF(CG762="L23",Parameter!$H$6+Parameter!$H$7,Parameter!$H$5+Parameter!$H$6+Parameter!$H$7))-(AO762-AJ762))/AJ762)))</f>
        <v>1</v>
      </c>
      <c r="AQ762" s="62" t="n">
        <f aca="false">IF(LEFT(Cockpit!$I$5,1)="A",H762,IF(Parameter!$E$30="MAX-Bestand",IF(CI762=1,CJ762,IF(LEFT(Cockpit!$I$5,1)="B",AW762,MAX(AW762,H762))),ROUNDUP(AU762,0)))</f>
        <v>670</v>
      </c>
      <c r="AR762" s="62" t="n">
        <f aca="false">IF(CA762=1,0,ROUNDUP(AQ762/BZ762,0))</f>
        <v>1</v>
      </c>
      <c r="AS762" s="64" t="n">
        <f aca="false">IF(CR762&gt;0,CR762*MAX(1,AQ762/X762),IF(CA762=1,IF(AQ762&lt;=0,0,CE762*MAX(1,IF(H762&gt;0,AQ762/H762,1))),IF(R762&gt;0,AR762/R762,0))/MAX(0.1,N(Parameter!$M$21)))</f>
        <v>0.0192307692307692</v>
      </c>
      <c r="AT762" s="62" t="n">
        <f aca="false">AS762*CC762</f>
        <v>2.98076923076923</v>
      </c>
      <c r="AU762" s="63" t="n">
        <f aca="false">IF(LEFT(Cockpit!$I$5,1)="A",H762,IF(CI762=1,(CL762+CJ762)/2,IF(LEFT(Cockpit!$I$5,1)="B",(CL762+AW762)/2,MAX((CL762+AW762)/2,H762))))</f>
        <v>670</v>
      </c>
      <c r="AV762" s="62" t="n">
        <f aca="false">AU762*G762</f>
        <v>13.4</v>
      </c>
      <c r="AW762" s="62" t="n">
        <f aca="false">ROUNDUP(CL762+MAX(CM762,2*(J762/IF(CH762&gt;0,CH762,MAX(0.1,N(Cockpit!$I$6)))-CL762)),0)</f>
        <v>15</v>
      </c>
      <c r="AX762" s="63" t="n">
        <f aca="false">IF(AT762&gt;0,J762/AT762,-1)</f>
        <v>5.36774193548387</v>
      </c>
      <c r="AY762" s="63" t="n">
        <f aca="false">IF(AND(OR(CG762="L1",CG762="L23",CG762="LIFT"),AT762&gt;0),SUMIFS($AT$7:$AT$1843,$CG$7:$CG$1843,CG762,$AX$7:$AX$1843,"&gt;"&amp;AX762)+SUMIFS($AT$7:$AT$1843,$CG$7:$CG$1843,CG762,$AX$7:$AX$1843,AX762,$BX$7:$BX$1843,"&lt;="&amp;BX762),"")</f>
        <v>4379.93223443223</v>
      </c>
      <c r="AZ762" s="70" t="n">
        <f aca="false">IF(AY762="",0,MAX(0,MIN(1,(IF(CG762="L1",Parameter!$H$5,IF(CG762="L23",Parameter!$H$6+Parameter!$H$7,Parameter!$H$5+Parameter!$H$6+Parameter!$H$7))-(AY762-AT762))/AT762)))</f>
        <v>1</v>
      </c>
      <c r="BA762" s="62" t="n">
        <f aca="false">IF(LEFT(Cockpit!$O$5,1)="A",H762,IF(Parameter!$E$30="MAX-Bestand",IF(CI762=1,CJ762,IF(LEFT(Cockpit!$O$5,1)="B",BG762,MAX(BG762,H762))),ROUNDUP(BE762,0)))</f>
        <v>8</v>
      </c>
      <c r="BB762" s="62" t="n">
        <f aca="false">IF(CA762=1,0,ROUNDUP(BA762/BZ762,0))</f>
        <v>1</v>
      </c>
      <c r="BC762" s="64" t="n">
        <f aca="false">IF(CR762&gt;0,CR762*MAX(1,BA762/X762),IF(CA762=1,IF(BA762&lt;=0,0,CE762*MAX(1,IF(H762&gt;0,BA762/H762,1))),IF(R762&gt;0,BB762/R762,0))/MAX(0.1,N(Parameter!$M$21)))</f>
        <v>0.0192307692307692</v>
      </c>
      <c r="BD762" s="62" t="n">
        <f aca="false">BC762*CC762</f>
        <v>2.98076923076923</v>
      </c>
      <c r="BE762" s="63" t="n">
        <f aca="false">IF(LEFT(Cockpit!$O$5,1)="A",H762,IF(CI762=1,(CL762+CJ762)/2,IF(LEFT(Cockpit!$O$5,1)="B",(CL762+BG762)/2,MAX((CL762+BG762)/2,H762))))</f>
        <v>7.5</v>
      </c>
      <c r="BF762" s="62" t="n">
        <f aca="false">BE762*G762</f>
        <v>0.15</v>
      </c>
      <c r="BG762" s="62" t="n">
        <f aca="false">ROUNDUP(CL762+MAX(CM762,2*(J762/IF(CH762&gt;0,CH762,MAX(0.1,N(Cockpit!$O$6)))-CL762)),0)</f>
        <v>15</v>
      </c>
      <c r="BH762" s="63" t="n">
        <f aca="false">IF(BD762&gt;0,J762/BD762,-1)</f>
        <v>5.36774193548387</v>
      </c>
      <c r="BI762" s="63" t="n">
        <f aca="false">IF(AND(OR(CG762="L1",CG762="L23",CG762="LIFT"),BD762&gt;0),SUMIFS($BD$7:$BD$1843,$CG$7:$CG$1843,CG762,$BH$7:$BH$1843,"&gt;"&amp;BH762)+SUMIFS($BD$7:$BD$1843,$CG$7:$CG$1843,CG762,$BH$7:$BH$1843,BH762,$BX$7:$BX$1843,"&lt;="&amp;BX762),"")</f>
        <v>3692.96382783883</v>
      </c>
      <c r="BJ762" s="70" t="n">
        <f aca="false">IF(BI762="",0,MAX(0,MIN(1,(IF(CG762="L1",Parameter!$H$5,IF(CG762="L23",Parameter!$H$6+Parameter!$H$7,Parameter!$H$5+Parameter!$H$6+Parameter!$H$7))-(BI762-BD762))/BD762)))</f>
        <v>1</v>
      </c>
      <c r="BK762" s="60" t="str">
        <f aca="false">IF(AJ762&lt;=0,"",IF(CG762="Aussen","Aussenlager",IF(CG762="-","Nicht im Lift",IF(AP762&gt;=1,"Lift",IF(AP762&lt;=0,"Aussenlager","teilweise")))))</f>
        <v>Lift</v>
      </c>
      <c r="BL762" s="60" t="str">
        <f aca="false">IF(AT762&lt;=0,"",IF(CG762="Aussen","Aussenlager",IF(CG762="-","Nicht im Lift",IF(AZ762&gt;=1,"Lift",IF(AZ762&lt;=0,"Aussenlager","teilweise")))))</f>
        <v>Lift</v>
      </c>
      <c r="BM762" s="60" t="str">
        <f aca="false">IF(BD762&lt;=0,"",IF(CG762="Aussen","Aussenlager",IF(CG762="-","Nicht im Lift",IF(BJ762&gt;=1,"Lift",IF(BJ762&lt;=0,"Aussenlager","teilweise")))))</f>
        <v>Lift</v>
      </c>
      <c r="BN762" s="60" t="str">
        <f aca="false">IF(A762="","",IF(BW762=1,"Neu; ","")&amp;IF(AND(BW762=0,BR762&lt;0),"negativer Bestand (Export "&amp;BR762&amp;"); ","")&amp;IF(J762&lt;=0,"Kein Verbrauch; ","")&amp;IF(CR762&gt;0,"Lift "&amp;W762&amp;" lt. Liftbericht (Fach "&amp;X762&amp;" Stk); ",IF(CB762=1,"Gebinde geschätzt ("&amp;T762&amp;"); ",IF(CA762=1,"Lose – Tablare geschätzt; ","")))&amp;IF(H762&gt;AW762,"Überbestand "&amp;ROUND(H762-AW762,0)&amp;" Stk / CHF "&amp;ROUND((H762-AW762)*G762,0)&amp;"; ","")&amp;IF(AND(CI762=1,CJ762&lt;CK762),"MAX &lt; MB+LG; ","")&amp;IF(AND(CQ762&gt;0,CP762*10&gt;CQ762),"zu hoch für Tablar; ","")&amp;IF(AND(BW762=0,OR(CI762=1,AB762&lt;&gt;"",U762&lt;&gt;"",V762&lt;&gt;"",AC762&lt;&gt;"")),"manuell übersteuert; ","")&amp;IF(AND(CA762=0,R762=0),"Gebinde unbekannt / Stellmass fehlt; ","")&amp;IF(AND(CA762=0,N(V762)&lt;=0,N(Q762)&lt;=0),"Menge pro Gebinde fehlt (Ist = 1 Gebinde); ","")&amp;BV762)</f>
        <v>negativer Bestand (Export -34); Überbestand 655 Stk / CHF 13; Überbestand</v>
      </c>
      <c r="BO762" s="60"/>
      <c r="BP762" s="60"/>
      <c r="BQ762" s="67"/>
      <c r="BR762" s="62" t="n">
        <v>-34</v>
      </c>
      <c r="BS762" s="62" t="n">
        <v>704</v>
      </c>
      <c r="BT762" s="61" t="n">
        <v>-0.68</v>
      </c>
      <c r="BU762" s="62" t="n">
        <v>16</v>
      </c>
      <c r="BV762" s="60" t="s">
        <v>434</v>
      </c>
      <c r="BW762" s="65" t="n">
        <v>0</v>
      </c>
      <c r="BX762" s="65" t="n">
        <v>762</v>
      </c>
      <c r="BY762" s="60" t="str">
        <f aca="false">IF(U762&lt;&gt;"",UPPER(TRIM(U762)),IF(CB762=1,UPPER(VLOOKUP(T762,Parameter!$I$27:$K$29,2,0)),IF(P762="","LOSE",P762)))</f>
        <v>S33</v>
      </c>
      <c r="BZ762" s="62" t="n">
        <f aca="false">IF(BY762="LOSE",1,IF(N(V762)&gt;0,V762,IF(CB762=1,MAX(1,N(VLOOKUP(T762,Parameter!$I$27:$K$29,3,0)),H762,N(N762)),IF(N(Q762)&gt;0,Q762,MAX(1,H762)))))</f>
        <v>752</v>
      </c>
      <c r="CA762" s="65" t="n">
        <f aca="false">IF(BY762="LOSE",1,0)</f>
        <v>0</v>
      </c>
      <c r="CB762" s="65" t="n">
        <f aca="false">IF(AND(U762="",OR(P762="",P762="LOSE"),T762&lt;&gt;"",N(S762)&lt;=0,ISNUMBER(MATCH(T762,Parameter!$I$27:$I$29,0))),1,0)</f>
        <v>0</v>
      </c>
      <c r="CC762" s="65" t="n">
        <f aca="false">IF(CR762&gt;0,INDEX(Parameter!$H$5:$H$7,W762)/INDEX(Parameter!$E$5:$E$7,W762),IF(AND(CA762=0,N(IFERROR(VLOOKUP(BY762,'Gebinde-Kategorie'!$A$5:$N$45,14,0),0))&gt;0),VLOOKUP(BY762,'Gebinde-Kategorie'!$A$5:$N$45,14,0)*10+Parameter!$M$23,Parameter!$M$24))</f>
        <v>155</v>
      </c>
      <c r="CD762" s="60" t="str">
        <f aca="false">IF(AND(Parameter!$B$19="Ja",E762&lt;&gt;"",ISNUMBER(MATCH(E762,Parameter!$I$35:$I$52,0))),VLOOKUP(E762,Parameter!$I$35:$J$52,2,0),IFERROR(VLOOKUP(D762,Parameter!$A$35:$C$64,2,0),"Nein"))</f>
        <v>2+3</v>
      </c>
      <c r="CE762" s="64" t="n">
        <f aca="false">IF(CA762=0,0,IF(N(S762)&gt;0,S762,IFERROR(VLOOKUP(D762,Parameter!$A$35:$C$64,3,0)+0,0)))</f>
        <v>0</v>
      </c>
      <c r="CF762" s="60" t="n">
        <f aca="false">IF(AB762&lt;&gt;"",AB762,AA762)</f>
        <v>1</v>
      </c>
      <c r="CG762" s="60" t="str">
        <f aca="false">IF(OR(CF762=1,CF762=2,CF762=3),IF(Parameter!$E$27="Ja","LIFT",IF(CF762=1,"L1","L23")),IF(CF762="Aussen","Aussen","-"))</f>
        <v>LIFT</v>
      </c>
      <c r="CH762" s="71" t="n">
        <f aca="false">IF(N(AC762)&gt;0,AC762,0)</f>
        <v>0</v>
      </c>
      <c r="CI762" s="65" t="n">
        <f aca="false">IF(ISNUMBER(AF762),1,0)</f>
        <v>0</v>
      </c>
      <c r="CJ762" s="62" t="n">
        <f aca="false">N(AF762)</f>
        <v>0</v>
      </c>
      <c r="CK762" s="62" t="n">
        <f aca="false">N(M762)+N(N762)</f>
        <v>15</v>
      </c>
      <c r="CL762" s="62" t="n">
        <f aca="false">N(M762)</f>
        <v>0</v>
      </c>
      <c r="CM762" s="62" t="n">
        <f aca="false">N(N762)</f>
        <v>15</v>
      </c>
      <c r="CN762" s="62" t="n">
        <f aca="false">ROUNDUP(H762/BZ762,0)</f>
        <v>1</v>
      </c>
      <c r="CO762" s="62" t="n">
        <f aca="false">ROUNDUP(CJ762/BZ762,0)</f>
        <v>0</v>
      </c>
      <c r="CP762" s="65" t="n">
        <f aca="false">IF(CA762=1,0,IFERROR(VLOOKUP(BY762,'Gebinde-Kategorie'!$A$5:$N$45,5,0)+0,0))</f>
        <v>8</v>
      </c>
      <c r="CQ762" s="65" t="n">
        <f aca="false">IFERROR(IF(OR(CF762=1,CF762=2,CF762=3),N(INDEX(Parameter!$I$5:$I$7,CF762)),0),0)</f>
        <v>0</v>
      </c>
      <c r="CR762" s="64" t="n">
        <f aca="false">IF(AND(Parameter!$B$21="Ja",ISNUMBER(W762),N(X762)&gt;0),IFERROR(N(INDEX(Parameter!$L$5:$L$7,W762))*INDEX(Parameter!$E$5:$E$7,W762)*X762/SUMIFS($X$7:$X$1843,$W$7:$W$1843,W762),0),0)</f>
        <v>0</v>
      </c>
      <c r="CS762" s="62" t="n">
        <f aca="false">IF(AND(OR(CG762="L1",CG762="L23",CG762="LIFT"),H762&gt;0),CC762*IF(CR762&gt;0,CR762*MAX(1,H762/X762),IF(CA762=1,CE762,IF(R762&gt;0,CN762/R762,0))/MAX(0.1,N(Parameter!$M$21))),"")</f>
        <v>2.98076923076923</v>
      </c>
      <c r="CT762" s="64" t="n">
        <f aca="false">IF(CS762="","",J762/H762)</f>
        <v>0.0238805970149254</v>
      </c>
      <c r="CU762" s="62" t="n">
        <f aca="false">IF(CS762="","",H762*G762)</f>
        <v>13.4</v>
      </c>
      <c r="CV762" s="63" t="n">
        <f aca="false">IF(CS762="","",(CL762+ROUNDUP(CL762+MAX(CM762,2*(J762/MAX(0.1,N(Einkauf!$C$6))-CL762)),0))/2)</f>
        <v>7.5</v>
      </c>
      <c r="CW762" s="62" t="n">
        <f aca="false">IF(CS762="","",MAX(0,H762-CV762)*G762)</f>
        <v>13.25</v>
      </c>
      <c r="CX762" s="62" t="n">
        <f aca="false">IF(CS762="","",CS762*MAX(0,1-CV762/H762))</f>
        <v>2.94740241102181</v>
      </c>
      <c r="CY762" s="64" t="n">
        <f aca="false">IF(CS762="","",PERCENTRANK($CS$7:$CS$1843,CS762)+PERCENTRANK($CU$7:$CU$1843,CU762)+1-PERCENTRANK($CT$7:$CT$1843,CT762))</f>
        <v>0.8777</v>
      </c>
      <c r="CZ762" s="72" t="n">
        <f aca="false">IF(CS762="","",CHOOSE(MATCH(Einkauf!$C$5,Parameter!$G$23:$G$27,0),CY762,CS762,CU762,-CT762,CW762)+ROW()/1000000000)</f>
        <v>0.877700762</v>
      </c>
    </row>
    <row r="763" customFormat="false" ht="15" hidden="false" customHeight="false" outlineLevel="0" collapsed="false">
      <c r="A763" s="60" t="s">
        <v>1545</v>
      </c>
      <c r="B763" s="60" t="s">
        <v>447</v>
      </c>
      <c r="C763" s="60" t="s">
        <v>206</v>
      </c>
      <c r="D763" s="60" t="s">
        <v>226</v>
      </c>
      <c r="E763" s="60" t="s">
        <v>227</v>
      </c>
      <c r="F763" s="60" t="s">
        <v>260</v>
      </c>
      <c r="G763" s="61" t="n">
        <v>0.03</v>
      </c>
      <c r="H763" s="62" t="n">
        <f aca="false">MAX(0,IF(AND(Parameter!$B$21="Ja",ISNUMBER(Y763)),Y763,IF(Parameter!$B$20="Jahresanfang 2025 + Export",BS763+BR763,BR763)))</f>
        <v>201</v>
      </c>
      <c r="I763" s="62" t="n">
        <f aca="false">H763*G763</f>
        <v>6.03</v>
      </c>
      <c r="J763" s="62" t="n">
        <f aca="false">BU763*Parameter!$B$18</f>
        <v>28</v>
      </c>
      <c r="K763" s="63" t="n">
        <v>213.5</v>
      </c>
      <c r="L763" s="64" t="n">
        <v>0.131147540983607</v>
      </c>
      <c r="M763" s="62" t="n">
        <v>1</v>
      </c>
      <c r="N763" s="62" t="n">
        <v>30</v>
      </c>
      <c r="O763" s="65" t="n">
        <v>14</v>
      </c>
      <c r="P763" s="60" t="s">
        <v>463</v>
      </c>
      <c r="Q763" s="62" t="n">
        <v>261</v>
      </c>
      <c r="R763" s="65" t="n">
        <f aca="false">IF(CA763=1,0,IFERROR(VLOOKUP(BY763,'Gebinde-Kategorie'!$A$5:$N$45,13,0)+0,0))</f>
        <v>104</v>
      </c>
      <c r="S763" s="66"/>
      <c r="T763" s="67"/>
      <c r="U763" s="67"/>
      <c r="V763" s="67"/>
      <c r="W763" s="60"/>
      <c r="X763" s="62"/>
      <c r="Y763" s="62"/>
      <c r="Z763" s="60" t="n">
        <v>3</v>
      </c>
      <c r="AA763" s="60" t="n">
        <f aca="false">IF(A763="","",IF(AND(Parameter!$B$21="Ja",ISNUMBER(W763)),W763,IF(AND(Parameter!$E$27="Ja",ISNUMBER(Z763),CD763&lt;&gt;"Nein"),Z763,IF(CD763="2+3",IF(ISNUMBER(SEARCH("grosser Artikel",BV763)),2,IFERROR(VLOOKUP(BY763,Parameter!$F$35:$G$64,2,0),2)),IF(OR(CD763="Nein",CD763=""),"-",CD763)))))</f>
        <v>3</v>
      </c>
      <c r="AB763" s="67"/>
      <c r="AC763" s="68"/>
      <c r="AD763" s="62" t="n">
        <f aca="false">AW763</f>
        <v>31</v>
      </c>
      <c r="AE763" s="62" t="n">
        <f aca="false">MAX(AW763,H763)</f>
        <v>201</v>
      </c>
      <c r="AF763" s="69"/>
      <c r="AG763" s="62" t="n">
        <f aca="false">IF(LEFT(Cockpit!$C$5,1)="A",H763,IF(Parameter!$E$30="MAX-Bestand",IF(CI763=1,CJ763,IF(LEFT(Cockpit!$C$5,1)="B",AM763,MAX(AM763,H763))),ROUNDUP(AK763,0)))</f>
        <v>201</v>
      </c>
      <c r="AH763" s="62" t="n">
        <f aca="false">IF(CA763=1,0,ROUNDUP(AG763/BZ763,0))</f>
        <v>1</v>
      </c>
      <c r="AI763" s="64" t="n">
        <f aca="false">IF(CR763&gt;0,CR763*MAX(1,AG763/X763),IF(CA763=1,IF(AG763&lt;=0,0,CE763*MAX(1,IF(H763&gt;0,AG763/H763,1))),IF(R763&gt;0,AH763/R763,0))/MAX(0.1,N(Parameter!$M$21)))</f>
        <v>0.00961538461538462</v>
      </c>
      <c r="AJ763" s="62" t="n">
        <f aca="false">AI763*CC763</f>
        <v>1.49038461538462</v>
      </c>
      <c r="AK763" s="63" t="n">
        <f aca="false">IF(LEFT(Cockpit!$C$5,1)="A",H763,IF(CI763=1,(CL763+CJ763)/2,IF(LEFT(Cockpit!$C$5,1)="B",(CL763+AM763)/2,MAX((CL763+AM763)/2,H763))))</f>
        <v>201</v>
      </c>
      <c r="AL763" s="62" t="n">
        <f aca="false">AK763*G763</f>
        <v>6.03</v>
      </c>
      <c r="AM763" s="62" t="n">
        <f aca="false">ROUNDUP(CL763+MAX(CM763,2*(J763/IF(CH763&gt;0,CH763,MAX(0.1,N(Cockpit!$C$6)))-CL763)),0)</f>
        <v>31</v>
      </c>
      <c r="AN763" s="63" t="n">
        <f aca="false">IF(AJ763&gt;0,J763/AJ763,-1)</f>
        <v>18.7870967741935</v>
      </c>
      <c r="AO763" s="63" t="n">
        <f aca="false">IF(AND(OR(CG763="L1",CG763="L23",CG763="LIFT"),AJ763&gt;0),SUMIFS($AJ$7:$AJ$1843,$CG$7:$CG$1843,CG763,$AN$7:$AN$1843,"&gt;"&amp;AN763)+SUMIFS($AJ$7:$AJ$1843,$CG$7:$CG$1843,CG763,$AN$7:$AN$1843,AN763,$BX$7:$BX$1843,"&lt;="&amp;BX763),"")</f>
        <v>1770.82188644689</v>
      </c>
      <c r="AP763" s="70" t="n">
        <f aca="false">IF(AO763="",0,MAX(0,MIN(1,(IF(CG763="L1",Parameter!$H$5,IF(CG763="L23",Parameter!$H$6+Parameter!$H$7,Parameter!$H$5+Parameter!$H$6+Parameter!$H$7))-(AO763-AJ763))/AJ763)))</f>
        <v>1</v>
      </c>
      <c r="AQ763" s="62" t="n">
        <f aca="false">IF(LEFT(Cockpit!$I$5,1)="A",H763,IF(Parameter!$E$30="MAX-Bestand",IF(CI763=1,CJ763,IF(LEFT(Cockpit!$I$5,1)="B",AW763,MAX(AW763,H763))),ROUNDUP(AU763,0)))</f>
        <v>201</v>
      </c>
      <c r="AR763" s="62" t="n">
        <f aca="false">IF(CA763=1,0,ROUNDUP(AQ763/BZ763,0))</f>
        <v>1</v>
      </c>
      <c r="AS763" s="64" t="n">
        <f aca="false">IF(CR763&gt;0,CR763*MAX(1,AQ763/X763),IF(CA763=1,IF(AQ763&lt;=0,0,CE763*MAX(1,IF(H763&gt;0,AQ763/H763,1))),IF(R763&gt;0,AR763/R763,0))/MAX(0.1,N(Parameter!$M$21)))</f>
        <v>0.00961538461538462</v>
      </c>
      <c r="AT763" s="62" t="n">
        <f aca="false">AS763*CC763</f>
        <v>1.49038461538462</v>
      </c>
      <c r="AU763" s="63" t="n">
        <f aca="false">IF(LEFT(Cockpit!$I$5,1)="A",H763,IF(CI763=1,(CL763+CJ763)/2,IF(LEFT(Cockpit!$I$5,1)="B",(CL763+AW763)/2,MAX((CL763+AW763)/2,H763))))</f>
        <v>201</v>
      </c>
      <c r="AV763" s="62" t="n">
        <f aca="false">AU763*G763</f>
        <v>6.03</v>
      </c>
      <c r="AW763" s="62" t="n">
        <f aca="false">ROUNDUP(CL763+MAX(CM763,2*(J763/IF(CH763&gt;0,CH763,MAX(0.1,N(Cockpit!$I$6)))-CL763)),0)</f>
        <v>31</v>
      </c>
      <c r="AX763" s="63" t="n">
        <f aca="false">IF(AT763&gt;0,J763/AT763,-1)</f>
        <v>18.7870967741935</v>
      </c>
      <c r="AY763" s="63" t="n">
        <f aca="false">IF(AND(OR(CG763="L1",CG763="L23",CG763="LIFT"),AT763&gt;0),SUMIFS($AT$7:$AT$1843,$CG$7:$CG$1843,CG763,$AX$7:$AX$1843,"&gt;"&amp;AX763)+SUMIFS($AT$7:$AT$1843,$CG$7:$CG$1843,CG763,$AX$7:$AX$1843,AX763,$BX$7:$BX$1843,"&lt;="&amp;BX763),"")</f>
        <v>2407.94276556777</v>
      </c>
      <c r="AZ763" s="70" t="n">
        <f aca="false">IF(AY763="",0,MAX(0,MIN(1,(IF(CG763="L1",Parameter!$H$5,IF(CG763="L23",Parameter!$H$6+Parameter!$H$7,Parameter!$H$5+Parameter!$H$6+Parameter!$H$7))-(AY763-AT763))/AT763)))</f>
        <v>1</v>
      </c>
      <c r="BA763" s="62" t="n">
        <f aca="false">IF(LEFT(Cockpit!$O$5,1)="A",H763,IF(Parameter!$E$30="MAX-Bestand",IF(CI763=1,CJ763,IF(LEFT(Cockpit!$O$5,1)="B",BG763,MAX(BG763,H763))),ROUNDUP(BE763,0)))</f>
        <v>16</v>
      </c>
      <c r="BB763" s="62" t="n">
        <f aca="false">IF(CA763=1,0,ROUNDUP(BA763/BZ763,0))</f>
        <v>1</v>
      </c>
      <c r="BC763" s="64" t="n">
        <f aca="false">IF(CR763&gt;0,CR763*MAX(1,BA763/X763),IF(CA763=1,IF(BA763&lt;=0,0,CE763*MAX(1,IF(H763&gt;0,BA763/H763,1))),IF(R763&gt;0,BB763/R763,0))/MAX(0.1,N(Parameter!$M$21)))</f>
        <v>0.00961538461538462</v>
      </c>
      <c r="BD763" s="62" t="n">
        <f aca="false">BC763*CC763</f>
        <v>1.49038461538462</v>
      </c>
      <c r="BE763" s="63" t="n">
        <f aca="false">IF(LEFT(Cockpit!$O$5,1)="A",H763,IF(CI763=1,(CL763+CJ763)/2,IF(LEFT(Cockpit!$O$5,1)="B",(CL763+BG763)/2,MAX((CL763+BG763)/2,H763))))</f>
        <v>16</v>
      </c>
      <c r="BF763" s="62" t="n">
        <f aca="false">BE763*G763</f>
        <v>0.48</v>
      </c>
      <c r="BG763" s="62" t="n">
        <f aca="false">ROUNDUP(CL763+MAX(CM763,2*(J763/IF(CH763&gt;0,CH763,MAX(0.1,N(Cockpit!$O$6)))-CL763)),0)</f>
        <v>31</v>
      </c>
      <c r="BH763" s="63" t="n">
        <f aca="false">IF(BD763&gt;0,J763/BD763,-1)</f>
        <v>18.7870967741935</v>
      </c>
      <c r="BI763" s="63" t="n">
        <f aca="false">IF(AND(OR(CG763="L1",CG763="L23",CG763="LIFT"),BD763&gt;0),SUMIFS($BD$7:$BD$1843,$CG$7:$CG$1843,CG763,$BH$7:$BH$1843,"&gt;"&amp;BH763)+SUMIFS($BD$7:$BD$1843,$CG$7:$CG$1843,CG763,$BH$7:$BH$1843,BH763,$BX$7:$BX$1843,"&lt;="&amp;BX763),"")</f>
        <v>2276.90659340659</v>
      </c>
      <c r="BJ763" s="70" t="n">
        <f aca="false">IF(BI763="",0,MAX(0,MIN(1,(IF(CG763="L1",Parameter!$H$5,IF(CG763="L23",Parameter!$H$6+Parameter!$H$7,Parameter!$H$5+Parameter!$H$6+Parameter!$H$7))-(BI763-BD763))/BD763)))</f>
        <v>1</v>
      </c>
      <c r="BK763" s="60" t="str">
        <f aca="false">IF(AJ763&lt;=0,"",IF(CG763="Aussen","Aussenlager",IF(CG763="-","Nicht im Lift",IF(AP763&gt;=1,"Lift",IF(AP763&lt;=0,"Aussenlager","teilweise")))))</f>
        <v>Lift</v>
      </c>
      <c r="BL763" s="60" t="str">
        <f aca="false">IF(AT763&lt;=0,"",IF(CG763="Aussen","Aussenlager",IF(CG763="-","Nicht im Lift",IF(AZ763&gt;=1,"Lift",IF(AZ763&lt;=0,"Aussenlager","teilweise")))))</f>
        <v>Lift</v>
      </c>
      <c r="BM763" s="60" t="str">
        <f aca="false">IF(BD763&lt;=0,"",IF(CG763="Aussen","Aussenlager",IF(CG763="-","Nicht im Lift",IF(BJ763&gt;=1,"Lift",IF(BJ763&lt;=0,"Aussenlager","teilweise")))))</f>
        <v>Lift</v>
      </c>
      <c r="BN763" s="60" t="str">
        <f aca="false">IF(A763="","",IF(BW763=1,"Neu; ","")&amp;IF(AND(BW763=0,BR763&lt;0),"negativer Bestand (Export "&amp;BR763&amp;"); ","")&amp;IF(J763&lt;=0,"Kein Verbrauch; ","")&amp;IF(CR763&gt;0,"Lift "&amp;W763&amp;" lt. Liftbericht (Fach "&amp;X763&amp;" Stk); ",IF(CB763=1,"Gebinde geschätzt ("&amp;T763&amp;"); ",IF(CA763=1,"Lose – Tablare geschätzt; ","")))&amp;IF(H763&gt;AW763,"Überbestand "&amp;ROUND(H763-AW763,0)&amp;" Stk / CHF "&amp;ROUND((H763-AW763)*G763,0)&amp;"; ","")&amp;IF(AND(CI763=1,CJ763&lt;CK763),"MAX &lt; MB+LG; ","")&amp;IF(AND(CQ763&gt;0,CP763*10&gt;CQ763),"zu hoch für Tablar; ","")&amp;IF(AND(BW763=0,OR(CI763=1,AB763&lt;&gt;"",U763&lt;&gt;"",V763&lt;&gt;"",AC763&lt;&gt;"")),"manuell übersteuert; ","")&amp;IF(AND(CA763=0,R763=0),"Gebinde unbekannt / Stellmass fehlt; ","")&amp;IF(AND(CA763=0,N(V763)&lt;=0,N(Q763)&lt;=0),"Menge pro Gebinde fehlt (Ist = 1 Gebinde); ","")&amp;BV763)</f>
        <v>negativer Bestand (Export -25); Überbestand 170 Stk / CHF 5; Überbestand</v>
      </c>
      <c r="BO763" s="60"/>
      <c r="BP763" s="60"/>
      <c r="BQ763" s="67"/>
      <c r="BR763" s="62" t="n">
        <v>-25</v>
      </c>
      <c r="BS763" s="62" t="n">
        <v>226</v>
      </c>
      <c r="BT763" s="61" t="n">
        <v>-0.75</v>
      </c>
      <c r="BU763" s="62" t="n">
        <v>28</v>
      </c>
      <c r="BV763" s="60" t="s">
        <v>434</v>
      </c>
      <c r="BW763" s="65" t="n">
        <v>0</v>
      </c>
      <c r="BX763" s="65" t="n">
        <v>763</v>
      </c>
      <c r="BY763" s="60" t="str">
        <f aca="false">IF(U763&lt;&gt;"",UPPER(TRIM(U763)),IF(CB763=1,UPPER(VLOOKUP(T763,Parameter!$I$27:$K$29,2,0)),IF(P763="","LOSE",P763)))</f>
        <v>S32</v>
      </c>
      <c r="BZ763" s="62" t="n">
        <f aca="false">IF(BY763="LOSE",1,IF(N(V763)&gt;0,V763,IF(CB763=1,MAX(1,N(VLOOKUP(T763,Parameter!$I$27:$K$29,3,0)),H763,N(N763)),IF(N(Q763)&gt;0,Q763,MAX(1,H763)))))</f>
        <v>261</v>
      </c>
      <c r="CA763" s="65" t="n">
        <f aca="false">IF(BY763="LOSE",1,0)</f>
        <v>0</v>
      </c>
      <c r="CB763" s="65" t="n">
        <f aca="false">IF(AND(U763="",OR(P763="",P763="LOSE"),T763&lt;&gt;"",N(S763)&lt;=0,ISNUMBER(MATCH(T763,Parameter!$I$27:$I$29,0))),1,0)</f>
        <v>0</v>
      </c>
      <c r="CC763" s="65" t="n">
        <f aca="false">IF(CR763&gt;0,INDEX(Parameter!$H$5:$H$7,W763)/INDEX(Parameter!$E$5:$E$7,W763),IF(AND(CA763=0,N(IFERROR(VLOOKUP(BY763,'Gebinde-Kategorie'!$A$5:$N$45,14,0),0))&gt;0),VLOOKUP(BY763,'Gebinde-Kategorie'!$A$5:$N$45,14,0)*10+Parameter!$M$23,Parameter!$M$24))</f>
        <v>155</v>
      </c>
      <c r="CD763" s="60" t="str">
        <f aca="false">IF(AND(Parameter!$B$19="Ja",E763&lt;&gt;"",ISNUMBER(MATCH(E763,Parameter!$I$35:$I$52,0))),VLOOKUP(E763,Parameter!$I$35:$J$52,2,0),IFERROR(VLOOKUP(D763,Parameter!$A$35:$C$64,2,0),"Nein"))</f>
        <v>2+3</v>
      </c>
      <c r="CE763" s="64" t="n">
        <f aca="false">IF(CA763=0,0,IF(N(S763)&gt;0,S763,IFERROR(VLOOKUP(D763,Parameter!$A$35:$C$64,3,0)+0,0)))</f>
        <v>0</v>
      </c>
      <c r="CF763" s="60" t="n">
        <f aca="false">IF(AB763&lt;&gt;"",AB763,AA763)</f>
        <v>3</v>
      </c>
      <c r="CG763" s="60" t="str">
        <f aca="false">IF(OR(CF763=1,CF763=2,CF763=3),IF(Parameter!$E$27="Ja","LIFT",IF(CF763=1,"L1","L23")),IF(CF763="Aussen","Aussen","-"))</f>
        <v>LIFT</v>
      </c>
      <c r="CH763" s="71" t="n">
        <f aca="false">IF(N(AC763)&gt;0,AC763,0)</f>
        <v>0</v>
      </c>
      <c r="CI763" s="65" t="n">
        <f aca="false">IF(ISNUMBER(AF763),1,0)</f>
        <v>0</v>
      </c>
      <c r="CJ763" s="62" t="n">
        <f aca="false">N(AF763)</f>
        <v>0</v>
      </c>
      <c r="CK763" s="62" t="n">
        <f aca="false">N(M763)+N(N763)</f>
        <v>31</v>
      </c>
      <c r="CL763" s="62" t="n">
        <f aca="false">N(M763)</f>
        <v>1</v>
      </c>
      <c r="CM763" s="62" t="n">
        <f aca="false">N(N763)</f>
        <v>30</v>
      </c>
      <c r="CN763" s="62" t="n">
        <f aca="false">ROUNDUP(H763/BZ763,0)</f>
        <v>1</v>
      </c>
      <c r="CO763" s="62" t="n">
        <f aca="false">ROUNDUP(CJ763/BZ763,0)</f>
        <v>0</v>
      </c>
      <c r="CP763" s="65" t="n">
        <f aca="false">IF(CA763=1,0,IFERROR(VLOOKUP(BY763,'Gebinde-Kategorie'!$A$5:$N$45,5,0)+0,0))</f>
        <v>8</v>
      </c>
      <c r="CQ763" s="65" t="n">
        <f aca="false">IFERROR(IF(OR(CF763=1,CF763=2,CF763=3),N(INDEX(Parameter!$I$5:$I$7,CF763)),0),0)</f>
        <v>0</v>
      </c>
      <c r="CR763" s="64" t="n">
        <f aca="false">IF(AND(Parameter!$B$21="Ja",ISNUMBER(W763),N(X763)&gt;0),IFERROR(N(INDEX(Parameter!$L$5:$L$7,W763))*INDEX(Parameter!$E$5:$E$7,W763)*X763/SUMIFS($X$7:$X$1843,$W$7:$W$1843,W763),0),0)</f>
        <v>0</v>
      </c>
      <c r="CS763" s="62" t="n">
        <f aca="false">IF(AND(OR(CG763="L1",CG763="L23",CG763="LIFT"),H763&gt;0),CC763*IF(CR763&gt;0,CR763*MAX(1,H763/X763),IF(CA763=1,CE763,IF(R763&gt;0,CN763/R763,0))/MAX(0.1,N(Parameter!$M$21))),"")</f>
        <v>1.49038461538462</v>
      </c>
      <c r="CT763" s="64" t="n">
        <f aca="false">IF(CS763="","",J763/H763)</f>
        <v>0.139303482587065</v>
      </c>
      <c r="CU763" s="62" t="n">
        <f aca="false">IF(CS763="","",H763*G763)</f>
        <v>6.03</v>
      </c>
      <c r="CV763" s="63" t="n">
        <f aca="false">IF(CS763="","",(CL763+ROUNDUP(CL763+MAX(CM763,2*(J763/MAX(0.1,N(Einkauf!$C$6))-CL763)),0))/2)</f>
        <v>16</v>
      </c>
      <c r="CW763" s="62" t="n">
        <f aca="false">IF(CS763="","",MAX(0,H763-CV763)*G763)</f>
        <v>5.55</v>
      </c>
      <c r="CX763" s="62" t="n">
        <f aca="false">IF(CS763="","",CS763*MAX(0,1-CV763/H763))</f>
        <v>1.37174703406047</v>
      </c>
      <c r="CY763" s="64" t="n">
        <f aca="false">IF(CS763="","",PERCENTRANK($CS$7:$CS$1843,CS763)+PERCENTRANK($CU$7:$CU$1843,CU763)+1-PERCENTRANK($CT$7:$CT$1843,CT763))</f>
        <v>0.7011</v>
      </c>
      <c r="CZ763" s="72" t="n">
        <f aca="false">IF(CS763="","",CHOOSE(MATCH(Einkauf!$C$5,Parameter!$G$23:$G$27,0),CY763,CS763,CU763,-CT763,CW763)+ROW()/1000000000)</f>
        <v>0.701100763</v>
      </c>
    </row>
    <row r="764" customFormat="false" ht="15" hidden="false" customHeight="false" outlineLevel="0" collapsed="false">
      <c r="A764" s="60" t="s">
        <v>1546</v>
      </c>
      <c r="B764" s="60" t="s">
        <v>1547</v>
      </c>
      <c r="C764" s="60" t="s">
        <v>206</v>
      </c>
      <c r="D764" s="60" t="s">
        <v>215</v>
      </c>
      <c r="E764" s="60" t="s">
        <v>227</v>
      </c>
      <c r="F764" s="60" t="s">
        <v>260</v>
      </c>
      <c r="G764" s="61" t="n">
        <v>1.03</v>
      </c>
      <c r="H764" s="62" t="n">
        <f aca="false">MAX(0,IF(AND(Parameter!$B$21="Ja",ISNUMBER(Y764)),Y764,IF(Parameter!$B$20="Jahresanfang 2025 + Export",BS764+BR764,BR764)))</f>
        <v>103.4</v>
      </c>
      <c r="I764" s="62" t="n">
        <f aca="false">H764*G764</f>
        <v>106.502</v>
      </c>
      <c r="J764" s="62" t="n">
        <f aca="false">BU764*Parameter!$B$18</f>
        <v>0.8</v>
      </c>
      <c r="K764" s="63" t="n">
        <v>103.8</v>
      </c>
      <c r="L764" s="64" t="n">
        <v>0.00770712909441234</v>
      </c>
      <c r="M764" s="62" t="n">
        <v>0</v>
      </c>
      <c r="N764" s="62" t="n">
        <v>1</v>
      </c>
      <c r="O764" s="65" t="n">
        <v>21</v>
      </c>
      <c r="P764" s="60" t="s">
        <v>275</v>
      </c>
      <c r="Q764" s="62" t="n">
        <v>30</v>
      </c>
      <c r="R764" s="65" t="n">
        <f aca="false">IF(CA764=1,0,IFERROR(VLOOKUP(BY764,'Gebinde-Kategorie'!$A$5:$N$45,13,0)+0,0))</f>
        <v>26</v>
      </c>
      <c r="S764" s="66"/>
      <c r="T764" s="67"/>
      <c r="U764" s="67"/>
      <c r="V764" s="67"/>
      <c r="W764" s="60"/>
      <c r="X764" s="62"/>
      <c r="Y764" s="62"/>
      <c r="Z764" s="60" t="n">
        <v>3</v>
      </c>
      <c r="AA764" s="60" t="n">
        <f aca="false">IF(A764="","",IF(AND(Parameter!$B$21="Ja",ISNUMBER(W764)),W764,IF(AND(Parameter!$E$27="Ja",ISNUMBER(Z764),CD764&lt;&gt;"Nein"),Z764,IF(CD764="2+3",IF(ISNUMBER(SEARCH("grosser Artikel",BV764)),2,IFERROR(VLOOKUP(BY764,Parameter!$F$35:$G$64,2,0),2)),IF(OR(CD764="Nein",CD764=""),"-",CD764)))))</f>
        <v>3</v>
      </c>
      <c r="AB764" s="67"/>
      <c r="AC764" s="68"/>
      <c r="AD764" s="62" t="n">
        <f aca="false">AW764</f>
        <v>1</v>
      </c>
      <c r="AE764" s="62" t="n">
        <f aca="false">MAX(AW764,H764)</f>
        <v>103.4</v>
      </c>
      <c r="AF764" s="69"/>
      <c r="AG764" s="62" t="n">
        <f aca="false">IF(LEFT(Cockpit!$C$5,1)="A",H764,IF(Parameter!$E$30="MAX-Bestand",IF(CI764=1,CJ764,IF(LEFT(Cockpit!$C$5,1)="B",AM764,MAX(AM764,H764))),ROUNDUP(AK764,0)))</f>
        <v>103.4</v>
      </c>
      <c r="AH764" s="62" t="n">
        <f aca="false">IF(CA764=1,0,ROUNDUP(AG764/BZ764,0))</f>
        <v>4</v>
      </c>
      <c r="AI764" s="64" t="n">
        <f aca="false">IF(CR764&gt;0,CR764*MAX(1,AG764/X764),IF(CA764=1,IF(AG764&lt;=0,0,CE764*MAX(1,IF(H764&gt;0,AG764/H764,1))),IF(R764&gt;0,AH764/R764,0))/MAX(0.1,N(Parameter!$M$21)))</f>
        <v>0.153846153846154</v>
      </c>
      <c r="AJ764" s="62" t="n">
        <f aca="false">AI764*CC764</f>
        <v>37.6923076923077</v>
      </c>
      <c r="AK764" s="63" t="n">
        <f aca="false">IF(LEFT(Cockpit!$C$5,1)="A",H764,IF(CI764=1,(CL764+CJ764)/2,IF(LEFT(Cockpit!$C$5,1)="B",(CL764+AM764)/2,MAX((CL764+AM764)/2,H764))))</f>
        <v>103.4</v>
      </c>
      <c r="AL764" s="62" t="n">
        <f aca="false">AK764*G764</f>
        <v>106.502</v>
      </c>
      <c r="AM764" s="62" t="n">
        <f aca="false">ROUNDUP(CL764+MAX(CM764,2*(J764/IF(CH764&gt;0,CH764,MAX(0.1,N(Cockpit!$C$6)))-CL764)),0)</f>
        <v>1</v>
      </c>
      <c r="AN764" s="63" t="n">
        <f aca="false">IF(AJ764&gt;0,J764/AJ764,-1)</f>
        <v>0.0212244897959184</v>
      </c>
      <c r="AO764" s="63" t="n">
        <f aca="false">IF(AND(OR(CG764="L1",CG764="L23",CG764="LIFT"),AJ764&gt;0),SUMIFS($AJ$7:$AJ$1843,$CG$7:$CG$1843,CG764,$AN$7:$AN$1843,"&gt;"&amp;AN764)+SUMIFS($AJ$7:$AJ$1843,$CG$7:$CG$1843,CG764,$AN$7:$AN$1843,AN764,$BX$7:$BX$1843,"&lt;="&amp;BX764),"")</f>
        <v>23301.4364225699</v>
      </c>
      <c r="AP764" s="70" t="n">
        <f aca="false">IF(AO764="",0,MAX(0,MIN(1,(IF(CG764="L1",Parameter!$H$5,IF(CG764="L23",Parameter!$H$6+Parameter!$H$7,Parameter!$H$5+Parameter!$H$6+Parameter!$H$7))-(AO764-AJ764))/AJ764)))</f>
        <v>1</v>
      </c>
      <c r="AQ764" s="62" t="n">
        <f aca="false">IF(LEFT(Cockpit!$I$5,1)="A",H764,IF(Parameter!$E$30="MAX-Bestand",IF(CI764=1,CJ764,IF(LEFT(Cockpit!$I$5,1)="B",AW764,MAX(AW764,H764))),ROUNDUP(AU764,0)))</f>
        <v>104</v>
      </c>
      <c r="AR764" s="62" t="n">
        <f aca="false">IF(CA764=1,0,ROUNDUP(AQ764/BZ764,0))</f>
        <v>4</v>
      </c>
      <c r="AS764" s="64" t="n">
        <f aca="false">IF(CR764&gt;0,CR764*MAX(1,AQ764/X764),IF(CA764=1,IF(AQ764&lt;=0,0,CE764*MAX(1,IF(H764&gt;0,AQ764/H764,1))),IF(R764&gt;0,AR764/R764,0))/MAX(0.1,N(Parameter!$M$21)))</f>
        <v>0.153846153846154</v>
      </c>
      <c r="AT764" s="62" t="n">
        <f aca="false">AS764*CC764</f>
        <v>37.6923076923077</v>
      </c>
      <c r="AU764" s="63" t="n">
        <f aca="false">IF(LEFT(Cockpit!$I$5,1)="A",H764,IF(CI764=1,(CL764+CJ764)/2,IF(LEFT(Cockpit!$I$5,1)="B",(CL764+AW764)/2,MAX((CL764+AW764)/2,H764))))</f>
        <v>103.4</v>
      </c>
      <c r="AV764" s="62" t="n">
        <f aca="false">AU764*G764</f>
        <v>106.502</v>
      </c>
      <c r="AW764" s="62" t="n">
        <f aca="false">ROUNDUP(CL764+MAX(CM764,2*(J764/IF(CH764&gt;0,CH764,MAX(0.1,N(Cockpit!$I$6)))-CL764)),0)</f>
        <v>1</v>
      </c>
      <c r="AX764" s="63" t="n">
        <f aca="false">IF(AT764&gt;0,J764/AT764,-1)</f>
        <v>0.0212244897959184</v>
      </c>
      <c r="AY764" s="63" t="n">
        <f aca="false">IF(AND(OR(CG764="L1",CG764="L23",CG764="LIFT"),AT764&gt;0),SUMIFS($AT$7:$AT$1843,$CG$7:$CG$1843,CG764,$AX$7:$AX$1843,"&gt;"&amp;AX764)+SUMIFS($AT$7:$AT$1843,$CG$7:$CG$1843,CG764,$AX$7:$AX$1843,AX764,$BX$7:$BX$1843,"&lt;="&amp;BX764),"")</f>
        <v>28537.0850639474</v>
      </c>
      <c r="AZ764" s="70" t="n">
        <f aca="false">IF(AY764="",0,MAX(0,MIN(1,(IF(CG764="L1",Parameter!$H$5,IF(CG764="L23",Parameter!$H$6+Parameter!$H$7,Parameter!$H$5+Parameter!$H$6+Parameter!$H$7))-(AY764-AT764))/AT764)))</f>
        <v>1</v>
      </c>
      <c r="BA764" s="62" t="n">
        <f aca="false">IF(LEFT(Cockpit!$O$5,1)="A",H764,IF(Parameter!$E$30="MAX-Bestand",IF(CI764=1,CJ764,IF(LEFT(Cockpit!$O$5,1)="B",BG764,MAX(BG764,H764))),ROUNDUP(BE764,0)))</f>
        <v>1</v>
      </c>
      <c r="BB764" s="62" t="n">
        <f aca="false">IF(CA764=1,0,ROUNDUP(BA764/BZ764,0))</f>
        <v>1</v>
      </c>
      <c r="BC764" s="64" t="n">
        <f aca="false">IF(CR764&gt;0,CR764*MAX(1,BA764/X764),IF(CA764=1,IF(BA764&lt;=0,0,CE764*MAX(1,IF(H764&gt;0,BA764/H764,1))),IF(R764&gt;0,BB764/R764,0))/MAX(0.1,N(Parameter!$M$21)))</f>
        <v>0.0384615384615385</v>
      </c>
      <c r="BD764" s="62" t="n">
        <f aca="false">BC764*CC764</f>
        <v>9.42307692307692</v>
      </c>
      <c r="BE764" s="63" t="n">
        <f aca="false">IF(LEFT(Cockpit!$O$5,1)="A",H764,IF(CI764=1,(CL764+CJ764)/2,IF(LEFT(Cockpit!$O$5,1)="B",(CL764+BG764)/2,MAX((CL764+BG764)/2,H764))))</f>
        <v>0.5</v>
      </c>
      <c r="BF764" s="62" t="n">
        <f aca="false">BE764*G764</f>
        <v>0.515</v>
      </c>
      <c r="BG764" s="62" t="n">
        <f aca="false">ROUNDUP(CL764+MAX(CM764,2*(J764/IF(CH764&gt;0,CH764,MAX(0.1,N(Cockpit!$O$6)))-CL764)),0)</f>
        <v>1</v>
      </c>
      <c r="BH764" s="63" t="n">
        <f aca="false">IF(BD764&gt;0,J764/BD764,-1)</f>
        <v>0.0848979591836735</v>
      </c>
      <c r="BI764" s="63" t="n">
        <f aca="false">IF(AND(OR(CG764="L1",CG764="L23",CG764="LIFT"),BD764&gt;0),SUMIFS($BD$7:$BD$1843,$CG$7:$CG$1843,CG764,$BH$7:$BH$1843,"&gt;"&amp;BH764)+SUMIFS($BD$7:$BD$1843,$CG$7:$CG$1843,CG764,$BH$7:$BH$1843,BH764,$BX$7:$BX$1843,"&lt;="&amp;BX764),"")</f>
        <v>18033.0084978581</v>
      </c>
      <c r="BJ764" s="70" t="n">
        <f aca="false">IF(BI764="",0,MAX(0,MIN(1,(IF(CG764="L1",Parameter!$H$5,IF(CG764="L23",Parameter!$H$6+Parameter!$H$7,Parameter!$H$5+Parameter!$H$6+Parameter!$H$7))-(BI764-BD764))/BD764)))</f>
        <v>1</v>
      </c>
      <c r="BK764" s="60" t="str">
        <f aca="false">IF(AJ764&lt;=0,"",IF(CG764="Aussen","Aussenlager",IF(CG764="-","Nicht im Lift",IF(AP764&gt;=1,"Lift",IF(AP764&lt;=0,"Aussenlager","teilweise")))))</f>
        <v>Lift</v>
      </c>
      <c r="BL764" s="60" t="str">
        <f aca="false">IF(AT764&lt;=0,"",IF(CG764="Aussen","Aussenlager",IF(CG764="-","Nicht im Lift",IF(AZ764&gt;=1,"Lift",IF(AZ764&lt;=0,"Aussenlager","teilweise")))))</f>
        <v>Lift</v>
      </c>
      <c r="BM764" s="60" t="str">
        <f aca="false">IF(BD764&lt;=0,"",IF(CG764="Aussen","Aussenlager",IF(CG764="-","Nicht im Lift",IF(BJ764&gt;=1,"Lift",IF(BJ764&lt;=0,"Aussenlager","teilweise")))))</f>
        <v>Lift</v>
      </c>
      <c r="BN764" s="60" t="str">
        <f aca="false">IF(A764="","",IF(BW764=1,"Neu; ","")&amp;IF(AND(BW764=0,BR764&lt;0),"negativer Bestand (Export "&amp;BR764&amp;"); ","")&amp;IF(J764&lt;=0,"Kein Verbrauch; ","")&amp;IF(CR764&gt;0,"Lift "&amp;W764&amp;" lt. Liftbericht (Fach "&amp;X764&amp;" Stk); ",IF(CB764=1,"Gebinde geschätzt ("&amp;T764&amp;"); ",IF(CA764=1,"Lose – Tablare geschätzt; ","")))&amp;IF(H764&gt;AW764,"Überbestand "&amp;ROUND(H764-AW764,0)&amp;" Stk / CHF "&amp;ROUND((H764-AW764)*G764,0)&amp;"; ","")&amp;IF(AND(CI764=1,CJ764&lt;CK764),"MAX &lt; MB+LG; ","")&amp;IF(AND(CQ764&gt;0,CP764*10&gt;CQ764),"zu hoch für Tablar; ","")&amp;IF(AND(BW764=0,OR(CI764=1,AB764&lt;&gt;"",U764&lt;&gt;"",V764&lt;&gt;"",AC764&lt;&gt;"")),"manuell übersteuert; ","")&amp;IF(AND(CA764=0,R764=0),"Gebinde unbekannt / Stellmass fehlt; ","")&amp;IF(AND(CA764=0,N(V764)&lt;=0,N(Q764)&lt;=0),"Menge pro Gebinde fehlt (Ist = 1 Gebinde); ","")&amp;BV764)</f>
        <v>negativer Bestand (Export -0.8); Überbestand 102 Stk / CHF 105; Überbestand</v>
      </c>
      <c r="BO764" s="60"/>
      <c r="BP764" s="60"/>
      <c r="BQ764" s="67"/>
      <c r="BR764" s="62" t="n">
        <v>-0.8</v>
      </c>
      <c r="BS764" s="62" t="n">
        <v>104.2</v>
      </c>
      <c r="BT764" s="61" t="n">
        <v>-0.83</v>
      </c>
      <c r="BU764" s="62" t="n">
        <v>0.8</v>
      </c>
      <c r="BV764" s="60" t="s">
        <v>434</v>
      </c>
      <c r="BW764" s="65" t="n">
        <v>0</v>
      </c>
      <c r="BX764" s="65" t="n">
        <v>764</v>
      </c>
      <c r="BY764" s="60" t="str">
        <f aca="false">IF(U764&lt;&gt;"",UPPER(TRIM(U764)),IF(CB764=1,UPPER(VLOOKUP(T764,Parameter!$I$27:$K$29,2,0)),IF(P764="","LOSE",P764)))</f>
        <v>S52</v>
      </c>
      <c r="BZ764" s="62" t="n">
        <f aca="false">IF(BY764="LOSE",1,IF(N(V764)&gt;0,V764,IF(CB764=1,MAX(1,N(VLOOKUP(T764,Parameter!$I$27:$K$29,3,0)),H764,N(N764)),IF(N(Q764)&gt;0,Q764,MAX(1,H764)))))</f>
        <v>30</v>
      </c>
      <c r="CA764" s="65" t="n">
        <f aca="false">IF(BY764="LOSE",1,0)</f>
        <v>0</v>
      </c>
      <c r="CB764" s="65" t="n">
        <f aca="false">IF(AND(U764="",OR(P764="",P764="LOSE"),T764&lt;&gt;"",N(S764)&lt;=0,ISNUMBER(MATCH(T764,Parameter!$I$27:$I$29,0))),1,0)</f>
        <v>0</v>
      </c>
      <c r="CC764" s="65" t="n">
        <f aca="false">IF(CR764&gt;0,INDEX(Parameter!$H$5:$H$7,W764)/INDEX(Parameter!$E$5:$E$7,W764),IF(AND(CA764=0,N(IFERROR(VLOOKUP(BY764,'Gebinde-Kategorie'!$A$5:$N$45,14,0),0))&gt;0),VLOOKUP(BY764,'Gebinde-Kategorie'!$A$5:$N$45,14,0)*10+Parameter!$M$23,Parameter!$M$24))</f>
        <v>245</v>
      </c>
      <c r="CD764" s="60" t="str">
        <f aca="false">IF(AND(Parameter!$B$19="Ja",E764&lt;&gt;"",ISNUMBER(MATCH(E764,Parameter!$I$35:$I$52,0))),VLOOKUP(E764,Parameter!$I$35:$J$52,2,0),IFERROR(VLOOKUP(D764,Parameter!$A$35:$C$64,2,0),"Nein"))</f>
        <v>2+3</v>
      </c>
      <c r="CE764" s="64" t="n">
        <f aca="false">IF(CA764=0,0,IF(N(S764)&gt;0,S764,IFERROR(VLOOKUP(D764,Parameter!$A$35:$C$64,3,0)+0,0)))</f>
        <v>0</v>
      </c>
      <c r="CF764" s="60" t="n">
        <f aca="false">IF(AB764&lt;&gt;"",AB764,AA764)</f>
        <v>3</v>
      </c>
      <c r="CG764" s="60" t="str">
        <f aca="false">IF(OR(CF764=1,CF764=2,CF764=3),IF(Parameter!$E$27="Ja","LIFT",IF(CF764=1,"L1","L23")),IF(CF764="Aussen","Aussen","-"))</f>
        <v>LIFT</v>
      </c>
      <c r="CH764" s="71" t="n">
        <f aca="false">IF(N(AC764)&gt;0,AC764,0)</f>
        <v>0</v>
      </c>
      <c r="CI764" s="65" t="n">
        <f aca="false">IF(ISNUMBER(AF764),1,0)</f>
        <v>0</v>
      </c>
      <c r="CJ764" s="62" t="n">
        <f aca="false">N(AF764)</f>
        <v>0</v>
      </c>
      <c r="CK764" s="62" t="n">
        <f aca="false">N(M764)+N(N764)</f>
        <v>1</v>
      </c>
      <c r="CL764" s="62" t="n">
        <f aca="false">N(M764)</f>
        <v>0</v>
      </c>
      <c r="CM764" s="62" t="n">
        <f aca="false">N(N764)</f>
        <v>1</v>
      </c>
      <c r="CN764" s="62" t="n">
        <f aca="false">ROUNDUP(H764/BZ764,0)</f>
        <v>4</v>
      </c>
      <c r="CO764" s="62" t="n">
        <f aca="false">ROUNDUP(CJ764/BZ764,0)</f>
        <v>0</v>
      </c>
      <c r="CP764" s="65" t="n">
        <f aca="false">IF(CA764=1,0,IFERROR(VLOOKUP(BY764,'Gebinde-Kategorie'!$A$5:$N$45,5,0)+0,0))</f>
        <v>21</v>
      </c>
      <c r="CQ764" s="65" t="n">
        <f aca="false">IFERROR(IF(OR(CF764=1,CF764=2,CF764=3),N(INDEX(Parameter!$I$5:$I$7,CF764)),0),0)</f>
        <v>0</v>
      </c>
      <c r="CR764" s="64" t="n">
        <f aca="false">IF(AND(Parameter!$B$21="Ja",ISNUMBER(W764),N(X764)&gt;0),IFERROR(N(INDEX(Parameter!$L$5:$L$7,W764))*INDEX(Parameter!$E$5:$E$7,W764)*X764/SUMIFS($X$7:$X$1843,$W$7:$W$1843,W764),0),0)</f>
        <v>0</v>
      </c>
      <c r="CS764" s="62" t="n">
        <f aca="false">IF(AND(OR(CG764="L1",CG764="L23",CG764="LIFT"),H764&gt;0),CC764*IF(CR764&gt;0,CR764*MAX(1,H764/X764),IF(CA764=1,CE764,IF(R764&gt;0,CN764/R764,0))/MAX(0.1,N(Parameter!$M$21))),"")</f>
        <v>37.6923076923077</v>
      </c>
      <c r="CT764" s="64" t="n">
        <f aca="false">IF(CS764="","",J764/H764)</f>
        <v>0.00773694390715668</v>
      </c>
      <c r="CU764" s="62" t="n">
        <f aca="false">IF(CS764="","",H764*G764)</f>
        <v>106.502</v>
      </c>
      <c r="CV764" s="63" t="n">
        <f aca="false">IF(CS764="","",(CL764+ROUNDUP(CL764+MAX(CM764,2*(J764/MAX(0.1,N(Einkauf!$C$6))-CL764)),0))/2)</f>
        <v>0.5</v>
      </c>
      <c r="CW764" s="62" t="n">
        <f aca="false">IF(CS764="","",MAX(0,H764-CV764)*G764)</f>
        <v>105.987</v>
      </c>
      <c r="CX764" s="62" t="n">
        <f aca="false">IF(CS764="","",CS764*MAX(0,1-CV764/H764))</f>
        <v>37.510043148341</v>
      </c>
      <c r="CY764" s="64" t="n">
        <f aca="false">IF(CS764="","",PERCENTRANK($CS$7:$CS$1843,CS764)+PERCENTRANK($CU$7:$CU$1843,CU764)+1-PERCENTRANK($CT$7:$CT$1843,CT764))</f>
        <v>1.721</v>
      </c>
      <c r="CZ764" s="72" t="n">
        <f aca="false">IF(CS764="","",CHOOSE(MATCH(Einkauf!$C$5,Parameter!$G$23:$G$27,0),CY764,CS764,CU764,-CT764,CW764)+ROW()/1000000000)</f>
        <v>1.721000764</v>
      </c>
    </row>
    <row r="765" customFormat="false" ht="15" hidden="false" customHeight="false" outlineLevel="0" collapsed="false">
      <c r="A765" s="60" t="s">
        <v>1548</v>
      </c>
      <c r="B765" s="60" t="s">
        <v>696</v>
      </c>
      <c r="C765" s="60" t="s">
        <v>206</v>
      </c>
      <c r="D765" s="60" t="s">
        <v>226</v>
      </c>
      <c r="E765" s="60" t="s">
        <v>227</v>
      </c>
      <c r="F765" s="60" t="s">
        <v>260</v>
      </c>
      <c r="G765" s="61" t="n">
        <v>0.42</v>
      </c>
      <c r="H765" s="62" t="n">
        <f aca="false">MAX(0,IF(AND(Parameter!$B$21="Ja",ISNUMBER(Y765)),Y765,IF(Parameter!$B$20="Jahresanfang 2025 + Export",BS765+BR765,BR765)))</f>
        <v>370</v>
      </c>
      <c r="I765" s="62" t="n">
        <f aca="false">H765*G765</f>
        <v>155.4</v>
      </c>
      <c r="J765" s="62" t="n">
        <f aca="false">BU765*Parameter!$B$18</f>
        <v>0</v>
      </c>
      <c r="K765" s="63" t="n">
        <v>372</v>
      </c>
      <c r="L765" s="64" t="n">
        <v>0</v>
      </c>
      <c r="M765" s="62" t="n">
        <v>0</v>
      </c>
      <c r="N765" s="62" t="n">
        <v>1</v>
      </c>
      <c r="O765" s="65" t="n">
        <v>14</v>
      </c>
      <c r="P765" s="60" t="s">
        <v>344</v>
      </c>
      <c r="Q765" s="62" t="n">
        <v>234</v>
      </c>
      <c r="R765" s="65" t="n">
        <f aca="false">IF(CA765=1,0,IFERROR(VLOOKUP(BY765,'Gebinde-Kategorie'!$A$5:$N$45,13,0)+0,0))</f>
        <v>26</v>
      </c>
      <c r="S765" s="66"/>
      <c r="T765" s="67"/>
      <c r="U765" s="67"/>
      <c r="V765" s="67"/>
      <c r="W765" s="60"/>
      <c r="X765" s="62"/>
      <c r="Y765" s="62"/>
      <c r="Z765" s="60" t="n">
        <v>3</v>
      </c>
      <c r="AA765" s="60" t="n">
        <f aca="false">IF(A765="","",IF(AND(Parameter!$B$21="Ja",ISNUMBER(W765)),W765,IF(AND(Parameter!$E$27="Ja",ISNUMBER(Z765),CD765&lt;&gt;"Nein"),Z765,IF(CD765="2+3",IF(ISNUMBER(SEARCH("grosser Artikel",BV765)),2,IFERROR(VLOOKUP(BY765,Parameter!$F$35:$G$64,2,0),2)),IF(OR(CD765="Nein",CD765=""),"-",CD765)))))</f>
        <v>3</v>
      </c>
      <c r="AB765" s="67"/>
      <c r="AC765" s="68"/>
      <c r="AD765" s="62" t="n">
        <f aca="false">AW765</f>
        <v>1</v>
      </c>
      <c r="AE765" s="62" t="n">
        <f aca="false">MAX(AW765,H765)</f>
        <v>370</v>
      </c>
      <c r="AF765" s="69"/>
      <c r="AG765" s="62" t="n">
        <f aca="false">IF(LEFT(Cockpit!$C$5,1)="A",H765,IF(Parameter!$E$30="MAX-Bestand",IF(CI765=1,CJ765,IF(LEFT(Cockpit!$C$5,1)="B",AM765,MAX(AM765,H765))),ROUNDUP(AK765,0)))</f>
        <v>370</v>
      </c>
      <c r="AH765" s="62" t="n">
        <f aca="false">IF(CA765=1,0,ROUNDUP(AG765/BZ765,0))</f>
        <v>2</v>
      </c>
      <c r="AI765" s="64" t="n">
        <f aca="false">IF(CR765&gt;0,CR765*MAX(1,AG765/X765),IF(CA765=1,IF(AG765&lt;=0,0,CE765*MAX(1,IF(H765&gt;0,AG765/H765,1))),IF(R765&gt;0,AH765/R765,0))/MAX(0.1,N(Parameter!$M$21)))</f>
        <v>0.0769230769230769</v>
      </c>
      <c r="AJ765" s="62" t="n">
        <f aca="false">AI765*CC765</f>
        <v>11.9230769230769</v>
      </c>
      <c r="AK765" s="63" t="n">
        <f aca="false">IF(LEFT(Cockpit!$C$5,1)="A",H765,IF(CI765=1,(CL765+CJ765)/2,IF(LEFT(Cockpit!$C$5,1)="B",(CL765+AM765)/2,MAX((CL765+AM765)/2,H765))))</f>
        <v>370</v>
      </c>
      <c r="AL765" s="62" t="n">
        <f aca="false">AK765*G765</f>
        <v>155.4</v>
      </c>
      <c r="AM765" s="62" t="n">
        <f aca="false">ROUNDUP(CL765+MAX(CM765,2*(J765/IF(CH765&gt;0,CH765,MAX(0.1,N(Cockpit!$C$6)))-CL765)),0)</f>
        <v>1</v>
      </c>
      <c r="AN765" s="63" t="n">
        <f aca="false">IF(AJ765&gt;0,J765/AJ765,-1)</f>
        <v>0</v>
      </c>
      <c r="AO765" s="63" t="n">
        <f aca="false">IF(AND(OR(CG765="L1",CG765="L23",CG765="LIFT"),AJ765&gt;0),SUMIFS($AJ$7:$AJ$1843,$CG$7:$CG$1843,CG765,$AN$7:$AN$1843,"&gt;"&amp;AN765)+SUMIFS($AJ$7:$AJ$1843,$CG$7:$CG$1843,CG765,$AN$7:$AN$1843,AN765,$BX$7:$BX$1843,"&lt;="&amp;BX765),"")</f>
        <v>28732.7968714431</v>
      </c>
      <c r="AP765" s="70" t="n">
        <f aca="false">IF(AO765="",0,MAX(0,MIN(1,(IF(CG765="L1",Parameter!$H$5,IF(CG765="L23",Parameter!$H$6+Parameter!$H$7,Parameter!$H$5+Parameter!$H$6+Parameter!$H$7))-(AO765-AJ765))/AJ765)))</f>
        <v>1</v>
      </c>
      <c r="AQ765" s="62" t="n">
        <f aca="false">IF(LEFT(Cockpit!$I$5,1)="A",H765,IF(Parameter!$E$30="MAX-Bestand",IF(CI765=1,CJ765,IF(LEFT(Cockpit!$I$5,1)="B",AW765,MAX(AW765,H765))),ROUNDUP(AU765,0)))</f>
        <v>370</v>
      </c>
      <c r="AR765" s="62" t="n">
        <f aca="false">IF(CA765=1,0,ROUNDUP(AQ765/BZ765,0))</f>
        <v>2</v>
      </c>
      <c r="AS765" s="64" t="n">
        <f aca="false">IF(CR765&gt;0,CR765*MAX(1,AQ765/X765),IF(CA765=1,IF(AQ765&lt;=0,0,CE765*MAX(1,IF(H765&gt;0,AQ765/H765,1))),IF(R765&gt;0,AR765/R765,0))/MAX(0.1,N(Parameter!$M$21)))</f>
        <v>0.0769230769230769</v>
      </c>
      <c r="AT765" s="62" t="n">
        <f aca="false">AS765*CC765</f>
        <v>11.9230769230769</v>
      </c>
      <c r="AU765" s="63" t="n">
        <f aca="false">IF(LEFT(Cockpit!$I$5,1)="A",H765,IF(CI765=1,(CL765+CJ765)/2,IF(LEFT(Cockpit!$I$5,1)="B",(CL765+AW765)/2,MAX((CL765+AW765)/2,H765))))</f>
        <v>370</v>
      </c>
      <c r="AV765" s="62" t="n">
        <f aca="false">AU765*G765</f>
        <v>155.4</v>
      </c>
      <c r="AW765" s="62" t="n">
        <f aca="false">ROUNDUP(CL765+MAX(CM765,2*(J765/IF(CH765&gt;0,CH765,MAX(0.1,N(Cockpit!$I$6)))-CL765)),0)</f>
        <v>1</v>
      </c>
      <c r="AX765" s="63" t="n">
        <f aca="false">IF(AT765&gt;0,J765/AT765,-1)</f>
        <v>0</v>
      </c>
      <c r="AY765" s="63" t="n">
        <f aca="false">IF(AND(OR(CG765="L1",CG765="L23",CG765="LIFT"),AT765&gt;0),SUMIFS($AT$7:$AT$1843,$CG$7:$CG$1843,CG765,$AX$7:$AX$1843,"&gt;"&amp;AX765)+SUMIFS($AT$7:$AT$1843,$CG$7:$CG$1843,CG765,$AX$7:$AX$1843,AX765,$BX$7:$BX$1843,"&lt;="&amp;BX765),"")</f>
        <v>34337.5801282051</v>
      </c>
      <c r="AZ765" s="70" t="n">
        <f aca="false">IF(AY765="",0,MAX(0,MIN(1,(IF(CG765="L1",Parameter!$H$5,IF(CG765="L23",Parameter!$H$6+Parameter!$H$7,Parameter!$H$5+Parameter!$H$6+Parameter!$H$7))-(AY765-AT765))/AT765)))</f>
        <v>1</v>
      </c>
      <c r="BA765" s="62" t="n">
        <f aca="false">IF(LEFT(Cockpit!$O$5,1)="A",H765,IF(Parameter!$E$30="MAX-Bestand",IF(CI765=1,CJ765,IF(LEFT(Cockpit!$O$5,1)="B",BG765,MAX(BG765,H765))),ROUNDUP(BE765,0)))</f>
        <v>1</v>
      </c>
      <c r="BB765" s="62" t="n">
        <f aca="false">IF(CA765=1,0,ROUNDUP(BA765/BZ765,0))</f>
        <v>1</v>
      </c>
      <c r="BC765" s="64" t="n">
        <f aca="false">IF(CR765&gt;0,CR765*MAX(1,BA765/X765),IF(CA765=1,IF(BA765&lt;=0,0,CE765*MAX(1,IF(H765&gt;0,BA765/H765,1))),IF(R765&gt;0,BB765/R765,0))/MAX(0.1,N(Parameter!$M$21)))</f>
        <v>0.0384615384615385</v>
      </c>
      <c r="BD765" s="62" t="n">
        <f aca="false">BC765*CC765</f>
        <v>5.96153846153846</v>
      </c>
      <c r="BE765" s="63" t="n">
        <f aca="false">IF(LEFT(Cockpit!$O$5,1)="A",H765,IF(CI765=1,(CL765+CJ765)/2,IF(LEFT(Cockpit!$O$5,1)="B",(CL765+BG765)/2,MAX((CL765+BG765)/2,H765))))</f>
        <v>0.5</v>
      </c>
      <c r="BF765" s="62" t="n">
        <f aca="false">BE765*G765</f>
        <v>0.21</v>
      </c>
      <c r="BG765" s="62" t="n">
        <f aca="false">ROUNDUP(CL765+MAX(CM765,2*(J765/IF(CH765&gt;0,CH765,MAX(0.1,N(Cockpit!$O$6)))-CL765)),0)</f>
        <v>1</v>
      </c>
      <c r="BH765" s="63" t="n">
        <f aca="false">IF(BD765&gt;0,J765/BD765,-1)</f>
        <v>0</v>
      </c>
      <c r="BI765" s="63" t="n">
        <f aca="false">IF(AND(OR(CG765="L1",CG765="L23",CG765="LIFT"),BD765&gt;0),SUMIFS($BD$7:$BD$1843,$CG$7:$CG$1843,CG765,$BH$7:$BH$1843,"&gt;"&amp;BH765)+SUMIFS($BD$7:$BD$1843,$CG$7:$CG$1843,CG765,$BH$7:$BH$1843,BH765,$BX$7:$BX$1843,"&lt;="&amp;BX765),"")</f>
        <v>28381.4499751661</v>
      </c>
      <c r="BJ765" s="70" t="n">
        <f aca="false">IF(BI765="",0,MAX(0,MIN(1,(IF(CG765="L1",Parameter!$H$5,IF(CG765="L23",Parameter!$H$6+Parameter!$H$7,Parameter!$H$5+Parameter!$H$6+Parameter!$H$7))-(BI765-BD765))/BD765)))</f>
        <v>1</v>
      </c>
      <c r="BK765" s="60" t="str">
        <f aca="false">IF(AJ765&lt;=0,"",IF(CG765="Aussen","Aussenlager",IF(CG765="-","Nicht im Lift",IF(AP765&gt;=1,"Lift",IF(AP765&lt;=0,"Aussenlager","teilweise")))))</f>
        <v>Lift</v>
      </c>
      <c r="BL765" s="60" t="str">
        <f aca="false">IF(AT765&lt;=0,"",IF(CG765="Aussen","Aussenlager",IF(CG765="-","Nicht im Lift",IF(AZ765&gt;=1,"Lift",IF(AZ765&lt;=0,"Aussenlager","teilweise")))))</f>
        <v>Lift</v>
      </c>
      <c r="BM765" s="60" t="str">
        <f aca="false">IF(BD765&lt;=0,"",IF(CG765="Aussen","Aussenlager",IF(CG765="-","Nicht im Lift",IF(BJ765&gt;=1,"Lift",IF(BJ765&lt;=0,"Aussenlager","teilweise")))))</f>
        <v>Lift</v>
      </c>
      <c r="BN765" s="60" t="str">
        <f aca="false">IF(A765="","",IF(BW765=1,"Neu; ","")&amp;IF(AND(BW765=0,BR765&lt;0),"negativer Bestand (Export "&amp;BR765&amp;"); ","")&amp;IF(J765&lt;=0,"Kein Verbrauch; ","")&amp;IF(CR765&gt;0,"Lift "&amp;W765&amp;" lt. Liftbericht (Fach "&amp;X765&amp;" Stk); ",IF(CB765=1,"Gebinde geschätzt ("&amp;T765&amp;"); ",IF(CA765=1,"Lose – Tablare geschätzt; ","")))&amp;IF(H765&gt;AW765,"Überbestand "&amp;ROUND(H765-AW765,0)&amp;" Stk / CHF "&amp;ROUND((H765-AW765)*G765,0)&amp;"; ","")&amp;IF(AND(CI765=1,CJ765&lt;CK765),"MAX &lt; MB+LG; ","")&amp;IF(AND(CQ765&gt;0,CP765*10&gt;CQ765),"zu hoch für Tablar; ","")&amp;IF(AND(BW765=0,OR(CI765=1,AB765&lt;&gt;"",U765&lt;&gt;"",V765&lt;&gt;"",AC765&lt;&gt;"")),"manuell übersteuert; ","")&amp;IF(AND(CA765=0,R765=0),"Gebinde unbekannt / Stellmass fehlt; ","")&amp;IF(AND(CA765=0,N(V765)&lt;=0,N(Q765)&lt;=0),"Menge pro Gebinde fehlt (Ist = 1 Gebinde); ","")&amp;BV765)</f>
        <v>negativer Bestand (Export -2); Kein Verbrauch; Überbestand 369 Stk / CHF 155; Überbestand</v>
      </c>
      <c r="BO765" s="60"/>
      <c r="BP765" s="60"/>
      <c r="BQ765" s="67"/>
      <c r="BR765" s="62" t="n">
        <v>-2</v>
      </c>
      <c r="BS765" s="62" t="n">
        <v>372</v>
      </c>
      <c r="BT765" s="61" t="n">
        <v>-0.84</v>
      </c>
      <c r="BU765" s="62" t="n">
        <v>0</v>
      </c>
      <c r="BV765" s="60" t="s">
        <v>434</v>
      </c>
      <c r="BW765" s="65" t="n">
        <v>0</v>
      </c>
      <c r="BX765" s="65" t="n">
        <v>765</v>
      </c>
      <c r="BY765" s="60" t="str">
        <f aca="false">IF(U765&lt;&gt;"",UPPER(TRIM(U765)),IF(CB765=1,UPPER(VLOOKUP(T765,Parameter!$I$27:$K$29,2,0)),IF(P765="","LOSE",P765)))</f>
        <v>S51</v>
      </c>
      <c r="BZ765" s="62" t="n">
        <f aca="false">IF(BY765="LOSE",1,IF(N(V765)&gt;0,V765,IF(CB765=1,MAX(1,N(VLOOKUP(T765,Parameter!$I$27:$K$29,3,0)),H765,N(N765)),IF(N(Q765)&gt;0,Q765,MAX(1,H765)))))</f>
        <v>234</v>
      </c>
      <c r="CA765" s="65" t="n">
        <f aca="false">IF(BY765="LOSE",1,0)</f>
        <v>0</v>
      </c>
      <c r="CB765" s="65" t="n">
        <f aca="false">IF(AND(U765="",OR(P765="",P765="LOSE"),T765&lt;&gt;"",N(S765)&lt;=0,ISNUMBER(MATCH(T765,Parameter!$I$27:$I$29,0))),1,0)</f>
        <v>0</v>
      </c>
      <c r="CC765" s="65" t="n">
        <f aca="false">IF(CR765&gt;0,INDEX(Parameter!$H$5:$H$7,W765)/INDEX(Parameter!$E$5:$E$7,W765),IF(AND(CA765=0,N(IFERROR(VLOOKUP(BY765,'Gebinde-Kategorie'!$A$5:$N$45,14,0),0))&gt;0),VLOOKUP(BY765,'Gebinde-Kategorie'!$A$5:$N$45,14,0)*10+Parameter!$M$23,Parameter!$M$24))</f>
        <v>155</v>
      </c>
      <c r="CD765" s="60" t="str">
        <f aca="false">IF(AND(Parameter!$B$19="Ja",E765&lt;&gt;"",ISNUMBER(MATCH(E765,Parameter!$I$35:$I$52,0))),VLOOKUP(E765,Parameter!$I$35:$J$52,2,0),IFERROR(VLOOKUP(D765,Parameter!$A$35:$C$64,2,0),"Nein"))</f>
        <v>2+3</v>
      </c>
      <c r="CE765" s="64" t="n">
        <f aca="false">IF(CA765=0,0,IF(N(S765)&gt;0,S765,IFERROR(VLOOKUP(D765,Parameter!$A$35:$C$64,3,0)+0,0)))</f>
        <v>0</v>
      </c>
      <c r="CF765" s="60" t="n">
        <f aca="false">IF(AB765&lt;&gt;"",AB765,AA765)</f>
        <v>3</v>
      </c>
      <c r="CG765" s="60" t="str">
        <f aca="false">IF(OR(CF765=1,CF765=2,CF765=3),IF(Parameter!$E$27="Ja","LIFT",IF(CF765=1,"L1","L23")),IF(CF765="Aussen","Aussen","-"))</f>
        <v>LIFT</v>
      </c>
      <c r="CH765" s="71" t="n">
        <f aca="false">IF(N(AC765)&gt;0,AC765,0)</f>
        <v>0</v>
      </c>
      <c r="CI765" s="65" t="n">
        <f aca="false">IF(ISNUMBER(AF765),1,0)</f>
        <v>0</v>
      </c>
      <c r="CJ765" s="62" t="n">
        <f aca="false">N(AF765)</f>
        <v>0</v>
      </c>
      <c r="CK765" s="62" t="n">
        <f aca="false">N(M765)+N(N765)</f>
        <v>1</v>
      </c>
      <c r="CL765" s="62" t="n">
        <f aca="false">N(M765)</f>
        <v>0</v>
      </c>
      <c r="CM765" s="62" t="n">
        <f aca="false">N(N765)</f>
        <v>1</v>
      </c>
      <c r="CN765" s="62" t="n">
        <f aca="false">ROUNDUP(H765/BZ765,0)</f>
        <v>2</v>
      </c>
      <c r="CO765" s="62" t="n">
        <f aca="false">ROUNDUP(CJ765/BZ765,0)</f>
        <v>0</v>
      </c>
      <c r="CP765" s="65" t="n">
        <f aca="false">IF(CA765=1,0,IFERROR(VLOOKUP(BY765,'Gebinde-Kategorie'!$A$5:$N$45,5,0)+0,0))</f>
        <v>11</v>
      </c>
      <c r="CQ765" s="65" t="n">
        <f aca="false">IFERROR(IF(OR(CF765=1,CF765=2,CF765=3),N(INDEX(Parameter!$I$5:$I$7,CF765)),0),0)</f>
        <v>0</v>
      </c>
      <c r="CR765" s="64" t="n">
        <f aca="false">IF(AND(Parameter!$B$21="Ja",ISNUMBER(W765),N(X765)&gt;0),IFERROR(N(INDEX(Parameter!$L$5:$L$7,W765))*INDEX(Parameter!$E$5:$E$7,W765)*X765/SUMIFS($X$7:$X$1843,$W$7:$W$1843,W765),0),0)</f>
        <v>0</v>
      </c>
      <c r="CS765" s="62" t="n">
        <f aca="false">IF(AND(OR(CG765="L1",CG765="L23",CG765="LIFT"),H765&gt;0),CC765*IF(CR765&gt;0,CR765*MAX(1,H765/X765),IF(CA765=1,CE765,IF(R765&gt;0,CN765/R765,0))/MAX(0.1,N(Parameter!$M$21))),"")</f>
        <v>11.9230769230769</v>
      </c>
      <c r="CT765" s="64" t="n">
        <f aca="false">IF(CS765="","",J765/H765)</f>
        <v>0</v>
      </c>
      <c r="CU765" s="62" t="n">
        <f aca="false">IF(CS765="","",H765*G765)</f>
        <v>155.4</v>
      </c>
      <c r="CV765" s="63" t="n">
        <f aca="false">IF(CS765="","",(CL765+ROUNDUP(CL765+MAX(CM765,2*(J765/MAX(0.1,N(Einkauf!$C$6))-CL765)),0))/2)</f>
        <v>0.5</v>
      </c>
      <c r="CW765" s="62" t="n">
        <f aca="false">IF(CS765="","",MAX(0,H765-CV765)*G765)</f>
        <v>155.19</v>
      </c>
      <c r="CX765" s="62" t="n">
        <f aca="false">IF(CS765="","",CS765*MAX(0,1-CV765/H765))</f>
        <v>11.9069646569647</v>
      </c>
      <c r="CY765" s="64" t="n">
        <f aca="false">IF(CS765="","",PERCENTRANK($CS$7:$CS$1843,CS765)+PERCENTRANK($CU$7:$CU$1843,CU765)+1-PERCENTRANK($CT$7:$CT$1843,CT765))</f>
        <v>1.933</v>
      </c>
      <c r="CZ765" s="72" t="n">
        <f aca="false">IF(CS765="","",CHOOSE(MATCH(Einkauf!$C$5,Parameter!$G$23:$G$27,0),CY765,CS765,CU765,-CT765,CW765)+ROW()/1000000000)</f>
        <v>1.933000765</v>
      </c>
    </row>
    <row r="766" customFormat="false" ht="15" hidden="false" customHeight="false" outlineLevel="0" collapsed="false">
      <c r="A766" s="60" t="s">
        <v>1549</v>
      </c>
      <c r="B766" s="60" t="s">
        <v>1550</v>
      </c>
      <c r="C766" s="60" t="s">
        <v>498</v>
      </c>
      <c r="D766" s="60" t="s">
        <v>215</v>
      </c>
      <c r="E766" s="60"/>
      <c r="F766" s="60" t="s">
        <v>260</v>
      </c>
      <c r="G766" s="61" t="n">
        <v>0.01</v>
      </c>
      <c r="H766" s="62" t="n">
        <f aca="false">MAX(0,IF(AND(Parameter!$B$21="Ja",ISNUMBER(Y766)),Y766,IF(Parameter!$B$20="Jahresanfang 2025 + Export",BS766+BR766,BR766)))</f>
        <v>0</v>
      </c>
      <c r="I766" s="62" t="n">
        <f aca="false">H766*G766</f>
        <v>0</v>
      </c>
      <c r="J766" s="62" t="n">
        <f aca="false">BU766*Parameter!$B$18</f>
        <v>50</v>
      </c>
      <c r="K766" s="63" t="n">
        <v>90</v>
      </c>
      <c r="L766" s="64" t="n">
        <v>0.555555555555556</v>
      </c>
      <c r="M766" s="62" t="n">
        <v>0</v>
      </c>
      <c r="N766" s="62" t="n">
        <v>50</v>
      </c>
      <c r="O766" s="65" t="n">
        <v>14</v>
      </c>
      <c r="P766" s="60" t="s">
        <v>210</v>
      </c>
      <c r="Q766" s="62"/>
      <c r="R766" s="65" t="n">
        <f aca="false">IF(CA766=1,0,IFERROR(VLOOKUP(BY766,'Gebinde-Kategorie'!$A$5:$N$45,13,0)+0,0))</f>
        <v>12</v>
      </c>
      <c r="S766" s="66"/>
      <c r="T766" s="67" t="s">
        <v>221</v>
      </c>
      <c r="U766" s="67"/>
      <c r="V766" s="67"/>
      <c r="W766" s="60"/>
      <c r="X766" s="62"/>
      <c r="Y766" s="62"/>
      <c r="Z766" s="60" t="n">
        <v>3</v>
      </c>
      <c r="AA766" s="60" t="n">
        <f aca="false">IF(A766="","",IF(AND(Parameter!$B$21="Ja",ISNUMBER(W766)),W766,IF(AND(Parameter!$E$27="Ja",ISNUMBER(Z766),CD766&lt;&gt;"Nein"),Z766,IF(CD766="2+3",IF(ISNUMBER(SEARCH("grosser Artikel",BV766)),2,IFERROR(VLOOKUP(BY766,Parameter!$F$35:$G$64,2,0),2)),IF(OR(CD766="Nein",CD766=""),"-",CD766)))))</f>
        <v>3</v>
      </c>
      <c r="AB766" s="67"/>
      <c r="AC766" s="68"/>
      <c r="AD766" s="62" t="n">
        <f aca="false">AW766</f>
        <v>50</v>
      </c>
      <c r="AE766" s="62" t="n">
        <f aca="false">MAX(AW766,H766)</f>
        <v>50</v>
      </c>
      <c r="AF766" s="69"/>
      <c r="AG766" s="62" t="n">
        <f aca="false">IF(LEFT(Cockpit!$C$5,1)="A",H766,IF(Parameter!$E$30="MAX-Bestand",IF(CI766=1,CJ766,IF(LEFT(Cockpit!$C$5,1)="B",AM766,MAX(AM766,H766))),ROUNDUP(AK766,0)))</f>
        <v>0</v>
      </c>
      <c r="AH766" s="62" t="n">
        <f aca="false">IF(CA766=1,0,ROUNDUP(AG766/BZ766,0))</f>
        <v>0</v>
      </c>
      <c r="AI766" s="64" t="n">
        <f aca="false">IF(CR766&gt;0,CR766*MAX(1,AG766/X766),IF(CA766=1,IF(AG766&lt;=0,0,CE766*MAX(1,IF(H766&gt;0,AG766/H766,1))),IF(R766&gt;0,AH766/R766,0))/MAX(0.1,N(Parameter!$M$21)))</f>
        <v>0</v>
      </c>
      <c r="AJ766" s="62" t="n">
        <f aca="false">AI766*CC766</f>
        <v>0</v>
      </c>
      <c r="AK766" s="63" t="n">
        <f aca="false">IF(LEFT(Cockpit!$C$5,1)="A",H766,IF(CI766=1,(CL766+CJ766)/2,IF(LEFT(Cockpit!$C$5,1)="B",(CL766+AM766)/2,MAX((CL766+AM766)/2,H766))))</f>
        <v>0</v>
      </c>
      <c r="AL766" s="62" t="n">
        <f aca="false">AK766*G766</f>
        <v>0</v>
      </c>
      <c r="AM766" s="62" t="n">
        <f aca="false">ROUNDUP(CL766+MAX(CM766,2*(J766/IF(CH766&gt;0,CH766,MAX(0.1,N(Cockpit!$C$6)))-CL766)),0)</f>
        <v>50</v>
      </c>
      <c r="AN766" s="63" t="n">
        <f aca="false">IF(AJ766&gt;0,J766/AJ766,-1)</f>
        <v>-1</v>
      </c>
      <c r="AO766" s="63" t="str">
        <f aca="false">IF(AND(OR(CG766="L1",CG766="L23",CG766="LIFT"),AJ766&gt;0),SUMIFS($AJ$7:$AJ$1843,$CG$7:$CG$1843,CG766,$AN$7:$AN$1843,"&gt;"&amp;AN766)+SUMIFS($AJ$7:$AJ$1843,$CG$7:$CG$1843,CG766,$AN$7:$AN$1843,AN766,$BX$7:$BX$1843,"&lt;="&amp;BX766),"")</f>
        <v/>
      </c>
      <c r="AP766" s="70" t="n">
        <f aca="false">IF(AO766="",0,MAX(0,MIN(1,(IF(CG766="L1",Parameter!$H$5,IF(CG766="L23",Parameter!$H$6+Parameter!$H$7,Parameter!$H$5+Parameter!$H$6+Parameter!$H$7))-(AO766-AJ766))/AJ766)))</f>
        <v>0</v>
      </c>
      <c r="AQ766" s="62" t="n">
        <f aca="false">IF(LEFT(Cockpit!$I$5,1)="A",H766,IF(Parameter!$E$30="MAX-Bestand",IF(CI766=1,CJ766,IF(LEFT(Cockpit!$I$5,1)="B",AW766,MAX(AW766,H766))),ROUNDUP(AU766,0)))</f>
        <v>25</v>
      </c>
      <c r="AR766" s="62" t="n">
        <f aca="false">IF(CA766=1,0,ROUNDUP(AQ766/BZ766,0))</f>
        <v>1</v>
      </c>
      <c r="AS766" s="64" t="n">
        <f aca="false">IF(CR766&gt;0,CR766*MAX(1,AQ766/X766),IF(CA766=1,IF(AQ766&lt;=0,0,CE766*MAX(1,IF(H766&gt;0,AQ766/H766,1))),IF(R766&gt;0,AR766/R766,0))/MAX(0.1,N(Parameter!$M$21)))</f>
        <v>0.0833333333333333</v>
      </c>
      <c r="AT766" s="62" t="n">
        <f aca="false">AS766*CC766</f>
        <v>12.0833333333333</v>
      </c>
      <c r="AU766" s="63" t="n">
        <f aca="false">IF(LEFT(Cockpit!$I$5,1)="A",H766,IF(CI766=1,(CL766+CJ766)/2,IF(LEFT(Cockpit!$I$5,1)="B",(CL766+AW766)/2,MAX((CL766+AW766)/2,H766))))</f>
        <v>25</v>
      </c>
      <c r="AV766" s="62" t="n">
        <f aca="false">AU766*G766</f>
        <v>0.25</v>
      </c>
      <c r="AW766" s="62" t="n">
        <f aca="false">ROUNDUP(CL766+MAX(CM766,2*(J766/IF(CH766&gt;0,CH766,MAX(0.1,N(Cockpit!$I$6)))-CL766)),0)</f>
        <v>50</v>
      </c>
      <c r="AX766" s="63" t="n">
        <f aca="false">IF(AT766&gt;0,J766/AT766,-1)</f>
        <v>4.13793103448276</v>
      </c>
      <c r="AY766" s="63" t="n">
        <f aca="false">IF(AND(OR(CG766="L1",CG766="L23",CG766="LIFT"),AT766&gt;0),SUMIFS($AT$7:$AT$1843,$CG$7:$CG$1843,CG766,$AX$7:$AX$1843,"&gt;"&amp;AX766)+SUMIFS($AT$7:$AT$1843,$CG$7:$CG$1843,CG766,$AX$7:$AX$1843,AX766,$BX$7:$BX$1843,"&lt;="&amp;BX766),"")</f>
        <v>4835.57097069597</v>
      </c>
      <c r="AZ766" s="70" t="n">
        <f aca="false">IF(AY766="",0,MAX(0,MIN(1,(IF(CG766="L1",Parameter!$H$5,IF(CG766="L23",Parameter!$H$6+Parameter!$H$7,Parameter!$H$5+Parameter!$H$6+Parameter!$H$7))-(AY766-AT766))/AT766)))</f>
        <v>1</v>
      </c>
      <c r="BA766" s="62" t="n">
        <f aca="false">IF(LEFT(Cockpit!$O$5,1)="A",H766,IF(Parameter!$E$30="MAX-Bestand",IF(CI766=1,CJ766,IF(LEFT(Cockpit!$O$5,1)="B",BG766,MAX(BG766,H766))),ROUNDUP(BE766,0)))</f>
        <v>25</v>
      </c>
      <c r="BB766" s="62" t="n">
        <f aca="false">IF(CA766=1,0,ROUNDUP(BA766/BZ766,0))</f>
        <v>1</v>
      </c>
      <c r="BC766" s="64" t="n">
        <f aca="false">IF(CR766&gt;0,CR766*MAX(1,BA766/X766),IF(CA766=1,IF(BA766&lt;=0,0,CE766*MAX(1,IF(H766&gt;0,BA766/H766,1))),IF(R766&gt;0,BB766/R766,0))/MAX(0.1,N(Parameter!$M$21)))</f>
        <v>0.0833333333333333</v>
      </c>
      <c r="BD766" s="62" t="n">
        <f aca="false">BC766*CC766</f>
        <v>12.0833333333333</v>
      </c>
      <c r="BE766" s="63" t="n">
        <f aca="false">IF(LEFT(Cockpit!$O$5,1)="A",H766,IF(CI766=1,(CL766+CJ766)/2,IF(LEFT(Cockpit!$O$5,1)="B",(CL766+BG766)/2,MAX((CL766+BG766)/2,H766))))</f>
        <v>25</v>
      </c>
      <c r="BF766" s="62" t="n">
        <f aca="false">BE766*G766</f>
        <v>0.25</v>
      </c>
      <c r="BG766" s="62" t="n">
        <f aca="false">ROUNDUP(CL766+MAX(CM766,2*(J766/IF(CH766&gt;0,CH766,MAX(0.1,N(Cockpit!$O$6)))-CL766)),0)</f>
        <v>50</v>
      </c>
      <c r="BH766" s="63" t="n">
        <f aca="false">IF(BD766&gt;0,J766/BD766,-1)</f>
        <v>4.13793103448276</v>
      </c>
      <c r="BI766" s="63" t="n">
        <f aca="false">IF(AND(OR(CG766="L1",CG766="L23",CG766="LIFT"),BD766&gt;0),SUMIFS($BD$7:$BD$1843,$CG$7:$CG$1843,CG766,$BH$7:$BH$1843,"&gt;"&amp;BH766)+SUMIFS($BD$7:$BD$1843,$CG$7:$CG$1843,CG766,$BH$7:$BH$1843,BH766,$BX$7:$BX$1843,"&lt;="&amp;BX766),"")</f>
        <v>3956.7793040293</v>
      </c>
      <c r="BJ766" s="70" t="n">
        <f aca="false">IF(BI766="",0,MAX(0,MIN(1,(IF(CG766="L1",Parameter!$H$5,IF(CG766="L23",Parameter!$H$6+Parameter!$H$7,Parameter!$H$5+Parameter!$H$6+Parameter!$H$7))-(BI766-BD766))/BD766)))</f>
        <v>1</v>
      </c>
      <c r="BK766" s="60" t="str">
        <f aca="false">IF(AJ766&lt;=0,"",IF(CG766="Aussen","Aussenlager",IF(CG766="-","Nicht im Lift",IF(AP766&gt;=1,"Lift",IF(AP766&lt;=0,"Aussenlager","teilweise")))))</f>
        <v/>
      </c>
      <c r="BL766" s="60" t="str">
        <f aca="false">IF(AT766&lt;=0,"",IF(CG766="Aussen","Aussenlager",IF(CG766="-","Nicht im Lift",IF(AZ766&gt;=1,"Lift",IF(AZ766&lt;=0,"Aussenlager","teilweise")))))</f>
        <v>Lift</v>
      </c>
      <c r="BM766" s="60" t="str">
        <f aca="false">IF(BD766&lt;=0,"",IF(CG766="Aussen","Aussenlager",IF(CG766="-","Nicht im Lift",IF(BJ766&gt;=1,"Lift",IF(BJ766&lt;=0,"Aussenlager","teilweise")))))</f>
        <v>Lift</v>
      </c>
      <c r="BN766" s="60" t="str">
        <f aca="false">IF(A766="","",IF(BW766=1,"Neu; ","")&amp;IF(AND(BW766=0,BR766&lt;0),"negativer Bestand (Export "&amp;BR766&amp;"); ","")&amp;IF(J766&lt;=0,"Kein Verbrauch; ","")&amp;IF(CR766&gt;0,"Lift "&amp;W766&amp;" lt. Liftbericht (Fach "&amp;X766&amp;" Stk); ",IF(CB766=1,"Gebinde geschätzt ("&amp;T766&amp;"); ",IF(CA766=1,"Lose – Tablare geschätzt; ","")))&amp;IF(H766&gt;AW766,"Überbestand "&amp;ROUND(H766-AW766,0)&amp;" Stk / CHF "&amp;ROUND((H766-AW766)*G766,0)&amp;"; ","")&amp;IF(AND(CI766=1,CJ766&lt;CK766),"MAX &lt; MB+LG; ","")&amp;IF(AND(CQ766&gt;0,CP766*10&gt;CQ766),"zu hoch für Tablar; ","")&amp;IF(AND(BW766=0,OR(CI766=1,AB766&lt;&gt;"",U766&lt;&gt;"",V766&lt;&gt;"",AC766&lt;&gt;"")),"manuell übersteuert; ","")&amp;IF(AND(CA766=0,R766=0),"Gebinde unbekannt / Stellmass fehlt; ","")&amp;IF(AND(CA766=0,N(V766)&lt;=0,N(Q766)&lt;=0),"Menge pro Gebinde fehlt (Ist = 1 Gebinde); ","")&amp;BV766)</f>
        <v>negativer Bestand (Export -85); Gebinde geschätzt (Mittel); Menge pro Gebinde fehlt (Ist = 1 Gebinde); </v>
      </c>
      <c r="BO766" s="60"/>
      <c r="BP766" s="60"/>
      <c r="BQ766" s="67"/>
      <c r="BR766" s="62" t="n">
        <v>-85</v>
      </c>
      <c r="BS766" s="62" t="n">
        <v>85</v>
      </c>
      <c r="BT766" s="61" t="n">
        <v>-0.85</v>
      </c>
      <c r="BU766" s="62" t="n">
        <v>50</v>
      </c>
      <c r="BV766" s="60"/>
      <c r="BW766" s="65" t="n">
        <v>0</v>
      </c>
      <c r="BX766" s="65" t="n">
        <v>766</v>
      </c>
      <c r="BY766" s="60" t="str">
        <f aca="false">IF(U766&lt;&gt;"",UPPER(TRIM(U766)),IF(CB766=1,UPPER(VLOOKUP(T766,Parameter!$I$27:$K$29,2,0)),IF(P766="","LOSE",P766)))</f>
        <v>S61</v>
      </c>
      <c r="BZ766" s="62" t="n">
        <f aca="false">IF(BY766="LOSE",1,IF(N(V766)&gt;0,V766,IF(CB766=1,MAX(1,N(VLOOKUP(T766,Parameter!$I$27:$K$29,3,0)),H766,N(N766)),IF(N(Q766)&gt;0,Q766,MAX(1,H766)))))</f>
        <v>50</v>
      </c>
      <c r="CA766" s="65" t="n">
        <f aca="false">IF(BY766="LOSE",1,0)</f>
        <v>0</v>
      </c>
      <c r="CB766" s="65" t="n">
        <f aca="false">IF(AND(U766="",OR(P766="",P766="LOSE"),T766&lt;&gt;"",N(S766)&lt;=0,ISNUMBER(MATCH(T766,Parameter!$I$27:$I$29,0))),1,0)</f>
        <v>1</v>
      </c>
      <c r="CC766" s="65" t="n">
        <f aca="false">IF(CR766&gt;0,INDEX(Parameter!$H$5:$H$7,W766)/INDEX(Parameter!$E$5:$E$7,W766),IF(AND(CA766=0,N(IFERROR(VLOOKUP(BY766,'Gebinde-Kategorie'!$A$5:$N$45,14,0),0))&gt;0),VLOOKUP(BY766,'Gebinde-Kategorie'!$A$5:$N$45,14,0)*10+Parameter!$M$23,Parameter!$M$24))</f>
        <v>145</v>
      </c>
      <c r="CD766" s="60" t="str">
        <f aca="false">IF(AND(Parameter!$B$19="Ja",E766&lt;&gt;"",ISNUMBER(MATCH(E766,Parameter!$I$35:$I$52,0))),VLOOKUP(E766,Parameter!$I$35:$J$52,2,0),IFERROR(VLOOKUP(D766,Parameter!$A$35:$C$64,2,0),"Nein"))</f>
        <v>2+3</v>
      </c>
      <c r="CE766" s="64" t="n">
        <f aca="false">IF(CA766=0,0,IF(N(S766)&gt;0,S766,IFERROR(VLOOKUP(D766,Parameter!$A$35:$C$64,3,0)+0,0)))</f>
        <v>0</v>
      </c>
      <c r="CF766" s="60" t="n">
        <f aca="false">IF(AB766&lt;&gt;"",AB766,AA766)</f>
        <v>3</v>
      </c>
      <c r="CG766" s="60" t="str">
        <f aca="false">IF(OR(CF766=1,CF766=2,CF766=3),IF(Parameter!$E$27="Ja","LIFT",IF(CF766=1,"L1","L23")),IF(CF766="Aussen","Aussen","-"))</f>
        <v>LIFT</v>
      </c>
      <c r="CH766" s="71" t="n">
        <f aca="false">IF(N(AC766)&gt;0,AC766,0)</f>
        <v>0</v>
      </c>
      <c r="CI766" s="65" t="n">
        <f aca="false">IF(ISNUMBER(AF766),1,0)</f>
        <v>0</v>
      </c>
      <c r="CJ766" s="62" t="n">
        <f aca="false">N(AF766)</f>
        <v>0</v>
      </c>
      <c r="CK766" s="62" t="n">
        <f aca="false">N(M766)+N(N766)</f>
        <v>50</v>
      </c>
      <c r="CL766" s="62" t="n">
        <f aca="false">N(M766)</f>
        <v>0</v>
      </c>
      <c r="CM766" s="62" t="n">
        <f aca="false">N(N766)</f>
        <v>50</v>
      </c>
      <c r="CN766" s="62" t="n">
        <f aca="false">ROUNDUP(H766/BZ766,0)</f>
        <v>0</v>
      </c>
      <c r="CO766" s="62" t="n">
        <f aca="false">ROUNDUP(CJ766/BZ766,0)</f>
        <v>0</v>
      </c>
      <c r="CP766" s="65" t="n">
        <f aca="false">IF(CA766=1,0,IFERROR(VLOOKUP(BY766,'Gebinde-Kategorie'!$A$5:$N$45,5,0)+0,0))</f>
        <v>11</v>
      </c>
      <c r="CQ766" s="65" t="n">
        <f aca="false">IFERROR(IF(OR(CF766=1,CF766=2,CF766=3),N(INDEX(Parameter!$I$5:$I$7,CF766)),0),0)</f>
        <v>0</v>
      </c>
      <c r="CR766" s="64" t="n">
        <f aca="false">IF(AND(Parameter!$B$21="Ja",ISNUMBER(W766),N(X766)&gt;0),IFERROR(N(INDEX(Parameter!$L$5:$L$7,W766))*INDEX(Parameter!$E$5:$E$7,W766)*X766/SUMIFS($X$7:$X$1843,$W$7:$W$1843,W766),0),0)</f>
        <v>0</v>
      </c>
      <c r="CS766" s="62" t="str">
        <f aca="false">IF(AND(OR(CG766="L1",CG766="L23",CG766="LIFT"),H766&gt;0),CC766*IF(CR766&gt;0,CR766*MAX(1,H766/X766),IF(CA766=1,CE766,IF(R766&gt;0,CN766/R766,0))/MAX(0.1,N(Parameter!$M$21))),"")</f>
        <v/>
      </c>
      <c r="CT766" s="64" t="str">
        <f aca="false">IF(CS766="","",J766/H766)</f>
        <v/>
      </c>
      <c r="CU766" s="62" t="str">
        <f aca="false">IF(CS766="","",H766*G766)</f>
        <v/>
      </c>
      <c r="CV766" s="63" t="str">
        <f aca="false">IF(CS766="","",(CL766+ROUNDUP(CL766+MAX(CM766,2*(J766/MAX(0.1,N(Einkauf!$C$6))-CL766)),0))/2)</f>
        <v/>
      </c>
      <c r="CW766" s="62" t="str">
        <f aca="false">IF(CS766="","",MAX(0,H766-CV766)*G766)</f>
        <v/>
      </c>
      <c r="CX766" s="62" t="str">
        <f aca="false">IF(CS766="","",CS766*MAX(0,1-CV766/H766))</f>
        <v/>
      </c>
      <c r="CY766" s="64" t="str">
        <f aca="false">IF(CS766="","",PERCENTRANK($CS$7:$CS$1843,CS766)+PERCENTRANK($CU$7:$CU$1843,CU766)+1-PERCENTRANK($CT$7:$CT$1843,CT766))</f>
        <v/>
      </c>
      <c r="CZ766" s="72" t="str">
        <f aca="false">IF(CS766="","",CHOOSE(MATCH(Einkauf!$C$5,Parameter!$G$23:$G$27,0),CY766,CS766,CU766,-CT766,CW766)+ROW()/1000000000)</f>
        <v/>
      </c>
    </row>
    <row r="767" customFormat="false" ht="15" hidden="false" customHeight="false" outlineLevel="0" collapsed="false">
      <c r="A767" s="60" t="s">
        <v>1551</v>
      </c>
      <c r="B767" s="60" t="s">
        <v>1552</v>
      </c>
      <c r="C767" s="60" t="s">
        <v>206</v>
      </c>
      <c r="D767" s="60" t="s">
        <v>226</v>
      </c>
      <c r="E767" s="60" t="s">
        <v>227</v>
      </c>
      <c r="F767" s="60" t="s">
        <v>260</v>
      </c>
      <c r="G767" s="61" t="n">
        <v>0.01</v>
      </c>
      <c r="H767" s="62" t="n">
        <f aca="false">MAX(0,IF(AND(Parameter!$B$21="Ja",ISNUMBER(Y767)),Y767,IF(Parameter!$B$20="Jahresanfang 2025 + Export",BS767+BR767,BR767)))</f>
        <v>4864</v>
      </c>
      <c r="I767" s="62" t="n">
        <f aca="false">H767*G767</f>
        <v>48.64</v>
      </c>
      <c r="J767" s="62" t="n">
        <f aca="false">BU767*Parameter!$B$18</f>
        <v>1</v>
      </c>
      <c r="K767" s="63" t="n">
        <v>4924.5</v>
      </c>
      <c r="L767" s="64" t="n">
        <v>0.000203066301147325</v>
      </c>
      <c r="M767" s="62" t="n">
        <v>0</v>
      </c>
      <c r="N767" s="62" t="n">
        <v>1</v>
      </c>
      <c r="O767" s="65" t="n">
        <v>21</v>
      </c>
      <c r="P767" s="60" t="s">
        <v>370</v>
      </c>
      <c r="Q767" s="62" t="n">
        <v>5000</v>
      </c>
      <c r="R767" s="65" t="n">
        <f aca="false">IF(CA767=1,0,IFERROR(VLOOKUP(BY767,'Gebinde-Kategorie'!$A$5:$N$45,13,0)+0,0))</f>
        <v>52</v>
      </c>
      <c r="S767" s="66"/>
      <c r="T767" s="67"/>
      <c r="U767" s="67"/>
      <c r="V767" s="67"/>
      <c r="W767" s="60"/>
      <c r="X767" s="62"/>
      <c r="Y767" s="62"/>
      <c r="Z767" s="60" t="n">
        <v>1</v>
      </c>
      <c r="AA767" s="60" t="n">
        <f aca="false">IF(A767="","",IF(AND(Parameter!$B$21="Ja",ISNUMBER(W767)),W767,IF(AND(Parameter!$E$27="Ja",ISNUMBER(Z767),CD767&lt;&gt;"Nein"),Z767,IF(CD767="2+3",IF(ISNUMBER(SEARCH("grosser Artikel",BV767)),2,IFERROR(VLOOKUP(BY767,Parameter!$F$35:$G$64,2,0),2)),IF(OR(CD767="Nein",CD767=""),"-",CD767)))))</f>
        <v>1</v>
      </c>
      <c r="AB767" s="67"/>
      <c r="AC767" s="68"/>
      <c r="AD767" s="62" t="n">
        <f aca="false">AW767</f>
        <v>1</v>
      </c>
      <c r="AE767" s="62" t="n">
        <f aca="false">MAX(AW767,H767)</f>
        <v>4864</v>
      </c>
      <c r="AF767" s="69"/>
      <c r="AG767" s="62" t="n">
        <f aca="false">IF(LEFT(Cockpit!$C$5,1)="A",H767,IF(Parameter!$E$30="MAX-Bestand",IF(CI767=1,CJ767,IF(LEFT(Cockpit!$C$5,1)="B",AM767,MAX(AM767,H767))),ROUNDUP(AK767,0)))</f>
        <v>4864</v>
      </c>
      <c r="AH767" s="62" t="n">
        <f aca="false">IF(CA767=1,0,ROUNDUP(AG767/BZ767,0))</f>
        <v>1</v>
      </c>
      <c r="AI767" s="64" t="n">
        <f aca="false">IF(CR767&gt;0,CR767*MAX(1,AG767/X767),IF(CA767=1,IF(AG767&lt;=0,0,CE767*MAX(1,IF(H767&gt;0,AG767/H767,1))),IF(R767&gt;0,AH767/R767,0))/MAX(0.1,N(Parameter!$M$21)))</f>
        <v>0.0192307692307692</v>
      </c>
      <c r="AJ767" s="62" t="n">
        <f aca="false">AI767*CC767</f>
        <v>2.98076923076923</v>
      </c>
      <c r="AK767" s="63" t="n">
        <f aca="false">IF(LEFT(Cockpit!$C$5,1)="A",H767,IF(CI767=1,(CL767+CJ767)/2,IF(LEFT(Cockpit!$C$5,1)="B",(CL767+AM767)/2,MAX((CL767+AM767)/2,H767))))</f>
        <v>4864</v>
      </c>
      <c r="AL767" s="62" t="n">
        <f aca="false">AK767*G767</f>
        <v>48.64</v>
      </c>
      <c r="AM767" s="62" t="n">
        <f aca="false">ROUNDUP(CL767+MAX(CM767,2*(J767/IF(CH767&gt;0,CH767,MAX(0.1,N(Cockpit!$C$6)))-CL767)),0)</f>
        <v>1</v>
      </c>
      <c r="AN767" s="63" t="n">
        <f aca="false">IF(AJ767&gt;0,J767/AJ767,-1)</f>
        <v>0.335483870967742</v>
      </c>
      <c r="AO767" s="63" t="n">
        <f aca="false">IF(AND(OR(CG767="L1",CG767="L23",CG767="LIFT"),AJ767&gt;0),SUMIFS($AJ$7:$AJ$1843,$CG$7:$CG$1843,CG767,$AN$7:$AN$1843,"&gt;"&amp;AN767)+SUMIFS($AJ$7:$AJ$1843,$CG$7:$CG$1843,CG767,$AN$7:$AN$1843,AN767,$BX$7:$BX$1843,"&lt;="&amp;BX767),"")</f>
        <v>11203.9039625629</v>
      </c>
      <c r="AP767" s="70" t="n">
        <f aca="false">IF(AO767="",0,MAX(0,MIN(1,(IF(CG767="L1",Parameter!$H$5,IF(CG767="L23",Parameter!$H$6+Parameter!$H$7,Parameter!$H$5+Parameter!$H$6+Parameter!$H$7))-(AO767-AJ767))/AJ767)))</f>
        <v>1</v>
      </c>
      <c r="AQ767" s="62" t="n">
        <f aca="false">IF(LEFT(Cockpit!$I$5,1)="A",H767,IF(Parameter!$E$30="MAX-Bestand",IF(CI767=1,CJ767,IF(LEFT(Cockpit!$I$5,1)="B",AW767,MAX(AW767,H767))),ROUNDUP(AU767,0)))</f>
        <v>4864</v>
      </c>
      <c r="AR767" s="62" t="n">
        <f aca="false">IF(CA767=1,0,ROUNDUP(AQ767/BZ767,0))</f>
        <v>1</v>
      </c>
      <c r="AS767" s="64" t="n">
        <f aca="false">IF(CR767&gt;0,CR767*MAX(1,AQ767/X767),IF(CA767=1,IF(AQ767&lt;=0,0,CE767*MAX(1,IF(H767&gt;0,AQ767/H767,1))),IF(R767&gt;0,AR767/R767,0))/MAX(0.1,N(Parameter!$M$21)))</f>
        <v>0.0192307692307692</v>
      </c>
      <c r="AT767" s="62" t="n">
        <f aca="false">AS767*CC767</f>
        <v>2.98076923076923</v>
      </c>
      <c r="AU767" s="63" t="n">
        <f aca="false">IF(LEFT(Cockpit!$I$5,1)="A",H767,IF(CI767=1,(CL767+CJ767)/2,IF(LEFT(Cockpit!$I$5,1)="B",(CL767+AW767)/2,MAX((CL767+AW767)/2,H767))))</f>
        <v>4864</v>
      </c>
      <c r="AV767" s="62" t="n">
        <f aca="false">AU767*G767</f>
        <v>48.64</v>
      </c>
      <c r="AW767" s="62" t="n">
        <f aca="false">ROUNDUP(CL767+MAX(CM767,2*(J767/IF(CH767&gt;0,CH767,MAX(0.1,N(Cockpit!$I$6)))-CL767)),0)</f>
        <v>1</v>
      </c>
      <c r="AX767" s="63" t="n">
        <f aca="false">IF(AT767&gt;0,J767/AT767,-1)</f>
        <v>0.335483870967742</v>
      </c>
      <c r="AY767" s="63" t="n">
        <f aca="false">IF(AND(OR(CG767="L1",CG767="L23",CG767="LIFT"),AT767&gt;0),SUMIFS($AT$7:$AT$1843,$CG$7:$CG$1843,CG767,$AX$7:$AX$1843,"&gt;"&amp;AX767)+SUMIFS($AT$7:$AT$1843,$CG$7:$CG$1843,CG767,$AX$7:$AX$1843,AX767,$BX$7:$BX$1843,"&lt;="&amp;BX767),"")</f>
        <v>13738.0416666667</v>
      </c>
      <c r="AZ767" s="70" t="n">
        <f aca="false">IF(AY767="",0,MAX(0,MIN(1,(IF(CG767="L1",Parameter!$H$5,IF(CG767="L23",Parameter!$H$6+Parameter!$H$7,Parameter!$H$5+Parameter!$H$6+Parameter!$H$7))-(AY767-AT767))/AT767)))</f>
        <v>1</v>
      </c>
      <c r="BA767" s="62" t="n">
        <f aca="false">IF(LEFT(Cockpit!$O$5,1)="A",H767,IF(Parameter!$E$30="MAX-Bestand",IF(CI767=1,CJ767,IF(LEFT(Cockpit!$O$5,1)="B",BG767,MAX(BG767,H767))),ROUNDUP(BE767,0)))</f>
        <v>1</v>
      </c>
      <c r="BB767" s="62" t="n">
        <f aca="false">IF(CA767=1,0,ROUNDUP(BA767/BZ767,0))</f>
        <v>1</v>
      </c>
      <c r="BC767" s="64" t="n">
        <f aca="false">IF(CR767&gt;0,CR767*MAX(1,BA767/X767),IF(CA767=1,IF(BA767&lt;=0,0,CE767*MAX(1,IF(H767&gt;0,BA767/H767,1))),IF(R767&gt;0,BB767/R767,0))/MAX(0.1,N(Parameter!$M$21)))</f>
        <v>0.0192307692307692</v>
      </c>
      <c r="BD767" s="62" t="n">
        <f aca="false">BC767*CC767</f>
        <v>2.98076923076923</v>
      </c>
      <c r="BE767" s="63" t="n">
        <f aca="false">IF(LEFT(Cockpit!$O$5,1)="A",H767,IF(CI767=1,(CL767+CJ767)/2,IF(LEFT(Cockpit!$O$5,1)="B",(CL767+BG767)/2,MAX((CL767+BG767)/2,H767))))</f>
        <v>0.5</v>
      </c>
      <c r="BF767" s="62" t="n">
        <f aca="false">BE767*G767</f>
        <v>0.005</v>
      </c>
      <c r="BG767" s="62" t="n">
        <f aca="false">ROUNDUP(CL767+MAX(CM767,2*(J767/IF(CH767&gt;0,CH767,MAX(0.1,N(Cockpit!$O$6)))-CL767)),0)</f>
        <v>1</v>
      </c>
      <c r="BH767" s="63" t="n">
        <f aca="false">IF(BD767&gt;0,J767/BD767,-1)</f>
        <v>0.335483870967742</v>
      </c>
      <c r="BI767" s="63" t="n">
        <f aca="false">IF(AND(OR(CG767="L1",CG767="L23",CG767="LIFT"),BD767&gt;0),SUMIFS($BD$7:$BD$1843,$CG$7:$CG$1843,CG767,$BH$7:$BH$1843,"&gt;"&amp;BH767)+SUMIFS($BD$7:$BD$1843,$CG$7:$CG$1843,CG767,$BH$7:$BH$1843,BH767,$BX$7:$BX$1843,"&lt;="&amp;BX767),"")</f>
        <v>11589.0004578755</v>
      </c>
      <c r="BJ767" s="70" t="n">
        <f aca="false">IF(BI767="",0,MAX(0,MIN(1,(IF(CG767="L1",Parameter!$H$5,IF(CG767="L23",Parameter!$H$6+Parameter!$H$7,Parameter!$H$5+Parameter!$H$6+Parameter!$H$7))-(BI767-BD767))/BD767)))</f>
        <v>1</v>
      </c>
      <c r="BK767" s="60" t="str">
        <f aca="false">IF(AJ767&lt;=0,"",IF(CG767="Aussen","Aussenlager",IF(CG767="-","Nicht im Lift",IF(AP767&gt;=1,"Lift",IF(AP767&lt;=0,"Aussenlager","teilweise")))))</f>
        <v>Lift</v>
      </c>
      <c r="BL767" s="60" t="str">
        <f aca="false">IF(AT767&lt;=0,"",IF(CG767="Aussen","Aussenlager",IF(CG767="-","Nicht im Lift",IF(AZ767&gt;=1,"Lift",IF(AZ767&lt;=0,"Aussenlager","teilweise")))))</f>
        <v>Lift</v>
      </c>
      <c r="BM767" s="60" t="str">
        <f aca="false">IF(BD767&lt;=0,"",IF(CG767="Aussen","Aussenlager",IF(CG767="-","Nicht im Lift",IF(BJ767&gt;=1,"Lift",IF(BJ767&lt;=0,"Aussenlager","teilweise")))))</f>
        <v>Lift</v>
      </c>
      <c r="BN767" s="60" t="str">
        <f aca="false">IF(A767="","",IF(BW767=1,"Neu; ","")&amp;IF(AND(BW767=0,BR767&lt;0),"negativer Bestand (Export "&amp;BR767&amp;"); ","")&amp;IF(J767&lt;=0,"Kein Verbrauch; ","")&amp;IF(CR767&gt;0,"Lift "&amp;W767&amp;" lt. Liftbericht (Fach "&amp;X767&amp;" Stk); ",IF(CB767=1,"Gebinde geschätzt ("&amp;T767&amp;"); ",IF(CA767=1,"Lose – Tablare geschätzt; ","")))&amp;IF(H767&gt;AW767,"Überbestand "&amp;ROUND(H767-AW767,0)&amp;" Stk / CHF "&amp;ROUND((H767-AW767)*G767,0)&amp;"; ","")&amp;IF(AND(CI767=1,CJ767&lt;CK767),"MAX &lt; MB+LG; ","")&amp;IF(AND(CQ767&gt;0,CP767*10&gt;CQ767),"zu hoch für Tablar; ","")&amp;IF(AND(BW767=0,OR(CI767=1,AB767&lt;&gt;"",U767&lt;&gt;"",V767&lt;&gt;"",AC767&lt;&gt;"")),"manuell übersteuert; ","")&amp;IF(AND(CA767=0,R767=0),"Gebinde unbekannt / Stellmass fehlt; ","")&amp;IF(AND(CA767=0,N(V767)&lt;=0,N(Q767)&lt;=0),"Menge pro Gebinde fehlt (Ist = 1 Gebinde); ","")&amp;BV767)</f>
        <v>negativer Bestand (Export -86); Überbestand 4863 Stk / CHF 49; Überbestand</v>
      </c>
      <c r="BO767" s="60"/>
      <c r="BP767" s="60"/>
      <c r="BQ767" s="67"/>
      <c r="BR767" s="62" t="n">
        <v>-86</v>
      </c>
      <c r="BS767" s="62" t="n">
        <v>4950</v>
      </c>
      <c r="BT767" s="61" t="n">
        <v>-0.86</v>
      </c>
      <c r="BU767" s="62" t="n">
        <v>1</v>
      </c>
      <c r="BV767" s="60" t="s">
        <v>434</v>
      </c>
      <c r="BW767" s="65" t="n">
        <v>0</v>
      </c>
      <c r="BX767" s="65" t="n">
        <v>767</v>
      </c>
      <c r="BY767" s="60" t="str">
        <f aca="false">IF(U767&lt;&gt;"",UPPER(TRIM(U767)),IF(CB767=1,UPPER(VLOOKUP(T767,Parameter!$I$27:$K$29,2,0)),IF(P767="","LOSE",P767)))</f>
        <v>S41</v>
      </c>
      <c r="BZ767" s="62" t="n">
        <f aca="false">IF(BY767="LOSE",1,IF(N(V767)&gt;0,V767,IF(CB767=1,MAX(1,N(VLOOKUP(T767,Parameter!$I$27:$K$29,3,0)),H767,N(N767)),IF(N(Q767)&gt;0,Q767,MAX(1,H767)))))</f>
        <v>5000</v>
      </c>
      <c r="CA767" s="65" t="n">
        <f aca="false">IF(BY767="LOSE",1,0)</f>
        <v>0</v>
      </c>
      <c r="CB767" s="65" t="n">
        <f aca="false">IF(AND(U767="",OR(P767="",P767="LOSE"),T767&lt;&gt;"",N(S767)&lt;=0,ISNUMBER(MATCH(T767,Parameter!$I$27:$I$29,0))),1,0)</f>
        <v>0</v>
      </c>
      <c r="CC767" s="65" t="n">
        <f aca="false">IF(CR767&gt;0,INDEX(Parameter!$H$5:$H$7,W767)/INDEX(Parameter!$E$5:$E$7,W767),IF(AND(CA767=0,N(IFERROR(VLOOKUP(BY767,'Gebinde-Kategorie'!$A$5:$N$45,14,0),0))&gt;0),VLOOKUP(BY767,'Gebinde-Kategorie'!$A$5:$N$45,14,0)*10+Parameter!$M$23,Parameter!$M$24))</f>
        <v>155</v>
      </c>
      <c r="CD767" s="60" t="str">
        <f aca="false">IF(AND(Parameter!$B$19="Ja",E767&lt;&gt;"",ISNUMBER(MATCH(E767,Parameter!$I$35:$I$52,0))),VLOOKUP(E767,Parameter!$I$35:$J$52,2,0),IFERROR(VLOOKUP(D767,Parameter!$A$35:$C$64,2,0),"Nein"))</f>
        <v>2+3</v>
      </c>
      <c r="CE767" s="64" t="n">
        <f aca="false">IF(CA767=0,0,IF(N(S767)&gt;0,S767,IFERROR(VLOOKUP(D767,Parameter!$A$35:$C$64,3,0)+0,0)))</f>
        <v>0</v>
      </c>
      <c r="CF767" s="60" t="n">
        <f aca="false">IF(AB767&lt;&gt;"",AB767,AA767)</f>
        <v>1</v>
      </c>
      <c r="CG767" s="60" t="str">
        <f aca="false">IF(OR(CF767=1,CF767=2,CF767=3),IF(Parameter!$E$27="Ja","LIFT",IF(CF767=1,"L1","L23")),IF(CF767="Aussen","Aussen","-"))</f>
        <v>LIFT</v>
      </c>
      <c r="CH767" s="71" t="n">
        <f aca="false">IF(N(AC767)&gt;0,AC767,0)</f>
        <v>0</v>
      </c>
      <c r="CI767" s="65" t="n">
        <f aca="false">IF(ISNUMBER(AF767),1,0)</f>
        <v>0</v>
      </c>
      <c r="CJ767" s="62" t="n">
        <f aca="false">N(AF767)</f>
        <v>0</v>
      </c>
      <c r="CK767" s="62" t="n">
        <f aca="false">N(M767)+N(N767)</f>
        <v>1</v>
      </c>
      <c r="CL767" s="62" t="n">
        <f aca="false">N(M767)</f>
        <v>0</v>
      </c>
      <c r="CM767" s="62" t="n">
        <f aca="false">N(N767)</f>
        <v>1</v>
      </c>
      <c r="CN767" s="62" t="n">
        <f aca="false">ROUNDUP(H767/BZ767,0)</f>
        <v>1</v>
      </c>
      <c r="CO767" s="62" t="n">
        <f aca="false">ROUNDUP(CJ767/BZ767,0)</f>
        <v>0</v>
      </c>
      <c r="CP767" s="65" t="n">
        <f aca="false">IF(CA767=1,0,IFERROR(VLOOKUP(BY767,'Gebinde-Kategorie'!$A$5:$N$45,5,0)+0,0))</f>
        <v>11</v>
      </c>
      <c r="CQ767" s="65" t="n">
        <f aca="false">IFERROR(IF(OR(CF767=1,CF767=2,CF767=3),N(INDEX(Parameter!$I$5:$I$7,CF767)),0),0)</f>
        <v>0</v>
      </c>
      <c r="CR767" s="64" t="n">
        <f aca="false">IF(AND(Parameter!$B$21="Ja",ISNUMBER(W767),N(X767)&gt;0),IFERROR(N(INDEX(Parameter!$L$5:$L$7,W767))*INDEX(Parameter!$E$5:$E$7,W767)*X767/SUMIFS($X$7:$X$1843,$W$7:$W$1843,W767),0),0)</f>
        <v>0</v>
      </c>
      <c r="CS767" s="62" t="n">
        <f aca="false">IF(AND(OR(CG767="L1",CG767="L23",CG767="LIFT"),H767&gt;0),CC767*IF(CR767&gt;0,CR767*MAX(1,H767/X767),IF(CA767=1,CE767,IF(R767&gt;0,CN767/R767,0))/MAX(0.1,N(Parameter!$M$21))),"")</f>
        <v>2.98076923076923</v>
      </c>
      <c r="CT767" s="64" t="n">
        <f aca="false">IF(CS767="","",J767/H767)</f>
        <v>0.000205592105263158</v>
      </c>
      <c r="CU767" s="62" t="n">
        <f aca="false">IF(CS767="","",H767*G767)</f>
        <v>48.64</v>
      </c>
      <c r="CV767" s="63" t="n">
        <f aca="false">IF(CS767="","",(CL767+ROUNDUP(CL767+MAX(CM767,2*(J767/MAX(0.1,N(Einkauf!$C$6))-CL767)),0))/2)</f>
        <v>0.5</v>
      </c>
      <c r="CW767" s="62" t="n">
        <f aca="false">IF(CS767="","",MAX(0,H767-CV767)*G767)</f>
        <v>48.635</v>
      </c>
      <c r="CX767" s="62" t="n">
        <f aca="false">IF(CS767="","",CS767*MAX(0,1-CV767/H767))</f>
        <v>2.9804628194585</v>
      </c>
      <c r="CY767" s="64" t="n">
        <f aca="false">IF(CS767="","",PERCENTRANK($CS$7:$CS$1843,CS767)+PERCENTRANK($CU$7:$CU$1843,CU767)+1-PERCENTRANK($CT$7:$CT$1843,CT767))</f>
        <v>0.993</v>
      </c>
      <c r="CZ767" s="72" t="n">
        <f aca="false">IF(CS767="","",CHOOSE(MATCH(Einkauf!$C$5,Parameter!$G$23:$G$27,0),CY767,CS767,CU767,-CT767,CW767)+ROW()/1000000000)</f>
        <v>0.993000767</v>
      </c>
    </row>
    <row r="768" customFormat="false" ht="15" hidden="false" customHeight="false" outlineLevel="0" collapsed="false">
      <c r="A768" s="60" t="s">
        <v>1553</v>
      </c>
      <c r="B768" s="60" t="s">
        <v>991</v>
      </c>
      <c r="C768" s="60" t="s">
        <v>206</v>
      </c>
      <c r="D768" s="60" t="s">
        <v>226</v>
      </c>
      <c r="E768" s="60" t="s">
        <v>227</v>
      </c>
      <c r="F768" s="60" t="s">
        <v>260</v>
      </c>
      <c r="G768" s="61" t="n">
        <v>0.03</v>
      </c>
      <c r="H768" s="62" t="n">
        <f aca="false">MAX(0,IF(AND(Parameter!$B$21="Ja",ISNUMBER(Y768)),Y768,IF(Parameter!$B$20="Jahresanfang 2025 + Export",BS768+BR768,BR768)))</f>
        <v>277</v>
      </c>
      <c r="I768" s="62" t="n">
        <f aca="false">H768*G768</f>
        <v>8.31</v>
      </c>
      <c r="J768" s="62" t="n">
        <f aca="false">BU768*Parameter!$B$18</f>
        <v>12</v>
      </c>
      <c r="K768" s="63" t="n">
        <v>294</v>
      </c>
      <c r="L768" s="64" t="n">
        <v>0.0408163265306122</v>
      </c>
      <c r="M768" s="62" t="n">
        <v>0</v>
      </c>
      <c r="N768" s="62" t="n">
        <v>10</v>
      </c>
      <c r="O768" s="65" t="n">
        <v>14</v>
      </c>
      <c r="P768" s="60" t="s">
        <v>463</v>
      </c>
      <c r="Q768" s="62" t="n">
        <v>380</v>
      </c>
      <c r="R768" s="65" t="n">
        <f aca="false">IF(CA768=1,0,IFERROR(VLOOKUP(BY768,'Gebinde-Kategorie'!$A$5:$N$45,13,0)+0,0))</f>
        <v>104</v>
      </c>
      <c r="S768" s="66"/>
      <c r="T768" s="67"/>
      <c r="U768" s="67"/>
      <c r="V768" s="67"/>
      <c r="W768" s="60"/>
      <c r="X768" s="62"/>
      <c r="Y768" s="62"/>
      <c r="Z768" s="60" t="n">
        <v>3</v>
      </c>
      <c r="AA768" s="60" t="n">
        <f aca="false">IF(A768="","",IF(AND(Parameter!$B$21="Ja",ISNUMBER(W768)),W768,IF(AND(Parameter!$E$27="Ja",ISNUMBER(Z768),CD768&lt;&gt;"Nein"),Z768,IF(CD768="2+3",IF(ISNUMBER(SEARCH("grosser Artikel",BV768)),2,IFERROR(VLOOKUP(BY768,Parameter!$F$35:$G$64,2,0),2)),IF(OR(CD768="Nein",CD768=""),"-",CD768)))))</f>
        <v>3</v>
      </c>
      <c r="AB768" s="67"/>
      <c r="AC768" s="68"/>
      <c r="AD768" s="62" t="n">
        <f aca="false">AW768</f>
        <v>10</v>
      </c>
      <c r="AE768" s="62" t="n">
        <f aca="false">MAX(AW768,H768)</f>
        <v>277</v>
      </c>
      <c r="AF768" s="69"/>
      <c r="AG768" s="62" t="n">
        <f aca="false">IF(LEFT(Cockpit!$C$5,1)="A",H768,IF(Parameter!$E$30="MAX-Bestand",IF(CI768=1,CJ768,IF(LEFT(Cockpit!$C$5,1)="B",AM768,MAX(AM768,H768))),ROUNDUP(AK768,0)))</f>
        <v>277</v>
      </c>
      <c r="AH768" s="62" t="n">
        <f aca="false">IF(CA768=1,0,ROUNDUP(AG768/BZ768,0))</f>
        <v>1</v>
      </c>
      <c r="AI768" s="64" t="n">
        <f aca="false">IF(CR768&gt;0,CR768*MAX(1,AG768/X768),IF(CA768=1,IF(AG768&lt;=0,0,CE768*MAX(1,IF(H768&gt;0,AG768/H768,1))),IF(R768&gt;0,AH768/R768,0))/MAX(0.1,N(Parameter!$M$21)))</f>
        <v>0.00961538461538462</v>
      </c>
      <c r="AJ768" s="62" t="n">
        <f aca="false">AI768*CC768</f>
        <v>1.49038461538462</v>
      </c>
      <c r="AK768" s="63" t="n">
        <f aca="false">IF(LEFT(Cockpit!$C$5,1)="A",H768,IF(CI768=1,(CL768+CJ768)/2,IF(LEFT(Cockpit!$C$5,1)="B",(CL768+AM768)/2,MAX((CL768+AM768)/2,H768))))</f>
        <v>277</v>
      </c>
      <c r="AL768" s="62" t="n">
        <f aca="false">AK768*G768</f>
        <v>8.31</v>
      </c>
      <c r="AM768" s="62" t="n">
        <f aca="false">ROUNDUP(CL768+MAX(CM768,2*(J768/IF(CH768&gt;0,CH768,MAX(0.1,N(Cockpit!$C$6)))-CL768)),0)</f>
        <v>10</v>
      </c>
      <c r="AN768" s="63" t="n">
        <f aca="false">IF(AJ768&gt;0,J768/AJ768,-1)</f>
        <v>8.05161290322581</v>
      </c>
      <c r="AO768" s="63" t="n">
        <f aca="false">IF(AND(OR(CG768="L1",CG768="L23",CG768="LIFT"),AJ768&gt;0),SUMIFS($AJ$7:$AJ$1843,$CG$7:$CG$1843,CG768,$AN$7:$AN$1843,"&gt;"&amp;AN768)+SUMIFS($AJ$7:$AJ$1843,$CG$7:$CG$1843,CG768,$AN$7:$AN$1843,AN768,$BX$7:$BX$1843,"&lt;="&amp;BX768),"")</f>
        <v>3048.11217948718</v>
      </c>
      <c r="AP768" s="70" t="n">
        <f aca="false">IF(AO768="",0,MAX(0,MIN(1,(IF(CG768="L1",Parameter!$H$5,IF(CG768="L23",Parameter!$H$6+Parameter!$H$7,Parameter!$H$5+Parameter!$H$6+Parameter!$H$7))-(AO768-AJ768))/AJ768)))</f>
        <v>1</v>
      </c>
      <c r="AQ768" s="62" t="n">
        <f aca="false">IF(LEFT(Cockpit!$I$5,1)="A",H768,IF(Parameter!$E$30="MAX-Bestand",IF(CI768=1,CJ768,IF(LEFT(Cockpit!$I$5,1)="B",AW768,MAX(AW768,H768))),ROUNDUP(AU768,0)))</f>
        <v>277</v>
      </c>
      <c r="AR768" s="62" t="n">
        <f aca="false">IF(CA768=1,0,ROUNDUP(AQ768/BZ768,0))</f>
        <v>1</v>
      </c>
      <c r="AS768" s="64" t="n">
        <f aca="false">IF(CR768&gt;0,CR768*MAX(1,AQ768/X768),IF(CA768=1,IF(AQ768&lt;=0,0,CE768*MAX(1,IF(H768&gt;0,AQ768/H768,1))),IF(R768&gt;0,AR768/R768,0))/MAX(0.1,N(Parameter!$M$21)))</f>
        <v>0.00961538461538462</v>
      </c>
      <c r="AT768" s="62" t="n">
        <f aca="false">AS768*CC768</f>
        <v>1.49038461538462</v>
      </c>
      <c r="AU768" s="63" t="n">
        <f aca="false">IF(LEFT(Cockpit!$I$5,1)="A",H768,IF(CI768=1,(CL768+CJ768)/2,IF(LEFT(Cockpit!$I$5,1)="B",(CL768+AW768)/2,MAX((CL768+AW768)/2,H768))))</f>
        <v>277</v>
      </c>
      <c r="AV768" s="62" t="n">
        <f aca="false">AU768*G768</f>
        <v>8.31</v>
      </c>
      <c r="AW768" s="62" t="n">
        <f aca="false">ROUNDUP(CL768+MAX(CM768,2*(J768/IF(CH768&gt;0,CH768,MAX(0.1,N(Cockpit!$I$6)))-CL768)),0)</f>
        <v>10</v>
      </c>
      <c r="AX768" s="63" t="n">
        <f aca="false">IF(AT768&gt;0,J768/AT768,-1)</f>
        <v>8.05161290322581</v>
      </c>
      <c r="AY768" s="63" t="n">
        <f aca="false">IF(AND(OR(CG768="L1",CG768="L23",CG768="LIFT"),AT768&gt;0),SUMIFS($AT$7:$AT$1843,$CG$7:$CG$1843,CG768,$AX$7:$AX$1843,"&gt;"&amp;AX768)+SUMIFS($AT$7:$AT$1843,$CG$7:$CG$1843,CG768,$AX$7:$AX$1843,AX768,$BX$7:$BX$1843,"&lt;="&amp;BX768),"")</f>
        <v>3672.17353479854</v>
      </c>
      <c r="AZ768" s="70" t="n">
        <f aca="false">IF(AY768="",0,MAX(0,MIN(1,(IF(CG768="L1",Parameter!$H$5,IF(CG768="L23",Parameter!$H$6+Parameter!$H$7,Parameter!$H$5+Parameter!$H$6+Parameter!$H$7))-(AY768-AT768))/AT768)))</f>
        <v>1</v>
      </c>
      <c r="BA768" s="62" t="n">
        <f aca="false">IF(LEFT(Cockpit!$O$5,1)="A",H768,IF(Parameter!$E$30="MAX-Bestand",IF(CI768=1,CJ768,IF(LEFT(Cockpit!$O$5,1)="B",BG768,MAX(BG768,H768))),ROUNDUP(BE768,0)))</f>
        <v>5</v>
      </c>
      <c r="BB768" s="62" t="n">
        <f aca="false">IF(CA768=1,0,ROUNDUP(BA768/BZ768,0))</f>
        <v>1</v>
      </c>
      <c r="BC768" s="64" t="n">
        <f aca="false">IF(CR768&gt;0,CR768*MAX(1,BA768/X768),IF(CA768=1,IF(BA768&lt;=0,0,CE768*MAX(1,IF(H768&gt;0,BA768/H768,1))),IF(R768&gt;0,BB768/R768,0))/MAX(0.1,N(Parameter!$M$21)))</f>
        <v>0.00961538461538462</v>
      </c>
      <c r="BD768" s="62" t="n">
        <f aca="false">BC768*CC768</f>
        <v>1.49038461538462</v>
      </c>
      <c r="BE768" s="63" t="n">
        <f aca="false">IF(LEFT(Cockpit!$O$5,1)="A",H768,IF(CI768=1,(CL768+CJ768)/2,IF(LEFT(Cockpit!$O$5,1)="B",(CL768+BG768)/2,MAX((CL768+BG768)/2,H768))))</f>
        <v>5</v>
      </c>
      <c r="BF768" s="62" t="n">
        <f aca="false">BE768*G768</f>
        <v>0.15</v>
      </c>
      <c r="BG768" s="62" t="n">
        <f aca="false">ROUNDUP(CL768+MAX(CM768,2*(J768/IF(CH768&gt;0,CH768,MAX(0.1,N(Cockpit!$O$6)))-CL768)),0)</f>
        <v>10</v>
      </c>
      <c r="BH768" s="63" t="n">
        <f aca="false">IF(BD768&gt;0,J768/BD768,-1)</f>
        <v>8.05161290322581</v>
      </c>
      <c r="BI768" s="63" t="n">
        <f aca="false">IF(AND(OR(CG768="L1",CG768="L23",CG768="LIFT"),BD768&gt;0),SUMIFS($BD$7:$BD$1843,$CG$7:$CG$1843,CG768,$BH$7:$BH$1843,"&gt;"&amp;BH768)+SUMIFS($BD$7:$BD$1843,$CG$7:$CG$1843,CG768,$BH$7:$BH$1843,BH768,$BX$7:$BX$1843,"&lt;="&amp;BX768),"")</f>
        <v>3033.54304029304</v>
      </c>
      <c r="BJ768" s="70" t="n">
        <f aca="false">IF(BI768="",0,MAX(0,MIN(1,(IF(CG768="L1",Parameter!$H$5,IF(CG768="L23",Parameter!$H$6+Parameter!$H$7,Parameter!$H$5+Parameter!$H$6+Parameter!$H$7))-(BI768-BD768))/BD768)))</f>
        <v>1</v>
      </c>
      <c r="BK768" s="60" t="str">
        <f aca="false">IF(AJ768&lt;=0,"",IF(CG768="Aussen","Aussenlager",IF(CG768="-","Nicht im Lift",IF(AP768&gt;=1,"Lift",IF(AP768&lt;=0,"Aussenlager","teilweise")))))</f>
        <v>Lift</v>
      </c>
      <c r="BL768" s="60" t="str">
        <f aca="false">IF(AT768&lt;=0,"",IF(CG768="Aussen","Aussenlager",IF(CG768="-","Nicht im Lift",IF(AZ768&gt;=1,"Lift",IF(AZ768&lt;=0,"Aussenlager","teilweise")))))</f>
        <v>Lift</v>
      </c>
      <c r="BM768" s="60" t="str">
        <f aca="false">IF(BD768&lt;=0,"",IF(CG768="Aussen","Aussenlager",IF(CG768="-","Nicht im Lift",IF(BJ768&gt;=1,"Lift",IF(BJ768&lt;=0,"Aussenlager","teilweise")))))</f>
        <v>Lift</v>
      </c>
      <c r="BN768" s="60" t="str">
        <f aca="false">IF(A768="","",IF(BW768=1,"Neu; ","")&amp;IF(AND(BW768=0,BR768&lt;0),"negativer Bestand (Export "&amp;BR768&amp;"); ","")&amp;IF(J768&lt;=0,"Kein Verbrauch; ","")&amp;IF(CR768&gt;0,"Lift "&amp;W768&amp;" lt. Liftbericht (Fach "&amp;X768&amp;" Stk); ",IF(CB768=1,"Gebinde geschätzt ("&amp;T768&amp;"); ",IF(CA768=1,"Lose – Tablare geschätzt; ","")))&amp;IF(H768&gt;AW768,"Überbestand "&amp;ROUND(H768-AW768,0)&amp;" Stk / CHF "&amp;ROUND((H768-AW768)*G768,0)&amp;"; ","")&amp;IF(AND(CI768=1,CJ768&lt;CK768),"MAX &lt; MB+LG; ","")&amp;IF(AND(CQ768&gt;0,CP768*10&gt;CQ768),"zu hoch für Tablar; ","")&amp;IF(AND(BW768=0,OR(CI768=1,AB768&lt;&gt;"",U768&lt;&gt;"",V768&lt;&gt;"",AC768&lt;&gt;"")),"manuell übersteuert; ","")&amp;IF(AND(CA768=0,R768=0),"Gebinde unbekannt / Stellmass fehlt; ","")&amp;IF(AND(CA768=0,N(V768)&lt;=0,N(Q768)&lt;=0),"Menge pro Gebinde fehlt (Ist = 1 Gebinde); ","")&amp;BV768)</f>
        <v>negativer Bestand (Export -34); Überbestand 267 Stk / CHF 8; </v>
      </c>
      <c r="BO768" s="60"/>
      <c r="BP768" s="60"/>
      <c r="BQ768" s="67"/>
      <c r="BR768" s="62" t="n">
        <v>-34</v>
      </c>
      <c r="BS768" s="62" t="n">
        <v>311</v>
      </c>
      <c r="BT768" s="61" t="n">
        <v>-1.02</v>
      </c>
      <c r="BU768" s="62" t="n">
        <v>12</v>
      </c>
      <c r="BV768" s="60"/>
      <c r="BW768" s="65" t="n">
        <v>0</v>
      </c>
      <c r="BX768" s="65" t="n">
        <v>768</v>
      </c>
      <c r="BY768" s="60" t="str">
        <f aca="false">IF(U768&lt;&gt;"",UPPER(TRIM(U768)),IF(CB768=1,UPPER(VLOOKUP(T768,Parameter!$I$27:$K$29,2,0)),IF(P768="","LOSE",P768)))</f>
        <v>S32</v>
      </c>
      <c r="BZ768" s="62" t="n">
        <f aca="false">IF(BY768="LOSE",1,IF(N(V768)&gt;0,V768,IF(CB768=1,MAX(1,N(VLOOKUP(T768,Parameter!$I$27:$K$29,3,0)),H768,N(N768)),IF(N(Q768)&gt;0,Q768,MAX(1,H768)))))</f>
        <v>380</v>
      </c>
      <c r="CA768" s="65" t="n">
        <f aca="false">IF(BY768="LOSE",1,0)</f>
        <v>0</v>
      </c>
      <c r="CB768" s="65" t="n">
        <f aca="false">IF(AND(U768="",OR(P768="",P768="LOSE"),T768&lt;&gt;"",N(S768)&lt;=0,ISNUMBER(MATCH(T768,Parameter!$I$27:$I$29,0))),1,0)</f>
        <v>0</v>
      </c>
      <c r="CC768" s="65" t="n">
        <f aca="false">IF(CR768&gt;0,INDEX(Parameter!$H$5:$H$7,W768)/INDEX(Parameter!$E$5:$E$7,W768),IF(AND(CA768=0,N(IFERROR(VLOOKUP(BY768,'Gebinde-Kategorie'!$A$5:$N$45,14,0),0))&gt;0),VLOOKUP(BY768,'Gebinde-Kategorie'!$A$5:$N$45,14,0)*10+Parameter!$M$23,Parameter!$M$24))</f>
        <v>155</v>
      </c>
      <c r="CD768" s="60" t="str">
        <f aca="false">IF(AND(Parameter!$B$19="Ja",E768&lt;&gt;"",ISNUMBER(MATCH(E768,Parameter!$I$35:$I$52,0))),VLOOKUP(E768,Parameter!$I$35:$J$52,2,0),IFERROR(VLOOKUP(D768,Parameter!$A$35:$C$64,2,0),"Nein"))</f>
        <v>2+3</v>
      </c>
      <c r="CE768" s="64" t="n">
        <f aca="false">IF(CA768=0,0,IF(N(S768)&gt;0,S768,IFERROR(VLOOKUP(D768,Parameter!$A$35:$C$64,3,0)+0,0)))</f>
        <v>0</v>
      </c>
      <c r="CF768" s="60" t="n">
        <f aca="false">IF(AB768&lt;&gt;"",AB768,AA768)</f>
        <v>3</v>
      </c>
      <c r="CG768" s="60" t="str">
        <f aca="false">IF(OR(CF768=1,CF768=2,CF768=3),IF(Parameter!$E$27="Ja","LIFT",IF(CF768=1,"L1","L23")),IF(CF768="Aussen","Aussen","-"))</f>
        <v>LIFT</v>
      </c>
      <c r="CH768" s="71" t="n">
        <f aca="false">IF(N(AC768)&gt;0,AC768,0)</f>
        <v>0</v>
      </c>
      <c r="CI768" s="65" t="n">
        <f aca="false">IF(ISNUMBER(AF768),1,0)</f>
        <v>0</v>
      </c>
      <c r="CJ768" s="62" t="n">
        <f aca="false">N(AF768)</f>
        <v>0</v>
      </c>
      <c r="CK768" s="62" t="n">
        <f aca="false">N(M768)+N(N768)</f>
        <v>10</v>
      </c>
      <c r="CL768" s="62" t="n">
        <f aca="false">N(M768)</f>
        <v>0</v>
      </c>
      <c r="CM768" s="62" t="n">
        <f aca="false">N(N768)</f>
        <v>10</v>
      </c>
      <c r="CN768" s="62" t="n">
        <f aca="false">ROUNDUP(H768/BZ768,0)</f>
        <v>1</v>
      </c>
      <c r="CO768" s="62" t="n">
        <f aca="false">ROUNDUP(CJ768/BZ768,0)</f>
        <v>0</v>
      </c>
      <c r="CP768" s="65" t="n">
        <f aca="false">IF(CA768=1,0,IFERROR(VLOOKUP(BY768,'Gebinde-Kategorie'!$A$5:$N$45,5,0)+0,0))</f>
        <v>8</v>
      </c>
      <c r="CQ768" s="65" t="n">
        <f aca="false">IFERROR(IF(OR(CF768=1,CF768=2,CF768=3),N(INDEX(Parameter!$I$5:$I$7,CF768)),0),0)</f>
        <v>0</v>
      </c>
      <c r="CR768" s="64" t="n">
        <f aca="false">IF(AND(Parameter!$B$21="Ja",ISNUMBER(W768),N(X768)&gt;0),IFERROR(N(INDEX(Parameter!$L$5:$L$7,W768))*INDEX(Parameter!$E$5:$E$7,W768)*X768/SUMIFS($X$7:$X$1843,$W$7:$W$1843,W768),0),0)</f>
        <v>0</v>
      </c>
      <c r="CS768" s="62" t="n">
        <f aca="false">IF(AND(OR(CG768="L1",CG768="L23",CG768="LIFT"),H768&gt;0),CC768*IF(CR768&gt;0,CR768*MAX(1,H768/X768),IF(CA768=1,CE768,IF(R768&gt;0,CN768/R768,0))/MAX(0.1,N(Parameter!$M$21))),"")</f>
        <v>1.49038461538462</v>
      </c>
      <c r="CT768" s="64" t="n">
        <f aca="false">IF(CS768="","",J768/H768)</f>
        <v>0.0433212996389892</v>
      </c>
      <c r="CU768" s="62" t="n">
        <f aca="false">IF(CS768="","",H768*G768)</f>
        <v>8.31</v>
      </c>
      <c r="CV768" s="63" t="n">
        <f aca="false">IF(CS768="","",(CL768+ROUNDUP(CL768+MAX(CM768,2*(J768/MAX(0.1,N(Einkauf!$C$6))-CL768)),0))/2)</f>
        <v>5</v>
      </c>
      <c r="CW768" s="62" t="n">
        <f aca="false">IF(CS768="","",MAX(0,H768-CV768)*G768)</f>
        <v>8.16</v>
      </c>
      <c r="CX768" s="62" t="n">
        <f aca="false">IF(CS768="","",CS768*MAX(0,1-CV768/H768))</f>
        <v>1.46348236600944</v>
      </c>
      <c r="CY768" s="64" t="n">
        <f aca="false">IF(CS768="","",PERCENTRANK($CS$7:$CS$1843,CS768)+PERCENTRANK($CU$7:$CU$1843,CU768)+1-PERCENTRANK($CT$7:$CT$1843,CT768))</f>
        <v>0.7567</v>
      </c>
      <c r="CZ768" s="72" t="n">
        <f aca="false">IF(CS768="","",CHOOSE(MATCH(Einkauf!$C$5,Parameter!$G$23:$G$27,0),CY768,CS768,CU768,-CT768,CW768)+ROW()/1000000000)</f>
        <v>0.756700768</v>
      </c>
    </row>
    <row r="769" customFormat="false" ht="15" hidden="false" customHeight="false" outlineLevel="0" collapsed="false">
      <c r="A769" s="60" t="s">
        <v>1554</v>
      </c>
      <c r="B769" s="60" t="s">
        <v>1064</v>
      </c>
      <c r="C769" s="60" t="s">
        <v>206</v>
      </c>
      <c r="D769" s="60" t="s">
        <v>226</v>
      </c>
      <c r="E769" s="60" t="s">
        <v>227</v>
      </c>
      <c r="F769" s="60" t="s">
        <v>260</v>
      </c>
      <c r="G769" s="61" t="n">
        <v>0.54</v>
      </c>
      <c r="H769" s="62" t="n">
        <f aca="false">MAX(0,IF(AND(Parameter!$B$21="Ja",ISNUMBER(Y769)),Y769,IF(Parameter!$B$20="Jahresanfang 2025 + Export",BS769+BR769,BR769)))</f>
        <v>408</v>
      </c>
      <c r="I769" s="62" t="n">
        <f aca="false">H769*G769</f>
        <v>220.32</v>
      </c>
      <c r="J769" s="62" t="n">
        <f aca="false">BU769*Parameter!$B$18</f>
        <v>0</v>
      </c>
      <c r="K769" s="63" t="n">
        <v>409</v>
      </c>
      <c r="L769" s="64" t="n">
        <v>0</v>
      </c>
      <c r="M769" s="62" t="n">
        <v>0</v>
      </c>
      <c r="N769" s="62" t="n">
        <v>1</v>
      </c>
      <c r="O769" s="65" t="n">
        <v>14</v>
      </c>
      <c r="P769" s="60" t="s">
        <v>344</v>
      </c>
      <c r="Q769" s="62" t="n">
        <v>440</v>
      </c>
      <c r="R769" s="65" t="n">
        <f aca="false">IF(CA769=1,0,IFERROR(VLOOKUP(BY769,'Gebinde-Kategorie'!$A$5:$N$45,13,0)+0,0))</f>
        <v>26</v>
      </c>
      <c r="S769" s="66"/>
      <c r="T769" s="67"/>
      <c r="U769" s="67"/>
      <c r="V769" s="67"/>
      <c r="W769" s="60"/>
      <c r="X769" s="62"/>
      <c r="Y769" s="62"/>
      <c r="Z769" s="60" t="n">
        <v>3</v>
      </c>
      <c r="AA769" s="60" t="n">
        <f aca="false">IF(A769="","",IF(AND(Parameter!$B$21="Ja",ISNUMBER(W769)),W769,IF(AND(Parameter!$E$27="Ja",ISNUMBER(Z769),CD769&lt;&gt;"Nein"),Z769,IF(CD769="2+3",IF(ISNUMBER(SEARCH("grosser Artikel",BV769)),2,IFERROR(VLOOKUP(BY769,Parameter!$F$35:$G$64,2,0),2)),IF(OR(CD769="Nein",CD769=""),"-",CD769)))))</f>
        <v>3</v>
      </c>
      <c r="AB769" s="67"/>
      <c r="AC769" s="68"/>
      <c r="AD769" s="62" t="n">
        <f aca="false">AW769</f>
        <v>1</v>
      </c>
      <c r="AE769" s="62" t="n">
        <f aca="false">MAX(AW769,H769)</f>
        <v>408</v>
      </c>
      <c r="AF769" s="69"/>
      <c r="AG769" s="62" t="n">
        <f aca="false">IF(LEFT(Cockpit!$C$5,1)="A",H769,IF(Parameter!$E$30="MAX-Bestand",IF(CI769=1,CJ769,IF(LEFT(Cockpit!$C$5,1)="B",AM769,MAX(AM769,H769))),ROUNDUP(AK769,0)))</f>
        <v>408</v>
      </c>
      <c r="AH769" s="62" t="n">
        <f aca="false">IF(CA769=1,0,ROUNDUP(AG769/BZ769,0))</f>
        <v>1</v>
      </c>
      <c r="AI769" s="64" t="n">
        <f aca="false">IF(CR769&gt;0,CR769*MAX(1,AG769/X769),IF(CA769=1,IF(AG769&lt;=0,0,CE769*MAX(1,IF(H769&gt;0,AG769/H769,1))),IF(R769&gt;0,AH769/R769,0))/MAX(0.1,N(Parameter!$M$21)))</f>
        <v>0.0384615384615385</v>
      </c>
      <c r="AJ769" s="62" t="n">
        <f aca="false">AI769*CC769</f>
        <v>5.96153846153846</v>
      </c>
      <c r="AK769" s="63" t="n">
        <f aca="false">IF(LEFT(Cockpit!$C$5,1)="A",H769,IF(CI769=1,(CL769+CJ769)/2,IF(LEFT(Cockpit!$C$5,1)="B",(CL769+AM769)/2,MAX((CL769+AM769)/2,H769))))</f>
        <v>408</v>
      </c>
      <c r="AL769" s="62" t="n">
        <f aca="false">AK769*G769</f>
        <v>220.32</v>
      </c>
      <c r="AM769" s="62" t="n">
        <f aca="false">ROUNDUP(CL769+MAX(CM769,2*(J769/IF(CH769&gt;0,CH769,MAX(0.1,N(Cockpit!$C$6)))-CL769)),0)</f>
        <v>1</v>
      </c>
      <c r="AN769" s="63" t="n">
        <f aca="false">IF(AJ769&gt;0,J769/AJ769,-1)</f>
        <v>0</v>
      </c>
      <c r="AO769" s="63" t="n">
        <f aca="false">IF(AND(OR(CG769="L1",CG769="L23",CG769="LIFT"),AJ769&gt;0),SUMIFS($AJ$7:$AJ$1843,$CG$7:$CG$1843,CG769,$AN$7:$AN$1843,"&gt;"&amp;AN769)+SUMIFS($AJ$7:$AJ$1843,$CG$7:$CG$1843,CG769,$AN$7:$AN$1843,AN769,$BX$7:$BX$1843,"&lt;="&amp;BX769),"")</f>
        <v>28738.7584099046</v>
      </c>
      <c r="AP769" s="70" t="n">
        <f aca="false">IF(AO769="",0,MAX(0,MIN(1,(IF(CG769="L1",Parameter!$H$5,IF(CG769="L23",Parameter!$H$6+Parameter!$H$7,Parameter!$H$5+Parameter!$H$6+Parameter!$H$7))-(AO769-AJ769))/AJ769)))</f>
        <v>1</v>
      </c>
      <c r="AQ769" s="62" t="n">
        <f aca="false">IF(LEFT(Cockpit!$I$5,1)="A",H769,IF(Parameter!$E$30="MAX-Bestand",IF(CI769=1,CJ769,IF(LEFT(Cockpit!$I$5,1)="B",AW769,MAX(AW769,H769))),ROUNDUP(AU769,0)))</f>
        <v>408</v>
      </c>
      <c r="AR769" s="62" t="n">
        <f aca="false">IF(CA769=1,0,ROUNDUP(AQ769/BZ769,0))</f>
        <v>1</v>
      </c>
      <c r="AS769" s="64" t="n">
        <f aca="false">IF(CR769&gt;0,CR769*MAX(1,AQ769/X769),IF(CA769=1,IF(AQ769&lt;=0,0,CE769*MAX(1,IF(H769&gt;0,AQ769/H769,1))),IF(R769&gt;0,AR769/R769,0))/MAX(0.1,N(Parameter!$M$21)))</f>
        <v>0.0384615384615385</v>
      </c>
      <c r="AT769" s="62" t="n">
        <f aca="false">AS769*CC769</f>
        <v>5.96153846153846</v>
      </c>
      <c r="AU769" s="63" t="n">
        <f aca="false">IF(LEFT(Cockpit!$I$5,1)="A",H769,IF(CI769=1,(CL769+CJ769)/2,IF(LEFT(Cockpit!$I$5,1)="B",(CL769+AW769)/2,MAX((CL769+AW769)/2,H769))))</f>
        <v>408</v>
      </c>
      <c r="AV769" s="62" t="n">
        <f aca="false">AU769*G769</f>
        <v>220.32</v>
      </c>
      <c r="AW769" s="62" t="n">
        <f aca="false">ROUNDUP(CL769+MAX(CM769,2*(J769/IF(CH769&gt;0,CH769,MAX(0.1,N(Cockpit!$I$6)))-CL769)),0)</f>
        <v>1</v>
      </c>
      <c r="AX769" s="63" t="n">
        <f aca="false">IF(AT769&gt;0,J769/AT769,-1)</f>
        <v>0</v>
      </c>
      <c r="AY769" s="63" t="n">
        <f aca="false">IF(AND(OR(CG769="L1",CG769="L23",CG769="LIFT"),AT769&gt;0),SUMIFS($AT$7:$AT$1843,$CG$7:$CG$1843,CG769,$AX$7:$AX$1843,"&gt;"&amp;AX769)+SUMIFS($AT$7:$AT$1843,$CG$7:$CG$1843,CG769,$AX$7:$AX$1843,AX769,$BX$7:$BX$1843,"&lt;="&amp;BX769),"")</f>
        <v>34343.5416666667</v>
      </c>
      <c r="AZ769" s="70" t="n">
        <f aca="false">IF(AY769="",0,MAX(0,MIN(1,(IF(CG769="L1",Parameter!$H$5,IF(CG769="L23",Parameter!$H$6+Parameter!$H$7,Parameter!$H$5+Parameter!$H$6+Parameter!$H$7))-(AY769-AT769))/AT769)))</f>
        <v>1</v>
      </c>
      <c r="BA769" s="62" t="n">
        <f aca="false">IF(LEFT(Cockpit!$O$5,1)="A",H769,IF(Parameter!$E$30="MAX-Bestand",IF(CI769=1,CJ769,IF(LEFT(Cockpit!$O$5,1)="B",BG769,MAX(BG769,H769))),ROUNDUP(BE769,0)))</f>
        <v>1</v>
      </c>
      <c r="BB769" s="62" t="n">
        <f aca="false">IF(CA769=1,0,ROUNDUP(BA769/BZ769,0))</f>
        <v>1</v>
      </c>
      <c r="BC769" s="64" t="n">
        <f aca="false">IF(CR769&gt;0,CR769*MAX(1,BA769/X769),IF(CA769=1,IF(BA769&lt;=0,0,CE769*MAX(1,IF(H769&gt;0,BA769/H769,1))),IF(R769&gt;0,BB769/R769,0))/MAX(0.1,N(Parameter!$M$21)))</f>
        <v>0.0384615384615385</v>
      </c>
      <c r="BD769" s="62" t="n">
        <f aca="false">BC769*CC769</f>
        <v>5.96153846153846</v>
      </c>
      <c r="BE769" s="63" t="n">
        <f aca="false">IF(LEFT(Cockpit!$O$5,1)="A",H769,IF(CI769=1,(CL769+CJ769)/2,IF(LEFT(Cockpit!$O$5,1)="B",(CL769+BG769)/2,MAX((CL769+BG769)/2,H769))))</f>
        <v>0.5</v>
      </c>
      <c r="BF769" s="62" t="n">
        <f aca="false">BE769*G769</f>
        <v>0.27</v>
      </c>
      <c r="BG769" s="62" t="n">
        <f aca="false">ROUNDUP(CL769+MAX(CM769,2*(J769/IF(CH769&gt;0,CH769,MAX(0.1,N(Cockpit!$O$6)))-CL769)),0)</f>
        <v>1</v>
      </c>
      <c r="BH769" s="63" t="n">
        <f aca="false">IF(BD769&gt;0,J769/BD769,-1)</f>
        <v>0</v>
      </c>
      <c r="BI769" s="63" t="n">
        <f aca="false">IF(AND(OR(CG769="L1",CG769="L23",CG769="LIFT"),BD769&gt;0),SUMIFS($BD$7:$BD$1843,$CG$7:$CG$1843,CG769,$BH$7:$BH$1843,"&gt;"&amp;BH769)+SUMIFS($BD$7:$BD$1843,$CG$7:$CG$1843,CG769,$BH$7:$BH$1843,BH769,$BX$7:$BX$1843,"&lt;="&amp;BX769),"")</f>
        <v>28387.4115136276</v>
      </c>
      <c r="BJ769" s="70" t="n">
        <f aca="false">IF(BI769="",0,MAX(0,MIN(1,(IF(CG769="L1",Parameter!$H$5,IF(CG769="L23",Parameter!$H$6+Parameter!$H$7,Parameter!$H$5+Parameter!$H$6+Parameter!$H$7))-(BI769-BD769))/BD769)))</f>
        <v>1</v>
      </c>
      <c r="BK769" s="60" t="str">
        <f aca="false">IF(AJ769&lt;=0,"",IF(CG769="Aussen","Aussenlager",IF(CG769="-","Nicht im Lift",IF(AP769&gt;=1,"Lift",IF(AP769&lt;=0,"Aussenlager","teilweise")))))</f>
        <v>Lift</v>
      </c>
      <c r="BL769" s="60" t="str">
        <f aca="false">IF(AT769&lt;=0,"",IF(CG769="Aussen","Aussenlager",IF(CG769="-","Nicht im Lift",IF(AZ769&gt;=1,"Lift",IF(AZ769&lt;=0,"Aussenlager","teilweise")))))</f>
        <v>Lift</v>
      </c>
      <c r="BM769" s="60" t="str">
        <f aca="false">IF(BD769&lt;=0,"",IF(CG769="Aussen","Aussenlager",IF(CG769="-","Nicht im Lift",IF(BJ769&gt;=1,"Lift",IF(BJ769&lt;=0,"Aussenlager","teilweise")))))</f>
        <v>Lift</v>
      </c>
      <c r="BN769" s="60" t="str">
        <f aca="false">IF(A769="","",IF(BW769=1,"Neu; ","")&amp;IF(AND(BW769=0,BR769&lt;0),"negativer Bestand (Export "&amp;BR769&amp;"); ","")&amp;IF(J769&lt;=0,"Kein Verbrauch; ","")&amp;IF(CR769&gt;0,"Lift "&amp;W769&amp;" lt. Liftbericht (Fach "&amp;X769&amp;" Stk); ",IF(CB769=1,"Gebinde geschätzt ("&amp;T769&amp;"); ",IF(CA769=1,"Lose – Tablare geschätzt; ","")))&amp;IF(H769&gt;AW769,"Überbestand "&amp;ROUND(H769-AW769,0)&amp;" Stk / CHF "&amp;ROUND((H769-AW769)*G769,0)&amp;"; ","")&amp;IF(AND(CI769=1,CJ769&lt;CK769),"MAX &lt; MB+LG; ","")&amp;IF(AND(CQ769&gt;0,CP769*10&gt;CQ769),"zu hoch für Tablar; ","")&amp;IF(AND(BW769=0,OR(CI769=1,AB769&lt;&gt;"",U769&lt;&gt;"",V769&lt;&gt;"",AC769&lt;&gt;"")),"manuell übersteuert; ","")&amp;IF(AND(CA769=0,R769=0),"Gebinde unbekannt / Stellmass fehlt; ","")&amp;IF(AND(CA769=0,N(V769)&lt;=0,N(Q769)&lt;=0),"Menge pro Gebinde fehlt (Ist = 1 Gebinde); ","")&amp;BV769)</f>
        <v>negativer Bestand (Export -2); Kein Verbrauch; Überbestand 407 Stk / CHF 220; Neu</v>
      </c>
      <c r="BO769" s="60"/>
      <c r="BP769" s="60"/>
      <c r="BQ769" s="67"/>
      <c r="BR769" s="62" t="n">
        <v>-2</v>
      </c>
      <c r="BS769" s="62" t="n">
        <v>410</v>
      </c>
      <c r="BT769" s="61" t="n">
        <v>-1.08</v>
      </c>
      <c r="BU769" s="62" t="n">
        <v>0</v>
      </c>
      <c r="BV769" s="60" t="s">
        <v>668</v>
      </c>
      <c r="BW769" s="65" t="n">
        <v>0</v>
      </c>
      <c r="BX769" s="65" t="n">
        <v>769</v>
      </c>
      <c r="BY769" s="60" t="str">
        <f aca="false">IF(U769&lt;&gt;"",UPPER(TRIM(U769)),IF(CB769=1,UPPER(VLOOKUP(T769,Parameter!$I$27:$K$29,2,0)),IF(P769="","LOSE",P769)))</f>
        <v>S51</v>
      </c>
      <c r="BZ769" s="62" t="n">
        <f aca="false">IF(BY769="LOSE",1,IF(N(V769)&gt;0,V769,IF(CB769=1,MAX(1,N(VLOOKUP(T769,Parameter!$I$27:$K$29,3,0)),H769,N(N769)),IF(N(Q769)&gt;0,Q769,MAX(1,H769)))))</f>
        <v>440</v>
      </c>
      <c r="CA769" s="65" t="n">
        <f aca="false">IF(BY769="LOSE",1,0)</f>
        <v>0</v>
      </c>
      <c r="CB769" s="65" t="n">
        <f aca="false">IF(AND(U769="",OR(P769="",P769="LOSE"),T769&lt;&gt;"",N(S769)&lt;=0,ISNUMBER(MATCH(T769,Parameter!$I$27:$I$29,0))),1,0)</f>
        <v>0</v>
      </c>
      <c r="CC769" s="65" t="n">
        <f aca="false">IF(CR769&gt;0,INDEX(Parameter!$H$5:$H$7,W769)/INDEX(Parameter!$E$5:$E$7,W769),IF(AND(CA769=0,N(IFERROR(VLOOKUP(BY769,'Gebinde-Kategorie'!$A$5:$N$45,14,0),0))&gt;0),VLOOKUP(BY769,'Gebinde-Kategorie'!$A$5:$N$45,14,0)*10+Parameter!$M$23,Parameter!$M$24))</f>
        <v>155</v>
      </c>
      <c r="CD769" s="60" t="str">
        <f aca="false">IF(AND(Parameter!$B$19="Ja",E769&lt;&gt;"",ISNUMBER(MATCH(E769,Parameter!$I$35:$I$52,0))),VLOOKUP(E769,Parameter!$I$35:$J$52,2,0),IFERROR(VLOOKUP(D769,Parameter!$A$35:$C$64,2,0),"Nein"))</f>
        <v>2+3</v>
      </c>
      <c r="CE769" s="64" t="n">
        <f aca="false">IF(CA769=0,0,IF(N(S769)&gt;0,S769,IFERROR(VLOOKUP(D769,Parameter!$A$35:$C$64,3,0)+0,0)))</f>
        <v>0</v>
      </c>
      <c r="CF769" s="60" t="n">
        <f aca="false">IF(AB769&lt;&gt;"",AB769,AA769)</f>
        <v>3</v>
      </c>
      <c r="CG769" s="60" t="str">
        <f aca="false">IF(OR(CF769=1,CF769=2,CF769=3),IF(Parameter!$E$27="Ja","LIFT",IF(CF769=1,"L1","L23")),IF(CF769="Aussen","Aussen","-"))</f>
        <v>LIFT</v>
      </c>
      <c r="CH769" s="71" t="n">
        <f aca="false">IF(N(AC769)&gt;0,AC769,0)</f>
        <v>0</v>
      </c>
      <c r="CI769" s="65" t="n">
        <f aca="false">IF(ISNUMBER(AF769),1,0)</f>
        <v>0</v>
      </c>
      <c r="CJ769" s="62" t="n">
        <f aca="false">N(AF769)</f>
        <v>0</v>
      </c>
      <c r="CK769" s="62" t="n">
        <f aca="false">N(M769)+N(N769)</f>
        <v>1</v>
      </c>
      <c r="CL769" s="62" t="n">
        <f aca="false">N(M769)</f>
        <v>0</v>
      </c>
      <c r="CM769" s="62" t="n">
        <f aca="false">N(N769)</f>
        <v>1</v>
      </c>
      <c r="CN769" s="62" t="n">
        <f aca="false">ROUNDUP(H769/BZ769,0)</f>
        <v>1</v>
      </c>
      <c r="CO769" s="62" t="n">
        <f aca="false">ROUNDUP(CJ769/BZ769,0)</f>
        <v>0</v>
      </c>
      <c r="CP769" s="65" t="n">
        <f aca="false">IF(CA769=1,0,IFERROR(VLOOKUP(BY769,'Gebinde-Kategorie'!$A$5:$N$45,5,0)+0,0))</f>
        <v>11</v>
      </c>
      <c r="CQ769" s="65" t="n">
        <f aca="false">IFERROR(IF(OR(CF769=1,CF769=2,CF769=3),N(INDEX(Parameter!$I$5:$I$7,CF769)),0),0)</f>
        <v>0</v>
      </c>
      <c r="CR769" s="64" t="n">
        <f aca="false">IF(AND(Parameter!$B$21="Ja",ISNUMBER(W769),N(X769)&gt;0),IFERROR(N(INDEX(Parameter!$L$5:$L$7,W769))*INDEX(Parameter!$E$5:$E$7,W769)*X769/SUMIFS($X$7:$X$1843,$W$7:$W$1843,W769),0),0)</f>
        <v>0</v>
      </c>
      <c r="CS769" s="62" t="n">
        <f aca="false">IF(AND(OR(CG769="L1",CG769="L23",CG769="LIFT"),H769&gt;0),CC769*IF(CR769&gt;0,CR769*MAX(1,H769/X769),IF(CA769=1,CE769,IF(R769&gt;0,CN769/R769,0))/MAX(0.1,N(Parameter!$M$21))),"")</f>
        <v>5.96153846153846</v>
      </c>
      <c r="CT769" s="64" t="n">
        <f aca="false">IF(CS769="","",J769/H769)</f>
        <v>0</v>
      </c>
      <c r="CU769" s="62" t="n">
        <f aca="false">IF(CS769="","",H769*G769)</f>
        <v>220.32</v>
      </c>
      <c r="CV769" s="63" t="n">
        <f aca="false">IF(CS769="","",(CL769+ROUNDUP(CL769+MAX(CM769,2*(J769/MAX(0.1,N(Einkauf!$C$6))-CL769)),0))/2)</f>
        <v>0.5</v>
      </c>
      <c r="CW769" s="62" t="n">
        <f aca="false">IF(CS769="","",MAX(0,H769-CV769)*G769)</f>
        <v>220.05</v>
      </c>
      <c r="CX769" s="62" t="n">
        <f aca="false">IF(CS769="","",CS769*MAX(0,1-CV769/H769))</f>
        <v>5.9542326546003</v>
      </c>
      <c r="CY769" s="64" t="n">
        <f aca="false">IF(CS769="","",PERCENTRANK($CS$7:$CS$1843,CS769)+PERCENTRANK($CU$7:$CU$1843,CU769)+1-PERCENTRANK($CT$7:$CT$1843,CT769))</f>
        <v>1.711</v>
      </c>
      <c r="CZ769" s="72" t="n">
        <f aca="false">IF(CS769="","",CHOOSE(MATCH(Einkauf!$C$5,Parameter!$G$23:$G$27,0),CY769,CS769,CU769,-CT769,CW769)+ROW()/1000000000)</f>
        <v>1.711000769</v>
      </c>
    </row>
    <row r="770" customFormat="false" ht="15" hidden="false" customHeight="false" outlineLevel="0" collapsed="false">
      <c r="A770" s="60" t="s">
        <v>1555</v>
      </c>
      <c r="B770" s="60" t="s">
        <v>696</v>
      </c>
      <c r="C770" s="60" t="s">
        <v>206</v>
      </c>
      <c r="D770" s="60" t="s">
        <v>226</v>
      </c>
      <c r="E770" s="60" t="s">
        <v>227</v>
      </c>
      <c r="F770" s="60" t="s">
        <v>260</v>
      </c>
      <c r="G770" s="61" t="n">
        <v>0.01</v>
      </c>
      <c r="H770" s="62" t="n">
        <f aca="false">MAX(0,IF(AND(Parameter!$B$21="Ja",ISNUMBER(Y770)),Y770,IF(Parameter!$B$20="Jahresanfang 2025 + Export",BS770+BR770,BR770)))</f>
        <v>456</v>
      </c>
      <c r="I770" s="62" t="n">
        <f aca="false">H770*G770</f>
        <v>4.56</v>
      </c>
      <c r="J770" s="62" t="n">
        <f aca="false">BU770*Parameter!$B$18</f>
        <v>716</v>
      </c>
      <c r="K770" s="63" t="n">
        <v>491</v>
      </c>
      <c r="L770" s="64" t="n">
        <v>1.45824847250509</v>
      </c>
      <c r="M770" s="62" t="n">
        <v>41</v>
      </c>
      <c r="N770" s="62" t="n">
        <v>715</v>
      </c>
      <c r="O770" s="65" t="n">
        <v>21</v>
      </c>
      <c r="P770" s="60" t="s">
        <v>463</v>
      </c>
      <c r="Q770" s="62" t="n">
        <v>819</v>
      </c>
      <c r="R770" s="65" t="n">
        <f aca="false">IF(CA770=1,0,IFERROR(VLOOKUP(BY770,'Gebinde-Kategorie'!$A$5:$N$45,13,0)+0,0))</f>
        <v>104</v>
      </c>
      <c r="S770" s="66"/>
      <c r="T770" s="67"/>
      <c r="U770" s="67"/>
      <c r="V770" s="67"/>
      <c r="W770" s="60"/>
      <c r="X770" s="62"/>
      <c r="Y770" s="62"/>
      <c r="Z770" s="60" t="n">
        <v>3</v>
      </c>
      <c r="AA770" s="60" t="n">
        <f aca="false">IF(A770="","",IF(AND(Parameter!$B$21="Ja",ISNUMBER(W770)),W770,IF(AND(Parameter!$E$27="Ja",ISNUMBER(Z770),CD770&lt;&gt;"Nein"),Z770,IF(CD770="2+3",IF(ISNUMBER(SEARCH("grosser Artikel",BV770)),2,IFERROR(VLOOKUP(BY770,Parameter!$F$35:$G$64,2,0),2)),IF(OR(CD770="Nein",CD770=""),"-",CD770)))))</f>
        <v>3</v>
      </c>
      <c r="AB770" s="67"/>
      <c r="AC770" s="68"/>
      <c r="AD770" s="62" t="n">
        <f aca="false">AW770</f>
        <v>756</v>
      </c>
      <c r="AE770" s="62" t="n">
        <f aca="false">MAX(AW770,H770)</f>
        <v>756</v>
      </c>
      <c r="AF770" s="69"/>
      <c r="AG770" s="62" t="n">
        <f aca="false">IF(LEFT(Cockpit!$C$5,1)="A",H770,IF(Parameter!$E$30="MAX-Bestand",IF(CI770=1,CJ770,IF(LEFT(Cockpit!$C$5,1)="B",AM770,MAX(AM770,H770))),ROUNDUP(AK770,0)))</f>
        <v>456</v>
      </c>
      <c r="AH770" s="62" t="n">
        <f aca="false">IF(CA770=1,0,ROUNDUP(AG770/BZ770,0))</f>
        <v>1</v>
      </c>
      <c r="AI770" s="64" t="n">
        <f aca="false">IF(CR770&gt;0,CR770*MAX(1,AG770/X770),IF(CA770=1,IF(AG770&lt;=0,0,CE770*MAX(1,IF(H770&gt;0,AG770/H770,1))),IF(R770&gt;0,AH770/R770,0))/MAX(0.1,N(Parameter!$M$21)))</f>
        <v>0.00961538461538462</v>
      </c>
      <c r="AJ770" s="62" t="n">
        <f aca="false">AI770*CC770</f>
        <v>1.49038461538462</v>
      </c>
      <c r="AK770" s="63" t="n">
        <f aca="false">IF(LEFT(Cockpit!$C$5,1)="A",H770,IF(CI770=1,(CL770+CJ770)/2,IF(LEFT(Cockpit!$C$5,1)="B",(CL770+AM770)/2,MAX((CL770+AM770)/2,H770))))</f>
        <v>456</v>
      </c>
      <c r="AL770" s="62" t="n">
        <f aca="false">AK770*G770</f>
        <v>4.56</v>
      </c>
      <c r="AM770" s="62" t="n">
        <f aca="false">ROUNDUP(CL770+MAX(CM770,2*(J770/IF(CH770&gt;0,CH770,MAX(0.1,N(Cockpit!$C$6)))-CL770)),0)</f>
        <v>756</v>
      </c>
      <c r="AN770" s="63" t="n">
        <f aca="false">IF(AJ770&gt;0,J770/AJ770,-1)</f>
        <v>480.412903225806</v>
      </c>
      <c r="AO770" s="63" t="n">
        <f aca="false">IF(AND(OR(CG770="L1",CG770="L23",CG770="LIFT"),AJ770&gt;0),SUMIFS($AJ$7:$AJ$1843,$CG$7:$CG$1843,CG770,$AN$7:$AN$1843,"&gt;"&amp;AN770)+SUMIFS($AJ$7:$AJ$1843,$CG$7:$CG$1843,CG770,$AN$7:$AN$1843,AN770,$BX$7:$BX$1843,"&lt;="&amp;BX770),"")</f>
        <v>83.0123626373626</v>
      </c>
      <c r="AP770" s="70" t="n">
        <f aca="false">IF(AO770="",0,MAX(0,MIN(1,(IF(CG770="L1",Parameter!$H$5,IF(CG770="L23",Parameter!$H$6+Parameter!$H$7,Parameter!$H$5+Parameter!$H$6+Parameter!$H$7))-(AO770-AJ770))/AJ770)))</f>
        <v>1</v>
      </c>
      <c r="AQ770" s="62" t="n">
        <f aca="false">IF(LEFT(Cockpit!$I$5,1)="A",H770,IF(Parameter!$E$30="MAX-Bestand",IF(CI770=1,CJ770,IF(LEFT(Cockpit!$I$5,1)="B",AW770,MAX(AW770,H770))),ROUNDUP(AU770,0)))</f>
        <v>456</v>
      </c>
      <c r="AR770" s="62" t="n">
        <f aca="false">IF(CA770=1,0,ROUNDUP(AQ770/BZ770,0))</f>
        <v>1</v>
      </c>
      <c r="AS770" s="64" t="n">
        <f aca="false">IF(CR770&gt;0,CR770*MAX(1,AQ770/X770),IF(CA770=1,IF(AQ770&lt;=0,0,CE770*MAX(1,IF(H770&gt;0,AQ770/H770,1))),IF(R770&gt;0,AR770/R770,0))/MAX(0.1,N(Parameter!$M$21)))</f>
        <v>0.00961538461538462</v>
      </c>
      <c r="AT770" s="62" t="n">
        <f aca="false">AS770*CC770</f>
        <v>1.49038461538462</v>
      </c>
      <c r="AU770" s="63" t="n">
        <f aca="false">IF(LEFT(Cockpit!$I$5,1)="A",H770,IF(CI770=1,(CL770+CJ770)/2,IF(LEFT(Cockpit!$I$5,1)="B",(CL770+AW770)/2,MAX((CL770+AW770)/2,H770))))</f>
        <v>456</v>
      </c>
      <c r="AV770" s="62" t="n">
        <f aca="false">AU770*G770</f>
        <v>4.56</v>
      </c>
      <c r="AW770" s="62" t="n">
        <f aca="false">ROUNDUP(CL770+MAX(CM770,2*(J770/IF(CH770&gt;0,CH770,MAX(0.1,N(Cockpit!$I$6)))-CL770)),0)</f>
        <v>756</v>
      </c>
      <c r="AX770" s="63" t="n">
        <f aca="false">IF(AT770&gt;0,J770/AT770,-1)</f>
        <v>480.412903225806</v>
      </c>
      <c r="AY770" s="63" t="n">
        <f aca="false">IF(AND(OR(CG770="L1",CG770="L23",CG770="LIFT"),AT770&gt;0),SUMIFS($AT$7:$AT$1843,$CG$7:$CG$1843,CG770,$AX$7:$AX$1843,"&gt;"&amp;AX770)+SUMIFS($AT$7:$AT$1843,$CG$7:$CG$1843,CG770,$AX$7:$AX$1843,AX770,$BX$7:$BX$1843,"&lt;="&amp;BX770),"")</f>
        <v>93.9010989010989</v>
      </c>
      <c r="AZ770" s="70" t="n">
        <f aca="false">IF(AY770="",0,MAX(0,MIN(1,(IF(CG770="L1",Parameter!$H$5,IF(CG770="L23",Parameter!$H$6+Parameter!$H$7,Parameter!$H$5+Parameter!$H$6+Parameter!$H$7))-(AY770-AT770))/AT770)))</f>
        <v>1</v>
      </c>
      <c r="BA770" s="62" t="n">
        <f aca="false">IF(LEFT(Cockpit!$O$5,1)="A",H770,IF(Parameter!$E$30="MAX-Bestand",IF(CI770=1,CJ770,IF(LEFT(Cockpit!$O$5,1)="B",BG770,MAX(BG770,H770))),ROUNDUP(BE770,0)))</f>
        <v>399</v>
      </c>
      <c r="BB770" s="62" t="n">
        <f aca="false">IF(CA770=1,0,ROUNDUP(BA770/BZ770,0))</f>
        <v>1</v>
      </c>
      <c r="BC770" s="64" t="n">
        <f aca="false">IF(CR770&gt;0,CR770*MAX(1,BA770/X770),IF(CA770=1,IF(BA770&lt;=0,0,CE770*MAX(1,IF(H770&gt;0,BA770/H770,1))),IF(R770&gt;0,BB770/R770,0))/MAX(0.1,N(Parameter!$M$21)))</f>
        <v>0.00961538461538462</v>
      </c>
      <c r="BD770" s="62" t="n">
        <f aca="false">BC770*CC770</f>
        <v>1.49038461538462</v>
      </c>
      <c r="BE770" s="63" t="n">
        <f aca="false">IF(LEFT(Cockpit!$O$5,1)="A",H770,IF(CI770=1,(CL770+CJ770)/2,IF(LEFT(Cockpit!$O$5,1)="B",(CL770+BG770)/2,MAX((CL770+BG770)/2,H770))))</f>
        <v>398.5</v>
      </c>
      <c r="BF770" s="62" t="n">
        <f aca="false">BE770*G770</f>
        <v>3.985</v>
      </c>
      <c r="BG770" s="62" t="n">
        <f aca="false">ROUNDUP(CL770+MAX(CM770,2*(J770/IF(CH770&gt;0,CH770,MAX(0.1,N(Cockpit!$O$6)))-CL770)),0)</f>
        <v>756</v>
      </c>
      <c r="BH770" s="63" t="n">
        <f aca="false">IF(BD770&gt;0,J770/BD770,-1)</f>
        <v>480.412903225806</v>
      </c>
      <c r="BI770" s="63" t="n">
        <f aca="false">IF(AND(OR(CG770="L1",CG770="L23",CG770="LIFT"),BD770&gt;0),SUMIFS($BD$7:$BD$1843,$CG$7:$CG$1843,CG770,$BH$7:$BH$1843,"&gt;"&amp;BH770)+SUMIFS($BD$7:$BD$1843,$CG$7:$CG$1843,CG770,$BH$7:$BH$1843,BH770,$BX$7:$BX$1843,"&lt;="&amp;BX770),"")</f>
        <v>123.966575091575</v>
      </c>
      <c r="BJ770" s="70" t="n">
        <f aca="false">IF(BI770="",0,MAX(0,MIN(1,(IF(CG770="L1",Parameter!$H$5,IF(CG770="L23",Parameter!$H$6+Parameter!$H$7,Parameter!$H$5+Parameter!$H$6+Parameter!$H$7))-(BI770-BD770))/BD770)))</f>
        <v>1</v>
      </c>
      <c r="BK770" s="60" t="str">
        <f aca="false">IF(AJ770&lt;=0,"",IF(CG770="Aussen","Aussenlager",IF(CG770="-","Nicht im Lift",IF(AP770&gt;=1,"Lift",IF(AP770&lt;=0,"Aussenlager","teilweise")))))</f>
        <v>Lift</v>
      </c>
      <c r="BL770" s="60" t="str">
        <f aca="false">IF(AT770&lt;=0,"",IF(CG770="Aussen","Aussenlager",IF(CG770="-","Nicht im Lift",IF(AZ770&gt;=1,"Lift",IF(AZ770&lt;=0,"Aussenlager","teilweise")))))</f>
        <v>Lift</v>
      </c>
      <c r="BM770" s="60" t="str">
        <f aca="false">IF(BD770&lt;=0,"",IF(CG770="Aussen","Aussenlager",IF(CG770="-","Nicht im Lift",IF(BJ770&gt;=1,"Lift",IF(BJ770&lt;=0,"Aussenlager","teilweise")))))</f>
        <v>Lift</v>
      </c>
      <c r="BN770" s="60" t="str">
        <f aca="false">IF(A770="","",IF(BW770=1,"Neu; ","")&amp;IF(AND(BW770=0,BR770&lt;0),"negativer Bestand (Export "&amp;BR770&amp;"); ","")&amp;IF(J770&lt;=0,"Kein Verbrauch; ","")&amp;IF(CR770&gt;0,"Lift "&amp;W770&amp;" lt. Liftbericht (Fach "&amp;X770&amp;" Stk); ",IF(CB770=1,"Gebinde geschätzt ("&amp;T770&amp;"); ",IF(CA770=1,"Lose – Tablare geschätzt; ","")))&amp;IF(H770&gt;AW770,"Überbestand "&amp;ROUND(H770-AW770,0)&amp;" Stk / CHF "&amp;ROUND((H770-AW770)*G770,0)&amp;"; ","")&amp;IF(AND(CI770=1,CJ770&lt;CK770),"MAX &lt; MB+LG; ","")&amp;IF(AND(CQ770&gt;0,CP770*10&gt;CQ770),"zu hoch für Tablar; ","")&amp;IF(AND(BW770=0,OR(CI770=1,AB770&lt;&gt;"",U770&lt;&gt;"",V770&lt;&gt;"",AC770&lt;&gt;"")),"manuell übersteuert; ","")&amp;IF(AND(CA770=0,R770=0),"Gebinde unbekannt / Stellmass fehlt; ","")&amp;IF(AND(CA770=0,N(V770)&lt;=0,N(Q770)&lt;=0),"Menge pro Gebinde fehlt (Ist = 1 Gebinde); ","")&amp;BV770)</f>
        <v>negativer Bestand (Export -110); </v>
      </c>
      <c r="BO770" s="60"/>
      <c r="BP770" s="60"/>
      <c r="BQ770" s="67"/>
      <c r="BR770" s="62" t="n">
        <v>-110</v>
      </c>
      <c r="BS770" s="62" t="n">
        <v>566</v>
      </c>
      <c r="BT770" s="61" t="n">
        <v>-1.1</v>
      </c>
      <c r="BU770" s="62" t="n">
        <v>716</v>
      </c>
      <c r="BV770" s="60"/>
      <c r="BW770" s="65" t="n">
        <v>0</v>
      </c>
      <c r="BX770" s="65" t="n">
        <v>770</v>
      </c>
      <c r="BY770" s="60" t="str">
        <f aca="false">IF(U770&lt;&gt;"",UPPER(TRIM(U770)),IF(CB770=1,UPPER(VLOOKUP(T770,Parameter!$I$27:$K$29,2,0)),IF(P770="","LOSE",P770)))</f>
        <v>S32</v>
      </c>
      <c r="BZ770" s="62" t="n">
        <f aca="false">IF(BY770="LOSE",1,IF(N(V770)&gt;0,V770,IF(CB770=1,MAX(1,N(VLOOKUP(T770,Parameter!$I$27:$K$29,3,0)),H770,N(N770)),IF(N(Q770)&gt;0,Q770,MAX(1,H770)))))</f>
        <v>819</v>
      </c>
      <c r="CA770" s="65" t="n">
        <f aca="false">IF(BY770="LOSE",1,0)</f>
        <v>0</v>
      </c>
      <c r="CB770" s="65" t="n">
        <f aca="false">IF(AND(U770="",OR(P770="",P770="LOSE"),T770&lt;&gt;"",N(S770)&lt;=0,ISNUMBER(MATCH(T770,Parameter!$I$27:$I$29,0))),1,0)</f>
        <v>0</v>
      </c>
      <c r="CC770" s="65" t="n">
        <f aca="false">IF(CR770&gt;0,INDEX(Parameter!$H$5:$H$7,W770)/INDEX(Parameter!$E$5:$E$7,W770),IF(AND(CA770=0,N(IFERROR(VLOOKUP(BY770,'Gebinde-Kategorie'!$A$5:$N$45,14,0),0))&gt;0),VLOOKUP(BY770,'Gebinde-Kategorie'!$A$5:$N$45,14,0)*10+Parameter!$M$23,Parameter!$M$24))</f>
        <v>155</v>
      </c>
      <c r="CD770" s="60" t="str">
        <f aca="false">IF(AND(Parameter!$B$19="Ja",E770&lt;&gt;"",ISNUMBER(MATCH(E770,Parameter!$I$35:$I$52,0))),VLOOKUP(E770,Parameter!$I$35:$J$52,2,0),IFERROR(VLOOKUP(D770,Parameter!$A$35:$C$64,2,0),"Nein"))</f>
        <v>2+3</v>
      </c>
      <c r="CE770" s="64" t="n">
        <f aca="false">IF(CA770=0,0,IF(N(S770)&gt;0,S770,IFERROR(VLOOKUP(D770,Parameter!$A$35:$C$64,3,0)+0,0)))</f>
        <v>0</v>
      </c>
      <c r="CF770" s="60" t="n">
        <f aca="false">IF(AB770&lt;&gt;"",AB770,AA770)</f>
        <v>3</v>
      </c>
      <c r="CG770" s="60" t="str">
        <f aca="false">IF(OR(CF770=1,CF770=2,CF770=3),IF(Parameter!$E$27="Ja","LIFT",IF(CF770=1,"L1","L23")),IF(CF770="Aussen","Aussen","-"))</f>
        <v>LIFT</v>
      </c>
      <c r="CH770" s="71" t="n">
        <f aca="false">IF(N(AC770)&gt;0,AC770,0)</f>
        <v>0</v>
      </c>
      <c r="CI770" s="65" t="n">
        <f aca="false">IF(ISNUMBER(AF770),1,0)</f>
        <v>0</v>
      </c>
      <c r="CJ770" s="62" t="n">
        <f aca="false">N(AF770)</f>
        <v>0</v>
      </c>
      <c r="CK770" s="62" t="n">
        <f aca="false">N(M770)+N(N770)</f>
        <v>756</v>
      </c>
      <c r="CL770" s="62" t="n">
        <f aca="false">N(M770)</f>
        <v>41</v>
      </c>
      <c r="CM770" s="62" t="n">
        <f aca="false">N(N770)</f>
        <v>715</v>
      </c>
      <c r="CN770" s="62" t="n">
        <f aca="false">ROUNDUP(H770/BZ770,0)</f>
        <v>1</v>
      </c>
      <c r="CO770" s="62" t="n">
        <f aca="false">ROUNDUP(CJ770/BZ770,0)</f>
        <v>0</v>
      </c>
      <c r="CP770" s="65" t="n">
        <f aca="false">IF(CA770=1,0,IFERROR(VLOOKUP(BY770,'Gebinde-Kategorie'!$A$5:$N$45,5,0)+0,0))</f>
        <v>8</v>
      </c>
      <c r="CQ770" s="65" t="n">
        <f aca="false">IFERROR(IF(OR(CF770=1,CF770=2,CF770=3),N(INDEX(Parameter!$I$5:$I$7,CF770)),0),0)</f>
        <v>0</v>
      </c>
      <c r="CR770" s="64" t="n">
        <f aca="false">IF(AND(Parameter!$B$21="Ja",ISNUMBER(W770),N(X770)&gt;0),IFERROR(N(INDEX(Parameter!$L$5:$L$7,W770))*INDEX(Parameter!$E$5:$E$7,W770)*X770/SUMIFS($X$7:$X$1843,$W$7:$W$1843,W770),0),0)</f>
        <v>0</v>
      </c>
      <c r="CS770" s="62" t="n">
        <f aca="false">IF(AND(OR(CG770="L1",CG770="L23",CG770="LIFT"),H770&gt;0),CC770*IF(CR770&gt;0,CR770*MAX(1,H770/X770),IF(CA770=1,CE770,IF(R770&gt;0,CN770/R770,0))/MAX(0.1,N(Parameter!$M$21))),"")</f>
        <v>1.49038461538462</v>
      </c>
      <c r="CT770" s="64" t="n">
        <f aca="false">IF(CS770="","",J770/H770)</f>
        <v>1.57017543859649</v>
      </c>
      <c r="CU770" s="62" t="n">
        <f aca="false">IF(CS770="","",H770*G770)</f>
        <v>4.56</v>
      </c>
      <c r="CV770" s="63" t="n">
        <f aca="false">IF(CS770="","",(CL770+ROUNDUP(CL770+MAX(CM770,2*(J770/MAX(0.1,N(Einkauf!$C$6))-CL770)),0))/2)</f>
        <v>398.5</v>
      </c>
      <c r="CW770" s="62" t="n">
        <f aca="false">IF(CS770="","",MAX(0,H770-CV770)*G770)</f>
        <v>0.575</v>
      </c>
      <c r="CX770" s="62" t="n">
        <f aca="false">IF(CS770="","",CS770*MAX(0,1-CV770/H770))</f>
        <v>0.187932270580297</v>
      </c>
      <c r="CY770" s="64" t="n">
        <f aca="false">IF(CS770="","",PERCENTRANK($CS$7:$CS$1843,CS770)+PERCENTRANK($CU$7:$CU$1843,CU770)+1-PERCENTRANK($CT$7:$CT$1843,CT770))</f>
        <v>0.3646</v>
      </c>
      <c r="CZ770" s="72" t="n">
        <f aca="false">IF(CS770="","",CHOOSE(MATCH(Einkauf!$C$5,Parameter!$G$23:$G$27,0),CY770,CS770,CU770,-CT770,CW770)+ROW()/1000000000)</f>
        <v>0.36460077</v>
      </c>
    </row>
    <row r="771" customFormat="false" ht="15" hidden="false" customHeight="false" outlineLevel="0" collapsed="false">
      <c r="A771" s="60" t="s">
        <v>1556</v>
      </c>
      <c r="B771" s="60" t="s">
        <v>447</v>
      </c>
      <c r="C771" s="60" t="s">
        <v>206</v>
      </c>
      <c r="D771" s="60" t="s">
        <v>226</v>
      </c>
      <c r="E771" s="60" t="s">
        <v>227</v>
      </c>
      <c r="F771" s="60" t="s">
        <v>260</v>
      </c>
      <c r="G771" s="61" t="n">
        <v>0.38</v>
      </c>
      <c r="H771" s="62" t="n">
        <f aca="false">MAX(0,IF(AND(Parameter!$B$21="Ja",ISNUMBER(Y771)),Y771,IF(Parameter!$B$20="Jahresanfang 2025 + Export",BS771+BR771,BR771)))</f>
        <v>81</v>
      </c>
      <c r="I771" s="62" t="n">
        <f aca="false">H771*G771</f>
        <v>30.78</v>
      </c>
      <c r="J771" s="62" t="n">
        <f aca="false">BU771*Parameter!$B$18</f>
        <v>2</v>
      </c>
      <c r="K771" s="63" t="n">
        <v>82.5</v>
      </c>
      <c r="L771" s="64" t="n">
        <v>0.0242424242424242</v>
      </c>
      <c r="M771" s="62" t="n">
        <v>0</v>
      </c>
      <c r="N771" s="62" t="n">
        <v>1</v>
      </c>
      <c r="O771" s="65" t="n">
        <v>14</v>
      </c>
      <c r="P771" s="60" t="s">
        <v>463</v>
      </c>
      <c r="Q771" s="62" t="n">
        <v>84</v>
      </c>
      <c r="R771" s="65" t="n">
        <f aca="false">IF(CA771=1,0,IFERROR(VLOOKUP(BY771,'Gebinde-Kategorie'!$A$5:$N$45,13,0)+0,0))</f>
        <v>104</v>
      </c>
      <c r="S771" s="66"/>
      <c r="T771" s="67"/>
      <c r="U771" s="67"/>
      <c r="V771" s="67"/>
      <c r="W771" s="60"/>
      <c r="X771" s="62"/>
      <c r="Y771" s="62"/>
      <c r="Z771" s="60" t="n">
        <v>3</v>
      </c>
      <c r="AA771" s="60" t="n">
        <f aca="false">IF(A771="","",IF(AND(Parameter!$B$21="Ja",ISNUMBER(W771)),W771,IF(AND(Parameter!$E$27="Ja",ISNUMBER(Z771),CD771&lt;&gt;"Nein"),Z771,IF(CD771="2+3",IF(ISNUMBER(SEARCH("grosser Artikel",BV771)),2,IFERROR(VLOOKUP(BY771,Parameter!$F$35:$G$64,2,0),2)),IF(OR(CD771="Nein",CD771=""),"-",CD771)))))</f>
        <v>3</v>
      </c>
      <c r="AB771" s="67"/>
      <c r="AC771" s="68"/>
      <c r="AD771" s="62" t="n">
        <f aca="false">AW771</f>
        <v>2</v>
      </c>
      <c r="AE771" s="62" t="n">
        <f aca="false">MAX(AW771,H771)</f>
        <v>81</v>
      </c>
      <c r="AF771" s="69"/>
      <c r="AG771" s="62" t="n">
        <f aca="false">IF(LEFT(Cockpit!$C$5,1)="A",H771,IF(Parameter!$E$30="MAX-Bestand",IF(CI771=1,CJ771,IF(LEFT(Cockpit!$C$5,1)="B",AM771,MAX(AM771,H771))),ROUNDUP(AK771,0)))</f>
        <v>81</v>
      </c>
      <c r="AH771" s="62" t="n">
        <f aca="false">IF(CA771=1,0,ROUNDUP(AG771/BZ771,0))</f>
        <v>1</v>
      </c>
      <c r="AI771" s="64" t="n">
        <f aca="false">IF(CR771&gt;0,CR771*MAX(1,AG771/X771),IF(CA771=1,IF(AG771&lt;=0,0,CE771*MAX(1,IF(H771&gt;0,AG771/H771,1))),IF(R771&gt;0,AH771/R771,0))/MAX(0.1,N(Parameter!$M$21)))</f>
        <v>0.00961538461538462</v>
      </c>
      <c r="AJ771" s="62" t="n">
        <f aca="false">AI771*CC771</f>
        <v>1.49038461538462</v>
      </c>
      <c r="AK771" s="63" t="n">
        <f aca="false">IF(LEFT(Cockpit!$C$5,1)="A",H771,IF(CI771=1,(CL771+CJ771)/2,IF(LEFT(Cockpit!$C$5,1)="B",(CL771+AM771)/2,MAX((CL771+AM771)/2,H771))))</f>
        <v>81</v>
      </c>
      <c r="AL771" s="62" t="n">
        <f aca="false">AK771*G771</f>
        <v>30.78</v>
      </c>
      <c r="AM771" s="62" t="n">
        <f aca="false">ROUNDUP(CL771+MAX(CM771,2*(J771/IF(CH771&gt;0,CH771,MAX(0.1,N(Cockpit!$C$6)))-CL771)),0)</f>
        <v>2</v>
      </c>
      <c r="AN771" s="63" t="n">
        <f aca="false">IF(AJ771&gt;0,J771/AJ771,-1)</f>
        <v>1.34193548387097</v>
      </c>
      <c r="AO771" s="63" t="n">
        <f aca="false">IF(AND(OR(CG771="L1",CG771="L23",CG771="LIFT"),AJ771&gt;0),SUMIFS($AJ$7:$AJ$1843,$CG$7:$CG$1843,CG771,$AN$7:$AN$1843,"&gt;"&amp;AN771)+SUMIFS($AJ$7:$AJ$1843,$CG$7:$CG$1843,CG771,$AN$7:$AN$1843,AN771,$BX$7:$BX$1843,"&lt;="&amp;BX771),"")</f>
        <v>6331.14789377289</v>
      </c>
      <c r="AP771" s="70" t="n">
        <f aca="false">IF(AO771="",0,MAX(0,MIN(1,(IF(CG771="L1",Parameter!$H$5,IF(CG771="L23",Parameter!$H$6+Parameter!$H$7,Parameter!$H$5+Parameter!$H$6+Parameter!$H$7))-(AO771-AJ771))/AJ771)))</f>
        <v>1</v>
      </c>
      <c r="AQ771" s="62" t="n">
        <f aca="false">IF(LEFT(Cockpit!$I$5,1)="A",H771,IF(Parameter!$E$30="MAX-Bestand",IF(CI771=1,CJ771,IF(LEFT(Cockpit!$I$5,1)="B",AW771,MAX(AW771,H771))),ROUNDUP(AU771,0)))</f>
        <v>81</v>
      </c>
      <c r="AR771" s="62" t="n">
        <f aca="false">IF(CA771=1,0,ROUNDUP(AQ771/BZ771,0))</f>
        <v>1</v>
      </c>
      <c r="AS771" s="64" t="n">
        <f aca="false">IF(CR771&gt;0,CR771*MAX(1,AQ771/X771),IF(CA771=1,IF(AQ771&lt;=0,0,CE771*MAX(1,IF(H771&gt;0,AQ771/H771,1))),IF(R771&gt;0,AR771/R771,0))/MAX(0.1,N(Parameter!$M$21)))</f>
        <v>0.00961538461538462</v>
      </c>
      <c r="AT771" s="62" t="n">
        <f aca="false">AS771*CC771</f>
        <v>1.49038461538462</v>
      </c>
      <c r="AU771" s="63" t="n">
        <f aca="false">IF(LEFT(Cockpit!$I$5,1)="A",H771,IF(CI771=1,(CL771+CJ771)/2,IF(LEFT(Cockpit!$I$5,1)="B",(CL771+AW771)/2,MAX((CL771+AW771)/2,H771))))</f>
        <v>81</v>
      </c>
      <c r="AV771" s="62" t="n">
        <f aca="false">AU771*G771</f>
        <v>30.78</v>
      </c>
      <c r="AW771" s="62" t="n">
        <f aca="false">ROUNDUP(CL771+MAX(CM771,2*(J771/IF(CH771&gt;0,CH771,MAX(0.1,N(Cockpit!$I$6)))-CL771)),0)</f>
        <v>2</v>
      </c>
      <c r="AX771" s="63" t="n">
        <f aca="false">IF(AT771&gt;0,J771/AT771,-1)</f>
        <v>1.34193548387097</v>
      </c>
      <c r="AY771" s="63" t="n">
        <f aca="false">IF(AND(OR(CG771="L1",CG771="L23",CG771="LIFT"),AT771&gt;0),SUMIFS($AT$7:$AT$1843,$CG$7:$CG$1843,CG771,$AX$7:$AX$1843,"&gt;"&amp;AX771)+SUMIFS($AT$7:$AT$1843,$CG$7:$CG$1843,CG771,$AX$7:$AX$1843,AX771,$BX$7:$BX$1843,"&lt;="&amp;BX771),"")</f>
        <v>7855.3315018315</v>
      </c>
      <c r="AZ771" s="70" t="n">
        <f aca="false">IF(AY771="",0,MAX(0,MIN(1,(IF(CG771="L1",Parameter!$H$5,IF(CG771="L23",Parameter!$H$6+Parameter!$H$7,Parameter!$H$5+Parameter!$H$6+Parameter!$H$7))-(AY771-AT771))/AT771)))</f>
        <v>1</v>
      </c>
      <c r="BA771" s="62" t="n">
        <f aca="false">IF(LEFT(Cockpit!$O$5,1)="A",H771,IF(Parameter!$E$30="MAX-Bestand",IF(CI771=1,CJ771,IF(LEFT(Cockpit!$O$5,1)="B",BG771,MAX(BG771,H771))),ROUNDUP(BE771,0)))</f>
        <v>1</v>
      </c>
      <c r="BB771" s="62" t="n">
        <f aca="false">IF(CA771=1,0,ROUNDUP(BA771/BZ771,0))</f>
        <v>1</v>
      </c>
      <c r="BC771" s="64" t="n">
        <f aca="false">IF(CR771&gt;0,CR771*MAX(1,BA771/X771),IF(CA771=1,IF(BA771&lt;=0,0,CE771*MAX(1,IF(H771&gt;0,BA771/H771,1))),IF(R771&gt;0,BB771/R771,0))/MAX(0.1,N(Parameter!$M$21)))</f>
        <v>0.00961538461538462</v>
      </c>
      <c r="BD771" s="62" t="n">
        <f aca="false">BC771*CC771</f>
        <v>1.49038461538462</v>
      </c>
      <c r="BE771" s="63" t="n">
        <f aca="false">IF(LEFT(Cockpit!$O$5,1)="A",H771,IF(CI771=1,(CL771+CJ771)/2,IF(LEFT(Cockpit!$O$5,1)="B",(CL771+BG771)/2,MAX((CL771+BG771)/2,H771))))</f>
        <v>0.5</v>
      </c>
      <c r="BF771" s="62" t="n">
        <f aca="false">BE771*G771</f>
        <v>0.19</v>
      </c>
      <c r="BG771" s="62" t="n">
        <f aca="false">ROUNDUP(CL771+MAX(CM771,2*(J771/IF(CH771&gt;0,CH771,MAX(0.1,N(Cockpit!$O$6)))-CL771)),0)</f>
        <v>1</v>
      </c>
      <c r="BH771" s="63" t="n">
        <f aca="false">IF(BD771&gt;0,J771/BD771,-1)</f>
        <v>1.34193548387097</v>
      </c>
      <c r="BI771" s="63" t="n">
        <f aca="false">IF(AND(OR(CG771="L1",CG771="L23",CG771="LIFT"),BD771&gt;0),SUMIFS($BD$7:$BD$1843,$CG$7:$CG$1843,CG771,$BH$7:$BH$1843,"&gt;"&amp;BH771)+SUMIFS($BD$7:$BD$1843,$CG$7:$CG$1843,CG771,$BH$7:$BH$1843,BH771,$BX$7:$BX$1843,"&lt;="&amp;BX771),"")</f>
        <v>6792.54716117216</v>
      </c>
      <c r="BJ771" s="70" t="n">
        <f aca="false">IF(BI771="",0,MAX(0,MIN(1,(IF(CG771="L1",Parameter!$H$5,IF(CG771="L23",Parameter!$H$6+Parameter!$H$7,Parameter!$H$5+Parameter!$H$6+Parameter!$H$7))-(BI771-BD771))/BD771)))</f>
        <v>1</v>
      </c>
      <c r="BK771" s="60" t="str">
        <f aca="false">IF(AJ771&lt;=0,"",IF(CG771="Aussen","Aussenlager",IF(CG771="-","Nicht im Lift",IF(AP771&gt;=1,"Lift",IF(AP771&lt;=0,"Aussenlager","teilweise")))))</f>
        <v>Lift</v>
      </c>
      <c r="BL771" s="60" t="str">
        <f aca="false">IF(AT771&lt;=0,"",IF(CG771="Aussen","Aussenlager",IF(CG771="-","Nicht im Lift",IF(AZ771&gt;=1,"Lift",IF(AZ771&lt;=0,"Aussenlager","teilweise")))))</f>
        <v>Lift</v>
      </c>
      <c r="BM771" s="60" t="str">
        <f aca="false">IF(BD771&lt;=0,"",IF(CG771="Aussen","Aussenlager",IF(CG771="-","Nicht im Lift",IF(BJ771&gt;=1,"Lift",IF(BJ771&lt;=0,"Aussenlager","teilweise")))))</f>
        <v>Lift</v>
      </c>
      <c r="BN771" s="60" t="str">
        <f aca="false">IF(A771="","",IF(BW771=1,"Neu; ","")&amp;IF(AND(BW771=0,BR771&lt;0),"negativer Bestand (Export "&amp;BR771&amp;"); ","")&amp;IF(J771&lt;=0,"Kein Verbrauch; ","")&amp;IF(CR771&gt;0,"Lift "&amp;W771&amp;" lt. Liftbericht (Fach "&amp;X771&amp;" Stk); ",IF(CB771=1,"Gebinde geschätzt ("&amp;T771&amp;"); ",IF(CA771=1,"Lose – Tablare geschätzt; ","")))&amp;IF(H771&gt;AW771,"Überbestand "&amp;ROUND(H771-AW771,0)&amp;" Stk / CHF "&amp;ROUND((H771-AW771)*G771,0)&amp;"; ","")&amp;IF(AND(CI771=1,CJ771&lt;CK771),"MAX &lt; MB+LG; ","")&amp;IF(AND(CQ771&gt;0,CP771*10&gt;CQ771),"zu hoch für Tablar; ","")&amp;IF(AND(BW771=0,OR(CI771=1,AB771&lt;&gt;"",U771&lt;&gt;"",V771&lt;&gt;"",AC771&lt;&gt;"")),"manuell übersteuert; ","")&amp;IF(AND(CA771=0,R771=0),"Gebinde unbekannt / Stellmass fehlt; ","")&amp;IF(AND(CA771=0,N(V771)&lt;=0,N(Q771)&lt;=0),"Menge pro Gebinde fehlt (Ist = 1 Gebinde); ","")&amp;BV771)</f>
        <v>negativer Bestand (Export -3); Überbestand 79 Stk / CHF 30; Überbestand</v>
      </c>
      <c r="BO771" s="60"/>
      <c r="BP771" s="60"/>
      <c r="BQ771" s="67"/>
      <c r="BR771" s="62" t="n">
        <v>-3</v>
      </c>
      <c r="BS771" s="62" t="n">
        <v>84</v>
      </c>
      <c r="BT771" s="61" t="n">
        <v>-1.14</v>
      </c>
      <c r="BU771" s="62" t="n">
        <v>2</v>
      </c>
      <c r="BV771" s="60" t="s">
        <v>434</v>
      </c>
      <c r="BW771" s="65" t="n">
        <v>0</v>
      </c>
      <c r="BX771" s="65" t="n">
        <v>771</v>
      </c>
      <c r="BY771" s="60" t="str">
        <f aca="false">IF(U771&lt;&gt;"",UPPER(TRIM(U771)),IF(CB771=1,UPPER(VLOOKUP(T771,Parameter!$I$27:$K$29,2,0)),IF(P771="","LOSE",P771)))</f>
        <v>S32</v>
      </c>
      <c r="BZ771" s="62" t="n">
        <f aca="false">IF(BY771="LOSE",1,IF(N(V771)&gt;0,V771,IF(CB771=1,MAX(1,N(VLOOKUP(T771,Parameter!$I$27:$K$29,3,0)),H771,N(N771)),IF(N(Q771)&gt;0,Q771,MAX(1,H771)))))</f>
        <v>84</v>
      </c>
      <c r="CA771" s="65" t="n">
        <f aca="false">IF(BY771="LOSE",1,0)</f>
        <v>0</v>
      </c>
      <c r="CB771" s="65" t="n">
        <f aca="false">IF(AND(U771="",OR(P771="",P771="LOSE"),T771&lt;&gt;"",N(S771)&lt;=0,ISNUMBER(MATCH(T771,Parameter!$I$27:$I$29,0))),1,0)</f>
        <v>0</v>
      </c>
      <c r="CC771" s="65" t="n">
        <f aca="false">IF(CR771&gt;0,INDEX(Parameter!$H$5:$H$7,W771)/INDEX(Parameter!$E$5:$E$7,W771),IF(AND(CA771=0,N(IFERROR(VLOOKUP(BY771,'Gebinde-Kategorie'!$A$5:$N$45,14,0),0))&gt;0),VLOOKUP(BY771,'Gebinde-Kategorie'!$A$5:$N$45,14,0)*10+Parameter!$M$23,Parameter!$M$24))</f>
        <v>155</v>
      </c>
      <c r="CD771" s="60" t="str">
        <f aca="false">IF(AND(Parameter!$B$19="Ja",E771&lt;&gt;"",ISNUMBER(MATCH(E771,Parameter!$I$35:$I$52,0))),VLOOKUP(E771,Parameter!$I$35:$J$52,2,0),IFERROR(VLOOKUP(D771,Parameter!$A$35:$C$64,2,0),"Nein"))</f>
        <v>2+3</v>
      </c>
      <c r="CE771" s="64" t="n">
        <f aca="false">IF(CA771=0,0,IF(N(S771)&gt;0,S771,IFERROR(VLOOKUP(D771,Parameter!$A$35:$C$64,3,0)+0,0)))</f>
        <v>0</v>
      </c>
      <c r="CF771" s="60" t="n">
        <f aca="false">IF(AB771&lt;&gt;"",AB771,AA771)</f>
        <v>3</v>
      </c>
      <c r="CG771" s="60" t="str">
        <f aca="false">IF(OR(CF771=1,CF771=2,CF771=3),IF(Parameter!$E$27="Ja","LIFT",IF(CF771=1,"L1","L23")),IF(CF771="Aussen","Aussen","-"))</f>
        <v>LIFT</v>
      </c>
      <c r="CH771" s="71" t="n">
        <f aca="false">IF(N(AC771)&gt;0,AC771,0)</f>
        <v>0</v>
      </c>
      <c r="CI771" s="65" t="n">
        <f aca="false">IF(ISNUMBER(AF771),1,0)</f>
        <v>0</v>
      </c>
      <c r="CJ771" s="62" t="n">
        <f aca="false">N(AF771)</f>
        <v>0</v>
      </c>
      <c r="CK771" s="62" t="n">
        <f aca="false">N(M771)+N(N771)</f>
        <v>1</v>
      </c>
      <c r="CL771" s="62" t="n">
        <f aca="false">N(M771)</f>
        <v>0</v>
      </c>
      <c r="CM771" s="62" t="n">
        <f aca="false">N(N771)</f>
        <v>1</v>
      </c>
      <c r="CN771" s="62" t="n">
        <f aca="false">ROUNDUP(H771/BZ771,0)</f>
        <v>1</v>
      </c>
      <c r="CO771" s="62" t="n">
        <f aca="false">ROUNDUP(CJ771/BZ771,0)</f>
        <v>0</v>
      </c>
      <c r="CP771" s="65" t="n">
        <f aca="false">IF(CA771=1,0,IFERROR(VLOOKUP(BY771,'Gebinde-Kategorie'!$A$5:$N$45,5,0)+0,0))</f>
        <v>8</v>
      </c>
      <c r="CQ771" s="65" t="n">
        <f aca="false">IFERROR(IF(OR(CF771=1,CF771=2,CF771=3),N(INDEX(Parameter!$I$5:$I$7,CF771)),0),0)</f>
        <v>0</v>
      </c>
      <c r="CR771" s="64" t="n">
        <f aca="false">IF(AND(Parameter!$B$21="Ja",ISNUMBER(W771),N(X771)&gt;0),IFERROR(N(INDEX(Parameter!$L$5:$L$7,W771))*INDEX(Parameter!$E$5:$E$7,W771)*X771/SUMIFS($X$7:$X$1843,$W$7:$W$1843,W771),0),0)</f>
        <v>0</v>
      </c>
      <c r="CS771" s="62" t="n">
        <f aca="false">IF(AND(OR(CG771="L1",CG771="L23",CG771="LIFT"),H771&gt;0),CC771*IF(CR771&gt;0,CR771*MAX(1,H771/X771),IF(CA771=1,CE771,IF(R771&gt;0,CN771/R771,0))/MAX(0.1,N(Parameter!$M$21))),"")</f>
        <v>1.49038461538462</v>
      </c>
      <c r="CT771" s="64" t="n">
        <f aca="false">IF(CS771="","",J771/H771)</f>
        <v>0.0246913580246914</v>
      </c>
      <c r="CU771" s="62" t="n">
        <f aca="false">IF(CS771="","",H771*G771)</f>
        <v>30.78</v>
      </c>
      <c r="CV771" s="63" t="n">
        <f aca="false">IF(CS771="","",(CL771+ROUNDUP(CL771+MAX(CM771,2*(J771/MAX(0.1,N(Einkauf!$C$6))-CL771)),0))/2)</f>
        <v>0.5</v>
      </c>
      <c r="CW771" s="62" t="n">
        <f aca="false">IF(CS771="","",MAX(0,H771-CV771)*G771)</f>
        <v>30.59</v>
      </c>
      <c r="CX771" s="62" t="n">
        <f aca="false">IF(CS771="","",CS771*MAX(0,1-CV771/H771))</f>
        <v>1.48118471035138</v>
      </c>
      <c r="CY771" s="64" t="n">
        <f aca="false">IF(CS771="","",PERCENTRANK($CS$7:$CS$1843,CS771)+PERCENTRANK($CU$7:$CU$1843,CU771)+1-PERCENTRANK($CT$7:$CT$1843,CT771))</f>
        <v>0.843</v>
      </c>
      <c r="CZ771" s="72" t="n">
        <f aca="false">IF(CS771="","",CHOOSE(MATCH(Einkauf!$C$5,Parameter!$G$23:$G$27,0),CY771,CS771,CU771,-CT771,CW771)+ROW()/1000000000)</f>
        <v>0.843000771</v>
      </c>
    </row>
    <row r="772" customFormat="false" ht="15" hidden="false" customHeight="false" outlineLevel="0" collapsed="false">
      <c r="A772" s="60" t="s">
        <v>1557</v>
      </c>
      <c r="B772" s="60" t="s">
        <v>1178</v>
      </c>
      <c r="C772" s="60" t="s">
        <v>206</v>
      </c>
      <c r="D772" s="60" t="s">
        <v>226</v>
      </c>
      <c r="E772" s="60"/>
      <c r="F772" s="60" t="s">
        <v>260</v>
      </c>
      <c r="G772" s="61" t="n">
        <v>1.25</v>
      </c>
      <c r="H772" s="62" t="n">
        <f aca="false">MAX(0,IF(AND(Parameter!$B$21="Ja",ISNUMBER(Y772)),Y772,IF(Parameter!$B$20="Jahresanfang 2025 + Export",BS772+BR772,BR772)))</f>
        <v>30</v>
      </c>
      <c r="I772" s="62" t="n">
        <f aca="false">H772*G772</f>
        <v>37.5</v>
      </c>
      <c r="J772" s="62" t="n">
        <f aca="false">BU772*Parameter!$B$18</f>
        <v>0</v>
      </c>
      <c r="K772" s="63" t="n">
        <v>30.5</v>
      </c>
      <c r="L772" s="64" t="n">
        <v>0</v>
      </c>
      <c r="M772" s="62" t="n">
        <v>0</v>
      </c>
      <c r="N772" s="62" t="n">
        <v>1</v>
      </c>
      <c r="O772" s="65" t="n">
        <v>14</v>
      </c>
      <c r="P772" s="60" t="s">
        <v>210</v>
      </c>
      <c r="Q772" s="62"/>
      <c r="R772" s="65" t="n">
        <f aca="false">IF(CA772=1,0,IFERROR(VLOOKUP(BY772,'Gebinde-Kategorie'!$A$5:$N$45,13,0)+0,0))</f>
        <v>26</v>
      </c>
      <c r="S772" s="66"/>
      <c r="T772" s="67" t="s">
        <v>317</v>
      </c>
      <c r="U772" s="67"/>
      <c r="V772" s="67"/>
      <c r="W772" s="60"/>
      <c r="X772" s="62"/>
      <c r="Y772" s="62"/>
      <c r="Z772" s="60" t="n">
        <v>3</v>
      </c>
      <c r="AA772" s="60" t="n">
        <f aca="false">IF(A772="","",IF(AND(Parameter!$B$21="Ja",ISNUMBER(W772)),W772,IF(AND(Parameter!$E$27="Ja",ISNUMBER(Z772),CD772&lt;&gt;"Nein"),Z772,IF(CD772="2+3",IF(ISNUMBER(SEARCH("grosser Artikel",BV772)),2,IFERROR(VLOOKUP(BY772,Parameter!$F$35:$G$64,2,0),2)),IF(OR(CD772="Nein",CD772=""),"-",CD772)))))</f>
        <v>3</v>
      </c>
      <c r="AB772" s="67"/>
      <c r="AC772" s="68"/>
      <c r="AD772" s="62" t="n">
        <f aca="false">AW772</f>
        <v>1</v>
      </c>
      <c r="AE772" s="62" t="n">
        <f aca="false">MAX(AW772,H772)</f>
        <v>30</v>
      </c>
      <c r="AF772" s="69"/>
      <c r="AG772" s="62" t="n">
        <f aca="false">IF(LEFT(Cockpit!$C$5,1)="A",H772,IF(Parameter!$E$30="MAX-Bestand",IF(CI772=1,CJ772,IF(LEFT(Cockpit!$C$5,1)="B",AM772,MAX(AM772,H772))),ROUNDUP(AK772,0)))</f>
        <v>30</v>
      </c>
      <c r="AH772" s="62" t="n">
        <f aca="false">IF(CA772=1,0,ROUNDUP(AG772/BZ772,0))</f>
        <v>1</v>
      </c>
      <c r="AI772" s="64" t="n">
        <f aca="false">IF(CR772&gt;0,CR772*MAX(1,AG772/X772),IF(CA772=1,IF(AG772&lt;=0,0,CE772*MAX(1,IF(H772&gt;0,AG772/H772,1))),IF(R772&gt;0,AH772/R772,0))/MAX(0.1,N(Parameter!$M$21)))</f>
        <v>0.0384615384615385</v>
      </c>
      <c r="AJ772" s="62" t="n">
        <f aca="false">AI772*CC772</f>
        <v>5.96153846153846</v>
      </c>
      <c r="AK772" s="63" t="n">
        <f aca="false">IF(LEFT(Cockpit!$C$5,1)="A",H772,IF(CI772=1,(CL772+CJ772)/2,IF(LEFT(Cockpit!$C$5,1)="B",(CL772+AM772)/2,MAX((CL772+AM772)/2,H772))))</f>
        <v>30</v>
      </c>
      <c r="AL772" s="62" t="n">
        <f aca="false">AK772*G772</f>
        <v>37.5</v>
      </c>
      <c r="AM772" s="62" t="n">
        <f aca="false">ROUNDUP(CL772+MAX(CM772,2*(J772/IF(CH772&gt;0,CH772,MAX(0.1,N(Cockpit!$C$6)))-CL772)),0)</f>
        <v>1</v>
      </c>
      <c r="AN772" s="63" t="n">
        <f aca="false">IF(AJ772&gt;0,J772/AJ772,-1)</f>
        <v>0</v>
      </c>
      <c r="AO772" s="63" t="n">
        <f aca="false">IF(AND(OR(CG772="L1",CG772="L23",CG772="LIFT"),AJ772&gt;0),SUMIFS($AJ$7:$AJ$1843,$CG$7:$CG$1843,CG772,$AN$7:$AN$1843,"&gt;"&amp;AN772)+SUMIFS($AJ$7:$AJ$1843,$CG$7:$CG$1843,CG772,$AN$7:$AN$1843,AN772,$BX$7:$BX$1843,"&lt;="&amp;BX772),"")</f>
        <v>28744.7199483661</v>
      </c>
      <c r="AP772" s="70" t="n">
        <f aca="false">IF(AO772="",0,MAX(0,MIN(1,(IF(CG772="L1",Parameter!$H$5,IF(CG772="L23",Parameter!$H$6+Parameter!$H$7,Parameter!$H$5+Parameter!$H$6+Parameter!$H$7))-(AO772-AJ772))/AJ772)))</f>
        <v>1</v>
      </c>
      <c r="AQ772" s="62" t="n">
        <f aca="false">IF(LEFT(Cockpit!$I$5,1)="A",H772,IF(Parameter!$E$30="MAX-Bestand",IF(CI772=1,CJ772,IF(LEFT(Cockpit!$I$5,1)="B",AW772,MAX(AW772,H772))),ROUNDUP(AU772,0)))</f>
        <v>30</v>
      </c>
      <c r="AR772" s="62" t="n">
        <f aca="false">IF(CA772=1,0,ROUNDUP(AQ772/BZ772,0))</f>
        <v>1</v>
      </c>
      <c r="AS772" s="64" t="n">
        <f aca="false">IF(CR772&gt;0,CR772*MAX(1,AQ772/X772),IF(CA772=1,IF(AQ772&lt;=0,0,CE772*MAX(1,IF(H772&gt;0,AQ772/H772,1))),IF(R772&gt;0,AR772/R772,0))/MAX(0.1,N(Parameter!$M$21)))</f>
        <v>0.0384615384615385</v>
      </c>
      <c r="AT772" s="62" t="n">
        <f aca="false">AS772*CC772</f>
        <v>5.96153846153846</v>
      </c>
      <c r="AU772" s="63" t="n">
        <f aca="false">IF(LEFT(Cockpit!$I$5,1)="A",H772,IF(CI772=1,(CL772+CJ772)/2,IF(LEFT(Cockpit!$I$5,1)="B",(CL772+AW772)/2,MAX((CL772+AW772)/2,H772))))</f>
        <v>30</v>
      </c>
      <c r="AV772" s="62" t="n">
        <f aca="false">AU772*G772</f>
        <v>37.5</v>
      </c>
      <c r="AW772" s="62" t="n">
        <f aca="false">ROUNDUP(CL772+MAX(CM772,2*(J772/IF(CH772&gt;0,CH772,MAX(0.1,N(Cockpit!$I$6)))-CL772)),0)</f>
        <v>1</v>
      </c>
      <c r="AX772" s="63" t="n">
        <f aca="false">IF(AT772&gt;0,J772/AT772,-1)</f>
        <v>0</v>
      </c>
      <c r="AY772" s="63" t="n">
        <f aca="false">IF(AND(OR(CG772="L1",CG772="L23",CG772="LIFT"),AT772&gt;0),SUMIFS($AT$7:$AT$1843,$CG$7:$CG$1843,CG772,$AX$7:$AX$1843,"&gt;"&amp;AX772)+SUMIFS($AT$7:$AT$1843,$CG$7:$CG$1843,CG772,$AX$7:$AX$1843,AX772,$BX$7:$BX$1843,"&lt;="&amp;BX772),"")</f>
        <v>34349.5032051282</v>
      </c>
      <c r="AZ772" s="70" t="n">
        <f aca="false">IF(AY772="",0,MAX(0,MIN(1,(IF(CG772="L1",Parameter!$H$5,IF(CG772="L23",Parameter!$H$6+Parameter!$H$7,Parameter!$H$5+Parameter!$H$6+Parameter!$H$7))-(AY772-AT772))/AT772)))</f>
        <v>1</v>
      </c>
      <c r="BA772" s="62" t="n">
        <f aca="false">IF(LEFT(Cockpit!$O$5,1)="A",H772,IF(Parameter!$E$30="MAX-Bestand",IF(CI772=1,CJ772,IF(LEFT(Cockpit!$O$5,1)="B",BG772,MAX(BG772,H772))),ROUNDUP(BE772,0)))</f>
        <v>1</v>
      </c>
      <c r="BB772" s="62" t="n">
        <f aca="false">IF(CA772=1,0,ROUNDUP(BA772/BZ772,0))</f>
        <v>1</v>
      </c>
      <c r="BC772" s="64" t="n">
        <f aca="false">IF(CR772&gt;0,CR772*MAX(1,BA772/X772),IF(CA772=1,IF(BA772&lt;=0,0,CE772*MAX(1,IF(H772&gt;0,BA772/H772,1))),IF(R772&gt;0,BB772/R772,0))/MAX(0.1,N(Parameter!$M$21)))</f>
        <v>0.0384615384615385</v>
      </c>
      <c r="BD772" s="62" t="n">
        <f aca="false">BC772*CC772</f>
        <v>5.96153846153846</v>
      </c>
      <c r="BE772" s="63" t="n">
        <f aca="false">IF(LEFT(Cockpit!$O$5,1)="A",H772,IF(CI772=1,(CL772+CJ772)/2,IF(LEFT(Cockpit!$O$5,1)="B",(CL772+BG772)/2,MAX((CL772+BG772)/2,H772))))</f>
        <v>0.5</v>
      </c>
      <c r="BF772" s="62" t="n">
        <f aca="false">BE772*G772</f>
        <v>0.625</v>
      </c>
      <c r="BG772" s="62" t="n">
        <f aca="false">ROUNDUP(CL772+MAX(CM772,2*(J772/IF(CH772&gt;0,CH772,MAX(0.1,N(Cockpit!$O$6)))-CL772)),0)</f>
        <v>1</v>
      </c>
      <c r="BH772" s="63" t="n">
        <f aca="false">IF(BD772&gt;0,J772/BD772,-1)</f>
        <v>0</v>
      </c>
      <c r="BI772" s="63" t="n">
        <f aca="false">IF(AND(OR(CG772="L1",CG772="L23",CG772="LIFT"),BD772&gt;0),SUMIFS($BD$7:$BD$1843,$CG$7:$CG$1843,CG772,$BH$7:$BH$1843,"&gt;"&amp;BH772)+SUMIFS($BD$7:$BD$1843,$CG$7:$CG$1843,CG772,$BH$7:$BH$1843,BH772,$BX$7:$BX$1843,"&lt;="&amp;BX772),"")</f>
        <v>28393.3730520892</v>
      </c>
      <c r="BJ772" s="70" t="n">
        <f aca="false">IF(BI772="",0,MAX(0,MIN(1,(IF(CG772="L1",Parameter!$H$5,IF(CG772="L23",Parameter!$H$6+Parameter!$H$7,Parameter!$H$5+Parameter!$H$6+Parameter!$H$7))-(BI772-BD772))/BD772)))</f>
        <v>1</v>
      </c>
      <c r="BK772" s="60" t="str">
        <f aca="false">IF(AJ772&lt;=0,"",IF(CG772="Aussen","Aussenlager",IF(CG772="-","Nicht im Lift",IF(AP772&gt;=1,"Lift",IF(AP772&lt;=0,"Aussenlager","teilweise")))))</f>
        <v>Lift</v>
      </c>
      <c r="BL772" s="60" t="str">
        <f aca="false">IF(AT772&lt;=0,"",IF(CG772="Aussen","Aussenlager",IF(CG772="-","Nicht im Lift",IF(AZ772&gt;=1,"Lift",IF(AZ772&lt;=0,"Aussenlager","teilweise")))))</f>
        <v>Lift</v>
      </c>
      <c r="BM772" s="60" t="str">
        <f aca="false">IF(BD772&lt;=0,"",IF(CG772="Aussen","Aussenlager",IF(CG772="-","Nicht im Lift",IF(BJ772&gt;=1,"Lift",IF(BJ772&lt;=0,"Aussenlager","teilweise")))))</f>
        <v>Lift</v>
      </c>
      <c r="BN772" s="60" t="str">
        <f aca="false">IF(A772="","",IF(BW772=1,"Neu; ","")&amp;IF(AND(BW772=0,BR772&lt;0),"negativer Bestand (Export "&amp;BR772&amp;"); ","")&amp;IF(J772&lt;=0,"Kein Verbrauch; ","")&amp;IF(CR772&gt;0,"Lift "&amp;W772&amp;" lt. Liftbericht (Fach "&amp;X772&amp;" Stk); ",IF(CB772=1,"Gebinde geschätzt ("&amp;T772&amp;"); ",IF(CA772=1,"Lose – Tablare geschätzt; ","")))&amp;IF(H772&gt;AW772,"Überbestand "&amp;ROUND(H772-AW772,0)&amp;" Stk / CHF "&amp;ROUND((H772-AW772)*G772,0)&amp;"; ","")&amp;IF(AND(CI772=1,CJ772&lt;CK772),"MAX &lt; MB+LG; ","")&amp;IF(AND(CQ772&gt;0,CP772*10&gt;CQ772),"zu hoch für Tablar; ","")&amp;IF(AND(BW772=0,OR(CI772=1,AB772&lt;&gt;"",U772&lt;&gt;"",V772&lt;&gt;"",AC772&lt;&gt;"")),"manuell übersteuert; ","")&amp;IF(AND(CA772=0,R772=0),"Gebinde unbekannt / Stellmass fehlt; ","")&amp;IF(AND(CA772=0,N(V772)&lt;=0,N(Q772)&lt;=0),"Menge pro Gebinde fehlt (Ist = 1 Gebinde); ","")&amp;BV772)</f>
        <v>negativer Bestand (Export -1); Kein Verbrauch; Gebinde geschätzt (Klein); Überbestand 29 Stk / CHF 36; Menge pro Gebinde fehlt (Ist = 1 Gebinde); Überbestand</v>
      </c>
      <c r="BO772" s="60"/>
      <c r="BP772" s="60"/>
      <c r="BQ772" s="67"/>
      <c r="BR772" s="62" t="n">
        <v>-1</v>
      </c>
      <c r="BS772" s="62" t="n">
        <v>31</v>
      </c>
      <c r="BT772" s="61" t="n">
        <v>-1.25</v>
      </c>
      <c r="BU772" s="62" t="n">
        <v>0</v>
      </c>
      <c r="BV772" s="60" t="s">
        <v>434</v>
      </c>
      <c r="BW772" s="65" t="n">
        <v>0</v>
      </c>
      <c r="BX772" s="65" t="n">
        <v>772</v>
      </c>
      <c r="BY772" s="60" t="str">
        <f aca="false">IF(U772&lt;&gt;"",UPPER(TRIM(U772)),IF(CB772=1,UPPER(VLOOKUP(T772,Parameter!$I$27:$K$29,2,0)),IF(P772="","LOSE",P772)))</f>
        <v>S51</v>
      </c>
      <c r="BZ772" s="62" t="n">
        <f aca="false">IF(BY772="LOSE",1,IF(N(V772)&gt;0,V772,IF(CB772=1,MAX(1,N(VLOOKUP(T772,Parameter!$I$27:$K$29,3,0)),H772,N(N772)),IF(N(Q772)&gt;0,Q772,MAX(1,H772)))))</f>
        <v>30</v>
      </c>
      <c r="CA772" s="65" t="n">
        <f aca="false">IF(BY772="LOSE",1,0)</f>
        <v>0</v>
      </c>
      <c r="CB772" s="65" t="n">
        <f aca="false">IF(AND(U772="",OR(P772="",P772="LOSE"),T772&lt;&gt;"",N(S772)&lt;=0,ISNUMBER(MATCH(T772,Parameter!$I$27:$I$29,0))),1,0)</f>
        <v>1</v>
      </c>
      <c r="CC772" s="65" t="n">
        <f aca="false">IF(CR772&gt;0,INDEX(Parameter!$H$5:$H$7,W772)/INDEX(Parameter!$E$5:$E$7,W772),IF(AND(CA772=0,N(IFERROR(VLOOKUP(BY772,'Gebinde-Kategorie'!$A$5:$N$45,14,0),0))&gt;0),VLOOKUP(BY772,'Gebinde-Kategorie'!$A$5:$N$45,14,0)*10+Parameter!$M$23,Parameter!$M$24))</f>
        <v>155</v>
      </c>
      <c r="CD772" s="60" t="str">
        <f aca="false">IF(AND(Parameter!$B$19="Ja",E772&lt;&gt;"",ISNUMBER(MATCH(E772,Parameter!$I$35:$I$52,0))),VLOOKUP(E772,Parameter!$I$35:$J$52,2,0),IFERROR(VLOOKUP(D772,Parameter!$A$35:$C$64,2,0),"Nein"))</f>
        <v>2+3</v>
      </c>
      <c r="CE772" s="64" t="n">
        <f aca="false">IF(CA772=0,0,IF(N(S772)&gt;0,S772,IFERROR(VLOOKUP(D772,Parameter!$A$35:$C$64,3,0)+0,0)))</f>
        <v>0</v>
      </c>
      <c r="CF772" s="60" t="n">
        <f aca="false">IF(AB772&lt;&gt;"",AB772,AA772)</f>
        <v>3</v>
      </c>
      <c r="CG772" s="60" t="str">
        <f aca="false">IF(OR(CF772=1,CF772=2,CF772=3),IF(Parameter!$E$27="Ja","LIFT",IF(CF772=1,"L1","L23")),IF(CF772="Aussen","Aussen","-"))</f>
        <v>LIFT</v>
      </c>
      <c r="CH772" s="71" t="n">
        <f aca="false">IF(N(AC772)&gt;0,AC772,0)</f>
        <v>0</v>
      </c>
      <c r="CI772" s="65" t="n">
        <f aca="false">IF(ISNUMBER(AF772),1,0)</f>
        <v>0</v>
      </c>
      <c r="CJ772" s="62" t="n">
        <f aca="false">N(AF772)</f>
        <v>0</v>
      </c>
      <c r="CK772" s="62" t="n">
        <f aca="false">N(M772)+N(N772)</f>
        <v>1</v>
      </c>
      <c r="CL772" s="62" t="n">
        <f aca="false">N(M772)</f>
        <v>0</v>
      </c>
      <c r="CM772" s="62" t="n">
        <f aca="false">N(N772)</f>
        <v>1</v>
      </c>
      <c r="CN772" s="62" t="n">
        <f aca="false">ROUNDUP(H772/BZ772,0)</f>
        <v>1</v>
      </c>
      <c r="CO772" s="62" t="n">
        <f aca="false">ROUNDUP(CJ772/BZ772,0)</f>
        <v>0</v>
      </c>
      <c r="CP772" s="65" t="n">
        <f aca="false">IF(CA772=1,0,IFERROR(VLOOKUP(BY772,'Gebinde-Kategorie'!$A$5:$N$45,5,0)+0,0))</f>
        <v>11</v>
      </c>
      <c r="CQ772" s="65" t="n">
        <f aca="false">IFERROR(IF(OR(CF772=1,CF772=2,CF772=3),N(INDEX(Parameter!$I$5:$I$7,CF772)),0),0)</f>
        <v>0</v>
      </c>
      <c r="CR772" s="64" t="n">
        <f aca="false">IF(AND(Parameter!$B$21="Ja",ISNUMBER(W772),N(X772)&gt;0),IFERROR(N(INDEX(Parameter!$L$5:$L$7,W772))*INDEX(Parameter!$E$5:$E$7,W772)*X772/SUMIFS($X$7:$X$1843,$W$7:$W$1843,W772),0),0)</f>
        <v>0</v>
      </c>
      <c r="CS772" s="62" t="n">
        <f aca="false">IF(AND(OR(CG772="L1",CG772="L23",CG772="LIFT"),H772&gt;0),CC772*IF(CR772&gt;0,CR772*MAX(1,H772/X772),IF(CA772=1,CE772,IF(R772&gt;0,CN772/R772,0))/MAX(0.1,N(Parameter!$M$21))),"")</f>
        <v>5.96153846153846</v>
      </c>
      <c r="CT772" s="64" t="n">
        <f aca="false">IF(CS772="","",J772/H772)</f>
        <v>0</v>
      </c>
      <c r="CU772" s="62" t="n">
        <f aca="false">IF(CS772="","",H772*G772)</f>
        <v>37.5</v>
      </c>
      <c r="CV772" s="63" t="n">
        <f aca="false">IF(CS772="","",(CL772+ROUNDUP(CL772+MAX(CM772,2*(J772/MAX(0.1,N(Einkauf!$C$6))-CL772)),0))/2)</f>
        <v>0.5</v>
      </c>
      <c r="CW772" s="62" t="n">
        <f aca="false">IF(CS772="","",MAX(0,H772-CV772)*G772)</f>
        <v>36.875</v>
      </c>
      <c r="CX772" s="62" t="n">
        <f aca="false">IF(CS772="","",CS772*MAX(0,1-CV772/H772))</f>
        <v>5.86217948717949</v>
      </c>
      <c r="CY772" s="64" t="n">
        <f aca="false">IF(CS772="","",PERCENTRANK($CS$7:$CS$1843,CS772)+PERCENTRANK($CU$7:$CU$1843,CU772)+1-PERCENTRANK($CT$7:$CT$1843,CT772))</f>
        <v>1.485</v>
      </c>
      <c r="CZ772" s="72" t="n">
        <f aca="false">IF(CS772="","",CHOOSE(MATCH(Einkauf!$C$5,Parameter!$G$23:$G$27,0),CY772,CS772,CU772,-CT772,CW772)+ROW()/1000000000)</f>
        <v>1.485000772</v>
      </c>
    </row>
    <row r="773" customFormat="false" ht="15" hidden="false" customHeight="false" outlineLevel="0" collapsed="false">
      <c r="A773" s="60" t="s">
        <v>1558</v>
      </c>
      <c r="B773" s="60" t="s">
        <v>510</v>
      </c>
      <c r="C773" s="60" t="s">
        <v>206</v>
      </c>
      <c r="D773" s="60" t="s">
        <v>226</v>
      </c>
      <c r="E773" s="60" t="s">
        <v>227</v>
      </c>
      <c r="F773" s="60" t="s">
        <v>260</v>
      </c>
      <c r="G773" s="61" t="n">
        <v>0.07</v>
      </c>
      <c r="H773" s="62" t="n">
        <f aca="false">MAX(0,IF(AND(Parameter!$B$21="Ja",ISNUMBER(Y773)),Y773,IF(Parameter!$B$20="Jahresanfang 2025 + Export",BS773+BR773,BR773)))</f>
        <v>261</v>
      </c>
      <c r="I773" s="62" t="n">
        <f aca="false">H773*G773</f>
        <v>18.27</v>
      </c>
      <c r="J773" s="62" t="n">
        <f aca="false">BU773*Parameter!$B$18</f>
        <v>309</v>
      </c>
      <c r="K773" s="63" t="n">
        <v>226</v>
      </c>
      <c r="L773" s="64" t="n">
        <v>1.36725663716814</v>
      </c>
      <c r="M773" s="62" t="n">
        <v>12</v>
      </c>
      <c r="N773" s="62" t="n">
        <v>310</v>
      </c>
      <c r="O773" s="65" t="n">
        <v>14</v>
      </c>
      <c r="P773" s="60" t="s">
        <v>443</v>
      </c>
      <c r="Q773" s="62" t="n">
        <v>367</v>
      </c>
      <c r="R773" s="65" t="n">
        <f aca="false">IF(CA773=1,0,IFERROR(VLOOKUP(BY773,'Gebinde-Kategorie'!$A$5:$N$45,13,0)+0,0))</f>
        <v>280</v>
      </c>
      <c r="S773" s="66"/>
      <c r="T773" s="67"/>
      <c r="U773" s="67"/>
      <c r="V773" s="67"/>
      <c r="W773" s="60"/>
      <c r="X773" s="62"/>
      <c r="Y773" s="62"/>
      <c r="Z773" s="60" t="n">
        <v>2</v>
      </c>
      <c r="AA773" s="60" t="n">
        <f aca="false">IF(A773="","",IF(AND(Parameter!$B$21="Ja",ISNUMBER(W773)),W773,IF(AND(Parameter!$E$27="Ja",ISNUMBER(Z773),CD773&lt;&gt;"Nein"),Z773,IF(CD773="2+3",IF(ISNUMBER(SEARCH("grosser Artikel",BV773)),2,IFERROR(VLOOKUP(BY773,Parameter!$F$35:$G$64,2,0),2)),IF(OR(CD773="Nein",CD773=""),"-",CD773)))))</f>
        <v>2</v>
      </c>
      <c r="AB773" s="67"/>
      <c r="AC773" s="68"/>
      <c r="AD773" s="62" t="n">
        <f aca="false">AW773</f>
        <v>322</v>
      </c>
      <c r="AE773" s="62" t="n">
        <f aca="false">MAX(AW773,H773)</f>
        <v>322</v>
      </c>
      <c r="AF773" s="69"/>
      <c r="AG773" s="62" t="n">
        <f aca="false">IF(LEFT(Cockpit!$C$5,1)="A",H773,IF(Parameter!$E$30="MAX-Bestand",IF(CI773=1,CJ773,IF(LEFT(Cockpit!$C$5,1)="B",AM773,MAX(AM773,H773))),ROUNDUP(AK773,0)))</f>
        <v>261</v>
      </c>
      <c r="AH773" s="62" t="n">
        <f aca="false">IF(CA773=1,0,ROUNDUP(AG773/BZ773,0))</f>
        <v>1</v>
      </c>
      <c r="AI773" s="64" t="n">
        <f aca="false">IF(CR773&gt;0,CR773*MAX(1,AG773/X773),IF(CA773=1,IF(AG773&lt;=0,0,CE773*MAX(1,IF(H773&gt;0,AG773/H773,1))),IF(R773&gt;0,AH773/R773,0))/MAX(0.1,N(Parameter!$M$21)))</f>
        <v>0.00357142857142857</v>
      </c>
      <c r="AJ773" s="62" t="n">
        <f aca="false">AI773*CC773</f>
        <v>0.553571428571429</v>
      </c>
      <c r="AK773" s="63" t="n">
        <f aca="false">IF(LEFT(Cockpit!$C$5,1)="A",H773,IF(CI773=1,(CL773+CJ773)/2,IF(LEFT(Cockpit!$C$5,1)="B",(CL773+AM773)/2,MAX((CL773+AM773)/2,H773))))</f>
        <v>261</v>
      </c>
      <c r="AL773" s="62" t="n">
        <f aca="false">AK773*G773</f>
        <v>18.27</v>
      </c>
      <c r="AM773" s="62" t="n">
        <f aca="false">ROUNDUP(CL773+MAX(CM773,2*(J773/IF(CH773&gt;0,CH773,MAX(0.1,N(Cockpit!$C$6)))-CL773)),0)</f>
        <v>322</v>
      </c>
      <c r="AN773" s="63" t="n">
        <f aca="false">IF(AJ773&gt;0,J773/AJ773,-1)</f>
        <v>558.193548387097</v>
      </c>
      <c r="AO773" s="63" t="n">
        <f aca="false">IF(AND(OR(CG773="L1",CG773="L23",CG773="LIFT"),AJ773&gt;0),SUMIFS($AJ$7:$AJ$1843,$CG$7:$CG$1843,CG773,$AN$7:$AN$1843,"&gt;"&amp;AN773)+SUMIFS($AJ$7:$AJ$1843,$CG$7:$CG$1843,CG773,$AN$7:$AN$1843,AN773,$BX$7:$BX$1843,"&lt;="&amp;BX773),"")</f>
        <v>52.2184065934066</v>
      </c>
      <c r="AP773" s="70" t="n">
        <f aca="false">IF(AO773="",0,MAX(0,MIN(1,(IF(CG773="L1",Parameter!$H$5,IF(CG773="L23",Parameter!$H$6+Parameter!$H$7,Parameter!$H$5+Parameter!$H$6+Parameter!$H$7))-(AO773-AJ773))/AJ773)))</f>
        <v>1</v>
      </c>
      <c r="AQ773" s="62" t="n">
        <f aca="false">IF(LEFT(Cockpit!$I$5,1)="A",H773,IF(Parameter!$E$30="MAX-Bestand",IF(CI773=1,CJ773,IF(LEFT(Cockpit!$I$5,1)="B",AW773,MAX(AW773,H773))),ROUNDUP(AU773,0)))</f>
        <v>261</v>
      </c>
      <c r="AR773" s="62" t="n">
        <f aca="false">IF(CA773=1,0,ROUNDUP(AQ773/BZ773,0))</f>
        <v>1</v>
      </c>
      <c r="AS773" s="64" t="n">
        <f aca="false">IF(CR773&gt;0,CR773*MAX(1,AQ773/X773),IF(CA773=1,IF(AQ773&lt;=0,0,CE773*MAX(1,IF(H773&gt;0,AQ773/H773,1))),IF(R773&gt;0,AR773/R773,0))/MAX(0.1,N(Parameter!$M$21)))</f>
        <v>0.00357142857142857</v>
      </c>
      <c r="AT773" s="62" t="n">
        <f aca="false">AS773*CC773</f>
        <v>0.553571428571429</v>
      </c>
      <c r="AU773" s="63" t="n">
        <f aca="false">IF(LEFT(Cockpit!$I$5,1)="A",H773,IF(CI773=1,(CL773+CJ773)/2,IF(LEFT(Cockpit!$I$5,1)="B",(CL773+AW773)/2,MAX((CL773+AW773)/2,H773))))</f>
        <v>261</v>
      </c>
      <c r="AV773" s="62" t="n">
        <f aca="false">AU773*G773</f>
        <v>18.27</v>
      </c>
      <c r="AW773" s="62" t="n">
        <f aca="false">ROUNDUP(CL773+MAX(CM773,2*(J773/IF(CH773&gt;0,CH773,MAX(0.1,N(Cockpit!$I$6)))-CL773)),0)</f>
        <v>322</v>
      </c>
      <c r="AX773" s="63" t="n">
        <f aca="false">IF(AT773&gt;0,J773/AT773,-1)</f>
        <v>558.193548387097</v>
      </c>
      <c r="AY773" s="63" t="n">
        <f aca="false">IF(AND(OR(CG773="L1",CG773="L23",CG773="LIFT"),AT773&gt;0),SUMIFS($AT$7:$AT$1843,$CG$7:$CG$1843,CG773,$AX$7:$AX$1843,"&gt;"&amp;AX773)+SUMIFS($AT$7:$AT$1843,$CG$7:$CG$1843,CG773,$AX$7:$AX$1843,AX773,$BX$7:$BX$1843,"&lt;="&amp;BX773),"")</f>
        <v>45.2225274725275</v>
      </c>
      <c r="AZ773" s="70" t="n">
        <f aca="false">IF(AY773="",0,MAX(0,MIN(1,(IF(CG773="L1",Parameter!$H$5,IF(CG773="L23",Parameter!$H$6+Parameter!$H$7,Parameter!$H$5+Parameter!$H$6+Parameter!$H$7))-(AY773-AT773))/AT773)))</f>
        <v>1</v>
      </c>
      <c r="BA773" s="62" t="n">
        <f aca="false">IF(LEFT(Cockpit!$O$5,1)="A",H773,IF(Parameter!$E$30="MAX-Bestand",IF(CI773=1,CJ773,IF(LEFT(Cockpit!$O$5,1)="B",BG773,MAX(BG773,H773))),ROUNDUP(BE773,0)))</f>
        <v>167</v>
      </c>
      <c r="BB773" s="62" t="n">
        <f aca="false">IF(CA773=1,0,ROUNDUP(BA773/BZ773,0))</f>
        <v>1</v>
      </c>
      <c r="BC773" s="64" t="n">
        <f aca="false">IF(CR773&gt;0,CR773*MAX(1,BA773/X773),IF(CA773=1,IF(BA773&lt;=0,0,CE773*MAX(1,IF(H773&gt;0,BA773/H773,1))),IF(R773&gt;0,BB773/R773,0))/MAX(0.1,N(Parameter!$M$21)))</f>
        <v>0.00357142857142857</v>
      </c>
      <c r="BD773" s="62" t="n">
        <f aca="false">BC773*CC773</f>
        <v>0.553571428571429</v>
      </c>
      <c r="BE773" s="63" t="n">
        <f aca="false">IF(LEFT(Cockpit!$O$5,1)="A",H773,IF(CI773=1,(CL773+CJ773)/2,IF(LEFT(Cockpit!$O$5,1)="B",(CL773+BG773)/2,MAX((CL773+BG773)/2,H773))))</f>
        <v>167</v>
      </c>
      <c r="BF773" s="62" t="n">
        <f aca="false">BE773*G773</f>
        <v>11.69</v>
      </c>
      <c r="BG773" s="62" t="n">
        <f aca="false">ROUNDUP(CL773+MAX(CM773,2*(J773/IF(CH773&gt;0,CH773,MAX(0.1,N(Cockpit!$O$6)))-CL773)),0)</f>
        <v>322</v>
      </c>
      <c r="BH773" s="63" t="n">
        <f aca="false">IF(BD773&gt;0,J773/BD773,-1)</f>
        <v>558.193548387097</v>
      </c>
      <c r="BI773" s="63" t="n">
        <f aca="false">IF(AND(OR(CG773="L1",CG773="L23",CG773="LIFT"),BD773&gt;0),SUMIFS($BD$7:$BD$1843,$CG$7:$CG$1843,CG773,$BH$7:$BH$1843,"&gt;"&amp;BH773)+SUMIFS($BD$7:$BD$1843,$CG$7:$CG$1843,CG773,$BH$7:$BH$1843,BH773,$BX$7:$BX$1843,"&lt;="&amp;BX773),"")</f>
        <v>65.8649267399267</v>
      </c>
      <c r="BJ773" s="70" t="n">
        <f aca="false">IF(BI773="",0,MAX(0,MIN(1,(IF(CG773="L1",Parameter!$H$5,IF(CG773="L23",Parameter!$H$6+Parameter!$H$7,Parameter!$H$5+Parameter!$H$6+Parameter!$H$7))-(BI773-BD773))/BD773)))</f>
        <v>1</v>
      </c>
      <c r="BK773" s="60" t="str">
        <f aca="false">IF(AJ773&lt;=0,"",IF(CG773="Aussen","Aussenlager",IF(CG773="-","Nicht im Lift",IF(AP773&gt;=1,"Lift",IF(AP773&lt;=0,"Aussenlager","teilweise")))))</f>
        <v>Lift</v>
      </c>
      <c r="BL773" s="60" t="str">
        <f aca="false">IF(AT773&lt;=0,"",IF(CG773="Aussen","Aussenlager",IF(CG773="-","Nicht im Lift",IF(AZ773&gt;=1,"Lift",IF(AZ773&lt;=0,"Aussenlager","teilweise")))))</f>
        <v>Lift</v>
      </c>
      <c r="BM773" s="60" t="str">
        <f aca="false">IF(BD773&lt;=0,"",IF(CG773="Aussen","Aussenlager",IF(CG773="-","Nicht im Lift",IF(BJ773&gt;=1,"Lift",IF(BJ773&lt;=0,"Aussenlager","teilweise")))))</f>
        <v>Lift</v>
      </c>
      <c r="BN773" s="60" t="str">
        <f aca="false">IF(A773="","",IF(BW773=1,"Neu; ","")&amp;IF(AND(BW773=0,BR773&lt;0),"negativer Bestand (Export "&amp;BR773&amp;"); ","")&amp;IF(J773&lt;=0,"Kein Verbrauch; ","")&amp;IF(CR773&gt;0,"Lift "&amp;W773&amp;" lt. Liftbericht (Fach "&amp;X773&amp;" Stk); ",IF(CB773=1,"Gebinde geschätzt ("&amp;T773&amp;"); ",IF(CA773=1,"Lose – Tablare geschätzt; ","")))&amp;IF(H773&gt;AW773,"Überbestand "&amp;ROUND(H773-AW773,0)&amp;" Stk / CHF "&amp;ROUND((H773-AW773)*G773,0)&amp;"; ","")&amp;IF(AND(CI773=1,CJ773&lt;CK773),"MAX &lt; MB+LG; ","")&amp;IF(AND(CQ773&gt;0,CP773*10&gt;CQ773),"zu hoch für Tablar; ","")&amp;IF(AND(BW773=0,OR(CI773=1,AB773&lt;&gt;"",U773&lt;&gt;"",V773&lt;&gt;"",AC773&lt;&gt;"")),"manuell übersteuert; ","")&amp;IF(AND(CA773=0,R773=0),"Gebinde unbekannt / Stellmass fehlt; ","")&amp;IF(AND(CA773=0,N(V773)&lt;=0,N(Q773)&lt;=0),"Menge pro Gebinde fehlt (Ist = 1 Gebinde); ","")&amp;BV773)</f>
        <v>negativer Bestand (Export -18); </v>
      </c>
      <c r="BO773" s="60"/>
      <c r="BP773" s="60"/>
      <c r="BQ773" s="67"/>
      <c r="BR773" s="62" t="n">
        <v>-18</v>
      </c>
      <c r="BS773" s="62" t="n">
        <v>279</v>
      </c>
      <c r="BT773" s="61" t="n">
        <v>-1.26</v>
      </c>
      <c r="BU773" s="62" t="n">
        <v>309</v>
      </c>
      <c r="BV773" s="60"/>
      <c r="BW773" s="65" t="n">
        <v>0</v>
      </c>
      <c r="BX773" s="65" t="n">
        <v>773</v>
      </c>
      <c r="BY773" s="60" t="str">
        <f aca="false">IF(U773&lt;&gt;"",UPPER(TRIM(U773)),IF(CB773=1,UPPER(VLOOKUP(T773,Parameter!$I$27:$K$29,2,0)),IF(P773="","LOSE",P773)))</f>
        <v>S21</v>
      </c>
      <c r="BZ773" s="62" t="n">
        <f aca="false">IF(BY773="LOSE",1,IF(N(V773)&gt;0,V773,IF(CB773=1,MAX(1,N(VLOOKUP(T773,Parameter!$I$27:$K$29,3,0)),H773,N(N773)),IF(N(Q773)&gt;0,Q773,MAX(1,H773)))))</f>
        <v>367</v>
      </c>
      <c r="CA773" s="65" t="n">
        <f aca="false">IF(BY773="LOSE",1,0)</f>
        <v>0</v>
      </c>
      <c r="CB773" s="65" t="n">
        <f aca="false">IF(AND(U773="",OR(P773="",P773="LOSE"),T773&lt;&gt;"",N(S773)&lt;=0,ISNUMBER(MATCH(T773,Parameter!$I$27:$I$29,0))),1,0)</f>
        <v>0</v>
      </c>
      <c r="CC773" s="65" t="n">
        <f aca="false">IF(CR773&gt;0,INDEX(Parameter!$H$5:$H$7,W773)/INDEX(Parameter!$E$5:$E$7,W773),IF(AND(CA773=0,N(IFERROR(VLOOKUP(BY773,'Gebinde-Kategorie'!$A$5:$N$45,14,0),0))&gt;0),VLOOKUP(BY773,'Gebinde-Kategorie'!$A$5:$N$45,14,0)*10+Parameter!$M$23,Parameter!$M$24))</f>
        <v>155</v>
      </c>
      <c r="CD773" s="60" t="str">
        <f aca="false">IF(AND(Parameter!$B$19="Ja",E773&lt;&gt;"",ISNUMBER(MATCH(E773,Parameter!$I$35:$I$52,0))),VLOOKUP(E773,Parameter!$I$35:$J$52,2,0),IFERROR(VLOOKUP(D773,Parameter!$A$35:$C$64,2,0),"Nein"))</f>
        <v>2+3</v>
      </c>
      <c r="CE773" s="64" t="n">
        <f aca="false">IF(CA773=0,0,IF(N(S773)&gt;0,S773,IFERROR(VLOOKUP(D773,Parameter!$A$35:$C$64,3,0)+0,0)))</f>
        <v>0</v>
      </c>
      <c r="CF773" s="60" t="n">
        <f aca="false">IF(AB773&lt;&gt;"",AB773,AA773)</f>
        <v>2</v>
      </c>
      <c r="CG773" s="60" t="str">
        <f aca="false">IF(OR(CF773=1,CF773=2,CF773=3),IF(Parameter!$E$27="Ja","LIFT",IF(CF773=1,"L1","L23")),IF(CF773="Aussen","Aussen","-"))</f>
        <v>LIFT</v>
      </c>
      <c r="CH773" s="71" t="n">
        <f aca="false">IF(N(AC773)&gt;0,AC773,0)</f>
        <v>0</v>
      </c>
      <c r="CI773" s="65" t="n">
        <f aca="false">IF(ISNUMBER(AF773),1,0)</f>
        <v>0</v>
      </c>
      <c r="CJ773" s="62" t="n">
        <f aca="false">N(AF773)</f>
        <v>0</v>
      </c>
      <c r="CK773" s="62" t="n">
        <f aca="false">N(M773)+N(N773)</f>
        <v>322</v>
      </c>
      <c r="CL773" s="62" t="n">
        <f aca="false">N(M773)</f>
        <v>12</v>
      </c>
      <c r="CM773" s="62" t="n">
        <f aca="false">N(N773)</f>
        <v>310</v>
      </c>
      <c r="CN773" s="62" t="n">
        <f aca="false">ROUNDUP(H773/BZ773,0)</f>
        <v>1</v>
      </c>
      <c r="CO773" s="62" t="n">
        <f aca="false">ROUNDUP(CJ773/BZ773,0)</f>
        <v>0</v>
      </c>
      <c r="CP773" s="65" t="n">
        <f aca="false">IF(CA773=1,0,IFERROR(VLOOKUP(BY773,'Gebinde-Kategorie'!$A$5:$N$45,5,0)+0,0))</f>
        <v>8</v>
      </c>
      <c r="CQ773" s="65" t="n">
        <f aca="false">IFERROR(IF(OR(CF773=1,CF773=2,CF773=3),N(INDEX(Parameter!$I$5:$I$7,CF773)),0),0)</f>
        <v>0</v>
      </c>
      <c r="CR773" s="64" t="n">
        <f aca="false">IF(AND(Parameter!$B$21="Ja",ISNUMBER(W773),N(X773)&gt;0),IFERROR(N(INDEX(Parameter!$L$5:$L$7,W773))*INDEX(Parameter!$E$5:$E$7,W773)*X773/SUMIFS($X$7:$X$1843,$W$7:$W$1843,W773),0),0)</f>
        <v>0</v>
      </c>
      <c r="CS773" s="62" t="n">
        <f aca="false">IF(AND(OR(CG773="L1",CG773="L23",CG773="LIFT"),H773&gt;0),CC773*IF(CR773&gt;0,CR773*MAX(1,H773/X773),IF(CA773=1,CE773,IF(R773&gt;0,CN773/R773,0))/MAX(0.1,N(Parameter!$M$21))),"")</f>
        <v>0.553571428571429</v>
      </c>
      <c r="CT773" s="64" t="n">
        <f aca="false">IF(CS773="","",J773/H773)</f>
        <v>1.18390804597701</v>
      </c>
      <c r="CU773" s="62" t="n">
        <f aca="false">IF(CS773="","",H773*G773)</f>
        <v>18.27</v>
      </c>
      <c r="CV773" s="63" t="n">
        <f aca="false">IF(CS773="","",(CL773+ROUNDUP(CL773+MAX(CM773,2*(J773/MAX(0.1,N(Einkauf!$C$6))-CL773)),0))/2)</f>
        <v>167</v>
      </c>
      <c r="CW773" s="62" t="n">
        <f aca="false">IF(CS773="","",MAX(0,H773-CV773)*G773)</f>
        <v>6.58</v>
      </c>
      <c r="CX773" s="62" t="n">
        <f aca="false">IF(CS773="","",CS773*MAX(0,1-CV773/H773))</f>
        <v>0.199370552818829</v>
      </c>
      <c r="CY773" s="64" t="n">
        <f aca="false">IF(CS773="","",PERCENTRANK($CS$7:$CS$1843,CS773)+PERCENTRANK($CU$7:$CU$1843,CU773)+1-PERCENTRANK($CT$7:$CT$1843,CT773))</f>
        <v>0.3568</v>
      </c>
      <c r="CZ773" s="72" t="n">
        <f aca="false">IF(CS773="","",CHOOSE(MATCH(Einkauf!$C$5,Parameter!$G$23:$G$27,0),CY773,CS773,CU773,-CT773,CW773)+ROW()/1000000000)</f>
        <v>0.356800773</v>
      </c>
    </row>
    <row r="774" customFormat="false" ht="15" hidden="false" customHeight="false" outlineLevel="0" collapsed="false">
      <c r="A774" s="60" t="s">
        <v>1559</v>
      </c>
      <c r="B774" s="60" t="s">
        <v>696</v>
      </c>
      <c r="C774" s="60" t="s">
        <v>206</v>
      </c>
      <c r="D774" s="60" t="s">
        <v>226</v>
      </c>
      <c r="E774" s="60"/>
      <c r="F774" s="60" t="s">
        <v>260</v>
      </c>
      <c r="G774" s="61" t="n">
        <v>0.06</v>
      </c>
      <c r="H774" s="62" t="n">
        <f aca="false">MAX(0,IF(AND(Parameter!$B$21="Ja",ISNUMBER(Y774)),Y774,IF(Parameter!$B$20="Jahresanfang 2025 + Export",BS774+BR774,BR774)))</f>
        <v>12</v>
      </c>
      <c r="I774" s="62" t="n">
        <f aca="false">H774*G774</f>
        <v>0.72</v>
      </c>
      <c r="J774" s="62" t="n">
        <f aca="false">BU774*Parameter!$B$18</f>
        <v>0</v>
      </c>
      <c r="K774" s="63" t="n">
        <v>24</v>
      </c>
      <c r="L774" s="64" t="n">
        <v>0</v>
      </c>
      <c r="M774" s="62" t="n">
        <v>0</v>
      </c>
      <c r="N774" s="62" t="n">
        <v>1</v>
      </c>
      <c r="O774" s="65" t="n">
        <v>21</v>
      </c>
      <c r="P774" s="60" t="s">
        <v>210</v>
      </c>
      <c r="Q774" s="62"/>
      <c r="R774" s="65" t="n">
        <f aca="false">IF(CA774=1,0,IFERROR(VLOOKUP(BY774,'Gebinde-Kategorie'!$A$5:$N$45,13,0)+0,0))</f>
        <v>26</v>
      </c>
      <c r="S774" s="66"/>
      <c r="T774" s="67" t="s">
        <v>317</v>
      </c>
      <c r="U774" s="67"/>
      <c r="V774" s="67"/>
      <c r="W774" s="60"/>
      <c r="X774" s="62"/>
      <c r="Y774" s="62"/>
      <c r="Z774" s="60" t="n">
        <v>3</v>
      </c>
      <c r="AA774" s="60" t="n">
        <f aca="false">IF(A774="","",IF(AND(Parameter!$B$21="Ja",ISNUMBER(W774)),W774,IF(AND(Parameter!$E$27="Ja",ISNUMBER(Z774),CD774&lt;&gt;"Nein"),Z774,IF(CD774="2+3",IF(ISNUMBER(SEARCH("grosser Artikel",BV774)),2,IFERROR(VLOOKUP(BY774,Parameter!$F$35:$G$64,2,0),2)),IF(OR(CD774="Nein",CD774=""),"-",CD774)))))</f>
        <v>3</v>
      </c>
      <c r="AB774" s="67"/>
      <c r="AC774" s="68"/>
      <c r="AD774" s="62" t="n">
        <f aca="false">AW774</f>
        <v>1</v>
      </c>
      <c r="AE774" s="62" t="n">
        <f aca="false">MAX(AW774,H774)</f>
        <v>12</v>
      </c>
      <c r="AF774" s="69"/>
      <c r="AG774" s="62" t="n">
        <f aca="false">IF(LEFT(Cockpit!$C$5,1)="A",H774,IF(Parameter!$E$30="MAX-Bestand",IF(CI774=1,CJ774,IF(LEFT(Cockpit!$C$5,1)="B",AM774,MAX(AM774,H774))),ROUNDUP(AK774,0)))</f>
        <v>12</v>
      </c>
      <c r="AH774" s="62" t="n">
        <f aca="false">IF(CA774=1,0,ROUNDUP(AG774/BZ774,0))</f>
        <v>1</v>
      </c>
      <c r="AI774" s="64" t="n">
        <f aca="false">IF(CR774&gt;0,CR774*MAX(1,AG774/X774),IF(CA774=1,IF(AG774&lt;=0,0,CE774*MAX(1,IF(H774&gt;0,AG774/H774,1))),IF(R774&gt;0,AH774/R774,0))/MAX(0.1,N(Parameter!$M$21)))</f>
        <v>0.0384615384615385</v>
      </c>
      <c r="AJ774" s="62" t="n">
        <f aca="false">AI774*CC774</f>
        <v>5.96153846153846</v>
      </c>
      <c r="AK774" s="63" t="n">
        <f aca="false">IF(LEFT(Cockpit!$C$5,1)="A",H774,IF(CI774=1,(CL774+CJ774)/2,IF(LEFT(Cockpit!$C$5,1)="B",(CL774+AM774)/2,MAX((CL774+AM774)/2,H774))))</f>
        <v>12</v>
      </c>
      <c r="AL774" s="62" t="n">
        <f aca="false">AK774*G774</f>
        <v>0.72</v>
      </c>
      <c r="AM774" s="62" t="n">
        <f aca="false">ROUNDUP(CL774+MAX(CM774,2*(J774/IF(CH774&gt;0,CH774,MAX(0.1,N(Cockpit!$C$6)))-CL774)),0)</f>
        <v>1</v>
      </c>
      <c r="AN774" s="63" t="n">
        <f aca="false">IF(AJ774&gt;0,J774/AJ774,-1)</f>
        <v>0</v>
      </c>
      <c r="AO774" s="63" t="n">
        <f aca="false">IF(AND(OR(CG774="L1",CG774="L23",CG774="LIFT"),AJ774&gt;0),SUMIFS($AJ$7:$AJ$1843,$CG$7:$CG$1843,CG774,$AN$7:$AN$1843,"&gt;"&amp;AN774)+SUMIFS($AJ$7:$AJ$1843,$CG$7:$CG$1843,CG774,$AN$7:$AN$1843,AN774,$BX$7:$BX$1843,"&lt;="&amp;BX774),"")</f>
        <v>28750.6814868277</v>
      </c>
      <c r="AP774" s="70" t="n">
        <f aca="false">IF(AO774="",0,MAX(0,MIN(1,(IF(CG774="L1",Parameter!$H$5,IF(CG774="L23",Parameter!$H$6+Parameter!$H$7,Parameter!$H$5+Parameter!$H$6+Parameter!$H$7))-(AO774-AJ774))/AJ774)))</f>
        <v>1</v>
      </c>
      <c r="AQ774" s="62" t="n">
        <f aca="false">IF(LEFT(Cockpit!$I$5,1)="A",H774,IF(Parameter!$E$30="MAX-Bestand",IF(CI774=1,CJ774,IF(LEFT(Cockpit!$I$5,1)="B",AW774,MAX(AW774,H774))),ROUNDUP(AU774,0)))</f>
        <v>12</v>
      </c>
      <c r="AR774" s="62" t="n">
        <f aca="false">IF(CA774=1,0,ROUNDUP(AQ774/BZ774,0))</f>
        <v>1</v>
      </c>
      <c r="AS774" s="64" t="n">
        <f aca="false">IF(CR774&gt;0,CR774*MAX(1,AQ774/X774),IF(CA774=1,IF(AQ774&lt;=0,0,CE774*MAX(1,IF(H774&gt;0,AQ774/H774,1))),IF(R774&gt;0,AR774/R774,0))/MAX(0.1,N(Parameter!$M$21)))</f>
        <v>0.0384615384615385</v>
      </c>
      <c r="AT774" s="62" t="n">
        <f aca="false">AS774*CC774</f>
        <v>5.96153846153846</v>
      </c>
      <c r="AU774" s="63" t="n">
        <f aca="false">IF(LEFT(Cockpit!$I$5,1)="A",H774,IF(CI774=1,(CL774+CJ774)/2,IF(LEFT(Cockpit!$I$5,1)="B",(CL774+AW774)/2,MAX((CL774+AW774)/2,H774))))</f>
        <v>12</v>
      </c>
      <c r="AV774" s="62" t="n">
        <f aca="false">AU774*G774</f>
        <v>0.72</v>
      </c>
      <c r="AW774" s="62" t="n">
        <f aca="false">ROUNDUP(CL774+MAX(CM774,2*(J774/IF(CH774&gt;0,CH774,MAX(0.1,N(Cockpit!$I$6)))-CL774)),0)</f>
        <v>1</v>
      </c>
      <c r="AX774" s="63" t="n">
        <f aca="false">IF(AT774&gt;0,J774/AT774,-1)</f>
        <v>0</v>
      </c>
      <c r="AY774" s="63" t="n">
        <f aca="false">IF(AND(OR(CG774="L1",CG774="L23",CG774="LIFT"),AT774&gt;0),SUMIFS($AT$7:$AT$1843,$CG$7:$CG$1843,CG774,$AX$7:$AX$1843,"&gt;"&amp;AX774)+SUMIFS($AT$7:$AT$1843,$CG$7:$CG$1843,CG774,$AX$7:$AX$1843,AX774,$BX$7:$BX$1843,"&lt;="&amp;BX774),"")</f>
        <v>34355.4647435897</v>
      </c>
      <c r="AZ774" s="70" t="n">
        <f aca="false">IF(AY774="",0,MAX(0,MIN(1,(IF(CG774="L1",Parameter!$H$5,IF(CG774="L23",Parameter!$H$6+Parameter!$H$7,Parameter!$H$5+Parameter!$H$6+Parameter!$H$7))-(AY774-AT774))/AT774)))</f>
        <v>1</v>
      </c>
      <c r="BA774" s="62" t="n">
        <f aca="false">IF(LEFT(Cockpit!$O$5,1)="A",H774,IF(Parameter!$E$30="MAX-Bestand",IF(CI774=1,CJ774,IF(LEFT(Cockpit!$O$5,1)="B",BG774,MAX(BG774,H774))),ROUNDUP(BE774,0)))</f>
        <v>1</v>
      </c>
      <c r="BB774" s="62" t="n">
        <f aca="false">IF(CA774=1,0,ROUNDUP(BA774/BZ774,0))</f>
        <v>1</v>
      </c>
      <c r="BC774" s="64" t="n">
        <f aca="false">IF(CR774&gt;0,CR774*MAX(1,BA774/X774),IF(CA774=1,IF(BA774&lt;=0,0,CE774*MAX(1,IF(H774&gt;0,BA774/H774,1))),IF(R774&gt;0,BB774/R774,0))/MAX(0.1,N(Parameter!$M$21)))</f>
        <v>0.0384615384615385</v>
      </c>
      <c r="BD774" s="62" t="n">
        <f aca="false">BC774*CC774</f>
        <v>5.96153846153846</v>
      </c>
      <c r="BE774" s="63" t="n">
        <f aca="false">IF(LEFT(Cockpit!$O$5,1)="A",H774,IF(CI774=1,(CL774+CJ774)/2,IF(LEFT(Cockpit!$O$5,1)="B",(CL774+BG774)/2,MAX((CL774+BG774)/2,H774))))</f>
        <v>0.5</v>
      </c>
      <c r="BF774" s="62" t="n">
        <f aca="false">BE774*G774</f>
        <v>0.03</v>
      </c>
      <c r="BG774" s="62" t="n">
        <f aca="false">ROUNDUP(CL774+MAX(CM774,2*(J774/IF(CH774&gt;0,CH774,MAX(0.1,N(Cockpit!$O$6)))-CL774)),0)</f>
        <v>1</v>
      </c>
      <c r="BH774" s="63" t="n">
        <f aca="false">IF(BD774&gt;0,J774/BD774,-1)</f>
        <v>0</v>
      </c>
      <c r="BI774" s="63" t="n">
        <f aca="false">IF(AND(OR(CG774="L1",CG774="L23",CG774="LIFT"),BD774&gt;0),SUMIFS($BD$7:$BD$1843,$CG$7:$CG$1843,CG774,$BH$7:$BH$1843,"&gt;"&amp;BH774)+SUMIFS($BD$7:$BD$1843,$CG$7:$CG$1843,CG774,$BH$7:$BH$1843,BH774,$BX$7:$BX$1843,"&lt;="&amp;BX774),"")</f>
        <v>28399.3345905507</v>
      </c>
      <c r="BJ774" s="70" t="n">
        <f aca="false">IF(BI774="",0,MAX(0,MIN(1,(IF(CG774="L1",Parameter!$H$5,IF(CG774="L23",Parameter!$H$6+Parameter!$H$7,Parameter!$H$5+Parameter!$H$6+Parameter!$H$7))-(BI774-BD774))/BD774)))</f>
        <v>1</v>
      </c>
      <c r="BK774" s="60" t="str">
        <f aca="false">IF(AJ774&lt;=0,"",IF(CG774="Aussen","Aussenlager",IF(CG774="-","Nicht im Lift",IF(AP774&gt;=1,"Lift",IF(AP774&lt;=0,"Aussenlager","teilweise")))))</f>
        <v>Lift</v>
      </c>
      <c r="BL774" s="60" t="str">
        <f aca="false">IF(AT774&lt;=0,"",IF(CG774="Aussen","Aussenlager",IF(CG774="-","Nicht im Lift",IF(AZ774&gt;=1,"Lift",IF(AZ774&lt;=0,"Aussenlager","teilweise")))))</f>
        <v>Lift</v>
      </c>
      <c r="BM774" s="60" t="str">
        <f aca="false">IF(BD774&lt;=0,"",IF(CG774="Aussen","Aussenlager",IF(CG774="-","Nicht im Lift",IF(BJ774&gt;=1,"Lift",IF(BJ774&lt;=0,"Aussenlager","teilweise")))))</f>
        <v>Lift</v>
      </c>
      <c r="BN774" s="60" t="str">
        <f aca="false">IF(A774="","",IF(BW774=1,"Neu; ","")&amp;IF(AND(BW774=0,BR774&lt;0),"negativer Bestand (Export "&amp;BR774&amp;"); ","")&amp;IF(J774&lt;=0,"Kein Verbrauch; ","")&amp;IF(CR774&gt;0,"Lift "&amp;W774&amp;" lt. Liftbericht (Fach "&amp;X774&amp;" Stk); ",IF(CB774=1,"Gebinde geschätzt ("&amp;T774&amp;"); ",IF(CA774=1,"Lose – Tablare geschätzt; ","")))&amp;IF(H774&gt;AW774,"Überbestand "&amp;ROUND(H774-AW774,0)&amp;" Stk / CHF "&amp;ROUND((H774-AW774)*G774,0)&amp;"; ","")&amp;IF(AND(CI774=1,CJ774&lt;CK774),"MAX &lt; MB+LG; ","")&amp;IF(AND(CQ774&gt;0,CP774*10&gt;CQ774),"zu hoch für Tablar; ","")&amp;IF(AND(BW774=0,OR(CI774=1,AB774&lt;&gt;"",U774&lt;&gt;"",V774&lt;&gt;"",AC774&lt;&gt;"")),"manuell übersteuert; ","")&amp;IF(AND(CA774=0,R774=0),"Gebinde unbekannt / Stellmass fehlt; ","")&amp;IF(AND(CA774=0,N(V774)&lt;=0,N(Q774)&lt;=0),"Menge pro Gebinde fehlt (Ist = 1 Gebinde); ","")&amp;BV774)</f>
        <v>negativer Bestand (Export -24); Kein Verbrauch; Gebinde geschätzt (Klein); Überbestand 11 Stk / CHF 1; Menge pro Gebinde fehlt (Ist = 1 Gebinde); </v>
      </c>
      <c r="BO774" s="60"/>
      <c r="BP774" s="60"/>
      <c r="BQ774" s="67"/>
      <c r="BR774" s="62" t="n">
        <v>-24</v>
      </c>
      <c r="BS774" s="62" t="n">
        <v>36</v>
      </c>
      <c r="BT774" s="61" t="n">
        <v>-1.44</v>
      </c>
      <c r="BU774" s="62" t="n">
        <v>0</v>
      </c>
      <c r="BV774" s="60"/>
      <c r="BW774" s="65" t="n">
        <v>0</v>
      </c>
      <c r="BX774" s="65" t="n">
        <v>774</v>
      </c>
      <c r="BY774" s="60" t="str">
        <f aca="false">IF(U774&lt;&gt;"",UPPER(TRIM(U774)),IF(CB774=1,UPPER(VLOOKUP(T774,Parameter!$I$27:$K$29,2,0)),IF(P774="","LOSE",P774)))</f>
        <v>S51</v>
      </c>
      <c r="BZ774" s="62" t="n">
        <f aca="false">IF(BY774="LOSE",1,IF(N(V774)&gt;0,V774,IF(CB774=1,MAX(1,N(VLOOKUP(T774,Parameter!$I$27:$K$29,3,0)),H774,N(N774)),IF(N(Q774)&gt;0,Q774,MAX(1,H774)))))</f>
        <v>20</v>
      </c>
      <c r="CA774" s="65" t="n">
        <f aca="false">IF(BY774="LOSE",1,0)</f>
        <v>0</v>
      </c>
      <c r="CB774" s="65" t="n">
        <f aca="false">IF(AND(U774="",OR(P774="",P774="LOSE"),T774&lt;&gt;"",N(S774)&lt;=0,ISNUMBER(MATCH(T774,Parameter!$I$27:$I$29,0))),1,0)</f>
        <v>1</v>
      </c>
      <c r="CC774" s="65" t="n">
        <f aca="false">IF(CR774&gt;0,INDEX(Parameter!$H$5:$H$7,W774)/INDEX(Parameter!$E$5:$E$7,W774),IF(AND(CA774=0,N(IFERROR(VLOOKUP(BY774,'Gebinde-Kategorie'!$A$5:$N$45,14,0),0))&gt;0),VLOOKUP(BY774,'Gebinde-Kategorie'!$A$5:$N$45,14,0)*10+Parameter!$M$23,Parameter!$M$24))</f>
        <v>155</v>
      </c>
      <c r="CD774" s="60" t="str">
        <f aca="false">IF(AND(Parameter!$B$19="Ja",E774&lt;&gt;"",ISNUMBER(MATCH(E774,Parameter!$I$35:$I$52,0))),VLOOKUP(E774,Parameter!$I$35:$J$52,2,0),IFERROR(VLOOKUP(D774,Parameter!$A$35:$C$64,2,0),"Nein"))</f>
        <v>2+3</v>
      </c>
      <c r="CE774" s="64" t="n">
        <f aca="false">IF(CA774=0,0,IF(N(S774)&gt;0,S774,IFERROR(VLOOKUP(D774,Parameter!$A$35:$C$64,3,0)+0,0)))</f>
        <v>0</v>
      </c>
      <c r="CF774" s="60" t="n">
        <f aca="false">IF(AB774&lt;&gt;"",AB774,AA774)</f>
        <v>3</v>
      </c>
      <c r="CG774" s="60" t="str">
        <f aca="false">IF(OR(CF774=1,CF774=2,CF774=3),IF(Parameter!$E$27="Ja","LIFT",IF(CF774=1,"L1","L23")),IF(CF774="Aussen","Aussen","-"))</f>
        <v>LIFT</v>
      </c>
      <c r="CH774" s="71" t="n">
        <f aca="false">IF(N(AC774)&gt;0,AC774,0)</f>
        <v>0</v>
      </c>
      <c r="CI774" s="65" t="n">
        <f aca="false">IF(ISNUMBER(AF774),1,0)</f>
        <v>0</v>
      </c>
      <c r="CJ774" s="62" t="n">
        <f aca="false">N(AF774)</f>
        <v>0</v>
      </c>
      <c r="CK774" s="62" t="n">
        <f aca="false">N(M774)+N(N774)</f>
        <v>1</v>
      </c>
      <c r="CL774" s="62" t="n">
        <f aca="false">N(M774)</f>
        <v>0</v>
      </c>
      <c r="CM774" s="62" t="n">
        <f aca="false">N(N774)</f>
        <v>1</v>
      </c>
      <c r="CN774" s="62" t="n">
        <f aca="false">ROUNDUP(H774/BZ774,0)</f>
        <v>1</v>
      </c>
      <c r="CO774" s="62" t="n">
        <f aca="false">ROUNDUP(CJ774/BZ774,0)</f>
        <v>0</v>
      </c>
      <c r="CP774" s="65" t="n">
        <f aca="false">IF(CA774=1,0,IFERROR(VLOOKUP(BY774,'Gebinde-Kategorie'!$A$5:$N$45,5,0)+0,0))</f>
        <v>11</v>
      </c>
      <c r="CQ774" s="65" t="n">
        <f aca="false">IFERROR(IF(OR(CF774=1,CF774=2,CF774=3),N(INDEX(Parameter!$I$5:$I$7,CF774)),0),0)</f>
        <v>0</v>
      </c>
      <c r="CR774" s="64" t="n">
        <f aca="false">IF(AND(Parameter!$B$21="Ja",ISNUMBER(W774),N(X774)&gt;0),IFERROR(N(INDEX(Parameter!$L$5:$L$7,W774))*INDEX(Parameter!$E$5:$E$7,W774)*X774/SUMIFS($X$7:$X$1843,$W$7:$W$1843,W774),0),0)</f>
        <v>0</v>
      </c>
      <c r="CS774" s="62" t="n">
        <f aca="false">IF(AND(OR(CG774="L1",CG774="L23",CG774="LIFT"),H774&gt;0),CC774*IF(CR774&gt;0,CR774*MAX(1,H774/X774),IF(CA774=1,CE774,IF(R774&gt;0,CN774/R774,0))/MAX(0.1,N(Parameter!$M$21))),"")</f>
        <v>5.96153846153846</v>
      </c>
      <c r="CT774" s="64" t="n">
        <f aca="false">IF(CS774="","",J774/H774)</f>
        <v>0</v>
      </c>
      <c r="CU774" s="62" t="n">
        <f aca="false">IF(CS774="","",H774*G774)</f>
        <v>0.72</v>
      </c>
      <c r="CV774" s="63" t="n">
        <f aca="false">IF(CS774="","",(CL774+ROUNDUP(CL774+MAX(CM774,2*(J774/MAX(0.1,N(Einkauf!$C$6))-CL774)),0))/2)</f>
        <v>0.5</v>
      </c>
      <c r="CW774" s="62" t="n">
        <f aca="false">IF(CS774="","",MAX(0,H774-CV774)*G774)</f>
        <v>0.69</v>
      </c>
      <c r="CX774" s="62" t="n">
        <f aca="false">IF(CS774="","",CS774*MAX(0,1-CV774/H774))</f>
        <v>5.71314102564103</v>
      </c>
      <c r="CY774" s="64" t="n">
        <f aca="false">IF(CS774="","",PERCENTRANK($CS$7:$CS$1843,CS774)+PERCENTRANK($CU$7:$CU$1843,CU774)+1-PERCENTRANK($CT$7:$CT$1843,CT774))</f>
        <v>1.36352</v>
      </c>
      <c r="CZ774" s="72" t="n">
        <f aca="false">IF(CS774="","",CHOOSE(MATCH(Einkauf!$C$5,Parameter!$G$23:$G$27,0),CY774,CS774,CU774,-CT774,CW774)+ROW()/1000000000)</f>
        <v>1.363520774</v>
      </c>
    </row>
    <row r="775" customFormat="false" ht="15" hidden="false" customHeight="false" outlineLevel="0" collapsed="false">
      <c r="A775" s="60" t="s">
        <v>1560</v>
      </c>
      <c r="B775" s="60" t="s">
        <v>447</v>
      </c>
      <c r="C775" s="60" t="s">
        <v>206</v>
      </c>
      <c r="D775" s="60" t="s">
        <v>226</v>
      </c>
      <c r="E775" s="60" t="s">
        <v>227</v>
      </c>
      <c r="F775" s="60" t="s">
        <v>260</v>
      </c>
      <c r="G775" s="61" t="n">
        <v>0.04</v>
      </c>
      <c r="H775" s="62" t="n">
        <f aca="false">MAX(0,IF(AND(Parameter!$B$21="Ja",ISNUMBER(Y775)),Y775,IF(Parameter!$B$20="Jahresanfang 2025 + Export",BS775+BR775,BR775)))</f>
        <v>111</v>
      </c>
      <c r="I775" s="62" t="n">
        <f aca="false">H775*G775</f>
        <v>4.44</v>
      </c>
      <c r="J775" s="62" t="n">
        <f aca="false">BU775*Parameter!$B$18</f>
        <v>219</v>
      </c>
      <c r="K775" s="63" t="n">
        <v>211</v>
      </c>
      <c r="L775" s="64" t="n">
        <v>1.03791469194313</v>
      </c>
      <c r="M775" s="62" t="n">
        <v>12</v>
      </c>
      <c r="N775" s="62" t="n">
        <v>220</v>
      </c>
      <c r="O775" s="65" t="n">
        <v>21</v>
      </c>
      <c r="P775" s="60" t="s">
        <v>443</v>
      </c>
      <c r="Q775" s="62" t="n">
        <v>241</v>
      </c>
      <c r="R775" s="65" t="n">
        <f aca="false">IF(CA775=1,0,IFERROR(VLOOKUP(BY775,'Gebinde-Kategorie'!$A$5:$N$45,13,0)+0,0))</f>
        <v>280</v>
      </c>
      <c r="S775" s="66"/>
      <c r="T775" s="67"/>
      <c r="U775" s="67"/>
      <c r="V775" s="67"/>
      <c r="W775" s="60"/>
      <c r="X775" s="62"/>
      <c r="Y775" s="62"/>
      <c r="Z775" s="60" t="n">
        <v>2</v>
      </c>
      <c r="AA775" s="60" t="n">
        <f aca="false">IF(A775="","",IF(AND(Parameter!$B$21="Ja",ISNUMBER(W775)),W775,IF(AND(Parameter!$E$27="Ja",ISNUMBER(Z775),CD775&lt;&gt;"Nein"),Z775,IF(CD775="2+3",IF(ISNUMBER(SEARCH("grosser Artikel",BV775)),2,IFERROR(VLOOKUP(BY775,Parameter!$F$35:$G$64,2,0),2)),IF(OR(CD775="Nein",CD775=""),"-",CD775)))))</f>
        <v>2</v>
      </c>
      <c r="AB775" s="67"/>
      <c r="AC775" s="68"/>
      <c r="AD775" s="62" t="n">
        <f aca="false">AW775</f>
        <v>232</v>
      </c>
      <c r="AE775" s="62" t="n">
        <f aca="false">MAX(AW775,H775)</f>
        <v>232</v>
      </c>
      <c r="AF775" s="69"/>
      <c r="AG775" s="62" t="n">
        <f aca="false">IF(LEFT(Cockpit!$C$5,1)="A",H775,IF(Parameter!$E$30="MAX-Bestand",IF(CI775=1,CJ775,IF(LEFT(Cockpit!$C$5,1)="B",AM775,MAX(AM775,H775))),ROUNDUP(AK775,0)))</f>
        <v>111</v>
      </c>
      <c r="AH775" s="62" t="n">
        <f aca="false">IF(CA775=1,0,ROUNDUP(AG775/BZ775,0))</f>
        <v>1</v>
      </c>
      <c r="AI775" s="64" t="n">
        <f aca="false">IF(CR775&gt;0,CR775*MAX(1,AG775/X775),IF(CA775=1,IF(AG775&lt;=0,0,CE775*MAX(1,IF(H775&gt;0,AG775/H775,1))),IF(R775&gt;0,AH775/R775,0))/MAX(0.1,N(Parameter!$M$21)))</f>
        <v>0.00357142857142857</v>
      </c>
      <c r="AJ775" s="62" t="n">
        <f aca="false">AI775*CC775</f>
        <v>0.553571428571429</v>
      </c>
      <c r="AK775" s="63" t="n">
        <f aca="false">IF(LEFT(Cockpit!$C$5,1)="A",H775,IF(CI775=1,(CL775+CJ775)/2,IF(LEFT(Cockpit!$C$5,1)="B",(CL775+AM775)/2,MAX((CL775+AM775)/2,H775))))</f>
        <v>111</v>
      </c>
      <c r="AL775" s="62" t="n">
        <f aca="false">AK775*G775</f>
        <v>4.44</v>
      </c>
      <c r="AM775" s="62" t="n">
        <f aca="false">ROUNDUP(CL775+MAX(CM775,2*(J775/IF(CH775&gt;0,CH775,MAX(0.1,N(Cockpit!$C$6)))-CL775)),0)</f>
        <v>232</v>
      </c>
      <c r="AN775" s="63" t="n">
        <f aca="false">IF(AJ775&gt;0,J775/AJ775,-1)</f>
        <v>395.612903225806</v>
      </c>
      <c r="AO775" s="63" t="n">
        <f aca="false">IF(AND(OR(CG775="L1",CG775="L23",CG775="LIFT"),AJ775&gt;0),SUMIFS($AJ$7:$AJ$1843,$CG$7:$CG$1843,CG775,$AN$7:$AN$1843,"&gt;"&amp;AN775)+SUMIFS($AJ$7:$AJ$1843,$CG$7:$CG$1843,CG775,$AN$7:$AN$1843,AN775,$BX$7:$BX$1843,"&lt;="&amp;BX775),"")</f>
        <v>178.080586080586</v>
      </c>
      <c r="AP775" s="70" t="n">
        <f aca="false">IF(AO775="",0,MAX(0,MIN(1,(IF(CG775="L1",Parameter!$H$5,IF(CG775="L23",Parameter!$H$6+Parameter!$H$7,Parameter!$H$5+Parameter!$H$6+Parameter!$H$7))-(AO775-AJ775))/AJ775)))</f>
        <v>1</v>
      </c>
      <c r="AQ775" s="62" t="n">
        <f aca="false">IF(LEFT(Cockpit!$I$5,1)="A",H775,IF(Parameter!$E$30="MAX-Bestand",IF(CI775=1,CJ775,IF(LEFT(Cockpit!$I$5,1)="B",AW775,MAX(AW775,H775))),ROUNDUP(AU775,0)))</f>
        <v>122</v>
      </c>
      <c r="AR775" s="62" t="n">
        <f aca="false">IF(CA775=1,0,ROUNDUP(AQ775/BZ775,0))</f>
        <v>1</v>
      </c>
      <c r="AS775" s="64" t="n">
        <f aca="false">IF(CR775&gt;0,CR775*MAX(1,AQ775/X775),IF(CA775=1,IF(AQ775&lt;=0,0,CE775*MAX(1,IF(H775&gt;0,AQ775/H775,1))),IF(R775&gt;0,AR775/R775,0))/MAX(0.1,N(Parameter!$M$21)))</f>
        <v>0.00357142857142857</v>
      </c>
      <c r="AT775" s="62" t="n">
        <f aca="false">AS775*CC775</f>
        <v>0.553571428571429</v>
      </c>
      <c r="AU775" s="63" t="n">
        <f aca="false">IF(LEFT(Cockpit!$I$5,1)="A",H775,IF(CI775=1,(CL775+CJ775)/2,IF(LEFT(Cockpit!$I$5,1)="B",(CL775+AW775)/2,MAX((CL775+AW775)/2,H775))))</f>
        <v>122</v>
      </c>
      <c r="AV775" s="62" t="n">
        <f aca="false">AU775*G775</f>
        <v>4.88</v>
      </c>
      <c r="AW775" s="62" t="n">
        <f aca="false">ROUNDUP(CL775+MAX(CM775,2*(J775/IF(CH775&gt;0,CH775,MAX(0.1,N(Cockpit!$I$6)))-CL775)),0)</f>
        <v>232</v>
      </c>
      <c r="AX775" s="63" t="n">
        <f aca="false">IF(AT775&gt;0,J775/AT775,-1)</f>
        <v>395.612903225806</v>
      </c>
      <c r="AY775" s="63" t="n">
        <f aca="false">IF(AND(OR(CG775="L1",CG775="L23",CG775="LIFT"),AT775&gt;0),SUMIFS($AT$7:$AT$1843,$CG$7:$CG$1843,CG775,$AX$7:$AX$1843,"&gt;"&amp;AX775)+SUMIFS($AT$7:$AT$1843,$CG$7:$CG$1843,CG775,$AX$7:$AX$1843,AX775,$BX$7:$BX$1843,"&lt;="&amp;BX775),"")</f>
        <v>112.296703296703</v>
      </c>
      <c r="AZ775" s="70" t="n">
        <f aca="false">IF(AY775="",0,MAX(0,MIN(1,(IF(CG775="L1",Parameter!$H$5,IF(CG775="L23",Parameter!$H$6+Parameter!$H$7,Parameter!$H$5+Parameter!$H$6+Parameter!$H$7))-(AY775-AT775))/AT775)))</f>
        <v>1</v>
      </c>
      <c r="BA775" s="62" t="n">
        <f aca="false">IF(LEFT(Cockpit!$O$5,1)="A",H775,IF(Parameter!$E$30="MAX-Bestand",IF(CI775=1,CJ775,IF(LEFT(Cockpit!$O$5,1)="B",BG775,MAX(BG775,H775))),ROUNDUP(BE775,0)))</f>
        <v>122</v>
      </c>
      <c r="BB775" s="62" t="n">
        <f aca="false">IF(CA775=1,0,ROUNDUP(BA775/BZ775,0))</f>
        <v>1</v>
      </c>
      <c r="BC775" s="64" t="n">
        <f aca="false">IF(CR775&gt;0,CR775*MAX(1,BA775/X775),IF(CA775=1,IF(BA775&lt;=0,0,CE775*MAX(1,IF(H775&gt;0,BA775/H775,1))),IF(R775&gt;0,BB775/R775,0))/MAX(0.1,N(Parameter!$M$21)))</f>
        <v>0.00357142857142857</v>
      </c>
      <c r="BD775" s="62" t="n">
        <f aca="false">BC775*CC775</f>
        <v>0.553571428571429</v>
      </c>
      <c r="BE775" s="63" t="n">
        <f aca="false">IF(LEFT(Cockpit!$O$5,1)="A",H775,IF(CI775=1,(CL775+CJ775)/2,IF(LEFT(Cockpit!$O$5,1)="B",(CL775+BG775)/2,MAX((CL775+BG775)/2,H775))))</f>
        <v>122</v>
      </c>
      <c r="BF775" s="62" t="n">
        <f aca="false">BE775*G775</f>
        <v>4.88</v>
      </c>
      <c r="BG775" s="62" t="n">
        <f aca="false">ROUNDUP(CL775+MAX(CM775,2*(J775/IF(CH775&gt;0,CH775,MAX(0.1,N(Cockpit!$O$6)))-CL775)),0)</f>
        <v>232</v>
      </c>
      <c r="BH775" s="63" t="n">
        <f aca="false">IF(BD775&gt;0,J775/BD775,-1)</f>
        <v>395.612903225806</v>
      </c>
      <c r="BI775" s="63" t="n">
        <f aca="false">IF(AND(OR(CG775="L1",CG775="L23",CG775="LIFT"),BD775&gt;0),SUMIFS($BD$7:$BD$1843,$CG$7:$CG$1843,CG775,$BH$7:$BH$1843,"&gt;"&amp;BH775)+SUMIFS($BD$7:$BD$1843,$CG$7:$CG$1843,CG775,$BH$7:$BH$1843,BH775,$BX$7:$BX$1843,"&lt;="&amp;BX775),"")</f>
        <v>181.528846153846</v>
      </c>
      <c r="BJ775" s="70" t="n">
        <f aca="false">IF(BI775="",0,MAX(0,MIN(1,(IF(CG775="L1",Parameter!$H$5,IF(CG775="L23",Parameter!$H$6+Parameter!$H$7,Parameter!$H$5+Parameter!$H$6+Parameter!$H$7))-(BI775-BD775))/BD775)))</f>
        <v>1</v>
      </c>
      <c r="BK775" s="60" t="str">
        <f aca="false">IF(AJ775&lt;=0,"",IF(CG775="Aussen","Aussenlager",IF(CG775="-","Nicht im Lift",IF(AP775&gt;=1,"Lift",IF(AP775&lt;=0,"Aussenlager","teilweise")))))</f>
        <v>Lift</v>
      </c>
      <c r="BL775" s="60" t="str">
        <f aca="false">IF(AT775&lt;=0,"",IF(CG775="Aussen","Aussenlager",IF(CG775="-","Nicht im Lift",IF(AZ775&gt;=1,"Lift",IF(AZ775&lt;=0,"Aussenlager","teilweise")))))</f>
        <v>Lift</v>
      </c>
      <c r="BM775" s="60" t="str">
        <f aca="false">IF(BD775&lt;=0,"",IF(CG775="Aussen","Aussenlager",IF(CG775="-","Nicht im Lift",IF(BJ775&gt;=1,"Lift",IF(BJ775&lt;=0,"Aussenlager","teilweise")))))</f>
        <v>Lift</v>
      </c>
      <c r="BN775" s="60" t="str">
        <f aca="false">IF(A775="","",IF(BW775=1,"Neu; ","")&amp;IF(AND(BW775=0,BR775&lt;0),"negativer Bestand (Export "&amp;BR775&amp;"); ","")&amp;IF(J775&lt;=0,"Kein Verbrauch; ","")&amp;IF(CR775&gt;0,"Lift "&amp;W775&amp;" lt. Liftbericht (Fach "&amp;X775&amp;" Stk); ",IF(CB775=1,"Gebinde geschätzt ("&amp;T775&amp;"); ",IF(CA775=1,"Lose – Tablare geschätzt; ","")))&amp;IF(H775&gt;AW775,"Überbestand "&amp;ROUND(H775-AW775,0)&amp;" Stk / CHF "&amp;ROUND((H775-AW775)*G775,0)&amp;"; ","")&amp;IF(AND(CI775=1,CJ775&lt;CK775),"MAX &lt; MB+LG; ","")&amp;IF(AND(CQ775&gt;0,CP775*10&gt;CQ775),"zu hoch für Tablar; ","")&amp;IF(AND(BW775=0,OR(CI775=1,AB775&lt;&gt;"",U775&lt;&gt;"",V775&lt;&gt;"",AC775&lt;&gt;"")),"manuell übersteuert; ","")&amp;IF(AND(CA775=0,R775=0),"Gebinde unbekannt / Stellmass fehlt; ","")&amp;IF(AND(CA775=0,N(V775)&lt;=0,N(Q775)&lt;=0),"Menge pro Gebinde fehlt (Ist = 1 Gebinde); ","")&amp;BV775)</f>
        <v>negativer Bestand (Export -36); </v>
      </c>
      <c r="BO775" s="60"/>
      <c r="BP775" s="60"/>
      <c r="BQ775" s="67"/>
      <c r="BR775" s="62" t="n">
        <v>-36</v>
      </c>
      <c r="BS775" s="62" t="n">
        <v>147</v>
      </c>
      <c r="BT775" s="61" t="n">
        <v>-1.44000000000002</v>
      </c>
      <c r="BU775" s="62" t="n">
        <v>219</v>
      </c>
      <c r="BV775" s="60"/>
      <c r="BW775" s="65" t="n">
        <v>0</v>
      </c>
      <c r="BX775" s="65" t="n">
        <v>775</v>
      </c>
      <c r="BY775" s="60" t="str">
        <f aca="false">IF(U775&lt;&gt;"",UPPER(TRIM(U775)),IF(CB775=1,UPPER(VLOOKUP(T775,Parameter!$I$27:$K$29,2,0)),IF(P775="","LOSE",P775)))</f>
        <v>S21</v>
      </c>
      <c r="BZ775" s="62" t="n">
        <f aca="false">IF(BY775="LOSE",1,IF(N(V775)&gt;0,V775,IF(CB775=1,MAX(1,N(VLOOKUP(T775,Parameter!$I$27:$K$29,3,0)),H775,N(N775)),IF(N(Q775)&gt;0,Q775,MAX(1,H775)))))</f>
        <v>241</v>
      </c>
      <c r="CA775" s="65" t="n">
        <f aca="false">IF(BY775="LOSE",1,0)</f>
        <v>0</v>
      </c>
      <c r="CB775" s="65" t="n">
        <f aca="false">IF(AND(U775="",OR(P775="",P775="LOSE"),T775&lt;&gt;"",N(S775)&lt;=0,ISNUMBER(MATCH(T775,Parameter!$I$27:$I$29,0))),1,0)</f>
        <v>0</v>
      </c>
      <c r="CC775" s="65" t="n">
        <f aca="false">IF(CR775&gt;0,INDEX(Parameter!$H$5:$H$7,W775)/INDEX(Parameter!$E$5:$E$7,W775),IF(AND(CA775=0,N(IFERROR(VLOOKUP(BY775,'Gebinde-Kategorie'!$A$5:$N$45,14,0),0))&gt;0),VLOOKUP(BY775,'Gebinde-Kategorie'!$A$5:$N$45,14,0)*10+Parameter!$M$23,Parameter!$M$24))</f>
        <v>155</v>
      </c>
      <c r="CD775" s="60" t="str">
        <f aca="false">IF(AND(Parameter!$B$19="Ja",E775&lt;&gt;"",ISNUMBER(MATCH(E775,Parameter!$I$35:$I$52,0))),VLOOKUP(E775,Parameter!$I$35:$J$52,2,0),IFERROR(VLOOKUP(D775,Parameter!$A$35:$C$64,2,0),"Nein"))</f>
        <v>2+3</v>
      </c>
      <c r="CE775" s="64" t="n">
        <f aca="false">IF(CA775=0,0,IF(N(S775)&gt;0,S775,IFERROR(VLOOKUP(D775,Parameter!$A$35:$C$64,3,0)+0,0)))</f>
        <v>0</v>
      </c>
      <c r="CF775" s="60" t="n">
        <f aca="false">IF(AB775&lt;&gt;"",AB775,AA775)</f>
        <v>2</v>
      </c>
      <c r="CG775" s="60" t="str">
        <f aca="false">IF(OR(CF775=1,CF775=2,CF775=3),IF(Parameter!$E$27="Ja","LIFT",IF(CF775=1,"L1","L23")),IF(CF775="Aussen","Aussen","-"))</f>
        <v>LIFT</v>
      </c>
      <c r="CH775" s="71" t="n">
        <f aca="false">IF(N(AC775)&gt;0,AC775,0)</f>
        <v>0</v>
      </c>
      <c r="CI775" s="65" t="n">
        <f aca="false">IF(ISNUMBER(AF775),1,0)</f>
        <v>0</v>
      </c>
      <c r="CJ775" s="62" t="n">
        <f aca="false">N(AF775)</f>
        <v>0</v>
      </c>
      <c r="CK775" s="62" t="n">
        <f aca="false">N(M775)+N(N775)</f>
        <v>232</v>
      </c>
      <c r="CL775" s="62" t="n">
        <f aca="false">N(M775)</f>
        <v>12</v>
      </c>
      <c r="CM775" s="62" t="n">
        <f aca="false">N(N775)</f>
        <v>220</v>
      </c>
      <c r="CN775" s="62" t="n">
        <f aca="false">ROUNDUP(H775/BZ775,0)</f>
        <v>1</v>
      </c>
      <c r="CO775" s="62" t="n">
        <f aca="false">ROUNDUP(CJ775/BZ775,0)</f>
        <v>0</v>
      </c>
      <c r="CP775" s="65" t="n">
        <f aca="false">IF(CA775=1,0,IFERROR(VLOOKUP(BY775,'Gebinde-Kategorie'!$A$5:$N$45,5,0)+0,0))</f>
        <v>8</v>
      </c>
      <c r="CQ775" s="65" t="n">
        <f aca="false">IFERROR(IF(OR(CF775=1,CF775=2,CF775=3),N(INDEX(Parameter!$I$5:$I$7,CF775)),0),0)</f>
        <v>0</v>
      </c>
      <c r="CR775" s="64" t="n">
        <f aca="false">IF(AND(Parameter!$B$21="Ja",ISNUMBER(W775),N(X775)&gt;0),IFERROR(N(INDEX(Parameter!$L$5:$L$7,W775))*INDEX(Parameter!$E$5:$E$7,W775)*X775/SUMIFS($X$7:$X$1843,$W$7:$W$1843,W775),0),0)</f>
        <v>0</v>
      </c>
      <c r="CS775" s="62" t="n">
        <f aca="false">IF(AND(OR(CG775="L1",CG775="L23",CG775="LIFT"),H775&gt;0),CC775*IF(CR775&gt;0,CR775*MAX(1,H775/X775),IF(CA775=1,CE775,IF(R775&gt;0,CN775/R775,0))/MAX(0.1,N(Parameter!$M$21))),"")</f>
        <v>0.553571428571429</v>
      </c>
      <c r="CT775" s="64" t="n">
        <f aca="false">IF(CS775="","",J775/H775)</f>
        <v>1.97297297297297</v>
      </c>
      <c r="CU775" s="62" t="n">
        <f aca="false">IF(CS775="","",H775*G775)</f>
        <v>4.44</v>
      </c>
      <c r="CV775" s="63" t="n">
        <f aca="false">IF(CS775="","",(CL775+ROUNDUP(CL775+MAX(CM775,2*(J775/MAX(0.1,N(Einkauf!$C$6))-CL775)),0))/2)</f>
        <v>122</v>
      </c>
      <c r="CW775" s="62" t="n">
        <f aca="false">IF(CS775="","",MAX(0,H775-CV775)*G775)</f>
        <v>0</v>
      </c>
      <c r="CX775" s="62" t="n">
        <f aca="false">IF(CS775="","",CS775*MAX(0,1-CV775/H775))</f>
        <v>0</v>
      </c>
      <c r="CY775" s="64" t="n">
        <f aca="false">IF(CS775="","",PERCENTRANK($CS$7:$CS$1843,CS775)+PERCENTRANK($CU$7:$CU$1843,CU775)+1-PERCENTRANK($CT$7:$CT$1843,CT775))</f>
        <v>0.2132</v>
      </c>
      <c r="CZ775" s="72" t="n">
        <f aca="false">IF(CS775="","",CHOOSE(MATCH(Einkauf!$C$5,Parameter!$G$23:$G$27,0),CY775,CS775,CU775,-CT775,CW775)+ROW()/1000000000)</f>
        <v>0.213200775</v>
      </c>
    </row>
    <row r="776" customFormat="false" ht="15" hidden="false" customHeight="false" outlineLevel="0" collapsed="false">
      <c r="A776" s="60" t="s">
        <v>1561</v>
      </c>
      <c r="B776" s="60" t="s">
        <v>1562</v>
      </c>
      <c r="C776" s="60" t="s">
        <v>206</v>
      </c>
      <c r="D776" s="60" t="s">
        <v>226</v>
      </c>
      <c r="E776" s="60"/>
      <c r="F776" s="60" t="s">
        <v>260</v>
      </c>
      <c r="G776" s="61" t="n">
        <v>0.5</v>
      </c>
      <c r="H776" s="62" t="n">
        <f aca="false">MAX(0,IF(AND(Parameter!$B$21="Ja",ISNUMBER(Y776)),Y776,IF(Parameter!$B$20="Jahresanfang 2025 + Export",BS776+BR776,BR776)))</f>
        <v>180</v>
      </c>
      <c r="I776" s="62" t="n">
        <f aca="false">H776*G776</f>
        <v>90</v>
      </c>
      <c r="J776" s="62" t="n">
        <f aca="false">BU776*Parameter!$B$18</f>
        <v>0</v>
      </c>
      <c r="K776" s="63" t="n">
        <v>183</v>
      </c>
      <c r="L776" s="64" t="n">
        <v>0</v>
      </c>
      <c r="M776" s="62" t="n">
        <v>0</v>
      </c>
      <c r="N776" s="62" t="n">
        <v>1</v>
      </c>
      <c r="O776" s="65" t="n">
        <v>14</v>
      </c>
      <c r="P776" s="60" t="s">
        <v>443</v>
      </c>
      <c r="Q776" s="62" t="n">
        <v>200</v>
      </c>
      <c r="R776" s="65" t="n">
        <f aca="false">IF(CA776=1,0,IFERROR(VLOOKUP(BY776,'Gebinde-Kategorie'!$A$5:$N$45,13,0)+0,0))</f>
        <v>280</v>
      </c>
      <c r="S776" s="66"/>
      <c r="T776" s="67"/>
      <c r="U776" s="67"/>
      <c r="V776" s="67"/>
      <c r="W776" s="60"/>
      <c r="X776" s="62"/>
      <c r="Y776" s="62"/>
      <c r="Z776" s="60" t="n">
        <v>2</v>
      </c>
      <c r="AA776" s="60" t="n">
        <f aca="false">IF(A776="","",IF(AND(Parameter!$B$21="Ja",ISNUMBER(W776)),W776,IF(AND(Parameter!$E$27="Ja",ISNUMBER(Z776),CD776&lt;&gt;"Nein"),Z776,IF(CD776="2+3",IF(ISNUMBER(SEARCH("grosser Artikel",BV776)),2,IFERROR(VLOOKUP(BY776,Parameter!$F$35:$G$64,2,0),2)),IF(OR(CD776="Nein",CD776=""),"-",CD776)))))</f>
        <v>2</v>
      </c>
      <c r="AB776" s="67"/>
      <c r="AC776" s="68"/>
      <c r="AD776" s="62" t="n">
        <f aca="false">AW776</f>
        <v>1</v>
      </c>
      <c r="AE776" s="62" t="n">
        <f aca="false">MAX(AW776,H776)</f>
        <v>180</v>
      </c>
      <c r="AF776" s="69"/>
      <c r="AG776" s="62" t="n">
        <f aca="false">IF(LEFT(Cockpit!$C$5,1)="A",H776,IF(Parameter!$E$30="MAX-Bestand",IF(CI776=1,CJ776,IF(LEFT(Cockpit!$C$5,1)="B",AM776,MAX(AM776,H776))),ROUNDUP(AK776,0)))</f>
        <v>180</v>
      </c>
      <c r="AH776" s="62" t="n">
        <f aca="false">IF(CA776=1,0,ROUNDUP(AG776/BZ776,0))</f>
        <v>1</v>
      </c>
      <c r="AI776" s="64" t="n">
        <f aca="false">IF(CR776&gt;0,CR776*MAX(1,AG776/X776),IF(CA776=1,IF(AG776&lt;=0,0,CE776*MAX(1,IF(H776&gt;0,AG776/H776,1))),IF(R776&gt;0,AH776/R776,0))/MAX(0.1,N(Parameter!$M$21)))</f>
        <v>0.00357142857142857</v>
      </c>
      <c r="AJ776" s="62" t="n">
        <f aca="false">AI776*CC776</f>
        <v>0.553571428571429</v>
      </c>
      <c r="AK776" s="63" t="n">
        <f aca="false">IF(LEFT(Cockpit!$C$5,1)="A",H776,IF(CI776=1,(CL776+CJ776)/2,IF(LEFT(Cockpit!$C$5,1)="B",(CL776+AM776)/2,MAX((CL776+AM776)/2,H776))))</f>
        <v>180</v>
      </c>
      <c r="AL776" s="62" t="n">
        <f aca="false">AK776*G776</f>
        <v>90</v>
      </c>
      <c r="AM776" s="62" t="n">
        <f aca="false">ROUNDUP(CL776+MAX(CM776,2*(J776/IF(CH776&gt;0,CH776,MAX(0.1,N(Cockpit!$C$6)))-CL776)),0)</f>
        <v>1</v>
      </c>
      <c r="AN776" s="63" t="n">
        <f aca="false">IF(AJ776&gt;0,J776/AJ776,-1)</f>
        <v>0</v>
      </c>
      <c r="AO776" s="63" t="n">
        <f aca="false">IF(AND(OR(CG776="L1",CG776="L23",CG776="LIFT"),AJ776&gt;0),SUMIFS($AJ$7:$AJ$1843,$CG$7:$CG$1843,CG776,$AN$7:$AN$1843,"&gt;"&amp;AN776)+SUMIFS($AJ$7:$AJ$1843,$CG$7:$CG$1843,CG776,$AN$7:$AN$1843,AN776,$BX$7:$BX$1843,"&lt;="&amp;BX776),"")</f>
        <v>28751.2350582562</v>
      </c>
      <c r="AP776" s="70" t="n">
        <f aca="false">IF(AO776="",0,MAX(0,MIN(1,(IF(CG776="L1",Parameter!$H$5,IF(CG776="L23",Parameter!$H$6+Parameter!$H$7,Parameter!$H$5+Parameter!$H$6+Parameter!$H$7))-(AO776-AJ776))/AJ776)))</f>
        <v>1</v>
      </c>
      <c r="AQ776" s="62" t="n">
        <f aca="false">IF(LEFT(Cockpit!$I$5,1)="A",H776,IF(Parameter!$E$30="MAX-Bestand",IF(CI776=1,CJ776,IF(LEFT(Cockpit!$I$5,1)="B",AW776,MAX(AW776,H776))),ROUNDUP(AU776,0)))</f>
        <v>180</v>
      </c>
      <c r="AR776" s="62" t="n">
        <f aca="false">IF(CA776=1,0,ROUNDUP(AQ776/BZ776,0))</f>
        <v>1</v>
      </c>
      <c r="AS776" s="64" t="n">
        <f aca="false">IF(CR776&gt;0,CR776*MAX(1,AQ776/X776),IF(CA776=1,IF(AQ776&lt;=0,0,CE776*MAX(1,IF(H776&gt;0,AQ776/H776,1))),IF(R776&gt;0,AR776/R776,0))/MAX(0.1,N(Parameter!$M$21)))</f>
        <v>0.00357142857142857</v>
      </c>
      <c r="AT776" s="62" t="n">
        <f aca="false">AS776*CC776</f>
        <v>0.553571428571429</v>
      </c>
      <c r="AU776" s="63" t="n">
        <f aca="false">IF(LEFT(Cockpit!$I$5,1)="A",H776,IF(CI776=1,(CL776+CJ776)/2,IF(LEFT(Cockpit!$I$5,1)="B",(CL776+AW776)/2,MAX((CL776+AW776)/2,H776))))</f>
        <v>180</v>
      </c>
      <c r="AV776" s="62" t="n">
        <f aca="false">AU776*G776</f>
        <v>90</v>
      </c>
      <c r="AW776" s="62" t="n">
        <f aca="false">ROUNDUP(CL776+MAX(CM776,2*(J776/IF(CH776&gt;0,CH776,MAX(0.1,N(Cockpit!$I$6)))-CL776)),0)</f>
        <v>1</v>
      </c>
      <c r="AX776" s="63" t="n">
        <f aca="false">IF(AT776&gt;0,J776/AT776,-1)</f>
        <v>0</v>
      </c>
      <c r="AY776" s="63" t="n">
        <f aca="false">IF(AND(OR(CG776="L1",CG776="L23",CG776="LIFT"),AT776&gt;0),SUMIFS($AT$7:$AT$1843,$CG$7:$CG$1843,CG776,$AX$7:$AX$1843,"&gt;"&amp;AX776)+SUMIFS($AT$7:$AT$1843,$CG$7:$CG$1843,CG776,$AX$7:$AX$1843,AX776,$BX$7:$BX$1843,"&lt;="&amp;BX776),"")</f>
        <v>34356.0183150183</v>
      </c>
      <c r="AZ776" s="70" t="n">
        <f aca="false">IF(AY776="",0,MAX(0,MIN(1,(IF(CG776="L1",Parameter!$H$5,IF(CG776="L23",Parameter!$H$6+Parameter!$H$7,Parameter!$H$5+Parameter!$H$6+Parameter!$H$7))-(AY776-AT776))/AT776)))</f>
        <v>1</v>
      </c>
      <c r="BA776" s="62" t="n">
        <f aca="false">IF(LEFT(Cockpit!$O$5,1)="A",H776,IF(Parameter!$E$30="MAX-Bestand",IF(CI776=1,CJ776,IF(LEFT(Cockpit!$O$5,1)="B",BG776,MAX(BG776,H776))),ROUNDUP(BE776,0)))</f>
        <v>1</v>
      </c>
      <c r="BB776" s="62" t="n">
        <f aca="false">IF(CA776=1,0,ROUNDUP(BA776/BZ776,0))</f>
        <v>1</v>
      </c>
      <c r="BC776" s="64" t="n">
        <f aca="false">IF(CR776&gt;0,CR776*MAX(1,BA776/X776),IF(CA776=1,IF(BA776&lt;=0,0,CE776*MAX(1,IF(H776&gt;0,BA776/H776,1))),IF(R776&gt;0,BB776/R776,0))/MAX(0.1,N(Parameter!$M$21)))</f>
        <v>0.00357142857142857</v>
      </c>
      <c r="BD776" s="62" t="n">
        <f aca="false">BC776*CC776</f>
        <v>0.553571428571429</v>
      </c>
      <c r="BE776" s="63" t="n">
        <f aca="false">IF(LEFT(Cockpit!$O$5,1)="A",H776,IF(CI776=1,(CL776+CJ776)/2,IF(LEFT(Cockpit!$O$5,1)="B",(CL776+BG776)/2,MAX((CL776+BG776)/2,H776))))</f>
        <v>0.5</v>
      </c>
      <c r="BF776" s="62" t="n">
        <f aca="false">BE776*G776</f>
        <v>0.25</v>
      </c>
      <c r="BG776" s="62" t="n">
        <f aca="false">ROUNDUP(CL776+MAX(CM776,2*(J776/IF(CH776&gt;0,CH776,MAX(0.1,N(Cockpit!$O$6)))-CL776)),0)</f>
        <v>1</v>
      </c>
      <c r="BH776" s="63" t="n">
        <f aca="false">IF(BD776&gt;0,J776/BD776,-1)</f>
        <v>0</v>
      </c>
      <c r="BI776" s="63" t="n">
        <f aca="false">IF(AND(OR(CG776="L1",CG776="L23",CG776="LIFT"),BD776&gt;0),SUMIFS($BD$7:$BD$1843,$CG$7:$CG$1843,CG776,$BH$7:$BH$1843,"&gt;"&amp;BH776)+SUMIFS($BD$7:$BD$1843,$CG$7:$CG$1843,CG776,$BH$7:$BH$1843,BH776,$BX$7:$BX$1843,"&lt;="&amp;BX776),"")</f>
        <v>28399.8881619793</v>
      </c>
      <c r="BJ776" s="70" t="n">
        <f aca="false">IF(BI776="",0,MAX(0,MIN(1,(IF(CG776="L1",Parameter!$H$5,IF(CG776="L23",Parameter!$H$6+Parameter!$H$7,Parameter!$H$5+Parameter!$H$6+Parameter!$H$7))-(BI776-BD776))/BD776)))</f>
        <v>1</v>
      </c>
      <c r="BK776" s="60" t="str">
        <f aca="false">IF(AJ776&lt;=0,"",IF(CG776="Aussen","Aussenlager",IF(CG776="-","Nicht im Lift",IF(AP776&gt;=1,"Lift",IF(AP776&lt;=0,"Aussenlager","teilweise")))))</f>
        <v>Lift</v>
      </c>
      <c r="BL776" s="60" t="str">
        <f aca="false">IF(AT776&lt;=0,"",IF(CG776="Aussen","Aussenlager",IF(CG776="-","Nicht im Lift",IF(AZ776&gt;=1,"Lift",IF(AZ776&lt;=0,"Aussenlager","teilweise")))))</f>
        <v>Lift</v>
      </c>
      <c r="BM776" s="60" t="str">
        <f aca="false">IF(BD776&lt;=0,"",IF(CG776="Aussen","Aussenlager",IF(CG776="-","Nicht im Lift",IF(BJ776&gt;=1,"Lift",IF(BJ776&lt;=0,"Aussenlager","teilweise")))))</f>
        <v>Lift</v>
      </c>
      <c r="BN776" s="60" t="str">
        <f aca="false">IF(A776="","",IF(BW776=1,"Neu; ","")&amp;IF(AND(BW776=0,BR776&lt;0),"negativer Bestand (Export "&amp;BR776&amp;"); ","")&amp;IF(J776&lt;=0,"Kein Verbrauch; ","")&amp;IF(CR776&gt;0,"Lift "&amp;W776&amp;" lt. Liftbericht (Fach "&amp;X776&amp;" Stk); ",IF(CB776=1,"Gebinde geschätzt ("&amp;T776&amp;"); ",IF(CA776=1,"Lose – Tablare geschätzt; ","")))&amp;IF(H776&gt;AW776,"Überbestand "&amp;ROUND(H776-AW776,0)&amp;" Stk / CHF "&amp;ROUND((H776-AW776)*G776,0)&amp;"; ","")&amp;IF(AND(CI776=1,CJ776&lt;CK776),"MAX &lt; MB+LG; ","")&amp;IF(AND(CQ776&gt;0,CP776*10&gt;CQ776),"zu hoch für Tablar; ","")&amp;IF(AND(BW776=0,OR(CI776=1,AB776&lt;&gt;"",U776&lt;&gt;"",V776&lt;&gt;"",AC776&lt;&gt;"")),"manuell übersteuert; ","")&amp;IF(AND(CA776=0,R776=0),"Gebinde unbekannt / Stellmass fehlt; ","")&amp;IF(AND(CA776=0,N(V776)&lt;=0,N(Q776)&lt;=0),"Menge pro Gebinde fehlt (Ist = 1 Gebinde); ","")&amp;BV776)</f>
        <v>negativer Bestand (Export -3); Kein Verbrauch; Überbestand 179 Stk / CHF 90; </v>
      </c>
      <c r="BO776" s="60"/>
      <c r="BP776" s="60"/>
      <c r="BQ776" s="67"/>
      <c r="BR776" s="62" t="n">
        <v>-3</v>
      </c>
      <c r="BS776" s="62" t="n">
        <v>183</v>
      </c>
      <c r="BT776" s="61" t="n">
        <v>-1.5</v>
      </c>
      <c r="BU776" s="62" t="n">
        <v>0</v>
      </c>
      <c r="BV776" s="60"/>
      <c r="BW776" s="65" t="n">
        <v>0</v>
      </c>
      <c r="BX776" s="65" t="n">
        <v>776</v>
      </c>
      <c r="BY776" s="60" t="str">
        <f aca="false">IF(U776&lt;&gt;"",UPPER(TRIM(U776)),IF(CB776=1,UPPER(VLOOKUP(T776,Parameter!$I$27:$K$29,2,0)),IF(P776="","LOSE",P776)))</f>
        <v>S21</v>
      </c>
      <c r="BZ776" s="62" t="n">
        <f aca="false">IF(BY776="LOSE",1,IF(N(V776)&gt;0,V776,IF(CB776=1,MAX(1,N(VLOOKUP(T776,Parameter!$I$27:$K$29,3,0)),H776,N(N776)),IF(N(Q776)&gt;0,Q776,MAX(1,H776)))))</f>
        <v>200</v>
      </c>
      <c r="CA776" s="65" t="n">
        <f aca="false">IF(BY776="LOSE",1,0)</f>
        <v>0</v>
      </c>
      <c r="CB776" s="65" t="n">
        <f aca="false">IF(AND(U776="",OR(P776="",P776="LOSE"),T776&lt;&gt;"",N(S776)&lt;=0,ISNUMBER(MATCH(T776,Parameter!$I$27:$I$29,0))),1,0)</f>
        <v>0</v>
      </c>
      <c r="CC776" s="65" t="n">
        <f aca="false">IF(CR776&gt;0,INDEX(Parameter!$H$5:$H$7,W776)/INDEX(Parameter!$E$5:$E$7,W776),IF(AND(CA776=0,N(IFERROR(VLOOKUP(BY776,'Gebinde-Kategorie'!$A$5:$N$45,14,0),0))&gt;0),VLOOKUP(BY776,'Gebinde-Kategorie'!$A$5:$N$45,14,0)*10+Parameter!$M$23,Parameter!$M$24))</f>
        <v>155</v>
      </c>
      <c r="CD776" s="60" t="str">
        <f aca="false">IF(AND(Parameter!$B$19="Ja",E776&lt;&gt;"",ISNUMBER(MATCH(E776,Parameter!$I$35:$I$52,0))),VLOOKUP(E776,Parameter!$I$35:$J$52,2,0),IFERROR(VLOOKUP(D776,Parameter!$A$35:$C$64,2,0),"Nein"))</f>
        <v>2+3</v>
      </c>
      <c r="CE776" s="64" t="n">
        <f aca="false">IF(CA776=0,0,IF(N(S776)&gt;0,S776,IFERROR(VLOOKUP(D776,Parameter!$A$35:$C$64,3,0)+0,0)))</f>
        <v>0</v>
      </c>
      <c r="CF776" s="60" t="n">
        <f aca="false">IF(AB776&lt;&gt;"",AB776,AA776)</f>
        <v>2</v>
      </c>
      <c r="CG776" s="60" t="str">
        <f aca="false">IF(OR(CF776=1,CF776=2,CF776=3),IF(Parameter!$E$27="Ja","LIFT",IF(CF776=1,"L1","L23")),IF(CF776="Aussen","Aussen","-"))</f>
        <v>LIFT</v>
      </c>
      <c r="CH776" s="71" t="n">
        <f aca="false">IF(N(AC776)&gt;0,AC776,0)</f>
        <v>0</v>
      </c>
      <c r="CI776" s="65" t="n">
        <f aca="false">IF(ISNUMBER(AF776),1,0)</f>
        <v>0</v>
      </c>
      <c r="CJ776" s="62" t="n">
        <f aca="false">N(AF776)</f>
        <v>0</v>
      </c>
      <c r="CK776" s="62" t="n">
        <f aca="false">N(M776)+N(N776)</f>
        <v>1</v>
      </c>
      <c r="CL776" s="62" t="n">
        <f aca="false">N(M776)</f>
        <v>0</v>
      </c>
      <c r="CM776" s="62" t="n">
        <f aca="false">N(N776)</f>
        <v>1</v>
      </c>
      <c r="CN776" s="62" t="n">
        <f aca="false">ROUNDUP(H776/BZ776,0)</f>
        <v>1</v>
      </c>
      <c r="CO776" s="62" t="n">
        <f aca="false">ROUNDUP(CJ776/BZ776,0)</f>
        <v>0</v>
      </c>
      <c r="CP776" s="65" t="n">
        <f aca="false">IF(CA776=1,0,IFERROR(VLOOKUP(BY776,'Gebinde-Kategorie'!$A$5:$N$45,5,0)+0,0))</f>
        <v>8</v>
      </c>
      <c r="CQ776" s="65" t="n">
        <f aca="false">IFERROR(IF(OR(CF776=1,CF776=2,CF776=3),N(INDEX(Parameter!$I$5:$I$7,CF776)),0),0)</f>
        <v>0</v>
      </c>
      <c r="CR776" s="64" t="n">
        <f aca="false">IF(AND(Parameter!$B$21="Ja",ISNUMBER(W776),N(X776)&gt;0),IFERROR(N(INDEX(Parameter!$L$5:$L$7,W776))*INDEX(Parameter!$E$5:$E$7,W776)*X776/SUMIFS($X$7:$X$1843,$W$7:$W$1843,W776),0),0)</f>
        <v>0</v>
      </c>
      <c r="CS776" s="62" t="n">
        <f aca="false">IF(AND(OR(CG776="L1",CG776="L23",CG776="LIFT"),H776&gt;0),CC776*IF(CR776&gt;0,CR776*MAX(1,H776/X776),IF(CA776=1,CE776,IF(R776&gt;0,CN776/R776,0))/MAX(0.1,N(Parameter!$M$21))),"")</f>
        <v>0.553571428571429</v>
      </c>
      <c r="CT776" s="64" t="n">
        <f aca="false">IF(CS776="","",J776/H776)</f>
        <v>0</v>
      </c>
      <c r="CU776" s="62" t="n">
        <f aca="false">IF(CS776="","",H776*G776)</f>
        <v>90</v>
      </c>
      <c r="CV776" s="63" t="n">
        <f aca="false">IF(CS776="","",(CL776+ROUNDUP(CL776+MAX(CM776,2*(J776/MAX(0.1,N(Einkauf!$C$6))-CL776)),0))/2)</f>
        <v>0.5</v>
      </c>
      <c r="CW776" s="62" t="n">
        <f aca="false">IF(CS776="","",MAX(0,H776-CV776)*G776)</f>
        <v>89.75</v>
      </c>
      <c r="CX776" s="62" t="n">
        <f aca="false">IF(CS776="","",CS776*MAX(0,1-CV776/H776))</f>
        <v>0.55203373015873</v>
      </c>
      <c r="CY776" s="64" t="n">
        <f aca="false">IF(CS776="","",PERCENTRANK($CS$7:$CS$1843,CS776)+PERCENTRANK($CU$7:$CU$1843,CU776)+1-PERCENTRANK($CT$7:$CT$1843,CT776))</f>
        <v>1.218</v>
      </c>
      <c r="CZ776" s="72" t="n">
        <f aca="false">IF(CS776="","",CHOOSE(MATCH(Einkauf!$C$5,Parameter!$G$23:$G$27,0),CY776,CS776,CU776,-CT776,CW776)+ROW()/1000000000)</f>
        <v>1.218000776</v>
      </c>
    </row>
    <row r="777" customFormat="false" ht="15" hidden="false" customHeight="false" outlineLevel="0" collapsed="false">
      <c r="A777" s="60" t="s">
        <v>1563</v>
      </c>
      <c r="B777" s="60" t="s">
        <v>1278</v>
      </c>
      <c r="C777" s="60" t="s">
        <v>206</v>
      </c>
      <c r="D777" s="60" t="s">
        <v>226</v>
      </c>
      <c r="E777" s="60" t="s">
        <v>227</v>
      </c>
      <c r="F777" s="60" t="s">
        <v>260</v>
      </c>
      <c r="G777" s="61" t="n">
        <v>0.03</v>
      </c>
      <c r="H777" s="62" t="n">
        <f aca="false">MAX(0,IF(AND(Parameter!$B$21="Ja",ISNUMBER(Y777)),Y777,IF(Parameter!$B$20="Jahresanfang 2025 + Export",BS777+BR777,BR777)))</f>
        <v>459</v>
      </c>
      <c r="I777" s="62" t="n">
        <f aca="false">H777*G777</f>
        <v>13.77</v>
      </c>
      <c r="J777" s="62" t="n">
        <f aca="false">BU777*Parameter!$B$18</f>
        <v>16</v>
      </c>
      <c r="K777" s="63" t="n">
        <v>510.5</v>
      </c>
      <c r="L777" s="64" t="n">
        <v>0.0313418217433888</v>
      </c>
      <c r="M777" s="62" t="n">
        <v>0</v>
      </c>
      <c r="N777" s="62" t="n">
        <v>15</v>
      </c>
      <c r="O777" s="65" t="n">
        <v>21</v>
      </c>
      <c r="P777" s="60" t="s">
        <v>468</v>
      </c>
      <c r="Q777" s="62" t="n">
        <v>535</v>
      </c>
      <c r="R777" s="65" t="n">
        <f aca="false">IF(CA777=1,0,IFERROR(VLOOKUP(BY777,'Gebinde-Kategorie'!$A$5:$N$45,13,0)+0,0))</f>
        <v>140</v>
      </c>
      <c r="S777" s="66"/>
      <c r="T777" s="67"/>
      <c r="U777" s="67"/>
      <c r="V777" s="67"/>
      <c r="W777" s="60"/>
      <c r="X777" s="62"/>
      <c r="Y777" s="62"/>
      <c r="Z777" s="60" t="n">
        <v>3</v>
      </c>
      <c r="AA777" s="60" t="n">
        <f aca="false">IF(A777="","",IF(AND(Parameter!$B$21="Ja",ISNUMBER(W777)),W777,IF(AND(Parameter!$E$27="Ja",ISNUMBER(Z777),CD777&lt;&gt;"Nein"),Z777,IF(CD777="2+3",IF(ISNUMBER(SEARCH("grosser Artikel",BV777)),2,IFERROR(VLOOKUP(BY777,Parameter!$F$35:$G$64,2,0),2)),IF(OR(CD777="Nein",CD777=""),"-",CD777)))))</f>
        <v>3</v>
      </c>
      <c r="AB777" s="67"/>
      <c r="AC777" s="68"/>
      <c r="AD777" s="62" t="n">
        <f aca="false">AW777</f>
        <v>15</v>
      </c>
      <c r="AE777" s="62" t="n">
        <f aca="false">MAX(AW777,H777)</f>
        <v>459</v>
      </c>
      <c r="AF777" s="69"/>
      <c r="AG777" s="62" t="n">
        <f aca="false">IF(LEFT(Cockpit!$C$5,1)="A",H777,IF(Parameter!$E$30="MAX-Bestand",IF(CI777=1,CJ777,IF(LEFT(Cockpit!$C$5,1)="B",AM777,MAX(AM777,H777))),ROUNDUP(AK777,0)))</f>
        <v>459</v>
      </c>
      <c r="AH777" s="62" t="n">
        <f aca="false">IF(CA777=1,0,ROUNDUP(AG777/BZ777,0))</f>
        <v>1</v>
      </c>
      <c r="AI777" s="64" t="n">
        <f aca="false">IF(CR777&gt;0,CR777*MAX(1,AG777/X777),IF(CA777=1,IF(AG777&lt;=0,0,CE777*MAX(1,IF(H777&gt;0,AG777/H777,1))),IF(R777&gt;0,AH777/R777,0))/MAX(0.1,N(Parameter!$M$21)))</f>
        <v>0.00714285714285714</v>
      </c>
      <c r="AJ777" s="62" t="n">
        <f aca="false">AI777*CC777</f>
        <v>1.10714285714286</v>
      </c>
      <c r="AK777" s="63" t="n">
        <f aca="false">IF(LEFT(Cockpit!$C$5,1)="A",H777,IF(CI777=1,(CL777+CJ777)/2,IF(LEFT(Cockpit!$C$5,1)="B",(CL777+AM777)/2,MAX((CL777+AM777)/2,H777))))</f>
        <v>459</v>
      </c>
      <c r="AL777" s="62" t="n">
        <f aca="false">AK777*G777</f>
        <v>13.77</v>
      </c>
      <c r="AM777" s="62" t="n">
        <f aca="false">ROUNDUP(CL777+MAX(CM777,2*(J777/IF(CH777&gt;0,CH777,MAX(0.1,N(Cockpit!$C$6)))-CL777)),0)</f>
        <v>15</v>
      </c>
      <c r="AN777" s="63" t="n">
        <f aca="false">IF(AJ777&gt;0,J777/AJ777,-1)</f>
        <v>14.4516129032258</v>
      </c>
      <c r="AO777" s="63" t="n">
        <f aca="false">IF(AND(OR(CG777="L1",CG777="L23",CG777="LIFT"),AJ777&gt;0),SUMIFS($AJ$7:$AJ$1843,$CG$7:$CG$1843,CG777,$AN$7:$AN$1843,"&gt;"&amp;AN777)+SUMIFS($AJ$7:$AJ$1843,$CG$7:$CG$1843,CG777,$AN$7:$AN$1843,AN777,$BX$7:$BX$1843,"&lt;="&amp;BX777),"")</f>
        <v>2099.13598901099</v>
      </c>
      <c r="AP777" s="70" t="n">
        <f aca="false">IF(AO777="",0,MAX(0,MIN(1,(IF(CG777="L1",Parameter!$H$5,IF(CG777="L23",Parameter!$H$6+Parameter!$H$7,Parameter!$H$5+Parameter!$H$6+Parameter!$H$7))-(AO777-AJ777))/AJ777)))</f>
        <v>1</v>
      </c>
      <c r="AQ777" s="62" t="n">
        <f aca="false">IF(LEFT(Cockpit!$I$5,1)="A",H777,IF(Parameter!$E$30="MAX-Bestand",IF(CI777=1,CJ777,IF(LEFT(Cockpit!$I$5,1)="B",AW777,MAX(AW777,H777))),ROUNDUP(AU777,0)))</f>
        <v>459</v>
      </c>
      <c r="AR777" s="62" t="n">
        <f aca="false">IF(CA777=1,0,ROUNDUP(AQ777/BZ777,0))</f>
        <v>1</v>
      </c>
      <c r="AS777" s="64" t="n">
        <f aca="false">IF(CR777&gt;0,CR777*MAX(1,AQ777/X777),IF(CA777=1,IF(AQ777&lt;=0,0,CE777*MAX(1,IF(H777&gt;0,AQ777/H777,1))),IF(R777&gt;0,AR777/R777,0))/MAX(0.1,N(Parameter!$M$21)))</f>
        <v>0.00714285714285714</v>
      </c>
      <c r="AT777" s="62" t="n">
        <f aca="false">AS777*CC777</f>
        <v>1.10714285714286</v>
      </c>
      <c r="AU777" s="63" t="n">
        <f aca="false">IF(LEFT(Cockpit!$I$5,1)="A",H777,IF(CI777=1,(CL777+CJ777)/2,IF(LEFT(Cockpit!$I$5,1)="B",(CL777+AW777)/2,MAX((CL777+AW777)/2,H777))))</f>
        <v>459</v>
      </c>
      <c r="AV777" s="62" t="n">
        <f aca="false">AU777*G777</f>
        <v>13.77</v>
      </c>
      <c r="AW777" s="62" t="n">
        <f aca="false">ROUNDUP(CL777+MAX(CM777,2*(J777/IF(CH777&gt;0,CH777,MAX(0.1,N(Cockpit!$I$6)))-CL777)),0)</f>
        <v>15</v>
      </c>
      <c r="AX777" s="63" t="n">
        <f aca="false">IF(AT777&gt;0,J777/AT777,-1)</f>
        <v>14.4516129032258</v>
      </c>
      <c r="AY777" s="63" t="n">
        <f aca="false">IF(AND(OR(CG777="L1",CG777="L23",CG777="LIFT"),AT777&gt;0),SUMIFS($AT$7:$AT$1843,$CG$7:$CG$1843,CG777,$AX$7:$AX$1843,"&gt;"&amp;AX777)+SUMIFS($AT$7:$AT$1843,$CG$7:$CG$1843,CG777,$AX$7:$AX$1843,AX777,$BX$7:$BX$1843,"&lt;="&amp;BX777),"")</f>
        <v>2747.0728021978</v>
      </c>
      <c r="AZ777" s="70" t="n">
        <f aca="false">IF(AY777="",0,MAX(0,MIN(1,(IF(CG777="L1",Parameter!$H$5,IF(CG777="L23",Parameter!$H$6+Parameter!$H$7,Parameter!$H$5+Parameter!$H$6+Parameter!$H$7))-(AY777-AT777))/AT777)))</f>
        <v>1</v>
      </c>
      <c r="BA777" s="62" t="n">
        <f aca="false">IF(LEFT(Cockpit!$O$5,1)="A",H777,IF(Parameter!$E$30="MAX-Bestand",IF(CI777=1,CJ777,IF(LEFT(Cockpit!$O$5,1)="B",BG777,MAX(BG777,H777))),ROUNDUP(BE777,0)))</f>
        <v>8</v>
      </c>
      <c r="BB777" s="62" t="n">
        <f aca="false">IF(CA777=1,0,ROUNDUP(BA777/BZ777,0))</f>
        <v>1</v>
      </c>
      <c r="BC777" s="64" t="n">
        <f aca="false">IF(CR777&gt;0,CR777*MAX(1,BA777/X777),IF(CA777=1,IF(BA777&lt;=0,0,CE777*MAX(1,IF(H777&gt;0,BA777/H777,1))),IF(R777&gt;0,BB777/R777,0))/MAX(0.1,N(Parameter!$M$21)))</f>
        <v>0.00714285714285714</v>
      </c>
      <c r="BD777" s="62" t="n">
        <f aca="false">BC777*CC777</f>
        <v>1.10714285714286</v>
      </c>
      <c r="BE777" s="63" t="n">
        <f aca="false">IF(LEFT(Cockpit!$O$5,1)="A",H777,IF(CI777=1,(CL777+CJ777)/2,IF(LEFT(Cockpit!$O$5,1)="B",(CL777+BG777)/2,MAX((CL777+BG777)/2,H777))))</f>
        <v>7.5</v>
      </c>
      <c r="BF777" s="62" t="n">
        <f aca="false">BE777*G777</f>
        <v>0.225</v>
      </c>
      <c r="BG777" s="62" t="n">
        <f aca="false">ROUNDUP(CL777+MAX(CM777,2*(J777/IF(CH777&gt;0,CH777,MAX(0.1,N(Cockpit!$O$6)))-CL777)),0)</f>
        <v>15</v>
      </c>
      <c r="BH777" s="63" t="n">
        <f aca="false">IF(BD777&gt;0,J777/BD777,-1)</f>
        <v>14.4516129032258</v>
      </c>
      <c r="BI777" s="63" t="n">
        <f aca="false">IF(AND(OR(CG777="L1",CG777="L23",CG777="LIFT"),BD777&gt;0),SUMIFS($BD$7:$BD$1843,$CG$7:$CG$1843,CG777,$BH$7:$BH$1843,"&gt;"&amp;BH777)+SUMIFS($BD$7:$BD$1843,$CG$7:$CG$1843,CG777,$BH$7:$BH$1843,BH777,$BX$7:$BX$1843,"&lt;="&amp;BX777),"")</f>
        <v>2430.66346153846</v>
      </c>
      <c r="BJ777" s="70" t="n">
        <f aca="false">IF(BI777="",0,MAX(0,MIN(1,(IF(CG777="L1",Parameter!$H$5,IF(CG777="L23",Parameter!$H$6+Parameter!$H$7,Parameter!$H$5+Parameter!$H$6+Parameter!$H$7))-(BI777-BD777))/BD777)))</f>
        <v>1</v>
      </c>
      <c r="BK777" s="60" t="str">
        <f aca="false">IF(AJ777&lt;=0,"",IF(CG777="Aussen","Aussenlager",IF(CG777="-","Nicht im Lift",IF(AP777&gt;=1,"Lift",IF(AP777&lt;=0,"Aussenlager","teilweise")))))</f>
        <v>Lift</v>
      </c>
      <c r="BL777" s="60" t="str">
        <f aca="false">IF(AT777&lt;=0,"",IF(CG777="Aussen","Aussenlager",IF(CG777="-","Nicht im Lift",IF(AZ777&gt;=1,"Lift",IF(AZ777&lt;=0,"Aussenlager","teilweise")))))</f>
        <v>Lift</v>
      </c>
      <c r="BM777" s="60" t="str">
        <f aca="false">IF(BD777&lt;=0,"",IF(CG777="Aussen","Aussenlager",IF(CG777="-","Nicht im Lift",IF(BJ777&gt;=1,"Lift",IF(BJ777&lt;=0,"Aussenlager","teilweise")))))</f>
        <v>Lift</v>
      </c>
      <c r="BN777" s="60" t="str">
        <f aca="false">IF(A777="","",IF(BW777=1,"Neu; ","")&amp;IF(AND(BW777=0,BR777&lt;0),"negativer Bestand (Export "&amp;BR777&amp;"); ","")&amp;IF(J777&lt;=0,"Kein Verbrauch; ","")&amp;IF(CR777&gt;0,"Lift "&amp;W777&amp;" lt. Liftbericht (Fach "&amp;X777&amp;" Stk); ",IF(CB777=1,"Gebinde geschätzt ("&amp;T777&amp;"); ",IF(CA777=1,"Lose – Tablare geschätzt; ","")))&amp;IF(H777&gt;AW777,"Überbestand "&amp;ROUND(H777-AW777,0)&amp;" Stk / CHF "&amp;ROUND((H777-AW777)*G777,0)&amp;"; ","")&amp;IF(AND(CI777=1,CJ777&lt;CK777),"MAX &lt; MB+LG; ","")&amp;IF(AND(CQ777&gt;0,CP777*10&gt;CQ777),"zu hoch für Tablar; ","")&amp;IF(AND(BW777=0,OR(CI777=1,AB777&lt;&gt;"",U777&lt;&gt;"",V777&lt;&gt;"",AC777&lt;&gt;"")),"manuell übersteuert; ","")&amp;IF(AND(CA777=0,R777=0),"Gebinde unbekannt / Stellmass fehlt; ","")&amp;IF(AND(CA777=0,N(V777)&lt;=0,N(Q777)&lt;=0),"Menge pro Gebinde fehlt (Ist = 1 Gebinde); ","")&amp;BV777)</f>
        <v>negativer Bestand (Export -51); Überbestand 444 Stk / CHF 13; Überbestand</v>
      </c>
      <c r="BO777" s="60"/>
      <c r="BP777" s="60"/>
      <c r="BQ777" s="67"/>
      <c r="BR777" s="62" t="n">
        <v>-51</v>
      </c>
      <c r="BS777" s="62" t="n">
        <v>510</v>
      </c>
      <c r="BT777" s="61" t="n">
        <v>-1.53</v>
      </c>
      <c r="BU777" s="62" t="n">
        <v>16</v>
      </c>
      <c r="BV777" s="60" t="s">
        <v>434</v>
      </c>
      <c r="BW777" s="65" t="n">
        <v>0</v>
      </c>
      <c r="BX777" s="65" t="n">
        <v>777</v>
      </c>
      <c r="BY777" s="60" t="str">
        <f aca="false">IF(U777&lt;&gt;"",UPPER(TRIM(U777)),IF(CB777=1,UPPER(VLOOKUP(T777,Parameter!$I$27:$K$29,2,0)),IF(P777="","LOSE",P777)))</f>
        <v>S22</v>
      </c>
      <c r="BZ777" s="62" t="n">
        <f aca="false">IF(BY777="LOSE",1,IF(N(V777)&gt;0,V777,IF(CB777=1,MAX(1,N(VLOOKUP(T777,Parameter!$I$27:$K$29,3,0)),H777,N(N777)),IF(N(Q777)&gt;0,Q777,MAX(1,H777)))))</f>
        <v>535</v>
      </c>
      <c r="CA777" s="65" t="n">
        <f aca="false">IF(BY777="LOSE",1,0)</f>
        <v>0</v>
      </c>
      <c r="CB777" s="65" t="n">
        <f aca="false">IF(AND(U777="",OR(P777="",P777="LOSE"),T777&lt;&gt;"",N(S777)&lt;=0,ISNUMBER(MATCH(T777,Parameter!$I$27:$I$29,0))),1,0)</f>
        <v>0</v>
      </c>
      <c r="CC777" s="65" t="n">
        <f aca="false">IF(CR777&gt;0,INDEX(Parameter!$H$5:$H$7,W777)/INDEX(Parameter!$E$5:$E$7,W777),IF(AND(CA777=0,N(IFERROR(VLOOKUP(BY777,'Gebinde-Kategorie'!$A$5:$N$45,14,0),0))&gt;0),VLOOKUP(BY777,'Gebinde-Kategorie'!$A$5:$N$45,14,0)*10+Parameter!$M$23,Parameter!$M$24))</f>
        <v>155</v>
      </c>
      <c r="CD777" s="60" t="str">
        <f aca="false">IF(AND(Parameter!$B$19="Ja",E777&lt;&gt;"",ISNUMBER(MATCH(E777,Parameter!$I$35:$I$52,0))),VLOOKUP(E777,Parameter!$I$35:$J$52,2,0),IFERROR(VLOOKUP(D777,Parameter!$A$35:$C$64,2,0),"Nein"))</f>
        <v>2+3</v>
      </c>
      <c r="CE777" s="64" t="n">
        <f aca="false">IF(CA777=0,0,IF(N(S777)&gt;0,S777,IFERROR(VLOOKUP(D777,Parameter!$A$35:$C$64,3,0)+0,0)))</f>
        <v>0</v>
      </c>
      <c r="CF777" s="60" t="n">
        <f aca="false">IF(AB777&lt;&gt;"",AB777,AA777)</f>
        <v>3</v>
      </c>
      <c r="CG777" s="60" t="str">
        <f aca="false">IF(OR(CF777=1,CF777=2,CF777=3),IF(Parameter!$E$27="Ja","LIFT",IF(CF777=1,"L1","L23")),IF(CF777="Aussen","Aussen","-"))</f>
        <v>LIFT</v>
      </c>
      <c r="CH777" s="71" t="n">
        <f aca="false">IF(N(AC777)&gt;0,AC777,0)</f>
        <v>0</v>
      </c>
      <c r="CI777" s="65" t="n">
        <f aca="false">IF(ISNUMBER(AF777),1,0)</f>
        <v>0</v>
      </c>
      <c r="CJ777" s="62" t="n">
        <f aca="false">N(AF777)</f>
        <v>0</v>
      </c>
      <c r="CK777" s="62" t="n">
        <f aca="false">N(M777)+N(N777)</f>
        <v>15</v>
      </c>
      <c r="CL777" s="62" t="n">
        <f aca="false">N(M777)</f>
        <v>0</v>
      </c>
      <c r="CM777" s="62" t="n">
        <f aca="false">N(N777)</f>
        <v>15</v>
      </c>
      <c r="CN777" s="62" t="n">
        <f aca="false">ROUNDUP(H777/BZ777,0)</f>
        <v>1</v>
      </c>
      <c r="CO777" s="62" t="n">
        <f aca="false">ROUNDUP(CJ777/BZ777,0)</f>
        <v>0</v>
      </c>
      <c r="CP777" s="65" t="n">
        <f aca="false">IF(CA777=1,0,IFERROR(VLOOKUP(BY777,'Gebinde-Kategorie'!$A$5:$N$45,5,0)+0,0))</f>
        <v>8</v>
      </c>
      <c r="CQ777" s="65" t="n">
        <f aca="false">IFERROR(IF(OR(CF777=1,CF777=2,CF777=3),N(INDEX(Parameter!$I$5:$I$7,CF777)),0),0)</f>
        <v>0</v>
      </c>
      <c r="CR777" s="64" t="n">
        <f aca="false">IF(AND(Parameter!$B$21="Ja",ISNUMBER(W777),N(X777)&gt;0),IFERROR(N(INDEX(Parameter!$L$5:$L$7,W777))*INDEX(Parameter!$E$5:$E$7,W777)*X777/SUMIFS($X$7:$X$1843,$W$7:$W$1843,W777),0),0)</f>
        <v>0</v>
      </c>
      <c r="CS777" s="62" t="n">
        <f aca="false">IF(AND(OR(CG777="L1",CG777="L23",CG777="LIFT"),H777&gt;0),CC777*IF(CR777&gt;0,CR777*MAX(1,H777/X777),IF(CA777=1,CE777,IF(R777&gt;0,CN777/R777,0))/MAX(0.1,N(Parameter!$M$21))),"")</f>
        <v>1.10714285714286</v>
      </c>
      <c r="CT777" s="64" t="n">
        <f aca="false">IF(CS777="","",J777/H777)</f>
        <v>0.0348583877995643</v>
      </c>
      <c r="CU777" s="62" t="n">
        <f aca="false">IF(CS777="","",H777*G777)</f>
        <v>13.77</v>
      </c>
      <c r="CV777" s="63" t="n">
        <f aca="false">IF(CS777="","",(CL777+ROUNDUP(CL777+MAX(CM777,2*(J777/MAX(0.1,N(Einkauf!$C$6))-CL777)),0))/2)</f>
        <v>7.5</v>
      </c>
      <c r="CW777" s="62" t="n">
        <f aca="false">IF(CS777="","",MAX(0,H777-CV777)*G777)</f>
        <v>13.545</v>
      </c>
      <c r="CX777" s="62" t="n">
        <f aca="false">IF(CS777="","",CS777*MAX(0,1-CV777/H777))</f>
        <v>1.0890522875817</v>
      </c>
      <c r="CY777" s="64" t="n">
        <f aca="false">IF(CS777="","",PERCENTRANK($CS$7:$CS$1843,CS777)+PERCENTRANK($CU$7:$CU$1843,CU777)+1-PERCENTRANK($CT$7:$CT$1843,CT777))</f>
        <v>0.7165</v>
      </c>
      <c r="CZ777" s="72" t="n">
        <f aca="false">IF(CS777="","",CHOOSE(MATCH(Einkauf!$C$5,Parameter!$G$23:$G$27,0),CY777,CS777,CU777,-CT777,CW777)+ROW()/1000000000)</f>
        <v>0.716500777</v>
      </c>
    </row>
    <row r="778" customFormat="false" ht="15" hidden="false" customHeight="false" outlineLevel="0" collapsed="false">
      <c r="A778" s="60" t="s">
        <v>1564</v>
      </c>
      <c r="B778" s="60" t="s">
        <v>447</v>
      </c>
      <c r="C778" s="60" t="s">
        <v>206</v>
      </c>
      <c r="D778" s="60" t="s">
        <v>226</v>
      </c>
      <c r="E778" s="60" t="s">
        <v>227</v>
      </c>
      <c r="F778" s="60" t="s">
        <v>260</v>
      </c>
      <c r="G778" s="61" t="n">
        <v>0.03</v>
      </c>
      <c r="H778" s="62" t="n">
        <f aca="false">MAX(0,IF(AND(Parameter!$B$21="Ja",ISNUMBER(Y778)),Y778,IF(Parameter!$B$20="Jahresanfang 2025 + Export",BS778+BR778,BR778)))</f>
        <v>697</v>
      </c>
      <c r="I778" s="62" t="n">
        <f aca="false">H778*G778</f>
        <v>20.91</v>
      </c>
      <c r="J778" s="62" t="n">
        <f aca="false">BU778*Parameter!$B$18</f>
        <v>30</v>
      </c>
      <c r="K778" s="63" t="n">
        <v>736.5</v>
      </c>
      <c r="L778" s="64" t="n">
        <v>0.0407331975560082</v>
      </c>
      <c r="M778" s="62" t="n">
        <v>1</v>
      </c>
      <c r="N778" s="62" t="n">
        <v>30</v>
      </c>
      <c r="O778" s="65" t="n">
        <v>21</v>
      </c>
      <c r="P778" s="60" t="s">
        <v>344</v>
      </c>
      <c r="Q778" s="62" t="n">
        <v>426</v>
      </c>
      <c r="R778" s="65" t="n">
        <f aca="false">IF(CA778=1,0,IFERROR(VLOOKUP(BY778,'Gebinde-Kategorie'!$A$5:$N$45,13,0)+0,0))</f>
        <v>26</v>
      </c>
      <c r="S778" s="66"/>
      <c r="T778" s="67"/>
      <c r="U778" s="67"/>
      <c r="V778" s="67"/>
      <c r="W778" s="60"/>
      <c r="X778" s="62"/>
      <c r="Y778" s="62"/>
      <c r="Z778" s="60" t="n">
        <v>3</v>
      </c>
      <c r="AA778" s="60" t="n">
        <f aca="false">IF(A778="","",IF(AND(Parameter!$B$21="Ja",ISNUMBER(W778)),W778,IF(AND(Parameter!$E$27="Ja",ISNUMBER(Z778),CD778&lt;&gt;"Nein"),Z778,IF(CD778="2+3",IF(ISNUMBER(SEARCH("grosser Artikel",BV778)),2,IFERROR(VLOOKUP(BY778,Parameter!$F$35:$G$64,2,0),2)),IF(OR(CD778="Nein",CD778=""),"-",CD778)))))</f>
        <v>3</v>
      </c>
      <c r="AB778" s="67"/>
      <c r="AC778" s="68"/>
      <c r="AD778" s="62" t="n">
        <f aca="false">AW778</f>
        <v>31</v>
      </c>
      <c r="AE778" s="62" t="n">
        <f aca="false">MAX(AW778,H778)</f>
        <v>697</v>
      </c>
      <c r="AF778" s="69"/>
      <c r="AG778" s="62" t="n">
        <f aca="false">IF(LEFT(Cockpit!$C$5,1)="A",H778,IF(Parameter!$E$30="MAX-Bestand",IF(CI778=1,CJ778,IF(LEFT(Cockpit!$C$5,1)="B",AM778,MAX(AM778,H778))),ROUNDUP(AK778,0)))</f>
        <v>697</v>
      </c>
      <c r="AH778" s="62" t="n">
        <f aca="false">IF(CA778=1,0,ROUNDUP(AG778/BZ778,0))</f>
        <v>2</v>
      </c>
      <c r="AI778" s="64" t="n">
        <f aca="false">IF(CR778&gt;0,CR778*MAX(1,AG778/X778),IF(CA778=1,IF(AG778&lt;=0,0,CE778*MAX(1,IF(H778&gt;0,AG778/H778,1))),IF(R778&gt;0,AH778/R778,0))/MAX(0.1,N(Parameter!$M$21)))</f>
        <v>0.0769230769230769</v>
      </c>
      <c r="AJ778" s="62" t="n">
        <f aca="false">AI778*CC778</f>
        <v>11.9230769230769</v>
      </c>
      <c r="AK778" s="63" t="n">
        <f aca="false">IF(LEFT(Cockpit!$C$5,1)="A",H778,IF(CI778=1,(CL778+CJ778)/2,IF(LEFT(Cockpit!$C$5,1)="B",(CL778+AM778)/2,MAX((CL778+AM778)/2,H778))))</f>
        <v>697</v>
      </c>
      <c r="AL778" s="62" t="n">
        <f aca="false">AK778*G778</f>
        <v>20.91</v>
      </c>
      <c r="AM778" s="62" t="n">
        <f aca="false">ROUNDUP(CL778+MAX(CM778,2*(J778/IF(CH778&gt;0,CH778,MAX(0.1,N(Cockpit!$C$6)))-CL778)),0)</f>
        <v>31</v>
      </c>
      <c r="AN778" s="63" t="n">
        <f aca="false">IF(AJ778&gt;0,J778/AJ778,-1)</f>
        <v>2.51612903225806</v>
      </c>
      <c r="AO778" s="63" t="n">
        <f aca="false">IF(AND(OR(CG778="L1",CG778="L23",CG778="LIFT"),AJ778&gt;0),SUMIFS($AJ$7:$AJ$1843,$CG$7:$CG$1843,CG778,$AN$7:$AN$1843,"&gt;"&amp;AN778)+SUMIFS($AJ$7:$AJ$1843,$CG$7:$CG$1843,CG778,$AN$7:$AN$1843,AN778,$BX$7:$BX$1843,"&lt;="&amp;BX778),"")</f>
        <v>5440.33287545788</v>
      </c>
      <c r="AP778" s="70" t="n">
        <f aca="false">IF(AO778="",0,MAX(0,MIN(1,(IF(CG778="L1",Parameter!$H$5,IF(CG778="L23",Parameter!$H$6+Parameter!$H$7,Parameter!$H$5+Parameter!$H$6+Parameter!$H$7))-(AO778-AJ778))/AJ778)))</f>
        <v>1</v>
      </c>
      <c r="AQ778" s="62" t="n">
        <f aca="false">IF(LEFT(Cockpit!$I$5,1)="A",H778,IF(Parameter!$E$30="MAX-Bestand",IF(CI778=1,CJ778,IF(LEFT(Cockpit!$I$5,1)="B",AW778,MAX(AW778,H778))),ROUNDUP(AU778,0)))</f>
        <v>697</v>
      </c>
      <c r="AR778" s="62" t="n">
        <f aca="false">IF(CA778=1,0,ROUNDUP(AQ778/BZ778,0))</f>
        <v>2</v>
      </c>
      <c r="AS778" s="64" t="n">
        <f aca="false">IF(CR778&gt;0,CR778*MAX(1,AQ778/X778),IF(CA778=1,IF(AQ778&lt;=0,0,CE778*MAX(1,IF(H778&gt;0,AQ778/H778,1))),IF(R778&gt;0,AR778/R778,0))/MAX(0.1,N(Parameter!$M$21)))</f>
        <v>0.0769230769230769</v>
      </c>
      <c r="AT778" s="62" t="n">
        <f aca="false">AS778*CC778</f>
        <v>11.9230769230769</v>
      </c>
      <c r="AU778" s="63" t="n">
        <f aca="false">IF(LEFT(Cockpit!$I$5,1)="A",H778,IF(CI778=1,(CL778+CJ778)/2,IF(LEFT(Cockpit!$I$5,1)="B",(CL778+AW778)/2,MAX((CL778+AW778)/2,H778))))</f>
        <v>697</v>
      </c>
      <c r="AV778" s="62" t="n">
        <f aca="false">AU778*G778</f>
        <v>20.91</v>
      </c>
      <c r="AW778" s="62" t="n">
        <f aca="false">ROUNDUP(CL778+MAX(CM778,2*(J778/IF(CH778&gt;0,CH778,MAX(0.1,N(Cockpit!$I$6)))-CL778)),0)</f>
        <v>31</v>
      </c>
      <c r="AX778" s="63" t="n">
        <f aca="false">IF(AT778&gt;0,J778/AT778,-1)</f>
        <v>2.51612903225806</v>
      </c>
      <c r="AY778" s="63" t="n">
        <f aca="false">IF(AND(OR(CG778="L1",CG778="L23",CG778="LIFT"),AT778&gt;0),SUMIFS($AT$7:$AT$1843,$CG$7:$CG$1843,CG778,$AX$7:$AX$1843,"&gt;"&amp;AX778)+SUMIFS($AT$7:$AT$1843,$CG$7:$CG$1843,CG778,$AX$7:$AX$1843,AX778,$BX$7:$BX$1843,"&lt;="&amp;BX778),"")</f>
        <v>6213.5608974359</v>
      </c>
      <c r="AZ778" s="70" t="n">
        <f aca="false">IF(AY778="",0,MAX(0,MIN(1,(IF(CG778="L1",Parameter!$H$5,IF(CG778="L23",Parameter!$H$6+Parameter!$H$7,Parameter!$H$5+Parameter!$H$6+Parameter!$H$7))-(AY778-AT778))/AT778)))</f>
        <v>1</v>
      </c>
      <c r="BA778" s="62" t="n">
        <f aca="false">IF(LEFT(Cockpit!$O$5,1)="A",H778,IF(Parameter!$E$30="MAX-Bestand",IF(CI778=1,CJ778,IF(LEFT(Cockpit!$O$5,1)="B",BG778,MAX(BG778,H778))),ROUNDUP(BE778,0)))</f>
        <v>16</v>
      </c>
      <c r="BB778" s="62" t="n">
        <f aca="false">IF(CA778=1,0,ROUNDUP(BA778/BZ778,0))</f>
        <v>1</v>
      </c>
      <c r="BC778" s="64" t="n">
        <f aca="false">IF(CR778&gt;0,CR778*MAX(1,BA778/X778),IF(CA778=1,IF(BA778&lt;=0,0,CE778*MAX(1,IF(H778&gt;0,BA778/H778,1))),IF(R778&gt;0,BB778/R778,0))/MAX(0.1,N(Parameter!$M$21)))</f>
        <v>0.0384615384615385</v>
      </c>
      <c r="BD778" s="62" t="n">
        <f aca="false">BC778*CC778</f>
        <v>5.96153846153846</v>
      </c>
      <c r="BE778" s="63" t="n">
        <f aca="false">IF(LEFT(Cockpit!$O$5,1)="A",H778,IF(CI778=1,(CL778+CJ778)/2,IF(LEFT(Cockpit!$O$5,1)="B",(CL778+BG778)/2,MAX((CL778+BG778)/2,H778))))</f>
        <v>16</v>
      </c>
      <c r="BF778" s="62" t="n">
        <f aca="false">BE778*G778</f>
        <v>0.48</v>
      </c>
      <c r="BG778" s="62" t="n">
        <f aca="false">ROUNDUP(CL778+MAX(CM778,2*(J778/IF(CH778&gt;0,CH778,MAX(0.1,N(Cockpit!$O$6)))-CL778)),0)</f>
        <v>31</v>
      </c>
      <c r="BH778" s="63" t="n">
        <f aca="false">IF(BD778&gt;0,J778/BD778,-1)</f>
        <v>5.03225806451613</v>
      </c>
      <c r="BI778" s="63" t="n">
        <f aca="false">IF(AND(OR(CG778="L1",CG778="L23",CG778="LIFT"),BD778&gt;0),SUMIFS($BD$7:$BD$1843,$CG$7:$CG$1843,CG778,$BH$7:$BH$1843,"&gt;"&amp;BH778)+SUMIFS($BD$7:$BD$1843,$CG$7:$CG$1843,CG778,$BH$7:$BH$1843,BH778,$BX$7:$BX$1843,"&lt;="&amp;BX778),"")</f>
        <v>3706.37728937729</v>
      </c>
      <c r="BJ778" s="70" t="n">
        <f aca="false">IF(BI778="",0,MAX(0,MIN(1,(IF(CG778="L1",Parameter!$H$5,IF(CG778="L23",Parameter!$H$6+Parameter!$H$7,Parameter!$H$5+Parameter!$H$6+Parameter!$H$7))-(BI778-BD778))/BD778)))</f>
        <v>1</v>
      </c>
      <c r="BK778" s="60" t="str">
        <f aca="false">IF(AJ778&lt;=0,"",IF(CG778="Aussen","Aussenlager",IF(CG778="-","Nicht im Lift",IF(AP778&gt;=1,"Lift",IF(AP778&lt;=0,"Aussenlager","teilweise")))))</f>
        <v>Lift</v>
      </c>
      <c r="BL778" s="60" t="str">
        <f aca="false">IF(AT778&lt;=0,"",IF(CG778="Aussen","Aussenlager",IF(CG778="-","Nicht im Lift",IF(AZ778&gt;=1,"Lift",IF(AZ778&lt;=0,"Aussenlager","teilweise")))))</f>
        <v>Lift</v>
      </c>
      <c r="BM778" s="60" t="str">
        <f aca="false">IF(BD778&lt;=0,"",IF(CG778="Aussen","Aussenlager",IF(CG778="-","Nicht im Lift",IF(BJ778&gt;=1,"Lift",IF(BJ778&lt;=0,"Aussenlager","teilweise")))))</f>
        <v>Lift</v>
      </c>
      <c r="BN778" s="60" t="str">
        <f aca="false">IF(A778="","",IF(BW778=1,"Neu; ","")&amp;IF(AND(BW778=0,BR778&lt;0),"negativer Bestand (Export "&amp;BR778&amp;"); ","")&amp;IF(J778&lt;=0,"Kein Verbrauch; ","")&amp;IF(CR778&gt;0,"Lift "&amp;W778&amp;" lt. Liftbericht (Fach "&amp;X778&amp;" Stk); ",IF(CB778=1,"Gebinde geschätzt ("&amp;T778&amp;"); ",IF(CA778=1,"Lose – Tablare geschätzt; ","")))&amp;IF(H778&gt;AW778,"Überbestand "&amp;ROUND(H778-AW778,0)&amp;" Stk / CHF "&amp;ROUND((H778-AW778)*G778,0)&amp;"; ","")&amp;IF(AND(CI778=1,CJ778&lt;CK778),"MAX &lt; MB+LG; ","")&amp;IF(AND(CQ778&gt;0,CP778*10&gt;CQ778),"zu hoch für Tablar; ","")&amp;IF(AND(BW778=0,OR(CI778=1,AB778&lt;&gt;"",U778&lt;&gt;"",V778&lt;&gt;"",AC778&lt;&gt;"")),"manuell übersteuert; ","")&amp;IF(AND(CA778=0,R778=0),"Gebinde unbekannt / Stellmass fehlt; ","")&amp;IF(AND(CA778=0,N(V778)&lt;=0,N(Q778)&lt;=0),"Menge pro Gebinde fehlt (Ist = 1 Gebinde); ","")&amp;BV778)</f>
        <v>negativer Bestand (Export -53); Überbestand 666 Stk / CHF 20; Überbestand</v>
      </c>
      <c r="BO778" s="60"/>
      <c r="BP778" s="60"/>
      <c r="BQ778" s="67"/>
      <c r="BR778" s="62" t="n">
        <v>-53</v>
      </c>
      <c r="BS778" s="62" t="n">
        <v>750</v>
      </c>
      <c r="BT778" s="61" t="n">
        <v>-1.59</v>
      </c>
      <c r="BU778" s="62" t="n">
        <v>30</v>
      </c>
      <c r="BV778" s="60" t="s">
        <v>434</v>
      </c>
      <c r="BW778" s="65" t="n">
        <v>0</v>
      </c>
      <c r="BX778" s="65" t="n">
        <v>778</v>
      </c>
      <c r="BY778" s="60" t="str">
        <f aca="false">IF(U778&lt;&gt;"",UPPER(TRIM(U778)),IF(CB778=1,UPPER(VLOOKUP(T778,Parameter!$I$27:$K$29,2,0)),IF(P778="","LOSE",P778)))</f>
        <v>S51</v>
      </c>
      <c r="BZ778" s="62" t="n">
        <f aca="false">IF(BY778="LOSE",1,IF(N(V778)&gt;0,V778,IF(CB778=1,MAX(1,N(VLOOKUP(T778,Parameter!$I$27:$K$29,3,0)),H778,N(N778)),IF(N(Q778)&gt;0,Q778,MAX(1,H778)))))</f>
        <v>426</v>
      </c>
      <c r="CA778" s="65" t="n">
        <f aca="false">IF(BY778="LOSE",1,0)</f>
        <v>0</v>
      </c>
      <c r="CB778" s="65" t="n">
        <f aca="false">IF(AND(U778="",OR(P778="",P778="LOSE"),T778&lt;&gt;"",N(S778)&lt;=0,ISNUMBER(MATCH(T778,Parameter!$I$27:$I$29,0))),1,0)</f>
        <v>0</v>
      </c>
      <c r="CC778" s="65" t="n">
        <f aca="false">IF(CR778&gt;0,INDEX(Parameter!$H$5:$H$7,W778)/INDEX(Parameter!$E$5:$E$7,W778),IF(AND(CA778=0,N(IFERROR(VLOOKUP(BY778,'Gebinde-Kategorie'!$A$5:$N$45,14,0),0))&gt;0),VLOOKUP(BY778,'Gebinde-Kategorie'!$A$5:$N$45,14,0)*10+Parameter!$M$23,Parameter!$M$24))</f>
        <v>155</v>
      </c>
      <c r="CD778" s="60" t="str">
        <f aca="false">IF(AND(Parameter!$B$19="Ja",E778&lt;&gt;"",ISNUMBER(MATCH(E778,Parameter!$I$35:$I$52,0))),VLOOKUP(E778,Parameter!$I$35:$J$52,2,0),IFERROR(VLOOKUP(D778,Parameter!$A$35:$C$64,2,0),"Nein"))</f>
        <v>2+3</v>
      </c>
      <c r="CE778" s="64" t="n">
        <f aca="false">IF(CA778=0,0,IF(N(S778)&gt;0,S778,IFERROR(VLOOKUP(D778,Parameter!$A$35:$C$64,3,0)+0,0)))</f>
        <v>0</v>
      </c>
      <c r="CF778" s="60" t="n">
        <f aca="false">IF(AB778&lt;&gt;"",AB778,AA778)</f>
        <v>3</v>
      </c>
      <c r="CG778" s="60" t="str">
        <f aca="false">IF(OR(CF778=1,CF778=2,CF778=3),IF(Parameter!$E$27="Ja","LIFT",IF(CF778=1,"L1","L23")),IF(CF778="Aussen","Aussen","-"))</f>
        <v>LIFT</v>
      </c>
      <c r="CH778" s="71" t="n">
        <f aca="false">IF(N(AC778)&gt;0,AC778,0)</f>
        <v>0</v>
      </c>
      <c r="CI778" s="65" t="n">
        <f aca="false">IF(ISNUMBER(AF778),1,0)</f>
        <v>0</v>
      </c>
      <c r="CJ778" s="62" t="n">
        <f aca="false">N(AF778)</f>
        <v>0</v>
      </c>
      <c r="CK778" s="62" t="n">
        <f aca="false">N(M778)+N(N778)</f>
        <v>31</v>
      </c>
      <c r="CL778" s="62" t="n">
        <f aca="false">N(M778)</f>
        <v>1</v>
      </c>
      <c r="CM778" s="62" t="n">
        <f aca="false">N(N778)</f>
        <v>30</v>
      </c>
      <c r="CN778" s="62" t="n">
        <f aca="false">ROUNDUP(H778/BZ778,0)</f>
        <v>2</v>
      </c>
      <c r="CO778" s="62" t="n">
        <f aca="false">ROUNDUP(CJ778/BZ778,0)</f>
        <v>0</v>
      </c>
      <c r="CP778" s="65" t="n">
        <f aca="false">IF(CA778=1,0,IFERROR(VLOOKUP(BY778,'Gebinde-Kategorie'!$A$5:$N$45,5,0)+0,0))</f>
        <v>11</v>
      </c>
      <c r="CQ778" s="65" t="n">
        <f aca="false">IFERROR(IF(OR(CF778=1,CF778=2,CF778=3),N(INDEX(Parameter!$I$5:$I$7,CF778)),0),0)</f>
        <v>0</v>
      </c>
      <c r="CR778" s="64" t="n">
        <f aca="false">IF(AND(Parameter!$B$21="Ja",ISNUMBER(W778),N(X778)&gt;0),IFERROR(N(INDEX(Parameter!$L$5:$L$7,W778))*INDEX(Parameter!$E$5:$E$7,W778)*X778/SUMIFS($X$7:$X$1843,$W$7:$W$1843,W778),0),0)</f>
        <v>0</v>
      </c>
      <c r="CS778" s="62" t="n">
        <f aca="false">IF(AND(OR(CG778="L1",CG778="L23",CG778="LIFT"),H778&gt;0),CC778*IF(CR778&gt;0,CR778*MAX(1,H778/X778),IF(CA778=1,CE778,IF(R778&gt;0,CN778/R778,0))/MAX(0.1,N(Parameter!$M$21))),"")</f>
        <v>11.9230769230769</v>
      </c>
      <c r="CT778" s="64" t="n">
        <f aca="false">IF(CS778="","",J778/H778)</f>
        <v>0.0430416068866571</v>
      </c>
      <c r="CU778" s="62" t="n">
        <f aca="false">IF(CS778="","",H778*G778)</f>
        <v>20.91</v>
      </c>
      <c r="CV778" s="63" t="n">
        <f aca="false">IF(CS778="","",(CL778+ROUNDUP(CL778+MAX(CM778,2*(J778/MAX(0.1,N(Einkauf!$C$6))-CL778)),0))/2)</f>
        <v>16</v>
      </c>
      <c r="CW778" s="62" t="n">
        <f aca="false">IF(CS778="","",MAX(0,H778-CV778)*G778)</f>
        <v>20.43</v>
      </c>
      <c r="CX778" s="62" t="n">
        <f aca="false">IF(CS778="","",CS778*MAX(0,1-CV778/H778))</f>
        <v>11.6493764485156</v>
      </c>
      <c r="CY778" s="64" t="n">
        <f aca="false">IF(CS778="","",PERCENTRANK($CS$7:$CS$1843,CS778)+PERCENTRANK($CU$7:$CU$1843,CU778)+1-PERCENTRANK($CT$7:$CT$1843,CT778))</f>
        <v>1.3117</v>
      </c>
      <c r="CZ778" s="72" t="n">
        <f aca="false">IF(CS778="","",CHOOSE(MATCH(Einkauf!$C$5,Parameter!$G$23:$G$27,0),CY778,CS778,CU778,-CT778,CW778)+ROW()/1000000000)</f>
        <v>1.311700778</v>
      </c>
    </row>
    <row r="779" customFormat="false" ht="15" hidden="false" customHeight="false" outlineLevel="0" collapsed="false">
      <c r="A779" s="60" t="s">
        <v>1565</v>
      </c>
      <c r="B779" s="60" t="s">
        <v>934</v>
      </c>
      <c r="C779" s="60" t="s">
        <v>206</v>
      </c>
      <c r="D779" s="60" t="s">
        <v>226</v>
      </c>
      <c r="E779" s="60" t="s">
        <v>227</v>
      </c>
      <c r="F779" s="60" t="s">
        <v>260</v>
      </c>
      <c r="G779" s="61" t="n">
        <v>8.81</v>
      </c>
      <c r="H779" s="62" t="n">
        <f aca="false">MAX(0,IF(AND(Parameter!$B$21="Ja",ISNUMBER(Y779)),Y779,IF(Parameter!$B$20="Jahresanfang 2025 + Export",BS779+BR779,BR779)))</f>
        <v>13</v>
      </c>
      <c r="I779" s="62" t="n">
        <f aca="false">H779*G779</f>
        <v>114.53</v>
      </c>
      <c r="J779" s="62" t="n">
        <f aca="false">BU779*Parameter!$B$18</f>
        <v>8</v>
      </c>
      <c r="K779" s="63" t="n">
        <v>7</v>
      </c>
      <c r="L779" s="64" t="n">
        <v>1.14285714285714</v>
      </c>
      <c r="M779" s="62" t="n">
        <v>0</v>
      </c>
      <c r="N779" s="62" t="n">
        <v>10</v>
      </c>
      <c r="O779" s="65" t="n">
        <v>19</v>
      </c>
      <c r="P779" s="60" t="s">
        <v>463</v>
      </c>
      <c r="Q779" s="62" t="n">
        <v>23</v>
      </c>
      <c r="R779" s="65" t="n">
        <f aca="false">IF(CA779=1,0,IFERROR(VLOOKUP(BY779,'Gebinde-Kategorie'!$A$5:$N$45,13,0)+0,0))</f>
        <v>104</v>
      </c>
      <c r="S779" s="66"/>
      <c r="T779" s="67"/>
      <c r="U779" s="67"/>
      <c r="V779" s="67"/>
      <c r="W779" s="60"/>
      <c r="X779" s="62"/>
      <c r="Y779" s="62"/>
      <c r="Z779" s="60" t="n">
        <v>3</v>
      </c>
      <c r="AA779" s="60" t="n">
        <f aca="false">IF(A779="","",IF(AND(Parameter!$B$21="Ja",ISNUMBER(W779)),W779,IF(AND(Parameter!$E$27="Ja",ISNUMBER(Z779),CD779&lt;&gt;"Nein"),Z779,IF(CD779="2+3",IF(ISNUMBER(SEARCH("grosser Artikel",BV779)),2,IFERROR(VLOOKUP(BY779,Parameter!$F$35:$G$64,2,0),2)),IF(OR(CD779="Nein",CD779=""),"-",CD779)))))</f>
        <v>3</v>
      </c>
      <c r="AB779" s="67"/>
      <c r="AC779" s="68"/>
      <c r="AD779" s="62" t="n">
        <f aca="false">AW779</f>
        <v>10</v>
      </c>
      <c r="AE779" s="62" t="n">
        <f aca="false">MAX(AW779,H779)</f>
        <v>13</v>
      </c>
      <c r="AF779" s="69"/>
      <c r="AG779" s="62" t="n">
        <f aca="false">IF(LEFT(Cockpit!$C$5,1)="A",H779,IF(Parameter!$E$30="MAX-Bestand",IF(CI779=1,CJ779,IF(LEFT(Cockpit!$C$5,1)="B",AM779,MAX(AM779,H779))),ROUNDUP(AK779,0)))</f>
        <v>13</v>
      </c>
      <c r="AH779" s="62" t="n">
        <f aca="false">IF(CA779=1,0,ROUNDUP(AG779/BZ779,0))</f>
        <v>1</v>
      </c>
      <c r="AI779" s="64" t="n">
        <f aca="false">IF(CR779&gt;0,CR779*MAX(1,AG779/X779),IF(CA779=1,IF(AG779&lt;=0,0,CE779*MAX(1,IF(H779&gt;0,AG779/H779,1))),IF(R779&gt;0,AH779/R779,0))/MAX(0.1,N(Parameter!$M$21)))</f>
        <v>0.00961538461538462</v>
      </c>
      <c r="AJ779" s="62" t="n">
        <f aca="false">AI779*CC779</f>
        <v>1.49038461538462</v>
      </c>
      <c r="AK779" s="63" t="n">
        <f aca="false">IF(LEFT(Cockpit!$C$5,1)="A",H779,IF(CI779=1,(CL779+CJ779)/2,IF(LEFT(Cockpit!$C$5,1)="B",(CL779+AM779)/2,MAX((CL779+AM779)/2,H779))))</f>
        <v>13</v>
      </c>
      <c r="AL779" s="62" t="n">
        <f aca="false">AK779*G779</f>
        <v>114.53</v>
      </c>
      <c r="AM779" s="62" t="n">
        <f aca="false">ROUNDUP(CL779+MAX(CM779,2*(J779/IF(CH779&gt;0,CH779,MAX(0.1,N(Cockpit!$C$6)))-CL779)),0)</f>
        <v>10</v>
      </c>
      <c r="AN779" s="63" t="n">
        <f aca="false">IF(AJ779&gt;0,J779/AJ779,-1)</f>
        <v>5.36774193548387</v>
      </c>
      <c r="AO779" s="63" t="n">
        <f aca="false">IF(AND(OR(CG779="L1",CG779="L23",CG779="LIFT"),AJ779&gt;0),SUMIFS($AJ$7:$AJ$1843,$CG$7:$CG$1843,CG779,$AN$7:$AN$1843,"&gt;"&amp;AN779)+SUMIFS($AJ$7:$AJ$1843,$CG$7:$CG$1843,CG779,$AN$7:$AN$1843,AN779,$BX$7:$BX$1843,"&lt;="&amp;BX779),"")</f>
        <v>3727.68177655678</v>
      </c>
      <c r="AP779" s="70" t="n">
        <f aca="false">IF(AO779="",0,MAX(0,MIN(1,(IF(CG779="L1",Parameter!$H$5,IF(CG779="L23",Parameter!$H$6+Parameter!$H$7,Parameter!$H$5+Parameter!$H$6+Parameter!$H$7))-(AO779-AJ779))/AJ779)))</f>
        <v>1</v>
      </c>
      <c r="AQ779" s="62" t="n">
        <f aca="false">IF(LEFT(Cockpit!$I$5,1)="A",H779,IF(Parameter!$E$30="MAX-Bestand",IF(CI779=1,CJ779,IF(LEFT(Cockpit!$I$5,1)="B",AW779,MAX(AW779,H779))),ROUNDUP(AU779,0)))</f>
        <v>13</v>
      </c>
      <c r="AR779" s="62" t="n">
        <f aca="false">IF(CA779=1,0,ROUNDUP(AQ779/BZ779,0))</f>
        <v>1</v>
      </c>
      <c r="AS779" s="64" t="n">
        <f aca="false">IF(CR779&gt;0,CR779*MAX(1,AQ779/X779),IF(CA779=1,IF(AQ779&lt;=0,0,CE779*MAX(1,IF(H779&gt;0,AQ779/H779,1))),IF(R779&gt;0,AR779/R779,0))/MAX(0.1,N(Parameter!$M$21)))</f>
        <v>0.00961538461538462</v>
      </c>
      <c r="AT779" s="62" t="n">
        <f aca="false">AS779*CC779</f>
        <v>1.49038461538462</v>
      </c>
      <c r="AU779" s="63" t="n">
        <f aca="false">IF(LEFT(Cockpit!$I$5,1)="A",H779,IF(CI779=1,(CL779+CJ779)/2,IF(LEFT(Cockpit!$I$5,1)="B",(CL779+AW779)/2,MAX((CL779+AW779)/2,H779))))</f>
        <v>13</v>
      </c>
      <c r="AV779" s="62" t="n">
        <f aca="false">AU779*G779</f>
        <v>114.53</v>
      </c>
      <c r="AW779" s="62" t="n">
        <f aca="false">ROUNDUP(CL779+MAX(CM779,2*(J779/IF(CH779&gt;0,CH779,MAX(0.1,N(Cockpit!$I$6)))-CL779)),0)</f>
        <v>10</v>
      </c>
      <c r="AX779" s="63" t="n">
        <f aca="false">IF(AT779&gt;0,J779/AT779,-1)</f>
        <v>5.36774193548387</v>
      </c>
      <c r="AY779" s="63" t="n">
        <f aca="false">IF(AND(OR(CG779="L1",CG779="L23",CG779="LIFT"),AT779&gt;0),SUMIFS($AT$7:$AT$1843,$CG$7:$CG$1843,CG779,$AX$7:$AX$1843,"&gt;"&amp;AX779)+SUMIFS($AT$7:$AT$1843,$CG$7:$CG$1843,CG779,$AX$7:$AX$1843,AX779,$BX$7:$BX$1843,"&lt;="&amp;BX779),"")</f>
        <v>4381.42261904762</v>
      </c>
      <c r="AZ779" s="70" t="n">
        <f aca="false">IF(AY779="",0,MAX(0,MIN(1,(IF(CG779="L1",Parameter!$H$5,IF(CG779="L23",Parameter!$H$6+Parameter!$H$7,Parameter!$H$5+Parameter!$H$6+Parameter!$H$7))-(AY779-AT779))/AT779)))</f>
        <v>1</v>
      </c>
      <c r="BA779" s="62" t="n">
        <f aca="false">IF(LEFT(Cockpit!$O$5,1)="A",H779,IF(Parameter!$E$30="MAX-Bestand",IF(CI779=1,CJ779,IF(LEFT(Cockpit!$O$5,1)="B",BG779,MAX(BG779,H779))),ROUNDUP(BE779,0)))</f>
        <v>5</v>
      </c>
      <c r="BB779" s="62" t="n">
        <f aca="false">IF(CA779=1,0,ROUNDUP(BA779/BZ779,0))</f>
        <v>1</v>
      </c>
      <c r="BC779" s="64" t="n">
        <f aca="false">IF(CR779&gt;0,CR779*MAX(1,BA779/X779),IF(CA779=1,IF(BA779&lt;=0,0,CE779*MAX(1,IF(H779&gt;0,BA779/H779,1))),IF(R779&gt;0,BB779/R779,0))/MAX(0.1,N(Parameter!$M$21)))</f>
        <v>0.00961538461538462</v>
      </c>
      <c r="BD779" s="62" t="n">
        <f aca="false">BC779*CC779</f>
        <v>1.49038461538462</v>
      </c>
      <c r="BE779" s="63" t="n">
        <f aca="false">IF(LEFT(Cockpit!$O$5,1)="A",H779,IF(CI779=1,(CL779+CJ779)/2,IF(LEFT(Cockpit!$O$5,1)="B",(CL779+BG779)/2,MAX((CL779+BG779)/2,H779))))</f>
        <v>5</v>
      </c>
      <c r="BF779" s="62" t="n">
        <f aca="false">BE779*G779</f>
        <v>44.05</v>
      </c>
      <c r="BG779" s="62" t="n">
        <f aca="false">ROUNDUP(CL779+MAX(CM779,2*(J779/IF(CH779&gt;0,CH779,MAX(0.1,N(Cockpit!$O$6)))-CL779)),0)</f>
        <v>10</v>
      </c>
      <c r="BH779" s="63" t="n">
        <f aca="false">IF(BD779&gt;0,J779/BD779,-1)</f>
        <v>5.36774193548387</v>
      </c>
      <c r="BI779" s="63" t="n">
        <f aca="false">IF(AND(OR(CG779="L1",CG779="L23",CG779="LIFT"),BD779&gt;0),SUMIFS($BD$7:$BD$1843,$CG$7:$CG$1843,CG779,$BH$7:$BH$1843,"&gt;"&amp;BH779)+SUMIFS($BD$7:$BD$1843,$CG$7:$CG$1843,CG779,$BH$7:$BH$1843,BH779,$BX$7:$BX$1843,"&lt;="&amp;BX779),"")</f>
        <v>3694.45421245421</v>
      </c>
      <c r="BJ779" s="70" t="n">
        <f aca="false">IF(BI779="",0,MAX(0,MIN(1,(IF(CG779="L1",Parameter!$H$5,IF(CG779="L23",Parameter!$H$6+Parameter!$H$7,Parameter!$H$5+Parameter!$H$6+Parameter!$H$7))-(BI779-BD779))/BD779)))</f>
        <v>1</v>
      </c>
      <c r="BK779" s="60" t="str">
        <f aca="false">IF(AJ779&lt;=0,"",IF(CG779="Aussen","Aussenlager",IF(CG779="-","Nicht im Lift",IF(AP779&gt;=1,"Lift",IF(AP779&lt;=0,"Aussenlager","teilweise")))))</f>
        <v>Lift</v>
      </c>
      <c r="BL779" s="60" t="str">
        <f aca="false">IF(AT779&lt;=0,"",IF(CG779="Aussen","Aussenlager",IF(CG779="-","Nicht im Lift",IF(AZ779&gt;=1,"Lift",IF(AZ779&lt;=0,"Aussenlager","teilweise")))))</f>
        <v>Lift</v>
      </c>
      <c r="BM779" s="60" t="str">
        <f aca="false">IF(BD779&lt;=0,"",IF(CG779="Aussen","Aussenlager",IF(CG779="-","Nicht im Lift",IF(BJ779&gt;=1,"Lift",IF(BJ779&lt;=0,"Aussenlager","teilweise")))))</f>
        <v>Lift</v>
      </c>
      <c r="BN779" s="60" t="str">
        <f aca="false">IF(A779="","",IF(BW779=1,"Neu; ","")&amp;IF(AND(BW779=0,BR779&lt;0),"negativer Bestand (Export "&amp;BR779&amp;"); ","")&amp;IF(J779&lt;=0,"Kein Verbrauch; ","")&amp;IF(CR779&gt;0,"Lift "&amp;W779&amp;" lt. Liftbericht (Fach "&amp;X779&amp;" Stk); ",IF(CB779=1,"Gebinde geschätzt ("&amp;T779&amp;"); ",IF(CA779=1,"Lose – Tablare geschätzt; ","")))&amp;IF(H779&gt;AW779,"Überbestand "&amp;ROUND(H779-AW779,0)&amp;" Stk / CHF "&amp;ROUND((H779-AW779)*G779,0)&amp;"; ","")&amp;IF(AND(CI779=1,CJ779&lt;CK779),"MAX &lt; MB+LG; ","")&amp;IF(AND(CQ779&gt;0,CP779*10&gt;CQ779),"zu hoch für Tablar; ","")&amp;IF(AND(BW779=0,OR(CI779=1,AB779&lt;&gt;"",U779&lt;&gt;"",V779&lt;&gt;"",AC779&lt;&gt;"")),"manuell übersteuert; ","")&amp;IF(AND(CA779=0,R779=0),"Gebinde unbekannt / Stellmass fehlt; ","")&amp;IF(AND(CA779=0,N(V779)&lt;=0,N(Q779)&lt;=0),"Menge pro Gebinde fehlt (Ist = 1 Gebinde); ","")&amp;BV779)</f>
        <v>Überbestand 3 Stk / CHF 26; </v>
      </c>
      <c r="BO779" s="60"/>
      <c r="BP779" s="60"/>
      <c r="BQ779" s="67"/>
      <c r="BR779" s="62" t="n">
        <v>3</v>
      </c>
      <c r="BS779" s="62" t="n">
        <v>10</v>
      </c>
      <c r="BT779" s="61" t="n">
        <v>-1.66999999999997</v>
      </c>
      <c r="BU779" s="62" t="n">
        <v>8</v>
      </c>
      <c r="BV779" s="60"/>
      <c r="BW779" s="65" t="n">
        <v>0</v>
      </c>
      <c r="BX779" s="65" t="n">
        <v>779</v>
      </c>
      <c r="BY779" s="60" t="str">
        <f aca="false">IF(U779&lt;&gt;"",UPPER(TRIM(U779)),IF(CB779=1,UPPER(VLOOKUP(T779,Parameter!$I$27:$K$29,2,0)),IF(P779="","LOSE",P779)))</f>
        <v>S32</v>
      </c>
      <c r="BZ779" s="62" t="n">
        <f aca="false">IF(BY779="LOSE",1,IF(N(V779)&gt;0,V779,IF(CB779=1,MAX(1,N(VLOOKUP(T779,Parameter!$I$27:$K$29,3,0)),H779,N(N779)),IF(N(Q779)&gt;0,Q779,MAX(1,H779)))))</f>
        <v>23</v>
      </c>
      <c r="CA779" s="65" t="n">
        <f aca="false">IF(BY779="LOSE",1,0)</f>
        <v>0</v>
      </c>
      <c r="CB779" s="65" t="n">
        <f aca="false">IF(AND(U779="",OR(P779="",P779="LOSE"),T779&lt;&gt;"",N(S779)&lt;=0,ISNUMBER(MATCH(T779,Parameter!$I$27:$I$29,0))),1,0)</f>
        <v>0</v>
      </c>
      <c r="CC779" s="65" t="n">
        <f aca="false">IF(CR779&gt;0,INDEX(Parameter!$H$5:$H$7,W779)/INDEX(Parameter!$E$5:$E$7,W779),IF(AND(CA779=0,N(IFERROR(VLOOKUP(BY779,'Gebinde-Kategorie'!$A$5:$N$45,14,0),0))&gt;0),VLOOKUP(BY779,'Gebinde-Kategorie'!$A$5:$N$45,14,0)*10+Parameter!$M$23,Parameter!$M$24))</f>
        <v>155</v>
      </c>
      <c r="CD779" s="60" t="str">
        <f aca="false">IF(AND(Parameter!$B$19="Ja",E779&lt;&gt;"",ISNUMBER(MATCH(E779,Parameter!$I$35:$I$52,0))),VLOOKUP(E779,Parameter!$I$35:$J$52,2,0),IFERROR(VLOOKUP(D779,Parameter!$A$35:$C$64,2,0),"Nein"))</f>
        <v>2+3</v>
      </c>
      <c r="CE779" s="64" t="n">
        <f aca="false">IF(CA779=0,0,IF(N(S779)&gt;0,S779,IFERROR(VLOOKUP(D779,Parameter!$A$35:$C$64,3,0)+0,0)))</f>
        <v>0</v>
      </c>
      <c r="CF779" s="60" t="n">
        <f aca="false">IF(AB779&lt;&gt;"",AB779,AA779)</f>
        <v>3</v>
      </c>
      <c r="CG779" s="60" t="str">
        <f aca="false">IF(OR(CF779=1,CF779=2,CF779=3),IF(Parameter!$E$27="Ja","LIFT",IF(CF779=1,"L1","L23")),IF(CF779="Aussen","Aussen","-"))</f>
        <v>LIFT</v>
      </c>
      <c r="CH779" s="71" t="n">
        <f aca="false">IF(N(AC779)&gt;0,AC779,0)</f>
        <v>0</v>
      </c>
      <c r="CI779" s="65" t="n">
        <f aca="false">IF(ISNUMBER(AF779),1,0)</f>
        <v>0</v>
      </c>
      <c r="CJ779" s="62" t="n">
        <f aca="false">N(AF779)</f>
        <v>0</v>
      </c>
      <c r="CK779" s="62" t="n">
        <f aca="false">N(M779)+N(N779)</f>
        <v>10</v>
      </c>
      <c r="CL779" s="62" t="n">
        <f aca="false">N(M779)</f>
        <v>0</v>
      </c>
      <c r="CM779" s="62" t="n">
        <f aca="false">N(N779)</f>
        <v>10</v>
      </c>
      <c r="CN779" s="62" t="n">
        <f aca="false">ROUNDUP(H779/BZ779,0)</f>
        <v>1</v>
      </c>
      <c r="CO779" s="62" t="n">
        <f aca="false">ROUNDUP(CJ779/BZ779,0)</f>
        <v>0</v>
      </c>
      <c r="CP779" s="65" t="n">
        <f aca="false">IF(CA779=1,0,IFERROR(VLOOKUP(BY779,'Gebinde-Kategorie'!$A$5:$N$45,5,0)+0,0))</f>
        <v>8</v>
      </c>
      <c r="CQ779" s="65" t="n">
        <f aca="false">IFERROR(IF(OR(CF779=1,CF779=2,CF779=3),N(INDEX(Parameter!$I$5:$I$7,CF779)),0),0)</f>
        <v>0</v>
      </c>
      <c r="CR779" s="64" t="n">
        <f aca="false">IF(AND(Parameter!$B$21="Ja",ISNUMBER(W779),N(X779)&gt;0),IFERROR(N(INDEX(Parameter!$L$5:$L$7,W779))*INDEX(Parameter!$E$5:$E$7,W779)*X779/SUMIFS($X$7:$X$1843,$W$7:$W$1843,W779),0),0)</f>
        <v>0</v>
      </c>
      <c r="CS779" s="62" t="n">
        <f aca="false">IF(AND(OR(CG779="L1",CG779="L23",CG779="LIFT"),H779&gt;0),CC779*IF(CR779&gt;0,CR779*MAX(1,H779/X779),IF(CA779=1,CE779,IF(R779&gt;0,CN779/R779,0))/MAX(0.1,N(Parameter!$M$21))),"")</f>
        <v>1.49038461538462</v>
      </c>
      <c r="CT779" s="64" t="n">
        <f aca="false">IF(CS779="","",J779/H779)</f>
        <v>0.615384615384615</v>
      </c>
      <c r="CU779" s="62" t="n">
        <f aca="false">IF(CS779="","",H779*G779)</f>
        <v>114.53</v>
      </c>
      <c r="CV779" s="63" t="n">
        <f aca="false">IF(CS779="","",(CL779+ROUNDUP(CL779+MAX(CM779,2*(J779/MAX(0.1,N(Einkauf!$C$6))-CL779)),0))/2)</f>
        <v>5</v>
      </c>
      <c r="CW779" s="62" t="n">
        <f aca="false">IF(CS779="","",MAX(0,H779-CV779)*G779)</f>
        <v>70.48</v>
      </c>
      <c r="CX779" s="62" t="n">
        <f aca="false">IF(CS779="","",CS779*MAX(0,1-CV779/H779))</f>
        <v>0.91715976331361</v>
      </c>
      <c r="CY779" s="64" t="n">
        <f aca="false">IF(CS779="","",PERCENTRANK($CS$7:$CS$1843,CS779)+PERCENTRANK($CU$7:$CU$1843,CU779)+1-PERCENTRANK($CT$7:$CT$1843,CT779))</f>
        <v>0.797</v>
      </c>
      <c r="CZ779" s="72" t="n">
        <f aca="false">IF(CS779="","",CHOOSE(MATCH(Einkauf!$C$5,Parameter!$G$23:$G$27,0),CY779,CS779,CU779,-CT779,CW779)+ROW()/1000000000)</f>
        <v>0.797000779</v>
      </c>
    </row>
    <row r="780" customFormat="false" ht="15" hidden="false" customHeight="false" outlineLevel="0" collapsed="false">
      <c r="A780" s="60" t="s">
        <v>1566</v>
      </c>
      <c r="B780" s="60" t="s">
        <v>1567</v>
      </c>
      <c r="C780" s="60" t="s">
        <v>209</v>
      </c>
      <c r="D780" s="60" t="s">
        <v>226</v>
      </c>
      <c r="E780" s="60" t="s">
        <v>227</v>
      </c>
      <c r="F780" s="60" t="s">
        <v>260</v>
      </c>
      <c r="G780" s="61" t="n">
        <v>0.48</v>
      </c>
      <c r="H780" s="62" t="n">
        <f aca="false">MAX(0,IF(AND(Parameter!$B$21="Ja",ISNUMBER(Y780)),Y780,IF(Parameter!$B$20="Jahresanfang 2025 + Export",BS780+BR780,BR780)))</f>
        <v>54</v>
      </c>
      <c r="I780" s="62" t="n">
        <f aca="false">H780*G780</f>
        <v>25.92</v>
      </c>
      <c r="J780" s="62" t="n">
        <f aca="false">BU780*Parameter!$B$18</f>
        <v>0</v>
      </c>
      <c r="K780" s="63" t="n">
        <v>56</v>
      </c>
      <c r="L780" s="64" t="n">
        <v>0</v>
      </c>
      <c r="M780" s="62" t="n">
        <v>0</v>
      </c>
      <c r="N780" s="62" t="n">
        <v>1</v>
      </c>
      <c r="O780" s="65" t="n">
        <v>14</v>
      </c>
      <c r="P780" s="60" t="s">
        <v>344</v>
      </c>
      <c r="Q780" s="62" t="n">
        <v>224</v>
      </c>
      <c r="R780" s="65" t="n">
        <f aca="false">IF(CA780=1,0,IFERROR(VLOOKUP(BY780,'Gebinde-Kategorie'!$A$5:$N$45,13,0)+0,0))</f>
        <v>26</v>
      </c>
      <c r="S780" s="66"/>
      <c r="T780" s="67"/>
      <c r="U780" s="67"/>
      <c r="V780" s="67"/>
      <c r="W780" s="60"/>
      <c r="X780" s="62"/>
      <c r="Y780" s="62"/>
      <c r="Z780" s="60" t="n">
        <v>3</v>
      </c>
      <c r="AA780" s="60" t="n">
        <f aca="false">IF(A780="","",IF(AND(Parameter!$B$21="Ja",ISNUMBER(W780)),W780,IF(AND(Parameter!$E$27="Ja",ISNUMBER(Z780),CD780&lt;&gt;"Nein"),Z780,IF(CD780="2+3",IF(ISNUMBER(SEARCH("grosser Artikel",BV780)),2,IFERROR(VLOOKUP(BY780,Parameter!$F$35:$G$64,2,0),2)),IF(OR(CD780="Nein",CD780=""),"-",CD780)))))</f>
        <v>3</v>
      </c>
      <c r="AB780" s="67"/>
      <c r="AC780" s="68"/>
      <c r="AD780" s="62" t="n">
        <f aca="false">AW780</f>
        <v>1</v>
      </c>
      <c r="AE780" s="62" t="n">
        <f aca="false">MAX(AW780,H780)</f>
        <v>54</v>
      </c>
      <c r="AF780" s="69"/>
      <c r="AG780" s="62" t="n">
        <f aca="false">IF(LEFT(Cockpit!$C$5,1)="A",H780,IF(Parameter!$E$30="MAX-Bestand",IF(CI780=1,CJ780,IF(LEFT(Cockpit!$C$5,1)="B",AM780,MAX(AM780,H780))),ROUNDUP(AK780,0)))</f>
        <v>54</v>
      </c>
      <c r="AH780" s="62" t="n">
        <f aca="false">IF(CA780=1,0,ROUNDUP(AG780/BZ780,0))</f>
        <v>1</v>
      </c>
      <c r="AI780" s="64" t="n">
        <f aca="false">IF(CR780&gt;0,CR780*MAX(1,AG780/X780),IF(CA780=1,IF(AG780&lt;=0,0,CE780*MAX(1,IF(H780&gt;0,AG780/H780,1))),IF(R780&gt;0,AH780/R780,0))/MAX(0.1,N(Parameter!$M$21)))</f>
        <v>0.0384615384615385</v>
      </c>
      <c r="AJ780" s="62" t="n">
        <f aca="false">AI780*CC780</f>
        <v>5.96153846153846</v>
      </c>
      <c r="AK780" s="63" t="n">
        <f aca="false">IF(LEFT(Cockpit!$C$5,1)="A",H780,IF(CI780=1,(CL780+CJ780)/2,IF(LEFT(Cockpit!$C$5,1)="B",(CL780+AM780)/2,MAX((CL780+AM780)/2,H780))))</f>
        <v>54</v>
      </c>
      <c r="AL780" s="62" t="n">
        <f aca="false">AK780*G780</f>
        <v>25.92</v>
      </c>
      <c r="AM780" s="62" t="n">
        <f aca="false">ROUNDUP(CL780+MAX(CM780,2*(J780/IF(CH780&gt;0,CH780,MAX(0.1,N(Cockpit!$C$6)))-CL780)),0)</f>
        <v>1</v>
      </c>
      <c r="AN780" s="63" t="n">
        <f aca="false">IF(AJ780&gt;0,J780/AJ780,-1)</f>
        <v>0</v>
      </c>
      <c r="AO780" s="63" t="n">
        <f aca="false">IF(AND(OR(CG780="L1",CG780="L23",CG780="LIFT"),AJ780&gt;0),SUMIFS($AJ$7:$AJ$1843,$CG$7:$CG$1843,CG780,$AN$7:$AN$1843,"&gt;"&amp;AN780)+SUMIFS($AJ$7:$AJ$1843,$CG$7:$CG$1843,CG780,$AN$7:$AN$1843,AN780,$BX$7:$BX$1843,"&lt;="&amp;BX780),"")</f>
        <v>28757.1965967178</v>
      </c>
      <c r="AP780" s="70" t="n">
        <f aca="false">IF(AO780="",0,MAX(0,MIN(1,(IF(CG780="L1",Parameter!$H$5,IF(CG780="L23",Parameter!$H$6+Parameter!$H$7,Parameter!$H$5+Parameter!$H$6+Parameter!$H$7))-(AO780-AJ780))/AJ780)))</f>
        <v>1</v>
      </c>
      <c r="AQ780" s="62" t="n">
        <f aca="false">IF(LEFT(Cockpit!$I$5,1)="A",H780,IF(Parameter!$E$30="MAX-Bestand",IF(CI780=1,CJ780,IF(LEFT(Cockpit!$I$5,1)="B",AW780,MAX(AW780,H780))),ROUNDUP(AU780,0)))</f>
        <v>54</v>
      </c>
      <c r="AR780" s="62" t="n">
        <f aca="false">IF(CA780=1,0,ROUNDUP(AQ780/BZ780,0))</f>
        <v>1</v>
      </c>
      <c r="AS780" s="64" t="n">
        <f aca="false">IF(CR780&gt;0,CR780*MAX(1,AQ780/X780),IF(CA780=1,IF(AQ780&lt;=0,0,CE780*MAX(1,IF(H780&gt;0,AQ780/H780,1))),IF(R780&gt;0,AR780/R780,0))/MAX(0.1,N(Parameter!$M$21)))</f>
        <v>0.0384615384615385</v>
      </c>
      <c r="AT780" s="62" t="n">
        <f aca="false">AS780*CC780</f>
        <v>5.96153846153846</v>
      </c>
      <c r="AU780" s="63" t="n">
        <f aca="false">IF(LEFT(Cockpit!$I$5,1)="A",H780,IF(CI780=1,(CL780+CJ780)/2,IF(LEFT(Cockpit!$I$5,1)="B",(CL780+AW780)/2,MAX((CL780+AW780)/2,H780))))</f>
        <v>54</v>
      </c>
      <c r="AV780" s="62" t="n">
        <f aca="false">AU780*G780</f>
        <v>25.92</v>
      </c>
      <c r="AW780" s="62" t="n">
        <f aca="false">ROUNDUP(CL780+MAX(CM780,2*(J780/IF(CH780&gt;0,CH780,MAX(0.1,N(Cockpit!$I$6)))-CL780)),0)</f>
        <v>1</v>
      </c>
      <c r="AX780" s="63" t="n">
        <f aca="false">IF(AT780&gt;0,J780/AT780,-1)</f>
        <v>0</v>
      </c>
      <c r="AY780" s="63" t="n">
        <f aca="false">IF(AND(OR(CG780="L1",CG780="L23",CG780="LIFT"),AT780&gt;0),SUMIFS($AT$7:$AT$1843,$CG$7:$CG$1843,CG780,$AX$7:$AX$1843,"&gt;"&amp;AX780)+SUMIFS($AT$7:$AT$1843,$CG$7:$CG$1843,CG780,$AX$7:$AX$1843,AX780,$BX$7:$BX$1843,"&lt;="&amp;BX780),"")</f>
        <v>34361.9798534799</v>
      </c>
      <c r="AZ780" s="70" t="n">
        <f aca="false">IF(AY780="",0,MAX(0,MIN(1,(IF(CG780="L1",Parameter!$H$5,IF(CG780="L23",Parameter!$H$6+Parameter!$H$7,Parameter!$H$5+Parameter!$H$6+Parameter!$H$7))-(AY780-AT780))/AT780)))</f>
        <v>1</v>
      </c>
      <c r="BA780" s="62" t="n">
        <f aca="false">IF(LEFT(Cockpit!$O$5,1)="A",H780,IF(Parameter!$E$30="MAX-Bestand",IF(CI780=1,CJ780,IF(LEFT(Cockpit!$O$5,1)="B",BG780,MAX(BG780,H780))),ROUNDUP(BE780,0)))</f>
        <v>1</v>
      </c>
      <c r="BB780" s="62" t="n">
        <f aca="false">IF(CA780=1,0,ROUNDUP(BA780/BZ780,0))</f>
        <v>1</v>
      </c>
      <c r="BC780" s="64" t="n">
        <f aca="false">IF(CR780&gt;0,CR780*MAX(1,BA780/X780),IF(CA780=1,IF(BA780&lt;=0,0,CE780*MAX(1,IF(H780&gt;0,BA780/H780,1))),IF(R780&gt;0,BB780/R780,0))/MAX(0.1,N(Parameter!$M$21)))</f>
        <v>0.0384615384615385</v>
      </c>
      <c r="BD780" s="62" t="n">
        <f aca="false">BC780*CC780</f>
        <v>5.96153846153846</v>
      </c>
      <c r="BE780" s="63" t="n">
        <f aca="false">IF(LEFT(Cockpit!$O$5,1)="A",H780,IF(CI780=1,(CL780+CJ780)/2,IF(LEFT(Cockpit!$O$5,1)="B",(CL780+BG780)/2,MAX((CL780+BG780)/2,H780))))</f>
        <v>0.5</v>
      </c>
      <c r="BF780" s="62" t="n">
        <f aca="false">BE780*G780</f>
        <v>0.24</v>
      </c>
      <c r="BG780" s="62" t="n">
        <f aca="false">ROUNDUP(CL780+MAX(CM780,2*(J780/IF(CH780&gt;0,CH780,MAX(0.1,N(Cockpit!$O$6)))-CL780)),0)</f>
        <v>1</v>
      </c>
      <c r="BH780" s="63" t="n">
        <f aca="false">IF(BD780&gt;0,J780/BD780,-1)</f>
        <v>0</v>
      </c>
      <c r="BI780" s="63" t="n">
        <f aca="false">IF(AND(OR(CG780="L1",CG780="L23",CG780="LIFT"),BD780&gt;0),SUMIFS($BD$7:$BD$1843,$CG$7:$CG$1843,CG780,$BH$7:$BH$1843,"&gt;"&amp;BH780)+SUMIFS($BD$7:$BD$1843,$CG$7:$CG$1843,CG780,$BH$7:$BH$1843,BH780,$BX$7:$BX$1843,"&lt;="&amp;BX780),"")</f>
        <v>28405.8497004408</v>
      </c>
      <c r="BJ780" s="70" t="n">
        <f aca="false">IF(BI780="",0,MAX(0,MIN(1,(IF(CG780="L1",Parameter!$H$5,IF(CG780="L23",Parameter!$H$6+Parameter!$H$7,Parameter!$H$5+Parameter!$H$6+Parameter!$H$7))-(BI780-BD780))/BD780)))</f>
        <v>1</v>
      </c>
      <c r="BK780" s="60" t="str">
        <f aca="false">IF(AJ780&lt;=0,"",IF(CG780="Aussen","Aussenlager",IF(CG780="-","Nicht im Lift",IF(AP780&gt;=1,"Lift",IF(AP780&lt;=0,"Aussenlager","teilweise")))))</f>
        <v>Lift</v>
      </c>
      <c r="BL780" s="60" t="str">
        <f aca="false">IF(AT780&lt;=0,"",IF(CG780="Aussen","Aussenlager",IF(CG780="-","Nicht im Lift",IF(AZ780&gt;=1,"Lift",IF(AZ780&lt;=0,"Aussenlager","teilweise")))))</f>
        <v>Lift</v>
      </c>
      <c r="BM780" s="60" t="str">
        <f aca="false">IF(BD780&lt;=0,"",IF(CG780="Aussen","Aussenlager",IF(CG780="-","Nicht im Lift",IF(BJ780&gt;=1,"Lift",IF(BJ780&lt;=0,"Aussenlager","teilweise")))))</f>
        <v>Lift</v>
      </c>
      <c r="BN780" s="60" t="str">
        <f aca="false">IF(A780="","",IF(BW780=1,"Neu; ","")&amp;IF(AND(BW780=0,BR780&lt;0),"negativer Bestand (Export "&amp;BR780&amp;"); ","")&amp;IF(J780&lt;=0,"Kein Verbrauch; ","")&amp;IF(CR780&gt;0,"Lift "&amp;W780&amp;" lt. Liftbericht (Fach "&amp;X780&amp;" Stk); ",IF(CB780=1,"Gebinde geschätzt ("&amp;T780&amp;"); ",IF(CA780=1,"Lose – Tablare geschätzt; ","")))&amp;IF(H780&gt;AW780,"Überbestand "&amp;ROUND(H780-AW780,0)&amp;" Stk / CHF "&amp;ROUND((H780-AW780)*G780,0)&amp;"; ","")&amp;IF(AND(CI780=1,CJ780&lt;CK780),"MAX &lt; MB+LG; ","")&amp;IF(AND(CQ780&gt;0,CP780*10&gt;CQ780),"zu hoch für Tablar; ","")&amp;IF(AND(BW780=0,OR(CI780=1,AB780&lt;&gt;"",U780&lt;&gt;"",V780&lt;&gt;"",AC780&lt;&gt;"")),"manuell übersteuert; ","")&amp;IF(AND(CA780=0,R780=0),"Gebinde unbekannt / Stellmass fehlt; ","")&amp;IF(AND(CA780=0,N(V780)&lt;=0,N(Q780)&lt;=0),"Menge pro Gebinde fehlt (Ist = 1 Gebinde); ","")&amp;BV780)</f>
        <v>negativer Bestand (Export -4); Kein Verbrauch; Überbestand 53 Stk / CHF 25; </v>
      </c>
      <c r="BO780" s="60"/>
      <c r="BP780" s="60"/>
      <c r="BQ780" s="67"/>
      <c r="BR780" s="62" t="n">
        <v>-4</v>
      </c>
      <c r="BS780" s="62" t="n">
        <v>58</v>
      </c>
      <c r="BT780" s="61" t="n">
        <v>-1.92</v>
      </c>
      <c r="BU780" s="62" t="n">
        <v>0</v>
      </c>
      <c r="BV780" s="60"/>
      <c r="BW780" s="65" t="n">
        <v>0</v>
      </c>
      <c r="BX780" s="65" t="n">
        <v>780</v>
      </c>
      <c r="BY780" s="60" t="str">
        <f aca="false">IF(U780&lt;&gt;"",UPPER(TRIM(U780)),IF(CB780=1,UPPER(VLOOKUP(T780,Parameter!$I$27:$K$29,2,0)),IF(P780="","LOSE",P780)))</f>
        <v>S51</v>
      </c>
      <c r="BZ780" s="62" t="n">
        <f aca="false">IF(BY780="LOSE",1,IF(N(V780)&gt;0,V780,IF(CB780=1,MAX(1,N(VLOOKUP(T780,Parameter!$I$27:$K$29,3,0)),H780,N(N780)),IF(N(Q780)&gt;0,Q780,MAX(1,H780)))))</f>
        <v>224</v>
      </c>
      <c r="CA780" s="65" t="n">
        <f aca="false">IF(BY780="LOSE",1,0)</f>
        <v>0</v>
      </c>
      <c r="CB780" s="65" t="n">
        <f aca="false">IF(AND(U780="",OR(P780="",P780="LOSE"),T780&lt;&gt;"",N(S780)&lt;=0,ISNUMBER(MATCH(T780,Parameter!$I$27:$I$29,0))),1,0)</f>
        <v>0</v>
      </c>
      <c r="CC780" s="65" t="n">
        <f aca="false">IF(CR780&gt;0,INDEX(Parameter!$H$5:$H$7,W780)/INDEX(Parameter!$E$5:$E$7,W780),IF(AND(CA780=0,N(IFERROR(VLOOKUP(BY780,'Gebinde-Kategorie'!$A$5:$N$45,14,0),0))&gt;0),VLOOKUP(BY780,'Gebinde-Kategorie'!$A$5:$N$45,14,0)*10+Parameter!$M$23,Parameter!$M$24))</f>
        <v>155</v>
      </c>
      <c r="CD780" s="60" t="str">
        <f aca="false">IF(AND(Parameter!$B$19="Ja",E780&lt;&gt;"",ISNUMBER(MATCH(E780,Parameter!$I$35:$I$52,0))),VLOOKUP(E780,Parameter!$I$35:$J$52,2,0),IFERROR(VLOOKUP(D780,Parameter!$A$35:$C$64,2,0),"Nein"))</f>
        <v>2+3</v>
      </c>
      <c r="CE780" s="64" t="n">
        <f aca="false">IF(CA780=0,0,IF(N(S780)&gt;0,S780,IFERROR(VLOOKUP(D780,Parameter!$A$35:$C$64,3,0)+0,0)))</f>
        <v>0</v>
      </c>
      <c r="CF780" s="60" t="n">
        <f aca="false">IF(AB780&lt;&gt;"",AB780,AA780)</f>
        <v>3</v>
      </c>
      <c r="CG780" s="60" t="str">
        <f aca="false">IF(OR(CF780=1,CF780=2,CF780=3),IF(Parameter!$E$27="Ja","LIFT",IF(CF780=1,"L1","L23")),IF(CF780="Aussen","Aussen","-"))</f>
        <v>LIFT</v>
      </c>
      <c r="CH780" s="71" t="n">
        <f aca="false">IF(N(AC780)&gt;0,AC780,0)</f>
        <v>0</v>
      </c>
      <c r="CI780" s="65" t="n">
        <f aca="false">IF(ISNUMBER(AF780),1,0)</f>
        <v>0</v>
      </c>
      <c r="CJ780" s="62" t="n">
        <f aca="false">N(AF780)</f>
        <v>0</v>
      </c>
      <c r="CK780" s="62" t="n">
        <f aca="false">N(M780)+N(N780)</f>
        <v>1</v>
      </c>
      <c r="CL780" s="62" t="n">
        <f aca="false">N(M780)</f>
        <v>0</v>
      </c>
      <c r="CM780" s="62" t="n">
        <f aca="false">N(N780)</f>
        <v>1</v>
      </c>
      <c r="CN780" s="62" t="n">
        <f aca="false">ROUNDUP(H780/BZ780,0)</f>
        <v>1</v>
      </c>
      <c r="CO780" s="62" t="n">
        <f aca="false">ROUNDUP(CJ780/BZ780,0)</f>
        <v>0</v>
      </c>
      <c r="CP780" s="65" t="n">
        <f aca="false">IF(CA780=1,0,IFERROR(VLOOKUP(BY780,'Gebinde-Kategorie'!$A$5:$N$45,5,0)+0,0))</f>
        <v>11</v>
      </c>
      <c r="CQ780" s="65" t="n">
        <f aca="false">IFERROR(IF(OR(CF780=1,CF780=2,CF780=3),N(INDEX(Parameter!$I$5:$I$7,CF780)),0),0)</f>
        <v>0</v>
      </c>
      <c r="CR780" s="64" t="n">
        <f aca="false">IF(AND(Parameter!$B$21="Ja",ISNUMBER(W780),N(X780)&gt;0),IFERROR(N(INDEX(Parameter!$L$5:$L$7,W780))*INDEX(Parameter!$E$5:$E$7,W780)*X780/SUMIFS($X$7:$X$1843,$W$7:$W$1843,W780),0),0)</f>
        <v>0</v>
      </c>
      <c r="CS780" s="62" t="n">
        <f aca="false">IF(AND(OR(CG780="L1",CG780="L23",CG780="LIFT"),H780&gt;0),CC780*IF(CR780&gt;0,CR780*MAX(1,H780/X780),IF(CA780=1,CE780,IF(R780&gt;0,CN780/R780,0))/MAX(0.1,N(Parameter!$M$21))),"")</f>
        <v>5.96153846153846</v>
      </c>
      <c r="CT780" s="64" t="n">
        <f aca="false">IF(CS780="","",J780/H780)</f>
        <v>0</v>
      </c>
      <c r="CU780" s="62" t="n">
        <f aca="false">IF(CS780="","",H780*G780)</f>
        <v>25.92</v>
      </c>
      <c r="CV780" s="63" t="n">
        <f aca="false">IF(CS780="","",(CL780+ROUNDUP(CL780+MAX(CM780,2*(J780/MAX(0.1,N(Einkauf!$C$6))-CL780)),0))/2)</f>
        <v>0.5</v>
      </c>
      <c r="CW780" s="62" t="n">
        <f aca="false">IF(CS780="","",MAX(0,H780-CV780)*G780)</f>
        <v>25.68</v>
      </c>
      <c r="CX780" s="62" t="n">
        <f aca="false">IF(CS780="","",CS780*MAX(0,1-CV780/H780))</f>
        <v>5.90633903133903</v>
      </c>
      <c r="CY780" s="64" t="n">
        <f aca="false">IF(CS780="","",PERCENTRANK($CS$7:$CS$1843,CS780)+PERCENTRANK($CU$7:$CU$1843,CU780)+1-PERCENTRANK($CT$7:$CT$1843,CT780))</f>
        <v>1.4552</v>
      </c>
      <c r="CZ780" s="72" t="n">
        <f aca="false">IF(CS780="","",CHOOSE(MATCH(Einkauf!$C$5,Parameter!$G$23:$G$27,0),CY780,CS780,CU780,-CT780,CW780)+ROW()/1000000000)</f>
        <v>1.45520078</v>
      </c>
    </row>
    <row r="781" customFormat="false" ht="15" hidden="false" customHeight="false" outlineLevel="0" collapsed="false">
      <c r="A781" s="60" t="s">
        <v>1568</v>
      </c>
      <c r="B781" s="60" t="s">
        <v>1569</v>
      </c>
      <c r="C781" s="60" t="s">
        <v>206</v>
      </c>
      <c r="D781" s="60" t="s">
        <v>395</v>
      </c>
      <c r="E781" s="60"/>
      <c r="F781" s="60" t="s">
        <v>260</v>
      </c>
      <c r="G781" s="61" t="n">
        <v>1.93</v>
      </c>
      <c r="H781" s="62" t="n">
        <f aca="false">MAX(0,IF(AND(Parameter!$B$21="Ja",ISNUMBER(Y781)),Y781,IF(Parameter!$B$20="Jahresanfang 2025 + Export",BS781+BR781,BR781)))</f>
        <v>0</v>
      </c>
      <c r="I781" s="62" t="n">
        <f aca="false">H781*G781</f>
        <v>0</v>
      </c>
      <c r="J781" s="62" t="n">
        <f aca="false">BU781*Parameter!$B$18</f>
        <v>1</v>
      </c>
      <c r="K781" s="63" t="n">
        <v>0.5</v>
      </c>
      <c r="L781" s="64" t="n">
        <v>2</v>
      </c>
      <c r="M781" s="62" t="n">
        <v>0</v>
      </c>
      <c r="N781" s="62" t="n">
        <v>1</v>
      </c>
      <c r="O781" s="65" t="n">
        <v>0</v>
      </c>
      <c r="P781" s="60" t="s">
        <v>210</v>
      </c>
      <c r="Q781" s="62"/>
      <c r="R781" s="65" t="n">
        <f aca="false">IF(CA781=1,0,IFERROR(VLOOKUP(BY781,'Gebinde-Kategorie'!$A$5:$N$45,13,0)+0,0))</f>
        <v>0</v>
      </c>
      <c r="S781" s="66"/>
      <c r="T781" s="67"/>
      <c r="U781" s="67"/>
      <c r="V781" s="67"/>
      <c r="W781" s="60"/>
      <c r="X781" s="62"/>
      <c r="Y781" s="62"/>
      <c r="Z781" s="60"/>
      <c r="AA781" s="60" t="str">
        <f aca="false">IF(A781="","",IF(AND(Parameter!$B$21="Ja",ISNUMBER(W781)),W781,IF(AND(Parameter!$E$27="Ja",ISNUMBER(Z781),CD781&lt;&gt;"Nein"),Z781,IF(CD781="2+3",IF(ISNUMBER(SEARCH("grosser Artikel",BV781)),2,IFERROR(VLOOKUP(BY781,Parameter!$F$35:$G$64,2,0),2)),IF(OR(CD781="Nein",CD781=""),"-",CD781)))))</f>
        <v>-</v>
      </c>
      <c r="AB781" s="67"/>
      <c r="AC781" s="68"/>
      <c r="AD781" s="62" t="n">
        <f aca="false">AW781</f>
        <v>1</v>
      </c>
      <c r="AE781" s="62" t="n">
        <f aca="false">MAX(AW781,H781)</f>
        <v>1</v>
      </c>
      <c r="AF781" s="69"/>
      <c r="AG781" s="62" t="n">
        <f aca="false">IF(LEFT(Cockpit!$C$5,1)="A",H781,IF(Parameter!$E$30="MAX-Bestand",IF(CI781=1,CJ781,IF(LEFT(Cockpit!$C$5,1)="B",AM781,MAX(AM781,H781))),ROUNDUP(AK781,0)))</f>
        <v>0</v>
      </c>
      <c r="AH781" s="62" t="n">
        <f aca="false">IF(CA781=1,0,ROUNDUP(AG781/BZ781,0))</f>
        <v>0</v>
      </c>
      <c r="AI781" s="64" t="n">
        <f aca="false">IF(CR781&gt;0,CR781*MAX(1,AG781/X781),IF(CA781=1,IF(AG781&lt;=0,0,CE781*MAX(1,IF(H781&gt;0,AG781/H781,1))),IF(R781&gt;0,AH781/R781,0))/MAX(0.1,N(Parameter!$M$21)))</f>
        <v>0</v>
      </c>
      <c r="AJ781" s="62" t="n">
        <f aca="false">AI781*CC781</f>
        <v>0</v>
      </c>
      <c r="AK781" s="63" t="n">
        <f aca="false">IF(LEFT(Cockpit!$C$5,1)="A",H781,IF(CI781=1,(CL781+CJ781)/2,IF(LEFT(Cockpit!$C$5,1)="B",(CL781+AM781)/2,MAX((CL781+AM781)/2,H781))))</f>
        <v>0</v>
      </c>
      <c r="AL781" s="62" t="n">
        <f aca="false">AK781*G781</f>
        <v>0</v>
      </c>
      <c r="AM781" s="62" t="n">
        <f aca="false">ROUNDUP(CL781+MAX(CM781,2*(J781/IF(CH781&gt;0,CH781,MAX(0.1,N(Cockpit!$C$6)))-CL781)),0)</f>
        <v>1</v>
      </c>
      <c r="AN781" s="63" t="n">
        <f aca="false">IF(AJ781&gt;0,J781/AJ781,-1)</f>
        <v>-1</v>
      </c>
      <c r="AO781" s="63" t="str">
        <f aca="false">IF(AND(OR(CG781="L1",CG781="L23",CG781="LIFT"),AJ781&gt;0),SUMIFS($AJ$7:$AJ$1843,$CG$7:$CG$1843,CG781,$AN$7:$AN$1843,"&gt;"&amp;AN781)+SUMIFS($AJ$7:$AJ$1843,$CG$7:$CG$1843,CG781,$AN$7:$AN$1843,AN781,$BX$7:$BX$1843,"&lt;="&amp;BX781),"")</f>
        <v/>
      </c>
      <c r="AP781" s="70" t="n">
        <f aca="false">IF(AO781="",0,MAX(0,MIN(1,(IF(CG781="L1",Parameter!$H$5,IF(CG781="L23",Parameter!$H$6+Parameter!$H$7,Parameter!$H$5+Parameter!$H$6+Parameter!$H$7))-(AO781-AJ781))/AJ781)))</f>
        <v>0</v>
      </c>
      <c r="AQ781" s="62" t="n">
        <f aca="false">IF(LEFT(Cockpit!$I$5,1)="A",H781,IF(Parameter!$E$30="MAX-Bestand",IF(CI781=1,CJ781,IF(LEFT(Cockpit!$I$5,1)="B",AW781,MAX(AW781,H781))),ROUNDUP(AU781,0)))</f>
        <v>1</v>
      </c>
      <c r="AR781" s="62" t="n">
        <f aca="false">IF(CA781=1,0,ROUNDUP(AQ781/BZ781,0))</f>
        <v>0</v>
      </c>
      <c r="AS781" s="64" t="n">
        <f aca="false">IF(CR781&gt;0,CR781*MAX(1,AQ781/X781),IF(CA781=1,IF(AQ781&lt;=0,0,CE781*MAX(1,IF(H781&gt;0,AQ781/H781,1))),IF(R781&gt;0,AR781/R781,0))/MAX(0.1,N(Parameter!$M$21)))</f>
        <v>0.15</v>
      </c>
      <c r="AT781" s="62" t="n">
        <f aca="false">AS781*CC781</f>
        <v>35.25</v>
      </c>
      <c r="AU781" s="63" t="n">
        <f aca="false">IF(LEFT(Cockpit!$I$5,1)="A",H781,IF(CI781=1,(CL781+CJ781)/2,IF(LEFT(Cockpit!$I$5,1)="B",(CL781+AW781)/2,MAX((CL781+AW781)/2,H781))))</f>
        <v>0.5</v>
      </c>
      <c r="AV781" s="62" t="n">
        <f aca="false">AU781*G781</f>
        <v>0.965</v>
      </c>
      <c r="AW781" s="62" t="n">
        <f aca="false">ROUNDUP(CL781+MAX(CM781,2*(J781/IF(CH781&gt;0,CH781,MAX(0.1,N(Cockpit!$I$6)))-CL781)),0)</f>
        <v>1</v>
      </c>
      <c r="AX781" s="63" t="n">
        <f aca="false">IF(AT781&gt;0,J781/AT781,-1)</f>
        <v>0.0283687943262411</v>
      </c>
      <c r="AY781" s="63" t="str">
        <f aca="false">IF(AND(OR(CG781="L1",CG781="L23",CG781="LIFT"),AT781&gt;0),SUMIFS($AT$7:$AT$1843,$CG$7:$CG$1843,CG781,$AX$7:$AX$1843,"&gt;"&amp;AX781)+SUMIFS($AT$7:$AT$1843,$CG$7:$CG$1843,CG781,$AX$7:$AX$1843,AX781,$BX$7:$BX$1843,"&lt;="&amp;BX781),"")</f>
        <v/>
      </c>
      <c r="AZ781" s="70" t="n">
        <f aca="false">IF(AY781="",0,MAX(0,MIN(1,(IF(CG781="L1",Parameter!$H$5,IF(CG781="L23",Parameter!$H$6+Parameter!$H$7,Parameter!$H$5+Parameter!$H$6+Parameter!$H$7))-(AY781-AT781))/AT781)))</f>
        <v>0</v>
      </c>
      <c r="BA781" s="62" t="n">
        <f aca="false">IF(LEFT(Cockpit!$O$5,1)="A",H781,IF(Parameter!$E$30="MAX-Bestand",IF(CI781=1,CJ781,IF(LEFT(Cockpit!$O$5,1)="B",BG781,MAX(BG781,H781))),ROUNDUP(BE781,0)))</f>
        <v>1</v>
      </c>
      <c r="BB781" s="62" t="n">
        <f aca="false">IF(CA781=1,0,ROUNDUP(BA781/BZ781,0))</f>
        <v>0</v>
      </c>
      <c r="BC781" s="64" t="n">
        <f aca="false">IF(CR781&gt;0,CR781*MAX(1,BA781/X781),IF(CA781=1,IF(BA781&lt;=0,0,CE781*MAX(1,IF(H781&gt;0,BA781/H781,1))),IF(R781&gt;0,BB781/R781,0))/MAX(0.1,N(Parameter!$M$21)))</f>
        <v>0.15</v>
      </c>
      <c r="BD781" s="62" t="n">
        <f aca="false">BC781*CC781</f>
        <v>35.25</v>
      </c>
      <c r="BE781" s="63" t="n">
        <f aca="false">IF(LEFT(Cockpit!$O$5,1)="A",H781,IF(CI781=1,(CL781+CJ781)/2,IF(LEFT(Cockpit!$O$5,1)="B",(CL781+BG781)/2,MAX((CL781+BG781)/2,H781))))</f>
        <v>0.5</v>
      </c>
      <c r="BF781" s="62" t="n">
        <f aca="false">BE781*G781</f>
        <v>0.965</v>
      </c>
      <c r="BG781" s="62" t="n">
        <f aca="false">ROUNDUP(CL781+MAX(CM781,2*(J781/IF(CH781&gt;0,CH781,MAX(0.1,N(Cockpit!$O$6)))-CL781)),0)</f>
        <v>1</v>
      </c>
      <c r="BH781" s="63" t="n">
        <f aca="false">IF(BD781&gt;0,J781/BD781,-1)</f>
        <v>0.0283687943262411</v>
      </c>
      <c r="BI781" s="63" t="str">
        <f aca="false">IF(AND(OR(CG781="L1",CG781="L23",CG781="LIFT"),BD781&gt;0),SUMIFS($BD$7:$BD$1843,$CG$7:$CG$1843,CG781,$BH$7:$BH$1843,"&gt;"&amp;BH781)+SUMIFS($BD$7:$BD$1843,$CG$7:$CG$1843,CG781,$BH$7:$BH$1843,BH781,$BX$7:$BX$1843,"&lt;="&amp;BX781),"")</f>
        <v/>
      </c>
      <c r="BJ781" s="70" t="n">
        <f aca="false">IF(BI781="",0,MAX(0,MIN(1,(IF(CG781="L1",Parameter!$H$5,IF(CG781="L23",Parameter!$H$6+Parameter!$H$7,Parameter!$H$5+Parameter!$H$6+Parameter!$H$7))-(BI781-BD781))/BD781)))</f>
        <v>0</v>
      </c>
      <c r="BK781" s="60" t="str">
        <f aca="false">IF(AJ781&lt;=0,"",IF(CG781="Aussen","Aussenlager",IF(CG781="-","Nicht im Lift",IF(AP781&gt;=1,"Lift",IF(AP781&lt;=0,"Aussenlager","teilweise")))))</f>
        <v/>
      </c>
      <c r="BL781" s="60" t="str">
        <f aca="false">IF(AT781&lt;=0,"",IF(CG781="Aussen","Aussenlager",IF(CG781="-","Nicht im Lift",IF(AZ781&gt;=1,"Lift",IF(AZ781&lt;=0,"Aussenlager","teilweise")))))</f>
        <v>Nicht im Lift</v>
      </c>
      <c r="BM781" s="60" t="str">
        <f aca="false">IF(BD781&lt;=0,"",IF(CG781="Aussen","Aussenlager",IF(CG781="-","Nicht im Lift",IF(BJ781&gt;=1,"Lift",IF(BJ781&lt;=0,"Aussenlager","teilweise")))))</f>
        <v>Nicht im Lift</v>
      </c>
      <c r="BN781" s="60" t="str">
        <f aca="false">IF(A781="","",IF(BW781=1,"Neu; ","")&amp;IF(AND(BW781=0,BR781&lt;0),"negativer Bestand (Export "&amp;BR781&amp;"); ","")&amp;IF(J781&lt;=0,"Kein Verbrauch; ","")&amp;IF(CR781&gt;0,"Lift "&amp;W781&amp;" lt. Liftbericht (Fach "&amp;X781&amp;" Stk); ",IF(CB781=1,"Gebinde geschätzt ("&amp;T781&amp;"); ",IF(CA781=1,"Lose – Tablare geschätzt; ","")))&amp;IF(H781&gt;AW781,"Überbestand "&amp;ROUND(H781-AW781,0)&amp;" Stk / CHF "&amp;ROUND((H781-AW781)*G781,0)&amp;"; ","")&amp;IF(AND(CI781=1,CJ781&lt;CK781),"MAX &lt; MB+LG; ","")&amp;IF(AND(CQ781&gt;0,CP781*10&gt;CQ781),"zu hoch für Tablar; ","")&amp;IF(AND(BW781=0,OR(CI781=1,AB781&lt;&gt;"",U781&lt;&gt;"",V781&lt;&gt;"",AC781&lt;&gt;"")),"manuell übersteuert; ","")&amp;IF(AND(CA781=0,R781=0),"Gebinde unbekannt / Stellmass fehlt; ","")&amp;IF(AND(CA781=0,N(V781)&lt;=0,N(Q781)&lt;=0),"Menge pro Gebinde fehlt (Ist = 1 Gebinde); ","")&amp;BV781)</f>
        <v>negativer Bestand (Export -1); Lose – Tablare geschätzt; </v>
      </c>
      <c r="BO781" s="60"/>
      <c r="BP781" s="60"/>
      <c r="BQ781" s="67"/>
      <c r="BR781" s="62" t="n">
        <v>-1</v>
      </c>
      <c r="BS781" s="62" t="n">
        <v>1</v>
      </c>
      <c r="BT781" s="61" t="n">
        <v>-1.93</v>
      </c>
      <c r="BU781" s="62" t="n">
        <v>1</v>
      </c>
      <c r="BV781" s="60"/>
      <c r="BW781" s="65" t="n">
        <v>0</v>
      </c>
      <c r="BX781" s="65" t="n">
        <v>781</v>
      </c>
      <c r="BY781" s="60" t="str">
        <f aca="false">IF(U781&lt;&gt;"",UPPER(TRIM(U781)),IF(CB781=1,UPPER(VLOOKUP(T781,Parameter!$I$27:$K$29,2,0)),IF(P781="","LOSE",P781)))</f>
        <v>LOSE</v>
      </c>
      <c r="BZ781" s="62" t="n">
        <f aca="false">IF(BY781="LOSE",1,IF(N(V781)&gt;0,V781,IF(CB781=1,MAX(1,N(VLOOKUP(T781,Parameter!$I$27:$K$29,3,0)),H781,N(N781)),IF(N(Q781)&gt;0,Q781,MAX(1,H781)))))</f>
        <v>1</v>
      </c>
      <c r="CA781" s="65" t="n">
        <f aca="false">IF(BY781="LOSE",1,0)</f>
        <v>1</v>
      </c>
      <c r="CB781" s="65" t="n">
        <f aca="false">IF(AND(U781="",OR(P781="",P781="LOSE"),T781&lt;&gt;"",N(S781)&lt;=0,ISNUMBER(MATCH(T781,Parameter!$I$27:$I$29,0))),1,0)</f>
        <v>0</v>
      </c>
      <c r="CC781" s="65" t="n">
        <f aca="false">IF(CR781&gt;0,INDEX(Parameter!$H$5:$H$7,W781)/INDEX(Parameter!$E$5:$E$7,W781),IF(AND(CA781=0,N(IFERROR(VLOOKUP(BY781,'Gebinde-Kategorie'!$A$5:$N$45,14,0),0))&gt;0),VLOOKUP(BY781,'Gebinde-Kategorie'!$A$5:$N$45,14,0)*10+Parameter!$M$23,Parameter!$M$24))</f>
        <v>235</v>
      </c>
      <c r="CD781" s="60" t="str">
        <f aca="false">IF(AND(Parameter!$B$19="Ja",E781&lt;&gt;"",ISNUMBER(MATCH(E781,Parameter!$I$35:$I$52,0))),VLOOKUP(E781,Parameter!$I$35:$J$52,2,0),IFERROR(VLOOKUP(D781,Parameter!$A$35:$C$64,2,0),"Nein"))</f>
        <v>Nein</v>
      </c>
      <c r="CE781" s="64" t="n">
        <f aca="false">IF(CA781=0,0,IF(N(S781)&gt;0,S781,IFERROR(VLOOKUP(D781,Parameter!$A$35:$C$64,3,0)+0,0)))</f>
        <v>0.15</v>
      </c>
      <c r="CF781" s="60" t="str">
        <f aca="false">IF(AB781&lt;&gt;"",AB781,AA781)</f>
        <v>-</v>
      </c>
      <c r="CG781" s="60" t="str">
        <f aca="false">IF(OR(CF781=1,CF781=2,CF781=3),IF(Parameter!$E$27="Ja","LIFT",IF(CF781=1,"L1","L23")),IF(CF781="Aussen","Aussen","-"))</f>
        <v>-</v>
      </c>
      <c r="CH781" s="71" t="n">
        <f aca="false">IF(N(AC781)&gt;0,AC781,0)</f>
        <v>0</v>
      </c>
      <c r="CI781" s="65" t="n">
        <f aca="false">IF(ISNUMBER(AF781),1,0)</f>
        <v>0</v>
      </c>
      <c r="CJ781" s="62" t="n">
        <f aca="false">N(AF781)</f>
        <v>0</v>
      </c>
      <c r="CK781" s="62" t="n">
        <f aca="false">N(M781)+N(N781)</f>
        <v>1</v>
      </c>
      <c r="CL781" s="62" t="n">
        <f aca="false">N(M781)</f>
        <v>0</v>
      </c>
      <c r="CM781" s="62" t="n">
        <f aca="false">N(N781)</f>
        <v>1</v>
      </c>
      <c r="CN781" s="62" t="n">
        <f aca="false">ROUNDUP(H781/BZ781,0)</f>
        <v>0</v>
      </c>
      <c r="CO781" s="62" t="n">
        <f aca="false">ROUNDUP(CJ781/BZ781,0)</f>
        <v>0</v>
      </c>
      <c r="CP781" s="65" t="n">
        <f aca="false">IF(CA781=1,0,IFERROR(VLOOKUP(BY781,'Gebinde-Kategorie'!$A$5:$N$45,5,0)+0,0))</f>
        <v>0</v>
      </c>
      <c r="CQ781" s="65" t="n">
        <f aca="false">IFERROR(IF(OR(CF781=1,CF781=2,CF781=3),N(INDEX(Parameter!$I$5:$I$7,CF781)),0),0)</f>
        <v>0</v>
      </c>
      <c r="CR781" s="64" t="n">
        <f aca="false">IF(AND(Parameter!$B$21="Ja",ISNUMBER(W781),N(X781)&gt;0),IFERROR(N(INDEX(Parameter!$L$5:$L$7,W781))*INDEX(Parameter!$E$5:$E$7,W781)*X781/SUMIFS($X$7:$X$1843,$W$7:$W$1843,W781),0),0)</f>
        <v>0</v>
      </c>
      <c r="CS781" s="62" t="str">
        <f aca="false">IF(AND(OR(CG781="L1",CG781="L23",CG781="LIFT"),H781&gt;0),CC781*IF(CR781&gt;0,CR781*MAX(1,H781/X781),IF(CA781=1,CE781,IF(R781&gt;0,CN781/R781,0))/MAX(0.1,N(Parameter!$M$21))),"")</f>
        <v/>
      </c>
      <c r="CT781" s="64" t="str">
        <f aca="false">IF(CS781="","",J781/H781)</f>
        <v/>
      </c>
      <c r="CU781" s="62" t="str">
        <f aca="false">IF(CS781="","",H781*G781)</f>
        <v/>
      </c>
      <c r="CV781" s="63" t="str">
        <f aca="false">IF(CS781="","",(CL781+ROUNDUP(CL781+MAX(CM781,2*(J781/MAX(0.1,N(Einkauf!$C$6))-CL781)),0))/2)</f>
        <v/>
      </c>
      <c r="CW781" s="62" t="str">
        <f aca="false">IF(CS781="","",MAX(0,H781-CV781)*G781)</f>
        <v/>
      </c>
      <c r="CX781" s="62" t="str">
        <f aca="false">IF(CS781="","",CS781*MAX(0,1-CV781/H781))</f>
        <v/>
      </c>
      <c r="CY781" s="64" t="str">
        <f aca="false">IF(CS781="","",PERCENTRANK($CS$7:$CS$1843,CS781)+PERCENTRANK($CU$7:$CU$1843,CU781)+1-PERCENTRANK($CT$7:$CT$1843,CT781))</f>
        <v/>
      </c>
      <c r="CZ781" s="72" t="str">
        <f aca="false">IF(CS781="","",CHOOSE(MATCH(Einkauf!$C$5,Parameter!$G$23:$G$27,0),CY781,CS781,CU781,-CT781,CW781)+ROW()/1000000000)</f>
        <v/>
      </c>
    </row>
    <row r="782" customFormat="false" ht="15" hidden="false" customHeight="false" outlineLevel="0" collapsed="false">
      <c r="A782" s="60" t="s">
        <v>1570</v>
      </c>
      <c r="B782" s="60" t="s">
        <v>696</v>
      </c>
      <c r="C782" s="60" t="s">
        <v>206</v>
      </c>
      <c r="D782" s="60" t="s">
        <v>226</v>
      </c>
      <c r="E782" s="60" t="s">
        <v>227</v>
      </c>
      <c r="F782" s="60" t="s">
        <v>260</v>
      </c>
      <c r="G782" s="61" t="n">
        <v>0.13</v>
      </c>
      <c r="H782" s="62" t="n">
        <f aca="false">MAX(0,IF(AND(Parameter!$B$21="Ja",ISNUMBER(Y782)),Y782,IF(Parameter!$B$20="Jahresanfang 2025 + Export",BS782+BR782,BR782)))</f>
        <v>1002</v>
      </c>
      <c r="I782" s="62" t="n">
        <f aca="false">H782*G782</f>
        <v>130.26</v>
      </c>
      <c r="J782" s="62" t="n">
        <f aca="false">BU782*Parameter!$B$18</f>
        <v>1196</v>
      </c>
      <c r="K782" s="63" t="n">
        <v>912</v>
      </c>
      <c r="L782" s="64" t="n">
        <v>1.31140350877193</v>
      </c>
      <c r="M782" s="62" t="n">
        <v>70</v>
      </c>
      <c r="N782" s="62" t="n">
        <v>1300</v>
      </c>
      <c r="O782" s="65" t="n">
        <v>21</v>
      </c>
      <c r="P782" s="60" t="s">
        <v>335</v>
      </c>
      <c r="Q782" s="62" t="n">
        <v>469</v>
      </c>
      <c r="R782" s="65" t="n">
        <f aca="false">IF(CA782=1,0,IFERROR(VLOOKUP(BY782,'Gebinde-Kategorie'!$A$5:$N$45,13,0)+0,0))</f>
        <v>12</v>
      </c>
      <c r="S782" s="66"/>
      <c r="T782" s="67"/>
      <c r="U782" s="67"/>
      <c r="V782" s="67"/>
      <c r="W782" s="60"/>
      <c r="X782" s="62"/>
      <c r="Y782" s="62"/>
      <c r="Z782" s="60" t="n">
        <v>3</v>
      </c>
      <c r="AA782" s="60" t="n">
        <f aca="false">IF(A782="","",IF(AND(Parameter!$B$21="Ja",ISNUMBER(W782)),W782,IF(AND(Parameter!$E$27="Ja",ISNUMBER(Z782),CD782&lt;&gt;"Nein"),Z782,IF(CD782="2+3",IF(ISNUMBER(SEARCH("grosser Artikel",BV782)),2,IFERROR(VLOOKUP(BY782,Parameter!$F$35:$G$64,2,0),2)),IF(OR(CD782="Nein",CD782=""),"-",CD782)))))</f>
        <v>3</v>
      </c>
      <c r="AB782" s="67"/>
      <c r="AC782" s="68"/>
      <c r="AD782" s="62" t="n">
        <f aca="false">AW782</f>
        <v>1370</v>
      </c>
      <c r="AE782" s="62" t="n">
        <f aca="false">MAX(AW782,H782)</f>
        <v>1370</v>
      </c>
      <c r="AF782" s="69"/>
      <c r="AG782" s="62" t="n">
        <f aca="false">IF(LEFT(Cockpit!$C$5,1)="A",H782,IF(Parameter!$E$30="MAX-Bestand",IF(CI782=1,CJ782,IF(LEFT(Cockpit!$C$5,1)="B",AM782,MAX(AM782,H782))),ROUNDUP(AK782,0)))</f>
        <v>1002</v>
      </c>
      <c r="AH782" s="62" t="n">
        <f aca="false">IF(CA782=1,0,ROUNDUP(AG782/BZ782,0))</f>
        <v>3</v>
      </c>
      <c r="AI782" s="64" t="n">
        <f aca="false">IF(CR782&gt;0,CR782*MAX(1,AG782/X782),IF(CA782=1,IF(AG782&lt;=0,0,CE782*MAX(1,IF(H782&gt;0,AG782/H782,1))),IF(R782&gt;0,AH782/R782,0))/MAX(0.1,N(Parameter!$M$21)))</f>
        <v>0.25</v>
      </c>
      <c r="AJ782" s="62" t="n">
        <f aca="false">AI782*CC782</f>
        <v>61.25</v>
      </c>
      <c r="AK782" s="63" t="n">
        <f aca="false">IF(LEFT(Cockpit!$C$5,1)="A",H782,IF(CI782=1,(CL782+CJ782)/2,IF(LEFT(Cockpit!$C$5,1)="B",(CL782+AM782)/2,MAX((CL782+AM782)/2,H782))))</f>
        <v>1002</v>
      </c>
      <c r="AL782" s="62" t="n">
        <f aca="false">AK782*G782</f>
        <v>130.26</v>
      </c>
      <c r="AM782" s="62" t="n">
        <f aca="false">ROUNDUP(CL782+MAX(CM782,2*(J782/IF(CH782&gt;0,CH782,MAX(0.1,N(Cockpit!$C$6)))-CL782)),0)</f>
        <v>1370</v>
      </c>
      <c r="AN782" s="63" t="n">
        <f aca="false">IF(AJ782&gt;0,J782/AJ782,-1)</f>
        <v>19.5265306122449</v>
      </c>
      <c r="AO782" s="63" t="n">
        <f aca="false">IF(AND(OR(CG782="L1",CG782="L23",CG782="LIFT"),AJ782&gt;0),SUMIFS($AJ$7:$AJ$1843,$CG$7:$CG$1843,CG782,$AN$7:$AN$1843,"&gt;"&amp;AN782)+SUMIFS($AJ$7:$AJ$1843,$CG$7:$CG$1843,CG782,$AN$7:$AN$1843,AN782,$BX$7:$BX$1843,"&lt;="&amp;BX782),"")</f>
        <v>1719.08974358974</v>
      </c>
      <c r="AP782" s="70" t="n">
        <f aca="false">IF(AO782="",0,MAX(0,MIN(1,(IF(CG782="L1",Parameter!$H$5,IF(CG782="L23",Parameter!$H$6+Parameter!$H$7,Parameter!$H$5+Parameter!$H$6+Parameter!$H$7))-(AO782-AJ782))/AJ782)))</f>
        <v>1</v>
      </c>
      <c r="AQ782" s="62" t="n">
        <f aca="false">IF(LEFT(Cockpit!$I$5,1)="A",H782,IF(Parameter!$E$30="MAX-Bestand",IF(CI782=1,CJ782,IF(LEFT(Cockpit!$I$5,1)="B",AW782,MAX(AW782,H782))),ROUNDUP(AU782,0)))</f>
        <v>1002</v>
      </c>
      <c r="AR782" s="62" t="n">
        <f aca="false">IF(CA782=1,0,ROUNDUP(AQ782/BZ782,0))</f>
        <v>3</v>
      </c>
      <c r="AS782" s="64" t="n">
        <f aca="false">IF(CR782&gt;0,CR782*MAX(1,AQ782/X782),IF(CA782=1,IF(AQ782&lt;=0,0,CE782*MAX(1,IF(H782&gt;0,AQ782/H782,1))),IF(R782&gt;0,AR782/R782,0))/MAX(0.1,N(Parameter!$M$21)))</f>
        <v>0.25</v>
      </c>
      <c r="AT782" s="62" t="n">
        <f aca="false">AS782*CC782</f>
        <v>61.25</v>
      </c>
      <c r="AU782" s="63" t="n">
        <f aca="false">IF(LEFT(Cockpit!$I$5,1)="A",H782,IF(CI782=1,(CL782+CJ782)/2,IF(LEFT(Cockpit!$I$5,1)="B",(CL782+AW782)/2,MAX((CL782+AW782)/2,H782))))</f>
        <v>1002</v>
      </c>
      <c r="AV782" s="62" t="n">
        <f aca="false">AU782*G782</f>
        <v>130.26</v>
      </c>
      <c r="AW782" s="62" t="n">
        <f aca="false">ROUNDUP(CL782+MAX(CM782,2*(J782/IF(CH782&gt;0,CH782,MAX(0.1,N(Cockpit!$I$6)))-CL782)),0)</f>
        <v>1370</v>
      </c>
      <c r="AX782" s="63" t="n">
        <f aca="false">IF(AT782&gt;0,J782/AT782,-1)</f>
        <v>19.5265306122449</v>
      </c>
      <c r="AY782" s="63" t="n">
        <f aca="false">IF(AND(OR(CG782="L1",CG782="L23",CG782="LIFT"),AT782&gt;0),SUMIFS($AT$7:$AT$1843,$CG$7:$CG$1843,CG782,$AX$7:$AX$1843,"&gt;"&amp;AX782)+SUMIFS($AT$7:$AT$1843,$CG$7:$CG$1843,CG782,$AX$7:$AX$1843,AX782,$BX$7:$BX$1843,"&lt;="&amp;BX782),"")</f>
        <v>2356.21062271062</v>
      </c>
      <c r="AZ782" s="70" t="n">
        <f aca="false">IF(AY782="",0,MAX(0,MIN(1,(IF(CG782="L1",Parameter!$H$5,IF(CG782="L23",Parameter!$H$6+Parameter!$H$7,Parameter!$H$5+Parameter!$H$6+Parameter!$H$7))-(AY782-AT782))/AT782)))</f>
        <v>1</v>
      </c>
      <c r="BA782" s="62" t="n">
        <f aca="false">IF(LEFT(Cockpit!$O$5,1)="A",H782,IF(Parameter!$E$30="MAX-Bestand",IF(CI782=1,CJ782,IF(LEFT(Cockpit!$O$5,1)="B",BG782,MAX(BG782,H782))),ROUNDUP(BE782,0)))</f>
        <v>720</v>
      </c>
      <c r="BB782" s="62" t="n">
        <f aca="false">IF(CA782=1,0,ROUNDUP(BA782/BZ782,0))</f>
        <v>2</v>
      </c>
      <c r="BC782" s="64" t="n">
        <f aca="false">IF(CR782&gt;0,CR782*MAX(1,BA782/X782),IF(CA782=1,IF(BA782&lt;=0,0,CE782*MAX(1,IF(H782&gt;0,BA782/H782,1))),IF(R782&gt;0,BB782/R782,0))/MAX(0.1,N(Parameter!$M$21)))</f>
        <v>0.166666666666667</v>
      </c>
      <c r="BD782" s="62" t="n">
        <f aca="false">BC782*CC782</f>
        <v>40.8333333333333</v>
      </c>
      <c r="BE782" s="63" t="n">
        <f aca="false">IF(LEFT(Cockpit!$O$5,1)="A",H782,IF(CI782=1,(CL782+CJ782)/2,IF(LEFT(Cockpit!$O$5,1)="B",(CL782+BG782)/2,MAX((CL782+BG782)/2,H782))))</f>
        <v>720</v>
      </c>
      <c r="BF782" s="62" t="n">
        <f aca="false">BE782*G782</f>
        <v>93.6</v>
      </c>
      <c r="BG782" s="62" t="n">
        <f aca="false">ROUNDUP(CL782+MAX(CM782,2*(J782/IF(CH782&gt;0,CH782,MAX(0.1,N(Cockpit!$O$6)))-CL782)),0)</f>
        <v>1370</v>
      </c>
      <c r="BH782" s="63" t="n">
        <f aca="false">IF(BD782&gt;0,J782/BD782,-1)</f>
        <v>29.2897959183674</v>
      </c>
      <c r="BI782" s="63" t="n">
        <f aca="false">IF(AND(OR(CG782="L1",CG782="L23",CG782="LIFT"),BD782&gt;0),SUMIFS($BD$7:$BD$1843,$CG$7:$CG$1843,CG782,$BH$7:$BH$1843,"&gt;"&amp;BH782)+SUMIFS($BD$7:$BD$1843,$CG$7:$CG$1843,CG782,$BH$7:$BH$1843,BH782,$BX$7:$BX$1843,"&lt;="&amp;BX782),"")</f>
        <v>1899.47252747253</v>
      </c>
      <c r="BJ782" s="70" t="n">
        <f aca="false">IF(BI782="",0,MAX(0,MIN(1,(IF(CG782="L1",Parameter!$H$5,IF(CG782="L23",Parameter!$H$6+Parameter!$H$7,Parameter!$H$5+Parameter!$H$6+Parameter!$H$7))-(BI782-BD782))/BD782)))</f>
        <v>1</v>
      </c>
      <c r="BK782" s="60" t="str">
        <f aca="false">IF(AJ782&lt;=0,"",IF(CG782="Aussen","Aussenlager",IF(CG782="-","Nicht im Lift",IF(AP782&gt;=1,"Lift",IF(AP782&lt;=0,"Aussenlager","teilweise")))))</f>
        <v>Lift</v>
      </c>
      <c r="BL782" s="60" t="str">
        <f aca="false">IF(AT782&lt;=0,"",IF(CG782="Aussen","Aussenlager",IF(CG782="-","Nicht im Lift",IF(AZ782&gt;=1,"Lift",IF(AZ782&lt;=0,"Aussenlager","teilweise")))))</f>
        <v>Lift</v>
      </c>
      <c r="BM782" s="60" t="str">
        <f aca="false">IF(BD782&lt;=0,"",IF(CG782="Aussen","Aussenlager",IF(CG782="-","Nicht im Lift",IF(BJ782&gt;=1,"Lift",IF(BJ782&lt;=0,"Aussenlager","teilweise")))))</f>
        <v>Lift</v>
      </c>
      <c r="BN782" s="60" t="str">
        <f aca="false">IF(A782="","",IF(BW782=1,"Neu; ","")&amp;IF(AND(BW782=0,BR782&lt;0),"negativer Bestand (Export "&amp;BR782&amp;"); ","")&amp;IF(J782&lt;=0,"Kein Verbrauch; ","")&amp;IF(CR782&gt;0,"Lift "&amp;W782&amp;" lt. Liftbericht (Fach "&amp;X782&amp;" Stk); ",IF(CB782=1,"Gebinde geschätzt ("&amp;T782&amp;"); ",IF(CA782=1,"Lose – Tablare geschätzt; ","")))&amp;IF(H782&gt;AW782,"Überbestand "&amp;ROUND(H782-AW782,0)&amp;" Stk / CHF "&amp;ROUND((H782-AW782)*G782,0)&amp;"; ","")&amp;IF(AND(CI782=1,CJ782&lt;CK782),"MAX &lt; MB+LG; ","")&amp;IF(AND(CQ782&gt;0,CP782*10&gt;CQ782),"zu hoch für Tablar; ","")&amp;IF(AND(BW782=0,OR(CI782=1,AB782&lt;&gt;"",U782&lt;&gt;"",V782&lt;&gt;"",AC782&lt;&gt;"")),"manuell übersteuert; ","")&amp;IF(AND(CA782=0,R782=0),"Gebinde unbekannt / Stellmass fehlt; ","")&amp;IF(AND(CA782=0,N(V782)&lt;=0,N(Q782)&lt;=0),"Menge pro Gebinde fehlt (Ist = 1 Gebinde); ","")&amp;BV782)</f>
        <v>negativer Bestand (Export -16); </v>
      </c>
      <c r="BO782" s="60"/>
      <c r="BP782" s="60"/>
      <c r="BQ782" s="67"/>
      <c r="BR782" s="62" t="n">
        <v>-16</v>
      </c>
      <c r="BS782" s="62" t="n">
        <v>1018</v>
      </c>
      <c r="BT782" s="61" t="n">
        <v>-2.07999999999998</v>
      </c>
      <c r="BU782" s="62" t="n">
        <v>1196</v>
      </c>
      <c r="BV782" s="60"/>
      <c r="BW782" s="65" t="n">
        <v>0</v>
      </c>
      <c r="BX782" s="65" t="n">
        <v>782</v>
      </c>
      <c r="BY782" s="60" t="str">
        <f aca="false">IF(U782&lt;&gt;"",UPPER(TRIM(U782)),IF(CB782=1,UPPER(VLOOKUP(T782,Parameter!$I$27:$K$29,2,0)),IF(P782="","LOSE",P782)))</f>
        <v>S62</v>
      </c>
      <c r="BZ782" s="62" t="n">
        <f aca="false">IF(BY782="LOSE",1,IF(N(V782)&gt;0,V782,IF(CB782=1,MAX(1,N(VLOOKUP(T782,Parameter!$I$27:$K$29,3,0)),H782,N(N782)),IF(N(Q782)&gt;0,Q782,MAX(1,H782)))))</f>
        <v>469</v>
      </c>
      <c r="CA782" s="65" t="n">
        <f aca="false">IF(BY782="LOSE",1,0)</f>
        <v>0</v>
      </c>
      <c r="CB782" s="65" t="n">
        <f aca="false">IF(AND(U782="",OR(P782="",P782="LOSE"),T782&lt;&gt;"",N(S782)&lt;=0,ISNUMBER(MATCH(T782,Parameter!$I$27:$I$29,0))),1,0)</f>
        <v>0</v>
      </c>
      <c r="CC782" s="65" t="n">
        <f aca="false">IF(CR782&gt;0,INDEX(Parameter!$H$5:$H$7,W782)/INDEX(Parameter!$E$5:$E$7,W782),IF(AND(CA782=0,N(IFERROR(VLOOKUP(BY782,'Gebinde-Kategorie'!$A$5:$N$45,14,0),0))&gt;0),VLOOKUP(BY782,'Gebinde-Kategorie'!$A$5:$N$45,14,0)*10+Parameter!$M$23,Parameter!$M$24))</f>
        <v>245</v>
      </c>
      <c r="CD782" s="60" t="str">
        <f aca="false">IF(AND(Parameter!$B$19="Ja",E782&lt;&gt;"",ISNUMBER(MATCH(E782,Parameter!$I$35:$I$52,0))),VLOOKUP(E782,Parameter!$I$35:$J$52,2,0),IFERROR(VLOOKUP(D782,Parameter!$A$35:$C$64,2,0),"Nein"))</f>
        <v>2+3</v>
      </c>
      <c r="CE782" s="64" t="n">
        <f aca="false">IF(CA782=0,0,IF(N(S782)&gt;0,S782,IFERROR(VLOOKUP(D782,Parameter!$A$35:$C$64,3,0)+0,0)))</f>
        <v>0</v>
      </c>
      <c r="CF782" s="60" t="n">
        <f aca="false">IF(AB782&lt;&gt;"",AB782,AA782)</f>
        <v>3</v>
      </c>
      <c r="CG782" s="60" t="str">
        <f aca="false">IF(OR(CF782=1,CF782=2,CF782=3),IF(Parameter!$E$27="Ja","LIFT",IF(CF782=1,"L1","L23")),IF(CF782="Aussen","Aussen","-"))</f>
        <v>LIFT</v>
      </c>
      <c r="CH782" s="71" t="n">
        <f aca="false">IF(N(AC782)&gt;0,AC782,0)</f>
        <v>0</v>
      </c>
      <c r="CI782" s="65" t="n">
        <f aca="false">IF(ISNUMBER(AF782),1,0)</f>
        <v>0</v>
      </c>
      <c r="CJ782" s="62" t="n">
        <f aca="false">N(AF782)</f>
        <v>0</v>
      </c>
      <c r="CK782" s="62" t="n">
        <f aca="false">N(M782)+N(N782)</f>
        <v>1370</v>
      </c>
      <c r="CL782" s="62" t="n">
        <f aca="false">N(M782)</f>
        <v>70</v>
      </c>
      <c r="CM782" s="62" t="n">
        <f aca="false">N(N782)</f>
        <v>1300</v>
      </c>
      <c r="CN782" s="62" t="n">
        <f aca="false">ROUNDUP(H782/BZ782,0)</f>
        <v>3</v>
      </c>
      <c r="CO782" s="62" t="n">
        <f aca="false">ROUNDUP(CJ782/BZ782,0)</f>
        <v>0</v>
      </c>
      <c r="CP782" s="65" t="n">
        <f aca="false">IF(CA782=1,0,IFERROR(VLOOKUP(BY782,'Gebinde-Kategorie'!$A$5:$N$45,5,0)+0,0))</f>
        <v>21</v>
      </c>
      <c r="CQ782" s="65" t="n">
        <f aca="false">IFERROR(IF(OR(CF782=1,CF782=2,CF782=3),N(INDEX(Parameter!$I$5:$I$7,CF782)),0),0)</f>
        <v>0</v>
      </c>
      <c r="CR782" s="64" t="n">
        <f aca="false">IF(AND(Parameter!$B$21="Ja",ISNUMBER(W782),N(X782)&gt;0),IFERROR(N(INDEX(Parameter!$L$5:$L$7,W782))*INDEX(Parameter!$E$5:$E$7,W782)*X782/SUMIFS($X$7:$X$1843,$W$7:$W$1843,W782),0),0)</f>
        <v>0</v>
      </c>
      <c r="CS782" s="62" t="n">
        <f aca="false">IF(AND(OR(CG782="L1",CG782="L23",CG782="LIFT"),H782&gt;0),CC782*IF(CR782&gt;0,CR782*MAX(1,H782/X782),IF(CA782=1,CE782,IF(R782&gt;0,CN782/R782,0))/MAX(0.1,N(Parameter!$M$21))),"")</f>
        <v>61.25</v>
      </c>
      <c r="CT782" s="64" t="n">
        <f aca="false">IF(CS782="","",J782/H782)</f>
        <v>1.1936127744511</v>
      </c>
      <c r="CU782" s="62" t="n">
        <f aca="false">IF(CS782="","",H782*G782)</f>
        <v>130.26</v>
      </c>
      <c r="CV782" s="63" t="n">
        <f aca="false">IF(CS782="","",(CL782+ROUNDUP(CL782+MAX(CM782,2*(J782/MAX(0.1,N(Einkauf!$C$6))-CL782)),0))/2)</f>
        <v>720</v>
      </c>
      <c r="CW782" s="62" t="n">
        <f aca="false">IF(CS782="","",MAX(0,H782-CV782)*G782)</f>
        <v>36.66</v>
      </c>
      <c r="CX782" s="62" t="n">
        <f aca="false">IF(CS782="","",CS782*MAX(0,1-CV782/H782))</f>
        <v>17.2380239520958</v>
      </c>
      <c r="CY782" s="64" t="n">
        <f aca="false">IF(CS782="","",PERCENTRANK($CS$7:$CS$1843,CS782)+PERCENTRANK($CU$7:$CU$1843,CU782)+1-PERCENTRANK($CT$7:$CT$1843,CT782))</f>
        <v>1.494</v>
      </c>
      <c r="CZ782" s="72" t="n">
        <f aca="false">IF(CS782="","",CHOOSE(MATCH(Einkauf!$C$5,Parameter!$G$23:$G$27,0),CY782,CS782,CU782,-CT782,CW782)+ROW()/1000000000)</f>
        <v>1.494000782</v>
      </c>
    </row>
    <row r="783" customFormat="false" ht="15" hidden="false" customHeight="false" outlineLevel="0" collapsed="false">
      <c r="A783" s="60" t="s">
        <v>1571</v>
      </c>
      <c r="B783" s="60" t="s">
        <v>949</v>
      </c>
      <c r="C783" s="60" t="s">
        <v>209</v>
      </c>
      <c r="D783" s="60" t="s">
        <v>226</v>
      </c>
      <c r="E783" s="60" t="s">
        <v>227</v>
      </c>
      <c r="F783" s="60" t="s">
        <v>260</v>
      </c>
      <c r="G783" s="61" t="n">
        <v>0.52</v>
      </c>
      <c r="H783" s="62" t="n">
        <f aca="false">MAX(0,IF(AND(Parameter!$B$21="Ja",ISNUMBER(Y783)),Y783,IF(Parameter!$B$20="Jahresanfang 2025 + Export",BS783+BR783,BR783)))</f>
        <v>45</v>
      </c>
      <c r="I783" s="62" t="n">
        <f aca="false">H783*G783</f>
        <v>23.4</v>
      </c>
      <c r="J783" s="62" t="n">
        <f aca="false">BU783*Parameter!$B$18</f>
        <v>0</v>
      </c>
      <c r="K783" s="63" t="n">
        <v>47</v>
      </c>
      <c r="L783" s="64" t="n">
        <v>0</v>
      </c>
      <c r="M783" s="62" t="n">
        <v>0</v>
      </c>
      <c r="N783" s="62" t="n">
        <v>1</v>
      </c>
      <c r="O783" s="65" t="n">
        <v>14</v>
      </c>
      <c r="P783" s="60" t="s">
        <v>370</v>
      </c>
      <c r="Q783" s="62" t="n">
        <v>96</v>
      </c>
      <c r="R783" s="65" t="n">
        <f aca="false">IF(CA783=1,0,IFERROR(VLOOKUP(BY783,'Gebinde-Kategorie'!$A$5:$N$45,13,0)+0,0))</f>
        <v>52</v>
      </c>
      <c r="S783" s="66"/>
      <c r="T783" s="67"/>
      <c r="U783" s="67"/>
      <c r="V783" s="67"/>
      <c r="W783" s="60"/>
      <c r="X783" s="62"/>
      <c r="Y783" s="62"/>
      <c r="Z783" s="60" t="n">
        <v>1</v>
      </c>
      <c r="AA783" s="60" t="n">
        <f aca="false">IF(A783="","",IF(AND(Parameter!$B$21="Ja",ISNUMBER(W783)),W783,IF(AND(Parameter!$E$27="Ja",ISNUMBER(Z783),CD783&lt;&gt;"Nein"),Z783,IF(CD783="2+3",IF(ISNUMBER(SEARCH("grosser Artikel",BV783)),2,IFERROR(VLOOKUP(BY783,Parameter!$F$35:$G$64,2,0),2)),IF(OR(CD783="Nein",CD783=""),"-",CD783)))))</f>
        <v>1</v>
      </c>
      <c r="AB783" s="67"/>
      <c r="AC783" s="68"/>
      <c r="AD783" s="62" t="n">
        <f aca="false">AW783</f>
        <v>1</v>
      </c>
      <c r="AE783" s="62" t="n">
        <f aca="false">MAX(AW783,H783)</f>
        <v>45</v>
      </c>
      <c r="AF783" s="69"/>
      <c r="AG783" s="62" t="n">
        <f aca="false">IF(LEFT(Cockpit!$C$5,1)="A",H783,IF(Parameter!$E$30="MAX-Bestand",IF(CI783=1,CJ783,IF(LEFT(Cockpit!$C$5,1)="B",AM783,MAX(AM783,H783))),ROUNDUP(AK783,0)))</f>
        <v>45</v>
      </c>
      <c r="AH783" s="62" t="n">
        <f aca="false">IF(CA783=1,0,ROUNDUP(AG783/BZ783,0))</f>
        <v>1</v>
      </c>
      <c r="AI783" s="64" t="n">
        <f aca="false">IF(CR783&gt;0,CR783*MAX(1,AG783/X783),IF(CA783=1,IF(AG783&lt;=0,0,CE783*MAX(1,IF(H783&gt;0,AG783/H783,1))),IF(R783&gt;0,AH783/R783,0))/MAX(0.1,N(Parameter!$M$21)))</f>
        <v>0.0192307692307692</v>
      </c>
      <c r="AJ783" s="62" t="n">
        <f aca="false">AI783*CC783</f>
        <v>2.98076923076923</v>
      </c>
      <c r="AK783" s="63" t="n">
        <f aca="false">IF(LEFT(Cockpit!$C$5,1)="A",H783,IF(CI783=1,(CL783+CJ783)/2,IF(LEFT(Cockpit!$C$5,1)="B",(CL783+AM783)/2,MAX((CL783+AM783)/2,H783))))</f>
        <v>45</v>
      </c>
      <c r="AL783" s="62" t="n">
        <f aca="false">AK783*G783</f>
        <v>23.4</v>
      </c>
      <c r="AM783" s="62" t="n">
        <f aca="false">ROUNDUP(CL783+MAX(CM783,2*(J783/IF(CH783&gt;0,CH783,MAX(0.1,N(Cockpit!$C$6)))-CL783)),0)</f>
        <v>1</v>
      </c>
      <c r="AN783" s="63" t="n">
        <f aca="false">IF(AJ783&gt;0,J783/AJ783,-1)</f>
        <v>0</v>
      </c>
      <c r="AO783" s="63" t="n">
        <f aca="false">IF(AND(OR(CG783="L1",CG783="L23",CG783="LIFT"),AJ783&gt;0),SUMIFS($AJ$7:$AJ$1843,$CG$7:$CG$1843,CG783,$AN$7:$AN$1843,"&gt;"&amp;AN783)+SUMIFS($AJ$7:$AJ$1843,$CG$7:$CG$1843,CG783,$AN$7:$AN$1843,AN783,$BX$7:$BX$1843,"&lt;="&amp;BX783),"")</f>
        <v>28760.1773659486</v>
      </c>
      <c r="AP783" s="70" t="n">
        <f aca="false">IF(AO783="",0,MAX(0,MIN(1,(IF(CG783="L1",Parameter!$H$5,IF(CG783="L23",Parameter!$H$6+Parameter!$H$7,Parameter!$H$5+Parameter!$H$6+Parameter!$H$7))-(AO783-AJ783))/AJ783)))</f>
        <v>1</v>
      </c>
      <c r="AQ783" s="62" t="n">
        <f aca="false">IF(LEFT(Cockpit!$I$5,1)="A",H783,IF(Parameter!$E$30="MAX-Bestand",IF(CI783=1,CJ783,IF(LEFT(Cockpit!$I$5,1)="B",AW783,MAX(AW783,H783))),ROUNDUP(AU783,0)))</f>
        <v>45</v>
      </c>
      <c r="AR783" s="62" t="n">
        <f aca="false">IF(CA783=1,0,ROUNDUP(AQ783/BZ783,0))</f>
        <v>1</v>
      </c>
      <c r="AS783" s="64" t="n">
        <f aca="false">IF(CR783&gt;0,CR783*MAX(1,AQ783/X783),IF(CA783=1,IF(AQ783&lt;=0,0,CE783*MAX(1,IF(H783&gt;0,AQ783/H783,1))),IF(R783&gt;0,AR783/R783,0))/MAX(0.1,N(Parameter!$M$21)))</f>
        <v>0.0192307692307692</v>
      </c>
      <c r="AT783" s="62" t="n">
        <f aca="false">AS783*CC783</f>
        <v>2.98076923076923</v>
      </c>
      <c r="AU783" s="63" t="n">
        <f aca="false">IF(LEFT(Cockpit!$I$5,1)="A",H783,IF(CI783=1,(CL783+CJ783)/2,IF(LEFT(Cockpit!$I$5,1)="B",(CL783+AW783)/2,MAX((CL783+AW783)/2,H783))))</f>
        <v>45</v>
      </c>
      <c r="AV783" s="62" t="n">
        <f aca="false">AU783*G783</f>
        <v>23.4</v>
      </c>
      <c r="AW783" s="62" t="n">
        <f aca="false">ROUNDUP(CL783+MAX(CM783,2*(J783/IF(CH783&gt;0,CH783,MAX(0.1,N(Cockpit!$I$6)))-CL783)),0)</f>
        <v>1</v>
      </c>
      <c r="AX783" s="63" t="n">
        <f aca="false">IF(AT783&gt;0,J783/AT783,-1)</f>
        <v>0</v>
      </c>
      <c r="AY783" s="63" t="n">
        <f aca="false">IF(AND(OR(CG783="L1",CG783="L23",CG783="LIFT"),AT783&gt;0),SUMIFS($AT$7:$AT$1843,$CG$7:$CG$1843,CG783,$AX$7:$AX$1843,"&gt;"&amp;AX783)+SUMIFS($AT$7:$AT$1843,$CG$7:$CG$1843,CG783,$AX$7:$AX$1843,AX783,$BX$7:$BX$1843,"&lt;="&amp;BX783),"")</f>
        <v>34364.9606227106</v>
      </c>
      <c r="AZ783" s="70" t="n">
        <f aca="false">IF(AY783="",0,MAX(0,MIN(1,(IF(CG783="L1",Parameter!$H$5,IF(CG783="L23",Parameter!$H$6+Parameter!$H$7,Parameter!$H$5+Parameter!$H$6+Parameter!$H$7))-(AY783-AT783))/AT783)))</f>
        <v>1</v>
      </c>
      <c r="BA783" s="62" t="n">
        <f aca="false">IF(LEFT(Cockpit!$O$5,1)="A",H783,IF(Parameter!$E$30="MAX-Bestand",IF(CI783=1,CJ783,IF(LEFT(Cockpit!$O$5,1)="B",BG783,MAX(BG783,H783))),ROUNDUP(BE783,0)))</f>
        <v>1</v>
      </c>
      <c r="BB783" s="62" t="n">
        <f aca="false">IF(CA783=1,0,ROUNDUP(BA783/BZ783,0))</f>
        <v>1</v>
      </c>
      <c r="BC783" s="64" t="n">
        <f aca="false">IF(CR783&gt;0,CR783*MAX(1,BA783/X783),IF(CA783=1,IF(BA783&lt;=0,0,CE783*MAX(1,IF(H783&gt;0,BA783/H783,1))),IF(R783&gt;0,BB783/R783,0))/MAX(0.1,N(Parameter!$M$21)))</f>
        <v>0.0192307692307692</v>
      </c>
      <c r="BD783" s="62" t="n">
        <f aca="false">BC783*CC783</f>
        <v>2.98076923076923</v>
      </c>
      <c r="BE783" s="63" t="n">
        <f aca="false">IF(LEFT(Cockpit!$O$5,1)="A",H783,IF(CI783=1,(CL783+CJ783)/2,IF(LEFT(Cockpit!$O$5,1)="B",(CL783+BG783)/2,MAX((CL783+BG783)/2,H783))))</f>
        <v>0.5</v>
      </c>
      <c r="BF783" s="62" t="n">
        <f aca="false">BE783*G783</f>
        <v>0.26</v>
      </c>
      <c r="BG783" s="62" t="n">
        <f aca="false">ROUNDUP(CL783+MAX(CM783,2*(J783/IF(CH783&gt;0,CH783,MAX(0.1,N(Cockpit!$O$6)))-CL783)),0)</f>
        <v>1</v>
      </c>
      <c r="BH783" s="63" t="n">
        <f aca="false">IF(BD783&gt;0,J783/BD783,-1)</f>
        <v>0</v>
      </c>
      <c r="BI783" s="63" t="n">
        <f aca="false">IF(AND(OR(CG783="L1",CG783="L23",CG783="LIFT"),BD783&gt;0),SUMIFS($BD$7:$BD$1843,$CG$7:$CG$1843,CG783,$BH$7:$BH$1843,"&gt;"&amp;BH783)+SUMIFS($BD$7:$BD$1843,$CG$7:$CG$1843,CG783,$BH$7:$BH$1843,BH783,$BX$7:$BX$1843,"&lt;="&amp;BX783),"")</f>
        <v>28408.8304696716</v>
      </c>
      <c r="BJ783" s="70" t="n">
        <f aca="false">IF(BI783="",0,MAX(0,MIN(1,(IF(CG783="L1",Parameter!$H$5,IF(CG783="L23",Parameter!$H$6+Parameter!$H$7,Parameter!$H$5+Parameter!$H$6+Parameter!$H$7))-(BI783-BD783))/BD783)))</f>
        <v>1</v>
      </c>
      <c r="BK783" s="60" t="str">
        <f aca="false">IF(AJ783&lt;=0,"",IF(CG783="Aussen","Aussenlager",IF(CG783="-","Nicht im Lift",IF(AP783&gt;=1,"Lift",IF(AP783&lt;=0,"Aussenlager","teilweise")))))</f>
        <v>Lift</v>
      </c>
      <c r="BL783" s="60" t="str">
        <f aca="false">IF(AT783&lt;=0,"",IF(CG783="Aussen","Aussenlager",IF(CG783="-","Nicht im Lift",IF(AZ783&gt;=1,"Lift",IF(AZ783&lt;=0,"Aussenlager","teilweise")))))</f>
        <v>Lift</v>
      </c>
      <c r="BM783" s="60" t="str">
        <f aca="false">IF(BD783&lt;=0,"",IF(CG783="Aussen","Aussenlager",IF(CG783="-","Nicht im Lift",IF(BJ783&gt;=1,"Lift",IF(BJ783&lt;=0,"Aussenlager","teilweise")))))</f>
        <v>Lift</v>
      </c>
      <c r="BN783" s="60" t="str">
        <f aca="false">IF(A783="","",IF(BW783=1,"Neu; ","")&amp;IF(AND(BW783=0,BR783&lt;0),"negativer Bestand (Export "&amp;BR783&amp;"); ","")&amp;IF(J783&lt;=0,"Kein Verbrauch; ","")&amp;IF(CR783&gt;0,"Lift "&amp;W783&amp;" lt. Liftbericht (Fach "&amp;X783&amp;" Stk); ",IF(CB783=1,"Gebinde geschätzt ("&amp;T783&amp;"); ",IF(CA783=1,"Lose – Tablare geschätzt; ","")))&amp;IF(H783&gt;AW783,"Überbestand "&amp;ROUND(H783-AW783,0)&amp;" Stk / CHF "&amp;ROUND((H783-AW783)*G783,0)&amp;"; ","")&amp;IF(AND(CI783=1,CJ783&lt;CK783),"MAX &lt; MB+LG; ","")&amp;IF(AND(CQ783&gt;0,CP783*10&gt;CQ783),"zu hoch für Tablar; ","")&amp;IF(AND(BW783=0,OR(CI783=1,AB783&lt;&gt;"",U783&lt;&gt;"",V783&lt;&gt;"",AC783&lt;&gt;"")),"manuell übersteuert; ","")&amp;IF(AND(CA783=0,R783=0),"Gebinde unbekannt / Stellmass fehlt; ","")&amp;IF(AND(CA783=0,N(V783)&lt;=0,N(Q783)&lt;=0),"Menge pro Gebinde fehlt (Ist = 1 Gebinde); ","")&amp;BV783)</f>
        <v>negativer Bestand (Export -4); Kein Verbrauch; Überbestand 44 Stk / CHF 23; </v>
      </c>
      <c r="BO783" s="60"/>
      <c r="BP783" s="60"/>
      <c r="BQ783" s="67"/>
      <c r="BR783" s="62" t="n">
        <v>-4</v>
      </c>
      <c r="BS783" s="62" t="n">
        <v>49</v>
      </c>
      <c r="BT783" s="61" t="n">
        <v>-2.08</v>
      </c>
      <c r="BU783" s="62" t="n">
        <v>0</v>
      </c>
      <c r="BV783" s="60"/>
      <c r="BW783" s="65" t="n">
        <v>0</v>
      </c>
      <c r="BX783" s="65" t="n">
        <v>783</v>
      </c>
      <c r="BY783" s="60" t="str">
        <f aca="false">IF(U783&lt;&gt;"",UPPER(TRIM(U783)),IF(CB783=1,UPPER(VLOOKUP(T783,Parameter!$I$27:$K$29,2,0)),IF(P783="","LOSE",P783)))</f>
        <v>S41</v>
      </c>
      <c r="BZ783" s="62" t="n">
        <f aca="false">IF(BY783="LOSE",1,IF(N(V783)&gt;0,V783,IF(CB783=1,MAX(1,N(VLOOKUP(T783,Parameter!$I$27:$K$29,3,0)),H783,N(N783)),IF(N(Q783)&gt;0,Q783,MAX(1,H783)))))</f>
        <v>96</v>
      </c>
      <c r="CA783" s="65" t="n">
        <f aca="false">IF(BY783="LOSE",1,0)</f>
        <v>0</v>
      </c>
      <c r="CB783" s="65" t="n">
        <f aca="false">IF(AND(U783="",OR(P783="",P783="LOSE"),T783&lt;&gt;"",N(S783)&lt;=0,ISNUMBER(MATCH(T783,Parameter!$I$27:$I$29,0))),1,0)</f>
        <v>0</v>
      </c>
      <c r="CC783" s="65" t="n">
        <f aca="false">IF(CR783&gt;0,INDEX(Parameter!$H$5:$H$7,W783)/INDEX(Parameter!$E$5:$E$7,W783),IF(AND(CA783=0,N(IFERROR(VLOOKUP(BY783,'Gebinde-Kategorie'!$A$5:$N$45,14,0),0))&gt;0),VLOOKUP(BY783,'Gebinde-Kategorie'!$A$5:$N$45,14,0)*10+Parameter!$M$23,Parameter!$M$24))</f>
        <v>155</v>
      </c>
      <c r="CD783" s="60" t="str">
        <f aca="false">IF(AND(Parameter!$B$19="Ja",E783&lt;&gt;"",ISNUMBER(MATCH(E783,Parameter!$I$35:$I$52,0))),VLOOKUP(E783,Parameter!$I$35:$J$52,2,0),IFERROR(VLOOKUP(D783,Parameter!$A$35:$C$64,2,0),"Nein"))</f>
        <v>2+3</v>
      </c>
      <c r="CE783" s="64" t="n">
        <f aca="false">IF(CA783=0,0,IF(N(S783)&gt;0,S783,IFERROR(VLOOKUP(D783,Parameter!$A$35:$C$64,3,0)+0,0)))</f>
        <v>0</v>
      </c>
      <c r="CF783" s="60" t="n">
        <f aca="false">IF(AB783&lt;&gt;"",AB783,AA783)</f>
        <v>1</v>
      </c>
      <c r="CG783" s="60" t="str">
        <f aca="false">IF(OR(CF783=1,CF783=2,CF783=3),IF(Parameter!$E$27="Ja","LIFT",IF(CF783=1,"L1","L23")),IF(CF783="Aussen","Aussen","-"))</f>
        <v>LIFT</v>
      </c>
      <c r="CH783" s="71" t="n">
        <f aca="false">IF(N(AC783)&gt;0,AC783,0)</f>
        <v>0</v>
      </c>
      <c r="CI783" s="65" t="n">
        <f aca="false">IF(ISNUMBER(AF783),1,0)</f>
        <v>0</v>
      </c>
      <c r="CJ783" s="62" t="n">
        <f aca="false">N(AF783)</f>
        <v>0</v>
      </c>
      <c r="CK783" s="62" t="n">
        <f aca="false">N(M783)+N(N783)</f>
        <v>1</v>
      </c>
      <c r="CL783" s="62" t="n">
        <f aca="false">N(M783)</f>
        <v>0</v>
      </c>
      <c r="CM783" s="62" t="n">
        <f aca="false">N(N783)</f>
        <v>1</v>
      </c>
      <c r="CN783" s="62" t="n">
        <f aca="false">ROUNDUP(H783/BZ783,0)</f>
        <v>1</v>
      </c>
      <c r="CO783" s="62" t="n">
        <f aca="false">ROUNDUP(CJ783/BZ783,0)</f>
        <v>0</v>
      </c>
      <c r="CP783" s="65" t="n">
        <f aca="false">IF(CA783=1,0,IFERROR(VLOOKUP(BY783,'Gebinde-Kategorie'!$A$5:$N$45,5,0)+0,0))</f>
        <v>11</v>
      </c>
      <c r="CQ783" s="65" t="n">
        <f aca="false">IFERROR(IF(OR(CF783=1,CF783=2,CF783=3),N(INDEX(Parameter!$I$5:$I$7,CF783)),0),0)</f>
        <v>0</v>
      </c>
      <c r="CR783" s="64" t="n">
        <f aca="false">IF(AND(Parameter!$B$21="Ja",ISNUMBER(W783),N(X783)&gt;0),IFERROR(N(INDEX(Parameter!$L$5:$L$7,W783))*INDEX(Parameter!$E$5:$E$7,W783)*X783/SUMIFS($X$7:$X$1843,$W$7:$W$1843,W783),0),0)</f>
        <v>0</v>
      </c>
      <c r="CS783" s="62" t="n">
        <f aca="false">IF(AND(OR(CG783="L1",CG783="L23",CG783="LIFT"),H783&gt;0),CC783*IF(CR783&gt;0,CR783*MAX(1,H783/X783),IF(CA783=1,CE783,IF(R783&gt;0,CN783/R783,0))/MAX(0.1,N(Parameter!$M$21))),"")</f>
        <v>2.98076923076923</v>
      </c>
      <c r="CT783" s="64" t="n">
        <f aca="false">IF(CS783="","",J783/H783)</f>
        <v>0</v>
      </c>
      <c r="CU783" s="62" t="n">
        <f aca="false">IF(CS783="","",H783*G783)</f>
        <v>23.4</v>
      </c>
      <c r="CV783" s="63" t="n">
        <f aca="false">IF(CS783="","",(CL783+ROUNDUP(CL783+MAX(CM783,2*(J783/MAX(0.1,N(Einkauf!$C$6))-CL783)),0))/2)</f>
        <v>0.5</v>
      </c>
      <c r="CW783" s="62" t="n">
        <f aca="false">IF(CS783="","",MAX(0,H783-CV783)*G783)</f>
        <v>23.14</v>
      </c>
      <c r="CX783" s="62" t="n">
        <f aca="false">IF(CS783="","",CS783*MAX(0,1-CV783/H783))</f>
        <v>2.94764957264957</v>
      </c>
      <c r="CY783" s="64" t="n">
        <f aca="false">IF(CS783="","",PERCENTRANK($CS$7:$CS$1843,CS783)+PERCENTRANK($CU$7:$CU$1843,CU783)+1-PERCENTRANK($CT$7:$CT$1843,CT783))</f>
        <v>1.304</v>
      </c>
      <c r="CZ783" s="72" t="n">
        <f aca="false">IF(CS783="","",CHOOSE(MATCH(Einkauf!$C$5,Parameter!$G$23:$G$27,0),CY783,CS783,CU783,-CT783,CW783)+ROW()/1000000000)</f>
        <v>1.304000783</v>
      </c>
    </row>
    <row r="784" customFormat="false" ht="15" hidden="false" customHeight="false" outlineLevel="0" collapsed="false">
      <c r="A784" s="60" t="s">
        <v>1572</v>
      </c>
      <c r="B784" s="60" t="s">
        <v>1573</v>
      </c>
      <c r="C784" s="60" t="s">
        <v>206</v>
      </c>
      <c r="D784" s="60" t="s">
        <v>226</v>
      </c>
      <c r="E784" s="60" t="s">
        <v>227</v>
      </c>
      <c r="F784" s="60" t="s">
        <v>260</v>
      </c>
      <c r="G784" s="61" t="n">
        <v>0.45</v>
      </c>
      <c r="H784" s="62" t="n">
        <f aca="false">MAX(0,IF(AND(Parameter!$B$21="Ja",ISNUMBER(Y784)),Y784,IF(Parameter!$B$20="Jahresanfang 2025 + Export",BS784+BR784,BR784)))</f>
        <v>45</v>
      </c>
      <c r="I784" s="62" t="n">
        <f aca="false">H784*G784</f>
        <v>20.25</v>
      </c>
      <c r="J784" s="62" t="n">
        <f aca="false">BU784*Parameter!$B$18</f>
        <v>0</v>
      </c>
      <c r="K784" s="63" t="n">
        <v>53</v>
      </c>
      <c r="L784" s="64" t="n">
        <v>0</v>
      </c>
      <c r="M784" s="62" t="n">
        <v>0</v>
      </c>
      <c r="N784" s="62" t="n">
        <v>1</v>
      </c>
      <c r="O784" s="65" t="n">
        <v>49</v>
      </c>
      <c r="P784" s="60" t="s">
        <v>443</v>
      </c>
      <c r="Q784" s="62" t="n">
        <v>56</v>
      </c>
      <c r="R784" s="65" t="n">
        <f aca="false">IF(CA784=1,0,IFERROR(VLOOKUP(BY784,'Gebinde-Kategorie'!$A$5:$N$45,13,0)+0,0))</f>
        <v>280</v>
      </c>
      <c r="S784" s="66"/>
      <c r="T784" s="67"/>
      <c r="U784" s="67"/>
      <c r="V784" s="67"/>
      <c r="W784" s="60"/>
      <c r="X784" s="62"/>
      <c r="Y784" s="62"/>
      <c r="Z784" s="60" t="n">
        <v>2</v>
      </c>
      <c r="AA784" s="60" t="n">
        <f aca="false">IF(A784="","",IF(AND(Parameter!$B$21="Ja",ISNUMBER(W784)),W784,IF(AND(Parameter!$E$27="Ja",ISNUMBER(Z784),CD784&lt;&gt;"Nein"),Z784,IF(CD784="2+3",IF(ISNUMBER(SEARCH("grosser Artikel",BV784)),2,IFERROR(VLOOKUP(BY784,Parameter!$F$35:$G$64,2,0),2)),IF(OR(CD784="Nein",CD784=""),"-",CD784)))))</f>
        <v>2</v>
      </c>
      <c r="AB784" s="67"/>
      <c r="AC784" s="68"/>
      <c r="AD784" s="62" t="n">
        <f aca="false">AW784</f>
        <v>1</v>
      </c>
      <c r="AE784" s="62" t="n">
        <f aca="false">MAX(AW784,H784)</f>
        <v>45</v>
      </c>
      <c r="AF784" s="69"/>
      <c r="AG784" s="62" t="n">
        <f aca="false">IF(LEFT(Cockpit!$C$5,1)="A",H784,IF(Parameter!$E$30="MAX-Bestand",IF(CI784=1,CJ784,IF(LEFT(Cockpit!$C$5,1)="B",AM784,MAX(AM784,H784))),ROUNDUP(AK784,0)))</f>
        <v>45</v>
      </c>
      <c r="AH784" s="62" t="n">
        <f aca="false">IF(CA784=1,0,ROUNDUP(AG784/BZ784,0))</f>
        <v>1</v>
      </c>
      <c r="AI784" s="64" t="n">
        <f aca="false">IF(CR784&gt;0,CR784*MAX(1,AG784/X784),IF(CA784=1,IF(AG784&lt;=0,0,CE784*MAX(1,IF(H784&gt;0,AG784/H784,1))),IF(R784&gt;0,AH784/R784,0))/MAX(0.1,N(Parameter!$M$21)))</f>
        <v>0.00357142857142857</v>
      </c>
      <c r="AJ784" s="62" t="n">
        <f aca="false">AI784*CC784</f>
        <v>0.553571428571429</v>
      </c>
      <c r="AK784" s="63" t="n">
        <f aca="false">IF(LEFT(Cockpit!$C$5,1)="A",H784,IF(CI784=1,(CL784+CJ784)/2,IF(LEFT(Cockpit!$C$5,1)="B",(CL784+AM784)/2,MAX((CL784+AM784)/2,H784))))</f>
        <v>45</v>
      </c>
      <c r="AL784" s="62" t="n">
        <f aca="false">AK784*G784</f>
        <v>20.25</v>
      </c>
      <c r="AM784" s="62" t="n">
        <f aca="false">ROUNDUP(CL784+MAX(CM784,2*(J784/IF(CH784&gt;0,CH784,MAX(0.1,N(Cockpit!$C$6)))-CL784)),0)</f>
        <v>1</v>
      </c>
      <c r="AN784" s="63" t="n">
        <f aca="false">IF(AJ784&gt;0,J784/AJ784,-1)</f>
        <v>0</v>
      </c>
      <c r="AO784" s="63" t="n">
        <f aca="false">IF(AND(OR(CG784="L1",CG784="L23",CG784="LIFT"),AJ784&gt;0),SUMIFS($AJ$7:$AJ$1843,$CG$7:$CG$1843,CG784,$AN$7:$AN$1843,"&gt;"&amp;AN784)+SUMIFS($AJ$7:$AJ$1843,$CG$7:$CG$1843,CG784,$AN$7:$AN$1843,AN784,$BX$7:$BX$1843,"&lt;="&amp;BX784),"")</f>
        <v>28760.7309373771</v>
      </c>
      <c r="AP784" s="70" t="n">
        <f aca="false">IF(AO784="",0,MAX(0,MIN(1,(IF(CG784="L1",Parameter!$H$5,IF(CG784="L23",Parameter!$H$6+Parameter!$H$7,Parameter!$H$5+Parameter!$H$6+Parameter!$H$7))-(AO784-AJ784))/AJ784)))</f>
        <v>1</v>
      </c>
      <c r="AQ784" s="62" t="n">
        <f aca="false">IF(LEFT(Cockpit!$I$5,1)="A",H784,IF(Parameter!$E$30="MAX-Bestand",IF(CI784=1,CJ784,IF(LEFT(Cockpit!$I$5,1)="B",AW784,MAX(AW784,H784))),ROUNDUP(AU784,0)))</f>
        <v>45</v>
      </c>
      <c r="AR784" s="62" t="n">
        <f aca="false">IF(CA784=1,0,ROUNDUP(AQ784/BZ784,0))</f>
        <v>1</v>
      </c>
      <c r="AS784" s="64" t="n">
        <f aca="false">IF(CR784&gt;0,CR784*MAX(1,AQ784/X784),IF(CA784=1,IF(AQ784&lt;=0,0,CE784*MAX(1,IF(H784&gt;0,AQ784/H784,1))),IF(R784&gt;0,AR784/R784,0))/MAX(0.1,N(Parameter!$M$21)))</f>
        <v>0.00357142857142857</v>
      </c>
      <c r="AT784" s="62" t="n">
        <f aca="false">AS784*CC784</f>
        <v>0.553571428571429</v>
      </c>
      <c r="AU784" s="63" t="n">
        <f aca="false">IF(LEFT(Cockpit!$I$5,1)="A",H784,IF(CI784=1,(CL784+CJ784)/2,IF(LEFT(Cockpit!$I$5,1)="B",(CL784+AW784)/2,MAX((CL784+AW784)/2,H784))))</f>
        <v>45</v>
      </c>
      <c r="AV784" s="62" t="n">
        <f aca="false">AU784*G784</f>
        <v>20.25</v>
      </c>
      <c r="AW784" s="62" t="n">
        <f aca="false">ROUNDUP(CL784+MAX(CM784,2*(J784/IF(CH784&gt;0,CH784,MAX(0.1,N(Cockpit!$I$6)))-CL784)),0)</f>
        <v>1</v>
      </c>
      <c r="AX784" s="63" t="n">
        <f aca="false">IF(AT784&gt;0,J784/AT784,-1)</f>
        <v>0</v>
      </c>
      <c r="AY784" s="63" t="n">
        <f aca="false">IF(AND(OR(CG784="L1",CG784="L23",CG784="LIFT"),AT784&gt;0),SUMIFS($AT$7:$AT$1843,$CG$7:$CG$1843,CG784,$AX$7:$AX$1843,"&gt;"&amp;AX784)+SUMIFS($AT$7:$AT$1843,$CG$7:$CG$1843,CG784,$AX$7:$AX$1843,AX784,$BX$7:$BX$1843,"&lt;="&amp;BX784),"")</f>
        <v>34365.5141941392</v>
      </c>
      <c r="AZ784" s="70" t="n">
        <f aca="false">IF(AY784="",0,MAX(0,MIN(1,(IF(CG784="L1",Parameter!$H$5,IF(CG784="L23",Parameter!$H$6+Parameter!$H$7,Parameter!$H$5+Parameter!$H$6+Parameter!$H$7))-(AY784-AT784))/AT784)))</f>
        <v>1</v>
      </c>
      <c r="BA784" s="62" t="n">
        <f aca="false">IF(LEFT(Cockpit!$O$5,1)="A",H784,IF(Parameter!$E$30="MAX-Bestand",IF(CI784=1,CJ784,IF(LEFT(Cockpit!$O$5,1)="B",BG784,MAX(BG784,H784))),ROUNDUP(BE784,0)))</f>
        <v>1</v>
      </c>
      <c r="BB784" s="62" t="n">
        <f aca="false">IF(CA784=1,0,ROUNDUP(BA784/BZ784,0))</f>
        <v>1</v>
      </c>
      <c r="BC784" s="64" t="n">
        <f aca="false">IF(CR784&gt;0,CR784*MAX(1,BA784/X784),IF(CA784=1,IF(BA784&lt;=0,0,CE784*MAX(1,IF(H784&gt;0,BA784/H784,1))),IF(R784&gt;0,BB784/R784,0))/MAX(0.1,N(Parameter!$M$21)))</f>
        <v>0.00357142857142857</v>
      </c>
      <c r="BD784" s="62" t="n">
        <f aca="false">BC784*CC784</f>
        <v>0.553571428571429</v>
      </c>
      <c r="BE784" s="63" t="n">
        <f aca="false">IF(LEFT(Cockpit!$O$5,1)="A",H784,IF(CI784=1,(CL784+CJ784)/2,IF(LEFT(Cockpit!$O$5,1)="B",(CL784+BG784)/2,MAX((CL784+BG784)/2,H784))))</f>
        <v>0.5</v>
      </c>
      <c r="BF784" s="62" t="n">
        <f aca="false">BE784*G784</f>
        <v>0.225</v>
      </c>
      <c r="BG784" s="62" t="n">
        <f aca="false">ROUNDUP(CL784+MAX(CM784,2*(J784/IF(CH784&gt;0,CH784,MAX(0.1,N(Cockpit!$O$6)))-CL784)),0)</f>
        <v>1</v>
      </c>
      <c r="BH784" s="63" t="n">
        <f aca="false">IF(BD784&gt;0,J784/BD784,-1)</f>
        <v>0</v>
      </c>
      <c r="BI784" s="63" t="n">
        <f aca="false">IF(AND(OR(CG784="L1",CG784="L23",CG784="LIFT"),BD784&gt;0),SUMIFS($BD$7:$BD$1843,$CG$7:$CG$1843,CG784,$BH$7:$BH$1843,"&gt;"&amp;BH784)+SUMIFS($BD$7:$BD$1843,$CG$7:$CG$1843,CG784,$BH$7:$BH$1843,BH784,$BX$7:$BX$1843,"&lt;="&amp;BX784),"")</f>
        <v>28409.3840411001</v>
      </c>
      <c r="BJ784" s="70" t="n">
        <f aca="false">IF(BI784="",0,MAX(0,MIN(1,(IF(CG784="L1",Parameter!$H$5,IF(CG784="L23",Parameter!$H$6+Parameter!$H$7,Parameter!$H$5+Parameter!$H$6+Parameter!$H$7))-(BI784-BD784))/BD784)))</f>
        <v>1</v>
      </c>
      <c r="BK784" s="60" t="str">
        <f aca="false">IF(AJ784&lt;=0,"",IF(CG784="Aussen","Aussenlager",IF(CG784="-","Nicht im Lift",IF(AP784&gt;=1,"Lift",IF(AP784&lt;=0,"Aussenlager","teilweise")))))</f>
        <v>Lift</v>
      </c>
      <c r="BL784" s="60" t="str">
        <f aca="false">IF(AT784&lt;=0,"",IF(CG784="Aussen","Aussenlager",IF(CG784="-","Nicht im Lift",IF(AZ784&gt;=1,"Lift",IF(AZ784&lt;=0,"Aussenlager","teilweise")))))</f>
        <v>Lift</v>
      </c>
      <c r="BM784" s="60" t="str">
        <f aca="false">IF(BD784&lt;=0,"",IF(CG784="Aussen","Aussenlager",IF(CG784="-","Nicht im Lift",IF(BJ784&gt;=1,"Lift",IF(BJ784&lt;=0,"Aussenlager","teilweise")))))</f>
        <v>Lift</v>
      </c>
      <c r="BN784" s="60" t="str">
        <f aca="false">IF(A784="","",IF(BW784=1,"Neu; ","")&amp;IF(AND(BW784=0,BR784&lt;0),"negativer Bestand (Export "&amp;BR784&amp;"); ","")&amp;IF(J784&lt;=0,"Kein Verbrauch; ","")&amp;IF(CR784&gt;0,"Lift "&amp;W784&amp;" lt. Liftbericht (Fach "&amp;X784&amp;" Stk); ",IF(CB784=1,"Gebinde geschätzt ("&amp;T784&amp;"); ",IF(CA784=1,"Lose – Tablare geschätzt; ","")))&amp;IF(H784&gt;AW784,"Überbestand "&amp;ROUND(H784-AW784,0)&amp;" Stk / CHF "&amp;ROUND((H784-AW784)*G784,0)&amp;"; ","")&amp;IF(AND(CI784=1,CJ784&lt;CK784),"MAX &lt; MB+LG; ","")&amp;IF(AND(CQ784&gt;0,CP784*10&gt;CQ784),"zu hoch für Tablar; ","")&amp;IF(AND(BW784=0,OR(CI784=1,AB784&lt;&gt;"",U784&lt;&gt;"",V784&lt;&gt;"",AC784&lt;&gt;"")),"manuell übersteuert; ","")&amp;IF(AND(CA784=0,R784=0),"Gebinde unbekannt / Stellmass fehlt; ","")&amp;IF(AND(CA784=0,N(V784)&lt;=0,N(Q784)&lt;=0),"Menge pro Gebinde fehlt (Ist = 1 Gebinde); ","")&amp;BV784)</f>
        <v>negativer Bestand (Export -5); Kein Verbrauch; Überbestand 44 Stk / CHF 20; </v>
      </c>
      <c r="BO784" s="60"/>
      <c r="BP784" s="60"/>
      <c r="BQ784" s="67"/>
      <c r="BR784" s="62" t="n">
        <v>-5</v>
      </c>
      <c r="BS784" s="62" t="n">
        <v>50</v>
      </c>
      <c r="BT784" s="61" t="n">
        <v>-2.25</v>
      </c>
      <c r="BU784" s="62" t="n">
        <v>0</v>
      </c>
      <c r="BV784" s="60"/>
      <c r="BW784" s="65" t="n">
        <v>0</v>
      </c>
      <c r="BX784" s="65" t="n">
        <v>784</v>
      </c>
      <c r="BY784" s="60" t="str">
        <f aca="false">IF(U784&lt;&gt;"",UPPER(TRIM(U784)),IF(CB784=1,UPPER(VLOOKUP(T784,Parameter!$I$27:$K$29,2,0)),IF(P784="","LOSE",P784)))</f>
        <v>S21</v>
      </c>
      <c r="BZ784" s="62" t="n">
        <f aca="false">IF(BY784="LOSE",1,IF(N(V784)&gt;0,V784,IF(CB784=1,MAX(1,N(VLOOKUP(T784,Parameter!$I$27:$K$29,3,0)),H784,N(N784)),IF(N(Q784)&gt;0,Q784,MAX(1,H784)))))</f>
        <v>56</v>
      </c>
      <c r="CA784" s="65" t="n">
        <f aca="false">IF(BY784="LOSE",1,0)</f>
        <v>0</v>
      </c>
      <c r="CB784" s="65" t="n">
        <f aca="false">IF(AND(U784="",OR(P784="",P784="LOSE"),T784&lt;&gt;"",N(S784)&lt;=0,ISNUMBER(MATCH(T784,Parameter!$I$27:$I$29,0))),1,0)</f>
        <v>0</v>
      </c>
      <c r="CC784" s="65" t="n">
        <f aca="false">IF(CR784&gt;0,INDEX(Parameter!$H$5:$H$7,W784)/INDEX(Parameter!$E$5:$E$7,W784),IF(AND(CA784=0,N(IFERROR(VLOOKUP(BY784,'Gebinde-Kategorie'!$A$5:$N$45,14,0),0))&gt;0),VLOOKUP(BY784,'Gebinde-Kategorie'!$A$5:$N$45,14,0)*10+Parameter!$M$23,Parameter!$M$24))</f>
        <v>155</v>
      </c>
      <c r="CD784" s="60" t="str">
        <f aca="false">IF(AND(Parameter!$B$19="Ja",E784&lt;&gt;"",ISNUMBER(MATCH(E784,Parameter!$I$35:$I$52,0))),VLOOKUP(E784,Parameter!$I$35:$J$52,2,0),IFERROR(VLOOKUP(D784,Parameter!$A$35:$C$64,2,0),"Nein"))</f>
        <v>2+3</v>
      </c>
      <c r="CE784" s="64" t="n">
        <f aca="false">IF(CA784=0,0,IF(N(S784)&gt;0,S784,IFERROR(VLOOKUP(D784,Parameter!$A$35:$C$64,3,0)+0,0)))</f>
        <v>0</v>
      </c>
      <c r="CF784" s="60" t="n">
        <f aca="false">IF(AB784&lt;&gt;"",AB784,AA784)</f>
        <v>2</v>
      </c>
      <c r="CG784" s="60" t="str">
        <f aca="false">IF(OR(CF784=1,CF784=2,CF784=3),IF(Parameter!$E$27="Ja","LIFT",IF(CF784=1,"L1","L23")),IF(CF784="Aussen","Aussen","-"))</f>
        <v>LIFT</v>
      </c>
      <c r="CH784" s="71" t="n">
        <f aca="false">IF(N(AC784)&gt;0,AC784,0)</f>
        <v>0</v>
      </c>
      <c r="CI784" s="65" t="n">
        <f aca="false">IF(ISNUMBER(AF784),1,0)</f>
        <v>0</v>
      </c>
      <c r="CJ784" s="62" t="n">
        <f aca="false">N(AF784)</f>
        <v>0</v>
      </c>
      <c r="CK784" s="62" t="n">
        <f aca="false">N(M784)+N(N784)</f>
        <v>1</v>
      </c>
      <c r="CL784" s="62" t="n">
        <f aca="false">N(M784)</f>
        <v>0</v>
      </c>
      <c r="CM784" s="62" t="n">
        <f aca="false">N(N784)</f>
        <v>1</v>
      </c>
      <c r="CN784" s="62" t="n">
        <f aca="false">ROUNDUP(H784/BZ784,0)</f>
        <v>1</v>
      </c>
      <c r="CO784" s="62" t="n">
        <f aca="false">ROUNDUP(CJ784/BZ784,0)</f>
        <v>0</v>
      </c>
      <c r="CP784" s="65" t="n">
        <f aca="false">IF(CA784=1,0,IFERROR(VLOOKUP(BY784,'Gebinde-Kategorie'!$A$5:$N$45,5,0)+0,0))</f>
        <v>8</v>
      </c>
      <c r="CQ784" s="65" t="n">
        <f aca="false">IFERROR(IF(OR(CF784=1,CF784=2,CF784=3),N(INDEX(Parameter!$I$5:$I$7,CF784)),0),0)</f>
        <v>0</v>
      </c>
      <c r="CR784" s="64" t="n">
        <f aca="false">IF(AND(Parameter!$B$21="Ja",ISNUMBER(W784),N(X784)&gt;0),IFERROR(N(INDEX(Parameter!$L$5:$L$7,W784))*INDEX(Parameter!$E$5:$E$7,W784)*X784/SUMIFS($X$7:$X$1843,$W$7:$W$1843,W784),0),0)</f>
        <v>0</v>
      </c>
      <c r="CS784" s="62" t="n">
        <f aca="false">IF(AND(OR(CG784="L1",CG784="L23",CG784="LIFT"),H784&gt;0),CC784*IF(CR784&gt;0,CR784*MAX(1,H784/X784),IF(CA784=1,CE784,IF(R784&gt;0,CN784/R784,0))/MAX(0.1,N(Parameter!$M$21))),"")</f>
        <v>0.553571428571429</v>
      </c>
      <c r="CT784" s="64" t="n">
        <f aca="false">IF(CS784="","",J784/H784)</f>
        <v>0</v>
      </c>
      <c r="CU784" s="62" t="n">
        <f aca="false">IF(CS784="","",H784*G784)</f>
        <v>20.25</v>
      </c>
      <c r="CV784" s="63" t="n">
        <f aca="false">IF(CS784="","",(CL784+ROUNDUP(CL784+MAX(CM784,2*(J784/MAX(0.1,N(Einkauf!$C$6))-CL784)),0))/2)</f>
        <v>0.5</v>
      </c>
      <c r="CW784" s="62" t="n">
        <f aca="false">IF(CS784="","",MAX(0,H784-CV784)*G784)</f>
        <v>20.025</v>
      </c>
      <c r="CX784" s="62" t="n">
        <f aca="false">IF(CS784="","",CS784*MAX(0,1-CV784/H784))</f>
        <v>0.547420634920635</v>
      </c>
      <c r="CY784" s="64" t="n">
        <f aca="false">IF(CS784="","",PERCENTRANK($CS$7:$CS$1843,CS784)+PERCENTRANK($CU$7:$CU$1843,CU784)+1-PERCENTRANK($CT$7:$CT$1843,CT784))</f>
        <v>1.0752</v>
      </c>
      <c r="CZ784" s="72" t="n">
        <f aca="false">IF(CS784="","",CHOOSE(MATCH(Einkauf!$C$5,Parameter!$G$23:$G$27,0),CY784,CS784,CU784,-CT784,CW784)+ROW()/1000000000)</f>
        <v>1.075200784</v>
      </c>
    </row>
    <row r="785" customFormat="false" ht="15" hidden="false" customHeight="false" outlineLevel="0" collapsed="false">
      <c r="A785" s="60" t="s">
        <v>1574</v>
      </c>
      <c r="B785" s="60" t="s">
        <v>1278</v>
      </c>
      <c r="C785" s="60" t="s">
        <v>206</v>
      </c>
      <c r="D785" s="60" t="s">
        <v>226</v>
      </c>
      <c r="E785" s="60" t="s">
        <v>227</v>
      </c>
      <c r="F785" s="60" t="s">
        <v>260</v>
      </c>
      <c r="G785" s="61" t="n">
        <v>0.17</v>
      </c>
      <c r="H785" s="62" t="n">
        <f aca="false">MAX(0,IF(AND(Parameter!$B$21="Ja",ISNUMBER(Y785)),Y785,IF(Parameter!$B$20="Jahresanfang 2025 + Export",BS785+BR785,BR785)))</f>
        <v>488</v>
      </c>
      <c r="I785" s="62" t="n">
        <f aca="false">H785*G785</f>
        <v>82.96</v>
      </c>
      <c r="J785" s="62" t="n">
        <f aca="false">BU785*Parameter!$B$18</f>
        <v>8</v>
      </c>
      <c r="K785" s="63" t="n">
        <v>497.5</v>
      </c>
      <c r="L785" s="64" t="n">
        <v>0.0160804020100503</v>
      </c>
      <c r="M785" s="62" t="n">
        <v>0</v>
      </c>
      <c r="N785" s="62" t="n">
        <v>10</v>
      </c>
      <c r="O785" s="65" t="n">
        <v>21</v>
      </c>
      <c r="P785" s="60" t="s">
        <v>518</v>
      </c>
      <c r="Q785" s="62" t="n">
        <v>205</v>
      </c>
      <c r="R785" s="65" t="n">
        <f aca="false">IF(CA785=1,0,IFERROR(VLOOKUP(BY785,'Gebinde-Kategorie'!$A$5:$N$45,13,0)+0,0))</f>
        <v>52</v>
      </c>
      <c r="S785" s="66"/>
      <c r="T785" s="67"/>
      <c r="U785" s="67"/>
      <c r="V785" s="67"/>
      <c r="W785" s="60"/>
      <c r="X785" s="62"/>
      <c r="Y785" s="62"/>
      <c r="Z785" s="60" t="n">
        <v>3</v>
      </c>
      <c r="AA785" s="60" t="n">
        <f aca="false">IF(A785="","",IF(AND(Parameter!$B$21="Ja",ISNUMBER(W785)),W785,IF(AND(Parameter!$E$27="Ja",ISNUMBER(Z785),CD785&lt;&gt;"Nein"),Z785,IF(CD785="2+3",IF(ISNUMBER(SEARCH("grosser Artikel",BV785)),2,IFERROR(VLOOKUP(BY785,Parameter!$F$35:$G$64,2,0),2)),IF(OR(CD785="Nein",CD785=""),"-",CD785)))))</f>
        <v>3</v>
      </c>
      <c r="AB785" s="67"/>
      <c r="AC785" s="68"/>
      <c r="AD785" s="62" t="n">
        <f aca="false">AW785</f>
        <v>10</v>
      </c>
      <c r="AE785" s="62" t="n">
        <f aca="false">MAX(AW785,H785)</f>
        <v>488</v>
      </c>
      <c r="AF785" s="69"/>
      <c r="AG785" s="62" t="n">
        <f aca="false">IF(LEFT(Cockpit!$C$5,1)="A",H785,IF(Parameter!$E$30="MAX-Bestand",IF(CI785=1,CJ785,IF(LEFT(Cockpit!$C$5,1)="B",AM785,MAX(AM785,H785))),ROUNDUP(AK785,0)))</f>
        <v>488</v>
      </c>
      <c r="AH785" s="62" t="n">
        <f aca="false">IF(CA785=1,0,ROUNDUP(AG785/BZ785,0))</f>
        <v>3</v>
      </c>
      <c r="AI785" s="64" t="n">
        <f aca="false">IF(CR785&gt;0,CR785*MAX(1,AG785/X785),IF(CA785=1,IF(AG785&lt;=0,0,CE785*MAX(1,IF(H785&gt;0,AG785/H785,1))),IF(R785&gt;0,AH785/R785,0))/MAX(0.1,N(Parameter!$M$21)))</f>
        <v>0.0576923076923077</v>
      </c>
      <c r="AJ785" s="62" t="n">
        <f aca="false">AI785*CC785</f>
        <v>8.94230769230769</v>
      </c>
      <c r="AK785" s="63" t="n">
        <f aca="false">IF(LEFT(Cockpit!$C$5,1)="A",H785,IF(CI785=1,(CL785+CJ785)/2,IF(LEFT(Cockpit!$C$5,1)="B",(CL785+AM785)/2,MAX((CL785+AM785)/2,H785))))</f>
        <v>488</v>
      </c>
      <c r="AL785" s="62" t="n">
        <f aca="false">AK785*G785</f>
        <v>82.96</v>
      </c>
      <c r="AM785" s="62" t="n">
        <f aca="false">ROUNDUP(CL785+MAX(CM785,2*(J785/IF(CH785&gt;0,CH785,MAX(0.1,N(Cockpit!$C$6)))-CL785)),0)</f>
        <v>10</v>
      </c>
      <c r="AN785" s="63" t="n">
        <f aca="false">IF(AJ785&gt;0,J785/AJ785,-1)</f>
        <v>0.894623655913978</v>
      </c>
      <c r="AO785" s="63" t="n">
        <f aca="false">IF(AND(OR(CG785="L1",CG785="L23",CG785="LIFT"),AJ785&gt;0),SUMIFS($AJ$7:$AJ$1843,$CG$7:$CG$1843,CG785,$AN$7:$AN$1843,"&gt;"&amp;AN785)+SUMIFS($AJ$7:$AJ$1843,$CG$7:$CG$1843,CG785,$AN$7:$AN$1843,AN785,$BX$7:$BX$1843,"&lt;="&amp;BX785),"")</f>
        <v>7631.11217948718</v>
      </c>
      <c r="AP785" s="70" t="n">
        <f aca="false">IF(AO785="",0,MAX(0,MIN(1,(IF(CG785="L1",Parameter!$H$5,IF(CG785="L23",Parameter!$H$6+Parameter!$H$7,Parameter!$H$5+Parameter!$H$6+Parameter!$H$7))-(AO785-AJ785))/AJ785)))</f>
        <v>1</v>
      </c>
      <c r="AQ785" s="62" t="n">
        <f aca="false">IF(LEFT(Cockpit!$I$5,1)="A",H785,IF(Parameter!$E$30="MAX-Bestand",IF(CI785=1,CJ785,IF(LEFT(Cockpit!$I$5,1)="B",AW785,MAX(AW785,H785))),ROUNDUP(AU785,0)))</f>
        <v>488</v>
      </c>
      <c r="AR785" s="62" t="n">
        <f aca="false">IF(CA785=1,0,ROUNDUP(AQ785/BZ785,0))</f>
        <v>3</v>
      </c>
      <c r="AS785" s="64" t="n">
        <f aca="false">IF(CR785&gt;0,CR785*MAX(1,AQ785/X785),IF(CA785=1,IF(AQ785&lt;=0,0,CE785*MAX(1,IF(H785&gt;0,AQ785/H785,1))),IF(R785&gt;0,AR785/R785,0))/MAX(0.1,N(Parameter!$M$21)))</f>
        <v>0.0576923076923077</v>
      </c>
      <c r="AT785" s="62" t="n">
        <f aca="false">AS785*CC785</f>
        <v>8.94230769230769</v>
      </c>
      <c r="AU785" s="63" t="n">
        <f aca="false">IF(LEFT(Cockpit!$I$5,1)="A",H785,IF(CI785=1,(CL785+CJ785)/2,IF(LEFT(Cockpit!$I$5,1)="B",(CL785+AW785)/2,MAX((CL785+AW785)/2,H785))))</f>
        <v>488</v>
      </c>
      <c r="AV785" s="62" t="n">
        <f aca="false">AU785*G785</f>
        <v>82.96</v>
      </c>
      <c r="AW785" s="62" t="n">
        <f aca="false">ROUNDUP(CL785+MAX(CM785,2*(J785/IF(CH785&gt;0,CH785,MAX(0.1,N(Cockpit!$I$6)))-CL785)),0)</f>
        <v>10</v>
      </c>
      <c r="AX785" s="63" t="n">
        <f aca="false">IF(AT785&gt;0,J785/AT785,-1)</f>
        <v>0.894623655913978</v>
      </c>
      <c r="AY785" s="63" t="n">
        <f aca="false">IF(AND(OR(CG785="L1",CG785="L23",CG785="LIFT"),AT785&gt;0),SUMIFS($AT$7:$AT$1843,$CG$7:$CG$1843,CG785,$AX$7:$AX$1843,"&gt;"&amp;AX785)+SUMIFS($AT$7:$AT$1843,$CG$7:$CG$1843,CG785,$AX$7:$AX$1843,AX785,$BX$7:$BX$1843,"&lt;="&amp;BX785),"")</f>
        <v>9205.5521978022</v>
      </c>
      <c r="AZ785" s="70" t="n">
        <f aca="false">IF(AY785="",0,MAX(0,MIN(1,(IF(CG785="L1",Parameter!$H$5,IF(CG785="L23",Parameter!$H$6+Parameter!$H$7,Parameter!$H$5+Parameter!$H$6+Parameter!$H$7))-(AY785-AT785))/AT785)))</f>
        <v>1</v>
      </c>
      <c r="BA785" s="62" t="n">
        <f aca="false">IF(LEFT(Cockpit!$O$5,1)="A",H785,IF(Parameter!$E$30="MAX-Bestand",IF(CI785=1,CJ785,IF(LEFT(Cockpit!$O$5,1)="B",BG785,MAX(BG785,H785))),ROUNDUP(BE785,0)))</f>
        <v>5</v>
      </c>
      <c r="BB785" s="62" t="n">
        <f aca="false">IF(CA785=1,0,ROUNDUP(BA785/BZ785,0))</f>
        <v>1</v>
      </c>
      <c r="BC785" s="64" t="n">
        <f aca="false">IF(CR785&gt;0,CR785*MAX(1,BA785/X785),IF(CA785=1,IF(BA785&lt;=0,0,CE785*MAX(1,IF(H785&gt;0,BA785/H785,1))),IF(R785&gt;0,BB785/R785,0))/MAX(0.1,N(Parameter!$M$21)))</f>
        <v>0.0192307692307692</v>
      </c>
      <c r="BD785" s="62" t="n">
        <f aca="false">BC785*CC785</f>
        <v>2.98076923076923</v>
      </c>
      <c r="BE785" s="63" t="n">
        <f aca="false">IF(LEFT(Cockpit!$O$5,1)="A",H785,IF(CI785=1,(CL785+CJ785)/2,IF(LEFT(Cockpit!$O$5,1)="B",(CL785+BG785)/2,MAX((CL785+BG785)/2,H785))))</f>
        <v>5</v>
      </c>
      <c r="BF785" s="62" t="n">
        <f aca="false">BE785*G785</f>
        <v>0.85</v>
      </c>
      <c r="BG785" s="62" t="n">
        <f aca="false">ROUNDUP(CL785+MAX(CM785,2*(J785/IF(CH785&gt;0,CH785,MAX(0.1,N(Cockpit!$O$6)))-CL785)),0)</f>
        <v>10</v>
      </c>
      <c r="BH785" s="63" t="n">
        <f aca="false">IF(BD785&gt;0,J785/BD785,-1)</f>
        <v>2.68387096774194</v>
      </c>
      <c r="BI785" s="63" t="n">
        <f aca="false">IF(AND(OR(CG785="L1",CG785="L23",CG785="LIFT"),BD785&gt;0),SUMIFS($BD$7:$BD$1843,$CG$7:$CG$1843,CG785,$BH$7:$BH$1843,"&gt;"&amp;BH785)+SUMIFS($BD$7:$BD$1843,$CG$7:$CG$1843,CG785,$BH$7:$BH$1843,BH785,$BX$7:$BX$1843,"&lt;="&amp;BX785),"")</f>
        <v>5337.48076923077</v>
      </c>
      <c r="BJ785" s="70" t="n">
        <f aca="false">IF(BI785="",0,MAX(0,MIN(1,(IF(CG785="L1",Parameter!$H$5,IF(CG785="L23",Parameter!$H$6+Parameter!$H$7,Parameter!$H$5+Parameter!$H$6+Parameter!$H$7))-(BI785-BD785))/BD785)))</f>
        <v>1</v>
      </c>
      <c r="BK785" s="60" t="str">
        <f aca="false">IF(AJ785&lt;=0,"",IF(CG785="Aussen","Aussenlager",IF(CG785="-","Nicht im Lift",IF(AP785&gt;=1,"Lift",IF(AP785&lt;=0,"Aussenlager","teilweise")))))</f>
        <v>Lift</v>
      </c>
      <c r="BL785" s="60" t="str">
        <f aca="false">IF(AT785&lt;=0,"",IF(CG785="Aussen","Aussenlager",IF(CG785="-","Nicht im Lift",IF(AZ785&gt;=1,"Lift",IF(AZ785&lt;=0,"Aussenlager","teilweise")))))</f>
        <v>Lift</v>
      </c>
      <c r="BM785" s="60" t="str">
        <f aca="false">IF(BD785&lt;=0,"",IF(CG785="Aussen","Aussenlager",IF(CG785="-","Nicht im Lift",IF(BJ785&gt;=1,"Lift",IF(BJ785&lt;=0,"Aussenlager","teilweise")))))</f>
        <v>Lift</v>
      </c>
      <c r="BN785" s="60" t="str">
        <f aca="false">IF(A785="","",IF(BW785=1,"Neu; ","")&amp;IF(AND(BW785=0,BR785&lt;0),"negativer Bestand (Export "&amp;BR785&amp;"); ","")&amp;IF(J785&lt;=0,"Kein Verbrauch; ","")&amp;IF(CR785&gt;0,"Lift "&amp;W785&amp;" lt. Liftbericht (Fach "&amp;X785&amp;" Stk); ",IF(CB785=1,"Gebinde geschätzt ("&amp;T785&amp;"); ",IF(CA785=1,"Lose – Tablare geschätzt; ","")))&amp;IF(H785&gt;AW785,"Überbestand "&amp;ROUND(H785-AW785,0)&amp;" Stk / CHF "&amp;ROUND((H785-AW785)*G785,0)&amp;"; ","")&amp;IF(AND(CI785=1,CJ785&lt;CK785),"MAX &lt; MB+LG; ","")&amp;IF(AND(CQ785&gt;0,CP785*10&gt;CQ785),"zu hoch für Tablar; ","")&amp;IF(AND(BW785=0,OR(CI785=1,AB785&lt;&gt;"",U785&lt;&gt;"",V785&lt;&gt;"",AC785&lt;&gt;"")),"manuell übersteuert; ","")&amp;IF(AND(CA785=0,R785=0),"Gebinde unbekannt / Stellmass fehlt; ","")&amp;IF(AND(CA785=0,N(V785)&lt;=0,N(Q785)&lt;=0),"Menge pro Gebinde fehlt (Ist = 1 Gebinde); ","")&amp;BV785)</f>
        <v>negativer Bestand (Export -15); Überbestand 478 Stk / CHF 81; Überbestand</v>
      </c>
      <c r="BO785" s="60"/>
      <c r="BP785" s="60"/>
      <c r="BQ785" s="67"/>
      <c r="BR785" s="62" t="n">
        <v>-15</v>
      </c>
      <c r="BS785" s="62" t="n">
        <v>503</v>
      </c>
      <c r="BT785" s="61" t="n">
        <v>-2.55</v>
      </c>
      <c r="BU785" s="62" t="n">
        <v>8</v>
      </c>
      <c r="BV785" s="60" t="s">
        <v>434</v>
      </c>
      <c r="BW785" s="65" t="n">
        <v>0</v>
      </c>
      <c r="BX785" s="65" t="n">
        <v>785</v>
      </c>
      <c r="BY785" s="60" t="str">
        <f aca="false">IF(U785&lt;&gt;"",UPPER(TRIM(U785)),IF(CB785=1,UPPER(VLOOKUP(T785,Parameter!$I$27:$K$29,2,0)),IF(P785="","LOSE",P785)))</f>
        <v>S33</v>
      </c>
      <c r="BZ785" s="62" t="n">
        <f aca="false">IF(BY785="LOSE",1,IF(N(V785)&gt;0,V785,IF(CB785=1,MAX(1,N(VLOOKUP(T785,Parameter!$I$27:$K$29,3,0)),H785,N(N785)),IF(N(Q785)&gt;0,Q785,MAX(1,H785)))))</f>
        <v>205</v>
      </c>
      <c r="CA785" s="65" t="n">
        <f aca="false">IF(BY785="LOSE",1,0)</f>
        <v>0</v>
      </c>
      <c r="CB785" s="65" t="n">
        <f aca="false">IF(AND(U785="",OR(P785="",P785="LOSE"),T785&lt;&gt;"",N(S785)&lt;=0,ISNUMBER(MATCH(T785,Parameter!$I$27:$I$29,0))),1,0)</f>
        <v>0</v>
      </c>
      <c r="CC785" s="65" t="n">
        <f aca="false">IF(CR785&gt;0,INDEX(Parameter!$H$5:$H$7,W785)/INDEX(Parameter!$E$5:$E$7,W785),IF(AND(CA785=0,N(IFERROR(VLOOKUP(BY785,'Gebinde-Kategorie'!$A$5:$N$45,14,0),0))&gt;0),VLOOKUP(BY785,'Gebinde-Kategorie'!$A$5:$N$45,14,0)*10+Parameter!$M$23,Parameter!$M$24))</f>
        <v>155</v>
      </c>
      <c r="CD785" s="60" t="str">
        <f aca="false">IF(AND(Parameter!$B$19="Ja",E785&lt;&gt;"",ISNUMBER(MATCH(E785,Parameter!$I$35:$I$52,0))),VLOOKUP(E785,Parameter!$I$35:$J$52,2,0),IFERROR(VLOOKUP(D785,Parameter!$A$35:$C$64,2,0),"Nein"))</f>
        <v>2+3</v>
      </c>
      <c r="CE785" s="64" t="n">
        <f aca="false">IF(CA785=0,0,IF(N(S785)&gt;0,S785,IFERROR(VLOOKUP(D785,Parameter!$A$35:$C$64,3,0)+0,0)))</f>
        <v>0</v>
      </c>
      <c r="CF785" s="60" t="n">
        <f aca="false">IF(AB785&lt;&gt;"",AB785,AA785)</f>
        <v>3</v>
      </c>
      <c r="CG785" s="60" t="str">
        <f aca="false">IF(OR(CF785=1,CF785=2,CF785=3),IF(Parameter!$E$27="Ja","LIFT",IF(CF785=1,"L1","L23")),IF(CF785="Aussen","Aussen","-"))</f>
        <v>LIFT</v>
      </c>
      <c r="CH785" s="71" t="n">
        <f aca="false">IF(N(AC785)&gt;0,AC785,0)</f>
        <v>0</v>
      </c>
      <c r="CI785" s="65" t="n">
        <f aca="false">IF(ISNUMBER(AF785),1,0)</f>
        <v>0</v>
      </c>
      <c r="CJ785" s="62" t="n">
        <f aca="false">N(AF785)</f>
        <v>0</v>
      </c>
      <c r="CK785" s="62" t="n">
        <f aca="false">N(M785)+N(N785)</f>
        <v>10</v>
      </c>
      <c r="CL785" s="62" t="n">
        <f aca="false">N(M785)</f>
        <v>0</v>
      </c>
      <c r="CM785" s="62" t="n">
        <f aca="false">N(N785)</f>
        <v>10</v>
      </c>
      <c r="CN785" s="62" t="n">
        <f aca="false">ROUNDUP(H785/BZ785,0)</f>
        <v>3</v>
      </c>
      <c r="CO785" s="62" t="n">
        <f aca="false">ROUNDUP(CJ785/BZ785,0)</f>
        <v>0</v>
      </c>
      <c r="CP785" s="65" t="n">
        <f aca="false">IF(CA785=1,0,IFERROR(VLOOKUP(BY785,'Gebinde-Kategorie'!$A$5:$N$45,5,0)+0,0))</f>
        <v>8</v>
      </c>
      <c r="CQ785" s="65" t="n">
        <f aca="false">IFERROR(IF(OR(CF785=1,CF785=2,CF785=3),N(INDEX(Parameter!$I$5:$I$7,CF785)),0),0)</f>
        <v>0</v>
      </c>
      <c r="CR785" s="64" t="n">
        <f aca="false">IF(AND(Parameter!$B$21="Ja",ISNUMBER(W785),N(X785)&gt;0),IFERROR(N(INDEX(Parameter!$L$5:$L$7,W785))*INDEX(Parameter!$E$5:$E$7,W785)*X785/SUMIFS($X$7:$X$1843,$W$7:$W$1843,W785),0),0)</f>
        <v>0</v>
      </c>
      <c r="CS785" s="62" t="n">
        <f aca="false">IF(AND(OR(CG785="L1",CG785="L23",CG785="LIFT"),H785&gt;0),CC785*IF(CR785&gt;0,CR785*MAX(1,H785/X785),IF(CA785=1,CE785,IF(R785&gt;0,CN785/R785,0))/MAX(0.1,N(Parameter!$M$21))),"")</f>
        <v>8.94230769230769</v>
      </c>
      <c r="CT785" s="64" t="n">
        <f aca="false">IF(CS785="","",J785/H785)</f>
        <v>0.0163934426229508</v>
      </c>
      <c r="CU785" s="62" t="n">
        <f aca="false">IF(CS785="","",H785*G785)</f>
        <v>82.96</v>
      </c>
      <c r="CV785" s="63" t="n">
        <f aca="false">IF(CS785="","",(CL785+ROUNDUP(CL785+MAX(CM785,2*(J785/MAX(0.1,N(Einkauf!$C$6))-CL785)),0))/2)</f>
        <v>5</v>
      </c>
      <c r="CW785" s="62" t="n">
        <f aca="false">IF(CS785="","",MAX(0,H785-CV785)*G785)</f>
        <v>82.11</v>
      </c>
      <c r="CX785" s="62" t="n">
        <f aca="false">IF(CS785="","",CS785*MAX(0,1-CV785/H785))</f>
        <v>8.85068568726356</v>
      </c>
      <c r="CY785" s="64" t="n">
        <f aca="false">IF(CS785="","",PERCENTRANK($CS$7:$CS$1843,CS785)+PERCENTRANK($CU$7:$CU$1843,CU785)+1-PERCENTRANK($CT$7:$CT$1843,CT785))</f>
        <v>1.394</v>
      </c>
      <c r="CZ785" s="72" t="n">
        <f aca="false">IF(CS785="","",CHOOSE(MATCH(Einkauf!$C$5,Parameter!$G$23:$G$27,0),CY785,CS785,CU785,-CT785,CW785)+ROW()/1000000000)</f>
        <v>1.394000785</v>
      </c>
    </row>
    <row r="786" customFormat="false" ht="15" hidden="false" customHeight="false" outlineLevel="0" collapsed="false">
      <c r="A786" s="60" t="s">
        <v>1575</v>
      </c>
      <c r="B786" s="60" t="s">
        <v>447</v>
      </c>
      <c r="C786" s="60" t="s">
        <v>206</v>
      </c>
      <c r="D786" s="60" t="s">
        <v>226</v>
      </c>
      <c r="E786" s="60" t="s">
        <v>227</v>
      </c>
      <c r="F786" s="60" t="s">
        <v>260</v>
      </c>
      <c r="G786" s="61" t="n">
        <v>0.04</v>
      </c>
      <c r="H786" s="62" t="n">
        <f aca="false">MAX(0,IF(AND(Parameter!$B$21="Ja",ISNUMBER(Y786)),Y786,IF(Parameter!$B$20="Jahresanfang 2025 + Export",BS786+BR786,BR786)))</f>
        <v>21</v>
      </c>
      <c r="I786" s="62" t="n">
        <f aca="false">H786*G786</f>
        <v>0.84</v>
      </c>
      <c r="J786" s="62" t="n">
        <f aca="false">BU786*Parameter!$B$18</f>
        <v>60</v>
      </c>
      <c r="K786" s="63" t="n">
        <v>90</v>
      </c>
      <c r="L786" s="64" t="n">
        <v>0.666666666666667</v>
      </c>
      <c r="M786" s="62" t="n">
        <v>3</v>
      </c>
      <c r="N786" s="62" t="n">
        <v>60</v>
      </c>
      <c r="O786" s="65" t="n">
        <v>21</v>
      </c>
      <c r="P786" s="60" t="s">
        <v>468</v>
      </c>
      <c r="Q786" s="62" t="n">
        <v>175</v>
      </c>
      <c r="R786" s="65" t="n">
        <f aca="false">IF(CA786=1,0,IFERROR(VLOOKUP(BY786,'Gebinde-Kategorie'!$A$5:$N$45,13,0)+0,0))</f>
        <v>140</v>
      </c>
      <c r="S786" s="66"/>
      <c r="T786" s="67"/>
      <c r="U786" s="67"/>
      <c r="V786" s="67"/>
      <c r="W786" s="60"/>
      <c r="X786" s="62"/>
      <c r="Y786" s="62"/>
      <c r="Z786" s="60" t="n">
        <v>3</v>
      </c>
      <c r="AA786" s="60" t="n">
        <f aca="false">IF(A786="","",IF(AND(Parameter!$B$21="Ja",ISNUMBER(W786)),W786,IF(AND(Parameter!$E$27="Ja",ISNUMBER(Z786),CD786&lt;&gt;"Nein"),Z786,IF(CD786="2+3",IF(ISNUMBER(SEARCH("grosser Artikel",BV786)),2,IFERROR(VLOOKUP(BY786,Parameter!$F$35:$G$64,2,0),2)),IF(OR(CD786="Nein",CD786=""),"-",CD786)))))</f>
        <v>3</v>
      </c>
      <c r="AB786" s="67"/>
      <c r="AC786" s="68"/>
      <c r="AD786" s="62" t="n">
        <f aca="false">AW786</f>
        <v>63</v>
      </c>
      <c r="AE786" s="62" t="n">
        <f aca="false">MAX(AW786,H786)</f>
        <v>63</v>
      </c>
      <c r="AF786" s="69"/>
      <c r="AG786" s="62" t="n">
        <f aca="false">IF(LEFT(Cockpit!$C$5,1)="A",H786,IF(Parameter!$E$30="MAX-Bestand",IF(CI786=1,CJ786,IF(LEFT(Cockpit!$C$5,1)="B",AM786,MAX(AM786,H786))),ROUNDUP(AK786,0)))</f>
        <v>21</v>
      </c>
      <c r="AH786" s="62" t="n">
        <f aca="false">IF(CA786=1,0,ROUNDUP(AG786/BZ786,0))</f>
        <v>1</v>
      </c>
      <c r="AI786" s="64" t="n">
        <f aca="false">IF(CR786&gt;0,CR786*MAX(1,AG786/X786),IF(CA786=1,IF(AG786&lt;=0,0,CE786*MAX(1,IF(H786&gt;0,AG786/H786,1))),IF(R786&gt;0,AH786/R786,0))/MAX(0.1,N(Parameter!$M$21)))</f>
        <v>0.00714285714285714</v>
      </c>
      <c r="AJ786" s="62" t="n">
        <f aca="false">AI786*CC786</f>
        <v>1.10714285714286</v>
      </c>
      <c r="AK786" s="63" t="n">
        <f aca="false">IF(LEFT(Cockpit!$C$5,1)="A",H786,IF(CI786=1,(CL786+CJ786)/2,IF(LEFT(Cockpit!$C$5,1)="B",(CL786+AM786)/2,MAX((CL786+AM786)/2,H786))))</f>
        <v>21</v>
      </c>
      <c r="AL786" s="62" t="n">
        <f aca="false">AK786*G786</f>
        <v>0.84</v>
      </c>
      <c r="AM786" s="62" t="n">
        <f aca="false">ROUNDUP(CL786+MAX(CM786,2*(J786/IF(CH786&gt;0,CH786,MAX(0.1,N(Cockpit!$C$6)))-CL786)),0)</f>
        <v>63</v>
      </c>
      <c r="AN786" s="63" t="n">
        <f aca="false">IF(AJ786&gt;0,J786/AJ786,-1)</f>
        <v>54.1935483870968</v>
      </c>
      <c r="AO786" s="63" t="n">
        <f aca="false">IF(AND(OR(CG786="L1",CG786="L23",CG786="LIFT"),AJ786&gt;0),SUMIFS($AJ$7:$AJ$1843,$CG$7:$CG$1843,CG786,$AN$7:$AN$1843,"&gt;"&amp;AN786)+SUMIFS($AJ$7:$AJ$1843,$CG$7:$CG$1843,CG786,$AN$7:$AN$1843,AN786,$BX$7:$BX$1843,"&lt;="&amp;BX786),"")</f>
        <v>1002.54807692308</v>
      </c>
      <c r="AP786" s="70" t="n">
        <f aca="false">IF(AO786="",0,MAX(0,MIN(1,(IF(CG786="L1",Parameter!$H$5,IF(CG786="L23",Parameter!$H$6+Parameter!$H$7,Parameter!$H$5+Parameter!$H$6+Parameter!$H$7))-(AO786-AJ786))/AJ786)))</f>
        <v>1</v>
      </c>
      <c r="AQ786" s="62" t="n">
        <f aca="false">IF(LEFT(Cockpit!$I$5,1)="A",H786,IF(Parameter!$E$30="MAX-Bestand",IF(CI786=1,CJ786,IF(LEFT(Cockpit!$I$5,1)="B",AW786,MAX(AW786,H786))),ROUNDUP(AU786,0)))</f>
        <v>33</v>
      </c>
      <c r="AR786" s="62" t="n">
        <f aca="false">IF(CA786=1,0,ROUNDUP(AQ786/BZ786,0))</f>
        <v>1</v>
      </c>
      <c r="AS786" s="64" t="n">
        <f aca="false">IF(CR786&gt;0,CR786*MAX(1,AQ786/X786),IF(CA786=1,IF(AQ786&lt;=0,0,CE786*MAX(1,IF(H786&gt;0,AQ786/H786,1))),IF(R786&gt;0,AR786/R786,0))/MAX(0.1,N(Parameter!$M$21)))</f>
        <v>0.00714285714285714</v>
      </c>
      <c r="AT786" s="62" t="n">
        <f aca="false">AS786*CC786</f>
        <v>1.10714285714286</v>
      </c>
      <c r="AU786" s="63" t="n">
        <f aca="false">IF(LEFT(Cockpit!$I$5,1)="A",H786,IF(CI786=1,(CL786+CJ786)/2,IF(LEFT(Cockpit!$I$5,1)="B",(CL786+AW786)/2,MAX((CL786+AW786)/2,H786))))</f>
        <v>33</v>
      </c>
      <c r="AV786" s="62" t="n">
        <f aca="false">AU786*G786</f>
        <v>1.32</v>
      </c>
      <c r="AW786" s="62" t="n">
        <f aca="false">ROUNDUP(CL786+MAX(CM786,2*(J786/IF(CH786&gt;0,CH786,MAX(0.1,N(Cockpit!$I$6)))-CL786)),0)</f>
        <v>63</v>
      </c>
      <c r="AX786" s="63" t="n">
        <f aca="false">IF(AT786&gt;0,J786/AT786,-1)</f>
        <v>54.1935483870968</v>
      </c>
      <c r="AY786" s="63" t="n">
        <f aca="false">IF(AND(OR(CG786="L1",CG786="L23",CG786="LIFT"),AT786&gt;0),SUMIFS($AT$7:$AT$1843,$CG$7:$CG$1843,CG786,$AX$7:$AX$1843,"&gt;"&amp;AX786)+SUMIFS($AT$7:$AT$1843,$CG$7:$CG$1843,CG786,$AX$7:$AX$1843,AX786,$BX$7:$BX$1843,"&lt;="&amp;BX786),"")</f>
        <v>1286.24404761905</v>
      </c>
      <c r="AZ786" s="70" t="n">
        <f aca="false">IF(AY786="",0,MAX(0,MIN(1,(IF(CG786="L1",Parameter!$H$5,IF(CG786="L23",Parameter!$H$6+Parameter!$H$7,Parameter!$H$5+Parameter!$H$6+Parameter!$H$7))-(AY786-AT786))/AT786)))</f>
        <v>1</v>
      </c>
      <c r="BA786" s="62" t="n">
        <f aca="false">IF(LEFT(Cockpit!$O$5,1)="A",H786,IF(Parameter!$E$30="MAX-Bestand",IF(CI786=1,CJ786,IF(LEFT(Cockpit!$O$5,1)="B",BG786,MAX(BG786,H786))),ROUNDUP(BE786,0)))</f>
        <v>33</v>
      </c>
      <c r="BB786" s="62" t="n">
        <f aca="false">IF(CA786=1,0,ROUNDUP(BA786/BZ786,0))</f>
        <v>1</v>
      </c>
      <c r="BC786" s="64" t="n">
        <f aca="false">IF(CR786&gt;0,CR786*MAX(1,BA786/X786),IF(CA786=1,IF(BA786&lt;=0,0,CE786*MAX(1,IF(H786&gt;0,BA786/H786,1))),IF(R786&gt;0,BB786/R786,0))/MAX(0.1,N(Parameter!$M$21)))</f>
        <v>0.00714285714285714</v>
      </c>
      <c r="BD786" s="62" t="n">
        <f aca="false">BC786*CC786</f>
        <v>1.10714285714286</v>
      </c>
      <c r="BE786" s="63" t="n">
        <f aca="false">IF(LEFT(Cockpit!$O$5,1)="A",H786,IF(CI786=1,(CL786+CJ786)/2,IF(LEFT(Cockpit!$O$5,1)="B",(CL786+BG786)/2,MAX((CL786+BG786)/2,H786))))</f>
        <v>33</v>
      </c>
      <c r="BF786" s="62" t="n">
        <f aca="false">BE786*G786</f>
        <v>1.32</v>
      </c>
      <c r="BG786" s="62" t="n">
        <f aca="false">ROUNDUP(CL786+MAX(CM786,2*(J786/IF(CH786&gt;0,CH786,MAX(0.1,N(Cockpit!$O$6)))-CL786)),0)</f>
        <v>63</v>
      </c>
      <c r="BH786" s="63" t="n">
        <f aca="false">IF(BD786&gt;0,J786/BD786,-1)</f>
        <v>54.1935483870968</v>
      </c>
      <c r="BI786" s="63" t="n">
        <f aca="false">IF(AND(OR(CG786="L1",CG786="L23",CG786="LIFT"),BD786&gt;0),SUMIFS($BD$7:$BD$1843,$CG$7:$CG$1843,CG786,$BH$7:$BH$1843,"&gt;"&amp;BH786)+SUMIFS($BD$7:$BD$1843,$CG$7:$CG$1843,CG786,$BH$7:$BH$1843,BH786,$BX$7:$BX$1843,"&lt;="&amp;BX786),"")</f>
        <v>1140.53388278388</v>
      </c>
      <c r="BJ786" s="70" t="n">
        <f aca="false">IF(BI786="",0,MAX(0,MIN(1,(IF(CG786="L1",Parameter!$H$5,IF(CG786="L23",Parameter!$H$6+Parameter!$H$7,Parameter!$H$5+Parameter!$H$6+Parameter!$H$7))-(BI786-BD786))/BD786)))</f>
        <v>1</v>
      </c>
      <c r="BK786" s="60" t="str">
        <f aca="false">IF(AJ786&lt;=0,"",IF(CG786="Aussen","Aussenlager",IF(CG786="-","Nicht im Lift",IF(AP786&gt;=1,"Lift",IF(AP786&lt;=0,"Aussenlager","teilweise")))))</f>
        <v>Lift</v>
      </c>
      <c r="BL786" s="60" t="str">
        <f aca="false">IF(AT786&lt;=0,"",IF(CG786="Aussen","Aussenlager",IF(CG786="-","Nicht im Lift",IF(AZ786&gt;=1,"Lift",IF(AZ786&lt;=0,"Aussenlager","teilweise")))))</f>
        <v>Lift</v>
      </c>
      <c r="BM786" s="60" t="str">
        <f aca="false">IF(BD786&lt;=0,"",IF(CG786="Aussen","Aussenlager",IF(CG786="-","Nicht im Lift",IF(BJ786&gt;=1,"Lift",IF(BJ786&lt;=0,"Aussenlager","teilweise")))))</f>
        <v>Lift</v>
      </c>
      <c r="BN786" s="60" t="str">
        <f aca="false">IF(A786="","",IF(BW786=1,"Neu; ","")&amp;IF(AND(BW786=0,BR786&lt;0),"negativer Bestand (Export "&amp;BR786&amp;"); ","")&amp;IF(J786&lt;=0,"Kein Verbrauch; ","")&amp;IF(CR786&gt;0,"Lift "&amp;W786&amp;" lt. Liftbericht (Fach "&amp;X786&amp;" Stk); ",IF(CB786=1,"Gebinde geschätzt ("&amp;T786&amp;"); ",IF(CA786=1,"Lose – Tablare geschätzt; ","")))&amp;IF(H786&gt;AW786,"Überbestand "&amp;ROUND(H786-AW786,0)&amp;" Stk / CHF "&amp;ROUND((H786-AW786)*G786,0)&amp;"; ","")&amp;IF(AND(CI786=1,CJ786&lt;CK786),"MAX &lt; MB+LG; ","")&amp;IF(AND(CQ786&gt;0,CP786*10&gt;CQ786),"zu hoch für Tablar; ","")&amp;IF(AND(BW786=0,OR(CI786=1,AB786&lt;&gt;"",U786&lt;&gt;"",V786&lt;&gt;"",AC786&lt;&gt;"")),"manuell übersteuert; ","")&amp;IF(AND(CA786=0,R786=0),"Gebinde unbekannt / Stellmass fehlt; ","")&amp;IF(AND(CA786=0,N(V786)&lt;=0,N(Q786)&lt;=0),"Menge pro Gebinde fehlt (Ist = 1 Gebinde); ","")&amp;BV786)</f>
        <v>negativer Bestand (Export -71); </v>
      </c>
      <c r="BO786" s="60"/>
      <c r="BP786" s="60"/>
      <c r="BQ786" s="67"/>
      <c r="BR786" s="62" t="n">
        <v>-71</v>
      </c>
      <c r="BS786" s="62" t="n">
        <v>92</v>
      </c>
      <c r="BT786" s="61" t="n">
        <v>-2.84</v>
      </c>
      <c r="BU786" s="62" t="n">
        <v>60</v>
      </c>
      <c r="BV786" s="60"/>
      <c r="BW786" s="65" t="n">
        <v>0</v>
      </c>
      <c r="BX786" s="65" t="n">
        <v>786</v>
      </c>
      <c r="BY786" s="60" t="str">
        <f aca="false">IF(U786&lt;&gt;"",UPPER(TRIM(U786)),IF(CB786=1,UPPER(VLOOKUP(T786,Parameter!$I$27:$K$29,2,0)),IF(P786="","LOSE",P786)))</f>
        <v>S22</v>
      </c>
      <c r="BZ786" s="62" t="n">
        <f aca="false">IF(BY786="LOSE",1,IF(N(V786)&gt;0,V786,IF(CB786=1,MAX(1,N(VLOOKUP(T786,Parameter!$I$27:$K$29,3,0)),H786,N(N786)),IF(N(Q786)&gt;0,Q786,MAX(1,H786)))))</f>
        <v>175</v>
      </c>
      <c r="CA786" s="65" t="n">
        <f aca="false">IF(BY786="LOSE",1,0)</f>
        <v>0</v>
      </c>
      <c r="CB786" s="65" t="n">
        <f aca="false">IF(AND(U786="",OR(P786="",P786="LOSE"),T786&lt;&gt;"",N(S786)&lt;=0,ISNUMBER(MATCH(T786,Parameter!$I$27:$I$29,0))),1,0)</f>
        <v>0</v>
      </c>
      <c r="CC786" s="65" t="n">
        <f aca="false">IF(CR786&gt;0,INDEX(Parameter!$H$5:$H$7,W786)/INDEX(Parameter!$E$5:$E$7,W786),IF(AND(CA786=0,N(IFERROR(VLOOKUP(BY786,'Gebinde-Kategorie'!$A$5:$N$45,14,0),0))&gt;0),VLOOKUP(BY786,'Gebinde-Kategorie'!$A$5:$N$45,14,0)*10+Parameter!$M$23,Parameter!$M$24))</f>
        <v>155</v>
      </c>
      <c r="CD786" s="60" t="str">
        <f aca="false">IF(AND(Parameter!$B$19="Ja",E786&lt;&gt;"",ISNUMBER(MATCH(E786,Parameter!$I$35:$I$52,0))),VLOOKUP(E786,Parameter!$I$35:$J$52,2,0),IFERROR(VLOOKUP(D786,Parameter!$A$35:$C$64,2,0),"Nein"))</f>
        <v>2+3</v>
      </c>
      <c r="CE786" s="64" t="n">
        <f aca="false">IF(CA786=0,0,IF(N(S786)&gt;0,S786,IFERROR(VLOOKUP(D786,Parameter!$A$35:$C$64,3,0)+0,0)))</f>
        <v>0</v>
      </c>
      <c r="CF786" s="60" t="n">
        <f aca="false">IF(AB786&lt;&gt;"",AB786,AA786)</f>
        <v>3</v>
      </c>
      <c r="CG786" s="60" t="str">
        <f aca="false">IF(OR(CF786=1,CF786=2,CF786=3),IF(Parameter!$E$27="Ja","LIFT",IF(CF786=1,"L1","L23")),IF(CF786="Aussen","Aussen","-"))</f>
        <v>LIFT</v>
      </c>
      <c r="CH786" s="71" t="n">
        <f aca="false">IF(N(AC786)&gt;0,AC786,0)</f>
        <v>0</v>
      </c>
      <c r="CI786" s="65" t="n">
        <f aca="false">IF(ISNUMBER(AF786),1,0)</f>
        <v>0</v>
      </c>
      <c r="CJ786" s="62" t="n">
        <f aca="false">N(AF786)</f>
        <v>0</v>
      </c>
      <c r="CK786" s="62" t="n">
        <f aca="false">N(M786)+N(N786)</f>
        <v>63</v>
      </c>
      <c r="CL786" s="62" t="n">
        <f aca="false">N(M786)</f>
        <v>3</v>
      </c>
      <c r="CM786" s="62" t="n">
        <f aca="false">N(N786)</f>
        <v>60</v>
      </c>
      <c r="CN786" s="62" t="n">
        <f aca="false">ROUNDUP(H786/BZ786,0)</f>
        <v>1</v>
      </c>
      <c r="CO786" s="62" t="n">
        <f aca="false">ROUNDUP(CJ786/BZ786,0)</f>
        <v>0</v>
      </c>
      <c r="CP786" s="65" t="n">
        <f aca="false">IF(CA786=1,0,IFERROR(VLOOKUP(BY786,'Gebinde-Kategorie'!$A$5:$N$45,5,0)+0,0))</f>
        <v>8</v>
      </c>
      <c r="CQ786" s="65" t="n">
        <f aca="false">IFERROR(IF(OR(CF786=1,CF786=2,CF786=3),N(INDEX(Parameter!$I$5:$I$7,CF786)),0),0)</f>
        <v>0</v>
      </c>
      <c r="CR786" s="64" t="n">
        <f aca="false">IF(AND(Parameter!$B$21="Ja",ISNUMBER(W786),N(X786)&gt;0),IFERROR(N(INDEX(Parameter!$L$5:$L$7,W786))*INDEX(Parameter!$E$5:$E$7,W786)*X786/SUMIFS($X$7:$X$1843,$W$7:$W$1843,W786),0),0)</f>
        <v>0</v>
      </c>
      <c r="CS786" s="62" t="n">
        <f aca="false">IF(AND(OR(CG786="L1",CG786="L23",CG786="LIFT"),H786&gt;0),CC786*IF(CR786&gt;0,CR786*MAX(1,H786/X786),IF(CA786=1,CE786,IF(R786&gt;0,CN786/R786,0))/MAX(0.1,N(Parameter!$M$21))),"")</f>
        <v>1.10714285714286</v>
      </c>
      <c r="CT786" s="64" t="n">
        <f aca="false">IF(CS786="","",J786/H786)</f>
        <v>2.85714285714286</v>
      </c>
      <c r="CU786" s="62" t="n">
        <f aca="false">IF(CS786="","",H786*G786)</f>
        <v>0.84</v>
      </c>
      <c r="CV786" s="63" t="n">
        <f aca="false">IF(CS786="","",(CL786+ROUNDUP(CL786+MAX(CM786,2*(J786/MAX(0.1,N(Einkauf!$C$6))-CL786)),0))/2)</f>
        <v>33</v>
      </c>
      <c r="CW786" s="62" t="n">
        <f aca="false">IF(CS786="","",MAX(0,H786-CV786)*G786)</f>
        <v>0</v>
      </c>
      <c r="CX786" s="62" t="n">
        <f aca="false">IF(CS786="","",CS786*MAX(0,1-CV786/H786))</f>
        <v>0</v>
      </c>
      <c r="CY786" s="64" t="n">
        <f aca="false">IF(CS786="","",PERCENTRANK($CS$7:$CS$1843,CS786)+PERCENTRANK($CU$7:$CU$1843,CU786)+1-PERCENTRANK($CT$7:$CT$1843,CT786))</f>
        <v>0.18229</v>
      </c>
      <c r="CZ786" s="72" t="n">
        <f aca="false">IF(CS786="","",CHOOSE(MATCH(Einkauf!$C$5,Parameter!$G$23:$G$27,0),CY786,CS786,CU786,-CT786,CW786)+ROW()/1000000000)</f>
        <v>0.182290786</v>
      </c>
    </row>
    <row r="787" customFormat="false" ht="15" hidden="false" customHeight="false" outlineLevel="0" collapsed="false">
      <c r="A787" s="60" t="s">
        <v>1576</v>
      </c>
      <c r="B787" s="60" t="s">
        <v>449</v>
      </c>
      <c r="C787" s="60" t="s">
        <v>206</v>
      </c>
      <c r="D787" s="60" t="s">
        <v>226</v>
      </c>
      <c r="E787" s="60" t="s">
        <v>227</v>
      </c>
      <c r="F787" s="60" t="s">
        <v>260</v>
      </c>
      <c r="G787" s="61" t="n">
        <v>0.01</v>
      </c>
      <c r="H787" s="62" t="n">
        <f aca="false">MAX(0,IF(AND(Parameter!$B$21="Ja",ISNUMBER(Y787)),Y787,IF(Parameter!$B$20="Jahresanfang 2025 + Export",BS787+BR787,BR787)))</f>
        <v>1073</v>
      </c>
      <c r="I787" s="62" t="n">
        <f aca="false">H787*G787</f>
        <v>10.73</v>
      </c>
      <c r="J787" s="62" t="n">
        <f aca="false">BU787*Parameter!$B$18</f>
        <v>642</v>
      </c>
      <c r="K787" s="63" t="n">
        <v>1057.5</v>
      </c>
      <c r="L787" s="64" t="n">
        <v>0.60709219858156</v>
      </c>
      <c r="M787" s="62" t="n">
        <v>38</v>
      </c>
      <c r="N787" s="62" t="n">
        <v>660</v>
      </c>
      <c r="O787" s="65" t="n">
        <v>21</v>
      </c>
      <c r="P787" s="60" t="s">
        <v>468</v>
      </c>
      <c r="Q787" s="62" t="n">
        <v>3002</v>
      </c>
      <c r="R787" s="65" t="n">
        <f aca="false">IF(CA787=1,0,IFERROR(VLOOKUP(BY787,'Gebinde-Kategorie'!$A$5:$N$45,13,0)+0,0))</f>
        <v>140</v>
      </c>
      <c r="S787" s="66"/>
      <c r="T787" s="67"/>
      <c r="U787" s="67"/>
      <c r="V787" s="67"/>
      <c r="W787" s="60"/>
      <c r="X787" s="62"/>
      <c r="Y787" s="62"/>
      <c r="Z787" s="60" t="n">
        <v>3</v>
      </c>
      <c r="AA787" s="60" t="n">
        <f aca="false">IF(A787="","",IF(AND(Parameter!$B$21="Ja",ISNUMBER(W787)),W787,IF(AND(Parameter!$E$27="Ja",ISNUMBER(Z787),CD787&lt;&gt;"Nein"),Z787,IF(CD787="2+3",IF(ISNUMBER(SEARCH("grosser Artikel",BV787)),2,IFERROR(VLOOKUP(BY787,Parameter!$F$35:$G$64,2,0),2)),IF(OR(CD787="Nein",CD787=""),"-",CD787)))))</f>
        <v>3</v>
      </c>
      <c r="AB787" s="67"/>
      <c r="AC787" s="68"/>
      <c r="AD787" s="62" t="n">
        <f aca="false">AW787</f>
        <v>698</v>
      </c>
      <c r="AE787" s="62" t="n">
        <f aca="false">MAX(AW787,H787)</f>
        <v>1073</v>
      </c>
      <c r="AF787" s="69"/>
      <c r="AG787" s="62" t="n">
        <f aca="false">IF(LEFT(Cockpit!$C$5,1)="A",H787,IF(Parameter!$E$30="MAX-Bestand",IF(CI787=1,CJ787,IF(LEFT(Cockpit!$C$5,1)="B",AM787,MAX(AM787,H787))),ROUNDUP(AK787,0)))</f>
        <v>1073</v>
      </c>
      <c r="AH787" s="62" t="n">
        <f aca="false">IF(CA787=1,0,ROUNDUP(AG787/BZ787,0))</f>
        <v>1</v>
      </c>
      <c r="AI787" s="64" t="n">
        <f aca="false">IF(CR787&gt;0,CR787*MAX(1,AG787/X787),IF(CA787=1,IF(AG787&lt;=0,0,CE787*MAX(1,IF(H787&gt;0,AG787/H787,1))),IF(R787&gt;0,AH787/R787,0))/MAX(0.1,N(Parameter!$M$21)))</f>
        <v>0.00714285714285714</v>
      </c>
      <c r="AJ787" s="62" t="n">
        <f aca="false">AI787*CC787</f>
        <v>1.10714285714286</v>
      </c>
      <c r="AK787" s="63" t="n">
        <f aca="false">IF(LEFT(Cockpit!$C$5,1)="A",H787,IF(CI787=1,(CL787+CJ787)/2,IF(LEFT(Cockpit!$C$5,1)="B",(CL787+AM787)/2,MAX((CL787+AM787)/2,H787))))</f>
        <v>1073</v>
      </c>
      <c r="AL787" s="62" t="n">
        <f aca="false">AK787*G787</f>
        <v>10.73</v>
      </c>
      <c r="AM787" s="62" t="n">
        <f aca="false">ROUNDUP(CL787+MAX(CM787,2*(J787/IF(CH787&gt;0,CH787,MAX(0.1,N(Cockpit!$C$6)))-CL787)),0)</f>
        <v>698</v>
      </c>
      <c r="AN787" s="63" t="n">
        <f aca="false">IF(AJ787&gt;0,J787/AJ787,-1)</f>
        <v>579.870967741936</v>
      </c>
      <c r="AO787" s="63" t="n">
        <f aca="false">IF(AND(OR(CG787="L1",CG787="L23",CG787="LIFT"),AJ787&gt;0),SUMIFS($AJ$7:$AJ$1843,$CG$7:$CG$1843,CG787,$AN$7:$AN$1843,"&gt;"&amp;AN787)+SUMIFS($AJ$7:$AJ$1843,$CG$7:$CG$1843,CG787,$AN$7:$AN$1843,AN787,$BX$7:$BX$1843,"&lt;="&amp;BX787),"")</f>
        <v>50.0041208791209</v>
      </c>
      <c r="AP787" s="70" t="n">
        <f aca="false">IF(AO787="",0,MAX(0,MIN(1,(IF(CG787="L1",Parameter!$H$5,IF(CG787="L23",Parameter!$H$6+Parameter!$H$7,Parameter!$H$5+Parameter!$H$6+Parameter!$H$7))-(AO787-AJ787))/AJ787)))</f>
        <v>1</v>
      </c>
      <c r="AQ787" s="62" t="n">
        <f aca="false">IF(LEFT(Cockpit!$I$5,1)="A",H787,IF(Parameter!$E$30="MAX-Bestand",IF(CI787=1,CJ787,IF(LEFT(Cockpit!$I$5,1)="B",AW787,MAX(AW787,H787))),ROUNDUP(AU787,0)))</f>
        <v>1073</v>
      </c>
      <c r="AR787" s="62" t="n">
        <f aca="false">IF(CA787=1,0,ROUNDUP(AQ787/BZ787,0))</f>
        <v>1</v>
      </c>
      <c r="AS787" s="64" t="n">
        <f aca="false">IF(CR787&gt;0,CR787*MAX(1,AQ787/X787),IF(CA787=1,IF(AQ787&lt;=0,0,CE787*MAX(1,IF(H787&gt;0,AQ787/H787,1))),IF(R787&gt;0,AR787/R787,0))/MAX(0.1,N(Parameter!$M$21)))</f>
        <v>0.00714285714285714</v>
      </c>
      <c r="AT787" s="62" t="n">
        <f aca="false">AS787*CC787</f>
        <v>1.10714285714286</v>
      </c>
      <c r="AU787" s="63" t="n">
        <f aca="false">IF(LEFT(Cockpit!$I$5,1)="A",H787,IF(CI787=1,(CL787+CJ787)/2,IF(LEFT(Cockpit!$I$5,1)="B",(CL787+AW787)/2,MAX((CL787+AW787)/2,H787))))</f>
        <v>1073</v>
      </c>
      <c r="AV787" s="62" t="n">
        <f aca="false">AU787*G787</f>
        <v>10.73</v>
      </c>
      <c r="AW787" s="62" t="n">
        <f aca="false">ROUNDUP(CL787+MAX(CM787,2*(J787/IF(CH787&gt;0,CH787,MAX(0.1,N(Cockpit!$I$6)))-CL787)),0)</f>
        <v>698</v>
      </c>
      <c r="AX787" s="63" t="n">
        <f aca="false">IF(AT787&gt;0,J787/AT787,-1)</f>
        <v>579.870967741936</v>
      </c>
      <c r="AY787" s="63" t="n">
        <f aca="false">IF(AND(OR(CG787="L1",CG787="L23",CG787="LIFT"),AT787&gt;0),SUMIFS($AT$7:$AT$1843,$CG$7:$CG$1843,CG787,$AX$7:$AX$1843,"&gt;"&amp;AX787)+SUMIFS($AT$7:$AT$1843,$CG$7:$CG$1843,CG787,$AX$7:$AX$1843,AX787,$BX$7:$BX$1843,"&lt;="&amp;BX787),"")</f>
        <v>43.0082417582418</v>
      </c>
      <c r="AZ787" s="70" t="n">
        <f aca="false">IF(AY787="",0,MAX(0,MIN(1,(IF(CG787="L1",Parameter!$H$5,IF(CG787="L23",Parameter!$H$6+Parameter!$H$7,Parameter!$H$5+Parameter!$H$6+Parameter!$H$7))-(AY787-AT787))/AT787)))</f>
        <v>1</v>
      </c>
      <c r="BA787" s="62" t="n">
        <f aca="false">IF(LEFT(Cockpit!$O$5,1)="A",H787,IF(Parameter!$E$30="MAX-Bestand",IF(CI787=1,CJ787,IF(LEFT(Cockpit!$O$5,1)="B",BG787,MAX(BG787,H787))),ROUNDUP(BE787,0)))</f>
        <v>368</v>
      </c>
      <c r="BB787" s="62" t="n">
        <f aca="false">IF(CA787=1,0,ROUNDUP(BA787/BZ787,0))</f>
        <v>1</v>
      </c>
      <c r="BC787" s="64" t="n">
        <f aca="false">IF(CR787&gt;0,CR787*MAX(1,BA787/X787),IF(CA787=1,IF(BA787&lt;=0,0,CE787*MAX(1,IF(H787&gt;0,BA787/H787,1))),IF(R787&gt;0,BB787/R787,0))/MAX(0.1,N(Parameter!$M$21)))</f>
        <v>0.00714285714285714</v>
      </c>
      <c r="BD787" s="62" t="n">
        <f aca="false">BC787*CC787</f>
        <v>1.10714285714286</v>
      </c>
      <c r="BE787" s="63" t="n">
        <f aca="false">IF(LEFT(Cockpit!$O$5,1)="A",H787,IF(CI787=1,(CL787+CJ787)/2,IF(LEFT(Cockpit!$O$5,1)="B",(CL787+BG787)/2,MAX((CL787+BG787)/2,H787))))</f>
        <v>368</v>
      </c>
      <c r="BF787" s="62" t="n">
        <f aca="false">BE787*G787</f>
        <v>3.68</v>
      </c>
      <c r="BG787" s="62" t="n">
        <f aca="false">ROUNDUP(CL787+MAX(CM787,2*(J787/IF(CH787&gt;0,CH787,MAX(0.1,N(Cockpit!$O$6)))-CL787)),0)</f>
        <v>698</v>
      </c>
      <c r="BH787" s="63" t="n">
        <f aca="false">IF(BD787&gt;0,J787/BD787,-1)</f>
        <v>579.870967741936</v>
      </c>
      <c r="BI787" s="63" t="n">
        <f aca="false">IF(AND(OR(CG787="L1",CG787="L23",CG787="LIFT"),BD787&gt;0),SUMIFS($BD$7:$BD$1843,$CG$7:$CG$1843,CG787,$BH$7:$BH$1843,"&gt;"&amp;BH787)+SUMIFS($BD$7:$BD$1843,$CG$7:$CG$1843,CG787,$BH$7:$BH$1843,BH787,$BX$7:$BX$1843,"&lt;="&amp;BX787),"")</f>
        <v>63.0970695970696</v>
      </c>
      <c r="BJ787" s="70" t="n">
        <f aca="false">IF(BI787="",0,MAX(0,MIN(1,(IF(CG787="L1",Parameter!$H$5,IF(CG787="L23",Parameter!$H$6+Parameter!$H$7,Parameter!$H$5+Parameter!$H$6+Parameter!$H$7))-(BI787-BD787))/BD787)))</f>
        <v>1</v>
      </c>
      <c r="BK787" s="60" t="str">
        <f aca="false">IF(AJ787&lt;=0,"",IF(CG787="Aussen","Aussenlager",IF(CG787="-","Nicht im Lift",IF(AP787&gt;=1,"Lift",IF(AP787&lt;=0,"Aussenlager","teilweise")))))</f>
        <v>Lift</v>
      </c>
      <c r="BL787" s="60" t="str">
        <f aca="false">IF(AT787&lt;=0,"",IF(CG787="Aussen","Aussenlager",IF(CG787="-","Nicht im Lift",IF(AZ787&gt;=1,"Lift",IF(AZ787&lt;=0,"Aussenlager","teilweise")))))</f>
        <v>Lift</v>
      </c>
      <c r="BM787" s="60" t="str">
        <f aca="false">IF(BD787&lt;=0,"",IF(CG787="Aussen","Aussenlager",IF(CG787="-","Nicht im Lift",IF(BJ787&gt;=1,"Lift",IF(BJ787&lt;=0,"Aussenlager","teilweise")))))</f>
        <v>Lift</v>
      </c>
      <c r="BN787" s="60" t="str">
        <f aca="false">IF(A787="","",IF(BW787=1,"Neu; ","")&amp;IF(AND(BW787=0,BR787&lt;0),"negativer Bestand (Export "&amp;BR787&amp;"); ","")&amp;IF(J787&lt;=0,"Kein Verbrauch; ","")&amp;IF(CR787&gt;0,"Lift "&amp;W787&amp;" lt. Liftbericht (Fach "&amp;X787&amp;" Stk); ",IF(CB787=1,"Gebinde geschätzt ("&amp;T787&amp;"); ",IF(CA787=1,"Lose – Tablare geschätzt; ","")))&amp;IF(H787&gt;AW787,"Überbestand "&amp;ROUND(H787-AW787,0)&amp;" Stk / CHF "&amp;ROUND((H787-AW787)*G787,0)&amp;"; ","")&amp;IF(AND(CI787=1,CJ787&lt;CK787),"MAX &lt; MB+LG; ","")&amp;IF(AND(CQ787&gt;0,CP787*10&gt;CQ787),"zu hoch für Tablar; ","")&amp;IF(AND(BW787=0,OR(CI787=1,AB787&lt;&gt;"",U787&lt;&gt;"",V787&lt;&gt;"",AC787&lt;&gt;"")),"manuell übersteuert; ","")&amp;IF(AND(CA787=0,R787=0),"Gebinde unbekannt / Stellmass fehlt; ","")&amp;IF(AND(CA787=0,N(V787)&lt;=0,N(Q787)&lt;=0),"Menge pro Gebinde fehlt (Ist = 1 Gebinde); ","")&amp;BV787)</f>
        <v>negativer Bestand (Export -287); Überbestand 375 Stk / CHF 4; Braucht es diesen Artikel ?</v>
      </c>
      <c r="BO787" s="60"/>
      <c r="BP787" s="60"/>
      <c r="BQ787" s="67"/>
      <c r="BR787" s="62" t="n">
        <v>-287</v>
      </c>
      <c r="BS787" s="62" t="n">
        <v>1360</v>
      </c>
      <c r="BT787" s="61" t="n">
        <v>-2.87</v>
      </c>
      <c r="BU787" s="62" t="n">
        <v>642</v>
      </c>
      <c r="BV787" s="60" t="s">
        <v>1577</v>
      </c>
      <c r="BW787" s="65" t="n">
        <v>0</v>
      </c>
      <c r="BX787" s="65" t="n">
        <v>787</v>
      </c>
      <c r="BY787" s="60" t="str">
        <f aca="false">IF(U787&lt;&gt;"",UPPER(TRIM(U787)),IF(CB787=1,UPPER(VLOOKUP(T787,Parameter!$I$27:$K$29,2,0)),IF(P787="","LOSE",P787)))</f>
        <v>S22</v>
      </c>
      <c r="BZ787" s="62" t="n">
        <f aca="false">IF(BY787="LOSE",1,IF(N(V787)&gt;0,V787,IF(CB787=1,MAX(1,N(VLOOKUP(T787,Parameter!$I$27:$K$29,3,0)),H787,N(N787)),IF(N(Q787)&gt;0,Q787,MAX(1,H787)))))</f>
        <v>3002</v>
      </c>
      <c r="CA787" s="65" t="n">
        <f aca="false">IF(BY787="LOSE",1,0)</f>
        <v>0</v>
      </c>
      <c r="CB787" s="65" t="n">
        <f aca="false">IF(AND(U787="",OR(P787="",P787="LOSE"),T787&lt;&gt;"",N(S787)&lt;=0,ISNUMBER(MATCH(T787,Parameter!$I$27:$I$29,0))),1,0)</f>
        <v>0</v>
      </c>
      <c r="CC787" s="65" t="n">
        <f aca="false">IF(CR787&gt;0,INDEX(Parameter!$H$5:$H$7,W787)/INDEX(Parameter!$E$5:$E$7,W787),IF(AND(CA787=0,N(IFERROR(VLOOKUP(BY787,'Gebinde-Kategorie'!$A$5:$N$45,14,0),0))&gt;0),VLOOKUP(BY787,'Gebinde-Kategorie'!$A$5:$N$45,14,0)*10+Parameter!$M$23,Parameter!$M$24))</f>
        <v>155</v>
      </c>
      <c r="CD787" s="60" t="str">
        <f aca="false">IF(AND(Parameter!$B$19="Ja",E787&lt;&gt;"",ISNUMBER(MATCH(E787,Parameter!$I$35:$I$52,0))),VLOOKUP(E787,Parameter!$I$35:$J$52,2,0),IFERROR(VLOOKUP(D787,Parameter!$A$35:$C$64,2,0),"Nein"))</f>
        <v>2+3</v>
      </c>
      <c r="CE787" s="64" t="n">
        <f aca="false">IF(CA787=0,0,IF(N(S787)&gt;0,S787,IFERROR(VLOOKUP(D787,Parameter!$A$35:$C$64,3,0)+0,0)))</f>
        <v>0</v>
      </c>
      <c r="CF787" s="60" t="n">
        <f aca="false">IF(AB787&lt;&gt;"",AB787,AA787)</f>
        <v>3</v>
      </c>
      <c r="CG787" s="60" t="str">
        <f aca="false">IF(OR(CF787=1,CF787=2,CF787=3),IF(Parameter!$E$27="Ja","LIFT",IF(CF787=1,"L1","L23")),IF(CF787="Aussen","Aussen","-"))</f>
        <v>LIFT</v>
      </c>
      <c r="CH787" s="71" t="n">
        <f aca="false">IF(N(AC787)&gt;0,AC787,0)</f>
        <v>0</v>
      </c>
      <c r="CI787" s="65" t="n">
        <f aca="false">IF(ISNUMBER(AF787),1,0)</f>
        <v>0</v>
      </c>
      <c r="CJ787" s="62" t="n">
        <f aca="false">N(AF787)</f>
        <v>0</v>
      </c>
      <c r="CK787" s="62" t="n">
        <f aca="false">N(M787)+N(N787)</f>
        <v>698</v>
      </c>
      <c r="CL787" s="62" t="n">
        <f aca="false">N(M787)</f>
        <v>38</v>
      </c>
      <c r="CM787" s="62" t="n">
        <f aca="false">N(N787)</f>
        <v>660</v>
      </c>
      <c r="CN787" s="62" t="n">
        <f aca="false">ROUNDUP(H787/BZ787,0)</f>
        <v>1</v>
      </c>
      <c r="CO787" s="62" t="n">
        <f aca="false">ROUNDUP(CJ787/BZ787,0)</f>
        <v>0</v>
      </c>
      <c r="CP787" s="65" t="n">
        <f aca="false">IF(CA787=1,0,IFERROR(VLOOKUP(BY787,'Gebinde-Kategorie'!$A$5:$N$45,5,0)+0,0))</f>
        <v>8</v>
      </c>
      <c r="CQ787" s="65" t="n">
        <f aca="false">IFERROR(IF(OR(CF787=1,CF787=2,CF787=3),N(INDEX(Parameter!$I$5:$I$7,CF787)),0),0)</f>
        <v>0</v>
      </c>
      <c r="CR787" s="64" t="n">
        <f aca="false">IF(AND(Parameter!$B$21="Ja",ISNUMBER(W787),N(X787)&gt;0),IFERROR(N(INDEX(Parameter!$L$5:$L$7,W787))*INDEX(Parameter!$E$5:$E$7,W787)*X787/SUMIFS($X$7:$X$1843,$W$7:$W$1843,W787),0),0)</f>
        <v>0</v>
      </c>
      <c r="CS787" s="62" t="n">
        <f aca="false">IF(AND(OR(CG787="L1",CG787="L23",CG787="LIFT"),H787&gt;0),CC787*IF(CR787&gt;0,CR787*MAX(1,H787/X787),IF(CA787=1,CE787,IF(R787&gt;0,CN787/R787,0))/MAX(0.1,N(Parameter!$M$21))),"")</f>
        <v>1.10714285714286</v>
      </c>
      <c r="CT787" s="64" t="n">
        <f aca="false">IF(CS787="","",J787/H787)</f>
        <v>0.598322460391426</v>
      </c>
      <c r="CU787" s="62" t="n">
        <f aca="false">IF(CS787="","",H787*G787)</f>
        <v>10.73</v>
      </c>
      <c r="CV787" s="63" t="n">
        <f aca="false">IF(CS787="","",(CL787+ROUNDUP(CL787+MAX(CM787,2*(J787/MAX(0.1,N(Einkauf!$C$6))-CL787)),0))/2)</f>
        <v>368</v>
      </c>
      <c r="CW787" s="62" t="n">
        <f aca="false">IF(CS787="","",MAX(0,H787-CV787)*G787)</f>
        <v>7.05</v>
      </c>
      <c r="CX787" s="62" t="n">
        <f aca="false">IF(CS787="","",CS787*MAX(0,1-CV787/H787))</f>
        <v>0.727433098122753</v>
      </c>
      <c r="CY787" s="64" t="n">
        <f aca="false">IF(CS787="","",PERCENTRANK($CS$7:$CS$1843,CS787)+PERCENTRANK($CU$7:$CU$1843,CU787)+1-PERCENTRANK($CT$7:$CT$1843,CT787))</f>
        <v>0.5366</v>
      </c>
      <c r="CZ787" s="72" t="n">
        <f aca="false">IF(CS787="","",CHOOSE(MATCH(Einkauf!$C$5,Parameter!$G$23:$G$27,0),CY787,CS787,CU787,-CT787,CW787)+ROW()/1000000000)</f>
        <v>0.536600787</v>
      </c>
    </row>
    <row r="788" customFormat="false" ht="15" hidden="false" customHeight="false" outlineLevel="0" collapsed="false">
      <c r="A788" s="60" t="s">
        <v>1578</v>
      </c>
      <c r="B788" s="60" t="s">
        <v>1579</v>
      </c>
      <c r="C788" s="60" t="s">
        <v>206</v>
      </c>
      <c r="D788" s="60" t="s">
        <v>226</v>
      </c>
      <c r="E788" s="60"/>
      <c r="F788" s="60" t="s">
        <v>260</v>
      </c>
      <c r="G788" s="61" t="n">
        <v>1.5</v>
      </c>
      <c r="H788" s="62" t="n">
        <f aca="false">MAX(0,IF(AND(Parameter!$B$21="Ja",ISNUMBER(Y788)),Y788,IF(Parameter!$B$20="Jahresanfang 2025 + Export",BS788+BR788,BR788)))</f>
        <v>56</v>
      </c>
      <c r="I788" s="62" t="n">
        <f aca="false">H788*G788</f>
        <v>84</v>
      </c>
      <c r="J788" s="62" t="n">
        <f aca="false">BU788*Parameter!$B$18</f>
        <v>0</v>
      </c>
      <c r="K788" s="63" t="n">
        <v>57</v>
      </c>
      <c r="L788" s="64" t="n">
        <v>0</v>
      </c>
      <c r="M788" s="62" t="n">
        <v>0</v>
      </c>
      <c r="N788" s="62" t="n">
        <v>1</v>
      </c>
      <c r="O788" s="65" t="n">
        <v>42</v>
      </c>
      <c r="P788" s="60" t="s">
        <v>443</v>
      </c>
      <c r="Q788" s="62" t="n">
        <v>100</v>
      </c>
      <c r="R788" s="65" t="n">
        <f aca="false">IF(CA788=1,0,IFERROR(VLOOKUP(BY788,'Gebinde-Kategorie'!$A$5:$N$45,13,0)+0,0))</f>
        <v>280</v>
      </c>
      <c r="S788" s="66"/>
      <c r="T788" s="67"/>
      <c r="U788" s="67"/>
      <c r="V788" s="67"/>
      <c r="W788" s="60"/>
      <c r="X788" s="62"/>
      <c r="Y788" s="62"/>
      <c r="Z788" s="60" t="n">
        <v>2</v>
      </c>
      <c r="AA788" s="60" t="n">
        <f aca="false">IF(A788="","",IF(AND(Parameter!$B$21="Ja",ISNUMBER(W788)),W788,IF(AND(Parameter!$E$27="Ja",ISNUMBER(Z788),CD788&lt;&gt;"Nein"),Z788,IF(CD788="2+3",IF(ISNUMBER(SEARCH("grosser Artikel",BV788)),2,IFERROR(VLOOKUP(BY788,Parameter!$F$35:$G$64,2,0),2)),IF(OR(CD788="Nein",CD788=""),"-",CD788)))))</f>
        <v>2</v>
      </c>
      <c r="AB788" s="67"/>
      <c r="AC788" s="68"/>
      <c r="AD788" s="62" t="n">
        <f aca="false">AW788</f>
        <v>1</v>
      </c>
      <c r="AE788" s="62" t="n">
        <f aca="false">MAX(AW788,H788)</f>
        <v>56</v>
      </c>
      <c r="AF788" s="69"/>
      <c r="AG788" s="62" t="n">
        <f aca="false">IF(LEFT(Cockpit!$C$5,1)="A",H788,IF(Parameter!$E$30="MAX-Bestand",IF(CI788=1,CJ788,IF(LEFT(Cockpit!$C$5,1)="B",AM788,MAX(AM788,H788))),ROUNDUP(AK788,0)))</f>
        <v>56</v>
      </c>
      <c r="AH788" s="62" t="n">
        <f aca="false">IF(CA788=1,0,ROUNDUP(AG788/BZ788,0))</f>
        <v>1</v>
      </c>
      <c r="AI788" s="64" t="n">
        <f aca="false">IF(CR788&gt;0,CR788*MAX(1,AG788/X788),IF(CA788=1,IF(AG788&lt;=0,0,CE788*MAX(1,IF(H788&gt;0,AG788/H788,1))),IF(R788&gt;0,AH788/R788,0))/MAX(0.1,N(Parameter!$M$21)))</f>
        <v>0.00357142857142857</v>
      </c>
      <c r="AJ788" s="62" t="n">
        <f aca="false">AI788*CC788</f>
        <v>0.553571428571429</v>
      </c>
      <c r="AK788" s="63" t="n">
        <f aca="false">IF(LEFT(Cockpit!$C$5,1)="A",H788,IF(CI788=1,(CL788+CJ788)/2,IF(LEFT(Cockpit!$C$5,1)="B",(CL788+AM788)/2,MAX((CL788+AM788)/2,H788))))</f>
        <v>56</v>
      </c>
      <c r="AL788" s="62" t="n">
        <f aca="false">AK788*G788</f>
        <v>84</v>
      </c>
      <c r="AM788" s="62" t="n">
        <f aca="false">ROUNDUP(CL788+MAX(CM788,2*(J788/IF(CH788&gt;0,CH788,MAX(0.1,N(Cockpit!$C$6)))-CL788)),0)</f>
        <v>1</v>
      </c>
      <c r="AN788" s="63" t="n">
        <f aca="false">IF(AJ788&gt;0,J788/AJ788,-1)</f>
        <v>0</v>
      </c>
      <c r="AO788" s="63" t="n">
        <f aca="false">IF(AND(OR(CG788="L1",CG788="L23",CG788="LIFT"),AJ788&gt;0),SUMIFS($AJ$7:$AJ$1843,$CG$7:$CG$1843,CG788,$AN$7:$AN$1843,"&gt;"&amp;AN788)+SUMIFS($AJ$7:$AJ$1843,$CG$7:$CG$1843,CG788,$AN$7:$AN$1843,AN788,$BX$7:$BX$1843,"&lt;="&amp;BX788),"")</f>
        <v>28761.2845088057</v>
      </c>
      <c r="AP788" s="70" t="n">
        <f aca="false">IF(AO788="",0,MAX(0,MIN(1,(IF(CG788="L1",Parameter!$H$5,IF(CG788="L23",Parameter!$H$6+Parameter!$H$7,Parameter!$H$5+Parameter!$H$6+Parameter!$H$7))-(AO788-AJ788))/AJ788)))</f>
        <v>1</v>
      </c>
      <c r="AQ788" s="62" t="n">
        <f aca="false">IF(LEFT(Cockpit!$I$5,1)="A",H788,IF(Parameter!$E$30="MAX-Bestand",IF(CI788=1,CJ788,IF(LEFT(Cockpit!$I$5,1)="B",AW788,MAX(AW788,H788))),ROUNDUP(AU788,0)))</f>
        <v>56</v>
      </c>
      <c r="AR788" s="62" t="n">
        <f aca="false">IF(CA788=1,0,ROUNDUP(AQ788/BZ788,0))</f>
        <v>1</v>
      </c>
      <c r="AS788" s="64" t="n">
        <f aca="false">IF(CR788&gt;0,CR788*MAX(1,AQ788/X788),IF(CA788=1,IF(AQ788&lt;=0,0,CE788*MAX(1,IF(H788&gt;0,AQ788/H788,1))),IF(R788&gt;0,AR788/R788,0))/MAX(0.1,N(Parameter!$M$21)))</f>
        <v>0.00357142857142857</v>
      </c>
      <c r="AT788" s="62" t="n">
        <f aca="false">AS788*CC788</f>
        <v>0.553571428571429</v>
      </c>
      <c r="AU788" s="63" t="n">
        <f aca="false">IF(LEFT(Cockpit!$I$5,1)="A",H788,IF(CI788=1,(CL788+CJ788)/2,IF(LEFT(Cockpit!$I$5,1)="B",(CL788+AW788)/2,MAX((CL788+AW788)/2,H788))))</f>
        <v>56</v>
      </c>
      <c r="AV788" s="62" t="n">
        <f aca="false">AU788*G788</f>
        <v>84</v>
      </c>
      <c r="AW788" s="62" t="n">
        <f aca="false">ROUNDUP(CL788+MAX(CM788,2*(J788/IF(CH788&gt;0,CH788,MAX(0.1,N(Cockpit!$I$6)))-CL788)),0)</f>
        <v>1</v>
      </c>
      <c r="AX788" s="63" t="n">
        <f aca="false">IF(AT788&gt;0,J788/AT788,-1)</f>
        <v>0</v>
      </c>
      <c r="AY788" s="63" t="n">
        <f aca="false">IF(AND(OR(CG788="L1",CG788="L23",CG788="LIFT"),AT788&gt;0),SUMIFS($AT$7:$AT$1843,$CG$7:$CG$1843,CG788,$AX$7:$AX$1843,"&gt;"&amp;AX788)+SUMIFS($AT$7:$AT$1843,$CG$7:$CG$1843,CG788,$AX$7:$AX$1843,AX788,$BX$7:$BX$1843,"&lt;="&amp;BX788),"")</f>
        <v>34366.0677655678</v>
      </c>
      <c r="AZ788" s="70" t="n">
        <f aca="false">IF(AY788="",0,MAX(0,MIN(1,(IF(CG788="L1",Parameter!$H$5,IF(CG788="L23",Parameter!$H$6+Parameter!$H$7,Parameter!$H$5+Parameter!$H$6+Parameter!$H$7))-(AY788-AT788))/AT788)))</f>
        <v>1</v>
      </c>
      <c r="BA788" s="62" t="n">
        <f aca="false">IF(LEFT(Cockpit!$O$5,1)="A",H788,IF(Parameter!$E$30="MAX-Bestand",IF(CI788=1,CJ788,IF(LEFT(Cockpit!$O$5,1)="B",BG788,MAX(BG788,H788))),ROUNDUP(BE788,0)))</f>
        <v>1</v>
      </c>
      <c r="BB788" s="62" t="n">
        <f aca="false">IF(CA788=1,0,ROUNDUP(BA788/BZ788,0))</f>
        <v>1</v>
      </c>
      <c r="BC788" s="64" t="n">
        <f aca="false">IF(CR788&gt;0,CR788*MAX(1,BA788/X788),IF(CA788=1,IF(BA788&lt;=0,0,CE788*MAX(1,IF(H788&gt;0,BA788/H788,1))),IF(R788&gt;0,BB788/R788,0))/MAX(0.1,N(Parameter!$M$21)))</f>
        <v>0.00357142857142857</v>
      </c>
      <c r="BD788" s="62" t="n">
        <f aca="false">BC788*CC788</f>
        <v>0.553571428571429</v>
      </c>
      <c r="BE788" s="63" t="n">
        <f aca="false">IF(LEFT(Cockpit!$O$5,1)="A",H788,IF(CI788=1,(CL788+CJ788)/2,IF(LEFT(Cockpit!$O$5,1)="B",(CL788+BG788)/2,MAX((CL788+BG788)/2,H788))))</f>
        <v>0.5</v>
      </c>
      <c r="BF788" s="62" t="n">
        <f aca="false">BE788*G788</f>
        <v>0.75</v>
      </c>
      <c r="BG788" s="62" t="n">
        <f aca="false">ROUNDUP(CL788+MAX(CM788,2*(J788/IF(CH788&gt;0,CH788,MAX(0.1,N(Cockpit!$O$6)))-CL788)),0)</f>
        <v>1</v>
      </c>
      <c r="BH788" s="63" t="n">
        <f aca="false">IF(BD788&gt;0,J788/BD788,-1)</f>
        <v>0</v>
      </c>
      <c r="BI788" s="63" t="n">
        <f aca="false">IF(AND(OR(CG788="L1",CG788="L23",CG788="LIFT"),BD788&gt;0),SUMIFS($BD$7:$BD$1843,$CG$7:$CG$1843,CG788,$BH$7:$BH$1843,"&gt;"&amp;BH788)+SUMIFS($BD$7:$BD$1843,$CG$7:$CG$1843,CG788,$BH$7:$BH$1843,BH788,$BX$7:$BX$1843,"&lt;="&amp;BX788),"")</f>
        <v>28409.9376125287</v>
      </c>
      <c r="BJ788" s="70" t="n">
        <f aca="false">IF(BI788="",0,MAX(0,MIN(1,(IF(CG788="L1",Parameter!$H$5,IF(CG788="L23",Parameter!$H$6+Parameter!$H$7,Parameter!$H$5+Parameter!$H$6+Parameter!$H$7))-(BI788-BD788))/BD788)))</f>
        <v>1</v>
      </c>
      <c r="BK788" s="60" t="str">
        <f aca="false">IF(AJ788&lt;=0,"",IF(CG788="Aussen","Aussenlager",IF(CG788="-","Nicht im Lift",IF(AP788&gt;=1,"Lift",IF(AP788&lt;=0,"Aussenlager","teilweise")))))</f>
        <v>Lift</v>
      </c>
      <c r="BL788" s="60" t="str">
        <f aca="false">IF(AT788&lt;=0,"",IF(CG788="Aussen","Aussenlager",IF(CG788="-","Nicht im Lift",IF(AZ788&gt;=1,"Lift",IF(AZ788&lt;=0,"Aussenlager","teilweise")))))</f>
        <v>Lift</v>
      </c>
      <c r="BM788" s="60" t="str">
        <f aca="false">IF(BD788&lt;=0,"",IF(CG788="Aussen","Aussenlager",IF(CG788="-","Nicht im Lift",IF(BJ788&gt;=1,"Lift",IF(BJ788&lt;=0,"Aussenlager","teilweise")))))</f>
        <v>Lift</v>
      </c>
      <c r="BN788" s="60" t="str">
        <f aca="false">IF(A788="","",IF(BW788=1,"Neu; ","")&amp;IF(AND(BW788=0,BR788&lt;0),"negativer Bestand (Export "&amp;BR788&amp;"); ","")&amp;IF(J788&lt;=0,"Kein Verbrauch; ","")&amp;IF(CR788&gt;0,"Lift "&amp;W788&amp;" lt. Liftbericht (Fach "&amp;X788&amp;" Stk); ",IF(CB788=1,"Gebinde geschätzt ("&amp;T788&amp;"); ",IF(CA788=1,"Lose – Tablare geschätzt; ","")))&amp;IF(H788&gt;AW788,"Überbestand "&amp;ROUND(H788-AW788,0)&amp;" Stk / CHF "&amp;ROUND((H788-AW788)*G788,0)&amp;"; ","")&amp;IF(AND(CI788=1,CJ788&lt;CK788),"MAX &lt; MB+LG; ","")&amp;IF(AND(CQ788&gt;0,CP788*10&gt;CQ788),"zu hoch für Tablar; ","")&amp;IF(AND(BW788=0,OR(CI788=1,AB788&lt;&gt;"",U788&lt;&gt;"",V788&lt;&gt;"",AC788&lt;&gt;"")),"manuell übersteuert; ","")&amp;IF(AND(CA788=0,R788=0),"Gebinde unbekannt / Stellmass fehlt; ","")&amp;IF(AND(CA788=0,N(V788)&lt;=0,N(Q788)&lt;=0),"Menge pro Gebinde fehlt (Ist = 1 Gebinde); ","")&amp;BV788)</f>
        <v>negativer Bestand (Export -2); Kein Verbrauch; Überbestand 55 Stk / CHF 83; </v>
      </c>
      <c r="BO788" s="60"/>
      <c r="BP788" s="60"/>
      <c r="BQ788" s="67"/>
      <c r="BR788" s="62" t="n">
        <v>-2</v>
      </c>
      <c r="BS788" s="62" t="n">
        <v>58</v>
      </c>
      <c r="BT788" s="61" t="n">
        <v>-3</v>
      </c>
      <c r="BU788" s="62" t="n">
        <v>0</v>
      </c>
      <c r="BV788" s="60"/>
      <c r="BW788" s="65" t="n">
        <v>0</v>
      </c>
      <c r="BX788" s="65" t="n">
        <v>788</v>
      </c>
      <c r="BY788" s="60" t="str">
        <f aca="false">IF(U788&lt;&gt;"",UPPER(TRIM(U788)),IF(CB788=1,UPPER(VLOOKUP(T788,Parameter!$I$27:$K$29,2,0)),IF(P788="","LOSE",P788)))</f>
        <v>S21</v>
      </c>
      <c r="BZ788" s="62" t="n">
        <f aca="false">IF(BY788="LOSE",1,IF(N(V788)&gt;0,V788,IF(CB788=1,MAX(1,N(VLOOKUP(T788,Parameter!$I$27:$K$29,3,0)),H788,N(N788)),IF(N(Q788)&gt;0,Q788,MAX(1,H788)))))</f>
        <v>100</v>
      </c>
      <c r="CA788" s="65" t="n">
        <f aca="false">IF(BY788="LOSE",1,0)</f>
        <v>0</v>
      </c>
      <c r="CB788" s="65" t="n">
        <f aca="false">IF(AND(U788="",OR(P788="",P788="LOSE"),T788&lt;&gt;"",N(S788)&lt;=0,ISNUMBER(MATCH(T788,Parameter!$I$27:$I$29,0))),1,0)</f>
        <v>0</v>
      </c>
      <c r="CC788" s="65" t="n">
        <f aca="false">IF(CR788&gt;0,INDEX(Parameter!$H$5:$H$7,W788)/INDEX(Parameter!$E$5:$E$7,W788),IF(AND(CA788=0,N(IFERROR(VLOOKUP(BY788,'Gebinde-Kategorie'!$A$5:$N$45,14,0),0))&gt;0),VLOOKUP(BY788,'Gebinde-Kategorie'!$A$5:$N$45,14,0)*10+Parameter!$M$23,Parameter!$M$24))</f>
        <v>155</v>
      </c>
      <c r="CD788" s="60" t="str">
        <f aca="false">IF(AND(Parameter!$B$19="Ja",E788&lt;&gt;"",ISNUMBER(MATCH(E788,Parameter!$I$35:$I$52,0))),VLOOKUP(E788,Parameter!$I$35:$J$52,2,0),IFERROR(VLOOKUP(D788,Parameter!$A$35:$C$64,2,0),"Nein"))</f>
        <v>2+3</v>
      </c>
      <c r="CE788" s="64" t="n">
        <f aca="false">IF(CA788=0,0,IF(N(S788)&gt;0,S788,IFERROR(VLOOKUP(D788,Parameter!$A$35:$C$64,3,0)+0,0)))</f>
        <v>0</v>
      </c>
      <c r="CF788" s="60" t="n">
        <f aca="false">IF(AB788&lt;&gt;"",AB788,AA788)</f>
        <v>2</v>
      </c>
      <c r="CG788" s="60" t="str">
        <f aca="false">IF(OR(CF788=1,CF788=2,CF788=3),IF(Parameter!$E$27="Ja","LIFT",IF(CF788=1,"L1","L23")),IF(CF788="Aussen","Aussen","-"))</f>
        <v>LIFT</v>
      </c>
      <c r="CH788" s="71" t="n">
        <f aca="false">IF(N(AC788)&gt;0,AC788,0)</f>
        <v>0</v>
      </c>
      <c r="CI788" s="65" t="n">
        <f aca="false">IF(ISNUMBER(AF788),1,0)</f>
        <v>0</v>
      </c>
      <c r="CJ788" s="62" t="n">
        <f aca="false">N(AF788)</f>
        <v>0</v>
      </c>
      <c r="CK788" s="62" t="n">
        <f aca="false">N(M788)+N(N788)</f>
        <v>1</v>
      </c>
      <c r="CL788" s="62" t="n">
        <f aca="false">N(M788)</f>
        <v>0</v>
      </c>
      <c r="CM788" s="62" t="n">
        <f aca="false">N(N788)</f>
        <v>1</v>
      </c>
      <c r="CN788" s="62" t="n">
        <f aca="false">ROUNDUP(H788/BZ788,0)</f>
        <v>1</v>
      </c>
      <c r="CO788" s="62" t="n">
        <f aca="false">ROUNDUP(CJ788/BZ788,0)</f>
        <v>0</v>
      </c>
      <c r="CP788" s="65" t="n">
        <f aca="false">IF(CA788=1,0,IFERROR(VLOOKUP(BY788,'Gebinde-Kategorie'!$A$5:$N$45,5,0)+0,0))</f>
        <v>8</v>
      </c>
      <c r="CQ788" s="65" t="n">
        <f aca="false">IFERROR(IF(OR(CF788=1,CF788=2,CF788=3),N(INDEX(Parameter!$I$5:$I$7,CF788)),0),0)</f>
        <v>0</v>
      </c>
      <c r="CR788" s="64" t="n">
        <f aca="false">IF(AND(Parameter!$B$21="Ja",ISNUMBER(W788),N(X788)&gt;0),IFERROR(N(INDEX(Parameter!$L$5:$L$7,W788))*INDEX(Parameter!$E$5:$E$7,W788)*X788/SUMIFS($X$7:$X$1843,$W$7:$W$1843,W788),0),0)</f>
        <v>0</v>
      </c>
      <c r="CS788" s="62" t="n">
        <f aca="false">IF(AND(OR(CG788="L1",CG788="L23",CG788="LIFT"),H788&gt;0),CC788*IF(CR788&gt;0,CR788*MAX(1,H788/X788),IF(CA788=1,CE788,IF(R788&gt;0,CN788/R788,0))/MAX(0.1,N(Parameter!$M$21))),"")</f>
        <v>0.553571428571429</v>
      </c>
      <c r="CT788" s="64" t="n">
        <f aca="false">IF(CS788="","",J788/H788)</f>
        <v>0</v>
      </c>
      <c r="CU788" s="62" t="n">
        <f aca="false">IF(CS788="","",H788*G788)</f>
        <v>84</v>
      </c>
      <c r="CV788" s="63" t="n">
        <f aca="false">IF(CS788="","",(CL788+ROUNDUP(CL788+MAX(CM788,2*(J788/MAX(0.1,N(Einkauf!$C$6))-CL788)),0))/2)</f>
        <v>0.5</v>
      </c>
      <c r="CW788" s="62" t="n">
        <f aca="false">IF(CS788="","",MAX(0,H788-CV788)*G788)</f>
        <v>83.25</v>
      </c>
      <c r="CX788" s="62" t="n">
        <f aca="false">IF(CS788="","",CS788*MAX(0,1-CV788/H788))</f>
        <v>0.548628826530612</v>
      </c>
      <c r="CY788" s="64" t="n">
        <f aca="false">IF(CS788="","",PERCENTRANK($CS$7:$CS$1843,CS788)+PERCENTRANK($CU$7:$CU$1843,CU788)+1-PERCENTRANK($CT$7:$CT$1843,CT788))</f>
        <v>1.209</v>
      </c>
      <c r="CZ788" s="72" t="n">
        <f aca="false">IF(CS788="","",CHOOSE(MATCH(Einkauf!$C$5,Parameter!$G$23:$G$27,0),CY788,CS788,CU788,-CT788,CW788)+ROW()/1000000000)</f>
        <v>1.209000788</v>
      </c>
    </row>
    <row r="789" customFormat="false" ht="15" hidden="false" customHeight="false" outlineLevel="0" collapsed="false">
      <c r="A789" s="60" t="s">
        <v>1580</v>
      </c>
      <c r="B789" s="60" t="s">
        <v>991</v>
      </c>
      <c r="C789" s="60" t="s">
        <v>206</v>
      </c>
      <c r="D789" s="60" t="s">
        <v>226</v>
      </c>
      <c r="E789" s="60"/>
      <c r="F789" s="60" t="s">
        <v>260</v>
      </c>
      <c r="G789" s="61" t="n">
        <v>0.03</v>
      </c>
      <c r="H789" s="62" t="n">
        <f aca="false">MAX(0,IF(AND(Parameter!$B$21="Ja",ISNUMBER(Y789)),Y789,IF(Parameter!$B$20="Jahresanfang 2025 + Export",BS789+BR789,BR789)))</f>
        <v>52</v>
      </c>
      <c r="I789" s="62" t="n">
        <f aca="false">H789*G789</f>
        <v>1.56</v>
      </c>
      <c r="J789" s="62" t="n">
        <f aca="false">BU789*Parameter!$B$18</f>
        <v>132</v>
      </c>
      <c r="K789" s="63" t="n">
        <v>151.5</v>
      </c>
      <c r="L789" s="64" t="n">
        <v>0.871287128712871</v>
      </c>
      <c r="M789" s="62" t="n">
        <v>7</v>
      </c>
      <c r="N789" s="62" t="n">
        <v>130</v>
      </c>
      <c r="O789" s="65" t="n">
        <v>21</v>
      </c>
      <c r="P789" s="60" t="s">
        <v>443</v>
      </c>
      <c r="Q789" s="62" t="n">
        <v>70</v>
      </c>
      <c r="R789" s="65" t="n">
        <f aca="false">IF(CA789=1,0,IFERROR(VLOOKUP(BY789,'Gebinde-Kategorie'!$A$5:$N$45,13,0)+0,0))</f>
        <v>280</v>
      </c>
      <c r="S789" s="66"/>
      <c r="T789" s="67"/>
      <c r="U789" s="67"/>
      <c r="V789" s="67"/>
      <c r="W789" s="60"/>
      <c r="X789" s="62"/>
      <c r="Y789" s="62"/>
      <c r="Z789" s="60" t="n">
        <v>3</v>
      </c>
      <c r="AA789" s="60" t="n">
        <f aca="false">IF(A789="","",IF(AND(Parameter!$B$21="Ja",ISNUMBER(W789)),W789,IF(AND(Parameter!$E$27="Ja",ISNUMBER(Z789),CD789&lt;&gt;"Nein"),Z789,IF(CD789="2+3",IF(ISNUMBER(SEARCH("grosser Artikel",BV789)),2,IFERROR(VLOOKUP(BY789,Parameter!$F$35:$G$64,2,0),2)),IF(OR(CD789="Nein",CD789=""),"-",CD789)))))</f>
        <v>3</v>
      </c>
      <c r="AB789" s="67"/>
      <c r="AC789" s="68"/>
      <c r="AD789" s="62" t="n">
        <f aca="false">AW789</f>
        <v>137</v>
      </c>
      <c r="AE789" s="62" t="n">
        <f aca="false">MAX(AW789,H789)</f>
        <v>137</v>
      </c>
      <c r="AF789" s="69"/>
      <c r="AG789" s="62" t="n">
        <f aca="false">IF(LEFT(Cockpit!$C$5,1)="A",H789,IF(Parameter!$E$30="MAX-Bestand",IF(CI789=1,CJ789,IF(LEFT(Cockpit!$C$5,1)="B",AM789,MAX(AM789,H789))),ROUNDUP(AK789,0)))</f>
        <v>52</v>
      </c>
      <c r="AH789" s="62" t="n">
        <f aca="false">IF(CA789=1,0,ROUNDUP(AG789/BZ789,0))</f>
        <v>1</v>
      </c>
      <c r="AI789" s="64" t="n">
        <f aca="false">IF(CR789&gt;0,CR789*MAX(1,AG789/X789),IF(CA789=1,IF(AG789&lt;=0,0,CE789*MAX(1,IF(H789&gt;0,AG789/H789,1))),IF(R789&gt;0,AH789/R789,0))/MAX(0.1,N(Parameter!$M$21)))</f>
        <v>0.00357142857142857</v>
      </c>
      <c r="AJ789" s="62" t="n">
        <f aca="false">AI789*CC789</f>
        <v>0.553571428571429</v>
      </c>
      <c r="AK789" s="63" t="n">
        <f aca="false">IF(LEFT(Cockpit!$C$5,1)="A",H789,IF(CI789=1,(CL789+CJ789)/2,IF(LEFT(Cockpit!$C$5,1)="B",(CL789+AM789)/2,MAX((CL789+AM789)/2,H789))))</f>
        <v>52</v>
      </c>
      <c r="AL789" s="62" t="n">
        <f aca="false">AK789*G789</f>
        <v>1.56</v>
      </c>
      <c r="AM789" s="62" t="n">
        <f aca="false">ROUNDUP(CL789+MAX(CM789,2*(J789/IF(CH789&gt;0,CH789,MAX(0.1,N(Cockpit!$C$6)))-CL789)),0)</f>
        <v>137</v>
      </c>
      <c r="AN789" s="63" t="n">
        <f aca="false">IF(AJ789&gt;0,J789/AJ789,-1)</f>
        <v>238.451612903226</v>
      </c>
      <c r="AO789" s="63" t="n">
        <f aca="false">IF(AND(OR(CG789="L1",CG789="L23",CG789="LIFT"),AJ789&gt;0),SUMIFS($AJ$7:$AJ$1843,$CG$7:$CG$1843,CG789,$AN$7:$AN$1843,"&gt;"&amp;AN789)+SUMIFS($AJ$7:$AJ$1843,$CG$7:$CG$1843,CG789,$AN$7:$AN$1843,AN789,$BX$7:$BX$1843,"&lt;="&amp;BX789),"")</f>
        <v>306.490842490843</v>
      </c>
      <c r="AP789" s="70" t="n">
        <f aca="false">IF(AO789="",0,MAX(0,MIN(1,(IF(CG789="L1",Parameter!$H$5,IF(CG789="L23",Parameter!$H$6+Parameter!$H$7,Parameter!$H$5+Parameter!$H$6+Parameter!$H$7))-(AO789-AJ789))/AJ789)))</f>
        <v>1</v>
      </c>
      <c r="AQ789" s="62" t="n">
        <f aca="false">IF(LEFT(Cockpit!$I$5,1)="A",H789,IF(Parameter!$E$30="MAX-Bestand",IF(CI789=1,CJ789,IF(LEFT(Cockpit!$I$5,1)="B",AW789,MAX(AW789,H789))),ROUNDUP(AU789,0)))</f>
        <v>72</v>
      </c>
      <c r="AR789" s="62" t="n">
        <f aca="false">IF(CA789=1,0,ROUNDUP(AQ789/BZ789,0))</f>
        <v>2</v>
      </c>
      <c r="AS789" s="64" t="n">
        <f aca="false">IF(CR789&gt;0,CR789*MAX(1,AQ789/X789),IF(CA789=1,IF(AQ789&lt;=0,0,CE789*MAX(1,IF(H789&gt;0,AQ789/H789,1))),IF(R789&gt;0,AR789/R789,0))/MAX(0.1,N(Parameter!$M$21)))</f>
        <v>0.00714285714285714</v>
      </c>
      <c r="AT789" s="62" t="n">
        <f aca="false">AS789*CC789</f>
        <v>1.10714285714286</v>
      </c>
      <c r="AU789" s="63" t="n">
        <f aca="false">IF(LEFT(Cockpit!$I$5,1)="A",H789,IF(CI789=1,(CL789+CJ789)/2,IF(LEFT(Cockpit!$I$5,1)="B",(CL789+AW789)/2,MAX((CL789+AW789)/2,H789))))</f>
        <v>72</v>
      </c>
      <c r="AV789" s="62" t="n">
        <f aca="false">AU789*G789</f>
        <v>2.16</v>
      </c>
      <c r="AW789" s="62" t="n">
        <f aca="false">ROUNDUP(CL789+MAX(CM789,2*(J789/IF(CH789&gt;0,CH789,MAX(0.1,N(Cockpit!$I$6)))-CL789)),0)</f>
        <v>137</v>
      </c>
      <c r="AX789" s="63" t="n">
        <f aca="false">IF(AT789&gt;0,J789/AT789,-1)</f>
        <v>119.225806451613</v>
      </c>
      <c r="AY789" s="63" t="n">
        <f aca="false">IF(AND(OR(CG789="L1",CG789="L23",CG789="LIFT"),AT789&gt;0),SUMIFS($AT$7:$AT$1843,$CG$7:$CG$1843,CG789,$AX$7:$AX$1843,"&gt;"&amp;AX789)+SUMIFS($AT$7:$AT$1843,$CG$7:$CG$1843,CG789,$AX$7:$AX$1843,AX789,$BX$7:$BX$1843,"&lt;="&amp;BX789),"")</f>
        <v>792.111263736264</v>
      </c>
      <c r="AZ789" s="70" t="n">
        <f aca="false">IF(AY789="",0,MAX(0,MIN(1,(IF(CG789="L1",Parameter!$H$5,IF(CG789="L23",Parameter!$H$6+Parameter!$H$7,Parameter!$H$5+Parameter!$H$6+Parameter!$H$7))-(AY789-AT789))/AT789)))</f>
        <v>1</v>
      </c>
      <c r="BA789" s="62" t="n">
        <f aca="false">IF(LEFT(Cockpit!$O$5,1)="A",H789,IF(Parameter!$E$30="MAX-Bestand",IF(CI789=1,CJ789,IF(LEFT(Cockpit!$O$5,1)="B",BG789,MAX(BG789,H789))),ROUNDUP(BE789,0)))</f>
        <v>72</v>
      </c>
      <c r="BB789" s="62" t="n">
        <f aca="false">IF(CA789=1,0,ROUNDUP(BA789/BZ789,0))</f>
        <v>2</v>
      </c>
      <c r="BC789" s="64" t="n">
        <f aca="false">IF(CR789&gt;0,CR789*MAX(1,BA789/X789),IF(CA789=1,IF(BA789&lt;=0,0,CE789*MAX(1,IF(H789&gt;0,BA789/H789,1))),IF(R789&gt;0,BB789/R789,0))/MAX(0.1,N(Parameter!$M$21)))</f>
        <v>0.00714285714285714</v>
      </c>
      <c r="BD789" s="62" t="n">
        <f aca="false">BC789*CC789</f>
        <v>1.10714285714286</v>
      </c>
      <c r="BE789" s="63" t="n">
        <f aca="false">IF(LEFT(Cockpit!$O$5,1)="A",H789,IF(CI789=1,(CL789+CJ789)/2,IF(LEFT(Cockpit!$O$5,1)="B",(CL789+BG789)/2,MAX((CL789+BG789)/2,H789))))</f>
        <v>72</v>
      </c>
      <c r="BF789" s="62" t="n">
        <f aca="false">BE789*G789</f>
        <v>2.16</v>
      </c>
      <c r="BG789" s="62" t="n">
        <f aca="false">ROUNDUP(CL789+MAX(CM789,2*(J789/IF(CH789&gt;0,CH789,MAX(0.1,N(Cockpit!$O$6)))-CL789)),0)</f>
        <v>137</v>
      </c>
      <c r="BH789" s="63" t="n">
        <f aca="false">IF(BD789&gt;0,J789/BD789,-1)</f>
        <v>119.225806451613</v>
      </c>
      <c r="BI789" s="63" t="n">
        <f aca="false">IF(AND(OR(CG789="L1",CG789="L23",CG789="LIFT"),BD789&gt;0),SUMIFS($BD$7:$BD$1843,$CG$7:$CG$1843,CG789,$BH$7:$BH$1843,"&gt;"&amp;BH789)+SUMIFS($BD$7:$BD$1843,$CG$7:$CG$1843,CG789,$BH$7:$BH$1843,BH789,$BX$7:$BX$1843,"&lt;="&amp;BX789),"")</f>
        <v>818.001373626374</v>
      </c>
      <c r="BJ789" s="70" t="n">
        <f aca="false">IF(BI789="",0,MAX(0,MIN(1,(IF(CG789="L1",Parameter!$H$5,IF(CG789="L23",Parameter!$H$6+Parameter!$H$7,Parameter!$H$5+Parameter!$H$6+Parameter!$H$7))-(BI789-BD789))/BD789)))</f>
        <v>1</v>
      </c>
      <c r="BK789" s="60" t="str">
        <f aca="false">IF(AJ789&lt;=0,"",IF(CG789="Aussen","Aussenlager",IF(CG789="-","Nicht im Lift",IF(AP789&gt;=1,"Lift",IF(AP789&lt;=0,"Aussenlager","teilweise")))))</f>
        <v>Lift</v>
      </c>
      <c r="BL789" s="60" t="str">
        <f aca="false">IF(AT789&lt;=0,"",IF(CG789="Aussen","Aussenlager",IF(CG789="-","Nicht im Lift",IF(AZ789&gt;=1,"Lift",IF(AZ789&lt;=0,"Aussenlager","teilweise")))))</f>
        <v>Lift</v>
      </c>
      <c r="BM789" s="60" t="str">
        <f aca="false">IF(BD789&lt;=0,"",IF(CG789="Aussen","Aussenlager",IF(CG789="-","Nicht im Lift",IF(BJ789&gt;=1,"Lift",IF(BJ789&lt;=0,"Aussenlager","teilweise")))))</f>
        <v>Lift</v>
      </c>
      <c r="BN789" s="60" t="str">
        <f aca="false">IF(A789="","",IF(BW789=1,"Neu; ","")&amp;IF(AND(BW789=0,BR789&lt;0),"negativer Bestand (Export "&amp;BR789&amp;"); ","")&amp;IF(J789&lt;=0,"Kein Verbrauch; ","")&amp;IF(CR789&gt;0,"Lift "&amp;W789&amp;" lt. Liftbericht (Fach "&amp;X789&amp;" Stk); ",IF(CB789=1,"Gebinde geschätzt ("&amp;T789&amp;"); ",IF(CA789=1,"Lose – Tablare geschätzt; ","")))&amp;IF(H789&gt;AW789,"Überbestand "&amp;ROUND(H789-AW789,0)&amp;" Stk / CHF "&amp;ROUND((H789-AW789)*G789,0)&amp;"; ","")&amp;IF(AND(CI789=1,CJ789&lt;CK789),"MAX &lt; MB+LG; ","")&amp;IF(AND(CQ789&gt;0,CP789*10&gt;CQ789),"zu hoch für Tablar; ","")&amp;IF(AND(BW789=0,OR(CI789=1,AB789&lt;&gt;"",U789&lt;&gt;"",V789&lt;&gt;"",AC789&lt;&gt;"")),"manuell übersteuert; ","")&amp;IF(AND(CA789=0,R789=0),"Gebinde unbekannt / Stellmass fehlt; ","")&amp;IF(AND(CA789=0,N(V789)&lt;=0,N(Q789)&lt;=0),"Menge pro Gebinde fehlt (Ist = 1 Gebinde); ","")&amp;BV789)</f>
        <v>negativer Bestand (Export -101); </v>
      </c>
      <c r="BO789" s="60"/>
      <c r="BP789" s="60"/>
      <c r="BQ789" s="67"/>
      <c r="BR789" s="62" t="n">
        <v>-101</v>
      </c>
      <c r="BS789" s="62" t="n">
        <v>153</v>
      </c>
      <c r="BT789" s="61" t="n">
        <v>-3.03</v>
      </c>
      <c r="BU789" s="62" t="n">
        <v>132</v>
      </c>
      <c r="BV789" s="60"/>
      <c r="BW789" s="65" t="n">
        <v>0</v>
      </c>
      <c r="BX789" s="65" t="n">
        <v>789</v>
      </c>
      <c r="BY789" s="60" t="str">
        <f aca="false">IF(U789&lt;&gt;"",UPPER(TRIM(U789)),IF(CB789=1,UPPER(VLOOKUP(T789,Parameter!$I$27:$K$29,2,0)),IF(P789="","LOSE",P789)))</f>
        <v>S21</v>
      </c>
      <c r="BZ789" s="62" t="n">
        <f aca="false">IF(BY789="LOSE",1,IF(N(V789)&gt;0,V789,IF(CB789=1,MAX(1,N(VLOOKUP(T789,Parameter!$I$27:$K$29,3,0)),H789,N(N789)),IF(N(Q789)&gt;0,Q789,MAX(1,H789)))))</f>
        <v>70</v>
      </c>
      <c r="CA789" s="65" t="n">
        <f aca="false">IF(BY789="LOSE",1,0)</f>
        <v>0</v>
      </c>
      <c r="CB789" s="65" t="n">
        <f aca="false">IF(AND(U789="",OR(P789="",P789="LOSE"),T789&lt;&gt;"",N(S789)&lt;=0,ISNUMBER(MATCH(T789,Parameter!$I$27:$I$29,0))),1,0)</f>
        <v>0</v>
      </c>
      <c r="CC789" s="65" t="n">
        <f aca="false">IF(CR789&gt;0,INDEX(Parameter!$H$5:$H$7,W789)/INDEX(Parameter!$E$5:$E$7,W789),IF(AND(CA789=0,N(IFERROR(VLOOKUP(BY789,'Gebinde-Kategorie'!$A$5:$N$45,14,0),0))&gt;0),VLOOKUP(BY789,'Gebinde-Kategorie'!$A$5:$N$45,14,0)*10+Parameter!$M$23,Parameter!$M$24))</f>
        <v>155</v>
      </c>
      <c r="CD789" s="60" t="str">
        <f aca="false">IF(AND(Parameter!$B$19="Ja",E789&lt;&gt;"",ISNUMBER(MATCH(E789,Parameter!$I$35:$I$52,0))),VLOOKUP(E789,Parameter!$I$35:$J$52,2,0),IFERROR(VLOOKUP(D789,Parameter!$A$35:$C$64,2,0),"Nein"))</f>
        <v>2+3</v>
      </c>
      <c r="CE789" s="64" t="n">
        <f aca="false">IF(CA789=0,0,IF(N(S789)&gt;0,S789,IFERROR(VLOOKUP(D789,Parameter!$A$35:$C$64,3,0)+0,0)))</f>
        <v>0</v>
      </c>
      <c r="CF789" s="60" t="n">
        <f aca="false">IF(AB789&lt;&gt;"",AB789,AA789)</f>
        <v>3</v>
      </c>
      <c r="CG789" s="60" t="str">
        <f aca="false">IF(OR(CF789=1,CF789=2,CF789=3),IF(Parameter!$E$27="Ja","LIFT",IF(CF789=1,"L1","L23")),IF(CF789="Aussen","Aussen","-"))</f>
        <v>LIFT</v>
      </c>
      <c r="CH789" s="71" t="n">
        <f aca="false">IF(N(AC789)&gt;0,AC789,0)</f>
        <v>0</v>
      </c>
      <c r="CI789" s="65" t="n">
        <f aca="false">IF(ISNUMBER(AF789),1,0)</f>
        <v>0</v>
      </c>
      <c r="CJ789" s="62" t="n">
        <f aca="false">N(AF789)</f>
        <v>0</v>
      </c>
      <c r="CK789" s="62" t="n">
        <f aca="false">N(M789)+N(N789)</f>
        <v>137</v>
      </c>
      <c r="CL789" s="62" t="n">
        <f aca="false">N(M789)</f>
        <v>7</v>
      </c>
      <c r="CM789" s="62" t="n">
        <f aca="false">N(N789)</f>
        <v>130</v>
      </c>
      <c r="CN789" s="62" t="n">
        <f aca="false">ROUNDUP(H789/BZ789,0)</f>
        <v>1</v>
      </c>
      <c r="CO789" s="62" t="n">
        <f aca="false">ROUNDUP(CJ789/BZ789,0)</f>
        <v>0</v>
      </c>
      <c r="CP789" s="65" t="n">
        <f aca="false">IF(CA789=1,0,IFERROR(VLOOKUP(BY789,'Gebinde-Kategorie'!$A$5:$N$45,5,0)+0,0))</f>
        <v>8</v>
      </c>
      <c r="CQ789" s="65" t="n">
        <f aca="false">IFERROR(IF(OR(CF789=1,CF789=2,CF789=3),N(INDEX(Parameter!$I$5:$I$7,CF789)),0),0)</f>
        <v>0</v>
      </c>
      <c r="CR789" s="64" t="n">
        <f aca="false">IF(AND(Parameter!$B$21="Ja",ISNUMBER(W789),N(X789)&gt;0),IFERROR(N(INDEX(Parameter!$L$5:$L$7,W789))*INDEX(Parameter!$E$5:$E$7,W789)*X789/SUMIFS($X$7:$X$1843,$W$7:$W$1843,W789),0),0)</f>
        <v>0</v>
      </c>
      <c r="CS789" s="62" t="n">
        <f aca="false">IF(AND(OR(CG789="L1",CG789="L23",CG789="LIFT"),H789&gt;0),CC789*IF(CR789&gt;0,CR789*MAX(1,H789/X789),IF(CA789=1,CE789,IF(R789&gt;0,CN789/R789,0))/MAX(0.1,N(Parameter!$M$21))),"")</f>
        <v>0.553571428571429</v>
      </c>
      <c r="CT789" s="64" t="n">
        <f aca="false">IF(CS789="","",J789/H789)</f>
        <v>2.53846153846154</v>
      </c>
      <c r="CU789" s="62" t="n">
        <f aca="false">IF(CS789="","",H789*G789)</f>
        <v>1.56</v>
      </c>
      <c r="CV789" s="63" t="n">
        <f aca="false">IF(CS789="","",(CL789+ROUNDUP(CL789+MAX(CM789,2*(J789/MAX(0.1,N(Einkauf!$C$6))-CL789)),0))/2)</f>
        <v>72</v>
      </c>
      <c r="CW789" s="62" t="n">
        <f aca="false">IF(CS789="","",MAX(0,H789-CV789)*G789)</f>
        <v>0</v>
      </c>
      <c r="CX789" s="62" t="n">
        <f aca="false">IF(CS789="","",CS789*MAX(0,1-CV789/H789))</f>
        <v>0</v>
      </c>
      <c r="CY789" s="64" t="n">
        <f aca="false">IF(CS789="","",PERCENTRANK($CS$7:$CS$1843,CS789)+PERCENTRANK($CU$7:$CU$1843,CU789)+1-PERCENTRANK($CT$7:$CT$1843,CT789))</f>
        <v>0.1536</v>
      </c>
      <c r="CZ789" s="72" t="n">
        <f aca="false">IF(CS789="","",CHOOSE(MATCH(Einkauf!$C$5,Parameter!$G$23:$G$27,0),CY789,CS789,CU789,-CT789,CW789)+ROW()/1000000000)</f>
        <v>0.153600789</v>
      </c>
    </row>
    <row r="790" customFormat="false" ht="15" hidden="false" customHeight="false" outlineLevel="0" collapsed="false">
      <c r="A790" s="60" t="s">
        <v>1581</v>
      </c>
      <c r="B790" s="60" t="s">
        <v>416</v>
      </c>
      <c r="C790" s="60" t="s">
        <v>206</v>
      </c>
      <c r="D790" s="60" t="s">
        <v>226</v>
      </c>
      <c r="E790" s="60" t="s">
        <v>227</v>
      </c>
      <c r="F790" s="60" t="s">
        <v>260</v>
      </c>
      <c r="G790" s="61" t="n">
        <v>1.53</v>
      </c>
      <c r="H790" s="62" t="n">
        <f aca="false">MAX(0,IF(AND(Parameter!$B$21="Ja",ISNUMBER(Y790)),Y790,IF(Parameter!$B$20="Jahresanfang 2025 + Export",BS790+BR790,BR790)))</f>
        <v>27</v>
      </c>
      <c r="I790" s="62" t="n">
        <f aca="false">H790*G790</f>
        <v>41.31</v>
      </c>
      <c r="J790" s="62" t="n">
        <f aca="false">BU790*Parameter!$B$18</f>
        <v>2</v>
      </c>
      <c r="K790" s="63" t="n">
        <v>28</v>
      </c>
      <c r="L790" s="64" t="n">
        <v>0.0714285714285714</v>
      </c>
      <c r="M790" s="62" t="n">
        <v>0</v>
      </c>
      <c r="N790" s="62" t="n">
        <v>1</v>
      </c>
      <c r="O790" s="65" t="n">
        <v>14</v>
      </c>
      <c r="P790" s="60" t="s">
        <v>468</v>
      </c>
      <c r="Q790" s="62" t="n">
        <v>34</v>
      </c>
      <c r="R790" s="65" t="n">
        <f aca="false">IF(CA790=1,0,IFERROR(VLOOKUP(BY790,'Gebinde-Kategorie'!$A$5:$N$45,13,0)+0,0))</f>
        <v>140</v>
      </c>
      <c r="S790" s="66"/>
      <c r="T790" s="67"/>
      <c r="U790" s="67"/>
      <c r="V790" s="67"/>
      <c r="W790" s="60"/>
      <c r="X790" s="62"/>
      <c r="Y790" s="62"/>
      <c r="Z790" s="60" t="n">
        <v>2</v>
      </c>
      <c r="AA790" s="60" t="n">
        <f aca="false">IF(A790="","",IF(AND(Parameter!$B$21="Ja",ISNUMBER(W790)),W790,IF(AND(Parameter!$E$27="Ja",ISNUMBER(Z790),CD790&lt;&gt;"Nein"),Z790,IF(CD790="2+3",IF(ISNUMBER(SEARCH("grosser Artikel",BV790)),2,IFERROR(VLOOKUP(BY790,Parameter!$F$35:$G$64,2,0),2)),IF(OR(CD790="Nein",CD790=""),"-",CD790)))))</f>
        <v>2</v>
      </c>
      <c r="AB790" s="67"/>
      <c r="AC790" s="68"/>
      <c r="AD790" s="62" t="n">
        <f aca="false">AW790</f>
        <v>2</v>
      </c>
      <c r="AE790" s="62" t="n">
        <f aca="false">MAX(AW790,H790)</f>
        <v>27</v>
      </c>
      <c r="AF790" s="69"/>
      <c r="AG790" s="62" t="n">
        <f aca="false">IF(LEFT(Cockpit!$C$5,1)="A",H790,IF(Parameter!$E$30="MAX-Bestand",IF(CI790=1,CJ790,IF(LEFT(Cockpit!$C$5,1)="B",AM790,MAX(AM790,H790))),ROUNDUP(AK790,0)))</f>
        <v>27</v>
      </c>
      <c r="AH790" s="62" t="n">
        <f aca="false">IF(CA790=1,0,ROUNDUP(AG790/BZ790,0))</f>
        <v>1</v>
      </c>
      <c r="AI790" s="64" t="n">
        <f aca="false">IF(CR790&gt;0,CR790*MAX(1,AG790/X790),IF(CA790=1,IF(AG790&lt;=0,0,CE790*MAX(1,IF(H790&gt;0,AG790/H790,1))),IF(R790&gt;0,AH790/R790,0))/MAX(0.1,N(Parameter!$M$21)))</f>
        <v>0.00714285714285714</v>
      </c>
      <c r="AJ790" s="62" t="n">
        <f aca="false">AI790*CC790</f>
        <v>1.10714285714286</v>
      </c>
      <c r="AK790" s="63" t="n">
        <f aca="false">IF(LEFT(Cockpit!$C$5,1)="A",H790,IF(CI790=1,(CL790+CJ790)/2,IF(LEFT(Cockpit!$C$5,1)="B",(CL790+AM790)/2,MAX((CL790+AM790)/2,H790))))</f>
        <v>27</v>
      </c>
      <c r="AL790" s="62" t="n">
        <f aca="false">AK790*G790</f>
        <v>41.31</v>
      </c>
      <c r="AM790" s="62" t="n">
        <f aca="false">ROUNDUP(CL790+MAX(CM790,2*(J790/IF(CH790&gt;0,CH790,MAX(0.1,N(Cockpit!$C$6)))-CL790)),0)</f>
        <v>2</v>
      </c>
      <c r="AN790" s="63" t="n">
        <f aca="false">IF(AJ790&gt;0,J790/AJ790,-1)</f>
        <v>1.80645161290323</v>
      </c>
      <c r="AO790" s="63" t="n">
        <f aca="false">IF(AND(OR(CG790="L1",CG790="L23",CG790="LIFT"),AJ790&gt;0),SUMIFS($AJ$7:$AJ$1843,$CG$7:$CG$1843,CG790,$AN$7:$AN$1843,"&gt;"&amp;AN790)+SUMIFS($AJ$7:$AJ$1843,$CG$7:$CG$1843,CG790,$AN$7:$AN$1843,AN790,$BX$7:$BX$1843,"&lt;="&amp;BX790),"")</f>
        <v>5965.89743589744</v>
      </c>
      <c r="AP790" s="70" t="n">
        <f aca="false">IF(AO790="",0,MAX(0,MIN(1,(IF(CG790="L1",Parameter!$H$5,IF(CG790="L23",Parameter!$H$6+Parameter!$H$7,Parameter!$H$5+Parameter!$H$6+Parameter!$H$7))-(AO790-AJ790))/AJ790)))</f>
        <v>1</v>
      </c>
      <c r="AQ790" s="62" t="n">
        <f aca="false">IF(LEFT(Cockpit!$I$5,1)="A",H790,IF(Parameter!$E$30="MAX-Bestand",IF(CI790=1,CJ790,IF(LEFT(Cockpit!$I$5,1)="B",AW790,MAX(AW790,H790))),ROUNDUP(AU790,0)))</f>
        <v>27</v>
      </c>
      <c r="AR790" s="62" t="n">
        <f aca="false">IF(CA790=1,0,ROUNDUP(AQ790/BZ790,0))</f>
        <v>1</v>
      </c>
      <c r="AS790" s="64" t="n">
        <f aca="false">IF(CR790&gt;0,CR790*MAX(1,AQ790/X790),IF(CA790=1,IF(AQ790&lt;=0,0,CE790*MAX(1,IF(H790&gt;0,AQ790/H790,1))),IF(R790&gt;0,AR790/R790,0))/MAX(0.1,N(Parameter!$M$21)))</f>
        <v>0.00714285714285714</v>
      </c>
      <c r="AT790" s="62" t="n">
        <f aca="false">AS790*CC790</f>
        <v>1.10714285714286</v>
      </c>
      <c r="AU790" s="63" t="n">
        <f aca="false">IF(LEFT(Cockpit!$I$5,1)="A",H790,IF(CI790=1,(CL790+CJ790)/2,IF(LEFT(Cockpit!$I$5,1)="B",(CL790+AW790)/2,MAX((CL790+AW790)/2,H790))))</f>
        <v>27</v>
      </c>
      <c r="AV790" s="62" t="n">
        <f aca="false">AU790*G790</f>
        <v>41.31</v>
      </c>
      <c r="AW790" s="62" t="n">
        <f aca="false">ROUNDUP(CL790+MAX(CM790,2*(J790/IF(CH790&gt;0,CH790,MAX(0.1,N(Cockpit!$I$6)))-CL790)),0)</f>
        <v>2</v>
      </c>
      <c r="AX790" s="63" t="n">
        <f aca="false">IF(AT790&gt;0,J790/AT790,-1)</f>
        <v>1.80645161290323</v>
      </c>
      <c r="AY790" s="63" t="n">
        <f aca="false">IF(AND(OR(CG790="L1",CG790="L23",CG790="LIFT"),AT790&gt;0),SUMIFS($AT$7:$AT$1843,$CG$7:$CG$1843,CG790,$AX$7:$AX$1843,"&gt;"&amp;AX790)+SUMIFS($AT$7:$AT$1843,$CG$7:$CG$1843,CG790,$AX$7:$AX$1843,AX790,$BX$7:$BX$1843,"&lt;="&amp;BX790),"")</f>
        <v>7403.42032967033</v>
      </c>
      <c r="AZ790" s="70" t="n">
        <f aca="false">IF(AY790="",0,MAX(0,MIN(1,(IF(CG790="L1",Parameter!$H$5,IF(CG790="L23",Parameter!$H$6+Parameter!$H$7,Parameter!$H$5+Parameter!$H$6+Parameter!$H$7))-(AY790-AT790))/AT790)))</f>
        <v>1</v>
      </c>
      <c r="BA790" s="62" t="n">
        <f aca="false">IF(LEFT(Cockpit!$O$5,1)="A",H790,IF(Parameter!$E$30="MAX-Bestand",IF(CI790=1,CJ790,IF(LEFT(Cockpit!$O$5,1)="B",BG790,MAX(BG790,H790))),ROUNDUP(BE790,0)))</f>
        <v>1</v>
      </c>
      <c r="BB790" s="62" t="n">
        <f aca="false">IF(CA790=1,0,ROUNDUP(BA790/BZ790,0))</f>
        <v>1</v>
      </c>
      <c r="BC790" s="64" t="n">
        <f aca="false">IF(CR790&gt;0,CR790*MAX(1,BA790/X790),IF(CA790=1,IF(BA790&lt;=0,0,CE790*MAX(1,IF(H790&gt;0,BA790/H790,1))),IF(R790&gt;0,BB790/R790,0))/MAX(0.1,N(Parameter!$M$21)))</f>
        <v>0.00714285714285714</v>
      </c>
      <c r="BD790" s="62" t="n">
        <f aca="false">BC790*CC790</f>
        <v>1.10714285714286</v>
      </c>
      <c r="BE790" s="63" t="n">
        <f aca="false">IF(LEFT(Cockpit!$O$5,1)="A",H790,IF(CI790=1,(CL790+CJ790)/2,IF(LEFT(Cockpit!$O$5,1)="B",(CL790+BG790)/2,MAX((CL790+BG790)/2,H790))))</f>
        <v>0.5</v>
      </c>
      <c r="BF790" s="62" t="n">
        <f aca="false">BE790*G790</f>
        <v>0.765</v>
      </c>
      <c r="BG790" s="62" t="n">
        <f aca="false">ROUNDUP(CL790+MAX(CM790,2*(J790/IF(CH790&gt;0,CH790,MAX(0.1,N(Cockpit!$O$6)))-CL790)),0)</f>
        <v>1</v>
      </c>
      <c r="BH790" s="63" t="n">
        <f aca="false">IF(BD790&gt;0,J790/BD790,-1)</f>
        <v>1.80645161290323</v>
      </c>
      <c r="BI790" s="63" t="n">
        <f aca="false">IF(AND(OR(CG790="L1",CG790="L23",CG790="LIFT"),BD790&gt;0),SUMIFS($BD$7:$BD$1843,$CG$7:$CG$1843,CG790,$BH$7:$BH$1843,"&gt;"&amp;BH790)+SUMIFS($BD$7:$BD$1843,$CG$7:$CG$1843,CG790,$BH$7:$BH$1843,BH790,$BX$7:$BX$1843,"&lt;="&amp;BX790),"")</f>
        <v>6091.34111721612</v>
      </c>
      <c r="BJ790" s="70" t="n">
        <f aca="false">IF(BI790="",0,MAX(0,MIN(1,(IF(CG790="L1",Parameter!$H$5,IF(CG790="L23",Parameter!$H$6+Parameter!$H$7,Parameter!$H$5+Parameter!$H$6+Parameter!$H$7))-(BI790-BD790))/BD790)))</f>
        <v>1</v>
      </c>
      <c r="BK790" s="60" t="str">
        <f aca="false">IF(AJ790&lt;=0,"",IF(CG790="Aussen","Aussenlager",IF(CG790="-","Nicht im Lift",IF(AP790&gt;=1,"Lift",IF(AP790&lt;=0,"Aussenlager","teilweise")))))</f>
        <v>Lift</v>
      </c>
      <c r="BL790" s="60" t="str">
        <f aca="false">IF(AT790&lt;=0,"",IF(CG790="Aussen","Aussenlager",IF(CG790="-","Nicht im Lift",IF(AZ790&gt;=1,"Lift",IF(AZ790&lt;=0,"Aussenlager","teilweise")))))</f>
        <v>Lift</v>
      </c>
      <c r="BM790" s="60" t="str">
        <f aca="false">IF(BD790&lt;=0,"",IF(CG790="Aussen","Aussenlager",IF(CG790="-","Nicht im Lift",IF(BJ790&gt;=1,"Lift",IF(BJ790&lt;=0,"Aussenlager","teilweise")))))</f>
        <v>Lift</v>
      </c>
      <c r="BN790" s="60" t="str">
        <f aca="false">IF(A790="","",IF(BW790=1,"Neu; ","")&amp;IF(AND(BW790=0,BR790&lt;0),"negativer Bestand (Export "&amp;BR790&amp;"); ","")&amp;IF(J790&lt;=0,"Kein Verbrauch; ","")&amp;IF(CR790&gt;0,"Lift "&amp;W790&amp;" lt. Liftbericht (Fach "&amp;X790&amp;" Stk); ",IF(CB790=1,"Gebinde geschätzt ("&amp;T790&amp;"); ",IF(CA790=1,"Lose – Tablare geschätzt; ","")))&amp;IF(H790&gt;AW790,"Überbestand "&amp;ROUND(H790-AW790,0)&amp;" Stk / CHF "&amp;ROUND((H790-AW790)*G790,0)&amp;"; ","")&amp;IF(AND(CI790=1,CJ790&lt;CK790),"MAX &lt; MB+LG; ","")&amp;IF(AND(CQ790&gt;0,CP790*10&gt;CQ790),"zu hoch für Tablar; ","")&amp;IF(AND(BW790=0,OR(CI790=1,AB790&lt;&gt;"",U790&lt;&gt;"",V790&lt;&gt;"",AC790&lt;&gt;"")),"manuell übersteuert; ","")&amp;IF(AND(CA790=0,R790=0),"Gebinde unbekannt / Stellmass fehlt; ","")&amp;IF(AND(CA790=0,N(V790)&lt;=0,N(Q790)&lt;=0),"Menge pro Gebinde fehlt (Ist = 1 Gebinde); ","")&amp;BV790)</f>
        <v>negativer Bestand (Export -2); Überbestand 25 Stk / CHF 38; </v>
      </c>
      <c r="BO790" s="60"/>
      <c r="BP790" s="60"/>
      <c r="BQ790" s="67"/>
      <c r="BR790" s="62" t="n">
        <v>-2</v>
      </c>
      <c r="BS790" s="62" t="n">
        <v>29</v>
      </c>
      <c r="BT790" s="61" t="n">
        <v>-3.06</v>
      </c>
      <c r="BU790" s="62" t="n">
        <v>2</v>
      </c>
      <c r="BV790" s="60"/>
      <c r="BW790" s="65" t="n">
        <v>0</v>
      </c>
      <c r="BX790" s="65" t="n">
        <v>790</v>
      </c>
      <c r="BY790" s="60" t="str">
        <f aca="false">IF(U790&lt;&gt;"",UPPER(TRIM(U790)),IF(CB790=1,UPPER(VLOOKUP(T790,Parameter!$I$27:$K$29,2,0)),IF(P790="","LOSE",P790)))</f>
        <v>S22</v>
      </c>
      <c r="BZ790" s="62" t="n">
        <f aca="false">IF(BY790="LOSE",1,IF(N(V790)&gt;0,V790,IF(CB790=1,MAX(1,N(VLOOKUP(T790,Parameter!$I$27:$K$29,3,0)),H790,N(N790)),IF(N(Q790)&gt;0,Q790,MAX(1,H790)))))</f>
        <v>34</v>
      </c>
      <c r="CA790" s="65" t="n">
        <f aca="false">IF(BY790="LOSE",1,0)</f>
        <v>0</v>
      </c>
      <c r="CB790" s="65" t="n">
        <f aca="false">IF(AND(U790="",OR(P790="",P790="LOSE"),T790&lt;&gt;"",N(S790)&lt;=0,ISNUMBER(MATCH(T790,Parameter!$I$27:$I$29,0))),1,0)</f>
        <v>0</v>
      </c>
      <c r="CC790" s="65" t="n">
        <f aca="false">IF(CR790&gt;0,INDEX(Parameter!$H$5:$H$7,W790)/INDEX(Parameter!$E$5:$E$7,W790),IF(AND(CA790=0,N(IFERROR(VLOOKUP(BY790,'Gebinde-Kategorie'!$A$5:$N$45,14,0),0))&gt;0),VLOOKUP(BY790,'Gebinde-Kategorie'!$A$5:$N$45,14,0)*10+Parameter!$M$23,Parameter!$M$24))</f>
        <v>155</v>
      </c>
      <c r="CD790" s="60" t="str">
        <f aca="false">IF(AND(Parameter!$B$19="Ja",E790&lt;&gt;"",ISNUMBER(MATCH(E790,Parameter!$I$35:$I$52,0))),VLOOKUP(E790,Parameter!$I$35:$J$52,2,0),IFERROR(VLOOKUP(D790,Parameter!$A$35:$C$64,2,0),"Nein"))</f>
        <v>2+3</v>
      </c>
      <c r="CE790" s="64" t="n">
        <f aca="false">IF(CA790=0,0,IF(N(S790)&gt;0,S790,IFERROR(VLOOKUP(D790,Parameter!$A$35:$C$64,3,0)+0,0)))</f>
        <v>0</v>
      </c>
      <c r="CF790" s="60" t="n">
        <f aca="false">IF(AB790&lt;&gt;"",AB790,AA790)</f>
        <v>2</v>
      </c>
      <c r="CG790" s="60" t="str">
        <f aca="false">IF(OR(CF790=1,CF790=2,CF790=3),IF(Parameter!$E$27="Ja","LIFT",IF(CF790=1,"L1","L23")),IF(CF790="Aussen","Aussen","-"))</f>
        <v>LIFT</v>
      </c>
      <c r="CH790" s="71" t="n">
        <f aca="false">IF(N(AC790)&gt;0,AC790,0)</f>
        <v>0</v>
      </c>
      <c r="CI790" s="65" t="n">
        <f aca="false">IF(ISNUMBER(AF790),1,0)</f>
        <v>0</v>
      </c>
      <c r="CJ790" s="62" t="n">
        <f aca="false">N(AF790)</f>
        <v>0</v>
      </c>
      <c r="CK790" s="62" t="n">
        <f aca="false">N(M790)+N(N790)</f>
        <v>1</v>
      </c>
      <c r="CL790" s="62" t="n">
        <f aca="false">N(M790)</f>
        <v>0</v>
      </c>
      <c r="CM790" s="62" t="n">
        <f aca="false">N(N790)</f>
        <v>1</v>
      </c>
      <c r="CN790" s="62" t="n">
        <f aca="false">ROUNDUP(H790/BZ790,0)</f>
        <v>1</v>
      </c>
      <c r="CO790" s="62" t="n">
        <f aca="false">ROUNDUP(CJ790/BZ790,0)</f>
        <v>0</v>
      </c>
      <c r="CP790" s="65" t="n">
        <f aca="false">IF(CA790=1,0,IFERROR(VLOOKUP(BY790,'Gebinde-Kategorie'!$A$5:$N$45,5,0)+0,0))</f>
        <v>8</v>
      </c>
      <c r="CQ790" s="65" t="n">
        <f aca="false">IFERROR(IF(OR(CF790=1,CF790=2,CF790=3),N(INDEX(Parameter!$I$5:$I$7,CF790)),0),0)</f>
        <v>0</v>
      </c>
      <c r="CR790" s="64" t="n">
        <f aca="false">IF(AND(Parameter!$B$21="Ja",ISNUMBER(W790),N(X790)&gt;0),IFERROR(N(INDEX(Parameter!$L$5:$L$7,W790))*INDEX(Parameter!$E$5:$E$7,W790)*X790/SUMIFS($X$7:$X$1843,$W$7:$W$1843,W790),0),0)</f>
        <v>0</v>
      </c>
      <c r="CS790" s="62" t="n">
        <f aca="false">IF(AND(OR(CG790="L1",CG790="L23",CG790="LIFT"),H790&gt;0),CC790*IF(CR790&gt;0,CR790*MAX(1,H790/X790),IF(CA790=1,CE790,IF(R790&gt;0,CN790/R790,0))/MAX(0.1,N(Parameter!$M$21))),"")</f>
        <v>1.10714285714286</v>
      </c>
      <c r="CT790" s="64" t="n">
        <f aca="false">IF(CS790="","",J790/H790)</f>
        <v>0.0740740740740741</v>
      </c>
      <c r="CU790" s="62" t="n">
        <f aca="false">IF(CS790="","",H790*G790)</f>
        <v>41.31</v>
      </c>
      <c r="CV790" s="63" t="n">
        <f aca="false">IF(CS790="","",(CL790+ROUNDUP(CL790+MAX(CM790,2*(J790/MAX(0.1,N(Einkauf!$C$6))-CL790)),0))/2)</f>
        <v>0.5</v>
      </c>
      <c r="CW790" s="62" t="n">
        <f aca="false">IF(CS790="","",MAX(0,H790-CV790)*G790)</f>
        <v>40.545</v>
      </c>
      <c r="CX790" s="62" t="n">
        <f aca="false">IF(CS790="","",CS790*MAX(0,1-CV790/H790))</f>
        <v>1.08664021164021</v>
      </c>
      <c r="CY790" s="64" t="n">
        <f aca="false">IF(CS790="","",PERCENTRANK($CS$7:$CS$1843,CS790)+PERCENTRANK($CU$7:$CU$1843,CU790)+1-PERCENTRANK($CT$7:$CT$1843,CT790))</f>
        <v>0.7754</v>
      </c>
      <c r="CZ790" s="72" t="n">
        <f aca="false">IF(CS790="","",CHOOSE(MATCH(Einkauf!$C$5,Parameter!$G$23:$G$27,0),CY790,CS790,CU790,-CT790,CW790)+ROW()/1000000000)</f>
        <v>0.77540079</v>
      </c>
    </row>
    <row r="791" customFormat="false" ht="15" hidden="false" customHeight="false" outlineLevel="0" collapsed="false">
      <c r="A791" s="60" t="s">
        <v>1582</v>
      </c>
      <c r="B791" s="60" t="s">
        <v>447</v>
      </c>
      <c r="C791" s="60" t="s">
        <v>206</v>
      </c>
      <c r="D791" s="60" t="s">
        <v>226</v>
      </c>
      <c r="E791" s="60" t="s">
        <v>227</v>
      </c>
      <c r="F791" s="60" t="s">
        <v>260</v>
      </c>
      <c r="G791" s="61" t="n">
        <v>0.19</v>
      </c>
      <c r="H791" s="62" t="n">
        <f aca="false">MAX(0,IF(AND(Parameter!$B$21="Ja",ISNUMBER(Y791)),Y791,IF(Parameter!$B$20="Jahresanfang 2025 + Export",BS791+BR791,BR791)))</f>
        <v>62</v>
      </c>
      <c r="I791" s="62" t="n">
        <f aca="false">H791*G791</f>
        <v>11.78</v>
      </c>
      <c r="J791" s="62" t="n">
        <f aca="false">BU791*Parameter!$B$18</f>
        <v>6</v>
      </c>
      <c r="K791" s="63" t="n">
        <v>70.5</v>
      </c>
      <c r="L791" s="64" t="n">
        <v>0.0851063829787234</v>
      </c>
      <c r="M791" s="62" t="n">
        <v>0</v>
      </c>
      <c r="N791" s="62" t="n">
        <v>5</v>
      </c>
      <c r="O791" s="65" t="n">
        <v>14</v>
      </c>
      <c r="P791" s="60" t="s">
        <v>468</v>
      </c>
      <c r="Q791" s="62" t="n">
        <v>93</v>
      </c>
      <c r="R791" s="65" t="n">
        <f aca="false">IF(CA791=1,0,IFERROR(VLOOKUP(BY791,'Gebinde-Kategorie'!$A$5:$N$45,13,0)+0,0))</f>
        <v>140</v>
      </c>
      <c r="S791" s="66"/>
      <c r="T791" s="67"/>
      <c r="U791" s="67"/>
      <c r="V791" s="67"/>
      <c r="W791" s="60"/>
      <c r="X791" s="62"/>
      <c r="Y791" s="62"/>
      <c r="Z791" s="60" t="n">
        <v>2</v>
      </c>
      <c r="AA791" s="60" t="n">
        <f aca="false">IF(A791="","",IF(AND(Parameter!$B$21="Ja",ISNUMBER(W791)),W791,IF(AND(Parameter!$E$27="Ja",ISNUMBER(Z791),CD791&lt;&gt;"Nein"),Z791,IF(CD791="2+3",IF(ISNUMBER(SEARCH("grosser Artikel",BV791)),2,IFERROR(VLOOKUP(BY791,Parameter!$F$35:$G$64,2,0),2)),IF(OR(CD791="Nein",CD791=""),"-",CD791)))))</f>
        <v>2</v>
      </c>
      <c r="AB791" s="67"/>
      <c r="AC791" s="68"/>
      <c r="AD791" s="62" t="n">
        <f aca="false">AW791</f>
        <v>5</v>
      </c>
      <c r="AE791" s="62" t="n">
        <f aca="false">MAX(AW791,H791)</f>
        <v>62</v>
      </c>
      <c r="AF791" s="69"/>
      <c r="AG791" s="62" t="n">
        <f aca="false">IF(LEFT(Cockpit!$C$5,1)="A",H791,IF(Parameter!$E$30="MAX-Bestand",IF(CI791=1,CJ791,IF(LEFT(Cockpit!$C$5,1)="B",AM791,MAX(AM791,H791))),ROUNDUP(AK791,0)))</f>
        <v>62</v>
      </c>
      <c r="AH791" s="62" t="n">
        <f aca="false">IF(CA791=1,0,ROUNDUP(AG791/BZ791,0))</f>
        <v>1</v>
      </c>
      <c r="AI791" s="64" t="n">
        <f aca="false">IF(CR791&gt;0,CR791*MAX(1,AG791/X791),IF(CA791=1,IF(AG791&lt;=0,0,CE791*MAX(1,IF(H791&gt;0,AG791/H791,1))),IF(R791&gt;0,AH791/R791,0))/MAX(0.1,N(Parameter!$M$21)))</f>
        <v>0.00714285714285714</v>
      </c>
      <c r="AJ791" s="62" t="n">
        <f aca="false">AI791*CC791</f>
        <v>1.10714285714286</v>
      </c>
      <c r="AK791" s="63" t="n">
        <f aca="false">IF(LEFT(Cockpit!$C$5,1)="A",H791,IF(CI791=1,(CL791+CJ791)/2,IF(LEFT(Cockpit!$C$5,1)="B",(CL791+AM791)/2,MAX((CL791+AM791)/2,H791))))</f>
        <v>62</v>
      </c>
      <c r="AL791" s="62" t="n">
        <f aca="false">AK791*G791</f>
        <v>11.78</v>
      </c>
      <c r="AM791" s="62" t="n">
        <f aca="false">ROUNDUP(CL791+MAX(CM791,2*(J791/IF(CH791&gt;0,CH791,MAX(0.1,N(Cockpit!$C$6)))-CL791)),0)</f>
        <v>5</v>
      </c>
      <c r="AN791" s="63" t="n">
        <f aca="false">IF(AJ791&gt;0,J791/AJ791,-1)</f>
        <v>5.41935483870968</v>
      </c>
      <c r="AO791" s="63" t="n">
        <f aca="false">IF(AND(OR(CG791="L1",CG791="L23",CG791="LIFT"),AJ791&gt;0),SUMIFS($AJ$7:$AJ$1843,$CG$7:$CG$1843,CG791,$AN$7:$AN$1843,"&gt;"&amp;AN791)+SUMIFS($AJ$7:$AJ$1843,$CG$7:$CG$1843,CG791,$AN$7:$AN$1843,AN791,$BX$7:$BX$1843,"&lt;="&amp;BX791),"")</f>
        <v>3715.58836996337</v>
      </c>
      <c r="AP791" s="70" t="n">
        <f aca="false">IF(AO791="",0,MAX(0,MIN(1,(IF(CG791="L1",Parameter!$H$5,IF(CG791="L23",Parameter!$H$6+Parameter!$H$7,Parameter!$H$5+Parameter!$H$6+Parameter!$H$7))-(AO791-AJ791))/AJ791)))</f>
        <v>1</v>
      </c>
      <c r="AQ791" s="62" t="n">
        <f aca="false">IF(LEFT(Cockpit!$I$5,1)="A",H791,IF(Parameter!$E$30="MAX-Bestand",IF(CI791=1,CJ791,IF(LEFT(Cockpit!$I$5,1)="B",AW791,MAX(AW791,H791))),ROUNDUP(AU791,0)))</f>
        <v>62</v>
      </c>
      <c r="AR791" s="62" t="n">
        <f aca="false">IF(CA791=1,0,ROUNDUP(AQ791/BZ791,0))</f>
        <v>1</v>
      </c>
      <c r="AS791" s="64" t="n">
        <f aca="false">IF(CR791&gt;0,CR791*MAX(1,AQ791/X791),IF(CA791=1,IF(AQ791&lt;=0,0,CE791*MAX(1,IF(H791&gt;0,AQ791/H791,1))),IF(R791&gt;0,AR791/R791,0))/MAX(0.1,N(Parameter!$M$21)))</f>
        <v>0.00714285714285714</v>
      </c>
      <c r="AT791" s="62" t="n">
        <f aca="false">AS791*CC791</f>
        <v>1.10714285714286</v>
      </c>
      <c r="AU791" s="63" t="n">
        <f aca="false">IF(LEFT(Cockpit!$I$5,1)="A",H791,IF(CI791=1,(CL791+CJ791)/2,IF(LEFT(Cockpit!$I$5,1)="B",(CL791+AW791)/2,MAX((CL791+AW791)/2,H791))))</f>
        <v>62</v>
      </c>
      <c r="AV791" s="62" t="n">
        <f aca="false">AU791*G791</f>
        <v>11.78</v>
      </c>
      <c r="AW791" s="62" t="n">
        <f aca="false">ROUNDUP(CL791+MAX(CM791,2*(J791/IF(CH791&gt;0,CH791,MAX(0.1,N(Cockpit!$I$6)))-CL791)),0)</f>
        <v>5</v>
      </c>
      <c r="AX791" s="63" t="n">
        <f aca="false">IF(AT791&gt;0,J791/AT791,-1)</f>
        <v>5.41935483870968</v>
      </c>
      <c r="AY791" s="63" t="n">
        <f aca="false">IF(AND(OR(CG791="L1",CG791="L23",CG791="LIFT"),AT791&gt;0),SUMIFS($AT$7:$AT$1843,$CG$7:$CG$1843,CG791,$AX$7:$AX$1843,"&gt;"&amp;AX791)+SUMIFS($AT$7:$AT$1843,$CG$7:$CG$1843,CG791,$AX$7:$AX$1843,AX791,$BX$7:$BX$1843,"&lt;="&amp;BX791),"")</f>
        <v>4369.32921245421</v>
      </c>
      <c r="AZ791" s="70" t="n">
        <f aca="false">IF(AY791="",0,MAX(0,MIN(1,(IF(CG791="L1",Parameter!$H$5,IF(CG791="L23",Parameter!$H$6+Parameter!$H$7,Parameter!$H$5+Parameter!$H$6+Parameter!$H$7))-(AY791-AT791))/AT791)))</f>
        <v>1</v>
      </c>
      <c r="BA791" s="62" t="n">
        <f aca="false">IF(LEFT(Cockpit!$O$5,1)="A",H791,IF(Parameter!$E$30="MAX-Bestand",IF(CI791=1,CJ791,IF(LEFT(Cockpit!$O$5,1)="B",BG791,MAX(BG791,H791))),ROUNDUP(BE791,0)))</f>
        <v>3</v>
      </c>
      <c r="BB791" s="62" t="n">
        <f aca="false">IF(CA791=1,0,ROUNDUP(BA791/BZ791,0))</f>
        <v>1</v>
      </c>
      <c r="BC791" s="64" t="n">
        <f aca="false">IF(CR791&gt;0,CR791*MAX(1,BA791/X791),IF(CA791=1,IF(BA791&lt;=0,0,CE791*MAX(1,IF(H791&gt;0,BA791/H791,1))),IF(R791&gt;0,BB791/R791,0))/MAX(0.1,N(Parameter!$M$21)))</f>
        <v>0.00714285714285714</v>
      </c>
      <c r="BD791" s="62" t="n">
        <f aca="false">BC791*CC791</f>
        <v>1.10714285714286</v>
      </c>
      <c r="BE791" s="63" t="n">
        <f aca="false">IF(LEFT(Cockpit!$O$5,1)="A",H791,IF(CI791=1,(CL791+CJ791)/2,IF(LEFT(Cockpit!$O$5,1)="B",(CL791+BG791)/2,MAX((CL791+BG791)/2,H791))))</f>
        <v>2.5</v>
      </c>
      <c r="BF791" s="62" t="n">
        <f aca="false">BE791*G791</f>
        <v>0.475</v>
      </c>
      <c r="BG791" s="62" t="n">
        <f aca="false">ROUNDUP(CL791+MAX(CM791,2*(J791/IF(CH791&gt;0,CH791,MAX(0.1,N(Cockpit!$O$6)))-CL791)),0)</f>
        <v>5</v>
      </c>
      <c r="BH791" s="63" t="n">
        <f aca="false">IF(BD791&gt;0,J791/BD791,-1)</f>
        <v>5.41935483870968</v>
      </c>
      <c r="BI791" s="63" t="n">
        <f aca="false">IF(AND(OR(CG791="L1",CG791="L23",CG791="LIFT"),BD791&gt;0),SUMIFS($BD$7:$BD$1843,$CG$7:$CG$1843,CG791,$BH$7:$BH$1843,"&gt;"&amp;BH791)+SUMIFS($BD$7:$BD$1843,$CG$7:$CG$1843,CG791,$BH$7:$BH$1843,BH791,$BX$7:$BX$1843,"&lt;="&amp;BX791),"")</f>
        <v>3683.85119047619</v>
      </c>
      <c r="BJ791" s="70" t="n">
        <f aca="false">IF(BI791="",0,MAX(0,MIN(1,(IF(CG791="L1",Parameter!$H$5,IF(CG791="L23",Parameter!$H$6+Parameter!$H$7,Parameter!$H$5+Parameter!$H$6+Parameter!$H$7))-(BI791-BD791))/BD791)))</f>
        <v>1</v>
      </c>
      <c r="BK791" s="60" t="str">
        <f aca="false">IF(AJ791&lt;=0,"",IF(CG791="Aussen","Aussenlager",IF(CG791="-","Nicht im Lift",IF(AP791&gt;=1,"Lift",IF(AP791&lt;=0,"Aussenlager","teilweise")))))</f>
        <v>Lift</v>
      </c>
      <c r="BL791" s="60" t="str">
        <f aca="false">IF(AT791&lt;=0,"",IF(CG791="Aussen","Aussenlager",IF(CG791="-","Nicht im Lift",IF(AZ791&gt;=1,"Lift",IF(AZ791&lt;=0,"Aussenlager","teilweise")))))</f>
        <v>Lift</v>
      </c>
      <c r="BM791" s="60" t="str">
        <f aca="false">IF(BD791&lt;=0,"",IF(CG791="Aussen","Aussenlager",IF(CG791="-","Nicht im Lift",IF(BJ791&gt;=1,"Lift",IF(BJ791&lt;=0,"Aussenlager","teilweise")))))</f>
        <v>Lift</v>
      </c>
      <c r="BN791" s="60" t="str">
        <f aca="false">IF(A791="","",IF(BW791=1,"Neu; ","")&amp;IF(AND(BW791=0,BR791&lt;0),"negativer Bestand (Export "&amp;BR791&amp;"); ","")&amp;IF(J791&lt;=0,"Kein Verbrauch; ","")&amp;IF(CR791&gt;0,"Lift "&amp;W791&amp;" lt. Liftbericht (Fach "&amp;X791&amp;" Stk); ",IF(CB791=1,"Gebinde geschätzt ("&amp;T791&amp;"); ",IF(CA791=1,"Lose – Tablare geschätzt; ","")))&amp;IF(H791&gt;AW791,"Überbestand "&amp;ROUND(H791-AW791,0)&amp;" Stk / CHF "&amp;ROUND((H791-AW791)*G791,0)&amp;"; ","")&amp;IF(AND(CI791=1,CJ791&lt;CK791),"MAX &lt; MB+LG; ","")&amp;IF(AND(CQ791&gt;0,CP791*10&gt;CQ791),"zu hoch für Tablar; ","")&amp;IF(AND(BW791=0,OR(CI791=1,AB791&lt;&gt;"",U791&lt;&gt;"",V791&lt;&gt;"",AC791&lt;&gt;"")),"manuell übersteuert; ","")&amp;IF(AND(CA791=0,R791=0),"Gebinde unbekannt / Stellmass fehlt; ","")&amp;IF(AND(CA791=0,N(V791)&lt;=0,N(Q791)&lt;=0),"Menge pro Gebinde fehlt (Ist = 1 Gebinde); ","")&amp;BV791)</f>
        <v>negativer Bestand (Export -17); Überbestand 57 Stk / CHF 11; Überbestand</v>
      </c>
      <c r="BO791" s="60"/>
      <c r="BP791" s="60"/>
      <c r="BQ791" s="67"/>
      <c r="BR791" s="62" t="n">
        <v>-17</v>
      </c>
      <c r="BS791" s="62" t="n">
        <v>79</v>
      </c>
      <c r="BT791" s="61" t="n">
        <v>-3.23</v>
      </c>
      <c r="BU791" s="62" t="n">
        <v>6</v>
      </c>
      <c r="BV791" s="60" t="s">
        <v>434</v>
      </c>
      <c r="BW791" s="65" t="n">
        <v>0</v>
      </c>
      <c r="BX791" s="65" t="n">
        <v>791</v>
      </c>
      <c r="BY791" s="60" t="str">
        <f aca="false">IF(U791&lt;&gt;"",UPPER(TRIM(U791)),IF(CB791=1,UPPER(VLOOKUP(T791,Parameter!$I$27:$K$29,2,0)),IF(P791="","LOSE",P791)))</f>
        <v>S22</v>
      </c>
      <c r="BZ791" s="62" t="n">
        <f aca="false">IF(BY791="LOSE",1,IF(N(V791)&gt;0,V791,IF(CB791=1,MAX(1,N(VLOOKUP(T791,Parameter!$I$27:$K$29,3,0)),H791,N(N791)),IF(N(Q791)&gt;0,Q791,MAX(1,H791)))))</f>
        <v>93</v>
      </c>
      <c r="CA791" s="65" t="n">
        <f aca="false">IF(BY791="LOSE",1,0)</f>
        <v>0</v>
      </c>
      <c r="CB791" s="65" t="n">
        <f aca="false">IF(AND(U791="",OR(P791="",P791="LOSE"),T791&lt;&gt;"",N(S791)&lt;=0,ISNUMBER(MATCH(T791,Parameter!$I$27:$I$29,0))),1,0)</f>
        <v>0</v>
      </c>
      <c r="CC791" s="65" t="n">
        <f aca="false">IF(CR791&gt;0,INDEX(Parameter!$H$5:$H$7,W791)/INDEX(Parameter!$E$5:$E$7,W791),IF(AND(CA791=0,N(IFERROR(VLOOKUP(BY791,'Gebinde-Kategorie'!$A$5:$N$45,14,0),0))&gt;0),VLOOKUP(BY791,'Gebinde-Kategorie'!$A$5:$N$45,14,0)*10+Parameter!$M$23,Parameter!$M$24))</f>
        <v>155</v>
      </c>
      <c r="CD791" s="60" t="str">
        <f aca="false">IF(AND(Parameter!$B$19="Ja",E791&lt;&gt;"",ISNUMBER(MATCH(E791,Parameter!$I$35:$I$52,0))),VLOOKUP(E791,Parameter!$I$35:$J$52,2,0),IFERROR(VLOOKUP(D791,Parameter!$A$35:$C$64,2,0),"Nein"))</f>
        <v>2+3</v>
      </c>
      <c r="CE791" s="64" t="n">
        <f aca="false">IF(CA791=0,0,IF(N(S791)&gt;0,S791,IFERROR(VLOOKUP(D791,Parameter!$A$35:$C$64,3,0)+0,0)))</f>
        <v>0</v>
      </c>
      <c r="CF791" s="60" t="n">
        <f aca="false">IF(AB791&lt;&gt;"",AB791,AA791)</f>
        <v>2</v>
      </c>
      <c r="CG791" s="60" t="str">
        <f aca="false">IF(OR(CF791=1,CF791=2,CF791=3),IF(Parameter!$E$27="Ja","LIFT",IF(CF791=1,"L1","L23")),IF(CF791="Aussen","Aussen","-"))</f>
        <v>LIFT</v>
      </c>
      <c r="CH791" s="71" t="n">
        <f aca="false">IF(N(AC791)&gt;0,AC791,0)</f>
        <v>0</v>
      </c>
      <c r="CI791" s="65" t="n">
        <f aca="false">IF(ISNUMBER(AF791),1,0)</f>
        <v>0</v>
      </c>
      <c r="CJ791" s="62" t="n">
        <f aca="false">N(AF791)</f>
        <v>0</v>
      </c>
      <c r="CK791" s="62" t="n">
        <f aca="false">N(M791)+N(N791)</f>
        <v>5</v>
      </c>
      <c r="CL791" s="62" t="n">
        <f aca="false">N(M791)</f>
        <v>0</v>
      </c>
      <c r="CM791" s="62" t="n">
        <f aca="false">N(N791)</f>
        <v>5</v>
      </c>
      <c r="CN791" s="62" t="n">
        <f aca="false">ROUNDUP(H791/BZ791,0)</f>
        <v>1</v>
      </c>
      <c r="CO791" s="62" t="n">
        <f aca="false">ROUNDUP(CJ791/BZ791,0)</f>
        <v>0</v>
      </c>
      <c r="CP791" s="65" t="n">
        <f aca="false">IF(CA791=1,0,IFERROR(VLOOKUP(BY791,'Gebinde-Kategorie'!$A$5:$N$45,5,0)+0,0))</f>
        <v>8</v>
      </c>
      <c r="CQ791" s="65" t="n">
        <f aca="false">IFERROR(IF(OR(CF791=1,CF791=2,CF791=3),N(INDEX(Parameter!$I$5:$I$7,CF791)),0),0)</f>
        <v>0</v>
      </c>
      <c r="CR791" s="64" t="n">
        <f aca="false">IF(AND(Parameter!$B$21="Ja",ISNUMBER(W791),N(X791)&gt;0),IFERROR(N(INDEX(Parameter!$L$5:$L$7,W791))*INDEX(Parameter!$E$5:$E$7,W791)*X791/SUMIFS($X$7:$X$1843,$W$7:$W$1843,W791),0),0)</f>
        <v>0</v>
      </c>
      <c r="CS791" s="62" t="n">
        <f aca="false">IF(AND(OR(CG791="L1",CG791="L23",CG791="LIFT"),H791&gt;0),CC791*IF(CR791&gt;0,CR791*MAX(1,H791/X791),IF(CA791=1,CE791,IF(R791&gt;0,CN791/R791,0))/MAX(0.1,N(Parameter!$M$21))),"")</f>
        <v>1.10714285714286</v>
      </c>
      <c r="CT791" s="64" t="n">
        <f aca="false">IF(CS791="","",J791/H791)</f>
        <v>0.0967741935483871</v>
      </c>
      <c r="CU791" s="62" t="n">
        <f aca="false">IF(CS791="","",H791*G791)</f>
        <v>11.78</v>
      </c>
      <c r="CV791" s="63" t="n">
        <f aca="false">IF(CS791="","",(CL791+ROUNDUP(CL791+MAX(CM791,2*(J791/MAX(0.1,N(Einkauf!$C$6))-CL791)),0))/2)</f>
        <v>2.5</v>
      </c>
      <c r="CW791" s="62" t="n">
        <f aca="false">IF(CS791="","",MAX(0,H791-CV791)*G791)</f>
        <v>11.305</v>
      </c>
      <c r="CX791" s="62" t="n">
        <f aca="false">IF(CS791="","",CS791*MAX(0,1-CV791/H791))</f>
        <v>1.0625</v>
      </c>
      <c r="CY791" s="64" t="n">
        <f aca="false">IF(CS791="","",PERCENTRANK($CS$7:$CS$1843,CS791)+PERCENTRANK($CU$7:$CU$1843,CU791)+1-PERCENTRANK($CT$7:$CT$1843,CT791))</f>
        <v>0.678</v>
      </c>
      <c r="CZ791" s="72" t="n">
        <f aca="false">IF(CS791="","",CHOOSE(MATCH(Einkauf!$C$5,Parameter!$G$23:$G$27,0),CY791,CS791,CU791,-CT791,CW791)+ROW()/1000000000)</f>
        <v>0.678000791</v>
      </c>
    </row>
    <row r="792" customFormat="false" ht="15" hidden="false" customHeight="false" outlineLevel="0" collapsed="false">
      <c r="A792" s="60" t="s">
        <v>1583</v>
      </c>
      <c r="B792" s="60" t="s">
        <v>1584</v>
      </c>
      <c r="C792" s="60" t="s">
        <v>206</v>
      </c>
      <c r="D792" s="60" t="s">
        <v>215</v>
      </c>
      <c r="E792" s="60"/>
      <c r="F792" s="60" t="s">
        <v>260</v>
      </c>
      <c r="G792" s="61" t="n">
        <v>3.45</v>
      </c>
      <c r="H792" s="62" t="n">
        <f aca="false">MAX(0,IF(AND(Parameter!$B$21="Ja",ISNUMBER(Y792)),Y792,IF(Parameter!$B$20="Jahresanfang 2025 + Export",BS792+BR792,BR792)))</f>
        <v>18</v>
      </c>
      <c r="I792" s="62" t="n">
        <f aca="false">H792*G792</f>
        <v>62.1</v>
      </c>
      <c r="J792" s="62" t="n">
        <f aca="false">BU792*Parameter!$B$18</f>
        <v>0</v>
      </c>
      <c r="K792" s="63" t="n">
        <v>18.5</v>
      </c>
      <c r="L792" s="64" t="n">
        <v>0</v>
      </c>
      <c r="M792" s="62" t="n">
        <v>0</v>
      </c>
      <c r="N792" s="62" t="n">
        <v>1</v>
      </c>
      <c r="O792" s="65" t="n">
        <v>35</v>
      </c>
      <c r="P792" s="60" t="s">
        <v>463</v>
      </c>
      <c r="Q792" s="62" t="n">
        <v>20</v>
      </c>
      <c r="R792" s="65" t="n">
        <f aca="false">IF(CA792=1,0,IFERROR(VLOOKUP(BY792,'Gebinde-Kategorie'!$A$5:$N$45,13,0)+0,0))</f>
        <v>104</v>
      </c>
      <c r="S792" s="66"/>
      <c r="T792" s="67"/>
      <c r="U792" s="67"/>
      <c r="V792" s="67"/>
      <c r="W792" s="60"/>
      <c r="X792" s="62"/>
      <c r="Y792" s="62"/>
      <c r="Z792" s="60" t="n">
        <v>2</v>
      </c>
      <c r="AA792" s="60" t="n">
        <f aca="false">IF(A792="","",IF(AND(Parameter!$B$21="Ja",ISNUMBER(W792)),W792,IF(AND(Parameter!$E$27="Ja",ISNUMBER(Z792),CD792&lt;&gt;"Nein"),Z792,IF(CD792="2+3",IF(ISNUMBER(SEARCH("grosser Artikel",BV792)),2,IFERROR(VLOOKUP(BY792,Parameter!$F$35:$G$64,2,0),2)),IF(OR(CD792="Nein",CD792=""),"-",CD792)))))</f>
        <v>2</v>
      </c>
      <c r="AB792" s="67"/>
      <c r="AC792" s="68"/>
      <c r="AD792" s="62" t="n">
        <f aca="false">AW792</f>
        <v>1</v>
      </c>
      <c r="AE792" s="62" t="n">
        <f aca="false">MAX(AW792,H792)</f>
        <v>18</v>
      </c>
      <c r="AF792" s="69"/>
      <c r="AG792" s="62" t="n">
        <f aca="false">IF(LEFT(Cockpit!$C$5,1)="A",H792,IF(Parameter!$E$30="MAX-Bestand",IF(CI792=1,CJ792,IF(LEFT(Cockpit!$C$5,1)="B",AM792,MAX(AM792,H792))),ROUNDUP(AK792,0)))</f>
        <v>18</v>
      </c>
      <c r="AH792" s="62" t="n">
        <f aca="false">IF(CA792=1,0,ROUNDUP(AG792/BZ792,0))</f>
        <v>1</v>
      </c>
      <c r="AI792" s="64" t="n">
        <f aca="false">IF(CR792&gt;0,CR792*MAX(1,AG792/X792),IF(CA792=1,IF(AG792&lt;=0,0,CE792*MAX(1,IF(H792&gt;0,AG792/H792,1))),IF(R792&gt;0,AH792/R792,0))/MAX(0.1,N(Parameter!$M$21)))</f>
        <v>0.00961538461538462</v>
      </c>
      <c r="AJ792" s="62" t="n">
        <f aca="false">AI792*CC792</f>
        <v>1.49038461538462</v>
      </c>
      <c r="AK792" s="63" t="n">
        <f aca="false">IF(LEFT(Cockpit!$C$5,1)="A",H792,IF(CI792=1,(CL792+CJ792)/2,IF(LEFT(Cockpit!$C$5,1)="B",(CL792+AM792)/2,MAX((CL792+AM792)/2,H792))))</f>
        <v>18</v>
      </c>
      <c r="AL792" s="62" t="n">
        <f aca="false">AK792*G792</f>
        <v>62.1</v>
      </c>
      <c r="AM792" s="62" t="n">
        <f aca="false">ROUNDUP(CL792+MAX(CM792,2*(J792/IF(CH792&gt;0,CH792,MAX(0.1,N(Cockpit!$C$6)))-CL792)),0)</f>
        <v>1</v>
      </c>
      <c r="AN792" s="63" t="n">
        <f aca="false">IF(AJ792&gt;0,J792/AJ792,-1)</f>
        <v>0</v>
      </c>
      <c r="AO792" s="63" t="n">
        <f aca="false">IF(AND(OR(CG792="L1",CG792="L23",CG792="LIFT"),AJ792&gt;0),SUMIFS($AJ$7:$AJ$1843,$CG$7:$CG$1843,CG792,$AN$7:$AN$1843,"&gt;"&amp;AN792)+SUMIFS($AJ$7:$AJ$1843,$CG$7:$CG$1843,CG792,$AN$7:$AN$1843,AN792,$BX$7:$BX$1843,"&lt;="&amp;BX792),"")</f>
        <v>28762.7748934211</v>
      </c>
      <c r="AP792" s="70" t="n">
        <f aca="false">IF(AO792="",0,MAX(0,MIN(1,(IF(CG792="L1",Parameter!$H$5,IF(CG792="L23",Parameter!$H$6+Parameter!$H$7,Parameter!$H$5+Parameter!$H$6+Parameter!$H$7))-(AO792-AJ792))/AJ792)))</f>
        <v>1</v>
      </c>
      <c r="AQ792" s="62" t="n">
        <f aca="false">IF(LEFT(Cockpit!$I$5,1)="A",H792,IF(Parameter!$E$30="MAX-Bestand",IF(CI792=1,CJ792,IF(LEFT(Cockpit!$I$5,1)="B",AW792,MAX(AW792,H792))),ROUNDUP(AU792,0)))</f>
        <v>18</v>
      </c>
      <c r="AR792" s="62" t="n">
        <f aca="false">IF(CA792=1,0,ROUNDUP(AQ792/BZ792,0))</f>
        <v>1</v>
      </c>
      <c r="AS792" s="64" t="n">
        <f aca="false">IF(CR792&gt;0,CR792*MAX(1,AQ792/X792),IF(CA792=1,IF(AQ792&lt;=0,0,CE792*MAX(1,IF(H792&gt;0,AQ792/H792,1))),IF(R792&gt;0,AR792/R792,0))/MAX(0.1,N(Parameter!$M$21)))</f>
        <v>0.00961538461538462</v>
      </c>
      <c r="AT792" s="62" t="n">
        <f aca="false">AS792*CC792</f>
        <v>1.49038461538462</v>
      </c>
      <c r="AU792" s="63" t="n">
        <f aca="false">IF(LEFT(Cockpit!$I$5,1)="A",H792,IF(CI792=1,(CL792+CJ792)/2,IF(LEFT(Cockpit!$I$5,1)="B",(CL792+AW792)/2,MAX((CL792+AW792)/2,H792))))</f>
        <v>18</v>
      </c>
      <c r="AV792" s="62" t="n">
        <f aca="false">AU792*G792</f>
        <v>62.1</v>
      </c>
      <c r="AW792" s="62" t="n">
        <f aca="false">ROUNDUP(CL792+MAX(CM792,2*(J792/IF(CH792&gt;0,CH792,MAX(0.1,N(Cockpit!$I$6)))-CL792)),0)</f>
        <v>1</v>
      </c>
      <c r="AX792" s="63" t="n">
        <f aca="false">IF(AT792&gt;0,J792/AT792,-1)</f>
        <v>0</v>
      </c>
      <c r="AY792" s="63" t="n">
        <f aca="false">IF(AND(OR(CG792="L1",CG792="L23",CG792="LIFT"),AT792&gt;0),SUMIFS($AT$7:$AT$1843,$CG$7:$CG$1843,CG792,$AX$7:$AX$1843,"&gt;"&amp;AX792)+SUMIFS($AT$7:$AT$1843,$CG$7:$CG$1843,CG792,$AX$7:$AX$1843,AX792,$BX$7:$BX$1843,"&lt;="&amp;BX792),"")</f>
        <v>34367.5581501832</v>
      </c>
      <c r="AZ792" s="70" t="n">
        <f aca="false">IF(AY792="",0,MAX(0,MIN(1,(IF(CG792="L1",Parameter!$H$5,IF(CG792="L23",Parameter!$H$6+Parameter!$H$7,Parameter!$H$5+Parameter!$H$6+Parameter!$H$7))-(AY792-AT792))/AT792)))</f>
        <v>1</v>
      </c>
      <c r="BA792" s="62" t="n">
        <f aca="false">IF(LEFT(Cockpit!$O$5,1)="A",H792,IF(Parameter!$E$30="MAX-Bestand",IF(CI792=1,CJ792,IF(LEFT(Cockpit!$O$5,1)="B",BG792,MAX(BG792,H792))),ROUNDUP(BE792,0)))</f>
        <v>1</v>
      </c>
      <c r="BB792" s="62" t="n">
        <f aca="false">IF(CA792=1,0,ROUNDUP(BA792/BZ792,0))</f>
        <v>1</v>
      </c>
      <c r="BC792" s="64" t="n">
        <f aca="false">IF(CR792&gt;0,CR792*MAX(1,BA792/X792),IF(CA792=1,IF(BA792&lt;=0,0,CE792*MAX(1,IF(H792&gt;0,BA792/H792,1))),IF(R792&gt;0,BB792/R792,0))/MAX(0.1,N(Parameter!$M$21)))</f>
        <v>0.00961538461538462</v>
      </c>
      <c r="BD792" s="62" t="n">
        <f aca="false">BC792*CC792</f>
        <v>1.49038461538462</v>
      </c>
      <c r="BE792" s="63" t="n">
        <f aca="false">IF(LEFT(Cockpit!$O$5,1)="A",H792,IF(CI792=1,(CL792+CJ792)/2,IF(LEFT(Cockpit!$O$5,1)="B",(CL792+BG792)/2,MAX((CL792+BG792)/2,H792))))</f>
        <v>0.5</v>
      </c>
      <c r="BF792" s="62" t="n">
        <f aca="false">BE792*G792</f>
        <v>1.725</v>
      </c>
      <c r="BG792" s="62" t="n">
        <f aca="false">ROUNDUP(CL792+MAX(CM792,2*(J792/IF(CH792&gt;0,CH792,MAX(0.1,N(Cockpit!$O$6)))-CL792)),0)</f>
        <v>1</v>
      </c>
      <c r="BH792" s="63" t="n">
        <f aca="false">IF(BD792&gt;0,J792/BD792,-1)</f>
        <v>0</v>
      </c>
      <c r="BI792" s="63" t="n">
        <f aca="false">IF(AND(OR(CG792="L1",CG792="L23",CG792="LIFT"),BD792&gt;0),SUMIFS($BD$7:$BD$1843,$CG$7:$CG$1843,CG792,$BH$7:$BH$1843,"&gt;"&amp;BH792)+SUMIFS($BD$7:$BD$1843,$CG$7:$CG$1843,CG792,$BH$7:$BH$1843,BH792,$BX$7:$BX$1843,"&lt;="&amp;BX792),"")</f>
        <v>28411.4279971441</v>
      </c>
      <c r="BJ792" s="70" t="n">
        <f aca="false">IF(BI792="",0,MAX(0,MIN(1,(IF(CG792="L1",Parameter!$H$5,IF(CG792="L23",Parameter!$H$6+Parameter!$H$7,Parameter!$H$5+Parameter!$H$6+Parameter!$H$7))-(BI792-BD792))/BD792)))</f>
        <v>1</v>
      </c>
      <c r="BK792" s="60" t="str">
        <f aca="false">IF(AJ792&lt;=0,"",IF(CG792="Aussen","Aussenlager",IF(CG792="-","Nicht im Lift",IF(AP792&gt;=1,"Lift",IF(AP792&lt;=0,"Aussenlager","teilweise")))))</f>
        <v>Lift</v>
      </c>
      <c r="BL792" s="60" t="str">
        <f aca="false">IF(AT792&lt;=0,"",IF(CG792="Aussen","Aussenlager",IF(CG792="-","Nicht im Lift",IF(AZ792&gt;=1,"Lift",IF(AZ792&lt;=0,"Aussenlager","teilweise")))))</f>
        <v>Lift</v>
      </c>
      <c r="BM792" s="60" t="str">
        <f aca="false">IF(BD792&lt;=0,"",IF(CG792="Aussen","Aussenlager",IF(CG792="-","Nicht im Lift",IF(BJ792&gt;=1,"Lift",IF(BJ792&lt;=0,"Aussenlager","teilweise")))))</f>
        <v>Lift</v>
      </c>
      <c r="BN792" s="60" t="str">
        <f aca="false">IF(A792="","",IF(BW792=1,"Neu; ","")&amp;IF(AND(BW792=0,BR792&lt;0),"negativer Bestand (Export "&amp;BR792&amp;"); ","")&amp;IF(J792&lt;=0,"Kein Verbrauch; ","")&amp;IF(CR792&gt;0,"Lift "&amp;W792&amp;" lt. Liftbericht (Fach "&amp;X792&amp;" Stk); ",IF(CB792=1,"Gebinde geschätzt ("&amp;T792&amp;"); ",IF(CA792=1,"Lose – Tablare geschätzt; ","")))&amp;IF(H792&gt;AW792,"Überbestand "&amp;ROUND(H792-AW792,0)&amp;" Stk / CHF "&amp;ROUND((H792-AW792)*G792,0)&amp;"; ","")&amp;IF(AND(CI792=1,CJ792&lt;CK792),"MAX &lt; MB+LG; ","")&amp;IF(AND(CQ792&gt;0,CP792*10&gt;CQ792),"zu hoch für Tablar; ","")&amp;IF(AND(BW792=0,OR(CI792=1,AB792&lt;&gt;"",U792&lt;&gt;"",V792&lt;&gt;"",AC792&lt;&gt;"")),"manuell übersteuert; ","")&amp;IF(AND(CA792=0,R792=0),"Gebinde unbekannt / Stellmass fehlt; ","")&amp;IF(AND(CA792=0,N(V792)&lt;=0,N(Q792)&lt;=0),"Menge pro Gebinde fehlt (Ist = 1 Gebinde); ","")&amp;BV792)</f>
        <v>negativer Bestand (Export -1); Kein Verbrauch; Überbestand 17 Stk / CHF 59; Neuer Art.</v>
      </c>
      <c r="BO792" s="60"/>
      <c r="BP792" s="60"/>
      <c r="BQ792" s="67"/>
      <c r="BR792" s="62" t="n">
        <v>-1</v>
      </c>
      <c r="BS792" s="62" t="n">
        <v>19</v>
      </c>
      <c r="BT792" s="61" t="n">
        <v>-3.45</v>
      </c>
      <c r="BU792" s="62" t="n">
        <v>0</v>
      </c>
      <c r="BV792" s="60" t="s">
        <v>554</v>
      </c>
      <c r="BW792" s="65" t="n">
        <v>0</v>
      </c>
      <c r="BX792" s="65" t="n">
        <v>792</v>
      </c>
      <c r="BY792" s="60" t="str">
        <f aca="false">IF(U792&lt;&gt;"",UPPER(TRIM(U792)),IF(CB792=1,UPPER(VLOOKUP(T792,Parameter!$I$27:$K$29,2,0)),IF(P792="","LOSE",P792)))</f>
        <v>S32</v>
      </c>
      <c r="BZ792" s="62" t="n">
        <f aca="false">IF(BY792="LOSE",1,IF(N(V792)&gt;0,V792,IF(CB792=1,MAX(1,N(VLOOKUP(T792,Parameter!$I$27:$K$29,3,0)),H792,N(N792)),IF(N(Q792)&gt;0,Q792,MAX(1,H792)))))</f>
        <v>20</v>
      </c>
      <c r="CA792" s="65" t="n">
        <f aca="false">IF(BY792="LOSE",1,0)</f>
        <v>0</v>
      </c>
      <c r="CB792" s="65" t="n">
        <f aca="false">IF(AND(U792="",OR(P792="",P792="LOSE"),T792&lt;&gt;"",N(S792)&lt;=0,ISNUMBER(MATCH(T792,Parameter!$I$27:$I$29,0))),1,0)</f>
        <v>0</v>
      </c>
      <c r="CC792" s="65" t="n">
        <f aca="false">IF(CR792&gt;0,INDEX(Parameter!$H$5:$H$7,W792)/INDEX(Parameter!$E$5:$E$7,W792),IF(AND(CA792=0,N(IFERROR(VLOOKUP(BY792,'Gebinde-Kategorie'!$A$5:$N$45,14,0),0))&gt;0),VLOOKUP(BY792,'Gebinde-Kategorie'!$A$5:$N$45,14,0)*10+Parameter!$M$23,Parameter!$M$24))</f>
        <v>155</v>
      </c>
      <c r="CD792" s="60" t="str">
        <f aca="false">IF(AND(Parameter!$B$19="Ja",E792&lt;&gt;"",ISNUMBER(MATCH(E792,Parameter!$I$35:$I$52,0))),VLOOKUP(E792,Parameter!$I$35:$J$52,2,0),IFERROR(VLOOKUP(D792,Parameter!$A$35:$C$64,2,0),"Nein"))</f>
        <v>2+3</v>
      </c>
      <c r="CE792" s="64" t="n">
        <f aca="false">IF(CA792=0,0,IF(N(S792)&gt;0,S792,IFERROR(VLOOKUP(D792,Parameter!$A$35:$C$64,3,0)+0,0)))</f>
        <v>0</v>
      </c>
      <c r="CF792" s="60" t="n">
        <f aca="false">IF(AB792&lt;&gt;"",AB792,AA792)</f>
        <v>2</v>
      </c>
      <c r="CG792" s="60" t="str">
        <f aca="false">IF(OR(CF792=1,CF792=2,CF792=3),IF(Parameter!$E$27="Ja","LIFT",IF(CF792=1,"L1","L23")),IF(CF792="Aussen","Aussen","-"))</f>
        <v>LIFT</v>
      </c>
      <c r="CH792" s="71" t="n">
        <f aca="false">IF(N(AC792)&gt;0,AC792,0)</f>
        <v>0</v>
      </c>
      <c r="CI792" s="65" t="n">
        <f aca="false">IF(ISNUMBER(AF792),1,0)</f>
        <v>0</v>
      </c>
      <c r="CJ792" s="62" t="n">
        <f aca="false">N(AF792)</f>
        <v>0</v>
      </c>
      <c r="CK792" s="62" t="n">
        <f aca="false">N(M792)+N(N792)</f>
        <v>1</v>
      </c>
      <c r="CL792" s="62" t="n">
        <f aca="false">N(M792)</f>
        <v>0</v>
      </c>
      <c r="CM792" s="62" t="n">
        <f aca="false">N(N792)</f>
        <v>1</v>
      </c>
      <c r="CN792" s="62" t="n">
        <f aca="false">ROUNDUP(H792/BZ792,0)</f>
        <v>1</v>
      </c>
      <c r="CO792" s="62" t="n">
        <f aca="false">ROUNDUP(CJ792/BZ792,0)</f>
        <v>0</v>
      </c>
      <c r="CP792" s="65" t="n">
        <f aca="false">IF(CA792=1,0,IFERROR(VLOOKUP(BY792,'Gebinde-Kategorie'!$A$5:$N$45,5,0)+0,0))</f>
        <v>8</v>
      </c>
      <c r="CQ792" s="65" t="n">
        <f aca="false">IFERROR(IF(OR(CF792=1,CF792=2,CF792=3),N(INDEX(Parameter!$I$5:$I$7,CF792)),0),0)</f>
        <v>0</v>
      </c>
      <c r="CR792" s="64" t="n">
        <f aca="false">IF(AND(Parameter!$B$21="Ja",ISNUMBER(W792),N(X792)&gt;0),IFERROR(N(INDEX(Parameter!$L$5:$L$7,W792))*INDEX(Parameter!$E$5:$E$7,W792)*X792/SUMIFS($X$7:$X$1843,$W$7:$W$1843,W792),0),0)</f>
        <v>0</v>
      </c>
      <c r="CS792" s="62" t="n">
        <f aca="false">IF(AND(OR(CG792="L1",CG792="L23",CG792="LIFT"),H792&gt;0),CC792*IF(CR792&gt;0,CR792*MAX(1,H792/X792),IF(CA792=1,CE792,IF(R792&gt;0,CN792/R792,0))/MAX(0.1,N(Parameter!$M$21))),"")</f>
        <v>1.49038461538462</v>
      </c>
      <c r="CT792" s="64" t="n">
        <f aca="false">IF(CS792="","",J792/H792)</f>
        <v>0</v>
      </c>
      <c r="CU792" s="62" t="n">
        <f aca="false">IF(CS792="","",H792*G792)</f>
        <v>62.1</v>
      </c>
      <c r="CV792" s="63" t="n">
        <f aca="false">IF(CS792="","",(CL792+ROUNDUP(CL792+MAX(CM792,2*(J792/MAX(0.1,N(Einkauf!$C$6))-CL792)),0))/2)</f>
        <v>0.5</v>
      </c>
      <c r="CW792" s="62" t="n">
        <f aca="false">IF(CS792="","",MAX(0,H792-CV792)*G792)</f>
        <v>60.375</v>
      </c>
      <c r="CX792" s="62" t="n">
        <f aca="false">IF(CS792="","",CS792*MAX(0,1-CV792/H792))</f>
        <v>1.44898504273504</v>
      </c>
      <c r="CY792" s="64" t="n">
        <f aca="false">IF(CS792="","",PERCENTRANK($CS$7:$CS$1843,CS792)+PERCENTRANK($CU$7:$CU$1843,CU792)+1-PERCENTRANK($CT$7:$CT$1843,CT792))</f>
        <v>1.29</v>
      </c>
      <c r="CZ792" s="72" t="n">
        <f aca="false">IF(CS792="","",CHOOSE(MATCH(Einkauf!$C$5,Parameter!$G$23:$G$27,0),CY792,CS792,CU792,-CT792,CW792)+ROW()/1000000000)</f>
        <v>1.290000792</v>
      </c>
    </row>
    <row r="793" customFormat="false" ht="15" hidden="false" customHeight="false" outlineLevel="0" collapsed="false">
      <c r="A793" s="60" t="s">
        <v>1585</v>
      </c>
      <c r="B793" s="60" t="s">
        <v>1586</v>
      </c>
      <c r="C793" s="60" t="s">
        <v>206</v>
      </c>
      <c r="D793" s="60" t="s">
        <v>226</v>
      </c>
      <c r="E793" s="60" t="s">
        <v>227</v>
      </c>
      <c r="F793" s="60" t="s">
        <v>260</v>
      </c>
      <c r="G793" s="61" t="n">
        <v>0.01</v>
      </c>
      <c r="H793" s="62" t="n">
        <f aca="false">MAX(0,IF(AND(Parameter!$B$21="Ja",ISNUMBER(Y793)),Y793,IF(Parameter!$B$20="Jahresanfang 2025 + Export",BS793+BR793,BR793)))</f>
        <v>4329</v>
      </c>
      <c r="I793" s="62" t="n">
        <f aca="false">H793*G793</f>
        <v>43.29</v>
      </c>
      <c r="J793" s="62" t="n">
        <f aca="false">BU793*Parameter!$B$18</f>
        <v>9801</v>
      </c>
      <c r="K793" s="63" t="n">
        <v>3164.5</v>
      </c>
      <c r="L793" s="64" t="n">
        <v>3.09717174909148</v>
      </c>
      <c r="M793" s="62" t="n">
        <v>571</v>
      </c>
      <c r="N793" s="62" t="n">
        <v>9800</v>
      </c>
      <c r="O793" s="65" t="n">
        <v>21</v>
      </c>
      <c r="P793" s="60" t="s">
        <v>344</v>
      </c>
      <c r="Q793" s="62" t="n">
        <v>4394</v>
      </c>
      <c r="R793" s="65" t="n">
        <f aca="false">IF(CA793=1,0,IFERROR(VLOOKUP(BY793,'Gebinde-Kategorie'!$A$5:$N$45,13,0)+0,0))</f>
        <v>26</v>
      </c>
      <c r="S793" s="66"/>
      <c r="T793" s="67"/>
      <c r="U793" s="67"/>
      <c r="V793" s="67"/>
      <c r="W793" s="60"/>
      <c r="X793" s="62"/>
      <c r="Y793" s="62"/>
      <c r="Z793" s="60" t="n">
        <v>3</v>
      </c>
      <c r="AA793" s="60" t="n">
        <f aca="false">IF(A793="","",IF(AND(Parameter!$B$21="Ja",ISNUMBER(W793)),W793,IF(AND(Parameter!$E$27="Ja",ISNUMBER(Z793),CD793&lt;&gt;"Nein"),Z793,IF(CD793="2+3",IF(ISNUMBER(SEARCH("grosser Artikel",BV793)),2,IFERROR(VLOOKUP(BY793,Parameter!$F$35:$G$64,2,0),2)),IF(OR(CD793="Nein",CD793=""),"-",CD793)))))</f>
        <v>3</v>
      </c>
      <c r="AB793" s="67"/>
      <c r="AC793" s="68"/>
      <c r="AD793" s="62" t="n">
        <f aca="false">AW793</f>
        <v>10371</v>
      </c>
      <c r="AE793" s="62" t="n">
        <f aca="false">MAX(AW793,H793)</f>
        <v>10371</v>
      </c>
      <c r="AF793" s="69"/>
      <c r="AG793" s="62" t="n">
        <f aca="false">IF(LEFT(Cockpit!$C$5,1)="A",H793,IF(Parameter!$E$30="MAX-Bestand",IF(CI793=1,CJ793,IF(LEFT(Cockpit!$C$5,1)="B",AM793,MAX(AM793,H793))),ROUNDUP(AK793,0)))</f>
        <v>4329</v>
      </c>
      <c r="AH793" s="62" t="n">
        <f aca="false">IF(CA793=1,0,ROUNDUP(AG793/BZ793,0))</f>
        <v>1</v>
      </c>
      <c r="AI793" s="64" t="n">
        <f aca="false">IF(CR793&gt;0,CR793*MAX(1,AG793/X793),IF(CA793=1,IF(AG793&lt;=0,0,CE793*MAX(1,IF(H793&gt;0,AG793/H793,1))),IF(R793&gt;0,AH793/R793,0))/MAX(0.1,N(Parameter!$M$21)))</f>
        <v>0.0384615384615385</v>
      </c>
      <c r="AJ793" s="62" t="n">
        <f aca="false">AI793*CC793</f>
        <v>5.96153846153846</v>
      </c>
      <c r="AK793" s="63" t="n">
        <f aca="false">IF(LEFT(Cockpit!$C$5,1)="A",H793,IF(CI793=1,(CL793+CJ793)/2,IF(LEFT(Cockpit!$C$5,1)="B",(CL793+AM793)/2,MAX((CL793+AM793)/2,H793))))</f>
        <v>4329</v>
      </c>
      <c r="AL793" s="62" t="n">
        <f aca="false">AK793*G793</f>
        <v>43.29</v>
      </c>
      <c r="AM793" s="62" t="n">
        <f aca="false">ROUNDUP(CL793+MAX(CM793,2*(J793/IF(CH793&gt;0,CH793,MAX(0.1,N(Cockpit!$C$6)))-CL793)),0)</f>
        <v>10371</v>
      </c>
      <c r="AN793" s="63" t="n">
        <f aca="false">IF(AJ793&gt;0,J793/AJ793,-1)</f>
        <v>1644.03870967742</v>
      </c>
      <c r="AO793" s="63" t="n">
        <f aca="false">IF(AND(OR(CG793="L1",CG793="L23",CG793="LIFT"),AJ793&gt;0),SUMIFS($AJ$7:$AJ$1843,$CG$7:$CG$1843,CG793,$AN$7:$AN$1843,"&gt;"&amp;AN793)+SUMIFS($AJ$7:$AJ$1843,$CG$7:$CG$1843,CG793,$AN$7:$AN$1843,AN793,$BX$7:$BX$1843,"&lt;="&amp;BX793),"")</f>
        <v>11.9230769230769</v>
      </c>
      <c r="AP793" s="70" t="n">
        <f aca="false">IF(AO793="",0,MAX(0,MIN(1,(IF(CG793="L1",Parameter!$H$5,IF(CG793="L23",Parameter!$H$6+Parameter!$H$7,Parameter!$H$5+Parameter!$H$6+Parameter!$H$7))-(AO793-AJ793))/AJ793)))</f>
        <v>1</v>
      </c>
      <c r="AQ793" s="62" t="n">
        <f aca="false">IF(LEFT(Cockpit!$I$5,1)="A",H793,IF(Parameter!$E$30="MAX-Bestand",IF(CI793=1,CJ793,IF(LEFT(Cockpit!$I$5,1)="B",AW793,MAX(AW793,H793))),ROUNDUP(AU793,0)))</f>
        <v>5471</v>
      </c>
      <c r="AR793" s="62" t="n">
        <f aca="false">IF(CA793=1,0,ROUNDUP(AQ793/BZ793,0))</f>
        <v>2</v>
      </c>
      <c r="AS793" s="64" t="n">
        <f aca="false">IF(CR793&gt;0,CR793*MAX(1,AQ793/X793),IF(CA793=1,IF(AQ793&lt;=0,0,CE793*MAX(1,IF(H793&gt;0,AQ793/H793,1))),IF(R793&gt;0,AR793/R793,0))/MAX(0.1,N(Parameter!$M$21)))</f>
        <v>0.0769230769230769</v>
      </c>
      <c r="AT793" s="62" t="n">
        <f aca="false">AS793*CC793</f>
        <v>11.9230769230769</v>
      </c>
      <c r="AU793" s="63" t="n">
        <f aca="false">IF(LEFT(Cockpit!$I$5,1)="A",H793,IF(CI793=1,(CL793+CJ793)/2,IF(LEFT(Cockpit!$I$5,1)="B",(CL793+AW793)/2,MAX((CL793+AW793)/2,H793))))</f>
        <v>5471</v>
      </c>
      <c r="AV793" s="62" t="n">
        <f aca="false">AU793*G793</f>
        <v>54.71</v>
      </c>
      <c r="AW793" s="62" t="n">
        <f aca="false">ROUNDUP(CL793+MAX(CM793,2*(J793/IF(CH793&gt;0,CH793,MAX(0.1,N(Cockpit!$I$6)))-CL793)),0)</f>
        <v>10371</v>
      </c>
      <c r="AX793" s="63" t="n">
        <f aca="false">IF(AT793&gt;0,J793/AT793,-1)</f>
        <v>822.01935483871</v>
      </c>
      <c r="AY793" s="63" t="n">
        <f aca="false">IF(AND(OR(CG793="L1",CG793="L23",CG793="LIFT"),AT793&gt;0),SUMIFS($AT$7:$AT$1843,$CG$7:$CG$1843,CG793,$AX$7:$AX$1843,"&gt;"&amp;AX793)+SUMIFS($AT$7:$AT$1843,$CG$7:$CG$1843,CG793,$AX$7:$AX$1843,AX793,$BX$7:$BX$1843,"&lt;="&amp;BX793),"")</f>
        <v>27.3804945054945</v>
      </c>
      <c r="AZ793" s="70" t="n">
        <f aca="false">IF(AY793="",0,MAX(0,MIN(1,(IF(CG793="L1",Parameter!$H$5,IF(CG793="L23",Parameter!$H$6+Parameter!$H$7,Parameter!$H$5+Parameter!$H$6+Parameter!$H$7))-(AY793-AT793))/AT793)))</f>
        <v>1</v>
      </c>
      <c r="BA793" s="62" t="n">
        <f aca="false">IF(LEFT(Cockpit!$O$5,1)="A",H793,IF(Parameter!$E$30="MAX-Bestand",IF(CI793=1,CJ793,IF(LEFT(Cockpit!$O$5,1)="B",BG793,MAX(BG793,H793))),ROUNDUP(BE793,0)))</f>
        <v>5471</v>
      </c>
      <c r="BB793" s="62" t="n">
        <f aca="false">IF(CA793=1,0,ROUNDUP(BA793/BZ793,0))</f>
        <v>2</v>
      </c>
      <c r="BC793" s="64" t="n">
        <f aca="false">IF(CR793&gt;0,CR793*MAX(1,BA793/X793),IF(CA793=1,IF(BA793&lt;=0,0,CE793*MAX(1,IF(H793&gt;0,BA793/H793,1))),IF(R793&gt;0,BB793/R793,0))/MAX(0.1,N(Parameter!$M$21)))</f>
        <v>0.0769230769230769</v>
      </c>
      <c r="BD793" s="62" t="n">
        <f aca="false">BC793*CC793</f>
        <v>11.9230769230769</v>
      </c>
      <c r="BE793" s="63" t="n">
        <f aca="false">IF(LEFT(Cockpit!$O$5,1)="A",H793,IF(CI793=1,(CL793+CJ793)/2,IF(LEFT(Cockpit!$O$5,1)="B",(CL793+BG793)/2,MAX((CL793+BG793)/2,H793))))</f>
        <v>5471</v>
      </c>
      <c r="BF793" s="62" t="n">
        <f aca="false">BE793*G793</f>
        <v>54.71</v>
      </c>
      <c r="BG793" s="62" t="n">
        <f aca="false">ROUNDUP(CL793+MAX(CM793,2*(J793/IF(CH793&gt;0,CH793,MAX(0.1,N(Cockpit!$O$6)))-CL793)),0)</f>
        <v>10371</v>
      </c>
      <c r="BH793" s="63" t="n">
        <f aca="false">IF(BD793&gt;0,J793/BD793,-1)</f>
        <v>822.01935483871</v>
      </c>
      <c r="BI793" s="63" t="n">
        <f aca="false">IF(AND(OR(CG793="L1",CG793="L23",CG793="LIFT"),BD793&gt;0),SUMIFS($BD$7:$BD$1843,$CG$7:$CG$1843,CG793,$BH$7:$BH$1843,"&gt;"&amp;BH793)+SUMIFS($BD$7:$BD$1843,$CG$7:$CG$1843,CG793,$BH$7:$BH$1843,BH793,$BX$7:$BX$1843,"&lt;="&amp;BX793),"")</f>
        <v>29.4244505494506</v>
      </c>
      <c r="BJ793" s="70" t="n">
        <f aca="false">IF(BI793="",0,MAX(0,MIN(1,(IF(CG793="L1",Parameter!$H$5,IF(CG793="L23",Parameter!$H$6+Parameter!$H$7,Parameter!$H$5+Parameter!$H$6+Parameter!$H$7))-(BI793-BD793))/BD793)))</f>
        <v>1</v>
      </c>
      <c r="BK793" s="60" t="str">
        <f aca="false">IF(AJ793&lt;=0,"",IF(CG793="Aussen","Aussenlager",IF(CG793="-","Nicht im Lift",IF(AP793&gt;=1,"Lift",IF(AP793&lt;=0,"Aussenlager","teilweise")))))</f>
        <v>Lift</v>
      </c>
      <c r="BL793" s="60" t="str">
        <f aca="false">IF(AT793&lt;=0,"",IF(CG793="Aussen","Aussenlager",IF(CG793="-","Nicht im Lift",IF(AZ793&gt;=1,"Lift",IF(AZ793&lt;=0,"Aussenlager","teilweise")))))</f>
        <v>Lift</v>
      </c>
      <c r="BM793" s="60" t="str">
        <f aca="false">IF(BD793&lt;=0,"",IF(CG793="Aussen","Aussenlager",IF(CG793="-","Nicht im Lift",IF(BJ793&gt;=1,"Lift",IF(BJ793&lt;=0,"Aussenlager","teilweise")))))</f>
        <v>Lift</v>
      </c>
      <c r="BN793" s="60" t="str">
        <f aca="false">IF(A793="","",IF(BW793=1,"Neu; ","")&amp;IF(AND(BW793=0,BR793&lt;0),"negativer Bestand (Export "&amp;BR793&amp;"); ","")&amp;IF(J793&lt;=0,"Kein Verbrauch; ","")&amp;IF(CR793&gt;0,"Lift "&amp;W793&amp;" lt. Liftbericht (Fach "&amp;X793&amp;" Stk); ",IF(CB793=1,"Gebinde geschätzt ("&amp;T793&amp;"); ",IF(CA793=1,"Lose – Tablare geschätzt; ","")))&amp;IF(H793&gt;AW793,"Überbestand "&amp;ROUND(H793-AW793,0)&amp;" Stk / CHF "&amp;ROUND((H793-AW793)*G793,0)&amp;"; ","")&amp;IF(AND(CI793=1,CJ793&lt;CK793),"MAX &lt; MB+LG; ","")&amp;IF(AND(CQ793&gt;0,CP793*10&gt;CQ793),"zu hoch für Tablar; ","")&amp;IF(AND(BW793=0,OR(CI793=1,AB793&lt;&gt;"",U793&lt;&gt;"",V793&lt;&gt;"",AC793&lt;&gt;"")),"manuell übersteuert; ","")&amp;IF(AND(CA793=0,R793=0),"Gebinde unbekannt / Stellmass fehlt; ","")&amp;IF(AND(CA793=0,N(V793)&lt;=0,N(Q793)&lt;=0),"Menge pro Gebinde fehlt (Ist = 1 Gebinde); ","")&amp;BV793)</f>
        <v/>
      </c>
      <c r="BO793" s="60"/>
      <c r="BP793" s="60"/>
      <c r="BQ793" s="67"/>
      <c r="BR793" s="62" t="n">
        <v>2769</v>
      </c>
      <c r="BS793" s="62" t="n">
        <v>1560</v>
      </c>
      <c r="BT793" s="61" t="n">
        <v>-3.50999999999995</v>
      </c>
      <c r="BU793" s="62" t="n">
        <v>9801</v>
      </c>
      <c r="BV793" s="60"/>
      <c r="BW793" s="65" t="n">
        <v>0</v>
      </c>
      <c r="BX793" s="65" t="n">
        <v>793</v>
      </c>
      <c r="BY793" s="60" t="str">
        <f aca="false">IF(U793&lt;&gt;"",UPPER(TRIM(U793)),IF(CB793=1,UPPER(VLOOKUP(T793,Parameter!$I$27:$K$29,2,0)),IF(P793="","LOSE",P793)))</f>
        <v>S51</v>
      </c>
      <c r="BZ793" s="62" t="n">
        <f aca="false">IF(BY793="LOSE",1,IF(N(V793)&gt;0,V793,IF(CB793=1,MAX(1,N(VLOOKUP(T793,Parameter!$I$27:$K$29,3,0)),H793,N(N793)),IF(N(Q793)&gt;0,Q793,MAX(1,H793)))))</f>
        <v>4394</v>
      </c>
      <c r="CA793" s="65" t="n">
        <f aca="false">IF(BY793="LOSE",1,0)</f>
        <v>0</v>
      </c>
      <c r="CB793" s="65" t="n">
        <f aca="false">IF(AND(U793="",OR(P793="",P793="LOSE"),T793&lt;&gt;"",N(S793)&lt;=0,ISNUMBER(MATCH(T793,Parameter!$I$27:$I$29,0))),1,0)</f>
        <v>0</v>
      </c>
      <c r="CC793" s="65" t="n">
        <f aca="false">IF(CR793&gt;0,INDEX(Parameter!$H$5:$H$7,W793)/INDEX(Parameter!$E$5:$E$7,W793),IF(AND(CA793=0,N(IFERROR(VLOOKUP(BY793,'Gebinde-Kategorie'!$A$5:$N$45,14,0),0))&gt;0),VLOOKUP(BY793,'Gebinde-Kategorie'!$A$5:$N$45,14,0)*10+Parameter!$M$23,Parameter!$M$24))</f>
        <v>155</v>
      </c>
      <c r="CD793" s="60" t="str">
        <f aca="false">IF(AND(Parameter!$B$19="Ja",E793&lt;&gt;"",ISNUMBER(MATCH(E793,Parameter!$I$35:$I$52,0))),VLOOKUP(E793,Parameter!$I$35:$J$52,2,0),IFERROR(VLOOKUP(D793,Parameter!$A$35:$C$64,2,0),"Nein"))</f>
        <v>2+3</v>
      </c>
      <c r="CE793" s="64" t="n">
        <f aca="false">IF(CA793=0,0,IF(N(S793)&gt;0,S793,IFERROR(VLOOKUP(D793,Parameter!$A$35:$C$64,3,0)+0,0)))</f>
        <v>0</v>
      </c>
      <c r="CF793" s="60" t="n">
        <f aca="false">IF(AB793&lt;&gt;"",AB793,AA793)</f>
        <v>3</v>
      </c>
      <c r="CG793" s="60" t="str">
        <f aca="false">IF(OR(CF793=1,CF793=2,CF793=3),IF(Parameter!$E$27="Ja","LIFT",IF(CF793=1,"L1","L23")),IF(CF793="Aussen","Aussen","-"))</f>
        <v>LIFT</v>
      </c>
      <c r="CH793" s="71" t="n">
        <f aca="false">IF(N(AC793)&gt;0,AC793,0)</f>
        <v>0</v>
      </c>
      <c r="CI793" s="65" t="n">
        <f aca="false">IF(ISNUMBER(AF793),1,0)</f>
        <v>0</v>
      </c>
      <c r="CJ793" s="62" t="n">
        <f aca="false">N(AF793)</f>
        <v>0</v>
      </c>
      <c r="CK793" s="62" t="n">
        <f aca="false">N(M793)+N(N793)</f>
        <v>10371</v>
      </c>
      <c r="CL793" s="62" t="n">
        <f aca="false">N(M793)</f>
        <v>571</v>
      </c>
      <c r="CM793" s="62" t="n">
        <f aca="false">N(N793)</f>
        <v>9800</v>
      </c>
      <c r="CN793" s="62" t="n">
        <f aca="false">ROUNDUP(H793/BZ793,0)</f>
        <v>1</v>
      </c>
      <c r="CO793" s="62" t="n">
        <f aca="false">ROUNDUP(CJ793/BZ793,0)</f>
        <v>0</v>
      </c>
      <c r="CP793" s="65" t="n">
        <f aca="false">IF(CA793=1,0,IFERROR(VLOOKUP(BY793,'Gebinde-Kategorie'!$A$5:$N$45,5,0)+0,0))</f>
        <v>11</v>
      </c>
      <c r="CQ793" s="65" t="n">
        <f aca="false">IFERROR(IF(OR(CF793=1,CF793=2,CF793=3),N(INDEX(Parameter!$I$5:$I$7,CF793)),0),0)</f>
        <v>0</v>
      </c>
      <c r="CR793" s="64" t="n">
        <f aca="false">IF(AND(Parameter!$B$21="Ja",ISNUMBER(W793),N(X793)&gt;0),IFERROR(N(INDEX(Parameter!$L$5:$L$7,W793))*INDEX(Parameter!$E$5:$E$7,W793)*X793/SUMIFS($X$7:$X$1843,$W$7:$W$1843,W793),0),0)</f>
        <v>0</v>
      </c>
      <c r="CS793" s="62" t="n">
        <f aca="false">IF(AND(OR(CG793="L1",CG793="L23",CG793="LIFT"),H793&gt;0),CC793*IF(CR793&gt;0,CR793*MAX(1,H793/X793),IF(CA793=1,CE793,IF(R793&gt;0,CN793/R793,0))/MAX(0.1,N(Parameter!$M$21))),"")</f>
        <v>5.96153846153846</v>
      </c>
      <c r="CT793" s="64" t="n">
        <f aca="false">IF(CS793="","",J793/H793)</f>
        <v>2.26403326403326</v>
      </c>
      <c r="CU793" s="62" t="n">
        <f aca="false">IF(CS793="","",H793*G793)</f>
        <v>43.29</v>
      </c>
      <c r="CV793" s="63" t="n">
        <f aca="false">IF(CS793="","",(CL793+ROUNDUP(CL793+MAX(CM793,2*(J793/MAX(0.1,N(Einkauf!$C$6))-CL793)),0))/2)</f>
        <v>5471</v>
      </c>
      <c r="CW793" s="62" t="n">
        <f aca="false">IF(CS793="","",MAX(0,H793-CV793)*G793)</f>
        <v>0</v>
      </c>
      <c r="CX793" s="62" t="n">
        <f aca="false">IF(CS793="","",CS793*MAX(0,1-CV793/H793))</f>
        <v>0</v>
      </c>
      <c r="CY793" s="64" t="n">
        <f aca="false">IF(CS793="","",PERCENTRANK($CS$7:$CS$1843,CS793)+PERCENTRANK($CU$7:$CU$1843,CU793)+1-PERCENTRANK($CT$7:$CT$1843,CT793))</f>
        <v>0.664</v>
      </c>
      <c r="CZ793" s="72" t="n">
        <f aca="false">IF(CS793="","",CHOOSE(MATCH(Einkauf!$C$5,Parameter!$G$23:$G$27,0),CY793,CS793,CU793,-CT793,CW793)+ROW()/1000000000)</f>
        <v>0.664000793</v>
      </c>
    </row>
    <row r="794" customFormat="false" ht="15" hidden="false" customHeight="false" outlineLevel="0" collapsed="false">
      <c r="A794" s="60" t="s">
        <v>1587</v>
      </c>
      <c r="B794" s="60" t="s">
        <v>510</v>
      </c>
      <c r="C794" s="60" t="s">
        <v>206</v>
      </c>
      <c r="D794" s="60" t="s">
        <v>226</v>
      </c>
      <c r="E794" s="60" t="s">
        <v>227</v>
      </c>
      <c r="F794" s="60" t="s">
        <v>260</v>
      </c>
      <c r="G794" s="61" t="n">
        <v>0.3</v>
      </c>
      <c r="H794" s="62" t="n">
        <f aca="false">MAX(0,IF(AND(Parameter!$B$21="Ja",ISNUMBER(Y794)),Y794,IF(Parameter!$B$20="Jahresanfang 2025 + Export",BS794+BR794,BR794)))</f>
        <v>99</v>
      </c>
      <c r="I794" s="62" t="n">
        <f aca="false">H794*G794</f>
        <v>29.7</v>
      </c>
      <c r="J794" s="62" t="n">
        <f aca="false">BU794*Parameter!$B$18</f>
        <v>385</v>
      </c>
      <c r="K794" s="63" t="n">
        <v>113.5</v>
      </c>
      <c r="L794" s="64" t="n">
        <v>3.3920704845815</v>
      </c>
      <c r="M794" s="62" t="n">
        <v>14</v>
      </c>
      <c r="N794" s="62" t="n">
        <v>400</v>
      </c>
      <c r="O794" s="65" t="n">
        <v>14</v>
      </c>
      <c r="P794" s="60" t="s">
        <v>518</v>
      </c>
      <c r="Q794" s="62" t="n">
        <v>206</v>
      </c>
      <c r="R794" s="65" t="n">
        <f aca="false">IF(CA794=1,0,IFERROR(VLOOKUP(BY794,'Gebinde-Kategorie'!$A$5:$N$45,13,0)+0,0))</f>
        <v>52</v>
      </c>
      <c r="S794" s="66"/>
      <c r="T794" s="67"/>
      <c r="U794" s="67"/>
      <c r="V794" s="67"/>
      <c r="W794" s="60"/>
      <c r="X794" s="62"/>
      <c r="Y794" s="62"/>
      <c r="Z794" s="60" t="n">
        <v>3</v>
      </c>
      <c r="AA794" s="60" t="n">
        <f aca="false">IF(A794="","",IF(AND(Parameter!$B$21="Ja",ISNUMBER(W794)),W794,IF(AND(Parameter!$E$27="Ja",ISNUMBER(Z794),CD794&lt;&gt;"Nein"),Z794,IF(CD794="2+3",IF(ISNUMBER(SEARCH("grosser Artikel",BV794)),2,IFERROR(VLOOKUP(BY794,Parameter!$F$35:$G$64,2,0),2)),IF(OR(CD794="Nein",CD794=""),"-",CD794)))))</f>
        <v>3</v>
      </c>
      <c r="AB794" s="67"/>
      <c r="AC794" s="68"/>
      <c r="AD794" s="62" t="n">
        <f aca="false">AW794</f>
        <v>414</v>
      </c>
      <c r="AE794" s="62" t="n">
        <f aca="false">MAX(AW794,H794)</f>
        <v>414</v>
      </c>
      <c r="AF794" s="69"/>
      <c r="AG794" s="62" t="n">
        <f aca="false">IF(LEFT(Cockpit!$C$5,1)="A",H794,IF(Parameter!$E$30="MAX-Bestand",IF(CI794=1,CJ794,IF(LEFT(Cockpit!$C$5,1)="B",AM794,MAX(AM794,H794))),ROUNDUP(AK794,0)))</f>
        <v>99</v>
      </c>
      <c r="AH794" s="62" t="n">
        <f aca="false">IF(CA794=1,0,ROUNDUP(AG794/BZ794,0))</f>
        <v>1</v>
      </c>
      <c r="AI794" s="64" t="n">
        <f aca="false">IF(CR794&gt;0,CR794*MAX(1,AG794/X794),IF(CA794=1,IF(AG794&lt;=0,0,CE794*MAX(1,IF(H794&gt;0,AG794/H794,1))),IF(R794&gt;0,AH794/R794,0))/MAX(0.1,N(Parameter!$M$21)))</f>
        <v>0.0192307692307692</v>
      </c>
      <c r="AJ794" s="62" t="n">
        <f aca="false">AI794*CC794</f>
        <v>2.98076923076923</v>
      </c>
      <c r="AK794" s="63" t="n">
        <f aca="false">IF(LEFT(Cockpit!$C$5,1)="A",H794,IF(CI794=1,(CL794+CJ794)/2,IF(LEFT(Cockpit!$C$5,1)="B",(CL794+AM794)/2,MAX((CL794+AM794)/2,H794))))</f>
        <v>99</v>
      </c>
      <c r="AL794" s="62" t="n">
        <f aca="false">AK794*G794</f>
        <v>29.7</v>
      </c>
      <c r="AM794" s="62" t="n">
        <f aca="false">ROUNDUP(CL794+MAX(CM794,2*(J794/IF(CH794&gt;0,CH794,MAX(0.1,N(Cockpit!$C$6)))-CL794)),0)</f>
        <v>414</v>
      </c>
      <c r="AN794" s="63" t="n">
        <f aca="false">IF(AJ794&gt;0,J794/AJ794,-1)</f>
        <v>129.161290322581</v>
      </c>
      <c r="AO794" s="63" t="n">
        <f aca="false">IF(AND(OR(CG794="L1",CG794="L23",CG794="LIFT"),AJ794&gt;0),SUMIFS($AJ$7:$AJ$1843,$CG$7:$CG$1843,CG794,$AN$7:$AN$1843,"&gt;"&amp;AN794)+SUMIFS($AJ$7:$AJ$1843,$CG$7:$CG$1843,CG794,$AN$7:$AN$1843,AN794,$BX$7:$BX$1843,"&lt;="&amp;BX794),"")</f>
        <v>609.279304029304</v>
      </c>
      <c r="AP794" s="70" t="n">
        <f aca="false">IF(AO794="",0,MAX(0,MIN(1,(IF(CG794="L1",Parameter!$H$5,IF(CG794="L23",Parameter!$H$6+Parameter!$H$7,Parameter!$H$5+Parameter!$H$6+Parameter!$H$7))-(AO794-AJ794))/AJ794)))</f>
        <v>1</v>
      </c>
      <c r="AQ794" s="62" t="n">
        <f aca="false">IF(LEFT(Cockpit!$I$5,1)="A",H794,IF(Parameter!$E$30="MAX-Bestand",IF(CI794=1,CJ794,IF(LEFT(Cockpit!$I$5,1)="B",AW794,MAX(AW794,H794))),ROUNDUP(AU794,0)))</f>
        <v>214</v>
      </c>
      <c r="AR794" s="62" t="n">
        <f aca="false">IF(CA794=1,0,ROUNDUP(AQ794/BZ794,0))</f>
        <v>2</v>
      </c>
      <c r="AS794" s="64" t="n">
        <f aca="false">IF(CR794&gt;0,CR794*MAX(1,AQ794/X794),IF(CA794=1,IF(AQ794&lt;=0,0,CE794*MAX(1,IF(H794&gt;0,AQ794/H794,1))),IF(R794&gt;0,AR794/R794,0))/MAX(0.1,N(Parameter!$M$21)))</f>
        <v>0.0384615384615385</v>
      </c>
      <c r="AT794" s="62" t="n">
        <f aca="false">AS794*CC794</f>
        <v>5.96153846153846</v>
      </c>
      <c r="AU794" s="63" t="n">
        <f aca="false">IF(LEFT(Cockpit!$I$5,1)="A",H794,IF(CI794=1,(CL794+CJ794)/2,IF(LEFT(Cockpit!$I$5,1)="B",(CL794+AW794)/2,MAX((CL794+AW794)/2,H794))))</f>
        <v>214</v>
      </c>
      <c r="AV794" s="62" t="n">
        <f aca="false">AU794*G794</f>
        <v>64.2</v>
      </c>
      <c r="AW794" s="62" t="n">
        <f aca="false">ROUNDUP(CL794+MAX(CM794,2*(J794/IF(CH794&gt;0,CH794,MAX(0.1,N(Cockpit!$I$6)))-CL794)),0)</f>
        <v>414</v>
      </c>
      <c r="AX794" s="63" t="n">
        <f aca="false">IF(AT794&gt;0,J794/AT794,-1)</f>
        <v>64.5806451612903</v>
      </c>
      <c r="AY794" s="63" t="n">
        <f aca="false">IF(AND(OR(CG794="L1",CG794="L23",CG794="LIFT"),AT794&gt;0),SUMIFS($AT$7:$AT$1843,$CG$7:$CG$1843,CG794,$AX$7:$AX$1843,"&gt;"&amp;AX794)+SUMIFS($AT$7:$AT$1843,$CG$7:$CG$1843,CG794,$AX$7:$AX$1843,AX794,$BX$7:$BX$1843,"&lt;="&amp;BX794),"")</f>
        <v>1158.00412087912</v>
      </c>
      <c r="AZ794" s="70" t="n">
        <f aca="false">IF(AY794="",0,MAX(0,MIN(1,(IF(CG794="L1",Parameter!$H$5,IF(CG794="L23",Parameter!$H$6+Parameter!$H$7,Parameter!$H$5+Parameter!$H$6+Parameter!$H$7))-(AY794-AT794))/AT794)))</f>
        <v>1</v>
      </c>
      <c r="BA794" s="62" t="n">
        <f aca="false">IF(LEFT(Cockpit!$O$5,1)="A",H794,IF(Parameter!$E$30="MAX-Bestand",IF(CI794=1,CJ794,IF(LEFT(Cockpit!$O$5,1)="B",BG794,MAX(BG794,H794))),ROUNDUP(BE794,0)))</f>
        <v>214</v>
      </c>
      <c r="BB794" s="62" t="n">
        <f aca="false">IF(CA794=1,0,ROUNDUP(BA794/BZ794,0))</f>
        <v>2</v>
      </c>
      <c r="BC794" s="64" t="n">
        <f aca="false">IF(CR794&gt;0,CR794*MAX(1,BA794/X794),IF(CA794=1,IF(BA794&lt;=0,0,CE794*MAX(1,IF(H794&gt;0,BA794/H794,1))),IF(R794&gt;0,BB794/R794,0))/MAX(0.1,N(Parameter!$M$21)))</f>
        <v>0.0384615384615385</v>
      </c>
      <c r="BD794" s="62" t="n">
        <f aca="false">BC794*CC794</f>
        <v>5.96153846153846</v>
      </c>
      <c r="BE794" s="63" t="n">
        <f aca="false">IF(LEFT(Cockpit!$O$5,1)="A",H794,IF(CI794=1,(CL794+CJ794)/2,IF(LEFT(Cockpit!$O$5,1)="B",(CL794+BG794)/2,MAX((CL794+BG794)/2,H794))))</f>
        <v>214</v>
      </c>
      <c r="BF794" s="62" t="n">
        <f aca="false">BE794*G794</f>
        <v>64.2</v>
      </c>
      <c r="BG794" s="62" t="n">
        <f aca="false">ROUNDUP(CL794+MAX(CM794,2*(J794/IF(CH794&gt;0,CH794,MAX(0.1,N(Cockpit!$O$6)))-CL794)),0)</f>
        <v>414</v>
      </c>
      <c r="BH794" s="63" t="n">
        <f aca="false">IF(BD794&gt;0,J794/BD794,-1)</f>
        <v>64.5806451612903</v>
      </c>
      <c r="BI794" s="63" t="n">
        <f aca="false">IF(AND(OR(CG794="L1",CG794="L23",CG794="LIFT"),BD794&gt;0),SUMIFS($BD$7:$BD$1843,$CG$7:$CG$1843,CG794,$BH$7:$BH$1843,"&gt;"&amp;BH794)+SUMIFS($BD$7:$BD$1843,$CG$7:$CG$1843,CG794,$BH$7:$BH$1843,BH794,$BX$7:$BX$1843,"&lt;="&amp;BX794),"")</f>
        <v>1051.82783882784</v>
      </c>
      <c r="BJ794" s="70" t="n">
        <f aca="false">IF(BI794="",0,MAX(0,MIN(1,(IF(CG794="L1",Parameter!$H$5,IF(CG794="L23",Parameter!$H$6+Parameter!$H$7,Parameter!$H$5+Parameter!$H$6+Parameter!$H$7))-(BI794-BD794))/BD794)))</f>
        <v>1</v>
      </c>
      <c r="BK794" s="60" t="str">
        <f aca="false">IF(AJ794&lt;=0,"",IF(CG794="Aussen","Aussenlager",IF(CG794="-","Nicht im Lift",IF(AP794&gt;=1,"Lift",IF(AP794&lt;=0,"Aussenlager","teilweise")))))</f>
        <v>Lift</v>
      </c>
      <c r="BL794" s="60" t="str">
        <f aca="false">IF(AT794&lt;=0,"",IF(CG794="Aussen","Aussenlager",IF(CG794="-","Nicht im Lift",IF(AZ794&gt;=1,"Lift",IF(AZ794&lt;=0,"Aussenlager","teilweise")))))</f>
        <v>Lift</v>
      </c>
      <c r="BM794" s="60" t="str">
        <f aca="false">IF(BD794&lt;=0,"",IF(CG794="Aussen","Aussenlager",IF(CG794="-","Nicht im Lift",IF(BJ794&gt;=1,"Lift",IF(BJ794&lt;=0,"Aussenlager","teilweise")))))</f>
        <v>Lift</v>
      </c>
      <c r="BN794" s="60" t="str">
        <f aca="false">IF(A794="","",IF(BW794=1,"Neu; ","")&amp;IF(AND(BW794=0,BR794&lt;0),"negativer Bestand (Export "&amp;BR794&amp;"); ","")&amp;IF(J794&lt;=0,"Kein Verbrauch; ","")&amp;IF(CR794&gt;0,"Lift "&amp;W794&amp;" lt. Liftbericht (Fach "&amp;X794&amp;" Stk); ",IF(CB794=1,"Gebinde geschätzt ("&amp;T794&amp;"); ",IF(CA794=1,"Lose – Tablare geschätzt; ","")))&amp;IF(H794&gt;AW794,"Überbestand "&amp;ROUND(H794-AW794,0)&amp;" Stk / CHF "&amp;ROUND((H794-AW794)*G794,0)&amp;"; ","")&amp;IF(AND(CI794=1,CJ794&lt;CK794),"MAX &lt; MB+LG; ","")&amp;IF(AND(CQ794&gt;0,CP794*10&gt;CQ794),"zu hoch für Tablar; ","")&amp;IF(AND(BW794=0,OR(CI794=1,AB794&lt;&gt;"",U794&lt;&gt;"",V794&lt;&gt;"",AC794&lt;&gt;"")),"manuell übersteuert; ","")&amp;IF(AND(CA794=0,R794=0),"Gebinde unbekannt / Stellmass fehlt; ","")&amp;IF(AND(CA794=0,N(V794)&lt;=0,N(Q794)&lt;=0),"Menge pro Gebinde fehlt (Ist = 1 Gebinde); ","")&amp;BV794)</f>
        <v>negativer Bestand (Export -15); </v>
      </c>
      <c r="BO794" s="60"/>
      <c r="BP794" s="60"/>
      <c r="BQ794" s="67"/>
      <c r="BR794" s="62" t="n">
        <v>-15</v>
      </c>
      <c r="BS794" s="62" t="n">
        <v>114</v>
      </c>
      <c r="BT794" s="61" t="n">
        <v>-3.56000000000001</v>
      </c>
      <c r="BU794" s="62" t="n">
        <v>385</v>
      </c>
      <c r="BV794" s="60"/>
      <c r="BW794" s="65" t="n">
        <v>0</v>
      </c>
      <c r="BX794" s="65" t="n">
        <v>794</v>
      </c>
      <c r="BY794" s="60" t="str">
        <f aca="false">IF(U794&lt;&gt;"",UPPER(TRIM(U794)),IF(CB794=1,UPPER(VLOOKUP(T794,Parameter!$I$27:$K$29,2,0)),IF(P794="","LOSE",P794)))</f>
        <v>S33</v>
      </c>
      <c r="BZ794" s="62" t="n">
        <f aca="false">IF(BY794="LOSE",1,IF(N(V794)&gt;0,V794,IF(CB794=1,MAX(1,N(VLOOKUP(T794,Parameter!$I$27:$K$29,3,0)),H794,N(N794)),IF(N(Q794)&gt;0,Q794,MAX(1,H794)))))</f>
        <v>206</v>
      </c>
      <c r="CA794" s="65" t="n">
        <f aca="false">IF(BY794="LOSE",1,0)</f>
        <v>0</v>
      </c>
      <c r="CB794" s="65" t="n">
        <f aca="false">IF(AND(U794="",OR(P794="",P794="LOSE"),T794&lt;&gt;"",N(S794)&lt;=0,ISNUMBER(MATCH(T794,Parameter!$I$27:$I$29,0))),1,0)</f>
        <v>0</v>
      </c>
      <c r="CC794" s="65" t="n">
        <f aca="false">IF(CR794&gt;0,INDEX(Parameter!$H$5:$H$7,W794)/INDEX(Parameter!$E$5:$E$7,W794),IF(AND(CA794=0,N(IFERROR(VLOOKUP(BY794,'Gebinde-Kategorie'!$A$5:$N$45,14,0),0))&gt;0),VLOOKUP(BY794,'Gebinde-Kategorie'!$A$5:$N$45,14,0)*10+Parameter!$M$23,Parameter!$M$24))</f>
        <v>155</v>
      </c>
      <c r="CD794" s="60" t="str">
        <f aca="false">IF(AND(Parameter!$B$19="Ja",E794&lt;&gt;"",ISNUMBER(MATCH(E794,Parameter!$I$35:$I$52,0))),VLOOKUP(E794,Parameter!$I$35:$J$52,2,0),IFERROR(VLOOKUP(D794,Parameter!$A$35:$C$64,2,0),"Nein"))</f>
        <v>2+3</v>
      </c>
      <c r="CE794" s="64" t="n">
        <f aca="false">IF(CA794=0,0,IF(N(S794)&gt;0,S794,IFERROR(VLOOKUP(D794,Parameter!$A$35:$C$64,3,0)+0,0)))</f>
        <v>0</v>
      </c>
      <c r="CF794" s="60" t="n">
        <f aca="false">IF(AB794&lt;&gt;"",AB794,AA794)</f>
        <v>3</v>
      </c>
      <c r="CG794" s="60" t="str">
        <f aca="false">IF(OR(CF794=1,CF794=2,CF794=3),IF(Parameter!$E$27="Ja","LIFT",IF(CF794=1,"L1","L23")),IF(CF794="Aussen","Aussen","-"))</f>
        <v>LIFT</v>
      </c>
      <c r="CH794" s="71" t="n">
        <f aca="false">IF(N(AC794)&gt;0,AC794,0)</f>
        <v>0</v>
      </c>
      <c r="CI794" s="65" t="n">
        <f aca="false">IF(ISNUMBER(AF794),1,0)</f>
        <v>0</v>
      </c>
      <c r="CJ794" s="62" t="n">
        <f aca="false">N(AF794)</f>
        <v>0</v>
      </c>
      <c r="CK794" s="62" t="n">
        <f aca="false">N(M794)+N(N794)</f>
        <v>414</v>
      </c>
      <c r="CL794" s="62" t="n">
        <f aca="false">N(M794)</f>
        <v>14</v>
      </c>
      <c r="CM794" s="62" t="n">
        <f aca="false">N(N794)</f>
        <v>400</v>
      </c>
      <c r="CN794" s="62" t="n">
        <f aca="false">ROUNDUP(H794/BZ794,0)</f>
        <v>1</v>
      </c>
      <c r="CO794" s="62" t="n">
        <f aca="false">ROUNDUP(CJ794/BZ794,0)</f>
        <v>0</v>
      </c>
      <c r="CP794" s="65" t="n">
        <f aca="false">IF(CA794=1,0,IFERROR(VLOOKUP(BY794,'Gebinde-Kategorie'!$A$5:$N$45,5,0)+0,0))</f>
        <v>8</v>
      </c>
      <c r="CQ794" s="65" t="n">
        <f aca="false">IFERROR(IF(OR(CF794=1,CF794=2,CF794=3),N(INDEX(Parameter!$I$5:$I$7,CF794)),0),0)</f>
        <v>0</v>
      </c>
      <c r="CR794" s="64" t="n">
        <f aca="false">IF(AND(Parameter!$B$21="Ja",ISNUMBER(W794),N(X794)&gt;0),IFERROR(N(INDEX(Parameter!$L$5:$L$7,W794))*INDEX(Parameter!$E$5:$E$7,W794)*X794/SUMIFS($X$7:$X$1843,$W$7:$W$1843,W794),0),0)</f>
        <v>0</v>
      </c>
      <c r="CS794" s="62" t="n">
        <f aca="false">IF(AND(OR(CG794="L1",CG794="L23",CG794="LIFT"),H794&gt;0),CC794*IF(CR794&gt;0,CR794*MAX(1,H794/X794),IF(CA794=1,CE794,IF(R794&gt;0,CN794/R794,0))/MAX(0.1,N(Parameter!$M$21))),"")</f>
        <v>2.98076923076923</v>
      </c>
      <c r="CT794" s="64" t="n">
        <f aca="false">IF(CS794="","",J794/H794)</f>
        <v>3.88888888888889</v>
      </c>
      <c r="CU794" s="62" t="n">
        <f aca="false">IF(CS794="","",H794*G794)</f>
        <v>29.7</v>
      </c>
      <c r="CV794" s="63" t="n">
        <f aca="false">IF(CS794="","",(CL794+ROUNDUP(CL794+MAX(CM794,2*(J794/MAX(0.1,N(Einkauf!$C$6))-CL794)),0))/2)</f>
        <v>214</v>
      </c>
      <c r="CW794" s="62" t="n">
        <f aca="false">IF(CS794="","",MAX(0,H794-CV794)*G794)</f>
        <v>0</v>
      </c>
      <c r="CX794" s="62" t="n">
        <f aca="false">IF(CS794="","",CS794*MAX(0,1-CV794/H794))</f>
        <v>0</v>
      </c>
      <c r="CY794" s="64" t="n">
        <f aca="false">IF(CS794="","",PERCENTRANK($CS$7:$CS$1843,CS794)+PERCENTRANK($CU$7:$CU$1843,CU794)+1-PERCENTRANK($CT$7:$CT$1843,CT794))</f>
        <v>0.39</v>
      </c>
      <c r="CZ794" s="72" t="n">
        <f aca="false">IF(CS794="","",CHOOSE(MATCH(Einkauf!$C$5,Parameter!$G$23:$G$27,0),CY794,CS794,CU794,-CT794,CW794)+ROW()/1000000000)</f>
        <v>0.390000794</v>
      </c>
    </row>
    <row r="795" customFormat="false" ht="15" hidden="false" customHeight="false" outlineLevel="0" collapsed="false">
      <c r="A795" s="60" t="s">
        <v>1588</v>
      </c>
      <c r="B795" s="60" t="s">
        <v>696</v>
      </c>
      <c r="C795" s="60" t="s">
        <v>498</v>
      </c>
      <c r="D795" s="60" t="s">
        <v>226</v>
      </c>
      <c r="E795" s="60"/>
      <c r="F795" s="60" t="s">
        <v>260</v>
      </c>
      <c r="G795" s="61" t="n">
        <v>0.04</v>
      </c>
      <c r="H795" s="62" t="n">
        <f aca="false">MAX(0,IF(AND(Parameter!$B$21="Ja",ISNUMBER(Y795)),Y795,IF(Parameter!$B$20="Jahresanfang 2025 + Export",BS795+BR795,BR795)))</f>
        <v>96</v>
      </c>
      <c r="I795" s="62" t="n">
        <f aca="false">H795*G795</f>
        <v>3.84</v>
      </c>
      <c r="J795" s="62" t="n">
        <f aca="false">BU795*Parameter!$B$18</f>
        <v>96</v>
      </c>
      <c r="K795" s="63" t="n">
        <v>96</v>
      </c>
      <c r="L795" s="64" t="n">
        <v>1</v>
      </c>
      <c r="M795" s="62" t="n">
        <v>3</v>
      </c>
      <c r="N795" s="62" t="n">
        <v>95</v>
      </c>
      <c r="O795" s="65" t="n">
        <v>14</v>
      </c>
      <c r="P795" s="60" t="s">
        <v>210</v>
      </c>
      <c r="Q795" s="62"/>
      <c r="R795" s="65" t="n">
        <f aca="false">IF(CA795=1,0,IFERROR(VLOOKUP(BY795,'Gebinde-Kategorie'!$A$5:$N$45,13,0)+0,0))</f>
        <v>26</v>
      </c>
      <c r="S795" s="66"/>
      <c r="T795" s="67" t="s">
        <v>317</v>
      </c>
      <c r="U795" s="67"/>
      <c r="V795" s="67"/>
      <c r="W795" s="60"/>
      <c r="X795" s="62"/>
      <c r="Y795" s="62"/>
      <c r="Z795" s="60" t="n">
        <v>3</v>
      </c>
      <c r="AA795" s="60" t="n">
        <f aca="false">IF(A795="","",IF(AND(Parameter!$B$21="Ja",ISNUMBER(W795)),W795,IF(AND(Parameter!$E$27="Ja",ISNUMBER(Z795),CD795&lt;&gt;"Nein"),Z795,IF(CD795="2+3",IF(ISNUMBER(SEARCH("grosser Artikel",BV795)),2,IFERROR(VLOOKUP(BY795,Parameter!$F$35:$G$64,2,0),2)),IF(OR(CD795="Nein",CD795=""),"-",CD795)))))</f>
        <v>3</v>
      </c>
      <c r="AB795" s="67"/>
      <c r="AC795" s="68"/>
      <c r="AD795" s="62" t="n">
        <f aca="false">AW795</f>
        <v>98</v>
      </c>
      <c r="AE795" s="62" t="n">
        <f aca="false">MAX(AW795,H795)</f>
        <v>98</v>
      </c>
      <c r="AF795" s="69"/>
      <c r="AG795" s="62" t="n">
        <f aca="false">IF(LEFT(Cockpit!$C$5,1)="A",H795,IF(Parameter!$E$30="MAX-Bestand",IF(CI795=1,CJ795,IF(LEFT(Cockpit!$C$5,1)="B",AM795,MAX(AM795,H795))),ROUNDUP(AK795,0)))</f>
        <v>96</v>
      </c>
      <c r="AH795" s="62" t="n">
        <f aca="false">IF(CA795=1,0,ROUNDUP(AG795/BZ795,0))</f>
        <v>1</v>
      </c>
      <c r="AI795" s="64" t="n">
        <f aca="false">IF(CR795&gt;0,CR795*MAX(1,AG795/X795),IF(CA795=1,IF(AG795&lt;=0,0,CE795*MAX(1,IF(H795&gt;0,AG795/H795,1))),IF(R795&gt;0,AH795/R795,0))/MAX(0.1,N(Parameter!$M$21)))</f>
        <v>0.0384615384615385</v>
      </c>
      <c r="AJ795" s="62" t="n">
        <f aca="false">AI795*CC795</f>
        <v>5.96153846153846</v>
      </c>
      <c r="AK795" s="63" t="n">
        <f aca="false">IF(LEFT(Cockpit!$C$5,1)="A",H795,IF(CI795=1,(CL795+CJ795)/2,IF(LEFT(Cockpit!$C$5,1)="B",(CL795+AM795)/2,MAX((CL795+AM795)/2,H795))))</f>
        <v>96</v>
      </c>
      <c r="AL795" s="62" t="n">
        <f aca="false">AK795*G795</f>
        <v>3.84</v>
      </c>
      <c r="AM795" s="62" t="n">
        <f aca="false">ROUNDUP(CL795+MAX(CM795,2*(J795/IF(CH795&gt;0,CH795,MAX(0.1,N(Cockpit!$C$6)))-CL795)),0)</f>
        <v>98</v>
      </c>
      <c r="AN795" s="63" t="n">
        <f aca="false">IF(AJ795&gt;0,J795/AJ795,-1)</f>
        <v>16.1032258064516</v>
      </c>
      <c r="AO795" s="63" t="n">
        <f aca="false">IF(AND(OR(CG795="L1",CG795="L23",CG795="LIFT"),AJ795&gt;0),SUMIFS($AJ$7:$AJ$1843,$CG$7:$CG$1843,CG795,$AN$7:$AN$1843,"&gt;"&amp;AN795)+SUMIFS($AJ$7:$AJ$1843,$CG$7:$CG$1843,CG795,$AN$7:$AN$1843,AN795,$BX$7:$BX$1843,"&lt;="&amp;BX795),"")</f>
        <v>2062.70833333333</v>
      </c>
      <c r="AP795" s="70" t="n">
        <f aca="false">IF(AO795="",0,MAX(0,MIN(1,(IF(CG795="L1",Parameter!$H$5,IF(CG795="L23",Parameter!$H$6+Parameter!$H$7,Parameter!$H$5+Parameter!$H$6+Parameter!$H$7))-(AO795-AJ795))/AJ795)))</f>
        <v>1</v>
      </c>
      <c r="AQ795" s="62" t="n">
        <f aca="false">IF(LEFT(Cockpit!$I$5,1)="A",H795,IF(Parameter!$E$30="MAX-Bestand",IF(CI795=1,CJ795,IF(LEFT(Cockpit!$I$5,1)="B",AW795,MAX(AW795,H795))),ROUNDUP(AU795,0)))</f>
        <v>96</v>
      </c>
      <c r="AR795" s="62" t="n">
        <f aca="false">IF(CA795=1,0,ROUNDUP(AQ795/BZ795,0))</f>
        <v>1</v>
      </c>
      <c r="AS795" s="64" t="n">
        <f aca="false">IF(CR795&gt;0,CR795*MAX(1,AQ795/X795),IF(CA795=1,IF(AQ795&lt;=0,0,CE795*MAX(1,IF(H795&gt;0,AQ795/H795,1))),IF(R795&gt;0,AR795/R795,0))/MAX(0.1,N(Parameter!$M$21)))</f>
        <v>0.0384615384615385</v>
      </c>
      <c r="AT795" s="62" t="n">
        <f aca="false">AS795*CC795</f>
        <v>5.96153846153846</v>
      </c>
      <c r="AU795" s="63" t="n">
        <f aca="false">IF(LEFT(Cockpit!$I$5,1)="A",H795,IF(CI795=1,(CL795+CJ795)/2,IF(LEFT(Cockpit!$I$5,1)="B",(CL795+AW795)/2,MAX((CL795+AW795)/2,H795))))</f>
        <v>96</v>
      </c>
      <c r="AV795" s="62" t="n">
        <f aca="false">AU795*G795</f>
        <v>3.84</v>
      </c>
      <c r="AW795" s="62" t="n">
        <f aca="false">ROUNDUP(CL795+MAX(CM795,2*(J795/IF(CH795&gt;0,CH795,MAX(0.1,N(Cockpit!$I$6)))-CL795)),0)</f>
        <v>98</v>
      </c>
      <c r="AX795" s="63" t="n">
        <f aca="false">IF(AT795&gt;0,J795/AT795,-1)</f>
        <v>16.1032258064516</v>
      </c>
      <c r="AY795" s="63" t="n">
        <f aca="false">IF(AND(OR(CG795="L1",CG795="L23",CG795="LIFT"),AT795&gt;0),SUMIFS($AT$7:$AT$1843,$CG$7:$CG$1843,CG795,$AX$7:$AX$1843,"&gt;"&amp;AX795)+SUMIFS($AT$7:$AT$1843,$CG$7:$CG$1843,CG795,$AX$7:$AX$1843,AX795,$BX$7:$BX$1843,"&lt;="&amp;BX795),"")</f>
        <v>2698.72206959707</v>
      </c>
      <c r="AZ795" s="70" t="n">
        <f aca="false">IF(AY795="",0,MAX(0,MIN(1,(IF(CG795="L1",Parameter!$H$5,IF(CG795="L23",Parameter!$H$6+Parameter!$H$7,Parameter!$H$5+Parameter!$H$6+Parameter!$H$7))-(AY795-AT795))/AT795)))</f>
        <v>1</v>
      </c>
      <c r="BA795" s="62" t="n">
        <f aca="false">IF(LEFT(Cockpit!$O$5,1)="A",H795,IF(Parameter!$E$30="MAX-Bestand",IF(CI795=1,CJ795,IF(LEFT(Cockpit!$O$5,1)="B",BG795,MAX(BG795,H795))),ROUNDUP(BE795,0)))</f>
        <v>51</v>
      </c>
      <c r="BB795" s="62" t="n">
        <f aca="false">IF(CA795=1,0,ROUNDUP(BA795/BZ795,0))</f>
        <v>1</v>
      </c>
      <c r="BC795" s="64" t="n">
        <f aca="false">IF(CR795&gt;0,CR795*MAX(1,BA795/X795),IF(CA795=1,IF(BA795&lt;=0,0,CE795*MAX(1,IF(H795&gt;0,BA795/H795,1))),IF(R795&gt;0,BB795/R795,0))/MAX(0.1,N(Parameter!$M$21)))</f>
        <v>0.0384615384615385</v>
      </c>
      <c r="BD795" s="62" t="n">
        <f aca="false">BC795*CC795</f>
        <v>5.96153846153846</v>
      </c>
      <c r="BE795" s="63" t="n">
        <f aca="false">IF(LEFT(Cockpit!$O$5,1)="A",H795,IF(CI795=1,(CL795+CJ795)/2,IF(LEFT(Cockpit!$O$5,1)="B",(CL795+BG795)/2,MAX((CL795+BG795)/2,H795))))</f>
        <v>50.5</v>
      </c>
      <c r="BF795" s="62" t="n">
        <f aca="false">BE795*G795</f>
        <v>2.02</v>
      </c>
      <c r="BG795" s="62" t="n">
        <f aca="false">ROUNDUP(CL795+MAX(CM795,2*(J795/IF(CH795&gt;0,CH795,MAX(0.1,N(Cockpit!$O$6)))-CL795)),0)</f>
        <v>98</v>
      </c>
      <c r="BH795" s="63" t="n">
        <f aca="false">IF(BD795&gt;0,J795/BD795,-1)</f>
        <v>16.1032258064516</v>
      </c>
      <c r="BI795" s="63" t="n">
        <f aca="false">IF(AND(OR(CG795="L1",CG795="L23",CG795="LIFT"),BD795&gt;0),SUMIFS($BD$7:$BD$1843,$CG$7:$CG$1843,CG795,$BH$7:$BH$1843,"&gt;"&amp;BH795)+SUMIFS($BD$7:$BD$1843,$CG$7:$CG$1843,CG795,$BH$7:$BH$1843,BH795,$BX$7:$BX$1843,"&lt;="&amp;BX795),"")</f>
        <v>2393.68223443223</v>
      </c>
      <c r="BJ795" s="70" t="n">
        <f aca="false">IF(BI795="",0,MAX(0,MIN(1,(IF(CG795="L1",Parameter!$H$5,IF(CG795="L23",Parameter!$H$6+Parameter!$H$7,Parameter!$H$5+Parameter!$H$6+Parameter!$H$7))-(BI795-BD795))/BD795)))</f>
        <v>1</v>
      </c>
      <c r="BK795" s="60" t="str">
        <f aca="false">IF(AJ795&lt;=0,"",IF(CG795="Aussen","Aussenlager",IF(CG795="-","Nicht im Lift",IF(AP795&gt;=1,"Lift",IF(AP795&lt;=0,"Aussenlager","teilweise")))))</f>
        <v>Lift</v>
      </c>
      <c r="BL795" s="60" t="str">
        <f aca="false">IF(AT795&lt;=0,"",IF(CG795="Aussen","Aussenlager",IF(CG795="-","Nicht im Lift",IF(AZ795&gt;=1,"Lift",IF(AZ795&lt;=0,"Aussenlager","teilweise")))))</f>
        <v>Lift</v>
      </c>
      <c r="BM795" s="60" t="str">
        <f aca="false">IF(BD795&lt;=0,"",IF(CG795="Aussen","Aussenlager",IF(CG795="-","Nicht im Lift",IF(BJ795&gt;=1,"Lift",IF(BJ795&lt;=0,"Aussenlager","teilweise")))))</f>
        <v>Lift</v>
      </c>
      <c r="BN795" s="60" t="str">
        <f aca="false">IF(A795="","",IF(BW795=1,"Neu; ","")&amp;IF(AND(BW795=0,BR795&lt;0),"negativer Bestand (Export "&amp;BR795&amp;"); ","")&amp;IF(J795&lt;=0,"Kein Verbrauch; ","")&amp;IF(CR795&gt;0,"Lift "&amp;W795&amp;" lt. Liftbericht (Fach "&amp;X795&amp;" Stk); ",IF(CB795=1,"Gebinde geschätzt ("&amp;T795&amp;"); ",IF(CA795=1,"Lose – Tablare geschätzt; ","")))&amp;IF(H795&gt;AW795,"Überbestand "&amp;ROUND(H795-AW795,0)&amp;" Stk / CHF "&amp;ROUND((H795-AW795)*G795,0)&amp;"; ","")&amp;IF(AND(CI795=1,CJ795&lt;CK795),"MAX &lt; MB+LG; ","")&amp;IF(AND(CQ795&gt;0,CP795*10&gt;CQ795),"zu hoch für Tablar; ","")&amp;IF(AND(BW795=0,OR(CI795=1,AB795&lt;&gt;"",U795&lt;&gt;"",V795&lt;&gt;"",AC795&lt;&gt;"")),"manuell übersteuert; ","")&amp;IF(AND(CA795=0,R795=0),"Gebinde unbekannt / Stellmass fehlt; ","")&amp;IF(AND(CA795=0,N(V795)&lt;=0,N(Q795)&lt;=0),"Menge pro Gebinde fehlt (Ist = 1 Gebinde); ","")&amp;BV795)</f>
        <v>negativer Bestand (Export -96); Gebinde geschätzt (Klein); Menge pro Gebinde fehlt (Ist = 1 Gebinde); </v>
      </c>
      <c r="BO795" s="60"/>
      <c r="BP795" s="60"/>
      <c r="BQ795" s="67"/>
      <c r="BR795" s="62" t="n">
        <v>-96</v>
      </c>
      <c r="BS795" s="62" t="n">
        <v>192</v>
      </c>
      <c r="BT795" s="61" t="n">
        <v>-3.84</v>
      </c>
      <c r="BU795" s="62" t="n">
        <v>96</v>
      </c>
      <c r="BV795" s="60"/>
      <c r="BW795" s="65" t="n">
        <v>0</v>
      </c>
      <c r="BX795" s="65" t="n">
        <v>795</v>
      </c>
      <c r="BY795" s="60" t="str">
        <f aca="false">IF(U795&lt;&gt;"",UPPER(TRIM(U795)),IF(CB795=1,UPPER(VLOOKUP(T795,Parameter!$I$27:$K$29,2,0)),IF(P795="","LOSE",P795)))</f>
        <v>S51</v>
      </c>
      <c r="BZ795" s="62" t="n">
        <f aca="false">IF(BY795="LOSE",1,IF(N(V795)&gt;0,V795,IF(CB795=1,MAX(1,N(VLOOKUP(T795,Parameter!$I$27:$K$29,3,0)),H795,N(N795)),IF(N(Q795)&gt;0,Q795,MAX(1,H795)))))</f>
        <v>96</v>
      </c>
      <c r="CA795" s="65" t="n">
        <f aca="false">IF(BY795="LOSE",1,0)</f>
        <v>0</v>
      </c>
      <c r="CB795" s="65" t="n">
        <f aca="false">IF(AND(U795="",OR(P795="",P795="LOSE"),T795&lt;&gt;"",N(S795)&lt;=0,ISNUMBER(MATCH(T795,Parameter!$I$27:$I$29,0))),1,0)</f>
        <v>1</v>
      </c>
      <c r="CC795" s="65" t="n">
        <f aca="false">IF(CR795&gt;0,INDEX(Parameter!$H$5:$H$7,W795)/INDEX(Parameter!$E$5:$E$7,W795),IF(AND(CA795=0,N(IFERROR(VLOOKUP(BY795,'Gebinde-Kategorie'!$A$5:$N$45,14,0),0))&gt;0),VLOOKUP(BY795,'Gebinde-Kategorie'!$A$5:$N$45,14,0)*10+Parameter!$M$23,Parameter!$M$24))</f>
        <v>155</v>
      </c>
      <c r="CD795" s="60" t="str">
        <f aca="false">IF(AND(Parameter!$B$19="Ja",E795&lt;&gt;"",ISNUMBER(MATCH(E795,Parameter!$I$35:$I$52,0))),VLOOKUP(E795,Parameter!$I$35:$J$52,2,0),IFERROR(VLOOKUP(D795,Parameter!$A$35:$C$64,2,0),"Nein"))</f>
        <v>2+3</v>
      </c>
      <c r="CE795" s="64" t="n">
        <f aca="false">IF(CA795=0,0,IF(N(S795)&gt;0,S795,IFERROR(VLOOKUP(D795,Parameter!$A$35:$C$64,3,0)+0,0)))</f>
        <v>0</v>
      </c>
      <c r="CF795" s="60" t="n">
        <f aca="false">IF(AB795&lt;&gt;"",AB795,AA795)</f>
        <v>3</v>
      </c>
      <c r="CG795" s="60" t="str">
        <f aca="false">IF(OR(CF795=1,CF795=2,CF795=3),IF(Parameter!$E$27="Ja","LIFT",IF(CF795=1,"L1","L23")),IF(CF795="Aussen","Aussen","-"))</f>
        <v>LIFT</v>
      </c>
      <c r="CH795" s="71" t="n">
        <f aca="false">IF(N(AC795)&gt;0,AC795,0)</f>
        <v>0</v>
      </c>
      <c r="CI795" s="65" t="n">
        <f aca="false">IF(ISNUMBER(AF795),1,0)</f>
        <v>0</v>
      </c>
      <c r="CJ795" s="62" t="n">
        <f aca="false">N(AF795)</f>
        <v>0</v>
      </c>
      <c r="CK795" s="62" t="n">
        <f aca="false">N(M795)+N(N795)</f>
        <v>98</v>
      </c>
      <c r="CL795" s="62" t="n">
        <f aca="false">N(M795)</f>
        <v>3</v>
      </c>
      <c r="CM795" s="62" t="n">
        <f aca="false">N(N795)</f>
        <v>95</v>
      </c>
      <c r="CN795" s="62" t="n">
        <f aca="false">ROUNDUP(H795/BZ795,0)</f>
        <v>1</v>
      </c>
      <c r="CO795" s="62" t="n">
        <f aca="false">ROUNDUP(CJ795/BZ795,0)</f>
        <v>0</v>
      </c>
      <c r="CP795" s="65" t="n">
        <f aca="false">IF(CA795=1,0,IFERROR(VLOOKUP(BY795,'Gebinde-Kategorie'!$A$5:$N$45,5,0)+0,0))</f>
        <v>11</v>
      </c>
      <c r="CQ795" s="65" t="n">
        <f aca="false">IFERROR(IF(OR(CF795=1,CF795=2,CF795=3),N(INDEX(Parameter!$I$5:$I$7,CF795)),0),0)</f>
        <v>0</v>
      </c>
      <c r="CR795" s="64" t="n">
        <f aca="false">IF(AND(Parameter!$B$21="Ja",ISNUMBER(W795),N(X795)&gt;0),IFERROR(N(INDEX(Parameter!$L$5:$L$7,W795))*INDEX(Parameter!$E$5:$E$7,W795)*X795/SUMIFS($X$7:$X$1843,$W$7:$W$1843,W795),0),0)</f>
        <v>0</v>
      </c>
      <c r="CS795" s="62" t="n">
        <f aca="false">IF(AND(OR(CG795="L1",CG795="L23",CG795="LIFT"),H795&gt;0),CC795*IF(CR795&gt;0,CR795*MAX(1,H795/X795),IF(CA795=1,CE795,IF(R795&gt;0,CN795/R795,0))/MAX(0.1,N(Parameter!$M$21))),"")</f>
        <v>5.96153846153846</v>
      </c>
      <c r="CT795" s="64" t="n">
        <f aca="false">IF(CS795="","",J795/H795)</f>
        <v>1</v>
      </c>
      <c r="CU795" s="62" t="n">
        <f aca="false">IF(CS795="","",H795*G795)</f>
        <v>3.84</v>
      </c>
      <c r="CV795" s="63" t="n">
        <f aca="false">IF(CS795="","",(CL795+ROUNDUP(CL795+MAX(CM795,2*(J795/MAX(0.1,N(Einkauf!$C$6))-CL795)),0))/2)</f>
        <v>50.5</v>
      </c>
      <c r="CW795" s="62" t="n">
        <f aca="false">IF(CS795="","",MAX(0,H795-CV795)*G795)</f>
        <v>1.82</v>
      </c>
      <c r="CX795" s="62" t="n">
        <f aca="false">IF(CS795="","",CS795*MAX(0,1-CV795/H795))</f>
        <v>2.82552083333333</v>
      </c>
      <c r="CY795" s="64" t="n">
        <f aca="false">IF(CS795="","",PERCENTRANK($CS$7:$CS$1843,CS795)+PERCENTRANK($CU$7:$CU$1843,CU795)+1-PERCENTRANK($CT$7:$CT$1843,CT795))</f>
        <v>0.7391</v>
      </c>
      <c r="CZ795" s="72" t="n">
        <f aca="false">IF(CS795="","",CHOOSE(MATCH(Einkauf!$C$5,Parameter!$G$23:$G$27,0),CY795,CS795,CU795,-CT795,CW795)+ROW()/1000000000)</f>
        <v>0.739100795</v>
      </c>
    </row>
    <row r="796" customFormat="false" ht="15" hidden="false" customHeight="false" outlineLevel="0" collapsed="false">
      <c r="A796" s="60" t="s">
        <v>1589</v>
      </c>
      <c r="B796" s="60" t="s">
        <v>1590</v>
      </c>
      <c r="C796" s="60" t="s">
        <v>206</v>
      </c>
      <c r="D796" s="60" t="s">
        <v>226</v>
      </c>
      <c r="E796" s="60"/>
      <c r="F796" s="60" t="s">
        <v>260</v>
      </c>
      <c r="G796" s="61" t="n">
        <v>1.95</v>
      </c>
      <c r="H796" s="62" t="n">
        <f aca="false">MAX(0,IF(AND(Parameter!$B$21="Ja",ISNUMBER(Y796)),Y796,IF(Parameter!$B$20="Jahresanfang 2025 + Export",BS796+BR796,BR796)))</f>
        <v>3</v>
      </c>
      <c r="I796" s="62" t="n">
        <f aca="false">H796*G796</f>
        <v>5.85</v>
      </c>
      <c r="J796" s="62" t="n">
        <f aca="false">BU796*Parameter!$B$18</f>
        <v>1</v>
      </c>
      <c r="K796" s="63" t="n">
        <v>4.5</v>
      </c>
      <c r="L796" s="64" t="n">
        <v>0.222222222222222</v>
      </c>
      <c r="M796" s="62" t="n">
        <v>0</v>
      </c>
      <c r="N796" s="62" t="n">
        <v>1</v>
      </c>
      <c r="O796" s="65" t="n">
        <v>42</v>
      </c>
      <c r="P796" s="60" t="s">
        <v>468</v>
      </c>
      <c r="Q796" s="62" t="n">
        <v>5</v>
      </c>
      <c r="R796" s="65" t="n">
        <f aca="false">IF(CA796=1,0,IFERROR(VLOOKUP(BY796,'Gebinde-Kategorie'!$A$5:$N$45,13,0)+0,0))</f>
        <v>140</v>
      </c>
      <c r="S796" s="66"/>
      <c r="T796" s="67"/>
      <c r="U796" s="67"/>
      <c r="V796" s="67"/>
      <c r="W796" s="60"/>
      <c r="X796" s="62"/>
      <c r="Y796" s="62"/>
      <c r="Z796" s="60" t="n">
        <v>2</v>
      </c>
      <c r="AA796" s="60" t="n">
        <f aca="false">IF(A796="","",IF(AND(Parameter!$B$21="Ja",ISNUMBER(W796)),W796,IF(AND(Parameter!$E$27="Ja",ISNUMBER(Z796),CD796&lt;&gt;"Nein"),Z796,IF(CD796="2+3",IF(ISNUMBER(SEARCH("grosser Artikel",BV796)),2,IFERROR(VLOOKUP(BY796,Parameter!$F$35:$G$64,2,0),2)),IF(OR(CD796="Nein",CD796=""),"-",CD796)))))</f>
        <v>2</v>
      </c>
      <c r="AB796" s="67"/>
      <c r="AC796" s="68"/>
      <c r="AD796" s="62" t="n">
        <f aca="false">AW796</f>
        <v>1</v>
      </c>
      <c r="AE796" s="62" t="n">
        <f aca="false">MAX(AW796,H796)</f>
        <v>3</v>
      </c>
      <c r="AF796" s="69"/>
      <c r="AG796" s="62" t="n">
        <f aca="false">IF(LEFT(Cockpit!$C$5,1)="A",H796,IF(Parameter!$E$30="MAX-Bestand",IF(CI796=1,CJ796,IF(LEFT(Cockpit!$C$5,1)="B",AM796,MAX(AM796,H796))),ROUNDUP(AK796,0)))</f>
        <v>3</v>
      </c>
      <c r="AH796" s="62" t="n">
        <f aca="false">IF(CA796=1,0,ROUNDUP(AG796/BZ796,0))</f>
        <v>1</v>
      </c>
      <c r="AI796" s="64" t="n">
        <f aca="false">IF(CR796&gt;0,CR796*MAX(1,AG796/X796),IF(CA796=1,IF(AG796&lt;=0,0,CE796*MAX(1,IF(H796&gt;0,AG796/H796,1))),IF(R796&gt;0,AH796/R796,0))/MAX(0.1,N(Parameter!$M$21)))</f>
        <v>0.00714285714285714</v>
      </c>
      <c r="AJ796" s="62" t="n">
        <f aca="false">AI796*CC796</f>
        <v>1.10714285714286</v>
      </c>
      <c r="AK796" s="63" t="n">
        <f aca="false">IF(LEFT(Cockpit!$C$5,1)="A",H796,IF(CI796=1,(CL796+CJ796)/2,IF(LEFT(Cockpit!$C$5,1)="B",(CL796+AM796)/2,MAX((CL796+AM796)/2,H796))))</f>
        <v>3</v>
      </c>
      <c r="AL796" s="62" t="n">
        <f aca="false">AK796*G796</f>
        <v>5.85</v>
      </c>
      <c r="AM796" s="62" t="n">
        <f aca="false">ROUNDUP(CL796+MAX(CM796,2*(J796/IF(CH796&gt;0,CH796,MAX(0.1,N(Cockpit!$C$6)))-CL796)),0)</f>
        <v>1</v>
      </c>
      <c r="AN796" s="63" t="n">
        <f aca="false">IF(AJ796&gt;0,J796/AJ796,-1)</f>
        <v>0.903225806451613</v>
      </c>
      <c r="AO796" s="63" t="n">
        <f aca="false">IF(AND(OR(CG796="L1",CG796="L23",CG796="LIFT"),AJ796&gt;0),SUMIFS($AJ$7:$AJ$1843,$CG$7:$CG$1843,CG796,$AN$7:$AN$1843,"&gt;"&amp;AN796)+SUMIFS($AJ$7:$AJ$1843,$CG$7:$CG$1843,CG796,$AN$7:$AN$1843,AN796,$BX$7:$BX$1843,"&lt;="&amp;BX796),"")</f>
        <v>7619.95558608059</v>
      </c>
      <c r="AP796" s="70" t="n">
        <f aca="false">IF(AO796="",0,MAX(0,MIN(1,(IF(CG796="L1",Parameter!$H$5,IF(CG796="L23",Parameter!$H$6+Parameter!$H$7,Parameter!$H$5+Parameter!$H$6+Parameter!$H$7))-(AO796-AJ796))/AJ796)))</f>
        <v>1</v>
      </c>
      <c r="AQ796" s="62" t="n">
        <f aca="false">IF(LEFT(Cockpit!$I$5,1)="A",H796,IF(Parameter!$E$30="MAX-Bestand",IF(CI796=1,CJ796,IF(LEFT(Cockpit!$I$5,1)="B",AW796,MAX(AW796,H796))),ROUNDUP(AU796,0)))</f>
        <v>3</v>
      </c>
      <c r="AR796" s="62" t="n">
        <f aca="false">IF(CA796=1,0,ROUNDUP(AQ796/BZ796,0))</f>
        <v>1</v>
      </c>
      <c r="AS796" s="64" t="n">
        <f aca="false">IF(CR796&gt;0,CR796*MAX(1,AQ796/X796),IF(CA796=1,IF(AQ796&lt;=0,0,CE796*MAX(1,IF(H796&gt;0,AQ796/H796,1))),IF(R796&gt;0,AR796/R796,0))/MAX(0.1,N(Parameter!$M$21)))</f>
        <v>0.00714285714285714</v>
      </c>
      <c r="AT796" s="62" t="n">
        <f aca="false">AS796*CC796</f>
        <v>1.10714285714286</v>
      </c>
      <c r="AU796" s="63" t="n">
        <f aca="false">IF(LEFT(Cockpit!$I$5,1)="A",H796,IF(CI796=1,(CL796+CJ796)/2,IF(LEFT(Cockpit!$I$5,1)="B",(CL796+AW796)/2,MAX((CL796+AW796)/2,H796))))</f>
        <v>3</v>
      </c>
      <c r="AV796" s="62" t="n">
        <f aca="false">AU796*G796</f>
        <v>5.85</v>
      </c>
      <c r="AW796" s="62" t="n">
        <f aca="false">ROUNDUP(CL796+MAX(CM796,2*(J796/IF(CH796&gt;0,CH796,MAX(0.1,N(Cockpit!$I$6)))-CL796)),0)</f>
        <v>1</v>
      </c>
      <c r="AX796" s="63" t="n">
        <f aca="false">IF(AT796&gt;0,J796/AT796,-1)</f>
        <v>0.903225806451613</v>
      </c>
      <c r="AY796" s="63" t="n">
        <f aca="false">IF(AND(OR(CG796="L1",CG796="L23",CG796="LIFT"),AT796&gt;0),SUMIFS($AT$7:$AT$1843,$CG$7:$CG$1843,CG796,$AX$7:$AX$1843,"&gt;"&amp;AX796)+SUMIFS($AT$7:$AT$1843,$CG$7:$CG$1843,CG796,$AX$7:$AX$1843,AX796,$BX$7:$BX$1843,"&lt;="&amp;BX796),"")</f>
        <v>9194.3956043956</v>
      </c>
      <c r="AZ796" s="70" t="n">
        <f aca="false">IF(AY796="",0,MAX(0,MIN(1,(IF(CG796="L1",Parameter!$H$5,IF(CG796="L23",Parameter!$H$6+Parameter!$H$7,Parameter!$H$5+Parameter!$H$6+Parameter!$H$7))-(AY796-AT796))/AT796)))</f>
        <v>1</v>
      </c>
      <c r="BA796" s="62" t="n">
        <f aca="false">IF(LEFT(Cockpit!$O$5,1)="A",H796,IF(Parameter!$E$30="MAX-Bestand",IF(CI796=1,CJ796,IF(LEFT(Cockpit!$O$5,1)="B",BG796,MAX(BG796,H796))),ROUNDUP(BE796,0)))</f>
        <v>1</v>
      </c>
      <c r="BB796" s="62" t="n">
        <f aca="false">IF(CA796=1,0,ROUNDUP(BA796/BZ796,0))</f>
        <v>1</v>
      </c>
      <c r="BC796" s="64" t="n">
        <f aca="false">IF(CR796&gt;0,CR796*MAX(1,BA796/X796),IF(CA796=1,IF(BA796&lt;=0,0,CE796*MAX(1,IF(H796&gt;0,BA796/H796,1))),IF(R796&gt;0,BB796/R796,0))/MAX(0.1,N(Parameter!$M$21)))</f>
        <v>0.00714285714285714</v>
      </c>
      <c r="BD796" s="62" t="n">
        <f aca="false">BC796*CC796</f>
        <v>1.10714285714286</v>
      </c>
      <c r="BE796" s="63" t="n">
        <f aca="false">IF(LEFT(Cockpit!$O$5,1)="A",H796,IF(CI796=1,(CL796+CJ796)/2,IF(LEFT(Cockpit!$O$5,1)="B",(CL796+BG796)/2,MAX((CL796+BG796)/2,H796))))</f>
        <v>0.5</v>
      </c>
      <c r="BF796" s="62" t="n">
        <f aca="false">BE796*G796</f>
        <v>0.975</v>
      </c>
      <c r="BG796" s="62" t="n">
        <f aca="false">ROUNDUP(CL796+MAX(CM796,2*(J796/IF(CH796&gt;0,CH796,MAX(0.1,N(Cockpit!$O$6)))-CL796)),0)</f>
        <v>1</v>
      </c>
      <c r="BH796" s="63" t="n">
        <f aca="false">IF(BD796&gt;0,J796/BD796,-1)</f>
        <v>0.903225806451613</v>
      </c>
      <c r="BI796" s="63" t="n">
        <f aca="false">IF(AND(OR(CG796="L1",CG796="L23",CG796="LIFT"),BD796&gt;0),SUMIFS($BD$7:$BD$1843,$CG$7:$CG$1843,CG796,$BH$7:$BH$1843,"&gt;"&amp;BH796)+SUMIFS($BD$7:$BD$1843,$CG$7:$CG$1843,CG796,$BH$7:$BH$1843,BH796,$BX$7:$BX$1843,"&lt;="&amp;BX796),"")</f>
        <v>8245.61492673993</v>
      </c>
      <c r="BJ796" s="70" t="n">
        <f aca="false">IF(BI796="",0,MAX(0,MIN(1,(IF(CG796="L1",Parameter!$H$5,IF(CG796="L23",Parameter!$H$6+Parameter!$H$7,Parameter!$H$5+Parameter!$H$6+Parameter!$H$7))-(BI796-BD796))/BD796)))</f>
        <v>1</v>
      </c>
      <c r="BK796" s="60" t="str">
        <f aca="false">IF(AJ796&lt;=0,"",IF(CG796="Aussen","Aussenlager",IF(CG796="-","Nicht im Lift",IF(AP796&gt;=1,"Lift",IF(AP796&lt;=0,"Aussenlager","teilweise")))))</f>
        <v>Lift</v>
      </c>
      <c r="BL796" s="60" t="str">
        <f aca="false">IF(AT796&lt;=0,"",IF(CG796="Aussen","Aussenlager",IF(CG796="-","Nicht im Lift",IF(AZ796&gt;=1,"Lift",IF(AZ796&lt;=0,"Aussenlager","teilweise")))))</f>
        <v>Lift</v>
      </c>
      <c r="BM796" s="60" t="str">
        <f aca="false">IF(BD796&lt;=0,"",IF(CG796="Aussen","Aussenlager",IF(CG796="-","Nicht im Lift",IF(BJ796&gt;=1,"Lift",IF(BJ796&lt;=0,"Aussenlager","teilweise")))))</f>
        <v>Lift</v>
      </c>
      <c r="BN796" s="60" t="str">
        <f aca="false">IF(A796="","",IF(BW796=1,"Neu; ","")&amp;IF(AND(BW796=0,BR796&lt;0),"negativer Bestand (Export "&amp;BR796&amp;"); ","")&amp;IF(J796&lt;=0,"Kein Verbrauch; ","")&amp;IF(CR796&gt;0,"Lift "&amp;W796&amp;" lt. Liftbericht (Fach "&amp;X796&amp;" Stk); ",IF(CB796=1,"Gebinde geschätzt ("&amp;T796&amp;"); ",IF(CA796=1,"Lose – Tablare geschätzt; ","")))&amp;IF(H796&gt;AW796,"Überbestand "&amp;ROUND(H796-AW796,0)&amp;" Stk / CHF "&amp;ROUND((H796-AW796)*G796,0)&amp;"; ","")&amp;IF(AND(CI796=1,CJ796&lt;CK796),"MAX &lt; MB+LG; ","")&amp;IF(AND(CQ796&gt;0,CP796*10&gt;CQ796),"zu hoch für Tablar; ","")&amp;IF(AND(BW796=0,OR(CI796=1,AB796&lt;&gt;"",U796&lt;&gt;"",V796&lt;&gt;"",AC796&lt;&gt;"")),"manuell übersteuert; ","")&amp;IF(AND(CA796=0,R796=0),"Gebinde unbekannt / Stellmass fehlt; ","")&amp;IF(AND(CA796=0,N(V796)&lt;=0,N(Q796)&lt;=0),"Menge pro Gebinde fehlt (Ist = 1 Gebinde); ","")&amp;BV796)</f>
        <v>negativer Bestand (Export -2); Überbestand 2 Stk / CHF 4; </v>
      </c>
      <c r="BO796" s="60"/>
      <c r="BP796" s="60"/>
      <c r="BQ796" s="67"/>
      <c r="BR796" s="62" t="n">
        <v>-2</v>
      </c>
      <c r="BS796" s="62" t="n">
        <v>5</v>
      </c>
      <c r="BT796" s="61" t="n">
        <v>-3.9</v>
      </c>
      <c r="BU796" s="62" t="n">
        <v>1</v>
      </c>
      <c r="BV796" s="60"/>
      <c r="BW796" s="65" t="n">
        <v>0</v>
      </c>
      <c r="BX796" s="65" t="n">
        <v>796</v>
      </c>
      <c r="BY796" s="60" t="str">
        <f aca="false">IF(U796&lt;&gt;"",UPPER(TRIM(U796)),IF(CB796=1,UPPER(VLOOKUP(T796,Parameter!$I$27:$K$29,2,0)),IF(P796="","LOSE",P796)))</f>
        <v>S22</v>
      </c>
      <c r="BZ796" s="62" t="n">
        <f aca="false">IF(BY796="LOSE",1,IF(N(V796)&gt;0,V796,IF(CB796=1,MAX(1,N(VLOOKUP(T796,Parameter!$I$27:$K$29,3,0)),H796,N(N796)),IF(N(Q796)&gt;0,Q796,MAX(1,H796)))))</f>
        <v>5</v>
      </c>
      <c r="CA796" s="65" t="n">
        <f aca="false">IF(BY796="LOSE",1,0)</f>
        <v>0</v>
      </c>
      <c r="CB796" s="65" t="n">
        <f aca="false">IF(AND(U796="",OR(P796="",P796="LOSE"),T796&lt;&gt;"",N(S796)&lt;=0,ISNUMBER(MATCH(T796,Parameter!$I$27:$I$29,0))),1,0)</f>
        <v>0</v>
      </c>
      <c r="CC796" s="65" t="n">
        <f aca="false">IF(CR796&gt;0,INDEX(Parameter!$H$5:$H$7,W796)/INDEX(Parameter!$E$5:$E$7,W796),IF(AND(CA796=0,N(IFERROR(VLOOKUP(BY796,'Gebinde-Kategorie'!$A$5:$N$45,14,0),0))&gt;0),VLOOKUP(BY796,'Gebinde-Kategorie'!$A$5:$N$45,14,0)*10+Parameter!$M$23,Parameter!$M$24))</f>
        <v>155</v>
      </c>
      <c r="CD796" s="60" t="str">
        <f aca="false">IF(AND(Parameter!$B$19="Ja",E796&lt;&gt;"",ISNUMBER(MATCH(E796,Parameter!$I$35:$I$52,0))),VLOOKUP(E796,Parameter!$I$35:$J$52,2,0),IFERROR(VLOOKUP(D796,Parameter!$A$35:$C$64,2,0),"Nein"))</f>
        <v>2+3</v>
      </c>
      <c r="CE796" s="64" t="n">
        <f aca="false">IF(CA796=0,0,IF(N(S796)&gt;0,S796,IFERROR(VLOOKUP(D796,Parameter!$A$35:$C$64,3,0)+0,0)))</f>
        <v>0</v>
      </c>
      <c r="CF796" s="60" t="n">
        <f aca="false">IF(AB796&lt;&gt;"",AB796,AA796)</f>
        <v>2</v>
      </c>
      <c r="CG796" s="60" t="str">
        <f aca="false">IF(OR(CF796=1,CF796=2,CF796=3),IF(Parameter!$E$27="Ja","LIFT",IF(CF796=1,"L1","L23")),IF(CF796="Aussen","Aussen","-"))</f>
        <v>LIFT</v>
      </c>
      <c r="CH796" s="71" t="n">
        <f aca="false">IF(N(AC796)&gt;0,AC796,0)</f>
        <v>0</v>
      </c>
      <c r="CI796" s="65" t="n">
        <f aca="false">IF(ISNUMBER(AF796),1,0)</f>
        <v>0</v>
      </c>
      <c r="CJ796" s="62" t="n">
        <f aca="false">N(AF796)</f>
        <v>0</v>
      </c>
      <c r="CK796" s="62" t="n">
        <f aca="false">N(M796)+N(N796)</f>
        <v>1</v>
      </c>
      <c r="CL796" s="62" t="n">
        <f aca="false">N(M796)</f>
        <v>0</v>
      </c>
      <c r="CM796" s="62" t="n">
        <f aca="false">N(N796)</f>
        <v>1</v>
      </c>
      <c r="CN796" s="62" t="n">
        <f aca="false">ROUNDUP(H796/BZ796,0)</f>
        <v>1</v>
      </c>
      <c r="CO796" s="62" t="n">
        <f aca="false">ROUNDUP(CJ796/BZ796,0)</f>
        <v>0</v>
      </c>
      <c r="CP796" s="65" t="n">
        <f aca="false">IF(CA796=1,0,IFERROR(VLOOKUP(BY796,'Gebinde-Kategorie'!$A$5:$N$45,5,0)+0,0))</f>
        <v>8</v>
      </c>
      <c r="CQ796" s="65" t="n">
        <f aca="false">IFERROR(IF(OR(CF796=1,CF796=2,CF796=3),N(INDEX(Parameter!$I$5:$I$7,CF796)),0),0)</f>
        <v>0</v>
      </c>
      <c r="CR796" s="64" t="n">
        <f aca="false">IF(AND(Parameter!$B$21="Ja",ISNUMBER(W796),N(X796)&gt;0),IFERROR(N(INDEX(Parameter!$L$5:$L$7,W796))*INDEX(Parameter!$E$5:$E$7,W796)*X796/SUMIFS($X$7:$X$1843,$W$7:$W$1843,W796),0),0)</f>
        <v>0</v>
      </c>
      <c r="CS796" s="62" t="n">
        <f aca="false">IF(AND(OR(CG796="L1",CG796="L23",CG796="LIFT"),H796&gt;0),CC796*IF(CR796&gt;0,CR796*MAX(1,H796/X796),IF(CA796=1,CE796,IF(R796&gt;0,CN796/R796,0))/MAX(0.1,N(Parameter!$M$21))),"")</f>
        <v>1.10714285714286</v>
      </c>
      <c r="CT796" s="64" t="n">
        <f aca="false">IF(CS796="","",J796/H796)</f>
        <v>0.333333333333333</v>
      </c>
      <c r="CU796" s="62" t="n">
        <f aca="false">IF(CS796="","",H796*G796)</f>
        <v>5.85</v>
      </c>
      <c r="CV796" s="63" t="n">
        <f aca="false">IF(CS796="","",(CL796+ROUNDUP(CL796+MAX(CM796,2*(J796/MAX(0.1,N(Einkauf!$C$6))-CL796)),0))/2)</f>
        <v>0.5</v>
      </c>
      <c r="CW796" s="62" t="n">
        <f aca="false">IF(CS796="","",MAX(0,H796-CV796)*G796)</f>
        <v>4.875</v>
      </c>
      <c r="CX796" s="62" t="n">
        <f aca="false">IF(CS796="","",CS796*MAX(0,1-CV796/H796))</f>
        <v>0.922619047619048</v>
      </c>
      <c r="CY796" s="64" t="n">
        <f aca="false">IF(CS796="","",PERCENTRANK($CS$7:$CS$1843,CS796)+PERCENTRANK($CU$7:$CU$1843,CU796)+1-PERCENTRANK($CT$7:$CT$1843,CT796))</f>
        <v>0.5781</v>
      </c>
      <c r="CZ796" s="72" t="n">
        <f aca="false">IF(CS796="","",CHOOSE(MATCH(Einkauf!$C$5,Parameter!$G$23:$G$27,0),CY796,CS796,CU796,-CT796,CW796)+ROW()/1000000000)</f>
        <v>0.578100796</v>
      </c>
    </row>
    <row r="797" customFormat="false" ht="15" hidden="false" customHeight="false" outlineLevel="0" collapsed="false">
      <c r="A797" s="60" t="s">
        <v>1591</v>
      </c>
      <c r="B797" s="60" t="s">
        <v>1592</v>
      </c>
      <c r="C797" s="60" t="s">
        <v>206</v>
      </c>
      <c r="D797" s="60" t="s">
        <v>226</v>
      </c>
      <c r="E797" s="60" t="s">
        <v>227</v>
      </c>
      <c r="F797" s="60" t="s">
        <v>260</v>
      </c>
      <c r="G797" s="61" t="n">
        <v>1.26</v>
      </c>
      <c r="H797" s="62" t="n">
        <f aca="false">MAX(0,IF(AND(Parameter!$B$21="Ja",ISNUMBER(Y797)),Y797,IF(Parameter!$B$20="Jahresanfang 2025 + Export",BS797+BR797,BR797)))</f>
        <v>100</v>
      </c>
      <c r="I797" s="62" t="n">
        <f aca="false">H797*G797</f>
        <v>126</v>
      </c>
      <c r="J797" s="62" t="n">
        <f aca="false">BU797*Parameter!$B$18</f>
        <v>0</v>
      </c>
      <c r="K797" s="63" t="n">
        <v>106</v>
      </c>
      <c r="L797" s="64" t="n">
        <v>0</v>
      </c>
      <c r="M797" s="62" t="n">
        <v>0</v>
      </c>
      <c r="N797" s="62" t="n">
        <v>1</v>
      </c>
      <c r="O797" s="65" t="n">
        <v>21</v>
      </c>
      <c r="P797" s="60" t="s">
        <v>463</v>
      </c>
      <c r="Q797" s="62" t="n">
        <v>100</v>
      </c>
      <c r="R797" s="65" t="n">
        <f aca="false">IF(CA797=1,0,IFERROR(VLOOKUP(BY797,'Gebinde-Kategorie'!$A$5:$N$45,13,0)+0,0))</f>
        <v>104</v>
      </c>
      <c r="S797" s="66"/>
      <c r="T797" s="67"/>
      <c r="U797" s="67"/>
      <c r="V797" s="67"/>
      <c r="W797" s="60"/>
      <c r="X797" s="62"/>
      <c r="Y797" s="62"/>
      <c r="Z797" s="60" t="n">
        <v>2</v>
      </c>
      <c r="AA797" s="60" t="n">
        <f aca="false">IF(A797="","",IF(AND(Parameter!$B$21="Ja",ISNUMBER(W797)),W797,IF(AND(Parameter!$E$27="Ja",ISNUMBER(Z797),CD797&lt;&gt;"Nein"),Z797,IF(CD797="2+3",IF(ISNUMBER(SEARCH("grosser Artikel",BV797)),2,IFERROR(VLOOKUP(BY797,Parameter!$F$35:$G$64,2,0),2)),IF(OR(CD797="Nein",CD797=""),"-",CD797)))))</f>
        <v>2</v>
      </c>
      <c r="AB797" s="67"/>
      <c r="AC797" s="68"/>
      <c r="AD797" s="62" t="n">
        <f aca="false">AW797</f>
        <v>1</v>
      </c>
      <c r="AE797" s="62" t="n">
        <f aca="false">MAX(AW797,H797)</f>
        <v>100</v>
      </c>
      <c r="AF797" s="69"/>
      <c r="AG797" s="62" t="n">
        <f aca="false">IF(LEFT(Cockpit!$C$5,1)="A",H797,IF(Parameter!$E$30="MAX-Bestand",IF(CI797=1,CJ797,IF(LEFT(Cockpit!$C$5,1)="B",AM797,MAX(AM797,H797))),ROUNDUP(AK797,0)))</f>
        <v>100</v>
      </c>
      <c r="AH797" s="62" t="n">
        <f aca="false">IF(CA797=1,0,ROUNDUP(AG797/BZ797,0))</f>
        <v>1</v>
      </c>
      <c r="AI797" s="64" t="n">
        <f aca="false">IF(CR797&gt;0,CR797*MAX(1,AG797/X797),IF(CA797=1,IF(AG797&lt;=0,0,CE797*MAX(1,IF(H797&gt;0,AG797/H797,1))),IF(R797&gt;0,AH797/R797,0))/MAX(0.1,N(Parameter!$M$21)))</f>
        <v>0.00961538461538462</v>
      </c>
      <c r="AJ797" s="62" t="n">
        <f aca="false">AI797*CC797</f>
        <v>1.49038461538462</v>
      </c>
      <c r="AK797" s="63" t="n">
        <f aca="false">IF(LEFT(Cockpit!$C$5,1)="A",H797,IF(CI797=1,(CL797+CJ797)/2,IF(LEFT(Cockpit!$C$5,1)="B",(CL797+AM797)/2,MAX((CL797+AM797)/2,H797))))</f>
        <v>100</v>
      </c>
      <c r="AL797" s="62" t="n">
        <f aca="false">AK797*G797</f>
        <v>126</v>
      </c>
      <c r="AM797" s="62" t="n">
        <f aca="false">ROUNDUP(CL797+MAX(CM797,2*(J797/IF(CH797&gt;0,CH797,MAX(0.1,N(Cockpit!$C$6)))-CL797)),0)</f>
        <v>1</v>
      </c>
      <c r="AN797" s="63" t="n">
        <f aca="false">IF(AJ797&gt;0,J797/AJ797,-1)</f>
        <v>0</v>
      </c>
      <c r="AO797" s="63" t="n">
        <f aca="false">IF(AND(OR(CG797="L1",CG797="L23",CG797="LIFT"),AJ797&gt;0),SUMIFS($AJ$7:$AJ$1843,$CG$7:$CG$1843,CG797,$AN$7:$AN$1843,"&gt;"&amp;AN797)+SUMIFS($AJ$7:$AJ$1843,$CG$7:$CG$1843,CG797,$AN$7:$AN$1843,AN797,$BX$7:$BX$1843,"&lt;="&amp;BX797),"")</f>
        <v>28764.2652780365</v>
      </c>
      <c r="AP797" s="70" t="n">
        <f aca="false">IF(AO797="",0,MAX(0,MIN(1,(IF(CG797="L1",Parameter!$H$5,IF(CG797="L23",Parameter!$H$6+Parameter!$H$7,Parameter!$H$5+Parameter!$H$6+Parameter!$H$7))-(AO797-AJ797))/AJ797)))</f>
        <v>1</v>
      </c>
      <c r="AQ797" s="62" t="n">
        <f aca="false">IF(LEFT(Cockpit!$I$5,1)="A",H797,IF(Parameter!$E$30="MAX-Bestand",IF(CI797=1,CJ797,IF(LEFT(Cockpit!$I$5,1)="B",AW797,MAX(AW797,H797))),ROUNDUP(AU797,0)))</f>
        <v>100</v>
      </c>
      <c r="AR797" s="62" t="n">
        <f aca="false">IF(CA797=1,0,ROUNDUP(AQ797/BZ797,0))</f>
        <v>1</v>
      </c>
      <c r="AS797" s="64" t="n">
        <f aca="false">IF(CR797&gt;0,CR797*MAX(1,AQ797/X797),IF(CA797=1,IF(AQ797&lt;=0,0,CE797*MAX(1,IF(H797&gt;0,AQ797/H797,1))),IF(R797&gt;0,AR797/R797,0))/MAX(0.1,N(Parameter!$M$21)))</f>
        <v>0.00961538461538462</v>
      </c>
      <c r="AT797" s="62" t="n">
        <f aca="false">AS797*CC797</f>
        <v>1.49038461538462</v>
      </c>
      <c r="AU797" s="63" t="n">
        <f aca="false">IF(LEFT(Cockpit!$I$5,1)="A",H797,IF(CI797=1,(CL797+CJ797)/2,IF(LEFT(Cockpit!$I$5,1)="B",(CL797+AW797)/2,MAX((CL797+AW797)/2,H797))))</f>
        <v>100</v>
      </c>
      <c r="AV797" s="62" t="n">
        <f aca="false">AU797*G797</f>
        <v>126</v>
      </c>
      <c r="AW797" s="62" t="n">
        <f aca="false">ROUNDUP(CL797+MAX(CM797,2*(J797/IF(CH797&gt;0,CH797,MAX(0.1,N(Cockpit!$I$6)))-CL797)),0)</f>
        <v>1</v>
      </c>
      <c r="AX797" s="63" t="n">
        <f aca="false">IF(AT797&gt;0,J797/AT797,-1)</f>
        <v>0</v>
      </c>
      <c r="AY797" s="63" t="n">
        <f aca="false">IF(AND(OR(CG797="L1",CG797="L23",CG797="LIFT"),AT797&gt;0),SUMIFS($AT$7:$AT$1843,$CG$7:$CG$1843,CG797,$AX$7:$AX$1843,"&gt;"&amp;AX797)+SUMIFS($AT$7:$AT$1843,$CG$7:$CG$1843,CG797,$AX$7:$AX$1843,AX797,$BX$7:$BX$1843,"&lt;="&amp;BX797),"")</f>
        <v>34369.0485347985</v>
      </c>
      <c r="AZ797" s="70" t="n">
        <f aca="false">IF(AY797="",0,MAX(0,MIN(1,(IF(CG797="L1",Parameter!$H$5,IF(CG797="L23",Parameter!$H$6+Parameter!$H$7,Parameter!$H$5+Parameter!$H$6+Parameter!$H$7))-(AY797-AT797))/AT797)))</f>
        <v>1</v>
      </c>
      <c r="BA797" s="62" t="n">
        <f aca="false">IF(LEFT(Cockpit!$O$5,1)="A",H797,IF(Parameter!$E$30="MAX-Bestand",IF(CI797=1,CJ797,IF(LEFT(Cockpit!$O$5,1)="B",BG797,MAX(BG797,H797))),ROUNDUP(BE797,0)))</f>
        <v>1</v>
      </c>
      <c r="BB797" s="62" t="n">
        <f aca="false">IF(CA797=1,0,ROUNDUP(BA797/BZ797,0))</f>
        <v>1</v>
      </c>
      <c r="BC797" s="64" t="n">
        <f aca="false">IF(CR797&gt;0,CR797*MAX(1,BA797/X797),IF(CA797=1,IF(BA797&lt;=0,0,CE797*MAX(1,IF(H797&gt;0,BA797/H797,1))),IF(R797&gt;0,BB797/R797,0))/MAX(0.1,N(Parameter!$M$21)))</f>
        <v>0.00961538461538462</v>
      </c>
      <c r="BD797" s="62" t="n">
        <f aca="false">BC797*CC797</f>
        <v>1.49038461538462</v>
      </c>
      <c r="BE797" s="63" t="n">
        <f aca="false">IF(LEFT(Cockpit!$O$5,1)="A",H797,IF(CI797=1,(CL797+CJ797)/2,IF(LEFT(Cockpit!$O$5,1)="B",(CL797+BG797)/2,MAX((CL797+BG797)/2,H797))))</f>
        <v>0.5</v>
      </c>
      <c r="BF797" s="62" t="n">
        <f aca="false">BE797*G797</f>
        <v>0.63</v>
      </c>
      <c r="BG797" s="62" t="n">
        <f aca="false">ROUNDUP(CL797+MAX(CM797,2*(J797/IF(CH797&gt;0,CH797,MAX(0.1,N(Cockpit!$O$6)))-CL797)),0)</f>
        <v>1</v>
      </c>
      <c r="BH797" s="63" t="n">
        <f aca="false">IF(BD797&gt;0,J797/BD797,-1)</f>
        <v>0</v>
      </c>
      <c r="BI797" s="63" t="n">
        <f aca="false">IF(AND(OR(CG797="L1",CG797="L23",CG797="LIFT"),BD797&gt;0),SUMIFS($BD$7:$BD$1843,$CG$7:$CG$1843,CG797,$BH$7:$BH$1843,"&gt;"&amp;BH797)+SUMIFS($BD$7:$BD$1843,$CG$7:$CG$1843,CG797,$BH$7:$BH$1843,BH797,$BX$7:$BX$1843,"&lt;="&amp;BX797),"")</f>
        <v>28412.9183817595</v>
      </c>
      <c r="BJ797" s="70" t="n">
        <f aca="false">IF(BI797="",0,MAX(0,MIN(1,(IF(CG797="L1",Parameter!$H$5,IF(CG797="L23",Parameter!$H$6+Parameter!$H$7,Parameter!$H$5+Parameter!$H$6+Parameter!$H$7))-(BI797-BD797))/BD797)))</f>
        <v>1</v>
      </c>
      <c r="BK797" s="60" t="str">
        <f aca="false">IF(AJ797&lt;=0,"",IF(CG797="Aussen","Aussenlager",IF(CG797="-","Nicht im Lift",IF(AP797&gt;=1,"Lift",IF(AP797&lt;=0,"Aussenlager","teilweise")))))</f>
        <v>Lift</v>
      </c>
      <c r="BL797" s="60" t="str">
        <f aca="false">IF(AT797&lt;=0,"",IF(CG797="Aussen","Aussenlager",IF(CG797="-","Nicht im Lift",IF(AZ797&gt;=1,"Lift",IF(AZ797&lt;=0,"Aussenlager","teilweise")))))</f>
        <v>Lift</v>
      </c>
      <c r="BM797" s="60" t="str">
        <f aca="false">IF(BD797&lt;=0,"",IF(CG797="Aussen","Aussenlager",IF(CG797="-","Nicht im Lift",IF(BJ797&gt;=1,"Lift",IF(BJ797&lt;=0,"Aussenlager","teilweise")))))</f>
        <v>Lift</v>
      </c>
      <c r="BN797" s="60" t="str">
        <f aca="false">IF(A797="","",IF(BW797=1,"Neu; ","")&amp;IF(AND(BW797=0,BR797&lt;0),"negativer Bestand (Export "&amp;BR797&amp;"); ","")&amp;IF(J797&lt;=0,"Kein Verbrauch; ","")&amp;IF(CR797&gt;0,"Lift "&amp;W797&amp;" lt. Liftbericht (Fach "&amp;X797&amp;" Stk); ",IF(CB797=1,"Gebinde geschätzt ("&amp;T797&amp;"); ",IF(CA797=1,"Lose – Tablare geschätzt; ","")))&amp;IF(H797&gt;AW797,"Überbestand "&amp;ROUND(H797-AW797,0)&amp;" Stk / CHF "&amp;ROUND((H797-AW797)*G797,0)&amp;"; ","")&amp;IF(AND(CI797=1,CJ797&lt;CK797),"MAX &lt; MB+LG; ","")&amp;IF(AND(CQ797&gt;0,CP797*10&gt;CQ797),"zu hoch für Tablar; ","")&amp;IF(AND(BW797=0,OR(CI797=1,AB797&lt;&gt;"",U797&lt;&gt;"",V797&lt;&gt;"",AC797&lt;&gt;"")),"manuell übersteuert; ","")&amp;IF(AND(CA797=0,R797=0),"Gebinde unbekannt / Stellmass fehlt; ","")&amp;IF(AND(CA797=0,N(V797)&lt;=0,N(Q797)&lt;=0),"Menge pro Gebinde fehlt (Ist = 1 Gebinde); ","")&amp;BV797)</f>
        <v>negativer Bestand (Export -12); Kein Verbrauch; Überbestand 99 Stk / CHF 125; nicht im KTL vorhanden</v>
      </c>
      <c r="BO797" s="60"/>
      <c r="BP797" s="60"/>
      <c r="BQ797" s="67"/>
      <c r="BR797" s="62" t="n">
        <v>-12</v>
      </c>
      <c r="BS797" s="62" t="n">
        <v>112</v>
      </c>
      <c r="BT797" s="61" t="n">
        <v>-3.91999999999999</v>
      </c>
      <c r="BU797" s="62" t="n">
        <v>0</v>
      </c>
      <c r="BV797" s="60" t="s">
        <v>272</v>
      </c>
      <c r="BW797" s="65" t="n">
        <v>0</v>
      </c>
      <c r="BX797" s="65" t="n">
        <v>797</v>
      </c>
      <c r="BY797" s="60" t="str">
        <f aca="false">IF(U797&lt;&gt;"",UPPER(TRIM(U797)),IF(CB797=1,UPPER(VLOOKUP(T797,Parameter!$I$27:$K$29,2,0)),IF(P797="","LOSE",P797)))</f>
        <v>S32</v>
      </c>
      <c r="BZ797" s="62" t="n">
        <f aca="false">IF(BY797="LOSE",1,IF(N(V797)&gt;0,V797,IF(CB797=1,MAX(1,N(VLOOKUP(T797,Parameter!$I$27:$K$29,3,0)),H797,N(N797)),IF(N(Q797)&gt;0,Q797,MAX(1,H797)))))</f>
        <v>100</v>
      </c>
      <c r="CA797" s="65" t="n">
        <f aca="false">IF(BY797="LOSE",1,0)</f>
        <v>0</v>
      </c>
      <c r="CB797" s="65" t="n">
        <f aca="false">IF(AND(U797="",OR(P797="",P797="LOSE"),T797&lt;&gt;"",N(S797)&lt;=0,ISNUMBER(MATCH(T797,Parameter!$I$27:$I$29,0))),1,0)</f>
        <v>0</v>
      </c>
      <c r="CC797" s="65" t="n">
        <f aca="false">IF(CR797&gt;0,INDEX(Parameter!$H$5:$H$7,W797)/INDEX(Parameter!$E$5:$E$7,W797),IF(AND(CA797=0,N(IFERROR(VLOOKUP(BY797,'Gebinde-Kategorie'!$A$5:$N$45,14,0),0))&gt;0),VLOOKUP(BY797,'Gebinde-Kategorie'!$A$5:$N$45,14,0)*10+Parameter!$M$23,Parameter!$M$24))</f>
        <v>155</v>
      </c>
      <c r="CD797" s="60" t="str">
        <f aca="false">IF(AND(Parameter!$B$19="Ja",E797&lt;&gt;"",ISNUMBER(MATCH(E797,Parameter!$I$35:$I$52,0))),VLOOKUP(E797,Parameter!$I$35:$J$52,2,0),IFERROR(VLOOKUP(D797,Parameter!$A$35:$C$64,2,0),"Nein"))</f>
        <v>2+3</v>
      </c>
      <c r="CE797" s="64" t="n">
        <f aca="false">IF(CA797=0,0,IF(N(S797)&gt;0,S797,IFERROR(VLOOKUP(D797,Parameter!$A$35:$C$64,3,0)+0,0)))</f>
        <v>0</v>
      </c>
      <c r="CF797" s="60" t="n">
        <f aca="false">IF(AB797&lt;&gt;"",AB797,AA797)</f>
        <v>2</v>
      </c>
      <c r="CG797" s="60" t="str">
        <f aca="false">IF(OR(CF797=1,CF797=2,CF797=3),IF(Parameter!$E$27="Ja","LIFT",IF(CF797=1,"L1","L23")),IF(CF797="Aussen","Aussen","-"))</f>
        <v>LIFT</v>
      </c>
      <c r="CH797" s="71" t="n">
        <f aca="false">IF(N(AC797)&gt;0,AC797,0)</f>
        <v>0</v>
      </c>
      <c r="CI797" s="65" t="n">
        <f aca="false">IF(ISNUMBER(AF797),1,0)</f>
        <v>0</v>
      </c>
      <c r="CJ797" s="62" t="n">
        <f aca="false">N(AF797)</f>
        <v>0</v>
      </c>
      <c r="CK797" s="62" t="n">
        <f aca="false">N(M797)+N(N797)</f>
        <v>1</v>
      </c>
      <c r="CL797" s="62" t="n">
        <f aca="false">N(M797)</f>
        <v>0</v>
      </c>
      <c r="CM797" s="62" t="n">
        <f aca="false">N(N797)</f>
        <v>1</v>
      </c>
      <c r="CN797" s="62" t="n">
        <f aca="false">ROUNDUP(H797/BZ797,0)</f>
        <v>1</v>
      </c>
      <c r="CO797" s="62" t="n">
        <f aca="false">ROUNDUP(CJ797/BZ797,0)</f>
        <v>0</v>
      </c>
      <c r="CP797" s="65" t="n">
        <f aca="false">IF(CA797=1,0,IFERROR(VLOOKUP(BY797,'Gebinde-Kategorie'!$A$5:$N$45,5,0)+0,0))</f>
        <v>8</v>
      </c>
      <c r="CQ797" s="65" t="n">
        <f aca="false">IFERROR(IF(OR(CF797=1,CF797=2,CF797=3),N(INDEX(Parameter!$I$5:$I$7,CF797)),0),0)</f>
        <v>0</v>
      </c>
      <c r="CR797" s="64" t="n">
        <f aca="false">IF(AND(Parameter!$B$21="Ja",ISNUMBER(W797),N(X797)&gt;0),IFERROR(N(INDEX(Parameter!$L$5:$L$7,W797))*INDEX(Parameter!$E$5:$E$7,W797)*X797/SUMIFS($X$7:$X$1843,$W$7:$W$1843,W797),0),0)</f>
        <v>0</v>
      </c>
      <c r="CS797" s="62" t="n">
        <f aca="false">IF(AND(OR(CG797="L1",CG797="L23",CG797="LIFT"),H797&gt;0),CC797*IF(CR797&gt;0,CR797*MAX(1,H797/X797),IF(CA797=1,CE797,IF(R797&gt;0,CN797/R797,0))/MAX(0.1,N(Parameter!$M$21))),"")</f>
        <v>1.49038461538462</v>
      </c>
      <c r="CT797" s="64" t="n">
        <f aca="false">IF(CS797="","",J797/H797)</f>
        <v>0</v>
      </c>
      <c r="CU797" s="62" t="n">
        <f aca="false">IF(CS797="","",H797*G797)</f>
        <v>126</v>
      </c>
      <c r="CV797" s="63" t="n">
        <f aca="false">IF(CS797="","",(CL797+ROUNDUP(CL797+MAX(CM797,2*(J797/MAX(0.1,N(Einkauf!$C$6))-CL797)),0))/2)</f>
        <v>0.5</v>
      </c>
      <c r="CW797" s="62" t="n">
        <f aca="false">IF(CS797="","",MAX(0,H797-CV797)*G797)</f>
        <v>125.37</v>
      </c>
      <c r="CX797" s="62" t="n">
        <f aca="false">IF(CS797="","",CS797*MAX(0,1-CV797/H797))</f>
        <v>1.48293269230769</v>
      </c>
      <c r="CY797" s="64" t="n">
        <f aca="false">IF(CS797="","",PERCENTRANK($CS$7:$CS$1843,CS797)+PERCENTRANK($CU$7:$CU$1843,CU797)+1-PERCENTRANK($CT$7:$CT$1843,CT797))</f>
        <v>1.383</v>
      </c>
      <c r="CZ797" s="72" t="n">
        <f aca="false">IF(CS797="","",CHOOSE(MATCH(Einkauf!$C$5,Parameter!$G$23:$G$27,0),CY797,CS797,CU797,-CT797,CW797)+ROW()/1000000000)</f>
        <v>1.383000797</v>
      </c>
    </row>
    <row r="798" customFormat="false" ht="15" hidden="false" customHeight="false" outlineLevel="0" collapsed="false">
      <c r="A798" s="60" t="s">
        <v>1593</v>
      </c>
      <c r="B798" s="60" t="s">
        <v>1594</v>
      </c>
      <c r="C798" s="60" t="s">
        <v>206</v>
      </c>
      <c r="D798" s="60" t="s">
        <v>226</v>
      </c>
      <c r="E798" s="60" t="s">
        <v>227</v>
      </c>
      <c r="F798" s="60" t="s">
        <v>260</v>
      </c>
      <c r="G798" s="61" t="n">
        <v>0.05</v>
      </c>
      <c r="H798" s="62" t="n">
        <f aca="false">MAX(0,IF(AND(Parameter!$B$21="Ja",ISNUMBER(Y798)),Y798,IF(Parameter!$B$20="Jahresanfang 2025 + Export",BS798+BR798,BR798)))</f>
        <v>1588</v>
      </c>
      <c r="I798" s="62" t="n">
        <f aca="false">H798*G798</f>
        <v>79.4</v>
      </c>
      <c r="J798" s="62" t="n">
        <f aca="false">BU798*Parameter!$B$18</f>
        <v>0</v>
      </c>
      <c r="K798" s="63" t="n">
        <v>1665</v>
      </c>
      <c r="L798" s="64" t="n">
        <v>0</v>
      </c>
      <c r="M798" s="62" t="n">
        <v>0</v>
      </c>
      <c r="N798" s="62" t="n">
        <v>1</v>
      </c>
      <c r="O798" s="65" t="n">
        <v>28</v>
      </c>
      <c r="P798" s="60" t="s">
        <v>468</v>
      </c>
      <c r="Q798" s="62" t="n">
        <v>1786</v>
      </c>
      <c r="R798" s="65" t="n">
        <f aca="false">IF(CA798=1,0,IFERROR(VLOOKUP(BY798,'Gebinde-Kategorie'!$A$5:$N$45,13,0)+0,0))</f>
        <v>140</v>
      </c>
      <c r="S798" s="66"/>
      <c r="T798" s="67"/>
      <c r="U798" s="67"/>
      <c r="V798" s="67"/>
      <c r="W798" s="60"/>
      <c r="X798" s="62"/>
      <c r="Y798" s="62"/>
      <c r="Z798" s="60" t="n">
        <v>2</v>
      </c>
      <c r="AA798" s="60" t="n">
        <f aca="false">IF(A798="","",IF(AND(Parameter!$B$21="Ja",ISNUMBER(W798)),W798,IF(AND(Parameter!$E$27="Ja",ISNUMBER(Z798),CD798&lt;&gt;"Nein"),Z798,IF(CD798="2+3",IF(ISNUMBER(SEARCH("grosser Artikel",BV798)),2,IFERROR(VLOOKUP(BY798,Parameter!$F$35:$G$64,2,0),2)),IF(OR(CD798="Nein",CD798=""),"-",CD798)))))</f>
        <v>2</v>
      </c>
      <c r="AB798" s="67"/>
      <c r="AC798" s="68"/>
      <c r="AD798" s="62" t="n">
        <f aca="false">AW798</f>
        <v>1</v>
      </c>
      <c r="AE798" s="62" t="n">
        <f aca="false">MAX(AW798,H798)</f>
        <v>1588</v>
      </c>
      <c r="AF798" s="69"/>
      <c r="AG798" s="62" t="n">
        <f aca="false">IF(LEFT(Cockpit!$C$5,1)="A",H798,IF(Parameter!$E$30="MAX-Bestand",IF(CI798=1,CJ798,IF(LEFT(Cockpit!$C$5,1)="B",AM798,MAX(AM798,H798))),ROUNDUP(AK798,0)))</f>
        <v>1588</v>
      </c>
      <c r="AH798" s="62" t="n">
        <f aca="false">IF(CA798=1,0,ROUNDUP(AG798/BZ798,0))</f>
        <v>1</v>
      </c>
      <c r="AI798" s="64" t="n">
        <f aca="false">IF(CR798&gt;0,CR798*MAX(1,AG798/X798),IF(CA798=1,IF(AG798&lt;=0,0,CE798*MAX(1,IF(H798&gt;0,AG798/H798,1))),IF(R798&gt;0,AH798/R798,0))/MAX(0.1,N(Parameter!$M$21)))</f>
        <v>0.00714285714285714</v>
      </c>
      <c r="AJ798" s="62" t="n">
        <f aca="false">AI798*CC798</f>
        <v>1.10714285714286</v>
      </c>
      <c r="AK798" s="63" t="n">
        <f aca="false">IF(LEFT(Cockpit!$C$5,1)="A",H798,IF(CI798=1,(CL798+CJ798)/2,IF(LEFT(Cockpit!$C$5,1)="B",(CL798+AM798)/2,MAX((CL798+AM798)/2,H798))))</f>
        <v>1588</v>
      </c>
      <c r="AL798" s="62" t="n">
        <f aca="false">AK798*G798</f>
        <v>79.4</v>
      </c>
      <c r="AM798" s="62" t="n">
        <f aca="false">ROUNDUP(CL798+MAX(CM798,2*(J798/IF(CH798&gt;0,CH798,MAX(0.1,N(Cockpit!$C$6)))-CL798)),0)</f>
        <v>1</v>
      </c>
      <c r="AN798" s="63" t="n">
        <f aca="false">IF(AJ798&gt;0,J798/AJ798,-1)</f>
        <v>0</v>
      </c>
      <c r="AO798" s="63" t="n">
        <f aca="false">IF(AND(OR(CG798="L1",CG798="L23",CG798="LIFT"),AJ798&gt;0),SUMIFS($AJ$7:$AJ$1843,$CG$7:$CG$1843,CG798,$AN$7:$AN$1843,"&gt;"&amp;AN798)+SUMIFS($AJ$7:$AJ$1843,$CG$7:$CG$1843,CG798,$AN$7:$AN$1843,AN798,$BX$7:$BX$1843,"&lt;="&amp;BX798),"")</f>
        <v>28765.3724208936</v>
      </c>
      <c r="AP798" s="70" t="n">
        <f aca="false">IF(AO798="",0,MAX(0,MIN(1,(IF(CG798="L1",Parameter!$H$5,IF(CG798="L23",Parameter!$H$6+Parameter!$H$7,Parameter!$H$5+Parameter!$H$6+Parameter!$H$7))-(AO798-AJ798))/AJ798)))</f>
        <v>1</v>
      </c>
      <c r="AQ798" s="62" t="n">
        <f aca="false">IF(LEFT(Cockpit!$I$5,1)="A",H798,IF(Parameter!$E$30="MAX-Bestand",IF(CI798=1,CJ798,IF(LEFT(Cockpit!$I$5,1)="B",AW798,MAX(AW798,H798))),ROUNDUP(AU798,0)))</f>
        <v>1588</v>
      </c>
      <c r="AR798" s="62" t="n">
        <f aca="false">IF(CA798=1,0,ROUNDUP(AQ798/BZ798,0))</f>
        <v>1</v>
      </c>
      <c r="AS798" s="64" t="n">
        <f aca="false">IF(CR798&gt;0,CR798*MAX(1,AQ798/X798),IF(CA798=1,IF(AQ798&lt;=0,0,CE798*MAX(1,IF(H798&gt;0,AQ798/H798,1))),IF(R798&gt;0,AR798/R798,0))/MAX(0.1,N(Parameter!$M$21)))</f>
        <v>0.00714285714285714</v>
      </c>
      <c r="AT798" s="62" t="n">
        <f aca="false">AS798*CC798</f>
        <v>1.10714285714286</v>
      </c>
      <c r="AU798" s="63" t="n">
        <f aca="false">IF(LEFT(Cockpit!$I$5,1)="A",H798,IF(CI798=1,(CL798+CJ798)/2,IF(LEFT(Cockpit!$I$5,1)="B",(CL798+AW798)/2,MAX((CL798+AW798)/2,H798))))</f>
        <v>1588</v>
      </c>
      <c r="AV798" s="62" t="n">
        <f aca="false">AU798*G798</f>
        <v>79.4</v>
      </c>
      <c r="AW798" s="62" t="n">
        <f aca="false">ROUNDUP(CL798+MAX(CM798,2*(J798/IF(CH798&gt;0,CH798,MAX(0.1,N(Cockpit!$I$6)))-CL798)),0)</f>
        <v>1</v>
      </c>
      <c r="AX798" s="63" t="n">
        <f aca="false">IF(AT798&gt;0,J798/AT798,-1)</f>
        <v>0</v>
      </c>
      <c r="AY798" s="63" t="n">
        <f aca="false">IF(AND(OR(CG798="L1",CG798="L23",CG798="LIFT"),AT798&gt;0),SUMIFS($AT$7:$AT$1843,$CG$7:$CG$1843,CG798,$AX$7:$AX$1843,"&gt;"&amp;AX798)+SUMIFS($AT$7:$AT$1843,$CG$7:$CG$1843,CG798,$AX$7:$AX$1843,AX798,$BX$7:$BX$1843,"&lt;="&amp;BX798),"")</f>
        <v>34370.1556776557</v>
      </c>
      <c r="AZ798" s="70" t="n">
        <f aca="false">IF(AY798="",0,MAX(0,MIN(1,(IF(CG798="L1",Parameter!$H$5,IF(CG798="L23",Parameter!$H$6+Parameter!$H$7,Parameter!$H$5+Parameter!$H$6+Parameter!$H$7))-(AY798-AT798))/AT798)))</f>
        <v>1</v>
      </c>
      <c r="BA798" s="62" t="n">
        <f aca="false">IF(LEFT(Cockpit!$O$5,1)="A",H798,IF(Parameter!$E$30="MAX-Bestand",IF(CI798=1,CJ798,IF(LEFT(Cockpit!$O$5,1)="B",BG798,MAX(BG798,H798))),ROUNDUP(BE798,0)))</f>
        <v>1</v>
      </c>
      <c r="BB798" s="62" t="n">
        <f aca="false">IF(CA798=1,0,ROUNDUP(BA798/BZ798,0))</f>
        <v>1</v>
      </c>
      <c r="BC798" s="64" t="n">
        <f aca="false">IF(CR798&gt;0,CR798*MAX(1,BA798/X798),IF(CA798=1,IF(BA798&lt;=0,0,CE798*MAX(1,IF(H798&gt;0,BA798/H798,1))),IF(R798&gt;0,BB798/R798,0))/MAX(0.1,N(Parameter!$M$21)))</f>
        <v>0.00714285714285714</v>
      </c>
      <c r="BD798" s="62" t="n">
        <f aca="false">BC798*CC798</f>
        <v>1.10714285714286</v>
      </c>
      <c r="BE798" s="63" t="n">
        <f aca="false">IF(LEFT(Cockpit!$O$5,1)="A",H798,IF(CI798=1,(CL798+CJ798)/2,IF(LEFT(Cockpit!$O$5,1)="B",(CL798+BG798)/2,MAX((CL798+BG798)/2,H798))))</f>
        <v>0.5</v>
      </c>
      <c r="BF798" s="62" t="n">
        <f aca="false">BE798*G798</f>
        <v>0.025</v>
      </c>
      <c r="BG798" s="62" t="n">
        <f aca="false">ROUNDUP(CL798+MAX(CM798,2*(J798/IF(CH798&gt;0,CH798,MAX(0.1,N(Cockpit!$O$6)))-CL798)),0)</f>
        <v>1</v>
      </c>
      <c r="BH798" s="63" t="n">
        <f aca="false">IF(BD798&gt;0,J798/BD798,-1)</f>
        <v>0</v>
      </c>
      <c r="BI798" s="63" t="n">
        <f aca="false">IF(AND(OR(CG798="L1",CG798="L23",CG798="LIFT"),BD798&gt;0),SUMIFS($BD$7:$BD$1843,$CG$7:$CG$1843,CG798,$BH$7:$BH$1843,"&gt;"&amp;BH798)+SUMIFS($BD$7:$BD$1843,$CG$7:$CG$1843,CG798,$BH$7:$BH$1843,BH798,$BX$7:$BX$1843,"&lt;="&amp;BX798),"")</f>
        <v>28414.0255246166</v>
      </c>
      <c r="BJ798" s="70" t="n">
        <f aca="false">IF(BI798="",0,MAX(0,MIN(1,(IF(CG798="L1",Parameter!$H$5,IF(CG798="L23",Parameter!$H$6+Parameter!$H$7,Parameter!$H$5+Parameter!$H$6+Parameter!$H$7))-(BI798-BD798))/BD798)))</f>
        <v>1</v>
      </c>
      <c r="BK798" s="60" t="str">
        <f aca="false">IF(AJ798&lt;=0,"",IF(CG798="Aussen","Aussenlager",IF(CG798="-","Nicht im Lift",IF(AP798&gt;=1,"Lift",IF(AP798&lt;=0,"Aussenlager","teilweise")))))</f>
        <v>Lift</v>
      </c>
      <c r="BL798" s="60" t="str">
        <f aca="false">IF(AT798&lt;=0,"",IF(CG798="Aussen","Aussenlager",IF(CG798="-","Nicht im Lift",IF(AZ798&gt;=1,"Lift",IF(AZ798&lt;=0,"Aussenlager","teilweise")))))</f>
        <v>Lift</v>
      </c>
      <c r="BM798" s="60" t="str">
        <f aca="false">IF(BD798&lt;=0,"",IF(CG798="Aussen","Aussenlager",IF(CG798="-","Nicht im Lift",IF(BJ798&gt;=1,"Lift",IF(BJ798&lt;=0,"Aussenlager","teilweise")))))</f>
        <v>Lift</v>
      </c>
      <c r="BN798" s="60" t="str">
        <f aca="false">IF(A798="","",IF(BW798=1,"Neu; ","")&amp;IF(AND(BW798=0,BR798&lt;0),"negativer Bestand (Export "&amp;BR798&amp;"); ","")&amp;IF(J798&lt;=0,"Kein Verbrauch; ","")&amp;IF(CR798&gt;0,"Lift "&amp;W798&amp;" lt. Liftbericht (Fach "&amp;X798&amp;" Stk); ",IF(CB798=1,"Gebinde geschätzt ("&amp;T798&amp;"); ",IF(CA798=1,"Lose – Tablare geschätzt; ","")))&amp;IF(H798&gt;AW798,"Überbestand "&amp;ROUND(H798-AW798,0)&amp;" Stk / CHF "&amp;ROUND((H798-AW798)*G798,0)&amp;"; ","")&amp;IF(AND(CI798=1,CJ798&lt;CK798),"MAX &lt; MB+LG; ","")&amp;IF(AND(CQ798&gt;0,CP798*10&gt;CQ798),"zu hoch für Tablar; ","")&amp;IF(AND(BW798=0,OR(CI798=1,AB798&lt;&gt;"",U798&lt;&gt;"",V798&lt;&gt;"",AC798&lt;&gt;"")),"manuell übersteuert; ","")&amp;IF(AND(CA798=0,R798=0),"Gebinde unbekannt / Stellmass fehlt; ","")&amp;IF(AND(CA798=0,N(V798)&lt;=0,N(Q798)&lt;=0),"Menge pro Gebinde fehlt (Ist = 1 Gebinde); ","")&amp;BV798)</f>
        <v>negativer Bestand (Export -83); Kein Verbrauch; Überbestand 1587 Stk / CHF 79; Handlager</v>
      </c>
      <c r="BO798" s="60"/>
      <c r="BP798" s="60"/>
      <c r="BQ798" s="67"/>
      <c r="BR798" s="62" t="n">
        <v>-83</v>
      </c>
      <c r="BS798" s="62" t="n">
        <v>1671</v>
      </c>
      <c r="BT798" s="61" t="n">
        <v>-4.15</v>
      </c>
      <c r="BU798" s="62" t="n">
        <v>0</v>
      </c>
      <c r="BV798" s="60" t="s">
        <v>937</v>
      </c>
      <c r="BW798" s="65" t="n">
        <v>0</v>
      </c>
      <c r="BX798" s="65" t="n">
        <v>798</v>
      </c>
      <c r="BY798" s="60" t="str">
        <f aca="false">IF(U798&lt;&gt;"",UPPER(TRIM(U798)),IF(CB798=1,UPPER(VLOOKUP(T798,Parameter!$I$27:$K$29,2,0)),IF(P798="","LOSE",P798)))</f>
        <v>S22</v>
      </c>
      <c r="BZ798" s="62" t="n">
        <f aca="false">IF(BY798="LOSE",1,IF(N(V798)&gt;0,V798,IF(CB798=1,MAX(1,N(VLOOKUP(T798,Parameter!$I$27:$K$29,3,0)),H798,N(N798)),IF(N(Q798)&gt;0,Q798,MAX(1,H798)))))</f>
        <v>1786</v>
      </c>
      <c r="CA798" s="65" t="n">
        <f aca="false">IF(BY798="LOSE",1,0)</f>
        <v>0</v>
      </c>
      <c r="CB798" s="65" t="n">
        <f aca="false">IF(AND(U798="",OR(P798="",P798="LOSE"),T798&lt;&gt;"",N(S798)&lt;=0,ISNUMBER(MATCH(T798,Parameter!$I$27:$I$29,0))),1,0)</f>
        <v>0</v>
      </c>
      <c r="CC798" s="65" t="n">
        <f aca="false">IF(CR798&gt;0,INDEX(Parameter!$H$5:$H$7,W798)/INDEX(Parameter!$E$5:$E$7,W798),IF(AND(CA798=0,N(IFERROR(VLOOKUP(BY798,'Gebinde-Kategorie'!$A$5:$N$45,14,0),0))&gt;0),VLOOKUP(BY798,'Gebinde-Kategorie'!$A$5:$N$45,14,0)*10+Parameter!$M$23,Parameter!$M$24))</f>
        <v>155</v>
      </c>
      <c r="CD798" s="60" t="str">
        <f aca="false">IF(AND(Parameter!$B$19="Ja",E798&lt;&gt;"",ISNUMBER(MATCH(E798,Parameter!$I$35:$I$52,0))),VLOOKUP(E798,Parameter!$I$35:$J$52,2,0),IFERROR(VLOOKUP(D798,Parameter!$A$35:$C$64,2,0),"Nein"))</f>
        <v>2+3</v>
      </c>
      <c r="CE798" s="64" t="n">
        <f aca="false">IF(CA798=0,0,IF(N(S798)&gt;0,S798,IFERROR(VLOOKUP(D798,Parameter!$A$35:$C$64,3,0)+0,0)))</f>
        <v>0</v>
      </c>
      <c r="CF798" s="60" t="n">
        <f aca="false">IF(AB798&lt;&gt;"",AB798,AA798)</f>
        <v>2</v>
      </c>
      <c r="CG798" s="60" t="str">
        <f aca="false">IF(OR(CF798=1,CF798=2,CF798=3),IF(Parameter!$E$27="Ja","LIFT",IF(CF798=1,"L1","L23")),IF(CF798="Aussen","Aussen","-"))</f>
        <v>LIFT</v>
      </c>
      <c r="CH798" s="71" t="n">
        <f aca="false">IF(N(AC798)&gt;0,AC798,0)</f>
        <v>0</v>
      </c>
      <c r="CI798" s="65" t="n">
        <f aca="false">IF(ISNUMBER(AF798),1,0)</f>
        <v>0</v>
      </c>
      <c r="CJ798" s="62" t="n">
        <f aca="false">N(AF798)</f>
        <v>0</v>
      </c>
      <c r="CK798" s="62" t="n">
        <f aca="false">N(M798)+N(N798)</f>
        <v>1</v>
      </c>
      <c r="CL798" s="62" t="n">
        <f aca="false">N(M798)</f>
        <v>0</v>
      </c>
      <c r="CM798" s="62" t="n">
        <f aca="false">N(N798)</f>
        <v>1</v>
      </c>
      <c r="CN798" s="62" t="n">
        <f aca="false">ROUNDUP(H798/BZ798,0)</f>
        <v>1</v>
      </c>
      <c r="CO798" s="62" t="n">
        <f aca="false">ROUNDUP(CJ798/BZ798,0)</f>
        <v>0</v>
      </c>
      <c r="CP798" s="65" t="n">
        <f aca="false">IF(CA798=1,0,IFERROR(VLOOKUP(BY798,'Gebinde-Kategorie'!$A$5:$N$45,5,0)+0,0))</f>
        <v>8</v>
      </c>
      <c r="CQ798" s="65" t="n">
        <f aca="false">IFERROR(IF(OR(CF798=1,CF798=2,CF798=3),N(INDEX(Parameter!$I$5:$I$7,CF798)),0),0)</f>
        <v>0</v>
      </c>
      <c r="CR798" s="64" t="n">
        <f aca="false">IF(AND(Parameter!$B$21="Ja",ISNUMBER(W798),N(X798)&gt;0),IFERROR(N(INDEX(Parameter!$L$5:$L$7,W798))*INDEX(Parameter!$E$5:$E$7,W798)*X798/SUMIFS($X$7:$X$1843,$W$7:$W$1843,W798),0),0)</f>
        <v>0</v>
      </c>
      <c r="CS798" s="62" t="n">
        <f aca="false">IF(AND(OR(CG798="L1",CG798="L23",CG798="LIFT"),H798&gt;0),CC798*IF(CR798&gt;0,CR798*MAX(1,H798/X798),IF(CA798=1,CE798,IF(R798&gt;0,CN798/R798,0))/MAX(0.1,N(Parameter!$M$21))),"")</f>
        <v>1.10714285714286</v>
      </c>
      <c r="CT798" s="64" t="n">
        <f aca="false">IF(CS798="","",J798/H798)</f>
        <v>0</v>
      </c>
      <c r="CU798" s="62" t="n">
        <f aca="false">IF(CS798="","",H798*G798)</f>
        <v>79.4</v>
      </c>
      <c r="CV798" s="63" t="n">
        <f aca="false">IF(CS798="","",(CL798+ROUNDUP(CL798+MAX(CM798,2*(J798/MAX(0.1,N(Einkauf!$C$6))-CL798)),0))/2)</f>
        <v>0.5</v>
      </c>
      <c r="CW798" s="62" t="n">
        <f aca="false">IF(CS798="","",MAX(0,H798-CV798)*G798)</f>
        <v>79.375</v>
      </c>
      <c r="CX798" s="62" t="n">
        <f aca="false">IF(CS798="","",CS798*MAX(0,1-CV798/H798))</f>
        <v>1.10679426052537</v>
      </c>
      <c r="CY798" s="64" t="n">
        <f aca="false">IF(CS798="","",PERCENTRANK($CS$7:$CS$1843,CS798)+PERCENTRANK($CU$7:$CU$1843,CU798)+1-PERCENTRANK($CT$7:$CT$1843,CT798))</f>
        <v>1.2524</v>
      </c>
      <c r="CZ798" s="72" t="n">
        <f aca="false">IF(CS798="","",CHOOSE(MATCH(Einkauf!$C$5,Parameter!$G$23:$G$27,0),CY798,CS798,CU798,-CT798,CW798)+ROW()/1000000000)</f>
        <v>1.252400798</v>
      </c>
    </row>
    <row r="799" customFormat="false" ht="15" hidden="false" customHeight="false" outlineLevel="0" collapsed="false">
      <c r="A799" s="60" t="s">
        <v>1595</v>
      </c>
      <c r="B799" s="60" t="s">
        <v>1596</v>
      </c>
      <c r="C799" s="60" t="s">
        <v>206</v>
      </c>
      <c r="D799" s="60" t="s">
        <v>215</v>
      </c>
      <c r="E799" s="60" t="s">
        <v>507</v>
      </c>
      <c r="F799" s="60" t="s">
        <v>260</v>
      </c>
      <c r="G799" s="61" t="n">
        <v>5.23</v>
      </c>
      <c r="H799" s="62" t="n">
        <f aca="false">MAX(0,IF(AND(Parameter!$B$21="Ja",ISNUMBER(Y799)),Y799,IF(Parameter!$B$20="Jahresanfang 2025 + Export",BS799+BR799,BR799)))</f>
        <v>48</v>
      </c>
      <c r="I799" s="62" t="n">
        <f aca="false">H799*G799</f>
        <v>251.04</v>
      </c>
      <c r="J799" s="62" t="n">
        <f aca="false">BU799*Parameter!$B$18</f>
        <v>384</v>
      </c>
      <c r="K799" s="63" t="n">
        <v>44</v>
      </c>
      <c r="L799" s="64" t="n">
        <v>8.72727272727273</v>
      </c>
      <c r="M799" s="62" t="n">
        <v>22</v>
      </c>
      <c r="N799" s="62" t="n">
        <v>60</v>
      </c>
      <c r="O799" s="65" t="n">
        <v>21</v>
      </c>
      <c r="P799" s="60" t="s">
        <v>210</v>
      </c>
      <c r="Q799" s="62"/>
      <c r="R799" s="65" t="n">
        <f aca="false">IF(CA799=1,0,IFERROR(VLOOKUP(BY799,'Gebinde-Kategorie'!$A$5:$N$45,13,0)+0,0))</f>
        <v>4</v>
      </c>
      <c r="S799" s="66"/>
      <c r="T799" s="67" t="s">
        <v>231</v>
      </c>
      <c r="U799" s="67"/>
      <c r="V799" s="67"/>
      <c r="W799" s="60"/>
      <c r="X799" s="62"/>
      <c r="Y799" s="62"/>
      <c r="Z799" s="60"/>
      <c r="AA799" s="60" t="str">
        <f aca="false">IF(A799="","",IF(AND(Parameter!$B$21="Ja",ISNUMBER(W799)),W799,IF(AND(Parameter!$E$27="Ja",ISNUMBER(Z799),CD799&lt;&gt;"Nein"),Z799,IF(CD799="2+3",IF(ISNUMBER(SEARCH("grosser Artikel",BV799)),2,IFERROR(VLOOKUP(BY799,Parameter!$F$35:$G$64,2,0),2)),IF(OR(CD799="Nein",CD799=""),"-",CD799)))))</f>
        <v>-</v>
      </c>
      <c r="AB799" s="67"/>
      <c r="AC799" s="68"/>
      <c r="AD799" s="62" t="n">
        <f aca="false">AW799</f>
        <v>234</v>
      </c>
      <c r="AE799" s="62" t="n">
        <f aca="false">MAX(AW799,H799)</f>
        <v>234</v>
      </c>
      <c r="AF799" s="69"/>
      <c r="AG799" s="62" t="n">
        <f aca="false">IF(LEFT(Cockpit!$C$5,1)="A",H799,IF(Parameter!$E$30="MAX-Bestand",IF(CI799=1,CJ799,IF(LEFT(Cockpit!$C$5,1)="B",AM799,MAX(AM799,H799))),ROUNDUP(AK799,0)))</f>
        <v>48</v>
      </c>
      <c r="AH799" s="62" t="n">
        <f aca="false">IF(CA799=1,0,ROUNDUP(AG799/BZ799,0))</f>
        <v>1</v>
      </c>
      <c r="AI799" s="64" t="n">
        <f aca="false">IF(CR799&gt;0,CR799*MAX(1,AG799/X799),IF(CA799=1,IF(AG799&lt;=0,0,CE799*MAX(1,IF(H799&gt;0,AG799/H799,1))),IF(R799&gt;0,AH799/R799,0))/MAX(0.1,N(Parameter!$M$21)))</f>
        <v>0.25</v>
      </c>
      <c r="AJ799" s="62" t="n">
        <f aca="false">AI799*CC799</f>
        <v>58.75</v>
      </c>
      <c r="AK799" s="63" t="n">
        <f aca="false">IF(LEFT(Cockpit!$C$5,1)="A",H799,IF(CI799=1,(CL799+CJ799)/2,IF(LEFT(Cockpit!$C$5,1)="B",(CL799+AM799)/2,MAX((CL799+AM799)/2,H799))))</f>
        <v>48</v>
      </c>
      <c r="AL799" s="62" t="n">
        <f aca="false">AK799*G799</f>
        <v>251.04</v>
      </c>
      <c r="AM799" s="62" t="n">
        <f aca="false">ROUNDUP(CL799+MAX(CM799,2*(J799/IF(CH799&gt;0,CH799,MAX(0.1,N(Cockpit!$C$6)))-CL799)),0)</f>
        <v>234</v>
      </c>
      <c r="AN799" s="63" t="n">
        <f aca="false">IF(AJ799&gt;0,J799/AJ799,-1)</f>
        <v>6.53617021276596</v>
      </c>
      <c r="AO799" s="63" t="str">
        <f aca="false">IF(AND(OR(CG799="L1",CG799="L23",CG799="LIFT"),AJ799&gt;0),SUMIFS($AJ$7:$AJ$1843,$CG$7:$CG$1843,CG799,$AN$7:$AN$1843,"&gt;"&amp;AN799)+SUMIFS($AJ$7:$AJ$1843,$CG$7:$CG$1843,CG799,$AN$7:$AN$1843,AN799,$BX$7:$BX$1843,"&lt;="&amp;BX799),"")</f>
        <v/>
      </c>
      <c r="AP799" s="70" t="n">
        <f aca="false">IF(AO799="",0,MAX(0,MIN(1,(IF(CG799="L1",Parameter!$H$5,IF(CG799="L23",Parameter!$H$6+Parameter!$H$7,Parameter!$H$5+Parameter!$H$6+Parameter!$H$7))-(AO799-AJ799))/AJ799)))</f>
        <v>0</v>
      </c>
      <c r="AQ799" s="62" t="n">
        <f aca="false">IF(LEFT(Cockpit!$I$5,1)="A",H799,IF(Parameter!$E$30="MAX-Bestand",IF(CI799=1,CJ799,IF(LEFT(Cockpit!$I$5,1)="B",AW799,MAX(AW799,H799))),ROUNDUP(AU799,0)))</f>
        <v>128</v>
      </c>
      <c r="AR799" s="62" t="n">
        <f aca="false">IF(CA799=1,0,ROUNDUP(AQ799/BZ799,0))</f>
        <v>3</v>
      </c>
      <c r="AS799" s="64" t="n">
        <f aca="false">IF(CR799&gt;0,CR799*MAX(1,AQ799/X799),IF(CA799=1,IF(AQ799&lt;=0,0,CE799*MAX(1,IF(H799&gt;0,AQ799/H799,1))),IF(R799&gt;0,AR799/R799,0))/MAX(0.1,N(Parameter!$M$21)))</f>
        <v>0.75</v>
      </c>
      <c r="AT799" s="62" t="n">
        <f aca="false">AS799*CC799</f>
        <v>176.25</v>
      </c>
      <c r="AU799" s="63" t="n">
        <f aca="false">IF(LEFT(Cockpit!$I$5,1)="A",H799,IF(CI799=1,(CL799+CJ799)/2,IF(LEFT(Cockpit!$I$5,1)="B",(CL799+AW799)/2,MAX((CL799+AW799)/2,H799))))</f>
        <v>128</v>
      </c>
      <c r="AV799" s="62" t="n">
        <f aca="false">AU799*G799</f>
        <v>669.44</v>
      </c>
      <c r="AW799" s="62" t="n">
        <f aca="false">ROUNDUP(CL799+MAX(CM799,2*(J799/IF(CH799&gt;0,CH799,MAX(0.1,N(Cockpit!$I$6)))-CL799)),0)</f>
        <v>234</v>
      </c>
      <c r="AX799" s="63" t="n">
        <f aca="false">IF(AT799&gt;0,J799/AT799,-1)</f>
        <v>2.17872340425532</v>
      </c>
      <c r="AY799" s="63" t="str">
        <f aca="false">IF(AND(OR(CG799="L1",CG799="L23",CG799="LIFT"),AT799&gt;0),SUMIFS($AT$7:$AT$1843,$CG$7:$CG$1843,CG799,$AX$7:$AX$1843,"&gt;"&amp;AX799)+SUMIFS($AT$7:$AT$1843,$CG$7:$CG$1843,CG799,$AX$7:$AX$1843,AX799,$BX$7:$BX$1843,"&lt;="&amp;BX799),"")</f>
        <v/>
      </c>
      <c r="AZ799" s="70" t="n">
        <f aca="false">IF(AY799="",0,MAX(0,MIN(1,(IF(CG799="L1",Parameter!$H$5,IF(CG799="L23",Parameter!$H$6+Parameter!$H$7,Parameter!$H$5+Parameter!$H$6+Parameter!$H$7))-(AY799-AT799))/AT799)))</f>
        <v>0</v>
      </c>
      <c r="BA799" s="62" t="n">
        <f aca="false">IF(LEFT(Cockpit!$O$5,1)="A",H799,IF(Parameter!$E$30="MAX-Bestand",IF(CI799=1,CJ799,IF(LEFT(Cockpit!$O$5,1)="B",BG799,MAX(BG799,H799))),ROUNDUP(BE799,0)))</f>
        <v>96</v>
      </c>
      <c r="BB799" s="62" t="n">
        <f aca="false">IF(CA799=1,0,ROUNDUP(BA799/BZ799,0))</f>
        <v>2</v>
      </c>
      <c r="BC799" s="64" t="n">
        <f aca="false">IF(CR799&gt;0,CR799*MAX(1,BA799/X799),IF(CA799=1,IF(BA799&lt;=0,0,CE799*MAX(1,IF(H799&gt;0,BA799/H799,1))),IF(R799&gt;0,BB799/R799,0))/MAX(0.1,N(Parameter!$M$21)))</f>
        <v>0.5</v>
      </c>
      <c r="BD799" s="62" t="n">
        <f aca="false">BC799*CC799</f>
        <v>117.5</v>
      </c>
      <c r="BE799" s="63" t="n">
        <f aca="false">IF(LEFT(Cockpit!$O$5,1)="A",H799,IF(CI799=1,(CL799+CJ799)/2,IF(LEFT(Cockpit!$O$5,1)="B",(CL799+BG799)/2,MAX((CL799+BG799)/2,H799))))</f>
        <v>96</v>
      </c>
      <c r="BF799" s="62" t="n">
        <f aca="false">BE799*G799</f>
        <v>502.08</v>
      </c>
      <c r="BG799" s="62" t="n">
        <f aca="false">ROUNDUP(CL799+MAX(CM799,2*(J799/IF(CH799&gt;0,CH799,MAX(0.1,N(Cockpit!$O$6)))-CL799)),0)</f>
        <v>170</v>
      </c>
      <c r="BH799" s="63" t="n">
        <f aca="false">IF(BD799&gt;0,J799/BD799,-1)</f>
        <v>3.26808510638298</v>
      </c>
      <c r="BI799" s="63" t="str">
        <f aca="false">IF(AND(OR(CG799="L1",CG799="L23",CG799="LIFT"),BD799&gt;0),SUMIFS($BD$7:$BD$1843,$CG$7:$CG$1843,CG799,$BH$7:$BH$1843,"&gt;"&amp;BH799)+SUMIFS($BD$7:$BD$1843,$CG$7:$CG$1843,CG799,$BH$7:$BH$1843,BH799,$BX$7:$BX$1843,"&lt;="&amp;BX799),"")</f>
        <v/>
      </c>
      <c r="BJ799" s="70" t="n">
        <f aca="false">IF(BI799="",0,MAX(0,MIN(1,(IF(CG799="L1",Parameter!$H$5,IF(CG799="L23",Parameter!$H$6+Parameter!$H$7,Parameter!$H$5+Parameter!$H$6+Parameter!$H$7))-(BI799-BD799))/BD799)))</f>
        <v>0</v>
      </c>
      <c r="BK799" s="60" t="str">
        <f aca="false">IF(AJ799&lt;=0,"",IF(CG799="Aussen","Aussenlager",IF(CG799="-","Nicht im Lift",IF(AP799&gt;=1,"Lift",IF(AP799&lt;=0,"Aussenlager","teilweise")))))</f>
        <v>Nicht im Lift</v>
      </c>
      <c r="BL799" s="60" t="str">
        <f aca="false">IF(AT799&lt;=0,"",IF(CG799="Aussen","Aussenlager",IF(CG799="-","Nicht im Lift",IF(AZ799&gt;=1,"Lift",IF(AZ799&lt;=0,"Aussenlager","teilweise")))))</f>
        <v>Nicht im Lift</v>
      </c>
      <c r="BM799" s="60" t="str">
        <f aca="false">IF(BD799&lt;=0,"",IF(CG799="Aussen","Aussenlager",IF(CG799="-","Nicht im Lift",IF(BJ799&gt;=1,"Lift",IF(BJ799&lt;=0,"Aussenlager","teilweise")))))</f>
        <v>Nicht im Lift</v>
      </c>
      <c r="BN799" s="60" t="str">
        <f aca="false">IF(A799="","",IF(BW799=1,"Neu; ","")&amp;IF(AND(BW799=0,BR799&lt;0),"negativer Bestand (Export "&amp;BR799&amp;"); ","")&amp;IF(J799&lt;=0,"Kein Verbrauch; ","")&amp;IF(CR799&gt;0,"Lift "&amp;W799&amp;" lt. Liftbericht (Fach "&amp;X799&amp;" Stk); ",IF(CB799=1,"Gebinde geschätzt ("&amp;T799&amp;"); ",IF(CA799=1,"Lose – Tablare geschätzt; ","")))&amp;IF(H799&gt;AW799,"Überbestand "&amp;ROUND(H799-AW799,0)&amp;" Stk / CHF "&amp;ROUND((H799-AW799)*G799,0)&amp;"; ","")&amp;IF(AND(CI799=1,CJ799&lt;CK799),"MAX &lt; MB+LG; ","")&amp;IF(AND(CQ799&gt;0,CP799*10&gt;CQ799),"zu hoch für Tablar; ","")&amp;IF(AND(BW799=0,OR(CI799=1,AB799&lt;&gt;"",U799&lt;&gt;"",V799&lt;&gt;"",AC799&lt;&gt;"")),"manuell übersteuert; ","")&amp;IF(AND(CA799=0,R799=0),"Gebinde unbekannt / Stellmass fehlt; ","")&amp;IF(AND(CA799=0,N(V799)&lt;=0,N(Q799)&lt;=0),"Menge pro Gebinde fehlt (Ist = 1 Gebinde); ","")&amp;BV799)</f>
        <v>negativer Bestand (Export -3); Gebinde geschätzt (Gross); Menge pro Gebinde fehlt (Ist = 1 Gebinde); </v>
      </c>
      <c r="BO799" s="60"/>
      <c r="BP799" s="60"/>
      <c r="BQ799" s="67"/>
      <c r="BR799" s="62" t="n">
        <v>-3</v>
      </c>
      <c r="BS799" s="62" t="n">
        <v>51</v>
      </c>
      <c r="BT799" s="61" t="n">
        <v>-4.47000000000013</v>
      </c>
      <c r="BU799" s="62" t="n">
        <v>384</v>
      </c>
      <c r="BV799" s="60"/>
      <c r="BW799" s="65" t="n">
        <v>0</v>
      </c>
      <c r="BX799" s="65" t="n">
        <v>799</v>
      </c>
      <c r="BY799" s="60" t="str">
        <f aca="false">IF(U799&lt;&gt;"",UPPER(TRIM(U799)),IF(CB799=1,UPPER(VLOOKUP(T799,Parameter!$I$27:$K$29,2,0)),IF(P799="","LOSE",P799)))</f>
        <v>S81</v>
      </c>
      <c r="BZ799" s="62" t="n">
        <f aca="false">IF(BY799="LOSE",1,IF(N(V799)&gt;0,V799,IF(CB799=1,MAX(1,N(VLOOKUP(T799,Parameter!$I$27:$K$29,3,0)),H799,N(N799)),IF(N(Q799)&gt;0,Q799,MAX(1,H799)))))</f>
        <v>60</v>
      </c>
      <c r="CA799" s="65" t="n">
        <f aca="false">IF(BY799="LOSE",1,0)</f>
        <v>0</v>
      </c>
      <c r="CB799" s="65" t="n">
        <f aca="false">IF(AND(U799="",OR(P799="",P799="LOSE"),T799&lt;&gt;"",N(S799)&lt;=0,ISNUMBER(MATCH(T799,Parameter!$I$27:$I$29,0))),1,0)</f>
        <v>1</v>
      </c>
      <c r="CC799" s="65" t="n">
        <f aca="false">IF(CR799&gt;0,INDEX(Parameter!$H$5:$H$7,W799)/INDEX(Parameter!$E$5:$E$7,W799),IF(AND(CA799=0,N(IFERROR(VLOOKUP(BY799,'Gebinde-Kategorie'!$A$5:$N$45,14,0),0))&gt;0),VLOOKUP(BY799,'Gebinde-Kategorie'!$A$5:$N$45,14,0)*10+Parameter!$M$23,Parameter!$M$24))</f>
        <v>235</v>
      </c>
      <c r="CD799" s="60" t="str">
        <f aca="false">IF(AND(Parameter!$B$19="Ja",E799&lt;&gt;"",ISNUMBER(MATCH(E799,Parameter!$I$35:$I$52,0))),VLOOKUP(E799,Parameter!$I$35:$J$52,2,0),IFERROR(VLOOKUP(D799,Parameter!$A$35:$C$64,2,0),"Nein"))</f>
        <v>Nein</v>
      </c>
      <c r="CE799" s="64" t="n">
        <f aca="false">IF(CA799=0,0,IF(N(S799)&gt;0,S799,IFERROR(VLOOKUP(D799,Parameter!$A$35:$C$64,3,0)+0,0)))</f>
        <v>0</v>
      </c>
      <c r="CF799" s="60" t="str">
        <f aca="false">IF(AB799&lt;&gt;"",AB799,AA799)</f>
        <v>-</v>
      </c>
      <c r="CG799" s="60" t="str">
        <f aca="false">IF(OR(CF799=1,CF799=2,CF799=3),IF(Parameter!$E$27="Ja","LIFT",IF(CF799=1,"L1","L23")),IF(CF799="Aussen","Aussen","-"))</f>
        <v>-</v>
      </c>
      <c r="CH799" s="71" t="n">
        <f aca="false">IF(N(AC799)&gt;0,AC799,0)</f>
        <v>0</v>
      </c>
      <c r="CI799" s="65" t="n">
        <f aca="false">IF(ISNUMBER(AF799),1,0)</f>
        <v>0</v>
      </c>
      <c r="CJ799" s="62" t="n">
        <f aca="false">N(AF799)</f>
        <v>0</v>
      </c>
      <c r="CK799" s="62" t="n">
        <f aca="false">N(M799)+N(N799)</f>
        <v>82</v>
      </c>
      <c r="CL799" s="62" t="n">
        <f aca="false">N(M799)</f>
        <v>22</v>
      </c>
      <c r="CM799" s="62" t="n">
        <f aca="false">N(N799)</f>
        <v>60</v>
      </c>
      <c r="CN799" s="62" t="n">
        <f aca="false">ROUNDUP(H799/BZ799,0)</f>
        <v>1</v>
      </c>
      <c r="CO799" s="62" t="n">
        <f aca="false">ROUNDUP(CJ799/BZ799,0)</f>
        <v>0</v>
      </c>
      <c r="CP799" s="65" t="n">
        <f aca="false">IF(CA799=1,0,IFERROR(VLOOKUP(BY799,'Gebinde-Kategorie'!$A$5:$N$45,5,0)+0,0))</f>
        <v>20</v>
      </c>
      <c r="CQ799" s="65" t="n">
        <f aca="false">IFERROR(IF(OR(CF799=1,CF799=2,CF799=3),N(INDEX(Parameter!$I$5:$I$7,CF799)),0),0)</f>
        <v>0</v>
      </c>
      <c r="CR799" s="64" t="n">
        <f aca="false">IF(AND(Parameter!$B$21="Ja",ISNUMBER(W799),N(X799)&gt;0),IFERROR(N(INDEX(Parameter!$L$5:$L$7,W799))*INDEX(Parameter!$E$5:$E$7,W799)*X799/SUMIFS($X$7:$X$1843,$W$7:$W$1843,W799),0),0)</f>
        <v>0</v>
      </c>
      <c r="CS799" s="62" t="str">
        <f aca="false">IF(AND(OR(CG799="L1",CG799="L23",CG799="LIFT"),H799&gt;0),CC799*IF(CR799&gt;0,CR799*MAX(1,H799/X799),IF(CA799=1,CE799,IF(R799&gt;0,CN799/R799,0))/MAX(0.1,N(Parameter!$M$21))),"")</f>
        <v/>
      </c>
      <c r="CT799" s="64" t="str">
        <f aca="false">IF(CS799="","",J799/H799)</f>
        <v/>
      </c>
      <c r="CU799" s="62" t="str">
        <f aca="false">IF(CS799="","",H799*G799)</f>
        <v/>
      </c>
      <c r="CV799" s="63" t="str">
        <f aca="false">IF(CS799="","",(CL799+ROUNDUP(CL799+MAX(CM799,2*(J799/MAX(0.1,N(Einkauf!$C$6))-CL799)),0))/2)</f>
        <v/>
      </c>
      <c r="CW799" s="62" t="str">
        <f aca="false">IF(CS799="","",MAX(0,H799-CV799)*G799)</f>
        <v/>
      </c>
      <c r="CX799" s="62" t="str">
        <f aca="false">IF(CS799="","",CS799*MAX(0,1-CV799/H799))</f>
        <v/>
      </c>
      <c r="CY799" s="64" t="str">
        <f aca="false">IF(CS799="","",PERCENTRANK($CS$7:$CS$1843,CS799)+PERCENTRANK($CU$7:$CU$1843,CU799)+1-PERCENTRANK($CT$7:$CT$1843,CT799))</f>
        <v/>
      </c>
      <c r="CZ799" s="72" t="str">
        <f aca="false">IF(CS799="","",CHOOSE(MATCH(Einkauf!$C$5,Parameter!$G$23:$G$27,0),CY799,CS799,CU799,-CT799,CW799)+ROW()/1000000000)</f>
        <v/>
      </c>
    </row>
    <row r="800" customFormat="false" ht="15" hidden="false" customHeight="false" outlineLevel="0" collapsed="false">
      <c r="A800" s="60" t="s">
        <v>1597</v>
      </c>
      <c r="B800" s="60" t="s">
        <v>991</v>
      </c>
      <c r="C800" s="60" t="s">
        <v>206</v>
      </c>
      <c r="D800" s="60" t="s">
        <v>226</v>
      </c>
      <c r="E800" s="60" t="s">
        <v>227</v>
      </c>
      <c r="F800" s="60" t="s">
        <v>260</v>
      </c>
      <c r="G800" s="61" t="n">
        <v>0.01</v>
      </c>
      <c r="H800" s="62" t="n">
        <f aca="false">MAX(0,IF(AND(Parameter!$B$21="Ja",ISNUMBER(Y800)),Y800,IF(Parameter!$B$20="Jahresanfang 2025 + Export",BS800+BR800,BR800)))</f>
        <v>719</v>
      </c>
      <c r="I800" s="62" t="n">
        <f aca="false">H800*G800</f>
        <v>7.19</v>
      </c>
      <c r="J800" s="62" t="n">
        <f aca="false">BU800*Parameter!$B$18</f>
        <v>1123</v>
      </c>
      <c r="K800" s="63" t="n">
        <v>583</v>
      </c>
      <c r="L800" s="64" t="n">
        <v>1.926243567753</v>
      </c>
      <c r="M800" s="62" t="n">
        <v>65</v>
      </c>
      <c r="N800" s="62" t="n">
        <v>1125</v>
      </c>
      <c r="O800" s="65" t="n">
        <v>21</v>
      </c>
      <c r="P800" s="60" t="s">
        <v>463</v>
      </c>
      <c r="Q800" s="62" t="n">
        <v>381</v>
      </c>
      <c r="R800" s="65" t="n">
        <f aca="false">IF(CA800=1,0,IFERROR(VLOOKUP(BY800,'Gebinde-Kategorie'!$A$5:$N$45,13,0)+0,0))</f>
        <v>104</v>
      </c>
      <c r="S800" s="66"/>
      <c r="T800" s="67"/>
      <c r="U800" s="67"/>
      <c r="V800" s="67"/>
      <c r="W800" s="60"/>
      <c r="X800" s="62"/>
      <c r="Y800" s="62"/>
      <c r="Z800" s="60" t="n">
        <v>1</v>
      </c>
      <c r="AA800" s="60" t="n">
        <f aca="false">IF(A800="","",IF(AND(Parameter!$B$21="Ja",ISNUMBER(W800)),W800,IF(AND(Parameter!$E$27="Ja",ISNUMBER(Z800),CD800&lt;&gt;"Nein"),Z800,IF(CD800="2+3",IF(ISNUMBER(SEARCH("grosser Artikel",BV800)),2,IFERROR(VLOOKUP(BY800,Parameter!$F$35:$G$64,2,0),2)),IF(OR(CD800="Nein",CD800=""),"-",CD800)))))</f>
        <v>1</v>
      </c>
      <c r="AB800" s="67"/>
      <c r="AC800" s="68"/>
      <c r="AD800" s="62" t="n">
        <f aca="false">AW800</f>
        <v>1190</v>
      </c>
      <c r="AE800" s="62" t="n">
        <f aca="false">MAX(AW800,H800)</f>
        <v>1190</v>
      </c>
      <c r="AF800" s="69"/>
      <c r="AG800" s="62" t="n">
        <f aca="false">IF(LEFT(Cockpit!$C$5,1)="A",H800,IF(Parameter!$E$30="MAX-Bestand",IF(CI800=1,CJ800,IF(LEFT(Cockpit!$C$5,1)="B",AM800,MAX(AM800,H800))),ROUNDUP(AK800,0)))</f>
        <v>719</v>
      </c>
      <c r="AH800" s="62" t="n">
        <f aca="false">IF(CA800=1,0,ROUNDUP(AG800/BZ800,0))</f>
        <v>2</v>
      </c>
      <c r="AI800" s="64" t="n">
        <f aca="false">IF(CR800&gt;0,CR800*MAX(1,AG800/X800),IF(CA800=1,IF(AG800&lt;=0,0,CE800*MAX(1,IF(H800&gt;0,AG800/H800,1))),IF(R800&gt;0,AH800/R800,0))/MAX(0.1,N(Parameter!$M$21)))</f>
        <v>0.0192307692307692</v>
      </c>
      <c r="AJ800" s="62" t="n">
        <f aca="false">AI800*CC800</f>
        <v>2.98076923076923</v>
      </c>
      <c r="AK800" s="63" t="n">
        <f aca="false">IF(LEFT(Cockpit!$C$5,1)="A",H800,IF(CI800=1,(CL800+CJ800)/2,IF(LEFT(Cockpit!$C$5,1)="B",(CL800+AM800)/2,MAX((CL800+AM800)/2,H800))))</f>
        <v>719</v>
      </c>
      <c r="AL800" s="62" t="n">
        <f aca="false">AK800*G800</f>
        <v>7.19</v>
      </c>
      <c r="AM800" s="62" t="n">
        <f aca="false">ROUNDUP(CL800+MAX(CM800,2*(J800/IF(CH800&gt;0,CH800,MAX(0.1,N(Cockpit!$C$6)))-CL800)),0)</f>
        <v>1190</v>
      </c>
      <c r="AN800" s="63" t="n">
        <f aca="false">IF(AJ800&gt;0,J800/AJ800,-1)</f>
        <v>376.748387096774</v>
      </c>
      <c r="AO800" s="63" t="n">
        <f aca="false">IF(AND(OR(CG800="L1",CG800="L23",CG800="LIFT"),AJ800&gt;0),SUMIFS($AJ$7:$AJ$1843,$CG$7:$CG$1843,CG800,$AN$7:$AN$1843,"&gt;"&amp;AN800)+SUMIFS($AJ$7:$AJ$1843,$CG$7:$CG$1843,CG800,$AN$7:$AN$1843,AN800,$BX$7:$BX$1843,"&lt;="&amp;BX800),"")</f>
        <v>205.949175824176</v>
      </c>
      <c r="AP800" s="70" t="n">
        <f aca="false">IF(AO800="",0,MAX(0,MIN(1,(IF(CG800="L1",Parameter!$H$5,IF(CG800="L23",Parameter!$H$6+Parameter!$H$7,Parameter!$H$5+Parameter!$H$6+Parameter!$H$7))-(AO800-AJ800))/AJ800)))</f>
        <v>1</v>
      </c>
      <c r="AQ800" s="62" t="n">
        <f aca="false">IF(LEFT(Cockpit!$I$5,1)="A",H800,IF(Parameter!$E$30="MAX-Bestand",IF(CI800=1,CJ800,IF(LEFT(Cockpit!$I$5,1)="B",AW800,MAX(AW800,H800))),ROUNDUP(AU800,0)))</f>
        <v>719</v>
      </c>
      <c r="AR800" s="62" t="n">
        <f aca="false">IF(CA800=1,0,ROUNDUP(AQ800/BZ800,0))</f>
        <v>2</v>
      </c>
      <c r="AS800" s="64" t="n">
        <f aca="false">IF(CR800&gt;0,CR800*MAX(1,AQ800/X800),IF(CA800=1,IF(AQ800&lt;=0,0,CE800*MAX(1,IF(H800&gt;0,AQ800/H800,1))),IF(R800&gt;0,AR800/R800,0))/MAX(0.1,N(Parameter!$M$21)))</f>
        <v>0.0192307692307692</v>
      </c>
      <c r="AT800" s="62" t="n">
        <f aca="false">AS800*CC800</f>
        <v>2.98076923076923</v>
      </c>
      <c r="AU800" s="63" t="n">
        <f aca="false">IF(LEFT(Cockpit!$I$5,1)="A",H800,IF(CI800=1,(CL800+CJ800)/2,IF(LEFT(Cockpit!$I$5,1)="B",(CL800+AW800)/2,MAX((CL800+AW800)/2,H800))))</f>
        <v>719</v>
      </c>
      <c r="AV800" s="62" t="n">
        <f aca="false">AU800*G800</f>
        <v>7.19</v>
      </c>
      <c r="AW800" s="62" t="n">
        <f aca="false">ROUNDUP(CL800+MAX(CM800,2*(J800/IF(CH800&gt;0,CH800,MAX(0.1,N(Cockpit!$I$6)))-CL800)),0)</f>
        <v>1190</v>
      </c>
      <c r="AX800" s="63" t="n">
        <f aca="false">IF(AT800&gt;0,J800/AT800,-1)</f>
        <v>376.748387096774</v>
      </c>
      <c r="AY800" s="63" t="n">
        <f aca="false">IF(AND(OR(CG800="L1",CG800="L23",CG800="LIFT"),AT800&gt;0),SUMIFS($AT$7:$AT$1843,$CG$7:$CG$1843,CG800,$AX$7:$AX$1843,"&gt;"&amp;AX800)+SUMIFS($AT$7:$AT$1843,$CG$7:$CG$1843,CG800,$AX$7:$AX$1843,AX800,$BX$7:$BX$1843,"&lt;="&amp;BX800),"")</f>
        <v>140.165293040293</v>
      </c>
      <c r="AZ800" s="70" t="n">
        <f aca="false">IF(AY800="",0,MAX(0,MIN(1,(IF(CG800="L1",Parameter!$H$5,IF(CG800="L23",Parameter!$H$6+Parameter!$H$7,Parameter!$H$5+Parameter!$H$6+Parameter!$H$7))-(AY800-AT800))/AT800)))</f>
        <v>1</v>
      </c>
      <c r="BA800" s="62" t="n">
        <f aca="false">IF(LEFT(Cockpit!$O$5,1)="A",H800,IF(Parameter!$E$30="MAX-Bestand",IF(CI800=1,CJ800,IF(LEFT(Cockpit!$O$5,1)="B",BG800,MAX(BG800,H800))),ROUNDUP(BE800,0)))</f>
        <v>628</v>
      </c>
      <c r="BB800" s="62" t="n">
        <f aca="false">IF(CA800=1,0,ROUNDUP(BA800/BZ800,0))</f>
        <v>2</v>
      </c>
      <c r="BC800" s="64" t="n">
        <f aca="false">IF(CR800&gt;0,CR800*MAX(1,BA800/X800),IF(CA800=1,IF(BA800&lt;=0,0,CE800*MAX(1,IF(H800&gt;0,BA800/H800,1))),IF(R800&gt;0,BB800/R800,0))/MAX(0.1,N(Parameter!$M$21)))</f>
        <v>0.0192307692307692</v>
      </c>
      <c r="BD800" s="62" t="n">
        <f aca="false">BC800*CC800</f>
        <v>2.98076923076923</v>
      </c>
      <c r="BE800" s="63" t="n">
        <f aca="false">IF(LEFT(Cockpit!$O$5,1)="A",H800,IF(CI800=1,(CL800+CJ800)/2,IF(LEFT(Cockpit!$O$5,1)="B",(CL800+BG800)/2,MAX((CL800+BG800)/2,H800))))</f>
        <v>627.5</v>
      </c>
      <c r="BF800" s="62" t="n">
        <f aca="false">BE800*G800</f>
        <v>6.275</v>
      </c>
      <c r="BG800" s="62" t="n">
        <f aca="false">ROUNDUP(CL800+MAX(CM800,2*(J800/IF(CH800&gt;0,CH800,MAX(0.1,N(Cockpit!$O$6)))-CL800)),0)</f>
        <v>1190</v>
      </c>
      <c r="BH800" s="63" t="n">
        <f aca="false">IF(BD800&gt;0,J800/BD800,-1)</f>
        <v>376.748387096774</v>
      </c>
      <c r="BI800" s="63" t="n">
        <f aca="false">IF(AND(OR(CG800="L1",CG800="L23",CG800="LIFT"),BD800&gt;0),SUMIFS($BD$7:$BD$1843,$CG$7:$CG$1843,CG800,$BH$7:$BH$1843,"&gt;"&amp;BH800)+SUMIFS($BD$7:$BD$1843,$CG$7:$CG$1843,CG800,$BH$7:$BH$1843,BH800,$BX$7:$BX$1843,"&lt;="&amp;BX800),"")</f>
        <v>215.358974358974</v>
      </c>
      <c r="BJ800" s="70" t="n">
        <f aca="false">IF(BI800="",0,MAX(0,MIN(1,(IF(CG800="L1",Parameter!$H$5,IF(CG800="L23",Parameter!$H$6+Parameter!$H$7,Parameter!$H$5+Parameter!$H$6+Parameter!$H$7))-(BI800-BD800))/BD800)))</f>
        <v>1</v>
      </c>
      <c r="BK800" s="60" t="str">
        <f aca="false">IF(AJ800&lt;=0,"",IF(CG800="Aussen","Aussenlager",IF(CG800="-","Nicht im Lift",IF(AP800&gt;=1,"Lift",IF(AP800&lt;=0,"Aussenlager","teilweise")))))</f>
        <v>Lift</v>
      </c>
      <c r="BL800" s="60" t="str">
        <f aca="false">IF(AT800&lt;=0,"",IF(CG800="Aussen","Aussenlager",IF(CG800="-","Nicht im Lift",IF(AZ800&gt;=1,"Lift",IF(AZ800&lt;=0,"Aussenlager","teilweise")))))</f>
        <v>Lift</v>
      </c>
      <c r="BM800" s="60" t="str">
        <f aca="false">IF(BD800&lt;=0,"",IF(CG800="Aussen","Aussenlager",IF(CG800="-","Nicht im Lift",IF(BJ800&gt;=1,"Lift",IF(BJ800&lt;=0,"Aussenlager","teilweise")))))</f>
        <v>Lift</v>
      </c>
      <c r="BN800" s="60" t="str">
        <f aca="false">IF(A800="","",IF(BW800=1,"Neu; ","")&amp;IF(AND(BW800=0,BR800&lt;0),"negativer Bestand (Export "&amp;BR800&amp;"); ","")&amp;IF(J800&lt;=0,"Kein Verbrauch; ","")&amp;IF(CR800&gt;0,"Lift "&amp;W800&amp;" lt. Liftbericht (Fach "&amp;X800&amp;" Stk); ",IF(CB800=1,"Gebinde geschätzt ("&amp;T800&amp;"); ",IF(CA800=1,"Lose – Tablare geschätzt; ","")))&amp;IF(H800&gt;AW800,"Überbestand "&amp;ROUND(H800-AW800,0)&amp;" Stk / CHF "&amp;ROUND((H800-AW800)*G800,0)&amp;"; ","")&amp;IF(AND(CI800=1,CJ800&lt;CK800),"MAX &lt; MB+LG; ","")&amp;IF(AND(CQ800&gt;0,CP800*10&gt;CQ800),"zu hoch für Tablar; ","")&amp;IF(AND(BW800=0,OR(CI800=1,AB800&lt;&gt;"",U800&lt;&gt;"",V800&lt;&gt;"",AC800&lt;&gt;"")),"manuell übersteuert; ","")&amp;IF(AND(CA800=0,R800=0),"Gebinde unbekannt / Stellmass fehlt; ","")&amp;IF(AND(CA800=0,N(V800)&lt;=0,N(Q800)&lt;=0),"Menge pro Gebinde fehlt (Ist = 1 Gebinde); ","")&amp;BV800)</f>
        <v/>
      </c>
      <c r="BO800" s="60"/>
      <c r="BP800" s="60"/>
      <c r="BQ800" s="67"/>
      <c r="BR800" s="62" t="n">
        <v>126</v>
      </c>
      <c r="BS800" s="62" t="n">
        <v>593</v>
      </c>
      <c r="BT800" s="61" t="n">
        <v>-4.66999999999998</v>
      </c>
      <c r="BU800" s="62" t="n">
        <v>1123</v>
      </c>
      <c r="BV800" s="60"/>
      <c r="BW800" s="65" t="n">
        <v>0</v>
      </c>
      <c r="BX800" s="65" t="n">
        <v>800</v>
      </c>
      <c r="BY800" s="60" t="str">
        <f aca="false">IF(U800&lt;&gt;"",UPPER(TRIM(U800)),IF(CB800=1,UPPER(VLOOKUP(T800,Parameter!$I$27:$K$29,2,0)),IF(P800="","LOSE",P800)))</f>
        <v>S32</v>
      </c>
      <c r="BZ800" s="62" t="n">
        <f aca="false">IF(BY800="LOSE",1,IF(N(V800)&gt;0,V800,IF(CB800=1,MAX(1,N(VLOOKUP(T800,Parameter!$I$27:$K$29,3,0)),H800,N(N800)),IF(N(Q800)&gt;0,Q800,MAX(1,H800)))))</f>
        <v>381</v>
      </c>
      <c r="CA800" s="65" t="n">
        <f aca="false">IF(BY800="LOSE",1,0)</f>
        <v>0</v>
      </c>
      <c r="CB800" s="65" t="n">
        <f aca="false">IF(AND(U800="",OR(P800="",P800="LOSE"),T800&lt;&gt;"",N(S800)&lt;=0,ISNUMBER(MATCH(T800,Parameter!$I$27:$I$29,0))),1,0)</f>
        <v>0</v>
      </c>
      <c r="CC800" s="65" t="n">
        <f aca="false">IF(CR800&gt;0,INDEX(Parameter!$H$5:$H$7,W800)/INDEX(Parameter!$E$5:$E$7,W800),IF(AND(CA800=0,N(IFERROR(VLOOKUP(BY800,'Gebinde-Kategorie'!$A$5:$N$45,14,0),0))&gt;0),VLOOKUP(BY800,'Gebinde-Kategorie'!$A$5:$N$45,14,0)*10+Parameter!$M$23,Parameter!$M$24))</f>
        <v>155</v>
      </c>
      <c r="CD800" s="60" t="str">
        <f aca="false">IF(AND(Parameter!$B$19="Ja",E800&lt;&gt;"",ISNUMBER(MATCH(E800,Parameter!$I$35:$I$52,0))),VLOOKUP(E800,Parameter!$I$35:$J$52,2,0),IFERROR(VLOOKUP(D800,Parameter!$A$35:$C$64,2,0),"Nein"))</f>
        <v>2+3</v>
      </c>
      <c r="CE800" s="64" t="n">
        <f aca="false">IF(CA800=0,0,IF(N(S800)&gt;0,S800,IFERROR(VLOOKUP(D800,Parameter!$A$35:$C$64,3,0)+0,0)))</f>
        <v>0</v>
      </c>
      <c r="CF800" s="60" t="n">
        <f aca="false">IF(AB800&lt;&gt;"",AB800,AA800)</f>
        <v>1</v>
      </c>
      <c r="CG800" s="60" t="str">
        <f aca="false">IF(OR(CF800=1,CF800=2,CF800=3),IF(Parameter!$E$27="Ja","LIFT",IF(CF800=1,"L1","L23")),IF(CF800="Aussen","Aussen","-"))</f>
        <v>LIFT</v>
      </c>
      <c r="CH800" s="71" t="n">
        <f aca="false">IF(N(AC800)&gt;0,AC800,0)</f>
        <v>0</v>
      </c>
      <c r="CI800" s="65" t="n">
        <f aca="false">IF(ISNUMBER(AF800),1,0)</f>
        <v>0</v>
      </c>
      <c r="CJ800" s="62" t="n">
        <f aca="false">N(AF800)</f>
        <v>0</v>
      </c>
      <c r="CK800" s="62" t="n">
        <f aca="false">N(M800)+N(N800)</f>
        <v>1190</v>
      </c>
      <c r="CL800" s="62" t="n">
        <f aca="false">N(M800)</f>
        <v>65</v>
      </c>
      <c r="CM800" s="62" t="n">
        <f aca="false">N(N800)</f>
        <v>1125</v>
      </c>
      <c r="CN800" s="62" t="n">
        <f aca="false">ROUNDUP(H800/BZ800,0)</f>
        <v>2</v>
      </c>
      <c r="CO800" s="62" t="n">
        <f aca="false">ROUNDUP(CJ800/BZ800,0)</f>
        <v>0</v>
      </c>
      <c r="CP800" s="65" t="n">
        <f aca="false">IF(CA800=1,0,IFERROR(VLOOKUP(BY800,'Gebinde-Kategorie'!$A$5:$N$45,5,0)+0,0))</f>
        <v>8</v>
      </c>
      <c r="CQ800" s="65" t="n">
        <f aca="false">IFERROR(IF(OR(CF800=1,CF800=2,CF800=3),N(INDEX(Parameter!$I$5:$I$7,CF800)),0),0)</f>
        <v>0</v>
      </c>
      <c r="CR800" s="64" t="n">
        <f aca="false">IF(AND(Parameter!$B$21="Ja",ISNUMBER(W800),N(X800)&gt;0),IFERROR(N(INDEX(Parameter!$L$5:$L$7,W800))*INDEX(Parameter!$E$5:$E$7,W800)*X800/SUMIFS($X$7:$X$1843,$W$7:$W$1843,W800),0),0)</f>
        <v>0</v>
      </c>
      <c r="CS800" s="62" t="n">
        <f aca="false">IF(AND(OR(CG800="L1",CG800="L23",CG800="LIFT"),H800&gt;0),CC800*IF(CR800&gt;0,CR800*MAX(1,H800/X800),IF(CA800=1,CE800,IF(R800&gt;0,CN800/R800,0))/MAX(0.1,N(Parameter!$M$21))),"")</f>
        <v>2.98076923076923</v>
      </c>
      <c r="CT800" s="64" t="n">
        <f aca="false">IF(CS800="","",J800/H800)</f>
        <v>1.56189151599444</v>
      </c>
      <c r="CU800" s="62" t="n">
        <f aca="false">IF(CS800="","",H800*G800)</f>
        <v>7.19</v>
      </c>
      <c r="CV800" s="63" t="n">
        <f aca="false">IF(CS800="","",(CL800+ROUNDUP(CL800+MAX(CM800,2*(J800/MAX(0.1,N(Einkauf!$C$6))-CL800)),0))/2)</f>
        <v>627.5</v>
      </c>
      <c r="CW800" s="62" t="n">
        <f aca="false">IF(CS800="","",MAX(0,H800-CV800)*G800)</f>
        <v>0.915</v>
      </c>
      <c r="CX800" s="62" t="n">
        <f aca="false">IF(CS800="","",CS800*MAX(0,1-CV800/H800))</f>
        <v>0.379332941050604</v>
      </c>
      <c r="CY800" s="64" t="n">
        <f aca="false">IF(CS800="","",PERCENTRANK($CS$7:$CS$1843,CS800)+PERCENTRANK($CU$7:$CU$1843,CU800)+1-PERCENTRANK($CT$7:$CT$1843,CT800))</f>
        <v>0.4729</v>
      </c>
      <c r="CZ800" s="72" t="n">
        <f aca="false">IF(CS800="","",CHOOSE(MATCH(Einkauf!$C$5,Parameter!$G$23:$G$27,0),CY800,CS800,CU800,-CT800,CW800)+ROW()/1000000000)</f>
        <v>0.4729008</v>
      </c>
    </row>
    <row r="801" customFormat="false" ht="15" hidden="false" customHeight="false" outlineLevel="0" collapsed="false">
      <c r="A801" s="60" t="s">
        <v>1598</v>
      </c>
      <c r="B801" s="60" t="s">
        <v>1599</v>
      </c>
      <c r="C801" s="60" t="s">
        <v>206</v>
      </c>
      <c r="D801" s="60" t="s">
        <v>226</v>
      </c>
      <c r="E801" s="60" t="s">
        <v>227</v>
      </c>
      <c r="F801" s="60" t="s">
        <v>260</v>
      </c>
      <c r="G801" s="61" t="n">
        <v>4.68</v>
      </c>
      <c r="H801" s="62" t="n">
        <f aca="false">MAX(0,IF(AND(Parameter!$B$21="Ja",ISNUMBER(Y801)),Y801,IF(Parameter!$B$20="Jahresanfang 2025 + Export",BS801+BR801,BR801)))</f>
        <v>7</v>
      </c>
      <c r="I801" s="62" t="n">
        <f aca="false">H801*G801</f>
        <v>32.76</v>
      </c>
      <c r="J801" s="62" t="n">
        <f aca="false">BU801*Parameter!$B$18</f>
        <v>2</v>
      </c>
      <c r="K801" s="63" t="n">
        <v>7</v>
      </c>
      <c r="L801" s="64" t="n">
        <v>0.285714285714286</v>
      </c>
      <c r="M801" s="62" t="n">
        <v>0</v>
      </c>
      <c r="N801" s="62" t="n">
        <v>1</v>
      </c>
      <c r="O801" s="65" t="n">
        <v>14</v>
      </c>
      <c r="P801" s="60" t="s">
        <v>443</v>
      </c>
      <c r="Q801" s="62" t="n">
        <v>10</v>
      </c>
      <c r="R801" s="65" t="n">
        <f aca="false">IF(CA801=1,0,IFERROR(VLOOKUP(BY801,'Gebinde-Kategorie'!$A$5:$N$45,13,0)+0,0))</f>
        <v>280</v>
      </c>
      <c r="S801" s="66"/>
      <c r="T801" s="67"/>
      <c r="U801" s="67"/>
      <c r="V801" s="67"/>
      <c r="W801" s="60"/>
      <c r="X801" s="62"/>
      <c r="Y801" s="62"/>
      <c r="Z801" s="60" t="n">
        <v>2</v>
      </c>
      <c r="AA801" s="60" t="n">
        <f aca="false">IF(A801="","",IF(AND(Parameter!$B$21="Ja",ISNUMBER(W801)),W801,IF(AND(Parameter!$E$27="Ja",ISNUMBER(Z801),CD801&lt;&gt;"Nein"),Z801,IF(CD801="2+3",IF(ISNUMBER(SEARCH("grosser Artikel",BV801)),2,IFERROR(VLOOKUP(BY801,Parameter!$F$35:$G$64,2,0),2)),IF(OR(CD801="Nein",CD801=""),"-",CD801)))))</f>
        <v>2</v>
      </c>
      <c r="AB801" s="67"/>
      <c r="AC801" s="68"/>
      <c r="AD801" s="62" t="n">
        <f aca="false">AW801</f>
        <v>2</v>
      </c>
      <c r="AE801" s="62" t="n">
        <f aca="false">MAX(AW801,H801)</f>
        <v>7</v>
      </c>
      <c r="AF801" s="69"/>
      <c r="AG801" s="62" t="n">
        <f aca="false">IF(LEFT(Cockpit!$C$5,1)="A",H801,IF(Parameter!$E$30="MAX-Bestand",IF(CI801=1,CJ801,IF(LEFT(Cockpit!$C$5,1)="B",AM801,MAX(AM801,H801))),ROUNDUP(AK801,0)))</f>
        <v>7</v>
      </c>
      <c r="AH801" s="62" t="n">
        <f aca="false">IF(CA801=1,0,ROUNDUP(AG801/BZ801,0))</f>
        <v>1</v>
      </c>
      <c r="AI801" s="64" t="n">
        <f aca="false">IF(CR801&gt;0,CR801*MAX(1,AG801/X801),IF(CA801=1,IF(AG801&lt;=0,0,CE801*MAX(1,IF(H801&gt;0,AG801/H801,1))),IF(R801&gt;0,AH801/R801,0))/MAX(0.1,N(Parameter!$M$21)))</f>
        <v>0.00357142857142857</v>
      </c>
      <c r="AJ801" s="62" t="n">
        <f aca="false">AI801*CC801</f>
        <v>0.553571428571429</v>
      </c>
      <c r="AK801" s="63" t="n">
        <f aca="false">IF(LEFT(Cockpit!$C$5,1)="A",H801,IF(CI801=1,(CL801+CJ801)/2,IF(LEFT(Cockpit!$C$5,1)="B",(CL801+AM801)/2,MAX((CL801+AM801)/2,H801))))</f>
        <v>7</v>
      </c>
      <c r="AL801" s="62" t="n">
        <f aca="false">AK801*G801</f>
        <v>32.76</v>
      </c>
      <c r="AM801" s="62" t="n">
        <f aca="false">ROUNDUP(CL801+MAX(CM801,2*(J801/IF(CH801&gt;0,CH801,MAX(0.1,N(Cockpit!$C$6)))-CL801)),0)</f>
        <v>2</v>
      </c>
      <c r="AN801" s="63" t="n">
        <f aca="false">IF(AJ801&gt;0,J801/AJ801,-1)</f>
        <v>3.61290322580645</v>
      </c>
      <c r="AO801" s="63" t="n">
        <f aca="false">IF(AND(OR(CG801="L1",CG801="L23",CG801="LIFT"),AJ801&gt;0),SUMIFS($AJ$7:$AJ$1843,$CG$7:$CG$1843,CG801,$AN$7:$AN$1843,"&gt;"&amp;AN801)+SUMIFS($AJ$7:$AJ$1843,$CG$7:$CG$1843,CG801,$AN$7:$AN$1843,AN801,$BX$7:$BX$1843,"&lt;="&amp;BX801),"")</f>
        <v>4828.98122710623</v>
      </c>
      <c r="AP801" s="70" t="n">
        <f aca="false">IF(AO801="",0,MAX(0,MIN(1,(IF(CG801="L1",Parameter!$H$5,IF(CG801="L23",Parameter!$H$6+Parameter!$H$7,Parameter!$H$5+Parameter!$H$6+Parameter!$H$7))-(AO801-AJ801))/AJ801)))</f>
        <v>1</v>
      </c>
      <c r="AQ801" s="62" t="n">
        <f aca="false">IF(LEFT(Cockpit!$I$5,1)="A",H801,IF(Parameter!$E$30="MAX-Bestand",IF(CI801=1,CJ801,IF(LEFT(Cockpit!$I$5,1)="B",AW801,MAX(AW801,H801))),ROUNDUP(AU801,0)))</f>
        <v>7</v>
      </c>
      <c r="AR801" s="62" t="n">
        <f aca="false">IF(CA801=1,0,ROUNDUP(AQ801/BZ801,0))</f>
        <v>1</v>
      </c>
      <c r="AS801" s="64" t="n">
        <f aca="false">IF(CR801&gt;0,CR801*MAX(1,AQ801/X801),IF(CA801=1,IF(AQ801&lt;=0,0,CE801*MAX(1,IF(H801&gt;0,AQ801/H801,1))),IF(R801&gt;0,AR801/R801,0))/MAX(0.1,N(Parameter!$M$21)))</f>
        <v>0.00357142857142857</v>
      </c>
      <c r="AT801" s="62" t="n">
        <f aca="false">AS801*CC801</f>
        <v>0.553571428571429</v>
      </c>
      <c r="AU801" s="63" t="n">
        <f aca="false">IF(LEFT(Cockpit!$I$5,1)="A",H801,IF(CI801=1,(CL801+CJ801)/2,IF(LEFT(Cockpit!$I$5,1)="B",(CL801+AW801)/2,MAX((CL801+AW801)/2,H801))))</f>
        <v>7</v>
      </c>
      <c r="AV801" s="62" t="n">
        <f aca="false">AU801*G801</f>
        <v>32.76</v>
      </c>
      <c r="AW801" s="62" t="n">
        <f aca="false">ROUNDUP(CL801+MAX(CM801,2*(J801/IF(CH801&gt;0,CH801,MAX(0.1,N(Cockpit!$I$6)))-CL801)),0)</f>
        <v>2</v>
      </c>
      <c r="AX801" s="63" t="n">
        <f aca="false">IF(AT801&gt;0,J801/AT801,-1)</f>
        <v>3.61290322580645</v>
      </c>
      <c r="AY801" s="63" t="n">
        <f aca="false">IF(AND(OR(CG801="L1",CG801="L23",CG801="LIFT"),AT801&gt;0),SUMIFS($AT$7:$AT$1843,$CG$7:$CG$1843,CG801,$AX$7:$AX$1843,"&gt;"&amp;AX801)+SUMIFS($AT$7:$AT$1843,$CG$7:$CG$1843,CG801,$AX$7:$AX$1843,AX801,$BX$7:$BX$1843,"&lt;="&amp;BX801),"")</f>
        <v>5406.56822344322</v>
      </c>
      <c r="AZ801" s="70" t="n">
        <f aca="false">IF(AY801="",0,MAX(0,MIN(1,(IF(CG801="L1",Parameter!$H$5,IF(CG801="L23",Parameter!$H$6+Parameter!$H$7,Parameter!$H$5+Parameter!$H$6+Parameter!$H$7))-(AY801-AT801))/AT801)))</f>
        <v>1</v>
      </c>
      <c r="BA801" s="62" t="n">
        <f aca="false">IF(LEFT(Cockpit!$O$5,1)="A",H801,IF(Parameter!$E$30="MAX-Bestand",IF(CI801=1,CJ801,IF(LEFT(Cockpit!$O$5,1)="B",BG801,MAX(BG801,H801))),ROUNDUP(BE801,0)))</f>
        <v>1</v>
      </c>
      <c r="BB801" s="62" t="n">
        <f aca="false">IF(CA801=1,0,ROUNDUP(BA801/BZ801,0))</f>
        <v>1</v>
      </c>
      <c r="BC801" s="64" t="n">
        <f aca="false">IF(CR801&gt;0,CR801*MAX(1,BA801/X801),IF(CA801=1,IF(BA801&lt;=0,0,CE801*MAX(1,IF(H801&gt;0,BA801/H801,1))),IF(R801&gt;0,BB801/R801,0))/MAX(0.1,N(Parameter!$M$21)))</f>
        <v>0.00357142857142857</v>
      </c>
      <c r="BD801" s="62" t="n">
        <f aca="false">BC801*CC801</f>
        <v>0.553571428571429</v>
      </c>
      <c r="BE801" s="63" t="n">
        <f aca="false">IF(LEFT(Cockpit!$O$5,1)="A",H801,IF(CI801=1,(CL801+CJ801)/2,IF(LEFT(Cockpit!$O$5,1)="B",(CL801+BG801)/2,MAX((CL801+BG801)/2,H801))))</f>
        <v>0.5</v>
      </c>
      <c r="BF801" s="62" t="n">
        <f aca="false">BE801*G801</f>
        <v>2.34</v>
      </c>
      <c r="BG801" s="62" t="n">
        <f aca="false">ROUNDUP(CL801+MAX(CM801,2*(J801/IF(CH801&gt;0,CH801,MAX(0.1,N(Cockpit!$O$6)))-CL801)),0)</f>
        <v>1</v>
      </c>
      <c r="BH801" s="63" t="n">
        <f aca="false">IF(BD801&gt;0,J801/BD801,-1)</f>
        <v>3.61290322580645</v>
      </c>
      <c r="BI801" s="63" t="n">
        <f aca="false">IF(AND(OR(CG801="L1",CG801="L23",CG801="LIFT"),BD801&gt;0),SUMIFS($BD$7:$BD$1843,$CG$7:$CG$1843,CG801,$BH$7:$BH$1843,"&gt;"&amp;BH801)+SUMIFS($BD$7:$BD$1843,$CG$7:$CG$1843,CG801,$BH$7:$BH$1843,BH801,$BX$7:$BX$1843,"&lt;="&amp;BX801),"")</f>
        <v>4421.06501831502</v>
      </c>
      <c r="BJ801" s="70" t="n">
        <f aca="false">IF(BI801="",0,MAX(0,MIN(1,(IF(CG801="L1",Parameter!$H$5,IF(CG801="L23",Parameter!$H$6+Parameter!$H$7,Parameter!$H$5+Parameter!$H$6+Parameter!$H$7))-(BI801-BD801))/BD801)))</f>
        <v>1</v>
      </c>
      <c r="BK801" s="60" t="str">
        <f aca="false">IF(AJ801&lt;=0,"",IF(CG801="Aussen","Aussenlager",IF(CG801="-","Nicht im Lift",IF(AP801&gt;=1,"Lift",IF(AP801&lt;=0,"Aussenlager","teilweise")))))</f>
        <v>Lift</v>
      </c>
      <c r="BL801" s="60" t="str">
        <f aca="false">IF(AT801&lt;=0,"",IF(CG801="Aussen","Aussenlager",IF(CG801="-","Nicht im Lift",IF(AZ801&gt;=1,"Lift",IF(AZ801&lt;=0,"Aussenlager","teilweise")))))</f>
        <v>Lift</v>
      </c>
      <c r="BM801" s="60" t="str">
        <f aca="false">IF(BD801&lt;=0,"",IF(CG801="Aussen","Aussenlager",IF(CG801="-","Nicht im Lift",IF(BJ801&gt;=1,"Lift",IF(BJ801&lt;=0,"Aussenlager","teilweise")))))</f>
        <v>Lift</v>
      </c>
      <c r="BN801" s="60" t="str">
        <f aca="false">IF(A801="","",IF(BW801=1,"Neu; ","")&amp;IF(AND(BW801=0,BR801&lt;0),"negativer Bestand (Export "&amp;BR801&amp;"); ","")&amp;IF(J801&lt;=0,"Kein Verbrauch; ","")&amp;IF(CR801&gt;0,"Lift "&amp;W801&amp;" lt. Liftbericht (Fach "&amp;X801&amp;" Stk); ",IF(CB801=1,"Gebinde geschätzt ("&amp;T801&amp;"); ",IF(CA801=1,"Lose – Tablare geschätzt; ","")))&amp;IF(H801&gt;AW801,"Überbestand "&amp;ROUND(H801-AW801,0)&amp;" Stk / CHF "&amp;ROUND((H801-AW801)*G801,0)&amp;"; ","")&amp;IF(AND(CI801=1,CJ801&lt;CK801),"MAX &lt; MB+LG; ","")&amp;IF(AND(CQ801&gt;0,CP801*10&gt;CQ801),"zu hoch für Tablar; ","")&amp;IF(AND(BW801=0,OR(CI801=1,AB801&lt;&gt;"",U801&lt;&gt;"",V801&lt;&gt;"",AC801&lt;&gt;"")),"manuell übersteuert; ","")&amp;IF(AND(CA801=0,R801=0),"Gebinde unbekannt / Stellmass fehlt; ","")&amp;IF(AND(CA801=0,N(V801)&lt;=0,N(Q801)&lt;=0),"Menge pro Gebinde fehlt (Ist = 1 Gebinde); ","")&amp;BV801)</f>
        <v>negativer Bestand (Export -1); Überbestand 5 Stk / CHF 23; </v>
      </c>
      <c r="BO801" s="60"/>
      <c r="BP801" s="60"/>
      <c r="BQ801" s="67"/>
      <c r="BR801" s="62" t="n">
        <v>-1</v>
      </c>
      <c r="BS801" s="62" t="n">
        <v>8</v>
      </c>
      <c r="BT801" s="61" t="n">
        <v>-4.68</v>
      </c>
      <c r="BU801" s="62" t="n">
        <v>2</v>
      </c>
      <c r="BV801" s="60"/>
      <c r="BW801" s="65" t="n">
        <v>0</v>
      </c>
      <c r="BX801" s="65" t="n">
        <v>801</v>
      </c>
      <c r="BY801" s="60" t="str">
        <f aca="false">IF(U801&lt;&gt;"",UPPER(TRIM(U801)),IF(CB801=1,UPPER(VLOOKUP(T801,Parameter!$I$27:$K$29,2,0)),IF(P801="","LOSE",P801)))</f>
        <v>S21</v>
      </c>
      <c r="BZ801" s="62" t="n">
        <f aca="false">IF(BY801="LOSE",1,IF(N(V801)&gt;0,V801,IF(CB801=1,MAX(1,N(VLOOKUP(T801,Parameter!$I$27:$K$29,3,0)),H801,N(N801)),IF(N(Q801)&gt;0,Q801,MAX(1,H801)))))</f>
        <v>10</v>
      </c>
      <c r="CA801" s="65" t="n">
        <f aca="false">IF(BY801="LOSE",1,0)</f>
        <v>0</v>
      </c>
      <c r="CB801" s="65" t="n">
        <f aca="false">IF(AND(U801="",OR(P801="",P801="LOSE"),T801&lt;&gt;"",N(S801)&lt;=0,ISNUMBER(MATCH(T801,Parameter!$I$27:$I$29,0))),1,0)</f>
        <v>0</v>
      </c>
      <c r="CC801" s="65" t="n">
        <f aca="false">IF(CR801&gt;0,INDEX(Parameter!$H$5:$H$7,W801)/INDEX(Parameter!$E$5:$E$7,W801),IF(AND(CA801=0,N(IFERROR(VLOOKUP(BY801,'Gebinde-Kategorie'!$A$5:$N$45,14,0),0))&gt;0),VLOOKUP(BY801,'Gebinde-Kategorie'!$A$5:$N$45,14,0)*10+Parameter!$M$23,Parameter!$M$24))</f>
        <v>155</v>
      </c>
      <c r="CD801" s="60" t="str">
        <f aca="false">IF(AND(Parameter!$B$19="Ja",E801&lt;&gt;"",ISNUMBER(MATCH(E801,Parameter!$I$35:$I$52,0))),VLOOKUP(E801,Parameter!$I$35:$J$52,2,0),IFERROR(VLOOKUP(D801,Parameter!$A$35:$C$64,2,0),"Nein"))</f>
        <v>2+3</v>
      </c>
      <c r="CE801" s="64" t="n">
        <f aca="false">IF(CA801=0,0,IF(N(S801)&gt;0,S801,IFERROR(VLOOKUP(D801,Parameter!$A$35:$C$64,3,0)+0,0)))</f>
        <v>0</v>
      </c>
      <c r="CF801" s="60" t="n">
        <f aca="false">IF(AB801&lt;&gt;"",AB801,AA801)</f>
        <v>2</v>
      </c>
      <c r="CG801" s="60" t="str">
        <f aca="false">IF(OR(CF801=1,CF801=2,CF801=3),IF(Parameter!$E$27="Ja","LIFT",IF(CF801=1,"L1","L23")),IF(CF801="Aussen","Aussen","-"))</f>
        <v>LIFT</v>
      </c>
      <c r="CH801" s="71" t="n">
        <f aca="false">IF(N(AC801)&gt;0,AC801,0)</f>
        <v>0</v>
      </c>
      <c r="CI801" s="65" t="n">
        <f aca="false">IF(ISNUMBER(AF801),1,0)</f>
        <v>0</v>
      </c>
      <c r="CJ801" s="62" t="n">
        <f aca="false">N(AF801)</f>
        <v>0</v>
      </c>
      <c r="CK801" s="62" t="n">
        <f aca="false">N(M801)+N(N801)</f>
        <v>1</v>
      </c>
      <c r="CL801" s="62" t="n">
        <f aca="false">N(M801)</f>
        <v>0</v>
      </c>
      <c r="CM801" s="62" t="n">
        <f aca="false">N(N801)</f>
        <v>1</v>
      </c>
      <c r="CN801" s="62" t="n">
        <f aca="false">ROUNDUP(H801/BZ801,0)</f>
        <v>1</v>
      </c>
      <c r="CO801" s="62" t="n">
        <f aca="false">ROUNDUP(CJ801/BZ801,0)</f>
        <v>0</v>
      </c>
      <c r="CP801" s="65" t="n">
        <f aca="false">IF(CA801=1,0,IFERROR(VLOOKUP(BY801,'Gebinde-Kategorie'!$A$5:$N$45,5,0)+0,0))</f>
        <v>8</v>
      </c>
      <c r="CQ801" s="65" t="n">
        <f aca="false">IFERROR(IF(OR(CF801=1,CF801=2,CF801=3),N(INDEX(Parameter!$I$5:$I$7,CF801)),0),0)</f>
        <v>0</v>
      </c>
      <c r="CR801" s="64" t="n">
        <f aca="false">IF(AND(Parameter!$B$21="Ja",ISNUMBER(W801),N(X801)&gt;0),IFERROR(N(INDEX(Parameter!$L$5:$L$7,W801))*INDEX(Parameter!$E$5:$E$7,W801)*X801/SUMIFS($X$7:$X$1843,$W$7:$W$1843,W801),0),0)</f>
        <v>0</v>
      </c>
      <c r="CS801" s="62" t="n">
        <f aca="false">IF(AND(OR(CG801="L1",CG801="L23",CG801="LIFT"),H801&gt;0),CC801*IF(CR801&gt;0,CR801*MAX(1,H801/X801),IF(CA801=1,CE801,IF(R801&gt;0,CN801/R801,0))/MAX(0.1,N(Parameter!$M$21))),"")</f>
        <v>0.553571428571429</v>
      </c>
      <c r="CT801" s="64" t="n">
        <f aca="false">IF(CS801="","",J801/H801)</f>
        <v>0.285714285714286</v>
      </c>
      <c r="CU801" s="62" t="n">
        <f aca="false">IF(CS801="","",H801*G801)</f>
        <v>32.76</v>
      </c>
      <c r="CV801" s="63" t="n">
        <f aca="false">IF(CS801="","",(CL801+ROUNDUP(CL801+MAX(CM801,2*(J801/MAX(0.1,N(Einkauf!$C$6))-CL801)),0))/2)</f>
        <v>0.5</v>
      </c>
      <c r="CW801" s="62" t="n">
        <f aca="false">IF(CS801="","",MAX(0,H801-CV801)*G801)</f>
        <v>30.42</v>
      </c>
      <c r="CX801" s="62" t="n">
        <f aca="false">IF(CS801="","",CS801*MAX(0,1-CV801/H801))</f>
        <v>0.514030612244898</v>
      </c>
      <c r="CY801" s="64" t="n">
        <f aca="false">IF(CS801="","",PERCENTRANK($CS$7:$CS$1843,CS801)+PERCENTRANK($CU$7:$CU$1843,CU801)+1-PERCENTRANK($CT$7:$CT$1843,CT801))</f>
        <v>0.625</v>
      </c>
      <c r="CZ801" s="72" t="n">
        <f aca="false">IF(CS801="","",CHOOSE(MATCH(Einkauf!$C$5,Parameter!$G$23:$G$27,0),CY801,CS801,CU801,-CT801,CW801)+ROW()/1000000000)</f>
        <v>0.625000801</v>
      </c>
    </row>
    <row r="802" customFormat="false" ht="15" hidden="false" customHeight="false" outlineLevel="0" collapsed="false">
      <c r="A802" s="60" t="s">
        <v>1600</v>
      </c>
      <c r="B802" s="60" t="s">
        <v>1601</v>
      </c>
      <c r="C802" s="60" t="s">
        <v>206</v>
      </c>
      <c r="D802" s="60" t="s">
        <v>226</v>
      </c>
      <c r="E802" s="60"/>
      <c r="F802" s="60" t="s">
        <v>260</v>
      </c>
      <c r="G802" s="61" t="n">
        <v>0.5</v>
      </c>
      <c r="H802" s="62" t="n">
        <f aca="false">MAX(0,IF(AND(Parameter!$B$21="Ja",ISNUMBER(Y802)),Y802,IF(Parameter!$B$20="Jahresanfang 2025 + Export",BS802+BR802,BR802)))</f>
        <v>0</v>
      </c>
      <c r="I802" s="62" t="n">
        <f aca="false">H802*G802</f>
        <v>0</v>
      </c>
      <c r="J802" s="62" t="n">
        <f aca="false">BU802*Parameter!$B$18</f>
        <v>0</v>
      </c>
      <c r="K802" s="63" t="n">
        <v>5</v>
      </c>
      <c r="L802" s="64" t="n">
        <v>0</v>
      </c>
      <c r="M802" s="62" t="n">
        <v>0</v>
      </c>
      <c r="N802" s="62" t="n">
        <v>1</v>
      </c>
      <c r="O802" s="65" t="n">
        <v>56</v>
      </c>
      <c r="P802" s="60" t="s">
        <v>210</v>
      </c>
      <c r="Q802" s="62"/>
      <c r="R802" s="65" t="n">
        <f aca="false">IF(CA802=1,0,IFERROR(VLOOKUP(BY802,'Gebinde-Kategorie'!$A$5:$N$45,13,0)+0,0))</f>
        <v>26</v>
      </c>
      <c r="S802" s="66"/>
      <c r="T802" s="67" t="s">
        <v>317</v>
      </c>
      <c r="U802" s="67"/>
      <c r="V802" s="67"/>
      <c r="W802" s="60"/>
      <c r="X802" s="62"/>
      <c r="Y802" s="62"/>
      <c r="Z802" s="60" t="n">
        <v>3</v>
      </c>
      <c r="AA802" s="60" t="n">
        <f aca="false">IF(A802="","",IF(AND(Parameter!$B$21="Ja",ISNUMBER(W802)),W802,IF(AND(Parameter!$E$27="Ja",ISNUMBER(Z802),CD802&lt;&gt;"Nein"),Z802,IF(CD802="2+3",IF(ISNUMBER(SEARCH("grosser Artikel",BV802)),2,IFERROR(VLOOKUP(BY802,Parameter!$F$35:$G$64,2,0),2)),IF(OR(CD802="Nein",CD802=""),"-",CD802)))))</f>
        <v>3</v>
      </c>
      <c r="AB802" s="67"/>
      <c r="AC802" s="68"/>
      <c r="AD802" s="62" t="n">
        <f aca="false">AW802</f>
        <v>1</v>
      </c>
      <c r="AE802" s="62" t="n">
        <f aca="false">MAX(AW802,H802)</f>
        <v>1</v>
      </c>
      <c r="AF802" s="69"/>
      <c r="AG802" s="62" t="n">
        <f aca="false">IF(LEFT(Cockpit!$C$5,1)="A",H802,IF(Parameter!$E$30="MAX-Bestand",IF(CI802=1,CJ802,IF(LEFT(Cockpit!$C$5,1)="B",AM802,MAX(AM802,H802))),ROUNDUP(AK802,0)))</f>
        <v>0</v>
      </c>
      <c r="AH802" s="62" t="n">
        <f aca="false">IF(CA802=1,0,ROUNDUP(AG802/BZ802,0))</f>
        <v>0</v>
      </c>
      <c r="AI802" s="64" t="n">
        <f aca="false">IF(CR802&gt;0,CR802*MAX(1,AG802/X802),IF(CA802=1,IF(AG802&lt;=0,0,CE802*MAX(1,IF(H802&gt;0,AG802/H802,1))),IF(R802&gt;0,AH802/R802,0))/MAX(0.1,N(Parameter!$M$21)))</f>
        <v>0</v>
      </c>
      <c r="AJ802" s="62" t="n">
        <f aca="false">AI802*CC802</f>
        <v>0</v>
      </c>
      <c r="AK802" s="63" t="n">
        <f aca="false">IF(LEFT(Cockpit!$C$5,1)="A",H802,IF(CI802=1,(CL802+CJ802)/2,IF(LEFT(Cockpit!$C$5,1)="B",(CL802+AM802)/2,MAX((CL802+AM802)/2,H802))))</f>
        <v>0</v>
      </c>
      <c r="AL802" s="62" t="n">
        <f aca="false">AK802*G802</f>
        <v>0</v>
      </c>
      <c r="AM802" s="62" t="n">
        <f aca="false">ROUNDUP(CL802+MAX(CM802,2*(J802/IF(CH802&gt;0,CH802,MAX(0.1,N(Cockpit!$C$6)))-CL802)),0)</f>
        <v>1</v>
      </c>
      <c r="AN802" s="63" t="n">
        <f aca="false">IF(AJ802&gt;0,J802/AJ802,-1)</f>
        <v>-1</v>
      </c>
      <c r="AO802" s="63" t="str">
        <f aca="false">IF(AND(OR(CG802="L1",CG802="L23",CG802="LIFT"),AJ802&gt;0),SUMIFS($AJ$7:$AJ$1843,$CG$7:$CG$1843,CG802,$AN$7:$AN$1843,"&gt;"&amp;AN802)+SUMIFS($AJ$7:$AJ$1843,$CG$7:$CG$1843,CG802,$AN$7:$AN$1843,AN802,$BX$7:$BX$1843,"&lt;="&amp;BX802),"")</f>
        <v/>
      </c>
      <c r="AP802" s="70" t="n">
        <f aca="false">IF(AO802="",0,MAX(0,MIN(1,(IF(CG802="L1",Parameter!$H$5,IF(CG802="L23",Parameter!$H$6+Parameter!$H$7,Parameter!$H$5+Parameter!$H$6+Parameter!$H$7))-(AO802-AJ802))/AJ802)))</f>
        <v>0</v>
      </c>
      <c r="AQ802" s="62" t="n">
        <f aca="false">IF(LEFT(Cockpit!$I$5,1)="A",H802,IF(Parameter!$E$30="MAX-Bestand",IF(CI802=1,CJ802,IF(LEFT(Cockpit!$I$5,1)="B",AW802,MAX(AW802,H802))),ROUNDUP(AU802,0)))</f>
        <v>1</v>
      </c>
      <c r="AR802" s="62" t="n">
        <f aca="false">IF(CA802=1,0,ROUNDUP(AQ802/BZ802,0))</f>
        <v>1</v>
      </c>
      <c r="AS802" s="64" t="n">
        <f aca="false">IF(CR802&gt;0,CR802*MAX(1,AQ802/X802),IF(CA802=1,IF(AQ802&lt;=0,0,CE802*MAX(1,IF(H802&gt;0,AQ802/H802,1))),IF(R802&gt;0,AR802/R802,0))/MAX(0.1,N(Parameter!$M$21)))</f>
        <v>0.0384615384615385</v>
      </c>
      <c r="AT802" s="62" t="n">
        <f aca="false">AS802*CC802</f>
        <v>5.96153846153846</v>
      </c>
      <c r="AU802" s="63" t="n">
        <f aca="false">IF(LEFT(Cockpit!$I$5,1)="A",H802,IF(CI802=1,(CL802+CJ802)/2,IF(LEFT(Cockpit!$I$5,1)="B",(CL802+AW802)/2,MAX((CL802+AW802)/2,H802))))</f>
        <v>0.5</v>
      </c>
      <c r="AV802" s="62" t="n">
        <f aca="false">AU802*G802</f>
        <v>0.25</v>
      </c>
      <c r="AW802" s="62" t="n">
        <f aca="false">ROUNDUP(CL802+MAX(CM802,2*(J802/IF(CH802&gt;0,CH802,MAX(0.1,N(Cockpit!$I$6)))-CL802)),0)</f>
        <v>1</v>
      </c>
      <c r="AX802" s="63" t="n">
        <f aca="false">IF(AT802&gt;0,J802/AT802,-1)</f>
        <v>0</v>
      </c>
      <c r="AY802" s="63" t="n">
        <f aca="false">IF(AND(OR(CG802="L1",CG802="L23",CG802="LIFT"),AT802&gt;0),SUMIFS($AT$7:$AT$1843,$CG$7:$CG$1843,CG802,$AX$7:$AX$1843,"&gt;"&amp;AX802)+SUMIFS($AT$7:$AT$1843,$CG$7:$CG$1843,CG802,$AX$7:$AX$1843,AX802,$BX$7:$BX$1843,"&lt;="&amp;BX802),"")</f>
        <v>34376.1172161172</v>
      </c>
      <c r="AZ802" s="70" t="n">
        <f aca="false">IF(AY802="",0,MAX(0,MIN(1,(IF(CG802="L1",Parameter!$H$5,IF(CG802="L23",Parameter!$H$6+Parameter!$H$7,Parameter!$H$5+Parameter!$H$6+Parameter!$H$7))-(AY802-AT802))/AT802)))</f>
        <v>1</v>
      </c>
      <c r="BA802" s="62" t="n">
        <f aca="false">IF(LEFT(Cockpit!$O$5,1)="A",H802,IF(Parameter!$E$30="MAX-Bestand",IF(CI802=1,CJ802,IF(LEFT(Cockpit!$O$5,1)="B",BG802,MAX(BG802,H802))),ROUNDUP(BE802,0)))</f>
        <v>1</v>
      </c>
      <c r="BB802" s="62" t="n">
        <f aca="false">IF(CA802=1,0,ROUNDUP(BA802/BZ802,0))</f>
        <v>1</v>
      </c>
      <c r="BC802" s="64" t="n">
        <f aca="false">IF(CR802&gt;0,CR802*MAX(1,BA802/X802),IF(CA802=1,IF(BA802&lt;=0,0,CE802*MAX(1,IF(H802&gt;0,BA802/H802,1))),IF(R802&gt;0,BB802/R802,0))/MAX(0.1,N(Parameter!$M$21)))</f>
        <v>0.0384615384615385</v>
      </c>
      <c r="BD802" s="62" t="n">
        <f aca="false">BC802*CC802</f>
        <v>5.96153846153846</v>
      </c>
      <c r="BE802" s="63" t="n">
        <f aca="false">IF(LEFT(Cockpit!$O$5,1)="A",H802,IF(CI802=1,(CL802+CJ802)/2,IF(LEFT(Cockpit!$O$5,1)="B",(CL802+BG802)/2,MAX((CL802+BG802)/2,H802))))</f>
        <v>0.5</v>
      </c>
      <c r="BF802" s="62" t="n">
        <f aca="false">BE802*G802</f>
        <v>0.25</v>
      </c>
      <c r="BG802" s="62" t="n">
        <f aca="false">ROUNDUP(CL802+MAX(CM802,2*(J802/IF(CH802&gt;0,CH802,MAX(0.1,N(Cockpit!$O$6)))-CL802)),0)</f>
        <v>1</v>
      </c>
      <c r="BH802" s="63" t="n">
        <f aca="false">IF(BD802&gt;0,J802/BD802,-1)</f>
        <v>0</v>
      </c>
      <c r="BI802" s="63" t="n">
        <f aca="false">IF(AND(OR(CG802="L1",CG802="L23",CG802="LIFT"),BD802&gt;0),SUMIFS($BD$7:$BD$1843,$CG$7:$CG$1843,CG802,$BH$7:$BH$1843,"&gt;"&amp;BH802)+SUMIFS($BD$7:$BD$1843,$CG$7:$CG$1843,CG802,$BH$7:$BH$1843,BH802,$BX$7:$BX$1843,"&lt;="&amp;BX802),"")</f>
        <v>28419.9870630782</v>
      </c>
      <c r="BJ802" s="70" t="n">
        <f aca="false">IF(BI802="",0,MAX(0,MIN(1,(IF(CG802="L1",Parameter!$H$5,IF(CG802="L23",Parameter!$H$6+Parameter!$H$7,Parameter!$H$5+Parameter!$H$6+Parameter!$H$7))-(BI802-BD802))/BD802)))</f>
        <v>1</v>
      </c>
      <c r="BK802" s="60" t="str">
        <f aca="false">IF(AJ802&lt;=0,"",IF(CG802="Aussen","Aussenlager",IF(CG802="-","Nicht im Lift",IF(AP802&gt;=1,"Lift",IF(AP802&lt;=0,"Aussenlager","teilweise")))))</f>
        <v/>
      </c>
      <c r="BL802" s="60" t="str">
        <f aca="false">IF(AT802&lt;=0,"",IF(CG802="Aussen","Aussenlager",IF(CG802="-","Nicht im Lift",IF(AZ802&gt;=1,"Lift",IF(AZ802&lt;=0,"Aussenlager","teilweise")))))</f>
        <v>Lift</v>
      </c>
      <c r="BM802" s="60" t="str">
        <f aca="false">IF(BD802&lt;=0,"",IF(CG802="Aussen","Aussenlager",IF(CG802="-","Nicht im Lift",IF(BJ802&gt;=1,"Lift",IF(BJ802&lt;=0,"Aussenlager","teilweise")))))</f>
        <v>Lift</v>
      </c>
      <c r="BN802" s="60" t="str">
        <f aca="false">IF(A802="","",IF(BW802=1,"Neu; ","")&amp;IF(AND(BW802=0,BR802&lt;0),"negativer Bestand (Export "&amp;BR802&amp;"); ","")&amp;IF(J802&lt;=0,"Kein Verbrauch; ","")&amp;IF(CR802&gt;0,"Lift "&amp;W802&amp;" lt. Liftbericht (Fach "&amp;X802&amp;" Stk); ",IF(CB802=1,"Gebinde geschätzt ("&amp;T802&amp;"); ",IF(CA802=1,"Lose – Tablare geschätzt; ","")))&amp;IF(H802&gt;AW802,"Überbestand "&amp;ROUND(H802-AW802,0)&amp;" Stk / CHF "&amp;ROUND((H802-AW802)*G802,0)&amp;"; ","")&amp;IF(AND(CI802=1,CJ802&lt;CK802),"MAX &lt; MB+LG; ","")&amp;IF(AND(CQ802&gt;0,CP802*10&gt;CQ802),"zu hoch für Tablar; ","")&amp;IF(AND(BW802=0,OR(CI802=1,AB802&lt;&gt;"",U802&lt;&gt;"",V802&lt;&gt;"",AC802&lt;&gt;"")),"manuell übersteuert; ","")&amp;IF(AND(CA802=0,R802=0),"Gebinde unbekannt / Stellmass fehlt; ","")&amp;IF(AND(CA802=0,N(V802)&lt;=0,N(Q802)&lt;=0),"Menge pro Gebinde fehlt (Ist = 1 Gebinde); ","")&amp;BV802)</f>
        <v>negativer Bestand (Export -10); Kein Verbrauch; Gebinde geschätzt (Klein); Menge pro Gebinde fehlt (Ist = 1 Gebinde); Überbestand</v>
      </c>
      <c r="BO802" s="60"/>
      <c r="BP802" s="60"/>
      <c r="BQ802" s="67"/>
      <c r="BR802" s="62" t="n">
        <v>-10</v>
      </c>
      <c r="BS802" s="62" t="n">
        <v>10</v>
      </c>
      <c r="BT802" s="61" t="n">
        <v>-5</v>
      </c>
      <c r="BU802" s="62" t="n">
        <v>0</v>
      </c>
      <c r="BV802" s="60" t="s">
        <v>434</v>
      </c>
      <c r="BW802" s="65" t="n">
        <v>0</v>
      </c>
      <c r="BX802" s="65" t="n">
        <v>802</v>
      </c>
      <c r="BY802" s="60" t="str">
        <f aca="false">IF(U802&lt;&gt;"",UPPER(TRIM(U802)),IF(CB802=1,UPPER(VLOOKUP(T802,Parameter!$I$27:$K$29,2,0)),IF(P802="","LOSE",P802)))</f>
        <v>S51</v>
      </c>
      <c r="BZ802" s="62" t="n">
        <f aca="false">IF(BY802="LOSE",1,IF(N(V802)&gt;0,V802,IF(CB802=1,MAX(1,N(VLOOKUP(T802,Parameter!$I$27:$K$29,3,0)),H802,N(N802)),IF(N(Q802)&gt;0,Q802,MAX(1,H802)))))</f>
        <v>20</v>
      </c>
      <c r="CA802" s="65" t="n">
        <f aca="false">IF(BY802="LOSE",1,0)</f>
        <v>0</v>
      </c>
      <c r="CB802" s="65" t="n">
        <f aca="false">IF(AND(U802="",OR(P802="",P802="LOSE"),T802&lt;&gt;"",N(S802)&lt;=0,ISNUMBER(MATCH(T802,Parameter!$I$27:$I$29,0))),1,0)</f>
        <v>1</v>
      </c>
      <c r="CC802" s="65" t="n">
        <f aca="false">IF(CR802&gt;0,INDEX(Parameter!$H$5:$H$7,W802)/INDEX(Parameter!$E$5:$E$7,W802),IF(AND(CA802=0,N(IFERROR(VLOOKUP(BY802,'Gebinde-Kategorie'!$A$5:$N$45,14,0),0))&gt;0),VLOOKUP(BY802,'Gebinde-Kategorie'!$A$5:$N$45,14,0)*10+Parameter!$M$23,Parameter!$M$24))</f>
        <v>155</v>
      </c>
      <c r="CD802" s="60" t="str">
        <f aca="false">IF(AND(Parameter!$B$19="Ja",E802&lt;&gt;"",ISNUMBER(MATCH(E802,Parameter!$I$35:$I$52,0))),VLOOKUP(E802,Parameter!$I$35:$J$52,2,0),IFERROR(VLOOKUP(D802,Parameter!$A$35:$C$64,2,0),"Nein"))</f>
        <v>2+3</v>
      </c>
      <c r="CE802" s="64" t="n">
        <f aca="false">IF(CA802=0,0,IF(N(S802)&gt;0,S802,IFERROR(VLOOKUP(D802,Parameter!$A$35:$C$64,3,0)+0,0)))</f>
        <v>0</v>
      </c>
      <c r="CF802" s="60" t="n">
        <f aca="false">IF(AB802&lt;&gt;"",AB802,AA802)</f>
        <v>3</v>
      </c>
      <c r="CG802" s="60" t="str">
        <f aca="false">IF(OR(CF802=1,CF802=2,CF802=3),IF(Parameter!$E$27="Ja","LIFT",IF(CF802=1,"L1","L23")),IF(CF802="Aussen","Aussen","-"))</f>
        <v>LIFT</v>
      </c>
      <c r="CH802" s="71" t="n">
        <f aca="false">IF(N(AC802)&gt;0,AC802,0)</f>
        <v>0</v>
      </c>
      <c r="CI802" s="65" t="n">
        <f aca="false">IF(ISNUMBER(AF802),1,0)</f>
        <v>0</v>
      </c>
      <c r="CJ802" s="62" t="n">
        <f aca="false">N(AF802)</f>
        <v>0</v>
      </c>
      <c r="CK802" s="62" t="n">
        <f aca="false">N(M802)+N(N802)</f>
        <v>1</v>
      </c>
      <c r="CL802" s="62" t="n">
        <f aca="false">N(M802)</f>
        <v>0</v>
      </c>
      <c r="CM802" s="62" t="n">
        <f aca="false">N(N802)</f>
        <v>1</v>
      </c>
      <c r="CN802" s="62" t="n">
        <f aca="false">ROUNDUP(H802/BZ802,0)</f>
        <v>0</v>
      </c>
      <c r="CO802" s="62" t="n">
        <f aca="false">ROUNDUP(CJ802/BZ802,0)</f>
        <v>0</v>
      </c>
      <c r="CP802" s="65" t="n">
        <f aca="false">IF(CA802=1,0,IFERROR(VLOOKUP(BY802,'Gebinde-Kategorie'!$A$5:$N$45,5,0)+0,0))</f>
        <v>11</v>
      </c>
      <c r="CQ802" s="65" t="n">
        <f aca="false">IFERROR(IF(OR(CF802=1,CF802=2,CF802=3),N(INDEX(Parameter!$I$5:$I$7,CF802)),0),0)</f>
        <v>0</v>
      </c>
      <c r="CR802" s="64" t="n">
        <f aca="false">IF(AND(Parameter!$B$21="Ja",ISNUMBER(W802),N(X802)&gt;0),IFERROR(N(INDEX(Parameter!$L$5:$L$7,W802))*INDEX(Parameter!$E$5:$E$7,W802)*X802/SUMIFS($X$7:$X$1843,$W$7:$W$1843,W802),0),0)</f>
        <v>0</v>
      </c>
      <c r="CS802" s="62" t="str">
        <f aca="false">IF(AND(OR(CG802="L1",CG802="L23",CG802="LIFT"),H802&gt;0),CC802*IF(CR802&gt;0,CR802*MAX(1,H802/X802),IF(CA802=1,CE802,IF(R802&gt;0,CN802/R802,0))/MAX(0.1,N(Parameter!$M$21))),"")</f>
        <v/>
      </c>
      <c r="CT802" s="64" t="str">
        <f aca="false">IF(CS802="","",J802/H802)</f>
        <v/>
      </c>
      <c r="CU802" s="62" t="str">
        <f aca="false">IF(CS802="","",H802*G802)</f>
        <v/>
      </c>
      <c r="CV802" s="63" t="str">
        <f aca="false">IF(CS802="","",(CL802+ROUNDUP(CL802+MAX(CM802,2*(J802/MAX(0.1,N(Einkauf!$C$6))-CL802)),0))/2)</f>
        <v/>
      </c>
      <c r="CW802" s="62" t="str">
        <f aca="false">IF(CS802="","",MAX(0,H802-CV802)*G802)</f>
        <v/>
      </c>
      <c r="CX802" s="62" t="str">
        <f aca="false">IF(CS802="","",CS802*MAX(0,1-CV802/H802))</f>
        <v/>
      </c>
      <c r="CY802" s="64" t="str">
        <f aca="false">IF(CS802="","",PERCENTRANK($CS$7:$CS$1843,CS802)+PERCENTRANK($CU$7:$CU$1843,CU802)+1-PERCENTRANK($CT$7:$CT$1843,CT802))</f>
        <v/>
      </c>
      <c r="CZ802" s="72" t="str">
        <f aca="false">IF(CS802="","",CHOOSE(MATCH(Einkauf!$C$5,Parameter!$G$23:$G$27,0),CY802,CS802,CU802,-CT802,CW802)+ROW()/1000000000)</f>
        <v/>
      </c>
    </row>
    <row r="803" customFormat="false" ht="15" hidden="false" customHeight="false" outlineLevel="0" collapsed="false">
      <c r="A803" s="60" t="s">
        <v>1602</v>
      </c>
      <c r="B803" s="60" t="s">
        <v>1304</v>
      </c>
      <c r="C803" s="60" t="s">
        <v>206</v>
      </c>
      <c r="D803" s="60" t="s">
        <v>226</v>
      </c>
      <c r="E803" s="60" t="s">
        <v>227</v>
      </c>
      <c r="F803" s="60" t="s">
        <v>260</v>
      </c>
      <c r="G803" s="61" t="n">
        <v>0.05</v>
      </c>
      <c r="H803" s="62" t="n">
        <f aca="false">MAX(0,IF(AND(Parameter!$B$21="Ja",ISNUMBER(Y803)),Y803,IF(Parameter!$B$20="Jahresanfang 2025 + Export",BS803+BR803,BR803)))</f>
        <v>0</v>
      </c>
      <c r="I803" s="62" t="n">
        <f aca="false">H803*G803</f>
        <v>0</v>
      </c>
      <c r="J803" s="62" t="n">
        <f aca="false">BU803*Parameter!$B$18</f>
        <v>0</v>
      </c>
      <c r="K803" s="63" t="n">
        <v>51.5</v>
      </c>
      <c r="L803" s="64" t="n">
        <v>0</v>
      </c>
      <c r="M803" s="62" t="n">
        <v>0</v>
      </c>
      <c r="N803" s="62" t="n">
        <v>1</v>
      </c>
      <c r="O803" s="65" t="n">
        <v>14</v>
      </c>
      <c r="P803" s="60" t="s">
        <v>443</v>
      </c>
      <c r="Q803" s="62" t="n">
        <v>103</v>
      </c>
      <c r="R803" s="65" t="n">
        <f aca="false">IF(CA803=1,0,IFERROR(VLOOKUP(BY803,'Gebinde-Kategorie'!$A$5:$N$45,13,0)+0,0))</f>
        <v>280</v>
      </c>
      <c r="S803" s="66"/>
      <c r="T803" s="67"/>
      <c r="U803" s="67"/>
      <c r="V803" s="67"/>
      <c r="W803" s="60"/>
      <c r="X803" s="62"/>
      <c r="Y803" s="62"/>
      <c r="Z803" s="60" t="n">
        <v>3</v>
      </c>
      <c r="AA803" s="60" t="n">
        <f aca="false">IF(A803="","",IF(AND(Parameter!$B$21="Ja",ISNUMBER(W803)),W803,IF(AND(Parameter!$E$27="Ja",ISNUMBER(Z803),CD803&lt;&gt;"Nein"),Z803,IF(CD803="2+3",IF(ISNUMBER(SEARCH("grosser Artikel",BV803)),2,IFERROR(VLOOKUP(BY803,Parameter!$F$35:$G$64,2,0),2)),IF(OR(CD803="Nein",CD803=""),"-",CD803)))))</f>
        <v>3</v>
      </c>
      <c r="AB803" s="67"/>
      <c r="AC803" s="68"/>
      <c r="AD803" s="62" t="n">
        <f aca="false">AW803</f>
        <v>1</v>
      </c>
      <c r="AE803" s="62" t="n">
        <f aca="false">MAX(AW803,H803)</f>
        <v>1</v>
      </c>
      <c r="AF803" s="69"/>
      <c r="AG803" s="62" t="n">
        <f aca="false">IF(LEFT(Cockpit!$C$5,1)="A",H803,IF(Parameter!$E$30="MAX-Bestand",IF(CI803=1,CJ803,IF(LEFT(Cockpit!$C$5,1)="B",AM803,MAX(AM803,H803))),ROUNDUP(AK803,0)))</f>
        <v>0</v>
      </c>
      <c r="AH803" s="62" t="n">
        <f aca="false">IF(CA803=1,0,ROUNDUP(AG803/BZ803,0))</f>
        <v>0</v>
      </c>
      <c r="AI803" s="64" t="n">
        <f aca="false">IF(CR803&gt;0,CR803*MAX(1,AG803/X803),IF(CA803=1,IF(AG803&lt;=0,0,CE803*MAX(1,IF(H803&gt;0,AG803/H803,1))),IF(R803&gt;0,AH803/R803,0))/MAX(0.1,N(Parameter!$M$21)))</f>
        <v>0</v>
      </c>
      <c r="AJ803" s="62" t="n">
        <f aca="false">AI803*CC803</f>
        <v>0</v>
      </c>
      <c r="AK803" s="63" t="n">
        <f aca="false">IF(LEFT(Cockpit!$C$5,1)="A",H803,IF(CI803=1,(CL803+CJ803)/2,IF(LEFT(Cockpit!$C$5,1)="B",(CL803+AM803)/2,MAX((CL803+AM803)/2,H803))))</f>
        <v>0</v>
      </c>
      <c r="AL803" s="62" t="n">
        <f aca="false">AK803*G803</f>
        <v>0</v>
      </c>
      <c r="AM803" s="62" t="n">
        <f aca="false">ROUNDUP(CL803+MAX(CM803,2*(J803/IF(CH803&gt;0,CH803,MAX(0.1,N(Cockpit!$C$6)))-CL803)),0)</f>
        <v>1</v>
      </c>
      <c r="AN803" s="63" t="n">
        <f aca="false">IF(AJ803&gt;0,J803/AJ803,-1)</f>
        <v>-1</v>
      </c>
      <c r="AO803" s="63" t="str">
        <f aca="false">IF(AND(OR(CG803="L1",CG803="L23",CG803="LIFT"),AJ803&gt;0),SUMIFS($AJ$7:$AJ$1843,$CG$7:$CG$1843,CG803,$AN$7:$AN$1843,"&gt;"&amp;AN803)+SUMIFS($AJ$7:$AJ$1843,$CG$7:$CG$1843,CG803,$AN$7:$AN$1843,AN803,$BX$7:$BX$1843,"&lt;="&amp;BX803),"")</f>
        <v/>
      </c>
      <c r="AP803" s="70" t="n">
        <f aca="false">IF(AO803="",0,MAX(0,MIN(1,(IF(CG803="L1",Parameter!$H$5,IF(CG803="L23",Parameter!$H$6+Parameter!$H$7,Parameter!$H$5+Parameter!$H$6+Parameter!$H$7))-(AO803-AJ803))/AJ803)))</f>
        <v>0</v>
      </c>
      <c r="AQ803" s="62" t="n">
        <f aca="false">IF(LEFT(Cockpit!$I$5,1)="A",H803,IF(Parameter!$E$30="MAX-Bestand",IF(CI803=1,CJ803,IF(LEFT(Cockpit!$I$5,1)="B",AW803,MAX(AW803,H803))),ROUNDUP(AU803,0)))</f>
        <v>1</v>
      </c>
      <c r="AR803" s="62" t="n">
        <f aca="false">IF(CA803=1,0,ROUNDUP(AQ803/BZ803,0))</f>
        <v>1</v>
      </c>
      <c r="AS803" s="64" t="n">
        <f aca="false">IF(CR803&gt;0,CR803*MAX(1,AQ803/X803),IF(CA803=1,IF(AQ803&lt;=0,0,CE803*MAX(1,IF(H803&gt;0,AQ803/H803,1))),IF(R803&gt;0,AR803/R803,0))/MAX(0.1,N(Parameter!$M$21)))</f>
        <v>0.00357142857142857</v>
      </c>
      <c r="AT803" s="62" t="n">
        <f aca="false">AS803*CC803</f>
        <v>0.553571428571429</v>
      </c>
      <c r="AU803" s="63" t="n">
        <f aca="false">IF(LEFT(Cockpit!$I$5,1)="A",H803,IF(CI803=1,(CL803+CJ803)/2,IF(LEFT(Cockpit!$I$5,1)="B",(CL803+AW803)/2,MAX((CL803+AW803)/2,H803))))</f>
        <v>0.5</v>
      </c>
      <c r="AV803" s="62" t="n">
        <f aca="false">AU803*G803</f>
        <v>0.025</v>
      </c>
      <c r="AW803" s="62" t="n">
        <f aca="false">ROUNDUP(CL803+MAX(CM803,2*(J803/IF(CH803&gt;0,CH803,MAX(0.1,N(Cockpit!$I$6)))-CL803)),0)</f>
        <v>1</v>
      </c>
      <c r="AX803" s="63" t="n">
        <f aca="false">IF(AT803&gt;0,J803/AT803,-1)</f>
        <v>0</v>
      </c>
      <c r="AY803" s="63" t="n">
        <f aca="false">IF(AND(OR(CG803="L1",CG803="L23",CG803="LIFT"),AT803&gt;0),SUMIFS($AT$7:$AT$1843,$CG$7:$CG$1843,CG803,$AX$7:$AX$1843,"&gt;"&amp;AX803)+SUMIFS($AT$7:$AT$1843,$CG$7:$CG$1843,CG803,$AX$7:$AX$1843,AX803,$BX$7:$BX$1843,"&lt;="&amp;BX803),"")</f>
        <v>34376.6707875458</v>
      </c>
      <c r="AZ803" s="70" t="n">
        <f aca="false">IF(AY803="",0,MAX(0,MIN(1,(IF(CG803="L1",Parameter!$H$5,IF(CG803="L23",Parameter!$H$6+Parameter!$H$7,Parameter!$H$5+Parameter!$H$6+Parameter!$H$7))-(AY803-AT803))/AT803)))</f>
        <v>1</v>
      </c>
      <c r="BA803" s="62" t="n">
        <f aca="false">IF(LEFT(Cockpit!$O$5,1)="A",H803,IF(Parameter!$E$30="MAX-Bestand",IF(CI803=1,CJ803,IF(LEFT(Cockpit!$O$5,1)="B",BG803,MAX(BG803,H803))),ROUNDUP(BE803,0)))</f>
        <v>1</v>
      </c>
      <c r="BB803" s="62" t="n">
        <f aca="false">IF(CA803=1,0,ROUNDUP(BA803/BZ803,0))</f>
        <v>1</v>
      </c>
      <c r="BC803" s="64" t="n">
        <f aca="false">IF(CR803&gt;0,CR803*MAX(1,BA803/X803),IF(CA803=1,IF(BA803&lt;=0,0,CE803*MAX(1,IF(H803&gt;0,BA803/H803,1))),IF(R803&gt;0,BB803/R803,0))/MAX(0.1,N(Parameter!$M$21)))</f>
        <v>0.00357142857142857</v>
      </c>
      <c r="BD803" s="62" t="n">
        <f aca="false">BC803*CC803</f>
        <v>0.553571428571429</v>
      </c>
      <c r="BE803" s="63" t="n">
        <f aca="false">IF(LEFT(Cockpit!$O$5,1)="A",H803,IF(CI803=1,(CL803+CJ803)/2,IF(LEFT(Cockpit!$O$5,1)="B",(CL803+BG803)/2,MAX((CL803+BG803)/2,H803))))</f>
        <v>0.5</v>
      </c>
      <c r="BF803" s="62" t="n">
        <f aca="false">BE803*G803</f>
        <v>0.025</v>
      </c>
      <c r="BG803" s="62" t="n">
        <f aca="false">ROUNDUP(CL803+MAX(CM803,2*(J803/IF(CH803&gt;0,CH803,MAX(0.1,N(Cockpit!$O$6)))-CL803)),0)</f>
        <v>1</v>
      </c>
      <c r="BH803" s="63" t="n">
        <f aca="false">IF(BD803&gt;0,J803/BD803,-1)</f>
        <v>0</v>
      </c>
      <c r="BI803" s="63" t="n">
        <f aca="false">IF(AND(OR(CG803="L1",CG803="L23",CG803="LIFT"),BD803&gt;0),SUMIFS($BD$7:$BD$1843,$CG$7:$CG$1843,CG803,$BH$7:$BH$1843,"&gt;"&amp;BH803)+SUMIFS($BD$7:$BD$1843,$CG$7:$CG$1843,CG803,$BH$7:$BH$1843,BH803,$BX$7:$BX$1843,"&lt;="&amp;BX803),"")</f>
        <v>28420.5406345067</v>
      </c>
      <c r="BJ803" s="70" t="n">
        <f aca="false">IF(BI803="",0,MAX(0,MIN(1,(IF(CG803="L1",Parameter!$H$5,IF(CG803="L23",Parameter!$H$6+Parameter!$H$7,Parameter!$H$5+Parameter!$H$6+Parameter!$H$7))-(BI803-BD803))/BD803)))</f>
        <v>1</v>
      </c>
      <c r="BK803" s="60" t="str">
        <f aca="false">IF(AJ803&lt;=0,"",IF(CG803="Aussen","Aussenlager",IF(CG803="-","Nicht im Lift",IF(AP803&gt;=1,"Lift",IF(AP803&lt;=0,"Aussenlager","teilweise")))))</f>
        <v/>
      </c>
      <c r="BL803" s="60" t="str">
        <f aca="false">IF(AT803&lt;=0,"",IF(CG803="Aussen","Aussenlager",IF(CG803="-","Nicht im Lift",IF(AZ803&gt;=1,"Lift",IF(AZ803&lt;=0,"Aussenlager","teilweise")))))</f>
        <v>Lift</v>
      </c>
      <c r="BM803" s="60" t="str">
        <f aca="false">IF(BD803&lt;=0,"",IF(CG803="Aussen","Aussenlager",IF(CG803="-","Nicht im Lift",IF(BJ803&gt;=1,"Lift",IF(BJ803&lt;=0,"Aussenlager","teilweise")))))</f>
        <v>Lift</v>
      </c>
      <c r="BN803" s="60" t="str">
        <f aca="false">IF(A803="","",IF(BW803=1,"Neu; ","")&amp;IF(AND(BW803=0,BR803&lt;0),"negativer Bestand (Export "&amp;BR803&amp;"); ","")&amp;IF(J803&lt;=0,"Kein Verbrauch; ","")&amp;IF(CR803&gt;0,"Lift "&amp;W803&amp;" lt. Liftbericht (Fach "&amp;X803&amp;" Stk); ",IF(CB803=1,"Gebinde geschätzt ("&amp;T803&amp;"); ",IF(CA803=1,"Lose – Tablare geschätzt; ","")))&amp;IF(H803&gt;AW803,"Überbestand "&amp;ROUND(H803-AW803,0)&amp;" Stk / CHF "&amp;ROUND((H803-AW803)*G803,0)&amp;"; ","")&amp;IF(AND(CI803=1,CJ803&lt;CK803),"MAX &lt; MB+LG; ","")&amp;IF(AND(CQ803&gt;0,CP803*10&gt;CQ803),"zu hoch für Tablar; ","")&amp;IF(AND(BW803=0,OR(CI803=1,AB803&lt;&gt;"",U803&lt;&gt;"",V803&lt;&gt;"",AC803&lt;&gt;"")),"manuell übersteuert; ","")&amp;IF(AND(CA803=0,R803=0),"Gebinde unbekannt / Stellmass fehlt; ","")&amp;IF(AND(CA803=0,N(V803)&lt;=0,N(Q803)&lt;=0),"Menge pro Gebinde fehlt (Ist = 1 Gebinde); ","")&amp;BV803)</f>
        <v>negativer Bestand (Export -103); Kein Verbrauch; Neu</v>
      </c>
      <c r="BO803" s="60"/>
      <c r="BP803" s="60"/>
      <c r="BQ803" s="67"/>
      <c r="BR803" s="62" t="n">
        <v>-103</v>
      </c>
      <c r="BS803" s="62" t="n">
        <v>103</v>
      </c>
      <c r="BT803" s="61" t="n">
        <v>-5.15</v>
      </c>
      <c r="BU803" s="62" t="n">
        <v>0</v>
      </c>
      <c r="BV803" s="60" t="s">
        <v>668</v>
      </c>
      <c r="BW803" s="65" t="n">
        <v>0</v>
      </c>
      <c r="BX803" s="65" t="n">
        <v>803</v>
      </c>
      <c r="BY803" s="60" t="str">
        <f aca="false">IF(U803&lt;&gt;"",UPPER(TRIM(U803)),IF(CB803=1,UPPER(VLOOKUP(T803,Parameter!$I$27:$K$29,2,0)),IF(P803="","LOSE",P803)))</f>
        <v>S21</v>
      </c>
      <c r="BZ803" s="62" t="n">
        <f aca="false">IF(BY803="LOSE",1,IF(N(V803)&gt;0,V803,IF(CB803=1,MAX(1,N(VLOOKUP(T803,Parameter!$I$27:$K$29,3,0)),H803,N(N803)),IF(N(Q803)&gt;0,Q803,MAX(1,H803)))))</f>
        <v>103</v>
      </c>
      <c r="CA803" s="65" t="n">
        <f aca="false">IF(BY803="LOSE",1,0)</f>
        <v>0</v>
      </c>
      <c r="CB803" s="65" t="n">
        <f aca="false">IF(AND(U803="",OR(P803="",P803="LOSE"),T803&lt;&gt;"",N(S803)&lt;=0,ISNUMBER(MATCH(T803,Parameter!$I$27:$I$29,0))),1,0)</f>
        <v>0</v>
      </c>
      <c r="CC803" s="65" t="n">
        <f aca="false">IF(CR803&gt;0,INDEX(Parameter!$H$5:$H$7,W803)/INDEX(Parameter!$E$5:$E$7,W803),IF(AND(CA803=0,N(IFERROR(VLOOKUP(BY803,'Gebinde-Kategorie'!$A$5:$N$45,14,0),0))&gt;0),VLOOKUP(BY803,'Gebinde-Kategorie'!$A$5:$N$45,14,0)*10+Parameter!$M$23,Parameter!$M$24))</f>
        <v>155</v>
      </c>
      <c r="CD803" s="60" t="str">
        <f aca="false">IF(AND(Parameter!$B$19="Ja",E803&lt;&gt;"",ISNUMBER(MATCH(E803,Parameter!$I$35:$I$52,0))),VLOOKUP(E803,Parameter!$I$35:$J$52,2,0),IFERROR(VLOOKUP(D803,Parameter!$A$35:$C$64,2,0),"Nein"))</f>
        <v>2+3</v>
      </c>
      <c r="CE803" s="64" t="n">
        <f aca="false">IF(CA803=0,0,IF(N(S803)&gt;0,S803,IFERROR(VLOOKUP(D803,Parameter!$A$35:$C$64,3,0)+0,0)))</f>
        <v>0</v>
      </c>
      <c r="CF803" s="60" t="n">
        <f aca="false">IF(AB803&lt;&gt;"",AB803,AA803)</f>
        <v>3</v>
      </c>
      <c r="CG803" s="60" t="str">
        <f aca="false">IF(OR(CF803=1,CF803=2,CF803=3),IF(Parameter!$E$27="Ja","LIFT",IF(CF803=1,"L1","L23")),IF(CF803="Aussen","Aussen","-"))</f>
        <v>LIFT</v>
      </c>
      <c r="CH803" s="71" t="n">
        <f aca="false">IF(N(AC803)&gt;0,AC803,0)</f>
        <v>0</v>
      </c>
      <c r="CI803" s="65" t="n">
        <f aca="false">IF(ISNUMBER(AF803),1,0)</f>
        <v>0</v>
      </c>
      <c r="CJ803" s="62" t="n">
        <f aca="false">N(AF803)</f>
        <v>0</v>
      </c>
      <c r="CK803" s="62" t="n">
        <f aca="false">N(M803)+N(N803)</f>
        <v>1</v>
      </c>
      <c r="CL803" s="62" t="n">
        <f aca="false">N(M803)</f>
        <v>0</v>
      </c>
      <c r="CM803" s="62" t="n">
        <f aca="false">N(N803)</f>
        <v>1</v>
      </c>
      <c r="CN803" s="62" t="n">
        <f aca="false">ROUNDUP(H803/BZ803,0)</f>
        <v>0</v>
      </c>
      <c r="CO803" s="62" t="n">
        <f aca="false">ROUNDUP(CJ803/BZ803,0)</f>
        <v>0</v>
      </c>
      <c r="CP803" s="65" t="n">
        <f aca="false">IF(CA803=1,0,IFERROR(VLOOKUP(BY803,'Gebinde-Kategorie'!$A$5:$N$45,5,0)+0,0))</f>
        <v>8</v>
      </c>
      <c r="CQ803" s="65" t="n">
        <f aca="false">IFERROR(IF(OR(CF803=1,CF803=2,CF803=3),N(INDEX(Parameter!$I$5:$I$7,CF803)),0),0)</f>
        <v>0</v>
      </c>
      <c r="CR803" s="64" t="n">
        <f aca="false">IF(AND(Parameter!$B$21="Ja",ISNUMBER(W803),N(X803)&gt;0),IFERROR(N(INDEX(Parameter!$L$5:$L$7,W803))*INDEX(Parameter!$E$5:$E$7,W803)*X803/SUMIFS($X$7:$X$1843,$W$7:$W$1843,W803),0),0)</f>
        <v>0</v>
      </c>
      <c r="CS803" s="62" t="str">
        <f aca="false">IF(AND(OR(CG803="L1",CG803="L23",CG803="LIFT"),H803&gt;0),CC803*IF(CR803&gt;0,CR803*MAX(1,H803/X803),IF(CA803=1,CE803,IF(R803&gt;0,CN803/R803,0))/MAX(0.1,N(Parameter!$M$21))),"")</f>
        <v/>
      </c>
      <c r="CT803" s="64" t="str">
        <f aca="false">IF(CS803="","",J803/H803)</f>
        <v/>
      </c>
      <c r="CU803" s="62" t="str">
        <f aca="false">IF(CS803="","",H803*G803)</f>
        <v/>
      </c>
      <c r="CV803" s="63" t="str">
        <f aca="false">IF(CS803="","",(CL803+ROUNDUP(CL803+MAX(CM803,2*(J803/MAX(0.1,N(Einkauf!$C$6))-CL803)),0))/2)</f>
        <v/>
      </c>
      <c r="CW803" s="62" t="str">
        <f aca="false">IF(CS803="","",MAX(0,H803-CV803)*G803)</f>
        <v/>
      </c>
      <c r="CX803" s="62" t="str">
        <f aca="false">IF(CS803="","",CS803*MAX(0,1-CV803/H803))</f>
        <v/>
      </c>
      <c r="CY803" s="64" t="str">
        <f aca="false">IF(CS803="","",PERCENTRANK($CS$7:$CS$1843,CS803)+PERCENTRANK($CU$7:$CU$1843,CU803)+1-PERCENTRANK($CT$7:$CT$1843,CT803))</f>
        <v/>
      </c>
      <c r="CZ803" s="72" t="str">
        <f aca="false">IF(CS803="","",CHOOSE(MATCH(Einkauf!$C$5,Parameter!$G$23:$G$27,0),CY803,CS803,CU803,-CT803,CW803)+ROW()/1000000000)</f>
        <v/>
      </c>
    </row>
    <row r="804" customFormat="false" ht="15" hidden="false" customHeight="false" outlineLevel="0" collapsed="false">
      <c r="A804" s="60" t="s">
        <v>1603</v>
      </c>
      <c r="B804" s="60" t="s">
        <v>447</v>
      </c>
      <c r="C804" s="60" t="s">
        <v>206</v>
      </c>
      <c r="D804" s="60" t="s">
        <v>226</v>
      </c>
      <c r="E804" s="60" t="s">
        <v>227</v>
      </c>
      <c r="F804" s="60" t="s">
        <v>260</v>
      </c>
      <c r="G804" s="61" t="n">
        <v>0.04</v>
      </c>
      <c r="H804" s="62" t="n">
        <f aca="false">MAX(0,IF(AND(Parameter!$B$21="Ja",ISNUMBER(Y804)),Y804,IF(Parameter!$B$20="Jahresanfang 2025 + Export",BS804+BR804,BR804)))</f>
        <v>382</v>
      </c>
      <c r="I804" s="62" t="n">
        <f aca="false">H804*G804</f>
        <v>15.28</v>
      </c>
      <c r="J804" s="62" t="n">
        <f aca="false">BU804*Parameter!$B$18</f>
        <v>112</v>
      </c>
      <c r="K804" s="63" t="n">
        <v>454.5</v>
      </c>
      <c r="L804" s="64" t="n">
        <v>0.246424642464246</v>
      </c>
      <c r="M804" s="62" t="n">
        <v>6</v>
      </c>
      <c r="N804" s="62" t="n">
        <v>110</v>
      </c>
      <c r="O804" s="65" t="n">
        <v>21</v>
      </c>
      <c r="P804" s="60" t="s">
        <v>468</v>
      </c>
      <c r="Q804" s="62" t="n">
        <v>589</v>
      </c>
      <c r="R804" s="65" t="n">
        <f aca="false">IF(CA804=1,0,IFERROR(VLOOKUP(BY804,'Gebinde-Kategorie'!$A$5:$N$45,13,0)+0,0))</f>
        <v>140</v>
      </c>
      <c r="S804" s="66"/>
      <c r="T804" s="67"/>
      <c r="U804" s="67"/>
      <c r="V804" s="67"/>
      <c r="W804" s="60"/>
      <c r="X804" s="62"/>
      <c r="Y804" s="62"/>
      <c r="Z804" s="60" t="n">
        <v>2</v>
      </c>
      <c r="AA804" s="60" t="n">
        <f aca="false">IF(A804="","",IF(AND(Parameter!$B$21="Ja",ISNUMBER(W804)),W804,IF(AND(Parameter!$E$27="Ja",ISNUMBER(Z804),CD804&lt;&gt;"Nein"),Z804,IF(CD804="2+3",IF(ISNUMBER(SEARCH("grosser Artikel",BV804)),2,IFERROR(VLOOKUP(BY804,Parameter!$F$35:$G$64,2,0),2)),IF(OR(CD804="Nein",CD804=""),"-",CD804)))))</f>
        <v>2</v>
      </c>
      <c r="AB804" s="67"/>
      <c r="AC804" s="68"/>
      <c r="AD804" s="62" t="n">
        <f aca="false">AW804</f>
        <v>116</v>
      </c>
      <c r="AE804" s="62" t="n">
        <f aca="false">MAX(AW804,H804)</f>
        <v>382</v>
      </c>
      <c r="AF804" s="69"/>
      <c r="AG804" s="62" t="n">
        <f aca="false">IF(LEFT(Cockpit!$C$5,1)="A",H804,IF(Parameter!$E$30="MAX-Bestand",IF(CI804=1,CJ804,IF(LEFT(Cockpit!$C$5,1)="B",AM804,MAX(AM804,H804))),ROUNDUP(AK804,0)))</f>
        <v>382</v>
      </c>
      <c r="AH804" s="62" t="n">
        <f aca="false">IF(CA804=1,0,ROUNDUP(AG804/BZ804,0))</f>
        <v>1</v>
      </c>
      <c r="AI804" s="64" t="n">
        <f aca="false">IF(CR804&gt;0,CR804*MAX(1,AG804/X804),IF(CA804=1,IF(AG804&lt;=0,0,CE804*MAX(1,IF(H804&gt;0,AG804/H804,1))),IF(R804&gt;0,AH804/R804,0))/MAX(0.1,N(Parameter!$M$21)))</f>
        <v>0.00714285714285714</v>
      </c>
      <c r="AJ804" s="62" t="n">
        <f aca="false">AI804*CC804</f>
        <v>1.10714285714286</v>
      </c>
      <c r="AK804" s="63" t="n">
        <f aca="false">IF(LEFT(Cockpit!$C$5,1)="A",H804,IF(CI804=1,(CL804+CJ804)/2,IF(LEFT(Cockpit!$C$5,1)="B",(CL804+AM804)/2,MAX((CL804+AM804)/2,H804))))</f>
        <v>382</v>
      </c>
      <c r="AL804" s="62" t="n">
        <f aca="false">AK804*G804</f>
        <v>15.28</v>
      </c>
      <c r="AM804" s="62" t="n">
        <f aca="false">ROUNDUP(CL804+MAX(CM804,2*(J804/IF(CH804&gt;0,CH804,MAX(0.1,N(Cockpit!$C$6)))-CL804)),0)</f>
        <v>116</v>
      </c>
      <c r="AN804" s="63" t="n">
        <f aca="false">IF(AJ804&gt;0,J804/AJ804,-1)</f>
        <v>101.161290322581</v>
      </c>
      <c r="AO804" s="63" t="n">
        <f aca="false">IF(AND(OR(CG804="L1",CG804="L23",CG804="LIFT"),AJ804&gt;0),SUMIFS($AJ$7:$AJ$1843,$CG$7:$CG$1843,CG804,$AN$7:$AN$1843,"&gt;"&amp;AN804)+SUMIFS($AJ$7:$AJ$1843,$CG$7:$CG$1843,CG804,$AN$7:$AN$1843,AN804,$BX$7:$BX$1843,"&lt;="&amp;BX804),"")</f>
        <v>758.480311355311</v>
      </c>
      <c r="AP804" s="70" t="n">
        <f aca="false">IF(AO804="",0,MAX(0,MIN(1,(IF(CG804="L1",Parameter!$H$5,IF(CG804="L23",Parameter!$H$6+Parameter!$H$7,Parameter!$H$5+Parameter!$H$6+Parameter!$H$7))-(AO804-AJ804))/AJ804)))</f>
        <v>1</v>
      </c>
      <c r="AQ804" s="62" t="n">
        <f aca="false">IF(LEFT(Cockpit!$I$5,1)="A",H804,IF(Parameter!$E$30="MAX-Bestand",IF(CI804=1,CJ804,IF(LEFT(Cockpit!$I$5,1)="B",AW804,MAX(AW804,H804))),ROUNDUP(AU804,0)))</f>
        <v>382</v>
      </c>
      <c r="AR804" s="62" t="n">
        <f aca="false">IF(CA804=1,0,ROUNDUP(AQ804/BZ804,0))</f>
        <v>1</v>
      </c>
      <c r="AS804" s="64" t="n">
        <f aca="false">IF(CR804&gt;0,CR804*MAX(1,AQ804/X804),IF(CA804=1,IF(AQ804&lt;=0,0,CE804*MAX(1,IF(H804&gt;0,AQ804/H804,1))),IF(R804&gt;0,AR804/R804,0))/MAX(0.1,N(Parameter!$M$21)))</f>
        <v>0.00714285714285714</v>
      </c>
      <c r="AT804" s="62" t="n">
        <f aca="false">AS804*CC804</f>
        <v>1.10714285714286</v>
      </c>
      <c r="AU804" s="63" t="n">
        <f aca="false">IF(LEFT(Cockpit!$I$5,1)="A",H804,IF(CI804=1,(CL804+CJ804)/2,IF(LEFT(Cockpit!$I$5,1)="B",(CL804+AW804)/2,MAX((CL804+AW804)/2,H804))))</f>
        <v>382</v>
      </c>
      <c r="AV804" s="62" t="n">
        <f aca="false">AU804*G804</f>
        <v>15.28</v>
      </c>
      <c r="AW804" s="62" t="n">
        <f aca="false">ROUNDUP(CL804+MAX(CM804,2*(J804/IF(CH804&gt;0,CH804,MAX(0.1,N(Cockpit!$I$6)))-CL804)),0)</f>
        <v>116</v>
      </c>
      <c r="AX804" s="63" t="n">
        <f aca="false">IF(AT804&gt;0,J804/AT804,-1)</f>
        <v>101.161290322581</v>
      </c>
      <c r="AY804" s="63" t="n">
        <f aca="false">IF(AND(OR(CG804="L1",CG804="L23",CG804="LIFT"),AT804&gt;0),SUMIFS($AT$7:$AT$1843,$CG$7:$CG$1843,CG804,$AX$7:$AX$1843,"&gt;"&amp;AX804)+SUMIFS($AT$7:$AT$1843,$CG$7:$CG$1843,CG804,$AX$7:$AX$1843,AX804,$BX$7:$BX$1843,"&lt;="&amp;BX804),"")</f>
        <v>833.203296703297</v>
      </c>
      <c r="AZ804" s="70" t="n">
        <f aca="false">IF(AY804="",0,MAX(0,MIN(1,(IF(CG804="L1",Parameter!$H$5,IF(CG804="L23",Parameter!$H$6+Parameter!$H$7,Parameter!$H$5+Parameter!$H$6+Parameter!$H$7))-(AY804-AT804))/AT804)))</f>
        <v>1</v>
      </c>
      <c r="BA804" s="62" t="n">
        <f aca="false">IF(LEFT(Cockpit!$O$5,1)="A",H804,IF(Parameter!$E$30="MAX-Bestand",IF(CI804=1,CJ804,IF(LEFT(Cockpit!$O$5,1)="B",BG804,MAX(BG804,H804))),ROUNDUP(BE804,0)))</f>
        <v>61</v>
      </c>
      <c r="BB804" s="62" t="n">
        <f aca="false">IF(CA804=1,0,ROUNDUP(BA804/BZ804,0))</f>
        <v>1</v>
      </c>
      <c r="BC804" s="64" t="n">
        <f aca="false">IF(CR804&gt;0,CR804*MAX(1,BA804/X804),IF(CA804=1,IF(BA804&lt;=0,0,CE804*MAX(1,IF(H804&gt;0,BA804/H804,1))),IF(R804&gt;0,BB804/R804,0))/MAX(0.1,N(Parameter!$M$21)))</f>
        <v>0.00714285714285714</v>
      </c>
      <c r="BD804" s="62" t="n">
        <f aca="false">BC804*CC804</f>
        <v>1.10714285714286</v>
      </c>
      <c r="BE804" s="63" t="n">
        <f aca="false">IF(LEFT(Cockpit!$O$5,1)="A",H804,IF(CI804=1,(CL804+CJ804)/2,IF(LEFT(Cockpit!$O$5,1)="B",(CL804+BG804)/2,MAX((CL804+BG804)/2,H804))))</f>
        <v>61</v>
      </c>
      <c r="BF804" s="62" t="n">
        <f aca="false">BE804*G804</f>
        <v>2.44</v>
      </c>
      <c r="BG804" s="62" t="n">
        <f aca="false">ROUNDUP(CL804+MAX(CM804,2*(J804/IF(CH804&gt;0,CH804,MAX(0.1,N(Cockpit!$O$6)))-CL804)),0)</f>
        <v>116</v>
      </c>
      <c r="BH804" s="63" t="n">
        <f aca="false">IF(BD804&gt;0,J804/BD804,-1)</f>
        <v>101.161290322581</v>
      </c>
      <c r="BI804" s="63" t="n">
        <f aca="false">IF(AND(OR(CG804="L1",CG804="L23",CG804="LIFT"),BD804&gt;0),SUMIFS($BD$7:$BD$1843,$CG$7:$CG$1843,CG804,$BH$7:$BH$1843,"&gt;"&amp;BH804)+SUMIFS($BD$7:$BD$1843,$CG$7:$CG$1843,CG804,$BH$7:$BH$1843,BH804,$BX$7:$BX$1843,"&lt;="&amp;BX804),"")</f>
        <v>902.944139194139</v>
      </c>
      <c r="BJ804" s="70" t="n">
        <f aca="false">IF(BI804="",0,MAX(0,MIN(1,(IF(CG804="L1",Parameter!$H$5,IF(CG804="L23",Parameter!$H$6+Parameter!$H$7,Parameter!$H$5+Parameter!$H$6+Parameter!$H$7))-(BI804-BD804))/BD804)))</f>
        <v>1</v>
      </c>
      <c r="BK804" s="60" t="str">
        <f aca="false">IF(AJ804&lt;=0,"",IF(CG804="Aussen","Aussenlager",IF(CG804="-","Nicht im Lift",IF(AP804&gt;=1,"Lift",IF(AP804&lt;=0,"Aussenlager","teilweise")))))</f>
        <v>Lift</v>
      </c>
      <c r="BL804" s="60" t="str">
        <f aca="false">IF(AT804&lt;=0,"",IF(CG804="Aussen","Aussenlager",IF(CG804="-","Nicht im Lift",IF(AZ804&gt;=1,"Lift",IF(AZ804&lt;=0,"Aussenlager","teilweise")))))</f>
        <v>Lift</v>
      </c>
      <c r="BM804" s="60" t="str">
        <f aca="false">IF(BD804&lt;=0,"",IF(CG804="Aussen","Aussenlager",IF(CG804="-","Nicht im Lift",IF(BJ804&gt;=1,"Lift",IF(BJ804&lt;=0,"Aussenlager","teilweise")))))</f>
        <v>Lift</v>
      </c>
      <c r="BN804" s="60" t="str">
        <f aca="false">IF(A804="","",IF(BW804=1,"Neu; ","")&amp;IF(AND(BW804=0,BR804&lt;0),"negativer Bestand (Export "&amp;BR804&amp;"); ","")&amp;IF(J804&lt;=0,"Kein Verbrauch; ","")&amp;IF(CR804&gt;0,"Lift "&amp;W804&amp;" lt. Liftbericht (Fach "&amp;X804&amp;" Stk); ",IF(CB804=1,"Gebinde geschätzt ("&amp;T804&amp;"); ",IF(CA804=1,"Lose – Tablare geschätzt; ","")))&amp;IF(H804&gt;AW804,"Überbestand "&amp;ROUND(H804-AW804,0)&amp;" Stk / CHF "&amp;ROUND((H804-AW804)*G804,0)&amp;"; ","")&amp;IF(AND(CI804=1,CJ804&lt;CK804),"MAX &lt; MB+LG; ","")&amp;IF(AND(CQ804&gt;0,CP804*10&gt;CQ804),"zu hoch für Tablar; ","")&amp;IF(AND(BW804=0,OR(CI804=1,AB804&lt;&gt;"",U804&lt;&gt;"",V804&lt;&gt;"",AC804&lt;&gt;"")),"manuell übersteuert; ","")&amp;IF(AND(CA804=0,R804=0),"Gebinde unbekannt / Stellmass fehlt; ","")&amp;IF(AND(CA804=0,N(V804)&lt;=0,N(Q804)&lt;=0),"Menge pro Gebinde fehlt (Ist = 1 Gebinde); ","")&amp;BV804)</f>
        <v>negativer Bestand (Export -135); Überbestand 266 Stk / CHF 11; Überbestand</v>
      </c>
      <c r="BO804" s="60"/>
      <c r="BP804" s="60"/>
      <c r="BQ804" s="67"/>
      <c r="BR804" s="62" t="n">
        <v>-135</v>
      </c>
      <c r="BS804" s="62" t="n">
        <v>517</v>
      </c>
      <c r="BT804" s="61" t="n">
        <v>-5.4</v>
      </c>
      <c r="BU804" s="62" t="n">
        <v>112</v>
      </c>
      <c r="BV804" s="60" t="s">
        <v>434</v>
      </c>
      <c r="BW804" s="65" t="n">
        <v>0</v>
      </c>
      <c r="BX804" s="65" t="n">
        <v>804</v>
      </c>
      <c r="BY804" s="60" t="str">
        <f aca="false">IF(U804&lt;&gt;"",UPPER(TRIM(U804)),IF(CB804=1,UPPER(VLOOKUP(T804,Parameter!$I$27:$K$29,2,0)),IF(P804="","LOSE",P804)))</f>
        <v>S22</v>
      </c>
      <c r="BZ804" s="62" t="n">
        <f aca="false">IF(BY804="LOSE",1,IF(N(V804)&gt;0,V804,IF(CB804=1,MAX(1,N(VLOOKUP(T804,Parameter!$I$27:$K$29,3,0)),H804,N(N804)),IF(N(Q804)&gt;0,Q804,MAX(1,H804)))))</f>
        <v>589</v>
      </c>
      <c r="CA804" s="65" t="n">
        <f aca="false">IF(BY804="LOSE",1,0)</f>
        <v>0</v>
      </c>
      <c r="CB804" s="65" t="n">
        <f aca="false">IF(AND(U804="",OR(P804="",P804="LOSE"),T804&lt;&gt;"",N(S804)&lt;=0,ISNUMBER(MATCH(T804,Parameter!$I$27:$I$29,0))),1,0)</f>
        <v>0</v>
      </c>
      <c r="CC804" s="65" t="n">
        <f aca="false">IF(CR804&gt;0,INDEX(Parameter!$H$5:$H$7,W804)/INDEX(Parameter!$E$5:$E$7,W804),IF(AND(CA804=0,N(IFERROR(VLOOKUP(BY804,'Gebinde-Kategorie'!$A$5:$N$45,14,0),0))&gt;0),VLOOKUP(BY804,'Gebinde-Kategorie'!$A$5:$N$45,14,0)*10+Parameter!$M$23,Parameter!$M$24))</f>
        <v>155</v>
      </c>
      <c r="CD804" s="60" t="str">
        <f aca="false">IF(AND(Parameter!$B$19="Ja",E804&lt;&gt;"",ISNUMBER(MATCH(E804,Parameter!$I$35:$I$52,0))),VLOOKUP(E804,Parameter!$I$35:$J$52,2,0),IFERROR(VLOOKUP(D804,Parameter!$A$35:$C$64,2,0),"Nein"))</f>
        <v>2+3</v>
      </c>
      <c r="CE804" s="64" t="n">
        <f aca="false">IF(CA804=0,0,IF(N(S804)&gt;0,S804,IFERROR(VLOOKUP(D804,Parameter!$A$35:$C$64,3,0)+0,0)))</f>
        <v>0</v>
      </c>
      <c r="CF804" s="60" t="n">
        <f aca="false">IF(AB804&lt;&gt;"",AB804,AA804)</f>
        <v>2</v>
      </c>
      <c r="CG804" s="60" t="str">
        <f aca="false">IF(OR(CF804=1,CF804=2,CF804=3),IF(Parameter!$E$27="Ja","LIFT",IF(CF804=1,"L1","L23")),IF(CF804="Aussen","Aussen","-"))</f>
        <v>LIFT</v>
      </c>
      <c r="CH804" s="71" t="n">
        <f aca="false">IF(N(AC804)&gt;0,AC804,0)</f>
        <v>0</v>
      </c>
      <c r="CI804" s="65" t="n">
        <f aca="false">IF(ISNUMBER(AF804),1,0)</f>
        <v>0</v>
      </c>
      <c r="CJ804" s="62" t="n">
        <f aca="false">N(AF804)</f>
        <v>0</v>
      </c>
      <c r="CK804" s="62" t="n">
        <f aca="false">N(M804)+N(N804)</f>
        <v>116</v>
      </c>
      <c r="CL804" s="62" t="n">
        <f aca="false">N(M804)</f>
        <v>6</v>
      </c>
      <c r="CM804" s="62" t="n">
        <f aca="false">N(N804)</f>
        <v>110</v>
      </c>
      <c r="CN804" s="62" t="n">
        <f aca="false">ROUNDUP(H804/BZ804,0)</f>
        <v>1</v>
      </c>
      <c r="CO804" s="62" t="n">
        <f aca="false">ROUNDUP(CJ804/BZ804,0)</f>
        <v>0</v>
      </c>
      <c r="CP804" s="65" t="n">
        <f aca="false">IF(CA804=1,0,IFERROR(VLOOKUP(BY804,'Gebinde-Kategorie'!$A$5:$N$45,5,0)+0,0))</f>
        <v>8</v>
      </c>
      <c r="CQ804" s="65" t="n">
        <f aca="false">IFERROR(IF(OR(CF804=1,CF804=2,CF804=3),N(INDEX(Parameter!$I$5:$I$7,CF804)),0),0)</f>
        <v>0</v>
      </c>
      <c r="CR804" s="64" t="n">
        <f aca="false">IF(AND(Parameter!$B$21="Ja",ISNUMBER(W804),N(X804)&gt;0),IFERROR(N(INDEX(Parameter!$L$5:$L$7,W804))*INDEX(Parameter!$E$5:$E$7,W804)*X804/SUMIFS($X$7:$X$1843,$W$7:$W$1843,W804),0),0)</f>
        <v>0</v>
      </c>
      <c r="CS804" s="62" t="n">
        <f aca="false">IF(AND(OR(CG804="L1",CG804="L23",CG804="LIFT"),H804&gt;0),CC804*IF(CR804&gt;0,CR804*MAX(1,H804/X804),IF(CA804=1,CE804,IF(R804&gt;0,CN804/R804,0))/MAX(0.1,N(Parameter!$M$21))),"")</f>
        <v>1.10714285714286</v>
      </c>
      <c r="CT804" s="64" t="n">
        <f aca="false">IF(CS804="","",J804/H804)</f>
        <v>0.293193717277487</v>
      </c>
      <c r="CU804" s="62" t="n">
        <f aca="false">IF(CS804="","",H804*G804)</f>
        <v>15.28</v>
      </c>
      <c r="CV804" s="63" t="n">
        <f aca="false">IF(CS804="","",(CL804+ROUNDUP(CL804+MAX(CM804,2*(J804/MAX(0.1,N(Einkauf!$C$6))-CL804)),0))/2)</f>
        <v>61</v>
      </c>
      <c r="CW804" s="62" t="n">
        <f aca="false">IF(CS804="","",MAX(0,H804-CV804)*G804)</f>
        <v>12.84</v>
      </c>
      <c r="CX804" s="62" t="n">
        <f aca="false">IF(CS804="","",CS804*MAX(0,1-CV804/H804))</f>
        <v>0.930347793567689</v>
      </c>
      <c r="CY804" s="64" t="n">
        <f aca="false">IF(CS804="","",PERCENTRANK($CS$7:$CS$1843,CS804)+PERCENTRANK($CU$7:$CU$1843,CU804)+1-PERCENTRANK($CT$7:$CT$1843,CT804))</f>
        <v>0.6196</v>
      </c>
      <c r="CZ804" s="72" t="n">
        <f aca="false">IF(CS804="","",CHOOSE(MATCH(Einkauf!$C$5,Parameter!$G$23:$G$27,0),CY804,CS804,CU804,-CT804,CW804)+ROW()/1000000000)</f>
        <v>0.619600804</v>
      </c>
    </row>
    <row r="805" customFormat="false" ht="15" hidden="false" customHeight="false" outlineLevel="0" collapsed="false">
      <c r="A805" s="60" t="s">
        <v>1604</v>
      </c>
      <c r="B805" s="60" t="s">
        <v>1275</v>
      </c>
      <c r="C805" s="60" t="s">
        <v>206</v>
      </c>
      <c r="D805" s="60" t="s">
        <v>226</v>
      </c>
      <c r="E805" s="60"/>
      <c r="F805" s="60" t="s">
        <v>260</v>
      </c>
      <c r="G805" s="61" t="n">
        <v>5.8</v>
      </c>
      <c r="H805" s="62" t="n">
        <f aca="false">MAX(0,IF(AND(Parameter!$B$21="Ja",ISNUMBER(Y805)),Y805,IF(Parameter!$B$20="Jahresanfang 2025 + Export",BS805+BR805,BR805)))</f>
        <v>3</v>
      </c>
      <c r="I805" s="62" t="n">
        <f aca="false">H805*G805</f>
        <v>17.4</v>
      </c>
      <c r="J805" s="62" t="n">
        <f aca="false">BU805*Parameter!$B$18</f>
        <v>0</v>
      </c>
      <c r="K805" s="63" t="n">
        <v>4</v>
      </c>
      <c r="L805" s="64" t="n">
        <v>0</v>
      </c>
      <c r="M805" s="62" t="n">
        <v>0</v>
      </c>
      <c r="N805" s="62" t="n">
        <v>1</v>
      </c>
      <c r="O805" s="65" t="n">
        <v>14</v>
      </c>
      <c r="P805" s="60" t="s">
        <v>468</v>
      </c>
      <c r="Q805" s="62" t="n">
        <v>2</v>
      </c>
      <c r="R805" s="65" t="n">
        <f aca="false">IF(CA805=1,0,IFERROR(VLOOKUP(BY805,'Gebinde-Kategorie'!$A$5:$N$45,13,0)+0,0))</f>
        <v>140</v>
      </c>
      <c r="S805" s="66"/>
      <c r="T805" s="67"/>
      <c r="U805" s="67"/>
      <c r="V805" s="67"/>
      <c r="W805" s="60"/>
      <c r="X805" s="62"/>
      <c r="Y805" s="62"/>
      <c r="Z805" s="60" t="n">
        <v>3</v>
      </c>
      <c r="AA805" s="60" t="n">
        <f aca="false">IF(A805="","",IF(AND(Parameter!$B$21="Ja",ISNUMBER(W805)),W805,IF(AND(Parameter!$E$27="Ja",ISNUMBER(Z805),CD805&lt;&gt;"Nein"),Z805,IF(CD805="2+3",IF(ISNUMBER(SEARCH("grosser Artikel",BV805)),2,IFERROR(VLOOKUP(BY805,Parameter!$F$35:$G$64,2,0),2)),IF(OR(CD805="Nein",CD805=""),"-",CD805)))))</f>
        <v>3</v>
      </c>
      <c r="AB805" s="67"/>
      <c r="AC805" s="68"/>
      <c r="AD805" s="62" t="n">
        <f aca="false">AW805</f>
        <v>1</v>
      </c>
      <c r="AE805" s="62" t="n">
        <f aca="false">MAX(AW805,H805)</f>
        <v>3</v>
      </c>
      <c r="AF805" s="69"/>
      <c r="AG805" s="62" t="n">
        <f aca="false">IF(LEFT(Cockpit!$C$5,1)="A",H805,IF(Parameter!$E$30="MAX-Bestand",IF(CI805=1,CJ805,IF(LEFT(Cockpit!$C$5,1)="B",AM805,MAX(AM805,H805))),ROUNDUP(AK805,0)))</f>
        <v>3</v>
      </c>
      <c r="AH805" s="62" t="n">
        <f aca="false">IF(CA805=1,0,ROUNDUP(AG805/BZ805,0))</f>
        <v>2</v>
      </c>
      <c r="AI805" s="64" t="n">
        <f aca="false">IF(CR805&gt;0,CR805*MAX(1,AG805/X805),IF(CA805=1,IF(AG805&lt;=0,0,CE805*MAX(1,IF(H805&gt;0,AG805/H805,1))),IF(R805&gt;0,AH805/R805,0))/MAX(0.1,N(Parameter!$M$21)))</f>
        <v>0.0142857142857143</v>
      </c>
      <c r="AJ805" s="62" t="n">
        <f aca="false">AI805*CC805</f>
        <v>2.21428571428571</v>
      </c>
      <c r="AK805" s="63" t="n">
        <f aca="false">IF(LEFT(Cockpit!$C$5,1)="A",H805,IF(CI805=1,(CL805+CJ805)/2,IF(LEFT(Cockpit!$C$5,1)="B",(CL805+AM805)/2,MAX((CL805+AM805)/2,H805))))</f>
        <v>3</v>
      </c>
      <c r="AL805" s="62" t="n">
        <f aca="false">AK805*G805</f>
        <v>17.4</v>
      </c>
      <c r="AM805" s="62" t="n">
        <f aca="false">ROUNDUP(CL805+MAX(CM805,2*(J805/IF(CH805&gt;0,CH805,MAX(0.1,N(Cockpit!$C$6)))-CL805)),0)</f>
        <v>1</v>
      </c>
      <c r="AN805" s="63" t="n">
        <f aca="false">IF(AJ805&gt;0,J805/AJ805,-1)</f>
        <v>0</v>
      </c>
      <c r="AO805" s="63" t="n">
        <f aca="false">IF(AND(OR(CG805="L1",CG805="L23",CG805="LIFT"),AJ805&gt;0),SUMIFS($AJ$7:$AJ$1843,$CG$7:$CG$1843,CG805,$AN$7:$AN$1843,"&gt;"&amp;AN805)+SUMIFS($AJ$7:$AJ$1843,$CG$7:$CG$1843,CG805,$AN$7:$AN$1843,AN805,$BX$7:$BX$1843,"&lt;="&amp;BX805),"")</f>
        <v>28767.5867066079</v>
      </c>
      <c r="AP805" s="70" t="n">
        <f aca="false">IF(AO805="",0,MAX(0,MIN(1,(IF(CG805="L1",Parameter!$H$5,IF(CG805="L23",Parameter!$H$6+Parameter!$H$7,Parameter!$H$5+Parameter!$H$6+Parameter!$H$7))-(AO805-AJ805))/AJ805)))</f>
        <v>1</v>
      </c>
      <c r="AQ805" s="62" t="n">
        <f aca="false">IF(LEFT(Cockpit!$I$5,1)="A",H805,IF(Parameter!$E$30="MAX-Bestand",IF(CI805=1,CJ805,IF(LEFT(Cockpit!$I$5,1)="B",AW805,MAX(AW805,H805))),ROUNDUP(AU805,0)))</f>
        <v>3</v>
      </c>
      <c r="AR805" s="62" t="n">
        <f aca="false">IF(CA805=1,0,ROUNDUP(AQ805/BZ805,0))</f>
        <v>2</v>
      </c>
      <c r="AS805" s="64" t="n">
        <f aca="false">IF(CR805&gt;0,CR805*MAX(1,AQ805/X805),IF(CA805=1,IF(AQ805&lt;=0,0,CE805*MAX(1,IF(H805&gt;0,AQ805/H805,1))),IF(R805&gt;0,AR805/R805,0))/MAX(0.1,N(Parameter!$M$21)))</f>
        <v>0.0142857142857143</v>
      </c>
      <c r="AT805" s="62" t="n">
        <f aca="false">AS805*CC805</f>
        <v>2.21428571428571</v>
      </c>
      <c r="AU805" s="63" t="n">
        <f aca="false">IF(LEFT(Cockpit!$I$5,1)="A",H805,IF(CI805=1,(CL805+CJ805)/2,IF(LEFT(Cockpit!$I$5,1)="B",(CL805+AW805)/2,MAX((CL805+AW805)/2,H805))))</f>
        <v>3</v>
      </c>
      <c r="AV805" s="62" t="n">
        <f aca="false">AU805*G805</f>
        <v>17.4</v>
      </c>
      <c r="AW805" s="62" t="n">
        <f aca="false">ROUNDUP(CL805+MAX(CM805,2*(J805/IF(CH805&gt;0,CH805,MAX(0.1,N(Cockpit!$I$6)))-CL805)),0)</f>
        <v>1</v>
      </c>
      <c r="AX805" s="63" t="n">
        <f aca="false">IF(AT805&gt;0,J805/AT805,-1)</f>
        <v>0</v>
      </c>
      <c r="AY805" s="63" t="n">
        <f aca="false">IF(AND(OR(CG805="L1",CG805="L23",CG805="LIFT"),AT805&gt;0),SUMIFS($AT$7:$AT$1843,$CG$7:$CG$1843,CG805,$AX$7:$AX$1843,"&gt;"&amp;AX805)+SUMIFS($AT$7:$AT$1843,$CG$7:$CG$1843,CG805,$AX$7:$AX$1843,AX805,$BX$7:$BX$1843,"&lt;="&amp;BX805),"")</f>
        <v>34378.8850732601</v>
      </c>
      <c r="AZ805" s="70" t="n">
        <f aca="false">IF(AY805="",0,MAX(0,MIN(1,(IF(CG805="L1",Parameter!$H$5,IF(CG805="L23",Parameter!$H$6+Parameter!$H$7,Parameter!$H$5+Parameter!$H$6+Parameter!$H$7))-(AY805-AT805))/AT805)))</f>
        <v>1</v>
      </c>
      <c r="BA805" s="62" t="n">
        <f aca="false">IF(LEFT(Cockpit!$O$5,1)="A",H805,IF(Parameter!$E$30="MAX-Bestand",IF(CI805=1,CJ805,IF(LEFT(Cockpit!$O$5,1)="B",BG805,MAX(BG805,H805))),ROUNDUP(BE805,0)))</f>
        <v>1</v>
      </c>
      <c r="BB805" s="62" t="n">
        <f aca="false">IF(CA805=1,0,ROUNDUP(BA805/BZ805,0))</f>
        <v>1</v>
      </c>
      <c r="BC805" s="64" t="n">
        <f aca="false">IF(CR805&gt;0,CR805*MAX(1,BA805/X805),IF(CA805=1,IF(BA805&lt;=0,0,CE805*MAX(1,IF(H805&gt;0,BA805/H805,1))),IF(R805&gt;0,BB805/R805,0))/MAX(0.1,N(Parameter!$M$21)))</f>
        <v>0.00714285714285714</v>
      </c>
      <c r="BD805" s="62" t="n">
        <f aca="false">BC805*CC805</f>
        <v>1.10714285714286</v>
      </c>
      <c r="BE805" s="63" t="n">
        <f aca="false">IF(LEFT(Cockpit!$O$5,1)="A",H805,IF(CI805=1,(CL805+CJ805)/2,IF(LEFT(Cockpit!$O$5,1)="B",(CL805+BG805)/2,MAX((CL805+BG805)/2,H805))))</f>
        <v>0.5</v>
      </c>
      <c r="BF805" s="62" t="n">
        <f aca="false">BE805*G805</f>
        <v>2.9</v>
      </c>
      <c r="BG805" s="62" t="n">
        <f aca="false">ROUNDUP(CL805+MAX(CM805,2*(J805/IF(CH805&gt;0,CH805,MAX(0.1,N(Cockpit!$O$6)))-CL805)),0)</f>
        <v>1</v>
      </c>
      <c r="BH805" s="63" t="n">
        <f aca="false">IF(BD805&gt;0,J805/BD805,-1)</f>
        <v>0</v>
      </c>
      <c r="BI805" s="63" t="n">
        <f aca="false">IF(AND(OR(CG805="L1",CG805="L23",CG805="LIFT"),BD805&gt;0),SUMIFS($BD$7:$BD$1843,$CG$7:$CG$1843,CG805,$BH$7:$BH$1843,"&gt;"&amp;BH805)+SUMIFS($BD$7:$BD$1843,$CG$7:$CG$1843,CG805,$BH$7:$BH$1843,BH805,$BX$7:$BX$1843,"&lt;="&amp;BX805),"")</f>
        <v>28421.6477773639</v>
      </c>
      <c r="BJ805" s="70" t="n">
        <f aca="false">IF(BI805="",0,MAX(0,MIN(1,(IF(CG805="L1",Parameter!$H$5,IF(CG805="L23",Parameter!$H$6+Parameter!$H$7,Parameter!$H$5+Parameter!$H$6+Parameter!$H$7))-(BI805-BD805))/BD805)))</f>
        <v>1</v>
      </c>
      <c r="BK805" s="60" t="str">
        <f aca="false">IF(AJ805&lt;=0,"",IF(CG805="Aussen","Aussenlager",IF(CG805="-","Nicht im Lift",IF(AP805&gt;=1,"Lift",IF(AP805&lt;=0,"Aussenlager","teilweise")))))</f>
        <v>Lift</v>
      </c>
      <c r="BL805" s="60" t="str">
        <f aca="false">IF(AT805&lt;=0,"",IF(CG805="Aussen","Aussenlager",IF(CG805="-","Nicht im Lift",IF(AZ805&gt;=1,"Lift",IF(AZ805&lt;=0,"Aussenlager","teilweise")))))</f>
        <v>Lift</v>
      </c>
      <c r="BM805" s="60" t="str">
        <f aca="false">IF(BD805&lt;=0,"",IF(CG805="Aussen","Aussenlager",IF(CG805="-","Nicht im Lift",IF(BJ805&gt;=1,"Lift",IF(BJ805&lt;=0,"Aussenlager","teilweise")))))</f>
        <v>Lift</v>
      </c>
      <c r="BN805" s="60" t="str">
        <f aca="false">IF(A805="","",IF(BW805=1,"Neu; ","")&amp;IF(AND(BW805=0,BR805&lt;0),"negativer Bestand (Export "&amp;BR805&amp;"); ","")&amp;IF(J805&lt;=0,"Kein Verbrauch; ","")&amp;IF(CR805&gt;0,"Lift "&amp;W805&amp;" lt. Liftbericht (Fach "&amp;X805&amp;" Stk); ",IF(CB805=1,"Gebinde geschätzt ("&amp;T805&amp;"); ",IF(CA805=1,"Lose – Tablare geschätzt; ","")))&amp;IF(H805&gt;AW805,"Überbestand "&amp;ROUND(H805-AW805,0)&amp;" Stk / CHF "&amp;ROUND((H805-AW805)*G805,0)&amp;"; ","")&amp;IF(AND(CI805=1,CJ805&lt;CK805),"MAX &lt; MB+LG; ","")&amp;IF(AND(CQ805&gt;0,CP805*10&gt;CQ805),"zu hoch für Tablar; ","")&amp;IF(AND(BW805=0,OR(CI805=1,AB805&lt;&gt;"",U805&lt;&gt;"",V805&lt;&gt;"",AC805&lt;&gt;"")),"manuell übersteuert; ","")&amp;IF(AND(CA805=0,R805=0),"Gebinde unbekannt / Stellmass fehlt; ","")&amp;IF(AND(CA805=0,N(V805)&lt;=0,N(Q805)&lt;=0),"Menge pro Gebinde fehlt (Ist = 1 Gebinde); ","")&amp;BV805)</f>
        <v>negativer Bestand (Export -1); Kein Verbrauch; Überbestand 2 Stk / CHF 12; </v>
      </c>
      <c r="BO805" s="60"/>
      <c r="BP805" s="60"/>
      <c r="BQ805" s="67"/>
      <c r="BR805" s="62" t="n">
        <v>-1</v>
      </c>
      <c r="BS805" s="62" t="n">
        <v>4</v>
      </c>
      <c r="BT805" s="61" t="n">
        <v>-5.44000000000001</v>
      </c>
      <c r="BU805" s="62" t="n">
        <v>0</v>
      </c>
      <c r="BV805" s="60"/>
      <c r="BW805" s="65" t="n">
        <v>0</v>
      </c>
      <c r="BX805" s="65" t="n">
        <v>805</v>
      </c>
      <c r="BY805" s="60" t="str">
        <f aca="false">IF(U805&lt;&gt;"",UPPER(TRIM(U805)),IF(CB805=1,UPPER(VLOOKUP(T805,Parameter!$I$27:$K$29,2,0)),IF(P805="","LOSE",P805)))</f>
        <v>S22</v>
      </c>
      <c r="BZ805" s="62" t="n">
        <f aca="false">IF(BY805="LOSE",1,IF(N(V805)&gt;0,V805,IF(CB805=1,MAX(1,N(VLOOKUP(T805,Parameter!$I$27:$K$29,3,0)),H805,N(N805)),IF(N(Q805)&gt;0,Q805,MAX(1,H805)))))</f>
        <v>2</v>
      </c>
      <c r="CA805" s="65" t="n">
        <f aca="false">IF(BY805="LOSE",1,0)</f>
        <v>0</v>
      </c>
      <c r="CB805" s="65" t="n">
        <f aca="false">IF(AND(U805="",OR(P805="",P805="LOSE"),T805&lt;&gt;"",N(S805)&lt;=0,ISNUMBER(MATCH(T805,Parameter!$I$27:$I$29,0))),1,0)</f>
        <v>0</v>
      </c>
      <c r="CC805" s="65" t="n">
        <f aca="false">IF(CR805&gt;0,INDEX(Parameter!$H$5:$H$7,W805)/INDEX(Parameter!$E$5:$E$7,W805),IF(AND(CA805=0,N(IFERROR(VLOOKUP(BY805,'Gebinde-Kategorie'!$A$5:$N$45,14,0),0))&gt;0),VLOOKUP(BY805,'Gebinde-Kategorie'!$A$5:$N$45,14,0)*10+Parameter!$M$23,Parameter!$M$24))</f>
        <v>155</v>
      </c>
      <c r="CD805" s="60" t="str">
        <f aca="false">IF(AND(Parameter!$B$19="Ja",E805&lt;&gt;"",ISNUMBER(MATCH(E805,Parameter!$I$35:$I$52,0))),VLOOKUP(E805,Parameter!$I$35:$J$52,2,0),IFERROR(VLOOKUP(D805,Parameter!$A$35:$C$64,2,0),"Nein"))</f>
        <v>2+3</v>
      </c>
      <c r="CE805" s="64" t="n">
        <f aca="false">IF(CA805=0,0,IF(N(S805)&gt;0,S805,IFERROR(VLOOKUP(D805,Parameter!$A$35:$C$64,3,0)+0,0)))</f>
        <v>0</v>
      </c>
      <c r="CF805" s="60" t="n">
        <f aca="false">IF(AB805&lt;&gt;"",AB805,AA805)</f>
        <v>3</v>
      </c>
      <c r="CG805" s="60" t="str">
        <f aca="false">IF(OR(CF805=1,CF805=2,CF805=3),IF(Parameter!$E$27="Ja","LIFT",IF(CF805=1,"L1","L23")),IF(CF805="Aussen","Aussen","-"))</f>
        <v>LIFT</v>
      </c>
      <c r="CH805" s="71" t="n">
        <f aca="false">IF(N(AC805)&gt;0,AC805,0)</f>
        <v>0</v>
      </c>
      <c r="CI805" s="65" t="n">
        <f aca="false">IF(ISNUMBER(AF805),1,0)</f>
        <v>0</v>
      </c>
      <c r="CJ805" s="62" t="n">
        <f aca="false">N(AF805)</f>
        <v>0</v>
      </c>
      <c r="CK805" s="62" t="n">
        <f aca="false">N(M805)+N(N805)</f>
        <v>1</v>
      </c>
      <c r="CL805" s="62" t="n">
        <f aca="false">N(M805)</f>
        <v>0</v>
      </c>
      <c r="CM805" s="62" t="n">
        <f aca="false">N(N805)</f>
        <v>1</v>
      </c>
      <c r="CN805" s="62" t="n">
        <f aca="false">ROUNDUP(H805/BZ805,0)</f>
        <v>2</v>
      </c>
      <c r="CO805" s="62" t="n">
        <f aca="false">ROUNDUP(CJ805/BZ805,0)</f>
        <v>0</v>
      </c>
      <c r="CP805" s="65" t="n">
        <f aca="false">IF(CA805=1,0,IFERROR(VLOOKUP(BY805,'Gebinde-Kategorie'!$A$5:$N$45,5,0)+0,0))</f>
        <v>8</v>
      </c>
      <c r="CQ805" s="65" t="n">
        <f aca="false">IFERROR(IF(OR(CF805=1,CF805=2,CF805=3),N(INDEX(Parameter!$I$5:$I$7,CF805)),0),0)</f>
        <v>0</v>
      </c>
      <c r="CR805" s="64" t="n">
        <f aca="false">IF(AND(Parameter!$B$21="Ja",ISNUMBER(W805),N(X805)&gt;0),IFERROR(N(INDEX(Parameter!$L$5:$L$7,W805))*INDEX(Parameter!$E$5:$E$7,W805)*X805/SUMIFS($X$7:$X$1843,$W$7:$W$1843,W805),0),0)</f>
        <v>0</v>
      </c>
      <c r="CS805" s="62" t="n">
        <f aca="false">IF(AND(OR(CG805="L1",CG805="L23",CG805="LIFT"),H805&gt;0),CC805*IF(CR805&gt;0,CR805*MAX(1,H805/X805),IF(CA805=1,CE805,IF(R805&gt;0,CN805/R805,0))/MAX(0.1,N(Parameter!$M$21))),"")</f>
        <v>2.21428571428571</v>
      </c>
      <c r="CT805" s="64" t="n">
        <f aca="false">IF(CS805="","",J805/H805)</f>
        <v>0</v>
      </c>
      <c r="CU805" s="62" t="n">
        <f aca="false">IF(CS805="","",H805*G805)</f>
        <v>17.4</v>
      </c>
      <c r="CV805" s="63" t="n">
        <f aca="false">IF(CS805="","",(CL805+ROUNDUP(CL805+MAX(CM805,2*(J805/MAX(0.1,N(Einkauf!$C$6))-CL805)),0))/2)</f>
        <v>0.5</v>
      </c>
      <c r="CW805" s="62" t="n">
        <f aca="false">IF(CS805="","",MAX(0,H805-CV805)*G805)</f>
        <v>14.5</v>
      </c>
      <c r="CX805" s="62" t="n">
        <f aca="false">IF(CS805="","",CS805*MAX(0,1-CV805/H805))</f>
        <v>1.8452380952381</v>
      </c>
      <c r="CY805" s="64" t="n">
        <f aca="false">IF(CS805="","",PERCENTRANK($CS$7:$CS$1843,CS805)+PERCENTRANK($CU$7:$CU$1843,CU805)+1-PERCENTRANK($CT$7:$CT$1843,CT805))</f>
        <v>1.2667</v>
      </c>
      <c r="CZ805" s="72" t="n">
        <f aca="false">IF(CS805="","",CHOOSE(MATCH(Einkauf!$C$5,Parameter!$G$23:$G$27,0),CY805,CS805,CU805,-CT805,CW805)+ROW()/1000000000)</f>
        <v>1.266700805</v>
      </c>
    </row>
    <row r="806" customFormat="false" ht="15" hidden="false" customHeight="false" outlineLevel="0" collapsed="false">
      <c r="A806" s="60" t="s">
        <v>1605</v>
      </c>
      <c r="B806" s="60" t="s">
        <v>510</v>
      </c>
      <c r="C806" s="60" t="s">
        <v>206</v>
      </c>
      <c r="D806" s="60" t="s">
        <v>226</v>
      </c>
      <c r="E806" s="60" t="s">
        <v>227</v>
      </c>
      <c r="F806" s="60" t="s">
        <v>260</v>
      </c>
      <c r="G806" s="61" t="n">
        <v>0.1</v>
      </c>
      <c r="H806" s="62" t="n">
        <f aca="false">MAX(0,IF(AND(Parameter!$B$21="Ja",ISNUMBER(Y806)),Y806,IF(Parameter!$B$20="Jahresanfang 2025 + Export",BS806+BR806,BR806)))</f>
        <v>225</v>
      </c>
      <c r="I806" s="62" t="n">
        <f aca="false">H806*G806</f>
        <v>22.5</v>
      </c>
      <c r="J806" s="62" t="n">
        <f aca="false">BU806*Parameter!$B$18</f>
        <v>78</v>
      </c>
      <c r="K806" s="63" t="n">
        <v>242</v>
      </c>
      <c r="L806" s="64" t="n">
        <v>0.322314049586777</v>
      </c>
      <c r="M806" s="62" t="n">
        <v>3</v>
      </c>
      <c r="N806" s="62" t="n">
        <v>80</v>
      </c>
      <c r="O806" s="65" t="n">
        <v>14</v>
      </c>
      <c r="P806" s="60" t="s">
        <v>443</v>
      </c>
      <c r="Q806" s="62" t="n">
        <v>432</v>
      </c>
      <c r="R806" s="65" t="n">
        <f aca="false">IF(CA806=1,0,IFERROR(VLOOKUP(BY806,'Gebinde-Kategorie'!$A$5:$N$45,13,0)+0,0))</f>
        <v>280</v>
      </c>
      <c r="S806" s="66"/>
      <c r="T806" s="67"/>
      <c r="U806" s="67"/>
      <c r="V806" s="67"/>
      <c r="W806" s="60"/>
      <c r="X806" s="62"/>
      <c r="Y806" s="62"/>
      <c r="Z806" s="60" t="n">
        <v>2</v>
      </c>
      <c r="AA806" s="60" t="n">
        <f aca="false">IF(A806="","",IF(AND(Parameter!$B$21="Ja",ISNUMBER(W806)),W806,IF(AND(Parameter!$E$27="Ja",ISNUMBER(Z806),CD806&lt;&gt;"Nein"),Z806,IF(CD806="2+3",IF(ISNUMBER(SEARCH("grosser Artikel",BV806)),2,IFERROR(VLOOKUP(BY806,Parameter!$F$35:$G$64,2,0),2)),IF(OR(CD806="Nein",CD806=""),"-",CD806)))))</f>
        <v>2</v>
      </c>
      <c r="AB806" s="67"/>
      <c r="AC806" s="68"/>
      <c r="AD806" s="62" t="n">
        <f aca="false">AW806</f>
        <v>83</v>
      </c>
      <c r="AE806" s="62" t="n">
        <f aca="false">MAX(AW806,H806)</f>
        <v>225</v>
      </c>
      <c r="AF806" s="69"/>
      <c r="AG806" s="62" t="n">
        <f aca="false">IF(LEFT(Cockpit!$C$5,1)="A",H806,IF(Parameter!$E$30="MAX-Bestand",IF(CI806=1,CJ806,IF(LEFT(Cockpit!$C$5,1)="B",AM806,MAX(AM806,H806))),ROUNDUP(AK806,0)))</f>
        <v>225</v>
      </c>
      <c r="AH806" s="62" t="n">
        <f aca="false">IF(CA806=1,0,ROUNDUP(AG806/BZ806,0))</f>
        <v>1</v>
      </c>
      <c r="AI806" s="64" t="n">
        <f aca="false">IF(CR806&gt;0,CR806*MAX(1,AG806/X806),IF(CA806=1,IF(AG806&lt;=0,0,CE806*MAX(1,IF(H806&gt;0,AG806/H806,1))),IF(R806&gt;0,AH806/R806,0))/MAX(0.1,N(Parameter!$M$21)))</f>
        <v>0.00357142857142857</v>
      </c>
      <c r="AJ806" s="62" t="n">
        <f aca="false">AI806*CC806</f>
        <v>0.553571428571429</v>
      </c>
      <c r="AK806" s="63" t="n">
        <f aca="false">IF(LEFT(Cockpit!$C$5,1)="A",H806,IF(CI806=1,(CL806+CJ806)/2,IF(LEFT(Cockpit!$C$5,1)="B",(CL806+AM806)/2,MAX((CL806+AM806)/2,H806))))</f>
        <v>225</v>
      </c>
      <c r="AL806" s="62" t="n">
        <f aca="false">AK806*G806</f>
        <v>22.5</v>
      </c>
      <c r="AM806" s="62" t="n">
        <f aca="false">ROUNDUP(CL806+MAX(CM806,2*(J806/IF(CH806&gt;0,CH806,MAX(0.1,N(Cockpit!$C$6)))-CL806)),0)</f>
        <v>83</v>
      </c>
      <c r="AN806" s="63" t="n">
        <f aca="false">IF(AJ806&gt;0,J806/AJ806,-1)</f>
        <v>140.903225806452</v>
      </c>
      <c r="AO806" s="63" t="n">
        <f aca="false">IF(AND(OR(CG806="L1",CG806="L23",CG806="LIFT"),AJ806&gt;0),SUMIFS($AJ$7:$AJ$1843,$CG$7:$CG$1843,CG806,$AN$7:$AN$1843,"&gt;"&amp;AN806)+SUMIFS($AJ$7:$AJ$1843,$CG$7:$CG$1843,CG806,$AN$7:$AN$1843,AN806,$BX$7:$BX$1843,"&lt;="&amp;BX806),"")</f>
        <v>502.882326007326</v>
      </c>
      <c r="AP806" s="70" t="n">
        <f aca="false">IF(AO806="",0,MAX(0,MIN(1,(IF(CG806="L1",Parameter!$H$5,IF(CG806="L23",Parameter!$H$6+Parameter!$H$7,Parameter!$H$5+Parameter!$H$6+Parameter!$H$7))-(AO806-AJ806))/AJ806)))</f>
        <v>1</v>
      </c>
      <c r="AQ806" s="62" t="n">
        <f aca="false">IF(LEFT(Cockpit!$I$5,1)="A",H806,IF(Parameter!$E$30="MAX-Bestand",IF(CI806=1,CJ806,IF(LEFT(Cockpit!$I$5,1)="B",AW806,MAX(AW806,H806))),ROUNDUP(AU806,0)))</f>
        <v>225</v>
      </c>
      <c r="AR806" s="62" t="n">
        <f aca="false">IF(CA806=1,0,ROUNDUP(AQ806/BZ806,0))</f>
        <v>1</v>
      </c>
      <c r="AS806" s="64" t="n">
        <f aca="false">IF(CR806&gt;0,CR806*MAX(1,AQ806/X806),IF(CA806=1,IF(AQ806&lt;=0,0,CE806*MAX(1,IF(H806&gt;0,AQ806/H806,1))),IF(R806&gt;0,AR806/R806,0))/MAX(0.1,N(Parameter!$M$21)))</f>
        <v>0.00357142857142857</v>
      </c>
      <c r="AT806" s="62" t="n">
        <f aca="false">AS806*CC806</f>
        <v>0.553571428571429</v>
      </c>
      <c r="AU806" s="63" t="n">
        <f aca="false">IF(LEFT(Cockpit!$I$5,1)="A",H806,IF(CI806=1,(CL806+CJ806)/2,IF(LEFT(Cockpit!$I$5,1)="B",(CL806+AW806)/2,MAX((CL806+AW806)/2,H806))))</f>
        <v>225</v>
      </c>
      <c r="AV806" s="62" t="n">
        <f aca="false">AU806*G806</f>
        <v>22.5</v>
      </c>
      <c r="AW806" s="62" t="n">
        <f aca="false">ROUNDUP(CL806+MAX(CM806,2*(J806/IF(CH806&gt;0,CH806,MAX(0.1,N(Cockpit!$I$6)))-CL806)),0)</f>
        <v>83</v>
      </c>
      <c r="AX806" s="63" t="n">
        <f aca="false">IF(AT806&gt;0,J806/AT806,-1)</f>
        <v>140.903225806452</v>
      </c>
      <c r="AY806" s="63" t="n">
        <f aca="false">IF(AND(OR(CG806="L1",CG806="L23",CG806="LIFT"),AT806&gt;0),SUMIFS($AT$7:$AT$1843,$CG$7:$CG$1843,CG806,$AX$7:$AX$1843,"&gt;"&amp;AX806)+SUMIFS($AT$7:$AT$1843,$CG$7:$CG$1843,CG806,$AX$7:$AX$1843,AX806,$BX$7:$BX$1843,"&lt;="&amp;BX806),"")</f>
        <v>620.519230769231</v>
      </c>
      <c r="AZ806" s="70" t="n">
        <f aca="false">IF(AY806="",0,MAX(0,MIN(1,(IF(CG806="L1",Parameter!$H$5,IF(CG806="L23",Parameter!$H$6+Parameter!$H$7,Parameter!$H$5+Parameter!$H$6+Parameter!$H$7))-(AY806-AT806))/AT806)))</f>
        <v>1</v>
      </c>
      <c r="BA806" s="62" t="n">
        <f aca="false">IF(LEFT(Cockpit!$O$5,1)="A",H806,IF(Parameter!$E$30="MAX-Bestand",IF(CI806=1,CJ806,IF(LEFT(Cockpit!$O$5,1)="B",BG806,MAX(BG806,H806))),ROUNDUP(BE806,0)))</f>
        <v>43</v>
      </c>
      <c r="BB806" s="62" t="n">
        <f aca="false">IF(CA806=1,0,ROUNDUP(BA806/BZ806,0))</f>
        <v>1</v>
      </c>
      <c r="BC806" s="64" t="n">
        <f aca="false">IF(CR806&gt;0,CR806*MAX(1,BA806/X806),IF(CA806=1,IF(BA806&lt;=0,0,CE806*MAX(1,IF(H806&gt;0,BA806/H806,1))),IF(R806&gt;0,BB806/R806,0))/MAX(0.1,N(Parameter!$M$21)))</f>
        <v>0.00357142857142857</v>
      </c>
      <c r="BD806" s="62" t="n">
        <f aca="false">BC806*CC806</f>
        <v>0.553571428571429</v>
      </c>
      <c r="BE806" s="63" t="n">
        <f aca="false">IF(LEFT(Cockpit!$O$5,1)="A",H806,IF(CI806=1,(CL806+CJ806)/2,IF(LEFT(Cockpit!$O$5,1)="B",(CL806+BG806)/2,MAX((CL806+BG806)/2,H806))))</f>
        <v>43</v>
      </c>
      <c r="BF806" s="62" t="n">
        <f aca="false">BE806*G806</f>
        <v>4.3</v>
      </c>
      <c r="BG806" s="62" t="n">
        <f aca="false">ROUNDUP(CL806+MAX(CM806,2*(J806/IF(CH806&gt;0,CH806,MAX(0.1,N(Cockpit!$O$6)))-CL806)),0)</f>
        <v>83</v>
      </c>
      <c r="BH806" s="63" t="n">
        <f aca="false">IF(BD806&gt;0,J806/BD806,-1)</f>
        <v>140.903225806452</v>
      </c>
      <c r="BI806" s="63" t="n">
        <f aca="false">IF(AND(OR(CG806="L1",CG806="L23",CG806="LIFT"),BD806&gt;0),SUMIFS($BD$7:$BD$1843,$CG$7:$CG$1843,CG806,$BH$7:$BH$1843,"&gt;"&amp;BH806)+SUMIFS($BD$7:$BD$1843,$CG$7:$CG$1843,CG806,$BH$7:$BH$1843,BH806,$BX$7:$BX$1843,"&lt;="&amp;BX806),"")</f>
        <v>584.678571428571</v>
      </c>
      <c r="BJ806" s="70" t="n">
        <f aca="false">IF(BI806="",0,MAX(0,MIN(1,(IF(CG806="L1",Parameter!$H$5,IF(CG806="L23",Parameter!$H$6+Parameter!$H$7,Parameter!$H$5+Parameter!$H$6+Parameter!$H$7))-(BI806-BD806))/BD806)))</f>
        <v>1</v>
      </c>
      <c r="BK806" s="60" t="str">
        <f aca="false">IF(AJ806&lt;=0,"",IF(CG806="Aussen","Aussenlager",IF(CG806="-","Nicht im Lift",IF(AP806&gt;=1,"Lift",IF(AP806&lt;=0,"Aussenlager","teilweise")))))</f>
        <v>Lift</v>
      </c>
      <c r="BL806" s="60" t="str">
        <f aca="false">IF(AT806&lt;=0,"",IF(CG806="Aussen","Aussenlager",IF(CG806="-","Nicht im Lift",IF(AZ806&gt;=1,"Lift",IF(AZ806&lt;=0,"Aussenlager","teilweise")))))</f>
        <v>Lift</v>
      </c>
      <c r="BM806" s="60" t="str">
        <f aca="false">IF(BD806&lt;=0,"",IF(CG806="Aussen","Aussenlager",IF(CG806="-","Nicht im Lift",IF(BJ806&gt;=1,"Lift",IF(BJ806&lt;=0,"Aussenlager","teilweise")))))</f>
        <v>Lift</v>
      </c>
      <c r="BN806" s="60" t="str">
        <f aca="false">IF(A806="","",IF(BW806=1,"Neu; ","")&amp;IF(AND(BW806=0,BR806&lt;0),"negativer Bestand (Export "&amp;BR806&amp;"); ","")&amp;IF(J806&lt;=0,"Kein Verbrauch; ","")&amp;IF(CR806&gt;0,"Lift "&amp;W806&amp;" lt. Liftbericht (Fach "&amp;X806&amp;" Stk); ",IF(CB806=1,"Gebinde geschätzt ("&amp;T806&amp;"); ",IF(CA806=1,"Lose – Tablare geschätzt; ","")))&amp;IF(H806&gt;AW806,"Überbestand "&amp;ROUND(H806-AW806,0)&amp;" Stk / CHF "&amp;ROUND((H806-AW806)*G806,0)&amp;"; ","")&amp;IF(AND(CI806=1,CJ806&lt;CK806),"MAX &lt; MB+LG; ","")&amp;IF(AND(CQ806&gt;0,CP806*10&gt;CQ806),"zu hoch für Tablar; ","")&amp;IF(AND(BW806=0,OR(CI806=1,AB806&lt;&gt;"",U806&lt;&gt;"",V806&lt;&gt;"",AC806&lt;&gt;"")),"manuell übersteuert; ","")&amp;IF(AND(CA806=0,R806=0),"Gebinde unbekannt / Stellmass fehlt; ","")&amp;IF(AND(CA806=0,N(V806)&lt;=0,N(Q806)&lt;=0),"Menge pro Gebinde fehlt (Ist = 1 Gebinde); ","")&amp;BV806)</f>
        <v>negativer Bestand (Export -55); Überbestand 142 Stk / CHF 14; </v>
      </c>
      <c r="BO806" s="60"/>
      <c r="BP806" s="60"/>
      <c r="BQ806" s="67"/>
      <c r="BR806" s="62" t="n">
        <v>-55</v>
      </c>
      <c r="BS806" s="62" t="n">
        <v>280</v>
      </c>
      <c r="BT806" s="61" t="n">
        <v>-5.5</v>
      </c>
      <c r="BU806" s="62" t="n">
        <v>78</v>
      </c>
      <c r="BV806" s="60"/>
      <c r="BW806" s="65" t="n">
        <v>0</v>
      </c>
      <c r="BX806" s="65" t="n">
        <v>806</v>
      </c>
      <c r="BY806" s="60" t="str">
        <f aca="false">IF(U806&lt;&gt;"",UPPER(TRIM(U806)),IF(CB806=1,UPPER(VLOOKUP(T806,Parameter!$I$27:$K$29,2,0)),IF(P806="","LOSE",P806)))</f>
        <v>S21</v>
      </c>
      <c r="BZ806" s="62" t="n">
        <f aca="false">IF(BY806="LOSE",1,IF(N(V806)&gt;0,V806,IF(CB806=1,MAX(1,N(VLOOKUP(T806,Parameter!$I$27:$K$29,3,0)),H806,N(N806)),IF(N(Q806)&gt;0,Q806,MAX(1,H806)))))</f>
        <v>432</v>
      </c>
      <c r="CA806" s="65" t="n">
        <f aca="false">IF(BY806="LOSE",1,0)</f>
        <v>0</v>
      </c>
      <c r="CB806" s="65" t="n">
        <f aca="false">IF(AND(U806="",OR(P806="",P806="LOSE"),T806&lt;&gt;"",N(S806)&lt;=0,ISNUMBER(MATCH(T806,Parameter!$I$27:$I$29,0))),1,0)</f>
        <v>0</v>
      </c>
      <c r="CC806" s="65" t="n">
        <f aca="false">IF(CR806&gt;0,INDEX(Parameter!$H$5:$H$7,W806)/INDEX(Parameter!$E$5:$E$7,W806),IF(AND(CA806=0,N(IFERROR(VLOOKUP(BY806,'Gebinde-Kategorie'!$A$5:$N$45,14,0),0))&gt;0),VLOOKUP(BY806,'Gebinde-Kategorie'!$A$5:$N$45,14,0)*10+Parameter!$M$23,Parameter!$M$24))</f>
        <v>155</v>
      </c>
      <c r="CD806" s="60" t="str">
        <f aca="false">IF(AND(Parameter!$B$19="Ja",E806&lt;&gt;"",ISNUMBER(MATCH(E806,Parameter!$I$35:$I$52,0))),VLOOKUP(E806,Parameter!$I$35:$J$52,2,0),IFERROR(VLOOKUP(D806,Parameter!$A$35:$C$64,2,0),"Nein"))</f>
        <v>2+3</v>
      </c>
      <c r="CE806" s="64" t="n">
        <f aca="false">IF(CA806=0,0,IF(N(S806)&gt;0,S806,IFERROR(VLOOKUP(D806,Parameter!$A$35:$C$64,3,0)+0,0)))</f>
        <v>0</v>
      </c>
      <c r="CF806" s="60" t="n">
        <f aca="false">IF(AB806&lt;&gt;"",AB806,AA806)</f>
        <v>2</v>
      </c>
      <c r="CG806" s="60" t="str">
        <f aca="false">IF(OR(CF806=1,CF806=2,CF806=3),IF(Parameter!$E$27="Ja","LIFT",IF(CF806=1,"L1","L23")),IF(CF806="Aussen","Aussen","-"))</f>
        <v>LIFT</v>
      </c>
      <c r="CH806" s="71" t="n">
        <f aca="false">IF(N(AC806)&gt;0,AC806,0)</f>
        <v>0</v>
      </c>
      <c r="CI806" s="65" t="n">
        <f aca="false">IF(ISNUMBER(AF806),1,0)</f>
        <v>0</v>
      </c>
      <c r="CJ806" s="62" t="n">
        <f aca="false">N(AF806)</f>
        <v>0</v>
      </c>
      <c r="CK806" s="62" t="n">
        <f aca="false">N(M806)+N(N806)</f>
        <v>83</v>
      </c>
      <c r="CL806" s="62" t="n">
        <f aca="false">N(M806)</f>
        <v>3</v>
      </c>
      <c r="CM806" s="62" t="n">
        <f aca="false">N(N806)</f>
        <v>80</v>
      </c>
      <c r="CN806" s="62" t="n">
        <f aca="false">ROUNDUP(H806/BZ806,0)</f>
        <v>1</v>
      </c>
      <c r="CO806" s="62" t="n">
        <f aca="false">ROUNDUP(CJ806/BZ806,0)</f>
        <v>0</v>
      </c>
      <c r="CP806" s="65" t="n">
        <f aca="false">IF(CA806=1,0,IFERROR(VLOOKUP(BY806,'Gebinde-Kategorie'!$A$5:$N$45,5,0)+0,0))</f>
        <v>8</v>
      </c>
      <c r="CQ806" s="65" t="n">
        <f aca="false">IFERROR(IF(OR(CF806=1,CF806=2,CF806=3),N(INDEX(Parameter!$I$5:$I$7,CF806)),0),0)</f>
        <v>0</v>
      </c>
      <c r="CR806" s="64" t="n">
        <f aca="false">IF(AND(Parameter!$B$21="Ja",ISNUMBER(W806),N(X806)&gt;0),IFERROR(N(INDEX(Parameter!$L$5:$L$7,W806))*INDEX(Parameter!$E$5:$E$7,W806)*X806/SUMIFS($X$7:$X$1843,$W$7:$W$1843,W806),0),0)</f>
        <v>0</v>
      </c>
      <c r="CS806" s="62" t="n">
        <f aca="false">IF(AND(OR(CG806="L1",CG806="L23",CG806="LIFT"),H806&gt;0),CC806*IF(CR806&gt;0,CR806*MAX(1,H806/X806),IF(CA806=1,CE806,IF(R806&gt;0,CN806/R806,0))/MAX(0.1,N(Parameter!$M$21))),"")</f>
        <v>0.553571428571429</v>
      </c>
      <c r="CT806" s="64" t="n">
        <f aca="false">IF(CS806="","",J806/H806)</f>
        <v>0.346666666666667</v>
      </c>
      <c r="CU806" s="62" t="n">
        <f aca="false">IF(CS806="","",H806*G806)</f>
        <v>22.5</v>
      </c>
      <c r="CV806" s="63" t="n">
        <f aca="false">IF(CS806="","",(CL806+ROUNDUP(CL806+MAX(CM806,2*(J806/MAX(0.1,N(Einkauf!$C$6))-CL806)),0))/2)</f>
        <v>43</v>
      </c>
      <c r="CW806" s="62" t="n">
        <f aca="false">IF(CS806="","",MAX(0,H806-CV806)*G806)</f>
        <v>18.2</v>
      </c>
      <c r="CX806" s="62" t="n">
        <f aca="false">IF(CS806="","",CS806*MAX(0,1-CV806/H806))</f>
        <v>0.447777777777778</v>
      </c>
      <c r="CY806" s="64" t="n">
        <f aca="false">IF(CS806="","",PERCENTRANK($CS$7:$CS$1843,CS806)+PERCENTRANK($CU$7:$CU$1843,CU806)+1-PERCENTRANK($CT$7:$CT$1843,CT806))</f>
        <v>0.5722</v>
      </c>
      <c r="CZ806" s="72" t="n">
        <f aca="false">IF(CS806="","",CHOOSE(MATCH(Einkauf!$C$5,Parameter!$G$23:$G$27,0),CY806,CS806,CU806,-CT806,CW806)+ROW()/1000000000)</f>
        <v>0.572200806</v>
      </c>
    </row>
    <row r="807" customFormat="false" ht="15" hidden="false" customHeight="false" outlineLevel="0" collapsed="false">
      <c r="A807" s="60" t="s">
        <v>1606</v>
      </c>
      <c r="B807" s="60" t="s">
        <v>1607</v>
      </c>
      <c r="C807" s="60" t="s">
        <v>206</v>
      </c>
      <c r="D807" s="60" t="s">
        <v>226</v>
      </c>
      <c r="E807" s="60" t="s">
        <v>227</v>
      </c>
      <c r="F807" s="60" t="s">
        <v>260</v>
      </c>
      <c r="G807" s="61" t="n">
        <v>5.7</v>
      </c>
      <c r="H807" s="62" t="n">
        <f aca="false">MAX(0,IF(AND(Parameter!$B$21="Ja",ISNUMBER(Y807)),Y807,IF(Parameter!$B$20="Jahresanfang 2025 + Export",BS807+BR807,BR807)))</f>
        <v>4</v>
      </c>
      <c r="I807" s="62" t="n">
        <f aca="false">H807*G807</f>
        <v>22.8</v>
      </c>
      <c r="J807" s="62" t="n">
        <f aca="false">BU807*Parameter!$B$18</f>
        <v>1</v>
      </c>
      <c r="K807" s="63" t="n">
        <v>4.5</v>
      </c>
      <c r="L807" s="64" t="n">
        <v>0.222222222222222</v>
      </c>
      <c r="M807" s="62" t="n">
        <v>0</v>
      </c>
      <c r="N807" s="62" t="n">
        <v>1</v>
      </c>
      <c r="O807" s="65" t="n">
        <v>14</v>
      </c>
      <c r="P807" s="60" t="s">
        <v>463</v>
      </c>
      <c r="Q807" s="62" t="n">
        <v>7</v>
      </c>
      <c r="R807" s="65" t="n">
        <f aca="false">IF(CA807=1,0,IFERROR(VLOOKUP(BY807,'Gebinde-Kategorie'!$A$5:$N$45,13,0)+0,0))</f>
        <v>104</v>
      </c>
      <c r="S807" s="66"/>
      <c r="T807" s="67"/>
      <c r="U807" s="67"/>
      <c r="V807" s="67"/>
      <c r="W807" s="60"/>
      <c r="X807" s="62"/>
      <c r="Y807" s="62"/>
      <c r="Z807" s="60" t="n">
        <v>2</v>
      </c>
      <c r="AA807" s="60" t="n">
        <f aca="false">IF(A807="","",IF(AND(Parameter!$B$21="Ja",ISNUMBER(W807)),W807,IF(AND(Parameter!$E$27="Ja",ISNUMBER(Z807),CD807&lt;&gt;"Nein"),Z807,IF(CD807="2+3",IF(ISNUMBER(SEARCH("grosser Artikel",BV807)),2,IFERROR(VLOOKUP(BY807,Parameter!$F$35:$G$64,2,0),2)),IF(OR(CD807="Nein",CD807=""),"-",CD807)))))</f>
        <v>2</v>
      </c>
      <c r="AB807" s="67"/>
      <c r="AC807" s="68"/>
      <c r="AD807" s="62" t="n">
        <f aca="false">AW807</f>
        <v>1</v>
      </c>
      <c r="AE807" s="62" t="n">
        <f aca="false">MAX(AW807,H807)</f>
        <v>4</v>
      </c>
      <c r="AF807" s="69"/>
      <c r="AG807" s="62" t="n">
        <f aca="false">IF(LEFT(Cockpit!$C$5,1)="A",H807,IF(Parameter!$E$30="MAX-Bestand",IF(CI807=1,CJ807,IF(LEFT(Cockpit!$C$5,1)="B",AM807,MAX(AM807,H807))),ROUNDUP(AK807,0)))</f>
        <v>4</v>
      </c>
      <c r="AH807" s="62" t="n">
        <f aca="false">IF(CA807=1,0,ROUNDUP(AG807/BZ807,0))</f>
        <v>1</v>
      </c>
      <c r="AI807" s="64" t="n">
        <f aca="false">IF(CR807&gt;0,CR807*MAX(1,AG807/X807),IF(CA807=1,IF(AG807&lt;=0,0,CE807*MAX(1,IF(H807&gt;0,AG807/H807,1))),IF(R807&gt;0,AH807/R807,0))/MAX(0.1,N(Parameter!$M$21)))</f>
        <v>0.00961538461538462</v>
      </c>
      <c r="AJ807" s="62" t="n">
        <f aca="false">AI807*CC807</f>
        <v>1.49038461538462</v>
      </c>
      <c r="AK807" s="63" t="n">
        <f aca="false">IF(LEFT(Cockpit!$C$5,1)="A",H807,IF(CI807=1,(CL807+CJ807)/2,IF(LEFT(Cockpit!$C$5,1)="B",(CL807+AM807)/2,MAX((CL807+AM807)/2,H807))))</f>
        <v>4</v>
      </c>
      <c r="AL807" s="62" t="n">
        <f aca="false">AK807*G807</f>
        <v>22.8</v>
      </c>
      <c r="AM807" s="62" t="n">
        <f aca="false">ROUNDUP(CL807+MAX(CM807,2*(J807/IF(CH807&gt;0,CH807,MAX(0.1,N(Cockpit!$C$6)))-CL807)),0)</f>
        <v>1</v>
      </c>
      <c r="AN807" s="63" t="n">
        <f aca="false">IF(AJ807&gt;0,J807/AJ807,-1)</f>
        <v>0.670967741935484</v>
      </c>
      <c r="AO807" s="63" t="n">
        <f aca="false">IF(AND(OR(CG807="L1",CG807="L23",CG807="LIFT"),AJ807&gt;0),SUMIFS($AJ$7:$AJ$1843,$CG$7:$CG$1843,CG807,$AN$7:$AN$1843,"&gt;"&amp;AN807)+SUMIFS($AJ$7:$AJ$1843,$CG$7:$CG$1843,CG807,$AN$7:$AN$1843,AN807,$BX$7:$BX$1843,"&lt;="&amp;BX807),"")</f>
        <v>8619.09294871795</v>
      </c>
      <c r="AP807" s="70" t="n">
        <f aca="false">IF(AO807="",0,MAX(0,MIN(1,(IF(CG807="L1",Parameter!$H$5,IF(CG807="L23",Parameter!$H$6+Parameter!$H$7,Parameter!$H$5+Parameter!$H$6+Parameter!$H$7))-(AO807-AJ807))/AJ807)))</f>
        <v>1</v>
      </c>
      <c r="AQ807" s="62" t="n">
        <f aca="false">IF(LEFT(Cockpit!$I$5,1)="A",H807,IF(Parameter!$E$30="MAX-Bestand",IF(CI807=1,CJ807,IF(LEFT(Cockpit!$I$5,1)="B",AW807,MAX(AW807,H807))),ROUNDUP(AU807,0)))</f>
        <v>4</v>
      </c>
      <c r="AR807" s="62" t="n">
        <f aca="false">IF(CA807=1,0,ROUNDUP(AQ807/BZ807,0))</f>
        <v>1</v>
      </c>
      <c r="AS807" s="64" t="n">
        <f aca="false">IF(CR807&gt;0,CR807*MAX(1,AQ807/X807),IF(CA807=1,IF(AQ807&lt;=0,0,CE807*MAX(1,IF(H807&gt;0,AQ807/H807,1))),IF(R807&gt;0,AR807/R807,0))/MAX(0.1,N(Parameter!$M$21)))</f>
        <v>0.00961538461538462</v>
      </c>
      <c r="AT807" s="62" t="n">
        <f aca="false">AS807*CC807</f>
        <v>1.49038461538462</v>
      </c>
      <c r="AU807" s="63" t="n">
        <f aca="false">IF(LEFT(Cockpit!$I$5,1)="A",H807,IF(CI807=1,(CL807+CJ807)/2,IF(LEFT(Cockpit!$I$5,1)="B",(CL807+AW807)/2,MAX((CL807+AW807)/2,H807))))</f>
        <v>4</v>
      </c>
      <c r="AV807" s="62" t="n">
        <f aca="false">AU807*G807</f>
        <v>22.8</v>
      </c>
      <c r="AW807" s="62" t="n">
        <f aca="false">ROUNDUP(CL807+MAX(CM807,2*(J807/IF(CH807&gt;0,CH807,MAX(0.1,N(Cockpit!$I$6)))-CL807)),0)</f>
        <v>1</v>
      </c>
      <c r="AX807" s="63" t="n">
        <f aca="false">IF(AT807&gt;0,J807/AT807,-1)</f>
        <v>0.670967741935484</v>
      </c>
      <c r="AY807" s="63" t="n">
        <f aca="false">IF(AND(OR(CG807="L1",CG807="L23",CG807="LIFT"),AT807&gt;0),SUMIFS($AT$7:$AT$1843,$CG$7:$CG$1843,CG807,$AX$7:$AX$1843,"&gt;"&amp;AX807)+SUMIFS($AT$7:$AT$1843,$CG$7:$CG$1843,CG807,$AX$7:$AX$1843,AX807,$BX$7:$BX$1843,"&lt;="&amp;BX807),"")</f>
        <v>10908.7893772894</v>
      </c>
      <c r="AZ807" s="70" t="n">
        <f aca="false">IF(AY807="",0,MAX(0,MIN(1,(IF(CG807="L1",Parameter!$H$5,IF(CG807="L23",Parameter!$H$6+Parameter!$H$7,Parameter!$H$5+Parameter!$H$6+Parameter!$H$7))-(AY807-AT807))/AT807)))</f>
        <v>1</v>
      </c>
      <c r="BA807" s="62" t="n">
        <f aca="false">IF(LEFT(Cockpit!$O$5,1)="A",H807,IF(Parameter!$E$30="MAX-Bestand",IF(CI807=1,CJ807,IF(LEFT(Cockpit!$O$5,1)="B",BG807,MAX(BG807,H807))),ROUNDUP(BE807,0)))</f>
        <v>1</v>
      </c>
      <c r="BB807" s="62" t="n">
        <f aca="false">IF(CA807=1,0,ROUNDUP(BA807/BZ807,0))</f>
        <v>1</v>
      </c>
      <c r="BC807" s="64" t="n">
        <f aca="false">IF(CR807&gt;0,CR807*MAX(1,BA807/X807),IF(CA807=1,IF(BA807&lt;=0,0,CE807*MAX(1,IF(H807&gt;0,BA807/H807,1))),IF(R807&gt;0,BB807/R807,0))/MAX(0.1,N(Parameter!$M$21)))</f>
        <v>0.00961538461538462</v>
      </c>
      <c r="BD807" s="62" t="n">
        <f aca="false">BC807*CC807</f>
        <v>1.49038461538462</v>
      </c>
      <c r="BE807" s="63" t="n">
        <f aca="false">IF(LEFT(Cockpit!$O$5,1)="A",H807,IF(CI807=1,(CL807+CJ807)/2,IF(LEFT(Cockpit!$O$5,1)="B",(CL807+BG807)/2,MAX((CL807+BG807)/2,H807))))</f>
        <v>0.5</v>
      </c>
      <c r="BF807" s="62" t="n">
        <f aca="false">BE807*G807</f>
        <v>2.85</v>
      </c>
      <c r="BG807" s="62" t="n">
        <f aca="false">ROUNDUP(CL807+MAX(CM807,2*(J807/IF(CH807&gt;0,CH807,MAX(0.1,N(Cockpit!$O$6)))-CL807)),0)</f>
        <v>1</v>
      </c>
      <c r="BH807" s="63" t="n">
        <f aca="false">IF(BD807&gt;0,J807/BD807,-1)</f>
        <v>0.670967741935484</v>
      </c>
      <c r="BI807" s="63" t="n">
        <f aca="false">IF(AND(OR(CG807="L1",CG807="L23",CG807="LIFT"),BD807&gt;0),SUMIFS($BD$7:$BD$1843,$CG$7:$CG$1843,CG807,$BH$7:$BH$1843,"&gt;"&amp;BH807)+SUMIFS($BD$7:$BD$1843,$CG$7:$CG$1843,CG807,$BH$7:$BH$1843,BH807,$BX$7:$BX$1843,"&lt;="&amp;BX807),"")</f>
        <v>9518.42353479853</v>
      </c>
      <c r="BJ807" s="70" t="n">
        <f aca="false">IF(BI807="",0,MAX(0,MIN(1,(IF(CG807="L1",Parameter!$H$5,IF(CG807="L23",Parameter!$H$6+Parameter!$H$7,Parameter!$H$5+Parameter!$H$6+Parameter!$H$7))-(BI807-BD807))/BD807)))</f>
        <v>1</v>
      </c>
      <c r="BK807" s="60" t="str">
        <f aca="false">IF(AJ807&lt;=0,"",IF(CG807="Aussen","Aussenlager",IF(CG807="-","Nicht im Lift",IF(AP807&gt;=1,"Lift",IF(AP807&lt;=0,"Aussenlager","teilweise")))))</f>
        <v>Lift</v>
      </c>
      <c r="BL807" s="60" t="str">
        <f aca="false">IF(AT807&lt;=0,"",IF(CG807="Aussen","Aussenlager",IF(CG807="-","Nicht im Lift",IF(AZ807&gt;=1,"Lift",IF(AZ807&lt;=0,"Aussenlager","teilweise")))))</f>
        <v>Lift</v>
      </c>
      <c r="BM807" s="60" t="str">
        <f aca="false">IF(BD807&lt;=0,"",IF(CG807="Aussen","Aussenlager",IF(CG807="-","Nicht im Lift",IF(BJ807&gt;=1,"Lift",IF(BJ807&lt;=0,"Aussenlager","teilweise")))))</f>
        <v>Lift</v>
      </c>
      <c r="BN807" s="60" t="str">
        <f aca="false">IF(A807="","",IF(BW807=1,"Neu; ","")&amp;IF(AND(BW807=0,BR807&lt;0),"negativer Bestand (Export "&amp;BR807&amp;"); ","")&amp;IF(J807&lt;=0,"Kein Verbrauch; ","")&amp;IF(CR807&gt;0,"Lift "&amp;W807&amp;" lt. Liftbericht (Fach "&amp;X807&amp;" Stk); ",IF(CB807=1,"Gebinde geschätzt ("&amp;T807&amp;"); ",IF(CA807=1,"Lose – Tablare geschätzt; ","")))&amp;IF(H807&gt;AW807,"Überbestand "&amp;ROUND(H807-AW807,0)&amp;" Stk / CHF "&amp;ROUND((H807-AW807)*G807,0)&amp;"; ","")&amp;IF(AND(CI807=1,CJ807&lt;CK807),"MAX &lt; MB+LG; ","")&amp;IF(AND(CQ807&gt;0,CP807*10&gt;CQ807),"zu hoch für Tablar; ","")&amp;IF(AND(BW807=0,OR(CI807=1,AB807&lt;&gt;"",U807&lt;&gt;"",V807&lt;&gt;"",AC807&lt;&gt;"")),"manuell übersteuert; ","")&amp;IF(AND(CA807=0,R807=0),"Gebinde unbekannt / Stellmass fehlt; ","")&amp;IF(AND(CA807=0,N(V807)&lt;=0,N(Q807)&lt;=0),"Menge pro Gebinde fehlt (Ist = 1 Gebinde); ","")&amp;BV807)</f>
        <v>negativer Bestand (Export -1); Überbestand 3 Stk / CHF 17; Verb.Lager</v>
      </c>
      <c r="BO807" s="60"/>
      <c r="BP807" s="60"/>
      <c r="BQ807" s="67"/>
      <c r="BR807" s="62" t="n">
        <v>-1</v>
      </c>
      <c r="BS807" s="62" t="n">
        <v>5</v>
      </c>
      <c r="BT807" s="61" t="n">
        <v>-5.7</v>
      </c>
      <c r="BU807" s="62" t="n">
        <v>1</v>
      </c>
      <c r="BV807" s="60" t="s">
        <v>1072</v>
      </c>
      <c r="BW807" s="65" t="n">
        <v>0</v>
      </c>
      <c r="BX807" s="65" t="n">
        <v>807</v>
      </c>
      <c r="BY807" s="60" t="str">
        <f aca="false">IF(U807&lt;&gt;"",UPPER(TRIM(U807)),IF(CB807=1,UPPER(VLOOKUP(T807,Parameter!$I$27:$K$29,2,0)),IF(P807="","LOSE",P807)))</f>
        <v>S32</v>
      </c>
      <c r="BZ807" s="62" t="n">
        <f aca="false">IF(BY807="LOSE",1,IF(N(V807)&gt;0,V807,IF(CB807=1,MAX(1,N(VLOOKUP(T807,Parameter!$I$27:$K$29,3,0)),H807,N(N807)),IF(N(Q807)&gt;0,Q807,MAX(1,H807)))))</f>
        <v>7</v>
      </c>
      <c r="CA807" s="65" t="n">
        <f aca="false">IF(BY807="LOSE",1,0)</f>
        <v>0</v>
      </c>
      <c r="CB807" s="65" t="n">
        <f aca="false">IF(AND(U807="",OR(P807="",P807="LOSE"),T807&lt;&gt;"",N(S807)&lt;=0,ISNUMBER(MATCH(T807,Parameter!$I$27:$I$29,0))),1,0)</f>
        <v>0</v>
      </c>
      <c r="CC807" s="65" t="n">
        <f aca="false">IF(CR807&gt;0,INDEX(Parameter!$H$5:$H$7,W807)/INDEX(Parameter!$E$5:$E$7,W807),IF(AND(CA807=0,N(IFERROR(VLOOKUP(BY807,'Gebinde-Kategorie'!$A$5:$N$45,14,0),0))&gt;0),VLOOKUP(BY807,'Gebinde-Kategorie'!$A$5:$N$45,14,0)*10+Parameter!$M$23,Parameter!$M$24))</f>
        <v>155</v>
      </c>
      <c r="CD807" s="60" t="str">
        <f aca="false">IF(AND(Parameter!$B$19="Ja",E807&lt;&gt;"",ISNUMBER(MATCH(E807,Parameter!$I$35:$I$52,0))),VLOOKUP(E807,Parameter!$I$35:$J$52,2,0),IFERROR(VLOOKUP(D807,Parameter!$A$35:$C$64,2,0),"Nein"))</f>
        <v>2+3</v>
      </c>
      <c r="CE807" s="64" t="n">
        <f aca="false">IF(CA807=0,0,IF(N(S807)&gt;0,S807,IFERROR(VLOOKUP(D807,Parameter!$A$35:$C$64,3,0)+0,0)))</f>
        <v>0</v>
      </c>
      <c r="CF807" s="60" t="n">
        <f aca="false">IF(AB807&lt;&gt;"",AB807,AA807)</f>
        <v>2</v>
      </c>
      <c r="CG807" s="60" t="str">
        <f aca="false">IF(OR(CF807=1,CF807=2,CF807=3),IF(Parameter!$E$27="Ja","LIFT",IF(CF807=1,"L1","L23")),IF(CF807="Aussen","Aussen","-"))</f>
        <v>LIFT</v>
      </c>
      <c r="CH807" s="71" t="n">
        <f aca="false">IF(N(AC807)&gt;0,AC807,0)</f>
        <v>0</v>
      </c>
      <c r="CI807" s="65" t="n">
        <f aca="false">IF(ISNUMBER(AF807),1,0)</f>
        <v>0</v>
      </c>
      <c r="CJ807" s="62" t="n">
        <f aca="false">N(AF807)</f>
        <v>0</v>
      </c>
      <c r="CK807" s="62" t="n">
        <f aca="false">N(M807)+N(N807)</f>
        <v>1</v>
      </c>
      <c r="CL807" s="62" t="n">
        <f aca="false">N(M807)</f>
        <v>0</v>
      </c>
      <c r="CM807" s="62" t="n">
        <f aca="false">N(N807)</f>
        <v>1</v>
      </c>
      <c r="CN807" s="62" t="n">
        <f aca="false">ROUNDUP(H807/BZ807,0)</f>
        <v>1</v>
      </c>
      <c r="CO807" s="62" t="n">
        <f aca="false">ROUNDUP(CJ807/BZ807,0)</f>
        <v>0</v>
      </c>
      <c r="CP807" s="65" t="n">
        <f aca="false">IF(CA807=1,0,IFERROR(VLOOKUP(BY807,'Gebinde-Kategorie'!$A$5:$N$45,5,0)+0,0))</f>
        <v>8</v>
      </c>
      <c r="CQ807" s="65" t="n">
        <f aca="false">IFERROR(IF(OR(CF807=1,CF807=2,CF807=3),N(INDEX(Parameter!$I$5:$I$7,CF807)),0),0)</f>
        <v>0</v>
      </c>
      <c r="CR807" s="64" t="n">
        <f aca="false">IF(AND(Parameter!$B$21="Ja",ISNUMBER(W807),N(X807)&gt;0),IFERROR(N(INDEX(Parameter!$L$5:$L$7,W807))*INDEX(Parameter!$E$5:$E$7,W807)*X807/SUMIFS($X$7:$X$1843,$W$7:$W$1843,W807),0),0)</f>
        <v>0</v>
      </c>
      <c r="CS807" s="62" t="n">
        <f aca="false">IF(AND(OR(CG807="L1",CG807="L23",CG807="LIFT"),H807&gt;0),CC807*IF(CR807&gt;0,CR807*MAX(1,H807/X807),IF(CA807=1,CE807,IF(R807&gt;0,CN807/R807,0))/MAX(0.1,N(Parameter!$M$21))),"")</f>
        <v>1.49038461538462</v>
      </c>
      <c r="CT807" s="64" t="n">
        <f aca="false">IF(CS807="","",J807/H807)</f>
        <v>0.25</v>
      </c>
      <c r="CU807" s="62" t="n">
        <f aca="false">IF(CS807="","",H807*G807)</f>
        <v>22.8</v>
      </c>
      <c r="CV807" s="63" t="n">
        <f aca="false">IF(CS807="","",(CL807+ROUNDUP(CL807+MAX(CM807,2*(J807/MAX(0.1,N(Einkauf!$C$6))-CL807)),0))/2)</f>
        <v>0.5</v>
      </c>
      <c r="CW807" s="62" t="n">
        <f aca="false">IF(CS807="","",MAX(0,H807-CV807)*G807)</f>
        <v>19.95</v>
      </c>
      <c r="CX807" s="62" t="n">
        <f aca="false">IF(CS807="","",CS807*MAX(0,1-CV807/H807))</f>
        <v>1.30408653846154</v>
      </c>
      <c r="CY807" s="64" t="n">
        <f aca="false">IF(CS807="","",PERCENTRANK($CS$7:$CS$1843,CS807)+PERCENTRANK($CU$7:$CU$1843,CU807)+1-PERCENTRANK($CT$7:$CT$1843,CT807))</f>
        <v>0.7223</v>
      </c>
      <c r="CZ807" s="72" t="n">
        <f aca="false">IF(CS807="","",CHOOSE(MATCH(Einkauf!$C$5,Parameter!$G$23:$G$27,0),CY807,CS807,CU807,-CT807,CW807)+ROW()/1000000000)</f>
        <v>0.722300807</v>
      </c>
    </row>
    <row r="808" customFormat="false" ht="15" hidden="false" customHeight="false" outlineLevel="0" collapsed="false">
      <c r="A808" s="60" t="s">
        <v>1608</v>
      </c>
      <c r="B808" s="60" t="s">
        <v>1609</v>
      </c>
      <c r="C808" s="60" t="s">
        <v>206</v>
      </c>
      <c r="D808" s="60" t="s">
        <v>226</v>
      </c>
      <c r="E808" s="60"/>
      <c r="F808" s="60" t="s">
        <v>260</v>
      </c>
      <c r="G808" s="61" t="n">
        <v>0.24</v>
      </c>
      <c r="H808" s="62" t="n">
        <f aca="false">MAX(0,IF(AND(Parameter!$B$21="Ja",ISNUMBER(Y808)),Y808,IF(Parameter!$B$20="Jahresanfang 2025 + Export",BS808+BR808,BR808)))</f>
        <v>0</v>
      </c>
      <c r="I808" s="62" t="n">
        <f aca="false">H808*G808</f>
        <v>0</v>
      </c>
      <c r="J808" s="62" t="n">
        <f aca="false">BU808*Parameter!$B$18</f>
        <v>4</v>
      </c>
      <c r="K808" s="63" t="n">
        <v>19.5</v>
      </c>
      <c r="L808" s="64" t="n">
        <v>0.205128205128205</v>
      </c>
      <c r="M808" s="62" t="n">
        <v>0</v>
      </c>
      <c r="N808" s="62" t="n">
        <v>1300</v>
      </c>
      <c r="O808" s="65" t="n">
        <v>14</v>
      </c>
      <c r="P808" s="60" t="s">
        <v>210</v>
      </c>
      <c r="Q808" s="62"/>
      <c r="R808" s="65" t="n">
        <f aca="false">IF(CA808=1,0,IFERROR(VLOOKUP(BY808,'Gebinde-Kategorie'!$A$5:$N$45,13,0)+0,0))</f>
        <v>12</v>
      </c>
      <c r="S808" s="66"/>
      <c r="T808" s="67" t="s">
        <v>221</v>
      </c>
      <c r="U808" s="67"/>
      <c r="V808" s="67"/>
      <c r="W808" s="60"/>
      <c r="X808" s="62"/>
      <c r="Y808" s="62"/>
      <c r="Z808" s="60" t="n">
        <v>3</v>
      </c>
      <c r="AA808" s="60" t="n">
        <f aca="false">IF(A808="","",IF(AND(Parameter!$B$21="Ja",ISNUMBER(W808)),W808,IF(AND(Parameter!$E$27="Ja",ISNUMBER(Z808),CD808&lt;&gt;"Nein"),Z808,IF(CD808="2+3",IF(ISNUMBER(SEARCH("grosser Artikel",BV808)),2,IFERROR(VLOOKUP(BY808,Parameter!$F$35:$G$64,2,0),2)),IF(OR(CD808="Nein",CD808=""),"-",CD808)))))</f>
        <v>3</v>
      </c>
      <c r="AB808" s="67"/>
      <c r="AC808" s="68"/>
      <c r="AD808" s="62" t="n">
        <f aca="false">AW808</f>
        <v>1300</v>
      </c>
      <c r="AE808" s="62" t="n">
        <f aca="false">MAX(AW808,H808)</f>
        <v>1300</v>
      </c>
      <c r="AF808" s="69"/>
      <c r="AG808" s="62" t="n">
        <f aca="false">IF(LEFT(Cockpit!$C$5,1)="A",H808,IF(Parameter!$E$30="MAX-Bestand",IF(CI808=1,CJ808,IF(LEFT(Cockpit!$C$5,1)="B",AM808,MAX(AM808,H808))),ROUNDUP(AK808,0)))</f>
        <v>0</v>
      </c>
      <c r="AH808" s="62" t="n">
        <f aca="false">IF(CA808=1,0,ROUNDUP(AG808/BZ808,0))</f>
        <v>0</v>
      </c>
      <c r="AI808" s="64" t="n">
        <f aca="false">IF(CR808&gt;0,CR808*MAX(1,AG808/X808),IF(CA808=1,IF(AG808&lt;=0,0,CE808*MAX(1,IF(H808&gt;0,AG808/H808,1))),IF(R808&gt;0,AH808/R808,0))/MAX(0.1,N(Parameter!$M$21)))</f>
        <v>0</v>
      </c>
      <c r="AJ808" s="62" t="n">
        <f aca="false">AI808*CC808</f>
        <v>0</v>
      </c>
      <c r="AK808" s="63" t="n">
        <f aca="false">IF(LEFT(Cockpit!$C$5,1)="A",H808,IF(CI808=1,(CL808+CJ808)/2,IF(LEFT(Cockpit!$C$5,1)="B",(CL808+AM808)/2,MAX((CL808+AM808)/2,H808))))</f>
        <v>0</v>
      </c>
      <c r="AL808" s="62" t="n">
        <f aca="false">AK808*G808</f>
        <v>0</v>
      </c>
      <c r="AM808" s="62" t="n">
        <f aca="false">ROUNDUP(CL808+MAX(CM808,2*(J808/IF(CH808&gt;0,CH808,MAX(0.1,N(Cockpit!$C$6)))-CL808)),0)</f>
        <v>1300</v>
      </c>
      <c r="AN808" s="63" t="n">
        <f aca="false">IF(AJ808&gt;0,J808/AJ808,-1)</f>
        <v>-1</v>
      </c>
      <c r="AO808" s="63" t="str">
        <f aca="false">IF(AND(OR(CG808="L1",CG808="L23",CG808="LIFT"),AJ808&gt;0),SUMIFS($AJ$7:$AJ$1843,$CG$7:$CG$1843,CG808,$AN$7:$AN$1843,"&gt;"&amp;AN808)+SUMIFS($AJ$7:$AJ$1843,$CG$7:$CG$1843,CG808,$AN$7:$AN$1843,AN808,$BX$7:$BX$1843,"&lt;="&amp;BX808),"")</f>
        <v/>
      </c>
      <c r="AP808" s="70" t="n">
        <f aca="false">IF(AO808="",0,MAX(0,MIN(1,(IF(CG808="L1",Parameter!$H$5,IF(CG808="L23",Parameter!$H$6+Parameter!$H$7,Parameter!$H$5+Parameter!$H$6+Parameter!$H$7))-(AO808-AJ808))/AJ808)))</f>
        <v>0</v>
      </c>
      <c r="AQ808" s="62" t="n">
        <f aca="false">IF(LEFT(Cockpit!$I$5,1)="A",H808,IF(Parameter!$E$30="MAX-Bestand",IF(CI808=1,CJ808,IF(LEFT(Cockpit!$I$5,1)="B",AW808,MAX(AW808,H808))),ROUNDUP(AU808,0)))</f>
        <v>650</v>
      </c>
      <c r="AR808" s="62" t="n">
        <f aca="false">IF(CA808=1,0,ROUNDUP(AQ808/BZ808,0))</f>
        <v>1</v>
      </c>
      <c r="AS808" s="64" t="n">
        <f aca="false">IF(CR808&gt;0,CR808*MAX(1,AQ808/X808),IF(CA808=1,IF(AQ808&lt;=0,0,CE808*MAX(1,IF(H808&gt;0,AQ808/H808,1))),IF(R808&gt;0,AR808/R808,0))/MAX(0.1,N(Parameter!$M$21)))</f>
        <v>0.0833333333333333</v>
      </c>
      <c r="AT808" s="62" t="n">
        <f aca="false">AS808*CC808</f>
        <v>12.0833333333333</v>
      </c>
      <c r="AU808" s="63" t="n">
        <f aca="false">IF(LEFT(Cockpit!$I$5,1)="A",H808,IF(CI808=1,(CL808+CJ808)/2,IF(LEFT(Cockpit!$I$5,1)="B",(CL808+AW808)/2,MAX((CL808+AW808)/2,H808))))</f>
        <v>650</v>
      </c>
      <c r="AV808" s="62" t="n">
        <f aca="false">AU808*G808</f>
        <v>156</v>
      </c>
      <c r="AW808" s="62" t="n">
        <f aca="false">ROUNDUP(CL808+MAX(CM808,2*(J808/IF(CH808&gt;0,CH808,MAX(0.1,N(Cockpit!$I$6)))-CL808)),0)</f>
        <v>1300</v>
      </c>
      <c r="AX808" s="63" t="n">
        <f aca="false">IF(AT808&gt;0,J808/AT808,-1)</f>
        <v>0.331034482758621</v>
      </c>
      <c r="AY808" s="63" t="n">
        <f aca="false">IF(AND(OR(CG808="L1",CG808="L23",CG808="LIFT"),AT808&gt;0),SUMIFS($AT$7:$AT$1843,$CG$7:$CG$1843,CG808,$AX$7:$AX$1843,"&gt;"&amp;AX808)+SUMIFS($AT$7:$AT$1843,$CG$7:$CG$1843,CG808,$AX$7:$AX$1843,AX808,$BX$7:$BX$1843,"&lt;="&amp;BX808),"")</f>
        <v>13806.9198717949</v>
      </c>
      <c r="AZ808" s="70" t="n">
        <f aca="false">IF(AY808="",0,MAX(0,MIN(1,(IF(CG808="L1",Parameter!$H$5,IF(CG808="L23",Parameter!$H$6+Parameter!$H$7,Parameter!$H$5+Parameter!$H$6+Parameter!$H$7))-(AY808-AT808))/AT808)))</f>
        <v>1</v>
      </c>
      <c r="BA808" s="62" t="n">
        <f aca="false">IF(LEFT(Cockpit!$O$5,1)="A",H808,IF(Parameter!$E$30="MAX-Bestand",IF(CI808=1,CJ808,IF(LEFT(Cockpit!$O$5,1)="B",BG808,MAX(BG808,H808))),ROUNDUP(BE808,0)))</f>
        <v>650</v>
      </c>
      <c r="BB808" s="62" t="n">
        <f aca="false">IF(CA808=1,0,ROUNDUP(BA808/BZ808,0))</f>
        <v>1</v>
      </c>
      <c r="BC808" s="64" t="n">
        <f aca="false">IF(CR808&gt;0,CR808*MAX(1,BA808/X808),IF(CA808=1,IF(BA808&lt;=0,0,CE808*MAX(1,IF(H808&gt;0,BA808/H808,1))),IF(R808&gt;0,BB808/R808,0))/MAX(0.1,N(Parameter!$M$21)))</f>
        <v>0.0833333333333333</v>
      </c>
      <c r="BD808" s="62" t="n">
        <f aca="false">BC808*CC808</f>
        <v>12.0833333333333</v>
      </c>
      <c r="BE808" s="63" t="n">
        <f aca="false">IF(LEFT(Cockpit!$O$5,1)="A",H808,IF(CI808=1,(CL808+CJ808)/2,IF(LEFT(Cockpit!$O$5,1)="B",(CL808+BG808)/2,MAX((CL808+BG808)/2,H808))))</f>
        <v>650</v>
      </c>
      <c r="BF808" s="62" t="n">
        <f aca="false">BE808*G808</f>
        <v>156</v>
      </c>
      <c r="BG808" s="62" t="n">
        <f aca="false">ROUNDUP(CL808+MAX(CM808,2*(J808/IF(CH808&gt;0,CH808,MAX(0.1,N(Cockpit!$O$6)))-CL808)),0)</f>
        <v>1300</v>
      </c>
      <c r="BH808" s="63" t="n">
        <f aca="false">IF(BD808&gt;0,J808/BD808,-1)</f>
        <v>0.331034482758621</v>
      </c>
      <c r="BI808" s="63" t="n">
        <f aca="false">IF(AND(OR(CG808="L1",CG808="L23",CG808="LIFT"),BD808&gt;0),SUMIFS($BD$7:$BD$1843,$CG$7:$CG$1843,CG808,$BH$7:$BH$1843,"&gt;"&amp;BH808)+SUMIFS($BD$7:$BD$1843,$CG$7:$CG$1843,CG808,$BH$7:$BH$1843,BH808,$BX$7:$BX$1843,"&lt;="&amp;BX808),"")</f>
        <v>11657.8786630037</v>
      </c>
      <c r="BJ808" s="70" t="n">
        <f aca="false">IF(BI808="",0,MAX(0,MIN(1,(IF(CG808="L1",Parameter!$H$5,IF(CG808="L23",Parameter!$H$6+Parameter!$H$7,Parameter!$H$5+Parameter!$H$6+Parameter!$H$7))-(BI808-BD808))/BD808)))</f>
        <v>1</v>
      </c>
      <c r="BK808" s="60" t="str">
        <f aca="false">IF(AJ808&lt;=0,"",IF(CG808="Aussen","Aussenlager",IF(CG808="-","Nicht im Lift",IF(AP808&gt;=1,"Lift",IF(AP808&lt;=0,"Aussenlager","teilweise")))))</f>
        <v/>
      </c>
      <c r="BL808" s="60" t="str">
        <f aca="false">IF(AT808&lt;=0,"",IF(CG808="Aussen","Aussenlager",IF(CG808="-","Nicht im Lift",IF(AZ808&gt;=1,"Lift",IF(AZ808&lt;=0,"Aussenlager","teilweise")))))</f>
        <v>Lift</v>
      </c>
      <c r="BM808" s="60" t="str">
        <f aca="false">IF(BD808&lt;=0,"",IF(CG808="Aussen","Aussenlager",IF(CG808="-","Nicht im Lift",IF(BJ808&gt;=1,"Lift",IF(BJ808&lt;=0,"Aussenlager","teilweise")))))</f>
        <v>Lift</v>
      </c>
      <c r="BN808" s="60" t="str">
        <f aca="false">IF(A808="","",IF(BW808=1,"Neu; ","")&amp;IF(AND(BW808=0,BR808&lt;0),"negativer Bestand (Export "&amp;BR808&amp;"); ","")&amp;IF(J808&lt;=0,"Kein Verbrauch; ","")&amp;IF(CR808&gt;0,"Lift "&amp;W808&amp;" lt. Liftbericht (Fach "&amp;X808&amp;" Stk); ",IF(CB808=1,"Gebinde geschätzt ("&amp;T808&amp;"); ",IF(CA808=1,"Lose – Tablare geschätzt; ","")))&amp;IF(H808&gt;AW808,"Überbestand "&amp;ROUND(H808-AW808,0)&amp;" Stk / CHF "&amp;ROUND((H808-AW808)*G808,0)&amp;"; ","")&amp;IF(AND(CI808=1,CJ808&lt;CK808),"MAX &lt; MB+LG; ","")&amp;IF(AND(CQ808&gt;0,CP808*10&gt;CQ808),"zu hoch für Tablar; ","")&amp;IF(AND(BW808=0,OR(CI808=1,AB808&lt;&gt;"",U808&lt;&gt;"",V808&lt;&gt;"",AC808&lt;&gt;"")),"manuell übersteuert; ","")&amp;IF(AND(CA808=0,R808=0),"Gebinde unbekannt / Stellmass fehlt; ","")&amp;IF(AND(CA808=0,N(V808)&lt;=0,N(Q808)&lt;=0),"Menge pro Gebinde fehlt (Ist = 1 Gebinde); ","")&amp;BV808)</f>
        <v>negativer Bestand (Export -24); Gebinde geschätzt (Mittel); Menge pro Gebinde fehlt (Ist = 1 Gebinde); </v>
      </c>
      <c r="BO808" s="60"/>
      <c r="BP808" s="60"/>
      <c r="BQ808" s="67"/>
      <c r="BR808" s="62" t="n">
        <v>-24</v>
      </c>
      <c r="BS808" s="62" t="n">
        <v>24</v>
      </c>
      <c r="BT808" s="61" t="n">
        <v>-5.76</v>
      </c>
      <c r="BU808" s="62" t="n">
        <v>4</v>
      </c>
      <c r="BV808" s="60"/>
      <c r="BW808" s="65" t="n">
        <v>0</v>
      </c>
      <c r="BX808" s="65" t="n">
        <v>808</v>
      </c>
      <c r="BY808" s="60" t="str">
        <f aca="false">IF(U808&lt;&gt;"",UPPER(TRIM(U808)),IF(CB808=1,UPPER(VLOOKUP(T808,Parameter!$I$27:$K$29,2,0)),IF(P808="","LOSE",P808)))</f>
        <v>S61</v>
      </c>
      <c r="BZ808" s="62" t="n">
        <f aca="false">IF(BY808="LOSE",1,IF(N(V808)&gt;0,V808,IF(CB808=1,MAX(1,N(VLOOKUP(T808,Parameter!$I$27:$K$29,3,0)),H808,N(N808)),IF(N(Q808)&gt;0,Q808,MAX(1,H808)))))</f>
        <v>1300</v>
      </c>
      <c r="CA808" s="65" t="n">
        <f aca="false">IF(BY808="LOSE",1,0)</f>
        <v>0</v>
      </c>
      <c r="CB808" s="65" t="n">
        <f aca="false">IF(AND(U808="",OR(P808="",P808="LOSE"),T808&lt;&gt;"",N(S808)&lt;=0,ISNUMBER(MATCH(T808,Parameter!$I$27:$I$29,0))),1,0)</f>
        <v>1</v>
      </c>
      <c r="CC808" s="65" t="n">
        <f aca="false">IF(CR808&gt;0,INDEX(Parameter!$H$5:$H$7,W808)/INDEX(Parameter!$E$5:$E$7,W808),IF(AND(CA808=0,N(IFERROR(VLOOKUP(BY808,'Gebinde-Kategorie'!$A$5:$N$45,14,0),0))&gt;0),VLOOKUP(BY808,'Gebinde-Kategorie'!$A$5:$N$45,14,0)*10+Parameter!$M$23,Parameter!$M$24))</f>
        <v>145</v>
      </c>
      <c r="CD808" s="60" t="str">
        <f aca="false">IF(AND(Parameter!$B$19="Ja",E808&lt;&gt;"",ISNUMBER(MATCH(E808,Parameter!$I$35:$I$52,0))),VLOOKUP(E808,Parameter!$I$35:$J$52,2,0),IFERROR(VLOOKUP(D808,Parameter!$A$35:$C$64,2,0),"Nein"))</f>
        <v>2+3</v>
      </c>
      <c r="CE808" s="64" t="n">
        <f aca="false">IF(CA808=0,0,IF(N(S808)&gt;0,S808,IFERROR(VLOOKUP(D808,Parameter!$A$35:$C$64,3,0)+0,0)))</f>
        <v>0</v>
      </c>
      <c r="CF808" s="60" t="n">
        <f aca="false">IF(AB808&lt;&gt;"",AB808,AA808)</f>
        <v>3</v>
      </c>
      <c r="CG808" s="60" t="str">
        <f aca="false">IF(OR(CF808=1,CF808=2,CF808=3),IF(Parameter!$E$27="Ja","LIFT",IF(CF808=1,"L1","L23")),IF(CF808="Aussen","Aussen","-"))</f>
        <v>LIFT</v>
      </c>
      <c r="CH808" s="71" t="n">
        <f aca="false">IF(N(AC808)&gt;0,AC808,0)</f>
        <v>0</v>
      </c>
      <c r="CI808" s="65" t="n">
        <f aca="false">IF(ISNUMBER(AF808),1,0)</f>
        <v>0</v>
      </c>
      <c r="CJ808" s="62" t="n">
        <f aca="false">N(AF808)</f>
        <v>0</v>
      </c>
      <c r="CK808" s="62" t="n">
        <f aca="false">N(M808)+N(N808)</f>
        <v>1300</v>
      </c>
      <c r="CL808" s="62" t="n">
        <f aca="false">N(M808)</f>
        <v>0</v>
      </c>
      <c r="CM808" s="62" t="n">
        <f aca="false">N(N808)</f>
        <v>1300</v>
      </c>
      <c r="CN808" s="62" t="n">
        <f aca="false">ROUNDUP(H808/BZ808,0)</f>
        <v>0</v>
      </c>
      <c r="CO808" s="62" t="n">
        <f aca="false">ROUNDUP(CJ808/BZ808,0)</f>
        <v>0</v>
      </c>
      <c r="CP808" s="65" t="n">
        <f aca="false">IF(CA808=1,0,IFERROR(VLOOKUP(BY808,'Gebinde-Kategorie'!$A$5:$N$45,5,0)+0,0))</f>
        <v>11</v>
      </c>
      <c r="CQ808" s="65" t="n">
        <f aca="false">IFERROR(IF(OR(CF808=1,CF808=2,CF808=3),N(INDEX(Parameter!$I$5:$I$7,CF808)),0),0)</f>
        <v>0</v>
      </c>
      <c r="CR808" s="64" t="n">
        <f aca="false">IF(AND(Parameter!$B$21="Ja",ISNUMBER(W808),N(X808)&gt;0),IFERROR(N(INDEX(Parameter!$L$5:$L$7,W808))*INDEX(Parameter!$E$5:$E$7,W808)*X808/SUMIFS($X$7:$X$1843,$W$7:$W$1843,W808),0),0)</f>
        <v>0</v>
      </c>
      <c r="CS808" s="62" t="str">
        <f aca="false">IF(AND(OR(CG808="L1",CG808="L23",CG808="LIFT"),H808&gt;0),CC808*IF(CR808&gt;0,CR808*MAX(1,H808/X808),IF(CA808=1,CE808,IF(R808&gt;0,CN808/R808,0))/MAX(0.1,N(Parameter!$M$21))),"")</f>
        <v/>
      </c>
      <c r="CT808" s="64" t="str">
        <f aca="false">IF(CS808="","",J808/H808)</f>
        <v/>
      </c>
      <c r="CU808" s="62" t="str">
        <f aca="false">IF(CS808="","",H808*G808)</f>
        <v/>
      </c>
      <c r="CV808" s="63" t="str">
        <f aca="false">IF(CS808="","",(CL808+ROUNDUP(CL808+MAX(CM808,2*(J808/MAX(0.1,N(Einkauf!$C$6))-CL808)),0))/2)</f>
        <v/>
      </c>
      <c r="CW808" s="62" t="str">
        <f aca="false">IF(CS808="","",MAX(0,H808-CV808)*G808)</f>
        <v/>
      </c>
      <c r="CX808" s="62" t="str">
        <f aca="false">IF(CS808="","",CS808*MAX(0,1-CV808/H808))</f>
        <v/>
      </c>
      <c r="CY808" s="64" t="str">
        <f aca="false">IF(CS808="","",PERCENTRANK($CS$7:$CS$1843,CS808)+PERCENTRANK($CU$7:$CU$1843,CU808)+1-PERCENTRANK($CT$7:$CT$1843,CT808))</f>
        <v/>
      </c>
      <c r="CZ808" s="72" t="str">
        <f aca="false">IF(CS808="","",CHOOSE(MATCH(Einkauf!$C$5,Parameter!$G$23:$G$27,0),CY808,CS808,CU808,-CT808,CW808)+ROW()/1000000000)</f>
        <v/>
      </c>
    </row>
    <row r="809" customFormat="false" ht="15" hidden="false" customHeight="false" outlineLevel="0" collapsed="false">
      <c r="A809" s="60" t="s">
        <v>1610</v>
      </c>
      <c r="B809" s="60" t="s">
        <v>447</v>
      </c>
      <c r="C809" s="60" t="s">
        <v>498</v>
      </c>
      <c r="D809" s="60" t="s">
        <v>226</v>
      </c>
      <c r="E809" s="60"/>
      <c r="F809" s="60" t="s">
        <v>260</v>
      </c>
      <c r="G809" s="61" t="n">
        <v>0.03</v>
      </c>
      <c r="H809" s="62" t="n">
        <f aca="false">MAX(0,IF(AND(Parameter!$B$21="Ja",ISNUMBER(Y809)),Y809,IF(Parameter!$B$20="Jahresanfang 2025 + Export",BS809+BR809,BR809)))</f>
        <v>196</v>
      </c>
      <c r="I809" s="62" t="n">
        <f aca="false">H809*G809</f>
        <v>5.88</v>
      </c>
      <c r="J809" s="62" t="n">
        <f aca="false">BU809*Parameter!$B$18</f>
        <v>196</v>
      </c>
      <c r="K809" s="63" t="n">
        <v>196</v>
      </c>
      <c r="L809" s="64" t="n">
        <v>1</v>
      </c>
      <c r="M809" s="62" t="n">
        <v>7</v>
      </c>
      <c r="N809" s="62" t="n">
        <v>195</v>
      </c>
      <c r="O809" s="65" t="n">
        <v>14</v>
      </c>
      <c r="P809" s="60" t="s">
        <v>210</v>
      </c>
      <c r="Q809" s="62"/>
      <c r="R809" s="65" t="n">
        <f aca="false">IF(CA809=1,0,IFERROR(VLOOKUP(BY809,'Gebinde-Kategorie'!$A$5:$N$45,13,0)+0,0))</f>
        <v>26</v>
      </c>
      <c r="S809" s="66"/>
      <c r="T809" s="67" t="s">
        <v>317</v>
      </c>
      <c r="U809" s="67"/>
      <c r="V809" s="67"/>
      <c r="W809" s="60"/>
      <c r="X809" s="62"/>
      <c r="Y809" s="62"/>
      <c r="Z809" s="60" t="n">
        <v>3</v>
      </c>
      <c r="AA809" s="60" t="n">
        <f aca="false">IF(A809="","",IF(AND(Parameter!$B$21="Ja",ISNUMBER(W809)),W809,IF(AND(Parameter!$E$27="Ja",ISNUMBER(Z809),CD809&lt;&gt;"Nein"),Z809,IF(CD809="2+3",IF(ISNUMBER(SEARCH("grosser Artikel",BV809)),2,IFERROR(VLOOKUP(BY809,Parameter!$F$35:$G$64,2,0),2)),IF(OR(CD809="Nein",CD809=""),"-",CD809)))))</f>
        <v>3</v>
      </c>
      <c r="AB809" s="67"/>
      <c r="AC809" s="68"/>
      <c r="AD809" s="62" t="n">
        <f aca="false">AW809</f>
        <v>202</v>
      </c>
      <c r="AE809" s="62" t="n">
        <f aca="false">MAX(AW809,H809)</f>
        <v>202</v>
      </c>
      <c r="AF809" s="69"/>
      <c r="AG809" s="62" t="n">
        <f aca="false">IF(LEFT(Cockpit!$C$5,1)="A",H809,IF(Parameter!$E$30="MAX-Bestand",IF(CI809=1,CJ809,IF(LEFT(Cockpit!$C$5,1)="B",AM809,MAX(AM809,H809))),ROUNDUP(AK809,0)))</f>
        <v>196</v>
      </c>
      <c r="AH809" s="62" t="n">
        <f aca="false">IF(CA809=1,0,ROUNDUP(AG809/BZ809,0))</f>
        <v>1</v>
      </c>
      <c r="AI809" s="64" t="n">
        <f aca="false">IF(CR809&gt;0,CR809*MAX(1,AG809/X809),IF(CA809=1,IF(AG809&lt;=0,0,CE809*MAX(1,IF(H809&gt;0,AG809/H809,1))),IF(R809&gt;0,AH809/R809,0))/MAX(0.1,N(Parameter!$M$21)))</f>
        <v>0.0384615384615385</v>
      </c>
      <c r="AJ809" s="62" t="n">
        <f aca="false">AI809*CC809</f>
        <v>5.96153846153846</v>
      </c>
      <c r="AK809" s="63" t="n">
        <f aca="false">IF(LEFT(Cockpit!$C$5,1)="A",H809,IF(CI809=1,(CL809+CJ809)/2,IF(LEFT(Cockpit!$C$5,1)="B",(CL809+AM809)/2,MAX((CL809+AM809)/2,H809))))</f>
        <v>196</v>
      </c>
      <c r="AL809" s="62" t="n">
        <f aca="false">AK809*G809</f>
        <v>5.88</v>
      </c>
      <c r="AM809" s="62" t="n">
        <f aca="false">ROUNDUP(CL809+MAX(CM809,2*(J809/IF(CH809&gt;0,CH809,MAX(0.1,N(Cockpit!$C$6)))-CL809)),0)</f>
        <v>202</v>
      </c>
      <c r="AN809" s="63" t="n">
        <f aca="false">IF(AJ809&gt;0,J809/AJ809,-1)</f>
        <v>32.8774193548387</v>
      </c>
      <c r="AO809" s="63" t="n">
        <f aca="false">IF(AND(OR(CG809="L1",CG809="L23",CG809="LIFT"),AJ809&gt;0),SUMIFS($AJ$7:$AJ$1843,$CG$7:$CG$1843,CG809,$AN$7:$AN$1843,"&gt;"&amp;AN809)+SUMIFS($AJ$7:$AJ$1843,$CG$7:$CG$1843,CG809,$AN$7:$AN$1843,AN809,$BX$7:$BX$1843,"&lt;="&amp;BX809),"")</f>
        <v>1340.48763736264</v>
      </c>
      <c r="AP809" s="70" t="n">
        <f aca="false">IF(AO809="",0,MAX(0,MIN(1,(IF(CG809="L1",Parameter!$H$5,IF(CG809="L23",Parameter!$H$6+Parameter!$H$7,Parameter!$H$5+Parameter!$H$6+Parameter!$H$7))-(AO809-AJ809))/AJ809)))</f>
        <v>1</v>
      </c>
      <c r="AQ809" s="62" t="n">
        <f aca="false">IF(LEFT(Cockpit!$I$5,1)="A",H809,IF(Parameter!$E$30="MAX-Bestand",IF(CI809=1,CJ809,IF(LEFT(Cockpit!$I$5,1)="B",AW809,MAX(AW809,H809))),ROUNDUP(AU809,0)))</f>
        <v>196</v>
      </c>
      <c r="AR809" s="62" t="n">
        <f aca="false">IF(CA809=1,0,ROUNDUP(AQ809/BZ809,0))</f>
        <v>1</v>
      </c>
      <c r="AS809" s="64" t="n">
        <f aca="false">IF(CR809&gt;0,CR809*MAX(1,AQ809/X809),IF(CA809=1,IF(AQ809&lt;=0,0,CE809*MAX(1,IF(H809&gt;0,AQ809/H809,1))),IF(R809&gt;0,AR809/R809,0))/MAX(0.1,N(Parameter!$M$21)))</f>
        <v>0.0384615384615385</v>
      </c>
      <c r="AT809" s="62" t="n">
        <f aca="false">AS809*CC809</f>
        <v>5.96153846153846</v>
      </c>
      <c r="AU809" s="63" t="n">
        <f aca="false">IF(LEFT(Cockpit!$I$5,1)="A",H809,IF(CI809=1,(CL809+CJ809)/2,IF(LEFT(Cockpit!$I$5,1)="B",(CL809+AW809)/2,MAX((CL809+AW809)/2,H809))))</f>
        <v>196</v>
      </c>
      <c r="AV809" s="62" t="n">
        <f aca="false">AU809*G809</f>
        <v>5.88</v>
      </c>
      <c r="AW809" s="62" t="n">
        <f aca="false">ROUNDUP(CL809+MAX(CM809,2*(J809/IF(CH809&gt;0,CH809,MAX(0.1,N(Cockpit!$I$6)))-CL809)),0)</f>
        <v>202</v>
      </c>
      <c r="AX809" s="63" t="n">
        <f aca="false">IF(AT809&gt;0,J809/AT809,-1)</f>
        <v>32.8774193548387</v>
      </c>
      <c r="AY809" s="63" t="n">
        <f aca="false">IF(AND(OR(CG809="L1",CG809="L23",CG809="LIFT"),AT809&gt;0),SUMIFS($AT$7:$AT$1843,$CG$7:$CG$1843,CG809,$AX$7:$AX$1843,"&gt;"&amp;AX809)+SUMIFS($AT$7:$AT$1843,$CG$7:$CG$1843,CG809,$AX$7:$AX$1843,AX809,$BX$7:$BX$1843,"&lt;="&amp;BX809),"")</f>
        <v>1733.75366300366</v>
      </c>
      <c r="AZ809" s="70" t="n">
        <f aca="false">IF(AY809="",0,MAX(0,MIN(1,(IF(CG809="L1",Parameter!$H$5,IF(CG809="L23",Parameter!$H$6+Parameter!$H$7,Parameter!$H$5+Parameter!$H$6+Parameter!$H$7))-(AY809-AT809))/AT809)))</f>
        <v>1</v>
      </c>
      <c r="BA809" s="62" t="n">
        <f aca="false">IF(LEFT(Cockpit!$O$5,1)="A",H809,IF(Parameter!$E$30="MAX-Bestand",IF(CI809=1,CJ809,IF(LEFT(Cockpit!$O$5,1)="B",BG809,MAX(BG809,H809))),ROUNDUP(BE809,0)))</f>
        <v>105</v>
      </c>
      <c r="BB809" s="62" t="n">
        <f aca="false">IF(CA809=1,0,ROUNDUP(BA809/BZ809,0))</f>
        <v>1</v>
      </c>
      <c r="BC809" s="64" t="n">
        <f aca="false">IF(CR809&gt;0,CR809*MAX(1,BA809/X809),IF(CA809=1,IF(BA809&lt;=0,0,CE809*MAX(1,IF(H809&gt;0,BA809/H809,1))),IF(R809&gt;0,BB809/R809,0))/MAX(0.1,N(Parameter!$M$21)))</f>
        <v>0.0384615384615385</v>
      </c>
      <c r="BD809" s="62" t="n">
        <f aca="false">BC809*CC809</f>
        <v>5.96153846153846</v>
      </c>
      <c r="BE809" s="63" t="n">
        <f aca="false">IF(LEFT(Cockpit!$O$5,1)="A",H809,IF(CI809=1,(CL809+CJ809)/2,IF(LEFT(Cockpit!$O$5,1)="B",(CL809+BG809)/2,MAX((CL809+BG809)/2,H809))))</f>
        <v>104.5</v>
      </c>
      <c r="BF809" s="62" t="n">
        <f aca="false">BE809*G809</f>
        <v>3.135</v>
      </c>
      <c r="BG809" s="62" t="n">
        <f aca="false">ROUNDUP(CL809+MAX(CM809,2*(J809/IF(CH809&gt;0,CH809,MAX(0.1,N(Cockpit!$O$6)))-CL809)),0)</f>
        <v>202</v>
      </c>
      <c r="BH809" s="63" t="n">
        <f aca="false">IF(BD809&gt;0,J809/BD809,-1)</f>
        <v>32.8774193548387</v>
      </c>
      <c r="BI809" s="63" t="n">
        <f aca="false">IF(AND(OR(CG809="L1",CG809="L23",CG809="LIFT"),BD809&gt;0),SUMIFS($BD$7:$BD$1843,$CG$7:$CG$1843,CG809,$BH$7:$BH$1843,"&gt;"&amp;BH809)+SUMIFS($BD$7:$BD$1843,$CG$7:$CG$1843,CG809,$BH$7:$BH$1843,BH809,$BX$7:$BX$1843,"&lt;="&amp;BX809),"")</f>
        <v>1673.42948717949</v>
      </c>
      <c r="BJ809" s="70" t="n">
        <f aca="false">IF(BI809="",0,MAX(0,MIN(1,(IF(CG809="L1",Parameter!$H$5,IF(CG809="L23",Parameter!$H$6+Parameter!$H$7,Parameter!$H$5+Parameter!$H$6+Parameter!$H$7))-(BI809-BD809))/BD809)))</f>
        <v>1</v>
      </c>
      <c r="BK809" s="60" t="str">
        <f aca="false">IF(AJ809&lt;=0,"",IF(CG809="Aussen","Aussenlager",IF(CG809="-","Nicht im Lift",IF(AP809&gt;=1,"Lift",IF(AP809&lt;=0,"Aussenlager","teilweise")))))</f>
        <v>Lift</v>
      </c>
      <c r="BL809" s="60" t="str">
        <f aca="false">IF(AT809&lt;=0,"",IF(CG809="Aussen","Aussenlager",IF(CG809="-","Nicht im Lift",IF(AZ809&gt;=1,"Lift",IF(AZ809&lt;=0,"Aussenlager","teilweise")))))</f>
        <v>Lift</v>
      </c>
      <c r="BM809" s="60" t="str">
        <f aca="false">IF(BD809&lt;=0,"",IF(CG809="Aussen","Aussenlager",IF(CG809="-","Nicht im Lift",IF(BJ809&gt;=1,"Lift",IF(BJ809&lt;=0,"Aussenlager","teilweise")))))</f>
        <v>Lift</v>
      </c>
      <c r="BN809" s="60" t="str">
        <f aca="false">IF(A809="","",IF(BW809=1,"Neu; ","")&amp;IF(AND(BW809=0,BR809&lt;0),"negativer Bestand (Export "&amp;BR809&amp;"); ","")&amp;IF(J809&lt;=0,"Kein Verbrauch; ","")&amp;IF(CR809&gt;0,"Lift "&amp;W809&amp;" lt. Liftbericht (Fach "&amp;X809&amp;" Stk); ",IF(CB809=1,"Gebinde geschätzt ("&amp;T809&amp;"); ",IF(CA809=1,"Lose – Tablare geschätzt; ","")))&amp;IF(H809&gt;AW809,"Überbestand "&amp;ROUND(H809-AW809,0)&amp;" Stk / CHF "&amp;ROUND((H809-AW809)*G809,0)&amp;"; ","")&amp;IF(AND(CI809=1,CJ809&lt;CK809),"MAX &lt; MB+LG; ","")&amp;IF(AND(CQ809&gt;0,CP809*10&gt;CQ809),"zu hoch für Tablar; ","")&amp;IF(AND(BW809=0,OR(CI809=1,AB809&lt;&gt;"",U809&lt;&gt;"",V809&lt;&gt;"",AC809&lt;&gt;"")),"manuell übersteuert; ","")&amp;IF(AND(CA809=0,R809=0),"Gebinde unbekannt / Stellmass fehlt; ","")&amp;IF(AND(CA809=0,N(V809)&lt;=0,N(Q809)&lt;=0),"Menge pro Gebinde fehlt (Ist = 1 Gebinde); ","")&amp;BV809)</f>
        <v>negativer Bestand (Export -196); Gebinde geschätzt (Klein); Menge pro Gebinde fehlt (Ist = 1 Gebinde); </v>
      </c>
      <c r="BO809" s="60"/>
      <c r="BP809" s="60"/>
      <c r="BQ809" s="67"/>
      <c r="BR809" s="62" t="n">
        <v>-196</v>
      </c>
      <c r="BS809" s="62" t="n">
        <v>392</v>
      </c>
      <c r="BT809" s="61" t="n">
        <v>-5.88</v>
      </c>
      <c r="BU809" s="62" t="n">
        <v>196</v>
      </c>
      <c r="BV809" s="60"/>
      <c r="BW809" s="65" t="n">
        <v>0</v>
      </c>
      <c r="BX809" s="65" t="n">
        <v>809</v>
      </c>
      <c r="BY809" s="60" t="str">
        <f aca="false">IF(U809&lt;&gt;"",UPPER(TRIM(U809)),IF(CB809=1,UPPER(VLOOKUP(T809,Parameter!$I$27:$K$29,2,0)),IF(P809="","LOSE",P809)))</f>
        <v>S51</v>
      </c>
      <c r="BZ809" s="62" t="n">
        <f aca="false">IF(BY809="LOSE",1,IF(N(V809)&gt;0,V809,IF(CB809=1,MAX(1,N(VLOOKUP(T809,Parameter!$I$27:$K$29,3,0)),H809,N(N809)),IF(N(Q809)&gt;0,Q809,MAX(1,H809)))))</f>
        <v>196</v>
      </c>
      <c r="CA809" s="65" t="n">
        <f aca="false">IF(BY809="LOSE",1,0)</f>
        <v>0</v>
      </c>
      <c r="CB809" s="65" t="n">
        <f aca="false">IF(AND(U809="",OR(P809="",P809="LOSE"),T809&lt;&gt;"",N(S809)&lt;=0,ISNUMBER(MATCH(T809,Parameter!$I$27:$I$29,0))),1,0)</f>
        <v>1</v>
      </c>
      <c r="CC809" s="65" t="n">
        <f aca="false">IF(CR809&gt;0,INDEX(Parameter!$H$5:$H$7,W809)/INDEX(Parameter!$E$5:$E$7,W809),IF(AND(CA809=0,N(IFERROR(VLOOKUP(BY809,'Gebinde-Kategorie'!$A$5:$N$45,14,0),0))&gt;0),VLOOKUP(BY809,'Gebinde-Kategorie'!$A$5:$N$45,14,0)*10+Parameter!$M$23,Parameter!$M$24))</f>
        <v>155</v>
      </c>
      <c r="CD809" s="60" t="str">
        <f aca="false">IF(AND(Parameter!$B$19="Ja",E809&lt;&gt;"",ISNUMBER(MATCH(E809,Parameter!$I$35:$I$52,0))),VLOOKUP(E809,Parameter!$I$35:$J$52,2,0),IFERROR(VLOOKUP(D809,Parameter!$A$35:$C$64,2,0),"Nein"))</f>
        <v>2+3</v>
      </c>
      <c r="CE809" s="64" t="n">
        <f aca="false">IF(CA809=0,0,IF(N(S809)&gt;0,S809,IFERROR(VLOOKUP(D809,Parameter!$A$35:$C$64,3,0)+0,0)))</f>
        <v>0</v>
      </c>
      <c r="CF809" s="60" t="n">
        <f aca="false">IF(AB809&lt;&gt;"",AB809,AA809)</f>
        <v>3</v>
      </c>
      <c r="CG809" s="60" t="str">
        <f aca="false">IF(OR(CF809=1,CF809=2,CF809=3),IF(Parameter!$E$27="Ja","LIFT",IF(CF809=1,"L1","L23")),IF(CF809="Aussen","Aussen","-"))</f>
        <v>LIFT</v>
      </c>
      <c r="CH809" s="71" t="n">
        <f aca="false">IF(N(AC809)&gt;0,AC809,0)</f>
        <v>0</v>
      </c>
      <c r="CI809" s="65" t="n">
        <f aca="false">IF(ISNUMBER(AF809),1,0)</f>
        <v>0</v>
      </c>
      <c r="CJ809" s="62" t="n">
        <f aca="false">N(AF809)</f>
        <v>0</v>
      </c>
      <c r="CK809" s="62" t="n">
        <f aca="false">N(M809)+N(N809)</f>
        <v>202</v>
      </c>
      <c r="CL809" s="62" t="n">
        <f aca="false">N(M809)</f>
        <v>7</v>
      </c>
      <c r="CM809" s="62" t="n">
        <f aca="false">N(N809)</f>
        <v>195</v>
      </c>
      <c r="CN809" s="62" t="n">
        <f aca="false">ROUNDUP(H809/BZ809,0)</f>
        <v>1</v>
      </c>
      <c r="CO809" s="62" t="n">
        <f aca="false">ROUNDUP(CJ809/BZ809,0)</f>
        <v>0</v>
      </c>
      <c r="CP809" s="65" t="n">
        <f aca="false">IF(CA809=1,0,IFERROR(VLOOKUP(BY809,'Gebinde-Kategorie'!$A$5:$N$45,5,0)+0,0))</f>
        <v>11</v>
      </c>
      <c r="CQ809" s="65" t="n">
        <f aca="false">IFERROR(IF(OR(CF809=1,CF809=2,CF809=3),N(INDEX(Parameter!$I$5:$I$7,CF809)),0),0)</f>
        <v>0</v>
      </c>
      <c r="CR809" s="64" t="n">
        <f aca="false">IF(AND(Parameter!$B$21="Ja",ISNUMBER(W809),N(X809)&gt;0),IFERROR(N(INDEX(Parameter!$L$5:$L$7,W809))*INDEX(Parameter!$E$5:$E$7,W809)*X809/SUMIFS($X$7:$X$1843,$W$7:$W$1843,W809),0),0)</f>
        <v>0</v>
      </c>
      <c r="CS809" s="62" t="n">
        <f aca="false">IF(AND(OR(CG809="L1",CG809="L23",CG809="LIFT"),H809&gt;0),CC809*IF(CR809&gt;0,CR809*MAX(1,H809/X809),IF(CA809=1,CE809,IF(R809&gt;0,CN809/R809,0))/MAX(0.1,N(Parameter!$M$21))),"")</f>
        <v>5.96153846153846</v>
      </c>
      <c r="CT809" s="64" t="n">
        <f aca="false">IF(CS809="","",J809/H809)</f>
        <v>1</v>
      </c>
      <c r="CU809" s="62" t="n">
        <f aca="false">IF(CS809="","",H809*G809)</f>
        <v>5.88</v>
      </c>
      <c r="CV809" s="63" t="n">
        <f aca="false">IF(CS809="","",(CL809+ROUNDUP(CL809+MAX(CM809,2*(J809/MAX(0.1,N(Einkauf!$C$6))-CL809)),0))/2)</f>
        <v>104.5</v>
      </c>
      <c r="CW809" s="62" t="n">
        <f aca="false">IF(CS809="","",MAX(0,H809-CV809)*G809)</f>
        <v>2.745</v>
      </c>
      <c r="CX809" s="62" t="n">
        <f aca="false">IF(CS809="","",CS809*MAX(0,1-CV809/H809))</f>
        <v>2.78306514913658</v>
      </c>
      <c r="CY809" s="64" t="n">
        <f aca="false">IF(CS809="","",PERCENTRANK($CS$7:$CS$1843,CS809)+PERCENTRANK($CU$7:$CU$1843,CU809)+1-PERCENTRANK($CT$7:$CT$1843,CT809))</f>
        <v>0.7514</v>
      </c>
      <c r="CZ809" s="72" t="n">
        <f aca="false">IF(CS809="","",CHOOSE(MATCH(Einkauf!$C$5,Parameter!$G$23:$G$27,0),CY809,CS809,CU809,-CT809,CW809)+ROW()/1000000000)</f>
        <v>0.751400809</v>
      </c>
    </row>
    <row r="810" customFormat="false" ht="15" hidden="false" customHeight="false" outlineLevel="0" collapsed="false">
      <c r="A810" s="60" t="s">
        <v>1611</v>
      </c>
      <c r="B810" s="60" t="s">
        <v>1280</v>
      </c>
      <c r="C810" s="60" t="s">
        <v>206</v>
      </c>
      <c r="D810" s="60" t="s">
        <v>226</v>
      </c>
      <c r="E810" s="60" t="s">
        <v>227</v>
      </c>
      <c r="F810" s="60" t="s">
        <v>260</v>
      </c>
      <c r="G810" s="61" t="n">
        <v>0.06</v>
      </c>
      <c r="H810" s="62" t="n">
        <f aca="false">MAX(0,IF(AND(Parameter!$B$21="Ja",ISNUMBER(Y810)),Y810,IF(Parameter!$B$20="Jahresanfang 2025 + Export",BS810+BR810,BR810)))</f>
        <v>2697</v>
      </c>
      <c r="I810" s="62" t="n">
        <f aca="false">H810*G810</f>
        <v>161.82</v>
      </c>
      <c r="J810" s="62" t="n">
        <f aca="false">BU810*Parameter!$B$18</f>
        <v>3700</v>
      </c>
      <c r="K810" s="63" t="n">
        <v>600</v>
      </c>
      <c r="L810" s="64" t="n">
        <v>6.16666666666667</v>
      </c>
      <c r="M810" s="62" t="n">
        <v>1</v>
      </c>
      <c r="N810" s="62" t="n">
        <v>3700</v>
      </c>
      <c r="O810" s="65" t="n">
        <v>14</v>
      </c>
      <c r="P810" s="60" t="s">
        <v>344</v>
      </c>
      <c r="Q810" s="62" t="n">
        <v>855</v>
      </c>
      <c r="R810" s="65" t="n">
        <f aca="false">IF(CA810=1,0,IFERROR(VLOOKUP(BY810,'Gebinde-Kategorie'!$A$5:$N$45,13,0)+0,0))</f>
        <v>26</v>
      </c>
      <c r="S810" s="66"/>
      <c r="T810" s="67"/>
      <c r="U810" s="67"/>
      <c r="V810" s="67"/>
      <c r="W810" s="60"/>
      <c r="X810" s="62"/>
      <c r="Y810" s="62"/>
      <c r="Z810" s="60" t="n">
        <v>3</v>
      </c>
      <c r="AA810" s="60" t="n">
        <f aca="false">IF(A810="","",IF(AND(Parameter!$B$21="Ja",ISNUMBER(W810)),W810,IF(AND(Parameter!$E$27="Ja",ISNUMBER(Z810),CD810&lt;&gt;"Nein"),Z810,IF(CD810="2+3",IF(ISNUMBER(SEARCH("grosser Artikel",BV810)),2,IFERROR(VLOOKUP(BY810,Parameter!$F$35:$G$64,2,0),2)),IF(OR(CD810="Nein",CD810=""),"-",CD810)))))</f>
        <v>3</v>
      </c>
      <c r="AB810" s="67"/>
      <c r="AC810" s="68"/>
      <c r="AD810" s="62" t="n">
        <f aca="false">AW810</f>
        <v>3701</v>
      </c>
      <c r="AE810" s="62" t="n">
        <f aca="false">MAX(AW810,H810)</f>
        <v>3701</v>
      </c>
      <c r="AF810" s="69"/>
      <c r="AG810" s="62" t="n">
        <f aca="false">IF(LEFT(Cockpit!$C$5,1)="A",H810,IF(Parameter!$E$30="MAX-Bestand",IF(CI810=1,CJ810,IF(LEFT(Cockpit!$C$5,1)="B",AM810,MAX(AM810,H810))),ROUNDUP(AK810,0)))</f>
        <v>2697</v>
      </c>
      <c r="AH810" s="62" t="n">
        <f aca="false">IF(CA810=1,0,ROUNDUP(AG810/BZ810,0))</f>
        <v>4</v>
      </c>
      <c r="AI810" s="64" t="n">
        <f aca="false">IF(CR810&gt;0,CR810*MAX(1,AG810/X810),IF(CA810=1,IF(AG810&lt;=0,0,CE810*MAX(1,IF(H810&gt;0,AG810/H810,1))),IF(R810&gt;0,AH810/R810,0))/MAX(0.1,N(Parameter!$M$21)))</f>
        <v>0.153846153846154</v>
      </c>
      <c r="AJ810" s="62" t="n">
        <f aca="false">AI810*CC810</f>
        <v>23.8461538461538</v>
      </c>
      <c r="AK810" s="63" t="n">
        <f aca="false">IF(LEFT(Cockpit!$C$5,1)="A",H810,IF(CI810=1,(CL810+CJ810)/2,IF(LEFT(Cockpit!$C$5,1)="B",(CL810+AM810)/2,MAX((CL810+AM810)/2,H810))))</f>
        <v>2697</v>
      </c>
      <c r="AL810" s="62" t="n">
        <f aca="false">AK810*G810</f>
        <v>161.82</v>
      </c>
      <c r="AM810" s="62" t="n">
        <f aca="false">ROUNDUP(CL810+MAX(CM810,2*(J810/IF(CH810&gt;0,CH810,MAX(0.1,N(Cockpit!$C$6)))-CL810)),0)</f>
        <v>3701</v>
      </c>
      <c r="AN810" s="63" t="n">
        <f aca="false">IF(AJ810&gt;0,J810/AJ810,-1)</f>
        <v>155.161290322581</v>
      </c>
      <c r="AO810" s="63" t="n">
        <f aca="false">IF(AND(OR(CG810="L1",CG810="L23",CG810="LIFT"),AJ810&gt;0),SUMIFS($AJ$7:$AJ$1843,$CG$7:$CG$1843,CG810,$AN$7:$AN$1843,"&gt;"&amp;AN810)+SUMIFS($AJ$7:$AJ$1843,$CG$7:$CG$1843,CG810,$AN$7:$AN$1843,AN810,$BX$7:$BX$1843,"&lt;="&amp;BX810),"")</f>
        <v>457.184523809524</v>
      </c>
      <c r="AP810" s="70" t="n">
        <f aca="false">IF(AO810="",0,MAX(0,MIN(1,(IF(CG810="L1",Parameter!$H$5,IF(CG810="L23",Parameter!$H$6+Parameter!$H$7,Parameter!$H$5+Parameter!$H$6+Parameter!$H$7))-(AO810-AJ810))/AJ810)))</f>
        <v>1</v>
      </c>
      <c r="AQ810" s="62" t="n">
        <f aca="false">IF(LEFT(Cockpit!$I$5,1)="A",H810,IF(Parameter!$E$30="MAX-Bestand",IF(CI810=1,CJ810,IF(LEFT(Cockpit!$I$5,1)="B",AW810,MAX(AW810,H810))),ROUNDUP(AU810,0)))</f>
        <v>2697</v>
      </c>
      <c r="AR810" s="62" t="n">
        <f aca="false">IF(CA810=1,0,ROUNDUP(AQ810/BZ810,0))</f>
        <v>4</v>
      </c>
      <c r="AS810" s="64" t="n">
        <f aca="false">IF(CR810&gt;0,CR810*MAX(1,AQ810/X810),IF(CA810=1,IF(AQ810&lt;=0,0,CE810*MAX(1,IF(H810&gt;0,AQ810/H810,1))),IF(R810&gt;0,AR810/R810,0))/MAX(0.1,N(Parameter!$M$21)))</f>
        <v>0.153846153846154</v>
      </c>
      <c r="AT810" s="62" t="n">
        <f aca="false">AS810*CC810</f>
        <v>23.8461538461538</v>
      </c>
      <c r="AU810" s="63" t="n">
        <f aca="false">IF(LEFT(Cockpit!$I$5,1)="A",H810,IF(CI810=1,(CL810+CJ810)/2,IF(LEFT(Cockpit!$I$5,1)="B",(CL810+AW810)/2,MAX((CL810+AW810)/2,H810))))</f>
        <v>2697</v>
      </c>
      <c r="AV810" s="62" t="n">
        <f aca="false">AU810*G810</f>
        <v>161.82</v>
      </c>
      <c r="AW810" s="62" t="n">
        <f aca="false">ROUNDUP(CL810+MAX(CM810,2*(J810/IF(CH810&gt;0,CH810,MAX(0.1,N(Cockpit!$I$6)))-CL810)),0)</f>
        <v>3701</v>
      </c>
      <c r="AX810" s="63" t="n">
        <f aca="false">IF(AT810&gt;0,J810/AT810,-1)</f>
        <v>155.161290322581</v>
      </c>
      <c r="AY810" s="63" t="n">
        <f aca="false">IF(AND(OR(CG810="L1",CG810="L23",CG810="LIFT"),AT810&gt;0),SUMIFS($AT$7:$AT$1843,$CG$7:$CG$1843,CG810,$AX$7:$AX$1843,"&gt;"&amp;AX810)+SUMIFS($AT$7:$AT$1843,$CG$7:$CG$1843,CG810,$AX$7:$AX$1843,AX810,$BX$7:$BX$1843,"&lt;="&amp;BX810),"")</f>
        <v>574.821428571429</v>
      </c>
      <c r="AZ810" s="70" t="n">
        <f aca="false">IF(AY810="",0,MAX(0,MIN(1,(IF(CG810="L1",Parameter!$H$5,IF(CG810="L23",Parameter!$H$6+Parameter!$H$7,Parameter!$H$5+Parameter!$H$6+Parameter!$H$7))-(AY810-AT810))/AT810)))</f>
        <v>1</v>
      </c>
      <c r="BA810" s="62" t="n">
        <f aca="false">IF(LEFT(Cockpit!$O$5,1)="A",H810,IF(Parameter!$E$30="MAX-Bestand",IF(CI810=1,CJ810,IF(LEFT(Cockpit!$O$5,1)="B",BG810,MAX(BG810,H810))),ROUNDUP(BE810,0)))</f>
        <v>1851</v>
      </c>
      <c r="BB810" s="62" t="n">
        <f aca="false">IF(CA810=1,0,ROUNDUP(BA810/BZ810,0))</f>
        <v>3</v>
      </c>
      <c r="BC810" s="64" t="n">
        <f aca="false">IF(CR810&gt;0,CR810*MAX(1,BA810/X810),IF(CA810=1,IF(BA810&lt;=0,0,CE810*MAX(1,IF(H810&gt;0,BA810/H810,1))),IF(R810&gt;0,BB810/R810,0))/MAX(0.1,N(Parameter!$M$21)))</f>
        <v>0.115384615384615</v>
      </c>
      <c r="BD810" s="62" t="n">
        <f aca="false">BC810*CC810</f>
        <v>17.8846153846154</v>
      </c>
      <c r="BE810" s="63" t="n">
        <f aca="false">IF(LEFT(Cockpit!$O$5,1)="A",H810,IF(CI810=1,(CL810+CJ810)/2,IF(LEFT(Cockpit!$O$5,1)="B",(CL810+BG810)/2,MAX((CL810+BG810)/2,H810))))</f>
        <v>1851</v>
      </c>
      <c r="BF810" s="62" t="n">
        <f aca="false">BE810*G810</f>
        <v>111.06</v>
      </c>
      <c r="BG810" s="62" t="n">
        <f aca="false">ROUNDUP(CL810+MAX(CM810,2*(J810/IF(CH810&gt;0,CH810,MAX(0.1,N(Cockpit!$O$6)))-CL810)),0)</f>
        <v>3701</v>
      </c>
      <c r="BH810" s="63" t="n">
        <f aca="false">IF(BD810&gt;0,J810/BD810,-1)</f>
        <v>206.881720430108</v>
      </c>
      <c r="BI810" s="63" t="n">
        <f aca="false">IF(AND(OR(CG810="L1",CG810="L23",CG810="LIFT"),BD810&gt;0),SUMIFS($BD$7:$BD$1843,$CG$7:$CG$1843,CG810,$BH$7:$BH$1843,"&gt;"&amp;BH810)+SUMIFS($BD$7:$BD$1843,$CG$7:$CG$1843,CG810,$BH$7:$BH$1843,BH810,$BX$7:$BX$1843,"&lt;="&amp;BX810),"")</f>
        <v>441.369505494505</v>
      </c>
      <c r="BJ810" s="70" t="n">
        <f aca="false">IF(BI810="",0,MAX(0,MIN(1,(IF(CG810="L1",Parameter!$H$5,IF(CG810="L23",Parameter!$H$6+Parameter!$H$7,Parameter!$H$5+Parameter!$H$6+Parameter!$H$7))-(BI810-BD810))/BD810)))</f>
        <v>1</v>
      </c>
      <c r="BK810" s="60" t="str">
        <f aca="false">IF(AJ810&lt;=0,"",IF(CG810="Aussen","Aussenlager",IF(CG810="-","Nicht im Lift",IF(AP810&gt;=1,"Lift",IF(AP810&lt;=0,"Aussenlager","teilweise")))))</f>
        <v>Lift</v>
      </c>
      <c r="BL810" s="60" t="str">
        <f aca="false">IF(AT810&lt;=0,"",IF(CG810="Aussen","Aussenlager",IF(CG810="-","Nicht im Lift",IF(AZ810&gt;=1,"Lift",IF(AZ810&lt;=0,"Aussenlager","teilweise")))))</f>
        <v>Lift</v>
      </c>
      <c r="BM810" s="60" t="str">
        <f aca="false">IF(BD810&lt;=0,"",IF(CG810="Aussen","Aussenlager",IF(CG810="-","Nicht im Lift",IF(BJ810&gt;=1,"Lift",IF(BJ810&lt;=0,"Aussenlager","teilweise")))))</f>
        <v>Lift</v>
      </c>
      <c r="BN810" s="60" t="str">
        <f aca="false">IF(A810="","",IF(BW810=1,"Neu; ","")&amp;IF(AND(BW810=0,BR810&lt;0),"negativer Bestand (Export "&amp;BR810&amp;"); ","")&amp;IF(J810&lt;=0,"Kein Verbrauch; ","")&amp;IF(CR810&gt;0,"Lift "&amp;W810&amp;" lt. Liftbericht (Fach "&amp;X810&amp;" Stk); ",IF(CB810=1,"Gebinde geschätzt ("&amp;T810&amp;"); ",IF(CA810=1,"Lose – Tablare geschätzt; ","")))&amp;IF(H810&gt;AW810,"Überbestand "&amp;ROUND(H810-AW810,0)&amp;" Stk / CHF "&amp;ROUND((H810-AW810)*G810,0)&amp;"; ","")&amp;IF(AND(CI810=1,CJ810&lt;CK810),"MAX &lt; MB+LG; ","")&amp;IF(AND(CQ810&gt;0,CP810*10&gt;CQ810),"zu hoch für Tablar; ","")&amp;IF(AND(BW810=0,OR(CI810=1,AB810&lt;&gt;"",U810&lt;&gt;"",V810&lt;&gt;"",AC810&lt;&gt;"")),"manuell übersteuert; ","")&amp;IF(AND(CA810=0,R810=0),"Gebinde unbekannt / Stellmass fehlt; ","")&amp;IF(AND(CA810=0,N(V810)&lt;=0,N(Q810)&lt;=0),"Menge pro Gebinde fehlt (Ist = 1 Gebinde); ","")&amp;BV810)</f>
        <v/>
      </c>
      <c r="BO810" s="60"/>
      <c r="BP810" s="60"/>
      <c r="BQ810" s="67"/>
      <c r="BR810" s="62" t="n">
        <v>2097</v>
      </c>
      <c r="BS810" s="62" t="n">
        <v>600</v>
      </c>
      <c r="BT810" s="61" t="n">
        <v>-6.18000000000004</v>
      </c>
      <c r="BU810" s="62" t="n">
        <v>3700</v>
      </c>
      <c r="BV810" s="60"/>
      <c r="BW810" s="65" t="n">
        <v>0</v>
      </c>
      <c r="BX810" s="65" t="n">
        <v>810</v>
      </c>
      <c r="BY810" s="60" t="str">
        <f aca="false">IF(U810&lt;&gt;"",UPPER(TRIM(U810)),IF(CB810=1,UPPER(VLOOKUP(T810,Parameter!$I$27:$K$29,2,0)),IF(P810="","LOSE",P810)))</f>
        <v>S51</v>
      </c>
      <c r="BZ810" s="62" t="n">
        <f aca="false">IF(BY810="LOSE",1,IF(N(V810)&gt;0,V810,IF(CB810=1,MAX(1,N(VLOOKUP(T810,Parameter!$I$27:$K$29,3,0)),H810,N(N810)),IF(N(Q810)&gt;0,Q810,MAX(1,H810)))))</f>
        <v>855</v>
      </c>
      <c r="CA810" s="65" t="n">
        <f aca="false">IF(BY810="LOSE",1,0)</f>
        <v>0</v>
      </c>
      <c r="CB810" s="65" t="n">
        <f aca="false">IF(AND(U810="",OR(P810="",P810="LOSE"),T810&lt;&gt;"",N(S810)&lt;=0,ISNUMBER(MATCH(T810,Parameter!$I$27:$I$29,0))),1,0)</f>
        <v>0</v>
      </c>
      <c r="CC810" s="65" t="n">
        <f aca="false">IF(CR810&gt;0,INDEX(Parameter!$H$5:$H$7,W810)/INDEX(Parameter!$E$5:$E$7,W810),IF(AND(CA810=0,N(IFERROR(VLOOKUP(BY810,'Gebinde-Kategorie'!$A$5:$N$45,14,0),0))&gt;0),VLOOKUP(BY810,'Gebinde-Kategorie'!$A$5:$N$45,14,0)*10+Parameter!$M$23,Parameter!$M$24))</f>
        <v>155</v>
      </c>
      <c r="CD810" s="60" t="str">
        <f aca="false">IF(AND(Parameter!$B$19="Ja",E810&lt;&gt;"",ISNUMBER(MATCH(E810,Parameter!$I$35:$I$52,0))),VLOOKUP(E810,Parameter!$I$35:$J$52,2,0),IFERROR(VLOOKUP(D810,Parameter!$A$35:$C$64,2,0),"Nein"))</f>
        <v>2+3</v>
      </c>
      <c r="CE810" s="64" t="n">
        <f aca="false">IF(CA810=0,0,IF(N(S810)&gt;0,S810,IFERROR(VLOOKUP(D810,Parameter!$A$35:$C$64,3,0)+0,0)))</f>
        <v>0</v>
      </c>
      <c r="CF810" s="60" t="n">
        <f aca="false">IF(AB810&lt;&gt;"",AB810,AA810)</f>
        <v>3</v>
      </c>
      <c r="CG810" s="60" t="str">
        <f aca="false">IF(OR(CF810=1,CF810=2,CF810=3),IF(Parameter!$E$27="Ja","LIFT",IF(CF810=1,"L1","L23")),IF(CF810="Aussen","Aussen","-"))</f>
        <v>LIFT</v>
      </c>
      <c r="CH810" s="71" t="n">
        <f aca="false">IF(N(AC810)&gt;0,AC810,0)</f>
        <v>0</v>
      </c>
      <c r="CI810" s="65" t="n">
        <f aca="false">IF(ISNUMBER(AF810),1,0)</f>
        <v>0</v>
      </c>
      <c r="CJ810" s="62" t="n">
        <f aca="false">N(AF810)</f>
        <v>0</v>
      </c>
      <c r="CK810" s="62" t="n">
        <f aca="false">N(M810)+N(N810)</f>
        <v>3701</v>
      </c>
      <c r="CL810" s="62" t="n">
        <f aca="false">N(M810)</f>
        <v>1</v>
      </c>
      <c r="CM810" s="62" t="n">
        <f aca="false">N(N810)</f>
        <v>3700</v>
      </c>
      <c r="CN810" s="62" t="n">
        <f aca="false">ROUNDUP(H810/BZ810,0)</f>
        <v>4</v>
      </c>
      <c r="CO810" s="62" t="n">
        <f aca="false">ROUNDUP(CJ810/BZ810,0)</f>
        <v>0</v>
      </c>
      <c r="CP810" s="65" t="n">
        <f aca="false">IF(CA810=1,0,IFERROR(VLOOKUP(BY810,'Gebinde-Kategorie'!$A$5:$N$45,5,0)+0,0))</f>
        <v>11</v>
      </c>
      <c r="CQ810" s="65" t="n">
        <f aca="false">IFERROR(IF(OR(CF810=1,CF810=2,CF810=3),N(INDEX(Parameter!$I$5:$I$7,CF810)),0),0)</f>
        <v>0</v>
      </c>
      <c r="CR810" s="64" t="n">
        <f aca="false">IF(AND(Parameter!$B$21="Ja",ISNUMBER(W810),N(X810)&gt;0),IFERROR(N(INDEX(Parameter!$L$5:$L$7,W810))*INDEX(Parameter!$E$5:$E$7,W810)*X810/SUMIFS($X$7:$X$1843,$W$7:$W$1843,W810),0),0)</f>
        <v>0</v>
      </c>
      <c r="CS810" s="62" t="n">
        <f aca="false">IF(AND(OR(CG810="L1",CG810="L23",CG810="LIFT"),H810&gt;0),CC810*IF(CR810&gt;0,CR810*MAX(1,H810/X810),IF(CA810=1,CE810,IF(R810&gt;0,CN810/R810,0))/MAX(0.1,N(Parameter!$M$21))),"")</f>
        <v>23.8461538461538</v>
      </c>
      <c r="CT810" s="64" t="n">
        <f aca="false">IF(CS810="","",J810/H810)</f>
        <v>1.37189469781238</v>
      </c>
      <c r="CU810" s="62" t="n">
        <f aca="false">IF(CS810="","",H810*G810)</f>
        <v>161.82</v>
      </c>
      <c r="CV810" s="63" t="n">
        <f aca="false">IF(CS810="","",(CL810+ROUNDUP(CL810+MAX(CM810,2*(J810/MAX(0.1,N(Einkauf!$C$6))-CL810)),0))/2)</f>
        <v>1851</v>
      </c>
      <c r="CW810" s="62" t="n">
        <f aca="false">IF(CS810="","",MAX(0,H810-CV810)*G810)</f>
        <v>50.76</v>
      </c>
      <c r="CX810" s="62" t="n">
        <f aca="false">IF(CS810="","",CS810*MAX(0,1-CV810/H810))</f>
        <v>7.48010610079576</v>
      </c>
      <c r="CY810" s="64" t="n">
        <f aca="false">IF(CS810="","",PERCENTRANK($CS$7:$CS$1843,CS810)+PERCENTRANK($CU$7:$CU$1843,CU810)+1-PERCENTRANK($CT$7:$CT$1843,CT810))</f>
        <v>1.37</v>
      </c>
      <c r="CZ810" s="72" t="n">
        <f aca="false">IF(CS810="","",CHOOSE(MATCH(Einkauf!$C$5,Parameter!$G$23:$G$27,0),CY810,CS810,CU810,-CT810,CW810)+ROW()/1000000000)</f>
        <v>1.37000081</v>
      </c>
    </row>
    <row r="811" customFormat="false" ht="15" hidden="false" customHeight="false" outlineLevel="0" collapsed="false">
      <c r="A811" s="60" t="s">
        <v>1612</v>
      </c>
      <c r="B811" s="60" t="s">
        <v>1613</v>
      </c>
      <c r="C811" s="60" t="s">
        <v>206</v>
      </c>
      <c r="D811" s="60" t="s">
        <v>226</v>
      </c>
      <c r="E811" s="60" t="s">
        <v>227</v>
      </c>
      <c r="F811" s="60" t="s">
        <v>260</v>
      </c>
      <c r="G811" s="61" t="n">
        <v>3.36</v>
      </c>
      <c r="H811" s="62" t="n">
        <f aca="false">MAX(0,IF(AND(Parameter!$B$21="Ja",ISNUMBER(Y811)),Y811,IF(Parameter!$B$20="Jahresanfang 2025 + Export",BS811+BR811,BR811)))</f>
        <v>39</v>
      </c>
      <c r="I811" s="62" t="n">
        <f aca="false">H811*G811</f>
        <v>131.04</v>
      </c>
      <c r="J811" s="62" t="n">
        <f aca="false">BU811*Parameter!$B$18</f>
        <v>0</v>
      </c>
      <c r="K811" s="63" t="n">
        <v>42.5</v>
      </c>
      <c r="L811" s="64" t="n">
        <v>0</v>
      </c>
      <c r="M811" s="62" t="n">
        <v>0</v>
      </c>
      <c r="N811" s="62" t="n">
        <v>1</v>
      </c>
      <c r="O811" s="65" t="n">
        <v>28</v>
      </c>
      <c r="P811" s="60" t="s">
        <v>463</v>
      </c>
      <c r="Q811" s="62" t="n">
        <v>17</v>
      </c>
      <c r="R811" s="65" t="n">
        <f aca="false">IF(CA811=1,0,IFERROR(VLOOKUP(BY811,'Gebinde-Kategorie'!$A$5:$N$45,13,0)+0,0))</f>
        <v>104</v>
      </c>
      <c r="S811" s="66"/>
      <c r="T811" s="67"/>
      <c r="U811" s="67"/>
      <c r="V811" s="67"/>
      <c r="W811" s="60"/>
      <c r="X811" s="62"/>
      <c r="Y811" s="62"/>
      <c r="Z811" s="60" t="n">
        <v>3</v>
      </c>
      <c r="AA811" s="60" t="n">
        <f aca="false">IF(A811="","",IF(AND(Parameter!$B$21="Ja",ISNUMBER(W811)),W811,IF(AND(Parameter!$E$27="Ja",ISNUMBER(Z811),CD811&lt;&gt;"Nein"),Z811,IF(CD811="2+3",IF(ISNUMBER(SEARCH("grosser Artikel",BV811)),2,IFERROR(VLOOKUP(BY811,Parameter!$F$35:$G$64,2,0),2)),IF(OR(CD811="Nein",CD811=""),"-",CD811)))))</f>
        <v>3</v>
      </c>
      <c r="AB811" s="67"/>
      <c r="AC811" s="68"/>
      <c r="AD811" s="62" t="n">
        <f aca="false">AW811</f>
        <v>1</v>
      </c>
      <c r="AE811" s="62" t="n">
        <f aca="false">MAX(AW811,H811)</f>
        <v>39</v>
      </c>
      <c r="AF811" s="69"/>
      <c r="AG811" s="62" t="n">
        <f aca="false">IF(LEFT(Cockpit!$C$5,1)="A",H811,IF(Parameter!$E$30="MAX-Bestand",IF(CI811=1,CJ811,IF(LEFT(Cockpit!$C$5,1)="B",AM811,MAX(AM811,H811))),ROUNDUP(AK811,0)))</f>
        <v>39</v>
      </c>
      <c r="AH811" s="62" t="n">
        <f aca="false">IF(CA811=1,0,ROUNDUP(AG811/BZ811,0))</f>
        <v>3</v>
      </c>
      <c r="AI811" s="64" t="n">
        <f aca="false">IF(CR811&gt;0,CR811*MAX(1,AG811/X811),IF(CA811=1,IF(AG811&lt;=0,0,CE811*MAX(1,IF(H811&gt;0,AG811/H811,1))),IF(R811&gt;0,AH811/R811,0))/MAX(0.1,N(Parameter!$M$21)))</f>
        <v>0.0288461538461538</v>
      </c>
      <c r="AJ811" s="62" t="n">
        <f aca="false">AI811*CC811</f>
        <v>4.47115384615385</v>
      </c>
      <c r="AK811" s="63" t="n">
        <f aca="false">IF(LEFT(Cockpit!$C$5,1)="A",H811,IF(CI811=1,(CL811+CJ811)/2,IF(LEFT(Cockpit!$C$5,1)="B",(CL811+AM811)/2,MAX((CL811+AM811)/2,H811))))</f>
        <v>39</v>
      </c>
      <c r="AL811" s="62" t="n">
        <f aca="false">AK811*G811</f>
        <v>131.04</v>
      </c>
      <c r="AM811" s="62" t="n">
        <f aca="false">ROUNDUP(CL811+MAX(CM811,2*(J811/IF(CH811&gt;0,CH811,MAX(0.1,N(Cockpit!$C$6)))-CL811)),0)</f>
        <v>1</v>
      </c>
      <c r="AN811" s="63" t="n">
        <f aca="false">IF(AJ811&gt;0,J811/AJ811,-1)</f>
        <v>0</v>
      </c>
      <c r="AO811" s="63" t="n">
        <f aca="false">IF(AND(OR(CG811="L1",CG811="L23",CG811="LIFT"),AJ811&gt;0),SUMIFS($AJ$7:$AJ$1843,$CG$7:$CG$1843,CG811,$AN$7:$AN$1843,"&gt;"&amp;AN811)+SUMIFS($AJ$7:$AJ$1843,$CG$7:$CG$1843,CG811,$AN$7:$AN$1843,AN811,$BX$7:$BX$1843,"&lt;="&amp;BX811),"")</f>
        <v>28772.057860454</v>
      </c>
      <c r="AP811" s="70" t="n">
        <f aca="false">IF(AO811="",0,MAX(0,MIN(1,(IF(CG811="L1",Parameter!$H$5,IF(CG811="L23",Parameter!$H$6+Parameter!$H$7,Parameter!$H$5+Parameter!$H$6+Parameter!$H$7))-(AO811-AJ811))/AJ811)))</f>
        <v>1</v>
      </c>
      <c r="AQ811" s="62" t="n">
        <f aca="false">IF(LEFT(Cockpit!$I$5,1)="A",H811,IF(Parameter!$E$30="MAX-Bestand",IF(CI811=1,CJ811,IF(LEFT(Cockpit!$I$5,1)="B",AW811,MAX(AW811,H811))),ROUNDUP(AU811,0)))</f>
        <v>39</v>
      </c>
      <c r="AR811" s="62" t="n">
        <f aca="false">IF(CA811=1,0,ROUNDUP(AQ811/BZ811,0))</f>
        <v>3</v>
      </c>
      <c r="AS811" s="64" t="n">
        <f aca="false">IF(CR811&gt;0,CR811*MAX(1,AQ811/X811),IF(CA811=1,IF(AQ811&lt;=0,0,CE811*MAX(1,IF(H811&gt;0,AQ811/H811,1))),IF(R811&gt;0,AR811/R811,0))/MAX(0.1,N(Parameter!$M$21)))</f>
        <v>0.0288461538461538</v>
      </c>
      <c r="AT811" s="62" t="n">
        <f aca="false">AS811*CC811</f>
        <v>4.47115384615385</v>
      </c>
      <c r="AU811" s="63" t="n">
        <f aca="false">IF(LEFT(Cockpit!$I$5,1)="A",H811,IF(CI811=1,(CL811+CJ811)/2,IF(LEFT(Cockpit!$I$5,1)="B",(CL811+AW811)/2,MAX((CL811+AW811)/2,H811))))</f>
        <v>39</v>
      </c>
      <c r="AV811" s="62" t="n">
        <f aca="false">AU811*G811</f>
        <v>131.04</v>
      </c>
      <c r="AW811" s="62" t="n">
        <f aca="false">ROUNDUP(CL811+MAX(CM811,2*(J811/IF(CH811&gt;0,CH811,MAX(0.1,N(Cockpit!$I$6)))-CL811)),0)</f>
        <v>1</v>
      </c>
      <c r="AX811" s="63" t="n">
        <f aca="false">IF(AT811&gt;0,J811/AT811,-1)</f>
        <v>0</v>
      </c>
      <c r="AY811" s="63" t="n">
        <f aca="false">IF(AND(OR(CG811="L1",CG811="L23",CG811="LIFT"),AT811&gt;0),SUMIFS($AT$7:$AT$1843,$CG$7:$CG$1843,CG811,$AX$7:$AX$1843,"&gt;"&amp;AX811)+SUMIFS($AT$7:$AT$1843,$CG$7:$CG$1843,CG811,$AX$7:$AX$1843,AX811,$BX$7:$BX$1843,"&lt;="&amp;BX811),"")</f>
        <v>34383.3562271062</v>
      </c>
      <c r="AZ811" s="70" t="n">
        <f aca="false">IF(AY811="",0,MAX(0,MIN(1,(IF(CG811="L1",Parameter!$H$5,IF(CG811="L23",Parameter!$H$6+Parameter!$H$7,Parameter!$H$5+Parameter!$H$6+Parameter!$H$7))-(AY811-AT811))/AT811)))</f>
        <v>1</v>
      </c>
      <c r="BA811" s="62" t="n">
        <f aca="false">IF(LEFT(Cockpit!$O$5,1)="A",H811,IF(Parameter!$E$30="MAX-Bestand",IF(CI811=1,CJ811,IF(LEFT(Cockpit!$O$5,1)="B",BG811,MAX(BG811,H811))),ROUNDUP(BE811,0)))</f>
        <v>1</v>
      </c>
      <c r="BB811" s="62" t="n">
        <f aca="false">IF(CA811=1,0,ROUNDUP(BA811/BZ811,0))</f>
        <v>1</v>
      </c>
      <c r="BC811" s="64" t="n">
        <f aca="false">IF(CR811&gt;0,CR811*MAX(1,BA811/X811),IF(CA811=1,IF(BA811&lt;=0,0,CE811*MAX(1,IF(H811&gt;0,BA811/H811,1))),IF(R811&gt;0,BB811/R811,0))/MAX(0.1,N(Parameter!$M$21)))</f>
        <v>0.00961538461538462</v>
      </c>
      <c r="BD811" s="62" t="n">
        <f aca="false">BC811*CC811</f>
        <v>1.49038461538462</v>
      </c>
      <c r="BE811" s="63" t="n">
        <f aca="false">IF(LEFT(Cockpit!$O$5,1)="A",H811,IF(CI811=1,(CL811+CJ811)/2,IF(LEFT(Cockpit!$O$5,1)="B",(CL811+BG811)/2,MAX((CL811+BG811)/2,H811))))</f>
        <v>0.5</v>
      </c>
      <c r="BF811" s="62" t="n">
        <f aca="false">BE811*G811</f>
        <v>1.68</v>
      </c>
      <c r="BG811" s="62" t="n">
        <f aca="false">ROUNDUP(CL811+MAX(CM811,2*(J811/IF(CH811&gt;0,CH811,MAX(0.1,N(Cockpit!$O$6)))-CL811)),0)</f>
        <v>1</v>
      </c>
      <c r="BH811" s="63" t="n">
        <f aca="false">IF(BD811&gt;0,J811/BD811,-1)</f>
        <v>0</v>
      </c>
      <c r="BI811" s="63" t="n">
        <f aca="false">IF(AND(OR(CG811="L1",CG811="L23",CG811="LIFT"),BD811&gt;0),SUMIFS($BD$7:$BD$1843,$CG$7:$CG$1843,CG811,$BH$7:$BH$1843,"&gt;"&amp;BH811)+SUMIFS($BD$7:$BD$1843,$CG$7:$CG$1843,CG811,$BH$7:$BH$1843,BH811,$BX$7:$BX$1843,"&lt;="&amp;BX811),"")</f>
        <v>28423.1381619793</v>
      </c>
      <c r="BJ811" s="70" t="n">
        <f aca="false">IF(BI811="",0,MAX(0,MIN(1,(IF(CG811="L1",Parameter!$H$5,IF(CG811="L23",Parameter!$H$6+Parameter!$H$7,Parameter!$H$5+Parameter!$H$6+Parameter!$H$7))-(BI811-BD811))/BD811)))</f>
        <v>1</v>
      </c>
      <c r="BK811" s="60" t="str">
        <f aca="false">IF(AJ811&lt;=0,"",IF(CG811="Aussen","Aussenlager",IF(CG811="-","Nicht im Lift",IF(AP811&gt;=1,"Lift",IF(AP811&lt;=0,"Aussenlager","teilweise")))))</f>
        <v>Lift</v>
      </c>
      <c r="BL811" s="60" t="str">
        <f aca="false">IF(AT811&lt;=0,"",IF(CG811="Aussen","Aussenlager",IF(CG811="-","Nicht im Lift",IF(AZ811&gt;=1,"Lift",IF(AZ811&lt;=0,"Aussenlager","teilweise")))))</f>
        <v>Lift</v>
      </c>
      <c r="BM811" s="60" t="str">
        <f aca="false">IF(BD811&lt;=0,"",IF(CG811="Aussen","Aussenlager",IF(CG811="-","Nicht im Lift",IF(BJ811&gt;=1,"Lift",IF(BJ811&lt;=0,"Aussenlager","teilweise")))))</f>
        <v>Lift</v>
      </c>
      <c r="BN811" s="60" t="str">
        <f aca="false">IF(A811="","",IF(BW811=1,"Neu; ","")&amp;IF(AND(BW811=0,BR811&lt;0),"negativer Bestand (Export "&amp;BR811&amp;"); ","")&amp;IF(J811&lt;=0,"Kein Verbrauch; ","")&amp;IF(CR811&gt;0,"Lift "&amp;W811&amp;" lt. Liftbericht (Fach "&amp;X811&amp;" Stk); ",IF(CB811=1,"Gebinde geschätzt ("&amp;T811&amp;"); ",IF(CA811=1,"Lose – Tablare geschätzt; ","")))&amp;IF(H811&gt;AW811,"Überbestand "&amp;ROUND(H811-AW811,0)&amp;" Stk / CHF "&amp;ROUND((H811-AW811)*G811,0)&amp;"; ","")&amp;IF(AND(CI811=1,CJ811&lt;CK811),"MAX &lt; MB+LG; ","")&amp;IF(AND(CQ811&gt;0,CP811*10&gt;CQ811),"zu hoch für Tablar; ","")&amp;IF(AND(BW811=0,OR(CI811=1,AB811&lt;&gt;"",U811&lt;&gt;"",V811&lt;&gt;"",AC811&lt;&gt;"")),"manuell übersteuert; ","")&amp;IF(AND(CA811=0,R811=0),"Gebinde unbekannt / Stellmass fehlt; ","")&amp;IF(AND(CA811=0,N(V811)&lt;=0,N(Q811)&lt;=0),"Menge pro Gebinde fehlt (Ist = 1 Gebinde); ","")&amp;BV811)</f>
        <v>negativer Bestand (Export -2); Kein Verbrauch; Überbestand 38 Stk / CHF 128; </v>
      </c>
      <c r="BO811" s="60"/>
      <c r="BP811" s="60"/>
      <c r="BQ811" s="67"/>
      <c r="BR811" s="62" t="n">
        <v>-2</v>
      </c>
      <c r="BS811" s="62" t="n">
        <v>41</v>
      </c>
      <c r="BT811" s="61" t="n">
        <v>-6.72</v>
      </c>
      <c r="BU811" s="62" t="n">
        <v>0</v>
      </c>
      <c r="BV811" s="60"/>
      <c r="BW811" s="65" t="n">
        <v>0</v>
      </c>
      <c r="BX811" s="65" t="n">
        <v>811</v>
      </c>
      <c r="BY811" s="60" t="str">
        <f aca="false">IF(U811&lt;&gt;"",UPPER(TRIM(U811)),IF(CB811=1,UPPER(VLOOKUP(T811,Parameter!$I$27:$K$29,2,0)),IF(P811="","LOSE",P811)))</f>
        <v>S32</v>
      </c>
      <c r="BZ811" s="62" t="n">
        <f aca="false">IF(BY811="LOSE",1,IF(N(V811)&gt;0,V811,IF(CB811=1,MAX(1,N(VLOOKUP(T811,Parameter!$I$27:$K$29,3,0)),H811,N(N811)),IF(N(Q811)&gt;0,Q811,MAX(1,H811)))))</f>
        <v>17</v>
      </c>
      <c r="CA811" s="65" t="n">
        <f aca="false">IF(BY811="LOSE",1,0)</f>
        <v>0</v>
      </c>
      <c r="CB811" s="65" t="n">
        <f aca="false">IF(AND(U811="",OR(P811="",P811="LOSE"),T811&lt;&gt;"",N(S811)&lt;=0,ISNUMBER(MATCH(T811,Parameter!$I$27:$I$29,0))),1,0)</f>
        <v>0</v>
      </c>
      <c r="CC811" s="65" t="n">
        <f aca="false">IF(CR811&gt;0,INDEX(Parameter!$H$5:$H$7,W811)/INDEX(Parameter!$E$5:$E$7,W811),IF(AND(CA811=0,N(IFERROR(VLOOKUP(BY811,'Gebinde-Kategorie'!$A$5:$N$45,14,0),0))&gt;0),VLOOKUP(BY811,'Gebinde-Kategorie'!$A$5:$N$45,14,0)*10+Parameter!$M$23,Parameter!$M$24))</f>
        <v>155</v>
      </c>
      <c r="CD811" s="60" t="str">
        <f aca="false">IF(AND(Parameter!$B$19="Ja",E811&lt;&gt;"",ISNUMBER(MATCH(E811,Parameter!$I$35:$I$52,0))),VLOOKUP(E811,Parameter!$I$35:$J$52,2,0),IFERROR(VLOOKUP(D811,Parameter!$A$35:$C$64,2,0),"Nein"))</f>
        <v>2+3</v>
      </c>
      <c r="CE811" s="64" t="n">
        <f aca="false">IF(CA811=0,0,IF(N(S811)&gt;0,S811,IFERROR(VLOOKUP(D811,Parameter!$A$35:$C$64,3,0)+0,0)))</f>
        <v>0</v>
      </c>
      <c r="CF811" s="60" t="n">
        <f aca="false">IF(AB811&lt;&gt;"",AB811,AA811)</f>
        <v>3</v>
      </c>
      <c r="CG811" s="60" t="str">
        <f aca="false">IF(OR(CF811=1,CF811=2,CF811=3),IF(Parameter!$E$27="Ja","LIFT",IF(CF811=1,"L1","L23")),IF(CF811="Aussen","Aussen","-"))</f>
        <v>LIFT</v>
      </c>
      <c r="CH811" s="71" t="n">
        <f aca="false">IF(N(AC811)&gt;0,AC811,0)</f>
        <v>0</v>
      </c>
      <c r="CI811" s="65" t="n">
        <f aca="false">IF(ISNUMBER(AF811),1,0)</f>
        <v>0</v>
      </c>
      <c r="CJ811" s="62" t="n">
        <f aca="false">N(AF811)</f>
        <v>0</v>
      </c>
      <c r="CK811" s="62" t="n">
        <f aca="false">N(M811)+N(N811)</f>
        <v>1</v>
      </c>
      <c r="CL811" s="62" t="n">
        <f aca="false">N(M811)</f>
        <v>0</v>
      </c>
      <c r="CM811" s="62" t="n">
        <f aca="false">N(N811)</f>
        <v>1</v>
      </c>
      <c r="CN811" s="62" t="n">
        <f aca="false">ROUNDUP(H811/BZ811,0)</f>
        <v>3</v>
      </c>
      <c r="CO811" s="62" t="n">
        <f aca="false">ROUNDUP(CJ811/BZ811,0)</f>
        <v>0</v>
      </c>
      <c r="CP811" s="65" t="n">
        <f aca="false">IF(CA811=1,0,IFERROR(VLOOKUP(BY811,'Gebinde-Kategorie'!$A$5:$N$45,5,0)+0,0))</f>
        <v>8</v>
      </c>
      <c r="CQ811" s="65" t="n">
        <f aca="false">IFERROR(IF(OR(CF811=1,CF811=2,CF811=3),N(INDEX(Parameter!$I$5:$I$7,CF811)),0),0)</f>
        <v>0</v>
      </c>
      <c r="CR811" s="64" t="n">
        <f aca="false">IF(AND(Parameter!$B$21="Ja",ISNUMBER(W811),N(X811)&gt;0),IFERROR(N(INDEX(Parameter!$L$5:$L$7,W811))*INDEX(Parameter!$E$5:$E$7,W811)*X811/SUMIFS($X$7:$X$1843,$W$7:$W$1843,W811),0),0)</f>
        <v>0</v>
      </c>
      <c r="CS811" s="62" t="n">
        <f aca="false">IF(AND(OR(CG811="L1",CG811="L23",CG811="LIFT"),H811&gt;0),CC811*IF(CR811&gt;0,CR811*MAX(1,H811/X811),IF(CA811=1,CE811,IF(R811&gt;0,CN811/R811,0))/MAX(0.1,N(Parameter!$M$21))),"")</f>
        <v>4.47115384615385</v>
      </c>
      <c r="CT811" s="64" t="n">
        <f aca="false">IF(CS811="","",J811/H811)</f>
        <v>0</v>
      </c>
      <c r="CU811" s="62" t="n">
        <f aca="false">IF(CS811="","",H811*G811)</f>
        <v>131.04</v>
      </c>
      <c r="CV811" s="63" t="n">
        <f aca="false">IF(CS811="","",(CL811+ROUNDUP(CL811+MAX(CM811,2*(J811/MAX(0.1,N(Einkauf!$C$6))-CL811)),0))/2)</f>
        <v>0.5</v>
      </c>
      <c r="CW811" s="62" t="n">
        <f aca="false">IF(CS811="","",MAX(0,H811-CV811)*G811)</f>
        <v>129.36</v>
      </c>
      <c r="CX811" s="62" t="n">
        <f aca="false">IF(CS811="","",CS811*MAX(0,1-CV811/H811))</f>
        <v>4.41383136094675</v>
      </c>
      <c r="CY811" s="64" t="n">
        <f aca="false">IF(CS811="","",PERCENTRANK($CS$7:$CS$1843,CS811)+PERCENTRANK($CU$7:$CU$1843,CU811)+1-PERCENTRANK($CT$7:$CT$1843,CT811))</f>
        <v>1.622</v>
      </c>
      <c r="CZ811" s="72" t="n">
        <f aca="false">IF(CS811="","",CHOOSE(MATCH(Einkauf!$C$5,Parameter!$G$23:$G$27,0),CY811,CS811,CU811,-CT811,CW811)+ROW()/1000000000)</f>
        <v>1.622000811</v>
      </c>
    </row>
    <row r="812" customFormat="false" ht="15" hidden="false" customHeight="false" outlineLevel="0" collapsed="false">
      <c r="A812" s="60" t="s">
        <v>1614</v>
      </c>
      <c r="B812" s="60" t="s">
        <v>1615</v>
      </c>
      <c r="C812" s="60" t="s">
        <v>206</v>
      </c>
      <c r="D812" s="60" t="s">
        <v>226</v>
      </c>
      <c r="E812" s="60"/>
      <c r="F812" s="60" t="s">
        <v>260</v>
      </c>
      <c r="G812" s="61" t="n">
        <v>6.75</v>
      </c>
      <c r="H812" s="62" t="n">
        <f aca="false">MAX(0,IF(AND(Parameter!$B$21="Ja",ISNUMBER(Y812)),Y812,IF(Parameter!$B$20="Jahresanfang 2025 + Export",BS812+BR812,BR812)))</f>
        <v>4</v>
      </c>
      <c r="I812" s="62" t="n">
        <f aca="false">H812*G812</f>
        <v>27</v>
      </c>
      <c r="J812" s="62" t="n">
        <f aca="false">BU812*Parameter!$B$18</f>
        <v>0</v>
      </c>
      <c r="K812" s="63" t="n">
        <v>5</v>
      </c>
      <c r="L812" s="64" t="n">
        <v>0</v>
      </c>
      <c r="M812" s="62" t="n">
        <v>0</v>
      </c>
      <c r="N812" s="62" t="n">
        <v>1</v>
      </c>
      <c r="O812" s="65" t="n">
        <v>42</v>
      </c>
      <c r="P812" s="60" t="s">
        <v>468</v>
      </c>
      <c r="Q812" s="62" t="n">
        <v>5</v>
      </c>
      <c r="R812" s="65" t="n">
        <f aca="false">IF(CA812=1,0,IFERROR(VLOOKUP(BY812,'Gebinde-Kategorie'!$A$5:$N$45,13,0)+0,0))</f>
        <v>140</v>
      </c>
      <c r="S812" s="66"/>
      <c r="T812" s="67"/>
      <c r="U812" s="67"/>
      <c r="V812" s="67"/>
      <c r="W812" s="60"/>
      <c r="X812" s="62"/>
      <c r="Y812" s="62"/>
      <c r="Z812" s="60" t="n">
        <v>2</v>
      </c>
      <c r="AA812" s="60" t="n">
        <f aca="false">IF(A812="","",IF(AND(Parameter!$B$21="Ja",ISNUMBER(W812)),W812,IF(AND(Parameter!$E$27="Ja",ISNUMBER(Z812),CD812&lt;&gt;"Nein"),Z812,IF(CD812="2+3",IF(ISNUMBER(SEARCH("grosser Artikel",BV812)),2,IFERROR(VLOOKUP(BY812,Parameter!$F$35:$G$64,2,0),2)),IF(OR(CD812="Nein",CD812=""),"-",CD812)))))</f>
        <v>2</v>
      </c>
      <c r="AB812" s="67"/>
      <c r="AC812" s="68"/>
      <c r="AD812" s="62" t="n">
        <f aca="false">AW812</f>
        <v>1</v>
      </c>
      <c r="AE812" s="62" t="n">
        <f aca="false">MAX(AW812,H812)</f>
        <v>4</v>
      </c>
      <c r="AF812" s="69"/>
      <c r="AG812" s="62" t="n">
        <f aca="false">IF(LEFT(Cockpit!$C$5,1)="A",H812,IF(Parameter!$E$30="MAX-Bestand",IF(CI812=1,CJ812,IF(LEFT(Cockpit!$C$5,1)="B",AM812,MAX(AM812,H812))),ROUNDUP(AK812,0)))</f>
        <v>4</v>
      </c>
      <c r="AH812" s="62" t="n">
        <f aca="false">IF(CA812=1,0,ROUNDUP(AG812/BZ812,0))</f>
        <v>1</v>
      </c>
      <c r="AI812" s="64" t="n">
        <f aca="false">IF(CR812&gt;0,CR812*MAX(1,AG812/X812),IF(CA812=1,IF(AG812&lt;=0,0,CE812*MAX(1,IF(H812&gt;0,AG812/H812,1))),IF(R812&gt;0,AH812/R812,0))/MAX(0.1,N(Parameter!$M$21)))</f>
        <v>0.00714285714285714</v>
      </c>
      <c r="AJ812" s="62" t="n">
        <f aca="false">AI812*CC812</f>
        <v>1.10714285714286</v>
      </c>
      <c r="AK812" s="63" t="n">
        <f aca="false">IF(LEFT(Cockpit!$C$5,1)="A",H812,IF(CI812=1,(CL812+CJ812)/2,IF(LEFT(Cockpit!$C$5,1)="B",(CL812+AM812)/2,MAX((CL812+AM812)/2,H812))))</f>
        <v>4</v>
      </c>
      <c r="AL812" s="62" t="n">
        <f aca="false">AK812*G812</f>
        <v>27</v>
      </c>
      <c r="AM812" s="62" t="n">
        <f aca="false">ROUNDUP(CL812+MAX(CM812,2*(J812/IF(CH812&gt;0,CH812,MAX(0.1,N(Cockpit!$C$6)))-CL812)),0)</f>
        <v>1</v>
      </c>
      <c r="AN812" s="63" t="n">
        <f aca="false">IF(AJ812&gt;0,J812/AJ812,-1)</f>
        <v>0</v>
      </c>
      <c r="AO812" s="63" t="n">
        <f aca="false">IF(AND(OR(CG812="L1",CG812="L23",CG812="LIFT"),AJ812&gt;0),SUMIFS($AJ$7:$AJ$1843,$CG$7:$CG$1843,CG812,$AN$7:$AN$1843,"&gt;"&amp;AN812)+SUMIFS($AJ$7:$AJ$1843,$CG$7:$CG$1843,CG812,$AN$7:$AN$1843,AN812,$BX$7:$BX$1843,"&lt;="&amp;BX812),"")</f>
        <v>28773.1650033112</v>
      </c>
      <c r="AP812" s="70" t="n">
        <f aca="false">IF(AO812="",0,MAX(0,MIN(1,(IF(CG812="L1",Parameter!$H$5,IF(CG812="L23",Parameter!$H$6+Parameter!$H$7,Parameter!$H$5+Parameter!$H$6+Parameter!$H$7))-(AO812-AJ812))/AJ812)))</f>
        <v>1</v>
      </c>
      <c r="AQ812" s="62" t="n">
        <f aca="false">IF(LEFT(Cockpit!$I$5,1)="A",H812,IF(Parameter!$E$30="MAX-Bestand",IF(CI812=1,CJ812,IF(LEFT(Cockpit!$I$5,1)="B",AW812,MAX(AW812,H812))),ROUNDUP(AU812,0)))</f>
        <v>4</v>
      </c>
      <c r="AR812" s="62" t="n">
        <f aca="false">IF(CA812=1,0,ROUNDUP(AQ812/BZ812,0))</f>
        <v>1</v>
      </c>
      <c r="AS812" s="64" t="n">
        <f aca="false">IF(CR812&gt;0,CR812*MAX(1,AQ812/X812),IF(CA812=1,IF(AQ812&lt;=0,0,CE812*MAX(1,IF(H812&gt;0,AQ812/H812,1))),IF(R812&gt;0,AR812/R812,0))/MAX(0.1,N(Parameter!$M$21)))</f>
        <v>0.00714285714285714</v>
      </c>
      <c r="AT812" s="62" t="n">
        <f aca="false">AS812*CC812</f>
        <v>1.10714285714286</v>
      </c>
      <c r="AU812" s="63" t="n">
        <f aca="false">IF(LEFT(Cockpit!$I$5,1)="A",H812,IF(CI812=1,(CL812+CJ812)/2,IF(LEFT(Cockpit!$I$5,1)="B",(CL812+AW812)/2,MAX((CL812+AW812)/2,H812))))</f>
        <v>4</v>
      </c>
      <c r="AV812" s="62" t="n">
        <f aca="false">AU812*G812</f>
        <v>27</v>
      </c>
      <c r="AW812" s="62" t="n">
        <f aca="false">ROUNDUP(CL812+MAX(CM812,2*(J812/IF(CH812&gt;0,CH812,MAX(0.1,N(Cockpit!$I$6)))-CL812)),0)</f>
        <v>1</v>
      </c>
      <c r="AX812" s="63" t="n">
        <f aca="false">IF(AT812&gt;0,J812/AT812,-1)</f>
        <v>0</v>
      </c>
      <c r="AY812" s="63" t="n">
        <f aca="false">IF(AND(OR(CG812="L1",CG812="L23",CG812="LIFT"),AT812&gt;0),SUMIFS($AT$7:$AT$1843,$CG$7:$CG$1843,CG812,$AX$7:$AX$1843,"&gt;"&amp;AX812)+SUMIFS($AT$7:$AT$1843,$CG$7:$CG$1843,CG812,$AX$7:$AX$1843,AX812,$BX$7:$BX$1843,"&lt;="&amp;BX812),"")</f>
        <v>34384.4633699634</v>
      </c>
      <c r="AZ812" s="70" t="n">
        <f aca="false">IF(AY812="",0,MAX(0,MIN(1,(IF(CG812="L1",Parameter!$H$5,IF(CG812="L23",Parameter!$H$6+Parameter!$H$7,Parameter!$H$5+Parameter!$H$6+Parameter!$H$7))-(AY812-AT812))/AT812)))</f>
        <v>1</v>
      </c>
      <c r="BA812" s="62" t="n">
        <f aca="false">IF(LEFT(Cockpit!$O$5,1)="A",H812,IF(Parameter!$E$30="MAX-Bestand",IF(CI812=1,CJ812,IF(LEFT(Cockpit!$O$5,1)="B",BG812,MAX(BG812,H812))),ROUNDUP(BE812,0)))</f>
        <v>1</v>
      </c>
      <c r="BB812" s="62" t="n">
        <f aca="false">IF(CA812=1,0,ROUNDUP(BA812/BZ812,0))</f>
        <v>1</v>
      </c>
      <c r="BC812" s="64" t="n">
        <f aca="false">IF(CR812&gt;0,CR812*MAX(1,BA812/X812),IF(CA812=1,IF(BA812&lt;=0,0,CE812*MAX(1,IF(H812&gt;0,BA812/H812,1))),IF(R812&gt;0,BB812/R812,0))/MAX(0.1,N(Parameter!$M$21)))</f>
        <v>0.00714285714285714</v>
      </c>
      <c r="BD812" s="62" t="n">
        <f aca="false">BC812*CC812</f>
        <v>1.10714285714286</v>
      </c>
      <c r="BE812" s="63" t="n">
        <f aca="false">IF(LEFT(Cockpit!$O$5,1)="A",H812,IF(CI812=1,(CL812+CJ812)/2,IF(LEFT(Cockpit!$O$5,1)="B",(CL812+BG812)/2,MAX((CL812+BG812)/2,H812))))</f>
        <v>0.5</v>
      </c>
      <c r="BF812" s="62" t="n">
        <f aca="false">BE812*G812</f>
        <v>3.375</v>
      </c>
      <c r="BG812" s="62" t="n">
        <f aca="false">ROUNDUP(CL812+MAX(CM812,2*(J812/IF(CH812&gt;0,CH812,MAX(0.1,N(Cockpit!$O$6)))-CL812)),0)</f>
        <v>1</v>
      </c>
      <c r="BH812" s="63" t="n">
        <f aca="false">IF(BD812&gt;0,J812/BD812,-1)</f>
        <v>0</v>
      </c>
      <c r="BI812" s="63" t="n">
        <f aca="false">IF(AND(OR(CG812="L1",CG812="L23",CG812="LIFT"),BD812&gt;0),SUMIFS($BD$7:$BD$1843,$CG$7:$CG$1843,CG812,$BH$7:$BH$1843,"&gt;"&amp;BH812)+SUMIFS($BD$7:$BD$1843,$CG$7:$CG$1843,CG812,$BH$7:$BH$1843,BH812,$BX$7:$BX$1843,"&lt;="&amp;BX812),"")</f>
        <v>28424.2453048364</v>
      </c>
      <c r="BJ812" s="70" t="n">
        <f aca="false">IF(BI812="",0,MAX(0,MIN(1,(IF(CG812="L1",Parameter!$H$5,IF(CG812="L23",Parameter!$H$6+Parameter!$H$7,Parameter!$H$5+Parameter!$H$6+Parameter!$H$7))-(BI812-BD812))/BD812)))</f>
        <v>1</v>
      </c>
      <c r="BK812" s="60" t="str">
        <f aca="false">IF(AJ812&lt;=0,"",IF(CG812="Aussen","Aussenlager",IF(CG812="-","Nicht im Lift",IF(AP812&gt;=1,"Lift",IF(AP812&lt;=0,"Aussenlager","teilweise")))))</f>
        <v>Lift</v>
      </c>
      <c r="BL812" s="60" t="str">
        <f aca="false">IF(AT812&lt;=0,"",IF(CG812="Aussen","Aussenlager",IF(CG812="-","Nicht im Lift",IF(AZ812&gt;=1,"Lift",IF(AZ812&lt;=0,"Aussenlager","teilweise")))))</f>
        <v>Lift</v>
      </c>
      <c r="BM812" s="60" t="str">
        <f aca="false">IF(BD812&lt;=0,"",IF(CG812="Aussen","Aussenlager",IF(CG812="-","Nicht im Lift",IF(BJ812&gt;=1,"Lift",IF(BJ812&lt;=0,"Aussenlager","teilweise")))))</f>
        <v>Lift</v>
      </c>
      <c r="BN812" s="60" t="str">
        <f aca="false">IF(A812="","",IF(BW812=1,"Neu; ","")&amp;IF(AND(BW812=0,BR812&lt;0),"negativer Bestand (Export "&amp;BR812&amp;"); ","")&amp;IF(J812&lt;=0,"Kein Verbrauch; ","")&amp;IF(CR812&gt;0,"Lift "&amp;W812&amp;" lt. Liftbericht (Fach "&amp;X812&amp;" Stk); ",IF(CB812=1,"Gebinde geschätzt ("&amp;T812&amp;"); ",IF(CA812=1,"Lose – Tablare geschätzt; ","")))&amp;IF(H812&gt;AW812,"Überbestand "&amp;ROUND(H812-AW812,0)&amp;" Stk / CHF "&amp;ROUND((H812-AW812)*G812,0)&amp;"; ","")&amp;IF(AND(CI812=1,CJ812&lt;CK812),"MAX &lt; MB+LG; ","")&amp;IF(AND(CQ812&gt;0,CP812*10&gt;CQ812),"zu hoch für Tablar; ","")&amp;IF(AND(BW812=0,OR(CI812=1,AB812&lt;&gt;"",U812&lt;&gt;"",V812&lt;&gt;"",AC812&lt;&gt;"")),"manuell übersteuert; ","")&amp;IF(AND(CA812=0,R812=0),"Gebinde unbekannt / Stellmass fehlt; ","")&amp;IF(AND(CA812=0,N(V812)&lt;=0,N(Q812)&lt;=0),"Menge pro Gebinde fehlt (Ist = 1 Gebinde); ","")&amp;BV812)</f>
        <v>negativer Bestand (Export -1); Kein Verbrauch; Überbestand 3 Stk / CHF 20; </v>
      </c>
      <c r="BO812" s="60"/>
      <c r="BP812" s="60"/>
      <c r="BQ812" s="67"/>
      <c r="BR812" s="62" t="n">
        <v>-1</v>
      </c>
      <c r="BS812" s="62" t="n">
        <v>5</v>
      </c>
      <c r="BT812" s="61" t="n">
        <v>-6.75</v>
      </c>
      <c r="BU812" s="62" t="n">
        <v>0</v>
      </c>
      <c r="BV812" s="60"/>
      <c r="BW812" s="65" t="n">
        <v>0</v>
      </c>
      <c r="BX812" s="65" t="n">
        <v>812</v>
      </c>
      <c r="BY812" s="60" t="str">
        <f aca="false">IF(U812&lt;&gt;"",UPPER(TRIM(U812)),IF(CB812=1,UPPER(VLOOKUP(T812,Parameter!$I$27:$K$29,2,0)),IF(P812="","LOSE",P812)))</f>
        <v>S22</v>
      </c>
      <c r="BZ812" s="62" t="n">
        <f aca="false">IF(BY812="LOSE",1,IF(N(V812)&gt;0,V812,IF(CB812=1,MAX(1,N(VLOOKUP(T812,Parameter!$I$27:$K$29,3,0)),H812,N(N812)),IF(N(Q812)&gt;0,Q812,MAX(1,H812)))))</f>
        <v>5</v>
      </c>
      <c r="CA812" s="65" t="n">
        <f aca="false">IF(BY812="LOSE",1,0)</f>
        <v>0</v>
      </c>
      <c r="CB812" s="65" t="n">
        <f aca="false">IF(AND(U812="",OR(P812="",P812="LOSE"),T812&lt;&gt;"",N(S812)&lt;=0,ISNUMBER(MATCH(T812,Parameter!$I$27:$I$29,0))),1,0)</f>
        <v>0</v>
      </c>
      <c r="CC812" s="65" t="n">
        <f aca="false">IF(CR812&gt;0,INDEX(Parameter!$H$5:$H$7,W812)/INDEX(Parameter!$E$5:$E$7,W812),IF(AND(CA812=0,N(IFERROR(VLOOKUP(BY812,'Gebinde-Kategorie'!$A$5:$N$45,14,0),0))&gt;0),VLOOKUP(BY812,'Gebinde-Kategorie'!$A$5:$N$45,14,0)*10+Parameter!$M$23,Parameter!$M$24))</f>
        <v>155</v>
      </c>
      <c r="CD812" s="60" t="str">
        <f aca="false">IF(AND(Parameter!$B$19="Ja",E812&lt;&gt;"",ISNUMBER(MATCH(E812,Parameter!$I$35:$I$52,0))),VLOOKUP(E812,Parameter!$I$35:$J$52,2,0),IFERROR(VLOOKUP(D812,Parameter!$A$35:$C$64,2,0),"Nein"))</f>
        <v>2+3</v>
      </c>
      <c r="CE812" s="64" t="n">
        <f aca="false">IF(CA812=0,0,IF(N(S812)&gt;0,S812,IFERROR(VLOOKUP(D812,Parameter!$A$35:$C$64,3,0)+0,0)))</f>
        <v>0</v>
      </c>
      <c r="CF812" s="60" t="n">
        <f aca="false">IF(AB812&lt;&gt;"",AB812,AA812)</f>
        <v>2</v>
      </c>
      <c r="CG812" s="60" t="str">
        <f aca="false">IF(OR(CF812=1,CF812=2,CF812=3),IF(Parameter!$E$27="Ja","LIFT",IF(CF812=1,"L1","L23")),IF(CF812="Aussen","Aussen","-"))</f>
        <v>LIFT</v>
      </c>
      <c r="CH812" s="71" t="n">
        <f aca="false">IF(N(AC812)&gt;0,AC812,0)</f>
        <v>0</v>
      </c>
      <c r="CI812" s="65" t="n">
        <f aca="false">IF(ISNUMBER(AF812),1,0)</f>
        <v>0</v>
      </c>
      <c r="CJ812" s="62" t="n">
        <f aca="false">N(AF812)</f>
        <v>0</v>
      </c>
      <c r="CK812" s="62" t="n">
        <f aca="false">N(M812)+N(N812)</f>
        <v>1</v>
      </c>
      <c r="CL812" s="62" t="n">
        <f aca="false">N(M812)</f>
        <v>0</v>
      </c>
      <c r="CM812" s="62" t="n">
        <f aca="false">N(N812)</f>
        <v>1</v>
      </c>
      <c r="CN812" s="62" t="n">
        <f aca="false">ROUNDUP(H812/BZ812,0)</f>
        <v>1</v>
      </c>
      <c r="CO812" s="62" t="n">
        <f aca="false">ROUNDUP(CJ812/BZ812,0)</f>
        <v>0</v>
      </c>
      <c r="CP812" s="65" t="n">
        <f aca="false">IF(CA812=1,0,IFERROR(VLOOKUP(BY812,'Gebinde-Kategorie'!$A$5:$N$45,5,0)+0,0))</f>
        <v>8</v>
      </c>
      <c r="CQ812" s="65" t="n">
        <f aca="false">IFERROR(IF(OR(CF812=1,CF812=2,CF812=3),N(INDEX(Parameter!$I$5:$I$7,CF812)),0),0)</f>
        <v>0</v>
      </c>
      <c r="CR812" s="64" t="n">
        <f aca="false">IF(AND(Parameter!$B$21="Ja",ISNUMBER(W812),N(X812)&gt;0),IFERROR(N(INDEX(Parameter!$L$5:$L$7,W812))*INDEX(Parameter!$E$5:$E$7,W812)*X812/SUMIFS($X$7:$X$1843,$W$7:$W$1843,W812),0),0)</f>
        <v>0</v>
      </c>
      <c r="CS812" s="62" t="n">
        <f aca="false">IF(AND(OR(CG812="L1",CG812="L23",CG812="LIFT"),H812&gt;0),CC812*IF(CR812&gt;0,CR812*MAX(1,H812/X812),IF(CA812=1,CE812,IF(R812&gt;0,CN812/R812,0))/MAX(0.1,N(Parameter!$M$21))),"")</f>
        <v>1.10714285714286</v>
      </c>
      <c r="CT812" s="64" t="n">
        <f aca="false">IF(CS812="","",J812/H812)</f>
        <v>0</v>
      </c>
      <c r="CU812" s="62" t="n">
        <f aca="false">IF(CS812="","",H812*G812)</f>
        <v>27</v>
      </c>
      <c r="CV812" s="63" t="n">
        <f aca="false">IF(CS812="","",(CL812+ROUNDUP(CL812+MAX(CM812,2*(J812/MAX(0.1,N(Einkauf!$C$6))-CL812)),0))/2)</f>
        <v>0.5</v>
      </c>
      <c r="CW812" s="62" t="n">
        <f aca="false">IF(CS812="","",MAX(0,H812-CV812)*G812)</f>
        <v>23.625</v>
      </c>
      <c r="CX812" s="62" t="n">
        <f aca="false">IF(CS812="","",CS812*MAX(0,1-CV812/H812))</f>
        <v>0.96875</v>
      </c>
      <c r="CY812" s="64" t="n">
        <f aca="false">IF(CS812="","",PERCENTRANK($CS$7:$CS$1843,CS812)+PERCENTRANK($CU$7:$CU$1843,CU812)+1-PERCENTRANK($CT$7:$CT$1843,CT812))</f>
        <v>1.1584</v>
      </c>
      <c r="CZ812" s="72" t="n">
        <f aca="false">IF(CS812="","",CHOOSE(MATCH(Einkauf!$C$5,Parameter!$G$23:$G$27,0),CY812,CS812,CU812,-CT812,CW812)+ROW()/1000000000)</f>
        <v>1.158400812</v>
      </c>
    </row>
    <row r="813" customFormat="false" ht="15" hidden="false" customHeight="false" outlineLevel="0" collapsed="false">
      <c r="A813" s="60" t="s">
        <v>1616</v>
      </c>
      <c r="B813" s="60" t="s">
        <v>1064</v>
      </c>
      <c r="C813" s="60" t="s">
        <v>206</v>
      </c>
      <c r="D813" s="60" t="s">
        <v>226</v>
      </c>
      <c r="E813" s="60" t="s">
        <v>227</v>
      </c>
      <c r="F813" s="60" t="s">
        <v>260</v>
      </c>
      <c r="G813" s="61" t="n">
        <v>0.14</v>
      </c>
      <c r="H813" s="62" t="n">
        <f aca="false">MAX(0,IF(AND(Parameter!$B$21="Ja",ISNUMBER(Y813)),Y813,IF(Parameter!$B$20="Jahresanfang 2025 + Export",BS813+BR813,BR813)))</f>
        <v>303</v>
      </c>
      <c r="I813" s="62" t="n">
        <f aca="false">H813*G813</f>
        <v>42.42</v>
      </c>
      <c r="J813" s="62" t="n">
        <f aca="false">BU813*Parameter!$B$18</f>
        <v>38</v>
      </c>
      <c r="K813" s="63" t="n">
        <v>335</v>
      </c>
      <c r="L813" s="64" t="n">
        <v>0.113432835820896</v>
      </c>
      <c r="M813" s="62" t="n">
        <v>2</v>
      </c>
      <c r="N813" s="62" t="n">
        <v>40</v>
      </c>
      <c r="O813" s="65" t="n">
        <v>21</v>
      </c>
      <c r="P813" s="60" t="s">
        <v>518</v>
      </c>
      <c r="Q813" s="62" t="n">
        <v>454</v>
      </c>
      <c r="R813" s="65" t="n">
        <f aca="false">IF(CA813=1,0,IFERROR(VLOOKUP(BY813,'Gebinde-Kategorie'!$A$5:$N$45,13,0)+0,0))</f>
        <v>52</v>
      </c>
      <c r="S813" s="66"/>
      <c r="T813" s="67"/>
      <c r="U813" s="67"/>
      <c r="V813" s="67"/>
      <c r="W813" s="60"/>
      <c r="X813" s="62"/>
      <c r="Y813" s="62"/>
      <c r="Z813" s="60" t="n">
        <v>3</v>
      </c>
      <c r="AA813" s="60" t="n">
        <f aca="false">IF(A813="","",IF(AND(Parameter!$B$21="Ja",ISNUMBER(W813)),W813,IF(AND(Parameter!$E$27="Ja",ISNUMBER(Z813),CD813&lt;&gt;"Nein"),Z813,IF(CD813="2+3",IF(ISNUMBER(SEARCH("grosser Artikel",BV813)),2,IFERROR(VLOOKUP(BY813,Parameter!$F$35:$G$64,2,0),2)),IF(OR(CD813="Nein",CD813=""),"-",CD813)))))</f>
        <v>3</v>
      </c>
      <c r="AB813" s="67"/>
      <c r="AC813" s="68"/>
      <c r="AD813" s="62" t="n">
        <f aca="false">AW813</f>
        <v>42</v>
      </c>
      <c r="AE813" s="62" t="n">
        <f aca="false">MAX(AW813,H813)</f>
        <v>303</v>
      </c>
      <c r="AF813" s="69"/>
      <c r="AG813" s="62" t="n">
        <f aca="false">IF(LEFT(Cockpit!$C$5,1)="A",H813,IF(Parameter!$E$30="MAX-Bestand",IF(CI813=1,CJ813,IF(LEFT(Cockpit!$C$5,1)="B",AM813,MAX(AM813,H813))),ROUNDUP(AK813,0)))</f>
        <v>303</v>
      </c>
      <c r="AH813" s="62" t="n">
        <f aca="false">IF(CA813=1,0,ROUNDUP(AG813/BZ813,0))</f>
        <v>1</v>
      </c>
      <c r="AI813" s="64" t="n">
        <f aca="false">IF(CR813&gt;0,CR813*MAX(1,AG813/X813),IF(CA813=1,IF(AG813&lt;=0,0,CE813*MAX(1,IF(H813&gt;0,AG813/H813,1))),IF(R813&gt;0,AH813/R813,0))/MAX(0.1,N(Parameter!$M$21)))</f>
        <v>0.0192307692307692</v>
      </c>
      <c r="AJ813" s="62" t="n">
        <f aca="false">AI813*CC813</f>
        <v>2.98076923076923</v>
      </c>
      <c r="AK813" s="63" t="n">
        <f aca="false">IF(LEFT(Cockpit!$C$5,1)="A",H813,IF(CI813=1,(CL813+CJ813)/2,IF(LEFT(Cockpit!$C$5,1)="B",(CL813+AM813)/2,MAX((CL813+AM813)/2,H813))))</f>
        <v>303</v>
      </c>
      <c r="AL813" s="62" t="n">
        <f aca="false">AK813*G813</f>
        <v>42.42</v>
      </c>
      <c r="AM813" s="62" t="n">
        <f aca="false">ROUNDUP(CL813+MAX(CM813,2*(J813/IF(CH813&gt;0,CH813,MAX(0.1,N(Cockpit!$C$6)))-CL813)),0)</f>
        <v>42</v>
      </c>
      <c r="AN813" s="63" t="n">
        <f aca="false">IF(AJ813&gt;0,J813/AJ813,-1)</f>
        <v>12.7483870967742</v>
      </c>
      <c r="AO813" s="63" t="n">
        <f aca="false">IF(AND(OR(CG813="L1",CG813="L23",CG813="LIFT"),AJ813&gt;0),SUMIFS($AJ$7:$AJ$1843,$CG$7:$CG$1843,CG813,$AN$7:$AN$1843,"&gt;"&amp;AN813)+SUMIFS($AJ$7:$AJ$1843,$CG$7:$CG$1843,CG813,$AN$7:$AN$1843,AN813,$BX$7:$BX$1843,"&lt;="&amp;BX813),"")</f>
        <v>2396.48992673993</v>
      </c>
      <c r="AP813" s="70" t="n">
        <f aca="false">IF(AO813="",0,MAX(0,MIN(1,(IF(CG813="L1",Parameter!$H$5,IF(CG813="L23",Parameter!$H$6+Parameter!$H$7,Parameter!$H$5+Parameter!$H$6+Parameter!$H$7))-(AO813-AJ813))/AJ813)))</f>
        <v>1</v>
      </c>
      <c r="AQ813" s="62" t="n">
        <f aca="false">IF(LEFT(Cockpit!$I$5,1)="A",H813,IF(Parameter!$E$30="MAX-Bestand",IF(CI813=1,CJ813,IF(LEFT(Cockpit!$I$5,1)="B",AW813,MAX(AW813,H813))),ROUNDUP(AU813,0)))</f>
        <v>303</v>
      </c>
      <c r="AR813" s="62" t="n">
        <f aca="false">IF(CA813=1,0,ROUNDUP(AQ813/BZ813,0))</f>
        <v>1</v>
      </c>
      <c r="AS813" s="64" t="n">
        <f aca="false">IF(CR813&gt;0,CR813*MAX(1,AQ813/X813),IF(CA813=1,IF(AQ813&lt;=0,0,CE813*MAX(1,IF(H813&gt;0,AQ813/H813,1))),IF(R813&gt;0,AR813/R813,0))/MAX(0.1,N(Parameter!$M$21)))</f>
        <v>0.0192307692307692</v>
      </c>
      <c r="AT813" s="62" t="n">
        <f aca="false">AS813*CC813</f>
        <v>2.98076923076923</v>
      </c>
      <c r="AU813" s="63" t="n">
        <f aca="false">IF(LEFT(Cockpit!$I$5,1)="A",H813,IF(CI813=1,(CL813+CJ813)/2,IF(LEFT(Cockpit!$I$5,1)="B",(CL813+AW813)/2,MAX((CL813+AW813)/2,H813))))</f>
        <v>303</v>
      </c>
      <c r="AV813" s="62" t="n">
        <f aca="false">AU813*G813</f>
        <v>42.42</v>
      </c>
      <c r="AW813" s="62" t="n">
        <f aca="false">ROUNDUP(CL813+MAX(CM813,2*(J813/IF(CH813&gt;0,CH813,MAX(0.1,N(Cockpit!$I$6)))-CL813)),0)</f>
        <v>42</v>
      </c>
      <c r="AX813" s="63" t="n">
        <f aca="false">IF(AT813&gt;0,J813/AT813,-1)</f>
        <v>12.7483870967742</v>
      </c>
      <c r="AY813" s="63" t="n">
        <f aca="false">IF(AND(OR(CG813="L1",CG813="L23",CG813="LIFT"),AT813&gt;0),SUMIFS($AT$7:$AT$1843,$CG$7:$CG$1843,CG813,$AX$7:$AX$1843,"&gt;"&amp;AX813)+SUMIFS($AT$7:$AT$1843,$CG$7:$CG$1843,CG813,$AX$7:$AX$1843,AX813,$BX$7:$BX$1843,"&lt;="&amp;BX813),"")</f>
        <v>2985.86904761905</v>
      </c>
      <c r="AZ813" s="70" t="n">
        <f aca="false">IF(AY813="",0,MAX(0,MIN(1,(IF(CG813="L1",Parameter!$H$5,IF(CG813="L23",Parameter!$H$6+Parameter!$H$7,Parameter!$H$5+Parameter!$H$6+Parameter!$H$7))-(AY813-AT813))/AT813)))</f>
        <v>1</v>
      </c>
      <c r="BA813" s="62" t="n">
        <f aca="false">IF(LEFT(Cockpit!$O$5,1)="A",H813,IF(Parameter!$E$30="MAX-Bestand",IF(CI813=1,CJ813,IF(LEFT(Cockpit!$O$5,1)="B",BG813,MAX(BG813,H813))),ROUNDUP(BE813,0)))</f>
        <v>22</v>
      </c>
      <c r="BB813" s="62" t="n">
        <f aca="false">IF(CA813=1,0,ROUNDUP(BA813/BZ813,0))</f>
        <v>1</v>
      </c>
      <c r="BC813" s="64" t="n">
        <f aca="false">IF(CR813&gt;0,CR813*MAX(1,BA813/X813),IF(CA813=1,IF(BA813&lt;=0,0,CE813*MAX(1,IF(H813&gt;0,BA813/H813,1))),IF(R813&gt;0,BB813/R813,0))/MAX(0.1,N(Parameter!$M$21)))</f>
        <v>0.0192307692307692</v>
      </c>
      <c r="BD813" s="62" t="n">
        <f aca="false">BC813*CC813</f>
        <v>2.98076923076923</v>
      </c>
      <c r="BE813" s="63" t="n">
        <f aca="false">IF(LEFT(Cockpit!$O$5,1)="A",H813,IF(CI813=1,(CL813+CJ813)/2,IF(LEFT(Cockpit!$O$5,1)="B",(CL813+BG813)/2,MAX((CL813+BG813)/2,H813))))</f>
        <v>22</v>
      </c>
      <c r="BF813" s="62" t="n">
        <f aca="false">BE813*G813</f>
        <v>3.08</v>
      </c>
      <c r="BG813" s="62" t="n">
        <f aca="false">ROUNDUP(CL813+MAX(CM813,2*(J813/IF(CH813&gt;0,CH813,MAX(0.1,N(Cockpit!$O$6)))-CL813)),0)</f>
        <v>42</v>
      </c>
      <c r="BH813" s="63" t="n">
        <f aca="false">IF(BD813&gt;0,J813/BD813,-1)</f>
        <v>12.7483870967742</v>
      </c>
      <c r="BI813" s="63" t="n">
        <f aca="false">IF(AND(OR(CG813="L1",CG813="L23",CG813="LIFT"),BD813&gt;0),SUMIFS($BD$7:$BD$1843,$CG$7:$CG$1843,CG813,$BH$7:$BH$1843,"&gt;"&amp;BH813)+SUMIFS($BD$7:$BD$1843,$CG$7:$CG$1843,CG813,$BH$7:$BH$1843,BH813,$BX$7:$BX$1843,"&lt;="&amp;BX813),"")</f>
        <v>2514.77747252747</v>
      </c>
      <c r="BJ813" s="70" t="n">
        <f aca="false">IF(BI813="",0,MAX(0,MIN(1,(IF(CG813="L1",Parameter!$H$5,IF(CG813="L23",Parameter!$H$6+Parameter!$H$7,Parameter!$H$5+Parameter!$H$6+Parameter!$H$7))-(BI813-BD813))/BD813)))</f>
        <v>1</v>
      </c>
      <c r="BK813" s="60" t="str">
        <f aca="false">IF(AJ813&lt;=0,"",IF(CG813="Aussen","Aussenlager",IF(CG813="-","Nicht im Lift",IF(AP813&gt;=1,"Lift",IF(AP813&lt;=0,"Aussenlager","teilweise")))))</f>
        <v>Lift</v>
      </c>
      <c r="BL813" s="60" t="str">
        <f aca="false">IF(AT813&lt;=0,"",IF(CG813="Aussen","Aussenlager",IF(CG813="-","Nicht im Lift",IF(AZ813&gt;=1,"Lift",IF(AZ813&lt;=0,"Aussenlager","teilweise")))))</f>
        <v>Lift</v>
      </c>
      <c r="BM813" s="60" t="str">
        <f aca="false">IF(BD813&lt;=0,"",IF(CG813="Aussen","Aussenlager",IF(CG813="-","Nicht im Lift",IF(BJ813&gt;=1,"Lift",IF(BJ813&lt;=0,"Aussenlager","teilweise")))))</f>
        <v>Lift</v>
      </c>
      <c r="BN813" s="60" t="str">
        <f aca="false">IF(A813="","",IF(BW813=1,"Neu; ","")&amp;IF(AND(BW813=0,BR813&lt;0),"negativer Bestand (Export "&amp;BR813&amp;"); ","")&amp;IF(J813&lt;=0,"Kein Verbrauch; ","")&amp;IF(CR813&gt;0,"Lift "&amp;W813&amp;" lt. Liftbericht (Fach "&amp;X813&amp;" Stk); ",IF(CB813=1,"Gebinde geschätzt ("&amp;T813&amp;"); ",IF(CA813=1,"Lose – Tablare geschätzt; ","")))&amp;IF(H813&gt;AW813,"Überbestand "&amp;ROUND(H813-AW813,0)&amp;" Stk / CHF "&amp;ROUND((H813-AW813)*G813,0)&amp;"; ","")&amp;IF(AND(CI813=1,CJ813&lt;CK813),"MAX &lt; MB+LG; ","")&amp;IF(AND(CQ813&gt;0,CP813*10&gt;CQ813),"zu hoch für Tablar; ","")&amp;IF(AND(BW813=0,OR(CI813=1,AB813&lt;&gt;"",U813&lt;&gt;"",V813&lt;&gt;"",AC813&lt;&gt;"")),"manuell übersteuert; ","")&amp;IF(AND(CA813=0,R813=0),"Gebinde unbekannt / Stellmass fehlt; ","")&amp;IF(AND(CA813=0,N(V813)&lt;=0,N(Q813)&lt;=0),"Menge pro Gebinde fehlt (Ist = 1 Gebinde); ","")&amp;BV813)</f>
        <v>negativer Bestand (Export -51); Überbestand 261 Stk / CHF 37; Überbestand</v>
      </c>
      <c r="BO813" s="60"/>
      <c r="BP813" s="60"/>
      <c r="BQ813" s="67"/>
      <c r="BR813" s="62" t="n">
        <v>-51</v>
      </c>
      <c r="BS813" s="62" t="n">
        <v>354</v>
      </c>
      <c r="BT813" s="61" t="n">
        <v>-7.14</v>
      </c>
      <c r="BU813" s="62" t="n">
        <v>38</v>
      </c>
      <c r="BV813" s="60" t="s">
        <v>434</v>
      </c>
      <c r="BW813" s="65" t="n">
        <v>0</v>
      </c>
      <c r="BX813" s="65" t="n">
        <v>813</v>
      </c>
      <c r="BY813" s="60" t="str">
        <f aca="false">IF(U813&lt;&gt;"",UPPER(TRIM(U813)),IF(CB813=1,UPPER(VLOOKUP(T813,Parameter!$I$27:$K$29,2,0)),IF(P813="","LOSE",P813)))</f>
        <v>S33</v>
      </c>
      <c r="BZ813" s="62" t="n">
        <f aca="false">IF(BY813="LOSE",1,IF(N(V813)&gt;0,V813,IF(CB813=1,MAX(1,N(VLOOKUP(T813,Parameter!$I$27:$K$29,3,0)),H813,N(N813)),IF(N(Q813)&gt;0,Q813,MAX(1,H813)))))</f>
        <v>454</v>
      </c>
      <c r="CA813" s="65" t="n">
        <f aca="false">IF(BY813="LOSE",1,0)</f>
        <v>0</v>
      </c>
      <c r="CB813" s="65" t="n">
        <f aca="false">IF(AND(U813="",OR(P813="",P813="LOSE"),T813&lt;&gt;"",N(S813)&lt;=0,ISNUMBER(MATCH(T813,Parameter!$I$27:$I$29,0))),1,0)</f>
        <v>0</v>
      </c>
      <c r="CC813" s="65" t="n">
        <f aca="false">IF(CR813&gt;0,INDEX(Parameter!$H$5:$H$7,W813)/INDEX(Parameter!$E$5:$E$7,W813),IF(AND(CA813=0,N(IFERROR(VLOOKUP(BY813,'Gebinde-Kategorie'!$A$5:$N$45,14,0),0))&gt;0),VLOOKUP(BY813,'Gebinde-Kategorie'!$A$5:$N$45,14,0)*10+Parameter!$M$23,Parameter!$M$24))</f>
        <v>155</v>
      </c>
      <c r="CD813" s="60" t="str">
        <f aca="false">IF(AND(Parameter!$B$19="Ja",E813&lt;&gt;"",ISNUMBER(MATCH(E813,Parameter!$I$35:$I$52,0))),VLOOKUP(E813,Parameter!$I$35:$J$52,2,0),IFERROR(VLOOKUP(D813,Parameter!$A$35:$C$64,2,0),"Nein"))</f>
        <v>2+3</v>
      </c>
      <c r="CE813" s="64" t="n">
        <f aca="false">IF(CA813=0,0,IF(N(S813)&gt;0,S813,IFERROR(VLOOKUP(D813,Parameter!$A$35:$C$64,3,0)+0,0)))</f>
        <v>0</v>
      </c>
      <c r="CF813" s="60" t="n">
        <f aca="false">IF(AB813&lt;&gt;"",AB813,AA813)</f>
        <v>3</v>
      </c>
      <c r="CG813" s="60" t="str">
        <f aca="false">IF(OR(CF813=1,CF813=2,CF813=3),IF(Parameter!$E$27="Ja","LIFT",IF(CF813=1,"L1","L23")),IF(CF813="Aussen","Aussen","-"))</f>
        <v>LIFT</v>
      </c>
      <c r="CH813" s="71" t="n">
        <f aca="false">IF(N(AC813)&gt;0,AC813,0)</f>
        <v>0</v>
      </c>
      <c r="CI813" s="65" t="n">
        <f aca="false">IF(ISNUMBER(AF813),1,0)</f>
        <v>0</v>
      </c>
      <c r="CJ813" s="62" t="n">
        <f aca="false">N(AF813)</f>
        <v>0</v>
      </c>
      <c r="CK813" s="62" t="n">
        <f aca="false">N(M813)+N(N813)</f>
        <v>42</v>
      </c>
      <c r="CL813" s="62" t="n">
        <f aca="false">N(M813)</f>
        <v>2</v>
      </c>
      <c r="CM813" s="62" t="n">
        <f aca="false">N(N813)</f>
        <v>40</v>
      </c>
      <c r="CN813" s="62" t="n">
        <f aca="false">ROUNDUP(H813/BZ813,0)</f>
        <v>1</v>
      </c>
      <c r="CO813" s="62" t="n">
        <f aca="false">ROUNDUP(CJ813/BZ813,0)</f>
        <v>0</v>
      </c>
      <c r="CP813" s="65" t="n">
        <f aca="false">IF(CA813=1,0,IFERROR(VLOOKUP(BY813,'Gebinde-Kategorie'!$A$5:$N$45,5,0)+0,0))</f>
        <v>8</v>
      </c>
      <c r="CQ813" s="65" t="n">
        <f aca="false">IFERROR(IF(OR(CF813=1,CF813=2,CF813=3),N(INDEX(Parameter!$I$5:$I$7,CF813)),0),0)</f>
        <v>0</v>
      </c>
      <c r="CR813" s="64" t="n">
        <f aca="false">IF(AND(Parameter!$B$21="Ja",ISNUMBER(W813),N(X813)&gt;0),IFERROR(N(INDEX(Parameter!$L$5:$L$7,W813))*INDEX(Parameter!$E$5:$E$7,W813)*X813/SUMIFS($X$7:$X$1843,$W$7:$W$1843,W813),0),0)</f>
        <v>0</v>
      </c>
      <c r="CS813" s="62" t="n">
        <f aca="false">IF(AND(OR(CG813="L1",CG813="L23",CG813="LIFT"),H813&gt;0),CC813*IF(CR813&gt;0,CR813*MAX(1,H813/X813),IF(CA813=1,CE813,IF(R813&gt;0,CN813/R813,0))/MAX(0.1,N(Parameter!$M$21))),"")</f>
        <v>2.98076923076923</v>
      </c>
      <c r="CT813" s="64" t="n">
        <f aca="false">IF(CS813="","",J813/H813)</f>
        <v>0.125412541254125</v>
      </c>
      <c r="CU813" s="62" t="n">
        <f aca="false">IF(CS813="","",H813*G813)</f>
        <v>42.42</v>
      </c>
      <c r="CV813" s="63" t="n">
        <f aca="false">IF(CS813="","",(CL813+ROUNDUP(CL813+MAX(CM813,2*(J813/MAX(0.1,N(Einkauf!$C$6))-CL813)),0))/2)</f>
        <v>22</v>
      </c>
      <c r="CW813" s="62" t="n">
        <f aca="false">IF(CS813="","",MAX(0,H813-CV813)*G813)</f>
        <v>39.34</v>
      </c>
      <c r="CX813" s="62" t="n">
        <f aca="false">IF(CS813="","",CS813*MAX(0,1-CV813/H813))</f>
        <v>2.76434374206651</v>
      </c>
      <c r="CY813" s="64" t="n">
        <f aca="false">IF(CS813="","",PERCENTRANK($CS$7:$CS$1843,CS813)+PERCENTRANK($CU$7:$CU$1843,CU813)+1-PERCENTRANK($CT$7:$CT$1843,CT813))</f>
        <v>0.908</v>
      </c>
      <c r="CZ813" s="72" t="n">
        <f aca="false">IF(CS813="","",CHOOSE(MATCH(Einkauf!$C$5,Parameter!$G$23:$G$27,0),CY813,CS813,CU813,-CT813,CW813)+ROW()/1000000000)</f>
        <v>0.908000813</v>
      </c>
    </row>
    <row r="814" customFormat="false" ht="15" hidden="false" customHeight="false" outlineLevel="0" collapsed="false">
      <c r="A814" s="60" t="s">
        <v>1617</v>
      </c>
      <c r="B814" s="60" t="s">
        <v>766</v>
      </c>
      <c r="C814" s="60" t="s">
        <v>206</v>
      </c>
      <c r="D814" s="60" t="s">
        <v>226</v>
      </c>
      <c r="E814" s="60" t="s">
        <v>227</v>
      </c>
      <c r="F814" s="60" t="s">
        <v>260</v>
      </c>
      <c r="G814" s="61" t="n">
        <v>10.42</v>
      </c>
      <c r="H814" s="62" t="n">
        <f aca="false">MAX(0,IF(AND(Parameter!$B$21="Ja",ISNUMBER(Y814)),Y814,IF(Parameter!$B$20="Jahresanfang 2025 + Export",BS814+BR814,BR814)))</f>
        <v>8</v>
      </c>
      <c r="I814" s="62" t="n">
        <f aca="false">H814*G814</f>
        <v>83.36</v>
      </c>
      <c r="J814" s="62" t="n">
        <f aca="false">BU814*Parameter!$B$18</f>
        <v>8</v>
      </c>
      <c r="K814" s="63" t="n">
        <v>8.5</v>
      </c>
      <c r="L814" s="64" t="n">
        <v>0.941176470588235</v>
      </c>
      <c r="M814" s="62" t="n">
        <v>0</v>
      </c>
      <c r="N814" s="62" t="n">
        <v>10</v>
      </c>
      <c r="O814" s="65" t="n">
        <v>14</v>
      </c>
      <c r="P814" s="60" t="s">
        <v>468</v>
      </c>
      <c r="Q814" s="62" t="n">
        <v>15</v>
      </c>
      <c r="R814" s="65" t="n">
        <f aca="false">IF(CA814=1,0,IFERROR(VLOOKUP(BY814,'Gebinde-Kategorie'!$A$5:$N$45,13,0)+0,0))</f>
        <v>140</v>
      </c>
      <c r="S814" s="66"/>
      <c r="T814" s="67"/>
      <c r="U814" s="67"/>
      <c r="V814" s="67"/>
      <c r="W814" s="60"/>
      <c r="X814" s="62"/>
      <c r="Y814" s="62"/>
      <c r="Z814" s="60" t="n">
        <v>2</v>
      </c>
      <c r="AA814" s="60" t="n">
        <f aca="false">IF(A814="","",IF(AND(Parameter!$B$21="Ja",ISNUMBER(W814)),W814,IF(AND(Parameter!$E$27="Ja",ISNUMBER(Z814),CD814&lt;&gt;"Nein"),Z814,IF(CD814="2+3",IF(ISNUMBER(SEARCH("grosser Artikel",BV814)),2,IFERROR(VLOOKUP(BY814,Parameter!$F$35:$G$64,2,0),2)),IF(OR(CD814="Nein",CD814=""),"-",CD814)))))</f>
        <v>2</v>
      </c>
      <c r="AB814" s="67"/>
      <c r="AC814" s="68"/>
      <c r="AD814" s="62" t="n">
        <f aca="false">AW814</f>
        <v>10</v>
      </c>
      <c r="AE814" s="62" t="n">
        <f aca="false">MAX(AW814,H814)</f>
        <v>10</v>
      </c>
      <c r="AF814" s="69"/>
      <c r="AG814" s="62" t="n">
        <f aca="false">IF(LEFT(Cockpit!$C$5,1)="A",H814,IF(Parameter!$E$30="MAX-Bestand",IF(CI814=1,CJ814,IF(LEFT(Cockpit!$C$5,1)="B",AM814,MAX(AM814,H814))),ROUNDUP(AK814,0)))</f>
        <v>8</v>
      </c>
      <c r="AH814" s="62" t="n">
        <f aca="false">IF(CA814=1,0,ROUNDUP(AG814/BZ814,0))</f>
        <v>1</v>
      </c>
      <c r="AI814" s="64" t="n">
        <f aca="false">IF(CR814&gt;0,CR814*MAX(1,AG814/X814),IF(CA814=1,IF(AG814&lt;=0,0,CE814*MAX(1,IF(H814&gt;0,AG814/H814,1))),IF(R814&gt;0,AH814/R814,0))/MAX(0.1,N(Parameter!$M$21)))</f>
        <v>0.00714285714285714</v>
      </c>
      <c r="AJ814" s="62" t="n">
        <f aca="false">AI814*CC814</f>
        <v>1.10714285714286</v>
      </c>
      <c r="AK814" s="63" t="n">
        <f aca="false">IF(LEFT(Cockpit!$C$5,1)="A",H814,IF(CI814=1,(CL814+CJ814)/2,IF(LEFT(Cockpit!$C$5,1)="B",(CL814+AM814)/2,MAX((CL814+AM814)/2,H814))))</f>
        <v>8</v>
      </c>
      <c r="AL814" s="62" t="n">
        <f aca="false">AK814*G814</f>
        <v>83.36</v>
      </c>
      <c r="AM814" s="62" t="n">
        <f aca="false">ROUNDUP(CL814+MAX(CM814,2*(J814/IF(CH814&gt;0,CH814,MAX(0.1,N(Cockpit!$C$6)))-CL814)),0)</f>
        <v>10</v>
      </c>
      <c r="AN814" s="63" t="n">
        <f aca="false">IF(AJ814&gt;0,J814/AJ814,-1)</f>
        <v>7.2258064516129</v>
      </c>
      <c r="AO814" s="63" t="n">
        <f aca="false">IF(AND(OR(CG814="L1",CG814="L23",CG814="LIFT"),AJ814&gt;0),SUMIFS($AJ$7:$AJ$1843,$CG$7:$CG$1843,CG814,$AN$7:$AN$1843,"&gt;"&amp;AN814)+SUMIFS($AJ$7:$AJ$1843,$CG$7:$CG$1843,CG814,$AN$7:$AN$1843,AN814,$BX$7:$BX$1843,"&lt;="&amp;BX814),"")</f>
        <v>3157.79716117216</v>
      </c>
      <c r="AP814" s="70" t="n">
        <f aca="false">IF(AO814="",0,MAX(0,MIN(1,(IF(CG814="L1",Parameter!$H$5,IF(CG814="L23",Parameter!$H$6+Parameter!$H$7,Parameter!$H$5+Parameter!$H$6+Parameter!$H$7))-(AO814-AJ814))/AJ814)))</f>
        <v>1</v>
      </c>
      <c r="AQ814" s="62" t="n">
        <f aca="false">IF(LEFT(Cockpit!$I$5,1)="A",H814,IF(Parameter!$E$30="MAX-Bestand",IF(CI814=1,CJ814,IF(LEFT(Cockpit!$I$5,1)="B",AW814,MAX(AW814,H814))),ROUNDUP(AU814,0)))</f>
        <v>8</v>
      </c>
      <c r="AR814" s="62" t="n">
        <f aca="false">IF(CA814=1,0,ROUNDUP(AQ814/BZ814,0))</f>
        <v>1</v>
      </c>
      <c r="AS814" s="64" t="n">
        <f aca="false">IF(CR814&gt;0,CR814*MAX(1,AQ814/X814),IF(CA814=1,IF(AQ814&lt;=0,0,CE814*MAX(1,IF(H814&gt;0,AQ814/H814,1))),IF(R814&gt;0,AR814/R814,0))/MAX(0.1,N(Parameter!$M$21)))</f>
        <v>0.00714285714285714</v>
      </c>
      <c r="AT814" s="62" t="n">
        <f aca="false">AS814*CC814</f>
        <v>1.10714285714286</v>
      </c>
      <c r="AU814" s="63" t="n">
        <f aca="false">IF(LEFT(Cockpit!$I$5,1)="A",H814,IF(CI814=1,(CL814+CJ814)/2,IF(LEFT(Cockpit!$I$5,1)="B",(CL814+AW814)/2,MAX((CL814+AW814)/2,H814))))</f>
        <v>8</v>
      </c>
      <c r="AV814" s="62" t="n">
        <f aca="false">AU814*G814</f>
        <v>83.36</v>
      </c>
      <c r="AW814" s="62" t="n">
        <f aca="false">ROUNDUP(CL814+MAX(CM814,2*(J814/IF(CH814&gt;0,CH814,MAX(0.1,N(Cockpit!$I$6)))-CL814)),0)</f>
        <v>10</v>
      </c>
      <c r="AX814" s="63" t="n">
        <f aca="false">IF(AT814&gt;0,J814/AT814,-1)</f>
        <v>7.2258064516129</v>
      </c>
      <c r="AY814" s="63" t="n">
        <f aca="false">IF(AND(OR(CG814="L1",CG814="L23",CG814="LIFT"),AT814&gt;0),SUMIFS($AT$7:$AT$1843,$CG$7:$CG$1843,CG814,$AX$7:$AX$1843,"&gt;"&amp;AX814)+SUMIFS($AT$7:$AT$1843,$CG$7:$CG$1843,CG814,$AX$7:$AX$1843,AX814,$BX$7:$BX$1843,"&lt;="&amp;BX814),"")</f>
        <v>3818.10851648352</v>
      </c>
      <c r="AZ814" s="70" t="n">
        <f aca="false">IF(AY814="",0,MAX(0,MIN(1,(IF(CG814="L1",Parameter!$H$5,IF(CG814="L23",Parameter!$H$6+Parameter!$H$7,Parameter!$H$5+Parameter!$H$6+Parameter!$H$7))-(AY814-AT814))/AT814)))</f>
        <v>1</v>
      </c>
      <c r="BA814" s="62" t="n">
        <f aca="false">IF(LEFT(Cockpit!$O$5,1)="A",H814,IF(Parameter!$E$30="MAX-Bestand",IF(CI814=1,CJ814,IF(LEFT(Cockpit!$O$5,1)="B",BG814,MAX(BG814,H814))),ROUNDUP(BE814,0)))</f>
        <v>5</v>
      </c>
      <c r="BB814" s="62" t="n">
        <f aca="false">IF(CA814=1,0,ROUNDUP(BA814/BZ814,0))</f>
        <v>1</v>
      </c>
      <c r="BC814" s="64" t="n">
        <f aca="false">IF(CR814&gt;0,CR814*MAX(1,BA814/X814),IF(CA814=1,IF(BA814&lt;=0,0,CE814*MAX(1,IF(H814&gt;0,BA814/H814,1))),IF(R814&gt;0,BB814/R814,0))/MAX(0.1,N(Parameter!$M$21)))</f>
        <v>0.00714285714285714</v>
      </c>
      <c r="BD814" s="62" t="n">
        <f aca="false">BC814*CC814</f>
        <v>1.10714285714286</v>
      </c>
      <c r="BE814" s="63" t="n">
        <f aca="false">IF(LEFT(Cockpit!$O$5,1)="A",H814,IF(CI814=1,(CL814+CJ814)/2,IF(LEFT(Cockpit!$O$5,1)="B",(CL814+BG814)/2,MAX((CL814+BG814)/2,H814))))</f>
        <v>5</v>
      </c>
      <c r="BF814" s="62" t="n">
        <f aca="false">BE814*G814</f>
        <v>52.1</v>
      </c>
      <c r="BG814" s="62" t="n">
        <f aca="false">ROUNDUP(CL814+MAX(CM814,2*(J814/IF(CH814&gt;0,CH814,MAX(0.1,N(Cockpit!$O$6)))-CL814)),0)</f>
        <v>10</v>
      </c>
      <c r="BH814" s="63" t="n">
        <f aca="false">IF(BD814&gt;0,J814/BD814,-1)</f>
        <v>7.2258064516129</v>
      </c>
      <c r="BI814" s="63" t="n">
        <f aca="false">IF(AND(OR(CG814="L1",CG814="L23",CG814="LIFT"),BD814&gt;0),SUMIFS($BD$7:$BD$1843,$CG$7:$CG$1843,CG814,$BH$7:$BH$1843,"&gt;"&amp;BH814)+SUMIFS($BD$7:$BD$1843,$CG$7:$CG$1843,CG814,$BH$7:$BH$1843,BH814,$BX$7:$BX$1843,"&lt;="&amp;BX814),"")</f>
        <v>3242.56639194139</v>
      </c>
      <c r="BJ814" s="70" t="n">
        <f aca="false">IF(BI814="",0,MAX(0,MIN(1,(IF(CG814="L1",Parameter!$H$5,IF(CG814="L23",Parameter!$H$6+Parameter!$H$7,Parameter!$H$5+Parameter!$H$6+Parameter!$H$7))-(BI814-BD814))/BD814)))</f>
        <v>1</v>
      </c>
      <c r="BK814" s="60" t="str">
        <f aca="false">IF(AJ814&lt;=0,"",IF(CG814="Aussen","Aussenlager",IF(CG814="-","Nicht im Lift",IF(AP814&gt;=1,"Lift",IF(AP814&lt;=0,"Aussenlager","teilweise")))))</f>
        <v>Lift</v>
      </c>
      <c r="BL814" s="60" t="str">
        <f aca="false">IF(AT814&lt;=0,"",IF(CG814="Aussen","Aussenlager",IF(CG814="-","Nicht im Lift",IF(AZ814&gt;=1,"Lift",IF(AZ814&lt;=0,"Aussenlager","teilweise")))))</f>
        <v>Lift</v>
      </c>
      <c r="BM814" s="60" t="str">
        <f aca="false">IF(BD814&lt;=0,"",IF(CG814="Aussen","Aussenlager",IF(CG814="-","Nicht im Lift",IF(BJ814&gt;=1,"Lift",IF(BJ814&lt;=0,"Aussenlager","teilweise")))))</f>
        <v>Lift</v>
      </c>
      <c r="BN814" s="60" t="str">
        <f aca="false">IF(A814="","",IF(BW814=1,"Neu; ","")&amp;IF(AND(BW814=0,BR814&lt;0),"negativer Bestand (Export "&amp;BR814&amp;"); ","")&amp;IF(J814&lt;=0,"Kein Verbrauch; ","")&amp;IF(CR814&gt;0,"Lift "&amp;W814&amp;" lt. Liftbericht (Fach "&amp;X814&amp;" Stk); ",IF(CB814=1,"Gebinde geschätzt ("&amp;T814&amp;"); ",IF(CA814=1,"Lose – Tablare geschätzt; ","")))&amp;IF(H814&gt;AW814,"Überbestand "&amp;ROUND(H814-AW814,0)&amp;" Stk / CHF "&amp;ROUND((H814-AW814)*G814,0)&amp;"; ","")&amp;IF(AND(CI814=1,CJ814&lt;CK814),"MAX &lt; MB+LG; ","")&amp;IF(AND(CQ814&gt;0,CP814*10&gt;CQ814),"zu hoch für Tablar; ","")&amp;IF(AND(BW814=0,OR(CI814=1,AB814&lt;&gt;"",U814&lt;&gt;"",V814&lt;&gt;"",AC814&lt;&gt;"")),"manuell übersteuert; ","")&amp;IF(AND(CA814=0,R814=0),"Gebinde unbekannt / Stellmass fehlt; ","")&amp;IF(AND(CA814=0,N(V814)&lt;=0,N(Q814)&lt;=0),"Menge pro Gebinde fehlt (Ist = 1 Gebinde); ","")&amp;BV814)</f>
        <v/>
      </c>
      <c r="BO814" s="60"/>
      <c r="BP814" s="60"/>
      <c r="BQ814" s="67"/>
      <c r="BR814" s="62" t="n">
        <v>0</v>
      </c>
      <c r="BS814" s="62" t="n">
        <v>8</v>
      </c>
      <c r="BT814" s="61" t="n">
        <v>-7.36000000000002</v>
      </c>
      <c r="BU814" s="62" t="n">
        <v>8</v>
      </c>
      <c r="BV814" s="60"/>
      <c r="BW814" s="65" t="n">
        <v>0</v>
      </c>
      <c r="BX814" s="65" t="n">
        <v>814</v>
      </c>
      <c r="BY814" s="60" t="str">
        <f aca="false">IF(U814&lt;&gt;"",UPPER(TRIM(U814)),IF(CB814=1,UPPER(VLOOKUP(T814,Parameter!$I$27:$K$29,2,0)),IF(P814="","LOSE",P814)))</f>
        <v>S22</v>
      </c>
      <c r="BZ814" s="62" t="n">
        <f aca="false">IF(BY814="LOSE",1,IF(N(V814)&gt;0,V814,IF(CB814=1,MAX(1,N(VLOOKUP(T814,Parameter!$I$27:$K$29,3,0)),H814,N(N814)),IF(N(Q814)&gt;0,Q814,MAX(1,H814)))))</f>
        <v>15</v>
      </c>
      <c r="CA814" s="65" t="n">
        <f aca="false">IF(BY814="LOSE",1,0)</f>
        <v>0</v>
      </c>
      <c r="CB814" s="65" t="n">
        <f aca="false">IF(AND(U814="",OR(P814="",P814="LOSE"),T814&lt;&gt;"",N(S814)&lt;=0,ISNUMBER(MATCH(T814,Parameter!$I$27:$I$29,0))),1,0)</f>
        <v>0</v>
      </c>
      <c r="CC814" s="65" t="n">
        <f aca="false">IF(CR814&gt;0,INDEX(Parameter!$H$5:$H$7,W814)/INDEX(Parameter!$E$5:$E$7,W814),IF(AND(CA814=0,N(IFERROR(VLOOKUP(BY814,'Gebinde-Kategorie'!$A$5:$N$45,14,0),0))&gt;0),VLOOKUP(BY814,'Gebinde-Kategorie'!$A$5:$N$45,14,0)*10+Parameter!$M$23,Parameter!$M$24))</f>
        <v>155</v>
      </c>
      <c r="CD814" s="60" t="str">
        <f aca="false">IF(AND(Parameter!$B$19="Ja",E814&lt;&gt;"",ISNUMBER(MATCH(E814,Parameter!$I$35:$I$52,0))),VLOOKUP(E814,Parameter!$I$35:$J$52,2,0),IFERROR(VLOOKUP(D814,Parameter!$A$35:$C$64,2,0),"Nein"))</f>
        <v>2+3</v>
      </c>
      <c r="CE814" s="64" t="n">
        <f aca="false">IF(CA814=0,0,IF(N(S814)&gt;0,S814,IFERROR(VLOOKUP(D814,Parameter!$A$35:$C$64,3,0)+0,0)))</f>
        <v>0</v>
      </c>
      <c r="CF814" s="60" t="n">
        <f aca="false">IF(AB814&lt;&gt;"",AB814,AA814)</f>
        <v>2</v>
      </c>
      <c r="CG814" s="60" t="str">
        <f aca="false">IF(OR(CF814=1,CF814=2,CF814=3),IF(Parameter!$E$27="Ja","LIFT",IF(CF814=1,"L1","L23")),IF(CF814="Aussen","Aussen","-"))</f>
        <v>LIFT</v>
      </c>
      <c r="CH814" s="71" t="n">
        <f aca="false">IF(N(AC814)&gt;0,AC814,0)</f>
        <v>0</v>
      </c>
      <c r="CI814" s="65" t="n">
        <f aca="false">IF(ISNUMBER(AF814),1,0)</f>
        <v>0</v>
      </c>
      <c r="CJ814" s="62" t="n">
        <f aca="false">N(AF814)</f>
        <v>0</v>
      </c>
      <c r="CK814" s="62" t="n">
        <f aca="false">N(M814)+N(N814)</f>
        <v>10</v>
      </c>
      <c r="CL814" s="62" t="n">
        <f aca="false">N(M814)</f>
        <v>0</v>
      </c>
      <c r="CM814" s="62" t="n">
        <f aca="false">N(N814)</f>
        <v>10</v>
      </c>
      <c r="CN814" s="62" t="n">
        <f aca="false">ROUNDUP(H814/BZ814,0)</f>
        <v>1</v>
      </c>
      <c r="CO814" s="62" t="n">
        <f aca="false">ROUNDUP(CJ814/BZ814,0)</f>
        <v>0</v>
      </c>
      <c r="CP814" s="65" t="n">
        <f aca="false">IF(CA814=1,0,IFERROR(VLOOKUP(BY814,'Gebinde-Kategorie'!$A$5:$N$45,5,0)+0,0))</f>
        <v>8</v>
      </c>
      <c r="CQ814" s="65" t="n">
        <f aca="false">IFERROR(IF(OR(CF814=1,CF814=2,CF814=3),N(INDEX(Parameter!$I$5:$I$7,CF814)),0),0)</f>
        <v>0</v>
      </c>
      <c r="CR814" s="64" t="n">
        <f aca="false">IF(AND(Parameter!$B$21="Ja",ISNUMBER(W814),N(X814)&gt;0),IFERROR(N(INDEX(Parameter!$L$5:$L$7,W814))*INDEX(Parameter!$E$5:$E$7,W814)*X814/SUMIFS($X$7:$X$1843,$W$7:$W$1843,W814),0),0)</f>
        <v>0</v>
      </c>
      <c r="CS814" s="62" t="n">
        <f aca="false">IF(AND(OR(CG814="L1",CG814="L23",CG814="LIFT"),H814&gt;0),CC814*IF(CR814&gt;0,CR814*MAX(1,H814/X814),IF(CA814=1,CE814,IF(R814&gt;0,CN814/R814,0))/MAX(0.1,N(Parameter!$M$21))),"")</f>
        <v>1.10714285714286</v>
      </c>
      <c r="CT814" s="64" t="n">
        <f aca="false">IF(CS814="","",J814/H814)</f>
        <v>1</v>
      </c>
      <c r="CU814" s="62" t="n">
        <f aca="false">IF(CS814="","",H814*G814)</f>
        <v>83.36</v>
      </c>
      <c r="CV814" s="63" t="n">
        <f aca="false">IF(CS814="","",(CL814+ROUNDUP(CL814+MAX(CM814,2*(J814/MAX(0.1,N(Einkauf!$C$6))-CL814)),0))/2)</f>
        <v>5</v>
      </c>
      <c r="CW814" s="62" t="n">
        <f aca="false">IF(CS814="","",MAX(0,H814-CV814)*G814)</f>
        <v>31.26</v>
      </c>
      <c r="CX814" s="62" t="n">
        <f aca="false">IF(CS814="","",CS814*MAX(0,1-CV814/H814))</f>
        <v>0.415178571428571</v>
      </c>
      <c r="CY814" s="64" t="n">
        <f aca="false">IF(CS814="","",PERCENTRANK($CS$7:$CS$1843,CS814)+PERCENTRANK($CU$7:$CU$1843,CU814)+1-PERCENTRANK($CT$7:$CT$1843,CT814))</f>
        <v>0.6284</v>
      </c>
      <c r="CZ814" s="72" t="n">
        <f aca="false">IF(CS814="","",CHOOSE(MATCH(Einkauf!$C$5,Parameter!$G$23:$G$27,0),CY814,CS814,CU814,-CT814,CW814)+ROW()/1000000000)</f>
        <v>0.628400814</v>
      </c>
    </row>
    <row r="815" customFormat="false" ht="15" hidden="false" customHeight="false" outlineLevel="0" collapsed="false">
      <c r="A815" s="60" t="s">
        <v>1618</v>
      </c>
      <c r="B815" s="60" t="s">
        <v>1308</v>
      </c>
      <c r="C815" s="60" t="s">
        <v>206</v>
      </c>
      <c r="D815" s="60" t="s">
        <v>226</v>
      </c>
      <c r="E815" s="60" t="s">
        <v>227</v>
      </c>
      <c r="F815" s="60" t="s">
        <v>260</v>
      </c>
      <c r="G815" s="61" t="n">
        <v>0.04</v>
      </c>
      <c r="H815" s="62" t="n">
        <f aca="false">MAX(0,IF(AND(Parameter!$B$21="Ja",ISNUMBER(Y815)),Y815,IF(Parameter!$B$20="Jahresanfang 2025 + Export",BS815+BR815,BR815)))</f>
        <v>687</v>
      </c>
      <c r="I815" s="62" t="n">
        <f aca="false">H815*G815</f>
        <v>27.48</v>
      </c>
      <c r="J815" s="62" t="n">
        <f aca="false">BU815*Parameter!$B$18</f>
        <v>263</v>
      </c>
      <c r="K815" s="63" t="n">
        <v>852</v>
      </c>
      <c r="L815" s="64" t="n">
        <v>0.30868544600939</v>
      </c>
      <c r="M815" s="62" t="n">
        <v>15</v>
      </c>
      <c r="N815" s="62" t="n">
        <v>265</v>
      </c>
      <c r="O815" s="65" t="n">
        <v>21</v>
      </c>
      <c r="P815" s="60" t="s">
        <v>518</v>
      </c>
      <c r="Q815" s="62" t="n">
        <v>1885</v>
      </c>
      <c r="R815" s="65" t="n">
        <f aca="false">IF(CA815=1,0,IFERROR(VLOOKUP(BY815,'Gebinde-Kategorie'!$A$5:$N$45,13,0)+0,0))</f>
        <v>52</v>
      </c>
      <c r="S815" s="66"/>
      <c r="T815" s="67"/>
      <c r="U815" s="67"/>
      <c r="V815" s="67"/>
      <c r="W815" s="60"/>
      <c r="X815" s="62"/>
      <c r="Y815" s="62"/>
      <c r="Z815" s="60" t="n">
        <v>3</v>
      </c>
      <c r="AA815" s="60" t="n">
        <f aca="false">IF(A815="","",IF(AND(Parameter!$B$21="Ja",ISNUMBER(W815)),W815,IF(AND(Parameter!$E$27="Ja",ISNUMBER(Z815),CD815&lt;&gt;"Nein"),Z815,IF(CD815="2+3",IF(ISNUMBER(SEARCH("grosser Artikel",BV815)),2,IFERROR(VLOOKUP(BY815,Parameter!$F$35:$G$64,2,0),2)),IF(OR(CD815="Nein",CD815=""),"-",CD815)))))</f>
        <v>3</v>
      </c>
      <c r="AB815" s="67"/>
      <c r="AC815" s="68"/>
      <c r="AD815" s="62" t="n">
        <f aca="false">AW815</f>
        <v>280</v>
      </c>
      <c r="AE815" s="62" t="n">
        <f aca="false">MAX(AW815,H815)</f>
        <v>687</v>
      </c>
      <c r="AF815" s="69"/>
      <c r="AG815" s="62" t="n">
        <f aca="false">IF(LEFT(Cockpit!$C$5,1)="A",H815,IF(Parameter!$E$30="MAX-Bestand",IF(CI815=1,CJ815,IF(LEFT(Cockpit!$C$5,1)="B",AM815,MAX(AM815,H815))),ROUNDUP(AK815,0)))</f>
        <v>687</v>
      </c>
      <c r="AH815" s="62" t="n">
        <f aca="false">IF(CA815=1,0,ROUNDUP(AG815/BZ815,0))</f>
        <v>1</v>
      </c>
      <c r="AI815" s="64" t="n">
        <f aca="false">IF(CR815&gt;0,CR815*MAX(1,AG815/X815),IF(CA815=1,IF(AG815&lt;=0,0,CE815*MAX(1,IF(H815&gt;0,AG815/H815,1))),IF(R815&gt;0,AH815/R815,0))/MAX(0.1,N(Parameter!$M$21)))</f>
        <v>0.0192307692307692</v>
      </c>
      <c r="AJ815" s="62" t="n">
        <f aca="false">AI815*CC815</f>
        <v>2.98076923076923</v>
      </c>
      <c r="AK815" s="63" t="n">
        <f aca="false">IF(LEFT(Cockpit!$C$5,1)="A",H815,IF(CI815=1,(CL815+CJ815)/2,IF(LEFT(Cockpit!$C$5,1)="B",(CL815+AM815)/2,MAX((CL815+AM815)/2,H815))))</f>
        <v>687</v>
      </c>
      <c r="AL815" s="62" t="n">
        <f aca="false">AK815*G815</f>
        <v>27.48</v>
      </c>
      <c r="AM815" s="62" t="n">
        <f aca="false">ROUNDUP(CL815+MAX(CM815,2*(J815/IF(CH815&gt;0,CH815,MAX(0.1,N(Cockpit!$C$6)))-CL815)),0)</f>
        <v>280</v>
      </c>
      <c r="AN815" s="63" t="n">
        <f aca="false">IF(AJ815&gt;0,J815/AJ815,-1)</f>
        <v>88.2322580645161</v>
      </c>
      <c r="AO815" s="63" t="n">
        <f aca="false">IF(AND(OR(CG815="L1",CG815="L23",CG815="LIFT"),AJ815&gt;0),SUMIFS($AJ$7:$AJ$1843,$CG$7:$CG$1843,CG815,$AN$7:$AN$1843,"&gt;"&amp;AN815)+SUMIFS($AJ$7:$AJ$1843,$CG$7:$CG$1843,CG815,$AN$7:$AN$1843,AN815,$BX$7:$BX$1843,"&lt;="&amp;BX815),"")</f>
        <v>830.916208791209</v>
      </c>
      <c r="AP815" s="70" t="n">
        <f aca="false">IF(AO815="",0,MAX(0,MIN(1,(IF(CG815="L1",Parameter!$H$5,IF(CG815="L23",Parameter!$H$6+Parameter!$H$7,Parameter!$H$5+Parameter!$H$6+Parameter!$H$7))-(AO815-AJ815))/AJ815)))</f>
        <v>1</v>
      </c>
      <c r="AQ815" s="62" t="n">
        <f aca="false">IF(LEFT(Cockpit!$I$5,1)="A",H815,IF(Parameter!$E$30="MAX-Bestand",IF(CI815=1,CJ815,IF(LEFT(Cockpit!$I$5,1)="B",AW815,MAX(AW815,H815))),ROUNDUP(AU815,0)))</f>
        <v>687</v>
      </c>
      <c r="AR815" s="62" t="n">
        <f aca="false">IF(CA815=1,0,ROUNDUP(AQ815/BZ815,0))</f>
        <v>1</v>
      </c>
      <c r="AS815" s="64" t="n">
        <f aca="false">IF(CR815&gt;0,CR815*MAX(1,AQ815/X815),IF(CA815=1,IF(AQ815&lt;=0,0,CE815*MAX(1,IF(H815&gt;0,AQ815/H815,1))),IF(R815&gt;0,AR815/R815,0))/MAX(0.1,N(Parameter!$M$21)))</f>
        <v>0.0192307692307692</v>
      </c>
      <c r="AT815" s="62" t="n">
        <f aca="false">AS815*CC815</f>
        <v>2.98076923076923</v>
      </c>
      <c r="AU815" s="63" t="n">
        <f aca="false">IF(LEFT(Cockpit!$I$5,1)="A",H815,IF(CI815=1,(CL815+CJ815)/2,IF(LEFT(Cockpit!$I$5,1)="B",(CL815+AW815)/2,MAX((CL815+AW815)/2,H815))))</f>
        <v>687</v>
      </c>
      <c r="AV815" s="62" t="n">
        <f aca="false">AU815*G815</f>
        <v>27.48</v>
      </c>
      <c r="AW815" s="62" t="n">
        <f aca="false">ROUNDUP(CL815+MAX(CM815,2*(J815/IF(CH815&gt;0,CH815,MAX(0.1,N(Cockpit!$I$6)))-CL815)),0)</f>
        <v>280</v>
      </c>
      <c r="AX815" s="63" t="n">
        <f aca="false">IF(AT815&gt;0,J815/AT815,-1)</f>
        <v>88.2322580645161</v>
      </c>
      <c r="AY815" s="63" t="n">
        <f aca="false">IF(AND(OR(CG815="L1",CG815="L23",CG815="LIFT"),AT815&gt;0),SUMIFS($AT$7:$AT$1843,$CG$7:$CG$1843,CG815,$AX$7:$AX$1843,"&gt;"&amp;AX815)+SUMIFS($AT$7:$AT$1843,$CG$7:$CG$1843,CG815,$AX$7:$AX$1843,AX815,$BX$7:$BX$1843,"&lt;="&amp;BX815),"")</f>
        <v>1043.8282967033</v>
      </c>
      <c r="AZ815" s="70" t="n">
        <f aca="false">IF(AY815="",0,MAX(0,MIN(1,(IF(CG815="L1",Parameter!$H$5,IF(CG815="L23",Parameter!$H$6+Parameter!$H$7,Parameter!$H$5+Parameter!$H$6+Parameter!$H$7))-(AY815-AT815))/AT815)))</f>
        <v>1</v>
      </c>
      <c r="BA815" s="62" t="n">
        <f aca="false">IF(LEFT(Cockpit!$O$5,1)="A",H815,IF(Parameter!$E$30="MAX-Bestand",IF(CI815=1,CJ815,IF(LEFT(Cockpit!$O$5,1)="B",BG815,MAX(BG815,H815))),ROUNDUP(BE815,0)))</f>
        <v>148</v>
      </c>
      <c r="BB815" s="62" t="n">
        <f aca="false">IF(CA815=1,0,ROUNDUP(BA815/BZ815,0))</f>
        <v>1</v>
      </c>
      <c r="BC815" s="64" t="n">
        <f aca="false">IF(CR815&gt;0,CR815*MAX(1,BA815/X815),IF(CA815=1,IF(BA815&lt;=0,0,CE815*MAX(1,IF(H815&gt;0,BA815/H815,1))),IF(R815&gt;0,BB815/R815,0))/MAX(0.1,N(Parameter!$M$21)))</f>
        <v>0.0192307692307692</v>
      </c>
      <c r="BD815" s="62" t="n">
        <f aca="false">BC815*CC815</f>
        <v>2.98076923076923</v>
      </c>
      <c r="BE815" s="63" t="n">
        <f aca="false">IF(LEFT(Cockpit!$O$5,1)="A",H815,IF(CI815=1,(CL815+CJ815)/2,IF(LEFT(Cockpit!$O$5,1)="B",(CL815+BG815)/2,MAX((CL815+BG815)/2,H815))))</f>
        <v>147.5</v>
      </c>
      <c r="BF815" s="62" t="n">
        <f aca="false">BE815*G815</f>
        <v>5.9</v>
      </c>
      <c r="BG815" s="62" t="n">
        <f aca="false">ROUNDUP(CL815+MAX(CM815,2*(J815/IF(CH815&gt;0,CH815,MAX(0.1,N(Cockpit!$O$6)))-CL815)),0)</f>
        <v>280</v>
      </c>
      <c r="BH815" s="63" t="n">
        <f aca="false">IF(BD815&gt;0,J815/BD815,-1)</f>
        <v>88.2322580645161</v>
      </c>
      <c r="BI815" s="63" t="n">
        <f aca="false">IF(AND(OR(CG815="L1",CG815="L23",CG815="LIFT"),BD815&gt;0),SUMIFS($BD$7:$BD$1843,$CG$7:$CG$1843,CG815,$BH$7:$BH$1843,"&gt;"&amp;BH815)+SUMIFS($BD$7:$BD$1843,$CG$7:$CG$1843,CG815,$BH$7:$BH$1843,BH815,$BX$7:$BX$1843,"&lt;="&amp;BX815),"")</f>
        <v>979.467948717949</v>
      </c>
      <c r="BJ815" s="70" t="n">
        <f aca="false">IF(BI815="",0,MAX(0,MIN(1,(IF(CG815="L1",Parameter!$H$5,IF(CG815="L23",Parameter!$H$6+Parameter!$H$7,Parameter!$H$5+Parameter!$H$6+Parameter!$H$7))-(BI815-BD815))/BD815)))</f>
        <v>1</v>
      </c>
      <c r="BK815" s="60" t="str">
        <f aca="false">IF(AJ815&lt;=0,"",IF(CG815="Aussen","Aussenlager",IF(CG815="-","Nicht im Lift",IF(AP815&gt;=1,"Lift",IF(AP815&lt;=0,"Aussenlager","teilweise")))))</f>
        <v>Lift</v>
      </c>
      <c r="BL815" s="60" t="str">
        <f aca="false">IF(AT815&lt;=0,"",IF(CG815="Aussen","Aussenlager",IF(CG815="-","Nicht im Lift",IF(AZ815&gt;=1,"Lift",IF(AZ815&lt;=0,"Aussenlager","teilweise")))))</f>
        <v>Lift</v>
      </c>
      <c r="BM815" s="60" t="str">
        <f aca="false">IF(BD815&lt;=0,"",IF(CG815="Aussen","Aussenlager",IF(CG815="-","Nicht im Lift",IF(BJ815&gt;=1,"Lift",IF(BJ815&lt;=0,"Aussenlager","teilweise")))))</f>
        <v>Lift</v>
      </c>
      <c r="BN815" s="60" t="str">
        <f aca="false">IF(A815="","",IF(BW815=1,"Neu; ","")&amp;IF(AND(BW815=0,BR815&lt;0),"negativer Bestand (Export "&amp;BR815&amp;"); ","")&amp;IF(J815&lt;=0,"Kein Verbrauch; ","")&amp;IF(CR815&gt;0,"Lift "&amp;W815&amp;" lt. Liftbericht (Fach "&amp;X815&amp;" Stk); ",IF(CB815=1,"Gebinde geschätzt ("&amp;T815&amp;"); ",IF(CA815=1,"Lose – Tablare geschätzt; ","")))&amp;IF(H815&gt;AW815,"Überbestand "&amp;ROUND(H815-AW815,0)&amp;" Stk / CHF "&amp;ROUND((H815-AW815)*G815,0)&amp;"; ","")&amp;IF(AND(CI815=1,CJ815&lt;CK815),"MAX &lt; MB+LG; ","")&amp;IF(AND(CQ815&gt;0,CP815*10&gt;CQ815),"zu hoch für Tablar; ","")&amp;IF(AND(BW815=0,OR(CI815=1,AB815&lt;&gt;"",U815&lt;&gt;"",V815&lt;&gt;"",AC815&lt;&gt;"")),"manuell übersteuert; ","")&amp;IF(AND(CA815=0,R815=0),"Gebinde unbekannt / Stellmass fehlt; ","")&amp;IF(AND(CA815=0,N(V815)&lt;=0,N(Q815)&lt;=0),"Menge pro Gebinde fehlt (Ist = 1 Gebinde); ","")&amp;BV815)</f>
        <v>negativer Bestand (Export -190); Überbestand 407 Stk / CHF 16; Überbestand</v>
      </c>
      <c r="BO815" s="60"/>
      <c r="BP815" s="60"/>
      <c r="BQ815" s="67"/>
      <c r="BR815" s="62" t="n">
        <v>-190</v>
      </c>
      <c r="BS815" s="62" t="n">
        <v>877</v>
      </c>
      <c r="BT815" s="61" t="n">
        <v>-7.6</v>
      </c>
      <c r="BU815" s="62" t="n">
        <v>263</v>
      </c>
      <c r="BV815" s="60" t="s">
        <v>434</v>
      </c>
      <c r="BW815" s="65" t="n">
        <v>0</v>
      </c>
      <c r="BX815" s="65" t="n">
        <v>815</v>
      </c>
      <c r="BY815" s="60" t="str">
        <f aca="false">IF(U815&lt;&gt;"",UPPER(TRIM(U815)),IF(CB815=1,UPPER(VLOOKUP(T815,Parameter!$I$27:$K$29,2,0)),IF(P815="","LOSE",P815)))</f>
        <v>S33</v>
      </c>
      <c r="BZ815" s="62" t="n">
        <f aca="false">IF(BY815="LOSE",1,IF(N(V815)&gt;0,V815,IF(CB815=1,MAX(1,N(VLOOKUP(T815,Parameter!$I$27:$K$29,3,0)),H815,N(N815)),IF(N(Q815)&gt;0,Q815,MAX(1,H815)))))</f>
        <v>1885</v>
      </c>
      <c r="CA815" s="65" t="n">
        <f aca="false">IF(BY815="LOSE",1,0)</f>
        <v>0</v>
      </c>
      <c r="CB815" s="65" t="n">
        <f aca="false">IF(AND(U815="",OR(P815="",P815="LOSE"),T815&lt;&gt;"",N(S815)&lt;=0,ISNUMBER(MATCH(T815,Parameter!$I$27:$I$29,0))),1,0)</f>
        <v>0</v>
      </c>
      <c r="CC815" s="65" t="n">
        <f aca="false">IF(CR815&gt;0,INDEX(Parameter!$H$5:$H$7,W815)/INDEX(Parameter!$E$5:$E$7,W815),IF(AND(CA815=0,N(IFERROR(VLOOKUP(BY815,'Gebinde-Kategorie'!$A$5:$N$45,14,0),0))&gt;0),VLOOKUP(BY815,'Gebinde-Kategorie'!$A$5:$N$45,14,0)*10+Parameter!$M$23,Parameter!$M$24))</f>
        <v>155</v>
      </c>
      <c r="CD815" s="60" t="str">
        <f aca="false">IF(AND(Parameter!$B$19="Ja",E815&lt;&gt;"",ISNUMBER(MATCH(E815,Parameter!$I$35:$I$52,0))),VLOOKUP(E815,Parameter!$I$35:$J$52,2,0),IFERROR(VLOOKUP(D815,Parameter!$A$35:$C$64,2,0),"Nein"))</f>
        <v>2+3</v>
      </c>
      <c r="CE815" s="64" t="n">
        <f aca="false">IF(CA815=0,0,IF(N(S815)&gt;0,S815,IFERROR(VLOOKUP(D815,Parameter!$A$35:$C$64,3,0)+0,0)))</f>
        <v>0</v>
      </c>
      <c r="CF815" s="60" t="n">
        <f aca="false">IF(AB815&lt;&gt;"",AB815,AA815)</f>
        <v>3</v>
      </c>
      <c r="CG815" s="60" t="str">
        <f aca="false">IF(OR(CF815=1,CF815=2,CF815=3),IF(Parameter!$E$27="Ja","LIFT",IF(CF815=1,"L1","L23")),IF(CF815="Aussen","Aussen","-"))</f>
        <v>LIFT</v>
      </c>
      <c r="CH815" s="71" t="n">
        <f aca="false">IF(N(AC815)&gt;0,AC815,0)</f>
        <v>0</v>
      </c>
      <c r="CI815" s="65" t="n">
        <f aca="false">IF(ISNUMBER(AF815),1,0)</f>
        <v>0</v>
      </c>
      <c r="CJ815" s="62" t="n">
        <f aca="false">N(AF815)</f>
        <v>0</v>
      </c>
      <c r="CK815" s="62" t="n">
        <f aca="false">N(M815)+N(N815)</f>
        <v>280</v>
      </c>
      <c r="CL815" s="62" t="n">
        <f aca="false">N(M815)</f>
        <v>15</v>
      </c>
      <c r="CM815" s="62" t="n">
        <f aca="false">N(N815)</f>
        <v>265</v>
      </c>
      <c r="CN815" s="62" t="n">
        <f aca="false">ROUNDUP(H815/BZ815,0)</f>
        <v>1</v>
      </c>
      <c r="CO815" s="62" t="n">
        <f aca="false">ROUNDUP(CJ815/BZ815,0)</f>
        <v>0</v>
      </c>
      <c r="CP815" s="65" t="n">
        <f aca="false">IF(CA815=1,0,IFERROR(VLOOKUP(BY815,'Gebinde-Kategorie'!$A$5:$N$45,5,0)+0,0))</f>
        <v>8</v>
      </c>
      <c r="CQ815" s="65" t="n">
        <f aca="false">IFERROR(IF(OR(CF815=1,CF815=2,CF815=3),N(INDEX(Parameter!$I$5:$I$7,CF815)),0),0)</f>
        <v>0</v>
      </c>
      <c r="CR815" s="64" t="n">
        <f aca="false">IF(AND(Parameter!$B$21="Ja",ISNUMBER(W815),N(X815)&gt;0),IFERROR(N(INDEX(Parameter!$L$5:$L$7,W815))*INDEX(Parameter!$E$5:$E$7,W815)*X815/SUMIFS($X$7:$X$1843,$W$7:$W$1843,W815),0),0)</f>
        <v>0</v>
      </c>
      <c r="CS815" s="62" t="n">
        <f aca="false">IF(AND(OR(CG815="L1",CG815="L23",CG815="LIFT"),H815&gt;0),CC815*IF(CR815&gt;0,CR815*MAX(1,H815/X815),IF(CA815=1,CE815,IF(R815&gt;0,CN815/R815,0))/MAX(0.1,N(Parameter!$M$21))),"")</f>
        <v>2.98076923076923</v>
      </c>
      <c r="CT815" s="64" t="n">
        <f aca="false">IF(CS815="","",J815/H815)</f>
        <v>0.382823871906841</v>
      </c>
      <c r="CU815" s="62" t="n">
        <f aca="false">IF(CS815="","",H815*G815)</f>
        <v>27.48</v>
      </c>
      <c r="CV815" s="63" t="n">
        <f aca="false">IF(CS815="","",(CL815+ROUNDUP(CL815+MAX(CM815,2*(J815/MAX(0.1,N(Einkauf!$C$6))-CL815)),0))/2)</f>
        <v>147.5</v>
      </c>
      <c r="CW815" s="62" t="n">
        <f aca="false">IF(CS815="","",MAX(0,H815-CV815)*G815)</f>
        <v>21.58</v>
      </c>
      <c r="CX815" s="62" t="n">
        <f aca="false">IF(CS815="","",CS815*MAX(0,1-CV815/H815))</f>
        <v>2.34079330422125</v>
      </c>
      <c r="CY815" s="64" t="n">
        <f aca="false">IF(CS815="","",PERCENTRANK($CS$7:$CS$1843,CS815)+PERCENTRANK($CU$7:$CU$1843,CU815)+1-PERCENTRANK($CT$7:$CT$1843,CT815))</f>
        <v>0.794</v>
      </c>
      <c r="CZ815" s="72" t="n">
        <f aca="false">IF(CS815="","",CHOOSE(MATCH(Einkauf!$C$5,Parameter!$G$23:$G$27,0),CY815,CS815,CU815,-CT815,CW815)+ROW()/1000000000)</f>
        <v>0.794000815</v>
      </c>
    </row>
    <row r="816" customFormat="false" ht="15" hidden="false" customHeight="false" outlineLevel="0" collapsed="false">
      <c r="A816" s="60" t="s">
        <v>1619</v>
      </c>
      <c r="B816" s="60" t="s">
        <v>1620</v>
      </c>
      <c r="C816" s="60" t="s">
        <v>206</v>
      </c>
      <c r="D816" s="60" t="s">
        <v>226</v>
      </c>
      <c r="E816" s="60" t="s">
        <v>227</v>
      </c>
      <c r="F816" s="60" t="s">
        <v>260</v>
      </c>
      <c r="G816" s="61" t="n">
        <v>8.05</v>
      </c>
      <c r="H816" s="62" t="n">
        <f aca="false">MAX(0,IF(AND(Parameter!$B$21="Ja",ISNUMBER(Y816)),Y816,IF(Parameter!$B$20="Jahresanfang 2025 + Export",BS816+BR816,BR816)))</f>
        <v>45</v>
      </c>
      <c r="I816" s="62" t="n">
        <f aca="false">H816*G816</f>
        <v>362.25</v>
      </c>
      <c r="J816" s="62" t="n">
        <f aca="false">BU816*Parameter!$B$18</f>
        <v>0</v>
      </c>
      <c r="K816" s="63" t="n">
        <v>46</v>
      </c>
      <c r="L816" s="64" t="n">
        <v>0</v>
      </c>
      <c r="M816" s="62" t="n">
        <v>0</v>
      </c>
      <c r="N816" s="62" t="n">
        <v>1</v>
      </c>
      <c r="O816" s="65" t="n">
        <v>35</v>
      </c>
      <c r="P816" s="60" t="s">
        <v>275</v>
      </c>
      <c r="Q816" s="62" t="n">
        <v>46</v>
      </c>
      <c r="R816" s="65" t="n">
        <f aca="false">IF(CA816=1,0,IFERROR(VLOOKUP(BY816,'Gebinde-Kategorie'!$A$5:$N$45,13,0)+0,0))</f>
        <v>26</v>
      </c>
      <c r="S816" s="66"/>
      <c r="T816" s="67"/>
      <c r="U816" s="67"/>
      <c r="V816" s="67"/>
      <c r="W816" s="60"/>
      <c r="X816" s="62"/>
      <c r="Y816" s="62"/>
      <c r="Z816" s="60" t="n">
        <v>3</v>
      </c>
      <c r="AA816" s="60" t="n">
        <f aca="false">IF(A816="","",IF(AND(Parameter!$B$21="Ja",ISNUMBER(W816)),W816,IF(AND(Parameter!$E$27="Ja",ISNUMBER(Z816),CD816&lt;&gt;"Nein"),Z816,IF(CD816="2+3",IF(ISNUMBER(SEARCH("grosser Artikel",BV816)),2,IFERROR(VLOOKUP(BY816,Parameter!$F$35:$G$64,2,0),2)),IF(OR(CD816="Nein",CD816=""),"-",CD816)))))</f>
        <v>3</v>
      </c>
      <c r="AB816" s="67"/>
      <c r="AC816" s="68"/>
      <c r="AD816" s="62" t="n">
        <f aca="false">AW816</f>
        <v>1</v>
      </c>
      <c r="AE816" s="62" t="n">
        <f aca="false">MAX(AW816,H816)</f>
        <v>45</v>
      </c>
      <c r="AF816" s="69"/>
      <c r="AG816" s="62" t="n">
        <f aca="false">IF(LEFT(Cockpit!$C$5,1)="A",H816,IF(Parameter!$E$30="MAX-Bestand",IF(CI816=1,CJ816,IF(LEFT(Cockpit!$C$5,1)="B",AM816,MAX(AM816,H816))),ROUNDUP(AK816,0)))</f>
        <v>45</v>
      </c>
      <c r="AH816" s="62" t="n">
        <f aca="false">IF(CA816=1,0,ROUNDUP(AG816/BZ816,0))</f>
        <v>1</v>
      </c>
      <c r="AI816" s="64" t="n">
        <f aca="false">IF(CR816&gt;0,CR816*MAX(1,AG816/X816),IF(CA816=1,IF(AG816&lt;=0,0,CE816*MAX(1,IF(H816&gt;0,AG816/H816,1))),IF(R816&gt;0,AH816/R816,0))/MAX(0.1,N(Parameter!$M$21)))</f>
        <v>0.0384615384615385</v>
      </c>
      <c r="AJ816" s="62" t="n">
        <f aca="false">AI816*CC816</f>
        <v>9.42307692307692</v>
      </c>
      <c r="AK816" s="63" t="n">
        <f aca="false">IF(LEFT(Cockpit!$C$5,1)="A",H816,IF(CI816=1,(CL816+CJ816)/2,IF(LEFT(Cockpit!$C$5,1)="B",(CL816+AM816)/2,MAX((CL816+AM816)/2,H816))))</f>
        <v>45</v>
      </c>
      <c r="AL816" s="62" t="n">
        <f aca="false">AK816*G816</f>
        <v>362.25</v>
      </c>
      <c r="AM816" s="62" t="n">
        <f aca="false">ROUNDUP(CL816+MAX(CM816,2*(J816/IF(CH816&gt;0,CH816,MAX(0.1,N(Cockpit!$C$6)))-CL816)),0)</f>
        <v>1</v>
      </c>
      <c r="AN816" s="63" t="n">
        <f aca="false">IF(AJ816&gt;0,J816/AJ816,-1)</f>
        <v>0</v>
      </c>
      <c r="AO816" s="63" t="n">
        <f aca="false">IF(AND(OR(CG816="L1",CG816="L23",CG816="LIFT"),AJ816&gt;0),SUMIFS($AJ$7:$AJ$1843,$CG$7:$CG$1843,CG816,$AN$7:$AN$1843,"&gt;"&amp;AN816)+SUMIFS($AJ$7:$AJ$1843,$CG$7:$CG$1843,CG816,$AN$7:$AN$1843,AN816,$BX$7:$BX$1843,"&lt;="&amp;BX816),"")</f>
        <v>28782.5880802343</v>
      </c>
      <c r="AP816" s="70" t="n">
        <f aca="false">IF(AO816="",0,MAX(0,MIN(1,(IF(CG816="L1",Parameter!$H$5,IF(CG816="L23",Parameter!$H$6+Parameter!$H$7,Parameter!$H$5+Parameter!$H$6+Parameter!$H$7))-(AO816-AJ816))/AJ816)))</f>
        <v>1</v>
      </c>
      <c r="AQ816" s="62" t="n">
        <f aca="false">IF(LEFT(Cockpit!$I$5,1)="A",H816,IF(Parameter!$E$30="MAX-Bestand",IF(CI816=1,CJ816,IF(LEFT(Cockpit!$I$5,1)="B",AW816,MAX(AW816,H816))),ROUNDUP(AU816,0)))</f>
        <v>45</v>
      </c>
      <c r="AR816" s="62" t="n">
        <f aca="false">IF(CA816=1,0,ROUNDUP(AQ816/BZ816,0))</f>
        <v>1</v>
      </c>
      <c r="AS816" s="64" t="n">
        <f aca="false">IF(CR816&gt;0,CR816*MAX(1,AQ816/X816),IF(CA816=1,IF(AQ816&lt;=0,0,CE816*MAX(1,IF(H816&gt;0,AQ816/H816,1))),IF(R816&gt;0,AR816/R816,0))/MAX(0.1,N(Parameter!$M$21)))</f>
        <v>0.0384615384615385</v>
      </c>
      <c r="AT816" s="62" t="n">
        <f aca="false">AS816*CC816</f>
        <v>9.42307692307692</v>
      </c>
      <c r="AU816" s="63" t="n">
        <f aca="false">IF(LEFT(Cockpit!$I$5,1)="A",H816,IF(CI816=1,(CL816+CJ816)/2,IF(LEFT(Cockpit!$I$5,1)="B",(CL816+AW816)/2,MAX((CL816+AW816)/2,H816))))</f>
        <v>45</v>
      </c>
      <c r="AV816" s="62" t="n">
        <f aca="false">AU816*G816</f>
        <v>362.25</v>
      </c>
      <c r="AW816" s="62" t="n">
        <f aca="false">ROUNDUP(CL816+MAX(CM816,2*(J816/IF(CH816&gt;0,CH816,MAX(0.1,N(Cockpit!$I$6)))-CL816)),0)</f>
        <v>1</v>
      </c>
      <c r="AX816" s="63" t="n">
        <f aca="false">IF(AT816&gt;0,J816/AT816,-1)</f>
        <v>0</v>
      </c>
      <c r="AY816" s="63" t="n">
        <f aca="false">IF(AND(OR(CG816="L1",CG816="L23",CG816="LIFT"),AT816&gt;0),SUMIFS($AT$7:$AT$1843,$CG$7:$CG$1843,CG816,$AX$7:$AX$1843,"&gt;"&amp;AX816)+SUMIFS($AT$7:$AT$1843,$CG$7:$CG$1843,CG816,$AX$7:$AX$1843,AX816,$BX$7:$BX$1843,"&lt;="&amp;BX816),"")</f>
        <v>34393.8864468865</v>
      </c>
      <c r="AZ816" s="70" t="n">
        <f aca="false">IF(AY816="",0,MAX(0,MIN(1,(IF(CG816="L1",Parameter!$H$5,IF(CG816="L23",Parameter!$H$6+Parameter!$H$7,Parameter!$H$5+Parameter!$H$6+Parameter!$H$7))-(AY816-AT816))/AT816)))</f>
        <v>1</v>
      </c>
      <c r="BA816" s="62" t="n">
        <f aca="false">IF(LEFT(Cockpit!$O$5,1)="A",H816,IF(Parameter!$E$30="MAX-Bestand",IF(CI816=1,CJ816,IF(LEFT(Cockpit!$O$5,1)="B",BG816,MAX(BG816,H816))),ROUNDUP(BE816,0)))</f>
        <v>1</v>
      </c>
      <c r="BB816" s="62" t="n">
        <f aca="false">IF(CA816=1,0,ROUNDUP(BA816/BZ816,0))</f>
        <v>1</v>
      </c>
      <c r="BC816" s="64" t="n">
        <f aca="false">IF(CR816&gt;0,CR816*MAX(1,BA816/X816),IF(CA816=1,IF(BA816&lt;=0,0,CE816*MAX(1,IF(H816&gt;0,BA816/H816,1))),IF(R816&gt;0,BB816/R816,0))/MAX(0.1,N(Parameter!$M$21)))</f>
        <v>0.0384615384615385</v>
      </c>
      <c r="BD816" s="62" t="n">
        <f aca="false">BC816*CC816</f>
        <v>9.42307692307692</v>
      </c>
      <c r="BE816" s="63" t="n">
        <f aca="false">IF(LEFT(Cockpit!$O$5,1)="A",H816,IF(CI816=1,(CL816+CJ816)/2,IF(LEFT(Cockpit!$O$5,1)="B",(CL816+BG816)/2,MAX((CL816+BG816)/2,H816))))</f>
        <v>0.5</v>
      </c>
      <c r="BF816" s="62" t="n">
        <f aca="false">BE816*G816</f>
        <v>4.025</v>
      </c>
      <c r="BG816" s="62" t="n">
        <f aca="false">ROUNDUP(CL816+MAX(CM816,2*(J816/IF(CH816&gt;0,CH816,MAX(0.1,N(Cockpit!$O$6)))-CL816)),0)</f>
        <v>1</v>
      </c>
      <c r="BH816" s="63" t="n">
        <f aca="false">IF(BD816&gt;0,J816/BD816,-1)</f>
        <v>0</v>
      </c>
      <c r="BI816" s="63" t="n">
        <f aca="false">IF(AND(OR(CG816="L1",CG816="L23",CG816="LIFT"),BD816&gt;0),SUMIFS($BD$7:$BD$1843,$CG$7:$CG$1843,CG816,$BH$7:$BH$1843,"&gt;"&amp;BH816)+SUMIFS($BD$7:$BD$1843,$CG$7:$CG$1843,CG816,$BH$7:$BH$1843,BH816,$BX$7:$BX$1843,"&lt;="&amp;BX816),"")</f>
        <v>28433.6683817595</v>
      </c>
      <c r="BJ816" s="70" t="n">
        <f aca="false">IF(BI816="",0,MAX(0,MIN(1,(IF(CG816="L1",Parameter!$H$5,IF(CG816="L23",Parameter!$H$6+Parameter!$H$7,Parameter!$H$5+Parameter!$H$6+Parameter!$H$7))-(BI816-BD816))/BD816)))</f>
        <v>1</v>
      </c>
      <c r="BK816" s="60" t="str">
        <f aca="false">IF(AJ816&lt;=0,"",IF(CG816="Aussen","Aussenlager",IF(CG816="-","Nicht im Lift",IF(AP816&gt;=1,"Lift",IF(AP816&lt;=0,"Aussenlager","teilweise")))))</f>
        <v>Lift</v>
      </c>
      <c r="BL816" s="60" t="str">
        <f aca="false">IF(AT816&lt;=0,"",IF(CG816="Aussen","Aussenlager",IF(CG816="-","Nicht im Lift",IF(AZ816&gt;=1,"Lift",IF(AZ816&lt;=0,"Aussenlager","teilweise")))))</f>
        <v>Lift</v>
      </c>
      <c r="BM816" s="60" t="str">
        <f aca="false">IF(BD816&lt;=0,"",IF(CG816="Aussen","Aussenlager",IF(CG816="-","Nicht im Lift",IF(BJ816&gt;=1,"Lift",IF(BJ816&lt;=0,"Aussenlager","teilweise")))))</f>
        <v>Lift</v>
      </c>
      <c r="BN816" s="60" t="str">
        <f aca="false">IF(A816="","",IF(BW816=1,"Neu; ","")&amp;IF(AND(BW816=0,BR816&lt;0),"negativer Bestand (Export "&amp;BR816&amp;"); ","")&amp;IF(J816&lt;=0,"Kein Verbrauch; ","")&amp;IF(CR816&gt;0,"Lift "&amp;W816&amp;" lt. Liftbericht (Fach "&amp;X816&amp;" Stk); ",IF(CB816=1,"Gebinde geschätzt ("&amp;T816&amp;"); ",IF(CA816=1,"Lose – Tablare geschätzt; ","")))&amp;IF(H816&gt;AW816,"Überbestand "&amp;ROUND(H816-AW816,0)&amp;" Stk / CHF "&amp;ROUND((H816-AW816)*G816,0)&amp;"; ","")&amp;IF(AND(CI816=1,CJ816&lt;CK816),"MAX &lt; MB+LG; ","")&amp;IF(AND(CQ816&gt;0,CP816*10&gt;CQ816),"zu hoch für Tablar; ","")&amp;IF(AND(BW816=0,OR(CI816=1,AB816&lt;&gt;"",U816&lt;&gt;"",V816&lt;&gt;"",AC816&lt;&gt;"")),"manuell übersteuert; ","")&amp;IF(AND(CA816=0,R816=0),"Gebinde unbekannt / Stellmass fehlt; ","")&amp;IF(AND(CA816=0,N(V816)&lt;=0,N(Q816)&lt;=0),"Menge pro Gebinde fehlt (Ist = 1 Gebinde); ","")&amp;BV816)</f>
        <v>negativer Bestand (Export -1); Kein Verbrauch; Überbestand 44 Stk / CHF 354; </v>
      </c>
      <c r="BO816" s="60"/>
      <c r="BP816" s="60"/>
      <c r="BQ816" s="67"/>
      <c r="BR816" s="62" t="n">
        <v>-1</v>
      </c>
      <c r="BS816" s="62" t="n">
        <v>46</v>
      </c>
      <c r="BT816" s="61" t="n">
        <v>-8.05</v>
      </c>
      <c r="BU816" s="62" t="n">
        <v>0</v>
      </c>
      <c r="BV816" s="60"/>
      <c r="BW816" s="65" t="n">
        <v>0</v>
      </c>
      <c r="BX816" s="65" t="n">
        <v>816</v>
      </c>
      <c r="BY816" s="60" t="str">
        <f aca="false">IF(U816&lt;&gt;"",UPPER(TRIM(U816)),IF(CB816=1,UPPER(VLOOKUP(T816,Parameter!$I$27:$K$29,2,0)),IF(P816="","LOSE",P816)))</f>
        <v>S52</v>
      </c>
      <c r="BZ816" s="62" t="n">
        <f aca="false">IF(BY816="LOSE",1,IF(N(V816)&gt;0,V816,IF(CB816=1,MAX(1,N(VLOOKUP(T816,Parameter!$I$27:$K$29,3,0)),H816,N(N816)),IF(N(Q816)&gt;0,Q816,MAX(1,H816)))))</f>
        <v>46</v>
      </c>
      <c r="CA816" s="65" t="n">
        <f aca="false">IF(BY816="LOSE",1,0)</f>
        <v>0</v>
      </c>
      <c r="CB816" s="65" t="n">
        <f aca="false">IF(AND(U816="",OR(P816="",P816="LOSE"),T816&lt;&gt;"",N(S816)&lt;=0,ISNUMBER(MATCH(T816,Parameter!$I$27:$I$29,0))),1,0)</f>
        <v>0</v>
      </c>
      <c r="CC816" s="65" t="n">
        <f aca="false">IF(CR816&gt;0,INDEX(Parameter!$H$5:$H$7,W816)/INDEX(Parameter!$E$5:$E$7,W816),IF(AND(CA816=0,N(IFERROR(VLOOKUP(BY816,'Gebinde-Kategorie'!$A$5:$N$45,14,0),0))&gt;0),VLOOKUP(BY816,'Gebinde-Kategorie'!$A$5:$N$45,14,0)*10+Parameter!$M$23,Parameter!$M$24))</f>
        <v>245</v>
      </c>
      <c r="CD816" s="60" t="str">
        <f aca="false">IF(AND(Parameter!$B$19="Ja",E816&lt;&gt;"",ISNUMBER(MATCH(E816,Parameter!$I$35:$I$52,0))),VLOOKUP(E816,Parameter!$I$35:$J$52,2,0),IFERROR(VLOOKUP(D816,Parameter!$A$35:$C$64,2,0),"Nein"))</f>
        <v>2+3</v>
      </c>
      <c r="CE816" s="64" t="n">
        <f aca="false">IF(CA816=0,0,IF(N(S816)&gt;0,S816,IFERROR(VLOOKUP(D816,Parameter!$A$35:$C$64,3,0)+0,0)))</f>
        <v>0</v>
      </c>
      <c r="CF816" s="60" t="n">
        <f aca="false">IF(AB816&lt;&gt;"",AB816,AA816)</f>
        <v>3</v>
      </c>
      <c r="CG816" s="60" t="str">
        <f aca="false">IF(OR(CF816=1,CF816=2,CF816=3),IF(Parameter!$E$27="Ja","LIFT",IF(CF816=1,"L1","L23")),IF(CF816="Aussen","Aussen","-"))</f>
        <v>LIFT</v>
      </c>
      <c r="CH816" s="71" t="n">
        <f aca="false">IF(N(AC816)&gt;0,AC816,0)</f>
        <v>0</v>
      </c>
      <c r="CI816" s="65" t="n">
        <f aca="false">IF(ISNUMBER(AF816),1,0)</f>
        <v>0</v>
      </c>
      <c r="CJ816" s="62" t="n">
        <f aca="false">N(AF816)</f>
        <v>0</v>
      </c>
      <c r="CK816" s="62" t="n">
        <f aca="false">N(M816)+N(N816)</f>
        <v>1</v>
      </c>
      <c r="CL816" s="62" t="n">
        <f aca="false">N(M816)</f>
        <v>0</v>
      </c>
      <c r="CM816" s="62" t="n">
        <f aca="false">N(N816)</f>
        <v>1</v>
      </c>
      <c r="CN816" s="62" t="n">
        <f aca="false">ROUNDUP(H816/BZ816,0)</f>
        <v>1</v>
      </c>
      <c r="CO816" s="62" t="n">
        <f aca="false">ROUNDUP(CJ816/BZ816,0)</f>
        <v>0</v>
      </c>
      <c r="CP816" s="65" t="n">
        <f aca="false">IF(CA816=1,0,IFERROR(VLOOKUP(BY816,'Gebinde-Kategorie'!$A$5:$N$45,5,0)+0,0))</f>
        <v>21</v>
      </c>
      <c r="CQ816" s="65" t="n">
        <f aca="false">IFERROR(IF(OR(CF816=1,CF816=2,CF816=3),N(INDEX(Parameter!$I$5:$I$7,CF816)),0),0)</f>
        <v>0</v>
      </c>
      <c r="CR816" s="64" t="n">
        <f aca="false">IF(AND(Parameter!$B$21="Ja",ISNUMBER(W816),N(X816)&gt;0),IFERROR(N(INDEX(Parameter!$L$5:$L$7,W816))*INDEX(Parameter!$E$5:$E$7,W816)*X816/SUMIFS($X$7:$X$1843,$W$7:$W$1843,W816),0),0)</f>
        <v>0</v>
      </c>
      <c r="CS816" s="62" t="n">
        <f aca="false">IF(AND(OR(CG816="L1",CG816="L23",CG816="LIFT"),H816&gt;0),CC816*IF(CR816&gt;0,CR816*MAX(1,H816/X816),IF(CA816=1,CE816,IF(R816&gt;0,CN816/R816,0))/MAX(0.1,N(Parameter!$M$21))),"")</f>
        <v>9.42307692307692</v>
      </c>
      <c r="CT816" s="64" t="n">
        <f aca="false">IF(CS816="","",J816/H816)</f>
        <v>0</v>
      </c>
      <c r="CU816" s="62" t="n">
        <f aca="false">IF(CS816="","",H816*G816)</f>
        <v>362.25</v>
      </c>
      <c r="CV816" s="63" t="n">
        <f aca="false">IF(CS816="","",(CL816+ROUNDUP(CL816+MAX(CM816,2*(J816/MAX(0.1,N(Einkauf!$C$6))-CL816)),0))/2)</f>
        <v>0.5</v>
      </c>
      <c r="CW816" s="62" t="n">
        <f aca="false">IF(CS816="","",MAX(0,H816-CV816)*G816)</f>
        <v>358.225</v>
      </c>
      <c r="CX816" s="62" t="n">
        <f aca="false">IF(CS816="","",CS816*MAX(0,1-CV816/H816))</f>
        <v>9.31837606837607</v>
      </c>
      <c r="CY816" s="64" t="n">
        <f aca="false">IF(CS816="","",PERCENTRANK($CS$7:$CS$1843,CS816)+PERCENTRANK($CU$7:$CU$1843,CU816)+1-PERCENTRANK($CT$7:$CT$1843,CT816))</f>
        <v>2.039</v>
      </c>
      <c r="CZ816" s="72" t="n">
        <f aca="false">IF(CS816="","",CHOOSE(MATCH(Einkauf!$C$5,Parameter!$G$23:$G$27,0),CY816,CS816,CU816,-CT816,CW816)+ROW()/1000000000)</f>
        <v>2.039000816</v>
      </c>
    </row>
    <row r="817" customFormat="false" ht="15" hidden="false" customHeight="false" outlineLevel="0" collapsed="false">
      <c r="A817" s="60" t="s">
        <v>1621</v>
      </c>
      <c r="B817" s="60" t="s">
        <v>1078</v>
      </c>
      <c r="C817" s="60" t="s">
        <v>206</v>
      </c>
      <c r="D817" s="60" t="s">
        <v>226</v>
      </c>
      <c r="E817" s="60" t="s">
        <v>227</v>
      </c>
      <c r="F817" s="60" t="s">
        <v>260</v>
      </c>
      <c r="G817" s="61" t="n">
        <v>0.04</v>
      </c>
      <c r="H817" s="62" t="n">
        <f aca="false">MAX(0,IF(AND(Parameter!$B$21="Ja",ISNUMBER(Y817)),Y817,IF(Parameter!$B$20="Jahresanfang 2025 + Export",BS817+BR817,BR817)))</f>
        <v>200</v>
      </c>
      <c r="I817" s="62" t="n">
        <f aca="false">H817*G817</f>
        <v>8</v>
      </c>
      <c r="J817" s="62" t="n">
        <f aca="false">BU817*Parameter!$B$18</f>
        <v>200</v>
      </c>
      <c r="K817" s="63" t="n">
        <v>421</v>
      </c>
      <c r="L817" s="64" t="n">
        <v>0.475059382422803</v>
      </c>
      <c r="M817" s="62" t="n">
        <v>7</v>
      </c>
      <c r="N817" s="62" t="n">
        <v>200</v>
      </c>
      <c r="O817" s="65" t="n">
        <v>14</v>
      </c>
      <c r="P817" s="60" t="s">
        <v>228</v>
      </c>
      <c r="Q817" s="62" t="n">
        <v>2000</v>
      </c>
      <c r="R817" s="65" t="n">
        <f aca="false">IF(CA817=1,0,IFERROR(VLOOKUP(BY817,'Gebinde-Kategorie'!$A$5:$N$45,13,0)+0,0))</f>
        <v>12</v>
      </c>
      <c r="S817" s="66"/>
      <c r="T817" s="67"/>
      <c r="U817" s="67"/>
      <c r="V817" s="67"/>
      <c r="W817" s="60"/>
      <c r="X817" s="62"/>
      <c r="Y817" s="62"/>
      <c r="Z817" s="60" t="n">
        <v>3</v>
      </c>
      <c r="AA817" s="60" t="n">
        <f aca="false">IF(A817="","",IF(AND(Parameter!$B$21="Ja",ISNUMBER(W817)),W817,IF(AND(Parameter!$E$27="Ja",ISNUMBER(Z817),CD817&lt;&gt;"Nein"),Z817,IF(CD817="2+3",IF(ISNUMBER(SEARCH("grosser Artikel",BV817)),2,IFERROR(VLOOKUP(BY817,Parameter!$F$35:$G$64,2,0),2)),IF(OR(CD817="Nein",CD817=""),"-",CD817)))))</f>
        <v>3</v>
      </c>
      <c r="AB817" s="67"/>
      <c r="AC817" s="68"/>
      <c r="AD817" s="62" t="n">
        <f aca="false">AW817</f>
        <v>207</v>
      </c>
      <c r="AE817" s="62" t="n">
        <f aca="false">MAX(AW817,H817)</f>
        <v>207</v>
      </c>
      <c r="AF817" s="69"/>
      <c r="AG817" s="62" t="n">
        <f aca="false">IF(LEFT(Cockpit!$C$5,1)="A",H817,IF(Parameter!$E$30="MAX-Bestand",IF(CI817=1,CJ817,IF(LEFT(Cockpit!$C$5,1)="B",AM817,MAX(AM817,H817))),ROUNDUP(AK817,0)))</f>
        <v>200</v>
      </c>
      <c r="AH817" s="62" t="n">
        <f aca="false">IF(CA817=1,0,ROUNDUP(AG817/BZ817,0))</f>
        <v>1</v>
      </c>
      <c r="AI817" s="64" t="n">
        <f aca="false">IF(CR817&gt;0,CR817*MAX(1,AG817/X817),IF(CA817=1,IF(AG817&lt;=0,0,CE817*MAX(1,IF(H817&gt;0,AG817/H817,1))),IF(R817&gt;0,AH817/R817,0))/MAX(0.1,N(Parameter!$M$21)))</f>
        <v>0.0833333333333333</v>
      </c>
      <c r="AJ817" s="62" t="n">
        <f aca="false">AI817*CC817</f>
        <v>12.0833333333333</v>
      </c>
      <c r="AK817" s="63" t="n">
        <f aca="false">IF(LEFT(Cockpit!$C$5,1)="A",H817,IF(CI817=1,(CL817+CJ817)/2,IF(LEFT(Cockpit!$C$5,1)="B",(CL817+AM817)/2,MAX((CL817+AM817)/2,H817))))</f>
        <v>200</v>
      </c>
      <c r="AL817" s="62" t="n">
        <f aca="false">AK817*G817</f>
        <v>8</v>
      </c>
      <c r="AM817" s="62" t="n">
        <f aca="false">ROUNDUP(CL817+MAX(CM817,2*(J817/IF(CH817&gt;0,CH817,MAX(0.1,N(Cockpit!$C$6)))-CL817)),0)</f>
        <v>207</v>
      </c>
      <c r="AN817" s="63" t="n">
        <f aca="false">IF(AJ817&gt;0,J817/AJ817,-1)</f>
        <v>16.551724137931</v>
      </c>
      <c r="AO817" s="63" t="n">
        <f aca="false">IF(AND(OR(CG817="L1",CG817="L23",CG817="LIFT"),AJ817&gt;0),SUMIFS($AJ$7:$AJ$1843,$CG$7:$CG$1843,CG817,$AN$7:$AN$1843,"&gt;"&amp;AN817)+SUMIFS($AJ$7:$AJ$1843,$CG$7:$CG$1843,CG817,$AN$7:$AN$1843,AN817,$BX$7:$BX$1843,"&lt;="&amp;BX817),"")</f>
        <v>2045.663003663</v>
      </c>
      <c r="AP817" s="70" t="n">
        <f aca="false">IF(AO817="",0,MAX(0,MIN(1,(IF(CG817="L1",Parameter!$H$5,IF(CG817="L23",Parameter!$H$6+Parameter!$H$7,Parameter!$H$5+Parameter!$H$6+Parameter!$H$7))-(AO817-AJ817))/AJ817)))</f>
        <v>1</v>
      </c>
      <c r="AQ817" s="62" t="n">
        <f aca="false">IF(LEFT(Cockpit!$I$5,1)="A",H817,IF(Parameter!$E$30="MAX-Bestand",IF(CI817=1,CJ817,IF(LEFT(Cockpit!$I$5,1)="B",AW817,MAX(AW817,H817))),ROUNDUP(AU817,0)))</f>
        <v>200</v>
      </c>
      <c r="AR817" s="62" t="n">
        <f aca="false">IF(CA817=1,0,ROUNDUP(AQ817/BZ817,0))</f>
        <v>1</v>
      </c>
      <c r="AS817" s="64" t="n">
        <f aca="false">IF(CR817&gt;0,CR817*MAX(1,AQ817/X817),IF(CA817=1,IF(AQ817&lt;=0,0,CE817*MAX(1,IF(H817&gt;0,AQ817/H817,1))),IF(R817&gt;0,AR817/R817,0))/MAX(0.1,N(Parameter!$M$21)))</f>
        <v>0.0833333333333333</v>
      </c>
      <c r="AT817" s="62" t="n">
        <f aca="false">AS817*CC817</f>
        <v>12.0833333333333</v>
      </c>
      <c r="AU817" s="63" t="n">
        <f aca="false">IF(LEFT(Cockpit!$I$5,1)="A",H817,IF(CI817=1,(CL817+CJ817)/2,IF(LEFT(Cockpit!$I$5,1)="B",(CL817+AW817)/2,MAX((CL817+AW817)/2,H817))))</f>
        <v>200</v>
      </c>
      <c r="AV817" s="62" t="n">
        <f aca="false">AU817*G817</f>
        <v>8</v>
      </c>
      <c r="AW817" s="62" t="n">
        <f aca="false">ROUNDUP(CL817+MAX(CM817,2*(J817/IF(CH817&gt;0,CH817,MAX(0.1,N(Cockpit!$I$6)))-CL817)),0)</f>
        <v>207</v>
      </c>
      <c r="AX817" s="63" t="n">
        <f aca="false">IF(AT817&gt;0,J817/AT817,-1)</f>
        <v>16.551724137931</v>
      </c>
      <c r="AY817" s="63" t="n">
        <f aca="false">IF(AND(OR(CG817="L1",CG817="L23",CG817="LIFT"),AT817&gt;0),SUMIFS($AT$7:$AT$1843,$CG$7:$CG$1843,CG817,$AX$7:$AX$1843,"&gt;"&amp;AX817)+SUMIFS($AT$7:$AT$1843,$CG$7:$CG$1843,CG817,$AX$7:$AX$1843,AX817,$BX$7:$BX$1843,"&lt;="&amp;BX817),"")</f>
        <v>2682.78388278388</v>
      </c>
      <c r="AZ817" s="70" t="n">
        <f aca="false">IF(AY817="",0,MAX(0,MIN(1,(IF(CG817="L1",Parameter!$H$5,IF(CG817="L23",Parameter!$H$6+Parameter!$H$7,Parameter!$H$5+Parameter!$H$6+Parameter!$H$7))-(AY817-AT817))/AT817)))</f>
        <v>1</v>
      </c>
      <c r="BA817" s="62" t="n">
        <f aca="false">IF(LEFT(Cockpit!$O$5,1)="A",H817,IF(Parameter!$E$30="MAX-Bestand",IF(CI817=1,CJ817,IF(LEFT(Cockpit!$O$5,1)="B",BG817,MAX(BG817,H817))),ROUNDUP(BE817,0)))</f>
        <v>107</v>
      </c>
      <c r="BB817" s="62" t="n">
        <f aca="false">IF(CA817=1,0,ROUNDUP(BA817/BZ817,0))</f>
        <v>1</v>
      </c>
      <c r="BC817" s="64" t="n">
        <f aca="false">IF(CR817&gt;0,CR817*MAX(1,BA817/X817),IF(CA817=1,IF(BA817&lt;=0,0,CE817*MAX(1,IF(H817&gt;0,BA817/H817,1))),IF(R817&gt;0,BB817/R817,0))/MAX(0.1,N(Parameter!$M$21)))</f>
        <v>0.0833333333333333</v>
      </c>
      <c r="BD817" s="62" t="n">
        <f aca="false">BC817*CC817</f>
        <v>12.0833333333333</v>
      </c>
      <c r="BE817" s="63" t="n">
        <f aca="false">IF(LEFT(Cockpit!$O$5,1)="A",H817,IF(CI817=1,(CL817+CJ817)/2,IF(LEFT(Cockpit!$O$5,1)="B",(CL817+BG817)/2,MAX((CL817+BG817)/2,H817))))</f>
        <v>107</v>
      </c>
      <c r="BF817" s="62" t="n">
        <f aca="false">BE817*G817</f>
        <v>4.28</v>
      </c>
      <c r="BG817" s="62" t="n">
        <f aca="false">ROUNDUP(CL817+MAX(CM817,2*(J817/IF(CH817&gt;0,CH817,MAX(0.1,N(Cockpit!$O$6)))-CL817)),0)</f>
        <v>207</v>
      </c>
      <c r="BH817" s="63" t="n">
        <f aca="false">IF(BD817&gt;0,J817/BD817,-1)</f>
        <v>16.551724137931</v>
      </c>
      <c r="BI817" s="63" t="n">
        <f aca="false">IF(AND(OR(CG817="L1",CG817="L23",CG817="LIFT"),BD817&gt;0),SUMIFS($BD$7:$BD$1843,$CG$7:$CG$1843,CG817,$BH$7:$BH$1843,"&gt;"&amp;BH817)+SUMIFS($BD$7:$BD$1843,$CG$7:$CG$1843,CG817,$BH$7:$BH$1843,BH817,$BX$7:$BX$1843,"&lt;="&amp;BX817),"")</f>
        <v>2368.80173992674</v>
      </c>
      <c r="BJ817" s="70" t="n">
        <f aca="false">IF(BI817="",0,MAX(0,MIN(1,(IF(CG817="L1",Parameter!$H$5,IF(CG817="L23",Parameter!$H$6+Parameter!$H$7,Parameter!$H$5+Parameter!$H$6+Parameter!$H$7))-(BI817-BD817))/BD817)))</f>
        <v>1</v>
      </c>
      <c r="BK817" s="60" t="str">
        <f aca="false">IF(AJ817&lt;=0,"",IF(CG817="Aussen","Aussenlager",IF(CG817="-","Nicht im Lift",IF(AP817&gt;=1,"Lift",IF(AP817&lt;=0,"Aussenlager","teilweise")))))</f>
        <v>Lift</v>
      </c>
      <c r="BL817" s="60" t="str">
        <f aca="false">IF(AT817&lt;=0,"",IF(CG817="Aussen","Aussenlager",IF(CG817="-","Nicht im Lift",IF(AZ817&gt;=1,"Lift",IF(AZ817&lt;=0,"Aussenlager","teilweise")))))</f>
        <v>Lift</v>
      </c>
      <c r="BM817" s="60" t="str">
        <f aca="false">IF(BD817&lt;=0,"",IF(CG817="Aussen","Aussenlager",IF(CG817="-","Nicht im Lift",IF(BJ817&gt;=1,"Lift",IF(BJ817&lt;=0,"Aussenlager","teilweise")))))</f>
        <v>Lift</v>
      </c>
      <c r="BN817" s="60" t="str">
        <f aca="false">IF(A817="","",IF(BW817=1,"Neu; ","")&amp;IF(AND(BW817=0,BR817&lt;0),"negativer Bestand (Export "&amp;BR817&amp;"); ","")&amp;IF(J817&lt;=0,"Kein Verbrauch; ","")&amp;IF(CR817&gt;0,"Lift "&amp;W817&amp;" lt. Liftbericht (Fach "&amp;X817&amp;" Stk); ",IF(CB817=1,"Gebinde geschätzt ("&amp;T817&amp;"); ",IF(CA817=1,"Lose – Tablare geschätzt; ","")))&amp;IF(H817&gt;AW817,"Überbestand "&amp;ROUND(H817-AW817,0)&amp;" Stk / CHF "&amp;ROUND((H817-AW817)*G817,0)&amp;"; ","")&amp;IF(AND(CI817=1,CJ817&lt;CK817),"MAX &lt; MB+LG; ","")&amp;IF(AND(CQ817&gt;0,CP817*10&gt;CQ817),"zu hoch für Tablar; ","")&amp;IF(AND(BW817=0,OR(CI817=1,AB817&lt;&gt;"",U817&lt;&gt;"",V817&lt;&gt;"",AC817&lt;&gt;"")),"manuell übersteuert; ","")&amp;IF(AND(CA817=0,R817=0),"Gebinde unbekannt / Stellmass fehlt; ","")&amp;IF(AND(CA817=0,N(V817)&lt;=0,N(Q817)&lt;=0),"Menge pro Gebinde fehlt (Ist = 1 Gebinde); ","")&amp;BV817)</f>
        <v>negativer Bestand (Export -340); Verb.Lager</v>
      </c>
      <c r="BO817" s="60"/>
      <c r="BP817" s="60"/>
      <c r="BQ817" s="67"/>
      <c r="BR817" s="62" t="n">
        <v>-340</v>
      </c>
      <c r="BS817" s="62" t="n">
        <v>540</v>
      </c>
      <c r="BT817" s="61" t="n">
        <v>-8.2</v>
      </c>
      <c r="BU817" s="62" t="n">
        <v>200</v>
      </c>
      <c r="BV817" s="60" t="s">
        <v>1072</v>
      </c>
      <c r="BW817" s="65" t="n">
        <v>0</v>
      </c>
      <c r="BX817" s="65" t="n">
        <v>817</v>
      </c>
      <c r="BY817" s="60" t="str">
        <f aca="false">IF(U817&lt;&gt;"",UPPER(TRIM(U817)),IF(CB817=1,UPPER(VLOOKUP(T817,Parameter!$I$27:$K$29,2,0)),IF(P817="","LOSE",P817)))</f>
        <v>S61</v>
      </c>
      <c r="BZ817" s="62" t="n">
        <f aca="false">IF(BY817="LOSE",1,IF(N(V817)&gt;0,V817,IF(CB817=1,MAX(1,N(VLOOKUP(T817,Parameter!$I$27:$K$29,3,0)),H817,N(N817)),IF(N(Q817)&gt;0,Q817,MAX(1,H817)))))</f>
        <v>2000</v>
      </c>
      <c r="CA817" s="65" t="n">
        <f aca="false">IF(BY817="LOSE",1,0)</f>
        <v>0</v>
      </c>
      <c r="CB817" s="65" t="n">
        <f aca="false">IF(AND(U817="",OR(P817="",P817="LOSE"),T817&lt;&gt;"",N(S817)&lt;=0,ISNUMBER(MATCH(T817,Parameter!$I$27:$I$29,0))),1,0)</f>
        <v>0</v>
      </c>
      <c r="CC817" s="65" t="n">
        <f aca="false">IF(CR817&gt;0,INDEX(Parameter!$H$5:$H$7,W817)/INDEX(Parameter!$E$5:$E$7,W817),IF(AND(CA817=0,N(IFERROR(VLOOKUP(BY817,'Gebinde-Kategorie'!$A$5:$N$45,14,0),0))&gt;0),VLOOKUP(BY817,'Gebinde-Kategorie'!$A$5:$N$45,14,0)*10+Parameter!$M$23,Parameter!$M$24))</f>
        <v>145</v>
      </c>
      <c r="CD817" s="60" t="str">
        <f aca="false">IF(AND(Parameter!$B$19="Ja",E817&lt;&gt;"",ISNUMBER(MATCH(E817,Parameter!$I$35:$I$52,0))),VLOOKUP(E817,Parameter!$I$35:$J$52,2,0),IFERROR(VLOOKUP(D817,Parameter!$A$35:$C$64,2,0),"Nein"))</f>
        <v>2+3</v>
      </c>
      <c r="CE817" s="64" t="n">
        <f aca="false">IF(CA817=0,0,IF(N(S817)&gt;0,S817,IFERROR(VLOOKUP(D817,Parameter!$A$35:$C$64,3,0)+0,0)))</f>
        <v>0</v>
      </c>
      <c r="CF817" s="60" t="n">
        <f aca="false">IF(AB817&lt;&gt;"",AB817,AA817)</f>
        <v>3</v>
      </c>
      <c r="CG817" s="60" t="str">
        <f aca="false">IF(OR(CF817=1,CF817=2,CF817=3),IF(Parameter!$E$27="Ja","LIFT",IF(CF817=1,"L1","L23")),IF(CF817="Aussen","Aussen","-"))</f>
        <v>LIFT</v>
      </c>
      <c r="CH817" s="71" t="n">
        <f aca="false">IF(N(AC817)&gt;0,AC817,0)</f>
        <v>0</v>
      </c>
      <c r="CI817" s="65" t="n">
        <f aca="false">IF(ISNUMBER(AF817),1,0)</f>
        <v>0</v>
      </c>
      <c r="CJ817" s="62" t="n">
        <f aca="false">N(AF817)</f>
        <v>0</v>
      </c>
      <c r="CK817" s="62" t="n">
        <f aca="false">N(M817)+N(N817)</f>
        <v>207</v>
      </c>
      <c r="CL817" s="62" t="n">
        <f aca="false">N(M817)</f>
        <v>7</v>
      </c>
      <c r="CM817" s="62" t="n">
        <f aca="false">N(N817)</f>
        <v>200</v>
      </c>
      <c r="CN817" s="62" t="n">
        <f aca="false">ROUNDUP(H817/BZ817,0)</f>
        <v>1</v>
      </c>
      <c r="CO817" s="62" t="n">
        <f aca="false">ROUNDUP(CJ817/BZ817,0)</f>
        <v>0</v>
      </c>
      <c r="CP817" s="65" t="n">
        <f aca="false">IF(CA817=1,0,IFERROR(VLOOKUP(BY817,'Gebinde-Kategorie'!$A$5:$N$45,5,0)+0,0))</f>
        <v>11</v>
      </c>
      <c r="CQ817" s="65" t="n">
        <f aca="false">IFERROR(IF(OR(CF817=1,CF817=2,CF817=3),N(INDEX(Parameter!$I$5:$I$7,CF817)),0),0)</f>
        <v>0</v>
      </c>
      <c r="CR817" s="64" t="n">
        <f aca="false">IF(AND(Parameter!$B$21="Ja",ISNUMBER(W817),N(X817)&gt;0),IFERROR(N(INDEX(Parameter!$L$5:$L$7,W817))*INDEX(Parameter!$E$5:$E$7,W817)*X817/SUMIFS($X$7:$X$1843,$W$7:$W$1843,W817),0),0)</f>
        <v>0</v>
      </c>
      <c r="CS817" s="62" t="n">
        <f aca="false">IF(AND(OR(CG817="L1",CG817="L23",CG817="LIFT"),H817&gt;0),CC817*IF(CR817&gt;0,CR817*MAX(1,H817/X817),IF(CA817=1,CE817,IF(R817&gt;0,CN817/R817,0))/MAX(0.1,N(Parameter!$M$21))),"")</f>
        <v>12.0833333333333</v>
      </c>
      <c r="CT817" s="64" t="n">
        <f aca="false">IF(CS817="","",J817/H817)</f>
        <v>1</v>
      </c>
      <c r="CU817" s="62" t="n">
        <f aca="false">IF(CS817="","",H817*G817)</f>
        <v>8</v>
      </c>
      <c r="CV817" s="63" t="n">
        <f aca="false">IF(CS817="","",(CL817+ROUNDUP(CL817+MAX(CM817,2*(J817/MAX(0.1,N(Einkauf!$C$6))-CL817)),0))/2)</f>
        <v>107</v>
      </c>
      <c r="CW817" s="62" t="n">
        <f aca="false">IF(CS817="","",MAX(0,H817-CV817)*G817)</f>
        <v>3.72</v>
      </c>
      <c r="CX817" s="62" t="n">
        <f aca="false">IF(CS817="","",CS817*MAX(0,1-CV817/H817))</f>
        <v>5.61875</v>
      </c>
      <c r="CY817" s="64" t="n">
        <f aca="false">IF(CS817="","",PERCENTRANK($CS$7:$CS$1843,CS817)+PERCENTRANK($CU$7:$CU$1843,CU817)+1-PERCENTRANK($CT$7:$CT$1843,CT817))</f>
        <v>1.0633</v>
      </c>
      <c r="CZ817" s="72" t="n">
        <f aca="false">IF(CS817="","",CHOOSE(MATCH(Einkauf!$C$5,Parameter!$G$23:$G$27,0),CY817,CS817,CU817,-CT817,CW817)+ROW()/1000000000)</f>
        <v>1.063300817</v>
      </c>
    </row>
    <row r="818" customFormat="false" ht="15" hidden="false" customHeight="false" outlineLevel="0" collapsed="false">
      <c r="A818" s="60" t="s">
        <v>1622</v>
      </c>
      <c r="B818" s="60" t="s">
        <v>1178</v>
      </c>
      <c r="C818" s="60" t="s">
        <v>206</v>
      </c>
      <c r="D818" s="60" t="s">
        <v>226</v>
      </c>
      <c r="E818" s="60" t="s">
        <v>227</v>
      </c>
      <c r="F818" s="60" t="s">
        <v>260</v>
      </c>
      <c r="G818" s="61" t="n">
        <v>5.22</v>
      </c>
      <c r="H818" s="62" t="n">
        <f aca="false">MAX(0,IF(AND(Parameter!$B$21="Ja",ISNUMBER(Y818)),Y818,IF(Parameter!$B$20="Jahresanfang 2025 + Export",BS818+BR818,BR818)))</f>
        <v>2</v>
      </c>
      <c r="I818" s="62" t="n">
        <f aca="false">H818*G818</f>
        <v>10.44</v>
      </c>
      <c r="J818" s="62" t="n">
        <f aca="false">BU818*Parameter!$B$18</f>
        <v>3</v>
      </c>
      <c r="K818" s="63" t="n">
        <v>2.5</v>
      </c>
      <c r="L818" s="64" t="n">
        <v>1.2</v>
      </c>
      <c r="M818" s="62" t="n">
        <v>0</v>
      </c>
      <c r="N818" s="62" t="n">
        <v>5</v>
      </c>
      <c r="O818" s="65" t="n">
        <v>14</v>
      </c>
      <c r="P818" s="60" t="s">
        <v>463</v>
      </c>
      <c r="Q818" s="62" t="n">
        <v>1</v>
      </c>
      <c r="R818" s="65" t="n">
        <f aca="false">IF(CA818=1,0,IFERROR(VLOOKUP(BY818,'Gebinde-Kategorie'!$A$5:$N$45,13,0)+0,0))</f>
        <v>104</v>
      </c>
      <c r="S818" s="66"/>
      <c r="T818" s="67"/>
      <c r="U818" s="67"/>
      <c r="V818" s="67"/>
      <c r="W818" s="60"/>
      <c r="X818" s="62"/>
      <c r="Y818" s="62"/>
      <c r="Z818" s="60" t="n">
        <v>3</v>
      </c>
      <c r="AA818" s="60" t="n">
        <f aca="false">IF(A818="","",IF(AND(Parameter!$B$21="Ja",ISNUMBER(W818)),W818,IF(AND(Parameter!$E$27="Ja",ISNUMBER(Z818),CD818&lt;&gt;"Nein"),Z818,IF(CD818="2+3",IF(ISNUMBER(SEARCH("grosser Artikel",BV818)),2,IFERROR(VLOOKUP(BY818,Parameter!$F$35:$G$64,2,0),2)),IF(OR(CD818="Nein",CD818=""),"-",CD818)))))</f>
        <v>3</v>
      </c>
      <c r="AB818" s="67"/>
      <c r="AC818" s="68"/>
      <c r="AD818" s="62" t="n">
        <f aca="false">AW818</f>
        <v>5</v>
      </c>
      <c r="AE818" s="62" t="n">
        <f aca="false">MAX(AW818,H818)</f>
        <v>5</v>
      </c>
      <c r="AF818" s="69"/>
      <c r="AG818" s="62" t="n">
        <f aca="false">IF(LEFT(Cockpit!$C$5,1)="A",H818,IF(Parameter!$E$30="MAX-Bestand",IF(CI818=1,CJ818,IF(LEFT(Cockpit!$C$5,1)="B",AM818,MAX(AM818,H818))),ROUNDUP(AK818,0)))</f>
        <v>2</v>
      </c>
      <c r="AH818" s="62" t="n">
        <f aca="false">IF(CA818=1,0,ROUNDUP(AG818/BZ818,0))</f>
        <v>2</v>
      </c>
      <c r="AI818" s="64" t="n">
        <f aca="false">IF(CR818&gt;0,CR818*MAX(1,AG818/X818),IF(CA818=1,IF(AG818&lt;=0,0,CE818*MAX(1,IF(H818&gt;0,AG818/H818,1))),IF(R818&gt;0,AH818/R818,0))/MAX(0.1,N(Parameter!$M$21)))</f>
        <v>0.0192307692307692</v>
      </c>
      <c r="AJ818" s="62" t="n">
        <f aca="false">AI818*CC818</f>
        <v>2.98076923076923</v>
      </c>
      <c r="AK818" s="63" t="n">
        <f aca="false">IF(LEFT(Cockpit!$C$5,1)="A",H818,IF(CI818=1,(CL818+CJ818)/2,IF(LEFT(Cockpit!$C$5,1)="B",(CL818+AM818)/2,MAX((CL818+AM818)/2,H818))))</f>
        <v>2</v>
      </c>
      <c r="AL818" s="62" t="n">
        <f aca="false">AK818*G818</f>
        <v>10.44</v>
      </c>
      <c r="AM818" s="62" t="n">
        <f aca="false">ROUNDUP(CL818+MAX(CM818,2*(J818/IF(CH818&gt;0,CH818,MAX(0.1,N(Cockpit!$C$6)))-CL818)),0)</f>
        <v>5</v>
      </c>
      <c r="AN818" s="63" t="n">
        <f aca="false">IF(AJ818&gt;0,J818/AJ818,-1)</f>
        <v>1.00645161290323</v>
      </c>
      <c r="AO818" s="63" t="n">
        <f aca="false">IF(AND(OR(CG818="L1",CG818="L23",CG818="LIFT"),AJ818&gt;0),SUMIFS($AJ$7:$AJ$1843,$CG$7:$CG$1843,CG818,$AN$7:$AN$1843,"&gt;"&amp;AN818)+SUMIFS($AJ$7:$AJ$1843,$CG$7:$CG$1843,CG818,$AN$7:$AN$1843,AN818,$BX$7:$BX$1843,"&lt;="&amp;BX818),"")</f>
        <v>7032.55815018315</v>
      </c>
      <c r="AP818" s="70" t="n">
        <f aca="false">IF(AO818="",0,MAX(0,MIN(1,(IF(CG818="L1",Parameter!$H$5,IF(CG818="L23",Parameter!$H$6+Parameter!$H$7,Parameter!$H$5+Parameter!$H$6+Parameter!$H$7))-(AO818-AJ818))/AJ818)))</f>
        <v>1</v>
      </c>
      <c r="AQ818" s="62" t="n">
        <f aca="false">IF(LEFT(Cockpit!$I$5,1)="A",H818,IF(Parameter!$E$30="MAX-Bestand",IF(CI818=1,CJ818,IF(LEFT(Cockpit!$I$5,1)="B",AW818,MAX(AW818,H818))),ROUNDUP(AU818,0)))</f>
        <v>3</v>
      </c>
      <c r="AR818" s="62" t="n">
        <f aca="false">IF(CA818=1,0,ROUNDUP(AQ818/BZ818,0))</f>
        <v>3</v>
      </c>
      <c r="AS818" s="64" t="n">
        <f aca="false">IF(CR818&gt;0,CR818*MAX(1,AQ818/X818),IF(CA818=1,IF(AQ818&lt;=0,0,CE818*MAX(1,IF(H818&gt;0,AQ818/H818,1))),IF(R818&gt;0,AR818/R818,0))/MAX(0.1,N(Parameter!$M$21)))</f>
        <v>0.0288461538461538</v>
      </c>
      <c r="AT818" s="62" t="n">
        <f aca="false">AS818*CC818</f>
        <v>4.47115384615385</v>
      </c>
      <c r="AU818" s="63" t="n">
        <f aca="false">IF(LEFT(Cockpit!$I$5,1)="A",H818,IF(CI818=1,(CL818+CJ818)/2,IF(LEFT(Cockpit!$I$5,1)="B",(CL818+AW818)/2,MAX((CL818+AW818)/2,H818))))</f>
        <v>2.5</v>
      </c>
      <c r="AV818" s="62" t="n">
        <f aca="false">AU818*G818</f>
        <v>13.05</v>
      </c>
      <c r="AW818" s="62" t="n">
        <f aca="false">ROUNDUP(CL818+MAX(CM818,2*(J818/IF(CH818&gt;0,CH818,MAX(0.1,N(Cockpit!$I$6)))-CL818)),0)</f>
        <v>5</v>
      </c>
      <c r="AX818" s="63" t="n">
        <f aca="false">IF(AT818&gt;0,J818/AT818,-1)</f>
        <v>0.670967741935484</v>
      </c>
      <c r="AY818" s="63" t="n">
        <f aca="false">IF(AND(OR(CG818="L1",CG818="L23",CG818="LIFT"),AT818&gt;0),SUMIFS($AT$7:$AT$1843,$CG$7:$CG$1843,CG818,$AX$7:$AX$1843,"&gt;"&amp;AX818)+SUMIFS($AT$7:$AT$1843,$CG$7:$CG$1843,CG818,$AX$7:$AX$1843,AX818,$BX$7:$BX$1843,"&lt;="&amp;BX818),"")</f>
        <v>10913.2605311355</v>
      </c>
      <c r="AZ818" s="70" t="n">
        <f aca="false">IF(AY818="",0,MAX(0,MIN(1,(IF(CG818="L1",Parameter!$H$5,IF(CG818="L23",Parameter!$H$6+Parameter!$H$7,Parameter!$H$5+Parameter!$H$6+Parameter!$H$7))-(AY818-AT818))/AT818)))</f>
        <v>1</v>
      </c>
      <c r="BA818" s="62" t="n">
        <f aca="false">IF(LEFT(Cockpit!$O$5,1)="A",H818,IF(Parameter!$E$30="MAX-Bestand",IF(CI818=1,CJ818,IF(LEFT(Cockpit!$O$5,1)="B",BG818,MAX(BG818,H818))),ROUNDUP(BE818,0)))</f>
        <v>3</v>
      </c>
      <c r="BB818" s="62" t="n">
        <f aca="false">IF(CA818=1,0,ROUNDUP(BA818/BZ818,0))</f>
        <v>3</v>
      </c>
      <c r="BC818" s="64" t="n">
        <f aca="false">IF(CR818&gt;0,CR818*MAX(1,BA818/X818),IF(CA818=1,IF(BA818&lt;=0,0,CE818*MAX(1,IF(H818&gt;0,BA818/H818,1))),IF(R818&gt;0,BB818/R818,0))/MAX(0.1,N(Parameter!$M$21)))</f>
        <v>0.0288461538461538</v>
      </c>
      <c r="BD818" s="62" t="n">
        <f aca="false">BC818*CC818</f>
        <v>4.47115384615385</v>
      </c>
      <c r="BE818" s="63" t="n">
        <f aca="false">IF(LEFT(Cockpit!$O$5,1)="A",H818,IF(CI818=1,(CL818+CJ818)/2,IF(LEFT(Cockpit!$O$5,1)="B",(CL818+BG818)/2,MAX((CL818+BG818)/2,H818))))</f>
        <v>2.5</v>
      </c>
      <c r="BF818" s="62" t="n">
        <f aca="false">BE818*G818</f>
        <v>13.05</v>
      </c>
      <c r="BG818" s="62" t="n">
        <f aca="false">ROUNDUP(CL818+MAX(CM818,2*(J818/IF(CH818&gt;0,CH818,MAX(0.1,N(Cockpit!$O$6)))-CL818)),0)</f>
        <v>5</v>
      </c>
      <c r="BH818" s="63" t="n">
        <f aca="false">IF(BD818&gt;0,J818/BD818,-1)</f>
        <v>0.670967741935484</v>
      </c>
      <c r="BI818" s="63" t="n">
        <f aca="false">IF(AND(OR(CG818="L1",CG818="L23",CG818="LIFT"),BD818&gt;0),SUMIFS($BD$7:$BD$1843,$CG$7:$CG$1843,CG818,$BH$7:$BH$1843,"&gt;"&amp;BH818)+SUMIFS($BD$7:$BD$1843,$CG$7:$CG$1843,CG818,$BH$7:$BH$1843,BH818,$BX$7:$BX$1843,"&lt;="&amp;BX818),"")</f>
        <v>9522.89468864469</v>
      </c>
      <c r="BJ818" s="70" t="n">
        <f aca="false">IF(BI818="",0,MAX(0,MIN(1,(IF(CG818="L1",Parameter!$H$5,IF(CG818="L23",Parameter!$H$6+Parameter!$H$7,Parameter!$H$5+Parameter!$H$6+Parameter!$H$7))-(BI818-BD818))/BD818)))</f>
        <v>1</v>
      </c>
      <c r="BK818" s="60" t="str">
        <f aca="false">IF(AJ818&lt;=0,"",IF(CG818="Aussen","Aussenlager",IF(CG818="-","Nicht im Lift",IF(AP818&gt;=1,"Lift",IF(AP818&lt;=0,"Aussenlager","teilweise")))))</f>
        <v>Lift</v>
      </c>
      <c r="BL818" s="60" t="str">
        <f aca="false">IF(AT818&lt;=0,"",IF(CG818="Aussen","Aussenlager",IF(CG818="-","Nicht im Lift",IF(AZ818&gt;=1,"Lift",IF(AZ818&lt;=0,"Aussenlager","teilweise")))))</f>
        <v>Lift</v>
      </c>
      <c r="BM818" s="60" t="str">
        <f aca="false">IF(BD818&lt;=0,"",IF(CG818="Aussen","Aussenlager",IF(CG818="-","Nicht im Lift",IF(BJ818&gt;=1,"Lift",IF(BJ818&lt;=0,"Aussenlager","teilweise")))))</f>
        <v>Lift</v>
      </c>
      <c r="BN818" s="60" t="str">
        <f aca="false">IF(A818="","",IF(BW818=1,"Neu; ","")&amp;IF(AND(BW818=0,BR818&lt;0),"negativer Bestand (Export "&amp;BR818&amp;"); ","")&amp;IF(J818&lt;=0,"Kein Verbrauch; ","")&amp;IF(CR818&gt;0,"Lift "&amp;W818&amp;" lt. Liftbericht (Fach "&amp;X818&amp;" Stk); ",IF(CB818=1,"Gebinde geschätzt ("&amp;T818&amp;"); ",IF(CA818=1,"Lose – Tablare geschätzt; ","")))&amp;IF(H818&gt;AW818,"Überbestand "&amp;ROUND(H818-AW818,0)&amp;" Stk / CHF "&amp;ROUND((H818-AW818)*G818,0)&amp;"; ","")&amp;IF(AND(CI818=1,CJ818&lt;CK818),"MAX &lt; MB+LG; ","")&amp;IF(AND(CQ818&gt;0,CP818*10&gt;CQ818),"zu hoch für Tablar; ","")&amp;IF(AND(BW818=0,OR(CI818=1,AB818&lt;&gt;"",U818&lt;&gt;"",V818&lt;&gt;"",AC818&lt;&gt;"")),"manuell übersteuert; ","")&amp;IF(AND(CA818=0,R818=0),"Gebinde unbekannt / Stellmass fehlt; ","")&amp;IF(AND(CA818=0,N(V818)&lt;=0,N(Q818)&lt;=0),"Menge pro Gebinde fehlt (Ist = 1 Gebinde); ","")&amp;BV818)</f>
        <v/>
      </c>
      <c r="BO818" s="60"/>
      <c r="BP818" s="60"/>
      <c r="BQ818" s="67"/>
      <c r="BR818" s="62" t="n">
        <v>0</v>
      </c>
      <c r="BS818" s="62" t="n">
        <v>2</v>
      </c>
      <c r="BT818" s="61" t="n">
        <v>-8.38</v>
      </c>
      <c r="BU818" s="62" t="n">
        <v>3</v>
      </c>
      <c r="BV818" s="60"/>
      <c r="BW818" s="65" t="n">
        <v>0</v>
      </c>
      <c r="BX818" s="65" t="n">
        <v>818</v>
      </c>
      <c r="BY818" s="60" t="str">
        <f aca="false">IF(U818&lt;&gt;"",UPPER(TRIM(U818)),IF(CB818=1,UPPER(VLOOKUP(T818,Parameter!$I$27:$K$29,2,0)),IF(P818="","LOSE",P818)))</f>
        <v>S32</v>
      </c>
      <c r="BZ818" s="62" t="n">
        <f aca="false">IF(BY818="LOSE",1,IF(N(V818)&gt;0,V818,IF(CB818=1,MAX(1,N(VLOOKUP(T818,Parameter!$I$27:$K$29,3,0)),H818,N(N818)),IF(N(Q818)&gt;0,Q818,MAX(1,H818)))))</f>
        <v>1</v>
      </c>
      <c r="CA818" s="65" t="n">
        <f aca="false">IF(BY818="LOSE",1,0)</f>
        <v>0</v>
      </c>
      <c r="CB818" s="65" t="n">
        <f aca="false">IF(AND(U818="",OR(P818="",P818="LOSE"),T818&lt;&gt;"",N(S818)&lt;=0,ISNUMBER(MATCH(T818,Parameter!$I$27:$I$29,0))),1,0)</f>
        <v>0</v>
      </c>
      <c r="CC818" s="65" t="n">
        <f aca="false">IF(CR818&gt;0,INDEX(Parameter!$H$5:$H$7,W818)/INDEX(Parameter!$E$5:$E$7,W818),IF(AND(CA818=0,N(IFERROR(VLOOKUP(BY818,'Gebinde-Kategorie'!$A$5:$N$45,14,0),0))&gt;0),VLOOKUP(BY818,'Gebinde-Kategorie'!$A$5:$N$45,14,0)*10+Parameter!$M$23,Parameter!$M$24))</f>
        <v>155</v>
      </c>
      <c r="CD818" s="60" t="str">
        <f aca="false">IF(AND(Parameter!$B$19="Ja",E818&lt;&gt;"",ISNUMBER(MATCH(E818,Parameter!$I$35:$I$52,0))),VLOOKUP(E818,Parameter!$I$35:$J$52,2,0),IFERROR(VLOOKUP(D818,Parameter!$A$35:$C$64,2,0),"Nein"))</f>
        <v>2+3</v>
      </c>
      <c r="CE818" s="64" t="n">
        <f aca="false">IF(CA818=0,0,IF(N(S818)&gt;0,S818,IFERROR(VLOOKUP(D818,Parameter!$A$35:$C$64,3,0)+0,0)))</f>
        <v>0</v>
      </c>
      <c r="CF818" s="60" t="n">
        <f aca="false">IF(AB818&lt;&gt;"",AB818,AA818)</f>
        <v>3</v>
      </c>
      <c r="CG818" s="60" t="str">
        <f aca="false">IF(OR(CF818=1,CF818=2,CF818=3),IF(Parameter!$E$27="Ja","LIFT",IF(CF818=1,"L1","L23")),IF(CF818="Aussen","Aussen","-"))</f>
        <v>LIFT</v>
      </c>
      <c r="CH818" s="71" t="n">
        <f aca="false">IF(N(AC818)&gt;0,AC818,0)</f>
        <v>0</v>
      </c>
      <c r="CI818" s="65" t="n">
        <f aca="false">IF(ISNUMBER(AF818),1,0)</f>
        <v>0</v>
      </c>
      <c r="CJ818" s="62" t="n">
        <f aca="false">N(AF818)</f>
        <v>0</v>
      </c>
      <c r="CK818" s="62" t="n">
        <f aca="false">N(M818)+N(N818)</f>
        <v>5</v>
      </c>
      <c r="CL818" s="62" t="n">
        <f aca="false">N(M818)</f>
        <v>0</v>
      </c>
      <c r="CM818" s="62" t="n">
        <f aca="false">N(N818)</f>
        <v>5</v>
      </c>
      <c r="CN818" s="62" t="n">
        <f aca="false">ROUNDUP(H818/BZ818,0)</f>
        <v>2</v>
      </c>
      <c r="CO818" s="62" t="n">
        <f aca="false">ROUNDUP(CJ818/BZ818,0)</f>
        <v>0</v>
      </c>
      <c r="CP818" s="65" t="n">
        <f aca="false">IF(CA818=1,0,IFERROR(VLOOKUP(BY818,'Gebinde-Kategorie'!$A$5:$N$45,5,0)+0,0))</f>
        <v>8</v>
      </c>
      <c r="CQ818" s="65" t="n">
        <f aca="false">IFERROR(IF(OR(CF818=1,CF818=2,CF818=3),N(INDEX(Parameter!$I$5:$I$7,CF818)),0),0)</f>
        <v>0</v>
      </c>
      <c r="CR818" s="64" t="n">
        <f aca="false">IF(AND(Parameter!$B$21="Ja",ISNUMBER(W818),N(X818)&gt;0),IFERROR(N(INDEX(Parameter!$L$5:$L$7,W818))*INDEX(Parameter!$E$5:$E$7,W818)*X818/SUMIFS($X$7:$X$1843,$W$7:$W$1843,W818),0),0)</f>
        <v>0</v>
      </c>
      <c r="CS818" s="62" t="n">
        <f aca="false">IF(AND(OR(CG818="L1",CG818="L23",CG818="LIFT"),H818&gt;0),CC818*IF(CR818&gt;0,CR818*MAX(1,H818/X818),IF(CA818=1,CE818,IF(R818&gt;0,CN818/R818,0))/MAX(0.1,N(Parameter!$M$21))),"")</f>
        <v>2.98076923076923</v>
      </c>
      <c r="CT818" s="64" t="n">
        <f aca="false">IF(CS818="","",J818/H818)</f>
        <v>1.5</v>
      </c>
      <c r="CU818" s="62" t="n">
        <f aca="false">IF(CS818="","",H818*G818)</f>
        <v>10.44</v>
      </c>
      <c r="CV818" s="63" t="n">
        <f aca="false">IF(CS818="","",(CL818+ROUNDUP(CL818+MAX(CM818,2*(J818/MAX(0.1,N(Einkauf!$C$6))-CL818)),0))/2)</f>
        <v>2.5</v>
      </c>
      <c r="CW818" s="62" t="n">
        <f aca="false">IF(CS818="","",MAX(0,H818-CV818)*G818)</f>
        <v>0</v>
      </c>
      <c r="CX818" s="62" t="n">
        <f aca="false">IF(CS818="","",CS818*MAX(0,1-CV818/H818))</f>
        <v>0</v>
      </c>
      <c r="CY818" s="64" t="n">
        <f aca="false">IF(CS818="","",PERCENTRANK($CS$7:$CS$1843,CS818)+PERCENTRANK($CU$7:$CU$1843,CU818)+1-PERCENTRANK($CT$7:$CT$1843,CT818))</f>
        <v>0.4995</v>
      </c>
      <c r="CZ818" s="72" t="n">
        <f aca="false">IF(CS818="","",CHOOSE(MATCH(Einkauf!$C$5,Parameter!$G$23:$G$27,0),CY818,CS818,CU818,-CT818,CW818)+ROW()/1000000000)</f>
        <v>0.499500818</v>
      </c>
    </row>
    <row r="819" customFormat="false" ht="15" hidden="false" customHeight="false" outlineLevel="0" collapsed="false">
      <c r="A819" s="60" t="s">
        <v>1623</v>
      </c>
      <c r="B819" s="60" t="s">
        <v>510</v>
      </c>
      <c r="C819" s="60" t="s">
        <v>206</v>
      </c>
      <c r="D819" s="60" t="s">
        <v>226</v>
      </c>
      <c r="E819" s="60" t="s">
        <v>227</v>
      </c>
      <c r="F819" s="60" t="s">
        <v>260</v>
      </c>
      <c r="G819" s="61" t="n">
        <v>0.19</v>
      </c>
      <c r="H819" s="62" t="n">
        <f aca="false">MAX(0,IF(AND(Parameter!$B$21="Ja",ISNUMBER(Y819)),Y819,IF(Parameter!$B$20="Jahresanfang 2025 + Export",BS819+BR819,BR819)))</f>
        <v>75</v>
      </c>
      <c r="I819" s="62" t="n">
        <f aca="false">H819*G819</f>
        <v>14.25</v>
      </c>
      <c r="J819" s="62" t="n">
        <f aca="false">BU819*Parameter!$B$18</f>
        <v>310</v>
      </c>
      <c r="K819" s="63" t="n">
        <v>166</v>
      </c>
      <c r="L819" s="64" t="n">
        <v>1.86746987951807</v>
      </c>
      <c r="M819" s="62" t="n">
        <v>12</v>
      </c>
      <c r="N819" s="62" t="n">
        <v>310</v>
      </c>
      <c r="O819" s="65" t="n">
        <v>14</v>
      </c>
      <c r="P819" s="60" t="s">
        <v>468</v>
      </c>
      <c r="Q819" s="62" t="n">
        <v>195</v>
      </c>
      <c r="R819" s="65" t="n">
        <f aca="false">IF(CA819=1,0,IFERROR(VLOOKUP(BY819,'Gebinde-Kategorie'!$A$5:$N$45,13,0)+0,0))</f>
        <v>140</v>
      </c>
      <c r="S819" s="66"/>
      <c r="T819" s="67"/>
      <c r="U819" s="67"/>
      <c r="V819" s="67"/>
      <c r="W819" s="60"/>
      <c r="X819" s="62"/>
      <c r="Y819" s="62"/>
      <c r="Z819" s="60" t="n">
        <v>2</v>
      </c>
      <c r="AA819" s="60" t="n">
        <f aca="false">IF(A819="","",IF(AND(Parameter!$B$21="Ja",ISNUMBER(W819)),W819,IF(AND(Parameter!$E$27="Ja",ISNUMBER(Z819),CD819&lt;&gt;"Nein"),Z819,IF(CD819="2+3",IF(ISNUMBER(SEARCH("grosser Artikel",BV819)),2,IFERROR(VLOOKUP(BY819,Parameter!$F$35:$G$64,2,0),2)),IF(OR(CD819="Nein",CD819=""),"-",CD819)))))</f>
        <v>2</v>
      </c>
      <c r="AB819" s="67"/>
      <c r="AC819" s="68"/>
      <c r="AD819" s="62" t="n">
        <f aca="false">AW819</f>
        <v>322</v>
      </c>
      <c r="AE819" s="62" t="n">
        <f aca="false">MAX(AW819,H819)</f>
        <v>322</v>
      </c>
      <c r="AF819" s="69"/>
      <c r="AG819" s="62" t="n">
        <f aca="false">IF(LEFT(Cockpit!$C$5,1)="A",H819,IF(Parameter!$E$30="MAX-Bestand",IF(CI819=1,CJ819,IF(LEFT(Cockpit!$C$5,1)="B",AM819,MAX(AM819,H819))),ROUNDUP(AK819,0)))</f>
        <v>75</v>
      </c>
      <c r="AH819" s="62" t="n">
        <f aca="false">IF(CA819=1,0,ROUNDUP(AG819/BZ819,0))</f>
        <v>1</v>
      </c>
      <c r="AI819" s="64" t="n">
        <f aca="false">IF(CR819&gt;0,CR819*MAX(1,AG819/X819),IF(CA819=1,IF(AG819&lt;=0,0,CE819*MAX(1,IF(H819&gt;0,AG819/H819,1))),IF(R819&gt;0,AH819/R819,0))/MAX(0.1,N(Parameter!$M$21)))</f>
        <v>0.00714285714285714</v>
      </c>
      <c r="AJ819" s="62" t="n">
        <f aca="false">AI819*CC819</f>
        <v>1.10714285714286</v>
      </c>
      <c r="AK819" s="63" t="n">
        <f aca="false">IF(LEFT(Cockpit!$C$5,1)="A",H819,IF(CI819=1,(CL819+CJ819)/2,IF(LEFT(Cockpit!$C$5,1)="B",(CL819+AM819)/2,MAX((CL819+AM819)/2,H819))))</f>
        <v>75</v>
      </c>
      <c r="AL819" s="62" t="n">
        <f aca="false">AK819*G819</f>
        <v>14.25</v>
      </c>
      <c r="AM819" s="62" t="n">
        <f aca="false">ROUNDUP(CL819+MAX(CM819,2*(J819/IF(CH819&gt;0,CH819,MAX(0.1,N(Cockpit!$C$6)))-CL819)),0)</f>
        <v>322</v>
      </c>
      <c r="AN819" s="63" t="n">
        <f aca="false">IF(AJ819&gt;0,J819/AJ819,-1)</f>
        <v>280</v>
      </c>
      <c r="AO819" s="63" t="n">
        <f aca="false">IF(AND(OR(CG819="L1",CG819="L23",CG819="LIFT"),AJ819&gt;0),SUMIFS($AJ$7:$AJ$1843,$CG$7:$CG$1843,CG819,$AN$7:$AN$1843,"&gt;"&amp;AN819)+SUMIFS($AJ$7:$AJ$1843,$CG$7:$CG$1843,CG819,$AN$7:$AN$1843,AN819,$BX$7:$BX$1843,"&lt;="&amp;BX819),"")</f>
        <v>271.46336996337</v>
      </c>
      <c r="AP819" s="70" t="n">
        <f aca="false">IF(AO819="",0,MAX(0,MIN(1,(IF(CG819="L1",Parameter!$H$5,IF(CG819="L23",Parameter!$H$6+Parameter!$H$7,Parameter!$H$5+Parameter!$H$6+Parameter!$H$7))-(AO819-AJ819))/AJ819)))</f>
        <v>1</v>
      </c>
      <c r="AQ819" s="62" t="n">
        <f aca="false">IF(LEFT(Cockpit!$I$5,1)="A",H819,IF(Parameter!$E$30="MAX-Bestand",IF(CI819=1,CJ819,IF(LEFT(Cockpit!$I$5,1)="B",AW819,MAX(AW819,H819))),ROUNDUP(AU819,0)))</f>
        <v>167</v>
      </c>
      <c r="AR819" s="62" t="n">
        <f aca="false">IF(CA819=1,0,ROUNDUP(AQ819/BZ819,0))</f>
        <v>1</v>
      </c>
      <c r="AS819" s="64" t="n">
        <f aca="false">IF(CR819&gt;0,CR819*MAX(1,AQ819/X819),IF(CA819=1,IF(AQ819&lt;=0,0,CE819*MAX(1,IF(H819&gt;0,AQ819/H819,1))),IF(R819&gt;0,AR819/R819,0))/MAX(0.1,N(Parameter!$M$21)))</f>
        <v>0.00714285714285714</v>
      </c>
      <c r="AT819" s="62" t="n">
        <f aca="false">AS819*CC819</f>
        <v>1.10714285714286</v>
      </c>
      <c r="AU819" s="63" t="n">
        <f aca="false">IF(LEFT(Cockpit!$I$5,1)="A",H819,IF(CI819=1,(CL819+CJ819)/2,IF(LEFT(Cockpit!$I$5,1)="B",(CL819+AW819)/2,MAX((CL819+AW819)/2,H819))))</f>
        <v>167</v>
      </c>
      <c r="AV819" s="62" t="n">
        <f aca="false">AU819*G819</f>
        <v>31.73</v>
      </c>
      <c r="AW819" s="62" t="n">
        <f aca="false">ROUNDUP(CL819+MAX(CM819,2*(J819/IF(CH819&gt;0,CH819,MAX(0.1,N(Cockpit!$I$6)))-CL819)),0)</f>
        <v>322</v>
      </c>
      <c r="AX819" s="63" t="n">
        <f aca="false">IF(AT819&gt;0,J819/AT819,-1)</f>
        <v>280</v>
      </c>
      <c r="AY819" s="63" t="n">
        <f aca="false">IF(AND(OR(CG819="L1",CG819="L23",CG819="LIFT"),AT819&gt;0),SUMIFS($AT$7:$AT$1843,$CG$7:$CG$1843,CG819,$AX$7:$AX$1843,"&gt;"&amp;AX819)+SUMIFS($AT$7:$AT$1843,$CG$7:$CG$1843,CG819,$AX$7:$AX$1843,AX819,$BX$7:$BX$1843,"&lt;="&amp;BX819),"")</f>
        <v>224.525641025641</v>
      </c>
      <c r="AZ819" s="70" t="n">
        <f aca="false">IF(AY819="",0,MAX(0,MIN(1,(IF(CG819="L1",Parameter!$H$5,IF(CG819="L23",Parameter!$H$6+Parameter!$H$7,Parameter!$H$5+Parameter!$H$6+Parameter!$H$7))-(AY819-AT819))/AT819)))</f>
        <v>1</v>
      </c>
      <c r="BA819" s="62" t="n">
        <f aca="false">IF(LEFT(Cockpit!$O$5,1)="A",H819,IF(Parameter!$E$30="MAX-Bestand",IF(CI819=1,CJ819,IF(LEFT(Cockpit!$O$5,1)="B",BG819,MAX(BG819,H819))),ROUNDUP(BE819,0)))</f>
        <v>167</v>
      </c>
      <c r="BB819" s="62" t="n">
        <f aca="false">IF(CA819=1,0,ROUNDUP(BA819/BZ819,0))</f>
        <v>1</v>
      </c>
      <c r="BC819" s="64" t="n">
        <f aca="false">IF(CR819&gt;0,CR819*MAX(1,BA819/X819),IF(CA819=1,IF(BA819&lt;=0,0,CE819*MAX(1,IF(H819&gt;0,BA819/H819,1))),IF(R819&gt;0,BB819/R819,0))/MAX(0.1,N(Parameter!$M$21)))</f>
        <v>0.00714285714285714</v>
      </c>
      <c r="BD819" s="62" t="n">
        <f aca="false">BC819*CC819</f>
        <v>1.10714285714286</v>
      </c>
      <c r="BE819" s="63" t="n">
        <f aca="false">IF(LEFT(Cockpit!$O$5,1)="A",H819,IF(CI819=1,(CL819+CJ819)/2,IF(LEFT(Cockpit!$O$5,1)="B",(CL819+BG819)/2,MAX((CL819+BG819)/2,H819))))</f>
        <v>167</v>
      </c>
      <c r="BF819" s="62" t="n">
        <f aca="false">BE819*G819</f>
        <v>31.73</v>
      </c>
      <c r="BG819" s="62" t="n">
        <f aca="false">ROUNDUP(CL819+MAX(CM819,2*(J819/IF(CH819&gt;0,CH819,MAX(0.1,N(Cockpit!$O$6)))-CL819)),0)</f>
        <v>322</v>
      </c>
      <c r="BH819" s="63" t="n">
        <f aca="false">IF(BD819&gt;0,J819/BD819,-1)</f>
        <v>280</v>
      </c>
      <c r="BI819" s="63" t="n">
        <f aca="false">IF(AND(OR(CG819="L1",CG819="L23",CG819="LIFT"),BD819&gt;0),SUMIFS($BD$7:$BD$1843,$CG$7:$CG$1843,CG819,$BH$7:$BH$1843,"&gt;"&amp;BH819)+SUMIFS($BD$7:$BD$1843,$CG$7:$CG$1843,CG819,$BH$7:$BH$1843,BH819,$BX$7:$BX$1843,"&lt;="&amp;BX819),"")</f>
        <v>262.863095238095</v>
      </c>
      <c r="BJ819" s="70" t="n">
        <f aca="false">IF(BI819="",0,MAX(0,MIN(1,(IF(CG819="L1",Parameter!$H$5,IF(CG819="L23",Parameter!$H$6+Parameter!$H$7,Parameter!$H$5+Parameter!$H$6+Parameter!$H$7))-(BI819-BD819))/BD819)))</f>
        <v>1</v>
      </c>
      <c r="BK819" s="60" t="str">
        <f aca="false">IF(AJ819&lt;=0,"",IF(CG819="Aussen","Aussenlager",IF(CG819="-","Nicht im Lift",IF(AP819&gt;=1,"Lift",IF(AP819&lt;=0,"Aussenlager","teilweise")))))</f>
        <v>Lift</v>
      </c>
      <c r="BL819" s="60" t="str">
        <f aca="false">IF(AT819&lt;=0,"",IF(CG819="Aussen","Aussenlager",IF(CG819="-","Nicht im Lift",IF(AZ819&gt;=1,"Lift",IF(AZ819&lt;=0,"Aussenlager","teilweise")))))</f>
        <v>Lift</v>
      </c>
      <c r="BM819" s="60" t="str">
        <f aca="false">IF(BD819&lt;=0,"",IF(CG819="Aussen","Aussenlager",IF(CG819="-","Nicht im Lift",IF(BJ819&gt;=1,"Lift",IF(BJ819&lt;=0,"Aussenlager","teilweise")))))</f>
        <v>Lift</v>
      </c>
      <c r="BN819" s="60" t="str">
        <f aca="false">IF(A819="","",IF(BW819=1,"Neu; ","")&amp;IF(AND(BW819=0,BR819&lt;0),"negativer Bestand (Export "&amp;BR819&amp;"); ","")&amp;IF(J819&lt;=0,"Kein Verbrauch; ","")&amp;IF(CR819&gt;0,"Lift "&amp;W819&amp;" lt. Liftbericht (Fach "&amp;X819&amp;" Stk); ",IF(CB819=1,"Gebinde geschätzt ("&amp;T819&amp;"); ",IF(CA819=1,"Lose – Tablare geschätzt; ","")))&amp;IF(H819&gt;AW819,"Überbestand "&amp;ROUND(H819-AW819,0)&amp;" Stk / CHF "&amp;ROUND((H819-AW819)*G819,0)&amp;"; ","")&amp;IF(AND(CI819=1,CJ819&lt;CK819),"MAX &lt; MB+LG; ","")&amp;IF(AND(CQ819&gt;0,CP819*10&gt;CQ819),"zu hoch für Tablar; ","")&amp;IF(AND(BW819=0,OR(CI819=1,AB819&lt;&gt;"",U819&lt;&gt;"",V819&lt;&gt;"",AC819&lt;&gt;"")),"manuell übersteuert; ","")&amp;IF(AND(CA819=0,R819=0),"Gebinde unbekannt / Stellmass fehlt; ","")&amp;IF(AND(CA819=0,N(V819)&lt;=0,N(Q819)&lt;=0),"Menge pro Gebinde fehlt (Ist = 1 Gebinde); ","")&amp;BV819)</f>
        <v>negativer Bestand (Export -47); </v>
      </c>
      <c r="BO819" s="60"/>
      <c r="BP819" s="60"/>
      <c r="BQ819" s="67"/>
      <c r="BR819" s="62" t="n">
        <v>-47</v>
      </c>
      <c r="BS819" s="62" t="n">
        <v>122</v>
      </c>
      <c r="BT819" s="61" t="n">
        <v>-8.93000000000001</v>
      </c>
      <c r="BU819" s="62" t="n">
        <v>310</v>
      </c>
      <c r="BV819" s="60"/>
      <c r="BW819" s="65" t="n">
        <v>0</v>
      </c>
      <c r="BX819" s="65" t="n">
        <v>819</v>
      </c>
      <c r="BY819" s="60" t="str">
        <f aca="false">IF(U819&lt;&gt;"",UPPER(TRIM(U819)),IF(CB819=1,UPPER(VLOOKUP(T819,Parameter!$I$27:$K$29,2,0)),IF(P819="","LOSE",P819)))</f>
        <v>S22</v>
      </c>
      <c r="BZ819" s="62" t="n">
        <f aca="false">IF(BY819="LOSE",1,IF(N(V819)&gt;0,V819,IF(CB819=1,MAX(1,N(VLOOKUP(T819,Parameter!$I$27:$K$29,3,0)),H819,N(N819)),IF(N(Q819)&gt;0,Q819,MAX(1,H819)))))</f>
        <v>195</v>
      </c>
      <c r="CA819" s="65" t="n">
        <f aca="false">IF(BY819="LOSE",1,0)</f>
        <v>0</v>
      </c>
      <c r="CB819" s="65" t="n">
        <f aca="false">IF(AND(U819="",OR(P819="",P819="LOSE"),T819&lt;&gt;"",N(S819)&lt;=0,ISNUMBER(MATCH(T819,Parameter!$I$27:$I$29,0))),1,0)</f>
        <v>0</v>
      </c>
      <c r="CC819" s="65" t="n">
        <f aca="false">IF(CR819&gt;0,INDEX(Parameter!$H$5:$H$7,W819)/INDEX(Parameter!$E$5:$E$7,W819),IF(AND(CA819=0,N(IFERROR(VLOOKUP(BY819,'Gebinde-Kategorie'!$A$5:$N$45,14,0),0))&gt;0),VLOOKUP(BY819,'Gebinde-Kategorie'!$A$5:$N$45,14,0)*10+Parameter!$M$23,Parameter!$M$24))</f>
        <v>155</v>
      </c>
      <c r="CD819" s="60" t="str">
        <f aca="false">IF(AND(Parameter!$B$19="Ja",E819&lt;&gt;"",ISNUMBER(MATCH(E819,Parameter!$I$35:$I$52,0))),VLOOKUP(E819,Parameter!$I$35:$J$52,2,0),IFERROR(VLOOKUP(D819,Parameter!$A$35:$C$64,2,0),"Nein"))</f>
        <v>2+3</v>
      </c>
      <c r="CE819" s="64" t="n">
        <f aca="false">IF(CA819=0,0,IF(N(S819)&gt;0,S819,IFERROR(VLOOKUP(D819,Parameter!$A$35:$C$64,3,0)+0,0)))</f>
        <v>0</v>
      </c>
      <c r="CF819" s="60" t="n">
        <f aca="false">IF(AB819&lt;&gt;"",AB819,AA819)</f>
        <v>2</v>
      </c>
      <c r="CG819" s="60" t="str">
        <f aca="false">IF(OR(CF819=1,CF819=2,CF819=3),IF(Parameter!$E$27="Ja","LIFT",IF(CF819=1,"L1","L23")),IF(CF819="Aussen","Aussen","-"))</f>
        <v>LIFT</v>
      </c>
      <c r="CH819" s="71" t="n">
        <f aca="false">IF(N(AC819)&gt;0,AC819,0)</f>
        <v>0</v>
      </c>
      <c r="CI819" s="65" t="n">
        <f aca="false">IF(ISNUMBER(AF819),1,0)</f>
        <v>0</v>
      </c>
      <c r="CJ819" s="62" t="n">
        <f aca="false">N(AF819)</f>
        <v>0</v>
      </c>
      <c r="CK819" s="62" t="n">
        <f aca="false">N(M819)+N(N819)</f>
        <v>322</v>
      </c>
      <c r="CL819" s="62" t="n">
        <f aca="false">N(M819)</f>
        <v>12</v>
      </c>
      <c r="CM819" s="62" t="n">
        <f aca="false">N(N819)</f>
        <v>310</v>
      </c>
      <c r="CN819" s="62" t="n">
        <f aca="false">ROUNDUP(H819/BZ819,0)</f>
        <v>1</v>
      </c>
      <c r="CO819" s="62" t="n">
        <f aca="false">ROUNDUP(CJ819/BZ819,0)</f>
        <v>0</v>
      </c>
      <c r="CP819" s="65" t="n">
        <f aca="false">IF(CA819=1,0,IFERROR(VLOOKUP(BY819,'Gebinde-Kategorie'!$A$5:$N$45,5,0)+0,0))</f>
        <v>8</v>
      </c>
      <c r="CQ819" s="65" t="n">
        <f aca="false">IFERROR(IF(OR(CF819=1,CF819=2,CF819=3),N(INDEX(Parameter!$I$5:$I$7,CF819)),0),0)</f>
        <v>0</v>
      </c>
      <c r="CR819" s="64" t="n">
        <f aca="false">IF(AND(Parameter!$B$21="Ja",ISNUMBER(W819),N(X819)&gt;0),IFERROR(N(INDEX(Parameter!$L$5:$L$7,W819))*INDEX(Parameter!$E$5:$E$7,W819)*X819/SUMIFS($X$7:$X$1843,$W$7:$W$1843,W819),0),0)</f>
        <v>0</v>
      </c>
      <c r="CS819" s="62" t="n">
        <f aca="false">IF(AND(OR(CG819="L1",CG819="L23",CG819="LIFT"),H819&gt;0),CC819*IF(CR819&gt;0,CR819*MAX(1,H819/X819),IF(CA819=1,CE819,IF(R819&gt;0,CN819/R819,0))/MAX(0.1,N(Parameter!$M$21))),"")</f>
        <v>1.10714285714286</v>
      </c>
      <c r="CT819" s="64" t="n">
        <f aca="false">IF(CS819="","",J819/H819)</f>
        <v>4.13333333333333</v>
      </c>
      <c r="CU819" s="62" t="n">
        <f aca="false">IF(CS819="","",H819*G819)</f>
        <v>14.25</v>
      </c>
      <c r="CV819" s="63" t="n">
        <f aca="false">IF(CS819="","",(CL819+ROUNDUP(CL819+MAX(CM819,2*(J819/MAX(0.1,N(Einkauf!$C$6))-CL819)),0))/2)</f>
        <v>167</v>
      </c>
      <c r="CW819" s="62" t="n">
        <f aca="false">IF(CS819="","",MAX(0,H819-CV819)*G819)</f>
        <v>0</v>
      </c>
      <c r="CX819" s="62" t="n">
        <f aca="false">IF(CS819="","",CS819*MAX(0,1-CV819/H819))</f>
        <v>0</v>
      </c>
      <c r="CY819" s="64" t="n">
        <f aca="false">IF(CS819="","",PERCENTRANK($CS$7:$CS$1843,CS819)+PERCENTRANK($CU$7:$CU$1843,CU819)+1-PERCENTRANK($CT$7:$CT$1843,CT819))</f>
        <v>0.1719</v>
      </c>
      <c r="CZ819" s="72" t="n">
        <f aca="false">IF(CS819="","",CHOOSE(MATCH(Einkauf!$C$5,Parameter!$G$23:$G$27,0),CY819,CS819,CU819,-CT819,CW819)+ROW()/1000000000)</f>
        <v>0.171900819</v>
      </c>
    </row>
    <row r="820" customFormat="false" ht="15" hidden="false" customHeight="false" outlineLevel="0" collapsed="false">
      <c r="A820" s="60" t="s">
        <v>1624</v>
      </c>
      <c r="B820" s="60" t="s">
        <v>1625</v>
      </c>
      <c r="C820" s="60" t="s">
        <v>206</v>
      </c>
      <c r="D820" s="60" t="s">
        <v>226</v>
      </c>
      <c r="E820" s="60" t="s">
        <v>227</v>
      </c>
      <c r="F820" s="60" t="s">
        <v>260</v>
      </c>
      <c r="G820" s="61" t="n">
        <v>9.4</v>
      </c>
      <c r="H820" s="62" t="n">
        <f aca="false">MAX(0,IF(AND(Parameter!$B$21="Ja",ISNUMBER(Y820)),Y820,IF(Parameter!$B$20="Jahresanfang 2025 + Export",BS820+BR820,BR820)))</f>
        <v>10</v>
      </c>
      <c r="I820" s="62" t="n">
        <f aca="false">H820*G820</f>
        <v>94</v>
      </c>
      <c r="J820" s="62" t="n">
        <f aca="false">BU820*Parameter!$B$18</f>
        <v>0</v>
      </c>
      <c r="K820" s="63" t="n">
        <v>10.5</v>
      </c>
      <c r="L820" s="64" t="n">
        <v>0</v>
      </c>
      <c r="M820" s="62" t="n">
        <v>0</v>
      </c>
      <c r="N820" s="62" t="n">
        <v>1</v>
      </c>
      <c r="O820" s="65" t="n">
        <v>14</v>
      </c>
      <c r="P820" s="60" t="s">
        <v>468</v>
      </c>
      <c r="Q820" s="62" t="n">
        <v>15</v>
      </c>
      <c r="R820" s="65" t="n">
        <f aca="false">IF(CA820=1,0,IFERROR(VLOOKUP(BY820,'Gebinde-Kategorie'!$A$5:$N$45,13,0)+0,0))</f>
        <v>140</v>
      </c>
      <c r="S820" s="66"/>
      <c r="T820" s="67"/>
      <c r="U820" s="67"/>
      <c r="V820" s="67"/>
      <c r="W820" s="60"/>
      <c r="X820" s="62"/>
      <c r="Y820" s="62"/>
      <c r="Z820" s="60" t="n">
        <v>2</v>
      </c>
      <c r="AA820" s="60" t="n">
        <f aca="false">IF(A820="","",IF(AND(Parameter!$B$21="Ja",ISNUMBER(W820)),W820,IF(AND(Parameter!$E$27="Ja",ISNUMBER(Z820),CD820&lt;&gt;"Nein"),Z820,IF(CD820="2+3",IF(ISNUMBER(SEARCH("grosser Artikel",BV820)),2,IFERROR(VLOOKUP(BY820,Parameter!$F$35:$G$64,2,0),2)),IF(OR(CD820="Nein",CD820=""),"-",CD820)))))</f>
        <v>2</v>
      </c>
      <c r="AB820" s="67"/>
      <c r="AC820" s="68"/>
      <c r="AD820" s="62" t="n">
        <f aca="false">AW820</f>
        <v>1</v>
      </c>
      <c r="AE820" s="62" t="n">
        <f aca="false">MAX(AW820,H820)</f>
        <v>10</v>
      </c>
      <c r="AF820" s="69"/>
      <c r="AG820" s="62" t="n">
        <f aca="false">IF(LEFT(Cockpit!$C$5,1)="A",H820,IF(Parameter!$E$30="MAX-Bestand",IF(CI820=1,CJ820,IF(LEFT(Cockpit!$C$5,1)="B",AM820,MAX(AM820,H820))),ROUNDUP(AK820,0)))</f>
        <v>10</v>
      </c>
      <c r="AH820" s="62" t="n">
        <f aca="false">IF(CA820=1,0,ROUNDUP(AG820/BZ820,0))</f>
        <v>1</v>
      </c>
      <c r="AI820" s="64" t="n">
        <f aca="false">IF(CR820&gt;0,CR820*MAX(1,AG820/X820),IF(CA820=1,IF(AG820&lt;=0,0,CE820*MAX(1,IF(H820&gt;0,AG820/H820,1))),IF(R820&gt;0,AH820/R820,0))/MAX(0.1,N(Parameter!$M$21)))</f>
        <v>0.00714285714285714</v>
      </c>
      <c r="AJ820" s="62" t="n">
        <f aca="false">AI820*CC820</f>
        <v>1.10714285714286</v>
      </c>
      <c r="AK820" s="63" t="n">
        <f aca="false">IF(LEFT(Cockpit!$C$5,1)="A",H820,IF(CI820=1,(CL820+CJ820)/2,IF(LEFT(Cockpit!$C$5,1)="B",(CL820+AM820)/2,MAX((CL820+AM820)/2,H820))))</f>
        <v>10</v>
      </c>
      <c r="AL820" s="62" t="n">
        <f aca="false">AK820*G820</f>
        <v>94</v>
      </c>
      <c r="AM820" s="62" t="n">
        <f aca="false">ROUNDUP(CL820+MAX(CM820,2*(J820/IF(CH820&gt;0,CH820,MAX(0.1,N(Cockpit!$C$6)))-CL820)),0)</f>
        <v>1</v>
      </c>
      <c r="AN820" s="63" t="n">
        <f aca="false">IF(AJ820&gt;0,J820/AJ820,-1)</f>
        <v>0</v>
      </c>
      <c r="AO820" s="63" t="n">
        <f aca="false">IF(AND(OR(CG820="L1",CG820="L23",CG820="LIFT"),AJ820&gt;0),SUMIFS($AJ$7:$AJ$1843,$CG$7:$CG$1843,CG820,$AN$7:$AN$1843,"&gt;"&amp;AN820)+SUMIFS($AJ$7:$AJ$1843,$CG$7:$CG$1843,CG820,$AN$7:$AN$1843,AN820,$BX$7:$BX$1843,"&lt;="&amp;BX820),"")</f>
        <v>28783.6952230914</v>
      </c>
      <c r="AP820" s="70" t="n">
        <f aca="false">IF(AO820="",0,MAX(0,MIN(1,(IF(CG820="L1",Parameter!$H$5,IF(CG820="L23",Parameter!$H$6+Parameter!$H$7,Parameter!$H$5+Parameter!$H$6+Parameter!$H$7))-(AO820-AJ820))/AJ820)))</f>
        <v>1</v>
      </c>
      <c r="AQ820" s="62" t="n">
        <f aca="false">IF(LEFT(Cockpit!$I$5,1)="A",H820,IF(Parameter!$E$30="MAX-Bestand",IF(CI820=1,CJ820,IF(LEFT(Cockpit!$I$5,1)="B",AW820,MAX(AW820,H820))),ROUNDUP(AU820,0)))</f>
        <v>10</v>
      </c>
      <c r="AR820" s="62" t="n">
        <f aca="false">IF(CA820=1,0,ROUNDUP(AQ820/BZ820,0))</f>
        <v>1</v>
      </c>
      <c r="AS820" s="64" t="n">
        <f aca="false">IF(CR820&gt;0,CR820*MAX(1,AQ820/X820),IF(CA820=1,IF(AQ820&lt;=0,0,CE820*MAX(1,IF(H820&gt;0,AQ820/H820,1))),IF(R820&gt;0,AR820/R820,0))/MAX(0.1,N(Parameter!$M$21)))</f>
        <v>0.00714285714285714</v>
      </c>
      <c r="AT820" s="62" t="n">
        <f aca="false">AS820*CC820</f>
        <v>1.10714285714286</v>
      </c>
      <c r="AU820" s="63" t="n">
        <f aca="false">IF(LEFT(Cockpit!$I$5,1)="A",H820,IF(CI820=1,(CL820+CJ820)/2,IF(LEFT(Cockpit!$I$5,1)="B",(CL820+AW820)/2,MAX((CL820+AW820)/2,H820))))</f>
        <v>10</v>
      </c>
      <c r="AV820" s="62" t="n">
        <f aca="false">AU820*G820</f>
        <v>94</v>
      </c>
      <c r="AW820" s="62" t="n">
        <f aca="false">ROUNDUP(CL820+MAX(CM820,2*(J820/IF(CH820&gt;0,CH820,MAX(0.1,N(Cockpit!$I$6)))-CL820)),0)</f>
        <v>1</v>
      </c>
      <c r="AX820" s="63" t="n">
        <f aca="false">IF(AT820&gt;0,J820/AT820,-1)</f>
        <v>0</v>
      </c>
      <c r="AY820" s="63" t="n">
        <f aca="false">IF(AND(OR(CG820="L1",CG820="L23",CG820="LIFT"),AT820&gt;0),SUMIFS($AT$7:$AT$1843,$CG$7:$CG$1843,CG820,$AX$7:$AX$1843,"&gt;"&amp;AX820)+SUMIFS($AT$7:$AT$1843,$CG$7:$CG$1843,CG820,$AX$7:$AX$1843,AX820,$BX$7:$BX$1843,"&lt;="&amp;BX820),"")</f>
        <v>34394.9935897436</v>
      </c>
      <c r="AZ820" s="70" t="n">
        <f aca="false">IF(AY820="",0,MAX(0,MIN(1,(IF(CG820="L1",Parameter!$H$5,IF(CG820="L23",Parameter!$H$6+Parameter!$H$7,Parameter!$H$5+Parameter!$H$6+Parameter!$H$7))-(AY820-AT820))/AT820)))</f>
        <v>1</v>
      </c>
      <c r="BA820" s="62" t="n">
        <f aca="false">IF(LEFT(Cockpit!$O$5,1)="A",H820,IF(Parameter!$E$30="MAX-Bestand",IF(CI820=1,CJ820,IF(LEFT(Cockpit!$O$5,1)="B",BG820,MAX(BG820,H820))),ROUNDUP(BE820,0)))</f>
        <v>1</v>
      </c>
      <c r="BB820" s="62" t="n">
        <f aca="false">IF(CA820=1,0,ROUNDUP(BA820/BZ820,0))</f>
        <v>1</v>
      </c>
      <c r="BC820" s="64" t="n">
        <f aca="false">IF(CR820&gt;0,CR820*MAX(1,BA820/X820),IF(CA820=1,IF(BA820&lt;=0,0,CE820*MAX(1,IF(H820&gt;0,BA820/H820,1))),IF(R820&gt;0,BB820/R820,0))/MAX(0.1,N(Parameter!$M$21)))</f>
        <v>0.00714285714285714</v>
      </c>
      <c r="BD820" s="62" t="n">
        <f aca="false">BC820*CC820</f>
        <v>1.10714285714286</v>
      </c>
      <c r="BE820" s="63" t="n">
        <f aca="false">IF(LEFT(Cockpit!$O$5,1)="A",H820,IF(CI820=1,(CL820+CJ820)/2,IF(LEFT(Cockpit!$O$5,1)="B",(CL820+BG820)/2,MAX((CL820+BG820)/2,H820))))</f>
        <v>0.5</v>
      </c>
      <c r="BF820" s="62" t="n">
        <f aca="false">BE820*G820</f>
        <v>4.7</v>
      </c>
      <c r="BG820" s="62" t="n">
        <f aca="false">ROUNDUP(CL820+MAX(CM820,2*(J820/IF(CH820&gt;0,CH820,MAX(0.1,N(Cockpit!$O$6)))-CL820)),0)</f>
        <v>1</v>
      </c>
      <c r="BH820" s="63" t="n">
        <f aca="false">IF(BD820&gt;0,J820/BD820,-1)</f>
        <v>0</v>
      </c>
      <c r="BI820" s="63" t="n">
        <f aca="false">IF(AND(OR(CG820="L1",CG820="L23",CG820="LIFT"),BD820&gt;0),SUMIFS($BD$7:$BD$1843,$CG$7:$CG$1843,CG820,$BH$7:$BH$1843,"&gt;"&amp;BH820)+SUMIFS($BD$7:$BD$1843,$CG$7:$CG$1843,CG820,$BH$7:$BH$1843,BH820,$BX$7:$BX$1843,"&lt;="&amp;BX820),"")</f>
        <v>28434.7755246166</v>
      </c>
      <c r="BJ820" s="70" t="n">
        <f aca="false">IF(BI820="",0,MAX(0,MIN(1,(IF(CG820="L1",Parameter!$H$5,IF(CG820="L23",Parameter!$H$6+Parameter!$H$7,Parameter!$H$5+Parameter!$H$6+Parameter!$H$7))-(BI820-BD820))/BD820)))</f>
        <v>1</v>
      </c>
      <c r="BK820" s="60" t="str">
        <f aca="false">IF(AJ820&lt;=0,"",IF(CG820="Aussen","Aussenlager",IF(CG820="-","Nicht im Lift",IF(AP820&gt;=1,"Lift",IF(AP820&lt;=0,"Aussenlager","teilweise")))))</f>
        <v>Lift</v>
      </c>
      <c r="BL820" s="60" t="str">
        <f aca="false">IF(AT820&lt;=0,"",IF(CG820="Aussen","Aussenlager",IF(CG820="-","Nicht im Lift",IF(AZ820&gt;=1,"Lift",IF(AZ820&lt;=0,"Aussenlager","teilweise")))))</f>
        <v>Lift</v>
      </c>
      <c r="BM820" s="60" t="str">
        <f aca="false">IF(BD820&lt;=0,"",IF(CG820="Aussen","Aussenlager",IF(CG820="-","Nicht im Lift",IF(BJ820&gt;=1,"Lift",IF(BJ820&lt;=0,"Aussenlager","teilweise")))))</f>
        <v>Lift</v>
      </c>
      <c r="BN820" s="60" t="str">
        <f aca="false">IF(A820="","",IF(BW820=1,"Neu; ","")&amp;IF(AND(BW820=0,BR820&lt;0),"negativer Bestand (Export "&amp;BR820&amp;"); ","")&amp;IF(J820&lt;=0,"Kein Verbrauch; ","")&amp;IF(CR820&gt;0,"Lift "&amp;W820&amp;" lt. Liftbericht (Fach "&amp;X820&amp;" Stk); ",IF(CB820=1,"Gebinde geschätzt ("&amp;T820&amp;"); ",IF(CA820=1,"Lose – Tablare geschätzt; ","")))&amp;IF(H820&gt;AW820,"Überbestand "&amp;ROUND(H820-AW820,0)&amp;" Stk / CHF "&amp;ROUND((H820-AW820)*G820,0)&amp;"; ","")&amp;IF(AND(CI820=1,CJ820&lt;CK820),"MAX &lt; MB+LG; ","")&amp;IF(AND(CQ820&gt;0,CP820*10&gt;CQ820),"zu hoch für Tablar; ","")&amp;IF(AND(BW820=0,OR(CI820=1,AB820&lt;&gt;"",U820&lt;&gt;"",V820&lt;&gt;"",AC820&lt;&gt;"")),"manuell übersteuert; ","")&amp;IF(AND(CA820=0,R820=0),"Gebinde unbekannt / Stellmass fehlt; ","")&amp;IF(AND(CA820=0,N(V820)&lt;=0,N(Q820)&lt;=0),"Menge pro Gebinde fehlt (Ist = 1 Gebinde); ","")&amp;BV820)</f>
        <v>negativer Bestand (Export -1); Kein Verbrauch; Überbestand 9 Stk / CHF 85; Neu</v>
      </c>
      <c r="BO820" s="60"/>
      <c r="BP820" s="60"/>
      <c r="BQ820" s="67"/>
      <c r="BR820" s="62" t="n">
        <v>-1</v>
      </c>
      <c r="BS820" s="62" t="n">
        <v>11</v>
      </c>
      <c r="BT820" s="61" t="n">
        <v>-9.4</v>
      </c>
      <c r="BU820" s="62" t="n">
        <v>0</v>
      </c>
      <c r="BV820" s="60" t="s">
        <v>668</v>
      </c>
      <c r="BW820" s="65" t="n">
        <v>0</v>
      </c>
      <c r="BX820" s="65" t="n">
        <v>820</v>
      </c>
      <c r="BY820" s="60" t="str">
        <f aca="false">IF(U820&lt;&gt;"",UPPER(TRIM(U820)),IF(CB820=1,UPPER(VLOOKUP(T820,Parameter!$I$27:$K$29,2,0)),IF(P820="","LOSE",P820)))</f>
        <v>S22</v>
      </c>
      <c r="BZ820" s="62" t="n">
        <f aca="false">IF(BY820="LOSE",1,IF(N(V820)&gt;0,V820,IF(CB820=1,MAX(1,N(VLOOKUP(T820,Parameter!$I$27:$K$29,3,0)),H820,N(N820)),IF(N(Q820)&gt;0,Q820,MAX(1,H820)))))</f>
        <v>15</v>
      </c>
      <c r="CA820" s="65" t="n">
        <f aca="false">IF(BY820="LOSE",1,0)</f>
        <v>0</v>
      </c>
      <c r="CB820" s="65" t="n">
        <f aca="false">IF(AND(U820="",OR(P820="",P820="LOSE"),T820&lt;&gt;"",N(S820)&lt;=0,ISNUMBER(MATCH(T820,Parameter!$I$27:$I$29,0))),1,0)</f>
        <v>0</v>
      </c>
      <c r="CC820" s="65" t="n">
        <f aca="false">IF(CR820&gt;0,INDEX(Parameter!$H$5:$H$7,W820)/INDEX(Parameter!$E$5:$E$7,W820),IF(AND(CA820=0,N(IFERROR(VLOOKUP(BY820,'Gebinde-Kategorie'!$A$5:$N$45,14,0),0))&gt;0),VLOOKUP(BY820,'Gebinde-Kategorie'!$A$5:$N$45,14,0)*10+Parameter!$M$23,Parameter!$M$24))</f>
        <v>155</v>
      </c>
      <c r="CD820" s="60" t="str">
        <f aca="false">IF(AND(Parameter!$B$19="Ja",E820&lt;&gt;"",ISNUMBER(MATCH(E820,Parameter!$I$35:$I$52,0))),VLOOKUP(E820,Parameter!$I$35:$J$52,2,0),IFERROR(VLOOKUP(D820,Parameter!$A$35:$C$64,2,0),"Nein"))</f>
        <v>2+3</v>
      </c>
      <c r="CE820" s="64" t="n">
        <f aca="false">IF(CA820=0,0,IF(N(S820)&gt;0,S820,IFERROR(VLOOKUP(D820,Parameter!$A$35:$C$64,3,0)+0,0)))</f>
        <v>0</v>
      </c>
      <c r="CF820" s="60" t="n">
        <f aca="false">IF(AB820&lt;&gt;"",AB820,AA820)</f>
        <v>2</v>
      </c>
      <c r="CG820" s="60" t="str">
        <f aca="false">IF(OR(CF820=1,CF820=2,CF820=3),IF(Parameter!$E$27="Ja","LIFT",IF(CF820=1,"L1","L23")),IF(CF820="Aussen","Aussen","-"))</f>
        <v>LIFT</v>
      </c>
      <c r="CH820" s="71" t="n">
        <f aca="false">IF(N(AC820)&gt;0,AC820,0)</f>
        <v>0</v>
      </c>
      <c r="CI820" s="65" t="n">
        <f aca="false">IF(ISNUMBER(AF820),1,0)</f>
        <v>0</v>
      </c>
      <c r="CJ820" s="62" t="n">
        <f aca="false">N(AF820)</f>
        <v>0</v>
      </c>
      <c r="CK820" s="62" t="n">
        <f aca="false">N(M820)+N(N820)</f>
        <v>1</v>
      </c>
      <c r="CL820" s="62" t="n">
        <f aca="false">N(M820)</f>
        <v>0</v>
      </c>
      <c r="CM820" s="62" t="n">
        <f aca="false">N(N820)</f>
        <v>1</v>
      </c>
      <c r="CN820" s="62" t="n">
        <f aca="false">ROUNDUP(H820/BZ820,0)</f>
        <v>1</v>
      </c>
      <c r="CO820" s="62" t="n">
        <f aca="false">ROUNDUP(CJ820/BZ820,0)</f>
        <v>0</v>
      </c>
      <c r="CP820" s="65" t="n">
        <f aca="false">IF(CA820=1,0,IFERROR(VLOOKUP(BY820,'Gebinde-Kategorie'!$A$5:$N$45,5,0)+0,0))</f>
        <v>8</v>
      </c>
      <c r="CQ820" s="65" t="n">
        <f aca="false">IFERROR(IF(OR(CF820=1,CF820=2,CF820=3),N(INDEX(Parameter!$I$5:$I$7,CF820)),0),0)</f>
        <v>0</v>
      </c>
      <c r="CR820" s="64" t="n">
        <f aca="false">IF(AND(Parameter!$B$21="Ja",ISNUMBER(W820),N(X820)&gt;0),IFERROR(N(INDEX(Parameter!$L$5:$L$7,W820))*INDEX(Parameter!$E$5:$E$7,W820)*X820/SUMIFS($X$7:$X$1843,$W$7:$W$1843,W820),0),0)</f>
        <v>0</v>
      </c>
      <c r="CS820" s="62" t="n">
        <f aca="false">IF(AND(OR(CG820="L1",CG820="L23",CG820="LIFT"),H820&gt;0),CC820*IF(CR820&gt;0,CR820*MAX(1,H820/X820),IF(CA820=1,CE820,IF(R820&gt;0,CN820/R820,0))/MAX(0.1,N(Parameter!$M$21))),"")</f>
        <v>1.10714285714286</v>
      </c>
      <c r="CT820" s="64" t="n">
        <f aca="false">IF(CS820="","",J820/H820)</f>
        <v>0</v>
      </c>
      <c r="CU820" s="62" t="n">
        <f aca="false">IF(CS820="","",H820*G820)</f>
        <v>94</v>
      </c>
      <c r="CV820" s="63" t="n">
        <f aca="false">IF(CS820="","",(CL820+ROUNDUP(CL820+MAX(CM820,2*(J820/MAX(0.1,N(Einkauf!$C$6))-CL820)),0))/2)</f>
        <v>0.5</v>
      </c>
      <c r="CW820" s="62" t="n">
        <f aca="false">IF(CS820="","",MAX(0,H820-CV820)*G820)</f>
        <v>89.3</v>
      </c>
      <c r="CX820" s="62" t="n">
        <f aca="false">IF(CS820="","",CS820*MAX(0,1-CV820/H820))</f>
        <v>1.05178571428571</v>
      </c>
      <c r="CY820" s="64" t="n">
        <f aca="false">IF(CS820="","",PERCENTRANK($CS$7:$CS$1843,CS820)+PERCENTRANK($CU$7:$CU$1843,CU820)+1-PERCENTRANK($CT$7:$CT$1843,CT820))</f>
        <v>1.2784</v>
      </c>
      <c r="CZ820" s="72" t="n">
        <f aca="false">IF(CS820="","",CHOOSE(MATCH(Einkauf!$C$5,Parameter!$G$23:$G$27,0),CY820,CS820,CU820,-CT820,CW820)+ROW()/1000000000)</f>
        <v>1.27840082</v>
      </c>
    </row>
    <row r="821" customFormat="false" ht="15" hidden="false" customHeight="false" outlineLevel="0" collapsed="false">
      <c r="A821" s="60" t="s">
        <v>1626</v>
      </c>
      <c r="B821" s="60" t="s">
        <v>449</v>
      </c>
      <c r="C821" s="60" t="s">
        <v>206</v>
      </c>
      <c r="D821" s="60" t="s">
        <v>226</v>
      </c>
      <c r="E821" s="60" t="s">
        <v>227</v>
      </c>
      <c r="F821" s="60" t="s">
        <v>260</v>
      </c>
      <c r="G821" s="61" t="n">
        <v>0.02</v>
      </c>
      <c r="H821" s="62" t="n">
        <f aca="false">MAX(0,IF(AND(Parameter!$B$21="Ja",ISNUMBER(Y821)),Y821,IF(Parameter!$B$20="Jahresanfang 2025 + Export",BS821+BR821,BR821)))</f>
        <v>216</v>
      </c>
      <c r="I821" s="62" t="n">
        <f aca="false">H821*G821</f>
        <v>4.32</v>
      </c>
      <c r="J821" s="62" t="n">
        <f aca="false">BU821*Parameter!$B$18</f>
        <v>684</v>
      </c>
      <c r="K821" s="63" t="n">
        <v>535.5</v>
      </c>
      <c r="L821" s="64" t="n">
        <v>1.27731092436975</v>
      </c>
      <c r="M821" s="62" t="n">
        <v>39</v>
      </c>
      <c r="N821" s="62" t="n">
        <v>1000</v>
      </c>
      <c r="O821" s="65" t="n">
        <v>21</v>
      </c>
      <c r="P821" s="60" t="s">
        <v>443</v>
      </c>
      <c r="Q821" s="62" t="n">
        <v>218</v>
      </c>
      <c r="R821" s="65" t="n">
        <f aca="false">IF(CA821=1,0,IFERROR(VLOOKUP(BY821,'Gebinde-Kategorie'!$A$5:$N$45,13,0)+0,0))</f>
        <v>280</v>
      </c>
      <c r="S821" s="66"/>
      <c r="T821" s="67"/>
      <c r="U821" s="67"/>
      <c r="V821" s="67"/>
      <c r="W821" s="60"/>
      <c r="X821" s="62"/>
      <c r="Y821" s="62"/>
      <c r="Z821" s="60" t="n">
        <v>2</v>
      </c>
      <c r="AA821" s="60" t="n">
        <f aca="false">IF(A821="","",IF(AND(Parameter!$B$21="Ja",ISNUMBER(W821)),W821,IF(AND(Parameter!$E$27="Ja",ISNUMBER(Z821),CD821&lt;&gt;"Nein"),Z821,IF(CD821="2+3",IF(ISNUMBER(SEARCH("grosser Artikel",BV821)),2,IFERROR(VLOOKUP(BY821,Parameter!$F$35:$G$64,2,0),2)),IF(OR(CD821="Nein",CD821=""),"-",CD821)))))</f>
        <v>2</v>
      </c>
      <c r="AB821" s="67"/>
      <c r="AC821" s="68"/>
      <c r="AD821" s="62" t="n">
        <f aca="false">AW821</f>
        <v>1039</v>
      </c>
      <c r="AE821" s="62" t="n">
        <f aca="false">MAX(AW821,H821)</f>
        <v>1039</v>
      </c>
      <c r="AF821" s="69"/>
      <c r="AG821" s="62" t="n">
        <f aca="false">IF(LEFT(Cockpit!$C$5,1)="A",H821,IF(Parameter!$E$30="MAX-Bestand",IF(CI821=1,CJ821,IF(LEFT(Cockpit!$C$5,1)="B",AM821,MAX(AM821,H821))),ROUNDUP(AK821,0)))</f>
        <v>216</v>
      </c>
      <c r="AH821" s="62" t="n">
        <f aca="false">IF(CA821=1,0,ROUNDUP(AG821/BZ821,0))</f>
        <v>1</v>
      </c>
      <c r="AI821" s="64" t="n">
        <f aca="false">IF(CR821&gt;0,CR821*MAX(1,AG821/X821),IF(CA821=1,IF(AG821&lt;=0,0,CE821*MAX(1,IF(H821&gt;0,AG821/H821,1))),IF(R821&gt;0,AH821/R821,0))/MAX(0.1,N(Parameter!$M$21)))</f>
        <v>0.00357142857142857</v>
      </c>
      <c r="AJ821" s="62" t="n">
        <f aca="false">AI821*CC821</f>
        <v>0.553571428571429</v>
      </c>
      <c r="AK821" s="63" t="n">
        <f aca="false">IF(LEFT(Cockpit!$C$5,1)="A",H821,IF(CI821=1,(CL821+CJ821)/2,IF(LEFT(Cockpit!$C$5,1)="B",(CL821+AM821)/2,MAX((CL821+AM821)/2,H821))))</f>
        <v>216</v>
      </c>
      <c r="AL821" s="62" t="n">
        <f aca="false">AK821*G821</f>
        <v>4.32</v>
      </c>
      <c r="AM821" s="62" t="n">
        <f aca="false">ROUNDUP(CL821+MAX(CM821,2*(J821/IF(CH821&gt;0,CH821,MAX(0.1,N(Cockpit!$C$6)))-CL821)),0)</f>
        <v>1039</v>
      </c>
      <c r="AN821" s="63" t="n">
        <f aca="false">IF(AJ821&gt;0,J821/AJ821,-1)</f>
        <v>1235.61290322581</v>
      </c>
      <c r="AO821" s="63" t="n">
        <f aca="false">IF(AND(OR(CG821="L1",CG821="L23",CG821="LIFT"),AJ821&gt;0),SUMIFS($AJ$7:$AJ$1843,$CG$7:$CG$1843,CG821,$AN$7:$AN$1843,"&gt;"&amp;AN821)+SUMIFS($AJ$7:$AJ$1843,$CG$7:$CG$1843,CG821,$AN$7:$AN$1843,AN821,$BX$7:$BX$1843,"&lt;="&amp;BX821),"")</f>
        <v>12.4766483516484</v>
      </c>
      <c r="AP821" s="70" t="n">
        <f aca="false">IF(AO821="",0,MAX(0,MIN(1,(IF(CG821="L1",Parameter!$H$5,IF(CG821="L23",Parameter!$H$6+Parameter!$H$7,Parameter!$H$5+Parameter!$H$6+Parameter!$H$7))-(AO821-AJ821))/AJ821)))</f>
        <v>1</v>
      </c>
      <c r="AQ821" s="62" t="n">
        <f aca="false">IF(LEFT(Cockpit!$I$5,1)="A",H821,IF(Parameter!$E$30="MAX-Bestand",IF(CI821=1,CJ821,IF(LEFT(Cockpit!$I$5,1)="B",AW821,MAX(AW821,H821))),ROUNDUP(AU821,0)))</f>
        <v>539</v>
      </c>
      <c r="AR821" s="62" t="n">
        <f aca="false">IF(CA821=1,0,ROUNDUP(AQ821/BZ821,0))</f>
        <v>3</v>
      </c>
      <c r="AS821" s="64" t="n">
        <f aca="false">IF(CR821&gt;0,CR821*MAX(1,AQ821/X821),IF(CA821=1,IF(AQ821&lt;=0,0,CE821*MAX(1,IF(H821&gt;0,AQ821/H821,1))),IF(R821&gt;0,AR821/R821,0))/MAX(0.1,N(Parameter!$M$21)))</f>
        <v>0.0107142857142857</v>
      </c>
      <c r="AT821" s="62" t="n">
        <f aca="false">AS821*CC821</f>
        <v>1.66071428571429</v>
      </c>
      <c r="AU821" s="63" t="n">
        <f aca="false">IF(LEFT(Cockpit!$I$5,1)="A",H821,IF(CI821=1,(CL821+CJ821)/2,IF(LEFT(Cockpit!$I$5,1)="B",(CL821+AW821)/2,MAX((CL821+AW821)/2,H821))))</f>
        <v>539</v>
      </c>
      <c r="AV821" s="62" t="n">
        <f aca="false">AU821*G821</f>
        <v>10.78</v>
      </c>
      <c r="AW821" s="62" t="n">
        <f aca="false">ROUNDUP(CL821+MAX(CM821,2*(J821/IF(CH821&gt;0,CH821,MAX(0.1,N(Cockpit!$I$6)))-CL821)),0)</f>
        <v>1039</v>
      </c>
      <c r="AX821" s="63" t="n">
        <f aca="false">IF(AT821&gt;0,J821/AT821,-1)</f>
        <v>411.870967741936</v>
      </c>
      <c r="AY821" s="63" t="n">
        <f aca="false">IF(AND(OR(CG821="L1",CG821="L23",CG821="LIFT"),AT821&gt;0),SUMIFS($AT$7:$AT$1843,$CG$7:$CG$1843,CG821,$AX$7:$AX$1843,"&gt;"&amp;AX821)+SUMIFS($AT$7:$AT$1843,$CG$7:$CG$1843,CG821,$AX$7:$AX$1843,AX821,$BX$7:$BX$1843,"&lt;="&amp;BX821),"")</f>
        <v>105.781593406593</v>
      </c>
      <c r="AZ821" s="70" t="n">
        <f aca="false">IF(AY821="",0,MAX(0,MIN(1,(IF(CG821="L1",Parameter!$H$5,IF(CG821="L23",Parameter!$H$6+Parameter!$H$7,Parameter!$H$5+Parameter!$H$6+Parameter!$H$7))-(AY821-AT821))/AT821)))</f>
        <v>1</v>
      </c>
      <c r="BA821" s="62" t="n">
        <f aca="false">IF(LEFT(Cockpit!$O$5,1)="A",H821,IF(Parameter!$E$30="MAX-Bestand",IF(CI821=1,CJ821,IF(LEFT(Cockpit!$O$5,1)="B",BG821,MAX(BG821,H821))),ROUNDUP(BE821,0)))</f>
        <v>539</v>
      </c>
      <c r="BB821" s="62" t="n">
        <f aca="false">IF(CA821=1,0,ROUNDUP(BA821/BZ821,0))</f>
        <v>3</v>
      </c>
      <c r="BC821" s="64" t="n">
        <f aca="false">IF(CR821&gt;0,CR821*MAX(1,BA821/X821),IF(CA821=1,IF(BA821&lt;=0,0,CE821*MAX(1,IF(H821&gt;0,BA821/H821,1))),IF(R821&gt;0,BB821/R821,0))/MAX(0.1,N(Parameter!$M$21)))</f>
        <v>0.0107142857142857</v>
      </c>
      <c r="BD821" s="62" t="n">
        <f aca="false">BC821*CC821</f>
        <v>1.66071428571429</v>
      </c>
      <c r="BE821" s="63" t="n">
        <f aca="false">IF(LEFT(Cockpit!$O$5,1)="A",H821,IF(CI821=1,(CL821+CJ821)/2,IF(LEFT(Cockpit!$O$5,1)="B",(CL821+BG821)/2,MAX((CL821+BG821)/2,H821))))</f>
        <v>539</v>
      </c>
      <c r="BF821" s="62" t="n">
        <f aca="false">BE821*G821</f>
        <v>10.78</v>
      </c>
      <c r="BG821" s="62" t="n">
        <f aca="false">ROUNDUP(CL821+MAX(CM821,2*(J821/IF(CH821&gt;0,CH821,MAX(0.1,N(Cockpit!$O$6)))-CL821)),0)</f>
        <v>1039</v>
      </c>
      <c r="BH821" s="63" t="n">
        <f aca="false">IF(BD821&gt;0,J821/BD821,-1)</f>
        <v>411.870967741936</v>
      </c>
      <c r="BI821" s="63" t="n">
        <f aca="false">IF(AND(OR(CG821="L1",CG821="L23",CG821="LIFT"),BD821&gt;0),SUMIFS($BD$7:$BD$1843,$CG$7:$CG$1843,CG821,$BH$7:$BH$1843,"&gt;"&amp;BH821)+SUMIFS($BD$7:$BD$1843,$CG$7:$CG$1843,CG821,$BH$7:$BH$1843,BH821,$BX$7:$BX$1843,"&lt;="&amp;BX821),"")</f>
        <v>177.440934065934</v>
      </c>
      <c r="BJ821" s="70" t="n">
        <f aca="false">IF(BI821="",0,MAX(0,MIN(1,(IF(CG821="L1",Parameter!$H$5,IF(CG821="L23",Parameter!$H$6+Parameter!$H$7,Parameter!$H$5+Parameter!$H$6+Parameter!$H$7))-(BI821-BD821))/BD821)))</f>
        <v>1</v>
      </c>
      <c r="BK821" s="60" t="str">
        <f aca="false">IF(AJ821&lt;=0,"",IF(CG821="Aussen","Aussenlager",IF(CG821="-","Nicht im Lift",IF(AP821&gt;=1,"Lift",IF(AP821&lt;=0,"Aussenlager","teilweise")))))</f>
        <v>Lift</v>
      </c>
      <c r="BL821" s="60" t="str">
        <f aca="false">IF(AT821&lt;=0,"",IF(CG821="Aussen","Aussenlager",IF(CG821="-","Nicht im Lift",IF(AZ821&gt;=1,"Lift",IF(AZ821&lt;=0,"Aussenlager","teilweise")))))</f>
        <v>Lift</v>
      </c>
      <c r="BM821" s="60" t="str">
        <f aca="false">IF(BD821&lt;=0,"",IF(CG821="Aussen","Aussenlager",IF(CG821="-","Nicht im Lift",IF(BJ821&gt;=1,"Lift",IF(BJ821&lt;=0,"Aussenlager","teilweise")))))</f>
        <v>Lift</v>
      </c>
      <c r="BN821" s="60" t="str">
        <f aca="false">IF(A821="","",IF(BW821=1,"Neu; ","")&amp;IF(AND(BW821=0,BR821&lt;0),"negativer Bestand (Export "&amp;BR821&amp;"); ","")&amp;IF(J821&lt;=0,"Kein Verbrauch; ","")&amp;IF(CR821&gt;0,"Lift "&amp;W821&amp;" lt. Liftbericht (Fach "&amp;X821&amp;" Stk); ",IF(CB821=1,"Gebinde geschätzt ("&amp;T821&amp;"); ",IF(CA821=1,"Lose – Tablare geschätzt; ","")))&amp;IF(H821&gt;AW821,"Überbestand "&amp;ROUND(H821-AW821,0)&amp;" Stk / CHF "&amp;ROUND((H821-AW821)*G821,0)&amp;"; ","")&amp;IF(AND(CI821=1,CJ821&lt;CK821),"MAX &lt; MB+LG; ","")&amp;IF(AND(CQ821&gt;0,CP821*10&gt;CQ821),"zu hoch für Tablar; ","")&amp;IF(AND(BW821=0,OR(CI821=1,AB821&lt;&gt;"",U821&lt;&gt;"",V821&lt;&gt;"",AC821&lt;&gt;"")),"manuell übersteuert; ","")&amp;IF(AND(CA821=0,R821=0),"Gebinde unbekannt / Stellmass fehlt; ","")&amp;IF(AND(CA821=0,N(V821)&lt;=0,N(Q821)&lt;=0),"Menge pro Gebinde fehlt (Ist = 1 Gebinde); ","")&amp;BV821)</f>
        <v>negativer Bestand (Export -272); </v>
      </c>
      <c r="BO821" s="60"/>
      <c r="BP821" s="60"/>
      <c r="BQ821" s="67"/>
      <c r="BR821" s="62" t="n">
        <v>-272</v>
      </c>
      <c r="BS821" s="62" t="n">
        <v>488</v>
      </c>
      <c r="BT821" s="61" t="n">
        <v>-9.70999999999995</v>
      </c>
      <c r="BU821" s="62" t="n">
        <v>684</v>
      </c>
      <c r="BV821" s="60"/>
      <c r="BW821" s="65" t="n">
        <v>0</v>
      </c>
      <c r="BX821" s="65" t="n">
        <v>821</v>
      </c>
      <c r="BY821" s="60" t="str">
        <f aca="false">IF(U821&lt;&gt;"",UPPER(TRIM(U821)),IF(CB821=1,UPPER(VLOOKUP(T821,Parameter!$I$27:$K$29,2,0)),IF(P821="","LOSE",P821)))</f>
        <v>S21</v>
      </c>
      <c r="BZ821" s="62" t="n">
        <f aca="false">IF(BY821="LOSE",1,IF(N(V821)&gt;0,V821,IF(CB821=1,MAX(1,N(VLOOKUP(T821,Parameter!$I$27:$K$29,3,0)),H821,N(N821)),IF(N(Q821)&gt;0,Q821,MAX(1,H821)))))</f>
        <v>218</v>
      </c>
      <c r="CA821" s="65" t="n">
        <f aca="false">IF(BY821="LOSE",1,0)</f>
        <v>0</v>
      </c>
      <c r="CB821" s="65" t="n">
        <f aca="false">IF(AND(U821="",OR(P821="",P821="LOSE"),T821&lt;&gt;"",N(S821)&lt;=0,ISNUMBER(MATCH(T821,Parameter!$I$27:$I$29,0))),1,0)</f>
        <v>0</v>
      </c>
      <c r="CC821" s="65" t="n">
        <f aca="false">IF(CR821&gt;0,INDEX(Parameter!$H$5:$H$7,W821)/INDEX(Parameter!$E$5:$E$7,W821),IF(AND(CA821=0,N(IFERROR(VLOOKUP(BY821,'Gebinde-Kategorie'!$A$5:$N$45,14,0),0))&gt;0),VLOOKUP(BY821,'Gebinde-Kategorie'!$A$5:$N$45,14,0)*10+Parameter!$M$23,Parameter!$M$24))</f>
        <v>155</v>
      </c>
      <c r="CD821" s="60" t="str">
        <f aca="false">IF(AND(Parameter!$B$19="Ja",E821&lt;&gt;"",ISNUMBER(MATCH(E821,Parameter!$I$35:$I$52,0))),VLOOKUP(E821,Parameter!$I$35:$J$52,2,0),IFERROR(VLOOKUP(D821,Parameter!$A$35:$C$64,2,0),"Nein"))</f>
        <v>2+3</v>
      </c>
      <c r="CE821" s="64" t="n">
        <f aca="false">IF(CA821=0,0,IF(N(S821)&gt;0,S821,IFERROR(VLOOKUP(D821,Parameter!$A$35:$C$64,3,0)+0,0)))</f>
        <v>0</v>
      </c>
      <c r="CF821" s="60" t="n">
        <f aca="false">IF(AB821&lt;&gt;"",AB821,AA821)</f>
        <v>2</v>
      </c>
      <c r="CG821" s="60" t="str">
        <f aca="false">IF(OR(CF821=1,CF821=2,CF821=3),IF(Parameter!$E$27="Ja","LIFT",IF(CF821=1,"L1","L23")),IF(CF821="Aussen","Aussen","-"))</f>
        <v>LIFT</v>
      </c>
      <c r="CH821" s="71" t="n">
        <f aca="false">IF(N(AC821)&gt;0,AC821,0)</f>
        <v>0</v>
      </c>
      <c r="CI821" s="65" t="n">
        <f aca="false">IF(ISNUMBER(AF821),1,0)</f>
        <v>0</v>
      </c>
      <c r="CJ821" s="62" t="n">
        <f aca="false">N(AF821)</f>
        <v>0</v>
      </c>
      <c r="CK821" s="62" t="n">
        <f aca="false">N(M821)+N(N821)</f>
        <v>1039</v>
      </c>
      <c r="CL821" s="62" t="n">
        <f aca="false">N(M821)</f>
        <v>39</v>
      </c>
      <c r="CM821" s="62" t="n">
        <f aca="false">N(N821)</f>
        <v>1000</v>
      </c>
      <c r="CN821" s="62" t="n">
        <f aca="false">ROUNDUP(H821/BZ821,0)</f>
        <v>1</v>
      </c>
      <c r="CO821" s="62" t="n">
        <f aca="false">ROUNDUP(CJ821/BZ821,0)</f>
        <v>0</v>
      </c>
      <c r="CP821" s="65" t="n">
        <f aca="false">IF(CA821=1,0,IFERROR(VLOOKUP(BY821,'Gebinde-Kategorie'!$A$5:$N$45,5,0)+0,0))</f>
        <v>8</v>
      </c>
      <c r="CQ821" s="65" t="n">
        <f aca="false">IFERROR(IF(OR(CF821=1,CF821=2,CF821=3),N(INDEX(Parameter!$I$5:$I$7,CF821)),0),0)</f>
        <v>0</v>
      </c>
      <c r="CR821" s="64" t="n">
        <f aca="false">IF(AND(Parameter!$B$21="Ja",ISNUMBER(W821),N(X821)&gt;0),IFERROR(N(INDEX(Parameter!$L$5:$L$7,W821))*INDEX(Parameter!$E$5:$E$7,W821)*X821/SUMIFS($X$7:$X$1843,$W$7:$W$1843,W821),0),0)</f>
        <v>0</v>
      </c>
      <c r="CS821" s="62" t="n">
        <f aca="false">IF(AND(OR(CG821="L1",CG821="L23",CG821="LIFT"),H821&gt;0),CC821*IF(CR821&gt;0,CR821*MAX(1,H821/X821),IF(CA821=1,CE821,IF(R821&gt;0,CN821/R821,0))/MAX(0.1,N(Parameter!$M$21))),"")</f>
        <v>0.553571428571429</v>
      </c>
      <c r="CT821" s="64" t="n">
        <f aca="false">IF(CS821="","",J821/H821)</f>
        <v>3.16666666666667</v>
      </c>
      <c r="CU821" s="62" t="n">
        <f aca="false">IF(CS821="","",H821*G821)</f>
        <v>4.32</v>
      </c>
      <c r="CV821" s="63" t="n">
        <f aca="false">IF(CS821="","",(CL821+ROUNDUP(CL821+MAX(CM821,2*(J821/MAX(0.1,N(Einkauf!$C$6))-CL821)),0))/2)</f>
        <v>539</v>
      </c>
      <c r="CW821" s="62" t="n">
        <f aca="false">IF(CS821="","",MAX(0,H821-CV821)*G821)</f>
        <v>0</v>
      </c>
      <c r="CX821" s="62" t="n">
        <f aca="false">IF(CS821="","",CS821*MAX(0,1-CV821/H821))</f>
        <v>0</v>
      </c>
      <c r="CY821" s="64" t="n">
        <f aca="false">IF(CS821="","",PERCENTRANK($CS$7:$CS$1843,CS821)+PERCENTRANK($CU$7:$CU$1843,CU821)+1-PERCENTRANK($CT$7:$CT$1843,CT821))</f>
        <v>0.1198</v>
      </c>
      <c r="CZ821" s="72" t="n">
        <f aca="false">IF(CS821="","",CHOOSE(MATCH(Einkauf!$C$5,Parameter!$G$23:$G$27,0),CY821,CS821,CU821,-CT821,CW821)+ROW()/1000000000)</f>
        <v>0.119800821</v>
      </c>
    </row>
    <row r="822" customFormat="false" ht="15" hidden="false" customHeight="false" outlineLevel="0" collapsed="false">
      <c r="A822" s="60" t="s">
        <v>1627</v>
      </c>
      <c r="B822" s="60" t="s">
        <v>1628</v>
      </c>
      <c r="C822" s="60" t="s">
        <v>206</v>
      </c>
      <c r="D822" s="60" t="s">
        <v>226</v>
      </c>
      <c r="E822" s="60" t="s">
        <v>227</v>
      </c>
      <c r="F822" s="60" t="s">
        <v>260</v>
      </c>
      <c r="G822" s="61" t="n">
        <v>0.82</v>
      </c>
      <c r="H822" s="62" t="n">
        <f aca="false">MAX(0,IF(AND(Parameter!$B$21="Ja",ISNUMBER(Y822)),Y822,IF(Parameter!$B$20="Jahresanfang 2025 + Export",BS822+BR822,BR822)))</f>
        <v>0</v>
      </c>
      <c r="I822" s="62" t="n">
        <f aca="false">H822*G822</f>
        <v>0</v>
      </c>
      <c r="J822" s="62" t="n">
        <f aca="false">BU822*Parameter!$B$18</f>
        <v>0</v>
      </c>
      <c r="K822" s="63" t="n">
        <v>21</v>
      </c>
      <c r="L822" s="64" t="n">
        <v>0</v>
      </c>
      <c r="M822" s="62" t="n">
        <v>0</v>
      </c>
      <c r="N822" s="62" t="n">
        <v>1</v>
      </c>
      <c r="O822" s="65" t="n">
        <v>21</v>
      </c>
      <c r="P822" s="60" t="s">
        <v>518</v>
      </c>
      <c r="Q822" s="62" t="n">
        <v>54</v>
      </c>
      <c r="R822" s="65" t="n">
        <f aca="false">IF(CA822=1,0,IFERROR(VLOOKUP(BY822,'Gebinde-Kategorie'!$A$5:$N$45,13,0)+0,0))</f>
        <v>52</v>
      </c>
      <c r="S822" s="66"/>
      <c r="T822" s="67"/>
      <c r="U822" s="67"/>
      <c r="V822" s="67"/>
      <c r="W822" s="60"/>
      <c r="X822" s="62"/>
      <c r="Y822" s="62"/>
      <c r="Z822" s="60" t="n">
        <v>3</v>
      </c>
      <c r="AA822" s="60" t="n">
        <f aca="false">IF(A822="","",IF(AND(Parameter!$B$21="Ja",ISNUMBER(W822)),W822,IF(AND(Parameter!$E$27="Ja",ISNUMBER(Z822),CD822&lt;&gt;"Nein"),Z822,IF(CD822="2+3",IF(ISNUMBER(SEARCH("grosser Artikel",BV822)),2,IFERROR(VLOOKUP(BY822,Parameter!$F$35:$G$64,2,0),2)),IF(OR(CD822="Nein",CD822=""),"-",CD822)))))</f>
        <v>3</v>
      </c>
      <c r="AB822" s="67"/>
      <c r="AC822" s="68"/>
      <c r="AD822" s="62" t="n">
        <f aca="false">AW822</f>
        <v>1</v>
      </c>
      <c r="AE822" s="62" t="n">
        <f aca="false">MAX(AW822,H822)</f>
        <v>1</v>
      </c>
      <c r="AF822" s="69"/>
      <c r="AG822" s="62" t="n">
        <f aca="false">IF(LEFT(Cockpit!$C$5,1)="A",H822,IF(Parameter!$E$30="MAX-Bestand",IF(CI822=1,CJ822,IF(LEFT(Cockpit!$C$5,1)="B",AM822,MAX(AM822,H822))),ROUNDUP(AK822,0)))</f>
        <v>0</v>
      </c>
      <c r="AH822" s="62" t="n">
        <f aca="false">IF(CA822=1,0,ROUNDUP(AG822/BZ822,0))</f>
        <v>0</v>
      </c>
      <c r="AI822" s="64" t="n">
        <f aca="false">IF(CR822&gt;0,CR822*MAX(1,AG822/X822),IF(CA822=1,IF(AG822&lt;=0,0,CE822*MAX(1,IF(H822&gt;0,AG822/H822,1))),IF(R822&gt;0,AH822/R822,0))/MAX(0.1,N(Parameter!$M$21)))</f>
        <v>0</v>
      </c>
      <c r="AJ822" s="62" t="n">
        <f aca="false">AI822*CC822</f>
        <v>0</v>
      </c>
      <c r="AK822" s="63" t="n">
        <f aca="false">IF(LEFT(Cockpit!$C$5,1)="A",H822,IF(CI822=1,(CL822+CJ822)/2,IF(LEFT(Cockpit!$C$5,1)="B",(CL822+AM822)/2,MAX((CL822+AM822)/2,H822))))</f>
        <v>0</v>
      </c>
      <c r="AL822" s="62" t="n">
        <f aca="false">AK822*G822</f>
        <v>0</v>
      </c>
      <c r="AM822" s="62" t="n">
        <f aca="false">ROUNDUP(CL822+MAX(CM822,2*(J822/IF(CH822&gt;0,CH822,MAX(0.1,N(Cockpit!$C$6)))-CL822)),0)</f>
        <v>1</v>
      </c>
      <c r="AN822" s="63" t="n">
        <f aca="false">IF(AJ822&gt;0,J822/AJ822,-1)</f>
        <v>-1</v>
      </c>
      <c r="AO822" s="63" t="str">
        <f aca="false">IF(AND(OR(CG822="L1",CG822="L23",CG822="LIFT"),AJ822&gt;0),SUMIFS($AJ$7:$AJ$1843,$CG$7:$CG$1843,CG822,$AN$7:$AN$1843,"&gt;"&amp;AN822)+SUMIFS($AJ$7:$AJ$1843,$CG$7:$CG$1843,CG822,$AN$7:$AN$1843,AN822,$BX$7:$BX$1843,"&lt;="&amp;BX822),"")</f>
        <v/>
      </c>
      <c r="AP822" s="70" t="n">
        <f aca="false">IF(AO822="",0,MAX(0,MIN(1,(IF(CG822="L1",Parameter!$H$5,IF(CG822="L23",Parameter!$H$6+Parameter!$H$7,Parameter!$H$5+Parameter!$H$6+Parameter!$H$7))-(AO822-AJ822))/AJ822)))</f>
        <v>0</v>
      </c>
      <c r="AQ822" s="62" t="n">
        <f aca="false">IF(LEFT(Cockpit!$I$5,1)="A",H822,IF(Parameter!$E$30="MAX-Bestand",IF(CI822=1,CJ822,IF(LEFT(Cockpit!$I$5,1)="B",AW822,MAX(AW822,H822))),ROUNDUP(AU822,0)))</f>
        <v>1</v>
      </c>
      <c r="AR822" s="62" t="n">
        <f aca="false">IF(CA822=1,0,ROUNDUP(AQ822/BZ822,0))</f>
        <v>1</v>
      </c>
      <c r="AS822" s="64" t="n">
        <f aca="false">IF(CR822&gt;0,CR822*MAX(1,AQ822/X822),IF(CA822=1,IF(AQ822&lt;=0,0,CE822*MAX(1,IF(H822&gt;0,AQ822/H822,1))),IF(R822&gt;0,AR822/R822,0))/MAX(0.1,N(Parameter!$M$21)))</f>
        <v>0.0192307692307692</v>
      </c>
      <c r="AT822" s="62" t="n">
        <f aca="false">AS822*CC822</f>
        <v>2.98076923076923</v>
      </c>
      <c r="AU822" s="63" t="n">
        <f aca="false">IF(LEFT(Cockpit!$I$5,1)="A",H822,IF(CI822=1,(CL822+CJ822)/2,IF(LEFT(Cockpit!$I$5,1)="B",(CL822+AW822)/2,MAX((CL822+AW822)/2,H822))))</f>
        <v>0.5</v>
      </c>
      <c r="AV822" s="62" t="n">
        <f aca="false">AU822*G822</f>
        <v>0.41</v>
      </c>
      <c r="AW822" s="62" t="n">
        <f aca="false">ROUNDUP(CL822+MAX(CM822,2*(J822/IF(CH822&gt;0,CH822,MAX(0.1,N(Cockpit!$I$6)))-CL822)),0)</f>
        <v>1</v>
      </c>
      <c r="AX822" s="63" t="n">
        <f aca="false">IF(AT822&gt;0,J822/AT822,-1)</f>
        <v>0</v>
      </c>
      <c r="AY822" s="63" t="n">
        <f aca="false">IF(AND(OR(CG822="L1",CG822="L23",CG822="LIFT"),AT822&gt;0),SUMIFS($AT$7:$AT$1843,$CG$7:$CG$1843,CG822,$AX$7:$AX$1843,"&gt;"&amp;AX822)+SUMIFS($AT$7:$AT$1843,$CG$7:$CG$1843,CG822,$AX$7:$AX$1843,AX822,$BX$7:$BX$1843,"&lt;="&amp;BX822),"")</f>
        <v>34397.9743589744</v>
      </c>
      <c r="AZ822" s="70" t="n">
        <f aca="false">IF(AY822="",0,MAX(0,MIN(1,(IF(CG822="L1",Parameter!$H$5,IF(CG822="L23",Parameter!$H$6+Parameter!$H$7,Parameter!$H$5+Parameter!$H$6+Parameter!$H$7))-(AY822-AT822))/AT822)))</f>
        <v>1</v>
      </c>
      <c r="BA822" s="62" t="n">
        <f aca="false">IF(LEFT(Cockpit!$O$5,1)="A",H822,IF(Parameter!$E$30="MAX-Bestand",IF(CI822=1,CJ822,IF(LEFT(Cockpit!$O$5,1)="B",BG822,MAX(BG822,H822))),ROUNDUP(BE822,0)))</f>
        <v>1</v>
      </c>
      <c r="BB822" s="62" t="n">
        <f aca="false">IF(CA822=1,0,ROUNDUP(BA822/BZ822,0))</f>
        <v>1</v>
      </c>
      <c r="BC822" s="64" t="n">
        <f aca="false">IF(CR822&gt;0,CR822*MAX(1,BA822/X822),IF(CA822=1,IF(BA822&lt;=0,0,CE822*MAX(1,IF(H822&gt;0,BA822/H822,1))),IF(R822&gt;0,BB822/R822,0))/MAX(0.1,N(Parameter!$M$21)))</f>
        <v>0.0192307692307692</v>
      </c>
      <c r="BD822" s="62" t="n">
        <f aca="false">BC822*CC822</f>
        <v>2.98076923076923</v>
      </c>
      <c r="BE822" s="63" t="n">
        <f aca="false">IF(LEFT(Cockpit!$O$5,1)="A",H822,IF(CI822=1,(CL822+CJ822)/2,IF(LEFT(Cockpit!$O$5,1)="B",(CL822+BG822)/2,MAX((CL822+BG822)/2,H822))))</f>
        <v>0.5</v>
      </c>
      <c r="BF822" s="62" t="n">
        <f aca="false">BE822*G822</f>
        <v>0.41</v>
      </c>
      <c r="BG822" s="62" t="n">
        <f aca="false">ROUNDUP(CL822+MAX(CM822,2*(J822/IF(CH822&gt;0,CH822,MAX(0.1,N(Cockpit!$O$6)))-CL822)),0)</f>
        <v>1</v>
      </c>
      <c r="BH822" s="63" t="n">
        <f aca="false">IF(BD822&gt;0,J822/BD822,-1)</f>
        <v>0</v>
      </c>
      <c r="BI822" s="63" t="n">
        <f aca="false">IF(AND(OR(CG822="L1",CG822="L23",CG822="LIFT"),BD822&gt;0),SUMIFS($BD$7:$BD$1843,$CG$7:$CG$1843,CG822,$BH$7:$BH$1843,"&gt;"&amp;BH822)+SUMIFS($BD$7:$BD$1843,$CG$7:$CG$1843,CG822,$BH$7:$BH$1843,BH822,$BX$7:$BX$1843,"&lt;="&amp;BX822),"")</f>
        <v>28437.7562938474</v>
      </c>
      <c r="BJ822" s="70" t="n">
        <f aca="false">IF(BI822="",0,MAX(0,MIN(1,(IF(CG822="L1",Parameter!$H$5,IF(CG822="L23",Parameter!$H$6+Parameter!$H$7,Parameter!$H$5+Parameter!$H$6+Parameter!$H$7))-(BI822-BD822))/BD822)))</f>
        <v>1</v>
      </c>
      <c r="BK822" s="60" t="str">
        <f aca="false">IF(AJ822&lt;=0,"",IF(CG822="Aussen","Aussenlager",IF(CG822="-","Nicht im Lift",IF(AP822&gt;=1,"Lift",IF(AP822&lt;=0,"Aussenlager","teilweise")))))</f>
        <v/>
      </c>
      <c r="BL822" s="60" t="str">
        <f aca="false">IF(AT822&lt;=0,"",IF(CG822="Aussen","Aussenlager",IF(CG822="-","Nicht im Lift",IF(AZ822&gt;=1,"Lift",IF(AZ822&lt;=0,"Aussenlager","teilweise")))))</f>
        <v>Lift</v>
      </c>
      <c r="BM822" s="60" t="str">
        <f aca="false">IF(BD822&lt;=0,"",IF(CG822="Aussen","Aussenlager",IF(CG822="-","Nicht im Lift",IF(BJ822&gt;=1,"Lift",IF(BJ822&lt;=0,"Aussenlager","teilweise")))))</f>
        <v>Lift</v>
      </c>
      <c r="BN822" s="60" t="str">
        <f aca="false">IF(A822="","",IF(BW822=1,"Neu; ","")&amp;IF(AND(BW822=0,BR822&lt;0),"negativer Bestand (Export "&amp;BR822&amp;"); ","")&amp;IF(J822&lt;=0,"Kein Verbrauch; ","")&amp;IF(CR822&gt;0,"Lift "&amp;W822&amp;" lt. Liftbericht (Fach "&amp;X822&amp;" Stk); ",IF(CB822=1,"Gebinde geschätzt ("&amp;T822&amp;"); ",IF(CA822=1,"Lose – Tablare geschätzt; ","")))&amp;IF(H822&gt;AW822,"Überbestand "&amp;ROUND(H822-AW822,0)&amp;" Stk / CHF "&amp;ROUND((H822-AW822)*G822,0)&amp;"; ","")&amp;IF(AND(CI822=1,CJ822&lt;CK822),"MAX &lt; MB+LG; ","")&amp;IF(AND(CQ822&gt;0,CP822*10&gt;CQ822),"zu hoch für Tablar; ","")&amp;IF(AND(BW822=0,OR(CI822=1,AB822&lt;&gt;"",U822&lt;&gt;"",V822&lt;&gt;"",AC822&lt;&gt;"")),"manuell übersteuert; ","")&amp;IF(AND(CA822=0,R822=0),"Gebinde unbekannt / Stellmass fehlt; ","")&amp;IF(AND(CA822=0,N(V822)&lt;=0,N(Q822)&lt;=0),"Menge pro Gebinde fehlt (Ist = 1 Gebinde); ","")&amp;BV822)</f>
        <v>negativer Bestand (Export -12); Kein Verbrauch; Überbestand</v>
      </c>
      <c r="BO822" s="60"/>
      <c r="BP822" s="60"/>
      <c r="BQ822" s="67"/>
      <c r="BR822" s="62" t="n">
        <v>-12</v>
      </c>
      <c r="BS822" s="62" t="n">
        <v>12</v>
      </c>
      <c r="BT822" s="61" t="n">
        <v>-9.84</v>
      </c>
      <c r="BU822" s="62" t="n">
        <v>0</v>
      </c>
      <c r="BV822" s="60" t="s">
        <v>434</v>
      </c>
      <c r="BW822" s="65" t="n">
        <v>0</v>
      </c>
      <c r="BX822" s="65" t="n">
        <v>822</v>
      </c>
      <c r="BY822" s="60" t="str">
        <f aca="false">IF(U822&lt;&gt;"",UPPER(TRIM(U822)),IF(CB822=1,UPPER(VLOOKUP(T822,Parameter!$I$27:$K$29,2,0)),IF(P822="","LOSE",P822)))</f>
        <v>S33</v>
      </c>
      <c r="BZ822" s="62" t="n">
        <f aca="false">IF(BY822="LOSE",1,IF(N(V822)&gt;0,V822,IF(CB822=1,MAX(1,N(VLOOKUP(T822,Parameter!$I$27:$K$29,3,0)),H822,N(N822)),IF(N(Q822)&gt;0,Q822,MAX(1,H822)))))</f>
        <v>54</v>
      </c>
      <c r="CA822" s="65" t="n">
        <f aca="false">IF(BY822="LOSE",1,0)</f>
        <v>0</v>
      </c>
      <c r="CB822" s="65" t="n">
        <f aca="false">IF(AND(U822="",OR(P822="",P822="LOSE"),T822&lt;&gt;"",N(S822)&lt;=0,ISNUMBER(MATCH(T822,Parameter!$I$27:$I$29,0))),1,0)</f>
        <v>0</v>
      </c>
      <c r="CC822" s="65" t="n">
        <f aca="false">IF(CR822&gt;0,INDEX(Parameter!$H$5:$H$7,W822)/INDEX(Parameter!$E$5:$E$7,W822),IF(AND(CA822=0,N(IFERROR(VLOOKUP(BY822,'Gebinde-Kategorie'!$A$5:$N$45,14,0),0))&gt;0),VLOOKUP(BY822,'Gebinde-Kategorie'!$A$5:$N$45,14,0)*10+Parameter!$M$23,Parameter!$M$24))</f>
        <v>155</v>
      </c>
      <c r="CD822" s="60" t="str">
        <f aca="false">IF(AND(Parameter!$B$19="Ja",E822&lt;&gt;"",ISNUMBER(MATCH(E822,Parameter!$I$35:$I$52,0))),VLOOKUP(E822,Parameter!$I$35:$J$52,2,0),IFERROR(VLOOKUP(D822,Parameter!$A$35:$C$64,2,0),"Nein"))</f>
        <v>2+3</v>
      </c>
      <c r="CE822" s="64" t="n">
        <f aca="false">IF(CA822=0,0,IF(N(S822)&gt;0,S822,IFERROR(VLOOKUP(D822,Parameter!$A$35:$C$64,3,0)+0,0)))</f>
        <v>0</v>
      </c>
      <c r="CF822" s="60" t="n">
        <f aca="false">IF(AB822&lt;&gt;"",AB822,AA822)</f>
        <v>3</v>
      </c>
      <c r="CG822" s="60" t="str">
        <f aca="false">IF(OR(CF822=1,CF822=2,CF822=3),IF(Parameter!$E$27="Ja","LIFT",IF(CF822=1,"L1","L23")),IF(CF822="Aussen","Aussen","-"))</f>
        <v>LIFT</v>
      </c>
      <c r="CH822" s="71" t="n">
        <f aca="false">IF(N(AC822)&gt;0,AC822,0)</f>
        <v>0</v>
      </c>
      <c r="CI822" s="65" t="n">
        <f aca="false">IF(ISNUMBER(AF822),1,0)</f>
        <v>0</v>
      </c>
      <c r="CJ822" s="62" t="n">
        <f aca="false">N(AF822)</f>
        <v>0</v>
      </c>
      <c r="CK822" s="62" t="n">
        <f aca="false">N(M822)+N(N822)</f>
        <v>1</v>
      </c>
      <c r="CL822" s="62" t="n">
        <f aca="false">N(M822)</f>
        <v>0</v>
      </c>
      <c r="CM822" s="62" t="n">
        <f aca="false">N(N822)</f>
        <v>1</v>
      </c>
      <c r="CN822" s="62" t="n">
        <f aca="false">ROUNDUP(H822/BZ822,0)</f>
        <v>0</v>
      </c>
      <c r="CO822" s="62" t="n">
        <f aca="false">ROUNDUP(CJ822/BZ822,0)</f>
        <v>0</v>
      </c>
      <c r="CP822" s="65" t="n">
        <f aca="false">IF(CA822=1,0,IFERROR(VLOOKUP(BY822,'Gebinde-Kategorie'!$A$5:$N$45,5,0)+0,0))</f>
        <v>8</v>
      </c>
      <c r="CQ822" s="65" t="n">
        <f aca="false">IFERROR(IF(OR(CF822=1,CF822=2,CF822=3),N(INDEX(Parameter!$I$5:$I$7,CF822)),0),0)</f>
        <v>0</v>
      </c>
      <c r="CR822" s="64" t="n">
        <f aca="false">IF(AND(Parameter!$B$21="Ja",ISNUMBER(W822),N(X822)&gt;0),IFERROR(N(INDEX(Parameter!$L$5:$L$7,W822))*INDEX(Parameter!$E$5:$E$7,W822)*X822/SUMIFS($X$7:$X$1843,$W$7:$W$1843,W822),0),0)</f>
        <v>0</v>
      </c>
      <c r="CS822" s="62" t="str">
        <f aca="false">IF(AND(OR(CG822="L1",CG822="L23",CG822="LIFT"),H822&gt;0),CC822*IF(CR822&gt;0,CR822*MAX(1,H822/X822),IF(CA822=1,CE822,IF(R822&gt;0,CN822/R822,0))/MAX(0.1,N(Parameter!$M$21))),"")</f>
        <v/>
      </c>
      <c r="CT822" s="64" t="str">
        <f aca="false">IF(CS822="","",J822/H822)</f>
        <v/>
      </c>
      <c r="CU822" s="62" t="str">
        <f aca="false">IF(CS822="","",H822*G822)</f>
        <v/>
      </c>
      <c r="CV822" s="63" t="str">
        <f aca="false">IF(CS822="","",(CL822+ROUNDUP(CL822+MAX(CM822,2*(J822/MAX(0.1,N(Einkauf!$C$6))-CL822)),0))/2)</f>
        <v/>
      </c>
      <c r="CW822" s="62" t="str">
        <f aca="false">IF(CS822="","",MAX(0,H822-CV822)*G822)</f>
        <v/>
      </c>
      <c r="CX822" s="62" t="str">
        <f aca="false">IF(CS822="","",CS822*MAX(0,1-CV822/H822))</f>
        <v/>
      </c>
      <c r="CY822" s="64" t="str">
        <f aca="false">IF(CS822="","",PERCENTRANK($CS$7:$CS$1843,CS822)+PERCENTRANK($CU$7:$CU$1843,CU822)+1-PERCENTRANK($CT$7:$CT$1843,CT822))</f>
        <v/>
      </c>
      <c r="CZ822" s="72" t="str">
        <f aca="false">IF(CS822="","",CHOOSE(MATCH(Einkauf!$C$5,Parameter!$G$23:$G$27,0),CY822,CS822,CU822,-CT822,CW822)+ROW()/1000000000)</f>
        <v/>
      </c>
    </row>
    <row r="823" customFormat="false" ht="15" hidden="false" customHeight="false" outlineLevel="0" collapsed="false">
      <c r="A823" s="60" t="s">
        <v>1629</v>
      </c>
      <c r="B823" s="60" t="s">
        <v>640</v>
      </c>
      <c r="C823" s="60" t="s">
        <v>206</v>
      </c>
      <c r="D823" s="60" t="s">
        <v>226</v>
      </c>
      <c r="E823" s="60" t="s">
        <v>227</v>
      </c>
      <c r="F823" s="60" t="s">
        <v>260</v>
      </c>
      <c r="G823" s="61" t="n">
        <v>10.17</v>
      </c>
      <c r="H823" s="62" t="n">
        <f aca="false">MAX(0,IF(AND(Parameter!$B$21="Ja",ISNUMBER(Y823)),Y823,IF(Parameter!$B$20="Jahresanfang 2025 + Export",BS823+BR823,BR823)))</f>
        <v>36</v>
      </c>
      <c r="I823" s="62" t="n">
        <f aca="false">H823*G823</f>
        <v>366.12</v>
      </c>
      <c r="J823" s="62" t="n">
        <f aca="false">BU823*Parameter!$B$18</f>
        <v>0</v>
      </c>
      <c r="K823" s="63" t="n">
        <v>36.5</v>
      </c>
      <c r="L823" s="64" t="n">
        <v>0</v>
      </c>
      <c r="M823" s="62" t="n">
        <v>0</v>
      </c>
      <c r="N823" s="62" t="n">
        <v>1</v>
      </c>
      <c r="O823" s="65" t="n">
        <v>21</v>
      </c>
      <c r="P823" s="60" t="s">
        <v>518</v>
      </c>
      <c r="Q823" s="62" t="n">
        <v>75</v>
      </c>
      <c r="R823" s="65" t="n">
        <f aca="false">IF(CA823=1,0,IFERROR(VLOOKUP(BY823,'Gebinde-Kategorie'!$A$5:$N$45,13,0)+0,0))</f>
        <v>52</v>
      </c>
      <c r="S823" s="66"/>
      <c r="T823" s="67"/>
      <c r="U823" s="67"/>
      <c r="V823" s="67"/>
      <c r="W823" s="60"/>
      <c r="X823" s="62"/>
      <c r="Y823" s="62"/>
      <c r="Z823" s="60" t="n">
        <v>3</v>
      </c>
      <c r="AA823" s="60" t="n">
        <f aca="false">IF(A823="","",IF(AND(Parameter!$B$21="Ja",ISNUMBER(W823)),W823,IF(AND(Parameter!$E$27="Ja",ISNUMBER(Z823),CD823&lt;&gt;"Nein"),Z823,IF(CD823="2+3",IF(ISNUMBER(SEARCH("grosser Artikel",BV823)),2,IFERROR(VLOOKUP(BY823,Parameter!$F$35:$G$64,2,0),2)),IF(OR(CD823="Nein",CD823=""),"-",CD823)))))</f>
        <v>3</v>
      </c>
      <c r="AB823" s="67"/>
      <c r="AC823" s="68"/>
      <c r="AD823" s="62" t="n">
        <f aca="false">AW823</f>
        <v>1</v>
      </c>
      <c r="AE823" s="62" t="n">
        <f aca="false">MAX(AW823,H823)</f>
        <v>36</v>
      </c>
      <c r="AF823" s="69"/>
      <c r="AG823" s="62" t="n">
        <f aca="false">IF(LEFT(Cockpit!$C$5,1)="A",H823,IF(Parameter!$E$30="MAX-Bestand",IF(CI823=1,CJ823,IF(LEFT(Cockpit!$C$5,1)="B",AM823,MAX(AM823,H823))),ROUNDUP(AK823,0)))</f>
        <v>36</v>
      </c>
      <c r="AH823" s="62" t="n">
        <f aca="false">IF(CA823=1,0,ROUNDUP(AG823/BZ823,0))</f>
        <v>1</v>
      </c>
      <c r="AI823" s="64" t="n">
        <f aca="false">IF(CR823&gt;0,CR823*MAX(1,AG823/X823),IF(CA823=1,IF(AG823&lt;=0,0,CE823*MAX(1,IF(H823&gt;0,AG823/H823,1))),IF(R823&gt;0,AH823/R823,0))/MAX(0.1,N(Parameter!$M$21)))</f>
        <v>0.0192307692307692</v>
      </c>
      <c r="AJ823" s="62" t="n">
        <f aca="false">AI823*CC823</f>
        <v>2.98076923076923</v>
      </c>
      <c r="AK823" s="63" t="n">
        <f aca="false">IF(LEFT(Cockpit!$C$5,1)="A",H823,IF(CI823=1,(CL823+CJ823)/2,IF(LEFT(Cockpit!$C$5,1)="B",(CL823+AM823)/2,MAX((CL823+AM823)/2,H823))))</f>
        <v>36</v>
      </c>
      <c r="AL823" s="62" t="n">
        <f aca="false">AK823*G823</f>
        <v>366.12</v>
      </c>
      <c r="AM823" s="62" t="n">
        <f aca="false">ROUNDUP(CL823+MAX(CM823,2*(J823/IF(CH823&gt;0,CH823,MAX(0.1,N(Cockpit!$C$6)))-CL823)),0)</f>
        <v>1</v>
      </c>
      <c r="AN823" s="63" t="n">
        <f aca="false">IF(AJ823&gt;0,J823/AJ823,-1)</f>
        <v>0</v>
      </c>
      <c r="AO823" s="63" t="n">
        <f aca="false">IF(AND(OR(CG823="L1",CG823="L23",CG823="LIFT"),AJ823&gt;0),SUMIFS($AJ$7:$AJ$1843,$CG$7:$CG$1843,CG823,$AN$7:$AN$1843,"&gt;"&amp;AN823)+SUMIFS($AJ$7:$AJ$1843,$CG$7:$CG$1843,CG823,$AN$7:$AN$1843,AN823,$BX$7:$BX$1843,"&lt;="&amp;BX823),"")</f>
        <v>28786.6759923222</v>
      </c>
      <c r="AP823" s="70" t="n">
        <f aca="false">IF(AO823="",0,MAX(0,MIN(1,(IF(CG823="L1",Parameter!$H$5,IF(CG823="L23",Parameter!$H$6+Parameter!$H$7,Parameter!$H$5+Parameter!$H$6+Parameter!$H$7))-(AO823-AJ823))/AJ823)))</f>
        <v>1</v>
      </c>
      <c r="AQ823" s="62" t="n">
        <f aca="false">IF(LEFT(Cockpit!$I$5,1)="A",H823,IF(Parameter!$E$30="MAX-Bestand",IF(CI823=1,CJ823,IF(LEFT(Cockpit!$I$5,1)="B",AW823,MAX(AW823,H823))),ROUNDUP(AU823,0)))</f>
        <v>36</v>
      </c>
      <c r="AR823" s="62" t="n">
        <f aca="false">IF(CA823=1,0,ROUNDUP(AQ823/BZ823,0))</f>
        <v>1</v>
      </c>
      <c r="AS823" s="64" t="n">
        <f aca="false">IF(CR823&gt;0,CR823*MAX(1,AQ823/X823),IF(CA823=1,IF(AQ823&lt;=0,0,CE823*MAX(1,IF(H823&gt;0,AQ823/H823,1))),IF(R823&gt;0,AR823/R823,0))/MAX(0.1,N(Parameter!$M$21)))</f>
        <v>0.0192307692307692</v>
      </c>
      <c r="AT823" s="62" t="n">
        <f aca="false">AS823*CC823</f>
        <v>2.98076923076923</v>
      </c>
      <c r="AU823" s="63" t="n">
        <f aca="false">IF(LEFT(Cockpit!$I$5,1)="A",H823,IF(CI823=1,(CL823+CJ823)/2,IF(LEFT(Cockpit!$I$5,1)="B",(CL823+AW823)/2,MAX((CL823+AW823)/2,H823))))</f>
        <v>36</v>
      </c>
      <c r="AV823" s="62" t="n">
        <f aca="false">AU823*G823</f>
        <v>366.12</v>
      </c>
      <c r="AW823" s="62" t="n">
        <f aca="false">ROUNDUP(CL823+MAX(CM823,2*(J823/IF(CH823&gt;0,CH823,MAX(0.1,N(Cockpit!$I$6)))-CL823)),0)</f>
        <v>1</v>
      </c>
      <c r="AX823" s="63" t="n">
        <f aca="false">IF(AT823&gt;0,J823/AT823,-1)</f>
        <v>0</v>
      </c>
      <c r="AY823" s="63" t="n">
        <f aca="false">IF(AND(OR(CG823="L1",CG823="L23",CG823="LIFT"),AT823&gt;0),SUMIFS($AT$7:$AT$1843,$CG$7:$CG$1843,CG823,$AX$7:$AX$1843,"&gt;"&amp;AX823)+SUMIFS($AT$7:$AT$1843,$CG$7:$CG$1843,CG823,$AX$7:$AX$1843,AX823,$BX$7:$BX$1843,"&lt;="&amp;BX823),"")</f>
        <v>34400.9551282051</v>
      </c>
      <c r="AZ823" s="70" t="n">
        <f aca="false">IF(AY823="",0,MAX(0,MIN(1,(IF(CG823="L1",Parameter!$H$5,IF(CG823="L23",Parameter!$H$6+Parameter!$H$7,Parameter!$H$5+Parameter!$H$6+Parameter!$H$7))-(AY823-AT823))/AT823)))</f>
        <v>1</v>
      </c>
      <c r="BA823" s="62" t="n">
        <f aca="false">IF(LEFT(Cockpit!$O$5,1)="A",H823,IF(Parameter!$E$30="MAX-Bestand",IF(CI823=1,CJ823,IF(LEFT(Cockpit!$O$5,1)="B",BG823,MAX(BG823,H823))),ROUNDUP(BE823,0)))</f>
        <v>1</v>
      </c>
      <c r="BB823" s="62" t="n">
        <f aca="false">IF(CA823=1,0,ROUNDUP(BA823/BZ823,0))</f>
        <v>1</v>
      </c>
      <c r="BC823" s="64" t="n">
        <f aca="false">IF(CR823&gt;0,CR823*MAX(1,BA823/X823),IF(CA823=1,IF(BA823&lt;=0,0,CE823*MAX(1,IF(H823&gt;0,BA823/H823,1))),IF(R823&gt;0,BB823/R823,0))/MAX(0.1,N(Parameter!$M$21)))</f>
        <v>0.0192307692307692</v>
      </c>
      <c r="BD823" s="62" t="n">
        <f aca="false">BC823*CC823</f>
        <v>2.98076923076923</v>
      </c>
      <c r="BE823" s="63" t="n">
        <f aca="false">IF(LEFT(Cockpit!$O$5,1)="A",H823,IF(CI823=1,(CL823+CJ823)/2,IF(LEFT(Cockpit!$O$5,1)="B",(CL823+BG823)/2,MAX((CL823+BG823)/2,H823))))</f>
        <v>0.5</v>
      </c>
      <c r="BF823" s="62" t="n">
        <f aca="false">BE823*G823</f>
        <v>5.085</v>
      </c>
      <c r="BG823" s="62" t="n">
        <f aca="false">ROUNDUP(CL823+MAX(CM823,2*(J823/IF(CH823&gt;0,CH823,MAX(0.1,N(Cockpit!$O$6)))-CL823)),0)</f>
        <v>1</v>
      </c>
      <c r="BH823" s="63" t="n">
        <f aca="false">IF(BD823&gt;0,J823/BD823,-1)</f>
        <v>0</v>
      </c>
      <c r="BI823" s="63" t="n">
        <f aca="false">IF(AND(OR(CG823="L1",CG823="L23",CG823="LIFT"),BD823&gt;0),SUMIFS($BD$7:$BD$1843,$CG$7:$CG$1843,CG823,$BH$7:$BH$1843,"&gt;"&amp;BH823)+SUMIFS($BD$7:$BD$1843,$CG$7:$CG$1843,CG823,$BH$7:$BH$1843,BH823,$BX$7:$BX$1843,"&lt;="&amp;BX823),"")</f>
        <v>28440.7370630782</v>
      </c>
      <c r="BJ823" s="70" t="n">
        <f aca="false">IF(BI823="",0,MAX(0,MIN(1,(IF(CG823="L1",Parameter!$H$5,IF(CG823="L23",Parameter!$H$6+Parameter!$H$7,Parameter!$H$5+Parameter!$H$6+Parameter!$H$7))-(BI823-BD823))/BD823)))</f>
        <v>1</v>
      </c>
      <c r="BK823" s="60" t="str">
        <f aca="false">IF(AJ823&lt;=0,"",IF(CG823="Aussen","Aussenlager",IF(CG823="-","Nicht im Lift",IF(AP823&gt;=1,"Lift",IF(AP823&lt;=0,"Aussenlager","teilweise")))))</f>
        <v>Lift</v>
      </c>
      <c r="BL823" s="60" t="str">
        <f aca="false">IF(AT823&lt;=0,"",IF(CG823="Aussen","Aussenlager",IF(CG823="-","Nicht im Lift",IF(AZ823&gt;=1,"Lift",IF(AZ823&lt;=0,"Aussenlager","teilweise")))))</f>
        <v>Lift</v>
      </c>
      <c r="BM823" s="60" t="str">
        <f aca="false">IF(BD823&lt;=0,"",IF(CG823="Aussen","Aussenlager",IF(CG823="-","Nicht im Lift",IF(BJ823&gt;=1,"Lift",IF(BJ823&lt;=0,"Aussenlager","teilweise")))))</f>
        <v>Lift</v>
      </c>
      <c r="BN823" s="60" t="str">
        <f aca="false">IF(A823="","",IF(BW823=1,"Neu; ","")&amp;IF(AND(BW823=0,BR823&lt;0),"negativer Bestand (Export "&amp;BR823&amp;"); ","")&amp;IF(J823&lt;=0,"Kein Verbrauch; ","")&amp;IF(CR823&gt;0,"Lift "&amp;W823&amp;" lt. Liftbericht (Fach "&amp;X823&amp;" Stk); ",IF(CB823=1,"Gebinde geschätzt ("&amp;T823&amp;"); ",IF(CA823=1,"Lose – Tablare geschätzt; ","")))&amp;IF(H823&gt;AW823,"Überbestand "&amp;ROUND(H823-AW823,0)&amp;" Stk / CHF "&amp;ROUND((H823-AW823)*G823,0)&amp;"; ","")&amp;IF(AND(CI823=1,CJ823&lt;CK823),"MAX &lt; MB+LG; ","")&amp;IF(AND(CQ823&gt;0,CP823*10&gt;CQ823),"zu hoch für Tablar; ","")&amp;IF(AND(BW823=0,OR(CI823=1,AB823&lt;&gt;"",U823&lt;&gt;"",V823&lt;&gt;"",AC823&lt;&gt;"")),"manuell übersteuert; ","")&amp;IF(AND(CA823=0,R823=0),"Gebinde unbekannt / Stellmass fehlt; ","")&amp;IF(AND(CA823=0,N(V823)&lt;=0,N(Q823)&lt;=0),"Menge pro Gebinde fehlt (Ist = 1 Gebinde); ","")&amp;BV823)</f>
        <v>negativer Bestand (Export -1); Kein Verbrauch; Überbestand 35 Stk / CHF 356; </v>
      </c>
      <c r="BO823" s="60"/>
      <c r="BP823" s="60"/>
      <c r="BQ823" s="67"/>
      <c r="BR823" s="62" t="n">
        <v>-1</v>
      </c>
      <c r="BS823" s="62" t="n">
        <v>37</v>
      </c>
      <c r="BT823" s="61" t="n">
        <v>-10.17</v>
      </c>
      <c r="BU823" s="62" t="n">
        <v>0</v>
      </c>
      <c r="BV823" s="60"/>
      <c r="BW823" s="65" t="n">
        <v>0</v>
      </c>
      <c r="BX823" s="65" t="n">
        <v>823</v>
      </c>
      <c r="BY823" s="60" t="str">
        <f aca="false">IF(U823&lt;&gt;"",UPPER(TRIM(U823)),IF(CB823=1,UPPER(VLOOKUP(T823,Parameter!$I$27:$K$29,2,0)),IF(P823="","LOSE",P823)))</f>
        <v>S33</v>
      </c>
      <c r="BZ823" s="62" t="n">
        <f aca="false">IF(BY823="LOSE",1,IF(N(V823)&gt;0,V823,IF(CB823=1,MAX(1,N(VLOOKUP(T823,Parameter!$I$27:$K$29,3,0)),H823,N(N823)),IF(N(Q823)&gt;0,Q823,MAX(1,H823)))))</f>
        <v>75</v>
      </c>
      <c r="CA823" s="65" t="n">
        <f aca="false">IF(BY823="LOSE",1,0)</f>
        <v>0</v>
      </c>
      <c r="CB823" s="65" t="n">
        <f aca="false">IF(AND(U823="",OR(P823="",P823="LOSE"),T823&lt;&gt;"",N(S823)&lt;=0,ISNUMBER(MATCH(T823,Parameter!$I$27:$I$29,0))),1,0)</f>
        <v>0</v>
      </c>
      <c r="CC823" s="65" t="n">
        <f aca="false">IF(CR823&gt;0,INDEX(Parameter!$H$5:$H$7,W823)/INDEX(Parameter!$E$5:$E$7,W823),IF(AND(CA823=0,N(IFERROR(VLOOKUP(BY823,'Gebinde-Kategorie'!$A$5:$N$45,14,0),0))&gt;0),VLOOKUP(BY823,'Gebinde-Kategorie'!$A$5:$N$45,14,0)*10+Parameter!$M$23,Parameter!$M$24))</f>
        <v>155</v>
      </c>
      <c r="CD823" s="60" t="str">
        <f aca="false">IF(AND(Parameter!$B$19="Ja",E823&lt;&gt;"",ISNUMBER(MATCH(E823,Parameter!$I$35:$I$52,0))),VLOOKUP(E823,Parameter!$I$35:$J$52,2,0),IFERROR(VLOOKUP(D823,Parameter!$A$35:$C$64,2,0),"Nein"))</f>
        <v>2+3</v>
      </c>
      <c r="CE823" s="64" t="n">
        <f aca="false">IF(CA823=0,0,IF(N(S823)&gt;0,S823,IFERROR(VLOOKUP(D823,Parameter!$A$35:$C$64,3,0)+0,0)))</f>
        <v>0</v>
      </c>
      <c r="CF823" s="60" t="n">
        <f aca="false">IF(AB823&lt;&gt;"",AB823,AA823)</f>
        <v>3</v>
      </c>
      <c r="CG823" s="60" t="str">
        <f aca="false">IF(OR(CF823=1,CF823=2,CF823=3),IF(Parameter!$E$27="Ja","LIFT",IF(CF823=1,"L1","L23")),IF(CF823="Aussen","Aussen","-"))</f>
        <v>LIFT</v>
      </c>
      <c r="CH823" s="71" t="n">
        <f aca="false">IF(N(AC823)&gt;0,AC823,0)</f>
        <v>0</v>
      </c>
      <c r="CI823" s="65" t="n">
        <f aca="false">IF(ISNUMBER(AF823),1,0)</f>
        <v>0</v>
      </c>
      <c r="CJ823" s="62" t="n">
        <f aca="false">N(AF823)</f>
        <v>0</v>
      </c>
      <c r="CK823" s="62" t="n">
        <f aca="false">N(M823)+N(N823)</f>
        <v>1</v>
      </c>
      <c r="CL823" s="62" t="n">
        <f aca="false">N(M823)</f>
        <v>0</v>
      </c>
      <c r="CM823" s="62" t="n">
        <f aca="false">N(N823)</f>
        <v>1</v>
      </c>
      <c r="CN823" s="62" t="n">
        <f aca="false">ROUNDUP(H823/BZ823,0)</f>
        <v>1</v>
      </c>
      <c r="CO823" s="62" t="n">
        <f aca="false">ROUNDUP(CJ823/BZ823,0)</f>
        <v>0</v>
      </c>
      <c r="CP823" s="65" t="n">
        <f aca="false">IF(CA823=1,0,IFERROR(VLOOKUP(BY823,'Gebinde-Kategorie'!$A$5:$N$45,5,0)+0,0))</f>
        <v>8</v>
      </c>
      <c r="CQ823" s="65" t="n">
        <f aca="false">IFERROR(IF(OR(CF823=1,CF823=2,CF823=3),N(INDEX(Parameter!$I$5:$I$7,CF823)),0),0)</f>
        <v>0</v>
      </c>
      <c r="CR823" s="64" t="n">
        <f aca="false">IF(AND(Parameter!$B$21="Ja",ISNUMBER(W823),N(X823)&gt;0),IFERROR(N(INDEX(Parameter!$L$5:$L$7,W823))*INDEX(Parameter!$E$5:$E$7,W823)*X823/SUMIFS($X$7:$X$1843,$W$7:$W$1843,W823),0),0)</f>
        <v>0</v>
      </c>
      <c r="CS823" s="62" t="n">
        <f aca="false">IF(AND(OR(CG823="L1",CG823="L23",CG823="LIFT"),H823&gt;0),CC823*IF(CR823&gt;0,CR823*MAX(1,H823/X823),IF(CA823=1,CE823,IF(R823&gt;0,CN823/R823,0))/MAX(0.1,N(Parameter!$M$21))),"")</f>
        <v>2.98076923076923</v>
      </c>
      <c r="CT823" s="64" t="n">
        <f aca="false">IF(CS823="","",J823/H823)</f>
        <v>0</v>
      </c>
      <c r="CU823" s="62" t="n">
        <f aca="false">IF(CS823="","",H823*G823)</f>
        <v>366.12</v>
      </c>
      <c r="CV823" s="63" t="n">
        <f aca="false">IF(CS823="","",(CL823+ROUNDUP(CL823+MAX(CM823,2*(J823/MAX(0.1,N(Einkauf!$C$6))-CL823)),0))/2)</f>
        <v>0.5</v>
      </c>
      <c r="CW823" s="62" t="n">
        <f aca="false">IF(CS823="","",MAX(0,H823-CV823)*G823)</f>
        <v>361.035</v>
      </c>
      <c r="CX823" s="62" t="n">
        <f aca="false">IF(CS823="","",CS823*MAX(0,1-CV823/H823))</f>
        <v>2.93936965811966</v>
      </c>
      <c r="CY823" s="64" t="n">
        <f aca="false">IF(CS823="","",PERCENTRANK($CS$7:$CS$1843,CS823)+PERCENTRANK($CU$7:$CU$1843,CU823)+1-PERCENTRANK($CT$7:$CT$1843,CT823))</f>
        <v>1.676</v>
      </c>
      <c r="CZ823" s="72" t="n">
        <f aca="false">IF(CS823="","",CHOOSE(MATCH(Einkauf!$C$5,Parameter!$G$23:$G$27,0),CY823,CS823,CU823,-CT823,CW823)+ROW()/1000000000)</f>
        <v>1.676000823</v>
      </c>
    </row>
    <row r="824" customFormat="false" ht="15" hidden="false" customHeight="false" outlineLevel="0" collapsed="false">
      <c r="A824" s="60" t="s">
        <v>1630</v>
      </c>
      <c r="B824" s="60" t="s">
        <v>445</v>
      </c>
      <c r="C824" s="60" t="s">
        <v>206</v>
      </c>
      <c r="D824" s="60" t="s">
        <v>226</v>
      </c>
      <c r="E824" s="60" t="s">
        <v>227</v>
      </c>
      <c r="F824" s="60" t="s">
        <v>260</v>
      </c>
      <c r="G824" s="61" t="n">
        <v>0.37</v>
      </c>
      <c r="H824" s="62" t="n">
        <f aca="false">MAX(0,IF(AND(Parameter!$B$21="Ja",ISNUMBER(Y824)),Y824,IF(Parameter!$B$20="Jahresanfang 2025 + Export",BS824+BR824,BR824)))</f>
        <v>397</v>
      </c>
      <c r="I824" s="62" t="n">
        <f aca="false">H824*G824</f>
        <v>146.89</v>
      </c>
      <c r="J824" s="62" t="n">
        <f aca="false">BU824*Parameter!$B$18</f>
        <v>23</v>
      </c>
      <c r="K824" s="63" t="n">
        <v>423.5</v>
      </c>
      <c r="L824" s="64" t="n">
        <v>0.0543093270365998</v>
      </c>
      <c r="M824" s="62" t="n">
        <v>1</v>
      </c>
      <c r="N824" s="62" t="n">
        <v>25</v>
      </c>
      <c r="O824" s="65" t="n">
        <v>21</v>
      </c>
      <c r="P824" s="60" t="s">
        <v>268</v>
      </c>
      <c r="Q824" s="62" t="n">
        <v>439</v>
      </c>
      <c r="R824" s="65" t="n">
        <f aca="false">IF(CA824=1,0,IFERROR(VLOOKUP(BY824,'Gebinde-Kategorie'!$A$5:$N$45,13,0)+0,0))</f>
        <v>12</v>
      </c>
      <c r="S824" s="66"/>
      <c r="T824" s="67"/>
      <c r="U824" s="67"/>
      <c r="V824" s="67"/>
      <c r="W824" s="60"/>
      <c r="X824" s="62"/>
      <c r="Y824" s="62"/>
      <c r="Z824" s="60" t="n">
        <v>3</v>
      </c>
      <c r="AA824" s="60" t="n">
        <f aca="false">IF(A824="","",IF(AND(Parameter!$B$21="Ja",ISNUMBER(W824)),W824,IF(AND(Parameter!$E$27="Ja",ISNUMBER(Z824),CD824&lt;&gt;"Nein"),Z824,IF(CD824="2+3",IF(ISNUMBER(SEARCH("grosser Artikel",BV824)),2,IFERROR(VLOOKUP(BY824,Parameter!$F$35:$G$64,2,0),2)),IF(OR(CD824="Nein",CD824=""),"-",CD824)))))</f>
        <v>3</v>
      </c>
      <c r="AB824" s="67"/>
      <c r="AC824" s="68"/>
      <c r="AD824" s="62" t="n">
        <f aca="false">AW824</f>
        <v>26</v>
      </c>
      <c r="AE824" s="62" t="n">
        <f aca="false">MAX(AW824,H824)</f>
        <v>397</v>
      </c>
      <c r="AF824" s="69"/>
      <c r="AG824" s="62" t="n">
        <f aca="false">IF(LEFT(Cockpit!$C$5,1)="A",H824,IF(Parameter!$E$30="MAX-Bestand",IF(CI824=1,CJ824,IF(LEFT(Cockpit!$C$5,1)="B",AM824,MAX(AM824,H824))),ROUNDUP(AK824,0)))</f>
        <v>397</v>
      </c>
      <c r="AH824" s="62" t="n">
        <f aca="false">IF(CA824=1,0,ROUNDUP(AG824/BZ824,0))</f>
        <v>1</v>
      </c>
      <c r="AI824" s="64" t="n">
        <f aca="false">IF(CR824&gt;0,CR824*MAX(1,AG824/X824),IF(CA824=1,IF(AG824&lt;=0,0,CE824*MAX(1,IF(H824&gt;0,AG824/H824,1))),IF(R824&gt;0,AH824/R824,0))/MAX(0.1,N(Parameter!$M$21)))</f>
        <v>0.0833333333333333</v>
      </c>
      <c r="AJ824" s="62" t="n">
        <f aca="false">AI824*CC824</f>
        <v>28.75</v>
      </c>
      <c r="AK824" s="63" t="n">
        <f aca="false">IF(LEFT(Cockpit!$C$5,1)="A",H824,IF(CI824=1,(CL824+CJ824)/2,IF(LEFT(Cockpit!$C$5,1)="B",(CL824+AM824)/2,MAX((CL824+AM824)/2,H824))))</f>
        <v>397</v>
      </c>
      <c r="AL824" s="62" t="n">
        <f aca="false">AK824*G824</f>
        <v>146.89</v>
      </c>
      <c r="AM824" s="62" t="n">
        <f aca="false">ROUNDUP(CL824+MAX(CM824,2*(J824/IF(CH824&gt;0,CH824,MAX(0.1,N(Cockpit!$C$6)))-CL824)),0)</f>
        <v>26</v>
      </c>
      <c r="AN824" s="63" t="n">
        <f aca="false">IF(AJ824&gt;0,J824/AJ824,-1)</f>
        <v>0.8</v>
      </c>
      <c r="AO824" s="63" t="n">
        <f aca="false">IF(AND(OR(CG824="L1",CG824="L23",CG824="LIFT"),AJ824&gt;0),SUMIFS($AJ$7:$AJ$1843,$CG$7:$CG$1843,CG824,$AN$7:$AN$1843,"&gt;"&amp;AN824)+SUMIFS($AJ$7:$AJ$1843,$CG$7:$CG$1843,CG824,$AN$7:$AN$1843,AN824,$BX$7:$BX$1843,"&lt;="&amp;BX824),"")</f>
        <v>8046.20833333333</v>
      </c>
      <c r="AP824" s="70" t="n">
        <f aca="false">IF(AO824="",0,MAX(0,MIN(1,(IF(CG824="L1",Parameter!$H$5,IF(CG824="L23",Parameter!$H$6+Parameter!$H$7,Parameter!$H$5+Parameter!$H$6+Parameter!$H$7))-(AO824-AJ824))/AJ824)))</f>
        <v>1</v>
      </c>
      <c r="AQ824" s="62" t="n">
        <f aca="false">IF(LEFT(Cockpit!$I$5,1)="A",H824,IF(Parameter!$E$30="MAX-Bestand",IF(CI824=1,CJ824,IF(LEFT(Cockpit!$I$5,1)="B",AW824,MAX(AW824,H824))),ROUNDUP(AU824,0)))</f>
        <v>397</v>
      </c>
      <c r="AR824" s="62" t="n">
        <f aca="false">IF(CA824=1,0,ROUNDUP(AQ824/BZ824,0))</f>
        <v>1</v>
      </c>
      <c r="AS824" s="64" t="n">
        <f aca="false">IF(CR824&gt;0,CR824*MAX(1,AQ824/X824),IF(CA824=1,IF(AQ824&lt;=0,0,CE824*MAX(1,IF(H824&gt;0,AQ824/H824,1))),IF(R824&gt;0,AR824/R824,0))/MAX(0.1,N(Parameter!$M$21)))</f>
        <v>0.0833333333333333</v>
      </c>
      <c r="AT824" s="62" t="n">
        <f aca="false">AS824*CC824</f>
        <v>28.75</v>
      </c>
      <c r="AU824" s="63" t="n">
        <f aca="false">IF(LEFT(Cockpit!$I$5,1)="A",H824,IF(CI824=1,(CL824+CJ824)/2,IF(LEFT(Cockpit!$I$5,1)="B",(CL824+AW824)/2,MAX((CL824+AW824)/2,H824))))</f>
        <v>397</v>
      </c>
      <c r="AV824" s="62" t="n">
        <f aca="false">AU824*G824</f>
        <v>146.89</v>
      </c>
      <c r="AW824" s="62" t="n">
        <f aca="false">ROUNDUP(CL824+MAX(CM824,2*(J824/IF(CH824&gt;0,CH824,MAX(0.1,N(Cockpit!$I$6)))-CL824)),0)</f>
        <v>26</v>
      </c>
      <c r="AX824" s="63" t="n">
        <f aca="false">IF(AT824&gt;0,J824/AT824,-1)</f>
        <v>0.8</v>
      </c>
      <c r="AY824" s="63" t="n">
        <f aca="false">IF(AND(OR(CG824="L1",CG824="L23",CG824="LIFT"),AT824&gt;0),SUMIFS($AT$7:$AT$1843,$CG$7:$CG$1843,CG824,$AX$7:$AX$1843,"&gt;"&amp;AX824)+SUMIFS($AT$7:$AT$1843,$CG$7:$CG$1843,CG824,$AX$7:$AX$1843,AX824,$BX$7:$BX$1843,"&lt;="&amp;BX824),"")</f>
        <v>10305.7765567766</v>
      </c>
      <c r="AZ824" s="70" t="n">
        <f aca="false">IF(AY824="",0,MAX(0,MIN(1,(IF(CG824="L1",Parameter!$H$5,IF(CG824="L23",Parameter!$H$6+Parameter!$H$7,Parameter!$H$5+Parameter!$H$6+Parameter!$H$7))-(AY824-AT824))/AT824)))</f>
        <v>1</v>
      </c>
      <c r="BA824" s="62" t="n">
        <f aca="false">IF(LEFT(Cockpit!$O$5,1)="A",H824,IF(Parameter!$E$30="MAX-Bestand",IF(CI824=1,CJ824,IF(LEFT(Cockpit!$O$5,1)="B",BG824,MAX(BG824,H824))),ROUNDUP(BE824,0)))</f>
        <v>14</v>
      </c>
      <c r="BB824" s="62" t="n">
        <f aca="false">IF(CA824=1,0,ROUNDUP(BA824/BZ824,0))</f>
        <v>1</v>
      </c>
      <c r="BC824" s="64" t="n">
        <f aca="false">IF(CR824&gt;0,CR824*MAX(1,BA824/X824),IF(CA824=1,IF(BA824&lt;=0,0,CE824*MAX(1,IF(H824&gt;0,BA824/H824,1))),IF(R824&gt;0,BB824/R824,0))/MAX(0.1,N(Parameter!$M$21)))</f>
        <v>0.0833333333333333</v>
      </c>
      <c r="BD824" s="62" t="n">
        <f aca="false">BC824*CC824</f>
        <v>28.75</v>
      </c>
      <c r="BE824" s="63" t="n">
        <f aca="false">IF(LEFT(Cockpit!$O$5,1)="A",H824,IF(CI824=1,(CL824+CJ824)/2,IF(LEFT(Cockpit!$O$5,1)="B",(CL824+BG824)/2,MAX((CL824+BG824)/2,H824))))</f>
        <v>13.5</v>
      </c>
      <c r="BF824" s="62" t="n">
        <f aca="false">BE824*G824</f>
        <v>4.995</v>
      </c>
      <c r="BG824" s="62" t="n">
        <f aca="false">ROUNDUP(CL824+MAX(CM824,2*(J824/IF(CH824&gt;0,CH824,MAX(0.1,N(Cockpit!$O$6)))-CL824)),0)</f>
        <v>26</v>
      </c>
      <c r="BH824" s="63" t="n">
        <f aca="false">IF(BD824&gt;0,J824/BD824,-1)</f>
        <v>0.8</v>
      </c>
      <c r="BI824" s="63" t="n">
        <f aca="false">IF(AND(OR(CG824="L1",CG824="L23",CG824="LIFT"),BD824&gt;0),SUMIFS($BD$7:$BD$1843,$CG$7:$CG$1843,CG824,$BH$7:$BH$1843,"&gt;"&amp;BH824)+SUMIFS($BD$7:$BD$1843,$CG$7:$CG$1843,CG824,$BH$7:$BH$1843,BH824,$BX$7:$BX$1843,"&lt;="&amp;BX824),"")</f>
        <v>8922.68635531135</v>
      </c>
      <c r="BJ824" s="70" t="n">
        <f aca="false">IF(BI824="",0,MAX(0,MIN(1,(IF(CG824="L1",Parameter!$H$5,IF(CG824="L23",Parameter!$H$6+Parameter!$H$7,Parameter!$H$5+Parameter!$H$6+Parameter!$H$7))-(BI824-BD824))/BD824)))</f>
        <v>1</v>
      </c>
      <c r="BK824" s="60" t="str">
        <f aca="false">IF(AJ824&lt;=0,"",IF(CG824="Aussen","Aussenlager",IF(CG824="-","Nicht im Lift",IF(AP824&gt;=1,"Lift",IF(AP824&lt;=0,"Aussenlager","teilweise")))))</f>
        <v>Lift</v>
      </c>
      <c r="BL824" s="60" t="str">
        <f aca="false">IF(AT824&lt;=0,"",IF(CG824="Aussen","Aussenlager",IF(CG824="-","Nicht im Lift",IF(AZ824&gt;=1,"Lift",IF(AZ824&lt;=0,"Aussenlager","teilweise")))))</f>
        <v>Lift</v>
      </c>
      <c r="BM824" s="60" t="str">
        <f aca="false">IF(BD824&lt;=0,"",IF(CG824="Aussen","Aussenlager",IF(CG824="-","Nicht im Lift",IF(BJ824&gt;=1,"Lift",IF(BJ824&lt;=0,"Aussenlager","teilweise")))))</f>
        <v>Lift</v>
      </c>
      <c r="BN824" s="60" t="str">
        <f aca="false">IF(A824="","",IF(BW824=1,"Neu; ","")&amp;IF(AND(BW824=0,BR824&lt;0),"negativer Bestand (Export "&amp;BR824&amp;"); ","")&amp;IF(J824&lt;=0,"Kein Verbrauch; ","")&amp;IF(CR824&gt;0,"Lift "&amp;W824&amp;" lt. Liftbericht (Fach "&amp;X824&amp;" Stk); ",IF(CB824=1,"Gebinde geschätzt ("&amp;T824&amp;"); ",IF(CA824=1,"Lose – Tablare geschätzt; ","")))&amp;IF(H824&gt;AW824,"Überbestand "&amp;ROUND(H824-AW824,0)&amp;" Stk / CHF "&amp;ROUND((H824-AW824)*G824,0)&amp;"; ","")&amp;IF(AND(CI824=1,CJ824&lt;CK824),"MAX &lt; MB+LG; ","")&amp;IF(AND(CQ824&gt;0,CP824*10&gt;CQ824),"zu hoch für Tablar; ","")&amp;IF(AND(BW824=0,OR(CI824=1,AB824&lt;&gt;"",U824&lt;&gt;"",V824&lt;&gt;"",AC824&lt;&gt;"")),"manuell übersteuert; ","")&amp;IF(AND(CA824=0,R824=0),"Gebinde unbekannt / Stellmass fehlt; ","")&amp;IF(AND(CA824=0,N(V824)&lt;=0,N(Q824)&lt;=0),"Menge pro Gebinde fehlt (Ist = 1 Gebinde); ","")&amp;BV824)</f>
        <v>negativer Bestand (Export -28); Überbestand 371 Stk / CHF 137; Überbestand</v>
      </c>
      <c r="BO824" s="60"/>
      <c r="BP824" s="60"/>
      <c r="BQ824" s="67"/>
      <c r="BR824" s="62" t="n">
        <v>-28</v>
      </c>
      <c r="BS824" s="62" t="n">
        <v>425</v>
      </c>
      <c r="BT824" s="61" t="n">
        <v>-10.36</v>
      </c>
      <c r="BU824" s="62" t="n">
        <v>23</v>
      </c>
      <c r="BV824" s="60" t="s">
        <v>434</v>
      </c>
      <c r="BW824" s="65" t="n">
        <v>0</v>
      </c>
      <c r="BX824" s="65" t="n">
        <v>824</v>
      </c>
      <c r="BY824" s="60" t="str">
        <f aca="false">IF(U824&lt;&gt;"",UPPER(TRIM(U824)),IF(CB824=1,UPPER(VLOOKUP(T824,Parameter!$I$27:$K$29,2,0)),IF(P824="","LOSE",P824)))</f>
        <v>S63</v>
      </c>
      <c r="BZ824" s="62" t="n">
        <f aca="false">IF(BY824="LOSE",1,IF(N(V824)&gt;0,V824,IF(CB824=1,MAX(1,N(VLOOKUP(T824,Parameter!$I$27:$K$29,3,0)),H824,N(N824)),IF(N(Q824)&gt;0,Q824,MAX(1,H824)))))</f>
        <v>439</v>
      </c>
      <c r="CA824" s="65" t="n">
        <f aca="false">IF(BY824="LOSE",1,0)</f>
        <v>0</v>
      </c>
      <c r="CB824" s="65" t="n">
        <f aca="false">IF(AND(U824="",OR(P824="",P824="LOSE"),T824&lt;&gt;"",N(S824)&lt;=0,ISNUMBER(MATCH(T824,Parameter!$I$27:$I$29,0))),1,0)</f>
        <v>0</v>
      </c>
      <c r="CC824" s="65" t="n">
        <f aca="false">IF(CR824&gt;0,INDEX(Parameter!$H$5:$H$7,W824)/INDEX(Parameter!$E$5:$E$7,W824),IF(AND(CA824=0,N(IFERROR(VLOOKUP(BY824,'Gebinde-Kategorie'!$A$5:$N$45,14,0),0))&gt;0),VLOOKUP(BY824,'Gebinde-Kategorie'!$A$5:$N$45,14,0)*10+Parameter!$M$23,Parameter!$M$24))</f>
        <v>345</v>
      </c>
      <c r="CD824" s="60" t="str">
        <f aca="false">IF(AND(Parameter!$B$19="Ja",E824&lt;&gt;"",ISNUMBER(MATCH(E824,Parameter!$I$35:$I$52,0))),VLOOKUP(E824,Parameter!$I$35:$J$52,2,0),IFERROR(VLOOKUP(D824,Parameter!$A$35:$C$64,2,0),"Nein"))</f>
        <v>2+3</v>
      </c>
      <c r="CE824" s="64" t="n">
        <f aca="false">IF(CA824=0,0,IF(N(S824)&gt;0,S824,IFERROR(VLOOKUP(D824,Parameter!$A$35:$C$64,3,0)+0,0)))</f>
        <v>0</v>
      </c>
      <c r="CF824" s="60" t="n">
        <f aca="false">IF(AB824&lt;&gt;"",AB824,AA824)</f>
        <v>3</v>
      </c>
      <c r="CG824" s="60" t="str">
        <f aca="false">IF(OR(CF824=1,CF824=2,CF824=3),IF(Parameter!$E$27="Ja","LIFT",IF(CF824=1,"L1","L23")),IF(CF824="Aussen","Aussen","-"))</f>
        <v>LIFT</v>
      </c>
      <c r="CH824" s="71" t="n">
        <f aca="false">IF(N(AC824)&gt;0,AC824,0)</f>
        <v>0</v>
      </c>
      <c r="CI824" s="65" t="n">
        <f aca="false">IF(ISNUMBER(AF824),1,0)</f>
        <v>0</v>
      </c>
      <c r="CJ824" s="62" t="n">
        <f aca="false">N(AF824)</f>
        <v>0</v>
      </c>
      <c r="CK824" s="62" t="n">
        <f aca="false">N(M824)+N(N824)</f>
        <v>26</v>
      </c>
      <c r="CL824" s="62" t="n">
        <f aca="false">N(M824)</f>
        <v>1</v>
      </c>
      <c r="CM824" s="62" t="n">
        <f aca="false">N(N824)</f>
        <v>25</v>
      </c>
      <c r="CN824" s="62" t="n">
        <f aca="false">ROUNDUP(H824/BZ824,0)</f>
        <v>1</v>
      </c>
      <c r="CO824" s="62" t="n">
        <f aca="false">ROUNDUP(CJ824/BZ824,0)</f>
        <v>0</v>
      </c>
      <c r="CP824" s="65" t="n">
        <f aca="false">IF(CA824=1,0,IFERROR(VLOOKUP(BY824,'Gebinde-Kategorie'!$A$5:$N$45,5,0)+0,0))</f>
        <v>31</v>
      </c>
      <c r="CQ824" s="65" t="n">
        <f aca="false">IFERROR(IF(OR(CF824=1,CF824=2,CF824=3),N(INDEX(Parameter!$I$5:$I$7,CF824)),0),0)</f>
        <v>0</v>
      </c>
      <c r="CR824" s="64" t="n">
        <f aca="false">IF(AND(Parameter!$B$21="Ja",ISNUMBER(W824),N(X824)&gt;0),IFERROR(N(INDEX(Parameter!$L$5:$L$7,W824))*INDEX(Parameter!$E$5:$E$7,W824)*X824/SUMIFS($X$7:$X$1843,$W$7:$W$1843,W824),0),0)</f>
        <v>0</v>
      </c>
      <c r="CS824" s="62" t="n">
        <f aca="false">IF(AND(OR(CG824="L1",CG824="L23",CG824="LIFT"),H824&gt;0),CC824*IF(CR824&gt;0,CR824*MAX(1,H824/X824),IF(CA824=1,CE824,IF(R824&gt;0,CN824/R824,0))/MAX(0.1,N(Parameter!$M$21))),"")</f>
        <v>28.75</v>
      </c>
      <c r="CT824" s="64" t="n">
        <f aca="false">IF(CS824="","",J824/H824)</f>
        <v>0.0579345088161209</v>
      </c>
      <c r="CU824" s="62" t="n">
        <f aca="false">IF(CS824="","",H824*G824)</f>
        <v>146.89</v>
      </c>
      <c r="CV824" s="63" t="n">
        <f aca="false">IF(CS824="","",(CL824+ROUNDUP(CL824+MAX(CM824,2*(J824/MAX(0.1,N(Einkauf!$C$6))-CL824)),0))/2)</f>
        <v>13.5</v>
      </c>
      <c r="CW824" s="62" t="n">
        <f aca="false">IF(CS824="","",MAX(0,H824-CV824)*G824)</f>
        <v>141.895</v>
      </c>
      <c r="CX824" s="62" t="n">
        <f aca="false">IF(CS824="","",CS824*MAX(0,1-CV824/H824))</f>
        <v>27.772355163728</v>
      </c>
      <c r="CY824" s="64" t="n">
        <f aca="false">IF(CS824="","",PERCENTRANK($CS$7:$CS$1843,CS824)+PERCENTRANK($CU$7:$CU$1843,CU824)+1-PERCENTRANK($CT$7:$CT$1843,CT824))</f>
        <v>1.709</v>
      </c>
      <c r="CZ824" s="72" t="n">
        <f aca="false">IF(CS824="","",CHOOSE(MATCH(Einkauf!$C$5,Parameter!$G$23:$G$27,0),CY824,CS824,CU824,-CT824,CW824)+ROW()/1000000000)</f>
        <v>1.709000824</v>
      </c>
    </row>
    <row r="825" customFormat="false" ht="15" hidden="false" customHeight="false" outlineLevel="0" collapsed="false">
      <c r="A825" s="60" t="s">
        <v>1631</v>
      </c>
      <c r="B825" s="60" t="s">
        <v>1632</v>
      </c>
      <c r="C825" s="60" t="s">
        <v>206</v>
      </c>
      <c r="D825" s="60" t="s">
        <v>226</v>
      </c>
      <c r="E825" s="60" t="s">
        <v>227</v>
      </c>
      <c r="F825" s="60" t="s">
        <v>260</v>
      </c>
      <c r="G825" s="61" t="n">
        <v>1.23</v>
      </c>
      <c r="H825" s="62" t="n">
        <f aca="false">MAX(0,IF(AND(Parameter!$B$21="Ja",ISNUMBER(Y825)),Y825,IF(Parameter!$B$20="Jahresanfang 2025 + Export",BS825+BR825,BR825)))</f>
        <v>80</v>
      </c>
      <c r="I825" s="62" t="n">
        <f aca="false">H825*G825</f>
        <v>98.4</v>
      </c>
      <c r="J825" s="62" t="n">
        <f aca="false">BU825*Parameter!$B$18</f>
        <v>55</v>
      </c>
      <c r="K825" s="63" t="n">
        <v>117.5</v>
      </c>
      <c r="L825" s="64" t="n">
        <v>0.468085106382979</v>
      </c>
      <c r="M825" s="62" t="n">
        <v>3</v>
      </c>
      <c r="N825" s="62" t="n">
        <v>50</v>
      </c>
      <c r="O825" s="65" t="n">
        <v>21</v>
      </c>
      <c r="P825" s="60" t="s">
        <v>463</v>
      </c>
      <c r="Q825" s="62" t="n">
        <v>97</v>
      </c>
      <c r="R825" s="65" t="n">
        <f aca="false">IF(CA825=1,0,IFERROR(VLOOKUP(BY825,'Gebinde-Kategorie'!$A$5:$N$45,13,0)+0,0))</f>
        <v>104</v>
      </c>
      <c r="S825" s="66"/>
      <c r="T825" s="67"/>
      <c r="U825" s="67"/>
      <c r="V825" s="67"/>
      <c r="W825" s="60"/>
      <c r="X825" s="62"/>
      <c r="Y825" s="62"/>
      <c r="Z825" s="60" t="n">
        <v>2</v>
      </c>
      <c r="AA825" s="60" t="n">
        <f aca="false">IF(A825="","",IF(AND(Parameter!$B$21="Ja",ISNUMBER(W825)),W825,IF(AND(Parameter!$E$27="Ja",ISNUMBER(Z825),CD825&lt;&gt;"Nein"),Z825,IF(CD825="2+3",IF(ISNUMBER(SEARCH("grosser Artikel",BV825)),2,IFERROR(VLOOKUP(BY825,Parameter!$F$35:$G$64,2,0),2)),IF(OR(CD825="Nein",CD825=""),"-",CD825)))))</f>
        <v>2</v>
      </c>
      <c r="AB825" s="67"/>
      <c r="AC825" s="68"/>
      <c r="AD825" s="62" t="n">
        <f aca="false">AW825</f>
        <v>53</v>
      </c>
      <c r="AE825" s="62" t="n">
        <f aca="false">MAX(AW825,H825)</f>
        <v>80</v>
      </c>
      <c r="AF825" s="69"/>
      <c r="AG825" s="62" t="n">
        <f aca="false">IF(LEFT(Cockpit!$C$5,1)="A",H825,IF(Parameter!$E$30="MAX-Bestand",IF(CI825=1,CJ825,IF(LEFT(Cockpit!$C$5,1)="B",AM825,MAX(AM825,H825))),ROUNDUP(AK825,0)))</f>
        <v>80</v>
      </c>
      <c r="AH825" s="62" t="n">
        <f aca="false">IF(CA825=1,0,ROUNDUP(AG825/BZ825,0))</f>
        <v>1</v>
      </c>
      <c r="AI825" s="64" t="n">
        <f aca="false">IF(CR825&gt;0,CR825*MAX(1,AG825/X825),IF(CA825=1,IF(AG825&lt;=0,0,CE825*MAX(1,IF(H825&gt;0,AG825/H825,1))),IF(R825&gt;0,AH825/R825,0))/MAX(0.1,N(Parameter!$M$21)))</f>
        <v>0.00961538461538462</v>
      </c>
      <c r="AJ825" s="62" t="n">
        <f aca="false">AI825*CC825</f>
        <v>1.49038461538462</v>
      </c>
      <c r="AK825" s="63" t="n">
        <f aca="false">IF(LEFT(Cockpit!$C$5,1)="A",H825,IF(CI825=1,(CL825+CJ825)/2,IF(LEFT(Cockpit!$C$5,1)="B",(CL825+AM825)/2,MAX((CL825+AM825)/2,H825))))</f>
        <v>80</v>
      </c>
      <c r="AL825" s="62" t="n">
        <f aca="false">AK825*G825</f>
        <v>98.4</v>
      </c>
      <c r="AM825" s="62" t="n">
        <f aca="false">ROUNDUP(CL825+MAX(CM825,2*(J825/IF(CH825&gt;0,CH825,MAX(0.1,N(Cockpit!$C$6)))-CL825)),0)</f>
        <v>53</v>
      </c>
      <c r="AN825" s="63" t="n">
        <f aca="false">IF(AJ825&gt;0,J825/AJ825,-1)</f>
        <v>36.9032258064516</v>
      </c>
      <c r="AO825" s="63" t="n">
        <f aca="false">IF(AND(OR(CG825="L1",CG825="L23",CG825="LIFT"),AJ825&gt;0),SUMIFS($AJ$7:$AJ$1843,$CG$7:$CG$1843,CG825,$AN$7:$AN$1843,"&gt;"&amp;AN825)+SUMIFS($AJ$7:$AJ$1843,$CG$7:$CG$1843,CG825,$AN$7:$AN$1843,AN825,$BX$7:$BX$1843,"&lt;="&amp;BX825),"")</f>
        <v>1261.85576923077</v>
      </c>
      <c r="AP825" s="70" t="n">
        <f aca="false">IF(AO825="",0,MAX(0,MIN(1,(IF(CG825="L1",Parameter!$H$5,IF(CG825="L23",Parameter!$H$6+Parameter!$H$7,Parameter!$H$5+Parameter!$H$6+Parameter!$H$7))-(AO825-AJ825))/AJ825)))</f>
        <v>1</v>
      </c>
      <c r="AQ825" s="62" t="n">
        <f aca="false">IF(LEFT(Cockpit!$I$5,1)="A",H825,IF(Parameter!$E$30="MAX-Bestand",IF(CI825=1,CJ825,IF(LEFT(Cockpit!$I$5,1)="B",AW825,MAX(AW825,H825))),ROUNDUP(AU825,0)))</f>
        <v>80</v>
      </c>
      <c r="AR825" s="62" t="n">
        <f aca="false">IF(CA825=1,0,ROUNDUP(AQ825/BZ825,0))</f>
        <v>1</v>
      </c>
      <c r="AS825" s="64" t="n">
        <f aca="false">IF(CR825&gt;0,CR825*MAX(1,AQ825/X825),IF(CA825=1,IF(AQ825&lt;=0,0,CE825*MAX(1,IF(H825&gt;0,AQ825/H825,1))),IF(R825&gt;0,AR825/R825,0))/MAX(0.1,N(Parameter!$M$21)))</f>
        <v>0.00961538461538462</v>
      </c>
      <c r="AT825" s="62" t="n">
        <f aca="false">AS825*CC825</f>
        <v>1.49038461538462</v>
      </c>
      <c r="AU825" s="63" t="n">
        <f aca="false">IF(LEFT(Cockpit!$I$5,1)="A",H825,IF(CI825=1,(CL825+CJ825)/2,IF(LEFT(Cockpit!$I$5,1)="B",(CL825+AW825)/2,MAX((CL825+AW825)/2,H825))))</f>
        <v>80</v>
      </c>
      <c r="AV825" s="62" t="n">
        <f aca="false">AU825*G825</f>
        <v>98.4</v>
      </c>
      <c r="AW825" s="62" t="n">
        <f aca="false">ROUNDUP(CL825+MAX(CM825,2*(J825/IF(CH825&gt;0,CH825,MAX(0.1,N(Cockpit!$I$6)))-CL825)),0)</f>
        <v>53</v>
      </c>
      <c r="AX825" s="63" t="n">
        <f aca="false">IF(AT825&gt;0,J825/AT825,-1)</f>
        <v>36.9032258064516</v>
      </c>
      <c r="AY825" s="63" t="n">
        <f aca="false">IF(AND(OR(CG825="L1",CG825="L23",CG825="LIFT"),AT825&gt;0),SUMIFS($AT$7:$AT$1843,$CG$7:$CG$1843,CG825,$AX$7:$AX$1843,"&gt;"&amp;AX825)+SUMIFS($AT$7:$AT$1843,$CG$7:$CG$1843,CG825,$AX$7:$AX$1843,AX825,$BX$7:$BX$1843,"&lt;="&amp;BX825),"")</f>
        <v>1580.40750915751</v>
      </c>
      <c r="AZ825" s="70" t="n">
        <f aca="false">IF(AY825="",0,MAX(0,MIN(1,(IF(CG825="L1",Parameter!$H$5,IF(CG825="L23",Parameter!$H$6+Parameter!$H$7,Parameter!$H$5+Parameter!$H$6+Parameter!$H$7))-(AY825-AT825))/AT825)))</f>
        <v>1</v>
      </c>
      <c r="BA825" s="62" t="n">
        <f aca="false">IF(LEFT(Cockpit!$O$5,1)="A",H825,IF(Parameter!$E$30="MAX-Bestand",IF(CI825=1,CJ825,IF(LEFT(Cockpit!$O$5,1)="B",BG825,MAX(BG825,H825))),ROUNDUP(BE825,0)))</f>
        <v>28</v>
      </c>
      <c r="BB825" s="62" t="n">
        <f aca="false">IF(CA825=1,0,ROUNDUP(BA825/BZ825,0))</f>
        <v>1</v>
      </c>
      <c r="BC825" s="64" t="n">
        <f aca="false">IF(CR825&gt;0,CR825*MAX(1,BA825/X825),IF(CA825=1,IF(BA825&lt;=0,0,CE825*MAX(1,IF(H825&gt;0,BA825/H825,1))),IF(R825&gt;0,BB825/R825,0))/MAX(0.1,N(Parameter!$M$21)))</f>
        <v>0.00961538461538462</v>
      </c>
      <c r="BD825" s="62" t="n">
        <f aca="false">BC825*CC825</f>
        <v>1.49038461538462</v>
      </c>
      <c r="BE825" s="63" t="n">
        <f aca="false">IF(LEFT(Cockpit!$O$5,1)="A",H825,IF(CI825=1,(CL825+CJ825)/2,IF(LEFT(Cockpit!$O$5,1)="B",(CL825+BG825)/2,MAX((CL825+BG825)/2,H825))))</f>
        <v>28</v>
      </c>
      <c r="BF825" s="62" t="n">
        <f aca="false">BE825*G825</f>
        <v>34.44</v>
      </c>
      <c r="BG825" s="62" t="n">
        <f aca="false">ROUNDUP(CL825+MAX(CM825,2*(J825/IF(CH825&gt;0,CH825,MAX(0.1,N(Cockpit!$O$6)))-CL825)),0)</f>
        <v>53</v>
      </c>
      <c r="BH825" s="63" t="n">
        <f aca="false">IF(BD825&gt;0,J825/BD825,-1)</f>
        <v>36.9032258064516</v>
      </c>
      <c r="BI825" s="63" t="n">
        <f aca="false">IF(AND(OR(CG825="L1",CG825="L23",CG825="LIFT"),BD825&gt;0),SUMIFS($BD$7:$BD$1843,$CG$7:$CG$1843,CG825,$BH$7:$BH$1843,"&gt;"&amp;BH825)+SUMIFS($BD$7:$BD$1843,$CG$7:$CG$1843,CG825,$BH$7:$BH$1843,BH825,$BX$7:$BX$1843,"&lt;="&amp;BX825),"")</f>
        <v>1508.60897435897</v>
      </c>
      <c r="BJ825" s="70" t="n">
        <f aca="false">IF(BI825="",0,MAX(0,MIN(1,(IF(CG825="L1",Parameter!$H$5,IF(CG825="L23",Parameter!$H$6+Parameter!$H$7,Parameter!$H$5+Parameter!$H$6+Parameter!$H$7))-(BI825-BD825))/BD825)))</f>
        <v>1</v>
      </c>
      <c r="BK825" s="60" t="str">
        <f aca="false">IF(AJ825&lt;=0,"",IF(CG825="Aussen","Aussenlager",IF(CG825="-","Nicht im Lift",IF(AP825&gt;=1,"Lift",IF(AP825&lt;=0,"Aussenlager","teilweise")))))</f>
        <v>Lift</v>
      </c>
      <c r="BL825" s="60" t="str">
        <f aca="false">IF(AT825&lt;=0,"",IF(CG825="Aussen","Aussenlager",IF(CG825="-","Nicht im Lift",IF(AZ825&gt;=1,"Lift",IF(AZ825&lt;=0,"Aussenlager","teilweise")))))</f>
        <v>Lift</v>
      </c>
      <c r="BM825" s="60" t="str">
        <f aca="false">IF(BD825&lt;=0,"",IF(CG825="Aussen","Aussenlager",IF(CG825="-","Nicht im Lift",IF(BJ825&gt;=1,"Lift",IF(BJ825&lt;=0,"Aussenlager","teilweise")))))</f>
        <v>Lift</v>
      </c>
      <c r="BN825" s="60" t="str">
        <f aca="false">IF(A825="","",IF(BW825=1,"Neu; ","")&amp;IF(AND(BW825=0,BR825&lt;0),"negativer Bestand (Export "&amp;BR825&amp;"); ","")&amp;IF(J825&lt;=0,"Kein Verbrauch; ","")&amp;IF(CR825&gt;0,"Lift "&amp;W825&amp;" lt. Liftbericht (Fach "&amp;X825&amp;" Stk); ",IF(CB825=1,"Gebinde geschätzt ("&amp;T825&amp;"); ",IF(CA825=1,"Lose – Tablare geschätzt; ","")))&amp;IF(H825&gt;AW825,"Überbestand "&amp;ROUND(H825-AW825,0)&amp;" Stk / CHF "&amp;ROUND((H825-AW825)*G825,0)&amp;"; ","")&amp;IF(AND(CI825=1,CJ825&lt;CK825),"MAX &lt; MB+LG; ","")&amp;IF(AND(CQ825&gt;0,CP825*10&gt;CQ825),"zu hoch für Tablar; ","")&amp;IF(AND(BW825=0,OR(CI825=1,AB825&lt;&gt;"",U825&lt;&gt;"",V825&lt;&gt;"",AC825&lt;&gt;"")),"manuell übersteuert; ","")&amp;IF(AND(CA825=0,R825=0),"Gebinde unbekannt / Stellmass fehlt; ","")&amp;IF(AND(CA825=0,N(V825)&lt;=0,N(Q825)&lt;=0),"Menge pro Gebinde fehlt (Ist = 1 Gebinde); ","")&amp;BV825)</f>
        <v>negativer Bestand (Export -5); Überbestand 27 Stk / CHF 33; Neu</v>
      </c>
      <c r="BO825" s="60"/>
      <c r="BP825" s="60"/>
      <c r="BQ825" s="67"/>
      <c r="BR825" s="62" t="n">
        <v>-5</v>
      </c>
      <c r="BS825" s="62" t="n">
        <v>85</v>
      </c>
      <c r="BT825" s="61" t="n">
        <v>-10.4000000000001</v>
      </c>
      <c r="BU825" s="62" t="n">
        <v>55</v>
      </c>
      <c r="BV825" s="60" t="s">
        <v>668</v>
      </c>
      <c r="BW825" s="65" t="n">
        <v>0</v>
      </c>
      <c r="BX825" s="65" t="n">
        <v>825</v>
      </c>
      <c r="BY825" s="60" t="str">
        <f aca="false">IF(U825&lt;&gt;"",UPPER(TRIM(U825)),IF(CB825=1,UPPER(VLOOKUP(T825,Parameter!$I$27:$K$29,2,0)),IF(P825="","LOSE",P825)))</f>
        <v>S32</v>
      </c>
      <c r="BZ825" s="62" t="n">
        <f aca="false">IF(BY825="LOSE",1,IF(N(V825)&gt;0,V825,IF(CB825=1,MAX(1,N(VLOOKUP(T825,Parameter!$I$27:$K$29,3,0)),H825,N(N825)),IF(N(Q825)&gt;0,Q825,MAX(1,H825)))))</f>
        <v>97</v>
      </c>
      <c r="CA825" s="65" t="n">
        <f aca="false">IF(BY825="LOSE",1,0)</f>
        <v>0</v>
      </c>
      <c r="CB825" s="65" t="n">
        <f aca="false">IF(AND(U825="",OR(P825="",P825="LOSE"),T825&lt;&gt;"",N(S825)&lt;=0,ISNUMBER(MATCH(T825,Parameter!$I$27:$I$29,0))),1,0)</f>
        <v>0</v>
      </c>
      <c r="CC825" s="65" t="n">
        <f aca="false">IF(CR825&gt;0,INDEX(Parameter!$H$5:$H$7,W825)/INDEX(Parameter!$E$5:$E$7,W825),IF(AND(CA825=0,N(IFERROR(VLOOKUP(BY825,'Gebinde-Kategorie'!$A$5:$N$45,14,0),0))&gt;0),VLOOKUP(BY825,'Gebinde-Kategorie'!$A$5:$N$45,14,0)*10+Parameter!$M$23,Parameter!$M$24))</f>
        <v>155</v>
      </c>
      <c r="CD825" s="60" t="str">
        <f aca="false">IF(AND(Parameter!$B$19="Ja",E825&lt;&gt;"",ISNUMBER(MATCH(E825,Parameter!$I$35:$I$52,0))),VLOOKUP(E825,Parameter!$I$35:$J$52,2,0),IFERROR(VLOOKUP(D825,Parameter!$A$35:$C$64,2,0),"Nein"))</f>
        <v>2+3</v>
      </c>
      <c r="CE825" s="64" t="n">
        <f aca="false">IF(CA825=0,0,IF(N(S825)&gt;0,S825,IFERROR(VLOOKUP(D825,Parameter!$A$35:$C$64,3,0)+0,0)))</f>
        <v>0</v>
      </c>
      <c r="CF825" s="60" t="n">
        <f aca="false">IF(AB825&lt;&gt;"",AB825,AA825)</f>
        <v>2</v>
      </c>
      <c r="CG825" s="60" t="str">
        <f aca="false">IF(OR(CF825=1,CF825=2,CF825=3),IF(Parameter!$E$27="Ja","LIFT",IF(CF825=1,"L1","L23")),IF(CF825="Aussen","Aussen","-"))</f>
        <v>LIFT</v>
      </c>
      <c r="CH825" s="71" t="n">
        <f aca="false">IF(N(AC825)&gt;0,AC825,0)</f>
        <v>0</v>
      </c>
      <c r="CI825" s="65" t="n">
        <f aca="false">IF(ISNUMBER(AF825),1,0)</f>
        <v>0</v>
      </c>
      <c r="CJ825" s="62" t="n">
        <f aca="false">N(AF825)</f>
        <v>0</v>
      </c>
      <c r="CK825" s="62" t="n">
        <f aca="false">N(M825)+N(N825)</f>
        <v>53</v>
      </c>
      <c r="CL825" s="62" t="n">
        <f aca="false">N(M825)</f>
        <v>3</v>
      </c>
      <c r="CM825" s="62" t="n">
        <f aca="false">N(N825)</f>
        <v>50</v>
      </c>
      <c r="CN825" s="62" t="n">
        <f aca="false">ROUNDUP(H825/BZ825,0)</f>
        <v>1</v>
      </c>
      <c r="CO825" s="62" t="n">
        <f aca="false">ROUNDUP(CJ825/BZ825,0)</f>
        <v>0</v>
      </c>
      <c r="CP825" s="65" t="n">
        <f aca="false">IF(CA825=1,0,IFERROR(VLOOKUP(BY825,'Gebinde-Kategorie'!$A$5:$N$45,5,0)+0,0))</f>
        <v>8</v>
      </c>
      <c r="CQ825" s="65" t="n">
        <f aca="false">IFERROR(IF(OR(CF825=1,CF825=2,CF825=3),N(INDEX(Parameter!$I$5:$I$7,CF825)),0),0)</f>
        <v>0</v>
      </c>
      <c r="CR825" s="64" t="n">
        <f aca="false">IF(AND(Parameter!$B$21="Ja",ISNUMBER(W825),N(X825)&gt;0),IFERROR(N(INDEX(Parameter!$L$5:$L$7,W825))*INDEX(Parameter!$E$5:$E$7,W825)*X825/SUMIFS($X$7:$X$1843,$W$7:$W$1843,W825),0),0)</f>
        <v>0</v>
      </c>
      <c r="CS825" s="62" t="n">
        <f aca="false">IF(AND(OR(CG825="L1",CG825="L23",CG825="LIFT"),H825&gt;0),CC825*IF(CR825&gt;0,CR825*MAX(1,H825/X825),IF(CA825=1,CE825,IF(R825&gt;0,CN825/R825,0))/MAX(0.1,N(Parameter!$M$21))),"")</f>
        <v>1.49038461538462</v>
      </c>
      <c r="CT825" s="64" t="n">
        <f aca="false">IF(CS825="","",J825/H825)</f>
        <v>0.6875</v>
      </c>
      <c r="CU825" s="62" t="n">
        <f aca="false">IF(CS825="","",H825*G825)</f>
        <v>98.4</v>
      </c>
      <c r="CV825" s="63" t="n">
        <f aca="false">IF(CS825="","",(CL825+ROUNDUP(CL825+MAX(CM825,2*(J825/MAX(0.1,N(Einkauf!$C$6))-CL825)),0))/2)</f>
        <v>28</v>
      </c>
      <c r="CW825" s="62" t="n">
        <f aca="false">IF(CS825="","",MAX(0,H825-CV825)*G825)</f>
        <v>63.96</v>
      </c>
      <c r="CX825" s="62" t="n">
        <f aca="false">IF(CS825="","",CS825*MAX(0,1-CV825/H825))</f>
        <v>0.96875</v>
      </c>
      <c r="CY825" s="64" t="n">
        <f aca="false">IF(CS825="","",PERCENTRANK($CS$7:$CS$1843,CS825)+PERCENTRANK($CU$7:$CU$1843,CU825)+1-PERCENTRANK($CT$7:$CT$1843,CT825))</f>
        <v>0.764</v>
      </c>
      <c r="CZ825" s="72" t="n">
        <f aca="false">IF(CS825="","",CHOOSE(MATCH(Einkauf!$C$5,Parameter!$G$23:$G$27,0),CY825,CS825,CU825,-CT825,CW825)+ROW()/1000000000)</f>
        <v>0.764000825</v>
      </c>
    </row>
    <row r="826" customFormat="false" ht="15" hidden="false" customHeight="false" outlineLevel="0" collapsed="false">
      <c r="A826" s="60" t="s">
        <v>1633</v>
      </c>
      <c r="B826" s="60" t="s">
        <v>1634</v>
      </c>
      <c r="C826" s="60" t="s">
        <v>206</v>
      </c>
      <c r="D826" s="60" t="s">
        <v>226</v>
      </c>
      <c r="E826" s="60"/>
      <c r="F826" s="60" t="s">
        <v>260</v>
      </c>
      <c r="G826" s="61" t="n">
        <v>10.43</v>
      </c>
      <c r="H826" s="62" t="n">
        <f aca="false">MAX(0,IF(AND(Parameter!$B$21="Ja",ISNUMBER(Y826)),Y826,IF(Parameter!$B$20="Jahresanfang 2025 + Export",BS826+BR826,BR826)))</f>
        <v>0</v>
      </c>
      <c r="I826" s="62" t="n">
        <f aca="false">H826*G826</f>
        <v>0</v>
      </c>
      <c r="J826" s="62" t="n">
        <f aca="false">BU826*Parameter!$B$18</f>
        <v>1</v>
      </c>
      <c r="K826" s="63" t="n">
        <v>0.5</v>
      </c>
      <c r="L826" s="64" t="n">
        <v>2</v>
      </c>
      <c r="M826" s="62" t="n">
        <v>0</v>
      </c>
      <c r="N826" s="62" t="n">
        <v>1</v>
      </c>
      <c r="O826" s="65" t="n">
        <v>21</v>
      </c>
      <c r="P826" s="60" t="s">
        <v>443</v>
      </c>
      <c r="Q826" s="62" t="n">
        <v>100</v>
      </c>
      <c r="R826" s="65" t="n">
        <f aca="false">IF(CA826=1,0,IFERROR(VLOOKUP(BY826,'Gebinde-Kategorie'!$A$5:$N$45,13,0)+0,0))</f>
        <v>280</v>
      </c>
      <c r="S826" s="66"/>
      <c r="T826" s="67"/>
      <c r="U826" s="67"/>
      <c r="V826" s="67"/>
      <c r="W826" s="60"/>
      <c r="X826" s="62"/>
      <c r="Y826" s="62"/>
      <c r="Z826" s="60" t="n">
        <v>3</v>
      </c>
      <c r="AA826" s="60" t="n">
        <f aca="false">IF(A826="","",IF(AND(Parameter!$B$21="Ja",ISNUMBER(W826)),W826,IF(AND(Parameter!$E$27="Ja",ISNUMBER(Z826),CD826&lt;&gt;"Nein"),Z826,IF(CD826="2+3",IF(ISNUMBER(SEARCH("grosser Artikel",BV826)),2,IFERROR(VLOOKUP(BY826,Parameter!$F$35:$G$64,2,0),2)),IF(OR(CD826="Nein",CD826=""),"-",CD826)))))</f>
        <v>3</v>
      </c>
      <c r="AB826" s="67"/>
      <c r="AC826" s="68"/>
      <c r="AD826" s="62" t="n">
        <f aca="false">AW826</f>
        <v>1</v>
      </c>
      <c r="AE826" s="62" t="n">
        <f aca="false">MAX(AW826,H826)</f>
        <v>1</v>
      </c>
      <c r="AF826" s="69"/>
      <c r="AG826" s="62" t="n">
        <f aca="false">IF(LEFT(Cockpit!$C$5,1)="A",H826,IF(Parameter!$E$30="MAX-Bestand",IF(CI826=1,CJ826,IF(LEFT(Cockpit!$C$5,1)="B",AM826,MAX(AM826,H826))),ROUNDUP(AK826,0)))</f>
        <v>0</v>
      </c>
      <c r="AH826" s="62" t="n">
        <f aca="false">IF(CA826=1,0,ROUNDUP(AG826/BZ826,0))</f>
        <v>0</v>
      </c>
      <c r="AI826" s="64" t="n">
        <f aca="false">IF(CR826&gt;0,CR826*MAX(1,AG826/X826),IF(CA826=1,IF(AG826&lt;=0,0,CE826*MAX(1,IF(H826&gt;0,AG826/H826,1))),IF(R826&gt;0,AH826/R826,0))/MAX(0.1,N(Parameter!$M$21)))</f>
        <v>0</v>
      </c>
      <c r="AJ826" s="62" t="n">
        <f aca="false">AI826*CC826</f>
        <v>0</v>
      </c>
      <c r="AK826" s="63" t="n">
        <f aca="false">IF(LEFT(Cockpit!$C$5,1)="A",H826,IF(CI826=1,(CL826+CJ826)/2,IF(LEFT(Cockpit!$C$5,1)="B",(CL826+AM826)/2,MAX((CL826+AM826)/2,H826))))</f>
        <v>0</v>
      </c>
      <c r="AL826" s="62" t="n">
        <f aca="false">AK826*G826</f>
        <v>0</v>
      </c>
      <c r="AM826" s="62" t="n">
        <f aca="false">ROUNDUP(CL826+MAX(CM826,2*(J826/IF(CH826&gt;0,CH826,MAX(0.1,N(Cockpit!$C$6)))-CL826)),0)</f>
        <v>1</v>
      </c>
      <c r="AN826" s="63" t="n">
        <f aca="false">IF(AJ826&gt;0,J826/AJ826,-1)</f>
        <v>-1</v>
      </c>
      <c r="AO826" s="63" t="str">
        <f aca="false">IF(AND(OR(CG826="L1",CG826="L23",CG826="LIFT"),AJ826&gt;0),SUMIFS($AJ$7:$AJ$1843,$CG$7:$CG$1843,CG826,$AN$7:$AN$1843,"&gt;"&amp;AN826)+SUMIFS($AJ$7:$AJ$1843,$CG$7:$CG$1843,CG826,$AN$7:$AN$1843,AN826,$BX$7:$BX$1843,"&lt;="&amp;BX826),"")</f>
        <v/>
      </c>
      <c r="AP826" s="70" t="n">
        <f aca="false">IF(AO826="",0,MAX(0,MIN(1,(IF(CG826="L1",Parameter!$H$5,IF(CG826="L23",Parameter!$H$6+Parameter!$H$7,Parameter!$H$5+Parameter!$H$6+Parameter!$H$7))-(AO826-AJ826))/AJ826)))</f>
        <v>0</v>
      </c>
      <c r="AQ826" s="62" t="n">
        <f aca="false">IF(LEFT(Cockpit!$I$5,1)="A",H826,IF(Parameter!$E$30="MAX-Bestand",IF(CI826=1,CJ826,IF(LEFT(Cockpit!$I$5,1)="B",AW826,MAX(AW826,H826))),ROUNDUP(AU826,0)))</f>
        <v>1</v>
      </c>
      <c r="AR826" s="62" t="n">
        <f aca="false">IF(CA826=1,0,ROUNDUP(AQ826/BZ826,0))</f>
        <v>1</v>
      </c>
      <c r="AS826" s="64" t="n">
        <f aca="false">IF(CR826&gt;0,CR826*MAX(1,AQ826/X826),IF(CA826=1,IF(AQ826&lt;=0,0,CE826*MAX(1,IF(H826&gt;0,AQ826/H826,1))),IF(R826&gt;0,AR826/R826,0))/MAX(0.1,N(Parameter!$M$21)))</f>
        <v>0.00357142857142857</v>
      </c>
      <c r="AT826" s="62" t="n">
        <f aca="false">AS826*CC826</f>
        <v>0.553571428571429</v>
      </c>
      <c r="AU826" s="63" t="n">
        <f aca="false">IF(LEFT(Cockpit!$I$5,1)="A",H826,IF(CI826=1,(CL826+CJ826)/2,IF(LEFT(Cockpit!$I$5,1)="B",(CL826+AW826)/2,MAX((CL826+AW826)/2,H826))))</f>
        <v>0.5</v>
      </c>
      <c r="AV826" s="62" t="n">
        <f aca="false">AU826*G826</f>
        <v>5.215</v>
      </c>
      <c r="AW826" s="62" t="n">
        <f aca="false">ROUNDUP(CL826+MAX(CM826,2*(J826/IF(CH826&gt;0,CH826,MAX(0.1,N(Cockpit!$I$6)))-CL826)),0)</f>
        <v>1</v>
      </c>
      <c r="AX826" s="63" t="n">
        <f aca="false">IF(AT826&gt;0,J826/AT826,-1)</f>
        <v>1.80645161290323</v>
      </c>
      <c r="AY826" s="63" t="n">
        <f aca="false">IF(AND(OR(CG826="L1",CG826="L23",CG826="LIFT"),AT826&gt;0),SUMIFS($AT$7:$AT$1843,$CG$7:$CG$1843,CG826,$AX$7:$AX$1843,"&gt;"&amp;AX826)+SUMIFS($AT$7:$AT$1843,$CG$7:$CG$1843,CG826,$AX$7:$AX$1843,AX826,$BX$7:$BX$1843,"&lt;="&amp;BX826),"")</f>
        <v>7403.9739010989</v>
      </c>
      <c r="AZ826" s="70" t="n">
        <f aca="false">IF(AY826="",0,MAX(0,MIN(1,(IF(CG826="L1",Parameter!$H$5,IF(CG826="L23",Parameter!$H$6+Parameter!$H$7,Parameter!$H$5+Parameter!$H$6+Parameter!$H$7))-(AY826-AT826))/AT826)))</f>
        <v>1</v>
      </c>
      <c r="BA826" s="62" t="n">
        <f aca="false">IF(LEFT(Cockpit!$O$5,1)="A",H826,IF(Parameter!$E$30="MAX-Bestand",IF(CI826=1,CJ826,IF(LEFT(Cockpit!$O$5,1)="B",BG826,MAX(BG826,H826))),ROUNDUP(BE826,0)))</f>
        <v>1</v>
      </c>
      <c r="BB826" s="62" t="n">
        <f aca="false">IF(CA826=1,0,ROUNDUP(BA826/BZ826,0))</f>
        <v>1</v>
      </c>
      <c r="BC826" s="64" t="n">
        <f aca="false">IF(CR826&gt;0,CR826*MAX(1,BA826/X826),IF(CA826=1,IF(BA826&lt;=0,0,CE826*MAX(1,IF(H826&gt;0,BA826/H826,1))),IF(R826&gt;0,BB826/R826,0))/MAX(0.1,N(Parameter!$M$21)))</f>
        <v>0.00357142857142857</v>
      </c>
      <c r="BD826" s="62" t="n">
        <f aca="false">BC826*CC826</f>
        <v>0.553571428571429</v>
      </c>
      <c r="BE826" s="63" t="n">
        <f aca="false">IF(LEFT(Cockpit!$O$5,1)="A",H826,IF(CI826=1,(CL826+CJ826)/2,IF(LEFT(Cockpit!$O$5,1)="B",(CL826+BG826)/2,MAX((CL826+BG826)/2,H826))))</f>
        <v>0.5</v>
      </c>
      <c r="BF826" s="62" t="n">
        <f aca="false">BE826*G826</f>
        <v>5.215</v>
      </c>
      <c r="BG826" s="62" t="n">
        <f aca="false">ROUNDUP(CL826+MAX(CM826,2*(J826/IF(CH826&gt;0,CH826,MAX(0.1,N(Cockpit!$O$6)))-CL826)),0)</f>
        <v>1</v>
      </c>
      <c r="BH826" s="63" t="n">
        <f aca="false">IF(BD826&gt;0,J826/BD826,-1)</f>
        <v>1.80645161290323</v>
      </c>
      <c r="BI826" s="63" t="n">
        <f aca="false">IF(AND(OR(CG826="L1",CG826="L23",CG826="LIFT"),BD826&gt;0),SUMIFS($BD$7:$BD$1843,$CG$7:$CG$1843,CG826,$BH$7:$BH$1843,"&gt;"&amp;BH826)+SUMIFS($BD$7:$BD$1843,$CG$7:$CG$1843,CG826,$BH$7:$BH$1843,BH826,$BX$7:$BX$1843,"&lt;="&amp;BX826),"")</f>
        <v>6091.89468864469</v>
      </c>
      <c r="BJ826" s="70" t="n">
        <f aca="false">IF(BI826="",0,MAX(0,MIN(1,(IF(CG826="L1",Parameter!$H$5,IF(CG826="L23",Parameter!$H$6+Parameter!$H$7,Parameter!$H$5+Parameter!$H$6+Parameter!$H$7))-(BI826-BD826))/BD826)))</f>
        <v>1</v>
      </c>
      <c r="BK826" s="60" t="str">
        <f aca="false">IF(AJ826&lt;=0,"",IF(CG826="Aussen","Aussenlager",IF(CG826="-","Nicht im Lift",IF(AP826&gt;=1,"Lift",IF(AP826&lt;=0,"Aussenlager","teilweise")))))</f>
        <v/>
      </c>
      <c r="BL826" s="60" t="str">
        <f aca="false">IF(AT826&lt;=0,"",IF(CG826="Aussen","Aussenlager",IF(CG826="-","Nicht im Lift",IF(AZ826&gt;=1,"Lift",IF(AZ826&lt;=0,"Aussenlager","teilweise")))))</f>
        <v>Lift</v>
      </c>
      <c r="BM826" s="60" t="str">
        <f aca="false">IF(BD826&lt;=0,"",IF(CG826="Aussen","Aussenlager",IF(CG826="-","Nicht im Lift",IF(BJ826&gt;=1,"Lift",IF(BJ826&lt;=0,"Aussenlager","teilweise")))))</f>
        <v>Lift</v>
      </c>
      <c r="BN826" s="60" t="str">
        <f aca="false">IF(A826="","",IF(BW826=1,"Neu; ","")&amp;IF(AND(BW826=0,BR826&lt;0),"negativer Bestand (Export "&amp;BR826&amp;"); ","")&amp;IF(J826&lt;=0,"Kein Verbrauch; ","")&amp;IF(CR826&gt;0,"Lift "&amp;W826&amp;" lt. Liftbericht (Fach "&amp;X826&amp;" Stk); ",IF(CB826=1,"Gebinde geschätzt ("&amp;T826&amp;"); ",IF(CA826=1,"Lose – Tablare geschätzt; ","")))&amp;IF(H826&gt;AW826,"Überbestand "&amp;ROUND(H826-AW826,0)&amp;" Stk / CHF "&amp;ROUND((H826-AW826)*G826,0)&amp;"; ","")&amp;IF(AND(CI826=1,CJ826&lt;CK826),"MAX &lt; MB+LG; ","")&amp;IF(AND(CQ826&gt;0,CP826*10&gt;CQ826),"zu hoch für Tablar; ","")&amp;IF(AND(BW826=0,OR(CI826=1,AB826&lt;&gt;"",U826&lt;&gt;"",V826&lt;&gt;"",AC826&lt;&gt;"")),"manuell übersteuert; ","")&amp;IF(AND(CA826=0,R826=0),"Gebinde unbekannt / Stellmass fehlt; ","")&amp;IF(AND(CA826=0,N(V826)&lt;=0,N(Q826)&lt;=0),"Menge pro Gebinde fehlt (Ist = 1 Gebinde); ","")&amp;BV826)</f>
        <v>negativer Bestand (Export -1); </v>
      </c>
      <c r="BO826" s="60"/>
      <c r="BP826" s="60"/>
      <c r="BQ826" s="67"/>
      <c r="BR826" s="62" t="n">
        <v>-1</v>
      </c>
      <c r="BS826" s="62" t="n">
        <v>1</v>
      </c>
      <c r="BT826" s="61" t="n">
        <v>-10.43</v>
      </c>
      <c r="BU826" s="62" t="n">
        <v>1</v>
      </c>
      <c r="BV826" s="60"/>
      <c r="BW826" s="65" t="n">
        <v>0</v>
      </c>
      <c r="BX826" s="65" t="n">
        <v>826</v>
      </c>
      <c r="BY826" s="60" t="str">
        <f aca="false">IF(U826&lt;&gt;"",UPPER(TRIM(U826)),IF(CB826=1,UPPER(VLOOKUP(T826,Parameter!$I$27:$K$29,2,0)),IF(P826="","LOSE",P826)))</f>
        <v>S21</v>
      </c>
      <c r="BZ826" s="62" t="n">
        <f aca="false">IF(BY826="LOSE",1,IF(N(V826)&gt;0,V826,IF(CB826=1,MAX(1,N(VLOOKUP(T826,Parameter!$I$27:$K$29,3,0)),H826,N(N826)),IF(N(Q826)&gt;0,Q826,MAX(1,H826)))))</f>
        <v>100</v>
      </c>
      <c r="CA826" s="65" t="n">
        <f aca="false">IF(BY826="LOSE",1,0)</f>
        <v>0</v>
      </c>
      <c r="CB826" s="65" t="n">
        <f aca="false">IF(AND(U826="",OR(P826="",P826="LOSE"),T826&lt;&gt;"",N(S826)&lt;=0,ISNUMBER(MATCH(T826,Parameter!$I$27:$I$29,0))),1,0)</f>
        <v>0</v>
      </c>
      <c r="CC826" s="65" t="n">
        <f aca="false">IF(CR826&gt;0,INDEX(Parameter!$H$5:$H$7,W826)/INDEX(Parameter!$E$5:$E$7,W826),IF(AND(CA826=0,N(IFERROR(VLOOKUP(BY826,'Gebinde-Kategorie'!$A$5:$N$45,14,0),0))&gt;0),VLOOKUP(BY826,'Gebinde-Kategorie'!$A$5:$N$45,14,0)*10+Parameter!$M$23,Parameter!$M$24))</f>
        <v>155</v>
      </c>
      <c r="CD826" s="60" t="str">
        <f aca="false">IF(AND(Parameter!$B$19="Ja",E826&lt;&gt;"",ISNUMBER(MATCH(E826,Parameter!$I$35:$I$52,0))),VLOOKUP(E826,Parameter!$I$35:$J$52,2,0),IFERROR(VLOOKUP(D826,Parameter!$A$35:$C$64,2,0),"Nein"))</f>
        <v>2+3</v>
      </c>
      <c r="CE826" s="64" t="n">
        <f aca="false">IF(CA826=0,0,IF(N(S826)&gt;0,S826,IFERROR(VLOOKUP(D826,Parameter!$A$35:$C$64,3,0)+0,0)))</f>
        <v>0</v>
      </c>
      <c r="CF826" s="60" t="n">
        <f aca="false">IF(AB826&lt;&gt;"",AB826,AA826)</f>
        <v>3</v>
      </c>
      <c r="CG826" s="60" t="str">
        <f aca="false">IF(OR(CF826=1,CF826=2,CF826=3),IF(Parameter!$E$27="Ja","LIFT",IF(CF826=1,"L1","L23")),IF(CF826="Aussen","Aussen","-"))</f>
        <v>LIFT</v>
      </c>
      <c r="CH826" s="71" t="n">
        <f aca="false">IF(N(AC826)&gt;0,AC826,0)</f>
        <v>0</v>
      </c>
      <c r="CI826" s="65" t="n">
        <f aca="false">IF(ISNUMBER(AF826),1,0)</f>
        <v>0</v>
      </c>
      <c r="CJ826" s="62" t="n">
        <f aca="false">N(AF826)</f>
        <v>0</v>
      </c>
      <c r="CK826" s="62" t="n">
        <f aca="false">N(M826)+N(N826)</f>
        <v>1</v>
      </c>
      <c r="CL826" s="62" t="n">
        <f aca="false">N(M826)</f>
        <v>0</v>
      </c>
      <c r="CM826" s="62" t="n">
        <f aca="false">N(N826)</f>
        <v>1</v>
      </c>
      <c r="CN826" s="62" t="n">
        <f aca="false">ROUNDUP(H826/BZ826,0)</f>
        <v>0</v>
      </c>
      <c r="CO826" s="62" t="n">
        <f aca="false">ROUNDUP(CJ826/BZ826,0)</f>
        <v>0</v>
      </c>
      <c r="CP826" s="65" t="n">
        <f aca="false">IF(CA826=1,0,IFERROR(VLOOKUP(BY826,'Gebinde-Kategorie'!$A$5:$N$45,5,0)+0,0))</f>
        <v>8</v>
      </c>
      <c r="CQ826" s="65" t="n">
        <f aca="false">IFERROR(IF(OR(CF826=1,CF826=2,CF826=3),N(INDEX(Parameter!$I$5:$I$7,CF826)),0),0)</f>
        <v>0</v>
      </c>
      <c r="CR826" s="64" t="n">
        <f aca="false">IF(AND(Parameter!$B$21="Ja",ISNUMBER(W826),N(X826)&gt;0),IFERROR(N(INDEX(Parameter!$L$5:$L$7,W826))*INDEX(Parameter!$E$5:$E$7,W826)*X826/SUMIFS($X$7:$X$1843,$W$7:$W$1843,W826),0),0)</f>
        <v>0</v>
      </c>
      <c r="CS826" s="62" t="str">
        <f aca="false">IF(AND(OR(CG826="L1",CG826="L23",CG826="LIFT"),H826&gt;0),CC826*IF(CR826&gt;0,CR826*MAX(1,H826/X826),IF(CA826=1,CE826,IF(R826&gt;0,CN826/R826,0))/MAX(0.1,N(Parameter!$M$21))),"")</f>
        <v/>
      </c>
      <c r="CT826" s="64" t="str">
        <f aca="false">IF(CS826="","",J826/H826)</f>
        <v/>
      </c>
      <c r="CU826" s="62" t="str">
        <f aca="false">IF(CS826="","",H826*G826)</f>
        <v/>
      </c>
      <c r="CV826" s="63" t="str">
        <f aca="false">IF(CS826="","",(CL826+ROUNDUP(CL826+MAX(CM826,2*(J826/MAX(0.1,N(Einkauf!$C$6))-CL826)),0))/2)</f>
        <v/>
      </c>
      <c r="CW826" s="62" t="str">
        <f aca="false">IF(CS826="","",MAX(0,H826-CV826)*G826)</f>
        <v/>
      </c>
      <c r="CX826" s="62" t="str">
        <f aca="false">IF(CS826="","",CS826*MAX(0,1-CV826/H826))</f>
        <v/>
      </c>
      <c r="CY826" s="64" t="str">
        <f aca="false">IF(CS826="","",PERCENTRANK($CS$7:$CS$1843,CS826)+PERCENTRANK($CU$7:$CU$1843,CU826)+1-PERCENTRANK($CT$7:$CT$1843,CT826))</f>
        <v/>
      </c>
      <c r="CZ826" s="72" t="str">
        <f aca="false">IF(CS826="","",CHOOSE(MATCH(Einkauf!$C$5,Parameter!$G$23:$G$27,0),CY826,CS826,CU826,-CT826,CW826)+ROW()/1000000000)</f>
        <v/>
      </c>
    </row>
    <row r="827" customFormat="false" ht="15" hidden="false" customHeight="false" outlineLevel="0" collapsed="false">
      <c r="A827" s="60" t="s">
        <v>1635</v>
      </c>
      <c r="B827" s="60" t="s">
        <v>1636</v>
      </c>
      <c r="C827" s="60" t="s">
        <v>206</v>
      </c>
      <c r="D827" s="60" t="s">
        <v>226</v>
      </c>
      <c r="E827" s="60" t="s">
        <v>227</v>
      </c>
      <c r="F827" s="60" t="s">
        <v>260</v>
      </c>
      <c r="G827" s="61" t="n">
        <v>0.88</v>
      </c>
      <c r="H827" s="62" t="n">
        <f aca="false">MAX(0,IF(AND(Parameter!$B$21="Ja",ISNUMBER(Y827)),Y827,IF(Parameter!$B$20="Jahresanfang 2025 + Export",BS827+BR827,BR827)))</f>
        <v>69</v>
      </c>
      <c r="I827" s="62" t="n">
        <f aca="false">H827*G827</f>
        <v>60.72</v>
      </c>
      <c r="J827" s="62" t="n">
        <f aca="false">BU827*Parameter!$B$18</f>
        <v>3</v>
      </c>
      <c r="K827" s="63" t="n">
        <v>79.5</v>
      </c>
      <c r="L827" s="64" t="n">
        <v>0.0377358490566038</v>
      </c>
      <c r="M827" s="62" t="n">
        <v>0</v>
      </c>
      <c r="N827" s="62" t="n">
        <v>5</v>
      </c>
      <c r="O827" s="65" t="n">
        <v>21</v>
      </c>
      <c r="P827" s="60" t="s">
        <v>468</v>
      </c>
      <c r="Q827" s="62" t="n">
        <v>84</v>
      </c>
      <c r="R827" s="65" t="n">
        <f aca="false">IF(CA827=1,0,IFERROR(VLOOKUP(BY827,'Gebinde-Kategorie'!$A$5:$N$45,13,0)+0,0))</f>
        <v>140</v>
      </c>
      <c r="S827" s="66"/>
      <c r="T827" s="67"/>
      <c r="U827" s="67"/>
      <c r="V827" s="67"/>
      <c r="W827" s="60"/>
      <c r="X827" s="62"/>
      <c r="Y827" s="62"/>
      <c r="Z827" s="60" t="n">
        <v>2</v>
      </c>
      <c r="AA827" s="60" t="n">
        <f aca="false">IF(A827="","",IF(AND(Parameter!$B$21="Ja",ISNUMBER(W827)),W827,IF(AND(Parameter!$E$27="Ja",ISNUMBER(Z827),CD827&lt;&gt;"Nein"),Z827,IF(CD827="2+3",IF(ISNUMBER(SEARCH("grosser Artikel",BV827)),2,IFERROR(VLOOKUP(BY827,Parameter!$F$35:$G$64,2,0),2)),IF(OR(CD827="Nein",CD827=""),"-",CD827)))))</f>
        <v>2</v>
      </c>
      <c r="AB827" s="67"/>
      <c r="AC827" s="68"/>
      <c r="AD827" s="62" t="n">
        <f aca="false">AW827</f>
        <v>5</v>
      </c>
      <c r="AE827" s="62" t="n">
        <f aca="false">MAX(AW827,H827)</f>
        <v>69</v>
      </c>
      <c r="AF827" s="69"/>
      <c r="AG827" s="62" t="n">
        <f aca="false">IF(LEFT(Cockpit!$C$5,1)="A",H827,IF(Parameter!$E$30="MAX-Bestand",IF(CI827=1,CJ827,IF(LEFT(Cockpit!$C$5,1)="B",AM827,MAX(AM827,H827))),ROUNDUP(AK827,0)))</f>
        <v>69</v>
      </c>
      <c r="AH827" s="62" t="n">
        <f aca="false">IF(CA827=1,0,ROUNDUP(AG827/BZ827,0))</f>
        <v>1</v>
      </c>
      <c r="AI827" s="64" t="n">
        <f aca="false">IF(CR827&gt;0,CR827*MAX(1,AG827/X827),IF(CA827=1,IF(AG827&lt;=0,0,CE827*MAX(1,IF(H827&gt;0,AG827/H827,1))),IF(R827&gt;0,AH827/R827,0))/MAX(0.1,N(Parameter!$M$21)))</f>
        <v>0.00714285714285714</v>
      </c>
      <c r="AJ827" s="62" t="n">
        <f aca="false">AI827*CC827</f>
        <v>1.10714285714286</v>
      </c>
      <c r="AK827" s="63" t="n">
        <f aca="false">IF(LEFT(Cockpit!$C$5,1)="A",H827,IF(CI827=1,(CL827+CJ827)/2,IF(LEFT(Cockpit!$C$5,1)="B",(CL827+AM827)/2,MAX((CL827+AM827)/2,H827))))</f>
        <v>69</v>
      </c>
      <c r="AL827" s="62" t="n">
        <f aca="false">AK827*G827</f>
        <v>60.72</v>
      </c>
      <c r="AM827" s="62" t="n">
        <f aca="false">ROUNDUP(CL827+MAX(CM827,2*(J827/IF(CH827&gt;0,CH827,MAX(0.1,N(Cockpit!$C$6)))-CL827)),0)</f>
        <v>5</v>
      </c>
      <c r="AN827" s="63" t="n">
        <f aca="false">IF(AJ827&gt;0,J827/AJ827,-1)</f>
        <v>2.70967741935484</v>
      </c>
      <c r="AO827" s="63" t="n">
        <f aca="false">IF(AND(OR(CG827="L1",CG827="L23",CG827="LIFT"),AJ827&gt;0),SUMIFS($AJ$7:$AJ$1843,$CG$7:$CG$1843,CG827,$AN$7:$AN$1843,"&gt;"&amp;AN827)+SUMIFS($AJ$7:$AJ$1843,$CG$7:$CG$1843,CG827,$AN$7:$AN$1843,AN827,$BX$7:$BX$1843,"&lt;="&amp;BX827),"")</f>
        <v>5318.98672161172</v>
      </c>
      <c r="AP827" s="70" t="n">
        <f aca="false">IF(AO827="",0,MAX(0,MIN(1,(IF(CG827="L1",Parameter!$H$5,IF(CG827="L23",Parameter!$H$6+Parameter!$H$7,Parameter!$H$5+Parameter!$H$6+Parameter!$H$7))-(AO827-AJ827))/AJ827)))</f>
        <v>1</v>
      </c>
      <c r="AQ827" s="62" t="n">
        <f aca="false">IF(LEFT(Cockpit!$I$5,1)="A",H827,IF(Parameter!$E$30="MAX-Bestand",IF(CI827=1,CJ827,IF(LEFT(Cockpit!$I$5,1)="B",AW827,MAX(AW827,H827))),ROUNDUP(AU827,0)))</f>
        <v>69</v>
      </c>
      <c r="AR827" s="62" t="n">
        <f aca="false">IF(CA827=1,0,ROUNDUP(AQ827/BZ827,0))</f>
        <v>1</v>
      </c>
      <c r="AS827" s="64" t="n">
        <f aca="false">IF(CR827&gt;0,CR827*MAX(1,AQ827/X827),IF(CA827=1,IF(AQ827&lt;=0,0,CE827*MAX(1,IF(H827&gt;0,AQ827/H827,1))),IF(R827&gt;0,AR827/R827,0))/MAX(0.1,N(Parameter!$M$21)))</f>
        <v>0.00714285714285714</v>
      </c>
      <c r="AT827" s="62" t="n">
        <f aca="false">AS827*CC827</f>
        <v>1.10714285714286</v>
      </c>
      <c r="AU827" s="63" t="n">
        <f aca="false">IF(LEFT(Cockpit!$I$5,1)="A",H827,IF(CI827=1,(CL827+CJ827)/2,IF(LEFT(Cockpit!$I$5,1)="B",(CL827+AW827)/2,MAX((CL827+AW827)/2,H827))))</f>
        <v>69</v>
      </c>
      <c r="AV827" s="62" t="n">
        <f aca="false">AU827*G827</f>
        <v>60.72</v>
      </c>
      <c r="AW827" s="62" t="n">
        <f aca="false">ROUNDUP(CL827+MAX(CM827,2*(J827/IF(CH827&gt;0,CH827,MAX(0.1,N(Cockpit!$I$6)))-CL827)),0)</f>
        <v>5</v>
      </c>
      <c r="AX827" s="63" t="n">
        <f aca="false">IF(AT827&gt;0,J827/AT827,-1)</f>
        <v>2.70967741935484</v>
      </c>
      <c r="AY827" s="63" t="n">
        <f aca="false">IF(AND(OR(CG827="L1",CG827="L23",CG827="LIFT"),AT827&gt;0),SUMIFS($AT$7:$AT$1843,$CG$7:$CG$1843,CG827,$AX$7:$AX$1843,"&gt;"&amp;AX827)+SUMIFS($AT$7:$AT$1843,$CG$7:$CG$1843,CG827,$AX$7:$AX$1843,AX827,$BX$7:$BX$1843,"&lt;="&amp;BX827),"")</f>
        <v>6153.46474358974</v>
      </c>
      <c r="AZ827" s="70" t="n">
        <f aca="false">IF(AY827="",0,MAX(0,MIN(1,(IF(CG827="L1",Parameter!$H$5,IF(CG827="L23",Parameter!$H$6+Parameter!$H$7,Parameter!$H$5+Parameter!$H$6+Parameter!$H$7))-(AY827-AT827))/AT827)))</f>
        <v>1</v>
      </c>
      <c r="BA827" s="62" t="n">
        <f aca="false">IF(LEFT(Cockpit!$O$5,1)="A",H827,IF(Parameter!$E$30="MAX-Bestand",IF(CI827=1,CJ827,IF(LEFT(Cockpit!$O$5,1)="B",BG827,MAX(BG827,H827))),ROUNDUP(BE827,0)))</f>
        <v>3</v>
      </c>
      <c r="BB827" s="62" t="n">
        <f aca="false">IF(CA827=1,0,ROUNDUP(BA827/BZ827,0))</f>
        <v>1</v>
      </c>
      <c r="BC827" s="64" t="n">
        <f aca="false">IF(CR827&gt;0,CR827*MAX(1,BA827/X827),IF(CA827=1,IF(BA827&lt;=0,0,CE827*MAX(1,IF(H827&gt;0,BA827/H827,1))),IF(R827&gt;0,BB827/R827,0))/MAX(0.1,N(Parameter!$M$21)))</f>
        <v>0.00714285714285714</v>
      </c>
      <c r="BD827" s="62" t="n">
        <f aca="false">BC827*CC827</f>
        <v>1.10714285714286</v>
      </c>
      <c r="BE827" s="63" t="n">
        <f aca="false">IF(LEFT(Cockpit!$O$5,1)="A",H827,IF(CI827=1,(CL827+CJ827)/2,IF(LEFT(Cockpit!$O$5,1)="B",(CL827+BG827)/2,MAX((CL827+BG827)/2,H827))))</f>
        <v>2.5</v>
      </c>
      <c r="BF827" s="62" t="n">
        <f aca="false">BE827*G827</f>
        <v>2.2</v>
      </c>
      <c r="BG827" s="62" t="n">
        <f aca="false">ROUNDUP(CL827+MAX(CM827,2*(J827/IF(CH827&gt;0,CH827,MAX(0.1,N(Cockpit!$O$6)))-CL827)),0)</f>
        <v>5</v>
      </c>
      <c r="BH827" s="63" t="n">
        <f aca="false">IF(BD827&gt;0,J827/BD827,-1)</f>
        <v>2.70967741935484</v>
      </c>
      <c r="BI827" s="63" t="n">
        <f aca="false">IF(AND(OR(CG827="L1",CG827="L23",CG827="LIFT"),BD827&gt;0),SUMIFS($BD$7:$BD$1843,$CG$7:$CG$1843,CG827,$BH$7:$BH$1843,"&gt;"&amp;BH827)+SUMIFS($BD$7:$BD$1843,$CG$7:$CG$1843,CG827,$BH$7:$BH$1843,BH827,$BX$7:$BX$1843,"&lt;="&amp;BX827),"")</f>
        <v>5016.69551282051</v>
      </c>
      <c r="BJ827" s="70" t="n">
        <f aca="false">IF(BI827="",0,MAX(0,MIN(1,(IF(CG827="L1",Parameter!$H$5,IF(CG827="L23",Parameter!$H$6+Parameter!$H$7,Parameter!$H$5+Parameter!$H$6+Parameter!$H$7))-(BI827-BD827))/BD827)))</f>
        <v>1</v>
      </c>
      <c r="BK827" s="60" t="str">
        <f aca="false">IF(AJ827&lt;=0,"",IF(CG827="Aussen","Aussenlager",IF(CG827="-","Nicht im Lift",IF(AP827&gt;=1,"Lift",IF(AP827&lt;=0,"Aussenlager","teilweise")))))</f>
        <v>Lift</v>
      </c>
      <c r="BL827" s="60" t="str">
        <f aca="false">IF(AT827&lt;=0,"",IF(CG827="Aussen","Aussenlager",IF(CG827="-","Nicht im Lift",IF(AZ827&gt;=1,"Lift",IF(AZ827&lt;=0,"Aussenlager","teilweise")))))</f>
        <v>Lift</v>
      </c>
      <c r="BM827" s="60" t="str">
        <f aca="false">IF(BD827&lt;=0,"",IF(CG827="Aussen","Aussenlager",IF(CG827="-","Nicht im Lift",IF(BJ827&gt;=1,"Lift",IF(BJ827&lt;=0,"Aussenlager","teilweise")))))</f>
        <v>Lift</v>
      </c>
      <c r="BN827" s="60" t="str">
        <f aca="false">IF(A827="","",IF(BW827=1,"Neu; ","")&amp;IF(AND(BW827=0,BR827&lt;0),"negativer Bestand (Export "&amp;BR827&amp;"); ","")&amp;IF(J827&lt;=0,"Kein Verbrauch; ","")&amp;IF(CR827&gt;0,"Lift "&amp;W827&amp;" lt. Liftbericht (Fach "&amp;X827&amp;" Stk); ",IF(CB827=1,"Gebinde geschätzt ("&amp;T827&amp;"); ",IF(CA827=1,"Lose – Tablare geschätzt; ","")))&amp;IF(H827&gt;AW827,"Überbestand "&amp;ROUND(H827-AW827,0)&amp;" Stk / CHF "&amp;ROUND((H827-AW827)*G827,0)&amp;"; ","")&amp;IF(AND(CI827=1,CJ827&lt;CK827),"MAX &lt; MB+LG; ","")&amp;IF(AND(CQ827&gt;0,CP827*10&gt;CQ827),"zu hoch für Tablar; ","")&amp;IF(AND(BW827=0,OR(CI827=1,AB827&lt;&gt;"",U827&lt;&gt;"",V827&lt;&gt;"",AC827&lt;&gt;"")),"manuell übersteuert; ","")&amp;IF(AND(CA827=0,R827=0),"Gebinde unbekannt / Stellmass fehlt; ","")&amp;IF(AND(CA827=0,N(V827)&lt;=0,N(Q827)&lt;=0),"Menge pro Gebinde fehlt (Ist = 1 Gebinde); ","")&amp;BV827)</f>
        <v>negativer Bestand (Export -12); Überbestand 64 Stk / CHF 56; Überbestand</v>
      </c>
      <c r="BO827" s="60"/>
      <c r="BP827" s="60"/>
      <c r="BQ827" s="67"/>
      <c r="BR827" s="62" t="n">
        <v>-12</v>
      </c>
      <c r="BS827" s="62" t="n">
        <v>81</v>
      </c>
      <c r="BT827" s="61" t="n">
        <v>-10.56</v>
      </c>
      <c r="BU827" s="62" t="n">
        <v>3</v>
      </c>
      <c r="BV827" s="60" t="s">
        <v>434</v>
      </c>
      <c r="BW827" s="65" t="n">
        <v>0</v>
      </c>
      <c r="BX827" s="65" t="n">
        <v>827</v>
      </c>
      <c r="BY827" s="60" t="str">
        <f aca="false">IF(U827&lt;&gt;"",UPPER(TRIM(U827)),IF(CB827=1,UPPER(VLOOKUP(T827,Parameter!$I$27:$K$29,2,0)),IF(P827="","LOSE",P827)))</f>
        <v>S22</v>
      </c>
      <c r="BZ827" s="62" t="n">
        <f aca="false">IF(BY827="LOSE",1,IF(N(V827)&gt;0,V827,IF(CB827=1,MAX(1,N(VLOOKUP(T827,Parameter!$I$27:$K$29,3,0)),H827,N(N827)),IF(N(Q827)&gt;0,Q827,MAX(1,H827)))))</f>
        <v>84</v>
      </c>
      <c r="CA827" s="65" t="n">
        <f aca="false">IF(BY827="LOSE",1,0)</f>
        <v>0</v>
      </c>
      <c r="CB827" s="65" t="n">
        <f aca="false">IF(AND(U827="",OR(P827="",P827="LOSE"),T827&lt;&gt;"",N(S827)&lt;=0,ISNUMBER(MATCH(T827,Parameter!$I$27:$I$29,0))),1,0)</f>
        <v>0</v>
      </c>
      <c r="CC827" s="65" t="n">
        <f aca="false">IF(CR827&gt;0,INDEX(Parameter!$H$5:$H$7,W827)/INDEX(Parameter!$E$5:$E$7,W827),IF(AND(CA827=0,N(IFERROR(VLOOKUP(BY827,'Gebinde-Kategorie'!$A$5:$N$45,14,0),0))&gt;0),VLOOKUP(BY827,'Gebinde-Kategorie'!$A$5:$N$45,14,0)*10+Parameter!$M$23,Parameter!$M$24))</f>
        <v>155</v>
      </c>
      <c r="CD827" s="60" t="str">
        <f aca="false">IF(AND(Parameter!$B$19="Ja",E827&lt;&gt;"",ISNUMBER(MATCH(E827,Parameter!$I$35:$I$52,0))),VLOOKUP(E827,Parameter!$I$35:$J$52,2,0),IFERROR(VLOOKUP(D827,Parameter!$A$35:$C$64,2,0),"Nein"))</f>
        <v>2+3</v>
      </c>
      <c r="CE827" s="64" t="n">
        <f aca="false">IF(CA827=0,0,IF(N(S827)&gt;0,S827,IFERROR(VLOOKUP(D827,Parameter!$A$35:$C$64,3,0)+0,0)))</f>
        <v>0</v>
      </c>
      <c r="CF827" s="60" t="n">
        <f aca="false">IF(AB827&lt;&gt;"",AB827,AA827)</f>
        <v>2</v>
      </c>
      <c r="CG827" s="60" t="str">
        <f aca="false">IF(OR(CF827=1,CF827=2,CF827=3),IF(Parameter!$E$27="Ja","LIFT",IF(CF827=1,"L1","L23")),IF(CF827="Aussen","Aussen","-"))</f>
        <v>LIFT</v>
      </c>
      <c r="CH827" s="71" t="n">
        <f aca="false">IF(N(AC827)&gt;0,AC827,0)</f>
        <v>0</v>
      </c>
      <c r="CI827" s="65" t="n">
        <f aca="false">IF(ISNUMBER(AF827),1,0)</f>
        <v>0</v>
      </c>
      <c r="CJ827" s="62" t="n">
        <f aca="false">N(AF827)</f>
        <v>0</v>
      </c>
      <c r="CK827" s="62" t="n">
        <f aca="false">N(M827)+N(N827)</f>
        <v>5</v>
      </c>
      <c r="CL827" s="62" t="n">
        <f aca="false">N(M827)</f>
        <v>0</v>
      </c>
      <c r="CM827" s="62" t="n">
        <f aca="false">N(N827)</f>
        <v>5</v>
      </c>
      <c r="CN827" s="62" t="n">
        <f aca="false">ROUNDUP(H827/BZ827,0)</f>
        <v>1</v>
      </c>
      <c r="CO827" s="62" t="n">
        <f aca="false">ROUNDUP(CJ827/BZ827,0)</f>
        <v>0</v>
      </c>
      <c r="CP827" s="65" t="n">
        <f aca="false">IF(CA827=1,0,IFERROR(VLOOKUP(BY827,'Gebinde-Kategorie'!$A$5:$N$45,5,0)+0,0))</f>
        <v>8</v>
      </c>
      <c r="CQ827" s="65" t="n">
        <f aca="false">IFERROR(IF(OR(CF827=1,CF827=2,CF827=3),N(INDEX(Parameter!$I$5:$I$7,CF827)),0),0)</f>
        <v>0</v>
      </c>
      <c r="CR827" s="64" t="n">
        <f aca="false">IF(AND(Parameter!$B$21="Ja",ISNUMBER(W827),N(X827)&gt;0),IFERROR(N(INDEX(Parameter!$L$5:$L$7,W827))*INDEX(Parameter!$E$5:$E$7,W827)*X827/SUMIFS($X$7:$X$1843,$W$7:$W$1843,W827),0),0)</f>
        <v>0</v>
      </c>
      <c r="CS827" s="62" t="n">
        <f aca="false">IF(AND(OR(CG827="L1",CG827="L23",CG827="LIFT"),H827&gt;0),CC827*IF(CR827&gt;0,CR827*MAX(1,H827/X827),IF(CA827=1,CE827,IF(R827&gt;0,CN827/R827,0))/MAX(0.1,N(Parameter!$M$21))),"")</f>
        <v>1.10714285714286</v>
      </c>
      <c r="CT827" s="64" t="n">
        <f aca="false">IF(CS827="","",J827/H827)</f>
        <v>0.0434782608695652</v>
      </c>
      <c r="CU827" s="62" t="n">
        <f aca="false">IF(CS827="","",H827*G827)</f>
        <v>60.72</v>
      </c>
      <c r="CV827" s="63" t="n">
        <f aca="false">IF(CS827="","",(CL827+ROUNDUP(CL827+MAX(CM827,2*(J827/MAX(0.1,N(Einkauf!$C$6))-CL827)),0))/2)</f>
        <v>2.5</v>
      </c>
      <c r="CW827" s="62" t="n">
        <f aca="false">IF(CS827="","",MAX(0,H827-CV827)*G827)</f>
        <v>58.52</v>
      </c>
      <c r="CX827" s="62" t="n">
        <f aca="false">IF(CS827="","",CS827*MAX(0,1-CV827/H827))</f>
        <v>1.06702898550725</v>
      </c>
      <c r="CY827" s="64" t="n">
        <f aca="false">IF(CS827="","",PERCENTRANK($CS$7:$CS$1843,CS827)+PERCENTRANK($CU$7:$CU$1843,CU827)+1-PERCENTRANK($CT$7:$CT$1843,CT827))</f>
        <v>0.8254</v>
      </c>
      <c r="CZ827" s="72" t="n">
        <f aca="false">IF(CS827="","",CHOOSE(MATCH(Einkauf!$C$5,Parameter!$G$23:$G$27,0),CY827,CS827,CU827,-CT827,CW827)+ROW()/1000000000)</f>
        <v>0.825400827</v>
      </c>
    </row>
    <row r="828" customFormat="false" ht="15" hidden="false" customHeight="false" outlineLevel="0" collapsed="false">
      <c r="A828" s="60" t="s">
        <v>1637</v>
      </c>
      <c r="B828" s="60" t="s">
        <v>510</v>
      </c>
      <c r="C828" s="60" t="s">
        <v>206</v>
      </c>
      <c r="D828" s="60" t="s">
        <v>226</v>
      </c>
      <c r="E828" s="60" t="s">
        <v>227</v>
      </c>
      <c r="F828" s="60" t="s">
        <v>260</v>
      </c>
      <c r="G828" s="61" t="n">
        <v>0.14</v>
      </c>
      <c r="H828" s="62" t="n">
        <f aca="false">MAX(0,IF(AND(Parameter!$B$21="Ja",ISNUMBER(Y828)),Y828,IF(Parameter!$B$20="Jahresanfang 2025 + Export",BS828+BR828,BR828)))</f>
        <v>118</v>
      </c>
      <c r="I828" s="62" t="n">
        <f aca="false">H828*G828</f>
        <v>16.52</v>
      </c>
      <c r="J828" s="62" t="n">
        <f aca="false">BU828*Parameter!$B$18</f>
        <v>177</v>
      </c>
      <c r="K828" s="63" t="n">
        <v>224.5</v>
      </c>
      <c r="L828" s="64" t="n">
        <v>0.788418708240535</v>
      </c>
      <c r="M828" s="62" t="n">
        <v>6</v>
      </c>
      <c r="N828" s="62" t="n">
        <v>175</v>
      </c>
      <c r="O828" s="65" t="n">
        <v>14</v>
      </c>
      <c r="P828" s="60" t="s">
        <v>468</v>
      </c>
      <c r="Q828" s="62" t="n">
        <v>360</v>
      </c>
      <c r="R828" s="65" t="n">
        <f aca="false">IF(CA828=1,0,IFERROR(VLOOKUP(BY828,'Gebinde-Kategorie'!$A$5:$N$45,13,0)+0,0))</f>
        <v>140</v>
      </c>
      <c r="S828" s="66"/>
      <c r="T828" s="67"/>
      <c r="U828" s="67"/>
      <c r="V828" s="67"/>
      <c r="W828" s="60"/>
      <c r="X828" s="62"/>
      <c r="Y828" s="62"/>
      <c r="Z828" s="60" t="n">
        <v>2</v>
      </c>
      <c r="AA828" s="60" t="n">
        <f aca="false">IF(A828="","",IF(AND(Parameter!$B$21="Ja",ISNUMBER(W828)),W828,IF(AND(Parameter!$E$27="Ja",ISNUMBER(Z828),CD828&lt;&gt;"Nein"),Z828,IF(CD828="2+3",IF(ISNUMBER(SEARCH("grosser Artikel",BV828)),2,IFERROR(VLOOKUP(BY828,Parameter!$F$35:$G$64,2,0),2)),IF(OR(CD828="Nein",CD828=""),"-",CD828)))))</f>
        <v>2</v>
      </c>
      <c r="AB828" s="67"/>
      <c r="AC828" s="68"/>
      <c r="AD828" s="62" t="n">
        <f aca="false">AW828</f>
        <v>181</v>
      </c>
      <c r="AE828" s="62" t="n">
        <f aca="false">MAX(AW828,H828)</f>
        <v>181</v>
      </c>
      <c r="AF828" s="69"/>
      <c r="AG828" s="62" t="n">
        <f aca="false">IF(LEFT(Cockpit!$C$5,1)="A",H828,IF(Parameter!$E$30="MAX-Bestand",IF(CI828=1,CJ828,IF(LEFT(Cockpit!$C$5,1)="B",AM828,MAX(AM828,H828))),ROUNDUP(AK828,0)))</f>
        <v>118</v>
      </c>
      <c r="AH828" s="62" t="n">
        <f aca="false">IF(CA828=1,0,ROUNDUP(AG828/BZ828,0))</f>
        <v>1</v>
      </c>
      <c r="AI828" s="64" t="n">
        <f aca="false">IF(CR828&gt;0,CR828*MAX(1,AG828/X828),IF(CA828=1,IF(AG828&lt;=0,0,CE828*MAX(1,IF(H828&gt;0,AG828/H828,1))),IF(R828&gt;0,AH828/R828,0))/MAX(0.1,N(Parameter!$M$21)))</f>
        <v>0.00714285714285714</v>
      </c>
      <c r="AJ828" s="62" t="n">
        <f aca="false">AI828*CC828</f>
        <v>1.10714285714286</v>
      </c>
      <c r="AK828" s="63" t="n">
        <f aca="false">IF(LEFT(Cockpit!$C$5,1)="A",H828,IF(CI828=1,(CL828+CJ828)/2,IF(LEFT(Cockpit!$C$5,1)="B",(CL828+AM828)/2,MAX((CL828+AM828)/2,H828))))</f>
        <v>118</v>
      </c>
      <c r="AL828" s="62" t="n">
        <f aca="false">AK828*G828</f>
        <v>16.52</v>
      </c>
      <c r="AM828" s="62" t="n">
        <f aca="false">ROUNDUP(CL828+MAX(CM828,2*(J828/IF(CH828&gt;0,CH828,MAX(0.1,N(Cockpit!$C$6)))-CL828)),0)</f>
        <v>181</v>
      </c>
      <c r="AN828" s="63" t="n">
        <f aca="false">IF(AJ828&gt;0,J828/AJ828,-1)</f>
        <v>159.870967741936</v>
      </c>
      <c r="AO828" s="63" t="n">
        <f aca="false">IF(AND(OR(CG828="L1",CG828="L23",CG828="LIFT"),AJ828&gt;0),SUMIFS($AJ$7:$AJ$1843,$CG$7:$CG$1843,CG828,$AN$7:$AN$1843,"&gt;"&amp;AN828)+SUMIFS($AJ$7:$AJ$1843,$CG$7:$CG$1843,CG828,$AN$7:$AN$1843,AN828,$BX$7:$BX$1843,"&lt;="&amp;BX828),"")</f>
        <v>421.415293040293</v>
      </c>
      <c r="AP828" s="70" t="n">
        <f aca="false">IF(AO828="",0,MAX(0,MIN(1,(IF(CG828="L1",Parameter!$H$5,IF(CG828="L23",Parameter!$H$6+Parameter!$H$7,Parameter!$H$5+Parameter!$H$6+Parameter!$H$7))-(AO828-AJ828))/AJ828)))</f>
        <v>1</v>
      </c>
      <c r="AQ828" s="62" t="n">
        <f aca="false">IF(LEFT(Cockpit!$I$5,1)="A",H828,IF(Parameter!$E$30="MAX-Bestand",IF(CI828=1,CJ828,IF(LEFT(Cockpit!$I$5,1)="B",AW828,MAX(AW828,H828))),ROUNDUP(AU828,0)))</f>
        <v>118</v>
      </c>
      <c r="AR828" s="62" t="n">
        <f aca="false">IF(CA828=1,0,ROUNDUP(AQ828/BZ828,0))</f>
        <v>1</v>
      </c>
      <c r="AS828" s="64" t="n">
        <f aca="false">IF(CR828&gt;0,CR828*MAX(1,AQ828/X828),IF(CA828=1,IF(AQ828&lt;=0,0,CE828*MAX(1,IF(H828&gt;0,AQ828/H828,1))),IF(R828&gt;0,AR828/R828,0))/MAX(0.1,N(Parameter!$M$21)))</f>
        <v>0.00714285714285714</v>
      </c>
      <c r="AT828" s="62" t="n">
        <f aca="false">AS828*CC828</f>
        <v>1.10714285714286</v>
      </c>
      <c r="AU828" s="63" t="n">
        <f aca="false">IF(LEFT(Cockpit!$I$5,1)="A",H828,IF(CI828=1,(CL828+CJ828)/2,IF(LEFT(Cockpit!$I$5,1)="B",(CL828+AW828)/2,MAX((CL828+AW828)/2,H828))))</f>
        <v>118</v>
      </c>
      <c r="AV828" s="62" t="n">
        <f aca="false">AU828*G828</f>
        <v>16.52</v>
      </c>
      <c r="AW828" s="62" t="n">
        <f aca="false">ROUNDUP(CL828+MAX(CM828,2*(J828/IF(CH828&gt;0,CH828,MAX(0.1,N(Cockpit!$I$6)))-CL828)),0)</f>
        <v>181</v>
      </c>
      <c r="AX828" s="63" t="n">
        <f aca="false">IF(AT828&gt;0,J828/AT828,-1)</f>
        <v>159.870967741936</v>
      </c>
      <c r="AY828" s="63" t="n">
        <f aca="false">IF(AND(OR(CG828="L1",CG828="L23",CG828="LIFT"),AT828&gt;0),SUMIFS($AT$7:$AT$1843,$CG$7:$CG$1843,CG828,$AX$7:$AX$1843,"&gt;"&amp;AX828)+SUMIFS($AT$7:$AT$1843,$CG$7:$CG$1843,CG828,$AX$7:$AX$1843,AX828,$BX$7:$BX$1843,"&lt;="&amp;BX828),"")</f>
        <v>539.052197802198</v>
      </c>
      <c r="AZ828" s="70" t="n">
        <f aca="false">IF(AY828="",0,MAX(0,MIN(1,(IF(CG828="L1",Parameter!$H$5,IF(CG828="L23",Parameter!$H$6+Parameter!$H$7,Parameter!$H$5+Parameter!$H$6+Parameter!$H$7))-(AY828-AT828))/AT828)))</f>
        <v>1</v>
      </c>
      <c r="BA828" s="62" t="n">
        <f aca="false">IF(LEFT(Cockpit!$O$5,1)="A",H828,IF(Parameter!$E$30="MAX-Bestand",IF(CI828=1,CJ828,IF(LEFT(Cockpit!$O$5,1)="B",BG828,MAX(BG828,H828))),ROUNDUP(BE828,0)))</f>
        <v>94</v>
      </c>
      <c r="BB828" s="62" t="n">
        <f aca="false">IF(CA828=1,0,ROUNDUP(BA828/BZ828,0))</f>
        <v>1</v>
      </c>
      <c r="BC828" s="64" t="n">
        <f aca="false">IF(CR828&gt;0,CR828*MAX(1,BA828/X828),IF(CA828=1,IF(BA828&lt;=0,0,CE828*MAX(1,IF(H828&gt;0,BA828/H828,1))),IF(R828&gt;0,BB828/R828,0))/MAX(0.1,N(Parameter!$M$21)))</f>
        <v>0.00714285714285714</v>
      </c>
      <c r="BD828" s="62" t="n">
        <f aca="false">BC828*CC828</f>
        <v>1.10714285714286</v>
      </c>
      <c r="BE828" s="63" t="n">
        <f aca="false">IF(LEFT(Cockpit!$O$5,1)="A",H828,IF(CI828=1,(CL828+CJ828)/2,IF(LEFT(Cockpit!$O$5,1)="B",(CL828+BG828)/2,MAX((CL828+BG828)/2,H828))))</f>
        <v>93.5</v>
      </c>
      <c r="BF828" s="62" t="n">
        <f aca="false">BE828*G828</f>
        <v>13.09</v>
      </c>
      <c r="BG828" s="62" t="n">
        <f aca="false">ROUNDUP(CL828+MAX(CM828,2*(J828/IF(CH828&gt;0,CH828,MAX(0.1,N(Cockpit!$O$6)))-CL828)),0)</f>
        <v>181</v>
      </c>
      <c r="BH828" s="63" t="n">
        <f aca="false">IF(BD828&gt;0,J828/BD828,-1)</f>
        <v>159.870967741936</v>
      </c>
      <c r="BI828" s="63" t="n">
        <f aca="false">IF(AND(OR(CG828="L1",CG828="L23",CG828="LIFT"),BD828&gt;0),SUMIFS($BD$7:$BD$1843,$CG$7:$CG$1843,CG828,$BH$7:$BH$1843,"&gt;"&amp;BH828)+SUMIFS($BD$7:$BD$1843,$CG$7:$CG$1843,CG828,$BH$7:$BH$1843,BH828,$BX$7:$BX$1843,"&lt;="&amp;BX828),"")</f>
        <v>535.446428571429</v>
      </c>
      <c r="BJ828" s="70" t="n">
        <f aca="false">IF(BI828="",0,MAX(0,MIN(1,(IF(CG828="L1",Parameter!$H$5,IF(CG828="L23",Parameter!$H$6+Parameter!$H$7,Parameter!$H$5+Parameter!$H$6+Parameter!$H$7))-(BI828-BD828))/BD828)))</f>
        <v>1</v>
      </c>
      <c r="BK828" s="60" t="str">
        <f aca="false">IF(AJ828&lt;=0,"",IF(CG828="Aussen","Aussenlager",IF(CG828="-","Nicht im Lift",IF(AP828&gt;=1,"Lift",IF(AP828&lt;=0,"Aussenlager","teilweise")))))</f>
        <v>Lift</v>
      </c>
      <c r="BL828" s="60" t="str">
        <f aca="false">IF(AT828&lt;=0,"",IF(CG828="Aussen","Aussenlager",IF(CG828="-","Nicht im Lift",IF(AZ828&gt;=1,"Lift",IF(AZ828&lt;=0,"Aussenlager","teilweise")))))</f>
        <v>Lift</v>
      </c>
      <c r="BM828" s="60" t="str">
        <f aca="false">IF(BD828&lt;=0,"",IF(CG828="Aussen","Aussenlager",IF(CG828="-","Nicht im Lift",IF(BJ828&gt;=1,"Lift",IF(BJ828&lt;=0,"Aussenlager","teilweise")))))</f>
        <v>Lift</v>
      </c>
      <c r="BN828" s="60" t="str">
        <f aca="false">IF(A828="","",IF(BW828=1,"Neu; ","")&amp;IF(AND(BW828=0,BR828&lt;0),"negativer Bestand (Export "&amp;BR828&amp;"); ","")&amp;IF(J828&lt;=0,"Kein Verbrauch; ","")&amp;IF(CR828&gt;0,"Lift "&amp;W828&amp;" lt. Liftbericht (Fach "&amp;X828&amp;" Stk); ",IF(CB828=1,"Gebinde geschätzt ("&amp;T828&amp;"); ",IF(CA828=1,"Lose – Tablare geschätzt; ","")))&amp;IF(H828&gt;AW828,"Überbestand "&amp;ROUND(H828-AW828,0)&amp;" Stk / CHF "&amp;ROUND((H828-AW828)*G828,0)&amp;"; ","")&amp;IF(AND(CI828=1,CJ828&lt;CK828),"MAX &lt; MB+LG; ","")&amp;IF(AND(CQ828&gt;0,CP828*10&gt;CQ828),"zu hoch für Tablar; ","")&amp;IF(AND(BW828=0,OR(CI828=1,AB828&lt;&gt;"",U828&lt;&gt;"",V828&lt;&gt;"",AC828&lt;&gt;"")),"manuell übersteuert; ","")&amp;IF(AND(CA828=0,R828=0),"Gebinde unbekannt / Stellmass fehlt; ","")&amp;IF(AND(CA828=0,N(V828)&lt;=0,N(Q828)&lt;=0),"Menge pro Gebinde fehlt (Ist = 1 Gebinde); ","")&amp;BV828)</f>
        <v>negativer Bestand (Export -76); </v>
      </c>
      <c r="BO828" s="60"/>
      <c r="BP828" s="60"/>
      <c r="BQ828" s="67"/>
      <c r="BR828" s="62" t="n">
        <v>-76</v>
      </c>
      <c r="BS828" s="62" t="n">
        <v>194</v>
      </c>
      <c r="BT828" s="61" t="n">
        <v>-10.64</v>
      </c>
      <c r="BU828" s="62" t="n">
        <v>177</v>
      </c>
      <c r="BV828" s="60"/>
      <c r="BW828" s="65" t="n">
        <v>0</v>
      </c>
      <c r="BX828" s="65" t="n">
        <v>828</v>
      </c>
      <c r="BY828" s="60" t="str">
        <f aca="false">IF(U828&lt;&gt;"",UPPER(TRIM(U828)),IF(CB828=1,UPPER(VLOOKUP(T828,Parameter!$I$27:$K$29,2,0)),IF(P828="","LOSE",P828)))</f>
        <v>S22</v>
      </c>
      <c r="BZ828" s="62" t="n">
        <f aca="false">IF(BY828="LOSE",1,IF(N(V828)&gt;0,V828,IF(CB828=1,MAX(1,N(VLOOKUP(T828,Parameter!$I$27:$K$29,3,0)),H828,N(N828)),IF(N(Q828)&gt;0,Q828,MAX(1,H828)))))</f>
        <v>360</v>
      </c>
      <c r="CA828" s="65" t="n">
        <f aca="false">IF(BY828="LOSE",1,0)</f>
        <v>0</v>
      </c>
      <c r="CB828" s="65" t="n">
        <f aca="false">IF(AND(U828="",OR(P828="",P828="LOSE"),T828&lt;&gt;"",N(S828)&lt;=0,ISNUMBER(MATCH(T828,Parameter!$I$27:$I$29,0))),1,0)</f>
        <v>0</v>
      </c>
      <c r="CC828" s="65" t="n">
        <f aca="false">IF(CR828&gt;0,INDEX(Parameter!$H$5:$H$7,W828)/INDEX(Parameter!$E$5:$E$7,W828),IF(AND(CA828=0,N(IFERROR(VLOOKUP(BY828,'Gebinde-Kategorie'!$A$5:$N$45,14,0),0))&gt;0),VLOOKUP(BY828,'Gebinde-Kategorie'!$A$5:$N$45,14,0)*10+Parameter!$M$23,Parameter!$M$24))</f>
        <v>155</v>
      </c>
      <c r="CD828" s="60" t="str">
        <f aca="false">IF(AND(Parameter!$B$19="Ja",E828&lt;&gt;"",ISNUMBER(MATCH(E828,Parameter!$I$35:$I$52,0))),VLOOKUP(E828,Parameter!$I$35:$J$52,2,0),IFERROR(VLOOKUP(D828,Parameter!$A$35:$C$64,2,0),"Nein"))</f>
        <v>2+3</v>
      </c>
      <c r="CE828" s="64" t="n">
        <f aca="false">IF(CA828=0,0,IF(N(S828)&gt;0,S828,IFERROR(VLOOKUP(D828,Parameter!$A$35:$C$64,3,0)+0,0)))</f>
        <v>0</v>
      </c>
      <c r="CF828" s="60" t="n">
        <f aca="false">IF(AB828&lt;&gt;"",AB828,AA828)</f>
        <v>2</v>
      </c>
      <c r="CG828" s="60" t="str">
        <f aca="false">IF(OR(CF828=1,CF828=2,CF828=3),IF(Parameter!$E$27="Ja","LIFT",IF(CF828=1,"L1","L23")),IF(CF828="Aussen","Aussen","-"))</f>
        <v>LIFT</v>
      </c>
      <c r="CH828" s="71" t="n">
        <f aca="false">IF(N(AC828)&gt;0,AC828,0)</f>
        <v>0</v>
      </c>
      <c r="CI828" s="65" t="n">
        <f aca="false">IF(ISNUMBER(AF828),1,0)</f>
        <v>0</v>
      </c>
      <c r="CJ828" s="62" t="n">
        <f aca="false">N(AF828)</f>
        <v>0</v>
      </c>
      <c r="CK828" s="62" t="n">
        <f aca="false">N(M828)+N(N828)</f>
        <v>181</v>
      </c>
      <c r="CL828" s="62" t="n">
        <f aca="false">N(M828)</f>
        <v>6</v>
      </c>
      <c r="CM828" s="62" t="n">
        <f aca="false">N(N828)</f>
        <v>175</v>
      </c>
      <c r="CN828" s="62" t="n">
        <f aca="false">ROUNDUP(H828/BZ828,0)</f>
        <v>1</v>
      </c>
      <c r="CO828" s="62" t="n">
        <f aca="false">ROUNDUP(CJ828/BZ828,0)</f>
        <v>0</v>
      </c>
      <c r="CP828" s="65" t="n">
        <f aca="false">IF(CA828=1,0,IFERROR(VLOOKUP(BY828,'Gebinde-Kategorie'!$A$5:$N$45,5,0)+0,0))</f>
        <v>8</v>
      </c>
      <c r="CQ828" s="65" t="n">
        <f aca="false">IFERROR(IF(OR(CF828=1,CF828=2,CF828=3),N(INDEX(Parameter!$I$5:$I$7,CF828)),0),0)</f>
        <v>0</v>
      </c>
      <c r="CR828" s="64" t="n">
        <f aca="false">IF(AND(Parameter!$B$21="Ja",ISNUMBER(W828),N(X828)&gt;0),IFERROR(N(INDEX(Parameter!$L$5:$L$7,W828))*INDEX(Parameter!$E$5:$E$7,W828)*X828/SUMIFS($X$7:$X$1843,$W$7:$W$1843,W828),0),0)</f>
        <v>0</v>
      </c>
      <c r="CS828" s="62" t="n">
        <f aca="false">IF(AND(OR(CG828="L1",CG828="L23",CG828="LIFT"),H828&gt;0),CC828*IF(CR828&gt;0,CR828*MAX(1,H828/X828),IF(CA828=1,CE828,IF(R828&gt;0,CN828/R828,0))/MAX(0.1,N(Parameter!$M$21))),"")</f>
        <v>1.10714285714286</v>
      </c>
      <c r="CT828" s="64" t="n">
        <f aca="false">IF(CS828="","",J828/H828)</f>
        <v>1.5</v>
      </c>
      <c r="CU828" s="62" t="n">
        <f aca="false">IF(CS828="","",H828*G828)</f>
        <v>16.52</v>
      </c>
      <c r="CV828" s="63" t="n">
        <f aca="false">IF(CS828="","",(CL828+ROUNDUP(CL828+MAX(CM828,2*(J828/MAX(0.1,N(Einkauf!$C$6))-CL828)),0))/2)</f>
        <v>93.5</v>
      </c>
      <c r="CW828" s="62" t="n">
        <f aca="false">IF(CS828="","",MAX(0,H828-CV828)*G828)</f>
        <v>3.43</v>
      </c>
      <c r="CX828" s="62" t="n">
        <f aca="false">IF(CS828="","",CS828*MAX(0,1-CV828/H828))</f>
        <v>0.229872881355932</v>
      </c>
      <c r="CY828" s="64" t="n">
        <f aca="false">IF(CS828="","",PERCENTRANK($CS$7:$CS$1843,CS828)+PERCENTRANK($CU$7:$CU$1843,CU828)+1-PERCENTRANK($CT$7:$CT$1843,CT828))</f>
        <v>0.361</v>
      </c>
      <c r="CZ828" s="72" t="n">
        <f aca="false">IF(CS828="","",CHOOSE(MATCH(Einkauf!$C$5,Parameter!$G$23:$G$27,0),CY828,CS828,CU828,-CT828,CW828)+ROW()/1000000000)</f>
        <v>0.361000828</v>
      </c>
    </row>
    <row r="829" customFormat="false" ht="15" hidden="false" customHeight="false" outlineLevel="0" collapsed="false">
      <c r="A829" s="60" t="s">
        <v>1638</v>
      </c>
      <c r="B829" s="60" t="s">
        <v>447</v>
      </c>
      <c r="C829" s="60" t="s">
        <v>206</v>
      </c>
      <c r="D829" s="60" t="s">
        <v>226</v>
      </c>
      <c r="E829" s="60" t="s">
        <v>227</v>
      </c>
      <c r="F829" s="60" t="s">
        <v>260</v>
      </c>
      <c r="G829" s="61" t="n">
        <v>0.14</v>
      </c>
      <c r="H829" s="62" t="n">
        <f aca="false">MAX(0,IF(AND(Parameter!$B$21="Ja",ISNUMBER(Y829)),Y829,IF(Parameter!$B$20="Jahresanfang 2025 + Export",BS829+BR829,BR829)))</f>
        <v>250</v>
      </c>
      <c r="I829" s="62" t="n">
        <f aca="false">H829*G829</f>
        <v>35</v>
      </c>
      <c r="J829" s="62" t="n">
        <f aca="false">BU829*Parameter!$B$18</f>
        <v>40</v>
      </c>
      <c r="K829" s="63" t="n">
        <v>296.5</v>
      </c>
      <c r="L829" s="64" t="n">
        <v>0.134907251264756</v>
      </c>
      <c r="M829" s="62" t="n">
        <v>1</v>
      </c>
      <c r="N829" s="62" t="n">
        <v>40</v>
      </c>
      <c r="O829" s="65" t="n">
        <v>14</v>
      </c>
      <c r="P829" s="60" t="s">
        <v>463</v>
      </c>
      <c r="Q829" s="62" t="n">
        <v>411</v>
      </c>
      <c r="R829" s="65" t="n">
        <f aca="false">IF(CA829=1,0,IFERROR(VLOOKUP(BY829,'Gebinde-Kategorie'!$A$5:$N$45,13,0)+0,0))</f>
        <v>104</v>
      </c>
      <c r="S829" s="66"/>
      <c r="T829" s="67"/>
      <c r="U829" s="67"/>
      <c r="V829" s="67"/>
      <c r="W829" s="60"/>
      <c r="X829" s="62"/>
      <c r="Y829" s="62"/>
      <c r="Z829" s="60" t="n">
        <v>2</v>
      </c>
      <c r="AA829" s="60" t="n">
        <f aca="false">IF(A829="","",IF(AND(Parameter!$B$21="Ja",ISNUMBER(W829)),W829,IF(AND(Parameter!$E$27="Ja",ISNUMBER(Z829),CD829&lt;&gt;"Nein"),Z829,IF(CD829="2+3",IF(ISNUMBER(SEARCH("grosser Artikel",BV829)),2,IFERROR(VLOOKUP(BY829,Parameter!$F$35:$G$64,2,0),2)),IF(OR(CD829="Nein",CD829=""),"-",CD829)))))</f>
        <v>2</v>
      </c>
      <c r="AB829" s="67"/>
      <c r="AC829" s="68"/>
      <c r="AD829" s="62" t="n">
        <f aca="false">AW829</f>
        <v>41</v>
      </c>
      <c r="AE829" s="62" t="n">
        <f aca="false">MAX(AW829,H829)</f>
        <v>250</v>
      </c>
      <c r="AF829" s="69"/>
      <c r="AG829" s="62" t="n">
        <f aca="false">IF(LEFT(Cockpit!$C$5,1)="A",H829,IF(Parameter!$E$30="MAX-Bestand",IF(CI829=1,CJ829,IF(LEFT(Cockpit!$C$5,1)="B",AM829,MAX(AM829,H829))),ROUNDUP(AK829,0)))</f>
        <v>250</v>
      </c>
      <c r="AH829" s="62" t="n">
        <f aca="false">IF(CA829=1,0,ROUNDUP(AG829/BZ829,0))</f>
        <v>1</v>
      </c>
      <c r="AI829" s="64" t="n">
        <f aca="false">IF(CR829&gt;0,CR829*MAX(1,AG829/X829),IF(CA829=1,IF(AG829&lt;=0,0,CE829*MAX(1,IF(H829&gt;0,AG829/H829,1))),IF(R829&gt;0,AH829/R829,0))/MAX(0.1,N(Parameter!$M$21)))</f>
        <v>0.00961538461538462</v>
      </c>
      <c r="AJ829" s="62" t="n">
        <f aca="false">AI829*CC829</f>
        <v>1.49038461538462</v>
      </c>
      <c r="AK829" s="63" t="n">
        <f aca="false">IF(LEFT(Cockpit!$C$5,1)="A",H829,IF(CI829=1,(CL829+CJ829)/2,IF(LEFT(Cockpit!$C$5,1)="B",(CL829+AM829)/2,MAX((CL829+AM829)/2,H829))))</f>
        <v>250</v>
      </c>
      <c r="AL829" s="62" t="n">
        <f aca="false">AK829*G829</f>
        <v>35</v>
      </c>
      <c r="AM829" s="62" t="n">
        <f aca="false">ROUNDUP(CL829+MAX(CM829,2*(J829/IF(CH829&gt;0,CH829,MAX(0.1,N(Cockpit!$C$6)))-CL829)),0)</f>
        <v>41</v>
      </c>
      <c r="AN829" s="63" t="n">
        <f aca="false">IF(AJ829&gt;0,J829/AJ829,-1)</f>
        <v>26.8387096774194</v>
      </c>
      <c r="AO829" s="63" t="n">
        <f aca="false">IF(AND(OR(CG829="L1",CG829="L23",CG829="LIFT"),AJ829&gt;0),SUMIFS($AJ$7:$AJ$1843,$CG$7:$CG$1843,CG829,$AN$7:$AN$1843,"&gt;"&amp;AN829)+SUMIFS($AJ$7:$AJ$1843,$CG$7:$CG$1843,CG829,$AN$7:$AN$1843,AN829,$BX$7:$BX$1843,"&lt;="&amp;BX829),"")</f>
        <v>1504.52152014652</v>
      </c>
      <c r="AP829" s="70" t="n">
        <f aca="false">IF(AO829="",0,MAX(0,MIN(1,(IF(CG829="L1",Parameter!$H$5,IF(CG829="L23",Parameter!$H$6+Parameter!$H$7,Parameter!$H$5+Parameter!$H$6+Parameter!$H$7))-(AO829-AJ829))/AJ829)))</f>
        <v>1</v>
      </c>
      <c r="AQ829" s="62" t="n">
        <f aca="false">IF(LEFT(Cockpit!$I$5,1)="A",H829,IF(Parameter!$E$30="MAX-Bestand",IF(CI829=1,CJ829,IF(LEFT(Cockpit!$I$5,1)="B",AW829,MAX(AW829,H829))),ROUNDUP(AU829,0)))</f>
        <v>250</v>
      </c>
      <c r="AR829" s="62" t="n">
        <f aca="false">IF(CA829=1,0,ROUNDUP(AQ829/BZ829,0))</f>
        <v>1</v>
      </c>
      <c r="AS829" s="64" t="n">
        <f aca="false">IF(CR829&gt;0,CR829*MAX(1,AQ829/X829),IF(CA829=1,IF(AQ829&lt;=0,0,CE829*MAX(1,IF(H829&gt;0,AQ829/H829,1))),IF(R829&gt;0,AR829/R829,0))/MAX(0.1,N(Parameter!$M$21)))</f>
        <v>0.00961538461538462</v>
      </c>
      <c r="AT829" s="62" t="n">
        <f aca="false">AS829*CC829</f>
        <v>1.49038461538462</v>
      </c>
      <c r="AU829" s="63" t="n">
        <f aca="false">IF(LEFT(Cockpit!$I$5,1)="A",H829,IF(CI829=1,(CL829+CJ829)/2,IF(LEFT(Cockpit!$I$5,1)="B",(CL829+AW829)/2,MAX((CL829+AW829)/2,H829))))</f>
        <v>250</v>
      </c>
      <c r="AV829" s="62" t="n">
        <f aca="false">AU829*G829</f>
        <v>35</v>
      </c>
      <c r="AW829" s="62" t="n">
        <f aca="false">ROUNDUP(CL829+MAX(CM829,2*(J829/IF(CH829&gt;0,CH829,MAX(0.1,N(Cockpit!$I$6)))-CL829)),0)</f>
        <v>41</v>
      </c>
      <c r="AX829" s="63" t="n">
        <f aca="false">IF(AT829&gt;0,J829/AT829,-1)</f>
        <v>26.8387096774194</v>
      </c>
      <c r="AY829" s="63" t="n">
        <f aca="false">IF(AND(OR(CG829="L1",CG829="L23",CG829="LIFT"),AT829&gt;0),SUMIFS($AT$7:$AT$1843,$CG$7:$CG$1843,CG829,$AX$7:$AX$1843,"&gt;"&amp;AX829)+SUMIFS($AT$7:$AT$1843,$CG$7:$CG$1843,CG829,$AX$7:$AX$1843,AX829,$BX$7:$BX$1843,"&lt;="&amp;BX829),"")</f>
        <v>2130.36034798535</v>
      </c>
      <c r="AZ829" s="70" t="n">
        <f aca="false">IF(AY829="",0,MAX(0,MIN(1,(IF(CG829="L1",Parameter!$H$5,IF(CG829="L23",Parameter!$H$6+Parameter!$H$7,Parameter!$H$5+Parameter!$H$6+Parameter!$H$7))-(AY829-AT829))/AT829)))</f>
        <v>1</v>
      </c>
      <c r="BA829" s="62" t="n">
        <f aca="false">IF(LEFT(Cockpit!$O$5,1)="A",H829,IF(Parameter!$E$30="MAX-Bestand",IF(CI829=1,CJ829,IF(LEFT(Cockpit!$O$5,1)="B",BG829,MAX(BG829,H829))),ROUNDUP(BE829,0)))</f>
        <v>21</v>
      </c>
      <c r="BB829" s="62" t="n">
        <f aca="false">IF(CA829=1,0,ROUNDUP(BA829/BZ829,0))</f>
        <v>1</v>
      </c>
      <c r="BC829" s="64" t="n">
        <f aca="false">IF(CR829&gt;0,CR829*MAX(1,BA829/X829),IF(CA829=1,IF(BA829&lt;=0,0,CE829*MAX(1,IF(H829&gt;0,BA829/H829,1))),IF(R829&gt;0,BB829/R829,0))/MAX(0.1,N(Parameter!$M$21)))</f>
        <v>0.00961538461538462</v>
      </c>
      <c r="BD829" s="62" t="n">
        <f aca="false">BC829*CC829</f>
        <v>1.49038461538462</v>
      </c>
      <c r="BE829" s="63" t="n">
        <f aca="false">IF(LEFT(Cockpit!$O$5,1)="A",H829,IF(CI829=1,(CL829+CJ829)/2,IF(LEFT(Cockpit!$O$5,1)="B",(CL829+BG829)/2,MAX((CL829+BG829)/2,H829))))</f>
        <v>21</v>
      </c>
      <c r="BF829" s="62" t="n">
        <f aca="false">BE829*G829</f>
        <v>2.94</v>
      </c>
      <c r="BG829" s="62" t="n">
        <f aca="false">ROUNDUP(CL829+MAX(CM829,2*(J829/IF(CH829&gt;0,CH829,MAX(0.1,N(Cockpit!$O$6)))-CL829)),0)</f>
        <v>41</v>
      </c>
      <c r="BH829" s="63" t="n">
        <f aca="false">IF(BD829&gt;0,J829/BD829,-1)</f>
        <v>26.8387096774194</v>
      </c>
      <c r="BI829" s="63" t="n">
        <f aca="false">IF(AND(OR(CG829="L1",CG829="L23",CG829="LIFT"),BD829&gt;0),SUMIFS($BD$7:$BD$1843,$CG$7:$CG$1843,CG829,$BH$7:$BH$1843,"&gt;"&amp;BH829)+SUMIFS($BD$7:$BD$1843,$CG$7:$CG$1843,CG829,$BH$7:$BH$1843,BH829,$BX$7:$BX$1843,"&lt;="&amp;BX829),"")</f>
        <v>1950.27518315018</v>
      </c>
      <c r="BJ829" s="70" t="n">
        <f aca="false">IF(BI829="",0,MAX(0,MIN(1,(IF(CG829="L1",Parameter!$H$5,IF(CG829="L23",Parameter!$H$6+Parameter!$H$7,Parameter!$H$5+Parameter!$H$6+Parameter!$H$7))-(BI829-BD829))/BD829)))</f>
        <v>1</v>
      </c>
      <c r="BK829" s="60" t="str">
        <f aca="false">IF(AJ829&lt;=0,"",IF(CG829="Aussen","Aussenlager",IF(CG829="-","Nicht im Lift",IF(AP829&gt;=1,"Lift",IF(AP829&lt;=0,"Aussenlager","teilweise")))))</f>
        <v>Lift</v>
      </c>
      <c r="BL829" s="60" t="str">
        <f aca="false">IF(AT829&lt;=0,"",IF(CG829="Aussen","Aussenlager",IF(CG829="-","Nicht im Lift",IF(AZ829&gt;=1,"Lift",IF(AZ829&lt;=0,"Aussenlager","teilweise")))))</f>
        <v>Lift</v>
      </c>
      <c r="BM829" s="60" t="str">
        <f aca="false">IF(BD829&lt;=0,"",IF(CG829="Aussen","Aussenlager",IF(CG829="-","Nicht im Lift",IF(BJ829&gt;=1,"Lift",IF(BJ829&lt;=0,"Aussenlager","teilweise")))))</f>
        <v>Lift</v>
      </c>
      <c r="BN829" s="60" t="str">
        <f aca="false">IF(A829="","",IF(BW829=1,"Neu; ","")&amp;IF(AND(BW829=0,BR829&lt;0),"negativer Bestand (Export "&amp;BR829&amp;"); ","")&amp;IF(J829&lt;=0,"Kein Verbrauch; ","")&amp;IF(CR829&gt;0,"Lift "&amp;W829&amp;" lt. Liftbericht (Fach "&amp;X829&amp;" Stk); ",IF(CB829=1,"Gebinde geschätzt ("&amp;T829&amp;"); ",IF(CA829=1,"Lose – Tablare geschätzt; ","")))&amp;IF(H829&gt;AW829,"Überbestand "&amp;ROUND(H829-AW829,0)&amp;" Stk / CHF "&amp;ROUND((H829-AW829)*G829,0)&amp;"; ","")&amp;IF(AND(CI829=1,CJ829&lt;CK829),"MAX &lt; MB+LG; ","")&amp;IF(AND(CQ829&gt;0,CP829*10&gt;CQ829),"zu hoch für Tablar; ","")&amp;IF(AND(BW829=0,OR(CI829=1,AB829&lt;&gt;"",U829&lt;&gt;"",V829&lt;&gt;"",AC829&lt;&gt;"")),"manuell übersteuert; ","")&amp;IF(AND(CA829=0,R829=0),"Gebinde unbekannt / Stellmass fehlt; ","")&amp;IF(AND(CA829=0,N(V829)&lt;=0,N(Q829)&lt;=0),"Menge pro Gebinde fehlt (Ist = 1 Gebinde); ","")&amp;BV829)</f>
        <v>negativer Bestand (Export -76); Überbestand 209 Stk / CHF 29; </v>
      </c>
      <c r="BO829" s="60"/>
      <c r="BP829" s="60"/>
      <c r="BQ829" s="67"/>
      <c r="BR829" s="62" t="n">
        <v>-76</v>
      </c>
      <c r="BS829" s="62" t="n">
        <v>326</v>
      </c>
      <c r="BT829" s="61" t="n">
        <v>-10.64</v>
      </c>
      <c r="BU829" s="62" t="n">
        <v>40</v>
      </c>
      <c r="BV829" s="60"/>
      <c r="BW829" s="65" t="n">
        <v>0</v>
      </c>
      <c r="BX829" s="65" t="n">
        <v>829</v>
      </c>
      <c r="BY829" s="60" t="str">
        <f aca="false">IF(U829&lt;&gt;"",UPPER(TRIM(U829)),IF(CB829=1,UPPER(VLOOKUP(T829,Parameter!$I$27:$K$29,2,0)),IF(P829="","LOSE",P829)))</f>
        <v>S32</v>
      </c>
      <c r="BZ829" s="62" t="n">
        <f aca="false">IF(BY829="LOSE",1,IF(N(V829)&gt;0,V829,IF(CB829=1,MAX(1,N(VLOOKUP(T829,Parameter!$I$27:$K$29,3,0)),H829,N(N829)),IF(N(Q829)&gt;0,Q829,MAX(1,H829)))))</f>
        <v>411</v>
      </c>
      <c r="CA829" s="65" t="n">
        <f aca="false">IF(BY829="LOSE",1,0)</f>
        <v>0</v>
      </c>
      <c r="CB829" s="65" t="n">
        <f aca="false">IF(AND(U829="",OR(P829="",P829="LOSE"),T829&lt;&gt;"",N(S829)&lt;=0,ISNUMBER(MATCH(T829,Parameter!$I$27:$I$29,0))),1,0)</f>
        <v>0</v>
      </c>
      <c r="CC829" s="65" t="n">
        <f aca="false">IF(CR829&gt;0,INDEX(Parameter!$H$5:$H$7,W829)/INDEX(Parameter!$E$5:$E$7,W829),IF(AND(CA829=0,N(IFERROR(VLOOKUP(BY829,'Gebinde-Kategorie'!$A$5:$N$45,14,0),0))&gt;0),VLOOKUP(BY829,'Gebinde-Kategorie'!$A$5:$N$45,14,0)*10+Parameter!$M$23,Parameter!$M$24))</f>
        <v>155</v>
      </c>
      <c r="CD829" s="60" t="str">
        <f aca="false">IF(AND(Parameter!$B$19="Ja",E829&lt;&gt;"",ISNUMBER(MATCH(E829,Parameter!$I$35:$I$52,0))),VLOOKUP(E829,Parameter!$I$35:$J$52,2,0),IFERROR(VLOOKUP(D829,Parameter!$A$35:$C$64,2,0),"Nein"))</f>
        <v>2+3</v>
      </c>
      <c r="CE829" s="64" t="n">
        <f aca="false">IF(CA829=0,0,IF(N(S829)&gt;0,S829,IFERROR(VLOOKUP(D829,Parameter!$A$35:$C$64,3,0)+0,0)))</f>
        <v>0</v>
      </c>
      <c r="CF829" s="60" t="n">
        <f aca="false">IF(AB829&lt;&gt;"",AB829,AA829)</f>
        <v>2</v>
      </c>
      <c r="CG829" s="60" t="str">
        <f aca="false">IF(OR(CF829=1,CF829=2,CF829=3),IF(Parameter!$E$27="Ja","LIFT",IF(CF829=1,"L1","L23")),IF(CF829="Aussen","Aussen","-"))</f>
        <v>LIFT</v>
      </c>
      <c r="CH829" s="71" t="n">
        <f aca="false">IF(N(AC829)&gt;0,AC829,0)</f>
        <v>0</v>
      </c>
      <c r="CI829" s="65" t="n">
        <f aca="false">IF(ISNUMBER(AF829),1,0)</f>
        <v>0</v>
      </c>
      <c r="CJ829" s="62" t="n">
        <f aca="false">N(AF829)</f>
        <v>0</v>
      </c>
      <c r="CK829" s="62" t="n">
        <f aca="false">N(M829)+N(N829)</f>
        <v>41</v>
      </c>
      <c r="CL829" s="62" t="n">
        <f aca="false">N(M829)</f>
        <v>1</v>
      </c>
      <c r="CM829" s="62" t="n">
        <f aca="false">N(N829)</f>
        <v>40</v>
      </c>
      <c r="CN829" s="62" t="n">
        <f aca="false">ROUNDUP(H829/BZ829,0)</f>
        <v>1</v>
      </c>
      <c r="CO829" s="62" t="n">
        <f aca="false">ROUNDUP(CJ829/BZ829,0)</f>
        <v>0</v>
      </c>
      <c r="CP829" s="65" t="n">
        <f aca="false">IF(CA829=1,0,IFERROR(VLOOKUP(BY829,'Gebinde-Kategorie'!$A$5:$N$45,5,0)+0,0))</f>
        <v>8</v>
      </c>
      <c r="CQ829" s="65" t="n">
        <f aca="false">IFERROR(IF(OR(CF829=1,CF829=2,CF829=3),N(INDEX(Parameter!$I$5:$I$7,CF829)),0),0)</f>
        <v>0</v>
      </c>
      <c r="CR829" s="64" t="n">
        <f aca="false">IF(AND(Parameter!$B$21="Ja",ISNUMBER(W829),N(X829)&gt;0),IFERROR(N(INDEX(Parameter!$L$5:$L$7,W829))*INDEX(Parameter!$E$5:$E$7,W829)*X829/SUMIFS($X$7:$X$1843,$W$7:$W$1843,W829),0),0)</f>
        <v>0</v>
      </c>
      <c r="CS829" s="62" t="n">
        <f aca="false">IF(AND(OR(CG829="L1",CG829="L23",CG829="LIFT"),H829&gt;0),CC829*IF(CR829&gt;0,CR829*MAX(1,H829/X829),IF(CA829=1,CE829,IF(R829&gt;0,CN829/R829,0))/MAX(0.1,N(Parameter!$M$21))),"")</f>
        <v>1.49038461538462</v>
      </c>
      <c r="CT829" s="64" t="n">
        <f aca="false">IF(CS829="","",J829/H829)</f>
        <v>0.16</v>
      </c>
      <c r="CU829" s="62" t="n">
        <f aca="false">IF(CS829="","",H829*G829)</f>
        <v>35</v>
      </c>
      <c r="CV829" s="63" t="n">
        <f aca="false">IF(CS829="","",(CL829+ROUNDUP(CL829+MAX(CM829,2*(J829/MAX(0.1,N(Einkauf!$C$6))-CL829)),0))/2)</f>
        <v>21</v>
      </c>
      <c r="CW829" s="62" t="n">
        <f aca="false">IF(CS829="","",MAX(0,H829-CV829)*G829)</f>
        <v>32.06</v>
      </c>
      <c r="CX829" s="62" t="n">
        <f aca="false">IF(CS829="","",CS829*MAX(0,1-CV829/H829))</f>
        <v>1.36519230769231</v>
      </c>
      <c r="CY829" s="64" t="n">
        <f aca="false">IF(CS829="","",PERCENTRANK($CS$7:$CS$1843,CS829)+PERCENTRANK($CU$7:$CU$1843,CU829)+1-PERCENTRANK($CT$7:$CT$1843,CT829))</f>
        <v>0.78</v>
      </c>
      <c r="CZ829" s="72" t="n">
        <f aca="false">IF(CS829="","",CHOOSE(MATCH(Einkauf!$C$5,Parameter!$G$23:$G$27,0),CY829,CS829,CU829,-CT829,CW829)+ROW()/1000000000)</f>
        <v>0.780000829</v>
      </c>
    </row>
    <row r="830" customFormat="false" ht="15" hidden="false" customHeight="false" outlineLevel="0" collapsed="false">
      <c r="A830" s="60" t="s">
        <v>1639</v>
      </c>
      <c r="B830" s="60" t="s">
        <v>1640</v>
      </c>
      <c r="C830" s="60" t="s">
        <v>206</v>
      </c>
      <c r="D830" s="60" t="s">
        <v>226</v>
      </c>
      <c r="E830" s="60" t="s">
        <v>227</v>
      </c>
      <c r="F830" s="60" t="s">
        <v>260</v>
      </c>
      <c r="G830" s="61" t="n">
        <v>0.28</v>
      </c>
      <c r="H830" s="62" t="n">
        <f aca="false">MAX(0,IF(AND(Parameter!$B$21="Ja",ISNUMBER(Y830)),Y830,IF(Parameter!$B$20="Jahresanfang 2025 + Export",BS830+BR830,BR830)))</f>
        <v>25</v>
      </c>
      <c r="I830" s="62" t="n">
        <f aca="false">H830*G830</f>
        <v>7</v>
      </c>
      <c r="J830" s="62" t="n">
        <f aca="false">BU830*Parameter!$B$18</f>
        <v>128</v>
      </c>
      <c r="K830" s="63" t="n">
        <v>44.5</v>
      </c>
      <c r="L830" s="64" t="n">
        <v>2.87640449438202</v>
      </c>
      <c r="M830" s="62" t="n">
        <v>7</v>
      </c>
      <c r="N830" s="62" t="n">
        <v>200</v>
      </c>
      <c r="O830" s="65" t="n">
        <v>2</v>
      </c>
      <c r="P830" s="60" t="s">
        <v>463</v>
      </c>
      <c r="Q830" s="62" t="n">
        <v>135</v>
      </c>
      <c r="R830" s="65" t="n">
        <f aca="false">IF(CA830=1,0,IFERROR(VLOOKUP(BY830,'Gebinde-Kategorie'!$A$5:$N$45,13,0)+0,0))</f>
        <v>104</v>
      </c>
      <c r="S830" s="66"/>
      <c r="T830" s="67"/>
      <c r="U830" s="67"/>
      <c r="V830" s="67"/>
      <c r="W830" s="60"/>
      <c r="X830" s="62"/>
      <c r="Y830" s="62"/>
      <c r="Z830" s="60" t="n">
        <v>2</v>
      </c>
      <c r="AA830" s="60" t="n">
        <f aca="false">IF(A830="","",IF(AND(Parameter!$B$21="Ja",ISNUMBER(W830)),W830,IF(AND(Parameter!$E$27="Ja",ISNUMBER(Z830),CD830&lt;&gt;"Nein"),Z830,IF(CD830="2+3",IF(ISNUMBER(SEARCH("grosser Artikel",BV830)),2,IFERROR(VLOOKUP(BY830,Parameter!$F$35:$G$64,2,0),2)),IF(OR(CD830="Nein",CD830=""),"-",CD830)))))</f>
        <v>2</v>
      </c>
      <c r="AB830" s="67"/>
      <c r="AC830" s="68"/>
      <c r="AD830" s="62" t="n">
        <f aca="false">AW830</f>
        <v>207</v>
      </c>
      <c r="AE830" s="62" t="n">
        <f aca="false">MAX(AW830,H830)</f>
        <v>207</v>
      </c>
      <c r="AF830" s="69"/>
      <c r="AG830" s="62" t="n">
        <f aca="false">IF(LEFT(Cockpit!$C$5,1)="A",H830,IF(Parameter!$E$30="MAX-Bestand",IF(CI830=1,CJ830,IF(LEFT(Cockpit!$C$5,1)="B",AM830,MAX(AM830,H830))),ROUNDUP(AK830,0)))</f>
        <v>25</v>
      </c>
      <c r="AH830" s="62" t="n">
        <f aca="false">IF(CA830=1,0,ROUNDUP(AG830/BZ830,0))</f>
        <v>1</v>
      </c>
      <c r="AI830" s="64" t="n">
        <f aca="false">IF(CR830&gt;0,CR830*MAX(1,AG830/X830),IF(CA830=1,IF(AG830&lt;=0,0,CE830*MAX(1,IF(H830&gt;0,AG830/H830,1))),IF(R830&gt;0,AH830/R830,0))/MAX(0.1,N(Parameter!$M$21)))</f>
        <v>0.00961538461538462</v>
      </c>
      <c r="AJ830" s="62" t="n">
        <f aca="false">AI830*CC830</f>
        <v>1.49038461538462</v>
      </c>
      <c r="AK830" s="63" t="n">
        <f aca="false">IF(LEFT(Cockpit!$C$5,1)="A",H830,IF(CI830=1,(CL830+CJ830)/2,IF(LEFT(Cockpit!$C$5,1)="B",(CL830+AM830)/2,MAX((CL830+AM830)/2,H830))))</f>
        <v>25</v>
      </c>
      <c r="AL830" s="62" t="n">
        <f aca="false">AK830*G830</f>
        <v>7</v>
      </c>
      <c r="AM830" s="62" t="n">
        <f aca="false">ROUNDUP(CL830+MAX(CM830,2*(J830/IF(CH830&gt;0,CH830,MAX(0.1,N(Cockpit!$C$6)))-CL830)),0)</f>
        <v>207</v>
      </c>
      <c r="AN830" s="63" t="n">
        <f aca="false">IF(AJ830&gt;0,J830/AJ830,-1)</f>
        <v>85.8838709677419</v>
      </c>
      <c r="AO830" s="63" t="n">
        <f aca="false">IF(AND(OR(CG830="L1",CG830="L23",CG830="LIFT"),AJ830&gt;0),SUMIFS($AJ$7:$AJ$1843,$CG$7:$CG$1843,CG830,$AN$7:$AN$1843,"&gt;"&amp;AN830)+SUMIFS($AJ$7:$AJ$1843,$CG$7:$CG$1843,CG830,$AN$7:$AN$1843,AN830,$BX$7:$BX$1843,"&lt;="&amp;BX830),"")</f>
        <v>841.348901098901</v>
      </c>
      <c r="AP830" s="70" t="n">
        <f aca="false">IF(AO830="",0,MAX(0,MIN(1,(IF(CG830="L1",Parameter!$H$5,IF(CG830="L23",Parameter!$H$6+Parameter!$H$7,Parameter!$H$5+Parameter!$H$6+Parameter!$H$7))-(AO830-AJ830))/AJ830)))</f>
        <v>1</v>
      </c>
      <c r="AQ830" s="62" t="n">
        <f aca="false">IF(LEFT(Cockpit!$I$5,1)="A",H830,IF(Parameter!$E$30="MAX-Bestand",IF(CI830=1,CJ830,IF(LEFT(Cockpit!$I$5,1)="B",AW830,MAX(AW830,H830))),ROUNDUP(AU830,0)))</f>
        <v>107</v>
      </c>
      <c r="AR830" s="62" t="n">
        <f aca="false">IF(CA830=1,0,ROUNDUP(AQ830/BZ830,0))</f>
        <v>1</v>
      </c>
      <c r="AS830" s="64" t="n">
        <f aca="false">IF(CR830&gt;0,CR830*MAX(1,AQ830/X830),IF(CA830=1,IF(AQ830&lt;=0,0,CE830*MAX(1,IF(H830&gt;0,AQ830/H830,1))),IF(R830&gt;0,AR830/R830,0))/MAX(0.1,N(Parameter!$M$21)))</f>
        <v>0.00961538461538462</v>
      </c>
      <c r="AT830" s="62" t="n">
        <f aca="false">AS830*CC830</f>
        <v>1.49038461538462</v>
      </c>
      <c r="AU830" s="63" t="n">
        <f aca="false">IF(LEFT(Cockpit!$I$5,1)="A",H830,IF(CI830=1,(CL830+CJ830)/2,IF(LEFT(Cockpit!$I$5,1)="B",(CL830+AW830)/2,MAX((CL830+AW830)/2,H830))))</f>
        <v>107</v>
      </c>
      <c r="AV830" s="62" t="n">
        <f aca="false">AU830*G830</f>
        <v>29.96</v>
      </c>
      <c r="AW830" s="62" t="n">
        <f aca="false">ROUNDUP(CL830+MAX(CM830,2*(J830/IF(CH830&gt;0,CH830,MAX(0.1,N(Cockpit!$I$6)))-CL830)),0)</f>
        <v>207</v>
      </c>
      <c r="AX830" s="63" t="n">
        <f aca="false">IF(AT830&gt;0,J830/AT830,-1)</f>
        <v>85.8838709677419</v>
      </c>
      <c r="AY830" s="63" t="n">
        <f aca="false">IF(AND(OR(CG830="L1",CG830="L23",CG830="LIFT"),AT830&gt;0),SUMIFS($AT$7:$AT$1843,$CG$7:$CG$1843,CG830,$AX$7:$AX$1843,"&gt;"&amp;AX830)+SUMIFS($AT$7:$AT$1843,$CG$7:$CG$1843,CG830,$AX$7:$AX$1843,AX830,$BX$7:$BX$1843,"&lt;="&amp;BX830),"")</f>
        <v>1054.26098901099</v>
      </c>
      <c r="AZ830" s="70" t="n">
        <f aca="false">IF(AY830="",0,MAX(0,MIN(1,(IF(CG830="L1",Parameter!$H$5,IF(CG830="L23",Parameter!$H$6+Parameter!$H$7,Parameter!$H$5+Parameter!$H$6+Parameter!$H$7))-(AY830-AT830))/AT830)))</f>
        <v>1</v>
      </c>
      <c r="BA830" s="62" t="n">
        <f aca="false">IF(LEFT(Cockpit!$O$5,1)="A",H830,IF(Parameter!$E$30="MAX-Bestand",IF(CI830=1,CJ830,IF(LEFT(Cockpit!$O$5,1)="B",BG830,MAX(BG830,H830))),ROUNDUP(BE830,0)))</f>
        <v>107</v>
      </c>
      <c r="BB830" s="62" t="n">
        <f aca="false">IF(CA830=1,0,ROUNDUP(BA830/BZ830,0))</f>
        <v>1</v>
      </c>
      <c r="BC830" s="64" t="n">
        <f aca="false">IF(CR830&gt;0,CR830*MAX(1,BA830/X830),IF(CA830=1,IF(BA830&lt;=0,0,CE830*MAX(1,IF(H830&gt;0,BA830/H830,1))),IF(R830&gt;0,BB830/R830,0))/MAX(0.1,N(Parameter!$M$21)))</f>
        <v>0.00961538461538462</v>
      </c>
      <c r="BD830" s="62" t="n">
        <f aca="false">BC830*CC830</f>
        <v>1.49038461538462</v>
      </c>
      <c r="BE830" s="63" t="n">
        <f aca="false">IF(LEFT(Cockpit!$O$5,1)="A",H830,IF(CI830=1,(CL830+CJ830)/2,IF(LEFT(Cockpit!$O$5,1)="B",(CL830+BG830)/2,MAX((CL830+BG830)/2,H830))))</f>
        <v>107</v>
      </c>
      <c r="BF830" s="62" t="n">
        <f aca="false">BE830*G830</f>
        <v>29.96</v>
      </c>
      <c r="BG830" s="62" t="n">
        <f aca="false">ROUNDUP(CL830+MAX(CM830,2*(J830/IF(CH830&gt;0,CH830,MAX(0.1,N(Cockpit!$O$6)))-CL830)),0)</f>
        <v>207</v>
      </c>
      <c r="BH830" s="63" t="n">
        <f aca="false">IF(BD830&gt;0,J830/BD830,-1)</f>
        <v>85.8838709677419</v>
      </c>
      <c r="BI830" s="63" t="n">
        <f aca="false">IF(AND(OR(CG830="L1",CG830="L23",CG830="LIFT"),BD830&gt;0),SUMIFS($BD$7:$BD$1843,$CG$7:$CG$1843,CG830,$BH$7:$BH$1843,"&gt;"&amp;BH830)+SUMIFS($BD$7:$BD$1843,$CG$7:$CG$1843,CG830,$BH$7:$BH$1843,BH830,$BX$7:$BX$1843,"&lt;="&amp;BX830),"")</f>
        <v>988.410256410257</v>
      </c>
      <c r="BJ830" s="70" t="n">
        <f aca="false">IF(BI830="",0,MAX(0,MIN(1,(IF(CG830="L1",Parameter!$H$5,IF(CG830="L23",Parameter!$H$6+Parameter!$H$7,Parameter!$H$5+Parameter!$H$6+Parameter!$H$7))-(BI830-BD830))/BD830)))</f>
        <v>1</v>
      </c>
      <c r="BK830" s="60" t="str">
        <f aca="false">IF(AJ830&lt;=0,"",IF(CG830="Aussen","Aussenlager",IF(CG830="-","Nicht im Lift",IF(AP830&gt;=1,"Lift",IF(AP830&lt;=0,"Aussenlager","teilweise")))))</f>
        <v>Lift</v>
      </c>
      <c r="BL830" s="60" t="str">
        <f aca="false">IF(AT830&lt;=0,"",IF(CG830="Aussen","Aussenlager",IF(CG830="-","Nicht im Lift",IF(AZ830&gt;=1,"Lift",IF(AZ830&lt;=0,"Aussenlager","teilweise")))))</f>
        <v>Lift</v>
      </c>
      <c r="BM830" s="60" t="str">
        <f aca="false">IF(BD830&lt;=0,"",IF(CG830="Aussen","Aussenlager",IF(CG830="-","Nicht im Lift",IF(BJ830&gt;=1,"Lift",IF(BJ830&lt;=0,"Aussenlager","teilweise")))))</f>
        <v>Lift</v>
      </c>
      <c r="BN830" s="60" t="str">
        <f aca="false">IF(A830="","",IF(BW830=1,"Neu; ","")&amp;IF(AND(BW830=0,BR830&lt;0),"negativer Bestand (Export "&amp;BR830&amp;"); ","")&amp;IF(J830&lt;=0,"Kein Verbrauch; ","")&amp;IF(CR830&gt;0,"Lift "&amp;W830&amp;" lt. Liftbericht (Fach "&amp;X830&amp;" Stk); ",IF(CB830=1,"Gebinde geschätzt ("&amp;T830&amp;"); ",IF(CA830=1,"Lose – Tablare geschätzt; ","")))&amp;IF(H830&gt;AW830,"Überbestand "&amp;ROUND(H830-AW830,0)&amp;" Stk / CHF "&amp;ROUND((H830-AW830)*G830,0)&amp;"; ","")&amp;IF(AND(CI830=1,CJ830&lt;CK830),"MAX &lt; MB+LG; ","")&amp;IF(AND(CQ830&gt;0,CP830*10&gt;CQ830),"zu hoch für Tablar; ","")&amp;IF(AND(BW830=0,OR(CI830=1,AB830&lt;&gt;"",U830&lt;&gt;"",V830&lt;&gt;"",AC830&lt;&gt;"")),"manuell übersteuert; ","")&amp;IF(AND(CA830=0,R830=0),"Gebinde unbekannt / Stellmass fehlt; ","")&amp;IF(AND(CA830=0,N(V830)&lt;=0,N(Q830)&lt;=0),"Menge pro Gebinde fehlt (Ist = 1 Gebinde); ","")&amp;BV830)</f>
        <v>negativer Bestand (Export -39); </v>
      </c>
      <c r="BO830" s="60"/>
      <c r="BP830" s="60"/>
      <c r="BQ830" s="67"/>
      <c r="BR830" s="62" t="n">
        <v>-39</v>
      </c>
      <c r="BS830" s="62" t="n">
        <v>64</v>
      </c>
      <c r="BT830" s="61" t="n">
        <v>-10.92</v>
      </c>
      <c r="BU830" s="62" t="n">
        <v>128</v>
      </c>
      <c r="BV830" s="60"/>
      <c r="BW830" s="65" t="n">
        <v>0</v>
      </c>
      <c r="BX830" s="65" t="n">
        <v>830</v>
      </c>
      <c r="BY830" s="60" t="str">
        <f aca="false">IF(U830&lt;&gt;"",UPPER(TRIM(U830)),IF(CB830=1,UPPER(VLOOKUP(T830,Parameter!$I$27:$K$29,2,0)),IF(P830="","LOSE",P830)))</f>
        <v>S32</v>
      </c>
      <c r="BZ830" s="62" t="n">
        <f aca="false">IF(BY830="LOSE",1,IF(N(V830)&gt;0,V830,IF(CB830=1,MAX(1,N(VLOOKUP(T830,Parameter!$I$27:$K$29,3,0)),H830,N(N830)),IF(N(Q830)&gt;0,Q830,MAX(1,H830)))))</f>
        <v>135</v>
      </c>
      <c r="CA830" s="65" t="n">
        <f aca="false">IF(BY830="LOSE",1,0)</f>
        <v>0</v>
      </c>
      <c r="CB830" s="65" t="n">
        <f aca="false">IF(AND(U830="",OR(P830="",P830="LOSE"),T830&lt;&gt;"",N(S830)&lt;=0,ISNUMBER(MATCH(T830,Parameter!$I$27:$I$29,0))),1,0)</f>
        <v>0</v>
      </c>
      <c r="CC830" s="65" t="n">
        <f aca="false">IF(CR830&gt;0,INDEX(Parameter!$H$5:$H$7,W830)/INDEX(Parameter!$E$5:$E$7,W830),IF(AND(CA830=0,N(IFERROR(VLOOKUP(BY830,'Gebinde-Kategorie'!$A$5:$N$45,14,0),0))&gt;0),VLOOKUP(BY830,'Gebinde-Kategorie'!$A$5:$N$45,14,0)*10+Parameter!$M$23,Parameter!$M$24))</f>
        <v>155</v>
      </c>
      <c r="CD830" s="60" t="str">
        <f aca="false">IF(AND(Parameter!$B$19="Ja",E830&lt;&gt;"",ISNUMBER(MATCH(E830,Parameter!$I$35:$I$52,0))),VLOOKUP(E830,Parameter!$I$35:$J$52,2,0),IFERROR(VLOOKUP(D830,Parameter!$A$35:$C$64,2,0),"Nein"))</f>
        <v>2+3</v>
      </c>
      <c r="CE830" s="64" t="n">
        <f aca="false">IF(CA830=0,0,IF(N(S830)&gt;0,S830,IFERROR(VLOOKUP(D830,Parameter!$A$35:$C$64,3,0)+0,0)))</f>
        <v>0</v>
      </c>
      <c r="CF830" s="60" t="n">
        <f aca="false">IF(AB830&lt;&gt;"",AB830,AA830)</f>
        <v>2</v>
      </c>
      <c r="CG830" s="60" t="str">
        <f aca="false">IF(OR(CF830=1,CF830=2,CF830=3),IF(Parameter!$E$27="Ja","LIFT",IF(CF830=1,"L1","L23")),IF(CF830="Aussen","Aussen","-"))</f>
        <v>LIFT</v>
      </c>
      <c r="CH830" s="71" t="n">
        <f aca="false">IF(N(AC830)&gt;0,AC830,0)</f>
        <v>0</v>
      </c>
      <c r="CI830" s="65" t="n">
        <f aca="false">IF(ISNUMBER(AF830),1,0)</f>
        <v>0</v>
      </c>
      <c r="CJ830" s="62" t="n">
        <f aca="false">N(AF830)</f>
        <v>0</v>
      </c>
      <c r="CK830" s="62" t="n">
        <f aca="false">N(M830)+N(N830)</f>
        <v>207</v>
      </c>
      <c r="CL830" s="62" t="n">
        <f aca="false">N(M830)</f>
        <v>7</v>
      </c>
      <c r="CM830" s="62" t="n">
        <f aca="false">N(N830)</f>
        <v>200</v>
      </c>
      <c r="CN830" s="62" t="n">
        <f aca="false">ROUNDUP(H830/BZ830,0)</f>
        <v>1</v>
      </c>
      <c r="CO830" s="62" t="n">
        <f aca="false">ROUNDUP(CJ830/BZ830,0)</f>
        <v>0</v>
      </c>
      <c r="CP830" s="65" t="n">
        <f aca="false">IF(CA830=1,0,IFERROR(VLOOKUP(BY830,'Gebinde-Kategorie'!$A$5:$N$45,5,0)+0,0))</f>
        <v>8</v>
      </c>
      <c r="CQ830" s="65" t="n">
        <f aca="false">IFERROR(IF(OR(CF830=1,CF830=2,CF830=3),N(INDEX(Parameter!$I$5:$I$7,CF830)),0),0)</f>
        <v>0</v>
      </c>
      <c r="CR830" s="64" t="n">
        <f aca="false">IF(AND(Parameter!$B$21="Ja",ISNUMBER(W830),N(X830)&gt;0),IFERROR(N(INDEX(Parameter!$L$5:$L$7,W830))*INDEX(Parameter!$E$5:$E$7,W830)*X830/SUMIFS($X$7:$X$1843,$W$7:$W$1843,W830),0),0)</f>
        <v>0</v>
      </c>
      <c r="CS830" s="62" t="n">
        <f aca="false">IF(AND(OR(CG830="L1",CG830="L23",CG830="LIFT"),H830&gt;0),CC830*IF(CR830&gt;0,CR830*MAX(1,H830/X830),IF(CA830=1,CE830,IF(R830&gt;0,CN830/R830,0))/MAX(0.1,N(Parameter!$M$21))),"")</f>
        <v>1.49038461538462</v>
      </c>
      <c r="CT830" s="64" t="n">
        <f aca="false">IF(CS830="","",J830/H830)</f>
        <v>5.12</v>
      </c>
      <c r="CU830" s="62" t="n">
        <f aca="false">IF(CS830="","",H830*G830)</f>
        <v>7</v>
      </c>
      <c r="CV830" s="63" t="n">
        <f aca="false">IF(CS830="","",(CL830+ROUNDUP(CL830+MAX(CM830,2*(J830/MAX(0.1,N(Einkauf!$C$6))-CL830)),0))/2)</f>
        <v>107</v>
      </c>
      <c r="CW830" s="62" t="n">
        <f aca="false">IF(CS830="","",MAX(0,H830-CV830)*G830)</f>
        <v>0</v>
      </c>
      <c r="CX830" s="62" t="n">
        <f aca="false">IF(CS830="","",CS830*MAX(0,1-CV830/H830))</f>
        <v>0</v>
      </c>
      <c r="CY830" s="64" t="n">
        <f aca="false">IF(CS830="","",PERCENTRANK($CS$7:$CS$1843,CS830)+PERCENTRANK($CU$7:$CU$1843,CU830)+1-PERCENTRANK($CT$7:$CT$1843,CT830))</f>
        <v>0.1875</v>
      </c>
      <c r="CZ830" s="72" t="n">
        <f aca="false">IF(CS830="","",CHOOSE(MATCH(Einkauf!$C$5,Parameter!$G$23:$G$27,0),CY830,CS830,CU830,-CT830,CW830)+ROW()/1000000000)</f>
        <v>0.18750083</v>
      </c>
    </row>
    <row r="831" customFormat="false" ht="15" hidden="false" customHeight="false" outlineLevel="0" collapsed="false">
      <c r="A831" s="60" t="s">
        <v>1641</v>
      </c>
      <c r="B831" s="60" t="s">
        <v>416</v>
      </c>
      <c r="C831" s="60" t="s">
        <v>206</v>
      </c>
      <c r="D831" s="60" t="s">
        <v>226</v>
      </c>
      <c r="E831" s="60"/>
      <c r="F831" s="60" t="s">
        <v>260</v>
      </c>
      <c r="G831" s="61" t="n">
        <v>1.1</v>
      </c>
      <c r="H831" s="62" t="n">
        <f aca="false">MAX(0,IF(AND(Parameter!$B$21="Ja",ISNUMBER(Y831)),Y831,IF(Parameter!$B$20="Jahresanfang 2025 + Export",BS831+BR831,BR831)))</f>
        <v>0</v>
      </c>
      <c r="I831" s="62" t="n">
        <f aca="false">H831*G831</f>
        <v>0</v>
      </c>
      <c r="J831" s="62" t="n">
        <f aca="false">BU831*Parameter!$B$18</f>
        <v>0</v>
      </c>
      <c r="K831" s="63" t="n">
        <v>5</v>
      </c>
      <c r="L831" s="64" t="n">
        <v>0</v>
      </c>
      <c r="M831" s="62" t="n">
        <v>0</v>
      </c>
      <c r="N831" s="62" t="n">
        <v>1</v>
      </c>
      <c r="O831" s="65" t="n">
        <v>28</v>
      </c>
      <c r="P831" s="60" t="s">
        <v>210</v>
      </c>
      <c r="Q831" s="62"/>
      <c r="R831" s="65" t="n">
        <f aca="false">IF(CA831=1,0,IFERROR(VLOOKUP(BY831,'Gebinde-Kategorie'!$A$5:$N$45,13,0)+0,0))</f>
        <v>26</v>
      </c>
      <c r="S831" s="66"/>
      <c r="T831" s="67" t="s">
        <v>317</v>
      </c>
      <c r="U831" s="67"/>
      <c r="V831" s="67"/>
      <c r="W831" s="60"/>
      <c r="X831" s="62"/>
      <c r="Y831" s="62"/>
      <c r="Z831" s="60" t="n">
        <v>3</v>
      </c>
      <c r="AA831" s="60" t="n">
        <f aca="false">IF(A831="","",IF(AND(Parameter!$B$21="Ja",ISNUMBER(W831)),W831,IF(AND(Parameter!$E$27="Ja",ISNUMBER(Z831),CD831&lt;&gt;"Nein"),Z831,IF(CD831="2+3",IF(ISNUMBER(SEARCH("grosser Artikel",BV831)),2,IFERROR(VLOOKUP(BY831,Parameter!$F$35:$G$64,2,0),2)),IF(OR(CD831="Nein",CD831=""),"-",CD831)))))</f>
        <v>3</v>
      </c>
      <c r="AB831" s="67"/>
      <c r="AC831" s="68"/>
      <c r="AD831" s="62" t="n">
        <f aca="false">AW831</f>
        <v>1</v>
      </c>
      <c r="AE831" s="62" t="n">
        <f aca="false">MAX(AW831,H831)</f>
        <v>1</v>
      </c>
      <c r="AF831" s="69"/>
      <c r="AG831" s="62" t="n">
        <f aca="false">IF(LEFT(Cockpit!$C$5,1)="A",H831,IF(Parameter!$E$30="MAX-Bestand",IF(CI831=1,CJ831,IF(LEFT(Cockpit!$C$5,1)="B",AM831,MAX(AM831,H831))),ROUNDUP(AK831,0)))</f>
        <v>0</v>
      </c>
      <c r="AH831" s="62" t="n">
        <f aca="false">IF(CA831=1,0,ROUNDUP(AG831/BZ831,0))</f>
        <v>0</v>
      </c>
      <c r="AI831" s="64" t="n">
        <f aca="false">IF(CR831&gt;0,CR831*MAX(1,AG831/X831),IF(CA831=1,IF(AG831&lt;=0,0,CE831*MAX(1,IF(H831&gt;0,AG831/H831,1))),IF(R831&gt;0,AH831/R831,0))/MAX(0.1,N(Parameter!$M$21)))</f>
        <v>0</v>
      </c>
      <c r="AJ831" s="62" t="n">
        <f aca="false">AI831*CC831</f>
        <v>0</v>
      </c>
      <c r="AK831" s="63" t="n">
        <f aca="false">IF(LEFT(Cockpit!$C$5,1)="A",H831,IF(CI831=1,(CL831+CJ831)/2,IF(LEFT(Cockpit!$C$5,1)="B",(CL831+AM831)/2,MAX((CL831+AM831)/2,H831))))</f>
        <v>0</v>
      </c>
      <c r="AL831" s="62" t="n">
        <f aca="false">AK831*G831</f>
        <v>0</v>
      </c>
      <c r="AM831" s="62" t="n">
        <f aca="false">ROUNDUP(CL831+MAX(CM831,2*(J831/IF(CH831&gt;0,CH831,MAX(0.1,N(Cockpit!$C$6)))-CL831)),0)</f>
        <v>1</v>
      </c>
      <c r="AN831" s="63" t="n">
        <f aca="false">IF(AJ831&gt;0,J831/AJ831,-1)</f>
        <v>-1</v>
      </c>
      <c r="AO831" s="63" t="str">
        <f aca="false">IF(AND(OR(CG831="L1",CG831="L23",CG831="LIFT"),AJ831&gt;0),SUMIFS($AJ$7:$AJ$1843,$CG$7:$CG$1843,CG831,$AN$7:$AN$1843,"&gt;"&amp;AN831)+SUMIFS($AJ$7:$AJ$1843,$CG$7:$CG$1843,CG831,$AN$7:$AN$1843,AN831,$BX$7:$BX$1843,"&lt;="&amp;BX831),"")</f>
        <v/>
      </c>
      <c r="AP831" s="70" t="n">
        <f aca="false">IF(AO831="",0,MAX(0,MIN(1,(IF(CG831="L1",Parameter!$H$5,IF(CG831="L23",Parameter!$H$6+Parameter!$H$7,Parameter!$H$5+Parameter!$H$6+Parameter!$H$7))-(AO831-AJ831))/AJ831)))</f>
        <v>0</v>
      </c>
      <c r="AQ831" s="62" t="n">
        <f aca="false">IF(LEFT(Cockpit!$I$5,1)="A",H831,IF(Parameter!$E$30="MAX-Bestand",IF(CI831=1,CJ831,IF(LEFT(Cockpit!$I$5,1)="B",AW831,MAX(AW831,H831))),ROUNDUP(AU831,0)))</f>
        <v>1</v>
      </c>
      <c r="AR831" s="62" t="n">
        <f aca="false">IF(CA831=1,0,ROUNDUP(AQ831/BZ831,0))</f>
        <v>1</v>
      </c>
      <c r="AS831" s="64" t="n">
        <f aca="false">IF(CR831&gt;0,CR831*MAX(1,AQ831/X831),IF(CA831=1,IF(AQ831&lt;=0,0,CE831*MAX(1,IF(H831&gt;0,AQ831/H831,1))),IF(R831&gt;0,AR831/R831,0))/MAX(0.1,N(Parameter!$M$21)))</f>
        <v>0.0384615384615385</v>
      </c>
      <c r="AT831" s="62" t="n">
        <f aca="false">AS831*CC831</f>
        <v>5.96153846153846</v>
      </c>
      <c r="AU831" s="63" t="n">
        <f aca="false">IF(LEFT(Cockpit!$I$5,1)="A",H831,IF(CI831=1,(CL831+CJ831)/2,IF(LEFT(Cockpit!$I$5,1)="B",(CL831+AW831)/2,MAX((CL831+AW831)/2,H831))))</f>
        <v>0.5</v>
      </c>
      <c r="AV831" s="62" t="n">
        <f aca="false">AU831*G831</f>
        <v>0.55</v>
      </c>
      <c r="AW831" s="62" t="n">
        <f aca="false">ROUNDUP(CL831+MAX(CM831,2*(J831/IF(CH831&gt;0,CH831,MAX(0.1,N(Cockpit!$I$6)))-CL831)),0)</f>
        <v>1</v>
      </c>
      <c r="AX831" s="63" t="n">
        <f aca="false">IF(AT831&gt;0,J831/AT831,-1)</f>
        <v>0</v>
      </c>
      <c r="AY831" s="63" t="n">
        <f aca="false">IF(AND(OR(CG831="L1",CG831="L23",CG831="LIFT"),AT831&gt;0),SUMIFS($AT$7:$AT$1843,$CG$7:$CG$1843,CG831,$AX$7:$AX$1843,"&gt;"&amp;AX831)+SUMIFS($AT$7:$AT$1843,$CG$7:$CG$1843,CG831,$AX$7:$AX$1843,AX831,$BX$7:$BX$1843,"&lt;="&amp;BX831),"")</f>
        <v>34406.9166666667</v>
      </c>
      <c r="AZ831" s="70" t="n">
        <f aca="false">IF(AY831="",0,MAX(0,MIN(1,(IF(CG831="L1",Parameter!$H$5,IF(CG831="L23",Parameter!$H$6+Parameter!$H$7,Parameter!$H$5+Parameter!$H$6+Parameter!$H$7))-(AY831-AT831))/AT831)))</f>
        <v>1</v>
      </c>
      <c r="BA831" s="62" t="n">
        <f aca="false">IF(LEFT(Cockpit!$O$5,1)="A",H831,IF(Parameter!$E$30="MAX-Bestand",IF(CI831=1,CJ831,IF(LEFT(Cockpit!$O$5,1)="B",BG831,MAX(BG831,H831))),ROUNDUP(BE831,0)))</f>
        <v>1</v>
      </c>
      <c r="BB831" s="62" t="n">
        <f aca="false">IF(CA831=1,0,ROUNDUP(BA831/BZ831,0))</f>
        <v>1</v>
      </c>
      <c r="BC831" s="64" t="n">
        <f aca="false">IF(CR831&gt;0,CR831*MAX(1,BA831/X831),IF(CA831=1,IF(BA831&lt;=0,0,CE831*MAX(1,IF(H831&gt;0,BA831/H831,1))),IF(R831&gt;0,BB831/R831,0))/MAX(0.1,N(Parameter!$M$21)))</f>
        <v>0.0384615384615385</v>
      </c>
      <c r="BD831" s="62" t="n">
        <f aca="false">BC831*CC831</f>
        <v>5.96153846153846</v>
      </c>
      <c r="BE831" s="63" t="n">
        <f aca="false">IF(LEFT(Cockpit!$O$5,1)="A",H831,IF(CI831=1,(CL831+CJ831)/2,IF(LEFT(Cockpit!$O$5,1)="B",(CL831+BG831)/2,MAX((CL831+BG831)/2,H831))))</f>
        <v>0.5</v>
      </c>
      <c r="BF831" s="62" t="n">
        <f aca="false">BE831*G831</f>
        <v>0.55</v>
      </c>
      <c r="BG831" s="62" t="n">
        <f aca="false">ROUNDUP(CL831+MAX(CM831,2*(J831/IF(CH831&gt;0,CH831,MAX(0.1,N(Cockpit!$O$6)))-CL831)),0)</f>
        <v>1</v>
      </c>
      <c r="BH831" s="63" t="n">
        <f aca="false">IF(BD831&gt;0,J831/BD831,-1)</f>
        <v>0</v>
      </c>
      <c r="BI831" s="63" t="n">
        <f aca="false">IF(AND(OR(CG831="L1",CG831="L23",CG831="LIFT"),BD831&gt;0),SUMIFS($BD$7:$BD$1843,$CG$7:$CG$1843,CG831,$BH$7:$BH$1843,"&gt;"&amp;BH831)+SUMIFS($BD$7:$BD$1843,$CG$7:$CG$1843,CG831,$BH$7:$BH$1843,BH831,$BX$7:$BX$1843,"&lt;="&amp;BX831),"")</f>
        <v>28446.6986015397</v>
      </c>
      <c r="BJ831" s="70" t="n">
        <f aca="false">IF(BI831="",0,MAX(0,MIN(1,(IF(CG831="L1",Parameter!$H$5,IF(CG831="L23",Parameter!$H$6+Parameter!$H$7,Parameter!$H$5+Parameter!$H$6+Parameter!$H$7))-(BI831-BD831))/BD831)))</f>
        <v>1</v>
      </c>
      <c r="BK831" s="60" t="str">
        <f aca="false">IF(AJ831&lt;=0,"",IF(CG831="Aussen","Aussenlager",IF(CG831="-","Nicht im Lift",IF(AP831&gt;=1,"Lift",IF(AP831&lt;=0,"Aussenlager","teilweise")))))</f>
        <v/>
      </c>
      <c r="BL831" s="60" t="str">
        <f aca="false">IF(AT831&lt;=0,"",IF(CG831="Aussen","Aussenlager",IF(CG831="-","Nicht im Lift",IF(AZ831&gt;=1,"Lift",IF(AZ831&lt;=0,"Aussenlager","teilweise")))))</f>
        <v>Lift</v>
      </c>
      <c r="BM831" s="60" t="str">
        <f aca="false">IF(BD831&lt;=0,"",IF(CG831="Aussen","Aussenlager",IF(CG831="-","Nicht im Lift",IF(BJ831&gt;=1,"Lift",IF(BJ831&lt;=0,"Aussenlager","teilweise")))))</f>
        <v>Lift</v>
      </c>
      <c r="BN831" s="60" t="str">
        <f aca="false">IF(A831="","",IF(BW831=1,"Neu; ","")&amp;IF(AND(BW831=0,BR831&lt;0),"negativer Bestand (Export "&amp;BR831&amp;"); ","")&amp;IF(J831&lt;=0,"Kein Verbrauch; ","")&amp;IF(CR831&gt;0,"Lift "&amp;W831&amp;" lt. Liftbericht (Fach "&amp;X831&amp;" Stk); ",IF(CB831=1,"Gebinde geschätzt ("&amp;T831&amp;"); ",IF(CA831=1,"Lose – Tablare geschätzt; ","")))&amp;IF(H831&gt;AW831,"Überbestand "&amp;ROUND(H831-AW831,0)&amp;" Stk / CHF "&amp;ROUND((H831-AW831)*G831,0)&amp;"; ","")&amp;IF(AND(CI831=1,CJ831&lt;CK831),"MAX &lt; MB+LG; ","")&amp;IF(AND(CQ831&gt;0,CP831*10&gt;CQ831),"zu hoch für Tablar; ","")&amp;IF(AND(BW831=0,OR(CI831=1,AB831&lt;&gt;"",U831&lt;&gt;"",V831&lt;&gt;"",AC831&lt;&gt;"")),"manuell übersteuert; ","")&amp;IF(AND(CA831=0,R831=0),"Gebinde unbekannt / Stellmass fehlt; ","")&amp;IF(AND(CA831=0,N(V831)&lt;=0,N(Q831)&lt;=0),"Menge pro Gebinde fehlt (Ist = 1 Gebinde); ","")&amp;BV831)</f>
        <v>negativer Bestand (Export -10); Kein Verbrauch; Gebinde geschätzt (Klein); Menge pro Gebinde fehlt (Ist = 1 Gebinde); </v>
      </c>
      <c r="BO831" s="60"/>
      <c r="BP831" s="60"/>
      <c r="BQ831" s="67"/>
      <c r="BR831" s="62" t="n">
        <v>-10</v>
      </c>
      <c r="BS831" s="62" t="n">
        <v>10</v>
      </c>
      <c r="BT831" s="61" t="n">
        <v>-11</v>
      </c>
      <c r="BU831" s="62" t="n">
        <v>0</v>
      </c>
      <c r="BV831" s="60"/>
      <c r="BW831" s="65" t="n">
        <v>0</v>
      </c>
      <c r="BX831" s="65" t="n">
        <v>831</v>
      </c>
      <c r="BY831" s="60" t="str">
        <f aca="false">IF(U831&lt;&gt;"",UPPER(TRIM(U831)),IF(CB831=1,UPPER(VLOOKUP(T831,Parameter!$I$27:$K$29,2,0)),IF(P831="","LOSE",P831)))</f>
        <v>S51</v>
      </c>
      <c r="BZ831" s="62" t="n">
        <f aca="false">IF(BY831="LOSE",1,IF(N(V831)&gt;0,V831,IF(CB831=1,MAX(1,N(VLOOKUP(T831,Parameter!$I$27:$K$29,3,0)),H831,N(N831)),IF(N(Q831)&gt;0,Q831,MAX(1,H831)))))</f>
        <v>20</v>
      </c>
      <c r="CA831" s="65" t="n">
        <f aca="false">IF(BY831="LOSE",1,0)</f>
        <v>0</v>
      </c>
      <c r="CB831" s="65" t="n">
        <f aca="false">IF(AND(U831="",OR(P831="",P831="LOSE"),T831&lt;&gt;"",N(S831)&lt;=0,ISNUMBER(MATCH(T831,Parameter!$I$27:$I$29,0))),1,0)</f>
        <v>1</v>
      </c>
      <c r="CC831" s="65" t="n">
        <f aca="false">IF(CR831&gt;0,INDEX(Parameter!$H$5:$H$7,W831)/INDEX(Parameter!$E$5:$E$7,W831),IF(AND(CA831=0,N(IFERROR(VLOOKUP(BY831,'Gebinde-Kategorie'!$A$5:$N$45,14,0),0))&gt;0),VLOOKUP(BY831,'Gebinde-Kategorie'!$A$5:$N$45,14,0)*10+Parameter!$M$23,Parameter!$M$24))</f>
        <v>155</v>
      </c>
      <c r="CD831" s="60" t="str">
        <f aca="false">IF(AND(Parameter!$B$19="Ja",E831&lt;&gt;"",ISNUMBER(MATCH(E831,Parameter!$I$35:$I$52,0))),VLOOKUP(E831,Parameter!$I$35:$J$52,2,0),IFERROR(VLOOKUP(D831,Parameter!$A$35:$C$64,2,0),"Nein"))</f>
        <v>2+3</v>
      </c>
      <c r="CE831" s="64" t="n">
        <f aca="false">IF(CA831=0,0,IF(N(S831)&gt;0,S831,IFERROR(VLOOKUP(D831,Parameter!$A$35:$C$64,3,0)+0,0)))</f>
        <v>0</v>
      </c>
      <c r="CF831" s="60" t="n">
        <f aca="false">IF(AB831&lt;&gt;"",AB831,AA831)</f>
        <v>3</v>
      </c>
      <c r="CG831" s="60" t="str">
        <f aca="false">IF(OR(CF831=1,CF831=2,CF831=3),IF(Parameter!$E$27="Ja","LIFT",IF(CF831=1,"L1","L23")),IF(CF831="Aussen","Aussen","-"))</f>
        <v>LIFT</v>
      </c>
      <c r="CH831" s="71" t="n">
        <f aca="false">IF(N(AC831)&gt;0,AC831,0)</f>
        <v>0</v>
      </c>
      <c r="CI831" s="65" t="n">
        <f aca="false">IF(ISNUMBER(AF831),1,0)</f>
        <v>0</v>
      </c>
      <c r="CJ831" s="62" t="n">
        <f aca="false">N(AF831)</f>
        <v>0</v>
      </c>
      <c r="CK831" s="62" t="n">
        <f aca="false">N(M831)+N(N831)</f>
        <v>1</v>
      </c>
      <c r="CL831" s="62" t="n">
        <f aca="false">N(M831)</f>
        <v>0</v>
      </c>
      <c r="CM831" s="62" t="n">
        <f aca="false">N(N831)</f>
        <v>1</v>
      </c>
      <c r="CN831" s="62" t="n">
        <f aca="false">ROUNDUP(H831/BZ831,0)</f>
        <v>0</v>
      </c>
      <c r="CO831" s="62" t="n">
        <f aca="false">ROUNDUP(CJ831/BZ831,0)</f>
        <v>0</v>
      </c>
      <c r="CP831" s="65" t="n">
        <f aca="false">IF(CA831=1,0,IFERROR(VLOOKUP(BY831,'Gebinde-Kategorie'!$A$5:$N$45,5,0)+0,0))</f>
        <v>11</v>
      </c>
      <c r="CQ831" s="65" t="n">
        <f aca="false">IFERROR(IF(OR(CF831=1,CF831=2,CF831=3),N(INDEX(Parameter!$I$5:$I$7,CF831)),0),0)</f>
        <v>0</v>
      </c>
      <c r="CR831" s="64" t="n">
        <f aca="false">IF(AND(Parameter!$B$21="Ja",ISNUMBER(W831),N(X831)&gt;0),IFERROR(N(INDEX(Parameter!$L$5:$L$7,W831))*INDEX(Parameter!$E$5:$E$7,W831)*X831/SUMIFS($X$7:$X$1843,$W$7:$W$1843,W831),0),0)</f>
        <v>0</v>
      </c>
      <c r="CS831" s="62" t="str">
        <f aca="false">IF(AND(OR(CG831="L1",CG831="L23",CG831="LIFT"),H831&gt;0),CC831*IF(CR831&gt;0,CR831*MAX(1,H831/X831),IF(CA831=1,CE831,IF(R831&gt;0,CN831/R831,0))/MAX(0.1,N(Parameter!$M$21))),"")</f>
        <v/>
      </c>
      <c r="CT831" s="64" t="str">
        <f aca="false">IF(CS831="","",J831/H831)</f>
        <v/>
      </c>
      <c r="CU831" s="62" t="str">
        <f aca="false">IF(CS831="","",H831*G831)</f>
        <v/>
      </c>
      <c r="CV831" s="63" t="str">
        <f aca="false">IF(CS831="","",(CL831+ROUNDUP(CL831+MAX(CM831,2*(J831/MAX(0.1,N(Einkauf!$C$6))-CL831)),0))/2)</f>
        <v/>
      </c>
      <c r="CW831" s="62" t="str">
        <f aca="false">IF(CS831="","",MAX(0,H831-CV831)*G831)</f>
        <v/>
      </c>
      <c r="CX831" s="62" t="str">
        <f aca="false">IF(CS831="","",CS831*MAX(0,1-CV831/H831))</f>
        <v/>
      </c>
      <c r="CY831" s="64" t="str">
        <f aca="false">IF(CS831="","",PERCENTRANK($CS$7:$CS$1843,CS831)+PERCENTRANK($CU$7:$CU$1843,CU831)+1-PERCENTRANK($CT$7:$CT$1843,CT831))</f>
        <v/>
      </c>
      <c r="CZ831" s="72" t="str">
        <f aca="false">IF(CS831="","",CHOOSE(MATCH(Einkauf!$C$5,Parameter!$G$23:$G$27,0),CY831,CS831,CU831,-CT831,CW831)+ROW()/1000000000)</f>
        <v/>
      </c>
    </row>
    <row r="832" customFormat="false" ht="15" hidden="false" customHeight="false" outlineLevel="0" collapsed="false">
      <c r="A832" s="60" t="s">
        <v>1642</v>
      </c>
      <c r="B832" s="60" t="s">
        <v>1643</v>
      </c>
      <c r="C832" s="60" t="s">
        <v>206</v>
      </c>
      <c r="D832" s="60" t="s">
        <v>226</v>
      </c>
      <c r="E832" s="60" t="s">
        <v>227</v>
      </c>
      <c r="F832" s="60" t="s">
        <v>260</v>
      </c>
      <c r="G832" s="61" t="n">
        <v>1.13</v>
      </c>
      <c r="H832" s="62" t="n">
        <f aca="false">MAX(0,IF(AND(Parameter!$B$21="Ja",ISNUMBER(Y832)),Y832,IF(Parameter!$B$20="Jahresanfang 2025 + Export",BS832+BR832,BR832)))</f>
        <v>10</v>
      </c>
      <c r="I832" s="62" t="n">
        <f aca="false">H832*G832</f>
        <v>11.3</v>
      </c>
      <c r="J832" s="62" t="n">
        <f aca="false">BU832*Parameter!$B$18</f>
        <v>7</v>
      </c>
      <c r="K832" s="63" t="n">
        <v>17.5</v>
      </c>
      <c r="L832" s="64" t="n">
        <v>0.4</v>
      </c>
      <c r="M832" s="62" t="n">
        <v>0</v>
      </c>
      <c r="N832" s="62" t="n">
        <v>10</v>
      </c>
      <c r="O832" s="65" t="n">
        <v>14</v>
      </c>
      <c r="P832" s="60" t="s">
        <v>468</v>
      </c>
      <c r="Q832" s="62" t="n">
        <v>20</v>
      </c>
      <c r="R832" s="65" t="n">
        <f aca="false">IF(CA832=1,0,IFERROR(VLOOKUP(BY832,'Gebinde-Kategorie'!$A$5:$N$45,13,0)+0,0))</f>
        <v>140</v>
      </c>
      <c r="S832" s="66"/>
      <c r="T832" s="67"/>
      <c r="U832" s="67"/>
      <c r="V832" s="67"/>
      <c r="W832" s="60"/>
      <c r="X832" s="62"/>
      <c r="Y832" s="62"/>
      <c r="Z832" s="60" t="n">
        <v>1</v>
      </c>
      <c r="AA832" s="60" t="n">
        <f aca="false">IF(A832="","",IF(AND(Parameter!$B$21="Ja",ISNUMBER(W832)),W832,IF(AND(Parameter!$E$27="Ja",ISNUMBER(Z832),CD832&lt;&gt;"Nein"),Z832,IF(CD832="2+3",IF(ISNUMBER(SEARCH("grosser Artikel",BV832)),2,IFERROR(VLOOKUP(BY832,Parameter!$F$35:$G$64,2,0),2)),IF(OR(CD832="Nein",CD832=""),"-",CD832)))))</f>
        <v>1</v>
      </c>
      <c r="AB832" s="67"/>
      <c r="AC832" s="68"/>
      <c r="AD832" s="62" t="n">
        <f aca="false">AW832</f>
        <v>10</v>
      </c>
      <c r="AE832" s="62" t="n">
        <f aca="false">MAX(AW832,H832)</f>
        <v>10</v>
      </c>
      <c r="AF832" s="69"/>
      <c r="AG832" s="62" t="n">
        <f aca="false">IF(LEFT(Cockpit!$C$5,1)="A",H832,IF(Parameter!$E$30="MAX-Bestand",IF(CI832=1,CJ832,IF(LEFT(Cockpit!$C$5,1)="B",AM832,MAX(AM832,H832))),ROUNDUP(AK832,0)))</f>
        <v>10</v>
      </c>
      <c r="AH832" s="62" t="n">
        <f aca="false">IF(CA832=1,0,ROUNDUP(AG832/BZ832,0))</f>
        <v>1</v>
      </c>
      <c r="AI832" s="64" t="n">
        <f aca="false">IF(CR832&gt;0,CR832*MAX(1,AG832/X832),IF(CA832=1,IF(AG832&lt;=0,0,CE832*MAX(1,IF(H832&gt;0,AG832/H832,1))),IF(R832&gt;0,AH832/R832,0))/MAX(0.1,N(Parameter!$M$21)))</f>
        <v>0.00714285714285714</v>
      </c>
      <c r="AJ832" s="62" t="n">
        <f aca="false">AI832*CC832</f>
        <v>1.10714285714286</v>
      </c>
      <c r="AK832" s="63" t="n">
        <f aca="false">IF(LEFT(Cockpit!$C$5,1)="A",H832,IF(CI832=1,(CL832+CJ832)/2,IF(LEFT(Cockpit!$C$5,1)="B",(CL832+AM832)/2,MAX((CL832+AM832)/2,H832))))</f>
        <v>10</v>
      </c>
      <c r="AL832" s="62" t="n">
        <f aca="false">AK832*G832</f>
        <v>11.3</v>
      </c>
      <c r="AM832" s="62" t="n">
        <f aca="false">ROUNDUP(CL832+MAX(CM832,2*(J832/IF(CH832&gt;0,CH832,MAX(0.1,N(Cockpit!$C$6)))-CL832)),0)</f>
        <v>10</v>
      </c>
      <c r="AN832" s="63" t="n">
        <f aca="false">IF(AJ832&gt;0,J832/AJ832,-1)</f>
        <v>6.32258064516129</v>
      </c>
      <c r="AO832" s="63" t="n">
        <f aca="false">IF(AND(OR(CG832="L1",CG832="L23",CG832="LIFT"),AJ832&gt;0),SUMIFS($AJ$7:$AJ$1843,$CG$7:$CG$1843,CG832,$AN$7:$AN$1843,"&gt;"&amp;AN832)+SUMIFS($AJ$7:$AJ$1843,$CG$7:$CG$1843,CG832,$AN$7:$AN$1843,AN832,$BX$7:$BX$1843,"&lt;="&amp;BX832),"")</f>
        <v>3451.78891941392</v>
      </c>
      <c r="AP832" s="70" t="n">
        <f aca="false">IF(AO832="",0,MAX(0,MIN(1,(IF(CG832="L1",Parameter!$H$5,IF(CG832="L23",Parameter!$H$6+Parameter!$H$7,Parameter!$H$5+Parameter!$H$6+Parameter!$H$7))-(AO832-AJ832))/AJ832)))</f>
        <v>1</v>
      </c>
      <c r="AQ832" s="62" t="n">
        <f aca="false">IF(LEFT(Cockpit!$I$5,1)="A",H832,IF(Parameter!$E$30="MAX-Bestand",IF(CI832=1,CJ832,IF(LEFT(Cockpit!$I$5,1)="B",AW832,MAX(AW832,H832))),ROUNDUP(AU832,0)))</f>
        <v>10</v>
      </c>
      <c r="AR832" s="62" t="n">
        <f aca="false">IF(CA832=1,0,ROUNDUP(AQ832/BZ832,0))</f>
        <v>1</v>
      </c>
      <c r="AS832" s="64" t="n">
        <f aca="false">IF(CR832&gt;0,CR832*MAX(1,AQ832/X832),IF(CA832=1,IF(AQ832&lt;=0,0,CE832*MAX(1,IF(H832&gt;0,AQ832/H832,1))),IF(R832&gt;0,AR832/R832,0))/MAX(0.1,N(Parameter!$M$21)))</f>
        <v>0.00714285714285714</v>
      </c>
      <c r="AT832" s="62" t="n">
        <f aca="false">AS832*CC832</f>
        <v>1.10714285714286</v>
      </c>
      <c r="AU832" s="63" t="n">
        <f aca="false">IF(LEFT(Cockpit!$I$5,1)="A",H832,IF(CI832=1,(CL832+CJ832)/2,IF(LEFT(Cockpit!$I$5,1)="B",(CL832+AW832)/2,MAX((CL832+AW832)/2,H832))))</f>
        <v>10</v>
      </c>
      <c r="AV832" s="62" t="n">
        <f aca="false">AU832*G832</f>
        <v>11.3</v>
      </c>
      <c r="AW832" s="62" t="n">
        <f aca="false">ROUNDUP(CL832+MAX(CM832,2*(J832/IF(CH832&gt;0,CH832,MAX(0.1,N(Cockpit!$I$6)))-CL832)),0)</f>
        <v>10</v>
      </c>
      <c r="AX832" s="63" t="n">
        <f aca="false">IF(AT832&gt;0,J832/AT832,-1)</f>
        <v>6.32258064516129</v>
      </c>
      <c r="AY832" s="63" t="n">
        <f aca="false">IF(AND(OR(CG832="L1",CG832="L23",CG832="LIFT"),AT832&gt;0),SUMIFS($AT$7:$AT$1843,$CG$7:$CG$1843,CG832,$AX$7:$AX$1843,"&gt;"&amp;AX832)+SUMIFS($AT$7:$AT$1843,$CG$7:$CG$1843,CG832,$AX$7:$AX$1843,AX832,$BX$7:$BX$1843,"&lt;="&amp;BX832),"")</f>
        <v>4137.86950549451</v>
      </c>
      <c r="AZ832" s="70" t="n">
        <f aca="false">IF(AY832="",0,MAX(0,MIN(1,(IF(CG832="L1",Parameter!$H$5,IF(CG832="L23",Parameter!$H$6+Parameter!$H$7,Parameter!$H$5+Parameter!$H$6+Parameter!$H$7))-(AY832-AT832))/AT832)))</f>
        <v>1</v>
      </c>
      <c r="BA832" s="62" t="n">
        <f aca="false">IF(LEFT(Cockpit!$O$5,1)="A",H832,IF(Parameter!$E$30="MAX-Bestand",IF(CI832=1,CJ832,IF(LEFT(Cockpit!$O$5,1)="B",BG832,MAX(BG832,H832))),ROUNDUP(BE832,0)))</f>
        <v>5</v>
      </c>
      <c r="BB832" s="62" t="n">
        <f aca="false">IF(CA832=1,0,ROUNDUP(BA832/BZ832,0))</f>
        <v>1</v>
      </c>
      <c r="BC832" s="64" t="n">
        <f aca="false">IF(CR832&gt;0,CR832*MAX(1,BA832/X832),IF(CA832=1,IF(BA832&lt;=0,0,CE832*MAX(1,IF(H832&gt;0,BA832/H832,1))),IF(R832&gt;0,BB832/R832,0))/MAX(0.1,N(Parameter!$M$21)))</f>
        <v>0.00714285714285714</v>
      </c>
      <c r="BD832" s="62" t="n">
        <f aca="false">BC832*CC832</f>
        <v>1.10714285714286</v>
      </c>
      <c r="BE832" s="63" t="n">
        <f aca="false">IF(LEFT(Cockpit!$O$5,1)="A",H832,IF(CI832=1,(CL832+CJ832)/2,IF(LEFT(Cockpit!$O$5,1)="B",(CL832+BG832)/2,MAX((CL832+BG832)/2,H832))))</f>
        <v>5</v>
      </c>
      <c r="BF832" s="62" t="n">
        <f aca="false">BE832*G832</f>
        <v>5.65</v>
      </c>
      <c r="BG832" s="62" t="n">
        <f aca="false">ROUNDUP(CL832+MAX(CM832,2*(J832/IF(CH832&gt;0,CH832,MAX(0.1,N(Cockpit!$O$6)))-CL832)),0)</f>
        <v>10</v>
      </c>
      <c r="BH832" s="63" t="n">
        <f aca="false">IF(BD832&gt;0,J832/BD832,-1)</f>
        <v>6.32258064516129</v>
      </c>
      <c r="BI832" s="63" t="n">
        <f aca="false">IF(AND(OR(CG832="L1",CG832="L23",CG832="LIFT"),BD832&gt;0),SUMIFS($BD$7:$BD$1843,$CG$7:$CG$1843,CG832,$BH$7:$BH$1843,"&gt;"&amp;BH832)+SUMIFS($BD$7:$BD$1843,$CG$7:$CG$1843,CG832,$BH$7:$BH$1843,BH832,$BX$7:$BX$1843,"&lt;="&amp;BX832),"")</f>
        <v>3410.91712454212</v>
      </c>
      <c r="BJ832" s="70" t="n">
        <f aca="false">IF(BI832="",0,MAX(0,MIN(1,(IF(CG832="L1",Parameter!$H$5,IF(CG832="L23",Parameter!$H$6+Parameter!$H$7,Parameter!$H$5+Parameter!$H$6+Parameter!$H$7))-(BI832-BD832))/BD832)))</f>
        <v>1</v>
      </c>
      <c r="BK832" s="60" t="str">
        <f aca="false">IF(AJ832&lt;=0,"",IF(CG832="Aussen","Aussenlager",IF(CG832="-","Nicht im Lift",IF(AP832&gt;=1,"Lift",IF(AP832&lt;=0,"Aussenlager","teilweise")))))</f>
        <v>Lift</v>
      </c>
      <c r="BL832" s="60" t="str">
        <f aca="false">IF(AT832&lt;=0,"",IF(CG832="Aussen","Aussenlager",IF(CG832="-","Nicht im Lift",IF(AZ832&gt;=1,"Lift",IF(AZ832&lt;=0,"Aussenlager","teilweise")))))</f>
        <v>Lift</v>
      </c>
      <c r="BM832" s="60" t="str">
        <f aca="false">IF(BD832&lt;=0,"",IF(CG832="Aussen","Aussenlager",IF(CG832="-","Nicht im Lift",IF(BJ832&gt;=1,"Lift",IF(BJ832&lt;=0,"Aussenlager","teilweise")))))</f>
        <v>Lift</v>
      </c>
      <c r="BN832" s="60" t="str">
        <f aca="false">IF(A832="","",IF(BW832=1,"Neu; ","")&amp;IF(AND(BW832=0,BR832&lt;0),"negativer Bestand (Export "&amp;BR832&amp;"); ","")&amp;IF(J832&lt;=0,"Kein Verbrauch; ","")&amp;IF(CR832&gt;0,"Lift "&amp;W832&amp;" lt. Liftbericht (Fach "&amp;X832&amp;" Stk); ",IF(CB832=1,"Gebinde geschätzt ("&amp;T832&amp;"); ",IF(CA832=1,"Lose – Tablare geschätzt; ","")))&amp;IF(H832&gt;AW832,"Überbestand "&amp;ROUND(H832-AW832,0)&amp;" Stk / CHF "&amp;ROUND((H832-AW832)*G832,0)&amp;"; ","")&amp;IF(AND(CI832=1,CJ832&lt;CK832),"MAX &lt; MB+LG; ","")&amp;IF(AND(CQ832&gt;0,CP832*10&gt;CQ832),"zu hoch für Tablar; ","")&amp;IF(AND(BW832=0,OR(CI832=1,AB832&lt;&gt;"",U832&lt;&gt;"",V832&lt;&gt;"",AC832&lt;&gt;"")),"manuell übersteuert; ","")&amp;IF(AND(CA832=0,R832=0),"Gebinde unbekannt / Stellmass fehlt; ","")&amp;IF(AND(CA832=0,N(V832)&lt;=0,N(Q832)&lt;=0),"Menge pro Gebinde fehlt (Ist = 1 Gebinde); ","")&amp;BV832)</f>
        <v>negativer Bestand (Export -10); </v>
      </c>
      <c r="BO832" s="60"/>
      <c r="BP832" s="60"/>
      <c r="BQ832" s="67"/>
      <c r="BR832" s="62" t="n">
        <v>-10</v>
      </c>
      <c r="BS832" s="62" t="n">
        <v>20</v>
      </c>
      <c r="BT832" s="61" t="n">
        <v>-11.1</v>
      </c>
      <c r="BU832" s="62" t="n">
        <v>7</v>
      </c>
      <c r="BV832" s="60"/>
      <c r="BW832" s="65" t="n">
        <v>0</v>
      </c>
      <c r="BX832" s="65" t="n">
        <v>832</v>
      </c>
      <c r="BY832" s="60" t="str">
        <f aca="false">IF(U832&lt;&gt;"",UPPER(TRIM(U832)),IF(CB832=1,UPPER(VLOOKUP(T832,Parameter!$I$27:$K$29,2,0)),IF(P832="","LOSE",P832)))</f>
        <v>S22</v>
      </c>
      <c r="BZ832" s="62" t="n">
        <f aca="false">IF(BY832="LOSE",1,IF(N(V832)&gt;0,V832,IF(CB832=1,MAX(1,N(VLOOKUP(T832,Parameter!$I$27:$K$29,3,0)),H832,N(N832)),IF(N(Q832)&gt;0,Q832,MAX(1,H832)))))</f>
        <v>20</v>
      </c>
      <c r="CA832" s="65" t="n">
        <f aca="false">IF(BY832="LOSE",1,0)</f>
        <v>0</v>
      </c>
      <c r="CB832" s="65" t="n">
        <f aca="false">IF(AND(U832="",OR(P832="",P832="LOSE"),T832&lt;&gt;"",N(S832)&lt;=0,ISNUMBER(MATCH(T832,Parameter!$I$27:$I$29,0))),1,0)</f>
        <v>0</v>
      </c>
      <c r="CC832" s="65" t="n">
        <f aca="false">IF(CR832&gt;0,INDEX(Parameter!$H$5:$H$7,W832)/INDEX(Parameter!$E$5:$E$7,W832),IF(AND(CA832=0,N(IFERROR(VLOOKUP(BY832,'Gebinde-Kategorie'!$A$5:$N$45,14,0),0))&gt;0),VLOOKUP(BY832,'Gebinde-Kategorie'!$A$5:$N$45,14,0)*10+Parameter!$M$23,Parameter!$M$24))</f>
        <v>155</v>
      </c>
      <c r="CD832" s="60" t="str">
        <f aca="false">IF(AND(Parameter!$B$19="Ja",E832&lt;&gt;"",ISNUMBER(MATCH(E832,Parameter!$I$35:$I$52,0))),VLOOKUP(E832,Parameter!$I$35:$J$52,2,0),IFERROR(VLOOKUP(D832,Parameter!$A$35:$C$64,2,0),"Nein"))</f>
        <v>2+3</v>
      </c>
      <c r="CE832" s="64" t="n">
        <f aca="false">IF(CA832=0,0,IF(N(S832)&gt;0,S832,IFERROR(VLOOKUP(D832,Parameter!$A$35:$C$64,3,0)+0,0)))</f>
        <v>0</v>
      </c>
      <c r="CF832" s="60" t="n">
        <f aca="false">IF(AB832&lt;&gt;"",AB832,AA832)</f>
        <v>1</v>
      </c>
      <c r="CG832" s="60" t="str">
        <f aca="false">IF(OR(CF832=1,CF832=2,CF832=3),IF(Parameter!$E$27="Ja","LIFT",IF(CF832=1,"L1","L23")),IF(CF832="Aussen","Aussen","-"))</f>
        <v>LIFT</v>
      </c>
      <c r="CH832" s="71" t="n">
        <f aca="false">IF(N(AC832)&gt;0,AC832,0)</f>
        <v>0</v>
      </c>
      <c r="CI832" s="65" t="n">
        <f aca="false">IF(ISNUMBER(AF832),1,0)</f>
        <v>0</v>
      </c>
      <c r="CJ832" s="62" t="n">
        <f aca="false">N(AF832)</f>
        <v>0</v>
      </c>
      <c r="CK832" s="62" t="n">
        <f aca="false">N(M832)+N(N832)</f>
        <v>10</v>
      </c>
      <c r="CL832" s="62" t="n">
        <f aca="false">N(M832)</f>
        <v>0</v>
      </c>
      <c r="CM832" s="62" t="n">
        <f aca="false">N(N832)</f>
        <v>10</v>
      </c>
      <c r="CN832" s="62" t="n">
        <f aca="false">ROUNDUP(H832/BZ832,0)</f>
        <v>1</v>
      </c>
      <c r="CO832" s="62" t="n">
        <f aca="false">ROUNDUP(CJ832/BZ832,0)</f>
        <v>0</v>
      </c>
      <c r="CP832" s="65" t="n">
        <f aca="false">IF(CA832=1,0,IFERROR(VLOOKUP(BY832,'Gebinde-Kategorie'!$A$5:$N$45,5,0)+0,0))</f>
        <v>8</v>
      </c>
      <c r="CQ832" s="65" t="n">
        <f aca="false">IFERROR(IF(OR(CF832=1,CF832=2,CF832=3),N(INDEX(Parameter!$I$5:$I$7,CF832)),0),0)</f>
        <v>0</v>
      </c>
      <c r="CR832" s="64" t="n">
        <f aca="false">IF(AND(Parameter!$B$21="Ja",ISNUMBER(W832),N(X832)&gt;0),IFERROR(N(INDEX(Parameter!$L$5:$L$7,W832))*INDEX(Parameter!$E$5:$E$7,W832)*X832/SUMIFS($X$7:$X$1843,$W$7:$W$1843,W832),0),0)</f>
        <v>0</v>
      </c>
      <c r="CS832" s="62" t="n">
        <f aca="false">IF(AND(OR(CG832="L1",CG832="L23",CG832="LIFT"),H832&gt;0),CC832*IF(CR832&gt;0,CR832*MAX(1,H832/X832),IF(CA832=1,CE832,IF(R832&gt;0,CN832/R832,0))/MAX(0.1,N(Parameter!$M$21))),"")</f>
        <v>1.10714285714286</v>
      </c>
      <c r="CT832" s="64" t="n">
        <f aca="false">IF(CS832="","",J832/H832)</f>
        <v>0.7</v>
      </c>
      <c r="CU832" s="62" t="n">
        <f aca="false">IF(CS832="","",H832*G832)</f>
        <v>11.3</v>
      </c>
      <c r="CV832" s="63" t="n">
        <f aca="false">IF(CS832="","",(CL832+ROUNDUP(CL832+MAX(CM832,2*(J832/MAX(0.1,N(Einkauf!$C$6))-CL832)),0))/2)</f>
        <v>5</v>
      </c>
      <c r="CW832" s="62" t="n">
        <f aca="false">IF(CS832="","",MAX(0,H832-CV832)*G832)</f>
        <v>5.65</v>
      </c>
      <c r="CX832" s="62" t="n">
        <f aca="false">IF(CS832="","",CS832*MAX(0,1-CV832/H832))</f>
        <v>0.553571428571429</v>
      </c>
      <c r="CY832" s="64" t="n">
        <f aca="false">IF(CS832="","",PERCENTRANK($CS$7:$CS$1843,CS832)+PERCENTRANK($CU$7:$CU$1843,CU832)+1-PERCENTRANK($CT$7:$CT$1843,CT832))</f>
        <v>0.5173</v>
      </c>
      <c r="CZ832" s="72" t="n">
        <f aca="false">IF(CS832="","",CHOOSE(MATCH(Einkauf!$C$5,Parameter!$G$23:$G$27,0),CY832,CS832,CU832,-CT832,CW832)+ROW()/1000000000)</f>
        <v>0.517300832</v>
      </c>
    </row>
    <row r="833" customFormat="false" ht="15" hidden="false" customHeight="false" outlineLevel="0" collapsed="false">
      <c r="A833" s="60" t="s">
        <v>1644</v>
      </c>
      <c r="B833" s="60" t="s">
        <v>1178</v>
      </c>
      <c r="C833" s="60" t="s">
        <v>206</v>
      </c>
      <c r="D833" s="60" t="s">
        <v>226</v>
      </c>
      <c r="E833" s="60"/>
      <c r="F833" s="60" t="s">
        <v>260</v>
      </c>
      <c r="G833" s="61" t="n">
        <v>3.91</v>
      </c>
      <c r="H833" s="62" t="n">
        <f aca="false">MAX(0,IF(AND(Parameter!$B$21="Ja",ISNUMBER(Y833)),Y833,IF(Parameter!$B$20="Jahresanfang 2025 + Export",BS833+BR833,BR833)))</f>
        <v>2</v>
      </c>
      <c r="I833" s="62" t="n">
        <f aca="false">H833*G833</f>
        <v>7.82</v>
      </c>
      <c r="J833" s="62" t="n">
        <f aca="false">BU833*Parameter!$B$18</f>
        <v>5</v>
      </c>
      <c r="K833" s="63" t="n">
        <v>14</v>
      </c>
      <c r="L833" s="64" t="n">
        <v>0.357142857142857</v>
      </c>
      <c r="M833" s="62" t="n">
        <v>0</v>
      </c>
      <c r="N833" s="62" t="n">
        <v>5</v>
      </c>
      <c r="O833" s="65" t="n">
        <v>14</v>
      </c>
      <c r="P833" s="60" t="s">
        <v>210</v>
      </c>
      <c r="Q833" s="62"/>
      <c r="R833" s="65" t="n">
        <f aca="false">IF(CA833=1,0,IFERROR(VLOOKUP(BY833,'Gebinde-Kategorie'!$A$5:$N$45,13,0)+0,0))</f>
        <v>26</v>
      </c>
      <c r="S833" s="66"/>
      <c r="T833" s="67" t="s">
        <v>317</v>
      </c>
      <c r="U833" s="67"/>
      <c r="V833" s="67"/>
      <c r="W833" s="60"/>
      <c r="X833" s="62"/>
      <c r="Y833" s="62"/>
      <c r="Z833" s="60" t="n">
        <v>3</v>
      </c>
      <c r="AA833" s="60" t="n">
        <f aca="false">IF(A833="","",IF(AND(Parameter!$B$21="Ja",ISNUMBER(W833)),W833,IF(AND(Parameter!$E$27="Ja",ISNUMBER(Z833),CD833&lt;&gt;"Nein"),Z833,IF(CD833="2+3",IF(ISNUMBER(SEARCH("grosser Artikel",BV833)),2,IFERROR(VLOOKUP(BY833,Parameter!$F$35:$G$64,2,0),2)),IF(OR(CD833="Nein",CD833=""),"-",CD833)))))</f>
        <v>3</v>
      </c>
      <c r="AB833" s="67"/>
      <c r="AC833" s="68"/>
      <c r="AD833" s="62" t="n">
        <f aca="false">AW833</f>
        <v>5</v>
      </c>
      <c r="AE833" s="62" t="n">
        <f aca="false">MAX(AW833,H833)</f>
        <v>5</v>
      </c>
      <c r="AF833" s="69"/>
      <c r="AG833" s="62" t="n">
        <f aca="false">IF(LEFT(Cockpit!$C$5,1)="A",H833,IF(Parameter!$E$30="MAX-Bestand",IF(CI833=1,CJ833,IF(LEFT(Cockpit!$C$5,1)="B",AM833,MAX(AM833,H833))),ROUNDUP(AK833,0)))</f>
        <v>2</v>
      </c>
      <c r="AH833" s="62" t="n">
        <f aca="false">IF(CA833=1,0,ROUNDUP(AG833/BZ833,0))</f>
        <v>1</v>
      </c>
      <c r="AI833" s="64" t="n">
        <f aca="false">IF(CR833&gt;0,CR833*MAX(1,AG833/X833),IF(CA833=1,IF(AG833&lt;=0,0,CE833*MAX(1,IF(H833&gt;0,AG833/H833,1))),IF(R833&gt;0,AH833/R833,0))/MAX(0.1,N(Parameter!$M$21)))</f>
        <v>0.0384615384615385</v>
      </c>
      <c r="AJ833" s="62" t="n">
        <f aca="false">AI833*CC833</f>
        <v>5.96153846153846</v>
      </c>
      <c r="AK833" s="63" t="n">
        <f aca="false">IF(LEFT(Cockpit!$C$5,1)="A",H833,IF(CI833=1,(CL833+CJ833)/2,IF(LEFT(Cockpit!$C$5,1)="B",(CL833+AM833)/2,MAX((CL833+AM833)/2,H833))))</f>
        <v>2</v>
      </c>
      <c r="AL833" s="62" t="n">
        <f aca="false">AK833*G833</f>
        <v>7.82</v>
      </c>
      <c r="AM833" s="62" t="n">
        <f aca="false">ROUNDUP(CL833+MAX(CM833,2*(J833/IF(CH833&gt;0,CH833,MAX(0.1,N(Cockpit!$C$6)))-CL833)),0)</f>
        <v>5</v>
      </c>
      <c r="AN833" s="63" t="n">
        <f aca="false">IF(AJ833&gt;0,J833/AJ833,-1)</f>
        <v>0.838709677419355</v>
      </c>
      <c r="AO833" s="63" t="n">
        <f aca="false">IF(AND(OR(CG833="L1",CG833="L23",CG833="LIFT"),AJ833&gt;0),SUMIFS($AJ$7:$AJ$1843,$CG$7:$CG$1843,CG833,$AN$7:$AN$1843,"&gt;"&amp;AN833)+SUMIFS($AJ$7:$AJ$1843,$CG$7:$CG$1843,CG833,$AN$7:$AN$1843,AN833,$BX$7:$BX$1843,"&lt;="&amp;BX833),"")</f>
        <v>7884.70192307692</v>
      </c>
      <c r="AP833" s="70" t="n">
        <f aca="false">IF(AO833="",0,MAX(0,MIN(1,(IF(CG833="L1",Parameter!$H$5,IF(CG833="L23",Parameter!$H$6+Parameter!$H$7,Parameter!$H$5+Parameter!$H$6+Parameter!$H$7))-(AO833-AJ833))/AJ833)))</f>
        <v>1</v>
      </c>
      <c r="AQ833" s="62" t="n">
        <f aca="false">IF(LEFT(Cockpit!$I$5,1)="A",H833,IF(Parameter!$E$30="MAX-Bestand",IF(CI833=1,CJ833,IF(LEFT(Cockpit!$I$5,1)="B",AW833,MAX(AW833,H833))),ROUNDUP(AU833,0)))</f>
        <v>3</v>
      </c>
      <c r="AR833" s="62" t="n">
        <f aca="false">IF(CA833=1,0,ROUNDUP(AQ833/BZ833,0))</f>
        <v>1</v>
      </c>
      <c r="AS833" s="64" t="n">
        <f aca="false">IF(CR833&gt;0,CR833*MAX(1,AQ833/X833),IF(CA833=1,IF(AQ833&lt;=0,0,CE833*MAX(1,IF(H833&gt;0,AQ833/H833,1))),IF(R833&gt;0,AR833/R833,0))/MAX(0.1,N(Parameter!$M$21)))</f>
        <v>0.0384615384615385</v>
      </c>
      <c r="AT833" s="62" t="n">
        <f aca="false">AS833*CC833</f>
        <v>5.96153846153846</v>
      </c>
      <c r="AU833" s="63" t="n">
        <f aca="false">IF(LEFT(Cockpit!$I$5,1)="A",H833,IF(CI833=1,(CL833+CJ833)/2,IF(LEFT(Cockpit!$I$5,1)="B",(CL833+AW833)/2,MAX((CL833+AW833)/2,H833))))</f>
        <v>2.5</v>
      </c>
      <c r="AV833" s="62" t="n">
        <f aca="false">AU833*G833</f>
        <v>9.775</v>
      </c>
      <c r="AW833" s="62" t="n">
        <f aca="false">ROUNDUP(CL833+MAX(CM833,2*(J833/IF(CH833&gt;0,CH833,MAX(0.1,N(Cockpit!$I$6)))-CL833)),0)</f>
        <v>5</v>
      </c>
      <c r="AX833" s="63" t="n">
        <f aca="false">IF(AT833&gt;0,J833/AT833,-1)</f>
        <v>0.838709677419355</v>
      </c>
      <c r="AY833" s="63" t="n">
        <f aca="false">IF(AND(OR(CG833="L1",CG833="L23",CG833="LIFT"),AT833&gt;0),SUMIFS($AT$7:$AT$1843,$CG$7:$CG$1843,CG833,$AX$7:$AX$1843,"&gt;"&amp;AX833)+SUMIFS($AT$7:$AT$1843,$CG$7:$CG$1843,CG833,$AX$7:$AX$1843,AX833,$BX$7:$BX$1843,"&lt;="&amp;BX833),"")</f>
        <v>9640.10347985348</v>
      </c>
      <c r="AZ833" s="70" t="n">
        <f aca="false">IF(AY833="",0,MAX(0,MIN(1,(IF(CG833="L1",Parameter!$H$5,IF(CG833="L23",Parameter!$H$6+Parameter!$H$7,Parameter!$H$5+Parameter!$H$6+Parameter!$H$7))-(AY833-AT833))/AT833)))</f>
        <v>1</v>
      </c>
      <c r="BA833" s="62" t="n">
        <f aca="false">IF(LEFT(Cockpit!$O$5,1)="A",H833,IF(Parameter!$E$30="MAX-Bestand",IF(CI833=1,CJ833,IF(LEFT(Cockpit!$O$5,1)="B",BG833,MAX(BG833,H833))),ROUNDUP(BE833,0)))</f>
        <v>3</v>
      </c>
      <c r="BB833" s="62" t="n">
        <f aca="false">IF(CA833=1,0,ROUNDUP(BA833/BZ833,0))</f>
        <v>1</v>
      </c>
      <c r="BC833" s="64" t="n">
        <f aca="false">IF(CR833&gt;0,CR833*MAX(1,BA833/X833),IF(CA833=1,IF(BA833&lt;=0,0,CE833*MAX(1,IF(H833&gt;0,BA833/H833,1))),IF(R833&gt;0,BB833/R833,0))/MAX(0.1,N(Parameter!$M$21)))</f>
        <v>0.0384615384615385</v>
      </c>
      <c r="BD833" s="62" t="n">
        <f aca="false">BC833*CC833</f>
        <v>5.96153846153846</v>
      </c>
      <c r="BE833" s="63" t="n">
        <f aca="false">IF(LEFT(Cockpit!$O$5,1)="A",H833,IF(CI833=1,(CL833+CJ833)/2,IF(LEFT(Cockpit!$O$5,1)="B",(CL833+BG833)/2,MAX((CL833+BG833)/2,H833))))</f>
        <v>2.5</v>
      </c>
      <c r="BF833" s="62" t="n">
        <f aca="false">BE833*G833</f>
        <v>9.775</v>
      </c>
      <c r="BG833" s="62" t="n">
        <f aca="false">ROUNDUP(CL833+MAX(CM833,2*(J833/IF(CH833&gt;0,CH833,MAX(0.1,N(Cockpit!$O$6)))-CL833)),0)</f>
        <v>5</v>
      </c>
      <c r="BH833" s="63" t="n">
        <f aca="false">IF(BD833&gt;0,J833/BD833,-1)</f>
        <v>0.838709677419355</v>
      </c>
      <c r="BI833" s="63" t="n">
        <f aca="false">IF(AND(OR(CG833="L1",CG833="L23",CG833="LIFT"),BD833&gt;0),SUMIFS($BD$7:$BD$1843,$CG$7:$CG$1843,CG833,$BH$7:$BH$1843,"&gt;"&amp;BH833)+SUMIFS($BD$7:$BD$1843,$CG$7:$CG$1843,CG833,$BH$7:$BH$1843,BH833,$BX$7:$BX$1843,"&lt;="&amp;BX833),"")</f>
        <v>8601.17994505494</v>
      </c>
      <c r="BJ833" s="70" t="n">
        <f aca="false">IF(BI833="",0,MAX(0,MIN(1,(IF(CG833="L1",Parameter!$H$5,IF(CG833="L23",Parameter!$H$6+Parameter!$H$7,Parameter!$H$5+Parameter!$H$6+Parameter!$H$7))-(BI833-BD833))/BD833)))</f>
        <v>1</v>
      </c>
      <c r="BK833" s="60" t="str">
        <f aca="false">IF(AJ833&lt;=0,"",IF(CG833="Aussen","Aussenlager",IF(CG833="-","Nicht im Lift",IF(AP833&gt;=1,"Lift",IF(AP833&lt;=0,"Aussenlager","teilweise")))))</f>
        <v>Lift</v>
      </c>
      <c r="BL833" s="60" t="str">
        <f aca="false">IF(AT833&lt;=0,"",IF(CG833="Aussen","Aussenlager",IF(CG833="-","Nicht im Lift",IF(AZ833&gt;=1,"Lift",IF(AZ833&lt;=0,"Aussenlager","teilweise")))))</f>
        <v>Lift</v>
      </c>
      <c r="BM833" s="60" t="str">
        <f aca="false">IF(BD833&lt;=0,"",IF(CG833="Aussen","Aussenlager",IF(CG833="-","Nicht im Lift",IF(BJ833&gt;=1,"Lift",IF(BJ833&lt;=0,"Aussenlager","teilweise")))))</f>
        <v>Lift</v>
      </c>
      <c r="BN833" s="60" t="str">
        <f aca="false">IF(A833="","",IF(BW833=1,"Neu; ","")&amp;IF(AND(BW833=0,BR833&lt;0),"negativer Bestand (Export "&amp;BR833&amp;"); ","")&amp;IF(J833&lt;=0,"Kein Verbrauch; ","")&amp;IF(CR833&gt;0,"Lift "&amp;W833&amp;" lt. Liftbericht (Fach "&amp;X833&amp;" Stk); ",IF(CB833=1,"Gebinde geschätzt ("&amp;T833&amp;"); ",IF(CA833=1,"Lose – Tablare geschätzt; ","")))&amp;IF(H833&gt;AW833,"Überbestand "&amp;ROUND(H833-AW833,0)&amp;" Stk / CHF "&amp;ROUND((H833-AW833)*G833,0)&amp;"; ","")&amp;IF(AND(CI833=1,CJ833&lt;CK833),"MAX &lt; MB+LG; ","")&amp;IF(AND(CQ833&gt;0,CP833*10&gt;CQ833),"zu hoch für Tablar; ","")&amp;IF(AND(BW833=0,OR(CI833=1,AB833&lt;&gt;"",U833&lt;&gt;"",V833&lt;&gt;"",AC833&lt;&gt;"")),"manuell übersteuert; ","")&amp;IF(AND(CA833=0,R833=0),"Gebinde unbekannt / Stellmass fehlt; ","")&amp;IF(AND(CA833=0,N(V833)&lt;=0,N(Q833)&lt;=0),"Menge pro Gebinde fehlt (Ist = 1 Gebinde); ","")&amp;BV833)</f>
        <v>Gebinde geschätzt (Klein); Menge pro Gebinde fehlt (Ist = 1 Gebinde); </v>
      </c>
      <c r="BO833" s="60"/>
      <c r="BP833" s="60"/>
      <c r="BQ833" s="67"/>
      <c r="BR833" s="62" t="n">
        <v>0</v>
      </c>
      <c r="BS833" s="62" t="n">
        <v>2</v>
      </c>
      <c r="BT833" s="61" t="n">
        <v>-11.26</v>
      </c>
      <c r="BU833" s="62" t="n">
        <v>5</v>
      </c>
      <c r="BV833" s="60"/>
      <c r="BW833" s="65" t="n">
        <v>0</v>
      </c>
      <c r="BX833" s="65" t="n">
        <v>833</v>
      </c>
      <c r="BY833" s="60" t="str">
        <f aca="false">IF(U833&lt;&gt;"",UPPER(TRIM(U833)),IF(CB833=1,UPPER(VLOOKUP(T833,Parameter!$I$27:$K$29,2,0)),IF(P833="","LOSE",P833)))</f>
        <v>S51</v>
      </c>
      <c r="BZ833" s="62" t="n">
        <f aca="false">IF(BY833="LOSE",1,IF(N(V833)&gt;0,V833,IF(CB833=1,MAX(1,N(VLOOKUP(T833,Parameter!$I$27:$K$29,3,0)),H833,N(N833)),IF(N(Q833)&gt;0,Q833,MAX(1,H833)))))</f>
        <v>20</v>
      </c>
      <c r="CA833" s="65" t="n">
        <f aca="false">IF(BY833="LOSE",1,0)</f>
        <v>0</v>
      </c>
      <c r="CB833" s="65" t="n">
        <f aca="false">IF(AND(U833="",OR(P833="",P833="LOSE"),T833&lt;&gt;"",N(S833)&lt;=0,ISNUMBER(MATCH(T833,Parameter!$I$27:$I$29,0))),1,0)</f>
        <v>1</v>
      </c>
      <c r="CC833" s="65" t="n">
        <f aca="false">IF(CR833&gt;0,INDEX(Parameter!$H$5:$H$7,W833)/INDEX(Parameter!$E$5:$E$7,W833),IF(AND(CA833=0,N(IFERROR(VLOOKUP(BY833,'Gebinde-Kategorie'!$A$5:$N$45,14,0),0))&gt;0),VLOOKUP(BY833,'Gebinde-Kategorie'!$A$5:$N$45,14,0)*10+Parameter!$M$23,Parameter!$M$24))</f>
        <v>155</v>
      </c>
      <c r="CD833" s="60" t="str">
        <f aca="false">IF(AND(Parameter!$B$19="Ja",E833&lt;&gt;"",ISNUMBER(MATCH(E833,Parameter!$I$35:$I$52,0))),VLOOKUP(E833,Parameter!$I$35:$J$52,2,0),IFERROR(VLOOKUP(D833,Parameter!$A$35:$C$64,2,0),"Nein"))</f>
        <v>2+3</v>
      </c>
      <c r="CE833" s="64" t="n">
        <f aca="false">IF(CA833=0,0,IF(N(S833)&gt;0,S833,IFERROR(VLOOKUP(D833,Parameter!$A$35:$C$64,3,0)+0,0)))</f>
        <v>0</v>
      </c>
      <c r="CF833" s="60" t="n">
        <f aca="false">IF(AB833&lt;&gt;"",AB833,AA833)</f>
        <v>3</v>
      </c>
      <c r="CG833" s="60" t="str">
        <f aca="false">IF(OR(CF833=1,CF833=2,CF833=3),IF(Parameter!$E$27="Ja","LIFT",IF(CF833=1,"L1","L23")),IF(CF833="Aussen","Aussen","-"))</f>
        <v>LIFT</v>
      </c>
      <c r="CH833" s="71" t="n">
        <f aca="false">IF(N(AC833)&gt;0,AC833,0)</f>
        <v>0</v>
      </c>
      <c r="CI833" s="65" t="n">
        <f aca="false">IF(ISNUMBER(AF833),1,0)</f>
        <v>0</v>
      </c>
      <c r="CJ833" s="62" t="n">
        <f aca="false">N(AF833)</f>
        <v>0</v>
      </c>
      <c r="CK833" s="62" t="n">
        <f aca="false">N(M833)+N(N833)</f>
        <v>5</v>
      </c>
      <c r="CL833" s="62" t="n">
        <f aca="false">N(M833)</f>
        <v>0</v>
      </c>
      <c r="CM833" s="62" t="n">
        <f aca="false">N(N833)</f>
        <v>5</v>
      </c>
      <c r="CN833" s="62" t="n">
        <f aca="false">ROUNDUP(H833/BZ833,0)</f>
        <v>1</v>
      </c>
      <c r="CO833" s="62" t="n">
        <f aca="false">ROUNDUP(CJ833/BZ833,0)</f>
        <v>0</v>
      </c>
      <c r="CP833" s="65" t="n">
        <f aca="false">IF(CA833=1,0,IFERROR(VLOOKUP(BY833,'Gebinde-Kategorie'!$A$5:$N$45,5,0)+0,0))</f>
        <v>11</v>
      </c>
      <c r="CQ833" s="65" t="n">
        <f aca="false">IFERROR(IF(OR(CF833=1,CF833=2,CF833=3),N(INDEX(Parameter!$I$5:$I$7,CF833)),0),0)</f>
        <v>0</v>
      </c>
      <c r="CR833" s="64" t="n">
        <f aca="false">IF(AND(Parameter!$B$21="Ja",ISNUMBER(W833),N(X833)&gt;0),IFERROR(N(INDEX(Parameter!$L$5:$L$7,W833))*INDEX(Parameter!$E$5:$E$7,W833)*X833/SUMIFS($X$7:$X$1843,$W$7:$W$1843,W833),0),0)</f>
        <v>0</v>
      </c>
      <c r="CS833" s="62" t="n">
        <f aca="false">IF(AND(OR(CG833="L1",CG833="L23",CG833="LIFT"),H833&gt;0),CC833*IF(CR833&gt;0,CR833*MAX(1,H833/X833),IF(CA833=1,CE833,IF(R833&gt;0,CN833/R833,0))/MAX(0.1,N(Parameter!$M$21))),"")</f>
        <v>5.96153846153846</v>
      </c>
      <c r="CT833" s="64" t="n">
        <f aca="false">IF(CS833="","",J833/H833)</f>
        <v>2.5</v>
      </c>
      <c r="CU833" s="62" t="n">
        <f aca="false">IF(CS833="","",H833*G833)</f>
        <v>7.82</v>
      </c>
      <c r="CV833" s="63" t="n">
        <f aca="false">IF(CS833="","",(CL833+ROUNDUP(CL833+MAX(CM833,2*(J833/MAX(0.1,N(Einkauf!$C$6))-CL833)),0))/2)</f>
        <v>2.5</v>
      </c>
      <c r="CW833" s="62" t="n">
        <f aca="false">IF(CS833="","",MAX(0,H833-CV833)*G833)</f>
        <v>0</v>
      </c>
      <c r="CX833" s="62" t="n">
        <f aca="false">IF(CS833="","",CS833*MAX(0,1-CV833/H833))</f>
        <v>0</v>
      </c>
      <c r="CY833" s="64" t="n">
        <f aca="false">IF(CS833="","",PERCENTRANK($CS$7:$CS$1843,CS833)+PERCENTRANK($CU$7:$CU$1843,CU833)+1-PERCENTRANK($CT$7:$CT$1843,CT833))</f>
        <v>0.5406</v>
      </c>
      <c r="CZ833" s="72" t="n">
        <f aca="false">IF(CS833="","",CHOOSE(MATCH(Einkauf!$C$5,Parameter!$G$23:$G$27,0),CY833,CS833,CU833,-CT833,CW833)+ROW()/1000000000)</f>
        <v>0.540600833</v>
      </c>
    </row>
    <row r="834" customFormat="false" ht="15" hidden="false" customHeight="false" outlineLevel="0" collapsed="false">
      <c r="A834" s="60" t="s">
        <v>1645</v>
      </c>
      <c r="B834" s="60" t="s">
        <v>766</v>
      </c>
      <c r="C834" s="60" t="s">
        <v>206</v>
      </c>
      <c r="D834" s="60" t="s">
        <v>226</v>
      </c>
      <c r="E834" s="60" t="s">
        <v>227</v>
      </c>
      <c r="F834" s="60" t="s">
        <v>260</v>
      </c>
      <c r="G834" s="61" t="n">
        <v>11.59</v>
      </c>
      <c r="H834" s="62" t="n">
        <f aca="false">MAX(0,IF(AND(Parameter!$B$21="Ja",ISNUMBER(Y834)),Y834,IF(Parameter!$B$20="Jahresanfang 2025 + Export",BS834+BR834,BR834)))</f>
        <v>10</v>
      </c>
      <c r="I834" s="62" t="n">
        <f aca="false">H834*G834</f>
        <v>115.9</v>
      </c>
      <c r="J834" s="62" t="n">
        <f aca="false">BU834*Parameter!$B$18</f>
        <v>0</v>
      </c>
      <c r="K834" s="63" t="n">
        <v>10.5</v>
      </c>
      <c r="L834" s="64" t="n">
        <v>0</v>
      </c>
      <c r="M834" s="62" t="n">
        <v>0</v>
      </c>
      <c r="N834" s="62" t="n">
        <v>1</v>
      </c>
      <c r="O834" s="65" t="n">
        <v>14</v>
      </c>
      <c r="P834" s="60" t="s">
        <v>443</v>
      </c>
      <c r="Q834" s="62" t="n">
        <v>11</v>
      </c>
      <c r="R834" s="65" t="n">
        <f aca="false">IF(CA834=1,0,IFERROR(VLOOKUP(BY834,'Gebinde-Kategorie'!$A$5:$N$45,13,0)+0,0))</f>
        <v>280</v>
      </c>
      <c r="S834" s="66"/>
      <c r="T834" s="67"/>
      <c r="U834" s="67"/>
      <c r="V834" s="67"/>
      <c r="W834" s="60"/>
      <c r="X834" s="62"/>
      <c r="Y834" s="62"/>
      <c r="Z834" s="60" t="n">
        <v>2</v>
      </c>
      <c r="AA834" s="60" t="n">
        <f aca="false">IF(A834="","",IF(AND(Parameter!$B$21="Ja",ISNUMBER(W834)),W834,IF(AND(Parameter!$E$27="Ja",ISNUMBER(Z834),CD834&lt;&gt;"Nein"),Z834,IF(CD834="2+3",IF(ISNUMBER(SEARCH("grosser Artikel",BV834)),2,IFERROR(VLOOKUP(BY834,Parameter!$F$35:$G$64,2,0),2)),IF(OR(CD834="Nein",CD834=""),"-",CD834)))))</f>
        <v>2</v>
      </c>
      <c r="AB834" s="67"/>
      <c r="AC834" s="68"/>
      <c r="AD834" s="62" t="n">
        <f aca="false">AW834</f>
        <v>1</v>
      </c>
      <c r="AE834" s="62" t="n">
        <f aca="false">MAX(AW834,H834)</f>
        <v>10</v>
      </c>
      <c r="AF834" s="69"/>
      <c r="AG834" s="62" t="n">
        <f aca="false">IF(LEFT(Cockpit!$C$5,1)="A",H834,IF(Parameter!$E$30="MAX-Bestand",IF(CI834=1,CJ834,IF(LEFT(Cockpit!$C$5,1)="B",AM834,MAX(AM834,H834))),ROUNDUP(AK834,0)))</f>
        <v>10</v>
      </c>
      <c r="AH834" s="62" t="n">
        <f aca="false">IF(CA834=1,0,ROUNDUP(AG834/BZ834,0))</f>
        <v>1</v>
      </c>
      <c r="AI834" s="64" t="n">
        <f aca="false">IF(CR834&gt;0,CR834*MAX(1,AG834/X834),IF(CA834=1,IF(AG834&lt;=0,0,CE834*MAX(1,IF(H834&gt;0,AG834/H834,1))),IF(R834&gt;0,AH834/R834,0))/MAX(0.1,N(Parameter!$M$21)))</f>
        <v>0.00357142857142857</v>
      </c>
      <c r="AJ834" s="62" t="n">
        <f aca="false">AI834*CC834</f>
        <v>0.553571428571429</v>
      </c>
      <c r="AK834" s="63" t="n">
        <f aca="false">IF(LEFT(Cockpit!$C$5,1)="A",H834,IF(CI834=1,(CL834+CJ834)/2,IF(LEFT(Cockpit!$C$5,1)="B",(CL834+AM834)/2,MAX((CL834+AM834)/2,H834))))</f>
        <v>10</v>
      </c>
      <c r="AL834" s="62" t="n">
        <f aca="false">AK834*G834</f>
        <v>115.9</v>
      </c>
      <c r="AM834" s="62" t="n">
        <f aca="false">ROUNDUP(CL834+MAX(CM834,2*(J834/IF(CH834&gt;0,CH834,MAX(0.1,N(Cockpit!$C$6)))-CL834)),0)</f>
        <v>1</v>
      </c>
      <c r="AN834" s="63" t="n">
        <f aca="false">IF(AJ834&gt;0,J834/AJ834,-1)</f>
        <v>0</v>
      </c>
      <c r="AO834" s="63" t="n">
        <f aca="false">IF(AND(OR(CG834="L1",CG834="L23",CG834="LIFT"),AJ834&gt;0),SUMIFS($AJ$7:$AJ$1843,$CG$7:$CG$1843,CG834,$AN$7:$AN$1843,"&gt;"&amp;AN834)+SUMIFS($AJ$7:$AJ$1843,$CG$7:$CG$1843,CG834,$AN$7:$AN$1843,AN834,$BX$7:$BX$1843,"&lt;="&amp;BX834),"")</f>
        <v>28787.2295637508</v>
      </c>
      <c r="AP834" s="70" t="n">
        <f aca="false">IF(AO834="",0,MAX(0,MIN(1,(IF(CG834="L1",Parameter!$H$5,IF(CG834="L23",Parameter!$H$6+Parameter!$H$7,Parameter!$H$5+Parameter!$H$6+Parameter!$H$7))-(AO834-AJ834))/AJ834)))</f>
        <v>1</v>
      </c>
      <c r="AQ834" s="62" t="n">
        <f aca="false">IF(LEFT(Cockpit!$I$5,1)="A",H834,IF(Parameter!$E$30="MAX-Bestand",IF(CI834=1,CJ834,IF(LEFT(Cockpit!$I$5,1)="B",AW834,MAX(AW834,H834))),ROUNDUP(AU834,0)))</f>
        <v>10</v>
      </c>
      <c r="AR834" s="62" t="n">
        <f aca="false">IF(CA834=1,0,ROUNDUP(AQ834/BZ834,0))</f>
        <v>1</v>
      </c>
      <c r="AS834" s="64" t="n">
        <f aca="false">IF(CR834&gt;0,CR834*MAX(1,AQ834/X834),IF(CA834=1,IF(AQ834&lt;=0,0,CE834*MAX(1,IF(H834&gt;0,AQ834/H834,1))),IF(R834&gt;0,AR834/R834,0))/MAX(0.1,N(Parameter!$M$21)))</f>
        <v>0.00357142857142857</v>
      </c>
      <c r="AT834" s="62" t="n">
        <f aca="false">AS834*CC834</f>
        <v>0.553571428571429</v>
      </c>
      <c r="AU834" s="63" t="n">
        <f aca="false">IF(LEFT(Cockpit!$I$5,1)="A",H834,IF(CI834=1,(CL834+CJ834)/2,IF(LEFT(Cockpit!$I$5,1)="B",(CL834+AW834)/2,MAX((CL834+AW834)/2,H834))))</f>
        <v>10</v>
      </c>
      <c r="AV834" s="62" t="n">
        <f aca="false">AU834*G834</f>
        <v>115.9</v>
      </c>
      <c r="AW834" s="62" t="n">
        <f aca="false">ROUNDUP(CL834+MAX(CM834,2*(J834/IF(CH834&gt;0,CH834,MAX(0.1,N(Cockpit!$I$6)))-CL834)),0)</f>
        <v>1</v>
      </c>
      <c r="AX834" s="63" t="n">
        <f aca="false">IF(AT834&gt;0,J834/AT834,-1)</f>
        <v>0</v>
      </c>
      <c r="AY834" s="63" t="n">
        <f aca="false">IF(AND(OR(CG834="L1",CG834="L23",CG834="LIFT"),AT834&gt;0),SUMIFS($AT$7:$AT$1843,$CG$7:$CG$1843,CG834,$AX$7:$AX$1843,"&gt;"&amp;AX834)+SUMIFS($AT$7:$AT$1843,$CG$7:$CG$1843,CG834,$AX$7:$AX$1843,AX834,$BX$7:$BX$1843,"&lt;="&amp;BX834),"")</f>
        <v>34407.4702380952</v>
      </c>
      <c r="AZ834" s="70" t="n">
        <f aca="false">IF(AY834="",0,MAX(0,MIN(1,(IF(CG834="L1",Parameter!$H$5,IF(CG834="L23",Parameter!$H$6+Parameter!$H$7,Parameter!$H$5+Parameter!$H$6+Parameter!$H$7))-(AY834-AT834))/AT834)))</f>
        <v>1</v>
      </c>
      <c r="BA834" s="62" t="n">
        <f aca="false">IF(LEFT(Cockpit!$O$5,1)="A",H834,IF(Parameter!$E$30="MAX-Bestand",IF(CI834=1,CJ834,IF(LEFT(Cockpit!$O$5,1)="B",BG834,MAX(BG834,H834))),ROUNDUP(BE834,0)))</f>
        <v>1</v>
      </c>
      <c r="BB834" s="62" t="n">
        <f aca="false">IF(CA834=1,0,ROUNDUP(BA834/BZ834,0))</f>
        <v>1</v>
      </c>
      <c r="BC834" s="64" t="n">
        <f aca="false">IF(CR834&gt;0,CR834*MAX(1,BA834/X834),IF(CA834=1,IF(BA834&lt;=0,0,CE834*MAX(1,IF(H834&gt;0,BA834/H834,1))),IF(R834&gt;0,BB834/R834,0))/MAX(0.1,N(Parameter!$M$21)))</f>
        <v>0.00357142857142857</v>
      </c>
      <c r="BD834" s="62" t="n">
        <f aca="false">BC834*CC834</f>
        <v>0.553571428571429</v>
      </c>
      <c r="BE834" s="63" t="n">
        <f aca="false">IF(LEFT(Cockpit!$O$5,1)="A",H834,IF(CI834=1,(CL834+CJ834)/2,IF(LEFT(Cockpit!$O$5,1)="B",(CL834+BG834)/2,MAX((CL834+BG834)/2,H834))))</f>
        <v>0.5</v>
      </c>
      <c r="BF834" s="62" t="n">
        <f aca="false">BE834*G834</f>
        <v>5.795</v>
      </c>
      <c r="BG834" s="62" t="n">
        <f aca="false">ROUNDUP(CL834+MAX(CM834,2*(J834/IF(CH834&gt;0,CH834,MAX(0.1,N(Cockpit!$O$6)))-CL834)),0)</f>
        <v>1</v>
      </c>
      <c r="BH834" s="63" t="n">
        <f aca="false">IF(BD834&gt;0,J834/BD834,-1)</f>
        <v>0</v>
      </c>
      <c r="BI834" s="63" t="n">
        <f aca="false">IF(AND(OR(CG834="L1",CG834="L23",CG834="LIFT"),BD834&gt;0),SUMIFS($BD$7:$BD$1843,$CG$7:$CG$1843,CG834,$BH$7:$BH$1843,"&gt;"&amp;BH834)+SUMIFS($BD$7:$BD$1843,$CG$7:$CG$1843,CG834,$BH$7:$BH$1843,BH834,$BX$7:$BX$1843,"&lt;="&amp;BX834),"")</f>
        <v>28447.2521729683</v>
      </c>
      <c r="BJ834" s="70" t="n">
        <f aca="false">IF(BI834="",0,MAX(0,MIN(1,(IF(CG834="L1",Parameter!$H$5,IF(CG834="L23",Parameter!$H$6+Parameter!$H$7,Parameter!$H$5+Parameter!$H$6+Parameter!$H$7))-(BI834-BD834))/BD834)))</f>
        <v>1</v>
      </c>
      <c r="BK834" s="60" t="str">
        <f aca="false">IF(AJ834&lt;=0,"",IF(CG834="Aussen","Aussenlager",IF(CG834="-","Nicht im Lift",IF(AP834&gt;=1,"Lift",IF(AP834&lt;=0,"Aussenlager","teilweise")))))</f>
        <v>Lift</v>
      </c>
      <c r="BL834" s="60" t="str">
        <f aca="false">IF(AT834&lt;=0,"",IF(CG834="Aussen","Aussenlager",IF(CG834="-","Nicht im Lift",IF(AZ834&gt;=1,"Lift",IF(AZ834&lt;=0,"Aussenlager","teilweise")))))</f>
        <v>Lift</v>
      </c>
      <c r="BM834" s="60" t="str">
        <f aca="false">IF(BD834&lt;=0,"",IF(CG834="Aussen","Aussenlager",IF(CG834="-","Nicht im Lift",IF(BJ834&gt;=1,"Lift",IF(BJ834&lt;=0,"Aussenlager","teilweise")))))</f>
        <v>Lift</v>
      </c>
      <c r="BN834" s="60" t="str">
        <f aca="false">IF(A834="","",IF(BW834=1,"Neu; ","")&amp;IF(AND(BW834=0,BR834&lt;0),"negativer Bestand (Export "&amp;BR834&amp;"); ","")&amp;IF(J834&lt;=0,"Kein Verbrauch; ","")&amp;IF(CR834&gt;0,"Lift "&amp;W834&amp;" lt. Liftbericht (Fach "&amp;X834&amp;" Stk); ",IF(CB834=1,"Gebinde geschätzt ("&amp;T834&amp;"); ",IF(CA834=1,"Lose – Tablare geschätzt; ","")))&amp;IF(H834&gt;AW834,"Überbestand "&amp;ROUND(H834-AW834,0)&amp;" Stk / CHF "&amp;ROUND((H834-AW834)*G834,0)&amp;"; ","")&amp;IF(AND(CI834=1,CJ834&lt;CK834),"MAX &lt; MB+LG; ","")&amp;IF(AND(CQ834&gt;0,CP834*10&gt;CQ834),"zu hoch für Tablar; ","")&amp;IF(AND(BW834=0,OR(CI834=1,AB834&lt;&gt;"",U834&lt;&gt;"",V834&lt;&gt;"",AC834&lt;&gt;"")),"manuell übersteuert; ","")&amp;IF(AND(CA834=0,R834=0),"Gebinde unbekannt / Stellmass fehlt; ","")&amp;IF(AND(CA834=0,N(V834)&lt;=0,N(Q834)&lt;=0),"Menge pro Gebinde fehlt (Ist = 1 Gebinde); ","")&amp;BV834)</f>
        <v>negativer Bestand (Export -1); Kein Verbrauch; Überbestand 9 Stk / CHF 104; Neu</v>
      </c>
      <c r="BO834" s="60"/>
      <c r="BP834" s="60"/>
      <c r="BQ834" s="67"/>
      <c r="BR834" s="62" t="n">
        <v>-1</v>
      </c>
      <c r="BS834" s="62" t="n">
        <v>11</v>
      </c>
      <c r="BT834" s="61" t="n">
        <v>-11.59</v>
      </c>
      <c r="BU834" s="62" t="n">
        <v>0</v>
      </c>
      <c r="BV834" s="60" t="s">
        <v>668</v>
      </c>
      <c r="BW834" s="65" t="n">
        <v>0</v>
      </c>
      <c r="BX834" s="65" t="n">
        <v>834</v>
      </c>
      <c r="BY834" s="60" t="str">
        <f aca="false">IF(U834&lt;&gt;"",UPPER(TRIM(U834)),IF(CB834=1,UPPER(VLOOKUP(T834,Parameter!$I$27:$K$29,2,0)),IF(P834="","LOSE",P834)))</f>
        <v>S21</v>
      </c>
      <c r="BZ834" s="62" t="n">
        <f aca="false">IF(BY834="LOSE",1,IF(N(V834)&gt;0,V834,IF(CB834=1,MAX(1,N(VLOOKUP(T834,Parameter!$I$27:$K$29,3,0)),H834,N(N834)),IF(N(Q834)&gt;0,Q834,MAX(1,H834)))))</f>
        <v>11</v>
      </c>
      <c r="CA834" s="65" t="n">
        <f aca="false">IF(BY834="LOSE",1,0)</f>
        <v>0</v>
      </c>
      <c r="CB834" s="65" t="n">
        <f aca="false">IF(AND(U834="",OR(P834="",P834="LOSE"),T834&lt;&gt;"",N(S834)&lt;=0,ISNUMBER(MATCH(T834,Parameter!$I$27:$I$29,0))),1,0)</f>
        <v>0</v>
      </c>
      <c r="CC834" s="65" t="n">
        <f aca="false">IF(CR834&gt;0,INDEX(Parameter!$H$5:$H$7,W834)/INDEX(Parameter!$E$5:$E$7,W834),IF(AND(CA834=0,N(IFERROR(VLOOKUP(BY834,'Gebinde-Kategorie'!$A$5:$N$45,14,0),0))&gt;0),VLOOKUP(BY834,'Gebinde-Kategorie'!$A$5:$N$45,14,0)*10+Parameter!$M$23,Parameter!$M$24))</f>
        <v>155</v>
      </c>
      <c r="CD834" s="60" t="str">
        <f aca="false">IF(AND(Parameter!$B$19="Ja",E834&lt;&gt;"",ISNUMBER(MATCH(E834,Parameter!$I$35:$I$52,0))),VLOOKUP(E834,Parameter!$I$35:$J$52,2,0),IFERROR(VLOOKUP(D834,Parameter!$A$35:$C$64,2,0),"Nein"))</f>
        <v>2+3</v>
      </c>
      <c r="CE834" s="64" t="n">
        <f aca="false">IF(CA834=0,0,IF(N(S834)&gt;0,S834,IFERROR(VLOOKUP(D834,Parameter!$A$35:$C$64,3,0)+0,0)))</f>
        <v>0</v>
      </c>
      <c r="CF834" s="60" t="n">
        <f aca="false">IF(AB834&lt;&gt;"",AB834,AA834)</f>
        <v>2</v>
      </c>
      <c r="CG834" s="60" t="str">
        <f aca="false">IF(OR(CF834=1,CF834=2,CF834=3),IF(Parameter!$E$27="Ja","LIFT",IF(CF834=1,"L1","L23")),IF(CF834="Aussen","Aussen","-"))</f>
        <v>LIFT</v>
      </c>
      <c r="CH834" s="71" t="n">
        <f aca="false">IF(N(AC834)&gt;0,AC834,0)</f>
        <v>0</v>
      </c>
      <c r="CI834" s="65" t="n">
        <f aca="false">IF(ISNUMBER(AF834),1,0)</f>
        <v>0</v>
      </c>
      <c r="CJ834" s="62" t="n">
        <f aca="false">N(AF834)</f>
        <v>0</v>
      </c>
      <c r="CK834" s="62" t="n">
        <f aca="false">N(M834)+N(N834)</f>
        <v>1</v>
      </c>
      <c r="CL834" s="62" t="n">
        <f aca="false">N(M834)</f>
        <v>0</v>
      </c>
      <c r="CM834" s="62" t="n">
        <f aca="false">N(N834)</f>
        <v>1</v>
      </c>
      <c r="CN834" s="62" t="n">
        <f aca="false">ROUNDUP(H834/BZ834,0)</f>
        <v>1</v>
      </c>
      <c r="CO834" s="62" t="n">
        <f aca="false">ROUNDUP(CJ834/BZ834,0)</f>
        <v>0</v>
      </c>
      <c r="CP834" s="65" t="n">
        <f aca="false">IF(CA834=1,0,IFERROR(VLOOKUP(BY834,'Gebinde-Kategorie'!$A$5:$N$45,5,0)+0,0))</f>
        <v>8</v>
      </c>
      <c r="CQ834" s="65" t="n">
        <f aca="false">IFERROR(IF(OR(CF834=1,CF834=2,CF834=3),N(INDEX(Parameter!$I$5:$I$7,CF834)),0),0)</f>
        <v>0</v>
      </c>
      <c r="CR834" s="64" t="n">
        <f aca="false">IF(AND(Parameter!$B$21="Ja",ISNUMBER(W834),N(X834)&gt;0),IFERROR(N(INDEX(Parameter!$L$5:$L$7,W834))*INDEX(Parameter!$E$5:$E$7,W834)*X834/SUMIFS($X$7:$X$1843,$W$7:$W$1843,W834),0),0)</f>
        <v>0</v>
      </c>
      <c r="CS834" s="62" t="n">
        <f aca="false">IF(AND(OR(CG834="L1",CG834="L23",CG834="LIFT"),H834&gt;0),CC834*IF(CR834&gt;0,CR834*MAX(1,H834/X834),IF(CA834=1,CE834,IF(R834&gt;0,CN834/R834,0))/MAX(0.1,N(Parameter!$M$21))),"")</f>
        <v>0.553571428571429</v>
      </c>
      <c r="CT834" s="64" t="n">
        <f aca="false">IF(CS834="","",J834/H834)</f>
        <v>0</v>
      </c>
      <c r="CU834" s="62" t="n">
        <f aca="false">IF(CS834="","",H834*G834)</f>
        <v>115.9</v>
      </c>
      <c r="CV834" s="63" t="n">
        <f aca="false">IF(CS834="","",(CL834+ROUNDUP(CL834+MAX(CM834,2*(J834/MAX(0.1,N(Einkauf!$C$6))-CL834)),0))/2)</f>
        <v>0.5</v>
      </c>
      <c r="CW834" s="62" t="n">
        <f aca="false">IF(CS834="","",MAX(0,H834-CV834)*G834)</f>
        <v>110.105</v>
      </c>
      <c r="CX834" s="62" t="n">
        <f aca="false">IF(CS834="","",CS834*MAX(0,1-CV834/H834))</f>
        <v>0.525892857142857</v>
      </c>
      <c r="CY834" s="64" t="n">
        <f aca="false">IF(CS834="","",PERCENTRANK($CS$7:$CS$1843,CS834)+PERCENTRANK($CU$7:$CU$1843,CU834)+1-PERCENTRANK($CT$7:$CT$1843,CT834))</f>
        <v>1.255</v>
      </c>
      <c r="CZ834" s="72" t="n">
        <f aca="false">IF(CS834="","",CHOOSE(MATCH(Einkauf!$C$5,Parameter!$G$23:$G$27,0),CY834,CS834,CU834,-CT834,CW834)+ROW()/1000000000)</f>
        <v>1.255000834</v>
      </c>
    </row>
    <row r="835" customFormat="false" ht="15" hidden="false" customHeight="false" outlineLevel="0" collapsed="false">
      <c r="A835" s="60" t="s">
        <v>1646</v>
      </c>
      <c r="B835" s="60" t="s">
        <v>1647</v>
      </c>
      <c r="C835" s="60" t="s">
        <v>206</v>
      </c>
      <c r="D835" s="60" t="s">
        <v>226</v>
      </c>
      <c r="E835" s="60" t="s">
        <v>227</v>
      </c>
      <c r="F835" s="60" t="s">
        <v>260</v>
      </c>
      <c r="G835" s="61" t="n">
        <v>0.91</v>
      </c>
      <c r="H835" s="62" t="n">
        <f aca="false">MAX(0,IF(AND(Parameter!$B$21="Ja",ISNUMBER(Y835)),Y835,IF(Parameter!$B$20="Jahresanfang 2025 + Export",BS835+BR835,BR835)))</f>
        <v>26</v>
      </c>
      <c r="I835" s="62" t="n">
        <f aca="false">H835*G835</f>
        <v>23.66</v>
      </c>
      <c r="J835" s="62" t="n">
        <f aca="false">BU835*Parameter!$B$18</f>
        <v>10</v>
      </c>
      <c r="K835" s="63" t="n">
        <v>34</v>
      </c>
      <c r="L835" s="64" t="n">
        <v>0.294117647058824</v>
      </c>
      <c r="M835" s="62" t="n">
        <v>0</v>
      </c>
      <c r="N835" s="62" t="n">
        <v>10</v>
      </c>
      <c r="O835" s="65" t="n">
        <v>21</v>
      </c>
      <c r="P835" s="60" t="s">
        <v>518</v>
      </c>
      <c r="Q835" s="62" t="n">
        <v>65</v>
      </c>
      <c r="R835" s="65" t="n">
        <f aca="false">IF(CA835=1,0,IFERROR(VLOOKUP(BY835,'Gebinde-Kategorie'!$A$5:$N$45,13,0)+0,0))</f>
        <v>52</v>
      </c>
      <c r="S835" s="66"/>
      <c r="T835" s="67"/>
      <c r="U835" s="67"/>
      <c r="V835" s="67"/>
      <c r="W835" s="60"/>
      <c r="X835" s="62"/>
      <c r="Y835" s="62"/>
      <c r="Z835" s="60" t="n">
        <v>3</v>
      </c>
      <c r="AA835" s="60" t="n">
        <f aca="false">IF(A835="","",IF(AND(Parameter!$B$21="Ja",ISNUMBER(W835)),W835,IF(AND(Parameter!$E$27="Ja",ISNUMBER(Z835),CD835&lt;&gt;"Nein"),Z835,IF(CD835="2+3",IF(ISNUMBER(SEARCH("grosser Artikel",BV835)),2,IFERROR(VLOOKUP(BY835,Parameter!$F$35:$G$64,2,0),2)),IF(OR(CD835="Nein",CD835=""),"-",CD835)))))</f>
        <v>3</v>
      </c>
      <c r="AB835" s="67"/>
      <c r="AC835" s="68"/>
      <c r="AD835" s="62" t="n">
        <f aca="false">AW835</f>
        <v>10</v>
      </c>
      <c r="AE835" s="62" t="n">
        <f aca="false">MAX(AW835,H835)</f>
        <v>26</v>
      </c>
      <c r="AF835" s="69"/>
      <c r="AG835" s="62" t="n">
        <f aca="false">IF(LEFT(Cockpit!$C$5,1)="A",H835,IF(Parameter!$E$30="MAX-Bestand",IF(CI835=1,CJ835,IF(LEFT(Cockpit!$C$5,1)="B",AM835,MAX(AM835,H835))),ROUNDUP(AK835,0)))</f>
        <v>26</v>
      </c>
      <c r="AH835" s="62" t="n">
        <f aca="false">IF(CA835=1,0,ROUNDUP(AG835/BZ835,0))</f>
        <v>1</v>
      </c>
      <c r="AI835" s="64" t="n">
        <f aca="false">IF(CR835&gt;0,CR835*MAX(1,AG835/X835),IF(CA835=1,IF(AG835&lt;=0,0,CE835*MAX(1,IF(H835&gt;0,AG835/H835,1))),IF(R835&gt;0,AH835/R835,0))/MAX(0.1,N(Parameter!$M$21)))</f>
        <v>0.0192307692307692</v>
      </c>
      <c r="AJ835" s="62" t="n">
        <f aca="false">AI835*CC835</f>
        <v>2.98076923076923</v>
      </c>
      <c r="AK835" s="63" t="n">
        <f aca="false">IF(LEFT(Cockpit!$C$5,1)="A",H835,IF(CI835=1,(CL835+CJ835)/2,IF(LEFT(Cockpit!$C$5,1)="B",(CL835+AM835)/2,MAX((CL835+AM835)/2,H835))))</f>
        <v>26</v>
      </c>
      <c r="AL835" s="62" t="n">
        <f aca="false">AK835*G835</f>
        <v>23.66</v>
      </c>
      <c r="AM835" s="62" t="n">
        <f aca="false">ROUNDUP(CL835+MAX(CM835,2*(J835/IF(CH835&gt;0,CH835,MAX(0.1,N(Cockpit!$C$6)))-CL835)),0)</f>
        <v>10</v>
      </c>
      <c r="AN835" s="63" t="n">
        <f aca="false">IF(AJ835&gt;0,J835/AJ835,-1)</f>
        <v>3.35483870967742</v>
      </c>
      <c r="AO835" s="63" t="n">
        <f aca="false">IF(AND(OR(CG835="L1",CG835="L23",CG835="LIFT"),AJ835&gt;0),SUMIFS($AJ$7:$AJ$1843,$CG$7:$CG$1843,CG835,$AN$7:$AN$1843,"&gt;"&amp;AN835)+SUMIFS($AJ$7:$AJ$1843,$CG$7:$CG$1843,CG835,$AN$7:$AN$1843,AN835,$BX$7:$BX$1843,"&lt;="&amp;BX835),"")</f>
        <v>4945.15521978022</v>
      </c>
      <c r="AP835" s="70" t="n">
        <f aca="false">IF(AO835="",0,MAX(0,MIN(1,(IF(CG835="L1",Parameter!$H$5,IF(CG835="L23",Parameter!$H$6+Parameter!$H$7,Parameter!$H$5+Parameter!$H$6+Parameter!$H$7))-(AO835-AJ835))/AJ835)))</f>
        <v>1</v>
      </c>
      <c r="AQ835" s="62" t="n">
        <f aca="false">IF(LEFT(Cockpit!$I$5,1)="A",H835,IF(Parameter!$E$30="MAX-Bestand",IF(CI835=1,CJ835,IF(LEFT(Cockpit!$I$5,1)="B",AW835,MAX(AW835,H835))),ROUNDUP(AU835,0)))</f>
        <v>26</v>
      </c>
      <c r="AR835" s="62" t="n">
        <f aca="false">IF(CA835=1,0,ROUNDUP(AQ835/BZ835,0))</f>
        <v>1</v>
      </c>
      <c r="AS835" s="64" t="n">
        <f aca="false">IF(CR835&gt;0,CR835*MAX(1,AQ835/X835),IF(CA835=1,IF(AQ835&lt;=0,0,CE835*MAX(1,IF(H835&gt;0,AQ835/H835,1))),IF(R835&gt;0,AR835/R835,0))/MAX(0.1,N(Parameter!$M$21)))</f>
        <v>0.0192307692307692</v>
      </c>
      <c r="AT835" s="62" t="n">
        <f aca="false">AS835*CC835</f>
        <v>2.98076923076923</v>
      </c>
      <c r="AU835" s="63" t="n">
        <f aca="false">IF(LEFT(Cockpit!$I$5,1)="A",H835,IF(CI835=1,(CL835+CJ835)/2,IF(LEFT(Cockpit!$I$5,1)="B",(CL835+AW835)/2,MAX((CL835+AW835)/2,H835))))</f>
        <v>26</v>
      </c>
      <c r="AV835" s="62" t="n">
        <f aca="false">AU835*G835</f>
        <v>23.66</v>
      </c>
      <c r="AW835" s="62" t="n">
        <f aca="false">ROUNDUP(CL835+MAX(CM835,2*(J835/IF(CH835&gt;0,CH835,MAX(0.1,N(Cockpit!$I$6)))-CL835)),0)</f>
        <v>10</v>
      </c>
      <c r="AX835" s="63" t="n">
        <f aca="false">IF(AT835&gt;0,J835/AT835,-1)</f>
        <v>3.35483870967742</v>
      </c>
      <c r="AY835" s="63" t="n">
        <f aca="false">IF(AND(OR(CG835="L1",CG835="L23",CG835="LIFT"),AT835&gt;0),SUMIFS($AT$7:$AT$1843,$CG$7:$CG$1843,CG835,$AX$7:$AX$1843,"&gt;"&amp;AX835)+SUMIFS($AT$7:$AT$1843,$CG$7:$CG$1843,CG835,$AX$7:$AX$1843,AX835,$BX$7:$BX$1843,"&lt;="&amp;BX835),"")</f>
        <v>5608.99221611722</v>
      </c>
      <c r="AZ835" s="70" t="n">
        <f aca="false">IF(AY835="",0,MAX(0,MIN(1,(IF(CG835="L1",Parameter!$H$5,IF(CG835="L23",Parameter!$H$6+Parameter!$H$7,Parameter!$H$5+Parameter!$H$6+Parameter!$H$7))-(AY835-AT835))/AT835)))</f>
        <v>1</v>
      </c>
      <c r="BA835" s="62" t="n">
        <f aca="false">IF(LEFT(Cockpit!$O$5,1)="A",H835,IF(Parameter!$E$30="MAX-Bestand",IF(CI835=1,CJ835,IF(LEFT(Cockpit!$O$5,1)="B",BG835,MAX(BG835,H835))),ROUNDUP(BE835,0)))</f>
        <v>5</v>
      </c>
      <c r="BB835" s="62" t="n">
        <f aca="false">IF(CA835=1,0,ROUNDUP(BA835/BZ835,0))</f>
        <v>1</v>
      </c>
      <c r="BC835" s="64" t="n">
        <f aca="false">IF(CR835&gt;0,CR835*MAX(1,BA835/X835),IF(CA835=1,IF(BA835&lt;=0,0,CE835*MAX(1,IF(H835&gt;0,BA835/H835,1))),IF(R835&gt;0,BB835/R835,0))/MAX(0.1,N(Parameter!$M$21)))</f>
        <v>0.0192307692307692</v>
      </c>
      <c r="BD835" s="62" t="n">
        <f aca="false">BC835*CC835</f>
        <v>2.98076923076923</v>
      </c>
      <c r="BE835" s="63" t="n">
        <f aca="false">IF(LEFT(Cockpit!$O$5,1)="A",H835,IF(CI835=1,(CL835+CJ835)/2,IF(LEFT(Cockpit!$O$5,1)="B",(CL835+BG835)/2,MAX((CL835+BG835)/2,H835))))</f>
        <v>5</v>
      </c>
      <c r="BF835" s="62" t="n">
        <f aca="false">BE835*G835</f>
        <v>4.55</v>
      </c>
      <c r="BG835" s="62" t="n">
        <f aca="false">ROUNDUP(CL835+MAX(CM835,2*(J835/IF(CH835&gt;0,CH835,MAX(0.1,N(Cockpit!$O$6)))-CL835)),0)</f>
        <v>10</v>
      </c>
      <c r="BH835" s="63" t="n">
        <f aca="false">IF(BD835&gt;0,J835/BD835,-1)</f>
        <v>3.35483870967742</v>
      </c>
      <c r="BI835" s="63" t="n">
        <f aca="false">IF(AND(OR(CG835="L1",CG835="L23",CG835="LIFT"),BD835&gt;0),SUMIFS($BD$7:$BD$1843,$CG$7:$CG$1843,CG835,$BH$7:$BH$1843,"&gt;"&amp;BH835)+SUMIFS($BD$7:$BD$1843,$CG$7:$CG$1843,CG835,$BH$7:$BH$1843,BH835,$BX$7:$BX$1843,"&lt;="&amp;BX835),"")</f>
        <v>4589.21016483516</v>
      </c>
      <c r="BJ835" s="70" t="n">
        <f aca="false">IF(BI835="",0,MAX(0,MIN(1,(IF(CG835="L1",Parameter!$H$5,IF(CG835="L23",Parameter!$H$6+Parameter!$H$7,Parameter!$H$5+Parameter!$H$6+Parameter!$H$7))-(BI835-BD835))/BD835)))</f>
        <v>1</v>
      </c>
      <c r="BK835" s="60" t="str">
        <f aca="false">IF(AJ835&lt;=0,"",IF(CG835="Aussen","Aussenlager",IF(CG835="-","Nicht im Lift",IF(AP835&gt;=1,"Lift",IF(AP835&lt;=0,"Aussenlager","teilweise")))))</f>
        <v>Lift</v>
      </c>
      <c r="BL835" s="60" t="str">
        <f aca="false">IF(AT835&lt;=0,"",IF(CG835="Aussen","Aussenlager",IF(CG835="-","Nicht im Lift",IF(AZ835&gt;=1,"Lift",IF(AZ835&lt;=0,"Aussenlager","teilweise")))))</f>
        <v>Lift</v>
      </c>
      <c r="BM835" s="60" t="str">
        <f aca="false">IF(BD835&lt;=0,"",IF(CG835="Aussen","Aussenlager",IF(CG835="-","Nicht im Lift",IF(BJ835&gt;=1,"Lift",IF(BJ835&lt;=0,"Aussenlager","teilweise")))))</f>
        <v>Lift</v>
      </c>
      <c r="BN835" s="60" t="str">
        <f aca="false">IF(A835="","",IF(BW835=1,"Neu; ","")&amp;IF(AND(BW835=0,BR835&lt;0),"negativer Bestand (Export "&amp;BR835&amp;"); ","")&amp;IF(J835&lt;=0,"Kein Verbrauch; ","")&amp;IF(CR835&gt;0,"Lift "&amp;W835&amp;" lt. Liftbericht (Fach "&amp;X835&amp;" Stk); ",IF(CB835=1,"Gebinde geschätzt ("&amp;T835&amp;"); ",IF(CA835=1,"Lose – Tablare geschätzt; ","")))&amp;IF(H835&gt;AW835,"Überbestand "&amp;ROUND(H835-AW835,0)&amp;" Stk / CHF "&amp;ROUND((H835-AW835)*G835,0)&amp;"; ","")&amp;IF(AND(CI835=1,CJ835&lt;CK835),"MAX &lt; MB+LG; ","")&amp;IF(AND(CQ835&gt;0,CP835*10&gt;CQ835),"zu hoch für Tablar; ","")&amp;IF(AND(BW835=0,OR(CI835=1,AB835&lt;&gt;"",U835&lt;&gt;"",V835&lt;&gt;"",AC835&lt;&gt;"")),"manuell übersteuert; ","")&amp;IF(AND(CA835=0,R835=0),"Gebinde unbekannt / Stellmass fehlt; ","")&amp;IF(AND(CA835=0,N(V835)&lt;=0,N(Q835)&lt;=0),"Menge pro Gebinde fehlt (Ist = 1 Gebinde); ","")&amp;BV835)</f>
        <v>negativer Bestand (Export -13); Überbestand 16 Stk / CHF 15; Überbestand</v>
      </c>
      <c r="BO835" s="60"/>
      <c r="BP835" s="60"/>
      <c r="BQ835" s="67"/>
      <c r="BR835" s="62" t="n">
        <v>-13</v>
      </c>
      <c r="BS835" s="62" t="n">
        <v>39</v>
      </c>
      <c r="BT835" s="61" t="n">
        <v>-11.83</v>
      </c>
      <c r="BU835" s="62" t="n">
        <v>10</v>
      </c>
      <c r="BV835" s="60" t="s">
        <v>434</v>
      </c>
      <c r="BW835" s="65" t="n">
        <v>0</v>
      </c>
      <c r="BX835" s="65" t="n">
        <v>835</v>
      </c>
      <c r="BY835" s="60" t="str">
        <f aca="false">IF(U835&lt;&gt;"",UPPER(TRIM(U835)),IF(CB835=1,UPPER(VLOOKUP(T835,Parameter!$I$27:$K$29,2,0)),IF(P835="","LOSE",P835)))</f>
        <v>S33</v>
      </c>
      <c r="BZ835" s="62" t="n">
        <f aca="false">IF(BY835="LOSE",1,IF(N(V835)&gt;0,V835,IF(CB835=1,MAX(1,N(VLOOKUP(T835,Parameter!$I$27:$K$29,3,0)),H835,N(N835)),IF(N(Q835)&gt;0,Q835,MAX(1,H835)))))</f>
        <v>65</v>
      </c>
      <c r="CA835" s="65" t="n">
        <f aca="false">IF(BY835="LOSE",1,0)</f>
        <v>0</v>
      </c>
      <c r="CB835" s="65" t="n">
        <f aca="false">IF(AND(U835="",OR(P835="",P835="LOSE"),T835&lt;&gt;"",N(S835)&lt;=0,ISNUMBER(MATCH(T835,Parameter!$I$27:$I$29,0))),1,0)</f>
        <v>0</v>
      </c>
      <c r="CC835" s="65" t="n">
        <f aca="false">IF(CR835&gt;0,INDEX(Parameter!$H$5:$H$7,W835)/INDEX(Parameter!$E$5:$E$7,W835),IF(AND(CA835=0,N(IFERROR(VLOOKUP(BY835,'Gebinde-Kategorie'!$A$5:$N$45,14,0),0))&gt;0),VLOOKUP(BY835,'Gebinde-Kategorie'!$A$5:$N$45,14,0)*10+Parameter!$M$23,Parameter!$M$24))</f>
        <v>155</v>
      </c>
      <c r="CD835" s="60" t="str">
        <f aca="false">IF(AND(Parameter!$B$19="Ja",E835&lt;&gt;"",ISNUMBER(MATCH(E835,Parameter!$I$35:$I$52,0))),VLOOKUP(E835,Parameter!$I$35:$J$52,2,0),IFERROR(VLOOKUP(D835,Parameter!$A$35:$C$64,2,0),"Nein"))</f>
        <v>2+3</v>
      </c>
      <c r="CE835" s="64" t="n">
        <f aca="false">IF(CA835=0,0,IF(N(S835)&gt;0,S835,IFERROR(VLOOKUP(D835,Parameter!$A$35:$C$64,3,0)+0,0)))</f>
        <v>0</v>
      </c>
      <c r="CF835" s="60" t="n">
        <f aca="false">IF(AB835&lt;&gt;"",AB835,AA835)</f>
        <v>3</v>
      </c>
      <c r="CG835" s="60" t="str">
        <f aca="false">IF(OR(CF835=1,CF835=2,CF835=3),IF(Parameter!$E$27="Ja","LIFT",IF(CF835=1,"L1","L23")),IF(CF835="Aussen","Aussen","-"))</f>
        <v>LIFT</v>
      </c>
      <c r="CH835" s="71" t="n">
        <f aca="false">IF(N(AC835)&gt;0,AC835,0)</f>
        <v>0</v>
      </c>
      <c r="CI835" s="65" t="n">
        <f aca="false">IF(ISNUMBER(AF835),1,0)</f>
        <v>0</v>
      </c>
      <c r="CJ835" s="62" t="n">
        <f aca="false">N(AF835)</f>
        <v>0</v>
      </c>
      <c r="CK835" s="62" t="n">
        <f aca="false">N(M835)+N(N835)</f>
        <v>10</v>
      </c>
      <c r="CL835" s="62" t="n">
        <f aca="false">N(M835)</f>
        <v>0</v>
      </c>
      <c r="CM835" s="62" t="n">
        <f aca="false">N(N835)</f>
        <v>10</v>
      </c>
      <c r="CN835" s="62" t="n">
        <f aca="false">ROUNDUP(H835/BZ835,0)</f>
        <v>1</v>
      </c>
      <c r="CO835" s="62" t="n">
        <f aca="false">ROUNDUP(CJ835/BZ835,0)</f>
        <v>0</v>
      </c>
      <c r="CP835" s="65" t="n">
        <f aca="false">IF(CA835=1,0,IFERROR(VLOOKUP(BY835,'Gebinde-Kategorie'!$A$5:$N$45,5,0)+0,0))</f>
        <v>8</v>
      </c>
      <c r="CQ835" s="65" t="n">
        <f aca="false">IFERROR(IF(OR(CF835=1,CF835=2,CF835=3),N(INDEX(Parameter!$I$5:$I$7,CF835)),0),0)</f>
        <v>0</v>
      </c>
      <c r="CR835" s="64" t="n">
        <f aca="false">IF(AND(Parameter!$B$21="Ja",ISNUMBER(W835),N(X835)&gt;0),IFERROR(N(INDEX(Parameter!$L$5:$L$7,W835))*INDEX(Parameter!$E$5:$E$7,W835)*X835/SUMIFS($X$7:$X$1843,$W$7:$W$1843,W835),0),0)</f>
        <v>0</v>
      </c>
      <c r="CS835" s="62" t="n">
        <f aca="false">IF(AND(OR(CG835="L1",CG835="L23",CG835="LIFT"),H835&gt;0),CC835*IF(CR835&gt;0,CR835*MAX(1,H835/X835),IF(CA835=1,CE835,IF(R835&gt;0,CN835/R835,0))/MAX(0.1,N(Parameter!$M$21))),"")</f>
        <v>2.98076923076923</v>
      </c>
      <c r="CT835" s="64" t="n">
        <f aca="false">IF(CS835="","",J835/H835)</f>
        <v>0.384615384615385</v>
      </c>
      <c r="CU835" s="62" t="n">
        <f aca="false">IF(CS835="","",H835*G835)</f>
        <v>23.66</v>
      </c>
      <c r="CV835" s="63" t="n">
        <f aca="false">IF(CS835="","",(CL835+ROUNDUP(CL835+MAX(CM835,2*(J835/MAX(0.1,N(Einkauf!$C$6))-CL835)),0))/2)</f>
        <v>5</v>
      </c>
      <c r="CW835" s="62" t="n">
        <f aca="false">IF(CS835="","",MAX(0,H835-CV835)*G835)</f>
        <v>19.11</v>
      </c>
      <c r="CX835" s="62" t="n">
        <f aca="false">IF(CS835="","",CS835*MAX(0,1-CV835/H835))</f>
        <v>2.40754437869823</v>
      </c>
      <c r="CY835" s="64" t="n">
        <f aca="false">IF(CS835="","",PERCENTRANK($CS$7:$CS$1843,CS835)+PERCENTRANK($CU$7:$CU$1843,CU835)+1-PERCENTRANK($CT$7:$CT$1843,CT835))</f>
        <v>0.7817</v>
      </c>
      <c r="CZ835" s="72" t="n">
        <f aca="false">IF(CS835="","",CHOOSE(MATCH(Einkauf!$C$5,Parameter!$G$23:$G$27,0),CY835,CS835,CU835,-CT835,CW835)+ROW()/1000000000)</f>
        <v>0.781700835</v>
      </c>
    </row>
    <row r="836" customFormat="false" ht="15" hidden="false" customHeight="false" outlineLevel="0" collapsed="false">
      <c r="A836" s="60" t="s">
        <v>1648</v>
      </c>
      <c r="B836" s="60" t="s">
        <v>447</v>
      </c>
      <c r="C836" s="60" t="s">
        <v>206</v>
      </c>
      <c r="D836" s="60" t="s">
        <v>215</v>
      </c>
      <c r="E836" s="60" t="s">
        <v>227</v>
      </c>
      <c r="F836" s="60" t="s">
        <v>260</v>
      </c>
      <c r="G836" s="61" t="n">
        <v>2.27</v>
      </c>
      <c r="H836" s="62" t="n">
        <f aca="false">MAX(0,IF(AND(Parameter!$B$21="Ja",ISNUMBER(Y836)),Y836,IF(Parameter!$B$20="Jahresanfang 2025 + Export",BS836+BR836,BR836)))</f>
        <v>1430</v>
      </c>
      <c r="I836" s="62" t="n">
        <f aca="false">H836*G836</f>
        <v>3246.1</v>
      </c>
      <c r="J836" s="62" t="n">
        <f aca="false">BU836*Parameter!$B$18</f>
        <v>2274</v>
      </c>
      <c r="K836" s="63" t="n">
        <v>1423.5</v>
      </c>
      <c r="L836" s="64" t="n">
        <v>1.59747102212856</v>
      </c>
      <c r="M836" s="62" t="n">
        <v>140</v>
      </c>
      <c r="N836" s="62" t="n">
        <v>500</v>
      </c>
      <c r="O836" s="65" t="n">
        <v>21</v>
      </c>
      <c r="P836" s="60" t="s">
        <v>268</v>
      </c>
      <c r="Q836" s="62" t="n">
        <v>200</v>
      </c>
      <c r="R836" s="65" t="n">
        <f aca="false">IF(CA836=1,0,IFERROR(VLOOKUP(BY836,'Gebinde-Kategorie'!$A$5:$N$45,13,0)+0,0))</f>
        <v>12</v>
      </c>
      <c r="S836" s="66"/>
      <c r="T836" s="67"/>
      <c r="U836" s="67"/>
      <c r="V836" s="67"/>
      <c r="W836" s="60"/>
      <c r="X836" s="62"/>
      <c r="Y836" s="62"/>
      <c r="Z836" s="60" t="n">
        <v>3</v>
      </c>
      <c r="AA836" s="60" t="n">
        <f aca="false">IF(A836="","",IF(AND(Parameter!$B$21="Ja",ISNUMBER(W836)),W836,IF(AND(Parameter!$E$27="Ja",ISNUMBER(Z836),CD836&lt;&gt;"Nein"),Z836,IF(CD836="2+3",IF(ISNUMBER(SEARCH("grosser Artikel",BV836)),2,IFERROR(VLOOKUP(BY836,Parameter!$F$35:$G$64,2,0),2)),IF(OR(CD836="Nein",CD836=""),"-",CD836)))))</f>
        <v>3</v>
      </c>
      <c r="AB836" s="67"/>
      <c r="AC836" s="68"/>
      <c r="AD836" s="62" t="n">
        <f aca="false">AW836</f>
        <v>1376</v>
      </c>
      <c r="AE836" s="62" t="n">
        <f aca="false">MAX(AW836,H836)</f>
        <v>1430</v>
      </c>
      <c r="AF836" s="69"/>
      <c r="AG836" s="62" t="n">
        <f aca="false">IF(LEFT(Cockpit!$C$5,1)="A",H836,IF(Parameter!$E$30="MAX-Bestand",IF(CI836=1,CJ836,IF(LEFT(Cockpit!$C$5,1)="B",AM836,MAX(AM836,H836))),ROUNDUP(AK836,0)))</f>
        <v>1430</v>
      </c>
      <c r="AH836" s="62" t="n">
        <f aca="false">IF(CA836=1,0,ROUNDUP(AG836/BZ836,0))</f>
        <v>8</v>
      </c>
      <c r="AI836" s="64" t="n">
        <f aca="false">IF(CR836&gt;0,CR836*MAX(1,AG836/X836),IF(CA836=1,IF(AG836&lt;=0,0,CE836*MAX(1,IF(H836&gt;0,AG836/H836,1))),IF(R836&gt;0,AH836/R836,0))/MAX(0.1,N(Parameter!$M$21)))</f>
        <v>0.666666666666667</v>
      </c>
      <c r="AJ836" s="62" t="n">
        <f aca="false">AI836*CC836</f>
        <v>230</v>
      </c>
      <c r="AK836" s="63" t="n">
        <f aca="false">IF(LEFT(Cockpit!$C$5,1)="A",H836,IF(CI836=1,(CL836+CJ836)/2,IF(LEFT(Cockpit!$C$5,1)="B",(CL836+AM836)/2,MAX((CL836+AM836)/2,H836))))</f>
        <v>1430</v>
      </c>
      <c r="AL836" s="62" t="n">
        <f aca="false">AK836*G836</f>
        <v>3246.1</v>
      </c>
      <c r="AM836" s="62" t="n">
        <f aca="false">ROUNDUP(CL836+MAX(CM836,2*(J836/IF(CH836&gt;0,CH836,MAX(0.1,N(Cockpit!$C$6)))-CL836)),0)</f>
        <v>1376</v>
      </c>
      <c r="AN836" s="63" t="n">
        <f aca="false">IF(AJ836&gt;0,J836/AJ836,-1)</f>
        <v>9.88695652173913</v>
      </c>
      <c r="AO836" s="63" t="n">
        <f aca="false">IF(AND(OR(CG836="L1",CG836="L23",CG836="LIFT"),AJ836&gt;0),SUMIFS($AJ$7:$AJ$1843,$CG$7:$CG$1843,CG836,$AN$7:$AN$1843,"&gt;"&amp;AN836)+SUMIFS($AJ$7:$AJ$1843,$CG$7:$CG$1843,CG836,$AN$7:$AN$1843,AN836,$BX$7:$BX$1843,"&lt;="&amp;BX836),"")</f>
        <v>2872.40613553114</v>
      </c>
      <c r="AP836" s="70" t="n">
        <f aca="false">IF(AO836="",0,MAX(0,MIN(1,(IF(CG836="L1",Parameter!$H$5,IF(CG836="L23",Parameter!$H$6+Parameter!$H$7,Parameter!$H$5+Parameter!$H$6+Parameter!$H$7))-(AO836-AJ836))/AJ836)))</f>
        <v>1</v>
      </c>
      <c r="AQ836" s="62" t="n">
        <f aca="false">IF(LEFT(Cockpit!$I$5,1)="A",H836,IF(Parameter!$E$30="MAX-Bestand",IF(CI836=1,CJ836,IF(LEFT(Cockpit!$I$5,1)="B",AW836,MAX(AW836,H836))),ROUNDUP(AU836,0)))</f>
        <v>1430</v>
      </c>
      <c r="AR836" s="62" t="n">
        <f aca="false">IF(CA836=1,0,ROUNDUP(AQ836/BZ836,0))</f>
        <v>8</v>
      </c>
      <c r="AS836" s="64" t="n">
        <f aca="false">IF(CR836&gt;0,CR836*MAX(1,AQ836/X836),IF(CA836=1,IF(AQ836&lt;=0,0,CE836*MAX(1,IF(H836&gt;0,AQ836/H836,1))),IF(R836&gt;0,AR836/R836,0))/MAX(0.1,N(Parameter!$M$21)))</f>
        <v>0.666666666666667</v>
      </c>
      <c r="AT836" s="62" t="n">
        <f aca="false">AS836*CC836</f>
        <v>230</v>
      </c>
      <c r="AU836" s="63" t="n">
        <f aca="false">IF(LEFT(Cockpit!$I$5,1)="A",H836,IF(CI836=1,(CL836+CJ836)/2,IF(LEFT(Cockpit!$I$5,1)="B",(CL836+AW836)/2,MAX((CL836+AW836)/2,H836))))</f>
        <v>1430</v>
      </c>
      <c r="AV836" s="62" t="n">
        <f aca="false">AU836*G836</f>
        <v>3246.1</v>
      </c>
      <c r="AW836" s="62" t="n">
        <f aca="false">ROUNDUP(CL836+MAX(CM836,2*(J836/IF(CH836&gt;0,CH836,MAX(0.1,N(Cockpit!$I$6)))-CL836)),0)</f>
        <v>1376</v>
      </c>
      <c r="AX836" s="63" t="n">
        <f aca="false">IF(AT836&gt;0,J836/AT836,-1)</f>
        <v>9.88695652173913</v>
      </c>
      <c r="AY836" s="63" t="n">
        <f aca="false">IF(AND(OR(CG836="L1",CG836="L23",CG836="LIFT"),AT836&gt;0),SUMIFS($AT$7:$AT$1843,$CG$7:$CG$1843,CG836,$AX$7:$AX$1843,"&gt;"&amp;AX836)+SUMIFS($AT$7:$AT$1843,$CG$7:$CG$1843,CG836,$AX$7:$AX$1843,AX836,$BX$7:$BX$1843,"&lt;="&amp;BX836),"")</f>
        <v>3468.54807692308</v>
      </c>
      <c r="AZ836" s="70" t="n">
        <f aca="false">IF(AY836="",0,MAX(0,MIN(1,(IF(CG836="L1",Parameter!$H$5,IF(CG836="L23",Parameter!$H$6+Parameter!$H$7,Parameter!$H$5+Parameter!$H$6+Parameter!$H$7))-(AY836-AT836))/AT836)))</f>
        <v>1</v>
      </c>
      <c r="BA836" s="62" t="n">
        <f aca="false">IF(LEFT(Cockpit!$O$5,1)="A",H836,IF(Parameter!$E$30="MAX-Bestand",IF(CI836=1,CJ836,IF(LEFT(Cockpit!$O$5,1)="B",BG836,MAX(BG836,H836))),ROUNDUP(BE836,0)))</f>
        <v>569</v>
      </c>
      <c r="BB836" s="62" t="n">
        <f aca="false">IF(CA836=1,0,ROUNDUP(BA836/BZ836,0))</f>
        <v>3</v>
      </c>
      <c r="BC836" s="64" t="n">
        <f aca="false">IF(CR836&gt;0,CR836*MAX(1,BA836/X836),IF(CA836=1,IF(BA836&lt;=0,0,CE836*MAX(1,IF(H836&gt;0,BA836/H836,1))),IF(R836&gt;0,BB836/R836,0))/MAX(0.1,N(Parameter!$M$21)))</f>
        <v>0.25</v>
      </c>
      <c r="BD836" s="62" t="n">
        <f aca="false">BC836*CC836</f>
        <v>86.25</v>
      </c>
      <c r="BE836" s="63" t="n">
        <f aca="false">IF(LEFT(Cockpit!$O$5,1)="A",H836,IF(CI836=1,(CL836+CJ836)/2,IF(LEFT(Cockpit!$O$5,1)="B",(CL836+BG836)/2,MAX((CL836+BG836)/2,H836))))</f>
        <v>568.5</v>
      </c>
      <c r="BF836" s="62" t="n">
        <f aca="false">BE836*G836</f>
        <v>1290.495</v>
      </c>
      <c r="BG836" s="62" t="n">
        <f aca="false">ROUNDUP(CL836+MAX(CM836,2*(J836/IF(CH836&gt;0,CH836,MAX(0.1,N(Cockpit!$O$6)))-CL836)),0)</f>
        <v>997</v>
      </c>
      <c r="BH836" s="63" t="n">
        <f aca="false">IF(BD836&gt;0,J836/BD836,-1)</f>
        <v>26.3652173913044</v>
      </c>
      <c r="BI836" s="63" t="n">
        <f aca="false">IF(AND(OR(CG836="L1",CG836="L23",CG836="LIFT"),BD836&gt;0),SUMIFS($BD$7:$BD$1843,$CG$7:$CG$1843,CG836,$BH$7:$BH$1843,"&gt;"&amp;BH836)+SUMIFS($BD$7:$BD$1843,$CG$7:$CG$1843,CG836,$BH$7:$BH$1843,BH836,$BX$7:$BX$1843,"&lt;="&amp;BX836),"")</f>
        <v>2036.52518315018</v>
      </c>
      <c r="BJ836" s="70" t="n">
        <f aca="false">IF(BI836="",0,MAX(0,MIN(1,(IF(CG836="L1",Parameter!$H$5,IF(CG836="L23",Parameter!$H$6+Parameter!$H$7,Parameter!$H$5+Parameter!$H$6+Parameter!$H$7))-(BI836-BD836))/BD836)))</f>
        <v>1</v>
      </c>
      <c r="BK836" s="60" t="str">
        <f aca="false">IF(AJ836&lt;=0,"",IF(CG836="Aussen","Aussenlager",IF(CG836="-","Nicht im Lift",IF(AP836&gt;=1,"Lift",IF(AP836&lt;=0,"Aussenlager","teilweise")))))</f>
        <v>Lift</v>
      </c>
      <c r="BL836" s="60" t="str">
        <f aca="false">IF(AT836&lt;=0,"",IF(CG836="Aussen","Aussenlager",IF(CG836="-","Nicht im Lift",IF(AZ836&gt;=1,"Lift",IF(AZ836&lt;=0,"Aussenlager","teilweise")))))</f>
        <v>Lift</v>
      </c>
      <c r="BM836" s="60" t="str">
        <f aca="false">IF(BD836&lt;=0,"",IF(CG836="Aussen","Aussenlager",IF(CG836="-","Nicht im Lift",IF(BJ836&gt;=1,"Lift",IF(BJ836&lt;=0,"Aussenlager","teilweise")))))</f>
        <v>Lift</v>
      </c>
      <c r="BN836" s="60" t="str">
        <f aca="false">IF(A836="","",IF(BW836=1,"Neu; ","")&amp;IF(AND(BW836=0,BR836&lt;0),"negativer Bestand (Export "&amp;BR836&amp;"); ","")&amp;IF(J836&lt;=0,"Kein Verbrauch; ","")&amp;IF(CR836&gt;0,"Lift "&amp;W836&amp;" lt. Liftbericht (Fach "&amp;X836&amp;" Stk); ",IF(CB836=1,"Gebinde geschätzt ("&amp;T836&amp;"); ",IF(CA836=1,"Lose – Tablare geschätzt; ","")))&amp;IF(H836&gt;AW836,"Überbestand "&amp;ROUND(H836-AW836,0)&amp;" Stk / CHF "&amp;ROUND((H836-AW836)*G836,0)&amp;"; ","")&amp;IF(AND(CI836=1,CJ836&lt;CK836),"MAX &lt; MB+LG; ","")&amp;IF(AND(CQ836&gt;0,CP836*10&gt;CQ836),"zu hoch für Tablar; ","")&amp;IF(AND(BW836=0,OR(CI836=1,AB836&lt;&gt;"",U836&lt;&gt;"",V836&lt;&gt;"",AC836&lt;&gt;"")),"manuell übersteuert; ","")&amp;IF(AND(CA836=0,R836=0),"Gebinde unbekannt / Stellmass fehlt; ","")&amp;IF(AND(CA836=0,N(V836)&lt;=0,N(Q836)&lt;=0),"Menge pro Gebinde fehlt (Ist = 1 Gebinde); ","")&amp;BV836)</f>
        <v>negativer Bestand (Export -63); Überbestand 54 Stk / CHF 123; grosse  Artikelmenge</v>
      </c>
      <c r="BO836" s="60"/>
      <c r="BP836" s="60"/>
      <c r="BQ836" s="67"/>
      <c r="BR836" s="62" t="n">
        <v>-63</v>
      </c>
      <c r="BS836" s="62" t="n">
        <v>1493</v>
      </c>
      <c r="BT836" s="61" t="n">
        <v>-11.8799999999993</v>
      </c>
      <c r="BU836" s="62" t="n">
        <v>2274</v>
      </c>
      <c r="BV836" s="60" t="s">
        <v>1649</v>
      </c>
      <c r="BW836" s="65" t="n">
        <v>0</v>
      </c>
      <c r="BX836" s="65" t="n">
        <v>836</v>
      </c>
      <c r="BY836" s="60" t="str">
        <f aca="false">IF(U836&lt;&gt;"",UPPER(TRIM(U836)),IF(CB836=1,UPPER(VLOOKUP(T836,Parameter!$I$27:$K$29,2,0)),IF(P836="","LOSE",P836)))</f>
        <v>S63</v>
      </c>
      <c r="BZ836" s="62" t="n">
        <f aca="false">IF(BY836="LOSE",1,IF(N(V836)&gt;0,V836,IF(CB836=1,MAX(1,N(VLOOKUP(T836,Parameter!$I$27:$K$29,3,0)),H836,N(N836)),IF(N(Q836)&gt;0,Q836,MAX(1,H836)))))</f>
        <v>200</v>
      </c>
      <c r="CA836" s="65" t="n">
        <f aca="false">IF(BY836="LOSE",1,0)</f>
        <v>0</v>
      </c>
      <c r="CB836" s="65" t="n">
        <f aca="false">IF(AND(U836="",OR(P836="",P836="LOSE"),T836&lt;&gt;"",N(S836)&lt;=0,ISNUMBER(MATCH(T836,Parameter!$I$27:$I$29,0))),1,0)</f>
        <v>0</v>
      </c>
      <c r="CC836" s="65" t="n">
        <f aca="false">IF(CR836&gt;0,INDEX(Parameter!$H$5:$H$7,W836)/INDEX(Parameter!$E$5:$E$7,W836),IF(AND(CA836=0,N(IFERROR(VLOOKUP(BY836,'Gebinde-Kategorie'!$A$5:$N$45,14,0),0))&gt;0),VLOOKUP(BY836,'Gebinde-Kategorie'!$A$5:$N$45,14,0)*10+Parameter!$M$23,Parameter!$M$24))</f>
        <v>345</v>
      </c>
      <c r="CD836" s="60" t="str">
        <f aca="false">IF(AND(Parameter!$B$19="Ja",E836&lt;&gt;"",ISNUMBER(MATCH(E836,Parameter!$I$35:$I$52,0))),VLOOKUP(E836,Parameter!$I$35:$J$52,2,0),IFERROR(VLOOKUP(D836,Parameter!$A$35:$C$64,2,0),"Nein"))</f>
        <v>2+3</v>
      </c>
      <c r="CE836" s="64" t="n">
        <f aca="false">IF(CA836=0,0,IF(N(S836)&gt;0,S836,IFERROR(VLOOKUP(D836,Parameter!$A$35:$C$64,3,0)+0,0)))</f>
        <v>0</v>
      </c>
      <c r="CF836" s="60" t="n">
        <f aca="false">IF(AB836&lt;&gt;"",AB836,AA836)</f>
        <v>3</v>
      </c>
      <c r="CG836" s="60" t="str">
        <f aca="false">IF(OR(CF836=1,CF836=2,CF836=3),IF(Parameter!$E$27="Ja","LIFT",IF(CF836=1,"L1","L23")),IF(CF836="Aussen","Aussen","-"))</f>
        <v>LIFT</v>
      </c>
      <c r="CH836" s="71" t="n">
        <f aca="false">IF(N(AC836)&gt;0,AC836,0)</f>
        <v>0</v>
      </c>
      <c r="CI836" s="65" t="n">
        <f aca="false">IF(ISNUMBER(AF836),1,0)</f>
        <v>0</v>
      </c>
      <c r="CJ836" s="62" t="n">
        <f aca="false">N(AF836)</f>
        <v>0</v>
      </c>
      <c r="CK836" s="62" t="n">
        <f aca="false">N(M836)+N(N836)</f>
        <v>640</v>
      </c>
      <c r="CL836" s="62" t="n">
        <f aca="false">N(M836)</f>
        <v>140</v>
      </c>
      <c r="CM836" s="62" t="n">
        <f aca="false">N(N836)</f>
        <v>500</v>
      </c>
      <c r="CN836" s="62" t="n">
        <f aca="false">ROUNDUP(H836/BZ836,0)</f>
        <v>8</v>
      </c>
      <c r="CO836" s="62" t="n">
        <f aca="false">ROUNDUP(CJ836/BZ836,0)</f>
        <v>0</v>
      </c>
      <c r="CP836" s="65" t="n">
        <f aca="false">IF(CA836=1,0,IFERROR(VLOOKUP(BY836,'Gebinde-Kategorie'!$A$5:$N$45,5,0)+0,0))</f>
        <v>31</v>
      </c>
      <c r="CQ836" s="65" t="n">
        <f aca="false">IFERROR(IF(OR(CF836=1,CF836=2,CF836=3),N(INDEX(Parameter!$I$5:$I$7,CF836)),0),0)</f>
        <v>0</v>
      </c>
      <c r="CR836" s="64" t="n">
        <f aca="false">IF(AND(Parameter!$B$21="Ja",ISNUMBER(W836),N(X836)&gt;0),IFERROR(N(INDEX(Parameter!$L$5:$L$7,W836))*INDEX(Parameter!$E$5:$E$7,W836)*X836/SUMIFS($X$7:$X$1843,$W$7:$W$1843,W836),0),0)</f>
        <v>0</v>
      </c>
      <c r="CS836" s="62" t="n">
        <f aca="false">IF(AND(OR(CG836="L1",CG836="L23",CG836="LIFT"),H836&gt;0),CC836*IF(CR836&gt;0,CR836*MAX(1,H836/X836),IF(CA836=1,CE836,IF(R836&gt;0,CN836/R836,0))/MAX(0.1,N(Parameter!$M$21))),"")</f>
        <v>230</v>
      </c>
      <c r="CT836" s="64" t="n">
        <f aca="false">IF(CS836="","",J836/H836)</f>
        <v>1.59020979020979</v>
      </c>
      <c r="CU836" s="62" t="n">
        <f aca="false">IF(CS836="","",H836*G836)</f>
        <v>3246.1</v>
      </c>
      <c r="CV836" s="63" t="n">
        <f aca="false">IF(CS836="","",(CL836+ROUNDUP(CL836+MAX(CM836,2*(J836/MAX(0.1,N(Einkauf!$C$6))-CL836)),0))/2)</f>
        <v>568.5</v>
      </c>
      <c r="CW836" s="62" t="n">
        <f aca="false">IF(CS836="","",MAX(0,H836-CV836)*G836)</f>
        <v>1955.605</v>
      </c>
      <c r="CX836" s="62" t="n">
        <f aca="false">IF(CS836="","",CS836*MAX(0,1-CV836/H836))</f>
        <v>138.562937062937</v>
      </c>
      <c r="CY836" s="64" t="n">
        <f aca="false">IF(CS836="","",PERCENTRANK($CS$7:$CS$1843,CS836)+PERCENTRANK($CU$7:$CU$1843,CU836)+1-PERCENTRANK($CT$7:$CT$1843,CT836))</f>
        <v>2.053</v>
      </c>
      <c r="CZ836" s="72" t="n">
        <f aca="false">IF(CS836="","",CHOOSE(MATCH(Einkauf!$C$5,Parameter!$G$23:$G$27,0),CY836,CS836,CU836,-CT836,CW836)+ROW()/1000000000)</f>
        <v>2.053000836</v>
      </c>
    </row>
    <row r="837" customFormat="false" ht="15" hidden="false" customHeight="false" outlineLevel="0" collapsed="false">
      <c r="A837" s="60" t="s">
        <v>1650</v>
      </c>
      <c r="B837" s="60" t="s">
        <v>574</v>
      </c>
      <c r="C837" s="60" t="s">
        <v>209</v>
      </c>
      <c r="D837" s="60" t="s">
        <v>226</v>
      </c>
      <c r="E837" s="60" t="s">
        <v>227</v>
      </c>
      <c r="F837" s="60" t="s">
        <v>260</v>
      </c>
      <c r="G837" s="61" t="n">
        <v>12.09</v>
      </c>
      <c r="H837" s="62" t="n">
        <f aca="false">MAX(0,IF(AND(Parameter!$B$21="Ja",ISNUMBER(Y837)),Y837,IF(Parameter!$B$20="Jahresanfang 2025 + Export",BS837+BR837,BR837)))</f>
        <v>153</v>
      </c>
      <c r="I837" s="62" t="n">
        <f aca="false">H837*G837</f>
        <v>1849.77</v>
      </c>
      <c r="J837" s="62" t="n">
        <f aca="false">BU837*Parameter!$B$18</f>
        <v>0</v>
      </c>
      <c r="K837" s="63" t="n">
        <v>153.5</v>
      </c>
      <c r="L837" s="64" t="n">
        <v>0</v>
      </c>
      <c r="M837" s="62" t="n">
        <v>0</v>
      </c>
      <c r="N837" s="62" t="n">
        <v>1</v>
      </c>
      <c r="O837" s="65" t="n">
        <v>35</v>
      </c>
      <c r="P837" s="60" t="s">
        <v>335</v>
      </c>
      <c r="Q837" s="62" t="n">
        <v>169</v>
      </c>
      <c r="R837" s="65" t="n">
        <f aca="false">IF(CA837=1,0,IFERROR(VLOOKUP(BY837,'Gebinde-Kategorie'!$A$5:$N$45,13,0)+0,0))</f>
        <v>12</v>
      </c>
      <c r="S837" s="66"/>
      <c r="T837" s="67"/>
      <c r="U837" s="67"/>
      <c r="V837" s="67"/>
      <c r="W837" s="60"/>
      <c r="X837" s="62"/>
      <c r="Y837" s="62"/>
      <c r="Z837" s="60" t="n">
        <v>3</v>
      </c>
      <c r="AA837" s="60" t="n">
        <f aca="false">IF(A837="","",IF(AND(Parameter!$B$21="Ja",ISNUMBER(W837)),W837,IF(AND(Parameter!$E$27="Ja",ISNUMBER(Z837),CD837&lt;&gt;"Nein"),Z837,IF(CD837="2+3",IF(ISNUMBER(SEARCH("grosser Artikel",BV837)),2,IFERROR(VLOOKUP(BY837,Parameter!$F$35:$G$64,2,0),2)),IF(OR(CD837="Nein",CD837=""),"-",CD837)))))</f>
        <v>3</v>
      </c>
      <c r="AB837" s="67"/>
      <c r="AC837" s="68"/>
      <c r="AD837" s="62" t="n">
        <f aca="false">AW837</f>
        <v>1</v>
      </c>
      <c r="AE837" s="62" t="n">
        <f aca="false">MAX(AW837,H837)</f>
        <v>153</v>
      </c>
      <c r="AF837" s="69"/>
      <c r="AG837" s="62" t="n">
        <f aca="false">IF(LEFT(Cockpit!$C$5,1)="A",H837,IF(Parameter!$E$30="MAX-Bestand",IF(CI837=1,CJ837,IF(LEFT(Cockpit!$C$5,1)="B",AM837,MAX(AM837,H837))),ROUNDUP(AK837,0)))</f>
        <v>153</v>
      </c>
      <c r="AH837" s="62" t="n">
        <f aca="false">IF(CA837=1,0,ROUNDUP(AG837/BZ837,0))</f>
        <v>1</v>
      </c>
      <c r="AI837" s="64" t="n">
        <f aca="false">IF(CR837&gt;0,CR837*MAX(1,AG837/X837),IF(CA837=1,IF(AG837&lt;=0,0,CE837*MAX(1,IF(H837&gt;0,AG837/H837,1))),IF(R837&gt;0,AH837/R837,0))/MAX(0.1,N(Parameter!$M$21)))</f>
        <v>0.0833333333333333</v>
      </c>
      <c r="AJ837" s="62" t="n">
        <f aca="false">AI837*CC837</f>
        <v>20.4166666666667</v>
      </c>
      <c r="AK837" s="63" t="n">
        <f aca="false">IF(LEFT(Cockpit!$C$5,1)="A",H837,IF(CI837=1,(CL837+CJ837)/2,IF(LEFT(Cockpit!$C$5,1)="B",(CL837+AM837)/2,MAX((CL837+AM837)/2,H837))))</f>
        <v>153</v>
      </c>
      <c r="AL837" s="62" t="n">
        <f aca="false">AK837*G837</f>
        <v>1849.77</v>
      </c>
      <c r="AM837" s="62" t="n">
        <f aca="false">ROUNDUP(CL837+MAX(CM837,2*(J837/IF(CH837&gt;0,CH837,MAX(0.1,N(Cockpit!$C$6)))-CL837)),0)</f>
        <v>1</v>
      </c>
      <c r="AN837" s="63" t="n">
        <f aca="false">IF(AJ837&gt;0,J837/AJ837,-1)</f>
        <v>0</v>
      </c>
      <c r="AO837" s="63" t="n">
        <f aca="false">IF(AND(OR(CG837="L1",CG837="L23",CG837="LIFT"),AJ837&gt;0),SUMIFS($AJ$7:$AJ$1843,$CG$7:$CG$1843,CG837,$AN$7:$AN$1843,"&gt;"&amp;AN837)+SUMIFS($AJ$7:$AJ$1843,$CG$7:$CG$1843,CG837,$AN$7:$AN$1843,AN837,$BX$7:$BX$1843,"&lt;="&amp;BX837),"")</f>
        <v>28807.6462304174</v>
      </c>
      <c r="AP837" s="70" t="n">
        <f aca="false">IF(AO837="",0,MAX(0,MIN(1,(IF(CG837="L1",Parameter!$H$5,IF(CG837="L23",Parameter!$H$6+Parameter!$H$7,Parameter!$H$5+Parameter!$H$6+Parameter!$H$7))-(AO837-AJ837))/AJ837)))</f>
        <v>1</v>
      </c>
      <c r="AQ837" s="62" t="n">
        <f aca="false">IF(LEFT(Cockpit!$I$5,1)="A",H837,IF(Parameter!$E$30="MAX-Bestand",IF(CI837=1,CJ837,IF(LEFT(Cockpit!$I$5,1)="B",AW837,MAX(AW837,H837))),ROUNDUP(AU837,0)))</f>
        <v>153</v>
      </c>
      <c r="AR837" s="62" t="n">
        <f aca="false">IF(CA837=1,0,ROUNDUP(AQ837/BZ837,0))</f>
        <v>1</v>
      </c>
      <c r="AS837" s="64" t="n">
        <f aca="false">IF(CR837&gt;0,CR837*MAX(1,AQ837/X837),IF(CA837=1,IF(AQ837&lt;=0,0,CE837*MAX(1,IF(H837&gt;0,AQ837/H837,1))),IF(R837&gt;0,AR837/R837,0))/MAX(0.1,N(Parameter!$M$21)))</f>
        <v>0.0833333333333333</v>
      </c>
      <c r="AT837" s="62" t="n">
        <f aca="false">AS837*CC837</f>
        <v>20.4166666666667</v>
      </c>
      <c r="AU837" s="63" t="n">
        <f aca="false">IF(LEFT(Cockpit!$I$5,1)="A",H837,IF(CI837=1,(CL837+CJ837)/2,IF(LEFT(Cockpit!$I$5,1)="B",(CL837+AW837)/2,MAX((CL837+AW837)/2,H837))))</f>
        <v>153</v>
      </c>
      <c r="AV837" s="62" t="n">
        <f aca="false">AU837*G837</f>
        <v>1849.77</v>
      </c>
      <c r="AW837" s="62" t="n">
        <f aca="false">ROUNDUP(CL837+MAX(CM837,2*(J837/IF(CH837&gt;0,CH837,MAX(0.1,N(Cockpit!$I$6)))-CL837)),0)</f>
        <v>1</v>
      </c>
      <c r="AX837" s="63" t="n">
        <f aca="false">IF(AT837&gt;0,J837/AT837,-1)</f>
        <v>0</v>
      </c>
      <c r="AY837" s="63" t="n">
        <f aca="false">IF(AND(OR(CG837="L1",CG837="L23",CG837="LIFT"),AT837&gt;0),SUMIFS($AT$7:$AT$1843,$CG$7:$CG$1843,CG837,$AX$7:$AX$1843,"&gt;"&amp;AX837)+SUMIFS($AT$7:$AT$1843,$CG$7:$CG$1843,CG837,$AX$7:$AX$1843,AX837,$BX$7:$BX$1843,"&lt;="&amp;BX837),"")</f>
        <v>34427.8869047619</v>
      </c>
      <c r="AZ837" s="70" t="n">
        <f aca="false">IF(AY837="",0,MAX(0,MIN(1,(IF(CG837="L1",Parameter!$H$5,IF(CG837="L23",Parameter!$H$6+Parameter!$H$7,Parameter!$H$5+Parameter!$H$6+Parameter!$H$7))-(AY837-AT837))/AT837)))</f>
        <v>1</v>
      </c>
      <c r="BA837" s="62" t="n">
        <f aca="false">IF(LEFT(Cockpit!$O$5,1)="A",H837,IF(Parameter!$E$30="MAX-Bestand",IF(CI837=1,CJ837,IF(LEFT(Cockpit!$O$5,1)="B",BG837,MAX(BG837,H837))),ROUNDUP(BE837,0)))</f>
        <v>1</v>
      </c>
      <c r="BB837" s="62" t="n">
        <f aca="false">IF(CA837=1,0,ROUNDUP(BA837/BZ837,0))</f>
        <v>1</v>
      </c>
      <c r="BC837" s="64" t="n">
        <f aca="false">IF(CR837&gt;0,CR837*MAX(1,BA837/X837),IF(CA837=1,IF(BA837&lt;=0,0,CE837*MAX(1,IF(H837&gt;0,BA837/H837,1))),IF(R837&gt;0,BB837/R837,0))/MAX(0.1,N(Parameter!$M$21)))</f>
        <v>0.0833333333333333</v>
      </c>
      <c r="BD837" s="62" t="n">
        <f aca="false">BC837*CC837</f>
        <v>20.4166666666667</v>
      </c>
      <c r="BE837" s="63" t="n">
        <f aca="false">IF(LEFT(Cockpit!$O$5,1)="A",H837,IF(CI837=1,(CL837+CJ837)/2,IF(LEFT(Cockpit!$O$5,1)="B",(CL837+BG837)/2,MAX((CL837+BG837)/2,H837))))</f>
        <v>0.5</v>
      </c>
      <c r="BF837" s="62" t="n">
        <f aca="false">BE837*G837</f>
        <v>6.045</v>
      </c>
      <c r="BG837" s="62" t="n">
        <f aca="false">ROUNDUP(CL837+MAX(CM837,2*(J837/IF(CH837&gt;0,CH837,MAX(0.1,N(Cockpit!$O$6)))-CL837)),0)</f>
        <v>1</v>
      </c>
      <c r="BH837" s="63" t="n">
        <f aca="false">IF(BD837&gt;0,J837/BD837,-1)</f>
        <v>0</v>
      </c>
      <c r="BI837" s="63" t="n">
        <f aca="false">IF(AND(OR(CG837="L1",CG837="L23",CG837="LIFT"),BD837&gt;0),SUMIFS($BD$7:$BD$1843,$CG$7:$CG$1843,CG837,$BH$7:$BH$1843,"&gt;"&amp;BH837)+SUMIFS($BD$7:$BD$1843,$CG$7:$CG$1843,CG837,$BH$7:$BH$1843,BH837,$BX$7:$BX$1843,"&lt;="&amp;BX837),"")</f>
        <v>28467.6688396349</v>
      </c>
      <c r="BJ837" s="70" t="n">
        <f aca="false">IF(BI837="",0,MAX(0,MIN(1,(IF(CG837="L1",Parameter!$H$5,IF(CG837="L23",Parameter!$H$6+Parameter!$H$7,Parameter!$H$5+Parameter!$H$6+Parameter!$H$7))-(BI837-BD837))/BD837)))</f>
        <v>1</v>
      </c>
      <c r="BK837" s="60" t="str">
        <f aca="false">IF(AJ837&lt;=0,"",IF(CG837="Aussen","Aussenlager",IF(CG837="-","Nicht im Lift",IF(AP837&gt;=1,"Lift",IF(AP837&lt;=0,"Aussenlager","teilweise")))))</f>
        <v>Lift</v>
      </c>
      <c r="BL837" s="60" t="str">
        <f aca="false">IF(AT837&lt;=0,"",IF(CG837="Aussen","Aussenlager",IF(CG837="-","Nicht im Lift",IF(AZ837&gt;=1,"Lift",IF(AZ837&lt;=0,"Aussenlager","teilweise")))))</f>
        <v>Lift</v>
      </c>
      <c r="BM837" s="60" t="str">
        <f aca="false">IF(BD837&lt;=0,"",IF(CG837="Aussen","Aussenlager",IF(CG837="-","Nicht im Lift",IF(BJ837&gt;=1,"Lift",IF(BJ837&lt;=0,"Aussenlager","teilweise")))))</f>
        <v>Lift</v>
      </c>
      <c r="BN837" s="60" t="str">
        <f aca="false">IF(A837="","",IF(BW837=1,"Neu; ","")&amp;IF(AND(BW837=0,BR837&lt;0),"negativer Bestand (Export "&amp;BR837&amp;"); ","")&amp;IF(J837&lt;=0,"Kein Verbrauch; ","")&amp;IF(CR837&gt;0,"Lift "&amp;W837&amp;" lt. Liftbericht (Fach "&amp;X837&amp;" Stk); ",IF(CB837=1,"Gebinde geschätzt ("&amp;T837&amp;"); ",IF(CA837=1,"Lose – Tablare geschätzt; ","")))&amp;IF(H837&gt;AW837,"Überbestand "&amp;ROUND(H837-AW837,0)&amp;" Stk / CHF "&amp;ROUND((H837-AW837)*G837,0)&amp;"; ","")&amp;IF(AND(CI837=1,CJ837&lt;CK837),"MAX &lt; MB+LG; ","")&amp;IF(AND(CQ837&gt;0,CP837*10&gt;CQ837),"zu hoch für Tablar; ","")&amp;IF(AND(BW837=0,OR(CI837=1,AB837&lt;&gt;"",U837&lt;&gt;"",V837&lt;&gt;"",AC837&lt;&gt;"")),"manuell übersteuert; ","")&amp;IF(AND(CA837=0,R837=0),"Gebinde unbekannt / Stellmass fehlt; ","")&amp;IF(AND(CA837=0,N(V837)&lt;=0,N(Q837)&lt;=0),"Menge pro Gebinde fehlt (Ist = 1 Gebinde); ","")&amp;BV837)</f>
        <v>negativer Bestand (Export -1); Kein Verbrauch; Überbestand 152 Stk / CHF 1838; </v>
      </c>
      <c r="BO837" s="60"/>
      <c r="BP837" s="60"/>
      <c r="BQ837" s="67"/>
      <c r="BR837" s="62" t="n">
        <v>-1</v>
      </c>
      <c r="BS837" s="62" t="n">
        <v>154</v>
      </c>
      <c r="BT837" s="61" t="n">
        <v>-12.09</v>
      </c>
      <c r="BU837" s="62" t="n">
        <v>0</v>
      </c>
      <c r="BV837" s="60"/>
      <c r="BW837" s="65" t="n">
        <v>0</v>
      </c>
      <c r="BX837" s="65" t="n">
        <v>837</v>
      </c>
      <c r="BY837" s="60" t="str">
        <f aca="false">IF(U837&lt;&gt;"",UPPER(TRIM(U837)),IF(CB837=1,UPPER(VLOOKUP(T837,Parameter!$I$27:$K$29,2,0)),IF(P837="","LOSE",P837)))</f>
        <v>S62</v>
      </c>
      <c r="BZ837" s="62" t="n">
        <f aca="false">IF(BY837="LOSE",1,IF(N(V837)&gt;0,V837,IF(CB837=1,MAX(1,N(VLOOKUP(T837,Parameter!$I$27:$K$29,3,0)),H837,N(N837)),IF(N(Q837)&gt;0,Q837,MAX(1,H837)))))</f>
        <v>169</v>
      </c>
      <c r="CA837" s="65" t="n">
        <f aca="false">IF(BY837="LOSE",1,0)</f>
        <v>0</v>
      </c>
      <c r="CB837" s="65" t="n">
        <f aca="false">IF(AND(U837="",OR(P837="",P837="LOSE"),T837&lt;&gt;"",N(S837)&lt;=0,ISNUMBER(MATCH(T837,Parameter!$I$27:$I$29,0))),1,0)</f>
        <v>0</v>
      </c>
      <c r="CC837" s="65" t="n">
        <f aca="false">IF(CR837&gt;0,INDEX(Parameter!$H$5:$H$7,W837)/INDEX(Parameter!$E$5:$E$7,W837),IF(AND(CA837=0,N(IFERROR(VLOOKUP(BY837,'Gebinde-Kategorie'!$A$5:$N$45,14,0),0))&gt;0),VLOOKUP(BY837,'Gebinde-Kategorie'!$A$5:$N$45,14,0)*10+Parameter!$M$23,Parameter!$M$24))</f>
        <v>245</v>
      </c>
      <c r="CD837" s="60" t="str">
        <f aca="false">IF(AND(Parameter!$B$19="Ja",E837&lt;&gt;"",ISNUMBER(MATCH(E837,Parameter!$I$35:$I$52,0))),VLOOKUP(E837,Parameter!$I$35:$J$52,2,0),IFERROR(VLOOKUP(D837,Parameter!$A$35:$C$64,2,0),"Nein"))</f>
        <v>2+3</v>
      </c>
      <c r="CE837" s="64" t="n">
        <f aca="false">IF(CA837=0,0,IF(N(S837)&gt;0,S837,IFERROR(VLOOKUP(D837,Parameter!$A$35:$C$64,3,0)+0,0)))</f>
        <v>0</v>
      </c>
      <c r="CF837" s="60" t="n">
        <f aca="false">IF(AB837&lt;&gt;"",AB837,AA837)</f>
        <v>3</v>
      </c>
      <c r="CG837" s="60" t="str">
        <f aca="false">IF(OR(CF837=1,CF837=2,CF837=3),IF(Parameter!$E$27="Ja","LIFT",IF(CF837=1,"L1","L23")),IF(CF837="Aussen","Aussen","-"))</f>
        <v>LIFT</v>
      </c>
      <c r="CH837" s="71" t="n">
        <f aca="false">IF(N(AC837)&gt;0,AC837,0)</f>
        <v>0</v>
      </c>
      <c r="CI837" s="65" t="n">
        <f aca="false">IF(ISNUMBER(AF837),1,0)</f>
        <v>0</v>
      </c>
      <c r="CJ837" s="62" t="n">
        <f aca="false">N(AF837)</f>
        <v>0</v>
      </c>
      <c r="CK837" s="62" t="n">
        <f aca="false">N(M837)+N(N837)</f>
        <v>1</v>
      </c>
      <c r="CL837" s="62" t="n">
        <f aca="false">N(M837)</f>
        <v>0</v>
      </c>
      <c r="CM837" s="62" t="n">
        <f aca="false">N(N837)</f>
        <v>1</v>
      </c>
      <c r="CN837" s="62" t="n">
        <f aca="false">ROUNDUP(H837/BZ837,0)</f>
        <v>1</v>
      </c>
      <c r="CO837" s="62" t="n">
        <f aca="false">ROUNDUP(CJ837/BZ837,0)</f>
        <v>0</v>
      </c>
      <c r="CP837" s="65" t="n">
        <f aca="false">IF(CA837=1,0,IFERROR(VLOOKUP(BY837,'Gebinde-Kategorie'!$A$5:$N$45,5,0)+0,0))</f>
        <v>21</v>
      </c>
      <c r="CQ837" s="65" t="n">
        <f aca="false">IFERROR(IF(OR(CF837=1,CF837=2,CF837=3),N(INDEX(Parameter!$I$5:$I$7,CF837)),0),0)</f>
        <v>0</v>
      </c>
      <c r="CR837" s="64" t="n">
        <f aca="false">IF(AND(Parameter!$B$21="Ja",ISNUMBER(W837),N(X837)&gt;0),IFERROR(N(INDEX(Parameter!$L$5:$L$7,W837))*INDEX(Parameter!$E$5:$E$7,W837)*X837/SUMIFS($X$7:$X$1843,$W$7:$W$1843,W837),0),0)</f>
        <v>0</v>
      </c>
      <c r="CS837" s="62" t="n">
        <f aca="false">IF(AND(OR(CG837="L1",CG837="L23",CG837="LIFT"),H837&gt;0),CC837*IF(CR837&gt;0,CR837*MAX(1,H837/X837),IF(CA837=1,CE837,IF(R837&gt;0,CN837/R837,0))/MAX(0.1,N(Parameter!$M$21))),"")</f>
        <v>20.4166666666667</v>
      </c>
      <c r="CT837" s="64" t="n">
        <f aca="false">IF(CS837="","",J837/H837)</f>
        <v>0</v>
      </c>
      <c r="CU837" s="62" t="n">
        <f aca="false">IF(CS837="","",H837*G837)</f>
        <v>1849.77</v>
      </c>
      <c r="CV837" s="63" t="n">
        <f aca="false">IF(CS837="","",(CL837+ROUNDUP(CL837+MAX(CM837,2*(J837/MAX(0.1,N(Einkauf!$C$6))-CL837)),0))/2)</f>
        <v>0.5</v>
      </c>
      <c r="CW837" s="62" t="n">
        <f aca="false">IF(CS837="","",MAX(0,H837-CV837)*G837)</f>
        <v>1843.725</v>
      </c>
      <c r="CX837" s="62" t="n">
        <f aca="false">IF(CS837="","",CS837*MAX(0,1-CV837/H837))</f>
        <v>20.3499455337691</v>
      </c>
      <c r="CY837" s="64" t="n">
        <f aca="false">IF(CS837="","",PERCENTRANK($CS$7:$CS$1843,CS837)+PERCENTRANK($CU$7:$CU$1843,CU837)+1-PERCENTRANK($CT$7:$CT$1843,CT837))</f>
        <v>2.541</v>
      </c>
      <c r="CZ837" s="72" t="n">
        <f aca="false">IF(CS837="","",CHOOSE(MATCH(Einkauf!$C$5,Parameter!$G$23:$G$27,0),CY837,CS837,CU837,-CT837,CW837)+ROW()/1000000000)</f>
        <v>2.541000837</v>
      </c>
    </row>
    <row r="838" customFormat="false" ht="15" hidden="false" customHeight="false" outlineLevel="0" collapsed="false">
      <c r="A838" s="60" t="s">
        <v>1651</v>
      </c>
      <c r="B838" s="60" t="s">
        <v>531</v>
      </c>
      <c r="C838" s="60" t="s">
        <v>206</v>
      </c>
      <c r="D838" s="60" t="s">
        <v>226</v>
      </c>
      <c r="E838" s="60" t="s">
        <v>227</v>
      </c>
      <c r="F838" s="60" t="s">
        <v>260</v>
      </c>
      <c r="G838" s="61" t="n">
        <v>1.53</v>
      </c>
      <c r="H838" s="62" t="n">
        <f aca="false">MAX(0,IF(AND(Parameter!$B$21="Ja",ISNUMBER(Y838)),Y838,IF(Parameter!$B$20="Jahresanfang 2025 + Export",BS838+BR838,BR838)))</f>
        <v>214</v>
      </c>
      <c r="I838" s="62" t="n">
        <f aca="false">H838*G838</f>
        <v>327.42</v>
      </c>
      <c r="J838" s="62" t="n">
        <f aca="false">BU838*Parameter!$B$18</f>
        <v>264</v>
      </c>
      <c r="K838" s="63" t="n">
        <v>191.5</v>
      </c>
      <c r="L838" s="64" t="n">
        <v>1.37859007832898</v>
      </c>
      <c r="M838" s="62" t="n">
        <v>10</v>
      </c>
      <c r="N838" s="62" t="n">
        <v>200</v>
      </c>
      <c r="O838" s="65" t="n">
        <v>14</v>
      </c>
      <c r="P838" s="60" t="s">
        <v>463</v>
      </c>
      <c r="Q838" s="62" t="n">
        <v>513</v>
      </c>
      <c r="R838" s="65" t="n">
        <f aca="false">IF(CA838=1,0,IFERROR(VLOOKUP(BY838,'Gebinde-Kategorie'!$A$5:$N$45,13,0)+0,0))</f>
        <v>104</v>
      </c>
      <c r="S838" s="66"/>
      <c r="T838" s="67"/>
      <c r="U838" s="67"/>
      <c r="V838" s="67"/>
      <c r="W838" s="60"/>
      <c r="X838" s="62"/>
      <c r="Y838" s="62"/>
      <c r="Z838" s="60" t="n">
        <v>2</v>
      </c>
      <c r="AA838" s="60" t="n">
        <f aca="false">IF(A838="","",IF(AND(Parameter!$B$21="Ja",ISNUMBER(W838)),W838,IF(AND(Parameter!$E$27="Ja",ISNUMBER(Z838),CD838&lt;&gt;"Nein"),Z838,IF(CD838="2+3",IF(ISNUMBER(SEARCH("grosser Artikel",BV838)),2,IFERROR(VLOOKUP(BY838,Parameter!$F$35:$G$64,2,0),2)),IF(OR(CD838="Nein",CD838=""),"-",CD838)))))</f>
        <v>2</v>
      </c>
      <c r="AB838" s="67"/>
      <c r="AC838" s="68"/>
      <c r="AD838" s="62" t="n">
        <f aca="false">AW838</f>
        <v>210</v>
      </c>
      <c r="AE838" s="62" t="n">
        <f aca="false">MAX(AW838,H838)</f>
        <v>214</v>
      </c>
      <c r="AF838" s="69"/>
      <c r="AG838" s="62" t="n">
        <f aca="false">IF(LEFT(Cockpit!$C$5,1)="A",H838,IF(Parameter!$E$30="MAX-Bestand",IF(CI838=1,CJ838,IF(LEFT(Cockpit!$C$5,1)="B",AM838,MAX(AM838,H838))),ROUNDUP(AK838,0)))</f>
        <v>214</v>
      </c>
      <c r="AH838" s="62" t="n">
        <f aca="false">IF(CA838=1,0,ROUNDUP(AG838/BZ838,0))</f>
        <v>1</v>
      </c>
      <c r="AI838" s="64" t="n">
        <f aca="false">IF(CR838&gt;0,CR838*MAX(1,AG838/X838),IF(CA838=1,IF(AG838&lt;=0,0,CE838*MAX(1,IF(H838&gt;0,AG838/H838,1))),IF(R838&gt;0,AH838/R838,0))/MAX(0.1,N(Parameter!$M$21)))</f>
        <v>0.00961538461538462</v>
      </c>
      <c r="AJ838" s="62" t="n">
        <f aca="false">AI838*CC838</f>
        <v>1.49038461538462</v>
      </c>
      <c r="AK838" s="63" t="n">
        <f aca="false">IF(LEFT(Cockpit!$C$5,1)="A",H838,IF(CI838=1,(CL838+CJ838)/2,IF(LEFT(Cockpit!$C$5,1)="B",(CL838+AM838)/2,MAX((CL838+AM838)/2,H838))))</f>
        <v>214</v>
      </c>
      <c r="AL838" s="62" t="n">
        <f aca="false">AK838*G838</f>
        <v>327.42</v>
      </c>
      <c r="AM838" s="62" t="n">
        <f aca="false">ROUNDUP(CL838+MAX(CM838,2*(J838/IF(CH838&gt;0,CH838,MAX(0.1,N(Cockpit!$C$6)))-CL838)),0)</f>
        <v>210</v>
      </c>
      <c r="AN838" s="63" t="n">
        <f aca="false">IF(AJ838&gt;0,J838/AJ838,-1)</f>
        <v>177.135483870968</v>
      </c>
      <c r="AO838" s="63" t="n">
        <f aca="false">IF(AND(OR(CG838="L1",CG838="L23",CG838="LIFT"),AJ838&gt;0),SUMIFS($AJ$7:$AJ$1843,$CG$7:$CG$1843,CG838,$AN$7:$AN$1843,"&gt;"&amp;AN838)+SUMIFS($AJ$7:$AJ$1843,$CG$7:$CG$1843,CG838,$AN$7:$AN$1843,AN838,$BX$7:$BX$1843,"&lt;="&amp;BX838),"")</f>
        <v>403.74358974359</v>
      </c>
      <c r="AP838" s="70" t="n">
        <f aca="false">IF(AO838="",0,MAX(0,MIN(1,(IF(CG838="L1",Parameter!$H$5,IF(CG838="L23",Parameter!$H$6+Parameter!$H$7,Parameter!$H$5+Parameter!$H$6+Parameter!$H$7))-(AO838-AJ838))/AJ838)))</f>
        <v>1</v>
      </c>
      <c r="AQ838" s="62" t="n">
        <f aca="false">IF(LEFT(Cockpit!$I$5,1)="A",H838,IF(Parameter!$E$30="MAX-Bestand",IF(CI838=1,CJ838,IF(LEFT(Cockpit!$I$5,1)="B",AW838,MAX(AW838,H838))),ROUNDUP(AU838,0)))</f>
        <v>214</v>
      </c>
      <c r="AR838" s="62" t="n">
        <f aca="false">IF(CA838=1,0,ROUNDUP(AQ838/BZ838,0))</f>
        <v>1</v>
      </c>
      <c r="AS838" s="64" t="n">
        <f aca="false">IF(CR838&gt;0,CR838*MAX(1,AQ838/X838),IF(CA838=1,IF(AQ838&lt;=0,0,CE838*MAX(1,IF(H838&gt;0,AQ838/H838,1))),IF(R838&gt;0,AR838/R838,0))/MAX(0.1,N(Parameter!$M$21)))</f>
        <v>0.00961538461538462</v>
      </c>
      <c r="AT838" s="62" t="n">
        <f aca="false">AS838*CC838</f>
        <v>1.49038461538462</v>
      </c>
      <c r="AU838" s="63" t="n">
        <f aca="false">IF(LEFT(Cockpit!$I$5,1)="A",H838,IF(CI838=1,(CL838+CJ838)/2,IF(LEFT(Cockpit!$I$5,1)="B",(CL838+AW838)/2,MAX((CL838+AW838)/2,H838))))</f>
        <v>214</v>
      </c>
      <c r="AV838" s="62" t="n">
        <f aca="false">AU838*G838</f>
        <v>327.42</v>
      </c>
      <c r="AW838" s="62" t="n">
        <f aca="false">ROUNDUP(CL838+MAX(CM838,2*(J838/IF(CH838&gt;0,CH838,MAX(0.1,N(Cockpit!$I$6)))-CL838)),0)</f>
        <v>210</v>
      </c>
      <c r="AX838" s="63" t="n">
        <f aca="false">IF(AT838&gt;0,J838/AT838,-1)</f>
        <v>177.135483870968</v>
      </c>
      <c r="AY838" s="63" t="n">
        <f aca="false">IF(AND(OR(CG838="L1",CG838="L23",CG838="LIFT"),AT838&gt;0),SUMIFS($AT$7:$AT$1843,$CG$7:$CG$1843,CG838,$AX$7:$AX$1843,"&gt;"&amp;AX838)+SUMIFS($AT$7:$AT$1843,$CG$7:$CG$1843,CG838,$AX$7:$AX$1843,AX838,$BX$7:$BX$1843,"&lt;="&amp;BX838),"")</f>
        <v>521.380494505495</v>
      </c>
      <c r="AZ838" s="70" t="n">
        <f aca="false">IF(AY838="",0,MAX(0,MIN(1,(IF(CG838="L1",Parameter!$H$5,IF(CG838="L23",Parameter!$H$6+Parameter!$H$7,Parameter!$H$5+Parameter!$H$6+Parameter!$H$7))-(AY838-AT838))/AT838)))</f>
        <v>1</v>
      </c>
      <c r="BA838" s="62" t="n">
        <f aca="false">IF(LEFT(Cockpit!$O$5,1)="A",H838,IF(Parameter!$E$30="MAX-Bestand",IF(CI838=1,CJ838,IF(LEFT(Cockpit!$O$5,1)="B",BG838,MAX(BG838,H838))),ROUNDUP(BE838,0)))</f>
        <v>110</v>
      </c>
      <c r="BB838" s="62" t="n">
        <f aca="false">IF(CA838=1,0,ROUNDUP(BA838/BZ838,0))</f>
        <v>1</v>
      </c>
      <c r="BC838" s="64" t="n">
        <f aca="false">IF(CR838&gt;0,CR838*MAX(1,BA838/X838),IF(CA838=1,IF(BA838&lt;=0,0,CE838*MAX(1,IF(H838&gt;0,BA838/H838,1))),IF(R838&gt;0,BB838/R838,0))/MAX(0.1,N(Parameter!$M$21)))</f>
        <v>0.00961538461538462</v>
      </c>
      <c r="BD838" s="62" t="n">
        <f aca="false">BC838*CC838</f>
        <v>1.49038461538462</v>
      </c>
      <c r="BE838" s="63" t="n">
        <f aca="false">IF(LEFT(Cockpit!$O$5,1)="A",H838,IF(CI838=1,(CL838+CJ838)/2,IF(LEFT(Cockpit!$O$5,1)="B",(CL838+BG838)/2,MAX((CL838+BG838)/2,H838))))</f>
        <v>110</v>
      </c>
      <c r="BF838" s="62" t="n">
        <f aca="false">BE838*G838</f>
        <v>168.3</v>
      </c>
      <c r="BG838" s="62" t="n">
        <f aca="false">ROUNDUP(CL838+MAX(CM838,2*(J838/IF(CH838&gt;0,CH838,MAX(0.1,N(Cockpit!$O$6)))-CL838)),0)</f>
        <v>210</v>
      </c>
      <c r="BH838" s="63" t="n">
        <f aca="false">IF(BD838&gt;0,J838/BD838,-1)</f>
        <v>177.135483870968</v>
      </c>
      <c r="BI838" s="63" t="n">
        <f aca="false">IF(AND(OR(CG838="L1",CG838="L23",CG838="LIFT"),BD838&gt;0),SUMIFS($BD$7:$BD$1843,$CG$7:$CG$1843,CG838,$BH$7:$BH$1843,"&gt;"&amp;BH838)+SUMIFS($BD$7:$BD$1843,$CG$7:$CG$1843,CG838,$BH$7:$BH$1843,BH838,$BX$7:$BX$1843,"&lt;="&amp;BX838),"")</f>
        <v>514.070054945055</v>
      </c>
      <c r="BJ838" s="70" t="n">
        <f aca="false">IF(BI838="",0,MAX(0,MIN(1,(IF(CG838="L1",Parameter!$H$5,IF(CG838="L23",Parameter!$H$6+Parameter!$H$7,Parameter!$H$5+Parameter!$H$6+Parameter!$H$7))-(BI838-BD838))/BD838)))</f>
        <v>1</v>
      </c>
      <c r="BK838" s="60" t="str">
        <f aca="false">IF(AJ838&lt;=0,"",IF(CG838="Aussen","Aussenlager",IF(CG838="-","Nicht im Lift",IF(AP838&gt;=1,"Lift",IF(AP838&lt;=0,"Aussenlager","teilweise")))))</f>
        <v>Lift</v>
      </c>
      <c r="BL838" s="60" t="str">
        <f aca="false">IF(AT838&lt;=0,"",IF(CG838="Aussen","Aussenlager",IF(CG838="-","Nicht im Lift",IF(AZ838&gt;=1,"Lift",IF(AZ838&lt;=0,"Aussenlager","teilweise")))))</f>
        <v>Lift</v>
      </c>
      <c r="BM838" s="60" t="str">
        <f aca="false">IF(BD838&lt;=0,"",IF(CG838="Aussen","Aussenlager",IF(CG838="-","Nicht im Lift",IF(BJ838&gt;=1,"Lift",IF(BJ838&lt;=0,"Aussenlager","teilweise")))))</f>
        <v>Lift</v>
      </c>
      <c r="BN838" s="60" t="str">
        <f aca="false">IF(A838="","",IF(BW838=1,"Neu; ","")&amp;IF(AND(BW838=0,BR838&lt;0),"negativer Bestand (Export "&amp;BR838&amp;"); ","")&amp;IF(J838&lt;=0,"Kein Verbrauch; ","")&amp;IF(CR838&gt;0,"Lift "&amp;W838&amp;" lt. Liftbericht (Fach "&amp;X838&amp;" Stk); ",IF(CB838=1,"Gebinde geschätzt ("&amp;T838&amp;"); ",IF(CA838=1,"Lose – Tablare geschätzt; ","")))&amp;IF(H838&gt;AW838,"Überbestand "&amp;ROUND(H838-AW838,0)&amp;" Stk / CHF "&amp;ROUND((H838-AW838)*G838,0)&amp;"; ","")&amp;IF(AND(CI838=1,CJ838&lt;CK838),"MAX &lt; MB+LG; ","")&amp;IF(AND(CQ838&gt;0,CP838*10&gt;CQ838),"zu hoch für Tablar; ","")&amp;IF(AND(BW838=0,OR(CI838=1,AB838&lt;&gt;"",U838&lt;&gt;"",V838&lt;&gt;"",AC838&lt;&gt;"")),"manuell übersteuert; ","")&amp;IF(AND(CA838=0,R838=0),"Gebinde unbekannt / Stellmass fehlt; ","")&amp;IF(AND(CA838=0,N(V838)&lt;=0,N(Q838)&lt;=0),"Menge pro Gebinde fehlt (Ist = 1 Gebinde); ","")&amp;BV838)</f>
        <v>negativer Bestand (Export -8); Überbestand 4 Stk / CHF 6; </v>
      </c>
      <c r="BO838" s="60"/>
      <c r="BP838" s="60"/>
      <c r="BQ838" s="67"/>
      <c r="BR838" s="62" t="n">
        <v>-8</v>
      </c>
      <c r="BS838" s="62" t="n">
        <v>222</v>
      </c>
      <c r="BT838" s="61" t="n">
        <v>-12.1599999999998</v>
      </c>
      <c r="BU838" s="62" t="n">
        <v>264</v>
      </c>
      <c r="BV838" s="60"/>
      <c r="BW838" s="65" t="n">
        <v>0</v>
      </c>
      <c r="BX838" s="65" t="n">
        <v>838</v>
      </c>
      <c r="BY838" s="60" t="str">
        <f aca="false">IF(U838&lt;&gt;"",UPPER(TRIM(U838)),IF(CB838=1,UPPER(VLOOKUP(T838,Parameter!$I$27:$K$29,2,0)),IF(P838="","LOSE",P838)))</f>
        <v>S32</v>
      </c>
      <c r="BZ838" s="62" t="n">
        <f aca="false">IF(BY838="LOSE",1,IF(N(V838)&gt;0,V838,IF(CB838=1,MAX(1,N(VLOOKUP(T838,Parameter!$I$27:$K$29,3,0)),H838,N(N838)),IF(N(Q838)&gt;0,Q838,MAX(1,H838)))))</f>
        <v>513</v>
      </c>
      <c r="CA838" s="65" t="n">
        <f aca="false">IF(BY838="LOSE",1,0)</f>
        <v>0</v>
      </c>
      <c r="CB838" s="65" t="n">
        <f aca="false">IF(AND(U838="",OR(P838="",P838="LOSE"),T838&lt;&gt;"",N(S838)&lt;=0,ISNUMBER(MATCH(T838,Parameter!$I$27:$I$29,0))),1,0)</f>
        <v>0</v>
      </c>
      <c r="CC838" s="65" t="n">
        <f aca="false">IF(CR838&gt;0,INDEX(Parameter!$H$5:$H$7,W838)/INDEX(Parameter!$E$5:$E$7,W838),IF(AND(CA838=0,N(IFERROR(VLOOKUP(BY838,'Gebinde-Kategorie'!$A$5:$N$45,14,0),0))&gt;0),VLOOKUP(BY838,'Gebinde-Kategorie'!$A$5:$N$45,14,0)*10+Parameter!$M$23,Parameter!$M$24))</f>
        <v>155</v>
      </c>
      <c r="CD838" s="60" t="str">
        <f aca="false">IF(AND(Parameter!$B$19="Ja",E838&lt;&gt;"",ISNUMBER(MATCH(E838,Parameter!$I$35:$I$52,0))),VLOOKUP(E838,Parameter!$I$35:$J$52,2,0),IFERROR(VLOOKUP(D838,Parameter!$A$35:$C$64,2,0),"Nein"))</f>
        <v>2+3</v>
      </c>
      <c r="CE838" s="64" t="n">
        <f aca="false">IF(CA838=0,0,IF(N(S838)&gt;0,S838,IFERROR(VLOOKUP(D838,Parameter!$A$35:$C$64,3,0)+0,0)))</f>
        <v>0</v>
      </c>
      <c r="CF838" s="60" t="n">
        <f aca="false">IF(AB838&lt;&gt;"",AB838,AA838)</f>
        <v>2</v>
      </c>
      <c r="CG838" s="60" t="str">
        <f aca="false">IF(OR(CF838=1,CF838=2,CF838=3),IF(Parameter!$E$27="Ja","LIFT",IF(CF838=1,"L1","L23")),IF(CF838="Aussen","Aussen","-"))</f>
        <v>LIFT</v>
      </c>
      <c r="CH838" s="71" t="n">
        <f aca="false">IF(N(AC838)&gt;0,AC838,0)</f>
        <v>0</v>
      </c>
      <c r="CI838" s="65" t="n">
        <f aca="false">IF(ISNUMBER(AF838),1,0)</f>
        <v>0</v>
      </c>
      <c r="CJ838" s="62" t="n">
        <f aca="false">N(AF838)</f>
        <v>0</v>
      </c>
      <c r="CK838" s="62" t="n">
        <f aca="false">N(M838)+N(N838)</f>
        <v>210</v>
      </c>
      <c r="CL838" s="62" t="n">
        <f aca="false">N(M838)</f>
        <v>10</v>
      </c>
      <c r="CM838" s="62" t="n">
        <f aca="false">N(N838)</f>
        <v>200</v>
      </c>
      <c r="CN838" s="62" t="n">
        <f aca="false">ROUNDUP(H838/BZ838,0)</f>
        <v>1</v>
      </c>
      <c r="CO838" s="62" t="n">
        <f aca="false">ROUNDUP(CJ838/BZ838,0)</f>
        <v>0</v>
      </c>
      <c r="CP838" s="65" t="n">
        <f aca="false">IF(CA838=1,0,IFERROR(VLOOKUP(BY838,'Gebinde-Kategorie'!$A$5:$N$45,5,0)+0,0))</f>
        <v>8</v>
      </c>
      <c r="CQ838" s="65" t="n">
        <f aca="false">IFERROR(IF(OR(CF838=1,CF838=2,CF838=3),N(INDEX(Parameter!$I$5:$I$7,CF838)),0),0)</f>
        <v>0</v>
      </c>
      <c r="CR838" s="64" t="n">
        <f aca="false">IF(AND(Parameter!$B$21="Ja",ISNUMBER(W838),N(X838)&gt;0),IFERROR(N(INDEX(Parameter!$L$5:$L$7,W838))*INDEX(Parameter!$E$5:$E$7,W838)*X838/SUMIFS($X$7:$X$1843,$W$7:$W$1843,W838),0),0)</f>
        <v>0</v>
      </c>
      <c r="CS838" s="62" t="n">
        <f aca="false">IF(AND(OR(CG838="L1",CG838="L23",CG838="LIFT"),H838&gt;0),CC838*IF(CR838&gt;0,CR838*MAX(1,H838/X838),IF(CA838=1,CE838,IF(R838&gt;0,CN838/R838,0))/MAX(0.1,N(Parameter!$M$21))),"")</f>
        <v>1.49038461538462</v>
      </c>
      <c r="CT838" s="64" t="n">
        <f aca="false">IF(CS838="","",J838/H838)</f>
        <v>1.23364485981308</v>
      </c>
      <c r="CU838" s="62" t="n">
        <f aca="false">IF(CS838="","",H838*G838)</f>
        <v>327.42</v>
      </c>
      <c r="CV838" s="63" t="n">
        <f aca="false">IF(CS838="","",(CL838+ROUNDUP(CL838+MAX(CM838,2*(J838/MAX(0.1,N(Einkauf!$C$6))-CL838)),0))/2)</f>
        <v>110</v>
      </c>
      <c r="CW838" s="62" t="n">
        <f aca="false">IF(CS838="","",MAX(0,H838-CV838)*G838)</f>
        <v>159.12</v>
      </c>
      <c r="CX838" s="62" t="n">
        <f aca="false">IF(CS838="","",CS838*MAX(0,1-CV838/H838))</f>
        <v>0.724299065420561</v>
      </c>
      <c r="CY838" s="64" t="n">
        <f aca="false">IF(CS838="","",PERCENTRANK($CS$7:$CS$1843,CS838)+PERCENTRANK($CU$7:$CU$1843,CU838)+1-PERCENTRANK($CT$7:$CT$1843,CT838))</f>
        <v>0.833</v>
      </c>
      <c r="CZ838" s="72" t="n">
        <f aca="false">IF(CS838="","",CHOOSE(MATCH(Einkauf!$C$5,Parameter!$G$23:$G$27,0),CY838,CS838,CU838,-CT838,CW838)+ROW()/1000000000)</f>
        <v>0.833000838</v>
      </c>
    </row>
    <row r="839" customFormat="false" ht="15" hidden="false" customHeight="false" outlineLevel="0" collapsed="false">
      <c r="A839" s="60" t="s">
        <v>1652</v>
      </c>
      <c r="B839" s="60" t="s">
        <v>1040</v>
      </c>
      <c r="C839" s="60" t="s">
        <v>206</v>
      </c>
      <c r="D839" s="60" t="s">
        <v>226</v>
      </c>
      <c r="E839" s="60" t="s">
        <v>227</v>
      </c>
      <c r="F839" s="60" t="s">
        <v>260</v>
      </c>
      <c r="G839" s="61" t="n">
        <v>15.42</v>
      </c>
      <c r="H839" s="62" t="n">
        <f aca="false">MAX(0,IF(AND(Parameter!$B$21="Ja",ISNUMBER(Y839)),Y839,IF(Parameter!$B$20="Jahresanfang 2025 + Export",BS839+BR839,BR839)))</f>
        <v>44</v>
      </c>
      <c r="I839" s="62" t="n">
        <f aca="false">H839*G839</f>
        <v>678.48</v>
      </c>
      <c r="J839" s="62" t="n">
        <f aca="false">BU839*Parameter!$B$18</f>
        <v>30</v>
      </c>
      <c r="K839" s="63" t="n">
        <v>30.5</v>
      </c>
      <c r="L839" s="64" t="n">
        <v>0.983606557377049</v>
      </c>
      <c r="M839" s="62" t="n">
        <v>2</v>
      </c>
      <c r="N839" s="62" t="n">
        <v>30</v>
      </c>
      <c r="O839" s="65" t="n">
        <v>35</v>
      </c>
      <c r="P839" s="60" t="s">
        <v>335</v>
      </c>
      <c r="Q839" s="62" t="n">
        <v>11</v>
      </c>
      <c r="R839" s="65" t="n">
        <f aca="false">IF(CA839=1,0,IFERROR(VLOOKUP(BY839,'Gebinde-Kategorie'!$A$5:$N$45,13,0)+0,0))</f>
        <v>12</v>
      </c>
      <c r="S839" s="66"/>
      <c r="T839" s="67"/>
      <c r="U839" s="67"/>
      <c r="V839" s="67"/>
      <c r="W839" s="60"/>
      <c r="X839" s="62"/>
      <c r="Y839" s="62"/>
      <c r="Z839" s="60" t="n">
        <v>3</v>
      </c>
      <c r="AA839" s="60" t="n">
        <f aca="false">IF(A839="","",IF(AND(Parameter!$B$21="Ja",ISNUMBER(W839)),W839,IF(AND(Parameter!$E$27="Ja",ISNUMBER(Z839),CD839&lt;&gt;"Nein"),Z839,IF(CD839="2+3",IF(ISNUMBER(SEARCH("grosser Artikel",BV839)),2,IFERROR(VLOOKUP(BY839,Parameter!$F$35:$G$64,2,0),2)),IF(OR(CD839="Nein",CD839=""),"-",CD839)))))</f>
        <v>3</v>
      </c>
      <c r="AB839" s="67"/>
      <c r="AC839" s="68"/>
      <c r="AD839" s="62" t="n">
        <f aca="false">AW839</f>
        <v>32</v>
      </c>
      <c r="AE839" s="62" t="n">
        <f aca="false">MAX(AW839,H839)</f>
        <v>44</v>
      </c>
      <c r="AF839" s="69"/>
      <c r="AG839" s="62" t="n">
        <f aca="false">IF(LEFT(Cockpit!$C$5,1)="A",H839,IF(Parameter!$E$30="MAX-Bestand",IF(CI839=1,CJ839,IF(LEFT(Cockpit!$C$5,1)="B",AM839,MAX(AM839,H839))),ROUNDUP(AK839,0)))</f>
        <v>44</v>
      </c>
      <c r="AH839" s="62" t="n">
        <f aca="false">IF(CA839=1,0,ROUNDUP(AG839/BZ839,0))</f>
        <v>4</v>
      </c>
      <c r="AI839" s="64" t="n">
        <f aca="false">IF(CR839&gt;0,CR839*MAX(1,AG839/X839),IF(CA839=1,IF(AG839&lt;=0,0,CE839*MAX(1,IF(H839&gt;0,AG839/H839,1))),IF(R839&gt;0,AH839/R839,0))/MAX(0.1,N(Parameter!$M$21)))</f>
        <v>0.333333333333333</v>
      </c>
      <c r="AJ839" s="62" t="n">
        <f aca="false">AI839*CC839</f>
        <v>81.6666666666667</v>
      </c>
      <c r="AK839" s="63" t="n">
        <f aca="false">IF(LEFT(Cockpit!$C$5,1)="A",H839,IF(CI839=1,(CL839+CJ839)/2,IF(LEFT(Cockpit!$C$5,1)="B",(CL839+AM839)/2,MAX((CL839+AM839)/2,H839))))</f>
        <v>44</v>
      </c>
      <c r="AL839" s="62" t="n">
        <f aca="false">AK839*G839</f>
        <v>678.48</v>
      </c>
      <c r="AM839" s="62" t="n">
        <f aca="false">ROUNDUP(CL839+MAX(CM839,2*(J839/IF(CH839&gt;0,CH839,MAX(0.1,N(Cockpit!$C$6)))-CL839)),0)</f>
        <v>32</v>
      </c>
      <c r="AN839" s="63" t="n">
        <f aca="false">IF(AJ839&gt;0,J839/AJ839,-1)</f>
        <v>0.36734693877551</v>
      </c>
      <c r="AO839" s="63" t="n">
        <f aca="false">IF(AND(OR(CG839="L1",CG839="L23",CG839="LIFT"),AJ839&gt;0),SUMIFS($AJ$7:$AJ$1843,$CG$7:$CG$1843,CG839,$AN$7:$AN$1843,"&gt;"&amp;AN839)+SUMIFS($AJ$7:$AJ$1843,$CG$7:$CG$1843,CG839,$AN$7:$AN$1843,AN839,$BX$7:$BX$1843,"&lt;="&amp;BX839),"")</f>
        <v>10540.9999715445</v>
      </c>
      <c r="AP839" s="70" t="n">
        <f aca="false">IF(AO839="",0,MAX(0,MIN(1,(IF(CG839="L1",Parameter!$H$5,IF(CG839="L23",Parameter!$H$6+Parameter!$H$7,Parameter!$H$5+Parameter!$H$6+Parameter!$H$7))-(AO839-AJ839))/AJ839)))</f>
        <v>1</v>
      </c>
      <c r="AQ839" s="62" t="n">
        <f aca="false">IF(LEFT(Cockpit!$I$5,1)="A",H839,IF(Parameter!$E$30="MAX-Bestand",IF(CI839=1,CJ839,IF(LEFT(Cockpit!$I$5,1)="B",AW839,MAX(AW839,H839))),ROUNDUP(AU839,0)))</f>
        <v>44</v>
      </c>
      <c r="AR839" s="62" t="n">
        <f aca="false">IF(CA839=1,0,ROUNDUP(AQ839/BZ839,0))</f>
        <v>4</v>
      </c>
      <c r="AS839" s="64" t="n">
        <f aca="false">IF(CR839&gt;0,CR839*MAX(1,AQ839/X839),IF(CA839=1,IF(AQ839&lt;=0,0,CE839*MAX(1,IF(H839&gt;0,AQ839/H839,1))),IF(R839&gt;0,AR839/R839,0))/MAX(0.1,N(Parameter!$M$21)))</f>
        <v>0.333333333333333</v>
      </c>
      <c r="AT839" s="62" t="n">
        <f aca="false">AS839*CC839</f>
        <v>81.6666666666667</v>
      </c>
      <c r="AU839" s="63" t="n">
        <f aca="false">IF(LEFT(Cockpit!$I$5,1)="A",H839,IF(CI839=1,(CL839+CJ839)/2,IF(LEFT(Cockpit!$I$5,1)="B",(CL839+AW839)/2,MAX((CL839+AW839)/2,H839))))</f>
        <v>44</v>
      </c>
      <c r="AV839" s="62" t="n">
        <f aca="false">AU839*G839</f>
        <v>678.48</v>
      </c>
      <c r="AW839" s="62" t="n">
        <f aca="false">ROUNDUP(CL839+MAX(CM839,2*(J839/IF(CH839&gt;0,CH839,MAX(0.1,N(Cockpit!$I$6)))-CL839)),0)</f>
        <v>32</v>
      </c>
      <c r="AX839" s="63" t="n">
        <f aca="false">IF(AT839&gt;0,J839/AT839,-1)</f>
        <v>0.36734693877551</v>
      </c>
      <c r="AY839" s="63" t="n">
        <f aca="false">IF(AND(OR(CG839="L1",CG839="L23",CG839="LIFT"),AT839&gt;0),SUMIFS($AT$7:$AT$1843,$CG$7:$CG$1843,CG839,$AX$7:$AX$1843,"&gt;"&amp;AX839)+SUMIFS($AT$7:$AT$1843,$CG$7:$CG$1843,CG839,$AX$7:$AX$1843,AX839,$BX$7:$BX$1843,"&lt;="&amp;BX839),"")</f>
        <v>13272.7532051282</v>
      </c>
      <c r="AZ839" s="70" t="n">
        <f aca="false">IF(AY839="",0,MAX(0,MIN(1,(IF(CG839="L1",Parameter!$H$5,IF(CG839="L23",Parameter!$H$6+Parameter!$H$7,Parameter!$H$5+Parameter!$H$6+Parameter!$H$7))-(AY839-AT839))/AT839)))</f>
        <v>1</v>
      </c>
      <c r="BA839" s="62" t="n">
        <f aca="false">IF(LEFT(Cockpit!$O$5,1)="A",H839,IF(Parameter!$E$30="MAX-Bestand",IF(CI839=1,CJ839,IF(LEFT(Cockpit!$O$5,1)="B",BG839,MAX(BG839,H839))),ROUNDUP(BE839,0)))</f>
        <v>17</v>
      </c>
      <c r="BB839" s="62" t="n">
        <f aca="false">IF(CA839=1,0,ROUNDUP(BA839/BZ839,0))</f>
        <v>2</v>
      </c>
      <c r="BC839" s="64" t="n">
        <f aca="false">IF(CR839&gt;0,CR839*MAX(1,BA839/X839),IF(CA839=1,IF(BA839&lt;=0,0,CE839*MAX(1,IF(H839&gt;0,BA839/H839,1))),IF(R839&gt;0,BB839/R839,0))/MAX(0.1,N(Parameter!$M$21)))</f>
        <v>0.166666666666667</v>
      </c>
      <c r="BD839" s="62" t="n">
        <f aca="false">BC839*CC839</f>
        <v>40.8333333333333</v>
      </c>
      <c r="BE839" s="63" t="n">
        <f aca="false">IF(LEFT(Cockpit!$O$5,1)="A",H839,IF(CI839=1,(CL839+CJ839)/2,IF(LEFT(Cockpit!$O$5,1)="B",(CL839+BG839)/2,MAX((CL839+BG839)/2,H839))))</f>
        <v>17</v>
      </c>
      <c r="BF839" s="62" t="n">
        <f aca="false">BE839*G839</f>
        <v>262.14</v>
      </c>
      <c r="BG839" s="62" t="n">
        <f aca="false">ROUNDUP(CL839+MAX(CM839,2*(J839/IF(CH839&gt;0,CH839,MAX(0.1,N(Cockpit!$O$6)))-CL839)),0)</f>
        <v>32</v>
      </c>
      <c r="BH839" s="63" t="n">
        <f aca="false">IF(BD839&gt;0,J839/BD839,-1)</f>
        <v>0.73469387755102</v>
      </c>
      <c r="BI839" s="63" t="n">
        <f aca="false">IF(AND(OR(CG839="L1",CG839="L23",CG839="LIFT"),BD839&gt;0),SUMIFS($BD$7:$BD$1843,$CG$7:$CG$1843,CG839,$BH$7:$BH$1843,"&gt;"&amp;BH839)+SUMIFS($BD$7:$BD$1843,$CG$7:$CG$1843,CG839,$BH$7:$BH$1843,BH839,$BX$7:$BX$1843,"&lt;="&amp;BX839),"")</f>
        <v>9318.87225274725</v>
      </c>
      <c r="BJ839" s="70" t="n">
        <f aca="false">IF(BI839="",0,MAX(0,MIN(1,(IF(CG839="L1",Parameter!$H$5,IF(CG839="L23",Parameter!$H$6+Parameter!$H$7,Parameter!$H$5+Parameter!$H$6+Parameter!$H$7))-(BI839-BD839))/BD839)))</f>
        <v>1</v>
      </c>
      <c r="BK839" s="60" t="str">
        <f aca="false">IF(AJ839&lt;=0,"",IF(CG839="Aussen","Aussenlager",IF(CG839="-","Nicht im Lift",IF(AP839&gt;=1,"Lift",IF(AP839&lt;=0,"Aussenlager","teilweise")))))</f>
        <v>Lift</v>
      </c>
      <c r="BL839" s="60" t="str">
        <f aca="false">IF(AT839&lt;=0,"",IF(CG839="Aussen","Aussenlager",IF(CG839="-","Nicht im Lift",IF(AZ839&gt;=1,"Lift",IF(AZ839&lt;=0,"Aussenlager","teilweise")))))</f>
        <v>Lift</v>
      </c>
      <c r="BM839" s="60" t="str">
        <f aca="false">IF(BD839&lt;=0,"",IF(CG839="Aussen","Aussenlager",IF(CG839="-","Nicht im Lift",IF(BJ839&gt;=1,"Lift",IF(BJ839&lt;=0,"Aussenlager","teilweise")))))</f>
        <v>Lift</v>
      </c>
      <c r="BN839" s="60" t="str">
        <f aca="false">IF(A839="","",IF(BW839=1,"Neu; ","")&amp;IF(AND(BW839=0,BR839&lt;0),"negativer Bestand (Export "&amp;BR839&amp;"); ","")&amp;IF(J839&lt;=0,"Kein Verbrauch; ","")&amp;IF(CR839&gt;0,"Lift "&amp;W839&amp;" lt. Liftbericht (Fach "&amp;X839&amp;" Stk); ",IF(CB839=1,"Gebinde geschätzt ("&amp;T839&amp;"); ",IF(CA839=1,"Lose – Tablare geschätzt; ","")))&amp;IF(H839&gt;AW839,"Überbestand "&amp;ROUND(H839-AW839,0)&amp;" Stk / CHF "&amp;ROUND((H839-AW839)*G839,0)&amp;"; ","")&amp;IF(AND(CI839=1,CJ839&lt;CK839),"MAX &lt; MB+LG; ","")&amp;IF(AND(CQ839&gt;0,CP839*10&gt;CQ839),"zu hoch für Tablar; ","")&amp;IF(AND(BW839=0,OR(CI839=1,AB839&lt;&gt;"",U839&lt;&gt;"",V839&lt;&gt;"",AC839&lt;&gt;"")),"manuell übersteuert; ","")&amp;IF(AND(CA839=0,R839=0),"Gebinde unbekannt / Stellmass fehlt; ","")&amp;IF(AND(CA839=0,N(V839)&lt;=0,N(Q839)&lt;=0),"Menge pro Gebinde fehlt (Ist = 1 Gebinde); ","")&amp;BV839)</f>
        <v>negativer Bestand (Export -2); Überbestand 12 Stk / CHF 185; </v>
      </c>
      <c r="BO839" s="60"/>
      <c r="BP839" s="60"/>
      <c r="BQ839" s="67"/>
      <c r="BR839" s="62" t="n">
        <v>-2</v>
      </c>
      <c r="BS839" s="62" t="n">
        <v>46</v>
      </c>
      <c r="BT839" s="61" t="n">
        <v>-12.8999999999999</v>
      </c>
      <c r="BU839" s="62" t="n">
        <v>30</v>
      </c>
      <c r="BV839" s="60"/>
      <c r="BW839" s="65" t="n">
        <v>0</v>
      </c>
      <c r="BX839" s="65" t="n">
        <v>839</v>
      </c>
      <c r="BY839" s="60" t="str">
        <f aca="false">IF(U839&lt;&gt;"",UPPER(TRIM(U839)),IF(CB839=1,UPPER(VLOOKUP(T839,Parameter!$I$27:$K$29,2,0)),IF(P839="","LOSE",P839)))</f>
        <v>S62</v>
      </c>
      <c r="BZ839" s="62" t="n">
        <f aca="false">IF(BY839="LOSE",1,IF(N(V839)&gt;0,V839,IF(CB839=1,MAX(1,N(VLOOKUP(T839,Parameter!$I$27:$K$29,3,0)),H839,N(N839)),IF(N(Q839)&gt;0,Q839,MAX(1,H839)))))</f>
        <v>11</v>
      </c>
      <c r="CA839" s="65" t="n">
        <f aca="false">IF(BY839="LOSE",1,0)</f>
        <v>0</v>
      </c>
      <c r="CB839" s="65" t="n">
        <f aca="false">IF(AND(U839="",OR(P839="",P839="LOSE"),T839&lt;&gt;"",N(S839)&lt;=0,ISNUMBER(MATCH(T839,Parameter!$I$27:$I$29,0))),1,0)</f>
        <v>0</v>
      </c>
      <c r="CC839" s="65" t="n">
        <f aca="false">IF(CR839&gt;0,INDEX(Parameter!$H$5:$H$7,W839)/INDEX(Parameter!$E$5:$E$7,W839),IF(AND(CA839=0,N(IFERROR(VLOOKUP(BY839,'Gebinde-Kategorie'!$A$5:$N$45,14,0),0))&gt;0),VLOOKUP(BY839,'Gebinde-Kategorie'!$A$5:$N$45,14,0)*10+Parameter!$M$23,Parameter!$M$24))</f>
        <v>245</v>
      </c>
      <c r="CD839" s="60" t="str">
        <f aca="false">IF(AND(Parameter!$B$19="Ja",E839&lt;&gt;"",ISNUMBER(MATCH(E839,Parameter!$I$35:$I$52,0))),VLOOKUP(E839,Parameter!$I$35:$J$52,2,0),IFERROR(VLOOKUP(D839,Parameter!$A$35:$C$64,2,0),"Nein"))</f>
        <v>2+3</v>
      </c>
      <c r="CE839" s="64" t="n">
        <f aca="false">IF(CA839=0,0,IF(N(S839)&gt;0,S839,IFERROR(VLOOKUP(D839,Parameter!$A$35:$C$64,3,0)+0,0)))</f>
        <v>0</v>
      </c>
      <c r="CF839" s="60" t="n">
        <f aca="false">IF(AB839&lt;&gt;"",AB839,AA839)</f>
        <v>3</v>
      </c>
      <c r="CG839" s="60" t="str">
        <f aca="false">IF(OR(CF839=1,CF839=2,CF839=3),IF(Parameter!$E$27="Ja","LIFT",IF(CF839=1,"L1","L23")),IF(CF839="Aussen","Aussen","-"))</f>
        <v>LIFT</v>
      </c>
      <c r="CH839" s="71" t="n">
        <f aca="false">IF(N(AC839)&gt;0,AC839,0)</f>
        <v>0</v>
      </c>
      <c r="CI839" s="65" t="n">
        <f aca="false">IF(ISNUMBER(AF839),1,0)</f>
        <v>0</v>
      </c>
      <c r="CJ839" s="62" t="n">
        <f aca="false">N(AF839)</f>
        <v>0</v>
      </c>
      <c r="CK839" s="62" t="n">
        <f aca="false">N(M839)+N(N839)</f>
        <v>32</v>
      </c>
      <c r="CL839" s="62" t="n">
        <f aca="false">N(M839)</f>
        <v>2</v>
      </c>
      <c r="CM839" s="62" t="n">
        <f aca="false">N(N839)</f>
        <v>30</v>
      </c>
      <c r="CN839" s="62" t="n">
        <f aca="false">ROUNDUP(H839/BZ839,0)</f>
        <v>4</v>
      </c>
      <c r="CO839" s="62" t="n">
        <f aca="false">ROUNDUP(CJ839/BZ839,0)</f>
        <v>0</v>
      </c>
      <c r="CP839" s="65" t="n">
        <f aca="false">IF(CA839=1,0,IFERROR(VLOOKUP(BY839,'Gebinde-Kategorie'!$A$5:$N$45,5,0)+0,0))</f>
        <v>21</v>
      </c>
      <c r="CQ839" s="65" t="n">
        <f aca="false">IFERROR(IF(OR(CF839=1,CF839=2,CF839=3),N(INDEX(Parameter!$I$5:$I$7,CF839)),0),0)</f>
        <v>0</v>
      </c>
      <c r="CR839" s="64" t="n">
        <f aca="false">IF(AND(Parameter!$B$21="Ja",ISNUMBER(W839),N(X839)&gt;0),IFERROR(N(INDEX(Parameter!$L$5:$L$7,W839))*INDEX(Parameter!$E$5:$E$7,W839)*X839/SUMIFS($X$7:$X$1843,$W$7:$W$1843,W839),0),0)</f>
        <v>0</v>
      </c>
      <c r="CS839" s="62" t="n">
        <f aca="false">IF(AND(OR(CG839="L1",CG839="L23",CG839="LIFT"),H839&gt;0),CC839*IF(CR839&gt;0,CR839*MAX(1,H839/X839),IF(CA839=1,CE839,IF(R839&gt;0,CN839/R839,0))/MAX(0.1,N(Parameter!$M$21))),"")</f>
        <v>81.6666666666667</v>
      </c>
      <c r="CT839" s="64" t="n">
        <f aca="false">IF(CS839="","",J839/H839)</f>
        <v>0.681818181818182</v>
      </c>
      <c r="CU839" s="62" t="n">
        <f aca="false">IF(CS839="","",H839*G839)</f>
        <v>678.48</v>
      </c>
      <c r="CV839" s="63" t="n">
        <f aca="false">IF(CS839="","",(CL839+ROUNDUP(CL839+MAX(CM839,2*(J839/MAX(0.1,N(Einkauf!$C$6))-CL839)),0))/2)</f>
        <v>17</v>
      </c>
      <c r="CW839" s="62" t="n">
        <f aca="false">IF(CS839="","",MAX(0,H839-CV839)*G839)</f>
        <v>416.34</v>
      </c>
      <c r="CX839" s="62" t="n">
        <f aca="false">IF(CS839="","",CS839*MAX(0,1-CV839/H839))</f>
        <v>50.1136363636364</v>
      </c>
      <c r="CY839" s="64" t="n">
        <f aca="false">IF(CS839="","",PERCENTRANK($CS$7:$CS$1843,CS839)+PERCENTRANK($CU$7:$CU$1843,CU839)+1-PERCENTRANK($CT$7:$CT$1843,CT839))</f>
        <v>1.948</v>
      </c>
      <c r="CZ839" s="72" t="n">
        <f aca="false">IF(CS839="","",CHOOSE(MATCH(Einkauf!$C$5,Parameter!$G$23:$G$27,0),CY839,CS839,CU839,-CT839,CW839)+ROW()/1000000000)</f>
        <v>1.948000839</v>
      </c>
    </row>
    <row r="840" customFormat="false" ht="15" hidden="false" customHeight="false" outlineLevel="0" collapsed="false">
      <c r="A840" s="60" t="s">
        <v>1653</v>
      </c>
      <c r="B840" s="60" t="s">
        <v>1308</v>
      </c>
      <c r="C840" s="60" t="s">
        <v>206</v>
      </c>
      <c r="D840" s="60" t="s">
        <v>226</v>
      </c>
      <c r="E840" s="60" t="s">
        <v>227</v>
      </c>
      <c r="F840" s="60" t="s">
        <v>260</v>
      </c>
      <c r="G840" s="61" t="n">
        <v>0.06</v>
      </c>
      <c r="H840" s="62" t="n">
        <f aca="false">MAX(0,IF(AND(Parameter!$B$21="Ja",ISNUMBER(Y840)),Y840,IF(Parameter!$B$20="Jahresanfang 2025 + Export",BS840+BR840,BR840)))</f>
        <v>433</v>
      </c>
      <c r="I840" s="62" t="n">
        <f aca="false">H840*G840</f>
        <v>25.98</v>
      </c>
      <c r="J840" s="62" t="n">
        <f aca="false">BU840*Parameter!$B$18</f>
        <v>94</v>
      </c>
      <c r="K840" s="63" t="n">
        <v>590</v>
      </c>
      <c r="L840" s="64" t="n">
        <v>0.159322033898305</v>
      </c>
      <c r="M840" s="62" t="n">
        <v>5</v>
      </c>
      <c r="N840" s="62" t="n">
        <v>95</v>
      </c>
      <c r="O840" s="65" t="n">
        <v>21</v>
      </c>
      <c r="P840" s="60" t="s">
        <v>518</v>
      </c>
      <c r="Q840" s="62" t="n">
        <v>1050</v>
      </c>
      <c r="R840" s="65" t="n">
        <f aca="false">IF(CA840=1,0,IFERROR(VLOOKUP(BY840,'Gebinde-Kategorie'!$A$5:$N$45,13,0)+0,0))</f>
        <v>52</v>
      </c>
      <c r="S840" s="66"/>
      <c r="T840" s="67"/>
      <c r="U840" s="67"/>
      <c r="V840" s="67"/>
      <c r="W840" s="60"/>
      <c r="X840" s="62"/>
      <c r="Y840" s="62"/>
      <c r="Z840" s="60" t="n">
        <v>2</v>
      </c>
      <c r="AA840" s="60" t="n">
        <f aca="false">IF(A840="","",IF(AND(Parameter!$B$21="Ja",ISNUMBER(W840)),W840,IF(AND(Parameter!$E$27="Ja",ISNUMBER(Z840),CD840&lt;&gt;"Nein"),Z840,IF(CD840="2+3",IF(ISNUMBER(SEARCH("grosser Artikel",BV840)),2,IFERROR(VLOOKUP(BY840,Parameter!$F$35:$G$64,2,0),2)),IF(OR(CD840="Nein",CD840=""),"-",CD840)))))</f>
        <v>2</v>
      </c>
      <c r="AB840" s="67"/>
      <c r="AC840" s="68"/>
      <c r="AD840" s="62" t="n">
        <f aca="false">AW840</f>
        <v>100</v>
      </c>
      <c r="AE840" s="62" t="n">
        <f aca="false">MAX(AW840,H840)</f>
        <v>433</v>
      </c>
      <c r="AF840" s="69"/>
      <c r="AG840" s="62" t="n">
        <f aca="false">IF(LEFT(Cockpit!$C$5,1)="A",H840,IF(Parameter!$E$30="MAX-Bestand",IF(CI840=1,CJ840,IF(LEFT(Cockpit!$C$5,1)="B",AM840,MAX(AM840,H840))),ROUNDUP(AK840,0)))</f>
        <v>433</v>
      </c>
      <c r="AH840" s="62" t="n">
        <f aca="false">IF(CA840=1,0,ROUNDUP(AG840/BZ840,0))</f>
        <v>1</v>
      </c>
      <c r="AI840" s="64" t="n">
        <f aca="false">IF(CR840&gt;0,CR840*MAX(1,AG840/X840),IF(CA840=1,IF(AG840&lt;=0,0,CE840*MAX(1,IF(H840&gt;0,AG840/H840,1))),IF(R840&gt;0,AH840/R840,0))/MAX(0.1,N(Parameter!$M$21)))</f>
        <v>0.0192307692307692</v>
      </c>
      <c r="AJ840" s="62" t="n">
        <f aca="false">AI840*CC840</f>
        <v>2.98076923076923</v>
      </c>
      <c r="AK840" s="63" t="n">
        <f aca="false">IF(LEFT(Cockpit!$C$5,1)="A",H840,IF(CI840=1,(CL840+CJ840)/2,IF(LEFT(Cockpit!$C$5,1)="B",(CL840+AM840)/2,MAX((CL840+AM840)/2,H840))))</f>
        <v>433</v>
      </c>
      <c r="AL840" s="62" t="n">
        <f aca="false">AK840*G840</f>
        <v>25.98</v>
      </c>
      <c r="AM840" s="62" t="n">
        <f aca="false">ROUNDUP(CL840+MAX(CM840,2*(J840/IF(CH840&gt;0,CH840,MAX(0.1,N(Cockpit!$C$6)))-CL840)),0)</f>
        <v>100</v>
      </c>
      <c r="AN840" s="63" t="n">
        <f aca="false">IF(AJ840&gt;0,J840/AJ840,-1)</f>
        <v>31.5354838709677</v>
      </c>
      <c r="AO840" s="63" t="n">
        <f aca="false">IF(AND(OR(CG840="L1",CG840="L23",CG840="LIFT"),AJ840&gt;0),SUMIFS($AJ$7:$AJ$1843,$CG$7:$CG$1843,CG840,$AN$7:$AN$1843,"&gt;"&amp;AN840)+SUMIFS($AJ$7:$AJ$1843,$CG$7:$CG$1843,CG840,$AN$7:$AN$1843,AN840,$BX$7:$BX$1843,"&lt;="&amp;BX840),"")</f>
        <v>1382.00549450549</v>
      </c>
      <c r="AP840" s="70" t="n">
        <f aca="false">IF(AO840="",0,MAX(0,MIN(1,(IF(CG840="L1",Parameter!$H$5,IF(CG840="L23",Parameter!$H$6+Parameter!$H$7,Parameter!$H$5+Parameter!$H$6+Parameter!$H$7))-(AO840-AJ840))/AJ840)))</f>
        <v>1</v>
      </c>
      <c r="AQ840" s="62" t="n">
        <f aca="false">IF(LEFT(Cockpit!$I$5,1)="A",H840,IF(Parameter!$E$30="MAX-Bestand",IF(CI840=1,CJ840,IF(LEFT(Cockpit!$I$5,1)="B",AW840,MAX(AW840,H840))),ROUNDUP(AU840,0)))</f>
        <v>433</v>
      </c>
      <c r="AR840" s="62" t="n">
        <f aca="false">IF(CA840=1,0,ROUNDUP(AQ840/BZ840,0))</f>
        <v>1</v>
      </c>
      <c r="AS840" s="64" t="n">
        <f aca="false">IF(CR840&gt;0,CR840*MAX(1,AQ840/X840),IF(CA840=1,IF(AQ840&lt;=0,0,CE840*MAX(1,IF(H840&gt;0,AQ840/H840,1))),IF(R840&gt;0,AR840/R840,0))/MAX(0.1,N(Parameter!$M$21)))</f>
        <v>0.0192307692307692</v>
      </c>
      <c r="AT840" s="62" t="n">
        <f aca="false">AS840*CC840</f>
        <v>2.98076923076923</v>
      </c>
      <c r="AU840" s="63" t="n">
        <f aca="false">IF(LEFT(Cockpit!$I$5,1)="A",H840,IF(CI840=1,(CL840+CJ840)/2,IF(LEFT(Cockpit!$I$5,1)="B",(CL840+AW840)/2,MAX((CL840+AW840)/2,H840))))</f>
        <v>433</v>
      </c>
      <c r="AV840" s="62" t="n">
        <f aca="false">AU840*G840</f>
        <v>25.98</v>
      </c>
      <c r="AW840" s="62" t="n">
        <f aca="false">ROUNDUP(CL840+MAX(CM840,2*(J840/IF(CH840&gt;0,CH840,MAX(0.1,N(Cockpit!$I$6)))-CL840)),0)</f>
        <v>100</v>
      </c>
      <c r="AX840" s="63" t="n">
        <f aca="false">IF(AT840&gt;0,J840/AT840,-1)</f>
        <v>31.5354838709677</v>
      </c>
      <c r="AY840" s="63" t="n">
        <f aca="false">IF(AND(OR(CG840="L1",CG840="L23",CG840="LIFT"),AT840&gt;0),SUMIFS($AT$7:$AT$1843,$CG$7:$CG$1843,CG840,$AX$7:$AX$1843,"&gt;"&amp;AX840)+SUMIFS($AT$7:$AT$1843,$CG$7:$CG$1843,CG840,$AX$7:$AX$1843,AX840,$BX$7:$BX$1843,"&lt;="&amp;BX840),"")</f>
        <v>1794.11767399267</v>
      </c>
      <c r="AZ840" s="70" t="n">
        <f aca="false">IF(AY840="",0,MAX(0,MIN(1,(IF(CG840="L1",Parameter!$H$5,IF(CG840="L23",Parameter!$H$6+Parameter!$H$7,Parameter!$H$5+Parameter!$H$6+Parameter!$H$7))-(AY840-AT840))/AT840)))</f>
        <v>1</v>
      </c>
      <c r="BA840" s="62" t="n">
        <f aca="false">IF(LEFT(Cockpit!$O$5,1)="A",H840,IF(Parameter!$E$30="MAX-Bestand",IF(CI840=1,CJ840,IF(LEFT(Cockpit!$O$5,1)="B",BG840,MAX(BG840,H840))),ROUNDUP(BE840,0)))</f>
        <v>53</v>
      </c>
      <c r="BB840" s="62" t="n">
        <f aca="false">IF(CA840=1,0,ROUNDUP(BA840/BZ840,0))</f>
        <v>1</v>
      </c>
      <c r="BC840" s="64" t="n">
        <f aca="false">IF(CR840&gt;0,CR840*MAX(1,BA840/X840),IF(CA840=1,IF(BA840&lt;=0,0,CE840*MAX(1,IF(H840&gt;0,BA840/H840,1))),IF(R840&gt;0,BB840/R840,0))/MAX(0.1,N(Parameter!$M$21)))</f>
        <v>0.0192307692307692</v>
      </c>
      <c r="BD840" s="62" t="n">
        <f aca="false">BC840*CC840</f>
        <v>2.98076923076923</v>
      </c>
      <c r="BE840" s="63" t="n">
        <f aca="false">IF(LEFT(Cockpit!$O$5,1)="A",H840,IF(CI840=1,(CL840+CJ840)/2,IF(LEFT(Cockpit!$O$5,1)="B",(CL840+BG840)/2,MAX((CL840+BG840)/2,H840))))</f>
        <v>52.5</v>
      </c>
      <c r="BF840" s="62" t="n">
        <f aca="false">BE840*G840</f>
        <v>3.15</v>
      </c>
      <c r="BG840" s="62" t="n">
        <f aca="false">ROUNDUP(CL840+MAX(CM840,2*(J840/IF(CH840&gt;0,CH840,MAX(0.1,N(Cockpit!$O$6)))-CL840)),0)</f>
        <v>100</v>
      </c>
      <c r="BH840" s="63" t="n">
        <f aca="false">IF(BD840&gt;0,J840/BD840,-1)</f>
        <v>31.5354838709677</v>
      </c>
      <c r="BI840" s="63" t="n">
        <f aca="false">IF(AND(OR(CG840="L1",CG840="L23",CG840="LIFT"),BD840&gt;0),SUMIFS($BD$7:$BD$1843,$CG$7:$CG$1843,CG840,$BH$7:$BH$1843,"&gt;"&amp;BH840)+SUMIFS($BD$7:$BD$1843,$CG$7:$CG$1843,CG840,$BH$7:$BH$1843,BH840,$BX$7:$BX$1843,"&lt;="&amp;BX840),"")</f>
        <v>1731.57921245421</v>
      </c>
      <c r="BJ840" s="70" t="n">
        <f aca="false">IF(BI840="",0,MAX(0,MIN(1,(IF(CG840="L1",Parameter!$H$5,IF(CG840="L23",Parameter!$H$6+Parameter!$H$7,Parameter!$H$5+Parameter!$H$6+Parameter!$H$7))-(BI840-BD840))/BD840)))</f>
        <v>1</v>
      </c>
      <c r="BK840" s="60" t="str">
        <f aca="false">IF(AJ840&lt;=0,"",IF(CG840="Aussen","Aussenlager",IF(CG840="-","Nicht im Lift",IF(AP840&gt;=1,"Lift",IF(AP840&lt;=0,"Aussenlager","teilweise")))))</f>
        <v>Lift</v>
      </c>
      <c r="BL840" s="60" t="str">
        <f aca="false">IF(AT840&lt;=0,"",IF(CG840="Aussen","Aussenlager",IF(CG840="-","Nicht im Lift",IF(AZ840&gt;=1,"Lift",IF(AZ840&lt;=0,"Aussenlager","teilweise")))))</f>
        <v>Lift</v>
      </c>
      <c r="BM840" s="60" t="str">
        <f aca="false">IF(BD840&lt;=0,"",IF(CG840="Aussen","Aussenlager",IF(CG840="-","Nicht im Lift",IF(BJ840&gt;=1,"Lift",IF(BJ840&lt;=0,"Aussenlager","teilweise")))))</f>
        <v>Lift</v>
      </c>
      <c r="BN840" s="60" t="str">
        <f aca="false">IF(A840="","",IF(BW840=1,"Neu; ","")&amp;IF(AND(BW840=0,BR840&lt;0),"negativer Bestand (Export "&amp;BR840&amp;"); ","")&amp;IF(J840&lt;=0,"Kein Verbrauch; ","")&amp;IF(CR840&gt;0,"Lift "&amp;W840&amp;" lt. Liftbericht (Fach "&amp;X840&amp;" Stk); ",IF(CB840=1,"Gebinde geschätzt ("&amp;T840&amp;"); ",IF(CA840=1,"Lose – Tablare geschätzt; ","")))&amp;IF(H840&gt;AW840,"Überbestand "&amp;ROUND(H840-AW840,0)&amp;" Stk / CHF "&amp;ROUND((H840-AW840)*G840,0)&amp;"; ","")&amp;IF(AND(CI840=1,CJ840&lt;CK840),"MAX &lt; MB+LG; ","")&amp;IF(AND(CQ840&gt;0,CP840*10&gt;CQ840),"zu hoch für Tablar; ","")&amp;IF(AND(BW840=0,OR(CI840=1,AB840&lt;&gt;"",U840&lt;&gt;"",V840&lt;&gt;"",AC840&lt;&gt;"")),"manuell übersteuert; ","")&amp;IF(AND(CA840=0,R840=0),"Gebinde unbekannt / Stellmass fehlt; ","")&amp;IF(AND(CA840=0,N(V840)&lt;=0,N(Q840)&lt;=0),"Menge pro Gebinde fehlt (Ist = 1 Gebinde); ","")&amp;BV840)</f>
        <v>negativer Bestand (Export -219); Überbestand 333 Stk / CHF 20; Neu</v>
      </c>
      <c r="BO840" s="60"/>
      <c r="BP840" s="60"/>
      <c r="BQ840" s="67"/>
      <c r="BR840" s="62" t="n">
        <v>-219</v>
      </c>
      <c r="BS840" s="62" t="n">
        <v>652</v>
      </c>
      <c r="BT840" s="61" t="n">
        <v>-13.14</v>
      </c>
      <c r="BU840" s="62" t="n">
        <v>94</v>
      </c>
      <c r="BV840" s="60" t="s">
        <v>668</v>
      </c>
      <c r="BW840" s="65" t="n">
        <v>0</v>
      </c>
      <c r="BX840" s="65" t="n">
        <v>840</v>
      </c>
      <c r="BY840" s="60" t="str">
        <f aca="false">IF(U840&lt;&gt;"",UPPER(TRIM(U840)),IF(CB840=1,UPPER(VLOOKUP(T840,Parameter!$I$27:$K$29,2,0)),IF(P840="","LOSE",P840)))</f>
        <v>S33</v>
      </c>
      <c r="BZ840" s="62" t="n">
        <f aca="false">IF(BY840="LOSE",1,IF(N(V840)&gt;0,V840,IF(CB840=1,MAX(1,N(VLOOKUP(T840,Parameter!$I$27:$K$29,3,0)),H840,N(N840)),IF(N(Q840)&gt;0,Q840,MAX(1,H840)))))</f>
        <v>1050</v>
      </c>
      <c r="CA840" s="65" t="n">
        <f aca="false">IF(BY840="LOSE",1,0)</f>
        <v>0</v>
      </c>
      <c r="CB840" s="65" t="n">
        <f aca="false">IF(AND(U840="",OR(P840="",P840="LOSE"),T840&lt;&gt;"",N(S840)&lt;=0,ISNUMBER(MATCH(T840,Parameter!$I$27:$I$29,0))),1,0)</f>
        <v>0</v>
      </c>
      <c r="CC840" s="65" t="n">
        <f aca="false">IF(CR840&gt;0,INDEX(Parameter!$H$5:$H$7,W840)/INDEX(Parameter!$E$5:$E$7,W840),IF(AND(CA840=0,N(IFERROR(VLOOKUP(BY840,'Gebinde-Kategorie'!$A$5:$N$45,14,0),0))&gt;0),VLOOKUP(BY840,'Gebinde-Kategorie'!$A$5:$N$45,14,0)*10+Parameter!$M$23,Parameter!$M$24))</f>
        <v>155</v>
      </c>
      <c r="CD840" s="60" t="str">
        <f aca="false">IF(AND(Parameter!$B$19="Ja",E840&lt;&gt;"",ISNUMBER(MATCH(E840,Parameter!$I$35:$I$52,0))),VLOOKUP(E840,Parameter!$I$35:$J$52,2,0),IFERROR(VLOOKUP(D840,Parameter!$A$35:$C$64,2,0),"Nein"))</f>
        <v>2+3</v>
      </c>
      <c r="CE840" s="64" t="n">
        <f aca="false">IF(CA840=0,0,IF(N(S840)&gt;0,S840,IFERROR(VLOOKUP(D840,Parameter!$A$35:$C$64,3,0)+0,0)))</f>
        <v>0</v>
      </c>
      <c r="CF840" s="60" t="n">
        <f aca="false">IF(AB840&lt;&gt;"",AB840,AA840)</f>
        <v>2</v>
      </c>
      <c r="CG840" s="60" t="str">
        <f aca="false">IF(OR(CF840=1,CF840=2,CF840=3),IF(Parameter!$E$27="Ja","LIFT",IF(CF840=1,"L1","L23")),IF(CF840="Aussen","Aussen","-"))</f>
        <v>LIFT</v>
      </c>
      <c r="CH840" s="71" t="n">
        <f aca="false">IF(N(AC840)&gt;0,AC840,0)</f>
        <v>0</v>
      </c>
      <c r="CI840" s="65" t="n">
        <f aca="false">IF(ISNUMBER(AF840),1,0)</f>
        <v>0</v>
      </c>
      <c r="CJ840" s="62" t="n">
        <f aca="false">N(AF840)</f>
        <v>0</v>
      </c>
      <c r="CK840" s="62" t="n">
        <f aca="false">N(M840)+N(N840)</f>
        <v>100</v>
      </c>
      <c r="CL840" s="62" t="n">
        <f aca="false">N(M840)</f>
        <v>5</v>
      </c>
      <c r="CM840" s="62" t="n">
        <f aca="false">N(N840)</f>
        <v>95</v>
      </c>
      <c r="CN840" s="62" t="n">
        <f aca="false">ROUNDUP(H840/BZ840,0)</f>
        <v>1</v>
      </c>
      <c r="CO840" s="62" t="n">
        <f aca="false">ROUNDUP(CJ840/BZ840,0)</f>
        <v>0</v>
      </c>
      <c r="CP840" s="65" t="n">
        <f aca="false">IF(CA840=1,0,IFERROR(VLOOKUP(BY840,'Gebinde-Kategorie'!$A$5:$N$45,5,0)+0,0))</f>
        <v>8</v>
      </c>
      <c r="CQ840" s="65" t="n">
        <f aca="false">IFERROR(IF(OR(CF840=1,CF840=2,CF840=3),N(INDEX(Parameter!$I$5:$I$7,CF840)),0),0)</f>
        <v>0</v>
      </c>
      <c r="CR840" s="64" t="n">
        <f aca="false">IF(AND(Parameter!$B$21="Ja",ISNUMBER(W840),N(X840)&gt;0),IFERROR(N(INDEX(Parameter!$L$5:$L$7,W840))*INDEX(Parameter!$E$5:$E$7,W840)*X840/SUMIFS($X$7:$X$1843,$W$7:$W$1843,W840),0),0)</f>
        <v>0</v>
      </c>
      <c r="CS840" s="62" t="n">
        <f aca="false">IF(AND(OR(CG840="L1",CG840="L23",CG840="LIFT"),H840&gt;0),CC840*IF(CR840&gt;0,CR840*MAX(1,H840/X840),IF(CA840=1,CE840,IF(R840&gt;0,CN840/R840,0))/MAX(0.1,N(Parameter!$M$21))),"")</f>
        <v>2.98076923076923</v>
      </c>
      <c r="CT840" s="64" t="n">
        <f aca="false">IF(CS840="","",J840/H840)</f>
        <v>0.217090069284065</v>
      </c>
      <c r="CU840" s="62" t="n">
        <f aca="false">IF(CS840="","",H840*G840)</f>
        <v>25.98</v>
      </c>
      <c r="CV840" s="63" t="n">
        <f aca="false">IF(CS840="","",(CL840+ROUNDUP(CL840+MAX(CM840,2*(J840/MAX(0.1,N(Einkauf!$C$6))-CL840)),0))/2)</f>
        <v>52.5</v>
      </c>
      <c r="CW840" s="62" t="n">
        <f aca="false">IF(CS840="","",MAX(0,H840-CV840)*G840)</f>
        <v>22.83</v>
      </c>
      <c r="CX840" s="62" t="n">
        <f aca="false">IF(CS840="","",CS840*MAX(0,1-CV840/H840))</f>
        <v>2.61935956653047</v>
      </c>
      <c r="CY840" s="64" t="n">
        <f aca="false">IF(CS840="","",PERCENTRANK($CS$7:$CS$1843,CS840)+PERCENTRANK($CU$7:$CU$1843,CU840)+1-PERCENTRANK($CT$7:$CT$1843,CT840))</f>
        <v>0.8319</v>
      </c>
      <c r="CZ840" s="72" t="n">
        <f aca="false">IF(CS840="","",CHOOSE(MATCH(Einkauf!$C$5,Parameter!$G$23:$G$27,0),CY840,CS840,CU840,-CT840,CW840)+ROW()/1000000000)</f>
        <v>0.83190084</v>
      </c>
    </row>
    <row r="841" customFormat="false" ht="15" hidden="false" customHeight="false" outlineLevel="0" collapsed="false">
      <c r="A841" s="60" t="s">
        <v>1654</v>
      </c>
      <c r="B841" s="60" t="s">
        <v>1537</v>
      </c>
      <c r="C841" s="60" t="s">
        <v>206</v>
      </c>
      <c r="D841" s="60" t="s">
        <v>226</v>
      </c>
      <c r="E841" s="60" t="s">
        <v>208</v>
      </c>
      <c r="F841" s="60" t="s">
        <v>260</v>
      </c>
      <c r="G841" s="61" t="n">
        <v>0.02</v>
      </c>
      <c r="H841" s="62" t="n">
        <f aca="false">MAX(0,IF(AND(Parameter!$B$21="Ja",ISNUMBER(Y841)),Y841,IF(Parameter!$B$20="Jahresanfang 2025 + Export",BS841+BR841,BR841)))</f>
        <v>61</v>
      </c>
      <c r="I841" s="62" t="n">
        <f aca="false">H841*G841</f>
        <v>1.22</v>
      </c>
      <c r="J841" s="62" t="n">
        <f aca="false">BU841*Parameter!$B$18</f>
        <v>301</v>
      </c>
      <c r="K841" s="63" t="n">
        <v>837</v>
      </c>
      <c r="L841" s="64" t="n">
        <v>0.359617682198327</v>
      </c>
      <c r="M841" s="62" t="n">
        <v>17</v>
      </c>
      <c r="N841" s="62" t="n">
        <v>300</v>
      </c>
      <c r="O841" s="65" t="n">
        <v>21</v>
      </c>
      <c r="P841" s="60" t="s">
        <v>443</v>
      </c>
      <c r="Q841" s="62" t="n">
        <v>1000</v>
      </c>
      <c r="R841" s="65" t="n">
        <f aca="false">IF(CA841=1,0,IFERROR(VLOOKUP(BY841,'Gebinde-Kategorie'!$A$5:$N$45,13,0)+0,0))</f>
        <v>280</v>
      </c>
      <c r="S841" s="66"/>
      <c r="T841" s="67"/>
      <c r="U841" s="67"/>
      <c r="V841" s="67"/>
      <c r="W841" s="60"/>
      <c r="X841" s="62"/>
      <c r="Y841" s="62"/>
      <c r="Z841" s="60" t="n">
        <v>2</v>
      </c>
      <c r="AA841" s="60" t="n">
        <f aca="false">IF(A841="","",IF(AND(Parameter!$B$21="Ja",ISNUMBER(W841)),W841,IF(AND(Parameter!$E$27="Ja",ISNUMBER(Z841),CD841&lt;&gt;"Nein"),Z841,IF(CD841="2+3",IF(ISNUMBER(SEARCH("grosser Artikel",BV841)),2,IFERROR(VLOOKUP(BY841,Parameter!$F$35:$G$64,2,0),2)),IF(OR(CD841="Nein",CD841=""),"-",CD841)))))</f>
        <v>2</v>
      </c>
      <c r="AB841" s="67"/>
      <c r="AC841" s="68"/>
      <c r="AD841" s="62" t="n">
        <f aca="false">AW841</f>
        <v>317</v>
      </c>
      <c r="AE841" s="62" t="n">
        <f aca="false">MAX(AW841,H841)</f>
        <v>317</v>
      </c>
      <c r="AF841" s="69"/>
      <c r="AG841" s="62" t="n">
        <f aca="false">IF(LEFT(Cockpit!$C$5,1)="A",H841,IF(Parameter!$E$30="MAX-Bestand",IF(CI841=1,CJ841,IF(LEFT(Cockpit!$C$5,1)="B",AM841,MAX(AM841,H841))),ROUNDUP(AK841,0)))</f>
        <v>61</v>
      </c>
      <c r="AH841" s="62" t="n">
        <f aca="false">IF(CA841=1,0,ROUNDUP(AG841/BZ841,0))</f>
        <v>1</v>
      </c>
      <c r="AI841" s="64" t="n">
        <f aca="false">IF(CR841&gt;0,CR841*MAX(1,AG841/X841),IF(CA841=1,IF(AG841&lt;=0,0,CE841*MAX(1,IF(H841&gt;0,AG841/H841,1))),IF(R841&gt;0,AH841/R841,0))/MAX(0.1,N(Parameter!$M$21)))</f>
        <v>0.00357142857142857</v>
      </c>
      <c r="AJ841" s="62" t="n">
        <f aca="false">AI841*CC841</f>
        <v>0.553571428571429</v>
      </c>
      <c r="AK841" s="63" t="n">
        <f aca="false">IF(LEFT(Cockpit!$C$5,1)="A",H841,IF(CI841=1,(CL841+CJ841)/2,IF(LEFT(Cockpit!$C$5,1)="B",(CL841+AM841)/2,MAX((CL841+AM841)/2,H841))))</f>
        <v>61</v>
      </c>
      <c r="AL841" s="62" t="n">
        <f aca="false">AK841*G841</f>
        <v>1.22</v>
      </c>
      <c r="AM841" s="62" t="n">
        <f aca="false">ROUNDUP(CL841+MAX(CM841,2*(J841/IF(CH841&gt;0,CH841,MAX(0.1,N(Cockpit!$C$6)))-CL841)),0)</f>
        <v>317</v>
      </c>
      <c r="AN841" s="63" t="n">
        <f aca="false">IF(AJ841&gt;0,J841/AJ841,-1)</f>
        <v>543.741935483871</v>
      </c>
      <c r="AO841" s="63" t="n">
        <f aca="false">IF(AND(OR(CG841="L1",CG841="L23",CG841="LIFT"),AJ841&gt;0),SUMIFS($AJ$7:$AJ$1843,$CG$7:$CG$1843,CG841,$AN$7:$AN$1843,"&gt;"&amp;AN841)+SUMIFS($AJ$7:$AJ$1843,$CG$7:$CG$1843,CG841,$AN$7:$AN$1843,AN841,$BX$7:$BX$1843,"&lt;="&amp;BX841),"")</f>
        <v>81.521978021978</v>
      </c>
      <c r="AP841" s="70" t="n">
        <f aca="false">IF(AO841="",0,MAX(0,MIN(1,(IF(CG841="L1",Parameter!$H$5,IF(CG841="L23",Parameter!$H$6+Parameter!$H$7,Parameter!$H$5+Parameter!$H$6+Parameter!$H$7))-(AO841-AJ841))/AJ841)))</f>
        <v>1</v>
      </c>
      <c r="AQ841" s="62" t="n">
        <f aca="false">IF(LEFT(Cockpit!$I$5,1)="A",H841,IF(Parameter!$E$30="MAX-Bestand",IF(CI841=1,CJ841,IF(LEFT(Cockpit!$I$5,1)="B",AW841,MAX(AW841,H841))),ROUNDUP(AU841,0)))</f>
        <v>167</v>
      </c>
      <c r="AR841" s="62" t="n">
        <f aca="false">IF(CA841=1,0,ROUNDUP(AQ841/BZ841,0))</f>
        <v>1</v>
      </c>
      <c r="AS841" s="64" t="n">
        <f aca="false">IF(CR841&gt;0,CR841*MAX(1,AQ841/X841),IF(CA841=1,IF(AQ841&lt;=0,0,CE841*MAX(1,IF(H841&gt;0,AQ841/H841,1))),IF(R841&gt;0,AR841/R841,0))/MAX(0.1,N(Parameter!$M$21)))</f>
        <v>0.00357142857142857</v>
      </c>
      <c r="AT841" s="62" t="n">
        <f aca="false">AS841*CC841</f>
        <v>0.553571428571429</v>
      </c>
      <c r="AU841" s="63" t="n">
        <f aca="false">IF(LEFT(Cockpit!$I$5,1)="A",H841,IF(CI841=1,(CL841+CJ841)/2,IF(LEFT(Cockpit!$I$5,1)="B",(CL841+AW841)/2,MAX((CL841+AW841)/2,H841))))</f>
        <v>167</v>
      </c>
      <c r="AV841" s="62" t="n">
        <f aca="false">AU841*G841</f>
        <v>3.34</v>
      </c>
      <c r="AW841" s="62" t="n">
        <f aca="false">ROUNDUP(CL841+MAX(CM841,2*(J841/IF(CH841&gt;0,CH841,MAX(0.1,N(Cockpit!$I$6)))-CL841)),0)</f>
        <v>317</v>
      </c>
      <c r="AX841" s="63" t="n">
        <f aca="false">IF(AT841&gt;0,J841/AT841,-1)</f>
        <v>543.741935483871</v>
      </c>
      <c r="AY841" s="63" t="n">
        <f aca="false">IF(AND(OR(CG841="L1",CG841="L23",CG841="LIFT"),AT841&gt;0),SUMIFS($AT$7:$AT$1843,$CG$7:$CG$1843,CG841,$AX$7:$AX$1843,"&gt;"&amp;AX841)+SUMIFS($AT$7:$AT$1843,$CG$7:$CG$1843,CG841,$AX$7:$AX$1843,AX841,$BX$7:$BX$1843,"&lt;="&amp;BX841),"")</f>
        <v>86.4491758241758</v>
      </c>
      <c r="AZ841" s="70" t="n">
        <f aca="false">IF(AY841="",0,MAX(0,MIN(1,(IF(CG841="L1",Parameter!$H$5,IF(CG841="L23",Parameter!$H$6+Parameter!$H$7,Parameter!$H$5+Parameter!$H$6+Parameter!$H$7))-(AY841-AT841))/AT841)))</f>
        <v>1</v>
      </c>
      <c r="BA841" s="62" t="n">
        <f aca="false">IF(LEFT(Cockpit!$O$5,1)="A",H841,IF(Parameter!$E$30="MAX-Bestand",IF(CI841=1,CJ841,IF(LEFT(Cockpit!$O$5,1)="B",BG841,MAX(BG841,H841))),ROUNDUP(BE841,0)))</f>
        <v>167</v>
      </c>
      <c r="BB841" s="62" t="n">
        <f aca="false">IF(CA841=1,0,ROUNDUP(BA841/BZ841,0))</f>
        <v>1</v>
      </c>
      <c r="BC841" s="64" t="n">
        <f aca="false">IF(CR841&gt;0,CR841*MAX(1,BA841/X841),IF(CA841=1,IF(BA841&lt;=0,0,CE841*MAX(1,IF(H841&gt;0,BA841/H841,1))),IF(R841&gt;0,BB841/R841,0))/MAX(0.1,N(Parameter!$M$21)))</f>
        <v>0.00357142857142857</v>
      </c>
      <c r="BD841" s="62" t="n">
        <f aca="false">BC841*CC841</f>
        <v>0.553571428571429</v>
      </c>
      <c r="BE841" s="63" t="n">
        <f aca="false">IF(LEFT(Cockpit!$O$5,1)="A",H841,IF(CI841=1,(CL841+CJ841)/2,IF(LEFT(Cockpit!$O$5,1)="B",(CL841+BG841)/2,MAX((CL841+BG841)/2,H841))))</f>
        <v>167</v>
      </c>
      <c r="BF841" s="62" t="n">
        <f aca="false">BE841*G841</f>
        <v>3.34</v>
      </c>
      <c r="BG841" s="62" t="n">
        <f aca="false">ROUNDUP(CL841+MAX(CM841,2*(J841/IF(CH841&gt;0,CH841,MAX(0.1,N(Cockpit!$O$6)))-CL841)),0)</f>
        <v>317</v>
      </c>
      <c r="BH841" s="63" t="n">
        <f aca="false">IF(BD841&gt;0,J841/BD841,-1)</f>
        <v>543.741935483871</v>
      </c>
      <c r="BI841" s="63" t="n">
        <f aca="false">IF(AND(OR(CG841="L1",CG841="L23",CG841="LIFT"),BD841&gt;0),SUMIFS($BD$7:$BD$1843,$CG$7:$CG$1843,CG841,$BH$7:$BH$1843,"&gt;"&amp;BH841)+SUMIFS($BD$7:$BD$1843,$CG$7:$CG$1843,CG841,$BH$7:$BH$1843,BH841,$BX$7:$BX$1843,"&lt;="&amp;BX841),"")</f>
        <v>107.091575091575</v>
      </c>
      <c r="BJ841" s="70" t="n">
        <f aca="false">IF(BI841="",0,MAX(0,MIN(1,(IF(CG841="L1",Parameter!$H$5,IF(CG841="L23",Parameter!$H$6+Parameter!$H$7,Parameter!$H$5+Parameter!$H$6+Parameter!$H$7))-(BI841-BD841))/BD841)))</f>
        <v>1</v>
      </c>
      <c r="BK841" s="60" t="str">
        <f aca="false">IF(AJ841&lt;=0,"",IF(CG841="Aussen","Aussenlager",IF(CG841="-","Nicht im Lift",IF(AP841&gt;=1,"Lift",IF(AP841&lt;=0,"Aussenlager","teilweise")))))</f>
        <v>Lift</v>
      </c>
      <c r="BL841" s="60" t="str">
        <f aca="false">IF(AT841&lt;=0,"",IF(CG841="Aussen","Aussenlager",IF(CG841="-","Nicht im Lift",IF(AZ841&gt;=1,"Lift",IF(AZ841&lt;=0,"Aussenlager","teilweise")))))</f>
        <v>Lift</v>
      </c>
      <c r="BM841" s="60" t="str">
        <f aca="false">IF(BD841&lt;=0,"",IF(CG841="Aussen","Aussenlager",IF(CG841="-","Nicht im Lift",IF(BJ841&gt;=1,"Lift",IF(BJ841&lt;=0,"Aussenlager","teilweise")))))</f>
        <v>Lift</v>
      </c>
      <c r="BN841" s="60" t="str">
        <f aca="false">IF(A841="","",IF(BW841=1,"Neu; ","")&amp;IF(AND(BW841=0,BR841&lt;0),"negativer Bestand (Export "&amp;BR841&amp;"); ","")&amp;IF(J841&lt;=0,"Kein Verbrauch; ","")&amp;IF(CR841&gt;0,"Lift "&amp;W841&amp;" lt. Liftbericht (Fach "&amp;X841&amp;" Stk); ",IF(CB841=1,"Gebinde geschätzt ("&amp;T841&amp;"); ",IF(CA841=1,"Lose – Tablare geschätzt; ","")))&amp;IF(H841&gt;AW841,"Überbestand "&amp;ROUND(H841-AW841,0)&amp;" Stk / CHF "&amp;ROUND((H841-AW841)*G841,0)&amp;"; ","")&amp;IF(AND(CI841=1,CJ841&lt;CK841),"MAX &lt; MB+LG; ","")&amp;IF(AND(CQ841&gt;0,CP841*10&gt;CQ841),"zu hoch für Tablar; ","")&amp;IF(AND(BW841=0,OR(CI841=1,AB841&lt;&gt;"",U841&lt;&gt;"",V841&lt;&gt;"",AC841&lt;&gt;"")),"manuell übersteuert; ","")&amp;IF(AND(CA841=0,R841=0),"Gebinde unbekannt / Stellmass fehlt; ","")&amp;IF(AND(CA841=0,N(V841)&lt;=0,N(Q841)&lt;=0),"Menge pro Gebinde fehlt (Ist = 1 Gebinde); ","")&amp;BV841)</f>
        <v>negativer Bestand (Export -1393); </v>
      </c>
      <c r="BO841" s="60"/>
      <c r="BP841" s="60"/>
      <c r="BQ841" s="67"/>
      <c r="BR841" s="62" t="n">
        <v>-1393</v>
      </c>
      <c r="BS841" s="62" t="n">
        <v>1454</v>
      </c>
      <c r="BT841" s="61" t="n">
        <v>-13.32</v>
      </c>
      <c r="BU841" s="62" t="n">
        <v>301</v>
      </c>
      <c r="BV841" s="60"/>
      <c r="BW841" s="65" t="n">
        <v>0</v>
      </c>
      <c r="BX841" s="65" t="n">
        <v>841</v>
      </c>
      <c r="BY841" s="60" t="str">
        <f aca="false">IF(U841&lt;&gt;"",UPPER(TRIM(U841)),IF(CB841=1,UPPER(VLOOKUP(T841,Parameter!$I$27:$K$29,2,0)),IF(P841="","LOSE",P841)))</f>
        <v>S21</v>
      </c>
      <c r="BZ841" s="62" t="n">
        <f aca="false">IF(BY841="LOSE",1,IF(N(V841)&gt;0,V841,IF(CB841=1,MAX(1,N(VLOOKUP(T841,Parameter!$I$27:$K$29,3,0)),H841,N(N841)),IF(N(Q841)&gt;0,Q841,MAX(1,H841)))))</f>
        <v>1000</v>
      </c>
      <c r="CA841" s="65" t="n">
        <f aca="false">IF(BY841="LOSE",1,0)</f>
        <v>0</v>
      </c>
      <c r="CB841" s="65" t="n">
        <f aca="false">IF(AND(U841="",OR(P841="",P841="LOSE"),T841&lt;&gt;"",N(S841)&lt;=0,ISNUMBER(MATCH(T841,Parameter!$I$27:$I$29,0))),1,0)</f>
        <v>0</v>
      </c>
      <c r="CC841" s="65" t="n">
        <f aca="false">IF(CR841&gt;0,INDEX(Parameter!$H$5:$H$7,W841)/INDEX(Parameter!$E$5:$E$7,W841),IF(AND(CA841=0,N(IFERROR(VLOOKUP(BY841,'Gebinde-Kategorie'!$A$5:$N$45,14,0),0))&gt;0),VLOOKUP(BY841,'Gebinde-Kategorie'!$A$5:$N$45,14,0)*10+Parameter!$M$23,Parameter!$M$24))</f>
        <v>155</v>
      </c>
      <c r="CD841" s="60" t="n">
        <f aca="false">IF(AND(Parameter!$B$19="Ja",E841&lt;&gt;"",ISNUMBER(MATCH(E841,Parameter!$I$35:$I$52,0))),VLOOKUP(E841,Parameter!$I$35:$J$52,2,0),IFERROR(VLOOKUP(D841,Parameter!$A$35:$C$64,2,0),"Nein"))</f>
        <v>1</v>
      </c>
      <c r="CE841" s="64" t="n">
        <f aca="false">IF(CA841=0,0,IF(N(S841)&gt;0,S841,IFERROR(VLOOKUP(D841,Parameter!$A$35:$C$64,3,0)+0,0)))</f>
        <v>0</v>
      </c>
      <c r="CF841" s="60" t="n">
        <f aca="false">IF(AB841&lt;&gt;"",AB841,AA841)</f>
        <v>2</v>
      </c>
      <c r="CG841" s="60" t="str">
        <f aca="false">IF(OR(CF841=1,CF841=2,CF841=3),IF(Parameter!$E$27="Ja","LIFT",IF(CF841=1,"L1","L23")),IF(CF841="Aussen","Aussen","-"))</f>
        <v>LIFT</v>
      </c>
      <c r="CH841" s="71" t="n">
        <f aca="false">IF(N(AC841)&gt;0,AC841,0)</f>
        <v>0</v>
      </c>
      <c r="CI841" s="65" t="n">
        <f aca="false">IF(ISNUMBER(AF841),1,0)</f>
        <v>0</v>
      </c>
      <c r="CJ841" s="62" t="n">
        <f aca="false">N(AF841)</f>
        <v>0</v>
      </c>
      <c r="CK841" s="62" t="n">
        <f aca="false">N(M841)+N(N841)</f>
        <v>317</v>
      </c>
      <c r="CL841" s="62" t="n">
        <f aca="false">N(M841)</f>
        <v>17</v>
      </c>
      <c r="CM841" s="62" t="n">
        <f aca="false">N(N841)</f>
        <v>300</v>
      </c>
      <c r="CN841" s="62" t="n">
        <f aca="false">ROUNDUP(H841/BZ841,0)</f>
        <v>1</v>
      </c>
      <c r="CO841" s="62" t="n">
        <f aca="false">ROUNDUP(CJ841/BZ841,0)</f>
        <v>0</v>
      </c>
      <c r="CP841" s="65" t="n">
        <f aca="false">IF(CA841=1,0,IFERROR(VLOOKUP(BY841,'Gebinde-Kategorie'!$A$5:$N$45,5,0)+0,0))</f>
        <v>8</v>
      </c>
      <c r="CQ841" s="65" t="n">
        <f aca="false">IFERROR(IF(OR(CF841=1,CF841=2,CF841=3),N(INDEX(Parameter!$I$5:$I$7,CF841)),0),0)</f>
        <v>0</v>
      </c>
      <c r="CR841" s="64" t="n">
        <f aca="false">IF(AND(Parameter!$B$21="Ja",ISNUMBER(W841),N(X841)&gt;0),IFERROR(N(INDEX(Parameter!$L$5:$L$7,W841))*INDEX(Parameter!$E$5:$E$7,W841)*X841/SUMIFS($X$7:$X$1843,$W$7:$W$1843,W841),0),0)</f>
        <v>0</v>
      </c>
      <c r="CS841" s="62" t="n">
        <f aca="false">IF(AND(OR(CG841="L1",CG841="L23",CG841="LIFT"),H841&gt;0),CC841*IF(CR841&gt;0,CR841*MAX(1,H841/X841),IF(CA841=1,CE841,IF(R841&gt;0,CN841/R841,0))/MAX(0.1,N(Parameter!$M$21))),"")</f>
        <v>0.553571428571429</v>
      </c>
      <c r="CT841" s="64" t="n">
        <f aca="false">IF(CS841="","",J841/H841)</f>
        <v>4.9344262295082</v>
      </c>
      <c r="CU841" s="62" t="n">
        <f aca="false">IF(CS841="","",H841*G841)</f>
        <v>1.22</v>
      </c>
      <c r="CV841" s="63" t="n">
        <f aca="false">IF(CS841="","",(CL841+ROUNDUP(CL841+MAX(CM841,2*(J841/MAX(0.1,N(Einkauf!$C$6))-CL841)),0))/2)</f>
        <v>167</v>
      </c>
      <c r="CW841" s="62" t="n">
        <f aca="false">IF(CS841="","",MAX(0,H841-CV841)*G841)</f>
        <v>0</v>
      </c>
      <c r="CX841" s="62" t="n">
        <f aca="false">IF(CS841="","",CS841*MAX(0,1-CV841/H841))</f>
        <v>0</v>
      </c>
      <c r="CY841" s="64" t="n">
        <f aca="false">IF(CS841="","",PERCENTRANK($CS$7:$CS$1843,CS841)+PERCENTRANK($CU$7:$CU$1843,CU841)+1-PERCENTRANK($CT$7:$CT$1843,CT841))</f>
        <v>0.0553</v>
      </c>
      <c r="CZ841" s="72" t="n">
        <f aca="false">IF(CS841="","",CHOOSE(MATCH(Einkauf!$C$5,Parameter!$G$23:$G$27,0),CY841,CS841,CU841,-CT841,CW841)+ROW()/1000000000)</f>
        <v>0.055300841</v>
      </c>
    </row>
    <row r="842" customFormat="false" ht="15" hidden="false" customHeight="false" outlineLevel="0" collapsed="false">
      <c r="A842" s="60" t="s">
        <v>1655</v>
      </c>
      <c r="B842" s="60" t="s">
        <v>449</v>
      </c>
      <c r="C842" s="60" t="s">
        <v>206</v>
      </c>
      <c r="D842" s="60" t="s">
        <v>226</v>
      </c>
      <c r="E842" s="60" t="s">
        <v>227</v>
      </c>
      <c r="F842" s="60" t="s">
        <v>260</v>
      </c>
      <c r="G842" s="61" t="n">
        <v>0.02</v>
      </c>
      <c r="H842" s="62" t="n">
        <f aca="false">MAX(0,IF(AND(Parameter!$B$21="Ja",ISNUMBER(Y842)),Y842,IF(Parameter!$B$20="Jahresanfang 2025 + Export",BS842+BR842,BR842)))</f>
        <v>1497</v>
      </c>
      <c r="I842" s="62" t="n">
        <f aca="false">H842*G842</f>
        <v>29.94</v>
      </c>
      <c r="J842" s="62" t="n">
        <f aca="false">BU842*Parameter!$B$18</f>
        <v>7159</v>
      </c>
      <c r="K842" s="63" t="n">
        <v>2330.5</v>
      </c>
      <c r="L842" s="64" t="n">
        <v>3.07187298862905</v>
      </c>
      <c r="M842" s="62" t="n">
        <v>417</v>
      </c>
      <c r="N842" s="62" t="n">
        <v>2000</v>
      </c>
      <c r="O842" s="65" t="n">
        <v>21</v>
      </c>
      <c r="P842" s="60" t="s">
        <v>370</v>
      </c>
      <c r="Q842" s="62" t="n">
        <v>3706</v>
      </c>
      <c r="R842" s="65" t="n">
        <f aca="false">IF(CA842=1,0,IFERROR(VLOOKUP(BY842,'Gebinde-Kategorie'!$A$5:$N$45,13,0)+0,0))</f>
        <v>52</v>
      </c>
      <c r="S842" s="66"/>
      <c r="T842" s="67"/>
      <c r="U842" s="67"/>
      <c r="V842" s="67"/>
      <c r="W842" s="60"/>
      <c r="X842" s="62"/>
      <c r="Y842" s="62"/>
      <c r="Z842" s="60" t="n">
        <v>2</v>
      </c>
      <c r="AA842" s="60" t="n">
        <f aca="false">IF(A842="","",IF(AND(Parameter!$B$21="Ja",ISNUMBER(W842)),W842,IF(AND(Parameter!$E$27="Ja",ISNUMBER(Z842),CD842&lt;&gt;"Nein"),Z842,IF(CD842="2+3",IF(ISNUMBER(SEARCH("grosser Artikel",BV842)),2,IFERROR(VLOOKUP(BY842,Parameter!$F$35:$G$64,2,0),2)),IF(OR(CD842="Nein",CD842=""),"-",CD842)))))</f>
        <v>2</v>
      </c>
      <c r="AB842" s="67"/>
      <c r="AC842" s="68"/>
      <c r="AD842" s="62" t="n">
        <f aca="false">AW842</f>
        <v>4356</v>
      </c>
      <c r="AE842" s="62" t="n">
        <f aca="false">MAX(AW842,H842)</f>
        <v>4356</v>
      </c>
      <c r="AF842" s="69"/>
      <c r="AG842" s="62" t="n">
        <f aca="false">IF(LEFT(Cockpit!$C$5,1)="A",H842,IF(Parameter!$E$30="MAX-Bestand",IF(CI842=1,CJ842,IF(LEFT(Cockpit!$C$5,1)="B",AM842,MAX(AM842,H842))),ROUNDUP(AK842,0)))</f>
        <v>1497</v>
      </c>
      <c r="AH842" s="62" t="n">
        <f aca="false">IF(CA842=1,0,ROUNDUP(AG842/BZ842,0))</f>
        <v>1</v>
      </c>
      <c r="AI842" s="64" t="n">
        <f aca="false">IF(CR842&gt;0,CR842*MAX(1,AG842/X842),IF(CA842=1,IF(AG842&lt;=0,0,CE842*MAX(1,IF(H842&gt;0,AG842/H842,1))),IF(R842&gt;0,AH842/R842,0))/MAX(0.1,N(Parameter!$M$21)))</f>
        <v>0.0192307692307692</v>
      </c>
      <c r="AJ842" s="62" t="n">
        <f aca="false">AI842*CC842</f>
        <v>2.98076923076923</v>
      </c>
      <c r="AK842" s="63" t="n">
        <f aca="false">IF(LEFT(Cockpit!$C$5,1)="A",H842,IF(CI842=1,(CL842+CJ842)/2,IF(LEFT(Cockpit!$C$5,1)="B",(CL842+AM842)/2,MAX((CL842+AM842)/2,H842))))</f>
        <v>1497</v>
      </c>
      <c r="AL842" s="62" t="n">
        <f aca="false">AK842*G842</f>
        <v>29.94</v>
      </c>
      <c r="AM842" s="62" t="n">
        <f aca="false">ROUNDUP(CL842+MAX(CM842,2*(J842/IF(CH842&gt;0,CH842,MAX(0.1,N(Cockpit!$C$6)))-CL842)),0)</f>
        <v>4356</v>
      </c>
      <c r="AN842" s="63" t="n">
        <f aca="false">IF(AJ842&gt;0,J842/AJ842,-1)</f>
        <v>2401.72903225806</v>
      </c>
      <c r="AO842" s="63" t="n">
        <f aca="false">IF(AND(OR(CG842="L1",CG842="L23",CG842="LIFT"),AJ842&gt;0),SUMIFS($AJ$7:$AJ$1843,$CG$7:$CG$1843,CG842,$AN$7:$AN$1843,"&gt;"&amp;AN842)+SUMIFS($AJ$7:$AJ$1843,$CG$7:$CG$1843,CG842,$AN$7:$AN$1843,AN842,$BX$7:$BX$1843,"&lt;="&amp;BX842),"")</f>
        <v>2.98076923076923</v>
      </c>
      <c r="AP842" s="70" t="n">
        <f aca="false">IF(AO842="",0,MAX(0,MIN(1,(IF(CG842="L1",Parameter!$H$5,IF(CG842="L23",Parameter!$H$6+Parameter!$H$7,Parameter!$H$5+Parameter!$H$6+Parameter!$H$7))-(AO842-AJ842))/AJ842)))</f>
        <v>1</v>
      </c>
      <c r="AQ842" s="62" t="n">
        <f aca="false">IF(LEFT(Cockpit!$I$5,1)="A",H842,IF(Parameter!$E$30="MAX-Bestand",IF(CI842=1,CJ842,IF(LEFT(Cockpit!$I$5,1)="B",AW842,MAX(AW842,H842))),ROUNDUP(AU842,0)))</f>
        <v>2387</v>
      </c>
      <c r="AR842" s="62" t="n">
        <f aca="false">IF(CA842=1,0,ROUNDUP(AQ842/BZ842,0))</f>
        <v>1</v>
      </c>
      <c r="AS842" s="64" t="n">
        <f aca="false">IF(CR842&gt;0,CR842*MAX(1,AQ842/X842),IF(CA842=1,IF(AQ842&lt;=0,0,CE842*MAX(1,IF(H842&gt;0,AQ842/H842,1))),IF(R842&gt;0,AR842/R842,0))/MAX(0.1,N(Parameter!$M$21)))</f>
        <v>0.0192307692307692</v>
      </c>
      <c r="AT842" s="62" t="n">
        <f aca="false">AS842*CC842</f>
        <v>2.98076923076923</v>
      </c>
      <c r="AU842" s="63" t="n">
        <f aca="false">IF(LEFT(Cockpit!$I$5,1)="A",H842,IF(CI842=1,(CL842+CJ842)/2,IF(LEFT(Cockpit!$I$5,1)="B",(CL842+AW842)/2,MAX((CL842+AW842)/2,H842))))</f>
        <v>2386.5</v>
      </c>
      <c r="AV842" s="62" t="n">
        <f aca="false">AU842*G842</f>
        <v>47.73</v>
      </c>
      <c r="AW842" s="62" t="n">
        <f aca="false">ROUNDUP(CL842+MAX(CM842,2*(J842/IF(CH842&gt;0,CH842,MAX(0.1,N(Cockpit!$I$6)))-CL842)),0)</f>
        <v>4356</v>
      </c>
      <c r="AX842" s="63" t="n">
        <f aca="false">IF(AT842&gt;0,J842/AT842,-1)</f>
        <v>2401.72903225806</v>
      </c>
      <c r="AY842" s="63" t="n">
        <f aca="false">IF(AND(OR(CG842="L1",CG842="L23",CG842="LIFT"),AT842&gt;0),SUMIFS($AT$7:$AT$1843,$CG$7:$CG$1843,CG842,$AX$7:$AX$1843,"&gt;"&amp;AX842)+SUMIFS($AT$7:$AT$1843,$CG$7:$CG$1843,CG842,$AX$7:$AX$1843,AX842,$BX$7:$BX$1843,"&lt;="&amp;BX842),"")</f>
        <v>2.98076923076923</v>
      </c>
      <c r="AZ842" s="70" t="n">
        <f aca="false">IF(AY842="",0,MAX(0,MIN(1,(IF(CG842="L1",Parameter!$H$5,IF(CG842="L23",Parameter!$H$6+Parameter!$H$7,Parameter!$H$5+Parameter!$H$6+Parameter!$H$7))-(AY842-AT842))/AT842)))</f>
        <v>1</v>
      </c>
      <c r="BA842" s="62" t="n">
        <f aca="false">IF(LEFT(Cockpit!$O$5,1)="A",H842,IF(Parameter!$E$30="MAX-Bestand",IF(CI842=1,CJ842,IF(LEFT(Cockpit!$O$5,1)="B",BG842,MAX(BG842,H842))),ROUNDUP(BE842,0)))</f>
        <v>1790</v>
      </c>
      <c r="BB842" s="62" t="n">
        <f aca="false">IF(CA842=1,0,ROUNDUP(BA842/BZ842,0))</f>
        <v>1</v>
      </c>
      <c r="BC842" s="64" t="n">
        <f aca="false">IF(CR842&gt;0,CR842*MAX(1,BA842/X842),IF(CA842=1,IF(BA842&lt;=0,0,CE842*MAX(1,IF(H842&gt;0,BA842/H842,1))),IF(R842&gt;0,BB842/R842,0))/MAX(0.1,N(Parameter!$M$21)))</f>
        <v>0.0192307692307692</v>
      </c>
      <c r="BD842" s="62" t="n">
        <f aca="false">BC842*CC842</f>
        <v>2.98076923076923</v>
      </c>
      <c r="BE842" s="63" t="n">
        <f aca="false">IF(LEFT(Cockpit!$O$5,1)="A",H842,IF(CI842=1,(CL842+CJ842)/2,IF(LEFT(Cockpit!$O$5,1)="B",(CL842+BG842)/2,MAX((CL842+BG842)/2,H842))))</f>
        <v>1790</v>
      </c>
      <c r="BF842" s="62" t="n">
        <f aca="false">BE842*G842</f>
        <v>35.8</v>
      </c>
      <c r="BG842" s="62" t="n">
        <f aca="false">ROUNDUP(CL842+MAX(CM842,2*(J842/IF(CH842&gt;0,CH842,MAX(0.1,N(Cockpit!$O$6)))-CL842)),0)</f>
        <v>3163</v>
      </c>
      <c r="BH842" s="63" t="n">
        <f aca="false">IF(BD842&gt;0,J842/BD842,-1)</f>
        <v>2401.72903225806</v>
      </c>
      <c r="BI842" s="63" t="n">
        <f aca="false">IF(AND(OR(CG842="L1",CG842="L23",CG842="LIFT"),BD842&gt;0),SUMIFS($BD$7:$BD$1843,$CG$7:$CG$1843,CG842,$BH$7:$BH$1843,"&gt;"&amp;BH842)+SUMIFS($BD$7:$BD$1843,$CG$7:$CG$1843,CG842,$BH$7:$BH$1843,BH842,$BX$7:$BX$1843,"&lt;="&amp;BX842),"")</f>
        <v>2.98076923076923</v>
      </c>
      <c r="BJ842" s="70" t="n">
        <f aca="false">IF(BI842="",0,MAX(0,MIN(1,(IF(CG842="L1",Parameter!$H$5,IF(CG842="L23",Parameter!$H$6+Parameter!$H$7,Parameter!$H$5+Parameter!$H$6+Parameter!$H$7))-(BI842-BD842))/BD842)))</f>
        <v>1</v>
      </c>
      <c r="BK842" s="60" t="str">
        <f aca="false">IF(AJ842&lt;=0,"",IF(CG842="Aussen","Aussenlager",IF(CG842="-","Nicht im Lift",IF(AP842&gt;=1,"Lift",IF(AP842&lt;=0,"Aussenlager","teilweise")))))</f>
        <v>Lift</v>
      </c>
      <c r="BL842" s="60" t="str">
        <f aca="false">IF(AT842&lt;=0,"",IF(CG842="Aussen","Aussenlager",IF(CG842="-","Nicht im Lift",IF(AZ842&gt;=1,"Lift",IF(AZ842&lt;=0,"Aussenlager","teilweise")))))</f>
        <v>Lift</v>
      </c>
      <c r="BM842" s="60" t="str">
        <f aca="false">IF(BD842&lt;=0,"",IF(CG842="Aussen","Aussenlager",IF(CG842="-","Nicht im Lift",IF(BJ842&gt;=1,"Lift",IF(BJ842&lt;=0,"Aussenlager","teilweise")))))</f>
        <v>Lift</v>
      </c>
      <c r="BN842" s="60" t="str">
        <f aca="false">IF(A842="","",IF(BW842=1,"Neu; ","")&amp;IF(AND(BW842=0,BR842&lt;0),"negativer Bestand (Export "&amp;BR842&amp;"); ","")&amp;IF(J842&lt;=0,"Kein Verbrauch; ","")&amp;IF(CR842&gt;0,"Lift "&amp;W842&amp;" lt. Liftbericht (Fach "&amp;X842&amp;" Stk); ",IF(CB842=1,"Gebinde geschätzt ("&amp;T842&amp;"); ",IF(CA842=1,"Lose – Tablare geschätzt; ","")))&amp;IF(H842&gt;AW842,"Überbestand "&amp;ROUND(H842-AW842,0)&amp;" Stk / CHF "&amp;ROUND((H842-AW842)*G842,0)&amp;"; ","")&amp;IF(AND(CI842=1,CJ842&lt;CK842),"MAX &lt; MB+LG; ","")&amp;IF(AND(CQ842&gt;0,CP842*10&gt;CQ842),"zu hoch für Tablar; ","")&amp;IF(AND(BW842=0,OR(CI842=1,AB842&lt;&gt;"",U842&lt;&gt;"",V842&lt;&gt;"",AC842&lt;&gt;"")),"manuell übersteuert; ","")&amp;IF(AND(CA842=0,R842=0),"Gebinde unbekannt / Stellmass fehlt; ","")&amp;IF(AND(CA842=0,N(V842)&lt;=0,N(Q842)&lt;=0),"Menge pro Gebinde fehlt (Ist = 1 Gebinde); ","")&amp;BV842)</f>
        <v>negativer Bestand (Export -703); </v>
      </c>
      <c r="BO842" s="60"/>
      <c r="BP842" s="60"/>
      <c r="BQ842" s="67"/>
      <c r="BR842" s="62" t="n">
        <v>-703</v>
      </c>
      <c r="BS842" s="62" t="n">
        <v>2200</v>
      </c>
      <c r="BT842" s="61" t="n">
        <v>-14.0599999999999</v>
      </c>
      <c r="BU842" s="62" t="n">
        <v>7159</v>
      </c>
      <c r="BV842" s="60"/>
      <c r="BW842" s="65" t="n">
        <v>0</v>
      </c>
      <c r="BX842" s="65" t="n">
        <v>842</v>
      </c>
      <c r="BY842" s="60" t="str">
        <f aca="false">IF(U842&lt;&gt;"",UPPER(TRIM(U842)),IF(CB842=1,UPPER(VLOOKUP(T842,Parameter!$I$27:$K$29,2,0)),IF(P842="","LOSE",P842)))</f>
        <v>S41</v>
      </c>
      <c r="BZ842" s="62" t="n">
        <f aca="false">IF(BY842="LOSE",1,IF(N(V842)&gt;0,V842,IF(CB842=1,MAX(1,N(VLOOKUP(T842,Parameter!$I$27:$K$29,3,0)),H842,N(N842)),IF(N(Q842)&gt;0,Q842,MAX(1,H842)))))</f>
        <v>3706</v>
      </c>
      <c r="CA842" s="65" t="n">
        <f aca="false">IF(BY842="LOSE",1,0)</f>
        <v>0</v>
      </c>
      <c r="CB842" s="65" t="n">
        <f aca="false">IF(AND(U842="",OR(P842="",P842="LOSE"),T842&lt;&gt;"",N(S842)&lt;=0,ISNUMBER(MATCH(T842,Parameter!$I$27:$I$29,0))),1,0)</f>
        <v>0</v>
      </c>
      <c r="CC842" s="65" t="n">
        <f aca="false">IF(CR842&gt;0,INDEX(Parameter!$H$5:$H$7,W842)/INDEX(Parameter!$E$5:$E$7,W842),IF(AND(CA842=0,N(IFERROR(VLOOKUP(BY842,'Gebinde-Kategorie'!$A$5:$N$45,14,0),0))&gt;0),VLOOKUP(BY842,'Gebinde-Kategorie'!$A$5:$N$45,14,0)*10+Parameter!$M$23,Parameter!$M$24))</f>
        <v>155</v>
      </c>
      <c r="CD842" s="60" t="str">
        <f aca="false">IF(AND(Parameter!$B$19="Ja",E842&lt;&gt;"",ISNUMBER(MATCH(E842,Parameter!$I$35:$I$52,0))),VLOOKUP(E842,Parameter!$I$35:$J$52,2,0),IFERROR(VLOOKUP(D842,Parameter!$A$35:$C$64,2,0),"Nein"))</f>
        <v>2+3</v>
      </c>
      <c r="CE842" s="64" t="n">
        <f aca="false">IF(CA842=0,0,IF(N(S842)&gt;0,S842,IFERROR(VLOOKUP(D842,Parameter!$A$35:$C$64,3,0)+0,0)))</f>
        <v>0</v>
      </c>
      <c r="CF842" s="60" t="n">
        <f aca="false">IF(AB842&lt;&gt;"",AB842,AA842)</f>
        <v>2</v>
      </c>
      <c r="CG842" s="60" t="str">
        <f aca="false">IF(OR(CF842=1,CF842=2,CF842=3),IF(Parameter!$E$27="Ja","LIFT",IF(CF842=1,"L1","L23")),IF(CF842="Aussen","Aussen","-"))</f>
        <v>LIFT</v>
      </c>
      <c r="CH842" s="71" t="n">
        <f aca="false">IF(N(AC842)&gt;0,AC842,0)</f>
        <v>0</v>
      </c>
      <c r="CI842" s="65" t="n">
        <f aca="false">IF(ISNUMBER(AF842),1,0)</f>
        <v>0</v>
      </c>
      <c r="CJ842" s="62" t="n">
        <f aca="false">N(AF842)</f>
        <v>0</v>
      </c>
      <c r="CK842" s="62" t="n">
        <f aca="false">N(M842)+N(N842)</f>
        <v>2417</v>
      </c>
      <c r="CL842" s="62" t="n">
        <f aca="false">N(M842)</f>
        <v>417</v>
      </c>
      <c r="CM842" s="62" t="n">
        <f aca="false">N(N842)</f>
        <v>2000</v>
      </c>
      <c r="CN842" s="62" t="n">
        <f aca="false">ROUNDUP(H842/BZ842,0)</f>
        <v>1</v>
      </c>
      <c r="CO842" s="62" t="n">
        <f aca="false">ROUNDUP(CJ842/BZ842,0)</f>
        <v>0</v>
      </c>
      <c r="CP842" s="65" t="n">
        <f aca="false">IF(CA842=1,0,IFERROR(VLOOKUP(BY842,'Gebinde-Kategorie'!$A$5:$N$45,5,0)+0,0))</f>
        <v>11</v>
      </c>
      <c r="CQ842" s="65" t="n">
        <f aca="false">IFERROR(IF(OR(CF842=1,CF842=2,CF842=3),N(INDEX(Parameter!$I$5:$I$7,CF842)),0),0)</f>
        <v>0</v>
      </c>
      <c r="CR842" s="64" t="n">
        <f aca="false">IF(AND(Parameter!$B$21="Ja",ISNUMBER(W842),N(X842)&gt;0),IFERROR(N(INDEX(Parameter!$L$5:$L$7,W842))*INDEX(Parameter!$E$5:$E$7,W842)*X842/SUMIFS($X$7:$X$1843,$W$7:$W$1843,W842),0),0)</f>
        <v>0</v>
      </c>
      <c r="CS842" s="62" t="n">
        <f aca="false">IF(AND(OR(CG842="L1",CG842="L23",CG842="LIFT"),H842&gt;0),CC842*IF(CR842&gt;0,CR842*MAX(1,H842/X842),IF(CA842=1,CE842,IF(R842&gt;0,CN842/R842,0))/MAX(0.1,N(Parameter!$M$21))),"")</f>
        <v>2.98076923076923</v>
      </c>
      <c r="CT842" s="64" t="n">
        <f aca="false">IF(CS842="","",J842/H842)</f>
        <v>4.78223112892452</v>
      </c>
      <c r="CU842" s="62" t="n">
        <f aca="false">IF(CS842="","",H842*G842)</f>
        <v>29.94</v>
      </c>
      <c r="CV842" s="63" t="n">
        <f aca="false">IF(CS842="","",(CL842+ROUNDUP(CL842+MAX(CM842,2*(J842/MAX(0.1,N(Einkauf!$C$6))-CL842)),0))/2)</f>
        <v>1790</v>
      </c>
      <c r="CW842" s="62" t="n">
        <f aca="false">IF(CS842="","",MAX(0,H842-CV842)*G842)</f>
        <v>0</v>
      </c>
      <c r="CX842" s="62" t="n">
        <f aca="false">IF(CS842="","",CS842*MAX(0,1-CV842/H842))</f>
        <v>0</v>
      </c>
      <c r="CY842" s="64" t="n">
        <f aca="false">IF(CS842="","",PERCENTRANK($CS$7:$CS$1843,CS842)+PERCENTRANK($CU$7:$CU$1843,CU842)+1-PERCENTRANK($CT$7:$CT$1843,CT842))</f>
        <v>0.37</v>
      </c>
      <c r="CZ842" s="72" t="n">
        <f aca="false">IF(CS842="","",CHOOSE(MATCH(Einkauf!$C$5,Parameter!$G$23:$G$27,0),CY842,CS842,CU842,-CT842,CW842)+ROW()/1000000000)</f>
        <v>0.370000842</v>
      </c>
    </row>
    <row r="843" customFormat="false" ht="15" hidden="false" customHeight="false" outlineLevel="0" collapsed="false">
      <c r="A843" s="60" t="s">
        <v>1656</v>
      </c>
      <c r="B843" s="60" t="s">
        <v>510</v>
      </c>
      <c r="C843" s="60" t="s">
        <v>206</v>
      </c>
      <c r="D843" s="60" t="s">
        <v>226</v>
      </c>
      <c r="E843" s="60" t="s">
        <v>227</v>
      </c>
      <c r="F843" s="60" t="s">
        <v>260</v>
      </c>
      <c r="G843" s="61" t="n">
        <v>0.11</v>
      </c>
      <c r="H843" s="62" t="n">
        <f aca="false">MAX(0,IF(AND(Parameter!$B$21="Ja",ISNUMBER(Y843)),Y843,IF(Parameter!$B$20="Jahresanfang 2025 + Export",BS843+BR843,BR843)))</f>
        <v>21</v>
      </c>
      <c r="I843" s="62" t="n">
        <f aca="false">H843*G843</f>
        <v>2.31</v>
      </c>
      <c r="J843" s="62" t="n">
        <f aca="false">BU843*Parameter!$B$18</f>
        <v>93</v>
      </c>
      <c r="K843" s="63" t="n">
        <v>108</v>
      </c>
      <c r="L843" s="64" t="n">
        <v>0.861111111111111</v>
      </c>
      <c r="M843" s="62" t="n">
        <v>4</v>
      </c>
      <c r="N843" s="62" t="n">
        <v>95</v>
      </c>
      <c r="O843" s="65" t="n">
        <v>14</v>
      </c>
      <c r="P843" s="60" t="s">
        <v>468</v>
      </c>
      <c r="Q843" s="62" t="n">
        <v>131</v>
      </c>
      <c r="R843" s="65" t="n">
        <f aca="false">IF(CA843=1,0,IFERROR(VLOOKUP(BY843,'Gebinde-Kategorie'!$A$5:$N$45,13,0)+0,0))</f>
        <v>140</v>
      </c>
      <c r="S843" s="66"/>
      <c r="T843" s="67"/>
      <c r="U843" s="67"/>
      <c r="V843" s="67"/>
      <c r="W843" s="60"/>
      <c r="X843" s="62"/>
      <c r="Y843" s="62"/>
      <c r="Z843" s="60" t="n">
        <v>1</v>
      </c>
      <c r="AA843" s="60" t="n">
        <f aca="false">IF(A843="","",IF(AND(Parameter!$B$21="Ja",ISNUMBER(W843)),W843,IF(AND(Parameter!$E$27="Ja",ISNUMBER(Z843),CD843&lt;&gt;"Nein"),Z843,IF(CD843="2+3",IF(ISNUMBER(SEARCH("grosser Artikel",BV843)),2,IFERROR(VLOOKUP(BY843,Parameter!$F$35:$G$64,2,0),2)),IF(OR(CD843="Nein",CD843=""),"-",CD843)))))</f>
        <v>1</v>
      </c>
      <c r="AB843" s="67"/>
      <c r="AC843" s="68"/>
      <c r="AD843" s="62" t="n">
        <f aca="false">AW843</f>
        <v>99</v>
      </c>
      <c r="AE843" s="62" t="n">
        <f aca="false">MAX(AW843,H843)</f>
        <v>99</v>
      </c>
      <c r="AF843" s="69"/>
      <c r="AG843" s="62" t="n">
        <f aca="false">IF(LEFT(Cockpit!$C$5,1)="A",H843,IF(Parameter!$E$30="MAX-Bestand",IF(CI843=1,CJ843,IF(LEFT(Cockpit!$C$5,1)="B",AM843,MAX(AM843,H843))),ROUNDUP(AK843,0)))</f>
        <v>21</v>
      </c>
      <c r="AH843" s="62" t="n">
        <f aca="false">IF(CA843=1,0,ROUNDUP(AG843/BZ843,0))</f>
        <v>1</v>
      </c>
      <c r="AI843" s="64" t="n">
        <f aca="false">IF(CR843&gt;0,CR843*MAX(1,AG843/X843),IF(CA843=1,IF(AG843&lt;=0,0,CE843*MAX(1,IF(H843&gt;0,AG843/H843,1))),IF(R843&gt;0,AH843/R843,0))/MAX(0.1,N(Parameter!$M$21)))</f>
        <v>0.00714285714285714</v>
      </c>
      <c r="AJ843" s="62" t="n">
        <f aca="false">AI843*CC843</f>
        <v>1.10714285714286</v>
      </c>
      <c r="AK843" s="63" t="n">
        <f aca="false">IF(LEFT(Cockpit!$C$5,1)="A",H843,IF(CI843=1,(CL843+CJ843)/2,IF(LEFT(Cockpit!$C$5,1)="B",(CL843+AM843)/2,MAX((CL843+AM843)/2,H843))))</f>
        <v>21</v>
      </c>
      <c r="AL843" s="62" t="n">
        <f aca="false">AK843*G843</f>
        <v>2.31</v>
      </c>
      <c r="AM843" s="62" t="n">
        <f aca="false">ROUNDUP(CL843+MAX(CM843,2*(J843/IF(CH843&gt;0,CH843,MAX(0.1,N(Cockpit!$C$6)))-CL843)),0)</f>
        <v>99</v>
      </c>
      <c r="AN843" s="63" t="n">
        <f aca="false">IF(AJ843&gt;0,J843/AJ843,-1)</f>
        <v>84</v>
      </c>
      <c r="AO843" s="63" t="n">
        <f aca="false">IF(AND(OR(CG843="L1",CG843="L23",CG843="LIFT"),AJ843&gt;0),SUMIFS($AJ$7:$AJ$1843,$CG$7:$CG$1843,CG843,$AN$7:$AN$1843,"&gt;"&amp;AN843)+SUMIFS($AJ$7:$AJ$1843,$CG$7:$CG$1843,CG843,$AN$7:$AN$1843,AN843,$BX$7:$BX$1843,"&lt;="&amp;BX843),"")</f>
        <v>842.456043956044</v>
      </c>
      <c r="AP843" s="70" t="n">
        <f aca="false">IF(AO843="",0,MAX(0,MIN(1,(IF(CG843="L1",Parameter!$H$5,IF(CG843="L23",Parameter!$H$6+Parameter!$H$7,Parameter!$H$5+Parameter!$H$6+Parameter!$H$7))-(AO843-AJ843))/AJ843)))</f>
        <v>1</v>
      </c>
      <c r="AQ843" s="62" t="n">
        <f aca="false">IF(LEFT(Cockpit!$I$5,1)="A",H843,IF(Parameter!$E$30="MAX-Bestand",IF(CI843=1,CJ843,IF(LEFT(Cockpit!$I$5,1)="B",AW843,MAX(AW843,H843))),ROUNDUP(AU843,0)))</f>
        <v>52</v>
      </c>
      <c r="AR843" s="62" t="n">
        <f aca="false">IF(CA843=1,0,ROUNDUP(AQ843/BZ843,0))</f>
        <v>1</v>
      </c>
      <c r="AS843" s="64" t="n">
        <f aca="false">IF(CR843&gt;0,CR843*MAX(1,AQ843/X843),IF(CA843=1,IF(AQ843&lt;=0,0,CE843*MAX(1,IF(H843&gt;0,AQ843/H843,1))),IF(R843&gt;0,AR843/R843,0))/MAX(0.1,N(Parameter!$M$21)))</f>
        <v>0.00714285714285714</v>
      </c>
      <c r="AT843" s="62" t="n">
        <f aca="false">AS843*CC843</f>
        <v>1.10714285714286</v>
      </c>
      <c r="AU843" s="63" t="n">
        <f aca="false">IF(LEFT(Cockpit!$I$5,1)="A",H843,IF(CI843=1,(CL843+CJ843)/2,IF(LEFT(Cockpit!$I$5,1)="B",(CL843+AW843)/2,MAX((CL843+AW843)/2,H843))))</f>
        <v>51.5</v>
      </c>
      <c r="AV843" s="62" t="n">
        <f aca="false">AU843*G843</f>
        <v>5.665</v>
      </c>
      <c r="AW843" s="62" t="n">
        <f aca="false">ROUNDUP(CL843+MAX(CM843,2*(J843/IF(CH843&gt;0,CH843,MAX(0.1,N(Cockpit!$I$6)))-CL843)),0)</f>
        <v>99</v>
      </c>
      <c r="AX843" s="63" t="n">
        <f aca="false">IF(AT843&gt;0,J843/AT843,-1)</f>
        <v>84</v>
      </c>
      <c r="AY843" s="63" t="n">
        <f aca="false">IF(AND(OR(CG843="L1",CG843="L23",CG843="LIFT"),AT843&gt;0),SUMIFS($AT$7:$AT$1843,$CG$7:$CG$1843,CG843,$AX$7:$AX$1843,"&gt;"&amp;AX843)+SUMIFS($AT$7:$AT$1843,$CG$7:$CG$1843,CG843,$AX$7:$AX$1843,AX843,$BX$7:$BX$1843,"&lt;="&amp;BX843),"")</f>
        <v>1055.36813186813</v>
      </c>
      <c r="AZ843" s="70" t="n">
        <f aca="false">IF(AY843="",0,MAX(0,MIN(1,(IF(CG843="L1",Parameter!$H$5,IF(CG843="L23",Parameter!$H$6+Parameter!$H$7,Parameter!$H$5+Parameter!$H$6+Parameter!$H$7))-(AY843-AT843))/AT843)))</f>
        <v>1</v>
      </c>
      <c r="BA843" s="62" t="n">
        <f aca="false">IF(LEFT(Cockpit!$O$5,1)="A",H843,IF(Parameter!$E$30="MAX-Bestand",IF(CI843=1,CJ843,IF(LEFT(Cockpit!$O$5,1)="B",BG843,MAX(BG843,H843))),ROUNDUP(BE843,0)))</f>
        <v>52</v>
      </c>
      <c r="BB843" s="62" t="n">
        <f aca="false">IF(CA843=1,0,ROUNDUP(BA843/BZ843,0))</f>
        <v>1</v>
      </c>
      <c r="BC843" s="64" t="n">
        <f aca="false">IF(CR843&gt;0,CR843*MAX(1,BA843/X843),IF(CA843=1,IF(BA843&lt;=0,0,CE843*MAX(1,IF(H843&gt;0,BA843/H843,1))),IF(R843&gt;0,BB843/R843,0))/MAX(0.1,N(Parameter!$M$21)))</f>
        <v>0.00714285714285714</v>
      </c>
      <c r="BD843" s="62" t="n">
        <f aca="false">BC843*CC843</f>
        <v>1.10714285714286</v>
      </c>
      <c r="BE843" s="63" t="n">
        <f aca="false">IF(LEFT(Cockpit!$O$5,1)="A",H843,IF(CI843=1,(CL843+CJ843)/2,IF(LEFT(Cockpit!$O$5,1)="B",(CL843+BG843)/2,MAX((CL843+BG843)/2,H843))))</f>
        <v>51.5</v>
      </c>
      <c r="BF843" s="62" t="n">
        <f aca="false">BE843*G843</f>
        <v>5.665</v>
      </c>
      <c r="BG843" s="62" t="n">
        <f aca="false">ROUNDUP(CL843+MAX(CM843,2*(J843/IF(CH843&gt;0,CH843,MAX(0.1,N(Cockpit!$O$6)))-CL843)),0)</f>
        <v>99</v>
      </c>
      <c r="BH843" s="63" t="n">
        <f aca="false">IF(BD843&gt;0,J843/BD843,-1)</f>
        <v>84</v>
      </c>
      <c r="BI843" s="63" t="n">
        <f aca="false">IF(AND(OR(CG843="L1",CG843="L23",CG843="LIFT"),BD843&gt;0),SUMIFS($BD$7:$BD$1843,$CG$7:$CG$1843,CG843,$BH$7:$BH$1843,"&gt;"&amp;BH843)+SUMIFS($BD$7:$BD$1843,$CG$7:$CG$1843,CG843,$BH$7:$BH$1843,BH843,$BX$7:$BX$1843,"&lt;="&amp;BX843),"")</f>
        <v>989.517399267399</v>
      </c>
      <c r="BJ843" s="70" t="n">
        <f aca="false">IF(BI843="",0,MAX(0,MIN(1,(IF(CG843="L1",Parameter!$H$5,IF(CG843="L23",Parameter!$H$6+Parameter!$H$7,Parameter!$H$5+Parameter!$H$6+Parameter!$H$7))-(BI843-BD843))/BD843)))</f>
        <v>1</v>
      </c>
      <c r="BK843" s="60" t="str">
        <f aca="false">IF(AJ843&lt;=0,"",IF(CG843="Aussen","Aussenlager",IF(CG843="-","Nicht im Lift",IF(AP843&gt;=1,"Lift",IF(AP843&lt;=0,"Aussenlager","teilweise")))))</f>
        <v>Lift</v>
      </c>
      <c r="BL843" s="60" t="str">
        <f aca="false">IF(AT843&lt;=0,"",IF(CG843="Aussen","Aussenlager",IF(CG843="-","Nicht im Lift",IF(AZ843&gt;=1,"Lift",IF(AZ843&lt;=0,"Aussenlager","teilweise")))))</f>
        <v>Lift</v>
      </c>
      <c r="BM843" s="60" t="str">
        <f aca="false">IF(BD843&lt;=0,"",IF(CG843="Aussen","Aussenlager",IF(CG843="-","Nicht im Lift",IF(BJ843&gt;=1,"Lift",IF(BJ843&lt;=0,"Aussenlager","teilweise")))))</f>
        <v>Lift</v>
      </c>
      <c r="BN843" s="60" t="str">
        <f aca="false">IF(A843="","",IF(BW843=1,"Neu; ","")&amp;IF(AND(BW843=0,BR843&lt;0),"negativer Bestand (Export "&amp;BR843&amp;"); ","")&amp;IF(J843&lt;=0,"Kein Verbrauch; ","")&amp;IF(CR843&gt;0,"Lift "&amp;W843&amp;" lt. Liftbericht (Fach "&amp;X843&amp;" Stk); ",IF(CB843=1,"Gebinde geschätzt ("&amp;T843&amp;"); ",IF(CA843=1,"Lose – Tablare geschätzt; ","")))&amp;IF(H843&gt;AW843,"Überbestand "&amp;ROUND(H843-AW843,0)&amp;" Stk / CHF "&amp;ROUND((H843-AW843)*G843,0)&amp;"; ","")&amp;IF(AND(CI843=1,CJ843&lt;CK843),"MAX &lt; MB+LG; ","")&amp;IF(AND(CQ843&gt;0,CP843*10&gt;CQ843),"zu hoch für Tablar; ","")&amp;IF(AND(BW843=0,OR(CI843=1,AB843&lt;&gt;"",U843&lt;&gt;"",V843&lt;&gt;"",AC843&lt;&gt;"")),"manuell übersteuert; ","")&amp;IF(AND(CA843=0,R843=0),"Gebinde unbekannt / Stellmass fehlt; ","")&amp;IF(AND(CA843=0,N(V843)&lt;=0,N(Q843)&lt;=0),"Menge pro Gebinde fehlt (Ist = 1 Gebinde); ","")&amp;BV843)</f>
        <v>negativer Bestand (Export -134); Neu</v>
      </c>
      <c r="BO843" s="60"/>
      <c r="BP843" s="60"/>
      <c r="BQ843" s="67"/>
      <c r="BR843" s="62" t="n">
        <v>-134</v>
      </c>
      <c r="BS843" s="62" t="n">
        <v>155</v>
      </c>
      <c r="BT843" s="61" t="n">
        <v>-14.74</v>
      </c>
      <c r="BU843" s="62" t="n">
        <v>93</v>
      </c>
      <c r="BV843" s="60" t="s">
        <v>668</v>
      </c>
      <c r="BW843" s="65" t="n">
        <v>0</v>
      </c>
      <c r="BX843" s="65" t="n">
        <v>843</v>
      </c>
      <c r="BY843" s="60" t="str">
        <f aca="false">IF(U843&lt;&gt;"",UPPER(TRIM(U843)),IF(CB843=1,UPPER(VLOOKUP(T843,Parameter!$I$27:$K$29,2,0)),IF(P843="","LOSE",P843)))</f>
        <v>S22</v>
      </c>
      <c r="BZ843" s="62" t="n">
        <f aca="false">IF(BY843="LOSE",1,IF(N(V843)&gt;0,V843,IF(CB843=1,MAX(1,N(VLOOKUP(T843,Parameter!$I$27:$K$29,3,0)),H843,N(N843)),IF(N(Q843)&gt;0,Q843,MAX(1,H843)))))</f>
        <v>131</v>
      </c>
      <c r="CA843" s="65" t="n">
        <f aca="false">IF(BY843="LOSE",1,0)</f>
        <v>0</v>
      </c>
      <c r="CB843" s="65" t="n">
        <f aca="false">IF(AND(U843="",OR(P843="",P843="LOSE"),T843&lt;&gt;"",N(S843)&lt;=0,ISNUMBER(MATCH(T843,Parameter!$I$27:$I$29,0))),1,0)</f>
        <v>0</v>
      </c>
      <c r="CC843" s="65" t="n">
        <f aca="false">IF(CR843&gt;0,INDEX(Parameter!$H$5:$H$7,W843)/INDEX(Parameter!$E$5:$E$7,W843),IF(AND(CA843=0,N(IFERROR(VLOOKUP(BY843,'Gebinde-Kategorie'!$A$5:$N$45,14,0),0))&gt;0),VLOOKUP(BY843,'Gebinde-Kategorie'!$A$5:$N$45,14,0)*10+Parameter!$M$23,Parameter!$M$24))</f>
        <v>155</v>
      </c>
      <c r="CD843" s="60" t="str">
        <f aca="false">IF(AND(Parameter!$B$19="Ja",E843&lt;&gt;"",ISNUMBER(MATCH(E843,Parameter!$I$35:$I$52,0))),VLOOKUP(E843,Parameter!$I$35:$J$52,2,0),IFERROR(VLOOKUP(D843,Parameter!$A$35:$C$64,2,0),"Nein"))</f>
        <v>2+3</v>
      </c>
      <c r="CE843" s="64" t="n">
        <f aca="false">IF(CA843=0,0,IF(N(S843)&gt;0,S843,IFERROR(VLOOKUP(D843,Parameter!$A$35:$C$64,3,0)+0,0)))</f>
        <v>0</v>
      </c>
      <c r="CF843" s="60" t="n">
        <f aca="false">IF(AB843&lt;&gt;"",AB843,AA843)</f>
        <v>1</v>
      </c>
      <c r="CG843" s="60" t="str">
        <f aca="false">IF(OR(CF843=1,CF843=2,CF843=3),IF(Parameter!$E$27="Ja","LIFT",IF(CF843=1,"L1","L23")),IF(CF843="Aussen","Aussen","-"))</f>
        <v>LIFT</v>
      </c>
      <c r="CH843" s="71" t="n">
        <f aca="false">IF(N(AC843)&gt;0,AC843,0)</f>
        <v>0</v>
      </c>
      <c r="CI843" s="65" t="n">
        <f aca="false">IF(ISNUMBER(AF843),1,0)</f>
        <v>0</v>
      </c>
      <c r="CJ843" s="62" t="n">
        <f aca="false">N(AF843)</f>
        <v>0</v>
      </c>
      <c r="CK843" s="62" t="n">
        <f aca="false">N(M843)+N(N843)</f>
        <v>99</v>
      </c>
      <c r="CL843" s="62" t="n">
        <f aca="false">N(M843)</f>
        <v>4</v>
      </c>
      <c r="CM843" s="62" t="n">
        <f aca="false">N(N843)</f>
        <v>95</v>
      </c>
      <c r="CN843" s="62" t="n">
        <f aca="false">ROUNDUP(H843/BZ843,0)</f>
        <v>1</v>
      </c>
      <c r="CO843" s="62" t="n">
        <f aca="false">ROUNDUP(CJ843/BZ843,0)</f>
        <v>0</v>
      </c>
      <c r="CP843" s="65" t="n">
        <f aca="false">IF(CA843=1,0,IFERROR(VLOOKUP(BY843,'Gebinde-Kategorie'!$A$5:$N$45,5,0)+0,0))</f>
        <v>8</v>
      </c>
      <c r="CQ843" s="65" t="n">
        <f aca="false">IFERROR(IF(OR(CF843=1,CF843=2,CF843=3),N(INDEX(Parameter!$I$5:$I$7,CF843)),0),0)</f>
        <v>0</v>
      </c>
      <c r="CR843" s="64" t="n">
        <f aca="false">IF(AND(Parameter!$B$21="Ja",ISNUMBER(W843),N(X843)&gt;0),IFERROR(N(INDEX(Parameter!$L$5:$L$7,W843))*INDEX(Parameter!$E$5:$E$7,W843)*X843/SUMIFS($X$7:$X$1843,$W$7:$W$1843,W843),0),0)</f>
        <v>0</v>
      </c>
      <c r="CS843" s="62" t="n">
        <f aca="false">IF(AND(OR(CG843="L1",CG843="L23",CG843="LIFT"),H843&gt;0),CC843*IF(CR843&gt;0,CR843*MAX(1,H843/X843),IF(CA843=1,CE843,IF(R843&gt;0,CN843/R843,0))/MAX(0.1,N(Parameter!$M$21))),"")</f>
        <v>1.10714285714286</v>
      </c>
      <c r="CT843" s="64" t="n">
        <f aca="false">IF(CS843="","",J843/H843)</f>
        <v>4.42857142857143</v>
      </c>
      <c r="CU843" s="62" t="n">
        <f aca="false">IF(CS843="","",H843*G843)</f>
        <v>2.31</v>
      </c>
      <c r="CV843" s="63" t="n">
        <f aca="false">IF(CS843="","",(CL843+ROUNDUP(CL843+MAX(CM843,2*(J843/MAX(0.1,N(Einkauf!$C$6))-CL843)),0))/2)</f>
        <v>51.5</v>
      </c>
      <c r="CW843" s="62" t="n">
        <f aca="false">IF(CS843="","",MAX(0,H843-CV843)*G843)</f>
        <v>0</v>
      </c>
      <c r="CX843" s="62" t="n">
        <f aca="false">IF(CS843="","",CS843*MAX(0,1-CV843/H843))</f>
        <v>0</v>
      </c>
      <c r="CY843" s="64" t="n">
        <f aca="false">IF(CS843="","",PERCENTRANK($CS$7:$CS$1843,CS843)+PERCENTRANK($CU$7:$CU$1843,CU843)+1-PERCENTRANK($CT$7:$CT$1843,CT843))</f>
        <v>0.1211</v>
      </c>
      <c r="CZ843" s="72" t="n">
        <f aca="false">IF(CS843="","",CHOOSE(MATCH(Einkauf!$C$5,Parameter!$G$23:$G$27,0),CY843,CS843,CU843,-CT843,CW843)+ROW()/1000000000)</f>
        <v>0.121100843</v>
      </c>
    </row>
    <row r="844" customFormat="false" ht="15" hidden="false" customHeight="false" outlineLevel="0" collapsed="false">
      <c r="A844" s="60" t="s">
        <v>1657</v>
      </c>
      <c r="B844" s="60" t="s">
        <v>1321</v>
      </c>
      <c r="C844" s="60" t="s">
        <v>206</v>
      </c>
      <c r="D844" s="60" t="s">
        <v>226</v>
      </c>
      <c r="E844" s="60"/>
      <c r="F844" s="60" t="s">
        <v>260</v>
      </c>
      <c r="G844" s="61" t="n">
        <v>2.97</v>
      </c>
      <c r="H844" s="62" t="n">
        <f aca="false">MAX(0,IF(AND(Parameter!$B$21="Ja",ISNUMBER(Y844)),Y844,IF(Parameter!$B$20="Jahresanfang 2025 + Export",BS844+BR844,BR844)))</f>
        <v>7</v>
      </c>
      <c r="I844" s="62" t="n">
        <f aca="false">H844*G844</f>
        <v>20.79</v>
      </c>
      <c r="J844" s="62" t="n">
        <f aca="false">BU844*Parameter!$B$18</f>
        <v>0</v>
      </c>
      <c r="K844" s="63" t="n">
        <v>12</v>
      </c>
      <c r="L844" s="64" t="n">
        <v>0</v>
      </c>
      <c r="M844" s="62" t="n">
        <v>0</v>
      </c>
      <c r="N844" s="62" t="n">
        <v>1</v>
      </c>
      <c r="O844" s="65" t="n">
        <v>14</v>
      </c>
      <c r="P844" s="60" t="s">
        <v>443</v>
      </c>
      <c r="Q844" s="62" t="n">
        <v>7</v>
      </c>
      <c r="R844" s="65" t="n">
        <f aca="false">IF(CA844=1,0,IFERROR(VLOOKUP(BY844,'Gebinde-Kategorie'!$A$5:$N$45,13,0)+0,0))</f>
        <v>280</v>
      </c>
      <c r="S844" s="66"/>
      <c r="T844" s="67"/>
      <c r="U844" s="67"/>
      <c r="V844" s="67"/>
      <c r="W844" s="60"/>
      <c r="X844" s="62"/>
      <c r="Y844" s="62"/>
      <c r="Z844" s="60" t="n">
        <v>2</v>
      </c>
      <c r="AA844" s="60" t="n">
        <f aca="false">IF(A844="","",IF(AND(Parameter!$B$21="Ja",ISNUMBER(W844)),W844,IF(AND(Parameter!$E$27="Ja",ISNUMBER(Z844),CD844&lt;&gt;"Nein"),Z844,IF(CD844="2+3",IF(ISNUMBER(SEARCH("grosser Artikel",BV844)),2,IFERROR(VLOOKUP(BY844,Parameter!$F$35:$G$64,2,0),2)),IF(OR(CD844="Nein",CD844=""),"-",CD844)))))</f>
        <v>2</v>
      </c>
      <c r="AB844" s="67"/>
      <c r="AC844" s="68"/>
      <c r="AD844" s="62" t="n">
        <f aca="false">AW844</f>
        <v>1</v>
      </c>
      <c r="AE844" s="62" t="n">
        <f aca="false">MAX(AW844,H844)</f>
        <v>7</v>
      </c>
      <c r="AF844" s="69"/>
      <c r="AG844" s="62" t="n">
        <f aca="false">IF(LEFT(Cockpit!$C$5,1)="A",H844,IF(Parameter!$E$30="MAX-Bestand",IF(CI844=1,CJ844,IF(LEFT(Cockpit!$C$5,1)="B",AM844,MAX(AM844,H844))),ROUNDUP(AK844,0)))</f>
        <v>7</v>
      </c>
      <c r="AH844" s="62" t="n">
        <f aca="false">IF(CA844=1,0,ROUNDUP(AG844/BZ844,0))</f>
        <v>1</v>
      </c>
      <c r="AI844" s="64" t="n">
        <f aca="false">IF(CR844&gt;0,CR844*MAX(1,AG844/X844),IF(CA844=1,IF(AG844&lt;=0,0,CE844*MAX(1,IF(H844&gt;0,AG844/H844,1))),IF(R844&gt;0,AH844/R844,0))/MAX(0.1,N(Parameter!$M$21)))</f>
        <v>0.00357142857142857</v>
      </c>
      <c r="AJ844" s="62" t="n">
        <f aca="false">AI844*CC844</f>
        <v>0.553571428571429</v>
      </c>
      <c r="AK844" s="63" t="n">
        <f aca="false">IF(LEFT(Cockpit!$C$5,1)="A",H844,IF(CI844=1,(CL844+CJ844)/2,IF(LEFT(Cockpit!$C$5,1)="B",(CL844+AM844)/2,MAX((CL844+AM844)/2,H844))))</f>
        <v>7</v>
      </c>
      <c r="AL844" s="62" t="n">
        <f aca="false">AK844*G844</f>
        <v>20.79</v>
      </c>
      <c r="AM844" s="62" t="n">
        <f aca="false">ROUNDUP(CL844+MAX(CM844,2*(J844/IF(CH844&gt;0,CH844,MAX(0.1,N(Cockpit!$C$6)))-CL844)),0)</f>
        <v>1</v>
      </c>
      <c r="AN844" s="63" t="n">
        <f aca="false">IF(AJ844&gt;0,J844/AJ844,-1)</f>
        <v>0</v>
      </c>
      <c r="AO844" s="63" t="n">
        <f aca="false">IF(AND(OR(CG844="L1",CG844="L23",CG844="LIFT"),AJ844&gt;0),SUMIFS($AJ$7:$AJ$1843,$CG$7:$CG$1843,CG844,$AN$7:$AN$1843,"&gt;"&amp;AN844)+SUMIFS($AJ$7:$AJ$1843,$CG$7:$CG$1843,CG844,$AN$7:$AN$1843,AN844,$BX$7:$BX$1843,"&lt;="&amp;BX844),"")</f>
        <v>28808.199801846</v>
      </c>
      <c r="AP844" s="70" t="n">
        <f aca="false">IF(AO844="",0,MAX(0,MIN(1,(IF(CG844="L1",Parameter!$H$5,IF(CG844="L23",Parameter!$H$6+Parameter!$H$7,Parameter!$H$5+Parameter!$H$6+Parameter!$H$7))-(AO844-AJ844))/AJ844)))</f>
        <v>1</v>
      </c>
      <c r="AQ844" s="62" t="n">
        <f aca="false">IF(LEFT(Cockpit!$I$5,1)="A",H844,IF(Parameter!$E$30="MAX-Bestand",IF(CI844=1,CJ844,IF(LEFT(Cockpit!$I$5,1)="B",AW844,MAX(AW844,H844))),ROUNDUP(AU844,0)))</f>
        <v>7</v>
      </c>
      <c r="AR844" s="62" t="n">
        <f aca="false">IF(CA844=1,0,ROUNDUP(AQ844/BZ844,0))</f>
        <v>1</v>
      </c>
      <c r="AS844" s="64" t="n">
        <f aca="false">IF(CR844&gt;0,CR844*MAX(1,AQ844/X844),IF(CA844=1,IF(AQ844&lt;=0,0,CE844*MAX(1,IF(H844&gt;0,AQ844/H844,1))),IF(R844&gt;0,AR844/R844,0))/MAX(0.1,N(Parameter!$M$21)))</f>
        <v>0.00357142857142857</v>
      </c>
      <c r="AT844" s="62" t="n">
        <f aca="false">AS844*CC844</f>
        <v>0.553571428571429</v>
      </c>
      <c r="AU844" s="63" t="n">
        <f aca="false">IF(LEFT(Cockpit!$I$5,1)="A",H844,IF(CI844=1,(CL844+CJ844)/2,IF(LEFT(Cockpit!$I$5,1)="B",(CL844+AW844)/2,MAX((CL844+AW844)/2,H844))))</f>
        <v>7</v>
      </c>
      <c r="AV844" s="62" t="n">
        <f aca="false">AU844*G844</f>
        <v>20.79</v>
      </c>
      <c r="AW844" s="62" t="n">
        <f aca="false">ROUNDUP(CL844+MAX(CM844,2*(J844/IF(CH844&gt;0,CH844,MAX(0.1,N(Cockpit!$I$6)))-CL844)),0)</f>
        <v>1</v>
      </c>
      <c r="AX844" s="63" t="n">
        <f aca="false">IF(AT844&gt;0,J844/AT844,-1)</f>
        <v>0</v>
      </c>
      <c r="AY844" s="63" t="n">
        <f aca="false">IF(AND(OR(CG844="L1",CG844="L23",CG844="LIFT"),AT844&gt;0),SUMIFS($AT$7:$AT$1843,$CG$7:$CG$1843,CG844,$AX$7:$AX$1843,"&gt;"&amp;AX844)+SUMIFS($AT$7:$AT$1843,$CG$7:$CG$1843,CG844,$AX$7:$AX$1843,AX844,$BX$7:$BX$1843,"&lt;="&amp;BX844),"")</f>
        <v>34428.4404761905</v>
      </c>
      <c r="AZ844" s="70" t="n">
        <f aca="false">IF(AY844="",0,MAX(0,MIN(1,(IF(CG844="L1",Parameter!$H$5,IF(CG844="L23",Parameter!$H$6+Parameter!$H$7,Parameter!$H$5+Parameter!$H$6+Parameter!$H$7))-(AY844-AT844))/AT844)))</f>
        <v>1</v>
      </c>
      <c r="BA844" s="62" t="n">
        <f aca="false">IF(LEFT(Cockpit!$O$5,1)="A",H844,IF(Parameter!$E$30="MAX-Bestand",IF(CI844=1,CJ844,IF(LEFT(Cockpit!$O$5,1)="B",BG844,MAX(BG844,H844))),ROUNDUP(BE844,0)))</f>
        <v>1</v>
      </c>
      <c r="BB844" s="62" t="n">
        <f aca="false">IF(CA844=1,0,ROUNDUP(BA844/BZ844,0))</f>
        <v>1</v>
      </c>
      <c r="BC844" s="64" t="n">
        <f aca="false">IF(CR844&gt;0,CR844*MAX(1,BA844/X844),IF(CA844=1,IF(BA844&lt;=0,0,CE844*MAX(1,IF(H844&gt;0,BA844/H844,1))),IF(R844&gt;0,BB844/R844,0))/MAX(0.1,N(Parameter!$M$21)))</f>
        <v>0.00357142857142857</v>
      </c>
      <c r="BD844" s="62" t="n">
        <f aca="false">BC844*CC844</f>
        <v>0.553571428571429</v>
      </c>
      <c r="BE844" s="63" t="n">
        <f aca="false">IF(LEFT(Cockpit!$O$5,1)="A",H844,IF(CI844=1,(CL844+CJ844)/2,IF(LEFT(Cockpit!$O$5,1)="B",(CL844+BG844)/2,MAX((CL844+BG844)/2,H844))))</f>
        <v>0.5</v>
      </c>
      <c r="BF844" s="62" t="n">
        <f aca="false">BE844*G844</f>
        <v>1.485</v>
      </c>
      <c r="BG844" s="62" t="n">
        <f aca="false">ROUNDUP(CL844+MAX(CM844,2*(J844/IF(CH844&gt;0,CH844,MAX(0.1,N(Cockpit!$O$6)))-CL844)),0)</f>
        <v>1</v>
      </c>
      <c r="BH844" s="63" t="n">
        <f aca="false">IF(BD844&gt;0,J844/BD844,-1)</f>
        <v>0</v>
      </c>
      <c r="BI844" s="63" t="n">
        <f aca="false">IF(AND(OR(CG844="L1",CG844="L23",CG844="LIFT"),BD844&gt;0),SUMIFS($BD$7:$BD$1843,$CG$7:$CG$1843,CG844,$BH$7:$BH$1843,"&gt;"&amp;BH844)+SUMIFS($BD$7:$BD$1843,$CG$7:$CG$1843,CG844,$BH$7:$BH$1843,BH844,$BX$7:$BX$1843,"&lt;="&amp;BX844),"")</f>
        <v>28468.2224110635</v>
      </c>
      <c r="BJ844" s="70" t="n">
        <f aca="false">IF(BI844="",0,MAX(0,MIN(1,(IF(CG844="L1",Parameter!$H$5,IF(CG844="L23",Parameter!$H$6+Parameter!$H$7,Parameter!$H$5+Parameter!$H$6+Parameter!$H$7))-(BI844-BD844))/BD844)))</f>
        <v>1</v>
      </c>
      <c r="BK844" s="60" t="str">
        <f aca="false">IF(AJ844&lt;=0,"",IF(CG844="Aussen","Aussenlager",IF(CG844="-","Nicht im Lift",IF(AP844&gt;=1,"Lift",IF(AP844&lt;=0,"Aussenlager","teilweise")))))</f>
        <v>Lift</v>
      </c>
      <c r="BL844" s="60" t="str">
        <f aca="false">IF(AT844&lt;=0,"",IF(CG844="Aussen","Aussenlager",IF(CG844="-","Nicht im Lift",IF(AZ844&gt;=1,"Lift",IF(AZ844&lt;=0,"Aussenlager","teilweise")))))</f>
        <v>Lift</v>
      </c>
      <c r="BM844" s="60" t="str">
        <f aca="false">IF(BD844&lt;=0,"",IF(CG844="Aussen","Aussenlager",IF(CG844="-","Nicht im Lift",IF(BJ844&gt;=1,"Lift",IF(BJ844&lt;=0,"Aussenlager","teilweise")))))</f>
        <v>Lift</v>
      </c>
      <c r="BN844" s="60" t="str">
        <f aca="false">IF(A844="","",IF(BW844=1,"Neu; ","")&amp;IF(AND(BW844=0,BR844&lt;0),"negativer Bestand (Export "&amp;BR844&amp;"); ","")&amp;IF(J844&lt;=0,"Kein Verbrauch; ","")&amp;IF(CR844&gt;0,"Lift "&amp;W844&amp;" lt. Liftbericht (Fach "&amp;X844&amp;" Stk); ",IF(CB844=1,"Gebinde geschätzt ("&amp;T844&amp;"); ",IF(CA844=1,"Lose – Tablare geschätzt; ","")))&amp;IF(H844&gt;AW844,"Überbestand "&amp;ROUND(H844-AW844,0)&amp;" Stk / CHF "&amp;ROUND((H844-AW844)*G844,0)&amp;"; ","")&amp;IF(AND(CI844=1,CJ844&lt;CK844),"MAX &lt; MB+LG; ","")&amp;IF(AND(CQ844&gt;0,CP844*10&gt;CQ844),"zu hoch für Tablar; ","")&amp;IF(AND(BW844=0,OR(CI844=1,AB844&lt;&gt;"",U844&lt;&gt;"",V844&lt;&gt;"",AC844&lt;&gt;"")),"manuell übersteuert; ","")&amp;IF(AND(CA844=0,R844=0),"Gebinde unbekannt / Stellmass fehlt; ","")&amp;IF(AND(CA844=0,N(V844)&lt;=0,N(Q844)&lt;=0),"Menge pro Gebinde fehlt (Ist = 1 Gebinde); ","")&amp;BV844)</f>
        <v>negativer Bestand (Export -5); Kein Verbrauch; Überbestand 6 Stk / CHF 18; </v>
      </c>
      <c r="BO844" s="60"/>
      <c r="BP844" s="60"/>
      <c r="BQ844" s="67"/>
      <c r="BR844" s="62" t="n">
        <v>-5</v>
      </c>
      <c r="BS844" s="62" t="n">
        <v>12</v>
      </c>
      <c r="BT844" s="61" t="n">
        <v>-14.85</v>
      </c>
      <c r="BU844" s="62" t="n">
        <v>0</v>
      </c>
      <c r="BV844" s="60"/>
      <c r="BW844" s="65" t="n">
        <v>0</v>
      </c>
      <c r="BX844" s="65" t="n">
        <v>844</v>
      </c>
      <c r="BY844" s="60" t="str">
        <f aca="false">IF(U844&lt;&gt;"",UPPER(TRIM(U844)),IF(CB844=1,UPPER(VLOOKUP(T844,Parameter!$I$27:$K$29,2,0)),IF(P844="","LOSE",P844)))</f>
        <v>S21</v>
      </c>
      <c r="BZ844" s="62" t="n">
        <f aca="false">IF(BY844="LOSE",1,IF(N(V844)&gt;0,V844,IF(CB844=1,MAX(1,N(VLOOKUP(T844,Parameter!$I$27:$K$29,3,0)),H844,N(N844)),IF(N(Q844)&gt;0,Q844,MAX(1,H844)))))</f>
        <v>7</v>
      </c>
      <c r="CA844" s="65" t="n">
        <f aca="false">IF(BY844="LOSE",1,0)</f>
        <v>0</v>
      </c>
      <c r="CB844" s="65" t="n">
        <f aca="false">IF(AND(U844="",OR(P844="",P844="LOSE"),T844&lt;&gt;"",N(S844)&lt;=0,ISNUMBER(MATCH(T844,Parameter!$I$27:$I$29,0))),1,0)</f>
        <v>0</v>
      </c>
      <c r="CC844" s="65" t="n">
        <f aca="false">IF(CR844&gt;0,INDEX(Parameter!$H$5:$H$7,W844)/INDEX(Parameter!$E$5:$E$7,W844),IF(AND(CA844=0,N(IFERROR(VLOOKUP(BY844,'Gebinde-Kategorie'!$A$5:$N$45,14,0),0))&gt;0),VLOOKUP(BY844,'Gebinde-Kategorie'!$A$5:$N$45,14,0)*10+Parameter!$M$23,Parameter!$M$24))</f>
        <v>155</v>
      </c>
      <c r="CD844" s="60" t="str">
        <f aca="false">IF(AND(Parameter!$B$19="Ja",E844&lt;&gt;"",ISNUMBER(MATCH(E844,Parameter!$I$35:$I$52,0))),VLOOKUP(E844,Parameter!$I$35:$J$52,2,0),IFERROR(VLOOKUP(D844,Parameter!$A$35:$C$64,2,0),"Nein"))</f>
        <v>2+3</v>
      </c>
      <c r="CE844" s="64" t="n">
        <f aca="false">IF(CA844=0,0,IF(N(S844)&gt;0,S844,IFERROR(VLOOKUP(D844,Parameter!$A$35:$C$64,3,0)+0,0)))</f>
        <v>0</v>
      </c>
      <c r="CF844" s="60" t="n">
        <f aca="false">IF(AB844&lt;&gt;"",AB844,AA844)</f>
        <v>2</v>
      </c>
      <c r="CG844" s="60" t="str">
        <f aca="false">IF(OR(CF844=1,CF844=2,CF844=3),IF(Parameter!$E$27="Ja","LIFT",IF(CF844=1,"L1","L23")),IF(CF844="Aussen","Aussen","-"))</f>
        <v>LIFT</v>
      </c>
      <c r="CH844" s="71" t="n">
        <f aca="false">IF(N(AC844)&gt;0,AC844,0)</f>
        <v>0</v>
      </c>
      <c r="CI844" s="65" t="n">
        <f aca="false">IF(ISNUMBER(AF844),1,0)</f>
        <v>0</v>
      </c>
      <c r="CJ844" s="62" t="n">
        <f aca="false">N(AF844)</f>
        <v>0</v>
      </c>
      <c r="CK844" s="62" t="n">
        <f aca="false">N(M844)+N(N844)</f>
        <v>1</v>
      </c>
      <c r="CL844" s="62" t="n">
        <f aca="false">N(M844)</f>
        <v>0</v>
      </c>
      <c r="CM844" s="62" t="n">
        <f aca="false">N(N844)</f>
        <v>1</v>
      </c>
      <c r="CN844" s="62" t="n">
        <f aca="false">ROUNDUP(H844/BZ844,0)</f>
        <v>1</v>
      </c>
      <c r="CO844" s="62" t="n">
        <f aca="false">ROUNDUP(CJ844/BZ844,0)</f>
        <v>0</v>
      </c>
      <c r="CP844" s="65" t="n">
        <f aca="false">IF(CA844=1,0,IFERROR(VLOOKUP(BY844,'Gebinde-Kategorie'!$A$5:$N$45,5,0)+0,0))</f>
        <v>8</v>
      </c>
      <c r="CQ844" s="65" t="n">
        <f aca="false">IFERROR(IF(OR(CF844=1,CF844=2,CF844=3),N(INDEX(Parameter!$I$5:$I$7,CF844)),0),0)</f>
        <v>0</v>
      </c>
      <c r="CR844" s="64" t="n">
        <f aca="false">IF(AND(Parameter!$B$21="Ja",ISNUMBER(W844),N(X844)&gt;0),IFERROR(N(INDEX(Parameter!$L$5:$L$7,W844))*INDEX(Parameter!$E$5:$E$7,W844)*X844/SUMIFS($X$7:$X$1843,$W$7:$W$1843,W844),0),0)</f>
        <v>0</v>
      </c>
      <c r="CS844" s="62" t="n">
        <f aca="false">IF(AND(OR(CG844="L1",CG844="L23",CG844="LIFT"),H844&gt;0),CC844*IF(CR844&gt;0,CR844*MAX(1,H844/X844),IF(CA844=1,CE844,IF(R844&gt;0,CN844/R844,0))/MAX(0.1,N(Parameter!$M$21))),"")</f>
        <v>0.553571428571429</v>
      </c>
      <c r="CT844" s="64" t="n">
        <f aca="false">IF(CS844="","",J844/H844)</f>
        <v>0</v>
      </c>
      <c r="CU844" s="62" t="n">
        <f aca="false">IF(CS844="","",H844*G844)</f>
        <v>20.79</v>
      </c>
      <c r="CV844" s="63" t="n">
        <f aca="false">IF(CS844="","",(CL844+ROUNDUP(CL844+MAX(CM844,2*(J844/MAX(0.1,N(Einkauf!$C$6))-CL844)),0))/2)</f>
        <v>0.5</v>
      </c>
      <c r="CW844" s="62" t="n">
        <f aca="false">IF(CS844="","",MAX(0,H844-CV844)*G844)</f>
        <v>19.305</v>
      </c>
      <c r="CX844" s="62" t="n">
        <f aca="false">IF(CS844="","",CS844*MAX(0,1-CV844/H844))</f>
        <v>0.514030612244898</v>
      </c>
      <c r="CY844" s="64" t="n">
        <f aca="false">IF(CS844="","",PERCENTRANK($CS$7:$CS$1843,CS844)+PERCENTRANK($CU$7:$CU$1843,CU844)+1-PERCENTRANK($CT$7:$CT$1843,CT844))</f>
        <v>1.0766</v>
      </c>
      <c r="CZ844" s="72" t="n">
        <f aca="false">IF(CS844="","",CHOOSE(MATCH(Einkauf!$C$5,Parameter!$G$23:$G$27,0),CY844,CS844,CU844,-CT844,CW844)+ROW()/1000000000)</f>
        <v>1.076600844</v>
      </c>
    </row>
    <row r="845" customFormat="false" ht="15" hidden="false" customHeight="false" outlineLevel="0" collapsed="false">
      <c r="A845" s="60" t="s">
        <v>1658</v>
      </c>
      <c r="B845" s="60" t="s">
        <v>447</v>
      </c>
      <c r="C845" s="60" t="s">
        <v>206</v>
      </c>
      <c r="D845" s="60" t="s">
        <v>226</v>
      </c>
      <c r="E845" s="60" t="s">
        <v>227</v>
      </c>
      <c r="F845" s="60" t="s">
        <v>260</v>
      </c>
      <c r="G845" s="61" t="n">
        <v>0.11</v>
      </c>
      <c r="H845" s="62" t="n">
        <f aca="false">MAX(0,IF(AND(Parameter!$B$21="Ja",ISNUMBER(Y845)),Y845,IF(Parameter!$B$20="Jahresanfang 2025 + Export",BS845+BR845,BR845)))</f>
        <v>643</v>
      </c>
      <c r="I845" s="62" t="n">
        <f aca="false">H845*G845</f>
        <v>70.73</v>
      </c>
      <c r="J845" s="62" t="n">
        <f aca="false">BU845*Parameter!$B$18</f>
        <v>8</v>
      </c>
      <c r="K845" s="63" t="n">
        <v>732</v>
      </c>
      <c r="L845" s="64" t="n">
        <v>0.0109289617486339</v>
      </c>
      <c r="M845" s="62" t="n">
        <v>0</v>
      </c>
      <c r="N845" s="62" t="n">
        <v>10</v>
      </c>
      <c r="O845" s="65" t="n">
        <v>21</v>
      </c>
      <c r="P845" s="60" t="s">
        <v>370</v>
      </c>
      <c r="Q845" s="62" t="n">
        <v>823</v>
      </c>
      <c r="R845" s="65" t="n">
        <f aca="false">IF(CA845=1,0,IFERROR(VLOOKUP(BY845,'Gebinde-Kategorie'!$A$5:$N$45,13,0)+0,0))</f>
        <v>52</v>
      </c>
      <c r="S845" s="66"/>
      <c r="T845" s="67"/>
      <c r="U845" s="67"/>
      <c r="V845" s="67"/>
      <c r="W845" s="60"/>
      <c r="X845" s="62"/>
      <c r="Y845" s="62"/>
      <c r="Z845" s="60" t="n">
        <v>2</v>
      </c>
      <c r="AA845" s="60" t="n">
        <f aca="false">IF(A845="","",IF(AND(Parameter!$B$21="Ja",ISNUMBER(W845)),W845,IF(AND(Parameter!$E$27="Ja",ISNUMBER(Z845),CD845&lt;&gt;"Nein"),Z845,IF(CD845="2+3",IF(ISNUMBER(SEARCH("grosser Artikel",BV845)),2,IFERROR(VLOOKUP(BY845,Parameter!$F$35:$G$64,2,0),2)),IF(OR(CD845="Nein",CD845=""),"-",CD845)))))</f>
        <v>2</v>
      </c>
      <c r="AB845" s="67"/>
      <c r="AC845" s="68"/>
      <c r="AD845" s="62" t="n">
        <f aca="false">AW845</f>
        <v>10</v>
      </c>
      <c r="AE845" s="62" t="n">
        <f aca="false">MAX(AW845,H845)</f>
        <v>643</v>
      </c>
      <c r="AF845" s="69"/>
      <c r="AG845" s="62" t="n">
        <f aca="false">IF(LEFT(Cockpit!$C$5,1)="A",H845,IF(Parameter!$E$30="MAX-Bestand",IF(CI845=1,CJ845,IF(LEFT(Cockpit!$C$5,1)="B",AM845,MAX(AM845,H845))),ROUNDUP(AK845,0)))</f>
        <v>643</v>
      </c>
      <c r="AH845" s="62" t="n">
        <f aca="false">IF(CA845=1,0,ROUNDUP(AG845/BZ845,0))</f>
        <v>1</v>
      </c>
      <c r="AI845" s="64" t="n">
        <f aca="false">IF(CR845&gt;0,CR845*MAX(1,AG845/X845),IF(CA845=1,IF(AG845&lt;=0,0,CE845*MAX(1,IF(H845&gt;0,AG845/H845,1))),IF(R845&gt;0,AH845/R845,0))/MAX(0.1,N(Parameter!$M$21)))</f>
        <v>0.0192307692307692</v>
      </c>
      <c r="AJ845" s="62" t="n">
        <f aca="false">AI845*CC845</f>
        <v>2.98076923076923</v>
      </c>
      <c r="AK845" s="63" t="n">
        <f aca="false">IF(LEFT(Cockpit!$C$5,1)="A",H845,IF(CI845=1,(CL845+CJ845)/2,IF(LEFT(Cockpit!$C$5,1)="B",(CL845+AM845)/2,MAX((CL845+AM845)/2,H845))))</f>
        <v>643</v>
      </c>
      <c r="AL845" s="62" t="n">
        <f aca="false">AK845*G845</f>
        <v>70.73</v>
      </c>
      <c r="AM845" s="62" t="n">
        <f aca="false">ROUNDUP(CL845+MAX(CM845,2*(J845/IF(CH845&gt;0,CH845,MAX(0.1,N(Cockpit!$C$6)))-CL845)),0)</f>
        <v>10</v>
      </c>
      <c r="AN845" s="63" t="n">
        <f aca="false">IF(AJ845&gt;0,J845/AJ845,-1)</f>
        <v>2.68387096774194</v>
      </c>
      <c r="AO845" s="63" t="n">
        <f aca="false">IF(AND(OR(CG845="L1",CG845="L23",CG845="LIFT"),AJ845&gt;0),SUMIFS($AJ$7:$AJ$1843,$CG$7:$CG$1843,CG845,$AN$7:$AN$1843,"&gt;"&amp;AN845)+SUMIFS($AJ$7:$AJ$1843,$CG$7:$CG$1843,CG845,$AN$7:$AN$1843,AN845,$BX$7:$BX$1843,"&lt;="&amp;BX845),"")</f>
        <v>5327.92902930403</v>
      </c>
      <c r="AP845" s="70" t="n">
        <f aca="false">IF(AO845="",0,MAX(0,MIN(1,(IF(CG845="L1",Parameter!$H$5,IF(CG845="L23",Parameter!$H$6+Parameter!$H$7,Parameter!$H$5+Parameter!$H$6+Parameter!$H$7))-(AO845-AJ845))/AJ845)))</f>
        <v>1</v>
      </c>
      <c r="AQ845" s="62" t="n">
        <f aca="false">IF(LEFT(Cockpit!$I$5,1)="A",H845,IF(Parameter!$E$30="MAX-Bestand",IF(CI845=1,CJ845,IF(LEFT(Cockpit!$I$5,1)="B",AW845,MAX(AW845,H845))),ROUNDUP(AU845,0)))</f>
        <v>643</v>
      </c>
      <c r="AR845" s="62" t="n">
        <f aca="false">IF(CA845=1,0,ROUNDUP(AQ845/BZ845,0))</f>
        <v>1</v>
      </c>
      <c r="AS845" s="64" t="n">
        <f aca="false">IF(CR845&gt;0,CR845*MAX(1,AQ845/X845),IF(CA845=1,IF(AQ845&lt;=0,0,CE845*MAX(1,IF(H845&gt;0,AQ845/H845,1))),IF(R845&gt;0,AR845/R845,0))/MAX(0.1,N(Parameter!$M$21)))</f>
        <v>0.0192307692307692</v>
      </c>
      <c r="AT845" s="62" t="n">
        <f aca="false">AS845*CC845</f>
        <v>2.98076923076923</v>
      </c>
      <c r="AU845" s="63" t="n">
        <f aca="false">IF(LEFT(Cockpit!$I$5,1)="A",H845,IF(CI845=1,(CL845+CJ845)/2,IF(LEFT(Cockpit!$I$5,1)="B",(CL845+AW845)/2,MAX((CL845+AW845)/2,H845))))</f>
        <v>643</v>
      </c>
      <c r="AV845" s="62" t="n">
        <f aca="false">AU845*G845</f>
        <v>70.73</v>
      </c>
      <c r="AW845" s="62" t="n">
        <f aca="false">ROUNDUP(CL845+MAX(CM845,2*(J845/IF(CH845&gt;0,CH845,MAX(0.1,N(Cockpit!$I$6)))-CL845)),0)</f>
        <v>10</v>
      </c>
      <c r="AX845" s="63" t="n">
        <f aca="false">IF(AT845&gt;0,J845/AT845,-1)</f>
        <v>2.68387096774194</v>
      </c>
      <c r="AY845" s="63" t="n">
        <f aca="false">IF(AND(OR(CG845="L1",CG845="L23",CG845="LIFT"),AT845&gt;0),SUMIFS($AT$7:$AT$1843,$CG$7:$CG$1843,CG845,$AX$7:$AX$1843,"&gt;"&amp;AX845)+SUMIFS($AT$7:$AT$1843,$CG$7:$CG$1843,CG845,$AX$7:$AX$1843,AX845,$BX$7:$BX$1843,"&lt;="&amp;BX845),"")</f>
        <v>6162.40705128205</v>
      </c>
      <c r="AZ845" s="70" t="n">
        <f aca="false">IF(AY845="",0,MAX(0,MIN(1,(IF(CG845="L1",Parameter!$H$5,IF(CG845="L23",Parameter!$H$6+Parameter!$H$7,Parameter!$H$5+Parameter!$H$6+Parameter!$H$7))-(AY845-AT845))/AT845)))</f>
        <v>1</v>
      </c>
      <c r="BA845" s="62" t="n">
        <f aca="false">IF(LEFT(Cockpit!$O$5,1)="A",H845,IF(Parameter!$E$30="MAX-Bestand",IF(CI845=1,CJ845,IF(LEFT(Cockpit!$O$5,1)="B",BG845,MAX(BG845,H845))),ROUNDUP(BE845,0)))</f>
        <v>5</v>
      </c>
      <c r="BB845" s="62" t="n">
        <f aca="false">IF(CA845=1,0,ROUNDUP(BA845/BZ845,0))</f>
        <v>1</v>
      </c>
      <c r="BC845" s="64" t="n">
        <f aca="false">IF(CR845&gt;0,CR845*MAX(1,BA845/X845),IF(CA845=1,IF(BA845&lt;=0,0,CE845*MAX(1,IF(H845&gt;0,BA845/H845,1))),IF(R845&gt;0,BB845/R845,0))/MAX(0.1,N(Parameter!$M$21)))</f>
        <v>0.0192307692307692</v>
      </c>
      <c r="BD845" s="62" t="n">
        <f aca="false">BC845*CC845</f>
        <v>2.98076923076923</v>
      </c>
      <c r="BE845" s="63" t="n">
        <f aca="false">IF(LEFT(Cockpit!$O$5,1)="A",H845,IF(CI845=1,(CL845+CJ845)/2,IF(LEFT(Cockpit!$O$5,1)="B",(CL845+BG845)/2,MAX((CL845+BG845)/2,H845))))</f>
        <v>5</v>
      </c>
      <c r="BF845" s="62" t="n">
        <f aca="false">BE845*G845</f>
        <v>0.55</v>
      </c>
      <c r="BG845" s="62" t="n">
        <f aca="false">ROUNDUP(CL845+MAX(CM845,2*(J845/IF(CH845&gt;0,CH845,MAX(0.1,N(Cockpit!$O$6)))-CL845)),0)</f>
        <v>10</v>
      </c>
      <c r="BH845" s="63" t="n">
        <f aca="false">IF(BD845&gt;0,J845/BD845,-1)</f>
        <v>2.68387096774194</v>
      </c>
      <c r="BI845" s="63" t="n">
        <f aca="false">IF(AND(OR(CG845="L1",CG845="L23",CG845="LIFT"),BD845&gt;0),SUMIFS($BD$7:$BD$1843,$CG$7:$CG$1843,CG845,$BH$7:$BH$1843,"&gt;"&amp;BH845)+SUMIFS($BD$7:$BD$1843,$CG$7:$CG$1843,CG845,$BH$7:$BH$1843,BH845,$BX$7:$BX$1843,"&lt;="&amp;BX845),"")</f>
        <v>5340.46153846154</v>
      </c>
      <c r="BJ845" s="70" t="n">
        <f aca="false">IF(BI845="",0,MAX(0,MIN(1,(IF(CG845="L1",Parameter!$H$5,IF(CG845="L23",Parameter!$H$6+Parameter!$H$7,Parameter!$H$5+Parameter!$H$6+Parameter!$H$7))-(BI845-BD845))/BD845)))</f>
        <v>1</v>
      </c>
      <c r="BK845" s="60" t="str">
        <f aca="false">IF(AJ845&lt;=0,"",IF(CG845="Aussen","Aussenlager",IF(CG845="-","Nicht im Lift",IF(AP845&gt;=1,"Lift",IF(AP845&lt;=0,"Aussenlager","teilweise")))))</f>
        <v>Lift</v>
      </c>
      <c r="BL845" s="60" t="str">
        <f aca="false">IF(AT845&lt;=0,"",IF(CG845="Aussen","Aussenlager",IF(CG845="-","Nicht im Lift",IF(AZ845&gt;=1,"Lift",IF(AZ845&lt;=0,"Aussenlager","teilweise")))))</f>
        <v>Lift</v>
      </c>
      <c r="BM845" s="60" t="str">
        <f aca="false">IF(BD845&lt;=0,"",IF(CG845="Aussen","Aussenlager",IF(CG845="-","Nicht im Lift",IF(BJ845&gt;=1,"Lift",IF(BJ845&lt;=0,"Aussenlager","teilweise")))))</f>
        <v>Lift</v>
      </c>
      <c r="BN845" s="60" t="str">
        <f aca="false">IF(A845="","",IF(BW845=1,"Neu; ","")&amp;IF(AND(BW845=0,BR845&lt;0),"negativer Bestand (Export "&amp;BR845&amp;"); ","")&amp;IF(J845&lt;=0,"Kein Verbrauch; ","")&amp;IF(CR845&gt;0,"Lift "&amp;W845&amp;" lt. Liftbericht (Fach "&amp;X845&amp;" Stk); ",IF(CB845=1,"Gebinde geschätzt ("&amp;T845&amp;"); ",IF(CA845=1,"Lose – Tablare geschätzt; ","")))&amp;IF(H845&gt;AW845,"Überbestand "&amp;ROUND(H845-AW845,0)&amp;" Stk / CHF "&amp;ROUND((H845-AW845)*G845,0)&amp;"; ","")&amp;IF(AND(CI845=1,CJ845&lt;CK845),"MAX &lt; MB+LG; ","")&amp;IF(AND(CQ845&gt;0,CP845*10&gt;CQ845),"zu hoch für Tablar; ","")&amp;IF(AND(BW845=0,OR(CI845=1,AB845&lt;&gt;"",U845&lt;&gt;"",V845&lt;&gt;"",AC845&lt;&gt;"")),"manuell übersteuert; ","")&amp;IF(AND(CA845=0,R845=0),"Gebinde unbekannt / Stellmass fehlt; ","")&amp;IF(AND(CA845=0,N(V845)&lt;=0,N(Q845)&lt;=0),"Menge pro Gebinde fehlt (Ist = 1 Gebinde); ","")&amp;BV845)</f>
        <v>negativer Bestand (Export -137); Überbestand 633 Stk / CHF 70; Überbestand</v>
      </c>
      <c r="BO845" s="60"/>
      <c r="BP845" s="60"/>
      <c r="BQ845" s="67"/>
      <c r="BR845" s="62" t="n">
        <v>-137</v>
      </c>
      <c r="BS845" s="62" t="n">
        <v>780</v>
      </c>
      <c r="BT845" s="61" t="n">
        <v>-15.07</v>
      </c>
      <c r="BU845" s="62" t="n">
        <v>8</v>
      </c>
      <c r="BV845" s="60" t="s">
        <v>434</v>
      </c>
      <c r="BW845" s="65" t="n">
        <v>0</v>
      </c>
      <c r="BX845" s="65" t="n">
        <v>845</v>
      </c>
      <c r="BY845" s="60" t="str">
        <f aca="false">IF(U845&lt;&gt;"",UPPER(TRIM(U845)),IF(CB845=1,UPPER(VLOOKUP(T845,Parameter!$I$27:$K$29,2,0)),IF(P845="","LOSE",P845)))</f>
        <v>S41</v>
      </c>
      <c r="BZ845" s="62" t="n">
        <f aca="false">IF(BY845="LOSE",1,IF(N(V845)&gt;0,V845,IF(CB845=1,MAX(1,N(VLOOKUP(T845,Parameter!$I$27:$K$29,3,0)),H845,N(N845)),IF(N(Q845)&gt;0,Q845,MAX(1,H845)))))</f>
        <v>823</v>
      </c>
      <c r="CA845" s="65" t="n">
        <f aca="false">IF(BY845="LOSE",1,0)</f>
        <v>0</v>
      </c>
      <c r="CB845" s="65" t="n">
        <f aca="false">IF(AND(U845="",OR(P845="",P845="LOSE"),T845&lt;&gt;"",N(S845)&lt;=0,ISNUMBER(MATCH(T845,Parameter!$I$27:$I$29,0))),1,0)</f>
        <v>0</v>
      </c>
      <c r="CC845" s="65" t="n">
        <f aca="false">IF(CR845&gt;0,INDEX(Parameter!$H$5:$H$7,W845)/INDEX(Parameter!$E$5:$E$7,W845),IF(AND(CA845=0,N(IFERROR(VLOOKUP(BY845,'Gebinde-Kategorie'!$A$5:$N$45,14,0),0))&gt;0),VLOOKUP(BY845,'Gebinde-Kategorie'!$A$5:$N$45,14,0)*10+Parameter!$M$23,Parameter!$M$24))</f>
        <v>155</v>
      </c>
      <c r="CD845" s="60" t="str">
        <f aca="false">IF(AND(Parameter!$B$19="Ja",E845&lt;&gt;"",ISNUMBER(MATCH(E845,Parameter!$I$35:$I$52,0))),VLOOKUP(E845,Parameter!$I$35:$J$52,2,0),IFERROR(VLOOKUP(D845,Parameter!$A$35:$C$64,2,0),"Nein"))</f>
        <v>2+3</v>
      </c>
      <c r="CE845" s="64" t="n">
        <f aca="false">IF(CA845=0,0,IF(N(S845)&gt;0,S845,IFERROR(VLOOKUP(D845,Parameter!$A$35:$C$64,3,0)+0,0)))</f>
        <v>0</v>
      </c>
      <c r="CF845" s="60" t="n">
        <f aca="false">IF(AB845&lt;&gt;"",AB845,AA845)</f>
        <v>2</v>
      </c>
      <c r="CG845" s="60" t="str">
        <f aca="false">IF(OR(CF845=1,CF845=2,CF845=3),IF(Parameter!$E$27="Ja","LIFT",IF(CF845=1,"L1","L23")),IF(CF845="Aussen","Aussen","-"))</f>
        <v>LIFT</v>
      </c>
      <c r="CH845" s="71" t="n">
        <f aca="false">IF(N(AC845)&gt;0,AC845,0)</f>
        <v>0</v>
      </c>
      <c r="CI845" s="65" t="n">
        <f aca="false">IF(ISNUMBER(AF845),1,0)</f>
        <v>0</v>
      </c>
      <c r="CJ845" s="62" t="n">
        <f aca="false">N(AF845)</f>
        <v>0</v>
      </c>
      <c r="CK845" s="62" t="n">
        <f aca="false">N(M845)+N(N845)</f>
        <v>10</v>
      </c>
      <c r="CL845" s="62" t="n">
        <f aca="false">N(M845)</f>
        <v>0</v>
      </c>
      <c r="CM845" s="62" t="n">
        <f aca="false">N(N845)</f>
        <v>10</v>
      </c>
      <c r="CN845" s="62" t="n">
        <f aca="false">ROUNDUP(H845/BZ845,0)</f>
        <v>1</v>
      </c>
      <c r="CO845" s="62" t="n">
        <f aca="false">ROUNDUP(CJ845/BZ845,0)</f>
        <v>0</v>
      </c>
      <c r="CP845" s="65" t="n">
        <f aca="false">IF(CA845=1,0,IFERROR(VLOOKUP(BY845,'Gebinde-Kategorie'!$A$5:$N$45,5,0)+0,0))</f>
        <v>11</v>
      </c>
      <c r="CQ845" s="65" t="n">
        <f aca="false">IFERROR(IF(OR(CF845=1,CF845=2,CF845=3),N(INDEX(Parameter!$I$5:$I$7,CF845)),0),0)</f>
        <v>0</v>
      </c>
      <c r="CR845" s="64" t="n">
        <f aca="false">IF(AND(Parameter!$B$21="Ja",ISNUMBER(W845),N(X845)&gt;0),IFERROR(N(INDEX(Parameter!$L$5:$L$7,W845))*INDEX(Parameter!$E$5:$E$7,W845)*X845/SUMIFS($X$7:$X$1843,$W$7:$W$1843,W845),0),0)</f>
        <v>0</v>
      </c>
      <c r="CS845" s="62" t="n">
        <f aca="false">IF(AND(OR(CG845="L1",CG845="L23",CG845="LIFT"),H845&gt;0),CC845*IF(CR845&gt;0,CR845*MAX(1,H845/X845),IF(CA845=1,CE845,IF(R845&gt;0,CN845/R845,0))/MAX(0.1,N(Parameter!$M$21))),"")</f>
        <v>2.98076923076923</v>
      </c>
      <c r="CT845" s="64" t="n">
        <f aca="false">IF(CS845="","",J845/H845)</f>
        <v>0.0124416796267496</v>
      </c>
      <c r="CU845" s="62" t="n">
        <f aca="false">IF(CS845="","",H845*G845)</f>
        <v>70.73</v>
      </c>
      <c r="CV845" s="63" t="n">
        <f aca="false">IF(CS845="","",(CL845+ROUNDUP(CL845+MAX(CM845,2*(J845/MAX(0.1,N(Einkauf!$C$6))-CL845)),0))/2)</f>
        <v>5</v>
      </c>
      <c r="CW845" s="62" t="n">
        <f aca="false">IF(CS845="","",MAX(0,H845-CV845)*G845)</f>
        <v>70.18</v>
      </c>
      <c r="CX845" s="62" t="n">
        <f aca="false">IF(CS845="","",CS845*MAX(0,1-CV845/H845))</f>
        <v>2.95759062088767</v>
      </c>
      <c r="CY845" s="64" t="n">
        <f aca="false">IF(CS845="","",PERCENTRANK($CS$7:$CS$1843,CS845)+PERCENTRANK($CU$7:$CU$1843,CU845)+1-PERCENTRANK($CT$7:$CT$1843,CT845))</f>
        <v>1.021</v>
      </c>
      <c r="CZ845" s="72" t="n">
        <f aca="false">IF(CS845="","",CHOOSE(MATCH(Einkauf!$C$5,Parameter!$G$23:$G$27,0),CY845,CS845,CU845,-CT845,CW845)+ROW()/1000000000)</f>
        <v>1.021000845</v>
      </c>
    </row>
    <row r="846" customFormat="false" ht="15" hidden="false" customHeight="false" outlineLevel="0" collapsed="false">
      <c r="A846" s="60" t="s">
        <v>1659</v>
      </c>
      <c r="B846" s="60" t="s">
        <v>1660</v>
      </c>
      <c r="C846" s="60" t="s">
        <v>206</v>
      </c>
      <c r="D846" s="60" t="s">
        <v>226</v>
      </c>
      <c r="E846" s="60" t="s">
        <v>227</v>
      </c>
      <c r="F846" s="60" t="s">
        <v>260</v>
      </c>
      <c r="G846" s="61" t="n">
        <v>3.14</v>
      </c>
      <c r="H846" s="62" t="n">
        <f aca="false">MAX(0,IF(AND(Parameter!$B$21="Ja",ISNUMBER(Y846)),Y846,IF(Parameter!$B$20="Jahresanfang 2025 + Export",BS846+BR846,BR846)))</f>
        <v>43</v>
      </c>
      <c r="I846" s="62" t="n">
        <f aca="false">H846*G846</f>
        <v>135.02</v>
      </c>
      <c r="J846" s="62" t="n">
        <f aca="false">BU846*Parameter!$B$18</f>
        <v>60</v>
      </c>
      <c r="K846" s="63" t="n">
        <v>91</v>
      </c>
      <c r="L846" s="64" t="n">
        <v>0.659340659340659</v>
      </c>
      <c r="M846" s="62" t="n">
        <v>4</v>
      </c>
      <c r="N846" s="62" t="n">
        <v>60</v>
      </c>
      <c r="O846" s="65" t="n">
        <v>28</v>
      </c>
      <c r="P846" s="60" t="s">
        <v>463</v>
      </c>
      <c r="Q846" s="62" t="n">
        <v>25</v>
      </c>
      <c r="R846" s="65" t="n">
        <f aca="false">IF(CA846=1,0,IFERROR(VLOOKUP(BY846,'Gebinde-Kategorie'!$A$5:$N$45,13,0)+0,0))</f>
        <v>104</v>
      </c>
      <c r="S846" s="66"/>
      <c r="T846" s="67"/>
      <c r="U846" s="67"/>
      <c r="V846" s="67"/>
      <c r="W846" s="60"/>
      <c r="X846" s="62"/>
      <c r="Y846" s="62"/>
      <c r="Z846" s="60" t="n">
        <v>2</v>
      </c>
      <c r="AA846" s="60" t="n">
        <f aca="false">IF(A846="","",IF(AND(Parameter!$B$21="Ja",ISNUMBER(W846)),W846,IF(AND(Parameter!$E$27="Ja",ISNUMBER(Z846),CD846&lt;&gt;"Nein"),Z846,IF(CD846="2+3",IF(ISNUMBER(SEARCH("grosser Artikel",BV846)),2,IFERROR(VLOOKUP(BY846,Parameter!$F$35:$G$64,2,0),2)),IF(OR(CD846="Nein",CD846=""),"-",CD846)))))</f>
        <v>2</v>
      </c>
      <c r="AB846" s="67"/>
      <c r="AC846" s="68"/>
      <c r="AD846" s="62" t="n">
        <f aca="false">AW846</f>
        <v>64</v>
      </c>
      <c r="AE846" s="62" t="n">
        <f aca="false">MAX(AW846,H846)</f>
        <v>64</v>
      </c>
      <c r="AF846" s="69"/>
      <c r="AG846" s="62" t="n">
        <f aca="false">IF(LEFT(Cockpit!$C$5,1)="A",H846,IF(Parameter!$E$30="MAX-Bestand",IF(CI846=1,CJ846,IF(LEFT(Cockpit!$C$5,1)="B",AM846,MAX(AM846,H846))),ROUNDUP(AK846,0)))</f>
        <v>43</v>
      </c>
      <c r="AH846" s="62" t="n">
        <f aca="false">IF(CA846=1,0,ROUNDUP(AG846/BZ846,0))</f>
        <v>2</v>
      </c>
      <c r="AI846" s="64" t="n">
        <f aca="false">IF(CR846&gt;0,CR846*MAX(1,AG846/X846),IF(CA846=1,IF(AG846&lt;=0,0,CE846*MAX(1,IF(H846&gt;0,AG846/H846,1))),IF(R846&gt;0,AH846/R846,0))/MAX(0.1,N(Parameter!$M$21)))</f>
        <v>0.0192307692307692</v>
      </c>
      <c r="AJ846" s="62" t="n">
        <f aca="false">AI846*CC846</f>
        <v>2.98076923076923</v>
      </c>
      <c r="AK846" s="63" t="n">
        <f aca="false">IF(LEFT(Cockpit!$C$5,1)="A",H846,IF(CI846=1,(CL846+CJ846)/2,IF(LEFT(Cockpit!$C$5,1)="B",(CL846+AM846)/2,MAX((CL846+AM846)/2,H846))))</f>
        <v>43</v>
      </c>
      <c r="AL846" s="62" t="n">
        <f aca="false">AK846*G846</f>
        <v>135.02</v>
      </c>
      <c r="AM846" s="62" t="n">
        <f aca="false">ROUNDUP(CL846+MAX(CM846,2*(J846/IF(CH846&gt;0,CH846,MAX(0.1,N(Cockpit!$C$6)))-CL846)),0)</f>
        <v>64</v>
      </c>
      <c r="AN846" s="63" t="n">
        <f aca="false">IF(AJ846&gt;0,J846/AJ846,-1)</f>
        <v>20.1290322580645</v>
      </c>
      <c r="AO846" s="63" t="n">
        <f aca="false">IF(AND(OR(CG846="L1",CG846="L23",CG846="LIFT"),AJ846&gt;0),SUMIFS($AJ$7:$AJ$1843,$CG$7:$CG$1843,CG846,$AN$7:$AN$1843,"&gt;"&amp;AN846)+SUMIFS($AJ$7:$AJ$1843,$CG$7:$CG$1843,CG846,$AN$7:$AN$1843,AN846,$BX$7:$BX$1843,"&lt;="&amp;BX846),"")</f>
        <v>1655.62545787546</v>
      </c>
      <c r="AP846" s="70" t="n">
        <f aca="false">IF(AO846="",0,MAX(0,MIN(1,(IF(CG846="L1",Parameter!$H$5,IF(CG846="L23",Parameter!$H$6+Parameter!$H$7,Parameter!$H$5+Parameter!$H$6+Parameter!$H$7))-(AO846-AJ846))/AJ846)))</f>
        <v>1</v>
      </c>
      <c r="AQ846" s="62" t="n">
        <f aca="false">IF(LEFT(Cockpit!$I$5,1)="A",H846,IF(Parameter!$E$30="MAX-Bestand",IF(CI846=1,CJ846,IF(LEFT(Cockpit!$I$5,1)="B",AW846,MAX(AW846,H846))),ROUNDUP(AU846,0)))</f>
        <v>43</v>
      </c>
      <c r="AR846" s="62" t="n">
        <f aca="false">IF(CA846=1,0,ROUNDUP(AQ846/BZ846,0))</f>
        <v>2</v>
      </c>
      <c r="AS846" s="64" t="n">
        <f aca="false">IF(CR846&gt;0,CR846*MAX(1,AQ846/X846),IF(CA846=1,IF(AQ846&lt;=0,0,CE846*MAX(1,IF(H846&gt;0,AQ846/H846,1))),IF(R846&gt;0,AR846/R846,0))/MAX(0.1,N(Parameter!$M$21)))</f>
        <v>0.0192307692307692</v>
      </c>
      <c r="AT846" s="62" t="n">
        <f aca="false">AS846*CC846</f>
        <v>2.98076923076923</v>
      </c>
      <c r="AU846" s="63" t="n">
        <f aca="false">IF(LEFT(Cockpit!$I$5,1)="A",H846,IF(CI846=1,(CL846+CJ846)/2,IF(LEFT(Cockpit!$I$5,1)="B",(CL846+AW846)/2,MAX((CL846+AW846)/2,H846))))</f>
        <v>43</v>
      </c>
      <c r="AV846" s="62" t="n">
        <f aca="false">AU846*G846</f>
        <v>135.02</v>
      </c>
      <c r="AW846" s="62" t="n">
        <f aca="false">ROUNDUP(CL846+MAX(CM846,2*(J846/IF(CH846&gt;0,CH846,MAX(0.1,N(Cockpit!$I$6)))-CL846)),0)</f>
        <v>64</v>
      </c>
      <c r="AX846" s="63" t="n">
        <f aca="false">IF(AT846&gt;0,J846/AT846,-1)</f>
        <v>20.1290322580645</v>
      </c>
      <c r="AY846" s="63" t="n">
        <f aca="false">IF(AND(OR(CG846="L1",CG846="L23",CG846="LIFT"),AT846&gt;0),SUMIFS($AT$7:$AT$1843,$CG$7:$CG$1843,CG846,$AX$7:$AX$1843,"&gt;"&amp;AX846)+SUMIFS($AT$7:$AT$1843,$CG$7:$CG$1843,CG846,$AX$7:$AX$1843,AX846,$BX$7:$BX$1843,"&lt;="&amp;BX846),"")</f>
        <v>2292.74633699634</v>
      </c>
      <c r="AZ846" s="70" t="n">
        <f aca="false">IF(AY846="",0,MAX(0,MIN(1,(IF(CG846="L1",Parameter!$H$5,IF(CG846="L23",Parameter!$H$6+Parameter!$H$7,Parameter!$H$5+Parameter!$H$6+Parameter!$H$7))-(AY846-AT846))/AT846)))</f>
        <v>1</v>
      </c>
      <c r="BA846" s="62" t="n">
        <f aca="false">IF(LEFT(Cockpit!$O$5,1)="A",H846,IF(Parameter!$E$30="MAX-Bestand",IF(CI846=1,CJ846,IF(LEFT(Cockpit!$O$5,1)="B",BG846,MAX(BG846,H846))),ROUNDUP(BE846,0)))</f>
        <v>34</v>
      </c>
      <c r="BB846" s="62" t="n">
        <f aca="false">IF(CA846=1,0,ROUNDUP(BA846/BZ846,0))</f>
        <v>2</v>
      </c>
      <c r="BC846" s="64" t="n">
        <f aca="false">IF(CR846&gt;0,CR846*MAX(1,BA846/X846),IF(CA846=1,IF(BA846&lt;=0,0,CE846*MAX(1,IF(H846&gt;0,BA846/H846,1))),IF(R846&gt;0,BB846/R846,0))/MAX(0.1,N(Parameter!$M$21)))</f>
        <v>0.0192307692307692</v>
      </c>
      <c r="BD846" s="62" t="n">
        <f aca="false">BC846*CC846</f>
        <v>2.98076923076923</v>
      </c>
      <c r="BE846" s="63" t="n">
        <f aca="false">IF(LEFT(Cockpit!$O$5,1)="A",H846,IF(CI846=1,(CL846+CJ846)/2,IF(LEFT(Cockpit!$O$5,1)="B",(CL846+BG846)/2,MAX((CL846+BG846)/2,H846))))</f>
        <v>34</v>
      </c>
      <c r="BF846" s="62" t="n">
        <f aca="false">BE846*G846</f>
        <v>106.76</v>
      </c>
      <c r="BG846" s="62" t="n">
        <f aca="false">ROUNDUP(CL846+MAX(CM846,2*(J846/IF(CH846&gt;0,CH846,MAX(0.1,N(Cockpit!$O$6)))-CL846)),0)</f>
        <v>64</v>
      </c>
      <c r="BH846" s="63" t="n">
        <f aca="false">IF(BD846&gt;0,J846/BD846,-1)</f>
        <v>20.1290322580645</v>
      </c>
      <c r="BI846" s="63" t="n">
        <f aca="false">IF(AND(OR(CG846="L1",CG846="L23",CG846="LIFT"),BD846&gt;0),SUMIFS($BD$7:$BD$1843,$CG$7:$CG$1843,CG846,$BH$7:$BH$1843,"&gt;"&amp;BH846)+SUMIFS($BD$7:$BD$1843,$CG$7:$CG$1843,CG846,$BH$7:$BH$1843,BH846,$BX$7:$BX$1843,"&lt;="&amp;BX846),"")</f>
        <v>2223.51373626374</v>
      </c>
      <c r="BJ846" s="70" t="n">
        <f aca="false">IF(BI846="",0,MAX(0,MIN(1,(IF(CG846="L1",Parameter!$H$5,IF(CG846="L23",Parameter!$H$6+Parameter!$H$7,Parameter!$H$5+Parameter!$H$6+Parameter!$H$7))-(BI846-BD846))/BD846)))</f>
        <v>1</v>
      </c>
      <c r="BK846" s="60" t="str">
        <f aca="false">IF(AJ846&lt;=0,"",IF(CG846="Aussen","Aussenlager",IF(CG846="-","Nicht im Lift",IF(AP846&gt;=1,"Lift",IF(AP846&lt;=0,"Aussenlager","teilweise")))))</f>
        <v>Lift</v>
      </c>
      <c r="BL846" s="60" t="str">
        <f aca="false">IF(AT846&lt;=0,"",IF(CG846="Aussen","Aussenlager",IF(CG846="-","Nicht im Lift",IF(AZ846&gt;=1,"Lift",IF(AZ846&lt;=0,"Aussenlager","teilweise")))))</f>
        <v>Lift</v>
      </c>
      <c r="BM846" s="60" t="str">
        <f aca="false">IF(BD846&lt;=0,"",IF(CG846="Aussen","Aussenlager",IF(CG846="-","Nicht im Lift",IF(BJ846&gt;=1,"Lift",IF(BJ846&lt;=0,"Aussenlager","teilweise")))))</f>
        <v>Lift</v>
      </c>
      <c r="BN846" s="60" t="str">
        <f aca="false">IF(A846="","",IF(BW846=1,"Neu; ","")&amp;IF(AND(BW846=0,BR846&lt;0),"negativer Bestand (Export "&amp;BR846&amp;"); ","")&amp;IF(J846&lt;=0,"Kein Verbrauch; ","")&amp;IF(CR846&gt;0,"Lift "&amp;W846&amp;" lt. Liftbericht (Fach "&amp;X846&amp;" Stk); ",IF(CB846=1,"Gebinde geschätzt ("&amp;T846&amp;"); ",IF(CA846=1,"Lose – Tablare geschätzt; ","")))&amp;IF(H846&gt;AW846,"Überbestand "&amp;ROUND(H846-AW846,0)&amp;" Stk / CHF "&amp;ROUND((H846-AW846)*G846,0)&amp;"; ","")&amp;IF(AND(CI846=1,CJ846&lt;CK846),"MAX &lt; MB+LG; ","")&amp;IF(AND(CQ846&gt;0,CP846*10&gt;CQ846),"zu hoch für Tablar; ","")&amp;IF(AND(BW846=0,OR(CI846=1,AB846&lt;&gt;"",U846&lt;&gt;"",V846&lt;&gt;"",AC846&lt;&gt;"")),"manuell übersteuert; ","")&amp;IF(AND(CA846=0,R846=0),"Gebinde unbekannt / Stellmass fehlt; ","")&amp;IF(AND(CA846=0,N(V846)&lt;=0,N(Q846)&lt;=0),"Menge pro Gebinde fehlt (Ist = 1 Gebinde); ","")&amp;BV846)</f>
        <v>negativer Bestand (Export -29); </v>
      </c>
      <c r="BO846" s="60"/>
      <c r="BP846" s="60"/>
      <c r="BQ846" s="67"/>
      <c r="BR846" s="62" t="n">
        <v>-29</v>
      </c>
      <c r="BS846" s="62" t="n">
        <v>72</v>
      </c>
      <c r="BT846" s="61" t="n">
        <v>-15.4599999999997</v>
      </c>
      <c r="BU846" s="62" t="n">
        <v>60</v>
      </c>
      <c r="BV846" s="60"/>
      <c r="BW846" s="65" t="n">
        <v>0</v>
      </c>
      <c r="BX846" s="65" t="n">
        <v>846</v>
      </c>
      <c r="BY846" s="60" t="str">
        <f aca="false">IF(U846&lt;&gt;"",UPPER(TRIM(U846)),IF(CB846=1,UPPER(VLOOKUP(T846,Parameter!$I$27:$K$29,2,0)),IF(P846="","LOSE",P846)))</f>
        <v>S32</v>
      </c>
      <c r="BZ846" s="62" t="n">
        <f aca="false">IF(BY846="LOSE",1,IF(N(V846)&gt;0,V846,IF(CB846=1,MAX(1,N(VLOOKUP(T846,Parameter!$I$27:$K$29,3,0)),H846,N(N846)),IF(N(Q846)&gt;0,Q846,MAX(1,H846)))))</f>
        <v>25</v>
      </c>
      <c r="CA846" s="65" t="n">
        <f aca="false">IF(BY846="LOSE",1,0)</f>
        <v>0</v>
      </c>
      <c r="CB846" s="65" t="n">
        <f aca="false">IF(AND(U846="",OR(P846="",P846="LOSE"),T846&lt;&gt;"",N(S846)&lt;=0,ISNUMBER(MATCH(T846,Parameter!$I$27:$I$29,0))),1,0)</f>
        <v>0</v>
      </c>
      <c r="CC846" s="65" t="n">
        <f aca="false">IF(CR846&gt;0,INDEX(Parameter!$H$5:$H$7,W846)/INDEX(Parameter!$E$5:$E$7,W846),IF(AND(CA846=0,N(IFERROR(VLOOKUP(BY846,'Gebinde-Kategorie'!$A$5:$N$45,14,0),0))&gt;0),VLOOKUP(BY846,'Gebinde-Kategorie'!$A$5:$N$45,14,0)*10+Parameter!$M$23,Parameter!$M$24))</f>
        <v>155</v>
      </c>
      <c r="CD846" s="60" t="str">
        <f aca="false">IF(AND(Parameter!$B$19="Ja",E846&lt;&gt;"",ISNUMBER(MATCH(E846,Parameter!$I$35:$I$52,0))),VLOOKUP(E846,Parameter!$I$35:$J$52,2,0),IFERROR(VLOOKUP(D846,Parameter!$A$35:$C$64,2,0),"Nein"))</f>
        <v>2+3</v>
      </c>
      <c r="CE846" s="64" t="n">
        <f aca="false">IF(CA846=0,0,IF(N(S846)&gt;0,S846,IFERROR(VLOOKUP(D846,Parameter!$A$35:$C$64,3,0)+0,0)))</f>
        <v>0</v>
      </c>
      <c r="CF846" s="60" t="n">
        <f aca="false">IF(AB846&lt;&gt;"",AB846,AA846)</f>
        <v>2</v>
      </c>
      <c r="CG846" s="60" t="str">
        <f aca="false">IF(OR(CF846=1,CF846=2,CF846=3),IF(Parameter!$E$27="Ja","LIFT",IF(CF846=1,"L1","L23")),IF(CF846="Aussen","Aussen","-"))</f>
        <v>LIFT</v>
      </c>
      <c r="CH846" s="71" t="n">
        <f aca="false">IF(N(AC846)&gt;0,AC846,0)</f>
        <v>0</v>
      </c>
      <c r="CI846" s="65" t="n">
        <f aca="false">IF(ISNUMBER(AF846),1,0)</f>
        <v>0</v>
      </c>
      <c r="CJ846" s="62" t="n">
        <f aca="false">N(AF846)</f>
        <v>0</v>
      </c>
      <c r="CK846" s="62" t="n">
        <f aca="false">N(M846)+N(N846)</f>
        <v>64</v>
      </c>
      <c r="CL846" s="62" t="n">
        <f aca="false">N(M846)</f>
        <v>4</v>
      </c>
      <c r="CM846" s="62" t="n">
        <f aca="false">N(N846)</f>
        <v>60</v>
      </c>
      <c r="CN846" s="62" t="n">
        <f aca="false">ROUNDUP(H846/BZ846,0)</f>
        <v>2</v>
      </c>
      <c r="CO846" s="62" t="n">
        <f aca="false">ROUNDUP(CJ846/BZ846,0)</f>
        <v>0</v>
      </c>
      <c r="CP846" s="65" t="n">
        <f aca="false">IF(CA846=1,0,IFERROR(VLOOKUP(BY846,'Gebinde-Kategorie'!$A$5:$N$45,5,0)+0,0))</f>
        <v>8</v>
      </c>
      <c r="CQ846" s="65" t="n">
        <f aca="false">IFERROR(IF(OR(CF846=1,CF846=2,CF846=3),N(INDEX(Parameter!$I$5:$I$7,CF846)),0),0)</f>
        <v>0</v>
      </c>
      <c r="CR846" s="64" t="n">
        <f aca="false">IF(AND(Parameter!$B$21="Ja",ISNUMBER(W846),N(X846)&gt;0),IFERROR(N(INDEX(Parameter!$L$5:$L$7,W846))*INDEX(Parameter!$E$5:$E$7,W846)*X846/SUMIFS($X$7:$X$1843,$W$7:$W$1843,W846),0),0)</f>
        <v>0</v>
      </c>
      <c r="CS846" s="62" t="n">
        <f aca="false">IF(AND(OR(CG846="L1",CG846="L23",CG846="LIFT"),H846&gt;0),CC846*IF(CR846&gt;0,CR846*MAX(1,H846/X846),IF(CA846=1,CE846,IF(R846&gt;0,CN846/R846,0))/MAX(0.1,N(Parameter!$M$21))),"")</f>
        <v>2.98076923076923</v>
      </c>
      <c r="CT846" s="64" t="n">
        <f aca="false">IF(CS846="","",J846/H846)</f>
        <v>1.3953488372093</v>
      </c>
      <c r="CU846" s="62" t="n">
        <f aca="false">IF(CS846="","",H846*G846)</f>
        <v>135.02</v>
      </c>
      <c r="CV846" s="63" t="n">
        <f aca="false">IF(CS846="","",(CL846+ROUNDUP(CL846+MAX(CM846,2*(J846/MAX(0.1,N(Einkauf!$C$6))-CL846)),0))/2)</f>
        <v>34</v>
      </c>
      <c r="CW846" s="62" t="n">
        <f aca="false">IF(CS846="","",MAX(0,H846-CV846)*G846)</f>
        <v>28.26</v>
      </c>
      <c r="CX846" s="62" t="n">
        <f aca="false">IF(CS846="","",CS846*MAX(0,1-CV846/H846))</f>
        <v>0.623881932021467</v>
      </c>
      <c r="CY846" s="64" t="n">
        <f aca="false">IF(CS846="","",PERCENTRANK($CS$7:$CS$1843,CS846)+PERCENTRANK($CU$7:$CU$1843,CU846)+1-PERCENTRANK($CT$7:$CT$1843,CT846))</f>
        <v>0.74</v>
      </c>
      <c r="CZ846" s="72" t="n">
        <f aca="false">IF(CS846="","",CHOOSE(MATCH(Einkauf!$C$5,Parameter!$G$23:$G$27,0),CY846,CS846,CU846,-CT846,CW846)+ROW()/1000000000)</f>
        <v>0.740000846</v>
      </c>
    </row>
    <row r="847" customFormat="false" ht="15" hidden="false" customHeight="false" outlineLevel="0" collapsed="false">
      <c r="A847" s="60" t="s">
        <v>1661</v>
      </c>
      <c r="B847" s="60" t="s">
        <v>1332</v>
      </c>
      <c r="C847" s="60" t="s">
        <v>206</v>
      </c>
      <c r="D847" s="60" t="s">
        <v>226</v>
      </c>
      <c r="E847" s="60" t="s">
        <v>227</v>
      </c>
      <c r="F847" s="60" t="s">
        <v>260</v>
      </c>
      <c r="G847" s="61" t="n">
        <v>0.85</v>
      </c>
      <c r="H847" s="62" t="n">
        <f aca="false">MAX(0,IF(AND(Parameter!$B$21="Ja",ISNUMBER(Y847)),Y847,IF(Parameter!$B$20="Jahresanfang 2025 + Export",BS847+BR847,BR847)))</f>
        <v>9</v>
      </c>
      <c r="I847" s="62" t="n">
        <f aca="false">H847*G847</f>
        <v>7.65</v>
      </c>
      <c r="J847" s="62" t="n">
        <f aca="false">BU847*Parameter!$B$18</f>
        <v>29</v>
      </c>
      <c r="K847" s="63" t="n">
        <v>30.5</v>
      </c>
      <c r="L847" s="64" t="n">
        <v>0.950819672131148</v>
      </c>
      <c r="M847" s="62" t="n">
        <v>1</v>
      </c>
      <c r="N847" s="62" t="n">
        <v>30</v>
      </c>
      <c r="O847" s="65" t="n">
        <v>21</v>
      </c>
      <c r="P847" s="60" t="s">
        <v>268</v>
      </c>
      <c r="Q847" s="62" t="n">
        <v>65</v>
      </c>
      <c r="R847" s="65" t="n">
        <f aca="false">IF(CA847=1,0,IFERROR(VLOOKUP(BY847,'Gebinde-Kategorie'!$A$5:$N$45,13,0)+0,0))</f>
        <v>12</v>
      </c>
      <c r="S847" s="66"/>
      <c r="T847" s="67"/>
      <c r="U847" s="67"/>
      <c r="V847" s="67"/>
      <c r="W847" s="60"/>
      <c r="X847" s="62"/>
      <c r="Y847" s="62"/>
      <c r="Z847" s="60" t="n">
        <v>3</v>
      </c>
      <c r="AA847" s="60" t="n">
        <f aca="false">IF(A847="","",IF(AND(Parameter!$B$21="Ja",ISNUMBER(W847)),W847,IF(AND(Parameter!$E$27="Ja",ISNUMBER(Z847),CD847&lt;&gt;"Nein"),Z847,IF(CD847="2+3",IF(ISNUMBER(SEARCH("grosser Artikel",BV847)),2,IFERROR(VLOOKUP(BY847,Parameter!$F$35:$G$64,2,0),2)),IF(OR(CD847="Nein",CD847=""),"-",CD847)))))</f>
        <v>3</v>
      </c>
      <c r="AB847" s="67"/>
      <c r="AC847" s="68"/>
      <c r="AD847" s="62" t="n">
        <f aca="false">AW847</f>
        <v>31</v>
      </c>
      <c r="AE847" s="62" t="n">
        <f aca="false">MAX(AW847,H847)</f>
        <v>31</v>
      </c>
      <c r="AF847" s="69"/>
      <c r="AG847" s="62" t="n">
        <f aca="false">IF(LEFT(Cockpit!$C$5,1)="A",H847,IF(Parameter!$E$30="MAX-Bestand",IF(CI847=1,CJ847,IF(LEFT(Cockpit!$C$5,1)="B",AM847,MAX(AM847,H847))),ROUNDUP(AK847,0)))</f>
        <v>9</v>
      </c>
      <c r="AH847" s="62" t="n">
        <f aca="false">IF(CA847=1,0,ROUNDUP(AG847/BZ847,0))</f>
        <v>1</v>
      </c>
      <c r="AI847" s="64" t="n">
        <f aca="false">IF(CR847&gt;0,CR847*MAX(1,AG847/X847),IF(CA847=1,IF(AG847&lt;=0,0,CE847*MAX(1,IF(H847&gt;0,AG847/H847,1))),IF(R847&gt;0,AH847/R847,0))/MAX(0.1,N(Parameter!$M$21)))</f>
        <v>0.0833333333333333</v>
      </c>
      <c r="AJ847" s="62" t="n">
        <f aca="false">AI847*CC847</f>
        <v>28.75</v>
      </c>
      <c r="AK847" s="63" t="n">
        <f aca="false">IF(LEFT(Cockpit!$C$5,1)="A",H847,IF(CI847=1,(CL847+CJ847)/2,IF(LEFT(Cockpit!$C$5,1)="B",(CL847+AM847)/2,MAX((CL847+AM847)/2,H847))))</f>
        <v>9</v>
      </c>
      <c r="AL847" s="62" t="n">
        <f aca="false">AK847*G847</f>
        <v>7.65</v>
      </c>
      <c r="AM847" s="62" t="n">
        <f aca="false">ROUNDUP(CL847+MAX(CM847,2*(J847/IF(CH847&gt;0,CH847,MAX(0.1,N(Cockpit!$C$6)))-CL847)),0)</f>
        <v>31</v>
      </c>
      <c r="AN847" s="63" t="n">
        <f aca="false">IF(AJ847&gt;0,J847/AJ847,-1)</f>
        <v>1.00869565217391</v>
      </c>
      <c r="AO847" s="63" t="n">
        <f aca="false">IF(AND(OR(CG847="L1",CG847="L23",CG847="LIFT"),AJ847&gt;0),SUMIFS($AJ$7:$AJ$1843,$CG$7:$CG$1843,CG847,$AN$7:$AN$1843,"&gt;"&amp;AN847)+SUMIFS($AJ$7:$AJ$1843,$CG$7:$CG$1843,CG847,$AN$7:$AN$1843,AN847,$BX$7:$BX$1843,"&lt;="&amp;BX847),"")</f>
        <v>6988.9043040293</v>
      </c>
      <c r="AP847" s="70" t="n">
        <f aca="false">IF(AO847="",0,MAX(0,MIN(1,(IF(CG847="L1",Parameter!$H$5,IF(CG847="L23",Parameter!$H$6+Parameter!$H$7,Parameter!$H$5+Parameter!$H$6+Parameter!$H$7))-(AO847-AJ847))/AJ847)))</f>
        <v>1</v>
      </c>
      <c r="AQ847" s="62" t="n">
        <f aca="false">IF(LEFT(Cockpit!$I$5,1)="A",H847,IF(Parameter!$E$30="MAX-Bestand",IF(CI847=1,CJ847,IF(LEFT(Cockpit!$I$5,1)="B",AW847,MAX(AW847,H847))),ROUNDUP(AU847,0)))</f>
        <v>16</v>
      </c>
      <c r="AR847" s="62" t="n">
        <f aca="false">IF(CA847=1,0,ROUNDUP(AQ847/BZ847,0))</f>
        <v>1</v>
      </c>
      <c r="AS847" s="64" t="n">
        <f aca="false">IF(CR847&gt;0,CR847*MAX(1,AQ847/X847),IF(CA847=1,IF(AQ847&lt;=0,0,CE847*MAX(1,IF(H847&gt;0,AQ847/H847,1))),IF(R847&gt;0,AR847/R847,0))/MAX(0.1,N(Parameter!$M$21)))</f>
        <v>0.0833333333333333</v>
      </c>
      <c r="AT847" s="62" t="n">
        <f aca="false">AS847*CC847</f>
        <v>28.75</v>
      </c>
      <c r="AU847" s="63" t="n">
        <f aca="false">IF(LEFT(Cockpit!$I$5,1)="A",H847,IF(CI847=1,(CL847+CJ847)/2,IF(LEFT(Cockpit!$I$5,1)="B",(CL847+AW847)/2,MAX((CL847+AW847)/2,H847))))</f>
        <v>16</v>
      </c>
      <c r="AV847" s="62" t="n">
        <f aca="false">AU847*G847</f>
        <v>13.6</v>
      </c>
      <c r="AW847" s="62" t="n">
        <f aca="false">ROUNDUP(CL847+MAX(CM847,2*(J847/IF(CH847&gt;0,CH847,MAX(0.1,N(Cockpit!$I$6)))-CL847)),0)</f>
        <v>31</v>
      </c>
      <c r="AX847" s="63" t="n">
        <f aca="false">IF(AT847&gt;0,J847/AT847,-1)</f>
        <v>1.00869565217391</v>
      </c>
      <c r="AY847" s="63" t="n">
        <f aca="false">IF(AND(OR(CG847="L1",CG847="L23",CG847="LIFT"),AT847&gt;0),SUMIFS($AT$7:$AT$1843,$CG$7:$CG$1843,CG847,$AX$7:$AX$1843,"&gt;"&amp;AX847)+SUMIFS($AT$7:$AT$1843,$CG$7:$CG$1843,CG847,$AX$7:$AX$1843,AX847,$BX$7:$BX$1843,"&lt;="&amp;BX847),"")</f>
        <v>8363.56868131868</v>
      </c>
      <c r="AZ847" s="70" t="n">
        <f aca="false">IF(AY847="",0,MAX(0,MIN(1,(IF(CG847="L1",Parameter!$H$5,IF(CG847="L23",Parameter!$H$6+Parameter!$H$7,Parameter!$H$5+Parameter!$H$6+Parameter!$H$7))-(AY847-AT847))/AT847)))</f>
        <v>1</v>
      </c>
      <c r="BA847" s="62" t="n">
        <f aca="false">IF(LEFT(Cockpit!$O$5,1)="A",H847,IF(Parameter!$E$30="MAX-Bestand",IF(CI847=1,CJ847,IF(LEFT(Cockpit!$O$5,1)="B",BG847,MAX(BG847,H847))),ROUNDUP(BE847,0)))</f>
        <v>16</v>
      </c>
      <c r="BB847" s="62" t="n">
        <f aca="false">IF(CA847=1,0,ROUNDUP(BA847/BZ847,0))</f>
        <v>1</v>
      </c>
      <c r="BC847" s="64" t="n">
        <f aca="false">IF(CR847&gt;0,CR847*MAX(1,BA847/X847),IF(CA847=1,IF(BA847&lt;=0,0,CE847*MAX(1,IF(H847&gt;0,BA847/H847,1))),IF(R847&gt;0,BB847/R847,0))/MAX(0.1,N(Parameter!$M$21)))</f>
        <v>0.0833333333333333</v>
      </c>
      <c r="BD847" s="62" t="n">
        <f aca="false">BC847*CC847</f>
        <v>28.75</v>
      </c>
      <c r="BE847" s="63" t="n">
        <f aca="false">IF(LEFT(Cockpit!$O$5,1)="A",H847,IF(CI847=1,(CL847+CJ847)/2,IF(LEFT(Cockpit!$O$5,1)="B",(CL847+BG847)/2,MAX((CL847+BG847)/2,H847))))</f>
        <v>16</v>
      </c>
      <c r="BF847" s="62" t="n">
        <f aca="false">BE847*G847</f>
        <v>13.6</v>
      </c>
      <c r="BG847" s="62" t="n">
        <f aca="false">ROUNDUP(CL847+MAX(CM847,2*(J847/IF(CH847&gt;0,CH847,MAX(0.1,N(Cockpit!$O$6)))-CL847)),0)</f>
        <v>31</v>
      </c>
      <c r="BH847" s="63" t="n">
        <f aca="false">IF(BD847&gt;0,J847/BD847,-1)</f>
        <v>1.00869565217391</v>
      </c>
      <c r="BI847" s="63" t="n">
        <f aca="false">IF(AND(OR(CG847="L1",CG847="L23",CG847="LIFT"),BD847&gt;0),SUMIFS($BD$7:$BD$1843,$CG$7:$CG$1843,CG847,$BH$7:$BH$1843,"&gt;"&amp;BH847)+SUMIFS($BD$7:$BD$1843,$CG$7:$CG$1843,CG847,$BH$7:$BH$1843,BH847,$BX$7:$BX$1843,"&lt;="&amp;BX847),"")</f>
        <v>7607.64331501832</v>
      </c>
      <c r="BJ847" s="70" t="n">
        <f aca="false">IF(BI847="",0,MAX(0,MIN(1,(IF(CG847="L1",Parameter!$H$5,IF(CG847="L23",Parameter!$H$6+Parameter!$H$7,Parameter!$H$5+Parameter!$H$6+Parameter!$H$7))-(BI847-BD847))/BD847)))</f>
        <v>1</v>
      </c>
      <c r="BK847" s="60" t="str">
        <f aca="false">IF(AJ847&lt;=0,"",IF(CG847="Aussen","Aussenlager",IF(CG847="-","Nicht im Lift",IF(AP847&gt;=1,"Lift",IF(AP847&lt;=0,"Aussenlager","teilweise")))))</f>
        <v>Lift</v>
      </c>
      <c r="BL847" s="60" t="str">
        <f aca="false">IF(AT847&lt;=0,"",IF(CG847="Aussen","Aussenlager",IF(CG847="-","Nicht im Lift",IF(AZ847&gt;=1,"Lift",IF(AZ847&lt;=0,"Aussenlager","teilweise")))))</f>
        <v>Lift</v>
      </c>
      <c r="BM847" s="60" t="str">
        <f aca="false">IF(BD847&lt;=0,"",IF(CG847="Aussen","Aussenlager",IF(CG847="-","Nicht im Lift",IF(BJ847&gt;=1,"Lift",IF(BJ847&lt;=0,"Aussenlager","teilweise")))))</f>
        <v>Lift</v>
      </c>
      <c r="BN847" s="60" t="str">
        <f aca="false">IF(A847="","",IF(BW847=1,"Neu; ","")&amp;IF(AND(BW847=0,BR847&lt;0),"negativer Bestand (Export "&amp;BR847&amp;"); ","")&amp;IF(J847&lt;=0,"Kein Verbrauch; ","")&amp;IF(CR847&gt;0,"Lift "&amp;W847&amp;" lt. Liftbericht (Fach "&amp;X847&amp;" Stk); ",IF(CB847=1,"Gebinde geschätzt ("&amp;T847&amp;"); ",IF(CA847=1,"Lose – Tablare geschätzt; ","")))&amp;IF(H847&gt;AW847,"Überbestand "&amp;ROUND(H847-AW847,0)&amp;" Stk / CHF "&amp;ROUND((H847-AW847)*G847,0)&amp;"; ","")&amp;IF(AND(CI847=1,CJ847&lt;CK847),"MAX &lt; MB+LG; ","")&amp;IF(AND(CQ847&gt;0,CP847*10&gt;CQ847),"zu hoch für Tablar; ","")&amp;IF(AND(BW847=0,OR(CI847=1,AB847&lt;&gt;"",U847&lt;&gt;"",V847&lt;&gt;"",AC847&lt;&gt;"")),"manuell übersteuert; ","")&amp;IF(AND(CA847=0,R847=0),"Gebinde unbekannt / Stellmass fehlt; ","")&amp;IF(AND(CA847=0,N(V847)&lt;=0,N(Q847)&lt;=0),"Menge pro Gebinde fehlt (Ist = 1 Gebinde); ","")&amp;BV847)</f>
        <v>negativer Bestand (Export -22); </v>
      </c>
      <c r="BO847" s="60"/>
      <c r="BP847" s="60"/>
      <c r="BQ847" s="67"/>
      <c r="BR847" s="62" t="n">
        <v>-22</v>
      </c>
      <c r="BS847" s="62" t="n">
        <v>31</v>
      </c>
      <c r="BT847" s="61" t="n">
        <v>-15.91</v>
      </c>
      <c r="BU847" s="62" t="n">
        <v>29</v>
      </c>
      <c r="BV847" s="60"/>
      <c r="BW847" s="65" t="n">
        <v>0</v>
      </c>
      <c r="BX847" s="65" t="n">
        <v>847</v>
      </c>
      <c r="BY847" s="60" t="str">
        <f aca="false">IF(U847&lt;&gt;"",UPPER(TRIM(U847)),IF(CB847=1,UPPER(VLOOKUP(T847,Parameter!$I$27:$K$29,2,0)),IF(P847="","LOSE",P847)))</f>
        <v>S63</v>
      </c>
      <c r="BZ847" s="62" t="n">
        <f aca="false">IF(BY847="LOSE",1,IF(N(V847)&gt;0,V847,IF(CB847=1,MAX(1,N(VLOOKUP(T847,Parameter!$I$27:$K$29,3,0)),H847,N(N847)),IF(N(Q847)&gt;0,Q847,MAX(1,H847)))))</f>
        <v>65</v>
      </c>
      <c r="CA847" s="65" t="n">
        <f aca="false">IF(BY847="LOSE",1,0)</f>
        <v>0</v>
      </c>
      <c r="CB847" s="65" t="n">
        <f aca="false">IF(AND(U847="",OR(P847="",P847="LOSE"),T847&lt;&gt;"",N(S847)&lt;=0,ISNUMBER(MATCH(T847,Parameter!$I$27:$I$29,0))),1,0)</f>
        <v>0</v>
      </c>
      <c r="CC847" s="65" t="n">
        <f aca="false">IF(CR847&gt;0,INDEX(Parameter!$H$5:$H$7,W847)/INDEX(Parameter!$E$5:$E$7,W847),IF(AND(CA847=0,N(IFERROR(VLOOKUP(BY847,'Gebinde-Kategorie'!$A$5:$N$45,14,0),0))&gt;0),VLOOKUP(BY847,'Gebinde-Kategorie'!$A$5:$N$45,14,0)*10+Parameter!$M$23,Parameter!$M$24))</f>
        <v>345</v>
      </c>
      <c r="CD847" s="60" t="str">
        <f aca="false">IF(AND(Parameter!$B$19="Ja",E847&lt;&gt;"",ISNUMBER(MATCH(E847,Parameter!$I$35:$I$52,0))),VLOOKUP(E847,Parameter!$I$35:$J$52,2,0),IFERROR(VLOOKUP(D847,Parameter!$A$35:$C$64,2,0),"Nein"))</f>
        <v>2+3</v>
      </c>
      <c r="CE847" s="64" t="n">
        <f aca="false">IF(CA847=0,0,IF(N(S847)&gt;0,S847,IFERROR(VLOOKUP(D847,Parameter!$A$35:$C$64,3,0)+0,0)))</f>
        <v>0</v>
      </c>
      <c r="CF847" s="60" t="n">
        <f aca="false">IF(AB847&lt;&gt;"",AB847,AA847)</f>
        <v>3</v>
      </c>
      <c r="CG847" s="60" t="str">
        <f aca="false">IF(OR(CF847=1,CF847=2,CF847=3),IF(Parameter!$E$27="Ja","LIFT",IF(CF847=1,"L1","L23")),IF(CF847="Aussen","Aussen","-"))</f>
        <v>LIFT</v>
      </c>
      <c r="CH847" s="71" t="n">
        <f aca="false">IF(N(AC847)&gt;0,AC847,0)</f>
        <v>0</v>
      </c>
      <c r="CI847" s="65" t="n">
        <f aca="false">IF(ISNUMBER(AF847),1,0)</f>
        <v>0</v>
      </c>
      <c r="CJ847" s="62" t="n">
        <f aca="false">N(AF847)</f>
        <v>0</v>
      </c>
      <c r="CK847" s="62" t="n">
        <f aca="false">N(M847)+N(N847)</f>
        <v>31</v>
      </c>
      <c r="CL847" s="62" t="n">
        <f aca="false">N(M847)</f>
        <v>1</v>
      </c>
      <c r="CM847" s="62" t="n">
        <f aca="false">N(N847)</f>
        <v>30</v>
      </c>
      <c r="CN847" s="62" t="n">
        <f aca="false">ROUNDUP(H847/BZ847,0)</f>
        <v>1</v>
      </c>
      <c r="CO847" s="62" t="n">
        <f aca="false">ROUNDUP(CJ847/BZ847,0)</f>
        <v>0</v>
      </c>
      <c r="CP847" s="65" t="n">
        <f aca="false">IF(CA847=1,0,IFERROR(VLOOKUP(BY847,'Gebinde-Kategorie'!$A$5:$N$45,5,0)+0,0))</f>
        <v>31</v>
      </c>
      <c r="CQ847" s="65" t="n">
        <f aca="false">IFERROR(IF(OR(CF847=1,CF847=2,CF847=3),N(INDEX(Parameter!$I$5:$I$7,CF847)),0),0)</f>
        <v>0</v>
      </c>
      <c r="CR847" s="64" t="n">
        <f aca="false">IF(AND(Parameter!$B$21="Ja",ISNUMBER(W847),N(X847)&gt;0),IFERROR(N(INDEX(Parameter!$L$5:$L$7,W847))*INDEX(Parameter!$E$5:$E$7,W847)*X847/SUMIFS($X$7:$X$1843,$W$7:$W$1843,W847),0),0)</f>
        <v>0</v>
      </c>
      <c r="CS847" s="62" t="n">
        <f aca="false">IF(AND(OR(CG847="L1",CG847="L23",CG847="LIFT"),H847&gt;0),CC847*IF(CR847&gt;0,CR847*MAX(1,H847/X847),IF(CA847=1,CE847,IF(R847&gt;0,CN847/R847,0))/MAX(0.1,N(Parameter!$M$21))),"")</f>
        <v>28.75</v>
      </c>
      <c r="CT847" s="64" t="n">
        <f aca="false">IF(CS847="","",J847/H847)</f>
        <v>3.22222222222222</v>
      </c>
      <c r="CU847" s="62" t="n">
        <f aca="false">IF(CS847="","",H847*G847)</f>
        <v>7.65</v>
      </c>
      <c r="CV847" s="63" t="n">
        <f aca="false">IF(CS847="","",(CL847+ROUNDUP(CL847+MAX(CM847,2*(J847/MAX(0.1,N(Einkauf!$C$6))-CL847)),0))/2)</f>
        <v>16</v>
      </c>
      <c r="CW847" s="62" t="n">
        <f aca="false">IF(CS847="","",MAX(0,H847-CV847)*G847)</f>
        <v>0</v>
      </c>
      <c r="CX847" s="62" t="n">
        <f aca="false">IF(CS847="","",CS847*MAX(0,1-CV847/H847))</f>
        <v>0</v>
      </c>
      <c r="CY847" s="64" t="n">
        <f aca="false">IF(CS847="","",PERCENTRANK($CS$7:$CS$1843,CS847)+PERCENTRANK($CU$7:$CU$1843,CU847)+1-PERCENTRANK($CT$7:$CT$1843,CT847))</f>
        <v>0.9563</v>
      </c>
      <c r="CZ847" s="72" t="n">
        <f aca="false">IF(CS847="","",CHOOSE(MATCH(Einkauf!$C$5,Parameter!$G$23:$G$27,0),CY847,CS847,CU847,-CT847,CW847)+ROW()/1000000000)</f>
        <v>0.956300847</v>
      </c>
    </row>
    <row r="848" customFormat="false" ht="15" hidden="false" customHeight="false" outlineLevel="0" collapsed="false">
      <c r="A848" s="60" t="s">
        <v>1662</v>
      </c>
      <c r="B848" s="60" t="s">
        <v>447</v>
      </c>
      <c r="C848" s="60" t="s">
        <v>206</v>
      </c>
      <c r="D848" s="60" t="s">
        <v>226</v>
      </c>
      <c r="E848" s="60" t="s">
        <v>227</v>
      </c>
      <c r="F848" s="60" t="s">
        <v>260</v>
      </c>
      <c r="G848" s="61" t="n">
        <v>0.37</v>
      </c>
      <c r="H848" s="62" t="n">
        <f aca="false">MAX(0,IF(AND(Parameter!$B$21="Ja",ISNUMBER(Y848)),Y848,IF(Parameter!$B$20="Jahresanfang 2025 + Export",BS848+BR848,BR848)))</f>
        <v>737</v>
      </c>
      <c r="I848" s="62" t="n">
        <f aca="false">H848*G848</f>
        <v>272.69</v>
      </c>
      <c r="J848" s="62" t="n">
        <f aca="false">BU848*Parameter!$B$18</f>
        <v>48</v>
      </c>
      <c r="K848" s="63" t="n">
        <v>758.5</v>
      </c>
      <c r="L848" s="64" t="n">
        <v>0.0632827949901121</v>
      </c>
      <c r="M848" s="62" t="n">
        <v>1</v>
      </c>
      <c r="N848" s="62" t="n">
        <v>50</v>
      </c>
      <c r="O848" s="65" t="n">
        <v>14</v>
      </c>
      <c r="P848" s="60" t="s">
        <v>268</v>
      </c>
      <c r="Q848" s="62" t="n">
        <v>601</v>
      </c>
      <c r="R848" s="65" t="n">
        <f aca="false">IF(CA848=1,0,IFERROR(VLOOKUP(BY848,'Gebinde-Kategorie'!$A$5:$N$45,13,0)+0,0))</f>
        <v>12</v>
      </c>
      <c r="S848" s="66"/>
      <c r="T848" s="67"/>
      <c r="U848" s="67"/>
      <c r="V848" s="67"/>
      <c r="W848" s="60"/>
      <c r="X848" s="62"/>
      <c r="Y848" s="62"/>
      <c r="Z848" s="60" t="n">
        <v>3</v>
      </c>
      <c r="AA848" s="60" t="n">
        <f aca="false">IF(A848="","",IF(AND(Parameter!$B$21="Ja",ISNUMBER(W848)),W848,IF(AND(Parameter!$E$27="Ja",ISNUMBER(Z848),CD848&lt;&gt;"Nein"),Z848,IF(CD848="2+3",IF(ISNUMBER(SEARCH("grosser Artikel",BV848)),2,IFERROR(VLOOKUP(BY848,Parameter!$F$35:$G$64,2,0),2)),IF(OR(CD848="Nein",CD848=""),"-",CD848)))))</f>
        <v>3</v>
      </c>
      <c r="AB848" s="67"/>
      <c r="AC848" s="68"/>
      <c r="AD848" s="62" t="n">
        <f aca="false">AW848</f>
        <v>51</v>
      </c>
      <c r="AE848" s="62" t="n">
        <f aca="false">MAX(AW848,H848)</f>
        <v>737</v>
      </c>
      <c r="AF848" s="69"/>
      <c r="AG848" s="62" t="n">
        <f aca="false">IF(LEFT(Cockpit!$C$5,1)="A",H848,IF(Parameter!$E$30="MAX-Bestand",IF(CI848=1,CJ848,IF(LEFT(Cockpit!$C$5,1)="B",AM848,MAX(AM848,H848))),ROUNDUP(AK848,0)))</f>
        <v>737</v>
      </c>
      <c r="AH848" s="62" t="n">
        <f aca="false">IF(CA848=1,0,ROUNDUP(AG848/BZ848,0))</f>
        <v>2</v>
      </c>
      <c r="AI848" s="64" t="n">
        <f aca="false">IF(CR848&gt;0,CR848*MAX(1,AG848/X848),IF(CA848=1,IF(AG848&lt;=0,0,CE848*MAX(1,IF(H848&gt;0,AG848/H848,1))),IF(R848&gt;0,AH848/R848,0))/MAX(0.1,N(Parameter!$M$21)))</f>
        <v>0.166666666666667</v>
      </c>
      <c r="AJ848" s="62" t="n">
        <f aca="false">AI848*CC848</f>
        <v>57.5</v>
      </c>
      <c r="AK848" s="63" t="n">
        <f aca="false">IF(LEFT(Cockpit!$C$5,1)="A",H848,IF(CI848=1,(CL848+CJ848)/2,IF(LEFT(Cockpit!$C$5,1)="B",(CL848+AM848)/2,MAX((CL848+AM848)/2,H848))))</f>
        <v>737</v>
      </c>
      <c r="AL848" s="62" t="n">
        <f aca="false">AK848*G848</f>
        <v>272.69</v>
      </c>
      <c r="AM848" s="62" t="n">
        <f aca="false">ROUNDUP(CL848+MAX(CM848,2*(J848/IF(CH848&gt;0,CH848,MAX(0.1,N(Cockpit!$C$6)))-CL848)),0)</f>
        <v>51</v>
      </c>
      <c r="AN848" s="63" t="n">
        <f aca="false">IF(AJ848&gt;0,J848/AJ848,-1)</f>
        <v>0.834782608695652</v>
      </c>
      <c r="AO848" s="63" t="n">
        <f aca="false">IF(AND(OR(CG848="L1",CG848="L23",CG848="LIFT"),AJ848&gt;0),SUMIFS($AJ$7:$AJ$1843,$CG$7:$CG$1843,CG848,$AN$7:$AN$1843,"&gt;"&amp;AN848)+SUMIFS($AJ$7:$AJ$1843,$CG$7:$CG$1843,CG848,$AN$7:$AN$1843,AN848,$BX$7:$BX$1843,"&lt;="&amp;BX848),"")</f>
        <v>7954.125</v>
      </c>
      <c r="AP848" s="70" t="n">
        <f aca="false">IF(AO848="",0,MAX(0,MIN(1,(IF(CG848="L1",Parameter!$H$5,IF(CG848="L23",Parameter!$H$6+Parameter!$H$7,Parameter!$H$5+Parameter!$H$6+Parameter!$H$7))-(AO848-AJ848))/AJ848)))</f>
        <v>1</v>
      </c>
      <c r="AQ848" s="62" t="n">
        <f aca="false">IF(LEFT(Cockpit!$I$5,1)="A",H848,IF(Parameter!$E$30="MAX-Bestand",IF(CI848=1,CJ848,IF(LEFT(Cockpit!$I$5,1)="B",AW848,MAX(AW848,H848))),ROUNDUP(AU848,0)))</f>
        <v>737</v>
      </c>
      <c r="AR848" s="62" t="n">
        <f aca="false">IF(CA848=1,0,ROUNDUP(AQ848/BZ848,0))</f>
        <v>2</v>
      </c>
      <c r="AS848" s="64" t="n">
        <f aca="false">IF(CR848&gt;0,CR848*MAX(1,AQ848/X848),IF(CA848=1,IF(AQ848&lt;=0,0,CE848*MAX(1,IF(H848&gt;0,AQ848/H848,1))),IF(R848&gt;0,AR848/R848,0))/MAX(0.1,N(Parameter!$M$21)))</f>
        <v>0.166666666666667</v>
      </c>
      <c r="AT848" s="62" t="n">
        <f aca="false">AS848*CC848</f>
        <v>57.5</v>
      </c>
      <c r="AU848" s="63" t="n">
        <f aca="false">IF(LEFT(Cockpit!$I$5,1)="A",H848,IF(CI848=1,(CL848+CJ848)/2,IF(LEFT(Cockpit!$I$5,1)="B",(CL848+AW848)/2,MAX((CL848+AW848)/2,H848))))</f>
        <v>737</v>
      </c>
      <c r="AV848" s="62" t="n">
        <f aca="false">AU848*G848</f>
        <v>272.69</v>
      </c>
      <c r="AW848" s="62" t="n">
        <f aca="false">ROUNDUP(CL848+MAX(CM848,2*(J848/IF(CH848&gt;0,CH848,MAX(0.1,N(Cockpit!$I$6)))-CL848)),0)</f>
        <v>51</v>
      </c>
      <c r="AX848" s="63" t="n">
        <f aca="false">IF(AT848&gt;0,J848/AT848,-1)</f>
        <v>0.834782608695652</v>
      </c>
      <c r="AY848" s="63" t="n">
        <f aca="false">IF(AND(OR(CG848="L1",CG848="L23",CG848="LIFT"),AT848&gt;0),SUMIFS($AT$7:$AT$1843,$CG$7:$CG$1843,CG848,$AX$7:$AX$1843,"&gt;"&amp;AX848)+SUMIFS($AT$7:$AT$1843,$CG$7:$CG$1843,CG848,$AX$7:$AX$1843,AX848,$BX$7:$BX$1843,"&lt;="&amp;BX848),"")</f>
        <v>9709.52655677656</v>
      </c>
      <c r="AZ848" s="70" t="n">
        <f aca="false">IF(AY848="",0,MAX(0,MIN(1,(IF(CG848="L1",Parameter!$H$5,IF(CG848="L23",Parameter!$H$6+Parameter!$H$7,Parameter!$H$5+Parameter!$H$6+Parameter!$H$7))-(AY848-AT848))/AT848)))</f>
        <v>1</v>
      </c>
      <c r="BA848" s="62" t="n">
        <f aca="false">IF(LEFT(Cockpit!$O$5,1)="A",H848,IF(Parameter!$E$30="MAX-Bestand",IF(CI848=1,CJ848,IF(LEFT(Cockpit!$O$5,1)="B",BG848,MAX(BG848,H848))),ROUNDUP(BE848,0)))</f>
        <v>26</v>
      </c>
      <c r="BB848" s="62" t="n">
        <f aca="false">IF(CA848=1,0,ROUNDUP(BA848/BZ848,0))</f>
        <v>1</v>
      </c>
      <c r="BC848" s="64" t="n">
        <f aca="false">IF(CR848&gt;0,CR848*MAX(1,BA848/X848),IF(CA848=1,IF(BA848&lt;=0,0,CE848*MAX(1,IF(H848&gt;0,BA848/H848,1))),IF(R848&gt;0,BB848/R848,0))/MAX(0.1,N(Parameter!$M$21)))</f>
        <v>0.0833333333333333</v>
      </c>
      <c r="BD848" s="62" t="n">
        <f aca="false">BC848*CC848</f>
        <v>28.75</v>
      </c>
      <c r="BE848" s="63" t="n">
        <f aca="false">IF(LEFT(Cockpit!$O$5,1)="A",H848,IF(CI848=1,(CL848+CJ848)/2,IF(LEFT(Cockpit!$O$5,1)="B",(CL848+BG848)/2,MAX((CL848+BG848)/2,H848))))</f>
        <v>26</v>
      </c>
      <c r="BF848" s="62" t="n">
        <f aca="false">BE848*G848</f>
        <v>9.62</v>
      </c>
      <c r="BG848" s="62" t="n">
        <f aca="false">ROUNDUP(CL848+MAX(CM848,2*(J848/IF(CH848&gt;0,CH848,MAX(0.1,N(Cockpit!$O$6)))-CL848)),0)</f>
        <v>51</v>
      </c>
      <c r="BH848" s="63" t="n">
        <f aca="false">IF(BD848&gt;0,J848/BD848,-1)</f>
        <v>1.6695652173913</v>
      </c>
      <c r="BI848" s="63" t="n">
        <f aca="false">IF(AND(OR(CG848="L1",CG848="L23",CG848="LIFT"),BD848&gt;0),SUMIFS($BD$7:$BD$1843,$CG$7:$CG$1843,CG848,$BH$7:$BH$1843,"&gt;"&amp;BH848)+SUMIFS($BD$7:$BD$1843,$CG$7:$CG$1843,CG848,$BH$7:$BH$1843,BH848,$BX$7:$BX$1843,"&lt;="&amp;BX848),"")</f>
        <v>6347.2586996337</v>
      </c>
      <c r="BJ848" s="70" t="n">
        <f aca="false">IF(BI848="",0,MAX(0,MIN(1,(IF(CG848="L1",Parameter!$H$5,IF(CG848="L23",Parameter!$H$6+Parameter!$H$7,Parameter!$H$5+Parameter!$H$6+Parameter!$H$7))-(BI848-BD848))/BD848)))</f>
        <v>1</v>
      </c>
      <c r="BK848" s="60" t="str">
        <f aca="false">IF(AJ848&lt;=0,"",IF(CG848="Aussen","Aussenlager",IF(CG848="-","Nicht im Lift",IF(AP848&gt;=1,"Lift",IF(AP848&lt;=0,"Aussenlager","teilweise")))))</f>
        <v>Lift</v>
      </c>
      <c r="BL848" s="60" t="str">
        <f aca="false">IF(AT848&lt;=0,"",IF(CG848="Aussen","Aussenlager",IF(CG848="-","Nicht im Lift",IF(AZ848&gt;=1,"Lift",IF(AZ848&lt;=0,"Aussenlager","teilweise")))))</f>
        <v>Lift</v>
      </c>
      <c r="BM848" s="60" t="str">
        <f aca="false">IF(BD848&lt;=0,"",IF(CG848="Aussen","Aussenlager",IF(CG848="-","Nicht im Lift",IF(BJ848&gt;=1,"Lift",IF(BJ848&lt;=0,"Aussenlager","teilweise")))))</f>
        <v>Lift</v>
      </c>
      <c r="BN848" s="60" t="str">
        <f aca="false">IF(A848="","",IF(BW848=1,"Neu; ","")&amp;IF(AND(BW848=0,BR848&lt;0),"negativer Bestand (Export "&amp;BR848&amp;"); ","")&amp;IF(J848&lt;=0,"Kein Verbrauch; ","")&amp;IF(CR848&gt;0,"Lift "&amp;W848&amp;" lt. Liftbericht (Fach "&amp;X848&amp;" Stk); ",IF(CB848=1,"Gebinde geschätzt ("&amp;T848&amp;"); ",IF(CA848=1,"Lose – Tablare geschätzt; ","")))&amp;IF(H848&gt;AW848,"Überbestand "&amp;ROUND(H848-AW848,0)&amp;" Stk / CHF "&amp;ROUND((H848-AW848)*G848,0)&amp;"; ","")&amp;IF(AND(CI848=1,CJ848&lt;CK848),"MAX &lt; MB+LG; ","")&amp;IF(AND(CQ848&gt;0,CP848*10&gt;CQ848),"zu hoch für Tablar; ","")&amp;IF(AND(BW848=0,OR(CI848=1,AB848&lt;&gt;"",U848&lt;&gt;"",V848&lt;&gt;"",AC848&lt;&gt;"")),"manuell übersteuert; ","")&amp;IF(AND(CA848=0,R848=0),"Gebinde unbekannt / Stellmass fehlt; ","")&amp;IF(AND(CA848=0,N(V848)&lt;=0,N(Q848)&lt;=0),"Menge pro Gebinde fehlt (Ist = 1 Gebinde); ","")&amp;BV848)</f>
        <v>negativer Bestand (Export -43); Überbestand 686 Stk / CHF 254; Überbestand</v>
      </c>
      <c r="BO848" s="60"/>
      <c r="BP848" s="60"/>
      <c r="BQ848" s="67"/>
      <c r="BR848" s="62" t="n">
        <v>-43</v>
      </c>
      <c r="BS848" s="62" t="n">
        <v>780</v>
      </c>
      <c r="BT848" s="61" t="n">
        <v>-15.91</v>
      </c>
      <c r="BU848" s="62" t="n">
        <v>48</v>
      </c>
      <c r="BV848" s="60" t="s">
        <v>434</v>
      </c>
      <c r="BW848" s="65" t="n">
        <v>0</v>
      </c>
      <c r="BX848" s="65" t="n">
        <v>848</v>
      </c>
      <c r="BY848" s="60" t="str">
        <f aca="false">IF(U848&lt;&gt;"",UPPER(TRIM(U848)),IF(CB848=1,UPPER(VLOOKUP(T848,Parameter!$I$27:$K$29,2,0)),IF(P848="","LOSE",P848)))</f>
        <v>S63</v>
      </c>
      <c r="BZ848" s="62" t="n">
        <f aca="false">IF(BY848="LOSE",1,IF(N(V848)&gt;0,V848,IF(CB848=1,MAX(1,N(VLOOKUP(T848,Parameter!$I$27:$K$29,3,0)),H848,N(N848)),IF(N(Q848)&gt;0,Q848,MAX(1,H848)))))</f>
        <v>601</v>
      </c>
      <c r="CA848" s="65" t="n">
        <f aca="false">IF(BY848="LOSE",1,0)</f>
        <v>0</v>
      </c>
      <c r="CB848" s="65" t="n">
        <f aca="false">IF(AND(U848="",OR(P848="",P848="LOSE"),T848&lt;&gt;"",N(S848)&lt;=0,ISNUMBER(MATCH(T848,Parameter!$I$27:$I$29,0))),1,0)</f>
        <v>0</v>
      </c>
      <c r="CC848" s="65" t="n">
        <f aca="false">IF(CR848&gt;0,INDEX(Parameter!$H$5:$H$7,W848)/INDEX(Parameter!$E$5:$E$7,W848),IF(AND(CA848=0,N(IFERROR(VLOOKUP(BY848,'Gebinde-Kategorie'!$A$5:$N$45,14,0),0))&gt;0),VLOOKUP(BY848,'Gebinde-Kategorie'!$A$5:$N$45,14,0)*10+Parameter!$M$23,Parameter!$M$24))</f>
        <v>345</v>
      </c>
      <c r="CD848" s="60" t="str">
        <f aca="false">IF(AND(Parameter!$B$19="Ja",E848&lt;&gt;"",ISNUMBER(MATCH(E848,Parameter!$I$35:$I$52,0))),VLOOKUP(E848,Parameter!$I$35:$J$52,2,0),IFERROR(VLOOKUP(D848,Parameter!$A$35:$C$64,2,0),"Nein"))</f>
        <v>2+3</v>
      </c>
      <c r="CE848" s="64" t="n">
        <f aca="false">IF(CA848=0,0,IF(N(S848)&gt;0,S848,IFERROR(VLOOKUP(D848,Parameter!$A$35:$C$64,3,0)+0,0)))</f>
        <v>0</v>
      </c>
      <c r="CF848" s="60" t="n">
        <f aca="false">IF(AB848&lt;&gt;"",AB848,AA848)</f>
        <v>3</v>
      </c>
      <c r="CG848" s="60" t="str">
        <f aca="false">IF(OR(CF848=1,CF848=2,CF848=3),IF(Parameter!$E$27="Ja","LIFT",IF(CF848=1,"L1","L23")),IF(CF848="Aussen","Aussen","-"))</f>
        <v>LIFT</v>
      </c>
      <c r="CH848" s="71" t="n">
        <f aca="false">IF(N(AC848)&gt;0,AC848,0)</f>
        <v>0</v>
      </c>
      <c r="CI848" s="65" t="n">
        <f aca="false">IF(ISNUMBER(AF848),1,0)</f>
        <v>0</v>
      </c>
      <c r="CJ848" s="62" t="n">
        <f aca="false">N(AF848)</f>
        <v>0</v>
      </c>
      <c r="CK848" s="62" t="n">
        <f aca="false">N(M848)+N(N848)</f>
        <v>51</v>
      </c>
      <c r="CL848" s="62" t="n">
        <f aca="false">N(M848)</f>
        <v>1</v>
      </c>
      <c r="CM848" s="62" t="n">
        <f aca="false">N(N848)</f>
        <v>50</v>
      </c>
      <c r="CN848" s="62" t="n">
        <f aca="false">ROUNDUP(H848/BZ848,0)</f>
        <v>2</v>
      </c>
      <c r="CO848" s="62" t="n">
        <f aca="false">ROUNDUP(CJ848/BZ848,0)</f>
        <v>0</v>
      </c>
      <c r="CP848" s="65" t="n">
        <f aca="false">IF(CA848=1,0,IFERROR(VLOOKUP(BY848,'Gebinde-Kategorie'!$A$5:$N$45,5,0)+0,0))</f>
        <v>31</v>
      </c>
      <c r="CQ848" s="65" t="n">
        <f aca="false">IFERROR(IF(OR(CF848=1,CF848=2,CF848=3),N(INDEX(Parameter!$I$5:$I$7,CF848)),0),0)</f>
        <v>0</v>
      </c>
      <c r="CR848" s="64" t="n">
        <f aca="false">IF(AND(Parameter!$B$21="Ja",ISNUMBER(W848),N(X848)&gt;0),IFERROR(N(INDEX(Parameter!$L$5:$L$7,W848))*INDEX(Parameter!$E$5:$E$7,W848)*X848/SUMIFS($X$7:$X$1843,$W$7:$W$1843,W848),0),0)</f>
        <v>0</v>
      </c>
      <c r="CS848" s="62" t="n">
        <f aca="false">IF(AND(OR(CG848="L1",CG848="L23",CG848="LIFT"),H848&gt;0),CC848*IF(CR848&gt;0,CR848*MAX(1,H848/X848),IF(CA848=1,CE848,IF(R848&gt;0,CN848/R848,0))/MAX(0.1,N(Parameter!$M$21))),"")</f>
        <v>57.5</v>
      </c>
      <c r="CT848" s="64" t="n">
        <f aca="false">IF(CS848="","",J848/H848)</f>
        <v>0.0651289009497965</v>
      </c>
      <c r="CU848" s="62" t="n">
        <f aca="false">IF(CS848="","",H848*G848)</f>
        <v>272.69</v>
      </c>
      <c r="CV848" s="63" t="n">
        <f aca="false">IF(CS848="","",(CL848+ROUNDUP(CL848+MAX(CM848,2*(J848/MAX(0.1,N(Einkauf!$C$6))-CL848)),0))/2)</f>
        <v>26</v>
      </c>
      <c r="CW848" s="62" t="n">
        <f aca="false">IF(CS848="","",MAX(0,H848-CV848)*G848)</f>
        <v>263.07</v>
      </c>
      <c r="CX848" s="62" t="n">
        <f aca="false">IF(CS848="","",CS848*MAX(0,1-CV848/H848))</f>
        <v>55.4715061058345</v>
      </c>
      <c r="CY848" s="64" t="n">
        <f aca="false">IF(CS848="","",PERCENTRANK($CS$7:$CS$1843,CS848)+PERCENTRANK($CU$7:$CU$1843,CU848)+1-PERCENTRANK($CT$7:$CT$1843,CT848))</f>
        <v>1.895</v>
      </c>
      <c r="CZ848" s="72" t="n">
        <f aca="false">IF(CS848="","",CHOOSE(MATCH(Einkauf!$C$5,Parameter!$G$23:$G$27,0),CY848,CS848,CU848,-CT848,CW848)+ROW()/1000000000)</f>
        <v>1.895000848</v>
      </c>
    </row>
    <row r="849" customFormat="false" ht="15" hidden="false" customHeight="false" outlineLevel="0" collapsed="false">
      <c r="A849" s="60" t="s">
        <v>1663</v>
      </c>
      <c r="B849" s="60" t="s">
        <v>416</v>
      </c>
      <c r="C849" s="60" t="s">
        <v>206</v>
      </c>
      <c r="D849" s="60" t="s">
        <v>226</v>
      </c>
      <c r="E849" s="60" t="s">
        <v>227</v>
      </c>
      <c r="F849" s="60" t="s">
        <v>260</v>
      </c>
      <c r="G849" s="61" t="n">
        <v>2.55</v>
      </c>
      <c r="H849" s="62" t="n">
        <f aca="false">MAX(0,IF(AND(Parameter!$B$21="Ja",ISNUMBER(Y849)),Y849,IF(Parameter!$B$20="Jahresanfang 2025 + Export",BS849+BR849,BR849)))</f>
        <v>29</v>
      </c>
      <c r="I849" s="62" t="n">
        <f aca="false">H849*G849</f>
        <v>73.95</v>
      </c>
      <c r="J849" s="62" t="n">
        <f aca="false">BU849*Parameter!$B$18</f>
        <v>54</v>
      </c>
      <c r="K849" s="63" t="n">
        <v>58.5</v>
      </c>
      <c r="L849" s="64" t="n">
        <v>0.923076923076923</v>
      </c>
      <c r="M849" s="62" t="n">
        <v>2</v>
      </c>
      <c r="N849" s="62" t="n">
        <v>55</v>
      </c>
      <c r="O849" s="65" t="n">
        <v>14</v>
      </c>
      <c r="P849" s="60" t="s">
        <v>463</v>
      </c>
      <c r="Q849" s="62" t="n">
        <v>46</v>
      </c>
      <c r="R849" s="65" t="n">
        <f aca="false">IF(CA849=1,0,IFERROR(VLOOKUP(BY849,'Gebinde-Kategorie'!$A$5:$N$45,13,0)+0,0))</f>
        <v>104</v>
      </c>
      <c r="S849" s="66"/>
      <c r="T849" s="67"/>
      <c r="U849" s="67"/>
      <c r="V849" s="67"/>
      <c r="W849" s="60"/>
      <c r="X849" s="62"/>
      <c r="Y849" s="62"/>
      <c r="Z849" s="60" t="n">
        <v>2</v>
      </c>
      <c r="AA849" s="60" t="n">
        <f aca="false">IF(A849="","",IF(AND(Parameter!$B$21="Ja",ISNUMBER(W849)),W849,IF(AND(Parameter!$E$27="Ja",ISNUMBER(Z849),CD849&lt;&gt;"Nein"),Z849,IF(CD849="2+3",IF(ISNUMBER(SEARCH("grosser Artikel",BV849)),2,IFERROR(VLOOKUP(BY849,Parameter!$F$35:$G$64,2,0),2)),IF(OR(CD849="Nein",CD849=""),"-",CD849)))))</f>
        <v>2</v>
      </c>
      <c r="AB849" s="67"/>
      <c r="AC849" s="68"/>
      <c r="AD849" s="62" t="n">
        <f aca="false">AW849</f>
        <v>57</v>
      </c>
      <c r="AE849" s="62" t="n">
        <f aca="false">MAX(AW849,H849)</f>
        <v>57</v>
      </c>
      <c r="AF849" s="69"/>
      <c r="AG849" s="62" t="n">
        <f aca="false">IF(LEFT(Cockpit!$C$5,1)="A",H849,IF(Parameter!$E$30="MAX-Bestand",IF(CI849=1,CJ849,IF(LEFT(Cockpit!$C$5,1)="B",AM849,MAX(AM849,H849))),ROUNDUP(AK849,0)))</f>
        <v>29</v>
      </c>
      <c r="AH849" s="62" t="n">
        <f aca="false">IF(CA849=1,0,ROUNDUP(AG849/BZ849,0))</f>
        <v>1</v>
      </c>
      <c r="AI849" s="64" t="n">
        <f aca="false">IF(CR849&gt;0,CR849*MAX(1,AG849/X849),IF(CA849=1,IF(AG849&lt;=0,0,CE849*MAX(1,IF(H849&gt;0,AG849/H849,1))),IF(R849&gt;0,AH849/R849,0))/MAX(0.1,N(Parameter!$M$21)))</f>
        <v>0.00961538461538462</v>
      </c>
      <c r="AJ849" s="62" t="n">
        <f aca="false">AI849*CC849</f>
        <v>1.49038461538462</v>
      </c>
      <c r="AK849" s="63" t="n">
        <f aca="false">IF(LEFT(Cockpit!$C$5,1)="A",H849,IF(CI849=1,(CL849+CJ849)/2,IF(LEFT(Cockpit!$C$5,1)="B",(CL849+AM849)/2,MAX((CL849+AM849)/2,H849))))</f>
        <v>29</v>
      </c>
      <c r="AL849" s="62" t="n">
        <f aca="false">AK849*G849</f>
        <v>73.95</v>
      </c>
      <c r="AM849" s="62" t="n">
        <f aca="false">ROUNDUP(CL849+MAX(CM849,2*(J849/IF(CH849&gt;0,CH849,MAX(0.1,N(Cockpit!$C$6)))-CL849)),0)</f>
        <v>57</v>
      </c>
      <c r="AN849" s="63" t="n">
        <f aca="false">IF(AJ849&gt;0,J849/AJ849,-1)</f>
        <v>36.2322580645161</v>
      </c>
      <c r="AO849" s="63" t="n">
        <f aca="false">IF(AND(OR(CG849="L1",CG849="L23",CG849="LIFT"),AJ849&gt;0),SUMIFS($AJ$7:$AJ$1843,$CG$7:$CG$1843,CG849,$AN$7:$AN$1843,"&gt;"&amp;AN849)+SUMIFS($AJ$7:$AJ$1843,$CG$7:$CG$1843,CG849,$AN$7:$AN$1843,AN849,$BX$7:$BX$1843,"&lt;="&amp;BX849),"")</f>
        <v>1282.19230769231</v>
      </c>
      <c r="AP849" s="70" t="n">
        <f aca="false">IF(AO849="",0,MAX(0,MIN(1,(IF(CG849="L1",Parameter!$H$5,IF(CG849="L23",Parameter!$H$6+Parameter!$H$7,Parameter!$H$5+Parameter!$H$6+Parameter!$H$7))-(AO849-AJ849))/AJ849)))</f>
        <v>1</v>
      </c>
      <c r="AQ849" s="62" t="n">
        <f aca="false">IF(LEFT(Cockpit!$I$5,1)="A",H849,IF(Parameter!$E$30="MAX-Bestand",IF(CI849=1,CJ849,IF(LEFT(Cockpit!$I$5,1)="B",AW849,MAX(AW849,H849))),ROUNDUP(AU849,0)))</f>
        <v>30</v>
      </c>
      <c r="AR849" s="62" t="n">
        <f aca="false">IF(CA849=1,0,ROUNDUP(AQ849/BZ849,0))</f>
        <v>1</v>
      </c>
      <c r="AS849" s="64" t="n">
        <f aca="false">IF(CR849&gt;0,CR849*MAX(1,AQ849/X849),IF(CA849=1,IF(AQ849&lt;=0,0,CE849*MAX(1,IF(H849&gt;0,AQ849/H849,1))),IF(R849&gt;0,AR849/R849,0))/MAX(0.1,N(Parameter!$M$21)))</f>
        <v>0.00961538461538462</v>
      </c>
      <c r="AT849" s="62" t="n">
        <f aca="false">AS849*CC849</f>
        <v>1.49038461538462</v>
      </c>
      <c r="AU849" s="63" t="n">
        <f aca="false">IF(LEFT(Cockpit!$I$5,1)="A",H849,IF(CI849=1,(CL849+CJ849)/2,IF(LEFT(Cockpit!$I$5,1)="B",(CL849+AW849)/2,MAX((CL849+AW849)/2,H849))))</f>
        <v>29.5</v>
      </c>
      <c r="AV849" s="62" t="n">
        <f aca="false">AU849*G849</f>
        <v>75.225</v>
      </c>
      <c r="AW849" s="62" t="n">
        <f aca="false">ROUNDUP(CL849+MAX(CM849,2*(J849/IF(CH849&gt;0,CH849,MAX(0.1,N(Cockpit!$I$6)))-CL849)),0)</f>
        <v>57</v>
      </c>
      <c r="AX849" s="63" t="n">
        <f aca="false">IF(AT849&gt;0,J849/AT849,-1)</f>
        <v>36.2322580645161</v>
      </c>
      <c r="AY849" s="63" t="n">
        <f aca="false">IF(AND(OR(CG849="L1",CG849="L23",CG849="LIFT"),AT849&gt;0),SUMIFS($AT$7:$AT$1843,$CG$7:$CG$1843,CG849,$AX$7:$AX$1843,"&gt;"&amp;AX849)+SUMIFS($AT$7:$AT$1843,$CG$7:$CG$1843,CG849,$AX$7:$AX$1843,AX849,$BX$7:$BX$1843,"&lt;="&amp;BX849),"")</f>
        <v>1600.74404761905</v>
      </c>
      <c r="AZ849" s="70" t="n">
        <f aca="false">IF(AY849="",0,MAX(0,MIN(1,(IF(CG849="L1",Parameter!$H$5,IF(CG849="L23",Parameter!$H$6+Parameter!$H$7,Parameter!$H$5+Parameter!$H$6+Parameter!$H$7))-(AY849-AT849))/AT849)))</f>
        <v>1</v>
      </c>
      <c r="BA849" s="62" t="n">
        <f aca="false">IF(LEFT(Cockpit!$O$5,1)="A",H849,IF(Parameter!$E$30="MAX-Bestand",IF(CI849=1,CJ849,IF(LEFT(Cockpit!$O$5,1)="B",BG849,MAX(BG849,H849))),ROUNDUP(BE849,0)))</f>
        <v>30</v>
      </c>
      <c r="BB849" s="62" t="n">
        <f aca="false">IF(CA849=1,0,ROUNDUP(BA849/BZ849,0))</f>
        <v>1</v>
      </c>
      <c r="BC849" s="64" t="n">
        <f aca="false">IF(CR849&gt;0,CR849*MAX(1,BA849/X849),IF(CA849=1,IF(BA849&lt;=0,0,CE849*MAX(1,IF(H849&gt;0,BA849/H849,1))),IF(R849&gt;0,BB849/R849,0))/MAX(0.1,N(Parameter!$M$21)))</f>
        <v>0.00961538461538462</v>
      </c>
      <c r="BD849" s="62" t="n">
        <f aca="false">BC849*CC849</f>
        <v>1.49038461538462</v>
      </c>
      <c r="BE849" s="63" t="n">
        <f aca="false">IF(LEFT(Cockpit!$O$5,1)="A",H849,IF(CI849=1,(CL849+CJ849)/2,IF(LEFT(Cockpit!$O$5,1)="B",(CL849+BG849)/2,MAX((CL849+BG849)/2,H849))))</f>
        <v>29.5</v>
      </c>
      <c r="BF849" s="62" t="n">
        <f aca="false">BE849*G849</f>
        <v>75.225</v>
      </c>
      <c r="BG849" s="62" t="n">
        <f aca="false">ROUNDUP(CL849+MAX(CM849,2*(J849/IF(CH849&gt;0,CH849,MAX(0.1,N(Cockpit!$O$6)))-CL849)),0)</f>
        <v>57</v>
      </c>
      <c r="BH849" s="63" t="n">
        <f aca="false">IF(BD849&gt;0,J849/BD849,-1)</f>
        <v>36.2322580645161</v>
      </c>
      <c r="BI849" s="63" t="n">
        <f aca="false">IF(AND(OR(CG849="L1",CG849="L23",CG849="LIFT"),BD849&gt;0),SUMIFS($BD$7:$BD$1843,$CG$7:$CG$1843,CG849,$BH$7:$BH$1843,"&gt;"&amp;BH849)+SUMIFS($BD$7:$BD$1843,$CG$7:$CG$1843,CG849,$BH$7:$BH$1843,BH849,$BX$7:$BX$1843,"&lt;="&amp;BX849),"")</f>
        <v>1528.94551282051</v>
      </c>
      <c r="BJ849" s="70" t="n">
        <f aca="false">IF(BI849="",0,MAX(0,MIN(1,(IF(CG849="L1",Parameter!$H$5,IF(CG849="L23",Parameter!$H$6+Parameter!$H$7,Parameter!$H$5+Parameter!$H$6+Parameter!$H$7))-(BI849-BD849))/BD849)))</f>
        <v>1</v>
      </c>
      <c r="BK849" s="60" t="str">
        <f aca="false">IF(AJ849&lt;=0,"",IF(CG849="Aussen","Aussenlager",IF(CG849="-","Nicht im Lift",IF(AP849&gt;=1,"Lift",IF(AP849&lt;=0,"Aussenlager","teilweise")))))</f>
        <v>Lift</v>
      </c>
      <c r="BL849" s="60" t="str">
        <f aca="false">IF(AT849&lt;=0,"",IF(CG849="Aussen","Aussenlager",IF(CG849="-","Nicht im Lift",IF(AZ849&gt;=1,"Lift",IF(AZ849&lt;=0,"Aussenlager","teilweise")))))</f>
        <v>Lift</v>
      </c>
      <c r="BM849" s="60" t="str">
        <f aca="false">IF(BD849&lt;=0,"",IF(CG849="Aussen","Aussenlager",IF(CG849="-","Nicht im Lift",IF(BJ849&gt;=1,"Lift",IF(BJ849&lt;=0,"Aussenlager","teilweise")))))</f>
        <v>Lift</v>
      </c>
      <c r="BN849" s="60" t="str">
        <f aca="false">IF(A849="","",IF(BW849=1,"Neu; ","")&amp;IF(AND(BW849=0,BR849&lt;0),"negativer Bestand (Export "&amp;BR849&amp;"); ","")&amp;IF(J849&lt;=0,"Kein Verbrauch; ","")&amp;IF(CR849&gt;0,"Lift "&amp;W849&amp;" lt. Liftbericht (Fach "&amp;X849&amp;" Stk); ",IF(CB849=1,"Gebinde geschätzt ("&amp;T849&amp;"); ",IF(CA849=1,"Lose – Tablare geschätzt; ","")))&amp;IF(H849&gt;AW849,"Überbestand "&amp;ROUND(H849-AW849,0)&amp;" Stk / CHF "&amp;ROUND((H849-AW849)*G849,0)&amp;"; ","")&amp;IF(AND(CI849=1,CJ849&lt;CK849),"MAX &lt; MB+LG; ","")&amp;IF(AND(CQ849&gt;0,CP849*10&gt;CQ849),"zu hoch für Tablar; ","")&amp;IF(AND(BW849=0,OR(CI849=1,AB849&lt;&gt;"",U849&lt;&gt;"",V849&lt;&gt;"",AC849&lt;&gt;"")),"manuell übersteuert; ","")&amp;IF(AND(CA849=0,R849=0),"Gebinde unbekannt / Stellmass fehlt; ","")&amp;IF(AND(CA849=0,N(V849)&lt;=0,N(Q849)&lt;=0),"Menge pro Gebinde fehlt (Ist = 1 Gebinde); ","")&amp;BV849)</f>
        <v/>
      </c>
      <c r="BO849" s="60"/>
      <c r="BP849" s="60"/>
      <c r="BQ849" s="67"/>
      <c r="BR849" s="62" t="n">
        <v>0</v>
      </c>
      <c r="BS849" s="62" t="n">
        <v>29</v>
      </c>
      <c r="BT849" s="61" t="n">
        <v>-15.9500000000002</v>
      </c>
      <c r="BU849" s="62" t="n">
        <v>54</v>
      </c>
      <c r="BV849" s="60"/>
      <c r="BW849" s="65" t="n">
        <v>0</v>
      </c>
      <c r="BX849" s="65" t="n">
        <v>849</v>
      </c>
      <c r="BY849" s="60" t="str">
        <f aca="false">IF(U849&lt;&gt;"",UPPER(TRIM(U849)),IF(CB849=1,UPPER(VLOOKUP(T849,Parameter!$I$27:$K$29,2,0)),IF(P849="","LOSE",P849)))</f>
        <v>S32</v>
      </c>
      <c r="BZ849" s="62" t="n">
        <f aca="false">IF(BY849="LOSE",1,IF(N(V849)&gt;0,V849,IF(CB849=1,MAX(1,N(VLOOKUP(T849,Parameter!$I$27:$K$29,3,0)),H849,N(N849)),IF(N(Q849)&gt;0,Q849,MAX(1,H849)))))</f>
        <v>46</v>
      </c>
      <c r="CA849" s="65" t="n">
        <f aca="false">IF(BY849="LOSE",1,0)</f>
        <v>0</v>
      </c>
      <c r="CB849" s="65" t="n">
        <f aca="false">IF(AND(U849="",OR(P849="",P849="LOSE"),T849&lt;&gt;"",N(S849)&lt;=0,ISNUMBER(MATCH(T849,Parameter!$I$27:$I$29,0))),1,0)</f>
        <v>0</v>
      </c>
      <c r="CC849" s="65" t="n">
        <f aca="false">IF(CR849&gt;0,INDEX(Parameter!$H$5:$H$7,W849)/INDEX(Parameter!$E$5:$E$7,W849),IF(AND(CA849=0,N(IFERROR(VLOOKUP(BY849,'Gebinde-Kategorie'!$A$5:$N$45,14,0),0))&gt;0),VLOOKUP(BY849,'Gebinde-Kategorie'!$A$5:$N$45,14,0)*10+Parameter!$M$23,Parameter!$M$24))</f>
        <v>155</v>
      </c>
      <c r="CD849" s="60" t="str">
        <f aca="false">IF(AND(Parameter!$B$19="Ja",E849&lt;&gt;"",ISNUMBER(MATCH(E849,Parameter!$I$35:$I$52,0))),VLOOKUP(E849,Parameter!$I$35:$J$52,2,0),IFERROR(VLOOKUP(D849,Parameter!$A$35:$C$64,2,0),"Nein"))</f>
        <v>2+3</v>
      </c>
      <c r="CE849" s="64" t="n">
        <f aca="false">IF(CA849=0,0,IF(N(S849)&gt;0,S849,IFERROR(VLOOKUP(D849,Parameter!$A$35:$C$64,3,0)+0,0)))</f>
        <v>0</v>
      </c>
      <c r="CF849" s="60" t="n">
        <f aca="false">IF(AB849&lt;&gt;"",AB849,AA849)</f>
        <v>2</v>
      </c>
      <c r="CG849" s="60" t="str">
        <f aca="false">IF(OR(CF849=1,CF849=2,CF849=3),IF(Parameter!$E$27="Ja","LIFT",IF(CF849=1,"L1","L23")),IF(CF849="Aussen","Aussen","-"))</f>
        <v>LIFT</v>
      </c>
      <c r="CH849" s="71" t="n">
        <f aca="false">IF(N(AC849)&gt;0,AC849,0)</f>
        <v>0</v>
      </c>
      <c r="CI849" s="65" t="n">
        <f aca="false">IF(ISNUMBER(AF849),1,0)</f>
        <v>0</v>
      </c>
      <c r="CJ849" s="62" t="n">
        <f aca="false">N(AF849)</f>
        <v>0</v>
      </c>
      <c r="CK849" s="62" t="n">
        <f aca="false">N(M849)+N(N849)</f>
        <v>57</v>
      </c>
      <c r="CL849" s="62" t="n">
        <f aca="false">N(M849)</f>
        <v>2</v>
      </c>
      <c r="CM849" s="62" t="n">
        <f aca="false">N(N849)</f>
        <v>55</v>
      </c>
      <c r="CN849" s="62" t="n">
        <f aca="false">ROUNDUP(H849/BZ849,0)</f>
        <v>1</v>
      </c>
      <c r="CO849" s="62" t="n">
        <f aca="false">ROUNDUP(CJ849/BZ849,0)</f>
        <v>0</v>
      </c>
      <c r="CP849" s="65" t="n">
        <f aca="false">IF(CA849=1,0,IFERROR(VLOOKUP(BY849,'Gebinde-Kategorie'!$A$5:$N$45,5,0)+0,0))</f>
        <v>8</v>
      </c>
      <c r="CQ849" s="65" t="n">
        <f aca="false">IFERROR(IF(OR(CF849=1,CF849=2,CF849=3),N(INDEX(Parameter!$I$5:$I$7,CF849)),0),0)</f>
        <v>0</v>
      </c>
      <c r="CR849" s="64" t="n">
        <f aca="false">IF(AND(Parameter!$B$21="Ja",ISNUMBER(W849),N(X849)&gt;0),IFERROR(N(INDEX(Parameter!$L$5:$L$7,W849))*INDEX(Parameter!$E$5:$E$7,W849)*X849/SUMIFS($X$7:$X$1843,$W$7:$W$1843,W849),0),0)</f>
        <v>0</v>
      </c>
      <c r="CS849" s="62" t="n">
        <f aca="false">IF(AND(OR(CG849="L1",CG849="L23",CG849="LIFT"),H849&gt;0),CC849*IF(CR849&gt;0,CR849*MAX(1,H849/X849),IF(CA849=1,CE849,IF(R849&gt;0,CN849/R849,0))/MAX(0.1,N(Parameter!$M$21))),"")</f>
        <v>1.49038461538462</v>
      </c>
      <c r="CT849" s="64" t="n">
        <f aca="false">IF(CS849="","",J849/H849)</f>
        <v>1.86206896551724</v>
      </c>
      <c r="CU849" s="62" t="n">
        <f aca="false">IF(CS849="","",H849*G849)</f>
        <v>73.95</v>
      </c>
      <c r="CV849" s="63" t="n">
        <f aca="false">IF(CS849="","",(CL849+ROUNDUP(CL849+MAX(CM849,2*(J849/MAX(0.1,N(Einkauf!$C$6))-CL849)),0))/2)</f>
        <v>29.5</v>
      </c>
      <c r="CW849" s="62" t="n">
        <f aca="false">IF(CS849="","",MAX(0,H849-CV849)*G849)</f>
        <v>0</v>
      </c>
      <c r="CX849" s="62" t="n">
        <f aca="false">IF(CS849="","",CS849*MAX(0,1-CV849/H849))</f>
        <v>0</v>
      </c>
      <c r="CY849" s="64" t="n">
        <f aca="false">IF(CS849="","",PERCENTRANK($CS$7:$CS$1843,CS849)+PERCENTRANK($CU$7:$CU$1843,CU849)+1-PERCENTRANK($CT$7:$CT$1843,CT849))</f>
        <v>0.503</v>
      </c>
      <c r="CZ849" s="72" t="n">
        <f aca="false">IF(CS849="","",CHOOSE(MATCH(Einkauf!$C$5,Parameter!$G$23:$G$27,0),CY849,CS849,CU849,-CT849,CW849)+ROW()/1000000000)</f>
        <v>0.503000849</v>
      </c>
    </row>
    <row r="850" customFormat="false" ht="15" hidden="false" customHeight="false" outlineLevel="0" collapsed="false">
      <c r="A850" s="60" t="s">
        <v>1664</v>
      </c>
      <c r="B850" s="60" t="s">
        <v>447</v>
      </c>
      <c r="C850" s="60" t="s">
        <v>206</v>
      </c>
      <c r="D850" s="60" t="s">
        <v>226</v>
      </c>
      <c r="E850" s="60" t="s">
        <v>227</v>
      </c>
      <c r="F850" s="60" t="s">
        <v>260</v>
      </c>
      <c r="G850" s="61" t="n">
        <v>0.64</v>
      </c>
      <c r="H850" s="62" t="n">
        <f aca="false">MAX(0,IF(AND(Parameter!$B$21="Ja",ISNUMBER(Y850)),Y850,IF(Parameter!$B$20="Jahresanfang 2025 + Export",BS850+BR850,BR850)))</f>
        <v>83</v>
      </c>
      <c r="I850" s="62" t="n">
        <f aca="false">H850*G850</f>
        <v>53.12</v>
      </c>
      <c r="J850" s="62" t="n">
        <f aca="false">BU850*Parameter!$B$18</f>
        <v>254</v>
      </c>
      <c r="K850" s="63" t="n">
        <v>86.5</v>
      </c>
      <c r="L850" s="64" t="n">
        <v>2.9364161849711</v>
      </c>
      <c r="M850" s="62" t="n">
        <v>14</v>
      </c>
      <c r="N850" s="62" t="n">
        <v>255</v>
      </c>
      <c r="O850" s="65" t="n">
        <v>21</v>
      </c>
      <c r="P850" s="60" t="s">
        <v>344</v>
      </c>
      <c r="Q850" s="62" t="n">
        <v>126</v>
      </c>
      <c r="R850" s="65" t="n">
        <f aca="false">IF(CA850=1,0,IFERROR(VLOOKUP(BY850,'Gebinde-Kategorie'!$A$5:$N$45,13,0)+0,0))</f>
        <v>26</v>
      </c>
      <c r="S850" s="66"/>
      <c r="T850" s="67"/>
      <c r="U850" s="67"/>
      <c r="V850" s="67"/>
      <c r="W850" s="60"/>
      <c r="X850" s="62"/>
      <c r="Y850" s="62"/>
      <c r="Z850" s="60" t="n">
        <v>3</v>
      </c>
      <c r="AA850" s="60" t="n">
        <f aca="false">IF(A850="","",IF(AND(Parameter!$B$21="Ja",ISNUMBER(W850)),W850,IF(AND(Parameter!$E$27="Ja",ISNUMBER(Z850),CD850&lt;&gt;"Nein"),Z850,IF(CD850="2+3",IF(ISNUMBER(SEARCH("grosser Artikel",BV850)),2,IFERROR(VLOOKUP(BY850,Parameter!$F$35:$G$64,2,0),2)),IF(OR(CD850="Nein",CD850=""),"-",CD850)))))</f>
        <v>3</v>
      </c>
      <c r="AB850" s="67"/>
      <c r="AC850" s="68"/>
      <c r="AD850" s="62" t="n">
        <f aca="false">AW850</f>
        <v>269</v>
      </c>
      <c r="AE850" s="62" t="n">
        <f aca="false">MAX(AW850,H850)</f>
        <v>269</v>
      </c>
      <c r="AF850" s="69"/>
      <c r="AG850" s="62" t="n">
        <f aca="false">IF(LEFT(Cockpit!$C$5,1)="A",H850,IF(Parameter!$E$30="MAX-Bestand",IF(CI850=1,CJ850,IF(LEFT(Cockpit!$C$5,1)="B",AM850,MAX(AM850,H850))),ROUNDUP(AK850,0)))</f>
        <v>83</v>
      </c>
      <c r="AH850" s="62" t="n">
        <f aca="false">IF(CA850=1,0,ROUNDUP(AG850/BZ850,0))</f>
        <v>1</v>
      </c>
      <c r="AI850" s="64" t="n">
        <f aca="false">IF(CR850&gt;0,CR850*MAX(1,AG850/X850),IF(CA850=1,IF(AG850&lt;=0,0,CE850*MAX(1,IF(H850&gt;0,AG850/H850,1))),IF(R850&gt;0,AH850/R850,0))/MAX(0.1,N(Parameter!$M$21)))</f>
        <v>0.0384615384615385</v>
      </c>
      <c r="AJ850" s="62" t="n">
        <f aca="false">AI850*CC850</f>
        <v>5.96153846153846</v>
      </c>
      <c r="AK850" s="63" t="n">
        <f aca="false">IF(LEFT(Cockpit!$C$5,1)="A",H850,IF(CI850=1,(CL850+CJ850)/2,IF(LEFT(Cockpit!$C$5,1)="B",(CL850+AM850)/2,MAX((CL850+AM850)/2,H850))))</f>
        <v>83</v>
      </c>
      <c r="AL850" s="62" t="n">
        <f aca="false">AK850*G850</f>
        <v>53.12</v>
      </c>
      <c r="AM850" s="62" t="n">
        <f aca="false">ROUNDUP(CL850+MAX(CM850,2*(J850/IF(CH850&gt;0,CH850,MAX(0.1,N(Cockpit!$C$6)))-CL850)),0)</f>
        <v>269</v>
      </c>
      <c r="AN850" s="63" t="n">
        <f aca="false">IF(AJ850&gt;0,J850/AJ850,-1)</f>
        <v>42.6064516129032</v>
      </c>
      <c r="AO850" s="63" t="n">
        <f aca="false">IF(AND(OR(CG850="L1",CG850="L23",CG850="LIFT"),AJ850&gt;0),SUMIFS($AJ$7:$AJ$1843,$CG$7:$CG$1843,CG850,$AN$7:$AN$1843,"&gt;"&amp;AN850)+SUMIFS($AJ$7:$AJ$1843,$CG$7:$CG$1843,CG850,$AN$7:$AN$1843,AN850,$BX$7:$BX$1843,"&lt;="&amp;BX850),"")</f>
        <v>1181.51923076923</v>
      </c>
      <c r="AP850" s="70" t="n">
        <f aca="false">IF(AO850="",0,MAX(0,MIN(1,(IF(CG850="L1",Parameter!$H$5,IF(CG850="L23",Parameter!$H$6+Parameter!$H$7,Parameter!$H$5+Parameter!$H$6+Parameter!$H$7))-(AO850-AJ850))/AJ850)))</f>
        <v>1</v>
      </c>
      <c r="AQ850" s="62" t="n">
        <f aca="false">IF(LEFT(Cockpit!$I$5,1)="A",H850,IF(Parameter!$E$30="MAX-Bestand",IF(CI850=1,CJ850,IF(LEFT(Cockpit!$I$5,1)="B",AW850,MAX(AW850,H850))),ROUNDUP(AU850,0)))</f>
        <v>142</v>
      </c>
      <c r="AR850" s="62" t="n">
        <f aca="false">IF(CA850=1,0,ROUNDUP(AQ850/BZ850,0))</f>
        <v>2</v>
      </c>
      <c r="AS850" s="64" t="n">
        <f aca="false">IF(CR850&gt;0,CR850*MAX(1,AQ850/X850),IF(CA850=1,IF(AQ850&lt;=0,0,CE850*MAX(1,IF(H850&gt;0,AQ850/H850,1))),IF(R850&gt;0,AR850/R850,0))/MAX(0.1,N(Parameter!$M$21)))</f>
        <v>0.0769230769230769</v>
      </c>
      <c r="AT850" s="62" t="n">
        <f aca="false">AS850*CC850</f>
        <v>11.9230769230769</v>
      </c>
      <c r="AU850" s="63" t="n">
        <f aca="false">IF(LEFT(Cockpit!$I$5,1)="A",H850,IF(CI850=1,(CL850+CJ850)/2,IF(LEFT(Cockpit!$I$5,1)="B",(CL850+AW850)/2,MAX((CL850+AW850)/2,H850))))</f>
        <v>141.5</v>
      </c>
      <c r="AV850" s="62" t="n">
        <f aca="false">AU850*G850</f>
        <v>90.56</v>
      </c>
      <c r="AW850" s="62" t="n">
        <f aca="false">ROUNDUP(CL850+MAX(CM850,2*(J850/IF(CH850&gt;0,CH850,MAX(0.1,N(Cockpit!$I$6)))-CL850)),0)</f>
        <v>269</v>
      </c>
      <c r="AX850" s="63" t="n">
        <f aca="false">IF(AT850&gt;0,J850/AT850,-1)</f>
        <v>21.3032258064516</v>
      </c>
      <c r="AY850" s="63" t="n">
        <f aca="false">IF(AND(OR(CG850="L1",CG850="L23",CG850="LIFT"),AT850&gt;0),SUMIFS($AT$7:$AT$1843,$CG$7:$CG$1843,CG850,$AX$7:$AX$1843,"&gt;"&amp;AX850)+SUMIFS($AT$7:$AT$1843,$CG$7:$CG$1843,CG850,$AX$7:$AX$1843,AX850,$BX$7:$BX$1843,"&lt;="&amp;BX850),"")</f>
        <v>2262.45787545788</v>
      </c>
      <c r="AZ850" s="70" t="n">
        <f aca="false">IF(AY850="",0,MAX(0,MIN(1,(IF(CG850="L1",Parameter!$H$5,IF(CG850="L23",Parameter!$H$6+Parameter!$H$7,Parameter!$H$5+Parameter!$H$6+Parameter!$H$7))-(AY850-AT850))/AT850)))</f>
        <v>1</v>
      </c>
      <c r="BA850" s="62" t="n">
        <f aca="false">IF(LEFT(Cockpit!$O$5,1)="A",H850,IF(Parameter!$E$30="MAX-Bestand",IF(CI850=1,CJ850,IF(LEFT(Cockpit!$O$5,1)="B",BG850,MAX(BG850,H850))),ROUNDUP(BE850,0)))</f>
        <v>142</v>
      </c>
      <c r="BB850" s="62" t="n">
        <f aca="false">IF(CA850=1,0,ROUNDUP(BA850/BZ850,0))</f>
        <v>2</v>
      </c>
      <c r="BC850" s="64" t="n">
        <f aca="false">IF(CR850&gt;0,CR850*MAX(1,BA850/X850),IF(CA850=1,IF(BA850&lt;=0,0,CE850*MAX(1,IF(H850&gt;0,BA850/H850,1))),IF(R850&gt;0,BB850/R850,0))/MAX(0.1,N(Parameter!$M$21)))</f>
        <v>0.0769230769230769</v>
      </c>
      <c r="BD850" s="62" t="n">
        <f aca="false">BC850*CC850</f>
        <v>11.9230769230769</v>
      </c>
      <c r="BE850" s="63" t="n">
        <f aca="false">IF(LEFT(Cockpit!$O$5,1)="A",H850,IF(CI850=1,(CL850+CJ850)/2,IF(LEFT(Cockpit!$O$5,1)="B",(CL850+BG850)/2,MAX((CL850+BG850)/2,H850))))</f>
        <v>141.5</v>
      </c>
      <c r="BF850" s="62" t="n">
        <f aca="false">BE850*G850</f>
        <v>90.56</v>
      </c>
      <c r="BG850" s="62" t="n">
        <f aca="false">ROUNDUP(CL850+MAX(CM850,2*(J850/IF(CH850&gt;0,CH850,MAX(0.1,N(Cockpit!$O$6)))-CL850)),0)</f>
        <v>269</v>
      </c>
      <c r="BH850" s="63" t="n">
        <f aca="false">IF(BD850&gt;0,J850/BD850,-1)</f>
        <v>21.3032258064516</v>
      </c>
      <c r="BI850" s="63" t="n">
        <f aca="false">IF(AND(OR(CG850="L1",CG850="L23",CG850="LIFT"),BD850&gt;0),SUMIFS($BD$7:$BD$1843,$CG$7:$CG$1843,CG850,$BH$7:$BH$1843,"&gt;"&amp;BH850)+SUMIFS($BD$7:$BD$1843,$CG$7:$CG$1843,CG850,$BH$7:$BH$1843,BH850,$BX$7:$BX$1843,"&lt;="&amp;BX850),"")</f>
        <v>2175.86950549451</v>
      </c>
      <c r="BJ850" s="70" t="n">
        <f aca="false">IF(BI850="",0,MAX(0,MIN(1,(IF(CG850="L1",Parameter!$H$5,IF(CG850="L23",Parameter!$H$6+Parameter!$H$7,Parameter!$H$5+Parameter!$H$6+Parameter!$H$7))-(BI850-BD850))/BD850)))</f>
        <v>1</v>
      </c>
      <c r="BK850" s="60" t="str">
        <f aca="false">IF(AJ850&lt;=0,"",IF(CG850="Aussen","Aussenlager",IF(CG850="-","Nicht im Lift",IF(AP850&gt;=1,"Lift",IF(AP850&lt;=0,"Aussenlager","teilweise")))))</f>
        <v>Lift</v>
      </c>
      <c r="BL850" s="60" t="str">
        <f aca="false">IF(AT850&lt;=0,"",IF(CG850="Aussen","Aussenlager",IF(CG850="-","Nicht im Lift",IF(AZ850&gt;=1,"Lift",IF(AZ850&lt;=0,"Aussenlager","teilweise")))))</f>
        <v>Lift</v>
      </c>
      <c r="BM850" s="60" t="str">
        <f aca="false">IF(BD850&lt;=0,"",IF(CG850="Aussen","Aussenlager",IF(CG850="-","Nicht im Lift",IF(BJ850&gt;=1,"Lift",IF(BJ850&lt;=0,"Aussenlager","teilweise")))))</f>
        <v>Lift</v>
      </c>
      <c r="BN850" s="60" t="str">
        <f aca="false">IF(A850="","",IF(BW850=1,"Neu; ","")&amp;IF(AND(BW850=0,BR850&lt;0),"negativer Bestand (Export "&amp;BR850&amp;"); ","")&amp;IF(J850&lt;=0,"Kein Verbrauch; ","")&amp;IF(CR850&gt;0,"Lift "&amp;W850&amp;" lt. Liftbericht (Fach "&amp;X850&amp;" Stk); ",IF(CB850=1,"Gebinde geschätzt ("&amp;T850&amp;"); ",IF(CA850=1,"Lose – Tablare geschätzt; ","")))&amp;IF(H850&gt;AW850,"Überbestand "&amp;ROUND(H850-AW850,0)&amp;" Stk / CHF "&amp;ROUND((H850-AW850)*G850,0)&amp;"; ","")&amp;IF(AND(CI850=1,CJ850&lt;CK850),"MAX &lt; MB+LG; ","")&amp;IF(AND(CQ850&gt;0,CP850*10&gt;CQ850),"zu hoch für Tablar; ","")&amp;IF(AND(BW850=0,OR(CI850=1,AB850&lt;&gt;"",U850&lt;&gt;"",V850&lt;&gt;"",AC850&lt;&gt;"")),"manuell übersteuert; ","")&amp;IF(AND(CA850=0,R850=0),"Gebinde unbekannt / Stellmass fehlt; ","")&amp;IF(AND(CA850=0,N(V850)&lt;=0,N(Q850)&lt;=0),"Menge pro Gebinde fehlt (Ist = 1 Gebinde); ","")&amp;BV850)</f>
        <v>negativer Bestand (Export -37); </v>
      </c>
      <c r="BO850" s="60"/>
      <c r="BP850" s="60"/>
      <c r="BQ850" s="67"/>
      <c r="BR850" s="62" t="n">
        <v>-37</v>
      </c>
      <c r="BS850" s="62" t="n">
        <v>120</v>
      </c>
      <c r="BT850" s="61" t="n">
        <v>-16.48</v>
      </c>
      <c r="BU850" s="62" t="n">
        <v>254</v>
      </c>
      <c r="BV850" s="60"/>
      <c r="BW850" s="65" t="n">
        <v>0</v>
      </c>
      <c r="BX850" s="65" t="n">
        <v>850</v>
      </c>
      <c r="BY850" s="60" t="str">
        <f aca="false">IF(U850&lt;&gt;"",UPPER(TRIM(U850)),IF(CB850=1,UPPER(VLOOKUP(T850,Parameter!$I$27:$K$29,2,0)),IF(P850="","LOSE",P850)))</f>
        <v>S51</v>
      </c>
      <c r="BZ850" s="62" t="n">
        <f aca="false">IF(BY850="LOSE",1,IF(N(V850)&gt;0,V850,IF(CB850=1,MAX(1,N(VLOOKUP(T850,Parameter!$I$27:$K$29,3,0)),H850,N(N850)),IF(N(Q850)&gt;0,Q850,MAX(1,H850)))))</f>
        <v>126</v>
      </c>
      <c r="CA850" s="65" t="n">
        <f aca="false">IF(BY850="LOSE",1,0)</f>
        <v>0</v>
      </c>
      <c r="CB850" s="65" t="n">
        <f aca="false">IF(AND(U850="",OR(P850="",P850="LOSE"),T850&lt;&gt;"",N(S850)&lt;=0,ISNUMBER(MATCH(T850,Parameter!$I$27:$I$29,0))),1,0)</f>
        <v>0</v>
      </c>
      <c r="CC850" s="65" t="n">
        <f aca="false">IF(CR850&gt;0,INDEX(Parameter!$H$5:$H$7,W850)/INDEX(Parameter!$E$5:$E$7,W850),IF(AND(CA850=0,N(IFERROR(VLOOKUP(BY850,'Gebinde-Kategorie'!$A$5:$N$45,14,0),0))&gt;0),VLOOKUP(BY850,'Gebinde-Kategorie'!$A$5:$N$45,14,0)*10+Parameter!$M$23,Parameter!$M$24))</f>
        <v>155</v>
      </c>
      <c r="CD850" s="60" t="str">
        <f aca="false">IF(AND(Parameter!$B$19="Ja",E850&lt;&gt;"",ISNUMBER(MATCH(E850,Parameter!$I$35:$I$52,0))),VLOOKUP(E850,Parameter!$I$35:$J$52,2,0),IFERROR(VLOOKUP(D850,Parameter!$A$35:$C$64,2,0),"Nein"))</f>
        <v>2+3</v>
      </c>
      <c r="CE850" s="64" t="n">
        <f aca="false">IF(CA850=0,0,IF(N(S850)&gt;0,S850,IFERROR(VLOOKUP(D850,Parameter!$A$35:$C$64,3,0)+0,0)))</f>
        <v>0</v>
      </c>
      <c r="CF850" s="60" t="n">
        <f aca="false">IF(AB850&lt;&gt;"",AB850,AA850)</f>
        <v>3</v>
      </c>
      <c r="CG850" s="60" t="str">
        <f aca="false">IF(OR(CF850=1,CF850=2,CF850=3),IF(Parameter!$E$27="Ja","LIFT",IF(CF850=1,"L1","L23")),IF(CF850="Aussen","Aussen","-"))</f>
        <v>LIFT</v>
      </c>
      <c r="CH850" s="71" t="n">
        <f aca="false">IF(N(AC850)&gt;0,AC850,0)</f>
        <v>0</v>
      </c>
      <c r="CI850" s="65" t="n">
        <f aca="false">IF(ISNUMBER(AF850),1,0)</f>
        <v>0</v>
      </c>
      <c r="CJ850" s="62" t="n">
        <f aca="false">N(AF850)</f>
        <v>0</v>
      </c>
      <c r="CK850" s="62" t="n">
        <f aca="false">N(M850)+N(N850)</f>
        <v>269</v>
      </c>
      <c r="CL850" s="62" t="n">
        <f aca="false">N(M850)</f>
        <v>14</v>
      </c>
      <c r="CM850" s="62" t="n">
        <f aca="false">N(N850)</f>
        <v>255</v>
      </c>
      <c r="CN850" s="62" t="n">
        <f aca="false">ROUNDUP(H850/BZ850,0)</f>
        <v>1</v>
      </c>
      <c r="CO850" s="62" t="n">
        <f aca="false">ROUNDUP(CJ850/BZ850,0)</f>
        <v>0</v>
      </c>
      <c r="CP850" s="65" t="n">
        <f aca="false">IF(CA850=1,0,IFERROR(VLOOKUP(BY850,'Gebinde-Kategorie'!$A$5:$N$45,5,0)+0,0))</f>
        <v>11</v>
      </c>
      <c r="CQ850" s="65" t="n">
        <f aca="false">IFERROR(IF(OR(CF850=1,CF850=2,CF850=3),N(INDEX(Parameter!$I$5:$I$7,CF850)),0),0)</f>
        <v>0</v>
      </c>
      <c r="CR850" s="64" t="n">
        <f aca="false">IF(AND(Parameter!$B$21="Ja",ISNUMBER(W850),N(X850)&gt;0),IFERROR(N(INDEX(Parameter!$L$5:$L$7,W850))*INDEX(Parameter!$E$5:$E$7,W850)*X850/SUMIFS($X$7:$X$1843,$W$7:$W$1843,W850),0),0)</f>
        <v>0</v>
      </c>
      <c r="CS850" s="62" t="n">
        <f aca="false">IF(AND(OR(CG850="L1",CG850="L23",CG850="LIFT"),H850&gt;0),CC850*IF(CR850&gt;0,CR850*MAX(1,H850/X850),IF(CA850=1,CE850,IF(R850&gt;0,CN850/R850,0))/MAX(0.1,N(Parameter!$M$21))),"")</f>
        <v>5.96153846153846</v>
      </c>
      <c r="CT850" s="64" t="n">
        <f aca="false">IF(CS850="","",J850/H850)</f>
        <v>3.06024096385542</v>
      </c>
      <c r="CU850" s="62" t="n">
        <f aca="false">IF(CS850="","",H850*G850)</f>
        <v>53.12</v>
      </c>
      <c r="CV850" s="63" t="n">
        <f aca="false">IF(CS850="","",(CL850+ROUNDUP(CL850+MAX(CM850,2*(J850/MAX(0.1,N(Einkauf!$C$6))-CL850)),0))/2)</f>
        <v>141.5</v>
      </c>
      <c r="CW850" s="62" t="n">
        <f aca="false">IF(CS850="","",MAX(0,H850-CV850)*G850)</f>
        <v>0</v>
      </c>
      <c r="CX850" s="62" t="n">
        <f aca="false">IF(CS850="","",CS850*MAX(0,1-CV850/H850))</f>
        <v>0</v>
      </c>
      <c r="CY850" s="64" t="n">
        <f aca="false">IF(CS850="","",PERCENTRANK($CS$7:$CS$1843,CS850)+PERCENTRANK($CU$7:$CU$1843,CU850)+1-PERCENTRANK($CT$7:$CT$1843,CT850))</f>
        <v>0.618</v>
      </c>
      <c r="CZ850" s="72" t="n">
        <f aca="false">IF(CS850="","",CHOOSE(MATCH(Einkauf!$C$5,Parameter!$G$23:$G$27,0),CY850,CS850,CU850,-CT850,CW850)+ROW()/1000000000)</f>
        <v>0.61800085</v>
      </c>
    </row>
    <row r="851" customFormat="false" ht="15" hidden="false" customHeight="false" outlineLevel="0" collapsed="false">
      <c r="A851" s="60" t="s">
        <v>1665</v>
      </c>
      <c r="B851" s="60" t="s">
        <v>1666</v>
      </c>
      <c r="C851" s="60" t="s">
        <v>206</v>
      </c>
      <c r="D851" s="60" t="s">
        <v>226</v>
      </c>
      <c r="E851" s="60" t="s">
        <v>227</v>
      </c>
      <c r="F851" s="60" t="s">
        <v>260</v>
      </c>
      <c r="G851" s="61" t="n">
        <v>0.03</v>
      </c>
      <c r="H851" s="62" t="n">
        <f aca="false">MAX(0,IF(AND(Parameter!$B$21="Ja",ISNUMBER(Y851)),Y851,IF(Parameter!$B$20="Jahresanfang 2025 + Export",BS851+BR851,BR851)))</f>
        <v>350</v>
      </c>
      <c r="I851" s="62" t="n">
        <f aca="false">H851*G851</f>
        <v>10.5</v>
      </c>
      <c r="J851" s="62" t="n">
        <f aca="false">BU851*Parameter!$B$18</f>
        <v>150</v>
      </c>
      <c r="K851" s="63" t="n">
        <v>800</v>
      </c>
      <c r="L851" s="64" t="n">
        <v>0.1875</v>
      </c>
      <c r="M851" s="62" t="n">
        <v>5</v>
      </c>
      <c r="N851" s="62" t="n">
        <v>150</v>
      </c>
      <c r="O851" s="65" t="n">
        <v>14</v>
      </c>
      <c r="P851" s="60" t="s">
        <v>443</v>
      </c>
      <c r="Q851" s="62" t="n">
        <v>500</v>
      </c>
      <c r="R851" s="65" t="n">
        <f aca="false">IF(CA851=1,0,IFERROR(VLOOKUP(BY851,'Gebinde-Kategorie'!$A$5:$N$45,13,0)+0,0))</f>
        <v>280</v>
      </c>
      <c r="S851" s="66"/>
      <c r="T851" s="67"/>
      <c r="U851" s="67"/>
      <c r="V851" s="67"/>
      <c r="W851" s="60"/>
      <c r="X851" s="62"/>
      <c r="Y851" s="62"/>
      <c r="Z851" s="60" t="n">
        <v>2</v>
      </c>
      <c r="AA851" s="60" t="n">
        <f aca="false">IF(A851="","",IF(AND(Parameter!$B$21="Ja",ISNUMBER(W851)),W851,IF(AND(Parameter!$E$27="Ja",ISNUMBER(Z851),CD851&lt;&gt;"Nein"),Z851,IF(CD851="2+3",IF(ISNUMBER(SEARCH("grosser Artikel",BV851)),2,IFERROR(VLOOKUP(BY851,Parameter!$F$35:$G$64,2,0),2)),IF(OR(CD851="Nein",CD851=""),"-",CD851)))))</f>
        <v>2</v>
      </c>
      <c r="AB851" s="67"/>
      <c r="AC851" s="68"/>
      <c r="AD851" s="62" t="n">
        <f aca="false">AW851</f>
        <v>155</v>
      </c>
      <c r="AE851" s="62" t="n">
        <f aca="false">MAX(AW851,H851)</f>
        <v>350</v>
      </c>
      <c r="AF851" s="69"/>
      <c r="AG851" s="62" t="n">
        <f aca="false">IF(LEFT(Cockpit!$C$5,1)="A",H851,IF(Parameter!$E$30="MAX-Bestand",IF(CI851=1,CJ851,IF(LEFT(Cockpit!$C$5,1)="B",AM851,MAX(AM851,H851))),ROUNDUP(AK851,0)))</f>
        <v>350</v>
      </c>
      <c r="AH851" s="62" t="n">
        <f aca="false">IF(CA851=1,0,ROUNDUP(AG851/BZ851,0))</f>
        <v>1</v>
      </c>
      <c r="AI851" s="64" t="n">
        <f aca="false">IF(CR851&gt;0,CR851*MAX(1,AG851/X851),IF(CA851=1,IF(AG851&lt;=0,0,CE851*MAX(1,IF(H851&gt;0,AG851/H851,1))),IF(R851&gt;0,AH851/R851,0))/MAX(0.1,N(Parameter!$M$21)))</f>
        <v>0.00357142857142857</v>
      </c>
      <c r="AJ851" s="62" t="n">
        <f aca="false">AI851*CC851</f>
        <v>0.553571428571429</v>
      </c>
      <c r="AK851" s="63" t="n">
        <f aca="false">IF(LEFT(Cockpit!$C$5,1)="A",H851,IF(CI851=1,(CL851+CJ851)/2,IF(LEFT(Cockpit!$C$5,1)="B",(CL851+AM851)/2,MAX((CL851+AM851)/2,H851))))</f>
        <v>350</v>
      </c>
      <c r="AL851" s="62" t="n">
        <f aca="false">AK851*G851</f>
        <v>10.5</v>
      </c>
      <c r="AM851" s="62" t="n">
        <f aca="false">ROUNDUP(CL851+MAX(CM851,2*(J851/IF(CH851&gt;0,CH851,MAX(0.1,N(Cockpit!$C$6)))-CL851)),0)</f>
        <v>155</v>
      </c>
      <c r="AN851" s="63" t="n">
        <f aca="false">IF(AJ851&gt;0,J851/AJ851,-1)</f>
        <v>270.967741935484</v>
      </c>
      <c r="AO851" s="63" t="n">
        <f aca="false">IF(AND(OR(CG851="L1",CG851="L23",CG851="LIFT"),AJ851&gt;0),SUMIFS($AJ$7:$AJ$1843,$CG$7:$CG$1843,CG851,$AN$7:$AN$1843,"&gt;"&amp;AN851)+SUMIFS($AJ$7:$AJ$1843,$CG$7:$CG$1843,CG851,$AN$7:$AN$1843,AN851,$BX$7:$BX$1843,"&lt;="&amp;BX851),"")</f>
        <v>273.124084249084</v>
      </c>
      <c r="AP851" s="70" t="n">
        <f aca="false">IF(AO851="",0,MAX(0,MIN(1,(IF(CG851="L1",Parameter!$H$5,IF(CG851="L23",Parameter!$H$6+Parameter!$H$7,Parameter!$H$5+Parameter!$H$6+Parameter!$H$7))-(AO851-AJ851))/AJ851)))</f>
        <v>1</v>
      </c>
      <c r="AQ851" s="62" t="n">
        <f aca="false">IF(LEFT(Cockpit!$I$5,1)="A",H851,IF(Parameter!$E$30="MAX-Bestand",IF(CI851=1,CJ851,IF(LEFT(Cockpit!$I$5,1)="B",AW851,MAX(AW851,H851))),ROUNDUP(AU851,0)))</f>
        <v>350</v>
      </c>
      <c r="AR851" s="62" t="n">
        <f aca="false">IF(CA851=1,0,ROUNDUP(AQ851/BZ851,0))</f>
        <v>1</v>
      </c>
      <c r="AS851" s="64" t="n">
        <f aca="false">IF(CR851&gt;0,CR851*MAX(1,AQ851/X851),IF(CA851=1,IF(AQ851&lt;=0,0,CE851*MAX(1,IF(H851&gt;0,AQ851/H851,1))),IF(R851&gt;0,AR851/R851,0))/MAX(0.1,N(Parameter!$M$21)))</f>
        <v>0.00357142857142857</v>
      </c>
      <c r="AT851" s="62" t="n">
        <f aca="false">AS851*CC851</f>
        <v>0.553571428571429</v>
      </c>
      <c r="AU851" s="63" t="n">
        <f aca="false">IF(LEFT(Cockpit!$I$5,1)="A",H851,IF(CI851=1,(CL851+CJ851)/2,IF(LEFT(Cockpit!$I$5,1)="B",(CL851+AW851)/2,MAX((CL851+AW851)/2,H851))))</f>
        <v>350</v>
      </c>
      <c r="AV851" s="62" t="n">
        <f aca="false">AU851*G851</f>
        <v>10.5</v>
      </c>
      <c r="AW851" s="62" t="n">
        <f aca="false">ROUNDUP(CL851+MAX(CM851,2*(J851/IF(CH851&gt;0,CH851,MAX(0.1,N(Cockpit!$I$6)))-CL851)),0)</f>
        <v>155</v>
      </c>
      <c r="AX851" s="63" t="n">
        <f aca="false">IF(AT851&gt;0,J851/AT851,-1)</f>
        <v>270.967741935484</v>
      </c>
      <c r="AY851" s="63" t="n">
        <f aca="false">IF(AND(OR(CG851="L1",CG851="L23",CG851="LIFT"),AT851&gt;0),SUMIFS($AT$7:$AT$1843,$CG$7:$CG$1843,CG851,$AX$7:$AX$1843,"&gt;"&amp;AX851)+SUMIFS($AT$7:$AT$1843,$CG$7:$CG$1843,CG851,$AX$7:$AX$1843,AX851,$BX$7:$BX$1843,"&lt;="&amp;BX851),"")</f>
        <v>226.186355311355</v>
      </c>
      <c r="AZ851" s="70" t="n">
        <f aca="false">IF(AY851="",0,MAX(0,MIN(1,(IF(CG851="L1",Parameter!$H$5,IF(CG851="L23",Parameter!$H$6+Parameter!$H$7,Parameter!$H$5+Parameter!$H$6+Parameter!$H$7))-(AY851-AT851))/AT851)))</f>
        <v>1</v>
      </c>
      <c r="BA851" s="62" t="n">
        <f aca="false">IF(LEFT(Cockpit!$O$5,1)="A",H851,IF(Parameter!$E$30="MAX-Bestand",IF(CI851=1,CJ851,IF(LEFT(Cockpit!$O$5,1)="B",BG851,MAX(BG851,H851))),ROUNDUP(BE851,0)))</f>
        <v>80</v>
      </c>
      <c r="BB851" s="62" t="n">
        <f aca="false">IF(CA851=1,0,ROUNDUP(BA851/BZ851,0))</f>
        <v>1</v>
      </c>
      <c r="BC851" s="64" t="n">
        <f aca="false">IF(CR851&gt;0,CR851*MAX(1,BA851/X851),IF(CA851=1,IF(BA851&lt;=0,0,CE851*MAX(1,IF(H851&gt;0,BA851/H851,1))),IF(R851&gt;0,BB851/R851,0))/MAX(0.1,N(Parameter!$M$21)))</f>
        <v>0.00357142857142857</v>
      </c>
      <c r="BD851" s="62" t="n">
        <f aca="false">BC851*CC851</f>
        <v>0.553571428571429</v>
      </c>
      <c r="BE851" s="63" t="n">
        <f aca="false">IF(LEFT(Cockpit!$O$5,1)="A",H851,IF(CI851=1,(CL851+CJ851)/2,IF(LEFT(Cockpit!$O$5,1)="B",(CL851+BG851)/2,MAX((CL851+BG851)/2,H851))))</f>
        <v>80</v>
      </c>
      <c r="BF851" s="62" t="n">
        <f aca="false">BE851*G851</f>
        <v>2.4</v>
      </c>
      <c r="BG851" s="62" t="n">
        <f aca="false">ROUNDUP(CL851+MAX(CM851,2*(J851/IF(CH851&gt;0,CH851,MAX(0.1,N(Cockpit!$O$6)))-CL851)),0)</f>
        <v>155</v>
      </c>
      <c r="BH851" s="63" t="n">
        <f aca="false">IF(BD851&gt;0,J851/BD851,-1)</f>
        <v>270.967741935484</v>
      </c>
      <c r="BI851" s="63" t="n">
        <f aca="false">IF(AND(OR(CG851="L1",CG851="L23",CG851="LIFT"),BD851&gt;0),SUMIFS($BD$7:$BD$1843,$CG$7:$CG$1843,CG851,$BH$7:$BH$1843,"&gt;"&amp;BH851)+SUMIFS($BD$7:$BD$1843,$CG$7:$CG$1843,CG851,$BH$7:$BH$1843,BH851,$BX$7:$BX$1843,"&lt;="&amp;BX851),"")</f>
        <v>271.592490842491</v>
      </c>
      <c r="BJ851" s="70" t="n">
        <f aca="false">IF(BI851="",0,MAX(0,MIN(1,(IF(CG851="L1",Parameter!$H$5,IF(CG851="L23",Parameter!$H$6+Parameter!$H$7,Parameter!$H$5+Parameter!$H$6+Parameter!$H$7))-(BI851-BD851))/BD851)))</f>
        <v>1</v>
      </c>
      <c r="BK851" s="60" t="str">
        <f aca="false">IF(AJ851&lt;=0,"",IF(CG851="Aussen","Aussenlager",IF(CG851="-","Nicht im Lift",IF(AP851&gt;=1,"Lift",IF(AP851&lt;=0,"Aussenlager","teilweise")))))</f>
        <v>Lift</v>
      </c>
      <c r="BL851" s="60" t="str">
        <f aca="false">IF(AT851&lt;=0,"",IF(CG851="Aussen","Aussenlager",IF(CG851="-","Nicht im Lift",IF(AZ851&gt;=1,"Lift",IF(AZ851&lt;=0,"Aussenlager","teilweise")))))</f>
        <v>Lift</v>
      </c>
      <c r="BM851" s="60" t="str">
        <f aca="false">IF(BD851&lt;=0,"",IF(CG851="Aussen","Aussenlager",IF(CG851="-","Nicht im Lift",IF(BJ851&gt;=1,"Lift",IF(BJ851&lt;=0,"Aussenlager","teilweise")))))</f>
        <v>Lift</v>
      </c>
      <c r="BN851" s="60" t="str">
        <f aca="false">IF(A851="","",IF(BW851=1,"Neu; ","")&amp;IF(AND(BW851=0,BR851&lt;0),"negativer Bestand (Export "&amp;BR851&amp;"); ","")&amp;IF(J851&lt;=0,"Kein Verbrauch; ","")&amp;IF(CR851&gt;0,"Lift "&amp;W851&amp;" lt. Liftbericht (Fach "&amp;X851&amp;" Stk); ",IF(CB851=1,"Gebinde geschätzt ("&amp;T851&amp;"); ",IF(CA851=1,"Lose – Tablare geschätzt; ","")))&amp;IF(H851&gt;AW851,"Überbestand "&amp;ROUND(H851-AW851,0)&amp;" Stk / CHF "&amp;ROUND((H851-AW851)*G851,0)&amp;"; ","")&amp;IF(AND(CI851=1,CJ851&lt;CK851),"MAX &lt; MB+LG; ","")&amp;IF(AND(CQ851&gt;0,CP851*10&gt;CQ851),"zu hoch für Tablar; ","")&amp;IF(AND(BW851=0,OR(CI851=1,AB851&lt;&gt;"",U851&lt;&gt;"",V851&lt;&gt;"",AC851&lt;&gt;"")),"manuell übersteuert; ","")&amp;IF(AND(CA851=0,R851=0),"Gebinde unbekannt / Stellmass fehlt; ","")&amp;IF(AND(CA851=0,N(V851)&lt;=0,N(Q851)&lt;=0),"Menge pro Gebinde fehlt (Ist = 1 Gebinde); ","")&amp;BV851)</f>
        <v>negativer Bestand (Export -550); Überbestand 195 Stk / CHF 6; </v>
      </c>
      <c r="BO851" s="60"/>
      <c r="BP851" s="60"/>
      <c r="BQ851" s="67"/>
      <c r="BR851" s="62" t="n">
        <v>-550</v>
      </c>
      <c r="BS851" s="62" t="n">
        <v>900</v>
      </c>
      <c r="BT851" s="61" t="n">
        <v>-16.5</v>
      </c>
      <c r="BU851" s="62" t="n">
        <v>150</v>
      </c>
      <c r="BV851" s="60"/>
      <c r="BW851" s="65" t="n">
        <v>0</v>
      </c>
      <c r="BX851" s="65" t="n">
        <v>851</v>
      </c>
      <c r="BY851" s="60" t="str">
        <f aca="false">IF(U851&lt;&gt;"",UPPER(TRIM(U851)),IF(CB851=1,UPPER(VLOOKUP(T851,Parameter!$I$27:$K$29,2,0)),IF(P851="","LOSE",P851)))</f>
        <v>S21</v>
      </c>
      <c r="BZ851" s="62" t="n">
        <f aca="false">IF(BY851="LOSE",1,IF(N(V851)&gt;0,V851,IF(CB851=1,MAX(1,N(VLOOKUP(T851,Parameter!$I$27:$K$29,3,0)),H851,N(N851)),IF(N(Q851)&gt;0,Q851,MAX(1,H851)))))</f>
        <v>500</v>
      </c>
      <c r="CA851" s="65" t="n">
        <f aca="false">IF(BY851="LOSE",1,0)</f>
        <v>0</v>
      </c>
      <c r="CB851" s="65" t="n">
        <f aca="false">IF(AND(U851="",OR(P851="",P851="LOSE"),T851&lt;&gt;"",N(S851)&lt;=0,ISNUMBER(MATCH(T851,Parameter!$I$27:$I$29,0))),1,0)</f>
        <v>0</v>
      </c>
      <c r="CC851" s="65" t="n">
        <f aca="false">IF(CR851&gt;0,INDEX(Parameter!$H$5:$H$7,W851)/INDEX(Parameter!$E$5:$E$7,W851),IF(AND(CA851=0,N(IFERROR(VLOOKUP(BY851,'Gebinde-Kategorie'!$A$5:$N$45,14,0),0))&gt;0),VLOOKUP(BY851,'Gebinde-Kategorie'!$A$5:$N$45,14,0)*10+Parameter!$M$23,Parameter!$M$24))</f>
        <v>155</v>
      </c>
      <c r="CD851" s="60" t="str">
        <f aca="false">IF(AND(Parameter!$B$19="Ja",E851&lt;&gt;"",ISNUMBER(MATCH(E851,Parameter!$I$35:$I$52,0))),VLOOKUP(E851,Parameter!$I$35:$J$52,2,0),IFERROR(VLOOKUP(D851,Parameter!$A$35:$C$64,2,0),"Nein"))</f>
        <v>2+3</v>
      </c>
      <c r="CE851" s="64" t="n">
        <f aca="false">IF(CA851=0,0,IF(N(S851)&gt;0,S851,IFERROR(VLOOKUP(D851,Parameter!$A$35:$C$64,3,0)+0,0)))</f>
        <v>0</v>
      </c>
      <c r="CF851" s="60" t="n">
        <f aca="false">IF(AB851&lt;&gt;"",AB851,AA851)</f>
        <v>2</v>
      </c>
      <c r="CG851" s="60" t="str">
        <f aca="false">IF(OR(CF851=1,CF851=2,CF851=3),IF(Parameter!$E$27="Ja","LIFT",IF(CF851=1,"L1","L23")),IF(CF851="Aussen","Aussen","-"))</f>
        <v>LIFT</v>
      </c>
      <c r="CH851" s="71" t="n">
        <f aca="false">IF(N(AC851)&gt;0,AC851,0)</f>
        <v>0</v>
      </c>
      <c r="CI851" s="65" t="n">
        <f aca="false">IF(ISNUMBER(AF851),1,0)</f>
        <v>0</v>
      </c>
      <c r="CJ851" s="62" t="n">
        <f aca="false">N(AF851)</f>
        <v>0</v>
      </c>
      <c r="CK851" s="62" t="n">
        <f aca="false">N(M851)+N(N851)</f>
        <v>155</v>
      </c>
      <c r="CL851" s="62" t="n">
        <f aca="false">N(M851)</f>
        <v>5</v>
      </c>
      <c r="CM851" s="62" t="n">
        <f aca="false">N(N851)</f>
        <v>150</v>
      </c>
      <c r="CN851" s="62" t="n">
        <f aca="false">ROUNDUP(H851/BZ851,0)</f>
        <v>1</v>
      </c>
      <c r="CO851" s="62" t="n">
        <f aca="false">ROUNDUP(CJ851/BZ851,0)</f>
        <v>0</v>
      </c>
      <c r="CP851" s="65" t="n">
        <f aca="false">IF(CA851=1,0,IFERROR(VLOOKUP(BY851,'Gebinde-Kategorie'!$A$5:$N$45,5,0)+0,0))</f>
        <v>8</v>
      </c>
      <c r="CQ851" s="65" t="n">
        <f aca="false">IFERROR(IF(OR(CF851=1,CF851=2,CF851=3),N(INDEX(Parameter!$I$5:$I$7,CF851)),0),0)</f>
        <v>0</v>
      </c>
      <c r="CR851" s="64" t="n">
        <f aca="false">IF(AND(Parameter!$B$21="Ja",ISNUMBER(W851),N(X851)&gt;0),IFERROR(N(INDEX(Parameter!$L$5:$L$7,W851))*INDEX(Parameter!$E$5:$E$7,W851)*X851/SUMIFS($X$7:$X$1843,$W$7:$W$1843,W851),0),0)</f>
        <v>0</v>
      </c>
      <c r="CS851" s="62" t="n">
        <f aca="false">IF(AND(OR(CG851="L1",CG851="L23",CG851="LIFT"),H851&gt;0),CC851*IF(CR851&gt;0,CR851*MAX(1,H851/X851),IF(CA851=1,CE851,IF(R851&gt;0,CN851/R851,0))/MAX(0.1,N(Parameter!$M$21))),"")</f>
        <v>0.553571428571429</v>
      </c>
      <c r="CT851" s="64" t="n">
        <f aca="false">IF(CS851="","",J851/H851)</f>
        <v>0.428571428571429</v>
      </c>
      <c r="CU851" s="62" t="n">
        <f aca="false">IF(CS851="","",H851*G851)</f>
        <v>10.5</v>
      </c>
      <c r="CV851" s="63" t="n">
        <f aca="false">IF(CS851="","",(CL851+ROUNDUP(CL851+MAX(CM851,2*(J851/MAX(0.1,N(Einkauf!$C$6))-CL851)),0))/2)</f>
        <v>80</v>
      </c>
      <c r="CW851" s="62" t="n">
        <f aca="false">IF(CS851="","",MAX(0,H851-CV851)*G851)</f>
        <v>8.1</v>
      </c>
      <c r="CX851" s="62" t="n">
        <f aca="false">IF(CS851="","",CS851*MAX(0,1-CV851/H851))</f>
        <v>0.427040816326531</v>
      </c>
      <c r="CY851" s="64" t="n">
        <f aca="false">IF(CS851="","",PERCENTRANK($CS$7:$CS$1843,CS851)+PERCENTRANK($CU$7:$CU$1843,CU851)+1-PERCENTRANK($CT$7:$CT$1843,CT851))</f>
        <v>0.5112</v>
      </c>
      <c r="CZ851" s="72" t="n">
        <f aca="false">IF(CS851="","",CHOOSE(MATCH(Einkauf!$C$5,Parameter!$G$23:$G$27,0),CY851,CS851,CU851,-CT851,CW851)+ROW()/1000000000)</f>
        <v>0.511200851</v>
      </c>
    </row>
    <row r="852" customFormat="false" ht="15" hidden="false" customHeight="false" outlineLevel="0" collapsed="false">
      <c r="A852" s="60" t="s">
        <v>1667</v>
      </c>
      <c r="B852" s="60" t="s">
        <v>1668</v>
      </c>
      <c r="C852" s="60" t="s">
        <v>206</v>
      </c>
      <c r="D852" s="60" t="s">
        <v>226</v>
      </c>
      <c r="E852" s="60" t="s">
        <v>227</v>
      </c>
      <c r="F852" s="60" t="s">
        <v>260</v>
      </c>
      <c r="G852" s="61" t="n">
        <v>8.46</v>
      </c>
      <c r="H852" s="62" t="n">
        <f aca="false">MAX(0,IF(AND(Parameter!$B$21="Ja",ISNUMBER(Y852)),Y852,IF(Parameter!$B$20="Jahresanfang 2025 + Export",BS852+BR852,BR852)))</f>
        <v>25</v>
      </c>
      <c r="I852" s="62" t="n">
        <f aca="false">H852*G852</f>
        <v>211.5</v>
      </c>
      <c r="J852" s="62" t="n">
        <f aca="false">BU852*Parameter!$B$18</f>
        <v>4</v>
      </c>
      <c r="K852" s="63" t="n">
        <v>25.5</v>
      </c>
      <c r="L852" s="64" t="n">
        <v>0.156862745098039</v>
      </c>
      <c r="M852" s="62" t="n">
        <v>0</v>
      </c>
      <c r="N852" s="62" t="n">
        <v>5</v>
      </c>
      <c r="O852" s="65" t="n">
        <v>14</v>
      </c>
      <c r="P852" s="60" t="s">
        <v>370</v>
      </c>
      <c r="Q852" s="62" t="n">
        <v>28</v>
      </c>
      <c r="R852" s="65" t="n">
        <f aca="false">IF(CA852=1,0,IFERROR(VLOOKUP(BY852,'Gebinde-Kategorie'!$A$5:$N$45,13,0)+0,0))</f>
        <v>52</v>
      </c>
      <c r="S852" s="66"/>
      <c r="T852" s="67"/>
      <c r="U852" s="67"/>
      <c r="V852" s="67"/>
      <c r="W852" s="60"/>
      <c r="X852" s="62"/>
      <c r="Y852" s="62"/>
      <c r="Z852" s="60" t="n">
        <v>1</v>
      </c>
      <c r="AA852" s="60" t="n">
        <f aca="false">IF(A852="","",IF(AND(Parameter!$B$21="Ja",ISNUMBER(W852)),W852,IF(AND(Parameter!$E$27="Ja",ISNUMBER(Z852),CD852&lt;&gt;"Nein"),Z852,IF(CD852="2+3",IF(ISNUMBER(SEARCH("grosser Artikel",BV852)),2,IFERROR(VLOOKUP(BY852,Parameter!$F$35:$G$64,2,0),2)),IF(OR(CD852="Nein",CD852=""),"-",CD852)))))</f>
        <v>1</v>
      </c>
      <c r="AB852" s="67"/>
      <c r="AC852" s="68"/>
      <c r="AD852" s="62" t="n">
        <f aca="false">AW852</f>
        <v>5</v>
      </c>
      <c r="AE852" s="62" t="n">
        <f aca="false">MAX(AW852,H852)</f>
        <v>25</v>
      </c>
      <c r="AF852" s="69"/>
      <c r="AG852" s="62" t="n">
        <f aca="false">IF(LEFT(Cockpit!$C$5,1)="A",H852,IF(Parameter!$E$30="MAX-Bestand",IF(CI852=1,CJ852,IF(LEFT(Cockpit!$C$5,1)="B",AM852,MAX(AM852,H852))),ROUNDUP(AK852,0)))</f>
        <v>25</v>
      </c>
      <c r="AH852" s="62" t="n">
        <f aca="false">IF(CA852=1,0,ROUNDUP(AG852/BZ852,0))</f>
        <v>1</v>
      </c>
      <c r="AI852" s="64" t="n">
        <f aca="false">IF(CR852&gt;0,CR852*MAX(1,AG852/X852),IF(CA852=1,IF(AG852&lt;=0,0,CE852*MAX(1,IF(H852&gt;0,AG852/H852,1))),IF(R852&gt;0,AH852/R852,0))/MAX(0.1,N(Parameter!$M$21)))</f>
        <v>0.0192307692307692</v>
      </c>
      <c r="AJ852" s="62" t="n">
        <f aca="false">AI852*CC852</f>
        <v>2.98076923076923</v>
      </c>
      <c r="AK852" s="63" t="n">
        <f aca="false">IF(LEFT(Cockpit!$C$5,1)="A",H852,IF(CI852=1,(CL852+CJ852)/2,IF(LEFT(Cockpit!$C$5,1)="B",(CL852+AM852)/2,MAX((CL852+AM852)/2,H852))))</f>
        <v>25</v>
      </c>
      <c r="AL852" s="62" t="n">
        <f aca="false">AK852*G852</f>
        <v>211.5</v>
      </c>
      <c r="AM852" s="62" t="n">
        <f aca="false">ROUNDUP(CL852+MAX(CM852,2*(J852/IF(CH852&gt;0,CH852,MAX(0.1,N(Cockpit!$C$6)))-CL852)),0)</f>
        <v>5</v>
      </c>
      <c r="AN852" s="63" t="n">
        <f aca="false">IF(AJ852&gt;0,J852/AJ852,-1)</f>
        <v>1.34193548387097</v>
      </c>
      <c r="AO852" s="63" t="n">
        <f aca="false">IF(AND(OR(CG852="L1",CG852="L23",CG852="LIFT"),AJ852&gt;0),SUMIFS($AJ$7:$AJ$1843,$CG$7:$CG$1843,CG852,$AN$7:$AN$1843,"&gt;"&amp;AN852)+SUMIFS($AJ$7:$AJ$1843,$CG$7:$CG$1843,CG852,$AN$7:$AN$1843,AN852,$BX$7:$BX$1843,"&lt;="&amp;BX852),"")</f>
        <v>6334.12866300366</v>
      </c>
      <c r="AP852" s="70" t="n">
        <f aca="false">IF(AO852="",0,MAX(0,MIN(1,(IF(CG852="L1",Parameter!$H$5,IF(CG852="L23",Parameter!$H$6+Parameter!$H$7,Parameter!$H$5+Parameter!$H$6+Parameter!$H$7))-(AO852-AJ852))/AJ852)))</f>
        <v>1</v>
      </c>
      <c r="AQ852" s="62" t="n">
        <f aca="false">IF(LEFT(Cockpit!$I$5,1)="A",H852,IF(Parameter!$E$30="MAX-Bestand",IF(CI852=1,CJ852,IF(LEFT(Cockpit!$I$5,1)="B",AW852,MAX(AW852,H852))),ROUNDUP(AU852,0)))</f>
        <v>25</v>
      </c>
      <c r="AR852" s="62" t="n">
        <f aca="false">IF(CA852=1,0,ROUNDUP(AQ852/BZ852,0))</f>
        <v>1</v>
      </c>
      <c r="AS852" s="64" t="n">
        <f aca="false">IF(CR852&gt;0,CR852*MAX(1,AQ852/X852),IF(CA852=1,IF(AQ852&lt;=0,0,CE852*MAX(1,IF(H852&gt;0,AQ852/H852,1))),IF(R852&gt;0,AR852/R852,0))/MAX(0.1,N(Parameter!$M$21)))</f>
        <v>0.0192307692307692</v>
      </c>
      <c r="AT852" s="62" t="n">
        <f aca="false">AS852*CC852</f>
        <v>2.98076923076923</v>
      </c>
      <c r="AU852" s="63" t="n">
        <f aca="false">IF(LEFT(Cockpit!$I$5,1)="A",H852,IF(CI852=1,(CL852+CJ852)/2,IF(LEFT(Cockpit!$I$5,1)="B",(CL852+AW852)/2,MAX((CL852+AW852)/2,H852))))</f>
        <v>25</v>
      </c>
      <c r="AV852" s="62" t="n">
        <f aca="false">AU852*G852</f>
        <v>211.5</v>
      </c>
      <c r="AW852" s="62" t="n">
        <f aca="false">ROUNDUP(CL852+MAX(CM852,2*(J852/IF(CH852&gt;0,CH852,MAX(0.1,N(Cockpit!$I$6)))-CL852)),0)</f>
        <v>5</v>
      </c>
      <c r="AX852" s="63" t="n">
        <f aca="false">IF(AT852&gt;0,J852/AT852,-1)</f>
        <v>1.34193548387097</v>
      </c>
      <c r="AY852" s="63" t="n">
        <f aca="false">IF(AND(OR(CG852="L1",CG852="L23",CG852="LIFT"),AT852&gt;0),SUMIFS($AT$7:$AT$1843,$CG$7:$CG$1843,CG852,$AX$7:$AX$1843,"&gt;"&amp;AX852)+SUMIFS($AT$7:$AT$1843,$CG$7:$CG$1843,CG852,$AX$7:$AX$1843,AX852,$BX$7:$BX$1843,"&lt;="&amp;BX852),"")</f>
        <v>7858.31227106227</v>
      </c>
      <c r="AZ852" s="70" t="n">
        <f aca="false">IF(AY852="",0,MAX(0,MIN(1,(IF(CG852="L1",Parameter!$H$5,IF(CG852="L23",Parameter!$H$6+Parameter!$H$7,Parameter!$H$5+Parameter!$H$6+Parameter!$H$7))-(AY852-AT852))/AT852)))</f>
        <v>1</v>
      </c>
      <c r="BA852" s="62" t="n">
        <f aca="false">IF(LEFT(Cockpit!$O$5,1)="A",H852,IF(Parameter!$E$30="MAX-Bestand",IF(CI852=1,CJ852,IF(LEFT(Cockpit!$O$5,1)="B",BG852,MAX(BG852,H852))),ROUNDUP(BE852,0)))</f>
        <v>3</v>
      </c>
      <c r="BB852" s="62" t="n">
        <f aca="false">IF(CA852=1,0,ROUNDUP(BA852/BZ852,0))</f>
        <v>1</v>
      </c>
      <c r="BC852" s="64" t="n">
        <f aca="false">IF(CR852&gt;0,CR852*MAX(1,BA852/X852),IF(CA852=1,IF(BA852&lt;=0,0,CE852*MAX(1,IF(H852&gt;0,BA852/H852,1))),IF(R852&gt;0,BB852/R852,0))/MAX(0.1,N(Parameter!$M$21)))</f>
        <v>0.0192307692307692</v>
      </c>
      <c r="BD852" s="62" t="n">
        <f aca="false">BC852*CC852</f>
        <v>2.98076923076923</v>
      </c>
      <c r="BE852" s="63" t="n">
        <f aca="false">IF(LEFT(Cockpit!$O$5,1)="A",H852,IF(CI852=1,(CL852+CJ852)/2,IF(LEFT(Cockpit!$O$5,1)="B",(CL852+BG852)/2,MAX((CL852+BG852)/2,H852))))</f>
        <v>2.5</v>
      </c>
      <c r="BF852" s="62" t="n">
        <f aca="false">BE852*G852</f>
        <v>21.15</v>
      </c>
      <c r="BG852" s="62" t="n">
        <f aca="false">ROUNDUP(CL852+MAX(CM852,2*(J852/IF(CH852&gt;0,CH852,MAX(0.1,N(Cockpit!$O$6)))-CL852)),0)</f>
        <v>5</v>
      </c>
      <c r="BH852" s="63" t="n">
        <f aca="false">IF(BD852&gt;0,J852/BD852,-1)</f>
        <v>1.34193548387097</v>
      </c>
      <c r="BI852" s="63" t="n">
        <f aca="false">IF(AND(OR(CG852="L1",CG852="L23",CG852="LIFT"),BD852&gt;0),SUMIFS($BD$7:$BD$1843,$CG$7:$CG$1843,CG852,$BH$7:$BH$1843,"&gt;"&amp;BH852)+SUMIFS($BD$7:$BD$1843,$CG$7:$CG$1843,CG852,$BH$7:$BH$1843,BH852,$BX$7:$BX$1843,"&lt;="&amp;BX852),"")</f>
        <v>6795.52793040293</v>
      </c>
      <c r="BJ852" s="70" t="n">
        <f aca="false">IF(BI852="",0,MAX(0,MIN(1,(IF(CG852="L1",Parameter!$H$5,IF(CG852="L23",Parameter!$H$6+Parameter!$H$7,Parameter!$H$5+Parameter!$H$6+Parameter!$H$7))-(BI852-BD852))/BD852)))</f>
        <v>1</v>
      </c>
      <c r="BK852" s="60" t="str">
        <f aca="false">IF(AJ852&lt;=0,"",IF(CG852="Aussen","Aussenlager",IF(CG852="-","Nicht im Lift",IF(AP852&gt;=1,"Lift",IF(AP852&lt;=0,"Aussenlager","teilweise")))))</f>
        <v>Lift</v>
      </c>
      <c r="BL852" s="60" t="str">
        <f aca="false">IF(AT852&lt;=0,"",IF(CG852="Aussen","Aussenlager",IF(CG852="-","Nicht im Lift",IF(AZ852&gt;=1,"Lift",IF(AZ852&lt;=0,"Aussenlager","teilweise")))))</f>
        <v>Lift</v>
      </c>
      <c r="BM852" s="60" t="str">
        <f aca="false">IF(BD852&lt;=0,"",IF(CG852="Aussen","Aussenlager",IF(CG852="-","Nicht im Lift",IF(BJ852&gt;=1,"Lift",IF(BJ852&lt;=0,"Aussenlager","teilweise")))))</f>
        <v>Lift</v>
      </c>
      <c r="BN852" s="60" t="str">
        <f aca="false">IF(A852="","",IF(BW852=1,"Neu; ","")&amp;IF(AND(BW852=0,BR852&lt;0),"negativer Bestand (Export "&amp;BR852&amp;"); ","")&amp;IF(J852&lt;=0,"Kein Verbrauch; ","")&amp;IF(CR852&gt;0,"Lift "&amp;W852&amp;" lt. Liftbericht (Fach "&amp;X852&amp;" Stk); ",IF(CB852=1,"Gebinde geschätzt ("&amp;T852&amp;"); ",IF(CA852=1,"Lose – Tablare geschätzt; ","")))&amp;IF(H852&gt;AW852,"Überbestand "&amp;ROUND(H852-AW852,0)&amp;" Stk / CHF "&amp;ROUND((H852-AW852)*G852,0)&amp;"; ","")&amp;IF(AND(CI852=1,CJ852&lt;CK852),"MAX &lt; MB+LG; ","")&amp;IF(AND(CQ852&gt;0,CP852*10&gt;CQ852),"zu hoch für Tablar; ","")&amp;IF(AND(BW852=0,OR(CI852=1,AB852&lt;&gt;"",U852&lt;&gt;"",V852&lt;&gt;"",AC852&lt;&gt;"")),"manuell übersteuert; ","")&amp;IF(AND(CA852=0,R852=0),"Gebinde unbekannt / Stellmass fehlt; ","")&amp;IF(AND(CA852=0,N(V852)&lt;=0,N(Q852)&lt;=0),"Menge pro Gebinde fehlt (Ist = 1 Gebinde); ","")&amp;BV852)</f>
        <v>negativer Bestand (Export -2); Überbestand 20 Stk / CHF 169; </v>
      </c>
      <c r="BO852" s="60"/>
      <c r="BP852" s="60"/>
      <c r="BQ852" s="67"/>
      <c r="BR852" s="62" t="n">
        <v>-2</v>
      </c>
      <c r="BS852" s="62" t="n">
        <v>27</v>
      </c>
      <c r="BT852" s="61" t="n">
        <v>-16.92</v>
      </c>
      <c r="BU852" s="62" t="n">
        <v>4</v>
      </c>
      <c r="BV852" s="60"/>
      <c r="BW852" s="65" t="n">
        <v>0</v>
      </c>
      <c r="BX852" s="65" t="n">
        <v>852</v>
      </c>
      <c r="BY852" s="60" t="str">
        <f aca="false">IF(U852&lt;&gt;"",UPPER(TRIM(U852)),IF(CB852=1,UPPER(VLOOKUP(T852,Parameter!$I$27:$K$29,2,0)),IF(P852="","LOSE",P852)))</f>
        <v>S41</v>
      </c>
      <c r="BZ852" s="62" t="n">
        <f aca="false">IF(BY852="LOSE",1,IF(N(V852)&gt;0,V852,IF(CB852=1,MAX(1,N(VLOOKUP(T852,Parameter!$I$27:$K$29,3,0)),H852,N(N852)),IF(N(Q852)&gt;0,Q852,MAX(1,H852)))))</f>
        <v>28</v>
      </c>
      <c r="CA852" s="65" t="n">
        <f aca="false">IF(BY852="LOSE",1,0)</f>
        <v>0</v>
      </c>
      <c r="CB852" s="65" t="n">
        <f aca="false">IF(AND(U852="",OR(P852="",P852="LOSE"),T852&lt;&gt;"",N(S852)&lt;=0,ISNUMBER(MATCH(T852,Parameter!$I$27:$I$29,0))),1,0)</f>
        <v>0</v>
      </c>
      <c r="CC852" s="65" t="n">
        <f aca="false">IF(CR852&gt;0,INDEX(Parameter!$H$5:$H$7,W852)/INDEX(Parameter!$E$5:$E$7,W852),IF(AND(CA852=0,N(IFERROR(VLOOKUP(BY852,'Gebinde-Kategorie'!$A$5:$N$45,14,0),0))&gt;0),VLOOKUP(BY852,'Gebinde-Kategorie'!$A$5:$N$45,14,0)*10+Parameter!$M$23,Parameter!$M$24))</f>
        <v>155</v>
      </c>
      <c r="CD852" s="60" t="str">
        <f aca="false">IF(AND(Parameter!$B$19="Ja",E852&lt;&gt;"",ISNUMBER(MATCH(E852,Parameter!$I$35:$I$52,0))),VLOOKUP(E852,Parameter!$I$35:$J$52,2,0),IFERROR(VLOOKUP(D852,Parameter!$A$35:$C$64,2,0),"Nein"))</f>
        <v>2+3</v>
      </c>
      <c r="CE852" s="64" t="n">
        <f aca="false">IF(CA852=0,0,IF(N(S852)&gt;0,S852,IFERROR(VLOOKUP(D852,Parameter!$A$35:$C$64,3,0)+0,0)))</f>
        <v>0</v>
      </c>
      <c r="CF852" s="60" t="n">
        <f aca="false">IF(AB852&lt;&gt;"",AB852,AA852)</f>
        <v>1</v>
      </c>
      <c r="CG852" s="60" t="str">
        <f aca="false">IF(OR(CF852=1,CF852=2,CF852=3),IF(Parameter!$E$27="Ja","LIFT",IF(CF852=1,"L1","L23")),IF(CF852="Aussen","Aussen","-"))</f>
        <v>LIFT</v>
      </c>
      <c r="CH852" s="71" t="n">
        <f aca="false">IF(N(AC852)&gt;0,AC852,0)</f>
        <v>0</v>
      </c>
      <c r="CI852" s="65" t="n">
        <f aca="false">IF(ISNUMBER(AF852),1,0)</f>
        <v>0</v>
      </c>
      <c r="CJ852" s="62" t="n">
        <f aca="false">N(AF852)</f>
        <v>0</v>
      </c>
      <c r="CK852" s="62" t="n">
        <f aca="false">N(M852)+N(N852)</f>
        <v>5</v>
      </c>
      <c r="CL852" s="62" t="n">
        <f aca="false">N(M852)</f>
        <v>0</v>
      </c>
      <c r="CM852" s="62" t="n">
        <f aca="false">N(N852)</f>
        <v>5</v>
      </c>
      <c r="CN852" s="62" t="n">
        <f aca="false">ROUNDUP(H852/BZ852,0)</f>
        <v>1</v>
      </c>
      <c r="CO852" s="62" t="n">
        <f aca="false">ROUNDUP(CJ852/BZ852,0)</f>
        <v>0</v>
      </c>
      <c r="CP852" s="65" t="n">
        <f aca="false">IF(CA852=1,0,IFERROR(VLOOKUP(BY852,'Gebinde-Kategorie'!$A$5:$N$45,5,0)+0,0))</f>
        <v>11</v>
      </c>
      <c r="CQ852" s="65" t="n">
        <f aca="false">IFERROR(IF(OR(CF852=1,CF852=2,CF852=3),N(INDEX(Parameter!$I$5:$I$7,CF852)),0),0)</f>
        <v>0</v>
      </c>
      <c r="CR852" s="64" t="n">
        <f aca="false">IF(AND(Parameter!$B$21="Ja",ISNUMBER(W852),N(X852)&gt;0),IFERROR(N(INDEX(Parameter!$L$5:$L$7,W852))*INDEX(Parameter!$E$5:$E$7,W852)*X852/SUMIFS($X$7:$X$1843,$W$7:$W$1843,W852),0),0)</f>
        <v>0</v>
      </c>
      <c r="CS852" s="62" t="n">
        <f aca="false">IF(AND(OR(CG852="L1",CG852="L23",CG852="LIFT"),H852&gt;0),CC852*IF(CR852&gt;0,CR852*MAX(1,H852/X852),IF(CA852=1,CE852,IF(R852&gt;0,CN852/R852,0))/MAX(0.1,N(Parameter!$M$21))),"")</f>
        <v>2.98076923076923</v>
      </c>
      <c r="CT852" s="64" t="n">
        <f aca="false">IF(CS852="","",J852/H852)</f>
        <v>0.16</v>
      </c>
      <c r="CU852" s="62" t="n">
        <f aca="false">IF(CS852="","",H852*G852)</f>
        <v>211.5</v>
      </c>
      <c r="CV852" s="63" t="n">
        <f aca="false">IF(CS852="","",(CL852+ROUNDUP(CL852+MAX(CM852,2*(J852/MAX(0.1,N(Einkauf!$C$6))-CL852)),0))/2)</f>
        <v>2.5</v>
      </c>
      <c r="CW852" s="62" t="n">
        <f aca="false">IF(CS852="","",MAX(0,H852-CV852)*G852)</f>
        <v>190.35</v>
      </c>
      <c r="CX852" s="62" t="n">
        <f aca="false">IF(CS852="","",CS852*MAX(0,1-CV852/H852))</f>
        <v>2.68269230769231</v>
      </c>
      <c r="CY852" s="64" t="n">
        <f aca="false">IF(CS852="","",PERCENTRANK($CS$7:$CS$1843,CS852)+PERCENTRANK($CU$7:$CU$1843,CU852)+1-PERCENTRANK($CT$7:$CT$1843,CT852))</f>
        <v>1.101</v>
      </c>
      <c r="CZ852" s="72" t="n">
        <f aca="false">IF(CS852="","",CHOOSE(MATCH(Einkauf!$C$5,Parameter!$G$23:$G$27,0),CY852,CS852,CU852,-CT852,CW852)+ROW()/1000000000)</f>
        <v>1.101000852</v>
      </c>
    </row>
    <row r="853" customFormat="false" ht="15" hidden="false" customHeight="false" outlineLevel="0" collapsed="false">
      <c r="A853" s="60" t="s">
        <v>1669</v>
      </c>
      <c r="B853" s="60" t="s">
        <v>1308</v>
      </c>
      <c r="C853" s="60" t="s">
        <v>206</v>
      </c>
      <c r="D853" s="60" t="s">
        <v>226</v>
      </c>
      <c r="E853" s="60"/>
      <c r="F853" s="60" t="s">
        <v>260</v>
      </c>
      <c r="G853" s="61" t="n">
        <v>0.07</v>
      </c>
      <c r="H853" s="62" t="n">
        <f aca="false">MAX(0,IF(AND(Parameter!$B$21="Ja",ISNUMBER(Y853)),Y853,IF(Parameter!$B$20="Jahresanfang 2025 + Export",BS853+BR853,BR853)))</f>
        <v>287</v>
      </c>
      <c r="I853" s="62" t="n">
        <f aca="false">H853*G853</f>
        <v>20.09</v>
      </c>
      <c r="J853" s="62" t="n">
        <f aca="false">BU853*Parameter!$B$18</f>
        <v>124</v>
      </c>
      <c r="K853" s="63" t="n">
        <v>461</v>
      </c>
      <c r="L853" s="64" t="n">
        <v>0.268980477223427</v>
      </c>
      <c r="M853" s="62" t="n">
        <v>7</v>
      </c>
      <c r="N853" s="62" t="n">
        <v>125</v>
      </c>
      <c r="O853" s="65" t="n">
        <v>21</v>
      </c>
      <c r="P853" s="60" t="s">
        <v>468</v>
      </c>
      <c r="Q853" s="62" t="n">
        <v>300</v>
      </c>
      <c r="R853" s="65" t="n">
        <f aca="false">IF(CA853=1,0,IFERROR(VLOOKUP(BY853,'Gebinde-Kategorie'!$A$5:$N$45,13,0)+0,0))</f>
        <v>140</v>
      </c>
      <c r="S853" s="66"/>
      <c r="T853" s="67"/>
      <c r="U853" s="67"/>
      <c r="V853" s="67"/>
      <c r="W853" s="60"/>
      <c r="X853" s="62"/>
      <c r="Y853" s="62"/>
      <c r="Z853" s="60" t="n">
        <v>1</v>
      </c>
      <c r="AA853" s="60" t="n">
        <f aca="false">IF(A853="","",IF(AND(Parameter!$B$21="Ja",ISNUMBER(W853)),W853,IF(AND(Parameter!$E$27="Ja",ISNUMBER(Z853),CD853&lt;&gt;"Nein"),Z853,IF(CD853="2+3",IF(ISNUMBER(SEARCH("grosser Artikel",BV853)),2,IFERROR(VLOOKUP(BY853,Parameter!$F$35:$G$64,2,0),2)),IF(OR(CD853="Nein",CD853=""),"-",CD853)))))</f>
        <v>1</v>
      </c>
      <c r="AB853" s="67"/>
      <c r="AC853" s="68"/>
      <c r="AD853" s="62" t="n">
        <f aca="false">AW853</f>
        <v>132</v>
      </c>
      <c r="AE853" s="62" t="n">
        <f aca="false">MAX(AW853,H853)</f>
        <v>287</v>
      </c>
      <c r="AF853" s="69"/>
      <c r="AG853" s="62" t="n">
        <f aca="false">IF(LEFT(Cockpit!$C$5,1)="A",H853,IF(Parameter!$E$30="MAX-Bestand",IF(CI853=1,CJ853,IF(LEFT(Cockpit!$C$5,1)="B",AM853,MAX(AM853,H853))),ROUNDUP(AK853,0)))</f>
        <v>287</v>
      </c>
      <c r="AH853" s="62" t="n">
        <f aca="false">IF(CA853=1,0,ROUNDUP(AG853/BZ853,0))</f>
        <v>1</v>
      </c>
      <c r="AI853" s="64" t="n">
        <f aca="false">IF(CR853&gt;0,CR853*MAX(1,AG853/X853),IF(CA853=1,IF(AG853&lt;=0,0,CE853*MAX(1,IF(H853&gt;0,AG853/H853,1))),IF(R853&gt;0,AH853/R853,0))/MAX(0.1,N(Parameter!$M$21)))</f>
        <v>0.00714285714285714</v>
      </c>
      <c r="AJ853" s="62" t="n">
        <f aca="false">AI853*CC853</f>
        <v>1.10714285714286</v>
      </c>
      <c r="AK853" s="63" t="n">
        <f aca="false">IF(LEFT(Cockpit!$C$5,1)="A",H853,IF(CI853=1,(CL853+CJ853)/2,IF(LEFT(Cockpit!$C$5,1)="B",(CL853+AM853)/2,MAX((CL853+AM853)/2,H853))))</f>
        <v>287</v>
      </c>
      <c r="AL853" s="62" t="n">
        <f aca="false">AK853*G853</f>
        <v>20.09</v>
      </c>
      <c r="AM853" s="62" t="n">
        <f aca="false">ROUNDUP(CL853+MAX(CM853,2*(J853/IF(CH853&gt;0,CH853,MAX(0.1,N(Cockpit!$C$6)))-CL853)),0)</f>
        <v>132</v>
      </c>
      <c r="AN853" s="63" t="n">
        <f aca="false">IF(AJ853&gt;0,J853/AJ853,-1)</f>
        <v>112</v>
      </c>
      <c r="AO853" s="63" t="n">
        <f aca="false">IF(AND(OR(CG853="L1",CG853="L23",CG853="LIFT"),AJ853&gt;0),SUMIFS($AJ$7:$AJ$1843,$CG$7:$CG$1843,CG853,$AN$7:$AN$1843,"&gt;"&amp;AN853)+SUMIFS($AJ$7:$AJ$1843,$CG$7:$CG$1843,CG853,$AN$7:$AN$1843,AN853,$BX$7:$BX$1843,"&lt;="&amp;BX853),"")</f>
        <v>746.812728937729</v>
      </c>
      <c r="AP853" s="70" t="n">
        <f aca="false">IF(AO853="",0,MAX(0,MIN(1,(IF(CG853="L1",Parameter!$H$5,IF(CG853="L23",Parameter!$H$6+Parameter!$H$7,Parameter!$H$5+Parameter!$H$6+Parameter!$H$7))-(AO853-AJ853))/AJ853)))</f>
        <v>1</v>
      </c>
      <c r="AQ853" s="62" t="n">
        <f aca="false">IF(LEFT(Cockpit!$I$5,1)="A",H853,IF(Parameter!$E$30="MAX-Bestand",IF(CI853=1,CJ853,IF(LEFT(Cockpit!$I$5,1)="B",AW853,MAX(AW853,H853))),ROUNDUP(AU853,0)))</f>
        <v>287</v>
      </c>
      <c r="AR853" s="62" t="n">
        <f aca="false">IF(CA853=1,0,ROUNDUP(AQ853/BZ853,0))</f>
        <v>1</v>
      </c>
      <c r="AS853" s="64" t="n">
        <f aca="false">IF(CR853&gt;0,CR853*MAX(1,AQ853/X853),IF(CA853=1,IF(AQ853&lt;=0,0,CE853*MAX(1,IF(H853&gt;0,AQ853/H853,1))),IF(R853&gt;0,AR853/R853,0))/MAX(0.1,N(Parameter!$M$21)))</f>
        <v>0.00714285714285714</v>
      </c>
      <c r="AT853" s="62" t="n">
        <f aca="false">AS853*CC853</f>
        <v>1.10714285714286</v>
      </c>
      <c r="AU853" s="63" t="n">
        <f aca="false">IF(LEFT(Cockpit!$I$5,1)="A",H853,IF(CI853=1,(CL853+CJ853)/2,IF(LEFT(Cockpit!$I$5,1)="B",(CL853+AW853)/2,MAX((CL853+AW853)/2,H853))))</f>
        <v>287</v>
      </c>
      <c r="AV853" s="62" t="n">
        <f aca="false">AU853*G853</f>
        <v>20.09</v>
      </c>
      <c r="AW853" s="62" t="n">
        <f aca="false">ROUNDUP(CL853+MAX(CM853,2*(J853/IF(CH853&gt;0,CH853,MAX(0.1,N(Cockpit!$I$6)))-CL853)),0)</f>
        <v>132</v>
      </c>
      <c r="AX853" s="63" t="n">
        <f aca="false">IF(AT853&gt;0,J853/AT853,-1)</f>
        <v>112</v>
      </c>
      <c r="AY853" s="63" t="n">
        <f aca="false">IF(AND(OR(CG853="L1",CG853="L23",CG853="LIFT"),AT853&gt;0),SUMIFS($AT$7:$AT$1843,$CG$7:$CG$1843,CG853,$AX$7:$AX$1843,"&gt;"&amp;AX853)+SUMIFS($AT$7:$AT$1843,$CG$7:$CG$1843,CG853,$AX$7:$AX$1843,AX853,$BX$7:$BX$1843,"&lt;="&amp;BX853),"")</f>
        <v>821.535714285714</v>
      </c>
      <c r="AZ853" s="70" t="n">
        <f aca="false">IF(AY853="",0,MAX(0,MIN(1,(IF(CG853="L1",Parameter!$H$5,IF(CG853="L23",Parameter!$H$6+Parameter!$H$7,Parameter!$H$5+Parameter!$H$6+Parameter!$H$7))-(AY853-AT853))/AT853)))</f>
        <v>1</v>
      </c>
      <c r="BA853" s="62" t="n">
        <f aca="false">IF(LEFT(Cockpit!$O$5,1)="A",H853,IF(Parameter!$E$30="MAX-Bestand",IF(CI853=1,CJ853,IF(LEFT(Cockpit!$O$5,1)="B",BG853,MAX(BG853,H853))),ROUNDUP(BE853,0)))</f>
        <v>70</v>
      </c>
      <c r="BB853" s="62" t="n">
        <f aca="false">IF(CA853=1,0,ROUNDUP(BA853/BZ853,0))</f>
        <v>1</v>
      </c>
      <c r="BC853" s="64" t="n">
        <f aca="false">IF(CR853&gt;0,CR853*MAX(1,BA853/X853),IF(CA853=1,IF(BA853&lt;=0,0,CE853*MAX(1,IF(H853&gt;0,BA853/H853,1))),IF(R853&gt;0,BB853/R853,0))/MAX(0.1,N(Parameter!$M$21)))</f>
        <v>0.00714285714285714</v>
      </c>
      <c r="BD853" s="62" t="n">
        <f aca="false">BC853*CC853</f>
        <v>1.10714285714286</v>
      </c>
      <c r="BE853" s="63" t="n">
        <f aca="false">IF(LEFT(Cockpit!$O$5,1)="A",H853,IF(CI853=1,(CL853+CJ853)/2,IF(LEFT(Cockpit!$O$5,1)="B",(CL853+BG853)/2,MAX((CL853+BG853)/2,H853))))</f>
        <v>69.5</v>
      </c>
      <c r="BF853" s="62" t="n">
        <f aca="false">BE853*G853</f>
        <v>4.865</v>
      </c>
      <c r="BG853" s="62" t="n">
        <f aca="false">ROUNDUP(CL853+MAX(CM853,2*(J853/IF(CH853&gt;0,CH853,MAX(0.1,N(Cockpit!$O$6)))-CL853)),0)</f>
        <v>132</v>
      </c>
      <c r="BH853" s="63" t="n">
        <f aca="false">IF(BD853&gt;0,J853/BD853,-1)</f>
        <v>112</v>
      </c>
      <c r="BI853" s="63" t="n">
        <f aca="false">IF(AND(OR(CG853="L1",CG853="L23",CG853="LIFT"),BD853&gt;0),SUMIFS($BD$7:$BD$1843,$CG$7:$CG$1843,CG853,$BH$7:$BH$1843,"&gt;"&amp;BH853)+SUMIFS($BD$7:$BD$1843,$CG$7:$CG$1843,CG853,$BH$7:$BH$1843,BH853,$BX$7:$BX$1843,"&lt;="&amp;BX853),"")</f>
        <v>877.650183150183</v>
      </c>
      <c r="BJ853" s="70" t="n">
        <f aca="false">IF(BI853="",0,MAX(0,MIN(1,(IF(CG853="L1",Parameter!$H$5,IF(CG853="L23",Parameter!$H$6+Parameter!$H$7,Parameter!$H$5+Parameter!$H$6+Parameter!$H$7))-(BI853-BD853))/BD853)))</f>
        <v>1</v>
      </c>
      <c r="BK853" s="60" t="str">
        <f aca="false">IF(AJ853&lt;=0,"",IF(CG853="Aussen","Aussenlager",IF(CG853="-","Nicht im Lift",IF(AP853&gt;=1,"Lift",IF(AP853&lt;=0,"Aussenlager","teilweise")))))</f>
        <v>Lift</v>
      </c>
      <c r="BL853" s="60" t="str">
        <f aca="false">IF(AT853&lt;=0,"",IF(CG853="Aussen","Aussenlager",IF(CG853="-","Nicht im Lift",IF(AZ853&gt;=1,"Lift",IF(AZ853&lt;=0,"Aussenlager","teilweise")))))</f>
        <v>Lift</v>
      </c>
      <c r="BM853" s="60" t="str">
        <f aca="false">IF(BD853&lt;=0,"",IF(CG853="Aussen","Aussenlager",IF(CG853="-","Nicht im Lift",IF(BJ853&gt;=1,"Lift",IF(BJ853&lt;=0,"Aussenlager","teilweise")))))</f>
        <v>Lift</v>
      </c>
      <c r="BN853" s="60" t="str">
        <f aca="false">IF(A853="","",IF(BW853=1,"Neu; ","")&amp;IF(AND(BW853=0,BR853&lt;0),"negativer Bestand (Export "&amp;BR853&amp;"); ","")&amp;IF(J853&lt;=0,"Kein Verbrauch; ","")&amp;IF(CR853&gt;0,"Lift "&amp;W853&amp;" lt. Liftbericht (Fach "&amp;X853&amp;" Stk); ",IF(CB853=1,"Gebinde geschätzt ("&amp;T853&amp;"); ",IF(CA853=1,"Lose – Tablare geschätzt; ","")))&amp;IF(H853&gt;AW853,"Überbestand "&amp;ROUND(H853-AW853,0)&amp;" Stk / CHF "&amp;ROUND((H853-AW853)*G853,0)&amp;"; ","")&amp;IF(AND(CI853=1,CJ853&lt;CK853),"MAX &lt; MB+LG; ","")&amp;IF(AND(CQ853&gt;0,CP853*10&gt;CQ853),"zu hoch für Tablar; ","")&amp;IF(AND(BW853=0,OR(CI853=1,AB853&lt;&gt;"",U853&lt;&gt;"",V853&lt;&gt;"",AC853&lt;&gt;"")),"manuell übersteuert; ","")&amp;IF(AND(CA853=0,R853=0),"Gebinde unbekannt / Stellmass fehlt; ","")&amp;IF(AND(CA853=0,N(V853)&lt;=0,N(Q853)&lt;=0),"Menge pro Gebinde fehlt (Ist = 1 Gebinde); ","")&amp;BV853)</f>
        <v>negativer Bestand (Export -252); Überbestand 155 Stk / CHF 11; </v>
      </c>
      <c r="BO853" s="60"/>
      <c r="BP853" s="60"/>
      <c r="BQ853" s="67"/>
      <c r="BR853" s="62" t="n">
        <v>-252</v>
      </c>
      <c r="BS853" s="62" t="n">
        <v>539</v>
      </c>
      <c r="BT853" s="61" t="n">
        <v>-17.64</v>
      </c>
      <c r="BU853" s="62" t="n">
        <v>124</v>
      </c>
      <c r="BV853" s="60"/>
      <c r="BW853" s="65" t="n">
        <v>0</v>
      </c>
      <c r="BX853" s="65" t="n">
        <v>853</v>
      </c>
      <c r="BY853" s="60" t="str">
        <f aca="false">IF(U853&lt;&gt;"",UPPER(TRIM(U853)),IF(CB853=1,UPPER(VLOOKUP(T853,Parameter!$I$27:$K$29,2,0)),IF(P853="","LOSE",P853)))</f>
        <v>S22</v>
      </c>
      <c r="BZ853" s="62" t="n">
        <f aca="false">IF(BY853="LOSE",1,IF(N(V853)&gt;0,V853,IF(CB853=1,MAX(1,N(VLOOKUP(T853,Parameter!$I$27:$K$29,3,0)),H853,N(N853)),IF(N(Q853)&gt;0,Q853,MAX(1,H853)))))</f>
        <v>300</v>
      </c>
      <c r="CA853" s="65" t="n">
        <f aca="false">IF(BY853="LOSE",1,0)</f>
        <v>0</v>
      </c>
      <c r="CB853" s="65" t="n">
        <f aca="false">IF(AND(U853="",OR(P853="",P853="LOSE"),T853&lt;&gt;"",N(S853)&lt;=0,ISNUMBER(MATCH(T853,Parameter!$I$27:$I$29,0))),1,0)</f>
        <v>0</v>
      </c>
      <c r="CC853" s="65" t="n">
        <f aca="false">IF(CR853&gt;0,INDEX(Parameter!$H$5:$H$7,W853)/INDEX(Parameter!$E$5:$E$7,W853),IF(AND(CA853=0,N(IFERROR(VLOOKUP(BY853,'Gebinde-Kategorie'!$A$5:$N$45,14,0),0))&gt;0),VLOOKUP(BY853,'Gebinde-Kategorie'!$A$5:$N$45,14,0)*10+Parameter!$M$23,Parameter!$M$24))</f>
        <v>155</v>
      </c>
      <c r="CD853" s="60" t="str">
        <f aca="false">IF(AND(Parameter!$B$19="Ja",E853&lt;&gt;"",ISNUMBER(MATCH(E853,Parameter!$I$35:$I$52,0))),VLOOKUP(E853,Parameter!$I$35:$J$52,2,0),IFERROR(VLOOKUP(D853,Parameter!$A$35:$C$64,2,0),"Nein"))</f>
        <v>2+3</v>
      </c>
      <c r="CE853" s="64" t="n">
        <f aca="false">IF(CA853=0,0,IF(N(S853)&gt;0,S853,IFERROR(VLOOKUP(D853,Parameter!$A$35:$C$64,3,0)+0,0)))</f>
        <v>0</v>
      </c>
      <c r="CF853" s="60" t="n">
        <f aca="false">IF(AB853&lt;&gt;"",AB853,AA853)</f>
        <v>1</v>
      </c>
      <c r="CG853" s="60" t="str">
        <f aca="false">IF(OR(CF853=1,CF853=2,CF853=3),IF(Parameter!$E$27="Ja","LIFT",IF(CF853=1,"L1","L23")),IF(CF853="Aussen","Aussen","-"))</f>
        <v>LIFT</v>
      </c>
      <c r="CH853" s="71" t="n">
        <f aca="false">IF(N(AC853)&gt;0,AC853,0)</f>
        <v>0</v>
      </c>
      <c r="CI853" s="65" t="n">
        <f aca="false">IF(ISNUMBER(AF853),1,0)</f>
        <v>0</v>
      </c>
      <c r="CJ853" s="62" t="n">
        <f aca="false">N(AF853)</f>
        <v>0</v>
      </c>
      <c r="CK853" s="62" t="n">
        <f aca="false">N(M853)+N(N853)</f>
        <v>132</v>
      </c>
      <c r="CL853" s="62" t="n">
        <f aca="false">N(M853)</f>
        <v>7</v>
      </c>
      <c r="CM853" s="62" t="n">
        <f aca="false">N(N853)</f>
        <v>125</v>
      </c>
      <c r="CN853" s="62" t="n">
        <f aca="false">ROUNDUP(H853/BZ853,0)</f>
        <v>1</v>
      </c>
      <c r="CO853" s="62" t="n">
        <f aca="false">ROUNDUP(CJ853/BZ853,0)</f>
        <v>0</v>
      </c>
      <c r="CP853" s="65" t="n">
        <f aca="false">IF(CA853=1,0,IFERROR(VLOOKUP(BY853,'Gebinde-Kategorie'!$A$5:$N$45,5,0)+0,0))</f>
        <v>8</v>
      </c>
      <c r="CQ853" s="65" t="n">
        <f aca="false">IFERROR(IF(OR(CF853=1,CF853=2,CF853=3),N(INDEX(Parameter!$I$5:$I$7,CF853)),0),0)</f>
        <v>0</v>
      </c>
      <c r="CR853" s="64" t="n">
        <f aca="false">IF(AND(Parameter!$B$21="Ja",ISNUMBER(W853),N(X853)&gt;0),IFERROR(N(INDEX(Parameter!$L$5:$L$7,W853))*INDEX(Parameter!$E$5:$E$7,W853)*X853/SUMIFS($X$7:$X$1843,$W$7:$W$1843,W853),0),0)</f>
        <v>0</v>
      </c>
      <c r="CS853" s="62" t="n">
        <f aca="false">IF(AND(OR(CG853="L1",CG853="L23",CG853="LIFT"),H853&gt;0),CC853*IF(CR853&gt;0,CR853*MAX(1,H853/X853),IF(CA853=1,CE853,IF(R853&gt;0,CN853/R853,0))/MAX(0.1,N(Parameter!$M$21))),"")</f>
        <v>1.10714285714286</v>
      </c>
      <c r="CT853" s="64" t="n">
        <f aca="false">IF(CS853="","",J853/H853)</f>
        <v>0.43205574912892</v>
      </c>
      <c r="CU853" s="62" t="n">
        <f aca="false">IF(CS853="","",H853*G853)</f>
        <v>20.09</v>
      </c>
      <c r="CV853" s="63" t="n">
        <f aca="false">IF(CS853="","",(CL853+ROUNDUP(CL853+MAX(CM853,2*(J853/MAX(0.1,N(Einkauf!$C$6))-CL853)),0))/2)</f>
        <v>69.5</v>
      </c>
      <c r="CW853" s="62" t="n">
        <f aca="false">IF(CS853="","",MAX(0,H853-CV853)*G853)</f>
        <v>15.225</v>
      </c>
      <c r="CX853" s="62" t="n">
        <f aca="false">IF(CS853="","",CS853*MAX(0,1-CV853/H853))</f>
        <v>0.839036834245894</v>
      </c>
      <c r="CY853" s="64" t="n">
        <f aca="false">IF(CS853="","",PERCENTRANK($CS$7:$CS$1843,CS853)+PERCENTRANK($CU$7:$CU$1843,CU853)+1-PERCENTRANK($CT$7:$CT$1843,CT853))</f>
        <v>0.5903</v>
      </c>
      <c r="CZ853" s="72" t="n">
        <f aca="false">IF(CS853="","",CHOOSE(MATCH(Einkauf!$C$5,Parameter!$G$23:$G$27,0),CY853,CS853,CU853,-CT853,CW853)+ROW()/1000000000)</f>
        <v>0.590300853</v>
      </c>
    </row>
    <row r="854" customFormat="false" ht="15" hidden="false" customHeight="false" outlineLevel="0" collapsed="false">
      <c r="A854" s="60" t="s">
        <v>1670</v>
      </c>
      <c r="B854" s="60" t="s">
        <v>445</v>
      </c>
      <c r="C854" s="60" t="s">
        <v>206</v>
      </c>
      <c r="D854" s="60" t="s">
        <v>226</v>
      </c>
      <c r="E854" s="60" t="s">
        <v>227</v>
      </c>
      <c r="F854" s="60" t="s">
        <v>260</v>
      </c>
      <c r="G854" s="61" t="n">
        <v>0.34</v>
      </c>
      <c r="H854" s="62" t="n">
        <f aca="false">MAX(0,IF(AND(Parameter!$B$21="Ja",ISNUMBER(Y854)),Y854,IF(Parameter!$B$20="Jahresanfang 2025 + Export",BS854+BR854,BR854)))</f>
        <v>50</v>
      </c>
      <c r="I854" s="62" t="n">
        <f aca="false">H854*G854</f>
        <v>17</v>
      </c>
      <c r="J854" s="62" t="n">
        <f aca="false">BU854*Parameter!$B$18</f>
        <v>400</v>
      </c>
      <c r="K854" s="63" t="n">
        <v>178</v>
      </c>
      <c r="L854" s="64" t="n">
        <v>2.24719101123596</v>
      </c>
      <c r="M854" s="62" t="n">
        <v>23</v>
      </c>
      <c r="N854" s="62" t="n">
        <v>400</v>
      </c>
      <c r="O854" s="65" t="n">
        <v>21</v>
      </c>
      <c r="P854" s="60" t="s">
        <v>268</v>
      </c>
      <c r="Q854" s="62" t="n">
        <v>555</v>
      </c>
      <c r="R854" s="65" t="n">
        <f aca="false">IF(CA854=1,0,IFERROR(VLOOKUP(BY854,'Gebinde-Kategorie'!$A$5:$N$45,13,0)+0,0))</f>
        <v>12</v>
      </c>
      <c r="S854" s="66"/>
      <c r="T854" s="67"/>
      <c r="U854" s="67"/>
      <c r="V854" s="67"/>
      <c r="W854" s="60"/>
      <c r="X854" s="62"/>
      <c r="Y854" s="62"/>
      <c r="Z854" s="60" t="n">
        <v>3</v>
      </c>
      <c r="AA854" s="60" t="n">
        <f aca="false">IF(A854="","",IF(AND(Parameter!$B$21="Ja",ISNUMBER(W854)),W854,IF(AND(Parameter!$E$27="Ja",ISNUMBER(Z854),CD854&lt;&gt;"Nein"),Z854,IF(CD854="2+3",IF(ISNUMBER(SEARCH("grosser Artikel",BV854)),2,IFERROR(VLOOKUP(BY854,Parameter!$F$35:$G$64,2,0),2)),IF(OR(CD854="Nein",CD854=""),"-",CD854)))))</f>
        <v>3</v>
      </c>
      <c r="AB854" s="67"/>
      <c r="AC854" s="68"/>
      <c r="AD854" s="62" t="n">
        <f aca="false">AW854</f>
        <v>423</v>
      </c>
      <c r="AE854" s="62" t="n">
        <f aca="false">MAX(AW854,H854)</f>
        <v>423</v>
      </c>
      <c r="AF854" s="69"/>
      <c r="AG854" s="62" t="n">
        <f aca="false">IF(LEFT(Cockpit!$C$5,1)="A",H854,IF(Parameter!$E$30="MAX-Bestand",IF(CI854=1,CJ854,IF(LEFT(Cockpit!$C$5,1)="B",AM854,MAX(AM854,H854))),ROUNDUP(AK854,0)))</f>
        <v>50</v>
      </c>
      <c r="AH854" s="62" t="n">
        <f aca="false">IF(CA854=1,0,ROUNDUP(AG854/BZ854,0))</f>
        <v>1</v>
      </c>
      <c r="AI854" s="64" t="n">
        <f aca="false">IF(CR854&gt;0,CR854*MAX(1,AG854/X854),IF(CA854=1,IF(AG854&lt;=0,0,CE854*MAX(1,IF(H854&gt;0,AG854/H854,1))),IF(R854&gt;0,AH854/R854,0))/MAX(0.1,N(Parameter!$M$21)))</f>
        <v>0.0833333333333333</v>
      </c>
      <c r="AJ854" s="62" t="n">
        <f aca="false">AI854*CC854</f>
        <v>28.75</v>
      </c>
      <c r="AK854" s="63" t="n">
        <f aca="false">IF(LEFT(Cockpit!$C$5,1)="A",H854,IF(CI854=1,(CL854+CJ854)/2,IF(LEFT(Cockpit!$C$5,1)="B",(CL854+AM854)/2,MAX((CL854+AM854)/2,H854))))</f>
        <v>50</v>
      </c>
      <c r="AL854" s="62" t="n">
        <f aca="false">AK854*G854</f>
        <v>17</v>
      </c>
      <c r="AM854" s="62" t="n">
        <f aca="false">ROUNDUP(CL854+MAX(CM854,2*(J854/IF(CH854&gt;0,CH854,MAX(0.1,N(Cockpit!$C$6)))-CL854)),0)</f>
        <v>423</v>
      </c>
      <c r="AN854" s="63" t="n">
        <f aca="false">IF(AJ854&gt;0,J854/AJ854,-1)</f>
        <v>13.9130434782609</v>
      </c>
      <c r="AO854" s="63" t="n">
        <f aca="false">IF(AND(OR(CG854="L1",CG854="L23",CG854="LIFT"),AJ854&gt;0),SUMIFS($AJ$7:$AJ$1843,$CG$7:$CG$1843,CG854,$AN$7:$AN$1843,"&gt;"&amp;AN854)+SUMIFS($AJ$7:$AJ$1843,$CG$7:$CG$1843,CG854,$AN$7:$AN$1843,AN854,$BX$7:$BX$1843,"&lt;="&amp;BX854),"")</f>
        <v>2200.84340659341</v>
      </c>
      <c r="AP854" s="70" t="n">
        <f aca="false">IF(AO854="",0,MAX(0,MIN(1,(IF(CG854="L1",Parameter!$H$5,IF(CG854="L23",Parameter!$H$6+Parameter!$H$7,Parameter!$H$5+Parameter!$H$6+Parameter!$H$7))-(AO854-AJ854))/AJ854)))</f>
        <v>1</v>
      </c>
      <c r="AQ854" s="62" t="n">
        <f aca="false">IF(LEFT(Cockpit!$I$5,1)="A",H854,IF(Parameter!$E$30="MAX-Bestand",IF(CI854=1,CJ854,IF(LEFT(Cockpit!$I$5,1)="B",AW854,MAX(AW854,H854))),ROUNDUP(AU854,0)))</f>
        <v>223</v>
      </c>
      <c r="AR854" s="62" t="n">
        <f aca="false">IF(CA854=1,0,ROUNDUP(AQ854/BZ854,0))</f>
        <v>1</v>
      </c>
      <c r="AS854" s="64" t="n">
        <f aca="false">IF(CR854&gt;0,CR854*MAX(1,AQ854/X854),IF(CA854=1,IF(AQ854&lt;=0,0,CE854*MAX(1,IF(H854&gt;0,AQ854/H854,1))),IF(R854&gt;0,AR854/R854,0))/MAX(0.1,N(Parameter!$M$21)))</f>
        <v>0.0833333333333333</v>
      </c>
      <c r="AT854" s="62" t="n">
        <f aca="false">AS854*CC854</f>
        <v>28.75</v>
      </c>
      <c r="AU854" s="63" t="n">
        <f aca="false">IF(LEFT(Cockpit!$I$5,1)="A",H854,IF(CI854=1,(CL854+CJ854)/2,IF(LEFT(Cockpit!$I$5,1)="B",(CL854+AW854)/2,MAX((CL854+AW854)/2,H854))))</f>
        <v>223</v>
      </c>
      <c r="AV854" s="62" t="n">
        <f aca="false">AU854*G854</f>
        <v>75.82</v>
      </c>
      <c r="AW854" s="62" t="n">
        <f aca="false">ROUNDUP(CL854+MAX(CM854,2*(J854/IF(CH854&gt;0,CH854,MAX(0.1,N(Cockpit!$I$6)))-CL854)),0)</f>
        <v>423</v>
      </c>
      <c r="AX854" s="63" t="n">
        <f aca="false">IF(AT854&gt;0,J854/AT854,-1)</f>
        <v>13.9130434782609</v>
      </c>
      <c r="AY854" s="63" t="n">
        <f aca="false">IF(AND(OR(CG854="L1",CG854="L23",CG854="LIFT"),AT854&gt;0),SUMIFS($AT$7:$AT$1843,$CG$7:$CG$1843,CG854,$AX$7:$AX$1843,"&gt;"&amp;AX854)+SUMIFS($AT$7:$AT$1843,$CG$7:$CG$1843,CG854,$AX$7:$AX$1843,AX854,$BX$7:$BX$1843,"&lt;="&amp;BX854),"")</f>
        <v>2820.03021978022</v>
      </c>
      <c r="AZ854" s="70" t="n">
        <f aca="false">IF(AY854="",0,MAX(0,MIN(1,(IF(CG854="L1",Parameter!$H$5,IF(CG854="L23",Parameter!$H$6+Parameter!$H$7,Parameter!$H$5+Parameter!$H$6+Parameter!$H$7))-(AY854-AT854))/AT854)))</f>
        <v>1</v>
      </c>
      <c r="BA854" s="62" t="n">
        <f aca="false">IF(LEFT(Cockpit!$O$5,1)="A",H854,IF(Parameter!$E$30="MAX-Bestand",IF(CI854=1,CJ854,IF(LEFT(Cockpit!$O$5,1)="B",BG854,MAX(BG854,H854))),ROUNDUP(BE854,0)))</f>
        <v>223</v>
      </c>
      <c r="BB854" s="62" t="n">
        <f aca="false">IF(CA854=1,0,ROUNDUP(BA854/BZ854,0))</f>
        <v>1</v>
      </c>
      <c r="BC854" s="64" t="n">
        <f aca="false">IF(CR854&gt;0,CR854*MAX(1,BA854/X854),IF(CA854=1,IF(BA854&lt;=0,0,CE854*MAX(1,IF(H854&gt;0,BA854/H854,1))),IF(R854&gt;0,BB854/R854,0))/MAX(0.1,N(Parameter!$M$21)))</f>
        <v>0.0833333333333333</v>
      </c>
      <c r="BD854" s="62" t="n">
        <f aca="false">BC854*CC854</f>
        <v>28.75</v>
      </c>
      <c r="BE854" s="63" t="n">
        <f aca="false">IF(LEFT(Cockpit!$O$5,1)="A",H854,IF(CI854=1,(CL854+CJ854)/2,IF(LEFT(Cockpit!$O$5,1)="B",(CL854+BG854)/2,MAX((CL854+BG854)/2,H854))))</f>
        <v>223</v>
      </c>
      <c r="BF854" s="62" t="n">
        <f aca="false">BE854*G854</f>
        <v>75.82</v>
      </c>
      <c r="BG854" s="62" t="n">
        <f aca="false">ROUNDUP(CL854+MAX(CM854,2*(J854/IF(CH854&gt;0,CH854,MAX(0.1,N(Cockpit!$O$6)))-CL854)),0)</f>
        <v>423</v>
      </c>
      <c r="BH854" s="63" t="n">
        <f aca="false">IF(BD854&gt;0,J854/BD854,-1)</f>
        <v>13.9130434782609</v>
      </c>
      <c r="BI854" s="63" t="n">
        <f aca="false">IF(AND(OR(CG854="L1",CG854="L23",CG854="LIFT"),BD854&gt;0),SUMIFS($BD$7:$BD$1843,$CG$7:$CG$1843,CG854,$BH$7:$BH$1843,"&gt;"&amp;BH854)+SUMIFS($BD$7:$BD$1843,$CG$7:$CG$1843,CG854,$BH$7:$BH$1843,BH854,$BX$7:$BX$1843,"&lt;="&amp;BX854),"")</f>
        <v>2488.71703296703</v>
      </c>
      <c r="BJ854" s="70" t="n">
        <f aca="false">IF(BI854="",0,MAX(0,MIN(1,(IF(CG854="L1",Parameter!$H$5,IF(CG854="L23",Parameter!$H$6+Parameter!$H$7,Parameter!$H$5+Parameter!$H$6+Parameter!$H$7))-(BI854-BD854))/BD854)))</f>
        <v>1</v>
      </c>
      <c r="BK854" s="60" t="str">
        <f aca="false">IF(AJ854&lt;=0,"",IF(CG854="Aussen","Aussenlager",IF(CG854="-","Nicht im Lift",IF(AP854&gt;=1,"Lift",IF(AP854&lt;=0,"Aussenlager","teilweise")))))</f>
        <v>Lift</v>
      </c>
      <c r="BL854" s="60" t="str">
        <f aca="false">IF(AT854&lt;=0,"",IF(CG854="Aussen","Aussenlager",IF(CG854="-","Nicht im Lift",IF(AZ854&gt;=1,"Lift",IF(AZ854&lt;=0,"Aussenlager","teilweise")))))</f>
        <v>Lift</v>
      </c>
      <c r="BM854" s="60" t="str">
        <f aca="false">IF(BD854&lt;=0,"",IF(CG854="Aussen","Aussenlager",IF(CG854="-","Nicht im Lift",IF(BJ854&gt;=1,"Lift",IF(BJ854&lt;=0,"Aussenlager","teilweise")))))</f>
        <v>Lift</v>
      </c>
      <c r="BN854" s="60" t="str">
        <f aca="false">IF(A854="","",IF(BW854=1,"Neu; ","")&amp;IF(AND(BW854=0,BR854&lt;0),"negativer Bestand (Export "&amp;BR854&amp;"); ","")&amp;IF(J854&lt;=0,"Kein Verbrauch; ","")&amp;IF(CR854&gt;0,"Lift "&amp;W854&amp;" lt. Liftbericht (Fach "&amp;X854&amp;" Stk); ",IF(CB854=1,"Gebinde geschätzt ("&amp;T854&amp;"); ",IF(CA854=1,"Lose – Tablare geschätzt; ","")))&amp;IF(H854&gt;AW854,"Überbestand "&amp;ROUND(H854-AW854,0)&amp;" Stk / CHF "&amp;ROUND((H854-AW854)*G854,0)&amp;"; ","")&amp;IF(AND(CI854=1,CJ854&lt;CK854),"MAX &lt; MB+LG; ","")&amp;IF(AND(CQ854&gt;0,CP854*10&gt;CQ854),"zu hoch für Tablar; ","")&amp;IF(AND(BW854=0,OR(CI854=1,AB854&lt;&gt;"",U854&lt;&gt;"",V854&lt;&gt;"",AC854&lt;&gt;"")),"manuell übersteuert; ","")&amp;IF(AND(CA854=0,R854=0),"Gebinde unbekannt / Stellmass fehlt; ","")&amp;IF(AND(CA854=0,N(V854)&lt;=0,N(Q854)&lt;=0),"Menge pro Gebinde fehlt (Ist = 1 Gebinde); ","")&amp;BV854)</f>
        <v>negativer Bestand (Export -56); </v>
      </c>
      <c r="BO854" s="60"/>
      <c r="BP854" s="60"/>
      <c r="BQ854" s="67"/>
      <c r="BR854" s="62" t="n">
        <v>-56</v>
      </c>
      <c r="BS854" s="62" t="n">
        <v>106</v>
      </c>
      <c r="BT854" s="61" t="n">
        <v>-17.98</v>
      </c>
      <c r="BU854" s="62" t="n">
        <v>400</v>
      </c>
      <c r="BV854" s="60"/>
      <c r="BW854" s="65" t="n">
        <v>0</v>
      </c>
      <c r="BX854" s="65" t="n">
        <v>854</v>
      </c>
      <c r="BY854" s="60" t="str">
        <f aca="false">IF(U854&lt;&gt;"",UPPER(TRIM(U854)),IF(CB854=1,UPPER(VLOOKUP(T854,Parameter!$I$27:$K$29,2,0)),IF(P854="","LOSE",P854)))</f>
        <v>S63</v>
      </c>
      <c r="BZ854" s="62" t="n">
        <f aca="false">IF(BY854="LOSE",1,IF(N(V854)&gt;0,V854,IF(CB854=1,MAX(1,N(VLOOKUP(T854,Parameter!$I$27:$K$29,3,0)),H854,N(N854)),IF(N(Q854)&gt;0,Q854,MAX(1,H854)))))</f>
        <v>555</v>
      </c>
      <c r="CA854" s="65" t="n">
        <f aca="false">IF(BY854="LOSE",1,0)</f>
        <v>0</v>
      </c>
      <c r="CB854" s="65" t="n">
        <f aca="false">IF(AND(U854="",OR(P854="",P854="LOSE"),T854&lt;&gt;"",N(S854)&lt;=0,ISNUMBER(MATCH(T854,Parameter!$I$27:$I$29,0))),1,0)</f>
        <v>0</v>
      </c>
      <c r="CC854" s="65" t="n">
        <f aca="false">IF(CR854&gt;0,INDEX(Parameter!$H$5:$H$7,W854)/INDEX(Parameter!$E$5:$E$7,W854),IF(AND(CA854=0,N(IFERROR(VLOOKUP(BY854,'Gebinde-Kategorie'!$A$5:$N$45,14,0),0))&gt;0),VLOOKUP(BY854,'Gebinde-Kategorie'!$A$5:$N$45,14,0)*10+Parameter!$M$23,Parameter!$M$24))</f>
        <v>345</v>
      </c>
      <c r="CD854" s="60" t="str">
        <f aca="false">IF(AND(Parameter!$B$19="Ja",E854&lt;&gt;"",ISNUMBER(MATCH(E854,Parameter!$I$35:$I$52,0))),VLOOKUP(E854,Parameter!$I$35:$J$52,2,0),IFERROR(VLOOKUP(D854,Parameter!$A$35:$C$64,2,0),"Nein"))</f>
        <v>2+3</v>
      </c>
      <c r="CE854" s="64" t="n">
        <f aca="false">IF(CA854=0,0,IF(N(S854)&gt;0,S854,IFERROR(VLOOKUP(D854,Parameter!$A$35:$C$64,3,0)+0,0)))</f>
        <v>0</v>
      </c>
      <c r="CF854" s="60" t="n">
        <f aca="false">IF(AB854&lt;&gt;"",AB854,AA854)</f>
        <v>3</v>
      </c>
      <c r="CG854" s="60" t="str">
        <f aca="false">IF(OR(CF854=1,CF854=2,CF854=3),IF(Parameter!$E$27="Ja","LIFT",IF(CF854=1,"L1","L23")),IF(CF854="Aussen","Aussen","-"))</f>
        <v>LIFT</v>
      </c>
      <c r="CH854" s="71" t="n">
        <f aca="false">IF(N(AC854)&gt;0,AC854,0)</f>
        <v>0</v>
      </c>
      <c r="CI854" s="65" t="n">
        <f aca="false">IF(ISNUMBER(AF854),1,0)</f>
        <v>0</v>
      </c>
      <c r="CJ854" s="62" t="n">
        <f aca="false">N(AF854)</f>
        <v>0</v>
      </c>
      <c r="CK854" s="62" t="n">
        <f aca="false">N(M854)+N(N854)</f>
        <v>423</v>
      </c>
      <c r="CL854" s="62" t="n">
        <f aca="false">N(M854)</f>
        <v>23</v>
      </c>
      <c r="CM854" s="62" t="n">
        <f aca="false">N(N854)</f>
        <v>400</v>
      </c>
      <c r="CN854" s="62" t="n">
        <f aca="false">ROUNDUP(H854/BZ854,0)</f>
        <v>1</v>
      </c>
      <c r="CO854" s="62" t="n">
        <f aca="false">ROUNDUP(CJ854/BZ854,0)</f>
        <v>0</v>
      </c>
      <c r="CP854" s="65" t="n">
        <f aca="false">IF(CA854=1,0,IFERROR(VLOOKUP(BY854,'Gebinde-Kategorie'!$A$5:$N$45,5,0)+0,0))</f>
        <v>31</v>
      </c>
      <c r="CQ854" s="65" t="n">
        <f aca="false">IFERROR(IF(OR(CF854=1,CF854=2,CF854=3),N(INDEX(Parameter!$I$5:$I$7,CF854)),0),0)</f>
        <v>0</v>
      </c>
      <c r="CR854" s="64" t="n">
        <f aca="false">IF(AND(Parameter!$B$21="Ja",ISNUMBER(W854),N(X854)&gt;0),IFERROR(N(INDEX(Parameter!$L$5:$L$7,W854))*INDEX(Parameter!$E$5:$E$7,W854)*X854/SUMIFS($X$7:$X$1843,$W$7:$W$1843,W854),0),0)</f>
        <v>0</v>
      </c>
      <c r="CS854" s="62" t="n">
        <f aca="false">IF(AND(OR(CG854="L1",CG854="L23",CG854="LIFT"),H854&gt;0),CC854*IF(CR854&gt;0,CR854*MAX(1,H854/X854),IF(CA854=1,CE854,IF(R854&gt;0,CN854/R854,0))/MAX(0.1,N(Parameter!$M$21))),"")</f>
        <v>28.75</v>
      </c>
      <c r="CT854" s="64" t="n">
        <f aca="false">IF(CS854="","",J854/H854)</f>
        <v>8</v>
      </c>
      <c r="CU854" s="62" t="n">
        <f aca="false">IF(CS854="","",H854*G854)</f>
        <v>17</v>
      </c>
      <c r="CV854" s="63" t="n">
        <f aca="false">IF(CS854="","",(CL854+ROUNDUP(CL854+MAX(CM854,2*(J854/MAX(0.1,N(Einkauf!$C$6))-CL854)),0))/2)</f>
        <v>223</v>
      </c>
      <c r="CW854" s="62" t="n">
        <f aca="false">IF(CS854="","",MAX(0,H854-CV854)*G854)</f>
        <v>0</v>
      </c>
      <c r="CX854" s="62" t="n">
        <f aca="false">IF(CS854="","",CS854*MAX(0,1-CV854/H854))</f>
        <v>0</v>
      </c>
      <c r="CY854" s="64" t="n">
        <f aca="false">IF(CS854="","",PERCENTRANK($CS$7:$CS$1843,CS854)+PERCENTRANK($CU$7:$CU$1843,CU854)+1-PERCENTRANK($CT$7:$CT$1843,CT854))</f>
        <v>0.9037</v>
      </c>
      <c r="CZ854" s="72" t="n">
        <f aca="false">IF(CS854="","",CHOOSE(MATCH(Einkauf!$C$5,Parameter!$G$23:$G$27,0),CY854,CS854,CU854,-CT854,CW854)+ROW()/1000000000)</f>
        <v>0.903700854</v>
      </c>
    </row>
    <row r="855" customFormat="false" ht="15" hidden="false" customHeight="false" outlineLevel="0" collapsed="false">
      <c r="A855" s="60" t="s">
        <v>1671</v>
      </c>
      <c r="B855" s="60" t="s">
        <v>1672</v>
      </c>
      <c r="C855" s="60" t="s">
        <v>206</v>
      </c>
      <c r="D855" s="60" t="s">
        <v>226</v>
      </c>
      <c r="E855" s="60" t="s">
        <v>227</v>
      </c>
      <c r="F855" s="60" t="s">
        <v>260</v>
      </c>
      <c r="G855" s="61" t="n">
        <v>0.77</v>
      </c>
      <c r="H855" s="62" t="n">
        <f aca="false">MAX(0,IF(AND(Parameter!$B$21="Ja",ISNUMBER(Y855)),Y855,IF(Parameter!$B$20="Jahresanfang 2025 + Export",BS855+BR855,BR855)))</f>
        <v>5</v>
      </c>
      <c r="I855" s="62" t="n">
        <f aca="false">H855*G855</f>
        <v>3.85</v>
      </c>
      <c r="J855" s="62" t="n">
        <f aca="false">BU855*Parameter!$B$18</f>
        <v>2</v>
      </c>
      <c r="K855" s="63" t="n">
        <v>16</v>
      </c>
      <c r="L855" s="64" t="n">
        <v>0.125</v>
      </c>
      <c r="M855" s="62" t="n">
        <v>0</v>
      </c>
      <c r="N855" s="62" t="n">
        <v>1</v>
      </c>
      <c r="O855" s="65" t="n">
        <v>14</v>
      </c>
      <c r="P855" s="60" t="s">
        <v>210</v>
      </c>
      <c r="Q855" s="62"/>
      <c r="R855" s="65" t="n">
        <f aca="false">IF(CA855=1,0,IFERROR(VLOOKUP(BY855,'Gebinde-Kategorie'!$A$5:$N$45,13,0)+0,0))</f>
        <v>26</v>
      </c>
      <c r="S855" s="66"/>
      <c r="T855" s="67" t="s">
        <v>317</v>
      </c>
      <c r="U855" s="67"/>
      <c r="V855" s="67"/>
      <c r="W855" s="60"/>
      <c r="X855" s="62"/>
      <c r="Y855" s="62"/>
      <c r="Z855" s="60" t="n">
        <v>3</v>
      </c>
      <c r="AA855" s="60" t="n">
        <f aca="false">IF(A855="","",IF(AND(Parameter!$B$21="Ja",ISNUMBER(W855)),W855,IF(AND(Parameter!$E$27="Ja",ISNUMBER(Z855),CD855&lt;&gt;"Nein"),Z855,IF(CD855="2+3",IF(ISNUMBER(SEARCH("grosser Artikel",BV855)),2,IFERROR(VLOOKUP(BY855,Parameter!$F$35:$G$64,2,0),2)),IF(OR(CD855="Nein",CD855=""),"-",CD855)))))</f>
        <v>3</v>
      </c>
      <c r="AB855" s="67"/>
      <c r="AC855" s="68"/>
      <c r="AD855" s="62" t="n">
        <f aca="false">AW855</f>
        <v>2</v>
      </c>
      <c r="AE855" s="62" t="n">
        <f aca="false">MAX(AW855,H855)</f>
        <v>5</v>
      </c>
      <c r="AF855" s="69"/>
      <c r="AG855" s="62" t="n">
        <f aca="false">IF(LEFT(Cockpit!$C$5,1)="A",H855,IF(Parameter!$E$30="MAX-Bestand",IF(CI855=1,CJ855,IF(LEFT(Cockpit!$C$5,1)="B",AM855,MAX(AM855,H855))),ROUNDUP(AK855,0)))</f>
        <v>5</v>
      </c>
      <c r="AH855" s="62" t="n">
        <f aca="false">IF(CA855=1,0,ROUNDUP(AG855/BZ855,0))</f>
        <v>1</v>
      </c>
      <c r="AI855" s="64" t="n">
        <f aca="false">IF(CR855&gt;0,CR855*MAX(1,AG855/X855),IF(CA855=1,IF(AG855&lt;=0,0,CE855*MAX(1,IF(H855&gt;0,AG855/H855,1))),IF(R855&gt;0,AH855/R855,0))/MAX(0.1,N(Parameter!$M$21)))</f>
        <v>0.0384615384615385</v>
      </c>
      <c r="AJ855" s="62" t="n">
        <f aca="false">AI855*CC855</f>
        <v>5.96153846153846</v>
      </c>
      <c r="AK855" s="63" t="n">
        <f aca="false">IF(LEFT(Cockpit!$C$5,1)="A",H855,IF(CI855=1,(CL855+CJ855)/2,IF(LEFT(Cockpit!$C$5,1)="B",(CL855+AM855)/2,MAX((CL855+AM855)/2,H855))))</f>
        <v>5</v>
      </c>
      <c r="AL855" s="62" t="n">
        <f aca="false">AK855*G855</f>
        <v>3.85</v>
      </c>
      <c r="AM855" s="62" t="n">
        <f aca="false">ROUNDUP(CL855+MAX(CM855,2*(J855/IF(CH855&gt;0,CH855,MAX(0.1,N(Cockpit!$C$6)))-CL855)),0)</f>
        <v>2</v>
      </c>
      <c r="AN855" s="63" t="n">
        <f aca="false">IF(AJ855&gt;0,J855/AJ855,-1)</f>
        <v>0.335483870967742</v>
      </c>
      <c r="AO855" s="63" t="n">
        <f aca="false">IF(AND(OR(CG855="L1",CG855="L23",CG855="LIFT"),AJ855&gt;0),SUMIFS($AJ$7:$AJ$1843,$CG$7:$CG$1843,CG855,$AN$7:$AN$1843,"&gt;"&amp;AN855)+SUMIFS($AJ$7:$AJ$1843,$CG$7:$CG$1843,CG855,$AN$7:$AN$1843,AN855,$BX$7:$BX$1843,"&lt;="&amp;BX855),"")</f>
        <v>11209.8655010244</v>
      </c>
      <c r="AP855" s="70" t="n">
        <f aca="false">IF(AO855="",0,MAX(0,MIN(1,(IF(CG855="L1",Parameter!$H$5,IF(CG855="L23",Parameter!$H$6+Parameter!$H$7,Parameter!$H$5+Parameter!$H$6+Parameter!$H$7))-(AO855-AJ855))/AJ855)))</f>
        <v>1</v>
      </c>
      <c r="AQ855" s="62" t="n">
        <f aca="false">IF(LEFT(Cockpit!$I$5,1)="A",H855,IF(Parameter!$E$30="MAX-Bestand",IF(CI855=1,CJ855,IF(LEFT(Cockpit!$I$5,1)="B",AW855,MAX(AW855,H855))),ROUNDUP(AU855,0)))</f>
        <v>5</v>
      </c>
      <c r="AR855" s="62" t="n">
        <f aca="false">IF(CA855=1,0,ROUNDUP(AQ855/BZ855,0))</f>
        <v>1</v>
      </c>
      <c r="AS855" s="64" t="n">
        <f aca="false">IF(CR855&gt;0,CR855*MAX(1,AQ855/X855),IF(CA855=1,IF(AQ855&lt;=0,0,CE855*MAX(1,IF(H855&gt;0,AQ855/H855,1))),IF(R855&gt;0,AR855/R855,0))/MAX(0.1,N(Parameter!$M$21)))</f>
        <v>0.0384615384615385</v>
      </c>
      <c r="AT855" s="62" t="n">
        <f aca="false">AS855*CC855</f>
        <v>5.96153846153846</v>
      </c>
      <c r="AU855" s="63" t="n">
        <f aca="false">IF(LEFT(Cockpit!$I$5,1)="A",H855,IF(CI855=1,(CL855+CJ855)/2,IF(LEFT(Cockpit!$I$5,1)="B",(CL855+AW855)/2,MAX((CL855+AW855)/2,H855))))</f>
        <v>5</v>
      </c>
      <c r="AV855" s="62" t="n">
        <f aca="false">AU855*G855</f>
        <v>3.85</v>
      </c>
      <c r="AW855" s="62" t="n">
        <f aca="false">ROUNDUP(CL855+MAX(CM855,2*(J855/IF(CH855&gt;0,CH855,MAX(0.1,N(Cockpit!$I$6)))-CL855)),0)</f>
        <v>2</v>
      </c>
      <c r="AX855" s="63" t="n">
        <f aca="false">IF(AT855&gt;0,J855/AT855,-1)</f>
        <v>0.335483870967742</v>
      </c>
      <c r="AY855" s="63" t="n">
        <f aca="false">IF(AND(OR(CG855="L1",CG855="L23",CG855="LIFT"),AT855&gt;0),SUMIFS($AT$7:$AT$1843,$CG$7:$CG$1843,CG855,$AX$7:$AX$1843,"&gt;"&amp;AX855)+SUMIFS($AT$7:$AT$1843,$CG$7:$CG$1843,CG855,$AX$7:$AX$1843,AX855,$BX$7:$BX$1843,"&lt;="&amp;BX855),"")</f>
        <v>13744.0032051282</v>
      </c>
      <c r="AZ855" s="70" t="n">
        <f aca="false">IF(AY855="",0,MAX(0,MIN(1,(IF(CG855="L1",Parameter!$H$5,IF(CG855="L23",Parameter!$H$6+Parameter!$H$7,Parameter!$H$5+Parameter!$H$6+Parameter!$H$7))-(AY855-AT855))/AT855)))</f>
        <v>1</v>
      </c>
      <c r="BA855" s="62" t="n">
        <f aca="false">IF(LEFT(Cockpit!$O$5,1)="A",H855,IF(Parameter!$E$30="MAX-Bestand",IF(CI855=1,CJ855,IF(LEFT(Cockpit!$O$5,1)="B",BG855,MAX(BG855,H855))),ROUNDUP(BE855,0)))</f>
        <v>1</v>
      </c>
      <c r="BB855" s="62" t="n">
        <f aca="false">IF(CA855=1,0,ROUNDUP(BA855/BZ855,0))</f>
        <v>1</v>
      </c>
      <c r="BC855" s="64" t="n">
        <f aca="false">IF(CR855&gt;0,CR855*MAX(1,BA855/X855),IF(CA855=1,IF(BA855&lt;=0,0,CE855*MAX(1,IF(H855&gt;0,BA855/H855,1))),IF(R855&gt;0,BB855/R855,0))/MAX(0.1,N(Parameter!$M$21)))</f>
        <v>0.0384615384615385</v>
      </c>
      <c r="BD855" s="62" t="n">
        <f aca="false">BC855*CC855</f>
        <v>5.96153846153846</v>
      </c>
      <c r="BE855" s="63" t="n">
        <f aca="false">IF(LEFT(Cockpit!$O$5,1)="A",H855,IF(CI855=1,(CL855+CJ855)/2,IF(LEFT(Cockpit!$O$5,1)="B",(CL855+BG855)/2,MAX((CL855+BG855)/2,H855))))</f>
        <v>0.5</v>
      </c>
      <c r="BF855" s="62" t="n">
        <f aca="false">BE855*G855</f>
        <v>0.385</v>
      </c>
      <c r="BG855" s="62" t="n">
        <f aca="false">ROUNDUP(CL855+MAX(CM855,2*(J855/IF(CH855&gt;0,CH855,MAX(0.1,N(Cockpit!$O$6)))-CL855)),0)</f>
        <v>1</v>
      </c>
      <c r="BH855" s="63" t="n">
        <f aca="false">IF(BD855&gt;0,J855/BD855,-1)</f>
        <v>0.335483870967742</v>
      </c>
      <c r="BI855" s="63" t="n">
        <f aca="false">IF(AND(OR(CG855="L1",CG855="L23",CG855="LIFT"),BD855&gt;0),SUMIFS($BD$7:$BD$1843,$CG$7:$CG$1843,CG855,$BH$7:$BH$1843,"&gt;"&amp;BH855)+SUMIFS($BD$7:$BD$1843,$CG$7:$CG$1843,CG855,$BH$7:$BH$1843,BH855,$BX$7:$BX$1843,"&lt;="&amp;BX855),"")</f>
        <v>11594.961996337</v>
      </c>
      <c r="BJ855" s="70" t="n">
        <f aca="false">IF(BI855="",0,MAX(0,MIN(1,(IF(CG855="L1",Parameter!$H$5,IF(CG855="L23",Parameter!$H$6+Parameter!$H$7,Parameter!$H$5+Parameter!$H$6+Parameter!$H$7))-(BI855-BD855))/BD855)))</f>
        <v>1</v>
      </c>
      <c r="BK855" s="60" t="str">
        <f aca="false">IF(AJ855&lt;=0,"",IF(CG855="Aussen","Aussenlager",IF(CG855="-","Nicht im Lift",IF(AP855&gt;=1,"Lift",IF(AP855&lt;=0,"Aussenlager","teilweise")))))</f>
        <v>Lift</v>
      </c>
      <c r="BL855" s="60" t="str">
        <f aca="false">IF(AT855&lt;=0,"",IF(CG855="Aussen","Aussenlager",IF(CG855="-","Nicht im Lift",IF(AZ855&gt;=1,"Lift",IF(AZ855&lt;=0,"Aussenlager","teilweise")))))</f>
        <v>Lift</v>
      </c>
      <c r="BM855" s="60" t="str">
        <f aca="false">IF(BD855&lt;=0,"",IF(CG855="Aussen","Aussenlager",IF(CG855="-","Nicht im Lift",IF(BJ855&gt;=1,"Lift",IF(BJ855&lt;=0,"Aussenlager","teilweise")))))</f>
        <v>Lift</v>
      </c>
      <c r="BN855" s="60" t="str">
        <f aca="false">IF(A855="","",IF(BW855=1,"Neu; ","")&amp;IF(AND(BW855=0,BR855&lt;0),"negativer Bestand (Export "&amp;BR855&amp;"); ","")&amp;IF(J855&lt;=0,"Kein Verbrauch; ","")&amp;IF(CR855&gt;0,"Lift "&amp;W855&amp;" lt. Liftbericht (Fach "&amp;X855&amp;" Stk); ",IF(CB855=1,"Gebinde geschätzt ("&amp;T855&amp;"); ",IF(CA855=1,"Lose – Tablare geschätzt; ","")))&amp;IF(H855&gt;AW855,"Überbestand "&amp;ROUND(H855-AW855,0)&amp;" Stk / CHF "&amp;ROUND((H855-AW855)*G855,0)&amp;"; ","")&amp;IF(AND(CI855=1,CJ855&lt;CK855),"MAX &lt; MB+LG; ","")&amp;IF(AND(CQ855&gt;0,CP855*10&gt;CQ855),"zu hoch für Tablar; ","")&amp;IF(AND(BW855=0,OR(CI855=1,AB855&lt;&gt;"",U855&lt;&gt;"",V855&lt;&gt;"",AC855&lt;&gt;"")),"manuell übersteuert; ","")&amp;IF(AND(CA855=0,R855=0),"Gebinde unbekannt / Stellmass fehlt; ","")&amp;IF(AND(CA855=0,N(V855)&lt;=0,N(Q855)&lt;=0),"Menge pro Gebinde fehlt (Ist = 1 Gebinde); ","")&amp;BV855)</f>
        <v>negativer Bestand (Export -24); Gebinde geschätzt (Klein); Überbestand 3 Stk / CHF 2; Menge pro Gebinde fehlt (Ist = 1 Gebinde); Überbestand; nicht im KTL vorhanden</v>
      </c>
      <c r="BO855" s="60"/>
      <c r="BP855" s="60"/>
      <c r="BQ855" s="67"/>
      <c r="BR855" s="62" t="n">
        <v>-24</v>
      </c>
      <c r="BS855" s="62" t="n">
        <v>29</v>
      </c>
      <c r="BT855" s="61" t="n">
        <v>-18.48</v>
      </c>
      <c r="BU855" s="62" t="n">
        <v>2</v>
      </c>
      <c r="BV855" s="60" t="s">
        <v>1673</v>
      </c>
      <c r="BW855" s="65" t="n">
        <v>0</v>
      </c>
      <c r="BX855" s="65" t="n">
        <v>855</v>
      </c>
      <c r="BY855" s="60" t="str">
        <f aca="false">IF(U855&lt;&gt;"",UPPER(TRIM(U855)),IF(CB855=1,UPPER(VLOOKUP(T855,Parameter!$I$27:$K$29,2,0)),IF(P855="","LOSE",P855)))</f>
        <v>S51</v>
      </c>
      <c r="BZ855" s="62" t="n">
        <f aca="false">IF(BY855="LOSE",1,IF(N(V855)&gt;0,V855,IF(CB855=1,MAX(1,N(VLOOKUP(T855,Parameter!$I$27:$K$29,3,0)),H855,N(N855)),IF(N(Q855)&gt;0,Q855,MAX(1,H855)))))</f>
        <v>20</v>
      </c>
      <c r="CA855" s="65" t="n">
        <f aca="false">IF(BY855="LOSE",1,0)</f>
        <v>0</v>
      </c>
      <c r="CB855" s="65" t="n">
        <f aca="false">IF(AND(U855="",OR(P855="",P855="LOSE"),T855&lt;&gt;"",N(S855)&lt;=0,ISNUMBER(MATCH(T855,Parameter!$I$27:$I$29,0))),1,0)</f>
        <v>1</v>
      </c>
      <c r="CC855" s="65" t="n">
        <f aca="false">IF(CR855&gt;0,INDEX(Parameter!$H$5:$H$7,W855)/INDEX(Parameter!$E$5:$E$7,W855),IF(AND(CA855=0,N(IFERROR(VLOOKUP(BY855,'Gebinde-Kategorie'!$A$5:$N$45,14,0),0))&gt;0),VLOOKUP(BY855,'Gebinde-Kategorie'!$A$5:$N$45,14,0)*10+Parameter!$M$23,Parameter!$M$24))</f>
        <v>155</v>
      </c>
      <c r="CD855" s="60" t="str">
        <f aca="false">IF(AND(Parameter!$B$19="Ja",E855&lt;&gt;"",ISNUMBER(MATCH(E855,Parameter!$I$35:$I$52,0))),VLOOKUP(E855,Parameter!$I$35:$J$52,2,0),IFERROR(VLOOKUP(D855,Parameter!$A$35:$C$64,2,0),"Nein"))</f>
        <v>2+3</v>
      </c>
      <c r="CE855" s="64" t="n">
        <f aca="false">IF(CA855=0,0,IF(N(S855)&gt;0,S855,IFERROR(VLOOKUP(D855,Parameter!$A$35:$C$64,3,0)+0,0)))</f>
        <v>0</v>
      </c>
      <c r="CF855" s="60" t="n">
        <f aca="false">IF(AB855&lt;&gt;"",AB855,AA855)</f>
        <v>3</v>
      </c>
      <c r="CG855" s="60" t="str">
        <f aca="false">IF(OR(CF855=1,CF855=2,CF855=3),IF(Parameter!$E$27="Ja","LIFT",IF(CF855=1,"L1","L23")),IF(CF855="Aussen","Aussen","-"))</f>
        <v>LIFT</v>
      </c>
      <c r="CH855" s="71" t="n">
        <f aca="false">IF(N(AC855)&gt;0,AC855,0)</f>
        <v>0</v>
      </c>
      <c r="CI855" s="65" t="n">
        <f aca="false">IF(ISNUMBER(AF855),1,0)</f>
        <v>0</v>
      </c>
      <c r="CJ855" s="62" t="n">
        <f aca="false">N(AF855)</f>
        <v>0</v>
      </c>
      <c r="CK855" s="62" t="n">
        <f aca="false">N(M855)+N(N855)</f>
        <v>1</v>
      </c>
      <c r="CL855" s="62" t="n">
        <f aca="false">N(M855)</f>
        <v>0</v>
      </c>
      <c r="CM855" s="62" t="n">
        <f aca="false">N(N855)</f>
        <v>1</v>
      </c>
      <c r="CN855" s="62" t="n">
        <f aca="false">ROUNDUP(H855/BZ855,0)</f>
        <v>1</v>
      </c>
      <c r="CO855" s="62" t="n">
        <f aca="false">ROUNDUP(CJ855/BZ855,0)</f>
        <v>0</v>
      </c>
      <c r="CP855" s="65" t="n">
        <f aca="false">IF(CA855=1,0,IFERROR(VLOOKUP(BY855,'Gebinde-Kategorie'!$A$5:$N$45,5,0)+0,0))</f>
        <v>11</v>
      </c>
      <c r="CQ855" s="65" t="n">
        <f aca="false">IFERROR(IF(OR(CF855=1,CF855=2,CF855=3),N(INDEX(Parameter!$I$5:$I$7,CF855)),0),0)</f>
        <v>0</v>
      </c>
      <c r="CR855" s="64" t="n">
        <f aca="false">IF(AND(Parameter!$B$21="Ja",ISNUMBER(W855),N(X855)&gt;0),IFERROR(N(INDEX(Parameter!$L$5:$L$7,W855))*INDEX(Parameter!$E$5:$E$7,W855)*X855/SUMIFS($X$7:$X$1843,$W$7:$W$1843,W855),0),0)</f>
        <v>0</v>
      </c>
      <c r="CS855" s="62" t="n">
        <f aca="false">IF(AND(OR(CG855="L1",CG855="L23",CG855="LIFT"),H855&gt;0),CC855*IF(CR855&gt;0,CR855*MAX(1,H855/X855),IF(CA855=1,CE855,IF(R855&gt;0,CN855/R855,0))/MAX(0.1,N(Parameter!$M$21))),"")</f>
        <v>5.96153846153846</v>
      </c>
      <c r="CT855" s="64" t="n">
        <f aca="false">IF(CS855="","",J855/H855)</f>
        <v>0.4</v>
      </c>
      <c r="CU855" s="62" t="n">
        <f aca="false">IF(CS855="","",H855*G855)</f>
        <v>3.85</v>
      </c>
      <c r="CV855" s="63" t="n">
        <f aca="false">IF(CS855="","",(CL855+ROUNDUP(CL855+MAX(CM855,2*(J855/MAX(0.1,N(Einkauf!$C$6))-CL855)),0))/2)</f>
        <v>0.5</v>
      </c>
      <c r="CW855" s="62" t="n">
        <f aca="false">IF(CS855="","",MAX(0,H855-CV855)*G855)</f>
        <v>3.465</v>
      </c>
      <c r="CX855" s="62" t="n">
        <f aca="false">IF(CS855="","",CS855*MAX(0,1-CV855/H855))</f>
        <v>5.36538461538462</v>
      </c>
      <c r="CY855" s="64" t="n">
        <f aca="false">IF(CS855="","",PERCENTRANK($CS$7:$CS$1843,CS855)+PERCENTRANK($CU$7:$CU$1843,CU855)+1-PERCENTRANK($CT$7:$CT$1843,CT855))</f>
        <v>0.8488</v>
      </c>
      <c r="CZ855" s="72" t="n">
        <f aca="false">IF(CS855="","",CHOOSE(MATCH(Einkauf!$C$5,Parameter!$G$23:$G$27,0),CY855,CS855,CU855,-CT855,CW855)+ROW()/1000000000)</f>
        <v>0.848800855</v>
      </c>
    </row>
    <row r="856" customFormat="false" ht="15" hidden="false" customHeight="false" outlineLevel="0" collapsed="false">
      <c r="A856" s="60" t="s">
        <v>1674</v>
      </c>
      <c r="B856" s="60" t="s">
        <v>1332</v>
      </c>
      <c r="C856" s="60" t="s">
        <v>206</v>
      </c>
      <c r="D856" s="60" t="s">
        <v>226</v>
      </c>
      <c r="E856" s="60" t="s">
        <v>227</v>
      </c>
      <c r="F856" s="60" t="s">
        <v>260</v>
      </c>
      <c r="G856" s="61" t="n">
        <v>0.72</v>
      </c>
      <c r="H856" s="62" t="n">
        <f aca="false">MAX(0,IF(AND(Parameter!$B$21="Ja",ISNUMBER(Y856)),Y856,IF(Parameter!$B$20="Jahresanfang 2025 + Export",BS856+BR856,BR856)))</f>
        <v>464</v>
      </c>
      <c r="I856" s="62" t="n">
        <f aca="false">H856*G856</f>
        <v>334.08</v>
      </c>
      <c r="J856" s="62" t="n">
        <f aca="false">BU856*Parameter!$B$18</f>
        <v>60</v>
      </c>
      <c r="K856" s="63" t="n">
        <v>519.5</v>
      </c>
      <c r="L856" s="64" t="n">
        <v>0.115495668912416</v>
      </c>
      <c r="M856" s="62" t="n">
        <v>2</v>
      </c>
      <c r="N856" s="62" t="n">
        <v>60</v>
      </c>
      <c r="O856" s="65" t="n">
        <v>14</v>
      </c>
      <c r="P856" s="60" t="s">
        <v>275</v>
      </c>
      <c r="Q856" s="62" t="n">
        <v>831</v>
      </c>
      <c r="R856" s="65" t="n">
        <f aca="false">IF(CA856=1,0,IFERROR(VLOOKUP(BY856,'Gebinde-Kategorie'!$A$5:$N$45,13,0)+0,0))</f>
        <v>26</v>
      </c>
      <c r="S856" s="66"/>
      <c r="T856" s="67"/>
      <c r="U856" s="67"/>
      <c r="V856" s="67"/>
      <c r="W856" s="60"/>
      <c r="X856" s="62"/>
      <c r="Y856" s="62"/>
      <c r="Z856" s="60" t="n">
        <v>3</v>
      </c>
      <c r="AA856" s="60" t="n">
        <f aca="false">IF(A856="","",IF(AND(Parameter!$B$21="Ja",ISNUMBER(W856)),W856,IF(AND(Parameter!$E$27="Ja",ISNUMBER(Z856),CD856&lt;&gt;"Nein"),Z856,IF(CD856="2+3",IF(ISNUMBER(SEARCH("grosser Artikel",BV856)),2,IFERROR(VLOOKUP(BY856,Parameter!$F$35:$G$64,2,0),2)),IF(OR(CD856="Nein",CD856=""),"-",CD856)))))</f>
        <v>3</v>
      </c>
      <c r="AB856" s="67"/>
      <c r="AC856" s="68"/>
      <c r="AD856" s="62" t="n">
        <f aca="false">AW856</f>
        <v>62</v>
      </c>
      <c r="AE856" s="62" t="n">
        <f aca="false">MAX(AW856,H856)</f>
        <v>464</v>
      </c>
      <c r="AF856" s="69"/>
      <c r="AG856" s="62" t="n">
        <f aca="false">IF(LEFT(Cockpit!$C$5,1)="A",H856,IF(Parameter!$E$30="MAX-Bestand",IF(CI856=1,CJ856,IF(LEFT(Cockpit!$C$5,1)="B",AM856,MAX(AM856,H856))),ROUNDUP(AK856,0)))</f>
        <v>464</v>
      </c>
      <c r="AH856" s="62" t="n">
        <f aca="false">IF(CA856=1,0,ROUNDUP(AG856/BZ856,0))</f>
        <v>1</v>
      </c>
      <c r="AI856" s="64" t="n">
        <f aca="false">IF(CR856&gt;0,CR856*MAX(1,AG856/X856),IF(CA856=1,IF(AG856&lt;=0,0,CE856*MAX(1,IF(H856&gt;0,AG856/H856,1))),IF(R856&gt;0,AH856/R856,0))/MAX(0.1,N(Parameter!$M$21)))</f>
        <v>0.0384615384615385</v>
      </c>
      <c r="AJ856" s="62" t="n">
        <f aca="false">AI856*CC856</f>
        <v>9.42307692307692</v>
      </c>
      <c r="AK856" s="63" t="n">
        <f aca="false">IF(LEFT(Cockpit!$C$5,1)="A",H856,IF(CI856=1,(CL856+CJ856)/2,IF(LEFT(Cockpit!$C$5,1)="B",(CL856+AM856)/2,MAX((CL856+AM856)/2,H856))))</f>
        <v>464</v>
      </c>
      <c r="AL856" s="62" t="n">
        <f aca="false">AK856*G856</f>
        <v>334.08</v>
      </c>
      <c r="AM856" s="62" t="n">
        <f aca="false">ROUNDUP(CL856+MAX(CM856,2*(J856/IF(CH856&gt;0,CH856,MAX(0.1,N(Cockpit!$C$6)))-CL856)),0)</f>
        <v>62</v>
      </c>
      <c r="AN856" s="63" t="n">
        <f aca="false">IF(AJ856&gt;0,J856/AJ856,-1)</f>
        <v>6.36734693877551</v>
      </c>
      <c r="AO856" s="63" t="n">
        <f aca="false">IF(AND(OR(CG856="L1",CG856="L23",CG856="LIFT"),AJ856&gt;0),SUMIFS($AJ$7:$AJ$1843,$CG$7:$CG$1843,CG856,$AN$7:$AN$1843,"&gt;"&amp;AN856)+SUMIFS($AJ$7:$AJ$1843,$CG$7:$CG$1843,CG856,$AN$7:$AN$1843,AN856,$BX$7:$BX$1843,"&lt;="&amp;BX856),"")</f>
        <v>3450.68177655678</v>
      </c>
      <c r="AP856" s="70" t="n">
        <f aca="false">IF(AO856="",0,MAX(0,MIN(1,(IF(CG856="L1",Parameter!$H$5,IF(CG856="L23",Parameter!$H$6+Parameter!$H$7,Parameter!$H$5+Parameter!$H$6+Parameter!$H$7))-(AO856-AJ856))/AJ856)))</f>
        <v>1</v>
      </c>
      <c r="AQ856" s="62" t="n">
        <f aca="false">IF(LEFT(Cockpit!$I$5,1)="A",H856,IF(Parameter!$E$30="MAX-Bestand",IF(CI856=1,CJ856,IF(LEFT(Cockpit!$I$5,1)="B",AW856,MAX(AW856,H856))),ROUNDUP(AU856,0)))</f>
        <v>464</v>
      </c>
      <c r="AR856" s="62" t="n">
        <f aca="false">IF(CA856=1,0,ROUNDUP(AQ856/BZ856,0))</f>
        <v>1</v>
      </c>
      <c r="AS856" s="64" t="n">
        <f aca="false">IF(CR856&gt;0,CR856*MAX(1,AQ856/X856),IF(CA856=1,IF(AQ856&lt;=0,0,CE856*MAX(1,IF(H856&gt;0,AQ856/H856,1))),IF(R856&gt;0,AR856/R856,0))/MAX(0.1,N(Parameter!$M$21)))</f>
        <v>0.0384615384615385</v>
      </c>
      <c r="AT856" s="62" t="n">
        <f aca="false">AS856*CC856</f>
        <v>9.42307692307692</v>
      </c>
      <c r="AU856" s="63" t="n">
        <f aca="false">IF(LEFT(Cockpit!$I$5,1)="A",H856,IF(CI856=1,(CL856+CJ856)/2,IF(LEFT(Cockpit!$I$5,1)="B",(CL856+AW856)/2,MAX((CL856+AW856)/2,H856))))</f>
        <v>464</v>
      </c>
      <c r="AV856" s="62" t="n">
        <f aca="false">AU856*G856</f>
        <v>334.08</v>
      </c>
      <c r="AW856" s="62" t="n">
        <f aca="false">ROUNDUP(CL856+MAX(CM856,2*(J856/IF(CH856&gt;0,CH856,MAX(0.1,N(Cockpit!$I$6)))-CL856)),0)</f>
        <v>62</v>
      </c>
      <c r="AX856" s="63" t="n">
        <f aca="false">IF(AT856&gt;0,J856/AT856,-1)</f>
        <v>6.36734693877551</v>
      </c>
      <c r="AY856" s="63" t="n">
        <f aca="false">IF(AND(OR(CG856="L1",CG856="L23",CG856="LIFT"),AT856&gt;0),SUMIFS($AT$7:$AT$1843,$CG$7:$CG$1843,CG856,$AX$7:$AX$1843,"&gt;"&amp;AX856)+SUMIFS($AT$7:$AT$1843,$CG$7:$CG$1843,CG856,$AX$7:$AX$1843,AX856,$BX$7:$BX$1843,"&lt;="&amp;BX856),"")</f>
        <v>4136.76236263736</v>
      </c>
      <c r="AZ856" s="70" t="n">
        <f aca="false">IF(AY856="",0,MAX(0,MIN(1,(IF(CG856="L1",Parameter!$H$5,IF(CG856="L23",Parameter!$H$6+Parameter!$H$7,Parameter!$H$5+Parameter!$H$6+Parameter!$H$7))-(AY856-AT856))/AT856)))</f>
        <v>1</v>
      </c>
      <c r="BA856" s="62" t="n">
        <f aca="false">IF(LEFT(Cockpit!$O$5,1)="A",H856,IF(Parameter!$E$30="MAX-Bestand",IF(CI856=1,CJ856,IF(LEFT(Cockpit!$O$5,1)="B",BG856,MAX(BG856,H856))),ROUNDUP(BE856,0)))</f>
        <v>32</v>
      </c>
      <c r="BB856" s="62" t="n">
        <f aca="false">IF(CA856=1,0,ROUNDUP(BA856/BZ856,0))</f>
        <v>1</v>
      </c>
      <c r="BC856" s="64" t="n">
        <f aca="false">IF(CR856&gt;0,CR856*MAX(1,BA856/X856),IF(CA856=1,IF(BA856&lt;=0,0,CE856*MAX(1,IF(H856&gt;0,BA856/H856,1))),IF(R856&gt;0,BB856/R856,0))/MAX(0.1,N(Parameter!$M$21)))</f>
        <v>0.0384615384615385</v>
      </c>
      <c r="BD856" s="62" t="n">
        <f aca="false">BC856*CC856</f>
        <v>9.42307692307692</v>
      </c>
      <c r="BE856" s="63" t="n">
        <f aca="false">IF(LEFT(Cockpit!$O$5,1)="A",H856,IF(CI856=1,(CL856+CJ856)/2,IF(LEFT(Cockpit!$O$5,1)="B",(CL856+BG856)/2,MAX((CL856+BG856)/2,H856))))</f>
        <v>32</v>
      </c>
      <c r="BF856" s="62" t="n">
        <f aca="false">BE856*G856</f>
        <v>23.04</v>
      </c>
      <c r="BG856" s="62" t="n">
        <f aca="false">ROUNDUP(CL856+MAX(CM856,2*(J856/IF(CH856&gt;0,CH856,MAX(0.1,N(Cockpit!$O$6)))-CL856)),0)</f>
        <v>62</v>
      </c>
      <c r="BH856" s="63" t="n">
        <f aca="false">IF(BD856&gt;0,J856/BD856,-1)</f>
        <v>6.36734693877551</v>
      </c>
      <c r="BI856" s="63" t="n">
        <f aca="false">IF(AND(OR(CG856="L1",CG856="L23",CG856="LIFT"),BD856&gt;0),SUMIFS($BD$7:$BD$1843,$CG$7:$CG$1843,CG856,$BH$7:$BH$1843,"&gt;"&amp;BH856)+SUMIFS($BD$7:$BD$1843,$CG$7:$CG$1843,CG856,$BH$7:$BH$1843,BH856,$BX$7:$BX$1843,"&lt;="&amp;BX856),"")</f>
        <v>3409.80998168498</v>
      </c>
      <c r="BJ856" s="70" t="n">
        <f aca="false">IF(BI856="",0,MAX(0,MIN(1,(IF(CG856="L1",Parameter!$H$5,IF(CG856="L23",Parameter!$H$6+Parameter!$H$7,Parameter!$H$5+Parameter!$H$6+Parameter!$H$7))-(BI856-BD856))/BD856)))</f>
        <v>1</v>
      </c>
      <c r="BK856" s="60" t="str">
        <f aca="false">IF(AJ856&lt;=0,"",IF(CG856="Aussen","Aussenlager",IF(CG856="-","Nicht im Lift",IF(AP856&gt;=1,"Lift",IF(AP856&lt;=0,"Aussenlager","teilweise")))))</f>
        <v>Lift</v>
      </c>
      <c r="BL856" s="60" t="str">
        <f aca="false">IF(AT856&lt;=0,"",IF(CG856="Aussen","Aussenlager",IF(CG856="-","Nicht im Lift",IF(AZ856&gt;=1,"Lift",IF(AZ856&lt;=0,"Aussenlager","teilweise")))))</f>
        <v>Lift</v>
      </c>
      <c r="BM856" s="60" t="str">
        <f aca="false">IF(BD856&lt;=0,"",IF(CG856="Aussen","Aussenlager",IF(CG856="-","Nicht im Lift",IF(BJ856&gt;=1,"Lift",IF(BJ856&lt;=0,"Aussenlager","teilweise")))))</f>
        <v>Lift</v>
      </c>
      <c r="BN856" s="60" t="str">
        <f aca="false">IF(A856="","",IF(BW856=1,"Neu; ","")&amp;IF(AND(BW856=0,BR856&lt;0),"negativer Bestand (Export "&amp;BR856&amp;"); ","")&amp;IF(J856&lt;=0,"Kein Verbrauch; ","")&amp;IF(CR856&gt;0,"Lift "&amp;W856&amp;" lt. Liftbericht (Fach "&amp;X856&amp;" Stk); ",IF(CB856=1,"Gebinde geschätzt ("&amp;T856&amp;"); ",IF(CA856=1,"Lose – Tablare geschätzt; ","")))&amp;IF(H856&gt;AW856,"Überbestand "&amp;ROUND(H856-AW856,0)&amp;" Stk / CHF "&amp;ROUND((H856-AW856)*G856,0)&amp;"; ","")&amp;IF(AND(CI856=1,CJ856&lt;CK856),"MAX &lt; MB+LG; ","")&amp;IF(AND(CQ856&gt;0,CP856*10&gt;CQ856),"zu hoch für Tablar; ","")&amp;IF(AND(BW856=0,OR(CI856=1,AB856&lt;&gt;"",U856&lt;&gt;"",V856&lt;&gt;"",AC856&lt;&gt;"")),"manuell übersteuert; ","")&amp;IF(AND(CA856=0,R856=0),"Gebinde unbekannt / Stellmass fehlt; ","")&amp;IF(AND(CA856=0,N(V856)&lt;=0,N(Q856)&lt;=0),"Menge pro Gebinde fehlt (Ist = 1 Gebinde); ","")&amp;BV856)</f>
        <v>negativer Bestand (Export -26); Überbestand 402 Stk / CHF 289; Überbestand</v>
      </c>
      <c r="BO856" s="60"/>
      <c r="BP856" s="60"/>
      <c r="BQ856" s="67"/>
      <c r="BR856" s="62" t="n">
        <v>-26</v>
      </c>
      <c r="BS856" s="62" t="n">
        <v>490</v>
      </c>
      <c r="BT856" s="61" t="n">
        <v>-18.7199999999999</v>
      </c>
      <c r="BU856" s="62" t="n">
        <v>60</v>
      </c>
      <c r="BV856" s="60" t="s">
        <v>434</v>
      </c>
      <c r="BW856" s="65" t="n">
        <v>0</v>
      </c>
      <c r="BX856" s="65" t="n">
        <v>856</v>
      </c>
      <c r="BY856" s="60" t="str">
        <f aca="false">IF(U856&lt;&gt;"",UPPER(TRIM(U856)),IF(CB856=1,UPPER(VLOOKUP(T856,Parameter!$I$27:$K$29,2,0)),IF(P856="","LOSE",P856)))</f>
        <v>S52</v>
      </c>
      <c r="BZ856" s="62" t="n">
        <f aca="false">IF(BY856="LOSE",1,IF(N(V856)&gt;0,V856,IF(CB856=1,MAX(1,N(VLOOKUP(T856,Parameter!$I$27:$K$29,3,0)),H856,N(N856)),IF(N(Q856)&gt;0,Q856,MAX(1,H856)))))</f>
        <v>831</v>
      </c>
      <c r="CA856" s="65" t="n">
        <f aca="false">IF(BY856="LOSE",1,0)</f>
        <v>0</v>
      </c>
      <c r="CB856" s="65" t="n">
        <f aca="false">IF(AND(U856="",OR(P856="",P856="LOSE"),T856&lt;&gt;"",N(S856)&lt;=0,ISNUMBER(MATCH(T856,Parameter!$I$27:$I$29,0))),1,0)</f>
        <v>0</v>
      </c>
      <c r="CC856" s="65" t="n">
        <f aca="false">IF(CR856&gt;0,INDEX(Parameter!$H$5:$H$7,W856)/INDEX(Parameter!$E$5:$E$7,W856),IF(AND(CA856=0,N(IFERROR(VLOOKUP(BY856,'Gebinde-Kategorie'!$A$5:$N$45,14,0),0))&gt;0),VLOOKUP(BY856,'Gebinde-Kategorie'!$A$5:$N$45,14,0)*10+Parameter!$M$23,Parameter!$M$24))</f>
        <v>245</v>
      </c>
      <c r="CD856" s="60" t="str">
        <f aca="false">IF(AND(Parameter!$B$19="Ja",E856&lt;&gt;"",ISNUMBER(MATCH(E856,Parameter!$I$35:$I$52,0))),VLOOKUP(E856,Parameter!$I$35:$J$52,2,0),IFERROR(VLOOKUP(D856,Parameter!$A$35:$C$64,2,0),"Nein"))</f>
        <v>2+3</v>
      </c>
      <c r="CE856" s="64" t="n">
        <f aca="false">IF(CA856=0,0,IF(N(S856)&gt;0,S856,IFERROR(VLOOKUP(D856,Parameter!$A$35:$C$64,3,0)+0,0)))</f>
        <v>0</v>
      </c>
      <c r="CF856" s="60" t="n">
        <f aca="false">IF(AB856&lt;&gt;"",AB856,AA856)</f>
        <v>3</v>
      </c>
      <c r="CG856" s="60" t="str">
        <f aca="false">IF(OR(CF856=1,CF856=2,CF856=3),IF(Parameter!$E$27="Ja","LIFT",IF(CF856=1,"L1","L23")),IF(CF856="Aussen","Aussen","-"))</f>
        <v>LIFT</v>
      </c>
      <c r="CH856" s="71" t="n">
        <f aca="false">IF(N(AC856)&gt;0,AC856,0)</f>
        <v>0</v>
      </c>
      <c r="CI856" s="65" t="n">
        <f aca="false">IF(ISNUMBER(AF856),1,0)</f>
        <v>0</v>
      </c>
      <c r="CJ856" s="62" t="n">
        <f aca="false">N(AF856)</f>
        <v>0</v>
      </c>
      <c r="CK856" s="62" t="n">
        <f aca="false">N(M856)+N(N856)</f>
        <v>62</v>
      </c>
      <c r="CL856" s="62" t="n">
        <f aca="false">N(M856)</f>
        <v>2</v>
      </c>
      <c r="CM856" s="62" t="n">
        <f aca="false">N(N856)</f>
        <v>60</v>
      </c>
      <c r="CN856" s="62" t="n">
        <f aca="false">ROUNDUP(H856/BZ856,0)</f>
        <v>1</v>
      </c>
      <c r="CO856" s="62" t="n">
        <f aca="false">ROUNDUP(CJ856/BZ856,0)</f>
        <v>0</v>
      </c>
      <c r="CP856" s="65" t="n">
        <f aca="false">IF(CA856=1,0,IFERROR(VLOOKUP(BY856,'Gebinde-Kategorie'!$A$5:$N$45,5,0)+0,0))</f>
        <v>21</v>
      </c>
      <c r="CQ856" s="65" t="n">
        <f aca="false">IFERROR(IF(OR(CF856=1,CF856=2,CF856=3),N(INDEX(Parameter!$I$5:$I$7,CF856)),0),0)</f>
        <v>0</v>
      </c>
      <c r="CR856" s="64" t="n">
        <f aca="false">IF(AND(Parameter!$B$21="Ja",ISNUMBER(W856),N(X856)&gt;0),IFERROR(N(INDEX(Parameter!$L$5:$L$7,W856))*INDEX(Parameter!$E$5:$E$7,W856)*X856/SUMIFS($X$7:$X$1843,$W$7:$W$1843,W856),0),0)</f>
        <v>0</v>
      </c>
      <c r="CS856" s="62" t="n">
        <f aca="false">IF(AND(OR(CG856="L1",CG856="L23",CG856="LIFT"),H856&gt;0),CC856*IF(CR856&gt;0,CR856*MAX(1,H856/X856),IF(CA856=1,CE856,IF(R856&gt;0,CN856/R856,0))/MAX(0.1,N(Parameter!$M$21))),"")</f>
        <v>9.42307692307692</v>
      </c>
      <c r="CT856" s="64" t="n">
        <f aca="false">IF(CS856="","",J856/H856)</f>
        <v>0.129310344827586</v>
      </c>
      <c r="CU856" s="62" t="n">
        <f aca="false">IF(CS856="","",H856*G856)</f>
        <v>334.08</v>
      </c>
      <c r="CV856" s="63" t="n">
        <f aca="false">IF(CS856="","",(CL856+ROUNDUP(CL856+MAX(CM856,2*(J856/MAX(0.1,N(Einkauf!$C$6))-CL856)),0))/2)</f>
        <v>32</v>
      </c>
      <c r="CW856" s="62" t="n">
        <f aca="false">IF(CS856="","",MAX(0,H856-CV856)*G856)</f>
        <v>311.04</v>
      </c>
      <c r="CX856" s="62" t="n">
        <f aca="false">IF(CS856="","",CS856*MAX(0,1-CV856/H856))</f>
        <v>8.77320954907162</v>
      </c>
      <c r="CY856" s="64" t="n">
        <f aca="false">IF(CS856="","",PERCENTRANK($CS$7:$CS$1843,CS856)+PERCENTRANK($CU$7:$CU$1843,CU856)+1-PERCENTRANK($CT$7:$CT$1843,CT856))</f>
        <v>1.578</v>
      </c>
      <c r="CZ856" s="72" t="n">
        <f aca="false">IF(CS856="","",CHOOSE(MATCH(Einkauf!$C$5,Parameter!$G$23:$G$27,0),CY856,CS856,CU856,-CT856,CW856)+ROW()/1000000000)</f>
        <v>1.578000856</v>
      </c>
    </row>
    <row r="857" customFormat="false" ht="15" hidden="false" customHeight="false" outlineLevel="0" collapsed="false">
      <c r="A857" s="60" t="s">
        <v>1675</v>
      </c>
      <c r="B857" s="60" t="s">
        <v>1676</v>
      </c>
      <c r="C857" s="60" t="s">
        <v>206</v>
      </c>
      <c r="D857" s="60" t="s">
        <v>215</v>
      </c>
      <c r="E857" s="60"/>
      <c r="F857" s="60" t="s">
        <v>260</v>
      </c>
      <c r="G857" s="61" t="n">
        <v>13.44</v>
      </c>
      <c r="H857" s="62" t="n">
        <f aca="false">MAX(0,IF(AND(Parameter!$B$21="Ja",ISNUMBER(Y857)),Y857,IF(Parameter!$B$20="Jahresanfang 2025 + Export",BS857+BR857,BR857)))</f>
        <v>42</v>
      </c>
      <c r="I857" s="62" t="n">
        <f aca="false">H857*G857</f>
        <v>564.48</v>
      </c>
      <c r="J857" s="62" t="n">
        <f aca="false">BU857*Parameter!$B$18</f>
        <v>146</v>
      </c>
      <c r="K857" s="63" t="n">
        <v>47</v>
      </c>
      <c r="L857" s="64" t="n">
        <v>3.1063829787234</v>
      </c>
      <c r="M857" s="62" t="n">
        <v>5</v>
      </c>
      <c r="N857" s="62" t="n">
        <v>25</v>
      </c>
      <c r="O857" s="65" t="n">
        <v>14</v>
      </c>
      <c r="P857" s="60" t="s">
        <v>216</v>
      </c>
      <c r="Q857" s="62" t="n">
        <v>80</v>
      </c>
      <c r="R857" s="65" t="n">
        <f aca="false">IF(CA857=1,0,IFERROR(VLOOKUP(BY857,'Gebinde-Kategorie'!$A$5:$N$45,13,0)+0,0))</f>
        <v>6</v>
      </c>
      <c r="S857" s="66"/>
      <c r="T857" s="67"/>
      <c r="U857" s="67"/>
      <c r="V857" s="67"/>
      <c r="W857" s="60"/>
      <c r="X857" s="62"/>
      <c r="Y857" s="62"/>
      <c r="Z857" s="60" t="n">
        <v>2</v>
      </c>
      <c r="AA857" s="60" t="n">
        <f aca="false">IF(A857="","",IF(AND(Parameter!$B$21="Ja",ISNUMBER(W857)),W857,IF(AND(Parameter!$E$27="Ja",ISNUMBER(Z857),CD857&lt;&gt;"Nein"),Z857,IF(CD857="2+3",IF(ISNUMBER(SEARCH("grosser Artikel",BV857)),2,IFERROR(VLOOKUP(BY857,Parameter!$F$35:$G$64,2,0),2)),IF(OR(CD857="Nein",CD857=""),"-",CD857)))))</f>
        <v>2</v>
      </c>
      <c r="AB857" s="67"/>
      <c r="AC857" s="68"/>
      <c r="AD857" s="62" t="n">
        <f aca="false">AW857</f>
        <v>93</v>
      </c>
      <c r="AE857" s="62" t="n">
        <f aca="false">MAX(AW857,H857)</f>
        <v>93</v>
      </c>
      <c r="AF857" s="69"/>
      <c r="AG857" s="62" t="n">
        <f aca="false">IF(LEFT(Cockpit!$C$5,1)="A",H857,IF(Parameter!$E$30="MAX-Bestand",IF(CI857=1,CJ857,IF(LEFT(Cockpit!$C$5,1)="B",AM857,MAX(AM857,H857))),ROUNDUP(AK857,0)))</f>
        <v>42</v>
      </c>
      <c r="AH857" s="62" t="n">
        <f aca="false">IF(CA857=1,0,ROUNDUP(AG857/BZ857,0))</f>
        <v>1</v>
      </c>
      <c r="AI857" s="64" t="n">
        <f aca="false">IF(CR857&gt;0,CR857*MAX(1,AG857/X857),IF(CA857=1,IF(AG857&lt;=0,0,CE857*MAX(1,IF(H857&gt;0,AG857/H857,1))),IF(R857&gt;0,AH857/R857,0))/MAX(0.1,N(Parameter!$M$21)))</f>
        <v>0.166666666666667</v>
      </c>
      <c r="AJ857" s="62" t="n">
        <f aca="false">AI857*CC857</f>
        <v>39.1666666666667</v>
      </c>
      <c r="AK857" s="63" t="n">
        <f aca="false">IF(LEFT(Cockpit!$C$5,1)="A",H857,IF(CI857=1,(CL857+CJ857)/2,IF(LEFT(Cockpit!$C$5,1)="B",(CL857+AM857)/2,MAX((CL857+AM857)/2,H857))))</f>
        <v>42</v>
      </c>
      <c r="AL857" s="62" t="n">
        <f aca="false">AK857*G857</f>
        <v>564.48</v>
      </c>
      <c r="AM857" s="62" t="n">
        <f aca="false">ROUNDUP(CL857+MAX(CM857,2*(J857/IF(CH857&gt;0,CH857,MAX(0.1,N(Cockpit!$C$6)))-CL857)),0)</f>
        <v>93</v>
      </c>
      <c r="AN857" s="63" t="n">
        <f aca="false">IF(AJ857&gt;0,J857/AJ857,-1)</f>
        <v>3.72765957446809</v>
      </c>
      <c r="AO857" s="63" t="n">
        <f aca="false">IF(AND(OR(CG857="L1",CG857="L23",CG857="LIFT"),AJ857&gt;0),SUMIFS($AJ$7:$AJ$1843,$CG$7:$CG$1843,CG857,$AN$7:$AN$1843,"&gt;"&amp;AN857)+SUMIFS($AJ$7:$AJ$1843,$CG$7:$CG$1843,CG857,$AN$7:$AN$1843,AN857,$BX$7:$BX$1843,"&lt;="&amp;BX857),"")</f>
        <v>4718.22435897436</v>
      </c>
      <c r="AP857" s="70" t="n">
        <f aca="false">IF(AO857="",0,MAX(0,MIN(1,(IF(CG857="L1",Parameter!$H$5,IF(CG857="L23",Parameter!$H$6+Parameter!$H$7,Parameter!$H$5+Parameter!$H$6+Parameter!$H$7))-(AO857-AJ857))/AJ857)))</f>
        <v>1</v>
      </c>
      <c r="AQ857" s="62" t="n">
        <f aca="false">IF(LEFT(Cockpit!$I$5,1)="A",H857,IF(Parameter!$E$30="MAX-Bestand",IF(CI857=1,CJ857,IF(LEFT(Cockpit!$I$5,1)="B",AW857,MAX(AW857,H857))),ROUNDUP(AU857,0)))</f>
        <v>49</v>
      </c>
      <c r="AR857" s="62" t="n">
        <f aca="false">IF(CA857=1,0,ROUNDUP(AQ857/BZ857,0))</f>
        <v>1</v>
      </c>
      <c r="AS857" s="64" t="n">
        <f aca="false">IF(CR857&gt;0,CR857*MAX(1,AQ857/X857),IF(CA857=1,IF(AQ857&lt;=0,0,CE857*MAX(1,IF(H857&gt;0,AQ857/H857,1))),IF(R857&gt;0,AR857/R857,0))/MAX(0.1,N(Parameter!$M$21)))</f>
        <v>0.166666666666667</v>
      </c>
      <c r="AT857" s="62" t="n">
        <f aca="false">AS857*CC857</f>
        <v>39.1666666666667</v>
      </c>
      <c r="AU857" s="63" t="n">
        <f aca="false">IF(LEFT(Cockpit!$I$5,1)="A",H857,IF(CI857=1,(CL857+CJ857)/2,IF(LEFT(Cockpit!$I$5,1)="B",(CL857+AW857)/2,MAX((CL857+AW857)/2,H857))))</f>
        <v>49</v>
      </c>
      <c r="AV857" s="62" t="n">
        <f aca="false">AU857*G857</f>
        <v>658.56</v>
      </c>
      <c r="AW857" s="62" t="n">
        <f aca="false">ROUNDUP(CL857+MAX(CM857,2*(J857/IF(CH857&gt;0,CH857,MAX(0.1,N(Cockpit!$I$6)))-CL857)),0)</f>
        <v>93</v>
      </c>
      <c r="AX857" s="63" t="n">
        <f aca="false">IF(AT857&gt;0,J857/AT857,-1)</f>
        <v>3.72765957446809</v>
      </c>
      <c r="AY857" s="63" t="n">
        <f aca="false">IF(AND(OR(CG857="L1",CG857="L23",CG857="LIFT"),AT857&gt;0),SUMIFS($AT$7:$AT$1843,$CG$7:$CG$1843,CG857,$AX$7:$AX$1843,"&gt;"&amp;AX857)+SUMIFS($AT$7:$AT$1843,$CG$7:$CG$1843,CG857,$AX$7:$AX$1843,AX857,$BX$7:$BX$1843,"&lt;="&amp;BX857),"")</f>
        <v>5336.64468864469</v>
      </c>
      <c r="AZ857" s="70" t="n">
        <f aca="false">IF(AY857="",0,MAX(0,MIN(1,(IF(CG857="L1",Parameter!$H$5,IF(CG857="L23",Parameter!$H$6+Parameter!$H$7,Parameter!$H$5+Parameter!$H$6+Parameter!$H$7))-(AY857-AT857))/AT857)))</f>
        <v>1</v>
      </c>
      <c r="BA857" s="62" t="n">
        <f aca="false">IF(LEFT(Cockpit!$O$5,1)="A",H857,IF(Parameter!$E$30="MAX-Bestand",IF(CI857=1,CJ857,IF(LEFT(Cockpit!$O$5,1)="B",BG857,MAX(BG857,H857))),ROUNDUP(BE857,0)))</f>
        <v>37</v>
      </c>
      <c r="BB857" s="62" t="n">
        <f aca="false">IF(CA857=1,0,ROUNDUP(BA857/BZ857,0))</f>
        <v>1</v>
      </c>
      <c r="BC857" s="64" t="n">
        <f aca="false">IF(CR857&gt;0,CR857*MAX(1,BA857/X857),IF(CA857=1,IF(BA857&lt;=0,0,CE857*MAX(1,IF(H857&gt;0,BA857/H857,1))),IF(R857&gt;0,BB857/R857,0))/MAX(0.1,N(Parameter!$M$21)))</f>
        <v>0.166666666666667</v>
      </c>
      <c r="BD857" s="62" t="n">
        <f aca="false">BC857*CC857</f>
        <v>39.1666666666667</v>
      </c>
      <c r="BE857" s="63" t="n">
        <f aca="false">IF(LEFT(Cockpit!$O$5,1)="A",H857,IF(CI857=1,(CL857+CJ857)/2,IF(LEFT(Cockpit!$O$5,1)="B",(CL857+BG857)/2,MAX((CL857+BG857)/2,H857))))</f>
        <v>36.5</v>
      </c>
      <c r="BF857" s="62" t="n">
        <f aca="false">BE857*G857</f>
        <v>490.56</v>
      </c>
      <c r="BG857" s="62" t="n">
        <f aca="false">ROUNDUP(CL857+MAX(CM857,2*(J857/IF(CH857&gt;0,CH857,MAX(0.1,N(Cockpit!$O$6)))-CL857)),0)</f>
        <v>68</v>
      </c>
      <c r="BH857" s="63" t="n">
        <f aca="false">IF(BD857&gt;0,J857/BD857,-1)</f>
        <v>3.72765957446809</v>
      </c>
      <c r="BI857" s="63" t="n">
        <f aca="false">IF(AND(OR(CG857="L1",CG857="L23",CG857="LIFT"),BD857&gt;0),SUMIFS($BD$7:$BD$1843,$CG$7:$CG$1843,CG857,$BH$7:$BH$1843,"&gt;"&amp;BH857)+SUMIFS($BD$7:$BD$1843,$CG$7:$CG$1843,CG857,$BH$7:$BH$1843,BH857,$BX$7:$BX$1843,"&lt;="&amp;BX857),"")</f>
        <v>4355.01648351648</v>
      </c>
      <c r="BJ857" s="70" t="n">
        <f aca="false">IF(BI857="",0,MAX(0,MIN(1,(IF(CG857="L1",Parameter!$H$5,IF(CG857="L23",Parameter!$H$6+Parameter!$H$7,Parameter!$H$5+Parameter!$H$6+Parameter!$H$7))-(BI857-BD857))/BD857)))</f>
        <v>1</v>
      </c>
      <c r="BK857" s="60" t="str">
        <f aca="false">IF(AJ857&lt;=0,"",IF(CG857="Aussen","Aussenlager",IF(CG857="-","Nicht im Lift",IF(AP857&gt;=1,"Lift",IF(AP857&lt;=0,"Aussenlager","teilweise")))))</f>
        <v>Lift</v>
      </c>
      <c r="BL857" s="60" t="str">
        <f aca="false">IF(AT857&lt;=0,"",IF(CG857="Aussen","Aussenlager",IF(CG857="-","Nicht im Lift",IF(AZ857&gt;=1,"Lift",IF(AZ857&lt;=0,"Aussenlager","teilweise")))))</f>
        <v>Lift</v>
      </c>
      <c r="BM857" s="60" t="str">
        <f aca="false">IF(BD857&lt;=0,"",IF(CG857="Aussen","Aussenlager",IF(CG857="-","Nicht im Lift",IF(BJ857&gt;=1,"Lift",IF(BJ857&lt;=0,"Aussenlager","teilweise")))))</f>
        <v>Lift</v>
      </c>
      <c r="BN857" s="60" t="str">
        <f aca="false">IF(A857="","",IF(BW857=1,"Neu; ","")&amp;IF(AND(BW857=0,BR857&lt;0),"negativer Bestand (Export "&amp;BR857&amp;"); ","")&amp;IF(J857&lt;=0,"Kein Verbrauch; ","")&amp;IF(CR857&gt;0,"Lift "&amp;W857&amp;" lt. Liftbericht (Fach "&amp;X857&amp;" Stk); ",IF(CB857=1,"Gebinde geschätzt ("&amp;T857&amp;"); ",IF(CA857=1,"Lose – Tablare geschätzt; ","")))&amp;IF(H857&gt;AW857,"Überbestand "&amp;ROUND(H857-AW857,0)&amp;" Stk / CHF "&amp;ROUND((H857-AW857)*G857,0)&amp;"; ","")&amp;IF(AND(CI857=1,CJ857&lt;CK857),"MAX &lt; MB+LG; ","")&amp;IF(AND(CQ857&gt;0,CP857*10&gt;CQ857),"zu hoch für Tablar; ","")&amp;IF(AND(BW857=0,OR(CI857=1,AB857&lt;&gt;"",U857&lt;&gt;"",V857&lt;&gt;"",AC857&lt;&gt;"")),"manuell übersteuert; ","")&amp;IF(AND(CA857=0,R857=0),"Gebinde unbekannt / Stellmass fehlt; ","")&amp;IF(AND(CA857=0,N(V857)&lt;=0,N(Q857)&lt;=0),"Menge pro Gebinde fehlt (Ist = 1 Gebinde); ","")&amp;BV857)</f>
        <v>negativer Bestand (Export -2); </v>
      </c>
      <c r="BO857" s="60"/>
      <c r="BP857" s="60"/>
      <c r="BQ857" s="67"/>
      <c r="BR857" s="62" t="n">
        <v>-2</v>
      </c>
      <c r="BS857" s="62" t="n">
        <v>44</v>
      </c>
      <c r="BT857" s="61" t="n">
        <v>-18.96</v>
      </c>
      <c r="BU857" s="62" t="n">
        <v>146</v>
      </c>
      <c r="BV857" s="60"/>
      <c r="BW857" s="65" t="n">
        <v>0</v>
      </c>
      <c r="BX857" s="65" t="n">
        <v>857</v>
      </c>
      <c r="BY857" s="60" t="str">
        <f aca="false">IF(U857&lt;&gt;"",UPPER(TRIM(U857)),IF(CB857=1,UPPER(VLOOKUP(T857,Parameter!$I$27:$K$29,2,0)),IF(P857="","LOSE",P857)))</f>
        <v>S71</v>
      </c>
      <c r="BZ857" s="62" t="n">
        <f aca="false">IF(BY857="LOSE",1,IF(N(V857)&gt;0,V857,IF(CB857=1,MAX(1,N(VLOOKUP(T857,Parameter!$I$27:$K$29,3,0)),H857,N(N857)),IF(N(Q857)&gt;0,Q857,MAX(1,H857)))))</f>
        <v>80</v>
      </c>
      <c r="CA857" s="65" t="n">
        <f aca="false">IF(BY857="LOSE",1,0)</f>
        <v>0</v>
      </c>
      <c r="CB857" s="65" t="n">
        <f aca="false">IF(AND(U857="",OR(P857="",P857="LOSE"),T857&lt;&gt;"",N(S857)&lt;=0,ISNUMBER(MATCH(T857,Parameter!$I$27:$I$29,0))),1,0)</f>
        <v>0</v>
      </c>
      <c r="CC857" s="65" t="n">
        <f aca="false">IF(CR857&gt;0,INDEX(Parameter!$H$5:$H$7,W857)/INDEX(Parameter!$E$5:$E$7,W857),IF(AND(CA857=0,N(IFERROR(VLOOKUP(BY857,'Gebinde-Kategorie'!$A$5:$N$45,14,0),0))&gt;0),VLOOKUP(BY857,'Gebinde-Kategorie'!$A$5:$N$45,14,0)*10+Parameter!$M$23,Parameter!$M$24))</f>
        <v>235</v>
      </c>
      <c r="CD857" s="60" t="str">
        <f aca="false">IF(AND(Parameter!$B$19="Ja",E857&lt;&gt;"",ISNUMBER(MATCH(E857,Parameter!$I$35:$I$52,0))),VLOOKUP(E857,Parameter!$I$35:$J$52,2,0),IFERROR(VLOOKUP(D857,Parameter!$A$35:$C$64,2,0),"Nein"))</f>
        <v>2+3</v>
      </c>
      <c r="CE857" s="64" t="n">
        <f aca="false">IF(CA857=0,0,IF(N(S857)&gt;0,S857,IFERROR(VLOOKUP(D857,Parameter!$A$35:$C$64,3,0)+0,0)))</f>
        <v>0</v>
      </c>
      <c r="CF857" s="60" t="n">
        <f aca="false">IF(AB857&lt;&gt;"",AB857,AA857)</f>
        <v>2</v>
      </c>
      <c r="CG857" s="60" t="str">
        <f aca="false">IF(OR(CF857=1,CF857=2,CF857=3),IF(Parameter!$E$27="Ja","LIFT",IF(CF857=1,"L1","L23")),IF(CF857="Aussen","Aussen","-"))</f>
        <v>LIFT</v>
      </c>
      <c r="CH857" s="71" t="n">
        <f aca="false">IF(N(AC857)&gt;0,AC857,0)</f>
        <v>0</v>
      </c>
      <c r="CI857" s="65" t="n">
        <f aca="false">IF(ISNUMBER(AF857),1,0)</f>
        <v>0</v>
      </c>
      <c r="CJ857" s="62" t="n">
        <f aca="false">N(AF857)</f>
        <v>0</v>
      </c>
      <c r="CK857" s="62" t="n">
        <f aca="false">N(M857)+N(N857)</f>
        <v>30</v>
      </c>
      <c r="CL857" s="62" t="n">
        <f aca="false">N(M857)</f>
        <v>5</v>
      </c>
      <c r="CM857" s="62" t="n">
        <f aca="false">N(N857)</f>
        <v>25</v>
      </c>
      <c r="CN857" s="62" t="n">
        <f aca="false">ROUNDUP(H857/BZ857,0)</f>
        <v>1</v>
      </c>
      <c r="CO857" s="62" t="n">
        <f aca="false">ROUNDUP(CJ857/BZ857,0)</f>
        <v>0</v>
      </c>
      <c r="CP857" s="65" t="n">
        <f aca="false">IF(CA857=1,0,IFERROR(VLOOKUP(BY857,'Gebinde-Kategorie'!$A$5:$N$45,5,0)+0,0))</f>
        <v>20</v>
      </c>
      <c r="CQ857" s="65" t="n">
        <f aca="false">IFERROR(IF(OR(CF857=1,CF857=2,CF857=3),N(INDEX(Parameter!$I$5:$I$7,CF857)),0),0)</f>
        <v>0</v>
      </c>
      <c r="CR857" s="64" t="n">
        <f aca="false">IF(AND(Parameter!$B$21="Ja",ISNUMBER(W857),N(X857)&gt;0),IFERROR(N(INDEX(Parameter!$L$5:$L$7,W857))*INDEX(Parameter!$E$5:$E$7,W857)*X857/SUMIFS($X$7:$X$1843,$W$7:$W$1843,W857),0),0)</f>
        <v>0</v>
      </c>
      <c r="CS857" s="62" t="n">
        <f aca="false">IF(AND(OR(CG857="L1",CG857="L23",CG857="LIFT"),H857&gt;0),CC857*IF(CR857&gt;0,CR857*MAX(1,H857/X857),IF(CA857=1,CE857,IF(R857&gt;0,CN857/R857,0))/MAX(0.1,N(Parameter!$M$21))),"")</f>
        <v>39.1666666666667</v>
      </c>
      <c r="CT857" s="64" t="n">
        <f aca="false">IF(CS857="","",J857/H857)</f>
        <v>3.47619047619048</v>
      </c>
      <c r="CU857" s="62" t="n">
        <f aca="false">IF(CS857="","",H857*G857)</f>
        <v>564.48</v>
      </c>
      <c r="CV857" s="63" t="n">
        <f aca="false">IF(CS857="","",(CL857+ROUNDUP(CL857+MAX(CM857,2*(J857/MAX(0.1,N(Einkauf!$C$6))-CL857)),0))/2)</f>
        <v>36.5</v>
      </c>
      <c r="CW857" s="62" t="n">
        <f aca="false">IF(CS857="","",MAX(0,H857-CV857)*G857)</f>
        <v>73.92</v>
      </c>
      <c r="CX857" s="62" t="n">
        <f aca="false">IF(CS857="","",CS857*MAX(0,1-CV857/H857))</f>
        <v>5.12896825396825</v>
      </c>
      <c r="CY857" s="64" t="n">
        <f aca="false">IF(CS857="","",PERCENTRANK($CS$7:$CS$1843,CS857)+PERCENTRANK($CU$7:$CU$1843,CU857)+1-PERCENTRANK($CT$7:$CT$1843,CT857))</f>
        <v>1.482</v>
      </c>
      <c r="CZ857" s="72" t="n">
        <f aca="false">IF(CS857="","",CHOOSE(MATCH(Einkauf!$C$5,Parameter!$G$23:$G$27,0),CY857,CS857,CU857,-CT857,CW857)+ROW()/1000000000)</f>
        <v>1.482000857</v>
      </c>
    </row>
    <row r="858" customFormat="false" ht="15" hidden="false" customHeight="false" outlineLevel="0" collapsed="false">
      <c r="A858" s="60" t="s">
        <v>1677</v>
      </c>
      <c r="B858" s="60" t="s">
        <v>1678</v>
      </c>
      <c r="C858" s="60" t="s">
        <v>206</v>
      </c>
      <c r="D858" s="60" t="s">
        <v>226</v>
      </c>
      <c r="E858" s="60" t="s">
        <v>227</v>
      </c>
      <c r="F858" s="60" t="s">
        <v>260</v>
      </c>
      <c r="G858" s="61" t="n">
        <v>19.39</v>
      </c>
      <c r="H858" s="62" t="n">
        <f aca="false">MAX(0,IF(AND(Parameter!$B$21="Ja",ISNUMBER(Y858)),Y858,IF(Parameter!$B$20="Jahresanfang 2025 + Export",BS858+BR858,BR858)))</f>
        <v>17</v>
      </c>
      <c r="I858" s="62" t="n">
        <f aca="false">H858*G858</f>
        <v>329.63</v>
      </c>
      <c r="J858" s="62" t="n">
        <f aca="false">BU858*Parameter!$B$18</f>
        <v>2</v>
      </c>
      <c r="K858" s="63" t="n">
        <v>17</v>
      </c>
      <c r="L858" s="64" t="n">
        <v>0.117647058823529</v>
      </c>
      <c r="M858" s="62" t="n">
        <v>0</v>
      </c>
      <c r="N858" s="62" t="n">
        <v>1</v>
      </c>
      <c r="O858" s="65" t="n">
        <v>21</v>
      </c>
      <c r="P858" s="60" t="s">
        <v>463</v>
      </c>
      <c r="Q858" s="62" t="n">
        <v>23</v>
      </c>
      <c r="R858" s="65" t="n">
        <f aca="false">IF(CA858=1,0,IFERROR(VLOOKUP(BY858,'Gebinde-Kategorie'!$A$5:$N$45,13,0)+0,0))</f>
        <v>104</v>
      </c>
      <c r="S858" s="66"/>
      <c r="T858" s="67"/>
      <c r="U858" s="67"/>
      <c r="V858" s="67"/>
      <c r="W858" s="60"/>
      <c r="X858" s="62"/>
      <c r="Y858" s="62"/>
      <c r="Z858" s="60" t="n">
        <v>1</v>
      </c>
      <c r="AA858" s="60" t="n">
        <f aca="false">IF(A858="","",IF(AND(Parameter!$B$21="Ja",ISNUMBER(W858)),W858,IF(AND(Parameter!$E$27="Ja",ISNUMBER(Z858),CD858&lt;&gt;"Nein"),Z858,IF(CD858="2+3",IF(ISNUMBER(SEARCH("grosser Artikel",BV858)),2,IFERROR(VLOOKUP(BY858,Parameter!$F$35:$G$64,2,0),2)),IF(OR(CD858="Nein",CD858=""),"-",CD858)))))</f>
        <v>1</v>
      </c>
      <c r="AB858" s="67"/>
      <c r="AC858" s="68"/>
      <c r="AD858" s="62" t="n">
        <f aca="false">AW858</f>
        <v>2</v>
      </c>
      <c r="AE858" s="62" t="n">
        <f aca="false">MAX(AW858,H858)</f>
        <v>17</v>
      </c>
      <c r="AF858" s="69"/>
      <c r="AG858" s="62" t="n">
        <f aca="false">IF(LEFT(Cockpit!$C$5,1)="A",H858,IF(Parameter!$E$30="MAX-Bestand",IF(CI858=1,CJ858,IF(LEFT(Cockpit!$C$5,1)="B",AM858,MAX(AM858,H858))),ROUNDUP(AK858,0)))</f>
        <v>17</v>
      </c>
      <c r="AH858" s="62" t="n">
        <f aca="false">IF(CA858=1,0,ROUNDUP(AG858/BZ858,0))</f>
        <v>1</v>
      </c>
      <c r="AI858" s="64" t="n">
        <f aca="false">IF(CR858&gt;0,CR858*MAX(1,AG858/X858),IF(CA858=1,IF(AG858&lt;=0,0,CE858*MAX(1,IF(H858&gt;0,AG858/H858,1))),IF(R858&gt;0,AH858/R858,0))/MAX(0.1,N(Parameter!$M$21)))</f>
        <v>0.00961538461538462</v>
      </c>
      <c r="AJ858" s="62" t="n">
        <f aca="false">AI858*CC858</f>
        <v>1.49038461538462</v>
      </c>
      <c r="AK858" s="63" t="n">
        <f aca="false">IF(LEFT(Cockpit!$C$5,1)="A",H858,IF(CI858=1,(CL858+CJ858)/2,IF(LEFT(Cockpit!$C$5,1)="B",(CL858+AM858)/2,MAX((CL858+AM858)/2,H858))))</f>
        <v>17</v>
      </c>
      <c r="AL858" s="62" t="n">
        <f aca="false">AK858*G858</f>
        <v>329.63</v>
      </c>
      <c r="AM858" s="62" t="n">
        <f aca="false">ROUNDUP(CL858+MAX(CM858,2*(J858/IF(CH858&gt;0,CH858,MAX(0.1,N(Cockpit!$C$6)))-CL858)),0)</f>
        <v>2</v>
      </c>
      <c r="AN858" s="63" t="n">
        <f aca="false">IF(AJ858&gt;0,J858/AJ858,-1)</f>
        <v>1.34193548387097</v>
      </c>
      <c r="AO858" s="63" t="n">
        <f aca="false">IF(AND(OR(CG858="L1",CG858="L23",CG858="LIFT"),AJ858&gt;0),SUMIFS($AJ$7:$AJ$1843,$CG$7:$CG$1843,CG858,$AN$7:$AN$1843,"&gt;"&amp;AN858)+SUMIFS($AJ$7:$AJ$1843,$CG$7:$CG$1843,CG858,$AN$7:$AN$1843,AN858,$BX$7:$BX$1843,"&lt;="&amp;BX858),"")</f>
        <v>6335.61904761905</v>
      </c>
      <c r="AP858" s="70" t="n">
        <f aca="false">IF(AO858="",0,MAX(0,MIN(1,(IF(CG858="L1",Parameter!$H$5,IF(CG858="L23",Parameter!$H$6+Parameter!$H$7,Parameter!$H$5+Parameter!$H$6+Parameter!$H$7))-(AO858-AJ858))/AJ858)))</f>
        <v>1</v>
      </c>
      <c r="AQ858" s="62" t="n">
        <f aca="false">IF(LEFT(Cockpit!$I$5,1)="A",H858,IF(Parameter!$E$30="MAX-Bestand",IF(CI858=1,CJ858,IF(LEFT(Cockpit!$I$5,1)="B",AW858,MAX(AW858,H858))),ROUNDUP(AU858,0)))</f>
        <v>17</v>
      </c>
      <c r="AR858" s="62" t="n">
        <f aca="false">IF(CA858=1,0,ROUNDUP(AQ858/BZ858,0))</f>
        <v>1</v>
      </c>
      <c r="AS858" s="64" t="n">
        <f aca="false">IF(CR858&gt;0,CR858*MAX(1,AQ858/X858),IF(CA858=1,IF(AQ858&lt;=0,0,CE858*MAX(1,IF(H858&gt;0,AQ858/H858,1))),IF(R858&gt;0,AR858/R858,0))/MAX(0.1,N(Parameter!$M$21)))</f>
        <v>0.00961538461538462</v>
      </c>
      <c r="AT858" s="62" t="n">
        <f aca="false">AS858*CC858</f>
        <v>1.49038461538462</v>
      </c>
      <c r="AU858" s="63" t="n">
        <f aca="false">IF(LEFT(Cockpit!$I$5,1)="A",H858,IF(CI858=1,(CL858+CJ858)/2,IF(LEFT(Cockpit!$I$5,1)="B",(CL858+AW858)/2,MAX((CL858+AW858)/2,H858))))</f>
        <v>17</v>
      </c>
      <c r="AV858" s="62" t="n">
        <f aca="false">AU858*G858</f>
        <v>329.63</v>
      </c>
      <c r="AW858" s="62" t="n">
        <f aca="false">ROUNDUP(CL858+MAX(CM858,2*(J858/IF(CH858&gt;0,CH858,MAX(0.1,N(Cockpit!$I$6)))-CL858)),0)</f>
        <v>2</v>
      </c>
      <c r="AX858" s="63" t="n">
        <f aca="false">IF(AT858&gt;0,J858/AT858,-1)</f>
        <v>1.34193548387097</v>
      </c>
      <c r="AY858" s="63" t="n">
        <f aca="false">IF(AND(OR(CG858="L1",CG858="L23",CG858="LIFT"),AT858&gt;0),SUMIFS($AT$7:$AT$1843,$CG$7:$CG$1843,CG858,$AX$7:$AX$1843,"&gt;"&amp;AX858)+SUMIFS($AT$7:$AT$1843,$CG$7:$CG$1843,CG858,$AX$7:$AX$1843,AX858,$BX$7:$BX$1843,"&lt;="&amp;BX858),"")</f>
        <v>7859.80265567766</v>
      </c>
      <c r="AZ858" s="70" t="n">
        <f aca="false">IF(AY858="",0,MAX(0,MIN(1,(IF(CG858="L1",Parameter!$H$5,IF(CG858="L23",Parameter!$H$6+Parameter!$H$7,Parameter!$H$5+Parameter!$H$6+Parameter!$H$7))-(AY858-AT858))/AT858)))</f>
        <v>1</v>
      </c>
      <c r="BA858" s="62" t="n">
        <f aca="false">IF(LEFT(Cockpit!$O$5,1)="A",H858,IF(Parameter!$E$30="MAX-Bestand",IF(CI858=1,CJ858,IF(LEFT(Cockpit!$O$5,1)="B",BG858,MAX(BG858,H858))),ROUNDUP(BE858,0)))</f>
        <v>1</v>
      </c>
      <c r="BB858" s="62" t="n">
        <f aca="false">IF(CA858=1,0,ROUNDUP(BA858/BZ858,0))</f>
        <v>1</v>
      </c>
      <c r="BC858" s="64" t="n">
        <f aca="false">IF(CR858&gt;0,CR858*MAX(1,BA858/X858),IF(CA858=1,IF(BA858&lt;=0,0,CE858*MAX(1,IF(H858&gt;0,BA858/H858,1))),IF(R858&gt;0,BB858/R858,0))/MAX(0.1,N(Parameter!$M$21)))</f>
        <v>0.00961538461538462</v>
      </c>
      <c r="BD858" s="62" t="n">
        <f aca="false">BC858*CC858</f>
        <v>1.49038461538462</v>
      </c>
      <c r="BE858" s="63" t="n">
        <f aca="false">IF(LEFT(Cockpit!$O$5,1)="A",H858,IF(CI858=1,(CL858+CJ858)/2,IF(LEFT(Cockpit!$O$5,1)="B",(CL858+BG858)/2,MAX((CL858+BG858)/2,H858))))</f>
        <v>0.5</v>
      </c>
      <c r="BF858" s="62" t="n">
        <f aca="false">BE858*G858</f>
        <v>9.695</v>
      </c>
      <c r="BG858" s="62" t="n">
        <f aca="false">ROUNDUP(CL858+MAX(CM858,2*(J858/IF(CH858&gt;0,CH858,MAX(0.1,N(Cockpit!$O$6)))-CL858)),0)</f>
        <v>1</v>
      </c>
      <c r="BH858" s="63" t="n">
        <f aca="false">IF(BD858&gt;0,J858/BD858,-1)</f>
        <v>1.34193548387097</v>
      </c>
      <c r="BI858" s="63" t="n">
        <f aca="false">IF(AND(OR(CG858="L1",CG858="L23",CG858="LIFT"),BD858&gt;0),SUMIFS($BD$7:$BD$1843,$CG$7:$CG$1843,CG858,$BH$7:$BH$1843,"&gt;"&amp;BH858)+SUMIFS($BD$7:$BD$1843,$CG$7:$CG$1843,CG858,$BH$7:$BH$1843,BH858,$BX$7:$BX$1843,"&lt;="&amp;BX858),"")</f>
        <v>6797.01831501832</v>
      </c>
      <c r="BJ858" s="70" t="n">
        <f aca="false">IF(BI858="",0,MAX(0,MIN(1,(IF(CG858="L1",Parameter!$H$5,IF(CG858="L23",Parameter!$H$6+Parameter!$H$7,Parameter!$H$5+Parameter!$H$6+Parameter!$H$7))-(BI858-BD858))/BD858)))</f>
        <v>1</v>
      </c>
      <c r="BK858" s="60" t="str">
        <f aca="false">IF(AJ858&lt;=0,"",IF(CG858="Aussen","Aussenlager",IF(CG858="-","Nicht im Lift",IF(AP858&gt;=1,"Lift",IF(AP858&lt;=0,"Aussenlager","teilweise")))))</f>
        <v>Lift</v>
      </c>
      <c r="BL858" s="60" t="str">
        <f aca="false">IF(AT858&lt;=0,"",IF(CG858="Aussen","Aussenlager",IF(CG858="-","Nicht im Lift",IF(AZ858&gt;=1,"Lift",IF(AZ858&lt;=0,"Aussenlager","teilweise")))))</f>
        <v>Lift</v>
      </c>
      <c r="BM858" s="60" t="str">
        <f aca="false">IF(BD858&lt;=0,"",IF(CG858="Aussen","Aussenlager",IF(CG858="-","Nicht im Lift",IF(BJ858&gt;=1,"Lift",IF(BJ858&lt;=0,"Aussenlager","teilweise")))))</f>
        <v>Lift</v>
      </c>
      <c r="BN858" s="60" t="str">
        <f aca="false">IF(A858="","",IF(BW858=1,"Neu; ","")&amp;IF(AND(BW858=0,BR858&lt;0),"negativer Bestand (Export "&amp;BR858&amp;"); ","")&amp;IF(J858&lt;=0,"Kein Verbrauch; ","")&amp;IF(CR858&gt;0,"Lift "&amp;W858&amp;" lt. Liftbericht (Fach "&amp;X858&amp;" Stk); ",IF(CB858=1,"Gebinde geschätzt ("&amp;T858&amp;"); ",IF(CA858=1,"Lose – Tablare geschätzt; ","")))&amp;IF(H858&gt;AW858,"Überbestand "&amp;ROUND(H858-AW858,0)&amp;" Stk / CHF "&amp;ROUND((H858-AW858)*G858,0)&amp;"; ","")&amp;IF(AND(CI858=1,CJ858&lt;CK858),"MAX &lt; MB+LG; ","")&amp;IF(AND(CQ858&gt;0,CP858*10&gt;CQ858),"zu hoch für Tablar; ","")&amp;IF(AND(BW858=0,OR(CI858=1,AB858&lt;&gt;"",U858&lt;&gt;"",V858&lt;&gt;"",AC858&lt;&gt;"")),"manuell übersteuert; ","")&amp;IF(AND(CA858=0,R858=0),"Gebinde unbekannt / Stellmass fehlt; ","")&amp;IF(AND(CA858=0,N(V858)&lt;=0,N(Q858)&lt;=0),"Menge pro Gebinde fehlt (Ist = 1 Gebinde); ","")&amp;BV858)</f>
        <v>negativer Bestand (Export -1); Überbestand 15 Stk / CHF 291; </v>
      </c>
      <c r="BO858" s="60"/>
      <c r="BP858" s="60"/>
      <c r="BQ858" s="67"/>
      <c r="BR858" s="62" t="n">
        <v>-1</v>
      </c>
      <c r="BS858" s="62" t="n">
        <v>18</v>
      </c>
      <c r="BT858" s="61" t="n">
        <v>-19.39</v>
      </c>
      <c r="BU858" s="62" t="n">
        <v>2</v>
      </c>
      <c r="BV858" s="60"/>
      <c r="BW858" s="65" t="n">
        <v>0</v>
      </c>
      <c r="BX858" s="65" t="n">
        <v>858</v>
      </c>
      <c r="BY858" s="60" t="str">
        <f aca="false">IF(U858&lt;&gt;"",UPPER(TRIM(U858)),IF(CB858=1,UPPER(VLOOKUP(T858,Parameter!$I$27:$K$29,2,0)),IF(P858="","LOSE",P858)))</f>
        <v>S32</v>
      </c>
      <c r="BZ858" s="62" t="n">
        <f aca="false">IF(BY858="LOSE",1,IF(N(V858)&gt;0,V858,IF(CB858=1,MAX(1,N(VLOOKUP(T858,Parameter!$I$27:$K$29,3,0)),H858,N(N858)),IF(N(Q858)&gt;0,Q858,MAX(1,H858)))))</f>
        <v>23</v>
      </c>
      <c r="CA858" s="65" t="n">
        <f aca="false">IF(BY858="LOSE",1,0)</f>
        <v>0</v>
      </c>
      <c r="CB858" s="65" t="n">
        <f aca="false">IF(AND(U858="",OR(P858="",P858="LOSE"),T858&lt;&gt;"",N(S858)&lt;=0,ISNUMBER(MATCH(T858,Parameter!$I$27:$I$29,0))),1,0)</f>
        <v>0</v>
      </c>
      <c r="CC858" s="65" t="n">
        <f aca="false">IF(CR858&gt;0,INDEX(Parameter!$H$5:$H$7,W858)/INDEX(Parameter!$E$5:$E$7,W858),IF(AND(CA858=0,N(IFERROR(VLOOKUP(BY858,'Gebinde-Kategorie'!$A$5:$N$45,14,0),0))&gt;0),VLOOKUP(BY858,'Gebinde-Kategorie'!$A$5:$N$45,14,0)*10+Parameter!$M$23,Parameter!$M$24))</f>
        <v>155</v>
      </c>
      <c r="CD858" s="60" t="str">
        <f aca="false">IF(AND(Parameter!$B$19="Ja",E858&lt;&gt;"",ISNUMBER(MATCH(E858,Parameter!$I$35:$I$52,0))),VLOOKUP(E858,Parameter!$I$35:$J$52,2,0),IFERROR(VLOOKUP(D858,Parameter!$A$35:$C$64,2,0),"Nein"))</f>
        <v>2+3</v>
      </c>
      <c r="CE858" s="64" t="n">
        <f aca="false">IF(CA858=0,0,IF(N(S858)&gt;0,S858,IFERROR(VLOOKUP(D858,Parameter!$A$35:$C$64,3,0)+0,0)))</f>
        <v>0</v>
      </c>
      <c r="CF858" s="60" t="n">
        <f aca="false">IF(AB858&lt;&gt;"",AB858,AA858)</f>
        <v>1</v>
      </c>
      <c r="CG858" s="60" t="str">
        <f aca="false">IF(OR(CF858=1,CF858=2,CF858=3),IF(Parameter!$E$27="Ja","LIFT",IF(CF858=1,"L1","L23")),IF(CF858="Aussen","Aussen","-"))</f>
        <v>LIFT</v>
      </c>
      <c r="CH858" s="71" t="n">
        <f aca="false">IF(N(AC858)&gt;0,AC858,0)</f>
        <v>0</v>
      </c>
      <c r="CI858" s="65" t="n">
        <f aca="false">IF(ISNUMBER(AF858),1,0)</f>
        <v>0</v>
      </c>
      <c r="CJ858" s="62" t="n">
        <f aca="false">N(AF858)</f>
        <v>0</v>
      </c>
      <c r="CK858" s="62" t="n">
        <f aca="false">N(M858)+N(N858)</f>
        <v>1</v>
      </c>
      <c r="CL858" s="62" t="n">
        <f aca="false">N(M858)</f>
        <v>0</v>
      </c>
      <c r="CM858" s="62" t="n">
        <f aca="false">N(N858)</f>
        <v>1</v>
      </c>
      <c r="CN858" s="62" t="n">
        <f aca="false">ROUNDUP(H858/BZ858,0)</f>
        <v>1</v>
      </c>
      <c r="CO858" s="62" t="n">
        <f aca="false">ROUNDUP(CJ858/BZ858,0)</f>
        <v>0</v>
      </c>
      <c r="CP858" s="65" t="n">
        <f aca="false">IF(CA858=1,0,IFERROR(VLOOKUP(BY858,'Gebinde-Kategorie'!$A$5:$N$45,5,0)+0,0))</f>
        <v>8</v>
      </c>
      <c r="CQ858" s="65" t="n">
        <f aca="false">IFERROR(IF(OR(CF858=1,CF858=2,CF858=3),N(INDEX(Parameter!$I$5:$I$7,CF858)),0),0)</f>
        <v>0</v>
      </c>
      <c r="CR858" s="64" t="n">
        <f aca="false">IF(AND(Parameter!$B$21="Ja",ISNUMBER(W858),N(X858)&gt;0),IFERROR(N(INDEX(Parameter!$L$5:$L$7,W858))*INDEX(Parameter!$E$5:$E$7,W858)*X858/SUMIFS($X$7:$X$1843,$W$7:$W$1843,W858),0),0)</f>
        <v>0</v>
      </c>
      <c r="CS858" s="62" t="n">
        <f aca="false">IF(AND(OR(CG858="L1",CG858="L23",CG858="LIFT"),H858&gt;0),CC858*IF(CR858&gt;0,CR858*MAX(1,H858/X858),IF(CA858=1,CE858,IF(R858&gt;0,CN858/R858,0))/MAX(0.1,N(Parameter!$M$21))),"")</f>
        <v>1.49038461538462</v>
      </c>
      <c r="CT858" s="64" t="n">
        <f aca="false">IF(CS858="","",J858/H858)</f>
        <v>0.117647058823529</v>
      </c>
      <c r="CU858" s="62" t="n">
        <f aca="false">IF(CS858="","",H858*G858)</f>
        <v>329.63</v>
      </c>
      <c r="CV858" s="63" t="n">
        <f aca="false">IF(CS858="","",(CL858+ROUNDUP(CL858+MAX(CM858,2*(J858/MAX(0.1,N(Einkauf!$C$6))-CL858)),0))/2)</f>
        <v>0.5</v>
      </c>
      <c r="CW858" s="62" t="n">
        <f aca="false">IF(CS858="","",MAX(0,H858-CV858)*G858)</f>
        <v>319.935</v>
      </c>
      <c r="CX858" s="62" t="n">
        <f aca="false">IF(CS858="","",CS858*MAX(0,1-CV858/H858))</f>
        <v>1.44654977375566</v>
      </c>
      <c r="CY858" s="64" t="n">
        <f aca="false">IF(CS858="","",PERCENTRANK($CS$7:$CS$1843,CS858)+PERCENTRANK($CU$7:$CU$1843,CU858)+1-PERCENTRANK($CT$7:$CT$1843,CT858))</f>
        <v>1.122</v>
      </c>
      <c r="CZ858" s="72" t="n">
        <f aca="false">IF(CS858="","",CHOOSE(MATCH(Einkauf!$C$5,Parameter!$G$23:$G$27,0),CY858,CS858,CU858,-CT858,CW858)+ROW()/1000000000)</f>
        <v>1.122000858</v>
      </c>
    </row>
    <row r="859" customFormat="false" ht="15" hidden="false" customHeight="false" outlineLevel="0" collapsed="false">
      <c r="A859" s="60" t="s">
        <v>1679</v>
      </c>
      <c r="B859" s="60" t="s">
        <v>1680</v>
      </c>
      <c r="C859" s="60" t="s">
        <v>206</v>
      </c>
      <c r="D859" s="60" t="s">
        <v>226</v>
      </c>
      <c r="E859" s="60" t="s">
        <v>227</v>
      </c>
      <c r="F859" s="60" t="s">
        <v>260</v>
      </c>
      <c r="G859" s="61" t="n">
        <v>0.2</v>
      </c>
      <c r="H859" s="62" t="n">
        <f aca="false">MAX(0,IF(AND(Parameter!$B$21="Ja",ISNUMBER(Y859)),Y859,IF(Parameter!$B$20="Jahresanfang 2025 + Export",BS859+BR859,BR859)))</f>
        <v>109</v>
      </c>
      <c r="I859" s="62" t="n">
        <f aca="false">H859*G859</f>
        <v>21.8</v>
      </c>
      <c r="J859" s="62" t="n">
        <f aca="false">BU859*Parameter!$B$18</f>
        <v>163</v>
      </c>
      <c r="K859" s="63" t="n">
        <v>291.5</v>
      </c>
      <c r="L859" s="64" t="n">
        <v>0.55917667238422</v>
      </c>
      <c r="M859" s="62" t="n">
        <v>9</v>
      </c>
      <c r="N859" s="62" t="n">
        <v>250</v>
      </c>
      <c r="O859" s="65" t="n">
        <v>21</v>
      </c>
      <c r="P859" s="60" t="s">
        <v>518</v>
      </c>
      <c r="Q859" s="62" t="n">
        <v>125</v>
      </c>
      <c r="R859" s="65" t="n">
        <f aca="false">IF(CA859=1,0,IFERROR(VLOOKUP(BY859,'Gebinde-Kategorie'!$A$5:$N$45,13,0)+0,0))</f>
        <v>52</v>
      </c>
      <c r="S859" s="66"/>
      <c r="T859" s="67"/>
      <c r="U859" s="67"/>
      <c r="V859" s="67"/>
      <c r="W859" s="60"/>
      <c r="X859" s="62"/>
      <c r="Y859" s="62"/>
      <c r="Z859" s="60" t="n">
        <v>3</v>
      </c>
      <c r="AA859" s="60" t="n">
        <f aca="false">IF(A859="","",IF(AND(Parameter!$B$21="Ja",ISNUMBER(W859)),W859,IF(AND(Parameter!$E$27="Ja",ISNUMBER(Z859),CD859&lt;&gt;"Nein"),Z859,IF(CD859="2+3",IF(ISNUMBER(SEARCH("grosser Artikel",BV859)),2,IFERROR(VLOOKUP(BY859,Parameter!$F$35:$G$64,2,0),2)),IF(OR(CD859="Nein",CD859=""),"-",CD859)))))</f>
        <v>3</v>
      </c>
      <c r="AB859" s="67"/>
      <c r="AC859" s="68"/>
      <c r="AD859" s="62" t="n">
        <f aca="false">AW859</f>
        <v>259</v>
      </c>
      <c r="AE859" s="62" t="n">
        <f aca="false">MAX(AW859,H859)</f>
        <v>259</v>
      </c>
      <c r="AF859" s="69"/>
      <c r="AG859" s="62" t="n">
        <f aca="false">IF(LEFT(Cockpit!$C$5,1)="A",H859,IF(Parameter!$E$30="MAX-Bestand",IF(CI859=1,CJ859,IF(LEFT(Cockpit!$C$5,1)="B",AM859,MAX(AM859,H859))),ROUNDUP(AK859,0)))</f>
        <v>109</v>
      </c>
      <c r="AH859" s="62" t="n">
        <f aca="false">IF(CA859=1,0,ROUNDUP(AG859/BZ859,0))</f>
        <v>1</v>
      </c>
      <c r="AI859" s="64" t="n">
        <f aca="false">IF(CR859&gt;0,CR859*MAX(1,AG859/X859),IF(CA859=1,IF(AG859&lt;=0,0,CE859*MAX(1,IF(H859&gt;0,AG859/H859,1))),IF(R859&gt;0,AH859/R859,0))/MAX(0.1,N(Parameter!$M$21)))</f>
        <v>0.0192307692307692</v>
      </c>
      <c r="AJ859" s="62" t="n">
        <f aca="false">AI859*CC859</f>
        <v>2.98076923076923</v>
      </c>
      <c r="AK859" s="63" t="n">
        <f aca="false">IF(LEFT(Cockpit!$C$5,1)="A",H859,IF(CI859=1,(CL859+CJ859)/2,IF(LEFT(Cockpit!$C$5,1)="B",(CL859+AM859)/2,MAX((CL859+AM859)/2,H859))))</f>
        <v>109</v>
      </c>
      <c r="AL859" s="62" t="n">
        <f aca="false">AK859*G859</f>
        <v>21.8</v>
      </c>
      <c r="AM859" s="62" t="n">
        <f aca="false">ROUNDUP(CL859+MAX(CM859,2*(J859/IF(CH859&gt;0,CH859,MAX(0.1,N(Cockpit!$C$6)))-CL859)),0)</f>
        <v>259</v>
      </c>
      <c r="AN859" s="63" t="n">
        <f aca="false">IF(AJ859&gt;0,J859/AJ859,-1)</f>
        <v>54.6838709677419</v>
      </c>
      <c r="AO859" s="63" t="n">
        <f aca="false">IF(AND(OR(CG859="L1",CG859="L23",CG859="LIFT"),AJ859&gt;0),SUMIFS($AJ$7:$AJ$1843,$CG$7:$CG$1843,CG859,$AN$7:$AN$1843,"&gt;"&amp;AN859)+SUMIFS($AJ$7:$AJ$1843,$CG$7:$CG$1843,CG859,$AN$7:$AN$1843,AN859,$BX$7:$BX$1843,"&lt;="&amp;BX859),"")</f>
        <v>998.460164835165</v>
      </c>
      <c r="AP859" s="70" t="n">
        <f aca="false">IF(AO859="",0,MAX(0,MIN(1,(IF(CG859="L1",Parameter!$H$5,IF(CG859="L23",Parameter!$H$6+Parameter!$H$7,Parameter!$H$5+Parameter!$H$6+Parameter!$H$7))-(AO859-AJ859))/AJ859)))</f>
        <v>1</v>
      </c>
      <c r="AQ859" s="62" t="n">
        <f aca="false">IF(LEFT(Cockpit!$I$5,1)="A",H859,IF(Parameter!$E$30="MAX-Bestand",IF(CI859=1,CJ859,IF(LEFT(Cockpit!$I$5,1)="B",AW859,MAX(AW859,H859))),ROUNDUP(AU859,0)))</f>
        <v>134</v>
      </c>
      <c r="AR859" s="62" t="n">
        <f aca="false">IF(CA859=1,0,ROUNDUP(AQ859/BZ859,0))</f>
        <v>2</v>
      </c>
      <c r="AS859" s="64" t="n">
        <f aca="false">IF(CR859&gt;0,CR859*MAX(1,AQ859/X859),IF(CA859=1,IF(AQ859&lt;=0,0,CE859*MAX(1,IF(H859&gt;0,AQ859/H859,1))),IF(R859&gt;0,AR859/R859,0))/MAX(0.1,N(Parameter!$M$21)))</f>
        <v>0.0384615384615385</v>
      </c>
      <c r="AT859" s="62" t="n">
        <f aca="false">AS859*CC859</f>
        <v>5.96153846153846</v>
      </c>
      <c r="AU859" s="63" t="n">
        <f aca="false">IF(LEFT(Cockpit!$I$5,1)="A",H859,IF(CI859=1,(CL859+CJ859)/2,IF(LEFT(Cockpit!$I$5,1)="B",(CL859+AW859)/2,MAX((CL859+AW859)/2,H859))))</f>
        <v>134</v>
      </c>
      <c r="AV859" s="62" t="n">
        <f aca="false">AU859*G859</f>
        <v>26.8</v>
      </c>
      <c r="AW859" s="62" t="n">
        <f aca="false">ROUNDUP(CL859+MAX(CM859,2*(J859/IF(CH859&gt;0,CH859,MAX(0.1,N(Cockpit!$I$6)))-CL859)),0)</f>
        <v>259</v>
      </c>
      <c r="AX859" s="63" t="n">
        <f aca="false">IF(AT859&gt;0,J859/AT859,-1)</f>
        <v>27.341935483871</v>
      </c>
      <c r="AY859" s="63" t="n">
        <f aca="false">IF(AND(OR(CG859="L1",CG859="L23",CG859="LIFT"),AT859&gt;0),SUMIFS($AT$7:$AT$1843,$CG$7:$CG$1843,CG859,$AX$7:$AX$1843,"&gt;"&amp;AX859)+SUMIFS($AT$7:$AT$1843,$CG$7:$CG$1843,CG859,$AX$7:$AX$1843,AX859,$BX$7:$BX$1843,"&lt;="&amp;BX859),"")</f>
        <v>2127.37957875458</v>
      </c>
      <c r="AZ859" s="70" t="n">
        <f aca="false">IF(AY859="",0,MAX(0,MIN(1,(IF(CG859="L1",Parameter!$H$5,IF(CG859="L23",Parameter!$H$6+Parameter!$H$7,Parameter!$H$5+Parameter!$H$6+Parameter!$H$7))-(AY859-AT859))/AT859)))</f>
        <v>1</v>
      </c>
      <c r="BA859" s="62" t="n">
        <f aca="false">IF(LEFT(Cockpit!$O$5,1)="A",H859,IF(Parameter!$E$30="MAX-Bestand",IF(CI859=1,CJ859,IF(LEFT(Cockpit!$O$5,1)="B",BG859,MAX(BG859,H859))),ROUNDUP(BE859,0)))</f>
        <v>134</v>
      </c>
      <c r="BB859" s="62" t="n">
        <f aca="false">IF(CA859=1,0,ROUNDUP(BA859/BZ859,0))</f>
        <v>2</v>
      </c>
      <c r="BC859" s="64" t="n">
        <f aca="false">IF(CR859&gt;0,CR859*MAX(1,BA859/X859),IF(CA859=1,IF(BA859&lt;=0,0,CE859*MAX(1,IF(H859&gt;0,BA859/H859,1))),IF(R859&gt;0,BB859/R859,0))/MAX(0.1,N(Parameter!$M$21)))</f>
        <v>0.0384615384615385</v>
      </c>
      <c r="BD859" s="62" t="n">
        <f aca="false">BC859*CC859</f>
        <v>5.96153846153846</v>
      </c>
      <c r="BE859" s="63" t="n">
        <f aca="false">IF(LEFT(Cockpit!$O$5,1)="A",H859,IF(CI859=1,(CL859+CJ859)/2,IF(LEFT(Cockpit!$O$5,1)="B",(CL859+BG859)/2,MAX((CL859+BG859)/2,H859))))</f>
        <v>134</v>
      </c>
      <c r="BF859" s="62" t="n">
        <f aca="false">BE859*G859</f>
        <v>26.8</v>
      </c>
      <c r="BG859" s="62" t="n">
        <f aca="false">ROUNDUP(CL859+MAX(CM859,2*(J859/IF(CH859&gt;0,CH859,MAX(0.1,N(Cockpit!$O$6)))-CL859)),0)</f>
        <v>259</v>
      </c>
      <c r="BH859" s="63" t="n">
        <f aca="false">IF(BD859&gt;0,J859/BD859,-1)</f>
        <v>27.341935483871</v>
      </c>
      <c r="BI859" s="63" t="n">
        <f aca="false">IF(AND(OR(CG859="L1",CG859="L23",CG859="LIFT"),BD859&gt;0),SUMIFS($BD$7:$BD$1843,$CG$7:$CG$1843,CG859,$BH$7:$BH$1843,"&gt;"&amp;BH859)+SUMIFS($BD$7:$BD$1843,$CG$7:$CG$1843,CG859,$BH$7:$BH$1843,BH859,$BX$7:$BX$1843,"&lt;="&amp;BX859),"")</f>
        <v>1944.69688644689</v>
      </c>
      <c r="BJ859" s="70" t="n">
        <f aca="false">IF(BI859="",0,MAX(0,MIN(1,(IF(CG859="L1",Parameter!$H$5,IF(CG859="L23",Parameter!$H$6+Parameter!$H$7,Parameter!$H$5+Parameter!$H$6+Parameter!$H$7))-(BI859-BD859))/BD859)))</f>
        <v>1</v>
      </c>
      <c r="BK859" s="60" t="str">
        <f aca="false">IF(AJ859&lt;=0,"",IF(CG859="Aussen","Aussenlager",IF(CG859="-","Nicht im Lift",IF(AP859&gt;=1,"Lift",IF(AP859&lt;=0,"Aussenlager","teilweise")))))</f>
        <v>Lift</v>
      </c>
      <c r="BL859" s="60" t="str">
        <f aca="false">IF(AT859&lt;=0,"",IF(CG859="Aussen","Aussenlager",IF(CG859="-","Nicht im Lift",IF(AZ859&gt;=1,"Lift",IF(AZ859&lt;=0,"Aussenlager","teilweise")))))</f>
        <v>Lift</v>
      </c>
      <c r="BM859" s="60" t="str">
        <f aca="false">IF(BD859&lt;=0,"",IF(CG859="Aussen","Aussenlager",IF(CG859="-","Nicht im Lift",IF(BJ859&gt;=1,"Lift",IF(BJ859&lt;=0,"Aussenlager","teilweise")))))</f>
        <v>Lift</v>
      </c>
      <c r="BN859" s="60" t="str">
        <f aca="false">IF(A859="","",IF(BW859=1,"Neu; ","")&amp;IF(AND(BW859=0,BR859&lt;0),"negativer Bestand (Export "&amp;BR859&amp;"); ","")&amp;IF(J859&lt;=0,"Kein Verbrauch; ","")&amp;IF(CR859&gt;0,"Lift "&amp;W859&amp;" lt. Liftbericht (Fach "&amp;X859&amp;" Stk); ",IF(CB859=1,"Gebinde geschätzt ("&amp;T859&amp;"); ",IF(CA859=1,"Lose – Tablare geschätzt; ","")))&amp;IF(H859&gt;AW859,"Überbestand "&amp;ROUND(H859-AW859,0)&amp;" Stk / CHF "&amp;ROUND((H859-AW859)*G859,0)&amp;"; ","")&amp;IF(AND(CI859=1,CJ859&lt;CK859),"MAX &lt; MB+LG; ","")&amp;IF(AND(CQ859&gt;0,CP859*10&gt;CQ859),"zu hoch für Tablar; ","")&amp;IF(AND(BW859=0,OR(CI859=1,AB859&lt;&gt;"",U859&lt;&gt;"",V859&lt;&gt;"",AC859&lt;&gt;"")),"manuell übersteuert; ","")&amp;IF(AND(CA859=0,R859=0),"Gebinde unbekannt / Stellmass fehlt; ","")&amp;IF(AND(CA859=0,N(V859)&lt;=0,N(Q859)&lt;=0),"Menge pro Gebinde fehlt (Ist = 1 Gebinde); ","")&amp;BV859)</f>
        <v>negativer Bestand (Export -223); </v>
      </c>
      <c r="BO859" s="60"/>
      <c r="BP859" s="60"/>
      <c r="BQ859" s="67"/>
      <c r="BR859" s="62" t="n">
        <v>-223</v>
      </c>
      <c r="BS859" s="62" t="n">
        <v>332</v>
      </c>
      <c r="BT859" s="61" t="n">
        <v>-19.88</v>
      </c>
      <c r="BU859" s="62" t="n">
        <v>163</v>
      </c>
      <c r="BV859" s="60"/>
      <c r="BW859" s="65" t="n">
        <v>0</v>
      </c>
      <c r="BX859" s="65" t="n">
        <v>859</v>
      </c>
      <c r="BY859" s="60" t="str">
        <f aca="false">IF(U859&lt;&gt;"",UPPER(TRIM(U859)),IF(CB859=1,UPPER(VLOOKUP(T859,Parameter!$I$27:$K$29,2,0)),IF(P859="","LOSE",P859)))</f>
        <v>S33</v>
      </c>
      <c r="BZ859" s="62" t="n">
        <f aca="false">IF(BY859="LOSE",1,IF(N(V859)&gt;0,V859,IF(CB859=1,MAX(1,N(VLOOKUP(T859,Parameter!$I$27:$K$29,3,0)),H859,N(N859)),IF(N(Q859)&gt;0,Q859,MAX(1,H859)))))</f>
        <v>125</v>
      </c>
      <c r="CA859" s="65" t="n">
        <f aca="false">IF(BY859="LOSE",1,0)</f>
        <v>0</v>
      </c>
      <c r="CB859" s="65" t="n">
        <f aca="false">IF(AND(U859="",OR(P859="",P859="LOSE"),T859&lt;&gt;"",N(S859)&lt;=0,ISNUMBER(MATCH(T859,Parameter!$I$27:$I$29,0))),1,0)</f>
        <v>0</v>
      </c>
      <c r="CC859" s="65" t="n">
        <f aca="false">IF(CR859&gt;0,INDEX(Parameter!$H$5:$H$7,W859)/INDEX(Parameter!$E$5:$E$7,W859),IF(AND(CA859=0,N(IFERROR(VLOOKUP(BY859,'Gebinde-Kategorie'!$A$5:$N$45,14,0),0))&gt;0),VLOOKUP(BY859,'Gebinde-Kategorie'!$A$5:$N$45,14,0)*10+Parameter!$M$23,Parameter!$M$24))</f>
        <v>155</v>
      </c>
      <c r="CD859" s="60" t="str">
        <f aca="false">IF(AND(Parameter!$B$19="Ja",E859&lt;&gt;"",ISNUMBER(MATCH(E859,Parameter!$I$35:$I$52,0))),VLOOKUP(E859,Parameter!$I$35:$J$52,2,0),IFERROR(VLOOKUP(D859,Parameter!$A$35:$C$64,2,0),"Nein"))</f>
        <v>2+3</v>
      </c>
      <c r="CE859" s="64" t="n">
        <f aca="false">IF(CA859=0,0,IF(N(S859)&gt;0,S859,IFERROR(VLOOKUP(D859,Parameter!$A$35:$C$64,3,0)+0,0)))</f>
        <v>0</v>
      </c>
      <c r="CF859" s="60" t="n">
        <f aca="false">IF(AB859&lt;&gt;"",AB859,AA859)</f>
        <v>3</v>
      </c>
      <c r="CG859" s="60" t="str">
        <f aca="false">IF(OR(CF859=1,CF859=2,CF859=3),IF(Parameter!$E$27="Ja","LIFT",IF(CF859=1,"L1","L23")),IF(CF859="Aussen","Aussen","-"))</f>
        <v>LIFT</v>
      </c>
      <c r="CH859" s="71" t="n">
        <f aca="false">IF(N(AC859)&gt;0,AC859,0)</f>
        <v>0</v>
      </c>
      <c r="CI859" s="65" t="n">
        <f aca="false">IF(ISNUMBER(AF859),1,0)</f>
        <v>0</v>
      </c>
      <c r="CJ859" s="62" t="n">
        <f aca="false">N(AF859)</f>
        <v>0</v>
      </c>
      <c r="CK859" s="62" t="n">
        <f aca="false">N(M859)+N(N859)</f>
        <v>259</v>
      </c>
      <c r="CL859" s="62" t="n">
        <f aca="false">N(M859)</f>
        <v>9</v>
      </c>
      <c r="CM859" s="62" t="n">
        <f aca="false">N(N859)</f>
        <v>250</v>
      </c>
      <c r="CN859" s="62" t="n">
        <f aca="false">ROUNDUP(H859/BZ859,0)</f>
        <v>1</v>
      </c>
      <c r="CO859" s="62" t="n">
        <f aca="false">ROUNDUP(CJ859/BZ859,0)</f>
        <v>0</v>
      </c>
      <c r="CP859" s="65" t="n">
        <f aca="false">IF(CA859=1,0,IFERROR(VLOOKUP(BY859,'Gebinde-Kategorie'!$A$5:$N$45,5,0)+0,0))</f>
        <v>8</v>
      </c>
      <c r="CQ859" s="65" t="n">
        <f aca="false">IFERROR(IF(OR(CF859=1,CF859=2,CF859=3),N(INDEX(Parameter!$I$5:$I$7,CF859)),0),0)</f>
        <v>0</v>
      </c>
      <c r="CR859" s="64" t="n">
        <f aca="false">IF(AND(Parameter!$B$21="Ja",ISNUMBER(W859),N(X859)&gt;0),IFERROR(N(INDEX(Parameter!$L$5:$L$7,W859))*INDEX(Parameter!$E$5:$E$7,W859)*X859/SUMIFS($X$7:$X$1843,$W$7:$W$1843,W859),0),0)</f>
        <v>0</v>
      </c>
      <c r="CS859" s="62" t="n">
        <f aca="false">IF(AND(OR(CG859="L1",CG859="L23",CG859="LIFT"),H859&gt;0),CC859*IF(CR859&gt;0,CR859*MAX(1,H859/X859),IF(CA859=1,CE859,IF(R859&gt;0,CN859/R859,0))/MAX(0.1,N(Parameter!$M$21))),"")</f>
        <v>2.98076923076923</v>
      </c>
      <c r="CT859" s="64" t="n">
        <f aca="false">IF(CS859="","",J859/H859)</f>
        <v>1.4954128440367</v>
      </c>
      <c r="CU859" s="62" t="n">
        <f aca="false">IF(CS859="","",H859*G859)</f>
        <v>21.8</v>
      </c>
      <c r="CV859" s="63" t="n">
        <f aca="false">IF(CS859="","",(CL859+ROUNDUP(CL859+MAX(CM859,2*(J859/MAX(0.1,N(Einkauf!$C$6))-CL859)),0))/2)</f>
        <v>134</v>
      </c>
      <c r="CW859" s="62" t="n">
        <f aca="false">IF(CS859="","",MAX(0,H859-CV859)*G859)</f>
        <v>0</v>
      </c>
      <c r="CX859" s="62" t="n">
        <f aca="false">IF(CS859="","",CS859*MAX(0,1-CV859/H859))</f>
        <v>0</v>
      </c>
      <c r="CY859" s="64" t="n">
        <f aca="false">IF(CS859="","",PERCENTRANK($CS$7:$CS$1843,CS859)+PERCENTRANK($CU$7:$CU$1843,CU859)+1-PERCENTRANK($CT$7:$CT$1843,CT859))</f>
        <v>0.5374</v>
      </c>
      <c r="CZ859" s="72" t="n">
        <f aca="false">IF(CS859="","",CHOOSE(MATCH(Einkauf!$C$5,Parameter!$G$23:$G$27,0),CY859,CS859,CU859,-CT859,CW859)+ROW()/1000000000)</f>
        <v>0.537400859</v>
      </c>
    </row>
    <row r="860" customFormat="false" ht="15" hidden="false" customHeight="false" outlineLevel="0" collapsed="false">
      <c r="A860" s="60" t="s">
        <v>1681</v>
      </c>
      <c r="B860" s="60" t="s">
        <v>1682</v>
      </c>
      <c r="C860" s="60" t="s">
        <v>498</v>
      </c>
      <c r="D860" s="60" t="s">
        <v>226</v>
      </c>
      <c r="E860" s="60"/>
      <c r="F860" s="60" t="s">
        <v>260</v>
      </c>
      <c r="G860" s="61" t="n">
        <v>1.25</v>
      </c>
      <c r="H860" s="62" t="n">
        <f aca="false">MAX(0,IF(AND(Parameter!$B$21="Ja",ISNUMBER(Y860)),Y860,IF(Parameter!$B$20="Jahresanfang 2025 + Export",BS860+BR860,BR860)))</f>
        <v>16</v>
      </c>
      <c r="I860" s="62" t="n">
        <f aca="false">H860*G860</f>
        <v>20</v>
      </c>
      <c r="J860" s="62" t="n">
        <f aca="false">BU860*Parameter!$B$18</f>
        <v>16</v>
      </c>
      <c r="K860" s="63" t="n">
        <v>16</v>
      </c>
      <c r="L860" s="64" t="n">
        <v>1</v>
      </c>
      <c r="M860" s="62" t="n">
        <v>0</v>
      </c>
      <c r="N860" s="62" t="n">
        <v>15</v>
      </c>
      <c r="O860" s="65" t="n">
        <v>21</v>
      </c>
      <c r="P860" s="60" t="s">
        <v>210</v>
      </c>
      <c r="Q860" s="62"/>
      <c r="R860" s="65" t="n">
        <f aca="false">IF(CA860=1,0,IFERROR(VLOOKUP(BY860,'Gebinde-Kategorie'!$A$5:$N$45,13,0)+0,0))</f>
        <v>4</v>
      </c>
      <c r="S860" s="66"/>
      <c r="T860" s="67" t="s">
        <v>231</v>
      </c>
      <c r="U860" s="67"/>
      <c r="V860" s="67"/>
      <c r="W860" s="60"/>
      <c r="X860" s="62"/>
      <c r="Y860" s="62"/>
      <c r="Z860" s="60" t="n">
        <v>2</v>
      </c>
      <c r="AA860" s="60" t="n">
        <f aca="false">IF(A860="","",IF(AND(Parameter!$B$21="Ja",ISNUMBER(W860)),W860,IF(AND(Parameter!$E$27="Ja",ISNUMBER(Z860),CD860&lt;&gt;"Nein"),Z860,IF(CD860="2+3",IF(ISNUMBER(SEARCH("grosser Artikel",BV860)),2,IFERROR(VLOOKUP(BY860,Parameter!$F$35:$G$64,2,0),2)),IF(OR(CD860="Nein",CD860=""),"-",CD860)))))</f>
        <v>2</v>
      </c>
      <c r="AB860" s="67"/>
      <c r="AC860" s="68"/>
      <c r="AD860" s="62" t="n">
        <f aca="false">AW860</f>
        <v>15</v>
      </c>
      <c r="AE860" s="62" t="n">
        <f aca="false">MAX(AW860,H860)</f>
        <v>16</v>
      </c>
      <c r="AF860" s="69"/>
      <c r="AG860" s="62" t="n">
        <f aca="false">IF(LEFT(Cockpit!$C$5,1)="A",H860,IF(Parameter!$E$30="MAX-Bestand",IF(CI860=1,CJ860,IF(LEFT(Cockpit!$C$5,1)="B",AM860,MAX(AM860,H860))),ROUNDUP(AK860,0)))</f>
        <v>16</v>
      </c>
      <c r="AH860" s="62" t="n">
        <f aca="false">IF(CA860=1,0,ROUNDUP(AG860/BZ860,0))</f>
        <v>1</v>
      </c>
      <c r="AI860" s="64" t="n">
        <f aca="false">IF(CR860&gt;0,CR860*MAX(1,AG860/X860),IF(CA860=1,IF(AG860&lt;=0,0,CE860*MAX(1,IF(H860&gt;0,AG860/H860,1))),IF(R860&gt;0,AH860/R860,0))/MAX(0.1,N(Parameter!$M$21)))</f>
        <v>0.25</v>
      </c>
      <c r="AJ860" s="62" t="n">
        <f aca="false">AI860*CC860</f>
        <v>58.75</v>
      </c>
      <c r="AK860" s="63" t="n">
        <f aca="false">IF(LEFT(Cockpit!$C$5,1)="A",H860,IF(CI860=1,(CL860+CJ860)/2,IF(LEFT(Cockpit!$C$5,1)="B",(CL860+AM860)/2,MAX((CL860+AM860)/2,H860))))</f>
        <v>16</v>
      </c>
      <c r="AL860" s="62" t="n">
        <f aca="false">AK860*G860</f>
        <v>20</v>
      </c>
      <c r="AM860" s="62" t="n">
        <f aca="false">ROUNDUP(CL860+MAX(CM860,2*(J860/IF(CH860&gt;0,CH860,MAX(0.1,N(Cockpit!$C$6)))-CL860)),0)</f>
        <v>15</v>
      </c>
      <c r="AN860" s="63" t="n">
        <f aca="false">IF(AJ860&gt;0,J860/AJ860,-1)</f>
        <v>0.272340425531915</v>
      </c>
      <c r="AO860" s="63" t="n">
        <f aca="false">IF(AND(OR(CG860="L1",CG860="L23",CG860="LIFT"),AJ860&gt;0),SUMIFS($AJ$7:$AJ$1843,$CG$7:$CG$1843,CG860,$AN$7:$AN$1843,"&gt;"&amp;AN860)+SUMIFS($AJ$7:$AJ$1843,$CG$7:$CG$1843,CG860,$AN$7:$AN$1843,AN860,$BX$7:$BX$1843,"&lt;="&amp;BX860),"")</f>
        <v>11707.7702629292</v>
      </c>
      <c r="AP860" s="70" t="n">
        <f aca="false">IF(AO860="",0,MAX(0,MIN(1,(IF(CG860="L1",Parameter!$H$5,IF(CG860="L23",Parameter!$H$6+Parameter!$H$7,Parameter!$H$5+Parameter!$H$6+Parameter!$H$7))-(AO860-AJ860))/AJ860)))</f>
        <v>1</v>
      </c>
      <c r="AQ860" s="62" t="n">
        <f aca="false">IF(LEFT(Cockpit!$I$5,1)="A",H860,IF(Parameter!$E$30="MAX-Bestand",IF(CI860=1,CJ860,IF(LEFT(Cockpit!$I$5,1)="B",AW860,MAX(AW860,H860))),ROUNDUP(AU860,0)))</f>
        <v>16</v>
      </c>
      <c r="AR860" s="62" t="n">
        <f aca="false">IF(CA860=1,0,ROUNDUP(AQ860/BZ860,0))</f>
        <v>1</v>
      </c>
      <c r="AS860" s="64" t="n">
        <f aca="false">IF(CR860&gt;0,CR860*MAX(1,AQ860/X860),IF(CA860=1,IF(AQ860&lt;=0,0,CE860*MAX(1,IF(H860&gt;0,AQ860/H860,1))),IF(R860&gt;0,AR860/R860,0))/MAX(0.1,N(Parameter!$M$21)))</f>
        <v>0.25</v>
      </c>
      <c r="AT860" s="62" t="n">
        <f aca="false">AS860*CC860</f>
        <v>58.75</v>
      </c>
      <c r="AU860" s="63" t="n">
        <f aca="false">IF(LEFT(Cockpit!$I$5,1)="A",H860,IF(CI860=1,(CL860+CJ860)/2,IF(LEFT(Cockpit!$I$5,1)="B",(CL860+AW860)/2,MAX((CL860+AW860)/2,H860))))</f>
        <v>16</v>
      </c>
      <c r="AV860" s="62" t="n">
        <f aca="false">AU860*G860</f>
        <v>20</v>
      </c>
      <c r="AW860" s="62" t="n">
        <f aca="false">ROUNDUP(CL860+MAX(CM860,2*(J860/IF(CH860&gt;0,CH860,MAX(0.1,N(Cockpit!$I$6)))-CL860)),0)</f>
        <v>15</v>
      </c>
      <c r="AX860" s="63" t="n">
        <f aca="false">IF(AT860&gt;0,J860/AT860,-1)</f>
        <v>0.272340425531915</v>
      </c>
      <c r="AY860" s="63" t="n">
        <f aca="false">IF(AND(OR(CG860="L1",CG860="L23",CG860="LIFT"),AT860&gt;0),SUMIFS($AT$7:$AT$1843,$CG$7:$CG$1843,CG860,$AX$7:$AX$1843,"&gt;"&amp;AX860)+SUMIFS($AT$7:$AT$1843,$CG$7:$CG$1843,CG860,$AX$7:$AX$1843,AX860,$BX$7:$BX$1843,"&lt;="&amp;BX860),"")</f>
        <v>14784.6643772894</v>
      </c>
      <c r="AZ860" s="70" t="n">
        <f aca="false">IF(AY860="",0,MAX(0,MIN(1,(IF(CG860="L1",Parameter!$H$5,IF(CG860="L23",Parameter!$H$6+Parameter!$H$7,Parameter!$H$5+Parameter!$H$6+Parameter!$H$7))-(AY860-AT860))/AT860)))</f>
        <v>1</v>
      </c>
      <c r="BA860" s="62" t="n">
        <f aca="false">IF(LEFT(Cockpit!$O$5,1)="A",H860,IF(Parameter!$E$30="MAX-Bestand",IF(CI860=1,CJ860,IF(LEFT(Cockpit!$O$5,1)="B",BG860,MAX(BG860,H860))),ROUNDUP(BE860,0)))</f>
        <v>8</v>
      </c>
      <c r="BB860" s="62" t="n">
        <f aca="false">IF(CA860=1,0,ROUNDUP(BA860/BZ860,0))</f>
        <v>1</v>
      </c>
      <c r="BC860" s="64" t="n">
        <f aca="false">IF(CR860&gt;0,CR860*MAX(1,BA860/X860),IF(CA860=1,IF(BA860&lt;=0,0,CE860*MAX(1,IF(H860&gt;0,BA860/H860,1))),IF(R860&gt;0,BB860/R860,0))/MAX(0.1,N(Parameter!$M$21)))</f>
        <v>0.25</v>
      </c>
      <c r="BD860" s="62" t="n">
        <f aca="false">BC860*CC860</f>
        <v>58.75</v>
      </c>
      <c r="BE860" s="63" t="n">
        <f aca="false">IF(LEFT(Cockpit!$O$5,1)="A",H860,IF(CI860=1,(CL860+CJ860)/2,IF(LEFT(Cockpit!$O$5,1)="B",(CL860+BG860)/2,MAX((CL860+BG860)/2,H860))))</f>
        <v>7.5</v>
      </c>
      <c r="BF860" s="62" t="n">
        <f aca="false">BE860*G860</f>
        <v>9.375</v>
      </c>
      <c r="BG860" s="62" t="n">
        <f aca="false">ROUNDUP(CL860+MAX(CM860,2*(J860/IF(CH860&gt;0,CH860,MAX(0.1,N(Cockpit!$O$6)))-CL860)),0)</f>
        <v>15</v>
      </c>
      <c r="BH860" s="63" t="n">
        <f aca="false">IF(BD860&gt;0,J860/BD860,-1)</f>
        <v>0.272340425531915</v>
      </c>
      <c r="BI860" s="63" t="n">
        <f aca="false">IF(AND(OR(CG860="L1",CG860="L23",CG860="LIFT"),BD860&gt;0),SUMIFS($BD$7:$BD$1843,$CG$7:$CG$1843,CG860,$BH$7:$BH$1843,"&gt;"&amp;BH860)+SUMIFS($BD$7:$BD$1843,$CG$7:$CG$1843,CG860,$BH$7:$BH$1843,BH860,$BX$7:$BX$1843,"&lt;="&amp;BX860),"")</f>
        <v>11960.0581501832</v>
      </c>
      <c r="BJ860" s="70" t="n">
        <f aca="false">IF(BI860="",0,MAX(0,MIN(1,(IF(CG860="L1",Parameter!$H$5,IF(CG860="L23",Parameter!$H$6+Parameter!$H$7,Parameter!$H$5+Parameter!$H$6+Parameter!$H$7))-(BI860-BD860))/BD860)))</f>
        <v>1</v>
      </c>
      <c r="BK860" s="60" t="str">
        <f aca="false">IF(AJ860&lt;=0,"",IF(CG860="Aussen","Aussenlager",IF(CG860="-","Nicht im Lift",IF(AP860&gt;=1,"Lift",IF(AP860&lt;=0,"Aussenlager","teilweise")))))</f>
        <v>Lift</v>
      </c>
      <c r="BL860" s="60" t="str">
        <f aca="false">IF(AT860&lt;=0,"",IF(CG860="Aussen","Aussenlager",IF(CG860="-","Nicht im Lift",IF(AZ860&gt;=1,"Lift",IF(AZ860&lt;=0,"Aussenlager","teilweise")))))</f>
        <v>Lift</v>
      </c>
      <c r="BM860" s="60" t="str">
        <f aca="false">IF(BD860&lt;=0,"",IF(CG860="Aussen","Aussenlager",IF(CG860="-","Nicht im Lift",IF(BJ860&gt;=1,"Lift",IF(BJ860&lt;=0,"Aussenlager","teilweise")))))</f>
        <v>Lift</v>
      </c>
      <c r="BN860" s="60" t="str">
        <f aca="false">IF(A860="","",IF(BW860=1,"Neu; ","")&amp;IF(AND(BW860=0,BR860&lt;0),"negativer Bestand (Export "&amp;BR860&amp;"); ","")&amp;IF(J860&lt;=0,"Kein Verbrauch; ","")&amp;IF(CR860&gt;0,"Lift "&amp;W860&amp;" lt. Liftbericht (Fach "&amp;X860&amp;" Stk); ",IF(CB860=1,"Gebinde geschätzt ("&amp;T860&amp;"); ",IF(CA860=1,"Lose – Tablare geschätzt; ","")))&amp;IF(H860&gt;AW860,"Überbestand "&amp;ROUND(H860-AW860,0)&amp;" Stk / CHF "&amp;ROUND((H860-AW860)*G860,0)&amp;"; ","")&amp;IF(AND(CI860=1,CJ860&lt;CK860),"MAX &lt; MB+LG; ","")&amp;IF(AND(CQ860&gt;0,CP860*10&gt;CQ860),"zu hoch für Tablar; ","")&amp;IF(AND(BW860=0,OR(CI860=1,AB860&lt;&gt;"",U860&lt;&gt;"",V860&lt;&gt;"",AC860&lt;&gt;"")),"manuell übersteuert; ","")&amp;IF(AND(CA860=0,R860=0),"Gebinde unbekannt / Stellmass fehlt; ","")&amp;IF(AND(CA860=0,N(V860)&lt;=0,N(Q860)&lt;=0),"Menge pro Gebinde fehlt (Ist = 1 Gebinde); ","")&amp;BV860)</f>
        <v>negativer Bestand (Export -16); Gebinde geschätzt (Gross); Überbestand 1 Stk / CHF 1; Menge pro Gebinde fehlt (Ist = 1 Gebinde); </v>
      </c>
      <c r="BO860" s="60"/>
      <c r="BP860" s="60"/>
      <c r="BQ860" s="67"/>
      <c r="BR860" s="62" t="n">
        <v>-16</v>
      </c>
      <c r="BS860" s="62" t="n">
        <v>32</v>
      </c>
      <c r="BT860" s="61" t="n">
        <v>-20</v>
      </c>
      <c r="BU860" s="62" t="n">
        <v>16</v>
      </c>
      <c r="BV860" s="60"/>
      <c r="BW860" s="65" t="n">
        <v>0</v>
      </c>
      <c r="BX860" s="65" t="n">
        <v>860</v>
      </c>
      <c r="BY860" s="60" t="str">
        <f aca="false">IF(U860&lt;&gt;"",UPPER(TRIM(U860)),IF(CB860=1,UPPER(VLOOKUP(T860,Parameter!$I$27:$K$29,2,0)),IF(P860="","LOSE",P860)))</f>
        <v>S81</v>
      </c>
      <c r="BZ860" s="62" t="n">
        <f aca="false">IF(BY860="LOSE",1,IF(N(V860)&gt;0,V860,IF(CB860=1,MAX(1,N(VLOOKUP(T860,Parameter!$I$27:$K$29,3,0)),H860,N(N860)),IF(N(Q860)&gt;0,Q860,MAX(1,H860)))))</f>
        <v>16</v>
      </c>
      <c r="CA860" s="65" t="n">
        <f aca="false">IF(BY860="LOSE",1,0)</f>
        <v>0</v>
      </c>
      <c r="CB860" s="65" t="n">
        <f aca="false">IF(AND(U860="",OR(P860="",P860="LOSE"),T860&lt;&gt;"",N(S860)&lt;=0,ISNUMBER(MATCH(T860,Parameter!$I$27:$I$29,0))),1,0)</f>
        <v>1</v>
      </c>
      <c r="CC860" s="65" t="n">
        <f aca="false">IF(CR860&gt;0,INDEX(Parameter!$H$5:$H$7,W860)/INDEX(Parameter!$E$5:$E$7,W860),IF(AND(CA860=0,N(IFERROR(VLOOKUP(BY860,'Gebinde-Kategorie'!$A$5:$N$45,14,0),0))&gt;0),VLOOKUP(BY860,'Gebinde-Kategorie'!$A$5:$N$45,14,0)*10+Parameter!$M$23,Parameter!$M$24))</f>
        <v>235</v>
      </c>
      <c r="CD860" s="60" t="str">
        <f aca="false">IF(AND(Parameter!$B$19="Ja",E860&lt;&gt;"",ISNUMBER(MATCH(E860,Parameter!$I$35:$I$52,0))),VLOOKUP(E860,Parameter!$I$35:$J$52,2,0),IFERROR(VLOOKUP(D860,Parameter!$A$35:$C$64,2,0),"Nein"))</f>
        <v>2+3</v>
      </c>
      <c r="CE860" s="64" t="n">
        <f aca="false">IF(CA860=0,0,IF(N(S860)&gt;0,S860,IFERROR(VLOOKUP(D860,Parameter!$A$35:$C$64,3,0)+0,0)))</f>
        <v>0</v>
      </c>
      <c r="CF860" s="60" t="n">
        <f aca="false">IF(AB860&lt;&gt;"",AB860,AA860)</f>
        <v>2</v>
      </c>
      <c r="CG860" s="60" t="str">
        <f aca="false">IF(OR(CF860=1,CF860=2,CF860=3),IF(Parameter!$E$27="Ja","LIFT",IF(CF860=1,"L1","L23")),IF(CF860="Aussen","Aussen","-"))</f>
        <v>LIFT</v>
      </c>
      <c r="CH860" s="71" t="n">
        <f aca="false">IF(N(AC860)&gt;0,AC860,0)</f>
        <v>0</v>
      </c>
      <c r="CI860" s="65" t="n">
        <f aca="false">IF(ISNUMBER(AF860),1,0)</f>
        <v>0</v>
      </c>
      <c r="CJ860" s="62" t="n">
        <f aca="false">N(AF860)</f>
        <v>0</v>
      </c>
      <c r="CK860" s="62" t="n">
        <f aca="false">N(M860)+N(N860)</f>
        <v>15</v>
      </c>
      <c r="CL860" s="62" t="n">
        <f aca="false">N(M860)</f>
        <v>0</v>
      </c>
      <c r="CM860" s="62" t="n">
        <f aca="false">N(N860)</f>
        <v>15</v>
      </c>
      <c r="CN860" s="62" t="n">
        <f aca="false">ROUNDUP(H860/BZ860,0)</f>
        <v>1</v>
      </c>
      <c r="CO860" s="62" t="n">
        <f aca="false">ROUNDUP(CJ860/BZ860,0)</f>
        <v>0</v>
      </c>
      <c r="CP860" s="65" t="n">
        <f aca="false">IF(CA860=1,0,IFERROR(VLOOKUP(BY860,'Gebinde-Kategorie'!$A$5:$N$45,5,0)+0,0))</f>
        <v>20</v>
      </c>
      <c r="CQ860" s="65" t="n">
        <f aca="false">IFERROR(IF(OR(CF860=1,CF860=2,CF860=3),N(INDEX(Parameter!$I$5:$I$7,CF860)),0),0)</f>
        <v>0</v>
      </c>
      <c r="CR860" s="64" t="n">
        <f aca="false">IF(AND(Parameter!$B$21="Ja",ISNUMBER(W860),N(X860)&gt;0),IFERROR(N(INDEX(Parameter!$L$5:$L$7,W860))*INDEX(Parameter!$E$5:$E$7,W860)*X860/SUMIFS($X$7:$X$1843,$W$7:$W$1843,W860),0),0)</f>
        <v>0</v>
      </c>
      <c r="CS860" s="62" t="n">
        <f aca="false">IF(AND(OR(CG860="L1",CG860="L23",CG860="LIFT"),H860&gt;0),CC860*IF(CR860&gt;0,CR860*MAX(1,H860/X860),IF(CA860=1,CE860,IF(R860&gt;0,CN860/R860,0))/MAX(0.1,N(Parameter!$M$21))),"")</f>
        <v>58.75</v>
      </c>
      <c r="CT860" s="64" t="n">
        <f aca="false">IF(CS860="","",J860/H860)</f>
        <v>1</v>
      </c>
      <c r="CU860" s="62" t="n">
        <f aca="false">IF(CS860="","",H860*G860)</f>
        <v>20</v>
      </c>
      <c r="CV860" s="63" t="n">
        <f aca="false">IF(CS860="","",(CL860+ROUNDUP(CL860+MAX(CM860,2*(J860/MAX(0.1,N(Einkauf!$C$6))-CL860)),0))/2)</f>
        <v>7.5</v>
      </c>
      <c r="CW860" s="62" t="n">
        <f aca="false">IF(CS860="","",MAX(0,H860-CV860)*G860)</f>
        <v>10.625</v>
      </c>
      <c r="CX860" s="62" t="n">
        <f aca="false">IF(CS860="","",CS860*MAX(0,1-CV860/H860))</f>
        <v>31.2109375</v>
      </c>
      <c r="CY860" s="64" t="n">
        <f aca="false">IF(CS860="","",PERCENTRANK($CS$7:$CS$1843,CS860)+PERCENTRANK($CU$7:$CU$1843,CU860)+1-PERCENTRANK($CT$7:$CT$1843,CT860))</f>
        <v>1.3542</v>
      </c>
      <c r="CZ860" s="72" t="n">
        <f aca="false">IF(CS860="","",CHOOSE(MATCH(Einkauf!$C$5,Parameter!$G$23:$G$27,0),CY860,CS860,CU860,-CT860,CW860)+ROW()/1000000000)</f>
        <v>1.35420086</v>
      </c>
    </row>
    <row r="861" customFormat="false" ht="15" hidden="false" customHeight="false" outlineLevel="0" collapsed="false">
      <c r="A861" s="60" t="s">
        <v>1683</v>
      </c>
      <c r="B861" s="60" t="s">
        <v>1134</v>
      </c>
      <c r="C861" s="60" t="s">
        <v>206</v>
      </c>
      <c r="D861" s="60" t="s">
        <v>226</v>
      </c>
      <c r="E861" s="60" t="s">
        <v>227</v>
      </c>
      <c r="F861" s="60" t="s">
        <v>260</v>
      </c>
      <c r="G861" s="61" t="n">
        <v>4.13</v>
      </c>
      <c r="H861" s="62" t="n">
        <f aca="false">MAX(0,IF(AND(Parameter!$B$21="Ja",ISNUMBER(Y861)),Y861,IF(Parameter!$B$20="Jahresanfang 2025 + Export",BS861+BR861,BR861)))</f>
        <v>6</v>
      </c>
      <c r="I861" s="62" t="n">
        <f aca="false">H861*G861</f>
        <v>24.78</v>
      </c>
      <c r="J861" s="62" t="n">
        <f aca="false">BU861*Parameter!$B$18</f>
        <v>10</v>
      </c>
      <c r="K861" s="63" t="n">
        <v>10.5</v>
      </c>
      <c r="L861" s="64" t="n">
        <v>0.952380952380952</v>
      </c>
      <c r="M861" s="62" t="n">
        <v>0</v>
      </c>
      <c r="N861" s="62" t="n">
        <v>10</v>
      </c>
      <c r="O861" s="65" t="n">
        <v>14</v>
      </c>
      <c r="P861" s="60" t="s">
        <v>463</v>
      </c>
      <c r="Q861" s="62" t="n">
        <v>20</v>
      </c>
      <c r="R861" s="65" t="n">
        <f aca="false">IF(CA861=1,0,IFERROR(VLOOKUP(BY861,'Gebinde-Kategorie'!$A$5:$N$45,13,0)+0,0))</f>
        <v>104</v>
      </c>
      <c r="S861" s="66"/>
      <c r="T861" s="67"/>
      <c r="U861" s="67"/>
      <c r="V861" s="67"/>
      <c r="W861" s="60"/>
      <c r="X861" s="62"/>
      <c r="Y861" s="62"/>
      <c r="Z861" s="60" t="n">
        <v>1</v>
      </c>
      <c r="AA861" s="60" t="n">
        <f aca="false">IF(A861="","",IF(AND(Parameter!$B$21="Ja",ISNUMBER(W861)),W861,IF(AND(Parameter!$E$27="Ja",ISNUMBER(Z861),CD861&lt;&gt;"Nein"),Z861,IF(CD861="2+3",IF(ISNUMBER(SEARCH("grosser Artikel",BV861)),2,IFERROR(VLOOKUP(BY861,Parameter!$F$35:$G$64,2,0),2)),IF(OR(CD861="Nein",CD861=""),"-",CD861)))))</f>
        <v>1</v>
      </c>
      <c r="AB861" s="67"/>
      <c r="AC861" s="68"/>
      <c r="AD861" s="62" t="n">
        <f aca="false">AW861</f>
        <v>10</v>
      </c>
      <c r="AE861" s="62" t="n">
        <f aca="false">MAX(AW861,H861)</f>
        <v>10</v>
      </c>
      <c r="AF861" s="69"/>
      <c r="AG861" s="62" t="n">
        <f aca="false">IF(LEFT(Cockpit!$C$5,1)="A",H861,IF(Parameter!$E$30="MAX-Bestand",IF(CI861=1,CJ861,IF(LEFT(Cockpit!$C$5,1)="B",AM861,MAX(AM861,H861))),ROUNDUP(AK861,0)))</f>
        <v>6</v>
      </c>
      <c r="AH861" s="62" t="n">
        <f aca="false">IF(CA861=1,0,ROUNDUP(AG861/BZ861,0))</f>
        <v>1</v>
      </c>
      <c r="AI861" s="64" t="n">
        <f aca="false">IF(CR861&gt;0,CR861*MAX(1,AG861/X861),IF(CA861=1,IF(AG861&lt;=0,0,CE861*MAX(1,IF(H861&gt;0,AG861/H861,1))),IF(R861&gt;0,AH861/R861,0))/MAX(0.1,N(Parameter!$M$21)))</f>
        <v>0.00961538461538462</v>
      </c>
      <c r="AJ861" s="62" t="n">
        <f aca="false">AI861*CC861</f>
        <v>1.49038461538462</v>
      </c>
      <c r="AK861" s="63" t="n">
        <f aca="false">IF(LEFT(Cockpit!$C$5,1)="A",H861,IF(CI861=1,(CL861+CJ861)/2,IF(LEFT(Cockpit!$C$5,1)="B",(CL861+AM861)/2,MAX((CL861+AM861)/2,H861))))</f>
        <v>6</v>
      </c>
      <c r="AL861" s="62" t="n">
        <f aca="false">AK861*G861</f>
        <v>24.78</v>
      </c>
      <c r="AM861" s="62" t="n">
        <f aca="false">ROUNDUP(CL861+MAX(CM861,2*(J861/IF(CH861&gt;0,CH861,MAX(0.1,N(Cockpit!$C$6)))-CL861)),0)</f>
        <v>10</v>
      </c>
      <c r="AN861" s="63" t="n">
        <f aca="false">IF(AJ861&gt;0,J861/AJ861,-1)</f>
        <v>6.70967741935484</v>
      </c>
      <c r="AO861" s="63" t="n">
        <f aca="false">IF(AND(OR(CG861="L1",CG861="L23",CG861="LIFT"),AJ861&gt;0),SUMIFS($AJ$7:$AJ$1843,$CG$7:$CG$1843,CG861,$AN$7:$AN$1843,"&gt;"&amp;AN861)+SUMIFS($AJ$7:$AJ$1843,$CG$7:$CG$1843,CG861,$AN$7:$AN$1843,AN861,$BX$7:$BX$1843,"&lt;="&amp;BX861),"")</f>
        <v>3394.14331501832</v>
      </c>
      <c r="AP861" s="70" t="n">
        <f aca="false">IF(AO861="",0,MAX(0,MIN(1,(IF(CG861="L1",Parameter!$H$5,IF(CG861="L23",Parameter!$H$6+Parameter!$H$7,Parameter!$H$5+Parameter!$H$6+Parameter!$H$7))-(AO861-AJ861))/AJ861)))</f>
        <v>1</v>
      </c>
      <c r="AQ861" s="62" t="n">
        <f aca="false">IF(LEFT(Cockpit!$I$5,1)="A",H861,IF(Parameter!$E$30="MAX-Bestand",IF(CI861=1,CJ861,IF(LEFT(Cockpit!$I$5,1)="B",AW861,MAX(AW861,H861))),ROUNDUP(AU861,0)))</f>
        <v>6</v>
      </c>
      <c r="AR861" s="62" t="n">
        <f aca="false">IF(CA861=1,0,ROUNDUP(AQ861/BZ861,0))</f>
        <v>1</v>
      </c>
      <c r="AS861" s="64" t="n">
        <f aca="false">IF(CR861&gt;0,CR861*MAX(1,AQ861/X861),IF(CA861=1,IF(AQ861&lt;=0,0,CE861*MAX(1,IF(H861&gt;0,AQ861/H861,1))),IF(R861&gt;0,AR861/R861,0))/MAX(0.1,N(Parameter!$M$21)))</f>
        <v>0.00961538461538462</v>
      </c>
      <c r="AT861" s="62" t="n">
        <f aca="false">AS861*CC861</f>
        <v>1.49038461538462</v>
      </c>
      <c r="AU861" s="63" t="n">
        <f aca="false">IF(LEFT(Cockpit!$I$5,1)="A",H861,IF(CI861=1,(CL861+CJ861)/2,IF(LEFT(Cockpit!$I$5,1)="B",(CL861+AW861)/2,MAX((CL861+AW861)/2,H861))))</f>
        <v>6</v>
      </c>
      <c r="AV861" s="62" t="n">
        <f aca="false">AU861*G861</f>
        <v>24.78</v>
      </c>
      <c r="AW861" s="62" t="n">
        <f aca="false">ROUNDUP(CL861+MAX(CM861,2*(J861/IF(CH861&gt;0,CH861,MAX(0.1,N(Cockpit!$I$6)))-CL861)),0)</f>
        <v>10</v>
      </c>
      <c r="AX861" s="63" t="n">
        <f aca="false">IF(AT861&gt;0,J861/AT861,-1)</f>
        <v>6.70967741935484</v>
      </c>
      <c r="AY861" s="63" t="n">
        <f aca="false">IF(AND(OR(CG861="L1",CG861="L23",CG861="LIFT"),AT861&gt;0),SUMIFS($AT$7:$AT$1843,$CG$7:$CG$1843,CG861,$AX$7:$AX$1843,"&gt;"&amp;AX861)+SUMIFS($AT$7:$AT$1843,$CG$7:$CG$1843,CG861,$AX$7:$AX$1843,AX861,$BX$7:$BX$1843,"&lt;="&amp;BX861),"")</f>
        <v>4111.95467032967</v>
      </c>
      <c r="AZ861" s="70" t="n">
        <f aca="false">IF(AY861="",0,MAX(0,MIN(1,(IF(CG861="L1",Parameter!$H$5,IF(CG861="L23",Parameter!$H$6+Parameter!$H$7,Parameter!$H$5+Parameter!$H$6+Parameter!$H$7))-(AY861-AT861))/AT861)))</f>
        <v>1</v>
      </c>
      <c r="BA861" s="62" t="n">
        <f aca="false">IF(LEFT(Cockpit!$O$5,1)="A",H861,IF(Parameter!$E$30="MAX-Bestand",IF(CI861=1,CJ861,IF(LEFT(Cockpit!$O$5,1)="B",BG861,MAX(BG861,H861))),ROUNDUP(BE861,0)))</f>
        <v>5</v>
      </c>
      <c r="BB861" s="62" t="n">
        <f aca="false">IF(CA861=1,0,ROUNDUP(BA861/BZ861,0))</f>
        <v>1</v>
      </c>
      <c r="BC861" s="64" t="n">
        <f aca="false">IF(CR861&gt;0,CR861*MAX(1,BA861/X861),IF(CA861=1,IF(BA861&lt;=0,0,CE861*MAX(1,IF(H861&gt;0,BA861/H861,1))),IF(R861&gt;0,BB861/R861,0))/MAX(0.1,N(Parameter!$M$21)))</f>
        <v>0.00961538461538462</v>
      </c>
      <c r="BD861" s="62" t="n">
        <f aca="false">BC861*CC861</f>
        <v>1.49038461538462</v>
      </c>
      <c r="BE861" s="63" t="n">
        <f aca="false">IF(LEFT(Cockpit!$O$5,1)="A",H861,IF(CI861=1,(CL861+CJ861)/2,IF(LEFT(Cockpit!$O$5,1)="B",(CL861+BG861)/2,MAX((CL861+BG861)/2,H861))))</f>
        <v>5</v>
      </c>
      <c r="BF861" s="62" t="n">
        <f aca="false">BE861*G861</f>
        <v>20.65</v>
      </c>
      <c r="BG861" s="62" t="n">
        <f aca="false">ROUNDUP(CL861+MAX(CM861,2*(J861/IF(CH861&gt;0,CH861,MAX(0.1,N(Cockpit!$O$6)))-CL861)),0)</f>
        <v>10</v>
      </c>
      <c r="BH861" s="63" t="n">
        <f aca="false">IF(BD861&gt;0,J861/BD861,-1)</f>
        <v>6.70967741935484</v>
      </c>
      <c r="BI861" s="63" t="n">
        <f aca="false">IF(AND(OR(CG861="L1",CG861="L23",CG861="LIFT"),BD861&gt;0),SUMIFS($BD$7:$BD$1843,$CG$7:$CG$1843,CG861,$BH$7:$BH$1843,"&gt;"&amp;BH861)+SUMIFS($BD$7:$BD$1843,$CG$7:$CG$1843,CG861,$BH$7:$BH$1843,BH861,$BX$7:$BX$1843,"&lt;="&amp;BX861),"")</f>
        <v>3382.02152014652</v>
      </c>
      <c r="BJ861" s="70" t="n">
        <f aca="false">IF(BI861="",0,MAX(0,MIN(1,(IF(CG861="L1",Parameter!$H$5,IF(CG861="L23",Parameter!$H$6+Parameter!$H$7,Parameter!$H$5+Parameter!$H$6+Parameter!$H$7))-(BI861-BD861))/BD861)))</f>
        <v>1</v>
      </c>
      <c r="BK861" s="60" t="str">
        <f aca="false">IF(AJ861&lt;=0,"",IF(CG861="Aussen","Aussenlager",IF(CG861="-","Nicht im Lift",IF(AP861&gt;=1,"Lift",IF(AP861&lt;=0,"Aussenlager","teilweise")))))</f>
        <v>Lift</v>
      </c>
      <c r="BL861" s="60" t="str">
        <f aca="false">IF(AT861&lt;=0,"",IF(CG861="Aussen","Aussenlager",IF(CG861="-","Nicht im Lift",IF(AZ861&gt;=1,"Lift",IF(AZ861&lt;=0,"Aussenlager","teilweise")))))</f>
        <v>Lift</v>
      </c>
      <c r="BM861" s="60" t="str">
        <f aca="false">IF(BD861&lt;=0,"",IF(CG861="Aussen","Aussenlager",IF(CG861="-","Nicht im Lift",IF(BJ861&gt;=1,"Lift",IF(BJ861&lt;=0,"Aussenlager","teilweise")))))</f>
        <v>Lift</v>
      </c>
      <c r="BN861" s="60" t="str">
        <f aca="false">IF(A861="","",IF(BW861=1,"Neu; ","")&amp;IF(AND(BW861=0,BR861&lt;0),"negativer Bestand (Export "&amp;BR861&amp;"); ","")&amp;IF(J861&lt;=0,"Kein Verbrauch; ","")&amp;IF(CR861&gt;0,"Lift "&amp;W861&amp;" lt. Liftbericht (Fach "&amp;X861&amp;" Stk); ",IF(CB861=1,"Gebinde geschätzt ("&amp;T861&amp;"); ",IF(CA861=1,"Lose – Tablare geschätzt; ","")))&amp;IF(H861&gt;AW861,"Überbestand "&amp;ROUND(H861-AW861,0)&amp;" Stk / CHF "&amp;ROUND((H861-AW861)*G861,0)&amp;"; ","")&amp;IF(AND(CI861=1,CJ861&lt;CK861),"MAX &lt; MB+LG; ","")&amp;IF(AND(CQ861&gt;0,CP861*10&gt;CQ861),"zu hoch für Tablar; ","")&amp;IF(AND(BW861=0,OR(CI861=1,AB861&lt;&gt;"",U861&lt;&gt;"",V861&lt;&gt;"",AC861&lt;&gt;"")),"manuell übersteuert; ","")&amp;IF(AND(CA861=0,R861=0),"Gebinde unbekannt / Stellmass fehlt; ","")&amp;IF(AND(CA861=0,N(V861)&lt;=0,N(Q861)&lt;=0),"Menge pro Gebinde fehlt (Ist = 1 Gebinde); ","")&amp;BV861)</f>
        <v>negativer Bestand (Export -5); </v>
      </c>
      <c r="BO861" s="60"/>
      <c r="BP861" s="60"/>
      <c r="BQ861" s="67"/>
      <c r="BR861" s="62" t="n">
        <v>-5</v>
      </c>
      <c r="BS861" s="62" t="n">
        <v>11</v>
      </c>
      <c r="BT861" s="61" t="n">
        <v>-20.43</v>
      </c>
      <c r="BU861" s="62" t="n">
        <v>10</v>
      </c>
      <c r="BV861" s="60"/>
      <c r="BW861" s="65" t="n">
        <v>0</v>
      </c>
      <c r="BX861" s="65" t="n">
        <v>861</v>
      </c>
      <c r="BY861" s="60" t="str">
        <f aca="false">IF(U861&lt;&gt;"",UPPER(TRIM(U861)),IF(CB861=1,UPPER(VLOOKUP(T861,Parameter!$I$27:$K$29,2,0)),IF(P861="","LOSE",P861)))</f>
        <v>S32</v>
      </c>
      <c r="BZ861" s="62" t="n">
        <f aca="false">IF(BY861="LOSE",1,IF(N(V861)&gt;0,V861,IF(CB861=1,MAX(1,N(VLOOKUP(T861,Parameter!$I$27:$K$29,3,0)),H861,N(N861)),IF(N(Q861)&gt;0,Q861,MAX(1,H861)))))</f>
        <v>20</v>
      </c>
      <c r="CA861" s="65" t="n">
        <f aca="false">IF(BY861="LOSE",1,0)</f>
        <v>0</v>
      </c>
      <c r="CB861" s="65" t="n">
        <f aca="false">IF(AND(U861="",OR(P861="",P861="LOSE"),T861&lt;&gt;"",N(S861)&lt;=0,ISNUMBER(MATCH(T861,Parameter!$I$27:$I$29,0))),1,0)</f>
        <v>0</v>
      </c>
      <c r="CC861" s="65" t="n">
        <f aca="false">IF(CR861&gt;0,INDEX(Parameter!$H$5:$H$7,W861)/INDEX(Parameter!$E$5:$E$7,W861),IF(AND(CA861=0,N(IFERROR(VLOOKUP(BY861,'Gebinde-Kategorie'!$A$5:$N$45,14,0),0))&gt;0),VLOOKUP(BY861,'Gebinde-Kategorie'!$A$5:$N$45,14,0)*10+Parameter!$M$23,Parameter!$M$24))</f>
        <v>155</v>
      </c>
      <c r="CD861" s="60" t="str">
        <f aca="false">IF(AND(Parameter!$B$19="Ja",E861&lt;&gt;"",ISNUMBER(MATCH(E861,Parameter!$I$35:$I$52,0))),VLOOKUP(E861,Parameter!$I$35:$J$52,2,0),IFERROR(VLOOKUP(D861,Parameter!$A$35:$C$64,2,0),"Nein"))</f>
        <v>2+3</v>
      </c>
      <c r="CE861" s="64" t="n">
        <f aca="false">IF(CA861=0,0,IF(N(S861)&gt;0,S861,IFERROR(VLOOKUP(D861,Parameter!$A$35:$C$64,3,0)+0,0)))</f>
        <v>0</v>
      </c>
      <c r="CF861" s="60" t="n">
        <f aca="false">IF(AB861&lt;&gt;"",AB861,AA861)</f>
        <v>1</v>
      </c>
      <c r="CG861" s="60" t="str">
        <f aca="false">IF(OR(CF861=1,CF861=2,CF861=3),IF(Parameter!$E$27="Ja","LIFT",IF(CF861=1,"L1","L23")),IF(CF861="Aussen","Aussen","-"))</f>
        <v>LIFT</v>
      </c>
      <c r="CH861" s="71" t="n">
        <f aca="false">IF(N(AC861)&gt;0,AC861,0)</f>
        <v>0</v>
      </c>
      <c r="CI861" s="65" t="n">
        <f aca="false">IF(ISNUMBER(AF861),1,0)</f>
        <v>0</v>
      </c>
      <c r="CJ861" s="62" t="n">
        <f aca="false">N(AF861)</f>
        <v>0</v>
      </c>
      <c r="CK861" s="62" t="n">
        <f aca="false">N(M861)+N(N861)</f>
        <v>10</v>
      </c>
      <c r="CL861" s="62" t="n">
        <f aca="false">N(M861)</f>
        <v>0</v>
      </c>
      <c r="CM861" s="62" t="n">
        <f aca="false">N(N861)</f>
        <v>10</v>
      </c>
      <c r="CN861" s="62" t="n">
        <f aca="false">ROUNDUP(H861/BZ861,0)</f>
        <v>1</v>
      </c>
      <c r="CO861" s="62" t="n">
        <f aca="false">ROUNDUP(CJ861/BZ861,0)</f>
        <v>0</v>
      </c>
      <c r="CP861" s="65" t="n">
        <f aca="false">IF(CA861=1,0,IFERROR(VLOOKUP(BY861,'Gebinde-Kategorie'!$A$5:$N$45,5,0)+0,0))</f>
        <v>8</v>
      </c>
      <c r="CQ861" s="65" t="n">
        <f aca="false">IFERROR(IF(OR(CF861=1,CF861=2,CF861=3),N(INDEX(Parameter!$I$5:$I$7,CF861)),0),0)</f>
        <v>0</v>
      </c>
      <c r="CR861" s="64" t="n">
        <f aca="false">IF(AND(Parameter!$B$21="Ja",ISNUMBER(W861),N(X861)&gt;0),IFERROR(N(INDEX(Parameter!$L$5:$L$7,W861))*INDEX(Parameter!$E$5:$E$7,W861)*X861/SUMIFS($X$7:$X$1843,$W$7:$W$1843,W861),0),0)</f>
        <v>0</v>
      </c>
      <c r="CS861" s="62" t="n">
        <f aca="false">IF(AND(OR(CG861="L1",CG861="L23",CG861="LIFT"),H861&gt;0),CC861*IF(CR861&gt;0,CR861*MAX(1,H861/X861),IF(CA861=1,CE861,IF(R861&gt;0,CN861/R861,0))/MAX(0.1,N(Parameter!$M$21))),"")</f>
        <v>1.49038461538462</v>
      </c>
      <c r="CT861" s="64" t="n">
        <f aca="false">IF(CS861="","",J861/H861)</f>
        <v>1.66666666666667</v>
      </c>
      <c r="CU861" s="62" t="n">
        <f aca="false">IF(CS861="","",H861*G861)</f>
        <v>24.78</v>
      </c>
      <c r="CV861" s="63" t="n">
        <f aca="false">IF(CS861="","",(CL861+ROUNDUP(CL861+MAX(CM861,2*(J861/MAX(0.1,N(Einkauf!$C$6))-CL861)),0))/2)</f>
        <v>5</v>
      </c>
      <c r="CW861" s="62" t="n">
        <f aca="false">IF(CS861="","",MAX(0,H861-CV861)*G861)</f>
        <v>4.13</v>
      </c>
      <c r="CX861" s="62" t="n">
        <f aca="false">IF(CS861="","",CS861*MAX(0,1-CV861/H861))</f>
        <v>0.248397435897436</v>
      </c>
      <c r="CY861" s="64" t="n">
        <f aca="false">IF(CS861="","",PERCENTRANK($CS$7:$CS$1843,CS861)+PERCENTRANK($CU$7:$CU$1843,CU861)+1-PERCENTRANK($CT$7:$CT$1843,CT861))</f>
        <v>0.4261</v>
      </c>
      <c r="CZ861" s="72" t="n">
        <f aca="false">IF(CS861="","",CHOOSE(MATCH(Einkauf!$C$5,Parameter!$G$23:$G$27,0),CY861,CS861,CU861,-CT861,CW861)+ROW()/1000000000)</f>
        <v>0.426100861</v>
      </c>
    </row>
    <row r="862" customFormat="false" ht="15" hidden="false" customHeight="false" outlineLevel="0" collapsed="false">
      <c r="A862" s="60" t="s">
        <v>1684</v>
      </c>
      <c r="B862" s="60" t="s">
        <v>1685</v>
      </c>
      <c r="C862" s="60" t="s">
        <v>206</v>
      </c>
      <c r="D862" s="60" t="s">
        <v>226</v>
      </c>
      <c r="E862" s="60" t="s">
        <v>227</v>
      </c>
      <c r="F862" s="60" t="s">
        <v>260</v>
      </c>
      <c r="G862" s="61" t="n">
        <v>20.5</v>
      </c>
      <c r="H862" s="62" t="n">
        <f aca="false">MAX(0,IF(AND(Parameter!$B$21="Ja",ISNUMBER(Y862)),Y862,IF(Parameter!$B$20="Jahresanfang 2025 + Export",BS862+BR862,BR862)))</f>
        <v>12</v>
      </c>
      <c r="I862" s="62" t="n">
        <f aca="false">H862*G862</f>
        <v>246</v>
      </c>
      <c r="J862" s="62" t="n">
        <f aca="false">BU862*Parameter!$B$18</f>
        <v>1</v>
      </c>
      <c r="K862" s="63" t="n">
        <v>12.5</v>
      </c>
      <c r="L862" s="64" t="n">
        <v>0.08</v>
      </c>
      <c r="M862" s="62" t="n">
        <v>0</v>
      </c>
      <c r="N862" s="62" t="n">
        <v>1</v>
      </c>
      <c r="O862" s="65" t="n">
        <v>42</v>
      </c>
      <c r="P862" s="60" t="s">
        <v>518</v>
      </c>
      <c r="Q862" s="62" t="n">
        <v>22</v>
      </c>
      <c r="R862" s="65" t="n">
        <f aca="false">IF(CA862=1,0,IFERROR(VLOOKUP(BY862,'Gebinde-Kategorie'!$A$5:$N$45,13,0)+0,0))</f>
        <v>52</v>
      </c>
      <c r="S862" s="66"/>
      <c r="T862" s="67"/>
      <c r="U862" s="67"/>
      <c r="V862" s="67"/>
      <c r="W862" s="60"/>
      <c r="X862" s="62"/>
      <c r="Y862" s="62"/>
      <c r="Z862" s="60" t="n">
        <v>1</v>
      </c>
      <c r="AA862" s="60" t="n">
        <f aca="false">IF(A862="","",IF(AND(Parameter!$B$21="Ja",ISNUMBER(W862)),W862,IF(AND(Parameter!$E$27="Ja",ISNUMBER(Z862),CD862&lt;&gt;"Nein"),Z862,IF(CD862="2+3",IF(ISNUMBER(SEARCH("grosser Artikel",BV862)),2,IFERROR(VLOOKUP(BY862,Parameter!$F$35:$G$64,2,0),2)),IF(OR(CD862="Nein",CD862=""),"-",CD862)))))</f>
        <v>1</v>
      </c>
      <c r="AB862" s="67"/>
      <c r="AC862" s="68"/>
      <c r="AD862" s="62" t="n">
        <f aca="false">AW862</f>
        <v>1</v>
      </c>
      <c r="AE862" s="62" t="n">
        <f aca="false">MAX(AW862,H862)</f>
        <v>12</v>
      </c>
      <c r="AF862" s="69"/>
      <c r="AG862" s="62" t="n">
        <f aca="false">IF(LEFT(Cockpit!$C$5,1)="A",H862,IF(Parameter!$E$30="MAX-Bestand",IF(CI862=1,CJ862,IF(LEFT(Cockpit!$C$5,1)="B",AM862,MAX(AM862,H862))),ROUNDUP(AK862,0)))</f>
        <v>12</v>
      </c>
      <c r="AH862" s="62" t="n">
        <f aca="false">IF(CA862=1,0,ROUNDUP(AG862/BZ862,0))</f>
        <v>1</v>
      </c>
      <c r="AI862" s="64" t="n">
        <f aca="false">IF(CR862&gt;0,CR862*MAX(1,AG862/X862),IF(CA862=1,IF(AG862&lt;=0,0,CE862*MAX(1,IF(H862&gt;0,AG862/H862,1))),IF(R862&gt;0,AH862/R862,0))/MAX(0.1,N(Parameter!$M$21)))</f>
        <v>0.0192307692307692</v>
      </c>
      <c r="AJ862" s="62" t="n">
        <f aca="false">AI862*CC862</f>
        <v>2.98076923076923</v>
      </c>
      <c r="AK862" s="63" t="n">
        <f aca="false">IF(LEFT(Cockpit!$C$5,1)="A",H862,IF(CI862=1,(CL862+CJ862)/2,IF(LEFT(Cockpit!$C$5,1)="B",(CL862+AM862)/2,MAX((CL862+AM862)/2,H862))))</f>
        <v>12</v>
      </c>
      <c r="AL862" s="62" t="n">
        <f aca="false">AK862*G862</f>
        <v>246</v>
      </c>
      <c r="AM862" s="62" t="n">
        <f aca="false">ROUNDUP(CL862+MAX(CM862,2*(J862/IF(CH862&gt;0,CH862,MAX(0.1,N(Cockpit!$C$6)))-CL862)),0)</f>
        <v>1</v>
      </c>
      <c r="AN862" s="63" t="n">
        <f aca="false">IF(AJ862&gt;0,J862/AJ862,-1)</f>
        <v>0.335483870967742</v>
      </c>
      <c r="AO862" s="63" t="n">
        <f aca="false">IF(AND(OR(CG862="L1",CG862="L23",CG862="LIFT"),AJ862&gt;0),SUMIFS($AJ$7:$AJ$1843,$CG$7:$CG$1843,CG862,$AN$7:$AN$1843,"&gt;"&amp;AN862)+SUMIFS($AJ$7:$AJ$1843,$CG$7:$CG$1843,CG862,$AN$7:$AN$1843,AN862,$BX$7:$BX$1843,"&lt;="&amp;BX862),"")</f>
        <v>11212.8462702552</v>
      </c>
      <c r="AP862" s="70" t="n">
        <f aca="false">IF(AO862="",0,MAX(0,MIN(1,(IF(CG862="L1",Parameter!$H$5,IF(CG862="L23",Parameter!$H$6+Parameter!$H$7,Parameter!$H$5+Parameter!$H$6+Parameter!$H$7))-(AO862-AJ862))/AJ862)))</f>
        <v>1</v>
      </c>
      <c r="AQ862" s="62" t="n">
        <f aca="false">IF(LEFT(Cockpit!$I$5,1)="A",H862,IF(Parameter!$E$30="MAX-Bestand",IF(CI862=1,CJ862,IF(LEFT(Cockpit!$I$5,1)="B",AW862,MAX(AW862,H862))),ROUNDUP(AU862,0)))</f>
        <v>12</v>
      </c>
      <c r="AR862" s="62" t="n">
        <f aca="false">IF(CA862=1,0,ROUNDUP(AQ862/BZ862,0))</f>
        <v>1</v>
      </c>
      <c r="AS862" s="64" t="n">
        <f aca="false">IF(CR862&gt;0,CR862*MAX(1,AQ862/X862),IF(CA862=1,IF(AQ862&lt;=0,0,CE862*MAX(1,IF(H862&gt;0,AQ862/H862,1))),IF(R862&gt;0,AR862/R862,0))/MAX(0.1,N(Parameter!$M$21)))</f>
        <v>0.0192307692307692</v>
      </c>
      <c r="AT862" s="62" t="n">
        <f aca="false">AS862*CC862</f>
        <v>2.98076923076923</v>
      </c>
      <c r="AU862" s="63" t="n">
        <f aca="false">IF(LEFT(Cockpit!$I$5,1)="A",H862,IF(CI862=1,(CL862+CJ862)/2,IF(LEFT(Cockpit!$I$5,1)="B",(CL862+AW862)/2,MAX((CL862+AW862)/2,H862))))</f>
        <v>12</v>
      </c>
      <c r="AV862" s="62" t="n">
        <f aca="false">AU862*G862</f>
        <v>246</v>
      </c>
      <c r="AW862" s="62" t="n">
        <f aca="false">ROUNDUP(CL862+MAX(CM862,2*(J862/IF(CH862&gt;0,CH862,MAX(0.1,N(Cockpit!$I$6)))-CL862)),0)</f>
        <v>1</v>
      </c>
      <c r="AX862" s="63" t="n">
        <f aca="false">IF(AT862&gt;0,J862/AT862,-1)</f>
        <v>0.335483870967742</v>
      </c>
      <c r="AY862" s="63" t="n">
        <f aca="false">IF(AND(OR(CG862="L1",CG862="L23",CG862="LIFT"),AT862&gt;0),SUMIFS($AT$7:$AT$1843,$CG$7:$CG$1843,CG862,$AX$7:$AX$1843,"&gt;"&amp;AX862)+SUMIFS($AT$7:$AT$1843,$CG$7:$CG$1843,CG862,$AX$7:$AX$1843,AX862,$BX$7:$BX$1843,"&lt;="&amp;BX862),"")</f>
        <v>13746.983974359</v>
      </c>
      <c r="AZ862" s="70" t="n">
        <f aca="false">IF(AY862="",0,MAX(0,MIN(1,(IF(CG862="L1",Parameter!$H$5,IF(CG862="L23",Parameter!$H$6+Parameter!$H$7,Parameter!$H$5+Parameter!$H$6+Parameter!$H$7))-(AY862-AT862))/AT862)))</f>
        <v>1</v>
      </c>
      <c r="BA862" s="62" t="n">
        <f aca="false">IF(LEFT(Cockpit!$O$5,1)="A",H862,IF(Parameter!$E$30="MAX-Bestand",IF(CI862=1,CJ862,IF(LEFT(Cockpit!$O$5,1)="B",BG862,MAX(BG862,H862))),ROUNDUP(BE862,0)))</f>
        <v>1</v>
      </c>
      <c r="BB862" s="62" t="n">
        <f aca="false">IF(CA862=1,0,ROUNDUP(BA862/BZ862,0))</f>
        <v>1</v>
      </c>
      <c r="BC862" s="64" t="n">
        <f aca="false">IF(CR862&gt;0,CR862*MAX(1,BA862/X862),IF(CA862=1,IF(BA862&lt;=0,0,CE862*MAX(1,IF(H862&gt;0,BA862/H862,1))),IF(R862&gt;0,BB862/R862,0))/MAX(0.1,N(Parameter!$M$21)))</f>
        <v>0.0192307692307692</v>
      </c>
      <c r="BD862" s="62" t="n">
        <f aca="false">BC862*CC862</f>
        <v>2.98076923076923</v>
      </c>
      <c r="BE862" s="63" t="n">
        <f aca="false">IF(LEFT(Cockpit!$O$5,1)="A",H862,IF(CI862=1,(CL862+CJ862)/2,IF(LEFT(Cockpit!$O$5,1)="B",(CL862+BG862)/2,MAX((CL862+BG862)/2,H862))))</f>
        <v>0.5</v>
      </c>
      <c r="BF862" s="62" t="n">
        <f aca="false">BE862*G862</f>
        <v>10.25</v>
      </c>
      <c r="BG862" s="62" t="n">
        <f aca="false">ROUNDUP(CL862+MAX(CM862,2*(J862/IF(CH862&gt;0,CH862,MAX(0.1,N(Cockpit!$O$6)))-CL862)),0)</f>
        <v>1</v>
      </c>
      <c r="BH862" s="63" t="n">
        <f aca="false">IF(BD862&gt;0,J862/BD862,-1)</f>
        <v>0.335483870967742</v>
      </c>
      <c r="BI862" s="63" t="n">
        <f aca="false">IF(AND(OR(CG862="L1",CG862="L23",CG862="LIFT"),BD862&gt;0),SUMIFS($BD$7:$BD$1843,$CG$7:$CG$1843,CG862,$BH$7:$BH$1843,"&gt;"&amp;BH862)+SUMIFS($BD$7:$BD$1843,$CG$7:$CG$1843,CG862,$BH$7:$BH$1843,BH862,$BX$7:$BX$1843,"&lt;="&amp;BX862),"")</f>
        <v>11597.9427655678</v>
      </c>
      <c r="BJ862" s="70" t="n">
        <f aca="false">IF(BI862="",0,MAX(0,MIN(1,(IF(CG862="L1",Parameter!$H$5,IF(CG862="L23",Parameter!$H$6+Parameter!$H$7,Parameter!$H$5+Parameter!$H$6+Parameter!$H$7))-(BI862-BD862))/BD862)))</f>
        <v>1</v>
      </c>
      <c r="BK862" s="60" t="str">
        <f aca="false">IF(AJ862&lt;=0,"",IF(CG862="Aussen","Aussenlager",IF(CG862="-","Nicht im Lift",IF(AP862&gt;=1,"Lift",IF(AP862&lt;=0,"Aussenlager","teilweise")))))</f>
        <v>Lift</v>
      </c>
      <c r="BL862" s="60" t="str">
        <f aca="false">IF(AT862&lt;=0,"",IF(CG862="Aussen","Aussenlager",IF(CG862="-","Nicht im Lift",IF(AZ862&gt;=1,"Lift",IF(AZ862&lt;=0,"Aussenlager","teilweise")))))</f>
        <v>Lift</v>
      </c>
      <c r="BM862" s="60" t="str">
        <f aca="false">IF(BD862&lt;=0,"",IF(CG862="Aussen","Aussenlager",IF(CG862="-","Nicht im Lift",IF(BJ862&gt;=1,"Lift",IF(BJ862&lt;=0,"Aussenlager","teilweise")))))</f>
        <v>Lift</v>
      </c>
      <c r="BN862" s="60" t="str">
        <f aca="false">IF(A862="","",IF(BW862=1,"Neu; ","")&amp;IF(AND(BW862=0,BR862&lt;0),"negativer Bestand (Export "&amp;BR862&amp;"); ","")&amp;IF(J862&lt;=0,"Kein Verbrauch; ","")&amp;IF(CR862&gt;0,"Lift "&amp;W862&amp;" lt. Liftbericht (Fach "&amp;X862&amp;" Stk); ",IF(CB862=1,"Gebinde geschätzt ("&amp;T862&amp;"); ",IF(CA862=1,"Lose – Tablare geschätzt; ","")))&amp;IF(H862&gt;AW862,"Überbestand "&amp;ROUND(H862-AW862,0)&amp;" Stk / CHF "&amp;ROUND((H862-AW862)*G862,0)&amp;"; ","")&amp;IF(AND(CI862=1,CJ862&lt;CK862),"MAX &lt; MB+LG; ","")&amp;IF(AND(CQ862&gt;0,CP862*10&gt;CQ862),"zu hoch für Tablar; ","")&amp;IF(AND(BW862=0,OR(CI862=1,AB862&lt;&gt;"",U862&lt;&gt;"",V862&lt;&gt;"",AC862&lt;&gt;"")),"manuell übersteuert; ","")&amp;IF(AND(CA862=0,R862=0),"Gebinde unbekannt / Stellmass fehlt; ","")&amp;IF(AND(CA862=0,N(V862)&lt;=0,N(Q862)&lt;=0),"Menge pro Gebinde fehlt (Ist = 1 Gebinde); ","")&amp;BV862)</f>
        <v>negativer Bestand (Export -1); Überbestand 11 Stk / CHF 226; </v>
      </c>
      <c r="BO862" s="60"/>
      <c r="BP862" s="60"/>
      <c r="BQ862" s="67"/>
      <c r="BR862" s="62" t="n">
        <v>-1</v>
      </c>
      <c r="BS862" s="62" t="n">
        <v>13</v>
      </c>
      <c r="BT862" s="61" t="n">
        <v>-20.5</v>
      </c>
      <c r="BU862" s="62" t="n">
        <v>1</v>
      </c>
      <c r="BV862" s="60"/>
      <c r="BW862" s="65" t="n">
        <v>0</v>
      </c>
      <c r="BX862" s="65" t="n">
        <v>862</v>
      </c>
      <c r="BY862" s="60" t="str">
        <f aca="false">IF(U862&lt;&gt;"",UPPER(TRIM(U862)),IF(CB862=1,UPPER(VLOOKUP(T862,Parameter!$I$27:$K$29,2,0)),IF(P862="","LOSE",P862)))</f>
        <v>S33</v>
      </c>
      <c r="BZ862" s="62" t="n">
        <f aca="false">IF(BY862="LOSE",1,IF(N(V862)&gt;0,V862,IF(CB862=1,MAX(1,N(VLOOKUP(T862,Parameter!$I$27:$K$29,3,0)),H862,N(N862)),IF(N(Q862)&gt;0,Q862,MAX(1,H862)))))</f>
        <v>22</v>
      </c>
      <c r="CA862" s="65" t="n">
        <f aca="false">IF(BY862="LOSE",1,0)</f>
        <v>0</v>
      </c>
      <c r="CB862" s="65" t="n">
        <f aca="false">IF(AND(U862="",OR(P862="",P862="LOSE"),T862&lt;&gt;"",N(S862)&lt;=0,ISNUMBER(MATCH(T862,Parameter!$I$27:$I$29,0))),1,0)</f>
        <v>0</v>
      </c>
      <c r="CC862" s="65" t="n">
        <f aca="false">IF(CR862&gt;0,INDEX(Parameter!$H$5:$H$7,W862)/INDEX(Parameter!$E$5:$E$7,W862),IF(AND(CA862=0,N(IFERROR(VLOOKUP(BY862,'Gebinde-Kategorie'!$A$5:$N$45,14,0),0))&gt;0),VLOOKUP(BY862,'Gebinde-Kategorie'!$A$5:$N$45,14,0)*10+Parameter!$M$23,Parameter!$M$24))</f>
        <v>155</v>
      </c>
      <c r="CD862" s="60" t="str">
        <f aca="false">IF(AND(Parameter!$B$19="Ja",E862&lt;&gt;"",ISNUMBER(MATCH(E862,Parameter!$I$35:$I$52,0))),VLOOKUP(E862,Parameter!$I$35:$J$52,2,0),IFERROR(VLOOKUP(D862,Parameter!$A$35:$C$64,2,0),"Nein"))</f>
        <v>2+3</v>
      </c>
      <c r="CE862" s="64" t="n">
        <f aca="false">IF(CA862=0,0,IF(N(S862)&gt;0,S862,IFERROR(VLOOKUP(D862,Parameter!$A$35:$C$64,3,0)+0,0)))</f>
        <v>0</v>
      </c>
      <c r="CF862" s="60" t="n">
        <f aca="false">IF(AB862&lt;&gt;"",AB862,AA862)</f>
        <v>1</v>
      </c>
      <c r="CG862" s="60" t="str">
        <f aca="false">IF(OR(CF862=1,CF862=2,CF862=3),IF(Parameter!$E$27="Ja","LIFT",IF(CF862=1,"L1","L23")),IF(CF862="Aussen","Aussen","-"))</f>
        <v>LIFT</v>
      </c>
      <c r="CH862" s="71" t="n">
        <f aca="false">IF(N(AC862)&gt;0,AC862,0)</f>
        <v>0</v>
      </c>
      <c r="CI862" s="65" t="n">
        <f aca="false">IF(ISNUMBER(AF862),1,0)</f>
        <v>0</v>
      </c>
      <c r="CJ862" s="62" t="n">
        <f aca="false">N(AF862)</f>
        <v>0</v>
      </c>
      <c r="CK862" s="62" t="n">
        <f aca="false">N(M862)+N(N862)</f>
        <v>1</v>
      </c>
      <c r="CL862" s="62" t="n">
        <f aca="false">N(M862)</f>
        <v>0</v>
      </c>
      <c r="CM862" s="62" t="n">
        <f aca="false">N(N862)</f>
        <v>1</v>
      </c>
      <c r="CN862" s="62" t="n">
        <f aca="false">ROUNDUP(H862/BZ862,0)</f>
        <v>1</v>
      </c>
      <c r="CO862" s="62" t="n">
        <f aca="false">ROUNDUP(CJ862/BZ862,0)</f>
        <v>0</v>
      </c>
      <c r="CP862" s="65" t="n">
        <f aca="false">IF(CA862=1,0,IFERROR(VLOOKUP(BY862,'Gebinde-Kategorie'!$A$5:$N$45,5,0)+0,0))</f>
        <v>8</v>
      </c>
      <c r="CQ862" s="65" t="n">
        <f aca="false">IFERROR(IF(OR(CF862=1,CF862=2,CF862=3),N(INDEX(Parameter!$I$5:$I$7,CF862)),0),0)</f>
        <v>0</v>
      </c>
      <c r="CR862" s="64" t="n">
        <f aca="false">IF(AND(Parameter!$B$21="Ja",ISNUMBER(W862),N(X862)&gt;0),IFERROR(N(INDEX(Parameter!$L$5:$L$7,W862))*INDEX(Parameter!$E$5:$E$7,W862)*X862/SUMIFS($X$7:$X$1843,$W$7:$W$1843,W862),0),0)</f>
        <v>0</v>
      </c>
      <c r="CS862" s="62" t="n">
        <f aca="false">IF(AND(OR(CG862="L1",CG862="L23",CG862="LIFT"),H862&gt;0),CC862*IF(CR862&gt;0,CR862*MAX(1,H862/X862),IF(CA862=1,CE862,IF(R862&gt;0,CN862/R862,0))/MAX(0.1,N(Parameter!$M$21))),"")</f>
        <v>2.98076923076923</v>
      </c>
      <c r="CT862" s="64" t="n">
        <f aca="false">IF(CS862="","",J862/H862)</f>
        <v>0.0833333333333333</v>
      </c>
      <c r="CU862" s="62" t="n">
        <f aca="false">IF(CS862="","",H862*G862)</f>
        <v>246</v>
      </c>
      <c r="CV862" s="63" t="n">
        <f aca="false">IF(CS862="","",(CL862+ROUNDUP(CL862+MAX(CM862,2*(J862/MAX(0.1,N(Einkauf!$C$6))-CL862)),0))/2)</f>
        <v>0.5</v>
      </c>
      <c r="CW862" s="62" t="n">
        <f aca="false">IF(CS862="","",MAX(0,H862-CV862)*G862)</f>
        <v>235.75</v>
      </c>
      <c r="CX862" s="62" t="n">
        <f aca="false">IF(CS862="","",CS862*MAX(0,1-CV862/H862))</f>
        <v>2.85657051282051</v>
      </c>
      <c r="CY862" s="64" t="n">
        <f aca="false">IF(CS862="","",PERCENTRANK($CS$7:$CS$1843,CS862)+PERCENTRANK($CU$7:$CU$1843,CU862)+1-PERCENTRANK($CT$7:$CT$1843,CT862))</f>
        <v>1.164</v>
      </c>
      <c r="CZ862" s="72" t="n">
        <f aca="false">IF(CS862="","",CHOOSE(MATCH(Einkauf!$C$5,Parameter!$G$23:$G$27,0),CY862,CS862,CU862,-CT862,CW862)+ROW()/1000000000)</f>
        <v>1.164000862</v>
      </c>
    </row>
    <row r="863" customFormat="false" ht="15" hidden="false" customHeight="false" outlineLevel="0" collapsed="false">
      <c r="A863" s="60" t="s">
        <v>1686</v>
      </c>
      <c r="B863" s="60" t="s">
        <v>449</v>
      </c>
      <c r="C863" s="60" t="s">
        <v>206</v>
      </c>
      <c r="D863" s="60" t="s">
        <v>226</v>
      </c>
      <c r="E863" s="60" t="s">
        <v>227</v>
      </c>
      <c r="F863" s="60" t="s">
        <v>260</v>
      </c>
      <c r="G863" s="61" t="n">
        <v>0.24</v>
      </c>
      <c r="H863" s="62" t="n">
        <f aca="false">MAX(0,IF(AND(Parameter!$B$21="Ja",ISNUMBER(Y863)),Y863,IF(Parameter!$B$20="Jahresanfang 2025 + Export",BS863+BR863,BR863)))</f>
        <v>1798</v>
      </c>
      <c r="I863" s="62" t="n">
        <f aca="false">H863*G863</f>
        <v>431.52</v>
      </c>
      <c r="J863" s="62" t="n">
        <f aca="false">BU863*Parameter!$B$18</f>
        <v>7214</v>
      </c>
      <c r="K863" s="63" t="n">
        <v>2296</v>
      </c>
      <c r="L863" s="64" t="n">
        <v>3.14198606271777</v>
      </c>
      <c r="M863" s="62" t="n">
        <v>281</v>
      </c>
      <c r="N863" s="62" t="n">
        <v>2000</v>
      </c>
      <c r="O863" s="65" t="n">
        <v>14</v>
      </c>
      <c r="P863" s="60" t="s">
        <v>344</v>
      </c>
      <c r="Q863" s="62" t="n">
        <v>1444</v>
      </c>
      <c r="R863" s="65" t="n">
        <f aca="false">IF(CA863=1,0,IFERROR(VLOOKUP(BY863,'Gebinde-Kategorie'!$A$5:$N$45,13,0)+0,0))</f>
        <v>26</v>
      </c>
      <c r="S863" s="66"/>
      <c r="T863" s="67"/>
      <c r="U863" s="67"/>
      <c r="V863" s="67"/>
      <c r="W863" s="60"/>
      <c r="X863" s="62"/>
      <c r="Y863" s="62"/>
      <c r="Z863" s="60" t="n">
        <v>3</v>
      </c>
      <c r="AA863" s="60" t="n">
        <f aca="false">IF(A863="","",IF(AND(Parameter!$B$21="Ja",ISNUMBER(W863)),W863,IF(AND(Parameter!$E$27="Ja",ISNUMBER(Z863),CD863&lt;&gt;"Nein"),Z863,IF(CD863="2+3",IF(ISNUMBER(SEARCH("grosser Artikel",BV863)),2,IFERROR(VLOOKUP(BY863,Parameter!$F$35:$G$64,2,0),2)),IF(OR(CD863="Nein",CD863=""),"-",CD863)))))</f>
        <v>3</v>
      </c>
      <c r="AB863" s="67"/>
      <c r="AC863" s="68"/>
      <c r="AD863" s="62" t="n">
        <f aca="false">AW863</f>
        <v>4529</v>
      </c>
      <c r="AE863" s="62" t="n">
        <f aca="false">MAX(AW863,H863)</f>
        <v>4529</v>
      </c>
      <c r="AF863" s="69"/>
      <c r="AG863" s="62" t="n">
        <f aca="false">IF(LEFT(Cockpit!$C$5,1)="A",H863,IF(Parameter!$E$30="MAX-Bestand",IF(CI863=1,CJ863,IF(LEFT(Cockpit!$C$5,1)="B",AM863,MAX(AM863,H863))),ROUNDUP(AK863,0)))</f>
        <v>1798</v>
      </c>
      <c r="AH863" s="62" t="n">
        <f aca="false">IF(CA863=1,0,ROUNDUP(AG863/BZ863,0))</f>
        <v>2</v>
      </c>
      <c r="AI863" s="64" t="n">
        <f aca="false">IF(CR863&gt;0,CR863*MAX(1,AG863/X863),IF(CA863=1,IF(AG863&lt;=0,0,CE863*MAX(1,IF(H863&gt;0,AG863/H863,1))),IF(R863&gt;0,AH863/R863,0))/MAX(0.1,N(Parameter!$M$21)))</f>
        <v>0.0769230769230769</v>
      </c>
      <c r="AJ863" s="62" t="n">
        <f aca="false">AI863*CC863</f>
        <v>11.9230769230769</v>
      </c>
      <c r="AK863" s="63" t="n">
        <f aca="false">IF(LEFT(Cockpit!$C$5,1)="A",H863,IF(CI863=1,(CL863+CJ863)/2,IF(LEFT(Cockpit!$C$5,1)="B",(CL863+AM863)/2,MAX((CL863+AM863)/2,H863))))</f>
        <v>1798</v>
      </c>
      <c r="AL863" s="62" t="n">
        <f aca="false">AK863*G863</f>
        <v>431.52</v>
      </c>
      <c r="AM863" s="62" t="n">
        <f aca="false">ROUNDUP(CL863+MAX(CM863,2*(J863/IF(CH863&gt;0,CH863,MAX(0.1,N(Cockpit!$C$6)))-CL863)),0)</f>
        <v>4529</v>
      </c>
      <c r="AN863" s="63" t="n">
        <f aca="false">IF(AJ863&gt;0,J863/AJ863,-1)</f>
        <v>605.045161290323</v>
      </c>
      <c r="AO863" s="63" t="n">
        <f aca="false">IF(AND(OR(CG863="L1",CG863="L23",CG863="LIFT"),AJ863&gt;0),SUMIFS($AJ$7:$AJ$1843,$CG$7:$CG$1843,CG863,$AN$7:$AN$1843,"&gt;"&amp;AN863)+SUMIFS($AJ$7:$AJ$1843,$CG$7:$CG$1843,CG863,$AN$7:$AN$1843,AN863,$BX$7:$BX$1843,"&lt;="&amp;BX863),"")</f>
        <v>48.896978021978</v>
      </c>
      <c r="AP863" s="70" t="n">
        <f aca="false">IF(AO863="",0,MAX(0,MIN(1,(IF(CG863="L1",Parameter!$H$5,IF(CG863="L23",Parameter!$H$6+Parameter!$H$7,Parameter!$H$5+Parameter!$H$6+Parameter!$H$7))-(AO863-AJ863))/AJ863)))</f>
        <v>1</v>
      </c>
      <c r="AQ863" s="62" t="n">
        <f aca="false">IF(LEFT(Cockpit!$I$5,1)="A",H863,IF(Parameter!$E$30="MAX-Bestand",IF(CI863=1,CJ863,IF(LEFT(Cockpit!$I$5,1)="B",AW863,MAX(AW863,H863))),ROUNDUP(AU863,0)))</f>
        <v>2405</v>
      </c>
      <c r="AR863" s="62" t="n">
        <f aca="false">IF(CA863=1,0,ROUNDUP(AQ863/BZ863,0))</f>
        <v>2</v>
      </c>
      <c r="AS863" s="64" t="n">
        <f aca="false">IF(CR863&gt;0,CR863*MAX(1,AQ863/X863),IF(CA863=1,IF(AQ863&lt;=0,0,CE863*MAX(1,IF(H863&gt;0,AQ863/H863,1))),IF(R863&gt;0,AR863/R863,0))/MAX(0.1,N(Parameter!$M$21)))</f>
        <v>0.0769230769230769</v>
      </c>
      <c r="AT863" s="62" t="n">
        <f aca="false">AS863*CC863</f>
        <v>11.9230769230769</v>
      </c>
      <c r="AU863" s="63" t="n">
        <f aca="false">IF(LEFT(Cockpit!$I$5,1)="A",H863,IF(CI863=1,(CL863+CJ863)/2,IF(LEFT(Cockpit!$I$5,1)="B",(CL863+AW863)/2,MAX((CL863+AW863)/2,H863))))</f>
        <v>2405</v>
      </c>
      <c r="AV863" s="62" t="n">
        <f aca="false">AU863*G863</f>
        <v>577.2</v>
      </c>
      <c r="AW863" s="62" t="n">
        <f aca="false">ROUNDUP(CL863+MAX(CM863,2*(J863/IF(CH863&gt;0,CH863,MAX(0.1,N(Cockpit!$I$6)))-CL863)),0)</f>
        <v>4529</v>
      </c>
      <c r="AX863" s="63" t="n">
        <f aca="false">IF(AT863&gt;0,J863/AT863,-1)</f>
        <v>605.045161290323</v>
      </c>
      <c r="AY863" s="63" t="n">
        <f aca="false">IF(AND(OR(CG863="L1",CG863="L23",CG863="LIFT"),AT863&gt;0),SUMIFS($AT$7:$AT$1843,$CG$7:$CG$1843,CG863,$AX$7:$AX$1843,"&gt;"&amp;AX863)+SUMIFS($AT$7:$AT$1843,$CG$7:$CG$1843,CG863,$AX$7:$AX$1843,AX863,$BX$7:$BX$1843,"&lt;="&amp;BX863),"")</f>
        <v>41.9010989010989</v>
      </c>
      <c r="AZ863" s="70" t="n">
        <f aca="false">IF(AY863="",0,MAX(0,MIN(1,(IF(CG863="L1",Parameter!$H$5,IF(CG863="L23",Parameter!$H$6+Parameter!$H$7,Parameter!$H$5+Parameter!$H$6+Parameter!$H$7))-(AY863-AT863))/AT863)))</f>
        <v>1</v>
      </c>
      <c r="BA863" s="62" t="n">
        <f aca="false">IF(LEFT(Cockpit!$O$5,1)="A",H863,IF(Parameter!$E$30="MAX-Bestand",IF(CI863=1,CJ863,IF(LEFT(Cockpit!$O$5,1)="B",BG863,MAX(BG863,H863))),ROUNDUP(BE863,0)))</f>
        <v>1804</v>
      </c>
      <c r="BB863" s="62" t="n">
        <f aca="false">IF(CA863=1,0,ROUNDUP(BA863/BZ863,0))</f>
        <v>2</v>
      </c>
      <c r="BC863" s="64" t="n">
        <f aca="false">IF(CR863&gt;0,CR863*MAX(1,BA863/X863),IF(CA863=1,IF(BA863&lt;=0,0,CE863*MAX(1,IF(H863&gt;0,BA863/H863,1))),IF(R863&gt;0,BB863/R863,0))/MAX(0.1,N(Parameter!$M$21)))</f>
        <v>0.0769230769230769</v>
      </c>
      <c r="BD863" s="62" t="n">
        <f aca="false">BC863*CC863</f>
        <v>11.9230769230769</v>
      </c>
      <c r="BE863" s="63" t="n">
        <f aca="false">IF(LEFT(Cockpit!$O$5,1)="A",H863,IF(CI863=1,(CL863+CJ863)/2,IF(LEFT(Cockpit!$O$5,1)="B",(CL863+BG863)/2,MAX((CL863+BG863)/2,H863))))</f>
        <v>1803.5</v>
      </c>
      <c r="BF863" s="62" t="n">
        <f aca="false">BE863*G863</f>
        <v>432.84</v>
      </c>
      <c r="BG863" s="62" t="n">
        <f aca="false">ROUNDUP(CL863+MAX(CM863,2*(J863/IF(CH863&gt;0,CH863,MAX(0.1,N(Cockpit!$O$6)))-CL863)),0)</f>
        <v>3326</v>
      </c>
      <c r="BH863" s="63" t="n">
        <f aca="false">IF(BD863&gt;0,J863/BD863,-1)</f>
        <v>605.045161290323</v>
      </c>
      <c r="BI863" s="63" t="n">
        <f aca="false">IF(AND(OR(CG863="L1",CG863="L23",CG863="LIFT"),BD863&gt;0),SUMIFS($BD$7:$BD$1843,$CG$7:$CG$1843,CG863,$BH$7:$BH$1843,"&gt;"&amp;BH863)+SUMIFS($BD$7:$BD$1843,$CG$7:$CG$1843,CG863,$BH$7:$BH$1843,BH863,$BX$7:$BX$1843,"&lt;="&amp;BX863),"")</f>
        <v>61.9899267399267</v>
      </c>
      <c r="BJ863" s="70" t="n">
        <f aca="false">IF(BI863="",0,MAX(0,MIN(1,(IF(CG863="L1",Parameter!$H$5,IF(CG863="L23",Parameter!$H$6+Parameter!$H$7,Parameter!$H$5+Parameter!$H$6+Parameter!$H$7))-(BI863-BD863))/BD863)))</f>
        <v>1</v>
      </c>
      <c r="BK863" s="60" t="str">
        <f aca="false">IF(AJ863&lt;=0,"",IF(CG863="Aussen","Aussenlager",IF(CG863="-","Nicht im Lift",IF(AP863&gt;=1,"Lift",IF(AP863&lt;=0,"Aussenlager","teilweise")))))</f>
        <v>Lift</v>
      </c>
      <c r="BL863" s="60" t="str">
        <f aca="false">IF(AT863&lt;=0,"",IF(CG863="Aussen","Aussenlager",IF(CG863="-","Nicht im Lift",IF(AZ863&gt;=1,"Lift",IF(AZ863&lt;=0,"Aussenlager","teilweise")))))</f>
        <v>Lift</v>
      </c>
      <c r="BM863" s="60" t="str">
        <f aca="false">IF(BD863&lt;=0,"",IF(CG863="Aussen","Aussenlager",IF(CG863="-","Nicht im Lift",IF(BJ863&gt;=1,"Lift",IF(BJ863&lt;=0,"Aussenlager","teilweise")))))</f>
        <v>Lift</v>
      </c>
      <c r="BN863" s="60" t="str">
        <f aca="false">IF(A863="","",IF(BW863=1,"Neu; ","")&amp;IF(AND(BW863=0,BR863&lt;0),"negativer Bestand (Export "&amp;BR863&amp;"); ","")&amp;IF(J863&lt;=0,"Kein Verbrauch; ","")&amp;IF(CR863&gt;0,"Lift "&amp;W863&amp;" lt. Liftbericht (Fach "&amp;X863&amp;" Stk); ",IF(CB863=1,"Gebinde geschätzt ("&amp;T863&amp;"); ",IF(CA863=1,"Lose – Tablare geschätzt; ","")))&amp;IF(H863&gt;AW863,"Überbestand "&amp;ROUND(H863-AW863,0)&amp;" Stk / CHF "&amp;ROUND((H863-AW863)*G863,0)&amp;"; ","")&amp;IF(AND(CI863=1,CJ863&lt;CK863),"MAX &lt; MB+LG; ","")&amp;IF(AND(CQ863&gt;0,CP863*10&gt;CQ863),"zu hoch für Tablar; ","")&amp;IF(AND(BW863=0,OR(CI863=1,AB863&lt;&gt;"",U863&lt;&gt;"",V863&lt;&gt;"",AC863&lt;&gt;"")),"manuell übersteuert; ","")&amp;IF(AND(CA863=0,R863=0),"Gebinde unbekannt / Stellmass fehlt; ","")&amp;IF(AND(CA863=0,N(V863)&lt;=0,N(Q863)&lt;=0),"Menge pro Gebinde fehlt (Ist = 1 Gebinde); ","")&amp;BV863)</f>
        <v>negativer Bestand (Export -164); </v>
      </c>
      <c r="BO863" s="60"/>
      <c r="BP863" s="60"/>
      <c r="BQ863" s="67"/>
      <c r="BR863" s="62" t="n">
        <v>-164</v>
      </c>
      <c r="BS863" s="62" t="n">
        <v>1962</v>
      </c>
      <c r="BT863" s="61" t="n">
        <v>-20.9600000000002</v>
      </c>
      <c r="BU863" s="62" t="n">
        <v>7214</v>
      </c>
      <c r="BV863" s="60"/>
      <c r="BW863" s="65" t="n">
        <v>0</v>
      </c>
      <c r="BX863" s="65" t="n">
        <v>863</v>
      </c>
      <c r="BY863" s="60" t="str">
        <f aca="false">IF(U863&lt;&gt;"",UPPER(TRIM(U863)),IF(CB863=1,UPPER(VLOOKUP(T863,Parameter!$I$27:$K$29,2,0)),IF(P863="","LOSE",P863)))</f>
        <v>S51</v>
      </c>
      <c r="BZ863" s="62" t="n">
        <f aca="false">IF(BY863="LOSE",1,IF(N(V863)&gt;0,V863,IF(CB863=1,MAX(1,N(VLOOKUP(T863,Parameter!$I$27:$K$29,3,0)),H863,N(N863)),IF(N(Q863)&gt;0,Q863,MAX(1,H863)))))</f>
        <v>1444</v>
      </c>
      <c r="CA863" s="65" t="n">
        <f aca="false">IF(BY863="LOSE",1,0)</f>
        <v>0</v>
      </c>
      <c r="CB863" s="65" t="n">
        <f aca="false">IF(AND(U863="",OR(P863="",P863="LOSE"),T863&lt;&gt;"",N(S863)&lt;=0,ISNUMBER(MATCH(T863,Parameter!$I$27:$I$29,0))),1,0)</f>
        <v>0</v>
      </c>
      <c r="CC863" s="65" t="n">
        <f aca="false">IF(CR863&gt;0,INDEX(Parameter!$H$5:$H$7,W863)/INDEX(Parameter!$E$5:$E$7,W863),IF(AND(CA863=0,N(IFERROR(VLOOKUP(BY863,'Gebinde-Kategorie'!$A$5:$N$45,14,0),0))&gt;0),VLOOKUP(BY863,'Gebinde-Kategorie'!$A$5:$N$45,14,0)*10+Parameter!$M$23,Parameter!$M$24))</f>
        <v>155</v>
      </c>
      <c r="CD863" s="60" t="str">
        <f aca="false">IF(AND(Parameter!$B$19="Ja",E863&lt;&gt;"",ISNUMBER(MATCH(E863,Parameter!$I$35:$I$52,0))),VLOOKUP(E863,Parameter!$I$35:$J$52,2,0),IFERROR(VLOOKUP(D863,Parameter!$A$35:$C$64,2,0),"Nein"))</f>
        <v>2+3</v>
      </c>
      <c r="CE863" s="64" t="n">
        <f aca="false">IF(CA863=0,0,IF(N(S863)&gt;0,S863,IFERROR(VLOOKUP(D863,Parameter!$A$35:$C$64,3,0)+0,0)))</f>
        <v>0</v>
      </c>
      <c r="CF863" s="60" t="n">
        <f aca="false">IF(AB863&lt;&gt;"",AB863,AA863)</f>
        <v>3</v>
      </c>
      <c r="CG863" s="60" t="str">
        <f aca="false">IF(OR(CF863=1,CF863=2,CF863=3),IF(Parameter!$E$27="Ja","LIFT",IF(CF863=1,"L1","L23")),IF(CF863="Aussen","Aussen","-"))</f>
        <v>LIFT</v>
      </c>
      <c r="CH863" s="71" t="n">
        <f aca="false">IF(N(AC863)&gt;0,AC863,0)</f>
        <v>0</v>
      </c>
      <c r="CI863" s="65" t="n">
        <f aca="false">IF(ISNUMBER(AF863),1,0)</f>
        <v>0</v>
      </c>
      <c r="CJ863" s="62" t="n">
        <f aca="false">N(AF863)</f>
        <v>0</v>
      </c>
      <c r="CK863" s="62" t="n">
        <f aca="false">N(M863)+N(N863)</f>
        <v>2281</v>
      </c>
      <c r="CL863" s="62" t="n">
        <f aca="false">N(M863)</f>
        <v>281</v>
      </c>
      <c r="CM863" s="62" t="n">
        <f aca="false">N(N863)</f>
        <v>2000</v>
      </c>
      <c r="CN863" s="62" t="n">
        <f aca="false">ROUNDUP(H863/BZ863,0)</f>
        <v>2</v>
      </c>
      <c r="CO863" s="62" t="n">
        <f aca="false">ROUNDUP(CJ863/BZ863,0)</f>
        <v>0</v>
      </c>
      <c r="CP863" s="65" t="n">
        <f aca="false">IF(CA863=1,0,IFERROR(VLOOKUP(BY863,'Gebinde-Kategorie'!$A$5:$N$45,5,0)+0,0))</f>
        <v>11</v>
      </c>
      <c r="CQ863" s="65" t="n">
        <f aca="false">IFERROR(IF(OR(CF863=1,CF863=2,CF863=3),N(INDEX(Parameter!$I$5:$I$7,CF863)),0),0)</f>
        <v>0</v>
      </c>
      <c r="CR863" s="64" t="n">
        <f aca="false">IF(AND(Parameter!$B$21="Ja",ISNUMBER(W863),N(X863)&gt;0),IFERROR(N(INDEX(Parameter!$L$5:$L$7,W863))*INDEX(Parameter!$E$5:$E$7,W863)*X863/SUMIFS($X$7:$X$1843,$W$7:$W$1843,W863),0),0)</f>
        <v>0</v>
      </c>
      <c r="CS863" s="62" t="n">
        <f aca="false">IF(AND(OR(CG863="L1",CG863="L23",CG863="LIFT"),H863&gt;0),CC863*IF(CR863&gt;0,CR863*MAX(1,H863/X863),IF(CA863=1,CE863,IF(R863&gt;0,CN863/R863,0))/MAX(0.1,N(Parameter!$M$21))),"")</f>
        <v>11.9230769230769</v>
      </c>
      <c r="CT863" s="64" t="n">
        <f aca="false">IF(CS863="","",J863/H863)</f>
        <v>4.01223581757508</v>
      </c>
      <c r="CU863" s="62" t="n">
        <f aca="false">IF(CS863="","",H863*G863)</f>
        <v>431.52</v>
      </c>
      <c r="CV863" s="63" t="n">
        <f aca="false">IF(CS863="","",(CL863+ROUNDUP(CL863+MAX(CM863,2*(J863/MAX(0.1,N(Einkauf!$C$6))-CL863)),0))/2)</f>
        <v>1803.5</v>
      </c>
      <c r="CW863" s="62" t="n">
        <f aca="false">IF(CS863="","",MAX(0,H863-CV863)*G863)</f>
        <v>0</v>
      </c>
      <c r="CX863" s="62" t="n">
        <f aca="false">IF(CS863="","",CS863*MAX(0,1-CV863/H863))</f>
        <v>0</v>
      </c>
      <c r="CY863" s="64" t="n">
        <f aca="false">IF(CS863="","",PERCENTRANK($CS$7:$CS$1843,CS863)+PERCENTRANK($CU$7:$CU$1843,CU863)+1-PERCENTRANK($CT$7:$CT$1843,CT863))</f>
        <v>1.182</v>
      </c>
      <c r="CZ863" s="72" t="n">
        <f aca="false">IF(CS863="","",CHOOSE(MATCH(Einkauf!$C$5,Parameter!$G$23:$G$27,0),CY863,CS863,CU863,-CT863,CW863)+ROW()/1000000000)</f>
        <v>1.182000863</v>
      </c>
    </row>
    <row r="864" customFormat="false" ht="15" hidden="false" customHeight="false" outlineLevel="0" collapsed="false">
      <c r="A864" s="60" t="s">
        <v>1687</v>
      </c>
      <c r="B864" s="60" t="s">
        <v>1207</v>
      </c>
      <c r="C864" s="60" t="s">
        <v>206</v>
      </c>
      <c r="D864" s="60" t="s">
        <v>226</v>
      </c>
      <c r="E864" s="60" t="s">
        <v>227</v>
      </c>
      <c r="F864" s="60" t="s">
        <v>260</v>
      </c>
      <c r="G864" s="61" t="n">
        <v>9.37</v>
      </c>
      <c r="H864" s="62" t="n">
        <f aca="false">MAX(0,IF(AND(Parameter!$B$21="Ja",ISNUMBER(Y864)),Y864,IF(Parameter!$B$20="Jahresanfang 2025 + Export",BS864+BR864,BR864)))</f>
        <v>3</v>
      </c>
      <c r="I864" s="62" t="n">
        <f aca="false">H864*G864</f>
        <v>28.11</v>
      </c>
      <c r="J864" s="62" t="n">
        <f aca="false">BU864*Parameter!$B$18</f>
        <v>8</v>
      </c>
      <c r="K864" s="63" t="n">
        <v>3.5</v>
      </c>
      <c r="L864" s="64" t="n">
        <v>2.28571428571429</v>
      </c>
      <c r="M864" s="62" t="n">
        <v>0</v>
      </c>
      <c r="N864" s="62" t="n">
        <v>10</v>
      </c>
      <c r="O864" s="65" t="n">
        <v>18</v>
      </c>
      <c r="P864" s="60" t="s">
        <v>463</v>
      </c>
      <c r="Q864" s="62" t="n">
        <v>16</v>
      </c>
      <c r="R864" s="65" t="n">
        <f aca="false">IF(CA864=1,0,IFERROR(VLOOKUP(BY864,'Gebinde-Kategorie'!$A$5:$N$45,13,0)+0,0))</f>
        <v>104</v>
      </c>
      <c r="S864" s="66"/>
      <c r="T864" s="67"/>
      <c r="U864" s="67"/>
      <c r="V864" s="67"/>
      <c r="W864" s="60"/>
      <c r="X864" s="62"/>
      <c r="Y864" s="62"/>
      <c r="Z864" s="60" t="n">
        <v>1</v>
      </c>
      <c r="AA864" s="60" t="n">
        <f aca="false">IF(A864="","",IF(AND(Parameter!$B$21="Ja",ISNUMBER(W864)),W864,IF(AND(Parameter!$E$27="Ja",ISNUMBER(Z864),CD864&lt;&gt;"Nein"),Z864,IF(CD864="2+3",IF(ISNUMBER(SEARCH("grosser Artikel",BV864)),2,IFERROR(VLOOKUP(BY864,Parameter!$F$35:$G$64,2,0),2)),IF(OR(CD864="Nein",CD864=""),"-",CD864)))))</f>
        <v>1</v>
      </c>
      <c r="AB864" s="67"/>
      <c r="AC864" s="68"/>
      <c r="AD864" s="62" t="n">
        <f aca="false">AW864</f>
        <v>10</v>
      </c>
      <c r="AE864" s="62" t="n">
        <f aca="false">MAX(AW864,H864)</f>
        <v>10</v>
      </c>
      <c r="AF864" s="69"/>
      <c r="AG864" s="62" t="n">
        <f aca="false">IF(LEFT(Cockpit!$C$5,1)="A",H864,IF(Parameter!$E$30="MAX-Bestand",IF(CI864=1,CJ864,IF(LEFT(Cockpit!$C$5,1)="B",AM864,MAX(AM864,H864))),ROUNDUP(AK864,0)))</f>
        <v>3</v>
      </c>
      <c r="AH864" s="62" t="n">
        <f aca="false">IF(CA864=1,0,ROUNDUP(AG864/BZ864,0))</f>
        <v>1</v>
      </c>
      <c r="AI864" s="64" t="n">
        <f aca="false">IF(CR864&gt;0,CR864*MAX(1,AG864/X864),IF(CA864=1,IF(AG864&lt;=0,0,CE864*MAX(1,IF(H864&gt;0,AG864/H864,1))),IF(R864&gt;0,AH864/R864,0))/MAX(0.1,N(Parameter!$M$21)))</f>
        <v>0.00961538461538462</v>
      </c>
      <c r="AJ864" s="62" t="n">
        <f aca="false">AI864*CC864</f>
        <v>1.49038461538462</v>
      </c>
      <c r="AK864" s="63" t="n">
        <f aca="false">IF(LEFT(Cockpit!$C$5,1)="A",H864,IF(CI864=1,(CL864+CJ864)/2,IF(LEFT(Cockpit!$C$5,1)="B",(CL864+AM864)/2,MAX((CL864+AM864)/2,H864))))</f>
        <v>3</v>
      </c>
      <c r="AL864" s="62" t="n">
        <f aca="false">AK864*G864</f>
        <v>28.11</v>
      </c>
      <c r="AM864" s="62" t="n">
        <f aca="false">ROUNDUP(CL864+MAX(CM864,2*(J864/IF(CH864&gt;0,CH864,MAX(0.1,N(Cockpit!$C$6)))-CL864)),0)</f>
        <v>10</v>
      </c>
      <c r="AN864" s="63" t="n">
        <f aca="false">IF(AJ864&gt;0,J864/AJ864,-1)</f>
        <v>5.36774193548387</v>
      </c>
      <c r="AO864" s="63" t="n">
        <f aca="false">IF(AND(OR(CG864="L1",CG864="L23",CG864="LIFT"),AJ864&gt;0),SUMIFS($AJ$7:$AJ$1843,$CG$7:$CG$1843,CG864,$AN$7:$AN$1843,"&gt;"&amp;AN864)+SUMIFS($AJ$7:$AJ$1843,$CG$7:$CG$1843,CG864,$AN$7:$AN$1843,AN864,$BX$7:$BX$1843,"&lt;="&amp;BX864),"")</f>
        <v>3729.17216117216</v>
      </c>
      <c r="AP864" s="70" t="n">
        <f aca="false">IF(AO864="",0,MAX(0,MIN(1,(IF(CG864="L1",Parameter!$H$5,IF(CG864="L23",Parameter!$H$6+Parameter!$H$7,Parameter!$H$5+Parameter!$H$6+Parameter!$H$7))-(AO864-AJ864))/AJ864)))</f>
        <v>1</v>
      </c>
      <c r="AQ864" s="62" t="n">
        <f aca="false">IF(LEFT(Cockpit!$I$5,1)="A",H864,IF(Parameter!$E$30="MAX-Bestand",IF(CI864=1,CJ864,IF(LEFT(Cockpit!$I$5,1)="B",AW864,MAX(AW864,H864))),ROUNDUP(AU864,0)))</f>
        <v>5</v>
      </c>
      <c r="AR864" s="62" t="n">
        <f aca="false">IF(CA864=1,0,ROUNDUP(AQ864/BZ864,0))</f>
        <v>1</v>
      </c>
      <c r="AS864" s="64" t="n">
        <f aca="false">IF(CR864&gt;0,CR864*MAX(1,AQ864/X864),IF(CA864=1,IF(AQ864&lt;=0,0,CE864*MAX(1,IF(H864&gt;0,AQ864/H864,1))),IF(R864&gt;0,AR864/R864,0))/MAX(0.1,N(Parameter!$M$21)))</f>
        <v>0.00961538461538462</v>
      </c>
      <c r="AT864" s="62" t="n">
        <f aca="false">AS864*CC864</f>
        <v>1.49038461538462</v>
      </c>
      <c r="AU864" s="63" t="n">
        <f aca="false">IF(LEFT(Cockpit!$I$5,1)="A",H864,IF(CI864=1,(CL864+CJ864)/2,IF(LEFT(Cockpit!$I$5,1)="B",(CL864+AW864)/2,MAX((CL864+AW864)/2,H864))))</f>
        <v>5</v>
      </c>
      <c r="AV864" s="62" t="n">
        <f aca="false">AU864*G864</f>
        <v>46.85</v>
      </c>
      <c r="AW864" s="62" t="n">
        <f aca="false">ROUNDUP(CL864+MAX(CM864,2*(J864/IF(CH864&gt;0,CH864,MAX(0.1,N(Cockpit!$I$6)))-CL864)),0)</f>
        <v>10</v>
      </c>
      <c r="AX864" s="63" t="n">
        <f aca="false">IF(AT864&gt;0,J864/AT864,-1)</f>
        <v>5.36774193548387</v>
      </c>
      <c r="AY864" s="63" t="n">
        <f aca="false">IF(AND(OR(CG864="L1",CG864="L23",CG864="LIFT"),AT864&gt;0),SUMIFS($AT$7:$AT$1843,$CG$7:$CG$1843,CG864,$AX$7:$AX$1843,"&gt;"&amp;AX864)+SUMIFS($AT$7:$AT$1843,$CG$7:$CG$1843,CG864,$AX$7:$AX$1843,AX864,$BX$7:$BX$1843,"&lt;="&amp;BX864),"")</f>
        <v>4382.913003663</v>
      </c>
      <c r="AZ864" s="70" t="n">
        <f aca="false">IF(AY864="",0,MAX(0,MIN(1,(IF(CG864="L1",Parameter!$H$5,IF(CG864="L23",Parameter!$H$6+Parameter!$H$7,Parameter!$H$5+Parameter!$H$6+Parameter!$H$7))-(AY864-AT864))/AT864)))</f>
        <v>1</v>
      </c>
      <c r="BA864" s="62" t="n">
        <f aca="false">IF(LEFT(Cockpit!$O$5,1)="A",H864,IF(Parameter!$E$30="MAX-Bestand",IF(CI864=1,CJ864,IF(LEFT(Cockpit!$O$5,1)="B",BG864,MAX(BG864,H864))),ROUNDUP(BE864,0)))</f>
        <v>5</v>
      </c>
      <c r="BB864" s="62" t="n">
        <f aca="false">IF(CA864=1,0,ROUNDUP(BA864/BZ864,0))</f>
        <v>1</v>
      </c>
      <c r="BC864" s="64" t="n">
        <f aca="false">IF(CR864&gt;0,CR864*MAX(1,BA864/X864),IF(CA864=1,IF(BA864&lt;=0,0,CE864*MAX(1,IF(H864&gt;0,BA864/H864,1))),IF(R864&gt;0,BB864/R864,0))/MAX(0.1,N(Parameter!$M$21)))</f>
        <v>0.00961538461538462</v>
      </c>
      <c r="BD864" s="62" t="n">
        <f aca="false">BC864*CC864</f>
        <v>1.49038461538462</v>
      </c>
      <c r="BE864" s="63" t="n">
        <f aca="false">IF(LEFT(Cockpit!$O$5,1)="A",H864,IF(CI864=1,(CL864+CJ864)/2,IF(LEFT(Cockpit!$O$5,1)="B",(CL864+BG864)/2,MAX((CL864+BG864)/2,H864))))</f>
        <v>5</v>
      </c>
      <c r="BF864" s="62" t="n">
        <f aca="false">BE864*G864</f>
        <v>46.85</v>
      </c>
      <c r="BG864" s="62" t="n">
        <f aca="false">ROUNDUP(CL864+MAX(CM864,2*(J864/IF(CH864&gt;0,CH864,MAX(0.1,N(Cockpit!$O$6)))-CL864)),0)</f>
        <v>10</v>
      </c>
      <c r="BH864" s="63" t="n">
        <f aca="false">IF(BD864&gt;0,J864/BD864,-1)</f>
        <v>5.36774193548387</v>
      </c>
      <c r="BI864" s="63" t="n">
        <f aca="false">IF(AND(OR(CG864="L1",CG864="L23",CG864="LIFT"),BD864&gt;0),SUMIFS($BD$7:$BD$1843,$CG$7:$CG$1843,CG864,$BH$7:$BH$1843,"&gt;"&amp;BH864)+SUMIFS($BD$7:$BD$1843,$CG$7:$CG$1843,CG864,$BH$7:$BH$1843,BH864,$BX$7:$BX$1843,"&lt;="&amp;BX864),"")</f>
        <v>3695.9445970696</v>
      </c>
      <c r="BJ864" s="70" t="n">
        <f aca="false">IF(BI864="",0,MAX(0,MIN(1,(IF(CG864="L1",Parameter!$H$5,IF(CG864="L23",Parameter!$H$6+Parameter!$H$7,Parameter!$H$5+Parameter!$H$6+Parameter!$H$7))-(BI864-BD864))/BD864)))</f>
        <v>1</v>
      </c>
      <c r="BK864" s="60" t="str">
        <f aca="false">IF(AJ864&lt;=0,"",IF(CG864="Aussen","Aussenlager",IF(CG864="-","Nicht im Lift",IF(AP864&gt;=1,"Lift",IF(AP864&lt;=0,"Aussenlager","teilweise")))))</f>
        <v>Lift</v>
      </c>
      <c r="BL864" s="60" t="str">
        <f aca="false">IF(AT864&lt;=0,"",IF(CG864="Aussen","Aussenlager",IF(CG864="-","Nicht im Lift",IF(AZ864&gt;=1,"Lift",IF(AZ864&lt;=0,"Aussenlager","teilweise")))))</f>
        <v>Lift</v>
      </c>
      <c r="BM864" s="60" t="str">
        <f aca="false">IF(BD864&lt;=0,"",IF(CG864="Aussen","Aussenlager",IF(CG864="-","Nicht im Lift",IF(BJ864&gt;=1,"Lift",IF(BJ864&lt;=0,"Aussenlager","teilweise")))))</f>
        <v>Lift</v>
      </c>
      <c r="BN864" s="60" t="str">
        <f aca="false">IF(A864="","",IF(BW864=1,"Neu; ","")&amp;IF(AND(BW864=0,BR864&lt;0),"negativer Bestand (Export "&amp;BR864&amp;"); ","")&amp;IF(J864&lt;=0,"Kein Verbrauch; ","")&amp;IF(CR864&gt;0,"Lift "&amp;W864&amp;" lt. Liftbericht (Fach "&amp;X864&amp;" Stk); ",IF(CB864=1,"Gebinde geschätzt ("&amp;T864&amp;"); ",IF(CA864=1,"Lose – Tablare geschätzt; ","")))&amp;IF(H864&gt;AW864,"Überbestand "&amp;ROUND(H864-AW864,0)&amp;" Stk / CHF "&amp;ROUND((H864-AW864)*G864,0)&amp;"; ","")&amp;IF(AND(CI864=1,CJ864&lt;CK864),"MAX &lt; MB+LG; ","")&amp;IF(AND(CQ864&gt;0,CP864*10&gt;CQ864),"zu hoch für Tablar; ","")&amp;IF(AND(BW864=0,OR(CI864=1,AB864&lt;&gt;"",U864&lt;&gt;"",V864&lt;&gt;"",AC864&lt;&gt;"")),"manuell übersteuert; ","")&amp;IF(AND(CA864=0,R864=0),"Gebinde unbekannt / Stellmass fehlt; ","")&amp;IF(AND(CA864=0,N(V864)&lt;=0,N(Q864)&lt;=0),"Menge pro Gebinde fehlt (Ist = 1 Gebinde); ","")&amp;BV864)</f>
        <v>negativer Bestand (Export -2); </v>
      </c>
      <c r="BO864" s="60"/>
      <c r="BP864" s="60"/>
      <c r="BQ864" s="67"/>
      <c r="BR864" s="62" t="n">
        <v>-2</v>
      </c>
      <c r="BS864" s="62" t="n">
        <v>5</v>
      </c>
      <c r="BT864" s="61" t="n">
        <v>-21.04</v>
      </c>
      <c r="BU864" s="62" t="n">
        <v>8</v>
      </c>
      <c r="BV864" s="60"/>
      <c r="BW864" s="65" t="n">
        <v>0</v>
      </c>
      <c r="BX864" s="65" t="n">
        <v>864</v>
      </c>
      <c r="BY864" s="60" t="str">
        <f aca="false">IF(U864&lt;&gt;"",UPPER(TRIM(U864)),IF(CB864=1,UPPER(VLOOKUP(T864,Parameter!$I$27:$K$29,2,0)),IF(P864="","LOSE",P864)))</f>
        <v>S32</v>
      </c>
      <c r="BZ864" s="62" t="n">
        <f aca="false">IF(BY864="LOSE",1,IF(N(V864)&gt;0,V864,IF(CB864=1,MAX(1,N(VLOOKUP(T864,Parameter!$I$27:$K$29,3,0)),H864,N(N864)),IF(N(Q864)&gt;0,Q864,MAX(1,H864)))))</f>
        <v>16</v>
      </c>
      <c r="CA864" s="65" t="n">
        <f aca="false">IF(BY864="LOSE",1,0)</f>
        <v>0</v>
      </c>
      <c r="CB864" s="65" t="n">
        <f aca="false">IF(AND(U864="",OR(P864="",P864="LOSE"),T864&lt;&gt;"",N(S864)&lt;=0,ISNUMBER(MATCH(T864,Parameter!$I$27:$I$29,0))),1,0)</f>
        <v>0</v>
      </c>
      <c r="CC864" s="65" t="n">
        <f aca="false">IF(CR864&gt;0,INDEX(Parameter!$H$5:$H$7,W864)/INDEX(Parameter!$E$5:$E$7,W864),IF(AND(CA864=0,N(IFERROR(VLOOKUP(BY864,'Gebinde-Kategorie'!$A$5:$N$45,14,0),0))&gt;0),VLOOKUP(BY864,'Gebinde-Kategorie'!$A$5:$N$45,14,0)*10+Parameter!$M$23,Parameter!$M$24))</f>
        <v>155</v>
      </c>
      <c r="CD864" s="60" t="str">
        <f aca="false">IF(AND(Parameter!$B$19="Ja",E864&lt;&gt;"",ISNUMBER(MATCH(E864,Parameter!$I$35:$I$52,0))),VLOOKUP(E864,Parameter!$I$35:$J$52,2,0),IFERROR(VLOOKUP(D864,Parameter!$A$35:$C$64,2,0),"Nein"))</f>
        <v>2+3</v>
      </c>
      <c r="CE864" s="64" t="n">
        <f aca="false">IF(CA864=0,0,IF(N(S864)&gt;0,S864,IFERROR(VLOOKUP(D864,Parameter!$A$35:$C$64,3,0)+0,0)))</f>
        <v>0</v>
      </c>
      <c r="CF864" s="60" t="n">
        <f aca="false">IF(AB864&lt;&gt;"",AB864,AA864)</f>
        <v>1</v>
      </c>
      <c r="CG864" s="60" t="str">
        <f aca="false">IF(OR(CF864=1,CF864=2,CF864=3),IF(Parameter!$E$27="Ja","LIFT",IF(CF864=1,"L1","L23")),IF(CF864="Aussen","Aussen","-"))</f>
        <v>LIFT</v>
      </c>
      <c r="CH864" s="71" t="n">
        <f aca="false">IF(N(AC864)&gt;0,AC864,0)</f>
        <v>0</v>
      </c>
      <c r="CI864" s="65" t="n">
        <f aca="false">IF(ISNUMBER(AF864),1,0)</f>
        <v>0</v>
      </c>
      <c r="CJ864" s="62" t="n">
        <f aca="false">N(AF864)</f>
        <v>0</v>
      </c>
      <c r="CK864" s="62" t="n">
        <f aca="false">N(M864)+N(N864)</f>
        <v>10</v>
      </c>
      <c r="CL864" s="62" t="n">
        <f aca="false">N(M864)</f>
        <v>0</v>
      </c>
      <c r="CM864" s="62" t="n">
        <f aca="false">N(N864)</f>
        <v>10</v>
      </c>
      <c r="CN864" s="62" t="n">
        <f aca="false">ROUNDUP(H864/BZ864,0)</f>
        <v>1</v>
      </c>
      <c r="CO864" s="62" t="n">
        <f aca="false">ROUNDUP(CJ864/BZ864,0)</f>
        <v>0</v>
      </c>
      <c r="CP864" s="65" t="n">
        <f aca="false">IF(CA864=1,0,IFERROR(VLOOKUP(BY864,'Gebinde-Kategorie'!$A$5:$N$45,5,0)+0,0))</f>
        <v>8</v>
      </c>
      <c r="CQ864" s="65" t="n">
        <f aca="false">IFERROR(IF(OR(CF864=1,CF864=2,CF864=3),N(INDEX(Parameter!$I$5:$I$7,CF864)),0),0)</f>
        <v>0</v>
      </c>
      <c r="CR864" s="64" t="n">
        <f aca="false">IF(AND(Parameter!$B$21="Ja",ISNUMBER(W864),N(X864)&gt;0),IFERROR(N(INDEX(Parameter!$L$5:$L$7,W864))*INDEX(Parameter!$E$5:$E$7,W864)*X864/SUMIFS($X$7:$X$1843,$W$7:$W$1843,W864),0),0)</f>
        <v>0</v>
      </c>
      <c r="CS864" s="62" t="n">
        <f aca="false">IF(AND(OR(CG864="L1",CG864="L23",CG864="LIFT"),H864&gt;0),CC864*IF(CR864&gt;0,CR864*MAX(1,H864/X864),IF(CA864=1,CE864,IF(R864&gt;0,CN864/R864,0))/MAX(0.1,N(Parameter!$M$21))),"")</f>
        <v>1.49038461538462</v>
      </c>
      <c r="CT864" s="64" t="n">
        <f aca="false">IF(CS864="","",J864/H864)</f>
        <v>2.66666666666667</v>
      </c>
      <c r="CU864" s="62" t="n">
        <f aca="false">IF(CS864="","",H864*G864)</f>
        <v>28.11</v>
      </c>
      <c r="CV864" s="63" t="n">
        <f aca="false">IF(CS864="","",(CL864+ROUNDUP(CL864+MAX(CM864,2*(J864/MAX(0.1,N(Einkauf!$C$6))-CL864)),0))/2)</f>
        <v>5</v>
      </c>
      <c r="CW864" s="62" t="n">
        <f aca="false">IF(CS864="","",MAX(0,H864-CV864)*G864)</f>
        <v>0</v>
      </c>
      <c r="CX864" s="62" t="n">
        <f aca="false">IF(CS864="","",CS864*MAX(0,1-CV864/H864))</f>
        <v>0</v>
      </c>
      <c r="CY864" s="64" t="n">
        <f aca="false">IF(CS864="","",PERCENTRANK($CS$7:$CS$1843,CS864)+PERCENTRANK($CU$7:$CU$1843,CU864)+1-PERCENTRANK($CT$7:$CT$1843,CT864))</f>
        <v>0.358</v>
      </c>
      <c r="CZ864" s="72" t="n">
        <f aca="false">IF(CS864="","",CHOOSE(MATCH(Einkauf!$C$5,Parameter!$G$23:$G$27,0),CY864,CS864,CU864,-CT864,CW864)+ROW()/1000000000)</f>
        <v>0.358000864</v>
      </c>
    </row>
    <row r="865" customFormat="false" ht="15" hidden="false" customHeight="false" outlineLevel="0" collapsed="false">
      <c r="A865" s="60" t="s">
        <v>1688</v>
      </c>
      <c r="B865" s="60" t="s">
        <v>447</v>
      </c>
      <c r="C865" s="60" t="s">
        <v>206</v>
      </c>
      <c r="D865" s="60" t="s">
        <v>226</v>
      </c>
      <c r="E865" s="60" t="s">
        <v>227</v>
      </c>
      <c r="F865" s="60" t="s">
        <v>260</v>
      </c>
      <c r="G865" s="61" t="n">
        <v>0.88</v>
      </c>
      <c r="H865" s="62" t="n">
        <f aca="false">MAX(0,IF(AND(Parameter!$B$21="Ja",ISNUMBER(Y865)),Y865,IF(Parameter!$B$20="Jahresanfang 2025 + Export",BS865+BR865,BR865)))</f>
        <v>79</v>
      </c>
      <c r="I865" s="62" t="n">
        <f aca="false">H865*G865</f>
        <v>69.52</v>
      </c>
      <c r="J865" s="62" t="n">
        <f aca="false">BU865*Parameter!$B$18</f>
        <v>24</v>
      </c>
      <c r="K865" s="63" t="n">
        <v>91</v>
      </c>
      <c r="L865" s="64" t="n">
        <v>0.263736263736264</v>
      </c>
      <c r="M865" s="62" t="n">
        <v>0</v>
      </c>
      <c r="N865" s="62" t="n">
        <v>25</v>
      </c>
      <c r="O865" s="65" t="n">
        <v>14</v>
      </c>
      <c r="P865" s="60" t="s">
        <v>344</v>
      </c>
      <c r="Q865" s="62" t="n">
        <v>177</v>
      </c>
      <c r="R865" s="65" t="n">
        <f aca="false">IF(CA865=1,0,IFERROR(VLOOKUP(BY865,'Gebinde-Kategorie'!$A$5:$N$45,13,0)+0,0))</f>
        <v>26</v>
      </c>
      <c r="S865" s="66"/>
      <c r="T865" s="67"/>
      <c r="U865" s="67"/>
      <c r="V865" s="67"/>
      <c r="W865" s="60"/>
      <c r="X865" s="62"/>
      <c r="Y865" s="62"/>
      <c r="Z865" s="60" t="n">
        <v>3</v>
      </c>
      <c r="AA865" s="60" t="n">
        <f aca="false">IF(A865="","",IF(AND(Parameter!$B$21="Ja",ISNUMBER(W865)),W865,IF(AND(Parameter!$E$27="Ja",ISNUMBER(Z865),CD865&lt;&gt;"Nein"),Z865,IF(CD865="2+3",IF(ISNUMBER(SEARCH("grosser Artikel",BV865)),2,IFERROR(VLOOKUP(BY865,Parameter!$F$35:$G$64,2,0),2)),IF(OR(CD865="Nein",CD865=""),"-",CD865)))))</f>
        <v>3</v>
      </c>
      <c r="AB865" s="67"/>
      <c r="AC865" s="68"/>
      <c r="AD865" s="62" t="n">
        <f aca="false">AW865</f>
        <v>25</v>
      </c>
      <c r="AE865" s="62" t="n">
        <f aca="false">MAX(AW865,H865)</f>
        <v>79</v>
      </c>
      <c r="AF865" s="69"/>
      <c r="AG865" s="62" t="n">
        <f aca="false">IF(LEFT(Cockpit!$C$5,1)="A",H865,IF(Parameter!$E$30="MAX-Bestand",IF(CI865=1,CJ865,IF(LEFT(Cockpit!$C$5,1)="B",AM865,MAX(AM865,H865))),ROUNDUP(AK865,0)))</f>
        <v>79</v>
      </c>
      <c r="AH865" s="62" t="n">
        <f aca="false">IF(CA865=1,0,ROUNDUP(AG865/BZ865,0))</f>
        <v>1</v>
      </c>
      <c r="AI865" s="64" t="n">
        <f aca="false">IF(CR865&gt;0,CR865*MAX(1,AG865/X865),IF(CA865=1,IF(AG865&lt;=0,0,CE865*MAX(1,IF(H865&gt;0,AG865/H865,1))),IF(R865&gt;0,AH865/R865,0))/MAX(0.1,N(Parameter!$M$21)))</f>
        <v>0.0384615384615385</v>
      </c>
      <c r="AJ865" s="62" t="n">
        <f aca="false">AI865*CC865</f>
        <v>5.96153846153846</v>
      </c>
      <c r="AK865" s="63" t="n">
        <f aca="false">IF(LEFT(Cockpit!$C$5,1)="A",H865,IF(CI865=1,(CL865+CJ865)/2,IF(LEFT(Cockpit!$C$5,1)="B",(CL865+AM865)/2,MAX((CL865+AM865)/2,H865))))</f>
        <v>79</v>
      </c>
      <c r="AL865" s="62" t="n">
        <f aca="false">AK865*G865</f>
        <v>69.52</v>
      </c>
      <c r="AM865" s="62" t="n">
        <f aca="false">ROUNDUP(CL865+MAX(CM865,2*(J865/IF(CH865&gt;0,CH865,MAX(0.1,N(Cockpit!$C$6)))-CL865)),0)</f>
        <v>25</v>
      </c>
      <c r="AN865" s="63" t="n">
        <f aca="false">IF(AJ865&gt;0,J865/AJ865,-1)</f>
        <v>4.0258064516129</v>
      </c>
      <c r="AO865" s="63" t="n">
        <f aca="false">IF(AND(OR(CG865="L1",CG865="L23",CG865="LIFT"),AJ865&gt;0),SUMIFS($AJ$7:$AJ$1843,$CG$7:$CG$1843,CG865,$AN$7:$AN$1843,"&gt;"&amp;AN865)+SUMIFS($AJ$7:$AJ$1843,$CG$7:$CG$1843,CG865,$AN$7:$AN$1843,AN865,$BX$7:$BX$1843,"&lt;="&amp;BX865),"")</f>
        <v>4352.72756410256</v>
      </c>
      <c r="AP865" s="70" t="n">
        <f aca="false">IF(AO865="",0,MAX(0,MIN(1,(IF(CG865="L1",Parameter!$H$5,IF(CG865="L23",Parameter!$H$6+Parameter!$H$7,Parameter!$H$5+Parameter!$H$6+Parameter!$H$7))-(AO865-AJ865))/AJ865)))</f>
        <v>1</v>
      </c>
      <c r="AQ865" s="62" t="n">
        <f aca="false">IF(LEFT(Cockpit!$I$5,1)="A",H865,IF(Parameter!$E$30="MAX-Bestand",IF(CI865=1,CJ865,IF(LEFT(Cockpit!$I$5,1)="B",AW865,MAX(AW865,H865))),ROUNDUP(AU865,0)))</f>
        <v>79</v>
      </c>
      <c r="AR865" s="62" t="n">
        <f aca="false">IF(CA865=1,0,ROUNDUP(AQ865/BZ865,0))</f>
        <v>1</v>
      </c>
      <c r="AS865" s="64" t="n">
        <f aca="false">IF(CR865&gt;0,CR865*MAX(1,AQ865/X865),IF(CA865=1,IF(AQ865&lt;=0,0,CE865*MAX(1,IF(H865&gt;0,AQ865/H865,1))),IF(R865&gt;0,AR865/R865,0))/MAX(0.1,N(Parameter!$M$21)))</f>
        <v>0.0384615384615385</v>
      </c>
      <c r="AT865" s="62" t="n">
        <f aca="false">AS865*CC865</f>
        <v>5.96153846153846</v>
      </c>
      <c r="AU865" s="63" t="n">
        <f aca="false">IF(LEFT(Cockpit!$I$5,1)="A",H865,IF(CI865=1,(CL865+CJ865)/2,IF(LEFT(Cockpit!$I$5,1)="B",(CL865+AW865)/2,MAX((CL865+AW865)/2,H865))))</f>
        <v>79</v>
      </c>
      <c r="AV865" s="62" t="n">
        <f aca="false">AU865*G865</f>
        <v>69.52</v>
      </c>
      <c r="AW865" s="62" t="n">
        <f aca="false">ROUNDUP(CL865+MAX(CM865,2*(J865/IF(CH865&gt;0,CH865,MAX(0.1,N(Cockpit!$I$6)))-CL865)),0)</f>
        <v>25</v>
      </c>
      <c r="AX865" s="63" t="n">
        <f aca="false">IF(AT865&gt;0,J865/AT865,-1)</f>
        <v>4.0258064516129</v>
      </c>
      <c r="AY865" s="63" t="n">
        <f aca="false">IF(AND(OR(CG865="L1",CG865="L23",CG865="LIFT"),AT865&gt;0),SUMIFS($AT$7:$AT$1843,$CG$7:$CG$1843,CG865,$AX$7:$AX$1843,"&gt;"&amp;AX865)+SUMIFS($AT$7:$AT$1843,$CG$7:$CG$1843,CG865,$AX$7:$AX$1843,AX865,$BX$7:$BX$1843,"&lt;="&amp;BX865),"")</f>
        <v>4961.72481684982</v>
      </c>
      <c r="AZ865" s="70" t="n">
        <f aca="false">IF(AY865="",0,MAX(0,MIN(1,(IF(CG865="L1",Parameter!$H$5,IF(CG865="L23",Parameter!$H$6+Parameter!$H$7,Parameter!$H$5+Parameter!$H$6+Parameter!$H$7))-(AY865-AT865))/AT865)))</f>
        <v>1</v>
      </c>
      <c r="BA865" s="62" t="n">
        <f aca="false">IF(LEFT(Cockpit!$O$5,1)="A",H865,IF(Parameter!$E$30="MAX-Bestand",IF(CI865=1,CJ865,IF(LEFT(Cockpit!$O$5,1)="B",BG865,MAX(BG865,H865))),ROUNDUP(BE865,0)))</f>
        <v>13</v>
      </c>
      <c r="BB865" s="62" t="n">
        <f aca="false">IF(CA865=1,0,ROUNDUP(BA865/BZ865,0))</f>
        <v>1</v>
      </c>
      <c r="BC865" s="64" t="n">
        <f aca="false">IF(CR865&gt;0,CR865*MAX(1,BA865/X865),IF(CA865=1,IF(BA865&lt;=0,0,CE865*MAX(1,IF(H865&gt;0,BA865/H865,1))),IF(R865&gt;0,BB865/R865,0))/MAX(0.1,N(Parameter!$M$21)))</f>
        <v>0.0384615384615385</v>
      </c>
      <c r="BD865" s="62" t="n">
        <f aca="false">BC865*CC865</f>
        <v>5.96153846153846</v>
      </c>
      <c r="BE865" s="63" t="n">
        <f aca="false">IF(LEFT(Cockpit!$O$5,1)="A",H865,IF(CI865=1,(CL865+CJ865)/2,IF(LEFT(Cockpit!$O$5,1)="B",(CL865+BG865)/2,MAX((CL865+BG865)/2,H865))))</f>
        <v>12.5</v>
      </c>
      <c r="BF865" s="62" t="n">
        <f aca="false">BE865*G865</f>
        <v>11</v>
      </c>
      <c r="BG865" s="62" t="n">
        <f aca="false">ROUNDUP(CL865+MAX(CM865,2*(J865/IF(CH865&gt;0,CH865,MAX(0.1,N(Cockpit!$O$6)))-CL865)),0)</f>
        <v>25</v>
      </c>
      <c r="BH865" s="63" t="n">
        <f aca="false">IF(BD865&gt;0,J865/BD865,-1)</f>
        <v>4.0258064516129</v>
      </c>
      <c r="BI865" s="63" t="n">
        <f aca="false">IF(AND(OR(CG865="L1",CG865="L23",CG865="LIFT"),BD865&gt;0),SUMIFS($BD$7:$BD$1843,$CG$7:$CG$1843,CG865,$BH$7:$BH$1843,"&gt;"&amp;BH865)+SUMIFS($BD$7:$BD$1843,$CG$7:$CG$1843,CG865,$BH$7:$BH$1843,BH865,$BX$7:$BX$1843,"&lt;="&amp;BX865),"")</f>
        <v>4073.33379120879</v>
      </c>
      <c r="BJ865" s="70" t="n">
        <f aca="false">IF(BI865="",0,MAX(0,MIN(1,(IF(CG865="L1",Parameter!$H$5,IF(CG865="L23",Parameter!$H$6+Parameter!$H$7,Parameter!$H$5+Parameter!$H$6+Parameter!$H$7))-(BI865-BD865))/BD865)))</f>
        <v>1</v>
      </c>
      <c r="BK865" s="60" t="str">
        <f aca="false">IF(AJ865&lt;=0,"",IF(CG865="Aussen","Aussenlager",IF(CG865="-","Nicht im Lift",IF(AP865&gt;=1,"Lift",IF(AP865&lt;=0,"Aussenlager","teilweise")))))</f>
        <v>Lift</v>
      </c>
      <c r="BL865" s="60" t="str">
        <f aca="false">IF(AT865&lt;=0,"",IF(CG865="Aussen","Aussenlager",IF(CG865="-","Nicht im Lift",IF(AZ865&gt;=1,"Lift",IF(AZ865&lt;=0,"Aussenlager","teilweise")))))</f>
        <v>Lift</v>
      </c>
      <c r="BM865" s="60" t="str">
        <f aca="false">IF(BD865&lt;=0,"",IF(CG865="Aussen","Aussenlager",IF(CG865="-","Nicht im Lift",IF(BJ865&gt;=1,"Lift",IF(BJ865&lt;=0,"Aussenlager","teilweise")))))</f>
        <v>Lift</v>
      </c>
      <c r="BN865" s="60" t="str">
        <f aca="false">IF(A865="","",IF(BW865=1,"Neu; ","")&amp;IF(AND(BW865=0,BR865&lt;0),"negativer Bestand (Export "&amp;BR865&amp;"); ","")&amp;IF(J865&lt;=0,"Kein Verbrauch; ","")&amp;IF(CR865&gt;0,"Lift "&amp;W865&amp;" lt. Liftbericht (Fach "&amp;X865&amp;" Stk); ",IF(CB865=1,"Gebinde geschätzt ("&amp;T865&amp;"); ",IF(CA865=1,"Lose – Tablare geschätzt; ","")))&amp;IF(H865&gt;AW865,"Überbestand "&amp;ROUND(H865-AW865,0)&amp;" Stk / CHF "&amp;ROUND((H865-AW865)*G865,0)&amp;"; ","")&amp;IF(AND(CI865=1,CJ865&lt;CK865),"MAX &lt; MB+LG; ","")&amp;IF(AND(CQ865&gt;0,CP865*10&gt;CQ865),"zu hoch für Tablar; ","")&amp;IF(AND(BW865=0,OR(CI865=1,AB865&lt;&gt;"",U865&lt;&gt;"",V865&lt;&gt;"",AC865&lt;&gt;"")),"manuell übersteuert; ","")&amp;IF(AND(CA865=0,R865=0),"Gebinde unbekannt / Stellmass fehlt; ","")&amp;IF(AND(CA865=0,N(V865)&lt;=0,N(Q865)&lt;=0),"Menge pro Gebinde fehlt (Ist = 1 Gebinde); ","")&amp;BV865)</f>
        <v>negativer Bestand (Export -24); Überbestand 54 Stk / CHF 48; Neu</v>
      </c>
      <c r="BO865" s="60"/>
      <c r="BP865" s="60"/>
      <c r="BQ865" s="67"/>
      <c r="BR865" s="62" t="n">
        <v>-24</v>
      </c>
      <c r="BS865" s="62" t="n">
        <v>103</v>
      </c>
      <c r="BT865" s="61" t="n">
        <v>-21.12</v>
      </c>
      <c r="BU865" s="62" t="n">
        <v>24</v>
      </c>
      <c r="BV865" s="60" t="s">
        <v>668</v>
      </c>
      <c r="BW865" s="65" t="n">
        <v>0</v>
      </c>
      <c r="BX865" s="65" t="n">
        <v>865</v>
      </c>
      <c r="BY865" s="60" t="str">
        <f aca="false">IF(U865&lt;&gt;"",UPPER(TRIM(U865)),IF(CB865=1,UPPER(VLOOKUP(T865,Parameter!$I$27:$K$29,2,0)),IF(P865="","LOSE",P865)))</f>
        <v>S51</v>
      </c>
      <c r="BZ865" s="62" t="n">
        <f aca="false">IF(BY865="LOSE",1,IF(N(V865)&gt;0,V865,IF(CB865=1,MAX(1,N(VLOOKUP(T865,Parameter!$I$27:$K$29,3,0)),H865,N(N865)),IF(N(Q865)&gt;0,Q865,MAX(1,H865)))))</f>
        <v>177</v>
      </c>
      <c r="CA865" s="65" t="n">
        <f aca="false">IF(BY865="LOSE",1,0)</f>
        <v>0</v>
      </c>
      <c r="CB865" s="65" t="n">
        <f aca="false">IF(AND(U865="",OR(P865="",P865="LOSE"),T865&lt;&gt;"",N(S865)&lt;=0,ISNUMBER(MATCH(T865,Parameter!$I$27:$I$29,0))),1,0)</f>
        <v>0</v>
      </c>
      <c r="CC865" s="65" t="n">
        <f aca="false">IF(CR865&gt;0,INDEX(Parameter!$H$5:$H$7,W865)/INDEX(Parameter!$E$5:$E$7,W865),IF(AND(CA865=0,N(IFERROR(VLOOKUP(BY865,'Gebinde-Kategorie'!$A$5:$N$45,14,0),0))&gt;0),VLOOKUP(BY865,'Gebinde-Kategorie'!$A$5:$N$45,14,0)*10+Parameter!$M$23,Parameter!$M$24))</f>
        <v>155</v>
      </c>
      <c r="CD865" s="60" t="str">
        <f aca="false">IF(AND(Parameter!$B$19="Ja",E865&lt;&gt;"",ISNUMBER(MATCH(E865,Parameter!$I$35:$I$52,0))),VLOOKUP(E865,Parameter!$I$35:$J$52,2,0),IFERROR(VLOOKUP(D865,Parameter!$A$35:$C$64,2,0),"Nein"))</f>
        <v>2+3</v>
      </c>
      <c r="CE865" s="64" t="n">
        <f aca="false">IF(CA865=0,0,IF(N(S865)&gt;0,S865,IFERROR(VLOOKUP(D865,Parameter!$A$35:$C$64,3,0)+0,0)))</f>
        <v>0</v>
      </c>
      <c r="CF865" s="60" t="n">
        <f aca="false">IF(AB865&lt;&gt;"",AB865,AA865)</f>
        <v>3</v>
      </c>
      <c r="CG865" s="60" t="str">
        <f aca="false">IF(OR(CF865=1,CF865=2,CF865=3),IF(Parameter!$E$27="Ja","LIFT",IF(CF865=1,"L1","L23")),IF(CF865="Aussen","Aussen","-"))</f>
        <v>LIFT</v>
      </c>
      <c r="CH865" s="71" t="n">
        <f aca="false">IF(N(AC865)&gt;0,AC865,0)</f>
        <v>0</v>
      </c>
      <c r="CI865" s="65" t="n">
        <f aca="false">IF(ISNUMBER(AF865),1,0)</f>
        <v>0</v>
      </c>
      <c r="CJ865" s="62" t="n">
        <f aca="false">N(AF865)</f>
        <v>0</v>
      </c>
      <c r="CK865" s="62" t="n">
        <f aca="false">N(M865)+N(N865)</f>
        <v>25</v>
      </c>
      <c r="CL865" s="62" t="n">
        <f aca="false">N(M865)</f>
        <v>0</v>
      </c>
      <c r="CM865" s="62" t="n">
        <f aca="false">N(N865)</f>
        <v>25</v>
      </c>
      <c r="CN865" s="62" t="n">
        <f aca="false">ROUNDUP(H865/BZ865,0)</f>
        <v>1</v>
      </c>
      <c r="CO865" s="62" t="n">
        <f aca="false">ROUNDUP(CJ865/BZ865,0)</f>
        <v>0</v>
      </c>
      <c r="CP865" s="65" t="n">
        <f aca="false">IF(CA865=1,0,IFERROR(VLOOKUP(BY865,'Gebinde-Kategorie'!$A$5:$N$45,5,0)+0,0))</f>
        <v>11</v>
      </c>
      <c r="CQ865" s="65" t="n">
        <f aca="false">IFERROR(IF(OR(CF865=1,CF865=2,CF865=3),N(INDEX(Parameter!$I$5:$I$7,CF865)),0),0)</f>
        <v>0</v>
      </c>
      <c r="CR865" s="64" t="n">
        <f aca="false">IF(AND(Parameter!$B$21="Ja",ISNUMBER(W865),N(X865)&gt;0),IFERROR(N(INDEX(Parameter!$L$5:$L$7,W865))*INDEX(Parameter!$E$5:$E$7,W865)*X865/SUMIFS($X$7:$X$1843,$W$7:$W$1843,W865),0),0)</f>
        <v>0</v>
      </c>
      <c r="CS865" s="62" t="n">
        <f aca="false">IF(AND(OR(CG865="L1",CG865="L23",CG865="LIFT"),H865&gt;0),CC865*IF(CR865&gt;0,CR865*MAX(1,H865/X865),IF(CA865=1,CE865,IF(R865&gt;0,CN865/R865,0))/MAX(0.1,N(Parameter!$M$21))),"")</f>
        <v>5.96153846153846</v>
      </c>
      <c r="CT865" s="64" t="n">
        <f aca="false">IF(CS865="","",J865/H865)</f>
        <v>0.30379746835443</v>
      </c>
      <c r="CU865" s="62" t="n">
        <f aca="false">IF(CS865="","",H865*G865)</f>
        <v>69.52</v>
      </c>
      <c r="CV865" s="63" t="n">
        <f aca="false">IF(CS865="","",(CL865+ROUNDUP(CL865+MAX(CM865,2*(J865/MAX(0.1,N(Einkauf!$C$6))-CL865)),0))/2)</f>
        <v>12.5</v>
      </c>
      <c r="CW865" s="62" t="n">
        <f aca="false">IF(CS865="","",MAX(0,H865-CV865)*G865)</f>
        <v>58.52</v>
      </c>
      <c r="CX865" s="62" t="n">
        <f aca="false">IF(CS865="","",CS865*MAX(0,1-CV865/H865))</f>
        <v>5.0182570593963</v>
      </c>
      <c r="CY865" s="64" t="n">
        <f aca="false">IF(CS865="","",PERCENTRANK($CS$7:$CS$1843,CS865)+PERCENTRANK($CU$7:$CU$1843,CU865)+1-PERCENTRANK($CT$7:$CT$1843,CT865))</f>
        <v>1.04</v>
      </c>
      <c r="CZ865" s="72" t="n">
        <f aca="false">IF(CS865="","",CHOOSE(MATCH(Einkauf!$C$5,Parameter!$G$23:$G$27,0),CY865,CS865,CU865,-CT865,CW865)+ROW()/1000000000)</f>
        <v>1.040000865</v>
      </c>
    </row>
    <row r="866" customFormat="false" ht="15" hidden="false" customHeight="false" outlineLevel="0" collapsed="false">
      <c r="A866" s="60" t="s">
        <v>1689</v>
      </c>
      <c r="B866" s="60" t="s">
        <v>447</v>
      </c>
      <c r="C866" s="60" t="s">
        <v>498</v>
      </c>
      <c r="D866" s="60" t="s">
        <v>226</v>
      </c>
      <c r="E866" s="60"/>
      <c r="F866" s="60" t="s">
        <v>260</v>
      </c>
      <c r="G866" s="61" t="n">
        <v>0.11</v>
      </c>
      <c r="H866" s="62" t="n">
        <f aca="false">MAX(0,IF(AND(Parameter!$B$21="Ja",ISNUMBER(Y866)),Y866,IF(Parameter!$B$20="Jahresanfang 2025 + Export",BS866+BR866,BR866)))</f>
        <v>196</v>
      </c>
      <c r="I866" s="62" t="n">
        <f aca="false">H866*G866</f>
        <v>21.56</v>
      </c>
      <c r="J866" s="62" t="n">
        <f aca="false">BU866*Parameter!$B$18</f>
        <v>196</v>
      </c>
      <c r="K866" s="63" t="n">
        <v>196</v>
      </c>
      <c r="L866" s="64" t="n">
        <v>1</v>
      </c>
      <c r="M866" s="62" t="n">
        <v>7</v>
      </c>
      <c r="N866" s="62" t="n">
        <v>195</v>
      </c>
      <c r="O866" s="65" t="n">
        <v>14</v>
      </c>
      <c r="P866" s="60" t="s">
        <v>210</v>
      </c>
      <c r="Q866" s="62"/>
      <c r="R866" s="65" t="n">
        <f aca="false">IF(CA866=1,0,IFERROR(VLOOKUP(BY866,'Gebinde-Kategorie'!$A$5:$N$45,13,0)+0,0))</f>
        <v>26</v>
      </c>
      <c r="S866" s="66"/>
      <c r="T866" s="67" t="s">
        <v>317</v>
      </c>
      <c r="U866" s="67"/>
      <c r="V866" s="67"/>
      <c r="W866" s="60"/>
      <c r="X866" s="62"/>
      <c r="Y866" s="62"/>
      <c r="Z866" s="60" t="n">
        <v>3</v>
      </c>
      <c r="AA866" s="60" t="n">
        <f aca="false">IF(A866="","",IF(AND(Parameter!$B$21="Ja",ISNUMBER(W866)),W866,IF(AND(Parameter!$E$27="Ja",ISNUMBER(Z866),CD866&lt;&gt;"Nein"),Z866,IF(CD866="2+3",IF(ISNUMBER(SEARCH("grosser Artikel",BV866)),2,IFERROR(VLOOKUP(BY866,Parameter!$F$35:$G$64,2,0),2)),IF(OR(CD866="Nein",CD866=""),"-",CD866)))))</f>
        <v>3</v>
      </c>
      <c r="AB866" s="67"/>
      <c r="AC866" s="68"/>
      <c r="AD866" s="62" t="n">
        <f aca="false">AW866</f>
        <v>202</v>
      </c>
      <c r="AE866" s="62" t="n">
        <f aca="false">MAX(AW866,H866)</f>
        <v>202</v>
      </c>
      <c r="AF866" s="69"/>
      <c r="AG866" s="62" t="n">
        <f aca="false">IF(LEFT(Cockpit!$C$5,1)="A",H866,IF(Parameter!$E$30="MAX-Bestand",IF(CI866=1,CJ866,IF(LEFT(Cockpit!$C$5,1)="B",AM866,MAX(AM866,H866))),ROUNDUP(AK866,0)))</f>
        <v>196</v>
      </c>
      <c r="AH866" s="62" t="n">
        <f aca="false">IF(CA866=1,0,ROUNDUP(AG866/BZ866,0))</f>
        <v>1</v>
      </c>
      <c r="AI866" s="64" t="n">
        <f aca="false">IF(CR866&gt;0,CR866*MAX(1,AG866/X866),IF(CA866=1,IF(AG866&lt;=0,0,CE866*MAX(1,IF(H866&gt;0,AG866/H866,1))),IF(R866&gt;0,AH866/R866,0))/MAX(0.1,N(Parameter!$M$21)))</f>
        <v>0.0384615384615385</v>
      </c>
      <c r="AJ866" s="62" t="n">
        <f aca="false">AI866*CC866</f>
        <v>5.96153846153846</v>
      </c>
      <c r="AK866" s="63" t="n">
        <f aca="false">IF(LEFT(Cockpit!$C$5,1)="A",H866,IF(CI866=1,(CL866+CJ866)/2,IF(LEFT(Cockpit!$C$5,1)="B",(CL866+AM866)/2,MAX((CL866+AM866)/2,H866))))</f>
        <v>196</v>
      </c>
      <c r="AL866" s="62" t="n">
        <f aca="false">AK866*G866</f>
        <v>21.56</v>
      </c>
      <c r="AM866" s="62" t="n">
        <f aca="false">ROUNDUP(CL866+MAX(CM866,2*(J866/IF(CH866&gt;0,CH866,MAX(0.1,N(Cockpit!$C$6)))-CL866)),0)</f>
        <v>202</v>
      </c>
      <c r="AN866" s="63" t="n">
        <f aca="false">IF(AJ866&gt;0,J866/AJ866,-1)</f>
        <v>32.8774193548387</v>
      </c>
      <c r="AO866" s="63" t="n">
        <f aca="false">IF(AND(OR(CG866="L1",CG866="L23",CG866="LIFT"),AJ866&gt;0),SUMIFS($AJ$7:$AJ$1843,$CG$7:$CG$1843,CG866,$AN$7:$AN$1843,"&gt;"&amp;AN866)+SUMIFS($AJ$7:$AJ$1843,$CG$7:$CG$1843,CG866,$AN$7:$AN$1843,AN866,$BX$7:$BX$1843,"&lt;="&amp;BX866),"")</f>
        <v>1346.44917582418</v>
      </c>
      <c r="AP866" s="70" t="n">
        <f aca="false">IF(AO866="",0,MAX(0,MIN(1,(IF(CG866="L1",Parameter!$H$5,IF(CG866="L23",Parameter!$H$6+Parameter!$H$7,Parameter!$H$5+Parameter!$H$6+Parameter!$H$7))-(AO866-AJ866))/AJ866)))</f>
        <v>1</v>
      </c>
      <c r="AQ866" s="62" t="n">
        <f aca="false">IF(LEFT(Cockpit!$I$5,1)="A",H866,IF(Parameter!$E$30="MAX-Bestand",IF(CI866=1,CJ866,IF(LEFT(Cockpit!$I$5,1)="B",AW866,MAX(AW866,H866))),ROUNDUP(AU866,0)))</f>
        <v>196</v>
      </c>
      <c r="AR866" s="62" t="n">
        <f aca="false">IF(CA866=1,0,ROUNDUP(AQ866/BZ866,0))</f>
        <v>1</v>
      </c>
      <c r="AS866" s="64" t="n">
        <f aca="false">IF(CR866&gt;0,CR866*MAX(1,AQ866/X866),IF(CA866=1,IF(AQ866&lt;=0,0,CE866*MAX(1,IF(H866&gt;0,AQ866/H866,1))),IF(R866&gt;0,AR866/R866,0))/MAX(0.1,N(Parameter!$M$21)))</f>
        <v>0.0384615384615385</v>
      </c>
      <c r="AT866" s="62" t="n">
        <f aca="false">AS866*CC866</f>
        <v>5.96153846153846</v>
      </c>
      <c r="AU866" s="63" t="n">
        <f aca="false">IF(LEFT(Cockpit!$I$5,1)="A",H866,IF(CI866=1,(CL866+CJ866)/2,IF(LEFT(Cockpit!$I$5,1)="B",(CL866+AW866)/2,MAX((CL866+AW866)/2,H866))))</f>
        <v>196</v>
      </c>
      <c r="AV866" s="62" t="n">
        <f aca="false">AU866*G866</f>
        <v>21.56</v>
      </c>
      <c r="AW866" s="62" t="n">
        <f aca="false">ROUNDUP(CL866+MAX(CM866,2*(J866/IF(CH866&gt;0,CH866,MAX(0.1,N(Cockpit!$I$6)))-CL866)),0)</f>
        <v>202</v>
      </c>
      <c r="AX866" s="63" t="n">
        <f aca="false">IF(AT866&gt;0,J866/AT866,-1)</f>
        <v>32.8774193548387</v>
      </c>
      <c r="AY866" s="63" t="n">
        <f aca="false">IF(AND(OR(CG866="L1",CG866="L23",CG866="LIFT"),AT866&gt;0),SUMIFS($AT$7:$AT$1843,$CG$7:$CG$1843,CG866,$AX$7:$AX$1843,"&gt;"&amp;AX866)+SUMIFS($AT$7:$AT$1843,$CG$7:$CG$1843,CG866,$AX$7:$AX$1843,AX866,$BX$7:$BX$1843,"&lt;="&amp;BX866),"")</f>
        <v>1739.7152014652</v>
      </c>
      <c r="AZ866" s="70" t="n">
        <f aca="false">IF(AY866="",0,MAX(0,MIN(1,(IF(CG866="L1",Parameter!$H$5,IF(CG866="L23",Parameter!$H$6+Parameter!$H$7,Parameter!$H$5+Parameter!$H$6+Parameter!$H$7))-(AY866-AT866))/AT866)))</f>
        <v>1</v>
      </c>
      <c r="BA866" s="62" t="n">
        <f aca="false">IF(LEFT(Cockpit!$O$5,1)="A",H866,IF(Parameter!$E$30="MAX-Bestand",IF(CI866=1,CJ866,IF(LEFT(Cockpit!$O$5,1)="B",BG866,MAX(BG866,H866))),ROUNDUP(BE866,0)))</f>
        <v>105</v>
      </c>
      <c r="BB866" s="62" t="n">
        <f aca="false">IF(CA866=1,0,ROUNDUP(BA866/BZ866,0))</f>
        <v>1</v>
      </c>
      <c r="BC866" s="64" t="n">
        <f aca="false">IF(CR866&gt;0,CR866*MAX(1,BA866/X866),IF(CA866=1,IF(BA866&lt;=0,0,CE866*MAX(1,IF(H866&gt;0,BA866/H866,1))),IF(R866&gt;0,BB866/R866,0))/MAX(0.1,N(Parameter!$M$21)))</f>
        <v>0.0384615384615385</v>
      </c>
      <c r="BD866" s="62" t="n">
        <f aca="false">BC866*CC866</f>
        <v>5.96153846153846</v>
      </c>
      <c r="BE866" s="63" t="n">
        <f aca="false">IF(LEFT(Cockpit!$O$5,1)="A",H866,IF(CI866=1,(CL866+CJ866)/2,IF(LEFT(Cockpit!$O$5,1)="B",(CL866+BG866)/2,MAX((CL866+BG866)/2,H866))))</f>
        <v>104.5</v>
      </c>
      <c r="BF866" s="62" t="n">
        <f aca="false">BE866*G866</f>
        <v>11.495</v>
      </c>
      <c r="BG866" s="62" t="n">
        <f aca="false">ROUNDUP(CL866+MAX(CM866,2*(J866/IF(CH866&gt;0,CH866,MAX(0.1,N(Cockpit!$O$6)))-CL866)),0)</f>
        <v>202</v>
      </c>
      <c r="BH866" s="63" t="n">
        <f aca="false">IF(BD866&gt;0,J866/BD866,-1)</f>
        <v>32.8774193548387</v>
      </c>
      <c r="BI866" s="63" t="n">
        <f aca="false">IF(AND(OR(CG866="L1",CG866="L23",CG866="LIFT"),BD866&gt;0),SUMIFS($BD$7:$BD$1843,$CG$7:$CG$1843,CG866,$BH$7:$BH$1843,"&gt;"&amp;BH866)+SUMIFS($BD$7:$BD$1843,$CG$7:$CG$1843,CG866,$BH$7:$BH$1843,BH866,$BX$7:$BX$1843,"&lt;="&amp;BX866),"")</f>
        <v>1679.39102564103</v>
      </c>
      <c r="BJ866" s="70" t="n">
        <f aca="false">IF(BI866="",0,MAX(0,MIN(1,(IF(CG866="L1",Parameter!$H$5,IF(CG866="L23",Parameter!$H$6+Parameter!$H$7,Parameter!$H$5+Parameter!$H$6+Parameter!$H$7))-(BI866-BD866))/BD866)))</f>
        <v>1</v>
      </c>
      <c r="BK866" s="60" t="str">
        <f aca="false">IF(AJ866&lt;=0,"",IF(CG866="Aussen","Aussenlager",IF(CG866="-","Nicht im Lift",IF(AP866&gt;=1,"Lift",IF(AP866&lt;=0,"Aussenlager","teilweise")))))</f>
        <v>Lift</v>
      </c>
      <c r="BL866" s="60" t="str">
        <f aca="false">IF(AT866&lt;=0,"",IF(CG866="Aussen","Aussenlager",IF(CG866="-","Nicht im Lift",IF(AZ866&gt;=1,"Lift",IF(AZ866&lt;=0,"Aussenlager","teilweise")))))</f>
        <v>Lift</v>
      </c>
      <c r="BM866" s="60" t="str">
        <f aca="false">IF(BD866&lt;=0,"",IF(CG866="Aussen","Aussenlager",IF(CG866="-","Nicht im Lift",IF(BJ866&gt;=1,"Lift",IF(BJ866&lt;=0,"Aussenlager","teilweise")))))</f>
        <v>Lift</v>
      </c>
      <c r="BN866" s="60" t="str">
        <f aca="false">IF(A866="","",IF(BW866=1,"Neu; ","")&amp;IF(AND(BW866=0,BR866&lt;0),"negativer Bestand (Export "&amp;BR866&amp;"); ","")&amp;IF(J866&lt;=0,"Kein Verbrauch; ","")&amp;IF(CR866&gt;0,"Lift "&amp;W866&amp;" lt. Liftbericht (Fach "&amp;X866&amp;" Stk); ",IF(CB866=1,"Gebinde geschätzt ("&amp;T866&amp;"); ",IF(CA866=1,"Lose – Tablare geschätzt; ","")))&amp;IF(H866&gt;AW866,"Überbestand "&amp;ROUND(H866-AW866,0)&amp;" Stk / CHF "&amp;ROUND((H866-AW866)*G866,0)&amp;"; ","")&amp;IF(AND(CI866=1,CJ866&lt;CK866),"MAX &lt; MB+LG; ","")&amp;IF(AND(CQ866&gt;0,CP866*10&gt;CQ866),"zu hoch für Tablar; ","")&amp;IF(AND(BW866=0,OR(CI866=1,AB866&lt;&gt;"",U866&lt;&gt;"",V866&lt;&gt;"",AC866&lt;&gt;"")),"manuell übersteuert; ","")&amp;IF(AND(CA866=0,R866=0),"Gebinde unbekannt / Stellmass fehlt; ","")&amp;IF(AND(CA866=0,N(V866)&lt;=0,N(Q866)&lt;=0),"Menge pro Gebinde fehlt (Ist = 1 Gebinde); ","")&amp;BV866)</f>
        <v>negativer Bestand (Export -196); Gebinde geschätzt (Klein); Menge pro Gebinde fehlt (Ist = 1 Gebinde); </v>
      </c>
      <c r="BO866" s="60"/>
      <c r="BP866" s="60"/>
      <c r="BQ866" s="67"/>
      <c r="BR866" s="62" t="n">
        <v>-196</v>
      </c>
      <c r="BS866" s="62" t="n">
        <v>392</v>
      </c>
      <c r="BT866" s="61" t="n">
        <v>-21.56</v>
      </c>
      <c r="BU866" s="62" t="n">
        <v>196</v>
      </c>
      <c r="BV866" s="60"/>
      <c r="BW866" s="65" t="n">
        <v>0</v>
      </c>
      <c r="BX866" s="65" t="n">
        <v>866</v>
      </c>
      <c r="BY866" s="60" t="str">
        <f aca="false">IF(U866&lt;&gt;"",UPPER(TRIM(U866)),IF(CB866=1,UPPER(VLOOKUP(T866,Parameter!$I$27:$K$29,2,0)),IF(P866="","LOSE",P866)))</f>
        <v>S51</v>
      </c>
      <c r="BZ866" s="62" t="n">
        <f aca="false">IF(BY866="LOSE",1,IF(N(V866)&gt;0,V866,IF(CB866=1,MAX(1,N(VLOOKUP(T866,Parameter!$I$27:$K$29,3,0)),H866,N(N866)),IF(N(Q866)&gt;0,Q866,MAX(1,H866)))))</f>
        <v>196</v>
      </c>
      <c r="CA866" s="65" t="n">
        <f aca="false">IF(BY866="LOSE",1,0)</f>
        <v>0</v>
      </c>
      <c r="CB866" s="65" t="n">
        <f aca="false">IF(AND(U866="",OR(P866="",P866="LOSE"),T866&lt;&gt;"",N(S866)&lt;=0,ISNUMBER(MATCH(T866,Parameter!$I$27:$I$29,0))),1,0)</f>
        <v>1</v>
      </c>
      <c r="CC866" s="65" t="n">
        <f aca="false">IF(CR866&gt;0,INDEX(Parameter!$H$5:$H$7,W866)/INDEX(Parameter!$E$5:$E$7,W866),IF(AND(CA866=0,N(IFERROR(VLOOKUP(BY866,'Gebinde-Kategorie'!$A$5:$N$45,14,0),0))&gt;0),VLOOKUP(BY866,'Gebinde-Kategorie'!$A$5:$N$45,14,0)*10+Parameter!$M$23,Parameter!$M$24))</f>
        <v>155</v>
      </c>
      <c r="CD866" s="60" t="str">
        <f aca="false">IF(AND(Parameter!$B$19="Ja",E866&lt;&gt;"",ISNUMBER(MATCH(E866,Parameter!$I$35:$I$52,0))),VLOOKUP(E866,Parameter!$I$35:$J$52,2,0),IFERROR(VLOOKUP(D866,Parameter!$A$35:$C$64,2,0),"Nein"))</f>
        <v>2+3</v>
      </c>
      <c r="CE866" s="64" t="n">
        <f aca="false">IF(CA866=0,0,IF(N(S866)&gt;0,S866,IFERROR(VLOOKUP(D866,Parameter!$A$35:$C$64,3,0)+0,0)))</f>
        <v>0</v>
      </c>
      <c r="CF866" s="60" t="n">
        <f aca="false">IF(AB866&lt;&gt;"",AB866,AA866)</f>
        <v>3</v>
      </c>
      <c r="CG866" s="60" t="str">
        <f aca="false">IF(OR(CF866=1,CF866=2,CF866=3),IF(Parameter!$E$27="Ja","LIFT",IF(CF866=1,"L1","L23")),IF(CF866="Aussen","Aussen","-"))</f>
        <v>LIFT</v>
      </c>
      <c r="CH866" s="71" t="n">
        <f aca="false">IF(N(AC866)&gt;0,AC866,0)</f>
        <v>0</v>
      </c>
      <c r="CI866" s="65" t="n">
        <f aca="false">IF(ISNUMBER(AF866),1,0)</f>
        <v>0</v>
      </c>
      <c r="CJ866" s="62" t="n">
        <f aca="false">N(AF866)</f>
        <v>0</v>
      </c>
      <c r="CK866" s="62" t="n">
        <f aca="false">N(M866)+N(N866)</f>
        <v>202</v>
      </c>
      <c r="CL866" s="62" t="n">
        <f aca="false">N(M866)</f>
        <v>7</v>
      </c>
      <c r="CM866" s="62" t="n">
        <f aca="false">N(N866)</f>
        <v>195</v>
      </c>
      <c r="CN866" s="62" t="n">
        <f aca="false">ROUNDUP(H866/BZ866,0)</f>
        <v>1</v>
      </c>
      <c r="CO866" s="62" t="n">
        <f aca="false">ROUNDUP(CJ866/BZ866,0)</f>
        <v>0</v>
      </c>
      <c r="CP866" s="65" t="n">
        <f aca="false">IF(CA866=1,0,IFERROR(VLOOKUP(BY866,'Gebinde-Kategorie'!$A$5:$N$45,5,0)+0,0))</f>
        <v>11</v>
      </c>
      <c r="CQ866" s="65" t="n">
        <f aca="false">IFERROR(IF(OR(CF866=1,CF866=2,CF866=3),N(INDEX(Parameter!$I$5:$I$7,CF866)),0),0)</f>
        <v>0</v>
      </c>
      <c r="CR866" s="64" t="n">
        <f aca="false">IF(AND(Parameter!$B$21="Ja",ISNUMBER(W866),N(X866)&gt;0),IFERROR(N(INDEX(Parameter!$L$5:$L$7,W866))*INDEX(Parameter!$E$5:$E$7,W866)*X866/SUMIFS($X$7:$X$1843,$W$7:$W$1843,W866),0),0)</f>
        <v>0</v>
      </c>
      <c r="CS866" s="62" t="n">
        <f aca="false">IF(AND(OR(CG866="L1",CG866="L23",CG866="LIFT"),H866&gt;0),CC866*IF(CR866&gt;0,CR866*MAX(1,H866/X866),IF(CA866=1,CE866,IF(R866&gt;0,CN866/R866,0))/MAX(0.1,N(Parameter!$M$21))),"")</f>
        <v>5.96153846153846</v>
      </c>
      <c r="CT866" s="64" t="n">
        <f aca="false">IF(CS866="","",J866/H866)</f>
        <v>1</v>
      </c>
      <c r="CU866" s="62" t="n">
        <f aca="false">IF(CS866="","",H866*G866)</f>
        <v>21.56</v>
      </c>
      <c r="CV866" s="63" t="n">
        <f aca="false">IF(CS866="","",(CL866+ROUNDUP(CL866+MAX(CM866,2*(J866/MAX(0.1,N(Einkauf!$C$6))-CL866)),0))/2)</f>
        <v>104.5</v>
      </c>
      <c r="CW866" s="62" t="n">
        <f aca="false">IF(CS866="","",MAX(0,H866-CV866)*G866)</f>
        <v>10.065</v>
      </c>
      <c r="CX866" s="62" t="n">
        <f aca="false">IF(CS866="","",CS866*MAX(0,1-CV866/H866))</f>
        <v>2.78306514913658</v>
      </c>
      <c r="CY866" s="64" t="n">
        <f aca="false">IF(CS866="","",PERCENTRANK($CS$7:$CS$1843,CS866)+PERCENTRANK($CU$7:$CU$1843,CU866)+1-PERCENTRANK($CT$7:$CT$1843,CT866))</f>
        <v>0.8034</v>
      </c>
      <c r="CZ866" s="72" t="n">
        <f aca="false">IF(CS866="","",CHOOSE(MATCH(Einkauf!$C$5,Parameter!$G$23:$G$27,0),CY866,CS866,CU866,-CT866,CW866)+ROW()/1000000000)</f>
        <v>0.803400866</v>
      </c>
    </row>
    <row r="867" customFormat="false" ht="15" hidden="false" customHeight="false" outlineLevel="0" collapsed="false">
      <c r="A867" s="60" t="s">
        <v>1690</v>
      </c>
      <c r="B867" s="60" t="s">
        <v>1141</v>
      </c>
      <c r="C867" s="60" t="s">
        <v>206</v>
      </c>
      <c r="D867" s="60" t="s">
        <v>226</v>
      </c>
      <c r="E867" s="60"/>
      <c r="F867" s="60" t="s">
        <v>260</v>
      </c>
      <c r="G867" s="61" t="n">
        <v>10.9</v>
      </c>
      <c r="H867" s="62" t="n">
        <f aca="false">MAX(0,IF(AND(Parameter!$B$21="Ja",ISNUMBER(Y867)),Y867,IF(Parameter!$B$20="Jahresanfang 2025 + Export",BS867+BR867,BR867)))</f>
        <v>54</v>
      </c>
      <c r="I867" s="62" t="n">
        <f aca="false">H867*G867</f>
        <v>588.6</v>
      </c>
      <c r="J867" s="62" t="n">
        <f aca="false">BU867*Parameter!$B$18</f>
        <v>1</v>
      </c>
      <c r="K867" s="63" t="n">
        <v>55</v>
      </c>
      <c r="L867" s="64" t="n">
        <v>0.0181818181818182</v>
      </c>
      <c r="M867" s="62" t="n">
        <v>0</v>
      </c>
      <c r="N867" s="62" t="n">
        <v>1</v>
      </c>
      <c r="O867" s="65" t="n">
        <v>70</v>
      </c>
      <c r="P867" s="60" t="s">
        <v>344</v>
      </c>
      <c r="Q867" s="62" t="n">
        <v>54</v>
      </c>
      <c r="R867" s="65" t="n">
        <f aca="false">IF(CA867=1,0,IFERROR(VLOOKUP(BY867,'Gebinde-Kategorie'!$A$5:$N$45,13,0)+0,0))</f>
        <v>26</v>
      </c>
      <c r="S867" s="66"/>
      <c r="T867" s="67"/>
      <c r="U867" s="67"/>
      <c r="V867" s="67"/>
      <c r="W867" s="60"/>
      <c r="X867" s="62"/>
      <c r="Y867" s="62"/>
      <c r="Z867" s="60" t="n">
        <v>3</v>
      </c>
      <c r="AA867" s="60" t="n">
        <f aca="false">IF(A867="","",IF(AND(Parameter!$B$21="Ja",ISNUMBER(W867)),W867,IF(AND(Parameter!$E$27="Ja",ISNUMBER(Z867),CD867&lt;&gt;"Nein"),Z867,IF(CD867="2+3",IF(ISNUMBER(SEARCH("grosser Artikel",BV867)),2,IFERROR(VLOOKUP(BY867,Parameter!$F$35:$G$64,2,0),2)),IF(OR(CD867="Nein",CD867=""),"-",CD867)))))</f>
        <v>3</v>
      </c>
      <c r="AB867" s="67"/>
      <c r="AC867" s="68"/>
      <c r="AD867" s="62" t="n">
        <f aca="false">AW867</f>
        <v>1</v>
      </c>
      <c r="AE867" s="62" t="n">
        <f aca="false">MAX(AW867,H867)</f>
        <v>54</v>
      </c>
      <c r="AF867" s="69"/>
      <c r="AG867" s="62" t="n">
        <f aca="false">IF(LEFT(Cockpit!$C$5,1)="A",H867,IF(Parameter!$E$30="MAX-Bestand",IF(CI867=1,CJ867,IF(LEFT(Cockpit!$C$5,1)="B",AM867,MAX(AM867,H867))),ROUNDUP(AK867,0)))</f>
        <v>54</v>
      </c>
      <c r="AH867" s="62" t="n">
        <f aca="false">IF(CA867=1,0,ROUNDUP(AG867/BZ867,0))</f>
        <v>1</v>
      </c>
      <c r="AI867" s="64" t="n">
        <f aca="false">IF(CR867&gt;0,CR867*MAX(1,AG867/X867),IF(CA867=1,IF(AG867&lt;=0,0,CE867*MAX(1,IF(H867&gt;0,AG867/H867,1))),IF(R867&gt;0,AH867/R867,0))/MAX(0.1,N(Parameter!$M$21)))</f>
        <v>0.0384615384615385</v>
      </c>
      <c r="AJ867" s="62" t="n">
        <f aca="false">AI867*CC867</f>
        <v>5.96153846153846</v>
      </c>
      <c r="AK867" s="63" t="n">
        <f aca="false">IF(LEFT(Cockpit!$C$5,1)="A",H867,IF(CI867=1,(CL867+CJ867)/2,IF(LEFT(Cockpit!$C$5,1)="B",(CL867+AM867)/2,MAX((CL867+AM867)/2,H867))))</f>
        <v>54</v>
      </c>
      <c r="AL867" s="62" t="n">
        <f aca="false">AK867*G867</f>
        <v>588.6</v>
      </c>
      <c r="AM867" s="62" t="n">
        <f aca="false">ROUNDUP(CL867+MAX(CM867,2*(J867/IF(CH867&gt;0,CH867,MAX(0.1,N(Cockpit!$C$6)))-CL867)),0)</f>
        <v>1</v>
      </c>
      <c r="AN867" s="63" t="n">
        <f aca="false">IF(AJ867&gt;0,J867/AJ867,-1)</f>
        <v>0.167741935483871</v>
      </c>
      <c r="AO867" s="63" t="n">
        <f aca="false">IF(AND(OR(CG867="L1",CG867="L23",CG867="LIFT"),AJ867&gt;0),SUMIFS($AJ$7:$AJ$1843,$CG$7:$CG$1843,CG867,$AN$7:$AN$1843,"&gt;"&amp;AN867)+SUMIFS($AJ$7:$AJ$1843,$CG$7:$CG$1843,CG867,$AN$7:$AN$1843,AN867,$BX$7:$BX$1843,"&lt;="&amp;BX867),"")</f>
        <v>12727.4260285383</v>
      </c>
      <c r="AP867" s="70" t="n">
        <f aca="false">IF(AO867="",0,MAX(0,MIN(1,(IF(CG867="L1",Parameter!$H$5,IF(CG867="L23",Parameter!$H$6+Parameter!$H$7,Parameter!$H$5+Parameter!$H$6+Parameter!$H$7))-(AO867-AJ867))/AJ867)))</f>
        <v>1</v>
      </c>
      <c r="AQ867" s="62" t="n">
        <f aca="false">IF(LEFT(Cockpit!$I$5,1)="A",H867,IF(Parameter!$E$30="MAX-Bestand",IF(CI867=1,CJ867,IF(LEFT(Cockpit!$I$5,1)="B",AW867,MAX(AW867,H867))),ROUNDUP(AU867,0)))</f>
        <v>54</v>
      </c>
      <c r="AR867" s="62" t="n">
        <f aca="false">IF(CA867=1,0,ROUNDUP(AQ867/BZ867,0))</f>
        <v>1</v>
      </c>
      <c r="AS867" s="64" t="n">
        <f aca="false">IF(CR867&gt;0,CR867*MAX(1,AQ867/X867),IF(CA867=1,IF(AQ867&lt;=0,0,CE867*MAX(1,IF(H867&gt;0,AQ867/H867,1))),IF(R867&gt;0,AR867/R867,0))/MAX(0.1,N(Parameter!$M$21)))</f>
        <v>0.0384615384615385</v>
      </c>
      <c r="AT867" s="62" t="n">
        <f aca="false">AS867*CC867</f>
        <v>5.96153846153846</v>
      </c>
      <c r="AU867" s="63" t="n">
        <f aca="false">IF(LEFT(Cockpit!$I$5,1)="A",H867,IF(CI867=1,(CL867+CJ867)/2,IF(LEFT(Cockpit!$I$5,1)="B",(CL867+AW867)/2,MAX((CL867+AW867)/2,H867))))</f>
        <v>54</v>
      </c>
      <c r="AV867" s="62" t="n">
        <f aca="false">AU867*G867</f>
        <v>588.6</v>
      </c>
      <c r="AW867" s="62" t="n">
        <f aca="false">ROUNDUP(CL867+MAX(CM867,2*(J867/IF(CH867&gt;0,CH867,MAX(0.1,N(Cockpit!$I$6)))-CL867)),0)</f>
        <v>1</v>
      </c>
      <c r="AX867" s="63" t="n">
        <f aca="false">IF(AT867&gt;0,J867/AT867,-1)</f>
        <v>0.167741935483871</v>
      </c>
      <c r="AY867" s="63" t="n">
        <f aca="false">IF(AND(OR(CG867="L1",CG867="L23",CG867="LIFT"),AT867&gt;0),SUMIFS($AT$7:$AT$1843,$CG$7:$CG$1843,CG867,$AX$7:$AX$1843,"&gt;"&amp;AX867)+SUMIFS($AT$7:$AT$1843,$CG$7:$CG$1843,CG867,$AX$7:$AX$1843,AX867,$BX$7:$BX$1843,"&lt;="&amp;BX867),"")</f>
        <v>15656.1066849817</v>
      </c>
      <c r="AZ867" s="70" t="n">
        <f aca="false">IF(AY867="",0,MAX(0,MIN(1,(IF(CG867="L1",Parameter!$H$5,IF(CG867="L23",Parameter!$H$6+Parameter!$H$7,Parameter!$H$5+Parameter!$H$6+Parameter!$H$7))-(AY867-AT867))/AT867)))</f>
        <v>1</v>
      </c>
      <c r="BA867" s="62" t="n">
        <f aca="false">IF(LEFT(Cockpit!$O$5,1)="A",H867,IF(Parameter!$E$30="MAX-Bestand",IF(CI867=1,CJ867,IF(LEFT(Cockpit!$O$5,1)="B",BG867,MAX(BG867,H867))),ROUNDUP(BE867,0)))</f>
        <v>1</v>
      </c>
      <c r="BB867" s="62" t="n">
        <f aca="false">IF(CA867=1,0,ROUNDUP(BA867/BZ867,0))</f>
        <v>1</v>
      </c>
      <c r="BC867" s="64" t="n">
        <f aca="false">IF(CR867&gt;0,CR867*MAX(1,BA867/X867),IF(CA867=1,IF(BA867&lt;=0,0,CE867*MAX(1,IF(H867&gt;0,BA867/H867,1))),IF(R867&gt;0,BB867/R867,0))/MAX(0.1,N(Parameter!$M$21)))</f>
        <v>0.0384615384615385</v>
      </c>
      <c r="BD867" s="62" t="n">
        <f aca="false">BC867*CC867</f>
        <v>5.96153846153846</v>
      </c>
      <c r="BE867" s="63" t="n">
        <f aca="false">IF(LEFT(Cockpit!$O$5,1)="A",H867,IF(CI867=1,(CL867+CJ867)/2,IF(LEFT(Cockpit!$O$5,1)="B",(CL867+BG867)/2,MAX((CL867+BG867)/2,H867))))</f>
        <v>0.5</v>
      </c>
      <c r="BF867" s="62" t="n">
        <f aca="false">BE867*G867</f>
        <v>5.45</v>
      </c>
      <c r="BG867" s="62" t="n">
        <f aca="false">ROUNDUP(CL867+MAX(CM867,2*(J867/IF(CH867&gt;0,CH867,MAX(0.1,N(Cockpit!$O$6)))-CL867)),0)</f>
        <v>1</v>
      </c>
      <c r="BH867" s="63" t="n">
        <f aca="false">IF(BD867&gt;0,J867/BD867,-1)</f>
        <v>0.167741935483871</v>
      </c>
      <c r="BI867" s="63" t="n">
        <f aca="false">IF(AND(OR(CG867="L1",CG867="L23",CG867="LIFT"),BD867&gt;0),SUMIFS($BD$7:$BD$1843,$CG$7:$CG$1843,CG867,$BH$7:$BH$1843,"&gt;"&amp;BH867)+SUMIFS($BD$7:$BD$1843,$CG$7:$CG$1843,CG867,$BH$7:$BH$1843,BH867,$BX$7:$BX$1843,"&lt;="&amp;BX867),"")</f>
        <v>13458.4065132137</v>
      </c>
      <c r="BJ867" s="70" t="n">
        <f aca="false">IF(BI867="",0,MAX(0,MIN(1,(IF(CG867="L1",Parameter!$H$5,IF(CG867="L23",Parameter!$H$6+Parameter!$H$7,Parameter!$H$5+Parameter!$H$6+Parameter!$H$7))-(BI867-BD867))/BD867)))</f>
        <v>1</v>
      </c>
      <c r="BK867" s="60" t="str">
        <f aca="false">IF(AJ867&lt;=0,"",IF(CG867="Aussen","Aussenlager",IF(CG867="-","Nicht im Lift",IF(AP867&gt;=1,"Lift",IF(AP867&lt;=0,"Aussenlager","teilweise")))))</f>
        <v>Lift</v>
      </c>
      <c r="BL867" s="60" t="str">
        <f aca="false">IF(AT867&lt;=0,"",IF(CG867="Aussen","Aussenlager",IF(CG867="-","Nicht im Lift",IF(AZ867&gt;=1,"Lift",IF(AZ867&lt;=0,"Aussenlager","teilweise")))))</f>
        <v>Lift</v>
      </c>
      <c r="BM867" s="60" t="str">
        <f aca="false">IF(BD867&lt;=0,"",IF(CG867="Aussen","Aussenlager",IF(CG867="-","Nicht im Lift",IF(BJ867&gt;=1,"Lift",IF(BJ867&lt;=0,"Aussenlager","teilweise")))))</f>
        <v>Lift</v>
      </c>
      <c r="BN867" s="60" t="str">
        <f aca="false">IF(A867="","",IF(BW867=1,"Neu; ","")&amp;IF(AND(BW867=0,BR867&lt;0),"negativer Bestand (Export "&amp;BR867&amp;"); ","")&amp;IF(J867&lt;=0,"Kein Verbrauch; ","")&amp;IF(CR867&gt;0,"Lift "&amp;W867&amp;" lt. Liftbericht (Fach "&amp;X867&amp;" Stk); ",IF(CB867=1,"Gebinde geschätzt ("&amp;T867&amp;"); ",IF(CA867=1,"Lose – Tablare geschätzt; ","")))&amp;IF(H867&gt;AW867,"Überbestand "&amp;ROUND(H867-AW867,0)&amp;" Stk / CHF "&amp;ROUND((H867-AW867)*G867,0)&amp;"; ","")&amp;IF(AND(CI867=1,CJ867&lt;CK867),"MAX &lt; MB+LG; ","")&amp;IF(AND(CQ867&gt;0,CP867*10&gt;CQ867),"zu hoch für Tablar; ","")&amp;IF(AND(BW867=0,OR(CI867=1,AB867&lt;&gt;"",U867&lt;&gt;"",V867&lt;&gt;"",AC867&lt;&gt;"")),"manuell übersteuert; ","")&amp;IF(AND(CA867=0,R867=0),"Gebinde unbekannt / Stellmass fehlt; ","")&amp;IF(AND(CA867=0,N(V867)&lt;=0,N(Q867)&lt;=0),"Menge pro Gebinde fehlt (Ist = 1 Gebinde); ","")&amp;BV867)</f>
        <v>negativer Bestand (Export -2); Überbestand 53 Stk / CHF 578; i.o</v>
      </c>
      <c r="BO867" s="60"/>
      <c r="BP867" s="60"/>
      <c r="BQ867" s="67"/>
      <c r="BR867" s="62" t="n">
        <v>-2</v>
      </c>
      <c r="BS867" s="62" t="n">
        <v>56</v>
      </c>
      <c r="BT867" s="61" t="n">
        <v>-21.8</v>
      </c>
      <c r="BU867" s="62" t="n">
        <v>1</v>
      </c>
      <c r="BV867" s="60" t="s">
        <v>578</v>
      </c>
      <c r="BW867" s="65" t="n">
        <v>0</v>
      </c>
      <c r="BX867" s="65" t="n">
        <v>867</v>
      </c>
      <c r="BY867" s="60" t="str">
        <f aca="false">IF(U867&lt;&gt;"",UPPER(TRIM(U867)),IF(CB867=1,UPPER(VLOOKUP(T867,Parameter!$I$27:$K$29,2,0)),IF(P867="","LOSE",P867)))</f>
        <v>S51</v>
      </c>
      <c r="BZ867" s="62" t="n">
        <f aca="false">IF(BY867="LOSE",1,IF(N(V867)&gt;0,V867,IF(CB867=1,MAX(1,N(VLOOKUP(T867,Parameter!$I$27:$K$29,3,0)),H867,N(N867)),IF(N(Q867)&gt;0,Q867,MAX(1,H867)))))</f>
        <v>54</v>
      </c>
      <c r="CA867" s="65" t="n">
        <f aca="false">IF(BY867="LOSE",1,0)</f>
        <v>0</v>
      </c>
      <c r="CB867" s="65" t="n">
        <f aca="false">IF(AND(U867="",OR(P867="",P867="LOSE"),T867&lt;&gt;"",N(S867)&lt;=0,ISNUMBER(MATCH(T867,Parameter!$I$27:$I$29,0))),1,0)</f>
        <v>0</v>
      </c>
      <c r="CC867" s="65" t="n">
        <f aca="false">IF(CR867&gt;0,INDEX(Parameter!$H$5:$H$7,W867)/INDEX(Parameter!$E$5:$E$7,W867),IF(AND(CA867=0,N(IFERROR(VLOOKUP(BY867,'Gebinde-Kategorie'!$A$5:$N$45,14,0),0))&gt;0),VLOOKUP(BY867,'Gebinde-Kategorie'!$A$5:$N$45,14,0)*10+Parameter!$M$23,Parameter!$M$24))</f>
        <v>155</v>
      </c>
      <c r="CD867" s="60" t="str">
        <f aca="false">IF(AND(Parameter!$B$19="Ja",E867&lt;&gt;"",ISNUMBER(MATCH(E867,Parameter!$I$35:$I$52,0))),VLOOKUP(E867,Parameter!$I$35:$J$52,2,0),IFERROR(VLOOKUP(D867,Parameter!$A$35:$C$64,2,0),"Nein"))</f>
        <v>2+3</v>
      </c>
      <c r="CE867" s="64" t="n">
        <f aca="false">IF(CA867=0,0,IF(N(S867)&gt;0,S867,IFERROR(VLOOKUP(D867,Parameter!$A$35:$C$64,3,0)+0,0)))</f>
        <v>0</v>
      </c>
      <c r="CF867" s="60" t="n">
        <f aca="false">IF(AB867&lt;&gt;"",AB867,AA867)</f>
        <v>3</v>
      </c>
      <c r="CG867" s="60" t="str">
        <f aca="false">IF(OR(CF867=1,CF867=2,CF867=3),IF(Parameter!$E$27="Ja","LIFT",IF(CF867=1,"L1","L23")),IF(CF867="Aussen","Aussen","-"))</f>
        <v>LIFT</v>
      </c>
      <c r="CH867" s="71" t="n">
        <f aca="false">IF(N(AC867)&gt;0,AC867,0)</f>
        <v>0</v>
      </c>
      <c r="CI867" s="65" t="n">
        <f aca="false">IF(ISNUMBER(AF867),1,0)</f>
        <v>0</v>
      </c>
      <c r="CJ867" s="62" t="n">
        <f aca="false">N(AF867)</f>
        <v>0</v>
      </c>
      <c r="CK867" s="62" t="n">
        <f aca="false">N(M867)+N(N867)</f>
        <v>1</v>
      </c>
      <c r="CL867" s="62" t="n">
        <f aca="false">N(M867)</f>
        <v>0</v>
      </c>
      <c r="CM867" s="62" t="n">
        <f aca="false">N(N867)</f>
        <v>1</v>
      </c>
      <c r="CN867" s="62" t="n">
        <f aca="false">ROUNDUP(H867/BZ867,0)</f>
        <v>1</v>
      </c>
      <c r="CO867" s="62" t="n">
        <f aca="false">ROUNDUP(CJ867/BZ867,0)</f>
        <v>0</v>
      </c>
      <c r="CP867" s="65" t="n">
        <f aca="false">IF(CA867=1,0,IFERROR(VLOOKUP(BY867,'Gebinde-Kategorie'!$A$5:$N$45,5,0)+0,0))</f>
        <v>11</v>
      </c>
      <c r="CQ867" s="65" t="n">
        <f aca="false">IFERROR(IF(OR(CF867=1,CF867=2,CF867=3),N(INDEX(Parameter!$I$5:$I$7,CF867)),0),0)</f>
        <v>0</v>
      </c>
      <c r="CR867" s="64" t="n">
        <f aca="false">IF(AND(Parameter!$B$21="Ja",ISNUMBER(W867),N(X867)&gt;0),IFERROR(N(INDEX(Parameter!$L$5:$L$7,W867))*INDEX(Parameter!$E$5:$E$7,W867)*X867/SUMIFS($X$7:$X$1843,$W$7:$W$1843,W867),0),0)</f>
        <v>0</v>
      </c>
      <c r="CS867" s="62" t="n">
        <f aca="false">IF(AND(OR(CG867="L1",CG867="L23",CG867="LIFT"),H867&gt;0),CC867*IF(CR867&gt;0,CR867*MAX(1,H867/X867),IF(CA867=1,CE867,IF(R867&gt;0,CN867/R867,0))/MAX(0.1,N(Parameter!$M$21))),"")</f>
        <v>5.96153846153846</v>
      </c>
      <c r="CT867" s="64" t="n">
        <f aca="false">IF(CS867="","",J867/H867)</f>
        <v>0.0185185185185185</v>
      </c>
      <c r="CU867" s="62" t="n">
        <f aca="false">IF(CS867="","",H867*G867)</f>
        <v>588.6</v>
      </c>
      <c r="CV867" s="63" t="n">
        <f aca="false">IF(CS867="","",(CL867+ROUNDUP(CL867+MAX(CM867,2*(J867/MAX(0.1,N(Einkauf!$C$6))-CL867)),0))/2)</f>
        <v>0.5</v>
      </c>
      <c r="CW867" s="62" t="n">
        <f aca="false">IF(CS867="","",MAX(0,H867-CV867)*G867)</f>
        <v>583.15</v>
      </c>
      <c r="CX867" s="62" t="n">
        <f aca="false">IF(CS867="","",CS867*MAX(0,1-CV867/H867))</f>
        <v>5.90633903133903</v>
      </c>
      <c r="CY867" s="64" t="n">
        <f aca="false">IF(CS867="","",PERCENTRANK($CS$7:$CS$1843,CS867)+PERCENTRANK($CU$7:$CU$1843,CU867)+1-PERCENTRANK($CT$7:$CT$1843,CT867))</f>
        <v>1.522</v>
      </c>
      <c r="CZ867" s="72" t="n">
        <f aca="false">IF(CS867="","",CHOOSE(MATCH(Einkauf!$C$5,Parameter!$G$23:$G$27,0),CY867,CS867,CU867,-CT867,CW867)+ROW()/1000000000)</f>
        <v>1.522000867</v>
      </c>
    </row>
    <row r="868" customFormat="false" ht="15" hidden="false" customHeight="false" outlineLevel="0" collapsed="false">
      <c r="A868" s="60" t="s">
        <v>1691</v>
      </c>
      <c r="B868" s="60" t="s">
        <v>1692</v>
      </c>
      <c r="C868" s="60" t="s">
        <v>206</v>
      </c>
      <c r="D868" s="60" t="s">
        <v>226</v>
      </c>
      <c r="E868" s="60" t="s">
        <v>227</v>
      </c>
      <c r="F868" s="60" t="s">
        <v>260</v>
      </c>
      <c r="G868" s="61" t="n">
        <v>39.04</v>
      </c>
      <c r="H868" s="62" t="n">
        <f aca="false">MAX(0,IF(AND(Parameter!$B$21="Ja",ISNUMBER(Y868)),Y868,IF(Parameter!$B$20="Jahresanfang 2025 + Export",BS868+BR868,BR868)))</f>
        <v>2</v>
      </c>
      <c r="I868" s="62" t="n">
        <f aca="false">H868*G868</f>
        <v>78.08</v>
      </c>
      <c r="J868" s="62" t="n">
        <f aca="false">BU868*Parameter!$B$18</f>
        <v>6</v>
      </c>
      <c r="K868" s="63" t="n">
        <v>5</v>
      </c>
      <c r="L868" s="64" t="n">
        <v>1.2</v>
      </c>
      <c r="M868" s="62" t="n">
        <v>0</v>
      </c>
      <c r="N868" s="62" t="n">
        <v>5</v>
      </c>
      <c r="O868" s="65" t="n">
        <v>21</v>
      </c>
      <c r="P868" s="60" t="s">
        <v>518</v>
      </c>
      <c r="Q868" s="62" t="n">
        <v>10</v>
      </c>
      <c r="R868" s="65" t="n">
        <f aca="false">IF(CA868=1,0,IFERROR(VLOOKUP(BY868,'Gebinde-Kategorie'!$A$5:$N$45,13,0)+0,0))</f>
        <v>52</v>
      </c>
      <c r="S868" s="66"/>
      <c r="T868" s="67"/>
      <c r="U868" s="67"/>
      <c r="V868" s="67"/>
      <c r="W868" s="60"/>
      <c r="X868" s="62"/>
      <c r="Y868" s="62"/>
      <c r="Z868" s="60" t="n">
        <v>1</v>
      </c>
      <c r="AA868" s="60" t="n">
        <f aca="false">IF(A868="","",IF(AND(Parameter!$B$21="Ja",ISNUMBER(W868)),W868,IF(AND(Parameter!$E$27="Ja",ISNUMBER(Z868),CD868&lt;&gt;"Nein"),Z868,IF(CD868="2+3",IF(ISNUMBER(SEARCH("grosser Artikel",BV868)),2,IFERROR(VLOOKUP(BY868,Parameter!$F$35:$G$64,2,0),2)),IF(OR(CD868="Nein",CD868=""),"-",CD868)))))</f>
        <v>1</v>
      </c>
      <c r="AB868" s="67"/>
      <c r="AC868" s="68"/>
      <c r="AD868" s="62" t="n">
        <f aca="false">AW868</f>
        <v>5</v>
      </c>
      <c r="AE868" s="62" t="n">
        <f aca="false">MAX(AW868,H868)</f>
        <v>5</v>
      </c>
      <c r="AF868" s="69"/>
      <c r="AG868" s="62" t="n">
        <f aca="false">IF(LEFT(Cockpit!$C$5,1)="A",H868,IF(Parameter!$E$30="MAX-Bestand",IF(CI868=1,CJ868,IF(LEFT(Cockpit!$C$5,1)="B",AM868,MAX(AM868,H868))),ROUNDUP(AK868,0)))</f>
        <v>2</v>
      </c>
      <c r="AH868" s="62" t="n">
        <f aca="false">IF(CA868=1,0,ROUNDUP(AG868/BZ868,0))</f>
        <v>1</v>
      </c>
      <c r="AI868" s="64" t="n">
        <f aca="false">IF(CR868&gt;0,CR868*MAX(1,AG868/X868),IF(CA868=1,IF(AG868&lt;=0,0,CE868*MAX(1,IF(H868&gt;0,AG868/H868,1))),IF(R868&gt;0,AH868/R868,0))/MAX(0.1,N(Parameter!$M$21)))</f>
        <v>0.0192307692307692</v>
      </c>
      <c r="AJ868" s="62" t="n">
        <f aca="false">AI868*CC868</f>
        <v>2.98076923076923</v>
      </c>
      <c r="AK868" s="63" t="n">
        <f aca="false">IF(LEFT(Cockpit!$C$5,1)="A",H868,IF(CI868=1,(CL868+CJ868)/2,IF(LEFT(Cockpit!$C$5,1)="B",(CL868+AM868)/2,MAX((CL868+AM868)/2,H868))))</f>
        <v>2</v>
      </c>
      <c r="AL868" s="62" t="n">
        <f aca="false">AK868*G868</f>
        <v>78.08</v>
      </c>
      <c r="AM868" s="62" t="n">
        <f aca="false">ROUNDUP(CL868+MAX(CM868,2*(J868/IF(CH868&gt;0,CH868,MAX(0.1,N(Cockpit!$C$6)))-CL868)),0)</f>
        <v>5</v>
      </c>
      <c r="AN868" s="63" t="n">
        <f aca="false">IF(AJ868&gt;0,J868/AJ868,-1)</f>
        <v>2.01290322580645</v>
      </c>
      <c r="AO868" s="63" t="n">
        <f aca="false">IF(AND(OR(CG868="L1",CG868="L23",CG868="LIFT"),AJ868&gt;0),SUMIFS($AJ$7:$AJ$1843,$CG$7:$CG$1843,CG868,$AN$7:$AN$1843,"&gt;"&amp;AN868)+SUMIFS($AJ$7:$AJ$1843,$CG$7:$CG$1843,CG868,$AN$7:$AN$1843,AN868,$BX$7:$BX$1843,"&lt;="&amp;BX868),"")</f>
        <v>5787.86904761905</v>
      </c>
      <c r="AP868" s="70" t="n">
        <f aca="false">IF(AO868="",0,MAX(0,MIN(1,(IF(CG868="L1",Parameter!$H$5,IF(CG868="L23",Parameter!$H$6+Parameter!$H$7,Parameter!$H$5+Parameter!$H$6+Parameter!$H$7))-(AO868-AJ868))/AJ868)))</f>
        <v>1</v>
      </c>
      <c r="AQ868" s="62" t="n">
        <f aca="false">IF(LEFT(Cockpit!$I$5,1)="A",H868,IF(Parameter!$E$30="MAX-Bestand",IF(CI868=1,CJ868,IF(LEFT(Cockpit!$I$5,1)="B",AW868,MAX(AW868,H868))),ROUNDUP(AU868,0)))</f>
        <v>3</v>
      </c>
      <c r="AR868" s="62" t="n">
        <f aca="false">IF(CA868=1,0,ROUNDUP(AQ868/BZ868,0))</f>
        <v>1</v>
      </c>
      <c r="AS868" s="64" t="n">
        <f aca="false">IF(CR868&gt;0,CR868*MAX(1,AQ868/X868),IF(CA868=1,IF(AQ868&lt;=0,0,CE868*MAX(1,IF(H868&gt;0,AQ868/H868,1))),IF(R868&gt;0,AR868/R868,0))/MAX(0.1,N(Parameter!$M$21)))</f>
        <v>0.0192307692307692</v>
      </c>
      <c r="AT868" s="62" t="n">
        <f aca="false">AS868*CC868</f>
        <v>2.98076923076923</v>
      </c>
      <c r="AU868" s="63" t="n">
        <f aca="false">IF(LEFT(Cockpit!$I$5,1)="A",H868,IF(CI868=1,(CL868+CJ868)/2,IF(LEFT(Cockpit!$I$5,1)="B",(CL868+AW868)/2,MAX((CL868+AW868)/2,H868))))</f>
        <v>2.5</v>
      </c>
      <c r="AV868" s="62" t="n">
        <f aca="false">AU868*G868</f>
        <v>97.6</v>
      </c>
      <c r="AW868" s="62" t="n">
        <f aca="false">ROUNDUP(CL868+MAX(CM868,2*(J868/IF(CH868&gt;0,CH868,MAX(0.1,N(Cockpit!$I$6)))-CL868)),0)</f>
        <v>5</v>
      </c>
      <c r="AX868" s="63" t="n">
        <f aca="false">IF(AT868&gt;0,J868/AT868,-1)</f>
        <v>2.01290322580645</v>
      </c>
      <c r="AY868" s="63" t="n">
        <f aca="false">IF(AND(OR(CG868="L1",CG868="L23",CG868="LIFT"),AT868&gt;0),SUMIFS($AT$7:$AT$1843,$CG$7:$CG$1843,CG868,$AX$7:$AX$1843,"&gt;"&amp;AX868)+SUMIFS($AT$7:$AT$1843,$CG$7:$CG$1843,CG868,$AX$7:$AX$1843,AX868,$BX$7:$BX$1843,"&lt;="&amp;BX868),"")</f>
        <v>7155.80860805861</v>
      </c>
      <c r="AZ868" s="70" t="n">
        <f aca="false">IF(AY868="",0,MAX(0,MIN(1,(IF(CG868="L1",Parameter!$H$5,IF(CG868="L23",Parameter!$H$6+Parameter!$H$7,Parameter!$H$5+Parameter!$H$6+Parameter!$H$7))-(AY868-AT868))/AT868)))</f>
        <v>1</v>
      </c>
      <c r="BA868" s="62" t="n">
        <f aca="false">IF(LEFT(Cockpit!$O$5,1)="A",H868,IF(Parameter!$E$30="MAX-Bestand",IF(CI868=1,CJ868,IF(LEFT(Cockpit!$O$5,1)="B",BG868,MAX(BG868,H868))),ROUNDUP(BE868,0)))</f>
        <v>3</v>
      </c>
      <c r="BB868" s="62" t="n">
        <f aca="false">IF(CA868=1,0,ROUNDUP(BA868/BZ868,0))</f>
        <v>1</v>
      </c>
      <c r="BC868" s="64" t="n">
        <f aca="false">IF(CR868&gt;0,CR868*MAX(1,BA868/X868),IF(CA868=1,IF(BA868&lt;=0,0,CE868*MAX(1,IF(H868&gt;0,BA868/H868,1))),IF(R868&gt;0,BB868/R868,0))/MAX(0.1,N(Parameter!$M$21)))</f>
        <v>0.0192307692307692</v>
      </c>
      <c r="BD868" s="62" t="n">
        <f aca="false">BC868*CC868</f>
        <v>2.98076923076923</v>
      </c>
      <c r="BE868" s="63" t="n">
        <f aca="false">IF(LEFT(Cockpit!$O$5,1)="A",H868,IF(CI868=1,(CL868+CJ868)/2,IF(LEFT(Cockpit!$O$5,1)="B",(CL868+BG868)/2,MAX((CL868+BG868)/2,H868))))</f>
        <v>2.5</v>
      </c>
      <c r="BF868" s="62" t="n">
        <f aca="false">BE868*G868</f>
        <v>97.6</v>
      </c>
      <c r="BG868" s="62" t="n">
        <f aca="false">ROUNDUP(CL868+MAX(CM868,2*(J868/IF(CH868&gt;0,CH868,MAX(0.1,N(Cockpit!$O$6)))-CL868)),0)</f>
        <v>5</v>
      </c>
      <c r="BH868" s="63" t="n">
        <f aca="false">IF(BD868&gt;0,J868/BD868,-1)</f>
        <v>2.01290322580645</v>
      </c>
      <c r="BI868" s="63" t="n">
        <f aca="false">IF(AND(OR(CG868="L1",CG868="L23",CG868="LIFT"),BD868&gt;0),SUMIFS($BD$7:$BD$1843,$CG$7:$CG$1843,CG868,$BH$7:$BH$1843,"&gt;"&amp;BH868)+SUMIFS($BD$7:$BD$1843,$CG$7:$CG$1843,CG868,$BH$7:$BH$1843,BH868,$BX$7:$BX$1843,"&lt;="&amp;BX868),"")</f>
        <v>5866.58333333333</v>
      </c>
      <c r="BJ868" s="70" t="n">
        <f aca="false">IF(BI868="",0,MAX(0,MIN(1,(IF(CG868="L1",Parameter!$H$5,IF(CG868="L23",Parameter!$H$6+Parameter!$H$7,Parameter!$H$5+Parameter!$H$6+Parameter!$H$7))-(BI868-BD868))/BD868)))</f>
        <v>1</v>
      </c>
      <c r="BK868" s="60" t="str">
        <f aca="false">IF(AJ868&lt;=0,"",IF(CG868="Aussen","Aussenlager",IF(CG868="-","Nicht im Lift",IF(AP868&gt;=1,"Lift",IF(AP868&lt;=0,"Aussenlager","teilweise")))))</f>
        <v>Lift</v>
      </c>
      <c r="BL868" s="60" t="str">
        <f aca="false">IF(AT868&lt;=0,"",IF(CG868="Aussen","Aussenlager",IF(CG868="-","Nicht im Lift",IF(AZ868&gt;=1,"Lift",IF(AZ868&lt;=0,"Aussenlager","teilweise")))))</f>
        <v>Lift</v>
      </c>
      <c r="BM868" s="60" t="str">
        <f aca="false">IF(BD868&lt;=0,"",IF(CG868="Aussen","Aussenlager",IF(CG868="-","Nicht im Lift",IF(BJ868&gt;=1,"Lift",IF(BJ868&lt;=0,"Aussenlager","teilweise")))))</f>
        <v>Lift</v>
      </c>
      <c r="BN868" s="60" t="str">
        <f aca="false">IF(A868="","",IF(BW868=1,"Neu; ","")&amp;IF(AND(BW868=0,BR868&lt;0),"negativer Bestand (Export "&amp;BR868&amp;"); ","")&amp;IF(J868&lt;=0,"Kein Verbrauch; ","")&amp;IF(CR868&gt;0,"Lift "&amp;W868&amp;" lt. Liftbericht (Fach "&amp;X868&amp;" Stk); ",IF(CB868=1,"Gebinde geschätzt ("&amp;T868&amp;"); ",IF(CA868=1,"Lose – Tablare geschätzt; ","")))&amp;IF(H868&gt;AW868,"Überbestand "&amp;ROUND(H868-AW868,0)&amp;" Stk / CHF "&amp;ROUND((H868-AW868)*G868,0)&amp;"; ","")&amp;IF(AND(CI868=1,CJ868&lt;CK868),"MAX &lt; MB+LG; ","")&amp;IF(AND(CQ868&gt;0,CP868*10&gt;CQ868),"zu hoch für Tablar; ","")&amp;IF(AND(BW868=0,OR(CI868=1,AB868&lt;&gt;"",U868&lt;&gt;"",V868&lt;&gt;"",AC868&lt;&gt;"")),"manuell übersteuert; ","")&amp;IF(AND(CA868=0,R868=0),"Gebinde unbekannt / Stellmass fehlt; ","")&amp;IF(AND(CA868=0,N(V868)&lt;=0,N(Q868)&lt;=0),"Menge pro Gebinde fehlt (Ist = 1 Gebinde); ","")&amp;BV868)</f>
        <v>negativer Bestand (Export -1); </v>
      </c>
      <c r="BO868" s="60"/>
      <c r="BP868" s="60"/>
      <c r="BQ868" s="67"/>
      <c r="BR868" s="62" t="n">
        <v>-1</v>
      </c>
      <c r="BS868" s="62" t="n">
        <v>3</v>
      </c>
      <c r="BT868" s="61" t="n">
        <v>-21.88</v>
      </c>
      <c r="BU868" s="62" t="n">
        <v>6</v>
      </c>
      <c r="BV868" s="60"/>
      <c r="BW868" s="65" t="n">
        <v>0</v>
      </c>
      <c r="BX868" s="65" t="n">
        <v>868</v>
      </c>
      <c r="BY868" s="60" t="str">
        <f aca="false">IF(U868&lt;&gt;"",UPPER(TRIM(U868)),IF(CB868=1,UPPER(VLOOKUP(T868,Parameter!$I$27:$K$29,2,0)),IF(P868="","LOSE",P868)))</f>
        <v>S33</v>
      </c>
      <c r="BZ868" s="62" t="n">
        <f aca="false">IF(BY868="LOSE",1,IF(N(V868)&gt;0,V868,IF(CB868=1,MAX(1,N(VLOOKUP(T868,Parameter!$I$27:$K$29,3,0)),H868,N(N868)),IF(N(Q868)&gt;0,Q868,MAX(1,H868)))))</f>
        <v>10</v>
      </c>
      <c r="CA868" s="65" t="n">
        <f aca="false">IF(BY868="LOSE",1,0)</f>
        <v>0</v>
      </c>
      <c r="CB868" s="65" t="n">
        <f aca="false">IF(AND(U868="",OR(P868="",P868="LOSE"),T868&lt;&gt;"",N(S868)&lt;=0,ISNUMBER(MATCH(T868,Parameter!$I$27:$I$29,0))),1,0)</f>
        <v>0</v>
      </c>
      <c r="CC868" s="65" t="n">
        <f aca="false">IF(CR868&gt;0,INDEX(Parameter!$H$5:$H$7,W868)/INDEX(Parameter!$E$5:$E$7,W868),IF(AND(CA868=0,N(IFERROR(VLOOKUP(BY868,'Gebinde-Kategorie'!$A$5:$N$45,14,0),0))&gt;0),VLOOKUP(BY868,'Gebinde-Kategorie'!$A$5:$N$45,14,0)*10+Parameter!$M$23,Parameter!$M$24))</f>
        <v>155</v>
      </c>
      <c r="CD868" s="60" t="str">
        <f aca="false">IF(AND(Parameter!$B$19="Ja",E868&lt;&gt;"",ISNUMBER(MATCH(E868,Parameter!$I$35:$I$52,0))),VLOOKUP(E868,Parameter!$I$35:$J$52,2,0),IFERROR(VLOOKUP(D868,Parameter!$A$35:$C$64,2,0),"Nein"))</f>
        <v>2+3</v>
      </c>
      <c r="CE868" s="64" t="n">
        <f aca="false">IF(CA868=0,0,IF(N(S868)&gt;0,S868,IFERROR(VLOOKUP(D868,Parameter!$A$35:$C$64,3,0)+0,0)))</f>
        <v>0</v>
      </c>
      <c r="CF868" s="60" t="n">
        <f aca="false">IF(AB868&lt;&gt;"",AB868,AA868)</f>
        <v>1</v>
      </c>
      <c r="CG868" s="60" t="str">
        <f aca="false">IF(OR(CF868=1,CF868=2,CF868=3),IF(Parameter!$E$27="Ja","LIFT",IF(CF868=1,"L1","L23")),IF(CF868="Aussen","Aussen","-"))</f>
        <v>LIFT</v>
      </c>
      <c r="CH868" s="71" t="n">
        <f aca="false">IF(N(AC868)&gt;0,AC868,0)</f>
        <v>0</v>
      </c>
      <c r="CI868" s="65" t="n">
        <f aca="false">IF(ISNUMBER(AF868),1,0)</f>
        <v>0</v>
      </c>
      <c r="CJ868" s="62" t="n">
        <f aca="false">N(AF868)</f>
        <v>0</v>
      </c>
      <c r="CK868" s="62" t="n">
        <f aca="false">N(M868)+N(N868)</f>
        <v>5</v>
      </c>
      <c r="CL868" s="62" t="n">
        <f aca="false">N(M868)</f>
        <v>0</v>
      </c>
      <c r="CM868" s="62" t="n">
        <f aca="false">N(N868)</f>
        <v>5</v>
      </c>
      <c r="CN868" s="62" t="n">
        <f aca="false">ROUNDUP(H868/BZ868,0)</f>
        <v>1</v>
      </c>
      <c r="CO868" s="62" t="n">
        <f aca="false">ROUNDUP(CJ868/BZ868,0)</f>
        <v>0</v>
      </c>
      <c r="CP868" s="65" t="n">
        <f aca="false">IF(CA868=1,0,IFERROR(VLOOKUP(BY868,'Gebinde-Kategorie'!$A$5:$N$45,5,0)+0,0))</f>
        <v>8</v>
      </c>
      <c r="CQ868" s="65" t="n">
        <f aca="false">IFERROR(IF(OR(CF868=1,CF868=2,CF868=3),N(INDEX(Parameter!$I$5:$I$7,CF868)),0),0)</f>
        <v>0</v>
      </c>
      <c r="CR868" s="64" t="n">
        <f aca="false">IF(AND(Parameter!$B$21="Ja",ISNUMBER(W868),N(X868)&gt;0),IFERROR(N(INDEX(Parameter!$L$5:$L$7,W868))*INDEX(Parameter!$E$5:$E$7,W868)*X868/SUMIFS($X$7:$X$1843,$W$7:$W$1843,W868),0),0)</f>
        <v>0</v>
      </c>
      <c r="CS868" s="62" t="n">
        <f aca="false">IF(AND(OR(CG868="L1",CG868="L23",CG868="LIFT"),H868&gt;0),CC868*IF(CR868&gt;0,CR868*MAX(1,H868/X868),IF(CA868=1,CE868,IF(R868&gt;0,CN868/R868,0))/MAX(0.1,N(Parameter!$M$21))),"")</f>
        <v>2.98076923076923</v>
      </c>
      <c r="CT868" s="64" t="n">
        <f aca="false">IF(CS868="","",J868/H868)</f>
        <v>3</v>
      </c>
      <c r="CU868" s="62" t="n">
        <f aca="false">IF(CS868="","",H868*G868)</f>
        <v>78.08</v>
      </c>
      <c r="CV868" s="63" t="n">
        <f aca="false">IF(CS868="","",(CL868+ROUNDUP(CL868+MAX(CM868,2*(J868/MAX(0.1,N(Einkauf!$C$6))-CL868)),0))/2)</f>
        <v>2.5</v>
      </c>
      <c r="CW868" s="62" t="n">
        <f aca="false">IF(CS868="","",MAX(0,H868-CV868)*G868)</f>
        <v>0</v>
      </c>
      <c r="CX868" s="62" t="n">
        <f aca="false">IF(CS868="","",CS868*MAX(0,1-CV868/H868))</f>
        <v>0</v>
      </c>
      <c r="CY868" s="64" t="n">
        <f aca="false">IF(CS868="","",PERCENTRANK($CS$7:$CS$1843,CS868)+PERCENTRANK($CU$7:$CU$1843,CU868)+1-PERCENTRANK($CT$7:$CT$1843,CT868))</f>
        <v>0.523</v>
      </c>
      <c r="CZ868" s="72" t="n">
        <f aca="false">IF(CS868="","",CHOOSE(MATCH(Einkauf!$C$5,Parameter!$G$23:$G$27,0),CY868,CS868,CU868,-CT868,CW868)+ROW()/1000000000)</f>
        <v>0.523000868</v>
      </c>
    </row>
    <row r="869" customFormat="false" ht="15" hidden="false" customHeight="false" outlineLevel="0" collapsed="false">
      <c r="A869" s="60" t="s">
        <v>1693</v>
      </c>
      <c r="B869" s="60" t="s">
        <v>631</v>
      </c>
      <c r="C869" s="60" t="s">
        <v>206</v>
      </c>
      <c r="D869" s="60" t="s">
        <v>226</v>
      </c>
      <c r="E869" s="60"/>
      <c r="F869" s="60" t="s">
        <v>260</v>
      </c>
      <c r="G869" s="61" t="n">
        <v>2.2</v>
      </c>
      <c r="H869" s="62" t="n">
        <f aca="false">MAX(0,IF(AND(Parameter!$B$21="Ja",ISNUMBER(Y869)),Y869,IF(Parameter!$B$20="Jahresanfang 2025 + Export",BS869+BR869,BR869)))</f>
        <v>12</v>
      </c>
      <c r="I869" s="62" t="n">
        <f aca="false">H869*G869</f>
        <v>26.4</v>
      </c>
      <c r="J869" s="62" t="n">
        <f aca="false">BU869*Parameter!$B$18</f>
        <v>1</v>
      </c>
      <c r="K869" s="63" t="n">
        <v>21.5</v>
      </c>
      <c r="L869" s="64" t="n">
        <v>0.0465116279069767</v>
      </c>
      <c r="M869" s="62" t="n">
        <v>0</v>
      </c>
      <c r="N869" s="62" t="n">
        <v>1</v>
      </c>
      <c r="O869" s="65" t="n">
        <v>14</v>
      </c>
      <c r="P869" s="60" t="s">
        <v>443</v>
      </c>
      <c r="Q869" s="62" t="n">
        <v>22</v>
      </c>
      <c r="R869" s="65" t="n">
        <f aca="false">IF(CA869=1,0,IFERROR(VLOOKUP(BY869,'Gebinde-Kategorie'!$A$5:$N$45,13,0)+0,0))</f>
        <v>280</v>
      </c>
      <c r="S869" s="66"/>
      <c r="T869" s="67"/>
      <c r="U869" s="67"/>
      <c r="V869" s="67"/>
      <c r="W869" s="60"/>
      <c r="X869" s="62"/>
      <c r="Y869" s="62"/>
      <c r="Z869" s="60" t="n">
        <v>2</v>
      </c>
      <c r="AA869" s="60" t="n">
        <f aca="false">IF(A869="","",IF(AND(Parameter!$B$21="Ja",ISNUMBER(W869)),W869,IF(AND(Parameter!$E$27="Ja",ISNUMBER(Z869),CD869&lt;&gt;"Nein"),Z869,IF(CD869="2+3",IF(ISNUMBER(SEARCH("grosser Artikel",BV869)),2,IFERROR(VLOOKUP(BY869,Parameter!$F$35:$G$64,2,0),2)),IF(OR(CD869="Nein",CD869=""),"-",CD869)))))</f>
        <v>2</v>
      </c>
      <c r="AB869" s="67"/>
      <c r="AC869" s="68"/>
      <c r="AD869" s="62" t="n">
        <f aca="false">AW869</f>
        <v>1</v>
      </c>
      <c r="AE869" s="62" t="n">
        <f aca="false">MAX(AW869,H869)</f>
        <v>12</v>
      </c>
      <c r="AF869" s="69"/>
      <c r="AG869" s="62" t="n">
        <f aca="false">IF(LEFT(Cockpit!$C$5,1)="A",H869,IF(Parameter!$E$30="MAX-Bestand",IF(CI869=1,CJ869,IF(LEFT(Cockpit!$C$5,1)="B",AM869,MAX(AM869,H869))),ROUNDUP(AK869,0)))</f>
        <v>12</v>
      </c>
      <c r="AH869" s="62" t="n">
        <f aca="false">IF(CA869=1,0,ROUNDUP(AG869/BZ869,0))</f>
        <v>1</v>
      </c>
      <c r="AI869" s="64" t="n">
        <f aca="false">IF(CR869&gt;0,CR869*MAX(1,AG869/X869),IF(CA869=1,IF(AG869&lt;=0,0,CE869*MAX(1,IF(H869&gt;0,AG869/H869,1))),IF(R869&gt;0,AH869/R869,0))/MAX(0.1,N(Parameter!$M$21)))</f>
        <v>0.00357142857142857</v>
      </c>
      <c r="AJ869" s="62" t="n">
        <f aca="false">AI869*CC869</f>
        <v>0.553571428571429</v>
      </c>
      <c r="AK869" s="63" t="n">
        <f aca="false">IF(LEFT(Cockpit!$C$5,1)="A",H869,IF(CI869=1,(CL869+CJ869)/2,IF(LEFT(Cockpit!$C$5,1)="B",(CL869+AM869)/2,MAX((CL869+AM869)/2,H869))))</f>
        <v>12</v>
      </c>
      <c r="AL869" s="62" t="n">
        <f aca="false">AK869*G869</f>
        <v>26.4</v>
      </c>
      <c r="AM869" s="62" t="n">
        <f aca="false">ROUNDUP(CL869+MAX(CM869,2*(J869/IF(CH869&gt;0,CH869,MAX(0.1,N(Cockpit!$C$6)))-CL869)),0)</f>
        <v>1</v>
      </c>
      <c r="AN869" s="63" t="n">
        <f aca="false">IF(AJ869&gt;0,J869/AJ869,-1)</f>
        <v>1.80645161290323</v>
      </c>
      <c r="AO869" s="63" t="n">
        <f aca="false">IF(AND(OR(CG869="L1",CG869="L23",CG869="LIFT"),AJ869&gt;0),SUMIFS($AJ$7:$AJ$1843,$CG$7:$CG$1843,CG869,$AN$7:$AN$1843,"&gt;"&amp;AN869)+SUMIFS($AJ$7:$AJ$1843,$CG$7:$CG$1843,CG869,$AN$7:$AN$1843,AN869,$BX$7:$BX$1843,"&lt;="&amp;BX869),"")</f>
        <v>5966.45100732601</v>
      </c>
      <c r="AP869" s="70" t="n">
        <f aca="false">IF(AO869="",0,MAX(0,MIN(1,(IF(CG869="L1",Parameter!$H$5,IF(CG869="L23",Parameter!$H$6+Parameter!$H$7,Parameter!$H$5+Parameter!$H$6+Parameter!$H$7))-(AO869-AJ869))/AJ869)))</f>
        <v>1</v>
      </c>
      <c r="AQ869" s="62" t="n">
        <f aca="false">IF(LEFT(Cockpit!$I$5,1)="A",H869,IF(Parameter!$E$30="MAX-Bestand",IF(CI869=1,CJ869,IF(LEFT(Cockpit!$I$5,1)="B",AW869,MAX(AW869,H869))),ROUNDUP(AU869,0)))</f>
        <v>12</v>
      </c>
      <c r="AR869" s="62" t="n">
        <f aca="false">IF(CA869=1,0,ROUNDUP(AQ869/BZ869,0))</f>
        <v>1</v>
      </c>
      <c r="AS869" s="64" t="n">
        <f aca="false">IF(CR869&gt;0,CR869*MAX(1,AQ869/X869),IF(CA869=1,IF(AQ869&lt;=0,0,CE869*MAX(1,IF(H869&gt;0,AQ869/H869,1))),IF(R869&gt;0,AR869/R869,0))/MAX(0.1,N(Parameter!$M$21)))</f>
        <v>0.00357142857142857</v>
      </c>
      <c r="AT869" s="62" t="n">
        <f aca="false">AS869*CC869</f>
        <v>0.553571428571429</v>
      </c>
      <c r="AU869" s="63" t="n">
        <f aca="false">IF(LEFT(Cockpit!$I$5,1)="A",H869,IF(CI869=1,(CL869+CJ869)/2,IF(LEFT(Cockpit!$I$5,1)="B",(CL869+AW869)/2,MAX((CL869+AW869)/2,H869))))</f>
        <v>12</v>
      </c>
      <c r="AV869" s="62" t="n">
        <f aca="false">AU869*G869</f>
        <v>26.4</v>
      </c>
      <c r="AW869" s="62" t="n">
        <f aca="false">ROUNDUP(CL869+MAX(CM869,2*(J869/IF(CH869&gt;0,CH869,MAX(0.1,N(Cockpit!$I$6)))-CL869)),0)</f>
        <v>1</v>
      </c>
      <c r="AX869" s="63" t="n">
        <f aca="false">IF(AT869&gt;0,J869/AT869,-1)</f>
        <v>1.80645161290323</v>
      </c>
      <c r="AY869" s="63" t="n">
        <f aca="false">IF(AND(OR(CG869="L1",CG869="L23",CG869="LIFT"),AT869&gt;0),SUMIFS($AT$7:$AT$1843,$CG$7:$CG$1843,CG869,$AX$7:$AX$1843,"&gt;"&amp;AX869)+SUMIFS($AT$7:$AT$1843,$CG$7:$CG$1843,CG869,$AX$7:$AX$1843,AX869,$BX$7:$BX$1843,"&lt;="&amp;BX869),"")</f>
        <v>7404.52747252747</v>
      </c>
      <c r="AZ869" s="70" t="n">
        <f aca="false">IF(AY869="",0,MAX(0,MIN(1,(IF(CG869="L1",Parameter!$H$5,IF(CG869="L23",Parameter!$H$6+Parameter!$H$7,Parameter!$H$5+Parameter!$H$6+Parameter!$H$7))-(AY869-AT869))/AT869)))</f>
        <v>1</v>
      </c>
      <c r="BA869" s="62" t="n">
        <f aca="false">IF(LEFT(Cockpit!$O$5,1)="A",H869,IF(Parameter!$E$30="MAX-Bestand",IF(CI869=1,CJ869,IF(LEFT(Cockpit!$O$5,1)="B",BG869,MAX(BG869,H869))),ROUNDUP(BE869,0)))</f>
        <v>1</v>
      </c>
      <c r="BB869" s="62" t="n">
        <f aca="false">IF(CA869=1,0,ROUNDUP(BA869/BZ869,0))</f>
        <v>1</v>
      </c>
      <c r="BC869" s="64" t="n">
        <f aca="false">IF(CR869&gt;0,CR869*MAX(1,BA869/X869),IF(CA869=1,IF(BA869&lt;=0,0,CE869*MAX(1,IF(H869&gt;0,BA869/H869,1))),IF(R869&gt;0,BB869/R869,0))/MAX(0.1,N(Parameter!$M$21)))</f>
        <v>0.00357142857142857</v>
      </c>
      <c r="BD869" s="62" t="n">
        <f aca="false">BC869*CC869</f>
        <v>0.553571428571429</v>
      </c>
      <c r="BE869" s="63" t="n">
        <f aca="false">IF(LEFT(Cockpit!$O$5,1)="A",H869,IF(CI869=1,(CL869+CJ869)/2,IF(LEFT(Cockpit!$O$5,1)="B",(CL869+BG869)/2,MAX((CL869+BG869)/2,H869))))</f>
        <v>0.5</v>
      </c>
      <c r="BF869" s="62" t="n">
        <f aca="false">BE869*G869</f>
        <v>1.1</v>
      </c>
      <c r="BG869" s="62" t="n">
        <f aca="false">ROUNDUP(CL869+MAX(CM869,2*(J869/IF(CH869&gt;0,CH869,MAX(0.1,N(Cockpit!$O$6)))-CL869)),0)</f>
        <v>1</v>
      </c>
      <c r="BH869" s="63" t="n">
        <f aca="false">IF(BD869&gt;0,J869/BD869,-1)</f>
        <v>1.80645161290323</v>
      </c>
      <c r="BI869" s="63" t="n">
        <f aca="false">IF(AND(OR(CG869="L1",CG869="L23",CG869="LIFT"),BD869&gt;0),SUMIFS($BD$7:$BD$1843,$CG$7:$CG$1843,CG869,$BH$7:$BH$1843,"&gt;"&amp;BH869)+SUMIFS($BD$7:$BD$1843,$CG$7:$CG$1843,CG869,$BH$7:$BH$1843,BH869,$BX$7:$BX$1843,"&lt;="&amp;BX869),"")</f>
        <v>6092.44826007326</v>
      </c>
      <c r="BJ869" s="70" t="n">
        <f aca="false">IF(BI869="",0,MAX(0,MIN(1,(IF(CG869="L1",Parameter!$H$5,IF(CG869="L23",Parameter!$H$6+Parameter!$H$7,Parameter!$H$5+Parameter!$H$6+Parameter!$H$7))-(BI869-BD869))/BD869)))</f>
        <v>1</v>
      </c>
      <c r="BK869" s="60" t="str">
        <f aca="false">IF(AJ869&lt;=0,"",IF(CG869="Aussen","Aussenlager",IF(CG869="-","Nicht im Lift",IF(AP869&gt;=1,"Lift",IF(AP869&lt;=0,"Aussenlager","teilweise")))))</f>
        <v>Lift</v>
      </c>
      <c r="BL869" s="60" t="str">
        <f aca="false">IF(AT869&lt;=0,"",IF(CG869="Aussen","Aussenlager",IF(CG869="-","Nicht im Lift",IF(AZ869&gt;=1,"Lift",IF(AZ869&lt;=0,"Aussenlager","teilweise")))))</f>
        <v>Lift</v>
      </c>
      <c r="BM869" s="60" t="str">
        <f aca="false">IF(BD869&lt;=0,"",IF(CG869="Aussen","Aussenlager",IF(CG869="-","Nicht im Lift",IF(BJ869&gt;=1,"Lift",IF(BJ869&lt;=0,"Aussenlager","teilweise")))))</f>
        <v>Lift</v>
      </c>
      <c r="BN869" s="60" t="str">
        <f aca="false">IF(A869="","",IF(BW869=1,"Neu; ","")&amp;IF(AND(BW869=0,BR869&lt;0),"negativer Bestand (Export "&amp;BR869&amp;"); ","")&amp;IF(J869&lt;=0,"Kein Verbrauch; ","")&amp;IF(CR869&gt;0,"Lift "&amp;W869&amp;" lt. Liftbericht (Fach "&amp;X869&amp;" Stk); ",IF(CB869=1,"Gebinde geschätzt ("&amp;T869&amp;"); ",IF(CA869=1,"Lose – Tablare geschätzt; ","")))&amp;IF(H869&gt;AW869,"Überbestand "&amp;ROUND(H869-AW869,0)&amp;" Stk / CHF "&amp;ROUND((H869-AW869)*G869,0)&amp;"; ","")&amp;IF(AND(CI869=1,CJ869&lt;CK869),"MAX &lt; MB+LG; ","")&amp;IF(AND(CQ869&gt;0,CP869*10&gt;CQ869),"zu hoch für Tablar; ","")&amp;IF(AND(BW869=0,OR(CI869=1,AB869&lt;&gt;"",U869&lt;&gt;"",V869&lt;&gt;"",AC869&lt;&gt;"")),"manuell übersteuert; ","")&amp;IF(AND(CA869=0,R869=0),"Gebinde unbekannt / Stellmass fehlt; ","")&amp;IF(AND(CA869=0,N(V869)&lt;=0,N(Q869)&lt;=0),"Menge pro Gebinde fehlt (Ist = 1 Gebinde); ","")&amp;BV869)</f>
        <v>negativer Bestand (Export -10); Überbestand 11 Stk / CHF 24; </v>
      </c>
      <c r="BO869" s="60"/>
      <c r="BP869" s="60"/>
      <c r="BQ869" s="67"/>
      <c r="BR869" s="62" t="n">
        <v>-10</v>
      </c>
      <c r="BS869" s="62" t="n">
        <v>22</v>
      </c>
      <c r="BT869" s="61" t="n">
        <v>-22</v>
      </c>
      <c r="BU869" s="62" t="n">
        <v>1</v>
      </c>
      <c r="BV869" s="60"/>
      <c r="BW869" s="65" t="n">
        <v>0</v>
      </c>
      <c r="BX869" s="65" t="n">
        <v>869</v>
      </c>
      <c r="BY869" s="60" t="str">
        <f aca="false">IF(U869&lt;&gt;"",UPPER(TRIM(U869)),IF(CB869=1,UPPER(VLOOKUP(T869,Parameter!$I$27:$K$29,2,0)),IF(P869="","LOSE",P869)))</f>
        <v>S21</v>
      </c>
      <c r="BZ869" s="62" t="n">
        <f aca="false">IF(BY869="LOSE",1,IF(N(V869)&gt;0,V869,IF(CB869=1,MAX(1,N(VLOOKUP(T869,Parameter!$I$27:$K$29,3,0)),H869,N(N869)),IF(N(Q869)&gt;0,Q869,MAX(1,H869)))))</f>
        <v>22</v>
      </c>
      <c r="CA869" s="65" t="n">
        <f aca="false">IF(BY869="LOSE",1,0)</f>
        <v>0</v>
      </c>
      <c r="CB869" s="65" t="n">
        <f aca="false">IF(AND(U869="",OR(P869="",P869="LOSE"),T869&lt;&gt;"",N(S869)&lt;=0,ISNUMBER(MATCH(T869,Parameter!$I$27:$I$29,0))),1,0)</f>
        <v>0</v>
      </c>
      <c r="CC869" s="65" t="n">
        <f aca="false">IF(CR869&gt;0,INDEX(Parameter!$H$5:$H$7,W869)/INDEX(Parameter!$E$5:$E$7,W869),IF(AND(CA869=0,N(IFERROR(VLOOKUP(BY869,'Gebinde-Kategorie'!$A$5:$N$45,14,0),0))&gt;0),VLOOKUP(BY869,'Gebinde-Kategorie'!$A$5:$N$45,14,0)*10+Parameter!$M$23,Parameter!$M$24))</f>
        <v>155</v>
      </c>
      <c r="CD869" s="60" t="str">
        <f aca="false">IF(AND(Parameter!$B$19="Ja",E869&lt;&gt;"",ISNUMBER(MATCH(E869,Parameter!$I$35:$I$52,0))),VLOOKUP(E869,Parameter!$I$35:$J$52,2,0),IFERROR(VLOOKUP(D869,Parameter!$A$35:$C$64,2,0),"Nein"))</f>
        <v>2+3</v>
      </c>
      <c r="CE869" s="64" t="n">
        <f aca="false">IF(CA869=0,0,IF(N(S869)&gt;0,S869,IFERROR(VLOOKUP(D869,Parameter!$A$35:$C$64,3,0)+0,0)))</f>
        <v>0</v>
      </c>
      <c r="CF869" s="60" t="n">
        <f aca="false">IF(AB869&lt;&gt;"",AB869,AA869)</f>
        <v>2</v>
      </c>
      <c r="CG869" s="60" t="str">
        <f aca="false">IF(OR(CF869=1,CF869=2,CF869=3),IF(Parameter!$E$27="Ja","LIFT",IF(CF869=1,"L1","L23")),IF(CF869="Aussen","Aussen","-"))</f>
        <v>LIFT</v>
      </c>
      <c r="CH869" s="71" t="n">
        <f aca="false">IF(N(AC869)&gt;0,AC869,0)</f>
        <v>0</v>
      </c>
      <c r="CI869" s="65" t="n">
        <f aca="false">IF(ISNUMBER(AF869),1,0)</f>
        <v>0</v>
      </c>
      <c r="CJ869" s="62" t="n">
        <f aca="false">N(AF869)</f>
        <v>0</v>
      </c>
      <c r="CK869" s="62" t="n">
        <f aca="false">N(M869)+N(N869)</f>
        <v>1</v>
      </c>
      <c r="CL869" s="62" t="n">
        <f aca="false">N(M869)</f>
        <v>0</v>
      </c>
      <c r="CM869" s="62" t="n">
        <f aca="false">N(N869)</f>
        <v>1</v>
      </c>
      <c r="CN869" s="62" t="n">
        <f aca="false">ROUNDUP(H869/BZ869,0)</f>
        <v>1</v>
      </c>
      <c r="CO869" s="62" t="n">
        <f aca="false">ROUNDUP(CJ869/BZ869,0)</f>
        <v>0</v>
      </c>
      <c r="CP869" s="65" t="n">
        <f aca="false">IF(CA869=1,0,IFERROR(VLOOKUP(BY869,'Gebinde-Kategorie'!$A$5:$N$45,5,0)+0,0))</f>
        <v>8</v>
      </c>
      <c r="CQ869" s="65" t="n">
        <f aca="false">IFERROR(IF(OR(CF869=1,CF869=2,CF869=3),N(INDEX(Parameter!$I$5:$I$7,CF869)),0),0)</f>
        <v>0</v>
      </c>
      <c r="CR869" s="64" t="n">
        <f aca="false">IF(AND(Parameter!$B$21="Ja",ISNUMBER(W869),N(X869)&gt;0),IFERROR(N(INDEX(Parameter!$L$5:$L$7,W869))*INDEX(Parameter!$E$5:$E$7,W869)*X869/SUMIFS($X$7:$X$1843,$W$7:$W$1843,W869),0),0)</f>
        <v>0</v>
      </c>
      <c r="CS869" s="62" t="n">
        <f aca="false">IF(AND(OR(CG869="L1",CG869="L23",CG869="LIFT"),H869&gt;0),CC869*IF(CR869&gt;0,CR869*MAX(1,H869/X869),IF(CA869=1,CE869,IF(R869&gt;0,CN869/R869,0))/MAX(0.1,N(Parameter!$M$21))),"")</f>
        <v>0.553571428571429</v>
      </c>
      <c r="CT869" s="64" t="n">
        <f aca="false">IF(CS869="","",J869/H869)</f>
        <v>0.0833333333333333</v>
      </c>
      <c r="CU869" s="62" t="n">
        <f aca="false">IF(CS869="","",H869*G869)</f>
        <v>26.4</v>
      </c>
      <c r="CV869" s="63" t="n">
        <f aca="false">IF(CS869="","",(CL869+ROUNDUP(CL869+MAX(CM869,2*(J869/MAX(0.1,N(Einkauf!$C$6))-CL869)),0))/2)</f>
        <v>0.5</v>
      </c>
      <c r="CW869" s="62" t="n">
        <f aca="false">IF(CS869="","",MAX(0,H869-CV869)*G869)</f>
        <v>25.3</v>
      </c>
      <c r="CX869" s="62" t="n">
        <f aca="false">IF(CS869="","",CS869*MAX(0,1-CV869/H869))</f>
        <v>0.530505952380952</v>
      </c>
      <c r="CY869" s="64" t="n">
        <f aca="false">IF(CS869="","",PERCENTRANK($CS$7:$CS$1843,CS869)+PERCENTRANK($CU$7:$CU$1843,CU869)+1-PERCENTRANK($CT$7:$CT$1843,CT869))</f>
        <v>0.68</v>
      </c>
      <c r="CZ869" s="72" t="n">
        <f aca="false">IF(CS869="","",CHOOSE(MATCH(Einkauf!$C$5,Parameter!$G$23:$G$27,0),CY869,CS869,CU869,-CT869,CW869)+ROW()/1000000000)</f>
        <v>0.680000869</v>
      </c>
    </row>
    <row r="870" customFormat="false" ht="15" hidden="false" customHeight="false" outlineLevel="0" collapsed="false">
      <c r="A870" s="60" t="s">
        <v>1694</v>
      </c>
      <c r="B870" s="60" t="s">
        <v>1076</v>
      </c>
      <c r="C870" s="60" t="s">
        <v>206</v>
      </c>
      <c r="D870" s="60" t="s">
        <v>226</v>
      </c>
      <c r="E870" s="60"/>
      <c r="F870" s="60" t="s">
        <v>260</v>
      </c>
      <c r="G870" s="61" t="n">
        <v>7.13</v>
      </c>
      <c r="H870" s="62" t="n">
        <f aca="false">MAX(0,IF(AND(Parameter!$B$21="Ja",ISNUMBER(Y870)),Y870,IF(Parameter!$B$20="Jahresanfang 2025 + Export",BS870+BR870,BR870)))</f>
        <v>1</v>
      </c>
      <c r="I870" s="62" t="n">
        <f aca="false">H870*G870</f>
        <v>7.13</v>
      </c>
      <c r="J870" s="62" t="n">
        <f aca="false">BU870*Parameter!$B$18</f>
        <v>3</v>
      </c>
      <c r="K870" s="63" t="n">
        <v>3</v>
      </c>
      <c r="L870" s="64" t="n">
        <v>1</v>
      </c>
      <c r="M870" s="62" t="n">
        <v>0</v>
      </c>
      <c r="N870" s="62" t="n">
        <v>5</v>
      </c>
      <c r="O870" s="65" t="n">
        <v>28</v>
      </c>
      <c r="P870" s="60" t="s">
        <v>210</v>
      </c>
      <c r="Q870" s="62"/>
      <c r="R870" s="65" t="n">
        <f aca="false">IF(CA870=1,0,IFERROR(VLOOKUP(BY870,'Gebinde-Kategorie'!$A$5:$N$45,13,0)+0,0))</f>
        <v>26</v>
      </c>
      <c r="S870" s="66"/>
      <c r="T870" s="67" t="s">
        <v>317</v>
      </c>
      <c r="U870" s="67"/>
      <c r="V870" s="67"/>
      <c r="W870" s="60"/>
      <c r="X870" s="62"/>
      <c r="Y870" s="62"/>
      <c r="Z870" s="60" t="n">
        <v>3</v>
      </c>
      <c r="AA870" s="60" t="n">
        <f aca="false">IF(A870="","",IF(AND(Parameter!$B$21="Ja",ISNUMBER(W870)),W870,IF(AND(Parameter!$E$27="Ja",ISNUMBER(Z870),CD870&lt;&gt;"Nein"),Z870,IF(CD870="2+3",IF(ISNUMBER(SEARCH("grosser Artikel",BV870)),2,IFERROR(VLOOKUP(BY870,Parameter!$F$35:$G$64,2,0),2)),IF(OR(CD870="Nein",CD870=""),"-",CD870)))))</f>
        <v>3</v>
      </c>
      <c r="AB870" s="67"/>
      <c r="AC870" s="68"/>
      <c r="AD870" s="62" t="n">
        <f aca="false">AW870</f>
        <v>5</v>
      </c>
      <c r="AE870" s="62" t="n">
        <f aca="false">MAX(AW870,H870)</f>
        <v>5</v>
      </c>
      <c r="AF870" s="69"/>
      <c r="AG870" s="62" t="n">
        <f aca="false">IF(LEFT(Cockpit!$C$5,1)="A",H870,IF(Parameter!$E$30="MAX-Bestand",IF(CI870=1,CJ870,IF(LEFT(Cockpit!$C$5,1)="B",AM870,MAX(AM870,H870))),ROUNDUP(AK870,0)))</f>
        <v>1</v>
      </c>
      <c r="AH870" s="62" t="n">
        <f aca="false">IF(CA870=1,0,ROUNDUP(AG870/BZ870,0))</f>
        <v>1</v>
      </c>
      <c r="AI870" s="64" t="n">
        <f aca="false">IF(CR870&gt;0,CR870*MAX(1,AG870/X870),IF(CA870=1,IF(AG870&lt;=0,0,CE870*MAX(1,IF(H870&gt;0,AG870/H870,1))),IF(R870&gt;0,AH870/R870,0))/MAX(0.1,N(Parameter!$M$21)))</f>
        <v>0.0384615384615385</v>
      </c>
      <c r="AJ870" s="62" t="n">
        <f aca="false">AI870*CC870</f>
        <v>5.96153846153846</v>
      </c>
      <c r="AK870" s="63" t="n">
        <f aca="false">IF(LEFT(Cockpit!$C$5,1)="A",H870,IF(CI870=1,(CL870+CJ870)/2,IF(LEFT(Cockpit!$C$5,1)="B",(CL870+AM870)/2,MAX((CL870+AM870)/2,H870))))</f>
        <v>1</v>
      </c>
      <c r="AL870" s="62" t="n">
        <f aca="false">AK870*G870</f>
        <v>7.13</v>
      </c>
      <c r="AM870" s="62" t="n">
        <f aca="false">ROUNDUP(CL870+MAX(CM870,2*(J870/IF(CH870&gt;0,CH870,MAX(0.1,N(Cockpit!$C$6)))-CL870)),0)</f>
        <v>5</v>
      </c>
      <c r="AN870" s="63" t="n">
        <f aca="false">IF(AJ870&gt;0,J870/AJ870,-1)</f>
        <v>0.503225806451613</v>
      </c>
      <c r="AO870" s="63" t="n">
        <f aca="false">IF(AND(OR(CG870="L1",CG870="L23",CG870="LIFT"),AJ870&gt;0),SUMIFS($AJ$7:$AJ$1843,$CG$7:$CG$1843,CG870,$AN$7:$AN$1843,"&gt;"&amp;AN870)+SUMIFS($AJ$7:$AJ$1843,$CG$7:$CG$1843,CG870,$AN$7:$AN$1843,AN870,$BX$7:$BX$1843,"&lt;="&amp;BX870),"")</f>
        <v>9574.08742575692</v>
      </c>
      <c r="AP870" s="70" t="n">
        <f aca="false">IF(AO870="",0,MAX(0,MIN(1,(IF(CG870="L1",Parameter!$H$5,IF(CG870="L23",Parameter!$H$6+Parameter!$H$7,Parameter!$H$5+Parameter!$H$6+Parameter!$H$7))-(AO870-AJ870))/AJ870)))</f>
        <v>1</v>
      </c>
      <c r="AQ870" s="62" t="n">
        <f aca="false">IF(LEFT(Cockpit!$I$5,1)="A",H870,IF(Parameter!$E$30="MAX-Bestand",IF(CI870=1,CJ870,IF(LEFT(Cockpit!$I$5,1)="B",AW870,MAX(AW870,H870))),ROUNDUP(AU870,0)))</f>
        <v>3</v>
      </c>
      <c r="AR870" s="62" t="n">
        <f aca="false">IF(CA870=1,0,ROUNDUP(AQ870/BZ870,0))</f>
        <v>1</v>
      </c>
      <c r="AS870" s="64" t="n">
        <f aca="false">IF(CR870&gt;0,CR870*MAX(1,AQ870/X870),IF(CA870=1,IF(AQ870&lt;=0,0,CE870*MAX(1,IF(H870&gt;0,AQ870/H870,1))),IF(R870&gt;0,AR870/R870,0))/MAX(0.1,N(Parameter!$M$21)))</f>
        <v>0.0384615384615385</v>
      </c>
      <c r="AT870" s="62" t="n">
        <f aca="false">AS870*CC870</f>
        <v>5.96153846153846</v>
      </c>
      <c r="AU870" s="63" t="n">
        <f aca="false">IF(LEFT(Cockpit!$I$5,1)="A",H870,IF(CI870=1,(CL870+CJ870)/2,IF(LEFT(Cockpit!$I$5,1)="B",(CL870+AW870)/2,MAX((CL870+AW870)/2,H870))))</f>
        <v>2.5</v>
      </c>
      <c r="AV870" s="62" t="n">
        <f aca="false">AU870*G870</f>
        <v>17.825</v>
      </c>
      <c r="AW870" s="62" t="n">
        <f aca="false">ROUNDUP(CL870+MAX(CM870,2*(J870/IF(CH870&gt;0,CH870,MAX(0.1,N(Cockpit!$I$6)))-CL870)),0)</f>
        <v>5</v>
      </c>
      <c r="AX870" s="63" t="n">
        <f aca="false">IF(AT870&gt;0,J870/AT870,-1)</f>
        <v>0.503225806451613</v>
      </c>
      <c r="AY870" s="63" t="n">
        <f aca="false">IF(AND(OR(CG870="L1",CG870="L23",CG870="LIFT"),AT870&gt;0),SUMIFS($AT$7:$AT$1843,$CG$7:$CG$1843,CG870,$AX$7:$AX$1843,"&gt;"&amp;AX870)+SUMIFS($AT$7:$AT$1843,$CG$7:$CG$1843,CG870,$AX$7:$AX$1843,AX870,$BX$7:$BX$1843,"&lt;="&amp;BX870),"")</f>
        <v>11981.9624542125</v>
      </c>
      <c r="AZ870" s="70" t="n">
        <f aca="false">IF(AY870="",0,MAX(0,MIN(1,(IF(CG870="L1",Parameter!$H$5,IF(CG870="L23",Parameter!$H$6+Parameter!$H$7,Parameter!$H$5+Parameter!$H$6+Parameter!$H$7))-(AY870-AT870))/AT870)))</f>
        <v>1</v>
      </c>
      <c r="BA870" s="62" t="n">
        <f aca="false">IF(LEFT(Cockpit!$O$5,1)="A",H870,IF(Parameter!$E$30="MAX-Bestand",IF(CI870=1,CJ870,IF(LEFT(Cockpit!$O$5,1)="B",BG870,MAX(BG870,H870))),ROUNDUP(BE870,0)))</f>
        <v>3</v>
      </c>
      <c r="BB870" s="62" t="n">
        <f aca="false">IF(CA870=1,0,ROUNDUP(BA870/BZ870,0))</f>
        <v>1</v>
      </c>
      <c r="BC870" s="64" t="n">
        <f aca="false">IF(CR870&gt;0,CR870*MAX(1,BA870/X870),IF(CA870=1,IF(BA870&lt;=0,0,CE870*MAX(1,IF(H870&gt;0,BA870/H870,1))),IF(R870&gt;0,BB870/R870,0))/MAX(0.1,N(Parameter!$M$21)))</f>
        <v>0.0384615384615385</v>
      </c>
      <c r="BD870" s="62" t="n">
        <f aca="false">BC870*CC870</f>
        <v>5.96153846153846</v>
      </c>
      <c r="BE870" s="63" t="n">
        <f aca="false">IF(LEFT(Cockpit!$O$5,1)="A",H870,IF(CI870=1,(CL870+CJ870)/2,IF(LEFT(Cockpit!$O$5,1)="B",(CL870+BG870)/2,MAX((CL870+BG870)/2,H870))))</f>
        <v>2.5</v>
      </c>
      <c r="BF870" s="62" t="n">
        <f aca="false">BE870*G870</f>
        <v>17.825</v>
      </c>
      <c r="BG870" s="62" t="n">
        <f aca="false">ROUNDUP(CL870+MAX(CM870,2*(J870/IF(CH870&gt;0,CH870,MAX(0.1,N(Cockpit!$O$6)))-CL870)),0)</f>
        <v>5</v>
      </c>
      <c r="BH870" s="63" t="n">
        <f aca="false">IF(BD870&gt;0,J870/BD870,-1)</f>
        <v>0.503225806451613</v>
      </c>
      <c r="BI870" s="63" t="n">
        <f aca="false">IF(AND(OR(CG870="L1",CG870="L23",CG870="LIFT"),BD870&gt;0),SUMIFS($BD$7:$BD$1843,$CG$7:$CG$1843,CG870,$BH$7:$BH$1843,"&gt;"&amp;BH870)+SUMIFS($BD$7:$BD$1843,$CG$7:$CG$1843,CG870,$BH$7:$BH$1843,BH870,$BX$7:$BX$1843,"&lt;="&amp;BX870),"")</f>
        <v>10345.3786630037</v>
      </c>
      <c r="BJ870" s="70" t="n">
        <f aca="false">IF(BI870="",0,MAX(0,MIN(1,(IF(CG870="L1",Parameter!$H$5,IF(CG870="L23",Parameter!$H$6+Parameter!$H$7,Parameter!$H$5+Parameter!$H$6+Parameter!$H$7))-(BI870-BD870))/BD870)))</f>
        <v>1</v>
      </c>
      <c r="BK870" s="60" t="str">
        <f aca="false">IF(AJ870&lt;=0,"",IF(CG870="Aussen","Aussenlager",IF(CG870="-","Nicht im Lift",IF(AP870&gt;=1,"Lift",IF(AP870&lt;=0,"Aussenlager","teilweise")))))</f>
        <v>Lift</v>
      </c>
      <c r="BL870" s="60" t="str">
        <f aca="false">IF(AT870&lt;=0,"",IF(CG870="Aussen","Aussenlager",IF(CG870="-","Nicht im Lift",IF(AZ870&gt;=1,"Lift",IF(AZ870&lt;=0,"Aussenlager","teilweise")))))</f>
        <v>Lift</v>
      </c>
      <c r="BM870" s="60" t="str">
        <f aca="false">IF(BD870&lt;=0,"",IF(CG870="Aussen","Aussenlager",IF(CG870="-","Nicht im Lift",IF(BJ870&gt;=1,"Lift",IF(BJ870&lt;=0,"Aussenlager","teilweise")))))</f>
        <v>Lift</v>
      </c>
      <c r="BN870" s="60" t="str">
        <f aca="false">IF(A870="","",IF(BW870=1,"Neu; ","")&amp;IF(AND(BW870=0,BR870&lt;0),"negativer Bestand (Export "&amp;BR870&amp;"); ","")&amp;IF(J870&lt;=0,"Kein Verbrauch; ","")&amp;IF(CR870&gt;0,"Lift "&amp;W870&amp;" lt. Liftbericht (Fach "&amp;X870&amp;" Stk); ",IF(CB870=1,"Gebinde geschätzt ("&amp;T870&amp;"); ",IF(CA870=1,"Lose – Tablare geschätzt; ","")))&amp;IF(H870&gt;AW870,"Überbestand "&amp;ROUND(H870-AW870,0)&amp;" Stk / CHF "&amp;ROUND((H870-AW870)*G870,0)&amp;"; ","")&amp;IF(AND(CI870=1,CJ870&lt;CK870),"MAX &lt; MB+LG; ","")&amp;IF(AND(CQ870&gt;0,CP870*10&gt;CQ870),"zu hoch für Tablar; ","")&amp;IF(AND(BW870=0,OR(CI870=1,AB870&lt;&gt;"",U870&lt;&gt;"",V870&lt;&gt;"",AC870&lt;&gt;"")),"manuell übersteuert; ","")&amp;IF(AND(CA870=0,R870=0),"Gebinde unbekannt / Stellmass fehlt; ","")&amp;IF(AND(CA870=0,N(V870)&lt;=0,N(Q870)&lt;=0),"Menge pro Gebinde fehlt (Ist = 1 Gebinde); ","")&amp;BV870)</f>
        <v>negativer Bestand (Export -2); Gebinde geschätzt (Klein); Menge pro Gebinde fehlt (Ist = 1 Gebinde); </v>
      </c>
      <c r="BO870" s="60"/>
      <c r="BP870" s="60"/>
      <c r="BQ870" s="67"/>
      <c r="BR870" s="62" t="n">
        <v>-2</v>
      </c>
      <c r="BS870" s="62" t="n">
        <v>3</v>
      </c>
      <c r="BT870" s="61" t="n">
        <v>-22.45</v>
      </c>
      <c r="BU870" s="62" t="n">
        <v>3</v>
      </c>
      <c r="BV870" s="60"/>
      <c r="BW870" s="65" t="n">
        <v>0</v>
      </c>
      <c r="BX870" s="65" t="n">
        <v>870</v>
      </c>
      <c r="BY870" s="60" t="str">
        <f aca="false">IF(U870&lt;&gt;"",UPPER(TRIM(U870)),IF(CB870=1,UPPER(VLOOKUP(T870,Parameter!$I$27:$K$29,2,0)),IF(P870="","LOSE",P870)))</f>
        <v>S51</v>
      </c>
      <c r="BZ870" s="62" t="n">
        <f aca="false">IF(BY870="LOSE",1,IF(N(V870)&gt;0,V870,IF(CB870=1,MAX(1,N(VLOOKUP(T870,Parameter!$I$27:$K$29,3,0)),H870,N(N870)),IF(N(Q870)&gt;0,Q870,MAX(1,H870)))))</f>
        <v>20</v>
      </c>
      <c r="CA870" s="65" t="n">
        <f aca="false">IF(BY870="LOSE",1,0)</f>
        <v>0</v>
      </c>
      <c r="CB870" s="65" t="n">
        <f aca="false">IF(AND(U870="",OR(P870="",P870="LOSE"),T870&lt;&gt;"",N(S870)&lt;=0,ISNUMBER(MATCH(T870,Parameter!$I$27:$I$29,0))),1,0)</f>
        <v>1</v>
      </c>
      <c r="CC870" s="65" t="n">
        <f aca="false">IF(CR870&gt;0,INDEX(Parameter!$H$5:$H$7,W870)/INDEX(Parameter!$E$5:$E$7,W870),IF(AND(CA870=0,N(IFERROR(VLOOKUP(BY870,'Gebinde-Kategorie'!$A$5:$N$45,14,0),0))&gt;0),VLOOKUP(BY870,'Gebinde-Kategorie'!$A$5:$N$45,14,0)*10+Parameter!$M$23,Parameter!$M$24))</f>
        <v>155</v>
      </c>
      <c r="CD870" s="60" t="str">
        <f aca="false">IF(AND(Parameter!$B$19="Ja",E870&lt;&gt;"",ISNUMBER(MATCH(E870,Parameter!$I$35:$I$52,0))),VLOOKUP(E870,Parameter!$I$35:$J$52,2,0),IFERROR(VLOOKUP(D870,Parameter!$A$35:$C$64,2,0),"Nein"))</f>
        <v>2+3</v>
      </c>
      <c r="CE870" s="64" t="n">
        <f aca="false">IF(CA870=0,0,IF(N(S870)&gt;0,S870,IFERROR(VLOOKUP(D870,Parameter!$A$35:$C$64,3,0)+0,0)))</f>
        <v>0</v>
      </c>
      <c r="CF870" s="60" t="n">
        <f aca="false">IF(AB870&lt;&gt;"",AB870,AA870)</f>
        <v>3</v>
      </c>
      <c r="CG870" s="60" t="str">
        <f aca="false">IF(OR(CF870=1,CF870=2,CF870=3),IF(Parameter!$E$27="Ja","LIFT",IF(CF870=1,"L1","L23")),IF(CF870="Aussen","Aussen","-"))</f>
        <v>LIFT</v>
      </c>
      <c r="CH870" s="71" t="n">
        <f aca="false">IF(N(AC870)&gt;0,AC870,0)</f>
        <v>0</v>
      </c>
      <c r="CI870" s="65" t="n">
        <f aca="false">IF(ISNUMBER(AF870),1,0)</f>
        <v>0</v>
      </c>
      <c r="CJ870" s="62" t="n">
        <f aca="false">N(AF870)</f>
        <v>0</v>
      </c>
      <c r="CK870" s="62" t="n">
        <f aca="false">N(M870)+N(N870)</f>
        <v>5</v>
      </c>
      <c r="CL870" s="62" t="n">
        <f aca="false">N(M870)</f>
        <v>0</v>
      </c>
      <c r="CM870" s="62" t="n">
        <f aca="false">N(N870)</f>
        <v>5</v>
      </c>
      <c r="CN870" s="62" t="n">
        <f aca="false">ROUNDUP(H870/BZ870,0)</f>
        <v>1</v>
      </c>
      <c r="CO870" s="62" t="n">
        <f aca="false">ROUNDUP(CJ870/BZ870,0)</f>
        <v>0</v>
      </c>
      <c r="CP870" s="65" t="n">
        <f aca="false">IF(CA870=1,0,IFERROR(VLOOKUP(BY870,'Gebinde-Kategorie'!$A$5:$N$45,5,0)+0,0))</f>
        <v>11</v>
      </c>
      <c r="CQ870" s="65" t="n">
        <f aca="false">IFERROR(IF(OR(CF870=1,CF870=2,CF870=3),N(INDEX(Parameter!$I$5:$I$7,CF870)),0),0)</f>
        <v>0</v>
      </c>
      <c r="CR870" s="64" t="n">
        <f aca="false">IF(AND(Parameter!$B$21="Ja",ISNUMBER(W870),N(X870)&gt;0),IFERROR(N(INDEX(Parameter!$L$5:$L$7,W870))*INDEX(Parameter!$E$5:$E$7,W870)*X870/SUMIFS($X$7:$X$1843,$W$7:$W$1843,W870),0),0)</f>
        <v>0</v>
      </c>
      <c r="CS870" s="62" t="n">
        <f aca="false">IF(AND(OR(CG870="L1",CG870="L23",CG870="LIFT"),H870&gt;0),CC870*IF(CR870&gt;0,CR870*MAX(1,H870/X870),IF(CA870=1,CE870,IF(R870&gt;0,CN870/R870,0))/MAX(0.1,N(Parameter!$M$21))),"")</f>
        <v>5.96153846153846</v>
      </c>
      <c r="CT870" s="64" t="n">
        <f aca="false">IF(CS870="","",J870/H870)</f>
        <v>3</v>
      </c>
      <c r="CU870" s="62" t="n">
        <f aca="false">IF(CS870="","",H870*G870)</f>
        <v>7.13</v>
      </c>
      <c r="CV870" s="63" t="n">
        <f aca="false">IF(CS870="","",(CL870+ROUNDUP(CL870+MAX(CM870,2*(J870/MAX(0.1,N(Einkauf!$C$6))-CL870)),0))/2)</f>
        <v>2.5</v>
      </c>
      <c r="CW870" s="62" t="n">
        <f aca="false">IF(CS870="","",MAX(0,H870-CV870)*G870)</f>
        <v>0</v>
      </c>
      <c r="CX870" s="62" t="n">
        <f aca="false">IF(CS870="","",CS870*MAX(0,1-CV870/H870))</f>
        <v>0</v>
      </c>
      <c r="CY870" s="64" t="n">
        <f aca="false">IF(CS870="","",PERCENTRANK($CS$7:$CS$1843,CS870)+PERCENTRANK($CU$7:$CU$1843,CU870)+1-PERCENTRANK($CT$7:$CT$1843,CT870))</f>
        <v>0.5062</v>
      </c>
      <c r="CZ870" s="72" t="n">
        <f aca="false">IF(CS870="","",CHOOSE(MATCH(Einkauf!$C$5,Parameter!$G$23:$G$27,0),CY870,CS870,CU870,-CT870,CW870)+ROW()/1000000000)</f>
        <v>0.50620087</v>
      </c>
    </row>
    <row r="871" customFormat="false" ht="15" hidden="false" customHeight="false" outlineLevel="0" collapsed="false">
      <c r="A871" s="60" t="s">
        <v>1695</v>
      </c>
      <c r="B871" s="60" t="s">
        <v>1696</v>
      </c>
      <c r="C871" s="60" t="s">
        <v>206</v>
      </c>
      <c r="D871" s="60" t="s">
        <v>226</v>
      </c>
      <c r="E871" s="60" t="s">
        <v>227</v>
      </c>
      <c r="F871" s="60" t="s">
        <v>260</v>
      </c>
      <c r="G871" s="61" t="n">
        <v>5.66</v>
      </c>
      <c r="H871" s="62" t="n">
        <f aca="false">MAX(0,IF(AND(Parameter!$B$21="Ja",ISNUMBER(Y871)),Y871,IF(Parameter!$B$20="Jahresanfang 2025 + Export",BS871+BR871,BR871)))</f>
        <v>0</v>
      </c>
      <c r="I871" s="62" t="n">
        <f aca="false">H871*G871</f>
        <v>0</v>
      </c>
      <c r="J871" s="62" t="n">
        <f aca="false">BU871*Parameter!$B$18</f>
        <v>2</v>
      </c>
      <c r="K871" s="63" t="n">
        <v>3</v>
      </c>
      <c r="L871" s="64" t="n">
        <v>0.666666666666667</v>
      </c>
      <c r="M871" s="62" t="n">
        <v>0</v>
      </c>
      <c r="N871" s="62" t="n">
        <v>1</v>
      </c>
      <c r="O871" s="65" t="n">
        <v>28</v>
      </c>
      <c r="P871" s="60" t="s">
        <v>468</v>
      </c>
      <c r="Q871" s="62" t="n">
        <v>5</v>
      </c>
      <c r="R871" s="65" t="n">
        <f aca="false">IF(CA871=1,0,IFERROR(VLOOKUP(BY871,'Gebinde-Kategorie'!$A$5:$N$45,13,0)+0,0))</f>
        <v>140</v>
      </c>
      <c r="S871" s="66"/>
      <c r="T871" s="67"/>
      <c r="U871" s="67"/>
      <c r="V871" s="67"/>
      <c r="W871" s="60"/>
      <c r="X871" s="62"/>
      <c r="Y871" s="62"/>
      <c r="Z871" s="60" t="n">
        <v>3</v>
      </c>
      <c r="AA871" s="60" t="n">
        <f aca="false">IF(A871="","",IF(AND(Parameter!$B$21="Ja",ISNUMBER(W871)),W871,IF(AND(Parameter!$E$27="Ja",ISNUMBER(Z871),CD871&lt;&gt;"Nein"),Z871,IF(CD871="2+3",IF(ISNUMBER(SEARCH("grosser Artikel",BV871)),2,IFERROR(VLOOKUP(BY871,Parameter!$F$35:$G$64,2,0),2)),IF(OR(CD871="Nein",CD871=""),"-",CD871)))))</f>
        <v>3</v>
      </c>
      <c r="AB871" s="67"/>
      <c r="AC871" s="68"/>
      <c r="AD871" s="62" t="n">
        <f aca="false">AW871</f>
        <v>2</v>
      </c>
      <c r="AE871" s="62" t="n">
        <f aca="false">MAX(AW871,H871)</f>
        <v>2</v>
      </c>
      <c r="AF871" s="69"/>
      <c r="AG871" s="62" t="n">
        <f aca="false">IF(LEFT(Cockpit!$C$5,1)="A",H871,IF(Parameter!$E$30="MAX-Bestand",IF(CI871=1,CJ871,IF(LEFT(Cockpit!$C$5,1)="B",AM871,MAX(AM871,H871))),ROUNDUP(AK871,0)))</f>
        <v>0</v>
      </c>
      <c r="AH871" s="62" t="n">
        <f aca="false">IF(CA871=1,0,ROUNDUP(AG871/BZ871,0))</f>
        <v>0</v>
      </c>
      <c r="AI871" s="64" t="n">
        <f aca="false">IF(CR871&gt;0,CR871*MAX(1,AG871/X871),IF(CA871=1,IF(AG871&lt;=0,0,CE871*MAX(1,IF(H871&gt;0,AG871/H871,1))),IF(R871&gt;0,AH871/R871,0))/MAX(0.1,N(Parameter!$M$21)))</f>
        <v>0</v>
      </c>
      <c r="AJ871" s="62" t="n">
        <f aca="false">AI871*CC871</f>
        <v>0</v>
      </c>
      <c r="AK871" s="63" t="n">
        <f aca="false">IF(LEFT(Cockpit!$C$5,1)="A",H871,IF(CI871=1,(CL871+CJ871)/2,IF(LEFT(Cockpit!$C$5,1)="B",(CL871+AM871)/2,MAX((CL871+AM871)/2,H871))))</f>
        <v>0</v>
      </c>
      <c r="AL871" s="62" t="n">
        <f aca="false">AK871*G871</f>
        <v>0</v>
      </c>
      <c r="AM871" s="62" t="n">
        <f aca="false">ROUNDUP(CL871+MAX(CM871,2*(J871/IF(CH871&gt;0,CH871,MAX(0.1,N(Cockpit!$C$6)))-CL871)),0)</f>
        <v>2</v>
      </c>
      <c r="AN871" s="63" t="n">
        <f aca="false">IF(AJ871&gt;0,J871/AJ871,-1)</f>
        <v>-1</v>
      </c>
      <c r="AO871" s="63" t="str">
        <f aca="false">IF(AND(OR(CG871="L1",CG871="L23",CG871="LIFT"),AJ871&gt;0),SUMIFS($AJ$7:$AJ$1843,$CG$7:$CG$1843,CG871,$AN$7:$AN$1843,"&gt;"&amp;AN871)+SUMIFS($AJ$7:$AJ$1843,$CG$7:$CG$1843,CG871,$AN$7:$AN$1843,AN871,$BX$7:$BX$1843,"&lt;="&amp;BX871),"")</f>
        <v/>
      </c>
      <c r="AP871" s="70" t="n">
        <f aca="false">IF(AO871="",0,MAX(0,MIN(1,(IF(CG871="L1",Parameter!$H$5,IF(CG871="L23",Parameter!$H$6+Parameter!$H$7,Parameter!$H$5+Parameter!$H$6+Parameter!$H$7))-(AO871-AJ871))/AJ871)))</f>
        <v>0</v>
      </c>
      <c r="AQ871" s="62" t="n">
        <f aca="false">IF(LEFT(Cockpit!$I$5,1)="A",H871,IF(Parameter!$E$30="MAX-Bestand",IF(CI871=1,CJ871,IF(LEFT(Cockpit!$I$5,1)="B",AW871,MAX(AW871,H871))),ROUNDUP(AU871,0)))</f>
        <v>1</v>
      </c>
      <c r="AR871" s="62" t="n">
        <f aca="false">IF(CA871=1,0,ROUNDUP(AQ871/BZ871,0))</f>
        <v>1</v>
      </c>
      <c r="AS871" s="64" t="n">
        <f aca="false">IF(CR871&gt;0,CR871*MAX(1,AQ871/X871),IF(CA871=1,IF(AQ871&lt;=0,0,CE871*MAX(1,IF(H871&gt;0,AQ871/H871,1))),IF(R871&gt;0,AR871/R871,0))/MAX(0.1,N(Parameter!$M$21)))</f>
        <v>0.00714285714285714</v>
      </c>
      <c r="AT871" s="62" t="n">
        <f aca="false">AS871*CC871</f>
        <v>1.10714285714286</v>
      </c>
      <c r="AU871" s="63" t="n">
        <f aca="false">IF(LEFT(Cockpit!$I$5,1)="A",H871,IF(CI871=1,(CL871+CJ871)/2,IF(LEFT(Cockpit!$I$5,1)="B",(CL871+AW871)/2,MAX((CL871+AW871)/2,H871))))</f>
        <v>1</v>
      </c>
      <c r="AV871" s="62" t="n">
        <f aca="false">AU871*G871</f>
        <v>5.66</v>
      </c>
      <c r="AW871" s="62" t="n">
        <f aca="false">ROUNDUP(CL871+MAX(CM871,2*(J871/IF(CH871&gt;0,CH871,MAX(0.1,N(Cockpit!$I$6)))-CL871)),0)</f>
        <v>2</v>
      </c>
      <c r="AX871" s="63" t="n">
        <f aca="false">IF(AT871&gt;0,J871/AT871,-1)</f>
        <v>1.80645161290323</v>
      </c>
      <c r="AY871" s="63" t="n">
        <f aca="false">IF(AND(OR(CG871="L1",CG871="L23",CG871="LIFT"),AT871&gt;0),SUMIFS($AT$7:$AT$1843,$CG$7:$CG$1843,CG871,$AX$7:$AX$1843,"&gt;"&amp;AX871)+SUMIFS($AT$7:$AT$1843,$CG$7:$CG$1843,CG871,$AX$7:$AX$1843,AX871,$BX$7:$BX$1843,"&lt;="&amp;BX871),"")</f>
        <v>7405.63461538462</v>
      </c>
      <c r="AZ871" s="70" t="n">
        <f aca="false">IF(AY871="",0,MAX(0,MIN(1,(IF(CG871="L1",Parameter!$H$5,IF(CG871="L23",Parameter!$H$6+Parameter!$H$7,Parameter!$H$5+Parameter!$H$6+Parameter!$H$7))-(AY871-AT871))/AT871)))</f>
        <v>1</v>
      </c>
      <c r="BA871" s="62" t="n">
        <f aca="false">IF(LEFT(Cockpit!$O$5,1)="A",H871,IF(Parameter!$E$30="MAX-Bestand",IF(CI871=1,CJ871,IF(LEFT(Cockpit!$O$5,1)="B",BG871,MAX(BG871,H871))),ROUNDUP(BE871,0)))</f>
        <v>1</v>
      </c>
      <c r="BB871" s="62" t="n">
        <f aca="false">IF(CA871=1,0,ROUNDUP(BA871/BZ871,0))</f>
        <v>1</v>
      </c>
      <c r="BC871" s="64" t="n">
        <f aca="false">IF(CR871&gt;0,CR871*MAX(1,BA871/X871),IF(CA871=1,IF(BA871&lt;=0,0,CE871*MAX(1,IF(H871&gt;0,BA871/H871,1))),IF(R871&gt;0,BB871/R871,0))/MAX(0.1,N(Parameter!$M$21)))</f>
        <v>0.00714285714285714</v>
      </c>
      <c r="BD871" s="62" t="n">
        <f aca="false">BC871*CC871</f>
        <v>1.10714285714286</v>
      </c>
      <c r="BE871" s="63" t="n">
        <f aca="false">IF(LEFT(Cockpit!$O$5,1)="A",H871,IF(CI871=1,(CL871+CJ871)/2,IF(LEFT(Cockpit!$O$5,1)="B",(CL871+BG871)/2,MAX((CL871+BG871)/2,H871))))</f>
        <v>0.5</v>
      </c>
      <c r="BF871" s="62" t="n">
        <f aca="false">BE871*G871</f>
        <v>2.83</v>
      </c>
      <c r="BG871" s="62" t="n">
        <f aca="false">ROUNDUP(CL871+MAX(CM871,2*(J871/IF(CH871&gt;0,CH871,MAX(0.1,N(Cockpit!$O$6)))-CL871)),0)</f>
        <v>1</v>
      </c>
      <c r="BH871" s="63" t="n">
        <f aca="false">IF(BD871&gt;0,J871/BD871,-1)</f>
        <v>1.80645161290323</v>
      </c>
      <c r="BI871" s="63" t="n">
        <f aca="false">IF(AND(OR(CG871="L1",CG871="L23",CG871="LIFT"),BD871&gt;0),SUMIFS($BD$7:$BD$1843,$CG$7:$CG$1843,CG871,$BH$7:$BH$1843,"&gt;"&amp;BH871)+SUMIFS($BD$7:$BD$1843,$CG$7:$CG$1843,CG871,$BH$7:$BH$1843,BH871,$BX$7:$BX$1843,"&lt;="&amp;BX871),"")</f>
        <v>6093.5554029304</v>
      </c>
      <c r="BJ871" s="70" t="n">
        <f aca="false">IF(BI871="",0,MAX(0,MIN(1,(IF(CG871="L1",Parameter!$H$5,IF(CG871="L23",Parameter!$H$6+Parameter!$H$7,Parameter!$H$5+Parameter!$H$6+Parameter!$H$7))-(BI871-BD871))/BD871)))</f>
        <v>1</v>
      </c>
      <c r="BK871" s="60" t="str">
        <f aca="false">IF(AJ871&lt;=0,"",IF(CG871="Aussen","Aussenlager",IF(CG871="-","Nicht im Lift",IF(AP871&gt;=1,"Lift",IF(AP871&lt;=0,"Aussenlager","teilweise")))))</f>
        <v/>
      </c>
      <c r="BL871" s="60" t="str">
        <f aca="false">IF(AT871&lt;=0,"",IF(CG871="Aussen","Aussenlager",IF(CG871="-","Nicht im Lift",IF(AZ871&gt;=1,"Lift",IF(AZ871&lt;=0,"Aussenlager","teilweise")))))</f>
        <v>Lift</v>
      </c>
      <c r="BM871" s="60" t="str">
        <f aca="false">IF(BD871&lt;=0,"",IF(CG871="Aussen","Aussenlager",IF(CG871="-","Nicht im Lift",IF(BJ871&gt;=1,"Lift",IF(BJ871&lt;=0,"Aussenlager","teilweise")))))</f>
        <v>Lift</v>
      </c>
      <c r="BN871" s="60" t="str">
        <f aca="false">IF(A871="","",IF(BW871=1,"Neu; ","")&amp;IF(AND(BW871=0,BR871&lt;0),"negativer Bestand (Export "&amp;BR871&amp;"); ","")&amp;IF(J871&lt;=0,"Kein Verbrauch; ","")&amp;IF(CR871&gt;0,"Lift "&amp;W871&amp;" lt. Liftbericht (Fach "&amp;X871&amp;" Stk); ",IF(CB871=1,"Gebinde geschätzt ("&amp;T871&amp;"); ",IF(CA871=1,"Lose – Tablare geschätzt; ","")))&amp;IF(H871&gt;AW871,"Überbestand "&amp;ROUND(H871-AW871,0)&amp;" Stk / CHF "&amp;ROUND((H871-AW871)*G871,0)&amp;"; ","")&amp;IF(AND(CI871=1,CJ871&lt;CK871),"MAX &lt; MB+LG; ","")&amp;IF(AND(CQ871&gt;0,CP871*10&gt;CQ871),"zu hoch für Tablar; ","")&amp;IF(AND(BW871=0,OR(CI871=1,AB871&lt;&gt;"",U871&lt;&gt;"",V871&lt;&gt;"",AC871&lt;&gt;"")),"manuell übersteuert; ","")&amp;IF(AND(CA871=0,R871=0),"Gebinde unbekannt / Stellmass fehlt; ","")&amp;IF(AND(CA871=0,N(V871)&lt;=0,N(Q871)&lt;=0),"Menge pro Gebinde fehlt (Ist = 1 Gebinde); ","")&amp;BV871)</f>
        <v>negativer Bestand (Export -4); </v>
      </c>
      <c r="BO871" s="60"/>
      <c r="BP871" s="60"/>
      <c r="BQ871" s="67"/>
      <c r="BR871" s="62" t="n">
        <v>-4</v>
      </c>
      <c r="BS871" s="62" t="n">
        <v>4</v>
      </c>
      <c r="BT871" s="61" t="n">
        <v>-23.48</v>
      </c>
      <c r="BU871" s="62" t="n">
        <v>2</v>
      </c>
      <c r="BV871" s="60"/>
      <c r="BW871" s="65" t="n">
        <v>0</v>
      </c>
      <c r="BX871" s="65" t="n">
        <v>871</v>
      </c>
      <c r="BY871" s="60" t="str">
        <f aca="false">IF(U871&lt;&gt;"",UPPER(TRIM(U871)),IF(CB871=1,UPPER(VLOOKUP(T871,Parameter!$I$27:$K$29,2,0)),IF(P871="","LOSE",P871)))</f>
        <v>S22</v>
      </c>
      <c r="BZ871" s="62" t="n">
        <f aca="false">IF(BY871="LOSE",1,IF(N(V871)&gt;0,V871,IF(CB871=1,MAX(1,N(VLOOKUP(T871,Parameter!$I$27:$K$29,3,0)),H871,N(N871)),IF(N(Q871)&gt;0,Q871,MAX(1,H871)))))</f>
        <v>5</v>
      </c>
      <c r="CA871" s="65" t="n">
        <f aca="false">IF(BY871="LOSE",1,0)</f>
        <v>0</v>
      </c>
      <c r="CB871" s="65" t="n">
        <f aca="false">IF(AND(U871="",OR(P871="",P871="LOSE"),T871&lt;&gt;"",N(S871)&lt;=0,ISNUMBER(MATCH(T871,Parameter!$I$27:$I$29,0))),1,0)</f>
        <v>0</v>
      </c>
      <c r="CC871" s="65" t="n">
        <f aca="false">IF(CR871&gt;0,INDEX(Parameter!$H$5:$H$7,W871)/INDEX(Parameter!$E$5:$E$7,W871),IF(AND(CA871=0,N(IFERROR(VLOOKUP(BY871,'Gebinde-Kategorie'!$A$5:$N$45,14,0),0))&gt;0),VLOOKUP(BY871,'Gebinde-Kategorie'!$A$5:$N$45,14,0)*10+Parameter!$M$23,Parameter!$M$24))</f>
        <v>155</v>
      </c>
      <c r="CD871" s="60" t="str">
        <f aca="false">IF(AND(Parameter!$B$19="Ja",E871&lt;&gt;"",ISNUMBER(MATCH(E871,Parameter!$I$35:$I$52,0))),VLOOKUP(E871,Parameter!$I$35:$J$52,2,0),IFERROR(VLOOKUP(D871,Parameter!$A$35:$C$64,2,0),"Nein"))</f>
        <v>2+3</v>
      </c>
      <c r="CE871" s="64" t="n">
        <f aca="false">IF(CA871=0,0,IF(N(S871)&gt;0,S871,IFERROR(VLOOKUP(D871,Parameter!$A$35:$C$64,3,0)+0,0)))</f>
        <v>0</v>
      </c>
      <c r="CF871" s="60" t="n">
        <f aca="false">IF(AB871&lt;&gt;"",AB871,AA871)</f>
        <v>3</v>
      </c>
      <c r="CG871" s="60" t="str">
        <f aca="false">IF(OR(CF871=1,CF871=2,CF871=3),IF(Parameter!$E$27="Ja","LIFT",IF(CF871=1,"L1","L23")),IF(CF871="Aussen","Aussen","-"))</f>
        <v>LIFT</v>
      </c>
      <c r="CH871" s="71" t="n">
        <f aca="false">IF(N(AC871)&gt;0,AC871,0)</f>
        <v>0</v>
      </c>
      <c r="CI871" s="65" t="n">
        <f aca="false">IF(ISNUMBER(AF871),1,0)</f>
        <v>0</v>
      </c>
      <c r="CJ871" s="62" t="n">
        <f aca="false">N(AF871)</f>
        <v>0</v>
      </c>
      <c r="CK871" s="62" t="n">
        <f aca="false">N(M871)+N(N871)</f>
        <v>1</v>
      </c>
      <c r="CL871" s="62" t="n">
        <f aca="false">N(M871)</f>
        <v>0</v>
      </c>
      <c r="CM871" s="62" t="n">
        <f aca="false">N(N871)</f>
        <v>1</v>
      </c>
      <c r="CN871" s="62" t="n">
        <f aca="false">ROUNDUP(H871/BZ871,0)</f>
        <v>0</v>
      </c>
      <c r="CO871" s="62" t="n">
        <f aca="false">ROUNDUP(CJ871/BZ871,0)</f>
        <v>0</v>
      </c>
      <c r="CP871" s="65" t="n">
        <f aca="false">IF(CA871=1,0,IFERROR(VLOOKUP(BY871,'Gebinde-Kategorie'!$A$5:$N$45,5,0)+0,0))</f>
        <v>8</v>
      </c>
      <c r="CQ871" s="65" t="n">
        <f aca="false">IFERROR(IF(OR(CF871=1,CF871=2,CF871=3),N(INDEX(Parameter!$I$5:$I$7,CF871)),0),0)</f>
        <v>0</v>
      </c>
      <c r="CR871" s="64" t="n">
        <f aca="false">IF(AND(Parameter!$B$21="Ja",ISNUMBER(W871),N(X871)&gt;0),IFERROR(N(INDEX(Parameter!$L$5:$L$7,W871))*INDEX(Parameter!$E$5:$E$7,W871)*X871/SUMIFS($X$7:$X$1843,$W$7:$W$1843,W871),0),0)</f>
        <v>0</v>
      </c>
      <c r="CS871" s="62" t="str">
        <f aca="false">IF(AND(OR(CG871="L1",CG871="L23",CG871="LIFT"),H871&gt;0),CC871*IF(CR871&gt;0,CR871*MAX(1,H871/X871),IF(CA871=1,CE871,IF(R871&gt;0,CN871/R871,0))/MAX(0.1,N(Parameter!$M$21))),"")</f>
        <v/>
      </c>
      <c r="CT871" s="64" t="str">
        <f aca="false">IF(CS871="","",J871/H871)</f>
        <v/>
      </c>
      <c r="CU871" s="62" t="str">
        <f aca="false">IF(CS871="","",H871*G871)</f>
        <v/>
      </c>
      <c r="CV871" s="63" t="str">
        <f aca="false">IF(CS871="","",(CL871+ROUNDUP(CL871+MAX(CM871,2*(J871/MAX(0.1,N(Einkauf!$C$6))-CL871)),0))/2)</f>
        <v/>
      </c>
      <c r="CW871" s="62" t="str">
        <f aca="false">IF(CS871="","",MAX(0,H871-CV871)*G871)</f>
        <v/>
      </c>
      <c r="CX871" s="62" t="str">
        <f aca="false">IF(CS871="","",CS871*MAX(0,1-CV871/H871))</f>
        <v/>
      </c>
      <c r="CY871" s="64" t="str">
        <f aca="false">IF(CS871="","",PERCENTRANK($CS$7:$CS$1843,CS871)+PERCENTRANK($CU$7:$CU$1843,CU871)+1-PERCENTRANK($CT$7:$CT$1843,CT871))</f>
        <v/>
      </c>
      <c r="CZ871" s="72" t="str">
        <f aca="false">IF(CS871="","",CHOOSE(MATCH(Einkauf!$C$5,Parameter!$G$23:$G$27,0),CY871,CS871,CU871,-CT871,CW871)+ROW()/1000000000)</f>
        <v/>
      </c>
    </row>
    <row r="872" customFormat="false" ht="15" hidden="false" customHeight="false" outlineLevel="0" collapsed="false">
      <c r="A872" s="60" t="s">
        <v>1697</v>
      </c>
      <c r="B872" s="60" t="s">
        <v>730</v>
      </c>
      <c r="C872" s="60" t="s">
        <v>206</v>
      </c>
      <c r="D872" s="60" t="s">
        <v>226</v>
      </c>
      <c r="E872" s="60" t="s">
        <v>227</v>
      </c>
      <c r="F872" s="60" t="s">
        <v>260</v>
      </c>
      <c r="G872" s="61" t="n">
        <v>36.4</v>
      </c>
      <c r="H872" s="62" t="n">
        <f aca="false">MAX(0,IF(AND(Parameter!$B$21="Ja",ISNUMBER(Y872)),Y872,IF(Parameter!$B$20="Jahresanfang 2025 + Export",BS872+BR872,BR872)))</f>
        <v>40</v>
      </c>
      <c r="I872" s="62" t="n">
        <f aca="false">H872*G872</f>
        <v>1456</v>
      </c>
      <c r="J872" s="62" t="n">
        <f aca="false">BU872*Parameter!$B$18</f>
        <v>72</v>
      </c>
      <c r="K872" s="63" t="n">
        <v>20.5</v>
      </c>
      <c r="L872" s="64" t="n">
        <v>3.51219512195122</v>
      </c>
      <c r="M872" s="62" t="n">
        <v>10</v>
      </c>
      <c r="N872" s="62" t="n">
        <v>70</v>
      </c>
      <c r="O872" s="65" t="n">
        <v>50</v>
      </c>
      <c r="P872" s="60" t="s">
        <v>335</v>
      </c>
      <c r="Q872" s="62" t="n">
        <v>45</v>
      </c>
      <c r="R872" s="65" t="n">
        <f aca="false">IF(CA872=1,0,IFERROR(VLOOKUP(BY872,'Gebinde-Kategorie'!$A$5:$N$45,13,0)+0,0))</f>
        <v>12</v>
      </c>
      <c r="S872" s="66"/>
      <c r="T872" s="67"/>
      <c r="U872" s="67"/>
      <c r="V872" s="67"/>
      <c r="W872" s="60"/>
      <c r="X872" s="62"/>
      <c r="Y872" s="62"/>
      <c r="Z872" s="60" t="n">
        <v>3</v>
      </c>
      <c r="AA872" s="60" t="n">
        <f aca="false">IF(A872="","",IF(AND(Parameter!$B$21="Ja",ISNUMBER(W872)),W872,IF(AND(Parameter!$E$27="Ja",ISNUMBER(Z872),CD872&lt;&gt;"Nein"),Z872,IF(CD872="2+3",IF(ISNUMBER(SEARCH("grosser Artikel",BV872)),2,IFERROR(VLOOKUP(BY872,Parameter!$F$35:$G$64,2,0),2)),IF(OR(CD872="Nein",CD872=""),"-",CD872)))))</f>
        <v>3</v>
      </c>
      <c r="AB872" s="67"/>
      <c r="AC872" s="68"/>
      <c r="AD872" s="62" t="n">
        <f aca="false">AW872</f>
        <v>80</v>
      </c>
      <c r="AE872" s="62" t="n">
        <f aca="false">MAX(AW872,H872)</f>
        <v>80</v>
      </c>
      <c r="AF872" s="69"/>
      <c r="AG872" s="62" t="n">
        <f aca="false">IF(LEFT(Cockpit!$C$5,1)="A",H872,IF(Parameter!$E$30="MAX-Bestand",IF(CI872=1,CJ872,IF(LEFT(Cockpit!$C$5,1)="B",AM872,MAX(AM872,H872))),ROUNDUP(AK872,0)))</f>
        <v>40</v>
      </c>
      <c r="AH872" s="62" t="n">
        <f aca="false">IF(CA872=1,0,ROUNDUP(AG872/BZ872,0))</f>
        <v>1</v>
      </c>
      <c r="AI872" s="64" t="n">
        <f aca="false">IF(CR872&gt;0,CR872*MAX(1,AG872/X872),IF(CA872=1,IF(AG872&lt;=0,0,CE872*MAX(1,IF(H872&gt;0,AG872/H872,1))),IF(R872&gt;0,AH872/R872,0))/MAX(0.1,N(Parameter!$M$21)))</f>
        <v>0.0833333333333333</v>
      </c>
      <c r="AJ872" s="62" t="n">
        <f aca="false">AI872*CC872</f>
        <v>20.4166666666667</v>
      </c>
      <c r="AK872" s="63" t="n">
        <f aca="false">IF(LEFT(Cockpit!$C$5,1)="A",H872,IF(CI872=1,(CL872+CJ872)/2,IF(LEFT(Cockpit!$C$5,1)="B",(CL872+AM872)/2,MAX((CL872+AM872)/2,H872))))</f>
        <v>40</v>
      </c>
      <c r="AL872" s="62" t="n">
        <f aca="false">AK872*G872</f>
        <v>1456</v>
      </c>
      <c r="AM872" s="62" t="n">
        <f aca="false">ROUNDUP(CL872+MAX(CM872,2*(J872/IF(CH872&gt;0,CH872,MAX(0.1,N(Cockpit!$C$6)))-CL872)),0)</f>
        <v>80</v>
      </c>
      <c r="AN872" s="63" t="n">
        <f aca="false">IF(AJ872&gt;0,J872/AJ872,-1)</f>
        <v>3.5265306122449</v>
      </c>
      <c r="AO872" s="63" t="n">
        <f aca="false">IF(AND(OR(CG872="L1",CG872="L23",CG872="LIFT"),AJ872&gt;0),SUMIFS($AJ$7:$AJ$1843,$CG$7:$CG$1843,CG872,$AN$7:$AN$1843,"&gt;"&amp;AN872)+SUMIFS($AJ$7:$AJ$1843,$CG$7:$CG$1843,CG872,$AN$7:$AN$1843,AN872,$BX$7:$BX$1843,"&lt;="&amp;BX872),"")</f>
        <v>4882.55906593407</v>
      </c>
      <c r="AP872" s="70" t="n">
        <f aca="false">IF(AO872="",0,MAX(0,MIN(1,(IF(CG872="L1",Parameter!$H$5,IF(CG872="L23",Parameter!$H$6+Parameter!$H$7,Parameter!$H$5+Parameter!$H$6+Parameter!$H$7))-(AO872-AJ872))/AJ872)))</f>
        <v>1</v>
      </c>
      <c r="AQ872" s="62" t="n">
        <f aca="false">IF(LEFT(Cockpit!$I$5,1)="A",H872,IF(Parameter!$E$30="MAX-Bestand",IF(CI872=1,CJ872,IF(LEFT(Cockpit!$I$5,1)="B",AW872,MAX(AW872,H872))),ROUNDUP(AU872,0)))</f>
        <v>45</v>
      </c>
      <c r="AR872" s="62" t="n">
        <f aca="false">IF(CA872=1,0,ROUNDUP(AQ872/BZ872,0))</f>
        <v>1</v>
      </c>
      <c r="AS872" s="64" t="n">
        <f aca="false">IF(CR872&gt;0,CR872*MAX(1,AQ872/X872),IF(CA872=1,IF(AQ872&lt;=0,0,CE872*MAX(1,IF(H872&gt;0,AQ872/H872,1))),IF(R872&gt;0,AR872/R872,0))/MAX(0.1,N(Parameter!$M$21)))</f>
        <v>0.0833333333333333</v>
      </c>
      <c r="AT872" s="62" t="n">
        <f aca="false">AS872*CC872</f>
        <v>20.4166666666667</v>
      </c>
      <c r="AU872" s="63" t="n">
        <f aca="false">IF(LEFT(Cockpit!$I$5,1)="A",H872,IF(CI872=1,(CL872+CJ872)/2,IF(LEFT(Cockpit!$I$5,1)="B",(CL872+AW872)/2,MAX((CL872+AW872)/2,H872))))</f>
        <v>45</v>
      </c>
      <c r="AV872" s="62" t="n">
        <f aca="false">AU872*G872</f>
        <v>1638</v>
      </c>
      <c r="AW872" s="62" t="n">
        <f aca="false">ROUNDUP(CL872+MAX(CM872,2*(J872/IF(CH872&gt;0,CH872,MAX(0.1,N(Cockpit!$I$6)))-CL872)),0)</f>
        <v>80</v>
      </c>
      <c r="AX872" s="63" t="n">
        <f aca="false">IF(AT872&gt;0,J872/AT872,-1)</f>
        <v>3.5265306122449</v>
      </c>
      <c r="AY872" s="63" t="n">
        <f aca="false">IF(AND(OR(CG872="L1",CG872="L23",CG872="LIFT"),AT872&gt;0),SUMIFS($AT$7:$AT$1843,$CG$7:$CG$1843,CG872,$AX$7:$AX$1843,"&gt;"&amp;AX872)+SUMIFS($AT$7:$AT$1843,$CG$7:$CG$1843,CG872,$AX$7:$AX$1843,AX872,$BX$7:$BX$1843,"&lt;="&amp;BX872),"")</f>
        <v>5460.14606227106</v>
      </c>
      <c r="AZ872" s="70" t="n">
        <f aca="false">IF(AY872="",0,MAX(0,MIN(1,(IF(CG872="L1",Parameter!$H$5,IF(CG872="L23",Parameter!$H$6+Parameter!$H$7,Parameter!$H$5+Parameter!$H$6+Parameter!$H$7))-(AY872-AT872))/AT872)))</f>
        <v>1</v>
      </c>
      <c r="BA872" s="62" t="n">
        <f aca="false">IF(LEFT(Cockpit!$O$5,1)="A",H872,IF(Parameter!$E$30="MAX-Bestand",IF(CI872=1,CJ872,IF(LEFT(Cockpit!$O$5,1)="B",BG872,MAX(BG872,H872))),ROUNDUP(BE872,0)))</f>
        <v>45</v>
      </c>
      <c r="BB872" s="62" t="n">
        <f aca="false">IF(CA872=1,0,ROUNDUP(BA872/BZ872,0))</f>
        <v>1</v>
      </c>
      <c r="BC872" s="64" t="n">
        <f aca="false">IF(CR872&gt;0,CR872*MAX(1,BA872/X872),IF(CA872=1,IF(BA872&lt;=0,0,CE872*MAX(1,IF(H872&gt;0,BA872/H872,1))),IF(R872&gt;0,BB872/R872,0))/MAX(0.1,N(Parameter!$M$21)))</f>
        <v>0.0833333333333333</v>
      </c>
      <c r="BD872" s="62" t="n">
        <f aca="false">BC872*CC872</f>
        <v>20.4166666666667</v>
      </c>
      <c r="BE872" s="63" t="n">
        <f aca="false">IF(LEFT(Cockpit!$O$5,1)="A",H872,IF(CI872=1,(CL872+CJ872)/2,IF(LEFT(Cockpit!$O$5,1)="B",(CL872+BG872)/2,MAX((CL872+BG872)/2,H872))))</f>
        <v>45</v>
      </c>
      <c r="BF872" s="62" t="n">
        <f aca="false">BE872*G872</f>
        <v>1638</v>
      </c>
      <c r="BG872" s="62" t="n">
        <f aca="false">ROUNDUP(CL872+MAX(CM872,2*(J872/IF(CH872&gt;0,CH872,MAX(0.1,N(Cockpit!$O$6)))-CL872)),0)</f>
        <v>80</v>
      </c>
      <c r="BH872" s="63" t="n">
        <f aca="false">IF(BD872&gt;0,J872/BD872,-1)</f>
        <v>3.5265306122449</v>
      </c>
      <c r="BI872" s="63" t="n">
        <f aca="false">IF(AND(OR(CG872="L1",CG872="L23",CG872="LIFT"),BD872&gt;0),SUMIFS($BD$7:$BD$1843,$CG$7:$CG$1843,CG872,$BH$7:$BH$1843,"&gt;"&amp;BH872)+SUMIFS($BD$7:$BD$1843,$CG$7:$CG$1843,CG872,$BH$7:$BH$1843,BH872,$BX$7:$BX$1843,"&lt;="&amp;BX872),"")</f>
        <v>4474.64285714286</v>
      </c>
      <c r="BJ872" s="70" t="n">
        <f aca="false">IF(BI872="",0,MAX(0,MIN(1,(IF(CG872="L1",Parameter!$H$5,IF(CG872="L23",Parameter!$H$6+Parameter!$H$7,Parameter!$H$5+Parameter!$H$6+Parameter!$H$7))-(BI872-BD872))/BD872)))</f>
        <v>1</v>
      </c>
      <c r="BK872" s="60" t="str">
        <f aca="false">IF(AJ872&lt;=0,"",IF(CG872="Aussen","Aussenlager",IF(CG872="-","Nicht im Lift",IF(AP872&gt;=1,"Lift",IF(AP872&lt;=0,"Aussenlager","teilweise")))))</f>
        <v>Lift</v>
      </c>
      <c r="BL872" s="60" t="str">
        <f aca="false">IF(AT872&lt;=0,"",IF(CG872="Aussen","Aussenlager",IF(CG872="-","Nicht im Lift",IF(AZ872&gt;=1,"Lift",IF(AZ872&lt;=0,"Aussenlager","teilweise")))))</f>
        <v>Lift</v>
      </c>
      <c r="BM872" s="60" t="str">
        <f aca="false">IF(BD872&lt;=0,"",IF(CG872="Aussen","Aussenlager",IF(CG872="-","Nicht im Lift",IF(BJ872&gt;=1,"Lift",IF(BJ872&lt;=0,"Aussenlager","teilweise")))))</f>
        <v>Lift</v>
      </c>
      <c r="BN872" s="60" t="str">
        <f aca="false">IF(A872="","",IF(BW872=1,"Neu; ","")&amp;IF(AND(BW872=0,BR872&lt;0),"negativer Bestand (Export "&amp;BR872&amp;"); ","")&amp;IF(J872&lt;=0,"Kein Verbrauch; ","")&amp;IF(CR872&gt;0,"Lift "&amp;W872&amp;" lt. Liftbericht (Fach "&amp;X872&amp;" Stk); ",IF(CB872=1,"Gebinde geschätzt ("&amp;T872&amp;"); ",IF(CA872=1,"Lose – Tablare geschätzt; ","")))&amp;IF(H872&gt;AW872,"Überbestand "&amp;ROUND(H872-AW872,0)&amp;" Stk / CHF "&amp;ROUND((H872-AW872)*G872,0)&amp;"; ","")&amp;IF(AND(CI872=1,CJ872&lt;CK872),"MAX &lt; MB+LG; ","")&amp;IF(AND(CQ872&gt;0,CP872*10&gt;CQ872),"zu hoch für Tablar; ","")&amp;IF(AND(BW872=0,OR(CI872=1,AB872&lt;&gt;"",U872&lt;&gt;"",V872&lt;&gt;"",AC872&lt;&gt;"")),"manuell übersteuert; ","")&amp;IF(AND(CA872=0,R872=0),"Gebinde unbekannt / Stellmass fehlt; ","")&amp;IF(AND(CA872=0,N(V872)&lt;=0,N(Q872)&lt;=0),"Menge pro Gebinde fehlt (Ist = 1 Gebinde); ","")&amp;BV872)</f>
        <v/>
      </c>
      <c r="BO872" s="60"/>
      <c r="BP872" s="60"/>
      <c r="BQ872" s="67"/>
      <c r="BR872" s="62" t="n">
        <v>14</v>
      </c>
      <c r="BS872" s="62" t="n">
        <v>26</v>
      </c>
      <c r="BT872" s="61" t="n">
        <v>-23.9200000000017</v>
      </c>
      <c r="BU872" s="62" t="n">
        <v>72</v>
      </c>
      <c r="BV872" s="60"/>
      <c r="BW872" s="65" t="n">
        <v>0</v>
      </c>
      <c r="BX872" s="65" t="n">
        <v>872</v>
      </c>
      <c r="BY872" s="60" t="str">
        <f aca="false">IF(U872&lt;&gt;"",UPPER(TRIM(U872)),IF(CB872=1,UPPER(VLOOKUP(T872,Parameter!$I$27:$K$29,2,0)),IF(P872="","LOSE",P872)))</f>
        <v>S62</v>
      </c>
      <c r="BZ872" s="62" t="n">
        <f aca="false">IF(BY872="LOSE",1,IF(N(V872)&gt;0,V872,IF(CB872=1,MAX(1,N(VLOOKUP(T872,Parameter!$I$27:$K$29,3,0)),H872,N(N872)),IF(N(Q872)&gt;0,Q872,MAX(1,H872)))))</f>
        <v>45</v>
      </c>
      <c r="CA872" s="65" t="n">
        <f aca="false">IF(BY872="LOSE",1,0)</f>
        <v>0</v>
      </c>
      <c r="CB872" s="65" t="n">
        <f aca="false">IF(AND(U872="",OR(P872="",P872="LOSE"),T872&lt;&gt;"",N(S872)&lt;=0,ISNUMBER(MATCH(T872,Parameter!$I$27:$I$29,0))),1,0)</f>
        <v>0</v>
      </c>
      <c r="CC872" s="65" t="n">
        <f aca="false">IF(CR872&gt;0,INDEX(Parameter!$H$5:$H$7,W872)/INDEX(Parameter!$E$5:$E$7,W872),IF(AND(CA872=0,N(IFERROR(VLOOKUP(BY872,'Gebinde-Kategorie'!$A$5:$N$45,14,0),0))&gt;0),VLOOKUP(BY872,'Gebinde-Kategorie'!$A$5:$N$45,14,0)*10+Parameter!$M$23,Parameter!$M$24))</f>
        <v>245</v>
      </c>
      <c r="CD872" s="60" t="str">
        <f aca="false">IF(AND(Parameter!$B$19="Ja",E872&lt;&gt;"",ISNUMBER(MATCH(E872,Parameter!$I$35:$I$52,0))),VLOOKUP(E872,Parameter!$I$35:$J$52,2,0),IFERROR(VLOOKUP(D872,Parameter!$A$35:$C$64,2,0),"Nein"))</f>
        <v>2+3</v>
      </c>
      <c r="CE872" s="64" t="n">
        <f aca="false">IF(CA872=0,0,IF(N(S872)&gt;0,S872,IFERROR(VLOOKUP(D872,Parameter!$A$35:$C$64,3,0)+0,0)))</f>
        <v>0</v>
      </c>
      <c r="CF872" s="60" t="n">
        <f aca="false">IF(AB872&lt;&gt;"",AB872,AA872)</f>
        <v>3</v>
      </c>
      <c r="CG872" s="60" t="str">
        <f aca="false">IF(OR(CF872=1,CF872=2,CF872=3),IF(Parameter!$E$27="Ja","LIFT",IF(CF872=1,"L1","L23")),IF(CF872="Aussen","Aussen","-"))</f>
        <v>LIFT</v>
      </c>
      <c r="CH872" s="71" t="n">
        <f aca="false">IF(N(AC872)&gt;0,AC872,0)</f>
        <v>0</v>
      </c>
      <c r="CI872" s="65" t="n">
        <f aca="false">IF(ISNUMBER(AF872),1,0)</f>
        <v>0</v>
      </c>
      <c r="CJ872" s="62" t="n">
        <f aca="false">N(AF872)</f>
        <v>0</v>
      </c>
      <c r="CK872" s="62" t="n">
        <f aca="false">N(M872)+N(N872)</f>
        <v>80</v>
      </c>
      <c r="CL872" s="62" t="n">
        <f aca="false">N(M872)</f>
        <v>10</v>
      </c>
      <c r="CM872" s="62" t="n">
        <f aca="false">N(N872)</f>
        <v>70</v>
      </c>
      <c r="CN872" s="62" t="n">
        <f aca="false">ROUNDUP(H872/BZ872,0)</f>
        <v>1</v>
      </c>
      <c r="CO872" s="62" t="n">
        <f aca="false">ROUNDUP(CJ872/BZ872,0)</f>
        <v>0</v>
      </c>
      <c r="CP872" s="65" t="n">
        <f aca="false">IF(CA872=1,0,IFERROR(VLOOKUP(BY872,'Gebinde-Kategorie'!$A$5:$N$45,5,0)+0,0))</f>
        <v>21</v>
      </c>
      <c r="CQ872" s="65" t="n">
        <f aca="false">IFERROR(IF(OR(CF872=1,CF872=2,CF872=3),N(INDEX(Parameter!$I$5:$I$7,CF872)),0),0)</f>
        <v>0</v>
      </c>
      <c r="CR872" s="64" t="n">
        <f aca="false">IF(AND(Parameter!$B$21="Ja",ISNUMBER(W872),N(X872)&gt;0),IFERROR(N(INDEX(Parameter!$L$5:$L$7,W872))*INDEX(Parameter!$E$5:$E$7,W872)*X872/SUMIFS($X$7:$X$1843,$W$7:$W$1843,W872),0),0)</f>
        <v>0</v>
      </c>
      <c r="CS872" s="62" t="n">
        <f aca="false">IF(AND(OR(CG872="L1",CG872="L23",CG872="LIFT"),H872&gt;0),CC872*IF(CR872&gt;0,CR872*MAX(1,H872/X872),IF(CA872=1,CE872,IF(R872&gt;0,CN872/R872,0))/MAX(0.1,N(Parameter!$M$21))),"")</f>
        <v>20.4166666666667</v>
      </c>
      <c r="CT872" s="64" t="n">
        <f aca="false">IF(CS872="","",J872/H872)</f>
        <v>1.8</v>
      </c>
      <c r="CU872" s="62" t="n">
        <f aca="false">IF(CS872="","",H872*G872)</f>
        <v>1456</v>
      </c>
      <c r="CV872" s="63" t="n">
        <f aca="false">IF(CS872="","",(CL872+ROUNDUP(CL872+MAX(CM872,2*(J872/MAX(0.1,N(Einkauf!$C$6))-CL872)),0))/2)</f>
        <v>45</v>
      </c>
      <c r="CW872" s="62" t="n">
        <f aca="false">IF(CS872="","",MAX(0,H872-CV872)*G872)</f>
        <v>0</v>
      </c>
      <c r="CX872" s="62" t="n">
        <f aca="false">IF(CS872="","",CS872*MAX(0,1-CV872/H872))</f>
        <v>0</v>
      </c>
      <c r="CY872" s="64" t="n">
        <f aca="false">IF(CS872="","",PERCENTRANK($CS$7:$CS$1843,CS872)+PERCENTRANK($CU$7:$CU$1843,CU872)+1-PERCENTRANK($CT$7:$CT$1843,CT872))</f>
        <v>1.699</v>
      </c>
      <c r="CZ872" s="72" t="n">
        <f aca="false">IF(CS872="","",CHOOSE(MATCH(Einkauf!$C$5,Parameter!$G$23:$G$27,0),CY872,CS872,CU872,-CT872,CW872)+ROW()/1000000000)</f>
        <v>1.699000872</v>
      </c>
    </row>
    <row r="873" customFormat="false" ht="15" hidden="false" customHeight="false" outlineLevel="0" collapsed="false">
      <c r="A873" s="60" t="s">
        <v>1698</v>
      </c>
      <c r="B873" s="60" t="s">
        <v>1620</v>
      </c>
      <c r="C873" s="60" t="s">
        <v>206</v>
      </c>
      <c r="D873" s="60" t="s">
        <v>226</v>
      </c>
      <c r="E873" s="60"/>
      <c r="F873" s="60" t="s">
        <v>260</v>
      </c>
      <c r="G873" s="61" t="n">
        <v>4.8</v>
      </c>
      <c r="H873" s="62" t="n">
        <f aca="false">MAX(0,IF(AND(Parameter!$B$21="Ja",ISNUMBER(Y873)),Y873,IF(Parameter!$B$20="Jahresanfang 2025 + Export",BS873+BR873,BR873)))</f>
        <v>27</v>
      </c>
      <c r="I873" s="62" t="n">
        <f aca="false">H873*G873</f>
        <v>129.6</v>
      </c>
      <c r="J873" s="62" t="n">
        <f aca="false">BU873*Parameter!$B$18</f>
        <v>1</v>
      </c>
      <c r="K873" s="63" t="n">
        <v>30</v>
      </c>
      <c r="L873" s="64" t="n">
        <v>0.0333333333333333</v>
      </c>
      <c r="M873" s="62" t="n">
        <v>0</v>
      </c>
      <c r="N873" s="62" t="n">
        <v>1</v>
      </c>
      <c r="O873" s="65" t="n">
        <v>28</v>
      </c>
      <c r="P873" s="60" t="s">
        <v>210</v>
      </c>
      <c r="Q873" s="62"/>
      <c r="R873" s="65" t="n">
        <f aca="false">IF(CA873=1,0,IFERROR(VLOOKUP(BY873,'Gebinde-Kategorie'!$A$5:$N$45,13,0)+0,0))</f>
        <v>12</v>
      </c>
      <c r="S873" s="66"/>
      <c r="T873" s="67" t="s">
        <v>221</v>
      </c>
      <c r="U873" s="67"/>
      <c r="V873" s="67"/>
      <c r="W873" s="60"/>
      <c r="X873" s="62"/>
      <c r="Y873" s="62"/>
      <c r="Z873" s="60" t="n">
        <v>3</v>
      </c>
      <c r="AA873" s="60" t="n">
        <f aca="false">IF(A873="","",IF(AND(Parameter!$B$21="Ja",ISNUMBER(W873)),W873,IF(AND(Parameter!$E$27="Ja",ISNUMBER(Z873),CD873&lt;&gt;"Nein"),Z873,IF(CD873="2+3",IF(ISNUMBER(SEARCH("grosser Artikel",BV873)),2,IFERROR(VLOOKUP(BY873,Parameter!$F$35:$G$64,2,0),2)),IF(OR(CD873="Nein",CD873=""),"-",CD873)))))</f>
        <v>3</v>
      </c>
      <c r="AB873" s="67"/>
      <c r="AC873" s="68"/>
      <c r="AD873" s="62" t="n">
        <f aca="false">AW873</f>
        <v>1</v>
      </c>
      <c r="AE873" s="62" t="n">
        <f aca="false">MAX(AW873,H873)</f>
        <v>27</v>
      </c>
      <c r="AF873" s="69"/>
      <c r="AG873" s="62" t="n">
        <f aca="false">IF(LEFT(Cockpit!$C$5,1)="A",H873,IF(Parameter!$E$30="MAX-Bestand",IF(CI873=1,CJ873,IF(LEFT(Cockpit!$C$5,1)="B",AM873,MAX(AM873,H873))),ROUNDUP(AK873,0)))</f>
        <v>27</v>
      </c>
      <c r="AH873" s="62" t="n">
        <f aca="false">IF(CA873=1,0,ROUNDUP(AG873/BZ873,0))</f>
        <v>1</v>
      </c>
      <c r="AI873" s="64" t="n">
        <f aca="false">IF(CR873&gt;0,CR873*MAX(1,AG873/X873),IF(CA873=1,IF(AG873&lt;=0,0,CE873*MAX(1,IF(H873&gt;0,AG873/H873,1))),IF(R873&gt;0,AH873/R873,0))/MAX(0.1,N(Parameter!$M$21)))</f>
        <v>0.0833333333333333</v>
      </c>
      <c r="AJ873" s="62" t="n">
        <f aca="false">AI873*CC873</f>
        <v>12.0833333333333</v>
      </c>
      <c r="AK873" s="63" t="n">
        <f aca="false">IF(LEFT(Cockpit!$C$5,1)="A",H873,IF(CI873=1,(CL873+CJ873)/2,IF(LEFT(Cockpit!$C$5,1)="B",(CL873+AM873)/2,MAX((CL873+AM873)/2,H873))))</f>
        <v>27</v>
      </c>
      <c r="AL873" s="62" t="n">
        <f aca="false">AK873*G873</f>
        <v>129.6</v>
      </c>
      <c r="AM873" s="62" t="n">
        <f aca="false">ROUNDUP(CL873+MAX(CM873,2*(J873/IF(CH873&gt;0,CH873,MAX(0.1,N(Cockpit!$C$6)))-CL873)),0)</f>
        <v>1</v>
      </c>
      <c r="AN873" s="63" t="n">
        <f aca="false">IF(AJ873&gt;0,J873/AJ873,-1)</f>
        <v>0.0827586206896552</v>
      </c>
      <c r="AO873" s="63" t="n">
        <f aca="false">IF(AND(OR(CG873="L1",CG873="L23",CG873="LIFT"),AJ873&gt;0),SUMIFS($AJ$7:$AJ$1843,$CG$7:$CG$1843,CG873,$AN$7:$AN$1843,"&gt;"&amp;AN873)+SUMIFS($AJ$7:$AJ$1843,$CG$7:$CG$1843,CG873,$AN$7:$AN$1843,AN873,$BX$7:$BX$1843,"&lt;="&amp;BX873),"")</f>
        <v>16725.6907322903</v>
      </c>
      <c r="AP873" s="70" t="n">
        <f aca="false">IF(AO873="",0,MAX(0,MIN(1,(IF(CG873="L1",Parameter!$H$5,IF(CG873="L23",Parameter!$H$6+Parameter!$H$7,Parameter!$H$5+Parameter!$H$6+Parameter!$H$7))-(AO873-AJ873))/AJ873)))</f>
        <v>1</v>
      </c>
      <c r="AQ873" s="62" t="n">
        <f aca="false">IF(LEFT(Cockpit!$I$5,1)="A",H873,IF(Parameter!$E$30="MAX-Bestand",IF(CI873=1,CJ873,IF(LEFT(Cockpit!$I$5,1)="B",AW873,MAX(AW873,H873))),ROUNDUP(AU873,0)))</f>
        <v>27</v>
      </c>
      <c r="AR873" s="62" t="n">
        <f aca="false">IF(CA873=1,0,ROUNDUP(AQ873/BZ873,0))</f>
        <v>1</v>
      </c>
      <c r="AS873" s="64" t="n">
        <f aca="false">IF(CR873&gt;0,CR873*MAX(1,AQ873/X873),IF(CA873=1,IF(AQ873&lt;=0,0,CE873*MAX(1,IF(H873&gt;0,AQ873/H873,1))),IF(R873&gt;0,AR873/R873,0))/MAX(0.1,N(Parameter!$M$21)))</f>
        <v>0.0833333333333333</v>
      </c>
      <c r="AT873" s="62" t="n">
        <f aca="false">AS873*CC873</f>
        <v>12.0833333333333</v>
      </c>
      <c r="AU873" s="63" t="n">
        <f aca="false">IF(LEFT(Cockpit!$I$5,1)="A",H873,IF(CI873=1,(CL873+CJ873)/2,IF(LEFT(Cockpit!$I$5,1)="B",(CL873+AW873)/2,MAX((CL873+AW873)/2,H873))))</f>
        <v>27</v>
      </c>
      <c r="AV873" s="62" t="n">
        <f aca="false">AU873*G873</f>
        <v>129.6</v>
      </c>
      <c r="AW873" s="62" t="n">
        <f aca="false">ROUNDUP(CL873+MAX(CM873,2*(J873/IF(CH873&gt;0,CH873,MAX(0.1,N(Cockpit!$I$6)))-CL873)),0)</f>
        <v>1</v>
      </c>
      <c r="AX873" s="63" t="n">
        <f aca="false">IF(AT873&gt;0,J873/AT873,-1)</f>
        <v>0.0827586206896552</v>
      </c>
      <c r="AY873" s="63" t="n">
        <f aca="false">IF(AND(OR(CG873="L1",CG873="L23",CG873="LIFT"),AT873&gt;0),SUMIFS($AT$7:$AT$1843,$CG$7:$CG$1843,CG873,$AX$7:$AX$1843,"&gt;"&amp;AX873)+SUMIFS($AT$7:$AT$1843,$CG$7:$CG$1843,CG873,$AX$7:$AX$1843,AX873,$BX$7:$BX$1843,"&lt;="&amp;BX873),"")</f>
        <v>21785.0893736678</v>
      </c>
      <c r="AZ873" s="70" t="n">
        <f aca="false">IF(AY873="",0,MAX(0,MIN(1,(IF(CG873="L1",Parameter!$H$5,IF(CG873="L23",Parameter!$H$6+Parameter!$H$7,Parameter!$H$5+Parameter!$H$6+Parameter!$H$7))-(AY873-AT873))/AT873)))</f>
        <v>1</v>
      </c>
      <c r="BA873" s="62" t="n">
        <f aca="false">IF(LEFT(Cockpit!$O$5,1)="A",H873,IF(Parameter!$E$30="MAX-Bestand",IF(CI873=1,CJ873,IF(LEFT(Cockpit!$O$5,1)="B",BG873,MAX(BG873,H873))),ROUNDUP(BE873,0)))</f>
        <v>1</v>
      </c>
      <c r="BB873" s="62" t="n">
        <f aca="false">IF(CA873=1,0,ROUNDUP(BA873/BZ873,0))</f>
        <v>1</v>
      </c>
      <c r="BC873" s="64" t="n">
        <f aca="false">IF(CR873&gt;0,CR873*MAX(1,BA873/X873),IF(CA873=1,IF(BA873&lt;=0,0,CE873*MAX(1,IF(H873&gt;0,BA873/H873,1))),IF(R873&gt;0,BB873/R873,0))/MAX(0.1,N(Parameter!$M$21)))</f>
        <v>0.0833333333333333</v>
      </c>
      <c r="BD873" s="62" t="n">
        <f aca="false">BC873*CC873</f>
        <v>12.0833333333333</v>
      </c>
      <c r="BE873" s="63" t="n">
        <f aca="false">IF(LEFT(Cockpit!$O$5,1)="A",H873,IF(CI873=1,(CL873+CJ873)/2,IF(LEFT(Cockpit!$O$5,1)="B",(CL873+BG873)/2,MAX((CL873+BG873)/2,H873))))</f>
        <v>0.5</v>
      </c>
      <c r="BF873" s="62" t="n">
        <f aca="false">BE873*G873</f>
        <v>2.4</v>
      </c>
      <c r="BG873" s="62" t="n">
        <f aca="false">ROUNDUP(CL873+MAX(CM873,2*(J873/IF(CH873&gt;0,CH873,MAX(0.1,N(Cockpit!$O$6)))-CL873)),0)</f>
        <v>1</v>
      </c>
      <c r="BH873" s="63" t="n">
        <f aca="false">IF(BD873&gt;0,J873/BD873,-1)</f>
        <v>0.0827586206896552</v>
      </c>
      <c r="BI873" s="63" t="n">
        <f aca="false">IF(AND(OR(CG873="L1",CG873="L23",CG873="LIFT"),BD873&gt;0),SUMIFS($BD$7:$BD$1843,$CG$7:$CG$1843,CG873,$BH$7:$BH$1843,"&gt;"&amp;BH873)+SUMIFS($BD$7:$BD$1843,$CG$7:$CG$1843,CG873,$BH$7:$BH$1843,BH873,$BX$7:$BX$1843,"&lt;="&amp;BX873),"")</f>
        <v>18323.1455759401</v>
      </c>
      <c r="BJ873" s="70" t="n">
        <f aca="false">IF(BI873="",0,MAX(0,MIN(1,(IF(CG873="L1",Parameter!$H$5,IF(CG873="L23",Parameter!$H$6+Parameter!$H$7,Parameter!$H$5+Parameter!$H$6+Parameter!$H$7))-(BI873-BD873))/BD873)))</f>
        <v>1</v>
      </c>
      <c r="BK873" s="60" t="str">
        <f aca="false">IF(AJ873&lt;=0,"",IF(CG873="Aussen","Aussenlager",IF(CG873="-","Nicht im Lift",IF(AP873&gt;=1,"Lift",IF(AP873&lt;=0,"Aussenlager","teilweise")))))</f>
        <v>Lift</v>
      </c>
      <c r="BL873" s="60" t="str">
        <f aca="false">IF(AT873&lt;=0,"",IF(CG873="Aussen","Aussenlager",IF(CG873="-","Nicht im Lift",IF(AZ873&gt;=1,"Lift",IF(AZ873&lt;=0,"Aussenlager","teilweise")))))</f>
        <v>Lift</v>
      </c>
      <c r="BM873" s="60" t="str">
        <f aca="false">IF(BD873&lt;=0,"",IF(CG873="Aussen","Aussenlager",IF(CG873="-","Nicht im Lift",IF(BJ873&gt;=1,"Lift",IF(BJ873&lt;=0,"Aussenlager","teilweise")))))</f>
        <v>Lift</v>
      </c>
      <c r="BN873" s="60" t="str">
        <f aca="false">IF(A873="","",IF(BW873=1,"Neu; ","")&amp;IF(AND(BW873=0,BR873&lt;0),"negativer Bestand (Export "&amp;BR873&amp;"); ","")&amp;IF(J873&lt;=0,"Kein Verbrauch; ","")&amp;IF(CR873&gt;0,"Lift "&amp;W873&amp;" lt. Liftbericht (Fach "&amp;X873&amp;" Stk); ",IF(CB873=1,"Gebinde geschätzt ("&amp;T873&amp;"); ",IF(CA873=1,"Lose – Tablare geschätzt; ","")))&amp;IF(H873&gt;AW873,"Überbestand "&amp;ROUND(H873-AW873,0)&amp;" Stk / CHF "&amp;ROUND((H873-AW873)*G873,0)&amp;"; ","")&amp;IF(AND(CI873=1,CJ873&lt;CK873),"MAX &lt; MB+LG; ","")&amp;IF(AND(CQ873&gt;0,CP873*10&gt;CQ873),"zu hoch für Tablar; ","")&amp;IF(AND(BW873=0,OR(CI873=1,AB873&lt;&gt;"",U873&lt;&gt;"",V873&lt;&gt;"",AC873&lt;&gt;"")),"manuell übersteuert; ","")&amp;IF(AND(CA873=0,R873=0),"Gebinde unbekannt / Stellmass fehlt; ","")&amp;IF(AND(CA873=0,N(V873)&lt;=0,N(Q873)&lt;=0),"Menge pro Gebinde fehlt (Ist = 1 Gebinde); ","")&amp;BV873)</f>
        <v>negativer Bestand (Export -5); Gebinde geschätzt (Mittel); Überbestand 26 Stk / CHF 125; Menge pro Gebinde fehlt (Ist = 1 Gebinde); </v>
      </c>
      <c r="BO873" s="60"/>
      <c r="BP873" s="60"/>
      <c r="BQ873" s="67"/>
      <c r="BR873" s="62" t="n">
        <v>-5</v>
      </c>
      <c r="BS873" s="62" t="n">
        <v>32</v>
      </c>
      <c r="BT873" s="61" t="n">
        <v>-24</v>
      </c>
      <c r="BU873" s="62" t="n">
        <v>1</v>
      </c>
      <c r="BV873" s="60"/>
      <c r="BW873" s="65" t="n">
        <v>0</v>
      </c>
      <c r="BX873" s="65" t="n">
        <v>873</v>
      </c>
      <c r="BY873" s="60" t="str">
        <f aca="false">IF(U873&lt;&gt;"",UPPER(TRIM(U873)),IF(CB873=1,UPPER(VLOOKUP(T873,Parameter!$I$27:$K$29,2,0)),IF(P873="","LOSE",P873)))</f>
        <v>S61</v>
      </c>
      <c r="BZ873" s="62" t="n">
        <f aca="false">IF(BY873="LOSE",1,IF(N(V873)&gt;0,V873,IF(CB873=1,MAX(1,N(VLOOKUP(T873,Parameter!$I$27:$K$29,3,0)),H873,N(N873)),IF(N(Q873)&gt;0,Q873,MAX(1,H873)))))</f>
        <v>27</v>
      </c>
      <c r="CA873" s="65" t="n">
        <f aca="false">IF(BY873="LOSE",1,0)</f>
        <v>0</v>
      </c>
      <c r="CB873" s="65" t="n">
        <f aca="false">IF(AND(U873="",OR(P873="",P873="LOSE"),T873&lt;&gt;"",N(S873)&lt;=0,ISNUMBER(MATCH(T873,Parameter!$I$27:$I$29,0))),1,0)</f>
        <v>1</v>
      </c>
      <c r="CC873" s="65" t="n">
        <f aca="false">IF(CR873&gt;0,INDEX(Parameter!$H$5:$H$7,W873)/INDEX(Parameter!$E$5:$E$7,W873),IF(AND(CA873=0,N(IFERROR(VLOOKUP(BY873,'Gebinde-Kategorie'!$A$5:$N$45,14,0),0))&gt;0),VLOOKUP(BY873,'Gebinde-Kategorie'!$A$5:$N$45,14,0)*10+Parameter!$M$23,Parameter!$M$24))</f>
        <v>145</v>
      </c>
      <c r="CD873" s="60" t="str">
        <f aca="false">IF(AND(Parameter!$B$19="Ja",E873&lt;&gt;"",ISNUMBER(MATCH(E873,Parameter!$I$35:$I$52,0))),VLOOKUP(E873,Parameter!$I$35:$J$52,2,0),IFERROR(VLOOKUP(D873,Parameter!$A$35:$C$64,2,0),"Nein"))</f>
        <v>2+3</v>
      </c>
      <c r="CE873" s="64" t="n">
        <f aca="false">IF(CA873=0,0,IF(N(S873)&gt;0,S873,IFERROR(VLOOKUP(D873,Parameter!$A$35:$C$64,3,0)+0,0)))</f>
        <v>0</v>
      </c>
      <c r="CF873" s="60" t="n">
        <f aca="false">IF(AB873&lt;&gt;"",AB873,AA873)</f>
        <v>3</v>
      </c>
      <c r="CG873" s="60" t="str">
        <f aca="false">IF(OR(CF873=1,CF873=2,CF873=3),IF(Parameter!$E$27="Ja","LIFT",IF(CF873=1,"L1","L23")),IF(CF873="Aussen","Aussen","-"))</f>
        <v>LIFT</v>
      </c>
      <c r="CH873" s="71" t="n">
        <f aca="false">IF(N(AC873)&gt;0,AC873,0)</f>
        <v>0</v>
      </c>
      <c r="CI873" s="65" t="n">
        <f aca="false">IF(ISNUMBER(AF873),1,0)</f>
        <v>0</v>
      </c>
      <c r="CJ873" s="62" t="n">
        <f aca="false">N(AF873)</f>
        <v>0</v>
      </c>
      <c r="CK873" s="62" t="n">
        <f aca="false">N(M873)+N(N873)</f>
        <v>1</v>
      </c>
      <c r="CL873" s="62" t="n">
        <f aca="false">N(M873)</f>
        <v>0</v>
      </c>
      <c r="CM873" s="62" t="n">
        <f aca="false">N(N873)</f>
        <v>1</v>
      </c>
      <c r="CN873" s="62" t="n">
        <f aca="false">ROUNDUP(H873/BZ873,0)</f>
        <v>1</v>
      </c>
      <c r="CO873" s="62" t="n">
        <f aca="false">ROUNDUP(CJ873/BZ873,0)</f>
        <v>0</v>
      </c>
      <c r="CP873" s="65" t="n">
        <f aca="false">IF(CA873=1,0,IFERROR(VLOOKUP(BY873,'Gebinde-Kategorie'!$A$5:$N$45,5,0)+0,0))</f>
        <v>11</v>
      </c>
      <c r="CQ873" s="65" t="n">
        <f aca="false">IFERROR(IF(OR(CF873=1,CF873=2,CF873=3),N(INDEX(Parameter!$I$5:$I$7,CF873)),0),0)</f>
        <v>0</v>
      </c>
      <c r="CR873" s="64" t="n">
        <f aca="false">IF(AND(Parameter!$B$21="Ja",ISNUMBER(W873),N(X873)&gt;0),IFERROR(N(INDEX(Parameter!$L$5:$L$7,W873))*INDEX(Parameter!$E$5:$E$7,W873)*X873/SUMIFS($X$7:$X$1843,$W$7:$W$1843,W873),0),0)</f>
        <v>0</v>
      </c>
      <c r="CS873" s="62" t="n">
        <f aca="false">IF(AND(OR(CG873="L1",CG873="L23",CG873="LIFT"),H873&gt;0),CC873*IF(CR873&gt;0,CR873*MAX(1,H873/X873),IF(CA873=1,CE873,IF(R873&gt;0,CN873/R873,0))/MAX(0.1,N(Parameter!$M$21))),"")</f>
        <v>12.0833333333333</v>
      </c>
      <c r="CT873" s="64" t="n">
        <f aca="false">IF(CS873="","",J873/H873)</f>
        <v>0.037037037037037</v>
      </c>
      <c r="CU873" s="62" t="n">
        <f aca="false">IF(CS873="","",H873*G873)</f>
        <v>129.6</v>
      </c>
      <c r="CV873" s="63" t="n">
        <f aca="false">IF(CS873="","",(CL873+ROUNDUP(CL873+MAX(CM873,2*(J873/MAX(0.1,N(Einkauf!$C$6))-CL873)),0))/2)</f>
        <v>0.5</v>
      </c>
      <c r="CW873" s="62" t="n">
        <f aca="false">IF(CS873="","",MAX(0,H873-CV873)*G873)</f>
        <v>127.2</v>
      </c>
      <c r="CX873" s="62" t="n">
        <f aca="false">IF(CS873="","",CS873*MAX(0,1-CV873/H873))</f>
        <v>11.8595679012346</v>
      </c>
      <c r="CY873" s="64" t="n">
        <f aca="false">IF(CS873="","",PERCENTRANK($CS$7:$CS$1843,CS873)+PERCENTRANK($CU$7:$CU$1843,CU873)+1-PERCENTRANK($CT$7:$CT$1843,CT873))</f>
        <v>1.533</v>
      </c>
      <c r="CZ873" s="72" t="n">
        <f aca="false">IF(CS873="","",CHOOSE(MATCH(Einkauf!$C$5,Parameter!$G$23:$G$27,0),CY873,CS873,CU873,-CT873,CW873)+ROW()/1000000000)</f>
        <v>1.533000873</v>
      </c>
    </row>
    <row r="874" customFormat="false" ht="15" hidden="false" customHeight="false" outlineLevel="0" collapsed="false">
      <c r="A874" s="60" t="s">
        <v>1699</v>
      </c>
      <c r="B874" s="60" t="s">
        <v>903</v>
      </c>
      <c r="C874" s="60" t="s">
        <v>206</v>
      </c>
      <c r="D874" s="60" t="s">
        <v>226</v>
      </c>
      <c r="E874" s="60"/>
      <c r="F874" s="60" t="s">
        <v>260</v>
      </c>
      <c r="G874" s="61" t="n">
        <v>24.36</v>
      </c>
      <c r="H874" s="62" t="n">
        <f aca="false">MAX(0,IF(AND(Parameter!$B$21="Ja",ISNUMBER(Y874)),Y874,IF(Parameter!$B$20="Jahresanfang 2025 + Export",BS874+BR874,BR874)))</f>
        <v>2</v>
      </c>
      <c r="I874" s="62" t="n">
        <f aca="false">H874*G874</f>
        <v>48.72</v>
      </c>
      <c r="J874" s="62" t="n">
        <f aca="false">BU874*Parameter!$B$18</f>
        <v>1</v>
      </c>
      <c r="K874" s="63" t="n">
        <v>2.5</v>
      </c>
      <c r="L874" s="64" t="n">
        <v>0.4</v>
      </c>
      <c r="M874" s="62" t="n">
        <v>0</v>
      </c>
      <c r="N874" s="62" t="n">
        <v>1</v>
      </c>
      <c r="O874" s="65" t="n">
        <v>28</v>
      </c>
      <c r="P874" s="60" t="s">
        <v>443</v>
      </c>
      <c r="Q874" s="62" t="n">
        <v>5</v>
      </c>
      <c r="R874" s="65" t="n">
        <f aca="false">IF(CA874=1,0,IFERROR(VLOOKUP(BY874,'Gebinde-Kategorie'!$A$5:$N$45,13,0)+0,0))</f>
        <v>280</v>
      </c>
      <c r="S874" s="66"/>
      <c r="T874" s="67"/>
      <c r="U874" s="67"/>
      <c r="V874" s="67"/>
      <c r="W874" s="60"/>
      <c r="X874" s="62"/>
      <c r="Y874" s="62"/>
      <c r="Z874" s="60" t="n">
        <v>2</v>
      </c>
      <c r="AA874" s="60" t="n">
        <f aca="false">IF(A874="","",IF(AND(Parameter!$B$21="Ja",ISNUMBER(W874)),W874,IF(AND(Parameter!$E$27="Ja",ISNUMBER(Z874),CD874&lt;&gt;"Nein"),Z874,IF(CD874="2+3",IF(ISNUMBER(SEARCH("grosser Artikel",BV874)),2,IFERROR(VLOOKUP(BY874,Parameter!$F$35:$G$64,2,0),2)),IF(OR(CD874="Nein",CD874=""),"-",CD874)))))</f>
        <v>2</v>
      </c>
      <c r="AB874" s="67"/>
      <c r="AC874" s="68"/>
      <c r="AD874" s="62" t="n">
        <f aca="false">AW874</f>
        <v>1</v>
      </c>
      <c r="AE874" s="62" t="n">
        <f aca="false">MAX(AW874,H874)</f>
        <v>2</v>
      </c>
      <c r="AF874" s="69"/>
      <c r="AG874" s="62" t="n">
        <f aca="false">IF(LEFT(Cockpit!$C$5,1)="A",H874,IF(Parameter!$E$30="MAX-Bestand",IF(CI874=1,CJ874,IF(LEFT(Cockpit!$C$5,1)="B",AM874,MAX(AM874,H874))),ROUNDUP(AK874,0)))</f>
        <v>2</v>
      </c>
      <c r="AH874" s="62" t="n">
        <f aca="false">IF(CA874=1,0,ROUNDUP(AG874/BZ874,0))</f>
        <v>1</v>
      </c>
      <c r="AI874" s="64" t="n">
        <f aca="false">IF(CR874&gt;0,CR874*MAX(1,AG874/X874),IF(CA874=1,IF(AG874&lt;=0,0,CE874*MAX(1,IF(H874&gt;0,AG874/H874,1))),IF(R874&gt;0,AH874/R874,0))/MAX(0.1,N(Parameter!$M$21)))</f>
        <v>0.00357142857142857</v>
      </c>
      <c r="AJ874" s="62" t="n">
        <f aca="false">AI874*CC874</f>
        <v>0.553571428571429</v>
      </c>
      <c r="AK874" s="63" t="n">
        <f aca="false">IF(LEFT(Cockpit!$C$5,1)="A",H874,IF(CI874=1,(CL874+CJ874)/2,IF(LEFT(Cockpit!$C$5,1)="B",(CL874+AM874)/2,MAX((CL874+AM874)/2,H874))))</f>
        <v>2</v>
      </c>
      <c r="AL874" s="62" t="n">
        <f aca="false">AK874*G874</f>
        <v>48.72</v>
      </c>
      <c r="AM874" s="62" t="n">
        <f aca="false">ROUNDUP(CL874+MAX(CM874,2*(J874/IF(CH874&gt;0,CH874,MAX(0.1,N(Cockpit!$C$6)))-CL874)),0)</f>
        <v>1</v>
      </c>
      <c r="AN874" s="63" t="n">
        <f aca="false">IF(AJ874&gt;0,J874/AJ874,-1)</f>
        <v>1.80645161290323</v>
      </c>
      <c r="AO874" s="63" t="n">
        <f aca="false">IF(AND(OR(CG874="L1",CG874="L23",CG874="LIFT"),AJ874&gt;0),SUMIFS($AJ$7:$AJ$1843,$CG$7:$CG$1843,CG874,$AN$7:$AN$1843,"&gt;"&amp;AN874)+SUMIFS($AJ$7:$AJ$1843,$CG$7:$CG$1843,CG874,$AN$7:$AN$1843,AN874,$BX$7:$BX$1843,"&lt;="&amp;BX874),"")</f>
        <v>5967.00457875458</v>
      </c>
      <c r="AP874" s="70" t="n">
        <f aca="false">IF(AO874="",0,MAX(0,MIN(1,(IF(CG874="L1",Parameter!$H$5,IF(CG874="L23",Parameter!$H$6+Parameter!$H$7,Parameter!$H$5+Parameter!$H$6+Parameter!$H$7))-(AO874-AJ874))/AJ874)))</f>
        <v>1</v>
      </c>
      <c r="AQ874" s="62" t="n">
        <f aca="false">IF(LEFT(Cockpit!$I$5,1)="A",H874,IF(Parameter!$E$30="MAX-Bestand",IF(CI874=1,CJ874,IF(LEFT(Cockpit!$I$5,1)="B",AW874,MAX(AW874,H874))),ROUNDUP(AU874,0)))</f>
        <v>2</v>
      </c>
      <c r="AR874" s="62" t="n">
        <f aca="false">IF(CA874=1,0,ROUNDUP(AQ874/BZ874,0))</f>
        <v>1</v>
      </c>
      <c r="AS874" s="64" t="n">
        <f aca="false">IF(CR874&gt;0,CR874*MAX(1,AQ874/X874),IF(CA874=1,IF(AQ874&lt;=0,0,CE874*MAX(1,IF(H874&gt;0,AQ874/H874,1))),IF(R874&gt;0,AR874/R874,0))/MAX(0.1,N(Parameter!$M$21)))</f>
        <v>0.00357142857142857</v>
      </c>
      <c r="AT874" s="62" t="n">
        <f aca="false">AS874*CC874</f>
        <v>0.553571428571429</v>
      </c>
      <c r="AU874" s="63" t="n">
        <f aca="false">IF(LEFT(Cockpit!$I$5,1)="A",H874,IF(CI874=1,(CL874+CJ874)/2,IF(LEFT(Cockpit!$I$5,1)="B",(CL874+AW874)/2,MAX((CL874+AW874)/2,H874))))</f>
        <v>2</v>
      </c>
      <c r="AV874" s="62" t="n">
        <f aca="false">AU874*G874</f>
        <v>48.72</v>
      </c>
      <c r="AW874" s="62" t="n">
        <f aca="false">ROUNDUP(CL874+MAX(CM874,2*(J874/IF(CH874&gt;0,CH874,MAX(0.1,N(Cockpit!$I$6)))-CL874)),0)</f>
        <v>1</v>
      </c>
      <c r="AX874" s="63" t="n">
        <f aca="false">IF(AT874&gt;0,J874/AT874,-1)</f>
        <v>1.80645161290323</v>
      </c>
      <c r="AY874" s="63" t="n">
        <f aca="false">IF(AND(OR(CG874="L1",CG874="L23",CG874="LIFT"),AT874&gt;0),SUMIFS($AT$7:$AT$1843,$CG$7:$CG$1843,CG874,$AX$7:$AX$1843,"&gt;"&amp;AX874)+SUMIFS($AT$7:$AT$1843,$CG$7:$CG$1843,CG874,$AX$7:$AX$1843,AX874,$BX$7:$BX$1843,"&lt;="&amp;BX874),"")</f>
        <v>7406.18818681319</v>
      </c>
      <c r="AZ874" s="70" t="n">
        <f aca="false">IF(AY874="",0,MAX(0,MIN(1,(IF(CG874="L1",Parameter!$H$5,IF(CG874="L23",Parameter!$H$6+Parameter!$H$7,Parameter!$H$5+Parameter!$H$6+Parameter!$H$7))-(AY874-AT874))/AT874)))</f>
        <v>1</v>
      </c>
      <c r="BA874" s="62" t="n">
        <f aca="false">IF(LEFT(Cockpit!$O$5,1)="A",H874,IF(Parameter!$E$30="MAX-Bestand",IF(CI874=1,CJ874,IF(LEFT(Cockpit!$O$5,1)="B",BG874,MAX(BG874,H874))),ROUNDUP(BE874,0)))</f>
        <v>1</v>
      </c>
      <c r="BB874" s="62" t="n">
        <f aca="false">IF(CA874=1,0,ROUNDUP(BA874/BZ874,0))</f>
        <v>1</v>
      </c>
      <c r="BC874" s="64" t="n">
        <f aca="false">IF(CR874&gt;0,CR874*MAX(1,BA874/X874),IF(CA874=1,IF(BA874&lt;=0,0,CE874*MAX(1,IF(H874&gt;0,BA874/H874,1))),IF(R874&gt;0,BB874/R874,0))/MAX(0.1,N(Parameter!$M$21)))</f>
        <v>0.00357142857142857</v>
      </c>
      <c r="BD874" s="62" t="n">
        <f aca="false">BC874*CC874</f>
        <v>0.553571428571429</v>
      </c>
      <c r="BE874" s="63" t="n">
        <f aca="false">IF(LEFT(Cockpit!$O$5,1)="A",H874,IF(CI874=1,(CL874+CJ874)/2,IF(LEFT(Cockpit!$O$5,1)="B",(CL874+BG874)/2,MAX((CL874+BG874)/2,H874))))</f>
        <v>0.5</v>
      </c>
      <c r="BF874" s="62" t="n">
        <f aca="false">BE874*G874</f>
        <v>12.18</v>
      </c>
      <c r="BG874" s="62" t="n">
        <f aca="false">ROUNDUP(CL874+MAX(CM874,2*(J874/IF(CH874&gt;0,CH874,MAX(0.1,N(Cockpit!$O$6)))-CL874)),0)</f>
        <v>1</v>
      </c>
      <c r="BH874" s="63" t="n">
        <f aca="false">IF(BD874&gt;0,J874/BD874,-1)</f>
        <v>1.80645161290323</v>
      </c>
      <c r="BI874" s="63" t="n">
        <f aca="false">IF(AND(OR(CG874="L1",CG874="L23",CG874="LIFT"),BD874&gt;0),SUMIFS($BD$7:$BD$1843,$CG$7:$CG$1843,CG874,$BH$7:$BH$1843,"&gt;"&amp;BH874)+SUMIFS($BD$7:$BD$1843,$CG$7:$CG$1843,CG874,$BH$7:$BH$1843,BH874,$BX$7:$BX$1843,"&lt;="&amp;BX874),"")</f>
        <v>6094.10897435898</v>
      </c>
      <c r="BJ874" s="70" t="n">
        <f aca="false">IF(BI874="",0,MAX(0,MIN(1,(IF(CG874="L1",Parameter!$H$5,IF(CG874="L23",Parameter!$H$6+Parameter!$H$7,Parameter!$H$5+Parameter!$H$6+Parameter!$H$7))-(BI874-BD874))/BD874)))</f>
        <v>1</v>
      </c>
      <c r="BK874" s="60" t="str">
        <f aca="false">IF(AJ874&lt;=0,"",IF(CG874="Aussen","Aussenlager",IF(CG874="-","Nicht im Lift",IF(AP874&gt;=1,"Lift",IF(AP874&lt;=0,"Aussenlager","teilweise")))))</f>
        <v>Lift</v>
      </c>
      <c r="BL874" s="60" t="str">
        <f aca="false">IF(AT874&lt;=0,"",IF(CG874="Aussen","Aussenlager",IF(CG874="-","Nicht im Lift",IF(AZ874&gt;=1,"Lift",IF(AZ874&lt;=0,"Aussenlager","teilweise")))))</f>
        <v>Lift</v>
      </c>
      <c r="BM874" s="60" t="str">
        <f aca="false">IF(BD874&lt;=0,"",IF(CG874="Aussen","Aussenlager",IF(CG874="-","Nicht im Lift",IF(BJ874&gt;=1,"Lift",IF(BJ874&lt;=0,"Aussenlager","teilweise")))))</f>
        <v>Lift</v>
      </c>
      <c r="BN874" s="60" t="str">
        <f aca="false">IF(A874="","",IF(BW874=1,"Neu; ","")&amp;IF(AND(BW874=0,BR874&lt;0),"negativer Bestand (Export "&amp;BR874&amp;"); ","")&amp;IF(J874&lt;=0,"Kein Verbrauch; ","")&amp;IF(CR874&gt;0,"Lift "&amp;W874&amp;" lt. Liftbericht (Fach "&amp;X874&amp;" Stk); ",IF(CB874=1,"Gebinde geschätzt ("&amp;T874&amp;"); ",IF(CA874=1,"Lose – Tablare geschätzt; ","")))&amp;IF(H874&gt;AW874,"Überbestand "&amp;ROUND(H874-AW874,0)&amp;" Stk / CHF "&amp;ROUND((H874-AW874)*G874,0)&amp;"; ","")&amp;IF(AND(CI874=1,CJ874&lt;CK874),"MAX &lt; MB+LG; ","")&amp;IF(AND(CQ874&gt;0,CP874*10&gt;CQ874),"zu hoch für Tablar; ","")&amp;IF(AND(BW874=0,OR(CI874=1,AB874&lt;&gt;"",U874&lt;&gt;"",V874&lt;&gt;"",AC874&lt;&gt;"")),"manuell übersteuert; ","")&amp;IF(AND(CA874=0,R874=0),"Gebinde unbekannt / Stellmass fehlt; ","")&amp;IF(AND(CA874=0,N(V874)&lt;=0,N(Q874)&lt;=0),"Menge pro Gebinde fehlt (Ist = 1 Gebinde); ","")&amp;BV874)</f>
        <v>negativer Bestand (Export -1); Überbestand 1 Stk / CHF 24; </v>
      </c>
      <c r="BO874" s="60"/>
      <c r="BP874" s="60"/>
      <c r="BQ874" s="67"/>
      <c r="BR874" s="62" t="n">
        <v>-1</v>
      </c>
      <c r="BS874" s="62" t="n">
        <v>3</v>
      </c>
      <c r="BT874" s="61" t="n">
        <v>-24.36</v>
      </c>
      <c r="BU874" s="62" t="n">
        <v>1</v>
      </c>
      <c r="BV874" s="60"/>
      <c r="BW874" s="65" t="n">
        <v>0</v>
      </c>
      <c r="BX874" s="65" t="n">
        <v>874</v>
      </c>
      <c r="BY874" s="60" t="str">
        <f aca="false">IF(U874&lt;&gt;"",UPPER(TRIM(U874)),IF(CB874=1,UPPER(VLOOKUP(T874,Parameter!$I$27:$K$29,2,0)),IF(P874="","LOSE",P874)))</f>
        <v>S21</v>
      </c>
      <c r="BZ874" s="62" t="n">
        <f aca="false">IF(BY874="LOSE",1,IF(N(V874)&gt;0,V874,IF(CB874=1,MAX(1,N(VLOOKUP(T874,Parameter!$I$27:$K$29,3,0)),H874,N(N874)),IF(N(Q874)&gt;0,Q874,MAX(1,H874)))))</f>
        <v>5</v>
      </c>
      <c r="CA874" s="65" t="n">
        <f aca="false">IF(BY874="LOSE",1,0)</f>
        <v>0</v>
      </c>
      <c r="CB874" s="65" t="n">
        <f aca="false">IF(AND(U874="",OR(P874="",P874="LOSE"),T874&lt;&gt;"",N(S874)&lt;=0,ISNUMBER(MATCH(T874,Parameter!$I$27:$I$29,0))),1,0)</f>
        <v>0</v>
      </c>
      <c r="CC874" s="65" t="n">
        <f aca="false">IF(CR874&gt;0,INDEX(Parameter!$H$5:$H$7,W874)/INDEX(Parameter!$E$5:$E$7,W874),IF(AND(CA874=0,N(IFERROR(VLOOKUP(BY874,'Gebinde-Kategorie'!$A$5:$N$45,14,0),0))&gt;0),VLOOKUP(BY874,'Gebinde-Kategorie'!$A$5:$N$45,14,0)*10+Parameter!$M$23,Parameter!$M$24))</f>
        <v>155</v>
      </c>
      <c r="CD874" s="60" t="str">
        <f aca="false">IF(AND(Parameter!$B$19="Ja",E874&lt;&gt;"",ISNUMBER(MATCH(E874,Parameter!$I$35:$I$52,0))),VLOOKUP(E874,Parameter!$I$35:$J$52,2,0),IFERROR(VLOOKUP(D874,Parameter!$A$35:$C$64,2,0),"Nein"))</f>
        <v>2+3</v>
      </c>
      <c r="CE874" s="64" t="n">
        <f aca="false">IF(CA874=0,0,IF(N(S874)&gt;0,S874,IFERROR(VLOOKUP(D874,Parameter!$A$35:$C$64,3,0)+0,0)))</f>
        <v>0</v>
      </c>
      <c r="CF874" s="60" t="n">
        <f aca="false">IF(AB874&lt;&gt;"",AB874,AA874)</f>
        <v>2</v>
      </c>
      <c r="CG874" s="60" t="str">
        <f aca="false">IF(OR(CF874=1,CF874=2,CF874=3),IF(Parameter!$E$27="Ja","LIFT",IF(CF874=1,"L1","L23")),IF(CF874="Aussen","Aussen","-"))</f>
        <v>LIFT</v>
      </c>
      <c r="CH874" s="71" t="n">
        <f aca="false">IF(N(AC874)&gt;0,AC874,0)</f>
        <v>0</v>
      </c>
      <c r="CI874" s="65" t="n">
        <f aca="false">IF(ISNUMBER(AF874),1,0)</f>
        <v>0</v>
      </c>
      <c r="CJ874" s="62" t="n">
        <f aca="false">N(AF874)</f>
        <v>0</v>
      </c>
      <c r="CK874" s="62" t="n">
        <f aca="false">N(M874)+N(N874)</f>
        <v>1</v>
      </c>
      <c r="CL874" s="62" t="n">
        <f aca="false">N(M874)</f>
        <v>0</v>
      </c>
      <c r="CM874" s="62" t="n">
        <f aca="false">N(N874)</f>
        <v>1</v>
      </c>
      <c r="CN874" s="62" t="n">
        <f aca="false">ROUNDUP(H874/BZ874,0)</f>
        <v>1</v>
      </c>
      <c r="CO874" s="62" t="n">
        <f aca="false">ROUNDUP(CJ874/BZ874,0)</f>
        <v>0</v>
      </c>
      <c r="CP874" s="65" t="n">
        <f aca="false">IF(CA874=1,0,IFERROR(VLOOKUP(BY874,'Gebinde-Kategorie'!$A$5:$N$45,5,0)+0,0))</f>
        <v>8</v>
      </c>
      <c r="CQ874" s="65" t="n">
        <f aca="false">IFERROR(IF(OR(CF874=1,CF874=2,CF874=3),N(INDEX(Parameter!$I$5:$I$7,CF874)),0),0)</f>
        <v>0</v>
      </c>
      <c r="CR874" s="64" t="n">
        <f aca="false">IF(AND(Parameter!$B$21="Ja",ISNUMBER(W874),N(X874)&gt;0),IFERROR(N(INDEX(Parameter!$L$5:$L$7,W874))*INDEX(Parameter!$E$5:$E$7,W874)*X874/SUMIFS($X$7:$X$1843,$W$7:$W$1843,W874),0),0)</f>
        <v>0</v>
      </c>
      <c r="CS874" s="62" t="n">
        <f aca="false">IF(AND(OR(CG874="L1",CG874="L23",CG874="LIFT"),H874&gt;0),CC874*IF(CR874&gt;0,CR874*MAX(1,H874/X874),IF(CA874=1,CE874,IF(R874&gt;0,CN874/R874,0))/MAX(0.1,N(Parameter!$M$21))),"")</f>
        <v>0.553571428571429</v>
      </c>
      <c r="CT874" s="64" t="n">
        <f aca="false">IF(CS874="","",J874/H874)</f>
        <v>0.5</v>
      </c>
      <c r="CU874" s="62" t="n">
        <f aca="false">IF(CS874="","",H874*G874)</f>
        <v>48.72</v>
      </c>
      <c r="CV874" s="63" t="n">
        <f aca="false">IF(CS874="","",(CL874+ROUNDUP(CL874+MAX(CM874,2*(J874/MAX(0.1,N(Einkauf!$C$6))-CL874)),0))/2)</f>
        <v>0.5</v>
      </c>
      <c r="CW874" s="62" t="n">
        <f aca="false">IF(CS874="","",MAX(0,H874-CV874)*G874)</f>
        <v>36.54</v>
      </c>
      <c r="CX874" s="62" t="n">
        <f aca="false">IF(CS874="","",CS874*MAX(0,1-CV874/H874))</f>
        <v>0.415178571428571</v>
      </c>
      <c r="CY874" s="64" t="n">
        <f aca="false">IF(CS874="","",PERCENTRANK($CS$7:$CS$1843,CS874)+PERCENTRANK($CU$7:$CU$1843,CU874)+1-PERCENTRANK($CT$7:$CT$1843,CT874))</f>
        <v>0.6</v>
      </c>
      <c r="CZ874" s="72" t="n">
        <f aca="false">IF(CS874="","",CHOOSE(MATCH(Einkauf!$C$5,Parameter!$G$23:$G$27,0),CY874,CS874,CU874,-CT874,CW874)+ROW()/1000000000)</f>
        <v>0.600000874</v>
      </c>
    </row>
    <row r="875" customFormat="false" ht="15" hidden="false" customHeight="false" outlineLevel="0" collapsed="false">
      <c r="A875" s="60" t="s">
        <v>1700</v>
      </c>
      <c r="B875" s="60" t="s">
        <v>1701</v>
      </c>
      <c r="C875" s="60" t="s">
        <v>206</v>
      </c>
      <c r="D875" s="60" t="s">
        <v>226</v>
      </c>
      <c r="E875" s="60"/>
      <c r="F875" s="60" t="s">
        <v>260</v>
      </c>
      <c r="G875" s="61" t="n">
        <v>24.52</v>
      </c>
      <c r="H875" s="62" t="n">
        <f aca="false">MAX(0,IF(AND(Parameter!$B$21="Ja",ISNUMBER(Y875)),Y875,IF(Parameter!$B$20="Jahresanfang 2025 + Export",BS875+BR875,BR875)))</f>
        <v>14</v>
      </c>
      <c r="I875" s="62" t="n">
        <f aca="false">H875*G875</f>
        <v>343.28</v>
      </c>
      <c r="J875" s="62" t="n">
        <f aca="false">BU875*Parameter!$B$18</f>
        <v>0</v>
      </c>
      <c r="K875" s="63" t="n">
        <v>15</v>
      </c>
      <c r="L875" s="64" t="n">
        <v>0</v>
      </c>
      <c r="M875" s="62" t="n">
        <v>0</v>
      </c>
      <c r="N875" s="62" t="n">
        <v>1</v>
      </c>
      <c r="O875" s="65" t="n">
        <v>35</v>
      </c>
      <c r="P875" s="60" t="s">
        <v>463</v>
      </c>
      <c r="Q875" s="62" t="n">
        <v>15</v>
      </c>
      <c r="R875" s="65" t="n">
        <f aca="false">IF(CA875=1,0,IFERROR(VLOOKUP(BY875,'Gebinde-Kategorie'!$A$5:$N$45,13,0)+0,0))</f>
        <v>104</v>
      </c>
      <c r="S875" s="66"/>
      <c r="T875" s="67"/>
      <c r="U875" s="67"/>
      <c r="V875" s="67"/>
      <c r="W875" s="60"/>
      <c r="X875" s="62"/>
      <c r="Y875" s="62"/>
      <c r="Z875" s="60" t="n">
        <v>1</v>
      </c>
      <c r="AA875" s="60" t="n">
        <f aca="false">IF(A875="","",IF(AND(Parameter!$B$21="Ja",ISNUMBER(W875)),W875,IF(AND(Parameter!$E$27="Ja",ISNUMBER(Z875),CD875&lt;&gt;"Nein"),Z875,IF(CD875="2+3",IF(ISNUMBER(SEARCH("grosser Artikel",BV875)),2,IFERROR(VLOOKUP(BY875,Parameter!$F$35:$G$64,2,0),2)),IF(OR(CD875="Nein",CD875=""),"-",CD875)))))</f>
        <v>1</v>
      </c>
      <c r="AB875" s="67"/>
      <c r="AC875" s="68"/>
      <c r="AD875" s="62" t="n">
        <f aca="false">AW875</f>
        <v>1</v>
      </c>
      <c r="AE875" s="62" t="n">
        <f aca="false">MAX(AW875,H875)</f>
        <v>14</v>
      </c>
      <c r="AF875" s="69"/>
      <c r="AG875" s="62" t="n">
        <f aca="false">IF(LEFT(Cockpit!$C$5,1)="A",H875,IF(Parameter!$E$30="MAX-Bestand",IF(CI875=1,CJ875,IF(LEFT(Cockpit!$C$5,1)="B",AM875,MAX(AM875,H875))),ROUNDUP(AK875,0)))</f>
        <v>14</v>
      </c>
      <c r="AH875" s="62" t="n">
        <f aca="false">IF(CA875=1,0,ROUNDUP(AG875/BZ875,0))</f>
        <v>1</v>
      </c>
      <c r="AI875" s="64" t="n">
        <f aca="false">IF(CR875&gt;0,CR875*MAX(1,AG875/X875),IF(CA875=1,IF(AG875&lt;=0,0,CE875*MAX(1,IF(H875&gt;0,AG875/H875,1))),IF(R875&gt;0,AH875/R875,0))/MAX(0.1,N(Parameter!$M$21)))</f>
        <v>0.00961538461538462</v>
      </c>
      <c r="AJ875" s="62" t="n">
        <f aca="false">AI875*CC875</f>
        <v>1.49038461538462</v>
      </c>
      <c r="AK875" s="63" t="n">
        <f aca="false">IF(LEFT(Cockpit!$C$5,1)="A",H875,IF(CI875=1,(CL875+CJ875)/2,IF(LEFT(Cockpit!$C$5,1)="B",(CL875+AM875)/2,MAX((CL875+AM875)/2,H875))))</f>
        <v>14</v>
      </c>
      <c r="AL875" s="62" t="n">
        <f aca="false">AK875*G875</f>
        <v>343.28</v>
      </c>
      <c r="AM875" s="62" t="n">
        <f aca="false">ROUNDUP(CL875+MAX(CM875,2*(J875/IF(CH875&gt;0,CH875,MAX(0.1,N(Cockpit!$C$6)))-CL875)),0)</f>
        <v>1</v>
      </c>
      <c r="AN875" s="63" t="n">
        <f aca="false">IF(AJ875&gt;0,J875/AJ875,-1)</f>
        <v>0</v>
      </c>
      <c r="AO875" s="63" t="n">
        <f aca="false">IF(AND(OR(CG875="L1",CG875="L23",CG875="LIFT"),AJ875&gt;0),SUMIFS($AJ$7:$AJ$1843,$CG$7:$CG$1843,CG875,$AN$7:$AN$1843,"&gt;"&amp;AN875)+SUMIFS($AJ$7:$AJ$1843,$CG$7:$CG$1843,CG875,$AN$7:$AN$1843,AN875,$BX$7:$BX$1843,"&lt;="&amp;BX875),"")</f>
        <v>28809.6901864614</v>
      </c>
      <c r="AP875" s="70" t="n">
        <f aca="false">IF(AO875="",0,MAX(0,MIN(1,(IF(CG875="L1",Parameter!$H$5,IF(CG875="L23",Parameter!$H$6+Parameter!$H$7,Parameter!$H$5+Parameter!$H$6+Parameter!$H$7))-(AO875-AJ875))/AJ875)))</f>
        <v>1</v>
      </c>
      <c r="AQ875" s="62" t="n">
        <f aca="false">IF(LEFT(Cockpit!$I$5,1)="A",H875,IF(Parameter!$E$30="MAX-Bestand",IF(CI875=1,CJ875,IF(LEFT(Cockpit!$I$5,1)="B",AW875,MAX(AW875,H875))),ROUNDUP(AU875,0)))</f>
        <v>14</v>
      </c>
      <c r="AR875" s="62" t="n">
        <f aca="false">IF(CA875=1,0,ROUNDUP(AQ875/BZ875,0))</f>
        <v>1</v>
      </c>
      <c r="AS875" s="64" t="n">
        <f aca="false">IF(CR875&gt;0,CR875*MAX(1,AQ875/X875),IF(CA875=1,IF(AQ875&lt;=0,0,CE875*MAX(1,IF(H875&gt;0,AQ875/H875,1))),IF(R875&gt;0,AR875/R875,0))/MAX(0.1,N(Parameter!$M$21)))</f>
        <v>0.00961538461538462</v>
      </c>
      <c r="AT875" s="62" t="n">
        <f aca="false">AS875*CC875</f>
        <v>1.49038461538462</v>
      </c>
      <c r="AU875" s="63" t="n">
        <f aca="false">IF(LEFT(Cockpit!$I$5,1)="A",H875,IF(CI875=1,(CL875+CJ875)/2,IF(LEFT(Cockpit!$I$5,1)="B",(CL875+AW875)/2,MAX((CL875+AW875)/2,H875))))</f>
        <v>14</v>
      </c>
      <c r="AV875" s="62" t="n">
        <f aca="false">AU875*G875</f>
        <v>343.28</v>
      </c>
      <c r="AW875" s="62" t="n">
        <f aca="false">ROUNDUP(CL875+MAX(CM875,2*(J875/IF(CH875&gt;0,CH875,MAX(0.1,N(Cockpit!$I$6)))-CL875)),0)</f>
        <v>1</v>
      </c>
      <c r="AX875" s="63" t="n">
        <f aca="false">IF(AT875&gt;0,J875/AT875,-1)</f>
        <v>0</v>
      </c>
      <c r="AY875" s="63" t="n">
        <f aca="false">IF(AND(OR(CG875="L1",CG875="L23",CG875="LIFT"),AT875&gt;0),SUMIFS($AT$7:$AT$1843,$CG$7:$CG$1843,CG875,$AX$7:$AX$1843,"&gt;"&amp;AX875)+SUMIFS($AT$7:$AT$1843,$CG$7:$CG$1843,CG875,$AX$7:$AX$1843,AX875,$BX$7:$BX$1843,"&lt;="&amp;BX875),"")</f>
        <v>34429.9308608059</v>
      </c>
      <c r="AZ875" s="70" t="n">
        <f aca="false">IF(AY875="",0,MAX(0,MIN(1,(IF(CG875="L1",Parameter!$H$5,IF(CG875="L23",Parameter!$H$6+Parameter!$H$7,Parameter!$H$5+Parameter!$H$6+Parameter!$H$7))-(AY875-AT875))/AT875)))</f>
        <v>1</v>
      </c>
      <c r="BA875" s="62" t="n">
        <f aca="false">IF(LEFT(Cockpit!$O$5,1)="A",H875,IF(Parameter!$E$30="MAX-Bestand",IF(CI875=1,CJ875,IF(LEFT(Cockpit!$O$5,1)="B",BG875,MAX(BG875,H875))),ROUNDUP(BE875,0)))</f>
        <v>1</v>
      </c>
      <c r="BB875" s="62" t="n">
        <f aca="false">IF(CA875=1,0,ROUNDUP(BA875/BZ875,0))</f>
        <v>1</v>
      </c>
      <c r="BC875" s="64" t="n">
        <f aca="false">IF(CR875&gt;0,CR875*MAX(1,BA875/X875),IF(CA875=1,IF(BA875&lt;=0,0,CE875*MAX(1,IF(H875&gt;0,BA875/H875,1))),IF(R875&gt;0,BB875/R875,0))/MAX(0.1,N(Parameter!$M$21)))</f>
        <v>0.00961538461538462</v>
      </c>
      <c r="BD875" s="62" t="n">
        <f aca="false">BC875*CC875</f>
        <v>1.49038461538462</v>
      </c>
      <c r="BE875" s="63" t="n">
        <f aca="false">IF(LEFT(Cockpit!$O$5,1)="A",H875,IF(CI875=1,(CL875+CJ875)/2,IF(LEFT(Cockpit!$O$5,1)="B",(CL875+BG875)/2,MAX((CL875+BG875)/2,H875))))</f>
        <v>0.5</v>
      </c>
      <c r="BF875" s="62" t="n">
        <f aca="false">BE875*G875</f>
        <v>12.26</v>
      </c>
      <c r="BG875" s="62" t="n">
        <f aca="false">ROUNDUP(CL875+MAX(CM875,2*(J875/IF(CH875&gt;0,CH875,MAX(0.1,N(Cockpit!$O$6)))-CL875)),0)</f>
        <v>1</v>
      </c>
      <c r="BH875" s="63" t="n">
        <f aca="false">IF(BD875&gt;0,J875/BD875,-1)</f>
        <v>0</v>
      </c>
      <c r="BI875" s="63" t="n">
        <f aca="false">IF(AND(OR(CG875="L1",CG875="L23",CG875="LIFT"),BD875&gt;0),SUMIFS($BD$7:$BD$1843,$CG$7:$CG$1843,CG875,$BH$7:$BH$1843,"&gt;"&amp;BH875)+SUMIFS($BD$7:$BD$1843,$CG$7:$CG$1843,CG875,$BH$7:$BH$1843,BH875,$BX$7:$BX$1843,"&lt;="&amp;BX875),"")</f>
        <v>28469.7127956789</v>
      </c>
      <c r="BJ875" s="70" t="n">
        <f aca="false">IF(BI875="",0,MAX(0,MIN(1,(IF(CG875="L1",Parameter!$H$5,IF(CG875="L23",Parameter!$H$6+Parameter!$H$7,Parameter!$H$5+Parameter!$H$6+Parameter!$H$7))-(BI875-BD875))/BD875)))</f>
        <v>1</v>
      </c>
      <c r="BK875" s="60" t="str">
        <f aca="false">IF(AJ875&lt;=0,"",IF(CG875="Aussen","Aussenlager",IF(CG875="-","Nicht im Lift",IF(AP875&gt;=1,"Lift",IF(AP875&lt;=0,"Aussenlager","teilweise")))))</f>
        <v>Lift</v>
      </c>
      <c r="BL875" s="60" t="str">
        <f aca="false">IF(AT875&lt;=0,"",IF(CG875="Aussen","Aussenlager",IF(CG875="-","Nicht im Lift",IF(AZ875&gt;=1,"Lift",IF(AZ875&lt;=0,"Aussenlager","teilweise")))))</f>
        <v>Lift</v>
      </c>
      <c r="BM875" s="60" t="str">
        <f aca="false">IF(BD875&lt;=0,"",IF(CG875="Aussen","Aussenlager",IF(CG875="-","Nicht im Lift",IF(BJ875&gt;=1,"Lift",IF(BJ875&lt;=0,"Aussenlager","teilweise")))))</f>
        <v>Lift</v>
      </c>
      <c r="BN875" s="60" t="str">
        <f aca="false">IF(A875="","",IF(BW875=1,"Neu; ","")&amp;IF(AND(BW875=0,BR875&lt;0),"negativer Bestand (Export "&amp;BR875&amp;"); ","")&amp;IF(J875&lt;=0,"Kein Verbrauch; ","")&amp;IF(CR875&gt;0,"Lift "&amp;W875&amp;" lt. Liftbericht (Fach "&amp;X875&amp;" Stk); ",IF(CB875=1,"Gebinde geschätzt ("&amp;T875&amp;"); ",IF(CA875=1,"Lose – Tablare geschätzt; ","")))&amp;IF(H875&gt;AW875,"Überbestand "&amp;ROUND(H875-AW875,0)&amp;" Stk / CHF "&amp;ROUND((H875-AW875)*G875,0)&amp;"; ","")&amp;IF(AND(CI875=1,CJ875&lt;CK875),"MAX &lt; MB+LG; ","")&amp;IF(AND(CQ875&gt;0,CP875*10&gt;CQ875),"zu hoch für Tablar; ","")&amp;IF(AND(BW875=0,OR(CI875=1,AB875&lt;&gt;"",U875&lt;&gt;"",V875&lt;&gt;"",AC875&lt;&gt;"")),"manuell übersteuert; ","")&amp;IF(AND(CA875=0,R875=0),"Gebinde unbekannt / Stellmass fehlt; ","")&amp;IF(AND(CA875=0,N(V875)&lt;=0,N(Q875)&lt;=0),"Menge pro Gebinde fehlt (Ist = 1 Gebinde); ","")&amp;BV875)</f>
        <v>negativer Bestand (Export -1); Kein Verbrauch; Überbestand 13 Stk / CHF 319; </v>
      </c>
      <c r="BO875" s="60"/>
      <c r="BP875" s="60"/>
      <c r="BQ875" s="67"/>
      <c r="BR875" s="62" t="n">
        <v>-1</v>
      </c>
      <c r="BS875" s="62" t="n">
        <v>15</v>
      </c>
      <c r="BT875" s="61" t="n">
        <v>-24.52</v>
      </c>
      <c r="BU875" s="62" t="n">
        <v>0</v>
      </c>
      <c r="BV875" s="60"/>
      <c r="BW875" s="65" t="n">
        <v>0</v>
      </c>
      <c r="BX875" s="65" t="n">
        <v>875</v>
      </c>
      <c r="BY875" s="60" t="str">
        <f aca="false">IF(U875&lt;&gt;"",UPPER(TRIM(U875)),IF(CB875=1,UPPER(VLOOKUP(T875,Parameter!$I$27:$K$29,2,0)),IF(P875="","LOSE",P875)))</f>
        <v>S32</v>
      </c>
      <c r="BZ875" s="62" t="n">
        <f aca="false">IF(BY875="LOSE",1,IF(N(V875)&gt;0,V875,IF(CB875=1,MAX(1,N(VLOOKUP(T875,Parameter!$I$27:$K$29,3,0)),H875,N(N875)),IF(N(Q875)&gt;0,Q875,MAX(1,H875)))))</f>
        <v>15</v>
      </c>
      <c r="CA875" s="65" t="n">
        <f aca="false">IF(BY875="LOSE",1,0)</f>
        <v>0</v>
      </c>
      <c r="CB875" s="65" t="n">
        <f aca="false">IF(AND(U875="",OR(P875="",P875="LOSE"),T875&lt;&gt;"",N(S875)&lt;=0,ISNUMBER(MATCH(T875,Parameter!$I$27:$I$29,0))),1,0)</f>
        <v>0</v>
      </c>
      <c r="CC875" s="65" t="n">
        <f aca="false">IF(CR875&gt;0,INDEX(Parameter!$H$5:$H$7,W875)/INDEX(Parameter!$E$5:$E$7,W875),IF(AND(CA875=0,N(IFERROR(VLOOKUP(BY875,'Gebinde-Kategorie'!$A$5:$N$45,14,0),0))&gt;0),VLOOKUP(BY875,'Gebinde-Kategorie'!$A$5:$N$45,14,0)*10+Parameter!$M$23,Parameter!$M$24))</f>
        <v>155</v>
      </c>
      <c r="CD875" s="60" t="str">
        <f aca="false">IF(AND(Parameter!$B$19="Ja",E875&lt;&gt;"",ISNUMBER(MATCH(E875,Parameter!$I$35:$I$52,0))),VLOOKUP(E875,Parameter!$I$35:$J$52,2,0),IFERROR(VLOOKUP(D875,Parameter!$A$35:$C$64,2,0),"Nein"))</f>
        <v>2+3</v>
      </c>
      <c r="CE875" s="64" t="n">
        <f aca="false">IF(CA875=0,0,IF(N(S875)&gt;0,S875,IFERROR(VLOOKUP(D875,Parameter!$A$35:$C$64,3,0)+0,0)))</f>
        <v>0</v>
      </c>
      <c r="CF875" s="60" t="n">
        <f aca="false">IF(AB875&lt;&gt;"",AB875,AA875)</f>
        <v>1</v>
      </c>
      <c r="CG875" s="60" t="str">
        <f aca="false">IF(OR(CF875=1,CF875=2,CF875=3),IF(Parameter!$E$27="Ja","LIFT",IF(CF875=1,"L1","L23")),IF(CF875="Aussen","Aussen","-"))</f>
        <v>LIFT</v>
      </c>
      <c r="CH875" s="71" t="n">
        <f aca="false">IF(N(AC875)&gt;0,AC875,0)</f>
        <v>0</v>
      </c>
      <c r="CI875" s="65" t="n">
        <f aca="false">IF(ISNUMBER(AF875),1,0)</f>
        <v>0</v>
      </c>
      <c r="CJ875" s="62" t="n">
        <f aca="false">N(AF875)</f>
        <v>0</v>
      </c>
      <c r="CK875" s="62" t="n">
        <f aca="false">N(M875)+N(N875)</f>
        <v>1</v>
      </c>
      <c r="CL875" s="62" t="n">
        <f aca="false">N(M875)</f>
        <v>0</v>
      </c>
      <c r="CM875" s="62" t="n">
        <f aca="false">N(N875)</f>
        <v>1</v>
      </c>
      <c r="CN875" s="62" t="n">
        <f aca="false">ROUNDUP(H875/BZ875,0)</f>
        <v>1</v>
      </c>
      <c r="CO875" s="62" t="n">
        <f aca="false">ROUNDUP(CJ875/BZ875,0)</f>
        <v>0</v>
      </c>
      <c r="CP875" s="65" t="n">
        <f aca="false">IF(CA875=1,0,IFERROR(VLOOKUP(BY875,'Gebinde-Kategorie'!$A$5:$N$45,5,0)+0,0))</f>
        <v>8</v>
      </c>
      <c r="CQ875" s="65" t="n">
        <f aca="false">IFERROR(IF(OR(CF875=1,CF875=2,CF875=3),N(INDEX(Parameter!$I$5:$I$7,CF875)),0),0)</f>
        <v>0</v>
      </c>
      <c r="CR875" s="64" t="n">
        <f aca="false">IF(AND(Parameter!$B$21="Ja",ISNUMBER(W875),N(X875)&gt;0),IFERROR(N(INDEX(Parameter!$L$5:$L$7,W875))*INDEX(Parameter!$E$5:$E$7,W875)*X875/SUMIFS($X$7:$X$1843,$W$7:$W$1843,W875),0),0)</f>
        <v>0</v>
      </c>
      <c r="CS875" s="62" t="n">
        <f aca="false">IF(AND(OR(CG875="L1",CG875="L23",CG875="LIFT"),H875&gt;0),CC875*IF(CR875&gt;0,CR875*MAX(1,H875/X875),IF(CA875=1,CE875,IF(R875&gt;0,CN875/R875,0))/MAX(0.1,N(Parameter!$M$21))),"")</f>
        <v>1.49038461538462</v>
      </c>
      <c r="CT875" s="64" t="n">
        <f aca="false">IF(CS875="","",J875/H875)</f>
        <v>0</v>
      </c>
      <c r="CU875" s="62" t="n">
        <f aca="false">IF(CS875="","",H875*G875)</f>
        <v>343.28</v>
      </c>
      <c r="CV875" s="63" t="n">
        <f aca="false">IF(CS875="","",(CL875+ROUNDUP(CL875+MAX(CM875,2*(J875/MAX(0.1,N(Einkauf!$C$6))-CL875)),0))/2)</f>
        <v>0.5</v>
      </c>
      <c r="CW875" s="62" t="n">
        <f aca="false">IF(CS875="","",MAX(0,H875-CV875)*G875)</f>
        <v>331.02</v>
      </c>
      <c r="CX875" s="62" t="n">
        <f aca="false">IF(CS875="","",CS875*MAX(0,1-CV875/H875))</f>
        <v>1.43715659340659</v>
      </c>
      <c r="CY875" s="64" t="n">
        <f aca="false">IF(CS875="","",PERCENTRANK($CS$7:$CS$1843,CS875)+PERCENTRANK($CU$7:$CU$1843,CU875)+1-PERCENTRANK($CT$7:$CT$1843,CT875))</f>
        <v>1.568</v>
      </c>
      <c r="CZ875" s="72" t="n">
        <f aca="false">IF(CS875="","",CHOOSE(MATCH(Einkauf!$C$5,Parameter!$G$23:$G$27,0),CY875,CS875,CU875,-CT875,CW875)+ROW()/1000000000)</f>
        <v>1.568000875</v>
      </c>
    </row>
    <row r="876" customFormat="false" ht="15" hidden="false" customHeight="false" outlineLevel="0" collapsed="false">
      <c r="A876" s="60" t="s">
        <v>1702</v>
      </c>
      <c r="B876" s="60" t="s">
        <v>1207</v>
      </c>
      <c r="C876" s="60" t="s">
        <v>206</v>
      </c>
      <c r="D876" s="60" t="s">
        <v>226</v>
      </c>
      <c r="E876" s="60" t="s">
        <v>227</v>
      </c>
      <c r="F876" s="60" t="s">
        <v>260</v>
      </c>
      <c r="G876" s="61" t="n">
        <v>9.35</v>
      </c>
      <c r="H876" s="62" t="n">
        <f aca="false">MAX(0,IF(AND(Parameter!$B$21="Ja",ISNUMBER(Y876)),Y876,IF(Parameter!$B$20="Jahresanfang 2025 + Export",BS876+BR876,BR876)))</f>
        <v>3</v>
      </c>
      <c r="I876" s="62" t="n">
        <f aca="false">H876*G876</f>
        <v>28.05</v>
      </c>
      <c r="J876" s="62" t="n">
        <f aca="false">BU876*Parameter!$B$18</f>
        <v>6</v>
      </c>
      <c r="K876" s="63" t="n">
        <v>4.5</v>
      </c>
      <c r="L876" s="64" t="n">
        <v>1.33333333333333</v>
      </c>
      <c r="M876" s="62" t="n">
        <v>0</v>
      </c>
      <c r="N876" s="62" t="n">
        <v>5</v>
      </c>
      <c r="O876" s="65" t="n">
        <v>18</v>
      </c>
      <c r="P876" s="60" t="s">
        <v>463</v>
      </c>
      <c r="Q876" s="62" t="n">
        <v>8</v>
      </c>
      <c r="R876" s="65" t="n">
        <f aca="false">IF(CA876=1,0,IFERROR(VLOOKUP(BY876,'Gebinde-Kategorie'!$A$5:$N$45,13,0)+0,0))</f>
        <v>104</v>
      </c>
      <c r="S876" s="66"/>
      <c r="T876" s="67"/>
      <c r="U876" s="67"/>
      <c r="V876" s="67"/>
      <c r="W876" s="60"/>
      <c r="X876" s="62"/>
      <c r="Y876" s="62"/>
      <c r="Z876" s="60" t="n">
        <v>1</v>
      </c>
      <c r="AA876" s="60" t="n">
        <f aca="false">IF(A876="","",IF(AND(Parameter!$B$21="Ja",ISNUMBER(W876)),W876,IF(AND(Parameter!$E$27="Ja",ISNUMBER(Z876),CD876&lt;&gt;"Nein"),Z876,IF(CD876="2+3",IF(ISNUMBER(SEARCH("grosser Artikel",BV876)),2,IFERROR(VLOOKUP(BY876,Parameter!$F$35:$G$64,2,0),2)),IF(OR(CD876="Nein",CD876=""),"-",CD876)))))</f>
        <v>1</v>
      </c>
      <c r="AB876" s="67"/>
      <c r="AC876" s="68"/>
      <c r="AD876" s="62" t="n">
        <f aca="false">AW876</f>
        <v>5</v>
      </c>
      <c r="AE876" s="62" t="n">
        <f aca="false">MAX(AW876,H876)</f>
        <v>5</v>
      </c>
      <c r="AF876" s="69"/>
      <c r="AG876" s="62" t="n">
        <f aca="false">IF(LEFT(Cockpit!$C$5,1)="A",H876,IF(Parameter!$E$30="MAX-Bestand",IF(CI876=1,CJ876,IF(LEFT(Cockpit!$C$5,1)="B",AM876,MAX(AM876,H876))),ROUNDUP(AK876,0)))</f>
        <v>3</v>
      </c>
      <c r="AH876" s="62" t="n">
        <f aca="false">IF(CA876=1,0,ROUNDUP(AG876/BZ876,0))</f>
        <v>1</v>
      </c>
      <c r="AI876" s="64" t="n">
        <f aca="false">IF(CR876&gt;0,CR876*MAX(1,AG876/X876),IF(CA876=1,IF(AG876&lt;=0,0,CE876*MAX(1,IF(H876&gt;0,AG876/H876,1))),IF(R876&gt;0,AH876/R876,0))/MAX(0.1,N(Parameter!$M$21)))</f>
        <v>0.00961538461538462</v>
      </c>
      <c r="AJ876" s="62" t="n">
        <f aca="false">AI876*CC876</f>
        <v>1.49038461538462</v>
      </c>
      <c r="AK876" s="63" t="n">
        <f aca="false">IF(LEFT(Cockpit!$C$5,1)="A",H876,IF(CI876=1,(CL876+CJ876)/2,IF(LEFT(Cockpit!$C$5,1)="B",(CL876+AM876)/2,MAX((CL876+AM876)/2,H876))))</f>
        <v>3</v>
      </c>
      <c r="AL876" s="62" t="n">
        <f aca="false">AK876*G876</f>
        <v>28.05</v>
      </c>
      <c r="AM876" s="62" t="n">
        <f aca="false">ROUNDUP(CL876+MAX(CM876,2*(J876/IF(CH876&gt;0,CH876,MAX(0.1,N(Cockpit!$C$6)))-CL876)),0)</f>
        <v>5</v>
      </c>
      <c r="AN876" s="63" t="n">
        <f aca="false">IF(AJ876&gt;0,J876/AJ876,-1)</f>
        <v>4.0258064516129</v>
      </c>
      <c r="AO876" s="63" t="n">
        <f aca="false">IF(AND(OR(CG876="L1",CG876="L23",CG876="LIFT"),AJ876&gt;0),SUMIFS($AJ$7:$AJ$1843,$CG$7:$CG$1843,CG876,$AN$7:$AN$1843,"&gt;"&amp;AN876)+SUMIFS($AJ$7:$AJ$1843,$CG$7:$CG$1843,CG876,$AN$7:$AN$1843,AN876,$BX$7:$BX$1843,"&lt;="&amp;BX876),"")</f>
        <v>4354.21794871795</v>
      </c>
      <c r="AP876" s="70" t="n">
        <f aca="false">IF(AO876="",0,MAX(0,MIN(1,(IF(CG876="L1",Parameter!$H$5,IF(CG876="L23",Parameter!$H$6+Parameter!$H$7,Parameter!$H$5+Parameter!$H$6+Parameter!$H$7))-(AO876-AJ876))/AJ876)))</f>
        <v>1</v>
      </c>
      <c r="AQ876" s="62" t="n">
        <f aca="false">IF(LEFT(Cockpit!$I$5,1)="A",H876,IF(Parameter!$E$30="MAX-Bestand",IF(CI876=1,CJ876,IF(LEFT(Cockpit!$I$5,1)="B",AW876,MAX(AW876,H876))),ROUNDUP(AU876,0)))</f>
        <v>3</v>
      </c>
      <c r="AR876" s="62" t="n">
        <f aca="false">IF(CA876=1,0,ROUNDUP(AQ876/BZ876,0))</f>
        <v>1</v>
      </c>
      <c r="AS876" s="64" t="n">
        <f aca="false">IF(CR876&gt;0,CR876*MAX(1,AQ876/X876),IF(CA876=1,IF(AQ876&lt;=0,0,CE876*MAX(1,IF(H876&gt;0,AQ876/H876,1))),IF(R876&gt;0,AR876/R876,0))/MAX(0.1,N(Parameter!$M$21)))</f>
        <v>0.00961538461538462</v>
      </c>
      <c r="AT876" s="62" t="n">
        <f aca="false">AS876*CC876</f>
        <v>1.49038461538462</v>
      </c>
      <c r="AU876" s="63" t="n">
        <f aca="false">IF(LEFT(Cockpit!$I$5,1)="A",H876,IF(CI876=1,(CL876+CJ876)/2,IF(LEFT(Cockpit!$I$5,1)="B",(CL876+AW876)/2,MAX((CL876+AW876)/2,H876))))</f>
        <v>3</v>
      </c>
      <c r="AV876" s="62" t="n">
        <f aca="false">AU876*G876</f>
        <v>28.05</v>
      </c>
      <c r="AW876" s="62" t="n">
        <f aca="false">ROUNDUP(CL876+MAX(CM876,2*(J876/IF(CH876&gt;0,CH876,MAX(0.1,N(Cockpit!$I$6)))-CL876)),0)</f>
        <v>5</v>
      </c>
      <c r="AX876" s="63" t="n">
        <f aca="false">IF(AT876&gt;0,J876/AT876,-1)</f>
        <v>4.0258064516129</v>
      </c>
      <c r="AY876" s="63" t="n">
        <f aca="false">IF(AND(OR(CG876="L1",CG876="L23",CG876="LIFT"),AT876&gt;0),SUMIFS($AT$7:$AT$1843,$CG$7:$CG$1843,CG876,$AX$7:$AX$1843,"&gt;"&amp;AX876)+SUMIFS($AT$7:$AT$1843,$CG$7:$CG$1843,CG876,$AX$7:$AX$1843,AX876,$BX$7:$BX$1843,"&lt;="&amp;BX876),"")</f>
        <v>4963.2152014652</v>
      </c>
      <c r="AZ876" s="70" t="n">
        <f aca="false">IF(AY876="",0,MAX(0,MIN(1,(IF(CG876="L1",Parameter!$H$5,IF(CG876="L23",Parameter!$H$6+Parameter!$H$7,Parameter!$H$5+Parameter!$H$6+Parameter!$H$7))-(AY876-AT876))/AT876)))</f>
        <v>1</v>
      </c>
      <c r="BA876" s="62" t="n">
        <f aca="false">IF(LEFT(Cockpit!$O$5,1)="A",H876,IF(Parameter!$E$30="MAX-Bestand",IF(CI876=1,CJ876,IF(LEFT(Cockpit!$O$5,1)="B",BG876,MAX(BG876,H876))),ROUNDUP(BE876,0)))</f>
        <v>3</v>
      </c>
      <c r="BB876" s="62" t="n">
        <f aca="false">IF(CA876=1,0,ROUNDUP(BA876/BZ876,0))</f>
        <v>1</v>
      </c>
      <c r="BC876" s="64" t="n">
        <f aca="false">IF(CR876&gt;0,CR876*MAX(1,BA876/X876),IF(CA876=1,IF(BA876&lt;=0,0,CE876*MAX(1,IF(H876&gt;0,BA876/H876,1))),IF(R876&gt;0,BB876/R876,0))/MAX(0.1,N(Parameter!$M$21)))</f>
        <v>0.00961538461538462</v>
      </c>
      <c r="BD876" s="62" t="n">
        <f aca="false">BC876*CC876</f>
        <v>1.49038461538462</v>
      </c>
      <c r="BE876" s="63" t="n">
        <f aca="false">IF(LEFT(Cockpit!$O$5,1)="A",H876,IF(CI876=1,(CL876+CJ876)/2,IF(LEFT(Cockpit!$O$5,1)="B",(CL876+BG876)/2,MAX((CL876+BG876)/2,H876))))</f>
        <v>2.5</v>
      </c>
      <c r="BF876" s="62" t="n">
        <f aca="false">BE876*G876</f>
        <v>23.375</v>
      </c>
      <c r="BG876" s="62" t="n">
        <f aca="false">ROUNDUP(CL876+MAX(CM876,2*(J876/IF(CH876&gt;0,CH876,MAX(0.1,N(Cockpit!$O$6)))-CL876)),0)</f>
        <v>5</v>
      </c>
      <c r="BH876" s="63" t="n">
        <f aca="false">IF(BD876&gt;0,J876/BD876,-1)</f>
        <v>4.0258064516129</v>
      </c>
      <c r="BI876" s="63" t="n">
        <f aca="false">IF(AND(OR(CG876="L1",CG876="L23",CG876="LIFT"),BD876&gt;0),SUMIFS($BD$7:$BD$1843,$CG$7:$CG$1843,CG876,$BH$7:$BH$1843,"&gt;"&amp;BH876)+SUMIFS($BD$7:$BD$1843,$CG$7:$CG$1843,CG876,$BH$7:$BH$1843,BH876,$BX$7:$BX$1843,"&lt;="&amp;BX876),"")</f>
        <v>4074.82417582418</v>
      </c>
      <c r="BJ876" s="70" t="n">
        <f aca="false">IF(BI876="",0,MAX(0,MIN(1,(IF(CG876="L1",Parameter!$H$5,IF(CG876="L23",Parameter!$H$6+Parameter!$H$7,Parameter!$H$5+Parameter!$H$6+Parameter!$H$7))-(BI876-BD876))/BD876)))</f>
        <v>1</v>
      </c>
      <c r="BK876" s="60" t="str">
        <f aca="false">IF(AJ876&lt;=0,"",IF(CG876="Aussen","Aussenlager",IF(CG876="-","Nicht im Lift",IF(AP876&gt;=1,"Lift",IF(AP876&lt;=0,"Aussenlager","teilweise")))))</f>
        <v>Lift</v>
      </c>
      <c r="BL876" s="60" t="str">
        <f aca="false">IF(AT876&lt;=0,"",IF(CG876="Aussen","Aussenlager",IF(CG876="-","Nicht im Lift",IF(AZ876&gt;=1,"Lift",IF(AZ876&lt;=0,"Aussenlager","teilweise")))))</f>
        <v>Lift</v>
      </c>
      <c r="BM876" s="60" t="str">
        <f aca="false">IF(BD876&lt;=0,"",IF(CG876="Aussen","Aussenlager",IF(CG876="-","Nicht im Lift",IF(BJ876&gt;=1,"Lift",IF(BJ876&lt;=0,"Aussenlager","teilweise")))))</f>
        <v>Lift</v>
      </c>
      <c r="BN876" s="60" t="str">
        <f aca="false">IF(A876="","",IF(BW876=1,"Neu; ","")&amp;IF(AND(BW876=0,BR876&lt;0),"negativer Bestand (Export "&amp;BR876&amp;"); ","")&amp;IF(J876&lt;=0,"Kein Verbrauch; ","")&amp;IF(CR876&gt;0,"Lift "&amp;W876&amp;" lt. Liftbericht (Fach "&amp;X876&amp;" Stk); ",IF(CB876=1,"Gebinde geschätzt ("&amp;T876&amp;"); ",IF(CA876=1,"Lose – Tablare geschätzt; ","")))&amp;IF(H876&gt;AW876,"Überbestand "&amp;ROUND(H876-AW876,0)&amp;" Stk / CHF "&amp;ROUND((H876-AW876)*G876,0)&amp;"; ","")&amp;IF(AND(CI876=1,CJ876&lt;CK876),"MAX &lt; MB+LG; ","")&amp;IF(AND(CQ876&gt;0,CP876*10&gt;CQ876),"zu hoch für Tablar; ","")&amp;IF(AND(BW876=0,OR(CI876=1,AB876&lt;&gt;"",U876&lt;&gt;"",V876&lt;&gt;"",AC876&lt;&gt;"")),"manuell übersteuert; ","")&amp;IF(AND(CA876=0,R876=0),"Gebinde unbekannt / Stellmass fehlt; ","")&amp;IF(AND(CA876=0,N(V876)&lt;=0,N(Q876)&lt;=0),"Menge pro Gebinde fehlt (Ist = 1 Gebinde); ","")&amp;BV876)</f>
        <v>negativer Bestand (Export -3); </v>
      </c>
      <c r="BO876" s="60"/>
      <c r="BP876" s="60"/>
      <c r="BQ876" s="67"/>
      <c r="BR876" s="62" t="n">
        <v>-3</v>
      </c>
      <c r="BS876" s="62" t="n">
        <v>6</v>
      </c>
      <c r="BT876" s="61" t="n">
        <v>-24.63</v>
      </c>
      <c r="BU876" s="62" t="n">
        <v>6</v>
      </c>
      <c r="BV876" s="60"/>
      <c r="BW876" s="65" t="n">
        <v>0</v>
      </c>
      <c r="BX876" s="65" t="n">
        <v>876</v>
      </c>
      <c r="BY876" s="60" t="str">
        <f aca="false">IF(U876&lt;&gt;"",UPPER(TRIM(U876)),IF(CB876=1,UPPER(VLOOKUP(T876,Parameter!$I$27:$K$29,2,0)),IF(P876="","LOSE",P876)))</f>
        <v>S32</v>
      </c>
      <c r="BZ876" s="62" t="n">
        <f aca="false">IF(BY876="LOSE",1,IF(N(V876)&gt;0,V876,IF(CB876=1,MAX(1,N(VLOOKUP(T876,Parameter!$I$27:$K$29,3,0)),H876,N(N876)),IF(N(Q876)&gt;0,Q876,MAX(1,H876)))))</f>
        <v>8</v>
      </c>
      <c r="CA876" s="65" t="n">
        <f aca="false">IF(BY876="LOSE",1,0)</f>
        <v>0</v>
      </c>
      <c r="CB876" s="65" t="n">
        <f aca="false">IF(AND(U876="",OR(P876="",P876="LOSE"),T876&lt;&gt;"",N(S876)&lt;=0,ISNUMBER(MATCH(T876,Parameter!$I$27:$I$29,0))),1,0)</f>
        <v>0</v>
      </c>
      <c r="CC876" s="65" t="n">
        <f aca="false">IF(CR876&gt;0,INDEX(Parameter!$H$5:$H$7,W876)/INDEX(Parameter!$E$5:$E$7,W876),IF(AND(CA876=0,N(IFERROR(VLOOKUP(BY876,'Gebinde-Kategorie'!$A$5:$N$45,14,0),0))&gt;0),VLOOKUP(BY876,'Gebinde-Kategorie'!$A$5:$N$45,14,0)*10+Parameter!$M$23,Parameter!$M$24))</f>
        <v>155</v>
      </c>
      <c r="CD876" s="60" t="str">
        <f aca="false">IF(AND(Parameter!$B$19="Ja",E876&lt;&gt;"",ISNUMBER(MATCH(E876,Parameter!$I$35:$I$52,0))),VLOOKUP(E876,Parameter!$I$35:$J$52,2,0),IFERROR(VLOOKUP(D876,Parameter!$A$35:$C$64,2,0),"Nein"))</f>
        <v>2+3</v>
      </c>
      <c r="CE876" s="64" t="n">
        <f aca="false">IF(CA876=0,0,IF(N(S876)&gt;0,S876,IFERROR(VLOOKUP(D876,Parameter!$A$35:$C$64,3,0)+0,0)))</f>
        <v>0</v>
      </c>
      <c r="CF876" s="60" t="n">
        <f aca="false">IF(AB876&lt;&gt;"",AB876,AA876)</f>
        <v>1</v>
      </c>
      <c r="CG876" s="60" t="str">
        <f aca="false">IF(OR(CF876=1,CF876=2,CF876=3),IF(Parameter!$E$27="Ja","LIFT",IF(CF876=1,"L1","L23")),IF(CF876="Aussen","Aussen","-"))</f>
        <v>LIFT</v>
      </c>
      <c r="CH876" s="71" t="n">
        <f aca="false">IF(N(AC876)&gt;0,AC876,0)</f>
        <v>0</v>
      </c>
      <c r="CI876" s="65" t="n">
        <f aca="false">IF(ISNUMBER(AF876),1,0)</f>
        <v>0</v>
      </c>
      <c r="CJ876" s="62" t="n">
        <f aca="false">N(AF876)</f>
        <v>0</v>
      </c>
      <c r="CK876" s="62" t="n">
        <f aca="false">N(M876)+N(N876)</f>
        <v>5</v>
      </c>
      <c r="CL876" s="62" t="n">
        <f aca="false">N(M876)</f>
        <v>0</v>
      </c>
      <c r="CM876" s="62" t="n">
        <f aca="false">N(N876)</f>
        <v>5</v>
      </c>
      <c r="CN876" s="62" t="n">
        <f aca="false">ROUNDUP(H876/BZ876,0)</f>
        <v>1</v>
      </c>
      <c r="CO876" s="62" t="n">
        <f aca="false">ROUNDUP(CJ876/BZ876,0)</f>
        <v>0</v>
      </c>
      <c r="CP876" s="65" t="n">
        <f aca="false">IF(CA876=1,0,IFERROR(VLOOKUP(BY876,'Gebinde-Kategorie'!$A$5:$N$45,5,0)+0,0))</f>
        <v>8</v>
      </c>
      <c r="CQ876" s="65" t="n">
        <f aca="false">IFERROR(IF(OR(CF876=1,CF876=2,CF876=3),N(INDEX(Parameter!$I$5:$I$7,CF876)),0),0)</f>
        <v>0</v>
      </c>
      <c r="CR876" s="64" t="n">
        <f aca="false">IF(AND(Parameter!$B$21="Ja",ISNUMBER(W876),N(X876)&gt;0),IFERROR(N(INDEX(Parameter!$L$5:$L$7,W876))*INDEX(Parameter!$E$5:$E$7,W876)*X876/SUMIFS($X$7:$X$1843,$W$7:$W$1843,W876),0),0)</f>
        <v>0</v>
      </c>
      <c r="CS876" s="62" t="n">
        <f aca="false">IF(AND(OR(CG876="L1",CG876="L23",CG876="LIFT"),H876&gt;0),CC876*IF(CR876&gt;0,CR876*MAX(1,H876/X876),IF(CA876=1,CE876,IF(R876&gt;0,CN876/R876,0))/MAX(0.1,N(Parameter!$M$21))),"")</f>
        <v>1.49038461538462</v>
      </c>
      <c r="CT876" s="64" t="n">
        <f aca="false">IF(CS876="","",J876/H876)</f>
        <v>2</v>
      </c>
      <c r="CU876" s="62" t="n">
        <f aca="false">IF(CS876="","",H876*G876)</f>
        <v>28.05</v>
      </c>
      <c r="CV876" s="63" t="n">
        <f aca="false">IF(CS876="","",(CL876+ROUNDUP(CL876+MAX(CM876,2*(J876/MAX(0.1,N(Einkauf!$C$6))-CL876)),0))/2)</f>
        <v>2.5</v>
      </c>
      <c r="CW876" s="62" t="n">
        <f aca="false">IF(CS876="","",MAX(0,H876-CV876)*G876)</f>
        <v>4.675</v>
      </c>
      <c r="CX876" s="62" t="n">
        <f aca="false">IF(CS876="","",CS876*MAX(0,1-CV876/H876))</f>
        <v>0.248397435897436</v>
      </c>
      <c r="CY876" s="64" t="n">
        <f aca="false">IF(CS876="","",PERCENTRANK($CS$7:$CS$1843,CS876)+PERCENTRANK($CU$7:$CU$1843,CU876)+1-PERCENTRANK($CT$7:$CT$1843,CT876))</f>
        <v>0.415</v>
      </c>
      <c r="CZ876" s="72" t="n">
        <f aca="false">IF(CS876="","",CHOOSE(MATCH(Einkauf!$C$5,Parameter!$G$23:$G$27,0),CY876,CS876,CU876,-CT876,CW876)+ROW()/1000000000)</f>
        <v>0.415000876</v>
      </c>
    </row>
    <row r="877" customFormat="false" ht="15" hidden="false" customHeight="false" outlineLevel="0" collapsed="false">
      <c r="A877" s="60" t="s">
        <v>1703</v>
      </c>
      <c r="B877" s="60" t="s">
        <v>1064</v>
      </c>
      <c r="C877" s="60" t="s">
        <v>206</v>
      </c>
      <c r="D877" s="60" t="s">
        <v>226</v>
      </c>
      <c r="E877" s="60" t="s">
        <v>227</v>
      </c>
      <c r="F877" s="60" t="s">
        <v>260</v>
      </c>
      <c r="G877" s="61" t="n">
        <v>0.56</v>
      </c>
      <c r="H877" s="62" t="n">
        <f aca="false">MAX(0,IF(AND(Parameter!$B$21="Ja",ISNUMBER(Y877)),Y877,IF(Parameter!$B$20="Jahresanfang 2025 + Export",BS877+BR877,BR877)))</f>
        <v>437</v>
      </c>
      <c r="I877" s="62" t="n">
        <f aca="false">H877*G877</f>
        <v>244.72</v>
      </c>
      <c r="J877" s="62" t="n">
        <f aca="false">BU877*Parameter!$B$18</f>
        <v>28</v>
      </c>
      <c r="K877" s="63" t="n">
        <v>466</v>
      </c>
      <c r="L877" s="64" t="n">
        <v>0.0600858369098712</v>
      </c>
      <c r="M877" s="62" t="n">
        <v>1</v>
      </c>
      <c r="N877" s="62" t="n">
        <v>30</v>
      </c>
      <c r="O877" s="65" t="n">
        <v>21</v>
      </c>
      <c r="P877" s="60" t="s">
        <v>344</v>
      </c>
      <c r="Q877" s="62" t="n">
        <v>471</v>
      </c>
      <c r="R877" s="65" t="n">
        <f aca="false">IF(CA877=1,0,IFERROR(VLOOKUP(BY877,'Gebinde-Kategorie'!$A$5:$N$45,13,0)+0,0))</f>
        <v>26</v>
      </c>
      <c r="S877" s="66"/>
      <c r="T877" s="67"/>
      <c r="U877" s="67"/>
      <c r="V877" s="67"/>
      <c r="W877" s="60"/>
      <c r="X877" s="62"/>
      <c r="Y877" s="62"/>
      <c r="Z877" s="60" t="n">
        <v>3</v>
      </c>
      <c r="AA877" s="60" t="n">
        <f aca="false">IF(A877="","",IF(AND(Parameter!$B$21="Ja",ISNUMBER(W877)),W877,IF(AND(Parameter!$E$27="Ja",ISNUMBER(Z877),CD877&lt;&gt;"Nein"),Z877,IF(CD877="2+3",IF(ISNUMBER(SEARCH("grosser Artikel",BV877)),2,IFERROR(VLOOKUP(BY877,Parameter!$F$35:$G$64,2,0),2)),IF(OR(CD877="Nein",CD877=""),"-",CD877)))))</f>
        <v>3</v>
      </c>
      <c r="AB877" s="67"/>
      <c r="AC877" s="68"/>
      <c r="AD877" s="62" t="n">
        <f aca="false">AW877</f>
        <v>31</v>
      </c>
      <c r="AE877" s="62" t="n">
        <f aca="false">MAX(AW877,H877)</f>
        <v>437</v>
      </c>
      <c r="AF877" s="69"/>
      <c r="AG877" s="62" t="n">
        <f aca="false">IF(LEFT(Cockpit!$C$5,1)="A",H877,IF(Parameter!$E$30="MAX-Bestand",IF(CI877=1,CJ877,IF(LEFT(Cockpit!$C$5,1)="B",AM877,MAX(AM877,H877))),ROUNDUP(AK877,0)))</f>
        <v>437</v>
      </c>
      <c r="AH877" s="62" t="n">
        <f aca="false">IF(CA877=1,0,ROUNDUP(AG877/BZ877,0))</f>
        <v>1</v>
      </c>
      <c r="AI877" s="64" t="n">
        <f aca="false">IF(CR877&gt;0,CR877*MAX(1,AG877/X877),IF(CA877=1,IF(AG877&lt;=0,0,CE877*MAX(1,IF(H877&gt;0,AG877/H877,1))),IF(R877&gt;0,AH877/R877,0))/MAX(0.1,N(Parameter!$M$21)))</f>
        <v>0.0384615384615385</v>
      </c>
      <c r="AJ877" s="62" t="n">
        <f aca="false">AI877*CC877</f>
        <v>5.96153846153846</v>
      </c>
      <c r="AK877" s="63" t="n">
        <f aca="false">IF(LEFT(Cockpit!$C$5,1)="A",H877,IF(CI877=1,(CL877+CJ877)/2,IF(LEFT(Cockpit!$C$5,1)="B",(CL877+AM877)/2,MAX((CL877+AM877)/2,H877))))</f>
        <v>437</v>
      </c>
      <c r="AL877" s="62" t="n">
        <f aca="false">AK877*G877</f>
        <v>244.72</v>
      </c>
      <c r="AM877" s="62" t="n">
        <f aca="false">ROUNDUP(CL877+MAX(CM877,2*(J877/IF(CH877&gt;0,CH877,MAX(0.1,N(Cockpit!$C$6)))-CL877)),0)</f>
        <v>31</v>
      </c>
      <c r="AN877" s="63" t="n">
        <f aca="false">IF(AJ877&gt;0,J877/AJ877,-1)</f>
        <v>4.69677419354839</v>
      </c>
      <c r="AO877" s="63" t="n">
        <f aca="false">IF(AND(OR(CG877="L1",CG877="L23",CG877="LIFT"),AJ877&gt;0),SUMIFS($AJ$7:$AJ$1843,$CG$7:$CG$1843,CG877,$AN$7:$AN$1843,"&gt;"&amp;AN877)+SUMIFS($AJ$7:$AJ$1843,$CG$7:$CG$1843,CG877,$AN$7:$AN$1843,AN877,$BX$7:$BX$1843,"&lt;="&amp;BX877),"")</f>
        <v>4117.48580586081</v>
      </c>
      <c r="AP877" s="70" t="n">
        <f aca="false">IF(AO877="",0,MAX(0,MIN(1,(IF(CG877="L1",Parameter!$H$5,IF(CG877="L23",Parameter!$H$6+Parameter!$H$7,Parameter!$H$5+Parameter!$H$6+Parameter!$H$7))-(AO877-AJ877))/AJ877)))</f>
        <v>1</v>
      </c>
      <c r="AQ877" s="62" t="n">
        <f aca="false">IF(LEFT(Cockpit!$I$5,1)="A",H877,IF(Parameter!$E$30="MAX-Bestand",IF(CI877=1,CJ877,IF(LEFT(Cockpit!$I$5,1)="B",AW877,MAX(AW877,H877))),ROUNDUP(AU877,0)))</f>
        <v>437</v>
      </c>
      <c r="AR877" s="62" t="n">
        <f aca="false">IF(CA877=1,0,ROUNDUP(AQ877/BZ877,0))</f>
        <v>1</v>
      </c>
      <c r="AS877" s="64" t="n">
        <f aca="false">IF(CR877&gt;0,CR877*MAX(1,AQ877/X877),IF(CA877=1,IF(AQ877&lt;=0,0,CE877*MAX(1,IF(H877&gt;0,AQ877/H877,1))),IF(R877&gt;0,AR877/R877,0))/MAX(0.1,N(Parameter!$M$21)))</f>
        <v>0.0384615384615385</v>
      </c>
      <c r="AT877" s="62" t="n">
        <f aca="false">AS877*CC877</f>
        <v>5.96153846153846</v>
      </c>
      <c r="AU877" s="63" t="n">
        <f aca="false">IF(LEFT(Cockpit!$I$5,1)="A",H877,IF(CI877=1,(CL877+CJ877)/2,IF(LEFT(Cockpit!$I$5,1)="B",(CL877+AW877)/2,MAX((CL877+AW877)/2,H877))))</f>
        <v>437</v>
      </c>
      <c r="AV877" s="62" t="n">
        <f aca="false">AU877*G877</f>
        <v>244.72</v>
      </c>
      <c r="AW877" s="62" t="n">
        <f aca="false">ROUNDUP(CL877+MAX(CM877,2*(J877/IF(CH877&gt;0,CH877,MAX(0.1,N(Cockpit!$I$6)))-CL877)),0)</f>
        <v>31</v>
      </c>
      <c r="AX877" s="63" t="n">
        <f aca="false">IF(AT877&gt;0,J877/AT877,-1)</f>
        <v>4.69677419354839</v>
      </c>
      <c r="AY877" s="63" t="n">
        <f aca="false">IF(AND(OR(CG877="L1",CG877="L23",CG877="LIFT"),AT877&gt;0),SUMIFS($AT$7:$AT$1843,$CG$7:$CG$1843,CG877,$AX$7:$AX$1843,"&gt;"&amp;AX877)+SUMIFS($AT$7:$AT$1843,$CG$7:$CG$1843,CG877,$AX$7:$AX$1843,AX877,$BX$7:$BX$1843,"&lt;="&amp;BX877),"")</f>
        <v>4713.72664835165</v>
      </c>
      <c r="AZ877" s="70" t="n">
        <f aca="false">IF(AY877="",0,MAX(0,MIN(1,(IF(CG877="L1",Parameter!$H$5,IF(CG877="L23",Parameter!$H$6+Parameter!$H$7,Parameter!$H$5+Parameter!$H$6+Parameter!$H$7))-(AY877-AT877))/AT877)))</f>
        <v>1</v>
      </c>
      <c r="BA877" s="62" t="n">
        <f aca="false">IF(LEFT(Cockpit!$O$5,1)="A",H877,IF(Parameter!$E$30="MAX-Bestand",IF(CI877=1,CJ877,IF(LEFT(Cockpit!$O$5,1)="B",BG877,MAX(BG877,H877))),ROUNDUP(BE877,0)))</f>
        <v>16</v>
      </c>
      <c r="BB877" s="62" t="n">
        <f aca="false">IF(CA877=1,0,ROUNDUP(BA877/BZ877,0))</f>
        <v>1</v>
      </c>
      <c r="BC877" s="64" t="n">
        <f aca="false">IF(CR877&gt;0,CR877*MAX(1,BA877/X877),IF(CA877=1,IF(BA877&lt;=0,0,CE877*MAX(1,IF(H877&gt;0,BA877/H877,1))),IF(R877&gt;0,BB877/R877,0))/MAX(0.1,N(Parameter!$M$21)))</f>
        <v>0.0384615384615385</v>
      </c>
      <c r="BD877" s="62" t="n">
        <f aca="false">BC877*CC877</f>
        <v>5.96153846153846</v>
      </c>
      <c r="BE877" s="63" t="n">
        <f aca="false">IF(LEFT(Cockpit!$O$5,1)="A",H877,IF(CI877=1,(CL877+CJ877)/2,IF(LEFT(Cockpit!$O$5,1)="B",(CL877+BG877)/2,MAX((CL877+BG877)/2,H877))))</f>
        <v>16</v>
      </c>
      <c r="BF877" s="62" t="n">
        <f aca="false">BE877*G877</f>
        <v>8.96</v>
      </c>
      <c r="BG877" s="62" t="n">
        <f aca="false">ROUNDUP(CL877+MAX(CM877,2*(J877/IF(CH877&gt;0,CH877,MAX(0.1,N(Cockpit!$O$6)))-CL877)),0)</f>
        <v>31</v>
      </c>
      <c r="BH877" s="63" t="n">
        <f aca="false">IF(BD877&gt;0,J877/BD877,-1)</f>
        <v>4.69677419354839</v>
      </c>
      <c r="BI877" s="63" t="n">
        <f aca="false">IF(AND(OR(CG877="L1",CG877="L23",CG877="LIFT"),BD877&gt;0),SUMIFS($BD$7:$BD$1843,$CG$7:$CG$1843,CG877,$BH$7:$BH$1843,"&gt;"&amp;BH877)+SUMIFS($BD$7:$BD$1843,$CG$7:$CG$1843,CG877,$BH$7:$BH$1843,BH877,$BX$7:$BX$1843,"&lt;="&amp;BX877),"")</f>
        <v>3881.40934065934</v>
      </c>
      <c r="BJ877" s="70" t="n">
        <f aca="false">IF(BI877="",0,MAX(0,MIN(1,(IF(CG877="L1",Parameter!$H$5,IF(CG877="L23",Parameter!$H$6+Parameter!$H$7,Parameter!$H$5+Parameter!$H$6+Parameter!$H$7))-(BI877-BD877))/BD877)))</f>
        <v>1</v>
      </c>
      <c r="BK877" s="60" t="str">
        <f aca="false">IF(AJ877&lt;=0,"",IF(CG877="Aussen","Aussenlager",IF(CG877="-","Nicht im Lift",IF(AP877&gt;=1,"Lift",IF(AP877&lt;=0,"Aussenlager","teilweise")))))</f>
        <v>Lift</v>
      </c>
      <c r="BL877" s="60" t="str">
        <f aca="false">IF(AT877&lt;=0,"",IF(CG877="Aussen","Aussenlager",IF(CG877="-","Nicht im Lift",IF(AZ877&gt;=1,"Lift",IF(AZ877&lt;=0,"Aussenlager","teilweise")))))</f>
        <v>Lift</v>
      </c>
      <c r="BM877" s="60" t="str">
        <f aca="false">IF(BD877&lt;=0,"",IF(CG877="Aussen","Aussenlager",IF(CG877="-","Nicht im Lift",IF(BJ877&gt;=1,"Lift",IF(BJ877&lt;=0,"Aussenlager","teilweise")))))</f>
        <v>Lift</v>
      </c>
      <c r="BN877" s="60" t="str">
        <f aca="false">IF(A877="","",IF(BW877=1,"Neu; ","")&amp;IF(AND(BW877=0,BR877&lt;0),"negativer Bestand (Export "&amp;BR877&amp;"); ","")&amp;IF(J877&lt;=0,"Kein Verbrauch; ","")&amp;IF(CR877&gt;0,"Lift "&amp;W877&amp;" lt. Liftbericht (Fach "&amp;X877&amp;" Stk); ",IF(CB877=1,"Gebinde geschätzt ("&amp;T877&amp;"); ",IF(CA877=1,"Lose – Tablare geschätzt; ","")))&amp;IF(H877&gt;AW877,"Überbestand "&amp;ROUND(H877-AW877,0)&amp;" Stk / CHF "&amp;ROUND((H877-AW877)*G877,0)&amp;"; ","")&amp;IF(AND(CI877=1,CJ877&lt;CK877),"MAX &lt; MB+LG; ","")&amp;IF(AND(CQ877&gt;0,CP877*10&gt;CQ877),"zu hoch für Tablar; ","")&amp;IF(AND(BW877=0,OR(CI877=1,AB877&lt;&gt;"",U877&lt;&gt;"",V877&lt;&gt;"",AC877&lt;&gt;"")),"manuell übersteuert; ","")&amp;IF(AND(CA877=0,R877=0),"Gebinde unbekannt / Stellmass fehlt; ","")&amp;IF(AND(CA877=0,N(V877)&lt;=0,N(Q877)&lt;=0),"Menge pro Gebinde fehlt (Ist = 1 Gebinde); ","")&amp;BV877)</f>
        <v>negativer Bestand (Export -44); Überbestand 406 Stk / CHF 227; Überbestand</v>
      </c>
      <c r="BO877" s="60"/>
      <c r="BP877" s="60"/>
      <c r="BQ877" s="67"/>
      <c r="BR877" s="62" t="n">
        <v>-44</v>
      </c>
      <c r="BS877" s="62" t="n">
        <v>481</v>
      </c>
      <c r="BT877" s="61" t="n">
        <v>-24.64</v>
      </c>
      <c r="BU877" s="62" t="n">
        <v>28</v>
      </c>
      <c r="BV877" s="60" t="s">
        <v>434</v>
      </c>
      <c r="BW877" s="65" t="n">
        <v>0</v>
      </c>
      <c r="BX877" s="65" t="n">
        <v>877</v>
      </c>
      <c r="BY877" s="60" t="str">
        <f aca="false">IF(U877&lt;&gt;"",UPPER(TRIM(U877)),IF(CB877=1,UPPER(VLOOKUP(T877,Parameter!$I$27:$K$29,2,0)),IF(P877="","LOSE",P877)))</f>
        <v>S51</v>
      </c>
      <c r="BZ877" s="62" t="n">
        <f aca="false">IF(BY877="LOSE",1,IF(N(V877)&gt;0,V877,IF(CB877=1,MAX(1,N(VLOOKUP(T877,Parameter!$I$27:$K$29,3,0)),H877,N(N877)),IF(N(Q877)&gt;0,Q877,MAX(1,H877)))))</f>
        <v>471</v>
      </c>
      <c r="CA877" s="65" t="n">
        <f aca="false">IF(BY877="LOSE",1,0)</f>
        <v>0</v>
      </c>
      <c r="CB877" s="65" t="n">
        <f aca="false">IF(AND(U877="",OR(P877="",P877="LOSE"),T877&lt;&gt;"",N(S877)&lt;=0,ISNUMBER(MATCH(T877,Parameter!$I$27:$I$29,0))),1,0)</f>
        <v>0</v>
      </c>
      <c r="CC877" s="65" t="n">
        <f aca="false">IF(CR877&gt;0,INDEX(Parameter!$H$5:$H$7,W877)/INDEX(Parameter!$E$5:$E$7,W877),IF(AND(CA877=0,N(IFERROR(VLOOKUP(BY877,'Gebinde-Kategorie'!$A$5:$N$45,14,0),0))&gt;0),VLOOKUP(BY877,'Gebinde-Kategorie'!$A$5:$N$45,14,0)*10+Parameter!$M$23,Parameter!$M$24))</f>
        <v>155</v>
      </c>
      <c r="CD877" s="60" t="str">
        <f aca="false">IF(AND(Parameter!$B$19="Ja",E877&lt;&gt;"",ISNUMBER(MATCH(E877,Parameter!$I$35:$I$52,0))),VLOOKUP(E877,Parameter!$I$35:$J$52,2,0),IFERROR(VLOOKUP(D877,Parameter!$A$35:$C$64,2,0),"Nein"))</f>
        <v>2+3</v>
      </c>
      <c r="CE877" s="64" t="n">
        <f aca="false">IF(CA877=0,0,IF(N(S877)&gt;0,S877,IFERROR(VLOOKUP(D877,Parameter!$A$35:$C$64,3,0)+0,0)))</f>
        <v>0</v>
      </c>
      <c r="CF877" s="60" t="n">
        <f aca="false">IF(AB877&lt;&gt;"",AB877,AA877)</f>
        <v>3</v>
      </c>
      <c r="CG877" s="60" t="str">
        <f aca="false">IF(OR(CF877=1,CF877=2,CF877=3),IF(Parameter!$E$27="Ja","LIFT",IF(CF877=1,"L1","L23")),IF(CF877="Aussen","Aussen","-"))</f>
        <v>LIFT</v>
      </c>
      <c r="CH877" s="71" t="n">
        <f aca="false">IF(N(AC877)&gt;0,AC877,0)</f>
        <v>0</v>
      </c>
      <c r="CI877" s="65" t="n">
        <f aca="false">IF(ISNUMBER(AF877),1,0)</f>
        <v>0</v>
      </c>
      <c r="CJ877" s="62" t="n">
        <f aca="false">N(AF877)</f>
        <v>0</v>
      </c>
      <c r="CK877" s="62" t="n">
        <f aca="false">N(M877)+N(N877)</f>
        <v>31</v>
      </c>
      <c r="CL877" s="62" t="n">
        <f aca="false">N(M877)</f>
        <v>1</v>
      </c>
      <c r="CM877" s="62" t="n">
        <f aca="false">N(N877)</f>
        <v>30</v>
      </c>
      <c r="CN877" s="62" t="n">
        <f aca="false">ROUNDUP(H877/BZ877,0)</f>
        <v>1</v>
      </c>
      <c r="CO877" s="62" t="n">
        <f aca="false">ROUNDUP(CJ877/BZ877,0)</f>
        <v>0</v>
      </c>
      <c r="CP877" s="65" t="n">
        <f aca="false">IF(CA877=1,0,IFERROR(VLOOKUP(BY877,'Gebinde-Kategorie'!$A$5:$N$45,5,0)+0,0))</f>
        <v>11</v>
      </c>
      <c r="CQ877" s="65" t="n">
        <f aca="false">IFERROR(IF(OR(CF877=1,CF877=2,CF877=3),N(INDEX(Parameter!$I$5:$I$7,CF877)),0),0)</f>
        <v>0</v>
      </c>
      <c r="CR877" s="64" t="n">
        <f aca="false">IF(AND(Parameter!$B$21="Ja",ISNUMBER(W877),N(X877)&gt;0),IFERROR(N(INDEX(Parameter!$L$5:$L$7,W877))*INDEX(Parameter!$E$5:$E$7,W877)*X877/SUMIFS($X$7:$X$1843,$W$7:$W$1843,W877),0),0)</f>
        <v>0</v>
      </c>
      <c r="CS877" s="62" t="n">
        <f aca="false">IF(AND(OR(CG877="L1",CG877="L23",CG877="LIFT"),H877&gt;0),CC877*IF(CR877&gt;0,CR877*MAX(1,H877/X877),IF(CA877=1,CE877,IF(R877&gt;0,CN877/R877,0))/MAX(0.1,N(Parameter!$M$21))),"")</f>
        <v>5.96153846153846</v>
      </c>
      <c r="CT877" s="64" t="n">
        <f aca="false">IF(CS877="","",J877/H877)</f>
        <v>0.0640732265446224</v>
      </c>
      <c r="CU877" s="62" t="n">
        <f aca="false">IF(CS877="","",H877*G877)</f>
        <v>244.72</v>
      </c>
      <c r="CV877" s="63" t="n">
        <f aca="false">IF(CS877="","",(CL877+ROUNDUP(CL877+MAX(CM877,2*(J877/MAX(0.1,N(Einkauf!$C$6))-CL877)),0))/2)</f>
        <v>16</v>
      </c>
      <c r="CW877" s="62" t="n">
        <f aca="false">IF(CS877="","",MAX(0,H877-CV877)*G877)</f>
        <v>235.76</v>
      </c>
      <c r="CX877" s="62" t="n">
        <f aca="false">IF(CS877="","",CS877*MAX(0,1-CV877/H877))</f>
        <v>5.74326703045239</v>
      </c>
      <c r="CY877" s="64" t="n">
        <f aca="false">IF(CS877="","",PERCENTRANK($CS$7:$CS$1843,CS877)+PERCENTRANK($CU$7:$CU$1843,CU877)+1-PERCENTRANK($CT$7:$CT$1843,CT877))</f>
        <v>1.318</v>
      </c>
      <c r="CZ877" s="72" t="n">
        <f aca="false">IF(CS877="","",CHOOSE(MATCH(Einkauf!$C$5,Parameter!$G$23:$G$27,0),CY877,CS877,CU877,-CT877,CW877)+ROW()/1000000000)</f>
        <v>1.318000877</v>
      </c>
    </row>
    <row r="878" customFormat="false" ht="15" hidden="false" customHeight="false" outlineLevel="0" collapsed="false">
      <c r="A878" s="60" t="s">
        <v>1704</v>
      </c>
      <c r="B878" s="60" t="s">
        <v>1253</v>
      </c>
      <c r="C878" s="60" t="s">
        <v>206</v>
      </c>
      <c r="D878" s="60" t="s">
        <v>226</v>
      </c>
      <c r="E878" s="60" t="s">
        <v>227</v>
      </c>
      <c r="F878" s="60" t="s">
        <v>260</v>
      </c>
      <c r="G878" s="61" t="n">
        <v>0.85</v>
      </c>
      <c r="H878" s="62" t="n">
        <f aca="false">MAX(0,IF(AND(Parameter!$B$21="Ja",ISNUMBER(Y878)),Y878,IF(Parameter!$B$20="Jahresanfang 2025 + Export",BS878+BR878,BR878)))</f>
        <v>15</v>
      </c>
      <c r="I878" s="62" t="n">
        <f aca="false">H878*G878</f>
        <v>12.75</v>
      </c>
      <c r="J878" s="62" t="n">
        <f aca="false">BU878*Parameter!$B$18</f>
        <v>0</v>
      </c>
      <c r="K878" s="63" t="n">
        <v>32.5</v>
      </c>
      <c r="L878" s="64" t="n">
        <v>0</v>
      </c>
      <c r="M878" s="62" t="n">
        <v>0</v>
      </c>
      <c r="N878" s="62" t="n">
        <v>1</v>
      </c>
      <c r="O878" s="65" t="n">
        <v>42</v>
      </c>
      <c r="P878" s="60" t="s">
        <v>370</v>
      </c>
      <c r="Q878" s="62" t="n">
        <v>50</v>
      </c>
      <c r="R878" s="65" t="n">
        <f aca="false">IF(CA878=1,0,IFERROR(VLOOKUP(BY878,'Gebinde-Kategorie'!$A$5:$N$45,13,0)+0,0))</f>
        <v>52</v>
      </c>
      <c r="S878" s="66"/>
      <c r="T878" s="67"/>
      <c r="U878" s="67"/>
      <c r="V878" s="67"/>
      <c r="W878" s="60"/>
      <c r="X878" s="62"/>
      <c r="Y878" s="62"/>
      <c r="Z878" s="60" t="n">
        <v>1</v>
      </c>
      <c r="AA878" s="60" t="n">
        <f aca="false">IF(A878="","",IF(AND(Parameter!$B$21="Ja",ISNUMBER(W878)),W878,IF(AND(Parameter!$E$27="Ja",ISNUMBER(Z878),CD878&lt;&gt;"Nein"),Z878,IF(CD878="2+3",IF(ISNUMBER(SEARCH("grosser Artikel",BV878)),2,IFERROR(VLOOKUP(BY878,Parameter!$F$35:$G$64,2,0),2)),IF(OR(CD878="Nein",CD878=""),"-",CD878)))))</f>
        <v>1</v>
      </c>
      <c r="AB878" s="67"/>
      <c r="AC878" s="68"/>
      <c r="AD878" s="62" t="n">
        <f aca="false">AW878</f>
        <v>1</v>
      </c>
      <c r="AE878" s="62" t="n">
        <f aca="false">MAX(AW878,H878)</f>
        <v>15</v>
      </c>
      <c r="AF878" s="69"/>
      <c r="AG878" s="62" t="n">
        <f aca="false">IF(LEFT(Cockpit!$C$5,1)="A",H878,IF(Parameter!$E$30="MAX-Bestand",IF(CI878=1,CJ878,IF(LEFT(Cockpit!$C$5,1)="B",AM878,MAX(AM878,H878))),ROUNDUP(AK878,0)))</f>
        <v>15</v>
      </c>
      <c r="AH878" s="62" t="n">
        <f aca="false">IF(CA878=1,0,ROUNDUP(AG878/BZ878,0))</f>
        <v>1</v>
      </c>
      <c r="AI878" s="64" t="n">
        <f aca="false">IF(CR878&gt;0,CR878*MAX(1,AG878/X878),IF(CA878=1,IF(AG878&lt;=0,0,CE878*MAX(1,IF(H878&gt;0,AG878/H878,1))),IF(R878&gt;0,AH878/R878,0))/MAX(0.1,N(Parameter!$M$21)))</f>
        <v>0.0192307692307692</v>
      </c>
      <c r="AJ878" s="62" t="n">
        <f aca="false">AI878*CC878</f>
        <v>2.98076923076923</v>
      </c>
      <c r="AK878" s="63" t="n">
        <f aca="false">IF(LEFT(Cockpit!$C$5,1)="A",H878,IF(CI878=1,(CL878+CJ878)/2,IF(LEFT(Cockpit!$C$5,1)="B",(CL878+AM878)/2,MAX((CL878+AM878)/2,H878))))</f>
        <v>15</v>
      </c>
      <c r="AL878" s="62" t="n">
        <f aca="false">AK878*G878</f>
        <v>12.75</v>
      </c>
      <c r="AM878" s="62" t="n">
        <f aca="false">ROUNDUP(CL878+MAX(CM878,2*(J878/IF(CH878&gt;0,CH878,MAX(0.1,N(Cockpit!$C$6)))-CL878)),0)</f>
        <v>1</v>
      </c>
      <c r="AN878" s="63" t="n">
        <f aca="false">IF(AJ878&gt;0,J878/AJ878,-1)</f>
        <v>0</v>
      </c>
      <c r="AO878" s="63" t="n">
        <f aca="false">IF(AND(OR(CG878="L1",CG878="L23",CG878="LIFT"),AJ878&gt;0),SUMIFS($AJ$7:$AJ$1843,$CG$7:$CG$1843,CG878,$AN$7:$AN$1843,"&gt;"&amp;AN878)+SUMIFS($AJ$7:$AJ$1843,$CG$7:$CG$1843,CG878,$AN$7:$AN$1843,AN878,$BX$7:$BX$1843,"&lt;="&amp;BX878),"")</f>
        <v>28812.6709556921</v>
      </c>
      <c r="AP878" s="70" t="n">
        <f aca="false">IF(AO878="",0,MAX(0,MIN(1,(IF(CG878="L1",Parameter!$H$5,IF(CG878="L23",Parameter!$H$6+Parameter!$H$7,Parameter!$H$5+Parameter!$H$6+Parameter!$H$7))-(AO878-AJ878))/AJ878)))</f>
        <v>1</v>
      </c>
      <c r="AQ878" s="62" t="n">
        <f aca="false">IF(LEFT(Cockpit!$I$5,1)="A",H878,IF(Parameter!$E$30="MAX-Bestand",IF(CI878=1,CJ878,IF(LEFT(Cockpit!$I$5,1)="B",AW878,MAX(AW878,H878))),ROUNDUP(AU878,0)))</f>
        <v>15</v>
      </c>
      <c r="AR878" s="62" t="n">
        <f aca="false">IF(CA878=1,0,ROUNDUP(AQ878/BZ878,0))</f>
        <v>1</v>
      </c>
      <c r="AS878" s="64" t="n">
        <f aca="false">IF(CR878&gt;0,CR878*MAX(1,AQ878/X878),IF(CA878=1,IF(AQ878&lt;=0,0,CE878*MAX(1,IF(H878&gt;0,AQ878/H878,1))),IF(R878&gt;0,AR878/R878,0))/MAX(0.1,N(Parameter!$M$21)))</f>
        <v>0.0192307692307692</v>
      </c>
      <c r="AT878" s="62" t="n">
        <f aca="false">AS878*CC878</f>
        <v>2.98076923076923</v>
      </c>
      <c r="AU878" s="63" t="n">
        <f aca="false">IF(LEFT(Cockpit!$I$5,1)="A",H878,IF(CI878=1,(CL878+CJ878)/2,IF(LEFT(Cockpit!$I$5,1)="B",(CL878+AW878)/2,MAX((CL878+AW878)/2,H878))))</f>
        <v>15</v>
      </c>
      <c r="AV878" s="62" t="n">
        <f aca="false">AU878*G878</f>
        <v>12.75</v>
      </c>
      <c r="AW878" s="62" t="n">
        <f aca="false">ROUNDUP(CL878+MAX(CM878,2*(J878/IF(CH878&gt;0,CH878,MAX(0.1,N(Cockpit!$I$6)))-CL878)),0)</f>
        <v>1</v>
      </c>
      <c r="AX878" s="63" t="n">
        <f aca="false">IF(AT878&gt;0,J878/AT878,-1)</f>
        <v>0</v>
      </c>
      <c r="AY878" s="63" t="n">
        <f aca="false">IF(AND(OR(CG878="L1",CG878="L23",CG878="LIFT"),AT878&gt;0),SUMIFS($AT$7:$AT$1843,$CG$7:$CG$1843,CG878,$AX$7:$AX$1843,"&gt;"&amp;AX878)+SUMIFS($AT$7:$AT$1843,$CG$7:$CG$1843,CG878,$AX$7:$AX$1843,AX878,$BX$7:$BX$1843,"&lt;="&amp;BX878),"")</f>
        <v>34432.9116300366</v>
      </c>
      <c r="AZ878" s="70" t="n">
        <f aca="false">IF(AY878="",0,MAX(0,MIN(1,(IF(CG878="L1",Parameter!$H$5,IF(CG878="L23",Parameter!$H$6+Parameter!$H$7,Parameter!$H$5+Parameter!$H$6+Parameter!$H$7))-(AY878-AT878))/AT878)))</f>
        <v>1</v>
      </c>
      <c r="BA878" s="62" t="n">
        <f aca="false">IF(LEFT(Cockpit!$O$5,1)="A",H878,IF(Parameter!$E$30="MAX-Bestand",IF(CI878=1,CJ878,IF(LEFT(Cockpit!$O$5,1)="B",BG878,MAX(BG878,H878))),ROUNDUP(BE878,0)))</f>
        <v>1</v>
      </c>
      <c r="BB878" s="62" t="n">
        <f aca="false">IF(CA878=1,0,ROUNDUP(BA878/BZ878,0))</f>
        <v>1</v>
      </c>
      <c r="BC878" s="64" t="n">
        <f aca="false">IF(CR878&gt;0,CR878*MAX(1,BA878/X878),IF(CA878=1,IF(BA878&lt;=0,0,CE878*MAX(1,IF(H878&gt;0,BA878/H878,1))),IF(R878&gt;0,BB878/R878,0))/MAX(0.1,N(Parameter!$M$21)))</f>
        <v>0.0192307692307692</v>
      </c>
      <c r="BD878" s="62" t="n">
        <f aca="false">BC878*CC878</f>
        <v>2.98076923076923</v>
      </c>
      <c r="BE878" s="63" t="n">
        <f aca="false">IF(LEFT(Cockpit!$O$5,1)="A",H878,IF(CI878=1,(CL878+CJ878)/2,IF(LEFT(Cockpit!$O$5,1)="B",(CL878+BG878)/2,MAX((CL878+BG878)/2,H878))))</f>
        <v>0.5</v>
      </c>
      <c r="BF878" s="62" t="n">
        <f aca="false">BE878*G878</f>
        <v>0.425</v>
      </c>
      <c r="BG878" s="62" t="n">
        <f aca="false">ROUNDUP(CL878+MAX(CM878,2*(J878/IF(CH878&gt;0,CH878,MAX(0.1,N(Cockpit!$O$6)))-CL878)),0)</f>
        <v>1</v>
      </c>
      <c r="BH878" s="63" t="n">
        <f aca="false">IF(BD878&gt;0,J878/BD878,-1)</f>
        <v>0</v>
      </c>
      <c r="BI878" s="63" t="n">
        <f aca="false">IF(AND(OR(CG878="L1",CG878="L23",CG878="LIFT"),BD878&gt;0),SUMIFS($BD$7:$BD$1843,$CG$7:$CG$1843,CG878,$BH$7:$BH$1843,"&gt;"&amp;BH878)+SUMIFS($BD$7:$BD$1843,$CG$7:$CG$1843,CG878,$BH$7:$BH$1843,BH878,$BX$7:$BX$1843,"&lt;="&amp;BX878),"")</f>
        <v>28472.6935649097</v>
      </c>
      <c r="BJ878" s="70" t="n">
        <f aca="false">IF(BI878="",0,MAX(0,MIN(1,(IF(CG878="L1",Parameter!$H$5,IF(CG878="L23",Parameter!$H$6+Parameter!$H$7,Parameter!$H$5+Parameter!$H$6+Parameter!$H$7))-(BI878-BD878))/BD878)))</f>
        <v>1</v>
      </c>
      <c r="BK878" s="60" t="str">
        <f aca="false">IF(AJ878&lt;=0,"",IF(CG878="Aussen","Aussenlager",IF(CG878="-","Nicht im Lift",IF(AP878&gt;=1,"Lift",IF(AP878&lt;=0,"Aussenlager","teilweise")))))</f>
        <v>Lift</v>
      </c>
      <c r="BL878" s="60" t="str">
        <f aca="false">IF(AT878&lt;=0,"",IF(CG878="Aussen","Aussenlager",IF(CG878="-","Nicht im Lift",IF(AZ878&gt;=1,"Lift",IF(AZ878&lt;=0,"Aussenlager","teilweise")))))</f>
        <v>Lift</v>
      </c>
      <c r="BM878" s="60" t="str">
        <f aca="false">IF(BD878&lt;=0,"",IF(CG878="Aussen","Aussenlager",IF(CG878="-","Nicht im Lift",IF(BJ878&gt;=1,"Lift",IF(BJ878&lt;=0,"Aussenlager","teilweise")))))</f>
        <v>Lift</v>
      </c>
      <c r="BN878" s="60" t="str">
        <f aca="false">IF(A878="","",IF(BW878=1,"Neu; ","")&amp;IF(AND(BW878=0,BR878&lt;0),"negativer Bestand (Export "&amp;BR878&amp;"); ","")&amp;IF(J878&lt;=0,"Kein Verbrauch; ","")&amp;IF(CR878&gt;0,"Lift "&amp;W878&amp;" lt. Liftbericht (Fach "&amp;X878&amp;" Stk); ",IF(CB878=1,"Gebinde geschätzt ("&amp;T878&amp;"); ",IF(CA878=1,"Lose – Tablare geschätzt; ","")))&amp;IF(H878&gt;AW878,"Überbestand "&amp;ROUND(H878-AW878,0)&amp;" Stk / CHF "&amp;ROUND((H878-AW878)*G878,0)&amp;"; ","")&amp;IF(AND(CI878=1,CJ878&lt;CK878),"MAX &lt; MB+LG; ","")&amp;IF(AND(CQ878&gt;0,CP878*10&gt;CQ878),"zu hoch für Tablar; ","")&amp;IF(AND(BW878=0,OR(CI878=1,AB878&lt;&gt;"",U878&lt;&gt;"",V878&lt;&gt;"",AC878&lt;&gt;"")),"manuell übersteuert; ","")&amp;IF(AND(CA878=0,R878=0),"Gebinde unbekannt / Stellmass fehlt; ","")&amp;IF(AND(CA878=0,N(V878)&lt;=0,N(Q878)&lt;=0),"Menge pro Gebinde fehlt (Ist = 1 Gebinde); ","")&amp;BV878)</f>
        <v>negativer Bestand (Export -35); Kein Verbrauch; Überbestand 14 Stk / CHF 12; Überbestand</v>
      </c>
      <c r="BO878" s="60"/>
      <c r="BP878" s="60"/>
      <c r="BQ878" s="67"/>
      <c r="BR878" s="62" t="n">
        <v>-35</v>
      </c>
      <c r="BS878" s="62" t="n">
        <v>50</v>
      </c>
      <c r="BT878" s="61" t="n">
        <v>-24.75</v>
      </c>
      <c r="BU878" s="62" t="n">
        <v>0</v>
      </c>
      <c r="BV878" s="60" t="s">
        <v>434</v>
      </c>
      <c r="BW878" s="65" t="n">
        <v>0</v>
      </c>
      <c r="BX878" s="65" t="n">
        <v>878</v>
      </c>
      <c r="BY878" s="60" t="str">
        <f aca="false">IF(U878&lt;&gt;"",UPPER(TRIM(U878)),IF(CB878=1,UPPER(VLOOKUP(T878,Parameter!$I$27:$K$29,2,0)),IF(P878="","LOSE",P878)))</f>
        <v>S41</v>
      </c>
      <c r="BZ878" s="62" t="n">
        <f aca="false">IF(BY878="LOSE",1,IF(N(V878)&gt;0,V878,IF(CB878=1,MAX(1,N(VLOOKUP(T878,Parameter!$I$27:$K$29,3,0)),H878,N(N878)),IF(N(Q878)&gt;0,Q878,MAX(1,H878)))))</f>
        <v>50</v>
      </c>
      <c r="CA878" s="65" t="n">
        <f aca="false">IF(BY878="LOSE",1,0)</f>
        <v>0</v>
      </c>
      <c r="CB878" s="65" t="n">
        <f aca="false">IF(AND(U878="",OR(P878="",P878="LOSE"),T878&lt;&gt;"",N(S878)&lt;=0,ISNUMBER(MATCH(T878,Parameter!$I$27:$I$29,0))),1,0)</f>
        <v>0</v>
      </c>
      <c r="CC878" s="65" t="n">
        <f aca="false">IF(CR878&gt;0,INDEX(Parameter!$H$5:$H$7,W878)/INDEX(Parameter!$E$5:$E$7,W878),IF(AND(CA878=0,N(IFERROR(VLOOKUP(BY878,'Gebinde-Kategorie'!$A$5:$N$45,14,0),0))&gt;0),VLOOKUP(BY878,'Gebinde-Kategorie'!$A$5:$N$45,14,0)*10+Parameter!$M$23,Parameter!$M$24))</f>
        <v>155</v>
      </c>
      <c r="CD878" s="60" t="str">
        <f aca="false">IF(AND(Parameter!$B$19="Ja",E878&lt;&gt;"",ISNUMBER(MATCH(E878,Parameter!$I$35:$I$52,0))),VLOOKUP(E878,Parameter!$I$35:$J$52,2,0),IFERROR(VLOOKUP(D878,Parameter!$A$35:$C$64,2,0),"Nein"))</f>
        <v>2+3</v>
      </c>
      <c r="CE878" s="64" t="n">
        <f aca="false">IF(CA878=0,0,IF(N(S878)&gt;0,S878,IFERROR(VLOOKUP(D878,Parameter!$A$35:$C$64,3,0)+0,0)))</f>
        <v>0</v>
      </c>
      <c r="CF878" s="60" t="n">
        <f aca="false">IF(AB878&lt;&gt;"",AB878,AA878)</f>
        <v>1</v>
      </c>
      <c r="CG878" s="60" t="str">
        <f aca="false">IF(OR(CF878=1,CF878=2,CF878=3),IF(Parameter!$E$27="Ja","LIFT",IF(CF878=1,"L1","L23")),IF(CF878="Aussen","Aussen","-"))</f>
        <v>LIFT</v>
      </c>
      <c r="CH878" s="71" t="n">
        <f aca="false">IF(N(AC878)&gt;0,AC878,0)</f>
        <v>0</v>
      </c>
      <c r="CI878" s="65" t="n">
        <f aca="false">IF(ISNUMBER(AF878),1,0)</f>
        <v>0</v>
      </c>
      <c r="CJ878" s="62" t="n">
        <f aca="false">N(AF878)</f>
        <v>0</v>
      </c>
      <c r="CK878" s="62" t="n">
        <f aca="false">N(M878)+N(N878)</f>
        <v>1</v>
      </c>
      <c r="CL878" s="62" t="n">
        <f aca="false">N(M878)</f>
        <v>0</v>
      </c>
      <c r="CM878" s="62" t="n">
        <f aca="false">N(N878)</f>
        <v>1</v>
      </c>
      <c r="CN878" s="62" t="n">
        <f aca="false">ROUNDUP(H878/BZ878,0)</f>
        <v>1</v>
      </c>
      <c r="CO878" s="62" t="n">
        <f aca="false">ROUNDUP(CJ878/BZ878,0)</f>
        <v>0</v>
      </c>
      <c r="CP878" s="65" t="n">
        <f aca="false">IF(CA878=1,0,IFERROR(VLOOKUP(BY878,'Gebinde-Kategorie'!$A$5:$N$45,5,0)+0,0))</f>
        <v>11</v>
      </c>
      <c r="CQ878" s="65" t="n">
        <f aca="false">IFERROR(IF(OR(CF878=1,CF878=2,CF878=3),N(INDEX(Parameter!$I$5:$I$7,CF878)),0),0)</f>
        <v>0</v>
      </c>
      <c r="CR878" s="64" t="n">
        <f aca="false">IF(AND(Parameter!$B$21="Ja",ISNUMBER(W878),N(X878)&gt;0),IFERROR(N(INDEX(Parameter!$L$5:$L$7,W878))*INDEX(Parameter!$E$5:$E$7,W878)*X878/SUMIFS($X$7:$X$1843,$W$7:$W$1843,W878),0),0)</f>
        <v>0</v>
      </c>
      <c r="CS878" s="62" t="n">
        <f aca="false">IF(AND(OR(CG878="L1",CG878="L23",CG878="LIFT"),H878&gt;0),CC878*IF(CR878&gt;0,CR878*MAX(1,H878/X878),IF(CA878=1,CE878,IF(R878&gt;0,CN878/R878,0))/MAX(0.1,N(Parameter!$M$21))),"")</f>
        <v>2.98076923076923</v>
      </c>
      <c r="CT878" s="64" t="n">
        <f aca="false">IF(CS878="","",J878/H878)</f>
        <v>0</v>
      </c>
      <c r="CU878" s="62" t="n">
        <f aca="false">IF(CS878="","",H878*G878)</f>
        <v>12.75</v>
      </c>
      <c r="CV878" s="63" t="n">
        <f aca="false">IF(CS878="","",(CL878+ROUNDUP(CL878+MAX(CM878,2*(J878/MAX(0.1,N(Einkauf!$C$6))-CL878)),0))/2)</f>
        <v>0.5</v>
      </c>
      <c r="CW878" s="62" t="n">
        <f aca="false">IF(CS878="","",MAX(0,H878-CV878)*G878)</f>
        <v>12.325</v>
      </c>
      <c r="CX878" s="62" t="n">
        <f aca="false">IF(CS878="","",CS878*MAX(0,1-CV878/H878))</f>
        <v>2.88141025641026</v>
      </c>
      <c r="CY878" s="64" t="n">
        <f aca="false">IF(CS878="","",PERCENTRANK($CS$7:$CS$1843,CS878)+PERCENTRANK($CU$7:$CU$1843,CU878)+1-PERCENTRANK($CT$7:$CT$1843,CT878))</f>
        <v>1.2644</v>
      </c>
      <c r="CZ878" s="72" t="n">
        <f aca="false">IF(CS878="","",CHOOSE(MATCH(Einkauf!$C$5,Parameter!$G$23:$G$27,0),CY878,CS878,CU878,-CT878,CW878)+ROW()/1000000000)</f>
        <v>1.264400878</v>
      </c>
    </row>
    <row r="879" customFormat="false" ht="15" hidden="false" customHeight="false" outlineLevel="0" collapsed="false">
      <c r="A879" s="60" t="s">
        <v>1705</v>
      </c>
      <c r="B879" s="60" t="s">
        <v>447</v>
      </c>
      <c r="C879" s="60" t="s">
        <v>206</v>
      </c>
      <c r="D879" s="60" t="s">
        <v>226</v>
      </c>
      <c r="E879" s="60" t="s">
        <v>227</v>
      </c>
      <c r="F879" s="60" t="s">
        <v>260</v>
      </c>
      <c r="G879" s="61" t="n">
        <v>0.04</v>
      </c>
      <c r="H879" s="62" t="n">
        <f aca="false">MAX(0,IF(AND(Parameter!$B$21="Ja",ISNUMBER(Y879)),Y879,IF(Parameter!$B$20="Jahresanfang 2025 + Export",BS879+BR879,BR879)))</f>
        <v>419</v>
      </c>
      <c r="I879" s="62" t="n">
        <f aca="false">H879*G879</f>
        <v>16.76</v>
      </c>
      <c r="J879" s="62" t="n">
        <f aca="false">BU879*Parameter!$B$18</f>
        <v>356</v>
      </c>
      <c r="K879" s="63" t="n">
        <v>638.5</v>
      </c>
      <c r="L879" s="64" t="n">
        <v>0.557556773688332</v>
      </c>
      <c r="M879" s="62" t="n">
        <v>20</v>
      </c>
      <c r="N879" s="62" t="n">
        <v>355</v>
      </c>
      <c r="O879" s="65" t="n">
        <v>21</v>
      </c>
      <c r="P879" s="60" t="s">
        <v>463</v>
      </c>
      <c r="Q879" s="62" t="n">
        <v>1419</v>
      </c>
      <c r="R879" s="65" t="n">
        <f aca="false">IF(CA879=1,0,IFERROR(VLOOKUP(BY879,'Gebinde-Kategorie'!$A$5:$N$45,13,0)+0,0))</f>
        <v>104</v>
      </c>
      <c r="S879" s="66"/>
      <c r="T879" s="67"/>
      <c r="U879" s="67"/>
      <c r="V879" s="67"/>
      <c r="W879" s="60"/>
      <c r="X879" s="62"/>
      <c r="Y879" s="62"/>
      <c r="Z879" s="60" t="n">
        <v>1</v>
      </c>
      <c r="AA879" s="60" t="n">
        <f aca="false">IF(A879="","",IF(AND(Parameter!$B$21="Ja",ISNUMBER(W879)),W879,IF(AND(Parameter!$E$27="Ja",ISNUMBER(Z879),CD879&lt;&gt;"Nein"),Z879,IF(CD879="2+3",IF(ISNUMBER(SEARCH("grosser Artikel",BV879)),2,IFERROR(VLOOKUP(BY879,Parameter!$F$35:$G$64,2,0),2)),IF(OR(CD879="Nein",CD879=""),"-",CD879)))))</f>
        <v>1</v>
      </c>
      <c r="AB879" s="67"/>
      <c r="AC879" s="68"/>
      <c r="AD879" s="62" t="n">
        <f aca="false">AW879</f>
        <v>375</v>
      </c>
      <c r="AE879" s="62" t="n">
        <f aca="false">MAX(AW879,H879)</f>
        <v>419</v>
      </c>
      <c r="AF879" s="69"/>
      <c r="AG879" s="62" t="n">
        <f aca="false">IF(LEFT(Cockpit!$C$5,1)="A",H879,IF(Parameter!$E$30="MAX-Bestand",IF(CI879=1,CJ879,IF(LEFT(Cockpit!$C$5,1)="B",AM879,MAX(AM879,H879))),ROUNDUP(AK879,0)))</f>
        <v>419</v>
      </c>
      <c r="AH879" s="62" t="n">
        <f aca="false">IF(CA879=1,0,ROUNDUP(AG879/BZ879,0))</f>
        <v>1</v>
      </c>
      <c r="AI879" s="64" t="n">
        <f aca="false">IF(CR879&gt;0,CR879*MAX(1,AG879/X879),IF(CA879=1,IF(AG879&lt;=0,0,CE879*MAX(1,IF(H879&gt;0,AG879/H879,1))),IF(R879&gt;0,AH879/R879,0))/MAX(0.1,N(Parameter!$M$21)))</f>
        <v>0.00961538461538462</v>
      </c>
      <c r="AJ879" s="62" t="n">
        <f aca="false">AI879*CC879</f>
        <v>1.49038461538462</v>
      </c>
      <c r="AK879" s="63" t="n">
        <f aca="false">IF(LEFT(Cockpit!$C$5,1)="A",H879,IF(CI879=1,(CL879+CJ879)/2,IF(LEFT(Cockpit!$C$5,1)="B",(CL879+AM879)/2,MAX((CL879+AM879)/2,H879))))</f>
        <v>419</v>
      </c>
      <c r="AL879" s="62" t="n">
        <f aca="false">AK879*G879</f>
        <v>16.76</v>
      </c>
      <c r="AM879" s="62" t="n">
        <f aca="false">ROUNDUP(CL879+MAX(CM879,2*(J879/IF(CH879&gt;0,CH879,MAX(0.1,N(Cockpit!$C$6)))-CL879)),0)</f>
        <v>375</v>
      </c>
      <c r="AN879" s="63" t="n">
        <f aca="false">IF(AJ879&gt;0,J879/AJ879,-1)</f>
        <v>238.864516129032</v>
      </c>
      <c r="AO879" s="63" t="n">
        <f aca="false">IF(AND(OR(CG879="L1",CG879="L23",CG879="LIFT"),AJ879&gt;0),SUMIFS($AJ$7:$AJ$1843,$CG$7:$CG$1843,CG879,$AN$7:$AN$1843,"&gt;"&amp;AN879)+SUMIFS($AJ$7:$AJ$1843,$CG$7:$CG$1843,CG879,$AN$7:$AN$1843,AN879,$BX$7:$BX$1843,"&lt;="&amp;BX879),"")</f>
        <v>305.937271062271</v>
      </c>
      <c r="AP879" s="70" t="n">
        <f aca="false">IF(AO879="",0,MAX(0,MIN(1,(IF(CG879="L1",Parameter!$H$5,IF(CG879="L23",Parameter!$H$6+Parameter!$H$7,Parameter!$H$5+Parameter!$H$6+Parameter!$H$7))-(AO879-AJ879))/AJ879)))</f>
        <v>1</v>
      </c>
      <c r="AQ879" s="62" t="n">
        <f aca="false">IF(LEFT(Cockpit!$I$5,1)="A",H879,IF(Parameter!$E$30="MAX-Bestand",IF(CI879=1,CJ879,IF(LEFT(Cockpit!$I$5,1)="B",AW879,MAX(AW879,H879))),ROUNDUP(AU879,0)))</f>
        <v>419</v>
      </c>
      <c r="AR879" s="62" t="n">
        <f aca="false">IF(CA879=1,0,ROUNDUP(AQ879/BZ879,0))</f>
        <v>1</v>
      </c>
      <c r="AS879" s="64" t="n">
        <f aca="false">IF(CR879&gt;0,CR879*MAX(1,AQ879/X879),IF(CA879=1,IF(AQ879&lt;=0,0,CE879*MAX(1,IF(H879&gt;0,AQ879/H879,1))),IF(R879&gt;0,AR879/R879,0))/MAX(0.1,N(Parameter!$M$21)))</f>
        <v>0.00961538461538462</v>
      </c>
      <c r="AT879" s="62" t="n">
        <f aca="false">AS879*CC879</f>
        <v>1.49038461538462</v>
      </c>
      <c r="AU879" s="63" t="n">
        <f aca="false">IF(LEFT(Cockpit!$I$5,1)="A",H879,IF(CI879=1,(CL879+CJ879)/2,IF(LEFT(Cockpit!$I$5,1)="B",(CL879+AW879)/2,MAX((CL879+AW879)/2,H879))))</f>
        <v>419</v>
      </c>
      <c r="AV879" s="62" t="n">
        <f aca="false">AU879*G879</f>
        <v>16.76</v>
      </c>
      <c r="AW879" s="62" t="n">
        <f aca="false">ROUNDUP(CL879+MAX(CM879,2*(J879/IF(CH879&gt;0,CH879,MAX(0.1,N(Cockpit!$I$6)))-CL879)),0)</f>
        <v>375</v>
      </c>
      <c r="AX879" s="63" t="n">
        <f aca="false">IF(AT879&gt;0,J879/AT879,-1)</f>
        <v>238.864516129032</v>
      </c>
      <c r="AY879" s="63" t="n">
        <f aca="false">IF(AND(OR(CG879="L1",CG879="L23",CG879="LIFT"),AT879&gt;0),SUMIFS($AT$7:$AT$1843,$CG$7:$CG$1843,CG879,$AX$7:$AX$1843,"&gt;"&amp;AX879)+SUMIFS($AT$7:$AT$1843,$CG$7:$CG$1843,CG879,$AX$7:$AX$1843,AX879,$BX$7:$BX$1843,"&lt;="&amp;BX879),"")</f>
        <v>258.999542124542</v>
      </c>
      <c r="AZ879" s="70" t="n">
        <f aca="false">IF(AY879="",0,MAX(0,MIN(1,(IF(CG879="L1",Parameter!$H$5,IF(CG879="L23",Parameter!$H$6+Parameter!$H$7,Parameter!$H$5+Parameter!$H$6+Parameter!$H$7))-(AY879-AT879))/AT879)))</f>
        <v>1</v>
      </c>
      <c r="BA879" s="62" t="n">
        <f aca="false">IF(LEFT(Cockpit!$O$5,1)="A",H879,IF(Parameter!$E$30="MAX-Bestand",IF(CI879=1,CJ879,IF(LEFT(Cockpit!$O$5,1)="B",BG879,MAX(BG879,H879))),ROUNDUP(BE879,0)))</f>
        <v>198</v>
      </c>
      <c r="BB879" s="62" t="n">
        <f aca="false">IF(CA879=1,0,ROUNDUP(BA879/BZ879,0))</f>
        <v>1</v>
      </c>
      <c r="BC879" s="64" t="n">
        <f aca="false">IF(CR879&gt;0,CR879*MAX(1,BA879/X879),IF(CA879=1,IF(BA879&lt;=0,0,CE879*MAX(1,IF(H879&gt;0,BA879/H879,1))),IF(R879&gt;0,BB879/R879,0))/MAX(0.1,N(Parameter!$M$21)))</f>
        <v>0.00961538461538462</v>
      </c>
      <c r="BD879" s="62" t="n">
        <f aca="false">BC879*CC879</f>
        <v>1.49038461538462</v>
      </c>
      <c r="BE879" s="63" t="n">
        <f aca="false">IF(LEFT(Cockpit!$O$5,1)="A",H879,IF(CI879=1,(CL879+CJ879)/2,IF(LEFT(Cockpit!$O$5,1)="B",(CL879+BG879)/2,MAX((CL879+BG879)/2,H879))))</f>
        <v>197.5</v>
      </c>
      <c r="BF879" s="62" t="n">
        <f aca="false">BE879*G879</f>
        <v>7.9</v>
      </c>
      <c r="BG879" s="62" t="n">
        <f aca="false">ROUNDUP(CL879+MAX(CM879,2*(J879/IF(CH879&gt;0,CH879,MAX(0.1,N(Cockpit!$O$6)))-CL879)),0)</f>
        <v>375</v>
      </c>
      <c r="BH879" s="63" t="n">
        <f aca="false">IF(BD879&gt;0,J879/BD879,-1)</f>
        <v>238.864516129032</v>
      </c>
      <c r="BI879" s="63" t="n">
        <f aca="false">IF(AND(OR(CG879="L1",CG879="L23",CG879="LIFT"),BD879&gt;0),SUMIFS($BD$7:$BD$1843,$CG$7:$CG$1843,CG879,$BH$7:$BH$1843,"&gt;"&amp;BH879)+SUMIFS($BD$7:$BD$1843,$CG$7:$CG$1843,CG879,$BH$7:$BH$1843,BH879,$BX$7:$BX$1843,"&lt;="&amp;BX879),"")</f>
        <v>314.309523809524</v>
      </c>
      <c r="BJ879" s="70" t="n">
        <f aca="false">IF(BI879="",0,MAX(0,MIN(1,(IF(CG879="L1",Parameter!$H$5,IF(CG879="L23",Parameter!$H$6+Parameter!$H$7,Parameter!$H$5+Parameter!$H$6+Parameter!$H$7))-(BI879-BD879))/BD879)))</f>
        <v>1</v>
      </c>
      <c r="BK879" s="60" t="str">
        <f aca="false">IF(AJ879&lt;=0,"",IF(CG879="Aussen","Aussenlager",IF(CG879="-","Nicht im Lift",IF(AP879&gt;=1,"Lift",IF(AP879&lt;=0,"Aussenlager","teilweise")))))</f>
        <v>Lift</v>
      </c>
      <c r="BL879" s="60" t="str">
        <f aca="false">IF(AT879&lt;=0,"",IF(CG879="Aussen","Aussenlager",IF(CG879="-","Nicht im Lift",IF(AZ879&gt;=1,"Lift",IF(AZ879&lt;=0,"Aussenlager","teilweise")))))</f>
        <v>Lift</v>
      </c>
      <c r="BM879" s="60" t="str">
        <f aca="false">IF(BD879&lt;=0,"",IF(CG879="Aussen","Aussenlager",IF(CG879="-","Nicht im Lift",IF(BJ879&gt;=1,"Lift",IF(BJ879&lt;=0,"Aussenlager","teilweise")))))</f>
        <v>Lift</v>
      </c>
      <c r="BN879" s="60" t="str">
        <f aca="false">IF(A879="","",IF(BW879=1,"Neu; ","")&amp;IF(AND(BW879=0,BR879&lt;0),"negativer Bestand (Export "&amp;BR879&amp;"); ","")&amp;IF(J879&lt;=0,"Kein Verbrauch; ","")&amp;IF(CR879&gt;0,"Lift "&amp;W879&amp;" lt. Liftbericht (Fach "&amp;X879&amp;" Stk); ",IF(CB879=1,"Gebinde geschätzt ("&amp;T879&amp;"); ",IF(CA879=1,"Lose – Tablare geschätzt; ","")))&amp;IF(H879&gt;AW879,"Überbestand "&amp;ROUND(H879-AW879,0)&amp;" Stk / CHF "&amp;ROUND((H879-AW879)*G879,0)&amp;"; ","")&amp;IF(AND(CI879=1,CJ879&lt;CK879),"MAX &lt; MB+LG; ","")&amp;IF(AND(CQ879&gt;0,CP879*10&gt;CQ879),"zu hoch für Tablar; ","")&amp;IF(AND(BW879=0,OR(CI879=1,AB879&lt;&gt;"",U879&lt;&gt;"",V879&lt;&gt;"",AC879&lt;&gt;"")),"manuell übersteuert; ","")&amp;IF(AND(CA879=0,R879=0),"Gebinde unbekannt / Stellmass fehlt; ","")&amp;IF(AND(CA879=0,N(V879)&lt;=0,N(Q879)&lt;=0),"Menge pro Gebinde fehlt (Ist = 1 Gebinde); ","")&amp;BV879)</f>
        <v>negativer Bestand (Export -657); Überbestand 44 Stk / CHF 2; </v>
      </c>
      <c r="BO879" s="60"/>
      <c r="BP879" s="60"/>
      <c r="BQ879" s="67"/>
      <c r="BR879" s="62" t="n">
        <v>-657</v>
      </c>
      <c r="BS879" s="62" t="n">
        <v>1076</v>
      </c>
      <c r="BT879" s="61" t="n">
        <v>-26.28</v>
      </c>
      <c r="BU879" s="62" t="n">
        <v>356</v>
      </c>
      <c r="BV879" s="60"/>
      <c r="BW879" s="65" t="n">
        <v>0</v>
      </c>
      <c r="BX879" s="65" t="n">
        <v>879</v>
      </c>
      <c r="BY879" s="60" t="str">
        <f aca="false">IF(U879&lt;&gt;"",UPPER(TRIM(U879)),IF(CB879=1,UPPER(VLOOKUP(T879,Parameter!$I$27:$K$29,2,0)),IF(P879="","LOSE",P879)))</f>
        <v>S32</v>
      </c>
      <c r="BZ879" s="62" t="n">
        <f aca="false">IF(BY879="LOSE",1,IF(N(V879)&gt;0,V879,IF(CB879=1,MAX(1,N(VLOOKUP(T879,Parameter!$I$27:$K$29,3,0)),H879,N(N879)),IF(N(Q879)&gt;0,Q879,MAX(1,H879)))))</f>
        <v>1419</v>
      </c>
      <c r="CA879" s="65" t="n">
        <f aca="false">IF(BY879="LOSE",1,0)</f>
        <v>0</v>
      </c>
      <c r="CB879" s="65" t="n">
        <f aca="false">IF(AND(U879="",OR(P879="",P879="LOSE"),T879&lt;&gt;"",N(S879)&lt;=0,ISNUMBER(MATCH(T879,Parameter!$I$27:$I$29,0))),1,0)</f>
        <v>0</v>
      </c>
      <c r="CC879" s="65" t="n">
        <f aca="false">IF(CR879&gt;0,INDEX(Parameter!$H$5:$H$7,W879)/INDEX(Parameter!$E$5:$E$7,W879),IF(AND(CA879=0,N(IFERROR(VLOOKUP(BY879,'Gebinde-Kategorie'!$A$5:$N$45,14,0),0))&gt;0),VLOOKUP(BY879,'Gebinde-Kategorie'!$A$5:$N$45,14,0)*10+Parameter!$M$23,Parameter!$M$24))</f>
        <v>155</v>
      </c>
      <c r="CD879" s="60" t="str">
        <f aca="false">IF(AND(Parameter!$B$19="Ja",E879&lt;&gt;"",ISNUMBER(MATCH(E879,Parameter!$I$35:$I$52,0))),VLOOKUP(E879,Parameter!$I$35:$J$52,2,0),IFERROR(VLOOKUP(D879,Parameter!$A$35:$C$64,2,0),"Nein"))</f>
        <v>2+3</v>
      </c>
      <c r="CE879" s="64" t="n">
        <f aca="false">IF(CA879=0,0,IF(N(S879)&gt;0,S879,IFERROR(VLOOKUP(D879,Parameter!$A$35:$C$64,3,0)+0,0)))</f>
        <v>0</v>
      </c>
      <c r="CF879" s="60" t="n">
        <f aca="false">IF(AB879&lt;&gt;"",AB879,AA879)</f>
        <v>1</v>
      </c>
      <c r="CG879" s="60" t="str">
        <f aca="false">IF(OR(CF879=1,CF879=2,CF879=3),IF(Parameter!$E$27="Ja","LIFT",IF(CF879=1,"L1","L23")),IF(CF879="Aussen","Aussen","-"))</f>
        <v>LIFT</v>
      </c>
      <c r="CH879" s="71" t="n">
        <f aca="false">IF(N(AC879)&gt;0,AC879,0)</f>
        <v>0</v>
      </c>
      <c r="CI879" s="65" t="n">
        <f aca="false">IF(ISNUMBER(AF879),1,0)</f>
        <v>0</v>
      </c>
      <c r="CJ879" s="62" t="n">
        <f aca="false">N(AF879)</f>
        <v>0</v>
      </c>
      <c r="CK879" s="62" t="n">
        <f aca="false">N(M879)+N(N879)</f>
        <v>375</v>
      </c>
      <c r="CL879" s="62" t="n">
        <f aca="false">N(M879)</f>
        <v>20</v>
      </c>
      <c r="CM879" s="62" t="n">
        <f aca="false">N(N879)</f>
        <v>355</v>
      </c>
      <c r="CN879" s="62" t="n">
        <f aca="false">ROUNDUP(H879/BZ879,0)</f>
        <v>1</v>
      </c>
      <c r="CO879" s="62" t="n">
        <f aca="false">ROUNDUP(CJ879/BZ879,0)</f>
        <v>0</v>
      </c>
      <c r="CP879" s="65" t="n">
        <f aca="false">IF(CA879=1,0,IFERROR(VLOOKUP(BY879,'Gebinde-Kategorie'!$A$5:$N$45,5,0)+0,0))</f>
        <v>8</v>
      </c>
      <c r="CQ879" s="65" t="n">
        <f aca="false">IFERROR(IF(OR(CF879=1,CF879=2,CF879=3),N(INDEX(Parameter!$I$5:$I$7,CF879)),0),0)</f>
        <v>0</v>
      </c>
      <c r="CR879" s="64" t="n">
        <f aca="false">IF(AND(Parameter!$B$21="Ja",ISNUMBER(W879),N(X879)&gt;0),IFERROR(N(INDEX(Parameter!$L$5:$L$7,W879))*INDEX(Parameter!$E$5:$E$7,W879)*X879/SUMIFS($X$7:$X$1843,$W$7:$W$1843,W879),0),0)</f>
        <v>0</v>
      </c>
      <c r="CS879" s="62" t="n">
        <f aca="false">IF(AND(OR(CG879="L1",CG879="L23",CG879="LIFT"),H879&gt;0),CC879*IF(CR879&gt;0,CR879*MAX(1,H879/X879),IF(CA879=1,CE879,IF(R879&gt;0,CN879/R879,0))/MAX(0.1,N(Parameter!$M$21))),"")</f>
        <v>1.49038461538462</v>
      </c>
      <c r="CT879" s="64" t="n">
        <f aca="false">IF(CS879="","",J879/H879)</f>
        <v>0.84964200477327</v>
      </c>
      <c r="CU879" s="62" t="n">
        <f aca="false">IF(CS879="","",H879*G879)</f>
        <v>16.76</v>
      </c>
      <c r="CV879" s="63" t="n">
        <f aca="false">IF(CS879="","",(CL879+ROUNDUP(CL879+MAX(CM879,2*(J879/MAX(0.1,N(Einkauf!$C$6))-CL879)),0))/2)</f>
        <v>197.5</v>
      </c>
      <c r="CW879" s="62" t="n">
        <f aca="false">IF(CS879="","",MAX(0,H879-CV879)*G879)</f>
        <v>8.86</v>
      </c>
      <c r="CX879" s="62" t="n">
        <f aca="false">IF(CS879="","",CS879*MAX(0,1-CV879/H879))</f>
        <v>0.787876353956306</v>
      </c>
      <c r="CY879" s="64" t="n">
        <f aca="false">IF(CS879="","",PERCENTRANK($CS$7:$CS$1843,CS879)+PERCENTRANK($CU$7:$CU$1843,CU879)+1-PERCENTRANK($CT$7:$CT$1843,CT879))</f>
        <v>0.574</v>
      </c>
      <c r="CZ879" s="72" t="n">
        <f aca="false">IF(CS879="","",CHOOSE(MATCH(Einkauf!$C$5,Parameter!$G$23:$G$27,0),CY879,CS879,CU879,-CT879,CW879)+ROW()/1000000000)</f>
        <v>0.574000879</v>
      </c>
    </row>
    <row r="880" customFormat="false" ht="15" hidden="false" customHeight="false" outlineLevel="0" collapsed="false">
      <c r="A880" s="60" t="s">
        <v>1706</v>
      </c>
      <c r="B880" s="60" t="s">
        <v>1707</v>
      </c>
      <c r="C880" s="60" t="s">
        <v>206</v>
      </c>
      <c r="D880" s="60" t="s">
        <v>226</v>
      </c>
      <c r="E880" s="60" t="s">
        <v>227</v>
      </c>
      <c r="F880" s="60" t="s">
        <v>260</v>
      </c>
      <c r="G880" s="61" t="n">
        <v>3.68</v>
      </c>
      <c r="H880" s="62" t="n">
        <f aca="false">MAX(0,IF(AND(Parameter!$B$21="Ja",ISNUMBER(Y880)),Y880,IF(Parameter!$B$20="Jahresanfang 2025 + Export",BS880+BR880,BR880)))</f>
        <v>29</v>
      </c>
      <c r="I880" s="62" t="n">
        <f aca="false">H880*G880</f>
        <v>106.72</v>
      </c>
      <c r="J880" s="62" t="n">
        <f aca="false">BU880*Parameter!$B$18</f>
        <v>74</v>
      </c>
      <c r="K880" s="63" t="n">
        <v>50</v>
      </c>
      <c r="L880" s="64" t="n">
        <v>1.48</v>
      </c>
      <c r="M880" s="62" t="n">
        <v>4</v>
      </c>
      <c r="N880" s="62" t="n">
        <v>50</v>
      </c>
      <c r="O880" s="65" t="n">
        <v>30</v>
      </c>
      <c r="P880" s="60" t="s">
        <v>344</v>
      </c>
      <c r="Q880" s="62" t="n">
        <v>30</v>
      </c>
      <c r="R880" s="65" t="n">
        <f aca="false">IF(CA880=1,0,IFERROR(VLOOKUP(BY880,'Gebinde-Kategorie'!$A$5:$N$45,13,0)+0,0))</f>
        <v>26</v>
      </c>
      <c r="S880" s="66"/>
      <c r="T880" s="67"/>
      <c r="U880" s="67"/>
      <c r="V880" s="67"/>
      <c r="W880" s="60"/>
      <c r="X880" s="62"/>
      <c r="Y880" s="62"/>
      <c r="Z880" s="60" t="n">
        <v>3</v>
      </c>
      <c r="AA880" s="60" t="n">
        <f aca="false">IF(A880="","",IF(AND(Parameter!$B$21="Ja",ISNUMBER(W880)),W880,IF(AND(Parameter!$E$27="Ja",ISNUMBER(Z880),CD880&lt;&gt;"Nein"),Z880,IF(CD880="2+3",IF(ISNUMBER(SEARCH("grosser Artikel",BV880)),2,IFERROR(VLOOKUP(BY880,Parameter!$F$35:$G$64,2,0),2)),IF(OR(CD880="Nein",CD880=""),"-",CD880)))))</f>
        <v>3</v>
      </c>
      <c r="AB880" s="67"/>
      <c r="AC880" s="68"/>
      <c r="AD880" s="62" t="n">
        <f aca="false">AW880</f>
        <v>54</v>
      </c>
      <c r="AE880" s="62" t="n">
        <f aca="false">MAX(AW880,H880)</f>
        <v>54</v>
      </c>
      <c r="AF880" s="69"/>
      <c r="AG880" s="62" t="n">
        <f aca="false">IF(LEFT(Cockpit!$C$5,1)="A",H880,IF(Parameter!$E$30="MAX-Bestand",IF(CI880=1,CJ880,IF(LEFT(Cockpit!$C$5,1)="B",AM880,MAX(AM880,H880))),ROUNDUP(AK880,0)))</f>
        <v>29</v>
      </c>
      <c r="AH880" s="62" t="n">
        <f aca="false">IF(CA880=1,0,ROUNDUP(AG880/BZ880,0))</f>
        <v>1</v>
      </c>
      <c r="AI880" s="64" t="n">
        <f aca="false">IF(CR880&gt;0,CR880*MAX(1,AG880/X880),IF(CA880=1,IF(AG880&lt;=0,0,CE880*MAX(1,IF(H880&gt;0,AG880/H880,1))),IF(R880&gt;0,AH880/R880,0))/MAX(0.1,N(Parameter!$M$21)))</f>
        <v>0.0384615384615385</v>
      </c>
      <c r="AJ880" s="62" t="n">
        <f aca="false">AI880*CC880</f>
        <v>5.96153846153846</v>
      </c>
      <c r="AK880" s="63" t="n">
        <f aca="false">IF(LEFT(Cockpit!$C$5,1)="A",H880,IF(CI880=1,(CL880+CJ880)/2,IF(LEFT(Cockpit!$C$5,1)="B",(CL880+AM880)/2,MAX((CL880+AM880)/2,H880))))</f>
        <v>29</v>
      </c>
      <c r="AL880" s="62" t="n">
        <f aca="false">AK880*G880</f>
        <v>106.72</v>
      </c>
      <c r="AM880" s="62" t="n">
        <f aca="false">ROUNDUP(CL880+MAX(CM880,2*(J880/IF(CH880&gt;0,CH880,MAX(0.1,N(Cockpit!$C$6)))-CL880)),0)</f>
        <v>54</v>
      </c>
      <c r="AN880" s="63" t="n">
        <f aca="false">IF(AJ880&gt;0,J880/AJ880,-1)</f>
        <v>12.4129032258065</v>
      </c>
      <c r="AO880" s="63" t="n">
        <f aca="false">IF(AND(OR(CG880="L1",CG880="L23",CG880="LIFT"),AJ880&gt;0),SUMIFS($AJ$7:$AJ$1843,$CG$7:$CG$1843,CG880,$AN$7:$AN$1843,"&gt;"&amp;AN880)+SUMIFS($AJ$7:$AJ$1843,$CG$7:$CG$1843,CG880,$AN$7:$AN$1843,AN880,$BX$7:$BX$1843,"&lt;="&amp;BX880),"")</f>
        <v>2498.47710622711</v>
      </c>
      <c r="AP880" s="70" t="n">
        <f aca="false">IF(AO880="",0,MAX(0,MIN(1,(IF(CG880="L1",Parameter!$H$5,IF(CG880="L23",Parameter!$H$6+Parameter!$H$7,Parameter!$H$5+Parameter!$H$6+Parameter!$H$7))-(AO880-AJ880))/AJ880)))</f>
        <v>1</v>
      </c>
      <c r="AQ880" s="62" t="n">
        <f aca="false">IF(LEFT(Cockpit!$I$5,1)="A",H880,IF(Parameter!$E$30="MAX-Bestand",IF(CI880=1,CJ880,IF(LEFT(Cockpit!$I$5,1)="B",AW880,MAX(AW880,H880))),ROUNDUP(AU880,0)))</f>
        <v>29</v>
      </c>
      <c r="AR880" s="62" t="n">
        <f aca="false">IF(CA880=1,0,ROUNDUP(AQ880/BZ880,0))</f>
        <v>1</v>
      </c>
      <c r="AS880" s="64" t="n">
        <f aca="false">IF(CR880&gt;0,CR880*MAX(1,AQ880/X880),IF(CA880=1,IF(AQ880&lt;=0,0,CE880*MAX(1,IF(H880&gt;0,AQ880/H880,1))),IF(R880&gt;0,AR880/R880,0))/MAX(0.1,N(Parameter!$M$21)))</f>
        <v>0.0384615384615385</v>
      </c>
      <c r="AT880" s="62" t="n">
        <f aca="false">AS880*CC880</f>
        <v>5.96153846153846</v>
      </c>
      <c r="AU880" s="63" t="n">
        <f aca="false">IF(LEFT(Cockpit!$I$5,1)="A",H880,IF(CI880=1,(CL880+CJ880)/2,IF(LEFT(Cockpit!$I$5,1)="B",(CL880+AW880)/2,MAX((CL880+AW880)/2,H880))))</f>
        <v>29</v>
      </c>
      <c r="AV880" s="62" t="n">
        <f aca="false">AU880*G880</f>
        <v>106.72</v>
      </c>
      <c r="AW880" s="62" t="n">
        <f aca="false">ROUNDUP(CL880+MAX(CM880,2*(J880/IF(CH880&gt;0,CH880,MAX(0.1,N(Cockpit!$I$6)))-CL880)),0)</f>
        <v>54</v>
      </c>
      <c r="AX880" s="63" t="n">
        <f aca="false">IF(AT880&gt;0,J880/AT880,-1)</f>
        <v>12.4129032258065</v>
      </c>
      <c r="AY880" s="63" t="n">
        <f aca="false">IF(AND(OR(CG880="L1",CG880="L23",CG880="LIFT"),AT880&gt;0),SUMIFS($AT$7:$AT$1843,$CG$7:$CG$1843,CG880,$AX$7:$AX$1843,"&gt;"&amp;AX880)+SUMIFS($AT$7:$AT$1843,$CG$7:$CG$1843,CG880,$AX$7:$AX$1843,AX880,$BX$7:$BX$1843,"&lt;="&amp;BX880),"")</f>
        <v>3087.85622710623</v>
      </c>
      <c r="AZ880" s="70" t="n">
        <f aca="false">IF(AY880="",0,MAX(0,MIN(1,(IF(CG880="L1",Parameter!$H$5,IF(CG880="L23",Parameter!$H$6+Parameter!$H$7,Parameter!$H$5+Parameter!$H$6+Parameter!$H$7))-(AY880-AT880))/AT880)))</f>
        <v>1</v>
      </c>
      <c r="BA880" s="62" t="n">
        <f aca="false">IF(LEFT(Cockpit!$O$5,1)="A",H880,IF(Parameter!$E$30="MAX-Bestand",IF(CI880=1,CJ880,IF(LEFT(Cockpit!$O$5,1)="B",BG880,MAX(BG880,H880))),ROUNDUP(BE880,0)))</f>
        <v>29</v>
      </c>
      <c r="BB880" s="62" t="n">
        <f aca="false">IF(CA880=1,0,ROUNDUP(BA880/BZ880,0))</f>
        <v>1</v>
      </c>
      <c r="BC880" s="64" t="n">
        <f aca="false">IF(CR880&gt;0,CR880*MAX(1,BA880/X880),IF(CA880=1,IF(BA880&lt;=0,0,CE880*MAX(1,IF(H880&gt;0,BA880/H880,1))),IF(R880&gt;0,BB880/R880,0))/MAX(0.1,N(Parameter!$M$21)))</f>
        <v>0.0384615384615385</v>
      </c>
      <c r="BD880" s="62" t="n">
        <f aca="false">BC880*CC880</f>
        <v>5.96153846153846</v>
      </c>
      <c r="BE880" s="63" t="n">
        <f aca="false">IF(LEFT(Cockpit!$O$5,1)="A",H880,IF(CI880=1,(CL880+CJ880)/2,IF(LEFT(Cockpit!$O$5,1)="B",(CL880+BG880)/2,MAX((CL880+BG880)/2,H880))))</f>
        <v>29</v>
      </c>
      <c r="BF880" s="62" t="n">
        <f aca="false">BE880*G880</f>
        <v>106.72</v>
      </c>
      <c r="BG880" s="62" t="n">
        <f aca="false">ROUNDUP(CL880+MAX(CM880,2*(J880/IF(CH880&gt;0,CH880,MAX(0.1,N(Cockpit!$O$6)))-CL880)),0)</f>
        <v>54</v>
      </c>
      <c r="BH880" s="63" t="n">
        <f aca="false">IF(BD880&gt;0,J880/BD880,-1)</f>
        <v>12.4129032258065</v>
      </c>
      <c r="BI880" s="63" t="n">
        <f aca="false">IF(AND(OR(CG880="L1",CG880="L23",CG880="LIFT"),BD880&gt;0),SUMIFS($BD$7:$BD$1843,$CG$7:$CG$1843,CG880,$BH$7:$BH$1843,"&gt;"&amp;BH880)+SUMIFS($BD$7:$BD$1843,$CG$7:$CG$1843,CG880,$BH$7:$BH$1843,BH880,$BX$7:$BX$1843,"&lt;="&amp;BX880),"")</f>
        <v>2562.79029304029</v>
      </c>
      <c r="BJ880" s="70" t="n">
        <f aca="false">IF(BI880="",0,MAX(0,MIN(1,(IF(CG880="L1",Parameter!$H$5,IF(CG880="L23",Parameter!$H$6+Parameter!$H$7,Parameter!$H$5+Parameter!$H$6+Parameter!$H$7))-(BI880-BD880))/BD880)))</f>
        <v>1</v>
      </c>
      <c r="BK880" s="60" t="str">
        <f aca="false">IF(AJ880&lt;=0,"",IF(CG880="Aussen","Aussenlager",IF(CG880="-","Nicht im Lift",IF(AP880&gt;=1,"Lift",IF(AP880&lt;=0,"Aussenlager","teilweise")))))</f>
        <v>Lift</v>
      </c>
      <c r="BL880" s="60" t="str">
        <f aca="false">IF(AT880&lt;=0,"",IF(CG880="Aussen","Aussenlager",IF(CG880="-","Nicht im Lift",IF(AZ880&gt;=1,"Lift",IF(AZ880&lt;=0,"Aussenlager","teilweise")))))</f>
        <v>Lift</v>
      </c>
      <c r="BM880" s="60" t="str">
        <f aca="false">IF(BD880&lt;=0,"",IF(CG880="Aussen","Aussenlager",IF(CG880="-","Nicht im Lift",IF(BJ880&gt;=1,"Lift",IF(BJ880&lt;=0,"Aussenlager","teilweise")))))</f>
        <v>Lift</v>
      </c>
      <c r="BN880" s="60" t="str">
        <f aca="false">IF(A880="","",IF(BW880=1,"Neu; ","")&amp;IF(AND(BW880=0,BR880&lt;0),"negativer Bestand (Export "&amp;BR880&amp;"); ","")&amp;IF(J880&lt;=0,"Kein Verbrauch; ","")&amp;IF(CR880&gt;0,"Lift "&amp;W880&amp;" lt. Liftbericht (Fach "&amp;X880&amp;" Stk); ",IF(CB880=1,"Gebinde geschätzt ("&amp;T880&amp;"); ",IF(CA880=1,"Lose – Tablare geschätzt; ","")))&amp;IF(H880&gt;AW880,"Überbestand "&amp;ROUND(H880-AW880,0)&amp;" Stk / CHF "&amp;ROUND((H880-AW880)*G880,0)&amp;"; ","")&amp;IF(AND(CI880=1,CJ880&lt;CK880),"MAX &lt; MB+LG; ","")&amp;IF(AND(CQ880&gt;0,CP880*10&gt;CQ880),"zu hoch für Tablar; ","")&amp;IF(AND(BW880=0,OR(CI880=1,AB880&lt;&gt;"",U880&lt;&gt;"",V880&lt;&gt;"",AC880&lt;&gt;"")),"manuell übersteuert; ","")&amp;IF(AND(CA880=0,R880=0),"Gebinde unbekannt / Stellmass fehlt; ","")&amp;IF(AND(CA880=0,N(V880)&lt;=0,N(Q880)&lt;=0),"Menge pro Gebinde fehlt (Ist = 1 Gebinde); ","")&amp;BV880)</f>
        <v>negativer Bestand (Export -8); </v>
      </c>
      <c r="BO880" s="60"/>
      <c r="BP880" s="60"/>
      <c r="BQ880" s="67"/>
      <c r="BR880" s="62" t="n">
        <v>-8</v>
      </c>
      <c r="BS880" s="62" t="n">
        <v>37</v>
      </c>
      <c r="BT880" s="61" t="n">
        <v>-26.85</v>
      </c>
      <c r="BU880" s="62" t="n">
        <v>74</v>
      </c>
      <c r="BV880" s="60"/>
      <c r="BW880" s="65" t="n">
        <v>0</v>
      </c>
      <c r="BX880" s="65" t="n">
        <v>880</v>
      </c>
      <c r="BY880" s="60" t="str">
        <f aca="false">IF(U880&lt;&gt;"",UPPER(TRIM(U880)),IF(CB880=1,UPPER(VLOOKUP(T880,Parameter!$I$27:$K$29,2,0)),IF(P880="","LOSE",P880)))</f>
        <v>S51</v>
      </c>
      <c r="BZ880" s="62" t="n">
        <f aca="false">IF(BY880="LOSE",1,IF(N(V880)&gt;0,V880,IF(CB880=1,MAX(1,N(VLOOKUP(T880,Parameter!$I$27:$K$29,3,0)),H880,N(N880)),IF(N(Q880)&gt;0,Q880,MAX(1,H880)))))</f>
        <v>30</v>
      </c>
      <c r="CA880" s="65" t="n">
        <f aca="false">IF(BY880="LOSE",1,0)</f>
        <v>0</v>
      </c>
      <c r="CB880" s="65" t="n">
        <f aca="false">IF(AND(U880="",OR(P880="",P880="LOSE"),T880&lt;&gt;"",N(S880)&lt;=0,ISNUMBER(MATCH(T880,Parameter!$I$27:$I$29,0))),1,0)</f>
        <v>0</v>
      </c>
      <c r="CC880" s="65" t="n">
        <f aca="false">IF(CR880&gt;0,INDEX(Parameter!$H$5:$H$7,W880)/INDEX(Parameter!$E$5:$E$7,W880),IF(AND(CA880=0,N(IFERROR(VLOOKUP(BY880,'Gebinde-Kategorie'!$A$5:$N$45,14,0),0))&gt;0),VLOOKUP(BY880,'Gebinde-Kategorie'!$A$5:$N$45,14,0)*10+Parameter!$M$23,Parameter!$M$24))</f>
        <v>155</v>
      </c>
      <c r="CD880" s="60" t="str">
        <f aca="false">IF(AND(Parameter!$B$19="Ja",E880&lt;&gt;"",ISNUMBER(MATCH(E880,Parameter!$I$35:$I$52,0))),VLOOKUP(E880,Parameter!$I$35:$J$52,2,0),IFERROR(VLOOKUP(D880,Parameter!$A$35:$C$64,2,0),"Nein"))</f>
        <v>2+3</v>
      </c>
      <c r="CE880" s="64" t="n">
        <f aca="false">IF(CA880=0,0,IF(N(S880)&gt;0,S880,IFERROR(VLOOKUP(D880,Parameter!$A$35:$C$64,3,0)+0,0)))</f>
        <v>0</v>
      </c>
      <c r="CF880" s="60" t="n">
        <f aca="false">IF(AB880&lt;&gt;"",AB880,AA880)</f>
        <v>3</v>
      </c>
      <c r="CG880" s="60" t="str">
        <f aca="false">IF(OR(CF880=1,CF880=2,CF880=3),IF(Parameter!$E$27="Ja","LIFT",IF(CF880=1,"L1","L23")),IF(CF880="Aussen","Aussen","-"))</f>
        <v>LIFT</v>
      </c>
      <c r="CH880" s="71" t="n">
        <f aca="false">IF(N(AC880)&gt;0,AC880,0)</f>
        <v>0</v>
      </c>
      <c r="CI880" s="65" t="n">
        <f aca="false">IF(ISNUMBER(AF880),1,0)</f>
        <v>0</v>
      </c>
      <c r="CJ880" s="62" t="n">
        <f aca="false">N(AF880)</f>
        <v>0</v>
      </c>
      <c r="CK880" s="62" t="n">
        <f aca="false">N(M880)+N(N880)</f>
        <v>54</v>
      </c>
      <c r="CL880" s="62" t="n">
        <f aca="false">N(M880)</f>
        <v>4</v>
      </c>
      <c r="CM880" s="62" t="n">
        <f aca="false">N(N880)</f>
        <v>50</v>
      </c>
      <c r="CN880" s="62" t="n">
        <f aca="false">ROUNDUP(H880/BZ880,0)</f>
        <v>1</v>
      </c>
      <c r="CO880" s="62" t="n">
        <f aca="false">ROUNDUP(CJ880/BZ880,0)</f>
        <v>0</v>
      </c>
      <c r="CP880" s="65" t="n">
        <f aca="false">IF(CA880=1,0,IFERROR(VLOOKUP(BY880,'Gebinde-Kategorie'!$A$5:$N$45,5,0)+0,0))</f>
        <v>11</v>
      </c>
      <c r="CQ880" s="65" t="n">
        <f aca="false">IFERROR(IF(OR(CF880=1,CF880=2,CF880=3),N(INDEX(Parameter!$I$5:$I$7,CF880)),0),0)</f>
        <v>0</v>
      </c>
      <c r="CR880" s="64" t="n">
        <f aca="false">IF(AND(Parameter!$B$21="Ja",ISNUMBER(W880),N(X880)&gt;0),IFERROR(N(INDEX(Parameter!$L$5:$L$7,W880))*INDEX(Parameter!$E$5:$E$7,W880)*X880/SUMIFS($X$7:$X$1843,$W$7:$W$1843,W880),0),0)</f>
        <v>0</v>
      </c>
      <c r="CS880" s="62" t="n">
        <f aca="false">IF(AND(OR(CG880="L1",CG880="L23",CG880="LIFT"),H880&gt;0),CC880*IF(CR880&gt;0,CR880*MAX(1,H880/X880),IF(CA880=1,CE880,IF(R880&gt;0,CN880/R880,0))/MAX(0.1,N(Parameter!$M$21))),"")</f>
        <v>5.96153846153846</v>
      </c>
      <c r="CT880" s="64" t="n">
        <f aca="false">IF(CS880="","",J880/H880)</f>
        <v>2.55172413793103</v>
      </c>
      <c r="CU880" s="62" t="n">
        <f aca="false">IF(CS880="","",H880*G880)</f>
        <v>106.72</v>
      </c>
      <c r="CV880" s="63" t="n">
        <f aca="false">IF(CS880="","",(CL880+ROUNDUP(CL880+MAX(CM880,2*(J880/MAX(0.1,N(Einkauf!$C$6))-CL880)),0))/2)</f>
        <v>29</v>
      </c>
      <c r="CW880" s="62" t="n">
        <f aca="false">IF(CS880="","",MAX(0,H880-CV880)*G880)</f>
        <v>0</v>
      </c>
      <c r="CX880" s="62" t="n">
        <f aca="false">IF(CS880="","",CS880*MAX(0,1-CV880/H880))</f>
        <v>0</v>
      </c>
      <c r="CY880" s="64" t="n">
        <f aca="false">IF(CS880="","",PERCENTRANK($CS$7:$CS$1843,CS880)+PERCENTRANK($CU$7:$CU$1843,CU880)+1-PERCENTRANK($CT$7:$CT$1843,CT880))</f>
        <v>0.737</v>
      </c>
      <c r="CZ880" s="72" t="n">
        <f aca="false">IF(CS880="","",CHOOSE(MATCH(Einkauf!$C$5,Parameter!$G$23:$G$27,0),CY880,CS880,CU880,-CT880,CW880)+ROW()/1000000000)</f>
        <v>0.73700088</v>
      </c>
    </row>
    <row r="881" customFormat="false" ht="15" hidden="false" customHeight="false" outlineLevel="0" collapsed="false">
      <c r="A881" s="60" t="s">
        <v>1708</v>
      </c>
      <c r="B881" s="60" t="s">
        <v>1709</v>
      </c>
      <c r="C881" s="60" t="s">
        <v>206</v>
      </c>
      <c r="D881" s="60" t="s">
        <v>226</v>
      </c>
      <c r="E881" s="60" t="s">
        <v>227</v>
      </c>
      <c r="F881" s="60" t="s">
        <v>260</v>
      </c>
      <c r="G881" s="61" t="n">
        <v>0.18</v>
      </c>
      <c r="H881" s="62" t="n">
        <f aca="false">MAX(0,IF(AND(Parameter!$B$21="Ja",ISNUMBER(Y881)),Y881,IF(Parameter!$B$20="Jahresanfang 2025 + Export",BS881+BR881,BR881)))</f>
        <v>949</v>
      </c>
      <c r="I881" s="62" t="n">
        <f aca="false">H881*G881</f>
        <v>170.82</v>
      </c>
      <c r="J881" s="62" t="n">
        <f aca="false">BU881*Parameter!$B$18</f>
        <v>300</v>
      </c>
      <c r="K881" s="63" t="n">
        <v>675</v>
      </c>
      <c r="L881" s="64" t="n">
        <v>0.444444444444444</v>
      </c>
      <c r="M881" s="62" t="n">
        <v>17</v>
      </c>
      <c r="N881" s="62" t="n">
        <v>1000</v>
      </c>
      <c r="O881" s="65" t="n">
        <v>21</v>
      </c>
      <c r="P881" s="60" t="s">
        <v>228</v>
      </c>
      <c r="Q881" s="62" t="n">
        <v>850</v>
      </c>
      <c r="R881" s="65" t="n">
        <f aca="false">IF(CA881=1,0,IFERROR(VLOOKUP(BY881,'Gebinde-Kategorie'!$A$5:$N$45,13,0)+0,0))</f>
        <v>12</v>
      </c>
      <c r="S881" s="66"/>
      <c r="T881" s="67"/>
      <c r="U881" s="67"/>
      <c r="V881" s="67"/>
      <c r="W881" s="60"/>
      <c r="X881" s="62"/>
      <c r="Y881" s="62"/>
      <c r="Z881" s="60" t="n">
        <v>3</v>
      </c>
      <c r="AA881" s="60" t="n">
        <f aca="false">IF(A881="","",IF(AND(Parameter!$B$21="Ja",ISNUMBER(W881)),W881,IF(AND(Parameter!$E$27="Ja",ISNUMBER(Z881),CD881&lt;&gt;"Nein"),Z881,IF(CD881="2+3",IF(ISNUMBER(SEARCH("grosser Artikel",BV881)),2,IFERROR(VLOOKUP(BY881,Parameter!$F$35:$G$64,2,0),2)),IF(OR(CD881="Nein",CD881=""),"-",CD881)))))</f>
        <v>3</v>
      </c>
      <c r="AB881" s="67"/>
      <c r="AC881" s="68"/>
      <c r="AD881" s="62" t="n">
        <f aca="false">AW881</f>
        <v>1017</v>
      </c>
      <c r="AE881" s="62" t="n">
        <f aca="false">MAX(AW881,H881)</f>
        <v>1017</v>
      </c>
      <c r="AF881" s="69"/>
      <c r="AG881" s="62" t="n">
        <f aca="false">IF(LEFT(Cockpit!$C$5,1)="A",H881,IF(Parameter!$E$30="MAX-Bestand",IF(CI881=1,CJ881,IF(LEFT(Cockpit!$C$5,1)="B",AM881,MAX(AM881,H881))),ROUNDUP(AK881,0)))</f>
        <v>949</v>
      </c>
      <c r="AH881" s="62" t="n">
        <f aca="false">IF(CA881=1,0,ROUNDUP(AG881/BZ881,0))</f>
        <v>2</v>
      </c>
      <c r="AI881" s="64" t="n">
        <f aca="false">IF(CR881&gt;0,CR881*MAX(1,AG881/X881),IF(CA881=1,IF(AG881&lt;=0,0,CE881*MAX(1,IF(H881&gt;0,AG881/H881,1))),IF(R881&gt;0,AH881/R881,0))/MAX(0.1,N(Parameter!$M$21)))</f>
        <v>0.166666666666667</v>
      </c>
      <c r="AJ881" s="62" t="n">
        <f aca="false">AI881*CC881</f>
        <v>24.1666666666667</v>
      </c>
      <c r="AK881" s="63" t="n">
        <f aca="false">IF(LEFT(Cockpit!$C$5,1)="A",H881,IF(CI881=1,(CL881+CJ881)/2,IF(LEFT(Cockpit!$C$5,1)="B",(CL881+AM881)/2,MAX((CL881+AM881)/2,H881))))</f>
        <v>949</v>
      </c>
      <c r="AL881" s="62" t="n">
        <f aca="false">AK881*G881</f>
        <v>170.82</v>
      </c>
      <c r="AM881" s="62" t="n">
        <f aca="false">ROUNDUP(CL881+MAX(CM881,2*(J881/IF(CH881&gt;0,CH881,MAX(0.1,N(Cockpit!$C$6)))-CL881)),0)</f>
        <v>1017</v>
      </c>
      <c r="AN881" s="63" t="n">
        <f aca="false">IF(AJ881&gt;0,J881/AJ881,-1)</f>
        <v>12.4137931034483</v>
      </c>
      <c r="AO881" s="63" t="n">
        <f aca="false">IF(AND(OR(CG881="L1",CG881="L23",CG881="LIFT"),AJ881&gt;0),SUMIFS($AJ$7:$AJ$1843,$CG$7:$CG$1843,CG881,$AN$7:$AN$1843,"&gt;"&amp;AN881)+SUMIFS($AJ$7:$AJ$1843,$CG$7:$CG$1843,CG881,$AN$7:$AN$1843,AN881,$BX$7:$BX$1843,"&lt;="&amp;BX881),"")</f>
        <v>2474.63095238095</v>
      </c>
      <c r="AP881" s="70" t="n">
        <f aca="false">IF(AO881="",0,MAX(0,MIN(1,(IF(CG881="L1",Parameter!$H$5,IF(CG881="L23",Parameter!$H$6+Parameter!$H$7,Parameter!$H$5+Parameter!$H$6+Parameter!$H$7))-(AO881-AJ881))/AJ881)))</f>
        <v>1</v>
      </c>
      <c r="AQ881" s="62" t="n">
        <f aca="false">IF(LEFT(Cockpit!$I$5,1)="A",H881,IF(Parameter!$E$30="MAX-Bestand",IF(CI881=1,CJ881,IF(LEFT(Cockpit!$I$5,1)="B",AW881,MAX(AW881,H881))),ROUNDUP(AU881,0)))</f>
        <v>949</v>
      </c>
      <c r="AR881" s="62" t="n">
        <f aca="false">IF(CA881=1,0,ROUNDUP(AQ881/BZ881,0))</f>
        <v>2</v>
      </c>
      <c r="AS881" s="64" t="n">
        <f aca="false">IF(CR881&gt;0,CR881*MAX(1,AQ881/X881),IF(CA881=1,IF(AQ881&lt;=0,0,CE881*MAX(1,IF(H881&gt;0,AQ881/H881,1))),IF(R881&gt;0,AR881/R881,0))/MAX(0.1,N(Parameter!$M$21)))</f>
        <v>0.166666666666667</v>
      </c>
      <c r="AT881" s="62" t="n">
        <f aca="false">AS881*CC881</f>
        <v>24.1666666666667</v>
      </c>
      <c r="AU881" s="63" t="n">
        <f aca="false">IF(LEFT(Cockpit!$I$5,1)="A",H881,IF(CI881=1,(CL881+CJ881)/2,IF(LEFT(Cockpit!$I$5,1)="B",(CL881+AW881)/2,MAX((CL881+AW881)/2,H881))))</f>
        <v>949</v>
      </c>
      <c r="AV881" s="62" t="n">
        <f aca="false">AU881*G881</f>
        <v>170.82</v>
      </c>
      <c r="AW881" s="62" t="n">
        <f aca="false">ROUNDUP(CL881+MAX(CM881,2*(J881/IF(CH881&gt;0,CH881,MAX(0.1,N(Cockpit!$I$6)))-CL881)),0)</f>
        <v>1017</v>
      </c>
      <c r="AX881" s="63" t="n">
        <f aca="false">IF(AT881&gt;0,J881/AT881,-1)</f>
        <v>12.4137931034483</v>
      </c>
      <c r="AY881" s="63" t="n">
        <f aca="false">IF(AND(OR(CG881="L1",CG881="L23",CG881="LIFT"),AT881&gt;0),SUMIFS($AT$7:$AT$1843,$CG$7:$CG$1843,CG881,$AX$7:$AX$1843,"&gt;"&amp;AX881)+SUMIFS($AT$7:$AT$1843,$CG$7:$CG$1843,CG881,$AX$7:$AX$1843,AX881,$BX$7:$BX$1843,"&lt;="&amp;BX881),"")</f>
        <v>3064.01007326007</v>
      </c>
      <c r="AZ881" s="70" t="n">
        <f aca="false">IF(AY881="",0,MAX(0,MIN(1,(IF(CG881="L1",Parameter!$H$5,IF(CG881="L23",Parameter!$H$6+Parameter!$H$7,Parameter!$H$5+Parameter!$H$6+Parameter!$H$7))-(AY881-AT881))/AT881)))</f>
        <v>1</v>
      </c>
      <c r="BA881" s="62" t="n">
        <f aca="false">IF(LEFT(Cockpit!$O$5,1)="A",H881,IF(Parameter!$E$30="MAX-Bestand",IF(CI881=1,CJ881,IF(LEFT(Cockpit!$O$5,1)="B",BG881,MAX(BG881,H881))),ROUNDUP(BE881,0)))</f>
        <v>517</v>
      </c>
      <c r="BB881" s="62" t="n">
        <f aca="false">IF(CA881=1,0,ROUNDUP(BA881/BZ881,0))</f>
        <v>1</v>
      </c>
      <c r="BC881" s="64" t="n">
        <f aca="false">IF(CR881&gt;0,CR881*MAX(1,BA881/X881),IF(CA881=1,IF(BA881&lt;=0,0,CE881*MAX(1,IF(H881&gt;0,BA881/H881,1))),IF(R881&gt;0,BB881/R881,0))/MAX(0.1,N(Parameter!$M$21)))</f>
        <v>0.0833333333333333</v>
      </c>
      <c r="BD881" s="62" t="n">
        <f aca="false">BC881*CC881</f>
        <v>12.0833333333333</v>
      </c>
      <c r="BE881" s="63" t="n">
        <f aca="false">IF(LEFT(Cockpit!$O$5,1)="A",H881,IF(CI881=1,(CL881+CJ881)/2,IF(LEFT(Cockpit!$O$5,1)="B",(CL881+BG881)/2,MAX((CL881+BG881)/2,H881))))</f>
        <v>517</v>
      </c>
      <c r="BF881" s="62" t="n">
        <f aca="false">BE881*G881</f>
        <v>93.06</v>
      </c>
      <c r="BG881" s="62" t="n">
        <f aca="false">ROUNDUP(CL881+MAX(CM881,2*(J881/IF(CH881&gt;0,CH881,MAX(0.1,N(Cockpit!$O$6)))-CL881)),0)</f>
        <v>1017</v>
      </c>
      <c r="BH881" s="63" t="n">
        <f aca="false">IF(BD881&gt;0,J881/BD881,-1)</f>
        <v>24.8275862068966</v>
      </c>
      <c r="BI881" s="63" t="n">
        <f aca="false">IF(AND(OR(CG881="L1",CG881="L23",CG881="LIFT"),BD881&gt;0),SUMIFS($BD$7:$BD$1843,$CG$7:$CG$1843,CG881,$BH$7:$BH$1843,"&gt;"&amp;BH881)+SUMIFS($BD$7:$BD$1843,$CG$7:$CG$1843,CG881,$BH$7:$BH$1843,BH881,$BX$7:$BX$1843,"&lt;="&amp;BX881),"")</f>
        <v>2084.93131868132</v>
      </c>
      <c r="BJ881" s="70" t="n">
        <f aca="false">IF(BI881="",0,MAX(0,MIN(1,(IF(CG881="L1",Parameter!$H$5,IF(CG881="L23",Parameter!$H$6+Parameter!$H$7,Parameter!$H$5+Parameter!$H$6+Parameter!$H$7))-(BI881-BD881))/BD881)))</f>
        <v>1</v>
      </c>
      <c r="BK881" s="60" t="str">
        <f aca="false">IF(AJ881&lt;=0,"",IF(CG881="Aussen","Aussenlager",IF(CG881="-","Nicht im Lift",IF(AP881&gt;=1,"Lift",IF(AP881&lt;=0,"Aussenlager","teilweise")))))</f>
        <v>Lift</v>
      </c>
      <c r="BL881" s="60" t="str">
        <f aca="false">IF(AT881&lt;=0,"",IF(CG881="Aussen","Aussenlager",IF(CG881="-","Nicht im Lift",IF(AZ881&gt;=1,"Lift",IF(AZ881&lt;=0,"Aussenlager","teilweise")))))</f>
        <v>Lift</v>
      </c>
      <c r="BM881" s="60" t="str">
        <f aca="false">IF(BD881&lt;=0,"",IF(CG881="Aussen","Aussenlager",IF(CG881="-","Nicht im Lift",IF(BJ881&gt;=1,"Lift",IF(BJ881&lt;=0,"Aussenlager","teilweise")))))</f>
        <v>Lift</v>
      </c>
      <c r="BN881" s="60" t="str">
        <f aca="false">IF(A881="","",IF(BW881=1,"Neu; ","")&amp;IF(AND(BW881=0,BR881&lt;0),"negativer Bestand (Export "&amp;BR881&amp;"); ","")&amp;IF(J881&lt;=0,"Kein Verbrauch; ","")&amp;IF(CR881&gt;0,"Lift "&amp;W881&amp;" lt. Liftbericht (Fach "&amp;X881&amp;" Stk); ",IF(CB881=1,"Gebinde geschätzt ("&amp;T881&amp;"); ",IF(CA881=1,"Lose – Tablare geschätzt; ","")))&amp;IF(H881&gt;AW881,"Überbestand "&amp;ROUND(H881-AW881,0)&amp;" Stk / CHF "&amp;ROUND((H881-AW881)*G881,0)&amp;"; ","")&amp;IF(AND(CI881=1,CJ881&lt;CK881),"MAX &lt; MB+LG; ","")&amp;IF(AND(CQ881&gt;0,CP881*10&gt;CQ881),"zu hoch für Tablar; ","")&amp;IF(AND(BW881=0,OR(CI881=1,AB881&lt;&gt;"",U881&lt;&gt;"",V881&lt;&gt;"",AC881&lt;&gt;"")),"manuell übersteuert; ","")&amp;IF(AND(CA881=0,R881=0),"Gebinde unbekannt / Stellmass fehlt; ","")&amp;IF(AND(CA881=0,N(V881)&lt;=0,N(Q881)&lt;=0),"Menge pro Gebinde fehlt (Ist = 1 Gebinde); ","")&amp;BV881)</f>
        <v>negativer Bestand (Export -151); </v>
      </c>
      <c r="BO881" s="60"/>
      <c r="BP881" s="60"/>
      <c r="BQ881" s="67"/>
      <c r="BR881" s="62" t="n">
        <v>-151</v>
      </c>
      <c r="BS881" s="62" t="n">
        <v>1100</v>
      </c>
      <c r="BT881" s="61" t="n">
        <v>-27.18</v>
      </c>
      <c r="BU881" s="62" t="n">
        <v>300</v>
      </c>
      <c r="BV881" s="60"/>
      <c r="BW881" s="65" t="n">
        <v>0</v>
      </c>
      <c r="BX881" s="65" t="n">
        <v>881</v>
      </c>
      <c r="BY881" s="60" t="str">
        <f aca="false">IF(U881&lt;&gt;"",UPPER(TRIM(U881)),IF(CB881=1,UPPER(VLOOKUP(T881,Parameter!$I$27:$K$29,2,0)),IF(P881="","LOSE",P881)))</f>
        <v>S61</v>
      </c>
      <c r="BZ881" s="62" t="n">
        <f aca="false">IF(BY881="LOSE",1,IF(N(V881)&gt;0,V881,IF(CB881=1,MAX(1,N(VLOOKUP(T881,Parameter!$I$27:$K$29,3,0)),H881,N(N881)),IF(N(Q881)&gt;0,Q881,MAX(1,H881)))))</f>
        <v>850</v>
      </c>
      <c r="CA881" s="65" t="n">
        <f aca="false">IF(BY881="LOSE",1,0)</f>
        <v>0</v>
      </c>
      <c r="CB881" s="65" t="n">
        <f aca="false">IF(AND(U881="",OR(P881="",P881="LOSE"),T881&lt;&gt;"",N(S881)&lt;=0,ISNUMBER(MATCH(T881,Parameter!$I$27:$I$29,0))),1,0)</f>
        <v>0</v>
      </c>
      <c r="CC881" s="65" t="n">
        <f aca="false">IF(CR881&gt;0,INDEX(Parameter!$H$5:$H$7,W881)/INDEX(Parameter!$E$5:$E$7,W881),IF(AND(CA881=0,N(IFERROR(VLOOKUP(BY881,'Gebinde-Kategorie'!$A$5:$N$45,14,0),0))&gt;0),VLOOKUP(BY881,'Gebinde-Kategorie'!$A$5:$N$45,14,0)*10+Parameter!$M$23,Parameter!$M$24))</f>
        <v>145</v>
      </c>
      <c r="CD881" s="60" t="str">
        <f aca="false">IF(AND(Parameter!$B$19="Ja",E881&lt;&gt;"",ISNUMBER(MATCH(E881,Parameter!$I$35:$I$52,0))),VLOOKUP(E881,Parameter!$I$35:$J$52,2,0),IFERROR(VLOOKUP(D881,Parameter!$A$35:$C$64,2,0),"Nein"))</f>
        <v>2+3</v>
      </c>
      <c r="CE881" s="64" t="n">
        <f aca="false">IF(CA881=0,0,IF(N(S881)&gt;0,S881,IFERROR(VLOOKUP(D881,Parameter!$A$35:$C$64,3,0)+0,0)))</f>
        <v>0</v>
      </c>
      <c r="CF881" s="60" t="n">
        <f aca="false">IF(AB881&lt;&gt;"",AB881,AA881)</f>
        <v>3</v>
      </c>
      <c r="CG881" s="60" t="str">
        <f aca="false">IF(OR(CF881=1,CF881=2,CF881=3),IF(Parameter!$E$27="Ja","LIFT",IF(CF881=1,"L1","L23")),IF(CF881="Aussen","Aussen","-"))</f>
        <v>LIFT</v>
      </c>
      <c r="CH881" s="71" t="n">
        <f aca="false">IF(N(AC881)&gt;0,AC881,0)</f>
        <v>0</v>
      </c>
      <c r="CI881" s="65" t="n">
        <f aca="false">IF(ISNUMBER(AF881),1,0)</f>
        <v>0</v>
      </c>
      <c r="CJ881" s="62" t="n">
        <f aca="false">N(AF881)</f>
        <v>0</v>
      </c>
      <c r="CK881" s="62" t="n">
        <f aca="false">N(M881)+N(N881)</f>
        <v>1017</v>
      </c>
      <c r="CL881" s="62" t="n">
        <f aca="false">N(M881)</f>
        <v>17</v>
      </c>
      <c r="CM881" s="62" t="n">
        <f aca="false">N(N881)</f>
        <v>1000</v>
      </c>
      <c r="CN881" s="62" t="n">
        <f aca="false">ROUNDUP(H881/BZ881,0)</f>
        <v>2</v>
      </c>
      <c r="CO881" s="62" t="n">
        <f aca="false">ROUNDUP(CJ881/BZ881,0)</f>
        <v>0</v>
      </c>
      <c r="CP881" s="65" t="n">
        <f aca="false">IF(CA881=1,0,IFERROR(VLOOKUP(BY881,'Gebinde-Kategorie'!$A$5:$N$45,5,0)+0,0))</f>
        <v>11</v>
      </c>
      <c r="CQ881" s="65" t="n">
        <f aca="false">IFERROR(IF(OR(CF881=1,CF881=2,CF881=3),N(INDEX(Parameter!$I$5:$I$7,CF881)),0),0)</f>
        <v>0</v>
      </c>
      <c r="CR881" s="64" t="n">
        <f aca="false">IF(AND(Parameter!$B$21="Ja",ISNUMBER(W881),N(X881)&gt;0),IFERROR(N(INDEX(Parameter!$L$5:$L$7,W881))*INDEX(Parameter!$E$5:$E$7,W881)*X881/SUMIFS($X$7:$X$1843,$W$7:$W$1843,W881),0),0)</f>
        <v>0</v>
      </c>
      <c r="CS881" s="62" t="n">
        <f aca="false">IF(AND(OR(CG881="L1",CG881="L23",CG881="LIFT"),H881&gt;0),CC881*IF(CR881&gt;0,CR881*MAX(1,H881/X881),IF(CA881=1,CE881,IF(R881&gt;0,CN881/R881,0))/MAX(0.1,N(Parameter!$M$21))),"")</f>
        <v>24.1666666666667</v>
      </c>
      <c r="CT881" s="64" t="n">
        <f aca="false">IF(CS881="","",J881/H881)</f>
        <v>0.316122233930453</v>
      </c>
      <c r="CU881" s="62" t="n">
        <f aca="false">IF(CS881="","",H881*G881)</f>
        <v>170.82</v>
      </c>
      <c r="CV881" s="63" t="n">
        <f aca="false">IF(CS881="","",(CL881+ROUNDUP(CL881+MAX(CM881,2*(J881/MAX(0.1,N(Einkauf!$C$6))-CL881)),0))/2)</f>
        <v>517</v>
      </c>
      <c r="CW881" s="62" t="n">
        <f aca="false">IF(CS881="","",MAX(0,H881-CV881)*G881)</f>
        <v>77.76</v>
      </c>
      <c r="CX881" s="62" t="n">
        <f aca="false">IF(CS881="","",CS881*MAX(0,1-CV881/H881))</f>
        <v>11.0010537407798</v>
      </c>
      <c r="CY881" s="64" t="n">
        <f aca="false">IF(CS881="","",PERCENTRANK($CS$7:$CS$1843,CS881)+PERCENTRANK($CU$7:$CU$1843,CU881)+1-PERCENTRANK($CT$7:$CT$1843,CT881))</f>
        <v>1.625</v>
      </c>
      <c r="CZ881" s="72" t="n">
        <f aca="false">IF(CS881="","",CHOOSE(MATCH(Einkauf!$C$5,Parameter!$G$23:$G$27,0),CY881,CS881,CU881,-CT881,CW881)+ROW()/1000000000)</f>
        <v>1.625000881</v>
      </c>
    </row>
    <row r="882" customFormat="false" ht="15" hidden="false" customHeight="false" outlineLevel="0" collapsed="false">
      <c r="A882" s="60" t="s">
        <v>1710</v>
      </c>
      <c r="B882" s="60" t="s">
        <v>531</v>
      </c>
      <c r="C882" s="60" t="s">
        <v>206</v>
      </c>
      <c r="D882" s="60" t="s">
        <v>226</v>
      </c>
      <c r="E882" s="60" t="s">
        <v>227</v>
      </c>
      <c r="F882" s="60" t="s">
        <v>260</v>
      </c>
      <c r="G882" s="61" t="n">
        <v>1.78</v>
      </c>
      <c r="H882" s="62" t="n">
        <f aca="false">MAX(0,IF(AND(Parameter!$B$21="Ja",ISNUMBER(Y882)),Y882,IF(Parameter!$B$20="Jahresanfang 2025 + Export",BS882+BR882,BR882)))</f>
        <v>104</v>
      </c>
      <c r="I882" s="62" t="n">
        <f aca="false">H882*G882</f>
        <v>185.12</v>
      </c>
      <c r="J882" s="62" t="n">
        <f aca="false">BU882*Parameter!$B$18</f>
        <v>187</v>
      </c>
      <c r="K882" s="63" t="n">
        <v>180</v>
      </c>
      <c r="L882" s="64" t="n">
        <v>1.03888888888889</v>
      </c>
      <c r="M882" s="62" t="n">
        <v>7</v>
      </c>
      <c r="N882" s="62" t="n">
        <v>185</v>
      </c>
      <c r="O882" s="65" t="n">
        <v>14</v>
      </c>
      <c r="P882" s="60" t="s">
        <v>468</v>
      </c>
      <c r="Q882" s="62" t="n">
        <v>547</v>
      </c>
      <c r="R882" s="65" t="n">
        <f aca="false">IF(CA882=1,0,IFERROR(VLOOKUP(BY882,'Gebinde-Kategorie'!$A$5:$N$45,13,0)+0,0))</f>
        <v>140</v>
      </c>
      <c r="S882" s="66"/>
      <c r="T882" s="67"/>
      <c r="U882" s="67"/>
      <c r="V882" s="67"/>
      <c r="W882" s="60"/>
      <c r="X882" s="62"/>
      <c r="Y882" s="62"/>
      <c r="Z882" s="60" t="n">
        <v>1</v>
      </c>
      <c r="AA882" s="60" t="n">
        <f aca="false">IF(A882="","",IF(AND(Parameter!$B$21="Ja",ISNUMBER(W882)),W882,IF(AND(Parameter!$E$27="Ja",ISNUMBER(Z882),CD882&lt;&gt;"Nein"),Z882,IF(CD882="2+3",IF(ISNUMBER(SEARCH("grosser Artikel",BV882)),2,IFERROR(VLOOKUP(BY882,Parameter!$F$35:$G$64,2,0),2)),IF(OR(CD882="Nein",CD882=""),"-",CD882)))))</f>
        <v>1</v>
      </c>
      <c r="AB882" s="67"/>
      <c r="AC882" s="68"/>
      <c r="AD882" s="62" t="n">
        <f aca="false">AW882</f>
        <v>192</v>
      </c>
      <c r="AE882" s="62" t="n">
        <f aca="false">MAX(AW882,H882)</f>
        <v>192</v>
      </c>
      <c r="AF882" s="69"/>
      <c r="AG882" s="62" t="n">
        <f aca="false">IF(LEFT(Cockpit!$C$5,1)="A",H882,IF(Parameter!$E$30="MAX-Bestand",IF(CI882=1,CJ882,IF(LEFT(Cockpit!$C$5,1)="B",AM882,MAX(AM882,H882))),ROUNDUP(AK882,0)))</f>
        <v>104</v>
      </c>
      <c r="AH882" s="62" t="n">
        <f aca="false">IF(CA882=1,0,ROUNDUP(AG882/BZ882,0))</f>
        <v>1</v>
      </c>
      <c r="AI882" s="64" t="n">
        <f aca="false">IF(CR882&gt;0,CR882*MAX(1,AG882/X882),IF(CA882=1,IF(AG882&lt;=0,0,CE882*MAX(1,IF(H882&gt;0,AG882/H882,1))),IF(R882&gt;0,AH882/R882,0))/MAX(0.1,N(Parameter!$M$21)))</f>
        <v>0.00714285714285714</v>
      </c>
      <c r="AJ882" s="62" t="n">
        <f aca="false">AI882*CC882</f>
        <v>1.10714285714286</v>
      </c>
      <c r="AK882" s="63" t="n">
        <f aca="false">IF(LEFT(Cockpit!$C$5,1)="A",H882,IF(CI882=1,(CL882+CJ882)/2,IF(LEFT(Cockpit!$C$5,1)="B",(CL882+AM882)/2,MAX((CL882+AM882)/2,H882))))</f>
        <v>104</v>
      </c>
      <c r="AL882" s="62" t="n">
        <f aca="false">AK882*G882</f>
        <v>185.12</v>
      </c>
      <c r="AM882" s="62" t="n">
        <f aca="false">ROUNDUP(CL882+MAX(CM882,2*(J882/IF(CH882&gt;0,CH882,MAX(0.1,N(Cockpit!$C$6)))-CL882)),0)</f>
        <v>192</v>
      </c>
      <c r="AN882" s="63" t="n">
        <f aca="false">IF(AJ882&gt;0,J882/AJ882,-1)</f>
        <v>168.903225806452</v>
      </c>
      <c r="AO882" s="63" t="n">
        <f aca="false">IF(AND(OR(CG882="L1",CG882="L23",CG882="LIFT"),AJ882&gt;0),SUMIFS($AJ$7:$AJ$1843,$CG$7:$CG$1843,CG882,$AN$7:$AN$1843,"&gt;"&amp;AN882)+SUMIFS($AJ$7:$AJ$1843,$CG$7:$CG$1843,CG882,$AN$7:$AN$1843,AN882,$BX$7:$BX$1843,"&lt;="&amp;BX882),"")</f>
        <v>407.831501831502</v>
      </c>
      <c r="AP882" s="70" t="n">
        <f aca="false">IF(AO882="",0,MAX(0,MIN(1,(IF(CG882="L1",Parameter!$H$5,IF(CG882="L23",Parameter!$H$6+Parameter!$H$7,Parameter!$H$5+Parameter!$H$6+Parameter!$H$7))-(AO882-AJ882))/AJ882)))</f>
        <v>1</v>
      </c>
      <c r="AQ882" s="62" t="n">
        <f aca="false">IF(LEFT(Cockpit!$I$5,1)="A",H882,IF(Parameter!$E$30="MAX-Bestand",IF(CI882=1,CJ882,IF(LEFT(Cockpit!$I$5,1)="B",AW882,MAX(AW882,H882))),ROUNDUP(AU882,0)))</f>
        <v>104</v>
      </c>
      <c r="AR882" s="62" t="n">
        <f aca="false">IF(CA882=1,0,ROUNDUP(AQ882/BZ882,0))</f>
        <v>1</v>
      </c>
      <c r="AS882" s="64" t="n">
        <f aca="false">IF(CR882&gt;0,CR882*MAX(1,AQ882/X882),IF(CA882=1,IF(AQ882&lt;=0,0,CE882*MAX(1,IF(H882&gt;0,AQ882/H882,1))),IF(R882&gt;0,AR882/R882,0))/MAX(0.1,N(Parameter!$M$21)))</f>
        <v>0.00714285714285714</v>
      </c>
      <c r="AT882" s="62" t="n">
        <f aca="false">AS882*CC882</f>
        <v>1.10714285714286</v>
      </c>
      <c r="AU882" s="63" t="n">
        <f aca="false">IF(LEFT(Cockpit!$I$5,1)="A",H882,IF(CI882=1,(CL882+CJ882)/2,IF(LEFT(Cockpit!$I$5,1)="B",(CL882+AW882)/2,MAX((CL882+AW882)/2,H882))))</f>
        <v>104</v>
      </c>
      <c r="AV882" s="62" t="n">
        <f aca="false">AU882*G882</f>
        <v>185.12</v>
      </c>
      <c r="AW882" s="62" t="n">
        <f aca="false">ROUNDUP(CL882+MAX(CM882,2*(J882/IF(CH882&gt;0,CH882,MAX(0.1,N(Cockpit!$I$6)))-CL882)),0)</f>
        <v>192</v>
      </c>
      <c r="AX882" s="63" t="n">
        <f aca="false">IF(AT882&gt;0,J882/AT882,-1)</f>
        <v>168.903225806452</v>
      </c>
      <c r="AY882" s="63" t="n">
        <f aca="false">IF(AND(OR(CG882="L1",CG882="L23",CG882="LIFT"),AT882&gt;0),SUMIFS($AT$7:$AT$1843,$CG$7:$CG$1843,CG882,$AX$7:$AX$1843,"&gt;"&amp;AX882)+SUMIFS($AT$7:$AT$1843,$CG$7:$CG$1843,CG882,$AX$7:$AX$1843,AX882,$BX$7:$BX$1843,"&lt;="&amp;BX882),"")</f>
        <v>525.468406593407</v>
      </c>
      <c r="AZ882" s="70" t="n">
        <f aca="false">IF(AY882="",0,MAX(0,MIN(1,(IF(CG882="L1",Parameter!$H$5,IF(CG882="L23",Parameter!$H$6+Parameter!$H$7,Parameter!$H$5+Parameter!$H$6+Parameter!$H$7))-(AY882-AT882))/AT882)))</f>
        <v>1</v>
      </c>
      <c r="BA882" s="62" t="n">
        <f aca="false">IF(LEFT(Cockpit!$O$5,1)="A",H882,IF(Parameter!$E$30="MAX-Bestand",IF(CI882=1,CJ882,IF(LEFT(Cockpit!$O$5,1)="B",BG882,MAX(BG882,H882))),ROUNDUP(BE882,0)))</f>
        <v>100</v>
      </c>
      <c r="BB882" s="62" t="n">
        <f aca="false">IF(CA882=1,0,ROUNDUP(BA882/BZ882,0))</f>
        <v>1</v>
      </c>
      <c r="BC882" s="64" t="n">
        <f aca="false">IF(CR882&gt;0,CR882*MAX(1,BA882/X882),IF(CA882=1,IF(BA882&lt;=0,0,CE882*MAX(1,IF(H882&gt;0,BA882/H882,1))),IF(R882&gt;0,BB882/R882,0))/MAX(0.1,N(Parameter!$M$21)))</f>
        <v>0.00714285714285714</v>
      </c>
      <c r="BD882" s="62" t="n">
        <f aca="false">BC882*CC882</f>
        <v>1.10714285714286</v>
      </c>
      <c r="BE882" s="63" t="n">
        <f aca="false">IF(LEFT(Cockpit!$O$5,1)="A",H882,IF(CI882=1,(CL882+CJ882)/2,IF(LEFT(Cockpit!$O$5,1)="B",(CL882+BG882)/2,MAX((CL882+BG882)/2,H882))))</f>
        <v>99.5</v>
      </c>
      <c r="BF882" s="62" t="n">
        <f aca="false">BE882*G882</f>
        <v>177.11</v>
      </c>
      <c r="BG882" s="62" t="n">
        <f aca="false">ROUNDUP(CL882+MAX(CM882,2*(J882/IF(CH882&gt;0,CH882,MAX(0.1,N(Cockpit!$O$6)))-CL882)),0)</f>
        <v>192</v>
      </c>
      <c r="BH882" s="63" t="n">
        <f aca="false">IF(BD882&gt;0,J882/BD882,-1)</f>
        <v>168.903225806452</v>
      </c>
      <c r="BI882" s="63" t="n">
        <f aca="false">IF(AND(OR(CG882="L1",CG882="L23",CG882="LIFT"),BD882&gt;0),SUMIFS($BD$7:$BD$1843,$CG$7:$CG$1843,CG882,$BH$7:$BH$1843,"&gt;"&amp;BH882)+SUMIFS($BD$7:$BD$1843,$CG$7:$CG$1843,CG882,$BH$7:$BH$1843,BH882,$BX$7:$BX$1843,"&lt;="&amp;BX882),"")</f>
        <v>519.648351648352</v>
      </c>
      <c r="BJ882" s="70" t="n">
        <f aca="false">IF(BI882="",0,MAX(0,MIN(1,(IF(CG882="L1",Parameter!$H$5,IF(CG882="L23",Parameter!$H$6+Parameter!$H$7,Parameter!$H$5+Parameter!$H$6+Parameter!$H$7))-(BI882-BD882))/BD882)))</f>
        <v>1</v>
      </c>
      <c r="BK882" s="60" t="str">
        <f aca="false">IF(AJ882&lt;=0,"",IF(CG882="Aussen","Aussenlager",IF(CG882="-","Nicht im Lift",IF(AP882&gt;=1,"Lift",IF(AP882&lt;=0,"Aussenlager","teilweise")))))</f>
        <v>Lift</v>
      </c>
      <c r="BL882" s="60" t="str">
        <f aca="false">IF(AT882&lt;=0,"",IF(CG882="Aussen","Aussenlager",IF(CG882="-","Nicht im Lift",IF(AZ882&gt;=1,"Lift",IF(AZ882&lt;=0,"Aussenlager","teilweise")))))</f>
        <v>Lift</v>
      </c>
      <c r="BM882" s="60" t="str">
        <f aca="false">IF(BD882&lt;=0,"",IF(CG882="Aussen","Aussenlager",IF(CG882="-","Nicht im Lift",IF(BJ882&gt;=1,"Lift",IF(BJ882&lt;=0,"Aussenlager","teilweise")))))</f>
        <v>Lift</v>
      </c>
      <c r="BN882" s="60" t="str">
        <f aca="false">IF(A882="","",IF(BW882=1,"Neu; ","")&amp;IF(AND(BW882=0,BR882&lt;0),"negativer Bestand (Export "&amp;BR882&amp;"); ","")&amp;IF(J882&lt;=0,"Kein Verbrauch; ","")&amp;IF(CR882&gt;0,"Lift "&amp;W882&amp;" lt. Liftbericht (Fach "&amp;X882&amp;" Stk); ",IF(CB882=1,"Gebinde geschätzt ("&amp;T882&amp;"); ",IF(CA882=1,"Lose – Tablare geschätzt; ","")))&amp;IF(H882&gt;AW882,"Überbestand "&amp;ROUND(H882-AW882,0)&amp;" Stk / CHF "&amp;ROUND((H882-AW882)*G882,0)&amp;"; ","")&amp;IF(AND(CI882=1,CJ882&lt;CK882),"MAX &lt; MB+LG; ","")&amp;IF(AND(CQ882&gt;0,CP882*10&gt;CQ882),"zu hoch für Tablar; ","")&amp;IF(AND(BW882=0,OR(CI882=1,AB882&lt;&gt;"",U882&lt;&gt;"",V882&lt;&gt;"",AC882&lt;&gt;"")),"manuell übersteuert; ","")&amp;IF(AND(CA882=0,R882=0),"Gebinde unbekannt / Stellmass fehlt; ","")&amp;IF(AND(CA882=0,N(V882)&lt;=0,N(Q882)&lt;=0),"Menge pro Gebinde fehlt (Ist = 1 Gebinde); ","")&amp;BV882)</f>
        <v>negativer Bestand (Export -14); </v>
      </c>
      <c r="BO882" s="60"/>
      <c r="BP882" s="60"/>
      <c r="BQ882" s="67"/>
      <c r="BR882" s="62" t="n">
        <v>-14</v>
      </c>
      <c r="BS882" s="62" t="n">
        <v>118</v>
      </c>
      <c r="BT882" s="61" t="n">
        <v>-27.1800000000001</v>
      </c>
      <c r="BU882" s="62" t="n">
        <v>187</v>
      </c>
      <c r="BV882" s="60"/>
      <c r="BW882" s="65" t="n">
        <v>0</v>
      </c>
      <c r="BX882" s="65" t="n">
        <v>882</v>
      </c>
      <c r="BY882" s="60" t="str">
        <f aca="false">IF(U882&lt;&gt;"",UPPER(TRIM(U882)),IF(CB882=1,UPPER(VLOOKUP(T882,Parameter!$I$27:$K$29,2,0)),IF(P882="","LOSE",P882)))</f>
        <v>S22</v>
      </c>
      <c r="BZ882" s="62" t="n">
        <f aca="false">IF(BY882="LOSE",1,IF(N(V882)&gt;0,V882,IF(CB882=1,MAX(1,N(VLOOKUP(T882,Parameter!$I$27:$K$29,3,0)),H882,N(N882)),IF(N(Q882)&gt;0,Q882,MAX(1,H882)))))</f>
        <v>547</v>
      </c>
      <c r="CA882" s="65" t="n">
        <f aca="false">IF(BY882="LOSE",1,0)</f>
        <v>0</v>
      </c>
      <c r="CB882" s="65" t="n">
        <f aca="false">IF(AND(U882="",OR(P882="",P882="LOSE"),T882&lt;&gt;"",N(S882)&lt;=0,ISNUMBER(MATCH(T882,Parameter!$I$27:$I$29,0))),1,0)</f>
        <v>0</v>
      </c>
      <c r="CC882" s="65" t="n">
        <f aca="false">IF(CR882&gt;0,INDEX(Parameter!$H$5:$H$7,W882)/INDEX(Parameter!$E$5:$E$7,W882),IF(AND(CA882=0,N(IFERROR(VLOOKUP(BY882,'Gebinde-Kategorie'!$A$5:$N$45,14,0),0))&gt;0),VLOOKUP(BY882,'Gebinde-Kategorie'!$A$5:$N$45,14,0)*10+Parameter!$M$23,Parameter!$M$24))</f>
        <v>155</v>
      </c>
      <c r="CD882" s="60" t="str">
        <f aca="false">IF(AND(Parameter!$B$19="Ja",E882&lt;&gt;"",ISNUMBER(MATCH(E882,Parameter!$I$35:$I$52,0))),VLOOKUP(E882,Parameter!$I$35:$J$52,2,0),IFERROR(VLOOKUP(D882,Parameter!$A$35:$C$64,2,0),"Nein"))</f>
        <v>2+3</v>
      </c>
      <c r="CE882" s="64" t="n">
        <f aca="false">IF(CA882=0,0,IF(N(S882)&gt;0,S882,IFERROR(VLOOKUP(D882,Parameter!$A$35:$C$64,3,0)+0,0)))</f>
        <v>0</v>
      </c>
      <c r="CF882" s="60" t="n">
        <f aca="false">IF(AB882&lt;&gt;"",AB882,AA882)</f>
        <v>1</v>
      </c>
      <c r="CG882" s="60" t="str">
        <f aca="false">IF(OR(CF882=1,CF882=2,CF882=3),IF(Parameter!$E$27="Ja","LIFT",IF(CF882=1,"L1","L23")),IF(CF882="Aussen","Aussen","-"))</f>
        <v>LIFT</v>
      </c>
      <c r="CH882" s="71" t="n">
        <f aca="false">IF(N(AC882)&gt;0,AC882,0)</f>
        <v>0</v>
      </c>
      <c r="CI882" s="65" t="n">
        <f aca="false">IF(ISNUMBER(AF882),1,0)</f>
        <v>0</v>
      </c>
      <c r="CJ882" s="62" t="n">
        <f aca="false">N(AF882)</f>
        <v>0</v>
      </c>
      <c r="CK882" s="62" t="n">
        <f aca="false">N(M882)+N(N882)</f>
        <v>192</v>
      </c>
      <c r="CL882" s="62" t="n">
        <f aca="false">N(M882)</f>
        <v>7</v>
      </c>
      <c r="CM882" s="62" t="n">
        <f aca="false">N(N882)</f>
        <v>185</v>
      </c>
      <c r="CN882" s="62" t="n">
        <f aca="false">ROUNDUP(H882/BZ882,0)</f>
        <v>1</v>
      </c>
      <c r="CO882" s="62" t="n">
        <f aca="false">ROUNDUP(CJ882/BZ882,0)</f>
        <v>0</v>
      </c>
      <c r="CP882" s="65" t="n">
        <f aca="false">IF(CA882=1,0,IFERROR(VLOOKUP(BY882,'Gebinde-Kategorie'!$A$5:$N$45,5,0)+0,0))</f>
        <v>8</v>
      </c>
      <c r="CQ882" s="65" t="n">
        <f aca="false">IFERROR(IF(OR(CF882=1,CF882=2,CF882=3),N(INDEX(Parameter!$I$5:$I$7,CF882)),0),0)</f>
        <v>0</v>
      </c>
      <c r="CR882" s="64" t="n">
        <f aca="false">IF(AND(Parameter!$B$21="Ja",ISNUMBER(W882),N(X882)&gt;0),IFERROR(N(INDEX(Parameter!$L$5:$L$7,W882))*INDEX(Parameter!$E$5:$E$7,W882)*X882/SUMIFS($X$7:$X$1843,$W$7:$W$1843,W882),0),0)</f>
        <v>0</v>
      </c>
      <c r="CS882" s="62" t="n">
        <f aca="false">IF(AND(OR(CG882="L1",CG882="L23",CG882="LIFT"),H882&gt;0),CC882*IF(CR882&gt;0,CR882*MAX(1,H882/X882),IF(CA882=1,CE882,IF(R882&gt;0,CN882/R882,0))/MAX(0.1,N(Parameter!$M$21))),"")</f>
        <v>1.10714285714286</v>
      </c>
      <c r="CT882" s="64" t="n">
        <f aca="false">IF(CS882="","",J882/H882)</f>
        <v>1.79807692307692</v>
      </c>
      <c r="CU882" s="62" t="n">
        <f aca="false">IF(CS882="","",H882*G882)</f>
        <v>185.12</v>
      </c>
      <c r="CV882" s="63" t="n">
        <f aca="false">IF(CS882="","",(CL882+ROUNDUP(CL882+MAX(CM882,2*(J882/MAX(0.1,N(Einkauf!$C$6))-CL882)),0))/2)</f>
        <v>99.5</v>
      </c>
      <c r="CW882" s="62" t="n">
        <f aca="false">IF(CS882="","",MAX(0,H882-CV882)*G882)</f>
        <v>8.01</v>
      </c>
      <c r="CX882" s="62" t="n">
        <f aca="false">IF(CS882="","",CS882*MAX(0,1-CV882/H882))</f>
        <v>0.0479052197802197</v>
      </c>
      <c r="CY882" s="64" t="n">
        <f aca="false">IF(CS882="","",PERCENTRANK($CS$7:$CS$1843,CS882)+PERCENTRANK($CU$7:$CU$1843,CU882)+1-PERCENTRANK($CT$7:$CT$1843,CT882))</f>
        <v>0.5904</v>
      </c>
      <c r="CZ882" s="72" t="n">
        <f aca="false">IF(CS882="","",CHOOSE(MATCH(Einkauf!$C$5,Parameter!$G$23:$G$27,0),CY882,CS882,CU882,-CT882,CW882)+ROW()/1000000000)</f>
        <v>0.590400882</v>
      </c>
    </row>
    <row r="883" customFormat="false" ht="15" hidden="false" customHeight="false" outlineLevel="0" collapsed="false">
      <c r="A883" s="60" t="s">
        <v>1711</v>
      </c>
      <c r="B883" s="60" t="s">
        <v>1712</v>
      </c>
      <c r="C883" s="60" t="s">
        <v>206</v>
      </c>
      <c r="D883" s="60" t="s">
        <v>226</v>
      </c>
      <c r="E883" s="60" t="s">
        <v>227</v>
      </c>
      <c r="F883" s="60" t="s">
        <v>260</v>
      </c>
      <c r="G883" s="61" t="n">
        <v>27.73</v>
      </c>
      <c r="H883" s="62" t="n">
        <f aca="false">MAX(0,IF(AND(Parameter!$B$21="Ja",ISNUMBER(Y883)),Y883,IF(Parameter!$B$20="Jahresanfang 2025 + Export",BS883+BR883,BR883)))</f>
        <v>27</v>
      </c>
      <c r="I883" s="62" t="n">
        <f aca="false">H883*G883</f>
        <v>748.71</v>
      </c>
      <c r="J883" s="62" t="n">
        <f aca="false">BU883*Parameter!$B$18</f>
        <v>1</v>
      </c>
      <c r="K883" s="63" t="n">
        <v>27.5</v>
      </c>
      <c r="L883" s="64" t="n">
        <v>0.0363636363636364</v>
      </c>
      <c r="M883" s="62" t="n">
        <v>0</v>
      </c>
      <c r="N883" s="62" t="n">
        <v>1</v>
      </c>
      <c r="O883" s="65" t="n">
        <v>21</v>
      </c>
      <c r="P883" s="60" t="s">
        <v>463</v>
      </c>
      <c r="Q883" s="62" t="n">
        <v>36</v>
      </c>
      <c r="R883" s="65" t="n">
        <f aca="false">IF(CA883=1,0,IFERROR(VLOOKUP(BY883,'Gebinde-Kategorie'!$A$5:$N$45,13,0)+0,0))</f>
        <v>104</v>
      </c>
      <c r="S883" s="66"/>
      <c r="T883" s="67"/>
      <c r="U883" s="67"/>
      <c r="V883" s="67"/>
      <c r="W883" s="60"/>
      <c r="X883" s="62"/>
      <c r="Y883" s="62"/>
      <c r="Z883" s="60" t="n">
        <v>1</v>
      </c>
      <c r="AA883" s="60" t="n">
        <f aca="false">IF(A883="","",IF(AND(Parameter!$B$21="Ja",ISNUMBER(W883)),W883,IF(AND(Parameter!$E$27="Ja",ISNUMBER(Z883),CD883&lt;&gt;"Nein"),Z883,IF(CD883="2+3",IF(ISNUMBER(SEARCH("grosser Artikel",BV883)),2,IFERROR(VLOOKUP(BY883,Parameter!$F$35:$G$64,2,0),2)),IF(OR(CD883="Nein",CD883=""),"-",CD883)))))</f>
        <v>1</v>
      </c>
      <c r="AB883" s="67"/>
      <c r="AC883" s="68"/>
      <c r="AD883" s="62" t="n">
        <f aca="false">AW883</f>
        <v>1</v>
      </c>
      <c r="AE883" s="62" t="n">
        <f aca="false">MAX(AW883,H883)</f>
        <v>27</v>
      </c>
      <c r="AF883" s="69"/>
      <c r="AG883" s="62" t="n">
        <f aca="false">IF(LEFT(Cockpit!$C$5,1)="A",H883,IF(Parameter!$E$30="MAX-Bestand",IF(CI883=1,CJ883,IF(LEFT(Cockpit!$C$5,1)="B",AM883,MAX(AM883,H883))),ROUNDUP(AK883,0)))</f>
        <v>27</v>
      </c>
      <c r="AH883" s="62" t="n">
        <f aca="false">IF(CA883=1,0,ROUNDUP(AG883/BZ883,0))</f>
        <v>1</v>
      </c>
      <c r="AI883" s="64" t="n">
        <f aca="false">IF(CR883&gt;0,CR883*MAX(1,AG883/X883),IF(CA883=1,IF(AG883&lt;=0,0,CE883*MAX(1,IF(H883&gt;0,AG883/H883,1))),IF(R883&gt;0,AH883/R883,0))/MAX(0.1,N(Parameter!$M$21)))</f>
        <v>0.00961538461538462</v>
      </c>
      <c r="AJ883" s="62" t="n">
        <f aca="false">AI883*CC883</f>
        <v>1.49038461538462</v>
      </c>
      <c r="AK883" s="63" t="n">
        <f aca="false">IF(LEFT(Cockpit!$C$5,1)="A",H883,IF(CI883=1,(CL883+CJ883)/2,IF(LEFT(Cockpit!$C$5,1)="B",(CL883+AM883)/2,MAX((CL883+AM883)/2,H883))))</f>
        <v>27</v>
      </c>
      <c r="AL883" s="62" t="n">
        <f aca="false">AK883*G883</f>
        <v>748.71</v>
      </c>
      <c r="AM883" s="62" t="n">
        <f aca="false">ROUNDUP(CL883+MAX(CM883,2*(J883/IF(CH883&gt;0,CH883,MAX(0.1,N(Cockpit!$C$6)))-CL883)),0)</f>
        <v>1</v>
      </c>
      <c r="AN883" s="63" t="n">
        <f aca="false">IF(AJ883&gt;0,J883/AJ883,-1)</f>
        <v>0.670967741935484</v>
      </c>
      <c r="AO883" s="63" t="n">
        <f aca="false">IF(AND(OR(CG883="L1",CG883="L23",CG883="LIFT"),AJ883&gt;0),SUMIFS($AJ$7:$AJ$1843,$CG$7:$CG$1843,CG883,$AN$7:$AN$1843,"&gt;"&amp;AN883)+SUMIFS($AJ$7:$AJ$1843,$CG$7:$CG$1843,CG883,$AN$7:$AN$1843,AN883,$BX$7:$BX$1843,"&lt;="&amp;BX883),"")</f>
        <v>8620.58333333333</v>
      </c>
      <c r="AP883" s="70" t="n">
        <f aca="false">IF(AO883="",0,MAX(0,MIN(1,(IF(CG883="L1",Parameter!$H$5,IF(CG883="L23",Parameter!$H$6+Parameter!$H$7,Parameter!$H$5+Parameter!$H$6+Parameter!$H$7))-(AO883-AJ883))/AJ883)))</f>
        <v>1</v>
      </c>
      <c r="AQ883" s="62" t="n">
        <f aca="false">IF(LEFT(Cockpit!$I$5,1)="A",H883,IF(Parameter!$E$30="MAX-Bestand",IF(CI883=1,CJ883,IF(LEFT(Cockpit!$I$5,1)="B",AW883,MAX(AW883,H883))),ROUNDUP(AU883,0)))</f>
        <v>27</v>
      </c>
      <c r="AR883" s="62" t="n">
        <f aca="false">IF(CA883=1,0,ROUNDUP(AQ883/BZ883,0))</f>
        <v>1</v>
      </c>
      <c r="AS883" s="64" t="n">
        <f aca="false">IF(CR883&gt;0,CR883*MAX(1,AQ883/X883),IF(CA883=1,IF(AQ883&lt;=0,0,CE883*MAX(1,IF(H883&gt;0,AQ883/H883,1))),IF(R883&gt;0,AR883/R883,0))/MAX(0.1,N(Parameter!$M$21)))</f>
        <v>0.00961538461538462</v>
      </c>
      <c r="AT883" s="62" t="n">
        <f aca="false">AS883*CC883</f>
        <v>1.49038461538462</v>
      </c>
      <c r="AU883" s="63" t="n">
        <f aca="false">IF(LEFT(Cockpit!$I$5,1)="A",H883,IF(CI883=1,(CL883+CJ883)/2,IF(LEFT(Cockpit!$I$5,1)="B",(CL883+AW883)/2,MAX((CL883+AW883)/2,H883))))</f>
        <v>27</v>
      </c>
      <c r="AV883" s="62" t="n">
        <f aca="false">AU883*G883</f>
        <v>748.71</v>
      </c>
      <c r="AW883" s="62" t="n">
        <f aca="false">ROUNDUP(CL883+MAX(CM883,2*(J883/IF(CH883&gt;0,CH883,MAX(0.1,N(Cockpit!$I$6)))-CL883)),0)</f>
        <v>1</v>
      </c>
      <c r="AX883" s="63" t="n">
        <f aca="false">IF(AT883&gt;0,J883/AT883,-1)</f>
        <v>0.670967741935484</v>
      </c>
      <c r="AY883" s="63" t="n">
        <f aca="false">IF(AND(OR(CG883="L1",CG883="L23",CG883="LIFT"),AT883&gt;0),SUMIFS($AT$7:$AT$1843,$CG$7:$CG$1843,CG883,$AX$7:$AX$1843,"&gt;"&amp;AX883)+SUMIFS($AT$7:$AT$1843,$CG$7:$CG$1843,CG883,$AX$7:$AX$1843,AX883,$BX$7:$BX$1843,"&lt;="&amp;BX883),"")</f>
        <v>10914.7509157509</v>
      </c>
      <c r="AZ883" s="70" t="n">
        <f aca="false">IF(AY883="",0,MAX(0,MIN(1,(IF(CG883="L1",Parameter!$H$5,IF(CG883="L23",Parameter!$H$6+Parameter!$H$7,Parameter!$H$5+Parameter!$H$6+Parameter!$H$7))-(AY883-AT883))/AT883)))</f>
        <v>1</v>
      </c>
      <c r="BA883" s="62" t="n">
        <f aca="false">IF(LEFT(Cockpit!$O$5,1)="A",H883,IF(Parameter!$E$30="MAX-Bestand",IF(CI883=1,CJ883,IF(LEFT(Cockpit!$O$5,1)="B",BG883,MAX(BG883,H883))),ROUNDUP(BE883,0)))</f>
        <v>1</v>
      </c>
      <c r="BB883" s="62" t="n">
        <f aca="false">IF(CA883=1,0,ROUNDUP(BA883/BZ883,0))</f>
        <v>1</v>
      </c>
      <c r="BC883" s="64" t="n">
        <f aca="false">IF(CR883&gt;0,CR883*MAX(1,BA883/X883),IF(CA883=1,IF(BA883&lt;=0,0,CE883*MAX(1,IF(H883&gt;0,BA883/H883,1))),IF(R883&gt;0,BB883/R883,0))/MAX(0.1,N(Parameter!$M$21)))</f>
        <v>0.00961538461538462</v>
      </c>
      <c r="BD883" s="62" t="n">
        <f aca="false">BC883*CC883</f>
        <v>1.49038461538462</v>
      </c>
      <c r="BE883" s="63" t="n">
        <f aca="false">IF(LEFT(Cockpit!$O$5,1)="A",H883,IF(CI883=1,(CL883+CJ883)/2,IF(LEFT(Cockpit!$O$5,1)="B",(CL883+BG883)/2,MAX((CL883+BG883)/2,H883))))</f>
        <v>0.5</v>
      </c>
      <c r="BF883" s="62" t="n">
        <f aca="false">BE883*G883</f>
        <v>13.865</v>
      </c>
      <c r="BG883" s="62" t="n">
        <f aca="false">ROUNDUP(CL883+MAX(CM883,2*(J883/IF(CH883&gt;0,CH883,MAX(0.1,N(Cockpit!$O$6)))-CL883)),0)</f>
        <v>1</v>
      </c>
      <c r="BH883" s="63" t="n">
        <f aca="false">IF(BD883&gt;0,J883/BD883,-1)</f>
        <v>0.670967741935484</v>
      </c>
      <c r="BI883" s="63" t="n">
        <f aca="false">IF(AND(OR(CG883="L1",CG883="L23",CG883="LIFT"),BD883&gt;0),SUMIFS($BD$7:$BD$1843,$CG$7:$CG$1843,CG883,$BH$7:$BH$1843,"&gt;"&amp;BH883)+SUMIFS($BD$7:$BD$1843,$CG$7:$CG$1843,CG883,$BH$7:$BH$1843,BH883,$BX$7:$BX$1843,"&lt;="&amp;BX883),"")</f>
        <v>9524.38507326007</v>
      </c>
      <c r="BJ883" s="70" t="n">
        <f aca="false">IF(BI883="",0,MAX(0,MIN(1,(IF(CG883="L1",Parameter!$H$5,IF(CG883="L23",Parameter!$H$6+Parameter!$H$7,Parameter!$H$5+Parameter!$H$6+Parameter!$H$7))-(BI883-BD883))/BD883)))</f>
        <v>1</v>
      </c>
      <c r="BK883" s="60" t="str">
        <f aca="false">IF(AJ883&lt;=0,"",IF(CG883="Aussen","Aussenlager",IF(CG883="-","Nicht im Lift",IF(AP883&gt;=1,"Lift",IF(AP883&lt;=0,"Aussenlager","teilweise")))))</f>
        <v>Lift</v>
      </c>
      <c r="BL883" s="60" t="str">
        <f aca="false">IF(AT883&lt;=0,"",IF(CG883="Aussen","Aussenlager",IF(CG883="-","Nicht im Lift",IF(AZ883&gt;=1,"Lift",IF(AZ883&lt;=0,"Aussenlager","teilweise")))))</f>
        <v>Lift</v>
      </c>
      <c r="BM883" s="60" t="str">
        <f aca="false">IF(BD883&lt;=0,"",IF(CG883="Aussen","Aussenlager",IF(CG883="-","Nicht im Lift",IF(BJ883&gt;=1,"Lift",IF(BJ883&lt;=0,"Aussenlager","teilweise")))))</f>
        <v>Lift</v>
      </c>
      <c r="BN883" s="60" t="str">
        <f aca="false">IF(A883="","",IF(BW883=1,"Neu; ","")&amp;IF(AND(BW883=0,BR883&lt;0),"negativer Bestand (Export "&amp;BR883&amp;"); ","")&amp;IF(J883&lt;=0,"Kein Verbrauch; ","")&amp;IF(CR883&gt;0,"Lift "&amp;W883&amp;" lt. Liftbericht (Fach "&amp;X883&amp;" Stk); ",IF(CB883=1,"Gebinde geschätzt ("&amp;T883&amp;"); ",IF(CA883=1,"Lose – Tablare geschätzt; ","")))&amp;IF(H883&gt;AW883,"Überbestand "&amp;ROUND(H883-AW883,0)&amp;" Stk / CHF "&amp;ROUND((H883-AW883)*G883,0)&amp;"; ","")&amp;IF(AND(CI883=1,CJ883&lt;CK883),"MAX &lt; MB+LG; ","")&amp;IF(AND(CQ883&gt;0,CP883*10&gt;CQ883),"zu hoch für Tablar; ","")&amp;IF(AND(BW883=0,OR(CI883=1,AB883&lt;&gt;"",U883&lt;&gt;"",V883&lt;&gt;"",AC883&lt;&gt;"")),"manuell übersteuert; ","")&amp;IF(AND(CA883=0,R883=0),"Gebinde unbekannt / Stellmass fehlt; ","")&amp;IF(AND(CA883=0,N(V883)&lt;=0,N(Q883)&lt;=0),"Menge pro Gebinde fehlt (Ist = 1 Gebinde); ","")&amp;BV883)</f>
        <v>negativer Bestand (Export -1); Überbestand 26 Stk / CHF 721; Neu</v>
      </c>
      <c r="BO883" s="60"/>
      <c r="BP883" s="60"/>
      <c r="BQ883" s="67"/>
      <c r="BR883" s="62" t="n">
        <v>-1</v>
      </c>
      <c r="BS883" s="62" t="n">
        <v>28</v>
      </c>
      <c r="BT883" s="61" t="n">
        <v>-27.73</v>
      </c>
      <c r="BU883" s="62" t="n">
        <v>1</v>
      </c>
      <c r="BV883" s="60" t="s">
        <v>668</v>
      </c>
      <c r="BW883" s="65" t="n">
        <v>0</v>
      </c>
      <c r="BX883" s="65" t="n">
        <v>883</v>
      </c>
      <c r="BY883" s="60" t="str">
        <f aca="false">IF(U883&lt;&gt;"",UPPER(TRIM(U883)),IF(CB883=1,UPPER(VLOOKUP(T883,Parameter!$I$27:$K$29,2,0)),IF(P883="","LOSE",P883)))</f>
        <v>S32</v>
      </c>
      <c r="BZ883" s="62" t="n">
        <f aca="false">IF(BY883="LOSE",1,IF(N(V883)&gt;0,V883,IF(CB883=1,MAX(1,N(VLOOKUP(T883,Parameter!$I$27:$K$29,3,0)),H883,N(N883)),IF(N(Q883)&gt;0,Q883,MAX(1,H883)))))</f>
        <v>36</v>
      </c>
      <c r="CA883" s="65" t="n">
        <f aca="false">IF(BY883="LOSE",1,0)</f>
        <v>0</v>
      </c>
      <c r="CB883" s="65" t="n">
        <f aca="false">IF(AND(U883="",OR(P883="",P883="LOSE"),T883&lt;&gt;"",N(S883)&lt;=0,ISNUMBER(MATCH(T883,Parameter!$I$27:$I$29,0))),1,0)</f>
        <v>0</v>
      </c>
      <c r="CC883" s="65" t="n">
        <f aca="false">IF(CR883&gt;0,INDEX(Parameter!$H$5:$H$7,W883)/INDEX(Parameter!$E$5:$E$7,W883),IF(AND(CA883=0,N(IFERROR(VLOOKUP(BY883,'Gebinde-Kategorie'!$A$5:$N$45,14,0),0))&gt;0),VLOOKUP(BY883,'Gebinde-Kategorie'!$A$5:$N$45,14,0)*10+Parameter!$M$23,Parameter!$M$24))</f>
        <v>155</v>
      </c>
      <c r="CD883" s="60" t="str">
        <f aca="false">IF(AND(Parameter!$B$19="Ja",E883&lt;&gt;"",ISNUMBER(MATCH(E883,Parameter!$I$35:$I$52,0))),VLOOKUP(E883,Parameter!$I$35:$J$52,2,0),IFERROR(VLOOKUP(D883,Parameter!$A$35:$C$64,2,0),"Nein"))</f>
        <v>2+3</v>
      </c>
      <c r="CE883" s="64" t="n">
        <f aca="false">IF(CA883=0,0,IF(N(S883)&gt;0,S883,IFERROR(VLOOKUP(D883,Parameter!$A$35:$C$64,3,0)+0,0)))</f>
        <v>0</v>
      </c>
      <c r="CF883" s="60" t="n">
        <f aca="false">IF(AB883&lt;&gt;"",AB883,AA883)</f>
        <v>1</v>
      </c>
      <c r="CG883" s="60" t="str">
        <f aca="false">IF(OR(CF883=1,CF883=2,CF883=3),IF(Parameter!$E$27="Ja","LIFT",IF(CF883=1,"L1","L23")),IF(CF883="Aussen","Aussen","-"))</f>
        <v>LIFT</v>
      </c>
      <c r="CH883" s="71" t="n">
        <f aca="false">IF(N(AC883)&gt;0,AC883,0)</f>
        <v>0</v>
      </c>
      <c r="CI883" s="65" t="n">
        <f aca="false">IF(ISNUMBER(AF883),1,0)</f>
        <v>0</v>
      </c>
      <c r="CJ883" s="62" t="n">
        <f aca="false">N(AF883)</f>
        <v>0</v>
      </c>
      <c r="CK883" s="62" t="n">
        <f aca="false">N(M883)+N(N883)</f>
        <v>1</v>
      </c>
      <c r="CL883" s="62" t="n">
        <f aca="false">N(M883)</f>
        <v>0</v>
      </c>
      <c r="CM883" s="62" t="n">
        <f aca="false">N(N883)</f>
        <v>1</v>
      </c>
      <c r="CN883" s="62" t="n">
        <f aca="false">ROUNDUP(H883/BZ883,0)</f>
        <v>1</v>
      </c>
      <c r="CO883" s="62" t="n">
        <f aca="false">ROUNDUP(CJ883/BZ883,0)</f>
        <v>0</v>
      </c>
      <c r="CP883" s="65" t="n">
        <f aca="false">IF(CA883=1,0,IFERROR(VLOOKUP(BY883,'Gebinde-Kategorie'!$A$5:$N$45,5,0)+0,0))</f>
        <v>8</v>
      </c>
      <c r="CQ883" s="65" t="n">
        <f aca="false">IFERROR(IF(OR(CF883=1,CF883=2,CF883=3),N(INDEX(Parameter!$I$5:$I$7,CF883)),0),0)</f>
        <v>0</v>
      </c>
      <c r="CR883" s="64" t="n">
        <f aca="false">IF(AND(Parameter!$B$21="Ja",ISNUMBER(W883),N(X883)&gt;0),IFERROR(N(INDEX(Parameter!$L$5:$L$7,W883))*INDEX(Parameter!$E$5:$E$7,W883)*X883/SUMIFS($X$7:$X$1843,$W$7:$W$1843,W883),0),0)</f>
        <v>0</v>
      </c>
      <c r="CS883" s="62" t="n">
        <f aca="false">IF(AND(OR(CG883="L1",CG883="L23",CG883="LIFT"),H883&gt;0),CC883*IF(CR883&gt;0,CR883*MAX(1,H883/X883),IF(CA883=1,CE883,IF(R883&gt;0,CN883/R883,0))/MAX(0.1,N(Parameter!$M$21))),"")</f>
        <v>1.49038461538462</v>
      </c>
      <c r="CT883" s="64" t="n">
        <f aca="false">IF(CS883="","",J883/H883)</f>
        <v>0.037037037037037</v>
      </c>
      <c r="CU883" s="62" t="n">
        <f aca="false">IF(CS883="","",H883*G883)</f>
        <v>748.71</v>
      </c>
      <c r="CV883" s="63" t="n">
        <f aca="false">IF(CS883="","",(CL883+ROUNDUP(CL883+MAX(CM883,2*(J883/MAX(0.1,N(Einkauf!$C$6))-CL883)),0))/2)</f>
        <v>0.5</v>
      </c>
      <c r="CW883" s="62" t="n">
        <f aca="false">IF(CS883="","",MAX(0,H883-CV883)*G883)</f>
        <v>734.845</v>
      </c>
      <c r="CX883" s="62" t="n">
        <f aca="false">IF(CS883="","",CS883*MAX(0,1-CV883/H883))</f>
        <v>1.4627849002849</v>
      </c>
      <c r="CY883" s="64" t="n">
        <f aca="false">IF(CS883="","",PERCENTRANK($CS$7:$CS$1843,CS883)+PERCENTRANK($CU$7:$CU$1843,CU883)+1-PERCENTRANK($CT$7:$CT$1843,CT883))</f>
        <v>1.312</v>
      </c>
      <c r="CZ883" s="72" t="n">
        <f aca="false">IF(CS883="","",CHOOSE(MATCH(Einkauf!$C$5,Parameter!$G$23:$G$27,0),CY883,CS883,CU883,-CT883,CW883)+ROW()/1000000000)</f>
        <v>1.312000883</v>
      </c>
    </row>
    <row r="884" customFormat="false" ht="15" hidden="false" customHeight="false" outlineLevel="0" collapsed="false">
      <c r="A884" s="60" t="s">
        <v>1713</v>
      </c>
      <c r="B884" s="60" t="s">
        <v>934</v>
      </c>
      <c r="C884" s="60" t="s">
        <v>206</v>
      </c>
      <c r="D884" s="60" t="s">
        <v>226</v>
      </c>
      <c r="E884" s="60" t="s">
        <v>227</v>
      </c>
      <c r="F884" s="60" t="s">
        <v>260</v>
      </c>
      <c r="G884" s="61" t="n">
        <v>3.77</v>
      </c>
      <c r="H884" s="62" t="n">
        <f aca="false">MAX(0,IF(AND(Parameter!$B$21="Ja",ISNUMBER(Y884)),Y884,IF(Parameter!$B$20="Jahresanfang 2025 + Export",BS884+BR884,BR884)))</f>
        <v>4</v>
      </c>
      <c r="I884" s="62" t="n">
        <f aca="false">H884*G884</f>
        <v>15.08</v>
      </c>
      <c r="J884" s="62" t="n">
        <f aca="false">BU884*Parameter!$B$18</f>
        <v>23</v>
      </c>
      <c r="K884" s="63" t="n">
        <v>10.5</v>
      </c>
      <c r="L884" s="64" t="n">
        <v>2.19047619047619</v>
      </c>
      <c r="M884" s="62" t="n">
        <v>0</v>
      </c>
      <c r="N884" s="62" t="n">
        <v>25</v>
      </c>
      <c r="O884" s="65" t="n">
        <v>14</v>
      </c>
      <c r="P884" s="60" t="s">
        <v>463</v>
      </c>
      <c r="Q884" s="62" t="n">
        <v>37</v>
      </c>
      <c r="R884" s="65" t="n">
        <f aca="false">IF(CA884=1,0,IFERROR(VLOOKUP(BY884,'Gebinde-Kategorie'!$A$5:$N$45,13,0)+0,0))</f>
        <v>104</v>
      </c>
      <c r="S884" s="66"/>
      <c r="T884" s="67"/>
      <c r="U884" s="67"/>
      <c r="V884" s="67"/>
      <c r="W884" s="60"/>
      <c r="X884" s="62"/>
      <c r="Y884" s="62"/>
      <c r="Z884" s="60" t="n">
        <v>1</v>
      </c>
      <c r="AA884" s="60" t="n">
        <f aca="false">IF(A884="","",IF(AND(Parameter!$B$21="Ja",ISNUMBER(W884)),W884,IF(AND(Parameter!$E$27="Ja",ISNUMBER(Z884),CD884&lt;&gt;"Nein"),Z884,IF(CD884="2+3",IF(ISNUMBER(SEARCH("grosser Artikel",BV884)),2,IFERROR(VLOOKUP(BY884,Parameter!$F$35:$G$64,2,0),2)),IF(OR(CD884="Nein",CD884=""),"-",CD884)))))</f>
        <v>1</v>
      </c>
      <c r="AB884" s="67"/>
      <c r="AC884" s="68"/>
      <c r="AD884" s="62" t="n">
        <f aca="false">AW884</f>
        <v>25</v>
      </c>
      <c r="AE884" s="62" t="n">
        <f aca="false">MAX(AW884,H884)</f>
        <v>25</v>
      </c>
      <c r="AF884" s="69"/>
      <c r="AG884" s="62" t="n">
        <f aca="false">IF(LEFT(Cockpit!$C$5,1)="A",H884,IF(Parameter!$E$30="MAX-Bestand",IF(CI884=1,CJ884,IF(LEFT(Cockpit!$C$5,1)="B",AM884,MAX(AM884,H884))),ROUNDUP(AK884,0)))</f>
        <v>4</v>
      </c>
      <c r="AH884" s="62" t="n">
        <f aca="false">IF(CA884=1,0,ROUNDUP(AG884/BZ884,0))</f>
        <v>1</v>
      </c>
      <c r="AI884" s="64" t="n">
        <f aca="false">IF(CR884&gt;0,CR884*MAX(1,AG884/X884),IF(CA884=1,IF(AG884&lt;=0,0,CE884*MAX(1,IF(H884&gt;0,AG884/H884,1))),IF(R884&gt;0,AH884/R884,0))/MAX(0.1,N(Parameter!$M$21)))</f>
        <v>0.00961538461538462</v>
      </c>
      <c r="AJ884" s="62" t="n">
        <f aca="false">AI884*CC884</f>
        <v>1.49038461538462</v>
      </c>
      <c r="AK884" s="63" t="n">
        <f aca="false">IF(LEFT(Cockpit!$C$5,1)="A",H884,IF(CI884=1,(CL884+CJ884)/2,IF(LEFT(Cockpit!$C$5,1)="B",(CL884+AM884)/2,MAX((CL884+AM884)/2,H884))))</f>
        <v>4</v>
      </c>
      <c r="AL884" s="62" t="n">
        <f aca="false">AK884*G884</f>
        <v>15.08</v>
      </c>
      <c r="AM884" s="62" t="n">
        <f aca="false">ROUNDUP(CL884+MAX(CM884,2*(J884/IF(CH884&gt;0,CH884,MAX(0.1,N(Cockpit!$C$6)))-CL884)),0)</f>
        <v>25</v>
      </c>
      <c r="AN884" s="63" t="n">
        <f aca="false">IF(AJ884&gt;0,J884/AJ884,-1)</f>
        <v>15.4322580645161</v>
      </c>
      <c r="AO884" s="63" t="n">
        <f aca="false">IF(AND(OR(CG884="L1",CG884="L23",CG884="LIFT"),AJ884&gt;0),SUMIFS($AJ$7:$AJ$1843,$CG$7:$CG$1843,CG884,$AN$7:$AN$1843,"&gt;"&amp;AN884)+SUMIFS($AJ$7:$AJ$1843,$CG$7:$CG$1843,CG884,$AN$7:$AN$1843,AN884,$BX$7:$BX$1843,"&lt;="&amp;BX884),"")</f>
        <v>2067.17948717949</v>
      </c>
      <c r="AP884" s="70" t="n">
        <f aca="false">IF(AO884="",0,MAX(0,MIN(1,(IF(CG884="L1",Parameter!$H$5,IF(CG884="L23",Parameter!$H$6+Parameter!$H$7,Parameter!$H$5+Parameter!$H$6+Parameter!$H$7))-(AO884-AJ884))/AJ884)))</f>
        <v>1</v>
      </c>
      <c r="AQ884" s="62" t="n">
        <f aca="false">IF(LEFT(Cockpit!$I$5,1)="A",H884,IF(Parameter!$E$30="MAX-Bestand",IF(CI884=1,CJ884,IF(LEFT(Cockpit!$I$5,1)="B",AW884,MAX(AW884,H884))),ROUNDUP(AU884,0)))</f>
        <v>13</v>
      </c>
      <c r="AR884" s="62" t="n">
        <f aca="false">IF(CA884=1,0,ROUNDUP(AQ884/BZ884,0))</f>
        <v>1</v>
      </c>
      <c r="AS884" s="64" t="n">
        <f aca="false">IF(CR884&gt;0,CR884*MAX(1,AQ884/X884),IF(CA884=1,IF(AQ884&lt;=0,0,CE884*MAX(1,IF(H884&gt;0,AQ884/H884,1))),IF(R884&gt;0,AR884/R884,0))/MAX(0.1,N(Parameter!$M$21)))</f>
        <v>0.00961538461538462</v>
      </c>
      <c r="AT884" s="62" t="n">
        <f aca="false">AS884*CC884</f>
        <v>1.49038461538462</v>
      </c>
      <c r="AU884" s="63" t="n">
        <f aca="false">IF(LEFT(Cockpit!$I$5,1)="A",H884,IF(CI884=1,(CL884+CJ884)/2,IF(LEFT(Cockpit!$I$5,1)="B",(CL884+AW884)/2,MAX((CL884+AW884)/2,H884))))</f>
        <v>12.5</v>
      </c>
      <c r="AV884" s="62" t="n">
        <f aca="false">AU884*G884</f>
        <v>47.125</v>
      </c>
      <c r="AW884" s="62" t="n">
        <f aca="false">ROUNDUP(CL884+MAX(CM884,2*(J884/IF(CH884&gt;0,CH884,MAX(0.1,N(Cockpit!$I$6)))-CL884)),0)</f>
        <v>25</v>
      </c>
      <c r="AX884" s="63" t="n">
        <f aca="false">IF(AT884&gt;0,J884/AT884,-1)</f>
        <v>15.4322580645161</v>
      </c>
      <c r="AY884" s="63" t="n">
        <f aca="false">IF(AND(OR(CG884="L1",CG884="L23",CG884="LIFT"),AT884&gt;0),SUMIFS($AT$7:$AT$1843,$CG$7:$CG$1843,CG884,$AX$7:$AX$1843,"&gt;"&amp;AX884)+SUMIFS($AT$7:$AT$1843,$CG$7:$CG$1843,CG884,$AX$7:$AX$1843,AX884,$BX$7:$BX$1843,"&lt;="&amp;BX884),"")</f>
        <v>2715.1163003663</v>
      </c>
      <c r="AZ884" s="70" t="n">
        <f aca="false">IF(AY884="",0,MAX(0,MIN(1,(IF(CG884="L1",Parameter!$H$5,IF(CG884="L23",Parameter!$H$6+Parameter!$H$7,Parameter!$H$5+Parameter!$H$6+Parameter!$H$7))-(AY884-AT884))/AT884)))</f>
        <v>1</v>
      </c>
      <c r="BA884" s="62" t="n">
        <f aca="false">IF(LEFT(Cockpit!$O$5,1)="A",H884,IF(Parameter!$E$30="MAX-Bestand",IF(CI884=1,CJ884,IF(LEFT(Cockpit!$O$5,1)="B",BG884,MAX(BG884,H884))),ROUNDUP(BE884,0)))</f>
        <v>13</v>
      </c>
      <c r="BB884" s="62" t="n">
        <f aca="false">IF(CA884=1,0,ROUNDUP(BA884/BZ884,0))</f>
        <v>1</v>
      </c>
      <c r="BC884" s="64" t="n">
        <f aca="false">IF(CR884&gt;0,CR884*MAX(1,BA884/X884),IF(CA884=1,IF(BA884&lt;=0,0,CE884*MAX(1,IF(H884&gt;0,BA884/H884,1))),IF(R884&gt;0,BB884/R884,0))/MAX(0.1,N(Parameter!$M$21)))</f>
        <v>0.00961538461538462</v>
      </c>
      <c r="BD884" s="62" t="n">
        <f aca="false">BC884*CC884</f>
        <v>1.49038461538462</v>
      </c>
      <c r="BE884" s="63" t="n">
        <f aca="false">IF(LEFT(Cockpit!$O$5,1)="A",H884,IF(CI884=1,(CL884+CJ884)/2,IF(LEFT(Cockpit!$O$5,1)="B",(CL884+BG884)/2,MAX((CL884+BG884)/2,H884))))</f>
        <v>12.5</v>
      </c>
      <c r="BF884" s="62" t="n">
        <f aca="false">BE884*G884</f>
        <v>47.125</v>
      </c>
      <c r="BG884" s="62" t="n">
        <f aca="false">ROUNDUP(CL884+MAX(CM884,2*(J884/IF(CH884&gt;0,CH884,MAX(0.1,N(Cockpit!$O$6)))-CL884)),0)</f>
        <v>25</v>
      </c>
      <c r="BH884" s="63" t="n">
        <f aca="false">IF(BD884&gt;0,J884/BD884,-1)</f>
        <v>15.4322580645161</v>
      </c>
      <c r="BI884" s="63" t="n">
        <f aca="false">IF(AND(OR(CG884="L1",CG884="L23",CG884="LIFT"),BD884&gt;0),SUMIFS($BD$7:$BD$1843,$CG$7:$CG$1843,CG884,$BH$7:$BH$1843,"&gt;"&amp;BH884)+SUMIFS($BD$7:$BD$1843,$CG$7:$CG$1843,CG884,$BH$7:$BH$1843,BH884,$BX$7:$BX$1843,"&lt;="&amp;BX884),"")</f>
        <v>2398.15338827839</v>
      </c>
      <c r="BJ884" s="70" t="n">
        <f aca="false">IF(BI884="",0,MAX(0,MIN(1,(IF(CG884="L1",Parameter!$H$5,IF(CG884="L23",Parameter!$H$6+Parameter!$H$7,Parameter!$H$5+Parameter!$H$6+Parameter!$H$7))-(BI884-BD884))/BD884)))</f>
        <v>1</v>
      </c>
      <c r="BK884" s="60" t="str">
        <f aca="false">IF(AJ884&lt;=0,"",IF(CG884="Aussen","Aussenlager",IF(CG884="-","Nicht im Lift",IF(AP884&gt;=1,"Lift",IF(AP884&lt;=0,"Aussenlager","teilweise")))))</f>
        <v>Lift</v>
      </c>
      <c r="BL884" s="60" t="str">
        <f aca="false">IF(AT884&lt;=0,"",IF(CG884="Aussen","Aussenlager",IF(CG884="-","Nicht im Lift",IF(AZ884&gt;=1,"Lift",IF(AZ884&lt;=0,"Aussenlager","teilweise")))))</f>
        <v>Lift</v>
      </c>
      <c r="BM884" s="60" t="str">
        <f aca="false">IF(BD884&lt;=0,"",IF(CG884="Aussen","Aussenlager",IF(CG884="-","Nicht im Lift",IF(BJ884&gt;=1,"Lift",IF(BJ884&lt;=0,"Aussenlager","teilweise")))))</f>
        <v>Lift</v>
      </c>
      <c r="BN884" s="60" t="str">
        <f aca="false">IF(A884="","",IF(BW884=1,"Neu; ","")&amp;IF(AND(BW884=0,BR884&lt;0),"negativer Bestand (Export "&amp;BR884&amp;"); ","")&amp;IF(J884&lt;=0,"Kein Verbrauch; ","")&amp;IF(CR884&gt;0,"Lift "&amp;W884&amp;" lt. Liftbericht (Fach "&amp;X884&amp;" Stk); ",IF(CB884=1,"Gebinde geschätzt ("&amp;T884&amp;"); ",IF(CA884=1,"Lose – Tablare geschätzt; ","")))&amp;IF(H884&gt;AW884,"Überbestand "&amp;ROUND(H884-AW884,0)&amp;" Stk / CHF "&amp;ROUND((H884-AW884)*G884,0)&amp;"; ","")&amp;IF(AND(CI884=1,CJ884&lt;CK884),"MAX &lt; MB+LG; ","")&amp;IF(AND(CQ884&gt;0,CP884*10&gt;CQ884),"zu hoch für Tablar; ","")&amp;IF(AND(BW884=0,OR(CI884=1,AB884&lt;&gt;"",U884&lt;&gt;"",V884&lt;&gt;"",AC884&lt;&gt;"")),"manuell übersteuert; ","")&amp;IF(AND(CA884=0,R884=0),"Gebinde unbekannt / Stellmass fehlt; ","")&amp;IF(AND(CA884=0,N(V884)&lt;=0,N(Q884)&lt;=0),"Menge pro Gebinde fehlt (Ist = 1 Gebinde); ","")&amp;BV884)</f>
        <v>negativer Bestand (Export -8); </v>
      </c>
      <c r="BO884" s="60"/>
      <c r="BP884" s="60"/>
      <c r="BQ884" s="67"/>
      <c r="BR884" s="62" t="n">
        <v>-8</v>
      </c>
      <c r="BS884" s="62" t="n">
        <v>12</v>
      </c>
      <c r="BT884" s="61" t="n">
        <v>-28.12</v>
      </c>
      <c r="BU884" s="62" t="n">
        <v>23</v>
      </c>
      <c r="BV884" s="60"/>
      <c r="BW884" s="65" t="n">
        <v>0</v>
      </c>
      <c r="BX884" s="65" t="n">
        <v>884</v>
      </c>
      <c r="BY884" s="60" t="str">
        <f aca="false">IF(U884&lt;&gt;"",UPPER(TRIM(U884)),IF(CB884=1,UPPER(VLOOKUP(T884,Parameter!$I$27:$K$29,2,0)),IF(P884="","LOSE",P884)))</f>
        <v>S32</v>
      </c>
      <c r="BZ884" s="62" t="n">
        <f aca="false">IF(BY884="LOSE",1,IF(N(V884)&gt;0,V884,IF(CB884=1,MAX(1,N(VLOOKUP(T884,Parameter!$I$27:$K$29,3,0)),H884,N(N884)),IF(N(Q884)&gt;0,Q884,MAX(1,H884)))))</f>
        <v>37</v>
      </c>
      <c r="CA884" s="65" t="n">
        <f aca="false">IF(BY884="LOSE",1,0)</f>
        <v>0</v>
      </c>
      <c r="CB884" s="65" t="n">
        <f aca="false">IF(AND(U884="",OR(P884="",P884="LOSE"),T884&lt;&gt;"",N(S884)&lt;=0,ISNUMBER(MATCH(T884,Parameter!$I$27:$I$29,0))),1,0)</f>
        <v>0</v>
      </c>
      <c r="CC884" s="65" t="n">
        <f aca="false">IF(CR884&gt;0,INDEX(Parameter!$H$5:$H$7,W884)/INDEX(Parameter!$E$5:$E$7,W884),IF(AND(CA884=0,N(IFERROR(VLOOKUP(BY884,'Gebinde-Kategorie'!$A$5:$N$45,14,0),0))&gt;0),VLOOKUP(BY884,'Gebinde-Kategorie'!$A$5:$N$45,14,0)*10+Parameter!$M$23,Parameter!$M$24))</f>
        <v>155</v>
      </c>
      <c r="CD884" s="60" t="str">
        <f aca="false">IF(AND(Parameter!$B$19="Ja",E884&lt;&gt;"",ISNUMBER(MATCH(E884,Parameter!$I$35:$I$52,0))),VLOOKUP(E884,Parameter!$I$35:$J$52,2,0),IFERROR(VLOOKUP(D884,Parameter!$A$35:$C$64,2,0),"Nein"))</f>
        <v>2+3</v>
      </c>
      <c r="CE884" s="64" t="n">
        <f aca="false">IF(CA884=0,0,IF(N(S884)&gt;0,S884,IFERROR(VLOOKUP(D884,Parameter!$A$35:$C$64,3,0)+0,0)))</f>
        <v>0</v>
      </c>
      <c r="CF884" s="60" t="n">
        <f aca="false">IF(AB884&lt;&gt;"",AB884,AA884)</f>
        <v>1</v>
      </c>
      <c r="CG884" s="60" t="str">
        <f aca="false">IF(OR(CF884=1,CF884=2,CF884=3),IF(Parameter!$E$27="Ja","LIFT",IF(CF884=1,"L1","L23")),IF(CF884="Aussen","Aussen","-"))</f>
        <v>LIFT</v>
      </c>
      <c r="CH884" s="71" t="n">
        <f aca="false">IF(N(AC884)&gt;0,AC884,0)</f>
        <v>0</v>
      </c>
      <c r="CI884" s="65" t="n">
        <f aca="false">IF(ISNUMBER(AF884),1,0)</f>
        <v>0</v>
      </c>
      <c r="CJ884" s="62" t="n">
        <f aca="false">N(AF884)</f>
        <v>0</v>
      </c>
      <c r="CK884" s="62" t="n">
        <f aca="false">N(M884)+N(N884)</f>
        <v>25</v>
      </c>
      <c r="CL884" s="62" t="n">
        <f aca="false">N(M884)</f>
        <v>0</v>
      </c>
      <c r="CM884" s="62" t="n">
        <f aca="false">N(N884)</f>
        <v>25</v>
      </c>
      <c r="CN884" s="62" t="n">
        <f aca="false">ROUNDUP(H884/BZ884,0)</f>
        <v>1</v>
      </c>
      <c r="CO884" s="62" t="n">
        <f aca="false">ROUNDUP(CJ884/BZ884,0)</f>
        <v>0</v>
      </c>
      <c r="CP884" s="65" t="n">
        <f aca="false">IF(CA884=1,0,IFERROR(VLOOKUP(BY884,'Gebinde-Kategorie'!$A$5:$N$45,5,0)+0,0))</f>
        <v>8</v>
      </c>
      <c r="CQ884" s="65" t="n">
        <f aca="false">IFERROR(IF(OR(CF884=1,CF884=2,CF884=3),N(INDEX(Parameter!$I$5:$I$7,CF884)),0),0)</f>
        <v>0</v>
      </c>
      <c r="CR884" s="64" t="n">
        <f aca="false">IF(AND(Parameter!$B$21="Ja",ISNUMBER(W884),N(X884)&gt;0),IFERROR(N(INDEX(Parameter!$L$5:$L$7,W884))*INDEX(Parameter!$E$5:$E$7,W884)*X884/SUMIFS($X$7:$X$1843,$W$7:$W$1843,W884),0),0)</f>
        <v>0</v>
      </c>
      <c r="CS884" s="62" t="n">
        <f aca="false">IF(AND(OR(CG884="L1",CG884="L23",CG884="LIFT"),H884&gt;0),CC884*IF(CR884&gt;0,CR884*MAX(1,H884/X884),IF(CA884=1,CE884,IF(R884&gt;0,CN884/R884,0))/MAX(0.1,N(Parameter!$M$21))),"")</f>
        <v>1.49038461538462</v>
      </c>
      <c r="CT884" s="64" t="n">
        <f aca="false">IF(CS884="","",J884/H884)</f>
        <v>5.75</v>
      </c>
      <c r="CU884" s="62" t="n">
        <f aca="false">IF(CS884="","",H884*G884)</f>
        <v>15.08</v>
      </c>
      <c r="CV884" s="63" t="n">
        <f aca="false">IF(CS884="","",(CL884+ROUNDUP(CL884+MAX(CM884,2*(J884/MAX(0.1,N(Einkauf!$C$6))-CL884)),0))/2)</f>
        <v>12.5</v>
      </c>
      <c r="CW884" s="62" t="n">
        <f aca="false">IF(CS884="","",MAX(0,H884-CV884)*G884)</f>
        <v>0</v>
      </c>
      <c r="CX884" s="62" t="n">
        <f aca="false">IF(CS884="","",CS884*MAX(0,1-CV884/H884))</f>
        <v>0</v>
      </c>
      <c r="CY884" s="64" t="n">
        <f aca="false">IF(CS884="","",PERCENTRANK($CS$7:$CS$1843,CS884)+PERCENTRANK($CU$7:$CU$1843,CU884)+1-PERCENTRANK($CT$7:$CT$1843,CT884))</f>
        <v>0.2089</v>
      </c>
      <c r="CZ884" s="72" t="n">
        <f aca="false">IF(CS884="","",CHOOSE(MATCH(Einkauf!$C$5,Parameter!$G$23:$G$27,0),CY884,CS884,CU884,-CT884,CW884)+ROW()/1000000000)</f>
        <v>0.208900884</v>
      </c>
    </row>
    <row r="885" customFormat="false" ht="15" hidden="false" customHeight="false" outlineLevel="0" collapsed="false">
      <c r="A885" s="60" t="s">
        <v>1714</v>
      </c>
      <c r="B885" s="60" t="s">
        <v>1330</v>
      </c>
      <c r="C885" s="60" t="s">
        <v>206</v>
      </c>
      <c r="D885" s="60" t="s">
        <v>226</v>
      </c>
      <c r="E885" s="60" t="s">
        <v>227</v>
      </c>
      <c r="F885" s="60" t="s">
        <v>260</v>
      </c>
      <c r="G885" s="61" t="n">
        <v>7.34</v>
      </c>
      <c r="H885" s="62" t="n">
        <f aca="false">MAX(0,IF(AND(Parameter!$B$21="Ja",ISNUMBER(Y885)),Y885,IF(Parameter!$B$20="Jahresanfang 2025 + Export",BS885+BR885,BR885)))</f>
        <v>3</v>
      </c>
      <c r="I885" s="62" t="n">
        <f aca="false">H885*G885</f>
        <v>22.02</v>
      </c>
      <c r="J885" s="62" t="n">
        <f aca="false">BU885*Parameter!$B$18</f>
        <v>6</v>
      </c>
      <c r="K885" s="63" t="n">
        <v>6.5</v>
      </c>
      <c r="L885" s="64" t="n">
        <v>0.923076923076923</v>
      </c>
      <c r="M885" s="62" t="n">
        <v>0</v>
      </c>
      <c r="N885" s="62" t="n">
        <v>5</v>
      </c>
      <c r="O885" s="65" t="n">
        <v>14</v>
      </c>
      <c r="P885" s="60" t="s">
        <v>518</v>
      </c>
      <c r="Q885" s="62" t="n">
        <v>5</v>
      </c>
      <c r="R885" s="65" t="n">
        <f aca="false">IF(CA885=1,0,IFERROR(VLOOKUP(BY885,'Gebinde-Kategorie'!$A$5:$N$45,13,0)+0,0))</f>
        <v>52</v>
      </c>
      <c r="S885" s="66"/>
      <c r="T885" s="67"/>
      <c r="U885" s="67"/>
      <c r="V885" s="67"/>
      <c r="W885" s="60"/>
      <c r="X885" s="62"/>
      <c r="Y885" s="62"/>
      <c r="Z885" s="60" t="n">
        <v>3</v>
      </c>
      <c r="AA885" s="60" t="n">
        <f aca="false">IF(A885="","",IF(AND(Parameter!$B$21="Ja",ISNUMBER(W885)),W885,IF(AND(Parameter!$E$27="Ja",ISNUMBER(Z885),CD885&lt;&gt;"Nein"),Z885,IF(CD885="2+3",IF(ISNUMBER(SEARCH("grosser Artikel",BV885)),2,IFERROR(VLOOKUP(BY885,Parameter!$F$35:$G$64,2,0),2)),IF(OR(CD885="Nein",CD885=""),"-",CD885)))))</f>
        <v>3</v>
      </c>
      <c r="AB885" s="67"/>
      <c r="AC885" s="68"/>
      <c r="AD885" s="62" t="n">
        <f aca="false">AW885</f>
        <v>5</v>
      </c>
      <c r="AE885" s="62" t="n">
        <f aca="false">MAX(AW885,H885)</f>
        <v>5</v>
      </c>
      <c r="AF885" s="69"/>
      <c r="AG885" s="62" t="n">
        <f aca="false">IF(LEFT(Cockpit!$C$5,1)="A",H885,IF(Parameter!$E$30="MAX-Bestand",IF(CI885=1,CJ885,IF(LEFT(Cockpit!$C$5,1)="B",AM885,MAX(AM885,H885))),ROUNDUP(AK885,0)))</f>
        <v>3</v>
      </c>
      <c r="AH885" s="62" t="n">
        <f aca="false">IF(CA885=1,0,ROUNDUP(AG885/BZ885,0))</f>
        <v>1</v>
      </c>
      <c r="AI885" s="64" t="n">
        <f aca="false">IF(CR885&gt;0,CR885*MAX(1,AG885/X885),IF(CA885=1,IF(AG885&lt;=0,0,CE885*MAX(1,IF(H885&gt;0,AG885/H885,1))),IF(R885&gt;0,AH885/R885,0))/MAX(0.1,N(Parameter!$M$21)))</f>
        <v>0.0192307692307692</v>
      </c>
      <c r="AJ885" s="62" t="n">
        <f aca="false">AI885*CC885</f>
        <v>2.98076923076923</v>
      </c>
      <c r="AK885" s="63" t="n">
        <f aca="false">IF(LEFT(Cockpit!$C$5,1)="A",H885,IF(CI885=1,(CL885+CJ885)/2,IF(LEFT(Cockpit!$C$5,1)="B",(CL885+AM885)/2,MAX((CL885+AM885)/2,H885))))</f>
        <v>3</v>
      </c>
      <c r="AL885" s="62" t="n">
        <f aca="false">AK885*G885</f>
        <v>22.02</v>
      </c>
      <c r="AM885" s="62" t="n">
        <f aca="false">ROUNDUP(CL885+MAX(CM885,2*(J885/IF(CH885&gt;0,CH885,MAX(0.1,N(Cockpit!$C$6)))-CL885)),0)</f>
        <v>5</v>
      </c>
      <c r="AN885" s="63" t="n">
        <f aca="false">IF(AJ885&gt;0,J885/AJ885,-1)</f>
        <v>2.01290322580645</v>
      </c>
      <c r="AO885" s="63" t="n">
        <f aca="false">IF(AND(OR(CG885="L1",CG885="L23",CG885="LIFT"),AJ885&gt;0),SUMIFS($AJ$7:$AJ$1843,$CG$7:$CG$1843,CG885,$AN$7:$AN$1843,"&gt;"&amp;AN885)+SUMIFS($AJ$7:$AJ$1843,$CG$7:$CG$1843,CG885,$AN$7:$AN$1843,AN885,$BX$7:$BX$1843,"&lt;="&amp;BX885),"")</f>
        <v>5790.84981684982</v>
      </c>
      <c r="AP885" s="70" t="n">
        <f aca="false">IF(AO885="",0,MAX(0,MIN(1,(IF(CG885="L1",Parameter!$H$5,IF(CG885="L23",Parameter!$H$6+Parameter!$H$7,Parameter!$H$5+Parameter!$H$6+Parameter!$H$7))-(AO885-AJ885))/AJ885)))</f>
        <v>1</v>
      </c>
      <c r="AQ885" s="62" t="n">
        <f aca="false">IF(LEFT(Cockpit!$I$5,1)="A",H885,IF(Parameter!$E$30="MAX-Bestand",IF(CI885=1,CJ885,IF(LEFT(Cockpit!$I$5,1)="B",AW885,MAX(AW885,H885))),ROUNDUP(AU885,0)))</f>
        <v>3</v>
      </c>
      <c r="AR885" s="62" t="n">
        <f aca="false">IF(CA885=1,0,ROUNDUP(AQ885/BZ885,0))</f>
        <v>1</v>
      </c>
      <c r="AS885" s="64" t="n">
        <f aca="false">IF(CR885&gt;0,CR885*MAX(1,AQ885/X885),IF(CA885=1,IF(AQ885&lt;=0,0,CE885*MAX(1,IF(H885&gt;0,AQ885/H885,1))),IF(R885&gt;0,AR885/R885,0))/MAX(0.1,N(Parameter!$M$21)))</f>
        <v>0.0192307692307692</v>
      </c>
      <c r="AT885" s="62" t="n">
        <f aca="false">AS885*CC885</f>
        <v>2.98076923076923</v>
      </c>
      <c r="AU885" s="63" t="n">
        <f aca="false">IF(LEFT(Cockpit!$I$5,1)="A",H885,IF(CI885=1,(CL885+CJ885)/2,IF(LEFT(Cockpit!$I$5,1)="B",(CL885+AW885)/2,MAX((CL885+AW885)/2,H885))))</f>
        <v>3</v>
      </c>
      <c r="AV885" s="62" t="n">
        <f aca="false">AU885*G885</f>
        <v>22.02</v>
      </c>
      <c r="AW885" s="62" t="n">
        <f aca="false">ROUNDUP(CL885+MAX(CM885,2*(J885/IF(CH885&gt;0,CH885,MAX(0.1,N(Cockpit!$I$6)))-CL885)),0)</f>
        <v>5</v>
      </c>
      <c r="AX885" s="63" t="n">
        <f aca="false">IF(AT885&gt;0,J885/AT885,-1)</f>
        <v>2.01290322580645</v>
      </c>
      <c r="AY885" s="63" t="n">
        <f aca="false">IF(AND(OR(CG885="L1",CG885="L23",CG885="LIFT"),AT885&gt;0),SUMIFS($AT$7:$AT$1843,$CG$7:$CG$1843,CG885,$AX$7:$AX$1843,"&gt;"&amp;AX885)+SUMIFS($AT$7:$AT$1843,$CG$7:$CG$1843,CG885,$AX$7:$AX$1843,AX885,$BX$7:$BX$1843,"&lt;="&amp;BX885),"")</f>
        <v>7158.78937728938</v>
      </c>
      <c r="AZ885" s="70" t="n">
        <f aca="false">IF(AY885="",0,MAX(0,MIN(1,(IF(CG885="L1",Parameter!$H$5,IF(CG885="L23",Parameter!$H$6+Parameter!$H$7,Parameter!$H$5+Parameter!$H$6+Parameter!$H$7))-(AY885-AT885))/AT885)))</f>
        <v>1</v>
      </c>
      <c r="BA885" s="62" t="n">
        <f aca="false">IF(LEFT(Cockpit!$O$5,1)="A",H885,IF(Parameter!$E$30="MAX-Bestand",IF(CI885=1,CJ885,IF(LEFT(Cockpit!$O$5,1)="B",BG885,MAX(BG885,H885))),ROUNDUP(BE885,0)))</f>
        <v>3</v>
      </c>
      <c r="BB885" s="62" t="n">
        <f aca="false">IF(CA885=1,0,ROUNDUP(BA885/BZ885,0))</f>
        <v>1</v>
      </c>
      <c r="BC885" s="64" t="n">
        <f aca="false">IF(CR885&gt;0,CR885*MAX(1,BA885/X885),IF(CA885=1,IF(BA885&lt;=0,0,CE885*MAX(1,IF(H885&gt;0,BA885/H885,1))),IF(R885&gt;0,BB885/R885,0))/MAX(0.1,N(Parameter!$M$21)))</f>
        <v>0.0192307692307692</v>
      </c>
      <c r="BD885" s="62" t="n">
        <f aca="false">BC885*CC885</f>
        <v>2.98076923076923</v>
      </c>
      <c r="BE885" s="63" t="n">
        <f aca="false">IF(LEFT(Cockpit!$O$5,1)="A",H885,IF(CI885=1,(CL885+CJ885)/2,IF(LEFT(Cockpit!$O$5,1)="B",(CL885+BG885)/2,MAX((CL885+BG885)/2,H885))))</f>
        <v>2.5</v>
      </c>
      <c r="BF885" s="62" t="n">
        <f aca="false">BE885*G885</f>
        <v>18.35</v>
      </c>
      <c r="BG885" s="62" t="n">
        <f aca="false">ROUNDUP(CL885+MAX(CM885,2*(J885/IF(CH885&gt;0,CH885,MAX(0.1,N(Cockpit!$O$6)))-CL885)),0)</f>
        <v>5</v>
      </c>
      <c r="BH885" s="63" t="n">
        <f aca="false">IF(BD885&gt;0,J885/BD885,-1)</f>
        <v>2.01290322580645</v>
      </c>
      <c r="BI885" s="63" t="n">
        <f aca="false">IF(AND(OR(CG885="L1",CG885="L23",CG885="LIFT"),BD885&gt;0),SUMIFS($BD$7:$BD$1843,$CG$7:$CG$1843,CG885,$BH$7:$BH$1843,"&gt;"&amp;BH885)+SUMIFS($BD$7:$BD$1843,$CG$7:$CG$1843,CG885,$BH$7:$BH$1843,BH885,$BX$7:$BX$1843,"&lt;="&amp;BX885),"")</f>
        <v>5869.5641025641</v>
      </c>
      <c r="BJ885" s="70" t="n">
        <f aca="false">IF(BI885="",0,MAX(0,MIN(1,(IF(CG885="L1",Parameter!$H$5,IF(CG885="L23",Parameter!$H$6+Parameter!$H$7,Parameter!$H$5+Parameter!$H$6+Parameter!$H$7))-(BI885-BD885))/BD885)))</f>
        <v>1</v>
      </c>
      <c r="BK885" s="60" t="str">
        <f aca="false">IF(AJ885&lt;=0,"",IF(CG885="Aussen","Aussenlager",IF(CG885="-","Nicht im Lift",IF(AP885&gt;=1,"Lift",IF(AP885&lt;=0,"Aussenlager","teilweise")))))</f>
        <v>Lift</v>
      </c>
      <c r="BL885" s="60" t="str">
        <f aca="false">IF(AT885&lt;=0,"",IF(CG885="Aussen","Aussenlager",IF(CG885="-","Nicht im Lift",IF(AZ885&gt;=1,"Lift",IF(AZ885&lt;=0,"Aussenlager","teilweise")))))</f>
        <v>Lift</v>
      </c>
      <c r="BM885" s="60" t="str">
        <f aca="false">IF(BD885&lt;=0,"",IF(CG885="Aussen","Aussenlager",IF(CG885="-","Nicht im Lift",IF(BJ885&gt;=1,"Lift",IF(BJ885&lt;=0,"Aussenlager","teilweise")))))</f>
        <v>Lift</v>
      </c>
      <c r="BN885" s="60" t="str">
        <f aca="false">IF(A885="","",IF(BW885=1,"Neu; ","")&amp;IF(AND(BW885=0,BR885&lt;0),"negativer Bestand (Export "&amp;BR885&amp;"); ","")&amp;IF(J885&lt;=0,"Kein Verbrauch; ","")&amp;IF(CR885&gt;0,"Lift "&amp;W885&amp;" lt. Liftbericht (Fach "&amp;X885&amp;" Stk); ",IF(CB885=1,"Gebinde geschätzt ("&amp;T885&amp;"); ",IF(CA885=1,"Lose – Tablare geschätzt; ","")))&amp;IF(H885&gt;AW885,"Überbestand "&amp;ROUND(H885-AW885,0)&amp;" Stk / CHF "&amp;ROUND((H885-AW885)*G885,0)&amp;"; ","")&amp;IF(AND(CI885=1,CJ885&lt;CK885),"MAX &lt; MB+LG; ","")&amp;IF(AND(CQ885&gt;0,CP885*10&gt;CQ885),"zu hoch für Tablar; ","")&amp;IF(AND(BW885=0,OR(CI885=1,AB885&lt;&gt;"",U885&lt;&gt;"",V885&lt;&gt;"",AC885&lt;&gt;"")),"manuell übersteuert; ","")&amp;IF(AND(CA885=0,R885=0),"Gebinde unbekannt / Stellmass fehlt; ","")&amp;IF(AND(CA885=0,N(V885)&lt;=0,N(Q885)&lt;=0),"Menge pro Gebinde fehlt (Ist = 1 Gebinde); ","")&amp;BV885)</f>
        <v>negativer Bestand (Export -4); </v>
      </c>
      <c r="BO885" s="60"/>
      <c r="BP885" s="60"/>
      <c r="BQ885" s="67"/>
      <c r="BR885" s="62" t="n">
        <v>-4</v>
      </c>
      <c r="BS885" s="62" t="n">
        <v>7</v>
      </c>
      <c r="BT885" s="61" t="n">
        <v>-28.17</v>
      </c>
      <c r="BU885" s="62" t="n">
        <v>6</v>
      </c>
      <c r="BV885" s="60"/>
      <c r="BW885" s="65" t="n">
        <v>0</v>
      </c>
      <c r="BX885" s="65" t="n">
        <v>885</v>
      </c>
      <c r="BY885" s="60" t="str">
        <f aca="false">IF(U885&lt;&gt;"",UPPER(TRIM(U885)),IF(CB885=1,UPPER(VLOOKUP(T885,Parameter!$I$27:$K$29,2,0)),IF(P885="","LOSE",P885)))</f>
        <v>S33</v>
      </c>
      <c r="BZ885" s="62" t="n">
        <f aca="false">IF(BY885="LOSE",1,IF(N(V885)&gt;0,V885,IF(CB885=1,MAX(1,N(VLOOKUP(T885,Parameter!$I$27:$K$29,3,0)),H885,N(N885)),IF(N(Q885)&gt;0,Q885,MAX(1,H885)))))</f>
        <v>5</v>
      </c>
      <c r="CA885" s="65" t="n">
        <f aca="false">IF(BY885="LOSE",1,0)</f>
        <v>0</v>
      </c>
      <c r="CB885" s="65" t="n">
        <f aca="false">IF(AND(U885="",OR(P885="",P885="LOSE"),T885&lt;&gt;"",N(S885)&lt;=0,ISNUMBER(MATCH(T885,Parameter!$I$27:$I$29,0))),1,0)</f>
        <v>0</v>
      </c>
      <c r="CC885" s="65" t="n">
        <f aca="false">IF(CR885&gt;0,INDEX(Parameter!$H$5:$H$7,W885)/INDEX(Parameter!$E$5:$E$7,W885),IF(AND(CA885=0,N(IFERROR(VLOOKUP(BY885,'Gebinde-Kategorie'!$A$5:$N$45,14,0),0))&gt;0),VLOOKUP(BY885,'Gebinde-Kategorie'!$A$5:$N$45,14,0)*10+Parameter!$M$23,Parameter!$M$24))</f>
        <v>155</v>
      </c>
      <c r="CD885" s="60" t="str">
        <f aca="false">IF(AND(Parameter!$B$19="Ja",E885&lt;&gt;"",ISNUMBER(MATCH(E885,Parameter!$I$35:$I$52,0))),VLOOKUP(E885,Parameter!$I$35:$J$52,2,0),IFERROR(VLOOKUP(D885,Parameter!$A$35:$C$64,2,0),"Nein"))</f>
        <v>2+3</v>
      </c>
      <c r="CE885" s="64" t="n">
        <f aca="false">IF(CA885=0,0,IF(N(S885)&gt;0,S885,IFERROR(VLOOKUP(D885,Parameter!$A$35:$C$64,3,0)+0,0)))</f>
        <v>0</v>
      </c>
      <c r="CF885" s="60" t="n">
        <f aca="false">IF(AB885&lt;&gt;"",AB885,AA885)</f>
        <v>3</v>
      </c>
      <c r="CG885" s="60" t="str">
        <f aca="false">IF(OR(CF885=1,CF885=2,CF885=3),IF(Parameter!$E$27="Ja","LIFT",IF(CF885=1,"L1","L23")),IF(CF885="Aussen","Aussen","-"))</f>
        <v>LIFT</v>
      </c>
      <c r="CH885" s="71" t="n">
        <f aca="false">IF(N(AC885)&gt;0,AC885,0)</f>
        <v>0</v>
      </c>
      <c r="CI885" s="65" t="n">
        <f aca="false">IF(ISNUMBER(AF885),1,0)</f>
        <v>0</v>
      </c>
      <c r="CJ885" s="62" t="n">
        <f aca="false">N(AF885)</f>
        <v>0</v>
      </c>
      <c r="CK885" s="62" t="n">
        <f aca="false">N(M885)+N(N885)</f>
        <v>5</v>
      </c>
      <c r="CL885" s="62" t="n">
        <f aca="false">N(M885)</f>
        <v>0</v>
      </c>
      <c r="CM885" s="62" t="n">
        <f aca="false">N(N885)</f>
        <v>5</v>
      </c>
      <c r="CN885" s="62" t="n">
        <f aca="false">ROUNDUP(H885/BZ885,0)</f>
        <v>1</v>
      </c>
      <c r="CO885" s="62" t="n">
        <f aca="false">ROUNDUP(CJ885/BZ885,0)</f>
        <v>0</v>
      </c>
      <c r="CP885" s="65" t="n">
        <f aca="false">IF(CA885=1,0,IFERROR(VLOOKUP(BY885,'Gebinde-Kategorie'!$A$5:$N$45,5,0)+0,0))</f>
        <v>8</v>
      </c>
      <c r="CQ885" s="65" t="n">
        <f aca="false">IFERROR(IF(OR(CF885=1,CF885=2,CF885=3),N(INDEX(Parameter!$I$5:$I$7,CF885)),0),0)</f>
        <v>0</v>
      </c>
      <c r="CR885" s="64" t="n">
        <f aca="false">IF(AND(Parameter!$B$21="Ja",ISNUMBER(W885),N(X885)&gt;0),IFERROR(N(INDEX(Parameter!$L$5:$L$7,W885))*INDEX(Parameter!$E$5:$E$7,W885)*X885/SUMIFS($X$7:$X$1843,$W$7:$W$1843,W885),0),0)</f>
        <v>0</v>
      </c>
      <c r="CS885" s="62" t="n">
        <f aca="false">IF(AND(OR(CG885="L1",CG885="L23",CG885="LIFT"),H885&gt;0),CC885*IF(CR885&gt;0,CR885*MAX(1,H885/X885),IF(CA885=1,CE885,IF(R885&gt;0,CN885/R885,0))/MAX(0.1,N(Parameter!$M$21))),"")</f>
        <v>2.98076923076923</v>
      </c>
      <c r="CT885" s="64" t="n">
        <f aca="false">IF(CS885="","",J885/H885)</f>
        <v>2</v>
      </c>
      <c r="CU885" s="62" t="n">
        <f aca="false">IF(CS885="","",H885*G885)</f>
        <v>22.02</v>
      </c>
      <c r="CV885" s="63" t="n">
        <f aca="false">IF(CS885="","",(CL885+ROUNDUP(CL885+MAX(CM885,2*(J885/MAX(0.1,N(Einkauf!$C$6))-CL885)),0))/2)</f>
        <v>2.5</v>
      </c>
      <c r="CW885" s="62" t="n">
        <f aca="false">IF(CS885="","",MAX(0,H885-CV885)*G885)</f>
        <v>3.67</v>
      </c>
      <c r="CX885" s="62" t="n">
        <f aca="false">IF(CS885="","",CS885*MAX(0,1-CV885/H885))</f>
        <v>0.496794871794872</v>
      </c>
      <c r="CY885" s="64" t="n">
        <f aca="false">IF(CS885="","",PERCENTRANK($CS$7:$CS$1843,CS885)+PERCENTRANK($CU$7:$CU$1843,CU885)+1-PERCENTRANK($CT$7:$CT$1843,CT885))</f>
        <v>0.4882</v>
      </c>
      <c r="CZ885" s="72" t="n">
        <f aca="false">IF(CS885="","",CHOOSE(MATCH(Einkauf!$C$5,Parameter!$G$23:$G$27,0),CY885,CS885,CU885,-CT885,CW885)+ROW()/1000000000)</f>
        <v>0.488200885</v>
      </c>
    </row>
    <row r="886" customFormat="false" ht="15" hidden="false" customHeight="false" outlineLevel="0" collapsed="false">
      <c r="A886" s="60" t="s">
        <v>1715</v>
      </c>
      <c r="B886" s="60" t="s">
        <v>934</v>
      </c>
      <c r="C886" s="60" t="s">
        <v>206</v>
      </c>
      <c r="D886" s="60" t="s">
        <v>226</v>
      </c>
      <c r="E886" s="60" t="s">
        <v>227</v>
      </c>
      <c r="F886" s="60" t="s">
        <v>260</v>
      </c>
      <c r="G886" s="61" t="n">
        <v>11.11</v>
      </c>
      <c r="H886" s="62" t="n">
        <f aca="false">MAX(0,IF(AND(Parameter!$B$21="Ja",ISNUMBER(Y886)),Y886,IF(Parameter!$B$20="Jahresanfang 2025 + Export",BS886+BR886,BR886)))</f>
        <v>7</v>
      </c>
      <c r="I886" s="62" t="n">
        <f aca="false">H886*G886</f>
        <v>77.77</v>
      </c>
      <c r="J886" s="62" t="n">
        <f aca="false">BU886*Parameter!$B$18</f>
        <v>18</v>
      </c>
      <c r="K886" s="63" t="n">
        <v>11</v>
      </c>
      <c r="L886" s="64" t="n">
        <v>1.63636363636364</v>
      </c>
      <c r="M886" s="62" t="n">
        <v>0</v>
      </c>
      <c r="N886" s="62" t="n">
        <v>20</v>
      </c>
      <c r="O886" s="65" t="n">
        <v>14</v>
      </c>
      <c r="P886" s="60" t="s">
        <v>468</v>
      </c>
      <c r="Q886" s="62" t="n">
        <v>8</v>
      </c>
      <c r="R886" s="65" t="n">
        <f aca="false">IF(CA886=1,0,IFERROR(VLOOKUP(BY886,'Gebinde-Kategorie'!$A$5:$N$45,13,0)+0,0))</f>
        <v>140</v>
      </c>
      <c r="S886" s="66"/>
      <c r="T886" s="67"/>
      <c r="U886" s="67"/>
      <c r="V886" s="67"/>
      <c r="W886" s="60"/>
      <c r="X886" s="62"/>
      <c r="Y886" s="62"/>
      <c r="Z886" s="60" t="n">
        <v>3</v>
      </c>
      <c r="AA886" s="60" t="n">
        <f aca="false">IF(A886="","",IF(AND(Parameter!$B$21="Ja",ISNUMBER(W886)),W886,IF(AND(Parameter!$E$27="Ja",ISNUMBER(Z886),CD886&lt;&gt;"Nein"),Z886,IF(CD886="2+3",IF(ISNUMBER(SEARCH("grosser Artikel",BV886)),2,IFERROR(VLOOKUP(BY886,Parameter!$F$35:$G$64,2,0),2)),IF(OR(CD886="Nein",CD886=""),"-",CD886)))))</f>
        <v>3</v>
      </c>
      <c r="AB886" s="67"/>
      <c r="AC886" s="68"/>
      <c r="AD886" s="62" t="n">
        <f aca="false">AW886</f>
        <v>20</v>
      </c>
      <c r="AE886" s="62" t="n">
        <f aca="false">MAX(AW886,H886)</f>
        <v>20</v>
      </c>
      <c r="AF886" s="69"/>
      <c r="AG886" s="62" t="n">
        <f aca="false">IF(LEFT(Cockpit!$C$5,1)="A",H886,IF(Parameter!$E$30="MAX-Bestand",IF(CI886=1,CJ886,IF(LEFT(Cockpit!$C$5,1)="B",AM886,MAX(AM886,H886))),ROUNDUP(AK886,0)))</f>
        <v>7</v>
      </c>
      <c r="AH886" s="62" t="n">
        <f aca="false">IF(CA886=1,0,ROUNDUP(AG886/BZ886,0))</f>
        <v>1</v>
      </c>
      <c r="AI886" s="64" t="n">
        <f aca="false">IF(CR886&gt;0,CR886*MAX(1,AG886/X886),IF(CA886=1,IF(AG886&lt;=0,0,CE886*MAX(1,IF(H886&gt;0,AG886/H886,1))),IF(R886&gt;0,AH886/R886,0))/MAX(0.1,N(Parameter!$M$21)))</f>
        <v>0.00714285714285714</v>
      </c>
      <c r="AJ886" s="62" t="n">
        <f aca="false">AI886*CC886</f>
        <v>1.10714285714286</v>
      </c>
      <c r="AK886" s="63" t="n">
        <f aca="false">IF(LEFT(Cockpit!$C$5,1)="A",H886,IF(CI886=1,(CL886+CJ886)/2,IF(LEFT(Cockpit!$C$5,1)="B",(CL886+AM886)/2,MAX((CL886+AM886)/2,H886))))</f>
        <v>7</v>
      </c>
      <c r="AL886" s="62" t="n">
        <f aca="false">AK886*G886</f>
        <v>77.77</v>
      </c>
      <c r="AM886" s="62" t="n">
        <f aca="false">ROUNDUP(CL886+MAX(CM886,2*(J886/IF(CH886&gt;0,CH886,MAX(0.1,N(Cockpit!$C$6)))-CL886)),0)</f>
        <v>20</v>
      </c>
      <c r="AN886" s="63" t="n">
        <f aca="false">IF(AJ886&gt;0,J886/AJ886,-1)</f>
        <v>16.258064516129</v>
      </c>
      <c r="AO886" s="63" t="n">
        <f aca="false">IF(AND(OR(CG886="L1",CG886="L23",CG886="LIFT"),AJ886&gt;0),SUMIFS($AJ$7:$AJ$1843,$CG$7:$CG$1843,CG886,$AN$7:$AN$1843,"&gt;"&amp;AN886)+SUMIFS($AJ$7:$AJ$1843,$CG$7:$CG$1843,CG886,$AN$7:$AN$1843,AN886,$BX$7:$BX$1843,"&lt;="&amp;BX886),"")</f>
        <v>2046.77014652015</v>
      </c>
      <c r="AP886" s="70" t="n">
        <f aca="false">IF(AO886="",0,MAX(0,MIN(1,(IF(CG886="L1",Parameter!$H$5,IF(CG886="L23",Parameter!$H$6+Parameter!$H$7,Parameter!$H$5+Parameter!$H$6+Parameter!$H$7))-(AO886-AJ886))/AJ886)))</f>
        <v>1</v>
      </c>
      <c r="AQ886" s="62" t="n">
        <f aca="false">IF(LEFT(Cockpit!$I$5,1)="A",H886,IF(Parameter!$E$30="MAX-Bestand",IF(CI886=1,CJ886,IF(LEFT(Cockpit!$I$5,1)="B",AW886,MAX(AW886,H886))),ROUNDUP(AU886,0)))</f>
        <v>10</v>
      </c>
      <c r="AR886" s="62" t="n">
        <f aca="false">IF(CA886=1,0,ROUNDUP(AQ886/BZ886,0))</f>
        <v>2</v>
      </c>
      <c r="AS886" s="64" t="n">
        <f aca="false">IF(CR886&gt;0,CR886*MAX(1,AQ886/X886),IF(CA886=1,IF(AQ886&lt;=0,0,CE886*MAX(1,IF(H886&gt;0,AQ886/H886,1))),IF(R886&gt;0,AR886/R886,0))/MAX(0.1,N(Parameter!$M$21)))</f>
        <v>0.0142857142857143</v>
      </c>
      <c r="AT886" s="62" t="n">
        <f aca="false">AS886*CC886</f>
        <v>2.21428571428571</v>
      </c>
      <c r="AU886" s="63" t="n">
        <f aca="false">IF(LEFT(Cockpit!$I$5,1)="A",H886,IF(CI886=1,(CL886+CJ886)/2,IF(LEFT(Cockpit!$I$5,1)="B",(CL886+AW886)/2,MAX((CL886+AW886)/2,H886))))</f>
        <v>10</v>
      </c>
      <c r="AV886" s="62" t="n">
        <f aca="false">AU886*G886</f>
        <v>111.1</v>
      </c>
      <c r="AW886" s="62" t="n">
        <f aca="false">ROUNDUP(CL886+MAX(CM886,2*(J886/IF(CH886&gt;0,CH886,MAX(0.1,N(Cockpit!$I$6)))-CL886)),0)</f>
        <v>20</v>
      </c>
      <c r="AX886" s="63" t="n">
        <f aca="false">IF(AT886&gt;0,J886/AT886,-1)</f>
        <v>8.12903225806452</v>
      </c>
      <c r="AY886" s="63" t="n">
        <f aca="false">IF(AND(OR(CG886="L1",CG886="L23",CG886="LIFT"),AT886&gt;0),SUMIFS($AT$7:$AT$1843,$CG$7:$CG$1843,CG886,$AX$7:$AX$1843,"&gt;"&amp;AX886)+SUMIFS($AT$7:$AT$1843,$CG$7:$CG$1843,CG886,$AX$7:$AX$1843,AX886,$BX$7:$BX$1843,"&lt;="&amp;BX886),"")</f>
        <v>3655.7793040293</v>
      </c>
      <c r="AZ886" s="70" t="n">
        <f aca="false">IF(AY886="",0,MAX(0,MIN(1,(IF(CG886="L1",Parameter!$H$5,IF(CG886="L23",Parameter!$H$6+Parameter!$H$7,Parameter!$H$5+Parameter!$H$6+Parameter!$H$7))-(AY886-AT886))/AT886)))</f>
        <v>1</v>
      </c>
      <c r="BA886" s="62" t="n">
        <f aca="false">IF(LEFT(Cockpit!$O$5,1)="A",H886,IF(Parameter!$E$30="MAX-Bestand",IF(CI886=1,CJ886,IF(LEFT(Cockpit!$O$5,1)="B",BG886,MAX(BG886,H886))),ROUNDUP(BE886,0)))</f>
        <v>10</v>
      </c>
      <c r="BB886" s="62" t="n">
        <f aca="false">IF(CA886=1,0,ROUNDUP(BA886/BZ886,0))</f>
        <v>2</v>
      </c>
      <c r="BC886" s="64" t="n">
        <f aca="false">IF(CR886&gt;0,CR886*MAX(1,BA886/X886),IF(CA886=1,IF(BA886&lt;=0,0,CE886*MAX(1,IF(H886&gt;0,BA886/H886,1))),IF(R886&gt;0,BB886/R886,0))/MAX(0.1,N(Parameter!$M$21)))</f>
        <v>0.0142857142857143</v>
      </c>
      <c r="BD886" s="62" t="n">
        <f aca="false">BC886*CC886</f>
        <v>2.21428571428571</v>
      </c>
      <c r="BE886" s="63" t="n">
        <f aca="false">IF(LEFT(Cockpit!$O$5,1)="A",H886,IF(CI886=1,(CL886+CJ886)/2,IF(LEFT(Cockpit!$O$5,1)="B",(CL886+BG886)/2,MAX((CL886+BG886)/2,H886))))</f>
        <v>10</v>
      </c>
      <c r="BF886" s="62" t="n">
        <f aca="false">BE886*G886</f>
        <v>111.1</v>
      </c>
      <c r="BG886" s="62" t="n">
        <f aca="false">ROUNDUP(CL886+MAX(CM886,2*(J886/IF(CH886&gt;0,CH886,MAX(0.1,N(Cockpit!$O$6)))-CL886)),0)</f>
        <v>20</v>
      </c>
      <c r="BH886" s="63" t="n">
        <f aca="false">IF(BD886&gt;0,J886/BD886,-1)</f>
        <v>8.12903225806452</v>
      </c>
      <c r="BI886" s="63" t="n">
        <f aca="false">IF(AND(OR(CG886="L1",CG886="L23",CG886="LIFT"),BD886&gt;0),SUMIFS($BD$7:$BD$1843,$CG$7:$CG$1843,CG886,$BH$7:$BH$1843,"&gt;"&amp;BH886)+SUMIFS($BD$7:$BD$1843,$CG$7:$CG$1843,CG886,$BH$7:$BH$1843,BH886,$BX$7:$BX$1843,"&lt;="&amp;BX886),"")</f>
        <v>3019.96932234432</v>
      </c>
      <c r="BJ886" s="70" t="n">
        <f aca="false">IF(BI886="",0,MAX(0,MIN(1,(IF(CG886="L1",Parameter!$H$5,IF(CG886="L23",Parameter!$H$6+Parameter!$H$7,Parameter!$H$5+Parameter!$H$6+Parameter!$H$7))-(BI886-BD886))/BD886)))</f>
        <v>1</v>
      </c>
      <c r="BK886" s="60" t="str">
        <f aca="false">IF(AJ886&lt;=0,"",IF(CG886="Aussen","Aussenlager",IF(CG886="-","Nicht im Lift",IF(AP886&gt;=1,"Lift",IF(AP886&lt;=0,"Aussenlager","teilweise")))))</f>
        <v>Lift</v>
      </c>
      <c r="BL886" s="60" t="str">
        <f aca="false">IF(AT886&lt;=0,"",IF(CG886="Aussen","Aussenlager",IF(CG886="-","Nicht im Lift",IF(AZ886&gt;=1,"Lift",IF(AZ886&lt;=0,"Aussenlager","teilweise")))))</f>
        <v>Lift</v>
      </c>
      <c r="BM886" s="60" t="str">
        <f aca="false">IF(BD886&lt;=0,"",IF(CG886="Aussen","Aussenlager",IF(CG886="-","Nicht im Lift",IF(BJ886&gt;=1,"Lift",IF(BJ886&lt;=0,"Aussenlager","teilweise")))))</f>
        <v>Lift</v>
      </c>
      <c r="BN886" s="60" t="str">
        <f aca="false">IF(A886="","",IF(BW886=1,"Neu; ","")&amp;IF(AND(BW886=0,BR886&lt;0),"negativer Bestand (Export "&amp;BR886&amp;"); ","")&amp;IF(J886&lt;=0,"Kein Verbrauch; ","")&amp;IF(CR886&gt;0,"Lift "&amp;W886&amp;" lt. Liftbericht (Fach "&amp;X886&amp;" Stk); ",IF(CB886=1,"Gebinde geschätzt ("&amp;T886&amp;"); ",IF(CA886=1,"Lose – Tablare geschätzt; ","")))&amp;IF(H886&gt;AW886,"Überbestand "&amp;ROUND(H886-AW886,0)&amp;" Stk / CHF "&amp;ROUND((H886-AW886)*G886,0)&amp;"; ","")&amp;IF(AND(CI886=1,CJ886&lt;CK886),"MAX &lt; MB+LG; ","")&amp;IF(AND(CQ886&gt;0,CP886*10&gt;CQ886),"zu hoch für Tablar; ","")&amp;IF(AND(BW886=0,OR(CI886=1,AB886&lt;&gt;"",U886&lt;&gt;"",V886&lt;&gt;"",AC886&lt;&gt;"")),"manuell übersteuert; ","")&amp;IF(AND(CA886=0,R886=0),"Gebinde unbekannt / Stellmass fehlt; ","")&amp;IF(AND(CA886=0,N(V886)&lt;=0,N(Q886)&lt;=0),"Menge pro Gebinde fehlt (Ist = 1 Gebinde); ","")&amp;BV886)</f>
        <v>negativer Bestand (Export -3); </v>
      </c>
      <c r="BO886" s="60"/>
      <c r="BP886" s="60"/>
      <c r="BQ886" s="67"/>
      <c r="BR886" s="62" t="n">
        <v>-3</v>
      </c>
      <c r="BS886" s="62" t="n">
        <v>10</v>
      </c>
      <c r="BT886" s="61" t="n">
        <v>-28.33</v>
      </c>
      <c r="BU886" s="62" t="n">
        <v>18</v>
      </c>
      <c r="BV886" s="60"/>
      <c r="BW886" s="65" t="n">
        <v>0</v>
      </c>
      <c r="BX886" s="65" t="n">
        <v>886</v>
      </c>
      <c r="BY886" s="60" t="str">
        <f aca="false">IF(U886&lt;&gt;"",UPPER(TRIM(U886)),IF(CB886=1,UPPER(VLOOKUP(T886,Parameter!$I$27:$K$29,2,0)),IF(P886="","LOSE",P886)))</f>
        <v>S22</v>
      </c>
      <c r="BZ886" s="62" t="n">
        <f aca="false">IF(BY886="LOSE",1,IF(N(V886)&gt;0,V886,IF(CB886=1,MAX(1,N(VLOOKUP(T886,Parameter!$I$27:$K$29,3,0)),H886,N(N886)),IF(N(Q886)&gt;0,Q886,MAX(1,H886)))))</f>
        <v>8</v>
      </c>
      <c r="CA886" s="65" t="n">
        <f aca="false">IF(BY886="LOSE",1,0)</f>
        <v>0</v>
      </c>
      <c r="CB886" s="65" t="n">
        <f aca="false">IF(AND(U886="",OR(P886="",P886="LOSE"),T886&lt;&gt;"",N(S886)&lt;=0,ISNUMBER(MATCH(T886,Parameter!$I$27:$I$29,0))),1,0)</f>
        <v>0</v>
      </c>
      <c r="CC886" s="65" t="n">
        <f aca="false">IF(CR886&gt;0,INDEX(Parameter!$H$5:$H$7,W886)/INDEX(Parameter!$E$5:$E$7,W886),IF(AND(CA886=0,N(IFERROR(VLOOKUP(BY886,'Gebinde-Kategorie'!$A$5:$N$45,14,0),0))&gt;0),VLOOKUP(BY886,'Gebinde-Kategorie'!$A$5:$N$45,14,0)*10+Parameter!$M$23,Parameter!$M$24))</f>
        <v>155</v>
      </c>
      <c r="CD886" s="60" t="str">
        <f aca="false">IF(AND(Parameter!$B$19="Ja",E886&lt;&gt;"",ISNUMBER(MATCH(E886,Parameter!$I$35:$I$52,0))),VLOOKUP(E886,Parameter!$I$35:$J$52,2,0),IFERROR(VLOOKUP(D886,Parameter!$A$35:$C$64,2,0),"Nein"))</f>
        <v>2+3</v>
      </c>
      <c r="CE886" s="64" t="n">
        <f aca="false">IF(CA886=0,0,IF(N(S886)&gt;0,S886,IFERROR(VLOOKUP(D886,Parameter!$A$35:$C$64,3,0)+0,0)))</f>
        <v>0</v>
      </c>
      <c r="CF886" s="60" t="n">
        <f aca="false">IF(AB886&lt;&gt;"",AB886,AA886)</f>
        <v>3</v>
      </c>
      <c r="CG886" s="60" t="str">
        <f aca="false">IF(OR(CF886=1,CF886=2,CF886=3),IF(Parameter!$E$27="Ja","LIFT",IF(CF886=1,"L1","L23")),IF(CF886="Aussen","Aussen","-"))</f>
        <v>LIFT</v>
      </c>
      <c r="CH886" s="71" t="n">
        <f aca="false">IF(N(AC886)&gt;0,AC886,0)</f>
        <v>0</v>
      </c>
      <c r="CI886" s="65" t="n">
        <f aca="false">IF(ISNUMBER(AF886),1,0)</f>
        <v>0</v>
      </c>
      <c r="CJ886" s="62" t="n">
        <f aca="false">N(AF886)</f>
        <v>0</v>
      </c>
      <c r="CK886" s="62" t="n">
        <f aca="false">N(M886)+N(N886)</f>
        <v>20</v>
      </c>
      <c r="CL886" s="62" t="n">
        <f aca="false">N(M886)</f>
        <v>0</v>
      </c>
      <c r="CM886" s="62" t="n">
        <f aca="false">N(N886)</f>
        <v>20</v>
      </c>
      <c r="CN886" s="62" t="n">
        <f aca="false">ROUNDUP(H886/BZ886,0)</f>
        <v>1</v>
      </c>
      <c r="CO886" s="62" t="n">
        <f aca="false">ROUNDUP(CJ886/BZ886,0)</f>
        <v>0</v>
      </c>
      <c r="CP886" s="65" t="n">
        <f aca="false">IF(CA886=1,0,IFERROR(VLOOKUP(BY886,'Gebinde-Kategorie'!$A$5:$N$45,5,0)+0,0))</f>
        <v>8</v>
      </c>
      <c r="CQ886" s="65" t="n">
        <f aca="false">IFERROR(IF(OR(CF886=1,CF886=2,CF886=3),N(INDEX(Parameter!$I$5:$I$7,CF886)),0),0)</f>
        <v>0</v>
      </c>
      <c r="CR886" s="64" t="n">
        <f aca="false">IF(AND(Parameter!$B$21="Ja",ISNUMBER(W886),N(X886)&gt;0),IFERROR(N(INDEX(Parameter!$L$5:$L$7,W886))*INDEX(Parameter!$E$5:$E$7,W886)*X886/SUMIFS($X$7:$X$1843,$W$7:$W$1843,W886),0),0)</f>
        <v>0</v>
      </c>
      <c r="CS886" s="62" t="n">
        <f aca="false">IF(AND(OR(CG886="L1",CG886="L23",CG886="LIFT"),H886&gt;0),CC886*IF(CR886&gt;0,CR886*MAX(1,H886/X886),IF(CA886=1,CE886,IF(R886&gt;0,CN886/R886,0))/MAX(0.1,N(Parameter!$M$21))),"")</f>
        <v>1.10714285714286</v>
      </c>
      <c r="CT886" s="64" t="n">
        <f aca="false">IF(CS886="","",J886/H886)</f>
        <v>2.57142857142857</v>
      </c>
      <c r="CU886" s="62" t="n">
        <f aca="false">IF(CS886="","",H886*G886)</f>
        <v>77.77</v>
      </c>
      <c r="CV886" s="63" t="n">
        <f aca="false">IF(CS886="","",(CL886+ROUNDUP(CL886+MAX(CM886,2*(J886/MAX(0.1,N(Einkauf!$C$6))-CL886)),0))/2)</f>
        <v>10</v>
      </c>
      <c r="CW886" s="62" t="n">
        <f aca="false">IF(CS886="","",MAX(0,H886-CV886)*G886)</f>
        <v>0</v>
      </c>
      <c r="CX886" s="62" t="n">
        <f aca="false">IF(CS886="","",CS886*MAX(0,1-CV886/H886))</f>
        <v>0</v>
      </c>
      <c r="CY886" s="64" t="n">
        <f aca="false">IF(CS886="","",PERCENTRANK($CS$7:$CS$1843,CS886)+PERCENTRANK($CU$7:$CU$1843,CU886)+1-PERCENTRANK($CT$7:$CT$1843,CT886))</f>
        <v>0.3884</v>
      </c>
      <c r="CZ886" s="72" t="n">
        <f aca="false">IF(CS886="","",CHOOSE(MATCH(Einkauf!$C$5,Parameter!$G$23:$G$27,0),CY886,CS886,CU886,-CT886,CW886)+ROW()/1000000000)</f>
        <v>0.388400886</v>
      </c>
    </row>
    <row r="887" customFormat="false" ht="15" hidden="false" customHeight="false" outlineLevel="0" collapsed="false">
      <c r="A887" s="60" t="s">
        <v>1716</v>
      </c>
      <c r="B887" s="60" t="s">
        <v>1717</v>
      </c>
      <c r="C887" s="60" t="s">
        <v>206</v>
      </c>
      <c r="D887" s="60" t="s">
        <v>226</v>
      </c>
      <c r="E887" s="60"/>
      <c r="F887" s="60" t="s">
        <v>260</v>
      </c>
      <c r="G887" s="61" t="n">
        <v>5.69</v>
      </c>
      <c r="H887" s="62" t="n">
        <f aca="false">MAX(0,IF(AND(Parameter!$B$21="Ja",ISNUMBER(Y887)),Y887,IF(Parameter!$B$20="Jahresanfang 2025 + Export",BS887+BR887,BR887)))</f>
        <v>10</v>
      </c>
      <c r="I887" s="62" t="n">
        <f aca="false">H887*G887</f>
        <v>56.9</v>
      </c>
      <c r="J887" s="62" t="n">
        <f aca="false">BU887*Parameter!$B$18</f>
        <v>3</v>
      </c>
      <c r="K887" s="63" t="n">
        <v>12.5</v>
      </c>
      <c r="L887" s="64" t="n">
        <v>0.24</v>
      </c>
      <c r="M887" s="62" t="n">
        <v>0</v>
      </c>
      <c r="N887" s="62" t="n">
        <v>5</v>
      </c>
      <c r="O887" s="65" t="n">
        <v>28</v>
      </c>
      <c r="P887" s="60" t="s">
        <v>443</v>
      </c>
      <c r="Q887" s="62" t="n">
        <v>50</v>
      </c>
      <c r="R887" s="65" t="n">
        <f aca="false">IF(CA887=1,0,IFERROR(VLOOKUP(BY887,'Gebinde-Kategorie'!$A$5:$N$45,13,0)+0,0))</f>
        <v>280</v>
      </c>
      <c r="S887" s="66"/>
      <c r="T887" s="67"/>
      <c r="U887" s="67"/>
      <c r="V887" s="67"/>
      <c r="W887" s="60"/>
      <c r="X887" s="62"/>
      <c r="Y887" s="62"/>
      <c r="Z887" s="60" t="n">
        <v>2</v>
      </c>
      <c r="AA887" s="60" t="n">
        <f aca="false">IF(A887="","",IF(AND(Parameter!$B$21="Ja",ISNUMBER(W887)),W887,IF(AND(Parameter!$E$27="Ja",ISNUMBER(Z887),CD887&lt;&gt;"Nein"),Z887,IF(CD887="2+3",IF(ISNUMBER(SEARCH("grosser Artikel",BV887)),2,IFERROR(VLOOKUP(BY887,Parameter!$F$35:$G$64,2,0),2)),IF(OR(CD887="Nein",CD887=""),"-",CD887)))))</f>
        <v>2</v>
      </c>
      <c r="AB887" s="67"/>
      <c r="AC887" s="68"/>
      <c r="AD887" s="62" t="n">
        <f aca="false">AW887</f>
        <v>5</v>
      </c>
      <c r="AE887" s="62" t="n">
        <f aca="false">MAX(AW887,H887)</f>
        <v>10</v>
      </c>
      <c r="AF887" s="69"/>
      <c r="AG887" s="62" t="n">
        <f aca="false">IF(LEFT(Cockpit!$C$5,1)="A",H887,IF(Parameter!$E$30="MAX-Bestand",IF(CI887=1,CJ887,IF(LEFT(Cockpit!$C$5,1)="B",AM887,MAX(AM887,H887))),ROUNDUP(AK887,0)))</f>
        <v>10</v>
      </c>
      <c r="AH887" s="62" t="n">
        <f aca="false">IF(CA887=1,0,ROUNDUP(AG887/BZ887,0))</f>
        <v>1</v>
      </c>
      <c r="AI887" s="64" t="n">
        <f aca="false">IF(CR887&gt;0,CR887*MAX(1,AG887/X887),IF(CA887=1,IF(AG887&lt;=0,0,CE887*MAX(1,IF(H887&gt;0,AG887/H887,1))),IF(R887&gt;0,AH887/R887,0))/MAX(0.1,N(Parameter!$M$21)))</f>
        <v>0.00357142857142857</v>
      </c>
      <c r="AJ887" s="62" t="n">
        <f aca="false">AI887*CC887</f>
        <v>0.553571428571429</v>
      </c>
      <c r="AK887" s="63" t="n">
        <f aca="false">IF(LEFT(Cockpit!$C$5,1)="A",H887,IF(CI887=1,(CL887+CJ887)/2,IF(LEFT(Cockpit!$C$5,1)="B",(CL887+AM887)/2,MAX((CL887+AM887)/2,H887))))</f>
        <v>10</v>
      </c>
      <c r="AL887" s="62" t="n">
        <f aca="false">AK887*G887</f>
        <v>56.9</v>
      </c>
      <c r="AM887" s="62" t="n">
        <f aca="false">ROUNDUP(CL887+MAX(CM887,2*(J887/IF(CH887&gt;0,CH887,MAX(0.1,N(Cockpit!$C$6)))-CL887)),0)</f>
        <v>5</v>
      </c>
      <c r="AN887" s="63" t="n">
        <f aca="false">IF(AJ887&gt;0,J887/AJ887,-1)</f>
        <v>5.41935483870968</v>
      </c>
      <c r="AO887" s="63" t="n">
        <f aca="false">IF(AND(OR(CG887="L1",CG887="L23",CG887="LIFT"),AJ887&gt;0),SUMIFS($AJ$7:$AJ$1843,$CG$7:$CG$1843,CG887,$AN$7:$AN$1843,"&gt;"&amp;AN887)+SUMIFS($AJ$7:$AJ$1843,$CG$7:$CG$1843,CG887,$AN$7:$AN$1843,AN887,$BX$7:$BX$1843,"&lt;="&amp;BX887),"")</f>
        <v>3716.14194139194</v>
      </c>
      <c r="AP887" s="70" t="n">
        <f aca="false">IF(AO887="",0,MAX(0,MIN(1,(IF(CG887="L1",Parameter!$H$5,IF(CG887="L23",Parameter!$H$6+Parameter!$H$7,Parameter!$H$5+Parameter!$H$6+Parameter!$H$7))-(AO887-AJ887))/AJ887)))</f>
        <v>1</v>
      </c>
      <c r="AQ887" s="62" t="n">
        <f aca="false">IF(LEFT(Cockpit!$I$5,1)="A",H887,IF(Parameter!$E$30="MAX-Bestand",IF(CI887=1,CJ887,IF(LEFT(Cockpit!$I$5,1)="B",AW887,MAX(AW887,H887))),ROUNDUP(AU887,0)))</f>
        <v>10</v>
      </c>
      <c r="AR887" s="62" t="n">
        <f aca="false">IF(CA887=1,0,ROUNDUP(AQ887/BZ887,0))</f>
        <v>1</v>
      </c>
      <c r="AS887" s="64" t="n">
        <f aca="false">IF(CR887&gt;0,CR887*MAX(1,AQ887/X887),IF(CA887=1,IF(AQ887&lt;=0,0,CE887*MAX(1,IF(H887&gt;0,AQ887/H887,1))),IF(R887&gt;0,AR887/R887,0))/MAX(0.1,N(Parameter!$M$21)))</f>
        <v>0.00357142857142857</v>
      </c>
      <c r="AT887" s="62" t="n">
        <f aca="false">AS887*CC887</f>
        <v>0.553571428571429</v>
      </c>
      <c r="AU887" s="63" t="n">
        <f aca="false">IF(LEFT(Cockpit!$I$5,1)="A",H887,IF(CI887=1,(CL887+CJ887)/2,IF(LEFT(Cockpit!$I$5,1)="B",(CL887+AW887)/2,MAX((CL887+AW887)/2,H887))))</f>
        <v>10</v>
      </c>
      <c r="AV887" s="62" t="n">
        <f aca="false">AU887*G887</f>
        <v>56.9</v>
      </c>
      <c r="AW887" s="62" t="n">
        <f aca="false">ROUNDUP(CL887+MAX(CM887,2*(J887/IF(CH887&gt;0,CH887,MAX(0.1,N(Cockpit!$I$6)))-CL887)),0)</f>
        <v>5</v>
      </c>
      <c r="AX887" s="63" t="n">
        <f aca="false">IF(AT887&gt;0,J887/AT887,-1)</f>
        <v>5.41935483870968</v>
      </c>
      <c r="AY887" s="63" t="n">
        <f aca="false">IF(AND(OR(CG887="L1",CG887="L23",CG887="LIFT"),AT887&gt;0),SUMIFS($AT$7:$AT$1843,$CG$7:$CG$1843,CG887,$AX$7:$AX$1843,"&gt;"&amp;AX887)+SUMIFS($AT$7:$AT$1843,$CG$7:$CG$1843,CG887,$AX$7:$AX$1843,AX887,$BX$7:$BX$1843,"&lt;="&amp;BX887),"")</f>
        <v>4369.88278388279</v>
      </c>
      <c r="AZ887" s="70" t="n">
        <f aca="false">IF(AY887="",0,MAX(0,MIN(1,(IF(CG887="L1",Parameter!$H$5,IF(CG887="L23",Parameter!$H$6+Parameter!$H$7,Parameter!$H$5+Parameter!$H$6+Parameter!$H$7))-(AY887-AT887))/AT887)))</f>
        <v>1</v>
      </c>
      <c r="BA887" s="62" t="n">
        <f aca="false">IF(LEFT(Cockpit!$O$5,1)="A",H887,IF(Parameter!$E$30="MAX-Bestand",IF(CI887=1,CJ887,IF(LEFT(Cockpit!$O$5,1)="B",BG887,MAX(BG887,H887))),ROUNDUP(BE887,0)))</f>
        <v>3</v>
      </c>
      <c r="BB887" s="62" t="n">
        <f aca="false">IF(CA887=1,0,ROUNDUP(BA887/BZ887,0))</f>
        <v>1</v>
      </c>
      <c r="BC887" s="64" t="n">
        <f aca="false">IF(CR887&gt;0,CR887*MAX(1,BA887/X887),IF(CA887=1,IF(BA887&lt;=0,0,CE887*MAX(1,IF(H887&gt;0,BA887/H887,1))),IF(R887&gt;0,BB887/R887,0))/MAX(0.1,N(Parameter!$M$21)))</f>
        <v>0.00357142857142857</v>
      </c>
      <c r="BD887" s="62" t="n">
        <f aca="false">BC887*CC887</f>
        <v>0.553571428571429</v>
      </c>
      <c r="BE887" s="63" t="n">
        <f aca="false">IF(LEFT(Cockpit!$O$5,1)="A",H887,IF(CI887=1,(CL887+CJ887)/2,IF(LEFT(Cockpit!$O$5,1)="B",(CL887+BG887)/2,MAX((CL887+BG887)/2,H887))))</f>
        <v>2.5</v>
      </c>
      <c r="BF887" s="62" t="n">
        <f aca="false">BE887*G887</f>
        <v>14.225</v>
      </c>
      <c r="BG887" s="62" t="n">
        <f aca="false">ROUNDUP(CL887+MAX(CM887,2*(J887/IF(CH887&gt;0,CH887,MAX(0.1,N(Cockpit!$O$6)))-CL887)),0)</f>
        <v>5</v>
      </c>
      <c r="BH887" s="63" t="n">
        <f aca="false">IF(BD887&gt;0,J887/BD887,-1)</f>
        <v>5.41935483870968</v>
      </c>
      <c r="BI887" s="63" t="n">
        <f aca="false">IF(AND(OR(CG887="L1",CG887="L23",CG887="LIFT"),BD887&gt;0),SUMIFS($BD$7:$BD$1843,$CG$7:$CG$1843,CG887,$BH$7:$BH$1843,"&gt;"&amp;BH887)+SUMIFS($BD$7:$BD$1843,$CG$7:$CG$1843,CG887,$BH$7:$BH$1843,BH887,$BX$7:$BX$1843,"&lt;="&amp;BX887),"")</f>
        <v>3684.40476190476</v>
      </c>
      <c r="BJ887" s="70" t="n">
        <f aca="false">IF(BI887="",0,MAX(0,MIN(1,(IF(CG887="L1",Parameter!$H$5,IF(CG887="L23",Parameter!$H$6+Parameter!$H$7,Parameter!$H$5+Parameter!$H$6+Parameter!$H$7))-(BI887-BD887))/BD887)))</f>
        <v>1</v>
      </c>
      <c r="BK887" s="60" t="str">
        <f aca="false">IF(AJ887&lt;=0,"",IF(CG887="Aussen","Aussenlager",IF(CG887="-","Nicht im Lift",IF(AP887&gt;=1,"Lift",IF(AP887&lt;=0,"Aussenlager","teilweise")))))</f>
        <v>Lift</v>
      </c>
      <c r="BL887" s="60" t="str">
        <f aca="false">IF(AT887&lt;=0,"",IF(CG887="Aussen","Aussenlager",IF(CG887="-","Nicht im Lift",IF(AZ887&gt;=1,"Lift",IF(AZ887&lt;=0,"Aussenlager","teilweise")))))</f>
        <v>Lift</v>
      </c>
      <c r="BM887" s="60" t="str">
        <f aca="false">IF(BD887&lt;=0,"",IF(CG887="Aussen","Aussenlager",IF(CG887="-","Nicht im Lift",IF(BJ887&gt;=1,"Lift",IF(BJ887&lt;=0,"Aussenlager","teilweise")))))</f>
        <v>Lift</v>
      </c>
      <c r="BN887" s="60" t="str">
        <f aca="false">IF(A887="","",IF(BW887=1,"Neu; ","")&amp;IF(AND(BW887=0,BR887&lt;0),"negativer Bestand (Export "&amp;BR887&amp;"); ","")&amp;IF(J887&lt;=0,"Kein Verbrauch; ","")&amp;IF(CR887&gt;0,"Lift "&amp;W887&amp;" lt. Liftbericht (Fach "&amp;X887&amp;" Stk); ",IF(CB887=1,"Gebinde geschätzt ("&amp;T887&amp;"); ",IF(CA887=1,"Lose – Tablare geschätzt; ","")))&amp;IF(H887&gt;AW887,"Überbestand "&amp;ROUND(H887-AW887,0)&amp;" Stk / CHF "&amp;ROUND((H887-AW887)*G887,0)&amp;"; ","")&amp;IF(AND(CI887=1,CJ887&lt;CK887),"MAX &lt; MB+LG; ","")&amp;IF(AND(CQ887&gt;0,CP887*10&gt;CQ887),"zu hoch für Tablar; ","")&amp;IF(AND(BW887=0,OR(CI887=1,AB887&lt;&gt;"",U887&lt;&gt;"",V887&lt;&gt;"",AC887&lt;&gt;"")),"manuell übersteuert; ","")&amp;IF(AND(CA887=0,R887=0),"Gebinde unbekannt / Stellmass fehlt; ","")&amp;IF(AND(CA887=0,N(V887)&lt;=0,N(Q887)&lt;=0),"Menge pro Gebinde fehlt (Ist = 1 Gebinde); ","")&amp;BV887)</f>
        <v>negativer Bestand (Export -5); Überbestand 5 Stk / CHF 28; </v>
      </c>
      <c r="BO887" s="60"/>
      <c r="BP887" s="60"/>
      <c r="BQ887" s="67"/>
      <c r="BR887" s="62" t="n">
        <v>-5</v>
      </c>
      <c r="BS887" s="62" t="n">
        <v>15</v>
      </c>
      <c r="BT887" s="61" t="n">
        <v>-28.45</v>
      </c>
      <c r="BU887" s="62" t="n">
        <v>3</v>
      </c>
      <c r="BV887" s="60"/>
      <c r="BW887" s="65" t="n">
        <v>0</v>
      </c>
      <c r="BX887" s="65" t="n">
        <v>887</v>
      </c>
      <c r="BY887" s="60" t="str">
        <f aca="false">IF(U887&lt;&gt;"",UPPER(TRIM(U887)),IF(CB887=1,UPPER(VLOOKUP(T887,Parameter!$I$27:$K$29,2,0)),IF(P887="","LOSE",P887)))</f>
        <v>S21</v>
      </c>
      <c r="BZ887" s="62" t="n">
        <f aca="false">IF(BY887="LOSE",1,IF(N(V887)&gt;0,V887,IF(CB887=1,MAX(1,N(VLOOKUP(T887,Parameter!$I$27:$K$29,3,0)),H887,N(N887)),IF(N(Q887)&gt;0,Q887,MAX(1,H887)))))</f>
        <v>50</v>
      </c>
      <c r="CA887" s="65" t="n">
        <f aca="false">IF(BY887="LOSE",1,0)</f>
        <v>0</v>
      </c>
      <c r="CB887" s="65" t="n">
        <f aca="false">IF(AND(U887="",OR(P887="",P887="LOSE"),T887&lt;&gt;"",N(S887)&lt;=0,ISNUMBER(MATCH(T887,Parameter!$I$27:$I$29,0))),1,0)</f>
        <v>0</v>
      </c>
      <c r="CC887" s="65" t="n">
        <f aca="false">IF(CR887&gt;0,INDEX(Parameter!$H$5:$H$7,W887)/INDEX(Parameter!$E$5:$E$7,W887),IF(AND(CA887=0,N(IFERROR(VLOOKUP(BY887,'Gebinde-Kategorie'!$A$5:$N$45,14,0),0))&gt;0),VLOOKUP(BY887,'Gebinde-Kategorie'!$A$5:$N$45,14,0)*10+Parameter!$M$23,Parameter!$M$24))</f>
        <v>155</v>
      </c>
      <c r="CD887" s="60" t="str">
        <f aca="false">IF(AND(Parameter!$B$19="Ja",E887&lt;&gt;"",ISNUMBER(MATCH(E887,Parameter!$I$35:$I$52,0))),VLOOKUP(E887,Parameter!$I$35:$J$52,2,0),IFERROR(VLOOKUP(D887,Parameter!$A$35:$C$64,2,0),"Nein"))</f>
        <v>2+3</v>
      </c>
      <c r="CE887" s="64" t="n">
        <f aca="false">IF(CA887=0,0,IF(N(S887)&gt;0,S887,IFERROR(VLOOKUP(D887,Parameter!$A$35:$C$64,3,0)+0,0)))</f>
        <v>0</v>
      </c>
      <c r="CF887" s="60" t="n">
        <f aca="false">IF(AB887&lt;&gt;"",AB887,AA887)</f>
        <v>2</v>
      </c>
      <c r="CG887" s="60" t="str">
        <f aca="false">IF(OR(CF887=1,CF887=2,CF887=3),IF(Parameter!$E$27="Ja","LIFT",IF(CF887=1,"L1","L23")),IF(CF887="Aussen","Aussen","-"))</f>
        <v>LIFT</v>
      </c>
      <c r="CH887" s="71" t="n">
        <f aca="false">IF(N(AC887)&gt;0,AC887,0)</f>
        <v>0</v>
      </c>
      <c r="CI887" s="65" t="n">
        <f aca="false">IF(ISNUMBER(AF887),1,0)</f>
        <v>0</v>
      </c>
      <c r="CJ887" s="62" t="n">
        <f aca="false">N(AF887)</f>
        <v>0</v>
      </c>
      <c r="CK887" s="62" t="n">
        <f aca="false">N(M887)+N(N887)</f>
        <v>5</v>
      </c>
      <c r="CL887" s="62" t="n">
        <f aca="false">N(M887)</f>
        <v>0</v>
      </c>
      <c r="CM887" s="62" t="n">
        <f aca="false">N(N887)</f>
        <v>5</v>
      </c>
      <c r="CN887" s="62" t="n">
        <f aca="false">ROUNDUP(H887/BZ887,0)</f>
        <v>1</v>
      </c>
      <c r="CO887" s="62" t="n">
        <f aca="false">ROUNDUP(CJ887/BZ887,0)</f>
        <v>0</v>
      </c>
      <c r="CP887" s="65" t="n">
        <f aca="false">IF(CA887=1,0,IFERROR(VLOOKUP(BY887,'Gebinde-Kategorie'!$A$5:$N$45,5,0)+0,0))</f>
        <v>8</v>
      </c>
      <c r="CQ887" s="65" t="n">
        <f aca="false">IFERROR(IF(OR(CF887=1,CF887=2,CF887=3),N(INDEX(Parameter!$I$5:$I$7,CF887)),0),0)</f>
        <v>0</v>
      </c>
      <c r="CR887" s="64" t="n">
        <f aca="false">IF(AND(Parameter!$B$21="Ja",ISNUMBER(W887),N(X887)&gt;0),IFERROR(N(INDEX(Parameter!$L$5:$L$7,W887))*INDEX(Parameter!$E$5:$E$7,W887)*X887/SUMIFS($X$7:$X$1843,$W$7:$W$1843,W887),0),0)</f>
        <v>0</v>
      </c>
      <c r="CS887" s="62" t="n">
        <f aca="false">IF(AND(OR(CG887="L1",CG887="L23",CG887="LIFT"),H887&gt;0),CC887*IF(CR887&gt;0,CR887*MAX(1,H887/X887),IF(CA887=1,CE887,IF(R887&gt;0,CN887/R887,0))/MAX(0.1,N(Parameter!$M$21))),"")</f>
        <v>0.553571428571429</v>
      </c>
      <c r="CT887" s="64" t="n">
        <f aca="false">IF(CS887="","",J887/H887)</f>
        <v>0.3</v>
      </c>
      <c r="CU887" s="62" t="n">
        <f aca="false">IF(CS887="","",H887*G887)</f>
        <v>56.9</v>
      </c>
      <c r="CV887" s="63" t="n">
        <f aca="false">IF(CS887="","",(CL887+ROUNDUP(CL887+MAX(CM887,2*(J887/MAX(0.1,N(Einkauf!$C$6))-CL887)),0))/2)</f>
        <v>2.5</v>
      </c>
      <c r="CW887" s="62" t="n">
        <f aca="false">IF(CS887="","",MAX(0,H887-CV887)*G887)</f>
        <v>42.675</v>
      </c>
      <c r="CX887" s="62" t="n">
        <f aca="false">IF(CS887="","",CS887*MAX(0,1-CV887/H887))</f>
        <v>0.415178571428571</v>
      </c>
      <c r="CY887" s="64" t="n">
        <f aca="false">IF(CS887="","",PERCENTRANK($CS$7:$CS$1843,CS887)+PERCENTRANK($CU$7:$CU$1843,CU887)+1-PERCENTRANK($CT$7:$CT$1843,CT887))</f>
        <v>0.664</v>
      </c>
      <c r="CZ887" s="72" t="n">
        <f aca="false">IF(CS887="","",CHOOSE(MATCH(Einkauf!$C$5,Parameter!$G$23:$G$27,0),CY887,CS887,CU887,-CT887,CW887)+ROW()/1000000000)</f>
        <v>0.664000887</v>
      </c>
    </row>
    <row r="888" customFormat="false" ht="15" hidden="false" customHeight="false" outlineLevel="0" collapsed="false">
      <c r="A888" s="60" t="s">
        <v>1718</v>
      </c>
      <c r="B888" s="60" t="s">
        <v>1719</v>
      </c>
      <c r="C888" s="60" t="s">
        <v>206</v>
      </c>
      <c r="D888" s="60" t="s">
        <v>226</v>
      </c>
      <c r="E888" s="60"/>
      <c r="F888" s="60" t="s">
        <v>260</v>
      </c>
      <c r="G888" s="61" t="n">
        <v>14.44</v>
      </c>
      <c r="H888" s="62" t="n">
        <f aca="false">MAX(0,IF(AND(Parameter!$B$21="Ja",ISNUMBER(Y888)),Y888,IF(Parameter!$B$20="Jahresanfang 2025 + Export",BS888+BR888,BR888)))</f>
        <v>0</v>
      </c>
      <c r="I888" s="62" t="n">
        <f aca="false">H888*G888</f>
        <v>0</v>
      </c>
      <c r="J888" s="62" t="n">
        <f aca="false">BU888*Parameter!$B$18</f>
        <v>0</v>
      </c>
      <c r="K888" s="63" t="n">
        <v>2</v>
      </c>
      <c r="L888" s="64" t="n">
        <v>0</v>
      </c>
      <c r="M888" s="62" t="n">
        <v>0</v>
      </c>
      <c r="N888" s="62" t="n">
        <v>1</v>
      </c>
      <c r="O888" s="65" t="n">
        <v>14</v>
      </c>
      <c r="P888" s="60" t="s">
        <v>210</v>
      </c>
      <c r="Q888" s="62"/>
      <c r="R888" s="65" t="n">
        <f aca="false">IF(CA888=1,0,IFERROR(VLOOKUP(BY888,'Gebinde-Kategorie'!$A$5:$N$45,13,0)+0,0))</f>
        <v>26</v>
      </c>
      <c r="S888" s="66"/>
      <c r="T888" s="67" t="s">
        <v>317</v>
      </c>
      <c r="U888" s="67"/>
      <c r="V888" s="67"/>
      <c r="W888" s="60"/>
      <c r="X888" s="62"/>
      <c r="Y888" s="62"/>
      <c r="Z888" s="60" t="n">
        <v>3</v>
      </c>
      <c r="AA888" s="60" t="n">
        <f aca="false">IF(A888="","",IF(AND(Parameter!$B$21="Ja",ISNUMBER(W888)),W888,IF(AND(Parameter!$E$27="Ja",ISNUMBER(Z888),CD888&lt;&gt;"Nein"),Z888,IF(CD888="2+3",IF(ISNUMBER(SEARCH("grosser Artikel",BV888)),2,IFERROR(VLOOKUP(BY888,Parameter!$F$35:$G$64,2,0),2)),IF(OR(CD888="Nein",CD888=""),"-",CD888)))))</f>
        <v>3</v>
      </c>
      <c r="AB888" s="67"/>
      <c r="AC888" s="68"/>
      <c r="AD888" s="62" t="n">
        <f aca="false">AW888</f>
        <v>1</v>
      </c>
      <c r="AE888" s="62" t="n">
        <f aca="false">MAX(AW888,H888)</f>
        <v>1</v>
      </c>
      <c r="AF888" s="69"/>
      <c r="AG888" s="62" t="n">
        <f aca="false">IF(LEFT(Cockpit!$C$5,1)="A",H888,IF(Parameter!$E$30="MAX-Bestand",IF(CI888=1,CJ888,IF(LEFT(Cockpit!$C$5,1)="B",AM888,MAX(AM888,H888))),ROUNDUP(AK888,0)))</f>
        <v>0</v>
      </c>
      <c r="AH888" s="62" t="n">
        <f aca="false">IF(CA888=1,0,ROUNDUP(AG888/BZ888,0))</f>
        <v>0</v>
      </c>
      <c r="AI888" s="64" t="n">
        <f aca="false">IF(CR888&gt;0,CR888*MAX(1,AG888/X888),IF(CA888=1,IF(AG888&lt;=0,0,CE888*MAX(1,IF(H888&gt;0,AG888/H888,1))),IF(R888&gt;0,AH888/R888,0))/MAX(0.1,N(Parameter!$M$21)))</f>
        <v>0</v>
      </c>
      <c r="AJ888" s="62" t="n">
        <f aca="false">AI888*CC888</f>
        <v>0</v>
      </c>
      <c r="AK888" s="63" t="n">
        <f aca="false">IF(LEFT(Cockpit!$C$5,1)="A",H888,IF(CI888=1,(CL888+CJ888)/2,IF(LEFT(Cockpit!$C$5,1)="B",(CL888+AM888)/2,MAX((CL888+AM888)/2,H888))))</f>
        <v>0</v>
      </c>
      <c r="AL888" s="62" t="n">
        <f aca="false">AK888*G888</f>
        <v>0</v>
      </c>
      <c r="AM888" s="62" t="n">
        <f aca="false">ROUNDUP(CL888+MAX(CM888,2*(J888/IF(CH888&gt;0,CH888,MAX(0.1,N(Cockpit!$C$6)))-CL888)),0)</f>
        <v>1</v>
      </c>
      <c r="AN888" s="63" t="n">
        <f aca="false">IF(AJ888&gt;0,J888/AJ888,-1)</f>
        <v>-1</v>
      </c>
      <c r="AO888" s="63" t="str">
        <f aca="false">IF(AND(OR(CG888="L1",CG888="L23",CG888="LIFT"),AJ888&gt;0),SUMIFS($AJ$7:$AJ$1843,$CG$7:$CG$1843,CG888,$AN$7:$AN$1843,"&gt;"&amp;AN888)+SUMIFS($AJ$7:$AJ$1843,$CG$7:$CG$1843,CG888,$AN$7:$AN$1843,AN888,$BX$7:$BX$1843,"&lt;="&amp;BX888),"")</f>
        <v/>
      </c>
      <c r="AP888" s="70" t="n">
        <f aca="false">IF(AO888="",0,MAX(0,MIN(1,(IF(CG888="L1",Parameter!$H$5,IF(CG888="L23",Parameter!$H$6+Parameter!$H$7,Parameter!$H$5+Parameter!$H$6+Parameter!$H$7))-(AO888-AJ888))/AJ888)))</f>
        <v>0</v>
      </c>
      <c r="AQ888" s="62" t="n">
        <f aca="false">IF(LEFT(Cockpit!$I$5,1)="A",H888,IF(Parameter!$E$30="MAX-Bestand",IF(CI888=1,CJ888,IF(LEFT(Cockpit!$I$5,1)="B",AW888,MAX(AW888,H888))),ROUNDUP(AU888,0)))</f>
        <v>1</v>
      </c>
      <c r="AR888" s="62" t="n">
        <f aca="false">IF(CA888=1,0,ROUNDUP(AQ888/BZ888,0))</f>
        <v>1</v>
      </c>
      <c r="AS888" s="64" t="n">
        <f aca="false">IF(CR888&gt;0,CR888*MAX(1,AQ888/X888),IF(CA888=1,IF(AQ888&lt;=0,0,CE888*MAX(1,IF(H888&gt;0,AQ888/H888,1))),IF(R888&gt;0,AR888/R888,0))/MAX(0.1,N(Parameter!$M$21)))</f>
        <v>0.0384615384615385</v>
      </c>
      <c r="AT888" s="62" t="n">
        <f aca="false">AS888*CC888</f>
        <v>5.96153846153846</v>
      </c>
      <c r="AU888" s="63" t="n">
        <f aca="false">IF(LEFT(Cockpit!$I$5,1)="A",H888,IF(CI888=1,(CL888+CJ888)/2,IF(LEFT(Cockpit!$I$5,1)="B",(CL888+AW888)/2,MAX((CL888+AW888)/2,H888))))</f>
        <v>0.5</v>
      </c>
      <c r="AV888" s="62" t="n">
        <f aca="false">AU888*G888</f>
        <v>7.22</v>
      </c>
      <c r="AW888" s="62" t="n">
        <f aca="false">ROUNDUP(CL888+MAX(CM888,2*(J888/IF(CH888&gt;0,CH888,MAX(0.1,N(Cockpit!$I$6)))-CL888)),0)</f>
        <v>1</v>
      </c>
      <c r="AX888" s="63" t="n">
        <f aca="false">IF(AT888&gt;0,J888/AT888,-1)</f>
        <v>0</v>
      </c>
      <c r="AY888" s="63" t="n">
        <f aca="false">IF(AND(OR(CG888="L1",CG888="L23",CG888="LIFT"),AT888&gt;0),SUMIFS($AT$7:$AT$1843,$CG$7:$CG$1843,CG888,$AX$7:$AX$1843,"&gt;"&amp;AX888)+SUMIFS($AT$7:$AT$1843,$CG$7:$CG$1843,CG888,$AX$7:$AX$1843,AX888,$BX$7:$BX$1843,"&lt;="&amp;BX888),"")</f>
        <v>34438.8731684982</v>
      </c>
      <c r="AZ888" s="70" t="n">
        <f aca="false">IF(AY888="",0,MAX(0,MIN(1,(IF(CG888="L1",Parameter!$H$5,IF(CG888="L23",Parameter!$H$6+Parameter!$H$7,Parameter!$H$5+Parameter!$H$6+Parameter!$H$7))-(AY888-AT888))/AT888)))</f>
        <v>1</v>
      </c>
      <c r="BA888" s="62" t="n">
        <f aca="false">IF(LEFT(Cockpit!$O$5,1)="A",H888,IF(Parameter!$E$30="MAX-Bestand",IF(CI888=1,CJ888,IF(LEFT(Cockpit!$O$5,1)="B",BG888,MAX(BG888,H888))),ROUNDUP(BE888,0)))</f>
        <v>1</v>
      </c>
      <c r="BB888" s="62" t="n">
        <f aca="false">IF(CA888=1,0,ROUNDUP(BA888/BZ888,0))</f>
        <v>1</v>
      </c>
      <c r="BC888" s="64" t="n">
        <f aca="false">IF(CR888&gt;0,CR888*MAX(1,BA888/X888),IF(CA888=1,IF(BA888&lt;=0,0,CE888*MAX(1,IF(H888&gt;0,BA888/H888,1))),IF(R888&gt;0,BB888/R888,0))/MAX(0.1,N(Parameter!$M$21)))</f>
        <v>0.0384615384615385</v>
      </c>
      <c r="BD888" s="62" t="n">
        <f aca="false">BC888*CC888</f>
        <v>5.96153846153846</v>
      </c>
      <c r="BE888" s="63" t="n">
        <f aca="false">IF(LEFT(Cockpit!$O$5,1)="A",H888,IF(CI888=1,(CL888+CJ888)/2,IF(LEFT(Cockpit!$O$5,1)="B",(CL888+BG888)/2,MAX((CL888+BG888)/2,H888))))</f>
        <v>0.5</v>
      </c>
      <c r="BF888" s="62" t="n">
        <f aca="false">BE888*G888</f>
        <v>7.22</v>
      </c>
      <c r="BG888" s="62" t="n">
        <f aca="false">ROUNDUP(CL888+MAX(CM888,2*(J888/IF(CH888&gt;0,CH888,MAX(0.1,N(Cockpit!$O$6)))-CL888)),0)</f>
        <v>1</v>
      </c>
      <c r="BH888" s="63" t="n">
        <f aca="false">IF(BD888&gt;0,J888/BD888,-1)</f>
        <v>0</v>
      </c>
      <c r="BI888" s="63" t="n">
        <f aca="false">IF(AND(OR(CG888="L1",CG888="L23",CG888="LIFT"),BD888&gt;0),SUMIFS($BD$7:$BD$1843,$CG$7:$CG$1843,CG888,$BH$7:$BH$1843,"&gt;"&amp;BH888)+SUMIFS($BD$7:$BD$1843,$CG$7:$CG$1843,CG888,$BH$7:$BH$1843,BH888,$BX$7:$BX$1843,"&lt;="&amp;BX888),"")</f>
        <v>28478.6551033712</v>
      </c>
      <c r="BJ888" s="70" t="n">
        <f aca="false">IF(BI888="",0,MAX(0,MIN(1,(IF(CG888="L1",Parameter!$H$5,IF(CG888="L23",Parameter!$H$6+Parameter!$H$7,Parameter!$H$5+Parameter!$H$6+Parameter!$H$7))-(BI888-BD888))/BD888)))</f>
        <v>1</v>
      </c>
      <c r="BK888" s="60" t="str">
        <f aca="false">IF(AJ888&lt;=0,"",IF(CG888="Aussen","Aussenlager",IF(CG888="-","Nicht im Lift",IF(AP888&gt;=1,"Lift",IF(AP888&lt;=0,"Aussenlager","teilweise")))))</f>
        <v/>
      </c>
      <c r="BL888" s="60" t="str">
        <f aca="false">IF(AT888&lt;=0,"",IF(CG888="Aussen","Aussenlager",IF(CG888="-","Nicht im Lift",IF(AZ888&gt;=1,"Lift",IF(AZ888&lt;=0,"Aussenlager","teilweise")))))</f>
        <v>Lift</v>
      </c>
      <c r="BM888" s="60" t="str">
        <f aca="false">IF(BD888&lt;=0,"",IF(CG888="Aussen","Aussenlager",IF(CG888="-","Nicht im Lift",IF(BJ888&gt;=1,"Lift",IF(BJ888&lt;=0,"Aussenlager","teilweise")))))</f>
        <v>Lift</v>
      </c>
      <c r="BN888" s="60" t="str">
        <f aca="false">IF(A888="","",IF(BW888=1,"Neu; ","")&amp;IF(AND(BW888=0,BR888&lt;0),"negativer Bestand (Export "&amp;BR888&amp;"); ","")&amp;IF(J888&lt;=0,"Kein Verbrauch; ","")&amp;IF(CR888&gt;0,"Lift "&amp;W888&amp;" lt. Liftbericht (Fach "&amp;X888&amp;" Stk); ",IF(CB888=1,"Gebinde geschätzt ("&amp;T888&amp;"); ",IF(CA888=1,"Lose – Tablare geschätzt; ","")))&amp;IF(H888&gt;AW888,"Überbestand "&amp;ROUND(H888-AW888,0)&amp;" Stk / CHF "&amp;ROUND((H888-AW888)*G888,0)&amp;"; ","")&amp;IF(AND(CI888=1,CJ888&lt;CK888),"MAX &lt; MB+LG; ","")&amp;IF(AND(CQ888&gt;0,CP888*10&gt;CQ888),"zu hoch für Tablar; ","")&amp;IF(AND(BW888=0,OR(CI888=1,AB888&lt;&gt;"",U888&lt;&gt;"",V888&lt;&gt;"",AC888&lt;&gt;"")),"manuell übersteuert; ","")&amp;IF(AND(CA888=0,R888=0),"Gebinde unbekannt / Stellmass fehlt; ","")&amp;IF(AND(CA888=0,N(V888)&lt;=0,N(Q888)&lt;=0),"Menge pro Gebinde fehlt (Ist = 1 Gebinde); ","")&amp;BV888)</f>
        <v>negativer Bestand (Export -2); Kein Verbrauch; Gebinde geschätzt (Klein); Menge pro Gebinde fehlt (Ist = 1 Gebinde); </v>
      </c>
      <c r="BO888" s="60"/>
      <c r="BP888" s="60"/>
      <c r="BQ888" s="67"/>
      <c r="BR888" s="62" t="n">
        <v>-2</v>
      </c>
      <c r="BS888" s="62" t="n">
        <v>2</v>
      </c>
      <c r="BT888" s="61" t="n">
        <v>-28.88</v>
      </c>
      <c r="BU888" s="62" t="n">
        <v>0</v>
      </c>
      <c r="BV888" s="60"/>
      <c r="BW888" s="65" t="n">
        <v>0</v>
      </c>
      <c r="BX888" s="65" t="n">
        <v>888</v>
      </c>
      <c r="BY888" s="60" t="str">
        <f aca="false">IF(U888&lt;&gt;"",UPPER(TRIM(U888)),IF(CB888=1,UPPER(VLOOKUP(T888,Parameter!$I$27:$K$29,2,0)),IF(P888="","LOSE",P888)))</f>
        <v>S51</v>
      </c>
      <c r="BZ888" s="62" t="n">
        <f aca="false">IF(BY888="LOSE",1,IF(N(V888)&gt;0,V888,IF(CB888=1,MAX(1,N(VLOOKUP(T888,Parameter!$I$27:$K$29,3,0)),H888,N(N888)),IF(N(Q888)&gt;0,Q888,MAX(1,H888)))))</f>
        <v>20</v>
      </c>
      <c r="CA888" s="65" t="n">
        <f aca="false">IF(BY888="LOSE",1,0)</f>
        <v>0</v>
      </c>
      <c r="CB888" s="65" t="n">
        <f aca="false">IF(AND(U888="",OR(P888="",P888="LOSE"),T888&lt;&gt;"",N(S888)&lt;=0,ISNUMBER(MATCH(T888,Parameter!$I$27:$I$29,0))),1,0)</f>
        <v>1</v>
      </c>
      <c r="CC888" s="65" t="n">
        <f aca="false">IF(CR888&gt;0,INDEX(Parameter!$H$5:$H$7,W888)/INDEX(Parameter!$E$5:$E$7,W888),IF(AND(CA888=0,N(IFERROR(VLOOKUP(BY888,'Gebinde-Kategorie'!$A$5:$N$45,14,0),0))&gt;0),VLOOKUP(BY888,'Gebinde-Kategorie'!$A$5:$N$45,14,0)*10+Parameter!$M$23,Parameter!$M$24))</f>
        <v>155</v>
      </c>
      <c r="CD888" s="60" t="str">
        <f aca="false">IF(AND(Parameter!$B$19="Ja",E888&lt;&gt;"",ISNUMBER(MATCH(E888,Parameter!$I$35:$I$52,0))),VLOOKUP(E888,Parameter!$I$35:$J$52,2,0),IFERROR(VLOOKUP(D888,Parameter!$A$35:$C$64,2,0),"Nein"))</f>
        <v>2+3</v>
      </c>
      <c r="CE888" s="64" t="n">
        <f aca="false">IF(CA888=0,0,IF(N(S888)&gt;0,S888,IFERROR(VLOOKUP(D888,Parameter!$A$35:$C$64,3,0)+0,0)))</f>
        <v>0</v>
      </c>
      <c r="CF888" s="60" t="n">
        <f aca="false">IF(AB888&lt;&gt;"",AB888,AA888)</f>
        <v>3</v>
      </c>
      <c r="CG888" s="60" t="str">
        <f aca="false">IF(OR(CF888=1,CF888=2,CF888=3),IF(Parameter!$E$27="Ja","LIFT",IF(CF888=1,"L1","L23")),IF(CF888="Aussen","Aussen","-"))</f>
        <v>LIFT</v>
      </c>
      <c r="CH888" s="71" t="n">
        <f aca="false">IF(N(AC888)&gt;0,AC888,0)</f>
        <v>0</v>
      </c>
      <c r="CI888" s="65" t="n">
        <f aca="false">IF(ISNUMBER(AF888),1,0)</f>
        <v>0</v>
      </c>
      <c r="CJ888" s="62" t="n">
        <f aca="false">N(AF888)</f>
        <v>0</v>
      </c>
      <c r="CK888" s="62" t="n">
        <f aca="false">N(M888)+N(N888)</f>
        <v>1</v>
      </c>
      <c r="CL888" s="62" t="n">
        <f aca="false">N(M888)</f>
        <v>0</v>
      </c>
      <c r="CM888" s="62" t="n">
        <f aca="false">N(N888)</f>
        <v>1</v>
      </c>
      <c r="CN888" s="62" t="n">
        <f aca="false">ROUNDUP(H888/BZ888,0)</f>
        <v>0</v>
      </c>
      <c r="CO888" s="62" t="n">
        <f aca="false">ROUNDUP(CJ888/BZ888,0)</f>
        <v>0</v>
      </c>
      <c r="CP888" s="65" t="n">
        <f aca="false">IF(CA888=1,0,IFERROR(VLOOKUP(BY888,'Gebinde-Kategorie'!$A$5:$N$45,5,0)+0,0))</f>
        <v>11</v>
      </c>
      <c r="CQ888" s="65" t="n">
        <f aca="false">IFERROR(IF(OR(CF888=1,CF888=2,CF888=3),N(INDEX(Parameter!$I$5:$I$7,CF888)),0),0)</f>
        <v>0</v>
      </c>
      <c r="CR888" s="64" t="n">
        <f aca="false">IF(AND(Parameter!$B$21="Ja",ISNUMBER(W888),N(X888)&gt;0),IFERROR(N(INDEX(Parameter!$L$5:$L$7,W888))*INDEX(Parameter!$E$5:$E$7,W888)*X888/SUMIFS($X$7:$X$1843,$W$7:$W$1843,W888),0),0)</f>
        <v>0</v>
      </c>
      <c r="CS888" s="62" t="str">
        <f aca="false">IF(AND(OR(CG888="L1",CG888="L23",CG888="LIFT"),H888&gt;0),CC888*IF(CR888&gt;0,CR888*MAX(1,H888/X888),IF(CA888=1,CE888,IF(R888&gt;0,CN888/R888,0))/MAX(0.1,N(Parameter!$M$21))),"")</f>
        <v/>
      </c>
      <c r="CT888" s="64" t="str">
        <f aca="false">IF(CS888="","",J888/H888)</f>
        <v/>
      </c>
      <c r="CU888" s="62" t="str">
        <f aca="false">IF(CS888="","",H888*G888)</f>
        <v/>
      </c>
      <c r="CV888" s="63" t="str">
        <f aca="false">IF(CS888="","",(CL888+ROUNDUP(CL888+MAX(CM888,2*(J888/MAX(0.1,N(Einkauf!$C$6))-CL888)),0))/2)</f>
        <v/>
      </c>
      <c r="CW888" s="62" t="str">
        <f aca="false">IF(CS888="","",MAX(0,H888-CV888)*G888)</f>
        <v/>
      </c>
      <c r="CX888" s="62" t="str">
        <f aca="false">IF(CS888="","",CS888*MAX(0,1-CV888/H888))</f>
        <v/>
      </c>
      <c r="CY888" s="64" t="str">
        <f aca="false">IF(CS888="","",PERCENTRANK($CS$7:$CS$1843,CS888)+PERCENTRANK($CU$7:$CU$1843,CU888)+1-PERCENTRANK($CT$7:$CT$1843,CT888))</f>
        <v/>
      </c>
      <c r="CZ888" s="72" t="str">
        <f aca="false">IF(CS888="","",CHOOSE(MATCH(Einkauf!$C$5,Parameter!$G$23:$G$27,0),CY888,CS888,CU888,-CT888,CW888)+ROW()/1000000000)</f>
        <v/>
      </c>
    </row>
    <row r="889" customFormat="false" ht="15" hidden="false" customHeight="false" outlineLevel="0" collapsed="false">
      <c r="A889" s="60" t="s">
        <v>1720</v>
      </c>
      <c r="B889" s="60" t="s">
        <v>1721</v>
      </c>
      <c r="C889" s="60" t="s">
        <v>206</v>
      </c>
      <c r="D889" s="60" t="s">
        <v>226</v>
      </c>
      <c r="E889" s="60" t="s">
        <v>227</v>
      </c>
      <c r="F889" s="60" t="s">
        <v>260</v>
      </c>
      <c r="G889" s="61" t="n">
        <v>14.5</v>
      </c>
      <c r="H889" s="62" t="n">
        <f aca="false">MAX(0,IF(AND(Parameter!$B$21="Ja",ISNUMBER(Y889)),Y889,IF(Parameter!$B$20="Jahresanfang 2025 + Export",BS889+BR889,BR889)))</f>
        <v>53</v>
      </c>
      <c r="I889" s="62" t="n">
        <f aca="false">H889*G889</f>
        <v>768.5</v>
      </c>
      <c r="J889" s="62" t="n">
        <f aca="false">BU889*Parameter!$B$18</f>
        <v>0</v>
      </c>
      <c r="K889" s="63" t="n">
        <v>54</v>
      </c>
      <c r="L889" s="64" t="n">
        <v>0</v>
      </c>
      <c r="M889" s="62" t="n">
        <v>0</v>
      </c>
      <c r="N889" s="62" t="n">
        <v>1</v>
      </c>
      <c r="O889" s="65" t="n">
        <v>28</v>
      </c>
      <c r="P889" s="60" t="s">
        <v>468</v>
      </c>
      <c r="Q889" s="62" t="n">
        <v>22</v>
      </c>
      <c r="R889" s="65" t="n">
        <f aca="false">IF(CA889=1,0,IFERROR(VLOOKUP(BY889,'Gebinde-Kategorie'!$A$5:$N$45,13,0)+0,0))</f>
        <v>140</v>
      </c>
      <c r="S889" s="66"/>
      <c r="T889" s="67"/>
      <c r="U889" s="67"/>
      <c r="V889" s="67"/>
      <c r="W889" s="60"/>
      <c r="X889" s="62"/>
      <c r="Y889" s="62"/>
      <c r="Z889" s="60" t="n">
        <v>3</v>
      </c>
      <c r="AA889" s="60" t="n">
        <f aca="false">IF(A889="","",IF(AND(Parameter!$B$21="Ja",ISNUMBER(W889)),W889,IF(AND(Parameter!$E$27="Ja",ISNUMBER(Z889),CD889&lt;&gt;"Nein"),Z889,IF(CD889="2+3",IF(ISNUMBER(SEARCH("grosser Artikel",BV889)),2,IFERROR(VLOOKUP(BY889,Parameter!$F$35:$G$64,2,0),2)),IF(OR(CD889="Nein",CD889=""),"-",CD889)))))</f>
        <v>3</v>
      </c>
      <c r="AB889" s="67"/>
      <c r="AC889" s="68"/>
      <c r="AD889" s="62" t="n">
        <f aca="false">AW889</f>
        <v>1</v>
      </c>
      <c r="AE889" s="62" t="n">
        <f aca="false">MAX(AW889,H889)</f>
        <v>53</v>
      </c>
      <c r="AF889" s="69"/>
      <c r="AG889" s="62" t="n">
        <f aca="false">IF(LEFT(Cockpit!$C$5,1)="A",H889,IF(Parameter!$E$30="MAX-Bestand",IF(CI889=1,CJ889,IF(LEFT(Cockpit!$C$5,1)="B",AM889,MAX(AM889,H889))),ROUNDUP(AK889,0)))</f>
        <v>53</v>
      </c>
      <c r="AH889" s="62" t="n">
        <f aca="false">IF(CA889=1,0,ROUNDUP(AG889/BZ889,0))</f>
        <v>3</v>
      </c>
      <c r="AI889" s="64" t="n">
        <f aca="false">IF(CR889&gt;0,CR889*MAX(1,AG889/X889),IF(CA889=1,IF(AG889&lt;=0,0,CE889*MAX(1,IF(H889&gt;0,AG889/H889,1))),IF(R889&gt;0,AH889/R889,0))/MAX(0.1,N(Parameter!$M$21)))</f>
        <v>0.0214285714285714</v>
      </c>
      <c r="AJ889" s="62" t="n">
        <f aca="false">AI889*CC889</f>
        <v>3.32142857142857</v>
      </c>
      <c r="AK889" s="63" t="n">
        <f aca="false">IF(LEFT(Cockpit!$C$5,1)="A",H889,IF(CI889=1,(CL889+CJ889)/2,IF(LEFT(Cockpit!$C$5,1)="B",(CL889+AM889)/2,MAX((CL889+AM889)/2,H889))))</f>
        <v>53</v>
      </c>
      <c r="AL889" s="62" t="n">
        <f aca="false">AK889*G889</f>
        <v>768.5</v>
      </c>
      <c r="AM889" s="62" t="n">
        <f aca="false">ROUNDUP(CL889+MAX(CM889,2*(J889/IF(CH889&gt;0,CH889,MAX(0.1,N(Cockpit!$C$6)))-CL889)),0)</f>
        <v>1</v>
      </c>
      <c r="AN889" s="63" t="n">
        <f aca="false">IF(AJ889&gt;0,J889/AJ889,-1)</f>
        <v>0</v>
      </c>
      <c r="AO889" s="63" t="n">
        <f aca="false">IF(AND(OR(CG889="L1",CG889="L23",CG889="LIFT"),AJ889&gt;0),SUMIFS($AJ$7:$AJ$1843,$CG$7:$CG$1843,CG889,$AN$7:$AN$1843,"&gt;"&amp;AN889)+SUMIFS($AJ$7:$AJ$1843,$CG$7:$CG$1843,CG889,$AN$7:$AN$1843,AN889,$BX$7:$BX$1843,"&lt;="&amp;BX889),"")</f>
        <v>28815.9923842636</v>
      </c>
      <c r="AP889" s="70" t="n">
        <f aca="false">IF(AO889="",0,MAX(0,MIN(1,(IF(CG889="L1",Parameter!$H$5,IF(CG889="L23",Parameter!$H$6+Parameter!$H$7,Parameter!$H$5+Parameter!$H$6+Parameter!$H$7))-(AO889-AJ889))/AJ889)))</f>
        <v>1</v>
      </c>
      <c r="AQ889" s="62" t="n">
        <f aca="false">IF(LEFT(Cockpit!$I$5,1)="A",H889,IF(Parameter!$E$30="MAX-Bestand",IF(CI889=1,CJ889,IF(LEFT(Cockpit!$I$5,1)="B",AW889,MAX(AW889,H889))),ROUNDUP(AU889,0)))</f>
        <v>53</v>
      </c>
      <c r="AR889" s="62" t="n">
        <f aca="false">IF(CA889=1,0,ROUNDUP(AQ889/BZ889,0))</f>
        <v>3</v>
      </c>
      <c r="AS889" s="64" t="n">
        <f aca="false">IF(CR889&gt;0,CR889*MAX(1,AQ889/X889),IF(CA889=1,IF(AQ889&lt;=0,0,CE889*MAX(1,IF(H889&gt;0,AQ889/H889,1))),IF(R889&gt;0,AR889/R889,0))/MAX(0.1,N(Parameter!$M$21)))</f>
        <v>0.0214285714285714</v>
      </c>
      <c r="AT889" s="62" t="n">
        <f aca="false">AS889*CC889</f>
        <v>3.32142857142857</v>
      </c>
      <c r="AU889" s="63" t="n">
        <f aca="false">IF(LEFT(Cockpit!$I$5,1)="A",H889,IF(CI889=1,(CL889+CJ889)/2,IF(LEFT(Cockpit!$I$5,1)="B",(CL889+AW889)/2,MAX((CL889+AW889)/2,H889))))</f>
        <v>53</v>
      </c>
      <c r="AV889" s="62" t="n">
        <f aca="false">AU889*G889</f>
        <v>768.5</v>
      </c>
      <c r="AW889" s="62" t="n">
        <f aca="false">ROUNDUP(CL889+MAX(CM889,2*(J889/IF(CH889&gt;0,CH889,MAX(0.1,N(Cockpit!$I$6)))-CL889)),0)</f>
        <v>1</v>
      </c>
      <c r="AX889" s="63" t="n">
        <f aca="false">IF(AT889&gt;0,J889/AT889,-1)</f>
        <v>0</v>
      </c>
      <c r="AY889" s="63" t="n">
        <f aca="false">IF(AND(OR(CG889="L1",CG889="L23",CG889="LIFT"),AT889&gt;0),SUMIFS($AT$7:$AT$1843,$CG$7:$CG$1843,CG889,$AX$7:$AX$1843,"&gt;"&amp;AX889)+SUMIFS($AT$7:$AT$1843,$CG$7:$CG$1843,CG889,$AX$7:$AX$1843,AX889,$BX$7:$BX$1843,"&lt;="&amp;BX889),"")</f>
        <v>34442.1945970696</v>
      </c>
      <c r="AZ889" s="70" t="n">
        <f aca="false">IF(AY889="",0,MAX(0,MIN(1,(IF(CG889="L1",Parameter!$H$5,IF(CG889="L23",Parameter!$H$6+Parameter!$H$7,Parameter!$H$5+Parameter!$H$6+Parameter!$H$7))-(AY889-AT889))/AT889)))</f>
        <v>1</v>
      </c>
      <c r="BA889" s="62" t="n">
        <f aca="false">IF(LEFT(Cockpit!$O$5,1)="A",H889,IF(Parameter!$E$30="MAX-Bestand",IF(CI889=1,CJ889,IF(LEFT(Cockpit!$O$5,1)="B",BG889,MAX(BG889,H889))),ROUNDUP(BE889,0)))</f>
        <v>1</v>
      </c>
      <c r="BB889" s="62" t="n">
        <f aca="false">IF(CA889=1,0,ROUNDUP(BA889/BZ889,0))</f>
        <v>1</v>
      </c>
      <c r="BC889" s="64" t="n">
        <f aca="false">IF(CR889&gt;0,CR889*MAX(1,BA889/X889),IF(CA889=1,IF(BA889&lt;=0,0,CE889*MAX(1,IF(H889&gt;0,BA889/H889,1))),IF(R889&gt;0,BB889/R889,0))/MAX(0.1,N(Parameter!$M$21)))</f>
        <v>0.00714285714285714</v>
      </c>
      <c r="BD889" s="62" t="n">
        <f aca="false">BC889*CC889</f>
        <v>1.10714285714286</v>
      </c>
      <c r="BE889" s="63" t="n">
        <f aca="false">IF(LEFT(Cockpit!$O$5,1)="A",H889,IF(CI889=1,(CL889+CJ889)/2,IF(LEFT(Cockpit!$O$5,1)="B",(CL889+BG889)/2,MAX((CL889+BG889)/2,H889))))</f>
        <v>0.5</v>
      </c>
      <c r="BF889" s="62" t="n">
        <f aca="false">BE889*G889</f>
        <v>7.25</v>
      </c>
      <c r="BG889" s="62" t="n">
        <f aca="false">ROUNDUP(CL889+MAX(CM889,2*(J889/IF(CH889&gt;0,CH889,MAX(0.1,N(Cockpit!$O$6)))-CL889)),0)</f>
        <v>1</v>
      </c>
      <c r="BH889" s="63" t="n">
        <f aca="false">IF(BD889&gt;0,J889/BD889,-1)</f>
        <v>0</v>
      </c>
      <c r="BI889" s="63" t="n">
        <f aca="false">IF(AND(OR(CG889="L1",CG889="L23",CG889="LIFT"),BD889&gt;0),SUMIFS($BD$7:$BD$1843,$CG$7:$CG$1843,CG889,$BH$7:$BH$1843,"&gt;"&amp;BH889)+SUMIFS($BD$7:$BD$1843,$CG$7:$CG$1843,CG889,$BH$7:$BH$1843,BH889,$BX$7:$BX$1843,"&lt;="&amp;BX889),"")</f>
        <v>28479.7622462283</v>
      </c>
      <c r="BJ889" s="70" t="n">
        <f aca="false">IF(BI889="",0,MAX(0,MIN(1,(IF(CG889="L1",Parameter!$H$5,IF(CG889="L23",Parameter!$H$6+Parameter!$H$7,Parameter!$H$5+Parameter!$H$6+Parameter!$H$7))-(BI889-BD889))/BD889)))</f>
        <v>1</v>
      </c>
      <c r="BK889" s="60" t="str">
        <f aca="false">IF(AJ889&lt;=0,"",IF(CG889="Aussen","Aussenlager",IF(CG889="-","Nicht im Lift",IF(AP889&gt;=1,"Lift",IF(AP889&lt;=0,"Aussenlager","teilweise")))))</f>
        <v>Lift</v>
      </c>
      <c r="BL889" s="60" t="str">
        <f aca="false">IF(AT889&lt;=0,"",IF(CG889="Aussen","Aussenlager",IF(CG889="-","Nicht im Lift",IF(AZ889&gt;=1,"Lift",IF(AZ889&lt;=0,"Aussenlager","teilweise")))))</f>
        <v>Lift</v>
      </c>
      <c r="BM889" s="60" t="str">
        <f aca="false">IF(BD889&lt;=0,"",IF(CG889="Aussen","Aussenlager",IF(CG889="-","Nicht im Lift",IF(BJ889&gt;=1,"Lift",IF(BJ889&lt;=0,"Aussenlager","teilweise")))))</f>
        <v>Lift</v>
      </c>
      <c r="BN889" s="60" t="str">
        <f aca="false">IF(A889="","",IF(BW889=1,"Neu; ","")&amp;IF(AND(BW889=0,BR889&lt;0),"negativer Bestand (Export "&amp;BR889&amp;"); ","")&amp;IF(J889&lt;=0,"Kein Verbrauch; ","")&amp;IF(CR889&gt;0,"Lift "&amp;W889&amp;" lt. Liftbericht (Fach "&amp;X889&amp;" Stk); ",IF(CB889=1,"Gebinde geschätzt ("&amp;T889&amp;"); ",IF(CA889=1,"Lose – Tablare geschätzt; ","")))&amp;IF(H889&gt;AW889,"Überbestand "&amp;ROUND(H889-AW889,0)&amp;" Stk / CHF "&amp;ROUND((H889-AW889)*G889,0)&amp;"; ","")&amp;IF(AND(CI889=1,CJ889&lt;CK889),"MAX &lt; MB+LG; ","")&amp;IF(AND(CQ889&gt;0,CP889*10&gt;CQ889),"zu hoch für Tablar; ","")&amp;IF(AND(BW889=0,OR(CI889=1,AB889&lt;&gt;"",U889&lt;&gt;"",V889&lt;&gt;"",AC889&lt;&gt;"")),"manuell übersteuert; ","")&amp;IF(AND(CA889=0,R889=0),"Gebinde unbekannt / Stellmass fehlt; ","")&amp;IF(AND(CA889=0,N(V889)&lt;=0,N(Q889)&lt;=0),"Menge pro Gebinde fehlt (Ist = 1 Gebinde); ","")&amp;BV889)</f>
        <v>negativer Bestand (Export -2); Kein Verbrauch; Überbestand 52 Stk / CHF 754; </v>
      </c>
      <c r="BO889" s="60"/>
      <c r="BP889" s="60"/>
      <c r="BQ889" s="67"/>
      <c r="BR889" s="62" t="n">
        <v>-2</v>
      </c>
      <c r="BS889" s="62" t="n">
        <v>55</v>
      </c>
      <c r="BT889" s="61" t="n">
        <v>-29</v>
      </c>
      <c r="BU889" s="62" t="n">
        <v>0</v>
      </c>
      <c r="BV889" s="60"/>
      <c r="BW889" s="65" t="n">
        <v>0</v>
      </c>
      <c r="BX889" s="65" t="n">
        <v>889</v>
      </c>
      <c r="BY889" s="60" t="str">
        <f aca="false">IF(U889&lt;&gt;"",UPPER(TRIM(U889)),IF(CB889=1,UPPER(VLOOKUP(T889,Parameter!$I$27:$K$29,2,0)),IF(P889="","LOSE",P889)))</f>
        <v>S22</v>
      </c>
      <c r="BZ889" s="62" t="n">
        <f aca="false">IF(BY889="LOSE",1,IF(N(V889)&gt;0,V889,IF(CB889=1,MAX(1,N(VLOOKUP(T889,Parameter!$I$27:$K$29,3,0)),H889,N(N889)),IF(N(Q889)&gt;0,Q889,MAX(1,H889)))))</f>
        <v>22</v>
      </c>
      <c r="CA889" s="65" t="n">
        <f aca="false">IF(BY889="LOSE",1,0)</f>
        <v>0</v>
      </c>
      <c r="CB889" s="65" t="n">
        <f aca="false">IF(AND(U889="",OR(P889="",P889="LOSE"),T889&lt;&gt;"",N(S889)&lt;=0,ISNUMBER(MATCH(T889,Parameter!$I$27:$I$29,0))),1,0)</f>
        <v>0</v>
      </c>
      <c r="CC889" s="65" t="n">
        <f aca="false">IF(CR889&gt;0,INDEX(Parameter!$H$5:$H$7,W889)/INDEX(Parameter!$E$5:$E$7,W889),IF(AND(CA889=0,N(IFERROR(VLOOKUP(BY889,'Gebinde-Kategorie'!$A$5:$N$45,14,0),0))&gt;0),VLOOKUP(BY889,'Gebinde-Kategorie'!$A$5:$N$45,14,0)*10+Parameter!$M$23,Parameter!$M$24))</f>
        <v>155</v>
      </c>
      <c r="CD889" s="60" t="str">
        <f aca="false">IF(AND(Parameter!$B$19="Ja",E889&lt;&gt;"",ISNUMBER(MATCH(E889,Parameter!$I$35:$I$52,0))),VLOOKUP(E889,Parameter!$I$35:$J$52,2,0),IFERROR(VLOOKUP(D889,Parameter!$A$35:$C$64,2,0),"Nein"))</f>
        <v>2+3</v>
      </c>
      <c r="CE889" s="64" t="n">
        <f aca="false">IF(CA889=0,0,IF(N(S889)&gt;0,S889,IFERROR(VLOOKUP(D889,Parameter!$A$35:$C$64,3,0)+0,0)))</f>
        <v>0</v>
      </c>
      <c r="CF889" s="60" t="n">
        <f aca="false">IF(AB889&lt;&gt;"",AB889,AA889)</f>
        <v>3</v>
      </c>
      <c r="CG889" s="60" t="str">
        <f aca="false">IF(OR(CF889=1,CF889=2,CF889=3),IF(Parameter!$E$27="Ja","LIFT",IF(CF889=1,"L1","L23")),IF(CF889="Aussen","Aussen","-"))</f>
        <v>LIFT</v>
      </c>
      <c r="CH889" s="71" t="n">
        <f aca="false">IF(N(AC889)&gt;0,AC889,0)</f>
        <v>0</v>
      </c>
      <c r="CI889" s="65" t="n">
        <f aca="false">IF(ISNUMBER(AF889),1,0)</f>
        <v>0</v>
      </c>
      <c r="CJ889" s="62" t="n">
        <f aca="false">N(AF889)</f>
        <v>0</v>
      </c>
      <c r="CK889" s="62" t="n">
        <f aca="false">N(M889)+N(N889)</f>
        <v>1</v>
      </c>
      <c r="CL889" s="62" t="n">
        <f aca="false">N(M889)</f>
        <v>0</v>
      </c>
      <c r="CM889" s="62" t="n">
        <f aca="false">N(N889)</f>
        <v>1</v>
      </c>
      <c r="CN889" s="62" t="n">
        <f aca="false">ROUNDUP(H889/BZ889,0)</f>
        <v>3</v>
      </c>
      <c r="CO889" s="62" t="n">
        <f aca="false">ROUNDUP(CJ889/BZ889,0)</f>
        <v>0</v>
      </c>
      <c r="CP889" s="65" t="n">
        <f aca="false">IF(CA889=1,0,IFERROR(VLOOKUP(BY889,'Gebinde-Kategorie'!$A$5:$N$45,5,0)+0,0))</f>
        <v>8</v>
      </c>
      <c r="CQ889" s="65" t="n">
        <f aca="false">IFERROR(IF(OR(CF889=1,CF889=2,CF889=3),N(INDEX(Parameter!$I$5:$I$7,CF889)),0),0)</f>
        <v>0</v>
      </c>
      <c r="CR889" s="64" t="n">
        <f aca="false">IF(AND(Parameter!$B$21="Ja",ISNUMBER(W889),N(X889)&gt;0),IFERROR(N(INDEX(Parameter!$L$5:$L$7,W889))*INDEX(Parameter!$E$5:$E$7,W889)*X889/SUMIFS($X$7:$X$1843,$W$7:$W$1843,W889),0),0)</f>
        <v>0</v>
      </c>
      <c r="CS889" s="62" t="n">
        <f aca="false">IF(AND(OR(CG889="L1",CG889="L23",CG889="LIFT"),H889&gt;0),CC889*IF(CR889&gt;0,CR889*MAX(1,H889/X889),IF(CA889=1,CE889,IF(R889&gt;0,CN889/R889,0))/MAX(0.1,N(Parameter!$M$21))),"")</f>
        <v>3.32142857142857</v>
      </c>
      <c r="CT889" s="64" t="n">
        <f aca="false">IF(CS889="","",J889/H889)</f>
        <v>0</v>
      </c>
      <c r="CU889" s="62" t="n">
        <f aca="false">IF(CS889="","",H889*G889)</f>
        <v>768.5</v>
      </c>
      <c r="CV889" s="63" t="n">
        <f aca="false">IF(CS889="","",(CL889+ROUNDUP(CL889+MAX(CM889,2*(J889/MAX(0.1,N(Einkauf!$C$6))-CL889)),0))/2)</f>
        <v>0.5</v>
      </c>
      <c r="CW889" s="62" t="n">
        <f aca="false">IF(CS889="","",MAX(0,H889-CV889)*G889)</f>
        <v>761.25</v>
      </c>
      <c r="CX889" s="62" t="n">
        <f aca="false">IF(CS889="","",CS889*MAX(0,1-CV889/H889))</f>
        <v>3.29009433962264</v>
      </c>
      <c r="CY889" s="64" t="n">
        <f aca="false">IF(CS889="","",PERCENTRANK($CS$7:$CS$1843,CS889)+PERCENTRANK($CU$7:$CU$1843,CU889)+1-PERCENTRANK($CT$7:$CT$1843,CT889))</f>
        <v>1.938</v>
      </c>
      <c r="CZ889" s="72" t="n">
        <f aca="false">IF(CS889="","",CHOOSE(MATCH(Einkauf!$C$5,Parameter!$G$23:$G$27,0),CY889,CS889,CU889,-CT889,CW889)+ROW()/1000000000)</f>
        <v>1.938000889</v>
      </c>
    </row>
    <row r="890" customFormat="false" ht="15" hidden="false" customHeight="false" outlineLevel="0" collapsed="false">
      <c r="A890" s="60" t="s">
        <v>1722</v>
      </c>
      <c r="B890" s="60" t="s">
        <v>1723</v>
      </c>
      <c r="C890" s="60" t="s">
        <v>206</v>
      </c>
      <c r="D890" s="60" t="s">
        <v>226</v>
      </c>
      <c r="E890" s="60"/>
      <c r="F890" s="60" t="s">
        <v>260</v>
      </c>
      <c r="G890" s="61" t="n">
        <v>14.71</v>
      </c>
      <c r="H890" s="62" t="n">
        <f aca="false">MAX(0,IF(AND(Parameter!$B$21="Ja",ISNUMBER(Y890)),Y890,IF(Parameter!$B$20="Jahresanfang 2025 + Export",BS890+BR890,BR890)))</f>
        <v>4</v>
      </c>
      <c r="I890" s="62" t="n">
        <f aca="false">H890*G890</f>
        <v>58.84</v>
      </c>
      <c r="J890" s="62" t="n">
        <f aca="false">BU890*Parameter!$B$18</f>
        <v>0</v>
      </c>
      <c r="K890" s="63" t="n">
        <v>5</v>
      </c>
      <c r="L890" s="64" t="n">
        <v>0</v>
      </c>
      <c r="M890" s="62" t="n">
        <v>0</v>
      </c>
      <c r="N890" s="62" t="n">
        <v>1</v>
      </c>
      <c r="O890" s="65" t="n">
        <v>14</v>
      </c>
      <c r="P890" s="60" t="s">
        <v>443</v>
      </c>
      <c r="Q890" s="62" t="n">
        <v>5</v>
      </c>
      <c r="R890" s="65" t="n">
        <f aca="false">IF(CA890=1,0,IFERROR(VLOOKUP(BY890,'Gebinde-Kategorie'!$A$5:$N$45,13,0)+0,0))</f>
        <v>280</v>
      </c>
      <c r="S890" s="66"/>
      <c r="T890" s="67"/>
      <c r="U890" s="67"/>
      <c r="V890" s="67"/>
      <c r="W890" s="60"/>
      <c r="X890" s="62"/>
      <c r="Y890" s="62"/>
      <c r="Z890" s="60" t="n">
        <v>2</v>
      </c>
      <c r="AA890" s="60" t="n">
        <f aca="false">IF(A890="","",IF(AND(Parameter!$B$21="Ja",ISNUMBER(W890)),W890,IF(AND(Parameter!$E$27="Ja",ISNUMBER(Z890),CD890&lt;&gt;"Nein"),Z890,IF(CD890="2+3",IF(ISNUMBER(SEARCH("grosser Artikel",BV890)),2,IFERROR(VLOOKUP(BY890,Parameter!$F$35:$G$64,2,0),2)),IF(OR(CD890="Nein",CD890=""),"-",CD890)))))</f>
        <v>2</v>
      </c>
      <c r="AB890" s="67"/>
      <c r="AC890" s="68"/>
      <c r="AD890" s="62" t="n">
        <f aca="false">AW890</f>
        <v>1</v>
      </c>
      <c r="AE890" s="62" t="n">
        <f aca="false">MAX(AW890,H890)</f>
        <v>4</v>
      </c>
      <c r="AF890" s="69"/>
      <c r="AG890" s="62" t="n">
        <f aca="false">IF(LEFT(Cockpit!$C$5,1)="A",H890,IF(Parameter!$E$30="MAX-Bestand",IF(CI890=1,CJ890,IF(LEFT(Cockpit!$C$5,1)="B",AM890,MAX(AM890,H890))),ROUNDUP(AK890,0)))</f>
        <v>4</v>
      </c>
      <c r="AH890" s="62" t="n">
        <f aca="false">IF(CA890=1,0,ROUNDUP(AG890/BZ890,0))</f>
        <v>1</v>
      </c>
      <c r="AI890" s="64" t="n">
        <f aca="false">IF(CR890&gt;0,CR890*MAX(1,AG890/X890),IF(CA890=1,IF(AG890&lt;=0,0,CE890*MAX(1,IF(H890&gt;0,AG890/H890,1))),IF(R890&gt;0,AH890/R890,0))/MAX(0.1,N(Parameter!$M$21)))</f>
        <v>0.00357142857142857</v>
      </c>
      <c r="AJ890" s="62" t="n">
        <f aca="false">AI890*CC890</f>
        <v>0.553571428571429</v>
      </c>
      <c r="AK890" s="63" t="n">
        <f aca="false">IF(LEFT(Cockpit!$C$5,1)="A",H890,IF(CI890=1,(CL890+CJ890)/2,IF(LEFT(Cockpit!$C$5,1)="B",(CL890+AM890)/2,MAX((CL890+AM890)/2,H890))))</f>
        <v>4</v>
      </c>
      <c r="AL890" s="62" t="n">
        <f aca="false">AK890*G890</f>
        <v>58.84</v>
      </c>
      <c r="AM890" s="62" t="n">
        <f aca="false">ROUNDUP(CL890+MAX(CM890,2*(J890/IF(CH890&gt;0,CH890,MAX(0.1,N(Cockpit!$C$6)))-CL890)),0)</f>
        <v>1</v>
      </c>
      <c r="AN890" s="63" t="n">
        <f aca="false">IF(AJ890&gt;0,J890/AJ890,-1)</f>
        <v>0</v>
      </c>
      <c r="AO890" s="63" t="n">
        <f aca="false">IF(AND(OR(CG890="L1",CG890="L23",CG890="LIFT"),AJ890&gt;0),SUMIFS($AJ$7:$AJ$1843,$CG$7:$CG$1843,CG890,$AN$7:$AN$1843,"&gt;"&amp;AN890)+SUMIFS($AJ$7:$AJ$1843,$CG$7:$CG$1843,CG890,$AN$7:$AN$1843,AN890,$BX$7:$BX$1843,"&lt;="&amp;BX890),"")</f>
        <v>28816.5459556921</v>
      </c>
      <c r="AP890" s="70" t="n">
        <f aca="false">IF(AO890="",0,MAX(0,MIN(1,(IF(CG890="L1",Parameter!$H$5,IF(CG890="L23",Parameter!$H$6+Parameter!$H$7,Parameter!$H$5+Parameter!$H$6+Parameter!$H$7))-(AO890-AJ890))/AJ890)))</f>
        <v>1</v>
      </c>
      <c r="AQ890" s="62" t="n">
        <f aca="false">IF(LEFT(Cockpit!$I$5,1)="A",H890,IF(Parameter!$E$30="MAX-Bestand",IF(CI890=1,CJ890,IF(LEFT(Cockpit!$I$5,1)="B",AW890,MAX(AW890,H890))),ROUNDUP(AU890,0)))</f>
        <v>4</v>
      </c>
      <c r="AR890" s="62" t="n">
        <f aca="false">IF(CA890=1,0,ROUNDUP(AQ890/BZ890,0))</f>
        <v>1</v>
      </c>
      <c r="AS890" s="64" t="n">
        <f aca="false">IF(CR890&gt;0,CR890*MAX(1,AQ890/X890),IF(CA890=1,IF(AQ890&lt;=0,0,CE890*MAX(1,IF(H890&gt;0,AQ890/H890,1))),IF(R890&gt;0,AR890/R890,0))/MAX(0.1,N(Parameter!$M$21)))</f>
        <v>0.00357142857142857</v>
      </c>
      <c r="AT890" s="62" t="n">
        <f aca="false">AS890*CC890</f>
        <v>0.553571428571429</v>
      </c>
      <c r="AU890" s="63" t="n">
        <f aca="false">IF(LEFT(Cockpit!$I$5,1)="A",H890,IF(CI890=1,(CL890+CJ890)/2,IF(LEFT(Cockpit!$I$5,1)="B",(CL890+AW890)/2,MAX((CL890+AW890)/2,H890))))</f>
        <v>4</v>
      </c>
      <c r="AV890" s="62" t="n">
        <f aca="false">AU890*G890</f>
        <v>58.84</v>
      </c>
      <c r="AW890" s="62" t="n">
        <f aca="false">ROUNDUP(CL890+MAX(CM890,2*(J890/IF(CH890&gt;0,CH890,MAX(0.1,N(Cockpit!$I$6)))-CL890)),0)</f>
        <v>1</v>
      </c>
      <c r="AX890" s="63" t="n">
        <f aca="false">IF(AT890&gt;0,J890/AT890,-1)</f>
        <v>0</v>
      </c>
      <c r="AY890" s="63" t="n">
        <f aca="false">IF(AND(OR(CG890="L1",CG890="L23",CG890="LIFT"),AT890&gt;0),SUMIFS($AT$7:$AT$1843,$CG$7:$CG$1843,CG890,$AX$7:$AX$1843,"&gt;"&amp;AX890)+SUMIFS($AT$7:$AT$1843,$CG$7:$CG$1843,CG890,$AX$7:$AX$1843,AX890,$BX$7:$BX$1843,"&lt;="&amp;BX890),"")</f>
        <v>34442.7481684982</v>
      </c>
      <c r="AZ890" s="70" t="n">
        <f aca="false">IF(AY890="",0,MAX(0,MIN(1,(IF(CG890="L1",Parameter!$H$5,IF(CG890="L23",Parameter!$H$6+Parameter!$H$7,Parameter!$H$5+Parameter!$H$6+Parameter!$H$7))-(AY890-AT890))/AT890)))</f>
        <v>1</v>
      </c>
      <c r="BA890" s="62" t="n">
        <f aca="false">IF(LEFT(Cockpit!$O$5,1)="A",H890,IF(Parameter!$E$30="MAX-Bestand",IF(CI890=1,CJ890,IF(LEFT(Cockpit!$O$5,1)="B",BG890,MAX(BG890,H890))),ROUNDUP(BE890,0)))</f>
        <v>1</v>
      </c>
      <c r="BB890" s="62" t="n">
        <f aca="false">IF(CA890=1,0,ROUNDUP(BA890/BZ890,0))</f>
        <v>1</v>
      </c>
      <c r="BC890" s="64" t="n">
        <f aca="false">IF(CR890&gt;0,CR890*MAX(1,BA890/X890),IF(CA890=1,IF(BA890&lt;=0,0,CE890*MAX(1,IF(H890&gt;0,BA890/H890,1))),IF(R890&gt;0,BB890/R890,0))/MAX(0.1,N(Parameter!$M$21)))</f>
        <v>0.00357142857142857</v>
      </c>
      <c r="BD890" s="62" t="n">
        <f aca="false">BC890*CC890</f>
        <v>0.553571428571429</v>
      </c>
      <c r="BE890" s="63" t="n">
        <f aca="false">IF(LEFT(Cockpit!$O$5,1)="A",H890,IF(CI890=1,(CL890+CJ890)/2,IF(LEFT(Cockpit!$O$5,1)="B",(CL890+BG890)/2,MAX((CL890+BG890)/2,H890))))</f>
        <v>0.5</v>
      </c>
      <c r="BF890" s="62" t="n">
        <f aca="false">BE890*G890</f>
        <v>7.355</v>
      </c>
      <c r="BG890" s="62" t="n">
        <f aca="false">ROUNDUP(CL890+MAX(CM890,2*(J890/IF(CH890&gt;0,CH890,MAX(0.1,N(Cockpit!$O$6)))-CL890)),0)</f>
        <v>1</v>
      </c>
      <c r="BH890" s="63" t="n">
        <f aca="false">IF(BD890&gt;0,J890/BD890,-1)</f>
        <v>0</v>
      </c>
      <c r="BI890" s="63" t="n">
        <f aca="false">IF(AND(OR(CG890="L1",CG890="L23",CG890="LIFT"),BD890&gt;0),SUMIFS($BD$7:$BD$1843,$CG$7:$CG$1843,CG890,$BH$7:$BH$1843,"&gt;"&amp;BH890)+SUMIFS($BD$7:$BD$1843,$CG$7:$CG$1843,CG890,$BH$7:$BH$1843,BH890,$BX$7:$BX$1843,"&lt;="&amp;BX890),"")</f>
        <v>28480.3158176569</v>
      </c>
      <c r="BJ890" s="70" t="n">
        <f aca="false">IF(BI890="",0,MAX(0,MIN(1,(IF(CG890="L1",Parameter!$H$5,IF(CG890="L23",Parameter!$H$6+Parameter!$H$7,Parameter!$H$5+Parameter!$H$6+Parameter!$H$7))-(BI890-BD890))/BD890)))</f>
        <v>1</v>
      </c>
      <c r="BK890" s="60" t="str">
        <f aca="false">IF(AJ890&lt;=0,"",IF(CG890="Aussen","Aussenlager",IF(CG890="-","Nicht im Lift",IF(AP890&gt;=1,"Lift",IF(AP890&lt;=0,"Aussenlager","teilweise")))))</f>
        <v>Lift</v>
      </c>
      <c r="BL890" s="60" t="str">
        <f aca="false">IF(AT890&lt;=0,"",IF(CG890="Aussen","Aussenlager",IF(CG890="-","Nicht im Lift",IF(AZ890&gt;=1,"Lift",IF(AZ890&lt;=0,"Aussenlager","teilweise")))))</f>
        <v>Lift</v>
      </c>
      <c r="BM890" s="60" t="str">
        <f aca="false">IF(BD890&lt;=0,"",IF(CG890="Aussen","Aussenlager",IF(CG890="-","Nicht im Lift",IF(BJ890&gt;=1,"Lift",IF(BJ890&lt;=0,"Aussenlager","teilweise")))))</f>
        <v>Lift</v>
      </c>
      <c r="BN890" s="60" t="str">
        <f aca="false">IF(A890="","",IF(BW890=1,"Neu; ","")&amp;IF(AND(BW890=0,BR890&lt;0),"negativer Bestand (Export "&amp;BR890&amp;"); ","")&amp;IF(J890&lt;=0,"Kein Verbrauch; ","")&amp;IF(CR890&gt;0,"Lift "&amp;W890&amp;" lt. Liftbericht (Fach "&amp;X890&amp;" Stk); ",IF(CB890=1,"Gebinde geschätzt ("&amp;T890&amp;"); ",IF(CA890=1,"Lose – Tablare geschätzt; ","")))&amp;IF(H890&gt;AW890,"Überbestand "&amp;ROUND(H890-AW890,0)&amp;" Stk / CHF "&amp;ROUND((H890-AW890)*G890,0)&amp;"; ","")&amp;IF(AND(CI890=1,CJ890&lt;CK890),"MAX &lt; MB+LG; ","")&amp;IF(AND(CQ890&gt;0,CP890*10&gt;CQ890),"zu hoch für Tablar; ","")&amp;IF(AND(BW890=0,OR(CI890=1,AB890&lt;&gt;"",U890&lt;&gt;"",V890&lt;&gt;"",AC890&lt;&gt;"")),"manuell übersteuert; ","")&amp;IF(AND(CA890=0,R890=0),"Gebinde unbekannt / Stellmass fehlt; ","")&amp;IF(AND(CA890=0,N(V890)&lt;=0,N(Q890)&lt;=0),"Menge pro Gebinde fehlt (Ist = 1 Gebinde); ","")&amp;BV890)</f>
        <v>negativer Bestand (Export -2); Kein Verbrauch; Überbestand 3 Stk / CHF 44; </v>
      </c>
      <c r="BO890" s="60"/>
      <c r="BP890" s="60"/>
      <c r="BQ890" s="67"/>
      <c r="BR890" s="62" t="n">
        <v>-2</v>
      </c>
      <c r="BS890" s="62" t="n">
        <v>6</v>
      </c>
      <c r="BT890" s="61" t="n">
        <v>-29.42</v>
      </c>
      <c r="BU890" s="62" t="n">
        <v>0</v>
      </c>
      <c r="BV890" s="60"/>
      <c r="BW890" s="65" t="n">
        <v>0</v>
      </c>
      <c r="BX890" s="65" t="n">
        <v>890</v>
      </c>
      <c r="BY890" s="60" t="str">
        <f aca="false">IF(U890&lt;&gt;"",UPPER(TRIM(U890)),IF(CB890=1,UPPER(VLOOKUP(T890,Parameter!$I$27:$K$29,2,0)),IF(P890="","LOSE",P890)))</f>
        <v>S21</v>
      </c>
      <c r="BZ890" s="62" t="n">
        <f aca="false">IF(BY890="LOSE",1,IF(N(V890)&gt;0,V890,IF(CB890=1,MAX(1,N(VLOOKUP(T890,Parameter!$I$27:$K$29,3,0)),H890,N(N890)),IF(N(Q890)&gt;0,Q890,MAX(1,H890)))))</f>
        <v>5</v>
      </c>
      <c r="CA890" s="65" t="n">
        <f aca="false">IF(BY890="LOSE",1,0)</f>
        <v>0</v>
      </c>
      <c r="CB890" s="65" t="n">
        <f aca="false">IF(AND(U890="",OR(P890="",P890="LOSE"),T890&lt;&gt;"",N(S890)&lt;=0,ISNUMBER(MATCH(T890,Parameter!$I$27:$I$29,0))),1,0)</f>
        <v>0</v>
      </c>
      <c r="CC890" s="65" t="n">
        <f aca="false">IF(CR890&gt;0,INDEX(Parameter!$H$5:$H$7,W890)/INDEX(Parameter!$E$5:$E$7,W890),IF(AND(CA890=0,N(IFERROR(VLOOKUP(BY890,'Gebinde-Kategorie'!$A$5:$N$45,14,0),0))&gt;0),VLOOKUP(BY890,'Gebinde-Kategorie'!$A$5:$N$45,14,0)*10+Parameter!$M$23,Parameter!$M$24))</f>
        <v>155</v>
      </c>
      <c r="CD890" s="60" t="str">
        <f aca="false">IF(AND(Parameter!$B$19="Ja",E890&lt;&gt;"",ISNUMBER(MATCH(E890,Parameter!$I$35:$I$52,0))),VLOOKUP(E890,Parameter!$I$35:$J$52,2,0),IFERROR(VLOOKUP(D890,Parameter!$A$35:$C$64,2,0),"Nein"))</f>
        <v>2+3</v>
      </c>
      <c r="CE890" s="64" t="n">
        <f aca="false">IF(CA890=0,0,IF(N(S890)&gt;0,S890,IFERROR(VLOOKUP(D890,Parameter!$A$35:$C$64,3,0)+0,0)))</f>
        <v>0</v>
      </c>
      <c r="CF890" s="60" t="n">
        <f aca="false">IF(AB890&lt;&gt;"",AB890,AA890)</f>
        <v>2</v>
      </c>
      <c r="CG890" s="60" t="str">
        <f aca="false">IF(OR(CF890=1,CF890=2,CF890=3),IF(Parameter!$E$27="Ja","LIFT",IF(CF890=1,"L1","L23")),IF(CF890="Aussen","Aussen","-"))</f>
        <v>LIFT</v>
      </c>
      <c r="CH890" s="71" t="n">
        <f aca="false">IF(N(AC890)&gt;0,AC890,0)</f>
        <v>0</v>
      </c>
      <c r="CI890" s="65" t="n">
        <f aca="false">IF(ISNUMBER(AF890),1,0)</f>
        <v>0</v>
      </c>
      <c r="CJ890" s="62" t="n">
        <f aca="false">N(AF890)</f>
        <v>0</v>
      </c>
      <c r="CK890" s="62" t="n">
        <f aca="false">N(M890)+N(N890)</f>
        <v>1</v>
      </c>
      <c r="CL890" s="62" t="n">
        <f aca="false">N(M890)</f>
        <v>0</v>
      </c>
      <c r="CM890" s="62" t="n">
        <f aca="false">N(N890)</f>
        <v>1</v>
      </c>
      <c r="CN890" s="62" t="n">
        <f aca="false">ROUNDUP(H890/BZ890,0)</f>
        <v>1</v>
      </c>
      <c r="CO890" s="62" t="n">
        <f aca="false">ROUNDUP(CJ890/BZ890,0)</f>
        <v>0</v>
      </c>
      <c r="CP890" s="65" t="n">
        <f aca="false">IF(CA890=1,0,IFERROR(VLOOKUP(BY890,'Gebinde-Kategorie'!$A$5:$N$45,5,0)+0,0))</f>
        <v>8</v>
      </c>
      <c r="CQ890" s="65" t="n">
        <f aca="false">IFERROR(IF(OR(CF890=1,CF890=2,CF890=3),N(INDEX(Parameter!$I$5:$I$7,CF890)),0),0)</f>
        <v>0</v>
      </c>
      <c r="CR890" s="64" t="n">
        <f aca="false">IF(AND(Parameter!$B$21="Ja",ISNUMBER(W890),N(X890)&gt;0),IFERROR(N(INDEX(Parameter!$L$5:$L$7,W890))*INDEX(Parameter!$E$5:$E$7,W890)*X890/SUMIFS($X$7:$X$1843,$W$7:$W$1843,W890),0),0)</f>
        <v>0</v>
      </c>
      <c r="CS890" s="62" t="n">
        <f aca="false">IF(AND(OR(CG890="L1",CG890="L23",CG890="LIFT"),H890&gt;0),CC890*IF(CR890&gt;0,CR890*MAX(1,H890/X890),IF(CA890=1,CE890,IF(R890&gt;0,CN890/R890,0))/MAX(0.1,N(Parameter!$M$21))),"")</f>
        <v>0.553571428571429</v>
      </c>
      <c r="CT890" s="64" t="n">
        <f aca="false">IF(CS890="","",J890/H890)</f>
        <v>0</v>
      </c>
      <c r="CU890" s="62" t="n">
        <f aca="false">IF(CS890="","",H890*G890)</f>
        <v>58.84</v>
      </c>
      <c r="CV890" s="63" t="n">
        <f aca="false">IF(CS890="","",(CL890+ROUNDUP(CL890+MAX(CM890,2*(J890/MAX(0.1,N(Einkauf!$C$6))-CL890)),0))/2)</f>
        <v>0.5</v>
      </c>
      <c r="CW890" s="62" t="n">
        <f aca="false">IF(CS890="","",MAX(0,H890-CV890)*G890)</f>
        <v>51.485</v>
      </c>
      <c r="CX890" s="62" t="n">
        <f aca="false">IF(CS890="","",CS890*MAX(0,1-CV890/H890))</f>
        <v>0.484375</v>
      </c>
      <c r="CY890" s="64" t="n">
        <f aca="false">IF(CS890="","",PERCENTRANK($CS$7:$CS$1843,CS890)+PERCENTRANK($CU$7:$CU$1843,CU890)+1-PERCENTRANK($CT$7:$CT$1843,CT890))</f>
        <v>1.168</v>
      </c>
      <c r="CZ890" s="72" t="n">
        <f aca="false">IF(CS890="","",CHOOSE(MATCH(Einkauf!$C$5,Parameter!$G$23:$G$27,0),CY890,CS890,CU890,-CT890,CW890)+ROW()/1000000000)</f>
        <v>1.16800089</v>
      </c>
    </row>
    <row r="891" customFormat="false" ht="15" hidden="false" customHeight="false" outlineLevel="0" collapsed="false">
      <c r="A891" s="60" t="s">
        <v>1724</v>
      </c>
      <c r="B891" s="60" t="s">
        <v>989</v>
      </c>
      <c r="C891" s="60" t="s">
        <v>206</v>
      </c>
      <c r="D891" s="60" t="s">
        <v>226</v>
      </c>
      <c r="E891" s="60" t="s">
        <v>227</v>
      </c>
      <c r="F891" s="60" t="s">
        <v>260</v>
      </c>
      <c r="G891" s="61" t="n">
        <v>2.79</v>
      </c>
      <c r="H891" s="62" t="n">
        <f aca="false">MAX(0,IF(AND(Parameter!$B$21="Ja",ISNUMBER(Y891)),Y891,IF(Parameter!$B$20="Jahresanfang 2025 + Export",BS891+BR891,BR891)))</f>
        <v>50</v>
      </c>
      <c r="I891" s="62" t="n">
        <f aca="false">H891*G891</f>
        <v>139.5</v>
      </c>
      <c r="J891" s="62" t="n">
        <f aca="false">BU891*Parameter!$B$18</f>
        <v>0</v>
      </c>
      <c r="K891" s="63" t="n">
        <v>60.5</v>
      </c>
      <c r="L891" s="64" t="n">
        <v>0</v>
      </c>
      <c r="M891" s="62" t="n">
        <v>0</v>
      </c>
      <c r="N891" s="62" t="n">
        <v>1</v>
      </c>
      <c r="O891" s="65" t="n">
        <v>14</v>
      </c>
      <c r="P891" s="60" t="s">
        <v>210</v>
      </c>
      <c r="Q891" s="62"/>
      <c r="R891" s="65" t="n">
        <f aca="false">IF(CA891=1,0,IFERROR(VLOOKUP(BY891,'Gebinde-Kategorie'!$A$5:$N$45,13,0)+0,0))</f>
        <v>26</v>
      </c>
      <c r="S891" s="66"/>
      <c r="T891" s="67" t="s">
        <v>317</v>
      </c>
      <c r="U891" s="67"/>
      <c r="V891" s="67"/>
      <c r="W891" s="60"/>
      <c r="X891" s="62"/>
      <c r="Y891" s="62"/>
      <c r="Z891" s="60" t="n">
        <v>3</v>
      </c>
      <c r="AA891" s="60" t="n">
        <f aca="false">IF(A891="","",IF(AND(Parameter!$B$21="Ja",ISNUMBER(W891)),W891,IF(AND(Parameter!$E$27="Ja",ISNUMBER(Z891),CD891&lt;&gt;"Nein"),Z891,IF(CD891="2+3",IF(ISNUMBER(SEARCH("grosser Artikel",BV891)),2,IFERROR(VLOOKUP(BY891,Parameter!$F$35:$G$64,2,0),2)),IF(OR(CD891="Nein",CD891=""),"-",CD891)))))</f>
        <v>3</v>
      </c>
      <c r="AB891" s="67"/>
      <c r="AC891" s="68"/>
      <c r="AD891" s="62" t="n">
        <f aca="false">AW891</f>
        <v>1</v>
      </c>
      <c r="AE891" s="62" t="n">
        <f aca="false">MAX(AW891,H891)</f>
        <v>50</v>
      </c>
      <c r="AF891" s="69"/>
      <c r="AG891" s="62" t="n">
        <f aca="false">IF(LEFT(Cockpit!$C$5,1)="A",H891,IF(Parameter!$E$30="MAX-Bestand",IF(CI891=1,CJ891,IF(LEFT(Cockpit!$C$5,1)="B",AM891,MAX(AM891,H891))),ROUNDUP(AK891,0)))</f>
        <v>50</v>
      </c>
      <c r="AH891" s="62" t="n">
        <f aca="false">IF(CA891=1,0,ROUNDUP(AG891/BZ891,0))</f>
        <v>1</v>
      </c>
      <c r="AI891" s="64" t="n">
        <f aca="false">IF(CR891&gt;0,CR891*MAX(1,AG891/X891),IF(CA891=1,IF(AG891&lt;=0,0,CE891*MAX(1,IF(H891&gt;0,AG891/H891,1))),IF(R891&gt;0,AH891/R891,0))/MAX(0.1,N(Parameter!$M$21)))</f>
        <v>0.0384615384615385</v>
      </c>
      <c r="AJ891" s="62" t="n">
        <f aca="false">AI891*CC891</f>
        <v>5.96153846153846</v>
      </c>
      <c r="AK891" s="63" t="n">
        <f aca="false">IF(LEFT(Cockpit!$C$5,1)="A",H891,IF(CI891=1,(CL891+CJ891)/2,IF(LEFT(Cockpit!$C$5,1)="B",(CL891+AM891)/2,MAX((CL891+AM891)/2,H891))))</f>
        <v>50</v>
      </c>
      <c r="AL891" s="62" t="n">
        <f aca="false">AK891*G891</f>
        <v>139.5</v>
      </c>
      <c r="AM891" s="62" t="n">
        <f aca="false">ROUNDUP(CL891+MAX(CM891,2*(J891/IF(CH891&gt;0,CH891,MAX(0.1,N(Cockpit!$C$6)))-CL891)),0)</f>
        <v>1</v>
      </c>
      <c r="AN891" s="63" t="n">
        <f aca="false">IF(AJ891&gt;0,J891/AJ891,-1)</f>
        <v>0</v>
      </c>
      <c r="AO891" s="63" t="n">
        <f aca="false">IF(AND(OR(CG891="L1",CG891="L23",CG891="LIFT"),AJ891&gt;0),SUMIFS($AJ$7:$AJ$1843,$CG$7:$CG$1843,CG891,$AN$7:$AN$1843,"&gt;"&amp;AN891)+SUMIFS($AJ$7:$AJ$1843,$CG$7:$CG$1843,CG891,$AN$7:$AN$1843,AN891,$BX$7:$BX$1843,"&lt;="&amp;BX891),"")</f>
        <v>28822.5074941537</v>
      </c>
      <c r="AP891" s="70" t="n">
        <f aca="false">IF(AO891="",0,MAX(0,MIN(1,(IF(CG891="L1",Parameter!$H$5,IF(CG891="L23",Parameter!$H$6+Parameter!$H$7,Parameter!$H$5+Parameter!$H$6+Parameter!$H$7))-(AO891-AJ891))/AJ891)))</f>
        <v>1</v>
      </c>
      <c r="AQ891" s="62" t="n">
        <f aca="false">IF(LEFT(Cockpit!$I$5,1)="A",H891,IF(Parameter!$E$30="MAX-Bestand",IF(CI891=1,CJ891,IF(LEFT(Cockpit!$I$5,1)="B",AW891,MAX(AW891,H891))),ROUNDUP(AU891,0)))</f>
        <v>50</v>
      </c>
      <c r="AR891" s="62" t="n">
        <f aca="false">IF(CA891=1,0,ROUNDUP(AQ891/BZ891,0))</f>
        <v>1</v>
      </c>
      <c r="AS891" s="64" t="n">
        <f aca="false">IF(CR891&gt;0,CR891*MAX(1,AQ891/X891),IF(CA891=1,IF(AQ891&lt;=0,0,CE891*MAX(1,IF(H891&gt;0,AQ891/H891,1))),IF(R891&gt;0,AR891/R891,0))/MAX(0.1,N(Parameter!$M$21)))</f>
        <v>0.0384615384615385</v>
      </c>
      <c r="AT891" s="62" t="n">
        <f aca="false">AS891*CC891</f>
        <v>5.96153846153846</v>
      </c>
      <c r="AU891" s="63" t="n">
        <f aca="false">IF(LEFT(Cockpit!$I$5,1)="A",H891,IF(CI891=1,(CL891+CJ891)/2,IF(LEFT(Cockpit!$I$5,1)="B",(CL891+AW891)/2,MAX((CL891+AW891)/2,H891))))</f>
        <v>50</v>
      </c>
      <c r="AV891" s="62" t="n">
        <f aca="false">AU891*G891</f>
        <v>139.5</v>
      </c>
      <c r="AW891" s="62" t="n">
        <f aca="false">ROUNDUP(CL891+MAX(CM891,2*(J891/IF(CH891&gt;0,CH891,MAX(0.1,N(Cockpit!$I$6)))-CL891)),0)</f>
        <v>1</v>
      </c>
      <c r="AX891" s="63" t="n">
        <f aca="false">IF(AT891&gt;0,J891/AT891,-1)</f>
        <v>0</v>
      </c>
      <c r="AY891" s="63" t="n">
        <f aca="false">IF(AND(OR(CG891="L1",CG891="L23",CG891="LIFT"),AT891&gt;0),SUMIFS($AT$7:$AT$1843,$CG$7:$CG$1843,CG891,$AX$7:$AX$1843,"&gt;"&amp;AX891)+SUMIFS($AT$7:$AT$1843,$CG$7:$CG$1843,CG891,$AX$7:$AX$1843,AX891,$BX$7:$BX$1843,"&lt;="&amp;BX891),"")</f>
        <v>34448.7097069597</v>
      </c>
      <c r="AZ891" s="70" t="n">
        <f aca="false">IF(AY891="",0,MAX(0,MIN(1,(IF(CG891="L1",Parameter!$H$5,IF(CG891="L23",Parameter!$H$6+Parameter!$H$7,Parameter!$H$5+Parameter!$H$6+Parameter!$H$7))-(AY891-AT891))/AT891)))</f>
        <v>1</v>
      </c>
      <c r="BA891" s="62" t="n">
        <f aca="false">IF(LEFT(Cockpit!$O$5,1)="A",H891,IF(Parameter!$E$30="MAX-Bestand",IF(CI891=1,CJ891,IF(LEFT(Cockpit!$O$5,1)="B",BG891,MAX(BG891,H891))),ROUNDUP(BE891,0)))</f>
        <v>1</v>
      </c>
      <c r="BB891" s="62" t="n">
        <f aca="false">IF(CA891=1,0,ROUNDUP(BA891/BZ891,0))</f>
        <v>1</v>
      </c>
      <c r="BC891" s="64" t="n">
        <f aca="false">IF(CR891&gt;0,CR891*MAX(1,BA891/X891),IF(CA891=1,IF(BA891&lt;=0,0,CE891*MAX(1,IF(H891&gt;0,BA891/H891,1))),IF(R891&gt;0,BB891/R891,0))/MAX(0.1,N(Parameter!$M$21)))</f>
        <v>0.0384615384615385</v>
      </c>
      <c r="BD891" s="62" t="n">
        <f aca="false">BC891*CC891</f>
        <v>5.96153846153846</v>
      </c>
      <c r="BE891" s="63" t="n">
        <f aca="false">IF(LEFT(Cockpit!$O$5,1)="A",H891,IF(CI891=1,(CL891+CJ891)/2,IF(LEFT(Cockpit!$O$5,1)="B",(CL891+BG891)/2,MAX((CL891+BG891)/2,H891))))</f>
        <v>0.5</v>
      </c>
      <c r="BF891" s="62" t="n">
        <f aca="false">BE891*G891</f>
        <v>1.395</v>
      </c>
      <c r="BG891" s="62" t="n">
        <f aca="false">ROUNDUP(CL891+MAX(CM891,2*(J891/IF(CH891&gt;0,CH891,MAX(0.1,N(Cockpit!$O$6)))-CL891)),0)</f>
        <v>1</v>
      </c>
      <c r="BH891" s="63" t="n">
        <f aca="false">IF(BD891&gt;0,J891/BD891,-1)</f>
        <v>0</v>
      </c>
      <c r="BI891" s="63" t="n">
        <f aca="false">IF(AND(OR(CG891="L1",CG891="L23",CG891="LIFT"),BD891&gt;0),SUMIFS($BD$7:$BD$1843,$CG$7:$CG$1843,CG891,$BH$7:$BH$1843,"&gt;"&amp;BH891)+SUMIFS($BD$7:$BD$1843,$CG$7:$CG$1843,CG891,$BH$7:$BH$1843,BH891,$BX$7:$BX$1843,"&lt;="&amp;BX891),"")</f>
        <v>28486.2773561185</v>
      </c>
      <c r="BJ891" s="70" t="n">
        <f aca="false">IF(BI891="",0,MAX(0,MIN(1,(IF(CG891="L1",Parameter!$H$5,IF(CG891="L23",Parameter!$H$6+Parameter!$H$7,Parameter!$H$5+Parameter!$H$6+Parameter!$H$7))-(BI891-BD891))/BD891)))</f>
        <v>1</v>
      </c>
      <c r="BK891" s="60" t="str">
        <f aca="false">IF(AJ891&lt;=0,"",IF(CG891="Aussen","Aussenlager",IF(CG891="-","Nicht im Lift",IF(AP891&gt;=1,"Lift",IF(AP891&lt;=0,"Aussenlager","teilweise")))))</f>
        <v>Lift</v>
      </c>
      <c r="BL891" s="60" t="str">
        <f aca="false">IF(AT891&lt;=0,"",IF(CG891="Aussen","Aussenlager",IF(CG891="-","Nicht im Lift",IF(AZ891&gt;=1,"Lift",IF(AZ891&lt;=0,"Aussenlager","teilweise")))))</f>
        <v>Lift</v>
      </c>
      <c r="BM891" s="60" t="str">
        <f aca="false">IF(BD891&lt;=0,"",IF(CG891="Aussen","Aussenlager",IF(CG891="-","Nicht im Lift",IF(BJ891&gt;=1,"Lift",IF(BJ891&lt;=0,"Aussenlager","teilweise")))))</f>
        <v>Lift</v>
      </c>
      <c r="BN891" s="60" t="str">
        <f aca="false">IF(A891="","",IF(BW891=1,"Neu; ","")&amp;IF(AND(BW891=0,BR891&lt;0),"negativer Bestand (Export "&amp;BR891&amp;"); ","")&amp;IF(J891&lt;=0,"Kein Verbrauch; ","")&amp;IF(CR891&gt;0,"Lift "&amp;W891&amp;" lt. Liftbericht (Fach "&amp;X891&amp;" Stk); ",IF(CB891=1,"Gebinde geschätzt ("&amp;T891&amp;"); ",IF(CA891=1,"Lose – Tablare geschätzt; ","")))&amp;IF(H891&gt;AW891,"Überbestand "&amp;ROUND(H891-AW891,0)&amp;" Stk / CHF "&amp;ROUND((H891-AW891)*G891,0)&amp;"; ","")&amp;IF(AND(CI891=1,CJ891&lt;CK891),"MAX &lt; MB+LG; ","")&amp;IF(AND(CQ891&gt;0,CP891*10&gt;CQ891),"zu hoch für Tablar; ","")&amp;IF(AND(BW891=0,OR(CI891=1,AB891&lt;&gt;"",U891&lt;&gt;"",V891&lt;&gt;"",AC891&lt;&gt;"")),"manuell übersteuert; ","")&amp;IF(AND(CA891=0,R891=0),"Gebinde unbekannt / Stellmass fehlt; ","")&amp;IF(AND(CA891=0,N(V891)&lt;=0,N(Q891)&lt;=0),"Menge pro Gebinde fehlt (Ist = 1 Gebinde); ","")&amp;BV891)</f>
        <v>negativer Bestand (Export -21); Kein Verbrauch; Gebinde geschätzt (Klein); Überbestand 49 Stk / CHF 137; Menge pro Gebinde fehlt (Ist = 1 Gebinde); Überbestand; nicht im KTL vorhanden</v>
      </c>
      <c r="BO891" s="60"/>
      <c r="BP891" s="60"/>
      <c r="BQ891" s="67"/>
      <c r="BR891" s="62" t="n">
        <v>-21</v>
      </c>
      <c r="BS891" s="62" t="n">
        <v>71</v>
      </c>
      <c r="BT891" s="61" t="n">
        <v>-29.48</v>
      </c>
      <c r="BU891" s="62" t="n">
        <v>0</v>
      </c>
      <c r="BV891" s="60" t="s">
        <v>1673</v>
      </c>
      <c r="BW891" s="65" t="n">
        <v>0</v>
      </c>
      <c r="BX891" s="65" t="n">
        <v>891</v>
      </c>
      <c r="BY891" s="60" t="str">
        <f aca="false">IF(U891&lt;&gt;"",UPPER(TRIM(U891)),IF(CB891=1,UPPER(VLOOKUP(T891,Parameter!$I$27:$K$29,2,0)),IF(P891="","LOSE",P891)))</f>
        <v>S51</v>
      </c>
      <c r="BZ891" s="62" t="n">
        <f aca="false">IF(BY891="LOSE",1,IF(N(V891)&gt;0,V891,IF(CB891=1,MAX(1,N(VLOOKUP(T891,Parameter!$I$27:$K$29,3,0)),H891,N(N891)),IF(N(Q891)&gt;0,Q891,MAX(1,H891)))))</f>
        <v>50</v>
      </c>
      <c r="CA891" s="65" t="n">
        <f aca="false">IF(BY891="LOSE",1,0)</f>
        <v>0</v>
      </c>
      <c r="CB891" s="65" t="n">
        <f aca="false">IF(AND(U891="",OR(P891="",P891="LOSE"),T891&lt;&gt;"",N(S891)&lt;=0,ISNUMBER(MATCH(T891,Parameter!$I$27:$I$29,0))),1,0)</f>
        <v>1</v>
      </c>
      <c r="CC891" s="65" t="n">
        <f aca="false">IF(CR891&gt;0,INDEX(Parameter!$H$5:$H$7,W891)/INDEX(Parameter!$E$5:$E$7,W891),IF(AND(CA891=0,N(IFERROR(VLOOKUP(BY891,'Gebinde-Kategorie'!$A$5:$N$45,14,0),0))&gt;0),VLOOKUP(BY891,'Gebinde-Kategorie'!$A$5:$N$45,14,0)*10+Parameter!$M$23,Parameter!$M$24))</f>
        <v>155</v>
      </c>
      <c r="CD891" s="60" t="str">
        <f aca="false">IF(AND(Parameter!$B$19="Ja",E891&lt;&gt;"",ISNUMBER(MATCH(E891,Parameter!$I$35:$I$52,0))),VLOOKUP(E891,Parameter!$I$35:$J$52,2,0),IFERROR(VLOOKUP(D891,Parameter!$A$35:$C$64,2,0),"Nein"))</f>
        <v>2+3</v>
      </c>
      <c r="CE891" s="64" t="n">
        <f aca="false">IF(CA891=0,0,IF(N(S891)&gt;0,S891,IFERROR(VLOOKUP(D891,Parameter!$A$35:$C$64,3,0)+0,0)))</f>
        <v>0</v>
      </c>
      <c r="CF891" s="60" t="n">
        <f aca="false">IF(AB891&lt;&gt;"",AB891,AA891)</f>
        <v>3</v>
      </c>
      <c r="CG891" s="60" t="str">
        <f aca="false">IF(OR(CF891=1,CF891=2,CF891=3),IF(Parameter!$E$27="Ja","LIFT",IF(CF891=1,"L1","L23")),IF(CF891="Aussen","Aussen","-"))</f>
        <v>LIFT</v>
      </c>
      <c r="CH891" s="71" t="n">
        <f aca="false">IF(N(AC891)&gt;0,AC891,0)</f>
        <v>0</v>
      </c>
      <c r="CI891" s="65" t="n">
        <f aca="false">IF(ISNUMBER(AF891),1,0)</f>
        <v>0</v>
      </c>
      <c r="CJ891" s="62" t="n">
        <f aca="false">N(AF891)</f>
        <v>0</v>
      </c>
      <c r="CK891" s="62" t="n">
        <f aca="false">N(M891)+N(N891)</f>
        <v>1</v>
      </c>
      <c r="CL891" s="62" t="n">
        <f aca="false">N(M891)</f>
        <v>0</v>
      </c>
      <c r="CM891" s="62" t="n">
        <f aca="false">N(N891)</f>
        <v>1</v>
      </c>
      <c r="CN891" s="62" t="n">
        <f aca="false">ROUNDUP(H891/BZ891,0)</f>
        <v>1</v>
      </c>
      <c r="CO891" s="62" t="n">
        <f aca="false">ROUNDUP(CJ891/BZ891,0)</f>
        <v>0</v>
      </c>
      <c r="CP891" s="65" t="n">
        <f aca="false">IF(CA891=1,0,IFERROR(VLOOKUP(BY891,'Gebinde-Kategorie'!$A$5:$N$45,5,0)+0,0))</f>
        <v>11</v>
      </c>
      <c r="CQ891" s="65" t="n">
        <f aca="false">IFERROR(IF(OR(CF891=1,CF891=2,CF891=3),N(INDEX(Parameter!$I$5:$I$7,CF891)),0),0)</f>
        <v>0</v>
      </c>
      <c r="CR891" s="64" t="n">
        <f aca="false">IF(AND(Parameter!$B$21="Ja",ISNUMBER(W891),N(X891)&gt;0),IFERROR(N(INDEX(Parameter!$L$5:$L$7,W891))*INDEX(Parameter!$E$5:$E$7,W891)*X891/SUMIFS($X$7:$X$1843,$W$7:$W$1843,W891),0),0)</f>
        <v>0</v>
      </c>
      <c r="CS891" s="62" t="n">
        <f aca="false">IF(AND(OR(CG891="L1",CG891="L23",CG891="LIFT"),H891&gt;0),CC891*IF(CR891&gt;0,CR891*MAX(1,H891/X891),IF(CA891=1,CE891,IF(R891&gt;0,CN891/R891,0))/MAX(0.1,N(Parameter!$M$21))),"")</f>
        <v>5.96153846153846</v>
      </c>
      <c r="CT891" s="64" t="n">
        <f aca="false">IF(CS891="","",J891/H891)</f>
        <v>0</v>
      </c>
      <c r="CU891" s="62" t="n">
        <f aca="false">IF(CS891="","",H891*G891)</f>
        <v>139.5</v>
      </c>
      <c r="CV891" s="63" t="n">
        <f aca="false">IF(CS891="","",(CL891+ROUNDUP(CL891+MAX(CM891,2*(J891/MAX(0.1,N(Einkauf!$C$6))-CL891)),0))/2)</f>
        <v>0.5</v>
      </c>
      <c r="CW891" s="62" t="n">
        <f aca="false">IF(CS891="","",MAX(0,H891-CV891)*G891)</f>
        <v>138.105</v>
      </c>
      <c r="CX891" s="62" t="n">
        <f aca="false">IF(CS891="","",CS891*MAX(0,1-CV891/H891))</f>
        <v>5.90192307692308</v>
      </c>
      <c r="CY891" s="64" t="n">
        <f aca="false">IF(CS891="","",PERCENTRANK($CS$7:$CS$1843,CS891)+PERCENTRANK($CU$7:$CU$1843,CU891)+1-PERCENTRANK($CT$7:$CT$1843,CT891))</f>
        <v>1.643</v>
      </c>
      <c r="CZ891" s="72" t="n">
        <f aca="false">IF(CS891="","",CHOOSE(MATCH(Einkauf!$C$5,Parameter!$G$23:$G$27,0),CY891,CS891,CU891,-CT891,CW891)+ROW()/1000000000)</f>
        <v>1.643000891</v>
      </c>
    </row>
    <row r="892" customFormat="false" ht="15" hidden="false" customHeight="false" outlineLevel="0" collapsed="false">
      <c r="A892" s="60" t="s">
        <v>1725</v>
      </c>
      <c r="B892" s="60" t="s">
        <v>1726</v>
      </c>
      <c r="C892" s="60" t="s">
        <v>206</v>
      </c>
      <c r="D892" s="60" t="s">
        <v>226</v>
      </c>
      <c r="E892" s="60"/>
      <c r="F892" s="60" t="s">
        <v>260</v>
      </c>
      <c r="G892" s="61" t="n">
        <v>30.21</v>
      </c>
      <c r="H892" s="62" t="n">
        <f aca="false">MAX(0,IF(AND(Parameter!$B$21="Ja",ISNUMBER(Y892)),Y892,IF(Parameter!$B$20="Jahresanfang 2025 + Export",BS892+BR892,BR892)))</f>
        <v>0</v>
      </c>
      <c r="I892" s="62" t="n">
        <f aca="false">H892*G892</f>
        <v>0</v>
      </c>
      <c r="J892" s="62" t="n">
        <f aca="false">BU892*Parameter!$B$18</f>
        <v>0</v>
      </c>
      <c r="K892" s="63" t="n">
        <v>0.5</v>
      </c>
      <c r="L892" s="64" t="n">
        <v>0</v>
      </c>
      <c r="M892" s="62" t="n">
        <v>0</v>
      </c>
      <c r="N892" s="62" t="n">
        <v>1</v>
      </c>
      <c r="O892" s="65" t="n">
        <v>28</v>
      </c>
      <c r="P892" s="60" t="s">
        <v>210</v>
      </c>
      <c r="Q892" s="62"/>
      <c r="R892" s="65" t="n">
        <f aca="false">IF(CA892=1,0,IFERROR(VLOOKUP(BY892,'Gebinde-Kategorie'!$A$5:$N$45,13,0)+0,0))</f>
        <v>26</v>
      </c>
      <c r="S892" s="66"/>
      <c r="T892" s="67" t="s">
        <v>317</v>
      </c>
      <c r="U892" s="67"/>
      <c r="V892" s="67"/>
      <c r="W892" s="60"/>
      <c r="X892" s="62"/>
      <c r="Y892" s="62"/>
      <c r="Z892" s="60" t="n">
        <v>3</v>
      </c>
      <c r="AA892" s="60" t="n">
        <f aca="false">IF(A892="","",IF(AND(Parameter!$B$21="Ja",ISNUMBER(W892)),W892,IF(AND(Parameter!$E$27="Ja",ISNUMBER(Z892),CD892&lt;&gt;"Nein"),Z892,IF(CD892="2+3",IF(ISNUMBER(SEARCH("grosser Artikel",BV892)),2,IFERROR(VLOOKUP(BY892,Parameter!$F$35:$G$64,2,0),2)),IF(OR(CD892="Nein",CD892=""),"-",CD892)))))</f>
        <v>3</v>
      </c>
      <c r="AB892" s="67"/>
      <c r="AC892" s="68"/>
      <c r="AD892" s="62" t="n">
        <f aca="false">AW892</f>
        <v>1</v>
      </c>
      <c r="AE892" s="62" t="n">
        <f aca="false">MAX(AW892,H892)</f>
        <v>1</v>
      </c>
      <c r="AF892" s="69"/>
      <c r="AG892" s="62" t="n">
        <f aca="false">IF(LEFT(Cockpit!$C$5,1)="A",H892,IF(Parameter!$E$30="MAX-Bestand",IF(CI892=1,CJ892,IF(LEFT(Cockpit!$C$5,1)="B",AM892,MAX(AM892,H892))),ROUNDUP(AK892,0)))</f>
        <v>0</v>
      </c>
      <c r="AH892" s="62" t="n">
        <f aca="false">IF(CA892=1,0,ROUNDUP(AG892/BZ892,0))</f>
        <v>0</v>
      </c>
      <c r="AI892" s="64" t="n">
        <f aca="false">IF(CR892&gt;0,CR892*MAX(1,AG892/X892),IF(CA892=1,IF(AG892&lt;=0,0,CE892*MAX(1,IF(H892&gt;0,AG892/H892,1))),IF(R892&gt;0,AH892/R892,0))/MAX(0.1,N(Parameter!$M$21)))</f>
        <v>0</v>
      </c>
      <c r="AJ892" s="62" t="n">
        <f aca="false">AI892*CC892</f>
        <v>0</v>
      </c>
      <c r="AK892" s="63" t="n">
        <f aca="false">IF(LEFT(Cockpit!$C$5,1)="A",H892,IF(CI892=1,(CL892+CJ892)/2,IF(LEFT(Cockpit!$C$5,1)="B",(CL892+AM892)/2,MAX((CL892+AM892)/2,H892))))</f>
        <v>0</v>
      </c>
      <c r="AL892" s="62" t="n">
        <f aca="false">AK892*G892</f>
        <v>0</v>
      </c>
      <c r="AM892" s="62" t="n">
        <f aca="false">ROUNDUP(CL892+MAX(CM892,2*(J892/IF(CH892&gt;0,CH892,MAX(0.1,N(Cockpit!$C$6)))-CL892)),0)</f>
        <v>1</v>
      </c>
      <c r="AN892" s="63" t="n">
        <f aca="false">IF(AJ892&gt;0,J892/AJ892,-1)</f>
        <v>-1</v>
      </c>
      <c r="AO892" s="63" t="str">
        <f aca="false">IF(AND(OR(CG892="L1",CG892="L23",CG892="LIFT"),AJ892&gt;0),SUMIFS($AJ$7:$AJ$1843,$CG$7:$CG$1843,CG892,$AN$7:$AN$1843,"&gt;"&amp;AN892)+SUMIFS($AJ$7:$AJ$1843,$CG$7:$CG$1843,CG892,$AN$7:$AN$1843,AN892,$BX$7:$BX$1843,"&lt;="&amp;BX892),"")</f>
        <v/>
      </c>
      <c r="AP892" s="70" t="n">
        <f aca="false">IF(AO892="",0,MAX(0,MIN(1,(IF(CG892="L1",Parameter!$H$5,IF(CG892="L23",Parameter!$H$6+Parameter!$H$7,Parameter!$H$5+Parameter!$H$6+Parameter!$H$7))-(AO892-AJ892))/AJ892)))</f>
        <v>0</v>
      </c>
      <c r="AQ892" s="62" t="n">
        <f aca="false">IF(LEFT(Cockpit!$I$5,1)="A",H892,IF(Parameter!$E$30="MAX-Bestand",IF(CI892=1,CJ892,IF(LEFT(Cockpit!$I$5,1)="B",AW892,MAX(AW892,H892))),ROUNDUP(AU892,0)))</f>
        <v>1</v>
      </c>
      <c r="AR892" s="62" t="n">
        <f aca="false">IF(CA892=1,0,ROUNDUP(AQ892/BZ892,0))</f>
        <v>1</v>
      </c>
      <c r="AS892" s="64" t="n">
        <f aca="false">IF(CR892&gt;0,CR892*MAX(1,AQ892/X892),IF(CA892=1,IF(AQ892&lt;=0,0,CE892*MAX(1,IF(H892&gt;0,AQ892/H892,1))),IF(R892&gt;0,AR892/R892,0))/MAX(0.1,N(Parameter!$M$21)))</f>
        <v>0.0384615384615385</v>
      </c>
      <c r="AT892" s="62" t="n">
        <f aca="false">AS892*CC892</f>
        <v>5.96153846153846</v>
      </c>
      <c r="AU892" s="63" t="n">
        <f aca="false">IF(LEFT(Cockpit!$I$5,1)="A",H892,IF(CI892=1,(CL892+CJ892)/2,IF(LEFT(Cockpit!$I$5,1)="B",(CL892+AW892)/2,MAX((CL892+AW892)/2,H892))))</f>
        <v>0.5</v>
      </c>
      <c r="AV892" s="62" t="n">
        <f aca="false">AU892*G892</f>
        <v>15.105</v>
      </c>
      <c r="AW892" s="62" t="n">
        <f aca="false">ROUNDUP(CL892+MAX(CM892,2*(J892/IF(CH892&gt;0,CH892,MAX(0.1,N(Cockpit!$I$6)))-CL892)),0)</f>
        <v>1</v>
      </c>
      <c r="AX892" s="63" t="n">
        <f aca="false">IF(AT892&gt;0,J892/AT892,-1)</f>
        <v>0</v>
      </c>
      <c r="AY892" s="63" t="n">
        <f aca="false">IF(AND(OR(CG892="L1",CG892="L23",CG892="LIFT"),AT892&gt;0),SUMIFS($AT$7:$AT$1843,$CG$7:$CG$1843,CG892,$AX$7:$AX$1843,"&gt;"&amp;AX892)+SUMIFS($AT$7:$AT$1843,$CG$7:$CG$1843,CG892,$AX$7:$AX$1843,AX892,$BX$7:$BX$1843,"&lt;="&amp;BX892),"")</f>
        <v>34454.6712454213</v>
      </c>
      <c r="AZ892" s="70" t="n">
        <f aca="false">IF(AY892="",0,MAX(0,MIN(1,(IF(CG892="L1",Parameter!$H$5,IF(CG892="L23",Parameter!$H$6+Parameter!$H$7,Parameter!$H$5+Parameter!$H$6+Parameter!$H$7))-(AY892-AT892))/AT892)))</f>
        <v>1</v>
      </c>
      <c r="BA892" s="62" t="n">
        <f aca="false">IF(LEFT(Cockpit!$O$5,1)="A",H892,IF(Parameter!$E$30="MAX-Bestand",IF(CI892=1,CJ892,IF(LEFT(Cockpit!$O$5,1)="B",BG892,MAX(BG892,H892))),ROUNDUP(BE892,0)))</f>
        <v>1</v>
      </c>
      <c r="BB892" s="62" t="n">
        <f aca="false">IF(CA892=1,0,ROUNDUP(BA892/BZ892,0))</f>
        <v>1</v>
      </c>
      <c r="BC892" s="64" t="n">
        <f aca="false">IF(CR892&gt;0,CR892*MAX(1,BA892/X892),IF(CA892=1,IF(BA892&lt;=0,0,CE892*MAX(1,IF(H892&gt;0,BA892/H892,1))),IF(R892&gt;0,BB892/R892,0))/MAX(0.1,N(Parameter!$M$21)))</f>
        <v>0.0384615384615385</v>
      </c>
      <c r="BD892" s="62" t="n">
        <f aca="false">BC892*CC892</f>
        <v>5.96153846153846</v>
      </c>
      <c r="BE892" s="63" t="n">
        <f aca="false">IF(LEFT(Cockpit!$O$5,1)="A",H892,IF(CI892=1,(CL892+CJ892)/2,IF(LEFT(Cockpit!$O$5,1)="B",(CL892+BG892)/2,MAX((CL892+BG892)/2,H892))))</f>
        <v>0.5</v>
      </c>
      <c r="BF892" s="62" t="n">
        <f aca="false">BE892*G892</f>
        <v>15.105</v>
      </c>
      <c r="BG892" s="62" t="n">
        <f aca="false">ROUNDUP(CL892+MAX(CM892,2*(J892/IF(CH892&gt;0,CH892,MAX(0.1,N(Cockpit!$O$6)))-CL892)),0)</f>
        <v>1</v>
      </c>
      <c r="BH892" s="63" t="n">
        <f aca="false">IF(BD892&gt;0,J892/BD892,-1)</f>
        <v>0</v>
      </c>
      <c r="BI892" s="63" t="n">
        <f aca="false">IF(AND(OR(CG892="L1",CG892="L23",CG892="LIFT"),BD892&gt;0),SUMIFS($BD$7:$BD$1843,$CG$7:$CG$1843,CG892,$BH$7:$BH$1843,"&gt;"&amp;BH892)+SUMIFS($BD$7:$BD$1843,$CG$7:$CG$1843,CG892,$BH$7:$BH$1843,BH892,$BX$7:$BX$1843,"&lt;="&amp;BX892),"")</f>
        <v>28492.23889458</v>
      </c>
      <c r="BJ892" s="70" t="n">
        <f aca="false">IF(BI892="",0,MAX(0,MIN(1,(IF(CG892="L1",Parameter!$H$5,IF(CG892="L23",Parameter!$H$6+Parameter!$H$7,Parameter!$H$5+Parameter!$H$6+Parameter!$H$7))-(BI892-BD892))/BD892)))</f>
        <v>1</v>
      </c>
      <c r="BK892" s="60" t="str">
        <f aca="false">IF(AJ892&lt;=0,"",IF(CG892="Aussen","Aussenlager",IF(CG892="-","Nicht im Lift",IF(AP892&gt;=1,"Lift",IF(AP892&lt;=0,"Aussenlager","teilweise")))))</f>
        <v/>
      </c>
      <c r="BL892" s="60" t="str">
        <f aca="false">IF(AT892&lt;=0,"",IF(CG892="Aussen","Aussenlager",IF(CG892="-","Nicht im Lift",IF(AZ892&gt;=1,"Lift",IF(AZ892&lt;=0,"Aussenlager","teilweise")))))</f>
        <v>Lift</v>
      </c>
      <c r="BM892" s="60" t="str">
        <f aca="false">IF(BD892&lt;=0,"",IF(CG892="Aussen","Aussenlager",IF(CG892="-","Nicht im Lift",IF(BJ892&gt;=1,"Lift",IF(BJ892&lt;=0,"Aussenlager","teilweise")))))</f>
        <v>Lift</v>
      </c>
      <c r="BN892" s="60" t="str">
        <f aca="false">IF(A892="","",IF(BW892=1,"Neu; ","")&amp;IF(AND(BW892=0,BR892&lt;0),"negativer Bestand (Export "&amp;BR892&amp;"); ","")&amp;IF(J892&lt;=0,"Kein Verbrauch; ","")&amp;IF(CR892&gt;0,"Lift "&amp;W892&amp;" lt. Liftbericht (Fach "&amp;X892&amp;" Stk); ",IF(CB892=1,"Gebinde geschätzt ("&amp;T892&amp;"); ",IF(CA892=1,"Lose – Tablare geschätzt; ","")))&amp;IF(H892&gt;AW892,"Überbestand "&amp;ROUND(H892-AW892,0)&amp;" Stk / CHF "&amp;ROUND((H892-AW892)*G892,0)&amp;"; ","")&amp;IF(AND(CI892=1,CJ892&lt;CK892),"MAX &lt; MB+LG; ","")&amp;IF(AND(CQ892&gt;0,CP892*10&gt;CQ892),"zu hoch für Tablar; ","")&amp;IF(AND(BW892=0,OR(CI892=1,AB892&lt;&gt;"",U892&lt;&gt;"",V892&lt;&gt;"",AC892&lt;&gt;"")),"manuell übersteuert; ","")&amp;IF(AND(CA892=0,R892=0),"Gebinde unbekannt / Stellmass fehlt; ","")&amp;IF(AND(CA892=0,N(V892)&lt;=0,N(Q892)&lt;=0),"Menge pro Gebinde fehlt (Ist = 1 Gebinde); ","")&amp;BV892)</f>
        <v>negativer Bestand (Export -1); Kein Verbrauch; Gebinde geschätzt (Klein); Menge pro Gebinde fehlt (Ist = 1 Gebinde); </v>
      </c>
      <c r="BO892" s="60"/>
      <c r="BP892" s="60"/>
      <c r="BQ892" s="67"/>
      <c r="BR892" s="62" t="n">
        <v>-1</v>
      </c>
      <c r="BS892" s="62" t="n">
        <v>1</v>
      </c>
      <c r="BT892" s="61" t="n">
        <v>-30.21</v>
      </c>
      <c r="BU892" s="62" t="n">
        <v>0</v>
      </c>
      <c r="BV892" s="60"/>
      <c r="BW892" s="65" t="n">
        <v>0</v>
      </c>
      <c r="BX892" s="65" t="n">
        <v>892</v>
      </c>
      <c r="BY892" s="60" t="str">
        <f aca="false">IF(U892&lt;&gt;"",UPPER(TRIM(U892)),IF(CB892=1,UPPER(VLOOKUP(T892,Parameter!$I$27:$K$29,2,0)),IF(P892="","LOSE",P892)))</f>
        <v>S51</v>
      </c>
      <c r="BZ892" s="62" t="n">
        <f aca="false">IF(BY892="LOSE",1,IF(N(V892)&gt;0,V892,IF(CB892=1,MAX(1,N(VLOOKUP(T892,Parameter!$I$27:$K$29,3,0)),H892,N(N892)),IF(N(Q892)&gt;0,Q892,MAX(1,H892)))))</f>
        <v>20</v>
      </c>
      <c r="CA892" s="65" t="n">
        <f aca="false">IF(BY892="LOSE",1,0)</f>
        <v>0</v>
      </c>
      <c r="CB892" s="65" t="n">
        <f aca="false">IF(AND(U892="",OR(P892="",P892="LOSE"),T892&lt;&gt;"",N(S892)&lt;=0,ISNUMBER(MATCH(T892,Parameter!$I$27:$I$29,0))),1,0)</f>
        <v>1</v>
      </c>
      <c r="CC892" s="65" t="n">
        <f aca="false">IF(CR892&gt;0,INDEX(Parameter!$H$5:$H$7,W892)/INDEX(Parameter!$E$5:$E$7,W892),IF(AND(CA892=0,N(IFERROR(VLOOKUP(BY892,'Gebinde-Kategorie'!$A$5:$N$45,14,0),0))&gt;0),VLOOKUP(BY892,'Gebinde-Kategorie'!$A$5:$N$45,14,0)*10+Parameter!$M$23,Parameter!$M$24))</f>
        <v>155</v>
      </c>
      <c r="CD892" s="60" t="str">
        <f aca="false">IF(AND(Parameter!$B$19="Ja",E892&lt;&gt;"",ISNUMBER(MATCH(E892,Parameter!$I$35:$I$52,0))),VLOOKUP(E892,Parameter!$I$35:$J$52,2,0),IFERROR(VLOOKUP(D892,Parameter!$A$35:$C$64,2,0),"Nein"))</f>
        <v>2+3</v>
      </c>
      <c r="CE892" s="64" t="n">
        <f aca="false">IF(CA892=0,0,IF(N(S892)&gt;0,S892,IFERROR(VLOOKUP(D892,Parameter!$A$35:$C$64,3,0)+0,0)))</f>
        <v>0</v>
      </c>
      <c r="CF892" s="60" t="n">
        <f aca="false">IF(AB892&lt;&gt;"",AB892,AA892)</f>
        <v>3</v>
      </c>
      <c r="CG892" s="60" t="str">
        <f aca="false">IF(OR(CF892=1,CF892=2,CF892=3),IF(Parameter!$E$27="Ja","LIFT",IF(CF892=1,"L1","L23")),IF(CF892="Aussen","Aussen","-"))</f>
        <v>LIFT</v>
      </c>
      <c r="CH892" s="71" t="n">
        <f aca="false">IF(N(AC892)&gt;0,AC892,0)</f>
        <v>0</v>
      </c>
      <c r="CI892" s="65" t="n">
        <f aca="false">IF(ISNUMBER(AF892),1,0)</f>
        <v>0</v>
      </c>
      <c r="CJ892" s="62" t="n">
        <f aca="false">N(AF892)</f>
        <v>0</v>
      </c>
      <c r="CK892" s="62" t="n">
        <f aca="false">N(M892)+N(N892)</f>
        <v>1</v>
      </c>
      <c r="CL892" s="62" t="n">
        <f aca="false">N(M892)</f>
        <v>0</v>
      </c>
      <c r="CM892" s="62" t="n">
        <f aca="false">N(N892)</f>
        <v>1</v>
      </c>
      <c r="CN892" s="62" t="n">
        <f aca="false">ROUNDUP(H892/BZ892,0)</f>
        <v>0</v>
      </c>
      <c r="CO892" s="62" t="n">
        <f aca="false">ROUNDUP(CJ892/BZ892,0)</f>
        <v>0</v>
      </c>
      <c r="CP892" s="65" t="n">
        <f aca="false">IF(CA892=1,0,IFERROR(VLOOKUP(BY892,'Gebinde-Kategorie'!$A$5:$N$45,5,0)+0,0))</f>
        <v>11</v>
      </c>
      <c r="CQ892" s="65" t="n">
        <f aca="false">IFERROR(IF(OR(CF892=1,CF892=2,CF892=3),N(INDEX(Parameter!$I$5:$I$7,CF892)),0),0)</f>
        <v>0</v>
      </c>
      <c r="CR892" s="64" t="n">
        <f aca="false">IF(AND(Parameter!$B$21="Ja",ISNUMBER(W892),N(X892)&gt;0),IFERROR(N(INDEX(Parameter!$L$5:$L$7,W892))*INDEX(Parameter!$E$5:$E$7,W892)*X892/SUMIFS($X$7:$X$1843,$W$7:$W$1843,W892),0),0)</f>
        <v>0</v>
      </c>
      <c r="CS892" s="62" t="str">
        <f aca="false">IF(AND(OR(CG892="L1",CG892="L23",CG892="LIFT"),H892&gt;0),CC892*IF(CR892&gt;0,CR892*MAX(1,H892/X892),IF(CA892=1,CE892,IF(R892&gt;0,CN892/R892,0))/MAX(0.1,N(Parameter!$M$21))),"")</f>
        <v/>
      </c>
      <c r="CT892" s="64" t="str">
        <f aca="false">IF(CS892="","",J892/H892)</f>
        <v/>
      </c>
      <c r="CU892" s="62" t="str">
        <f aca="false">IF(CS892="","",H892*G892)</f>
        <v/>
      </c>
      <c r="CV892" s="63" t="str">
        <f aca="false">IF(CS892="","",(CL892+ROUNDUP(CL892+MAX(CM892,2*(J892/MAX(0.1,N(Einkauf!$C$6))-CL892)),0))/2)</f>
        <v/>
      </c>
      <c r="CW892" s="62" t="str">
        <f aca="false">IF(CS892="","",MAX(0,H892-CV892)*G892)</f>
        <v/>
      </c>
      <c r="CX892" s="62" t="str">
        <f aca="false">IF(CS892="","",CS892*MAX(0,1-CV892/H892))</f>
        <v/>
      </c>
      <c r="CY892" s="64" t="str">
        <f aca="false">IF(CS892="","",PERCENTRANK($CS$7:$CS$1843,CS892)+PERCENTRANK($CU$7:$CU$1843,CU892)+1-PERCENTRANK($CT$7:$CT$1843,CT892))</f>
        <v/>
      </c>
      <c r="CZ892" s="72" t="str">
        <f aca="false">IF(CS892="","",CHOOSE(MATCH(Einkauf!$C$5,Parameter!$G$23:$G$27,0),CY892,CS892,CU892,-CT892,CW892)+ROW()/1000000000)</f>
        <v/>
      </c>
    </row>
    <row r="893" customFormat="false" ht="15" hidden="false" customHeight="false" outlineLevel="0" collapsed="false">
      <c r="A893" s="60" t="s">
        <v>1727</v>
      </c>
      <c r="B893" s="60" t="s">
        <v>631</v>
      </c>
      <c r="C893" s="60" t="s">
        <v>206</v>
      </c>
      <c r="D893" s="60" t="s">
        <v>226</v>
      </c>
      <c r="E893" s="60" t="s">
        <v>227</v>
      </c>
      <c r="F893" s="60" t="s">
        <v>260</v>
      </c>
      <c r="G893" s="61" t="n">
        <v>2.2</v>
      </c>
      <c r="H893" s="62" t="n">
        <f aca="false">MAX(0,IF(AND(Parameter!$B$21="Ja",ISNUMBER(Y893)),Y893,IF(Parameter!$B$20="Jahresanfang 2025 + Export",BS893+BR893,BR893)))</f>
        <v>34</v>
      </c>
      <c r="I893" s="62" t="n">
        <f aca="false">H893*G893</f>
        <v>74.8</v>
      </c>
      <c r="J893" s="62" t="n">
        <f aca="false">BU893*Parameter!$B$18</f>
        <v>11</v>
      </c>
      <c r="K893" s="63" t="n">
        <v>41</v>
      </c>
      <c r="L893" s="64" t="n">
        <v>0.268292682926829</v>
      </c>
      <c r="M893" s="62" t="n">
        <v>0</v>
      </c>
      <c r="N893" s="62" t="n">
        <v>10</v>
      </c>
      <c r="O893" s="65" t="n">
        <v>21</v>
      </c>
      <c r="P893" s="60" t="s">
        <v>468</v>
      </c>
      <c r="Q893" s="62" t="n">
        <v>21</v>
      </c>
      <c r="R893" s="65" t="n">
        <f aca="false">IF(CA893=1,0,IFERROR(VLOOKUP(BY893,'Gebinde-Kategorie'!$A$5:$N$45,13,0)+0,0))</f>
        <v>140</v>
      </c>
      <c r="S893" s="66"/>
      <c r="T893" s="67"/>
      <c r="U893" s="67"/>
      <c r="V893" s="67"/>
      <c r="W893" s="60"/>
      <c r="X893" s="62"/>
      <c r="Y893" s="62"/>
      <c r="Z893" s="60" t="n">
        <v>3</v>
      </c>
      <c r="AA893" s="60" t="n">
        <f aca="false">IF(A893="","",IF(AND(Parameter!$B$21="Ja",ISNUMBER(W893)),W893,IF(AND(Parameter!$E$27="Ja",ISNUMBER(Z893),CD893&lt;&gt;"Nein"),Z893,IF(CD893="2+3",IF(ISNUMBER(SEARCH("grosser Artikel",BV893)),2,IFERROR(VLOOKUP(BY893,Parameter!$F$35:$G$64,2,0),2)),IF(OR(CD893="Nein",CD893=""),"-",CD893)))))</f>
        <v>3</v>
      </c>
      <c r="AB893" s="67"/>
      <c r="AC893" s="68"/>
      <c r="AD893" s="62" t="n">
        <f aca="false">AW893</f>
        <v>10</v>
      </c>
      <c r="AE893" s="62" t="n">
        <f aca="false">MAX(AW893,H893)</f>
        <v>34</v>
      </c>
      <c r="AF893" s="69"/>
      <c r="AG893" s="62" t="n">
        <f aca="false">IF(LEFT(Cockpit!$C$5,1)="A",H893,IF(Parameter!$E$30="MAX-Bestand",IF(CI893=1,CJ893,IF(LEFT(Cockpit!$C$5,1)="B",AM893,MAX(AM893,H893))),ROUNDUP(AK893,0)))</f>
        <v>34</v>
      </c>
      <c r="AH893" s="62" t="n">
        <f aca="false">IF(CA893=1,0,ROUNDUP(AG893/BZ893,0))</f>
        <v>2</v>
      </c>
      <c r="AI893" s="64" t="n">
        <f aca="false">IF(CR893&gt;0,CR893*MAX(1,AG893/X893),IF(CA893=1,IF(AG893&lt;=0,0,CE893*MAX(1,IF(H893&gt;0,AG893/H893,1))),IF(R893&gt;0,AH893/R893,0))/MAX(0.1,N(Parameter!$M$21)))</f>
        <v>0.0142857142857143</v>
      </c>
      <c r="AJ893" s="62" t="n">
        <f aca="false">AI893*CC893</f>
        <v>2.21428571428571</v>
      </c>
      <c r="AK893" s="63" t="n">
        <f aca="false">IF(LEFT(Cockpit!$C$5,1)="A",H893,IF(CI893=1,(CL893+CJ893)/2,IF(LEFT(Cockpit!$C$5,1)="B",(CL893+AM893)/2,MAX((CL893+AM893)/2,H893))))</f>
        <v>34</v>
      </c>
      <c r="AL893" s="62" t="n">
        <f aca="false">AK893*G893</f>
        <v>74.8</v>
      </c>
      <c r="AM893" s="62" t="n">
        <f aca="false">ROUNDUP(CL893+MAX(CM893,2*(J893/IF(CH893&gt;0,CH893,MAX(0.1,N(Cockpit!$C$6)))-CL893)),0)</f>
        <v>10</v>
      </c>
      <c r="AN893" s="63" t="n">
        <f aca="false">IF(AJ893&gt;0,J893/AJ893,-1)</f>
        <v>4.96774193548387</v>
      </c>
      <c r="AO893" s="63" t="n">
        <f aca="false">IF(AND(OR(CG893="L1",CG893="L23",CG893="LIFT"),AJ893&gt;0),SUMIFS($AJ$7:$AJ$1843,$CG$7:$CG$1843,CG893,$AN$7:$AN$1843,"&gt;"&amp;AN893)+SUMIFS($AJ$7:$AJ$1843,$CG$7:$CG$1843,CG893,$AN$7:$AN$1843,AN893,$BX$7:$BX$1843,"&lt;="&amp;BX893),"")</f>
        <v>3925.04990842491</v>
      </c>
      <c r="AP893" s="70" t="n">
        <f aca="false">IF(AO893="",0,MAX(0,MIN(1,(IF(CG893="L1",Parameter!$H$5,IF(CG893="L23",Parameter!$H$6+Parameter!$H$7,Parameter!$H$5+Parameter!$H$6+Parameter!$H$7))-(AO893-AJ893))/AJ893)))</f>
        <v>1</v>
      </c>
      <c r="AQ893" s="62" t="n">
        <f aca="false">IF(LEFT(Cockpit!$I$5,1)="A",H893,IF(Parameter!$E$30="MAX-Bestand",IF(CI893=1,CJ893,IF(LEFT(Cockpit!$I$5,1)="B",AW893,MAX(AW893,H893))),ROUNDUP(AU893,0)))</f>
        <v>34</v>
      </c>
      <c r="AR893" s="62" t="n">
        <f aca="false">IF(CA893=1,0,ROUNDUP(AQ893/BZ893,0))</f>
        <v>2</v>
      </c>
      <c r="AS893" s="64" t="n">
        <f aca="false">IF(CR893&gt;0,CR893*MAX(1,AQ893/X893),IF(CA893=1,IF(AQ893&lt;=0,0,CE893*MAX(1,IF(H893&gt;0,AQ893/H893,1))),IF(R893&gt;0,AR893/R893,0))/MAX(0.1,N(Parameter!$M$21)))</f>
        <v>0.0142857142857143</v>
      </c>
      <c r="AT893" s="62" t="n">
        <f aca="false">AS893*CC893</f>
        <v>2.21428571428571</v>
      </c>
      <c r="AU893" s="63" t="n">
        <f aca="false">IF(LEFT(Cockpit!$I$5,1)="A",H893,IF(CI893=1,(CL893+CJ893)/2,IF(LEFT(Cockpit!$I$5,1)="B",(CL893+AW893)/2,MAX((CL893+AW893)/2,H893))))</f>
        <v>34</v>
      </c>
      <c r="AV893" s="62" t="n">
        <f aca="false">AU893*G893</f>
        <v>74.8</v>
      </c>
      <c r="AW893" s="62" t="n">
        <f aca="false">ROUNDUP(CL893+MAX(CM893,2*(J893/IF(CH893&gt;0,CH893,MAX(0.1,N(Cockpit!$I$6)))-CL893)),0)</f>
        <v>10</v>
      </c>
      <c r="AX893" s="63" t="n">
        <f aca="false">IF(AT893&gt;0,J893/AT893,-1)</f>
        <v>4.96774193548387</v>
      </c>
      <c r="AY893" s="63" t="n">
        <f aca="false">IF(AND(OR(CG893="L1",CG893="L23",CG893="LIFT"),AT893&gt;0),SUMIFS($AT$7:$AT$1843,$CG$7:$CG$1843,CG893,$AX$7:$AX$1843,"&gt;"&amp;AX893)+SUMIFS($AT$7:$AT$1843,$CG$7:$CG$1843,CG893,$AX$7:$AX$1843,AX893,$BX$7:$BX$1843,"&lt;="&amp;BX893),"")</f>
        <v>4521.29075091575</v>
      </c>
      <c r="AZ893" s="70" t="n">
        <f aca="false">IF(AY893="",0,MAX(0,MIN(1,(IF(CG893="L1",Parameter!$H$5,IF(CG893="L23",Parameter!$H$6+Parameter!$H$7,Parameter!$H$5+Parameter!$H$6+Parameter!$H$7))-(AY893-AT893))/AT893)))</f>
        <v>1</v>
      </c>
      <c r="BA893" s="62" t="n">
        <f aca="false">IF(LEFT(Cockpit!$O$5,1)="A",H893,IF(Parameter!$E$30="MAX-Bestand",IF(CI893=1,CJ893,IF(LEFT(Cockpit!$O$5,1)="B",BG893,MAX(BG893,H893))),ROUNDUP(BE893,0)))</f>
        <v>5</v>
      </c>
      <c r="BB893" s="62" t="n">
        <f aca="false">IF(CA893=1,0,ROUNDUP(BA893/BZ893,0))</f>
        <v>1</v>
      </c>
      <c r="BC893" s="64" t="n">
        <f aca="false">IF(CR893&gt;0,CR893*MAX(1,BA893/X893),IF(CA893=1,IF(BA893&lt;=0,0,CE893*MAX(1,IF(H893&gt;0,BA893/H893,1))),IF(R893&gt;0,BB893/R893,0))/MAX(0.1,N(Parameter!$M$21)))</f>
        <v>0.00714285714285714</v>
      </c>
      <c r="BD893" s="62" t="n">
        <f aca="false">BC893*CC893</f>
        <v>1.10714285714286</v>
      </c>
      <c r="BE893" s="63" t="n">
        <f aca="false">IF(LEFT(Cockpit!$O$5,1)="A",H893,IF(CI893=1,(CL893+CJ893)/2,IF(LEFT(Cockpit!$O$5,1)="B",(CL893+BG893)/2,MAX((CL893+BG893)/2,H893))))</f>
        <v>5</v>
      </c>
      <c r="BF893" s="62" t="n">
        <f aca="false">BE893*G893</f>
        <v>11</v>
      </c>
      <c r="BG893" s="62" t="n">
        <f aca="false">ROUNDUP(CL893+MAX(CM893,2*(J893/IF(CH893&gt;0,CH893,MAX(0.1,N(Cockpit!$O$6)))-CL893)),0)</f>
        <v>10</v>
      </c>
      <c r="BH893" s="63" t="n">
        <f aca="false">IF(BD893&gt;0,J893/BD893,-1)</f>
        <v>9.93548387096774</v>
      </c>
      <c r="BI893" s="63" t="n">
        <f aca="false">IF(AND(OR(CG893="L1",CG893="L23",CG893="LIFT"),BD893&gt;0),SUMIFS($BD$7:$BD$1843,$CG$7:$CG$1843,CG893,$BH$7:$BH$1843,"&gt;"&amp;BH893)+SUMIFS($BD$7:$BD$1843,$CG$7:$CG$1843,CG893,$BH$7:$BH$1843,BH893,$BX$7:$BX$1843,"&lt;="&amp;BX893),"")</f>
        <v>2672.56730769231</v>
      </c>
      <c r="BJ893" s="70" t="n">
        <f aca="false">IF(BI893="",0,MAX(0,MIN(1,(IF(CG893="L1",Parameter!$H$5,IF(CG893="L23",Parameter!$H$6+Parameter!$H$7,Parameter!$H$5+Parameter!$H$6+Parameter!$H$7))-(BI893-BD893))/BD893)))</f>
        <v>1</v>
      </c>
      <c r="BK893" s="60" t="str">
        <f aca="false">IF(AJ893&lt;=0,"",IF(CG893="Aussen","Aussenlager",IF(CG893="-","Nicht im Lift",IF(AP893&gt;=1,"Lift",IF(AP893&lt;=0,"Aussenlager","teilweise")))))</f>
        <v>Lift</v>
      </c>
      <c r="BL893" s="60" t="str">
        <f aca="false">IF(AT893&lt;=0,"",IF(CG893="Aussen","Aussenlager",IF(CG893="-","Nicht im Lift",IF(AZ893&gt;=1,"Lift",IF(AZ893&lt;=0,"Aussenlager","teilweise")))))</f>
        <v>Lift</v>
      </c>
      <c r="BM893" s="60" t="str">
        <f aca="false">IF(BD893&lt;=0,"",IF(CG893="Aussen","Aussenlager",IF(CG893="-","Nicht im Lift",IF(BJ893&gt;=1,"Lift",IF(BJ893&lt;=0,"Aussenlager","teilweise")))))</f>
        <v>Lift</v>
      </c>
      <c r="BN893" s="60" t="str">
        <f aca="false">IF(A893="","",IF(BW893=1,"Neu; ","")&amp;IF(AND(BW893=0,BR893&lt;0),"negativer Bestand (Export "&amp;BR893&amp;"); ","")&amp;IF(J893&lt;=0,"Kein Verbrauch; ","")&amp;IF(CR893&gt;0,"Lift "&amp;W893&amp;" lt. Liftbericht (Fach "&amp;X893&amp;" Stk); ",IF(CB893=1,"Gebinde geschätzt ("&amp;T893&amp;"); ",IF(CA893=1,"Lose – Tablare geschätzt; ","")))&amp;IF(H893&gt;AW893,"Überbestand "&amp;ROUND(H893-AW893,0)&amp;" Stk / CHF "&amp;ROUND((H893-AW893)*G893,0)&amp;"; ","")&amp;IF(AND(CI893=1,CJ893&lt;CK893),"MAX &lt; MB+LG; ","")&amp;IF(AND(CQ893&gt;0,CP893*10&gt;CQ893),"zu hoch für Tablar; ","")&amp;IF(AND(BW893=0,OR(CI893=1,AB893&lt;&gt;"",U893&lt;&gt;"",V893&lt;&gt;"",AC893&lt;&gt;"")),"manuell übersteuert; ","")&amp;IF(AND(CA893=0,R893=0),"Gebinde unbekannt / Stellmass fehlt; ","")&amp;IF(AND(CA893=0,N(V893)&lt;=0,N(Q893)&lt;=0),"Menge pro Gebinde fehlt (Ist = 1 Gebinde); ","")&amp;BV893)</f>
        <v>negativer Bestand (Export -14); Überbestand 24 Stk / CHF 53; </v>
      </c>
      <c r="BO893" s="60"/>
      <c r="BP893" s="60"/>
      <c r="BQ893" s="67"/>
      <c r="BR893" s="62" t="n">
        <v>-14</v>
      </c>
      <c r="BS893" s="62" t="n">
        <v>48</v>
      </c>
      <c r="BT893" s="61" t="n">
        <v>-30.8</v>
      </c>
      <c r="BU893" s="62" t="n">
        <v>11</v>
      </c>
      <c r="BV893" s="60"/>
      <c r="BW893" s="65" t="n">
        <v>0</v>
      </c>
      <c r="BX893" s="65" t="n">
        <v>893</v>
      </c>
      <c r="BY893" s="60" t="str">
        <f aca="false">IF(U893&lt;&gt;"",UPPER(TRIM(U893)),IF(CB893=1,UPPER(VLOOKUP(T893,Parameter!$I$27:$K$29,2,0)),IF(P893="","LOSE",P893)))</f>
        <v>S22</v>
      </c>
      <c r="BZ893" s="62" t="n">
        <f aca="false">IF(BY893="LOSE",1,IF(N(V893)&gt;0,V893,IF(CB893=1,MAX(1,N(VLOOKUP(T893,Parameter!$I$27:$K$29,3,0)),H893,N(N893)),IF(N(Q893)&gt;0,Q893,MAX(1,H893)))))</f>
        <v>21</v>
      </c>
      <c r="CA893" s="65" t="n">
        <f aca="false">IF(BY893="LOSE",1,0)</f>
        <v>0</v>
      </c>
      <c r="CB893" s="65" t="n">
        <f aca="false">IF(AND(U893="",OR(P893="",P893="LOSE"),T893&lt;&gt;"",N(S893)&lt;=0,ISNUMBER(MATCH(T893,Parameter!$I$27:$I$29,0))),1,0)</f>
        <v>0</v>
      </c>
      <c r="CC893" s="65" t="n">
        <f aca="false">IF(CR893&gt;0,INDEX(Parameter!$H$5:$H$7,W893)/INDEX(Parameter!$E$5:$E$7,W893),IF(AND(CA893=0,N(IFERROR(VLOOKUP(BY893,'Gebinde-Kategorie'!$A$5:$N$45,14,0),0))&gt;0),VLOOKUP(BY893,'Gebinde-Kategorie'!$A$5:$N$45,14,0)*10+Parameter!$M$23,Parameter!$M$24))</f>
        <v>155</v>
      </c>
      <c r="CD893" s="60" t="str">
        <f aca="false">IF(AND(Parameter!$B$19="Ja",E893&lt;&gt;"",ISNUMBER(MATCH(E893,Parameter!$I$35:$I$52,0))),VLOOKUP(E893,Parameter!$I$35:$J$52,2,0),IFERROR(VLOOKUP(D893,Parameter!$A$35:$C$64,2,0),"Nein"))</f>
        <v>2+3</v>
      </c>
      <c r="CE893" s="64" t="n">
        <f aca="false">IF(CA893=0,0,IF(N(S893)&gt;0,S893,IFERROR(VLOOKUP(D893,Parameter!$A$35:$C$64,3,0)+0,0)))</f>
        <v>0</v>
      </c>
      <c r="CF893" s="60" t="n">
        <f aca="false">IF(AB893&lt;&gt;"",AB893,AA893)</f>
        <v>3</v>
      </c>
      <c r="CG893" s="60" t="str">
        <f aca="false">IF(OR(CF893=1,CF893=2,CF893=3),IF(Parameter!$E$27="Ja","LIFT",IF(CF893=1,"L1","L23")),IF(CF893="Aussen","Aussen","-"))</f>
        <v>LIFT</v>
      </c>
      <c r="CH893" s="71" t="n">
        <f aca="false">IF(N(AC893)&gt;0,AC893,0)</f>
        <v>0</v>
      </c>
      <c r="CI893" s="65" t="n">
        <f aca="false">IF(ISNUMBER(AF893),1,0)</f>
        <v>0</v>
      </c>
      <c r="CJ893" s="62" t="n">
        <f aca="false">N(AF893)</f>
        <v>0</v>
      </c>
      <c r="CK893" s="62" t="n">
        <f aca="false">N(M893)+N(N893)</f>
        <v>10</v>
      </c>
      <c r="CL893" s="62" t="n">
        <f aca="false">N(M893)</f>
        <v>0</v>
      </c>
      <c r="CM893" s="62" t="n">
        <f aca="false">N(N893)</f>
        <v>10</v>
      </c>
      <c r="CN893" s="62" t="n">
        <f aca="false">ROUNDUP(H893/BZ893,0)</f>
        <v>2</v>
      </c>
      <c r="CO893" s="62" t="n">
        <f aca="false">ROUNDUP(CJ893/BZ893,0)</f>
        <v>0</v>
      </c>
      <c r="CP893" s="65" t="n">
        <f aca="false">IF(CA893=1,0,IFERROR(VLOOKUP(BY893,'Gebinde-Kategorie'!$A$5:$N$45,5,0)+0,0))</f>
        <v>8</v>
      </c>
      <c r="CQ893" s="65" t="n">
        <f aca="false">IFERROR(IF(OR(CF893=1,CF893=2,CF893=3),N(INDEX(Parameter!$I$5:$I$7,CF893)),0),0)</f>
        <v>0</v>
      </c>
      <c r="CR893" s="64" t="n">
        <f aca="false">IF(AND(Parameter!$B$21="Ja",ISNUMBER(W893),N(X893)&gt;0),IFERROR(N(INDEX(Parameter!$L$5:$L$7,W893))*INDEX(Parameter!$E$5:$E$7,W893)*X893/SUMIFS($X$7:$X$1843,$W$7:$W$1843,W893),0),0)</f>
        <v>0</v>
      </c>
      <c r="CS893" s="62" t="n">
        <f aca="false">IF(AND(OR(CG893="L1",CG893="L23",CG893="LIFT"),H893&gt;0),CC893*IF(CR893&gt;0,CR893*MAX(1,H893/X893),IF(CA893=1,CE893,IF(R893&gt;0,CN893/R893,0))/MAX(0.1,N(Parameter!$M$21))),"")</f>
        <v>2.21428571428571</v>
      </c>
      <c r="CT893" s="64" t="n">
        <f aca="false">IF(CS893="","",J893/H893)</f>
        <v>0.323529411764706</v>
      </c>
      <c r="CU893" s="62" t="n">
        <f aca="false">IF(CS893="","",H893*G893)</f>
        <v>74.8</v>
      </c>
      <c r="CV893" s="63" t="n">
        <f aca="false">IF(CS893="","",(CL893+ROUNDUP(CL893+MAX(CM893,2*(J893/MAX(0.1,N(Einkauf!$C$6))-CL893)),0))/2)</f>
        <v>5</v>
      </c>
      <c r="CW893" s="62" t="n">
        <f aca="false">IF(CS893="","",MAX(0,H893-CV893)*G893)</f>
        <v>63.8</v>
      </c>
      <c r="CX893" s="62" t="n">
        <f aca="false">IF(CS893="","",CS893*MAX(0,1-CV893/H893))</f>
        <v>1.88865546218487</v>
      </c>
      <c r="CY893" s="64" t="n">
        <f aca="false">IF(CS893="","",PERCENTRANK($CS$7:$CS$1843,CS893)+PERCENTRANK($CU$7:$CU$1843,CU893)+1-PERCENTRANK($CT$7:$CT$1843,CT893))</f>
        <v>0.884</v>
      </c>
      <c r="CZ893" s="72" t="n">
        <f aca="false">IF(CS893="","",CHOOSE(MATCH(Einkauf!$C$5,Parameter!$G$23:$G$27,0),CY893,CS893,CU893,-CT893,CW893)+ROW()/1000000000)</f>
        <v>0.884000893</v>
      </c>
    </row>
    <row r="894" customFormat="false" ht="15" hidden="false" customHeight="false" outlineLevel="0" collapsed="false">
      <c r="A894" s="60" t="s">
        <v>1728</v>
      </c>
      <c r="B894" s="60" t="s">
        <v>1729</v>
      </c>
      <c r="C894" s="60" t="s">
        <v>206</v>
      </c>
      <c r="D894" s="60" t="s">
        <v>226</v>
      </c>
      <c r="E894" s="60"/>
      <c r="F894" s="60" t="s">
        <v>260</v>
      </c>
      <c r="G894" s="61" t="n">
        <v>0.24</v>
      </c>
      <c r="H894" s="62" t="n">
        <f aca="false">MAX(0,IF(AND(Parameter!$B$21="Ja",ISNUMBER(Y894)),Y894,IF(Parameter!$B$20="Jahresanfang 2025 + Export",BS894+BR894,BR894)))</f>
        <v>771</v>
      </c>
      <c r="I894" s="62" t="n">
        <f aca="false">H894*G894</f>
        <v>185.04</v>
      </c>
      <c r="J894" s="62" t="n">
        <f aca="false">BU894*Parameter!$B$18</f>
        <v>0</v>
      </c>
      <c r="K894" s="63" t="n">
        <v>900</v>
      </c>
      <c r="L894" s="64" t="n">
        <v>0</v>
      </c>
      <c r="M894" s="62" t="n">
        <v>1</v>
      </c>
      <c r="N894" s="62" t="n">
        <v>1</v>
      </c>
      <c r="O894" s="65" t="n">
        <v>21</v>
      </c>
      <c r="P894" s="60" t="s">
        <v>344</v>
      </c>
      <c r="Q894" s="62" t="n">
        <v>400</v>
      </c>
      <c r="R894" s="65" t="n">
        <f aca="false">IF(CA894=1,0,IFERROR(VLOOKUP(BY894,'Gebinde-Kategorie'!$A$5:$N$45,13,0)+0,0))</f>
        <v>26</v>
      </c>
      <c r="S894" s="66"/>
      <c r="T894" s="67"/>
      <c r="U894" s="67"/>
      <c r="V894" s="67"/>
      <c r="W894" s="60"/>
      <c r="X894" s="62"/>
      <c r="Y894" s="62"/>
      <c r="Z894" s="60" t="n">
        <v>3</v>
      </c>
      <c r="AA894" s="60" t="n">
        <f aca="false">IF(A894="","",IF(AND(Parameter!$B$21="Ja",ISNUMBER(W894)),W894,IF(AND(Parameter!$E$27="Ja",ISNUMBER(Z894),CD894&lt;&gt;"Nein"),Z894,IF(CD894="2+3",IF(ISNUMBER(SEARCH("grosser Artikel",BV894)),2,IFERROR(VLOOKUP(BY894,Parameter!$F$35:$G$64,2,0),2)),IF(OR(CD894="Nein",CD894=""),"-",CD894)))))</f>
        <v>3</v>
      </c>
      <c r="AB894" s="67"/>
      <c r="AC894" s="68"/>
      <c r="AD894" s="62" t="n">
        <f aca="false">AW894</f>
        <v>2</v>
      </c>
      <c r="AE894" s="62" t="n">
        <f aca="false">MAX(AW894,H894)</f>
        <v>771</v>
      </c>
      <c r="AF894" s="69"/>
      <c r="AG894" s="62" t="n">
        <f aca="false">IF(LEFT(Cockpit!$C$5,1)="A",H894,IF(Parameter!$E$30="MAX-Bestand",IF(CI894=1,CJ894,IF(LEFT(Cockpit!$C$5,1)="B",AM894,MAX(AM894,H894))),ROUNDUP(AK894,0)))</f>
        <v>771</v>
      </c>
      <c r="AH894" s="62" t="n">
        <f aca="false">IF(CA894=1,0,ROUNDUP(AG894/BZ894,0))</f>
        <v>2</v>
      </c>
      <c r="AI894" s="64" t="n">
        <f aca="false">IF(CR894&gt;0,CR894*MAX(1,AG894/X894),IF(CA894=1,IF(AG894&lt;=0,0,CE894*MAX(1,IF(H894&gt;0,AG894/H894,1))),IF(R894&gt;0,AH894/R894,0))/MAX(0.1,N(Parameter!$M$21)))</f>
        <v>0.0769230769230769</v>
      </c>
      <c r="AJ894" s="62" t="n">
        <f aca="false">AI894*CC894</f>
        <v>11.9230769230769</v>
      </c>
      <c r="AK894" s="63" t="n">
        <f aca="false">IF(LEFT(Cockpit!$C$5,1)="A",H894,IF(CI894=1,(CL894+CJ894)/2,IF(LEFT(Cockpit!$C$5,1)="B",(CL894+AM894)/2,MAX((CL894+AM894)/2,H894))))</f>
        <v>771</v>
      </c>
      <c r="AL894" s="62" t="n">
        <f aca="false">AK894*G894</f>
        <v>185.04</v>
      </c>
      <c r="AM894" s="62" t="n">
        <f aca="false">ROUNDUP(CL894+MAX(CM894,2*(J894/IF(CH894&gt;0,CH894,MAX(0.1,N(Cockpit!$C$6)))-CL894)),0)</f>
        <v>2</v>
      </c>
      <c r="AN894" s="63" t="n">
        <f aca="false">IF(AJ894&gt;0,J894/AJ894,-1)</f>
        <v>0</v>
      </c>
      <c r="AO894" s="63" t="n">
        <f aca="false">IF(AND(OR(CG894="L1",CG894="L23",CG894="LIFT"),AJ894&gt;0),SUMIFS($AJ$7:$AJ$1843,$CG$7:$CG$1843,CG894,$AN$7:$AN$1843,"&gt;"&amp;AN894)+SUMIFS($AJ$7:$AJ$1843,$CG$7:$CG$1843,CG894,$AN$7:$AN$1843,AN894,$BX$7:$BX$1843,"&lt;="&amp;BX894),"")</f>
        <v>28834.4305710768</v>
      </c>
      <c r="AP894" s="70" t="n">
        <f aca="false">IF(AO894="",0,MAX(0,MIN(1,(IF(CG894="L1",Parameter!$H$5,IF(CG894="L23",Parameter!$H$6+Parameter!$H$7,Parameter!$H$5+Parameter!$H$6+Parameter!$H$7))-(AO894-AJ894))/AJ894)))</f>
        <v>1</v>
      </c>
      <c r="AQ894" s="62" t="n">
        <f aca="false">IF(LEFT(Cockpit!$I$5,1)="A",H894,IF(Parameter!$E$30="MAX-Bestand",IF(CI894=1,CJ894,IF(LEFT(Cockpit!$I$5,1)="B",AW894,MAX(AW894,H894))),ROUNDUP(AU894,0)))</f>
        <v>771</v>
      </c>
      <c r="AR894" s="62" t="n">
        <f aca="false">IF(CA894=1,0,ROUNDUP(AQ894/BZ894,0))</f>
        <v>2</v>
      </c>
      <c r="AS894" s="64" t="n">
        <f aca="false">IF(CR894&gt;0,CR894*MAX(1,AQ894/X894),IF(CA894=1,IF(AQ894&lt;=0,0,CE894*MAX(1,IF(H894&gt;0,AQ894/H894,1))),IF(R894&gt;0,AR894/R894,0))/MAX(0.1,N(Parameter!$M$21)))</f>
        <v>0.0769230769230769</v>
      </c>
      <c r="AT894" s="62" t="n">
        <f aca="false">AS894*CC894</f>
        <v>11.9230769230769</v>
      </c>
      <c r="AU894" s="63" t="n">
        <f aca="false">IF(LEFT(Cockpit!$I$5,1)="A",H894,IF(CI894=1,(CL894+CJ894)/2,IF(LEFT(Cockpit!$I$5,1)="B",(CL894+AW894)/2,MAX((CL894+AW894)/2,H894))))</f>
        <v>771</v>
      </c>
      <c r="AV894" s="62" t="n">
        <f aca="false">AU894*G894</f>
        <v>185.04</v>
      </c>
      <c r="AW894" s="62" t="n">
        <f aca="false">ROUNDUP(CL894+MAX(CM894,2*(J894/IF(CH894&gt;0,CH894,MAX(0.1,N(Cockpit!$I$6)))-CL894)),0)</f>
        <v>2</v>
      </c>
      <c r="AX894" s="63" t="n">
        <f aca="false">IF(AT894&gt;0,J894/AT894,-1)</f>
        <v>0</v>
      </c>
      <c r="AY894" s="63" t="n">
        <f aca="false">IF(AND(OR(CG894="L1",CG894="L23",CG894="LIFT"),AT894&gt;0),SUMIFS($AT$7:$AT$1843,$CG$7:$CG$1843,CG894,$AX$7:$AX$1843,"&gt;"&amp;AX894)+SUMIFS($AT$7:$AT$1843,$CG$7:$CG$1843,CG894,$AX$7:$AX$1843,AX894,$BX$7:$BX$1843,"&lt;="&amp;BX894),"")</f>
        <v>34466.5943223443</v>
      </c>
      <c r="AZ894" s="70" t="n">
        <f aca="false">IF(AY894="",0,MAX(0,MIN(1,(IF(CG894="L1",Parameter!$H$5,IF(CG894="L23",Parameter!$H$6+Parameter!$H$7,Parameter!$H$5+Parameter!$H$6+Parameter!$H$7))-(AY894-AT894))/AT894)))</f>
        <v>1</v>
      </c>
      <c r="BA894" s="62" t="n">
        <f aca="false">IF(LEFT(Cockpit!$O$5,1)="A",H894,IF(Parameter!$E$30="MAX-Bestand",IF(CI894=1,CJ894,IF(LEFT(Cockpit!$O$5,1)="B",BG894,MAX(BG894,H894))),ROUNDUP(BE894,0)))</f>
        <v>2</v>
      </c>
      <c r="BB894" s="62" t="n">
        <f aca="false">IF(CA894=1,0,ROUNDUP(BA894/BZ894,0))</f>
        <v>1</v>
      </c>
      <c r="BC894" s="64" t="n">
        <f aca="false">IF(CR894&gt;0,CR894*MAX(1,BA894/X894),IF(CA894=1,IF(BA894&lt;=0,0,CE894*MAX(1,IF(H894&gt;0,BA894/H894,1))),IF(R894&gt;0,BB894/R894,0))/MAX(0.1,N(Parameter!$M$21)))</f>
        <v>0.0384615384615385</v>
      </c>
      <c r="BD894" s="62" t="n">
        <f aca="false">BC894*CC894</f>
        <v>5.96153846153846</v>
      </c>
      <c r="BE894" s="63" t="n">
        <f aca="false">IF(LEFT(Cockpit!$O$5,1)="A",H894,IF(CI894=1,(CL894+CJ894)/2,IF(LEFT(Cockpit!$O$5,1)="B",(CL894+BG894)/2,MAX((CL894+BG894)/2,H894))))</f>
        <v>1.5</v>
      </c>
      <c r="BF894" s="62" t="n">
        <f aca="false">BE894*G894</f>
        <v>0.36</v>
      </c>
      <c r="BG894" s="62" t="n">
        <f aca="false">ROUNDUP(CL894+MAX(CM894,2*(J894/IF(CH894&gt;0,CH894,MAX(0.1,N(Cockpit!$O$6)))-CL894)),0)</f>
        <v>2</v>
      </c>
      <c r="BH894" s="63" t="n">
        <f aca="false">IF(BD894&gt;0,J894/BD894,-1)</f>
        <v>0</v>
      </c>
      <c r="BI894" s="63" t="n">
        <f aca="false">IF(AND(OR(CG894="L1",CG894="L23",CG894="LIFT"),BD894&gt;0),SUMIFS($BD$7:$BD$1843,$CG$7:$CG$1843,CG894,$BH$7:$BH$1843,"&gt;"&amp;BH894)+SUMIFS($BD$7:$BD$1843,$CG$7:$CG$1843,CG894,$BH$7:$BH$1843,BH894,$BX$7:$BX$1843,"&lt;="&amp;BX894),"")</f>
        <v>28498.2004330415</v>
      </c>
      <c r="BJ894" s="70" t="n">
        <f aca="false">IF(BI894="",0,MAX(0,MIN(1,(IF(CG894="L1",Parameter!$H$5,IF(CG894="L23",Parameter!$H$6+Parameter!$H$7,Parameter!$H$5+Parameter!$H$6+Parameter!$H$7))-(BI894-BD894))/BD894)))</f>
        <v>1</v>
      </c>
      <c r="BK894" s="60" t="str">
        <f aca="false">IF(AJ894&lt;=0,"",IF(CG894="Aussen","Aussenlager",IF(CG894="-","Nicht im Lift",IF(AP894&gt;=1,"Lift",IF(AP894&lt;=0,"Aussenlager","teilweise")))))</f>
        <v>Lift</v>
      </c>
      <c r="BL894" s="60" t="str">
        <f aca="false">IF(AT894&lt;=0,"",IF(CG894="Aussen","Aussenlager",IF(CG894="-","Nicht im Lift",IF(AZ894&gt;=1,"Lift",IF(AZ894&lt;=0,"Aussenlager","teilweise")))))</f>
        <v>Lift</v>
      </c>
      <c r="BM894" s="60" t="str">
        <f aca="false">IF(BD894&lt;=0,"",IF(CG894="Aussen","Aussenlager",IF(CG894="-","Nicht im Lift",IF(BJ894&gt;=1,"Lift",IF(BJ894&lt;=0,"Aussenlager","teilweise")))))</f>
        <v>Lift</v>
      </c>
      <c r="BN894" s="60" t="str">
        <f aca="false">IF(A894="","",IF(BW894=1,"Neu; ","")&amp;IF(AND(BW894=0,BR894&lt;0),"negativer Bestand (Export "&amp;BR894&amp;"); ","")&amp;IF(J894&lt;=0,"Kein Verbrauch; ","")&amp;IF(CR894&gt;0,"Lift "&amp;W894&amp;" lt. Liftbericht (Fach "&amp;X894&amp;" Stk); ",IF(CB894=1,"Gebinde geschätzt ("&amp;T894&amp;"); ",IF(CA894=1,"Lose – Tablare geschätzt; ","")))&amp;IF(H894&gt;AW894,"Überbestand "&amp;ROUND(H894-AW894,0)&amp;" Stk / CHF "&amp;ROUND((H894-AW894)*G894,0)&amp;"; ","")&amp;IF(AND(CI894=1,CJ894&lt;CK894),"MAX &lt; MB+LG; ","")&amp;IF(AND(CQ894&gt;0,CP894*10&gt;CQ894),"zu hoch für Tablar; ","")&amp;IF(AND(BW894=0,OR(CI894=1,AB894&lt;&gt;"",U894&lt;&gt;"",V894&lt;&gt;"",AC894&lt;&gt;"")),"manuell übersteuert; ","")&amp;IF(AND(CA894=0,R894=0),"Gebinde unbekannt / Stellmass fehlt; ","")&amp;IF(AND(CA894=0,N(V894)&lt;=0,N(Q894)&lt;=0),"Menge pro Gebinde fehlt (Ist = 1 Gebinde); ","")&amp;BV894)</f>
        <v>negativer Bestand (Export -129); Kein Verbrauch; Überbestand 769 Stk / CHF 185; Handlager</v>
      </c>
      <c r="BO894" s="60"/>
      <c r="BP894" s="60"/>
      <c r="BQ894" s="67"/>
      <c r="BR894" s="62" t="n">
        <v>-129</v>
      </c>
      <c r="BS894" s="62" t="n">
        <v>900</v>
      </c>
      <c r="BT894" s="61" t="n">
        <v>-30.96</v>
      </c>
      <c r="BU894" s="62" t="n">
        <v>0</v>
      </c>
      <c r="BV894" s="60" t="s">
        <v>937</v>
      </c>
      <c r="BW894" s="65" t="n">
        <v>0</v>
      </c>
      <c r="BX894" s="65" t="n">
        <v>894</v>
      </c>
      <c r="BY894" s="60" t="str">
        <f aca="false">IF(U894&lt;&gt;"",UPPER(TRIM(U894)),IF(CB894=1,UPPER(VLOOKUP(T894,Parameter!$I$27:$K$29,2,0)),IF(P894="","LOSE",P894)))</f>
        <v>S51</v>
      </c>
      <c r="BZ894" s="62" t="n">
        <f aca="false">IF(BY894="LOSE",1,IF(N(V894)&gt;0,V894,IF(CB894=1,MAX(1,N(VLOOKUP(T894,Parameter!$I$27:$K$29,3,0)),H894,N(N894)),IF(N(Q894)&gt;0,Q894,MAX(1,H894)))))</f>
        <v>400</v>
      </c>
      <c r="CA894" s="65" t="n">
        <f aca="false">IF(BY894="LOSE",1,0)</f>
        <v>0</v>
      </c>
      <c r="CB894" s="65" t="n">
        <f aca="false">IF(AND(U894="",OR(P894="",P894="LOSE"),T894&lt;&gt;"",N(S894)&lt;=0,ISNUMBER(MATCH(T894,Parameter!$I$27:$I$29,0))),1,0)</f>
        <v>0</v>
      </c>
      <c r="CC894" s="65" t="n">
        <f aca="false">IF(CR894&gt;0,INDEX(Parameter!$H$5:$H$7,W894)/INDEX(Parameter!$E$5:$E$7,W894),IF(AND(CA894=0,N(IFERROR(VLOOKUP(BY894,'Gebinde-Kategorie'!$A$5:$N$45,14,0),0))&gt;0),VLOOKUP(BY894,'Gebinde-Kategorie'!$A$5:$N$45,14,0)*10+Parameter!$M$23,Parameter!$M$24))</f>
        <v>155</v>
      </c>
      <c r="CD894" s="60" t="str">
        <f aca="false">IF(AND(Parameter!$B$19="Ja",E894&lt;&gt;"",ISNUMBER(MATCH(E894,Parameter!$I$35:$I$52,0))),VLOOKUP(E894,Parameter!$I$35:$J$52,2,0),IFERROR(VLOOKUP(D894,Parameter!$A$35:$C$64,2,0),"Nein"))</f>
        <v>2+3</v>
      </c>
      <c r="CE894" s="64" t="n">
        <f aca="false">IF(CA894=0,0,IF(N(S894)&gt;0,S894,IFERROR(VLOOKUP(D894,Parameter!$A$35:$C$64,3,0)+0,0)))</f>
        <v>0</v>
      </c>
      <c r="CF894" s="60" t="n">
        <f aca="false">IF(AB894&lt;&gt;"",AB894,AA894)</f>
        <v>3</v>
      </c>
      <c r="CG894" s="60" t="str">
        <f aca="false">IF(OR(CF894=1,CF894=2,CF894=3),IF(Parameter!$E$27="Ja","LIFT",IF(CF894=1,"L1","L23")),IF(CF894="Aussen","Aussen","-"))</f>
        <v>LIFT</v>
      </c>
      <c r="CH894" s="71" t="n">
        <f aca="false">IF(N(AC894)&gt;0,AC894,0)</f>
        <v>0</v>
      </c>
      <c r="CI894" s="65" t="n">
        <f aca="false">IF(ISNUMBER(AF894),1,0)</f>
        <v>0</v>
      </c>
      <c r="CJ894" s="62" t="n">
        <f aca="false">N(AF894)</f>
        <v>0</v>
      </c>
      <c r="CK894" s="62" t="n">
        <f aca="false">N(M894)+N(N894)</f>
        <v>2</v>
      </c>
      <c r="CL894" s="62" t="n">
        <f aca="false">N(M894)</f>
        <v>1</v>
      </c>
      <c r="CM894" s="62" t="n">
        <f aca="false">N(N894)</f>
        <v>1</v>
      </c>
      <c r="CN894" s="62" t="n">
        <f aca="false">ROUNDUP(H894/BZ894,0)</f>
        <v>2</v>
      </c>
      <c r="CO894" s="62" t="n">
        <f aca="false">ROUNDUP(CJ894/BZ894,0)</f>
        <v>0</v>
      </c>
      <c r="CP894" s="65" t="n">
        <f aca="false">IF(CA894=1,0,IFERROR(VLOOKUP(BY894,'Gebinde-Kategorie'!$A$5:$N$45,5,0)+0,0))</f>
        <v>11</v>
      </c>
      <c r="CQ894" s="65" t="n">
        <f aca="false">IFERROR(IF(OR(CF894=1,CF894=2,CF894=3),N(INDEX(Parameter!$I$5:$I$7,CF894)),0),0)</f>
        <v>0</v>
      </c>
      <c r="CR894" s="64" t="n">
        <f aca="false">IF(AND(Parameter!$B$21="Ja",ISNUMBER(W894),N(X894)&gt;0),IFERROR(N(INDEX(Parameter!$L$5:$L$7,W894))*INDEX(Parameter!$E$5:$E$7,W894)*X894/SUMIFS($X$7:$X$1843,$W$7:$W$1843,W894),0),0)</f>
        <v>0</v>
      </c>
      <c r="CS894" s="62" t="n">
        <f aca="false">IF(AND(OR(CG894="L1",CG894="L23",CG894="LIFT"),H894&gt;0),CC894*IF(CR894&gt;0,CR894*MAX(1,H894/X894),IF(CA894=1,CE894,IF(R894&gt;0,CN894/R894,0))/MAX(0.1,N(Parameter!$M$21))),"")</f>
        <v>11.9230769230769</v>
      </c>
      <c r="CT894" s="64" t="n">
        <f aca="false">IF(CS894="","",J894/H894)</f>
        <v>0</v>
      </c>
      <c r="CU894" s="62" t="n">
        <f aca="false">IF(CS894="","",H894*G894)</f>
        <v>185.04</v>
      </c>
      <c r="CV894" s="63" t="n">
        <f aca="false">IF(CS894="","",(CL894+ROUNDUP(CL894+MAX(CM894,2*(J894/MAX(0.1,N(Einkauf!$C$6))-CL894)),0))/2)</f>
        <v>1.5</v>
      </c>
      <c r="CW894" s="62" t="n">
        <f aca="false">IF(CS894="","",MAX(0,H894-CV894)*G894)</f>
        <v>184.68</v>
      </c>
      <c r="CX894" s="62" t="n">
        <f aca="false">IF(CS894="","",CS894*MAX(0,1-CV894/H894))</f>
        <v>11.8998802753667</v>
      </c>
      <c r="CY894" s="64" t="n">
        <f aca="false">IF(CS894="","",PERCENTRANK($CS$7:$CS$1843,CS894)+PERCENTRANK($CU$7:$CU$1843,CU894)+1-PERCENTRANK($CT$7:$CT$1843,CT894))</f>
        <v>1.962</v>
      </c>
      <c r="CZ894" s="72" t="n">
        <f aca="false">IF(CS894="","",CHOOSE(MATCH(Einkauf!$C$5,Parameter!$G$23:$G$27,0),CY894,CS894,CU894,-CT894,CW894)+ROW()/1000000000)</f>
        <v>1.962000894</v>
      </c>
    </row>
    <row r="895" customFormat="false" ht="15" hidden="false" customHeight="false" outlineLevel="0" collapsed="false">
      <c r="A895" s="60" t="s">
        <v>1730</v>
      </c>
      <c r="B895" s="60" t="s">
        <v>510</v>
      </c>
      <c r="C895" s="60" t="s">
        <v>206</v>
      </c>
      <c r="D895" s="60" t="s">
        <v>226</v>
      </c>
      <c r="E895" s="60" t="s">
        <v>227</v>
      </c>
      <c r="F895" s="60" t="s">
        <v>260</v>
      </c>
      <c r="G895" s="61" t="n">
        <v>0.11</v>
      </c>
      <c r="H895" s="62" t="n">
        <f aca="false">MAX(0,IF(AND(Parameter!$B$21="Ja",ISNUMBER(Y895)),Y895,IF(Parameter!$B$20="Jahresanfang 2025 + Export",BS895+BR895,BR895)))</f>
        <v>203</v>
      </c>
      <c r="I895" s="62" t="n">
        <f aca="false">H895*G895</f>
        <v>22.33</v>
      </c>
      <c r="J895" s="62" t="n">
        <f aca="false">BU895*Parameter!$B$18</f>
        <v>524</v>
      </c>
      <c r="K895" s="63" t="n">
        <v>485.5</v>
      </c>
      <c r="L895" s="64" t="n">
        <v>1.07929969104017</v>
      </c>
      <c r="M895" s="62" t="n">
        <v>20</v>
      </c>
      <c r="N895" s="62" t="n">
        <v>525</v>
      </c>
      <c r="O895" s="65" t="n">
        <v>14</v>
      </c>
      <c r="P895" s="60" t="s">
        <v>463</v>
      </c>
      <c r="Q895" s="62" t="n">
        <v>831</v>
      </c>
      <c r="R895" s="65" t="n">
        <f aca="false">IF(CA895=1,0,IFERROR(VLOOKUP(BY895,'Gebinde-Kategorie'!$A$5:$N$45,13,0)+0,0))</f>
        <v>104</v>
      </c>
      <c r="S895" s="66"/>
      <c r="T895" s="67"/>
      <c r="U895" s="67"/>
      <c r="V895" s="67"/>
      <c r="W895" s="60"/>
      <c r="X895" s="62"/>
      <c r="Y895" s="62"/>
      <c r="Z895" s="60" t="n">
        <v>3</v>
      </c>
      <c r="AA895" s="60" t="n">
        <f aca="false">IF(A895="","",IF(AND(Parameter!$B$21="Ja",ISNUMBER(W895)),W895,IF(AND(Parameter!$E$27="Ja",ISNUMBER(Z895),CD895&lt;&gt;"Nein"),Z895,IF(CD895="2+3",IF(ISNUMBER(SEARCH("grosser Artikel",BV895)),2,IFERROR(VLOOKUP(BY895,Parameter!$F$35:$G$64,2,0),2)),IF(OR(CD895="Nein",CD895=""),"-",CD895)))))</f>
        <v>3</v>
      </c>
      <c r="AB895" s="67"/>
      <c r="AC895" s="68"/>
      <c r="AD895" s="62" t="n">
        <f aca="false">AW895</f>
        <v>545</v>
      </c>
      <c r="AE895" s="62" t="n">
        <f aca="false">MAX(AW895,H895)</f>
        <v>545</v>
      </c>
      <c r="AF895" s="69"/>
      <c r="AG895" s="62" t="n">
        <f aca="false">IF(LEFT(Cockpit!$C$5,1)="A",H895,IF(Parameter!$E$30="MAX-Bestand",IF(CI895=1,CJ895,IF(LEFT(Cockpit!$C$5,1)="B",AM895,MAX(AM895,H895))),ROUNDUP(AK895,0)))</f>
        <v>203</v>
      </c>
      <c r="AH895" s="62" t="n">
        <f aca="false">IF(CA895=1,0,ROUNDUP(AG895/BZ895,0))</f>
        <v>1</v>
      </c>
      <c r="AI895" s="64" t="n">
        <f aca="false">IF(CR895&gt;0,CR895*MAX(1,AG895/X895),IF(CA895=1,IF(AG895&lt;=0,0,CE895*MAX(1,IF(H895&gt;0,AG895/H895,1))),IF(R895&gt;0,AH895/R895,0))/MAX(0.1,N(Parameter!$M$21)))</f>
        <v>0.00961538461538462</v>
      </c>
      <c r="AJ895" s="62" t="n">
        <f aca="false">AI895*CC895</f>
        <v>1.49038461538462</v>
      </c>
      <c r="AK895" s="63" t="n">
        <f aca="false">IF(LEFT(Cockpit!$C$5,1)="A",H895,IF(CI895=1,(CL895+CJ895)/2,IF(LEFT(Cockpit!$C$5,1)="B",(CL895+AM895)/2,MAX((CL895+AM895)/2,H895))))</f>
        <v>203</v>
      </c>
      <c r="AL895" s="62" t="n">
        <f aca="false">AK895*G895</f>
        <v>22.33</v>
      </c>
      <c r="AM895" s="62" t="n">
        <f aca="false">ROUNDUP(CL895+MAX(CM895,2*(J895/IF(CH895&gt;0,CH895,MAX(0.1,N(Cockpit!$C$6)))-CL895)),0)</f>
        <v>545</v>
      </c>
      <c r="AN895" s="63" t="n">
        <f aca="false">IF(AJ895&gt;0,J895/AJ895,-1)</f>
        <v>351.587096774194</v>
      </c>
      <c r="AO895" s="63" t="n">
        <f aca="false">IF(AND(OR(CG895="L1",CG895="L23",CG895="LIFT"),AJ895&gt;0),SUMIFS($AJ$7:$AJ$1843,$CG$7:$CG$1843,CG895,$AN$7:$AN$1843,"&gt;"&amp;AN895)+SUMIFS($AJ$7:$AJ$1843,$CG$7:$CG$1843,CG895,$AN$7:$AN$1843,AN895,$BX$7:$BX$1843,"&lt;="&amp;BX895),"")</f>
        <v>219.362637362637</v>
      </c>
      <c r="AP895" s="70" t="n">
        <f aca="false">IF(AO895="",0,MAX(0,MIN(1,(IF(CG895="L1",Parameter!$H$5,IF(CG895="L23",Parameter!$H$6+Parameter!$H$7,Parameter!$H$5+Parameter!$H$6+Parameter!$H$7))-(AO895-AJ895))/AJ895)))</f>
        <v>1</v>
      </c>
      <c r="AQ895" s="62" t="n">
        <f aca="false">IF(LEFT(Cockpit!$I$5,1)="A",H895,IF(Parameter!$E$30="MAX-Bestand",IF(CI895=1,CJ895,IF(LEFT(Cockpit!$I$5,1)="B",AW895,MAX(AW895,H895))),ROUNDUP(AU895,0)))</f>
        <v>283</v>
      </c>
      <c r="AR895" s="62" t="n">
        <f aca="false">IF(CA895=1,0,ROUNDUP(AQ895/BZ895,0))</f>
        <v>1</v>
      </c>
      <c r="AS895" s="64" t="n">
        <f aca="false">IF(CR895&gt;0,CR895*MAX(1,AQ895/X895),IF(CA895=1,IF(AQ895&lt;=0,0,CE895*MAX(1,IF(H895&gt;0,AQ895/H895,1))),IF(R895&gt;0,AR895/R895,0))/MAX(0.1,N(Parameter!$M$21)))</f>
        <v>0.00961538461538462</v>
      </c>
      <c r="AT895" s="62" t="n">
        <f aca="false">AS895*CC895</f>
        <v>1.49038461538462</v>
      </c>
      <c r="AU895" s="63" t="n">
        <f aca="false">IF(LEFT(Cockpit!$I$5,1)="A",H895,IF(CI895=1,(CL895+CJ895)/2,IF(LEFT(Cockpit!$I$5,1)="B",(CL895+AW895)/2,MAX((CL895+AW895)/2,H895))))</f>
        <v>282.5</v>
      </c>
      <c r="AV895" s="62" t="n">
        <f aca="false">AU895*G895</f>
        <v>31.075</v>
      </c>
      <c r="AW895" s="62" t="n">
        <f aca="false">ROUNDUP(CL895+MAX(CM895,2*(J895/IF(CH895&gt;0,CH895,MAX(0.1,N(Cockpit!$I$6)))-CL895)),0)</f>
        <v>545</v>
      </c>
      <c r="AX895" s="63" t="n">
        <f aca="false">IF(AT895&gt;0,J895/AT895,-1)</f>
        <v>351.587096774194</v>
      </c>
      <c r="AY895" s="63" t="n">
        <f aca="false">IF(AND(OR(CG895="L1",CG895="L23",CG895="LIFT"),AT895&gt;0),SUMIFS($AT$7:$AT$1843,$CG$7:$CG$1843,CG895,$AX$7:$AX$1843,"&gt;"&amp;AX895)+SUMIFS($AT$7:$AT$1843,$CG$7:$CG$1843,CG895,$AX$7:$AX$1843,AX895,$BX$7:$BX$1843,"&lt;="&amp;BX895),"")</f>
        <v>153.578754578755</v>
      </c>
      <c r="AZ895" s="70" t="n">
        <f aca="false">IF(AY895="",0,MAX(0,MIN(1,(IF(CG895="L1",Parameter!$H$5,IF(CG895="L23",Parameter!$H$6+Parameter!$H$7,Parameter!$H$5+Parameter!$H$6+Parameter!$H$7))-(AY895-AT895))/AT895)))</f>
        <v>1</v>
      </c>
      <c r="BA895" s="62" t="n">
        <f aca="false">IF(LEFT(Cockpit!$O$5,1)="A",H895,IF(Parameter!$E$30="MAX-Bestand",IF(CI895=1,CJ895,IF(LEFT(Cockpit!$O$5,1)="B",BG895,MAX(BG895,H895))),ROUNDUP(BE895,0)))</f>
        <v>283</v>
      </c>
      <c r="BB895" s="62" t="n">
        <f aca="false">IF(CA895=1,0,ROUNDUP(BA895/BZ895,0))</f>
        <v>1</v>
      </c>
      <c r="BC895" s="64" t="n">
        <f aca="false">IF(CR895&gt;0,CR895*MAX(1,BA895/X895),IF(CA895=1,IF(BA895&lt;=0,0,CE895*MAX(1,IF(H895&gt;0,BA895/H895,1))),IF(R895&gt;0,BB895/R895,0))/MAX(0.1,N(Parameter!$M$21)))</f>
        <v>0.00961538461538462</v>
      </c>
      <c r="BD895" s="62" t="n">
        <f aca="false">BC895*CC895</f>
        <v>1.49038461538462</v>
      </c>
      <c r="BE895" s="63" t="n">
        <f aca="false">IF(LEFT(Cockpit!$O$5,1)="A",H895,IF(CI895=1,(CL895+CJ895)/2,IF(LEFT(Cockpit!$O$5,1)="B",(CL895+BG895)/2,MAX((CL895+BG895)/2,H895))))</f>
        <v>282.5</v>
      </c>
      <c r="BF895" s="62" t="n">
        <f aca="false">BE895*G895</f>
        <v>31.075</v>
      </c>
      <c r="BG895" s="62" t="n">
        <f aca="false">ROUNDUP(CL895+MAX(CM895,2*(J895/IF(CH895&gt;0,CH895,MAX(0.1,N(Cockpit!$O$6)))-CL895)),0)</f>
        <v>545</v>
      </c>
      <c r="BH895" s="63" t="n">
        <f aca="false">IF(BD895&gt;0,J895/BD895,-1)</f>
        <v>351.587096774194</v>
      </c>
      <c r="BI895" s="63" t="n">
        <f aca="false">IF(AND(OR(CG895="L1",CG895="L23",CG895="LIFT"),BD895&gt;0),SUMIFS($BD$7:$BD$1843,$CG$7:$CG$1843,CG895,$BH$7:$BH$1843,"&gt;"&amp;BH895)+SUMIFS($BD$7:$BD$1843,$CG$7:$CG$1843,CG895,$BH$7:$BH$1843,BH895,$BX$7:$BX$1843,"&lt;="&amp;BX895),"")</f>
        <v>228.772435897436</v>
      </c>
      <c r="BJ895" s="70" t="n">
        <f aca="false">IF(BI895="",0,MAX(0,MIN(1,(IF(CG895="L1",Parameter!$H$5,IF(CG895="L23",Parameter!$H$6+Parameter!$H$7,Parameter!$H$5+Parameter!$H$6+Parameter!$H$7))-(BI895-BD895))/BD895)))</f>
        <v>1</v>
      </c>
      <c r="BK895" s="60" t="str">
        <f aca="false">IF(AJ895&lt;=0,"",IF(CG895="Aussen","Aussenlager",IF(CG895="-","Nicht im Lift",IF(AP895&gt;=1,"Lift",IF(AP895&lt;=0,"Aussenlager","teilweise")))))</f>
        <v>Lift</v>
      </c>
      <c r="BL895" s="60" t="str">
        <f aca="false">IF(AT895&lt;=0,"",IF(CG895="Aussen","Aussenlager",IF(CG895="-","Nicht im Lift",IF(AZ895&gt;=1,"Lift",IF(AZ895&lt;=0,"Aussenlager","teilweise")))))</f>
        <v>Lift</v>
      </c>
      <c r="BM895" s="60" t="str">
        <f aca="false">IF(BD895&lt;=0,"",IF(CG895="Aussen","Aussenlager",IF(CG895="-","Nicht im Lift",IF(BJ895&gt;=1,"Lift",IF(BJ895&lt;=0,"Aussenlager","teilweise")))))</f>
        <v>Lift</v>
      </c>
      <c r="BN895" s="60" t="str">
        <f aca="false">IF(A895="","",IF(BW895=1,"Neu; ","")&amp;IF(AND(BW895=0,BR895&lt;0),"negativer Bestand (Export "&amp;BR895&amp;"); ","")&amp;IF(J895&lt;=0,"Kein Verbrauch; ","")&amp;IF(CR895&gt;0,"Lift "&amp;W895&amp;" lt. Liftbericht (Fach "&amp;X895&amp;" Stk); ",IF(CB895=1,"Gebinde geschätzt ("&amp;T895&amp;"); ",IF(CA895=1,"Lose – Tablare geschätzt; ","")))&amp;IF(H895&gt;AW895,"Überbestand "&amp;ROUND(H895-AW895,0)&amp;" Stk / CHF "&amp;ROUND((H895-AW895)*G895,0)&amp;"; ","")&amp;IF(AND(CI895=1,CJ895&lt;CK895),"MAX &lt; MB+LG; ","")&amp;IF(AND(CQ895&gt;0,CP895*10&gt;CQ895),"zu hoch für Tablar; ","")&amp;IF(AND(BW895=0,OR(CI895=1,AB895&lt;&gt;"",U895&lt;&gt;"",V895&lt;&gt;"",AC895&lt;&gt;"")),"manuell übersteuert; ","")&amp;IF(AND(CA895=0,R895=0),"Gebinde unbekannt / Stellmass fehlt; ","")&amp;IF(AND(CA895=0,N(V895)&lt;=0,N(Q895)&lt;=0),"Menge pro Gebinde fehlt (Ist = 1 Gebinde); ","")&amp;BV895)</f>
        <v>negativer Bestand (Export -282); </v>
      </c>
      <c r="BO895" s="60"/>
      <c r="BP895" s="60"/>
      <c r="BQ895" s="67"/>
      <c r="BR895" s="62" t="n">
        <v>-282</v>
      </c>
      <c r="BS895" s="62" t="n">
        <v>485</v>
      </c>
      <c r="BT895" s="61" t="n">
        <v>-31.0200000000001</v>
      </c>
      <c r="BU895" s="62" t="n">
        <v>524</v>
      </c>
      <c r="BV895" s="60"/>
      <c r="BW895" s="65" t="n">
        <v>0</v>
      </c>
      <c r="BX895" s="65" t="n">
        <v>895</v>
      </c>
      <c r="BY895" s="60" t="str">
        <f aca="false">IF(U895&lt;&gt;"",UPPER(TRIM(U895)),IF(CB895=1,UPPER(VLOOKUP(T895,Parameter!$I$27:$K$29,2,0)),IF(P895="","LOSE",P895)))</f>
        <v>S32</v>
      </c>
      <c r="BZ895" s="62" t="n">
        <f aca="false">IF(BY895="LOSE",1,IF(N(V895)&gt;0,V895,IF(CB895=1,MAX(1,N(VLOOKUP(T895,Parameter!$I$27:$K$29,3,0)),H895,N(N895)),IF(N(Q895)&gt;0,Q895,MAX(1,H895)))))</f>
        <v>831</v>
      </c>
      <c r="CA895" s="65" t="n">
        <f aca="false">IF(BY895="LOSE",1,0)</f>
        <v>0</v>
      </c>
      <c r="CB895" s="65" t="n">
        <f aca="false">IF(AND(U895="",OR(P895="",P895="LOSE"),T895&lt;&gt;"",N(S895)&lt;=0,ISNUMBER(MATCH(T895,Parameter!$I$27:$I$29,0))),1,0)</f>
        <v>0</v>
      </c>
      <c r="CC895" s="65" t="n">
        <f aca="false">IF(CR895&gt;0,INDEX(Parameter!$H$5:$H$7,W895)/INDEX(Parameter!$E$5:$E$7,W895),IF(AND(CA895=0,N(IFERROR(VLOOKUP(BY895,'Gebinde-Kategorie'!$A$5:$N$45,14,0),0))&gt;0),VLOOKUP(BY895,'Gebinde-Kategorie'!$A$5:$N$45,14,0)*10+Parameter!$M$23,Parameter!$M$24))</f>
        <v>155</v>
      </c>
      <c r="CD895" s="60" t="str">
        <f aca="false">IF(AND(Parameter!$B$19="Ja",E895&lt;&gt;"",ISNUMBER(MATCH(E895,Parameter!$I$35:$I$52,0))),VLOOKUP(E895,Parameter!$I$35:$J$52,2,0),IFERROR(VLOOKUP(D895,Parameter!$A$35:$C$64,2,0),"Nein"))</f>
        <v>2+3</v>
      </c>
      <c r="CE895" s="64" t="n">
        <f aca="false">IF(CA895=0,0,IF(N(S895)&gt;0,S895,IFERROR(VLOOKUP(D895,Parameter!$A$35:$C$64,3,0)+0,0)))</f>
        <v>0</v>
      </c>
      <c r="CF895" s="60" t="n">
        <f aca="false">IF(AB895&lt;&gt;"",AB895,AA895)</f>
        <v>3</v>
      </c>
      <c r="CG895" s="60" t="str">
        <f aca="false">IF(OR(CF895=1,CF895=2,CF895=3),IF(Parameter!$E$27="Ja","LIFT",IF(CF895=1,"L1","L23")),IF(CF895="Aussen","Aussen","-"))</f>
        <v>LIFT</v>
      </c>
      <c r="CH895" s="71" t="n">
        <f aca="false">IF(N(AC895)&gt;0,AC895,0)</f>
        <v>0</v>
      </c>
      <c r="CI895" s="65" t="n">
        <f aca="false">IF(ISNUMBER(AF895),1,0)</f>
        <v>0</v>
      </c>
      <c r="CJ895" s="62" t="n">
        <f aca="false">N(AF895)</f>
        <v>0</v>
      </c>
      <c r="CK895" s="62" t="n">
        <f aca="false">N(M895)+N(N895)</f>
        <v>545</v>
      </c>
      <c r="CL895" s="62" t="n">
        <f aca="false">N(M895)</f>
        <v>20</v>
      </c>
      <c r="CM895" s="62" t="n">
        <f aca="false">N(N895)</f>
        <v>525</v>
      </c>
      <c r="CN895" s="62" t="n">
        <f aca="false">ROUNDUP(H895/BZ895,0)</f>
        <v>1</v>
      </c>
      <c r="CO895" s="62" t="n">
        <f aca="false">ROUNDUP(CJ895/BZ895,0)</f>
        <v>0</v>
      </c>
      <c r="CP895" s="65" t="n">
        <f aca="false">IF(CA895=1,0,IFERROR(VLOOKUP(BY895,'Gebinde-Kategorie'!$A$5:$N$45,5,0)+0,0))</f>
        <v>8</v>
      </c>
      <c r="CQ895" s="65" t="n">
        <f aca="false">IFERROR(IF(OR(CF895=1,CF895=2,CF895=3),N(INDEX(Parameter!$I$5:$I$7,CF895)),0),0)</f>
        <v>0</v>
      </c>
      <c r="CR895" s="64" t="n">
        <f aca="false">IF(AND(Parameter!$B$21="Ja",ISNUMBER(W895),N(X895)&gt;0),IFERROR(N(INDEX(Parameter!$L$5:$L$7,W895))*INDEX(Parameter!$E$5:$E$7,W895)*X895/SUMIFS($X$7:$X$1843,$W$7:$W$1843,W895),0),0)</f>
        <v>0</v>
      </c>
      <c r="CS895" s="62" t="n">
        <f aca="false">IF(AND(OR(CG895="L1",CG895="L23",CG895="LIFT"),H895&gt;0),CC895*IF(CR895&gt;0,CR895*MAX(1,H895/X895),IF(CA895=1,CE895,IF(R895&gt;0,CN895/R895,0))/MAX(0.1,N(Parameter!$M$21))),"")</f>
        <v>1.49038461538462</v>
      </c>
      <c r="CT895" s="64" t="n">
        <f aca="false">IF(CS895="","",J895/H895)</f>
        <v>2.58128078817734</v>
      </c>
      <c r="CU895" s="62" t="n">
        <f aca="false">IF(CS895="","",H895*G895)</f>
        <v>22.33</v>
      </c>
      <c r="CV895" s="63" t="n">
        <f aca="false">IF(CS895="","",(CL895+ROUNDUP(CL895+MAX(CM895,2*(J895/MAX(0.1,N(Einkauf!$C$6))-CL895)),0))/2)</f>
        <v>282.5</v>
      </c>
      <c r="CW895" s="62" t="n">
        <f aca="false">IF(CS895="","",MAX(0,H895-CV895)*G895)</f>
        <v>0</v>
      </c>
      <c r="CX895" s="62" t="n">
        <f aca="false">IF(CS895="","",CS895*MAX(0,1-CV895/H895))</f>
        <v>0</v>
      </c>
      <c r="CY895" s="64" t="n">
        <f aca="false">IF(CS895="","",PERCENTRANK($CS$7:$CS$1843,CS895)+PERCENTRANK($CU$7:$CU$1843,CU895)+1-PERCENTRANK($CT$7:$CT$1843,CT895))</f>
        <v>0.3396</v>
      </c>
      <c r="CZ895" s="72" t="n">
        <f aca="false">IF(CS895="","",CHOOSE(MATCH(Einkauf!$C$5,Parameter!$G$23:$G$27,0),CY895,CS895,CU895,-CT895,CW895)+ROW()/1000000000)</f>
        <v>0.339600895</v>
      </c>
    </row>
    <row r="896" customFormat="false" ht="15" hidden="false" customHeight="false" outlineLevel="0" collapsed="false">
      <c r="A896" s="60" t="s">
        <v>1731</v>
      </c>
      <c r="B896" s="60" t="s">
        <v>766</v>
      </c>
      <c r="C896" s="60" t="s">
        <v>206</v>
      </c>
      <c r="D896" s="60" t="s">
        <v>226</v>
      </c>
      <c r="E896" s="60" t="s">
        <v>227</v>
      </c>
      <c r="F896" s="60" t="s">
        <v>260</v>
      </c>
      <c r="G896" s="61" t="n">
        <v>13.68</v>
      </c>
      <c r="H896" s="62" t="n">
        <f aca="false">MAX(0,IF(AND(Parameter!$B$21="Ja",ISNUMBER(Y896)),Y896,IF(Parameter!$B$20="Jahresanfang 2025 + Export",BS896+BR896,BR896)))</f>
        <v>6</v>
      </c>
      <c r="I896" s="62" t="n">
        <f aca="false">H896*G896</f>
        <v>82.08</v>
      </c>
      <c r="J896" s="62" t="n">
        <f aca="false">BU896*Parameter!$B$18</f>
        <v>9</v>
      </c>
      <c r="K896" s="63" t="n">
        <v>7</v>
      </c>
      <c r="L896" s="64" t="n">
        <v>1.28571428571429</v>
      </c>
      <c r="M896" s="62" t="n">
        <v>0</v>
      </c>
      <c r="N896" s="62" t="n">
        <v>10</v>
      </c>
      <c r="O896" s="65" t="n">
        <v>19</v>
      </c>
      <c r="P896" s="60" t="s">
        <v>463</v>
      </c>
      <c r="Q896" s="62" t="n">
        <v>18</v>
      </c>
      <c r="R896" s="65" t="n">
        <f aca="false">IF(CA896=1,0,IFERROR(VLOOKUP(BY896,'Gebinde-Kategorie'!$A$5:$N$45,13,0)+0,0))</f>
        <v>104</v>
      </c>
      <c r="S896" s="66"/>
      <c r="T896" s="67"/>
      <c r="U896" s="67"/>
      <c r="V896" s="67"/>
      <c r="W896" s="60"/>
      <c r="X896" s="62"/>
      <c r="Y896" s="62"/>
      <c r="Z896" s="60" t="n">
        <v>3</v>
      </c>
      <c r="AA896" s="60" t="n">
        <f aca="false">IF(A896="","",IF(AND(Parameter!$B$21="Ja",ISNUMBER(W896)),W896,IF(AND(Parameter!$E$27="Ja",ISNUMBER(Z896),CD896&lt;&gt;"Nein"),Z896,IF(CD896="2+3",IF(ISNUMBER(SEARCH("grosser Artikel",BV896)),2,IFERROR(VLOOKUP(BY896,Parameter!$F$35:$G$64,2,0),2)),IF(OR(CD896="Nein",CD896=""),"-",CD896)))))</f>
        <v>3</v>
      </c>
      <c r="AB896" s="67"/>
      <c r="AC896" s="68"/>
      <c r="AD896" s="62" t="n">
        <f aca="false">AW896</f>
        <v>10</v>
      </c>
      <c r="AE896" s="62" t="n">
        <f aca="false">MAX(AW896,H896)</f>
        <v>10</v>
      </c>
      <c r="AF896" s="69"/>
      <c r="AG896" s="62" t="n">
        <f aca="false">IF(LEFT(Cockpit!$C$5,1)="A",H896,IF(Parameter!$E$30="MAX-Bestand",IF(CI896=1,CJ896,IF(LEFT(Cockpit!$C$5,1)="B",AM896,MAX(AM896,H896))),ROUNDUP(AK896,0)))</f>
        <v>6</v>
      </c>
      <c r="AH896" s="62" t="n">
        <f aca="false">IF(CA896=1,0,ROUNDUP(AG896/BZ896,0))</f>
        <v>1</v>
      </c>
      <c r="AI896" s="64" t="n">
        <f aca="false">IF(CR896&gt;0,CR896*MAX(1,AG896/X896),IF(CA896=1,IF(AG896&lt;=0,0,CE896*MAX(1,IF(H896&gt;0,AG896/H896,1))),IF(R896&gt;0,AH896/R896,0))/MAX(0.1,N(Parameter!$M$21)))</f>
        <v>0.00961538461538462</v>
      </c>
      <c r="AJ896" s="62" t="n">
        <f aca="false">AI896*CC896</f>
        <v>1.49038461538462</v>
      </c>
      <c r="AK896" s="63" t="n">
        <f aca="false">IF(LEFT(Cockpit!$C$5,1)="A",H896,IF(CI896=1,(CL896+CJ896)/2,IF(LEFT(Cockpit!$C$5,1)="B",(CL896+AM896)/2,MAX((CL896+AM896)/2,H896))))</f>
        <v>6</v>
      </c>
      <c r="AL896" s="62" t="n">
        <f aca="false">AK896*G896</f>
        <v>82.08</v>
      </c>
      <c r="AM896" s="62" t="n">
        <f aca="false">ROUNDUP(CL896+MAX(CM896,2*(J896/IF(CH896&gt;0,CH896,MAX(0.1,N(Cockpit!$C$6)))-CL896)),0)</f>
        <v>10</v>
      </c>
      <c r="AN896" s="63" t="n">
        <f aca="false">IF(AJ896&gt;0,J896/AJ896,-1)</f>
        <v>6.03870967741935</v>
      </c>
      <c r="AO896" s="63" t="n">
        <f aca="false">IF(AND(OR(CG896="L1",CG896="L23",CG896="LIFT"),AJ896&gt;0),SUMIFS($AJ$7:$AJ$1843,$CG$7:$CG$1843,CG896,$AN$7:$AN$1843,"&gt;"&amp;AN896)+SUMIFS($AJ$7:$AJ$1843,$CG$7:$CG$1843,CG896,$AN$7:$AN$1843,AN896,$BX$7:$BX$1843,"&lt;="&amp;BX896),"")</f>
        <v>3513.48763736264</v>
      </c>
      <c r="AP896" s="70" t="n">
        <f aca="false">IF(AO896="",0,MAX(0,MIN(1,(IF(CG896="L1",Parameter!$H$5,IF(CG896="L23",Parameter!$H$6+Parameter!$H$7,Parameter!$H$5+Parameter!$H$6+Parameter!$H$7))-(AO896-AJ896))/AJ896)))</f>
        <v>1</v>
      </c>
      <c r="AQ896" s="62" t="n">
        <f aca="false">IF(LEFT(Cockpit!$I$5,1)="A",H896,IF(Parameter!$E$30="MAX-Bestand",IF(CI896=1,CJ896,IF(LEFT(Cockpit!$I$5,1)="B",AW896,MAX(AW896,H896))),ROUNDUP(AU896,0)))</f>
        <v>6</v>
      </c>
      <c r="AR896" s="62" t="n">
        <f aca="false">IF(CA896=1,0,ROUNDUP(AQ896/BZ896,0))</f>
        <v>1</v>
      </c>
      <c r="AS896" s="64" t="n">
        <f aca="false">IF(CR896&gt;0,CR896*MAX(1,AQ896/X896),IF(CA896=1,IF(AQ896&lt;=0,0,CE896*MAX(1,IF(H896&gt;0,AQ896/H896,1))),IF(R896&gt;0,AR896/R896,0))/MAX(0.1,N(Parameter!$M$21)))</f>
        <v>0.00961538461538462</v>
      </c>
      <c r="AT896" s="62" t="n">
        <f aca="false">AS896*CC896</f>
        <v>1.49038461538462</v>
      </c>
      <c r="AU896" s="63" t="n">
        <f aca="false">IF(LEFT(Cockpit!$I$5,1)="A",H896,IF(CI896=1,(CL896+CJ896)/2,IF(LEFT(Cockpit!$I$5,1)="B",(CL896+AW896)/2,MAX((CL896+AW896)/2,H896))))</f>
        <v>6</v>
      </c>
      <c r="AV896" s="62" t="n">
        <f aca="false">AU896*G896</f>
        <v>82.08</v>
      </c>
      <c r="AW896" s="62" t="n">
        <f aca="false">ROUNDUP(CL896+MAX(CM896,2*(J896/IF(CH896&gt;0,CH896,MAX(0.1,N(Cockpit!$I$6)))-CL896)),0)</f>
        <v>10</v>
      </c>
      <c r="AX896" s="63" t="n">
        <f aca="false">IF(AT896&gt;0,J896/AT896,-1)</f>
        <v>6.03870967741935</v>
      </c>
      <c r="AY896" s="63" t="n">
        <f aca="false">IF(AND(OR(CG896="L1",CG896="L23",CG896="LIFT"),AT896&gt;0),SUMIFS($AT$7:$AT$1843,$CG$7:$CG$1843,CG896,$AX$7:$AX$1843,"&gt;"&amp;AX896)+SUMIFS($AT$7:$AT$1843,$CG$7:$CG$1843,CG896,$AX$7:$AX$1843,AX896,$BX$7:$BX$1843,"&lt;="&amp;BX896),"")</f>
        <v>4179.15155677656</v>
      </c>
      <c r="AZ896" s="70" t="n">
        <f aca="false">IF(AY896="",0,MAX(0,MIN(1,(IF(CG896="L1",Parameter!$H$5,IF(CG896="L23",Parameter!$H$6+Parameter!$H$7,Parameter!$H$5+Parameter!$H$6+Parameter!$H$7))-(AY896-AT896))/AT896)))</f>
        <v>1</v>
      </c>
      <c r="BA896" s="62" t="n">
        <f aca="false">IF(LEFT(Cockpit!$O$5,1)="A",H896,IF(Parameter!$E$30="MAX-Bestand",IF(CI896=1,CJ896,IF(LEFT(Cockpit!$O$5,1)="B",BG896,MAX(BG896,H896))),ROUNDUP(BE896,0)))</f>
        <v>5</v>
      </c>
      <c r="BB896" s="62" t="n">
        <f aca="false">IF(CA896=1,0,ROUNDUP(BA896/BZ896,0))</f>
        <v>1</v>
      </c>
      <c r="BC896" s="64" t="n">
        <f aca="false">IF(CR896&gt;0,CR896*MAX(1,BA896/X896),IF(CA896=1,IF(BA896&lt;=0,0,CE896*MAX(1,IF(H896&gt;0,BA896/H896,1))),IF(R896&gt;0,BB896/R896,0))/MAX(0.1,N(Parameter!$M$21)))</f>
        <v>0.00961538461538462</v>
      </c>
      <c r="BD896" s="62" t="n">
        <f aca="false">BC896*CC896</f>
        <v>1.49038461538462</v>
      </c>
      <c r="BE896" s="63" t="n">
        <f aca="false">IF(LEFT(Cockpit!$O$5,1)="A",H896,IF(CI896=1,(CL896+CJ896)/2,IF(LEFT(Cockpit!$O$5,1)="B",(CL896+BG896)/2,MAX((CL896+BG896)/2,H896))))</f>
        <v>5</v>
      </c>
      <c r="BF896" s="62" t="n">
        <f aca="false">BE896*G896</f>
        <v>68.4</v>
      </c>
      <c r="BG896" s="62" t="n">
        <f aca="false">ROUNDUP(CL896+MAX(CM896,2*(J896/IF(CH896&gt;0,CH896,MAX(0.1,N(Cockpit!$O$6)))-CL896)),0)</f>
        <v>10</v>
      </c>
      <c r="BH896" s="63" t="n">
        <f aca="false">IF(BD896&gt;0,J896/BD896,-1)</f>
        <v>6.03870967741935</v>
      </c>
      <c r="BI896" s="63" t="n">
        <f aca="false">IF(AND(OR(CG896="L1",CG896="L23",CG896="LIFT"),BD896&gt;0),SUMIFS($BD$7:$BD$1843,$CG$7:$CG$1843,CG896,$BH$7:$BH$1843,"&gt;"&amp;BH896)+SUMIFS($BD$7:$BD$1843,$CG$7:$CG$1843,CG896,$BH$7:$BH$1843,BH896,$BX$7:$BX$1843,"&lt;="&amp;BX896),"")</f>
        <v>3501.73443223443</v>
      </c>
      <c r="BJ896" s="70" t="n">
        <f aca="false">IF(BI896="",0,MAX(0,MIN(1,(IF(CG896="L1",Parameter!$H$5,IF(CG896="L23",Parameter!$H$6+Parameter!$H$7,Parameter!$H$5+Parameter!$H$6+Parameter!$H$7))-(BI896-BD896))/BD896)))</f>
        <v>1</v>
      </c>
      <c r="BK896" s="60" t="str">
        <f aca="false">IF(AJ896&lt;=0,"",IF(CG896="Aussen","Aussenlager",IF(CG896="-","Nicht im Lift",IF(AP896&gt;=1,"Lift",IF(AP896&lt;=0,"Aussenlager","teilweise")))))</f>
        <v>Lift</v>
      </c>
      <c r="BL896" s="60" t="str">
        <f aca="false">IF(AT896&lt;=0,"",IF(CG896="Aussen","Aussenlager",IF(CG896="-","Nicht im Lift",IF(AZ896&gt;=1,"Lift",IF(AZ896&lt;=0,"Aussenlager","teilweise")))))</f>
        <v>Lift</v>
      </c>
      <c r="BM896" s="60" t="str">
        <f aca="false">IF(BD896&lt;=0,"",IF(CG896="Aussen","Aussenlager",IF(CG896="-","Nicht im Lift",IF(BJ896&gt;=1,"Lift",IF(BJ896&lt;=0,"Aussenlager","teilweise")))))</f>
        <v>Lift</v>
      </c>
      <c r="BN896" s="60" t="str">
        <f aca="false">IF(A896="","",IF(BW896=1,"Neu; ","")&amp;IF(AND(BW896=0,BR896&lt;0),"negativer Bestand (Export "&amp;BR896&amp;"); ","")&amp;IF(J896&lt;=0,"Kein Verbrauch; ","")&amp;IF(CR896&gt;0,"Lift "&amp;W896&amp;" lt. Liftbericht (Fach "&amp;X896&amp;" Stk); ",IF(CB896=1,"Gebinde geschätzt ("&amp;T896&amp;"); ",IF(CA896=1,"Lose – Tablare geschätzt; ","")))&amp;IF(H896&gt;AW896,"Überbestand "&amp;ROUND(H896-AW896,0)&amp;" Stk / CHF "&amp;ROUND((H896-AW896)*G896,0)&amp;"; ","")&amp;IF(AND(CI896=1,CJ896&lt;CK896),"MAX &lt; MB+LG; ","")&amp;IF(AND(CQ896&gt;0,CP896*10&gt;CQ896),"zu hoch für Tablar; ","")&amp;IF(AND(BW896=0,OR(CI896=1,AB896&lt;&gt;"",U896&lt;&gt;"",V896&lt;&gt;"",AC896&lt;&gt;"")),"manuell übersteuert; ","")&amp;IF(AND(CA896=0,R896=0),"Gebinde unbekannt / Stellmass fehlt; ","")&amp;IF(AND(CA896=0,N(V896)&lt;=0,N(Q896)&lt;=0),"Menge pro Gebinde fehlt (Ist = 1 Gebinde); ","")&amp;BV896)</f>
        <v>negativer Bestand (Export -1); </v>
      </c>
      <c r="BO896" s="60"/>
      <c r="BP896" s="60"/>
      <c r="BQ896" s="67"/>
      <c r="BR896" s="62" t="n">
        <v>-1</v>
      </c>
      <c r="BS896" s="62" t="n">
        <v>7</v>
      </c>
      <c r="BT896" s="61" t="n">
        <v>-31.74</v>
      </c>
      <c r="BU896" s="62" t="n">
        <v>9</v>
      </c>
      <c r="BV896" s="60"/>
      <c r="BW896" s="65" t="n">
        <v>0</v>
      </c>
      <c r="BX896" s="65" t="n">
        <v>896</v>
      </c>
      <c r="BY896" s="60" t="str">
        <f aca="false">IF(U896&lt;&gt;"",UPPER(TRIM(U896)),IF(CB896=1,UPPER(VLOOKUP(T896,Parameter!$I$27:$K$29,2,0)),IF(P896="","LOSE",P896)))</f>
        <v>S32</v>
      </c>
      <c r="BZ896" s="62" t="n">
        <f aca="false">IF(BY896="LOSE",1,IF(N(V896)&gt;0,V896,IF(CB896=1,MAX(1,N(VLOOKUP(T896,Parameter!$I$27:$K$29,3,0)),H896,N(N896)),IF(N(Q896)&gt;0,Q896,MAX(1,H896)))))</f>
        <v>18</v>
      </c>
      <c r="CA896" s="65" t="n">
        <f aca="false">IF(BY896="LOSE",1,0)</f>
        <v>0</v>
      </c>
      <c r="CB896" s="65" t="n">
        <f aca="false">IF(AND(U896="",OR(P896="",P896="LOSE"),T896&lt;&gt;"",N(S896)&lt;=0,ISNUMBER(MATCH(T896,Parameter!$I$27:$I$29,0))),1,0)</f>
        <v>0</v>
      </c>
      <c r="CC896" s="65" t="n">
        <f aca="false">IF(CR896&gt;0,INDEX(Parameter!$H$5:$H$7,W896)/INDEX(Parameter!$E$5:$E$7,W896),IF(AND(CA896=0,N(IFERROR(VLOOKUP(BY896,'Gebinde-Kategorie'!$A$5:$N$45,14,0),0))&gt;0),VLOOKUP(BY896,'Gebinde-Kategorie'!$A$5:$N$45,14,0)*10+Parameter!$M$23,Parameter!$M$24))</f>
        <v>155</v>
      </c>
      <c r="CD896" s="60" t="str">
        <f aca="false">IF(AND(Parameter!$B$19="Ja",E896&lt;&gt;"",ISNUMBER(MATCH(E896,Parameter!$I$35:$I$52,0))),VLOOKUP(E896,Parameter!$I$35:$J$52,2,0),IFERROR(VLOOKUP(D896,Parameter!$A$35:$C$64,2,0),"Nein"))</f>
        <v>2+3</v>
      </c>
      <c r="CE896" s="64" t="n">
        <f aca="false">IF(CA896=0,0,IF(N(S896)&gt;0,S896,IFERROR(VLOOKUP(D896,Parameter!$A$35:$C$64,3,0)+0,0)))</f>
        <v>0</v>
      </c>
      <c r="CF896" s="60" t="n">
        <f aca="false">IF(AB896&lt;&gt;"",AB896,AA896)</f>
        <v>3</v>
      </c>
      <c r="CG896" s="60" t="str">
        <f aca="false">IF(OR(CF896=1,CF896=2,CF896=3),IF(Parameter!$E$27="Ja","LIFT",IF(CF896=1,"L1","L23")),IF(CF896="Aussen","Aussen","-"))</f>
        <v>LIFT</v>
      </c>
      <c r="CH896" s="71" t="n">
        <f aca="false">IF(N(AC896)&gt;0,AC896,0)</f>
        <v>0</v>
      </c>
      <c r="CI896" s="65" t="n">
        <f aca="false">IF(ISNUMBER(AF896),1,0)</f>
        <v>0</v>
      </c>
      <c r="CJ896" s="62" t="n">
        <f aca="false">N(AF896)</f>
        <v>0</v>
      </c>
      <c r="CK896" s="62" t="n">
        <f aca="false">N(M896)+N(N896)</f>
        <v>10</v>
      </c>
      <c r="CL896" s="62" t="n">
        <f aca="false">N(M896)</f>
        <v>0</v>
      </c>
      <c r="CM896" s="62" t="n">
        <f aca="false">N(N896)</f>
        <v>10</v>
      </c>
      <c r="CN896" s="62" t="n">
        <f aca="false">ROUNDUP(H896/BZ896,0)</f>
        <v>1</v>
      </c>
      <c r="CO896" s="62" t="n">
        <f aca="false">ROUNDUP(CJ896/BZ896,0)</f>
        <v>0</v>
      </c>
      <c r="CP896" s="65" t="n">
        <f aca="false">IF(CA896=1,0,IFERROR(VLOOKUP(BY896,'Gebinde-Kategorie'!$A$5:$N$45,5,0)+0,0))</f>
        <v>8</v>
      </c>
      <c r="CQ896" s="65" t="n">
        <f aca="false">IFERROR(IF(OR(CF896=1,CF896=2,CF896=3),N(INDEX(Parameter!$I$5:$I$7,CF896)),0),0)</f>
        <v>0</v>
      </c>
      <c r="CR896" s="64" t="n">
        <f aca="false">IF(AND(Parameter!$B$21="Ja",ISNUMBER(W896),N(X896)&gt;0),IFERROR(N(INDEX(Parameter!$L$5:$L$7,W896))*INDEX(Parameter!$E$5:$E$7,W896)*X896/SUMIFS($X$7:$X$1843,$W$7:$W$1843,W896),0),0)</f>
        <v>0</v>
      </c>
      <c r="CS896" s="62" t="n">
        <f aca="false">IF(AND(OR(CG896="L1",CG896="L23",CG896="LIFT"),H896&gt;0),CC896*IF(CR896&gt;0,CR896*MAX(1,H896/X896),IF(CA896=1,CE896,IF(R896&gt;0,CN896/R896,0))/MAX(0.1,N(Parameter!$M$21))),"")</f>
        <v>1.49038461538462</v>
      </c>
      <c r="CT896" s="64" t="n">
        <f aca="false">IF(CS896="","",J896/H896)</f>
        <v>1.5</v>
      </c>
      <c r="CU896" s="62" t="n">
        <f aca="false">IF(CS896="","",H896*G896)</f>
        <v>82.08</v>
      </c>
      <c r="CV896" s="63" t="n">
        <f aca="false">IF(CS896="","",(CL896+ROUNDUP(CL896+MAX(CM896,2*(J896/MAX(0.1,N(Einkauf!$C$6))-CL896)),0))/2)</f>
        <v>5</v>
      </c>
      <c r="CW896" s="62" t="n">
        <f aca="false">IF(CS896="","",MAX(0,H896-CV896)*G896)</f>
        <v>13.68</v>
      </c>
      <c r="CX896" s="62" t="n">
        <f aca="false">IF(CS896="","",CS896*MAX(0,1-CV896/H896))</f>
        <v>0.248397435897436</v>
      </c>
      <c r="CY896" s="64" t="n">
        <f aca="false">IF(CS896="","",PERCENTRANK($CS$7:$CS$1843,CS896)+PERCENTRANK($CU$7:$CU$1843,CU896)+1-PERCENTRANK($CT$7:$CT$1843,CT896))</f>
        <v>0.561</v>
      </c>
      <c r="CZ896" s="72" t="n">
        <f aca="false">IF(CS896="","",CHOOSE(MATCH(Einkauf!$C$5,Parameter!$G$23:$G$27,0),CY896,CS896,CU896,-CT896,CW896)+ROW()/1000000000)</f>
        <v>0.561000896</v>
      </c>
    </row>
    <row r="897" customFormat="false" ht="15" hidden="false" customHeight="false" outlineLevel="0" collapsed="false">
      <c r="A897" s="60" t="s">
        <v>1732</v>
      </c>
      <c r="B897" s="60" t="s">
        <v>1717</v>
      </c>
      <c r="C897" s="60" t="s">
        <v>206</v>
      </c>
      <c r="D897" s="60" t="s">
        <v>226</v>
      </c>
      <c r="E897" s="60"/>
      <c r="F897" s="60" t="s">
        <v>260</v>
      </c>
      <c r="G897" s="61" t="n">
        <v>0.71</v>
      </c>
      <c r="H897" s="62" t="n">
        <f aca="false">MAX(0,IF(AND(Parameter!$B$21="Ja",ISNUMBER(Y897)),Y897,IF(Parameter!$B$20="Jahresanfang 2025 + Export",BS897+BR897,BR897)))</f>
        <v>116</v>
      </c>
      <c r="I897" s="62" t="n">
        <f aca="false">H897*G897</f>
        <v>82.36</v>
      </c>
      <c r="J897" s="62" t="n">
        <f aca="false">BU897*Parameter!$B$18</f>
        <v>9</v>
      </c>
      <c r="K897" s="63" t="n">
        <v>156.5</v>
      </c>
      <c r="L897" s="64" t="n">
        <v>0.0575079872204473</v>
      </c>
      <c r="M897" s="62" t="n">
        <v>0</v>
      </c>
      <c r="N897" s="62" t="n">
        <v>10</v>
      </c>
      <c r="O897" s="65" t="n">
        <v>14</v>
      </c>
      <c r="P897" s="60" t="s">
        <v>443</v>
      </c>
      <c r="Q897" s="62" t="n">
        <v>150</v>
      </c>
      <c r="R897" s="65" t="n">
        <f aca="false">IF(CA897=1,0,IFERROR(VLOOKUP(BY897,'Gebinde-Kategorie'!$A$5:$N$45,13,0)+0,0))</f>
        <v>280</v>
      </c>
      <c r="S897" s="66"/>
      <c r="T897" s="67"/>
      <c r="U897" s="67"/>
      <c r="V897" s="67"/>
      <c r="W897" s="60"/>
      <c r="X897" s="62"/>
      <c r="Y897" s="62"/>
      <c r="Z897" s="60" t="n">
        <v>1</v>
      </c>
      <c r="AA897" s="60" t="n">
        <f aca="false">IF(A897="","",IF(AND(Parameter!$B$21="Ja",ISNUMBER(W897)),W897,IF(AND(Parameter!$E$27="Ja",ISNUMBER(Z897),CD897&lt;&gt;"Nein"),Z897,IF(CD897="2+3",IF(ISNUMBER(SEARCH("grosser Artikel",BV897)),2,IFERROR(VLOOKUP(BY897,Parameter!$F$35:$G$64,2,0),2)),IF(OR(CD897="Nein",CD897=""),"-",CD897)))))</f>
        <v>1</v>
      </c>
      <c r="AB897" s="67"/>
      <c r="AC897" s="68"/>
      <c r="AD897" s="62" t="n">
        <f aca="false">AW897</f>
        <v>10</v>
      </c>
      <c r="AE897" s="62" t="n">
        <f aca="false">MAX(AW897,H897)</f>
        <v>116</v>
      </c>
      <c r="AF897" s="69"/>
      <c r="AG897" s="62" t="n">
        <f aca="false">IF(LEFT(Cockpit!$C$5,1)="A",H897,IF(Parameter!$E$30="MAX-Bestand",IF(CI897=1,CJ897,IF(LEFT(Cockpit!$C$5,1)="B",AM897,MAX(AM897,H897))),ROUNDUP(AK897,0)))</f>
        <v>116</v>
      </c>
      <c r="AH897" s="62" t="n">
        <f aca="false">IF(CA897=1,0,ROUNDUP(AG897/BZ897,0))</f>
        <v>1</v>
      </c>
      <c r="AI897" s="64" t="n">
        <f aca="false">IF(CR897&gt;0,CR897*MAX(1,AG897/X897),IF(CA897=1,IF(AG897&lt;=0,0,CE897*MAX(1,IF(H897&gt;0,AG897/H897,1))),IF(R897&gt;0,AH897/R897,0))/MAX(0.1,N(Parameter!$M$21)))</f>
        <v>0.00357142857142857</v>
      </c>
      <c r="AJ897" s="62" t="n">
        <f aca="false">AI897*CC897</f>
        <v>0.553571428571429</v>
      </c>
      <c r="AK897" s="63" t="n">
        <f aca="false">IF(LEFT(Cockpit!$C$5,1)="A",H897,IF(CI897=1,(CL897+CJ897)/2,IF(LEFT(Cockpit!$C$5,1)="B",(CL897+AM897)/2,MAX((CL897+AM897)/2,H897))))</f>
        <v>116</v>
      </c>
      <c r="AL897" s="62" t="n">
        <f aca="false">AK897*G897</f>
        <v>82.36</v>
      </c>
      <c r="AM897" s="62" t="n">
        <f aca="false">ROUNDUP(CL897+MAX(CM897,2*(J897/IF(CH897&gt;0,CH897,MAX(0.1,N(Cockpit!$C$6)))-CL897)),0)</f>
        <v>10</v>
      </c>
      <c r="AN897" s="63" t="n">
        <f aca="false">IF(AJ897&gt;0,J897/AJ897,-1)</f>
        <v>16.258064516129</v>
      </c>
      <c r="AO897" s="63" t="n">
        <f aca="false">IF(AND(OR(CG897="L1",CG897="L23",CG897="LIFT"),AJ897&gt;0),SUMIFS($AJ$7:$AJ$1843,$CG$7:$CG$1843,CG897,$AN$7:$AN$1843,"&gt;"&amp;AN897)+SUMIFS($AJ$7:$AJ$1843,$CG$7:$CG$1843,CG897,$AN$7:$AN$1843,AN897,$BX$7:$BX$1843,"&lt;="&amp;BX897),"")</f>
        <v>2047.32371794872</v>
      </c>
      <c r="AP897" s="70" t="n">
        <f aca="false">IF(AO897="",0,MAX(0,MIN(1,(IF(CG897="L1",Parameter!$H$5,IF(CG897="L23",Parameter!$H$6+Parameter!$H$7,Parameter!$H$5+Parameter!$H$6+Parameter!$H$7))-(AO897-AJ897))/AJ897)))</f>
        <v>1</v>
      </c>
      <c r="AQ897" s="62" t="n">
        <f aca="false">IF(LEFT(Cockpit!$I$5,1)="A",H897,IF(Parameter!$E$30="MAX-Bestand",IF(CI897=1,CJ897,IF(LEFT(Cockpit!$I$5,1)="B",AW897,MAX(AW897,H897))),ROUNDUP(AU897,0)))</f>
        <v>116</v>
      </c>
      <c r="AR897" s="62" t="n">
        <f aca="false">IF(CA897=1,0,ROUNDUP(AQ897/BZ897,0))</f>
        <v>1</v>
      </c>
      <c r="AS897" s="64" t="n">
        <f aca="false">IF(CR897&gt;0,CR897*MAX(1,AQ897/X897),IF(CA897=1,IF(AQ897&lt;=0,0,CE897*MAX(1,IF(H897&gt;0,AQ897/H897,1))),IF(R897&gt;0,AR897/R897,0))/MAX(0.1,N(Parameter!$M$21)))</f>
        <v>0.00357142857142857</v>
      </c>
      <c r="AT897" s="62" t="n">
        <f aca="false">AS897*CC897</f>
        <v>0.553571428571429</v>
      </c>
      <c r="AU897" s="63" t="n">
        <f aca="false">IF(LEFT(Cockpit!$I$5,1)="A",H897,IF(CI897=1,(CL897+CJ897)/2,IF(LEFT(Cockpit!$I$5,1)="B",(CL897+AW897)/2,MAX((CL897+AW897)/2,H897))))</f>
        <v>116</v>
      </c>
      <c r="AV897" s="62" t="n">
        <f aca="false">AU897*G897</f>
        <v>82.36</v>
      </c>
      <c r="AW897" s="62" t="n">
        <f aca="false">ROUNDUP(CL897+MAX(CM897,2*(J897/IF(CH897&gt;0,CH897,MAX(0.1,N(Cockpit!$I$6)))-CL897)),0)</f>
        <v>10</v>
      </c>
      <c r="AX897" s="63" t="n">
        <f aca="false">IF(AT897&gt;0,J897/AT897,-1)</f>
        <v>16.258064516129</v>
      </c>
      <c r="AY897" s="63" t="n">
        <f aca="false">IF(AND(OR(CG897="L1",CG897="L23",CG897="LIFT"),AT897&gt;0),SUMIFS($AT$7:$AT$1843,$CG$7:$CG$1843,CG897,$AX$7:$AX$1843,"&gt;"&amp;AX897)+SUMIFS($AT$7:$AT$1843,$CG$7:$CG$1843,CG897,$AX$7:$AX$1843,AX897,$BX$7:$BX$1843,"&lt;="&amp;BX897),"")</f>
        <v>2683.33745421245</v>
      </c>
      <c r="AZ897" s="70" t="n">
        <f aca="false">IF(AY897="",0,MAX(0,MIN(1,(IF(CG897="L1",Parameter!$H$5,IF(CG897="L23",Parameter!$H$6+Parameter!$H$7,Parameter!$H$5+Parameter!$H$6+Parameter!$H$7))-(AY897-AT897))/AT897)))</f>
        <v>1</v>
      </c>
      <c r="BA897" s="62" t="n">
        <f aca="false">IF(LEFT(Cockpit!$O$5,1)="A",H897,IF(Parameter!$E$30="MAX-Bestand",IF(CI897=1,CJ897,IF(LEFT(Cockpit!$O$5,1)="B",BG897,MAX(BG897,H897))),ROUNDUP(BE897,0)))</f>
        <v>5</v>
      </c>
      <c r="BB897" s="62" t="n">
        <f aca="false">IF(CA897=1,0,ROUNDUP(BA897/BZ897,0))</f>
        <v>1</v>
      </c>
      <c r="BC897" s="64" t="n">
        <f aca="false">IF(CR897&gt;0,CR897*MAX(1,BA897/X897),IF(CA897=1,IF(BA897&lt;=0,0,CE897*MAX(1,IF(H897&gt;0,BA897/H897,1))),IF(R897&gt;0,BB897/R897,0))/MAX(0.1,N(Parameter!$M$21)))</f>
        <v>0.00357142857142857</v>
      </c>
      <c r="BD897" s="62" t="n">
        <f aca="false">BC897*CC897</f>
        <v>0.553571428571429</v>
      </c>
      <c r="BE897" s="63" t="n">
        <f aca="false">IF(LEFT(Cockpit!$O$5,1)="A",H897,IF(CI897=1,(CL897+CJ897)/2,IF(LEFT(Cockpit!$O$5,1)="B",(CL897+BG897)/2,MAX((CL897+BG897)/2,H897))))</f>
        <v>5</v>
      </c>
      <c r="BF897" s="62" t="n">
        <f aca="false">BE897*G897</f>
        <v>3.55</v>
      </c>
      <c r="BG897" s="62" t="n">
        <f aca="false">ROUNDUP(CL897+MAX(CM897,2*(J897/IF(CH897&gt;0,CH897,MAX(0.1,N(Cockpit!$O$6)))-CL897)),0)</f>
        <v>10</v>
      </c>
      <c r="BH897" s="63" t="n">
        <f aca="false">IF(BD897&gt;0,J897/BD897,-1)</f>
        <v>16.258064516129</v>
      </c>
      <c r="BI897" s="63" t="n">
        <f aca="false">IF(AND(OR(CG897="L1",CG897="L23",CG897="LIFT"),BD897&gt;0),SUMIFS($BD$7:$BD$1843,$CG$7:$CG$1843,CG897,$BH$7:$BH$1843,"&gt;"&amp;BH897)+SUMIFS($BD$7:$BD$1843,$CG$7:$CG$1843,CG897,$BH$7:$BH$1843,BH897,$BX$7:$BX$1843,"&lt;="&amp;BX897),"")</f>
        <v>2375.31684981685</v>
      </c>
      <c r="BJ897" s="70" t="n">
        <f aca="false">IF(BI897="",0,MAX(0,MIN(1,(IF(CG897="L1",Parameter!$H$5,IF(CG897="L23",Parameter!$H$6+Parameter!$H$7,Parameter!$H$5+Parameter!$H$6+Parameter!$H$7))-(BI897-BD897))/BD897)))</f>
        <v>1</v>
      </c>
      <c r="BK897" s="60" t="str">
        <f aca="false">IF(AJ897&lt;=0,"",IF(CG897="Aussen","Aussenlager",IF(CG897="-","Nicht im Lift",IF(AP897&gt;=1,"Lift",IF(AP897&lt;=0,"Aussenlager","teilweise")))))</f>
        <v>Lift</v>
      </c>
      <c r="BL897" s="60" t="str">
        <f aca="false">IF(AT897&lt;=0,"",IF(CG897="Aussen","Aussenlager",IF(CG897="-","Nicht im Lift",IF(AZ897&gt;=1,"Lift",IF(AZ897&lt;=0,"Aussenlager","teilweise")))))</f>
        <v>Lift</v>
      </c>
      <c r="BM897" s="60" t="str">
        <f aca="false">IF(BD897&lt;=0,"",IF(CG897="Aussen","Aussenlager",IF(CG897="-","Nicht im Lift",IF(BJ897&gt;=1,"Lift",IF(BJ897&lt;=0,"Aussenlager","teilweise")))))</f>
        <v>Lift</v>
      </c>
      <c r="BN897" s="60" t="str">
        <f aca="false">IF(A897="","",IF(BW897=1,"Neu; ","")&amp;IF(AND(BW897=0,BR897&lt;0),"negativer Bestand (Export "&amp;BR897&amp;"); ","")&amp;IF(J897&lt;=0,"Kein Verbrauch; ","")&amp;IF(CR897&gt;0,"Lift "&amp;W897&amp;" lt. Liftbericht (Fach "&amp;X897&amp;" Stk); ",IF(CB897=1,"Gebinde geschätzt ("&amp;T897&amp;"); ",IF(CA897=1,"Lose – Tablare geschätzt; ","")))&amp;IF(H897&gt;AW897,"Überbestand "&amp;ROUND(H897-AW897,0)&amp;" Stk / CHF "&amp;ROUND((H897-AW897)*G897,0)&amp;"; ","")&amp;IF(AND(CI897=1,CJ897&lt;CK897),"MAX &lt; MB+LG; ","")&amp;IF(AND(CQ897&gt;0,CP897*10&gt;CQ897),"zu hoch für Tablar; ","")&amp;IF(AND(BW897=0,OR(CI897=1,AB897&lt;&gt;"",U897&lt;&gt;"",V897&lt;&gt;"",AC897&lt;&gt;"")),"manuell übersteuert; ","")&amp;IF(AND(CA897=0,R897=0),"Gebinde unbekannt / Stellmass fehlt; ","")&amp;IF(AND(CA897=0,N(V897)&lt;=0,N(Q897)&lt;=0),"Menge pro Gebinde fehlt (Ist = 1 Gebinde); ","")&amp;BV897)</f>
        <v>negativer Bestand (Export -45); Überbestand 106 Stk / CHF 75; </v>
      </c>
      <c r="BO897" s="60"/>
      <c r="BP897" s="60"/>
      <c r="BQ897" s="67"/>
      <c r="BR897" s="62" t="n">
        <v>-45</v>
      </c>
      <c r="BS897" s="62" t="n">
        <v>161</v>
      </c>
      <c r="BT897" s="61" t="n">
        <v>-31.95</v>
      </c>
      <c r="BU897" s="62" t="n">
        <v>9</v>
      </c>
      <c r="BV897" s="60"/>
      <c r="BW897" s="65" t="n">
        <v>0</v>
      </c>
      <c r="BX897" s="65" t="n">
        <v>897</v>
      </c>
      <c r="BY897" s="60" t="str">
        <f aca="false">IF(U897&lt;&gt;"",UPPER(TRIM(U897)),IF(CB897=1,UPPER(VLOOKUP(T897,Parameter!$I$27:$K$29,2,0)),IF(P897="","LOSE",P897)))</f>
        <v>S21</v>
      </c>
      <c r="BZ897" s="62" t="n">
        <f aca="false">IF(BY897="LOSE",1,IF(N(V897)&gt;0,V897,IF(CB897=1,MAX(1,N(VLOOKUP(T897,Parameter!$I$27:$K$29,3,0)),H897,N(N897)),IF(N(Q897)&gt;0,Q897,MAX(1,H897)))))</f>
        <v>150</v>
      </c>
      <c r="CA897" s="65" t="n">
        <f aca="false">IF(BY897="LOSE",1,0)</f>
        <v>0</v>
      </c>
      <c r="CB897" s="65" t="n">
        <f aca="false">IF(AND(U897="",OR(P897="",P897="LOSE"),T897&lt;&gt;"",N(S897)&lt;=0,ISNUMBER(MATCH(T897,Parameter!$I$27:$I$29,0))),1,0)</f>
        <v>0</v>
      </c>
      <c r="CC897" s="65" t="n">
        <f aca="false">IF(CR897&gt;0,INDEX(Parameter!$H$5:$H$7,W897)/INDEX(Parameter!$E$5:$E$7,W897),IF(AND(CA897=0,N(IFERROR(VLOOKUP(BY897,'Gebinde-Kategorie'!$A$5:$N$45,14,0),0))&gt;0),VLOOKUP(BY897,'Gebinde-Kategorie'!$A$5:$N$45,14,0)*10+Parameter!$M$23,Parameter!$M$24))</f>
        <v>155</v>
      </c>
      <c r="CD897" s="60" t="str">
        <f aca="false">IF(AND(Parameter!$B$19="Ja",E897&lt;&gt;"",ISNUMBER(MATCH(E897,Parameter!$I$35:$I$52,0))),VLOOKUP(E897,Parameter!$I$35:$J$52,2,0),IFERROR(VLOOKUP(D897,Parameter!$A$35:$C$64,2,0),"Nein"))</f>
        <v>2+3</v>
      </c>
      <c r="CE897" s="64" t="n">
        <f aca="false">IF(CA897=0,0,IF(N(S897)&gt;0,S897,IFERROR(VLOOKUP(D897,Parameter!$A$35:$C$64,3,0)+0,0)))</f>
        <v>0</v>
      </c>
      <c r="CF897" s="60" t="n">
        <f aca="false">IF(AB897&lt;&gt;"",AB897,AA897)</f>
        <v>1</v>
      </c>
      <c r="CG897" s="60" t="str">
        <f aca="false">IF(OR(CF897=1,CF897=2,CF897=3),IF(Parameter!$E$27="Ja","LIFT",IF(CF897=1,"L1","L23")),IF(CF897="Aussen","Aussen","-"))</f>
        <v>LIFT</v>
      </c>
      <c r="CH897" s="71" t="n">
        <f aca="false">IF(N(AC897)&gt;0,AC897,0)</f>
        <v>0</v>
      </c>
      <c r="CI897" s="65" t="n">
        <f aca="false">IF(ISNUMBER(AF897),1,0)</f>
        <v>0</v>
      </c>
      <c r="CJ897" s="62" t="n">
        <f aca="false">N(AF897)</f>
        <v>0</v>
      </c>
      <c r="CK897" s="62" t="n">
        <f aca="false">N(M897)+N(N897)</f>
        <v>10</v>
      </c>
      <c r="CL897" s="62" t="n">
        <f aca="false">N(M897)</f>
        <v>0</v>
      </c>
      <c r="CM897" s="62" t="n">
        <f aca="false">N(N897)</f>
        <v>10</v>
      </c>
      <c r="CN897" s="62" t="n">
        <f aca="false">ROUNDUP(H897/BZ897,0)</f>
        <v>1</v>
      </c>
      <c r="CO897" s="62" t="n">
        <f aca="false">ROUNDUP(CJ897/BZ897,0)</f>
        <v>0</v>
      </c>
      <c r="CP897" s="65" t="n">
        <f aca="false">IF(CA897=1,0,IFERROR(VLOOKUP(BY897,'Gebinde-Kategorie'!$A$5:$N$45,5,0)+0,0))</f>
        <v>8</v>
      </c>
      <c r="CQ897" s="65" t="n">
        <f aca="false">IFERROR(IF(OR(CF897=1,CF897=2,CF897=3),N(INDEX(Parameter!$I$5:$I$7,CF897)),0),0)</f>
        <v>0</v>
      </c>
      <c r="CR897" s="64" t="n">
        <f aca="false">IF(AND(Parameter!$B$21="Ja",ISNUMBER(W897),N(X897)&gt;0),IFERROR(N(INDEX(Parameter!$L$5:$L$7,W897))*INDEX(Parameter!$E$5:$E$7,W897)*X897/SUMIFS($X$7:$X$1843,$W$7:$W$1843,W897),0),0)</f>
        <v>0</v>
      </c>
      <c r="CS897" s="62" t="n">
        <f aca="false">IF(AND(OR(CG897="L1",CG897="L23",CG897="LIFT"),H897&gt;0),CC897*IF(CR897&gt;0,CR897*MAX(1,H897/X897),IF(CA897=1,CE897,IF(R897&gt;0,CN897/R897,0))/MAX(0.1,N(Parameter!$M$21))),"")</f>
        <v>0.553571428571429</v>
      </c>
      <c r="CT897" s="64" t="n">
        <f aca="false">IF(CS897="","",J897/H897)</f>
        <v>0.0775862068965517</v>
      </c>
      <c r="CU897" s="62" t="n">
        <f aca="false">IF(CS897="","",H897*G897)</f>
        <v>82.36</v>
      </c>
      <c r="CV897" s="63" t="n">
        <f aca="false">IF(CS897="","",(CL897+ROUNDUP(CL897+MAX(CM897,2*(J897/MAX(0.1,N(Einkauf!$C$6))-CL897)),0))/2)</f>
        <v>5</v>
      </c>
      <c r="CW897" s="62" t="n">
        <f aca="false">IF(CS897="","",MAX(0,H897-CV897)*G897)</f>
        <v>78.81</v>
      </c>
      <c r="CX897" s="62" t="n">
        <f aca="false">IF(CS897="","",CS897*MAX(0,1-CV897/H897))</f>
        <v>0.529710591133005</v>
      </c>
      <c r="CY897" s="64" t="n">
        <f aca="false">IF(CS897="","",PERCENTRANK($CS$7:$CS$1843,CS897)+PERCENTRANK($CU$7:$CU$1843,CU897)+1-PERCENTRANK($CT$7:$CT$1843,CT897))</f>
        <v>0.785</v>
      </c>
      <c r="CZ897" s="72" t="n">
        <f aca="false">IF(CS897="","",CHOOSE(MATCH(Einkauf!$C$5,Parameter!$G$23:$G$27,0),CY897,CS897,CU897,-CT897,CW897)+ROW()/1000000000)</f>
        <v>0.785000897</v>
      </c>
    </row>
    <row r="898" customFormat="false" ht="15" hidden="false" customHeight="false" outlineLevel="0" collapsed="false">
      <c r="A898" s="60" t="s">
        <v>1733</v>
      </c>
      <c r="B898" s="60" t="s">
        <v>1134</v>
      </c>
      <c r="C898" s="60" t="s">
        <v>206</v>
      </c>
      <c r="D898" s="60" t="s">
        <v>226</v>
      </c>
      <c r="E898" s="60" t="s">
        <v>227</v>
      </c>
      <c r="F898" s="60" t="s">
        <v>260</v>
      </c>
      <c r="G898" s="61" t="n">
        <v>6.47</v>
      </c>
      <c r="H898" s="62" t="n">
        <f aca="false">MAX(0,IF(AND(Parameter!$B$21="Ja",ISNUMBER(Y898)),Y898,IF(Parameter!$B$20="Jahresanfang 2025 + Export",BS898+BR898,BR898)))</f>
        <v>6</v>
      </c>
      <c r="I898" s="62" t="n">
        <f aca="false">H898*G898</f>
        <v>38.82</v>
      </c>
      <c r="J898" s="62" t="n">
        <f aca="false">BU898*Parameter!$B$18</f>
        <v>6</v>
      </c>
      <c r="K898" s="63" t="n">
        <v>10.5</v>
      </c>
      <c r="L898" s="64" t="n">
        <v>0.571428571428571</v>
      </c>
      <c r="M898" s="62" t="n">
        <v>0</v>
      </c>
      <c r="N898" s="62" t="n">
        <v>5</v>
      </c>
      <c r="O898" s="65" t="n">
        <v>14</v>
      </c>
      <c r="P898" s="60" t="s">
        <v>518</v>
      </c>
      <c r="Q898" s="62" t="n">
        <v>5</v>
      </c>
      <c r="R898" s="65" t="n">
        <f aca="false">IF(CA898=1,0,IFERROR(VLOOKUP(BY898,'Gebinde-Kategorie'!$A$5:$N$45,13,0)+0,0))</f>
        <v>52</v>
      </c>
      <c r="S898" s="66"/>
      <c r="T898" s="67"/>
      <c r="U898" s="67"/>
      <c r="V898" s="67"/>
      <c r="W898" s="60"/>
      <c r="X898" s="62"/>
      <c r="Y898" s="62"/>
      <c r="Z898" s="60" t="n">
        <v>3</v>
      </c>
      <c r="AA898" s="60" t="n">
        <f aca="false">IF(A898="","",IF(AND(Parameter!$B$21="Ja",ISNUMBER(W898)),W898,IF(AND(Parameter!$E$27="Ja",ISNUMBER(Z898),CD898&lt;&gt;"Nein"),Z898,IF(CD898="2+3",IF(ISNUMBER(SEARCH("grosser Artikel",BV898)),2,IFERROR(VLOOKUP(BY898,Parameter!$F$35:$G$64,2,0),2)),IF(OR(CD898="Nein",CD898=""),"-",CD898)))))</f>
        <v>3</v>
      </c>
      <c r="AB898" s="67"/>
      <c r="AC898" s="68"/>
      <c r="AD898" s="62" t="n">
        <f aca="false">AW898</f>
        <v>5</v>
      </c>
      <c r="AE898" s="62" t="n">
        <f aca="false">MAX(AW898,H898)</f>
        <v>6</v>
      </c>
      <c r="AF898" s="69"/>
      <c r="AG898" s="62" t="n">
        <f aca="false">IF(LEFT(Cockpit!$C$5,1)="A",H898,IF(Parameter!$E$30="MAX-Bestand",IF(CI898=1,CJ898,IF(LEFT(Cockpit!$C$5,1)="B",AM898,MAX(AM898,H898))),ROUNDUP(AK898,0)))</f>
        <v>6</v>
      </c>
      <c r="AH898" s="62" t="n">
        <f aca="false">IF(CA898=1,0,ROUNDUP(AG898/BZ898,0))</f>
        <v>2</v>
      </c>
      <c r="AI898" s="64" t="n">
        <f aca="false">IF(CR898&gt;0,CR898*MAX(1,AG898/X898),IF(CA898=1,IF(AG898&lt;=0,0,CE898*MAX(1,IF(H898&gt;0,AG898/H898,1))),IF(R898&gt;0,AH898/R898,0))/MAX(0.1,N(Parameter!$M$21)))</f>
        <v>0.0384615384615385</v>
      </c>
      <c r="AJ898" s="62" t="n">
        <f aca="false">AI898*CC898</f>
        <v>5.96153846153846</v>
      </c>
      <c r="AK898" s="63" t="n">
        <f aca="false">IF(LEFT(Cockpit!$C$5,1)="A",H898,IF(CI898=1,(CL898+CJ898)/2,IF(LEFT(Cockpit!$C$5,1)="B",(CL898+AM898)/2,MAX((CL898+AM898)/2,H898))))</f>
        <v>6</v>
      </c>
      <c r="AL898" s="62" t="n">
        <f aca="false">AK898*G898</f>
        <v>38.82</v>
      </c>
      <c r="AM898" s="62" t="n">
        <f aca="false">ROUNDUP(CL898+MAX(CM898,2*(J898/IF(CH898&gt;0,CH898,MAX(0.1,N(Cockpit!$C$6)))-CL898)),0)</f>
        <v>5</v>
      </c>
      <c r="AN898" s="63" t="n">
        <f aca="false">IF(AJ898&gt;0,J898/AJ898,-1)</f>
        <v>1.00645161290323</v>
      </c>
      <c r="AO898" s="63" t="n">
        <f aca="false">IF(AND(OR(CG898="L1",CG898="L23",CG898="LIFT"),AJ898&gt;0),SUMIFS($AJ$7:$AJ$1843,$CG$7:$CG$1843,CG898,$AN$7:$AN$1843,"&gt;"&amp;AN898)+SUMIFS($AJ$7:$AJ$1843,$CG$7:$CG$1843,CG898,$AN$7:$AN$1843,AN898,$BX$7:$BX$1843,"&lt;="&amp;BX898),"")</f>
        <v>7038.51968864469</v>
      </c>
      <c r="AP898" s="70" t="n">
        <f aca="false">IF(AO898="",0,MAX(0,MIN(1,(IF(CG898="L1",Parameter!$H$5,IF(CG898="L23",Parameter!$H$6+Parameter!$H$7,Parameter!$H$5+Parameter!$H$6+Parameter!$H$7))-(AO898-AJ898))/AJ898)))</f>
        <v>1</v>
      </c>
      <c r="AQ898" s="62" t="n">
        <f aca="false">IF(LEFT(Cockpit!$I$5,1)="A",H898,IF(Parameter!$E$30="MAX-Bestand",IF(CI898=1,CJ898,IF(LEFT(Cockpit!$I$5,1)="B",AW898,MAX(AW898,H898))),ROUNDUP(AU898,0)))</f>
        <v>6</v>
      </c>
      <c r="AR898" s="62" t="n">
        <f aca="false">IF(CA898=1,0,ROUNDUP(AQ898/BZ898,0))</f>
        <v>2</v>
      </c>
      <c r="AS898" s="64" t="n">
        <f aca="false">IF(CR898&gt;0,CR898*MAX(1,AQ898/X898),IF(CA898=1,IF(AQ898&lt;=0,0,CE898*MAX(1,IF(H898&gt;0,AQ898/H898,1))),IF(R898&gt;0,AR898/R898,0))/MAX(0.1,N(Parameter!$M$21)))</f>
        <v>0.0384615384615385</v>
      </c>
      <c r="AT898" s="62" t="n">
        <f aca="false">AS898*CC898</f>
        <v>5.96153846153846</v>
      </c>
      <c r="AU898" s="63" t="n">
        <f aca="false">IF(LEFT(Cockpit!$I$5,1)="A",H898,IF(CI898=1,(CL898+CJ898)/2,IF(LEFT(Cockpit!$I$5,1)="B",(CL898+AW898)/2,MAX((CL898+AW898)/2,H898))))</f>
        <v>6</v>
      </c>
      <c r="AV898" s="62" t="n">
        <f aca="false">AU898*G898</f>
        <v>38.82</v>
      </c>
      <c r="AW898" s="62" t="n">
        <f aca="false">ROUNDUP(CL898+MAX(CM898,2*(J898/IF(CH898&gt;0,CH898,MAX(0.1,N(Cockpit!$I$6)))-CL898)),0)</f>
        <v>5</v>
      </c>
      <c r="AX898" s="63" t="n">
        <f aca="false">IF(AT898&gt;0,J898/AT898,-1)</f>
        <v>1.00645161290323</v>
      </c>
      <c r="AY898" s="63" t="n">
        <f aca="false">IF(AND(OR(CG898="L1",CG898="L23",CG898="LIFT"),AT898&gt;0),SUMIFS($AT$7:$AT$1843,$CG$7:$CG$1843,CG898,$AX$7:$AX$1843,"&gt;"&amp;AX898)+SUMIFS($AT$7:$AT$1843,$CG$7:$CG$1843,CG898,$AX$7:$AX$1843,AX898,$BX$7:$BX$1843,"&lt;="&amp;BX898),"")</f>
        <v>8410.2032967033</v>
      </c>
      <c r="AZ898" s="70" t="n">
        <f aca="false">IF(AY898="",0,MAX(0,MIN(1,(IF(CG898="L1",Parameter!$H$5,IF(CG898="L23",Parameter!$H$6+Parameter!$H$7,Parameter!$H$5+Parameter!$H$6+Parameter!$H$7))-(AY898-AT898))/AT898)))</f>
        <v>1</v>
      </c>
      <c r="BA898" s="62" t="n">
        <f aca="false">IF(LEFT(Cockpit!$O$5,1)="A",H898,IF(Parameter!$E$30="MAX-Bestand",IF(CI898=1,CJ898,IF(LEFT(Cockpit!$O$5,1)="B",BG898,MAX(BG898,H898))),ROUNDUP(BE898,0)))</f>
        <v>3</v>
      </c>
      <c r="BB898" s="62" t="n">
        <f aca="false">IF(CA898=1,0,ROUNDUP(BA898/BZ898,0))</f>
        <v>1</v>
      </c>
      <c r="BC898" s="64" t="n">
        <f aca="false">IF(CR898&gt;0,CR898*MAX(1,BA898/X898),IF(CA898=1,IF(BA898&lt;=0,0,CE898*MAX(1,IF(H898&gt;0,BA898/H898,1))),IF(R898&gt;0,BB898/R898,0))/MAX(0.1,N(Parameter!$M$21)))</f>
        <v>0.0192307692307692</v>
      </c>
      <c r="BD898" s="62" t="n">
        <f aca="false">BC898*CC898</f>
        <v>2.98076923076923</v>
      </c>
      <c r="BE898" s="63" t="n">
        <f aca="false">IF(LEFT(Cockpit!$O$5,1)="A",H898,IF(CI898=1,(CL898+CJ898)/2,IF(LEFT(Cockpit!$O$5,1)="B",(CL898+BG898)/2,MAX((CL898+BG898)/2,H898))))</f>
        <v>2.5</v>
      </c>
      <c r="BF898" s="62" t="n">
        <f aca="false">BE898*G898</f>
        <v>16.175</v>
      </c>
      <c r="BG898" s="62" t="n">
        <f aca="false">ROUNDUP(CL898+MAX(CM898,2*(J898/IF(CH898&gt;0,CH898,MAX(0.1,N(Cockpit!$O$6)))-CL898)),0)</f>
        <v>5</v>
      </c>
      <c r="BH898" s="63" t="n">
        <f aca="false">IF(BD898&gt;0,J898/BD898,-1)</f>
        <v>2.01290322580645</v>
      </c>
      <c r="BI898" s="63" t="n">
        <f aca="false">IF(AND(OR(CG898="L1",CG898="L23",CG898="LIFT"),BD898&gt;0),SUMIFS($BD$7:$BD$1843,$CG$7:$CG$1843,CG898,$BH$7:$BH$1843,"&gt;"&amp;BH898)+SUMIFS($BD$7:$BD$1843,$CG$7:$CG$1843,CG898,$BH$7:$BH$1843,BH898,$BX$7:$BX$1843,"&lt;="&amp;BX898),"")</f>
        <v>5872.54487179487</v>
      </c>
      <c r="BJ898" s="70" t="n">
        <f aca="false">IF(BI898="",0,MAX(0,MIN(1,(IF(CG898="L1",Parameter!$H$5,IF(CG898="L23",Parameter!$H$6+Parameter!$H$7,Parameter!$H$5+Parameter!$H$6+Parameter!$H$7))-(BI898-BD898))/BD898)))</f>
        <v>1</v>
      </c>
      <c r="BK898" s="60" t="str">
        <f aca="false">IF(AJ898&lt;=0,"",IF(CG898="Aussen","Aussenlager",IF(CG898="-","Nicht im Lift",IF(AP898&gt;=1,"Lift",IF(AP898&lt;=0,"Aussenlager","teilweise")))))</f>
        <v>Lift</v>
      </c>
      <c r="BL898" s="60" t="str">
        <f aca="false">IF(AT898&lt;=0,"",IF(CG898="Aussen","Aussenlager",IF(CG898="-","Nicht im Lift",IF(AZ898&gt;=1,"Lift",IF(AZ898&lt;=0,"Aussenlager","teilweise")))))</f>
        <v>Lift</v>
      </c>
      <c r="BM898" s="60" t="str">
        <f aca="false">IF(BD898&lt;=0,"",IF(CG898="Aussen","Aussenlager",IF(CG898="-","Nicht im Lift",IF(BJ898&gt;=1,"Lift",IF(BJ898&lt;=0,"Aussenlager","teilweise")))))</f>
        <v>Lift</v>
      </c>
      <c r="BN898" s="60" t="str">
        <f aca="false">IF(A898="","",IF(BW898=1,"Neu; ","")&amp;IF(AND(BW898=0,BR898&lt;0),"negativer Bestand (Export "&amp;BR898&amp;"); ","")&amp;IF(J898&lt;=0,"Kein Verbrauch; ","")&amp;IF(CR898&gt;0,"Lift "&amp;W898&amp;" lt. Liftbericht (Fach "&amp;X898&amp;" Stk); ",IF(CB898=1,"Gebinde geschätzt ("&amp;T898&amp;"); ",IF(CA898=1,"Lose – Tablare geschätzt; ","")))&amp;IF(H898&gt;AW898,"Überbestand "&amp;ROUND(H898-AW898,0)&amp;" Stk / CHF "&amp;ROUND((H898-AW898)*G898,0)&amp;"; ","")&amp;IF(AND(CI898=1,CJ898&lt;CK898),"MAX &lt; MB+LG; ","")&amp;IF(AND(CQ898&gt;0,CP898*10&gt;CQ898),"zu hoch für Tablar; ","")&amp;IF(AND(BW898=0,OR(CI898=1,AB898&lt;&gt;"",U898&lt;&gt;"",V898&lt;&gt;"",AC898&lt;&gt;"")),"manuell übersteuert; ","")&amp;IF(AND(CA898=0,R898=0),"Gebinde unbekannt / Stellmass fehlt; ","")&amp;IF(AND(CA898=0,N(V898)&lt;=0,N(Q898)&lt;=0),"Menge pro Gebinde fehlt (Ist = 1 Gebinde); ","")&amp;BV898)</f>
        <v>negativer Bestand (Export -5); Überbestand 1 Stk / CHF 6; </v>
      </c>
      <c r="BO898" s="60"/>
      <c r="BP898" s="60"/>
      <c r="BQ898" s="67"/>
      <c r="BR898" s="62" t="n">
        <v>-5</v>
      </c>
      <c r="BS898" s="62" t="n">
        <v>11</v>
      </c>
      <c r="BT898" s="61" t="n">
        <v>-32.46</v>
      </c>
      <c r="BU898" s="62" t="n">
        <v>6</v>
      </c>
      <c r="BV898" s="60"/>
      <c r="BW898" s="65" t="n">
        <v>0</v>
      </c>
      <c r="BX898" s="65" t="n">
        <v>898</v>
      </c>
      <c r="BY898" s="60" t="str">
        <f aca="false">IF(U898&lt;&gt;"",UPPER(TRIM(U898)),IF(CB898=1,UPPER(VLOOKUP(T898,Parameter!$I$27:$K$29,2,0)),IF(P898="","LOSE",P898)))</f>
        <v>S33</v>
      </c>
      <c r="BZ898" s="62" t="n">
        <f aca="false">IF(BY898="LOSE",1,IF(N(V898)&gt;0,V898,IF(CB898=1,MAX(1,N(VLOOKUP(T898,Parameter!$I$27:$K$29,3,0)),H898,N(N898)),IF(N(Q898)&gt;0,Q898,MAX(1,H898)))))</f>
        <v>5</v>
      </c>
      <c r="CA898" s="65" t="n">
        <f aca="false">IF(BY898="LOSE",1,0)</f>
        <v>0</v>
      </c>
      <c r="CB898" s="65" t="n">
        <f aca="false">IF(AND(U898="",OR(P898="",P898="LOSE"),T898&lt;&gt;"",N(S898)&lt;=0,ISNUMBER(MATCH(T898,Parameter!$I$27:$I$29,0))),1,0)</f>
        <v>0</v>
      </c>
      <c r="CC898" s="65" t="n">
        <f aca="false">IF(CR898&gt;0,INDEX(Parameter!$H$5:$H$7,W898)/INDEX(Parameter!$E$5:$E$7,W898),IF(AND(CA898=0,N(IFERROR(VLOOKUP(BY898,'Gebinde-Kategorie'!$A$5:$N$45,14,0),0))&gt;0),VLOOKUP(BY898,'Gebinde-Kategorie'!$A$5:$N$45,14,0)*10+Parameter!$M$23,Parameter!$M$24))</f>
        <v>155</v>
      </c>
      <c r="CD898" s="60" t="str">
        <f aca="false">IF(AND(Parameter!$B$19="Ja",E898&lt;&gt;"",ISNUMBER(MATCH(E898,Parameter!$I$35:$I$52,0))),VLOOKUP(E898,Parameter!$I$35:$J$52,2,0),IFERROR(VLOOKUP(D898,Parameter!$A$35:$C$64,2,0),"Nein"))</f>
        <v>2+3</v>
      </c>
      <c r="CE898" s="64" t="n">
        <f aca="false">IF(CA898=0,0,IF(N(S898)&gt;0,S898,IFERROR(VLOOKUP(D898,Parameter!$A$35:$C$64,3,0)+0,0)))</f>
        <v>0</v>
      </c>
      <c r="CF898" s="60" t="n">
        <f aca="false">IF(AB898&lt;&gt;"",AB898,AA898)</f>
        <v>3</v>
      </c>
      <c r="CG898" s="60" t="str">
        <f aca="false">IF(OR(CF898=1,CF898=2,CF898=3),IF(Parameter!$E$27="Ja","LIFT",IF(CF898=1,"L1","L23")),IF(CF898="Aussen","Aussen","-"))</f>
        <v>LIFT</v>
      </c>
      <c r="CH898" s="71" t="n">
        <f aca="false">IF(N(AC898)&gt;0,AC898,0)</f>
        <v>0</v>
      </c>
      <c r="CI898" s="65" t="n">
        <f aca="false">IF(ISNUMBER(AF898),1,0)</f>
        <v>0</v>
      </c>
      <c r="CJ898" s="62" t="n">
        <f aca="false">N(AF898)</f>
        <v>0</v>
      </c>
      <c r="CK898" s="62" t="n">
        <f aca="false">N(M898)+N(N898)</f>
        <v>5</v>
      </c>
      <c r="CL898" s="62" t="n">
        <f aca="false">N(M898)</f>
        <v>0</v>
      </c>
      <c r="CM898" s="62" t="n">
        <f aca="false">N(N898)</f>
        <v>5</v>
      </c>
      <c r="CN898" s="62" t="n">
        <f aca="false">ROUNDUP(H898/BZ898,0)</f>
        <v>2</v>
      </c>
      <c r="CO898" s="62" t="n">
        <f aca="false">ROUNDUP(CJ898/BZ898,0)</f>
        <v>0</v>
      </c>
      <c r="CP898" s="65" t="n">
        <f aca="false">IF(CA898=1,0,IFERROR(VLOOKUP(BY898,'Gebinde-Kategorie'!$A$5:$N$45,5,0)+0,0))</f>
        <v>8</v>
      </c>
      <c r="CQ898" s="65" t="n">
        <f aca="false">IFERROR(IF(OR(CF898=1,CF898=2,CF898=3),N(INDEX(Parameter!$I$5:$I$7,CF898)),0),0)</f>
        <v>0</v>
      </c>
      <c r="CR898" s="64" t="n">
        <f aca="false">IF(AND(Parameter!$B$21="Ja",ISNUMBER(W898),N(X898)&gt;0),IFERROR(N(INDEX(Parameter!$L$5:$L$7,W898))*INDEX(Parameter!$E$5:$E$7,W898)*X898/SUMIFS($X$7:$X$1843,$W$7:$W$1843,W898),0),0)</f>
        <v>0</v>
      </c>
      <c r="CS898" s="62" t="n">
        <f aca="false">IF(AND(OR(CG898="L1",CG898="L23",CG898="LIFT"),H898&gt;0),CC898*IF(CR898&gt;0,CR898*MAX(1,H898/X898),IF(CA898=1,CE898,IF(R898&gt;0,CN898/R898,0))/MAX(0.1,N(Parameter!$M$21))),"")</f>
        <v>5.96153846153846</v>
      </c>
      <c r="CT898" s="64" t="n">
        <f aca="false">IF(CS898="","",J898/H898)</f>
        <v>1</v>
      </c>
      <c r="CU898" s="62" t="n">
        <f aca="false">IF(CS898="","",H898*G898)</f>
        <v>38.82</v>
      </c>
      <c r="CV898" s="63" t="n">
        <f aca="false">IF(CS898="","",(CL898+ROUNDUP(CL898+MAX(CM898,2*(J898/MAX(0.1,N(Einkauf!$C$6))-CL898)),0))/2)</f>
        <v>2.5</v>
      </c>
      <c r="CW898" s="62" t="n">
        <f aca="false">IF(CS898="","",MAX(0,H898-CV898)*G898)</f>
        <v>22.645</v>
      </c>
      <c r="CX898" s="62" t="n">
        <f aca="false">IF(CS898="","",CS898*MAX(0,1-CV898/H898))</f>
        <v>3.4775641025641</v>
      </c>
      <c r="CY898" s="64" t="n">
        <f aca="false">IF(CS898="","",PERCENTRANK($CS$7:$CS$1843,CS898)+PERCENTRANK($CU$7:$CU$1843,CU898)+1-PERCENTRANK($CT$7:$CT$1843,CT898))</f>
        <v>0.853</v>
      </c>
      <c r="CZ898" s="72" t="n">
        <f aca="false">IF(CS898="","",CHOOSE(MATCH(Einkauf!$C$5,Parameter!$G$23:$G$27,0),CY898,CS898,CU898,-CT898,CW898)+ROW()/1000000000)</f>
        <v>0.853000898</v>
      </c>
    </row>
    <row r="899" customFormat="false" ht="15" hidden="false" customHeight="false" outlineLevel="0" collapsed="false">
      <c r="A899" s="60" t="s">
        <v>1734</v>
      </c>
      <c r="B899" s="60" t="s">
        <v>1005</v>
      </c>
      <c r="C899" s="60" t="s">
        <v>206</v>
      </c>
      <c r="D899" s="60" t="s">
        <v>226</v>
      </c>
      <c r="E899" s="60"/>
      <c r="F899" s="60" t="s">
        <v>260</v>
      </c>
      <c r="G899" s="61" t="n">
        <v>0.93</v>
      </c>
      <c r="H899" s="62" t="n">
        <f aca="false">MAX(0,IF(AND(Parameter!$B$21="Ja",ISNUMBER(Y899)),Y899,IF(Parameter!$B$20="Jahresanfang 2025 + Export",BS899+BR899,BR899)))</f>
        <v>45</v>
      </c>
      <c r="I899" s="62" t="n">
        <f aca="false">H899*G899</f>
        <v>41.85</v>
      </c>
      <c r="J899" s="62" t="n">
        <f aca="false">BU899*Parameter!$B$18</f>
        <v>0</v>
      </c>
      <c r="K899" s="63" t="n">
        <v>63.5</v>
      </c>
      <c r="L899" s="64" t="n">
        <v>0</v>
      </c>
      <c r="M899" s="62" t="n">
        <v>0</v>
      </c>
      <c r="N899" s="62" t="n">
        <v>1</v>
      </c>
      <c r="O899" s="65" t="n">
        <v>21</v>
      </c>
      <c r="P899" s="60" t="s">
        <v>468</v>
      </c>
      <c r="Q899" s="62" t="n">
        <v>50</v>
      </c>
      <c r="R899" s="65" t="n">
        <f aca="false">IF(CA899=1,0,IFERROR(VLOOKUP(BY899,'Gebinde-Kategorie'!$A$5:$N$45,13,0)+0,0))</f>
        <v>140</v>
      </c>
      <c r="S899" s="66"/>
      <c r="T899" s="67"/>
      <c r="U899" s="67"/>
      <c r="V899" s="67"/>
      <c r="W899" s="60"/>
      <c r="X899" s="62"/>
      <c r="Y899" s="62"/>
      <c r="Z899" s="60" t="n">
        <v>1</v>
      </c>
      <c r="AA899" s="60" t="n">
        <f aca="false">IF(A899="","",IF(AND(Parameter!$B$21="Ja",ISNUMBER(W899)),W899,IF(AND(Parameter!$E$27="Ja",ISNUMBER(Z899),CD899&lt;&gt;"Nein"),Z899,IF(CD899="2+3",IF(ISNUMBER(SEARCH("grosser Artikel",BV899)),2,IFERROR(VLOOKUP(BY899,Parameter!$F$35:$G$64,2,0),2)),IF(OR(CD899="Nein",CD899=""),"-",CD899)))))</f>
        <v>1</v>
      </c>
      <c r="AB899" s="67"/>
      <c r="AC899" s="68"/>
      <c r="AD899" s="62" t="n">
        <f aca="false">AW899</f>
        <v>1</v>
      </c>
      <c r="AE899" s="62" t="n">
        <f aca="false">MAX(AW899,H899)</f>
        <v>45</v>
      </c>
      <c r="AF899" s="69"/>
      <c r="AG899" s="62" t="n">
        <f aca="false">IF(LEFT(Cockpit!$C$5,1)="A",H899,IF(Parameter!$E$30="MAX-Bestand",IF(CI899=1,CJ899,IF(LEFT(Cockpit!$C$5,1)="B",AM899,MAX(AM899,H899))),ROUNDUP(AK899,0)))</f>
        <v>45</v>
      </c>
      <c r="AH899" s="62" t="n">
        <f aca="false">IF(CA899=1,0,ROUNDUP(AG899/BZ899,0))</f>
        <v>1</v>
      </c>
      <c r="AI899" s="64" t="n">
        <f aca="false">IF(CR899&gt;0,CR899*MAX(1,AG899/X899),IF(CA899=1,IF(AG899&lt;=0,0,CE899*MAX(1,IF(H899&gt;0,AG899/H899,1))),IF(R899&gt;0,AH899/R899,0))/MAX(0.1,N(Parameter!$M$21)))</f>
        <v>0.00714285714285714</v>
      </c>
      <c r="AJ899" s="62" t="n">
        <f aca="false">AI899*CC899</f>
        <v>1.10714285714286</v>
      </c>
      <c r="AK899" s="63" t="n">
        <f aca="false">IF(LEFT(Cockpit!$C$5,1)="A",H899,IF(CI899=1,(CL899+CJ899)/2,IF(LEFT(Cockpit!$C$5,1)="B",(CL899+AM899)/2,MAX((CL899+AM899)/2,H899))))</f>
        <v>45</v>
      </c>
      <c r="AL899" s="62" t="n">
        <f aca="false">AK899*G899</f>
        <v>41.85</v>
      </c>
      <c r="AM899" s="62" t="n">
        <f aca="false">ROUNDUP(CL899+MAX(CM899,2*(J899/IF(CH899&gt;0,CH899,MAX(0.1,N(Cockpit!$C$6)))-CL899)),0)</f>
        <v>1</v>
      </c>
      <c r="AN899" s="63" t="n">
        <f aca="false">IF(AJ899&gt;0,J899/AJ899,-1)</f>
        <v>0</v>
      </c>
      <c r="AO899" s="63" t="n">
        <f aca="false">IF(AND(OR(CG899="L1",CG899="L23",CG899="LIFT"),AJ899&gt;0),SUMIFS($AJ$7:$AJ$1843,$CG$7:$CG$1843,CG899,$AN$7:$AN$1843,"&gt;"&amp;AN899)+SUMIFS($AJ$7:$AJ$1843,$CG$7:$CG$1843,CG899,$AN$7:$AN$1843,AN899,$BX$7:$BX$1843,"&lt;="&amp;BX899),"")</f>
        <v>28835.5377139339</v>
      </c>
      <c r="AP899" s="70" t="n">
        <f aca="false">IF(AO899="",0,MAX(0,MIN(1,(IF(CG899="L1",Parameter!$H$5,IF(CG899="L23",Parameter!$H$6+Parameter!$H$7,Parameter!$H$5+Parameter!$H$6+Parameter!$H$7))-(AO899-AJ899))/AJ899)))</f>
        <v>1</v>
      </c>
      <c r="AQ899" s="62" t="n">
        <f aca="false">IF(LEFT(Cockpit!$I$5,1)="A",H899,IF(Parameter!$E$30="MAX-Bestand",IF(CI899=1,CJ899,IF(LEFT(Cockpit!$I$5,1)="B",AW899,MAX(AW899,H899))),ROUNDUP(AU899,0)))</f>
        <v>45</v>
      </c>
      <c r="AR899" s="62" t="n">
        <f aca="false">IF(CA899=1,0,ROUNDUP(AQ899/BZ899,0))</f>
        <v>1</v>
      </c>
      <c r="AS899" s="64" t="n">
        <f aca="false">IF(CR899&gt;0,CR899*MAX(1,AQ899/X899),IF(CA899=1,IF(AQ899&lt;=0,0,CE899*MAX(1,IF(H899&gt;0,AQ899/H899,1))),IF(R899&gt;0,AR899/R899,0))/MAX(0.1,N(Parameter!$M$21)))</f>
        <v>0.00714285714285714</v>
      </c>
      <c r="AT899" s="62" t="n">
        <f aca="false">AS899*CC899</f>
        <v>1.10714285714286</v>
      </c>
      <c r="AU899" s="63" t="n">
        <f aca="false">IF(LEFT(Cockpit!$I$5,1)="A",H899,IF(CI899=1,(CL899+CJ899)/2,IF(LEFT(Cockpit!$I$5,1)="B",(CL899+AW899)/2,MAX((CL899+AW899)/2,H899))))</f>
        <v>45</v>
      </c>
      <c r="AV899" s="62" t="n">
        <f aca="false">AU899*G899</f>
        <v>41.85</v>
      </c>
      <c r="AW899" s="62" t="n">
        <f aca="false">ROUNDUP(CL899+MAX(CM899,2*(J899/IF(CH899&gt;0,CH899,MAX(0.1,N(Cockpit!$I$6)))-CL899)),0)</f>
        <v>1</v>
      </c>
      <c r="AX899" s="63" t="n">
        <f aca="false">IF(AT899&gt;0,J899/AT899,-1)</f>
        <v>0</v>
      </c>
      <c r="AY899" s="63" t="n">
        <f aca="false">IF(AND(OR(CG899="L1",CG899="L23",CG899="LIFT"),AT899&gt;0),SUMIFS($AT$7:$AT$1843,$CG$7:$CG$1843,CG899,$AX$7:$AX$1843,"&gt;"&amp;AX899)+SUMIFS($AT$7:$AT$1843,$CG$7:$CG$1843,CG899,$AX$7:$AX$1843,AX899,$BX$7:$BX$1843,"&lt;="&amp;BX899),"")</f>
        <v>34467.7014652015</v>
      </c>
      <c r="AZ899" s="70" t="n">
        <f aca="false">IF(AY899="",0,MAX(0,MIN(1,(IF(CG899="L1",Parameter!$H$5,IF(CG899="L23",Parameter!$H$6+Parameter!$H$7,Parameter!$H$5+Parameter!$H$6+Parameter!$H$7))-(AY899-AT899))/AT899)))</f>
        <v>1</v>
      </c>
      <c r="BA899" s="62" t="n">
        <f aca="false">IF(LEFT(Cockpit!$O$5,1)="A",H899,IF(Parameter!$E$30="MAX-Bestand",IF(CI899=1,CJ899,IF(LEFT(Cockpit!$O$5,1)="B",BG899,MAX(BG899,H899))),ROUNDUP(BE899,0)))</f>
        <v>1</v>
      </c>
      <c r="BB899" s="62" t="n">
        <f aca="false">IF(CA899=1,0,ROUNDUP(BA899/BZ899,0))</f>
        <v>1</v>
      </c>
      <c r="BC899" s="64" t="n">
        <f aca="false">IF(CR899&gt;0,CR899*MAX(1,BA899/X899),IF(CA899=1,IF(BA899&lt;=0,0,CE899*MAX(1,IF(H899&gt;0,BA899/H899,1))),IF(R899&gt;0,BB899/R899,0))/MAX(0.1,N(Parameter!$M$21)))</f>
        <v>0.00714285714285714</v>
      </c>
      <c r="BD899" s="62" t="n">
        <f aca="false">BC899*CC899</f>
        <v>1.10714285714286</v>
      </c>
      <c r="BE899" s="63" t="n">
        <f aca="false">IF(LEFT(Cockpit!$O$5,1)="A",H899,IF(CI899=1,(CL899+CJ899)/2,IF(LEFT(Cockpit!$O$5,1)="B",(CL899+BG899)/2,MAX((CL899+BG899)/2,H899))))</f>
        <v>0.5</v>
      </c>
      <c r="BF899" s="62" t="n">
        <f aca="false">BE899*G899</f>
        <v>0.465</v>
      </c>
      <c r="BG899" s="62" t="n">
        <f aca="false">ROUNDUP(CL899+MAX(CM899,2*(J899/IF(CH899&gt;0,CH899,MAX(0.1,N(Cockpit!$O$6)))-CL899)),0)</f>
        <v>1</v>
      </c>
      <c r="BH899" s="63" t="n">
        <f aca="false">IF(BD899&gt;0,J899/BD899,-1)</f>
        <v>0</v>
      </c>
      <c r="BI899" s="63" t="n">
        <f aca="false">IF(AND(OR(CG899="L1",CG899="L23",CG899="LIFT"),BD899&gt;0),SUMIFS($BD$7:$BD$1843,$CG$7:$CG$1843,CG899,$BH$7:$BH$1843,"&gt;"&amp;BH899)+SUMIFS($BD$7:$BD$1843,$CG$7:$CG$1843,CG899,$BH$7:$BH$1843,BH899,$BX$7:$BX$1843,"&lt;="&amp;BX899),"")</f>
        <v>28499.3075758987</v>
      </c>
      <c r="BJ899" s="70" t="n">
        <f aca="false">IF(BI899="",0,MAX(0,MIN(1,(IF(CG899="L1",Parameter!$H$5,IF(CG899="L23",Parameter!$H$6+Parameter!$H$7,Parameter!$H$5+Parameter!$H$6+Parameter!$H$7))-(BI899-BD899))/BD899)))</f>
        <v>1</v>
      </c>
      <c r="BK899" s="60" t="str">
        <f aca="false">IF(AJ899&lt;=0,"",IF(CG899="Aussen","Aussenlager",IF(CG899="-","Nicht im Lift",IF(AP899&gt;=1,"Lift",IF(AP899&lt;=0,"Aussenlager","teilweise")))))</f>
        <v>Lift</v>
      </c>
      <c r="BL899" s="60" t="str">
        <f aca="false">IF(AT899&lt;=0,"",IF(CG899="Aussen","Aussenlager",IF(CG899="-","Nicht im Lift",IF(AZ899&gt;=1,"Lift",IF(AZ899&lt;=0,"Aussenlager","teilweise")))))</f>
        <v>Lift</v>
      </c>
      <c r="BM899" s="60" t="str">
        <f aca="false">IF(BD899&lt;=0,"",IF(CG899="Aussen","Aussenlager",IF(CG899="-","Nicht im Lift",IF(BJ899&gt;=1,"Lift",IF(BJ899&lt;=0,"Aussenlager","teilweise")))))</f>
        <v>Lift</v>
      </c>
      <c r="BN899" s="60" t="str">
        <f aca="false">IF(A899="","",IF(BW899=1,"Neu; ","")&amp;IF(AND(BW899=0,BR899&lt;0),"negativer Bestand (Export "&amp;BR899&amp;"); ","")&amp;IF(J899&lt;=0,"Kein Verbrauch; ","")&amp;IF(CR899&gt;0,"Lift "&amp;W899&amp;" lt. Liftbericht (Fach "&amp;X899&amp;" Stk); ",IF(CB899=1,"Gebinde geschätzt ("&amp;T899&amp;"); ",IF(CA899=1,"Lose – Tablare geschätzt; ","")))&amp;IF(H899&gt;AW899,"Überbestand "&amp;ROUND(H899-AW899,0)&amp;" Stk / CHF "&amp;ROUND((H899-AW899)*G899,0)&amp;"; ","")&amp;IF(AND(CI899=1,CJ899&lt;CK899),"MAX &lt; MB+LG; ","")&amp;IF(AND(CQ899&gt;0,CP899*10&gt;CQ899),"zu hoch für Tablar; ","")&amp;IF(AND(BW899=0,OR(CI899=1,AB899&lt;&gt;"",U899&lt;&gt;"",V899&lt;&gt;"",AC899&lt;&gt;"")),"manuell übersteuert; ","")&amp;IF(AND(CA899=0,R899=0),"Gebinde unbekannt / Stellmass fehlt; ","")&amp;IF(AND(CA899=0,N(V899)&lt;=0,N(Q899)&lt;=0),"Menge pro Gebinde fehlt (Ist = 1 Gebinde); ","")&amp;BV899)</f>
        <v>negativer Bestand (Export -35); Kein Verbrauch; Überbestand 44 Stk / CHF 41; Twin</v>
      </c>
      <c r="BO899" s="60"/>
      <c r="BP899" s="60"/>
      <c r="BQ899" s="67"/>
      <c r="BR899" s="62" t="n">
        <v>-35</v>
      </c>
      <c r="BS899" s="62" t="n">
        <v>80</v>
      </c>
      <c r="BT899" s="61" t="n">
        <v>-32.55</v>
      </c>
      <c r="BU899" s="62" t="n">
        <v>0</v>
      </c>
      <c r="BV899" s="60" t="s">
        <v>256</v>
      </c>
      <c r="BW899" s="65" t="n">
        <v>0</v>
      </c>
      <c r="BX899" s="65" t="n">
        <v>899</v>
      </c>
      <c r="BY899" s="60" t="str">
        <f aca="false">IF(U899&lt;&gt;"",UPPER(TRIM(U899)),IF(CB899=1,UPPER(VLOOKUP(T899,Parameter!$I$27:$K$29,2,0)),IF(P899="","LOSE",P899)))</f>
        <v>S22</v>
      </c>
      <c r="BZ899" s="62" t="n">
        <f aca="false">IF(BY899="LOSE",1,IF(N(V899)&gt;0,V899,IF(CB899=1,MAX(1,N(VLOOKUP(T899,Parameter!$I$27:$K$29,3,0)),H899,N(N899)),IF(N(Q899)&gt;0,Q899,MAX(1,H899)))))</f>
        <v>50</v>
      </c>
      <c r="CA899" s="65" t="n">
        <f aca="false">IF(BY899="LOSE",1,0)</f>
        <v>0</v>
      </c>
      <c r="CB899" s="65" t="n">
        <f aca="false">IF(AND(U899="",OR(P899="",P899="LOSE"),T899&lt;&gt;"",N(S899)&lt;=0,ISNUMBER(MATCH(T899,Parameter!$I$27:$I$29,0))),1,0)</f>
        <v>0</v>
      </c>
      <c r="CC899" s="65" t="n">
        <f aca="false">IF(CR899&gt;0,INDEX(Parameter!$H$5:$H$7,W899)/INDEX(Parameter!$E$5:$E$7,W899),IF(AND(CA899=0,N(IFERROR(VLOOKUP(BY899,'Gebinde-Kategorie'!$A$5:$N$45,14,0),0))&gt;0),VLOOKUP(BY899,'Gebinde-Kategorie'!$A$5:$N$45,14,0)*10+Parameter!$M$23,Parameter!$M$24))</f>
        <v>155</v>
      </c>
      <c r="CD899" s="60" t="str">
        <f aca="false">IF(AND(Parameter!$B$19="Ja",E899&lt;&gt;"",ISNUMBER(MATCH(E899,Parameter!$I$35:$I$52,0))),VLOOKUP(E899,Parameter!$I$35:$J$52,2,0),IFERROR(VLOOKUP(D899,Parameter!$A$35:$C$64,2,0),"Nein"))</f>
        <v>2+3</v>
      </c>
      <c r="CE899" s="64" t="n">
        <f aca="false">IF(CA899=0,0,IF(N(S899)&gt;0,S899,IFERROR(VLOOKUP(D899,Parameter!$A$35:$C$64,3,0)+0,0)))</f>
        <v>0</v>
      </c>
      <c r="CF899" s="60" t="n">
        <f aca="false">IF(AB899&lt;&gt;"",AB899,AA899)</f>
        <v>1</v>
      </c>
      <c r="CG899" s="60" t="str">
        <f aca="false">IF(OR(CF899=1,CF899=2,CF899=3),IF(Parameter!$E$27="Ja","LIFT",IF(CF899=1,"L1","L23")),IF(CF899="Aussen","Aussen","-"))</f>
        <v>LIFT</v>
      </c>
      <c r="CH899" s="71" t="n">
        <f aca="false">IF(N(AC899)&gt;0,AC899,0)</f>
        <v>0</v>
      </c>
      <c r="CI899" s="65" t="n">
        <f aca="false">IF(ISNUMBER(AF899),1,0)</f>
        <v>0</v>
      </c>
      <c r="CJ899" s="62" t="n">
        <f aca="false">N(AF899)</f>
        <v>0</v>
      </c>
      <c r="CK899" s="62" t="n">
        <f aca="false">N(M899)+N(N899)</f>
        <v>1</v>
      </c>
      <c r="CL899" s="62" t="n">
        <f aca="false">N(M899)</f>
        <v>0</v>
      </c>
      <c r="CM899" s="62" t="n">
        <f aca="false">N(N899)</f>
        <v>1</v>
      </c>
      <c r="CN899" s="62" t="n">
        <f aca="false">ROUNDUP(H899/BZ899,0)</f>
        <v>1</v>
      </c>
      <c r="CO899" s="62" t="n">
        <f aca="false">ROUNDUP(CJ899/BZ899,0)</f>
        <v>0</v>
      </c>
      <c r="CP899" s="65" t="n">
        <f aca="false">IF(CA899=1,0,IFERROR(VLOOKUP(BY899,'Gebinde-Kategorie'!$A$5:$N$45,5,0)+0,0))</f>
        <v>8</v>
      </c>
      <c r="CQ899" s="65" t="n">
        <f aca="false">IFERROR(IF(OR(CF899=1,CF899=2,CF899=3),N(INDEX(Parameter!$I$5:$I$7,CF899)),0),0)</f>
        <v>0</v>
      </c>
      <c r="CR899" s="64" t="n">
        <f aca="false">IF(AND(Parameter!$B$21="Ja",ISNUMBER(W899),N(X899)&gt;0),IFERROR(N(INDEX(Parameter!$L$5:$L$7,W899))*INDEX(Parameter!$E$5:$E$7,W899)*X899/SUMIFS($X$7:$X$1843,$W$7:$W$1843,W899),0),0)</f>
        <v>0</v>
      </c>
      <c r="CS899" s="62" t="n">
        <f aca="false">IF(AND(OR(CG899="L1",CG899="L23",CG899="LIFT"),H899&gt;0),CC899*IF(CR899&gt;0,CR899*MAX(1,H899/X899),IF(CA899=1,CE899,IF(R899&gt;0,CN899/R899,0))/MAX(0.1,N(Parameter!$M$21))),"")</f>
        <v>1.10714285714286</v>
      </c>
      <c r="CT899" s="64" t="n">
        <f aca="false">IF(CS899="","",J899/H899)</f>
        <v>0</v>
      </c>
      <c r="CU899" s="62" t="n">
        <f aca="false">IF(CS899="","",H899*G899)</f>
        <v>41.85</v>
      </c>
      <c r="CV899" s="63" t="n">
        <f aca="false">IF(CS899="","",(CL899+ROUNDUP(CL899+MAX(CM899,2*(J899/MAX(0.1,N(Einkauf!$C$6))-CL899)),0))/2)</f>
        <v>0.5</v>
      </c>
      <c r="CW899" s="62" t="n">
        <f aca="false">IF(CS899="","",MAX(0,H899-CV899)*G899)</f>
        <v>41.385</v>
      </c>
      <c r="CX899" s="62" t="n">
        <f aca="false">IF(CS899="","",CS899*MAX(0,1-CV899/H899))</f>
        <v>1.09484126984127</v>
      </c>
      <c r="CY899" s="64" t="n">
        <f aca="false">IF(CS899="","",PERCENTRANK($CS$7:$CS$1843,CS899)+PERCENTRANK($CU$7:$CU$1843,CU899)+1-PERCENTRANK($CT$7:$CT$1843,CT899))</f>
        <v>1.1934</v>
      </c>
      <c r="CZ899" s="72" t="n">
        <f aca="false">IF(CS899="","",CHOOSE(MATCH(Einkauf!$C$5,Parameter!$G$23:$G$27,0),CY899,CS899,CU899,-CT899,CW899)+ROW()/1000000000)</f>
        <v>1.193400899</v>
      </c>
    </row>
    <row r="900" customFormat="false" ht="15" hidden="false" customHeight="false" outlineLevel="0" collapsed="false">
      <c r="A900" s="60" t="s">
        <v>1735</v>
      </c>
      <c r="B900" s="60" t="s">
        <v>1736</v>
      </c>
      <c r="C900" s="60" t="s">
        <v>206</v>
      </c>
      <c r="D900" s="60" t="s">
        <v>226</v>
      </c>
      <c r="E900" s="60"/>
      <c r="F900" s="60" t="s">
        <v>260</v>
      </c>
      <c r="G900" s="61" t="n">
        <v>11.39</v>
      </c>
      <c r="H900" s="62" t="n">
        <f aca="false">MAX(0,IF(AND(Parameter!$B$21="Ja",ISNUMBER(Y900)),Y900,IF(Parameter!$B$20="Jahresanfang 2025 + Export",BS900+BR900,BR900)))</f>
        <v>0</v>
      </c>
      <c r="I900" s="62" t="n">
        <f aca="false">H900*G900</f>
        <v>0</v>
      </c>
      <c r="J900" s="62" t="n">
        <f aca="false">BU900*Parameter!$B$18</f>
        <v>0</v>
      </c>
      <c r="K900" s="63" t="n">
        <v>1.5</v>
      </c>
      <c r="L900" s="64" t="n">
        <v>0</v>
      </c>
      <c r="M900" s="62" t="n">
        <v>0</v>
      </c>
      <c r="N900" s="62" t="n">
        <v>1</v>
      </c>
      <c r="O900" s="65" t="n">
        <v>28</v>
      </c>
      <c r="P900" s="60" t="s">
        <v>210</v>
      </c>
      <c r="Q900" s="62"/>
      <c r="R900" s="65" t="n">
        <f aca="false">IF(CA900=1,0,IFERROR(VLOOKUP(BY900,'Gebinde-Kategorie'!$A$5:$N$45,13,0)+0,0))</f>
        <v>26</v>
      </c>
      <c r="S900" s="66"/>
      <c r="T900" s="67" t="s">
        <v>317</v>
      </c>
      <c r="U900" s="67"/>
      <c r="V900" s="67"/>
      <c r="W900" s="60"/>
      <c r="X900" s="62"/>
      <c r="Y900" s="62"/>
      <c r="Z900" s="60" t="n">
        <v>3</v>
      </c>
      <c r="AA900" s="60" t="n">
        <f aca="false">IF(A900="","",IF(AND(Parameter!$B$21="Ja",ISNUMBER(W900)),W900,IF(AND(Parameter!$E$27="Ja",ISNUMBER(Z900),CD900&lt;&gt;"Nein"),Z900,IF(CD900="2+3",IF(ISNUMBER(SEARCH("grosser Artikel",BV900)),2,IFERROR(VLOOKUP(BY900,Parameter!$F$35:$G$64,2,0),2)),IF(OR(CD900="Nein",CD900=""),"-",CD900)))))</f>
        <v>3</v>
      </c>
      <c r="AB900" s="67"/>
      <c r="AC900" s="68"/>
      <c r="AD900" s="62" t="n">
        <f aca="false">AW900</f>
        <v>1</v>
      </c>
      <c r="AE900" s="62" t="n">
        <f aca="false">MAX(AW900,H900)</f>
        <v>1</v>
      </c>
      <c r="AF900" s="69"/>
      <c r="AG900" s="62" t="n">
        <f aca="false">IF(LEFT(Cockpit!$C$5,1)="A",H900,IF(Parameter!$E$30="MAX-Bestand",IF(CI900=1,CJ900,IF(LEFT(Cockpit!$C$5,1)="B",AM900,MAX(AM900,H900))),ROUNDUP(AK900,0)))</f>
        <v>0</v>
      </c>
      <c r="AH900" s="62" t="n">
        <f aca="false">IF(CA900=1,0,ROUNDUP(AG900/BZ900,0))</f>
        <v>0</v>
      </c>
      <c r="AI900" s="64" t="n">
        <f aca="false">IF(CR900&gt;0,CR900*MAX(1,AG900/X900),IF(CA900=1,IF(AG900&lt;=0,0,CE900*MAX(1,IF(H900&gt;0,AG900/H900,1))),IF(R900&gt;0,AH900/R900,0))/MAX(0.1,N(Parameter!$M$21)))</f>
        <v>0</v>
      </c>
      <c r="AJ900" s="62" t="n">
        <f aca="false">AI900*CC900</f>
        <v>0</v>
      </c>
      <c r="AK900" s="63" t="n">
        <f aca="false">IF(LEFT(Cockpit!$C$5,1)="A",H900,IF(CI900=1,(CL900+CJ900)/2,IF(LEFT(Cockpit!$C$5,1)="B",(CL900+AM900)/2,MAX((CL900+AM900)/2,H900))))</f>
        <v>0</v>
      </c>
      <c r="AL900" s="62" t="n">
        <f aca="false">AK900*G900</f>
        <v>0</v>
      </c>
      <c r="AM900" s="62" t="n">
        <f aca="false">ROUNDUP(CL900+MAX(CM900,2*(J900/IF(CH900&gt;0,CH900,MAX(0.1,N(Cockpit!$C$6)))-CL900)),0)</f>
        <v>1</v>
      </c>
      <c r="AN900" s="63" t="n">
        <f aca="false">IF(AJ900&gt;0,J900/AJ900,-1)</f>
        <v>-1</v>
      </c>
      <c r="AO900" s="63" t="str">
        <f aca="false">IF(AND(OR(CG900="L1",CG900="L23",CG900="LIFT"),AJ900&gt;0),SUMIFS($AJ$7:$AJ$1843,$CG$7:$CG$1843,CG900,$AN$7:$AN$1843,"&gt;"&amp;AN900)+SUMIFS($AJ$7:$AJ$1843,$CG$7:$CG$1843,CG900,$AN$7:$AN$1843,AN900,$BX$7:$BX$1843,"&lt;="&amp;BX900),"")</f>
        <v/>
      </c>
      <c r="AP900" s="70" t="n">
        <f aca="false">IF(AO900="",0,MAX(0,MIN(1,(IF(CG900="L1",Parameter!$H$5,IF(CG900="L23",Parameter!$H$6+Parameter!$H$7,Parameter!$H$5+Parameter!$H$6+Parameter!$H$7))-(AO900-AJ900))/AJ900)))</f>
        <v>0</v>
      </c>
      <c r="AQ900" s="62" t="n">
        <f aca="false">IF(LEFT(Cockpit!$I$5,1)="A",H900,IF(Parameter!$E$30="MAX-Bestand",IF(CI900=1,CJ900,IF(LEFT(Cockpit!$I$5,1)="B",AW900,MAX(AW900,H900))),ROUNDUP(AU900,0)))</f>
        <v>1</v>
      </c>
      <c r="AR900" s="62" t="n">
        <f aca="false">IF(CA900=1,0,ROUNDUP(AQ900/BZ900,0))</f>
        <v>1</v>
      </c>
      <c r="AS900" s="64" t="n">
        <f aca="false">IF(CR900&gt;0,CR900*MAX(1,AQ900/X900),IF(CA900=1,IF(AQ900&lt;=0,0,CE900*MAX(1,IF(H900&gt;0,AQ900/H900,1))),IF(R900&gt;0,AR900/R900,0))/MAX(0.1,N(Parameter!$M$21)))</f>
        <v>0.0384615384615385</v>
      </c>
      <c r="AT900" s="62" t="n">
        <f aca="false">AS900*CC900</f>
        <v>5.96153846153846</v>
      </c>
      <c r="AU900" s="63" t="n">
        <f aca="false">IF(LEFT(Cockpit!$I$5,1)="A",H900,IF(CI900=1,(CL900+CJ900)/2,IF(LEFT(Cockpit!$I$5,1)="B",(CL900+AW900)/2,MAX((CL900+AW900)/2,H900))))</f>
        <v>0.5</v>
      </c>
      <c r="AV900" s="62" t="n">
        <f aca="false">AU900*G900</f>
        <v>5.695</v>
      </c>
      <c r="AW900" s="62" t="n">
        <f aca="false">ROUNDUP(CL900+MAX(CM900,2*(J900/IF(CH900&gt;0,CH900,MAX(0.1,N(Cockpit!$I$6)))-CL900)),0)</f>
        <v>1</v>
      </c>
      <c r="AX900" s="63" t="n">
        <f aca="false">IF(AT900&gt;0,J900/AT900,-1)</f>
        <v>0</v>
      </c>
      <c r="AY900" s="63" t="n">
        <f aca="false">IF(AND(OR(CG900="L1",CG900="L23",CG900="LIFT"),AT900&gt;0),SUMIFS($AT$7:$AT$1843,$CG$7:$CG$1843,CG900,$AX$7:$AX$1843,"&gt;"&amp;AX900)+SUMIFS($AT$7:$AT$1843,$CG$7:$CG$1843,CG900,$AX$7:$AX$1843,AX900,$BX$7:$BX$1843,"&lt;="&amp;BX900),"")</f>
        <v>34473.663003663</v>
      </c>
      <c r="AZ900" s="70" t="n">
        <f aca="false">IF(AY900="",0,MAX(0,MIN(1,(IF(CG900="L1",Parameter!$H$5,IF(CG900="L23",Parameter!$H$6+Parameter!$H$7,Parameter!$H$5+Parameter!$H$6+Parameter!$H$7))-(AY900-AT900))/AT900)))</f>
        <v>1</v>
      </c>
      <c r="BA900" s="62" t="n">
        <f aca="false">IF(LEFT(Cockpit!$O$5,1)="A",H900,IF(Parameter!$E$30="MAX-Bestand",IF(CI900=1,CJ900,IF(LEFT(Cockpit!$O$5,1)="B",BG900,MAX(BG900,H900))),ROUNDUP(BE900,0)))</f>
        <v>1</v>
      </c>
      <c r="BB900" s="62" t="n">
        <f aca="false">IF(CA900=1,0,ROUNDUP(BA900/BZ900,0))</f>
        <v>1</v>
      </c>
      <c r="BC900" s="64" t="n">
        <f aca="false">IF(CR900&gt;0,CR900*MAX(1,BA900/X900),IF(CA900=1,IF(BA900&lt;=0,0,CE900*MAX(1,IF(H900&gt;0,BA900/H900,1))),IF(R900&gt;0,BB900/R900,0))/MAX(0.1,N(Parameter!$M$21)))</f>
        <v>0.0384615384615385</v>
      </c>
      <c r="BD900" s="62" t="n">
        <f aca="false">BC900*CC900</f>
        <v>5.96153846153846</v>
      </c>
      <c r="BE900" s="63" t="n">
        <f aca="false">IF(LEFT(Cockpit!$O$5,1)="A",H900,IF(CI900=1,(CL900+CJ900)/2,IF(LEFT(Cockpit!$O$5,1)="B",(CL900+BG900)/2,MAX((CL900+BG900)/2,H900))))</f>
        <v>0.5</v>
      </c>
      <c r="BF900" s="62" t="n">
        <f aca="false">BE900*G900</f>
        <v>5.695</v>
      </c>
      <c r="BG900" s="62" t="n">
        <f aca="false">ROUNDUP(CL900+MAX(CM900,2*(J900/IF(CH900&gt;0,CH900,MAX(0.1,N(Cockpit!$O$6)))-CL900)),0)</f>
        <v>1</v>
      </c>
      <c r="BH900" s="63" t="n">
        <f aca="false">IF(BD900&gt;0,J900/BD900,-1)</f>
        <v>0</v>
      </c>
      <c r="BI900" s="63" t="n">
        <f aca="false">IF(AND(OR(CG900="L1",CG900="L23",CG900="LIFT"),BD900&gt;0),SUMIFS($BD$7:$BD$1843,$CG$7:$CG$1843,CG900,$BH$7:$BH$1843,"&gt;"&amp;BH900)+SUMIFS($BD$7:$BD$1843,$CG$7:$CG$1843,CG900,$BH$7:$BH$1843,BH900,$BX$7:$BX$1843,"&lt;="&amp;BX900),"")</f>
        <v>28505.2691143602</v>
      </c>
      <c r="BJ900" s="70" t="n">
        <f aca="false">IF(BI900="",0,MAX(0,MIN(1,(IF(CG900="L1",Parameter!$H$5,IF(CG900="L23",Parameter!$H$6+Parameter!$H$7,Parameter!$H$5+Parameter!$H$6+Parameter!$H$7))-(BI900-BD900))/BD900)))</f>
        <v>1</v>
      </c>
      <c r="BK900" s="60" t="str">
        <f aca="false">IF(AJ900&lt;=0,"",IF(CG900="Aussen","Aussenlager",IF(CG900="-","Nicht im Lift",IF(AP900&gt;=1,"Lift",IF(AP900&lt;=0,"Aussenlager","teilweise")))))</f>
        <v/>
      </c>
      <c r="BL900" s="60" t="str">
        <f aca="false">IF(AT900&lt;=0,"",IF(CG900="Aussen","Aussenlager",IF(CG900="-","Nicht im Lift",IF(AZ900&gt;=1,"Lift",IF(AZ900&lt;=0,"Aussenlager","teilweise")))))</f>
        <v>Lift</v>
      </c>
      <c r="BM900" s="60" t="str">
        <f aca="false">IF(BD900&lt;=0,"",IF(CG900="Aussen","Aussenlager",IF(CG900="-","Nicht im Lift",IF(BJ900&gt;=1,"Lift",IF(BJ900&lt;=0,"Aussenlager","teilweise")))))</f>
        <v>Lift</v>
      </c>
      <c r="BN900" s="60" t="str">
        <f aca="false">IF(A900="","",IF(BW900=1,"Neu; ","")&amp;IF(AND(BW900=0,BR900&lt;0),"negativer Bestand (Export "&amp;BR900&amp;"); ","")&amp;IF(J900&lt;=0,"Kein Verbrauch; ","")&amp;IF(CR900&gt;0,"Lift "&amp;W900&amp;" lt. Liftbericht (Fach "&amp;X900&amp;" Stk); ",IF(CB900=1,"Gebinde geschätzt ("&amp;T900&amp;"); ",IF(CA900=1,"Lose – Tablare geschätzt; ","")))&amp;IF(H900&gt;AW900,"Überbestand "&amp;ROUND(H900-AW900,0)&amp;" Stk / CHF "&amp;ROUND((H900-AW900)*G900,0)&amp;"; ","")&amp;IF(AND(CI900=1,CJ900&lt;CK900),"MAX &lt; MB+LG; ","")&amp;IF(AND(CQ900&gt;0,CP900*10&gt;CQ900),"zu hoch für Tablar; ","")&amp;IF(AND(BW900=0,OR(CI900=1,AB900&lt;&gt;"",U900&lt;&gt;"",V900&lt;&gt;"",AC900&lt;&gt;"")),"manuell übersteuert; ","")&amp;IF(AND(CA900=0,R900=0),"Gebinde unbekannt / Stellmass fehlt; ","")&amp;IF(AND(CA900=0,N(V900)&lt;=0,N(Q900)&lt;=0),"Menge pro Gebinde fehlt (Ist = 1 Gebinde); ","")&amp;BV900)</f>
        <v>negativer Bestand (Export -3); Kein Verbrauch; Gebinde geschätzt (Klein); Menge pro Gebinde fehlt (Ist = 1 Gebinde); </v>
      </c>
      <c r="BO900" s="60"/>
      <c r="BP900" s="60"/>
      <c r="BQ900" s="67"/>
      <c r="BR900" s="62" t="n">
        <v>-3</v>
      </c>
      <c r="BS900" s="62" t="n">
        <v>3</v>
      </c>
      <c r="BT900" s="61" t="n">
        <v>-34.17</v>
      </c>
      <c r="BU900" s="62" t="n">
        <v>0</v>
      </c>
      <c r="BV900" s="60"/>
      <c r="BW900" s="65" t="n">
        <v>0</v>
      </c>
      <c r="BX900" s="65" t="n">
        <v>900</v>
      </c>
      <c r="BY900" s="60" t="str">
        <f aca="false">IF(U900&lt;&gt;"",UPPER(TRIM(U900)),IF(CB900=1,UPPER(VLOOKUP(T900,Parameter!$I$27:$K$29,2,0)),IF(P900="","LOSE",P900)))</f>
        <v>S51</v>
      </c>
      <c r="BZ900" s="62" t="n">
        <f aca="false">IF(BY900="LOSE",1,IF(N(V900)&gt;0,V900,IF(CB900=1,MAX(1,N(VLOOKUP(T900,Parameter!$I$27:$K$29,3,0)),H900,N(N900)),IF(N(Q900)&gt;0,Q900,MAX(1,H900)))))</f>
        <v>20</v>
      </c>
      <c r="CA900" s="65" t="n">
        <f aca="false">IF(BY900="LOSE",1,0)</f>
        <v>0</v>
      </c>
      <c r="CB900" s="65" t="n">
        <f aca="false">IF(AND(U900="",OR(P900="",P900="LOSE"),T900&lt;&gt;"",N(S900)&lt;=0,ISNUMBER(MATCH(T900,Parameter!$I$27:$I$29,0))),1,0)</f>
        <v>1</v>
      </c>
      <c r="CC900" s="65" t="n">
        <f aca="false">IF(CR900&gt;0,INDEX(Parameter!$H$5:$H$7,W900)/INDEX(Parameter!$E$5:$E$7,W900),IF(AND(CA900=0,N(IFERROR(VLOOKUP(BY900,'Gebinde-Kategorie'!$A$5:$N$45,14,0),0))&gt;0),VLOOKUP(BY900,'Gebinde-Kategorie'!$A$5:$N$45,14,0)*10+Parameter!$M$23,Parameter!$M$24))</f>
        <v>155</v>
      </c>
      <c r="CD900" s="60" t="str">
        <f aca="false">IF(AND(Parameter!$B$19="Ja",E900&lt;&gt;"",ISNUMBER(MATCH(E900,Parameter!$I$35:$I$52,0))),VLOOKUP(E900,Parameter!$I$35:$J$52,2,0),IFERROR(VLOOKUP(D900,Parameter!$A$35:$C$64,2,0),"Nein"))</f>
        <v>2+3</v>
      </c>
      <c r="CE900" s="64" t="n">
        <f aca="false">IF(CA900=0,0,IF(N(S900)&gt;0,S900,IFERROR(VLOOKUP(D900,Parameter!$A$35:$C$64,3,0)+0,0)))</f>
        <v>0</v>
      </c>
      <c r="CF900" s="60" t="n">
        <f aca="false">IF(AB900&lt;&gt;"",AB900,AA900)</f>
        <v>3</v>
      </c>
      <c r="CG900" s="60" t="str">
        <f aca="false">IF(OR(CF900=1,CF900=2,CF900=3),IF(Parameter!$E$27="Ja","LIFT",IF(CF900=1,"L1","L23")),IF(CF900="Aussen","Aussen","-"))</f>
        <v>LIFT</v>
      </c>
      <c r="CH900" s="71" t="n">
        <f aca="false">IF(N(AC900)&gt;0,AC900,0)</f>
        <v>0</v>
      </c>
      <c r="CI900" s="65" t="n">
        <f aca="false">IF(ISNUMBER(AF900),1,0)</f>
        <v>0</v>
      </c>
      <c r="CJ900" s="62" t="n">
        <f aca="false">N(AF900)</f>
        <v>0</v>
      </c>
      <c r="CK900" s="62" t="n">
        <f aca="false">N(M900)+N(N900)</f>
        <v>1</v>
      </c>
      <c r="CL900" s="62" t="n">
        <f aca="false">N(M900)</f>
        <v>0</v>
      </c>
      <c r="CM900" s="62" t="n">
        <f aca="false">N(N900)</f>
        <v>1</v>
      </c>
      <c r="CN900" s="62" t="n">
        <f aca="false">ROUNDUP(H900/BZ900,0)</f>
        <v>0</v>
      </c>
      <c r="CO900" s="62" t="n">
        <f aca="false">ROUNDUP(CJ900/BZ900,0)</f>
        <v>0</v>
      </c>
      <c r="CP900" s="65" t="n">
        <f aca="false">IF(CA900=1,0,IFERROR(VLOOKUP(BY900,'Gebinde-Kategorie'!$A$5:$N$45,5,0)+0,0))</f>
        <v>11</v>
      </c>
      <c r="CQ900" s="65" t="n">
        <f aca="false">IFERROR(IF(OR(CF900=1,CF900=2,CF900=3),N(INDEX(Parameter!$I$5:$I$7,CF900)),0),0)</f>
        <v>0</v>
      </c>
      <c r="CR900" s="64" t="n">
        <f aca="false">IF(AND(Parameter!$B$21="Ja",ISNUMBER(W900),N(X900)&gt;0),IFERROR(N(INDEX(Parameter!$L$5:$L$7,W900))*INDEX(Parameter!$E$5:$E$7,W900)*X900/SUMIFS($X$7:$X$1843,$W$7:$W$1843,W900),0),0)</f>
        <v>0</v>
      </c>
      <c r="CS900" s="62" t="str">
        <f aca="false">IF(AND(OR(CG900="L1",CG900="L23",CG900="LIFT"),H900&gt;0),CC900*IF(CR900&gt;0,CR900*MAX(1,H900/X900),IF(CA900=1,CE900,IF(R900&gt;0,CN900/R900,0))/MAX(0.1,N(Parameter!$M$21))),"")</f>
        <v/>
      </c>
      <c r="CT900" s="64" t="str">
        <f aca="false">IF(CS900="","",J900/H900)</f>
        <v/>
      </c>
      <c r="CU900" s="62" t="str">
        <f aca="false">IF(CS900="","",H900*G900)</f>
        <v/>
      </c>
      <c r="CV900" s="63" t="str">
        <f aca="false">IF(CS900="","",(CL900+ROUNDUP(CL900+MAX(CM900,2*(J900/MAX(0.1,N(Einkauf!$C$6))-CL900)),0))/2)</f>
        <v/>
      </c>
      <c r="CW900" s="62" t="str">
        <f aca="false">IF(CS900="","",MAX(0,H900-CV900)*G900)</f>
        <v/>
      </c>
      <c r="CX900" s="62" t="str">
        <f aca="false">IF(CS900="","",CS900*MAX(0,1-CV900/H900))</f>
        <v/>
      </c>
      <c r="CY900" s="64" t="str">
        <f aca="false">IF(CS900="","",PERCENTRANK($CS$7:$CS$1843,CS900)+PERCENTRANK($CU$7:$CU$1843,CU900)+1-PERCENTRANK($CT$7:$CT$1843,CT900))</f>
        <v/>
      </c>
      <c r="CZ900" s="72" t="str">
        <f aca="false">IF(CS900="","",CHOOSE(MATCH(Einkauf!$C$5,Parameter!$G$23:$G$27,0),CY900,CS900,CU900,-CT900,CW900)+ROW()/1000000000)</f>
        <v/>
      </c>
    </row>
    <row r="901" customFormat="false" ht="15" hidden="false" customHeight="false" outlineLevel="0" collapsed="false">
      <c r="A901" s="60" t="s">
        <v>1737</v>
      </c>
      <c r="B901" s="60" t="s">
        <v>1736</v>
      </c>
      <c r="C901" s="60" t="s">
        <v>206</v>
      </c>
      <c r="D901" s="60" t="s">
        <v>226</v>
      </c>
      <c r="E901" s="60"/>
      <c r="F901" s="60" t="s">
        <v>260</v>
      </c>
      <c r="G901" s="61" t="n">
        <v>11.39</v>
      </c>
      <c r="H901" s="62" t="n">
        <f aca="false">MAX(0,IF(AND(Parameter!$B$21="Ja",ISNUMBER(Y901)),Y901,IF(Parameter!$B$20="Jahresanfang 2025 + Export",BS901+BR901,BR901)))</f>
        <v>0</v>
      </c>
      <c r="I901" s="62" t="n">
        <f aca="false">H901*G901</f>
        <v>0</v>
      </c>
      <c r="J901" s="62" t="n">
        <f aca="false">BU901*Parameter!$B$18</f>
        <v>0</v>
      </c>
      <c r="K901" s="63" t="n">
        <v>1.5</v>
      </c>
      <c r="L901" s="64" t="n">
        <v>0</v>
      </c>
      <c r="M901" s="62" t="n">
        <v>0</v>
      </c>
      <c r="N901" s="62" t="n">
        <v>1</v>
      </c>
      <c r="O901" s="65" t="n">
        <v>28</v>
      </c>
      <c r="P901" s="60" t="s">
        <v>210</v>
      </c>
      <c r="Q901" s="62"/>
      <c r="R901" s="65" t="n">
        <f aca="false">IF(CA901=1,0,IFERROR(VLOOKUP(BY901,'Gebinde-Kategorie'!$A$5:$N$45,13,0)+0,0))</f>
        <v>26</v>
      </c>
      <c r="S901" s="66"/>
      <c r="T901" s="67" t="s">
        <v>317</v>
      </c>
      <c r="U901" s="67"/>
      <c r="V901" s="67"/>
      <c r="W901" s="60"/>
      <c r="X901" s="62"/>
      <c r="Y901" s="62"/>
      <c r="Z901" s="60" t="n">
        <v>3</v>
      </c>
      <c r="AA901" s="60" t="n">
        <f aca="false">IF(A901="","",IF(AND(Parameter!$B$21="Ja",ISNUMBER(W901)),W901,IF(AND(Parameter!$E$27="Ja",ISNUMBER(Z901),CD901&lt;&gt;"Nein"),Z901,IF(CD901="2+3",IF(ISNUMBER(SEARCH("grosser Artikel",BV901)),2,IFERROR(VLOOKUP(BY901,Parameter!$F$35:$G$64,2,0),2)),IF(OR(CD901="Nein",CD901=""),"-",CD901)))))</f>
        <v>3</v>
      </c>
      <c r="AB901" s="67"/>
      <c r="AC901" s="68"/>
      <c r="AD901" s="62" t="n">
        <f aca="false">AW901</f>
        <v>1</v>
      </c>
      <c r="AE901" s="62" t="n">
        <f aca="false">MAX(AW901,H901)</f>
        <v>1</v>
      </c>
      <c r="AF901" s="69"/>
      <c r="AG901" s="62" t="n">
        <f aca="false">IF(LEFT(Cockpit!$C$5,1)="A",H901,IF(Parameter!$E$30="MAX-Bestand",IF(CI901=1,CJ901,IF(LEFT(Cockpit!$C$5,1)="B",AM901,MAX(AM901,H901))),ROUNDUP(AK901,0)))</f>
        <v>0</v>
      </c>
      <c r="AH901" s="62" t="n">
        <f aca="false">IF(CA901=1,0,ROUNDUP(AG901/BZ901,0))</f>
        <v>0</v>
      </c>
      <c r="AI901" s="64" t="n">
        <f aca="false">IF(CR901&gt;0,CR901*MAX(1,AG901/X901),IF(CA901=1,IF(AG901&lt;=0,0,CE901*MAX(1,IF(H901&gt;0,AG901/H901,1))),IF(R901&gt;0,AH901/R901,0))/MAX(0.1,N(Parameter!$M$21)))</f>
        <v>0</v>
      </c>
      <c r="AJ901" s="62" t="n">
        <f aca="false">AI901*CC901</f>
        <v>0</v>
      </c>
      <c r="AK901" s="63" t="n">
        <f aca="false">IF(LEFT(Cockpit!$C$5,1)="A",H901,IF(CI901=1,(CL901+CJ901)/2,IF(LEFT(Cockpit!$C$5,1)="B",(CL901+AM901)/2,MAX((CL901+AM901)/2,H901))))</f>
        <v>0</v>
      </c>
      <c r="AL901" s="62" t="n">
        <f aca="false">AK901*G901</f>
        <v>0</v>
      </c>
      <c r="AM901" s="62" t="n">
        <f aca="false">ROUNDUP(CL901+MAX(CM901,2*(J901/IF(CH901&gt;0,CH901,MAX(0.1,N(Cockpit!$C$6)))-CL901)),0)</f>
        <v>1</v>
      </c>
      <c r="AN901" s="63" t="n">
        <f aca="false">IF(AJ901&gt;0,J901/AJ901,-1)</f>
        <v>-1</v>
      </c>
      <c r="AO901" s="63" t="str">
        <f aca="false">IF(AND(OR(CG901="L1",CG901="L23",CG901="LIFT"),AJ901&gt;0),SUMIFS($AJ$7:$AJ$1843,$CG$7:$CG$1843,CG901,$AN$7:$AN$1843,"&gt;"&amp;AN901)+SUMIFS($AJ$7:$AJ$1843,$CG$7:$CG$1843,CG901,$AN$7:$AN$1843,AN901,$BX$7:$BX$1843,"&lt;="&amp;BX901),"")</f>
        <v/>
      </c>
      <c r="AP901" s="70" t="n">
        <f aca="false">IF(AO901="",0,MAX(0,MIN(1,(IF(CG901="L1",Parameter!$H$5,IF(CG901="L23",Parameter!$H$6+Parameter!$H$7,Parameter!$H$5+Parameter!$H$6+Parameter!$H$7))-(AO901-AJ901))/AJ901)))</f>
        <v>0</v>
      </c>
      <c r="AQ901" s="62" t="n">
        <f aca="false">IF(LEFT(Cockpit!$I$5,1)="A",H901,IF(Parameter!$E$30="MAX-Bestand",IF(CI901=1,CJ901,IF(LEFT(Cockpit!$I$5,1)="B",AW901,MAX(AW901,H901))),ROUNDUP(AU901,0)))</f>
        <v>1</v>
      </c>
      <c r="AR901" s="62" t="n">
        <f aca="false">IF(CA901=1,0,ROUNDUP(AQ901/BZ901,0))</f>
        <v>1</v>
      </c>
      <c r="AS901" s="64" t="n">
        <f aca="false">IF(CR901&gt;0,CR901*MAX(1,AQ901/X901),IF(CA901=1,IF(AQ901&lt;=0,0,CE901*MAX(1,IF(H901&gt;0,AQ901/H901,1))),IF(R901&gt;0,AR901/R901,0))/MAX(0.1,N(Parameter!$M$21)))</f>
        <v>0.0384615384615385</v>
      </c>
      <c r="AT901" s="62" t="n">
        <f aca="false">AS901*CC901</f>
        <v>5.96153846153846</v>
      </c>
      <c r="AU901" s="63" t="n">
        <f aca="false">IF(LEFT(Cockpit!$I$5,1)="A",H901,IF(CI901=1,(CL901+CJ901)/2,IF(LEFT(Cockpit!$I$5,1)="B",(CL901+AW901)/2,MAX((CL901+AW901)/2,H901))))</f>
        <v>0.5</v>
      </c>
      <c r="AV901" s="62" t="n">
        <f aca="false">AU901*G901</f>
        <v>5.695</v>
      </c>
      <c r="AW901" s="62" t="n">
        <f aca="false">ROUNDUP(CL901+MAX(CM901,2*(J901/IF(CH901&gt;0,CH901,MAX(0.1,N(Cockpit!$I$6)))-CL901)),0)</f>
        <v>1</v>
      </c>
      <c r="AX901" s="63" t="n">
        <f aca="false">IF(AT901&gt;0,J901/AT901,-1)</f>
        <v>0</v>
      </c>
      <c r="AY901" s="63" t="n">
        <f aca="false">IF(AND(OR(CG901="L1",CG901="L23",CG901="LIFT"),AT901&gt;0),SUMIFS($AT$7:$AT$1843,$CG$7:$CG$1843,CG901,$AX$7:$AX$1843,"&gt;"&amp;AX901)+SUMIFS($AT$7:$AT$1843,$CG$7:$CG$1843,CG901,$AX$7:$AX$1843,AX901,$BX$7:$BX$1843,"&lt;="&amp;BX901),"")</f>
        <v>34479.6245421245</v>
      </c>
      <c r="AZ901" s="70" t="n">
        <f aca="false">IF(AY901="",0,MAX(0,MIN(1,(IF(CG901="L1",Parameter!$H$5,IF(CG901="L23",Parameter!$H$6+Parameter!$H$7,Parameter!$H$5+Parameter!$H$6+Parameter!$H$7))-(AY901-AT901))/AT901)))</f>
        <v>1</v>
      </c>
      <c r="BA901" s="62" t="n">
        <f aca="false">IF(LEFT(Cockpit!$O$5,1)="A",H901,IF(Parameter!$E$30="MAX-Bestand",IF(CI901=1,CJ901,IF(LEFT(Cockpit!$O$5,1)="B",BG901,MAX(BG901,H901))),ROUNDUP(BE901,0)))</f>
        <v>1</v>
      </c>
      <c r="BB901" s="62" t="n">
        <f aca="false">IF(CA901=1,0,ROUNDUP(BA901/BZ901,0))</f>
        <v>1</v>
      </c>
      <c r="BC901" s="64" t="n">
        <f aca="false">IF(CR901&gt;0,CR901*MAX(1,BA901/X901),IF(CA901=1,IF(BA901&lt;=0,0,CE901*MAX(1,IF(H901&gt;0,BA901/H901,1))),IF(R901&gt;0,BB901/R901,0))/MAX(0.1,N(Parameter!$M$21)))</f>
        <v>0.0384615384615385</v>
      </c>
      <c r="BD901" s="62" t="n">
        <f aca="false">BC901*CC901</f>
        <v>5.96153846153846</v>
      </c>
      <c r="BE901" s="63" t="n">
        <f aca="false">IF(LEFT(Cockpit!$O$5,1)="A",H901,IF(CI901=1,(CL901+CJ901)/2,IF(LEFT(Cockpit!$O$5,1)="B",(CL901+BG901)/2,MAX((CL901+BG901)/2,H901))))</f>
        <v>0.5</v>
      </c>
      <c r="BF901" s="62" t="n">
        <f aca="false">BE901*G901</f>
        <v>5.695</v>
      </c>
      <c r="BG901" s="62" t="n">
        <f aca="false">ROUNDUP(CL901+MAX(CM901,2*(J901/IF(CH901&gt;0,CH901,MAX(0.1,N(Cockpit!$O$6)))-CL901)),0)</f>
        <v>1</v>
      </c>
      <c r="BH901" s="63" t="n">
        <f aca="false">IF(BD901&gt;0,J901/BD901,-1)</f>
        <v>0</v>
      </c>
      <c r="BI901" s="63" t="n">
        <f aca="false">IF(AND(OR(CG901="L1",CG901="L23",CG901="LIFT"),BD901&gt;0),SUMIFS($BD$7:$BD$1843,$CG$7:$CG$1843,CG901,$BH$7:$BH$1843,"&gt;"&amp;BH901)+SUMIFS($BD$7:$BD$1843,$CG$7:$CG$1843,CG901,$BH$7:$BH$1843,BH901,$BX$7:$BX$1843,"&lt;="&amp;BX901),"")</f>
        <v>28511.2306528218</v>
      </c>
      <c r="BJ901" s="70" t="n">
        <f aca="false">IF(BI901="",0,MAX(0,MIN(1,(IF(CG901="L1",Parameter!$H$5,IF(CG901="L23",Parameter!$H$6+Parameter!$H$7,Parameter!$H$5+Parameter!$H$6+Parameter!$H$7))-(BI901-BD901))/BD901)))</f>
        <v>1</v>
      </c>
      <c r="BK901" s="60" t="str">
        <f aca="false">IF(AJ901&lt;=0,"",IF(CG901="Aussen","Aussenlager",IF(CG901="-","Nicht im Lift",IF(AP901&gt;=1,"Lift",IF(AP901&lt;=0,"Aussenlager","teilweise")))))</f>
        <v/>
      </c>
      <c r="BL901" s="60" t="str">
        <f aca="false">IF(AT901&lt;=0,"",IF(CG901="Aussen","Aussenlager",IF(CG901="-","Nicht im Lift",IF(AZ901&gt;=1,"Lift",IF(AZ901&lt;=0,"Aussenlager","teilweise")))))</f>
        <v>Lift</v>
      </c>
      <c r="BM901" s="60" t="str">
        <f aca="false">IF(BD901&lt;=0,"",IF(CG901="Aussen","Aussenlager",IF(CG901="-","Nicht im Lift",IF(BJ901&gt;=1,"Lift",IF(BJ901&lt;=0,"Aussenlager","teilweise")))))</f>
        <v>Lift</v>
      </c>
      <c r="BN901" s="60" t="str">
        <f aca="false">IF(A901="","",IF(BW901=1,"Neu; ","")&amp;IF(AND(BW901=0,BR901&lt;0),"negativer Bestand (Export "&amp;BR901&amp;"); ","")&amp;IF(J901&lt;=0,"Kein Verbrauch; ","")&amp;IF(CR901&gt;0,"Lift "&amp;W901&amp;" lt. Liftbericht (Fach "&amp;X901&amp;" Stk); ",IF(CB901=1,"Gebinde geschätzt ("&amp;T901&amp;"); ",IF(CA901=1,"Lose – Tablare geschätzt; ","")))&amp;IF(H901&gt;AW901,"Überbestand "&amp;ROUND(H901-AW901,0)&amp;" Stk / CHF "&amp;ROUND((H901-AW901)*G901,0)&amp;"; ","")&amp;IF(AND(CI901=1,CJ901&lt;CK901),"MAX &lt; MB+LG; ","")&amp;IF(AND(CQ901&gt;0,CP901*10&gt;CQ901),"zu hoch für Tablar; ","")&amp;IF(AND(BW901=0,OR(CI901=1,AB901&lt;&gt;"",U901&lt;&gt;"",V901&lt;&gt;"",AC901&lt;&gt;"")),"manuell übersteuert; ","")&amp;IF(AND(CA901=0,R901=0),"Gebinde unbekannt / Stellmass fehlt; ","")&amp;IF(AND(CA901=0,N(V901)&lt;=0,N(Q901)&lt;=0),"Menge pro Gebinde fehlt (Ist = 1 Gebinde); ","")&amp;BV901)</f>
        <v>negativer Bestand (Export -3); Kein Verbrauch; Gebinde geschätzt (Klein); Menge pro Gebinde fehlt (Ist = 1 Gebinde); </v>
      </c>
      <c r="BO901" s="60"/>
      <c r="BP901" s="60"/>
      <c r="BQ901" s="67"/>
      <c r="BR901" s="62" t="n">
        <v>-3</v>
      </c>
      <c r="BS901" s="62" t="n">
        <v>3</v>
      </c>
      <c r="BT901" s="61" t="n">
        <v>-34.17</v>
      </c>
      <c r="BU901" s="62" t="n">
        <v>0</v>
      </c>
      <c r="BV901" s="60"/>
      <c r="BW901" s="65" t="n">
        <v>0</v>
      </c>
      <c r="BX901" s="65" t="n">
        <v>901</v>
      </c>
      <c r="BY901" s="60" t="str">
        <f aca="false">IF(U901&lt;&gt;"",UPPER(TRIM(U901)),IF(CB901=1,UPPER(VLOOKUP(T901,Parameter!$I$27:$K$29,2,0)),IF(P901="","LOSE",P901)))</f>
        <v>S51</v>
      </c>
      <c r="BZ901" s="62" t="n">
        <f aca="false">IF(BY901="LOSE",1,IF(N(V901)&gt;0,V901,IF(CB901=1,MAX(1,N(VLOOKUP(T901,Parameter!$I$27:$K$29,3,0)),H901,N(N901)),IF(N(Q901)&gt;0,Q901,MAX(1,H901)))))</f>
        <v>20</v>
      </c>
      <c r="CA901" s="65" t="n">
        <f aca="false">IF(BY901="LOSE",1,0)</f>
        <v>0</v>
      </c>
      <c r="CB901" s="65" t="n">
        <f aca="false">IF(AND(U901="",OR(P901="",P901="LOSE"),T901&lt;&gt;"",N(S901)&lt;=0,ISNUMBER(MATCH(T901,Parameter!$I$27:$I$29,0))),1,0)</f>
        <v>1</v>
      </c>
      <c r="CC901" s="65" t="n">
        <f aca="false">IF(CR901&gt;0,INDEX(Parameter!$H$5:$H$7,W901)/INDEX(Parameter!$E$5:$E$7,W901),IF(AND(CA901=0,N(IFERROR(VLOOKUP(BY901,'Gebinde-Kategorie'!$A$5:$N$45,14,0),0))&gt;0),VLOOKUP(BY901,'Gebinde-Kategorie'!$A$5:$N$45,14,0)*10+Parameter!$M$23,Parameter!$M$24))</f>
        <v>155</v>
      </c>
      <c r="CD901" s="60" t="str">
        <f aca="false">IF(AND(Parameter!$B$19="Ja",E901&lt;&gt;"",ISNUMBER(MATCH(E901,Parameter!$I$35:$I$52,0))),VLOOKUP(E901,Parameter!$I$35:$J$52,2,0),IFERROR(VLOOKUP(D901,Parameter!$A$35:$C$64,2,0),"Nein"))</f>
        <v>2+3</v>
      </c>
      <c r="CE901" s="64" t="n">
        <f aca="false">IF(CA901=0,0,IF(N(S901)&gt;0,S901,IFERROR(VLOOKUP(D901,Parameter!$A$35:$C$64,3,0)+0,0)))</f>
        <v>0</v>
      </c>
      <c r="CF901" s="60" t="n">
        <f aca="false">IF(AB901&lt;&gt;"",AB901,AA901)</f>
        <v>3</v>
      </c>
      <c r="CG901" s="60" t="str">
        <f aca="false">IF(OR(CF901=1,CF901=2,CF901=3),IF(Parameter!$E$27="Ja","LIFT",IF(CF901=1,"L1","L23")),IF(CF901="Aussen","Aussen","-"))</f>
        <v>LIFT</v>
      </c>
      <c r="CH901" s="71" t="n">
        <f aca="false">IF(N(AC901)&gt;0,AC901,0)</f>
        <v>0</v>
      </c>
      <c r="CI901" s="65" t="n">
        <f aca="false">IF(ISNUMBER(AF901),1,0)</f>
        <v>0</v>
      </c>
      <c r="CJ901" s="62" t="n">
        <f aca="false">N(AF901)</f>
        <v>0</v>
      </c>
      <c r="CK901" s="62" t="n">
        <f aca="false">N(M901)+N(N901)</f>
        <v>1</v>
      </c>
      <c r="CL901" s="62" t="n">
        <f aca="false">N(M901)</f>
        <v>0</v>
      </c>
      <c r="CM901" s="62" t="n">
        <f aca="false">N(N901)</f>
        <v>1</v>
      </c>
      <c r="CN901" s="62" t="n">
        <f aca="false">ROUNDUP(H901/BZ901,0)</f>
        <v>0</v>
      </c>
      <c r="CO901" s="62" t="n">
        <f aca="false">ROUNDUP(CJ901/BZ901,0)</f>
        <v>0</v>
      </c>
      <c r="CP901" s="65" t="n">
        <f aca="false">IF(CA901=1,0,IFERROR(VLOOKUP(BY901,'Gebinde-Kategorie'!$A$5:$N$45,5,0)+0,0))</f>
        <v>11</v>
      </c>
      <c r="CQ901" s="65" t="n">
        <f aca="false">IFERROR(IF(OR(CF901=1,CF901=2,CF901=3),N(INDEX(Parameter!$I$5:$I$7,CF901)),0),0)</f>
        <v>0</v>
      </c>
      <c r="CR901" s="64" t="n">
        <f aca="false">IF(AND(Parameter!$B$21="Ja",ISNUMBER(W901),N(X901)&gt;0),IFERROR(N(INDEX(Parameter!$L$5:$L$7,W901))*INDEX(Parameter!$E$5:$E$7,W901)*X901/SUMIFS($X$7:$X$1843,$W$7:$W$1843,W901),0),0)</f>
        <v>0</v>
      </c>
      <c r="CS901" s="62" t="str">
        <f aca="false">IF(AND(OR(CG901="L1",CG901="L23",CG901="LIFT"),H901&gt;0),CC901*IF(CR901&gt;0,CR901*MAX(1,H901/X901),IF(CA901=1,CE901,IF(R901&gt;0,CN901/R901,0))/MAX(0.1,N(Parameter!$M$21))),"")</f>
        <v/>
      </c>
      <c r="CT901" s="64" t="str">
        <f aca="false">IF(CS901="","",J901/H901)</f>
        <v/>
      </c>
      <c r="CU901" s="62" t="str">
        <f aca="false">IF(CS901="","",H901*G901)</f>
        <v/>
      </c>
      <c r="CV901" s="63" t="str">
        <f aca="false">IF(CS901="","",(CL901+ROUNDUP(CL901+MAX(CM901,2*(J901/MAX(0.1,N(Einkauf!$C$6))-CL901)),0))/2)</f>
        <v/>
      </c>
      <c r="CW901" s="62" t="str">
        <f aca="false">IF(CS901="","",MAX(0,H901-CV901)*G901)</f>
        <v/>
      </c>
      <c r="CX901" s="62" t="str">
        <f aca="false">IF(CS901="","",CS901*MAX(0,1-CV901/H901))</f>
        <v/>
      </c>
      <c r="CY901" s="64" t="str">
        <f aca="false">IF(CS901="","",PERCENTRANK($CS$7:$CS$1843,CS901)+PERCENTRANK($CU$7:$CU$1843,CU901)+1-PERCENTRANK($CT$7:$CT$1843,CT901))</f>
        <v/>
      </c>
      <c r="CZ901" s="72" t="str">
        <f aca="false">IF(CS901="","",CHOOSE(MATCH(Einkauf!$C$5,Parameter!$G$23:$G$27,0),CY901,CS901,CU901,-CT901,CW901)+ROW()/1000000000)</f>
        <v/>
      </c>
    </row>
    <row r="902" customFormat="false" ht="15" hidden="false" customHeight="false" outlineLevel="0" collapsed="false">
      <c r="A902" s="60" t="s">
        <v>1738</v>
      </c>
      <c r="B902" s="60" t="s">
        <v>1051</v>
      </c>
      <c r="C902" s="60" t="s">
        <v>206</v>
      </c>
      <c r="D902" s="60" t="s">
        <v>226</v>
      </c>
      <c r="E902" s="60"/>
      <c r="F902" s="60" t="s">
        <v>260</v>
      </c>
      <c r="G902" s="61" t="n">
        <v>4.31</v>
      </c>
      <c r="H902" s="62" t="n">
        <f aca="false">MAX(0,IF(AND(Parameter!$B$21="Ja",ISNUMBER(Y902)),Y902,IF(Parameter!$B$20="Jahresanfang 2025 + Export",BS902+BR902,BR902)))</f>
        <v>4</v>
      </c>
      <c r="I902" s="62" t="n">
        <f aca="false">H902*G902</f>
        <v>17.24</v>
      </c>
      <c r="J902" s="62" t="n">
        <f aca="false">BU902*Parameter!$B$18</f>
        <v>1</v>
      </c>
      <c r="K902" s="63" t="n">
        <v>11</v>
      </c>
      <c r="L902" s="64" t="n">
        <v>0.0909090909090909</v>
      </c>
      <c r="M902" s="62" t="n">
        <v>0</v>
      </c>
      <c r="N902" s="62" t="n">
        <v>1</v>
      </c>
      <c r="O902" s="65" t="n">
        <v>70</v>
      </c>
      <c r="P902" s="60" t="s">
        <v>443</v>
      </c>
      <c r="Q902" s="62" t="n">
        <v>5</v>
      </c>
      <c r="R902" s="65" t="n">
        <f aca="false">IF(CA902=1,0,IFERROR(VLOOKUP(BY902,'Gebinde-Kategorie'!$A$5:$N$45,13,0)+0,0))</f>
        <v>280</v>
      </c>
      <c r="S902" s="66"/>
      <c r="T902" s="67"/>
      <c r="U902" s="67"/>
      <c r="V902" s="67"/>
      <c r="W902" s="60"/>
      <c r="X902" s="62"/>
      <c r="Y902" s="62"/>
      <c r="Z902" s="60" t="n">
        <v>1</v>
      </c>
      <c r="AA902" s="60" t="n">
        <f aca="false">IF(A902="","",IF(AND(Parameter!$B$21="Ja",ISNUMBER(W902)),W902,IF(AND(Parameter!$E$27="Ja",ISNUMBER(Z902),CD902&lt;&gt;"Nein"),Z902,IF(CD902="2+3",IF(ISNUMBER(SEARCH("grosser Artikel",BV902)),2,IFERROR(VLOOKUP(BY902,Parameter!$F$35:$G$64,2,0),2)),IF(OR(CD902="Nein",CD902=""),"-",CD902)))))</f>
        <v>1</v>
      </c>
      <c r="AB902" s="67"/>
      <c r="AC902" s="68"/>
      <c r="AD902" s="62" t="n">
        <f aca="false">AW902</f>
        <v>1</v>
      </c>
      <c r="AE902" s="62" t="n">
        <f aca="false">MAX(AW902,H902)</f>
        <v>4</v>
      </c>
      <c r="AF902" s="69"/>
      <c r="AG902" s="62" t="n">
        <f aca="false">IF(LEFT(Cockpit!$C$5,1)="A",H902,IF(Parameter!$E$30="MAX-Bestand",IF(CI902=1,CJ902,IF(LEFT(Cockpit!$C$5,1)="B",AM902,MAX(AM902,H902))),ROUNDUP(AK902,0)))</f>
        <v>4</v>
      </c>
      <c r="AH902" s="62" t="n">
        <f aca="false">IF(CA902=1,0,ROUNDUP(AG902/BZ902,0))</f>
        <v>1</v>
      </c>
      <c r="AI902" s="64" t="n">
        <f aca="false">IF(CR902&gt;0,CR902*MAX(1,AG902/X902),IF(CA902=1,IF(AG902&lt;=0,0,CE902*MAX(1,IF(H902&gt;0,AG902/H902,1))),IF(R902&gt;0,AH902/R902,0))/MAX(0.1,N(Parameter!$M$21)))</f>
        <v>0.00357142857142857</v>
      </c>
      <c r="AJ902" s="62" t="n">
        <f aca="false">AI902*CC902</f>
        <v>0.553571428571429</v>
      </c>
      <c r="AK902" s="63" t="n">
        <f aca="false">IF(LEFT(Cockpit!$C$5,1)="A",H902,IF(CI902=1,(CL902+CJ902)/2,IF(LEFT(Cockpit!$C$5,1)="B",(CL902+AM902)/2,MAX((CL902+AM902)/2,H902))))</f>
        <v>4</v>
      </c>
      <c r="AL902" s="62" t="n">
        <f aca="false">AK902*G902</f>
        <v>17.24</v>
      </c>
      <c r="AM902" s="62" t="n">
        <f aca="false">ROUNDUP(CL902+MAX(CM902,2*(J902/IF(CH902&gt;0,CH902,MAX(0.1,N(Cockpit!$C$6)))-CL902)),0)</f>
        <v>1</v>
      </c>
      <c r="AN902" s="63" t="n">
        <f aca="false">IF(AJ902&gt;0,J902/AJ902,-1)</f>
        <v>1.80645161290323</v>
      </c>
      <c r="AO902" s="63" t="n">
        <f aca="false">IF(AND(OR(CG902="L1",CG902="L23",CG902="LIFT"),AJ902&gt;0),SUMIFS($AJ$7:$AJ$1843,$CG$7:$CG$1843,CG902,$AN$7:$AN$1843,"&gt;"&amp;AN902)+SUMIFS($AJ$7:$AJ$1843,$CG$7:$CG$1843,CG902,$AN$7:$AN$1843,AN902,$BX$7:$BX$1843,"&lt;="&amp;BX902),"")</f>
        <v>5967.55815018315</v>
      </c>
      <c r="AP902" s="70" t="n">
        <f aca="false">IF(AO902="",0,MAX(0,MIN(1,(IF(CG902="L1",Parameter!$H$5,IF(CG902="L23",Parameter!$H$6+Parameter!$H$7,Parameter!$H$5+Parameter!$H$6+Parameter!$H$7))-(AO902-AJ902))/AJ902)))</f>
        <v>1</v>
      </c>
      <c r="AQ902" s="62" t="n">
        <f aca="false">IF(LEFT(Cockpit!$I$5,1)="A",H902,IF(Parameter!$E$30="MAX-Bestand",IF(CI902=1,CJ902,IF(LEFT(Cockpit!$I$5,1)="B",AW902,MAX(AW902,H902))),ROUNDUP(AU902,0)))</f>
        <v>4</v>
      </c>
      <c r="AR902" s="62" t="n">
        <f aca="false">IF(CA902=1,0,ROUNDUP(AQ902/BZ902,0))</f>
        <v>1</v>
      </c>
      <c r="AS902" s="64" t="n">
        <f aca="false">IF(CR902&gt;0,CR902*MAX(1,AQ902/X902),IF(CA902=1,IF(AQ902&lt;=0,0,CE902*MAX(1,IF(H902&gt;0,AQ902/H902,1))),IF(R902&gt;0,AR902/R902,0))/MAX(0.1,N(Parameter!$M$21)))</f>
        <v>0.00357142857142857</v>
      </c>
      <c r="AT902" s="62" t="n">
        <f aca="false">AS902*CC902</f>
        <v>0.553571428571429</v>
      </c>
      <c r="AU902" s="63" t="n">
        <f aca="false">IF(LEFT(Cockpit!$I$5,1)="A",H902,IF(CI902=1,(CL902+CJ902)/2,IF(LEFT(Cockpit!$I$5,1)="B",(CL902+AW902)/2,MAX((CL902+AW902)/2,H902))))</f>
        <v>4</v>
      </c>
      <c r="AV902" s="62" t="n">
        <f aca="false">AU902*G902</f>
        <v>17.24</v>
      </c>
      <c r="AW902" s="62" t="n">
        <f aca="false">ROUNDUP(CL902+MAX(CM902,2*(J902/IF(CH902&gt;0,CH902,MAX(0.1,N(Cockpit!$I$6)))-CL902)),0)</f>
        <v>1</v>
      </c>
      <c r="AX902" s="63" t="n">
        <f aca="false">IF(AT902&gt;0,J902/AT902,-1)</f>
        <v>1.80645161290323</v>
      </c>
      <c r="AY902" s="63" t="n">
        <f aca="false">IF(AND(OR(CG902="L1",CG902="L23",CG902="LIFT"),AT902&gt;0),SUMIFS($AT$7:$AT$1843,$CG$7:$CG$1843,CG902,$AX$7:$AX$1843,"&gt;"&amp;AX902)+SUMIFS($AT$7:$AT$1843,$CG$7:$CG$1843,CG902,$AX$7:$AX$1843,AX902,$BX$7:$BX$1843,"&lt;="&amp;BX902),"")</f>
        <v>7406.74175824176</v>
      </c>
      <c r="AZ902" s="70" t="n">
        <f aca="false">IF(AY902="",0,MAX(0,MIN(1,(IF(CG902="L1",Parameter!$H$5,IF(CG902="L23",Parameter!$H$6+Parameter!$H$7,Parameter!$H$5+Parameter!$H$6+Parameter!$H$7))-(AY902-AT902))/AT902)))</f>
        <v>1</v>
      </c>
      <c r="BA902" s="62" t="n">
        <f aca="false">IF(LEFT(Cockpit!$O$5,1)="A",H902,IF(Parameter!$E$30="MAX-Bestand",IF(CI902=1,CJ902,IF(LEFT(Cockpit!$O$5,1)="B",BG902,MAX(BG902,H902))),ROUNDUP(BE902,0)))</f>
        <v>1</v>
      </c>
      <c r="BB902" s="62" t="n">
        <f aca="false">IF(CA902=1,0,ROUNDUP(BA902/BZ902,0))</f>
        <v>1</v>
      </c>
      <c r="BC902" s="64" t="n">
        <f aca="false">IF(CR902&gt;0,CR902*MAX(1,BA902/X902),IF(CA902=1,IF(BA902&lt;=0,0,CE902*MAX(1,IF(H902&gt;0,BA902/H902,1))),IF(R902&gt;0,BB902/R902,0))/MAX(0.1,N(Parameter!$M$21)))</f>
        <v>0.00357142857142857</v>
      </c>
      <c r="BD902" s="62" t="n">
        <f aca="false">BC902*CC902</f>
        <v>0.553571428571429</v>
      </c>
      <c r="BE902" s="63" t="n">
        <f aca="false">IF(LEFT(Cockpit!$O$5,1)="A",H902,IF(CI902=1,(CL902+CJ902)/2,IF(LEFT(Cockpit!$O$5,1)="B",(CL902+BG902)/2,MAX((CL902+BG902)/2,H902))))</f>
        <v>0.5</v>
      </c>
      <c r="BF902" s="62" t="n">
        <f aca="false">BE902*G902</f>
        <v>2.155</v>
      </c>
      <c r="BG902" s="62" t="n">
        <f aca="false">ROUNDUP(CL902+MAX(CM902,2*(J902/IF(CH902&gt;0,CH902,MAX(0.1,N(Cockpit!$O$6)))-CL902)),0)</f>
        <v>1</v>
      </c>
      <c r="BH902" s="63" t="n">
        <f aca="false">IF(BD902&gt;0,J902/BD902,-1)</f>
        <v>1.80645161290323</v>
      </c>
      <c r="BI902" s="63" t="n">
        <f aca="false">IF(AND(OR(CG902="L1",CG902="L23",CG902="LIFT"),BD902&gt;0),SUMIFS($BD$7:$BD$1843,$CG$7:$CG$1843,CG902,$BH$7:$BH$1843,"&gt;"&amp;BH902)+SUMIFS($BD$7:$BD$1843,$CG$7:$CG$1843,CG902,$BH$7:$BH$1843,BH902,$BX$7:$BX$1843,"&lt;="&amp;BX902),"")</f>
        <v>6094.66254578755</v>
      </c>
      <c r="BJ902" s="70" t="n">
        <f aca="false">IF(BI902="",0,MAX(0,MIN(1,(IF(CG902="L1",Parameter!$H$5,IF(CG902="L23",Parameter!$H$6+Parameter!$H$7,Parameter!$H$5+Parameter!$H$6+Parameter!$H$7))-(BI902-BD902))/BD902)))</f>
        <v>1</v>
      </c>
      <c r="BK902" s="60" t="str">
        <f aca="false">IF(AJ902&lt;=0,"",IF(CG902="Aussen","Aussenlager",IF(CG902="-","Nicht im Lift",IF(AP902&gt;=1,"Lift",IF(AP902&lt;=0,"Aussenlager","teilweise")))))</f>
        <v>Lift</v>
      </c>
      <c r="BL902" s="60" t="str">
        <f aca="false">IF(AT902&lt;=0,"",IF(CG902="Aussen","Aussenlager",IF(CG902="-","Nicht im Lift",IF(AZ902&gt;=1,"Lift",IF(AZ902&lt;=0,"Aussenlager","teilweise")))))</f>
        <v>Lift</v>
      </c>
      <c r="BM902" s="60" t="str">
        <f aca="false">IF(BD902&lt;=0,"",IF(CG902="Aussen","Aussenlager",IF(CG902="-","Nicht im Lift",IF(BJ902&gt;=1,"Lift",IF(BJ902&lt;=0,"Aussenlager","teilweise")))))</f>
        <v>Lift</v>
      </c>
      <c r="BN902" s="60" t="str">
        <f aca="false">IF(A902="","",IF(BW902=1,"Neu; ","")&amp;IF(AND(BW902=0,BR902&lt;0),"negativer Bestand (Export "&amp;BR902&amp;"); ","")&amp;IF(J902&lt;=0,"Kein Verbrauch; ","")&amp;IF(CR902&gt;0,"Lift "&amp;W902&amp;" lt. Liftbericht (Fach "&amp;X902&amp;" Stk); ",IF(CB902=1,"Gebinde geschätzt ("&amp;T902&amp;"); ",IF(CA902=1,"Lose – Tablare geschätzt; ","")))&amp;IF(H902&gt;AW902,"Überbestand "&amp;ROUND(H902-AW902,0)&amp;" Stk / CHF "&amp;ROUND((H902-AW902)*G902,0)&amp;"; ","")&amp;IF(AND(CI902=1,CJ902&lt;CK902),"MAX &lt; MB+LG; ","")&amp;IF(AND(CQ902&gt;0,CP902*10&gt;CQ902),"zu hoch für Tablar; ","")&amp;IF(AND(BW902=0,OR(CI902=1,AB902&lt;&gt;"",U902&lt;&gt;"",V902&lt;&gt;"",AC902&lt;&gt;"")),"manuell übersteuert; ","")&amp;IF(AND(CA902=0,R902=0),"Gebinde unbekannt / Stellmass fehlt; ","")&amp;IF(AND(CA902=0,N(V902)&lt;=0,N(Q902)&lt;=0),"Menge pro Gebinde fehlt (Ist = 1 Gebinde); ","")&amp;BV902)</f>
        <v>negativer Bestand (Export -8); Überbestand 3 Stk / CHF 13; </v>
      </c>
      <c r="BO902" s="60"/>
      <c r="BP902" s="60"/>
      <c r="BQ902" s="67"/>
      <c r="BR902" s="62" t="n">
        <v>-8</v>
      </c>
      <c r="BS902" s="62" t="n">
        <v>12</v>
      </c>
      <c r="BT902" s="61" t="n">
        <v>-34.48</v>
      </c>
      <c r="BU902" s="62" t="n">
        <v>1</v>
      </c>
      <c r="BV902" s="60"/>
      <c r="BW902" s="65" t="n">
        <v>0</v>
      </c>
      <c r="BX902" s="65" t="n">
        <v>902</v>
      </c>
      <c r="BY902" s="60" t="str">
        <f aca="false">IF(U902&lt;&gt;"",UPPER(TRIM(U902)),IF(CB902=1,UPPER(VLOOKUP(T902,Parameter!$I$27:$K$29,2,0)),IF(P902="","LOSE",P902)))</f>
        <v>S21</v>
      </c>
      <c r="BZ902" s="62" t="n">
        <f aca="false">IF(BY902="LOSE",1,IF(N(V902)&gt;0,V902,IF(CB902=1,MAX(1,N(VLOOKUP(T902,Parameter!$I$27:$K$29,3,0)),H902,N(N902)),IF(N(Q902)&gt;0,Q902,MAX(1,H902)))))</f>
        <v>5</v>
      </c>
      <c r="CA902" s="65" t="n">
        <f aca="false">IF(BY902="LOSE",1,0)</f>
        <v>0</v>
      </c>
      <c r="CB902" s="65" t="n">
        <f aca="false">IF(AND(U902="",OR(P902="",P902="LOSE"),T902&lt;&gt;"",N(S902)&lt;=0,ISNUMBER(MATCH(T902,Parameter!$I$27:$I$29,0))),1,0)</f>
        <v>0</v>
      </c>
      <c r="CC902" s="65" t="n">
        <f aca="false">IF(CR902&gt;0,INDEX(Parameter!$H$5:$H$7,W902)/INDEX(Parameter!$E$5:$E$7,W902),IF(AND(CA902=0,N(IFERROR(VLOOKUP(BY902,'Gebinde-Kategorie'!$A$5:$N$45,14,0),0))&gt;0),VLOOKUP(BY902,'Gebinde-Kategorie'!$A$5:$N$45,14,0)*10+Parameter!$M$23,Parameter!$M$24))</f>
        <v>155</v>
      </c>
      <c r="CD902" s="60" t="str">
        <f aca="false">IF(AND(Parameter!$B$19="Ja",E902&lt;&gt;"",ISNUMBER(MATCH(E902,Parameter!$I$35:$I$52,0))),VLOOKUP(E902,Parameter!$I$35:$J$52,2,0),IFERROR(VLOOKUP(D902,Parameter!$A$35:$C$64,2,0),"Nein"))</f>
        <v>2+3</v>
      </c>
      <c r="CE902" s="64" t="n">
        <f aca="false">IF(CA902=0,0,IF(N(S902)&gt;0,S902,IFERROR(VLOOKUP(D902,Parameter!$A$35:$C$64,3,0)+0,0)))</f>
        <v>0</v>
      </c>
      <c r="CF902" s="60" t="n">
        <f aca="false">IF(AB902&lt;&gt;"",AB902,AA902)</f>
        <v>1</v>
      </c>
      <c r="CG902" s="60" t="str">
        <f aca="false">IF(OR(CF902=1,CF902=2,CF902=3),IF(Parameter!$E$27="Ja","LIFT",IF(CF902=1,"L1","L23")),IF(CF902="Aussen","Aussen","-"))</f>
        <v>LIFT</v>
      </c>
      <c r="CH902" s="71" t="n">
        <f aca="false">IF(N(AC902)&gt;0,AC902,0)</f>
        <v>0</v>
      </c>
      <c r="CI902" s="65" t="n">
        <f aca="false">IF(ISNUMBER(AF902),1,0)</f>
        <v>0</v>
      </c>
      <c r="CJ902" s="62" t="n">
        <f aca="false">N(AF902)</f>
        <v>0</v>
      </c>
      <c r="CK902" s="62" t="n">
        <f aca="false">N(M902)+N(N902)</f>
        <v>1</v>
      </c>
      <c r="CL902" s="62" t="n">
        <f aca="false">N(M902)</f>
        <v>0</v>
      </c>
      <c r="CM902" s="62" t="n">
        <f aca="false">N(N902)</f>
        <v>1</v>
      </c>
      <c r="CN902" s="62" t="n">
        <f aca="false">ROUNDUP(H902/BZ902,0)</f>
        <v>1</v>
      </c>
      <c r="CO902" s="62" t="n">
        <f aca="false">ROUNDUP(CJ902/BZ902,0)</f>
        <v>0</v>
      </c>
      <c r="CP902" s="65" t="n">
        <f aca="false">IF(CA902=1,0,IFERROR(VLOOKUP(BY902,'Gebinde-Kategorie'!$A$5:$N$45,5,0)+0,0))</f>
        <v>8</v>
      </c>
      <c r="CQ902" s="65" t="n">
        <f aca="false">IFERROR(IF(OR(CF902=1,CF902=2,CF902=3),N(INDEX(Parameter!$I$5:$I$7,CF902)),0),0)</f>
        <v>0</v>
      </c>
      <c r="CR902" s="64" t="n">
        <f aca="false">IF(AND(Parameter!$B$21="Ja",ISNUMBER(W902),N(X902)&gt;0),IFERROR(N(INDEX(Parameter!$L$5:$L$7,W902))*INDEX(Parameter!$E$5:$E$7,W902)*X902/SUMIFS($X$7:$X$1843,$W$7:$W$1843,W902),0),0)</f>
        <v>0</v>
      </c>
      <c r="CS902" s="62" t="n">
        <f aca="false">IF(AND(OR(CG902="L1",CG902="L23",CG902="LIFT"),H902&gt;0),CC902*IF(CR902&gt;0,CR902*MAX(1,H902/X902),IF(CA902=1,CE902,IF(R902&gt;0,CN902/R902,0))/MAX(0.1,N(Parameter!$M$21))),"")</f>
        <v>0.553571428571429</v>
      </c>
      <c r="CT902" s="64" t="n">
        <f aca="false">IF(CS902="","",J902/H902)</f>
        <v>0.25</v>
      </c>
      <c r="CU902" s="62" t="n">
        <f aca="false">IF(CS902="","",H902*G902)</f>
        <v>17.24</v>
      </c>
      <c r="CV902" s="63" t="n">
        <f aca="false">IF(CS902="","",(CL902+ROUNDUP(CL902+MAX(CM902,2*(J902/MAX(0.1,N(Einkauf!$C$6))-CL902)),0))/2)</f>
        <v>0.5</v>
      </c>
      <c r="CW902" s="62" t="n">
        <f aca="false">IF(CS902="","",MAX(0,H902-CV902)*G902)</f>
        <v>15.085</v>
      </c>
      <c r="CX902" s="62" t="n">
        <f aca="false">IF(CS902="","",CS902*MAX(0,1-CV902/H902))</f>
        <v>0.484375</v>
      </c>
      <c r="CY902" s="64" t="n">
        <f aca="false">IF(CS902="","",PERCENTRANK($CS$7:$CS$1843,CS902)+PERCENTRANK($CU$7:$CU$1843,CU902)+1-PERCENTRANK($CT$7:$CT$1843,CT902))</f>
        <v>0.583</v>
      </c>
      <c r="CZ902" s="72" t="n">
        <f aca="false">IF(CS902="","",CHOOSE(MATCH(Einkauf!$C$5,Parameter!$G$23:$G$27,0),CY902,CS902,CU902,-CT902,CW902)+ROW()/1000000000)</f>
        <v>0.583000902</v>
      </c>
    </row>
    <row r="903" customFormat="false" ht="15" hidden="false" customHeight="false" outlineLevel="0" collapsed="false">
      <c r="A903" s="60" t="s">
        <v>1739</v>
      </c>
      <c r="B903" s="60" t="s">
        <v>1207</v>
      </c>
      <c r="C903" s="60" t="s">
        <v>206</v>
      </c>
      <c r="D903" s="60" t="s">
        <v>226</v>
      </c>
      <c r="E903" s="60" t="s">
        <v>227</v>
      </c>
      <c r="F903" s="60" t="s">
        <v>260</v>
      </c>
      <c r="G903" s="61" t="n">
        <v>12.71</v>
      </c>
      <c r="H903" s="62" t="n">
        <f aca="false">MAX(0,IF(AND(Parameter!$B$21="Ja",ISNUMBER(Y903)),Y903,IF(Parameter!$B$20="Jahresanfang 2025 + Export",BS903+BR903,BR903)))</f>
        <v>6</v>
      </c>
      <c r="I903" s="62" t="n">
        <f aca="false">H903*G903</f>
        <v>76.26</v>
      </c>
      <c r="J903" s="62" t="n">
        <f aca="false">BU903*Parameter!$B$18</f>
        <v>8</v>
      </c>
      <c r="K903" s="63" t="n">
        <v>6.5</v>
      </c>
      <c r="L903" s="64" t="n">
        <v>1.23076923076923</v>
      </c>
      <c r="M903" s="62" t="n">
        <v>0</v>
      </c>
      <c r="N903" s="62" t="n">
        <v>10</v>
      </c>
      <c r="O903" s="65" t="n">
        <v>18</v>
      </c>
      <c r="P903" s="60" t="s">
        <v>518</v>
      </c>
      <c r="Q903" s="62" t="n">
        <v>17</v>
      </c>
      <c r="R903" s="65" t="n">
        <f aca="false">IF(CA903=1,0,IFERROR(VLOOKUP(BY903,'Gebinde-Kategorie'!$A$5:$N$45,13,0)+0,0))</f>
        <v>52</v>
      </c>
      <c r="S903" s="66"/>
      <c r="T903" s="67"/>
      <c r="U903" s="67"/>
      <c r="V903" s="67"/>
      <c r="W903" s="60"/>
      <c r="X903" s="62"/>
      <c r="Y903" s="62"/>
      <c r="Z903" s="60" t="n">
        <v>3</v>
      </c>
      <c r="AA903" s="60" t="n">
        <f aca="false">IF(A903="","",IF(AND(Parameter!$B$21="Ja",ISNUMBER(W903)),W903,IF(AND(Parameter!$E$27="Ja",ISNUMBER(Z903),CD903&lt;&gt;"Nein"),Z903,IF(CD903="2+3",IF(ISNUMBER(SEARCH("grosser Artikel",BV903)),2,IFERROR(VLOOKUP(BY903,Parameter!$F$35:$G$64,2,0),2)),IF(OR(CD903="Nein",CD903=""),"-",CD903)))))</f>
        <v>3</v>
      </c>
      <c r="AB903" s="67"/>
      <c r="AC903" s="68"/>
      <c r="AD903" s="62" t="n">
        <f aca="false">AW903</f>
        <v>10</v>
      </c>
      <c r="AE903" s="62" t="n">
        <f aca="false">MAX(AW903,H903)</f>
        <v>10</v>
      </c>
      <c r="AF903" s="69"/>
      <c r="AG903" s="62" t="n">
        <f aca="false">IF(LEFT(Cockpit!$C$5,1)="A",H903,IF(Parameter!$E$30="MAX-Bestand",IF(CI903=1,CJ903,IF(LEFT(Cockpit!$C$5,1)="B",AM903,MAX(AM903,H903))),ROUNDUP(AK903,0)))</f>
        <v>6</v>
      </c>
      <c r="AH903" s="62" t="n">
        <f aca="false">IF(CA903=1,0,ROUNDUP(AG903/BZ903,0))</f>
        <v>1</v>
      </c>
      <c r="AI903" s="64" t="n">
        <f aca="false">IF(CR903&gt;0,CR903*MAX(1,AG903/X903),IF(CA903=1,IF(AG903&lt;=0,0,CE903*MAX(1,IF(H903&gt;0,AG903/H903,1))),IF(R903&gt;0,AH903/R903,0))/MAX(0.1,N(Parameter!$M$21)))</f>
        <v>0.0192307692307692</v>
      </c>
      <c r="AJ903" s="62" t="n">
        <f aca="false">AI903*CC903</f>
        <v>2.98076923076923</v>
      </c>
      <c r="AK903" s="63" t="n">
        <f aca="false">IF(LEFT(Cockpit!$C$5,1)="A",H903,IF(CI903=1,(CL903+CJ903)/2,IF(LEFT(Cockpit!$C$5,1)="B",(CL903+AM903)/2,MAX((CL903+AM903)/2,H903))))</f>
        <v>6</v>
      </c>
      <c r="AL903" s="62" t="n">
        <f aca="false">AK903*G903</f>
        <v>76.26</v>
      </c>
      <c r="AM903" s="62" t="n">
        <f aca="false">ROUNDUP(CL903+MAX(CM903,2*(J903/IF(CH903&gt;0,CH903,MAX(0.1,N(Cockpit!$C$6)))-CL903)),0)</f>
        <v>10</v>
      </c>
      <c r="AN903" s="63" t="n">
        <f aca="false">IF(AJ903&gt;0,J903/AJ903,-1)</f>
        <v>2.68387096774194</v>
      </c>
      <c r="AO903" s="63" t="n">
        <f aca="false">IF(AND(OR(CG903="L1",CG903="L23",CG903="LIFT"),AJ903&gt;0),SUMIFS($AJ$7:$AJ$1843,$CG$7:$CG$1843,CG903,$AN$7:$AN$1843,"&gt;"&amp;AN903)+SUMIFS($AJ$7:$AJ$1843,$CG$7:$CG$1843,CG903,$AN$7:$AN$1843,AN903,$BX$7:$BX$1843,"&lt;="&amp;BX903),"")</f>
        <v>5330.9097985348</v>
      </c>
      <c r="AP903" s="70" t="n">
        <f aca="false">IF(AO903="",0,MAX(0,MIN(1,(IF(CG903="L1",Parameter!$H$5,IF(CG903="L23",Parameter!$H$6+Parameter!$H$7,Parameter!$H$5+Parameter!$H$6+Parameter!$H$7))-(AO903-AJ903))/AJ903)))</f>
        <v>1</v>
      </c>
      <c r="AQ903" s="62" t="n">
        <f aca="false">IF(LEFT(Cockpit!$I$5,1)="A",H903,IF(Parameter!$E$30="MAX-Bestand",IF(CI903=1,CJ903,IF(LEFT(Cockpit!$I$5,1)="B",AW903,MAX(AW903,H903))),ROUNDUP(AU903,0)))</f>
        <v>6</v>
      </c>
      <c r="AR903" s="62" t="n">
        <f aca="false">IF(CA903=1,0,ROUNDUP(AQ903/BZ903,0))</f>
        <v>1</v>
      </c>
      <c r="AS903" s="64" t="n">
        <f aca="false">IF(CR903&gt;0,CR903*MAX(1,AQ903/X903),IF(CA903=1,IF(AQ903&lt;=0,0,CE903*MAX(1,IF(H903&gt;0,AQ903/H903,1))),IF(R903&gt;0,AR903/R903,0))/MAX(0.1,N(Parameter!$M$21)))</f>
        <v>0.0192307692307692</v>
      </c>
      <c r="AT903" s="62" t="n">
        <f aca="false">AS903*CC903</f>
        <v>2.98076923076923</v>
      </c>
      <c r="AU903" s="63" t="n">
        <f aca="false">IF(LEFT(Cockpit!$I$5,1)="A",H903,IF(CI903=1,(CL903+CJ903)/2,IF(LEFT(Cockpit!$I$5,1)="B",(CL903+AW903)/2,MAX((CL903+AW903)/2,H903))))</f>
        <v>6</v>
      </c>
      <c r="AV903" s="62" t="n">
        <f aca="false">AU903*G903</f>
        <v>76.26</v>
      </c>
      <c r="AW903" s="62" t="n">
        <f aca="false">ROUNDUP(CL903+MAX(CM903,2*(J903/IF(CH903&gt;0,CH903,MAX(0.1,N(Cockpit!$I$6)))-CL903)),0)</f>
        <v>10</v>
      </c>
      <c r="AX903" s="63" t="n">
        <f aca="false">IF(AT903&gt;0,J903/AT903,-1)</f>
        <v>2.68387096774194</v>
      </c>
      <c r="AY903" s="63" t="n">
        <f aca="false">IF(AND(OR(CG903="L1",CG903="L23",CG903="LIFT"),AT903&gt;0),SUMIFS($AT$7:$AT$1843,$CG$7:$CG$1843,CG903,$AX$7:$AX$1843,"&gt;"&amp;AX903)+SUMIFS($AT$7:$AT$1843,$CG$7:$CG$1843,CG903,$AX$7:$AX$1843,AX903,$BX$7:$BX$1843,"&lt;="&amp;BX903),"")</f>
        <v>6165.38782051282</v>
      </c>
      <c r="AZ903" s="70" t="n">
        <f aca="false">IF(AY903="",0,MAX(0,MIN(1,(IF(CG903="L1",Parameter!$H$5,IF(CG903="L23",Parameter!$H$6+Parameter!$H$7,Parameter!$H$5+Parameter!$H$6+Parameter!$H$7))-(AY903-AT903))/AT903)))</f>
        <v>1</v>
      </c>
      <c r="BA903" s="62" t="n">
        <f aca="false">IF(LEFT(Cockpit!$O$5,1)="A",H903,IF(Parameter!$E$30="MAX-Bestand",IF(CI903=1,CJ903,IF(LEFT(Cockpit!$O$5,1)="B",BG903,MAX(BG903,H903))),ROUNDUP(BE903,0)))</f>
        <v>5</v>
      </c>
      <c r="BB903" s="62" t="n">
        <f aca="false">IF(CA903=1,0,ROUNDUP(BA903/BZ903,0))</f>
        <v>1</v>
      </c>
      <c r="BC903" s="64" t="n">
        <f aca="false">IF(CR903&gt;0,CR903*MAX(1,BA903/X903),IF(CA903=1,IF(BA903&lt;=0,0,CE903*MAX(1,IF(H903&gt;0,BA903/H903,1))),IF(R903&gt;0,BB903/R903,0))/MAX(0.1,N(Parameter!$M$21)))</f>
        <v>0.0192307692307692</v>
      </c>
      <c r="BD903" s="62" t="n">
        <f aca="false">BC903*CC903</f>
        <v>2.98076923076923</v>
      </c>
      <c r="BE903" s="63" t="n">
        <f aca="false">IF(LEFT(Cockpit!$O$5,1)="A",H903,IF(CI903=1,(CL903+CJ903)/2,IF(LEFT(Cockpit!$O$5,1)="B",(CL903+BG903)/2,MAX((CL903+BG903)/2,H903))))</f>
        <v>5</v>
      </c>
      <c r="BF903" s="62" t="n">
        <f aca="false">BE903*G903</f>
        <v>63.55</v>
      </c>
      <c r="BG903" s="62" t="n">
        <f aca="false">ROUNDUP(CL903+MAX(CM903,2*(J903/IF(CH903&gt;0,CH903,MAX(0.1,N(Cockpit!$O$6)))-CL903)),0)</f>
        <v>10</v>
      </c>
      <c r="BH903" s="63" t="n">
        <f aca="false">IF(BD903&gt;0,J903/BD903,-1)</f>
        <v>2.68387096774194</v>
      </c>
      <c r="BI903" s="63" t="n">
        <f aca="false">IF(AND(OR(CG903="L1",CG903="L23",CG903="LIFT"),BD903&gt;0),SUMIFS($BD$7:$BD$1843,$CG$7:$CG$1843,CG903,$BH$7:$BH$1843,"&gt;"&amp;BH903)+SUMIFS($BD$7:$BD$1843,$CG$7:$CG$1843,CG903,$BH$7:$BH$1843,BH903,$BX$7:$BX$1843,"&lt;="&amp;BX903),"")</f>
        <v>5343.44230769231</v>
      </c>
      <c r="BJ903" s="70" t="n">
        <f aca="false">IF(BI903="",0,MAX(0,MIN(1,(IF(CG903="L1",Parameter!$H$5,IF(CG903="L23",Parameter!$H$6+Parameter!$H$7,Parameter!$H$5+Parameter!$H$6+Parameter!$H$7))-(BI903-BD903))/BD903)))</f>
        <v>1</v>
      </c>
      <c r="BK903" s="60" t="str">
        <f aca="false">IF(AJ903&lt;=0,"",IF(CG903="Aussen","Aussenlager",IF(CG903="-","Nicht im Lift",IF(AP903&gt;=1,"Lift",IF(AP903&lt;=0,"Aussenlager","teilweise")))))</f>
        <v>Lift</v>
      </c>
      <c r="BL903" s="60" t="str">
        <f aca="false">IF(AT903&lt;=0,"",IF(CG903="Aussen","Aussenlager",IF(CG903="-","Nicht im Lift",IF(AZ903&gt;=1,"Lift",IF(AZ903&lt;=0,"Aussenlager","teilweise")))))</f>
        <v>Lift</v>
      </c>
      <c r="BM903" s="60" t="str">
        <f aca="false">IF(BD903&lt;=0,"",IF(CG903="Aussen","Aussenlager",IF(CG903="-","Nicht im Lift",IF(BJ903&gt;=1,"Lift",IF(BJ903&lt;=0,"Aussenlager","teilweise")))))</f>
        <v>Lift</v>
      </c>
      <c r="BN903" s="60" t="str">
        <f aca="false">IF(A903="","",IF(BW903=1,"Neu; ","")&amp;IF(AND(BW903=0,BR903&lt;0),"negativer Bestand (Export "&amp;BR903&amp;"); ","")&amp;IF(J903&lt;=0,"Kein Verbrauch; ","")&amp;IF(CR903&gt;0,"Lift "&amp;W903&amp;" lt. Liftbericht (Fach "&amp;X903&amp;" Stk); ",IF(CB903=1,"Gebinde geschätzt ("&amp;T903&amp;"); ",IF(CA903=1,"Lose – Tablare geschätzt; ","")))&amp;IF(H903&gt;AW903,"Überbestand "&amp;ROUND(H903-AW903,0)&amp;" Stk / CHF "&amp;ROUND((H903-AW903)*G903,0)&amp;"; ","")&amp;IF(AND(CI903=1,CJ903&lt;CK903),"MAX &lt; MB+LG; ","")&amp;IF(AND(CQ903&gt;0,CP903*10&gt;CQ903),"zu hoch für Tablar; ","")&amp;IF(AND(BW903=0,OR(CI903=1,AB903&lt;&gt;"",U903&lt;&gt;"",V903&lt;&gt;"",AC903&lt;&gt;"")),"manuell übersteuert; ","")&amp;IF(AND(CA903=0,R903=0),"Gebinde unbekannt / Stellmass fehlt; ","")&amp;IF(AND(CA903=0,N(V903)&lt;=0,N(Q903)&lt;=0),"Menge pro Gebinde fehlt (Ist = 1 Gebinde); ","")&amp;BV903)</f>
        <v>negativer Bestand (Export -2); </v>
      </c>
      <c r="BO903" s="60"/>
      <c r="BP903" s="60"/>
      <c r="BQ903" s="67"/>
      <c r="BR903" s="62" t="n">
        <v>-2</v>
      </c>
      <c r="BS903" s="62" t="n">
        <v>8</v>
      </c>
      <c r="BT903" s="61" t="n">
        <v>-35.5</v>
      </c>
      <c r="BU903" s="62" t="n">
        <v>8</v>
      </c>
      <c r="BV903" s="60"/>
      <c r="BW903" s="65" t="n">
        <v>0</v>
      </c>
      <c r="BX903" s="65" t="n">
        <v>903</v>
      </c>
      <c r="BY903" s="60" t="str">
        <f aca="false">IF(U903&lt;&gt;"",UPPER(TRIM(U903)),IF(CB903=1,UPPER(VLOOKUP(T903,Parameter!$I$27:$K$29,2,0)),IF(P903="","LOSE",P903)))</f>
        <v>S33</v>
      </c>
      <c r="BZ903" s="62" t="n">
        <f aca="false">IF(BY903="LOSE",1,IF(N(V903)&gt;0,V903,IF(CB903=1,MAX(1,N(VLOOKUP(T903,Parameter!$I$27:$K$29,3,0)),H903,N(N903)),IF(N(Q903)&gt;0,Q903,MAX(1,H903)))))</f>
        <v>17</v>
      </c>
      <c r="CA903" s="65" t="n">
        <f aca="false">IF(BY903="LOSE",1,0)</f>
        <v>0</v>
      </c>
      <c r="CB903" s="65" t="n">
        <f aca="false">IF(AND(U903="",OR(P903="",P903="LOSE"),T903&lt;&gt;"",N(S903)&lt;=0,ISNUMBER(MATCH(T903,Parameter!$I$27:$I$29,0))),1,0)</f>
        <v>0</v>
      </c>
      <c r="CC903" s="65" t="n">
        <f aca="false">IF(CR903&gt;0,INDEX(Parameter!$H$5:$H$7,W903)/INDEX(Parameter!$E$5:$E$7,W903),IF(AND(CA903=0,N(IFERROR(VLOOKUP(BY903,'Gebinde-Kategorie'!$A$5:$N$45,14,0),0))&gt;0),VLOOKUP(BY903,'Gebinde-Kategorie'!$A$5:$N$45,14,0)*10+Parameter!$M$23,Parameter!$M$24))</f>
        <v>155</v>
      </c>
      <c r="CD903" s="60" t="str">
        <f aca="false">IF(AND(Parameter!$B$19="Ja",E903&lt;&gt;"",ISNUMBER(MATCH(E903,Parameter!$I$35:$I$52,0))),VLOOKUP(E903,Parameter!$I$35:$J$52,2,0),IFERROR(VLOOKUP(D903,Parameter!$A$35:$C$64,2,0),"Nein"))</f>
        <v>2+3</v>
      </c>
      <c r="CE903" s="64" t="n">
        <f aca="false">IF(CA903=0,0,IF(N(S903)&gt;0,S903,IFERROR(VLOOKUP(D903,Parameter!$A$35:$C$64,3,0)+0,0)))</f>
        <v>0</v>
      </c>
      <c r="CF903" s="60" t="n">
        <f aca="false">IF(AB903&lt;&gt;"",AB903,AA903)</f>
        <v>3</v>
      </c>
      <c r="CG903" s="60" t="str">
        <f aca="false">IF(OR(CF903=1,CF903=2,CF903=3),IF(Parameter!$E$27="Ja","LIFT",IF(CF903=1,"L1","L23")),IF(CF903="Aussen","Aussen","-"))</f>
        <v>LIFT</v>
      </c>
      <c r="CH903" s="71" t="n">
        <f aca="false">IF(N(AC903)&gt;0,AC903,0)</f>
        <v>0</v>
      </c>
      <c r="CI903" s="65" t="n">
        <f aca="false">IF(ISNUMBER(AF903),1,0)</f>
        <v>0</v>
      </c>
      <c r="CJ903" s="62" t="n">
        <f aca="false">N(AF903)</f>
        <v>0</v>
      </c>
      <c r="CK903" s="62" t="n">
        <f aca="false">N(M903)+N(N903)</f>
        <v>10</v>
      </c>
      <c r="CL903" s="62" t="n">
        <f aca="false">N(M903)</f>
        <v>0</v>
      </c>
      <c r="CM903" s="62" t="n">
        <f aca="false">N(N903)</f>
        <v>10</v>
      </c>
      <c r="CN903" s="62" t="n">
        <f aca="false">ROUNDUP(H903/BZ903,0)</f>
        <v>1</v>
      </c>
      <c r="CO903" s="62" t="n">
        <f aca="false">ROUNDUP(CJ903/BZ903,0)</f>
        <v>0</v>
      </c>
      <c r="CP903" s="65" t="n">
        <f aca="false">IF(CA903=1,0,IFERROR(VLOOKUP(BY903,'Gebinde-Kategorie'!$A$5:$N$45,5,0)+0,0))</f>
        <v>8</v>
      </c>
      <c r="CQ903" s="65" t="n">
        <f aca="false">IFERROR(IF(OR(CF903=1,CF903=2,CF903=3),N(INDEX(Parameter!$I$5:$I$7,CF903)),0),0)</f>
        <v>0</v>
      </c>
      <c r="CR903" s="64" t="n">
        <f aca="false">IF(AND(Parameter!$B$21="Ja",ISNUMBER(W903),N(X903)&gt;0),IFERROR(N(INDEX(Parameter!$L$5:$L$7,W903))*INDEX(Parameter!$E$5:$E$7,W903)*X903/SUMIFS($X$7:$X$1843,$W$7:$W$1843,W903),0),0)</f>
        <v>0</v>
      </c>
      <c r="CS903" s="62" t="n">
        <f aca="false">IF(AND(OR(CG903="L1",CG903="L23",CG903="LIFT"),H903&gt;0),CC903*IF(CR903&gt;0,CR903*MAX(1,H903/X903),IF(CA903=1,CE903,IF(R903&gt;0,CN903/R903,0))/MAX(0.1,N(Parameter!$M$21))),"")</f>
        <v>2.98076923076923</v>
      </c>
      <c r="CT903" s="64" t="n">
        <f aca="false">IF(CS903="","",J903/H903)</f>
        <v>1.33333333333333</v>
      </c>
      <c r="CU903" s="62" t="n">
        <f aca="false">IF(CS903="","",H903*G903)</f>
        <v>76.26</v>
      </c>
      <c r="CV903" s="63" t="n">
        <f aca="false">IF(CS903="","",(CL903+ROUNDUP(CL903+MAX(CM903,2*(J903/MAX(0.1,N(Einkauf!$C$6))-CL903)),0))/2)</f>
        <v>5</v>
      </c>
      <c r="CW903" s="62" t="n">
        <f aca="false">IF(CS903="","",MAX(0,H903-CV903)*G903)</f>
        <v>12.71</v>
      </c>
      <c r="CX903" s="62" t="n">
        <f aca="false">IF(CS903="","",CS903*MAX(0,1-CV903/H903))</f>
        <v>0.496794871794872</v>
      </c>
      <c r="CY903" s="64" t="n">
        <f aca="false">IF(CS903="","",PERCENTRANK($CS$7:$CS$1843,CS903)+PERCENTRANK($CU$7:$CU$1843,CU903)+1-PERCENTRANK($CT$7:$CT$1843,CT903))</f>
        <v>0.668</v>
      </c>
      <c r="CZ903" s="72" t="n">
        <f aca="false">IF(CS903="","",CHOOSE(MATCH(Einkauf!$C$5,Parameter!$G$23:$G$27,0),CY903,CS903,CU903,-CT903,CW903)+ROW()/1000000000)</f>
        <v>0.668000903</v>
      </c>
    </row>
    <row r="904" customFormat="false" ht="15" hidden="false" customHeight="false" outlineLevel="0" collapsed="false">
      <c r="A904" s="60" t="s">
        <v>1740</v>
      </c>
      <c r="B904" s="60" t="s">
        <v>696</v>
      </c>
      <c r="C904" s="60" t="s">
        <v>206</v>
      </c>
      <c r="D904" s="60" t="s">
        <v>226</v>
      </c>
      <c r="E904" s="60" t="s">
        <v>227</v>
      </c>
      <c r="F904" s="60" t="s">
        <v>260</v>
      </c>
      <c r="G904" s="61" t="n">
        <v>0.06</v>
      </c>
      <c r="H904" s="62" t="n">
        <f aca="false">MAX(0,IF(AND(Parameter!$B$21="Ja",ISNUMBER(Y904)),Y904,IF(Parameter!$B$20="Jahresanfang 2025 + Export",BS904+BR904,BR904)))</f>
        <v>593</v>
      </c>
      <c r="I904" s="62" t="n">
        <f aca="false">H904*G904</f>
        <v>35.58</v>
      </c>
      <c r="J904" s="62" t="n">
        <f aca="false">BU904*Parameter!$B$18</f>
        <v>392</v>
      </c>
      <c r="K904" s="63" t="n">
        <v>993</v>
      </c>
      <c r="L904" s="64" t="n">
        <v>0.394763343403827</v>
      </c>
      <c r="M904" s="62" t="n">
        <v>22</v>
      </c>
      <c r="N904" s="62" t="n">
        <v>400</v>
      </c>
      <c r="O904" s="65" t="n">
        <v>21</v>
      </c>
      <c r="P904" s="60" t="s">
        <v>344</v>
      </c>
      <c r="Q904" s="62" t="n">
        <v>756</v>
      </c>
      <c r="R904" s="65" t="n">
        <f aca="false">IF(CA904=1,0,IFERROR(VLOOKUP(BY904,'Gebinde-Kategorie'!$A$5:$N$45,13,0)+0,0))</f>
        <v>26</v>
      </c>
      <c r="S904" s="66"/>
      <c r="T904" s="67"/>
      <c r="U904" s="67"/>
      <c r="V904" s="67"/>
      <c r="W904" s="60"/>
      <c r="X904" s="62"/>
      <c r="Y904" s="62"/>
      <c r="Z904" s="60" t="n">
        <v>3</v>
      </c>
      <c r="AA904" s="60" t="n">
        <f aca="false">IF(A904="","",IF(AND(Parameter!$B$21="Ja",ISNUMBER(W904)),W904,IF(AND(Parameter!$E$27="Ja",ISNUMBER(Z904),CD904&lt;&gt;"Nein"),Z904,IF(CD904="2+3",IF(ISNUMBER(SEARCH("grosser Artikel",BV904)),2,IFERROR(VLOOKUP(BY904,Parameter!$F$35:$G$64,2,0),2)),IF(OR(CD904="Nein",CD904=""),"-",CD904)))))</f>
        <v>3</v>
      </c>
      <c r="AB904" s="67"/>
      <c r="AC904" s="68"/>
      <c r="AD904" s="62" t="n">
        <f aca="false">AW904</f>
        <v>422</v>
      </c>
      <c r="AE904" s="62" t="n">
        <f aca="false">MAX(AW904,H904)</f>
        <v>593</v>
      </c>
      <c r="AF904" s="69"/>
      <c r="AG904" s="62" t="n">
        <f aca="false">IF(LEFT(Cockpit!$C$5,1)="A",H904,IF(Parameter!$E$30="MAX-Bestand",IF(CI904=1,CJ904,IF(LEFT(Cockpit!$C$5,1)="B",AM904,MAX(AM904,H904))),ROUNDUP(AK904,0)))</f>
        <v>593</v>
      </c>
      <c r="AH904" s="62" t="n">
        <f aca="false">IF(CA904=1,0,ROUNDUP(AG904/BZ904,0))</f>
        <v>1</v>
      </c>
      <c r="AI904" s="64" t="n">
        <f aca="false">IF(CR904&gt;0,CR904*MAX(1,AG904/X904),IF(CA904=1,IF(AG904&lt;=0,0,CE904*MAX(1,IF(H904&gt;0,AG904/H904,1))),IF(R904&gt;0,AH904/R904,0))/MAX(0.1,N(Parameter!$M$21)))</f>
        <v>0.0384615384615385</v>
      </c>
      <c r="AJ904" s="62" t="n">
        <f aca="false">AI904*CC904</f>
        <v>5.96153846153846</v>
      </c>
      <c r="AK904" s="63" t="n">
        <f aca="false">IF(LEFT(Cockpit!$C$5,1)="A",H904,IF(CI904=1,(CL904+CJ904)/2,IF(LEFT(Cockpit!$C$5,1)="B",(CL904+AM904)/2,MAX((CL904+AM904)/2,H904))))</f>
        <v>593</v>
      </c>
      <c r="AL904" s="62" t="n">
        <f aca="false">AK904*G904</f>
        <v>35.58</v>
      </c>
      <c r="AM904" s="62" t="n">
        <f aca="false">ROUNDUP(CL904+MAX(CM904,2*(J904/IF(CH904&gt;0,CH904,MAX(0.1,N(Cockpit!$C$6)))-CL904)),0)</f>
        <v>422</v>
      </c>
      <c r="AN904" s="63" t="n">
        <f aca="false">IF(AJ904&gt;0,J904/AJ904,-1)</f>
        <v>65.7548387096774</v>
      </c>
      <c r="AO904" s="63" t="n">
        <f aca="false">IF(AND(OR(CG904="L1",CG904="L23",CG904="LIFT"),AJ904&gt;0),SUMIFS($AJ$7:$AJ$1843,$CG$7:$CG$1843,CG904,$AN$7:$AN$1843,"&gt;"&amp;AN904)+SUMIFS($AJ$7:$AJ$1843,$CG$7:$CG$1843,CG904,$AN$7:$AN$1843,AN904,$BX$7:$BX$1843,"&lt;="&amp;BX904),"")</f>
        <v>928.740384615385</v>
      </c>
      <c r="AP904" s="70" t="n">
        <f aca="false">IF(AO904="",0,MAX(0,MIN(1,(IF(CG904="L1",Parameter!$H$5,IF(CG904="L23",Parameter!$H$6+Parameter!$H$7,Parameter!$H$5+Parameter!$H$6+Parameter!$H$7))-(AO904-AJ904))/AJ904)))</f>
        <v>1</v>
      </c>
      <c r="AQ904" s="62" t="n">
        <f aca="false">IF(LEFT(Cockpit!$I$5,1)="A",H904,IF(Parameter!$E$30="MAX-Bestand",IF(CI904=1,CJ904,IF(LEFT(Cockpit!$I$5,1)="B",AW904,MAX(AW904,H904))),ROUNDUP(AU904,0)))</f>
        <v>593</v>
      </c>
      <c r="AR904" s="62" t="n">
        <f aca="false">IF(CA904=1,0,ROUNDUP(AQ904/BZ904,0))</f>
        <v>1</v>
      </c>
      <c r="AS904" s="64" t="n">
        <f aca="false">IF(CR904&gt;0,CR904*MAX(1,AQ904/X904),IF(CA904=1,IF(AQ904&lt;=0,0,CE904*MAX(1,IF(H904&gt;0,AQ904/H904,1))),IF(R904&gt;0,AR904/R904,0))/MAX(0.1,N(Parameter!$M$21)))</f>
        <v>0.0384615384615385</v>
      </c>
      <c r="AT904" s="62" t="n">
        <f aca="false">AS904*CC904</f>
        <v>5.96153846153846</v>
      </c>
      <c r="AU904" s="63" t="n">
        <f aca="false">IF(LEFT(Cockpit!$I$5,1)="A",H904,IF(CI904=1,(CL904+CJ904)/2,IF(LEFT(Cockpit!$I$5,1)="B",(CL904+AW904)/2,MAX((CL904+AW904)/2,H904))))</f>
        <v>593</v>
      </c>
      <c r="AV904" s="62" t="n">
        <f aca="false">AU904*G904</f>
        <v>35.58</v>
      </c>
      <c r="AW904" s="62" t="n">
        <f aca="false">ROUNDUP(CL904+MAX(CM904,2*(J904/IF(CH904&gt;0,CH904,MAX(0.1,N(Cockpit!$I$6)))-CL904)),0)</f>
        <v>422</v>
      </c>
      <c r="AX904" s="63" t="n">
        <f aca="false">IF(AT904&gt;0,J904/AT904,-1)</f>
        <v>65.7548387096774</v>
      </c>
      <c r="AY904" s="63" t="n">
        <f aca="false">IF(AND(OR(CG904="L1",CG904="L23",CG904="LIFT"),AT904&gt;0),SUMIFS($AT$7:$AT$1843,$CG$7:$CG$1843,CG904,$AX$7:$AX$1843,"&gt;"&amp;AX904)+SUMIFS($AT$7:$AT$1843,$CG$7:$CG$1843,CG904,$AX$7:$AX$1843,AX904,$BX$7:$BX$1843,"&lt;="&amp;BX904),"")</f>
        <v>1140.54532967033</v>
      </c>
      <c r="AZ904" s="70" t="n">
        <f aca="false">IF(AY904="",0,MAX(0,MIN(1,(IF(CG904="L1",Parameter!$H$5,IF(CG904="L23",Parameter!$H$6+Parameter!$H$7,Parameter!$H$5+Parameter!$H$6+Parameter!$H$7))-(AY904-AT904))/AT904)))</f>
        <v>1</v>
      </c>
      <c r="BA904" s="62" t="n">
        <f aca="false">IF(LEFT(Cockpit!$O$5,1)="A",H904,IF(Parameter!$E$30="MAX-Bestand",IF(CI904=1,CJ904,IF(LEFT(Cockpit!$O$5,1)="B",BG904,MAX(BG904,H904))),ROUNDUP(BE904,0)))</f>
        <v>222</v>
      </c>
      <c r="BB904" s="62" t="n">
        <f aca="false">IF(CA904=1,0,ROUNDUP(BA904/BZ904,0))</f>
        <v>1</v>
      </c>
      <c r="BC904" s="64" t="n">
        <f aca="false">IF(CR904&gt;0,CR904*MAX(1,BA904/X904),IF(CA904=1,IF(BA904&lt;=0,0,CE904*MAX(1,IF(H904&gt;0,BA904/H904,1))),IF(R904&gt;0,BB904/R904,0))/MAX(0.1,N(Parameter!$M$21)))</f>
        <v>0.0384615384615385</v>
      </c>
      <c r="BD904" s="62" t="n">
        <f aca="false">BC904*CC904</f>
        <v>5.96153846153846</v>
      </c>
      <c r="BE904" s="63" t="n">
        <f aca="false">IF(LEFT(Cockpit!$O$5,1)="A",H904,IF(CI904=1,(CL904+CJ904)/2,IF(LEFT(Cockpit!$O$5,1)="B",(CL904+BG904)/2,MAX((CL904+BG904)/2,H904))))</f>
        <v>222</v>
      </c>
      <c r="BF904" s="62" t="n">
        <f aca="false">BE904*G904</f>
        <v>13.32</v>
      </c>
      <c r="BG904" s="62" t="n">
        <f aca="false">ROUNDUP(CL904+MAX(CM904,2*(J904/IF(CH904&gt;0,CH904,MAX(0.1,N(Cockpit!$O$6)))-CL904)),0)</f>
        <v>422</v>
      </c>
      <c r="BH904" s="63" t="n">
        <f aca="false">IF(BD904&gt;0,J904/BD904,-1)</f>
        <v>65.7548387096774</v>
      </c>
      <c r="BI904" s="63" t="n">
        <f aca="false">IF(AND(OR(CG904="L1",CG904="L23",CG904="LIFT"),BD904&gt;0),SUMIFS($BD$7:$BD$1843,$CG$7:$CG$1843,CG904,$BH$7:$BH$1843,"&gt;"&amp;BH904)+SUMIFS($BD$7:$BD$1843,$CG$7:$CG$1843,CG904,$BH$7:$BH$1843,BH904,$BX$7:$BX$1843,"&lt;="&amp;BX904),"")</f>
        <v>1039.90476190476</v>
      </c>
      <c r="BJ904" s="70" t="n">
        <f aca="false">IF(BI904="",0,MAX(0,MIN(1,(IF(CG904="L1",Parameter!$H$5,IF(CG904="L23",Parameter!$H$6+Parameter!$H$7,Parameter!$H$5+Parameter!$H$6+Parameter!$H$7))-(BI904-BD904))/BD904)))</f>
        <v>1</v>
      </c>
      <c r="BK904" s="60" t="str">
        <f aca="false">IF(AJ904&lt;=0,"",IF(CG904="Aussen","Aussenlager",IF(CG904="-","Nicht im Lift",IF(AP904&gt;=1,"Lift",IF(AP904&lt;=0,"Aussenlager","teilweise")))))</f>
        <v>Lift</v>
      </c>
      <c r="BL904" s="60" t="str">
        <f aca="false">IF(AT904&lt;=0,"",IF(CG904="Aussen","Aussenlager",IF(CG904="-","Nicht im Lift",IF(AZ904&gt;=1,"Lift",IF(AZ904&lt;=0,"Aussenlager","teilweise")))))</f>
        <v>Lift</v>
      </c>
      <c r="BM904" s="60" t="str">
        <f aca="false">IF(BD904&lt;=0,"",IF(CG904="Aussen","Aussenlager",IF(CG904="-","Nicht im Lift",IF(BJ904&gt;=1,"Lift",IF(BJ904&lt;=0,"Aussenlager","teilweise")))))</f>
        <v>Lift</v>
      </c>
      <c r="BN904" s="60" t="str">
        <f aca="false">IF(A904="","",IF(BW904=1,"Neu; ","")&amp;IF(AND(BW904=0,BR904&lt;0),"negativer Bestand (Export "&amp;BR904&amp;"); ","")&amp;IF(J904&lt;=0,"Kein Verbrauch; ","")&amp;IF(CR904&gt;0,"Lift "&amp;W904&amp;" lt. Liftbericht (Fach "&amp;X904&amp;" Stk); ",IF(CB904=1,"Gebinde geschätzt ("&amp;T904&amp;"); ",IF(CA904=1,"Lose – Tablare geschätzt; ","")))&amp;IF(H904&gt;AW904,"Überbestand "&amp;ROUND(H904-AW904,0)&amp;" Stk / CHF "&amp;ROUND((H904-AW904)*G904,0)&amp;"; ","")&amp;IF(AND(CI904=1,CJ904&lt;CK904),"MAX &lt; MB+LG; ","")&amp;IF(AND(CQ904&gt;0,CP904*10&gt;CQ904),"zu hoch für Tablar; ","")&amp;IF(AND(BW904=0,OR(CI904=1,AB904&lt;&gt;"",U904&lt;&gt;"",V904&lt;&gt;"",AC904&lt;&gt;"")),"manuell übersteuert; ","")&amp;IF(AND(CA904=0,R904=0),"Gebinde unbekannt / Stellmass fehlt; ","")&amp;IF(AND(CA904=0,N(V904)&lt;=0,N(Q904)&lt;=0),"Menge pro Gebinde fehlt (Ist = 1 Gebinde); ","")&amp;BV904)</f>
        <v>negativer Bestand (Export -600); Überbestand 171 Stk / CHF 10; </v>
      </c>
      <c r="BO904" s="60"/>
      <c r="BP904" s="60"/>
      <c r="BQ904" s="67"/>
      <c r="BR904" s="62" t="n">
        <v>-600</v>
      </c>
      <c r="BS904" s="62" t="n">
        <v>1193</v>
      </c>
      <c r="BT904" s="61" t="n">
        <v>-36</v>
      </c>
      <c r="BU904" s="62" t="n">
        <v>392</v>
      </c>
      <c r="BV904" s="60"/>
      <c r="BW904" s="65" t="n">
        <v>0</v>
      </c>
      <c r="BX904" s="65" t="n">
        <v>904</v>
      </c>
      <c r="BY904" s="60" t="str">
        <f aca="false">IF(U904&lt;&gt;"",UPPER(TRIM(U904)),IF(CB904=1,UPPER(VLOOKUP(T904,Parameter!$I$27:$K$29,2,0)),IF(P904="","LOSE",P904)))</f>
        <v>S51</v>
      </c>
      <c r="BZ904" s="62" t="n">
        <f aca="false">IF(BY904="LOSE",1,IF(N(V904)&gt;0,V904,IF(CB904=1,MAX(1,N(VLOOKUP(T904,Parameter!$I$27:$K$29,3,0)),H904,N(N904)),IF(N(Q904)&gt;0,Q904,MAX(1,H904)))))</f>
        <v>756</v>
      </c>
      <c r="CA904" s="65" t="n">
        <f aca="false">IF(BY904="LOSE",1,0)</f>
        <v>0</v>
      </c>
      <c r="CB904" s="65" t="n">
        <f aca="false">IF(AND(U904="",OR(P904="",P904="LOSE"),T904&lt;&gt;"",N(S904)&lt;=0,ISNUMBER(MATCH(T904,Parameter!$I$27:$I$29,0))),1,0)</f>
        <v>0</v>
      </c>
      <c r="CC904" s="65" t="n">
        <f aca="false">IF(CR904&gt;0,INDEX(Parameter!$H$5:$H$7,W904)/INDEX(Parameter!$E$5:$E$7,W904),IF(AND(CA904=0,N(IFERROR(VLOOKUP(BY904,'Gebinde-Kategorie'!$A$5:$N$45,14,0),0))&gt;0),VLOOKUP(BY904,'Gebinde-Kategorie'!$A$5:$N$45,14,0)*10+Parameter!$M$23,Parameter!$M$24))</f>
        <v>155</v>
      </c>
      <c r="CD904" s="60" t="str">
        <f aca="false">IF(AND(Parameter!$B$19="Ja",E904&lt;&gt;"",ISNUMBER(MATCH(E904,Parameter!$I$35:$I$52,0))),VLOOKUP(E904,Parameter!$I$35:$J$52,2,0),IFERROR(VLOOKUP(D904,Parameter!$A$35:$C$64,2,0),"Nein"))</f>
        <v>2+3</v>
      </c>
      <c r="CE904" s="64" t="n">
        <f aca="false">IF(CA904=0,0,IF(N(S904)&gt;0,S904,IFERROR(VLOOKUP(D904,Parameter!$A$35:$C$64,3,0)+0,0)))</f>
        <v>0</v>
      </c>
      <c r="CF904" s="60" t="n">
        <f aca="false">IF(AB904&lt;&gt;"",AB904,AA904)</f>
        <v>3</v>
      </c>
      <c r="CG904" s="60" t="str">
        <f aca="false">IF(OR(CF904=1,CF904=2,CF904=3),IF(Parameter!$E$27="Ja","LIFT",IF(CF904=1,"L1","L23")),IF(CF904="Aussen","Aussen","-"))</f>
        <v>LIFT</v>
      </c>
      <c r="CH904" s="71" t="n">
        <f aca="false">IF(N(AC904)&gt;0,AC904,0)</f>
        <v>0</v>
      </c>
      <c r="CI904" s="65" t="n">
        <f aca="false">IF(ISNUMBER(AF904),1,0)</f>
        <v>0</v>
      </c>
      <c r="CJ904" s="62" t="n">
        <f aca="false">N(AF904)</f>
        <v>0</v>
      </c>
      <c r="CK904" s="62" t="n">
        <f aca="false">N(M904)+N(N904)</f>
        <v>422</v>
      </c>
      <c r="CL904" s="62" t="n">
        <f aca="false">N(M904)</f>
        <v>22</v>
      </c>
      <c r="CM904" s="62" t="n">
        <f aca="false">N(N904)</f>
        <v>400</v>
      </c>
      <c r="CN904" s="62" t="n">
        <f aca="false">ROUNDUP(H904/BZ904,0)</f>
        <v>1</v>
      </c>
      <c r="CO904" s="62" t="n">
        <f aca="false">ROUNDUP(CJ904/BZ904,0)</f>
        <v>0</v>
      </c>
      <c r="CP904" s="65" t="n">
        <f aca="false">IF(CA904=1,0,IFERROR(VLOOKUP(BY904,'Gebinde-Kategorie'!$A$5:$N$45,5,0)+0,0))</f>
        <v>11</v>
      </c>
      <c r="CQ904" s="65" t="n">
        <f aca="false">IFERROR(IF(OR(CF904=1,CF904=2,CF904=3),N(INDEX(Parameter!$I$5:$I$7,CF904)),0),0)</f>
        <v>0</v>
      </c>
      <c r="CR904" s="64" t="n">
        <f aca="false">IF(AND(Parameter!$B$21="Ja",ISNUMBER(W904),N(X904)&gt;0),IFERROR(N(INDEX(Parameter!$L$5:$L$7,W904))*INDEX(Parameter!$E$5:$E$7,W904)*X904/SUMIFS($X$7:$X$1843,$W$7:$W$1843,W904),0),0)</f>
        <v>0</v>
      </c>
      <c r="CS904" s="62" t="n">
        <f aca="false">IF(AND(OR(CG904="L1",CG904="L23",CG904="LIFT"),H904&gt;0),CC904*IF(CR904&gt;0,CR904*MAX(1,H904/X904),IF(CA904=1,CE904,IF(R904&gt;0,CN904/R904,0))/MAX(0.1,N(Parameter!$M$21))),"")</f>
        <v>5.96153846153846</v>
      </c>
      <c r="CT904" s="64" t="n">
        <f aca="false">IF(CS904="","",J904/H904)</f>
        <v>0.661045531197302</v>
      </c>
      <c r="CU904" s="62" t="n">
        <f aca="false">IF(CS904="","",H904*G904)</f>
        <v>35.58</v>
      </c>
      <c r="CV904" s="63" t="n">
        <f aca="false">IF(CS904="","",(CL904+ROUNDUP(CL904+MAX(CM904,2*(J904/MAX(0.1,N(Einkauf!$C$6))-CL904)),0))/2)</f>
        <v>222</v>
      </c>
      <c r="CW904" s="62" t="n">
        <f aca="false">IF(CS904="","",MAX(0,H904-CV904)*G904)</f>
        <v>22.26</v>
      </c>
      <c r="CX904" s="62" t="n">
        <f aca="false">IF(CS904="","",CS904*MAX(0,1-CV904/H904))</f>
        <v>3.72973148268258</v>
      </c>
      <c r="CY904" s="64" t="n">
        <f aca="false">IF(CS904="","",PERCENTRANK($CS$7:$CS$1843,CS904)+PERCENTRANK($CU$7:$CU$1843,CU904)+1-PERCENTRANK($CT$7:$CT$1843,CT904))</f>
        <v>0.903</v>
      </c>
      <c r="CZ904" s="72" t="n">
        <f aca="false">IF(CS904="","",CHOOSE(MATCH(Einkauf!$C$5,Parameter!$G$23:$G$27,0),CY904,CS904,CU904,-CT904,CW904)+ROW()/1000000000)</f>
        <v>0.903000904</v>
      </c>
    </row>
    <row r="905" customFormat="false" ht="15" hidden="false" customHeight="false" outlineLevel="0" collapsed="false">
      <c r="A905" s="60" t="s">
        <v>1741</v>
      </c>
      <c r="B905" s="60" t="s">
        <v>1742</v>
      </c>
      <c r="C905" s="60" t="s">
        <v>206</v>
      </c>
      <c r="D905" s="60" t="s">
        <v>226</v>
      </c>
      <c r="E905" s="60" t="s">
        <v>227</v>
      </c>
      <c r="F905" s="60" t="s">
        <v>260</v>
      </c>
      <c r="G905" s="61" t="n">
        <v>0.04</v>
      </c>
      <c r="H905" s="62" t="n">
        <f aca="false">MAX(0,IF(AND(Parameter!$B$21="Ja",ISNUMBER(Y905)),Y905,IF(Parameter!$B$20="Jahresanfang 2025 + Export",BS905+BR905,BR905)))</f>
        <v>263</v>
      </c>
      <c r="I905" s="62" t="n">
        <f aca="false">H905*G905</f>
        <v>10.52</v>
      </c>
      <c r="J905" s="62" t="n">
        <f aca="false">BU905*Parameter!$B$18</f>
        <v>600</v>
      </c>
      <c r="K905" s="63" t="n">
        <v>1164</v>
      </c>
      <c r="L905" s="64" t="n">
        <v>0.515463917525773</v>
      </c>
      <c r="M905" s="62" t="n">
        <v>46</v>
      </c>
      <c r="N905" s="62" t="n">
        <v>600</v>
      </c>
      <c r="O905" s="65" t="n">
        <v>28</v>
      </c>
      <c r="P905" s="60" t="s">
        <v>443</v>
      </c>
      <c r="Q905" s="62" t="n">
        <v>2242</v>
      </c>
      <c r="R905" s="65" t="n">
        <f aca="false">IF(CA905=1,0,IFERROR(VLOOKUP(BY905,'Gebinde-Kategorie'!$A$5:$N$45,13,0)+0,0))</f>
        <v>280</v>
      </c>
      <c r="S905" s="66"/>
      <c r="T905" s="67"/>
      <c r="U905" s="67"/>
      <c r="V905" s="67"/>
      <c r="W905" s="60"/>
      <c r="X905" s="62"/>
      <c r="Y905" s="62"/>
      <c r="Z905" s="60" t="n">
        <v>1</v>
      </c>
      <c r="AA905" s="60" t="n">
        <f aca="false">IF(A905="","",IF(AND(Parameter!$B$21="Ja",ISNUMBER(W905)),W905,IF(AND(Parameter!$E$27="Ja",ISNUMBER(Z905),CD905&lt;&gt;"Nein"),Z905,IF(CD905="2+3",IF(ISNUMBER(SEARCH("grosser Artikel",BV905)),2,IFERROR(VLOOKUP(BY905,Parameter!$F$35:$G$64,2,0),2)),IF(OR(CD905="Nein",CD905=""),"-",CD905)))))</f>
        <v>1</v>
      </c>
      <c r="AB905" s="67"/>
      <c r="AC905" s="68"/>
      <c r="AD905" s="62" t="n">
        <f aca="false">AW905</f>
        <v>646</v>
      </c>
      <c r="AE905" s="62" t="n">
        <f aca="false">MAX(AW905,H905)</f>
        <v>646</v>
      </c>
      <c r="AF905" s="69"/>
      <c r="AG905" s="62" t="n">
        <f aca="false">IF(LEFT(Cockpit!$C$5,1)="A",H905,IF(Parameter!$E$30="MAX-Bestand",IF(CI905=1,CJ905,IF(LEFT(Cockpit!$C$5,1)="B",AM905,MAX(AM905,H905))),ROUNDUP(AK905,0)))</f>
        <v>263</v>
      </c>
      <c r="AH905" s="62" t="n">
        <f aca="false">IF(CA905=1,0,ROUNDUP(AG905/BZ905,0))</f>
        <v>1</v>
      </c>
      <c r="AI905" s="64" t="n">
        <f aca="false">IF(CR905&gt;0,CR905*MAX(1,AG905/X905),IF(CA905=1,IF(AG905&lt;=0,0,CE905*MAX(1,IF(H905&gt;0,AG905/H905,1))),IF(R905&gt;0,AH905/R905,0))/MAX(0.1,N(Parameter!$M$21)))</f>
        <v>0.00357142857142857</v>
      </c>
      <c r="AJ905" s="62" t="n">
        <f aca="false">AI905*CC905</f>
        <v>0.553571428571429</v>
      </c>
      <c r="AK905" s="63" t="n">
        <f aca="false">IF(LEFT(Cockpit!$C$5,1)="A",H905,IF(CI905=1,(CL905+CJ905)/2,IF(LEFT(Cockpit!$C$5,1)="B",(CL905+AM905)/2,MAX((CL905+AM905)/2,H905))))</f>
        <v>263</v>
      </c>
      <c r="AL905" s="62" t="n">
        <f aca="false">AK905*G905</f>
        <v>10.52</v>
      </c>
      <c r="AM905" s="62" t="n">
        <f aca="false">ROUNDUP(CL905+MAX(CM905,2*(J905/IF(CH905&gt;0,CH905,MAX(0.1,N(Cockpit!$C$6)))-CL905)),0)</f>
        <v>646</v>
      </c>
      <c r="AN905" s="63" t="n">
        <f aca="false">IF(AJ905&gt;0,J905/AJ905,-1)</f>
        <v>1083.87096774194</v>
      </c>
      <c r="AO905" s="63" t="n">
        <f aca="false">IF(AND(OR(CG905="L1",CG905="L23",CG905="LIFT"),AJ905&gt;0),SUMIFS($AJ$7:$AJ$1843,$CG$7:$CG$1843,CG905,$AN$7:$AN$1843,"&gt;"&amp;AN905)+SUMIFS($AJ$7:$AJ$1843,$CG$7:$CG$1843,CG905,$AN$7:$AN$1843,AN905,$BX$7:$BX$1843,"&lt;="&amp;BX905),"")</f>
        <v>13.0302197802198</v>
      </c>
      <c r="AP905" s="70" t="n">
        <f aca="false">IF(AO905="",0,MAX(0,MIN(1,(IF(CG905="L1",Parameter!$H$5,IF(CG905="L23",Parameter!$H$6+Parameter!$H$7,Parameter!$H$5+Parameter!$H$6+Parameter!$H$7))-(AO905-AJ905))/AJ905)))</f>
        <v>1</v>
      </c>
      <c r="AQ905" s="62" t="n">
        <f aca="false">IF(LEFT(Cockpit!$I$5,1)="A",H905,IF(Parameter!$E$30="MAX-Bestand",IF(CI905=1,CJ905,IF(LEFT(Cockpit!$I$5,1)="B",AW905,MAX(AW905,H905))),ROUNDUP(AU905,0)))</f>
        <v>346</v>
      </c>
      <c r="AR905" s="62" t="n">
        <f aca="false">IF(CA905=1,0,ROUNDUP(AQ905/BZ905,0))</f>
        <v>1</v>
      </c>
      <c r="AS905" s="64" t="n">
        <f aca="false">IF(CR905&gt;0,CR905*MAX(1,AQ905/X905),IF(CA905=1,IF(AQ905&lt;=0,0,CE905*MAX(1,IF(H905&gt;0,AQ905/H905,1))),IF(R905&gt;0,AR905/R905,0))/MAX(0.1,N(Parameter!$M$21)))</f>
        <v>0.00357142857142857</v>
      </c>
      <c r="AT905" s="62" t="n">
        <f aca="false">AS905*CC905</f>
        <v>0.553571428571429</v>
      </c>
      <c r="AU905" s="63" t="n">
        <f aca="false">IF(LEFT(Cockpit!$I$5,1)="A",H905,IF(CI905=1,(CL905+CJ905)/2,IF(LEFT(Cockpit!$I$5,1)="B",(CL905+AW905)/2,MAX((CL905+AW905)/2,H905))))</f>
        <v>346</v>
      </c>
      <c r="AV905" s="62" t="n">
        <f aca="false">AU905*G905</f>
        <v>13.84</v>
      </c>
      <c r="AW905" s="62" t="n">
        <f aca="false">ROUNDUP(CL905+MAX(CM905,2*(J905/IF(CH905&gt;0,CH905,MAX(0.1,N(Cockpit!$I$6)))-CL905)),0)</f>
        <v>646</v>
      </c>
      <c r="AX905" s="63" t="n">
        <f aca="false">IF(AT905&gt;0,J905/AT905,-1)</f>
        <v>1083.87096774194</v>
      </c>
      <c r="AY905" s="63" t="n">
        <f aca="false">IF(AND(OR(CG905="L1",CG905="L23",CG905="LIFT"),AT905&gt;0),SUMIFS($AT$7:$AT$1843,$CG$7:$CG$1843,CG905,$AX$7:$AX$1843,"&gt;"&amp;AX905)+SUMIFS($AT$7:$AT$1843,$CG$7:$CG$1843,CG905,$AX$7:$AX$1843,AX905,$BX$7:$BX$1843,"&lt;="&amp;BX905),"")</f>
        <v>6.51510989010989</v>
      </c>
      <c r="AZ905" s="70" t="n">
        <f aca="false">IF(AY905="",0,MAX(0,MIN(1,(IF(CG905="L1",Parameter!$H$5,IF(CG905="L23",Parameter!$H$6+Parameter!$H$7,Parameter!$H$5+Parameter!$H$6+Parameter!$H$7))-(AY905-AT905))/AT905)))</f>
        <v>1</v>
      </c>
      <c r="BA905" s="62" t="n">
        <f aca="false">IF(LEFT(Cockpit!$O$5,1)="A",H905,IF(Parameter!$E$30="MAX-Bestand",IF(CI905=1,CJ905,IF(LEFT(Cockpit!$O$5,1)="B",BG905,MAX(BG905,H905))),ROUNDUP(BE905,0)))</f>
        <v>346</v>
      </c>
      <c r="BB905" s="62" t="n">
        <f aca="false">IF(CA905=1,0,ROUNDUP(BA905/BZ905,0))</f>
        <v>1</v>
      </c>
      <c r="BC905" s="64" t="n">
        <f aca="false">IF(CR905&gt;0,CR905*MAX(1,BA905/X905),IF(CA905=1,IF(BA905&lt;=0,0,CE905*MAX(1,IF(H905&gt;0,BA905/H905,1))),IF(R905&gt;0,BB905/R905,0))/MAX(0.1,N(Parameter!$M$21)))</f>
        <v>0.00357142857142857</v>
      </c>
      <c r="BD905" s="62" t="n">
        <f aca="false">BC905*CC905</f>
        <v>0.553571428571429</v>
      </c>
      <c r="BE905" s="63" t="n">
        <f aca="false">IF(LEFT(Cockpit!$O$5,1)="A",H905,IF(CI905=1,(CL905+CJ905)/2,IF(LEFT(Cockpit!$O$5,1)="B",(CL905+BG905)/2,MAX((CL905+BG905)/2,H905))))</f>
        <v>346</v>
      </c>
      <c r="BF905" s="62" t="n">
        <f aca="false">BE905*G905</f>
        <v>13.84</v>
      </c>
      <c r="BG905" s="62" t="n">
        <f aca="false">ROUNDUP(CL905+MAX(CM905,2*(J905/IF(CH905&gt;0,CH905,MAX(0.1,N(Cockpit!$O$6)))-CL905)),0)</f>
        <v>646</v>
      </c>
      <c r="BH905" s="63" t="n">
        <f aca="false">IF(BD905&gt;0,J905/BD905,-1)</f>
        <v>1083.87096774194</v>
      </c>
      <c r="BI905" s="63" t="n">
        <f aca="false">IF(AND(OR(CG905="L1",CG905="L23",CG905="LIFT"),BD905&gt;0),SUMIFS($BD$7:$BD$1843,$CG$7:$CG$1843,CG905,$BH$7:$BH$1843,"&gt;"&amp;BH905)+SUMIFS($BD$7:$BD$1843,$CG$7:$CG$1843,CG905,$BH$7:$BH$1843,BH905,$BX$7:$BX$1843,"&lt;="&amp;BX905),"")</f>
        <v>8.55906593406593</v>
      </c>
      <c r="BJ905" s="70" t="n">
        <f aca="false">IF(BI905="",0,MAX(0,MIN(1,(IF(CG905="L1",Parameter!$H$5,IF(CG905="L23",Parameter!$H$6+Parameter!$H$7,Parameter!$H$5+Parameter!$H$6+Parameter!$H$7))-(BI905-BD905))/BD905)))</f>
        <v>1</v>
      </c>
      <c r="BK905" s="60" t="str">
        <f aca="false">IF(AJ905&lt;=0,"",IF(CG905="Aussen","Aussenlager",IF(CG905="-","Nicht im Lift",IF(AP905&gt;=1,"Lift",IF(AP905&lt;=0,"Aussenlager","teilweise")))))</f>
        <v>Lift</v>
      </c>
      <c r="BL905" s="60" t="str">
        <f aca="false">IF(AT905&lt;=0,"",IF(CG905="Aussen","Aussenlager",IF(CG905="-","Nicht im Lift",IF(AZ905&gt;=1,"Lift",IF(AZ905&lt;=0,"Aussenlager","teilweise")))))</f>
        <v>Lift</v>
      </c>
      <c r="BM905" s="60" t="str">
        <f aca="false">IF(BD905&lt;=0,"",IF(CG905="Aussen","Aussenlager",IF(CG905="-","Nicht im Lift",IF(BJ905&gt;=1,"Lift",IF(BJ905&lt;=0,"Aussenlager","teilweise")))))</f>
        <v>Lift</v>
      </c>
      <c r="BN905" s="60" t="str">
        <f aca="false">IF(A905="","",IF(BW905=1,"Neu; ","")&amp;IF(AND(BW905=0,BR905&lt;0),"negativer Bestand (Export "&amp;BR905&amp;"); ","")&amp;IF(J905&lt;=0,"Kein Verbrauch; ","")&amp;IF(CR905&gt;0,"Lift "&amp;W905&amp;" lt. Liftbericht (Fach "&amp;X905&amp;" Stk); ",IF(CB905=1,"Gebinde geschätzt ("&amp;T905&amp;"); ",IF(CA905=1,"Lose – Tablare geschätzt; ","")))&amp;IF(H905&gt;AW905,"Überbestand "&amp;ROUND(H905-AW905,0)&amp;" Stk / CHF "&amp;ROUND((H905-AW905)*G905,0)&amp;"; ","")&amp;IF(AND(CI905=1,CJ905&lt;CK905),"MAX &lt; MB+LG; ","")&amp;IF(AND(CQ905&gt;0,CP905*10&gt;CQ905),"zu hoch für Tablar; ","")&amp;IF(AND(BW905=0,OR(CI905=1,AB905&lt;&gt;"",U905&lt;&gt;"",V905&lt;&gt;"",AC905&lt;&gt;"")),"manuell übersteuert; ","")&amp;IF(AND(CA905=0,R905=0),"Gebinde unbekannt / Stellmass fehlt; ","")&amp;IF(AND(CA905=0,N(V905)&lt;=0,N(Q905)&lt;=0),"Menge pro Gebinde fehlt (Ist = 1 Gebinde); ","")&amp;BV905)</f>
        <v>negativer Bestand (Export -1257); Handlager</v>
      </c>
      <c r="BO905" s="60"/>
      <c r="BP905" s="60"/>
      <c r="BQ905" s="67"/>
      <c r="BR905" s="62" t="n">
        <v>-1257</v>
      </c>
      <c r="BS905" s="62" t="n">
        <v>1520</v>
      </c>
      <c r="BT905" s="61" t="n">
        <v>-36.28</v>
      </c>
      <c r="BU905" s="62" t="n">
        <v>600</v>
      </c>
      <c r="BV905" s="60" t="s">
        <v>937</v>
      </c>
      <c r="BW905" s="65" t="n">
        <v>0</v>
      </c>
      <c r="BX905" s="65" t="n">
        <v>905</v>
      </c>
      <c r="BY905" s="60" t="str">
        <f aca="false">IF(U905&lt;&gt;"",UPPER(TRIM(U905)),IF(CB905=1,UPPER(VLOOKUP(T905,Parameter!$I$27:$K$29,2,0)),IF(P905="","LOSE",P905)))</f>
        <v>S21</v>
      </c>
      <c r="BZ905" s="62" t="n">
        <f aca="false">IF(BY905="LOSE",1,IF(N(V905)&gt;0,V905,IF(CB905=1,MAX(1,N(VLOOKUP(T905,Parameter!$I$27:$K$29,3,0)),H905,N(N905)),IF(N(Q905)&gt;0,Q905,MAX(1,H905)))))</f>
        <v>2242</v>
      </c>
      <c r="CA905" s="65" t="n">
        <f aca="false">IF(BY905="LOSE",1,0)</f>
        <v>0</v>
      </c>
      <c r="CB905" s="65" t="n">
        <f aca="false">IF(AND(U905="",OR(P905="",P905="LOSE"),T905&lt;&gt;"",N(S905)&lt;=0,ISNUMBER(MATCH(T905,Parameter!$I$27:$I$29,0))),1,0)</f>
        <v>0</v>
      </c>
      <c r="CC905" s="65" t="n">
        <f aca="false">IF(CR905&gt;0,INDEX(Parameter!$H$5:$H$7,W905)/INDEX(Parameter!$E$5:$E$7,W905),IF(AND(CA905=0,N(IFERROR(VLOOKUP(BY905,'Gebinde-Kategorie'!$A$5:$N$45,14,0),0))&gt;0),VLOOKUP(BY905,'Gebinde-Kategorie'!$A$5:$N$45,14,0)*10+Parameter!$M$23,Parameter!$M$24))</f>
        <v>155</v>
      </c>
      <c r="CD905" s="60" t="str">
        <f aca="false">IF(AND(Parameter!$B$19="Ja",E905&lt;&gt;"",ISNUMBER(MATCH(E905,Parameter!$I$35:$I$52,0))),VLOOKUP(E905,Parameter!$I$35:$J$52,2,0),IFERROR(VLOOKUP(D905,Parameter!$A$35:$C$64,2,0),"Nein"))</f>
        <v>2+3</v>
      </c>
      <c r="CE905" s="64" t="n">
        <f aca="false">IF(CA905=0,0,IF(N(S905)&gt;0,S905,IFERROR(VLOOKUP(D905,Parameter!$A$35:$C$64,3,0)+0,0)))</f>
        <v>0</v>
      </c>
      <c r="CF905" s="60" t="n">
        <f aca="false">IF(AB905&lt;&gt;"",AB905,AA905)</f>
        <v>1</v>
      </c>
      <c r="CG905" s="60" t="str">
        <f aca="false">IF(OR(CF905=1,CF905=2,CF905=3),IF(Parameter!$E$27="Ja","LIFT",IF(CF905=1,"L1","L23")),IF(CF905="Aussen","Aussen","-"))</f>
        <v>LIFT</v>
      </c>
      <c r="CH905" s="71" t="n">
        <f aca="false">IF(N(AC905)&gt;0,AC905,0)</f>
        <v>0</v>
      </c>
      <c r="CI905" s="65" t="n">
        <f aca="false">IF(ISNUMBER(AF905),1,0)</f>
        <v>0</v>
      </c>
      <c r="CJ905" s="62" t="n">
        <f aca="false">N(AF905)</f>
        <v>0</v>
      </c>
      <c r="CK905" s="62" t="n">
        <f aca="false">N(M905)+N(N905)</f>
        <v>646</v>
      </c>
      <c r="CL905" s="62" t="n">
        <f aca="false">N(M905)</f>
        <v>46</v>
      </c>
      <c r="CM905" s="62" t="n">
        <f aca="false">N(N905)</f>
        <v>600</v>
      </c>
      <c r="CN905" s="62" t="n">
        <f aca="false">ROUNDUP(H905/BZ905,0)</f>
        <v>1</v>
      </c>
      <c r="CO905" s="62" t="n">
        <f aca="false">ROUNDUP(CJ905/BZ905,0)</f>
        <v>0</v>
      </c>
      <c r="CP905" s="65" t="n">
        <f aca="false">IF(CA905=1,0,IFERROR(VLOOKUP(BY905,'Gebinde-Kategorie'!$A$5:$N$45,5,0)+0,0))</f>
        <v>8</v>
      </c>
      <c r="CQ905" s="65" t="n">
        <f aca="false">IFERROR(IF(OR(CF905=1,CF905=2,CF905=3),N(INDEX(Parameter!$I$5:$I$7,CF905)),0),0)</f>
        <v>0</v>
      </c>
      <c r="CR905" s="64" t="n">
        <f aca="false">IF(AND(Parameter!$B$21="Ja",ISNUMBER(W905),N(X905)&gt;0),IFERROR(N(INDEX(Parameter!$L$5:$L$7,W905))*INDEX(Parameter!$E$5:$E$7,W905)*X905/SUMIFS($X$7:$X$1843,$W$7:$W$1843,W905),0),0)</f>
        <v>0</v>
      </c>
      <c r="CS905" s="62" t="n">
        <f aca="false">IF(AND(OR(CG905="L1",CG905="L23",CG905="LIFT"),H905&gt;0),CC905*IF(CR905&gt;0,CR905*MAX(1,H905/X905),IF(CA905=1,CE905,IF(R905&gt;0,CN905/R905,0))/MAX(0.1,N(Parameter!$M$21))),"")</f>
        <v>0.553571428571429</v>
      </c>
      <c r="CT905" s="64" t="n">
        <f aca="false">IF(CS905="","",J905/H905)</f>
        <v>2.28136882129278</v>
      </c>
      <c r="CU905" s="62" t="n">
        <f aca="false">IF(CS905="","",H905*G905)</f>
        <v>10.52</v>
      </c>
      <c r="CV905" s="63" t="n">
        <f aca="false">IF(CS905="","",(CL905+ROUNDUP(CL905+MAX(CM905,2*(J905/MAX(0.1,N(Einkauf!$C$6))-CL905)),0))/2)</f>
        <v>346</v>
      </c>
      <c r="CW905" s="62" t="n">
        <f aca="false">IF(CS905="","",MAX(0,H905-CV905)*G905)</f>
        <v>0</v>
      </c>
      <c r="CX905" s="62" t="n">
        <f aca="false">IF(CS905="","",CS905*MAX(0,1-CV905/H905))</f>
        <v>0</v>
      </c>
      <c r="CY905" s="64" t="n">
        <f aca="false">IF(CS905="","",PERCENTRANK($CS$7:$CS$1843,CS905)+PERCENTRANK($CU$7:$CU$1843,CU905)+1-PERCENTRANK($CT$7:$CT$1843,CT905))</f>
        <v>0.2126</v>
      </c>
      <c r="CZ905" s="72" t="n">
        <f aca="false">IF(CS905="","",CHOOSE(MATCH(Einkauf!$C$5,Parameter!$G$23:$G$27,0),CY905,CS905,CU905,-CT905,CW905)+ROW()/1000000000)</f>
        <v>0.212600905</v>
      </c>
    </row>
    <row r="906" customFormat="false" ht="15" hidden="false" customHeight="false" outlineLevel="0" collapsed="false">
      <c r="A906" s="60" t="s">
        <v>1743</v>
      </c>
      <c r="B906" s="60" t="s">
        <v>447</v>
      </c>
      <c r="C906" s="60" t="s">
        <v>206</v>
      </c>
      <c r="D906" s="60" t="s">
        <v>226</v>
      </c>
      <c r="E906" s="60" t="s">
        <v>227</v>
      </c>
      <c r="F906" s="60" t="s">
        <v>260</v>
      </c>
      <c r="G906" s="61" t="n">
        <v>0.16</v>
      </c>
      <c r="H906" s="62" t="n">
        <f aca="false">MAX(0,IF(AND(Parameter!$B$21="Ja",ISNUMBER(Y906)),Y906,IF(Parameter!$B$20="Jahresanfang 2025 + Export",BS906+BR906,BR906)))</f>
        <v>135</v>
      </c>
      <c r="I906" s="62" t="n">
        <f aca="false">H906*G906</f>
        <v>21.6</v>
      </c>
      <c r="J906" s="62" t="n">
        <f aca="false">BU906*Parameter!$B$18</f>
        <v>288</v>
      </c>
      <c r="K906" s="63" t="n">
        <v>298</v>
      </c>
      <c r="L906" s="64" t="n">
        <v>0.966442953020134</v>
      </c>
      <c r="M906" s="62" t="n">
        <v>22</v>
      </c>
      <c r="N906" s="62" t="n">
        <v>300</v>
      </c>
      <c r="O906" s="65" t="n">
        <v>28</v>
      </c>
      <c r="P906" s="60" t="s">
        <v>275</v>
      </c>
      <c r="Q906" s="62" t="n">
        <v>224</v>
      </c>
      <c r="R906" s="65" t="n">
        <f aca="false">IF(CA906=1,0,IFERROR(VLOOKUP(BY906,'Gebinde-Kategorie'!$A$5:$N$45,13,0)+0,0))</f>
        <v>26</v>
      </c>
      <c r="S906" s="66"/>
      <c r="T906" s="67"/>
      <c r="U906" s="67"/>
      <c r="V906" s="67"/>
      <c r="W906" s="60"/>
      <c r="X906" s="62"/>
      <c r="Y906" s="62"/>
      <c r="Z906" s="60" t="n">
        <v>3</v>
      </c>
      <c r="AA906" s="60" t="n">
        <f aca="false">IF(A906="","",IF(AND(Parameter!$B$21="Ja",ISNUMBER(W906)),W906,IF(AND(Parameter!$E$27="Ja",ISNUMBER(Z906),CD906&lt;&gt;"Nein"),Z906,IF(CD906="2+3",IF(ISNUMBER(SEARCH("grosser Artikel",BV906)),2,IFERROR(VLOOKUP(BY906,Parameter!$F$35:$G$64,2,0),2)),IF(OR(CD906="Nein",CD906=""),"-",CD906)))))</f>
        <v>3</v>
      </c>
      <c r="AB906" s="67"/>
      <c r="AC906" s="68"/>
      <c r="AD906" s="62" t="n">
        <f aca="false">AW906</f>
        <v>322</v>
      </c>
      <c r="AE906" s="62" t="n">
        <f aca="false">MAX(AW906,H906)</f>
        <v>322</v>
      </c>
      <c r="AF906" s="69"/>
      <c r="AG906" s="62" t="n">
        <f aca="false">IF(LEFT(Cockpit!$C$5,1)="A",H906,IF(Parameter!$E$30="MAX-Bestand",IF(CI906=1,CJ906,IF(LEFT(Cockpit!$C$5,1)="B",AM906,MAX(AM906,H906))),ROUNDUP(AK906,0)))</f>
        <v>135</v>
      </c>
      <c r="AH906" s="62" t="n">
        <f aca="false">IF(CA906=1,0,ROUNDUP(AG906/BZ906,0))</f>
        <v>1</v>
      </c>
      <c r="AI906" s="64" t="n">
        <f aca="false">IF(CR906&gt;0,CR906*MAX(1,AG906/X906),IF(CA906=1,IF(AG906&lt;=0,0,CE906*MAX(1,IF(H906&gt;0,AG906/H906,1))),IF(R906&gt;0,AH906/R906,0))/MAX(0.1,N(Parameter!$M$21)))</f>
        <v>0.0384615384615385</v>
      </c>
      <c r="AJ906" s="62" t="n">
        <f aca="false">AI906*CC906</f>
        <v>9.42307692307692</v>
      </c>
      <c r="AK906" s="63" t="n">
        <f aca="false">IF(LEFT(Cockpit!$C$5,1)="A",H906,IF(CI906=1,(CL906+CJ906)/2,IF(LEFT(Cockpit!$C$5,1)="B",(CL906+AM906)/2,MAX((CL906+AM906)/2,H906))))</f>
        <v>135</v>
      </c>
      <c r="AL906" s="62" t="n">
        <f aca="false">AK906*G906</f>
        <v>21.6</v>
      </c>
      <c r="AM906" s="62" t="n">
        <f aca="false">ROUNDUP(CL906+MAX(CM906,2*(J906/IF(CH906&gt;0,CH906,MAX(0.1,N(Cockpit!$C$6)))-CL906)),0)</f>
        <v>322</v>
      </c>
      <c r="AN906" s="63" t="n">
        <f aca="false">IF(AJ906&gt;0,J906/AJ906,-1)</f>
        <v>30.5632653061225</v>
      </c>
      <c r="AO906" s="63" t="n">
        <f aca="false">IF(AND(OR(CG906="L1",CG906="L23",CG906="LIFT"),AJ906&gt;0),SUMIFS($AJ$7:$AJ$1843,$CG$7:$CG$1843,CG906,$AN$7:$AN$1843,"&gt;"&amp;AN906)+SUMIFS($AJ$7:$AJ$1843,$CG$7:$CG$1843,CG906,$AN$7:$AN$1843,AN906,$BX$7:$BX$1843,"&lt;="&amp;BX906),"")</f>
        <v>1403.35164835165</v>
      </c>
      <c r="AP906" s="70" t="n">
        <f aca="false">IF(AO906="",0,MAX(0,MIN(1,(IF(CG906="L1",Parameter!$H$5,IF(CG906="L23",Parameter!$H$6+Parameter!$H$7,Parameter!$H$5+Parameter!$H$6+Parameter!$H$7))-(AO906-AJ906))/AJ906)))</f>
        <v>1</v>
      </c>
      <c r="AQ906" s="62" t="n">
        <f aca="false">IF(LEFT(Cockpit!$I$5,1)="A",H906,IF(Parameter!$E$30="MAX-Bestand",IF(CI906=1,CJ906,IF(LEFT(Cockpit!$I$5,1)="B",AW906,MAX(AW906,H906))),ROUNDUP(AU906,0)))</f>
        <v>172</v>
      </c>
      <c r="AR906" s="62" t="n">
        <f aca="false">IF(CA906=1,0,ROUNDUP(AQ906/BZ906,0))</f>
        <v>1</v>
      </c>
      <c r="AS906" s="64" t="n">
        <f aca="false">IF(CR906&gt;0,CR906*MAX(1,AQ906/X906),IF(CA906=1,IF(AQ906&lt;=0,0,CE906*MAX(1,IF(H906&gt;0,AQ906/H906,1))),IF(R906&gt;0,AR906/R906,0))/MAX(0.1,N(Parameter!$M$21)))</f>
        <v>0.0384615384615385</v>
      </c>
      <c r="AT906" s="62" t="n">
        <f aca="false">AS906*CC906</f>
        <v>9.42307692307692</v>
      </c>
      <c r="AU906" s="63" t="n">
        <f aca="false">IF(LEFT(Cockpit!$I$5,1)="A",H906,IF(CI906=1,(CL906+CJ906)/2,IF(LEFT(Cockpit!$I$5,1)="B",(CL906+AW906)/2,MAX((CL906+AW906)/2,H906))))</f>
        <v>172</v>
      </c>
      <c r="AV906" s="62" t="n">
        <f aca="false">AU906*G906</f>
        <v>27.52</v>
      </c>
      <c r="AW906" s="62" t="n">
        <f aca="false">ROUNDUP(CL906+MAX(CM906,2*(J906/IF(CH906&gt;0,CH906,MAX(0.1,N(Cockpit!$I$6)))-CL906)),0)</f>
        <v>322</v>
      </c>
      <c r="AX906" s="63" t="n">
        <f aca="false">IF(AT906&gt;0,J906/AT906,-1)</f>
        <v>30.5632653061225</v>
      </c>
      <c r="AY906" s="63" t="n">
        <f aca="false">IF(AND(OR(CG906="L1",CG906="L23",CG906="LIFT"),AT906&gt;0),SUMIFS($AT$7:$AT$1843,$CG$7:$CG$1843,CG906,$AX$7:$AX$1843,"&gt;"&amp;AX906)+SUMIFS($AT$7:$AT$1843,$CG$7:$CG$1843,CG906,$AX$7:$AX$1843,AX906,$BX$7:$BX$1843,"&lt;="&amp;BX906),"")</f>
        <v>1821.97893772894</v>
      </c>
      <c r="AZ906" s="70" t="n">
        <f aca="false">IF(AY906="",0,MAX(0,MIN(1,(IF(CG906="L1",Parameter!$H$5,IF(CG906="L23",Parameter!$H$6+Parameter!$H$7,Parameter!$H$5+Parameter!$H$6+Parameter!$H$7))-(AY906-AT906))/AT906)))</f>
        <v>1</v>
      </c>
      <c r="BA906" s="62" t="n">
        <f aca="false">IF(LEFT(Cockpit!$O$5,1)="A",H906,IF(Parameter!$E$30="MAX-Bestand",IF(CI906=1,CJ906,IF(LEFT(Cockpit!$O$5,1)="B",BG906,MAX(BG906,H906))),ROUNDUP(BE906,0)))</f>
        <v>172</v>
      </c>
      <c r="BB906" s="62" t="n">
        <f aca="false">IF(CA906=1,0,ROUNDUP(BA906/BZ906,0))</f>
        <v>1</v>
      </c>
      <c r="BC906" s="64" t="n">
        <f aca="false">IF(CR906&gt;0,CR906*MAX(1,BA906/X906),IF(CA906=1,IF(BA906&lt;=0,0,CE906*MAX(1,IF(H906&gt;0,BA906/H906,1))),IF(R906&gt;0,BB906/R906,0))/MAX(0.1,N(Parameter!$M$21)))</f>
        <v>0.0384615384615385</v>
      </c>
      <c r="BD906" s="62" t="n">
        <f aca="false">BC906*CC906</f>
        <v>9.42307692307692</v>
      </c>
      <c r="BE906" s="63" t="n">
        <f aca="false">IF(LEFT(Cockpit!$O$5,1)="A",H906,IF(CI906=1,(CL906+CJ906)/2,IF(LEFT(Cockpit!$O$5,1)="B",(CL906+BG906)/2,MAX((CL906+BG906)/2,H906))))</f>
        <v>172</v>
      </c>
      <c r="BF906" s="62" t="n">
        <f aca="false">BE906*G906</f>
        <v>27.52</v>
      </c>
      <c r="BG906" s="62" t="n">
        <f aca="false">ROUNDUP(CL906+MAX(CM906,2*(J906/IF(CH906&gt;0,CH906,MAX(0.1,N(Cockpit!$O$6)))-CL906)),0)</f>
        <v>322</v>
      </c>
      <c r="BH906" s="63" t="n">
        <f aca="false">IF(BD906&gt;0,J906/BD906,-1)</f>
        <v>30.5632653061225</v>
      </c>
      <c r="BI906" s="63" t="n">
        <f aca="false">IF(AND(OR(CG906="L1",CG906="L23",CG906="LIFT"),BD906&gt;0),SUMIFS($BD$7:$BD$1843,$CG$7:$CG$1843,CG906,$BH$7:$BH$1843,"&gt;"&amp;BH906)+SUMIFS($BD$7:$BD$1843,$CG$7:$CG$1843,CG906,$BH$7:$BH$1843,BH906,$BX$7:$BX$1843,"&lt;="&amp;BX906),"")</f>
        <v>1765.40201465201</v>
      </c>
      <c r="BJ906" s="70" t="n">
        <f aca="false">IF(BI906="",0,MAX(0,MIN(1,(IF(CG906="L1",Parameter!$H$5,IF(CG906="L23",Parameter!$H$6+Parameter!$H$7,Parameter!$H$5+Parameter!$H$6+Parameter!$H$7))-(BI906-BD906))/BD906)))</f>
        <v>1</v>
      </c>
      <c r="BK906" s="60" t="str">
        <f aca="false">IF(AJ906&lt;=0,"",IF(CG906="Aussen","Aussenlager",IF(CG906="-","Nicht im Lift",IF(AP906&gt;=1,"Lift",IF(AP906&lt;=0,"Aussenlager","teilweise")))))</f>
        <v>Lift</v>
      </c>
      <c r="BL906" s="60" t="str">
        <f aca="false">IF(AT906&lt;=0,"",IF(CG906="Aussen","Aussenlager",IF(CG906="-","Nicht im Lift",IF(AZ906&gt;=1,"Lift",IF(AZ906&lt;=0,"Aussenlager","teilweise")))))</f>
        <v>Lift</v>
      </c>
      <c r="BM906" s="60" t="str">
        <f aca="false">IF(BD906&lt;=0,"",IF(CG906="Aussen","Aussenlager",IF(CG906="-","Nicht im Lift",IF(BJ906&gt;=1,"Lift",IF(BJ906&lt;=0,"Aussenlager","teilweise")))))</f>
        <v>Lift</v>
      </c>
      <c r="BN906" s="60" t="str">
        <f aca="false">IF(A906="","",IF(BW906=1,"Neu; ","")&amp;IF(AND(BW906=0,BR906&lt;0),"negativer Bestand (Export "&amp;BR906&amp;"); ","")&amp;IF(J906&lt;=0,"Kein Verbrauch; ","")&amp;IF(CR906&gt;0,"Lift "&amp;W906&amp;" lt. Liftbericht (Fach "&amp;X906&amp;" Stk); ",IF(CB906=1,"Gebinde geschätzt ("&amp;T906&amp;"); ",IF(CA906=1,"Lose – Tablare geschätzt; ","")))&amp;IF(H906&gt;AW906,"Überbestand "&amp;ROUND(H906-AW906,0)&amp;" Stk / CHF "&amp;ROUND((H906-AW906)*G906,0)&amp;"; ","")&amp;IF(AND(CI906=1,CJ906&lt;CK906),"MAX &lt; MB+LG; ","")&amp;IF(AND(CQ906&gt;0,CP906*10&gt;CQ906),"zu hoch für Tablar; ","")&amp;IF(AND(BW906=0,OR(CI906=1,AB906&lt;&gt;"",U906&lt;&gt;"",V906&lt;&gt;"",AC906&lt;&gt;"")),"manuell übersteuert; ","")&amp;IF(AND(CA906=0,R906=0),"Gebinde unbekannt / Stellmass fehlt; ","")&amp;IF(AND(CA906=0,N(V906)&lt;=0,N(Q906)&lt;=0),"Menge pro Gebinde fehlt (Ist = 1 Gebinde); ","")&amp;BV906)</f>
        <v>negativer Bestand (Export -206); </v>
      </c>
      <c r="BO906" s="60"/>
      <c r="BP906" s="60"/>
      <c r="BQ906" s="67"/>
      <c r="BR906" s="62" t="n">
        <v>-206</v>
      </c>
      <c r="BS906" s="62" t="n">
        <v>341</v>
      </c>
      <c r="BT906" s="61" t="n">
        <v>-36.37</v>
      </c>
      <c r="BU906" s="62" t="n">
        <v>288</v>
      </c>
      <c r="BV906" s="60"/>
      <c r="BW906" s="65" t="n">
        <v>0</v>
      </c>
      <c r="BX906" s="65" t="n">
        <v>906</v>
      </c>
      <c r="BY906" s="60" t="str">
        <f aca="false">IF(U906&lt;&gt;"",UPPER(TRIM(U906)),IF(CB906=1,UPPER(VLOOKUP(T906,Parameter!$I$27:$K$29,2,0)),IF(P906="","LOSE",P906)))</f>
        <v>S52</v>
      </c>
      <c r="BZ906" s="62" t="n">
        <f aca="false">IF(BY906="LOSE",1,IF(N(V906)&gt;0,V906,IF(CB906=1,MAX(1,N(VLOOKUP(T906,Parameter!$I$27:$K$29,3,0)),H906,N(N906)),IF(N(Q906)&gt;0,Q906,MAX(1,H906)))))</f>
        <v>224</v>
      </c>
      <c r="CA906" s="65" t="n">
        <f aca="false">IF(BY906="LOSE",1,0)</f>
        <v>0</v>
      </c>
      <c r="CB906" s="65" t="n">
        <f aca="false">IF(AND(U906="",OR(P906="",P906="LOSE"),T906&lt;&gt;"",N(S906)&lt;=0,ISNUMBER(MATCH(T906,Parameter!$I$27:$I$29,0))),1,0)</f>
        <v>0</v>
      </c>
      <c r="CC906" s="65" t="n">
        <f aca="false">IF(CR906&gt;0,INDEX(Parameter!$H$5:$H$7,W906)/INDEX(Parameter!$E$5:$E$7,W906),IF(AND(CA906=0,N(IFERROR(VLOOKUP(BY906,'Gebinde-Kategorie'!$A$5:$N$45,14,0),0))&gt;0),VLOOKUP(BY906,'Gebinde-Kategorie'!$A$5:$N$45,14,0)*10+Parameter!$M$23,Parameter!$M$24))</f>
        <v>245</v>
      </c>
      <c r="CD906" s="60" t="str">
        <f aca="false">IF(AND(Parameter!$B$19="Ja",E906&lt;&gt;"",ISNUMBER(MATCH(E906,Parameter!$I$35:$I$52,0))),VLOOKUP(E906,Parameter!$I$35:$J$52,2,0),IFERROR(VLOOKUP(D906,Parameter!$A$35:$C$64,2,0),"Nein"))</f>
        <v>2+3</v>
      </c>
      <c r="CE906" s="64" t="n">
        <f aca="false">IF(CA906=0,0,IF(N(S906)&gt;0,S906,IFERROR(VLOOKUP(D906,Parameter!$A$35:$C$64,3,0)+0,0)))</f>
        <v>0</v>
      </c>
      <c r="CF906" s="60" t="n">
        <f aca="false">IF(AB906&lt;&gt;"",AB906,AA906)</f>
        <v>3</v>
      </c>
      <c r="CG906" s="60" t="str">
        <f aca="false">IF(OR(CF906=1,CF906=2,CF906=3),IF(Parameter!$E$27="Ja","LIFT",IF(CF906=1,"L1","L23")),IF(CF906="Aussen","Aussen","-"))</f>
        <v>LIFT</v>
      </c>
      <c r="CH906" s="71" t="n">
        <f aca="false">IF(N(AC906)&gt;0,AC906,0)</f>
        <v>0</v>
      </c>
      <c r="CI906" s="65" t="n">
        <f aca="false">IF(ISNUMBER(AF906),1,0)</f>
        <v>0</v>
      </c>
      <c r="CJ906" s="62" t="n">
        <f aca="false">N(AF906)</f>
        <v>0</v>
      </c>
      <c r="CK906" s="62" t="n">
        <f aca="false">N(M906)+N(N906)</f>
        <v>322</v>
      </c>
      <c r="CL906" s="62" t="n">
        <f aca="false">N(M906)</f>
        <v>22</v>
      </c>
      <c r="CM906" s="62" t="n">
        <f aca="false">N(N906)</f>
        <v>300</v>
      </c>
      <c r="CN906" s="62" t="n">
        <f aca="false">ROUNDUP(H906/BZ906,0)</f>
        <v>1</v>
      </c>
      <c r="CO906" s="62" t="n">
        <f aca="false">ROUNDUP(CJ906/BZ906,0)</f>
        <v>0</v>
      </c>
      <c r="CP906" s="65" t="n">
        <f aca="false">IF(CA906=1,0,IFERROR(VLOOKUP(BY906,'Gebinde-Kategorie'!$A$5:$N$45,5,0)+0,0))</f>
        <v>21</v>
      </c>
      <c r="CQ906" s="65" t="n">
        <f aca="false">IFERROR(IF(OR(CF906=1,CF906=2,CF906=3),N(INDEX(Parameter!$I$5:$I$7,CF906)),0),0)</f>
        <v>0</v>
      </c>
      <c r="CR906" s="64" t="n">
        <f aca="false">IF(AND(Parameter!$B$21="Ja",ISNUMBER(W906),N(X906)&gt;0),IFERROR(N(INDEX(Parameter!$L$5:$L$7,W906))*INDEX(Parameter!$E$5:$E$7,W906)*X906/SUMIFS($X$7:$X$1843,$W$7:$W$1843,W906),0),0)</f>
        <v>0</v>
      </c>
      <c r="CS906" s="62" t="n">
        <f aca="false">IF(AND(OR(CG906="L1",CG906="L23",CG906="LIFT"),H906&gt;0),CC906*IF(CR906&gt;0,CR906*MAX(1,H906/X906),IF(CA906=1,CE906,IF(R906&gt;0,CN906/R906,0))/MAX(0.1,N(Parameter!$M$21))),"")</f>
        <v>9.42307692307692</v>
      </c>
      <c r="CT906" s="64" t="n">
        <f aca="false">IF(CS906="","",J906/H906)</f>
        <v>2.13333333333333</v>
      </c>
      <c r="CU906" s="62" t="n">
        <f aca="false">IF(CS906="","",H906*G906)</f>
        <v>21.6</v>
      </c>
      <c r="CV906" s="63" t="n">
        <f aca="false">IF(CS906="","",(CL906+ROUNDUP(CL906+MAX(CM906,2*(J906/MAX(0.1,N(Einkauf!$C$6))-CL906)),0))/2)</f>
        <v>172</v>
      </c>
      <c r="CW906" s="62" t="n">
        <f aca="false">IF(CS906="","",MAX(0,H906-CV906)*G906)</f>
        <v>0</v>
      </c>
      <c r="CX906" s="62" t="n">
        <f aca="false">IF(CS906="","",CS906*MAX(0,1-CV906/H906))</f>
        <v>0</v>
      </c>
      <c r="CY906" s="64" t="n">
        <f aca="false">IF(CS906="","",PERCENTRANK($CS$7:$CS$1843,CS906)+PERCENTRANK($CU$7:$CU$1843,CU906)+1-PERCENTRANK($CT$7:$CT$1843,CT906))</f>
        <v>0.8381</v>
      </c>
      <c r="CZ906" s="72" t="n">
        <f aca="false">IF(CS906="","",CHOOSE(MATCH(Einkauf!$C$5,Parameter!$G$23:$G$27,0),CY906,CS906,CU906,-CT906,CW906)+ROW()/1000000000)</f>
        <v>0.838100906</v>
      </c>
    </row>
    <row r="907" customFormat="false" ht="15" hidden="false" customHeight="false" outlineLevel="0" collapsed="false">
      <c r="A907" s="60" t="s">
        <v>1744</v>
      </c>
      <c r="B907" s="60" t="s">
        <v>1726</v>
      </c>
      <c r="C907" s="60" t="s">
        <v>206</v>
      </c>
      <c r="D907" s="60" t="s">
        <v>226</v>
      </c>
      <c r="E907" s="60"/>
      <c r="F907" s="60" t="s">
        <v>260</v>
      </c>
      <c r="G907" s="61" t="n">
        <v>0.37</v>
      </c>
      <c r="H907" s="62" t="n">
        <f aca="false">MAX(0,IF(AND(Parameter!$B$21="Ja",ISNUMBER(Y907)),Y907,IF(Parameter!$B$20="Jahresanfang 2025 + Export",BS907+BR907,BR907)))</f>
        <v>0</v>
      </c>
      <c r="I907" s="62" t="n">
        <f aca="false">H907*G907</f>
        <v>0</v>
      </c>
      <c r="J907" s="62" t="n">
        <f aca="false">BU907*Parameter!$B$18</f>
        <v>0</v>
      </c>
      <c r="K907" s="63" t="n">
        <v>50</v>
      </c>
      <c r="L907" s="64" t="n">
        <v>0</v>
      </c>
      <c r="M907" s="62" t="n">
        <v>0</v>
      </c>
      <c r="N907" s="62" t="n">
        <v>1</v>
      </c>
      <c r="O907" s="65" t="n">
        <v>28</v>
      </c>
      <c r="P907" s="60" t="s">
        <v>210</v>
      </c>
      <c r="Q907" s="62"/>
      <c r="R907" s="65" t="n">
        <f aca="false">IF(CA907=1,0,IFERROR(VLOOKUP(BY907,'Gebinde-Kategorie'!$A$5:$N$45,13,0)+0,0))</f>
        <v>26</v>
      </c>
      <c r="S907" s="66"/>
      <c r="T907" s="67" t="s">
        <v>317</v>
      </c>
      <c r="U907" s="67"/>
      <c r="V907" s="67"/>
      <c r="W907" s="60"/>
      <c r="X907" s="62"/>
      <c r="Y907" s="62"/>
      <c r="Z907" s="60" t="n">
        <v>3</v>
      </c>
      <c r="AA907" s="60" t="n">
        <f aca="false">IF(A907="","",IF(AND(Parameter!$B$21="Ja",ISNUMBER(W907)),W907,IF(AND(Parameter!$E$27="Ja",ISNUMBER(Z907),CD907&lt;&gt;"Nein"),Z907,IF(CD907="2+3",IF(ISNUMBER(SEARCH("grosser Artikel",BV907)),2,IFERROR(VLOOKUP(BY907,Parameter!$F$35:$G$64,2,0),2)),IF(OR(CD907="Nein",CD907=""),"-",CD907)))))</f>
        <v>3</v>
      </c>
      <c r="AB907" s="67"/>
      <c r="AC907" s="68"/>
      <c r="AD907" s="62" t="n">
        <f aca="false">AW907</f>
        <v>1</v>
      </c>
      <c r="AE907" s="62" t="n">
        <f aca="false">MAX(AW907,H907)</f>
        <v>1</v>
      </c>
      <c r="AF907" s="69"/>
      <c r="AG907" s="62" t="n">
        <f aca="false">IF(LEFT(Cockpit!$C$5,1)="A",H907,IF(Parameter!$E$30="MAX-Bestand",IF(CI907=1,CJ907,IF(LEFT(Cockpit!$C$5,1)="B",AM907,MAX(AM907,H907))),ROUNDUP(AK907,0)))</f>
        <v>0</v>
      </c>
      <c r="AH907" s="62" t="n">
        <f aca="false">IF(CA907=1,0,ROUNDUP(AG907/BZ907,0))</f>
        <v>0</v>
      </c>
      <c r="AI907" s="64" t="n">
        <f aca="false">IF(CR907&gt;0,CR907*MAX(1,AG907/X907),IF(CA907=1,IF(AG907&lt;=0,0,CE907*MAX(1,IF(H907&gt;0,AG907/H907,1))),IF(R907&gt;0,AH907/R907,0))/MAX(0.1,N(Parameter!$M$21)))</f>
        <v>0</v>
      </c>
      <c r="AJ907" s="62" t="n">
        <f aca="false">AI907*CC907</f>
        <v>0</v>
      </c>
      <c r="AK907" s="63" t="n">
        <f aca="false">IF(LEFT(Cockpit!$C$5,1)="A",H907,IF(CI907=1,(CL907+CJ907)/2,IF(LEFT(Cockpit!$C$5,1)="B",(CL907+AM907)/2,MAX((CL907+AM907)/2,H907))))</f>
        <v>0</v>
      </c>
      <c r="AL907" s="62" t="n">
        <f aca="false">AK907*G907</f>
        <v>0</v>
      </c>
      <c r="AM907" s="62" t="n">
        <f aca="false">ROUNDUP(CL907+MAX(CM907,2*(J907/IF(CH907&gt;0,CH907,MAX(0.1,N(Cockpit!$C$6)))-CL907)),0)</f>
        <v>1</v>
      </c>
      <c r="AN907" s="63" t="n">
        <f aca="false">IF(AJ907&gt;0,J907/AJ907,-1)</f>
        <v>-1</v>
      </c>
      <c r="AO907" s="63" t="str">
        <f aca="false">IF(AND(OR(CG907="L1",CG907="L23",CG907="LIFT"),AJ907&gt;0),SUMIFS($AJ$7:$AJ$1843,$CG$7:$CG$1843,CG907,$AN$7:$AN$1843,"&gt;"&amp;AN907)+SUMIFS($AJ$7:$AJ$1843,$CG$7:$CG$1843,CG907,$AN$7:$AN$1843,AN907,$BX$7:$BX$1843,"&lt;="&amp;BX907),"")</f>
        <v/>
      </c>
      <c r="AP907" s="70" t="n">
        <f aca="false">IF(AO907="",0,MAX(0,MIN(1,(IF(CG907="L1",Parameter!$H$5,IF(CG907="L23",Parameter!$H$6+Parameter!$H$7,Parameter!$H$5+Parameter!$H$6+Parameter!$H$7))-(AO907-AJ907))/AJ907)))</f>
        <v>0</v>
      </c>
      <c r="AQ907" s="62" t="n">
        <f aca="false">IF(LEFT(Cockpit!$I$5,1)="A",H907,IF(Parameter!$E$30="MAX-Bestand",IF(CI907=1,CJ907,IF(LEFT(Cockpit!$I$5,1)="B",AW907,MAX(AW907,H907))),ROUNDUP(AU907,0)))</f>
        <v>1</v>
      </c>
      <c r="AR907" s="62" t="n">
        <f aca="false">IF(CA907=1,0,ROUNDUP(AQ907/BZ907,0))</f>
        <v>1</v>
      </c>
      <c r="AS907" s="64" t="n">
        <f aca="false">IF(CR907&gt;0,CR907*MAX(1,AQ907/X907),IF(CA907=1,IF(AQ907&lt;=0,0,CE907*MAX(1,IF(H907&gt;0,AQ907/H907,1))),IF(R907&gt;0,AR907/R907,0))/MAX(0.1,N(Parameter!$M$21)))</f>
        <v>0.0384615384615385</v>
      </c>
      <c r="AT907" s="62" t="n">
        <f aca="false">AS907*CC907</f>
        <v>5.96153846153846</v>
      </c>
      <c r="AU907" s="63" t="n">
        <f aca="false">IF(LEFT(Cockpit!$I$5,1)="A",H907,IF(CI907=1,(CL907+CJ907)/2,IF(LEFT(Cockpit!$I$5,1)="B",(CL907+AW907)/2,MAX((CL907+AW907)/2,H907))))</f>
        <v>0.5</v>
      </c>
      <c r="AV907" s="62" t="n">
        <f aca="false">AU907*G907</f>
        <v>0.185</v>
      </c>
      <c r="AW907" s="62" t="n">
        <f aca="false">ROUNDUP(CL907+MAX(CM907,2*(J907/IF(CH907&gt;0,CH907,MAX(0.1,N(Cockpit!$I$6)))-CL907)),0)</f>
        <v>1</v>
      </c>
      <c r="AX907" s="63" t="n">
        <f aca="false">IF(AT907&gt;0,J907/AT907,-1)</f>
        <v>0</v>
      </c>
      <c r="AY907" s="63" t="n">
        <f aca="false">IF(AND(OR(CG907="L1",CG907="L23",CG907="LIFT"),AT907&gt;0),SUMIFS($AT$7:$AT$1843,$CG$7:$CG$1843,CG907,$AX$7:$AX$1843,"&gt;"&amp;AX907)+SUMIFS($AT$7:$AT$1843,$CG$7:$CG$1843,CG907,$AX$7:$AX$1843,AX907,$BX$7:$BX$1843,"&lt;="&amp;BX907),"")</f>
        <v>34485.5860805861</v>
      </c>
      <c r="AZ907" s="70" t="n">
        <f aca="false">IF(AY907="",0,MAX(0,MIN(1,(IF(CG907="L1",Parameter!$H$5,IF(CG907="L23",Parameter!$H$6+Parameter!$H$7,Parameter!$H$5+Parameter!$H$6+Parameter!$H$7))-(AY907-AT907))/AT907)))</f>
        <v>1</v>
      </c>
      <c r="BA907" s="62" t="n">
        <f aca="false">IF(LEFT(Cockpit!$O$5,1)="A",H907,IF(Parameter!$E$30="MAX-Bestand",IF(CI907=1,CJ907,IF(LEFT(Cockpit!$O$5,1)="B",BG907,MAX(BG907,H907))),ROUNDUP(BE907,0)))</f>
        <v>1</v>
      </c>
      <c r="BB907" s="62" t="n">
        <f aca="false">IF(CA907=1,0,ROUNDUP(BA907/BZ907,0))</f>
        <v>1</v>
      </c>
      <c r="BC907" s="64" t="n">
        <f aca="false">IF(CR907&gt;0,CR907*MAX(1,BA907/X907),IF(CA907=1,IF(BA907&lt;=0,0,CE907*MAX(1,IF(H907&gt;0,BA907/H907,1))),IF(R907&gt;0,BB907/R907,0))/MAX(0.1,N(Parameter!$M$21)))</f>
        <v>0.0384615384615385</v>
      </c>
      <c r="BD907" s="62" t="n">
        <f aca="false">BC907*CC907</f>
        <v>5.96153846153846</v>
      </c>
      <c r="BE907" s="63" t="n">
        <f aca="false">IF(LEFT(Cockpit!$O$5,1)="A",H907,IF(CI907=1,(CL907+CJ907)/2,IF(LEFT(Cockpit!$O$5,1)="B",(CL907+BG907)/2,MAX((CL907+BG907)/2,H907))))</f>
        <v>0.5</v>
      </c>
      <c r="BF907" s="62" t="n">
        <f aca="false">BE907*G907</f>
        <v>0.185</v>
      </c>
      <c r="BG907" s="62" t="n">
        <f aca="false">ROUNDUP(CL907+MAX(CM907,2*(J907/IF(CH907&gt;0,CH907,MAX(0.1,N(Cockpit!$O$6)))-CL907)),0)</f>
        <v>1</v>
      </c>
      <c r="BH907" s="63" t="n">
        <f aca="false">IF(BD907&gt;0,J907/BD907,-1)</f>
        <v>0</v>
      </c>
      <c r="BI907" s="63" t="n">
        <f aca="false">IF(AND(OR(CG907="L1",CG907="L23",CG907="LIFT"),BD907&gt;0),SUMIFS($BD$7:$BD$1843,$CG$7:$CG$1843,CG907,$BH$7:$BH$1843,"&gt;"&amp;BH907)+SUMIFS($BD$7:$BD$1843,$CG$7:$CG$1843,CG907,$BH$7:$BH$1843,BH907,$BX$7:$BX$1843,"&lt;="&amp;BX907),"")</f>
        <v>28517.1921912833</v>
      </c>
      <c r="BJ907" s="70" t="n">
        <f aca="false">IF(BI907="",0,MAX(0,MIN(1,(IF(CG907="L1",Parameter!$H$5,IF(CG907="L23",Parameter!$H$6+Parameter!$H$7,Parameter!$H$5+Parameter!$H$6+Parameter!$H$7))-(BI907-BD907))/BD907)))</f>
        <v>1</v>
      </c>
      <c r="BK907" s="60" t="str">
        <f aca="false">IF(AJ907&lt;=0,"",IF(CG907="Aussen","Aussenlager",IF(CG907="-","Nicht im Lift",IF(AP907&gt;=1,"Lift",IF(AP907&lt;=0,"Aussenlager","teilweise")))))</f>
        <v/>
      </c>
      <c r="BL907" s="60" t="str">
        <f aca="false">IF(AT907&lt;=0,"",IF(CG907="Aussen","Aussenlager",IF(CG907="-","Nicht im Lift",IF(AZ907&gt;=1,"Lift",IF(AZ907&lt;=0,"Aussenlager","teilweise")))))</f>
        <v>Lift</v>
      </c>
      <c r="BM907" s="60" t="str">
        <f aca="false">IF(BD907&lt;=0,"",IF(CG907="Aussen","Aussenlager",IF(CG907="-","Nicht im Lift",IF(BJ907&gt;=1,"Lift",IF(BJ907&lt;=0,"Aussenlager","teilweise")))))</f>
        <v>Lift</v>
      </c>
      <c r="BN907" s="60" t="str">
        <f aca="false">IF(A907="","",IF(BW907=1,"Neu; ","")&amp;IF(AND(BW907=0,BR907&lt;0),"negativer Bestand (Export "&amp;BR907&amp;"); ","")&amp;IF(J907&lt;=0,"Kein Verbrauch; ","")&amp;IF(CR907&gt;0,"Lift "&amp;W907&amp;" lt. Liftbericht (Fach "&amp;X907&amp;" Stk); ",IF(CB907=1,"Gebinde geschätzt ("&amp;T907&amp;"); ",IF(CA907=1,"Lose – Tablare geschätzt; ","")))&amp;IF(H907&gt;AW907,"Überbestand "&amp;ROUND(H907-AW907,0)&amp;" Stk / CHF "&amp;ROUND((H907-AW907)*G907,0)&amp;"; ","")&amp;IF(AND(CI907=1,CJ907&lt;CK907),"MAX &lt; MB+LG; ","")&amp;IF(AND(CQ907&gt;0,CP907*10&gt;CQ907),"zu hoch für Tablar; ","")&amp;IF(AND(BW907=0,OR(CI907=1,AB907&lt;&gt;"",U907&lt;&gt;"",V907&lt;&gt;"",AC907&lt;&gt;"")),"manuell übersteuert; ","")&amp;IF(AND(CA907=0,R907=0),"Gebinde unbekannt / Stellmass fehlt; ","")&amp;IF(AND(CA907=0,N(V907)&lt;=0,N(Q907)&lt;=0),"Menge pro Gebinde fehlt (Ist = 1 Gebinde); ","")&amp;BV907)</f>
        <v>negativer Bestand (Export -100); Kein Verbrauch; Gebinde geschätzt (Klein); Menge pro Gebinde fehlt (Ist = 1 Gebinde); </v>
      </c>
      <c r="BO907" s="60"/>
      <c r="BP907" s="60"/>
      <c r="BQ907" s="67"/>
      <c r="BR907" s="62" t="n">
        <v>-100</v>
      </c>
      <c r="BS907" s="62" t="n">
        <v>100</v>
      </c>
      <c r="BT907" s="61" t="n">
        <v>-37</v>
      </c>
      <c r="BU907" s="62" t="n">
        <v>0</v>
      </c>
      <c r="BV907" s="60"/>
      <c r="BW907" s="65" t="n">
        <v>0</v>
      </c>
      <c r="BX907" s="65" t="n">
        <v>907</v>
      </c>
      <c r="BY907" s="60" t="str">
        <f aca="false">IF(U907&lt;&gt;"",UPPER(TRIM(U907)),IF(CB907=1,UPPER(VLOOKUP(T907,Parameter!$I$27:$K$29,2,0)),IF(P907="","LOSE",P907)))</f>
        <v>S51</v>
      </c>
      <c r="BZ907" s="62" t="n">
        <f aca="false">IF(BY907="LOSE",1,IF(N(V907)&gt;0,V907,IF(CB907=1,MAX(1,N(VLOOKUP(T907,Parameter!$I$27:$K$29,3,0)),H907,N(N907)),IF(N(Q907)&gt;0,Q907,MAX(1,H907)))))</f>
        <v>20</v>
      </c>
      <c r="CA907" s="65" t="n">
        <f aca="false">IF(BY907="LOSE",1,0)</f>
        <v>0</v>
      </c>
      <c r="CB907" s="65" t="n">
        <f aca="false">IF(AND(U907="",OR(P907="",P907="LOSE"),T907&lt;&gt;"",N(S907)&lt;=0,ISNUMBER(MATCH(T907,Parameter!$I$27:$I$29,0))),1,0)</f>
        <v>1</v>
      </c>
      <c r="CC907" s="65" t="n">
        <f aca="false">IF(CR907&gt;0,INDEX(Parameter!$H$5:$H$7,W907)/INDEX(Parameter!$E$5:$E$7,W907),IF(AND(CA907=0,N(IFERROR(VLOOKUP(BY907,'Gebinde-Kategorie'!$A$5:$N$45,14,0),0))&gt;0),VLOOKUP(BY907,'Gebinde-Kategorie'!$A$5:$N$45,14,0)*10+Parameter!$M$23,Parameter!$M$24))</f>
        <v>155</v>
      </c>
      <c r="CD907" s="60" t="str">
        <f aca="false">IF(AND(Parameter!$B$19="Ja",E907&lt;&gt;"",ISNUMBER(MATCH(E907,Parameter!$I$35:$I$52,0))),VLOOKUP(E907,Parameter!$I$35:$J$52,2,0),IFERROR(VLOOKUP(D907,Parameter!$A$35:$C$64,2,0),"Nein"))</f>
        <v>2+3</v>
      </c>
      <c r="CE907" s="64" t="n">
        <f aca="false">IF(CA907=0,0,IF(N(S907)&gt;0,S907,IFERROR(VLOOKUP(D907,Parameter!$A$35:$C$64,3,0)+0,0)))</f>
        <v>0</v>
      </c>
      <c r="CF907" s="60" t="n">
        <f aca="false">IF(AB907&lt;&gt;"",AB907,AA907)</f>
        <v>3</v>
      </c>
      <c r="CG907" s="60" t="str">
        <f aca="false">IF(OR(CF907=1,CF907=2,CF907=3),IF(Parameter!$E$27="Ja","LIFT",IF(CF907=1,"L1","L23")),IF(CF907="Aussen","Aussen","-"))</f>
        <v>LIFT</v>
      </c>
      <c r="CH907" s="71" t="n">
        <f aca="false">IF(N(AC907)&gt;0,AC907,0)</f>
        <v>0</v>
      </c>
      <c r="CI907" s="65" t="n">
        <f aca="false">IF(ISNUMBER(AF907),1,0)</f>
        <v>0</v>
      </c>
      <c r="CJ907" s="62" t="n">
        <f aca="false">N(AF907)</f>
        <v>0</v>
      </c>
      <c r="CK907" s="62" t="n">
        <f aca="false">N(M907)+N(N907)</f>
        <v>1</v>
      </c>
      <c r="CL907" s="62" t="n">
        <f aca="false">N(M907)</f>
        <v>0</v>
      </c>
      <c r="CM907" s="62" t="n">
        <f aca="false">N(N907)</f>
        <v>1</v>
      </c>
      <c r="CN907" s="62" t="n">
        <f aca="false">ROUNDUP(H907/BZ907,0)</f>
        <v>0</v>
      </c>
      <c r="CO907" s="62" t="n">
        <f aca="false">ROUNDUP(CJ907/BZ907,0)</f>
        <v>0</v>
      </c>
      <c r="CP907" s="65" t="n">
        <f aca="false">IF(CA907=1,0,IFERROR(VLOOKUP(BY907,'Gebinde-Kategorie'!$A$5:$N$45,5,0)+0,0))</f>
        <v>11</v>
      </c>
      <c r="CQ907" s="65" t="n">
        <f aca="false">IFERROR(IF(OR(CF907=1,CF907=2,CF907=3),N(INDEX(Parameter!$I$5:$I$7,CF907)),0),0)</f>
        <v>0</v>
      </c>
      <c r="CR907" s="64" t="n">
        <f aca="false">IF(AND(Parameter!$B$21="Ja",ISNUMBER(W907),N(X907)&gt;0),IFERROR(N(INDEX(Parameter!$L$5:$L$7,W907))*INDEX(Parameter!$E$5:$E$7,W907)*X907/SUMIFS($X$7:$X$1843,$W$7:$W$1843,W907),0),0)</f>
        <v>0</v>
      </c>
      <c r="CS907" s="62" t="str">
        <f aca="false">IF(AND(OR(CG907="L1",CG907="L23",CG907="LIFT"),H907&gt;0),CC907*IF(CR907&gt;0,CR907*MAX(1,H907/X907),IF(CA907=1,CE907,IF(R907&gt;0,CN907/R907,0))/MAX(0.1,N(Parameter!$M$21))),"")</f>
        <v/>
      </c>
      <c r="CT907" s="64" t="str">
        <f aca="false">IF(CS907="","",J907/H907)</f>
        <v/>
      </c>
      <c r="CU907" s="62" t="str">
        <f aca="false">IF(CS907="","",H907*G907)</f>
        <v/>
      </c>
      <c r="CV907" s="63" t="str">
        <f aca="false">IF(CS907="","",(CL907+ROUNDUP(CL907+MAX(CM907,2*(J907/MAX(0.1,N(Einkauf!$C$6))-CL907)),0))/2)</f>
        <v/>
      </c>
      <c r="CW907" s="62" t="str">
        <f aca="false">IF(CS907="","",MAX(0,H907-CV907)*G907)</f>
        <v/>
      </c>
      <c r="CX907" s="62" t="str">
        <f aca="false">IF(CS907="","",CS907*MAX(0,1-CV907/H907))</f>
        <v/>
      </c>
      <c r="CY907" s="64" t="str">
        <f aca="false">IF(CS907="","",PERCENTRANK($CS$7:$CS$1843,CS907)+PERCENTRANK($CU$7:$CU$1843,CU907)+1-PERCENTRANK($CT$7:$CT$1843,CT907))</f>
        <v/>
      </c>
      <c r="CZ907" s="72" t="str">
        <f aca="false">IF(CS907="","",CHOOSE(MATCH(Einkauf!$C$5,Parameter!$G$23:$G$27,0),CY907,CS907,CU907,-CT907,CW907)+ROW()/1000000000)</f>
        <v/>
      </c>
    </row>
    <row r="908" customFormat="false" ht="15" hidden="false" customHeight="false" outlineLevel="0" collapsed="false">
      <c r="A908" s="60" t="s">
        <v>1745</v>
      </c>
      <c r="B908" s="60" t="s">
        <v>1746</v>
      </c>
      <c r="C908" s="60" t="s">
        <v>206</v>
      </c>
      <c r="D908" s="60" t="s">
        <v>226</v>
      </c>
      <c r="E908" s="60"/>
      <c r="F908" s="60" t="s">
        <v>260</v>
      </c>
      <c r="G908" s="61" t="n">
        <v>12.37</v>
      </c>
      <c r="H908" s="62" t="n">
        <f aca="false">MAX(0,IF(AND(Parameter!$B$21="Ja",ISNUMBER(Y908)),Y908,IF(Parameter!$B$20="Jahresanfang 2025 + Export",BS908+BR908,BR908)))</f>
        <v>28</v>
      </c>
      <c r="I908" s="62" t="n">
        <f aca="false">H908*G908</f>
        <v>346.36</v>
      </c>
      <c r="J908" s="62" t="n">
        <f aca="false">BU908*Parameter!$B$18</f>
        <v>1</v>
      </c>
      <c r="K908" s="63" t="n">
        <v>30</v>
      </c>
      <c r="L908" s="64" t="n">
        <v>0.0333333333333333</v>
      </c>
      <c r="M908" s="62" t="n">
        <v>0</v>
      </c>
      <c r="N908" s="62" t="n">
        <v>1</v>
      </c>
      <c r="O908" s="65" t="n">
        <v>28</v>
      </c>
      <c r="P908" s="60" t="s">
        <v>468</v>
      </c>
      <c r="Q908" s="62" t="n">
        <v>20</v>
      </c>
      <c r="R908" s="65" t="n">
        <f aca="false">IF(CA908=1,0,IFERROR(VLOOKUP(BY908,'Gebinde-Kategorie'!$A$5:$N$45,13,0)+0,0))</f>
        <v>140</v>
      </c>
      <c r="S908" s="66"/>
      <c r="T908" s="67"/>
      <c r="U908" s="67"/>
      <c r="V908" s="67"/>
      <c r="W908" s="60"/>
      <c r="X908" s="62"/>
      <c r="Y908" s="62"/>
      <c r="Z908" s="60" t="n">
        <v>2</v>
      </c>
      <c r="AA908" s="60" t="n">
        <f aca="false">IF(A908="","",IF(AND(Parameter!$B$21="Ja",ISNUMBER(W908)),W908,IF(AND(Parameter!$E$27="Ja",ISNUMBER(Z908),CD908&lt;&gt;"Nein"),Z908,IF(CD908="2+3",IF(ISNUMBER(SEARCH("grosser Artikel",BV908)),2,IFERROR(VLOOKUP(BY908,Parameter!$F$35:$G$64,2,0),2)),IF(OR(CD908="Nein",CD908=""),"-",CD908)))))</f>
        <v>2</v>
      </c>
      <c r="AB908" s="67"/>
      <c r="AC908" s="68"/>
      <c r="AD908" s="62" t="n">
        <f aca="false">AW908</f>
        <v>1</v>
      </c>
      <c r="AE908" s="62" t="n">
        <f aca="false">MAX(AW908,H908)</f>
        <v>28</v>
      </c>
      <c r="AF908" s="69"/>
      <c r="AG908" s="62" t="n">
        <f aca="false">IF(LEFT(Cockpit!$C$5,1)="A",H908,IF(Parameter!$E$30="MAX-Bestand",IF(CI908=1,CJ908,IF(LEFT(Cockpit!$C$5,1)="B",AM908,MAX(AM908,H908))),ROUNDUP(AK908,0)))</f>
        <v>28</v>
      </c>
      <c r="AH908" s="62" t="n">
        <f aca="false">IF(CA908=1,0,ROUNDUP(AG908/BZ908,0))</f>
        <v>2</v>
      </c>
      <c r="AI908" s="64" t="n">
        <f aca="false">IF(CR908&gt;0,CR908*MAX(1,AG908/X908),IF(CA908=1,IF(AG908&lt;=0,0,CE908*MAX(1,IF(H908&gt;0,AG908/H908,1))),IF(R908&gt;0,AH908/R908,0))/MAX(0.1,N(Parameter!$M$21)))</f>
        <v>0.0142857142857143</v>
      </c>
      <c r="AJ908" s="62" t="n">
        <f aca="false">AI908*CC908</f>
        <v>2.21428571428571</v>
      </c>
      <c r="AK908" s="63" t="n">
        <f aca="false">IF(LEFT(Cockpit!$C$5,1)="A",H908,IF(CI908=1,(CL908+CJ908)/2,IF(LEFT(Cockpit!$C$5,1)="B",(CL908+AM908)/2,MAX((CL908+AM908)/2,H908))))</f>
        <v>28</v>
      </c>
      <c r="AL908" s="62" t="n">
        <f aca="false">AK908*G908</f>
        <v>346.36</v>
      </c>
      <c r="AM908" s="62" t="n">
        <f aca="false">ROUNDUP(CL908+MAX(CM908,2*(J908/IF(CH908&gt;0,CH908,MAX(0.1,N(Cockpit!$C$6)))-CL908)),0)</f>
        <v>1</v>
      </c>
      <c r="AN908" s="63" t="n">
        <f aca="false">IF(AJ908&gt;0,J908/AJ908,-1)</f>
        <v>0.451612903225806</v>
      </c>
      <c r="AO908" s="63" t="n">
        <f aca="false">IF(AND(OR(CG908="L1",CG908="L23",CG908="LIFT"),AJ908&gt;0),SUMIFS($AJ$7:$AJ$1843,$CG$7:$CG$1843,CG908,$AN$7:$AN$1843,"&gt;"&amp;AN908)+SUMIFS($AJ$7:$AJ$1843,$CG$7:$CG$1843,CG908,$AN$7:$AN$1843,AN908,$BX$7:$BX$1843,"&lt;="&amp;BX908),"")</f>
        <v>9861.2724074419</v>
      </c>
      <c r="AP908" s="70" t="n">
        <f aca="false">IF(AO908="",0,MAX(0,MIN(1,(IF(CG908="L1",Parameter!$H$5,IF(CG908="L23",Parameter!$H$6+Parameter!$H$7,Parameter!$H$5+Parameter!$H$6+Parameter!$H$7))-(AO908-AJ908))/AJ908)))</f>
        <v>1</v>
      </c>
      <c r="AQ908" s="62" t="n">
        <f aca="false">IF(LEFT(Cockpit!$I$5,1)="A",H908,IF(Parameter!$E$30="MAX-Bestand",IF(CI908=1,CJ908,IF(LEFT(Cockpit!$I$5,1)="B",AW908,MAX(AW908,H908))),ROUNDUP(AU908,0)))</f>
        <v>28</v>
      </c>
      <c r="AR908" s="62" t="n">
        <f aca="false">IF(CA908=1,0,ROUNDUP(AQ908/BZ908,0))</f>
        <v>2</v>
      </c>
      <c r="AS908" s="64" t="n">
        <f aca="false">IF(CR908&gt;0,CR908*MAX(1,AQ908/X908),IF(CA908=1,IF(AQ908&lt;=0,0,CE908*MAX(1,IF(H908&gt;0,AQ908/H908,1))),IF(R908&gt;0,AR908/R908,0))/MAX(0.1,N(Parameter!$M$21)))</f>
        <v>0.0142857142857143</v>
      </c>
      <c r="AT908" s="62" t="n">
        <f aca="false">AS908*CC908</f>
        <v>2.21428571428571</v>
      </c>
      <c r="AU908" s="63" t="n">
        <f aca="false">IF(LEFT(Cockpit!$I$5,1)="A",H908,IF(CI908=1,(CL908+CJ908)/2,IF(LEFT(Cockpit!$I$5,1)="B",(CL908+AW908)/2,MAX((CL908+AW908)/2,H908))))</f>
        <v>28</v>
      </c>
      <c r="AV908" s="62" t="n">
        <f aca="false">AU908*G908</f>
        <v>346.36</v>
      </c>
      <c r="AW908" s="62" t="n">
        <f aca="false">ROUNDUP(CL908+MAX(CM908,2*(J908/IF(CH908&gt;0,CH908,MAX(0.1,N(Cockpit!$I$6)))-CL908)),0)</f>
        <v>1</v>
      </c>
      <c r="AX908" s="63" t="n">
        <f aca="false">IF(AT908&gt;0,J908/AT908,-1)</f>
        <v>0.451612903225806</v>
      </c>
      <c r="AY908" s="63" t="n">
        <f aca="false">IF(AND(OR(CG908="L1",CG908="L23",CG908="LIFT"),AT908&gt;0),SUMIFS($AT$7:$AT$1843,$CG$7:$CG$1843,CG908,$AX$7:$AX$1843,"&gt;"&amp;AX908)+SUMIFS($AT$7:$AT$1843,$CG$7:$CG$1843,CG908,$AX$7:$AX$1843,AX908,$BX$7:$BX$1843,"&lt;="&amp;BX908),"")</f>
        <v>12275.108974359</v>
      </c>
      <c r="AZ908" s="70" t="n">
        <f aca="false">IF(AY908="",0,MAX(0,MIN(1,(IF(CG908="L1",Parameter!$H$5,IF(CG908="L23",Parameter!$H$6+Parameter!$H$7,Parameter!$H$5+Parameter!$H$6+Parameter!$H$7))-(AY908-AT908))/AT908)))</f>
        <v>1</v>
      </c>
      <c r="BA908" s="62" t="n">
        <f aca="false">IF(LEFT(Cockpit!$O$5,1)="A",H908,IF(Parameter!$E$30="MAX-Bestand",IF(CI908=1,CJ908,IF(LEFT(Cockpit!$O$5,1)="B",BG908,MAX(BG908,H908))),ROUNDUP(BE908,0)))</f>
        <v>1</v>
      </c>
      <c r="BB908" s="62" t="n">
        <f aca="false">IF(CA908=1,0,ROUNDUP(BA908/BZ908,0))</f>
        <v>1</v>
      </c>
      <c r="BC908" s="64" t="n">
        <f aca="false">IF(CR908&gt;0,CR908*MAX(1,BA908/X908),IF(CA908=1,IF(BA908&lt;=0,0,CE908*MAX(1,IF(H908&gt;0,BA908/H908,1))),IF(R908&gt;0,BB908/R908,0))/MAX(0.1,N(Parameter!$M$21)))</f>
        <v>0.00714285714285714</v>
      </c>
      <c r="BD908" s="62" t="n">
        <f aca="false">BC908*CC908</f>
        <v>1.10714285714286</v>
      </c>
      <c r="BE908" s="63" t="n">
        <f aca="false">IF(LEFT(Cockpit!$O$5,1)="A",H908,IF(CI908=1,(CL908+CJ908)/2,IF(LEFT(Cockpit!$O$5,1)="B",(CL908+BG908)/2,MAX((CL908+BG908)/2,H908))))</f>
        <v>0.5</v>
      </c>
      <c r="BF908" s="62" t="n">
        <f aca="false">BE908*G908</f>
        <v>6.185</v>
      </c>
      <c r="BG908" s="62" t="n">
        <f aca="false">ROUNDUP(CL908+MAX(CM908,2*(J908/IF(CH908&gt;0,CH908,MAX(0.1,N(Cockpit!$O$6)))-CL908)),0)</f>
        <v>1</v>
      </c>
      <c r="BH908" s="63" t="n">
        <f aca="false">IF(BD908&gt;0,J908/BD908,-1)</f>
        <v>0.903225806451613</v>
      </c>
      <c r="BI908" s="63" t="n">
        <f aca="false">IF(AND(OR(CG908="L1",CG908="L23",CG908="LIFT"),BD908&gt;0),SUMIFS($BD$7:$BD$1843,$CG$7:$CG$1843,CG908,$BH$7:$BH$1843,"&gt;"&amp;BH908)+SUMIFS($BD$7:$BD$1843,$CG$7:$CG$1843,CG908,$BH$7:$BH$1843,BH908,$BX$7:$BX$1843,"&lt;="&amp;BX908),"")</f>
        <v>8246.72206959707</v>
      </c>
      <c r="BJ908" s="70" t="n">
        <f aca="false">IF(BI908="",0,MAX(0,MIN(1,(IF(CG908="L1",Parameter!$H$5,IF(CG908="L23",Parameter!$H$6+Parameter!$H$7,Parameter!$H$5+Parameter!$H$6+Parameter!$H$7))-(BI908-BD908))/BD908)))</f>
        <v>1</v>
      </c>
      <c r="BK908" s="60" t="str">
        <f aca="false">IF(AJ908&lt;=0,"",IF(CG908="Aussen","Aussenlager",IF(CG908="-","Nicht im Lift",IF(AP908&gt;=1,"Lift",IF(AP908&lt;=0,"Aussenlager","teilweise")))))</f>
        <v>Lift</v>
      </c>
      <c r="BL908" s="60" t="str">
        <f aca="false">IF(AT908&lt;=0,"",IF(CG908="Aussen","Aussenlager",IF(CG908="-","Nicht im Lift",IF(AZ908&gt;=1,"Lift",IF(AZ908&lt;=0,"Aussenlager","teilweise")))))</f>
        <v>Lift</v>
      </c>
      <c r="BM908" s="60" t="str">
        <f aca="false">IF(BD908&lt;=0,"",IF(CG908="Aussen","Aussenlager",IF(CG908="-","Nicht im Lift",IF(BJ908&gt;=1,"Lift",IF(BJ908&lt;=0,"Aussenlager","teilweise")))))</f>
        <v>Lift</v>
      </c>
      <c r="BN908" s="60" t="str">
        <f aca="false">IF(A908="","",IF(BW908=1,"Neu; ","")&amp;IF(AND(BW908=0,BR908&lt;0),"negativer Bestand (Export "&amp;BR908&amp;"); ","")&amp;IF(J908&lt;=0,"Kein Verbrauch; ","")&amp;IF(CR908&gt;0,"Lift "&amp;W908&amp;" lt. Liftbericht (Fach "&amp;X908&amp;" Stk); ",IF(CB908=1,"Gebinde geschätzt ("&amp;T908&amp;"); ",IF(CA908=1,"Lose – Tablare geschätzt; ","")))&amp;IF(H908&gt;AW908,"Überbestand "&amp;ROUND(H908-AW908,0)&amp;" Stk / CHF "&amp;ROUND((H908-AW908)*G908,0)&amp;"; ","")&amp;IF(AND(CI908=1,CJ908&lt;CK908),"MAX &lt; MB+LG; ","")&amp;IF(AND(CQ908&gt;0,CP908*10&gt;CQ908),"zu hoch für Tablar; ","")&amp;IF(AND(BW908=0,OR(CI908=1,AB908&lt;&gt;"",U908&lt;&gt;"",V908&lt;&gt;"",AC908&lt;&gt;"")),"manuell übersteuert; ","")&amp;IF(AND(CA908=0,R908=0),"Gebinde unbekannt / Stellmass fehlt; ","")&amp;IF(AND(CA908=0,N(V908)&lt;=0,N(Q908)&lt;=0),"Menge pro Gebinde fehlt (Ist = 1 Gebinde); ","")&amp;BV908)</f>
        <v>negativer Bestand (Export -3); Überbestand 27 Stk / CHF 334; </v>
      </c>
      <c r="BO908" s="60"/>
      <c r="BP908" s="60"/>
      <c r="BQ908" s="67"/>
      <c r="BR908" s="62" t="n">
        <v>-3</v>
      </c>
      <c r="BS908" s="62" t="n">
        <v>31</v>
      </c>
      <c r="BT908" s="61" t="n">
        <v>-37.11</v>
      </c>
      <c r="BU908" s="62" t="n">
        <v>1</v>
      </c>
      <c r="BV908" s="60"/>
      <c r="BW908" s="65" t="n">
        <v>0</v>
      </c>
      <c r="BX908" s="65" t="n">
        <v>908</v>
      </c>
      <c r="BY908" s="60" t="str">
        <f aca="false">IF(U908&lt;&gt;"",UPPER(TRIM(U908)),IF(CB908=1,UPPER(VLOOKUP(T908,Parameter!$I$27:$K$29,2,0)),IF(P908="","LOSE",P908)))</f>
        <v>S22</v>
      </c>
      <c r="BZ908" s="62" t="n">
        <f aca="false">IF(BY908="LOSE",1,IF(N(V908)&gt;0,V908,IF(CB908=1,MAX(1,N(VLOOKUP(T908,Parameter!$I$27:$K$29,3,0)),H908,N(N908)),IF(N(Q908)&gt;0,Q908,MAX(1,H908)))))</f>
        <v>20</v>
      </c>
      <c r="CA908" s="65" t="n">
        <f aca="false">IF(BY908="LOSE",1,0)</f>
        <v>0</v>
      </c>
      <c r="CB908" s="65" t="n">
        <f aca="false">IF(AND(U908="",OR(P908="",P908="LOSE"),T908&lt;&gt;"",N(S908)&lt;=0,ISNUMBER(MATCH(T908,Parameter!$I$27:$I$29,0))),1,0)</f>
        <v>0</v>
      </c>
      <c r="CC908" s="65" t="n">
        <f aca="false">IF(CR908&gt;0,INDEX(Parameter!$H$5:$H$7,W908)/INDEX(Parameter!$E$5:$E$7,W908),IF(AND(CA908=0,N(IFERROR(VLOOKUP(BY908,'Gebinde-Kategorie'!$A$5:$N$45,14,0),0))&gt;0),VLOOKUP(BY908,'Gebinde-Kategorie'!$A$5:$N$45,14,0)*10+Parameter!$M$23,Parameter!$M$24))</f>
        <v>155</v>
      </c>
      <c r="CD908" s="60" t="str">
        <f aca="false">IF(AND(Parameter!$B$19="Ja",E908&lt;&gt;"",ISNUMBER(MATCH(E908,Parameter!$I$35:$I$52,0))),VLOOKUP(E908,Parameter!$I$35:$J$52,2,0),IFERROR(VLOOKUP(D908,Parameter!$A$35:$C$64,2,0),"Nein"))</f>
        <v>2+3</v>
      </c>
      <c r="CE908" s="64" t="n">
        <f aca="false">IF(CA908=0,0,IF(N(S908)&gt;0,S908,IFERROR(VLOOKUP(D908,Parameter!$A$35:$C$64,3,0)+0,0)))</f>
        <v>0</v>
      </c>
      <c r="CF908" s="60" t="n">
        <f aca="false">IF(AB908&lt;&gt;"",AB908,AA908)</f>
        <v>2</v>
      </c>
      <c r="CG908" s="60" t="str">
        <f aca="false">IF(OR(CF908=1,CF908=2,CF908=3),IF(Parameter!$E$27="Ja","LIFT",IF(CF908=1,"L1","L23")),IF(CF908="Aussen","Aussen","-"))</f>
        <v>LIFT</v>
      </c>
      <c r="CH908" s="71" t="n">
        <f aca="false">IF(N(AC908)&gt;0,AC908,0)</f>
        <v>0</v>
      </c>
      <c r="CI908" s="65" t="n">
        <f aca="false">IF(ISNUMBER(AF908),1,0)</f>
        <v>0</v>
      </c>
      <c r="CJ908" s="62" t="n">
        <f aca="false">N(AF908)</f>
        <v>0</v>
      </c>
      <c r="CK908" s="62" t="n">
        <f aca="false">N(M908)+N(N908)</f>
        <v>1</v>
      </c>
      <c r="CL908" s="62" t="n">
        <f aca="false">N(M908)</f>
        <v>0</v>
      </c>
      <c r="CM908" s="62" t="n">
        <f aca="false">N(N908)</f>
        <v>1</v>
      </c>
      <c r="CN908" s="62" t="n">
        <f aca="false">ROUNDUP(H908/BZ908,0)</f>
        <v>2</v>
      </c>
      <c r="CO908" s="62" t="n">
        <f aca="false">ROUNDUP(CJ908/BZ908,0)</f>
        <v>0</v>
      </c>
      <c r="CP908" s="65" t="n">
        <f aca="false">IF(CA908=1,0,IFERROR(VLOOKUP(BY908,'Gebinde-Kategorie'!$A$5:$N$45,5,0)+0,0))</f>
        <v>8</v>
      </c>
      <c r="CQ908" s="65" t="n">
        <f aca="false">IFERROR(IF(OR(CF908=1,CF908=2,CF908=3),N(INDEX(Parameter!$I$5:$I$7,CF908)),0),0)</f>
        <v>0</v>
      </c>
      <c r="CR908" s="64" t="n">
        <f aca="false">IF(AND(Parameter!$B$21="Ja",ISNUMBER(W908),N(X908)&gt;0),IFERROR(N(INDEX(Parameter!$L$5:$L$7,W908))*INDEX(Parameter!$E$5:$E$7,W908)*X908/SUMIFS($X$7:$X$1843,$W$7:$W$1843,W908),0),0)</f>
        <v>0</v>
      </c>
      <c r="CS908" s="62" t="n">
        <f aca="false">IF(AND(OR(CG908="L1",CG908="L23",CG908="LIFT"),H908&gt;0),CC908*IF(CR908&gt;0,CR908*MAX(1,H908/X908),IF(CA908=1,CE908,IF(R908&gt;0,CN908/R908,0))/MAX(0.1,N(Parameter!$M$21))),"")</f>
        <v>2.21428571428571</v>
      </c>
      <c r="CT908" s="64" t="n">
        <f aca="false">IF(CS908="","",J908/H908)</f>
        <v>0.0357142857142857</v>
      </c>
      <c r="CU908" s="62" t="n">
        <f aca="false">IF(CS908="","",H908*G908)</f>
        <v>346.36</v>
      </c>
      <c r="CV908" s="63" t="n">
        <f aca="false">IF(CS908="","",(CL908+ROUNDUP(CL908+MAX(CM908,2*(J908/MAX(0.1,N(Einkauf!$C$6))-CL908)),0))/2)</f>
        <v>0.5</v>
      </c>
      <c r="CW908" s="62" t="n">
        <f aca="false">IF(CS908="","",MAX(0,H908-CV908)*G908)</f>
        <v>340.175</v>
      </c>
      <c r="CX908" s="62" t="n">
        <f aca="false">IF(CS908="","",CS908*MAX(0,1-CV908/H908))</f>
        <v>2.17474489795918</v>
      </c>
      <c r="CY908" s="64" t="n">
        <f aca="false">IF(CS908="","",PERCENTRANK($CS$7:$CS$1843,CS908)+PERCENTRANK($CU$7:$CU$1843,CU908)+1-PERCENTRANK($CT$7:$CT$1843,CT908))</f>
        <v>1.26</v>
      </c>
      <c r="CZ908" s="72" t="n">
        <f aca="false">IF(CS908="","",CHOOSE(MATCH(Einkauf!$C$5,Parameter!$G$23:$G$27,0),CY908,CS908,CU908,-CT908,CW908)+ROW()/1000000000)</f>
        <v>1.260000908</v>
      </c>
    </row>
    <row r="909" customFormat="false" ht="15" hidden="false" customHeight="false" outlineLevel="0" collapsed="false">
      <c r="A909" s="60" t="s">
        <v>1747</v>
      </c>
      <c r="B909" s="60" t="s">
        <v>1076</v>
      </c>
      <c r="C909" s="60" t="s">
        <v>206</v>
      </c>
      <c r="D909" s="60" t="s">
        <v>226</v>
      </c>
      <c r="E909" s="60" t="s">
        <v>227</v>
      </c>
      <c r="F909" s="60" t="s">
        <v>260</v>
      </c>
      <c r="G909" s="61" t="n">
        <v>7.19</v>
      </c>
      <c r="H909" s="62" t="n">
        <f aca="false">MAX(0,IF(AND(Parameter!$B$21="Ja",ISNUMBER(Y909)),Y909,IF(Parameter!$B$20="Jahresanfang 2025 + Export",BS909+BR909,BR909)))</f>
        <v>9</v>
      </c>
      <c r="I909" s="62" t="n">
        <f aca="false">H909*G909</f>
        <v>64.71</v>
      </c>
      <c r="J909" s="62" t="n">
        <f aca="false">BU909*Parameter!$B$18</f>
        <v>22</v>
      </c>
      <c r="K909" s="63" t="n">
        <v>12.5</v>
      </c>
      <c r="L909" s="64" t="n">
        <v>1.76</v>
      </c>
      <c r="M909" s="62" t="n">
        <v>0</v>
      </c>
      <c r="N909" s="62" t="n">
        <v>20</v>
      </c>
      <c r="O909" s="65" t="n">
        <v>14</v>
      </c>
      <c r="P909" s="60" t="s">
        <v>463</v>
      </c>
      <c r="Q909" s="62" t="n">
        <v>22</v>
      </c>
      <c r="R909" s="65" t="n">
        <f aca="false">IF(CA909=1,0,IFERROR(VLOOKUP(BY909,'Gebinde-Kategorie'!$A$5:$N$45,13,0)+0,0))</f>
        <v>104</v>
      </c>
      <c r="S909" s="66"/>
      <c r="T909" s="67"/>
      <c r="U909" s="67"/>
      <c r="V909" s="67"/>
      <c r="W909" s="60"/>
      <c r="X909" s="62"/>
      <c r="Y909" s="62"/>
      <c r="Z909" s="60" t="n">
        <v>3</v>
      </c>
      <c r="AA909" s="60" t="n">
        <f aca="false">IF(A909="","",IF(AND(Parameter!$B$21="Ja",ISNUMBER(W909)),W909,IF(AND(Parameter!$E$27="Ja",ISNUMBER(Z909),CD909&lt;&gt;"Nein"),Z909,IF(CD909="2+3",IF(ISNUMBER(SEARCH("grosser Artikel",BV909)),2,IFERROR(VLOOKUP(BY909,Parameter!$F$35:$G$64,2,0),2)),IF(OR(CD909="Nein",CD909=""),"-",CD909)))))</f>
        <v>3</v>
      </c>
      <c r="AB909" s="67"/>
      <c r="AC909" s="68"/>
      <c r="AD909" s="62" t="n">
        <f aca="false">AW909</f>
        <v>20</v>
      </c>
      <c r="AE909" s="62" t="n">
        <f aca="false">MAX(AW909,H909)</f>
        <v>20</v>
      </c>
      <c r="AF909" s="69"/>
      <c r="AG909" s="62" t="n">
        <f aca="false">IF(LEFT(Cockpit!$C$5,1)="A",H909,IF(Parameter!$E$30="MAX-Bestand",IF(CI909=1,CJ909,IF(LEFT(Cockpit!$C$5,1)="B",AM909,MAX(AM909,H909))),ROUNDUP(AK909,0)))</f>
        <v>9</v>
      </c>
      <c r="AH909" s="62" t="n">
        <f aca="false">IF(CA909=1,0,ROUNDUP(AG909/BZ909,0))</f>
        <v>1</v>
      </c>
      <c r="AI909" s="64" t="n">
        <f aca="false">IF(CR909&gt;0,CR909*MAX(1,AG909/X909),IF(CA909=1,IF(AG909&lt;=0,0,CE909*MAX(1,IF(H909&gt;0,AG909/H909,1))),IF(R909&gt;0,AH909/R909,0))/MAX(0.1,N(Parameter!$M$21)))</f>
        <v>0.00961538461538462</v>
      </c>
      <c r="AJ909" s="62" t="n">
        <f aca="false">AI909*CC909</f>
        <v>1.49038461538462</v>
      </c>
      <c r="AK909" s="63" t="n">
        <f aca="false">IF(LEFT(Cockpit!$C$5,1)="A",H909,IF(CI909=1,(CL909+CJ909)/2,IF(LEFT(Cockpit!$C$5,1)="B",(CL909+AM909)/2,MAX((CL909+AM909)/2,H909))))</f>
        <v>9</v>
      </c>
      <c r="AL909" s="62" t="n">
        <f aca="false">AK909*G909</f>
        <v>64.71</v>
      </c>
      <c r="AM909" s="62" t="n">
        <f aca="false">ROUNDUP(CL909+MAX(CM909,2*(J909/IF(CH909&gt;0,CH909,MAX(0.1,N(Cockpit!$C$6)))-CL909)),0)</f>
        <v>20</v>
      </c>
      <c r="AN909" s="63" t="n">
        <f aca="false">IF(AJ909&gt;0,J909/AJ909,-1)</f>
        <v>14.7612903225806</v>
      </c>
      <c r="AO909" s="63" t="n">
        <f aca="false">IF(AND(OR(CG909="L1",CG909="L23",CG909="LIFT"),AJ909&gt;0),SUMIFS($AJ$7:$AJ$1843,$CG$7:$CG$1843,CG909,$AN$7:$AN$1843,"&gt;"&amp;AN909)+SUMIFS($AJ$7:$AJ$1843,$CG$7:$CG$1843,CG909,$AN$7:$AN$1843,AN909,$BX$7:$BX$1843,"&lt;="&amp;BX909),"")</f>
        <v>2098.02884615385</v>
      </c>
      <c r="AP909" s="70" t="n">
        <f aca="false">IF(AO909="",0,MAX(0,MIN(1,(IF(CG909="L1",Parameter!$H$5,IF(CG909="L23",Parameter!$H$6+Parameter!$H$7,Parameter!$H$5+Parameter!$H$6+Parameter!$H$7))-(AO909-AJ909))/AJ909)))</f>
        <v>1</v>
      </c>
      <c r="AQ909" s="62" t="n">
        <f aca="false">IF(LEFT(Cockpit!$I$5,1)="A",H909,IF(Parameter!$E$30="MAX-Bestand",IF(CI909=1,CJ909,IF(LEFT(Cockpit!$I$5,1)="B",AW909,MAX(AW909,H909))),ROUNDUP(AU909,0)))</f>
        <v>10</v>
      </c>
      <c r="AR909" s="62" t="n">
        <f aca="false">IF(CA909=1,0,ROUNDUP(AQ909/BZ909,0))</f>
        <v>1</v>
      </c>
      <c r="AS909" s="64" t="n">
        <f aca="false">IF(CR909&gt;0,CR909*MAX(1,AQ909/X909),IF(CA909=1,IF(AQ909&lt;=0,0,CE909*MAX(1,IF(H909&gt;0,AQ909/H909,1))),IF(R909&gt;0,AR909/R909,0))/MAX(0.1,N(Parameter!$M$21)))</f>
        <v>0.00961538461538462</v>
      </c>
      <c r="AT909" s="62" t="n">
        <f aca="false">AS909*CC909</f>
        <v>1.49038461538462</v>
      </c>
      <c r="AU909" s="63" t="n">
        <f aca="false">IF(LEFT(Cockpit!$I$5,1)="A",H909,IF(CI909=1,(CL909+CJ909)/2,IF(LEFT(Cockpit!$I$5,1)="B",(CL909+AW909)/2,MAX((CL909+AW909)/2,H909))))</f>
        <v>10</v>
      </c>
      <c r="AV909" s="62" t="n">
        <f aca="false">AU909*G909</f>
        <v>71.9</v>
      </c>
      <c r="AW909" s="62" t="n">
        <f aca="false">ROUNDUP(CL909+MAX(CM909,2*(J909/IF(CH909&gt;0,CH909,MAX(0.1,N(Cockpit!$I$6)))-CL909)),0)</f>
        <v>20</v>
      </c>
      <c r="AX909" s="63" t="n">
        <f aca="false">IF(AT909&gt;0,J909/AT909,-1)</f>
        <v>14.7612903225806</v>
      </c>
      <c r="AY909" s="63" t="n">
        <f aca="false">IF(AND(OR(CG909="L1",CG909="L23",CG909="LIFT"),AT909&gt;0),SUMIFS($AT$7:$AT$1843,$CG$7:$CG$1843,CG909,$AX$7:$AX$1843,"&gt;"&amp;AX909)+SUMIFS($AT$7:$AT$1843,$CG$7:$CG$1843,CG909,$AX$7:$AX$1843,AX909,$BX$7:$BX$1843,"&lt;="&amp;BX909),"")</f>
        <v>2745.96565934066</v>
      </c>
      <c r="AZ909" s="70" t="n">
        <f aca="false">IF(AY909="",0,MAX(0,MIN(1,(IF(CG909="L1",Parameter!$H$5,IF(CG909="L23",Parameter!$H$6+Parameter!$H$7,Parameter!$H$5+Parameter!$H$6+Parameter!$H$7))-(AY909-AT909))/AT909)))</f>
        <v>1</v>
      </c>
      <c r="BA909" s="62" t="n">
        <f aca="false">IF(LEFT(Cockpit!$O$5,1)="A",H909,IF(Parameter!$E$30="MAX-Bestand",IF(CI909=1,CJ909,IF(LEFT(Cockpit!$O$5,1)="B",BG909,MAX(BG909,H909))),ROUNDUP(BE909,0)))</f>
        <v>10</v>
      </c>
      <c r="BB909" s="62" t="n">
        <f aca="false">IF(CA909=1,0,ROUNDUP(BA909/BZ909,0))</f>
        <v>1</v>
      </c>
      <c r="BC909" s="64" t="n">
        <f aca="false">IF(CR909&gt;0,CR909*MAX(1,BA909/X909),IF(CA909=1,IF(BA909&lt;=0,0,CE909*MAX(1,IF(H909&gt;0,BA909/H909,1))),IF(R909&gt;0,BB909/R909,0))/MAX(0.1,N(Parameter!$M$21)))</f>
        <v>0.00961538461538462</v>
      </c>
      <c r="BD909" s="62" t="n">
        <f aca="false">BC909*CC909</f>
        <v>1.49038461538462</v>
      </c>
      <c r="BE909" s="63" t="n">
        <f aca="false">IF(LEFT(Cockpit!$O$5,1)="A",H909,IF(CI909=1,(CL909+CJ909)/2,IF(LEFT(Cockpit!$O$5,1)="B",(CL909+BG909)/2,MAX((CL909+BG909)/2,H909))))</f>
        <v>10</v>
      </c>
      <c r="BF909" s="62" t="n">
        <f aca="false">BE909*G909</f>
        <v>71.9</v>
      </c>
      <c r="BG909" s="62" t="n">
        <f aca="false">ROUNDUP(CL909+MAX(CM909,2*(J909/IF(CH909&gt;0,CH909,MAX(0.1,N(Cockpit!$O$6)))-CL909)),0)</f>
        <v>20</v>
      </c>
      <c r="BH909" s="63" t="n">
        <f aca="false">IF(BD909&gt;0,J909/BD909,-1)</f>
        <v>14.7612903225806</v>
      </c>
      <c r="BI909" s="63" t="n">
        <f aca="false">IF(AND(OR(CG909="L1",CG909="L23",CG909="LIFT"),BD909&gt;0),SUMIFS($BD$7:$BD$1843,$CG$7:$CG$1843,CG909,$BH$7:$BH$1843,"&gt;"&amp;BH909)+SUMIFS($BD$7:$BD$1843,$CG$7:$CG$1843,CG909,$BH$7:$BH$1843,BH909,$BX$7:$BX$1843,"&lt;="&amp;BX909),"")</f>
        <v>2429.00274725275</v>
      </c>
      <c r="BJ909" s="70" t="n">
        <f aca="false">IF(BI909="",0,MAX(0,MIN(1,(IF(CG909="L1",Parameter!$H$5,IF(CG909="L23",Parameter!$H$6+Parameter!$H$7,Parameter!$H$5+Parameter!$H$6+Parameter!$H$7))-(BI909-BD909))/BD909)))</f>
        <v>1</v>
      </c>
      <c r="BK909" s="60" t="str">
        <f aca="false">IF(AJ909&lt;=0,"",IF(CG909="Aussen","Aussenlager",IF(CG909="-","Nicht im Lift",IF(AP909&gt;=1,"Lift",IF(AP909&lt;=0,"Aussenlager","teilweise")))))</f>
        <v>Lift</v>
      </c>
      <c r="BL909" s="60" t="str">
        <f aca="false">IF(AT909&lt;=0,"",IF(CG909="Aussen","Aussenlager",IF(CG909="-","Nicht im Lift",IF(AZ909&gt;=1,"Lift",IF(AZ909&lt;=0,"Aussenlager","teilweise")))))</f>
        <v>Lift</v>
      </c>
      <c r="BM909" s="60" t="str">
        <f aca="false">IF(BD909&lt;=0,"",IF(CG909="Aussen","Aussenlager",IF(CG909="-","Nicht im Lift",IF(BJ909&gt;=1,"Lift",IF(BJ909&lt;=0,"Aussenlager","teilweise")))))</f>
        <v>Lift</v>
      </c>
      <c r="BN909" s="60" t="str">
        <f aca="false">IF(A909="","",IF(BW909=1,"Neu; ","")&amp;IF(AND(BW909=0,BR909&lt;0),"negativer Bestand (Export "&amp;BR909&amp;"); ","")&amp;IF(J909&lt;=0,"Kein Verbrauch; ","")&amp;IF(CR909&gt;0,"Lift "&amp;W909&amp;" lt. Liftbericht (Fach "&amp;X909&amp;" Stk); ",IF(CB909=1,"Gebinde geschätzt ("&amp;T909&amp;"); ",IF(CA909=1,"Lose – Tablare geschätzt; ","")))&amp;IF(H909&gt;AW909,"Überbestand "&amp;ROUND(H909-AW909,0)&amp;" Stk / CHF "&amp;ROUND((H909-AW909)*G909,0)&amp;"; ","")&amp;IF(AND(CI909=1,CJ909&lt;CK909),"MAX &lt; MB+LG; ","")&amp;IF(AND(CQ909&gt;0,CP909*10&gt;CQ909),"zu hoch für Tablar; ","")&amp;IF(AND(BW909=0,OR(CI909=1,AB909&lt;&gt;"",U909&lt;&gt;"",V909&lt;&gt;"",AC909&lt;&gt;"")),"manuell übersteuert; ","")&amp;IF(AND(CA909=0,R909=0),"Gebinde unbekannt / Stellmass fehlt; ","")&amp;IF(AND(CA909=0,N(V909)&lt;=0,N(Q909)&lt;=0),"Menge pro Gebinde fehlt (Ist = 1 Gebinde); ","")&amp;BV909)</f>
        <v>negativer Bestand (Export -5); </v>
      </c>
      <c r="BO909" s="60"/>
      <c r="BP909" s="60"/>
      <c r="BQ909" s="67"/>
      <c r="BR909" s="62" t="n">
        <v>-5</v>
      </c>
      <c r="BS909" s="62" t="n">
        <v>14</v>
      </c>
      <c r="BT909" s="61" t="n">
        <v>-37.35</v>
      </c>
      <c r="BU909" s="62" t="n">
        <v>22</v>
      </c>
      <c r="BV909" s="60"/>
      <c r="BW909" s="65" t="n">
        <v>0</v>
      </c>
      <c r="BX909" s="65" t="n">
        <v>909</v>
      </c>
      <c r="BY909" s="60" t="str">
        <f aca="false">IF(U909&lt;&gt;"",UPPER(TRIM(U909)),IF(CB909=1,UPPER(VLOOKUP(T909,Parameter!$I$27:$K$29,2,0)),IF(P909="","LOSE",P909)))</f>
        <v>S32</v>
      </c>
      <c r="BZ909" s="62" t="n">
        <f aca="false">IF(BY909="LOSE",1,IF(N(V909)&gt;0,V909,IF(CB909=1,MAX(1,N(VLOOKUP(T909,Parameter!$I$27:$K$29,3,0)),H909,N(N909)),IF(N(Q909)&gt;0,Q909,MAX(1,H909)))))</f>
        <v>22</v>
      </c>
      <c r="CA909" s="65" t="n">
        <f aca="false">IF(BY909="LOSE",1,0)</f>
        <v>0</v>
      </c>
      <c r="CB909" s="65" t="n">
        <f aca="false">IF(AND(U909="",OR(P909="",P909="LOSE"),T909&lt;&gt;"",N(S909)&lt;=0,ISNUMBER(MATCH(T909,Parameter!$I$27:$I$29,0))),1,0)</f>
        <v>0</v>
      </c>
      <c r="CC909" s="65" t="n">
        <f aca="false">IF(CR909&gt;0,INDEX(Parameter!$H$5:$H$7,W909)/INDEX(Parameter!$E$5:$E$7,W909),IF(AND(CA909=0,N(IFERROR(VLOOKUP(BY909,'Gebinde-Kategorie'!$A$5:$N$45,14,0),0))&gt;0),VLOOKUP(BY909,'Gebinde-Kategorie'!$A$5:$N$45,14,0)*10+Parameter!$M$23,Parameter!$M$24))</f>
        <v>155</v>
      </c>
      <c r="CD909" s="60" t="str">
        <f aca="false">IF(AND(Parameter!$B$19="Ja",E909&lt;&gt;"",ISNUMBER(MATCH(E909,Parameter!$I$35:$I$52,0))),VLOOKUP(E909,Parameter!$I$35:$J$52,2,0),IFERROR(VLOOKUP(D909,Parameter!$A$35:$C$64,2,0),"Nein"))</f>
        <v>2+3</v>
      </c>
      <c r="CE909" s="64" t="n">
        <f aca="false">IF(CA909=0,0,IF(N(S909)&gt;0,S909,IFERROR(VLOOKUP(D909,Parameter!$A$35:$C$64,3,0)+0,0)))</f>
        <v>0</v>
      </c>
      <c r="CF909" s="60" t="n">
        <f aca="false">IF(AB909&lt;&gt;"",AB909,AA909)</f>
        <v>3</v>
      </c>
      <c r="CG909" s="60" t="str">
        <f aca="false">IF(OR(CF909=1,CF909=2,CF909=3),IF(Parameter!$E$27="Ja","LIFT",IF(CF909=1,"L1","L23")),IF(CF909="Aussen","Aussen","-"))</f>
        <v>LIFT</v>
      </c>
      <c r="CH909" s="71" t="n">
        <f aca="false">IF(N(AC909)&gt;0,AC909,0)</f>
        <v>0</v>
      </c>
      <c r="CI909" s="65" t="n">
        <f aca="false">IF(ISNUMBER(AF909),1,0)</f>
        <v>0</v>
      </c>
      <c r="CJ909" s="62" t="n">
        <f aca="false">N(AF909)</f>
        <v>0</v>
      </c>
      <c r="CK909" s="62" t="n">
        <f aca="false">N(M909)+N(N909)</f>
        <v>20</v>
      </c>
      <c r="CL909" s="62" t="n">
        <f aca="false">N(M909)</f>
        <v>0</v>
      </c>
      <c r="CM909" s="62" t="n">
        <f aca="false">N(N909)</f>
        <v>20</v>
      </c>
      <c r="CN909" s="62" t="n">
        <f aca="false">ROUNDUP(H909/BZ909,0)</f>
        <v>1</v>
      </c>
      <c r="CO909" s="62" t="n">
        <f aca="false">ROUNDUP(CJ909/BZ909,0)</f>
        <v>0</v>
      </c>
      <c r="CP909" s="65" t="n">
        <f aca="false">IF(CA909=1,0,IFERROR(VLOOKUP(BY909,'Gebinde-Kategorie'!$A$5:$N$45,5,0)+0,0))</f>
        <v>8</v>
      </c>
      <c r="CQ909" s="65" t="n">
        <f aca="false">IFERROR(IF(OR(CF909=1,CF909=2,CF909=3),N(INDEX(Parameter!$I$5:$I$7,CF909)),0),0)</f>
        <v>0</v>
      </c>
      <c r="CR909" s="64" t="n">
        <f aca="false">IF(AND(Parameter!$B$21="Ja",ISNUMBER(W909),N(X909)&gt;0),IFERROR(N(INDEX(Parameter!$L$5:$L$7,W909))*INDEX(Parameter!$E$5:$E$7,W909)*X909/SUMIFS($X$7:$X$1843,$W$7:$W$1843,W909),0),0)</f>
        <v>0</v>
      </c>
      <c r="CS909" s="62" t="n">
        <f aca="false">IF(AND(OR(CG909="L1",CG909="L23",CG909="LIFT"),H909&gt;0),CC909*IF(CR909&gt;0,CR909*MAX(1,H909/X909),IF(CA909=1,CE909,IF(R909&gt;0,CN909/R909,0))/MAX(0.1,N(Parameter!$M$21))),"")</f>
        <v>1.49038461538462</v>
      </c>
      <c r="CT909" s="64" t="n">
        <f aca="false">IF(CS909="","",J909/H909)</f>
        <v>2.44444444444444</v>
      </c>
      <c r="CU909" s="62" t="n">
        <f aca="false">IF(CS909="","",H909*G909)</f>
        <v>64.71</v>
      </c>
      <c r="CV909" s="63" t="n">
        <f aca="false">IF(CS909="","",(CL909+ROUNDUP(CL909+MAX(CM909,2*(J909/MAX(0.1,N(Einkauf!$C$6))-CL909)),0))/2)</f>
        <v>10</v>
      </c>
      <c r="CW909" s="62" t="n">
        <f aca="false">IF(CS909="","",MAX(0,H909-CV909)*G909)</f>
        <v>0</v>
      </c>
      <c r="CX909" s="62" t="n">
        <f aca="false">IF(CS909="","",CS909*MAX(0,1-CV909/H909))</f>
        <v>0</v>
      </c>
      <c r="CY909" s="64" t="n">
        <f aca="false">IF(CS909="","",PERCENTRANK($CS$7:$CS$1843,CS909)+PERCENTRANK($CU$7:$CU$1843,CU909)+1-PERCENTRANK($CT$7:$CT$1843,CT909))</f>
        <v>0.442</v>
      </c>
      <c r="CZ909" s="72" t="n">
        <f aca="false">IF(CS909="","",CHOOSE(MATCH(Einkauf!$C$5,Parameter!$G$23:$G$27,0),CY909,CS909,CU909,-CT909,CW909)+ROW()/1000000000)</f>
        <v>0.442000909</v>
      </c>
    </row>
    <row r="910" customFormat="false" ht="15" hidden="false" customHeight="false" outlineLevel="0" collapsed="false">
      <c r="A910" s="60" t="s">
        <v>1748</v>
      </c>
      <c r="B910" s="60" t="s">
        <v>1093</v>
      </c>
      <c r="C910" s="60" t="s">
        <v>206</v>
      </c>
      <c r="D910" s="60" t="s">
        <v>226</v>
      </c>
      <c r="E910" s="60"/>
      <c r="F910" s="60" t="s">
        <v>260</v>
      </c>
      <c r="G910" s="61" t="n">
        <v>37.68</v>
      </c>
      <c r="H910" s="62" t="n">
        <f aca="false">MAX(0,IF(AND(Parameter!$B$21="Ja",ISNUMBER(Y910)),Y910,IF(Parameter!$B$20="Jahresanfang 2025 + Export",BS910+BR910,BR910)))</f>
        <v>19</v>
      </c>
      <c r="I910" s="62" t="n">
        <f aca="false">H910*G910</f>
        <v>715.92</v>
      </c>
      <c r="J910" s="62" t="n">
        <f aca="false">BU910*Parameter!$B$18</f>
        <v>0</v>
      </c>
      <c r="K910" s="63" t="n">
        <v>19.5</v>
      </c>
      <c r="L910" s="64" t="n">
        <v>0</v>
      </c>
      <c r="M910" s="62" t="n">
        <v>0</v>
      </c>
      <c r="N910" s="62" t="n">
        <v>1</v>
      </c>
      <c r="O910" s="65" t="n">
        <v>70</v>
      </c>
      <c r="P910" s="60" t="s">
        <v>210</v>
      </c>
      <c r="Q910" s="62"/>
      <c r="R910" s="65" t="n">
        <f aca="false">IF(CA910=1,0,IFERROR(VLOOKUP(BY910,'Gebinde-Kategorie'!$A$5:$N$45,13,0)+0,0))</f>
        <v>12</v>
      </c>
      <c r="S910" s="66"/>
      <c r="T910" s="67" t="s">
        <v>221</v>
      </c>
      <c r="U910" s="67"/>
      <c r="V910" s="67"/>
      <c r="W910" s="60"/>
      <c r="X910" s="62"/>
      <c r="Y910" s="62"/>
      <c r="Z910" s="60" t="n">
        <v>3</v>
      </c>
      <c r="AA910" s="60" t="n">
        <f aca="false">IF(A910="","",IF(AND(Parameter!$B$21="Ja",ISNUMBER(W910)),W910,IF(AND(Parameter!$E$27="Ja",ISNUMBER(Z910),CD910&lt;&gt;"Nein"),Z910,IF(CD910="2+3",IF(ISNUMBER(SEARCH("grosser Artikel",BV910)),2,IFERROR(VLOOKUP(BY910,Parameter!$F$35:$G$64,2,0),2)),IF(OR(CD910="Nein",CD910=""),"-",CD910)))))</f>
        <v>3</v>
      </c>
      <c r="AB910" s="67"/>
      <c r="AC910" s="68"/>
      <c r="AD910" s="62" t="n">
        <f aca="false">AW910</f>
        <v>1</v>
      </c>
      <c r="AE910" s="62" t="n">
        <f aca="false">MAX(AW910,H910)</f>
        <v>19</v>
      </c>
      <c r="AF910" s="69"/>
      <c r="AG910" s="62" t="n">
        <f aca="false">IF(LEFT(Cockpit!$C$5,1)="A",H910,IF(Parameter!$E$30="MAX-Bestand",IF(CI910=1,CJ910,IF(LEFT(Cockpit!$C$5,1)="B",AM910,MAX(AM910,H910))),ROUNDUP(AK910,0)))</f>
        <v>19</v>
      </c>
      <c r="AH910" s="62" t="n">
        <f aca="false">IF(CA910=1,0,ROUNDUP(AG910/BZ910,0))</f>
        <v>1</v>
      </c>
      <c r="AI910" s="64" t="n">
        <f aca="false">IF(CR910&gt;0,CR910*MAX(1,AG910/X910),IF(CA910=1,IF(AG910&lt;=0,0,CE910*MAX(1,IF(H910&gt;0,AG910/H910,1))),IF(R910&gt;0,AH910/R910,0))/MAX(0.1,N(Parameter!$M$21)))</f>
        <v>0.0833333333333333</v>
      </c>
      <c r="AJ910" s="62" t="n">
        <f aca="false">AI910*CC910</f>
        <v>12.0833333333333</v>
      </c>
      <c r="AK910" s="63" t="n">
        <f aca="false">IF(LEFT(Cockpit!$C$5,1)="A",H910,IF(CI910=1,(CL910+CJ910)/2,IF(LEFT(Cockpit!$C$5,1)="B",(CL910+AM910)/2,MAX((CL910+AM910)/2,H910))))</f>
        <v>19</v>
      </c>
      <c r="AL910" s="62" t="n">
        <f aca="false">AK910*G910</f>
        <v>715.92</v>
      </c>
      <c r="AM910" s="62" t="n">
        <f aca="false">ROUNDUP(CL910+MAX(CM910,2*(J910/IF(CH910&gt;0,CH910,MAX(0.1,N(Cockpit!$C$6)))-CL910)),0)</f>
        <v>1</v>
      </c>
      <c r="AN910" s="63" t="n">
        <f aca="false">IF(AJ910&gt;0,J910/AJ910,-1)</f>
        <v>0</v>
      </c>
      <c r="AO910" s="63" t="n">
        <f aca="false">IF(AND(OR(CG910="L1",CG910="L23",CG910="LIFT"),AJ910&gt;0),SUMIFS($AJ$7:$AJ$1843,$CG$7:$CG$1843,CG910,$AN$7:$AN$1843,"&gt;"&amp;AN910)+SUMIFS($AJ$7:$AJ$1843,$CG$7:$CG$1843,CG910,$AN$7:$AN$1843,AN910,$BX$7:$BX$1843,"&lt;="&amp;BX910),"")</f>
        <v>28847.6210472672</v>
      </c>
      <c r="AP910" s="70" t="n">
        <f aca="false">IF(AO910="",0,MAX(0,MIN(1,(IF(CG910="L1",Parameter!$H$5,IF(CG910="L23",Parameter!$H$6+Parameter!$H$7,Parameter!$H$5+Parameter!$H$6+Parameter!$H$7))-(AO910-AJ910))/AJ910)))</f>
        <v>1</v>
      </c>
      <c r="AQ910" s="62" t="n">
        <f aca="false">IF(LEFT(Cockpit!$I$5,1)="A",H910,IF(Parameter!$E$30="MAX-Bestand",IF(CI910=1,CJ910,IF(LEFT(Cockpit!$I$5,1)="B",AW910,MAX(AW910,H910))),ROUNDUP(AU910,0)))</f>
        <v>19</v>
      </c>
      <c r="AR910" s="62" t="n">
        <f aca="false">IF(CA910=1,0,ROUNDUP(AQ910/BZ910,0))</f>
        <v>1</v>
      </c>
      <c r="AS910" s="64" t="n">
        <f aca="false">IF(CR910&gt;0,CR910*MAX(1,AQ910/X910),IF(CA910=1,IF(AQ910&lt;=0,0,CE910*MAX(1,IF(H910&gt;0,AQ910/H910,1))),IF(R910&gt;0,AR910/R910,0))/MAX(0.1,N(Parameter!$M$21)))</f>
        <v>0.0833333333333333</v>
      </c>
      <c r="AT910" s="62" t="n">
        <f aca="false">AS910*CC910</f>
        <v>12.0833333333333</v>
      </c>
      <c r="AU910" s="63" t="n">
        <f aca="false">IF(LEFT(Cockpit!$I$5,1)="A",H910,IF(CI910=1,(CL910+CJ910)/2,IF(LEFT(Cockpit!$I$5,1)="B",(CL910+AW910)/2,MAX((CL910+AW910)/2,H910))))</f>
        <v>19</v>
      </c>
      <c r="AV910" s="62" t="n">
        <f aca="false">AU910*G910</f>
        <v>715.92</v>
      </c>
      <c r="AW910" s="62" t="n">
        <f aca="false">ROUNDUP(CL910+MAX(CM910,2*(J910/IF(CH910&gt;0,CH910,MAX(0.1,N(Cockpit!$I$6)))-CL910)),0)</f>
        <v>1</v>
      </c>
      <c r="AX910" s="63" t="n">
        <f aca="false">IF(AT910&gt;0,J910/AT910,-1)</f>
        <v>0</v>
      </c>
      <c r="AY910" s="63" t="n">
        <f aca="false">IF(AND(OR(CG910="L1",CG910="L23",CG910="LIFT"),AT910&gt;0),SUMIFS($AT$7:$AT$1843,$CG$7:$CG$1843,CG910,$AX$7:$AX$1843,"&gt;"&amp;AX910)+SUMIFS($AT$7:$AT$1843,$CG$7:$CG$1843,CG910,$AX$7:$AX$1843,AX910,$BX$7:$BX$1843,"&lt;="&amp;BX910),"")</f>
        <v>34497.6694139194</v>
      </c>
      <c r="AZ910" s="70" t="n">
        <f aca="false">IF(AY910="",0,MAX(0,MIN(1,(IF(CG910="L1",Parameter!$H$5,IF(CG910="L23",Parameter!$H$6+Parameter!$H$7,Parameter!$H$5+Parameter!$H$6+Parameter!$H$7))-(AY910-AT910))/AT910)))</f>
        <v>1</v>
      </c>
      <c r="BA910" s="62" t="n">
        <f aca="false">IF(LEFT(Cockpit!$O$5,1)="A",H910,IF(Parameter!$E$30="MAX-Bestand",IF(CI910=1,CJ910,IF(LEFT(Cockpit!$O$5,1)="B",BG910,MAX(BG910,H910))),ROUNDUP(BE910,0)))</f>
        <v>1</v>
      </c>
      <c r="BB910" s="62" t="n">
        <f aca="false">IF(CA910=1,0,ROUNDUP(BA910/BZ910,0))</f>
        <v>1</v>
      </c>
      <c r="BC910" s="64" t="n">
        <f aca="false">IF(CR910&gt;0,CR910*MAX(1,BA910/X910),IF(CA910=1,IF(BA910&lt;=0,0,CE910*MAX(1,IF(H910&gt;0,BA910/H910,1))),IF(R910&gt;0,BB910/R910,0))/MAX(0.1,N(Parameter!$M$21)))</f>
        <v>0.0833333333333333</v>
      </c>
      <c r="BD910" s="62" t="n">
        <f aca="false">BC910*CC910</f>
        <v>12.0833333333333</v>
      </c>
      <c r="BE910" s="63" t="n">
        <f aca="false">IF(LEFT(Cockpit!$O$5,1)="A",H910,IF(CI910=1,(CL910+CJ910)/2,IF(LEFT(Cockpit!$O$5,1)="B",(CL910+BG910)/2,MAX((CL910+BG910)/2,H910))))</f>
        <v>0.5</v>
      </c>
      <c r="BF910" s="62" t="n">
        <f aca="false">BE910*G910</f>
        <v>18.84</v>
      </c>
      <c r="BG910" s="62" t="n">
        <f aca="false">ROUNDUP(CL910+MAX(CM910,2*(J910/IF(CH910&gt;0,CH910,MAX(0.1,N(Cockpit!$O$6)))-CL910)),0)</f>
        <v>1</v>
      </c>
      <c r="BH910" s="63" t="n">
        <f aca="false">IF(BD910&gt;0,J910/BD910,-1)</f>
        <v>0</v>
      </c>
      <c r="BI910" s="63" t="n">
        <f aca="false">IF(AND(OR(CG910="L1",CG910="L23",CG910="LIFT"),BD910&gt;0),SUMIFS($BD$7:$BD$1843,$CG$7:$CG$1843,CG910,$BH$7:$BH$1843,"&gt;"&amp;BH910)+SUMIFS($BD$7:$BD$1843,$CG$7:$CG$1843,CG910,$BH$7:$BH$1843,BH910,$BX$7:$BX$1843,"&lt;="&amp;BX910),"")</f>
        <v>28529.2755246166</v>
      </c>
      <c r="BJ910" s="70" t="n">
        <f aca="false">IF(BI910="",0,MAX(0,MIN(1,(IF(CG910="L1",Parameter!$H$5,IF(CG910="L23",Parameter!$H$6+Parameter!$H$7,Parameter!$H$5+Parameter!$H$6+Parameter!$H$7))-(BI910-BD910))/BD910)))</f>
        <v>1</v>
      </c>
      <c r="BK910" s="60" t="str">
        <f aca="false">IF(AJ910&lt;=0,"",IF(CG910="Aussen","Aussenlager",IF(CG910="-","Nicht im Lift",IF(AP910&gt;=1,"Lift",IF(AP910&lt;=0,"Aussenlager","teilweise")))))</f>
        <v>Lift</v>
      </c>
      <c r="BL910" s="60" t="str">
        <f aca="false">IF(AT910&lt;=0,"",IF(CG910="Aussen","Aussenlager",IF(CG910="-","Nicht im Lift",IF(AZ910&gt;=1,"Lift",IF(AZ910&lt;=0,"Aussenlager","teilweise")))))</f>
        <v>Lift</v>
      </c>
      <c r="BM910" s="60" t="str">
        <f aca="false">IF(BD910&lt;=0,"",IF(CG910="Aussen","Aussenlager",IF(CG910="-","Nicht im Lift",IF(BJ910&gt;=1,"Lift",IF(BJ910&lt;=0,"Aussenlager","teilweise")))))</f>
        <v>Lift</v>
      </c>
      <c r="BN910" s="60" t="str">
        <f aca="false">IF(A910="","",IF(BW910=1,"Neu; ","")&amp;IF(AND(BW910=0,BR910&lt;0),"negativer Bestand (Export "&amp;BR910&amp;"); ","")&amp;IF(J910&lt;=0,"Kein Verbrauch; ","")&amp;IF(CR910&gt;0,"Lift "&amp;W910&amp;" lt. Liftbericht (Fach "&amp;X910&amp;" Stk); ",IF(CB910=1,"Gebinde geschätzt ("&amp;T910&amp;"); ",IF(CA910=1,"Lose – Tablare geschätzt; ","")))&amp;IF(H910&gt;AW910,"Überbestand "&amp;ROUND(H910-AW910,0)&amp;" Stk / CHF "&amp;ROUND((H910-AW910)*G910,0)&amp;"; ","")&amp;IF(AND(CI910=1,CJ910&lt;CK910),"MAX &lt; MB+LG; ","")&amp;IF(AND(CQ910&gt;0,CP910*10&gt;CQ910),"zu hoch für Tablar; ","")&amp;IF(AND(BW910=0,OR(CI910=1,AB910&lt;&gt;"",U910&lt;&gt;"",V910&lt;&gt;"",AC910&lt;&gt;"")),"manuell übersteuert; ","")&amp;IF(AND(CA910=0,R910=0),"Gebinde unbekannt / Stellmass fehlt; ","")&amp;IF(AND(CA910=0,N(V910)&lt;=0,N(Q910)&lt;=0),"Menge pro Gebinde fehlt (Ist = 1 Gebinde); ","")&amp;BV910)</f>
        <v>negativer Bestand (Export -1); Kein Verbrauch; Gebinde geschätzt (Mittel); Überbestand 18 Stk / CHF 678; Menge pro Gebinde fehlt (Ist = 1 Gebinde); </v>
      </c>
      <c r="BO910" s="60"/>
      <c r="BP910" s="60"/>
      <c r="BQ910" s="67"/>
      <c r="BR910" s="62" t="n">
        <v>-1</v>
      </c>
      <c r="BS910" s="62" t="n">
        <v>20</v>
      </c>
      <c r="BT910" s="61" t="n">
        <v>-37.68</v>
      </c>
      <c r="BU910" s="62" t="n">
        <v>0</v>
      </c>
      <c r="BV910" s="60"/>
      <c r="BW910" s="65" t="n">
        <v>0</v>
      </c>
      <c r="BX910" s="65" t="n">
        <v>910</v>
      </c>
      <c r="BY910" s="60" t="str">
        <f aca="false">IF(U910&lt;&gt;"",UPPER(TRIM(U910)),IF(CB910=1,UPPER(VLOOKUP(T910,Parameter!$I$27:$K$29,2,0)),IF(P910="","LOSE",P910)))</f>
        <v>S61</v>
      </c>
      <c r="BZ910" s="62" t="n">
        <f aca="false">IF(BY910="LOSE",1,IF(N(V910)&gt;0,V910,IF(CB910=1,MAX(1,N(VLOOKUP(T910,Parameter!$I$27:$K$29,3,0)),H910,N(N910)),IF(N(Q910)&gt;0,Q910,MAX(1,H910)))))</f>
        <v>19</v>
      </c>
      <c r="CA910" s="65" t="n">
        <f aca="false">IF(BY910="LOSE",1,0)</f>
        <v>0</v>
      </c>
      <c r="CB910" s="65" t="n">
        <f aca="false">IF(AND(U910="",OR(P910="",P910="LOSE"),T910&lt;&gt;"",N(S910)&lt;=0,ISNUMBER(MATCH(T910,Parameter!$I$27:$I$29,0))),1,0)</f>
        <v>1</v>
      </c>
      <c r="CC910" s="65" t="n">
        <f aca="false">IF(CR910&gt;0,INDEX(Parameter!$H$5:$H$7,W910)/INDEX(Parameter!$E$5:$E$7,W910),IF(AND(CA910=0,N(IFERROR(VLOOKUP(BY910,'Gebinde-Kategorie'!$A$5:$N$45,14,0),0))&gt;0),VLOOKUP(BY910,'Gebinde-Kategorie'!$A$5:$N$45,14,0)*10+Parameter!$M$23,Parameter!$M$24))</f>
        <v>145</v>
      </c>
      <c r="CD910" s="60" t="str">
        <f aca="false">IF(AND(Parameter!$B$19="Ja",E910&lt;&gt;"",ISNUMBER(MATCH(E910,Parameter!$I$35:$I$52,0))),VLOOKUP(E910,Parameter!$I$35:$J$52,2,0),IFERROR(VLOOKUP(D910,Parameter!$A$35:$C$64,2,0),"Nein"))</f>
        <v>2+3</v>
      </c>
      <c r="CE910" s="64" t="n">
        <f aca="false">IF(CA910=0,0,IF(N(S910)&gt;0,S910,IFERROR(VLOOKUP(D910,Parameter!$A$35:$C$64,3,0)+0,0)))</f>
        <v>0</v>
      </c>
      <c r="CF910" s="60" t="n">
        <f aca="false">IF(AB910&lt;&gt;"",AB910,AA910)</f>
        <v>3</v>
      </c>
      <c r="CG910" s="60" t="str">
        <f aca="false">IF(OR(CF910=1,CF910=2,CF910=3),IF(Parameter!$E$27="Ja","LIFT",IF(CF910=1,"L1","L23")),IF(CF910="Aussen","Aussen","-"))</f>
        <v>LIFT</v>
      </c>
      <c r="CH910" s="71" t="n">
        <f aca="false">IF(N(AC910)&gt;0,AC910,0)</f>
        <v>0</v>
      </c>
      <c r="CI910" s="65" t="n">
        <f aca="false">IF(ISNUMBER(AF910),1,0)</f>
        <v>0</v>
      </c>
      <c r="CJ910" s="62" t="n">
        <f aca="false">N(AF910)</f>
        <v>0</v>
      </c>
      <c r="CK910" s="62" t="n">
        <f aca="false">N(M910)+N(N910)</f>
        <v>1</v>
      </c>
      <c r="CL910" s="62" t="n">
        <f aca="false">N(M910)</f>
        <v>0</v>
      </c>
      <c r="CM910" s="62" t="n">
        <f aca="false">N(N910)</f>
        <v>1</v>
      </c>
      <c r="CN910" s="62" t="n">
        <f aca="false">ROUNDUP(H910/BZ910,0)</f>
        <v>1</v>
      </c>
      <c r="CO910" s="62" t="n">
        <f aca="false">ROUNDUP(CJ910/BZ910,0)</f>
        <v>0</v>
      </c>
      <c r="CP910" s="65" t="n">
        <f aca="false">IF(CA910=1,0,IFERROR(VLOOKUP(BY910,'Gebinde-Kategorie'!$A$5:$N$45,5,0)+0,0))</f>
        <v>11</v>
      </c>
      <c r="CQ910" s="65" t="n">
        <f aca="false">IFERROR(IF(OR(CF910=1,CF910=2,CF910=3),N(INDEX(Parameter!$I$5:$I$7,CF910)),0),0)</f>
        <v>0</v>
      </c>
      <c r="CR910" s="64" t="n">
        <f aca="false">IF(AND(Parameter!$B$21="Ja",ISNUMBER(W910),N(X910)&gt;0),IFERROR(N(INDEX(Parameter!$L$5:$L$7,W910))*INDEX(Parameter!$E$5:$E$7,W910)*X910/SUMIFS($X$7:$X$1843,$W$7:$W$1843,W910),0),0)</f>
        <v>0</v>
      </c>
      <c r="CS910" s="62" t="n">
        <f aca="false">IF(AND(OR(CG910="L1",CG910="L23",CG910="LIFT"),H910&gt;0),CC910*IF(CR910&gt;0,CR910*MAX(1,H910/X910),IF(CA910=1,CE910,IF(R910&gt;0,CN910/R910,0))/MAX(0.1,N(Parameter!$M$21))),"")</f>
        <v>12.0833333333333</v>
      </c>
      <c r="CT910" s="64" t="n">
        <f aca="false">IF(CS910="","",J910/H910)</f>
        <v>0</v>
      </c>
      <c r="CU910" s="62" t="n">
        <f aca="false">IF(CS910="","",H910*G910)</f>
        <v>715.92</v>
      </c>
      <c r="CV910" s="63" t="n">
        <f aca="false">IF(CS910="","",(CL910+ROUNDUP(CL910+MAX(CM910,2*(J910/MAX(0.1,N(Einkauf!$C$6))-CL910)),0))/2)</f>
        <v>0.5</v>
      </c>
      <c r="CW910" s="62" t="n">
        <f aca="false">IF(CS910="","",MAX(0,H910-CV910)*G910)</f>
        <v>697.08</v>
      </c>
      <c r="CX910" s="62" t="n">
        <f aca="false">IF(CS910="","",CS910*MAX(0,1-CV910/H910))</f>
        <v>11.765350877193</v>
      </c>
      <c r="CY910" s="64" t="n">
        <f aca="false">IF(CS910="","",PERCENTRANK($CS$7:$CS$1843,CS910)+PERCENTRANK($CU$7:$CU$1843,CU910)+1-PERCENTRANK($CT$7:$CT$1843,CT910))</f>
        <v>2.243</v>
      </c>
      <c r="CZ910" s="72" t="n">
        <f aca="false">IF(CS910="","",CHOOSE(MATCH(Einkauf!$C$5,Parameter!$G$23:$G$27,0),CY910,CS910,CU910,-CT910,CW910)+ROW()/1000000000)</f>
        <v>2.24300091</v>
      </c>
    </row>
    <row r="911" customFormat="false" ht="15" hidden="false" customHeight="false" outlineLevel="0" collapsed="false">
      <c r="A911" s="60" t="s">
        <v>1749</v>
      </c>
      <c r="B911" s="60" t="s">
        <v>1750</v>
      </c>
      <c r="C911" s="60" t="s">
        <v>206</v>
      </c>
      <c r="D911" s="60" t="s">
        <v>226</v>
      </c>
      <c r="E911" s="60" t="s">
        <v>227</v>
      </c>
      <c r="F911" s="60" t="s">
        <v>260</v>
      </c>
      <c r="G911" s="61" t="n">
        <v>38.53</v>
      </c>
      <c r="H911" s="62" t="n">
        <f aca="false">MAX(0,IF(AND(Parameter!$B$21="Ja",ISNUMBER(Y911)),Y911,IF(Parameter!$B$20="Jahresanfang 2025 + Export",BS911+BR911,BR911)))</f>
        <v>7</v>
      </c>
      <c r="I911" s="62" t="n">
        <f aca="false">H911*G911</f>
        <v>269.71</v>
      </c>
      <c r="J911" s="62" t="n">
        <f aca="false">BU911*Parameter!$B$18</f>
        <v>0</v>
      </c>
      <c r="K911" s="63" t="n">
        <v>8</v>
      </c>
      <c r="L911" s="64" t="n">
        <v>0</v>
      </c>
      <c r="M911" s="62" t="n">
        <v>0</v>
      </c>
      <c r="N911" s="62" t="n">
        <v>1</v>
      </c>
      <c r="O911" s="65" t="n">
        <v>70</v>
      </c>
      <c r="P911" s="60" t="s">
        <v>518</v>
      </c>
      <c r="Q911" s="62" t="n">
        <v>16</v>
      </c>
      <c r="R911" s="65" t="n">
        <f aca="false">IF(CA911=1,0,IFERROR(VLOOKUP(BY911,'Gebinde-Kategorie'!$A$5:$N$45,13,0)+0,0))</f>
        <v>52</v>
      </c>
      <c r="S911" s="66"/>
      <c r="T911" s="67"/>
      <c r="U911" s="67"/>
      <c r="V911" s="67"/>
      <c r="W911" s="60"/>
      <c r="X911" s="62"/>
      <c r="Y911" s="62"/>
      <c r="Z911" s="60" t="n">
        <v>3</v>
      </c>
      <c r="AA911" s="60" t="n">
        <f aca="false">IF(A911="","",IF(AND(Parameter!$B$21="Ja",ISNUMBER(W911)),W911,IF(AND(Parameter!$E$27="Ja",ISNUMBER(Z911),CD911&lt;&gt;"Nein"),Z911,IF(CD911="2+3",IF(ISNUMBER(SEARCH("grosser Artikel",BV911)),2,IFERROR(VLOOKUP(BY911,Parameter!$F$35:$G$64,2,0),2)),IF(OR(CD911="Nein",CD911=""),"-",CD911)))))</f>
        <v>3</v>
      </c>
      <c r="AB911" s="67"/>
      <c r="AC911" s="68"/>
      <c r="AD911" s="62" t="n">
        <f aca="false">AW911</f>
        <v>1</v>
      </c>
      <c r="AE911" s="62" t="n">
        <f aca="false">MAX(AW911,H911)</f>
        <v>7</v>
      </c>
      <c r="AF911" s="69"/>
      <c r="AG911" s="62" t="n">
        <f aca="false">IF(LEFT(Cockpit!$C$5,1)="A",H911,IF(Parameter!$E$30="MAX-Bestand",IF(CI911=1,CJ911,IF(LEFT(Cockpit!$C$5,1)="B",AM911,MAX(AM911,H911))),ROUNDUP(AK911,0)))</f>
        <v>7</v>
      </c>
      <c r="AH911" s="62" t="n">
        <f aca="false">IF(CA911=1,0,ROUNDUP(AG911/BZ911,0))</f>
        <v>1</v>
      </c>
      <c r="AI911" s="64" t="n">
        <f aca="false">IF(CR911&gt;0,CR911*MAX(1,AG911/X911),IF(CA911=1,IF(AG911&lt;=0,0,CE911*MAX(1,IF(H911&gt;0,AG911/H911,1))),IF(R911&gt;0,AH911/R911,0))/MAX(0.1,N(Parameter!$M$21)))</f>
        <v>0.0192307692307692</v>
      </c>
      <c r="AJ911" s="62" t="n">
        <f aca="false">AI911*CC911</f>
        <v>2.98076923076923</v>
      </c>
      <c r="AK911" s="63" t="n">
        <f aca="false">IF(LEFT(Cockpit!$C$5,1)="A",H911,IF(CI911=1,(CL911+CJ911)/2,IF(LEFT(Cockpit!$C$5,1)="B",(CL911+AM911)/2,MAX((CL911+AM911)/2,H911))))</f>
        <v>7</v>
      </c>
      <c r="AL911" s="62" t="n">
        <f aca="false">AK911*G911</f>
        <v>269.71</v>
      </c>
      <c r="AM911" s="62" t="n">
        <f aca="false">ROUNDUP(CL911+MAX(CM911,2*(J911/IF(CH911&gt;0,CH911,MAX(0.1,N(Cockpit!$C$6)))-CL911)),0)</f>
        <v>1</v>
      </c>
      <c r="AN911" s="63" t="n">
        <f aca="false">IF(AJ911&gt;0,J911/AJ911,-1)</f>
        <v>0</v>
      </c>
      <c r="AO911" s="63" t="n">
        <f aca="false">IF(AND(OR(CG911="L1",CG911="L23",CG911="LIFT"),AJ911&gt;0),SUMIFS($AJ$7:$AJ$1843,$CG$7:$CG$1843,CG911,$AN$7:$AN$1843,"&gt;"&amp;AN911)+SUMIFS($AJ$7:$AJ$1843,$CG$7:$CG$1843,CG911,$AN$7:$AN$1843,AN911,$BX$7:$BX$1843,"&lt;="&amp;BX911),"")</f>
        <v>28850.601816498</v>
      </c>
      <c r="AP911" s="70" t="n">
        <f aca="false">IF(AO911="",0,MAX(0,MIN(1,(IF(CG911="L1",Parameter!$H$5,IF(CG911="L23",Parameter!$H$6+Parameter!$H$7,Parameter!$H$5+Parameter!$H$6+Parameter!$H$7))-(AO911-AJ911))/AJ911)))</f>
        <v>1</v>
      </c>
      <c r="AQ911" s="62" t="n">
        <f aca="false">IF(LEFT(Cockpit!$I$5,1)="A",H911,IF(Parameter!$E$30="MAX-Bestand",IF(CI911=1,CJ911,IF(LEFT(Cockpit!$I$5,1)="B",AW911,MAX(AW911,H911))),ROUNDUP(AU911,0)))</f>
        <v>7</v>
      </c>
      <c r="AR911" s="62" t="n">
        <f aca="false">IF(CA911=1,0,ROUNDUP(AQ911/BZ911,0))</f>
        <v>1</v>
      </c>
      <c r="AS911" s="64" t="n">
        <f aca="false">IF(CR911&gt;0,CR911*MAX(1,AQ911/X911),IF(CA911=1,IF(AQ911&lt;=0,0,CE911*MAX(1,IF(H911&gt;0,AQ911/H911,1))),IF(R911&gt;0,AR911/R911,0))/MAX(0.1,N(Parameter!$M$21)))</f>
        <v>0.0192307692307692</v>
      </c>
      <c r="AT911" s="62" t="n">
        <f aca="false">AS911*CC911</f>
        <v>2.98076923076923</v>
      </c>
      <c r="AU911" s="63" t="n">
        <f aca="false">IF(LEFT(Cockpit!$I$5,1)="A",H911,IF(CI911=1,(CL911+CJ911)/2,IF(LEFT(Cockpit!$I$5,1)="B",(CL911+AW911)/2,MAX((CL911+AW911)/2,H911))))</f>
        <v>7</v>
      </c>
      <c r="AV911" s="62" t="n">
        <f aca="false">AU911*G911</f>
        <v>269.71</v>
      </c>
      <c r="AW911" s="62" t="n">
        <f aca="false">ROUNDUP(CL911+MAX(CM911,2*(J911/IF(CH911&gt;0,CH911,MAX(0.1,N(Cockpit!$I$6)))-CL911)),0)</f>
        <v>1</v>
      </c>
      <c r="AX911" s="63" t="n">
        <f aca="false">IF(AT911&gt;0,J911/AT911,-1)</f>
        <v>0</v>
      </c>
      <c r="AY911" s="63" t="n">
        <f aca="false">IF(AND(OR(CG911="L1",CG911="L23",CG911="LIFT"),AT911&gt;0),SUMIFS($AT$7:$AT$1843,$CG$7:$CG$1843,CG911,$AX$7:$AX$1843,"&gt;"&amp;AX911)+SUMIFS($AT$7:$AT$1843,$CG$7:$CG$1843,CG911,$AX$7:$AX$1843,AX911,$BX$7:$BX$1843,"&lt;="&amp;BX911),"")</f>
        <v>34500.6501831502</v>
      </c>
      <c r="AZ911" s="70" t="n">
        <f aca="false">IF(AY911="",0,MAX(0,MIN(1,(IF(CG911="L1",Parameter!$H$5,IF(CG911="L23",Parameter!$H$6+Parameter!$H$7,Parameter!$H$5+Parameter!$H$6+Parameter!$H$7))-(AY911-AT911))/AT911)))</f>
        <v>1</v>
      </c>
      <c r="BA911" s="62" t="n">
        <f aca="false">IF(LEFT(Cockpit!$O$5,1)="A",H911,IF(Parameter!$E$30="MAX-Bestand",IF(CI911=1,CJ911,IF(LEFT(Cockpit!$O$5,1)="B",BG911,MAX(BG911,H911))),ROUNDUP(BE911,0)))</f>
        <v>1</v>
      </c>
      <c r="BB911" s="62" t="n">
        <f aca="false">IF(CA911=1,0,ROUNDUP(BA911/BZ911,0))</f>
        <v>1</v>
      </c>
      <c r="BC911" s="64" t="n">
        <f aca="false">IF(CR911&gt;0,CR911*MAX(1,BA911/X911),IF(CA911=1,IF(BA911&lt;=0,0,CE911*MAX(1,IF(H911&gt;0,BA911/H911,1))),IF(R911&gt;0,BB911/R911,0))/MAX(0.1,N(Parameter!$M$21)))</f>
        <v>0.0192307692307692</v>
      </c>
      <c r="BD911" s="62" t="n">
        <f aca="false">BC911*CC911</f>
        <v>2.98076923076923</v>
      </c>
      <c r="BE911" s="63" t="n">
        <f aca="false">IF(LEFT(Cockpit!$O$5,1)="A",H911,IF(CI911=1,(CL911+CJ911)/2,IF(LEFT(Cockpit!$O$5,1)="B",(CL911+BG911)/2,MAX((CL911+BG911)/2,H911))))</f>
        <v>0.5</v>
      </c>
      <c r="BF911" s="62" t="n">
        <f aca="false">BE911*G911</f>
        <v>19.265</v>
      </c>
      <c r="BG911" s="62" t="n">
        <f aca="false">ROUNDUP(CL911+MAX(CM911,2*(J911/IF(CH911&gt;0,CH911,MAX(0.1,N(Cockpit!$O$6)))-CL911)),0)</f>
        <v>1</v>
      </c>
      <c r="BH911" s="63" t="n">
        <f aca="false">IF(BD911&gt;0,J911/BD911,-1)</f>
        <v>0</v>
      </c>
      <c r="BI911" s="63" t="n">
        <f aca="false">IF(AND(OR(CG911="L1",CG911="L23",CG911="LIFT"),BD911&gt;0),SUMIFS($BD$7:$BD$1843,$CG$7:$CG$1843,CG911,$BH$7:$BH$1843,"&gt;"&amp;BH911)+SUMIFS($BD$7:$BD$1843,$CG$7:$CG$1843,CG911,$BH$7:$BH$1843,BH911,$BX$7:$BX$1843,"&lt;="&amp;BX911),"")</f>
        <v>28532.2562938474</v>
      </c>
      <c r="BJ911" s="70" t="n">
        <f aca="false">IF(BI911="",0,MAX(0,MIN(1,(IF(CG911="L1",Parameter!$H$5,IF(CG911="L23",Parameter!$H$6+Parameter!$H$7,Parameter!$H$5+Parameter!$H$6+Parameter!$H$7))-(BI911-BD911))/BD911)))</f>
        <v>1</v>
      </c>
      <c r="BK911" s="60" t="str">
        <f aca="false">IF(AJ911&lt;=0,"",IF(CG911="Aussen","Aussenlager",IF(CG911="-","Nicht im Lift",IF(AP911&gt;=1,"Lift",IF(AP911&lt;=0,"Aussenlager","teilweise")))))</f>
        <v>Lift</v>
      </c>
      <c r="BL911" s="60" t="str">
        <f aca="false">IF(AT911&lt;=0,"",IF(CG911="Aussen","Aussenlager",IF(CG911="-","Nicht im Lift",IF(AZ911&gt;=1,"Lift",IF(AZ911&lt;=0,"Aussenlager","teilweise")))))</f>
        <v>Lift</v>
      </c>
      <c r="BM911" s="60" t="str">
        <f aca="false">IF(BD911&lt;=0,"",IF(CG911="Aussen","Aussenlager",IF(CG911="-","Nicht im Lift",IF(BJ911&gt;=1,"Lift",IF(BJ911&lt;=0,"Aussenlager","teilweise")))))</f>
        <v>Lift</v>
      </c>
      <c r="BN911" s="60" t="str">
        <f aca="false">IF(A911="","",IF(BW911=1,"Neu; ","")&amp;IF(AND(BW911=0,BR911&lt;0),"negativer Bestand (Export "&amp;BR911&amp;"); ","")&amp;IF(J911&lt;=0,"Kein Verbrauch; ","")&amp;IF(CR911&gt;0,"Lift "&amp;W911&amp;" lt. Liftbericht (Fach "&amp;X911&amp;" Stk); ",IF(CB911=1,"Gebinde geschätzt ("&amp;T911&amp;"); ",IF(CA911=1,"Lose – Tablare geschätzt; ","")))&amp;IF(H911&gt;AW911,"Überbestand "&amp;ROUND(H911-AW911,0)&amp;" Stk / CHF "&amp;ROUND((H911-AW911)*G911,0)&amp;"; ","")&amp;IF(AND(CI911=1,CJ911&lt;CK911),"MAX &lt; MB+LG; ","")&amp;IF(AND(CQ911&gt;0,CP911*10&gt;CQ911),"zu hoch für Tablar; ","")&amp;IF(AND(BW911=0,OR(CI911=1,AB911&lt;&gt;"",U911&lt;&gt;"",V911&lt;&gt;"",AC911&lt;&gt;"")),"manuell übersteuert; ","")&amp;IF(AND(CA911=0,R911=0),"Gebinde unbekannt / Stellmass fehlt; ","")&amp;IF(AND(CA911=0,N(V911)&lt;=0,N(Q911)&lt;=0),"Menge pro Gebinde fehlt (Ist = 1 Gebinde); ","")&amp;BV911)</f>
        <v>negativer Bestand (Export -1); Kein Verbrauch; Überbestand 6 Stk / CHF 231; </v>
      </c>
      <c r="BO911" s="60"/>
      <c r="BP911" s="60"/>
      <c r="BQ911" s="67"/>
      <c r="BR911" s="62" t="n">
        <v>-1</v>
      </c>
      <c r="BS911" s="62" t="n">
        <v>8</v>
      </c>
      <c r="BT911" s="61" t="n">
        <v>-38.53</v>
      </c>
      <c r="BU911" s="62" t="n">
        <v>0</v>
      </c>
      <c r="BV911" s="60"/>
      <c r="BW911" s="65" t="n">
        <v>0</v>
      </c>
      <c r="BX911" s="65" t="n">
        <v>911</v>
      </c>
      <c r="BY911" s="60" t="str">
        <f aca="false">IF(U911&lt;&gt;"",UPPER(TRIM(U911)),IF(CB911=1,UPPER(VLOOKUP(T911,Parameter!$I$27:$K$29,2,0)),IF(P911="","LOSE",P911)))</f>
        <v>S33</v>
      </c>
      <c r="BZ911" s="62" t="n">
        <f aca="false">IF(BY911="LOSE",1,IF(N(V911)&gt;0,V911,IF(CB911=1,MAX(1,N(VLOOKUP(T911,Parameter!$I$27:$K$29,3,0)),H911,N(N911)),IF(N(Q911)&gt;0,Q911,MAX(1,H911)))))</f>
        <v>16</v>
      </c>
      <c r="CA911" s="65" t="n">
        <f aca="false">IF(BY911="LOSE",1,0)</f>
        <v>0</v>
      </c>
      <c r="CB911" s="65" t="n">
        <f aca="false">IF(AND(U911="",OR(P911="",P911="LOSE"),T911&lt;&gt;"",N(S911)&lt;=0,ISNUMBER(MATCH(T911,Parameter!$I$27:$I$29,0))),1,0)</f>
        <v>0</v>
      </c>
      <c r="CC911" s="65" t="n">
        <f aca="false">IF(CR911&gt;0,INDEX(Parameter!$H$5:$H$7,W911)/INDEX(Parameter!$E$5:$E$7,W911),IF(AND(CA911=0,N(IFERROR(VLOOKUP(BY911,'Gebinde-Kategorie'!$A$5:$N$45,14,0),0))&gt;0),VLOOKUP(BY911,'Gebinde-Kategorie'!$A$5:$N$45,14,0)*10+Parameter!$M$23,Parameter!$M$24))</f>
        <v>155</v>
      </c>
      <c r="CD911" s="60" t="str">
        <f aca="false">IF(AND(Parameter!$B$19="Ja",E911&lt;&gt;"",ISNUMBER(MATCH(E911,Parameter!$I$35:$I$52,0))),VLOOKUP(E911,Parameter!$I$35:$J$52,2,0),IFERROR(VLOOKUP(D911,Parameter!$A$35:$C$64,2,0),"Nein"))</f>
        <v>2+3</v>
      </c>
      <c r="CE911" s="64" t="n">
        <f aca="false">IF(CA911=0,0,IF(N(S911)&gt;0,S911,IFERROR(VLOOKUP(D911,Parameter!$A$35:$C$64,3,0)+0,0)))</f>
        <v>0</v>
      </c>
      <c r="CF911" s="60" t="n">
        <f aca="false">IF(AB911&lt;&gt;"",AB911,AA911)</f>
        <v>3</v>
      </c>
      <c r="CG911" s="60" t="str">
        <f aca="false">IF(OR(CF911=1,CF911=2,CF911=3),IF(Parameter!$E$27="Ja","LIFT",IF(CF911=1,"L1","L23")),IF(CF911="Aussen","Aussen","-"))</f>
        <v>LIFT</v>
      </c>
      <c r="CH911" s="71" t="n">
        <f aca="false">IF(N(AC911)&gt;0,AC911,0)</f>
        <v>0</v>
      </c>
      <c r="CI911" s="65" t="n">
        <f aca="false">IF(ISNUMBER(AF911),1,0)</f>
        <v>0</v>
      </c>
      <c r="CJ911" s="62" t="n">
        <f aca="false">N(AF911)</f>
        <v>0</v>
      </c>
      <c r="CK911" s="62" t="n">
        <f aca="false">N(M911)+N(N911)</f>
        <v>1</v>
      </c>
      <c r="CL911" s="62" t="n">
        <f aca="false">N(M911)</f>
        <v>0</v>
      </c>
      <c r="CM911" s="62" t="n">
        <f aca="false">N(N911)</f>
        <v>1</v>
      </c>
      <c r="CN911" s="62" t="n">
        <f aca="false">ROUNDUP(H911/BZ911,0)</f>
        <v>1</v>
      </c>
      <c r="CO911" s="62" t="n">
        <f aca="false">ROUNDUP(CJ911/BZ911,0)</f>
        <v>0</v>
      </c>
      <c r="CP911" s="65" t="n">
        <f aca="false">IF(CA911=1,0,IFERROR(VLOOKUP(BY911,'Gebinde-Kategorie'!$A$5:$N$45,5,0)+0,0))</f>
        <v>8</v>
      </c>
      <c r="CQ911" s="65" t="n">
        <f aca="false">IFERROR(IF(OR(CF911=1,CF911=2,CF911=3),N(INDEX(Parameter!$I$5:$I$7,CF911)),0),0)</f>
        <v>0</v>
      </c>
      <c r="CR911" s="64" t="n">
        <f aca="false">IF(AND(Parameter!$B$21="Ja",ISNUMBER(W911),N(X911)&gt;0),IFERROR(N(INDEX(Parameter!$L$5:$L$7,W911))*INDEX(Parameter!$E$5:$E$7,W911)*X911/SUMIFS($X$7:$X$1843,$W$7:$W$1843,W911),0),0)</f>
        <v>0</v>
      </c>
      <c r="CS911" s="62" t="n">
        <f aca="false">IF(AND(OR(CG911="L1",CG911="L23",CG911="LIFT"),H911&gt;0),CC911*IF(CR911&gt;0,CR911*MAX(1,H911/X911),IF(CA911=1,CE911,IF(R911&gt;0,CN911/R911,0))/MAX(0.1,N(Parameter!$M$21))),"")</f>
        <v>2.98076923076923</v>
      </c>
      <c r="CT911" s="64" t="n">
        <f aca="false">IF(CS911="","",J911/H911)</f>
        <v>0</v>
      </c>
      <c r="CU911" s="62" t="n">
        <f aca="false">IF(CS911="","",H911*G911)</f>
        <v>269.71</v>
      </c>
      <c r="CV911" s="63" t="n">
        <f aca="false">IF(CS911="","",(CL911+ROUNDUP(CL911+MAX(CM911,2*(J911/MAX(0.1,N(Einkauf!$C$6))-CL911)),0))/2)</f>
        <v>0.5</v>
      </c>
      <c r="CW911" s="62" t="n">
        <f aca="false">IF(CS911="","",MAX(0,H911-CV911)*G911)</f>
        <v>250.445</v>
      </c>
      <c r="CX911" s="62" t="n">
        <f aca="false">IF(CS911="","",CS911*MAX(0,1-CV911/H911))</f>
        <v>2.76785714285714</v>
      </c>
      <c r="CY911" s="64" t="n">
        <f aca="false">IF(CS911="","",PERCENTRANK($CS$7:$CS$1843,CS911)+PERCENTRANK($CU$7:$CU$1843,CU911)+1-PERCENTRANK($CT$7:$CT$1843,CT911))</f>
        <v>1.603</v>
      </c>
      <c r="CZ911" s="72" t="n">
        <f aca="false">IF(CS911="","",CHOOSE(MATCH(Einkauf!$C$5,Parameter!$G$23:$G$27,0),CY911,CS911,CU911,-CT911,CW911)+ROW()/1000000000)</f>
        <v>1.603000911</v>
      </c>
    </row>
    <row r="912" customFormat="false" ht="15" hidden="false" customHeight="false" outlineLevel="0" collapsed="false">
      <c r="A912" s="60" t="s">
        <v>1751</v>
      </c>
      <c r="B912" s="60" t="s">
        <v>447</v>
      </c>
      <c r="C912" s="60" t="s">
        <v>206</v>
      </c>
      <c r="D912" s="60" t="s">
        <v>226</v>
      </c>
      <c r="E912" s="60"/>
      <c r="F912" s="60" t="s">
        <v>260</v>
      </c>
      <c r="G912" s="61" t="n">
        <v>0.31</v>
      </c>
      <c r="H912" s="62" t="n">
        <f aca="false">MAX(0,IF(AND(Parameter!$B$21="Ja",ISNUMBER(Y912)),Y912,IF(Parameter!$B$20="Jahresanfang 2025 + Export",BS912+BR912,BR912)))</f>
        <v>14</v>
      </c>
      <c r="I912" s="62" t="n">
        <f aca="false">H912*G912</f>
        <v>4.34</v>
      </c>
      <c r="J912" s="62" t="n">
        <f aca="false">BU912*Parameter!$B$18</f>
        <v>136</v>
      </c>
      <c r="K912" s="63" t="n">
        <v>122.5</v>
      </c>
      <c r="L912" s="64" t="n">
        <v>1.11020408163265</v>
      </c>
      <c r="M912" s="62" t="n">
        <v>5</v>
      </c>
      <c r="N912" s="62" t="n">
        <v>200</v>
      </c>
      <c r="O912" s="65" t="n">
        <v>14</v>
      </c>
      <c r="P912" s="60" t="s">
        <v>463</v>
      </c>
      <c r="Q912" s="62" t="n">
        <v>70</v>
      </c>
      <c r="R912" s="65" t="n">
        <f aca="false">IF(CA912=1,0,IFERROR(VLOOKUP(BY912,'Gebinde-Kategorie'!$A$5:$N$45,13,0)+0,0))</f>
        <v>104</v>
      </c>
      <c r="S912" s="66"/>
      <c r="T912" s="67"/>
      <c r="U912" s="67"/>
      <c r="V912" s="67"/>
      <c r="W912" s="60"/>
      <c r="X912" s="62"/>
      <c r="Y912" s="62"/>
      <c r="Z912" s="60" t="n">
        <v>3</v>
      </c>
      <c r="AA912" s="60" t="n">
        <f aca="false">IF(A912="","",IF(AND(Parameter!$B$21="Ja",ISNUMBER(W912)),W912,IF(AND(Parameter!$E$27="Ja",ISNUMBER(Z912),CD912&lt;&gt;"Nein"),Z912,IF(CD912="2+3",IF(ISNUMBER(SEARCH("grosser Artikel",BV912)),2,IFERROR(VLOOKUP(BY912,Parameter!$F$35:$G$64,2,0),2)),IF(OR(CD912="Nein",CD912=""),"-",CD912)))))</f>
        <v>3</v>
      </c>
      <c r="AB912" s="67"/>
      <c r="AC912" s="68"/>
      <c r="AD912" s="62" t="n">
        <f aca="false">AW912</f>
        <v>205</v>
      </c>
      <c r="AE912" s="62" t="n">
        <f aca="false">MAX(AW912,H912)</f>
        <v>205</v>
      </c>
      <c r="AF912" s="69"/>
      <c r="AG912" s="62" t="n">
        <f aca="false">IF(LEFT(Cockpit!$C$5,1)="A",H912,IF(Parameter!$E$30="MAX-Bestand",IF(CI912=1,CJ912,IF(LEFT(Cockpit!$C$5,1)="B",AM912,MAX(AM912,H912))),ROUNDUP(AK912,0)))</f>
        <v>14</v>
      </c>
      <c r="AH912" s="62" t="n">
        <f aca="false">IF(CA912=1,0,ROUNDUP(AG912/BZ912,0))</f>
        <v>1</v>
      </c>
      <c r="AI912" s="64" t="n">
        <f aca="false">IF(CR912&gt;0,CR912*MAX(1,AG912/X912),IF(CA912=1,IF(AG912&lt;=0,0,CE912*MAX(1,IF(H912&gt;0,AG912/H912,1))),IF(R912&gt;0,AH912/R912,0))/MAX(0.1,N(Parameter!$M$21)))</f>
        <v>0.00961538461538462</v>
      </c>
      <c r="AJ912" s="62" t="n">
        <f aca="false">AI912*CC912</f>
        <v>1.49038461538462</v>
      </c>
      <c r="AK912" s="63" t="n">
        <f aca="false">IF(LEFT(Cockpit!$C$5,1)="A",H912,IF(CI912=1,(CL912+CJ912)/2,IF(LEFT(Cockpit!$C$5,1)="B",(CL912+AM912)/2,MAX((CL912+AM912)/2,H912))))</f>
        <v>14</v>
      </c>
      <c r="AL912" s="62" t="n">
        <f aca="false">AK912*G912</f>
        <v>4.34</v>
      </c>
      <c r="AM912" s="62" t="n">
        <f aca="false">ROUNDUP(CL912+MAX(CM912,2*(J912/IF(CH912&gt;0,CH912,MAX(0.1,N(Cockpit!$C$6)))-CL912)),0)</f>
        <v>205</v>
      </c>
      <c r="AN912" s="63" t="n">
        <f aca="false">IF(AJ912&gt;0,J912/AJ912,-1)</f>
        <v>91.2516129032258</v>
      </c>
      <c r="AO912" s="63" t="n">
        <f aca="false">IF(AND(OR(CG912="L1",CG912="L23",CG912="LIFT"),AJ912&gt;0),SUMIFS($AJ$7:$AJ$1843,$CG$7:$CG$1843,CG912,$AN$7:$AN$1843,"&gt;"&amp;AN912)+SUMIFS($AJ$7:$AJ$1843,$CG$7:$CG$1843,CG912,$AN$7:$AN$1843,AN912,$BX$7:$BX$1843,"&lt;="&amp;BX912),"")</f>
        <v>818.993131868132</v>
      </c>
      <c r="AP912" s="70" t="n">
        <f aca="false">IF(AO912="",0,MAX(0,MIN(1,(IF(CG912="L1",Parameter!$H$5,IF(CG912="L23",Parameter!$H$6+Parameter!$H$7,Parameter!$H$5+Parameter!$H$6+Parameter!$H$7))-(AO912-AJ912))/AJ912)))</f>
        <v>1</v>
      </c>
      <c r="AQ912" s="62" t="n">
        <f aca="false">IF(LEFT(Cockpit!$I$5,1)="A",H912,IF(Parameter!$E$30="MAX-Bestand",IF(CI912=1,CJ912,IF(LEFT(Cockpit!$I$5,1)="B",AW912,MAX(AW912,H912))),ROUNDUP(AU912,0)))</f>
        <v>105</v>
      </c>
      <c r="AR912" s="62" t="n">
        <f aca="false">IF(CA912=1,0,ROUNDUP(AQ912/BZ912,0))</f>
        <v>2</v>
      </c>
      <c r="AS912" s="64" t="n">
        <f aca="false">IF(CR912&gt;0,CR912*MAX(1,AQ912/X912),IF(CA912=1,IF(AQ912&lt;=0,0,CE912*MAX(1,IF(H912&gt;0,AQ912/H912,1))),IF(R912&gt;0,AR912/R912,0))/MAX(0.1,N(Parameter!$M$21)))</f>
        <v>0.0192307692307692</v>
      </c>
      <c r="AT912" s="62" t="n">
        <f aca="false">AS912*CC912</f>
        <v>2.98076923076923</v>
      </c>
      <c r="AU912" s="63" t="n">
        <f aca="false">IF(LEFT(Cockpit!$I$5,1)="A",H912,IF(CI912=1,(CL912+CJ912)/2,IF(LEFT(Cockpit!$I$5,1)="B",(CL912+AW912)/2,MAX((CL912+AW912)/2,H912))))</f>
        <v>105</v>
      </c>
      <c r="AV912" s="62" t="n">
        <f aca="false">AU912*G912</f>
        <v>32.55</v>
      </c>
      <c r="AW912" s="62" t="n">
        <f aca="false">ROUNDUP(CL912+MAX(CM912,2*(J912/IF(CH912&gt;0,CH912,MAX(0.1,N(Cockpit!$I$6)))-CL912)),0)</f>
        <v>205</v>
      </c>
      <c r="AX912" s="63" t="n">
        <f aca="false">IF(AT912&gt;0,J912/AT912,-1)</f>
        <v>45.6258064516129</v>
      </c>
      <c r="AY912" s="63" t="n">
        <f aca="false">IF(AND(OR(CG912="L1",CG912="L23",CG912="LIFT"),AT912&gt;0),SUMIFS($AT$7:$AT$1843,$CG$7:$CG$1843,CG912,$AX$7:$AX$1843,"&gt;"&amp;AX912)+SUMIFS($AT$7:$AT$1843,$CG$7:$CG$1843,CG912,$AX$7:$AX$1843,AX912,$BX$7:$BX$1843,"&lt;="&amp;BX912),"")</f>
        <v>1447.07875457875</v>
      </c>
      <c r="AZ912" s="70" t="n">
        <f aca="false">IF(AY912="",0,MAX(0,MIN(1,(IF(CG912="L1",Parameter!$H$5,IF(CG912="L23",Parameter!$H$6+Parameter!$H$7,Parameter!$H$5+Parameter!$H$6+Parameter!$H$7))-(AY912-AT912))/AT912)))</f>
        <v>1</v>
      </c>
      <c r="BA912" s="62" t="n">
        <f aca="false">IF(LEFT(Cockpit!$O$5,1)="A",H912,IF(Parameter!$E$30="MAX-Bestand",IF(CI912=1,CJ912,IF(LEFT(Cockpit!$O$5,1)="B",BG912,MAX(BG912,H912))),ROUNDUP(BE912,0)))</f>
        <v>105</v>
      </c>
      <c r="BB912" s="62" t="n">
        <f aca="false">IF(CA912=1,0,ROUNDUP(BA912/BZ912,0))</f>
        <v>2</v>
      </c>
      <c r="BC912" s="64" t="n">
        <f aca="false">IF(CR912&gt;0,CR912*MAX(1,BA912/X912),IF(CA912=1,IF(BA912&lt;=0,0,CE912*MAX(1,IF(H912&gt;0,BA912/H912,1))),IF(R912&gt;0,BB912/R912,0))/MAX(0.1,N(Parameter!$M$21)))</f>
        <v>0.0192307692307692</v>
      </c>
      <c r="BD912" s="62" t="n">
        <f aca="false">BC912*CC912</f>
        <v>2.98076923076923</v>
      </c>
      <c r="BE912" s="63" t="n">
        <f aca="false">IF(LEFT(Cockpit!$O$5,1)="A",H912,IF(CI912=1,(CL912+CJ912)/2,IF(LEFT(Cockpit!$O$5,1)="B",(CL912+BG912)/2,MAX((CL912+BG912)/2,H912))))</f>
        <v>105</v>
      </c>
      <c r="BF912" s="62" t="n">
        <f aca="false">BE912*G912</f>
        <v>32.55</v>
      </c>
      <c r="BG912" s="62" t="n">
        <f aca="false">ROUNDUP(CL912+MAX(CM912,2*(J912/IF(CH912&gt;0,CH912,MAX(0.1,N(Cockpit!$O$6)))-CL912)),0)</f>
        <v>205</v>
      </c>
      <c r="BH912" s="63" t="n">
        <f aca="false">IF(BD912&gt;0,J912/BD912,-1)</f>
        <v>45.6258064516129</v>
      </c>
      <c r="BI912" s="63" t="n">
        <f aca="false">IF(AND(OR(CG912="L1",CG912="L23",CG912="LIFT"),BD912&gt;0),SUMIFS($BD$7:$BD$1843,$CG$7:$CG$1843,CG912,$BH$7:$BH$1843,"&gt;"&amp;BH912)+SUMIFS($BD$7:$BD$1843,$CG$7:$CG$1843,CG912,$BH$7:$BH$1843,BH912,$BX$7:$BX$1843,"&lt;="&amp;BX912),"")</f>
        <v>1225.06318681319</v>
      </c>
      <c r="BJ912" s="70" t="n">
        <f aca="false">IF(BI912="",0,MAX(0,MIN(1,(IF(CG912="L1",Parameter!$H$5,IF(CG912="L23",Parameter!$H$6+Parameter!$H$7,Parameter!$H$5+Parameter!$H$6+Parameter!$H$7))-(BI912-BD912))/BD912)))</f>
        <v>1</v>
      </c>
      <c r="BK912" s="60" t="str">
        <f aca="false">IF(AJ912&lt;=0,"",IF(CG912="Aussen","Aussenlager",IF(CG912="-","Nicht im Lift",IF(AP912&gt;=1,"Lift",IF(AP912&lt;=0,"Aussenlager","teilweise")))))</f>
        <v>Lift</v>
      </c>
      <c r="BL912" s="60" t="str">
        <f aca="false">IF(AT912&lt;=0,"",IF(CG912="Aussen","Aussenlager",IF(CG912="-","Nicht im Lift",IF(AZ912&gt;=1,"Lift",IF(AZ912&lt;=0,"Aussenlager","teilweise")))))</f>
        <v>Lift</v>
      </c>
      <c r="BM912" s="60" t="str">
        <f aca="false">IF(BD912&lt;=0,"",IF(CG912="Aussen","Aussenlager",IF(CG912="-","Nicht im Lift",IF(BJ912&gt;=1,"Lift",IF(BJ912&lt;=0,"Aussenlager","teilweise")))))</f>
        <v>Lift</v>
      </c>
      <c r="BN912" s="60" t="str">
        <f aca="false">IF(A912="","",IF(BW912=1,"Neu; ","")&amp;IF(AND(BW912=0,BR912&lt;0),"negativer Bestand (Export "&amp;BR912&amp;"); ","")&amp;IF(J912&lt;=0,"Kein Verbrauch; ","")&amp;IF(CR912&gt;0,"Lift "&amp;W912&amp;" lt. Liftbericht (Fach "&amp;X912&amp;" Stk); ",IF(CB912=1,"Gebinde geschätzt ("&amp;T912&amp;"); ",IF(CA912=1,"Lose – Tablare geschätzt; ","")))&amp;IF(H912&gt;AW912,"Überbestand "&amp;ROUND(H912-AW912,0)&amp;" Stk / CHF "&amp;ROUND((H912-AW912)*G912,0)&amp;"; ","")&amp;IF(AND(CI912=1,CJ912&lt;CK912),"MAX &lt; MB+LG; ","")&amp;IF(AND(CQ912&gt;0,CP912*10&gt;CQ912),"zu hoch für Tablar; ","")&amp;IF(AND(BW912=0,OR(CI912=1,AB912&lt;&gt;"",U912&lt;&gt;"",V912&lt;&gt;"",AC912&lt;&gt;"")),"manuell übersteuert; ","")&amp;IF(AND(CA912=0,R912=0),"Gebinde unbekannt / Stellmass fehlt; ","")&amp;IF(AND(CA912=0,N(V912)&lt;=0,N(Q912)&lt;=0),"Menge pro Gebinde fehlt (Ist = 1 Gebinde); ","")&amp;BV912)</f>
        <v>negativer Bestand (Export -129); </v>
      </c>
      <c r="BO912" s="60"/>
      <c r="BP912" s="60"/>
      <c r="BQ912" s="67"/>
      <c r="BR912" s="62" t="n">
        <v>-129</v>
      </c>
      <c r="BS912" s="62" t="n">
        <v>143</v>
      </c>
      <c r="BT912" s="61" t="n">
        <v>-38.56</v>
      </c>
      <c r="BU912" s="62" t="n">
        <v>136</v>
      </c>
      <c r="BV912" s="60"/>
      <c r="BW912" s="65" t="n">
        <v>0</v>
      </c>
      <c r="BX912" s="65" t="n">
        <v>912</v>
      </c>
      <c r="BY912" s="60" t="str">
        <f aca="false">IF(U912&lt;&gt;"",UPPER(TRIM(U912)),IF(CB912=1,UPPER(VLOOKUP(T912,Parameter!$I$27:$K$29,2,0)),IF(P912="","LOSE",P912)))</f>
        <v>S32</v>
      </c>
      <c r="BZ912" s="62" t="n">
        <f aca="false">IF(BY912="LOSE",1,IF(N(V912)&gt;0,V912,IF(CB912=1,MAX(1,N(VLOOKUP(T912,Parameter!$I$27:$K$29,3,0)),H912,N(N912)),IF(N(Q912)&gt;0,Q912,MAX(1,H912)))))</f>
        <v>70</v>
      </c>
      <c r="CA912" s="65" t="n">
        <f aca="false">IF(BY912="LOSE",1,0)</f>
        <v>0</v>
      </c>
      <c r="CB912" s="65" t="n">
        <f aca="false">IF(AND(U912="",OR(P912="",P912="LOSE"),T912&lt;&gt;"",N(S912)&lt;=0,ISNUMBER(MATCH(T912,Parameter!$I$27:$I$29,0))),1,0)</f>
        <v>0</v>
      </c>
      <c r="CC912" s="65" t="n">
        <f aca="false">IF(CR912&gt;0,INDEX(Parameter!$H$5:$H$7,W912)/INDEX(Parameter!$E$5:$E$7,W912),IF(AND(CA912=0,N(IFERROR(VLOOKUP(BY912,'Gebinde-Kategorie'!$A$5:$N$45,14,0),0))&gt;0),VLOOKUP(BY912,'Gebinde-Kategorie'!$A$5:$N$45,14,0)*10+Parameter!$M$23,Parameter!$M$24))</f>
        <v>155</v>
      </c>
      <c r="CD912" s="60" t="str">
        <f aca="false">IF(AND(Parameter!$B$19="Ja",E912&lt;&gt;"",ISNUMBER(MATCH(E912,Parameter!$I$35:$I$52,0))),VLOOKUP(E912,Parameter!$I$35:$J$52,2,0),IFERROR(VLOOKUP(D912,Parameter!$A$35:$C$64,2,0),"Nein"))</f>
        <v>2+3</v>
      </c>
      <c r="CE912" s="64" t="n">
        <f aca="false">IF(CA912=0,0,IF(N(S912)&gt;0,S912,IFERROR(VLOOKUP(D912,Parameter!$A$35:$C$64,3,0)+0,0)))</f>
        <v>0</v>
      </c>
      <c r="CF912" s="60" t="n">
        <f aca="false">IF(AB912&lt;&gt;"",AB912,AA912)</f>
        <v>3</v>
      </c>
      <c r="CG912" s="60" t="str">
        <f aca="false">IF(OR(CF912=1,CF912=2,CF912=3),IF(Parameter!$E$27="Ja","LIFT",IF(CF912=1,"L1","L23")),IF(CF912="Aussen","Aussen","-"))</f>
        <v>LIFT</v>
      </c>
      <c r="CH912" s="71" t="n">
        <f aca="false">IF(N(AC912)&gt;0,AC912,0)</f>
        <v>0</v>
      </c>
      <c r="CI912" s="65" t="n">
        <f aca="false">IF(ISNUMBER(AF912),1,0)</f>
        <v>0</v>
      </c>
      <c r="CJ912" s="62" t="n">
        <f aca="false">N(AF912)</f>
        <v>0</v>
      </c>
      <c r="CK912" s="62" t="n">
        <f aca="false">N(M912)+N(N912)</f>
        <v>205</v>
      </c>
      <c r="CL912" s="62" t="n">
        <f aca="false">N(M912)</f>
        <v>5</v>
      </c>
      <c r="CM912" s="62" t="n">
        <f aca="false">N(N912)</f>
        <v>200</v>
      </c>
      <c r="CN912" s="62" t="n">
        <f aca="false">ROUNDUP(H912/BZ912,0)</f>
        <v>1</v>
      </c>
      <c r="CO912" s="62" t="n">
        <f aca="false">ROUNDUP(CJ912/BZ912,0)</f>
        <v>0</v>
      </c>
      <c r="CP912" s="65" t="n">
        <f aca="false">IF(CA912=1,0,IFERROR(VLOOKUP(BY912,'Gebinde-Kategorie'!$A$5:$N$45,5,0)+0,0))</f>
        <v>8</v>
      </c>
      <c r="CQ912" s="65" t="n">
        <f aca="false">IFERROR(IF(OR(CF912=1,CF912=2,CF912=3),N(INDEX(Parameter!$I$5:$I$7,CF912)),0),0)</f>
        <v>0</v>
      </c>
      <c r="CR912" s="64" t="n">
        <f aca="false">IF(AND(Parameter!$B$21="Ja",ISNUMBER(W912),N(X912)&gt;0),IFERROR(N(INDEX(Parameter!$L$5:$L$7,W912))*INDEX(Parameter!$E$5:$E$7,W912)*X912/SUMIFS($X$7:$X$1843,$W$7:$W$1843,W912),0),0)</f>
        <v>0</v>
      </c>
      <c r="CS912" s="62" t="n">
        <f aca="false">IF(AND(OR(CG912="L1",CG912="L23",CG912="LIFT"),H912&gt;0),CC912*IF(CR912&gt;0,CR912*MAX(1,H912/X912),IF(CA912=1,CE912,IF(R912&gt;0,CN912/R912,0))/MAX(0.1,N(Parameter!$M$21))),"")</f>
        <v>1.49038461538462</v>
      </c>
      <c r="CT912" s="64" t="n">
        <f aca="false">IF(CS912="","",J912/H912)</f>
        <v>9.71428571428571</v>
      </c>
      <c r="CU912" s="62" t="n">
        <f aca="false">IF(CS912="","",H912*G912)</f>
        <v>4.34</v>
      </c>
      <c r="CV912" s="63" t="n">
        <f aca="false">IF(CS912="","",(CL912+ROUNDUP(CL912+MAX(CM912,2*(J912/MAX(0.1,N(Einkauf!$C$6))-CL912)),0))/2)</f>
        <v>105</v>
      </c>
      <c r="CW912" s="62" t="n">
        <f aca="false">IF(CS912="","",MAX(0,H912-CV912)*G912)</f>
        <v>0</v>
      </c>
      <c r="CX912" s="62" t="n">
        <f aca="false">IF(CS912="","",CS912*MAX(0,1-CV912/H912))</f>
        <v>0</v>
      </c>
      <c r="CY912" s="64" t="n">
        <f aca="false">IF(CS912="","",PERCENTRANK($CS$7:$CS$1843,CS912)+PERCENTRANK($CU$7:$CU$1843,CU912)+1-PERCENTRANK($CT$7:$CT$1843,CT912))</f>
        <v>0.1455</v>
      </c>
      <c r="CZ912" s="72" t="n">
        <f aca="false">IF(CS912="","",CHOOSE(MATCH(Einkauf!$C$5,Parameter!$G$23:$G$27,0),CY912,CS912,CU912,-CT912,CW912)+ROW()/1000000000)</f>
        <v>0.145500912</v>
      </c>
    </row>
    <row r="913" customFormat="false" ht="15" hidden="false" customHeight="false" outlineLevel="0" collapsed="false">
      <c r="A913" s="60" t="s">
        <v>1752</v>
      </c>
      <c r="B913" s="60" t="s">
        <v>991</v>
      </c>
      <c r="C913" s="60" t="s">
        <v>206</v>
      </c>
      <c r="D913" s="60" t="s">
        <v>226</v>
      </c>
      <c r="E913" s="60" t="s">
        <v>227</v>
      </c>
      <c r="F913" s="60" t="s">
        <v>260</v>
      </c>
      <c r="G913" s="61" t="n">
        <v>0.17</v>
      </c>
      <c r="H913" s="62" t="n">
        <f aca="false">MAX(0,IF(AND(Parameter!$B$21="Ja",ISNUMBER(Y913)),Y913,IF(Parameter!$B$20="Jahresanfang 2025 + Export",BS913+BR913,BR913)))</f>
        <v>646</v>
      </c>
      <c r="I913" s="62" t="n">
        <f aca="false">H913*G913</f>
        <v>109.82</v>
      </c>
      <c r="J913" s="62" t="n">
        <f aca="false">BU913*Parameter!$B$18</f>
        <v>124</v>
      </c>
      <c r="K913" s="63" t="n">
        <v>812.5</v>
      </c>
      <c r="L913" s="64" t="n">
        <v>0.152615384615385</v>
      </c>
      <c r="M913" s="62" t="n">
        <v>7</v>
      </c>
      <c r="N913" s="62" t="n">
        <v>125</v>
      </c>
      <c r="O913" s="65" t="n">
        <v>21</v>
      </c>
      <c r="P913" s="60" t="s">
        <v>518</v>
      </c>
      <c r="Q913" s="62" t="n">
        <v>909</v>
      </c>
      <c r="R913" s="65" t="n">
        <f aca="false">IF(CA913=1,0,IFERROR(VLOOKUP(BY913,'Gebinde-Kategorie'!$A$5:$N$45,13,0)+0,0))</f>
        <v>52</v>
      </c>
      <c r="S913" s="66"/>
      <c r="T913" s="67"/>
      <c r="U913" s="67"/>
      <c r="V913" s="67"/>
      <c r="W913" s="60"/>
      <c r="X913" s="62"/>
      <c r="Y913" s="62"/>
      <c r="Z913" s="60" t="n">
        <v>3</v>
      </c>
      <c r="AA913" s="60" t="n">
        <f aca="false">IF(A913="","",IF(AND(Parameter!$B$21="Ja",ISNUMBER(W913)),W913,IF(AND(Parameter!$E$27="Ja",ISNUMBER(Z913),CD913&lt;&gt;"Nein"),Z913,IF(CD913="2+3",IF(ISNUMBER(SEARCH("grosser Artikel",BV913)),2,IFERROR(VLOOKUP(BY913,Parameter!$F$35:$G$64,2,0),2)),IF(OR(CD913="Nein",CD913=""),"-",CD913)))))</f>
        <v>3</v>
      </c>
      <c r="AB913" s="67"/>
      <c r="AC913" s="68"/>
      <c r="AD913" s="62" t="n">
        <f aca="false">AW913</f>
        <v>132</v>
      </c>
      <c r="AE913" s="62" t="n">
        <f aca="false">MAX(AW913,H913)</f>
        <v>646</v>
      </c>
      <c r="AF913" s="69"/>
      <c r="AG913" s="62" t="n">
        <f aca="false">IF(LEFT(Cockpit!$C$5,1)="A",H913,IF(Parameter!$E$30="MAX-Bestand",IF(CI913=1,CJ913,IF(LEFT(Cockpit!$C$5,1)="B",AM913,MAX(AM913,H913))),ROUNDUP(AK913,0)))</f>
        <v>646</v>
      </c>
      <c r="AH913" s="62" t="n">
        <f aca="false">IF(CA913=1,0,ROUNDUP(AG913/BZ913,0))</f>
        <v>1</v>
      </c>
      <c r="AI913" s="64" t="n">
        <f aca="false">IF(CR913&gt;0,CR913*MAX(1,AG913/X913),IF(CA913=1,IF(AG913&lt;=0,0,CE913*MAX(1,IF(H913&gt;0,AG913/H913,1))),IF(R913&gt;0,AH913/R913,0))/MAX(0.1,N(Parameter!$M$21)))</f>
        <v>0.0192307692307692</v>
      </c>
      <c r="AJ913" s="62" t="n">
        <f aca="false">AI913*CC913</f>
        <v>2.98076923076923</v>
      </c>
      <c r="AK913" s="63" t="n">
        <f aca="false">IF(LEFT(Cockpit!$C$5,1)="A",H913,IF(CI913=1,(CL913+CJ913)/2,IF(LEFT(Cockpit!$C$5,1)="B",(CL913+AM913)/2,MAX((CL913+AM913)/2,H913))))</f>
        <v>646</v>
      </c>
      <c r="AL913" s="62" t="n">
        <f aca="false">AK913*G913</f>
        <v>109.82</v>
      </c>
      <c r="AM913" s="62" t="n">
        <f aca="false">ROUNDUP(CL913+MAX(CM913,2*(J913/IF(CH913&gt;0,CH913,MAX(0.1,N(Cockpit!$C$6)))-CL913)),0)</f>
        <v>132</v>
      </c>
      <c r="AN913" s="63" t="n">
        <f aca="false">IF(AJ913&gt;0,J913/AJ913,-1)</f>
        <v>41.6</v>
      </c>
      <c r="AO913" s="63" t="n">
        <f aca="false">IF(AND(OR(CG913="L1",CG913="L23",CG913="LIFT"),AJ913&gt;0),SUMIFS($AJ$7:$AJ$1843,$CG$7:$CG$1843,CG913,$AN$7:$AN$1843,"&gt;"&amp;AN913)+SUMIFS($AJ$7:$AJ$1843,$CG$7:$CG$1843,CG913,$AN$7:$AN$1843,AN913,$BX$7:$BX$1843,"&lt;="&amp;BX913),"")</f>
        <v>1184.5</v>
      </c>
      <c r="AP913" s="70" t="n">
        <f aca="false">IF(AO913="",0,MAX(0,MIN(1,(IF(CG913="L1",Parameter!$H$5,IF(CG913="L23",Parameter!$H$6+Parameter!$H$7,Parameter!$H$5+Parameter!$H$6+Parameter!$H$7))-(AO913-AJ913))/AJ913)))</f>
        <v>1</v>
      </c>
      <c r="AQ913" s="62" t="n">
        <f aca="false">IF(LEFT(Cockpit!$I$5,1)="A",H913,IF(Parameter!$E$30="MAX-Bestand",IF(CI913=1,CJ913,IF(LEFT(Cockpit!$I$5,1)="B",AW913,MAX(AW913,H913))),ROUNDUP(AU913,0)))</f>
        <v>646</v>
      </c>
      <c r="AR913" s="62" t="n">
        <f aca="false">IF(CA913=1,0,ROUNDUP(AQ913/BZ913,0))</f>
        <v>1</v>
      </c>
      <c r="AS913" s="64" t="n">
        <f aca="false">IF(CR913&gt;0,CR913*MAX(1,AQ913/X913),IF(CA913=1,IF(AQ913&lt;=0,0,CE913*MAX(1,IF(H913&gt;0,AQ913/H913,1))),IF(R913&gt;0,AR913/R913,0))/MAX(0.1,N(Parameter!$M$21)))</f>
        <v>0.0192307692307692</v>
      </c>
      <c r="AT913" s="62" t="n">
        <f aca="false">AS913*CC913</f>
        <v>2.98076923076923</v>
      </c>
      <c r="AU913" s="63" t="n">
        <f aca="false">IF(LEFT(Cockpit!$I$5,1)="A",H913,IF(CI913=1,(CL913+CJ913)/2,IF(LEFT(Cockpit!$I$5,1)="B",(CL913+AW913)/2,MAX((CL913+AW913)/2,H913))))</f>
        <v>646</v>
      </c>
      <c r="AV913" s="62" t="n">
        <f aca="false">AU913*G913</f>
        <v>109.82</v>
      </c>
      <c r="AW913" s="62" t="n">
        <f aca="false">ROUNDUP(CL913+MAX(CM913,2*(J913/IF(CH913&gt;0,CH913,MAX(0.1,N(Cockpit!$I$6)))-CL913)),0)</f>
        <v>132</v>
      </c>
      <c r="AX913" s="63" t="n">
        <f aca="false">IF(AT913&gt;0,J913/AT913,-1)</f>
        <v>41.6</v>
      </c>
      <c r="AY913" s="63" t="n">
        <f aca="false">IF(AND(OR(CG913="L1",CG913="L23",CG913="LIFT"),AT913&gt;0),SUMIFS($AT$7:$AT$1843,$CG$7:$CG$1843,CG913,$AX$7:$AX$1843,"&gt;"&amp;AX913)+SUMIFS($AT$7:$AT$1843,$CG$7:$CG$1843,CG913,$AX$7:$AX$1843,AX913,$BX$7:$BX$1843,"&lt;="&amp;BX913),"")</f>
        <v>1485.16712454212</v>
      </c>
      <c r="AZ913" s="70" t="n">
        <f aca="false">IF(AY913="",0,MAX(0,MIN(1,(IF(CG913="L1",Parameter!$H$5,IF(CG913="L23",Parameter!$H$6+Parameter!$H$7,Parameter!$H$5+Parameter!$H$6+Parameter!$H$7))-(AY913-AT913))/AT913)))</f>
        <v>1</v>
      </c>
      <c r="BA913" s="62" t="n">
        <f aca="false">IF(LEFT(Cockpit!$O$5,1)="A",H913,IF(Parameter!$E$30="MAX-Bestand",IF(CI913=1,CJ913,IF(LEFT(Cockpit!$O$5,1)="B",BG913,MAX(BG913,H913))),ROUNDUP(BE913,0)))</f>
        <v>70</v>
      </c>
      <c r="BB913" s="62" t="n">
        <f aca="false">IF(CA913=1,0,ROUNDUP(BA913/BZ913,0))</f>
        <v>1</v>
      </c>
      <c r="BC913" s="64" t="n">
        <f aca="false">IF(CR913&gt;0,CR913*MAX(1,BA913/X913),IF(CA913=1,IF(BA913&lt;=0,0,CE913*MAX(1,IF(H913&gt;0,BA913/H913,1))),IF(R913&gt;0,BB913/R913,0))/MAX(0.1,N(Parameter!$M$21)))</f>
        <v>0.0192307692307692</v>
      </c>
      <c r="BD913" s="62" t="n">
        <f aca="false">BC913*CC913</f>
        <v>2.98076923076923</v>
      </c>
      <c r="BE913" s="63" t="n">
        <f aca="false">IF(LEFT(Cockpit!$O$5,1)="A",H913,IF(CI913=1,(CL913+CJ913)/2,IF(LEFT(Cockpit!$O$5,1)="B",(CL913+BG913)/2,MAX((CL913+BG913)/2,H913))))</f>
        <v>69.5</v>
      </c>
      <c r="BF913" s="62" t="n">
        <f aca="false">BE913*G913</f>
        <v>11.815</v>
      </c>
      <c r="BG913" s="62" t="n">
        <f aca="false">ROUNDUP(CL913+MAX(CM913,2*(J913/IF(CH913&gt;0,CH913,MAX(0.1,N(Cockpit!$O$6)))-CL913)),0)</f>
        <v>132</v>
      </c>
      <c r="BH913" s="63" t="n">
        <f aca="false">IF(BD913&gt;0,J913/BD913,-1)</f>
        <v>41.6</v>
      </c>
      <c r="BI913" s="63" t="n">
        <f aca="false">IF(AND(OR(CG913="L1",CG913="L23",CG913="LIFT"),BD913&gt;0),SUMIFS($BD$7:$BD$1843,$CG$7:$CG$1843,CG913,$BH$7:$BH$1843,"&gt;"&amp;BH913)+SUMIFS($BD$7:$BD$1843,$CG$7:$CG$1843,CG913,$BH$7:$BH$1843,BH913,$BX$7:$BX$1843,"&lt;="&amp;BX913),"")</f>
        <v>1260.93727106227</v>
      </c>
      <c r="BJ913" s="70" t="n">
        <f aca="false">IF(BI913="",0,MAX(0,MIN(1,(IF(CG913="L1",Parameter!$H$5,IF(CG913="L23",Parameter!$H$6+Parameter!$H$7,Parameter!$H$5+Parameter!$H$6+Parameter!$H$7))-(BI913-BD913))/BD913)))</f>
        <v>1</v>
      </c>
      <c r="BK913" s="60" t="str">
        <f aca="false">IF(AJ913&lt;=0,"",IF(CG913="Aussen","Aussenlager",IF(CG913="-","Nicht im Lift",IF(AP913&gt;=1,"Lift",IF(AP913&lt;=0,"Aussenlager","teilweise")))))</f>
        <v>Lift</v>
      </c>
      <c r="BL913" s="60" t="str">
        <f aca="false">IF(AT913&lt;=0,"",IF(CG913="Aussen","Aussenlager",IF(CG913="-","Nicht im Lift",IF(AZ913&gt;=1,"Lift",IF(AZ913&lt;=0,"Aussenlager","teilweise")))))</f>
        <v>Lift</v>
      </c>
      <c r="BM913" s="60" t="str">
        <f aca="false">IF(BD913&lt;=0,"",IF(CG913="Aussen","Aussenlager",IF(CG913="-","Nicht im Lift",IF(BJ913&gt;=1,"Lift",IF(BJ913&lt;=0,"Aussenlager","teilweise")))))</f>
        <v>Lift</v>
      </c>
      <c r="BN913" s="60" t="str">
        <f aca="false">IF(A913="","",IF(BW913=1,"Neu; ","")&amp;IF(AND(BW913=0,BR913&lt;0),"negativer Bestand (Export "&amp;BR913&amp;"); ","")&amp;IF(J913&lt;=0,"Kein Verbrauch; ","")&amp;IF(CR913&gt;0,"Lift "&amp;W913&amp;" lt. Liftbericht (Fach "&amp;X913&amp;" Stk); ",IF(CB913=1,"Gebinde geschätzt ("&amp;T913&amp;"); ",IF(CA913=1,"Lose – Tablare geschätzt; ","")))&amp;IF(H913&gt;AW913,"Überbestand "&amp;ROUND(H913-AW913,0)&amp;" Stk / CHF "&amp;ROUND((H913-AW913)*G913,0)&amp;"; ","")&amp;IF(AND(CI913=1,CJ913&lt;CK913),"MAX &lt; MB+LG; ","")&amp;IF(AND(CQ913&gt;0,CP913*10&gt;CQ913),"zu hoch für Tablar; ","")&amp;IF(AND(BW913=0,OR(CI913=1,AB913&lt;&gt;"",U913&lt;&gt;"",V913&lt;&gt;"",AC913&lt;&gt;"")),"manuell übersteuert; ","")&amp;IF(AND(CA913=0,R913=0),"Gebinde unbekannt / Stellmass fehlt; ","")&amp;IF(AND(CA913=0,N(V913)&lt;=0,N(Q913)&lt;=0),"Menge pro Gebinde fehlt (Ist = 1 Gebinde); ","")&amp;BV913)</f>
        <v>negativer Bestand (Export -227); Überbestand 514 Stk / CHF 87; Überbestand</v>
      </c>
      <c r="BO913" s="60"/>
      <c r="BP913" s="60"/>
      <c r="BQ913" s="67"/>
      <c r="BR913" s="62" t="n">
        <v>-227</v>
      </c>
      <c r="BS913" s="62" t="n">
        <v>873</v>
      </c>
      <c r="BT913" s="61" t="n">
        <v>-38.59</v>
      </c>
      <c r="BU913" s="62" t="n">
        <v>124</v>
      </c>
      <c r="BV913" s="60" t="s">
        <v>434</v>
      </c>
      <c r="BW913" s="65" t="n">
        <v>0</v>
      </c>
      <c r="BX913" s="65" t="n">
        <v>913</v>
      </c>
      <c r="BY913" s="60" t="str">
        <f aca="false">IF(U913&lt;&gt;"",UPPER(TRIM(U913)),IF(CB913=1,UPPER(VLOOKUP(T913,Parameter!$I$27:$K$29,2,0)),IF(P913="","LOSE",P913)))</f>
        <v>S33</v>
      </c>
      <c r="BZ913" s="62" t="n">
        <f aca="false">IF(BY913="LOSE",1,IF(N(V913)&gt;0,V913,IF(CB913=1,MAX(1,N(VLOOKUP(T913,Parameter!$I$27:$K$29,3,0)),H913,N(N913)),IF(N(Q913)&gt;0,Q913,MAX(1,H913)))))</f>
        <v>909</v>
      </c>
      <c r="CA913" s="65" t="n">
        <f aca="false">IF(BY913="LOSE",1,0)</f>
        <v>0</v>
      </c>
      <c r="CB913" s="65" t="n">
        <f aca="false">IF(AND(U913="",OR(P913="",P913="LOSE"),T913&lt;&gt;"",N(S913)&lt;=0,ISNUMBER(MATCH(T913,Parameter!$I$27:$I$29,0))),1,0)</f>
        <v>0</v>
      </c>
      <c r="CC913" s="65" t="n">
        <f aca="false">IF(CR913&gt;0,INDEX(Parameter!$H$5:$H$7,W913)/INDEX(Parameter!$E$5:$E$7,W913),IF(AND(CA913=0,N(IFERROR(VLOOKUP(BY913,'Gebinde-Kategorie'!$A$5:$N$45,14,0),0))&gt;0),VLOOKUP(BY913,'Gebinde-Kategorie'!$A$5:$N$45,14,0)*10+Parameter!$M$23,Parameter!$M$24))</f>
        <v>155</v>
      </c>
      <c r="CD913" s="60" t="str">
        <f aca="false">IF(AND(Parameter!$B$19="Ja",E913&lt;&gt;"",ISNUMBER(MATCH(E913,Parameter!$I$35:$I$52,0))),VLOOKUP(E913,Parameter!$I$35:$J$52,2,0),IFERROR(VLOOKUP(D913,Parameter!$A$35:$C$64,2,0),"Nein"))</f>
        <v>2+3</v>
      </c>
      <c r="CE913" s="64" t="n">
        <f aca="false">IF(CA913=0,0,IF(N(S913)&gt;0,S913,IFERROR(VLOOKUP(D913,Parameter!$A$35:$C$64,3,0)+0,0)))</f>
        <v>0</v>
      </c>
      <c r="CF913" s="60" t="n">
        <f aca="false">IF(AB913&lt;&gt;"",AB913,AA913)</f>
        <v>3</v>
      </c>
      <c r="CG913" s="60" t="str">
        <f aca="false">IF(OR(CF913=1,CF913=2,CF913=3),IF(Parameter!$E$27="Ja","LIFT",IF(CF913=1,"L1","L23")),IF(CF913="Aussen","Aussen","-"))</f>
        <v>LIFT</v>
      </c>
      <c r="CH913" s="71" t="n">
        <f aca="false">IF(N(AC913)&gt;0,AC913,0)</f>
        <v>0</v>
      </c>
      <c r="CI913" s="65" t="n">
        <f aca="false">IF(ISNUMBER(AF913),1,0)</f>
        <v>0</v>
      </c>
      <c r="CJ913" s="62" t="n">
        <f aca="false">N(AF913)</f>
        <v>0</v>
      </c>
      <c r="CK913" s="62" t="n">
        <f aca="false">N(M913)+N(N913)</f>
        <v>132</v>
      </c>
      <c r="CL913" s="62" t="n">
        <f aca="false">N(M913)</f>
        <v>7</v>
      </c>
      <c r="CM913" s="62" t="n">
        <f aca="false">N(N913)</f>
        <v>125</v>
      </c>
      <c r="CN913" s="62" t="n">
        <f aca="false">ROUNDUP(H913/BZ913,0)</f>
        <v>1</v>
      </c>
      <c r="CO913" s="62" t="n">
        <f aca="false">ROUNDUP(CJ913/BZ913,0)</f>
        <v>0</v>
      </c>
      <c r="CP913" s="65" t="n">
        <f aca="false">IF(CA913=1,0,IFERROR(VLOOKUP(BY913,'Gebinde-Kategorie'!$A$5:$N$45,5,0)+0,0))</f>
        <v>8</v>
      </c>
      <c r="CQ913" s="65" t="n">
        <f aca="false">IFERROR(IF(OR(CF913=1,CF913=2,CF913=3),N(INDEX(Parameter!$I$5:$I$7,CF913)),0),0)</f>
        <v>0</v>
      </c>
      <c r="CR913" s="64" t="n">
        <f aca="false">IF(AND(Parameter!$B$21="Ja",ISNUMBER(W913),N(X913)&gt;0),IFERROR(N(INDEX(Parameter!$L$5:$L$7,W913))*INDEX(Parameter!$E$5:$E$7,W913)*X913/SUMIFS($X$7:$X$1843,$W$7:$W$1843,W913),0),0)</f>
        <v>0</v>
      </c>
      <c r="CS913" s="62" t="n">
        <f aca="false">IF(AND(OR(CG913="L1",CG913="L23",CG913="LIFT"),H913&gt;0),CC913*IF(CR913&gt;0,CR913*MAX(1,H913/X913),IF(CA913=1,CE913,IF(R913&gt;0,CN913/R913,0))/MAX(0.1,N(Parameter!$M$21))),"")</f>
        <v>2.98076923076923</v>
      </c>
      <c r="CT913" s="64" t="n">
        <f aca="false">IF(CS913="","",J913/H913)</f>
        <v>0.191950464396285</v>
      </c>
      <c r="CU913" s="62" t="n">
        <f aca="false">IF(CS913="","",H913*G913)</f>
        <v>109.82</v>
      </c>
      <c r="CV913" s="63" t="n">
        <f aca="false">IF(CS913="","",(CL913+ROUNDUP(CL913+MAX(CM913,2*(J913/MAX(0.1,N(Einkauf!$C$6))-CL913)),0))/2)</f>
        <v>69.5</v>
      </c>
      <c r="CW913" s="62" t="n">
        <f aca="false">IF(CS913="","",MAX(0,H913-CV913)*G913)</f>
        <v>98.005</v>
      </c>
      <c r="CX913" s="62" t="n">
        <f aca="false">IF(CS913="","",CS913*MAX(0,1-CV913/H913))</f>
        <v>2.66008275779948</v>
      </c>
      <c r="CY913" s="64" t="n">
        <f aca="false">IF(CS913="","",PERCENTRANK($CS$7:$CS$1843,CS913)+PERCENTRANK($CU$7:$CU$1843,CU913)+1-PERCENTRANK($CT$7:$CT$1843,CT913))</f>
        <v>0.984</v>
      </c>
      <c r="CZ913" s="72" t="n">
        <f aca="false">IF(CS913="","",CHOOSE(MATCH(Einkauf!$C$5,Parameter!$G$23:$G$27,0),CY913,CS913,CU913,-CT913,CW913)+ROW()/1000000000)</f>
        <v>0.984000913</v>
      </c>
    </row>
    <row r="914" customFormat="false" ht="15" hidden="false" customHeight="false" outlineLevel="0" collapsed="false">
      <c r="A914" s="60" t="s">
        <v>1753</v>
      </c>
      <c r="B914" s="60" t="s">
        <v>1754</v>
      </c>
      <c r="C914" s="60" t="s">
        <v>498</v>
      </c>
      <c r="D914" s="60" t="s">
        <v>226</v>
      </c>
      <c r="E914" s="60"/>
      <c r="F914" s="60" t="s">
        <v>260</v>
      </c>
      <c r="G914" s="61" t="n">
        <v>0.76</v>
      </c>
      <c r="H914" s="62" t="n">
        <f aca="false">MAX(0,IF(AND(Parameter!$B$21="Ja",ISNUMBER(Y914)),Y914,IF(Parameter!$B$20="Jahresanfang 2025 + Export",BS914+BR914,BR914)))</f>
        <v>0</v>
      </c>
      <c r="I914" s="62" t="n">
        <f aca="false">H914*G914</f>
        <v>0</v>
      </c>
      <c r="J914" s="62" t="n">
        <f aca="false">BU914*Parameter!$B$18</f>
        <v>0</v>
      </c>
      <c r="K914" s="63" t="n">
        <v>40.5</v>
      </c>
      <c r="L914" s="64" t="n">
        <v>0</v>
      </c>
      <c r="M914" s="62" t="n">
        <v>0</v>
      </c>
      <c r="N914" s="62" t="n">
        <v>1</v>
      </c>
      <c r="O914" s="65" t="n">
        <v>21</v>
      </c>
      <c r="P914" s="60" t="s">
        <v>210</v>
      </c>
      <c r="Q914" s="62"/>
      <c r="R914" s="65" t="n">
        <f aca="false">IF(CA914=1,0,IFERROR(VLOOKUP(BY914,'Gebinde-Kategorie'!$A$5:$N$45,13,0)+0,0))</f>
        <v>26</v>
      </c>
      <c r="S914" s="66"/>
      <c r="T914" s="67" t="s">
        <v>317</v>
      </c>
      <c r="U914" s="67"/>
      <c r="V914" s="67"/>
      <c r="W914" s="60"/>
      <c r="X914" s="62"/>
      <c r="Y914" s="62"/>
      <c r="Z914" s="60" t="n">
        <v>3</v>
      </c>
      <c r="AA914" s="60" t="n">
        <f aca="false">IF(A914="","",IF(AND(Parameter!$B$21="Ja",ISNUMBER(W914)),W914,IF(AND(Parameter!$E$27="Ja",ISNUMBER(Z914),CD914&lt;&gt;"Nein"),Z914,IF(CD914="2+3",IF(ISNUMBER(SEARCH("grosser Artikel",BV914)),2,IFERROR(VLOOKUP(BY914,Parameter!$F$35:$G$64,2,0),2)),IF(OR(CD914="Nein",CD914=""),"-",CD914)))))</f>
        <v>3</v>
      </c>
      <c r="AB914" s="67"/>
      <c r="AC914" s="68"/>
      <c r="AD914" s="62" t="n">
        <f aca="false">AW914</f>
        <v>1</v>
      </c>
      <c r="AE914" s="62" t="n">
        <f aca="false">MAX(AW914,H914)</f>
        <v>1</v>
      </c>
      <c r="AF914" s="69"/>
      <c r="AG914" s="62" t="n">
        <f aca="false">IF(LEFT(Cockpit!$C$5,1)="A",H914,IF(Parameter!$E$30="MAX-Bestand",IF(CI914=1,CJ914,IF(LEFT(Cockpit!$C$5,1)="B",AM914,MAX(AM914,H914))),ROUNDUP(AK914,0)))</f>
        <v>0</v>
      </c>
      <c r="AH914" s="62" t="n">
        <f aca="false">IF(CA914=1,0,ROUNDUP(AG914/BZ914,0))</f>
        <v>0</v>
      </c>
      <c r="AI914" s="64" t="n">
        <f aca="false">IF(CR914&gt;0,CR914*MAX(1,AG914/X914),IF(CA914=1,IF(AG914&lt;=0,0,CE914*MAX(1,IF(H914&gt;0,AG914/H914,1))),IF(R914&gt;0,AH914/R914,0))/MAX(0.1,N(Parameter!$M$21)))</f>
        <v>0</v>
      </c>
      <c r="AJ914" s="62" t="n">
        <f aca="false">AI914*CC914</f>
        <v>0</v>
      </c>
      <c r="AK914" s="63" t="n">
        <f aca="false">IF(LEFT(Cockpit!$C$5,1)="A",H914,IF(CI914=1,(CL914+CJ914)/2,IF(LEFT(Cockpit!$C$5,1)="B",(CL914+AM914)/2,MAX((CL914+AM914)/2,H914))))</f>
        <v>0</v>
      </c>
      <c r="AL914" s="62" t="n">
        <f aca="false">AK914*G914</f>
        <v>0</v>
      </c>
      <c r="AM914" s="62" t="n">
        <f aca="false">ROUNDUP(CL914+MAX(CM914,2*(J914/IF(CH914&gt;0,CH914,MAX(0.1,N(Cockpit!$C$6)))-CL914)),0)</f>
        <v>1</v>
      </c>
      <c r="AN914" s="63" t="n">
        <f aca="false">IF(AJ914&gt;0,J914/AJ914,-1)</f>
        <v>-1</v>
      </c>
      <c r="AO914" s="63" t="str">
        <f aca="false">IF(AND(OR(CG914="L1",CG914="L23",CG914="LIFT"),AJ914&gt;0),SUMIFS($AJ$7:$AJ$1843,$CG$7:$CG$1843,CG914,$AN$7:$AN$1843,"&gt;"&amp;AN914)+SUMIFS($AJ$7:$AJ$1843,$CG$7:$CG$1843,CG914,$AN$7:$AN$1843,AN914,$BX$7:$BX$1843,"&lt;="&amp;BX914),"")</f>
        <v/>
      </c>
      <c r="AP914" s="70" t="n">
        <f aca="false">IF(AO914="",0,MAX(0,MIN(1,(IF(CG914="L1",Parameter!$H$5,IF(CG914="L23",Parameter!$H$6+Parameter!$H$7,Parameter!$H$5+Parameter!$H$6+Parameter!$H$7))-(AO914-AJ914))/AJ914)))</f>
        <v>0</v>
      </c>
      <c r="AQ914" s="62" t="n">
        <f aca="false">IF(LEFT(Cockpit!$I$5,1)="A",H914,IF(Parameter!$E$30="MAX-Bestand",IF(CI914=1,CJ914,IF(LEFT(Cockpit!$I$5,1)="B",AW914,MAX(AW914,H914))),ROUNDUP(AU914,0)))</f>
        <v>1</v>
      </c>
      <c r="AR914" s="62" t="n">
        <f aca="false">IF(CA914=1,0,ROUNDUP(AQ914/BZ914,0))</f>
        <v>1</v>
      </c>
      <c r="AS914" s="64" t="n">
        <f aca="false">IF(CR914&gt;0,CR914*MAX(1,AQ914/X914),IF(CA914=1,IF(AQ914&lt;=0,0,CE914*MAX(1,IF(H914&gt;0,AQ914/H914,1))),IF(R914&gt;0,AR914/R914,0))/MAX(0.1,N(Parameter!$M$21)))</f>
        <v>0.0384615384615385</v>
      </c>
      <c r="AT914" s="62" t="n">
        <f aca="false">AS914*CC914</f>
        <v>5.96153846153846</v>
      </c>
      <c r="AU914" s="63" t="n">
        <f aca="false">IF(LEFT(Cockpit!$I$5,1)="A",H914,IF(CI914=1,(CL914+CJ914)/2,IF(LEFT(Cockpit!$I$5,1)="B",(CL914+AW914)/2,MAX((CL914+AW914)/2,H914))))</f>
        <v>0.5</v>
      </c>
      <c r="AV914" s="62" t="n">
        <f aca="false">AU914*G914</f>
        <v>0.38</v>
      </c>
      <c r="AW914" s="62" t="n">
        <f aca="false">ROUNDUP(CL914+MAX(CM914,2*(J914/IF(CH914&gt;0,CH914,MAX(0.1,N(Cockpit!$I$6)))-CL914)),0)</f>
        <v>1</v>
      </c>
      <c r="AX914" s="63" t="n">
        <f aca="false">IF(AT914&gt;0,J914/AT914,-1)</f>
        <v>0</v>
      </c>
      <c r="AY914" s="63" t="n">
        <f aca="false">IF(AND(OR(CG914="L1",CG914="L23",CG914="LIFT"),AT914&gt;0),SUMIFS($AT$7:$AT$1843,$CG$7:$CG$1843,CG914,$AX$7:$AX$1843,"&gt;"&amp;AX914)+SUMIFS($AT$7:$AT$1843,$CG$7:$CG$1843,CG914,$AX$7:$AX$1843,AX914,$BX$7:$BX$1843,"&lt;="&amp;BX914),"")</f>
        <v>34506.6117216117</v>
      </c>
      <c r="AZ914" s="70" t="n">
        <f aca="false">IF(AY914="",0,MAX(0,MIN(1,(IF(CG914="L1",Parameter!$H$5,IF(CG914="L23",Parameter!$H$6+Parameter!$H$7,Parameter!$H$5+Parameter!$H$6+Parameter!$H$7))-(AY914-AT914))/AT914)))</f>
        <v>1</v>
      </c>
      <c r="BA914" s="62" t="n">
        <f aca="false">IF(LEFT(Cockpit!$O$5,1)="A",H914,IF(Parameter!$E$30="MAX-Bestand",IF(CI914=1,CJ914,IF(LEFT(Cockpit!$O$5,1)="B",BG914,MAX(BG914,H914))),ROUNDUP(BE914,0)))</f>
        <v>1</v>
      </c>
      <c r="BB914" s="62" t="n">
        <f aca="false">IF(CA914=1,0,ROUNDUP(BA914/BZ914,0))</f>
        <v>1</v>
      </c>
      <c r="BC914" s="64" t="n">
        <f aca="false">IF(CR914&gt;0,CR914*MAX(1,BA914/X914),IF(CA914=1,IF(BA914&lt;=0,0,CE914*MAX(1,IF(H914&gt;0,BA914/H914,1))),IF(R914&gt;0,BB914/R914,0))/MAX(0.1,N(Parameter!$M$21)))</f>
        <v>0.0384615384615385</v>
      </c>
      <c r="BD914" s="62" t="n">
        <f aca="false">BC914*CC914</f>
        <v>5.96153846153846</v>
      </c>
      <c r="BE914" s="63" t="n">
        <f aca="false">IF(LEFT(Cockpit!$O$5,1)="A",H914,IF(CI914=1,(CL914+CJ914)/2,IF(LEFT(Cockpit!$O$5,1)="B",(CL914+BG914)/2,MAX((CL914+BG914)/2,H914))))</f>
        <v>0.5</v>
      </c>
      <c r="BF914" s="62" t="n">
        <f aca="false">BE914*G914</f>
        <v>0.38</v>
      </c>
      <c r="BG914" s="62" t="n">
        <f aca="false">ROUNDUP(CL914+MAX(CM914,2*(J914/IF(CH914&gt;0,CH914,MAX(0.1,N(Cockpit!$O$6)))-CL914)),0)</f>
        <v>1</v>
      </c>
      <c r="BH914" s="63" t="n">
        <f aca="false">IF(BD914&gt;0,J914/BD914,-1)</f>
        <v>0</v>
      </c>
      <c r="BI914" s="63" t="n">
        <f aca="false">IF(AND(OR(CG914="L1",CG914="L23",CG914="LIFT"),BD914&gt;0),SUMIFS($BD$7:$BD$1843,$CG$7:$CG$1843,CG914,$BH$7:$BH$1843,"&gt;"&amp;BH914)+SUMIFS($BD$7:$BD$1843,$CG$7:$CG$1843,CG914,$BH$7:$BH$1843,BH914,$BX$7:$BX$1843,"&lt;="&amp;BX914),"")</f>
        <v>28538.2178323089</v>
      </c>
      <c r="BJ914" s="70" t="n">
        <f aca="false">IF(BI914="",0,MAX(0,MIN(1,(IF(CG914="L1",Parameter!$H$5,IF(CG914="L23",Parameter!$H$6+Parameter!$H$7,Parameter!$H$5+Parameter!$H$6+Parameter!$H$7))-(BI914-BD914))/BD914)))</f>
        <v>1</v>
      </c>
      <c r="BK914" s="60" t="str">
        <f aca="false">IF(AJ914&lt;=0,"",IF(CG914="Aussen","Aussenlager",IF(CG914="-","Nicht im Lift",IF(AP914&gt;=1,"Lift",IF(AP914&lt;=0,"Aussenlager","teilweise")))))</f>
        <v/>
      </c>
      <c r="BL914" s="60" t="str">
        <f aca="false">IF(AT914&lt;=0,"",IF(CG914="Aussen","Aussenlager",IF(CG914="-","Nicht im Lift",IF(AZ914&gt;=1,"Lift",IF(AZ914&lt;=0,"Aussenlager","teilweise")))))</f>
        <v>Lift</v>
      </c>
      <c r="BM914" s="60" t="str">
        <f aca="false">IF(BD914&lt;=0,"",IF(CG914="Aussen","Aussenlager",IF(CG914="-","Nicht im Lift",IF(BJ914&gt;=1,"Lift",IF(BJ914&lt;=0,"Aussenlager","teilweise")))))</f>
        <v>Lift</v>
      </c>
      <c r="BN914" s="60" t="str">
        <f aca="false">IF(A914="","",IF(BW914=1,"Neu; ","")&amp;IF(AND(BW914=0,BR914&lt;0),"negativer Bestand (Export "&amp;BR914&amp;"); ","")&amp;IF(J914&lt;=0,"Kein Verbrauch; ","")&amp;IF(CR914&gt;0,"Lift "&amp;W914&amp;" lt. Liftbericht (Fach "&amp;X914&amp;" Stk); ",IF(CB914=1,"Gebinde geschätzt ("&amp;T914&amp;"); ",IF(CA914=1,"Lose – Tablare geschätzt; ","")))&amp;IF(H914&gt;AW914,"Überbestand "&amp;ROUND(H914-AW914,0)&amp;" Stk / CHF "&amp;ROUND((H914-AW914)*G914,0)&amp;"; ","")&amp;IF(AND(CI914=1,CJ914&lt;CK914),"MAX &lt; MB+LG; ","")&amp;IF(AND(CQ914&gt;0,CP914*10&gt;CQ914),"zu hoch für Tablar; ","")&amp;IF(AND(BW914=0,OR(CI914=1,AB914&lt;&gt;"",U914&lt;&gt;"",V914&lt;&gt;"",AC914&lt;&gt;"")),"manuell übersteuert; ","")&amp;IF(AND(CA914=0,R914=0),"Gebinde unbekannt / Stellmass fehlt; ","")&amp;IF(AND(CA914=0,N(V914)&lt;=0,N(Q914)&lt;=0),"Menge pro Gebinde fehlt (Ist = 1 Gebinde); ","")&amp;BV914)</f>
        <v>negativer Bestand (Export -51); Kein Verbrauch; Gebinde geschätzt (Klein); Menge pro Gebinde fehlt (Ist = 1 Gebinde); </v>
      </c>
      <c r="BO914" s="60"/>
      <c r="BP914" s="60"/>
      <c r="BQ914" s="67"/>
      <c r="BR914" s="62" t="n">
        <v>-51</v>
      </c>
      <c r="BS914" s="62" t="n">
        <v>51</v>
      </c>
      <c r="BT914" s="61" t="n">
        <v>-38.76</v>
      </c>
      <c r="BU914" s="62" t="n">
        <v>0</v>
      </c>
      <c r="BV914" s="60"/>
      <c r="BW914" s="65" t="n">
        <v>0</v>
      </c>
      <c r="BX914" s="65" t="n">
        <v>914</v>
      </c>
      <c r="BY914" s="60" t="str">
        <f aca="false">IF(U914&lt;&gt;"",UPPER(TRIM(U914)),IF(CB914=1,UPPER(VLOOKUP(T914,Parameter!$I$27:$K$29,2,0)),IF(P914="","LOSE",P914)))</f>
        <v>S51</v>
      </c>
      <c r="BZ914" s="62" t="n">
        <f aca="false">IF(BY914="LOSE",1,IF(N(V914)&gt;0,V914,IF(CB914=1,MAX(1,N(VLOOKUP(T914,Parameter!$I$27:$K$29,3,0)),H914,N(N914)),IF(N(Q914)&gt;0,Q914,MAX(1,H914)))))</f>
        <v>20</v>
      </c>
      <c r="CA914" s="65" t="n">
        <f aca="false">IF(BY914="LOSE",1,0)</f>
        <v>0</v>
      </c>
      <c r="CB914" s="65" t="n">
        <f aca="false">IF(AND(U914="",OR(P914="",P914="LOSE"),T914&lt;&gt;"",N(S914)&lt;=0,ISNUMBER(MATCH(T914,Parameter!$I$27:$I$29,0))),1,0)</f>
        <v>1</v>
      </c>
      <c r="CC914" s="65" t="n">
        <f aca="false">IF(CR914&gt;0,INDEX(Parameter!$H$5:$H$7,W914)/INDEX(Parameter!$E$5:$E$7,W914),IF(AND(CA914=0,N(IFERROR(VLOOKUP(BY914,'Gebinde-Kategorie'!$A$5:$N$45,14,0),0))&gt;0),VLOOKUP(BY914,'Gebinde-Kategorie'!$A$5:$N$45,14,0)*10+Parameter!$M$23,Parameter!$M$24))</f>
        <v>155</v>
      </c>
      <c r="CD914" s="60" t="str">
        <f aca="false">IF(AND(Parameter!$B$19="Ja",E914&lt;&gt;"",ISNUMBER(MATCH(E914,Parameter!$I$35:$I$52,0))),VLOOKUP(E914,Parameter!$I$35:$J$52,2,0),IFERROR(VLOOKUP(D914,Parameter!$A$35:$C$64,2,0),"Nein"))</f>
        <v>2+3</v>
      </c>
      <c r="CE914" s="64" t="n">
        <f aca="false">IF(CA914=0,0,IF(N(S914)&gt;0,S914,IFERROR(VLOOKUP(D914,Parameter!$A$35:$C$64,3,0)+0,0)))</f>
        <v>0</v>
      </c>
      <c r="CF914" s="60" t="n">
        <f aca="false">IF(AB914&lt;&gt;"",AB914,AA914)</f>
        <v>3</v>
      </c>
      <c r="CG914" s="60" t="str">
        <f aca="false">IF(OR(CF914=1,CF914=2,CF914=3),IF(Parameter!$E$27="Ja","LIFT",IF(CF914=1,"L1","L23")),IF(CF914="Aussen","Aussen","-"))</f>
        <v>LIFT</v>
      </c>
      <c r="CH914" s="71" t="n">
        <f aca="false">IF(N(AC914)&gt;0,AC914,0)</f>
        <v>0</v>
      </c>
      <c r="CI914" s="65" t="n">
        <f aca="false">IF(ISNUMBER(AF914),1,0)</f>
        <v>0</v>
      </c>
      <c r="CJ914" s="62" t="n">
        <f aca="false">N(AF914)</f>
        <v>0</v>
      </c>
      <c r="CK914" s="62" t="n">
        <f aca="false">N(M914)+N(N914)</f>
        <v>1</v>
      </c>
      <c r="CL914" s="62" t="n">
        <f aca="false">N(M914)</f>
        <v>0</v>
      </c>
      <c r="CM914" s="62" t="n">
        <f aca="false">N(N914)</f>
        <v>1</v>
      </c>
      <c r="CN914" s="62" t="n">
        <f aca="false">ROUNDUP(H914/BZ914,0)</f>
        <v>0</v>
      </c>
      <c r="CO914" s="62" t="n">
        <f aca="false">ROUNDUP(CJ914/BZ914,0)</f>
        <v>0</v>
      </c>
      <c r="CP914" s="65" t="n">
        <f aca="false">IF(CA914=1,0,IFERROR(VLOOKUP(BY914,'Gebinde-Kategorie'!$A$5:$N$45,5,0)+0,0))</f>
        <v>11</v>
      </c>
      <c r="CQ914" s="65" t="n">
        <f aca="false">IFERROR(IF(OR(CF914=1,CF914=2,CF914=3),N(INDEX(Parameter!$I$5:$I$7,CF914)),0),0)</f>
        <v>0</v>
      </c>
      <c r="CR914" s="64" t="n">
        <f aca="false">IF(AND(Parameter!$B$21="Ja",ISNUMBER(W914),N(X914)&gt;0),IFERROR(N(INDEX(Parameter!$L$5:$L$7,W914))*INDEX(Parameter!$E$5:$E$7,W914)*X914/SUMIFS($X$7:$X$1843,$W$7:$W$1843,W914),0),0)</f>
        <v>0</v>
      </c>
      <c r="CS914" s="62" t="str">
        <f aca="false">IF(AND(OR(CG914="L1",CG914="L23",CG914="LIFT"),H914&gt;0),CC914*IF(CR914&gt;0,CR914*MAX(1,H914/X914),IF(CA914=1,CE914,IF(R914&gt;0,CN914/R914,0))/MAX(0.1,N(Parameter!$M$21))),"")</f>
        <v/>
      </c>
      <c r="CT914" s="64" t="str">
        <f aca="false">IF(CS914="","",J914/H914)</f>
        <v/>
      </c>
      <c r="CU914" s="62" t="str">
        <f aca="false">IF(CS914="","",H914*G914)</f>
        <v/>
      </c>
      <c r="CV914" s="63" t="str">
        <f aca="false">IF(CS914="","",(CL914+ROUNDUP(CL914+MAX(CM914,2*(J914/MAX(0.1,N(Einkauf!$C$6))-CL914)),0))/2)</f>
        <v/>
      </c>
      <c r="CW914" s="62" t="str">
        <f aca="false">IF(CS914="","",MAX(0,H914-CV914)*G914)</f>
        <v/>
      </c>
      <c r="CX914" s="62" t="str">
        <f aca="false">IF(CS914="","",CS914*MAX(0,1-CV914/H914))</f>
        <v/>
      </c>
      <c r="CY914" s="64" t="str">
        <f aca="false">IF(CS914="","",PERCENTRANK($CS$7:$CS$1843,CS914)+PERCENTRANK($CU$7:$CU$1843,CU914)+1-PERCENTRANK($CT$7:$CT$1843,CT914))</f>
        <v/>
      </c>
      <c r="CZ914" s="72" t="str">
        <f aca="false">IF(CS914="","",CHOOSE(MATCH(Einkauf!$C$5,Parameter!$G$23:$G$27,0),CY914,CS914,CU914,-CT914,CW914)+ROW()/1000000000)</f>
        <v/>
      </c>
    </row>
    <row r="915" customFormat="false" ht="15" hidden="false" customHeight="false" outlineLevel="0" collapsed="false">
      <c r="A915" s="60" t="s">
        <v>1755</v>
      </c>
      <c r="B915" s="60" t="s">
        <v>1756</v>
      </c>
      <c r="C915" s="60" t="s">
        <v>206</v>
      </c>
      <c r="D915" s="60" t="s">
        <v>215</v>
      </c>
      <c r="E915" s="60"/>
      <c r="F915" s="60" t="s">
        <v>260</v>
      </c>
      <c r="G915" s="61" t="n">
        <v>2.09</v>
      </c>
      <c r="H915" s="62" t="n">
        <f aca="false">MAX(0,IF(AND(Parameter!$B$21="Ja",ISNUMBER(Y915)),Y915,IF(Parameter!$B$20="Jahresanfang 2025 + Export",BS915+BR915,BR915)))</f>
        <v>100</v>
      </c>
      <c r="I915" s="62" t="n">
        <f aca="false">H915*G915</f>
        <v>209</v>
      </c>
      <c r="J915" s="62" t="n">
        <f aca="false">BU915*Parameter!$B$18</f>
        <v>160</v>
      </c>
      <c r="K915" s="63" t="n">
        <v>100</v>
      </c>
      <c r="L915" s="64" t="n">
        <v>1.6</v>
      </c>
      <c r="M915" s="62" t="n">
        <v>25</v>
      </c>
      <c r="N915" s="62" t="n">
        <v>100</v>
      </c>
      <c r="O915" s="65" t="n">
        <v>28</v>
      </c>
      <c r="P915" s="60" t="s">
        <v>210</v>
      </c>
      <c r="Q915" s="62"/>
      <c r="R915" s="65" t="n">
        <f aca="false">IF(CA915=1,0,IFERROR(VLOOKUP(BY915,'Gebinde-Kategorie'!$A$5:$N$45,13,0)+0,0))</f>
        <v>4</v>
      </c>
      <c r="S915" s="66"/>
      <c r="T915" s="67" t="s">
        <v>231</v>
      </c>
      <c r="U915" s="67"/>
      <c r="V915" s="67"/>
      <c r="W915" s="60"/>
      <c r="X915" s="62"/>
      <c r="Y915" s="62"/>
      <c r="Z915" s="60" t="n">
        <v>2</v>
      </c>
      <c r="AA915" s="60" t="n">
        <f aca="false">IF(A915="","",IF(AND(Parameter!$B$21="Ja",ISNUMBER(W915)),W915,IF(AND(Parameter!$E$27="Ja",ISNUMBER(Z915),CD915&lt;&gt;"Nein"),Z915,IF(CD915="2+3",IF(ISNUMBER(SEARCH("grosser Artikel",BV915)),2,IFERROR(VLOOKUP(BY915,Parameter!$F$35:$G$64,2,0),2)),IF(OR(CD915="Nein",CD915=""),"-",CD915)))))</f>
        <v>2</v>
      </c>
      <c r="AB915" s="67"/>
      <c r="AC915" s="68"/>
      <c r="AD915" s="62" t="n">
        <f aca="false">AW915</f>
        <v>125</v>
      </c>
      <c r="AE915" s="62" t="n">
        <f aca="false">MAX(AW915,H915)</f>
        <v>125</v>
      </c>
      <c r="AF915" s="69"/>
      <c r="AG915" s="62" t="n">
        <f aca="false">IF(LEFT(Cockpit!$C$5,1)="A",H915,IF(Parameter!$E$30="MAX-Bestand",IF(CI915=1,CJ915,IF(LEFT(Cockpit!$C$5,1)="B",AM915,MAX(AM915,H915))),ROUNDUP(AK915,0)))</f>
        <v>100</v>
      </c>
      <c r="AH915" s="62" t="n">
        <f aca="false">IF(CA915=1,0,ROUNDUP(AG915/BZ915,0))</f>
        <v>1</v>
      </c>
      <c r="AI915" s="64" t="n">
        <f aca="false">IF(CR915&gt;0,CR915*MAX(1,AG915/X915),IF(CA915=1,IF(AG915&lt;=0,0,CE915*MAX(1,IF(H915&gt;0,AG915/H915,1))),IF(R915&gt;0,AH915/R915,0))/MAX(0.1,N(Parameter!$M$21)))</f>
        <v>0.25</v>
      </c>
      <c r="AJ915" s="62" t="n">
        <f aca="false">AI915*CC915</f>
        <v>58.75</v>
      </c>
      <c r="AK915" s="63" t="n">
        <f aca="false">IF(LEFT(Cockpit!$C$5,1)="A",H915,IF(CI915=1,(CL915+CJ915)/2,IF(LEFT(Cockpit!$C$5,1)="B",(CL915+AM915)/2,MAX((CL915+AM915)/2,H915))))</f>
        <v>100</v>
      </c>
      <c r="AL915" s="62" t="n">
        <f aca="false">AK915*G915</f>
        <v>209</v>
      </c>
      <c r="AM915" s="62" t="n">
        <f aca="false">ROUNDUP(CL915+MAX(CM915,2*(J915/IF(CH915&gt;0,CH915,MAX(0.1,N(Cockpit!$C$6)))-CL915)),0)</f>
        <v>125</v>
      </c>
      <c r="AN915" s="63" t="n">
        <f aca="false">IF(AJ915&gt;0,J915/AJ915,-1)</f>
        <v>2.72340425531915</v>
      </c>
      <c r="AO915" s="63" t="n">
        <f aca="false">IF(AND(OR(CG915="L1",CG915="L23",CG915="LIFT"),AJ915&gt;0),SUMIFS($AJ$7:$AJ$1843,$CG$7:$CG$1843,CG915,$AN$7:$AN$1843,"&gt;"&amp;AN915)+SUMIFS($AJ$7:$AJ$1843,$CG$7:$CG$1843,CG915,$AN$7:$AN$1843,AN915,$BX$7:$BX$1843,"&lt;="&amp;BX915),"")</f>
        <v>5317.87957875458</v>
      </c>
      <c r="AP915" s="70" t="n">
        <f aca="false">IF(AO915="",0,MAX(0,MIN(1,(IF(CG915="L1",Parameter!$H$5,IF(CG915="L23",Parameter!$H$6+Parameter!$H$7,Parameter!$H$5+Parameter!$H$6+Parameter!$H$7))-(AO915-AJ915))/AJ915)))</f>
        <v>1</v>
      </c>
      <c r="AQ915" s="62" t="n">
        <f aca="false">IF(LEFT(Cockpit!$I$5,1)="A",H915,IF(Parameter!$E$30="MAX-Bestand",IF(CI915=1,CJ915,IF(LEFT(Cockpit!$I$5,1)="B",AW915,MAX(AW915,H915))),ROUNDUP(AU915,0)))</f>
        <v>100</v>
      </c>
      <c r="AR915" s="62" t="n">
        <f aca="false">IF(CA915=1,0,ROUNDUP(AQ915/BZ915,0))</f>
        <v>1</v>
      </c>
      <c r="AS915" s="64" t="n">
        <f aca="false">IF(CR915&gt;0,CR915*MAX(1,AQ915/X915),IF(CA915=1,IF(AQ915&lt;=0,0,CE915*MAX(1,IF(H915&gt;0,AQ915/H915,1))),IF(R915&gt;0,AR915/R915,0))/MAX(0.1,N(Parameter!$M$21)))</f>
        <v>0.25</v>
      </c>
      <c r="AT915" s="62" t="n">
        <f aca="false">AS915*CC915</f>
        <v>58.75</v>
      </c>
      <c r="AU915" s="63" t="n">
        <f aca="false">IF(LEFT(Cockpit!$I$5,1)="A",H915,IF(CI915=1,(CL915+CJ915)/2,IF(LEFT(Cockpit!$I$5,1)="B",(CL915+AW915)/2,MAX((CL915+AW915)/2,H915))))</f>
        <v>100</v>
      </c>
      <c r="AV915" s="62" t="n">
        <f aca="false">AU915*G915</f>
        <v>209</v>
      </c>
      <c r="AW915" s="62" t="n">
        <f aca="false">ROUNDUP(CL915+MAX(CM915,2*(J915/IF(CH915&gt;0,CH915,MAX(0.1,N(Cockpit!$I$6)))-CL915)),0)</f>
        <v>125</v>
      </c>
      <c r="AX915" s="63" t="n">
        <f aca="false">IF(AT915&gt;0,J915/AT915,-1)</f>
        <v>2.72340425531915</v>
      </c>
      <c r="AY915" s="63" t="n">
        <f aca="false">IF(AND(OR(CG915="L1",CG915="L23",CG915="LIFT"),AT915&gt;0),SUMIFS($AT$7:$AT$1843,$CG$7:$CG$1843,CG915,$AX$7:$AX$1843,"&gt;"&amp;AX915)+SUMIFS($AT$7:$AT$1843,$CG$7:$CG$1843,CG915,$AX$7:$AX$1843,AX915,$BX$7:$BX$1843,"&lt;="&amp;BX915),"")</f>
        <v>6152.3576007326</v>
      </c>
      <c r="AZ915" s="70" t="n">
        <f aca="false">IF(AY915="",0,MAX(0,MIN(1,(IF(CG915="L1",Parameter!$H$5,IF(CG915="L23",Parameter!$H$6+Parameter!$H$7,Parameter!$H$5+Parameter!$H$6+Parameter!$H$7))-(AY915-AT915))/AT915)))</f>
        <v>1</v>
      </c>
      <c r="BA915" s="62" t="n">
        <f aca="false">IF(LEFT(Cockpit!$O$5,1)="A",H915,IF(Parameter!$E$30="MAX-Bestand",IF(CI915=1,CJ915,IF(LEFT(Cockpit!$O$5,1)="B",BG915,MAX(BG915,H915))),ROUNDUP(BE915,0)))</f>
        <v>75</v>
      </c>
      <c r="BB915" s="62" t="n">
        <f aca="false">IF(CA915=1,0,ROUNDUP(BA915/BZ915,0))</f>
        <v>1</v>
      </c>
      <c r="BC915" s="64" t="n">
        <f aca="false">IF(CR915&gt;0,CR915*MAX(1,BA915/X915),IF(CA915=1,IF(BA915&lt;=0,0,CE915*MAX(1,IF(H915&gt;0,BA915/H915,1))),IF(R915&gt;0,BB915/R915,0))/MAX(0.1,N(Parameter!$M$21)))</f>
        <v>0.25</v>
      </c>
      <c r="BD915" s="62" t="n">
        <f aca="false">BC915*CC915</f>
        <v>58.75</v>
      </c>
      <c r="BE915" s="63" t="n">
        <f aca="false">IF(LEFT(Cockpit!$O$5,1)="A",H915,IF(CI915=1,(CL915+CJ915)/2,IF(LEFT(Cockpit!$O$5,1)="B",(CL915+BG915)/2,MAX((CL915+BG915)/2,H915))))</f>
        <v>75</v>
      </c>
      <c r="BF915" s="62" t="n">
        <f aca="false">BE915*G915</f>
        <v>156.75</v>
      </c>
      <c r="BG915" s="62" t="n">
        <f aca="false">ROUNDUP(CL915+MAX(CM915,2*(J915/IF(CH915&gt;0,CH915,MAX(0.1,N(Cockpit!$O$6)))-CL915)),0)</f>
        <v>125</v>
      </c>
      <c r="BH915" s="63" t="n">
        <f aca="false">IF(BD915&gt;0,J915/BD915,-1)</f>
        <v>2.72340425531915</v>
      </c>
      <c r="BI915" s="63" t="n">
        <f aca="false">IF(AND(OR(CG915="L1",CG915="L23",CG915="LIFT"),BD915&gt;0),SUMIFS($BD$7:$BD$1843,$CG$7:$CG$1843,CG915,$BH$7:$BH$1843,"&gt;"&amp;BH915)+SUMIFS($BD$7:$BD$1843,$CG$7:$CG$1843,CG915,$BH$7:$BH$1843,BH915,$BX$7:$BX$1843,"&lt;="&amp;BX915),"")</f>
        <v>5015.58836996337</v>
      </c>
      <c r="BJ915" s="70" t="n">
        <f aca="false">IF(BI915="",0,MAX(0,MIN(1,(IF(CG915="L1",Parameter!$H$5,IF(CG915="L23",Parameter!$H$6+Parameter!$H$7,Parameter!$H$5+Parameter!$H$6+Parameter!$H$7))-(BI915-BD915))/BD915)))</f>
        <v>1</v>
      </c>
      <c r="BK915" s="60" t="str">
        <f aca="false">IF(AJ915&lt;=0,"",IF(CG915="Aussen","Aussenlager",IF(CG915="-","Nicht im Lift",IF(AP915&gt;=1,"Lift",IF(AP915&lt;=0,"Aussenlager","teilweise")))))</f>
        <v>Lift</v>
      </c>
      <c r="BL915" s="60" t="str">
        <f aca="false">IF(AT915&lt;=0,"",IF(CG915="Aussen","Aussenlager",IF(CG915="-","Nicht im Lift",IF(AZ915&gt;=1,"Lift",IF(AZ915&lt;=0,"Aussenlager","teilweise")))))</f>
        <v>Lift</v>
      </c>
      <c r="BM915" s="60" t="str">
        <f aca="false">IF(BD915&lt;=0,"",IF(CG915="Aussen","Aussenlager",IF(CG915="-","Nicht im Lift",IF(BJ915&gt;=1,"Lift",IF(BJ915&lt;=0,"Aussenlager","teilweise")))))</f>
        <v>Lift</v>
      </c>
      <c r="BN915" s="60" t="str">
        <f aca="false">IF(A915="","",IF(BW915=1,"Neu; ","")&amp;IF(AND(BW915=0,BR915&lt;0),"negativer Bestand (Export "&amp;BR915&amp;"); ","")&amp;IF(J915&lt;=0,"Kein Verbrauch; ","")&amp;IF(CR915&gt;0,"Lift "&amp;W915&amp;" lt. Liftbericht (Fach "&amp;X915&amp;" Stk); ",IF(CB915=1,"Gebinde geschätzt ("&amp;T915&amp;"); ",IF(CA915=1,"Lose – Tablare geschätzt; ","")))&amp;IF(H915&gt;AW915,"Überbestand "&amp;ROUND(H915-AW915,0)&amp;" Stk / CHF "&amp;ROUND((H915-AW915)*G915,0)&amp;"; ","")&amp;IF(AND(CI915=1,CJ915&lt;CK915),"MAX &lt; MB+LG; ","")&amp;IF(AND(CQ915&gt;0,CP915*10&gt;CQ915),"zu hoch für Tablar; ","")&amp;IF(AND(BW915=0,OR(CI915=1,AB915&lt;&gt;"",U915&lt;&gt;"",V915&lt;&gt;"",AC915&lt;&gt;"")),"manuell übersteuert; ","")&amp;IF(AND(CA915=0,R915=0),"Gebinde unbekannt / Stellmass fehlt; ","")&amp;IF(AND(CA915=0,N(V915)&lt;=0,N(Q915)&lt;=0),"Menge pro Gebinde fehlt (Ist = 1 Gebinde); ","")&amp;BV915)</f>
        <v>Gebinde geschätzt (Gross); Menge pro Gebinde fehlt (Ist = 1 Gebinde); </v>
      </c>
      <c r="BO915" s="60"/>
      <c r="BP915" s="60"/>
      <c r="BQ915" s="67"/>
      <c r="BR915" s="62" t="n">
        <v>0</v>
      </c>
      <c r="BS915" s="62" t="n">
        <v>100</v>
      </c>
      <c r="BT915" s="61" t="n">
        <v>-40</v>
      </c>
      <c r="BU915" s="62" t="n">
        <v>160</v>
      </c>
      <c r="BV915" s="60"/>
      <c r="BW915" s="65" t="n">
        <v>0</v>
      </c>
      <c r="BX915" s="65" t="n">
        <v>915</v>
      </c>
      <c r="BY915" s="60" t="str">
        <f aca="false">IF(U915&lt;&gt;"",UPPER(TRIM(U915)),IF(CB915=1,UPPER(VLOOKUP(T915,Parameter!$I$27:$K$29,2,0)),IF(P915="","LOSE",P915)))</f>
        <v>S81</v>
      </c>
      <c r="BZ915" s="62" t="n">
        <f aca="false">IF(BY915="LOSE",1,IF(N(V915)&gt;0,V915,IF(CB915=1,MAX(1,N(VLOOKUP(T915,Parameter!$I$27:$K$29,3,0)),H915,N(N915)),IF(N(Q915)&gt;0,Q915,MAX(1,H915)))))</f>
        <v>100</v>
      </c>
      <c r="CA915" s="65" t="n">
        <f aca="false">IF(BY915="LOSE",1,0)</f>
        <v>0</v>
      </c>
      <c r="CB915" s="65" t="n">
        <f aca="false">IF(AND(U915="",OR(P915="",P915="LOSE"),T915&lt;&gt;"",N(S915)&lt;=0,ISNUMBER(MATCH(T915,Parameter!$I$27:$I$29,0))),1,0)</f>
        <v>1</v>
      </c>
      <c r="CC915" s="65" t="n">
        <f aca="false">IF(CR915&gt;0,INDEX(Parameter!$H$5:$H$7,W915)/INDEX(Parameter!$E$5:$E$7,W915),IF(AND(CA915=0,N(IFERROR(VLOOKUP(BY915,'Gebinde-Kategorie'!$A$5:$N$45,14,0),0))&gt;0),VLOOKUP(BY915,'Gebinde-Kategorie'!$A$5:$N$45,14,0)*10+Parameter!$M$23,Parameter!$M$24))</f>
        <v>235</v>
      </c>
      <c r="CD915" s="60" t="str">
        <f aca="false">IF(AND(Parameter!$B$19="Ja",E915&lt;&gt;"",ISNUMBER(MATCH(E915,Parameter!$I$35:$I$52,0))),VLOOKUP(E915,Parameter!$I$35:$J$52,2,0),IFERROR(VLOOKUP(D915,Parameter!$A$35:$C$64,2,0),"Nein"))</f>
        <v>2+3</v>
      </c>
      <c r="CE915" s="64" t="n">
        <f aca="false">IF(CA915=0,0,IF(N(S915)&gt;0,S915,IFERROR(VLOOKUP(D915,Parameter!$A$35:$C$64,3,0)+0,0)))</f>
        <v>0</v>
      </c>
      <c r="CF915" s="60" t="n">
        <f aca="false">IF(AB915&lt;&gt;"",AB915,AA915)</f>
        <v>2</v>
      </c>
      <c r="CG915" s="60" t="str">
        <f aca="false">IF(OR(CF915=1,CF915=2,CF915=3),IF(Parameter!$E$27="Ja","LIFT",IF(CF915=1,"L1","L23")),IF(CF915="Aussen","Aussen","-"))</f>
        <v>LIFT</v>
      </c>
      <c r="CH915" s="71" t="n">
        <f aca="false">IF(N(AC915)&gt;0,AC915,0)</f>
        <v>0</v>
      </c>
      <c r="CI915" s="65" t="n">
        <f aca="false">IF(ISNUMBER(AF915),1,0)</f>
        <v>0</v>
      </c>
      <c r="CJ915" s="62" t="n">
        <f aca="false">N(AF915)</f>
        <v>0</v>
      </c>
      <c r="CK915" s="62" t="n">
        <f aca="false">N(M915)+N(N915)</f>
        <v>125</v>
      </c>
      <c r="CL915" s="62" t="n">
        <f aca="false">N(M915)</f>
        <v>25</v>
      </c>
      <c r="CM915" s="62" t="n">
        <f aca="false">N(N915)</f>
        <v>100</v>
      </c>
      <c r="CN915" s="62" t="n">
        <f aca="false">ROUNDUP(H915/BZ915,0)</f>
        <v>1</v>
      </c>
      <c r="CO915" s="62" t="n">
        <f aca="false">ROUNDUP(CJ915/BZ915,0)</f>
        <v>0</v>
      </c>
      <c r="CP915" s="65" t="n">
        <f aca="false">IF(CA915=1,0,IFERROR(VLOOKUP(BY915,'Gebinde-Kategorie'!$A$5:$N$45,5,0)+0,0))</f>
        <v>20</v>
      </c>
      <c r="CQ915" s="65" t="n">
        <f aca="false">IFERROR(IF(OR(CF915=1,CF915=2,CF915=3),N(INDEX(Parameter!$I$5:$I$7,CF915)),0),0)</f>
        <v>0</v>
      </c>
      <c r="CR915" s="64" t="n">
        <f aca="false">IF(AND(Parameter!$B$21="Ja",ISNUMBER(W915),N(X915)&gt;0),IFERROR(N(INDEX(Parameter!$L$5:$L$7,W915))*INDEX(Parameter!$E$5:$E$7,W915)*X915/SUMIFS($X$7:$X$1843,$W$7:$W$1843,W915),0),0)</f>
        <v>0</v>
      </c>
      <c r="CS915" s="62" t="n">
        <f aca="false">IF(AND(OR(CG915="L1",CG915="L23",CG915="LIFT"),H915&gt;0),CC915*IF(CR915&gt;0,CR915*MAX(1,H915/X915),IF(CA915=1,CE915,IF(R915&gt;0,CN915/R915,0))/MAX(0.1,N(Parameter!$M$21))),"")</f>
        <v>58.75</v>
      </c>
      <c r="CT915" s="64" t="n">
        <f aca="false">IF(CS915="","",J915/H915)</f>
        <v>1.6</v>
      </c>
      <c r="CU915" s="62" t="n">
        <f aca="false">IF(CS915="","",H915*G915)</f>
        <v>209</v>
      </c>
      <c r="CV915" s="63" t="n">
        <f aca="false">IF(CS915="","",(CL915+ROUNDUP(CL915+MAX(CM915,2*(J915/MAX(0.1,N(Einkauf!$C$6))-CL915)),0))/2)</f>
        <v>75</v>
      </c>
      <c r="CW915" s="62" t="n">
        <f aca="false">IF(CS915="","",MAX(0,H915-CV915)*G915)</f>
        <v>52.25</v>
      </c>
      <c r="CX915" s="62" t="n">
        <f aca="false">IF(CS915="","",CS915*MAX(0,1-CV915/H915))</f>
        <v>14.6875</v>
      </c>
      <c r="CY915" s="64" t="n">
        <f aca="false">IF(CS915="","",PERCENTRANK($CS$7:$CS$1843,CS915)+PERCENTRANK($CU$7:$CU$1843,CU915)+1-PERCENTRANK($CT$7:$CT$1843,CT915))</f>
        <v>1.483</v>
      </c>
      <c r="CZ915" s="72" t="n">
        <f aca="false">IF(CS915="","",CHOOSE(MATCH(Einkauf!$C$5,Parameter!$G$23:$G$27,0),CY915,CS915,CU915,-CT915,CW915)+ROW()/1000000000)</f>
        <v>1.483000915</v>
      </c>
    </row>
    <row r="916" customFormat="false" ht="15" hidden="false" customHeight="false" outlineLevel="0" collapsed="false">
      <c r="A916" s="60" t="s">
        <v>1757</v>
      </c>
      <c r="B916" s="60" t="s">
        <v>1758</v>
      </c>
      <c r="C916" s="60" t="s">
        <v>206</v>
      </c>
      <c r="D916" s="60" t="s">
        <v>226</v>
      </c>
      <c r="E916" s="60" t="s">
        <v>227</v>
      </c>
      <c r="F916" s="60" t="s">
        <v>260</v>
      </c>
      <c r="G916" s="61" t="n">
        <v>14.19</v>
      </c>
      <c r="H916" s="62" t="n">
        <f aca="false">MAX(0,IF(AND(Parameter!$B$21="Ja",ISNUMBER(Y916)),Y916,IF(Parameter!$B$20="Jahresanfang 2025 + Export",BS916+BR916,BR916)))</f>
        <v>32.3</v>
      </c>
      <c r="I916" s="62" t="n">
        <f aca="false">H916*G916</f>
        <v>458.337</v>
      </c>
      <c r="J916" s="62" t="n">
        <f aca="false">BU916*Parameter!$B$18</f>
        <v>0.3</v>
      </c>
      <c r="K916" s="63" t="n">
        <v>44.9</v>
      </c>
      <c r="L916" s="64" t="n">
        <v>0.0066815144766147</v>
      </c>
      <c r="M916" s="62" t="n">
        <v>0</v>
      </c>
      <c r="N916" s="62" t="n">
        <v>1</v>
      </c>
      <c r="O916" s="65" t="n">
        <v>21</v>
      </c>
      <c r="P916" s="60" t="s">
        <v>344</v>
      </c>
      <c r="Q916" s="62" t="n">
        <v>35</v>
      </c>
      <c r="R916" s="65" t="n">
        <f aca="false">IF(CA916=1,0,IFERROR(VLOOKUP(BY916,'Gebinde-Kategorie'!$A$5:$N$45,13,0)+0,0))</f>
        <v>26</v>
      </c>
      <c r="S916" s="66"/>
      <c r="T916" s="67"/>
      <c r="U916" s="67"/>
      <c r="V916" s="67"/>
      <c r="W916" s="60"/>
      <c r="X916" s="62"/>
      <c r="Y916" s="62"/>
      <c r="Z916" s="60" t="n">
        <v>3</v>
      </c>
      <c r="AA916" s="60" t="n">
        <f aca="false">IF(A916="","",IF(AND(Parameter!$B$21="Ja",ISNUMBER(W916)),W916,IF(AND(Parameter!$E$27="Ja",ISNUMBER(Z916),CD916&lt;&gt;"Nein"),Z916,IF(CD916="2+3",IF(ISNUMBER(SEARCH("grosser Artikel",BV916)),2,IFERROR(VLOOKUP(BY916,Parameter!$F$35:$G$64,2,0),2)),IF(OR(CD916="Nein",CD916=""),"-",CD916)))))</f>
        <v>3</v>
      </c>
      <c r="AB916" s="67"/>
      <c r="AC916" s="68"/>
      <c r="AD916" s="62" t="n">
        <f aca="false">AW916</f>
        <v>1</v>
      </c>
      <c r="AE916" s="62" t="n">
        <f aca="false">MAX(AW916,H916)</f>
        <v>32.3</v>
      </c>
      <c r="AF916" s="69"/>
      <c r="AG916" s="62" t="n">
        <f aca="false">IF(LEFT(Cockpit!$C$5,1)="A",H916,IF(Parameter!$E$30="MAX-Bestand",IF(CI916=1,CJ916,IF(LEFT(Cockpit!$C$5,1)="B",AM916,MAX(AM916,H916))),ROUNDUP(AK916,0)))</f>
        <v>32.3</v>
      </c>
      <c r="AH916" s="62" t="n">
        <f aca="false">IF(CA916=1,0,ROUNDUP(AG916/BZ916,0))</f>
        <v>1</v>
      </c>
      <c r="AI916" s="64" t="n">
        <f aca="false">IF(CR916&gt;0,CR916*MAX(1,AG916/X916),IF(CA916=1,IF(AG916&lt;=0,0,CE916*MAX(1,IF(H916&gt;0,AG916/H916,1))),IF(R916&gt;0,AH916/R916,0))/MAX(0.1,N(Parameter!$M$21)))</f>
        <v>0.0384615384615385</v>
      </c>
      <c r="AJ916" s="62" t="n">
        <f aca="false">AI916*CC916</f>
        <v>5.96153846153846</v>
      </c>
      <c r="AK916" s="63" t="n">
        <f aca="false">IF(LEFT(Cockpit!$C$5,1)="A",H916,IF(CI916=1,(CL916+CJ916)/2,IF(LEFT(Cockpit!$C$5,1)="B",(CL916+AM916)/2,MAX((CL916+AM916)/2,H916))))</f>
        <v>32.3</v>
      </c>
      <c r="AL916" s="62" t="n">
        <f aca="false">AK916*G916</f>
        <v>458.337</v>
      </c>
      <c r="AM916" s="62" t="n">
        <f aca="false">ROUNDUP(CL916+MAX(CM916,2*(J916/IF(CH916&gt;0,CH916,MAX(0.1,N(Cockpit!$C$6)))-CL916)),0)</f>
        <v>1</v>
      </c>
      <c r="AN916" s="63" t="n">
        <f aca="false">IF(AJ916&gt;0,J916/AJ916,-1)</f>
        <v>0.0503225806451613</v>
      </c>
      <c r="AO916" s="63" t="n">
        <f aca="false">IF(AND(OR(CG916="L1",CG916="L23",CG916="LIFT"),AJ916&gt;0),SUMIFS($AJ$7:$AJ$1843,$CG$7:$CG$1843,CG916,$AN$7:$AN$1843,"&gt;"&amp;AN916)+SUMIFS($AJ$7:$AJ$1843,$CG$7:$CG$1843,CG916,$AN$7:$AN$1843,AN916,$BX$7:$BX$1843,"&lt;="&amp;BX916),"")</f>
        <v>19323.7739931914</v>
      </c>
      <c r="AP916" s="70" t="n">
        <f aca="false">IF(AO916="",0,MAX(0,MIN(1,(IF(CG916="L1",Parameter!$H$5,IF(CG916="L23",Parameter!$H$6+Parameter!$H$7,Parameter!$H$5+Parameter!$H$6+Parameter!$H$7))-(AO916-AJ916))/AJ916)))</f>
        <v>1</v>
      </c>
      <c r="AQ916" s="62" t="n">
        <f aca="false">IF(LEFT(Cockpit!$I$5,1)="A",H916,IF(Parameter!$E$30="MAX-Bestand",IF(CI916=1,CJ916,IF(LEFT(Cockpit!$I$5,1)="B",AW916,MAX(AW916,H916))),ROUNDUP(AU916,0)))</f>
        <v>33</v>
      </c>
      <c r="AR916" s="62" t="n">
        <f aca="false">IF(CA916=1,0,ROUNDUP(AQ916/BZ916,0))</f>
        <v>1</v>
      </c>
      <c r="AS916" s="64" t="n">
        <f aca="false">IF(CR916&gt;0,CR916*MAX(1,AQ916/X916),IF(CA916=1,IF(AQ916&lt;=0,0,CE916*MAX(1,IF(H916&gt;0,AQ916/H916,1))),IF(R916&gt;0,AR916/R916,0))/MAX(0.1,N(Parameter!$M$21)))</f>
        <v>0.0384615384615385</v>
      </c>
      <c r="AT916" s="62" t="n">
        <f aca="false">AS916*CC916</f>
        <v>5.96153846153846</v>
      </c>
      <c r="AU916" s="63" t="n">
        <f aca="false">IF(LEFT(Cockpit!$I$5,1)="A",H916,IF(CI916=1,(CL916+CJ916)/2,IF(LEFT(Cockpit!$I$5,1)="B",(CL916+AW916)/2,MAX((CL916+AW916)/2,H916))))</f>
        <v>32.3</v>
      </c>
      <c r="AV916" s="62" t="n">
        <f aca="false">AU916*G916</f>
        <v>458.337</v>
      </c>
      <c r="AW916" s="62" t="n">
        <f aca="false">ROUNDUP(CL916+MAX(CM916,2*(J916/IF(CH916&gt;0,CH916,MAX(0.1,N(Cockpit!$I$6)))-CL916)),0)</f>
        <v>1</v>
      </c>
      <c r="AX916" s="63" t="n">
        <f aca="false">IF(AT916&gt;0,J916/AT916,-1)</f>
        <v>0.0503225806451613</v>
      </c>
      <c r="AY916" s="63" t="n">
        <f aca="false">IF(AND(OR(CG916="L1",CG916="L23",CG916="LIFT"),AT916&gt;0),SUMIFS($AT$7:$AT$1843,$CG$7:$CG$1843,CG916,$AX$7:$AX$1843,"&gt;"&amp;AX916)+SUMIFS($AT$7:$AT$1843,$CG$7:$CG$1843,CG916,$AX$7:$AX$1843,AX916,$BX$7:$BX$1843,"&lt;="&amp;BX916),"")</f>
        <v>24383.1726345688</v>
      </c>
      <c r="AZ916" s="70" t="n">
        <f aca="false">IF(AY916="",0,MAX(0,MIN(1,(IF(CG916="L1",Parameter!$H$5,IF(CG916="L23",Parameter!$H$6+Parameter!$H$7,Parameter!$H$5+Parameter!$H$6+Parameter!$H$7))-(AY916-AT916))/AT916)))</f>
        <v>1</v>
      </c>
      <c r="BA916" s="62" t="n">
        <f aca="false">IF(LEFT(Cockpit!$O$5,1)="A",H916,IF(Parameter!$E$30="MAX-Bestand",IF(CI916=1,CJ916,IF(LEFT(Cockpit!$O$5,1)="B",BG916,MAX(BG916,H916))),ROUNDUP(BE916,0)))</f>
        <v>1</v>
      </c>
      <c r="BB916" s="62" t="n">
        <f aca="false">IF(CA916=1,0,ROUNDUP(BA916/BZ916,0))</f>
        <v>1</v>
      </c>
      <c r="BC916" s="64" t="n">
        <f aca="false">IF(CR916&gt;0,CR916*MAX(1,BA916/X916),IF(CA916=1,IF(BA916&lt;=0,0,CE916*MAX(1,IF(H916&gt;0,BA916/H916,1))),IF(R916&gt;0,BB916/R916,0))/MAX(0.1,N(Parameter!$M$21)))</f>
        <v>0.0384615384615385</v>
      </c>
      <c r="BD916" s="62" t="n">
        <f aca="false">BC916*CC916</f>
        <v>5.96153846153846</v>
      </c>
      <c r="BE916" s="63" t="n">
        <f aca="false">IF(LEFT(Cockpit!$O$5,1)="A",H916,IF(CI916=1,(CL916+CJ916)/2,IF(LEFT(Cockpit!$O$5,1)="B",(CL916+BG916)/2,MAX((CL916+BG916)/2,H916))))</f>
        <v>0.5</v>
      </c>
      <c r="BF916" s="62" t="n">
        <f aca="false">BE916*G916</f>
        <v>7.095</v>
      </c>
      <c r="BG916" s="62" t="n">
        <f aca="false">ROUNDUP(CL916+MAX(CM916,2*(J916/IF(CH916&gt;0,CH916,MAX(0.1,N(Cockpit!$O$6)))-CL916)),0)</f>
        <v>1</v>
      </c>
      <c r="BH916" s="63" t="n">
        <f aca="false">IF(BD916&gt;0,J916/BD916,-1)</f>
        <v>0.0503225806451613</v>
      </c>
      <c r="BI916" s="63" t="n">
        <f aca="false">IF(AND(OR(CG916="L1",CG916="L23",CG916="LIFT"),BD916&gt;0),SUMIFS($BD$7:$BD$1843,$CG$7:$CG$1843,CG916,$BH$7:$BH$1843,"&gt;"&amp;BH916)+SUMIFS($BD$7:$BD$1843,$CG$7:$CG$1843,CG916,$BH$7:$BH$1843,BH916,$BX$7:$BX$1843,"&lt;="&amp;BX916),"")</f>
        <v>20312.6711445334</v>
      </c>
      <c r="BJ916" s="70" t="n">
        <f aca="false">IF(BI916="",0,MAX(0,MIN(1,(IF(CG916="L1",Parameter!$H$5,IF(CG916="L23",Parameter!$H$6+Parameter!$H$7,Parameter!$H$5+Parameter!$H$6+Parameter!$H$7))-(BI916-BD916))/BD916)))</f>
        <v>1</v>
      </c>
      <c r="BK916" s="60" t="str">
        <f aca="false">IF(AJ916&lt;=0,"",IF(CG916="Aussen","Aussenlager",IF(CG916="-","Nicht im Lift",IF(AP916&gt;=1,"Lift",IF(AP916&lt;=0,"Aussenlager","teilweise")))))</f>
        <v>Lift</v>
      </c>
      <c r="BL916" s="60" t="str">
        <f aca="false">IF(AT916&lt;=0,"",IF(CG916="Aussen","Aussenlager",IF(CG916="-","Nicht im Lift",IF(AZ916&gt;=1,"Lift",IF(AZ916&lt;=0,"Aussenlager","teilweise")))))</f>
        <v>Lift</v>
      </c>
      <c r="BM916" s="60" t="str">
        <f aca="false">IF(BD916&lt;=0,"",IF(CG916="Aussen","Aussenlager",IF(CG916="-","Nicht im Lift",IF(BJ916&gt;=1,"Lift",IF(BJ916&lt;=0,"Aussenlager","teilweise")))))</f>
        <v>Lift</v>
      </c>
      <c r="BN916" s="60" t="str">
        <f aca="false">IF(A916="","",IF(BW916=1,"Neu; ","")&amp;IF(AND(BW916=0,BR916&lt;0),"negativer Bestand (Export "&amp;BR916&amp;"); ","")&amp;IF(J916&lt;=0,"Kein Verbrauch; ","")&amp;IF(CR916&gt;0,"Lift "&amp;W916&amp;" lt. Liftbericht (Fach "&amp;X916&amp;" Stk); ",IF(CB916=1,"Gebinde geschätzt ("&amp;T916&amp;"); ",IF(CA916=1,"Lose – Tablare geschätzt; ","")))&amp;IF(H916&gt;AW916,"Überbestand "&amp;ROUND(H916-AW916,0)&amp;" Stk / CHF "&amp;ROUND((H916-AW916)*G916,0)&amp;"; ","")&amp;IF(AND(CI916=1,CJ916&lt;CK916),"MAX &lt; MB+LG; ","")&amp;IF(AND(CQ916&gt;0,CP916*10&gt;CQ916),"zu hoch für Tablar; ","")&amp;IF(AND(BW916=0,OR(CI916=1,AB916&lt;&gt;"",U916&lt;&gt;"",V916&lt;&gt;"",AC916&lt;&gt;"")),"manuell übersteuert; ","")&amp;IF(AND(CA916=0,R916=0),"Gebinde unbekannt / Stellmass fehlt; ","")&amp;IF(AND(CA916=0,N(V916)&lt;=0,N(Q916)&lt;=0),"Menge pro Gebinde fehlt (Ist = 1 Gebinde); ","")&amp;BV916)</f>
        <v>negativer Bestand (Export -2.9); Überbestand 31 Stk / CHF 444; </v>
      </c>
      <c r="BO916" s="60"/>
      <c r="BP916" s="60"/>
      <c r="BQ916" s="67"/>
      <c r="BR916" s="62" t="n">
        <v>-2.9</v>
      </c>
      <c r="BS916" s="62" t="n">
        <v>35.2</v>
      </c>
      <c r="BT916" s="61" t="n">
        <v>-41.15</v>
      </c>
      <c r="BU916" s="62" t="n">
        <v>0.3</v>
      </c>
      <c r="BV916" s="60"/>
      <c r="BW916" s="65" t="n">
        <v>0</v>
      </c>
      <c r="BX916" s="65" t="n">
        <v>916</v>
      </c>
      <c r="BY916" s="60" t="str">
        <f aca="false">IF(U916&lt;&gt;"",UPPER(TRIM(U916)),IF(CB916=1,UPPER(VLOOKUP(T916,Parameter!$I$27:$K$29,2,0)),IF(P916="","LOSE",P916)))</f>
        <v>S51</v>
      </c>
      <c r="BZ916" s="62" t="n">
        <f aca="false">IF(BY916="LOSE",1,IF(N(V916)&gt;0,V916,IF(CB916=1,MAX(1,N(VLOOKUP(T916,Parameter!$I$27:$K$29,3,0)),H916,N(N916)),IF(N(Q916)&gt;0,Q916,MAX(1,H916)))))</f>
        <v>35</v>
      </c>
      <c r="CA916" s="65" t="n">
        <f aca="false">IF(BY916="LOSE",1,0)</f>
        <v>0</v>
      </c>
      <c r="CB916" s="65" t="n">
        <f aca="false">IF(AND(U916="",OR(P916="",P916="LOSE"),T916&lt;&gt;"",N(S916)&lt;=0,ISNUMBER(MATCH(T916,Parameter!$I$27:$I$29,0))),1,0)</f>
        <v>0</v>
      </c>
      <c r="CC916" s="65" t="n">
        <f aca="false">IF(CR916&gt;0,INDEX(Parameter!$H$5:$H$7,W916)/INDEX(Parameter!$E$5:$E$7,W916),IF(AND(CA916=0,N(IFERROR(VLOOKUP(BY916,'Gebinde-Kategorie'!$A$5:$N$45,14,0),0))&gt;0),VLOOKUP(BY916,'Gebinde-Kategorie'!$A$5:$N$45,14,0)*10+Parameter!$M$23,Parameter!$M$24))</f>
        <v>155</v>
      </c>
      <c r="CD916" s="60" t="str">
        <f aca="false">IF(AND(Parameter!$B$19="Ja",E916&lt;&gt;"",ISNUMBER(MATCH(E916,Parameter!$I$35:$I$52,0))),VLOOKUP(E916,Parameter!$I$35:$J$52,2,0),IFERROR(VLOOKUP(D916,Parameter!$A$35:$C$64,2,0),"Nein"))</f>
        <v>2+3</v>
      </c>
      <c r="CE916" s="64" t="n">
        <f aca="false">IF(CA916=0,0,IF(N(S916)&gt;0,S916,IFERROR(VLOOKUP(D916,Parameter!$A$35:$C$64,3,0)+0,0)))</f>
        <v>0</v>
      </c>
      <c r="CF916" s="60" t="n">
        <f aca="false">IF(AB916&lt;&gt;"",AB916,AA916)</f>
        <v>3</v>
      </c>
      <c r="CG916" s="60" t="str">
        <f aca="false">IF(OR(CF916=1,CF916=2,CF916=3),IF(Parameter!$E$27="Ja","LIFT",IF(CF916=1,"L1","L23")),IF(CF916="Aussen","Aussen","-"))</f>
        <v>LIFT</v>
      </c>
      <c r="CH916" s="71" t="n">
        <f aca="false">IF(N(AC916)&gt;0,AC916,0)</f>
        <v>0</v>
      </c>
      <c r="CI916" s="65" t="n">
        <f aca="false">IF(ISNUMBER(AF916),1,0)</f>
        <v>0</v>
      </c>
      <c r="CJ916" s="62" t="n">
        <f aca="false">N(AF916)</f>
        <v>0</v>
      </c>
      <c r="CK916" s="62" t="n">
        <f aca="false">N(M916)+N(N916)</f>
        <v>1</v>
      </c>
      <c r="CL916" s="62" t="n">
        <f aca="false">N(M916)</f>
        <v>0</v>
      </c>
      <c r="CM916" s="62" t="n">
        <f aca="false">N(N916)</f>
        <v>1</v>
      </c>
      <c r="CN916" s="62" t="n">
        <f aca="false">ROUNDUP(H916/BZ916,0)</f>
        <v>1</v>
      </c>
      <c r="CO916" s="62" t="n">
        <f aca="false">ROUNDUP(CJ916/BZ916,0)</f>
        <v>0</v>
      </c>
      <c r="CP916" s="65" t="n">
        <f aca="false">IF(CA916=1,0,IFERROR(VLOOKUP(BY916,'Gebinde-Kategorie'!$A$5:$N$45,5,0)+0,0))</f>
        <v>11</v>
      </c>
      <c r="CQ916" s="65" t="n">
        <f aca="false">IFERROR(IF(OR(CF916=1,CF916=2,CF916=3),N(INDEX(Parameter!$I$5:$I$7,CF916)),0),0)</f>
        <v>0</v>
      </c>
      <c r="CR916" s="64" t="n">
        <f aca="false">IF(AND(Parameter!$B$21="Ja",ISNUMBER(W916),N(X916)&gt;0),IFERROR(N(INDEX(Parameter!$L$5:$L$7,W916))*INDEX(Parameter!$E$5:$E$7,W916)*X916/SUMIFS($X$7:$X$1843,$W$7:$W$1843,W916),0),0)</f>
        <v>0</v>
      </c>
      <c r="CS916" s="62" t="n">
        <f aca="false">IF(AND(OR(CG916="L1",CG916="L23",CG916="LIFT"),H916&gt;0),CC916*IF(CR916&gt;0,CR916*MAX(1,H916/X916),IF(CA916=1,CE916,IF(R916&gt;0,CN916/R916,0))/MAX(0.1,N(Parameter!$M$21))),"")</f>
        <v>5.96153846153846</v>
      </c>
      <c r="CT916" s="64" t="n">
        <f aca="false">IF(CS916="","",J916/H916)</f>
        <v>0.00928792569659442</v>
      </c>
      <c r="CU916" s="62" t="n">
        <f aca="false">IF(CS916="","",H916*G916)</f>
        <v>458.337</v>
      </c>
      <c r="CV916" s="63" t="n">
        <f aca="false">IF(CS916="","",(CL916+ROUNDUP(CL916+MAX(CM916,2*(J916/MAX(0.1,N(Einkauf!$C$6))-CL916)),0))/2)</f>
        <v>0.5</v>
      </c>
      <c r="CW916" s="62" t="n">
        <f aca="false">IF(CS916="","",MAX(0,H916-CV916)*G916)</f>
        <v>451.242</v>
      </c>
      <c r="CX916" s="62" t="n">
        <f aca="false">IF(CS916="","",CS916*MAX(0,1-CV916/H916))</f>
        <v>5.86925458442486</v>
      </c>
      <c r="CY916" s="64" t="n">
        <f aca="false">IF(CS916="","",PERCENTRANK($CS$7:$CS$1843,CS916)+PERCENTRANK($CU$7:$CU$1843,CU916)+1-PERCENTRANK($CT$7:$CT$1843,CT916))</f>
        <v>1.48</v>
      </c>
      <c r="CZ916" s="72" t="n">
        <f aca="false">IF(CS916="","",CHOOSE(MATCH(Einkauf!$C$5,Parameter!$G$23:$G$27,0),CY916,CS916,CU916,-CT916,CW916)+ROW()/1000000000)</f>
        <v>1.480000916</v>
      </c>
    </row>
    <row r="917" customFormat="false" ht="15" hidden="false" customHeight="false" outlineLevel="0" collapsed="false">
      <c r="A917" s="60" t="s">
        <v>1759</v>
      </c>
      <c r="B917" s="60" t="s">
        <v>1332</v>
      </c>
      <c r="C917" s="60" t="s">
        <v>206</v>
      </c>
      <c r="D917" s="60" t="s">
        <v>226</v>
      </c>
      <c r="E917" s="60" t="s">
        <v>227</v>
      </c>
      <c r="F917" s="60" t="s">
        <v>260</v>
      </c>
      <c r="G917" s="61" t="n">
        <v>1.1</v>
      </c>
      <c r="H917" s="62" t="n">
        <f aca="false">MAX(0,IF(AND(Parameter!$B$21="Ja",ISNUMBER(Y917)),Y917,IF(Parameter!$B$20="Jahresanfang 2025 + Export",BS917+BR917,BR917)))</f>
        <v>87</v>
      </c>
      <c r="I917" s="62" t="n">
        <f aca="false">H917*G917</f>
        <v>95.7</v>
      </c>
      <c r="J917" s="62" t="n">
        <f aca="false">BU917*Parameter!$B$18</f>
        <v>27</v>
      </c>
      <c r="K917" s="63" t="n">
        <v>116.5</v>
      </c>
      <c r="L917" s="64" t="n">
        <v>0.231759656652361</v>
      </c>
      <c r="M917" s="62" t="n">
        <v>1</v>
      </c>
      <c r="N917" s="62" t="n">
        <v>25</v>
      </c>
      <c r="O917" s="65" t="n">
        <v>21</v>
      </c>
      <c r="P917" s="60" t="s">
        <v>268</v>
      </c>
      <c r="Q917" s="62" t="n">
        <v>179</v>
      </c>
      <c r="R917" s="65" t="n">
        <f aca="false">IF(CA917=1,0,IFERROR(VLOOKUP(BY917,'Gebinde-Kategorie'!$A$5:$N$45,13,0)+0,0))</f>
        <v>12</v>
      </c>
      <c r="S917" s="66"/>
      <c r="T917" s="67"/>
      <c r="U917" s="67"/>
      <c r="V917" s="67"/>
      <c r="W917" s="60"/>
      <c r="X917" s="62"/>
      <c r="Y917" s="62"/>
      <c r="Z917" s="60" t="n">
        <v>3</v>
      </c>
      <c r="AA917" s="60" t="n">
        <f aca="false">IF(A917="","",IF(AND(Parameter!$B$21="Ja",ISNUMBER(W917)),W917,IF(AND(Parameter!$E$27="Ja",ISNUMBER(Z917),CD917&lt;&gt;"Nein"),Z917,IF(CD917="2+3",IF(ISNUMBER(SEARCH("grosser Artikel",BV917)),2,IFERROR(VLOOKUP(BY917,Parameter!$F$35:$G$64,2,0),2)),IF(OR(CD917="Nein",CD917=""),"-",CD917)))))</f>
        <v>3</v>
      </c>
      <c r="AB917" s="67"/>
      <c r="AC917" s="68"/>
      <c r="AD917" s="62" t="n">
        <f aca="false">AW917</f>
        <v>26</v>
      </c>
      <c r="AE917" s="62" t="n">
        <f aca="false">MAX(AW917,H917)</f>
        <v>87</v>
      </c>
      <c r="AF917" s="69"/>
      <c r="AG917" s="62" t="n">
        <f aca="false">IF(LEFT(Cockpit!$C$5,1)="A",H917,IF(Parameter!$E$30="MAX-Bestand",IF(CI917=1,CJ917,IF(LEFT(Cockpit!$C$5,1)="B",AM917,MAX(AM917,H917))),ROUNDUP(AK917,0)))</f>
        <v>87</v>
      </c>
      <c r="AH917" s="62" t="n">
        <f aca="false">IF(CA917=1,0,ROUNDUP(AG917/BZ917,0))</f>
        <v>1</v>
      </c>
      <c r="AI917" s="64" t="n">
        <f aca="false">IF(CR917&gt;0,CR917*MAX(1,AG917/X917),IF(CA917=1,IF(AG917&lt;=0,0,CE917*MAX(1,IF(H917&gt;0,AG917/H917,1))),IF(R917&gt;0,AH917/R917,0))/MAX(0.1,N(Parameter!$M$21)))</f>
        <v>0.0833333333333333</v>
      </c>
      <c r="AJ917" s="62" t="n">
        <f aca="false">AI917*CC917</f>
        <v>28.75</v>
      </c>
      <c r="AK917" s="63" t="n">
        <f aca="false">IF(LEFT(Cockpit!$C$5,1)="A",H917,IF(CI917=1,(CL917+CJ917)/2,IF(LEFT(Cockpit!$C$5,1)="B",(CL917+AM917)/2,MAX((CL917+AM917)/2,H917))))</f>
        <v>87</v>
      </c>
      <c r="AL917" s="62" t="n">
        <f aca="false">AK917*G917</f>
        <v>95.7</v>
      </c>
      <c r="AM917" s="62" t="n">
        <f aca="false">ROUNDUP(CL917+MAX(CM917,2*(J917/IF(CH917&gt;0,CH917,MAX(0.1,N(Cockpit!$C$6)))-CL917)),0)</f>
        <v>26</v>
      </c>
      <c r="AN917" s="63" t="n">
        <f aca="false">IF(AJ917&gt;0,J917/AJ917,-1)</f>
        <v>0.939130434782609</v>
      </c>
      <c r="AO917" s="63" t="n">
        <f aca="false">IF(AND(OR(CG917="L1",CG917="L23",CG917="LIFT"),AJ917&gt;0),SUMIFS($AJ$7:$AJ$1843,$CG$7:$CG$1843,CG917,$AN$7:$AN$1843,"&gt;"&amp;AN917)+SUMIFS($AJ$7:$AJ$1843,$CG$7:$CG$1843,CG917,$AN$7:$AN$1843,AN917,$BX$7:$BX$1843,"&lt;="&amp;BX917),"")</f>
        <v>7335.12225274725</v>
      </c>
      <c r="AP917" s="70" t="n">
        <f aca="false">IF(AO917="",0,MAX(0,MIN(1,(IF(CG917="L1",Parameter!$H$5,IF(CG917="L23",Parameter!$H$6+Parameter!$H$7,Parameter!$H$5+Parameter!$H$6+Parameter!$H$7))-(AO917-AJ917))/AJ917)))</f>
        <v>1</v>
      </c>
      <c r="AQ917" s="62" t="n">
        <f aca="false">IF(LEFT(Cockpit!$I$5,1)="A",H917,IF(Parameter!$E$30="MAX-Bestand",IF(CI917=1,CJ917,IF(LEFT(Cockpit!$I$5,1)="B",AW917,MAX(AW917,H917))),ROUNDUP(AU917,0)))</f>
        <v>87</v>
      </c>
      <c r="AR917" s="62" t="n">
        <f aca="false">IF(CA917=1,0,ROUNDUP(AQ917/BZ917,0))</f>
        <v>1</v>
      </c>
      <c r="AS917" s="64" t="n">
        <f aca="false">IF(CR917&gt;0,CR917*MAX(1,AQ917/X917),IF(CA917=1,IF(AQ917&lt;=0,0,CE917*MAX(1,IF(H917&gt;0,AQ917/H917,1))),IF(R917&gt;0,AR917/R917,0))/MAX(0.1,N(Parameter!$M$21)))</f>
        <v>0.0833333333333333</v>
      </c>
      <c r="AT917" s="62" t="n">
        <f aca="false">AS917*CC917</f>
        <v>28.75</v>
      </c>
      <c r="AU917" s="63" t="n">
        <f aca="false">IF(LEFT(Cockpit!$I$5,1)="A",H917,IF(CI917=1,(CL917+CJ917)/2,IF(LEFT(Cockpit!$I$5,1)="B",(CL917+AW917)/2,MAX((CL917+AW917)/2,H917))))</f>
        <v>87</v>
      </c>
      <c r="AV917" s="62" t="n">
        <f aca="false">AU917*G917</f>
        <v>95.7</v>
      </c>
      <c r="AW917" s="62" t="n">
        <f aca="false">ROUNDUP(CL917+MAX(CM917,2*(J917/IF(CH917&gt;0,CH917,MAX(0.1,N(Cockpit!$I$6)))-CL917)),0)</f>
        <v>26</v>
      </c>
      <c r="AX917" s="63" t="n">
        <f aca="false">IF(AT917&gt;0,J917/AT917,-1)</f>
        <v>0.939130434782609</v>
      </c>
      <c r="AY917" s="63" t="n">
        <f aca="false">IF(AND(OR(CG917="L1",CG917="L23",CG917="LIFT"),AT917&gt;0),SUMIFS($AT$7:$AT$1843,$CG$7:$CG$1843,CG917,$AX$7:$AX$1843,"&gt;"&amp;AX917)+SUMIFS($AT$7:$AT$1843,$CG$7:$CG$1843,CG917,$AX$7:$AX$1843,AX917,$BX$7:$BX$1843,"&lt;="&amp;BX917),"")</f>
        <v>8764.56227106227</v>
      </c>
      <c r="AZ917" s="70" t="n">
        <f aca="false">IF(AY917="",0,MAX(0,MIN(1,(IF(CG917="L1",Parameter!$H$5,IF(CG917="L23",Parameter!$H$6+Parameter!$H$7,Parameter!$H$5+Parameter!$H$6+Parameter!$H$7))-(AY917-AT917))/AT917)))</f>
        <v>1</v>
      </c>
      <c r="BA917" s="62" t="n">
        <f aca="false">IF(LEFT(Cockpit!$O$5,1)="A",H917,IF(Parameter!$E$30="MAX-Bestand",IF(CI917=1,CJ917,IF(LEFT(Cockpit!$O$5,1)="B",BG917,MAX(BG917,H917))),ROUNDUP(BE917,0)))</f>
        <v>14</v>
      </c>
      <c r="BB917" s="62" t="n">
        <f aca="false">IF(CA917=1,0,ROUNDUP(BA917/BZ917,0))</f>
        <v>1</v>
      </c>
      <c r="BC917" s="64" t="n">
        <f aca="false">IF(CR917&gt;0,CR917*MAX(1,BA917/X917),IF(CA917=1,IF(BA917&lt;=0,0,CE917*MAX(1,IF(H917&gt;0,BA917/H917,1))),IF(R917&gt;0,BB917/R917,0))/MAX(0.1,N(Parameter!$M$21)))</f>
        <v>0.0833333333333333</v>
      </c>
      <c r="BD917" s="62" t="n">
        <f aca="false">BC917*CC917</f>
        <v>28.75</v>
      </c>
      <c r="BE917" s="63" t="n">
        <f aca="false">IF(LEFT(Cockpit!$O$5,1)="A",H917,IF(CI917=1,(CL917+CJ917)/2,IF(LEFT(Cockpit!$O$5,1)="B",(CL917+BG917)/2,MAX((CL917+BG917)/2,H917))))</f>
        <v>13.5</v>
      </c>
      <c r="BF917" s="62" t="n">
        <f aca="false">BE917*G917</f>
        <v>14.85</v>
      </c>
      <c r="BG917" s="62" t="n">
        <f aca="false">ROUNDUP(CL917+MAX(CM917,2*(J917/IF(CH917&gt;0,CH917,MAX(0.1,N(Cockpit!$O$6)))-CL917)),0)</f>
        <v>26</v>
      </c>
      <c r="BH917" s="63" t="n">
        <f aca="false">IF(BD917&gt;0,J917/BD917,-1)</f>
        <v>0.939130434782609</v>
      </c>
      <c r="BI917" s="63" t="n">
        <f aca="false">IF(AND(OR(CG917="L1",CG917="L23",CG917="LIFT"),BD917&gt;0),SUMIFS($BD$7:$BD$1843,$CG$7:$CG$1843,CG917,$BH$7:$BH$1843,"&gt;"&amp;BH917)+SUMIFS($BD$7:$BD$1843,$CG$7:$CG$1843,CG917,$BH$7:$BH$1843,BH917,$BX$7:$BX$1843,"&lt;="&amp;BX917),"")</f>
        <v>8079.24587912088</v>
      </c>
      <c r="BJ917" s="70" t="n">
        <f aca="false">IF(BI917="",0,MAX(0,MIN(1,(IF(CG917="L1",Parameter!$H$5,IF(CG917="L23",Parameter!$H$6+Parameter!$H$7,Parameter!$H$5+Parameter!$H$6+Parameter!$H$7))-(BI917-BD917))/BD917)))</f>
        <v>1</v>
      </c>
      <c r="BK917" s="60" t="str">
        <f aca="false">IF(AJ917&lt;=0,"",IF(CG917="Aussen","Aussenlager",IF(CG917="-","Nicht im Lift",IF(AP917&gt;=1,"Lift",IF(AP917&lt;=0,"Aussenlager","teilweise")))))</f>
        <v>Lift</v>
      </c>
      <c r="BL917" s="60" t="str">
        <f aca="false">IF(AT917&lt;=0,"",IF(CG917="Aussen","Aussenlager",IF(CG917="-","Nicht im Lift",IF(AZ917&gt;=1,"Lift",IF(AZ917&lt;=0,"Aussenlager","teilweise")))))</f>
        <v>Lift</v>
      </c>
      <c r="BM917" s="60" t="str">
        <f aca="false">IF(BD917&lt;=0,"",IF(CG917="Aussen","Aussenlager",IF(CG917="-","Nicht im Lift",IF(BJ917&gt;=1,"Lift",IF(BJ917&lt;=0,"Aussenlager","teilweise")))))</f>
        <v>Lift</v>
      </c>
      <c r="BN917" s="60" t="str">
        <f aca="false">IF(A917="","",IF(BW917=1,"Neu; ","")&amp;IF(AND(BW917=0,BR917&lt;0),"negativer Bestand (Export "&amp;BR917&amp;"); ","")&amp;IF(J917&lt;=0,"Kein Verbrauch; ","")&amp;IF(CR917&gt;0,"Lift "&amp;W917&amp;" lt. Liftbericht (Fach "&amp;X917&amp;" Stk); ",IF(CB917=1,"Gebinde geschätzt ("&amp;T917&amp;"); ",IF(CA917=1,"Lose – Tablare geschätzt; ","")))&amp;IF(H917&gt;AW917,"Überbestand "&amp;ROUND(H917-AW917,0)&amp;" Stk / CHF "&amp;ROUND((H917-AW917)*G917,0)&amp;"; ","")&amp;IF(AND(CI917=1,CJ917&lt;CK917),"MAX &lt; MB+LG; ","")&amp;IF(AND(CQ917&gt;0,CP917*10&gt;CQ917),"zu hoch für Tablar; ","")&amp;IF(AND(BW917=0,OR(CI917=1,AB917&lt;&gt;"",U917&lt;&gt;"",V917&lt;&gt;"",AC917&lt;&gt;"")),"manuell übersteuert; ","")&amp;IF(AND(CA917=0,R917=0),"Gebinde unbekannt / Stellmass fehlt; ","")&amp;IF(AND(CA917=0,N(V917)&lt;=0,N(Q917)&lt;=0),"Menge pro Gebinde fehlt (Ist = 1 Gebinde); ","")&amp;BV917)</f>
        <v>negativer Bestand (Export -38); Überbestand 61 Stk / CHF 67; Neu</v>
      </c>
      <c r="BO917" s="60"/>
      <c r="BP917" s="60"/>
      <c r="BQ917" s="67"/>
      <c r="BR917" s="62" t="n">
        <v>-38</v>
      </c>
      <c r="BS917" s="62" t="n">
        <v>125</v>
      </c>
      <c r="BT917" s="61" t="n">
        <v>-41.8</v>
      </c>
      <c r="BU917" s="62" t="n">
        <v>27</v>
      </c>
      <c r="BV917" s="60" t="s">
        <v>668</v>
      </c>
      <c r="BW917" s="65" t="n">
        <v>0</v>
      </c>
      <c r="BX917" s="65" t="n">
        <v>917</v>
      </c>
      <c r="BY917" s="60" t="str">
        <f aca="false">IF(U917&lt;&gt;"",UPPER(TRIM(U917)),IF(CB917=1,UPPER(VLOOKUP(T917,Parameter!$I$27:$K$29,2,0)),IF(P917="","LOSE",P917)))</f>
        <v>S63</v>
      </c>
      <c r="BZ917" s="62" t="n">
        <f aca="false">IF(BY917="LOSE",1,IF(N(V917)&gt;0,V917,IF(CB917=1,MAX(1,N(VLOOKUP(T917,Parameter!$I$27:$K$29,3,0)),H917,N(N917)),IF(N(Q917)&gt;0,Q917,MAX(1,H917)))))</f>
        <v>179</v>
      </c>
      <c r="CA917" s="65" t="n">
        <f aca="false">IF(BY917="LOSE",1,0)</f>
        <v>0</v>
      </c>
      <c r="CB917" s="65" t="n">
        <f aca="false">IF(AND(U917="",OR(P917="",P917="LOSE"),T917&lt;&gt;"",N(S917)&lt;=0,ISNUMBER(MATCH(T917,Parameter!$I$27:$I$29,0))),1,0)</f>
        <v>0</v>
      </c>
      <c r="CC917" s="65" t="n">
        <f aca="false">IF(CR917&gt;0,INDEX(Parameter!$H$5:$H$7,W917)/INDEX(Parameter!$E$5:$E$7,W917),IF(AND(CA917=0,N(IFERROR(VLOOKUP(BY917,'Gebinde-Kategorie'!$A$5:$N$45,14,0),0))&gt;0),VLOOKUP(BY917,'Gebinde-Kategorie'!$A$5:$N$45,14,0)*10+Parameter!$M$23,Parameter!$M$24))</f>
        <v>345</v>
      </c>
      <c r="CD917" s="60" t="str">
        <f aca="false">IF(AND(Parameter!$B$19="Ja",E917&lt;&gt;"",ISNUMBER(MATCH(E917,Parameter!$I$35:$I$52,0))),VLOOKUP(E917,Parameter!$I$35:$J$52,2,0),IFERROR(VLOOKUP(D917,Parameter!$A$35:$C$64,2,0),"Nein"))</f>
        <v>2+3</v>
      </c>
      <c r="CE917" s="64" t="n">
        <f aca="false">IF(CA917=0,0,IF(N(S917)&gt;0,S917,IFERROR(VLOOKUP(D917,Parameter!$A$35:$C$64,3,0)+0,0)))</f>
        <v>0</v>
      </c>
      <c r="CF917" s="60" t="n">
        <f aca="false">IF(AB917&lt;&gt;"",AB917,AA917)</f>
        <v>3</v>
      </c>
      <c r="CG917" s="60" t="str">
        <f aca="false">IF(OR(CF917=1,CF917=2,CF917=3),IF(Parameter!$E$27="Ja","LIFT",IF(CF917=1,"L1","L23")),IF(CF917="Aussen","Aussen","-"))</f>
        <v>LIFT</v>
      </c>
      <c r="CH917" s="71" t="n">
        <f aca="false">IF(N(AC917)&gt;0,AC917,0)</f>
        <v>0</v>
      </c>
      <c r="CI917" s="65" t="n">
        <f aca="false">IF(ISNUMBER(AF917),1,0)</f>
        <v>0</v>
      </c>
      <c r="CJ917" s="62" t="n">
        <f aca="false">N(AF917)</f>
        <v>0</v>
      </c>
      <c r="CK917" s="62" t="n">
        <f aca="false">N(M917)+N(N917)</f>
        <v>26</v>
      </c>
      <c r="CL917" s="62" t="n">
        <f aca="false">N(M917)</f>
        <v>1</v>
      </c>
      <c r="CM917" s="62" t="n">
        <f aca="false">N(N917)</f>
        <v>25</v>
      </c>
      <c r="CN917" s="62" t="n">
        <f aca="false">ROUNDUP(H917/BZ917,0)</f>
        <v>1</v>
      </c>
      <c r="CO917" s="62" t="n">
        <f aca="false">ROUNDUP(CJ917/BZ917,0)</f>
        <v>0</v>
      </c>
      <c r="CP917" s="65" t="n">
        <f aca="false">IF(CA917=1,0,IFERROR(VLOOKUP(BY917,'Gebinde-Kategorie'!$A$5:$N$45,5,0)+0,0))</f>
        <v>31</v>
      </c>
      <c r="CQ917" s="65" t="n">
        <f aca="false">IFERROR(IF(OR(CF917=1,CF917=2,CF917=3),N(INDEX(Parameter!$I$5:$I$7,CF917)),0),0)</f>
        <v>0</v>
      </c>
      <c r="CR917" s="64" t="n">
        <f aca="false">IF(AND(Parameter!$B$21="Ja",ISNUMBER(W917),N(X917)&gt;0),IFERROR(N(INDEX(Parameter!$L$5:$L$7,W917))*INDEX(Parameter!$E$5:$E$7,W917)*X917/SUMIFS($X$7:$X$1843,$W$7:$W$1843,W917),0),0)</f>
        <v>0</v>
      </c>
      <c r="CS917" s="62" t="n">
        <f aca="false">IF(AND(OR(CG917="L1",CG917="L23",CG917="LIFT"),H917&gt;0),CC917*IF(CR917&gt;0,CR917*MAX(1,H917/X917),IF(CA917=1,CE917,IF(R917&gt;0,CN917/R917,0))/MAX(0.1,N(Parameter!$M$21))),"")</f>
        <v>28.75</v>
      </c>
      <c r="CT917" s="64" t="n">
        <f aca="false">IF(CS917="","",J917/H917)</f>
        <v>0.310344827586207</v>
      </c>
      <c r="CU917" s="62" t="n">
        <f aca="false">IF(CS917="","",H917*G917)</f>
        <v>95.7</v>
      </c>
      <c r="CV917" s="63" t="n">
        <f aca="false">IF(CS917="","",(CL917+ROUNDUP(CL917+MAX(CM917,2*(J917/MAX(0.1,N(Einkauf!$C$6))-CL917)),0))/2)</f>
        <v>13.5</v>
      </c>
      <c r="CW917" s="62" t="n">
        <f aca="false">IF(CS917="","",MAX(0,H917-CV917)*G917)</f>
        <v>80.85</v>
      </c>
      <c r="CX917" s="62" t="n">
        <f aca="false">IF(CS917="","",CS917*MAX(0,1-CV917/H917))</f>
        <v>24.2887931034483</v>
      </c>
      <c r="CY917" s="64" t="n">
        <f aca="false">IF(CS917="","",PERCENTRANK($CS$7:$CS$1843,CS917)+PERCENTRANK($CU$7:$CU$1843,CU917)+1-PERCENTRANK($CT$7:$CT$1843,CT917))</f>
        <v>1.547</v>
      </c>
      <c r="CZ917" s="72" t="n">
        <f aca="false">IF(CS917="","",CHOOSE(MATCH(Einkauf!$C$5,Parameter!$G$23:$G$27,0),CY917,CS917,CU917,-CT917,CW917)+ROW()/1000000000)</f>
        <v>1.547000917</v>
      </c>
    </row>
    <row r="918" customFormat="false" ht="15" hidden="false" customHeight="false" outlineLevel="0" collapsed="false">
      <c r="A918" s="60" t="s">
        <v>1760</v>
      </c>
      <c r="B918" s="60" t="s">
        <v>1761</v>
      </c>
      <c r="C918" s="60" t="s">
        <v>206</v>
      </c>
      <c r="D918" s="60" t="s">
        <v>215</v>
      </c>
      <c r="E918" s="60"/>
      <c r="F918" s="60" t="s">
        <v>260</v>
      </c>
      <c r="G918" s="61" t="n">
        <v>1.05</v>
      </c>
      <c r="H918" s="62" t="n">
        <f aca="false">MAX(0,IF(AND(Parameter!$B$21="Ja",ISNUMBER(Y918)),Y918,IF(Parameter!$B$20="Jahresanfang 2025 + Export",BS918+BR918,BR918)))</f>
        <v>5</v>
      </c>
      <c r="I918" s="62" t="n">
        <f aca="false">H918*G918</f>
        <v>5.25</v>
      </c>
      <c r="J918" s="62" t="n">
        <f aca="false">BU918*Parameter!$B$18</f>
        <v>0</v>
      </c>
      <c r="K918" s="63" t="n">
        <v>25.5</v>
      </c>
      <c r="L918" s="64" t="n">
        <v>0</v>
      </c>
      <c r="M918" s="62" t="n">
        <v>0</v>
      </c>
      <c r="N918" s="62" t="n">
        <v>1</v>
      </c>
      <c r="O918" s="65" t="n">
        <v>35</v>
      </c>
      <c r="P918" s="60" t="s">
        <v>210</v>
      </c>
      <c r="Q918" s="62"/>
      <c r="R918" s="65" t="n">
        <f aca="false">IF(CA918=1,0,IFERROR(VLOOKUP(BY918,'Gebinde-Kategorie'!$A$5:$N$45,13,0)+0,0))</f>
        <v>26</v>
      </c>
      <c r="S918" s="66"/>
      <c r="T918" s="67" t="s">
        <v>317</v>
      </c>
      <c r="U918" s="67"/>
      <c r="V918" s="67"/>
      <c r="W918" s="60"/>
      <c r="X918" s="62"/>
      <c r="Y918" s="62"/>
      <c r="Z918" s="60" t="n">
        <v>3</v>
      </c>
      <c r="AA918" s="60" t="n">
        <f aca="false">IF(A918="","",IF(AND(Parameter!$B$21="Ja",ISNUMBER(W918)),W918,IF(AND(Parameter!$E$27="Ja",ISNUMBER(Z918),CD918&lt;&gt;"Nein"),Z918,IF(CD918="2+3",IF(ISNUMBER(SEARCH("grosser Artikel",BV918)),2,IFERROR(VLOOKUP(BY918,Parameter!$F$35:$G$64,2,0),2)),IF(OR(CD918="Nein",CD918=""),"-",CD918)))))</f>
        <v>3</v>
      </c>
      <c r="AB918" s="67"/>
      <c r="AC918" s="68"/>
      <c r="AD918" s="62" t="n">
        <f aca="false">AW918</f>
        <v>1</v>
      </c>
      <c r="AE918" s="62" t="n">
        <f aca="false">MAX(AW918,H918)</f>
        <v>5</v>
      </c>
      <c r="AF918" s="69"/>
      <c r="AG918" s="62" t="n">
        <f aca="false">IF(LEFT(Cockpit!$C$5,1)="A",H918,IF(Parameter!$E$30="MAX-Bestand",IF(CI918=1,CJ918,IF(LEFT(Cockpit!$C$5,1)="B",AM918,MAX(AM918,H918))),ROUNDUP(AK918,0)))</f>
        <v>5</v>
      </c>
      <c r="AH918" s="62" t="n">
        <f aca="false">IF(CA918=1,0,ROUNDUP(AG918/BZ918,0))</f>
        <v>1</v>
      </c>
      <c r="AI918" s="64" t="n">
        <f aca="false">IF(CR918&gt;0,CR918*MAX(1,AG918/X918),IF(CA918=1,IF(AG918&lt;=0,0,CE918*MAX(1,IF(H918&gt;0,AG918/H918,1))),IF(R918&gt;0,AH918/R918,0))/MAX(0.1,N(Parameter!$M$21)))</f>
        <v>0.0384615384615385</v>
      </c>
      <c r="AJ918" s="62" t="n">
        <f aca="false">AI918*CC918</f>
        <v>5.96153846153846</v>
      </c>
      <c r="AK918" s="63" t="n">
        <f aca="false">IF(LEFT(Cockpit!$C$5,1)="A",H918,IF(CI918=1,(CL918+CJ918)/2,IF(LEFT(Cockpit!$C$5,1)="B",(CL918+AM918)/2,MAX((CL918+AM918)/2,H918))))</f>
        <v>5</v>
      </c>
      <c r="AL918" s="62" t="n">
        <f aca="false">AK918*G918</f>
        <v>5.25</v>
      </c>
      <c r="AM918" s="62" t="n">
        <f aca="false">ROUNDUP(CL918+MAX(CM918,2*(J918/IF(CH918&gt;0,CH918,MAX(0.1,N(Cockpit!$C$6)))-CL918)),0)</f>
        <v>1</v>
      </c>
      <c r="AN918" s="63" t="n">
        <f aca="false">IF(AJ918&gt;0,J918/AJ918,-1)</f>
        <v>0</v>
      </c>
      <c r="AO918" s="63" t="n">
        <f aca="false">IF(AND(OR(CG918="L1",CG918="L23",CG918="LIFT"),AJ918&gt;0),SUMIFS($AJ$7:$AJ$1843,$CG$7:$CG$1843,CG918,$AN$7:$AN$1843,"&gt;"&amp;AN918)+SUMIFS($AJ$7:$AJ$1843,$CG$7:$CG$1843,CG918,$AN$7:$AN$1843,AN918,$BX$7:$BX$1843,"&lt;="&amp;BX918),"")</f>
        <v>28856.5633549595</v>
      </c>
      <c r="AP918" s="70" t="n">
        <f aca="false">IF(AO918="",0,MAX(0,MIN(1,(IF(CG918="L1",Parameter!$H$5,IF(CG918="L23",Parameter!$H$6+Parameter!$H$7,Parameter!$H$5+Parameter!$H$6+Parameter!$H$7))-(AO918-AJ918))/AJ918)))</f>
        <v>1</v>
      </c>
      <c r="AQ918" s="62" t="n">
        <f aca="false">IF(LEFT(Cockpit!$I$5,1)="A",H918,IF(Parameter!$E$30="MAX-Bestand",IF(CI918=1,CJ918,IF(LEFT(Cockpit!$I$5,1)="B",AW918,MAX(AW918,H918))),ROUNDUP(AU918,0)))</f>
        <v>5</v>
      </c>
      <c r="AR918" s="62" t="n">
        <f aca="false">IF(CA918=1,0,ROUNDUP(AQ918/BZ918,0))</f>
        <v>1</v>
      </c>
      <c r="AS918" s="64" t="n">
        <f aca="false">IF(CR918&gt;0,CR918*MAX(1,AQ918/X918),IF(CA918=1,IF(AQ918&lt;=0,0,CE918*MAX(1,IF(H918&gt;0,AQ918/H918,1))),IF(R918&gt;0,AR918/R918,0))/MAX(0.1,N(Parameter!$M$21)))</f>
        <v>0.0384615384615385</v>
      </c>
      <c r="AT918" s="62" t="n">
        <f aca="false">AS918*CC918</f>
        <v>5.96153846153846</v>
      </c>
      <c r="AU918" s="63" t="n">
        <f aca="false">IF(LEFT(Cockpit!$I$5,1)="A",H918,IF(CI918=1,(CL918+CJ918)/2,IF(LEFT(Cockpit!$I$5,1)="B",(CL918+AW918)/2,MAX((CL918+AW918)/2,H918))))</f>
        <v>5</v>
      </c>
      <c r="AV918" s="62" t="n">
        <f aca="false">AU918*G918</f>
        <v>5.25</v>
      </c>
      <c r="AW918" s="62" t="n">
        <f aca="false">ROUNDUP(CL918+MAX(CM918,2*(J918/IF(CH918&gt;0,CH918,MAX(0.1,N(Cockpit!$I$6)))-CL918)),0)</f>
        <v>1</v>
      </c>
      <c r="AX918" s="63" t="n">
        <f aca="false">IF(AT918&gt;0,J918/AT918,-1)</f>
        <v>0</v>
      </c>
      <c r="AY918" s="63" t="n">
        <f aca="false">IF(AND(OR(CG918="L1",CG918="L23",CG918="LIFT"),AT918&gt;0),SUMIFS($AT$7:$AT$1843,$CG$7:$CG$1843,CG918,$AX$7:$AX$1843,"&gt;"&amp;AX918)+SUMIFS($AT$7:$AT$1843,$CG$7:$CG$1843,CG918,$AX$7:$AX$1843,AX918,$BX$7:$BX$1843,"&lt;="&amp;BX918),"")</f>
        <v>34512.5732600733</v>
      </c>
      <c r="AZ918" s="70" t="n">
        <f aca="false">IF(AY918="",0,MAX(0,MIN(1,(IF(CG918="L1",Parameter!$H$5,IF(CG918="L23",Parameter!$H$6+Parameter!$H$7,Parameter!$H$5+Parameter!$H$6+Parameter!$H$7))-(AY918-AT918))/AT918)))</f>
        <v>1</v>
      </c>
      <c r="BA918" s="62" t="n">
        <f aca="false">IF(LEFT(Cockpit!$O$5,1)="A",H918,IF(Parameter!$E$30="MAX-Bestand",IF(CI918=1,CJ918,IF(LEFT(Cockpit!$O$5,1)="B",BG918,MAX(BG918,H918))),ROUNDUP(BE918,0)))</f>
        <v>1</v>
      </c>
      <c r="BB918" s="62" t="n">
        <f aca="false">IF(CA918=1,0,ROUNDUP(BA918/BZ918,0))</f>
        <v>1</v>
      </c>
      <c r="BC918" s="64" t="n">
        <f aca="false">IF(CR918&gt;0,CR918*MAX(1,BA918/X918),IF(CA918=1,IF(BA918&lt;=0,0,CE918*MAX(1,IF(H918&gt;0,BA918/H918,1))),IF(R918&gt;0,BB918/R918,0))/MAX(0.1,N(Parameter!$M$21)))</f>
        <v>0.0384615384615385</v>
      </c>
      <c r="BD918" s="62" t="n">
        <f aca="false">BC918*CC918</f>
        <v>5.96153846153846</v>
      </c>
      <c r="BE918" s="63" t="n">
        <f aca="false">IF(LEFT(Cockpit!$O$5,1)="A",H918,IF(CI918=1,(CL918+CJ918)/2,IF(LEFT(Cockpit!$O$5,1)="B",(CL918+BG918)/2,MAX((CL918+BG918)/2,H918))))</f>
        <v>0.5</v>
      </c>
      <c r="BF918" s="62" t="n">
        <f aca="false">BE918*G918</f>
        <v>0.525</v>
      </c>
      <c r="BG918" s="62" t="n">
        <f aca="false">ROUNDUP(CL918+MAX(CM918,2*(J918/IF(CH918&gt;0,CH918,MAX(0.1,N(Cockpit!$O$6)))-CL918)),0)</f>
        <v>1</v>
      </c>
      <c r="BH918" s="63" t="n">
        <f aca="false">IF(BD918&gt;0,J918/BD918,-1)</f>
        <v>0</v>
      </c>
      <c r="BI918" s="63" t="n">
        <f aca="false">IF(AND(OR(CG918="L1",CG918="L23",CG918="LIFT"),BD918&gt;0),SUMIFS($BD$7:$BD$1843,$CG$7:$CG$1843,CG918,$BH$7:$BH$1843,"&gt;"&amp;BH918)+SUMIFS($BD$7:$BD$1843,$CG$7:$CG$1843,CG918,$BH$7:$BH$1843,BH918,$BX$7:$BX$1843,"&lt;="&amp;BX918),"")</f>
        <v>28544.1793707705</v>
      </c>
      <c r="BJ918" s="70" t="n">
        <f aca="false">IF(BI918="",0,MAX(0,MIN(1,(IF(CG918="L1",Parameter!$H$5,IF(CG918="L23",Parameter!$H$6+Parameter!$H$7,Parameter!$H$5+Parameter!$H$6+Parameter!$H$7))-(BI918-BD918))/BD918)))</f>
        <v>1</v>
      </c>
      <c r="BK918" s="60" t="str">
        <f aca="false">IF(AJ918&lt;=0,"",IF(CG918="Aussen","Aussenlager",IF(CG918="-","Nicht im Lift",IF(AP918&gt;=1,"Lift",IF(AP918&lt;=0,"Aussenlager","teilweise")))))</f>
        <v>Lift</v>
      </c>
      <c r="BL918" s="60" t="str">
        <f aca="false">IF(AT918&lt;=0,"",IF(CG918="Aussen","Aussenlager",IF(CG918="-","Nicht im Lift",IF(AZ918&gt;=1,"Lift",IF(AZ918&lt;=0,"Aussenlager","teilweise")))))</f>
        <v>Lift</v>
      </c>
      <c r="BM918" s="60" t="str">
        <f aca="false">IF(BD918&lt;=0,"",IF(CG918="Aussen","Aussenlager",IF(CG918="-","Nicht im Lift",IF(BJ918&gt;=1,"Lift",IF(BJ918&lt;=0,"Aussenlager","teilweise")))))</f>
        <v>Lift</v>
      </c>
      <c r="BN918" s="60" t="str">
        <f aca="false">IF(A918="","",IF(BW918=1,"Neu; ","")&amp;IF(AND(BW918=0,BR918&lt;0),"negativer Bestand (Export "&amp;BR918&amp;"); ","")&amp;IF(J918&lt;=0,"Kein Verbrauch; ","")&amp;IF(CR918&gt;0,"Lift "&amp;W918&amp;" lt. Liftbericht (Fach "&amp;X918&amp;" Stk); ",IF(CB918=1,"Gebinde geschätzt ("&amp;T918&amp;"); ",IF(CA918=1,"Lose – Tablare geschätzt; ","")))&amp;IF(H918&gt;AW918,"Überbestand "&amp;ROUND(H918-AW918,0)&amp;" Stk / CHF "&amp;ROUND((H918-AW918)*G918,0)&amp;"; ","")&amp;IF(AND(CI918=1,CJ918&lt;CK918),"MAX &lt; MB+LG; ","")&amp;IF(AND(CQ918&gt;0,CP918*10&gt;CQ918),"zu hoch für Tablar; ","")&amp;IF(AND(BW918=0,OR(CI918=1,AB918&lt;&gt;"",U918&lt;&gt;"",V918&lt;&gt;"",AC918&lt;&gt;"")),"manuell übersteuert; ","")&amp;IF(AND(CA918=0,R918=0),"Gebinde unbekannt / Stellmass fehlt; ","")&amp;IF(AND(CA918=0,N(V918)&lt;=0,N(Q918)&lt;=0),"Menge pro Gebinde fehlt (Ist = 1 Gebinde); ","")&amp;BV918)</f>
        <v>negativer Bestand (Export -41); Kein Verbrauch; Gebinde geschätzt (Klein); Überbestand 4 Stk / CHF 4; Menge pro Gebinde fehlt (Ist = 1 Gebinde); Neuer Art.</v>
      </c>
      <c r="BO918" s="60"/>
      <c r="BP918" s="60"/>
      <c r="BQ918" s="67"/>
      <c r="BR918" s="62" t="n">
        <v>-41</v>
      </c>
      <c r="BS918" s="62" t="n">
        <v>46</v>
      </c>
      <c r="BT918" s="61" t="n">
        <v>-43.05</v>
      </c>
      <c r="BU918" s="62" t="n">
        <v>0</v>
      </c>
      <c r="BV918" s="60" t="s">
        <v>554</v>
      </c>
      <c r="BW918" s="65" t="n">
        <v>0</v>
      </c>
      <c r="BX918" s="65" t="n">
        <v>918</v>
      </c>
      <c r="BY918" s="60" t="str">
        <f aca="false">IF(U918&lt;&gt;"",UPPER(TRIM(U918)),IF(CB918=1,UPPER(VLOOKUP(T918,Parameter!$I$27:$K$29,2,0)),IF(P918="","LOSE",P918)))</f>
        <v>S51</v>
      </c>
      <c r="BZ918" s="62" t="n">
        <f aca="false">IF(BY918="LOSE",1,IF(N(V918)&gt;0,V918,IF(CB918=1,MAX(1,N(VLOOKUP(T918,Parameter!$I$27:$K$29,3,0)),H918,N(N918)),IF(N(Q918)&gt;0,Q918,MAX(1,H918)))))</f>
        <v>20</v>
      </c>
      <c r="CA918" s="65" t="n">
        <f aca="false">IF(BY918="LOSE",1,0)</f>
        <v>0</v>
      </c>
      <c r="CB918" s="65" t="n">
        <f aca="false">IF(AND(U918="",OR(P918="",P918="LOSE"),T918&lt;&gt;"",N(S918)&lt;=0,ISNUMBER(MATCH(T918,Parameter!$I$27:$I$29,0))),1,0)</f>
        <v>1</v>
      </c>
      <c r="CC918" s="65" t="n">
        <f aca="false">IF(CR918&gt;0,INDEX(Parameter!$H$5:$H$7,W918)/INDEX(Parameter!$E$5:$E$7,W918),IF(AND(CA918=0,N(IFERROR(VLOOKUP(BY918,'Gebinde-Kategorie'!$A$5:$N$45,14,0),0))&gt;0),VLOOKUP(BY918,'Gebinde-Kategorie'!$A$5:$N$45,14,0)*10+Parameter!$M$23,Parameter!$M$24))</f>
        <v>155</v>
      </c>
      <c r="CD918" s="60" t="str">
        <f aca="false">IF(AND(Parameter!$B$19="Ja",E918&lt;&gt;"",ISNUMBER(MATCH(E918,Parameter!$I$35:$I$52,0))),VLOOKUP(E918,Parameter!$I$35:$J$52,2,0),IFERROR(VLOOKUP(D918,Parameter!$A$35:$C$64,2,0),"Nein"))</f>
        <v>2+3</v>
      </c>
      <c r="CE918" s="64" t="n">
        <f aca="false">IF(CA918=0,0,IF(N(S918)&gt;0,S918,IFERROR(VLOOKUP(D918,Parameter!$A$35:$C$64,3,0)+0,0)))</f>
        <v>0</v>
      </c>
      <c r="CF918" s="60" t="n">
        <f aca="false">IF(AB918&lt;&gt;"",AB918,AA918)</f>
        <v>3</v>
      </c>
      <c r="CG918" s="60" t="str">
        <f aca="false">IF(OR(CF918=1,CF918=2,CF918=3),IF(Parameter!$E$27="Ja","LIFT",IF(CF918=1,"L1","L23")),IF(CF918="Aussen","Aussen","-"))</f>
        <v>LIFT</v>
      </c>
      <c r="CH918" s="71" t="n">
        <f aca="false">IF(N(AC918)&gt;0,AC918,0)</f>
        <v>0</v>
      </c>
      <c r="CI918" s="65" t="n">
        <f aca="false">IF(ISNUMBER(AF918),1,0)</f>
        <v>0</v>
      </c>
      <c r="CJ918" s="62" t="n">
        <f aca="false">N(AF918)</f>
        <v>0</v>
      </c>
      <c r="CK918" s="62" t="n">
        <f aca="false">N(M918)+N(N918)</f>
        <v>1</v>
      </c>
      <c r="CL918" s="62" t="n">
        <f aca="false">N(M918)</f>
        <v>0</v>
      </c>
      <c r="CM918" s="62" t="n">
        <f aca="false">N(N918)</f>
        <v>1</v>
      </c>
      <c r="CN918" s="62" t="n">
        <f aca="false">ROUNDUP(H918/BZ918,0)</f>
        <v>1</v>
      </c>
      <c r="CO918" s="62" t="n">
        <f aca="false">ROUNDUP(CJ918/BZ918,0)</f>
        <v>0</v>
      </c>
      <c r="CP918" s="65" t="n">
        <f aca="false">IF(CA918=1,0,IFERROR(VLOOKUP(BY918,'Gebinde-Kategorie'!$A$5:$N$45,5,0)+0,0))</f>
        <v>11</v>
      </c>
      <c r="CQ918" s="65" t="n">
        <f aca="false">IFERROR(IF(OR(CF918=1,CF918=2,CF918=3),N(INDEX(Parameter!$I$5:$I$7,CF918)),0),0)</f>
        <v>0</v>
      </c>
      <c r="CR918" s="64" t="n">
        <f aca="false">IF(AND(Parameter!$B$21="Ja",ISNUMBER(W918),N(X918)&gt;0),IFERROR(N(INDEX(Parameter!$L$5:$L$7,W918))*INDEX(Parameter!$E$5:$E$7,W918)*X918/SUMIFS($X$7:$X$1843,$W$7:$W$1843,W918),0),0)</f>
        <v>0</v>
      </c>
      <c r="CS918" s="62" t="n">
        <f aca="false">IF(AND(OR(CG918="L1",CG918="L23",CG918="LIFT"),H918&gt;0),CC918*IF(CR918&gt;0,CR918*MAX(1,H918/X918),IF(CA918=1,CE918,IF(R918&gt;0,CN918/R918,0))/MAX(0.1,N(Parameter!$M$21))),"")</f>
        <v>5.96153846153846</v>
      </c>
      <c r="CT918" s="64" t="n">
        <f aca="false">IF(CS918="","",J918/H918)</f>
        <v>0</v>
      </c>
      <c r="CU918" s="62" t="n">
        <f aca="false">IF(CS918="","",H918*G918)</f>
        <v>5.25</v>
      </c>
      <c r="CV918" s="63" t="n">
        <f aca="false">IF(CS918="","",(CL918+ROUNDUP(CL918+MAX(CM918,2*(J918/MAX(0.1,N(Einkauf!$C$6))-CL918)),0))/2)</f>
        <v>0.5</v>
      </c>
      <c r="CW918" s="62" t="n">
        <f aca="false">IF(CS918="","",MAX(0,H918-CV918)*G918)</f>
        <v>4.725</v>
      </c>
      <c r="CX918" s="62" t="n">
        <f aca="false">IF(CS918="","",CS918*MAX(0,1-CV918/H918))</f>
        <v>5.36538461538462</v>
      </c>
      <c r="CY918" s="64" t="n">
        <f aca="false">IF(CS918="","",PERCENTRANK($CS$7:$CS$1843,CS918)+PERCENTRANK($CU$7:$CU$1843,CU918)+1-PERCENTRANK($CT$7:$CT$1843,CT918))</f>
        <v>1.3827</v>
      </c>
      <c r="CZ918" s="72" t="n">
        <f aca="false">IF(CS918="","",CHOOSE(MATCH(Einkauf!$C$5,Parameter!$G$23:$G$27,0),CY918,CS918,CU918,-CT918,CW918)+ROW()/1000000000)</f>
        <v>1.382700918</v>
      </c>
    </row>
    <row r="919" customFormat="false" ht="15" hidden="false" customHeight="false" outlineLevel="0" collapsed="false">
      <c r="A919" s="60" t="s">
        <v>1762</v>
      </c>
      <c r="B919" s="60" t="s">
        <v>1719</v>
      </c>
      <c r="C919" s="60" t="s">
        <v>206</v>
      </c>
      <c r="D919" s="60" t="s">
        <v>226</v>
      </c>
      <c r="E919" s="60"/>
      <c r="F919" s="60" t="s">
        <v>260</v>
      </c>
      <c r="G919" s="61" t="n">
        <v>14.44</v>
      </c>
      <c r="H919" s="62" t="n">
        <f aca="false">MAX(0,IF(AND(Parameter!$B$21="Ja",ISNUMBER(Y919)),Y919,IF(Parameter!$B$20="Jahresanfang 2025 + Export",BS919+BR919,BR919)))</f>
        <v>0</v>
      </c>
      <c r="I919" s="62" t="n">
        <f aca="false">H919*G919</f>
        <v>0</v>
      </c>
      <c r="J919" s="62" t="n">
        <f aca="false">BU919*Parameter!$B$18</f>
        <v>0</v>
      </c>
      <c r="K919" s="63" t="n">
        <v>2.5</v>
      </c>
      <c r="L919" s="64" t="n">
        <v>0</v>
      </c>
      <c r="M919" s="62" t="n">
        <v>0</v>
      </c>
      <c r="N919" s="62" t="n">
        <v>1</v>
      </c>
      <c r="O919" s="65" t="n">
        <v>14</v>
      </c>
      <c r="P919" s="60" t="s">
        <v>210</v>
      </c>
      <c r="Q919" s="62"/>
      <c r="R919" s="65" t="n">
        <f aca="false">IF(CA919=1,0,IFERROR(VLOOKUP(BY919,'Gebinde-Kategorie'!$A$5:$N$45,13,0)+0,0))</f>
        <v>26</v>
      </c>
      <c r="S919" s="66"/>
      <c r="T919" s="67" t="s">
        <v>317</v>
      </c>
      <c r="U919" s="67"/>
      <c r="V919" s="67"/>
      <c r="W919" s="60"/>
      <c r="X919" s="62"/>
      <c r="Y919" s="62"/>
      <c r="Z919" s="60" t="n">
        <v>3</v>
      </c>
      <c r="AA919" s="60" t="n">
        <f aca="false">IF(A919="","",IF(AND(Parameter!$B$21="Ja",ISNUMBER(W919)),W919,IF(AND(Parameter!$E$27="Ja",ISNUMBER(Z919),CD919&lt;&gt;"Nein"),Z919,IF(CD919="2+3",IF(ISNUMBER(SEARCH("grosser Artikel",BV919)),2,IFERROR(VLOOKUP(BY919,Parameter!$F$35:$G$64,2,0),2)),IF(OR(CD919="Nein",CD919=""),"-",CD919)))))</f>
        <v>3</v>
      </c>
      <c r="AB919" s="67"/>
      <c r="AC919" s="68"/>
      <c r="AD919" s="62" t="n">
        <f aca="false">AW919</f>
        <v>1</v>
      </c>
      <c r="AE919" s="62" t="n">
        <f aca="false">MAX(AW919,H919)</f>
        <v>1</v>
      </c>
      <c r="AF919" s="69"/>
      <c r="AG919" s="62" t="n">
        <f aca="false">IF(LEFT(Cockpit!$C$5,1)="A",H919,IF(Parameter!$E$30="MAX-Bestand",IF(CI919=1,CJ919,IF(LEFT(Cockpit!$C$5,1)="B",AM919,MAX(AM919,H919))),ROUNDUP(AK919,0)))</f>
        <v>0</v>
      </c>
      <c r="AH919" s="62" t="n">
        <f aca="false">IF(CA919=1,0,ROUNDUP(AG919/BZ919,0))</f>
        <v>0</v>
      </c>
      <c r="AI919" s="64" t="n">
        <f aca="false">IF(CR919&gt;0,CR919*MAX(1,AG919/X919),IF(CA919=1,IF(AG919&lt;=0,0,CE919*MAX(1,IF(H919&gt;0,AG919/H919,1))),IF(R919&gt;0,AH919/R919,0))/MAX(0.1,N(Parameter!$M$21)))</f>
        <v>0</v>
      </c>
      <c r="AJ919" s="62" t="n">
        <f aca="false">AI919*CC919</f>
        <v>0</v>
      </c>
      <c r="AK919" s="63" t="n">
        <f aca="false">IF(LEFT(Cockpit!$C$5,1)="A",H919,IF(CI919=1,(CL919+CJ919)/2,IF(LEFT(Cockpit!$C$5,1)="B",(CL919+AM919)/2,MAX((CL919+AM919)/2,H919))))</f>
        <v>0</v>
      </c>
      <c r="AL919" s="62" t="n">
        <f aca="false">AK919*G919</f>
        <v>0</v>
      </c>
      <c r="AM919" s="62" t="n">
        <f aca="false">ROUNDUP(CL919+MAX(CM919,2*(J919/IF(CH919&gt;0,CH919,MAX(0.1,N(Cockpit!$C$6)))-CL919)),0)</f>
        <v>1</v>
      </c>
      <c r="AN919" s="63" t="n">
        <f aca="false">IF(AJ919&gt;0,J919/AJ919,-1)</f>
        <v>-1</v>
      </c>
      <c r="AO919" s="63" t="str">
        <f aca="false">IF(AND(OR(CG919="L1",CG919="L23",CG919="LIFT"),AJ919&gt;0),SUMIFS($AJ$7:$AJ$1843,$CG$7:$CG$1843,CG919,$AN$7:$AN$1843,"&gt;"&amp;AN919)+SUMIFS($AJ$7:$AJ$1843,$CG$7:$CG$1843,CG919,$AN$7:$AN$1843,AN919,$BX$7:$BX$1843,"&lt;="&amp;BX919),"")</f>
        <v/>
      </c>
      <c r="AP919" s="70" t="n">
        <f aca="false">IF(AO919="",0,MAX(0,MIN(1,(IF(CG919="L1",Parameter!$H$5,IF(CG919="L23",Parameter!$H$6+Parameter!$H$7,Parameter!$H$5+Parameter!$H$6+Parameter!$H$7))-(AO919-AJ919))/AJ919)))</f>
        <v>0</v>
      </c>
      <c r="AQ919" s="62" t="n">
        <f aca="false">IF(LEFT(Cockpit!$I$5,1)="A",H919,IF(Parameter!$E$30="MAX-Bestand",IF(CI919=1,CJ919,IF(LEFT(Cockpit!$I$5,1)="B",AW919,MAX(AW919,H919))),ROUNDUP(AU919,0)))</f>
        <v>1</v>
      </c>
      <c r="AR919" s="62" t="n">
        <f aca="false">IF(CA919=1,0,ROUNDUP(AQ919/BZ919,0))</f>
        <v>1</v>
      </c>
      <c r="AS919" s="64" t="n">
        <f aca="false">IF(CR919&gt;0,CR919*MAX(1,AQ919/X919),IF(CA919=1,IF(AQ919&lt;=0,0,CE919*MAX(1,IF(H919&gt;0,AQ919/H919,1))),IF(R919&gt;0,AR919/R919,0))/MAX(0.1,N(Parameter!$M$21)))</f>
        <v>0.0384615384615385</v>
      </c>
      <c r="AT919" s="62" t="n">
        <f aca="false">AS919*CC919</f>
        <v>5.96153846153846</v>
      </c>
      <c r="AU919" s="63" t="n">
        <f aca="false">IF(LEFT(Cockpit!$I$5,1)="A",H919,IF(CI919=1,(CL919+CJ919)/2,IF(LEFT(Cockpit!$I$5,1)="B",(CL919+AW919)/2,MAX((CL919+AW919)/2,H919))))</f>
        <v>0.5</v>
      </c>
      <c r="AV919" s="62" t="n">
        <f aca="false">AU919*G919</f>
        <v>7.22</v>
      </c>
      <c r="AW919" s="62" t="n">
        <f aca="false">ROUNDUP(CL919+MAX(CM919,2*(J919/IF(CH919&gt;0,CH919,MAX(0.1,N(Cockpit!$I$6)))-CL919)),0)</f>
        <v>1</v>
      </c>
      <c r="AX919" s="63" t="n">
        <f aca="false">IF(AT919&gt;0,J919/AT919,-1)</f>
        <v>0</v>
      </c>
      <c r="AY919" s="63" t="n">
        <f aca="false">IF(AND(OR(CG919="L1",CG919="L23",CG919="LIFT"),AT919&gt;0),SUMIFS($AT$7:$AT$1843,$CG$7:$CG$1843,CG919,$AX$7:$AX$1843,"&gt;"&amp;AX919)+SUMIFS($AT$7:$AT$1843,$CG$7:$CG$1843,CG919,$AX$7:$AX$1843,AX919,$BX$7:$BX$1843,"&lt;="&amp;BX919),"")</f>
        <v>34518.5347985348</v>
      </c>
      <c r="AZ919" s="70" t="n">
        <f aca="false">IF(AY919="",0,MAX(0,MIN(1,(IF(CG919="L1",Parameter!$H$5,IF(CG919="L23",Parameter!$H$6+Parameter!$H$7,Parameter!$H$5+Parameter!$H$6+Parameter!$H$7))-(AY919-AT919))/AT919)))</f>
        <v>1</v>
      </c>
      <c r="BA919" s="62" t="n">
        <f aca="false">IF(LEFT(Cockpit!$O$5,1)="A",H919,IF(Parameter!$E$30="MAX-Bestand",IF(CI919=1,CJ919,IF(LEFT(Cockpit!$O$5,1)="B",BG919,MAX(BG919,H919))),ROUNDUP(BE919,0)))</f>
        <v>1</v>
      </c>
      <c r="BB919" s="62" t="n">
        <f aca="false">IF(CA919=1,0,ROUNDUP(BA919/BZ919,0))</f>
        <v>1</v>
      </c>
      <c r="BC919" s="64" t="n">
        <f aca="false">IF(CR919&gt;0,CR919*MAX(1,BA919/X919),IF(CA919=1,IF(BA919&lt;=0,0,CE919*MAX(1,IF(H919&gt;0,BA919/H919,1))),IF(R919&gt;0,BB919/R919,0))/MAX(0.1,N(Parameter!$M$21)))</f>
        <v>0.0384615384615385</v>
      </c>
      <c r="BD919" s="62" t="n">
        <f aca="false">BC919*CC919</f>
        <v>5.96153846153846</v>
      </c>
      <c r="BE919" s="63" t="n">
        <f aca="false">IF(LEFT(Cockpit!$O$5,1)="A",H919,IF(CI919=1,(CL919+CJ919)/2,IF(LEFT(Cockpit!$O$5,1)="B",(CL919+BG919)/2,MAX((CL919+BG919)/2,H919))))</f>
        <v>0.5</v>
      </c>
      <c r="BF919" s="62" t="n">
        <f aca="false">BE919*G919</f>
        <v>7.22</v>
      </c>
      <c r="BG919" s="62" t="n">
        <f aca="false">ROUNDUP(CL919+MAX(CM919,2*(J919/IF(CH919&gt;0,CH919,MAX(0.1,N(Cockpit!$O$6)))-CL919)),0)</f>
        <v>1</v>
      </c>
      <c r="BH919" s="63" t="n">
        <f aca="false">IF(BD919&gt;0,J919/BD919,-1)</f>
        <v>0</v>
      </c>
      <c r="BI919" s="63" t="n">
        <f aca="false">IF(AND(OR(CG919="L1",CG919="L23",CG919="LIFT"),BD919&gt;0),SUMIFS($BD$7:$BD$1843,$CG$7:$CG$1843,CG919,$BH$7:$BH$1843,"&gt;"&amp;BH919)+SUMIFS($BD$7:$BD$1843,$CG$7:$CG$1843,CG919,$BH$7:$BH$1843,BH919,$BX$7:$BX$1843,"&lt;="&amp;BX919),"")</f>
        <v>28550.140909232</v>
      </c>
      <c r="BJ919" s="70" t="n">
        <f aca="false">IF(BI919="",0,MAX(0,MIN(1,(IF(CG919="L1",Parameter!$H$5,IF(CG919="L23",Parameter!$H$6+Parameter!$H$7,Parameter!$H$5+Parameter!$H$6+Parameter!$H$7))-(BI919-BD919))/BD919)))</f>
        <v>1</v>
      </c>
      <c r="BK919" s="60" t="str">
        <f aca="false">IF(AJ919&lt;=0,"",IF(CG919="Aussen","Aussenlager",IF(CG919="-","Nicht im Lift",IF(AP919&gt;=1,"Lift",IF(AP919&lt;=0,"Aussenlager","teilweise")))))</f>
        <v/>
      </c>
      <c r="BL919" s="60" t="str">
        <f aca="false">IF(AT919&lt;=0,"",IF(CG919="Aussen","Aussenlager",IF(CG919="-","Nicht im Lift",IF(AZ919&gt;=1,"Lift",IF(AZ919&lt;=0,"Aussenlager","teilweise")))))</f>
        <v>Lift</v>
      </c>
      <c r="BM919" s="60" t="str">
        <f aca="false">IF(BD919&lt;=0,"",IF(CG919="Aussen","Aussenlager",IF(CG919="-","Nicht im Lift",IF(BJ919&gt;=1,"Lift",IF(BJ919&lt;=0,"Aussenlager","teilweise")))))</f>
        <v>Lift</v>
      </c>
      <c r="BN919" s="60" t="str">
        <f aca="false">IF(A919="","",IF(BW919=1,"Neu; ","")&amp;IF(AND(BW919=0,BR919&lt;0),"negativer Bestand (Export "&amp;BR919&amp;"); ","")&amp;IF(J919&lt;=0,"Kein Verbrauch; ","")&amp;IF(CR919&gt;0,"Lift "&amp;W919&amp;" lt. Liftbericht (Fach "&amp;X919&amp;" Stk); ",IF(CB919=1,"Gebinde geschätzt ("&amp;T919&amp;"); ",IF(CA919=1,"Lose – Tablare geschätzt; ","")))&amp;IF(H919&gt;AW919,"Überbestand "&amp;ROUND(H919-AW919,0)&amp;" Stk / CHF "&amp;ROUND((H919-AW919)*G919,0)&amp;"; ","")&amp;IF(AND(CI919=1,CJ919&lt;CK919),"MAX &lt; MB+LG; ","")&amp;IF(AND(CQ919&gt;0,CP919*10&gt;CQ919),"zu hoch für Tablar; ","")&amp;IF(AND(BW919=0,OR(CI919=1,AB919&lt;&gt;"",U919&lt;&gt;"",V919&lt;&gt;"",AC919&lt;&gt;"")),"manuell übersteuert; ","")&amp;IF(AND(CA919=0,R919=0),"Gebinde unbekannt / Stellmass fehlt; ","")&amp;IF(AND(CA919=0,N(V919)&lt;=0,N(Q919)&lt;=0),"Menge pro Gebinde fehlt (Ist = 1 Gebinde); ","")&amp;BV919)</f>
        <v>negativer Bestand (Export -3); Kein Verbrauch; Gebinde geschätzt (Klein); Menge pro Gebinde fehlt (Ist = 1 Gebinde); </v>
      </c>
      <c r="BO919" s="60"/>
      <c r="BP919" s="60"/>
      <c r="BQ919" s="67"/>
      <c r="BR919" s="62" t="n">
        <v>-3</v>
      </c>
      <c r="BS919" s="62" t="n">
        <v>3</v>
      </c>
      <c r="BT919" s="61" t="n">
        <v>-43.32</v>
      </c>
      <c r="BU919" s="62" t="n">
        <v>0</v>
      </c>
      <c r="BV919" s="60"/>
      <c r="BW919" s="65" t="n">
        <v>0</v>
      </c>
      <c r="BX919" s="65" t="n">
        <v>919</v>
      </c>
      <c r="BY919" s="60" t="str">
        <f aca="false">IF(U919&lt;&gt;"",UPPER(TRIM(U919)),IF(CB919=1,UPPER(VLOOKUP(T919,Parameter!$I$27:$K$29,2,0)),IF(P919="","LOSE",P919)))</f>
        <v>S51</v>
      </c>
      <c r="BZ919" s="62" t="n">
        <f aca="false">IF(BY919="LOSE",1,IF(N(V919)&gt;0,V919,IF(CB919=1,MAX(1,N(VLOOKUP(T919,Parameter!$I$27:$K$29,3,0)),H919,N(N919)),IF(N(Q919)&gt;0,Q919,MAX(1,H919)))))</f>
        <v>20</v>
      </c>
      <c r="CA919" s="65" t="n">
        <f aca="false">IF(BY919="LOSE",1,0)</f>
        <v>0</v>
      </c>
      <c r="CB919" s="65" t="n">
        <f aca="false">IF(AND(U919="",OR(P919="",P919="LOSE"),T919&lt;&gt;"",N(S919)&lt;=0,ISNUMBER(MATCH(T919,Parameter!$I$27:$I$29,0))),1,0)</f>
        <v>1</v>
      </c>
      <c r="CC919" s="65" t="n">
        <f aca="false">IF(CR919&gt;0,INDEX(Parameter!$H$5:$H$7,W919)/INDEX(Parameter!$E$5:$E$7,W919),IF(AND(CA919=0,N(IFERROR(VLOOKUP(BY919,'Gebinde-Kategorie'!$A$5:$N$45,14,0),0))&gt;0),VLOOKUP(BY919,'Gebinde-Kategorie'!$A$5:$N$45,14,0)*10+Parameter!$M$23,Parameter!$M$24))</f>
        <v>155</v>
      </c>
      <c r="CD919" s="60" t="str">
        <f aca="false">IF(AND(Parameter!$B$19="Ja",E919&lt;&gt;"",ISNUMBER(MATCH(E919,Parameter!$I$35:$I$52,0))),VLOOKUP(E919,Parameter!$I$35:$J$52,2,0),IFERROR(VLOOKUP(D919,Parameter!$A$35:$C$64,2,0),"Nein"))</f>
        <v>2+3</v>
      </c>
      <c r="CE919" s="64" t="n">
        <f aca="false">IF(CA919=0,0,IF(N(S919)&gt;0,S919,IFERROR(VLOOKUP(D919,Parameter!$A$35:$C$64,3,0)+0,0)))</f>
        <v>0</v>
      </c>
      <c r="CF919" s="60" t="n">
        <f aca="false">IF(AB919&lt;&gt;"",AB919,AA919)</f>
        <v>3</v>
      </c>
      <c r="CG919" s="60" t="str">
        <f aca="false">IF(OR(CF919=1,CF919=2,CF919=3),IF(Parameter!$E$27="Ja","LIFT",IF(CF919=1,"L1","L23")),IF(CF919="Aussen","Aussen","-"))</f>
        <v>LIFT</v>
      </c>
      <c r="CH919" s="71" t="n">
        <f aca="false">IF(N(AC919)&gt;0,AC919,0)</f>
        <v>0</v>
      </c>
      <c r="CI919" s="65" t="n">
        <f aca="false">IF(ISNUMBER(AF919),1,0)</f>
        <v>0</v>
      </c>
      <c r="CJ919" s="62" t="n">
        <f aca="false">N(AF919)</f>
        <v>0</v>
      </c>
      <c r="CK919" s="62" t="n">
        <f aca="false">N(M919)+N(N919)</f>
        <v>1</v>
      </c>
      <c r="CL919" s="62" t="n">
        <f aca="false">N(M919)</f>
        <v>0</v>
      </c>
      <c r="CM919" s="62" t="n">
        <f aca="false">N(N919)</f>
        <v>1</v>
      </c>
      <c r="CN919" s="62" t="n">
        <f aca="false">ROUNDUP(H919/BZ919,0)</f>
        <v>0</v>
      </c>
      <c r="CO919" s="62" t="n">
        <f aca="false">ROUNDUP(CJ919/BZ919,0)</f>
        <v>0</v>
      </c>
      <c r="CP919" s="65" t="n">
        <f aca="false">IF(CA919=1,0,IFERROR(VLOOKUP(BY919,'Gebinde-Kategorie'!$A$5:$N$45,5,0)+0,0))</f>
        <v>11</v>
      </c>
      <c r="CQ919" s="65" t="n">
        <f aca="false">IFERROR(IF(OR(CF919=1,CF919=2,CF919=3),N(INDEX(Parameter!$I$5:$I$7,CF919)),0),0)</f>
        <v>0</v>
      </c>
      <c r="CR919" s="64" t="n">
        <f aca="false">IF(AND(Parameter!$B$21="Ja",ISNUMBER(W919),N(X919)&gt;0),IFERROR(N(INDEX(Parameter!$L$5:$L$7,W919))*INDEX(Parameter!$E$5:$E$7,W919)*X919/SUMIFS($X$7:$X$1843,$W$7:$W$1843,W919),0),0)</f>
        <v>0</v>
      </c>
      <c r="CS919" s="62" t="str">
        <f aca="false">IF(AND(OR(CG919="L1",CG919="L23",CG919="LIFT"),H919&gt;0),CC919*IF(CR919&gt;0,CR919*MAX(1,H919/X919),IF(CA919=1,CE919,IF(R919&gt;0,CN919/R919,0))/MAX(0.1,N(Parameter!$M$21))),"")</f>
        <v/>
      </c>
      <c r="CT919" s="64" t="str">
        <f aca="false">IF(CS919="","",J919/H919)</f>
        <v/>
      </c>
      <c r="CU919" s="62" t="str">
        <f aca="false">IF(CS919="","",H919*G919)</f>
        <v/>
      </c>
      <c r="CV919" s="63" t="str">
        <f aca="false">IF(CS919="","",(CL919+ROUNDUP(CL919+MAX(CM919,2*(J919/MAX(0.1,N(Einkauf!$C$6))-CL919)),0))/2)</f>
        <v/>
      </c>
      <c r="CW919" s="62" t="str">
        <f aca="false">IF(CS919="","",MAX(0,H919-CV919)*G919)</f>
        <v/>
      </c>
      <c r="CX919" s="62" t="str">
        <f aca="false">IF(CS919="","",CS919*MAX(0,1-CV919/H919))</f>
        <v/>
      </c>
      <c r="CY919" s="64" t="str">
        <f aca="false">IF(CS919="","",PERCENTRANK($CS$7:$CS$1843,CS919)+PERCENTRANK($CU$7:$CU$1843,CU919)+1-PERCENTRANK($CT$7:$CT$1843,CT919))</f>
        <v/>
      </c>
      <c r="CZ919" s="72" t="str">
        <f aca="false">IF(CS919="","",CHOOSE(MATCH(Einkauf!$C$5,Parameter!$G$23:$G$27,0),CY919,CS919,CU919,-CT919,CW919)+ROW()/1000000000)</f>
        <v/>
      </c>
    </row>
    <row r="920" customFormat="false" ht="15" hidden="false" customHeight="false" outlineLevel="0" collapsed="false">
      <c r="A920" s="60" t="s">
        <v>1763</v>
      </c>
      <c r="B920" s="60" t="s">
        <v>447</v>
      </c>
      <c r="C920" s="60" t="s">
        <v>206</v>
      </c>
      <c r="D920" s="60" t="s">
        <v>226</v>
      </c>
      <c r="E920" s="60" t="s">
        <v>227</v>
      </c>
      <c r="F920" s="60" t="s">
        <v>260</v>
      </c>
      <c r="G920" s="61" t="n">
        <v>0.02</v>
      </c>
      <c r="H920" s="62" t="n">
        <f aca="false">MAX(0,IF(AND(Parameter!$B$21="Ja",ISNUMBER(Y920)),Y920,IF(Parameter!$B$20="Jahresanfang 2025 + Export",BS920+BR920,BR920)))</f>
        <v>695</v>
      </c>
      <c r="I920" s="62" t="n">
        <f aca="false">H920*G920</f>
        <v>13.9</v>
      </c>
      <c r="J920" s="62" t="n">
        <f aca="false">BU920*Parameter!$B$18</f>
        <v>5412</v>
      </c>
      <c r="K920" s="63" t="n">
        <v>3182.5</v>
      </c>
      <c r="L920" s="64" t="n">
        <v>1.70054988216811</v>
      </c>
      <c r="M920" s="62" t="n">
        <v>315</v>
      </c>
      <c r="N920" s="62" t="n">
        <v>2000</v>
      </c>
      <c r="O920" s="65" t="n">
        <v>21</v>
      </c>
      <c r="P920" s="60" t="s">
        <v>344</v>
      </c>
      <c r="Q920" s="62" t="n">
        <v>2951</v>
      </c>
      <c r="R920" s="65" t="n">
        <f aca="false">IF(CA920=1,0,IFERROR(VLOOKUP(BY920,'Gebinde-Kategorie'!$A$5:$N$45,13,0)+0,0))</f>
        <v>26</v>
      </c>
      <c r="S920" s="66"/>
      <c r="T920" s="67"/>
      <c r="U920" s="67"/>
      <c r="V920" s="67"/>
      <c r="W920" s="60"/>
      <c r="X920" s="62"/>
      <c r="Y920" s="62"/>
      <c r="Z920" s="60" t="n">
        <v>3</v>
      </c>
      <c r="AA920" s="60" t="n">
        <f aca="false">IF(A920="","",IF(AND(Parameter!$B$21="Ja",ISNUMBER(W920)),W920,IF(AND(Parameter!$E$27="Ja",ISNUMBER(Z920),CD920&lt;&gt;"Nein"),Z920,IF(CD920="2+3",IF(ISNUMBER(SEARCH("grosser Artikel",BV920)),2,IFERROR(VLOOKUP(BY920,Parameter!$F$35:$G$64,2,0),2)),IF(OR(CD920="Nein",CD920=""),"-",CD920)))))</f>
        <v>3</v>
      </c>
      <c r="AB920" s="67"/>
      <c r="AC920" s="68"/>
      <c r="AD920" s="62" t="n">
        <f aca="false">AW920</f>
        <v>3293</v>
      </c>
      <c r="AE920" s="62" t="n">
        <f aca="false">MAX(AW920,H920)</f>
        <v>3293</v>
      </c>
      <c r="AF920" s="69"/>
      <c r="AG920" s="62" t="n">
        <f aca="false">IF(LEFT(Cockpit!$C$5,1)="A",H920,IF(Parameter!$E$30="MAX-Bestand",IF(CI920=1,CJ920,IF(LEFT(Cockpit!$C$5,1)="B",AM920,MAX(AM920,H920))),ROUNDUP(AK920,0)))</f>
        <v>695</v>
      </c>
      <c r="AH920" s="62" t="n">
        <f aca="false">IF(CA920=1,0,ROUNDUP(AG920/BZ920,0))</f>
        <v>1</v>
      </c>
      <c r="AI920" s="64" t="n">
        <f aca="false">IF(CR920&gt;0,CR920*MAX(1,AG920/X920),IF(CA920=1,IF(AG920&lt;=0,0,CE920*MAX(1,IF(H920&gt;0,AG920/H920,1))),IF(R920&gt;0,AH920/R920,0))/MAX(0.1,N(Parameter!$M$21)))</f>
        <v>0.0384615384615385</v>
      </c>
      <c r="AJ920" s="62" t="n">
        <f aca="false">AI920*CC920</f>
        <v>5.96153846153846</v>
      </c>
      <c r="AK920" s="63" t="n">
        <f aca="false">IF(LEFT(Cockpit!$C$5,1)="A",H920,IF(CI920=1,(CL920+CJ920)/2,IF(LEFT(Cockpit!$C$5,1)="B",(CL920+AM920)/2,MAX((CL920+AM920)/2,H920))))</f>
        <v>695</v>
      </c>
      <c r="AL920" s="62" t="n">
        <f aca="false">AK920*G920</f>
        <v>13.9</v>
      </c>
      <c r="AM920" s="62" t="n">
        <f aca="false">ROUNDUP(CL920+MAX(CM920,2*(J920/IF(CH920&gt;0,CH920,MAX(0.1,N(Cockpit!$C$6)))-CL920)),0)</f>
        <v>3293</v>
      </c>
      <c r="AN920" s="63" t="n">
        <f aca="false">IF(AJ920&gt;0,J920/AJ920,-1)</f>
        <v>907.81935483871</v>
      </c>
      <c r="AO920" s="63" t="n">
        <f aca="false">IF(AND(OR(CG920="L1",CG920="L23",CG920="LIFT"),AJ920&gt;0),SUMIFS($AJ$7:$AJ$1843,$CG$7:$CG$1843,CG920,$AN$7:$AN$1843,"&gt;"&amp;AN920)+SUMIFS($AJ$7:$AJ$1843,$CG$7:$CG$1843,CG920,$AN$7:$AN$1843,AN920,$BX$7:$BX$1843,"&lt;="&amp;BX920),"")</f>
        <v>24.9532967032967</v>
      </c>
      <c r="AP920" s="70" t="n">
        <f aca="false">IF(AO920="",0,MAX(0,MIN(1,(IF(CG920="L1",Parameter!$H$5,IF(CG920="L23",Parameter!$H$6+Parameter!$H$7,Parameter!$H$5+Parameter!$H$6+Parameter!$H$7))-(AO920-AJ920))/AJ920)))</f>
        <v>1</v>
      </c>
      <c r="AQ920" s="62" t="n">
        <f aca="false">IF(LEFT(Cockpit!$I$5,1)="A",H920,IF(Parameter!$E$30="MAX-Bestand",IF(CI920=1,CJ920,IF(LEFT(Cockpit!$I$5,1)="B",AW920,MAX(AW920,H920))),ROUNDUP(AU920,0)))</f>
        <v>1804</v>
      </c>
      <c r="AR920" s="62" t="n">
        <f aca="false">IF(CA920=1,0,ROUNDUP(AQ920/BZ920,0))</f>
        <v>1</v>
      </c>
      <c r="AS920" s="64" t="n">
        <f aca="false">IF(CR920&gt;0,CR920*MAX(1,AQ920/X920),IF(CA920=1,IF(AQ920&lt;=0,0,CE920*MAX(1,IF(H920&gt;0,AQ920/H920,1))),IF(R920&gt;0,AR920/R920,0))/MAX(0.1,N(Parameter!$M$21)))</f>
        <v>0.0384615384615385</v>
      </c>
      <c r="AT920" s="62" t="n">
        <f aca="false">AS920*CC920</f>
        <v>5.96153846153846</v>
      </c>
      <c r="AU920" s="63" t="n">
        <f aca="false">IF(LEFT(Cockpit!$I$5,1)="A",H920,IF(CI920=1,(CL920+CJ920)/2,IF(LEFT(Cockpit!$I$5,1)="B",(CL920+AW920)/2,MAX((CL920+AW920)/2,H920))))</f>
        <v>1804</v>
      </c>
      <c r="AV920" s="62" t="n">
        <f aca="false">AU920*G920</f>
        <v>36.08</v>
      </c>
      <c r="AW920" s="62" t="n">
        <f aca="false">ROUNDUP(CL920+MAX(CM920,2*(J920/IF(CH920&gt;0,CH920,MAX(0.1,N(Cockpit!$I$6)))-CL920)),0)</f>
        <v>3293</v>
      </c>
      <c r="AX920" s="63" t="n">
        <f aca="false">IF(AT920&gt;0,J920/AT920,-1)</f>
        <v>907.81935483871</v>
      </c>
      <c r="AY920" s="63" t="n">
        <f aca="false">IF(AND(OR(CG920="L1",CG920="L23",CG920="LIFT"),AT920&gt;0),SUMIFS($AT$7:$AT$1843,$CG$7:$CG$1843,CG920,$AX$7:$AX$1843,"&gt;"&amp;AX920)+SUMIFS($AT$7:$AT$1843,$CG$7:$CG$1843,CG920,$AX$7:$AX$1843,AX920,$BX$7:$BX$1843,"&lt;="&amp;BX920),"")</f>
        <v>15.4574175824176</v>
      </c>
      <c r="AZ920" s="70" t="n">
        <f aca="false">IF(AY920="",0,MAX(0,MIN(1,(IF(CG920="L1",Parameter!$H$5,IF(CG920="L23",Parameter!$H$6+Parameter!$H$7,Parameter!$H$5+Parameter!$H$6+Parameter!$H$7))-(AY920-AT920))/AT920)))</f>
        <v>1</v>
      </c>
      <c r="BA920" s="62" t="n">
        <f aca="false">IF(LEFT(Cockpit!$O$5,1)="A",H920,IF(Parameter!$E$30="MAX-Bestand",IF(CI920=1,CJ920,IF(LEFT(Cockpit!$O$5,1)="B",BG920,MAX(BG920,H920))),ROUNDUP(BE920,0)))</f>
        <v>1353</v>
      </c>
      <c r="BB920" s="62" t="n">
        <f aca="false">IF(CA920=1,0,ROUNDUP(BA920/BZ920,0))</f>
        <v>1</v>
      </c>
      <c r="BC920" s="64" t="n">
        <f aca="false">IF(CR920&gt;0,CR920*MAX(1,BA920/X920),IF(CA920=1,IF(BA920&lt;=0,0,CE920*MAX(1,IF(H920&gt;0,BA920/H920,1))),IF(R920&gt;0,BB920/R920,0))/MAX(0.1,N(Parameter!$M$21)))</f>
        <v>0.0384615384615385</v>
      </c>
      <c r="BD920" s="62" t="n">
        <f aca="false">BC920*CC920</f>
        <v>5.96153846153846</v>
      </c>
      <c r="BE920" s="63" t="n">
        <f aca="false">IF(LEFT(Cockpit!$O$5,1)="A",H920,IF(CI920=1,(CL920+CJ920)/2,IF(LEFT(Cockpit!$O$5,1)="B",(CL920+BG920)/2,MAX((CL920+BG920)/2,H920))))</f>
        <v>1353</v>
      </c>
      <c r="BF920" s="62" t="n">
        <f aca="false">BE920*G920</f>
        <v>27.06</v>
      </c>
      <c r="BG920" s="62" t="n">
        <f aca="false">ROUNDUP(CL920+MAX(CM920,2*(J920/IF(CH920&gt;0,CH920,MAX(0.1,N(Cockpit!$O$6)))-CL920)),0)</f>
        <v>2391</v>
      </c>
      <c r="BH920" s="63" t="n">
        <f aca="false">IF(BD920&gt;0,J920/BD920,-1)</f>
        <v>907.81935483871</v>
      </c>
      <c r="BI920" s="63" t="n">
        <f aca="false">IF(AND(OR(CG920="L1",CG920="L23",CG920="LIFT"),BD920&gt;0),SUMIFS($BD$7:$BD$1843,$CG$7:$CG$1843,CG920,$BH$7:$BH$1843,"&gt;"&amp;BH920)+SUMIFS($BD$7:$BD$1843,$CG$7:$CG$1843,CG920,$BH$7:$BH$1843,BH920,$BX$7:$BX$1843,"&lt;="&amp;BX920),"")</f>
        <v>17.5013736263736</v>
      </c>
      <c r="BJ920" s="70" t="n">
        <f aca="false">IF(BI920="",0,MAX(0,MIN(1,(IF(CG920="L1",Parameter!$H$5,IF(CG920="L23",Parameter!$H$6+Parameter!$H$7,Parameter!$H$5+Parameter!$H$6+Parameter!$H$7))-(BI920-BD920))/BD920)))</f>
        <v>1</v>
      </c>
      <c r="BK920" s="60" t="str">
        <f aca="false">IF(AJ920&lt;=0,"",IF(CG920="Aussen","Aussenlager",IF(CG920="-","Nicht im Lift",IF(AP920&gt;=1,"Lift",IF(AP920&lt;=0,"Aussenlager","teilweise")))))</f>
        <v>Lift</v>
      </c>
      <c r="BL920" s="60" t="str">
        <f aca="false">IF(AT920&lt;=0,"",IF(CG920="Aussen","Aussenlager",IF(CG920="-","Nicht im Lift",IF(AZ920&gt;=1,"Lift",IF(AZ920&lt;=0,"Aussenlager","teilweise")))))</f>
        <v>Lift</v>
      </c>
      <c r="BM920" s="60" t="str">
        <f aca="false">IF(BD920&lt;=0,"",IF(CG920="Aussen","Aussenlager",IF(CG920="-","Nicht im Lift",IF(BJ920&gt;=1,"Lift",IF(BJ920&lt;=0,"Aussenlager","teilweise")))))</f>
        <v>Lift</v>
      </c>
      <c r="BN920" s="60" t="str">
        <f aca="false">IF(A920="","",IF(BW920=1,"Neu; ","")&amp;IF(AND(BW920=0,BR920&lt;0),"negativer Bestand (Export "&amp;BR920&amp;"); ","")&amp;IF(J920&lt;=0,"Kein Verbrauch; ","")&amp;IF(CR920&gt;0,"Lift "&amp;W920&amp;" lt. Liftbericht (Fach "&amp;X920&amp;" Stk); ",IF(CB920=1,"Gebinde geschätzt ("&amp;T920&amp;"); ",IF(CA920=1,"Lose – Tablare geschätzt; ","")))&amp;IF(H920&gt;AW920,"Überbestand "&amp;ROUND(H920-AW920,0)&amp;" Stk / CHF "&amp;ROUND((H920-AW920)*G920,0)&amp;"; ","")&amp;IF(AND(CI920=1,CJ920&lt;CK920),"MAX &lt; MB+LG; ","")&amp;IF(AND(CQ920&gt;0,CP920*10&gt;CQ920),"zu hoch für Tablar; ","")&amp;IF(AND(BW920=0,OR(CI920=1,AB920&lt;&gt;"",U920&lt;&gt;"",V920&lt;&gt;"",AC920&lt;&gt;"")),"manuell übersteuert; ","")&amp;IF(AND(CA920=0,R920=0),"Gebinde unbekannt / Stellmass fehlt; ","")&amp;IF(AND(CA920=0,N(V920)&lt;=0,N(Q920)&lt;=0),"Menge pro Gebinde fehlt (Ist = 1 Gebinde); ","")&amp;BV920)</f>
        <v>negativer Bestand (Export -2198); </v>
      </c>
      <c r="BO920" s="60"/>
      <c r="BP920" s="60"/>
      <c r="BQ920" s="67"/>
      <c r="BR920" s="62" t="n">
        <v>-2198</v>
      </c>
      <c r="BS920" s="62" t="n">
        <v>2893</v>
      </c>
      <c r="BT920" s="61" t="n">
        <v>-43.96</v>
      </c>
      <c r="BU920" s="62" t="n">
        <v>5412</v>
      </c>
      <c r="BV920" s="60"/>
      <c r="BW920" s="65" t="n">
        <v>0</v>
      </c>
      <c r="BX920" s="65" t="n">
        <v>920</v>
      </c>
      <c r="BY920" s="60" t="str">
        <f aca="false">IF(U920&lt;&gt;"",UPPER(TRIM(U920)),IF(CB920=1,UPPER(VLOOKUP(T920,Parameter!$I$27:$K$29,2,0)),IF(P920="","LOSE",P920)))</f>
        <v>S51</v>
      </c>
      <c r="BZ920" s="62" t="n">
        <f aca="false">IF(BY920="LOSE",1,IF(N(V920)&gt;0,V920,IF(CB920=1,MAX(1,N(VLOOKUP(T920,Parameter!$I$27:$K$29,3,0)),H920,N(N920)),IF(N(Q920)&gt;0,Q920,MAX(1,H920)))))</f>
        <v>2951</v>
      </c>
      <c r="CA920" s="65" t="n">
        <f aca="false">IF(BY920="LOSE",1,0)</f>
        <v>0</v>
      </c>
      <c r="CB920" s="65" t="n">
        <f aca="false">IF(AND(U920="",OR(P920="",P920="LOSE"),T920&lt;&gt;"",N(S920)&lt;=0,ISNUMBER(MATCH(T920,Parameter!$I$27:$I$29,0))),1,0)</f>
        <v>0</v>
      </c>
      <c r="CC920" s="65" t="n">
        <f aca="false">IF(CR920&gt;0,INDEX(Parameter!$H$5:$H$7,W920)/INDEX(Parameter!$E$5:$E$7,W920),IF(AND(CA920=0,N(IFERROR(VLOOKUP(BY920,'Gebinde-Kategorie'!$A$5:$N$45,14,0),0))&gt;0),VLOOKUP(BY920,'Gebinde-Kategorie'!$A$5:$N$45,14,0)*10+Parameter!$M$23,Parameter!$M$24))</f>
        <v>155</v>
      </c>
      <c r="CD920" s="60" t="str">
        <f aca="false">IF(AND(Parameter!$B$19="Ja",E920&lt;&gt;"",ISNUMBER(MATCH(E920,Parameter!$I$35:$I$52,0))),VLOOKUP(E920,Parameter!$I$35:$J$52,2,0),IFERROR(VLOOKUP(D920,Parameter!$A$35:$C$64,2,0),"Nein"))</f>
        <v>2+3</v>
      </c>
      <c r="CE920" s="64" t="n">
        <f aca="false">IF(CA920=0,0,IF(N(S920)&gt;0,S920,IFERROR(VLOOKUP(D920,Parameter!$A$35:$C$64,3,0)+0,0)))</f>
        <v>0</v>
      </c>
      <c r="CF920" s="60" t="n">
        <f aca="false">IF(AB920&lt;&gt;"",AB920,AA920)</f>
        <v>3</v>
      </c>
      <c r="CG920" s="60" t="str">
        <f aca="false">IF(OR(CF920=1,CF920=2,CF920=3),IF(Parameter!$E$27="Ja","LIFT",IF(CF920=1,"L1","L23")),IF(CF920="Aussen","Aussen","-"))</f>
        <v>LIFT</v>
      </c>
      <c r="CH920" s="71" t="n">
        <f aca="false">IF(N(AC920)&gt;0,AC920,0)</f>
        <v>0</v>
      </c>
      <c r="CI920" s="65" t="n">
        <f aca="false">IF(ISNUMBER(AF920),1,0)</f>
        <v>0</v>
      </c>
      <c r="CJ920" s="62" t="n">
        <f aca="false">N(AF920)</f>
        <v>0</v>
      </c>
      <c r="CK920" s="62" t="n">
        <f aca="false">N(M920)+N(N920)</f>
        <v>2315</v>
      </c>
      <c r="CL920" s="62" t="n">
        <f aca="false">N(M920)</f>
        <v>315</v>
      </c>
      <c r="CM920" s="62" t="n">
        <f aca="false">N(N920)</f>
        <v>2000</v>
      </c>
      <c r="CN920" s="62" t="n">
        <f aca="false">ROUNDUP(H920/BZ920,0)</f>
        <v>1</v>
      </c>
      <c r="CO920" s="62" t="n">
        <f aca="false">ROUNDUP(CJ920/BZ920,0)</f>
        <v>0</v>
      </c>
      <c r="CP920" s="65" t="n">
        <f aca="false">IF(CA920=1,0,IFERROR(VLOOKUP(BY920,'Gebinde-Kategorie'!$A$5:$N$45,5,0)+0,0))</f>
        <v>11</v>
      </c>
      <c r="CQ920" s="65" t="n">
        <f aca="false">IFERROR(IF(OR(CF920=1,CF920=2,CF920=3),N(INDEX(Parameter!$I$5:$I$7,CF920)),0),0)</f>
        <v>0</v>
      </c>
      <c r="CR920" s="64" t="n">
        <f aca="false">IF(AND(Parameter!$B$21="Ja",ISNUMBER(W920),N(X920)&gt;0),IFERROR(N(INDEX(Parameter!$L$5:$L$7,W920))*INDEX(Parameter!$E$5:$E$7,W920)*X920/SUMIFS($X$7:$X$1843,$W$7:$W$1843,W920),0),0)</f>
        <v>0</v>
      </c>
      <c r="CS920" s="62" t="n">
        <f aca="false">IF(AND(OR(CG920="L1",CG920="L23",CG920="LIFT"),H920&gt;0),CC920*IF(CR920&gt;0,CR920*MAX(1,H920/X920),IF(CA920=1,CE920,IF(R920&gt;0,CN920/R920,0))/MAX(0.1,N(Parameter!$M$21))),"")</f>
        <v>5.96153846153846</v>
      </c>
      <c r="CT920" s="64" t="n">
        <f aca="false">IF(CS920="","",J920/H920)</f>
        <v>7.78705035971223</v>
      </c>
      <c r="CU920" s="62" t="n">
        <f aca="false">IF(CS920="","",H920*G920)</f>
        <v>13.9</v>
      </c>
      <c r="CV920" s="63" t="n">
        <f aca="false">IF(CS920="","",(CL920+ROUNDUP(CL920+MAX(CM920,2*(J920/MAX(0.1,N(Einkauf!$C$6))-CL920)),0))/2)</f>
        <v>1353</v>
      </c>
      <c r="CW920" s="62" t="n">
        <f aca="false">IF(CS920="","",MAX(0,H920-CV920)*G920)</f>
        <v>0</v>
      </c>
      <c r="CX920" s="62" t="n">
        <f aca="false">IF(CS920="","",CS920*MAX(0,1-CV920/H920))</f>
        <v>0</v>
      </c>
      <c r="CY920" s="64" t="n">
        <f aca="false">IF(CS920="","",PERCENTRANK($CS$7:$CS$1843,CS920)+PERCENTRANK($CU$7:$CU$1843,CU920)+1-PERCENTRANK($CT$7:$CT$1843,CT920))</f>
        <v>0.4305</v>
      </c>
      <c r="CZ920" s="72" t="n">
        <f aca="false">IF(CS920="","",CHOOSE(MATCH(Einkauf!$C$5,Parameter!$G$23:$G$27,0),CY920,CS920,CU920,-CT920,CW920)+ROW()/1000000000)</f>
        <v>0.43050092</v>
      </c>
    </row>
    <row r="921" customFormat="false" ht="15" hidden="false" customHeight="false" outlineLevel="0" collapsed="false">
      <c r="A921" s="60" t="s">
        <v>1764</v>
      </c>
      <c r="B921" s="60" t="s">
        <v>766</v>
      </c>
      <c r="C921" s="60" t="s">
        <v>206</v>
      </c>
      <c r="D921" s="60" t="s">
        <v>226</v>
      </c>
      <c r="E921" s="60" t="s">
        <v>227</v>
      </c>
      <c r="F921" s="60" t="s">
        <v>260</v>
      </c>
      <c r="G921" s="61" t="n">
        <v>39.78</v>
      </c>
      <c r="H921" s="62" t="n">
        <f aca="false">MAX(0,IF(AND(Parameter!$B$21="Ja",ISNUMBER(Y921)),Y921,IF(Parameter!$B$20="Jahresanfang 2025 + Export",BS921+BR921,BR921)))</f>
        <v>10</v>
      </c>
      <c r="I921" s="62" t="n">
        <f aca="false">H921*G921</f>
        <v>397.8</v>
      </c>
      <c r="J921" s="62" t="n">
        <f aca="false">BU921*Parameter!$B$18</f>
        <v>4</v>
      </c>
      <c r="K921" s="63" t="n">
        <v>8</v>
      </c>
      <c r="L921" s="64" t="n">
        <v>0.5</v>
      </c>
      <c r="M921" s="62" t="n">
        <v>0</v>
      </c>
      <c r="N921" s="62" t="n">
        <v>5</v>
      </c>
      <c r="O921" s="65" t="n">
        <v>17</v>
      </c>
      <c r="P921" s="60" t="s">
        <v>463</v>
      </c>
      <c r="Q921" s="62" t="n">
        <v>13</v>
      </c>
      <c r="R921" s="65" t="n">
        <f aca="false">IF(CA921=1,0,IFERROR(VLOOKUP(BY921,'Gebinde-Kategorie'!$A$5:$N$45,13,0)+0,0))</f>
        <v>104</v>
      </c>
      <c r="S921" s="66"/>
      <c r="T921" s="67"/>
      <c r="U921" s="67"/>
      <c r="V921" s="67"/>
      <c r="W921" s="60"/>
      <c r="X921" s="62"/>
      <c r="Y921" s="62"/>
      <c r="Z921" s="60" t="n">
        <v>3</v>
      </c>
      <c r="AA921" s="60" t="n">
        <f aca="false">IF(A921="","",IF(AND(Parameter!$B$21="Ja",ISNUMBER(W921)),W921,IF(AND(Parameter!$E$27="Ja",ISNUMBER(Z921),CD921&lt;&gt;"Nein"),Z921,IF(CD921="2+3",IF(ISNUMBER(SEARCH("grosser Artikel",BV921)),2,IFERROR(VLOOKUP(BY921,Parameter!$F$35:$G$64,2,0),2)),IF(OR(CD921="Nein",CD921=""),"-",CD921)))))</f>
        <v>3</v>
      </c>
      <c r="AB921" s="67"/>
      <c r="AC921" s="68"/>
      <c r="AD921" s="62" t="n">
        <f aca="false">AW921</f>
        <v>5</v>
      </c>
      <c r="AE921" s="62" t="n">
        <f aca="false">MAX(AW921,H921)</f>
        <v>10</v>
      </c>
      <c r="AF921" s="69"/>
      <c r="AG921" s="62" t="n">
        <f aca="false">IF(LEFT(Cockpit!$C$5,1)="A",H921,IF(Parameter!$E$30="MAX-Bestand",IF(CI921=1,CJ921,IF(LEFT(Cockpit!$C$5,1)="B",AM921,MAX(AM921,H921))),ROUNDUP(AK921,0)))</f>
        <v>10</v>
      </c>
      <c r="AH921" s="62" t="n">
        <f aca="false">IF(CA921=1,0,ROUNDUP(AG921/BZ921,0))</f>
        <v>1</v>
      </c>
      <c r="AI921" s="64" t="n">
        <f aca="false">IF(CR921&gt;0,CR921*MAX(1,AG921/X921),IF(CA921=1,IF(AG921&lt;=0,0,CE921*MAX(1,IF(H921&gt;0,AG921/H921,1))),IF(R921&gt;0,AH921/R921,0))/MAX(0.1,N(Parameter!$M$21)))</f>
        <v>0.00961538461538462</v>
      </c>
      <c r="AJ921" s="62" t="n">
        <f aca="false">AI921*CC921</f>
        <v>1.49038461538462</v>
      </c>
      <c r="AK921" s="63" t="n">
        <f aca="false">IF(LEFT(Cockpit!$C$5,1)="A",H921,IF(CI921=1,(CL921+CJ921)/2,IF(LEFT(Cockpit!$C$5,1)="B",(CL921+AM921)/2,MAX((CL921+AM921)/2,H921))))</f>
        <v>10</v>
      </c>
      <c r="AL921" s="62" t="n">
        <f aca="false">AK921*G921</f>
        <v>397.8</v>
      </c>
      <c r="AM921" s="62" t="n">
        <f aca="false">ROUNDUP(CL921+MAX(CM921,2*(J921/IF(CH921&gt;0,CH921,MAX(0.1,N(Cockpit!$C$6)))-CL921)),0)</f>
        <v>5</v>
      </c>
      <c r="AN921" s="63" t="n">
        <f aca="false">IF(AJ921&gt;0,J921/AJ921,-1)</f>
        <v>2.68387096774194</v>
      </c>
      <c r="AO921" s="63" t="n">
        <f aca="false">IF(AND(OR(CG921="L1",CG921="L23",CG921="LIFT"),AJ921&gt;0),SUMIFS($AJ$7:$AJ$1843,$CG$7:$CG$1843,CG921,$AN$7:$AN$1843,"&gt;"&amp;AN921)+SUMIFS($AJ$7:$AJ$1843,$CG$7:$CG$1843,CG921,$AN$7:$AN$1843,AN921,$BX$7:$BX$1843,"&lt;="&amp;BX921),"")</f>
        <v>5332.40018315018</v>
      </c>
      <c r="AP921" s="70" t="n">
        <f aca="false">IF(AO921="",0,MAX(0,MIN(1,(IF(CG921="L1",Parameter!$H$5,IF(CG921="L23",Parameter!$H$6+Parameter!$H$7,Parameter!$H$5+Parameter!$H$6+Parameter!$H$7))-(AO921-AJ921))/AJ921)))</f>
        <v>1</v>
      </c>
      <c r="AQ921" s="62" t="n">
        <f aca="false">IF(LEFT(Cockpit!$I$5,1)="A",H921,IF(Parameter!$E$30="MAX-Bestand",IF(CI921=1,CJ921,IF(LEFT(Cockpit!$I$5,1)="B",AW921,MAX(AW921,H921))),ROUNDUP(AU921,0)))</f>
        <v>10</v>
      </c>
      <c r="AR921" s="62" t="n">
        <f aca="false">IF(CA921=1,0,ROUNDUP(AQ921/BZ921,0))</f>
        <v>1</v>
      </c>
      <c r="AS921" s="64" t="n">
        <f aca="false">IF(CR921&gt;0,CR921*MAX(1,AQ921/X921),IF(CA921=1,IF(AQ921&lt;=0,0,CE921*MAX(1,IF(H921&gt;0,AQ921/H921,1))),IF(R921&gt;0,AR921/R921,0))/MAX(0.1,N(Parameter!$M$21)))</f>
        <v>0.00961538461538462</v>
      </c>
      <c r="AT921" s="62" t="n">
        <f aca="false">AS921*CC921</f>
        <v>1.49038461538462</v>
      </c>
      <c r="AU921" s="63" t="n">
        <f aca="false">IF(LEFT(Cockpit!$I$5,1)="A",H921,IF(CI921=1,(CL921+CJ921)/2,IF(LEFT(Cockpit!$I$5,1)="B",(CL921+AW921)/2,MAX((CL921+AW921)/2,H921))))</f>
        <v>10</v>
      </c>
      <c r="AV921" s="62" t="n">
        <f aca="false">AU921*G921</f>
        <v>397.8</v>
      </c>
      <c r="AW921" s="62" t="n">
        <f aca="false">ROUNDUP(CL921+MAX(CM921,2*(J921/IF(CH921&gt;0,CH921,MAX(0.1,N(Cockpit!$I$6)))-CL921)),0)</f>
        <v>5</v>
      </c>
      <c r="AX921" s="63" t="n">
        <f aca="false">IF(AT921&gt;0,J921/AT921,-1)</f>
        <v>2.68387096774194</v>
      </c>
      <c r="AY921" s="63" t="n">
        <f aca="false">IF(AND(OR(CG921="L1",CG921="L23",CG921="LIFT"),AT921&gt;0),SUMIFS($AT$7:$AT$1843,$CG$7:$CG$1843,CG921,$AX$7:$AX$1843,"&gt;"&amp;AX921)+SUMIFS($AT$7:$AT$1843,$CG$7:$CG$1843,CG921,$AX$7:$AX$1843,AX921,$BX$7:$BX$1843,"&lt;="&amp;BX921),"")</f>
        <v>6166.87820512821</v>
      </c>
      <c r="AZ921" s="70" t="n">
        <f aca="false">IF(AY921="",0,MAX(0,MIN(1,(IF(CG921="L1",Parameter!$H$5,IF(CG921="L23",Parameter!$H$6+Parameter!$H$7,Parameter!$H$5+Parameter!$H$6+Parameter!$H$7))-(AY921-AT921))/AT921)))</f>
        <v>1</v>
      </c>
      <c r="BA921" s="62" t="n">
        <f aca="false">IF(LEFT(Cockpit!$O$5,1)="A",H921,IF(Parameter!$E$30="MAX-Bestand",IF(CI921=1,CJ921,IF(LEFT(Cockpit!$O$5,1)="B",BG921,MAX(BG921,H921))),ROUNDUP(BE921,0)))</f>
        <v>3</v>
      </c>
      <c r="BB921" s="62" t="n">
        <f aca="false">IF(CA921=1,0,ROUNDUP(BA921/BZ921,0))</f>
        <v>1</v>
      </c>
      <c r="BC921" s="64" t="n">
        <f aca="false">IF(CR921&gt;0,CR921*MAX(1,BA921/X921),IF(CA921=1,IF(BA921&lt;=0,0,CE921*MAX(1,IF(H921&gt;0,BA921/H921,1))),IF(R921&gt;0,BB921/R921,0))/MAX(0.1,N(Parameter!$M$21)))</f>
        <v>0.00961538461538462</v>
      </c>
      <c r="BD921" s="62" t="n">
        <f aca="false">BC921*CC921</f>
        <v>1.49038461538462</v>
      </c>
      <c r="BE921" s="63" t="n">
        <f aca="false">IF(LEFT(Cockpit!$O$5,1)="A",H921,IF(CI921=1,(CL921+CJ921)/2,IF(LEFT(Cockpit!$O$5,1)="B",(CL921+BG921)/2,MAX((CL921+BG921)/2,H921))))</f>
        <v>2.5</v>
      </c>
      <c r="BF921" s="62" t="n">
        <f aca="false">BE921*G921</f>
        <v>99.45</v>
      </c>
      <c r="BG921" s="62" t="n">
        <f aca="false">ROUNDUP(CL921+MAX(CM921,2*(J921/IF(CH921&gt;0,CH921,MAX(0.1,N(Cockpit!$O$6)))-CL921)),0)</f>
        <v>5</v>
      </c>
      <c r="BH921" s="63" t="n">
        <f aca="false">IF(BD921&gt;0,J921/BD921,-1)</f>
        <v>2.68387096774194</v>
      </c>
      <c r="BI921" s="63" t="n">
        <f aca="false">IF(AND(OR(CG921="L1",CG921="L23",CG921="LIFT"),BD921&gt;0),SUMIFS($BD$7:$BD$1843,$CG$7:$CG$1843,CG921,$BH$7:$BH$1843,"&gt;"&amp;BH921)+SUMIFS($BD$7:$BD$1843,$CG$7:$CG$1843,CG921,$BH$7:$BH$1843,BH921,$BX$7:$BX$1843,"&lt;="&amp;BX921),"")</f>
        <v>5344.93269230769</v>
      </c>
      <c r="BJ921" s="70" t="n">
        <f aca="false">IF(BI921="",0,MAX(0,MIN(1,(IF(CG921="L1",Parameter!$H$5,IF(CG921="L23",Parameter!$H$6+Parameter!$H$7,Parameter!$H$5+Parameter!$H$6+Parameter!$H$7))-(BI921-BD921))/BD921)))</f>
        <v>1</v>
      </c>
      <c r="BK921" s="60" t="str">
        <f aca="false">IF(AJ921&lt;=0,"",IF(CG921="Aussen","Aussenlager",IF(CG921="-","Nicht im Lift",IF(AP921&gt;=1,"Lift",IF(AP921&lt;=0,"Aussenlager","teilweise")))))</f>
        <v>Lift</v>
      </c>
      <c r="BL921" s="60" t="str">
        <f aca="false">IF(AT921&lt;=0,"",IF(CG921="Aussen","Aussenlager",IF(CG921="-","Nicht im Lift",IF(AZ921&gt;=1,"Lift",IF(AZ921&lt;=0,"Aussenlager","teilweise")))))</f>
        <v>Lift</v>
      </c>
      <c r="BM921" s="60" t="str">
        <f aca="false">IF(BD921&lt;=0,"",IF(CG921="Aussen","Aussenlager",IF(CG921="-","Nicht im Lift",IF(BJ921&gt;=1,"Lift",IF(BJ921&lt;=0,"Aussenlager","teilweise")))))</f>
        <v>Lift</v>
      </c>
      <c r="BN921" s="60" t="str">
        <f aca="false">IF(A921="","",IF(BW921=1,"Neu; ","")&amp;IF(AND(BW921=0,BR921&lt;0),"negativer Bestand (Export "&amp;BR921&amp;"); ","")&amp;IF(J921&lt;=0,"Kein Verbrauch; ","")&amp;IF(CR921&gt;0,"Lift "&amp;W921&amp;" lt. Liftbericht (Fach "&amp;X921&amp;" Stk); ",IF(CB921=1,"Gebinde geschätzt ("&amp;T921&amp;"); ",IF(CA921=1,"Lose – Tablare geschätzt; ","")))&amp;IF(H921&gt;AW921,"Überbestand "&amp;ROUND(H921-AW921,0)&amp;" Stk / CHF "&amp;ROUND((H921-AW921)*G921,0)&amp;"; ","")&amp;IF(AND(CI921=1,CJ921&lt;CK921),"MAX &lt; MB+LG; ","")&amp;IF(AND(CQ921&gt;0,CP921*10&gt;CQ921),"zu hoch für Tablar; ","")&amp;IF(AND(BW921=0,OR(CI921=1,AB921&lt;&gt;"",U921&lt;&gt;"",V921&lt;&gt;"",AC921&lt;&gt;"")),"manuell übersteuert; ","")&amp;IF(AND(CA921=0,R921=0),"Gebinde unbekannt / Stellmass fehlt; ","")&amp;IF(AND(CA921=0,N(V921)&lt;=0,N(Q921)&lt;=0),"Menge pro Gebinde fehlt (Ist = 1 Gebinde); ","")&amp;BV921)</f>
        <v>Überbestand 5 Stk / CHF 199; </v>
      </c>
      <c r="BO921" s="60"/>
      <c r="BP921" s="60"/>
      <c r="BQ921" s="67"/>
      <c r="BR921" s="62" t="n">
        <v>0</v>
      </c>
      <c r="BS921" s="62" t="n">
        <v>10</v>
      </c>
      <c r="BT921" s="61" t="n">
        <v>-44.0000000000001</v>
      </c>
      <c r="BU921" s="62" t="n">
        <v>4</v>
      </c>
      <c r="BV921" s="60"/>
      <c r="BW921" s="65" t="n">
        <v>0</v>
      </c>
      <c r="BX921" s="65" t="n">
        <v>921</v>
      </c>
      <c r="BY921" s="60" t="str">
        <f aca="false">IF(U921&lt;&gt;"",UPPER(TRIM(U921)),IF(CB921=1,UPPER(VLOOKUP(T921,Parameter!$I$27:$K$29,2,0)),IF(P921="","LOSE",P921)))</f>
        <v>S32</v>
      </c>
      <c r="BZ921" s="62" t="n">
        <f aca="false">IF(BY921="LOSE",1,IF(N(V921)&gt;0,V921,IF(CB921=1,MAX(1,N(VLOOKUP(T921,Parameter!$I$27:$K$29,3,0)),H921,N(N921)),IF(N(Q921)&gt;0,Q921,MAX(1,H921)))))</f>
        <v>13</v>
      </c>
      <c r="CA921" s="65" t="n">
        <f aca="false">IF(BY921="LOSE",1,0)</f>
        <v>0</v>
      </c>
      <c r="CB921" s="65" t="n">
        <f aca="false">IF(AND(U921="",OR(P921="",P921="LOSE"),T921&lt;&gt;"",N(S921)&lt;=0,ISNUMBER(MATCH(T921,Parameter!$I$27:$I$29,0))),1,0)</f>
        <v>0</v>
      </c>
      <c r="CC921" s="65" t="n">
        <f aca="false">IF(CR921&gt;0,INDEX(Parameter!$H$5:$H$7,W921)/INDEX(Parameter!$E$5:$E$7,W921),IF(AND(CA921=0,N(IFERROR(VLOOKUP(BY921,'Gebinde-Kategorie'!$A$5:$N$45,14,0),0))&gt;0),VLOOKUP(BY921,'Gebinde-Kategorie'!$A$5:$N$45,14,0)*10+Parameter!$M$23,Parameter!$M$24))</f>
        <v>155</v>
      </c>
      <c r="CD921" s="60" t="str">
        <f aca="false">IF(AND(Parameter!$B$19="Ja",E921&lt;&gt;"",ISNUMBER(MATCH(E921,Parameter!$I$35:$I$52,0))),VLOOKUP(E921,Parameter!$I$35:$J$52,2,0),IFERROR(VLOOKUP(D921,Parameter!$A$35:$C$64,2,0),"Nein"))</f>
        <v>2+3</v>
      </c>
      <c r="CE921" s="64" t="n">
        <f aca="false">IF(CA921=0,0,IF(N(S921)&gt;0,S921,IFERROR(VLOOKUP(D921,Parameter!$A$35:$C$64,3,0)+0,0)))</f>
        <v>0</v>
      </c>
      <c r="CF921" s="60" t="n">
        <f aca="false">IF(AB921&lt;&gt;"",AB921,AA921)</f>
        <v>3</v>
      </c>
      <c r="CG921" s="60" t="str">
        <f aca="false">IF(OR(CF921=1,CF921=2,CF921=3),IF(Parameter!$E$27="Ja","LIFT",IF(CF921=1,"L1","L23")),IF(CF921="Aussen","Aussen","-"))</f>
        <v>LIFT</v>
      </c>
      <c r="CH921" s="71" t="n">
        <f aca="false">IF(N(AC921)&gt;0,AC921,0)</f>
        <v>0</v>
      </c>
      <c r="CI921" s="65" t="n">
        <f aca="false">IF(ISNUMBER(AF921),1,0)</f>
        <v>0</v>
      </c>
      <c r="CJ921" s="62" t="n">
        <f aca="false">N(AF921)</f>
        <v>0</v>
      </c>
      <c r="CK921" s="62" t="n">
        <f aca="false">N(M921)+N(N921)</f>
        <v>5</v>
      </c>
      <c r="CL921" s="62" t="n">
        <f aca="false">N(M921)</f>
        <v>0</v>
      </c>
      <c r="CM921" s="62" t="n">
        <f aca="false">N(N921)</f>
        <v>5</v>
      </c>
      <c r="CN921" s="62" t="n">
        <f aca="false">ROUNDUP(H921/BZ921,0)</f>
        <v>1</v>
      </c>
      <c r="CO921" s="62" t="n">
        <f aca="false">ROUNDUP(CJ921/BZ921,0)</f>
        <v>0</v>
      </c>
      <c r="CP921" s="65" t="n">
        <f aca="false">IF(CA921=1,0,IFERROR(VLOOKUP(BY921,'Gebinde-Kategorie'!$A$5:$N$45,5,0)+0,0))</f>
        <v>8</v>
      </c>
      <c r="CQ921" s="65" t="n">
        <f aca="false">IFERROR(IF(OR(CF921=1,CF921=2,CF921=3),N(INDEX(Parameter!$I$5:$I$7,CF921)),0),0)</f>
        <v>0</v>
      </c>
      <c r="CR921" s="64" t="n">
        <f aca="false">IF(AND(Parameter!$B$21="Ja",ISNUMBER(W921),N(X921)&gt;0),IFERROR(N(INDEX(Parameter!$L$5:$L$7,W921))*INDEX(Parameter!$E$5:$E$7,W921)*X921/SUMIFS($X$7:$X$1843,$W$7:$W$1843,W921),0),0)</f>
        <v>0</v>
      </c>
      <c r="CS921" s="62" t="n">
        <f aca="false">IF(AND(OR(CG921="L1",CG921="L23",CG921="LIFT"),H921&gt;0),CC921*IF(CR921&gt;0,CR921*MAX(1,H921/X921),IF(CA921=1,CE921,IF(R921&gt;0,CN921/R921,0))/MAX(0.1,N(Parameter!$M$21))),"")</f>
        <v>1.49038461538462</v>
      </c>
      <c r="CT921" s="64" t="n">
        <f aca="false">IF(CS921="","",J921/H921)</f>
        <v>0.4</v>
      </c>
      <c r="CU921" s="62" t="n">
        <f aca="false">IF(CS921="","",H921*G921)</f>
        <v>397.8</v>
      </c>
      <c r="CV921" s="63" t="n">
        <f aca="false">IF(CS921="","",(CL921+ROUNDUP(CL921+MAX(CM921,2*(J921/MAX(0.1,N(Einkauf!$C$6))-CL921)),0))/2)</f>
        <v>2.5</v>
      </c>
      <c r="CW921" s="62" t="n">
        <f aca="false">IF(CS921="","",MAX(0,H921-CV921)*G921)</f>
        <v>298.35</v>
      </c>
      <c r="CX921" s="62" t="n">
        <f aca="false">IF(CS921="","",CS921*MAX(0,1-CV921/H921))</f>
        <v>1.11778846153846</v>
      </c>
      <c r="CY921" s="64" t="n">
        <f aca="false">IF(CS921="","",PERCENTRANK($CS$7:$CS$1843,CS921)+PERCENTRANK($CU$7:$CU$1843,CU921)+1-PERCENTRANK($CT$7:$CT$1843,CT921))</f>
        <v>1.07</v>
      </c>
      <c r="CZ921" s="72" t="n">
        <f aca="false">IF(CS921="","",CHOOSE(MATCH(Einkauf!$C$5,Parameter!$G$23:$G$27,0),CY921,CS921,CU921,-CT921,CW921)+ROW()/1000000000)</f>
        <v>1.070000921</v>
      </c>
    </row>
    <row r="922" customFormat="false" ht="15" hidden="false" customHeight="false" outlineLevel="0" collapsed="false">
      <c r="A922" s="60" t="s">
        <v>1765</v>
      </c>
      <c r="B922" s="60" t="s">
        <v>1596</v>
      </c>
      <c r="C922" s="60" t="s">
        <v>206</v>
      </c>
      <c r="D922" s="60" t="s">
        <v>215</v>
      </c>
      <c r="E922" s="60" t="s">
        <v>507</v>
      </c>
      <c r="F922" s="60" t="s">
        <v>260</v>
      </c>
      <c r="G922" s="61" t="n">
        <v>0.75</v>
      </c>
      <c r="H922" s="62" t="n">
        <f aca="false">MAX(0,IF(AND(Parameter!$B$21="Ja",ISNUMBER(Y922)),Y922,IF(Parameter!$B$20="Jahresanfang 2025 + Export",BS922+BR922,BR922)))</f>
        <v>71</v>
      </c>
      <c r="I922" s="62" t="n">
        <f aca="false">H922*G922</f>
        <v>53.25</v>
      </c>
      <c r="J922" s="62" t="n">
        <f aca="false">BU922*Parameter!$B$18</f>
        <v>463</v>
      </c>
      <c r="K922" s="63" t="n">
        <v>115.5</v>
      </c>
      <c r="L922" s="64" t="n">
        <v>4.00865800865801</v>
      </c>
      <c r="M922" s="62" t="n">
        <v>27</v>
      </c>
      <c r="N922" s="62" t="n">
        <v>100</v>
      </c>
      <c r="O922" s="65" t="n">
        <v>21</v>
      </c>
      <c r="P922" s="60" t="s">
        <v>210</v>
      </c>
      <c r="Q922" s="62"/>
      <c r="R922" s="65" t="n">
        <f aca="false">IF(CA922=1,0,IFERROR(VLOOKUP(BY922,'Gebinde-Kategorie'!$A$5:$N$45,13,0)+0,0))</f>
        <v>4</v>
      </c>
      <c r="S922" s="66"/>
      <c r="T922" s="67" t="s">
        <v>231</v>
      </c>
      <c r="U922" s="67"/>
      <c r="V922" s="67"/>
      <c r="W922" s="60"/>
      <c r="X922" s="62"/>
      <c r="Y922" s="62"/>
      <c r="Z922" s="60"/>
      <c r="AA922" s="60" t="str">
        <f aca="false">IF(A922="","",IF(AND(Parameter!$B$21="Ja",ISNUMBER(W922)),W922,IF(AND(Parameter!$E$27="Ja",ISNUMBER(Z922),CD922&lt;&gt;"Nein"),Z922,IF(CD922="2+3",IF(ISNUMBER(SEARCH("grosser Artikel",BV922)),2,IFERROR(VLOOKUP(BY922,Parameter!$F$35:$G$64,2,0),2)),IF(OR(CD922="Nein",CD922=""),"-",CD922)))))</f>
        <v>-</v>
      </c>
      <c r="AB922" s="67"/>
      <c r="AC922" s="68"/>
      <c r="AD922" s="62" t="n">
        <f aca="false">AW922</f>
        <v>282</v>
      </c>
      <c r="AE922" s="62" t="n">
        <f aca="false">MAX(AW922,H922)</f>
        <v>282</v>
      </c>
      <c r="AF922" s="69"/>
      <c r="AG922" s="62" t="n">
        <f aca="false">IF(LEFT(Cockpit!$C$5,1)="A",H922,IF(Parameter!$E$30="MAX-Bestand",IF(CI922=1,CJ922,IF(LEFT(Cockpit!$C$5,1)="B",AM922,MAX(AM922,H922))),ROUNDUP(AK922,0)))</f>
        <v>71</v>
      </c>
      <c r="AH922" s="62" t="n">
        <f aca="false">IF(CA922=1,0,ROUNDUP(AG922/BZ922,0))</f>
        <v>1</v>
      </c>
      <c r="AI922" s="64" t="n">
        <f aca="false">IF(CR922&gt;0,CR922*MAX(1,AG922/X922),IF(CA922=1,IF(AG922&lt;=0,0,CE922*MAX(1,IF(H922&gt;0,AG922/H922,1))),IF(R922&gt;0,AH922/R922,0))/MAX(0.1,N(Parameter!$M$21)))</f>
        <v>0.25</v>
      </c>
      <c r="AJ922" s="62" t="n">
        <f aca="false">AI922*CC922</f>
        <v>58.75</v>
      </c>
      <c r="AK922" s="63" t="n">
        <f aca="false">IF(LEFT(Cockpit!$C$5,1)="A",H922,IF(CI922=1,(CL922+CJ922)/2,IF(LEFT(Cockpit!$C$5,1)="B",(CL922+AM922)/2,MAX((CL922+AM922)/2,H922))))</f>
        <v>71</v>
      </c>
      <c r="AL922" s="62" t="n">
        <f aca="false">AK922*G922</f>
        <v>53.25</v>
      </c>
      <c r="AM922" s="62" t="n">
        <f aca="false">ROUNDUP(CL922+MAX(CM922,2*(J922/IF(CH922&gt;0,CH922,MAX(0.1,N(Cockpit!$C$6)))-CL922)),0)</f>
        <v>282</v>
      </c>
      <c r="AN922" s="63" t="n">
        <f aca="false">IF(AJ922&gt;0,J922/AJ922,-1)</f>
        <v>7.88085106382979</v>
      </c>
      <c r="AO922" s="63" t="str">
        <f aca="false">IF(AND(OR(CG922="L1",CG922="L23",CG922="LIFT"),AJ922&gt;0),SUMIFS($AJ$7:$AJ$1843,$CG$7:$CG$1843,CG922,$AN$7:$AN$1843,"&gt;"&amp;AN922)+SUMIFS($AJ$7:$AJ$1843,$CG$7:$CG$1843,CG922,$AN$7:$AN$1843,AN922,$BX$7:$BX$1843,"&lt;="&amp;BX922),"")</f>
        <v/>
      </c>
      <c r="AP922" s="70" t="n">
        <f aca="false">IF(AO922="",0,MAX(0,MIN(1,(IF(CG922="L1",Parameter!$H$5,IF(CG922="L23",Parameter!$H$6+Parameter!$H$7,Parameter!$H$5+Parameter!$H$6+Parameter!$H$7))-(AO922-AJ922))/AJ922)))</f>
        <v>0</v>
      </c>
      <c r="AQ922" s="62" t="n">
        <f aca="false">IF(LEFT(Cockpit!$I$5,1)="A",H922,IF(Parameter!$E$30="MAX-Bestand",IF(CI922=1,CJ922,IF(LEFT(Cockpit!$I$5,1)="B",AW922,MAX(AW922,H922))),ROUNDUP(AU922,0)))</f>
        <v>155</v>
      </c>
      <c r="AR922" s="62" t="n">
        <f aca="false">IF(CA922=1,0,ROUNDUP(AQ922/BZ922,0))</f>
        <v>2</v>
      </c>
      <c r="AS922" s="64" t="n">
        <f aca="false">IF(CR922&gt;0,CR922*MAX(1,AQ922/X922),IF(CA922=1,IF(AQ922&lt;=0,0,CE922*MAX(1,IF(H922&gt;0,AQ922/H922,1))),IF(R922&gt;0,AR922/R922,0))/MAX(0.1,N(Parameter!$M$21)))</f>
        <v>0.5</v>
      </c>
      <c r="AT922" s="62" t="n">
        <f aca="false">AS922*CC922</f>
        <v>117.5</v>
      </c>
      <c r="AU922" s="63" t="n">
        <f aca="false">IF(LEFT(Cockpit!$I$5,1)="A",H922,IF(CI922=1,(CL922+CJ922)/2,IF(LEFT(Cockpit!$I$5,1)="B",(CL922+AW922)/2,MAX((CL922+AW922)/2,H922))))</f>
        <v>154.5</v>
      </c>
      <c r="AV922" s="62" t="n">
        <f aca="false">AU922*G922</f>
        <v>115.875</v>
      </c>
      <c r="AW922" s="62" t="n">
        <f aca="false">ROUNDUP(CL922+MAX(CM922,2*(J922/IF(CH922&gt;0,CH922,MAX(0.1,N(Cockpit!$I$6)))-CL922)),0)</f>
        <v>282</v>
      </c>
      <c r="AX922" s="63" t="n">
        <f aca="false">IF(AT922&gt;0,J922/AT922,-1)</f>
        <v>3.94042553191489</v>
      </c>
      <c r="AY922" s="63" t="str">
        <f aca="false">IF(AND(OR(CG922="L1",CG922="L23",CG922="LIFT"),AT922&gt;0),SUMIFS($AT$7:$AT$1843,$CG$7:$CG$1843,CG922,$AX$7:$AX$1843,"&gt;"&amp;AX922)+SUMIFS($AT$7:$AT$1843,$CG$7:$CG$1843,CG922,$AX$7:$AX$1843,AX922,$BX$7:$BX$1843,"&lt;="&amp;BX922),"")</f>
        <v/>
      </c>
      <c r="AZ922" s="70" t="n">
        <f aca="false">IF(AY922="",0,MAX(0,MIN(1,(IF(CG922="L1",Parameter!$H$5,IF(CG922="L23",Parameter!$H$6+Parameter!$H$7,Parameter!$H$5+Parameter!$H$6+Parameter!$H$7))-(AY922-AT922))/AT922)))</f>
        <v>0</v>
      </c>
      <c r="BA922" s="62" t="n">
        <f aca="false">IF(LEFT(Cockpit!$O$5,1)="A",H922,IF(Parameter!$E$30="MAX-Bestand",IF(CI922=1,CJ922,IF(LEFT(Cockpit!$O$5,1)="B",BG922,MAX(BG922,H922))),ROUNDUP(BE922,0)))</f>
        <v>116</v>
      </c>
      <c r="BB922" s="62" t="n">
        <f aca="false">IF(CA922=1,0,ROUNDUP(BA922/BZ922,0))</f>
        <v>2</v>
      </c>
      <c r="BC922" s="64" t="n">
        <f aca="false">IF(CR922&gt;0,CR922*MAX(1,BA922/X922),IF(CA922=1,IF(BA922&lt;=0,0,CE922*MAX(1,IF(H922&gt;0,BA922/H922,1))),IF(R922&gt;0,BB922/R922,0))/MAX(0.1,N(Parameter!$M$21)))</f>
        <v>0.5</v>
      </c>
      <c r="BD922" s="62" t="n">
        <f aca="false">BC922*CC922</f>
        <v>117.5</v>
      </c>
      <c r="BE922" s="63" t="n">
        <f aca="false">IF(LEFT(Cockpit!$O$5,1)="A",H922,IF(CI922=1,(CL922+CJ922)/2,IF(LEFT(Cockpit!$O$5,1)="B",(CL922+BG922)/2,MAX((CL922+BG922)/2,H922))))</f>
        <v>116</v>
      </c>
      <c r="BF922" s="62" t="n">
        <f aca="false">BE922*G922</f>
        <v>87</v>
      </c>
      <c r="BG922" s="62" t="n">
        <f aca="false">ROUNDUP(CL922+MAX(CM922,2*(J922/IF(CH922&gt;0,CH922,MAX(0.1,N(Cockpit!$O$6)))-CL922)),0)</f>
        <v>205</v>
      </c>
      <c r="BH922" s="63" t="n">
        <f aca="false">IF(BD922&gt;0,J922/BD922,-1)</f>
        <v>3.94042553191489</v>
      </c>
      <c r="BI922" s="63" t="str">
        <f aca="false">IF(AND(OR(CG922="L1",CG922="L23",CG922="LIFT"),BD922&gt;0),SUMIFS($BD$7:$BD$1843,$CG$7:$CG$1843,CG922,$BH$7:$BH$1843,"&gt;"&amp;BH922)+SUMIFS($BD$7:$BD$1843,$CG$7:$CG$1843,CG922,$BH$7:$BH$1843,BH922,$BX$7:$BX$1843,"&lt;="&amp;BX922),"")</f>
        <v/>
      </c>
      <c r="BJ922" s="70" t="n">
        <f aca="false">IF(BI922="",0,MAX(0,MIN(1,(IF(CG922="L1",Parameter!$H$5,IF(CG922="L23",Parameter!$H$6+Parameter!$H$7,Parameter!$H$5+Parameter!$H$6+Parameter!$H$7))-(BI922-BD922))/BD922)))</f>
        <v>0</v>
      </c>
      <c r="BK922" s="60" t="str">
        <f aca="false">IF(AJ922&lt;=0,"",IF(CG922="Aussen","Aussenlager",IF(CG922="-","Nicht im Lift",IF(AP922&gt;=1,"Lift",IF(AP922&lt;=0,"Aussenlager","teilweise")))))</f>
        <v>Nicht im Lift</v>
      </c>
      <c r="BL922" s="60" t="str">
        <f aca="false">IF(AT922&lt;=0,"",IF(CG922="Aussen","Aussenlager",IF(CG922="-","Nicht im Lift",IF(AZ922&gt;=1,"Lift",IF(AZ922&lt;=0,"Aussenlager","teilweise")))))</f>
        <v>Nicht im Lift</v>
      </c>
      <c r="BM922" s="60" t="str">
        <f aca="false">IF(BD922&lt;=0,"",IF(CG922="Aussen","Aussenlager",IF(CG922="-","Nicht im Lift",IF(BJ922&gt;=1,"Lift",IF(BJ922&lt;=0,"Aussenlager","teilweise")))))</f>
        <v>Nicht im Lift</v>
      </c>
      <c r="BN922" s="60" t="str">
        <f aca="false">IF(A922="","",IF(BW922=1,"Neu; ","")&amp;IF(AND(BW922=0,BR922&lt;0),"negativer Bestand (Export "&amp;BR922&amp;"); ","")&amp;IF(J922&lt;=0,"Kein Verbrauch; ","")&amp;IF(CR922&gt;0,"Lift "&amp;W922&amp;" lt. Liftbericht (Fach "&amp;X922&amp;" Stk); ",IF(CB922=1,"Gebinde geschätzt ("&amp;T922&amp;"); ",IF(CA922=1,"Lose – Tablare geschätzt; ","")))&amp;IF(H922&gt;AW922,"Überbestand "&amp;ROUND(H922-AW922,0)&amp;" Stk / CHF "&amp;ROUND((H922-AW922)*G922,0)&amp;"; ","")&amp;IF(AND(CI922=1,CJ922&lt;CK922),"MAX &lt; MB+LG; ","")&amp;IF(AND(CQ922&gt;0,CP922*10&gt;CQ922),"zu hoch für Tablar; ","")&amp;IF(AND(BW922=0,OR(CI922=1,AB922&lt;&gt;"",U922&lt;&gt;"",V922&lt;&gt;"",AC922&lt;&gt;"")),"manuell übersteuert; ","")&amp;IF(AND(CA922=0,R922=0),"Gebinde unbekannt / Stellmass fehlt; ","")&amp;IF(AND(CA922=0,N(V922)&lt;=0,N(Q922)&lt;=0),"Menge pro Gebinde fehlt (Ist = 1 Gebinde); ","")&amp;BV922)</f>
        <v>negativer Bestand (Export -86); Gebinde geschätzt (Gross); Menge pro Gebinde fehlt (Ist = 1 Gebinde); </v>
      </c>
      <c r="BO922" s="60"/>
      <c r="BP922" s="60"/>
      <c r="BQ922" s="67"/>
      <c r="BR922" s="62" t="n">
        <v>-86</v>
      </c>
      <c r="BS922" s="62" t="n">
        <v>157</v>
      </c>
      <c r="BT922" s="61" t="n">
        <v>-44.09</v>
      </c>
      <c r="BU922" s="62" t="n">
        <v>463</v>
      </c>
      <c r="BV922" s="60"/>
      <c r="BW922" s="65" t="n">
        <v>0</v>
      </c>
      <c r="BX922" s="65" t="n">
        <v>922</v>
      </c>
      <c r="BY922" s="60" t="str">
        <f aca="false">IF(U922&lt;&gt;"",UPPER(TRIM(U922)),IF(CB922=1,UPPER(VLOOKUP(T922,Parameter!$I$27:$K$29,2,0)),IF(P922="","LOSE",P922)))</f>
        <v>S81</v>
      </c>
      <c r="BZ922" s="62" t="n">
        <f aca="false">IF(BY922="LOSE",1,IF(N(V922)&gt;0,V922,IF(CB922=1,MAX(1,N(VLOOKUP(T922,Parameter!$I$27:$K$29,3,0)),H922,N(N922)),IF(N(Q922)&gt;0,Q922,MAX(1,H922)))))</f>
        <v>100</v>
      </c>
      <c r="CA922" s="65" t="n">
        <f aca="false">IF(BY922="LOSE",1,0)</f>
        <v>0</v>
      </c>
      <c r="CB922" s="65" t="n">
        <f aca="false">IF(AND(U922="",OR(P922="",P922="LOSE"),T922&lt;&gt;"",N(S922)&lt;=0,ISNUMBER(MATCH(T922,Parameter!$I$27:$I$29,0))),1,0)</f>
        <v>1</v>
      </c>
      <c r="CC922" s="65" t="n">
        <f aca="false">IF(CR922&gt;0,INDEX(Parameter!$H$5:$H$7,W922)/INDEX(Parameter!$E$5:$E$7,W922),IF(AND(CA922=0,N(IFERROR(VLOOKUP(BY922,'Gebinde-Kategorie'!$A$5:$N$45,14,0),0))&gt;0),VLOOKUP(BY922,'Gebinde-Kategorie'!$A$5:$N$45,14,0)*10+Parameter!$M$23,Parameter!$M$24))</f>
        <v>235</v>
      </c>
      <c r="CD922" s="60" t="str">
        <f aca="false">IF(AND(Parameter!$B$19="Ja",E922&lt;&gt;"",ISNUMBER(MATCH(E922,Parameter!$I$35:$I$52,0))),VLOOKUP(E922,Parameter!$I$35:$J$52,2,0),IFERROR(VLOOKUP(D922,Parameter!$A$35:$C$64,2,0),"Nein"))</f>
        <v>Nein</v>
      </c>
      <c r="CE922" s="64" t="n">
        <f aca="false">IF(CA922=0,0,IF(N(S922)&gt;0,S922,IFERROR(VLOOKUP(D922,Parameter!$A$35:$C$64,3,0)+0,0)))</f>
        <v>0</v>
      </c>
      <c r="CF922" s="60" t="str">
        <f aca="false">IF(AB922&lt;&gt;"",AB922,AA922)</f>
        <v>-</v>
      </c>
      <c r="CG922" s="60" t="str">
        <f aca="false">IF(OR(CF922=1,CF922=2,CF922=3),IF(Parameter!$E$27="Ja","LIFT",IF(CF922=1,"L1","L23")),IF(CF922="Aussen","Aussen","-"))</f>
        <v>-</v>
      </c>
      <c r="CH922" s="71" t="n">
        <f aca="false">IF(N(AC922)&gt;0,AC922,0)</f>
        <v>0</v>
      </c>
      <c r="CI922" s="65" t="n">
        <f aca="false">IF(ISNUMBER(AF922),1,0)</f>
        <v>0</v>
      </c>
      <c r="CJ922" s="62" t="n">
        <f aca="false">N(AF922)</f>
        <v>0</v>
      </c>
      <c r="CK922" s="62" t="n">
        <f aca="false">N(M922)+N(N922)</f>
        <v>127</v>
      </c>
      <c r="CL922" s="62" t="n">
        <f aca="false">N(M922)</f>
        <v>27</v>
      </c>
      <c r="CM922" s="62" t="n">
        <f aca="false">N(N922)</f>
        <v>100</v>
      </c>
      <c r="CN922" s="62" t="n">
        <f aca="false">ROUNDUP(H922/BZ922,0)</f>
        <v>1</v>
      </c>
      <c r="CO922" s="62" t="n">
        <f aca="false">ROUNDUP(CJ922/BZ922,0)</f>
        <v>0</v>
      </c>
      <c r="CP922" s="65" t="n">
        <f aca="false">IF(CA922=1,0,IFERROR(VLOOKUP(BY922,'Gebinde-Kategorie'!$A$5:$N$45,5,0)+0,0))</f>
        <v>20</v>
      </c>
      <c r="CQ922" s="65" t="n">
        <f aca="false">IFERROR(IF(OR(CF922=1,CF922=2,CF922=3),N(INDEX(Parameter!$I$5:$I$7,CF922)),0),0)</f>
        <v>0</v>
      </c>
      <c r="CR922" s="64" t="n">
        <f aca="false">IF(AND(Parameter!$B$21="Ja",ISNUMBER(W922),N(X922)&gt;0),IFERROR(N(INDEX(Parameter!$L$5:$L$7,W922))*INDEX(Parameter!$E$5:$E$7,W922)*X922/SUMIFS($X$7:$X$1843,$W$7:$W$1843,W922),0),0)</f>
        <v>0</v>
      </c>
      <c r="CS922" s="62" t="str">
        <f aca="false">IF(AND(OR(CG922="L1",CG922="L23",CG922="LIFT"),H922&gt;0),CC922*IF(CR922&gt;0,CR922*MAX(1,H922/X922),IF(CA922=1,CE922,IF(R922&gt;0,CN922/R922,0))/MAX(0.1,N(Parameter!$M$21))),"")</f>
        <v/>
      </c>
      <c r="CT922" s="64" t="str">
        <f aca="false">IF(CS922="","",J922/H922)</f>
        <v/>
      </c>
      <c r="CU922" s="62" t="str">
        <f aca="false">IF(CS922="","",H922*G922)</f>
        <v/>
      </c>
      <c r="CV922" s="63" t="str">
        <f aca="false">IF(CS922="","",(CL922+ROUNDUP(CL922+MAX(CM922,2*(J922/MAX(0.1,N(Einkauf!$C$6))-CL922)),0))/2)</f>
        <v/>
      </c>
      <c r="CW922" s="62" t="str">
        <f aca="false">IF(CS922="","",MAX(0,H922-CV922)*G922)</f>
        <v/>
      </c>
      <c r="CX922" s="62" t="str">
        <f aca="false">IF(CS922="","",CS922*MAX(0,1-CV922/H922))</f>
        <v/>
      </c>
      <c r="CY922" s="64" t="str">
        <f aca="false">IF(CS922="","",PERCENTRANK($CS$7:$CS$1843,CS922)+PERCENTRANK($CU$7:$CU$1843,CU922)+1-PERCENTRANK($CT$7:$CT$1843,CT922))</f>
        <v/>
      </c>
      <c r="CZ922" s="72" t="str">
        <f aca="false">IF(CS922="","",CHOOSE(MATCH(Einkauf!$C$5,Parameter!$G$23:$G$27,0),CY922,CS922,CU922,-CT922,CW922)+ROW()/1000000000)</f>
        <v/>
      </c>
    </row>
    <row r="923" customFormat="false" ht="15" hidden="false" customHeight="false" outlineLevel="0" collapsed="false">
      <c r="A923" s="60" t="s">
        <v>1766</v>
      </c>
      <c r="B923" s="60" t="s">
        <v>1767</v>
      </c>
      <c r="C923" s="60" t="s">
        <v>206</v>
      </c>
      <c r="D923" s="60" t="s">
        <v>215</v>
      </c>
      <c r="E923" s="60" t="s">
        <v>227</v>
      </c>
      <c r="F923" s="60" t="s">
        <v>260</v>
      </c>
      <c r="G923" s="61" t="n">
        <v>2.29</v>
      </c>
      <c r="H923" s="62" t="n">
        <f aca="false">MAX(0,IF(AND(Parameter!$B$21="Ja",ISNUMBER(Y923)),Y923,IF(Parameter!$B$20="Jahresanfang 2025 + Export",BS923+BR923,BR923)))</f>
        <v>870</v>
      </c>
      <c r="I923" s="62" t="n">
        <f aca="false">H923*G923</f>
        <v>1992.3</v>
      </c>
      <c r="J923" s="62" t="n">
        <f aca="false">BU923*Parameter!$B$18</f>
        <v>20</v>
      </c>
      <c r="K923" s="63" t="n">
        <v>880</v>
      </c>
      <c r="L923" s="64" t="n">
        <v>0.0227272727272727</v>
      </c>
      <c r="M923" s="62" t="n">
        <v>1</v>
      </c>
      <c r="N923" s="62" t="n">
        <v>20</v>
      </c>
      <c r="O923" s="65" t="n">
        <v>21</v>
      </c>
      <c r="P923" s="60" t="s">
        <v>210</v>
      </c>
      <c r="Q923" s="62"/>
      <c r="R923" s="65" t="n">
        <f aca="false">IF(CA923=1,0,IFERROR(VLOOKUP(BY923,'Gebinde-Kategorie'!$A$5:$N$45,13,0)+0,0))</f>
        <v>12</v>
      </c>
      <c r="S923" s="66"/>
      <c r="T923" s="67" t="s">
        <v>221</v>
      </c>
      <c r="U923" s="67"/>
      <c r="V923" s="67"/>
      <c r="W923" s="60"/>
      <c r="X923" s="62"/>
      <c r="Y923" s="62"/>
      <c r="Z923" s="60" t="n">
        <v>3</v>
      </c>
      <c r="AA923" s="60" t="n">
        <f aca="false">IF(A923="","",IF(AND(Parameter!$B$21="Ja",ISNUMBER(W923)),W923,IF(AND(Parameter!$E$27="Ja",ISNUMBER(Z923),CD923&lt;&gt;"Nein"),Z923,IF(CD923="2+3",IF(ISNUMBER(SEARCH("grosser Artikel",BV923)),2,IFERROR(VLOOKUP(BY923,Parameter!$F$35:$G$64,2,0),2)),IF(OR(CD923="Nein",CD923=""),"-",CD923)))))</f>
        <v>3</v>
      </c>
      <c r="AB923" s="67"/>
      <c r="AC923" s="68"/>
      <c r="AD923" s="62" t="n">
        <f aca="false">AW923</f>
        <v>21</v>
      </c>
      <c r="AE923" s="62" t="n">
        <f aca="false">MAX(AW923,H923)</f>
        <v>870</v>
      </c>
      <c r="AF923" s="69"/>
      <c r="AG923" s="62" t="n">
        <f aca="false">IF(LEFT(Cockpit!$C$5,1)="A",H923,IF(Parameter!$E$30="MAX-Bestand",IF(CI923=1,CJ923,IF(LEFT(Cockpit!$C$5,1)="B",AM923,MAX(AM923,H923))),ROUNDUP(AK923,0)))</f>
        <v>870</v>
      </c>
      <c r="AH923" s="62" t="n">
        <f aca="false">IF(CA923=1,0,ROUNDUP(AG923/BZ923,0))</f>
        <v>1</v>
      </c>
      <c r="AI923" s="64" t="n">
        <f aca="false">IF(CR923&gt;0,CR923*MAX(1,AG923/X923),IF(CA923=1,IF(AG923&lt;=0,0,CE923*MAX(1,IF(H923&gt;0,AG923/H923,1))),IF(R923&gt;0,AH923/R923,0))/MAX(0.1,N(Parameter!$M$21)))</f>
        <v>0.0833333333333333</v>
      </c>
      <c r="AJ923" s="62" t="n">
        <f aca="false">AI923*CC923</f>
        <v>12.0833333333333</v>
      </c>
      <c r="AK923" s="63" t="n">
        <f aca="false">IF(LEFT(Cockpit!$C$5,1)="A",H923,IF(CI923=1,(CL923+CJ923)/2,IF(LEFT(Cockpit!$C$5,1)="B",(CL923+AM923)/2,MAX((CL923+AM923)/2,H923))))</f>
        <v>870</v>
      </c>
      <c r="AL923" s="62" t="n">
        <f aca="false">AK923*G923</f>
        <v>1992.3</v>
      </c>
      <c r="AM923" s="62" t="n">
        <f aca="false">ROUNDUP(CL923+MAX(CM923,2*(J923/IF(CH923&gt;0,CH923,MAX(0.1,N(Cockpit!$C$6)))-CL923)),0)</f>
        <v>21</v>
      </c>
      <c r="AN923" s="63" t="n">
        <f aca="false">IF(AJ923&gt;0,J923/AJ923,-1)</f>
        <v>1.6551724137931</v>
      </c>
      <c r="AO923" s="63" t="n">
        <f aca="false">IF(AND(OR(CG923="L1",CG923="L23",CG923="LIFT"),AJ923&gt;0),SUMIFS($AJ$7:$AJ$1843,$CG$7:$CG$1843,CG923,$AN$7:$AN$1843,"&gt;"&amp;AN923)+SUMIFS($AJ$7:$AJ$1843,$CG$7:$CG$1843,CG923,$AN$7:$AN$1843,AN923,$BX$7:$BX$1843,"&lt;="&amp;BX923),"")</f>
        <v>6128.7760989011</v>
      </c>
      <c r="AP923" s="70" t="n">
        <f aca="false">IF(AO923="",0,MAX(0,MIN(1,(IF(CG923="L1",Parameter!$H$5,IF(CG923="L23",Parameter!$H$6+Parameter!$H$7,Parameter!$H$5+Parameter!$H$6+Parameter!$H$7))-(AO923-AJ923))/AJ923)))</f>
        <v>1</v>
      </c>
      <c r="AQ923" s="62" t="n">
        <f aca="false">IF(LEFT(Cockpit!$I$5,1)="A",H923,IF(Parameter!$E$30="MAX-Bestand",IF(CI923=1,CJ923,IF(LEFT(Cockpit!$I$5,1)="B",AW923,MAX(AW923,H923))),ROUNDUP(AU923,0)))</f>
        <v>870</v>
      </c>
      <c r="AR923" s="62" t="n">
        <f aca="false">IF(CA923=1,0,ROUNDUP(AQ923/BZ923,0))</f>
        <v>1</v>
      </c>
      <c r="AS923" s="64" t="n">
        <f aca="false">IF(CR923&gt;0,CR923*MAX(1,AQ923/X923),IF(CA923=1,IF(AQ923&lt;=0,0,CE923*MAX(1,IF(H923&gt;0,AQ923/H923,1))),IF(R923&gt;0,AR923/R923,0))/MAX(0.1,N(Parameter!$M$21)))</f>
        <v>0.0833333333333333</v>
      </c>
      <c r="AT923" s="62" t="n">
        <f aca="false">AS923*CC923</f>
        <v>12.0833333333333</v>
      </c>
      <c r="AU923" s="63" t="n">
        <f aca="false">IF(LEFT(Cockpit!$I$5,1)="A",H923,IF(CI923=1,(CL923+CJ923)/2,IF(LEFT(Cockpit!$I$5,1)="B",(CL923+AW923)/2,MAX((CL923+AW923)/2,H923))))</f>
        <v>870</v>
      </c>
      <c r="AV923" s="62" t="n">
        <f aca="false">AU923*G923</f>
        <v>1992.3</v>
      </c>
      <c r="AW923" s="62" t="n">
        <f aca="false">ROUNDUP(CL923+MAX(CM923,2*(J923/IF(CH923&gt;0,CH923,MAX(0.1,N(Cockpit!$I$6)))-CL923)),0)</f>
        <v>21</v>
      </c>
      <c r="AX923" s="63" t="n">
        <f aca="false">IF(AT923&gt;0,J923/AT923,-1)</f>
        <v>1.6551724137931</v>
      </c>
      <c r="AY923" s="63" t="n">
        <f aca="false">IF(AND(OR(CG923="L1",CG923="L23",CG923="LIFT"),AT923&gt;0),SUMIFS($AT$7:$AT$1843,$CG$7:$CG$1843,CG923,$AX$7:$AX$1843,"&gt;"&amp;AX923)+SUMIFS($AT$7:$AT$1843,$CG$7:$CG$1843,CG923,$AX$7:$AX$1843,AX923,$BX$7:$BX$1843,"&lt;="&amp;BX923),"")</f>
        <v>7568.66483516484</v>
      </c>
      <c r="AZ923" s="70" t="n">
        <f aca="false">IF(AY923="",0,MAX(0,MIN(1,(IF(CG923="L1",Parameter!$H$5,IF(CG923="L23",Parameter!$H$6+Parameter!$H$7,Parameter!$H$5+Parameter!$H$6+Parameter!$H$7))-(AY923-AT923))/AT923)))</f>
        <v>1</v>
      </c>
      <c r="BA923" s="62" t="n">
        <f aca="false">IF(LEFT(Cockpit!$O$5,1)="A",H923,IF(Parameter!$E$30="MAX-Bestand",IF(CI923=1,CJ923,IF(LEFT(Cockpit!$O$5,1)="B",BG923,MAX(BG923,H923))),ROUNDUP(BE923,0)))</f>
        <v>11</v>
      </c>
      <c r="BB923" s="62" t="n">
        <f aca="false">IF(CA923=1,0,ROUNDUP(BA923/BZ923,0))</f>
        <v>1</v>
      </c>
      <c r="BC923" s="64" t="n">
        <f aca="false">IF(CR923&gt;0,CR923*MAX(1,BA923/X923),IF(CA923=1,IF(BA923&lt;=0,0,CE923*MAX(1,IF(H923&gt;0,BA923/H923,1))),IF(R923&gt;0,BB923/R923,0))/MAX(0.1,N(Parameter!$M$21)))</f>
        <v>0.0833333333333333</v>
      </c>
      <c r="BD923" s="62" t="n">
        <f aca="false">BC923*CC923</f>
        <v>12.0833333333333</v>
      </c>
      <c r="BE923" s="63" t="n">
        <f aca="false">IF(LEFT(Cockpit!$O$5,1)="A",H923,IF(CI923=1,(CL923+CJ923)/2,IF(LEFT(Cockpit!$O$5,1)="B",(CL923+BG923)/2,MAX((CL923+BG923)/2,H923))))</f>
        <v>11</v>
      </c>
      <c r="BF923" s="62" t="n">
        <f aca="false">BE923*G923</f>
        <v>25.19</v>
      </c>
      <c r="BG923" s="62" t="n">
        <f aca="false">ROUNDUP(CL923+MAX(CM923,2*(J923/IF(CH923&gt;0,CH923,MAX(0.1,N(Cockpit!$O$6)))-CL923)),0)</f>
        <v>21</v>
      </c>
      <c r="BH923" s="63" t="n">
        <f aca="false">IF(BD923&gt;0,J923/BD923,-1)</f>
        <v>1.6551724137931</v>
      </c>
      <c r="BI923" s="63" t="n">
        <f aca="false">IF(AND(OR(CG923="L1",CG923="L23",CG923="LIFT"),BD923&gt;0),SUMIFS($BD$7:$BD$1843,$CG$7:$CG$1843,CG923,$BH$7:$BH$1843,"&gt;"&amp;BH923)+SUMIFS($BD$7:$BD$1843,$CG$7:$CG$1843,CG923,$BH$7:$BH$1843,BH923,$BX$7:$BX$1843,"&lt;="&amp;BX923),"")</f>
        <v>6400.17536630037</v>
      </c>
      <c r="BJ923" s="70" t="n">
        <f aca="false">IF(BI923="",0,MAX(0,MIN(1,(IF(CG923="L1",Parameter!$H$5,IF(CG923="L23",Parameter!$H$6+Parameter!$H$7,Parameter!$H$5+Parameter!$H$6+Parameter!$H$7))-(BI923-BD923))/BD923)))</f>
        <v>1</v>
      </c>
      <c r="BK923" s="60" t="str">
        <f aca="false">IF(AJ923&lt;=0,"",IF(CG923="Aussen","Aussenlager",IF(CG923="-","Nicht im Lift",IF(AP923&gt;=1,"Lift",IF(AP923&lt;=0,"Aussenlager","teilweise")))))</f>
        <v>Lift</v>
      </c>
      <c r="BL923" s="60" t="str">
        <f aca="false">IF(AT923&lt;=0,"",IF(CG923="Aussen","Aussenlager",IF(CG923="-","Nicht im Lift",IF(AZ923&gt;=1,"Lift",IF(AZ923&lt;=0,"Aussenlager","teilweise")))))</f>
        <v>Lift</v>
      </c>
      <c r="BM923" s="60" t="str">
        <f aca="false">IF(BD923&lt;=0,"",IF(CG923="Aussen","Aussenlager",IF(CG923="-","Nicht im Lift",IF(BJ923&gt;=1,"Lift",IF(BJ923&lt;=0,"Aussenlager","teilweise")))))</f>
        <v>Lift</v>
      </c>
      <c r="BN923" s="60" t="str">
        <f aca="false">IF(A923="","",IF(BW923=1,"Neu; ","")&amp;IF(AND(BW923=0,BR923&lt;0),"negativer Bestand (Export "&amp;BR923&amp;"); ","")&amp;IF(J923&lt;=0,"Kein Verbrauch; ","")&amp;IF(CR923&gt;0,"Lift "&amp;W923&amp;" lt. Liftbericht (Fach "&amp;X923&amp;" Stk); ",IF(CB923=1,"Gebinde geschätzt ("&amp;T923&amp;"); ",IF(CA923=1,"Lose – Tablare geschätzt; ","")))&amp;IF(H923&gt;AW923,"Überbestand "&amp;ROUND(H923-AW923,0)&amp;" Stk / CHF "&amp;ROUND((H923-AW923)*G923,0)&amp;"; ","")&amp;IF(AND(CI923=1,CJ923&lt;CK923),"MAX &lt; MB+LG; ","")&amp;IF(AND(CQ923&gt;0,CP923*10&gt;CQ923),"zu hoch für Tablar; ","")&amp;IF(AND(BW923=0,OR(CI923=1,AB923&lt;&gt;"",U923&lt;&gt;"",V923&lt;&gt;"",AC923&lt;&gt;"")),"manuell übersteuert; ","")&amp;IF(AND(CA923=0,R923=0),"Gebinde unbekannt / Stellmass fehlt; ","")&amp;IF(AND(CA923=0,N(V923)&lt;=0,N(Q923)&lt;=0),"Menge pro Gebinde fehlt (Ist = 1 Gebinde); ","")&amp;BV923)</f>
        <v>negativer Bestand (Export -20); Gebinde geschätzt (Mittel); Überbestand 849 Stk / CHF 1944; Menge pro Gebinde fehlt (Ist = 1 Gebinde); Überbestand; grosser Artikel &amp; nicht im KTL</v>
      </c>
      <c r="BO923" s="60"/>
      <c r="BP923" s="60"/>
      <c r="BQ923" s="67"/>
      <c r="BR923" s="62" t="n">
        <v>-20</v>
      </c>
      <c r="BS923" s="62" t="n">
        <v>890</v>
      </c>
      <c r="BT923" s="61" t="n">
        <v>-45.8</v>
      </c>
      <c r="BU923" s="62" t="n">
        <v>20</v>
      </c>
      <c r="BV923" s="60" t="s">
        <v>401</v>
      </c>
      <c r="BW923" s="65" t="n">
        <v>0</v>
      </c>
      <c r="BX923" s="65" t="n">
        <v>923</v>
      </c>
      <c r="BY923" s="60" t="str">
        <f aca="false">IF(U923&lt;&gt;"",UPPER(TRIM(U923)),IF(CB923=1,UPPER(VLOOKUP(T923,Parameter!$I$27:$K$29,2,0)),IF(P923="","LOSE",P923)))</f>
        <v>S61</v>
      </c>
      <c r="BZ923" s="62" t="n">
        <f aca="false">IF(BY923="LOSE",1,IF(N(V923)&gt;0,V923,IF(CB923=1,MAX(1,N(VLOOKUP(T923,Parameter!$I$27:$K$29,3,0)),H923,N(N923)),IF(N(Q923)&gt;0,Q923,MAX(1,H923)))))</f>
        <v>870</v>
      </c>
      <c r="CA923" s="65" t="n">
        <f aca="false">IF(BY923="LOSE",1,0)</f>
        <v>0</v>
      </c>
      <c r="CB923" s="65" t="n">
        <f aca="false">IF(AND(U923="",OR(P923="",P923="LOSE"),T923&lt;&gt;"",N(S923)&lt;=0,ISNUMBER(MATCH(T923,Parameter!$I$27:$I$29,0))),1,0)</f>
        <v>1</v>
      </c>
      <c r="CC923" s="65" t="n">
        <f aca="false">IF(CR923&gt;0,INDEX(Parameter!$H$5:$H$7,W923)/INDEX(Parameter!$E$5:$E$7,W923),IF(AND(CA923=0,N(IFERROR(VLOOKUP(BY923,'Gebinde-Kategorie'!$A$5:$N$45,14,0),0))&gt;0),VLOOKUP(BY923,'Gebinde-Kategorie'!$A$5:$N$45,14,0)*10+Parameter!$M$23,Parameter!$M$24))</f>
        <v>145</v>
      </c>
      <c r="CD923" s="60" t="str">
        <f aca="false">IF(AND(Parameter!$B$19="Ja",E923&lt;&gt;"",ISNUMBER(MATCH(E923,Parameter!$I$35:$I$52,0))),VLOOKUP(E923,Parameter!$I$35:$J$52,2,0),IFERROR(VLOOKUP(D923,Parameter!$A$35:$C$64,2,0),"Nein"))</f>
        <v>2+3</v>
      </c>
      <c r="CE923" s="64" t="n">
        <f aca="false">IF(CA923=0,0,IF(N(S923)&gt;0,S923,IFERROR(VLOOKUP(D923,Parameter!$A$35:$C$64,3,0)+0,0)))</f>
        <v>0</v>
      </c>
      <c r="CF923" s="60" t="n">
        <f aca="false">IF(AB923&lt;&gt;"",AB923,AA923)</f>
        <v>3</v>
      </c>
      <c r="CG923" s="60" t="str">
        <f aca="false">IF(OR(CF923=1,CF923=2,CF923=3),IF(Parameter!$E$27="Ja","LIFT",IF(CF923=1,"L1","L23")),IF(CF923="Aussen","Aussen","-"))</f>
        <v>LIFT</v>
      </c>
      <c r="CH923" s="71" t="n">
        <f aca="false">IF(N(AC923)&gt;0,AC923,0)</f>
        <v>0</v>
      </c>
      <c r="CI923" s="65" t="n">
        <f aca="false">IF(ISNUMBER(AF923),1,0)</f>
        <v>0</v>
      </c>
      <c r="CJ923" s="62" t="n">
        <f aca="false">N(AF923)</f>
        <v>0</v>
      </c>
      <c r="CK923" s="62" t="n">
        <f aca="false">N(M923)+N(N923)</f>
        <v>21</v>
      </c>
      <c r="CL923" s="62" t="n">
        <f aca="false">N(M923)</f>
        <v>1</v>
      </c>
      <c r="CM923" s="62" t="n">
        <f aca="false">N(N923)</f>
        <v>20</v>
      </c>
      <c r="CN923" s="62" t="n">
        <f aca="false">ROUNDUP(H923/BZ923,0)</f>
        <v>1</v>
      </c>
      <c r="CO923" s="62" t="n">
        <f aca="false">ROUNDUP(CJ923/BZ923,0)</f>
        <v>0</v>
      </c>
      <c r="CP923" s="65" t="n">
        <f aca="false">IF(CA923=1,0,IFERROR(VLOOKUP(BY923,'Gebinde-Kategorie'!$A$5:$N$45,5,0)+0,0))</f>
        <v>11</v>
      </c>
      <c r="CQ923" s="65" t="n">
        <f aca="false">IFERROR(IF(OR(CF923=1,CF923=2,CF923=3),N(INDEX(Parameter!$I$5:$I$7,CF923)),0),0)</f>
        <v>0</v>
      </c>
      <c r="CR923" s="64" t="n">
        <f aca="false">IF(AND(Parameter!$B$21="Ja",ISNUMBER(W923),N(X923)&gt;0),IFERROR(N(INDEX(Parameter!$L$5:$L$7,W923))*INDEX(Parameter!$E$5:$E$7,W923)*X923/SUMIFS($X$7:$X$1843,$W$7:$W$1843,W923),0),0)</f>
        <v>0</v>
      </c>
      <c r="CS923" s="62" t="n">
        <f aca="false">IF(AND(OR(CG923="L1",CG923="L23",CG923="LIFT"),H923&gt;0),CC923*IF(CR923&gt;0,CR923*MAX(1,H923/X923),IF(CA923=1,CE923,IF(R923&gt;0,CN923/R923,0))/MAX(0.1,N(Parameter!$M$21))),"")</f>
        <v>12.0833333333333</v>
      </c>
      <c r="CT923" s="64" t="n">
        <f aca="false">IF(CS923="","",J923/H923)</f>
        <v>0.0229885057471264</v>
      </c>
      <c r="CU923" s="62" t="n">
        <f aca="false">IF(CS923="","",H923*G923)</f>
        <v>1992.3</v>
      </c>
      <c r="CV923" s="63" t="n">
        <f aca="false">IF(CS923="","",(CL923+ROUNDUP(CL923+MAX(CM923,2*(J923/MAX(0.1,N(Einkauf!$C$6))-CL923)),0))/2)</f>
        <v>11</v>
      </c>
      <c r="CW923" s="62" t="n">
        <f aca="false">IF(CS923="","",MAX(0,H923-CV923)*G923)</f>
        <v>1967.11</v>
      </c>
      <c r="CX923" s="62" t="n">
        <f aca="false">IF(CS923="","",CS923*MAX(0,1-CV923/H923))</f>
        <v>11.9305555555556</v>
      </c>
      <c r="CY923" s="64" t="n">
        <f aca="false">IF(CS923="","",PERCENTRANK($CS$7:$CS$1843,CS923)+PERCENTRANK($CU$7:$CU$1843,CU923)+1-PERCENTRANK($CT$7:$CT$1843,CT923))</f>
        <v>2.047</v>
      </c>
      <c r="CZ923" s="72" t="n">
        <f aca="false">IF(CS923="","",CHOOSE(MATCH(Einkauf!$C$5,Parameter!$G$23:$G$27,0),CY923,CS923,CU923,-CT923,CW923)+ROW()/1000000000)</f>
        <v>2.047000923</v>
      </c>
    </row>
    <row r="924" customFormat="false" ht="15" hidden="false" customHeight="false" outlineLevel="0" collapsed="false">
      <c r="A924" s="60" t="s">
        <v>1768</v>
      </c>
      <c r="B924" s="60" t="s">
        <v>537</v>
      </c>
      <c r="C924" s="60" t="s">
        <v>206</v>
      </c>
      <c r="D924" s="60" t="s">
        <v>226</v>
      </c>
      <c r="E924" s="60" t="s">
        <v>227</v>
      </c>
      <c r="F924" s="60" t="s">
        <v>260</v>
      </c>
      <c r="G924" s="61" t="n">
        <v>0.25</v>
      </c>
      <c r="H924" s="62" t="n">
        <f aca="false">MAX(0,IF(AND(Parameter!$B$21="Ja",ISNUMBER(Y924)),Y924,IF(Parameter!$B$20="Jahresanfang 2025 + Export",BS924+BR924,BR924)))</f>
        <v>49</v>
      </c>
      <c r="I924" s="62" t="n">
        <f aca="false">H924*G924</f>
        <v>12.25</v>
      </c>
      <c r="J924" s="62" t="n">
        <f aca="false">BU924*Parameter!$B$18</f>
        <v>310</v>
      </c>
      <c r="K924" s="63" t="n">
        <v>143</v>
      </c>
      <c r="L924" s="64" t="n">
        <v>2.16783216783217</v>
      </c>
      <c r="M924" s="62" t="n">
        <v>18</v>
      </c>
      <c r="N924" s="62" t="n">
        <v>310</v>
      </c>
      <c r="O924" s="65" t="n">
        <v>21</v>
      </c>
      <c r="P924" s="60" t="s">
        <v>443</v>
      </c>
      <c r="Q924" s="62" t="n">
        <v>185</v>
      </c>
      <c r="R924" s="65" t="n">
        <f aca="false">IF(CA924=1,0,IFERROR(VLOOKUP(BY924,'Gebinde-Kategorie'!$A$5:$N$45,13,0)+0,0))</f>
        <v>280</v>
      </c>
      <c r="S924" s="66"/>
      <c r="T924" s="67"/>
      <c r="U924" s="67"/>
      <c r="V924" s="67"/>
      <c r="W924" s="60"/>
      <c r="X924" s="62"/>
      <c r="Y924" s="62"/>
      <c r="Z924" s="60" t="n">
        <v>1</v>
      </c>
      <c r="AA924" s="60" t="n">
        <f aca="false">IF(A924="","",IF(AND(Parameter!$B$21="Ja",ISNUMBER(W924)),W924,IF(AND(Parameter!$E$27="Ja",ISNUMBER(Z924),CD924&lt;&gt;"Nein"),Z924,IF(CD924="2+3",IF(ISNUMBER(SEARCH("grosser Artikel",BV924)),2,IFERROR(VLOOKUP(BY924,Parameter!$F$35:$G$64,2,0),2)),IF(OR(CD924="Nein",CD924=""),"-",CD924)))))</f>
        <v>1</v>
      </c>
      <c r="AB924" s="67"/>
      <c r="AC924" s="68"/>
      <c r="AD924" s="62" t="n">
        <f aca="false">AW924</f>
        <v>328</v>
      </c>
      <c r="AE924" s="62" t="n">
        <f aca="false">MAX(AW924,H924)</f>
        <v>328</v>
      </c>
      <c r="AF924" s="69"/>
      <c r="AG924" s="62" t="n">
        <f aca="false">IF(LEFT(Cockpit!$C$5,1)="A",H924,IF(Parameter!$E$30="MAX-Bestand",IF(CI924=1,CJ924,IF(LEFT(Cockpit!$C$5,1)="B",AM924,MAX(AM924,H924))),ROUNDUP(AK924,0)))</f>
        <v>49</v>
      </c>
      <c r="AH924" s="62" t="n">
        <f aca="false">IF(CA924=1,0,ROUNDUP(AG924/BZ924,0))</f>
        <v>1</v>
      </c>
      <c r="AI924" s="64" t="n">
        <f aca="false">IF(CR924&gt;0,CR924*MAX(1,AG924/X924),IF(CA924=1,IF(AG924&lt;=0,0,CE924*MAX(1,IF(H924&gt;0,AG924/H924,1))),IF(R924&gt;0,AH924/R924,0))/MAX(0.1,N(Parameter!$M$21)))</f>
        <v>0.00357142857142857</v>
      </c>
      <c r="AJ924" s="62" t="n">
        <f aca="false">AI924*CC924</f>
        <v>0.553571428571429</v>
      </c>
      <c r="AK924" s="63" t="n">
        <f aca="false">IF(LEFT(Cockpit!$C$5,1)="A",H924,IF(CI924=1,(CL924+CJ924)/2,IF(LEFT(Cockpit!$C$5,1)="B",(CL924+AM924)/2,MAX((CL924+AM924)/2,H924))))</f>
        <v>49</v>
      </c>
      <c r="AL924" s="62" t="n">
        <f aca="false">AK924*G924</f>
        <v>12.25</v>
      </c>
      <c r="AM924" s="62" t="n">
        <f aca="false">ROUNDUP(CL924+MAX(CM924,2*(J924/IF(CH924&gt;0,CH924,MAX(0.1,N(Cockpit!$C$6)))-CL924)),0)</f>
        <v>328</v>
      </c>
      <c r="AN924" s="63" t="n">
        <f aca="false">IF(AJ924&gt;0,J924/AJ924,-1)</f>
        <v>560</v>
      </c>
      <c r="AO924" s="63" t="n">
        <f aca="false">IF(AND(OR(CG924="L1",CG924="L23",CG924="LIFT"),AJ924&gt;0),SUMIFS($AJ$7:$AJ$1843,$CG$7:$CG$1843,CG924,$AN$7:$AN$1843,"&gt;"&amp;AN924)+SUMIFS($AJ$7:$AJ$1843,$CG$7:$CG$1843,CG924,$AN$7:$AN$1843,AN924,$BX$7:$BX$1843,"&lt;="&amp;BX924),"")</f>
        <v>50.5576923076923</v>
      </c>
      <c r="AP924" s="70" t="n">
        <f aca="false">IF(AO924="",0,MAX(0,MIN(1,(IF(CG924="L1",Parameter!$H$5,IF(CG924="L23",Parameter!$H$6+Parameter!$H$7,Parameter!$H$5+Parameter!$H$6+Parameter!$H$7))-(AO924-AJ924))/AJ924)))</f>
        <v>1</v>
      </c>
      <c r="AQ924" s="62" t="n">
        <f aca="false">IF(LEFT(Cockpit!$I$5,1)="A",H924,IF(Parameter!$E$30="MAX-Bestand",IF(CI924=1,CJ924,IF(LEFT(Cockpit!$I$5,1)="B",AW924,MAX(AW924,H924))),ROUNDUP(AU924,0)))</f>
        <v>173</v>
      </c>
      <c r="AR924" s="62" t="n">
        <f aca="false">IF(CA924=1,0,ROUNDUP(AQ924/BZ924,0))</f>
        <v>1</v>
      </c>
      <c r="AS924" s="64" t="n">
        <f aca="false">IF(CR924&gt;0,CR924*MAX(1,AQ924/X924),IF(CA924=1,IF(AQ924&lt;=0,0,CE924*MAX(1,IF(H924&gt;0,AQ924/H924,1))),IF(R924&gt;0,AR924/R924,0))/MAX(0.1,N(Parameter!$M$21)))</f>
        <v>0.00357142857142857</v>
      </c>
      <c r="AT924" s="62" t="n">
        <f aca="false">AS924*CC924</f>
        <v>0.553571428571429</v>
      </c>
      <c r="AU924" s="63" t="n">
        <f aca="false">IF(LEFT(Cockpit!$I$5,1)="A",H924,IF(CI924=1,(CL924+CJ924)/2,IF(LEFT(Cockpit!$I$5,1)="B",(CL924+AW924)/2,MAX((CL924+AW924)/2,H924))))</f>
        <v>173</v>
      </c>
      <c r="AV924" s="62" t="n">
        <f aca="false">AU924*G924</f>
        <v>43.25</v>
      </c>
      <c r="AW924" s="62" t="n">
        <f aca="false">ROUNDUP(CL924+MAX(CM924,2*(J924/IF(CH924&gt;0,CH924,MAX(0.1,N(Cockpit!$I$6)))-CL924)),0)</f>
        <v>328</v>
      </c>
      <c r="AX924" s="63" t="n">
        <f aca="false">IF(AT924&gt;0,J924/AT924,-1)</f>
        <v>560</v>
      </c>
      <c r="AY924" s="63" t="n">
        <f aca="false">IF(AND(OR(CG924="L1",CG924="L23",CG924="LIFT"),AT924&gt;0),SUMIFS($AT$7:$AT$1843,$CG$7:$CG$1843,CG924,$AX$7:$AX$1843,"&gt;"&amp;AX924)+SUMIFS($AT$7:$AT$1843,$CG$7:$CG$1843,CG924,$AX$7:$AX$1843,AX924,$BX$7:$BX$1843,"&lt;="&amp;BX924),"")</f>
        <v>43.5618131868132</v>
      </c>
      <c r="AZ924" s="70" t="n">
        <f aca="false">IF(AY924="",0,MAX(0,MIN(1,(IF(CG924="L1",Parameter!$H$5,IF(CG924="L23",Parameter!$H$6+Parameter!$H$7,Parameter!$H$5+Parameter!$H$6+Parameter!$H$7))-(AY924-AT924))/AT924)))</f>
        <v>1</v>
      </c>
      <c r="BA924" s="62" t="n">
        <f aca="false">IF(LEFT(Cockpit!$O$5,1)="A",H924,IF(Parameter!$E$30="MAX-Bestand",IF(CI924=1,CJ924,IF(LEFT(Cockpit!$O$5,1)="B",BG924,MAX(BG924,H924))),ROUNDUP(BE924,0)))</f>
        <v>173</v>
      </c>
      <c r="BB924" s="62" t="n">
        <f aca="false">IF(CA924=1,0,ROUNDUP(BA924/BZ924,0))</f>
        <v>1</v>
      </c>
      <c r="BC924" s="64" t="n">
        <f aca="false">IF(CR924&gt;0,CR924*MAX(1,BA924/X924),IF(CA924=1,IF(BA924&lt;=0,0,CE924*MAX(1,IF(H924&gt;0,BA924/H924,1))),IF(R924&gt;0,BB924/R924,0))/MAX(0.1,N(Parameter!$M$21)))</f>
        <v>0.00357142857142857</v>
      </c>
      <c r="BD924" s="62" t="n">
        <f aca="false">BC924*CC924</f>
        <v>0.553571428571429</v>
      </c>
      <c r="BE924" s="63" t="n">
        <f aca="false">IF(LEFT(Cockpit!$O$5,1)="A",H924,IF(CI924=1,(CL924+CJ924)/2,IF(LEFT(Cockpit!$O$5,1)="B",(CL924+BG924)/2,MAX((CL924+BG924)/2,H924))))</f>
        <v>173</v>
      </c>
      <c r="BF924" s="62" t="n">
        <f aca="false">BE924*G924</f>
        <v>43.25</v>
      </c>
      <c r="BG924" s="62" t="n">
        <f aca="false">ROUNDUP(CL924+MAX(CM924,2*(J924/IF(CH924&gt;0,CH924,MAX(0.1,N(Cockpit!$O$6)))-CL924)),0)</f>
        <v>328</v>
      </c>
      <c r="BH924" s="63" t="n">
        <f aca="false">IF(BD924&gt;0,J924/BD924,-1)</f>
        <v>560</v>
      </c>
      <c r="BI924" s="63" t="n">
        <f aca="false">IF(AND(OR(CG924="L1",CG924="L23",CG924="LIFT"),BD924&gt;0),SUMIFS($BD$7:$BD$1843,$CG$7:$CG$1843,CG924,$BH$7:$BH$1843,"&gt;"&amp;BH924)+SUMIFS($BD$7:$BD$1843,$CG$7:$CG$1843,CG924,$BH$7:$BH$1843,BH924,$BX$7:$BX$1843,"&lt;="&amp;BX924),"")</f>
        <v>63.650641025641</v>
      </c>
      <c r="BJ924" s="70" t="n">
        <f aca="false">IF(BI924="",0,MAX(0,MIN(1,(IF(CG924="L1",Parameter!$H$5,IF(CG924="L23",Parameter!$H$6+Parameter!$H$7,Parameter!$H$5+Parameter!$H$6+Parameter!$H$7))-(BI924-BD924))/BD924)))</f>
        <v>1</v>
      </c>
      <c r="BK924" s="60" t="str">
        <f aca="false">IF(AJ924&lt;=0,"",IF(CG924="Aussen","Aussenlager",IF(CG924="-","Nicht im Lift",IF(AP924&gt;=1,"Lift",IF(AP924&lt;=0,"Aussenlager","teilweise")))))</f>
        <v>Lift</v>
      </c>
      <c r="BL924" s="60" t="str">
        <f aca="false">IF(AT924&lt;=0,"",IF(CG924="Aussen","Aussenlager",IF(CG924="-","Nicht im Lift",IF(AZ924&gt;=1,"Lift",IF(AZ924&lt;=0,"Aussenlager","teilweise")))))</f>
        <v>Lift</v>
      </c>
      <c r="BM924" s="60" t="str">
        <f aca="false">IF(BD924&lt;=0,"",IF(CG924="Aussen","Aussenlager",IF(CG924="-","Nicht im Lift",IF(BJ924&gt;=1,"Lift",IF(BJ924&lt;=0,"Aussenlager","teilweise")))))</f>
        <v>Lift</v>
      </c>
      <c r="BN924" s="60" t="str">
        <f aca="false">IF(A924="","",IF(BW924=1,"Neu; ","")&amp;IF(AND(BW924=0,BR924&lt;0),"negativer Bestand (Export "&amp;BR924&amp;"); ","")&amp;IF(J924&lt;=0,"Kein Verbrauch; ","")&amp;IF(CR924&gt;0,"Lift "&amp;W924&amp;" lt. Liftbericht (Fach "&amp;X924&amp;" Stk); ",IF(CB924=1,"Gebinde geschätzt ("&amp;T924&amp;"); ",IF(CA924=1,"Lose – Tablare geschätzt; ","")))&amp;IF(H924&gt;AW924,"Überbestand "&amp;ROUND(H924-AW924,0)&amp;" Stk / CHF "&amp;ROUND((H924-AW924)*G924,0)&amp;"; ","")&amp;IF(AND(CI924=1,CJ924&lt;CK924),"MAX &lt; MB+LG; ","")&amp;IF(AND(CQ924&gt;0,CP924*10&gt;CQ924),"zu hoch für Tablar; ","")&amp;IF(AND(BW924=0,OR(CI924=1,AB924&lt;&gt;"",U924&lt;&gt;"",V924&lt;&gt;"",AC924&lt;&gt;"")),"manuell übersteuert; ","")&amp;IF(AND(CA924=0,R924=0),"Gebinde unbekannt / Stellmass fehlt; ","")&amp;IF(AND(CA924=0,N(V924)&lt;=0,N(Q924)&lt;=0),"Menge pro Gebinde fehlt (Ist = 1 Gebinde); ","")&amp;BV924)</f>
        <v>negativer Bestand (Export -152); </v>
      </c>
      <c r="BO924" s="60"/>
      <c r="BP924" s="60"/>
      <c r="BQ924" s="67"/>
      <c r="BR924" s="62" t="n">
        <v>-152</v>
      </c>
      <c r="BS924" s="62" t="n">
        <v>201</v>
      </c>
      <c r="BT924" s="61" t="n">
        <v>-46.04</v>
      </c>
      <c r="BU924" s="62" t="n">
        <v>310</v>
      </c>
      <c r="BV924" s="60"/>
      <c r="BW924" s="65" t="n">
        <v>0</v>
      </c>
      <c r="BX924" s="65" t="n">
        <v>924</v>
      </c>
      <c r="BY924" s="60" t="str">
        <f aca="false">IF(U924&lt;&gt;"",UPPER(TRIM(U924)),IF(CB924=1,UPPER(VLOOKUP(T924,Parameter!$I$27:$K$29,2,0)),IF(P924="","LOSE",P924)))</f>
        <v>S21</v>
      </c>
      <c r="BZ924" s="62" t="n">
        <f aca="false">IF(BY924="LOSE",1,IF(N(V924)&gt;0,V924,IF(CB924=1,MAX(1,N(VLOOKUP(T924,Parameter!$I$27:$K$29,3,0)),H924,N(N924)),IF(N(Q924)&gt;0,Q924,MAX(1,H924)))))</f>
        <v>185</v>
      </c>
      <c r="CA924" s="65" t="n">
        <f aca="false">IF(BY924="LOSE",1,0)</f>
        <v>0</v>
      </c>
      <c r="CB924" s="65" t="n">
        <f aca="false">IF(AND(U924="",OR(P924="",P924="LOSE"),T924&lt;&gt;"",N(S924)&lt;=0,ISNUMBER(MATCH(T924,Parameter!$I$27:$I$29,0))),1,0)</f>
        <v>0</v>
      </c>
      <c r="CC924" s="65" t="n">
        <f aca="false">IF(CR924&gt;0,INDEX(Parameter!$H$5:$H$7,W924)/INDEX(Parameter!$E$5:$E$7,W924),IF(AND(CA924=0,N(IFERROR(VLOOKUP(BY924,'Gebinde-Kategorie'!$A$5:$N$45,14,0),0))&gt;0),VLOOKUP(BY924,'Gebinde-Kategorie'!$A$5:$N$45,14,0)*10+Parameter!$M$23,Parameter!$M$24))</f>
        <v>155</v>
      </c>
      <c r="CD924" s="60" t="str">
        <f aca="false">IF(AND(Parameter!$B$19="Ja",E924&lt;&gt;"",ISNUMBER(MATCH(E924,Parameter!$I$35:$I$52,0))),VLOOKUP(E924,Parameter!$I$35:$J$52,2,0),IFERROR(VLOOKUP(D924,Parameter!$A$35:$C$64,2,0),"Nein"))</f>
        <v>2+3</v>
      </c>
      <c r="CE924" s="64" t="n">
        <f aca="false">IF(CA924=0,0,IF(N(S924)&gt;0,S924,IFERROR(VLOOKUP(D924,Parameter!$A$35:$C$64,3,0)+0,0)))</f>
        <v>0</v>
      </c>
      <c r="CF924" s="60" t="n">
        <f aca="false">IF(AB924&lt;&gt;"",AB924,AA924)</f>
        <v>1</v>
      </c>
      <c r="CG924" s="60" t="str">
        <f aca="false">IF(OR(CF924=1,CF924=2,CF924=3),IF(Parameter!$E$27="Ja","LIFT",IF(CF924=1,"L1","L23")),IF(CF924="Aussen","Aussen","-"))</f>
        <v>LIFT</v>
      </c>
      <c r="CH924" s="71" t="n">
        <f aca="false">IF(N(AC924)&gt;0,AC924,0)</f>
        <v>0</v>
      </c>
      <c r="CI924" s="65" t="n">
        <f aca="false">IF(ISNUMBER(AF924),1,0)</f>
        <v>0</v>
      </c>
      <c r="CJ924" s="62" t="n">
        <f aca="false">N(AF924)</f>
        <v>0</v>
      </c>
      <c r="CK924" s="62" t="n">
        <f aca="false">N(M924)+N(N924)</f>
        <v>328</v>
      </c>
      <c r="CL924" s="62" t="n">
        <f aca="false">N(M924)</f>
        <v>18</v>
      </c>
      <c r="CM924" s="62" t="n">
        <f aca="false">N(N924)</f>
        <v>310</v>
      </c>
      <c r="CN924" s="62" t="n">
        <f aca="false">ROUNDUP(H924/BZ924,0)</f>
        <v>1</v>
      </c>
      <c r="CO924" s="62" t="n">
        <f aca="false">ROUNDUP(CJ924/BZ924,0)</f>
        <v>0</v>
      </c>
      <c r="CP924" s="65" t="n">
        <f aca="false">IF(CA924=1,0,IFERROR(VLOOKUP(BY924,'Gebinde-Kategorie'!$A$5:$N$45,5,0)+0,0))</f>
        <v>8</v>
      </c>
      <c r="CQ924" s="65" t="n">
        <f aca="false">IFERROR(IF(OR(CF924=1,CF924=2,CF924=3),N(INDEX(Parameter!$I$5:$I$7,CF924)),0),0)</f>
        <v>0</v>
      </c>
      <c r="CR924" s="64" t="n">
        <f aca="false">IF(AND(Parameter!$B$21="Ja",ISNUMBER(W924),N(X924)&gt;0),IFERROR(N(INDEX(Parameter!$L$5:$L$7,W924))*INDEX(Parameter!$E$5:$E$7,W924)*X924/SUMIFS($X$7:$X$1843,$W$7:$W$1843,W924),0),0)</f>
        <v>0</v>
      </c>
      <c r="CS924" s="62" t="n">
        <f aca="false">IF(AND(OR(CG924="L1",CG924="L23",CG924="LIFT"),H924&gt;0),CC924*IF(CR924&gt;0,CR924*MAX(1,H924/X924),IF(CA924=1,CE924,IF(R924&gt;0,CN924/R924,0))/MAX(0.1,N(Parameter!$M$21))),"")</f>
        <v>0.553571428571429</v>
      </c>
      <c r="CT924" s="64" t="n">
        <f aca="false">IF(CS924="","",J924/H924)</f>
        <v>6.3265306122449</v>
      </c>
      <c r="CU924" s="62" t="n">
        <f aca="false">IF(CS924="","",H924*G924)</f>
        <v>12.25</v>
      </c>
      <c r="CV924" s="63" t="n">
        <f aca="false">IF(CS924="","",(CL924+ROUNDUP(CL924+MAX(CM924,2*(J924/MAX(0.1,N(Einkauf!$C$6))-CL924)),0))/2)</f>
        <v>173</v>
      </c>
      <c r="CW924" s="62" t="n">
        <f aca="false">IF(CS924="","",MAX(0,H924-CV924)*G924)</f>
        <v>0</v>
      </c>
      <c r="CX924" s="62" t="n">
        <f aca="false">IF(CS924="","",CS924*MAX(0,1-CV924/H924))</f>
        <v>0</v>
      </c>
      <c r="CY924" s="64" t="n">
        <f aca="false">IF(CS924="","",PERCENTRANK($CS$7:$CS$1843,CS924)+PERCENTRANK($CU$7:$CU$1843,CU924)+1-PERCENTRANK($CT$7:$CT$1843,CT924))</f>
        <v>0.0797</v>
      </c>
      <c r="CZ924" s="72" t="n">
        <f aca="false">IF(CS924="","",CHOOSE(MATCH(Einkauf!$C$5,Parameter!$G$23:$G$27,0),CY924,CS924,CU924,-CT924,CW924)+ROW()/1000000000)</f>
        <v>0.079700924</v>
      </c>
    </row>
    <row r="925" customFormat="false" ht="15" hidden="false" customHeight="false" outlineLevel="0" collapsed="false">
      <c r="A925" s="60" t="s">
        <v>1769</v>
      </c>
      <c r="B925" s="60" t="s">
        <v>934</v>
      </c>
      <c r="C925" s="60" t="s">
        <v>206</v>
      </c>
      <c r="D925" s="60" t="s">
        <v>226</v>
      </c>
      <c r="E925" s="60" t="s">
        <v>227</v>
      </c>
      <c r="F925" s="60" t="s">
        <v>260</v>
      </c>
      <c r="G925" s="61" t="n">
        <v>10.02</v>
      </c>
      <c r="H925" s="62" t="n">
        <f aca="false">MAX(0,IF(AND(Parameter!$B$21="Ja",ISNUMBER(Y925)),Y925,IF(Parameter!$B$20="Jahresanfang 2025 + Export",BS925+BR925,BR925)))</f>
        <v>3</v>
      </c>
      <c r="I925" s="62" t="n">
        <f aca="false">H925*G925</f>
        <v>30.06</v>
      </c>
      <c r="J925" s="62" t="n">
        <f aca="false">BU925*Parameter!$B$18</f>
        <v>11</v>
      </c>
      <c r="K925" s="63" t="n">
        <v>7.5</v>
      </c>
      <c r="L925" s="64" t="n">
        <v>1.46666666666667</v>
      </c>
      <c r="M925" s="62" t="n">
        <v>0</v>
      </c>
      <c r="N925" s="62" t="n">
        <v>10</v>
      </c>
      <c r="O925" s="65" t="n">
        <v>14</v>
      </c>
      <c r="P925" s="60" t="s">
        <v>463</v>
      </c>
      <c r="Q925" s="62" t="n">
        <v>27</v>
      </c>
      <c r="R925" s="65" t="n">
        <f aca="false">IF(CA925=1,0,IFERROR(VLOOKUP(BY925,'Gebinde-Kategorie'!$A$5:$N$45,13,0)+0,0))</f>
        <v>104</v>
      </c>
      <c r="S925" s="66"/>
      <c r="T925" s="67"/>
      <c r="U925" s="67"/>
      <c r="V925" s="67"/>
      <c r="W925" s="60"/>
      <c r="X925" s="62"/>
      <c r="Y925" s="62"/>
      <c r="Z925" s="60" t="n">
        <v>3</v>
      </c>
      <c r="AA925" s="60" t="n">
        <f aca="false">IF(A925="","",IF(AND(Parameter!$B$21="Ja",ISNUMBER(W925)),W925,IF(AND(Parameter!$E$27="Ja",ISNUMBER(Z925),CD925&lt;&gt;"Nein"),Z925,IF(CD925="2+3",IF(ISNUMBER(SEARCH("grosser Artikel",BV925)),2,IFERROR(VLOOKUP(BY925,Parameter!$F$35:$G$64,2,0),2)),IF(OR(CD925="Nein",CD925=""),"-",CD925)))))</f>
        <v>3</v>
      </c>
      <c r="AB925" s="67"/>
      <c r="AC925" s="68"/>
      <c r="AD925" s="62" t="n">
        <f aca="false">AW925</f>
        <v>10</v>
      </c>
      <c r="AE925" s="62" t="n">
        <f aca="false">MAX(AW925,H925)</f>
        <v>10</v>
      </c>
      <c r="AF925" s="69"/>
      <c r="AG925" s="62" t="n">
        <f aca="false">IF(LEFT(Cockpit!$C$5,1)="A",H925,IF(Parameter!$E$30="MAX-Bestand",IF(CI925=1,CJ925,IF(LEFT(Cockpit!$C$5,1)="B",AM925,MAX(AM925,H925))),ROUNDUP(AK925,0)))</f>
        <v>3</v>
      </c>
      <c r="AH925" s="62" t="n">
        <f aca="false">IF(CA925=1,0,ROUNDUP(AG925/BZ925,0))</f>
        <v>1</v>
      </c>
      <c r="AI925" s="64" t="n">
        <f aca="false">IF(CR925&gt;0,CR925*MAX(1,AG925/X925),IF(CA925=1,IF(AG925&lt;=0,0,CE925*MAX(1,IF(H925&gt;0,AG925/H925,1))),IF(R925&gt;0,AH925/R925,0))/MAX(0.1,N(Parameter!$M$21)))</f>
        <v>0.00961538461538462</v>
      </c>
      <c r="AJ925" s="62" t="n">
        <f aca="false">AI925*CC925</f>
        <v>1.49038461538462</v>
      </c>
      <c r="AK925" s="63" t="n">
        <f aca="false">IF(LEFT(Cockpit!$C$5,1)="A",H925,IF(CI925=1,(CL925+CJ925)/2,IF(LEFT(Cockpit!$C$5,1)="B",(CL925+AM925)/2,MAX((CL925+AM925)/2,H925))))</f>
        <v>3</v>
      </c>
      <c r="AL925" s="62" t="n">
        <f aca="false">AK925*G925</f>
        <v>30.06</v>
      </c>
      <c r="AM925" s="62" t="n">
        <f aca="false">ROUNDUP(CL925+MAX(CM925,2*(J925/IF(CH925&gt;0,CH925,MAX(0.1,N(Cockpit!$C$6)))-CL925)),0)</f>
        <v>10</v>
      </c>
      <c r="AN925" s="63" t="n">
        <f aca="false">IF(AJ925&gt;0,J925/AJ925,-1)</f>
        <v>7.38064516129032</v>
      </c>
      <c r="AO925" s="63" t="n">
        <f aca="false">IF(AND(OR(CG925="L1",CG925="L23",CG925="LIFT"),AJ925&gt;0),SUMIFS($AJ$7:$AJ$1843,$CG$7:$CG$1843,CG925,$AN$7:$AN$1843,"&gt;"&amp;AN925)+SUMIFS($AJ$7:$AJ$1843,$CG$7:$CG$1843,CG925,$AN$7:$AN$1843,AN925,$BX$7:$BX$1843,"&lt;="&amp;BX925),"")</f>
        <v>3153.36858974359</v>
      </c>
      <c r="AP925" s="70" t="n">
        <f aca="false">IF(AO925="",0,MAX(0,MIN(1,(IF(CG925="L1",Parameter!$H$5,IF(CG925="L23",Parameter!$H$6+Parameter!$H$7,Parameter!$H$5+Parameter!$H$6+Parameter!$H$7))-(AO925-AJ925))/AJ925)))</f>
        <v>1</v>
      </c>
      <c r="AQ925" s="62" t="n">
        <f aca="false">IF(LEFT(Cockpit!$I$5,1)="A",H925,IF(Parameter!$E$30="MAX-Bestand",IF(CI925=1,CJ925,IF(LEFT(Cockpit!$I$5,1)="B",AW925,MAX(AW925,H925))),ROUNDUP(AU925,0)))</f>
        <v>5</v>
      </c>
      <c r="AR925" s="62" t="n">
        <f aca="false">IF(CA925=1,0,ROUNDUP(AQ925/BZ925,0))</f>
        <v>1</v>
      </c>
      <c r="AS925" s="64" t="n">
        <f aca="false">IF(CR925&gt;0,CR925*MAX(1,AQ925/X925),IF(CA925=1,IF(AQ925&lt;=0,0,CE925*MAX(1,IF(H925&gt;0,AQ925/H925,1))),IF(R925&gt;0,AR925/R925,0))/MAX(0.1,N(Parameter!$M$21)))</f>
        <v>0.00961538461538462</v>
      </c>
      <c r="AT925" s="62" t="n">
        <f aca="false">AS925*CC925</f>
        <v>1.49038461538462</v>
      </c>
      <c r="AU925" s="63" t="n">
        <f aca="false">IF(LEFT(Cockpit!$I$5,1)="A",H925,IF(CI925=1,(CL925+CJ925)/2,IF(LEFT(Cockpit!$I$5,1)="B",(CL925+AW925)/2,MAX((CL925+AW925)/2,H925))))</f>
        <v>5</v>
      </c>
      <c r="AV925" s="62" t="n">
        <f aca="false">AU925*G925</f>
        <v>50.1</v>
      </c>
      <c r="AW925" s="62" t="n">
        <f aca="false">ROUNDUP(CL925+MAX(CM925,2*(J925/IF(CH925&gt;0,CH925,MAX(0.1,N(Cockpit!$I$6)))-CL925)),0)</f>
        <v>10</v>
      </c>
      <c r="AX925" s="63" t="n">
        <f aca="false">IF(AT925&gt;0,J925/AT925,-1)</f>
        <v>7.38064516129032</v>
      </c>
      <c r="AY925" s="63" t="n">
        <f aca="false">IF(AND(OR(CG925="L1",CG925="L23",CG925="LIFT"),AT925&gt;0),SUMIFS($AT$7:$AT$1843,$CG$7:$CG$1843,CG925,$AX$7:$AX$1843,"&gt;"&amp;AX925)+SUMIFS($AT$7:$AT$1843,$CG$7:$CG$1843,CG925,$AX$7:$AX$1843,AX925,$BX$7:$BX$1843,"&lt;="&amp;BX925),"")</f>
        <v>3813.67994505495</v>
      </c>
      <c r="AZ925" s="70" t="n">
        <f aca="false">IF(AY925="",0,MAX(0,MIN(1,(IF(CG925="L1",Parameter!$H$5,IF(CG925="L23",Parameter!$H$6+Parameter!$H$7,Parameter!$H$5+Parameter!$H$6+Parameter!$H$7))-(AY925-AT925))/AT925)))</f>
        <v>1</v>
      </c>
      <c r="BA925" s="62" t="n">
        <f aca="false">IF(LEFT(Cockpit!$O$5,1)="A",H925,IF(Parameter!$E$30="MAX-Bestand",IF(CI925=1,CJ925,IF(LEFT(Cockpit!$O$5,1)="B",BG925,MAX(BG925,H925))),ROUNDUP(BE925,0)))</f>
        <v>5</v>
      </c>
      <c r="BB925" s="62" t="n">
        <f aca="false">IF(CA925=1,0,ROUNDUP(BA925/BZ925,0))</f>
        <v>1</v>
      </c>
      <c r="BC925" s="64" t="n">
        <f aca="false">IF(CR925&gt;0,CR925*MAX(1,BA925/X925),IF(CA925=1,IF(BA925&lt;=0,0,CE925*MAX(1,IF(H925&gt;0,BA925/H925,1))),IF(R925&gt;0,BB925/R925,0))/MAX(0.1,N(Parameter!$M$21)))</f>
        <v>0.00961538461538462</v>
      </c>
      <c r="BD925" s="62" t="n">
        <f aca="false">BC925*CC925</f>
        <v>1.49038461538462</v>
      </c>
      <c r="BE925" s="63" t="n">
        <f aca="false">IF(LEFT(Cockpit!$O$5,1)="A",H925,IF(CI925=1,(CL925+CJ925)/2,IF(LEFT(Cockpit!$O$5,1)="B",(CL925+BG925)/2,MAX((CL925+BG925)/2,H925))))</f>
        <v>5</v>
      </c>
      <c r="BF925" s="62" t="n">
        <f aca="false">BE925*G925</f>
        <v>50.1</v>
      </c>
      <c r="BG925" s="62" t="n">
        <f aca="false">ROUNDUP(CL925+MAX(CM925,2*(J925/IF(CH925&gt;0,CH925,MAX(0.1,N(Cockpit!$O$6)))-CL925)),0)</f>
        <v>10</v>
      </c>
      <c r="BH925" s="63" t="n">
        <f aca="false">IF(BD925&gt;0,J925/BD925,-1)</f>
        <v>7.38064516129032</v>
      </c>
      <c r="BI925" s="63" t="n">
        <f aca="false">IF(AND(OR(CG925="L1",CG925="L23",CG925="LIFT"),BD925&gt;0),SUMIFS($BD$7:$BD$1843,$CG$7:$CG$1843,CG925,$BH$7:$BH$1843,"&gt;"&amp;BH925)+SUMIFS($BD$7:$BD$1843,$CG$7:$CG$1843,CG925,$BH$7:$BH$1843,BH925,$BX$7:$BX$1843,"&lt;="&amp;BX925),"")</f>
        <v>3211.2032967033</v>
      </c>
      <c r="BJ925" s="70" t="n">
        <f aca="false">IF(BI925="",0,MAX(0,MIN(1,(IF(CG925="L1",Parameter!$H$5,IF(CG925="L23",Parameter!$H$6+Parameter!$H$7,Parameter!$H$5+Parameter!$H$6+Parameter!$H$7))-(BI925-BD925))/BD925)))</f>
        <v>1</v>
      </c>
      <c r="BK925" s="60" t="str">
        <f aca="false">IF(AJ925&lt;=0,"",IF(CG925="Aussen","Aussenlager",IF(CG925="-","Nicht im Lift",IF(AP925&gt;=1,"Lift",IF(AP925&lt;=0,"Aussenlager","teilweise")))))</f>
        <v>Lift</v>
      </c>
      <c r="BL925" s="60" t="str">
        <f aca="false">IF(AT925&lt;=0,"",IF(CG925="Aussen","Aussenlager",IF(CG925="-","Nicht im Lift",IF(AZ925&gt;=1,"Lift",IF(AZ925&lt;=0,"Aussenlager","teilweise")))))</f>
        <v>Lift</v>
      </c>
      <c r="BM925" s="60" t="str">
        <f aca="false">IF(BD925&lt;=0,"",IF(CG925="Aussen","Aussenlager",IF(CG925="-","Nicht im Lift",IF(BJ925&gt;=1,"Lift",IF(BJ925&lt;=0,"Aussenlager","teilweise")))))</f>
        <v>Lift</v>
      </c>
      <c r="BN925" s="60" t="str">
        <f aca="false">IF(A925="","",IF(BW925=1,"Neu; ","")&amp;IF(AND(BW925=0,BR925&lt;0),"negativer Bestand (Export "&amp;BR925&amp;"); ","")&amp;IF(J925&lt;=0,"Kein Verbrauch; ","")&amp;IF(CR925&gt;0,"Lift "&amp;W925&amp;" lt. Liftbericht (Fach "&amp;X925&amp;" Stk); ",IF(CB925=1,"Gebinde geschätzt ("&amp;T925&amp;"); ",IF(CA925=1,"Lose – Tablare geschätzt; ","")))&amp;IF(H925&gt;AW925,"Überbestand "&amp;ROUND(H925-AW925,0)&amp;" Stk / CHF "&amp;ROUND((H925-AW925)*G925,0)&amp;"; ","")&amp;IF(AND(CI925=1,CJ925&lt;CK925),"MAX &lt; MB+LG; ","")&amp;IF(AND(CQ925&gt;0,CP925*10&gt;CQ925),"zu hoch für Tablar; ","")&amp;IF(AND(BW925=0,OR(CI925=1,AB925&lt;&gt;"",U925&lt;&gt;"",V925&lt;&gt;"",AC925&lt;&gt;"")),"manuell übersteuert; ","")&amp;IF(AND(CA925=0,R925=0),"Gebinde unbekannt / Stellmass fehlt; ","")&amp;IF(AND(CA925=0,N(V925)&lt;=0,N(Q925)&lt;=0),"Menge pro Gebinde fehlt (Ist = 1 Gebinde); ","")&amp;BV925)</f>
        <v>negativer Bestand (Export -5); </v>
      </c>
      <c r="BO925" s="60"/>
      <c r="BP925" s="60"/>
      <c r="BQ925" s="67"/>
      <c r="BR925" s="62" t="n">
        <v>-5</v>
      </c>
      <c r="BS925" s="62" t="n">
        <v>8</v>
      </c>
      <c r="BT925" s="61" t="n">
        <v>-46.74</v>
      </c>
      <c r="BU925" s="62" t="n">
        <v>11</v>
      </c>
      <c r="BV925" s="60"/>
      <c r="BW925" s="65" t="n">
        <v>0</v>
      </c>
      <c r="BX925" s="65" t="n">
        <v>925</v>
      </c>
      <c r="BY925" s="60" t="str">
        <f aca="false">IF(U925&lt;&gt;"",UPPER(TRIM(U925)),IF(CB925=1,UPPER(VLOOKUP(T925,Parameter!$I$27:$K$29,2,0)),IF(P925="","LOSE",P925)))</f>
        <v>S32</v>
      </c>
      <c r="BZ925" s="62" t="n">
        <f aca="false">IF(BY925="LOSE",1,IF(N(V925)&gt;0,V925,IF(CB925=1,MAX(1,N(VLOOKUP(T925,Parameter!$I$27:$K$29,3,0)),H925,N(N925)),IF(N(Q925)&gt;0,Q925,MAX(1,H925)))))</f>
        <v>27</v>
      </c>
      <c r="CA925" s="65" t="n">
        <f aca="false">IF(BY925="LOSE",1,0)</f>
        <v>0</v>
      </c>
      <c r="CB925" s="65" t="n">
        <f aca="false">IF(AND(U925="",OR(P925="",P925="LOSE"),T925&lt;&gt;"",N(S925)&lt;=0,ISNUMBER(MATCH(T925,Parameter!$I$27:$I$29,0))),1,0)</f>
        <v>0</v>
      </c>
      <c r="CC925" s="65" t="n">
        <f aca="false">IF(CR925&gt;0,INDEX(Parameter!$H$5:$H$7,W925)/INDEX(Parameter!$E$5:$E$7,W925),IF(AND(CA925=0,N(IFERROR(VLOOKUP(BY925,'Gebinde-Kategorie'!$A$5:$N$45,14,0),0))&gt;0),VLOOKUP(BY925,'Gebinde-Kategorie'!$A$5:$N$45,14,0)*10+Parameter!$M$23,Parameter!$M$24))</f>
        <v>155</v>
      </c>
      <c r="CD925" s="60" t="str">
        <f aca="false">IF(AND(Parameter!$B$19="Ja",E925&lt;&gt;"",ISNUMBER(MATCH(E925,Parameter!$I$35:$I$52,0))),VLOOKUP(E925,Parameter!$I$35:$J$52,2,0),IFERROR(VLOOKUP(D925,Parameter!$A$35:$C$64,2,0),"Nein"))</f>
        <v>2+3</v>
      </c>
      <c r="CE925" s="64" t="n">
        <f aca="false">IF(CA925=0,0,IF(N(S925)&gt;0,S925,IFERROR(VLOOKUP(D925,Parameter!$A$35:$C$64,3,0)+0,0)))</f>
        <v>0</v>
      </c>
      <c r="CF925" s="60" t="n">
        <f aca="false">IF(AB925&lt;&gt;"",AB925,AA925)</f>
        <v>3</v>
      </c>
      <c r="CG925" s="60" t="str">
        <f aca="false">IF(OR(CF925=1,CF925=2,CF925=3),IF(Parameter!$E$27="Ja","LIFT",IF(CF925=1,"L1","L23")),IF(CF925="Aussen","Aussen","-"))</f>
        <v>LIFT</v>
      </c>
      <c r="CH925" s="71" t="n">
        <f aca="false">IF(N(AC925)&gt;0,AC925,0)</f>
        <v>0</v>
      </c>
      <c r="CI925" s="65" t="n">
        <f aca="false">IF(ISNUMBER(AF925),1,0)</f>
        <v>0</v>
      </c>
      <c r="CJ925" s="62" t="n">
        <f aca="false">N(AF925)</f>
        <v>0</v>
      </c>
      <c r="CK925" s="62" t="n">
        <f aca="false">N(M925)+N(N925)</f>
        <v>10</v>
      </c>
      <c r="CL925" s="62" t="n">
        <f aca="false">N(M925)</f>
        <v>0</v>
      </c>
      <c r="CM925" s="62" t="n">
        <f aca="false">N(N925)</f>
        <v>10</v>
      </c>
      <c r="CN925" s="62" t="n">
        <f aca="false">ROUNDUP(H925/BZ925,0)</f>
        <v>1</v>
      </c>
      <c r="CO925" s="62" t="n">
        <f aca="false">ROUNDUP(CJ925/BZ925,0)</f>
        <v>0</v>
      </c>
      <c r="CP925" s="65" t="n">
        <f aca="false">IF(CA925=1,0,IFERROR(VLOOKUP(BY925,'Gebinde-Kategorie'!$A$5:$N$45,5,0)+0,0))</f>
        <v>8</v>
      </c>
      <c r="CQ925" s="65" t="n">
        <f aca="false">IFERROR(IF(OR(CF925=1,CF925=2,CF925=3),N(INDEX(Parameter!$I$5:$I$7,CF925)),0),0)</f>
        <v>0</v>
      </c>
      <c r="CR925" s="64" t="n">
        <f aca="false">IF(AND(Parameter!$B$21="Ja",ISNUMBER(W925),N(X925)&gt;0),IFERROR(N(INDEX(Parameter!$L$5:$L$7,W925))*INDEX(Parameter!$E$5:$E$7,W925)*X925/SUMIFS($X$7:$X$1843,$W$7:$W$1843,W925),0),0)</f>
        <v>0</v>
      </c>
      <c r="CS925" s="62" t="n">
        <f aca="false">IF(AND(OR(CG925="L1",CG925="L23",CG925="LIFT"),H925&gt;0),CC925*IF(CR925&gt;0,CR925*MAX(1,H925/X925),IF(CA925=1,CE925,IF(R925&gt;0,CN925/R925,0))/MAX(0.1,N(Parameter!$M$21))),"")</f>
        <v>1.49038461538462</v>
      </c>
      <c r="CT925" s="64" t="n">
        <f aca="false">IF(CS925="","",J925/H925)</f>
        <v>3.66666666666667</v>
      </c>
      <c r="CU925" s="62" t="n">
        <f aca="false">IF(CS925="","",H925*G925)</f>
        <v>30.06</v>
      </c>
      <c r="CV925" s="63" t="n">
        <f aca="false">IF(CS925="","",(CL925+ROUNDUP(CL925+MAX(CM925,2*(J925/MAX(0.1,N(Einkauf!$C$6))-CL925)),0))/2)</f>
        <v>5</v>
      </c>
      <c r="CW925" s="62" t="n">
        <f aca="false">IF(CS925="","",MAX(0,H925-CV925)*G925)</f>
        <v>0</v>
      </c>
      <c r="CX925" s="62" t="n">
        <f aca="false">IF(CS925="","",CS925*MAX(0,1-CV925/H925))</f>
        <v>0</v>
      </c>
      <c r="CY925" s="64" t="n">
        <f aca="false">IF(CS925="","",PERCENTRANK($CS$7:$CS$1843,CS925)+PERCENTRANK($CU$7:$CU$1843,CU925)+1-PERCENTRANK($CT$7:$CT$1843,CT925))</f>
        <v>0.306</v>
      </c>
      <c r="CZ925" s="72" t="n">
        <f aca="false">IF(CS925="","",CHOOSE(MATCH(Einkauf!$C$5,Parameter!$G$23:$G$27,0),CY925,CS925,CU925,-CT925,CW925)+ROW()/1000000000)</f>
        <v>0.306000925</v>
      </c>
    </row>
    <row r="926" customFormat="false" ht="15" hidden="false" customHeight="false" outlineLevel="0" collapsed="false">
      <c r="A926" s="60" t="s">
        <v>1770</v>
      </c>
      <c r="B926" s="60" t="s">
        <v>1771</v>
      </c>
      <c r="C926" s="60" t="s">
        <v>206</v>
      </c>
      <c r="D926" s="60" t="s">
        <v>226</v>
      </c>
      <c r="E926" s="60"/>
      <c r="F926" s="60" t="s">
        <v>260</v>
      </c>
      <c r="G926" s="61" t="n">
        <v>9.45</v>
      </c>
      <c r="H926" s="62" t="n">
        <f aca="false">MAX(0,IF(AND(Parameter!$B$21="Ja",ISNUMBER(Y926)),Y926,IF(Parameter!$B$20="Jahresanfang 2025 + Export",BS926+BR926,BR926)))</f>
        <v>1</v>
      </c>
      <c r="I926" s="62" t="n">
        <f aca="false">H926*G926</f>
        <v>9.45</v>
      </c>
      <c r="J926" s="62" t="n">
        <f aca="false">BU926*Parameter!$B$18</f>
        <v>5</v>
      </c>
      <c r="K926" s="63" t="n">
        <v>4.5</v>
      </c>
      <c r="L926" s="64" t="n">
        <v>1.11111111111111</v>
      </c>
      <c r="M926" s="62" t="n">
        <v>0</v>
      </c>
      <c r="N926" s="62" t="n">
        <v>5</v>
      </c>
      <c r="O926" s="65" t="n">
        <v>35</v>
      </c>
      <c r="P926" s="60" t="s">
        <v>443</v>
      </c>
      <c r="Q926" s="62" t="n">
        <v>3</v>
      </c>
      <c r="R926" s="65" t="n">
        <f aca="false">IF(CA926=1,0,IFERROR(VLOOKUP(BY926,'Gebinde-Kategorie'!$A$5:$N$45,13,0)+0,0))</f>
        <v>280</v>
      </c>
      <c r="S926" s="66"/>
      <c r="T926" s="67"/>
      <c r="U926" s="67"/>
      <c r="V926" s="67"/>
      <c r="W926" s="60"/>
      <c r="X926" s="62"/>
      <c r="Y926" s="62"/>
      <c r="Z926" s="60" t="n">
        <v>1</v>
      </c>
      <c r="AA926" s="60" t="n">
        <f aca="false">IF(A926="","",IF(AND(Parameter!$B$21="Ja",ISNUMBER(W926)),W926,IF(AND(Parameter!$E$27="Ja",ISNUMBER(Z926),CD926&lt;&gt;"Nein"),Z926,IF(CD926="2+3",IF(ISNUMBER(SEARCH("grosser Artikel",BV926)),2,IFERROR(VLOOKUP(BY926,Parameter!$F$35:$G$64,2,0),2)),IF(OR(CD926="Nein",CD926=""),"-",CD926)))))</f>
        <v>1</v>
      </c>
      <c r="AB926" s="67"/>
      <c r="AC926" s="68"/>
      <c r="AD926" s="62" t="n">
        <f aca="false">AW926</f>
        <v>5</v>
      </c>
      <c r="AE926" s="62" t="n">
        <f aca="false">MAX(AW926,H926)</f>
        <v>5</v>
      </c>
      <c r="AF926" s="69"/>
      <c r="AG926" s="62" t="n">
        <f aca="false">IF(LEFT(Cockpit!$C$5,1)="A",H926,IF(Parameter!$E$30="MAX-Bestand",IF(CI926=1,CJ926,IF(LEFT(Cockpit!$C$5,1)="B",AM926,MAX(AM926,H926))),ROUNDUP(AK926,0)))</f>
        <v>1</v>
      </c>
      <c r="AH926" s="62" t="n">
        <f aca="false">IF(CA926=1,0,ROUNDUP(AG926/BZ926,0))</f>
        <v>1</v>
      </c>
      <c r="AI926" s="64" t="n">
        <f aca="false">IF(CR926&gt;0,CR926*MAX(1,AG926/X926),IF(CA926=1,IF(AG926&lt;=0,0,CE926*MAX(1,IF(H926&gt;0,AG926/H926,1))),IF(R926&gt;0,AH926/R926,0))/MAX(0.1,N(Parameter!$M$21)))</f>
        <v>0.00357142857142857</v>
      </c>
      <c r="AJ926" s="62" t="n">
        <f aca="false">AI926*CC926</f>
        <v>0.553571428571429</v>
      </c>
      <c r="AK926" s="63" t="n">
        <f aca="false">IF(LEFT(Cockpit!$C$5,1)="A",H926,IF(CI926=1,(CL926+CJ926)/2,IF(LEFT(Cockpit!$C$5,1)="B",(CL926+AM926)/2,MAX((CL926+AM926)/2,H926))))</f>
        <v>1</v>
      </c>
      <c r="AL926" s="62" t="n">
        <f aca="false">AK926*G926</f>
        <v>9.45</v>
      </c>
      <c r="AM926" s="62" t="n">
        <f aca="false">ROUNDUP(CL926+MAX(CM926,2*(J926/IF(CH926&gt;0,CH926,MAX(0.1,N(Cockpit!$C$6)))-CL926)),0)</f>
        <v>5</v>
      </c>
      <c r="AN926" s="63" t="n">
        <f aca="false">IF(AJ926&gt;0,J926/AJ926,-1)</f>
        <v>9.03225806451613</v>
      </c>
      <c r="AO926" s="63" t="n">
        <f aca="false">IF(AND(OR(CG926="L1",CG926="L23",CG926="LIFT"),AJ926&gt;0),SUMIFS($AJ$7:$AJ$1843,$CG$7:$CG$1843,CG926,$AN$7:$AN$1843,"&gt;"&amp;AN926)+SUMIFS($AJ$7:$AJ$1843,$CG$7:$CG$1843,CG926,$AN$7:$AN$1843,AN926,$BX$7:$BX$1843,"&lt;="&amp;BX926),"")</f>
        <v>2922.99587912088</v>
      </c>
      <c r="AP926" s="70" t="n">
        <f aca="false">IF(AO926="",0,MAX(0,MIN(1,(IF(CG926="L1",Parameter!$H$5,IF(CG926="L23",Parameter!$H$6+Parameter!$H$7,Parameter!$H$5+Parameter!$H$6+Parameter!$H$7))-(AO926-AJ926))/AJ926)))</f>
        <v>1</v>
      </c>
      <c r="AQ926" s="62" t="n">
        <f aca="false">IF(LEFT(Cockpit!$I$5,1)="A",H926,IF(Parameter!$E$30="MAX-Bestand",IF(CI926=1,CJ926,IF(LEFT(Cockpit!$I$5,1)="B",AW926,MAX(AW926,H926))),ROUNDUP(AU926,0)))</f>
        <v>3</v>
      </c>
      <c r="AR926" s="62" t="n">
        <f aca="false">IF(CA926=1,0,ROUNDUP(AQ926/BZ926,0))</f>
        <v>1</v>
      </c>
      <c r="AS926" s="64" t="n">
        <f aca="false">IF(CR926&gt;0,CR926*MAX(1,AQ926/X926),IF(CA926=1,IF(AQ926&lt;=0,0,CE926*MAX(1,IF(H926&gt;0,AQ926/H926,1))),IF(R926&gt;0,AR926/R926,0))/MAX(0.1,N(Parameter!$M$21)))</f>
        <v>0.00357142857142857</v>
      </c>
      <c r="AT926" s="62" t="n">
        <f aca="false">AS926*CC926</f>
        <v>0.553571428571429</v>
      </c>
      <c r="AU926" s="63" t="n">
        <f aca="false">IF(LEFT(Cockpit!$I$5,1)="A",H926,IF(CI926=1,(CL926+CJ926)/2,IF(LEFT(Cockpit!$I$5,1)="B",(CL926+AW926)/2,MAX((CL926+AW926)/2,H926))))</f>
        <v>2.5</v>
      </c>
      <c r="AV926" s="62" t="n">
        <f aca="false">AU926*G926</f>
        <v>23.625</v>
      </c>
      <c r="AW926" s="62" t="n">
        <f aca="false">ROUNDUP(CL926+MAX(CM926,2*(J926/IF(CH926&gt;0,CH926,MAX(0.1,N(Cockpit!$I$6)))-CL926)),0)</f>
        <v>5</v>
      </c>
      <c r="AX926" s="63" t="n">
        <f aca="false">IF(AT926&gt;0,J926/AT926,-1)</f>
        <v>9.03225806451613</v>
      </c>
      <c r="AY926" s="63" t="n">
        <f aca="false">IF(AND(OR(CG926="L1",CG926="L23",CG926="LIFT"),AT926&gt;0),SUMIFS($AT$7:$AT$1843,$CG$7:$CG$1843,CG926,$AX$7:$AX$1843,"&gt;"&amp;AX926)+SUMIFS($AT$7:$AT$1843,$CG$7:$CG$1843,CG926,$AX$7:$AX$1843,AX926,$BX$7:$BX$1843,"&lt;="&amp;BX926),"")</f>
        <v>3537.98397435897</v>
      </c>
      <c r="AZ926" s="70" t="n">
        <f aca="false">IF(AY926="",0,MAX(0,MIN(1,(IF(CG926="L1",Parameter!$H$5,IF(CG926="L23",Parameter!$H$6+Parameter!$H$7,Parameter!$H$5+Parameter!$H$6+Parameter!$H$7))-(AY926-AT926))/AT926)))</f>
        <v>1</v>
      </c>
      <c r="BA926" s="62" t="n">
        <f aca="false">IF(LEFT(Cockpit!$O$5,1)="A",H926,IF(Parameter!$E$30="MAX-Bestand",IF(CI926=1,CJ926,IF(LEFT(Cockpit!$O$5,1)="B",BG926,MAX(BG926,H926))),ROUNDUP(BE926,0)))</f>
        <v>3</v>
      </c>
      <c r="BB926" s="62" t="n">
        <f aca="false">IF(CA926=1,0,ROUNDUP(BA926/BZ926,0))</f>
        <v>1</v>
      </c>
      <c r="BC926" s="64" t="n">
        <f aca="false">IF(CR926&gt;0,CR926*MAX(1,BA926/X926),IF(CA926=1,IF(BA926&lt;=0,0,CE926*MAX(1,IF(H926&gt;0,BA926/H926,1))),IF(R926&gt;0,BB926/R926,0))/MAX(0.1,N(Parameter!$M$21)))</f>
        <v>0.00357142857142857</v>
      </c>
      <c r="BD926" s="62" t="n">
        <f aca="false">BC926*CC926</f>
        <v>0.553571428571429</v>
      </c>
      <c r="BE926" s="63" t="n">
        <f aca="false">IF(LEFT(Cockpit!$O$5,1)="A",H926,IF(CI926=1,(CL926+CJ926)/2,IF(LEFT(Cockpit!$O$5,1)="B",(CL926+BG926)/2,MAX((CL926+BG926)/2,H926))))</f>
        <v>2.5</v>
      </c>
      <c r="BF926" s="62" t="n">
        <f aca="false">BE926*G926</f>
        <v>23.625</v>
      </c>
      <c r="BG926" s="62" t="n">
        <f aca="false">ROUNDUP(CL926+MAX(CM926,2*(J926/IF(CH926&gt;0,CH926,MAX(0.1,N(Cockpit!$O$6)))-CL926)),0)</f>
        <v>5</v>
      </c>
      <c r="BH926" s="63" t="n">
        <f aca="false">IF(BD926&gt;0,J926/BD926,-1)</f>
        <v>9.03225806451613</v>
      </c>
      <c r="BI926" s="63" t="n">
        <f aca="false">IF(AND(OR(CG926="L1",CG926="L23",CG926="LIFT"),BD926&gt;0),SUMIFS($BD$7:$BD$1843,$CG$7:$CG$1843,CG926,$BH$7:$BH$1843,"&gt;"&amp;BH926)+SUMIFS($BD$7:$BD$1843,$CG$7:$CG$1843,CG926,$BH$7:$BH$1843,BH926,$BX$7:$BX$1843,"&lt;="&amp;BX926),"")</f>
        <v>2879.14789377289</v>
      </c>
      <c r="BJ926" s="70" t="n">
        <f aca="false">IF(BI926="",0,MAX(0,MIN(1,(IF(CG926="L1",Parameter!$H$5,IF(CG926="L23",Parameter!$H$6+Parameter!$H$7,Parameter!$H$5+Parameter!$H$6+Parameter!$H$7))-(BI926-BD926))/BD926)))</f>
        <v>1</v>
      </c>
      <c r="BK926" s="60" t="str">
        <f aca="false">IF(AJ926&lt;=0,"",IF(CG926="Aussen","Aussenlager",IF(CG926="-","Nicht im Lift",IF(AP926&gt;=1,"Lift",IF(AP926&lt;=0,"Aussenlager","teilweise")))))</f>
        <v>Lift</v>
      </c>
      <c r="BL926" s="60" t="str">
        <f aca="false">IF(AT926&lt;=0,"",IF(CG926="Aussen","Aussenlager",IF(CG926="-","Nicht im Lift",IF(AZ926&gt;=1,"Lift",IF(AZ926&lt;=0,"Aussenlager","teilweise")))))</f>
        <v>Lift</v>
      </c>
      <c r="BM926" s="60" t="str">
        <f aca="false">IF(BD926&lt;=0,"",IF(CG926="Aussen","Aussenlager",IF(CG926="-","Nicht im Lift",IF(BJ926&gt;=1,"Lift",IF(BJ926&lt;=0,"Aussenlager","teilweise")))))</f>
        <v>Lift</v>
      </c>
      <c r="BN926" s="60" t="str">
        <f aca="false">IF(A926="","",IF(BW926=1,"Neu; ","")&amp;IF(AND(BW926=0,BR926&lt;0),"negativer Bestand (Export "&amp;BR926&amp;"); ","")&amp;IF(J926&lt;=0,"Kein Verbrauch; ","")&amp;IF(CR926&gt;0,"Lift "&amp;W926&amp;" lt. Liftbericht (Fach "&amp;X926&amp;" Stk); ",IF(CB926=1,"Gebinde geschätzt ("&amp;T926&amp;"); ",IF(CA926=1,"Lose – Tablare geschätzt; ","")))&amp;IF(H926&gt;AW926,"Überbestand "&amp;ROUND(H926-AW926,0)&amp;" Stk / CHF "&amp;ROUND((H926-AW926)*G926,0)&amp;"; ","")&amp;IF(AND(CI926=1,CJ926&lt;CK926),"MAX &lt; MB+LG; ","")&amp;IF(AND(CQ926&gt;0,CP926*10&gt;CQ926),"zu hoch für Tablar; ","")&amp;IF(AND(BW926=0,OR(CI926=1,AB926&lt;&gt;"",U926&lt;&gt;"",V926&lt;&gt;"",AC926&lt;&gt;"")),"manuell übersteuert; ","")&amp;IF(AND(CA926=0,R926=0),"Gebinde unbekannt / Stellmass fehlt; ","")&amp;IF(AND(CA926=0,N(V926)&lt;=0,N(Q926)&lt;=0),"Menge pro Gebinde fehlt (Ist = 1 Gebinde); ","")&amp;BV926)</f>
        <v>negativer Bestand (Export -5); </v>
      </c>
      <c r="BO926" s="60"/>
      <c r="BP926" s="60"/>
      <c r="BQ926" s="67"/>
      <c r="BR926" s="62" t="n">
        <v>-5</v>
      </c>
      <c r="BS926" s="62" t="n">
        <v>6</v>
      </c>
      <c r="BT926" s="61" t="n">
        <v>-47.25</v>
      </c>
      <c r="BU926" s="62" t="n">
        <v>5</v>
      </c>
      <c r="BV926" s="60"/>
      <c r="BW926" s="65" t="n">
        <v>0</v>
      </c>
      <c r="BX926" s="65" t="n">
        <v>926</v>
      </c>
      <c r="BY926" s="60" t="str">
        <f aca="false">IF(U926&lt;&gt;"",UPPER(TRIM(U926)),IF(CB926=1,UPPER(VLOOKUP(T926,Parameter!$I$27:$K$29,2,0)),IF(P926="","LOSE",P926)))</f>
        <v>S21</v>
      </c>
      <c r="BZ926" s="62" t="n">
        <f aca="false">IF(BY926="LOSE",1,IF(N(V926)&gt;0,V926,IF(CB926=1,MAX(1,N(VLOOKUP(T926,Parameter!$I$27:$K$29,3,0)),H926,N(N926)),IF(N(Q926)&gt;0,Q926,MAX(1,H926)))))</f>
        <v>3</v>
      </c>
      <c r="CA926" s="65" t="n">
        <f aca="false">IF(BY926="LOSE",1,0)</f>
        <v>0</v>
      </c>
      <c r="CB926" s="65" t="n">
        <f aca="false">IF(AND(U926="",OR(P926="",P926="LOSE"),T926&lt;&gt;"",N(S926)&lt;=0,ISNUMBER(MATCH(T926,Parameter!$I$27:$I$29,0))),1,0)</f>
        <v>0</v>
      </c>
      <c r="CC926" s="65" t="n">
        <f aca="false">IF(CR926&gt;0,INDEX(Parameter!$H$5:$H$7,W926)/INDEX(Parameter!$E$5:$E$7,W926),IF(AND(CA926=0,N(IFERROR(VLOOKUP(BY926,'Gebinde-Kategorie'!$A$5:$N$45,14,0),0))&gt;0),VLOOKUP(BY926,'Gebinde-Kategorie'!$A$5:$N$45,14,0)*10+Parameter!$M$23,Parameter!$M$24))</f>
        <v>155</v>
      </c>
      <c r="CD926" s="60" t="str">
        <f aca="false">IF(AND(Parameter!$B$19="Ja",E926&lt;&gt;"",ISNUMBER(MATCH(E926,Parameter!$I$35:$I$52,0))),VLOOKUP(E926,Parameter!$I$35:$J$52,2,0),IFERROR(VLOOKUP(D926,Parameter!$A$35:$C$64,2,0),"Nein"))</f>
        <v>2+3</v>
      </c>
      <c r="CE926" s="64" t="n">
        <f aca="false">IF(CA926=0,0,IF(N(S926)&gt;0,S926,IFERROR(VLOOKUP(D926,Parameter!$A$35:$C$64,3,0)+0,0)))</f>
        <v>0</v>
      </c>
      <c r="CF926" s="60" t="n">
        <f aca="false">IF(AB926&lt;&gt;"",AB926,AA926)</f>
        <v>1</v>
      </c>
      <c r="CG926" s="60" t="str">
        <f aca="false">IF(OR(CF926=1,CF926=2,CF926=3),IF(Parameter!$E$27="Ja","LIFT",IF(CF926=1,"L1","L23")),IF(CF926="Aussen","Aussen","-"))</f>
        <v>LIFT</v>
      </c>
      <c r="CH926" s="71" t="n">
        <f aca="false">IF(N(AC926)&gt;0,AC926,0)</f>
        <v>0</v>
      </c>
      <c r="CI926" s="65" t="n">
        <f aca="false">IF(ISNUMBER(AF926),1,0)</f>
        <v>0</v>
      </c>
      <c r="CJ926" s="62" t="n">
        <f aca="false">N(AF926)</f>
        <v>0</v>
      </c>
      <c r="CK926" s="62" t="n">
        <f aca="false">N(M926)+N(N926)</f>
        <v>5</v>
      </c>
      <c r="CL926" s="62" t="n">
        <f aca="false">N(M926)</f>
        <v>0</v>
      </c>
      <c r="CM926" s="62" t="n">
        <f aca="false">N(N926)</f>
        <v>5</v>
      </c>
      <c r="CN926" s="62" t="n">
        <f aca="false">ROUNDUP(H926/BZ926,0)</f>
        <v>1</v>
      </c>
      <c r="CO926" s="62" t="n">
        <f aca="false">ROUNDUP(CJ926/BZ926,0)</f>
        <v>0</v>
      </c>
      <c r="CP926" s="65" t="n">
        <f aca="false">IF(CA926=1,0,IFERROR(VLOOKUP(BY926,'Gebinde-Kategorie'!$A$5:$N$45,5,0)+0,0))</f>
        <v>8</v>
      </c>
      <c r="CQ926" s="65" t="n">
        <f aca="false">IFERROR(IF(OR(CF926=1,CF926=2,CF926=3),N(INDEX(Parameter!$I$5:$I$7,CF926)),0),0)</f>
        <v>0</v>
      </c>
      <c r="CR926" s="64" t="n">
        <f aca="false">IF(AND(Parameter!$B$21="Ja",ISNUMBER(W926),N(X926)&gt;0),IFERROR(N(INDEX(Parameter!$L$5:$L$7,W926))*INDEX(Parameter!$E$5:$E$7,W926)*X926/SUMIFS($X$7:$X$1843,$W$7:$W$1843,W926),0),0)</f>
        <v>0</v>
      </c>
      <c r="CS926" s="62" t="n">
        <f aca="false">IF(AND(OR(CG926="L1",CG926="L23",CG926="LIFT"),H926&gt;0),CC926*IF(CR926&gt;0,CR926*MAX(1,H926/X926),IF(CA926=1,CE926,IF(R926&gt;0,CN926/R926,0))/MAX(0.1,N(Parameter!$M$21))),"")</f>
        <v>0.553571428571429</v>
      </c>
      <c r="CT926" s="64" t="n">
        <f aca="false">IF(CS926="","",J926/H926)</f>
        <v>5</v>
      </c>
      <c r="CU926" s="62" t="n">
        <f aca="false">IF(CS926="","",H926*G926)</f>
        <v>9.45</v>
      </c>
      <c r="CV926" s="63" t="n">
        <f aca="false">IF(CS926="","",(CL926+ROUNDUP(CL926+MAX(CM926,2*(J926/MAX(0.1,N(Einkauf!$C$6))-CL926)),0))/2)</f>
        <v>2.5</v>
      </c>
      <c r="CW926" s="62" t="n">
        <f aca="false">IF(CS926="","",MAX(0,H926-CV926)*G926)</f>
        <v>0</v>
      </c>
      <c r="CX926" s="62" t="n">
        <f aca="false">IF(CS926="","",CS926*MAX(0,1-CV926/H926))</f>
        <v>0</v>
      </c>
      <c r="CY926" s="64" t="n">
        <f aca="false">IF(CS926="","",PERCENTRANK($CS$7:$CS$1843,CS926)+PERCENTRANK($CU$7:$CU$1843,CU926)+1-PERCENTRANK($CT$7:$CT$1843,CT926))</f>
        <v>0.0868000000000001</v>
      </c>
      <c r="CZ926" s="72" t="n">
        <f aca="false">IF(CS926="","",CHOOSE(MATCH(Einkauf!$C$5,Parameter!$G$23:$G$27,0),CY926,CS926,CU926,-CT926,CW926)+ROW()/1000000000)</f>
        <v>0.0868009260000001</v>
      </c>
    </row>
    <row r="927" customFormat="false" ht="15" hidden="false" customHeight="false" outlineLevel="0" collapsed="false">
      <c r="A927" s="60" t="s">
        <v>1772</v>
      </c>
      <c r="B927" s="60" t="s">
        <v>706</v>
      </c>
      <c r="C927" s="60" t="s">
        <v>206</v>
      </c>
      <c r="D927" s="60" t="s">
        <v>226</v>
      </c>
      <c r="E927" s="60" t="s">
        <v>227</v>
      </c>
      <c r="F927" s="60" t="s">
        <v>260</v>
      </c>
      <c r="G927" s="61" t="n">
        <v>8</v>
      </c>
      <c r="H927" s="62" t="n">
        <f aca="false">MAX(0,IF(AND(Parameter!$B$21="Ja",ISNUMBER(Y927)),Y927,IF(Parameter!$B$20="Jahresanfang 2025 + Export",BS927+BR927,BR927)))</f>
        <v>6</v>
      </c>
      <c r="I927" s="62" t="n">
        <f aca="false">H927*G927</f>
        <v>48</v>
      </c>
      <c r="J927" s="62" t="n">
        <f aca="false">BU927*Parameter!$B$18</f>
        <v>11</v>
      </c>
      <c r="K927" s="63" t="n">
        <v>11</v>
      </c>
      <c r="L927" s="64" t="n">
        <v>1</v>
      </c>
      <c r="M927" s="62" t="n">
        <v>0</v>
      </c>
      <c r="N927" s="62" t="n">
        <v>10</v>
      </c>
      <c r="O927" s="65" t="n">
        <v>14</v>
      </c>
      <c r="P927" s="60" t="s">
        <v>335</v>
      </c>
      <c r="Q927" s="62" t="n">
        <v>20</v>
      </c>
      <c r="R927" s="65" t="n">
        <f aca="false">IF(CA927=1,0,IFERROR(VLOOKUP(BY927,'Gebinde-Kategorie'!$A$5:$N$45,13,0)+0,0))</f>
        <v>12</v>
      </c>
      <c r="S927" s="66"/>
      <c r="T927" s="67"/>
      <c r="U927" s="67"/>
      <c r="V927" s="67"/>
      <c r="W927" s="60"/>
      <c r="X927" s="62"/>
      <c r="Y927" s="62"/>
      <c r="Z927" s="60" t="n">
        <v>3</v>
      </c>
      <c r="AA927" s="60" t="n">
        <f aca="false">IF(A927="","",IF(AND(Parameter!$B$21="Ja",ISNUMBER(W927)),W927,IF(AND(Parameter!$E$27="Ja",ISNUMBER(Z927),CD927&lt;&gt;"Nein"),Z927,IF(CD927="2+3",IF(ISNUMBER(SEARCH("grosser Artikel",BV927)),2,IFERROR(VLOOKUP(BY927,Parameter!$F$35:$G$64,2,0),2)),IF(OR(CD927="Nein",CD927=""),"-",CD927)))))</f>
        <v>3</v>
      </c>
      <c r="AB927" s="67"/>
      <c r="AC927" s="68"/>
      <c r="AD927" s="62" t="n">
        <f aca="false">AW927</f>
        <v>10</v>
      </c>
      <c r="AE927" s="62" t="n">
        <f aca="false">MAX(AW927,H927)</f>
        <v>10</v>
      </c>
      <c r="AF927" s="69"/>
      <c r="AG927" s="62" t="n">
        <f aca="false">IF(LEFT(Cockpit!$C$5,1)="A",H927,IF(Parameter!$E$30="MAX-Bestand",IF(CI927=1,CJ927,IF(LEFT(Cockpit!$C$5,1)="B",AM927,MAX(AM927,H927))),ROUNDUP(AK927,0)))</f>
        <v>6</v>
      </c>
      <c r="AH927" s="62" t="n">
        <f aca="false">IF(CA927=1,0,ROUNDUP(AG927/BZ927,0))</f>
        <v>1</v>
      </c>
      <c r="AI927" s="64" t="n">
        <f aca="false">IF(CR927&gt;0,CR927*MAX(1,AG927/X927),IF(CA927=1,IF(AG927&lt;=0,0,CE927*MAX(1,IF(H927&gt;0,AG927/H927,1))),IF(R927&gt;0,AH927/R927,0))/MAX(0.1,N(Parameter!$M$21)))</f>
        <v>0.0833333333333333</v>
      </c>
      <c r="AJ927" s="62" t="n">
        <f aca="false">AI927*CC927</f>
        <v>20.4166666666667</v>
      </c>
      <c r="AK927" s="63" t="n">
        <f aca="false">IF(LEFT(Cockpit!$C$5,1)="A",H927,IF(CI927=1,(CL927+CJ927)/2,IF(LEFT(Cockpit!$C$5,1)="B",(CL927+AM927)/2,MAX((CL927+AM927)/2,H927))))</f>
        <v>6</v>
      </c>
      <c r="AL927" s="62" t="n">
        <f aca="false">AK927*G927</f>
        <v>48</v>
      </c>
      <c r="AM927" s="62" t="n">
        <f aca="false">ROUNDUP(CL927+MAX(CM927,2*(J927/IF(CH927&gt;0,CH927,MAX(0.1,N(Cockpit!$C$6)))-CL927)),0)</f>
        <v>10</v>
      </c>
      <c r="AN927" s="63" t="n">
        <f aca="false">IF(AJ927&gt;0,J927/AJ927,-1)</f>
        <v>0.538775510204082</v>
      </c>
      <c r="AO927" s="63" t="n">
        <f aca="false">IF(AND(OR(CG927="L1",CG927="L23",CG927="LIFT"),AJ927&gt;0),SUMIFS($AJ$7:$AJ$1843,$CG$7:$CG$1843,CG927,$AN$7:$AN$1843,"&gt;"&amp;AN927)+SUMIFS($AJ$7:$AJ$1843,$CG$7:$CG$1843,CG927,$AN$7:$AN$1843,AN927,$BX$7:$BX$1843,"&lt;="&amp;BX927),"")</f>
        <v>9461.04255396205</v>
      </c>
      <c r="AP927" s="70" t="n">
        <f aca="false">IF(AO927="",0,MAX(0,MIN(1,(IF(CG927="L1",Parameter!$H$5,IF(CG927="L23",Parameter!$H$6+Parameter!$H$7,Parameter!$H$5+Parameter!$H$6+Parameter!$H$7))-(AO927-AJ927))/AJ927)))</f>
        <v>1</v>
      </c>
      <c r="AQ927" s="62" t="n">
        <f aca="false">IF(LEFT(Cockpit!$I$5,1)="A",H927,IF(Parameter!$E$30="MAX-Bestand",IF(CI927=1,CJ927,IF(LEFT(Cockpit!$I$5,1)="B",AW927,MAX(AW927,H927))),ROUNDUP(AU927,0)))</f>
        <v>6</v>
      </c>
      <c r="AR927" s="62" t="n">
        <f aca="false">IF(CA927=1,0,ROUNDUP(AQ927/BZ927,0))</f>
        <v>1</v>
      </c>
      <c r="AS927" s="64" t="n">
        <f aca="false">IF(CR927&gt;0,CR927*MAX(1,AQ927/X927),IF(CA927=1,IF(AQ927&lt;=0,0,CE927*MAX(1,IF(H927&gt;0,AQ927/H927,1))),IF(R927&gt;0,AR927/R927,0))/MAX(0.1,N(Parameter!$M$21)))</f>
        <v>0.0833333333333333</v>
      </c>
      <c r="AT927" s="62" t="n">
        <f aca="false">AS927*CC927</f>
        <v>20.4166666666667</v>
      </c>
      <c r="AU927" s="63" t="n">
        <f aca="false">IF(LEFT(Cockpit!$I$5,1)="A",H927,IF(CI927=1,(CL927+CJ927)/2,IF(LEFT(Cockpit!$I$5,1)="B",(CL927+AW927)/2,MAX((CL927+AW927)/2,H927))))</f>
        <v>6</v>
      </c>
      <c r="AV927" s="62" t="n">
        <f aca="false">AU927*G927</f>
        <v>48</v>
      </c>
      <c r="AW927" s="62" t="n">
        <f aca="false">ROUNDUP(CL927+MAX(CM927,2*(J927/IF(CH927&gt;0,CH927,MAX(0.1,N(Cockpit!$I$6)))-CL927)),0)</f>
        <v>10</v>
      </c>
      <c r="AX927" s="63" t="n">
        <f aca="false">IF(AT927&gt;0,J927/AT927,-1)</f>
        <v>0.538775510204082</v>
      </c>
      <c r="AY927" s="63" t="n">
        <f aca="false">IF(AND(OR(CG927="L1",CG927="L23",CG927="LIFT"),AT927&gt;0),SUMIFS($AT$7:$AT$1843,$CG$7:$CG$1843,CG927,$AX$7:$AX$1843,"&gt;"&amp;AX927)+SUMIFS($AT$7:$AT$1843,$CG$7:$CG$1843,CG927,$AX$7:$AX$1843,AX927,$BX$7:$BX$1843,"&lt;="&amp;BX927),"")</f>
        <v>11838.7893772894</v>
      </c>
      <c r="AZ927" s="70" t="n">
        <f aca="false">IF(AY927="",0,MAX(0,MIN(1,(IF(CG927="L1",Parameter!$H$5,IF(CG927="L23",Parameter!$H$6+Parameter!$H$7,Parameter!$H$5+Parameter!$H$6+Parameter!$H$7))-(AY927-AT927))/AT927)))</f>
        <v>1</v>
      </c>
      <c r="BA927" s="62" t="n">
        <f aca="false">IF(LEFT(Cockpit!$O$5,1)="A",H927,IF(Parameter!$E$30="MAX-Bestand",IF(CI927=1,CJ927,IF(LEFT(Cockpit!$O$5,1)="B",BG927,MAX(BG927,H927))),ROUNDUP(BE927,0)))</f>
        <v>5</v>
      </c>
      <c r="BB927" s="62" t="n">
        <f aca="false">IF(CA927=1,0,ROUNDUP(BA927/BZ927,0))</f>
        <v>1</v>
      </c>
      <c r="BC927" s="64" t="n">
        <f aca="false">IF(CR927&gt;0,CR927*MAX(1,BA927/X927),IF(CA927=1,IF(BA927&lt;=0,0,CE927*MAX(1,IF(H927&gt;0,BA927/H927,1))),IF(R927&gt;0,BB927/R927,0))/MAX(0.1,N(Parameter!$M$21)))</f>
        <v>0.0833333333333333</v>
      </c>
      <c r="BD927" s="62" t="n">
        <f aca="false">BC927*CC927</f>
        <v>20.4166666666667</v>
      </c>
      <c r="BE927" s="63" t="n">
        <f aca="false">IF(LEFT(Cockpit!$O$5,1)="A",H927,IF(CI927=1,(CL927+CJ927)/2,IF(LEFT(Cockpit!$O$5,1)="B",(CL927+BG927)/2,MAX((CL927+BG927)/2,H927))))</f>
        <v>5</v>
      </c>
      <c r="BF927" s="62" t="n">
        <f aca="false">BE927*G927</f>
        <v>40</v>
      </c>
      <c r="BG927" s="62" t="n">
        <f aca="false">ROUNDUP(CL927+MAX(CM927,2*(J927/IF(CH927&gt;0,CH927,MAX(0.1,N(Cockpit!$O$6)))-CL927)),0)</f>
        <v>10</v>
      </c>
      <c r="BH927" s="63" t="n">
        <f aca="false">IF(BD927&gt;0,J927/BD927,-1)</f>
        <v>0.538775510204082</v>
      </c>
      <c r="BI927" s="63" t="n">
        <f aca="false">IF(AND(OR(CG927="L1",CG927="L23",CG927="LIFT"),BD927&gt;0),SUMIFS($BD$7:$BD$1843,$CG$7:$CG$1843,CG927,$BH$7:$BH$1843,"&gt;"&amp;BH927)+SUMIFS($BD$7:$BD$1843,$CG$7:$CG$1843,CG927,$BH$7:$BH$1843,BH927,$BX$7:$BX$1843,"&lt;="&amp;BX927),"")</f>
        <v>10226.3722527473</v>
      </c>
      <c r="BJ927" s="70" t="n">
        <f aca="false">IF(BI927="",0,MAX(0,MIN(1,(IF(CG927="L1",Parameter!$H$5,IF(CG927="L23",Parameter!$H$6+Parameter!$H$7,Parameter!$H$5+Parameter!$H$6+Parameter!$H$7))-(BI927-BD927))/BD927)))</f>
        <v>1</v>
      </c>
      <c r="BK927" s="60" t="str">
        <f aca="false">IF(AJ927&lt;=0,"",IF(CG927="Aussen","Aussenlager",IF(CG927="-","Nicht im Lift",IF(AP927&gt;=1,"Lift",IF(AP927&lt;=0,"Aussenlager","teilweise")))))</f>
        <v>Lift</v>
      </c>
      <c r="BL927" s="60" t="str">
        <f aca="false">IF(AT927&lt;=0,"",IF(CG927="Aussen","Aussenlager",IF(CG927="-","Nicht im Lift",IF(AZ927&gt;=1,"Lift",IF(AZ927&lt;=0,"Aussenlager","teilweise")))))</f>
        <v>Lift</v>
      </c>
      <c r="BM927" s="60" t="str">
        <f aca="false">IF(BD927&lt;=0,"",IF(CG927="Aussen","Aussenlager",IF(CG927="-","Nicht im Lift",IF(BJ927&gt;=1,"Lift",IF(BJ927&lt;=0,"Aussenlager","teilweise")))))</f>
        <v>Lift</v>
      </c>
      <c r="BN927" s="60" t="str">
        <f aca="false">IF(A927="","",IF(BW927=1,"Neu; ","")&amp;IF(AND(BW927=0,BR927&lt;0),"negativer Bestand (Export "&amp;BR927&amp;"); ","")&amp;IF(J927&lt;=0,"Kein Verbrauch; ","")&amp;IF(CR927&gt;0,"Lift "&amp;W927&amp;" lt. Liftbericht (Fach "&amp;X927&amp;" Stk); ",IF(CB927=1,"Gebinde geschätzt ("&amp;T927&amp;"); ",IF(CA927=1,"Lose – Tablare geschätzt; ","")))&amp;IF(H927&gt;AW927,"Überbestand "&amp;ROUND(H927-AW927,0)&amp;" Stk / CHF "&amp;ROUND((H927-AW927)*G927,0)&amp;"; ","")&amp;IF(AND(CI927=1,CJ927&lt;CK927),"MAX &lt; MB+LG; ","")&amp;IF(AND(CQ927&gt;0,CP927*10&gt;CQ927),"zu hoch für Tablar; ","")&amp;IF(AND(BW927=0,OR(CI927=1,AB927&lt;&gt;"",U927&lt;&gt;"",V927&lt;&gt;"",AC927&lt;&gt;"")),"manuell übersteuert; ","")&amp;IF(AND(CA927=0,R927=0),"Gebinde unbekannt / Stellmass fehlt; ","")&amp;IF(AND(CA927=0,N(V927)&lt;=0,N(Q927)&lt;=0),"Menge pro Gebinde fehlt (Ist = 1 Gebinde); ","")&amp;BV927)</f>
        <v>negativer Bestand (Export -6); </v>
      </c>
      <c r="BO927" s="60"/>
      <c r="BP927" s="60"/>
      <c r="BQ927" s="67"/>
      <c r="BR927" s="62" t="n">
        <v>-6</v>
      </c>
      <c r="BS927" s="62" t="n">
        <v>12</v>
      </c>
      <c r="BT927" s="61" t="n">
        <v>-48</v>
      </c>
      <c r="BU927" s="62" t="n">
        <v>11</v>
      </c>
      <c r="BV927" s="60"/>
      <c r="BW927" s="65" t="n">
        <v>0</v>
      </c>
      <c r="BX927" s="65" t="n">
        <v>927</v>
      </c>
      <c r="BY927" s="60" t="str">
        <f aca="false">IF(U927&lt;&gt;"",UPPER(TRIM(U927)),IF(CB927=1,UPPER(VLOOKUP(T927,Parameter!$I$27:$K$29,2,0)),IF(P927="","LOSE",P927)))</f>
        <v>S62</v>
      </c>
      <c r="BZ927" s="62" t="n">
        <f aca="false">IF(BY927="LOSE",1,IF(N(V927)&gt;0,V927,IF(CB927=1,MAX(1,N(VLOOKUP(T927,Parameter!$I$27:$K$29,3,0)),H927,N(N927)),IF(N(Q927)&gt;0,Q927,MAX(1,H927)))))</f>
        <v>20</v>
      </c>
      <c r="CA927" s="65" t="n">
        <f aca="false">IF(BY927="LOSE",1,0)</f>
        <v>0</v>
      </c>
      <c r="CB927" s="65" t="n">
        <f aca="false">IF(AND(U927="",OR(P927="",P927="LOSE"),T927&lt;&gt;"",N(S927)&lt;=0,ISNUMBER(MATCH(T927,Parameter!$I$27:$I$29,0))),1,0)</f>
        <v>0</v>
      </c>
      <c r="CC927" s="65" t="n">
        <f aca="false">IF(CR927&gt;0,INDEX(Parameter!$H$5:$H$7,W927)/INDEX(Parameter!$E$5:$E$7,W927),IF(AND(CA927=0,N(IFERROR(VLOOKUP(BY927,'Gebinde-Kategorie'!$A$5:$N$45,14,0),0))&gt;0),VLOOKUP(BY927,'Gebinde-Kategorie'!$A$5:$N$45,14,0)*10+Parameter!$M$23,Parameter!$M$24))</f>
        <v>245</v>
      </c>
      <c r="CD927" s="60" t="str">
        <f aca="false">IF(AND(Parameter!$B$19="Ja",E927&lt;&gt;"",ISNUMBER(MATCH(E927,Parameter!$I$35:$I$52,0))),VLOOKUP(E927,Parameter!$I$35:$J$52,2,0),IFERROR(VLOOKUP(D927,Parameter!$A$35:$C$64,2,0),"Nein"))</f>
        <v>2+3</v>
      </c>
      <c r="CE927" s="64" t="n">
        <f aca="false">IF(CA927=0,0,IF(N(S927)&gt;0,S927,IFERROR(VLOOKUP(D927,Parameter!$A$35:$C$64,3,0)+0,0)))</f>
        <v>0</v>
      </c>
      <c r="CF927" s="60" t="n">
        <f aca="false">IF(AB927&lt;&gt;"",AB927,AA927)</f>
        <v>3</v>
      </c>
      <c r="CG927" s="60" t="str">
        <f aca="false">IF(OR(CF927=1,CF927=2,CF927=3),IF(Parameter!$E$27="Ja","LIFT",IF(CF927=1,"L1","L23")),IF(CF927="Aussen","Aussen","-"))</f>
        <v>LIFT</v>
      </c>
      <c r="CH927" s="71" t="n">
        <f aca="false">IF(N(AC927)&gt;0,AC927,0)</f>
        <v>0</v>
      </c>
      <c r="CI927" s="65" t="n">
        <f aca="false">IF(ISNUMBER(AF927),1,0)</f>
        <v>0</v>
      </c>
      <c r="CJ927" s="62" t="n">
        <f aca="false">N(AF927)</f>
        <v>0</v>
      </c>
      <c r="CK927" s="62" t="n">
        <f aca="false">N(M927)+N(N927)</f>
        <v>10</v>
      </c>
      <c r="CL927" s="62" t="n">
        <f aca="false">N(M927)</f>
        <v>0</v>
      </c>
      <c r="CM927" s="62" t="n">
        <f aca="false">N(N927)</f>
        <v>10</v>
      </c>
      <c r="CN927" s="62" t="n">
        <f aca="false">ROUNDUP(H927/BZ927,0)</f>
        <v>1</v>
      </c>
      <c r="CO927" s="62" t="n">
        <f aca="false">ROUNDUP(CJ927/BZ927,0)</f>
        <v>0</v>
      </c>
      <c r="CP927" s="65" t="n">
        <f aca="false">IF(CA927=1,0,IFERROR(VLOOKUP(BY927,'Gebinde-Kategorie'!$A$5:$N$45,5,0)+0,0))</f>
        <v>21</v>
      </c>
      <c r="CQ927" s="65" t="n">
        <f aca="false">IFERROR(IF(OR(CF927=1,CF927=2,CF927=3),N(INDEX(Parameter!$I$5:$I$7,CF927)),0),0)</f>
        <v>0</v>
      </c>
      <c r="CR927" s="64" t="n">
        <f aca="false">IF(AND(Parameter!$B$21="Ja",ISNUMBER(W927),N(X927)&gt;0),IFERROR(N(INDEX(Parameter!$L$5:$L$7,W927))*INDEX(Parameter!$E$5:$E$7,W927)*X927/SUMIFS($X$7:$X$1843,$W$7:$W$1843,W927),0),0)</f>
        <v>0</v>
      </c>
      <c r="CS927" s="62" t="n">
        <f aca="false">IF(AND(OR(CG927="L1",CG927="L23",CG927="LIFT"),H927&gt;0),CC927*IF(CR927&gt;0,CR927*MAX(1,H927/X927),IF(CA927=1,CE927,IF(R927&gt;0,CN927/R927,0))/MAX(0.1,N(Parameter!$M$21))),"")</f>
        <v>20.4166666666667</v>
      </c>
      <c r="CT927" s="64" t="n">
        <f aca="false">IF(CS927="","",J927/H927)</f>
        <v>1.83333333333333</v>
      </c>
      <c r="CU927" s="62" t="n">
        <f aca="false">IF(CS927="","",H927*G927)</f>
        <v>48</v>
      </c>
      <c r="CV927" s="63" t="n">
        <f aca="false">IF(CS927="","",(CL927+ROUNDUP(CL927+MAX(CM927,2*(J927/MAX(0.1,N(Einkauf!$C$6))-CL927)),0))/2)</f>
        <v>5</v>
      </c>
      <c r="CW927" s="62" t="n">
        <f aca="false">IF(CS927="","",MAX(0,H927-CV927)*G927)</f>
        <v>8</v>
      </c>
      <c r="CX927" s="62" t="n">
        <f aca="false">IF(CS927="","",CS927*MAX(0,1-CV927/H927))</f>
        <v>3.40277777777778</v>
      </c>
      <c r="CY927" s="64" t="n">
        <f aca="false">IF(CS927="","",PERCENTRANK($CS$7:$CS$1843,CS927)+PERCENTRANK($CU$7:$CU$1843,CU927)+1-PERCENTRANK($CT$7:$CT$1843,CT927))</f>
        <v>1.128</v>
      </c>
      <c r="CZ927" s="72" t="n">
        <f aca="false">IF(CS927="","",CHOOSE(MATCH(Einkauf!$C$5,Parameter!$G$23:$G$27,0),CY927,CS927,CU927,-CT927,CW927)+ROW()/1000000000)</f>
        <v>1.128000927</v>
      </c>
    </row>
    <row r="928" customFormat="false" ht="15" hidden="false" customHeight="false" outlineLevel="0" collapsed="false">
      <c r="A928" s="60" t="s">
        <v>1773</v>
      </c>
      <c r="B928" s="60" t="s">
        <v>759</v>
      </c>
      <c r="C928" s="60" t="s">
        <v>206</v>
      </c>
      <c r="D928" s="60" t="s">
        <v>215</v>
      </c>
      <c r="E928" s="60" t="s">
        <v>208</v>
      </c>
      <c r="F928" s="60" t="s">
        <v>260</v>
      </c>
      <c r="G928" s="61" t="n">
        <v>48.24</v>
      </c>
      <c r="H928" s="62" t="n">
        <f aca="false">MAX(0,IF(AND(Parameter!$B$21="Ja",ISNUMBER(Y928)),Y928,IF(Parameter!$B$20="Jahresanfang 2025 + Export",BS928+BR928,BR928)))</f>
        <v>2</v>
      </c>
      <c r="I928" s="62" t="n">
        <f aca="false">H928*G928</f>
        <v>96.48</v>
      </c>
      <c r="J928" s="62" t="n">
        <f aca="false">BU928*Parameter!$B$18</f>
        <v>0</v>
      </c>
      <c r="K928" s="63" t="n">
        <v>3</v>
      </c>
      <c r="L928" s="64" t="n">
        <v>0</v>
      </c>
      <c r="M928" s="62" t="n">
        <v>0</v>
      </c>
      <c r="N928" s="62" t="n">
        <v>1</v>
      </c>
      <c r="O928" s="65" t="n">
        <v>28</v>
      </c>
      <c r="P928" s="60" t="s">
        <v>344</v>
      </c>
      <c r="Q928" s="62" t="n">
        <v>20</v>
      </c>
      <c r="R928" s="65" t="n">
        <f aca="false">IF(CA928=1,0,IFERROR(VLOOKUP(BY928,'Gebinde-Kategorie'!$A$5:$N$45,13,0)+0,0))</f>
        <v>26</v>
      </c>
      <c r="S928" s="66"/>
      <c r="T928" s="67"/>
      <c r="U928" s="67"/>
      <c r="V928" s="67"/>
      <c r="W928" s="60"/>
      <c r="X928" s="62"/>
      <c r="Y928" s="62"/>
      <c r="Z928" s="60" t="n">
        <v>3</v>
      </c>
      <c r="AA928" s="60" t="n">
        <f aca="false">IF(A928="","",IF(AND(Parameter!$B$21="Ja",ISNUMBER(W928)),W928,IF(AND(Parameter!$E$27="Ja",ISNUMBER(Z928),CD928&lt;&gt;"Nein"),Z928,IF(CD928="2+3",IF(ISNUMBER(SEARCH("grosser Artikel",BV928)),2,IFERROR(VLOOKUP(BY928,Parameter!$F$35:$G$64,2,0),2)),IF(OR(CD928="Nein",CD928=""),"-",CD928)))))</f>
        <v>3</v>
      </c>
      <c r="AB928" s="67"/>
      <c r="AC928" s="68"/>
      <c r="AD928" s="62" t="n">
        <f aca="false">AW928</f>
        <v>1</v>
      </c>
      <c r="AE928" s="62" t="n">
        <f aca="false">MAX(AW928,H928)</f>
        <v>2</v>
      </c>
      <c r="AF928" s="69"/>
      <c r="AG928" s="62" t="n">
        <f aca="false">IF(LEFT(Cockpit!$C$5,1)="A",H928,IF(Parameter!$E$30="MAX-Bestand",IF(CI928=1,CJ928,IF(LEFT(Cockpit!$C$5,1)="B",AM928,MAX(AM928,H928))),ROUNDUP(AK928,0)))</f>
        <v>2</v>
      </c>
      <c r="AH928" s="62" t="n">
        <f aca="false">IF(CA928=1,0,ROUNDUP(AG928/BZ928,0))</f>
        <v>1</v>
      </c>
      <c r="AI928" s="64" t="n">
        <f aca="false">IF(CR928&gt;0,CR928*MAX(1,AG928/X928),IF(CA928=1,IF(AG928&lt;=0,0,CE928*MAX(1,IF(H928&gt;0,AG928/H928,1))),IF(R928&gt;0,AH928/R928,0))/MAX(0.1,N(Parameter!$M$21)))</f>
        <v>0.0384615384615385</v>
      </c>
      <c r="AJ928" s="62" t="n">
        <f aca="false">AI928*CC928</f>
        <v>5.96153846153846</v>
      </c>
      <c r="AK928" s="63" t="n">
        <f aca="false">IF(LEFT(Cockpit!$C$5,1)="A",H928,IF(CI928=1,(CL928+CJ928)/2,IF(LEFT(Cockpit!$C$5,1)="B",(CL928+AM928)/2,MAX((CL928+AM928)/2,H928))))</f>
        <v>2</v>
      </c>
      <c r="AL928" s="62" t="n">
        <f aca="false">AK928*G928</f>
        <v>96.48</v>
      </c>
      <c r="AM928" s="62" t="n">
        <f aca="false">ROUNDUP(CL928+MAX(CM928,2*(J928/IF(CH928&gt;0,CH928,MAX(0.1,N(Cockpit!$C$6)))-CL928)),0)</f>
        <v>1</v>
      </c>
      <c r="AN928" s="63" t="n">
        <f aca="false">IF(AJ928&gt;0,J928/AJ928,-1)</f>
        <v>0</v>
      </c>
      <c r="AO928" s="63" t="n">
        <f aca="false">IF(AND(OR(CG928="L1",CG928="L23",CG928="LIFT"),AJ928&gt;0),SUMIFS($AJ$7:$AJ$1843,$CG$7:$CG$1843,CG928,$AN$7:$AN$1843,"&gt;"&amp;AN928)+SUMIFS($AJ$7:$AJ$1843,$CG$7:$CG$1843,CG928,$AN$7:$AN$1843,AN928,$BX$7:$BX$1843,"&lt;="&amp;BX928),"")</f>
        <v>28862.5248934211</v>
      </c>
      <c r="AP928" s="70" t="n">
        <f aca="false">IF(AO928="",0,MAX(0,MIN(1,(IF(CG928="L1",Parameter!$H$5,IF(CG928="L23",Parameter!$H$6+Parameter!$H$7,Parameter!$H$5+Parameter!$H$6+Parameter!$H$7))-(AO928-AJ928))/AJ928)))</f>
        <v>1</v>
      </c>
      <c r="AQ928" s="62" t="n">
        <f aca="false">IF(LEFT(Cockpit!$I$5,1)="A",H928,IF(Parameter!$E$30="MAX-Bestand",IF(CI928=1,CJ928,IF(LEFT(Cockpit!$I$5,1)="B",AW928,MAX(AW928,H928))),ROUNDUP(AU928,0)))</f>
        <v>2</v>
      </c>
      <c r="AR928" s="62" t="n">
        <f aca="false">IF(CA928=1,0,ROUNDUP(AQ928/BZ928,0))</f>
        <v>1</v>
      </c>
      <c r="AS928" s="64" t="n">
        <f aca="false">IF(CR928&gt;0,CR928*MAX(1,AQ928/X928),IF(CA928=1,IF(AQ928&lt;=0,0,CE928*MAX(1,IF(H928&gt;0,AQ928/H928,1))),IF(R928&gt;0,AR928/R928,0))/MAX(0.1,N(Parameter!$M$21)))</f>
        <v>0.0384615384615385</v>
      </c>
      <c r="AT928" s="62" t="n">
        <f aca="false">AS928*CC928</f>
        <v>5.96153846153846</v>
      </c>
      <c r="AU928" s="63" t="n">
        <f aca="false">IF(LEFT(Cockpit!$I$5,1)="A",H928,IF(CI928=1,(CL928+CJ928)/2,IF(LEFT(Cockpit!$I$5,1)="B",(CL928+AW928)/2,MAX((CL928+AW928)/2,H928))))</f>
        <v>2</v>
      </c>
      <c r="AV928" s="62" t="n">
        <f aca="false">AU928*G928</f>
        <v>96.48</v>
      </c>
      <c r="AW928" s="62" t="n">
        <f aca="false">ROUNDUP(CL928+MAX(CM928,2*(J928/IF(CH928&gt;0,CH928,MAX(0.1,N(Cockpit!$I$6)))-CL928)),0)</f>
        <v>1</v>
      </c>
      <c r="AX928" s="63" t="n">
        <f aca="false">IF(AT928&gt;0,J928/AT928,-1)</f>
        <v>0</v>
      </c>
      <c r="AY928" s="63" t="n">
        <f aca="false">IF(AND(OR(CG928="L1",CG928="L23",CG928="LIFT"),AT928&gt;0),SUMIFS($AT$7:$AT$1843,$CG$7:$CG$1843,CG928,$AX$7:$AX$1843,"&gt;"&amp;AX928)+SUMIFS($AT$7:$AT$1843,$CG$7:$CG$1843,CG928,$AX$7:$AX$1843,AX928,$BX$7:$BX$1843,"&lt;="&amp;BX928),"")</f>
        <v>34524.4963369963</v>
      </c>
      <c r="AZ928" s="70" t="n">
        <f aca="false">IF(AY928="",0,MAX(0,MIN(1,(IF(CG928="L1",Parameter!$H$5,IF(CG928="L23",Parameter!$H$6+Parameter!$H$7,Parameter!$H$5+Parameter!$H$6+Parameter!$H$7))-(AY928-AT928))/AT928)))</f>
        <v>1</v>
      </c>
      <c r="BA928" s="62" t="n">
        <f aca="false">IF(LEFT(Cockpit!$O$5,1)="A",H928,IF(Parameter!$E$30="MAX-Bestand",IF(CI928=1,CJ928,IF(LEFT(Cockpit!$O$5,1)="B",BG928,MAX(BG928,H928))),ROUNDUP(BE928,0)))</f>
        <v>1</v>
      </c>
      <c r="BB928" s="62" t="n">
        <f aca="false">IF(CA928=1,0,ROUNDUP(BA928/BZ928,0))</f>
        <v>1</v>
      </c>
      <c r="BC928" s="64" t="n">
        <f aca="false">IF(CR928&gt;0,CR928*MAX(1,BA928/X928),IF(CA928=1,IF(BA928&lt;=0,0,CE928*MAX(1,IF(H928&gt;0,BA928/H928,1))),IF(R928&gt;0,BB928/R928,0))/MAX(0.1,N(Parameter!$M$21)))</f>
        <v>0.0384615384615385</v>
      </c>
      <c r="BD928" s="62" t="n">
        <f aca="false">BC928*CC928</f>
        <v>5.96153846153846</v>
      </c>
      <c r="BE928" s="63" t="n">
        <f aca="false">IF(LEFT(Cockpit!$O$5,1)="A",H928,IF(CI928=1,(CL928+CJ928)/2,IF(LEFT(Cockpit!$O$5,1)="B",(CL928+BG928)/2,MAX((CL928+BG928)/2,H928))))</f>
        <v>0.5</v>
      </c>
      <c r="BF928" s="62" t="n">
        <f aca="false">BE928*G928</f>
        <v>24.12</v>
      </c>
      <c r="BG928" s="62" t="n">
        <f aca="false">ROUNDUP(CL928+MAX(CM928,2*(J928/IF(CH928&gt;0,CH928,MAX(0.1,N(Cockpit!$O$6)))-CL928)),0)</f>
        <v>1</v>
      </c>
      <c r="BH928" s="63" t="n">
        <f aca="false">IF(BD928&gt;0,J928/BD928,-1)</f>
        <v>0</v>
      </c>
      <c r="BI928" s="63" t="n">
        <f aca="false">IF(AND(OR(CG928="L1",CG928="L23",CG928="LIFT"),BD928&gt;0),SUMIFS($BD$7:$BD$1843,$CG$7:$CG$1843,CG928,$BH$7:$BH$1843,"&gt;"&amp;BH928)+SUMIFS($BD$7:$BD$1843,$CG$7:$CG$1843,CG928,$BH$7:$BH$1843,BH928,$BX$7:$BX$1843,"&lt;="&amp;BX928),"")</f>
        <v>28556.1024476936</v>
      </c>
      <c r="BJ928" s="70" t="n">
        <f aca="false">IF(BI928="",0,MAX(0,MIN(1,(IF(CG928="L1",Parameter!$H$5,IF(CG928="L23",Parameter!$H$6+Parameter!$H$7,Parameter!$H$5+Parameter!$H$6+Parameter!$H$7))-(BI928-BD928))/BD928)))</f>
        <v>1</v>
      </c>
      <c r="BK928" s="60" t="str">
        <f aca="false">IF(AJ928&lt;=0,"",IF(CG928="Aussen","Aussenlager",IF(CG928="-","Nicht im Lift",IF(AP928&gt;=1,"Lift",IF(AP928&lt;=0,"Aussenlager","teilweise")))))</f>
        <v>Lift</v>
      </c>
      <c r="BL928" s="60" t="str">
        <f aca="false">IF(AT928&lt;=0,"",IF(CG928="Aussen","Aussenlager",IF(CG928="-","Nicht im Lift",IF(AZ928&gt;=1,"Lift",IF(AZ928&lt;=0,"Aussenlager","teilweise")))))</f>
        <v>Lift</v>
      </c>
      <c r="BM928" s="60" t="str">
        <f aca="false">IF(BD928&lt;=0,"",IF(CG928="Aussen","Aussenlager",IF(CG928="-","Nicht im Lift",IF(BJ928&gt;=1,"Lift",IF(BJ928&lt;=0,"Aussenlager","teilweise")))))</f>
        <v>Lift</v>
      </c>
      <c r="BN928" s="60" t="str">
        <f aca="false">IF(A928="","",IF(BW928=1,"Neu; ","")&amp;IF(AND(BW928=0,BR928&lt;0),"negativer Bestand (Export "&amp;BR928&amp;"); ","")&amp;IF(J928&lt;=0,"Kein Verbrauch; ","")&amp;IF(CR928&gt;0,"Lift "&amp;W928&amp;" lt. Liftbericht (Fach "&amp;X928&amp;" Stk); ",IF(CB928=1,"Gebinde geschätzt ("&amp;T928&amp;"); ",IF(CA928=1,"Lose – Tablare geschätzt; ","")))&amp;IF(H928&gt;AW928,"Überbestand "&amp;ROUND(H928-AW928,0)&amp;" Stk / CHF "&amp;ROUND((H928-AW928)*G928,0)&amp;"; ","")&amp;IF(AND(CI928=1,CJ928&lt;CK928),"MAX &lt; MB+LG; ","")&amp;IF(AND(CQ928&gt;0,CP928*10&gt;CQ928),"zu hoch für Tablar; ","")&amp;IF(AND(BW928=0,OR(CI928=1,AB928&lt;&gt;"",U928&lt;&gt;"",V928&lt;&gt;"",AC928&lt;&gt;"")),"manuell übersteuert; ","")&amp;IF(AND(CA928=0,R928=0),"Gebinde unbekannt / Stellmass fehlt; ","")&amp;IF(AND(CA928=0,N(V928)&lt;=0,N(Q928)&lt;=0),"Menge pro Gebinde fehlt (Ist = 1 Gebinde); ","")&amp;BV928)</f>
        <v>negativer Bestand (Export -1); Kein Verbrauch; Überbestand 1 Stk / CHF 48; </v>
      </c>
      <c r="BO928" s="60"/>
      <c r="BP928" s="60"/>
      <c r="BQ928" s="67"/>
      <c r="BR928" s="62" t="n">
        <v>-1</v>
      </c>
      <c r="BS928" s="62" t="n">
        <v>3</v>
      </c>
      <c r="BT928" s="61" t="n">
        <v>-48.24</v>
      </c>
      <c r="BU928" s="62" t="n">
        <v>0</v>
      </c>
      <c r="BV928" s="60"/>
      <c r="BW928" s="65" t="n">
        <v>0</v>
      </c>
      <c r="BX928" s="65" t="n">
        <v>928</v>
      </c>
      <c r="BY928" s="60" t="str">
        <f aca="false">IF(U928&lt;&gt;"",UPPER(TRIM(U928)),IF(CB928=1,UPPER(VLOOKUP(T928,Parameter!$I$27:$K$29,2,0)),IF(P928="","LOSE",P928)))</f>
        <v>S51</v>
      </c>
      <c r="BZ928" s="62" t="n">
        <f aca="false">IF(BY928="LOSE",1,IF(N(V928)&gt;0,V928,IF(CB928=1,MAX(1,N(VLOOKUP(T928,Parameter!$I$27:$K$29,3,0)),H928,N(N928)),IF(N(Q928)&gt;0,Q928,MAX(1,H928)))))</f>
        <v>20</v>
      </c>
      <c r="CA928" s="65" t="n">
        <f aca="false">IF(BY928="LOSE",1,0)</f>
        <v>0</v>
      </c>
      <c r="CB928" s="65" t="n">
        <f aca="false">IF(AND(U928="",OR(P928="",P928="LOSE"),T928&lt;&gt;"",N(S928)&lt;=0,ISNUMBER(MATCH(T928,Parameter!$I$27:$I$29,0))),1,0)</f>
        <v>0</v>
      </c>
      <c r="CC928" s="65" t="n">
        <f aca="false">IF(CR928&gt;0,INDEX(Parameter!$H$5:$H$7,W928)/INDEX(Parameter!$E$5:$E$7,W928),IF(AND(CA928=0,N(IFERROR(VLOOKUP(BY928,'Gebinde-Kategorie'!$A$5:$N$45,14,0),0))&gt;0),VLOOKUP(BY928,'Gebinde-Kategorie'!$A$5:$N$45,14,0)*10+Parameter!$M$23,Parameter!$M$24))</f>
        <v>155</v>
      </c>
      <c r="CD928" s="60" t="n">
        <f aca="false">IF(AND(Parameter!$B$19="Ja",E928&lt;&gt;"",ISNUMBER(MATCH(E928,Parameter!$I$35:$I$52,0))),VLOOKUP(E928,Parameter!$I$35:$J$52,2,0),IFERROR(VLOOKUP(D928,Parameter!$A$35:$C$64,2,0),"Nein"))</f>
        <v>1</v>
      </c>
      <c r="CE928" s="64" t="n">
        <f aca="false">IF(CA928=0,0,IF(N(S928)&gt;0,S928,IFERROR(VLOOKUP(D928,Parameter!$A$35:$C$64,3,0)+0,0)))</f>
        <v>0</v>
      </c>
      <c r="CF928" s="60" t="n">
        <f aca="false">IF(AB928&lt;&gt;"",AB928,AA928)</f>
        <v>3</v>
      </c>
      <c r="CG928" s="60" t="str">
        <f aca="false">IF(OR(CF928=1,CF928=2,CF928=3),IF(Parameter!$E$27="Ja","LIFT",IF(CF928=1,"L1","L23")),IF(CF928="Aussen","Aussen","-"))</f>
        <v>LIFT</v>
      </c>
      <c r="CH928" s="71" t="n">
        <f aca="false">IF(N(AC928)&gt;0,AC928,0)</f>
        <v>0</v>
      </c>
      <c r="CI928" s="65" t="n">
        <f aca="false">IF(ISNUMBER(AF928),1,0)</f>
        <v>0</v>
      </c>
      <c r="CJ928" s="62" t="n">
        <f aca="false">N(AF928)</f>
        <v>0</v>
      </c>
      <c r="CK928" s="62" t="n">
        <f aca="false">N(M928)+N(N928)</f>
        <v>1</v>
      </c>
      <c r="CL928" s="62" t="n">
        <f aca="false">N(M928)</f>
        <v>0</v>
      </c>
      <c r="CM928" s="62" t="n">
        <f aca="false">N(N928)</f>
        <v>1</v>
      </c>
      <c r="CN928" s="62" t="n">
        <f aca="false">ROUNDUP(H928/BZ928,0)</f>
        <v>1</v>
      </c>
      <c r="CO928" s="62" t="n">
        <f aca="false">ROUNDUP(CJ928/BZ928,0)</f>
        <v>0</v>
      </c>
      <c r="CP928" s="65" t="n">
        <f aca="false">IF(CA928=1,0,IFERROR(VLOOKUP(BY928,'Gebinde-Kategorie'!$A$5:$N$45,5,0)+0,0))</f>
        <v>11</v>
      </c>
      <c r="CQ928" s="65" t="n">
        <f aca="false">IFERROR(IF(OR(CF928=1,CF928=2,CF928=3),N(INDEX(Parameter!$I$5:$I$7,CF928)),0),0)</f>
        <v>0</v>
      </c>
      <c r="CR928" s="64" t="n">
        <f aca="false">IF(AND(Parameter!$B$21="Ja",ISNUMBER(W928),N(X928)&gt;0),IFERROR(N(INDEX(Parameter!$L$5:$L$7,W928))*INDEX(Parameter!$E$5:$E$7,W928)*X928/SUMIFS($X$7:$X$1843,$W$7:$W$1843,W928),0),0)</f>
        <v>0</v>
      </c>
      <c r="CS928" s="62" t="n">
        <f aca="false">IF(AND(OR(CG928="L1",CG928="L23",CG928="LIFT"),H928&gt;0),CC928*IF(CR928&gt;0,CR928*MAX(1,H928/X928),IF(CA928=1,CE928,IF(R928&gt;0,CN928/R928,0))/MAX(0.1,N(Parameter!$M$21))),"")</f>
        <v>5.96153846153846</v>
      </c>
      <c r="CT928" s="64" t="n">
        <f aca="false">IF(CS928="","",J928/H928)</f>
        <v>0</v>
      </c>
      <c r="CU928" s="62" t="n">
        <f aca="false">IF(CS928="","",H928*G928)</f>
        <v>96.48</v>
      </c>
      <c r="CV928" s="63" t="n">
        <f aca="false">IF(CS928="","",(CL928+ROUNDUP(CL928+MAX(CM928,2*(J928/MAX(0.1,N(Einkauf!$C$6))-CL928)),0))/2)</f>
        <v>0.5</v>
      </c>
      <c r="CW928" s="62" t="n">
        <f aca="false">IF(CS928="","",MAX(0,H928-CV928)*G928)</f>
        <v>72.36</v>
      </c>
      <c r="CX928" s="62" t="n">
        <f aca="false">IF(CS928="","",CS928*MAX(0,1-CV928/H928))</f>
        <v>4.47115384615385</v>
      </c>
      <c r="CY928" s="64" t="n">
        <f aca="false">IF(CS928="","",PERCENTRANK($CS$7:$CS$1843,CS928)+PERCENTRANK($CU$7:$CU$1843,CU928)+1-PERCENTRANK($CT$7:$CT$1843,CT928))</f>
        <v>1.587</v>
      </c>
      <c r="CZ928" s="72" t="n">
        <f aca="false">IF(CS928="","",CHOOSE(MATCH(Einkauf!$C$5,Parameter!$G$23:$G$27,0),CY928,CS928,CU928,-CT928,CW928)+ROW()/1000000000)</f>
        <v>1.587000928</v>
      </c>
    </row>
    <row r="929" customFormat="false" ht="15" hidden="false" customHeight="false" outlineLevel="0" collapsed="false">
      <c r="A929" s="60" t="s">
        <v>1774</v>
      </c>
      <c r="B929" s="60" t="s">
        <v>1775</v>
      </c>
      <c r="C929" s="60" t="s">
        <v>206</v>
      </c>
      <c r="D929" s="60" t="s">
        <v>226</v>
      </c>
      <c r="E929" s="60" t="s">
        <v>227</v>
      </c>
      <c r="F929" s="60" t="s">
        <v>260</v>
      </c>
      <c r="G929" s="61" t="n">
        <v>14.45</v>
      </c>
      <c r="H929" s="62" t="n">
        <f aca="false">MAX(0,IF(AND(Parameter!$B$21="Ja",ISNUMBER(Y929)),Y929,IF(Parameter!$B$20="Jahresanfang 2025 + Export",BS929+BR929,BR929)))</f>
        <v>8</v>
      </c>
      <c r="I929" s="62" t="n">
        <f aca="false">H929*G929</f>
        <v>115.6</v>
      </c>
      <c r="J929" s="62" t="n">
        <f aca="false">BU929*Parameter!$B$18</f>
        <v>7</v>
      </c>
      <c r="K929" s="63" t="n">
        <v>10</v>
      </c>
      <c r="L929" s="64" t="n">
        <v>0.7</v>
      </c>
      <c r="M929" s="62" t="n">
        <v>0</v>
      </c>
      <c r="N929" s="62" t="n">
        <v>5</v>
      </c>
      <c r="O929" s="65" t="n">
        <v>22</v>
      </c>
      <c r="P929" s="60" t="s">
        <v>370</v>
      </c>
      <c r="Q929" s="62" t="n">
        <v>22</v>
      </c>
      <c r="R929" s="65" t="n">
        <f aca="false">IF(CA929=1,0,IFERROR(VLOOKUP(BY929,'Gebinde-Kategorie'!$A$5:$N$45,13,0)+0,0))</f>
        <v>52</v>
      </c>
      <c r="S929" s="66"/>
      <c r="T929" s="67"/>
      <c r="U929" s="67"/>
      <c r="V929" s="67"/>
      <c r="W929" s="60"/>
      <c r="X929" s="62"/>
      <c r="Y929" s="62"/>
      <c r="Z929" s="60" t="n">
        <v>2</v>
      </c>
      <c r="AA929" s="60" t="n">
        <f aca="false">IF(A929="","",IF(AND(Parameter!$B$21="Ja",ISNUMBER(W929)),W929,IF(AND(Parameter!$E$27="Ja",ISNUMBER(Z929),CD929&lt;&gt;"Nein"),Z929,IF(CD929="2+3",IF(ISNUMBER(SEARCH("grosser Artikel",BV929)),2,IFERROR(VLOOKUP(BY929,Parameter!$F$35:$G$64,2,0),2)),IF(OR(CD929="Nein",CD929=""),"-",CD929)))))</f>
        <v>2</v>
      </c>
      <c r="AB929" s="67"/>
      <c r="AC929" s="68"/>
      <c r="AD929" s="62" t="n">
        <f aca="false">AW929</f>
        <v>5</v>
      </c>
      <c r="AE929" s="62" t="n">
        <f aca="false">MAX(AW929,H929)</f>
        <v>8</v>
      </c>
      <c r="AF929" s="69"/>
      <c r="AG929" s="62" t="n">
        <f aca="false">IF(LEFT(Cockpit!$C$5,1)="A",H929,IF(Parameter!$E$30="MAX-Bestand",IF(CI929=1,CJ929,IF(LEFT(Cockpit!$C$5,1)="B",AM929,MAX(AM929,H929))),ROUNDUP(AK929,0)))</f>
        <v>8</v>
      </c>
      <c r="AH929" s="62" t="n">
        <f aca="false">IF(CA929=1,0,ROUNDUP(AG929/BZ929,0))</f>
        <v>1</v>
      </c>
      <c r="AI929" s="64" t="n">
        <f aca="false">IF(CR929&gt;0,CR929*MAX(1,AG929/X929),IF(CA929=1,IF(AG929&lt;=0,0,CE929*MAX(1,IF(H929&gt;0,AG929/H929,1))),IF(R929&gt;0,AH929/R929,0))/MAX(0.1,N(Parameter!$M$21)))</f>
        <v>0.0192307692307692</v>
      </c>
      <c r="AJ929" s="62" t="n">
        <f aca="false">AI929*CC929</f>
        <v>2.98076923076923</v>
      </c>
      <c r="AK929" s="63" t="n">
        <f aca="false">IF(LEFT(Cockpit!$C$5,1)="A",H929,IF(CI929=1,(CL929+CJ929)/2,IF(LEFT(Cockpit!$C$5,1)="B",(CL929+AM929)/2,MAX((CL929+AM929)/2,H929))))</f>
        <v>8</v>
      </c>
      <c r="AL929" s="62" t="n">
        <f aca="false">AK929*G929</f>
        <v>115.6</v>
      </c>
      <c r="AM929" s="62" t="n">
        <f aca="false">ROUNDUP(CL929+MAX(CM929,2*(J929/IF(CH929&gt;0,CH929,MAX(0.1,N(Cockpit!$C$6)))-CL929)),0)</f>
        <v>5</v>
      </c>
      <c r="AN929" s="63" t="n">
        <f aca="false">IF(AJ929&gt;0,J929/AJ929,-1)</f>
        <v>2.34838709677419</v>
      </c>
      <c r="AO929" s="63" t="n">
        <f aca="false">IF(AND(OR(CG929="L1",CG929="L23",CG929="LIFT"),AJ929&gt;0),SUMIFS($AJ$7:$AJ$1843,$CG$7:$CG$1843,CG929,$AN$7:$AN$1843,"&gt;"&amp;AN929)+SUMIFS($AJ$7:$AJ$1843,$CG$7:$CG$1843,CG929,$AN$7:$AN$1843,AN929,$BX$7:$BX$1843,"&lt;="&amp;BX929),"")</f>
        <v>5634.19917582418</v>
      </c>
      <c r="AP929" s="70" t="n">
        <f aca="false">IF(AO929="",0,MAX(0,MIN(1,(IF(CG929="L1",Parameter!$H$5,IF(CG929="L23",Parameter!$H$6+Parameter!$H$7,Parameter!$H$5+Parameter!$H$6+Parameter!$H$7))-(AO929-AJ929))/AJ929)))</f>
        <v>1</v>
      </c>
      <c r="AQ929" s="62" t="n">
        <f aca="false">IF(LEFT(Cockpit!$I$5,1)="A",H929,IF(Parameter!$E$30="MAX-Bestand",IF(CI929=1,CJ929,IF(LEFT(Cockpit!$I$5,1)="B",AW929,MAX(AW929,H929))),ROUNDUP(AU929,0)))</f>
        <v>8</v>
      </c>
      <c r="AR929" s="62" t="n">
        <f aca="false">IF(CA929=1,0,ROUNDUP(AQ929/BZ929,0))</f>
        <v>1</v>
      </c>
      <c r="AS929" s="64" t="n">
        <f aca="false">IF(CR929&gt;0,CR929*MAX(1,AQ929/X929),IF(CA929=1,IF(AQ929&lt;=0,0,CE929*MAX(1,IF(H929&gt;0,AQ929/H929,1))),IF(R929&gt;0,AR929/R929,0))/MAX(0.1,N(Parameter!$M$21)))</f>
        <v>0.0192307692307692</v>
      </c>
      <c r="AT929" s="62" t="n">
        <f aca="false">AS929*CC929</f>
        <v>2.98076923076923</v>
      </c>
      <c r="AU929" s="63" t="n">
        <f aca="false">IF(LEFT(Cockpit!$I$5,1)="A",H929,IF(CI929=1,(CL929+CJ929)/2,IF(LEFT(Cockpit!$I$5,1)="B",(CL929+AW929)/2,MAX((CL929+AW929)/2,H929))))</f>
        <v>8</v>
      </c>
      <c r="AV929" s="62" t="n">
        <f aca="false">AU929*G929</f>
        <v>115.6</v>
      </c>
      <c r="AW929" s="62" t="n">
        <f aca="false">ROUNDUP(CL929+MAX(CM929,2*(J929/IF(CH929&gt;0,CH929,MAX(0.1,N(Cockpit!$I$6)))-CL929)),0)</f>
        <v>5</v>
      </c>
      <c r="AX929" s="63" t="n">
        <f aca="false">IF(AT929&gt;0,J929/AT929,-1)</f>
        <v>2.34838709677419</v>
      </c>
      <c r="AY929" s="63" t="n">
        <f aca="false">IF(AND(OR(CG929="L1",CG929="L23",CG929="LIFT"),AT929&gt;0),SUMIFS($AT$7:$AT$1843,$CG$7:$CG$1843,CG929,$AX$7:$AX$1843,"&gt;"&amp;AX929)+SUMIFS($AT$7:$AT$1843,$CG$7:$CG$1843,CG929,$AX$7:$AX$1843,AX929,$BX$7:$BX$1843,"&lt;="&amp;BX929),"")</f>
        <v>6456.59386446887</v>
      </c>
      <c r="AZ929" s="70" t="n">
        <f aca="false">IF(AY929="",0,MAX(0,MIN(1,(IF(CG929="L1",Parameter!$H$5,IF(CG929="L23",Parameter!$H$6+Parameter!$H$7,Parameter!$H$5+Parameter!$H$6+Parameter!$H$7))-(AY929-AT929))/AT929)))</f>
        <v>1</v>
      </c>
      <c r="BA929" s="62" t="n">
        <f aca="false">IF(LEFT(Cockpit!$O$5,1)="A",H929,IF(Parameter!$E$30="MAX-Bestand",IF(CI929=1,CJ929,IF(LEFT(Cockpit!$O$5,1)="B",BG929,MAX(BG929,H929))),ROUNDUP(BE929,0)))</f>
        <v>3</v>
      </c>
      <c r="BB929" s="62" t="n">
        <f aca="false">IF(CA929=1,0,ROUNDUP(BA929/BZ929,0))</f>
        <v>1</v>
      </c>
      <c r="BC929" s="64" t="n">
        <f aca="false">IF(CR929&gt;0,CR929*MAX(1,BA929/X929),IF(CA929=1,IF(BA929&lt;=0,0,CE929*MAX(1,IF(H929&gt;0,BA929/H929,1))),IF(R929&gt;0,BB929/R929,0))/MAX(0.1,N(Parameter!$M$21)))</f>
        <v>0.0192307692307692</v>
      </c>
      <c r="BD929" s="62" t="n">
        <f aca="false">BC929*CC929</f>
        <v>2.98076923076923</v>
      </c>
      <c r="BE929" s="63" t="n">
        <f aca="false">IF(LEFT(Cockpit!$O$5,1)="A",H929,IF(CI929=1,(CL929+CJ929)/2,IF(LEFT(Cockpit!$O$5,1)="B",(CL929+BG929)/2,MAX((CL929+BG929)/2,H929))))</f>
        <v>2.5</v>
      </c>
      <c r="BF929" s="62" t="n">
        <f aca="false">BE929*G929</f>
        <v>36.125</v>
      </c>
      <c r="BG929" s="62" t="n">
        <f aca="false">ROUNDUP(CL929+MAX(CM929,2*(J929/IF(CH929&gt;0,CH929,MAX(0.1,N(Cockpit!$O$6)))-CL929)),0)</f>
        <v>5</v>
      </c>
      <c r="BH929" s="63" t="n">
        <f aca="false">IF(BD929&gt;0,J929/BD929,-1)</f>
        <v>2.34838709677419</v>
      </c>
      <c r="BI929" s="63" t="n">
        <f aca="false">IF(AND(OR(CG929="L1",CG929="L23",CG929="LIFT"),BD929&gt;0),SUMIFS($BD$7:$BD$1843,$CG$7:$CG$1843,CG929,$BH$7:$BH$1843,"&gt;"&amp;BH929)+SUMIFS($BD$7:$BD$1843,$CG$7:$CG$1843,CG929,$BH$7:$BH$1843,BH929,$BX$7:$BX$1843,"&lt;="&amp;BX929),"")</f>
        <v>5610.46153846154</v>
      </c>
      <c r="BJ929" s="70" t="n">
        <f aca="false">IF(BI929="",0,MAX(0,MIN(1,(IF(CG929="L1",Parameter!$H$5,IF(CG929="L23",Parameter!$H$6+Parameter!$H$7,Parameter!$H$5+Parameter!$H$6+Parameter!$H$7))-(BI929-BD929))/BD929)))</f>
        <v>1</v>
      </c>
      <c r="BK929" s="60" t="str">
        <f aca="false">IF(AJ929&lt;=0,"",IF(CG929="Aussen","Aussenlager",IF(CG929="-","Nicht im Lift",IF(AP929&gt;=1,"Lift",IF(AP929&lt;=0,"Aussenlager","teilweise")))))</f>
        <v>Lift</v>
      </c>
      <c r="BL929" s="60" t="str">
        <f aca="false">IF(AT929&lt;=0,"",IF(CG929="Aussen","Aussenlager",IF(CG929="-","Nicht im Lift",IF(AZ929&gt;=1,"Lift",IF(AZ929&lt;=0,"Aussenlager","teilweise")))))</f>
        <v>Lift</v>
      </c>
      <c r="BM929" s="60" t="str">
        <f aca="false">IF(BD929&lt;=0,"",IF(CG929="Aussen","Aussenlager",IF(CG929="-","Nicht im Lift",IF(BJ929&gt;=1,"Lift",IF(BJ929&lt;=0,"Aussenlager","teilweise")))))</f>
        <v>Lift</v>
      </c>
      <c r="BN929" s="60" t="str">
        <f aca="false">IF(A929="","",IF(BW929=1,"Neu; ","")&amp;IF(AND(BW929=0,BR929&lt;0),"negativer Bestand (Export "&amp;BR929&amp;"); ","")&amp;IF(J929&lt;=0,"Kein Verbrauch; ","")&amp;IF(CR929&gt;0,"Lift "&amp;W929&amp;" lt. Liftbericht (Fach "&amp;X929&amp;" Stk); ",IF(CB929=1,"Gebinde geschätzt ("&amp;T929&amp;"); ",IF(CA929=1,"Lose – Tablare geschätzt; ","")))&amp;IF(H929&gt;AW929,"Überbestand "&amp;ROUND(H929-AW929,0)&amp;" Stk / CHF "&amp;ROUND((H929-AW929)*G929,0)&amp;"; ","")&amp;IF(AND(CI929=1,CJ929&lt;CK929),"MAX &lt; MB+LG; ","")&amp;IF(AND(CQ929&gt;0,CP929*10&gt;CQ929),"zu hoch für Tablar; ","")&amp;IF(AND(BW929=0,OR(CI929=1,AB929&lt;&gt;"",U929&lt;&gt;"",V929&lt;&gt;"",AC929&lt;&gt;"")),"manuell übersteuert; ","")&amp;IF(AND(CA929=0,R929=0),"Gebinde unbekannt / Stellmass fehlt; ","")&amp;IF(AND(CA929=0,N(V929)&lt;=0,N(Q929)&lt;=0),"Menge pro Gebinde fehlt (Ist = 1 Gebinde); ","")&amp;BV929)</f>
        <v>negativer Bestand (Export -3); Überbestand 3 Stk / CHF 43; </v>
      </c>
      <c r="BO929" s="60"/>
      <c r="BP929" s="60"/>
      <c r="BQ929" s="67"/>
      <c r="BR929" s="62" t="n">
        <v>-3</v>
      </c>
      <c r="BS929" s="62" t="n">
        <v>11</v>
      </c>
      <c r="BT929" s="61" t="n">
        <v>-48.63</v>
      </c>
      <c r="BU929" s="62" t="n">
        <v>7</v>
      </c>
      <c r="BV929" s="60"/>
      <c r="BW929" s="65" t="n">
        <v>0</v>
      </c>
      <c r="BX929" s="65" t="n">
        <v>929</v>
      </c>
      <c r="BY929" s="60" t="str">
        <f aca="false">IF(U929&lt;&gt;"",UPPER(TRIM(U929)),IF(CB929=1,UPPER(VLOOKUP(T929,Parameter!$I$27:$K$29,2,0)),IF(P929="","LOSE",P929)))</f>
        <v>S41</v>
      </c>
      <c r="BZ929" s="62" t="n">
        <f aca="false">IF(BY929="LOSE",1,IF(N(V929)&gt;0,V929,IF(CB929=1,MAX(1,N(VLOOKUP(T929,Parameter!$I$27:$K$29,3,0)),H929,N(N929)),IF(N(Q929)&gt;0,Q929,MAX(1,H929)))))</f>
        <v>22</v>
      </c>
      <c r="CA929" s="65" t="n">
        <f aca="false">IF(BY929="LOSE",1,0)</f>
        <v>0</v>
      </c>
      <c r="CB929" s="65" t="n">
        <f aca="false">IF(AND(U929="",OR(P929="",P929="LOSE"),T929&lt;&gt;"",N(S929)&lt;=0,ISNUMBER(MATCH(T929,Parameter!$I$27:$I$29,0))),1,0)</f>
        <v>0</v>
      </c>
      <c r="CC929" s="65" t="n">
        <f aca="false">IF(CR929&gt;0,INDEX(Parameter!$H$5:$H$7,W929)/INDEX(Parameter!$E$5:$E$7,W929),IF(AND(CA929=0,N(IFERROR(VLOOKUP(BY929,'Gebinde-Kategorie'!$A$5:$N$45,14,0),0))&gt;0),VLOOKUP(BY929,'Gebinde-Kategorie'!$A$5:$N$45,14,0)*10+Parameter!$M$23,Parameter!$M$24))</f>
        <v>155</v>
      </c>
      <c r="CD929" s="60" t="str">
        <f aca="false">IF(AND(Parameter!$B$19="Ja",E929&lt;&gt;"",ISNUMBER(MATCH(E929,Parameter!$I$35:$I$52,0))),VLOOKUP(E929,Parameter!$I$35:$J$52,2,0),IFERROR(VLOOKUP(D929,Parameter!$A$35:$C$64,2,0),"Nein"))</f>
        <v>2+3</v>
      </c>
      <c r="CE929" s="64" t="n">
        <f aca="false">IF(CA929=0,0,IF(N(S929)&gt;0,S929,IFERROR(VLOOKUP(D929,Parameter!$A$35:$C$64,3,0)+0,0)))</f>
        <v>0</v>
      </c>
      <c r="CF929" s="60" t="n">
        <f aca="false">IF(AB929&lt;&gt;"",AB929,AA929)</f>
        <v>2</v>
      </c>
      <c r="CG929" s="60" t="str">
        <f aca="false">IF(OR(CF929=1,CF929=2,CF929=3),IF(Parameter!$E$27="Ja","LIFT",IF(CF929=1,"L1","L23")),IF(CF929="Aussen","Aussen","-"))</f>
        <v>LIFT</v>
      </c>
      <c r="CH929" s="71" t="n">
        <f aca="false">IF(N(AC929)&gt;0,AC929,0)</f>
        <v>0</v>
      </c>
      <c r="CI929" s="65" t="n">
        <f aca="false">IF(ISNUMBER(AF929),1,0)</f>
        <v>0</v>
      </c>
      <c r="CJ929" s="62" t="n">
        <f aca="false">N(AF929)</f>
        <v>0</v>
      </c>
      <c r="CK929" s="62" t="n">
        <f aca="false">N(M929)+N(N929)</f>
        <v>5</v>
      </c>
      <c r="CL929" s="62" t="n">
        <f aca="false">N(M929)</f>
        <v>0</v>
      </c>
      <c r="CM929" s="62" t="n">
        <f aca="false">N(N929)</f>
        <v>5</v>
      </c>
      <c r="CN929" s="62" t="n">
        <f aca="false">ROUNDUP(H929/BZ929,0)</f>
        <v>1</v>
      </c>
      <c r="CO929" s="62" t="n">
        <f aca="false">ROUNDUP(CJ929/BZ929,0)</f>
        <v>0</v>
      </c>
      <c r="CP929" s="65" t="n">
        <f aca="false">IF(CA929=1,0,IFERROR(VLOOKUP(BY929,'Gebinde-Kategorie'!$A$5:$N$45,5,0)+0,0))</f>
        <v>11</v>
      </c>
      <c r="CQ929" s="65" t="n">
        <f aca="false">IFERROR(IF(OR(CF929=1,CF929=2,CF929=3),N(INDEX(Parameter!$I$5:$I$7,CF929)),0),0)</f>
        <v>0</v>
      </c>
      <c r="CR929" s="64" t="n">
        <f aca="false">IF(AND(Parameter!$B$21="Ja",ISNUMBER(W929),N(X929)&gt;0),IFERROR(N(INDEX(Parameter!$L$5:$L$7,W929))*INDEX(Parameter!$E$5:$E$7,W929)*X929/SUMIFS($X$7:$X$1843,$W$7:$W$1843,W929),0),0)</f>
        <v>0</v>
      </c>
      <c r="CS929" s="62" t="n">
        <f aca="false">IF(AND(OR(CG929="L1",CG929="L23",CG929="LIFT"),H929&gt;0),CC929*IF(CR929&gt;0,CR929*MAX(1,H929/X929),IF(CA929=1,CE929,IF(R929&gt;0,CN929/R929,0))/MAX(0.1,N(Parameter!$M$21))),"")</f>
        <v>2.98076923076923</v>
      </c>
      <c r="CT929" s="64" t="n">
        <f aca="false">IF(CS929="","",J929/H929)</f>
        <v>0.875</v>
      </c>
      <c r="CU929" s="62" t="n">
        <f aca="false">IF(CS929="","",H929*G929)</f>
        <v>115.6</v>
      </c>
      <c r="CV929" s="63" t="n">
        <f aca="false">IF(CS929="","",(CL929+ROUNDUP(CL929+MAX(CM929,2*(J929/MAX(0.1,N(Einkauf!$C$6))-CL929)),0))/2)</f>
        <v>2.5</v>
      </c>
      <c r="CW929" s="62" t="n">
        <f aca="false">IF(CS929="","",MAX(0,H929-CV929)*G929)</f>
        <v>79.475</v>
      </c>
      <c r="CX929" s="62" t="n">
        <f aca="false">IF(CS929="","",CS929*MAX(0,1-CV929/H929))</f>
        <v>2.04927884615385</v>
      </c>
      <c r="CY929" s="64" t="n">
        <f aca="false">IF(CS929="","",PERCENTRANK($CS$7:$CS$1843,CS929)+PERCENTRANK($CU$7:$CU$1843,CU929)+1-PERCENTRANK($CT$7:$CT$1843,CT929))</f>
        <v>0.853</v>
      </c>
      <c r="CZ929" s="72" t="n">
        <f aca="false">IF(CS929="","",CHOOSE(MATCH(Einkauf!$C$5,Parameter!$G$23:$G$27,0),CY929,CS929,CU929,-CT929,CW929)+ROW()/1000000000)</f>
        <v>0.853000929</v>
      </c>
    </row>
    <row r="930" customFormat="false" ht="15" hidden="false" customHeight="false" outlineLevel="0" collapsed="false">
      <c r="A930" s="60" t="s">
        <v>1776</v>
      </c>
      <c r="B930" s="60" t="s">
        <v>1777</v>
      </c>
      <c r="C930" s="60" t="s">
        <v>206</v>
      </c>
      <c r="D930" s="60" t="s">
        <v>226</v>
      </c>
      <c r="E930" s="60" t="s">
        <v>227</v>
      </c>
      <c r="F930" s="60" t="s">
        <v>260</v>
      </c>
      <c r="G930" s="61" t="n">
        <v>48.79</v>
      </c>
      <c r="H930" s="62" t="n">
        <f aca="false">MAX(0,IF(AND(Parameter!$B$21="Ja",ISNUMBER(Y930)),Y930,IF(Parameter!$B$20="Jahresanfang 2025 + Export",BS930+BR930,BR930)))</f>
        <v>4</v>
      </c>
      <c r="I930" s="62" t="n">
        <f aca="false">H930*G930</f>
        <v>195.16</v>
      </c>
      <c r="J930" s="62" t="n">
        <f aca="false">BU930*Parameter!$B$18</f>
        <v>0</v>
      </c>
      <c r="K930" s="63" t="n">
        <v>5</v>
      </c>
      <c r="L930" s="64" t="n">
        <v>0</v>
      </c>
      <c r="M930" s="62" t="n">
        <v>0</v>
      </c>
      <c r="N930" s="62" t="n">
        <v>1</v>
      </c>
      <c r="O930" s="65" t="n">
        <v>42</v>
      </c>
      <c r="P930" s="60" t="s">
        <v>443</v>
      </c>
      <c r="Q930" s="62" t="n">
        <v>5</v>
      </c>
      <c r="R930" s="65" t="n">
        <f aca="false">IF(CA930=1,0,IFERROR(VLOOKUP(BY930,'Gebinde-Kategorie'!$A$5:$N$45,13,0)+0,0))</f>
        <v>280</v>
      </c>
      <c r="S930" s="66"/>
      <c r="T930" s="67"/>
      <c r="U930" s="67"/>
      <c r="V930" s="67"/>
      <c r="W930" s="60"/>
      <c r="X930" s="62"/>
      <c r="Y930" s="62"/>
      <c r="Z930" s="60" t="n">
        <v>1</v>
      </c>
      <c r="AA930" s="60" t="n">
        <f aca="false">IF(A930="","",IF(AND(Parameter!$B$21="Ja",ISNUMBER(W930)),W930,IF(AND(Parameter!$E$27="Ja",ISNUMBER(Z930),CD930&lt;&gt;"Nein"),Z930,IF(CD930="2+3",IF(ISNUMBER(SEARCH("grosser Artikel",BV930)),2,IFERROR(VLOOKUP(BY930,Parameter!$F$35:$G$64,2,0),2)),IF(OR(CD930="Nein",CD930=""),"-",CD930)))))</f>
        <v>1</v>
      </c>
      <c r="AB930" s="67"/>
      <c r="AC930" s="68"/>
      <c r="AD930" s="62" t="n">
        <f aca="false">AW930</f>
        <v>1</v>
      </c>
      <c r="AE930" s="62" t="n">
        <f aca="false">MAX(AW930,H930)</f>
        <v>4</v>
      </c>
      <c r="AF930" s="69"/>
      <c r="AG930" s="62" t="n">
        <f aca="false">IF(LEFT(Cockpit!$C$5,1)="A",H930,IF(Parameter!$E$30="MAX-Bestand",IF(CI930=1,CJ930,IF(LEFT(Cockpit!$C$5,1)="B",AM930,MAX(AM930,H930))),ROUNDUP(AK930,0)))</f>
        <v>4</v>
      </c>
      <c r="AH930" s="62" t="n">
        <f aca="false">IF(CA930=1,0,ROUNDUP(AG930/BZ930,0))</f>
        <v>1</v>
      </c>
      <c r="AI930" s="64" t="n">
        <f aca="false">IF(CR930&gt;0,CR930*MAX(1,AG930/X930),IF(CA930=1,IF(AG930&lt;=0,0,CE930*MAX(1,IF(H930&gt;0,AG930/H930,1))),IF(R930&gt;0,AH930/R930,0))/MAX(0.1,N(Parameter!$M$21)))</f>
        <v>0.00357142857142857</v>
      </c>
      <c r="AJ930" s="62" t="n">
        <f aca="false">AI930*CC930</f>
        <v>0.553571428571429</v>
      </c>
      <c r="AK930" s="63" t="n">
        <f aca="false">IF(LEFT(Cockpit!$C$5,1)="A",H930,IF(CI930=1,(CL930+CJ930)/2,IF(LEFT(Cockpit!$C$5,1)="B",(CL930+AM930)/2,MAX((CL930+AM930)/2,H930))))</f>
        <v>4</v>
      </c>
      <c r="AL930" s="62" t="n">
        <f aca="false">AK930*G930</f>
        <v>195.16</v>
      </c>
      <c r="AM930" s="62" t="n">
        <f aca="false">ROUNDUP(CL930+MAX(CM930,2*(J930/IF(CH930&gt;0,CH930,MAX(0.1,N(Cockpit!$C$6)))-CL930)),0)</f>
        <v>1</v>
      </c>
      <c r="AN930" s="63" t="n">
        <f aca="false">IF(AJ930&gt;0,J930/AJ930,-1)</f>
        <v>0</v>
      </c>
      <c r="AO930" s="63" t="n">
        <f aca="false">IF(AND(OR(CG930="L1",CG930="L23",CG930="LIFT"),AJ930&gt;0),SUMIFS($AJ$7:$AJ$1843,$CG$7:$CG$1843,CG930,$AN$7:$AN$1843,"&gt;"&amp;AN930)+SUMIFS($AJ$7:$AJ$1843,$CG$7:$CG$1843,CG930,$AN$7:$AN$1843,AN930,$BX$7:$BX$1843,"&lt;="&amp;BX930),"")</f>
        <v>28863.0784648497</v>
      </c>
      <c r="AP930" s="70" t="n">
        <f aca="false">IF(AO930="",0,MAX(0,MIN(1,(IF(CG930="L1",Parameter!$H$5,IF(CG930="L23",Parameter!$H$6+Parameter!$H$7,Parameter!$H$5+Parameter!$H$6+Parameter!$H$7))-(AO930-AJ930))/AJ930)))</f>
        <v>1</v>
      </c>
      <c r="AQ930" s="62" t="n">
        <f aca="false">IF(LEFT(Cockpit!$I$5,1)="A",H930,IF(Parameter!$E$30="MAX-Bestand",IF(CI930=1,CJ930,IF(LEFT(Cockpit!$I$5,1)="B",AW930,MAX(AW930,H930))),ROUNDUP(AU930,0)))</f>
        <v>4</v>
      </c>
      <c r="AR930" s="62" t="n">
        <f aca="false">IF(CA930=1,0,ROUNDUP(AQ930/BZ930,0))</f>
        <v>1</v>
      </c>
      <c r="AS930" s="64" t="n">
        <f aca="false">IF(CR930&gt;0,CR930*MAX(1,AQ930/X930),IF(CA930=1,IF(AQ930&lt;=0,0,CE930*MAX(1,IF(H930&gt;0,AQ930/H930,1))),IF(R930&gt;0,AR930/R930,0))/MAX(0.1,N(Parameter!$M$21)))</f>
        <v>0.00357142857142857</v>
      </c>
      <c r="AT930" s="62" t="n">
        <f aca="false">AS930*CC930</f>
        <v>0.553571428571429</v>
      </c>
      <c r="AU930" s="63" t="n">
        <f aca="false">IF(LEFT(Cockpit!$I$5,1)="A",H930,IF(CI930=1,(CL930+CJ930)/2,IF(LEFT(Cockpit!$I$5,1)="B",(CL930+AW930)/2,MAX((CL930+AW930)/2,H930))))</f>
        <v>4</v>
      </c>
      <c r="AV930" s="62" t="n">
        <f aca="false">AU930*G930</f>
        <v>195.16</v>
      </c>
      <c r="AW930" s="62" t="n">
        <f aca="false">ROUNDUP(CL930+MAX(CM930,2*(J930/IF(CH930&gt;0,CH930,MAX(0.1,N(Cockpit!$I$6)))-CL930)),0)</f>
        <v>1</v>
      </c>
      <c r="AX930" s="63" t="n">
        <f aca="false">IF(AT930&gt;0,J930/AT930,-1)</f>
        <v>0</v>
      </c>
      <c r="AY930" s="63" t="n">
        <f aca="false">IF(AND(OR(CG930="L1",CG930="L23",CG930="LIFT"),AT930&gt;0),SUMIFS($AT$7:$AT$1843,$CG$7:$CG$1843,CG930,$AX$7:$AX$1843,"&gt;"&amp;AX930)+SUMIFS($AT$7:$AT$1843,$CG$7:$CG$1843,CG930,$AX$7:$AX$1843,AX930,$BX$7:$BX$1843,"&lt;="&amp;BX930),"")</f>
        <v>34525.0499084249</v>
      </c>
      <c r="AZ930" s="70" t="n">
        <f aca="false">IF(AY930="",0,MAX(0,MIN(1,(IF(CG930="L1",Parameter!$H$5,IF(CG930="L23",Parameter!$H$6+Parameter!$H$7,Parameter!$H$5+Parameter!$H$6+Parameter!$H$7))-(AY930-AT930))/AT930)))</f>
        <v>1</v>
      </c>
      <c r="BA930" s="62" t="n">
        <f aca="false">IF(LEFT(Cockpit!$O$5,1)="A",H930,IF(Parameter!$E$30="MAX-Bestand",IF(CI930=1,CJ930,IF(LEFT(Cockpit!$O$5,1)="B",BG930,MAX(BG930,H930))),ROUNDUP(BE930,0)))</f>
        <v>1</v>
      </c>
      <c r="BB930" s="62" t="n">
        <f aca="false">IF(CA930=1,0,ROUNDUP(BA930/BZ930,0))</f>
        <v>1</v>
      </c>
      <c r="BC930" s="64" t="n">
        <f aca="false">IF(CR930&gt;0,CR930*MAX(1,BA930/X930),IF(CA930=1,IF(BA930&lt;=0,0,CE930*MAX(1,IF(H930&gt;0,BA930/H930,1))),IF(R930&gt;0,BB930/R930,0))/MAX(0.1,N(Parameter!$M$21)))</f>
        <v>0.00357142857142857</v>
      </c>
      <c r="BD930" s="62" t="n">
        <f aca="false">BC930*CC930</f>
        <v>0.553571428571429</v>
      </c>
      <c r="BE930" s="63" t="n">
        <f aca="false">IF(LEFT(Cockpit!$O$5,1)="A",H930,IF(CI930=1,(CL930+CJ930)/2,IF(LEFT(Cockpit!$O$5,1)="B",(CL930+BG930)/2,MAX((CL930+BG930)/2,H930))))</f>
        <v>0.5</v>
      </c>
      <c r="BF930" s="62" t="n">
        <f aca="false">BE930*G930</f>
        <v>24.395</v>
      </c>
      <c r="BG930" s="62" t="n">
        <f aca="false">ROUNDUP(CL930+MAX(CM930,2*(J930/IF(CH930&gt;0,CH930,MAX(0.1,N(Cockpit!$O$6)))-CL930)),0)</f>
        <v>1</v>
      </c>
      <c r="BH930" s="63" t="n">
        <f aca="false">IF(BD930&gt;0,J930/BD930,-1)</f>
        <v>0</v>
      </c>
      <c r="BI930" s="63" t="n">
        <f aca="false">IF(AND(OR(CG930="L1",CG930="L23",CG930="LIFT"),BD930&gt;0),SUMIFS($BD$7:$BD$1843,$CG$7:$CG$1843,CG930,$BH$7:$BH$1843,"&gt;"&amp;BH930)+SUMIFS($BD$7:$BD$1843,$CG$7:$CG$1843,CG930,$BH$7:$BH$1843,BH930,$BX$7:$BX$1843,"&lt;="&amp;BX930),"")</f>
        <v>28556.6560191221</v>
      </c>
      <c r="BJ930" s="70" t="n">
        <f aca="false">IF(BI930="",0,MAX(0,MIN(1,(IF(CG930="L1",Parameter!$H$5,IF(CG930="L23",Parameter!$H$6+Parameter!$H$7,Parameter!$H$5+Parameter!$H$6+Parameter!$H$7))-(BI930-BD930))/BD930)))</f>
        <v>1</v>
      </c>
      <c r="BK930" s="60" t="str">
        <f aca="false">IF(AJ930&lt;=0,"",IF(CG930="Aussen","Aussenlager",IF(CG930="-","Nicht im Lift",IF(AP930&gt;=1,"Lift",IF(AP930&lt;=0,"Aussenlager","teilweise")))))</f>
        <v>Lift</v>
      </c>
      <c r="BL930" s="60" t="str">
        <f aca="false">IF(AT930&lt;=0,"",IF(CG930="Aussen","Aussenlager",IF(CG930="-","Nicht im Lift",IF(AZ930&gt;=1,"Lift",IF(AZ930&lt;=0,"Aussenlager","teilweise")))))</f>
        <v>Lift</v>
      </c>
      <c r="BM930" s="60" t="str">
        <f aca="false">IF(BD930&lt;=0,"",IF(CG930="Aussen","Aussenlager",IF(CG930="-","Nicht im Lift",IF(BJ930&gt;=1,"Lift",IF(BJ930&lt;=0,"Aussenlager","teilweise")))))</f>
        <v>Lift</v>
      </c>
      <c r="BN930" s="60" t="str">
        <f aca="false">IF(A930="","",IF(BW930=1,"Neu; ","")&amp;IF(AND(BW930=0,BR930&lt;0),"negativer Bestand (Export "&amp;BR930&amp;"); ","")&amp;IF(J930&lt;=0,"Kein Verbrauch; ","")&amp;IF(CR930&gt;0,"Lift "&amp;W930&amp;" lt. Liftbericht (Fach "&amp;X930&amp;" Stk); ",IF(CB930=1,"Gebinde geschätzt ("&amp;T930&amp;"); ",IF(CA930=1,"Lose – Tablare geschätzt; ","")))&amp;IF(H930&gt;AW930,"Überbestand "&amp;ROUND(H930-AW930,0)&amp;" Stk / CHF "&amp;ROUND((H930-AW930)*G930,0)&amp;"; ","")&amp;IF(AND(CI930=1,CJ930&lt;CK930),"MAX &lt; MB+LG; ","")&amp;IF(AND(CQ930&gt;0,CP930*10&gt;CQ930),"zu hoch für Tablar; ","")&amp;IF(AND(BW930=0,OR(CI930=1,AB930&lt;&gt;"",U930&lt;&gt;"",V930&lt;&gt;"",AC930&lt;&gt;"")),"manuell übersteuert; ","")&amp;IF(AND(CA930=0,R930=0),"Gebinde unbekannt / Stellmass fehlt; ","")&amp;IF(AND(CA930=0,N(V930)&lt;=0,N(Q930)&lt;=0),"Menge pro Gebinde fehlt (Ist = 1 Gebinde); ","")&amp;BV930)</f>
        <v>negativer Bestand (Export -1); Kein Verbrauch; Überbestand 3 Stk / CHF 146; B&amp;R; nicht im KTL vorhanden</v>
      </c>
      <c r="BO930" s="60"/>
      <c r="BP930" s="60"/>
      <c r="BQ930" s="67"/>
      <c r="BR930" s="62" t="n">
        <v>-1</v>
      </c>
      <c r="BS930" s="62" t="n">
        <v>5</v>
      </c>
      <c r="BT930" s="61" t="n">
        <v>-48.79</v>
      </c>
      <c r="BU930" s="62" t="n">
        <v>0</v>
      </c>
      <c r="BV930" s="60" t="s">
        <v>1778</v>
      </c>
      <c r="BW930" s="65" t="n">
        <v>0</v>
      </c>
      <c r="BX930" s="65" t="n">
        <v>930</v>
      </c>
      <c r="BY930" s="60" t="str">
        <f aca="false">IF(U930&lt;&gt;"",UPPER(TRIM(U930)),IF(CB930=1,UPPER(VLOOKUP(T930,Parameter!$I$27:$K$29,2,0)),IF(P930="","LOSE",P930)))</f>
        <v>S21</v>
      </c>
      <c r="BZ930" s="62" t="n">
        <f aca="false">IF(BY930="LOSE",1,IF(N(V930)&gt;0,V930,IF(CB930=1,MAX(1,N(VLOOKUP(T930,Parameter!$I$27:$K$29,3,0)),H930,N(N930)),IF(N(Q930)&gt;0,Q930,MAX(1,H930)))))</f>
        <v>5</v>
      </c>
      <c r="CA930" s="65" t="n">
        <f aca="false">IF(BY930="LOSE",1,0)</f>
        <v>0</v>
      </c>
      <c r="CB930" s="65" t="n">
        <f aca="false">IF(AND(U930="",OR(P930="",P930="LOSE"),T930&lt;&gt;"",N(S930)&lt;=0,ISNUMBER(MATCH(T930,Parameter!$I$27:$I$29,0))),1,0)</f>
        <v>0</v>
      </c>
      <c r="CC930" s="65" t="n">
        <f aca="false">IF(CR930&gt;0,INDEX(Parameter!$H$5:$H$7,W930)/INDEX(Parameter!$E$5:$E$7,W930),IF(AND(CA930=0,N(IFERROR(VLOOKUP(BY930,'Gebinde-Kategorie'!$A$5:$N$45,14,0),0))&gt;0),VLOOKUP(BY930,'Gebinde-Kategorie'!$A$5:$N$45,14,0)*10+Parameter!$M$23,Parameter!$M$24))</f>
        <v>155</v>
      </c>
      <c r="CD930" s="60" t="str">
        <f aca="false">IF(AND(Parameter!$B$19="Ja",E930&lt;&gt;"",ISNUMBER(MATCH(E930,Parameter!$I$35:$I$52,0))),VLOOKUP(E930,Parameter!$I$35:$J$52,2,0),IFERROR(VLOOKUP(D930,Parameter!$A$35:$C$64,2,0),"Nein"))</f>
        <v>2+3</v>
      </c>
      <c r="CE930" s="64" t="n">
        <f aca="false">IF(CA930=0,0,IF(N(S930)&gt;0,S930,IFERROR(VLOOKUP(D930,Parameter!$A$35:$C$64,3,0)+0,0)))</f>
        <v>0</v>
      </c>
      <c r="CF930" s="60" t="n">
        <f aca="false">IF(AB930&lt;&gt;"",AB930,AA930)</f>
        <v>1</v>
      </c>
      <c r="CG930" s="60" t="str">
        <f aca="false">IF(OR(CF930=1,CF930=2,CF930=3),IF(Parameter!$E$27="Ja","LIFT",IF(CF930=1,"L1","L23")),IF(CF930="Aussen","Aussen","-"))</f>
        <v>LIFT</v>
      </c>
      <c r="CH930" s="71" t="n">
        <f aca="false">IF(N(AC930)&gt;0,AC930,0)</f>
        <v>0</v>
      </c>
      <c r="CI930" s="65" t="n">
        <f aca="false">IF(ISNUMBER(AF930),1,0)</f>
        <v>0</v>
      </c>
      <c r="CJ930" s="62" t="n">
        <f aca="false">N(AF930)</f>
        <v>0</v>
      </c>
      <c r="CK930" s="62" t="n">
        <f aca="false">N(M930)+N(N930)</f>
        <v>1</v>
      </c>
      <c r="CL930" s="62" t="n">
        <f aca="false">N(M930)</f>
        <v>0</v>
      </c>
      <c r="CM930" s="62" t="n">
        <f aca="false">N(N930)</f>
        <v>1</v>
      </c>
      <c r="CN930" s="62" t="n">
        <f aca="false">ROUNDUP(H930/BZ930,0)</f>
        <v>1</v>
      </c>
      <c r="CO930" s="62" t="n">
        <f aca="false">ROUNDUP(CJ930/BZ930,0)</f>
        <v>0</v>
      </c>
      <c r="CP930" s="65" t="n">
        <f aca="false">IF(CA930=1,0,IFERROR(VLOOKUP(BY930,'Gebinde-Kategorie'!$A$5:$N$45,5,0)+0,0))</f>
        <v>8</v>
      </c>
      <c r="CQ930" s="65" t="n">
        <f aca="false">IFERROR(IF(OR(CF930=1,CF930=2,CF930=3),N(INDEX(Parameter!$I$5:$I$7,CF930)),0),0)</f>
        <v>0</v>
      </c>
      <c r="CR930" s="64" t="n">
        <f aca="false">IF(AND(Parameter!$B$21="Ja",ISNUMBER(W930),N(X930)&gt;0),IFERROR(N(INDEX(Parameter!$L$5:$L$7,W930))*INDEX(Parameter!$E$5:$E$7,W930)*X930/SUMIFS($X$7:$X$1843,$W$7:$W$1843,W930),0),0)</f>
        <v>0</v>
      </c>
      <c r="CS930" s="62" t="n">
        <f aca="false">IF(AND(OR(CG930="L1",CG930="L23",CG930="LIFT"),H930&gt;0),CC930*IF(CR930&gt;0,CR930*MAX(1,H930/X930),IF(CA930=1,CE930,IF(R930&gt;0,CN930/R930,0))/MAX(0.1,N(Parameter!$M$21))),"")</f>
        <v>0.553571428571429</v>
      </c>
      <c r="CT930" s="64" t="n">
        <f aca="false">IF(CS930="","",J930/H930)</f>
        <v>0</v>
      </c>
      <c r="CU930" s="62" t="n">
        <f aca="false">IF(CS930="","",H930*G930)</f>
        <v>195.16</v>
      </c>
      <c r="CV930" s="63" t="n">
        <f aca="false">IF(CS930="","",(CL930+ROUNDUP(CL930+MAX(CM930,2*(J930/MAX(0.1,N(Einkauf!$C$6))-CL930)),0))/2)</f>
        <v>0.5</v>
      </c>
      <c r="CW930" s="62" t="n">
        <f aca="false">IF(CS930="","",MAX(0,H930-CV930)*G930)</f>
        <v>170.765</v>
      </c>
      <c r="CX930" s="62" t="n">
        <f aca="false">IF(CS930="","",CS930*MAX(0,1-CV930/H930))</f>
        <v>0.484375</v>
      </c>
      <c r="CY930" s="64" t="n">
        <f aca="false">IF(CS930="","",PERCENTRANK($CS$7:$CS$1843,CS930)+PERCENTRANK($CU$7:$CU$1843,CU930)+1-PERCENTRANK($CT$7:$CT$1843,CT930))</f>
        <v>1.338</v>
      </c>
      <c r="CZ930" s="72" t="n">
        <f aca="false">IF(CS930="","",CHOOSE(MATCH(Einkauf!$C$5,Parameter!$G$23:$G$27,0),CY930,CS930,CU930,-CT930,CW930)+ROW()/1000000000)</f>
        <v>1.33800093</v>
      </c>
    </row>
    <row r="931" customFormat="false" ht="15" hidden="false" customHeight="false" outlineLevel="0" collapsed="false">
      <c r="A931" s="60" t="s">
        <v>1779</v>
      </c>
      <c r="B931" s="60" t="s">
        <v>1780</v>
      </c>
      <c r="C931" s="60" t="s">
        <v>206</v>
      </c>
      <c r="D931" s="60" t="s">
        <v>226</v>
      </c>
      <c r="E931" s="60" t="s">
        <v>227</v>
      </c>
      <c r="F931" s="60" t="s">
        <v>260</v>
      </c>
      <c r="G931" s="61" t="n">
        <v>1.2</v>
      </c>
      <c r="H931" s="62" t="n">
        <f aca="false">MAX(0,IF(AND(Parameter!$B$21="Ja",ISNUMBER(Y931)),Y931,IF(Parameter!$B$20="Jahresanfang 2025 + Export",BS931+BR931,BR931)))</f>
        <v>69</v>
      </c>
      <c r="I931" s="62" t="n">
        <f aca="false">H931*G931</f>
        <v>82.8</v>
      </c>
      <c r="J931" s="62" t="n">
        <f aca="false">BU931*Parameter!$B$18</f>
        <v>23</v>
      </c>
      <c r="K931" s="63" t="n">
        <v>96.5</v>
      </c>
      <c r="L931" s="64" t="n">
        <v>0.238341968911917</v>
      </c>
      <c r="M931" s="62" t="n">
        <v>0</v>
      </c>
      <c r="N931" s="62" t="n">
        <v>25</v>
      </c>
      <c r="O931" s="65" t="n">
        <v>14</v>
      </c>
      <c r="P931" s="60" t="s">
        <v>344</v>
      </c>
      <c r="Q931" s="62" t="n">
        <v>54</v>
      </c>
      <c r="R931" s="65" t="n">
        <f aca="false">IF(CA931=1,0,IFERROR(VLOOKUP(BY931,'Gebinde-Kategorie'!$A$5:$N$45,13,0)+0,0))</f>
        <v>26</v>
      </c>
      <c r="S931" s="66"/>
      <c r="T931" s="67"/>
      <c r="U931" s="67"/>
      <c r="V931" s="67"/>
      <c r="W931" s="60"/>
      <c r="X931" s="62"/>
      <c r="Y931" s="62"/>
      <c r="Z931" s="60" t="n">
        <v>3</v>
      </c>
      <c r="AA931" s="60" t="n">
        <f aca="false">IF(A931="","",IF(AND(Parameter!$B$21="Ja",ISNUMBER(W931)),W931,IF(AND(Parameter!$E$27="Ja",ISNUMBER(Z931),CD931&lt;&gt;"Nein"),Z931,IF(CD931="2+3",IF(ISNUMBER(SEARCH("grosser Artikel",BV931)),2,IFERROR(VLOOKUP(BY931,Parameter!$F$35:$G$64,2,0),2)),IF(OR(CD931="Nein",CD931=""),"-",CD931)))))</f>
        <v>3</v>
      </c>
      <c r="AB931" s="67"/>
      <c r="AC931" s="68"/>
      <c r="AD931" s="62" t="n">
        <f aca="false">AW931</f>
        <v>25</v>
      </c>
      <c r="AE931" s="62" t="n">
        <f aca="false">MAX(AW931,H931)</f>
        <v>69</v>
      </c>
      <c r="AF931" s="69"/>
      <c r="AG931" s="62" t="n">
        <f aca="false">IF(LEFT(Cockpit!$C$5,1)="A",H931,IF(Parameter!$E$30="MAX-Bestand",IF(CI931=1,CJ931,IF(LEFT(Cockpit!$C$5,1)="B",AM931,MAX(AM931,H931))),ROUNDUP(AK931,0)))</f>
        <v>69</v>
      </c>
      <c r="AH931" s="62" t="n">
        <f aca="false">IF(CA931=1,0,ROUNDUP(AG931/BZ931,0))</f>
        <v>2</v>
      </c>
      <c r="AI931" s="64" t="n">
        <f aca="false">IF(CR931&gt;0,CR931*MAX(1,AG931/X931),IF(CA931=1,IF(AG931&lt;=0,0,CE931*MAX(1,IF(H931&gt;0,AG931/H931,1))),IF(R931&gt;0,AH931/R931,0))/MAX(0.1,N(Parameter!$M$21)))</f>
        <v>0.0769230769230769</v>
      </c>
      <c r="AJ931" s="62" t="n">
        <f aca="false">AI931*CC931</f>
        <v>11.9230769230769</v>
      </c>
      <c r="AK931" s="63" t="n">
        <f aca="false">IF(LEFT(Cockpit!$C$5,1)="A",H931,IF(CI931=1,(CL931+CJ931)/2,IF(LEFT(Cockpit!$C$5,1)="B",(CL931+AM931)/2,MAX((CL931+AM931)/2,H931))))</f>
        <v>69</v>
      </c>
      <c r="AL931" s="62" t="n">
        <f aca="false">AK931*G931</f>
        <v>82.8</v>
      </c>
      <c r="AM931" s="62" t="n">
        <f aca="false">ROUNDUP(CL931+MAX(CM931,2*(J931/IF(CH931&gt;0,CH931,MAX(0.1,N(Cockpit!$C$6)))-CL931)),0)</f>
        <v>25</v>
      </c>
      <c r="AN931" s="63" t="n">
        <f aca="false">IF(AJ931&gt;0,J931/AJ931,-1)</f>
        <v>1.92903225806452</v>
      </c>
      <c r="AO931" s="63" t="n">
        <f aca="false">IF(AND(OR(CG931="L1",CG931="L23",CG931="LIFT"),AJ931&gt;0),SUMIFS($AJ$7:$AJ$1843,$CG$7:$CG$1843,CG931,$AN$7:$AN$1843,"&gt;"&amp;AN931)+SUMIFS($AJ$7:$AJ$1843,$CG$7:$CG$1843,CG931,$AN$7:$AN$1843,AN931,$BX$7:$BX$1843,"&lt;="&amp;BX931),"")</f>
        <v>5863.42994505495</v>
      </c>
      <c r="AP931" s="70" t="n">
        <f aca="false">IF(AO931="",0,MAX(0,MIN(1,(IF(CG931="L1",Parameter!$H$5,IF(CG931="L23",Parameter!$H$6+Parameter!$H$7,Parameter!$H$5+Parameter!$H$6+Parameter!$H$7))-(AO931-AJ931))/AJ931)))</f>
        <v>1</v>
      </c>
      <c r="AQ931" s="62" t="n">
        <f aca="false">IF(LEFT(Cockpit!$I$5,1)="A",H931,IF(Parameter!$E$30="MAX-Bestand",IF(CI931=1,CJ931,IF(LEFT(Cockpit!$I$5,1)="B",AW931,MAX(AW931,H931))),ROUNDUP(AU931,0)))</f>
        <v>69</v>
      </c>
      <c r="AR931" s="62" t="n">
        <f aca="false">IF(CA931=1,0,ROUNDUP(AQ931/BZ931,0))</f>
        <v>2</v>
      </c>
      <c r="AS931" s="64" t="n">
        <f aca="false">IF(CR931&gt;0,CR931*MAX(1,AQ931/X931),IF(CA931=1,IF(AQ931&lt;=0,0,CE931*MAX(1,IF(H931&gt;0,AQ931/H931,1))),IF(R931&gt;0,AR931/R931,0))/MAX(0.1,N(Parameter!$M$21)))</f>
        <v>0.0769230769230769</v>
      </c>
      <c r="AT931" s="62" t="n">
        <f aca="false">AS931*CC931</f>
        <v>11.9230769230769</v>
      </c>
      <c r="AU931" s="63" t="n">
        <f aca="false">IF(LEFT(Cockpit!$I$5,1)="A",H931,IF(CI931=1,(CL931+CJ931)/2,IF(LEFT(Cockpit!$I$5,1)="B",(CL931+AW931)/2,MAX((CL931+AW931)/2,H931))))</f>
        <v>69</v>
      </c>
      <c r="AV931" s="62" t="n">
        <f aca="false">AU931*G931</f>
        <v>82.8</v>
      </c>
      <c r="AW931" s="62" t="n">
        <f aca="false">ROUNDUP(CL931+MAX(CM931,2*(J931/IF(CH931&gt;0,CH931,MAX(0.1,N(Cockpit!$I$6)))-CL931)),0)</f>
        <v>25</v>
      </c>
      <c r="AX931" s="63" t="n">
        <f aca="false">IF(AT931&gt;0,J931/AT931,-1)</f>
        <v>1.92903225806452</v>
      </c>
      <c r="AY931" s="63" t="n">
        <f aca="false">IF(AND(OR(CG931="L1",CG931="L23",CG931="LIFT"),AT931&gt;0),SUMIFS($AT$7:$AT$1843,$CG$7:$CG$1843,CG931,$AX$7:$AX$1843,"&gt;"&amp;AX931)+SUMIFS($AT$7:$AT$1843,$CG$7:$CG$1843,CG931,$AX$7:$AX$1843,AX931,$BX$7:$BX$1843,"&lt;="&amp;BX931),"")</f>
        <v>7313.03617216117</v>
      </c>
      <c r="AZ931" s="70" t="n">
        <f aca="false">IF(AY931="",0,MAX(0,MIN(1,(IF(CG931="L1",Parameter!$H$5,IF(CG931="L23",Parameter!$H$6+Parameter!$H$7,Parameter!$H$5+Parameter!$H$6+Parameter!$H$7))-(AY931-AT931))/AT931)))</f>
        <v>1</v>
      </c>
      <c r="BA931" s="62" t="n">
        <f aca="false">IF(LEFT(Cockpit!$O$5,1)="A",H931,IF(Parameter!$E$30="MAX-Bestand",IF(CI931=1,CJ931,IF(LEFT(Cockpit!$O$5,1)="B",BG931,MAX(BG931,H931))),ROUNDUP(BE931,0)))</f>
        <v>13</v>
      </c>
      <c r="BB931" s="62" t="n">
        <f aca="false">IF(CA931=1,0,ROUNDUP(BA931/BZ931,0))</f>
        <v>1</v>
      </c>
      <c r="BC931" s="64" t="n">
        <f aca="false">IF(CR931&gt;0,CR931*MAX(1,BA931/X931),IF(CA931=1,IF(BA931&lt;=0,0,CE931*MAX(1,IF(H931&gt;0,BA931/H931,1))),IF(R931&gt;0,BB931/R931,0))/MAX(0.1,N(Parameter!$M$21)))</f>
        <v>0.0384615384615385</v>
      </c>
      <c r="BD931" s="62" t="n">
        <f aca="false">BC931*CC931</f>
        <v>5.96153846153846</v>
      </c>
      <c r="BE931" s="63" t="n">
        <f aca="false">IF(LEFT(Cockpit!$O$5,1)="A",H931,IF(CI931=1,(CL931+CJ931)/2,IF(LEFT(Cockpit!$O$5,1)="B",(CL931+BG931)/2,MAX((CL931+BG931)/2,H931))))</f>
        <v>12.5</v>
      </c>
      <c r="BF931" s="62" t="n">
        <f aca="false">BE931*G931</f>
        <v>15</v>
      </c>
      <c r="BG931" s="62" t="n">
        <f aca="false">ROUNDUP(CL931+MAX(CM931,2*(J931/IF(CH931&gt;0,CH931,MAX(0.1,N(Cockpit!$O$6)))-CL931)),0)</f>
        <v>25</v>
      </c>
      <c r="BH931" s="63" t="n">
        <f aca="false">IF(BD931&gt;0,J931/BD931,-1)</f>
        <v>3.85806451612903</v>
      </c>
      <c r="BI931" s="63" t="n">
        <f aca="false">IF(AND(OR(CG931="L1",CG931="L23",CG931="LIFT"),BD931&gt;0),SUMIFS($BD$7:$BD$1843,$CG$7:$CG$1843,CG931,$BH$7:$BH$1843,"&gt;"&amp;BH931)+SUMIFS($BD$7:$BD$1843,$CG$7:$CG$1843,CG931,$BH$7:$BH$1843,BH931,$BX$7:$BX$1843,"&lt;="&amp;BX931),"")</f>
        <v>4276.68315018315</v>
      </c>
      <c r="BJ931" s="70" t="n">
        <f aca="false">IF(BI931="",0,MAX(0,MIN(1,(IF(CG931="L1",Parameter!$H$5,IF(CG931="L23",Parameter!$H$6+Parameter!$H$7,Parameter!$H$5+Parameter!$H$6+Parameter!$H$7))-(BI931-BD931))/BD931)))</f>
        <v>1</v>
      </c>
      <c r="BK931" s="60" t="str">
        <f aca="false">IF(AJ931&lt;=0,"",IF(CG931="Aussen","Aussenlager",IF(CG931="-","Nicht im Lift",IF(AP931&gt;=1,"Lift",IF(AP931&lt;=0,"Aussenlager","teilweise")))))</f>
        <v>Lift</v>
      </c>
      <c r="BL931" s="60" t="str">
        <f aca="false">IF(AT931&lt;=0,"",IF(CG931="Aussen","Aussenlager",IF(CG931="-","Nicht im Lift",IF(AZ931&gt;=1,"Lift",IF(AZ931&lt;=0,"Aussenlager","teilweise")))))</f>
        <v>Lift</v>
      </c>
      <c r="BM931" s="60" t="str">
        <f aca="false">IF(BD931&lt;=0,"",IF(CG931="Aussen","Aussenlager",IF(CG931="-","Nicht im Lift",IF(BJ931&gt;=1,"Lift",IF(BJ931&lt;=0,"Aussenlager","teilweise")))))</f>
        <v>Lift</v>
      </c>
      <c r="BN931" s="60" t="str">
        <f aca="false">IF(A931="","",IF(BW931=1,"Neu; ","")&amp;IF(AND(BW931=0,BR931&lt;0),"negativer Bestand (Export "&amp;BR931&amp;"); ","")&amp;IF(J931&lt;=0,"Kein Verbrauch; ","")&amp;IF(CR931&gt;0,"Lift "&amp;W931&amp;" lt. Liftbericht (Fach "&amp;X931&amp;" Stk); ",IF(CB931=1,"Gebinde geschätzt ("&amp;T931&amp;"); ",IF(CA931=1,"Lose – Tablare geschätzt; ","")))&amp;IF(H931&gt;AW931,"Überbestand "&amp;ROUND(H931-AW931,0)&amp;" Stk / CHF "&amp;ROUND((H931-AW931)*G931,0)&amp;"; ","")&amp;IF(AND(CI931=1,CJ931&lt;CK931),"MAX &lt; MB+LG; ","")&amp;IF(AND(CQ931&gt;0,CP931*10&gt;CQ931),"zu hoch für Tablar; ","")&amp;IF(AND(BW931=0,OR(CI931=1,AB931&lt;&gt;"",U931&lt;&gt;"",V931&lt;&gt;"",AC931&lt;&gt;"")),"manuell übersteuert; ","")&amp;IF(AND(CA931=0,R931=0),"Gebinde unbekannt / Stellmass fehlt; ","")&amp;IF(AND(CA931=0,N(V931)&lt;=0,N(Q931)&lt;=0),"Menge pro Gebinde fehlt (Ist = 1 Gebinde); ","")&amp;BV931)</f>
        <v>negativer Bestand (Export -41); Überbestand 44 Stk / CHF 53; </v>
      </c>
      <c r="BO931" s="60"/>
      <c r="BP931" s="60"/>
      <c r="BQ931" s="67"/>
      <c r="BR931" s="62" t="n">
        <v>-41</v>
      </c>
      <c r="BS931" s="62" t="n">
        <v>110</v>
      </c>
      <c r="BT931" s="61" t="n">
        <v>-49.2</v>
      </c>
      <c r="BU931" s="62" t="n">
        <v>23</v>
      </c>
      <c r="BV931" s="60"/>
      <c r="BW931" s="65" t="n">
        <v>0</v>
      </c>
      <c r="BX931" s="65" t="n">
        <v>931</v>
      </c>
      <c r="BY931" s="60" t="str">
        <f aca="false">IF(U931&lt;&gt;"",UPPER(TRIM(U931)),IF(CB931=1,UPPER(VLOOKUP(T931,Parameter!$I$27:$K$29,2,0)),IF(P931="","LOSE",P931)))</f>
        <v>S51</v>
      </c>
      <c r="BZ931" s="62" t="n">
        <f aca="false">IF(BY931="LOSE",1,IF(N(V931)&gt;0,V931,IF(CB931=1,MAX(1,N(VLOOKUP(T931,Parameter!$I$27:$K$29,3,0)),H931,N(N931)),IF(N(Q931)&gt;0,Q931,MAX(1,H931)))))</f>
        <v>54</v>
      </c>
      <c r="CA931" s="65" t="n">
        <f aca="false">IF(BY931="LOSE",1,0)</f>
        <v>0</v>
      </c>
      <c r="CB931" s="65" t="n">
        <f aca="false">IF(AND(U931="",OR(P931="",P931="LOSE"),T931&lt;&gt;"",N(S931)&lt;=0,ISNUMBER(MATCH(T931,Parameter!$I$27:$I$29,0))),1,0)</f>
        <v>0</v>
      </c>
      <c r="CC931" s="65" t="n">
        <f aca="false">IF(CR931&gt;0,INDEX(Parameter!$H$5:$H$7,W931)/INDEX(Parameter!$E$5:$E$7,W931),IF(AND(CA931=0,N(IFERROR(VLOOKUP(BY931,'Gebinde-Kategorie'!$A$5:$N$45,14,0),0))&gt;0),VLOOKUP(BY931,'Gebinde-Kategorie'!$A$5:$N$45,14,0)*10+Parameter!$M$23,Parameter!$M$24))</f>
        <v>155</v>
      </c>
      <c r="CD931" s="60" t="str">
        <f aca="false">IF(AND(Parameter!$B$19="Ja",E931&lt;&gt;"",ISNUMBER(MATCH(E931,Parameter!$I$35:$I$52,0))),VLOOKUP(E931,Parameter!$I$35:$J$52,2,0),IFERROR(VLOOKUP(D931,Parameter!$A$35:$C$64,2,0),"Nein"))</f>
        <v>2+3</v>
      </c>
      <c r="CE931" s="64" t="n">
        <f aca="false">IF(CA931=0,0,IF(N(S931)&gt;0,S931,IFERROR(VLOOKUP(D931,Parameter!$A$35:$C$64,3,0)+0,0)))</f>
        <v>0</v>
      </c>
      <c r="CF931" s="60" t="n">
        <f aca="false">IF(AB931&lt;&gt;"",AB931,AA931)</f>
        <v>3</v>
      </c>
      <c r="CG931" s="60" t="str">
        <f aca="false">IF(OR(CF931=1,CF931=2,CF931=3),IF(Parameter!$E$27="Ja","LIFT",IF(CF931=1,"L1","L23")),IF(CF931="Aussen","Aussen","-"))</f>
        <v>LIFT</v>
      </c>
      <c r="CH931" s="71" t="n">
        <f aca="false">IF(N(AC931)&gt;0,AC931,0)</f>
        <v>0</v>
      </c>
      <c r="CI931" s="65" t="n">
        <f aca="false">IF(ISNUMBER(AF931),1,0)</f>
        <v>0</v>
      </c>
      <c r="CJ931" s="62" t="n">
        <f aca="false">N(AF931)</f>
        <v>0</v>
      </c>
      <c r="CK931" s="62" t="n">
        <f aca="false">N(M931)+N(N931)</f>
        <v>25</v>
      </c>
      <c r="CL931" s="62" t="n">
        <f aca="false">N(M931)</f>
        <v>0</v>
      </c>
      <c r="CM931" s="62" t="n">
        <f aca="false">N(N931)</f>
        <v>25</v>
      </c>
      <c r="CN931" s="62" t="n">
        <f aca="false">ROUNDUP(H931/BZ931,0)</f>
        <v>2</v>
      </c>
      <c r="CO931" s="62" t="n">
        <f aca="false">ROUNDUP(CJ931/BZ931,0)</f>
        <v>0</v>
      </c>
      <c r="CP931" s="65" t="n">
        <f aca="false">IF(CA931=1,0,IFERROR(VLOOKUP(BY931,'Gebinde-Kategorie'!$A$5:$N$45,5,0)+0,0))</f>
        <v>11</v>
      </c>
      <c r="CQ931" s="65" t="n">
        <f aca="false">IFERROR(IF(OR(CF931=1,CF931=2,CF931=3),N(INDEX(Parameter!$I$5:$I$7,CF931)),0),0)</f>
        <v>0</v>
      </c>
      <c r="CR931" s="64" t="n">
        <f aca="false">IF(AND(Parameter!$B$21="Ja",ISNUMBER(W931),N(X931)&gt;0),IFERROR(N(INDEX(Parameter!$L$5:$L$7,W931))*INDEX(Parameter!$E$5:$E$7,W931)*X931/SUMIFS($X$7:$X$1843,$W$7:$W$1843,W931),0),0)</f>
        <v>0</v>
      </c>
      <c r="CS931" s="62" t="n">
        <f aca="false">IF(AND(OR(CG931="L1",CG931="L23",CG931="LIFT"),H931&gt;0),CC931*IF(CR931&gt;0,CR931*MAX(1,H931/X931),IF(CA931=1,CE931,IF(R931&gt;0,CN931/R931,0))/MAX(0.1,N(Parameter!$M$21))),"")</f>
        <v>11.9230769230769</v>
      </c>
      <c r="CT931" s="64" t="n">
        <f aca="false">IF(CS931="","",J931/H931)</f>
        <v>0.333333333333333</v>
      </c>
      <c r="CU931" s="62" t="n">
        <f aca="false">IF(CS931="","",H931*G931)</f>
        <v>82.8</v>
      </c>
      <c r="CV931" s="63" t="n">
        <f aca="false">IF(CS931="","",(CL931+ROUNDUP(CL931+MAX(CM931,2*(J931/MAX(0.1,N(Einkauf!$C$6))-CL931)),0))/2)</f>
        <v>12.5</v>
      </c>
      <c r="CW931" s="62" t="n">
        <f aca="false">IF(CS931="","",MAX(0,H931-CV931)*G931)</f>
        <v>67.8</v>
      </c>
      <c r="CX931" s="62" t="n">
        <f aca="false">IF(CS931="","",CS931*MAX(0,1-CV931/H931))</f>
        <v>9.76309921962096</v>
      </c>
      <c r="CY931" s="64" t="n">
        <f aca="false">IF(CS931="","",PERCENTRANK($CS$7:$CS$1843,CS931)+PERCENTRANK($CU$7:$CU$1843,CU931)+1-PERCENTRANK($CT$7:$CT$1843,CT931))</f>
        <v>1.331</v>
      </c>
      <c r="CZ931" s="72" t="n">
        <f aca="false">IF(CS931="","",CHOOSE(MATCH(Einkauf!$C$5,Parameter!$G$23:$G$27,0),CY931,CS931,CU931,-CT931,CW931)+ROW()/1000000000)</f>
        <v>1.331000931</v>
      </c>
    </row>
    <row r="932" customFormat="false" ht="15" hidden="false" customHeight="false" outlineLevel="0" collapsed="false">
      <c r="A932" s="60" t="s">
        <v>1781</v>
      </c>
      <c r="B932" s="60" t="s">
        <v>1782</v>
      </c>
      <c r="C932" s="60" t="s">
        <v>206</v>
      </c>
      <c r="D932" s="60" t="s">
        <v>226</v>
      </c>
      <c r="E932" s="60" t="s">
        <v>227</v>
      </c>
      <c r="F932" s="60" t="s">
        <v>260</v>
      </c>
      <c r="G932" s="61" t="n">
        <v>24.9</v>
      </c>
      <c r="H932" s="62" t="n">
        <f aca="false">MAX(0,IF(AND(Parameter!$B$21="Ja",ISNUMBER(Y932)),Y932,IF(Parameter!$B$20="Jahresanfang 2025 + Export",BS932+BR932,BR932)))</f>
        <v>21</v>
      </c>
      <c r="I932" s="62" t="n">
        <f aca="false">H932*G932</f>
        <v>522.9</v>
      </c>
      <c r="J932" s="62" t="n">
        <f aca="false">BU932*Parameter!$B$18</f>
        <v>2</v>
      </c>
      <c r="K932" s="63" t="n">
        <v>22</v>
      </c>
      <c r="L932" s="64" t="n">
        <v>0.0909090909090909</v>
      </c>
      <c r="M932" s="62" t="n">
        <v>0</v>
      </c>
      <c r="N932" s="62" t="n">
        <v>1</v>
      </c>
      <c r="O932" s="65" t="n">
        <v>35</v>
      </c>
      <c r="P932" s="60" t="s">
        <v>463</v>
      </c>
      <c r="Q932" s="62" t="n">
        <v>26</v>
      </c>
      <c r="R932" s="65" t="n">
        <f aca="false">IF(CA932=1,0,IFERROR(VLOOKUP(BY932,'Gebinde-Kategorie'!$A$5:$N$45,13,0)+0,0))</f>
        <v>104</v>
      </c>
      <c r="S932" s="66"/>
      <c r="T932" s="67"/>
      <c r="U932" s="67"/>
      <c r="V932" s="67"/>
      <c r="W932" s="60"/>
      <c r="X932" s="62"/>
      <c r="Y932" s="62"/>
      <c r="Z932" s="60" t="n">
        <v>3</v>
      </c>
      <c r="AA932" s="60" t="n">
        <f aca="false">IF(A932="","",IF(AND(Parameter!$B$21="Ja",ISNUMBER(W932)),W932,IF(AND(Parameter!$E$27="Ja",ISNUMBER(Z932),CD932&lt;&gt;"Nein"),Z932,IF(CD932="2+3",IF(ISNUMBER(SEARCH("grosser Artikel",BV932)),2,IFERROR(VLOOKUP(BY932,Parameter!$F$35:$G$64,2,0),2)),IF(OR(CD932="Nein",CD932=""),"-",CD932)))))</f>
        <v>3</v>
      </c>
      <c r="AB932" s="67"/>
      <c r="AC932" s="68"/>
      <c r="AD932" s="62" t="n">
        <f aca="false">AW932</f>
        <v>2</v>
      </c>
      <c r="AE932" s="62" t="n">
        <f aca="false">MAX(AW932,H932)</f>
        <v>21</v>
      </c>
      <c r="AF932" s="69"/>
      <c r="AG932" s="62" t="n">
        <f aca="false">IF(LEFT(Cockpit!$C$5,1)="A",H932,IF(Parameter!$E$30="MAX-Bestand",IF(CI932=1,CJ932,IF(LEFT(Cockpit!$C$5,1)="B",AM932,MAX(AM932,H932))),ROUNDUP(AK932,0)))</f>
        <v>21</v>
      </c>
      <c r="AH932" s="62" t="n">
        <f aca="false">IF(CA932=1,0,ROUNDUP(AG932/BZ932,0))</f>
        <v>1</v>
      </c>
      <c r="AI932" s="64" t="n">
        <f aca="false">IF(CR932&gt;0,CR932*MAX(1,AG932/X932),IF(CA932=1,IF(AG932&lt;=0,0,CE932*MAX(1,IF(H932&gt;0,AG932/H932,1))),IF(R932&gt;0,AH932/R932,0))/MAX(0.1,N(Parameter!$M$21)))</f>
        <v>0.00961538461538462</v>
      </c>
      <c r="AJ932" s="62" t="n">
        <f aca="false">AI932*CC932</f>
        <v>1.49038461538462</v>
      </c>
      <c r="AK932" s="63" t="n">
        <f aca="false">IF(LEFT(Cockpit!$C$5,1)="A",H932,IF(CI932=1,(CL932+CJ932)/2,IF(LEFT(Cockpit!$C$5,1)="B",(CL932+AM932)/2,MAX((CL932+AM932)/2,H932))))</f>
        <v>21</v>
      </c>
      <c r="AL932" s="62" t="n">
        <f aca="false">AK932*G932</f>
        <v>522.9</v>
      </c>
      <c r="AM932" s="62" t="n">
        <f aca="false">ROUNDUP(CL932+MAX(CM932,2*(J932/IF(CH932&gt;0,CH932,MAX(0.1,N(Cockpit!$C$6)))-CL932)),0)</f>
        <v>2</v>
      </c>
      <c r="AN932" s="63" t="n">
        <f aca="false">IF(AJ932&gt;0,J932/AJ932,-1)</f>
        <v>1.34193548387097</v>
      </c>
      <c r="AO932" s="63" t="n">
        <f aca="false">IF(AND(OR(CG932="L1",CG932="L23",CG932="LIFT"),AJ932&gt;0),SUMIFS($AJ$7:$AJ$1843,$CG$7:$CG$1843,CG932,$AN$7:$AN$1843,"&gt;"&amp;AN932)+SUMIFS($AJ$7:$AJ$1843,$CG$7:$CG$1843,CG932,$AN$7:$AN$1843,AN932,$BX$7:$BX$1843,"&lt;="&amp;BX932),"")</f>
        <v>6337.10943223443</v>
      </c>
      <c r="AP932" s="70" t="n">
        <f aca="false">IF(AO932="",0,MAX(0,MIN(1,(IF(CG932="L1",Parameter!$H$5,IF(CG932="L23",Parameter!$H$6+Parameter!$H$7,Parameter!$H$5+Parameter!$H$6+Parameter!$H$7))-(AO932-AJ932))/AJ932)))</f>
        <v>1</v>
      </c>
      <c r="AQ932" s="62" t="n">
        <f aca="false">IF(LEFT(Cockpit!$I$5,1)="A",H932,IF(Parameter!$E$30="MAX-Bestand",IF(CI932=1,CJ932,IF(LEFT(Cockpit!$I$5,1)="B",AW932,MAX(AW932,H932))),ROUNDUP(AU932,0)))</f>
        <v>21</v>
      </c>
      <c r="AR932" s="62" t="n">
        <f aca="false">IF(CA932=1,0,ROUNDUP(AQ932/BZ932,0))</f>
        <v>1</v>
      </c>
      <c r="AS932" s="64" t="n">
        <f aca="false">IF(CR932&gt;0,CR932*MAX(1,AQ932/X932),IF(CA932=1,IF(AQ932&lt;=0,0,CE932*MAX(1,IF(H932&gt;0,AQ932/H932,1))),IF(R932&gt;0,AR932/R932,0))/MAX(0.1,N(Parameter!$M$21)))</f>
        <v>0.00961538461538462</v>
      </c>
      <c r="AT932" s="62" t="n">
        <f aca="false">AS932*CC932</f>
        <v>1.49038461538462</v>
      </c>
      <c r="AU932" s="63" t="n">
        <f aca="false">IF(LEFT(Cockpit!$I$5,1)="A",H932,IF(CI932=1,(CL932+CJ932)/2,IF(LEFT(Cockpit!$I$5,1)="B",(CL932+AW932)/2,MAX((CL932+AW932)/2,H932))))</f>
        <v>21</v>
      </c>
      <c r="AV932" s="62" t="n">
        <f aca="false">AU932*G932</f>
        <v>522.9</v>
      </c>
      <c r="AW932" s="62" t="n">
        <f aca="false">ROUNDUP(CL932+MAX(CM932,2*(J932/IF(CH932&gt;0,CH932,MAX(0.1,N(Cockpit!$I$6)))-CL932)),0)</f>
        <v>2</v>
      </c>
      <c r="AX932" s="63" t="n">
        <f aca="false">IF(AT932&gt;0,J932/AT932,-1)</f>
        <v>1.34193548387097</v>
      </c>
      <c r="AY932" s="63" t="n">
        <f aca="false">IF(AND(OR(CG932="L1",CG932="L23",CG932="LIFT"),AT932&gt;0),SUMIFS($AT$7:$AT$1843,$CG$7:$CG$1843,CG932,$AX$7:$AX$1843,"&gt;"&amp;AX932)+SUMIFS($AT$7:$AT$1843,$CG$7:$CG$1843,CG932,$AX$7:$AX$1843,AX932,$BX$7:$BX$1843,"&lt;="&amp;BX932),"")</f>
        <v>7861.29304029304</v>
      </c>
      <c r="AZ932" s="70" t="n">
        <f aca="false">IF(AY932="",0,MAX(0,MIN(1,(IF(CG932="L1",Parameter!$H$5,IF(CG932="L23",Parameter!$H$6+Parameter!$H$7,Parameter!$H$5+Parameter!$H$6+Parameter!$H$7))-(AY932-AT932))/AT932)))</f>
        <v>1</v>
      </c>
      <c r="BA932" s="62" t="n">
        <f aca="false">IF(LEFT(Cockpit!$O$5,1)="A",H932,IF(Parameter!$E$30="MAX-Bestand",IF(CI932=1,CJ932,IF(LEFT(Cockpit!$O$5,1)="B",BG932,MAX(BG932,H932))),ROUNDUP(BE932,0)))</f>
        <v>1</v>
      </c>
      <c r="BB932" s="62" t="n">
        <f aca="false">IF(CA932=1,0,ROUNDUP(BA932/BZ932,0))</f>
        <v>1</v>
      </c>
      <c r="BC932" s="64" t="n">
        <f aca="false">IF(CR932&gt;0,CR932*MAX(1,BA932/X932),IF(CA932=1,IF(BA932&lt;=0,0,CE932*MAX(1,IF(H932&gt;0,BA932/H932,1))),IF(R932&gt;0,BB932/R932,0))/MAX(0.1,N(Parameter!$M$21)))</f>
        <v>0.00961538461538462</v>
      </c>
      <c r="BD932" s="62" t="n">
        <f aca="false">BC932*CC932</f>
        <v>1.49038461538462</v>
      </c>
      <c r="BE932" s="63" t="n">
        <f aca="false">IF(LEFT(Cockpit!$O$5,1)="A",H932,IF(CI932=1,(CL932+CJ932)/2,IF(LEFT(Cockpit!$O$5,1)="B",(CL932+BG932)/2,MAX((CL932+BG932)/2,H932))))</f>
        <v>0.5</v>
      </c>
      <c r="BF932" s="62" t="n">
        <f aca="false">BE932*G932</f>
        <v>12.45</v>
      </c>
      <c r="BG932" s="62" t="n">
        <f aca="false">ROUNDUP(CL932+MAX(CM932,2*(J932/IF(CH932&gt;0,CH932,MAX(0.1,N(Cockpit!$O$6)))-CL932)),0)</f>
        <v>1</v>
      </c>
      <c r="BH932" s="63" t="n">
        <f aca="false">IF(BD932&gt;0,J932/BD932,-1)</f>
        <v>1.34193548387097</v>
      </c>
      <c r="BI932" s="63" t="n">
        <f aca="false">IF(AND(OR(CG932="L1",CG932="L23",CG932="LIFT"),BD932&gt;0),SUMIFS($BD$7:$BD$1843,$CG$7:$CG$1843,CG932,$BH$7:$BH$1843,"&gt;"&amp;BH932)+SUMIFS($BD$7:$BD$1843,$CG$7:$CG$1843,CG932,$BH$7:$BH$1843,BH932,$BX$7:$BX$1843,"&lt;="&amp;BX932),"")</f>
        <v>6798.5086996337</v>
      </c>
      <c r="BJ932" s="70" t="n">
        <f aca="false">IF(BI932="",0,MAX(0,MIN(1,(IF(CG932="L1",Parameter!$H$5,IF(CG932="L23",Parameter!$H$6+Parameter!$H$7,Parameter!$H$5+Parameter!$H$6+Parameter!$H$7))-(BI932-BD932))/BD932)))</f>
        <v>1</v>
      </c>
      <c r="BK932" s="60" t="str">
        <f aca="false">IF(AJ932&lt;=0,"",IF(CG932="Aussen","Aussenlager",IF(CG932="-","Nicht im Lift",IF(AP932&gt;=1,"Lift",IF(AP932&lt;=0,"Aussenlager","teilweise")))))</f>
        <v>Lift</v>
      </c>
      <c r="BL932" s="60" t="str">
        <f aca="false">IF(AT932&lt;=0,"",IF(CG932="Aussen","Aussenlager",IF(CG932="-","Nicht im Lift",IF(AZ932&gt;=1,"Lift",IF(AZ932&lt;=0,"Aussenlager","teilweise")))))</f>
        <v>Lift</v>
      </c>
      <c r="BM932" s="60" t="str">
        <f aca="false">IF(BD932&lt;=0,"",IF(CG932="Aussen","Aussenlager",IF(CG932="-","Nicht im Lift",IF(BJ932&gt;=1,"Lift",IF(BJ932&lt;=0,"Aussenlager","teilweise")))))</f>
        <v>Lift</v>
      </c>
      <c r="BN932" s="60" t="str">
        <f aca="false">IF(A932="","",IF(BW932=1,"Neu; ","")&amp;IF(AND(BW932=0,BR932&lt;0),"negativer Bestand (Export "&amp;BR932&amp;"); ","")&amp;IF(J932&lt;=0,"Kein Verbrauch; ","")&amp;IF(CR932&gt;0,"Lift "&amp;W932&amp;" lt. Liftbericht (Fach "&amp;X932&amp;" Stk); ",IF(CB932=1,"Gebinde geschätzt ("&amp;T932&amp;"); ",IF(CA932=1,"Lose – Tablare geschätzt; ","")))&amp;IF(H932&gt;AW932,"Überbestand "&amp;ROUND(H932-AW932,0)&amp;" Stk / CHF "&amp;ROUND((H932-AW932)*G932,0)&amp;"; ","")&amp;IF(AND(CI932=1,CJ932&lt;CK932),"MAX &lt; MB+LG; ","")&amp;IF(AND(CQ932&gt;0,CP932*10&gt;CQ932),"zu hoch für Tablar; ","")&amp;IF(AND(BW932=0,OR(CI932=1,AB932&lt;&gt;"",U932&lt;&gt;"",V932&lt;&gt;"",AC932&lt;&gt;"")),"manuell übersteuert; ","")&amp;IF(AND(CA932=0,R932=0),"Gebinde unbekannt / Stellmass fehlt; ","")&amp;IF(AND(CA932=0,N(V932)&lt;=0,N(Q932)&lt;=0),"Menge pro Gebinde fehlt (Ist = 1 Gebinde); ","")&amp;BV932)</f>
        <v>negativer Bestand (Export -2); Überbestand 19 Stk / CHF 473; twin</v>
      </c>
      <c r="BO932" s="60"/>
      <c r="BP932" s="60"/>
      <c r="BQ932" s="67"/>
      <c r="BR932" s="62" t="n">
        <v>-2</v>
      </c>
      <c r="BS932" s="62" t="n">
        <v>23</v>
      </c>
      <c r="BT932" s="61" t="n">
        <v>-49.8</v>
      </c>
      <c r="BU932" s="62" t="n">
        <v>2</v>
      </c>
      <c r="BV932" s="60" t="s">
        <v>1783</v>
      </c>
      <c r="BW932" s="65" t="n">
        <v>0</v>
      </c>
      <c r="BX932" s="65" t="n">
        <v>932</v>
      </c>
      <c r="BY932" s="60" t="str">
        <f aca="false">IF(U932&lt;&gt;"",UPPER(TRIM(U932)),IF(CB932=1,UPPER(VLOOKUP(T932,Parameter!$I$27:$K$29,2,0)),IF(P932="","LOSE",P932)))</f>
        <v>S32</v>
      </c>
      <c r="BZ932" s="62" t="n">
        <f aca="false">IF(BY932="LOSE",1,IF(N(V932)&gt;0,V932,IF(CB932=1,MAX(1,N(VLOOKUP(T932,Parameter!$I$27:$K$29,3,0)),H932,N(N932)),IF(N(Q932)&gt;0,Q932,MAX(1,H932)))))</f>
        <v>26</v>
      </c>
      <c r="CA932" s="65" t="n">
        <f aca="false">IF(BY932="LOSE",1,0)</f>
        <v>0</v>
      </c>
      <c r="CB932" s="65" t="n">
        <f aca="false">IF(AND(U932="",OR(P932="",P932="LOSE"),T932&lt;&gt;"",N(S932)&lt;=0,ISNUMBER(MATCH(T932,Parameter!$I$27:$I$29,0))),1,0)</f>
        <v>0</v>
      </c>
      <c r="CC932" s="65" t="n">
        <f aca="false">IF(CR932&gt;0,INDEX(Parameter!$H$5:$H$7,W932)/INDEX(Parameter!$E$5:$E$7,W932),IF(AND(CA932=0,N(IFERROR(VLOOKUP(BY932,'Gebinde-Kategorie'!$A$5:$N$45,14,0),0))&gt;0),VLOOKUP(BY932,'Gebinde-Kategorie'!$A$5:$N$45,14,0)*10+Parameter!$M$23,Parameter!$M$24))</f>
        <v>155</v>
      </c>
      <c r="CD932" s="60" t="str">
        <f aca="false">IF(AND(Parameter!$B$19="Ja",E932&lt;&gt;"",ISNUMBER(MATCH(E932,Parameter!$I$35:$I$52,0))),VLOOKUP(E932,Parameter!$I$35:$J$52,2,0),IFERROR(VLOOKUP(D932,Parameter!$A$35:$C$64,2,0),"Nein"))</f>
        <v>2+3</v>
      </c>
      <c r="CE932" s="64" t="n">
        <f aca="false">IF(CA932=0,0,IF(N(S932)&gt;0,S932,IFERROR(VLOOKUP(D932,Parameter!$A$35:$C$64,3,0)+0,0)))</f>
        <v>0</v>
      </c>
      <c r="CF932" s="60" t="n">
        <f aca="false">IF(AB932&lt;&gt;"",AB932,AA932)</f>
        <v>3</v>
      </c>
      <c r="CG932" s="60" t="str">
        <f aca="false">IF(OR(CF932=1,CF932=2,CF932=3),IF(Parameter!$E$27="Ja","LIFT",IF(CF932=1,"L1","L23")),IF(CF932="Aussen","Aussen","-"))</f>
        <v>LIFT</v>
      </c>
      <c r="CH932" s="71" t="n">
        <f aca="false">IF(N(AC932)&gt;0,AC932,0)</f>
        <v>0</v>
      </c>
      <c r="CI932" s="65" t="n">
        <f aca="false">IF(ISNUMBER(AF932),1,0)</f>
        <v>0</v>
      </c>
      <c r="CJ932" s="62" t="n">
        <f aca="false">N(AF932)</f>
        <v>0</v>
      </c>
      <c r="CK932" s="62" t="n">
        <f aca="false">N(M932)+N(N932)</f>
        <v>1</v>
      </c>
      <c r="CL932" s="62" t="n">
        <f aca="false">N(M932)</f>
        <v>0</v>
      </c>
      <c r="CM932" s="62" t="n">
        <f aca="false">N(N932)</f>
        <v>1</v>
      </c>
      <c r="CN932" s="62" t="n">
        <f aca="false">ROUNDUP(H932/BZ932,0)</f>
        <v>1</v>
      </c>
      <c r="CO932" s="62" t="n">
        <f aca="false">ROUNDUP(CJ932/BZ932,0)</f>
        <v>0</v>
      </c>
      <c r="CP932" s="65" t="n">
        <f aca="false">IF(CA932=1,0,IFERROR(VLOOKUP(BY932,'Gebinde-Kategorie'!$A$5:$N$45,5,0)+0,0))</f>
        <v>8</v>
      </c>
      <c r="CQ932" s="65" t="n">
        <f aca="false">IFERROR(IF(OR(CF932=1,CF932=2,CF932=3),N(INDEX(Parameter!$I$5:$I$7,CF932)),0),0)</f>
        <v>0</v>
      </c>
      <c r="CR932" s="64" t="n">
        <f aca="false">IF(AND(Parameter!$B$21="Ja",ISNUMBER(W932),N(X932)&gt;0),IFERROR(N(INDEX(Parameter!$L$5:$L$7,W932))*INDEX(Parameter!$E$5:$E$7,W932)*X932/SUMIFS($X$7:$X$1843,$W$7:$W$1843,W932),0),0)</f>
        <v>0</v>
      </c>
      <c r="CS932" s="62" t="n">
        <f aca="false">IF(AND(OR(CG932="L1",CG932="L23",CG932="LIFT"),H932&gt;0),CC932*IF(CR932&gt;0,CR932*MAX(1,H932/X932),IF(CA932=1,CE932,IF(R932&gt;0,CN932/R932,0))/MAX(0.1,N(Parameter!$M$21))),"")</f>
        <v>1.49038461538462</v>
      </c>
      <c r="CT932" s="64" t="n">
        <f aca="false">IF(CS932="","",J932/H932)</f>
        <v>0.0952380952380952</v>
      </c>
      <c r="CU932" s="62" t="n">
        <f aca="false">IF(CS932="","",H932*G932)</f>
        <v>522.9</v>
      </c>
      <c r="CV932" s="63" t="n">
        <f aca="false">IF(CS932="","",(CL932+ROUNDUP(CL932+MAX(CM932,2*(J932/MAX(0.1,N(Einkauf!$C$6))-CL932)),0))/2)</f>
        <v>0.5</v>
      </c>
      <c r="CW932" s="62" t="n">
        <f aca="false">IF(CS932="","",MAX(0,H932-CV932)*G932)</f>
        <v>510.45</v>
      </c>
      <c r="CX932" s="62" t="n">
        <f aca="false">IF(CS932="","",CS932*MAX(0,1-CV932/H932))</f>
        <v>1.45489926739927</v>
      </c>
      <c r="CY932" s="64" t="n">
        <f aca="false">IF(CS932="","",PERCENTRANK($CS$7:$CS$1843,CS932)+PERCENTRANK($CU$7:$CU$1843,CU932)+1-PERCENTRANK($CT$7:$CT$1843,CT932))</f>
        <v>1.214</v>
      </c>
      <c r="CZ932" s="72" t="n">
        <f aca="false">IF(CS932="","",CHOOSE(MATCH(Einkauf!$C$5,Parameter!$G$23:$G$27,0),CY932,CS932,CU932,-CT932,CW932)+ROW()/1000000000)</f>
        <v>1.214000932</v>
      </c>
    </row>
    <row r="933" customFormat="false" ht="15" hidden="false" customHeight="false" outlineLevel="0" collapsed="false">
      <c r="A933" s="60" t="s">
        <v>1784</v>
      </c>
      <c r="B933" s="60" t="s">
        <v>1785</v>
      </c>
      <c r="C933" s="60" t="s">
        <v>206</v>
      </c>
      <c r="D933" s="60" t="s">
        <v>226</v>
      </c>
      <c r="E933" s="60"/>
      <c r="F933" s="60" t="s">
        <v>260</v>
      </c>
      <c r="G933" s="61" t="n">
        <v>10</v>
      </c>
      <c r="H933" s="62" t="n">
        <f aca="false">MAX(0,IF(AND(Parameter!$B$21="Ja",ISNUMBER(Y933)),Y933,IF(Parameter!$B$20="Jahresanfang 2025 + Export",BS933+BR933,BR933)))</f>
        <v>73</v>
      </c>
      <c r="I933" s="62" t="n">
        <f aca="false">H933*G933</f>
        <v>730</v>
      </c>
      <c r="J933" s="62" t="n">
        <f aca="false">BU933*Parameter!$B$18</f>
        <v>0</v>
      </c>
      <c r="K933" s="63" t="n">
        <v>75.5</v>
      </c>
      <c r="L933" s="64" t="n">
        <v>0</v>
      </c>
      <c r="M933" s="62" t="n">
        <v>0</v>
      </c>
      <c r="N933" s="62" t="n">
        <v>1</v>
      </c>
      <c r="O933" s="65" t="n">
        <v>21</v>
      </c>
      <c r="P933" s="60" t="s">
        <v>468</v>
      </c>
      <c r="Q933" s="62" t="n">
        <v>67</v>
      </c>
      <c r="R933" s="65" t="n">
        <f aca="false">IF(CA933=1,0,IFERROR(VLOOKUP(BY933,'Gebinde-Kategorie'!$A$5:$N$45,13,0)+0,0))</f>
        <v>140</v>
      </c>
      <c r="S933" s="66"/>
      <c r="T933" s="67"/>
      <c r="U933" s="67"/>
      <c r="V933" s="67"/>
      <c r="W933" s="60"/>
      <c r="X933" s="62"/>
      <c r="Y933" s="62"/>
      <c r="Z933" s="60" t="n">
        <v>2</v>
      </c>
      <c r="AA933" s="60" t="n">
        <f aca="false">IF(A933="","",IF(AND(Parameter!$B$21="Ja",ISNUMBER(W933)),W933,IF(AND(Parameter!$E$27="Ja",ISNUMBER(Z933),CD933&lt;&gt;"Nein"),Z933,IF(CD933="2+3",IF(ISNUMBER(SEARCH("grosser Artikel",BV933)),2,IFERROR(VLOOKUP(BY933,Parameter!$F$35:$G$64,2,0),2)),IF(OR(CD933="Nein",CD933=""),"-",CD933)))))</f>
        <v>2</v>
      </c>
      <c r="AB933" s="67"/>
      <c r="AC933" s="68"/>
      <c r="AD933" s="62" t="n">
        <f aca="false">AW933</f>
        <v>1</v>
      </c>
      <c r="AE933" s="62" t="n">
        <f aca="false">MAX(AW933,H933)</f>
        <v>73</v>
      </c>
      <c r="AF933" s="69"/>
      <c r="AG933" s="62" t="n">
        <f aca="false">IF(LEFT(Cockpit!$C$5,1)="A",H933,IF(Parameter!$E$30="MAX-Bestand",IF(CI933=1,CJ933,IF(LEFT(Cockpit!$C$5,1)="B",AM933,MAX(AM933,H933))),ROUNDUP(AK933,0)))</f>
        <v>73</v>
      </c>
      <c r="AH933" s="62" t="n">
        <f aca="false">IF(CA933=1,0,ROUNDUP(AG933/BZ933,0))</f>
        <v>2</v>
      </c>
      <c r="AI933" s="64" t="n">
        <f aca="false">IF(CR933&gt;0,CR933*MAX(1,AG933/X933),IF(CA933=1,IF(AG933&lt;=0,0,CE933*MAX(1,IF(H933&gt;0,AG933/H933,1))),IF(R933&gt;0,AH933/R933,0))/MAX(0.1,N(Parameter!$M$21)))</f>
        <v>0.0142857142857143</v>
      </c>
      <c r="AJ933" s="62" t="n">
        <f aca="false">AI933*CC933</f>
        <v>2.21428571428571</v>
      </c>
      <c r="AK933" s="63" t="n">
        <f aca="false">IF(LEFT(Cockpit!$C$5,1)="A",H933,IF(CI933=1,(CL933+CJ933)/2,IF(LEFT(Cockpit!$C$5,1)="B",(CL933+AM933)/2,MAX((CL933+AM933)/2,H933))))</f>
        <v>73</v>
      </c>
      <c r="AL933" s="62" t="n">
        <f aca="false">AK933*G933</f>
        <v>730</v>
      </c>
      <c r="AM933" s="62" t="n">
        <f aca="false">ROUNDUP(CL933+MAX(CM933,2*(J933/IF(CH933&gt;0,CH933,MAX(0.1,N(Cockpit!$C$6)))-CL933)),0)</f>
        <v>1</v>
      </c>
      <c r="AN933" s="63" t="n">
        <f aca="false">IF(AJ933&gt;0,J933/AJ933,-1)</f>
        <v>0</v>
      </c>
      <c r="AO933" s="63" t="n">
        <f aca="false">IF(AND(OR(CG933="L1",CG933="L23",CG933="LIFT"),AJ933&gt;0),SUMIFS($AJ$7:$AJ$1843,$CG$7:$CG$1843,CG933,$AN$7:$AN$1843,"&gt;"&amp;AN933)+SUMIFS($AJ$7:$AJ$1843,$CG$7:$CG$1843,CG933,$AN$7:$AN$1843,AN933,$BX$7:$BX$1843,"&lt;="&amp;BX933),"")</f>
        <v>28865.2927505639</v>
      </c>
      <c r="AP933" s="70" t="n">
        <f aca="false">IF(AO933="",0,MAX(0,MIN(1,(IF(CG933="L1",Parameter!$H$5,IF(CG933="L23",Parameter!$H$6+Parameter!$H$7,Parameter!$H$5+Parameter!$H$6+Parameter!$H$7))-(AO933-AJ933))/AJ933)))</f>
        <v>1</v>
      </c>
      <c r="AQ933" s="62" t="n">
        <f aca="false">IF(LEFT(Cockpit!$I$5,1)="A",H933,IF(Parameter!$E$30="MAX-Bestand",IF(CI933=1,CJ933,IF(LEFT(Cockpit!$I$5,1)="B",AW933,MAX(AW933,H933))),ROUNDUP(AU933,0)))</f>
        <v>73</v>
      </c>
      <c r="AR933" s="62" t="n">
        <f aca="false">IF(CA933=1,0,ROUNDUP(AQ933/BZ933,0))</f>
        <v>2</v>
      </c>
      <c r="AS933" s="64" t="n">
        <f aca="false">IF(CR933&gt;0,CR933*MAX(1,AQ933/X933),IF(CA933=1,IF(AQ933&lt;=0,0,CE933*MAX(1,IF(H933&gt;0,AQ933/H933,1))),IF(R933&gt;0,AR933/R933,0))/MAX(0.1,N(Parameter!$M$21)))</f>
        <v>0.0142857142857143</v>
      </c>
      <c r="AT933" s="62" t="n">
        <f aca="false">AS933*CC933</f>
        <v>2.21428571428571</v>
      </c>
      <c r="AU933" s="63" t="n">
        <f aca="false">IF(LEFT(Cockpit!$I$5,1)="A",H933,IF(CI933=1,(CL933+CJ933)/2,IF(LEFT(Cockpit!$I$5,1)="B",(CL933+AW933)/2,MAX((CL933+AW933)/2,H933))))</f>
        <v>73</v>
      </c>
      <c r="AV933" s="62" t="n">
        <f aca="false">AU933*G933</f>
        <v>730</v>
      </c>
      <c r="AW933" s="62" t="n">
        <f aca="false">ROUNDUP(CL933+MAX(CM933,2*(J933/IF(CH933&gt;0,CH933,MAX(0.1,N(Cockpit!$I$6)))-CL933)),0)</f>
        <v>1</v>
      </c>
      <c r="AX933" s="63" t="n">
        <f aca="false">IF(AT933&gt;0,J933/AT933,-1)</f>
        <v>0</v>
      </c>
      <c r="AY933" s="63" t="n">
        <f aca="false">IF(AND(OR(CG933="L1",CG933="L23",CG933="LIFT"),AT933&gt;0),SUMIFS($AT$7:$AT$1843,$CG$7:$CG$1843,CG933,$AX$7:$AX$1843,"&gt;"&amp;AX933)+SUMIFS($AT$7:$AT$1843,$CG$7:$CG$1843,CG933,$AX$7:$AX$1843,AX933,$BX$7:$BX$1843,"&lt;="&amp;BX933),"")</f>
        <v>34527.2641941392</v>
      </c>
      <c r="AZ933" s="70" t="n">
        <f aca="false">IF(AY933="",0,MAX(0,MIN(1,(IF(CG933="L1",Parameter!$H$5,IF(CG933="L23",Parameter!$H$6+Parameter!$H$7,Parameter!$H$5+Parameter!$H$6+Parameter!$H$7))-(AY933-AT933))/AT933)))</f>
        <v>1</v>
      </c>
      <c r="BA933" s="62" t="n">
        <f aca="false">IF(LEFT(Cockpit!$O$5,1)="A",H933,IF(Parameter!$E$30="MAX-Bestand",IF(CI933=1,CJ933,IF(LEFT(Cockpit!$O$5,1)="B",BG933,MAX(BG933,H933))),ROUNDUP(BE933,0)))</f>
        <v>1</v>
      </c>
      <c r="BB933" s="62" t="n">
        <f aca="false">IF(CA933=1,0,ROUNDUP(BA933/BZ933,0))</f>
        <v>1</v>
      </c>
      <c r="BC933" s="64" t="n">
        <f aca="false">IF(CR933&gt;0,CR933*MAX(1,BA933/X933),IF(CA933=1,IF(BA933&lt;=0,0,CE933*MAX(1,IF(H933&gt;0,BA933/H933,1))),IF(R933&gt;0,BB933/R933,0))/MAX(0.1,N(Parameter!$M$21)))</f>
        <v>0.00714285714285714</v>
      </c>
      <c r="BD933" s="62" t="n">
        <f aca="false">BC933*CC933</f>
        <v>1.10714285714286</v>
      </c>
      <c r="BE933" s="63" t="n">
        <f aca="false">IF(LEFT(Cockpit!$O$5,1)="A",H933,IF(CI933=1,(CL933+CJ933)/2,IF(LEFT(Cockpit!$O$5,1)="B",(CL933+BG933)/2,MAX((CL933+BG933)/2,H933))))</f>
        <v>0.5</v>
      </c>
      <c r="BF933" s="62" t="n">
        <f aca="false">BE933*G933</f>
        <v>5</v>
      </c>
      <c r="BG933" s="62" t="n">
        <f aca="false">ROUNDUP(CL933+MAX(CM933,2*(J933/IF(CH933&gt;0,CH933,MAX(0.1,N(Cockpit!$O$6)))-CL933)),0)</f>
        <v>1</v>
      </c>
      <c r="BH933" s="63" t="n">
        <f aca="false">IF(BD933&gt;0,J933/BD933,-1)</f>
        <v>0</v>
      </c>
      <c r="BI933" s="63" t="n">
        <f aca="false">IF(AND(OR(CG933="L1",CG933="L23",CG933="LIFT"),BD933&gt;0),SUMIFS($BD$7:$BD$1843,$CG$7:$CG$1843,CG933,$BH$7:$BH$1843,"&gt;"&amp;BH933)+SUMIFS($BD$7:$BD$1843,$CG$7:$CG$1843,CG933,$BH$7:$BH$1843,BH933,$BX$7:$BX$1843,"&lt;="&amp;BX933),"")</f>
        <v>28557.7631619793</v>
      </c>
      <c r="BJ933" s="70" t="n">
        <f aca="false">IF(BI933="",0,MAX(0,MIN(1,(IF(CG933="L1",Parameter!$H$5,IF(CG933="L23",Parameter!$H$6+Parameter!$H$7,Parameter!$H$5+Parameter!$H$6+Parameter!$H$7))-(BI933-BD933))/BD933)))</f>
        <v>1</v>
      </c>
      <c r="BK933" s="60" t="str">
        <f aca="false">IF(AJ933&lt;=0,"",IF(CG933="Aussen","Aussenlager",IF(CG933="-","Nicht im Lift",IF(AP933&gt;=1,"Lift",IF(AP933&lt;=0,"Aussenlager","teilweise")))))</f>
        <v>Lift</v>
      </c>
      <c r="BL933" s="60" t="str">
        <f aca="false">IF(AT933&lt;=0,"",IF(CG933="Aussen","Aussenlager",IF(CG933="-","Nicht im Lift",IF(AZ933&gt;=1,"Lift",IF(AZ933&lt;=0,"Aussenlager","teilweise")))))</f>
        <v>Lift</v>
      </c>
      <c r="BM933" s="60" t="str">
        <f aca="false">IF(BD933&lt;=0,"",IF(CG933="Aussen","Aussenlager",IF(CG933="-","Nicht im Lift",IF(BJ933&gt;=1,"Lift",IF(BJ933&lt;=0,"Aussenlager","teilweise")))))</f>
        <v>Lift</v>
      </c>
      <c r="BN933" s="60" t="str">
        <f aca="false">IF(A933="","",IF(BW933=1,"Neu; ","")&amp;IF(AND(BW933=0,BR933&lt;0),"negativer Bestand (Export "&amp;BR933&amp;"); ","")&amp;IF(J933&lt;=0,"Kein Verbrauch; ","")&amp;IF(CR933&gt;0,"Lift "&amp;W933&amp;" lt. Liftbericht (Fach "&amp;X933&amp;" Stk); ",IF(CB933=1,"Gebinde geschätzt ("&amp;T933&amp;"); ",IF(CA933=1,"Lose – Tablare geschätzt; ","")))&amp;IF(H933&gt;AW933,"Überbestand "&amp;ROUND(H933-AW933,0)&amp;" Stk / CHF "&amp;ROUND((H933-AW933)*G933,0)&amp;"; ","")&amp;IF(AND(CI933=1,CJ933&lt;CK933),"MAX &lt; MB+LG; ","")&amp;IF(AND(CQ933&gt;0,CP933*10&gt;CQ933),"zu hoch für Tablar; ","")&amp;IF(AND(BW933=0,OR(CI933=1,AB933&lt;&gt;"",U933&lt;&gt;"",V933&lt;&gt;"",AC933&lt;&gt;"")),"manuell übersteuert; ","")&amp;IF(AND(CA933=0,R933=0),"Gebinde unbekannt / Stellmass fehlt; ","")&amp;IF(AND(CA933=0,N(V933)&lt;=0,N(Q933)&lt;=0),"Menge pro Gebinde fehlt (Ist = 1 Gebinde); ","")&amp;BV933)</f>
        <v>negativer Bestand (Export -5); Kein Verbrauch; Überbestand 72 Stk / CHF 720; </v>
      </c>
      <c r="BO933" s="60"/>
      <c r="BP933" s="60"/>
      <c r="BQ933" s="67"/>
      <c r="BR933" s="62" t="n">
        <v>-5</v>
      </c>
      <c r="BS933" s="62" t="n">
        <v>78</v>
      </c>
      <c r="BT933" s="61" t="n">
        <v>-50</v>
      </c>
      <c r="BU933" s="62" t="n">
        <v>0</v>
      </c>
      <c r="BV933" s="60"/>
      <c r="BW933" s="65" t="n">
        <v>0</v>
      </c>
      <c r="BX933" s="65" t="n">
        <v>933</v>
      </c>
      <c r="BY933" s="60" t="str">
        <f aca="false">IF(U933&lt;&gt;"",UPPER(TRIM(U933)),IF(CB933=1,UPPER(VLOOKUP(T933,Parameter!$I$27:$K$29,2,0)),IF(P933="","LOSE",P933)))</f>
        <v>S22</v>
      </c>
      <c r="BZ933" s="62" t="n">
        <f aca="false">IF(BY933="LOSE",1,IF(N(V933)&gt;0,V933,IF(CB933=1,MAX(1,N(VLOOKUP(T933,Parameter!$I$27:$K$29,3,0)),H933,N(N933)),IF(N(Q933)&gt;0,Q933,MAX(1,H933)))))</f>
        <v>67</v>
      </c>
      <c r="CA933" s="65" t="n">
        <f aca="false">IF(BY933="LOSE",1,0)</f>
        <v>0</v>
      </c>
      <c r="CB933" s="65" t="n">
        <f aca="false">IF(AND(U933="",OR(P933="",P933="LOSE"),T933&lt;&gt;"",N(S933)&lt;=0,ISNUMBER(MATCH(T933,Parameter!$I$27:$I$29,0))),1,0)</f>
        <v>0</v>
      </c>
      <c r="CC933" s="65" t="n">
        <f aca="false">IF(CR933&gt;0,INDEX(Parameter!$H$5:$H$7,W933)/INDEX(Parameter!$E$5:$E$7,W933),IF(AND(CA933=0,N(IFERROR(VLOOKUP(BY933,'Gebinde-Kategorie'!$A$5:$N$45,14,0),0))&gt;0),VLOOKUP(BY933,'Gebinde-Kategorie'!$A$5:$N$45,14,0)*10+Parameter!$M$23,Parameter!$M$24))</f>
        <v>155</v>
      </c>
      <c r="CD933" s="60" t="str">
        <f aca="false">IF(AND(Parameter!$B$19="Ja",E933&lt;&gt;"",ISNUMBER(MATCH(E933,Parameter!$I$35:$I$52,0))),VLOOKUP(E933,Parameter!$I$35:$J$52,2,0),IFERROR(VLOOKUP(D933,Parameter!$A$35:$C$64,2,0),"Nein"))</f>
        <v>2+3</v>
      </c>
      <c r="CE933" s="64" t="n">
        <f aca="false">IF(CA933=0,0,IF(N(S933)&gt;0,S933,IFERROR(VLOOKUP(D933,Parameter!$A$35:$C$64,3,0)+0,0)))</f>
        <v>0</v>
      </c>
      <c r="CF933" s="60" t="n">
        <f aca="false">IF(AB933&lt;&gt;"",AB933,AA933)</f>
        <v>2</v>
      </c>
      <c r="CG933" s="60" t="str">
        <f aca="false">IF(OR(CF933=1,CF933=2,CF933=3),IF(Parameter!$E$27="Ja","LIFT",IF(CF933=1,"L1","L23")),IF(CF933="Aussen","Aussen","-"))</f>
        <v>LIFT</v>
      </c>
      <c r="CH933" s="71" t="n">
        <f aca="false">IF(N(AC933)&gt;0,AC933,0)</f>
        <v>0</v>
      </c>
      <c r="CI933" s="65" t="n">
        <f aca="false">IF(ISNUMBER(AF933),1,0)</f>
        <v>0</v>
      </c>
      <c r="CJ933" s="62" t="n">
        <f aca="false">N(AF933)</f>
        <v>0</v>
      </c>
      <c r="CK933" s="62" t="n">
        <f aca="false">N(M933)+N(N933)</f>
        <v>1</v>
      </c>
      <c r="CL933" s="62" t="n">
        <f aca="false">N(M933)</f>
        <v>0</v>
      </c>
      <c r="CM933" s="62" t="n">
        <f aca="false">N(N933)</f>
        <v>1</v>
      </c>
      <c r="CN933" s="62" t="n">
        <f aca="false">ROUNDUP(H933/BZ933,0)</f>
        <v>2</v>
      </c>
      <c r="CO933" s="62" t="n">
        <f aca="false">ROUNDUP(CJ933/BZ933,0)</f>
        <v>0</v>
      </c>
      <c r="CP933" s="65" t="n">
        <f aca="false">IF(CA933=1,0,IFERROR(VLOOKUP(BY933,'Gebinde-Kategorie'!$A$5:$N$45,5,0)+0,0))</f>
        <v>8</v>
      </c>
      <c r="CQ933" s="65" t="n">
        <f aca="false">IFERROR(IF(OR(CF933=1,CF933=2,CF933=3),N(INDEX(Parameter!$I$5:$I$7,CF933)),0),0)</f>
        <v>0</v>
      </c>
      <c r="CR933" s="64" t="n">
        <f aca="false">IF(AND(Parameter!$B$21="Ja",ISNUMBER(W933),N(X933)&gt;0),IFERROR(N(INDEX(Parameter!$L$5:$L$7,W933))*INDEX(Parameter!$E$5:$E$7,W933)*X933/SUMIFS($X$7:$X$1843,$W$7:$W$1843,W933),0),0)</f>
        <v>0</v>
      </c>
      <c r="CS933" s="62" t="n">
        <f aca="false">IF(AND(OR(CG933="L1",CG933="L23",CG933="LIFT"),H933&gt;0),CC933*IF(CR933&gt;0,CR933*MAX(1,H933/X933),IF(CA933=1,CE933,IF(R933&gt;0,CN933/R933,0))/MAX(0.1,N(Parameter!$M$21))),"")</f>
        <v>2.21428571428571</v>
      </c>
      <c r="CT933" s="64" t="n">
        <f aca="false">IF(CS933="","",J933/H933)</f>
        <v>0</v>
      </c>
      <c r="CU933" s="62" t="n">
        <f aca="false">IF(CS933="","",H933*G933)</f>
        <v>730</v>
      </c>
      <c r="CV933" s="63" t="n">
        <f aca="false">IF(CS933="","",(CL933+ROUNDUP(CL933+MAX(CM933,2*(J933/MAX(0.1,N(Einkauf!$C$6))-CL933)),0))/2)</f>
        <v>0.5</v>
      </c>
      <c r="CW933" s="62" t="n">
        <f aca="false">IF(CS933="","",MAX(0,H933-CV933)*G933)</f>
        <v>725</v>
      </c>
      <c r="CX933" s="62" t="n">
        <f aca="false">IF(CS933="","",CS933*MAX(0,1-CV933/H933))</f>
        <v>2.19911937377691</v>
      </c>
      <c r="CY933" s="64" t="n">
        <f aca="false">IF(CS933="","",PERCENTRANK($CS$7:$CS$1843,CS933)+PERCENTRANK($CU$7:$CU$1843,CU933)+1-PERCENTRANK($CT$7:$CT$1843,CT933))</f>
        <v>1.787</v>
      </c>
      <c r="CZ933" s="72" t="n">
        <f aca="false">IF(CS933="","",CHOOSE(MATCH(Einkauf!$C$5,Parameter!$G$23:$G$27,0),CY933,CS933,CU933,-CT933,CW933)+ROW()/1000000000)</f>
        <v>1.787000933</v>
      </c>
    </row>
    <row r="934" customFormat="false" ht="15" hidden="false" customHeight="false" outlineLevel="0" collapsed="false">
      <c r="A934" s="60" t="s">
        <v>1786</v>
      </c>
      <c r="B934" s="60" t="s">
        <v>730</v>
      </c>
      <c r="C934" s="60" t="s">
        <v>206</v>
      </c>
      <c r="D934" s="60" t="s">
        <v>226</v>
      </c>
      <c r="E934" s="60" t="s">
        <v>227</v>
      </c>
      <c r="F934" s="60" t="s">
        <v>260</v>
      </c>
      <c r="G934" s="61" t="n">
        <v>14.65</v>
      </c>
      <c r="H934" s="62" t="n">
        <f aca="false">MAX(0,IF(AND(Parameter!$B$21="Ja",ISNUMBER(Y934)),Y934,IF(Parameter!$B$20="Jahresanfang 2025 + Export",BS934+BR934,BR934)))</f>
        <v>22</v>
      </c>
      <c r="I934" s="62" t="n">
        <f aca="false">H934*G934</f>
        <v>322.3</v>
      </c>
      <c r="J934" s="62" t="n">
        <f aca="false">BU934*Parameter!$B$18</f>
        <v>29</v>
      </c>
      <c r="K934" s="63" t="n">
        <v>25.5</v>
      </c>
      <c r="L934" s="64" t="n">
        <v>1.13725490196078</v>
      </c>
      <c r="M934" s="62" t="n">
        <v>2</v>
      </c>
      <c r="N934" s="62" t="n">
        <v>30</v>
      </c>
      <c r="O934" s="65" t="n">
        <v>28</v>
      </c>
      <c r="P934" s="60" t="s">
        <v>275</v>
      </c>
      <c r="Q934" s="62" t="n">
        <v>46</v>
      </c>
      <c r="R934" s="65" t="n">
        <f aca="false">IF(CA934=1,0,IFERROR(VLOOKUP(BY934,'Gebinde-Kategorie'!$A$5:$N$45,13,0)+0,0))</f>
        <v>26</v>
      </c>
      <c r="S934" s="66"/>
      <c r="T934" s="67"/>
      <c r="U934" s="67"/>
      <c r="V934" s="67"/>
      <c r="W934" s="60"/>
      <c r="X934" s="62"/>
      <c r="Y934" s="62"/>
      <c r="Z934" s="60" t="n">
        <v>3</v>
      </c>
      <c r="AA934" s="60" t="n">
        <f aca="false">IF(A934="","",IF(AND(Parameter!$B$21="Ja",ISNUMBER(W934)),W934,IF(AND(Parameter!$E$27="Ja",ISNUMBER(Z934),CD934&lt;&gt;"Nein"),Z934,IF(CD934="2+3",IF(ISNUMBER(SEARCH("grosser Artikel",BV934)),2,IFERROR(VLOOKUP(BY934,Parameter!$F$35:$G$64,2,0),2)),IF(OR(CD934="Nein",CD934=""),"-",CD934)))))</f>
        <v>3</v>
      </c>
      <c r="AB934" s="67"/>
      <c r="AC934" s="68"/>
      <c r="AD934" s="62" t="n">
        <f aca="false">AW934</f>
        <v>32</v>
      </c>
      <c r="AE934" s="62" t="n">
        <f aca="false">MAX(AW934,H934)</f>
        <v>32</v>
      </c>
      <c r="AF934" s="69"/>
      <c r="AG934" s="62" t="n">
        <f aca="false">IF(LEFT(Cockpit!$C$5,1)="A",H934,IF(Parameter!$E$30="MAX-Bestand",IF(CI934=1,CJ934,IF(LEFT(Cockpit!$C$5,1)="B",AM934,MAX(AM934,H934))),ROUNDUP(AK934,0)))</f>
        <v>22</v>
      </c>
      <c r="AH934" s="62" t="n">
        <f aca="false">IF(CA934=1,0,ROUNDUP(AG934/BZ934,0))</f>
        <v>1</v>
      </c>
      <c r="AI934" s="64" t="n">
        <f aca="false">IF(CR934&gt;0,CR934*MAX(1,AG934/X934),IF(CA934=1,IF(AG934&lt;=0,0,CE934*MAX(1,IF(H934&gt;0,AG934/H934,1))),IF(R934&gt;0,AH934/R934,0))/MAX(0.1,N(Parameter!$M$21)))</f>
        <v>0.0384615384615385</v>
      </c>
      <c r="AJ934" s="62" t="n">
        <f aca="false">AI934*CC934</f>
        <v>9.42307692307692</v>
      </c>
      <c r="AK934" s="63" t="n">
        <f aca="false">IF(LEFT(Cockpit!$C$5,1)="A",H934,IF(CI934=1,(CL934+CJ934)/2,IF(LEFT(Cockpit!$C$5,1)="B",(CL934+AM934)/2,MAX((CL934+AM934)/2,H934))))</f>
        <v>22</v>
      </c>
      <c r="AL934" s="62" t="n">
        <f aca="false">AK934*G934</f>
        <v>322.3</v>
      </c>
      <c r="AM934" s="62" t="n">
        <f aca="false">ROUNDUP(CL934+MAX(CM934,2*(J934/IF(CH934&gt;0,CH934,MAX(0.1,N(Cockpit!$C$6)))-CL934)),0)</f>
        <v>32</v>
      </c>
      <c r="AN934" s="63" t="n">
        <f aca="false">IF(AJ934&gt;0,J934/AJ934,-1)</f>
        <v>3.07755102040816</v>
      </c>
      <c r="AO934" s="63" t="n">
        <f aca="false">IF(AND(OR(CG934="L1",CG934="L23",CG934="LIFT"),AJ934&gt;0),SUMIFS($AJ$7:$AJ$1843,$CG$7:$CG$1843,CG934,$AN$7:$AN$1843,"&gt;"&amp;AN934)+SUMIFS($AJ$7:$AJ$1843,$CG$7:$CG$1843,CG934,$AN$7:$AN$1843,AN934,$BX$7:$BX$1843,"&lt;="&amp;BX934),"")</f>
        <v>5012.81547619048</v>
      </c>
      <c r="AP934" s="70" t="n">
        <f aca="false">IF(AO934="",0,MAX(0,MIN(1,(IF(CG934="L1",Parameter!$H$5,IF(CG934="L23",Parameter!$H$6+Parameter!$H$7,Parameter!$H$5+Parameter!$H$6+Parameter!$H$7))-(AO934-AJ934))/AJ934)))</f>
        <v>1</v>
      </c>
      <c r="AQ934" s="62" t="n">
        <f aca="false">IF(LEFT(Cockpit!$I$5,1)="A",H934,IF(Parameter!$E$30="MAX-Bestand",IF(CI934=1,CJ934,IF(LEFT(Cockpit!$I$5,1)="B",AW934,MAX(AW934,H934))),ROUNDUP(AU934,0)))</f>
        <v>22</v>
      </c>
      <c r="AR934" s="62" t="n">
        <f aca="false">IF(CA934=1,0,ROUNDUP(AQ934/BZ934,0))</f>
        <v>1</v>
      </c>
      <c r="AS934" s="64" t="n">
        <f aca="false">IF(CR934&gt;0,CR934*MAX(1,AQ934/X934),IF(CA934=1,IF(AQ934&lt;=0,0,CE934*MAX(1,IF(H934&gt;0,AQ934/H934,1))),IF(R934&gt;0,AR934/R934,0))/MAX(0.1,N(Parameter!$M$21)))</f>
        <v>0.0384615384615385</v>
      </c>
      <c r="AT934" s="62" t="n">
        <f aca="false">AS934*CC934</f>
        <v>9.42307692307692</v>
      </c>
      <c r="AU934" s="63" t="n">
        <f aca="false">IF(LEFT(Cockpit!$I$5,1)="A",H934,IF(CI934=1,(CL934+CJ934)/2,IF(LEFT(Cockpit!$I$5,1)="B",(CL934+AW934)/2,MAX((CL934+AW934)/2,H934))))</f>
        <v>22</v>
      </c>
      <c r="AV934" s="62" t="n">
        <f aca="false">AU934*G934</f>
        <v>322.3</v>
      </c>
      <c r="AW934" s="62" t="n">
        <f aca="false">ROUNDUP(CL934+MAX(CM934,2*(J934/IF(CH934&gt;0,CH934,MAX(0.1,N(Cockpit!$I$6)))-CL934)),0)</f>
        <v>32</v>
      </c>
      <c r="AX934" s="63" t="n">
        <f aca="false">IF(AT934&gt;0,J934/AT934,-1)</f>
        <v>3.07755102040816</v>
      </c>
      <c r="AY934" s="63" t="n">
        <f aca="false">IF(AND(OR(CG934="L1",CG934="L23",CG934="LIFT"),AT934&gt;0),SUMIFS($AT$7:$AT$1843,$CG$7:$CG$1843,CG934,$AX$7:$AX$1843,"&gt;"&amp;AX934)+SUMIFS($AT$7:$AT$1843,$CG$7:$CG$1843,CG934,$AX$7:$AX$1843,AX934,$BX$7:$BX$1843,"&lt;="&amp;BX934),"")</f>
        <v>5768.86401098901</v>
      </c>
      <c r="AZ934" s="70" t="n">
        <f aca="false">IF(AY934="",0,MAX(0,MIN(1,(IF(CG934="L1",Parameter!$H$5,IF(CG934="L23",Parameter!$H$6+Parameter!$H$7,Parameter!$H$5+Parameter!$H$6+Parameter!$H$7))-(AY934-AT934))/AT934)))</f>
        <v>1</v>
      </c>
      <c r="BA934" s="62" t="n">
        <f aca="false">IF(LEFT(Cockpit!$O$5,1)="A",H934,IF(Parameter!$E$30="MAX-Bestand",IF(CI934=1,CJ934,IF(LEFT(Cockpit!$O$5,1)="B",BG934,MAX(BG934,H934))),ROUNDUP(BE934,0)))</f>
        <v>17</v>
      </c>
      <c r="BB934" s="62" t="n">
        <f aca="false">IF(CA934=1,0,ROUNDUP(BA934/BZ934,0))</f>
        <v>1</v>
      </c>
      <c r="BC934" s="64" t="n">
        <f aca="false">IF(CR934&gt;0,CR934*MAX(1,BA934/X934),IF(CA934=1,IF(BA934&lt;=0,0,CE934*MAX(1,IF(H934&gt;0,BA934/H934,1))),IF(R934&gt;0,BB934/R934,0))/MAX(0.1,N(Parameter!$M$21)))</f>
        <v>0.0384615384615385</v>
      </c>
      <c r="BD934" s="62" t="n">
        <f aca="false">BC934*CC934</f>
        <v>9.42307692307692</v>
      </c>
      <c r="BE934" s="63" t="n">
        <f aca="false">IF(LEFT(Cockpit!$O$5,1)="A",H934,IF(CI934=1,(CL934+CJ934)/2,IF(LEFT(Cockpit!$O$5,1)="B",(CL934+BG934)/2,MAX((CL934+BG934)/2,H934))))</f>
        <v>17</v>
      </c>
      <c r="BF934" s="62" t="n">
        <f aca="false">BE934*G934</f>
        <v>249.05</v>
      </c>
      <c r="BG934" s="62" t="n">
        <f aca="false">ROUNDUP(CL934+MAX(CM934,2*(J934/IF(CH934&gt;0,CH934,MAX(0.1,N(Cockpit!$O$6)))-CL934)),0)</f>
        <v>32</v>
      </c>
      <c r="BH934" s="63" t="n">
        <f aca="false">IF(BD934&gt;0,J934/BD934,-1)</f>
        <v>3.07755102040816</v>
      </c>
      <c r="BI934" s="63" t="n">
        <f aca="false">IF(AND(OR(CG934="L1",CG934="L23",CG934="LIFT"),BD934&gt;0),SUMIFS($BD$7:$BD$1843,$CG$7:$CG$1843,CG934,$BH$7:$BH$1843,"&gt;"&amp;BH934)+SUMIFS($BD$7:$BD$1843,$CG$7:$CG$1843,CG934,$BH$7:$BH$1843,BH934,$BX$7:$BX$1843,"&lt;="&amp;BX934),"")</f>
        <v>4732.12683150183</v>
      </c>
      <c r="BJ934" s="70" t="n">
        <f aca="false">IF(BI934="",0,MAX(0,MIN(1,(IF(CG934="L1",Parameter!$H$5,IF(CG934="L23",Parameter!$H$6+Parameter!$H$7,Parameter!$H$5+Parameter!$H$6+Parameter!$H$7))-(BI934-BD934))/BD934)))</f>
        <v>1</v>
      </c>
      <c r="BK934" s="60" t="str">
        <f aca="false">IF(AJ934&lt;=0,"",IF(CG934="Aussen","Aussenlager",IF(CG934="-","Nicht im Lift",IF(AP934&gt;=1,"Lift",IF(AP934&lt;=0,"Aussenlager","teilweise")))))</f>
        <v>Lift</v>
      </c>
      <c r="BL934" s="60" t="str">
        <f aca="false">IF(AT934&lt;=0,"",IF(CG934="Aussen","Aussenlager",IF(CG934="-","Nicht im Lift",IF(AZ934&gt;=1,"Lift",IF(AZ934&lt;=0,"Aussenlager","teilweise")))))</f>
        <v>Lift</v>
      </c>
      <c r="BM934" s="60" t="str">
        <f aca="false">IF(BD934&lt;=0,"",IF(CG934="Aussen","Aussenlager",IF(CG934="-","Nicht im Lift",IF(BJ934&gt;=1,"Lift",IF(BJ934&lt;=0,"Aussenlager","teilweise")))))</f>
        <v>Lift</v>
      </c>
      <c r="BN934" s="60" t="str">
        <f aca="false">IF(A934="","",IF(BW934=1,"Neu; ","")&amp;IF(AND(BW934=0,BR934&lt;0),"negativer Bestand (Export "&amp;BR934&amp;"); ","")&amp;IF(J934&lt;=0,"Kein Verbrauch; ","")&amp;IF(CR934&gt;0,"Lift "&amp;W934&amp;" lt. Liftbericht (Fach "&amp;X934&amp;" Stk); ",IF(CB934=1,"Gebinde geschätzt ("&amp;T934&amp;"); ",IF(CA934=1,"Lose – Tablare geschätzt; ","")))&amp;IF(H934&gt;AW934,"Überbestand "&amp;ROUND(H934-AW934,0)&amp;" Stk / CHF "&amp;ROUND((H934-AW934)*G934,0)&amp;"; ","")&amp;IF(AND(CI934=1,CJ934&lt;CK934),"MAX &lt; MB+LG; ","")&amp;IF(AND(CQ934&gt;0,CP934*10&gt;CQ934),"zu hoch für Tablar; ","")&amp;IF(AND(BW934=0,OR(CI934=1,AB934&lt;&gt;"",U934&lt;&gt;"",V934&lt;&gt;"",AC934&lt;&gt;"")),"manuell übersteuert; ","")&amp;IF(AND(CA934=0,R934=0),"Gebinde unbekannt / Stellmass fehlt; ","")&amp;IF(AND(CA934=0,N(V934)&lt;=0,N(Q934)&lt;=0),"Menge pro Gebinde fehlt (Ist = 1 Gebinde); ","")&amp;BV934)</f>
        <v/>
      </c>
      <c r="BO934" s="60"/>
      <c r="BP934" s="60"/>
      <c r="BQ934" s="67"/>
      <c r="BR934" s="62" t="n">
        <v>2</v>
      </c>
      <c r="BS934" s="62" t="n">
        <v>20</v>
      </c>
      <c r="BT934" s="61" t="n">
        <v>-50.7000000000002</v>
      </c>
      <c r="BU934" s="62" t="n">
        <v>29</v>
      </c>
      <c r="BV934" s="60"/>
      <c r="BW934" s="65" t="n">
        <v>0</v>
      </c>
      <c r="BX934" s="65" t="n">
        <v>934</v>
      </c>
      <c r="BY934" s="60" t="str">
        <f aca="false">IF(U934&lt;&gt;"",UPPER(TRIM(U934)),IF(CB934=1,UPPER(VLOOKUP(T934,Parameter!$I$27:$K$29,2,0)),IF(P934="","LOSE",P934)))</f>
        <v>S52</v>
      </c>
      <c r="BZ934" s="62" t="n">
        <f aca="false">IF(BY934="LOSE",1,IF(N(V934)&gt;0,V934,IF(CB934=1,MAX(1,N(VLOOKUP(T934,Parameter!$I$27:$K$29,3,0)),H934,N(N934)),IF(N(Q934)&gt;0,Q934,MAX(1,H934)))))</f>
        <v>46</v>
      </c>
      <c r="CA934" s="65" t="n">
        <f aca="false">IF(BY934="LOSE",1,0)</f>
        <v>0</v>
      </c>
      <c r="CB934" s="65" t="n">
        <f aca="false">IF(AND(U934="",OR(P934="",P934="LOSE"),T934&lt;&gt;"",N(S934)&lt;=0,ISNUMBER(MATCH(T934,Parameter!$I$27:$I$29,0))),1,0)</f>
        <v>0</v>
      </c>
      <c r="CC934" s="65" t="n">
        <f aca="false">IF(CR934&gt;0,INDEX(Parameter!$H$5:$H$7,W934)/INDEX(Parameter!$E$5:$E$7,W934),IF(AND(CA934=0,N(IFERROR(VLOOKUP(BY934,'Gebinde-Kategorie'!$A$5:$N$45,14,0),0))&gt;0),VLOOKUP(BY934,'Gebinde-Kategorie'!$A$5:$N$45,14,0)*10+Parameter!$M$23,Parameter!$M$24))</f>
        <v>245</v>
      </c>
      <c r="CD934" s="60" t="str">
        <f aca="false">IF(AND(Parameter!$B$19="Ja",E934&lt;&gt;"",ISNUMBER(MATCH(E934,Parameter!$I$35:$I$52,0))),VLOOKUP(E934,Parameter!$I$35:$J$52,2,0),IFERROR(VLOOKUP(D934,Parameter!$A$35:$C$64,2,0),"Nein"))</f>
        <v>2+3</v>
      </c>
      <c r="CE934" s="64" t="n">
        <f aca="false">IF(CA934=0,0,IF(N(S934)&gt;0,S934,IFERROR(VLOOKUP(D934,Parameter!$A$35:$C$64,3,0)+0,0)))</f>
        <v>0</v>
      </c>
      <c r="CF934" s="60" t="n">
        <f aca="false">IF(AB934&lt;&gt;"",AB934,AA934)</f>
        <v>3</v>
      </c>
      <c r="CG934" s="60" t="str">
        <f aca="false">IF(OR(CF934=1,CF934=2,CF934=3),IF(Parameter!$E$27="Ja","LIFT",IF(CF934=1,"L1","L23")),IF(CF934="Aussen","Aussen","-"))</f>
        <v>LIFT</v>
      </c>
      <c r="CH934" s="71" t="n">
        <f aca="false">IF(N(AC934)&gt;0,AC934,0)</f>
        <v>0</v>
      </c>
      <c r="CI934" s="65" t="n">
        <f aca="false">IF(ISNUMBER(AF934),1,0)</f>
        <v>0</v>
      </c>
      <c r="CJ934" s="62" t="n">
        <f aca="false">N(AF934)</f>
        <v>0</v>
      </c>
      <c r="CK934" s="62" t="n">
        <f aca="false">N(M934)+N(N934)</f>
        <v>32</v>
      </c>
      <c r="CL934" s="62" t="n">
        <f aca="false">N(M934)</f>
        <v>2</v>
      </c>
      <c r="CM934" s="62" t="n">
        <f aca="false">N(N934)</f>
        <v>30</v>
      </c>
      <c r="CN934" s="62" t="n">
        <f aca="false">ROUNDUP(H934/BZ934,0)</f>
        <v>1</v>
      </c>
      <c r="CO934" s="62" t="n">
        <f aca="false">ROUNDUP(CJ934/BZ934,0)</f>
        <v>0</v>
      </c>
      <c r="CP934" s="65" t="n">
        <f aca="false">IF(CA934=1,0,IFERROR(VLOOKUP(BY934,'Gebinde-Kategorie'!$A$5:$N$45,5,0)+0,0))</f>
        <v>21</v>
      </c>
      <c r="CQ934" s="65" t="n">
        <f aca="false">IFERROR(IF(OR(CF934=1,CF934=2,CF934=3),N(INDEX(Parameter!$I$5:$I$7,CF934)),0),0)</f>
        <v>0</v>
      </c>
      <c r="CR934" s="64" t="n">
        <f aca="false">IF(AND(Parameter!$B$21="Ja",ISNUMBER(W934),N(X934)&gt;0),IFERROR(N(INDEX(Parameter!$L$5:$L$7,W934))*INDEX(Parameter!$E$5:$E$7,W934)*X934/SUMIFS($X$7:$X$1843,$W$7:$W$1843,W934),0),0)</f>
        <v>0</v>
      </c>
      <c r="CS934" s="62" t="n">
        <f aca="false">IF(AND(OR(CG934="L1",CG934="L23",CG934="LIFT"),H934&gt;0),CC934*IF(CR934&gt;0,CR934*MAX(1,H934/X934),IF(CA934=1,CE934,IF(R934&gt;0,CN934/R934,0))/MAX(0.1,N(Parameter!$M$21))),"")</f>
        <v>9.42307692307692</v>
      </c>
      <c r="CT934" s="64" t="n">
        <f aca="false">IF(CS934="","",J934/H934)</f>
        <v>1.31818181818182</v>
      </c>
      <c r="CU934" s="62" t="n">
        <f aca="false">IF(CS934="","",H934*G934)</f>
        <v>322.3</v>
      </c>
      <c r="CV934" s="63" t="n">
        <f aca="false">IF(CS934="","",(CL934+ROUNDUP(CL934+MAX(CM934,2*(J934/MAX(0.1,N(Einkauf!$C$6))-CL934)),0))/2)</f>
        <v>17</v>
      </c>
      <c r="CW934" s="62" t="n">
        <f aca="false">IF(CS934="","",MAX(0,H934-CV934)*G934)</f>
        <v>73.25</v>
      </c>
      <c r="CX934" s="62" t="n">
        <f aca="false">IF(CS934="","",CS934*MAX(0,1-CV934/H934))</f>
        <v>2.14160839160839</v>
      </c>
      <c r="CY934" s="64" t="n">
        <f aca="false">IF(CS934="","",PERCENTRANK($CS$7:$CS$1843,CS934)+PERCENTRANK($CU$7:$CU$1843,CU934)+1-PERCENTRANK($CT$7:$CT$1843,CT934))</f>
        <v>1.276</v>
      </c>
      <c r="CZ934" s="72" t="n">
        <f aca="false">IF(CS934="","",CHOOSE(MATCH(Einkauf!$C$5,Parameter!$G$23:$G$27,0),CY934,CS934,CU934,-CT934,CW934)+ROW()/1000000000)</f>
        <v>1.276000934</v>
      </c>
    </row>
    <row r="935" customFormat="false" ht="15" hidden="false" customHeight="false" outlineLevel="0" collapsed="false">
      <c r="A935" s="60" t="s">
        <v>1787</v>
      </c>
      <c r="B935" s="60" t="s">
        <v>1788</v>
      </c>
      <c r="C935" s="60" t="s">
        <v>206</v>
      </c>
      <c r="D935" s="60" t="s">
        <v>226</v>
      </c>
      <c r="E935" s="60"/>
      <c r="F935" s="60" t="s">
        <v>260</v>
      </c>
      <c r="G935" s="61" t="n">
        <v>16.96</v>
      </c>
      <c r="H935" s="62" t="n">
        <f aca="false">MAX(0,IF(AND(Parameter!$B$21="Ja",ISNUMBER(Y935)),Y935,IF(Parameter!$B$20="Jahresanfang 2025 + Export",BS935+BR935,BR935)))</f>
        <v>4</v>
      </c>
      <c r="I935" s="62" t="n">
        <f aca="false">H935*G935</f>
        <v>67.84</v>
      </c>
      <c r="J935" s="62" t="n">
        <f aca="false">BU935*Parameter!$B$18</f>
        <v>3</v>
      </c>
      <c r="K935" s="63" t="n">
        <v>5.5</v>
      </c>
      <c r="L935" s="64" t="n">
        <v>0.545454545454545</v>
      </c>
      <c r="M935" s="62" t="n">
        <v>0</v>
      </c>
      <c r="N935" s="62" t="n">
        <v>5</v>
      </c>
      <c r="O935" s="65" t="n">
        <v>42</v>
      </c>
      <c r="P935" s="60" t="s">
        <v>443</v>
      </c>
      <c r="Q935" s="62" t="n">
        <v>5</v>
      </c>
      <c r="R935" s="65" t="n">
        <f aca="false">IF(CA935=1,0,IFERROR(VLOOKUP(BY935,'Gebinde-Kategorie'!$A$5:$N$45,13,0)+0,0))</f>
        <v>280</v>
      </c>
      <c r="S935" s="66"/>
      <c r="T935" s="67"/>
      <c r="U935" s="67"/>
      <c r="V935" s="67"/>
      <c r="W935" s="60"/>
      <c r="X935" s="62"/>
      <c r="Y935" s="62"/>
      <c r="Z935" s="60" t="n">
        <v>1</v>
      </c>
      <c r="AA935" s="60" t="n">
        <f aca="false">IF(A935="","",IF(AND(Parameter!$B$21="Ja",ISNUMBER(W935)),W935,IF(AND(Parameter!$E$27="Ja",ISNUMBER(Z935),CD935&lt;&gt;"Nein"),Z935,IF(CD935="2+3",IF(ISNUMBER(SEARCH("grosser Artikel",BV935)),2,IFERROR(VLOOKUP(BY935,Parameter!$F$35:$G$64,2,0),2)),IF(OR(CD935="Nein",CD935=""),"-",CD935)))))</f>
        <v>1</v>
      </c>
      <c r="AB935" s="67"/>
      <c r="AC935" s="68"/>
      <c r="AD935" s="62" t="n">
        <f aca="false">AW935</f>
        <v>5</v>
      </c>
      <c r="AE935" s="62" t="n">
        <f aca="false">MAX(AW935,H935)</f>
        <v>5</v>
      </c>
      <c r="AF935" s="69"/>
      <c r="AG935" s="62" t="n">
        <f aca="false">IF(LEFT(Cockpit!$C$5,1)="A",H935,IF(Parameter!$E$30="MAX-Bestand",IF(CI935=1,CJ935,IF(LEFT(Cockpit!$C$5,1)="B",AM935,MAX(AM935,H935))),ROUNDUP(AK935,0)))</f>
        <v>4</v>
      </c>
      <c r="AH935" s="62" t="n">
        <f aca="false">IF(CA935=1,0,ROUNDUP(AG935/BZ935,0))</f>
        <v>1</v>
      </c>
      <c r="AI935" s="64" t="n">
        <f aca="false">IF(CR935&gt;0,CR935*MAX(1,AG935/X935),IF(CA935=1,IF(AG935&lt;=0,0,CE935*MAX(1,IF(H935&gt;0,AG935/H935,1))),IF(R935&gt;0,AH935/R935,0))/MAX(0.1,N(Parameter!$M$21)))</f>
        <v>0.00357142857142857</v>
      </c>
      <c r="AJ935" s="62" t="n">
        <f aca="false">AI935*CC935</f>
        <v>0.553571428571429</v>
      </c>
      <c r="AK935" s="63" t="n">
        <f aca="false">IF(LEFT(Cockpit!$C$5,1)="A",H935,IF(CI935=1,(CL935+CJ935)/2,IF(LEFT(Cockpit!$C$5,1)="B",(CL935+AM935)/2,MAX((CL935+AM935)/2,H935))))</f>
        <v>4</v>
      </c>
      <c r="AL935" s="62" t="n">
        <f aca="false">AK935*G935</f>
        <v>67.84</v>
      </c>
      <c r="AM935" s="62" t="n">
        <f aca="false">ROUNDUP(CL935+MAX(CM935,2*(J935/IF(CH935&gt;0,CH935,MAX(0.1,N(Cockpit!$C$6)))-CL935)),0)</f>
        <v>5</v>
      </c>
      <c r="AN935" s="63" t="n">
        <f aca="false">IF(AJ935&gt;0,J935/AJ935,-1)</f>
        <v>5.41935483870968</v>
      </c>
      <c r="AO935" s="63" t="n">
        <f aca="false">IF(AND(OR(CG935="L1",CG935="L23",CG935="LIFT"),AJ935&gt;0),SUMIFS($AJ$7:$AJ$1843,$CG$7:$CG$1843,CG935,$AN$7:$AN$1843,"&gt;"&amp;AN935)+SUMIFS($AJ$7:$AJ$1843,$CG$7:$CG$1843,CG935,$AN$7:$AN$1843,AN935,$BX$7:$BX$1843,"&lt;="&amp;BX935),"")</f>
        <v>3716.69551282051</v>
      </c>
      <c r="AP935" s="70" t="n">
        <f aca="false">IF(AO935="",0,MAX(0,MIN(1,(IF(CG935="L1",Parameter!$H$5,IF(CG935="L23",Parameter!$H$6+Parameter!$H$7,Parameter!$H$5+Parameter!$H$6+Parameter!$H$7))-(AO935-AJ935))/AJ935)))</f>
        <v>1</v>
      </c>
      <c r="AQ935" s="62" t="n">
        <f aca="false">IF(LEFT(Cockpit!$I$5,1)="A",H935,IF(Parameter!$E$30="MAX-Bestand",IF(CI935=1,CJ935,IF(LEFT(Cockpit!$I$5,1)="B",AW935,MAX(AW935,H935))),ROUNDUP(AU935,0)))</f>
        <v>4</v>
      </c>
      <c r="AR935" s="62" t="n">
        <f aca="false">IF(CA935=1,0,ROUNDUP(AQ935/BZ935,0))</f>
        <v>1</v>
      </c>
      <c r="AS935" s="64" t="n">
        <f aca="false">IF(CR935&gt;0,CR935*MAX(1,AQ935/X935),IF(CA935=1,IF(AQ935&lt;=0,0,CE935*MAX(1,IF(H935&gt;0,AQ935/H935,1))),IF(R935&gt;0,AR935/R935,0))/MAX(0.1,N(Parameter!$M$21)))</f>
        <v>0.00357142857142857</v>
      </c>
      <c r="AT935" s="62" t="n">
        <f aca="false">AS935*CC935</f>
        <v>0.553571428571429</v>
      </c>
      <c r="AU935" s="63" t="n">
        <f aca="false">IF(LEFT(Cockpit!$I$5,1)="A",H935,IF(CI935=1,(CL935+CJ935)/2,IF(LEFT(Cockpit!$I$5,1)="B",(CL935+AW935)/2,MAX((CL935+AW935)/2,H935))))</f>
        <v>4</v>
      </c>
      <c r="AV935" s="62" t="n">
        <f aca="false">AU935*G935</f>
        <v>67.84</v>
      </c>
      <c r="AW935" s="62" t="n">
        <f aca="false">ROUNDUP(CL935+MAX(CM935,2*(J935/IF(CH935&gt;0,CH935,MAX(0.1,N(Cockpit!$I$6)))-CL935)),0)</f>
        <v>5</v>
      </c>
      <c r="AX935" s="63" t="n">
        <f aca="false">IF(AT935&gt;0,J935/AT935,-1)</f>
        <v>5.41935483870968</v>
      </c>
      <c r="AY935" s="63" t="n">
        <f aca="false">IF(AND(OR(CG935="L1",CG935="L23",CG935="LIFT"),AT935&gt;0),SUMIFS($AT$7:$AT$1843,$CG$7:$CG$1843,CG935,$AX$7:$AX$1843,"&gt;"&amp;AX935)+SUMIFS($AT$7:$AT$1843,$CG$7:$CG$1843,CG935,$AX$7:$AX$1843,AX935,$BX$7:$BX$1843,"&lt;="&amp;BX935),"")</f>
        <v>4370.43635531136</v>
      </c>
      <c r="AZ935" s="70" t="n">
        <f aca="false">IF(AY935="",0,MAX(0,MIN(1,(IF(CG935="L1",Parameter!$H$5,IF(CG935="L23",Parameter!$H$6+Parameter!$H$7,Parameter!$H$5+Parameter!$H$6+Parameter!$H$7))-(AY935-AT935))/AT935)))</f>
        <v>1</v>
      </c>
      <c r="BA935" s="62" t="n">
        <f aca="false">IF(LEFT(Cockpit!$O$5,1)="A",H935,IF(Parameter!$E$30="MAX-Bestand",IF(CI935=1,CJ935,IF(LEFT(Cockpit!$O$5,1)="B",BG935,MAX(BG935,H935))),ROUNDUP(BE935,0)))</f>
        <v>3</v>
      </c>
      <c r="BB935" s="62" t="n">
        <f aca="false">IF(CA935=1,0,ROUNDUP(BA935/BZ935,0))</f>
        <v>1</v>
      </c>
      <c r="BC935" s="64" t="n">
        <f aca="false">IF(CR935&gt;0,CR935*MAX(1,BA935/X935),IF(CA935=1,IF(BA935&lt;=0,0,CE935*MAX(1,IF(H935&gt;0,BA935/H935,1))),IF(R935&gt;0,BB935/R935,0))/MAX(0.1,N(Parameter!$M$21)))</f>
        <v>0.00357142857142857</v>
      </c>
      <c r="BD935" s="62" t="n">
        <f aca="false">BC935*CC935</f>
        <v>0.553571428571429</v>
      </c>
      <c r="BE935" s="63" t="n">
        <f aca="false">IF(LEFT(Cockpit!$O$5,1)="A",H935,IF(CI935=1,(CL935+CJ935)/2,IF(LEFT(Cockpit!$O$5,1)="B",(CL935+BG935)/2,MAX((CL935+BG935)/2,H935))))</f>
        <v>2.5</v>
      </c>
      <c r="BF935" s="62" t="n">
        <f aca="false">BE935*G935</f>
        <v>42.4</v>
      </c>
      <c r="BG935" s="62" t="n">
        <f aca="false">ROUNDUP(CL935+MAX(CM935,2*(J935/IF(CH935&gt;0,CH935,MAX(0.1,N(Cockpit!$O$6)))-CL935)),0)</f>
        <v>5</v>
      </c>
      <c r="BH935" s="63" t="n">
        <f aca="false">IF(BD935&gt;0,J935/BD935,-1)</f>
        <v>5.41935483870968</v>
      </c>
      <c r="BI935" s="63" t="n">
        <f aca="false">IF(AND(OR(CG935="L1",CG935="L23",CG935="LIFT"),BD935&gt;0),SUMIFS($BD$7:$BD$1843,$CG$7:$CG$1843,CG935,$BH$7:$BH$1843,"&gt;"&amp;BH935)+SUMIFS($BD$7:$BD$1843,$CG$7:$CG$1843,CG935,$BH$7:$BH$1843,BH935,$BX$7:$BX$1843,"&lt;="&amp;BX935),"")</f>
        <v>3684.95833333333</v>
      </c>
      <c r="BJ935" s="70" t="n">
        <f aca="false">IF(BI935="",0,MAX(0,MIN(1,(IF(CG935="L1",Parameter!$H$5,IF(CG935="L23",Parameter!$H$6+Parameter!$H$7,Parameter!$H$5+Parameter!$H$6+Parameter!$H$7))-(BI935-BD935))/BD935)))</f>
        <v>1</v>
      </c>
      <c r="BK935" s="60" t="str">
        <f aca="false">IF(AJ935&lt;=0,"",IF(CG935="Aussen","Aussenlager",IF(CG935="-","Nicht im Lift",IF(AP935&gt;=1,"Lift",IF(AP935&lt;=0,"Aussenlager","teilweise")))))</f>
        <v>Lift</v>
      </c>
      <c r="BL935" s="60" t="str">
        <f aca="false">IF(AT935&lt;=0,"",IF(CG935="Aussen","Aussenlager",IF(CG935="-","Nicht im Lift",IF(AZ935&gt;=1,"Lift",IF(AZ935&lt;=0,"Aussenlager","teilweise")))))</f>
        <v>Lift</v>
      </c>
      <c r="BM935" s="60" t="str">
        <f aca="false">IF(BD935&lt;=0,"",IF(CG935="Aussen","Aussenlager",IF(CG935="-","Nicht im Lift",IF(BJ935&gt;=1,"Lift",IF(BJ935&lt;=0,"Aussenlager","teilweise")))))</f>
        <v>Lift</v>
      </c>
      <c r="BN935" s="60" t="str">
        <f aca="false">IF(A935="","",IF(BW935=1,"Neu; ","")&amp;IF(AND(BW935=0,BR935&lt;0),"negativer Bestand (Export "&amp;BR935&amp;"); ","")&amp;IF(J935&lt;=0,"Kein Verbrauch; ","")&amp;IF(CR935&gt;0,"Lift "&amp;W935&amp;" lt. Liftbericht (Fach "&amp;X935&amp;" Stk); ",IF(CB935=1,"Gebinde geschätzt ("&amp;T935&amp;"); ",IF(CA935=1,"Lose – Tablare geschätzt; ","")))&amp;IF(H935&gt;AW935,"Überbestand "&amp;ROUND(H935-AW935,0)&amp;" Stk / CHF "&amp;ROUND((H935-AW935)*G935,0)&amp;"; ","")&amp;IF(AND(CI935=1,CJ935&lt;CK935),"MAX &lt; MB+LG; ","")&amp;IF(AND(CQ935&gt;0,CP935*10&gt;CQ935),"zu hoch für Tablar; ","")&amp;IF(AND(BW935=0,OR(CI935=1,AB935&lt;&gt;"",U935&lt;&gt;"",V935&lt;&gt;"",AC935&lt;&gt;"")),"manuell übersteuert; ","")&amp;IF(AND(CA935=0,R935=0),"Gebinde unbekannt / Stellmass fehlt; ","")&amp;IF(AND(CA935=0,N(V935)&lt;=0,N(Q935)&lt;=0),"Menge pro Gebinde fehlt (Ist = 1 Gebinde); ","")&amp;BV935)</f>
        <v>negativer Bestand (Export -3); </v>
      </c>
      <c r="BO935" s="60"/>
      <c r="BP935" s="60"/>
      <c r="BQ935" s="67"/>
      <c r="BR935" s="62" t="n">
        <v>-3</v>
      </c>
      <c r="BS935" s="62" t="n">
        <v>7</v>
      </c>
      <c r="BT935" s="61" t="n">
        <v>-50.88</v>
      </c>
      <c r="BU935" s="62" t="n">
        <v>3</v>
      </c>
      <c r="BV935" s="60"/>
      <c r="BW935" s="65" t="n">
        <v>0</v>
      </c>
      <c r="BX935" s="65" t="n">
        <v>935</v>
      </c>
      <c r="BY935" s="60" t="str">
        <f aca="false">IF(U935&lt;&gt;"",UPPER(TRIM(U935)),IF(CB935=1,UPPER(VLOOKUP(T935,Parameter!$I$27:$K$29,2,0)),IF(P935="","LOSE",P935)))</f>
        <v>S21</v>
      </c>
      <c r="BZ935" s="62" t="n">
        <f aca="false">IF(BY935="LOSE",1,IF(N(V935)&gt;0,V935,IF(CB935=1,MAX(1,N(VLOOKUP(T935,Parameter!$I$27:$K$29,3,0)),H935,N(N935)),IF(N(Q935)&gt;0,Q935,MAX(1,H935)))))</f>
        <v>5</v>
      </c>
      <c r="CA935" s="65" t="n">
        <f aca="false">IF(BY935="LOSE",1,0)</f>
        <v>0</v>
      </c>
      <c r="CB935" s="65" t="n">
        <f aca="false">IF(AND(U935="",OR(P935="",P935="LOSE"),T935&lt;&gt;"",N(S935)&lt;=0,ISNUMBER(MATCH(T935,Parameter!$I$27:$I$29,0))),1,0)</f>
        <v>0</v>
      </c>
      <c r="CC935" s="65" t="n">
        <f aca="false">IF(CR935&gt;0,INDEX(Parameter!$H$5:$H$7,W935)/INDEX(Parameter!$E$5:$E$7,W935),IF(AND(CA935=0,N(IFERROR(VLOOKUP(BY935,'Gebinde-Kategorie'!$A$5:$N$45,14,0),0))&gt;0),VLOOKUP(BY935,'Gebinde-Kategorie'!$A$5:$N$45,14,0)*10+Parameter!$M$23,Parameter!$M$24))</f>
        <v>155</v>
      </c>
      <c r="CD935" s="60" t="str">
        <f aca="false">IF(AND(Parameter!$B$19="Ja",E935&lt;&gt;"",ISNUMBER(MATCH(E935,Parameter!$I$35:$I$52,0))),VLOOKUP(E935,Parameter!$I$35:$J$52,2,0),IFERROR(VLOOKUP(D935,Parameter!$A$35:$C$64,2,0),"Nein"))</f>
        <v>2+3</v>
      </c>
      <c r="CE935" s="64" t="n">
        <f aca="false">IF(CA935=0,0,IF(N(S935)&gt;0,S935,IFERROR(VLOOKUP(D935,Parameter!$A$35:$C$64,3,0)+0,0)))</f>
        <v>0</v>
      </c>
      <c r="CF935" s="60" t="n">
        <f aca="false">IF(AB935&lt;&gt;"",AB935,AA935)</f>
        <v>1</v>
      </c>
      <c r="CG935" s="60" t="str">
        <f aca="false">IF(OR(CF935=1,CF935=2,CF935=3),IF(Parameter!$E$27="Ja","LIFT",IF(CF935=1,"L1","L23")),IF(CF935="Aussen","Aussen","-"))</f>
        <v>LIFT</v>
      </c>
      <c r="CH935" s="71" t="n">
        <f aca="false">IF(N(AC935)&gt;0,AC935,0)</f>
        <v>0</v>
      </c>
      <c r="CI935" s="65" t="n">
        <f aca="false">IF(ISNUMBER(AF935),1,0)</f>
        <v>0</v>
      </c>
      <c r="CJ935" s="62" t="n">
        <f aca="false">N(AF935)</f>
        <v>0</v>
      </c>
      <c r="CK935" s="62" t="n">
        <f aca="false">N(M935)+N(N935)</f>
        <v>5</v>
      </c>
      <c r="CL935" s="62" t="n">
        <f aca="false">N(M935)</f>
        <v>0</v>
      </c>
      <c r="CM935" s="62" t="n">
        <f aca="false">N(N935)</f>
        <v>5</v>
      </c>
      <c r="CN935" s="62" t="n">
        <f aca="false">ROUNDUP(H935/BZ935,0)</f>
        <v>1</v>
      </c>
      <c r="CO935" s="62" t="n">
        <f aca="false">ROUNDUP(CJ935/BZ935,0)</f>
        <v>0</v>
      </c>
      <c r="CP935" s="65" t="n">
        <f aca="false">IF(CA935=1,0,IFERROR(VLOOKUP(BY935,'Gebinde-Kategorie'!$A$5:$N$45,5,0)+0,0))</f>
        <v>8</v>
      </c>
      <c r="CQ935" s="65" t="n">
        <f aca="false">IFERROR(IF(OR(CF935=1,CF935=2,CF935=3),N(INDEX(Parameter!$I$5:$I$7,CF935)),0),0)</f>
        <v>0</v>
      </c>
      <c r="CR935" s="64" t="n">
        <f aca="false">IF(AND(Parameter!$B$21="Ja",ISNUMBER(W935),N(X935)&gt;0),IFERROR(N(INDEX(Parameter!$L$5:$L$7,W935))*INDEX(Parameter!$E$5:$E$7,W935)*X935/SUMIFS($X$7:$X$1843,$W$7:$W$1843,W935),0),0)</f>
        <v>0</v>
      </c>
      <c r="CS935" s="62" t="n">
        <f aca="false">IF(AND(OR(CG935="L1",CG935="L23",CG935="LIFT"),H935&gt;0),CC935*IF(CR935&gt;0,CR935*MAX(1,H935/X935),IF(CA935=1,CE935,IF(R935&gt;0,CN935/R935,0))/MAX(0.1,N(Parameter!$M$21))),"")</f>
        <v>0.553571428571429</v>
      </c>
      <c r="CT935" s="64" t="n">
        <f aca="false">IF(CS935="","",J935/H935)</f>
        <v>0.75</v>
      </c>
      <c r="CU935" s="62" t="n">
        <f aca="false">IF(CS935="","",H935*G935)</f>
        <v>67.84</v>
      </c>
      <c r="CV935" s="63" t="n">
        <f aca="false">IF(CS935="","",(CL935+ROUNDUP(CL935+MAX(CM935,2*(J935/MAX(0.1,N(Einkauf!$C$6))-CL935)),0))/2)</f>
        <v>2.5</v>
      </c>
      <c r="CW935" s="62" t="n">
        <f aca="false">IF(CS935="","",MAX(0,H935-CV935)*G935)</f>
        <v>25.44</v>
      </c>
      <c r="CX935" s="62" t="n">
        <f aca="false">IF(CS935="","",CS935*MAX(0,1-CV935/H935))</f>
        <v>0.207589285714286</v>
      </c>
      <c r="CY935" s="64" t="n">
        <f aca="false">IF(CS935="","",PERCENTRANK($CS$7:$CS$1843,CS935)+PERCENTRANK($CU$7:$CU$1843,CU935)+1-PERCENTRANK($CT$7:$CT$1843,CT935))</f>
        <v>0.585</v>
      </c>
      <c r="CZ935" s="72" t="n">
        <f aca="false">IF(CS935="","",CHOOSE(MATCH(Einkauf!$C$5,Parameter!$G$23:$G$27,0),CY935,CS935,CU935,-CT935,CW935)+ROW()/1000000000)</f>
        <v>0.585000935</v>
      </c>
    </row>
    <row r="936" customFormat="false" ht="15" hidden="false" customHeight="false" outlineLevel="0" collapsed="false">
      <c r="A936" s="60" t="s">
        <v>1789</v>
      </c>
      <c r="B936" s="60" t="s">
        <v>1790</v>
      </c>
      <c r="C936" s="60" t="s">
        <v>206</v>
      </c>
      <c r="D936" s="60" t="s">
        <v>226</v>
      </c>
      <c r="E936" s="60"/>
      <c r="F936" s="60" t="s">
        <v>260</v>
      </c>
      <c r="G936" s="61" t="n">
        <v>35.41</v>
      </c>
      <c r="H936" s="62" t="n">
        <f aca="false">MAX(0,IF(AND(Parameter!$B$21="Ja",ISNUMBER(Y936)),Y936,IF(Parameter!$B$20="Jahresanfang 2025 + Export",BS936+BR936,BR936)))</f>
        <v>3</v>
      </c>
      <c r="I936" s="62" t="n">
        <f aca="false">H936*G936</f>
        <v>106.23</v>
      </c>
      <c r="J936" s="62" t="n">
        <f aca="false">BU936*Parameter!$B$18</f>
        <v>0</v>
      </c>
      <c r="K936" s="63" t="n">
        <v>2.5</v>
      </c>
      <c r="L936" s="64" t="n">
        <v>0</v>
      </c>
      <c r="M936" s="62" t="n">
        <v>0</v>
      </c>
      <c r="N936" s="62" t="n">
        <v>1</v>
      </c>
      <c r="O936" s="65" t="n">
        <v>14</v>
      </c>
      <c r="P936" s="60" t="s">
        <v>210</v>
      </c>
      <c r="Q936" s="62"/>
      <c r="R936" s="65" t="n">
        <f aca="false">IF(CA936=1,0,IFERROR(VLOOKUP(BY936,'Gebinde-Kategorie'!$A$5:$N$45,13,0)+0,0))</f>
        <v>26</v>
      </c>
      <c r="S936" s="66"/>
      <c r="T936" s="67" t="s">
        <v>317</v>
      </c>
      <c r="U936" s="67"/>
      <c r="V936" s="67"/>
      <c r="W936" s="60"/>
      <c r="X936" s="62"/>
      <c r="Y936" s="62"/>
      <c r="Z936" s="60" t="n">
        <v>3</v>
      </c>
      <c r="AA936" s="60" t="n">
        <f aca="false">IF(A936="","",IF(AND(Parameter!$B$21="Ja",ISNUMBER(W936)),W936,IF(AND(Parameter!$E$27="Ja",ISNUMBER(Z936),CD936&lt;&gt;"Nein"),Z936,IF(CD936="2+3",IF(ISNUMBER(SEARCH("grosser Artikel",BV936)),2,IFERROR(VLOOKUP(BY936,Parameter!$F$35:$G$64,2,0),2)),IF(OR(CD936="Nein",CD936=""),"-",CD936)))))</f>
        <v>3</v>
      </c>
      <c r="AB936" s="67"/>
      <c r="AC936" s="68"/>
      <c r="AD936" s="62" t="n">
        <f aca="false">AW936</f>
        <v>1</v>
      </c>
      <c r="AE936" s="62" t="n">
        <f aca="false">MAX(AW936,H936)</f>
        <v>3</v>
      </c>
      <c r="AF936" s="69"/>
      <c r="AG936" s="62" t="n">
        <f aca="false">IF(LEFT(Cockpit!$C$5,1)="A",H936,IF(Parameter!$E$30="MAX-Bestand",IF(CI936=1,CJ936,IF(LEFT(Cockpit!$C$5,1)="B",AM936,MAX(AM936,H936))),ROUNDUP(AK936,0)))</f>
        <v>3</v>
      </c>
      <c r="AH936" s="62" t="n">
        <f aca="false">IF(CA936=1,0,ROUNDUP(AG936/BZ936,0))</f>
        <v>1</v>
      </c>
      <c r="AI936" s="64" t="n">
        <f aca="false">IF(CR936&gt;0,CR936*MAX(1,AG936/X936),IF(CA936=1,IF(AG936&lt;=0,0,CE936*MAX(1,IF(H936&gt;0,AG936/H936,1))),IF(R936&gt;0,AH936/R936,0))/MAX(0.1,N(Parameter!$M$21)))</f>
        <v>0.0384615384615385</v>
      </c>
      <c r="AJ936" s="62" t="n">
        <f aca="false">AI936*CC936</f>
        <v>5.96153846153846</v>
      </c>
      <c r="AK936" s="63" t="n">
        <f aca="false">IF(LEFT(Cockpit!$C$5,1)="A",H936,IF(CI936=1,(CL936+CJ936)/2,IF(LEFT(Cockpit!$C$5,1)="B",(CL936+AM936)/2,MAX((CL936+AM936)/2,H936))))</f>
        <v>3</v>
      </c>
      <c r="AL936" s="62" t="n">
        <f aca="false">AK936*G936</f>
        <v>106.23</v>
      </c>
      <c r="AM936" s="62" t="n">
        <f aca="false">ROUNDUP(CL936+MAX(CM936,2*(J936/IF(CH936&gt;0,CH936,MAX(0.1,N(Cockpit!$C$6)))-CL936)),0)</f>
        <v>1</v>
      </c>
      <c r="AN936" s="63" t="n">
        <f aca="false">IF(AJ936&gt;0,J936/AJ936,-1)</f>
        <v>0</v>
      </c>
      <c r="AO936" s="63" t="n">
        <f aca="false">IF(AND(OR(CG936="L1",CG936="L23",CG936="LIFT"),AJ936&gt;0),SUMIFS($AJ$7:$AJ$1843,$CG$7:$CG$1843,CG936,$AN$7:$AN$1843,"&gt;"&amp;AN936)+SUMIFS($AJ$7:$AJ$1843,$CG$7:$CG$1843,CG936,$AN$7:$AN$1843,AN936,$BX$7:$BX$1843,"&lt;="&amp;BX936),"")</f>
        <v>28871.2542890255</v>
      </c>
      <c r="AP936" s="70" t="n">
        <f aca="false">IF(AO936="",0,MAX(0,MIN(1,(IF(CG936="L1",Parameter!$H$5,IF(CG936="L23",Parameter!$H$6+Parameter!$H$7,Parameter!$H$5+Parameter!$H$6+Parameter!$H$7))-(AO936-AJ936))/AJ936)))</f>
        <v>1</v>
      </c>
      <c r="AQ936" s="62" t="n">
        <f aca="false">IF(LEFT(Cockpit!$I$5,1)="A",H936,IF(Parameter!$E$30="MAX-Bestand",IF(CI936=1,CJ936,IF(LEFT(Cockpit!$I$5,1)="B",AW936,MAX(AW936,H936))),ROUNDUP(AU936,0)))</f>
        <v>3</v>
      </c>
      <c r="AR936" s="62" t="n">
        <f aca="false">IF(CA936=1,0,ROUNDUP(AQ936/BZ936,0))</f>
        <v>1</v>
      </c>
      <c r="AS936" s="64" t="n">
        <f aca="false">IF(CR936&gt;0,CR936*MAX(1,AQ936/X936),IF(CA936=1,IF(AQ936&lt;=0,0,CE936*MAX(1,IF(H936&gt;0,AQ936/H936,1))),IF(R936&gt;0,AR936/R936,0))/MAX(0.1,N(Parameter!$M$21)))</f>
        <v>0.0384615384615385</v>
      </c>
      <c r="AT936" s="62" t="n">
        <f aca="false">AS936*CC936</f>
        <v>5.96153846153846</v>
      </c>
      <c r="AU936" s="63" t="n">
        <f aca="false">IF(LEFT(Cockpit!$I$5,1)="A",H936,IF(CI936=1,(CL936+CJ936)/2,IF(LEFT(Cockpit!$I$5,1)="B",(CL936+AW936)/2,MAX((CL936+AW936)/2,H936))))</f>
        <v>3</v>
      </c>
      <c r="AV936" s="62" t="n">
        <f aca="false">AU936*G936</f>
        <v>106.23</v>
      </c>
      <c r="AW936" s="62" t="n">
        <f aca="false">ROUNDUP(CL936+MAX(CM936,2*(J936/IF(CH936&gt;0,CH936,MAX(0.1,N(Cockpit!$I$6)))-CL936)),0)</f>
        <v>1</v>
      </c>
      <c r="AX936" s="63" t="n">
        <f aca="false">IF(AT936&gt;0,J936/AT936,-1)</f>
        <v>0</v>
      </c>
      <c r="AY936" s="63" t="n">
        <f aca="false">IF(AND(OR(CG936="L1",CG936="L23",CG936="LIFT"),AT936&gt;0),SUMIFS($AT$7:$AT$1843,$CG$7:$CG$1843,CG936,$AX$7:$AX$1843,"&gt;"&amp;AX936)+SUMIFS($AT$7:$AT$1843,$CG$7:$CG$1843,CG936,$AX$7:$AX$1843,AX936,$BX$7:$BX$1843,"&lt;="&amp;BX936),"")</f>
        <v>34533.2257326007</v>
      </c>
      <c r="AZ936" s="70" t="n">
        <f aca="false">IF(AY936="",0,MAX(0,MIN(1,(IF(CG936="L1",Parameter!$H$5,IF(CG936="L23",Parameter!$H$6+Parameter!$H$7,Parameter!$H$5+Parameter!$H$6+Parameter!$H$7))-(AY936-AT936))/AT936)))</f>
        <v>1</v>
      </c>
      <c r="BA936" s="62" t="n">
        <f aca="false">IF(LEFT(Cockpit!$O$5,1)="A",H936,IF(Parameter!$E$30="MAX-Bestand",IF(CI936=1,CJ936,IF(LEFT(Cockpit!$O$5,1)="B",BG936,MAX(BG936,H936))),ROUNDUP(BE936,0)))</f>
        <v>1</v>
      </c>
      <c r="BB936" s="62" t="n">
        <f aca="false">IF(CA936=1,0,ROUNDUP(BA936/BZ936,0))</f>
        <v>1</v>
      </c>
      <c r="BC936" s="64" t="n">
        <f aca="false">IF(CR936&gt;0,CR936*MAX(1,BA936/X936),IF(CA936=1,IF(BA936&lt;=0,0,CE936*MAX(1,IF(H936&gt;0,BA936/H936,1))),IF(R936&gt;0,BB936/R936,0))/MAX(0.1,N(Parameter!$M$21)))</f>
        <v>0.0384615384615385</v>
      </c>
      <c r="BD936" s="62" t="n">
        <f aca="false">BC936*CC936</f>
        <v>5.96153846153846</v>
      </c>
      <c r="BE936" s="63" t="n">
        <f aca="false">IF(LEFT(Cockpit!$O$5,1)="A",H936,IF(CI936=1,(CL936+CJ936)/2,IF(LEFT(Cockpit!$O$5,1)="B",(CL936+BG936)/2,MAX((CL936+BG936)/2,H936))))</f>
        <v>0.5</v>
      </c>
      <c r="BF936" s="62" t="n">
        <f aca="false">BE936*G936</f>
        <v>17.705</v>
      </c>
      <c r="BG936" s="62" t="n">
        <f aca="false">ROUNDUP(CL936+MAX(CM936,2*(J936/IF(CH936&gt;0,CH936,MAX(0.1,N(Cockpit!$O$6)))-CL936)),0)</f>
        <v>1</v>
      </c>
      <c r="BH936" s="63" t="n">
        <f aca="false">IF(BD936&gt;0,J936/BD936,-1)</f>
        <v>0</v>
      </c>
      <c r="BI936" s="63" t="n">
        <f aca="false">IF(AND(OR(CG936="L1",CG936="L23",CG936="LIFT"),BD936&gt;0),SUMIFS($BD$7:$BD$1843,$CG$7:$CG$1843,CG936,$BH$7:$BH$1843,"&gt;"&amp;BH936)+SUMIFS($BD$7:$BD$1843,$CG$7:$CG$1843,CG936,$BH$7:$BH$1843,BH936,$BX$7:$BX$1843,"&lt;="&amp;BX936),"")</f>
        <v>28563.7247004408</v>
      </c>
      <c r="BJ936" s="70" t="n">
        <f aca="false">IF(BI936="",0,MAX(0,MIN(1,(IF(CG936="L1",Parameter!$H$5,IF(CG936="L23",Parameter!$H$6+Parameter!$H$7,Parameter!$H$5+Parameter!$H$6+Parameter!$H$7))-(BI936-BD936))/BD936)))</f>
        <v>1</v>
      </c>
      <c r="BK936" s="60" t="str">
        <f aca="false">IF(AJ936&lt;=0,"",IF(CG936="Aussen","Aussenlager",IF(CG936="-","Nicht im Lift",IF(AP936&gt;=1,"Lift",IF(AP936&lt;=0,"Aussenlager","teilweise")))))</f>
        <v>Lift</v>
      </c>
      <c r="BL936" s="60" t="str">
        <f aca="false">IF(AT936&lt;=0,"",IF(CG936="Aussen","Aussenlager",IF(CG936="-","Nicht im Lift",IF(AZ936&gt;=1,"Lift",IF(AZ936&lt;=0,"Aussenlager","teilweise")))))</f>
        <v>Lift</v>
      </c>
      <c r="BM936" s="60" t="str">
        <f aca="false">IF(BD936&lt;=0,"",IF(CG936="Aussen","Aussenlager",IF(CG936="-","Nicht im Lift",IF(BJ936&gt;=1,"Lift",IF(BJ936&lt;=0,"Aussenlager","teilweise")))))</f>
        <v>Lift</v>
      </c>
      <c r="BN936" s="60" t="str">
        <f aca="false">IF(A936="","",IF(BW936=1,"Neu; ","")&amp;IF(AND(BW936=0,BR936&lt;0),"negativer Bestand (Export "&amp;BR936&amp;"); ","")&amp;IF(J936&lt;=0,"Kein Verbrauch; ","")&amp;IF(CR936&gt;0,"Lift "&amp;W936&amp;" lt. Liftbericht (Fach "&amp;X936&amp;" Stk); ",IF(CB936=1,"Gebinde geschätzt ("&amp;T936&amp;"); ",IF(CA936=1,"Lose – Tablare geschätzt; ","")))&amp;IF(H936&gt;AW936,"Überbestand "&amp;ROUND(H936-AW936,0)&amp;" Stk / CHF "&amp;ROUND((H936-AW936)*G936,0)&amp;"; ","")&amp;IF(AND(CI936=1,CJ936&lt;CK936),"MAX &lt; MB+LG; ","")&amp;IF(AND(CQ936&gt;0,CP936*10&gt;CQ936),"zu hoch für Tablar; ","")&amp;IF(AND(BW936=0,OR(CI936=1,AB936&lt;&gt;"",U936&lt;&gt;"",V936&lt;&gt;"",AC936&lt;&gt;"")),"manuell übersteuert; ","")&amp;IF(AND(CA936=0,R936=0),"Gebinde unbekannt / Stellmass fehlt; ","")&amp;IF(AND(CA936=0,N(V936)&lt;=0,N(Q936)&lt;=0),"Menge pro Gebinde fehlt (Ist = 1 Gebinde); ","")&amp;BV936)</f>
        <v>Kein Verbrauch; Gebinde geschätzt (Klein); Überbestand 2 Stk / CHF 71; Menge pro Gebinde fehlt (Ist = 1 Gebinde); </v>
      </c>
      <c r="BO936" s="60"/>
      <c r="BP936" s="60"/>
      <c r="BQ936" s="67"/>
      <c r="BR936" s="62" t="n">
        <v>0</v>
      </c>
      <c r="BS936" s="62" t="n">
        <v>3</v>
      </c>
      <c r="BT936" s="61" t="n">
        <v>-51.54</v>
      </c>
      <c r="BU936" s="62" t="n">
        <v>0</v>
      </c>
      <c r="BV936" s="60"/>
      <c r="BW936" s="65" t="n">
        <v>0</v>
      </c>
      <c r="BX936" s="65" t="n">
        <v>936</v>
      </c>
      <c r="BY936" s="60" t="str">
        <f aca="false">IF(U936&lt;&gt;"",UPPER(TRIM(U936)),IF(CB936=1,UPPER(VLOOKUP(T936,Parameter!$I$27:$K$29,2,0)),IF(P936="","LOSE",P936)))</f>
        <v>S51</v>
      </c>
      <c r="BZ936" s="62" t="n">
        <f aca="false">IF(BY936="LOSE",1,IF(N(V936)&gt;0,V936,IF(CB936=1,MAX(1,N(VLOOKUP(T936,Parameter!$I$27:$K$29,3,0)),H936,N(N936)),IF(N(Q936)&gt;0,Q936,MAX(1,H936)))))</f>
        <v>20</v>
      </c>
      <c r="CA936" s="65" t="n">
        <f aca="false">IF(BY936="LOSE",1,0)</f>
        <v>0</v>
      </c>
      <c r="CB936" s="65" t="n">
        <f aca="false">IF(AND(U936="",OR(P936="",P936="LOSE"),T936&lt;&gt;"",N(S936)&lt;=0,ISNUMBER(MATCH(T936,Parameter!$I$27:$I$29,0))),1,0)</f>
        <v>1</v>
      </c>
      <c r="CC936" s="65" t="n">
        <f aca="false">IF(CR936&gt;0,INDEX(Parameter!$H$5:$H$7,W936)/INDEX(Parameter!$E$5:$E$7,W936),IF(AND(CA936=0,N(IFERROR(VLOOKUP(BY936,'Gebinde-Kategorie'!$A$5:$N$45,14,0),0))&gt;0),VLOOKUP(BY936,'Gebinde-Kategorie'!$A$5:$N$45,14,0)*10+Parameter!$M$23,Parameter!$M$24))</f>
        <v>155</v>
      </c>
      <c r="CD936" s="60" t="str">
        <f aca="false">IF(AND(Parameter!$B$19="Ja",E936&lt;&gt;"",ISNUMBER(MATCH(E936,Parameter!$I$35:$I$52,0))),VLOOKUP(E936,Parameter!$I$35:$J$52,2,0),IFERROR(VLOOKUP(D936,Parameter!$A$35:$C$64,2,0),"Nein"))</f>
        <v>2+3</v>
      </c>
      <c r="CE936" s="64" t="n">
        <f aca="false">IF(CA936=0,0,IF(N(S936)&gt;0,S936,IFERROR(VLOOKUP(D936,Parameter!$A$35:$C$64,3,0)+0,0)))</f>
        <v>0</v>
      </c>
      <c r="CF936" s="60" t="n">
        <f aca="false">IF(AB936&lt;&gt;"",AB936,AA936)</f>
        <v>3</v>
      </c>
      <c r="CG936" s="60" t="str">
        <f aca="false">IF(OR(CF936=1,CF936=2,CF936=3),IF(Parameter!$E$27="Ja","LIFT",IF(CF936=1,"L1","L23")),IF(CF936="Aussen","Aussen","-"))</f>
        <v>LIFT</v>
      </c>
      <c r="CH936" s="71" t="n">
        <f aca="false">IF(N(AC936)&gt;0,AC936,0)</f>
        <v>0</v>
      </c>
      <c r="CI936" s="65" t="n">
        <f aca="false">IF(ISNUMBER(AF936),1,0)</f>
        <v>0</v>
      </c>
      <c r="CJ936" s="62" t="n">
        <f aca="false">N(AF936)</f>
        <v>0</v>
      </c>
      <c r="CK936" s="62" t="n">
        <f aca="false">N(M936)+N(N936)</f>
        <v>1</v>
      </c>
      <c r="CL936" s="62" t="n">
        <f aca="false">N(M936)</f>
        <v>0</v>
      </c>
      <c r="CM936" s="62" t="n">
        <f aca="false">N(N936)</f>
        <v>1</v>
      </c>
      <c r="CN936" s="62" t="n">
        <f aca="false">ROUNDUP(H936/BZ936,0)</f>
        <v>1</v>
      </c>
      <c r="CO936" s="62" t="n">
        <f aca="false">ROUNDUP(CJ936/BZ936,0)</f>
        <v>0</v>
      </c>
      <c r="CP936" s="65" t="n">
        <f aca="false">IF(CA936=1,0,IFERROR(VLOOKUP(BY936,'Gebinde-Kategorie'!$A$5:$N$45,5,0)+0,0))</f>
        <v>11</v>
      </c>
      <c r="CQ936" s="65" t="n">
        <f aca="false">IFERROR(IF(OR(CF936=1,CF936=2,CF936=3),N(INDEX(Parameter!$I$5:$I$7,CF936)),0),0)</f>
        <v>0</v>
      </c>
      <c r="CR936" s="64" t="n">
        <f aca="false">IF(AND(Parameter!$B$21="Ja",ISNUMBER(W936),N(X936)&gt;0),IFERROR(N(INDEX(Parameter!$L$5:$L$7,W936))*INDEX(Parameter!$E$5:$E$7,W936)*X936/SUMIFS($X$7:$X$1843,$W$7:$W$1843,W936),0),0)</f>
        <v>0</v>
      </c>
      <c r="CS936" s="62" t="n">
        <f aca="false">IF(AND(OR(CG936="L1",CG936="L23",CG936="LIFT"),H936&gt;0),CC936*IF(CR936&gt;0,CR936*MAX(1,H936/X936),IF(CA936=1,CE936,IF(R936&gt;0,CN936/R936,0))/MAX(0.1,N(Parameter!$M$21))),"")</f>
        <v>5.96153846153846</v>
      </c>
      <c r="CT936" s="64" t="n">
        <f aca="false">IF(CS936="","",J936/H936)</f>
        <v>0</v>
      </c>
      <c r="CU936" s="62" t="n">
        <f aca="false">IF(CS936="","",H936*G936)</f>
        <v>106.23</v>
      </c>
      <c r="CV936" s="63" t="n">
        <f aca="false">IF(CS936="","",(CL936+ROUNDUP(CL936+MAX(CM936,2*(J936/MAX(0.1,N(Einkauf!$C$6))-CL936)),0))/2)</f>
        <v>0.5</v>
      </c>
      <c r="CW936" s="62" t="n">
        <f aca="false">IF(CS936="","",MAX(0,H936-CV936)*G936)</f>
        <v>88.525</v>
      </c>
      <c r="CX936" s="62" t="n">
        <f aca="false">IF(CS936="","",CS936*MAX(0,1-CV936/H936))</f>
        <v>4.96794871794872</v>
      </c>
      <c r="CY936" s="64" t="n">
        <f aca="false">IF(CS936="","",PERCENTRANK($CS$7:$CS$1843,CS936)+PERCENTRANK($CU$7:$CU$1843,CU936)+1-PERCENTRANK($CT$7:$CT$1843,CT936))</f>
        <v>1.596</v>
      </c>
      <c r="CZ936" s="72" t="n">
        <f aca="false">IF(CS936="","",CHOOSE(MATCH(Einkauf!$C$5,Parameter!$G$23:$G$27,0),CY936,CS936,CU936,-CT936,CW936)+ROW()/1000000000)</f>
        <v>1.596000936</v>
      </c>
    </row>
    <row r="937" customFormat="false" ht="15" hidden="false" customHeight="false" outlineLevel="0" collapsed="false">
      <c r="A937" s="60" t="s">
        <v>1791</v>
      </c>
      <c r="B937" s="60" t="s">
        <v>1792</v>
      </c>
      <c r="C937" s="60" t="s">
        <v>206</v>
      </c>
      <c r="D937" s="60" t="s">
        <v>226</v>
      </c>
      <c r="E937" s="60" t="s">
        <v>227</v>
      </c>
      <c r="F937" s="60" t="s">
        <v>260</v>
      </c>
      <c r="G937" s="61" t="n">
        <v>9</v>
      </c>
      <c r="H937" s="62" t="n">
        <f aca="false">MAX(0,IF(AND(Parameter!$B$21="Ja",ISNUMBER(Y937)),Y937,IF(Parameter!$B$20="Jahresanfang 2025 + Export",BS937+BR937,BR937)))</f>
        <v>3</v>
      </c>
      <c r="I937" s="62" t="n">
        <f aca="false">H937*G937</f>
        <v>27</v>
      </c>
      <c r="J937" s="62" t="n">
        <f aca="false">BU937*Parameter!$B$18</f>
        <v>0</v>
      </c>
      <c r="K937" s="63" t="n">
        <v>6.5</v>
      </c>
      <c r="L937" s="64" t="n">
        <v>0</v>
      </c>
      <c r="M937" s="62" t="n">
        <v>0</v>
      </c>
      <c r="N937" s="62" t="n">
        <v>1</v>
      </c>
      <c r="O937" s="65" t="n">
        <v>14</v>
      </c>
      <c r="P937" s="60" t="s">
        <v>210</v>
      </c>
      <c r="Q937" s="62"/>
      <c r="R937" s="65" t="n">
        <f aca="false">IF(CA937=1,0,IFERROR(VLOOKUP(BY937,'Gebinde-Kategorie'!$A$5:$N$45,13,0)+0,0))</f>
        <v>26</v>
      </c>
      <c r="S937" s="66"/>
      <c r="T937" s="67" t="s">
        <v>317</v>
      </c>
      <c r="U937" s="67"/>
      <c r="V937" s="67"/>
      <c r="W937" s="60"/>
      <c r="X937" s="62"/>
      <c r="Y937" s="62"/>
      <c r="Z937" s="60" t="n">
        <v>3</v>
      </c>
      <c r="AA937" s="60" t="n">
        <f aca="false">IF(A937="","",IF(AND(Parameter!$B$21="Ja",ISNUMBER(W937)),W937,IF(AND(Parameter!$E$27="Ja",ISNUMBER(Z937),CD937&lt;&gt;"Nein"),Z937,IF(CD937="2+3",IF(ISNUMBER(SEARCH("grosser Artikel",BV937)),2,IFERROR(VLOOKUP(BY937,Parameter!$F$35:$G$64,2,0),2)),IF(OR(CD937="Nein",CD937=""),"-",CD937)))))</f>
        <v>3</v>
      </c>
      <c r="AB937" s="67"/>
      <c r="AC937" s="68"/>
      <c r="AD937" s="62" t="n">
        <f aca="false">AW937</f>
        <v>1</v>
      </c>
      <c r="AE937" s="62" t="n">
        <f aca="false">MAX(AW937,H937)</f>
        <v>3</v>
      </c>
      <c r="AF937" s="69"/>
      <c r="AG937" s="62" t="n">
        <f aca="false">IF(LEFT(Cockpit!$C$5,1)="A",H937,IF(Parameter!$E$30="MAX-Bestand",IF(CI937=1,CJ937,IF(LEFT(Cockpit!$C$5,1)="B",AM937,MAX(AM937,H937))),ROUNDUP(AK937,0)))</f>
        <v>3</v>
      </c>
      <c r="AH937" s="62" t="n">
        <f aca="false">IF(CA937=1,0,ROUNDUP(AG937/BZ937,0))</f>
        <v>1</v>
      </c>
      <c r="AI937" s="64" t="n">
        <f aca="false">IF(CR937&gt;0,CR937*MAX(1,AG937/X937),IF(CA937=1,IF(AG937&lt;=0,0,CE937*MAX(1,IF(H937&gt;0,AG937/H937,1))),IF(R937&gt;0,AH937/R937,0))/MAX(0.1,N(Parameter!$M$21)))</f>
        <v>0.0384615384615385</v>
      </c>
      <c r="AJ937" s="62" t="n">
        <f aca="false">AI937*CC937</f>
        <v>5.96153846153846</v>
      </c>
      <c r="AK937" s="63" t="n">
        <f aca="false">IF(LEFT(Cockpit!$C$5,1)="A",H937,IF(CI937=1,(CL937+CJ937)/2,IF(LEFT(Cockpit!$C$5,1)="B",(CL937+AM937)/2,MAX((CL937+AM937)/2,H937))))</f>
        <v>3</v>
      </c>
      <c r="AL937" s="62" t="n">
        <f aca="false">AK937*G937</f>
        <v>27</v>
      </c>
      <c r="AM937" s="62" t="n">
        <f aca="false">ROUNDUP(CL937+MAX(CM937,2*(J937/IF(CH937&gt;0,CH937,MAX(0.1,N(Cockpit!$C$6)))-CL937)),0)</f>
        <v>1</v>
      </c>
      <c r="AN937" s="63" t="n">
        <f aca="false">IF(AJ937&gt;0,J937/AJ937,-1)</f>
        <v>0</v>
      </c>
      <c r="AO937" s="63" t="n">
        <f aca="false">IF(AND(OR(CG937="L1",CG937="L23",CG937="LIFT"),AJ937&gt;0),SUMIFS($AJ$7:$AJ$1843,$CG$7:$CG$1843,CG937,$AN$7:$AN$1843,"&gt;"&amp;AN937)+SUMIFS($AJ$7:$AJ$1843,$CG$7:$CG$1843,CG937,$AN$7:$AN$1843,AN937,$BX$7:$BX$1843,"&lt;="&amp;BX937),"")</f>
        <v>28877.215827487</v>
      </c>
      <c r="AP937" s="70" t="n">
        <f aca="false">IF(AO937="",0,MAX(0,MIN(1,(IF(CG937="L1",Parameter!$H$5,IF(CG937="L23",Parameter!$H$6+Parameter!$H$7,Parameter!$H$5+Parameter!$H$6+Parameter!$H$7))-(AO937-AJ937))/AJ937)))</f>
        <v>1</v>
      </c>
      <c r="AQ937" s="62" t="n">
        <f aca="false">IF(LEFT(Cockpit!$I$5,1)="A",H937,IF(Parameter!$E$30="MAX-Bestand",IF(CI937=1,CJ937,IF(LEFT(Cockpit!$I$5,1)="B",AW937,MAX(AW937,H937))),ROUNDUP(AU937,0)))</f>
        <v>3</v>
      </c>
      <c r="AR937" s="62" t="n">
        <f aca="false">IF(CA937=1,0,ROUNDUP(AQ937/BZ937,0))</f>
        <v>1</v>
      </c>
      <c r="AS937" s="64" t="n">
        <f aca="false">IF(CR937&gt;0,CR937*MAX(1,AQ937/X937),IF(CA937=1,IF(AQ937&lt;=0,0,CE937*MAX(1,IF(H937&gt;0,AQ937/H937,1))),IF(R937&gt;0,AR937/R937,0))/MAX(0.1,N(Parameter!$M$21)))</f>
        <v>0.0384615384615385</v>
      </c>
      <c r="AT937" s="62" t="n">
        <f aca="false">AS937*CC937</f>
        <v>5.96153846153846</v>
      </c>
      <c r="AU937" s="63" t="n">
        <f aca="false">IF(LEFT(Cockpit!$I$5,1)="A",H937,IF(CI937=1,(CL937+CJ937)/2,IF(LEFT(Cockpit!$I$5,1)="B",(CL937+AW937)/2,MAX((CL937+AW937)/2,H937))))</f>
        <v>3</v>
      </c>
      <c r="AV937" s="62" t="n">
        <f aca="false">AU937*G937</f>
        <v>27</v>
      </c>
      <c r="AW937" s="62" t="n">
        <f aca="false">ROUNDUP(CL937+MAX(CM937,2*(J937/IF(CH937&gt;0,CH937,MAX(0.1,N(Cockpit!$I$6)))-CL937)),0)</f>
        <v>1</v>
      </c>
      <c r="AX937" s="63" t="n">
        <f aca="false">IF(AT937&gt;0,J937/AT937,-1)</f>
        <v>0</v>
      </c>
      <c r="AY937" s="63" t="n">
        <f aca="false">IF(AND(OR(CG937="L1",CG937="L23",CG937="LIFT"),AT937&gt;0),SUMIFS($AT$7:$AT$1843,$CG$7:$CG$1843,CG937,$AX$7:$AX$1843,"&gt;"&amp;AX937)+SUMIFS($AT$7:$AT$1843,$CG$7:$CG$1843,CG937,$AX$7:$AX$1843,AX937,$BX$7:$BX$1843,"&lt;="&amp;BX937),"")</f>
        <v>34539.1872710623</v>
      </c>
      <c r="AZ937" s="70" t="n">
        <f aca="false">IF(AY937="",0,MAX(0,MIN(1,(IF(CG937="L1",Parameter!$H$5,IF(CG937="L23",Parameter!$H$6+Parameter!$H$7,Parameter!$H$5+Parameter!$H$6+Parameter!$H$7))-(AY937-AT937))/AT937)))</f>
        <v>1</v>
      </c>
      <c r="BA937" s="62" t="n">
        <f aca="false">IF(LEFT(Cockpit!$O$5,1)="A",H937,IF(Parameter!$E$30="MAX-Bestand",IF(CI937=1,CJ937,IF(LEFT(Cockpit!$O$5,1)="B",BG937,MAX(BG937,H937))),ROUNDUP(BE937,0)))</f>
        <v>1</v>
      </c>
      <c r="BB937" s="62" t="n">
        <f aca="false">IF(CA937=1,0,ROUNDUP(BA937/BZ937,0))</f>
        <v>1</v>
      </c>
      <c r="BC937" s="64" t="n">
        <f aca="false">IF(CR937&gt;0,CR937*MAX(1,BA937/X937),IF(CA937=1,IF(BA937&lt;=0,0,CE937*MAX(1,IF(H937&gt;0,BA937/H937,1))),IF(R937&gt;0,BB937/R937,0))/MAX(0.1,N(Parameter!$M$21)))</f>
        <v>0.0384615384615385</v>
      </c>
      <c r="BD937" s="62" t="n">
        <f aca="false">BC937*CC937</f>
        <v>5.96153846153846</v>
      </c>
      <c r="BE937" s="63" t="n">
        <f aca="false">IF(LEFT(Cockpit!$O$5,1)="A",H937,IF(CI937=1,(CL937+CJ937)/2,IF(LEFT(Cockpit!$O$5,1)="B",(CL937+BG937)/2,MAX((CL937+BG937)/2,H937))))</f>
        <v>0.5</v>
      </c>
      <c r="BF937" s="62" t="n">
        <f aca="false">BE937*G937</f>
        <v>4.5</v>
      </c>
      <c r="BG937" s="62" t="n">
        <f aca="false">ROUNDUP(CL937+MAX(CM937,2*(J937/IF(CH937&gt;0,CH937,MAX(0.1,N(Cockpit!$O$6)))-CL937)),0)</f>
        <v>1</v>
      </c>
      <c r="BH937" s="63" t="n">
        <f aca="false">IF(BD937&gt;0,J937/BD937,-1)</f>
        <v>0</v>
      </c>
      <c r="BI937" s="63" t="n">
        <f aca="false">IF(AND(OR(CG937="L1",CG937="L23",CG937="LIFT"),BD937&gt;0),SUMIFS($BD$7:$BD$1843,$CG$7:$CG$1843,CG937,$BH$7:$BH$1843,"&gt;"&amp;BH937)+SUMIFS($BD$7:$BD$1843,$CG$7:$CG$1843,CG937,$BH$7:$BH$1843,BH937,$BX$7:$BX$1843,"&lt;="&amp;BX937),"")</f>
        <v>28569.6862389023</v>
      </c>
      <c r="BJ937" s="70" t="n">
        <f aca="false">IF(BI937="",0,MAX(0,MIN(1,(IF(CG937="L1",Parameter!$H$5,IF(CG937="L23",Parameter!$H$6+Parameter!$H$7,Parameter!$H$5+Parameter!$H$6+Parameter!$H$7))-(BI937-BD937))/BD937)))</f>
        <v>1</v>
      </c>
      <c r="BK937" s="60" t="str">
        <f aca="false">IF(AJ937&lt;=0,"",IF(CG937="Aussen","Aussenlager",IF(CG937="-","Nicht im Lift",IF(AP937&gt;=1,"Lift",IF(AP937&lt;=0,"Aussenlager","teilweise")))))</f>
        <v>Lift</v>
      </c>
      <c r="BL937" s="60" t="str">
        <f aca="false">IF(AT937&lt;=0,"",IF(CG937="Aussen","Aussenlager",IF(CG937="-","Nicht im Lift",IF(AZ937&gt;=1,"Lift",IF(AZ937&lt;=0,"Aussenlager","teilweise")))))</f>
        <v>Lift</v>
      </c>
      <c r="BM937" s="60" t="str">
        <f aca="false">IF(BD937&lt;=0,"",IF(CG937="Aussen","Aussenlager",IF(CG937="-","Nicht im Lift",IF(BJ937&gt;=1,"Lift",IF(BJ937&lt;=0,"Aussenlager","teilweise")))))</f>
        <v>Lift</v>
      </c>
      <c r="BN937" s="60" t="str">
        <f aca="false">IF(A937="","",IF(BW937=1,"Neu; ","")&amp;IF(AND(BW937=0,BR937&lt;0),"negativer Bestand (Export "&amp;BR937&amp;"); ","")&amp;IF(J937&lt;=0,"Kein Verbrauch; ","")&amp;IF(CR937&gt;0,"Lift "&amp;W937&amp;" lt. Liftbericht (Fach "&amp;X937&amp;" Stk); ",IF(CB937=1,"Gebinde geschätzt ("&amp;T937&amp;"); ",IF(CA937=1,"Lose – Tablare geschätzt; ","")))&amp;IF(H937&gt;AW937,"Überbestand "&amp;ROUND(H937-AW937,0)&amp;" Stk / CHF "&amp;ROUND((H937-AW937)*G937,0)&amp;"; ","")&amp;IF(AND(CI937=1,CJ937&lt;CK937),"MAX &lt; MB+LG; ","")&amp;IF(AND(CQ937&gt;0,CP937*10&gt;CQ937),"zu hoch für Tablar; ","")&amp;IF(AND(BW937=0,OR(CI937=1,AB937&lt;&gt;"",U937&lt;&gt;"",V937&lt;&gt;"",AC937&lt;&gt;"")),"manuell übersteuert; ","")&amp;IF(AND(CA937=0,R937=0),"Gebinde unbekannt / Stellmass fehlt; ","")&amp;IF(AND(CA937=0,N(V937)&lt;=0,N(Q937)&lt;=0),"Menge pro Gebinde fehlt (Ist = 1 Gebinde); ","")&amp;BV937)</f>
        <v>negativer Bestand (Export -7); Kein Verbrauch; Gebinde geschätzt (Klein); Überbestand 2 Stk / CHF 18; Menge pro Gebinde fehlt (Ist = 1 Gebinde); Verb.Lager; nicht im KTL vorhanden</v>
      </c>
      <c r="BO937" s="60"/>
      <c r="BP937" s="60"/>
      <c r="BQ937" s="67"/>
      <c r="BR937" s="62" t="n">
        <v>-7</v>
      </c>
      <c r="BS937" s="62" t="n">
        <v>10</v>
      </c>
      <c r="BT937" s="61" t="n">
        <v>-52.5</v>
      </c>
      <c r="BU937" s="62" t="n">
        <v>0</v>
      </c>
      <c r="BV937" s="60" t="s">
        <v>1793</v>
      </c>
      <c r="BW937" s="65" t="n">
        <v>0</v>
      </c>
      <c r="BX937" s="65" t="n">
        <v>937</v>
      </c>
      <c r="BY937" s="60" t="str">
        <f aca="false">IF(U937&lt;&gt;"",UPPER(TRIM(U937)),IF(CB937=1,UPPER(VLOOKUP(T937,Parameter!$I$27:$K$29,2,0)),IF(P937="","LOSE",P937)))</f>
        <v>S51</v>
      </c>
      <c r="BZ937" s="62" t="n">
        <f aca="false">IF(BY937="LOSE",1,IF(N(V937)&gt;0,V937,IF(CB937=1,MAX(1,N(VLOOKUP(T937,Parameter!$I$27:$K$29,3,0)),H937,N(N937)),IF(N(Q937)&gt;0,Q937,MAX(1,H937)))))</f>
        <v>20</v>
      </c>
      <c r="CA937" s="65" t="n">
        <f aca="false">IF(BY937="LOSE",1,0)</f>
        <v>0</v>
      </c>
      <c r="CB937" s="65" t="n">
        <f aca="false">IF(AND(U937="",OR(P937="",P937="LOSE"),T937&lt;&gt;"",N(S937)&lt;=0,ISNUMBER(MATCH(T937,Parameter!$I$27:$I$29,0))),1,0)</f>
        <v>1</v>
      </c>
      <c r="CC937" s="65" t="n">
        <f aca="false">IF(CR937&gt;0,INDEX(Parameter!$H$5:$H$7,W937)/INDEX(Parameter!$E$5:$E$7,W937),IF(AND(CA937=0,N(IFERROR(VLOOKUP(BY937,'Gebinde-Kategorie'!$A$5:$N$45,14,0),0))&gt;0),VLOOKUP(BY937,'Gebinde-Kategorie'!$A$5:$N$45,14,0)*10+Parameter!$M$23,Parameter!$M$24))</f>
        <v>155</v>
      </c>
      <c r="CD937" s="60" t="str">
        <f aca="false">IF(AND(Parameter!$B$19="Ja",E937&lt;&gt;"",ISNUMBER(MATCH(E937,Parameter!$I$35:$I$52,0))),VLOOKUP(E937,Parameter!$I$35:$J$52,2,0),IFERROR(VLOOKUP(D937,Parameter!$A$35:$C$64,2,0),"Nein"))</f>
        <v>2+3</v>
      </c>
      <c r="CE937" s="64" t="n">
        <f aca="false">IF(CA937=0,0,IF(N(S937)&gt;0,S937,IFERROR(VLOOKUP(D937,Parameter!$A$35:$C$64,3,0)+0,0)))</f>
        <v>0</v>
      </c>
      <c r="CF937" s="60" t="n">
        <f aca="false">IF(AB937&lt;&gt;"",AB937,AA937)</f>
        <v>3</v>
      </c>
      <c r="CG937" s="60" t="str">
        <f aca="false">IF(OR(CF937=1,CF937=2,CF937=3),IF(Parameter!$E$27="Ja","LIFT",IF(CF937=1,"L1","L23")),IF(CF937="Aussen","Aussen","-"))</f>
        <v>LIFT</v>
      </c>
      <c r="CH937" s="71" t="n">
        <f aca="false">IF(N(AC937)&gt;0,AC937,0)</f>
        <v>0</v>
      </c>
      <c r="CI937" s="65" t="n">
        <f aca="false">IF(ISNUMBER(AF937),1,0)</f>
        <v>0</v>
      </c>
      <c r="CJ937" s="62" t="n">
        <f aca="false">N(AF937)</f>
        <v>0</v>
      </c>
      <c r="CK937" s="62" t="n">
        <f aca="false">N(M937)+N(N937)</f>
        <v>1</v>
      </c>
      <c r="CL937" s="62" t="n">
        <f aca="false">N(M937)</f>
        <v>0</v>
      </c>
      <c r="CM937" s="62" t="n">
        <f aca="false">N(N937)</f>
        <v>1</v>
      </c>
      <c r="CN937" s="62" t="n">
        <f aca="false">ROUNDUP(H937/BZ937,0)</f>
        <v>1</v>
      </c>
      <c r="CO937" s="62" t="n">
        <f aca="false">ROUNDUP(CJ937/BZ937,0)</f>
        <v>0</v>
      </c>
      <c r="CP937" s="65" t="n">
        <f aca="false">IF(CA937=1,0,IFERROR(VLOOKUP(BY937,'Gebinde-Kategorie'!$A$5:$N$45,5,0)+0,0))</f>
        <v>11</v>
      </c>
      <c r="CQ937" s="65" t="n">
        <f aca="false">IFERROR(IF(OR(CF937=1,CF937=2,CF937=3),N(INDEX(Parameter!$I$5:$I$7,CF937)),0),0)</f>
        <v>0</v>
      </c>
      <c r="CR937" s="64" t="n">
        <f aca="false">IF(AND(Parameter!$B$21="Ja",ISNUMBER(W937),N(X937)&gt;0),IFERROR(N(INDEX(Parameter!$L$5:$L$7,W937))*INDEX(Parameter!$E$5:$E$7,W937)*X937/SUMIFS($X$7:$X$1843,$W$7:$W$1843,W937),0),0)</f>
        <v>0</v>
      </c>
      <c r="CS937" s="62" t="n">
        <f aca="false">IF(AND(OR(CG937="L1",CG937="L23",CG937="LIFT"),H937&gt;0),CC937*IF(CR937&gt;0,CR937*MAX(1,H937/X937),IF(CA937=1,CE937,IF(R937&gt;0,CN937/R937,0))/MAX(0.1,N(Parameter!$M$21))),"")</f>
        <v>5.96153846153846</v>
      </c>
      <c r="CT937" s="64" t="n">
        <f aca="false">IF(CS937="","",J937/H937)</f>
        <v>0</v>
      </c>
      <c r="CU937" s="62" t="n">
        <f aca="false">IF(CS937="","",H937*G937)</f>
        <v>27</v>
      </c>
      <c r="CV937" s="63" t="n">
        <f aca="false">IF(CS937="","",(CL937+ROUNDUP(CL937+MAX(CM937,2*(J937/MAX(0.1,N(Einkauf!$C$6))-CL937)),0))/2)</f>
        <v>0.5</v>
      </c>
      <c r="CW937" s="62" t="n">
        <f aca="false">IF(CS937="","",MAX(0,H937-CV937)*G937)</f>
        <v>22.5</v>
      </c>
      <c r="CX937" s="62" t="n">
        <f aca="false">IF(CS937="","",CS937*MAX(0,1-CV937/H937))</f>
        <v>4.96794871794872</v>
      </c>
      <c r="CY937" s="64" t="n">
        <f aca="false">IF(CS937="","",PERCENTRANK($CS$7:$CS$1843,CS937)+PERCENTRANK($CU$7:$CU$1843,CU937)+1-PERCENTRANK($CT$7:$CT$1843,CT937))</f>
        <v>1.459</v>
      </c>
      <c r="CZ937" s="72" t="n">
        <f aca="false">IF(CS937="","",CHOOSE(MATCH(Einkauf!$C$5,Parameter!$G$23:$G$27,0),CY937,CS937,CU937,-CT937,CW937)+ROW()/1000000000)</f>
        <v>1.459000937</v>
      </c>
    </row>
    <row r="938" customFormat="false" ht="15" hidden="false" customHeight="false" outlineLevel="0" collapsed="false">
      <c r="A938" s="60" t="s">
        <v>1794</v>
      </c>
      <c r="B938" s="60" t="s">
        <v>850</v>
      </c>
      <c r="C938" s="60" t="s">
        <v>206</v>
      </c>
      <c r="D938" s="60" t="s">
        <v>226</v>
      </c>
      <c r="E938" s="60" t="s">
        <v>227</v>
      </c>
      <c r="F938" s="60" t="s">
        <v>260</v>
      </c>
      <c r="G938" s="61" t="n">
        <v>3.68</v>
      </c>
      <c r="H938" s="62" t="n">
        <f aca="false">MAX(0,IF(AND(Parameter!$B$21="Ja",ISNUMBER(Y938)),Y938,IF(Parameter!$B$20="Jahresanfang 2025 + Export",BS938+BR938,BR938)))</f>
        <v>24</v>
      </c>
      <c r="I938" s="62" t="n">
        <f aca="false">H938*G938</f>
        <v>88.32</v>
      </c>
      <c r="J938" s="62" t="n">
        <f aca="false">BU938*Parameter!$B$18</f>
        <v>65</v>
      </c>
      <c r="K938" s="63" t="n">
        <v>55.5</v>
      </c>
      <c r="L938" s="64" t="n">
        <v>1.17117117117117</v>
      </c>
      <c r="M938" s="62" t="n">
        <v>2</v>
      </c>
      <c r="N938" s="62" t="n">
        <v>65</v>
      </c>
      <c r="O938" s="65" t="n">
        <v>14</v>
      </c>
      <c r="P938" s="60" t="s">
        <v>468</v>
      </c>
      <c r="Q938" s="62" t="n">
        <v>60</v>
      </c>
      <c r="R938" s="65" t="n">
        <f aca="false">IF(CA938=1,0,IFERROR(VLOOKUP(BY938,'Gebinde-Kategorie'!$A$5:$N$45,13,0)+0,0))</f>
        <v>140</v>
      </c>
      <c r="S938" s="66"/>
      <c r="T938" s="67"/>
      <c r="U938" s="67"/>
      <c r="V938" s="67"/>
      <c r="W938" s="60"/>
      <c r="X938" s="62"/>
      <c r="Y938" s="62"/>
      <c r="Z938" s="60" t="n">
        <v>1</v>
      </c>
      <c r="AA938" s="60" t="n">
        <f aca="false">IF(A938="","",IF(AND(Parameter!$B$21="Ja",ISNUMBER(W938)),W938,IF(AND(Parameter!$E$27="Ja",ISNUMBER(Z938),CD938&lt;&gt;"Nein"),Z938,IF(CD938="2+3",IF(ISNUMBER(SEARCH("grosser Artikel",BV938)),2,IFERROR(VLOOKUP(BY938,Parameter!$F$35:$G$64,2,0),2)),IF(OR(CD938="Nein",CD938=""),"-",CD938)))))</f>
        <v>1</v>
      </c>
      <c r="AB938" s="67"/>
      <c r="AC938" s="68"/>
      <c r="AD938" s="62" t="n">
        <f aca="false">AW938</f>
        <v>67</v>
      </c>
      <c r="AE938" s="62" t="n">
        <f aca="false">MAX(AW938,H938)</f>
        <v>67</v>
      </c>
      <c r="AF938" s="69"/>
      <c r="AG938" s="62" t="n">
        <f aca="false">IF(LEFT(Cockpit!$C$5,1)="A",H938,IF(Parameter!$E$30="MAX-Bestand",IF(CI938=1,CJ938,IF(LEFT(Cockpit!$C$5,1)="B",AM938,MAX(AM938,H938))),ROUNDUP(AK938,0)))</f>
        <v>24</v>
      </c>
      <c r="AH938" s="62" t="n">
        <f aca="false">IF(CA938=1,0,ROUNDUP(AG938/BZ938,0))</f>
        <v>1</v>
      </c>
      <c r="AI938" s="64" t="n">
        <f aca="false">IF(CR938&gt;0,CR938*MAX(1,AG938/X938),IF(CA938=1,IF(AG938&lt;=0,0,CE938*MAX(1,IF(H938&gt;0,AG938/H938,1))),IF(R938&gt;0,AH938/R938,0))/MAX(0.1,N(Parameter!$M$21)))</f>
        <v>0.00714285714285714</v>
      </c>
      <c r="AJ938" s="62" t="n">
        <f aca="false">AI938*CC938</f>
        <v>1.10714285714286</v>
      </c>
      <c r="AK938" s="63" t="n">
        <f aca="false">IF(LEFT(Cockpit!$C$5,1)="A",H938,IF(CI938=1,(CL938+CJ938)/2,IF(LEFT(Cockpit!$C$5,1)="B",(CL938+AM938)/2,MAX((CL938+AM938)/2,H938))))</f>
        <v>24</v>
      </c>
      <c r="AL938" s="62" t="n">
        <f aca="false">AK938*G938</f>
        <v>88.32</v>
      </c>
      <c r="AM938" s="62" t="n">
        <f aca="false">ROUNDUP(CL938+MAX(CM938,2*(J938/IF(CH938&gt;0,CH938,MAX(0.1,N(Cockpit!$C$6)))-CL938)),0)</f>
        <v>67</v>
      </c>
      <c r="AN938" s="63" t="n">
        <f aca="false">IF(AJ938&gt;0,J938/AJ938,-1)</f>
        <v>58.7096774193548</v>
      </c>
      <c r="AO938" s="63" t="n">
        <f aca="false">IF(AND(OR(CG938="L1",CG938="L23",CG938="LIFT"),AJ938&gt;0),SUMIFS($AJ$7:$AJ$1843,$CG$7:$CG$1843,CG938,$AN$7:$AN$1843,"&gt;"&amp;AN938)+SUMIFS($AJ$7:$AJ$1843,$CG$7:$CG$1843,CG938,$AN$7:$AN$1843,AN938,$BX$7:$BX$1843,"&lt;="&amp;BX938),"")</f>
        <v>992.498626373626</v>
      </c>
      <c r="AP938" s="70" t="n">
        <f aca="false">IF(AO938="",0,MAX(0,MIN(1,(IF(CG938="L1",Parameter!$H$5,IF(CG938="L23",Parameter!$H$6+Parameter!$H$7,Parameter!$H$5+Parameter!$H$6+Parameter!$H$7))-(AO938-AJ938))/AJ938)))</f>
        <v>1</v>
      </c>
      <c r="AQ938" s="62" t="n">
        <f aca="false">IF(LEFT(Cockpit!$I$5,1)="A",H938,IF(Parameter!$E$30="MAX-Bestand",IF(CI938=1,CJ938,IF(LEFT(Cockpit!$I$5,1)="B",AW938,MAX(AW938,H938))),ROUNDUP(AU938,0)))</f>
        <v>35</v>
      </c>
      <c r="AR938" s="62" t="n">
        <f aca="false">IF(CA938=1,0,ROUNDUP(AQ938/BZ938,0))</f>
        <v>1</v>
      </c>
      <c r="AS938" s="64" t="n">
        <f aca="false">IF(CR938&gt;0,CR938*MAX(1,AQ938/X938),IF(CA938=1,IF(AQ938&lt;=0,0,CE938*MAX(1,IF(H938&gt;0,AQ938/H938,1))),IF(R938&gt;0,AR938/R938,0))/MAX(0.1,N(Parameter!$M$21)))</f>
        <v>0.00714285714285714</v>
      </c>
      <c r="AT938" s="62" t="n">
        <f aca="false">AS938*CC938</f>
        <v>1.10714285714286</v>
      </c>
      <c r="AU938" s="63" t="n">
        <f aca="false">IF(LEFT(Cockpit!$I$5,1)="A",H938,IF(CI938=1,(CL938+CJ938)/2,IF(LEFT(Cockpit!$I$5,1)="B",(CL938+AW938)/2,MAX((CL938+AW938)/2,H938))))</f>
        <v>34.5</v>
      </c>
      <c r="AV938" s="62" t="n">
        <f aca="false">AU938*G938</f>
        <v>126.96</v>
      </c>
      <c r="AW938" s="62" t="n">
        <f aca="false">ROUNDUP(CL938+MAX(CM938,2*(J938/IF(CH938&gt;0,CH938,MAX(0.1,N(Cockpit!$I$6)))-CL938)),0)</f>
        <v>67</v>
      </c>
      <c r="AX938" s="63" t="n">
        <f aca="false">IF(AT938&gt;0,J938/AT938,-1)</f>
        <v>58.7096774193548</v>
      </c>
      <c r="AY938" s="63" t="n">
        <f aca="false">IF(AND(OR(CG938="L1",CG938="L23",CG938="LIFT"),AT938&gt;0),SUMIFS($AT$7:$AT$1843,$CG$7:$CG$1843,CG938,$AX$7:$AX$1843,"&gt;"&amp;AX938)+SUMIFS($AT$7:$AT$1843,$CG$7:$CG$1843,CG938,$AX$7:$AX$1843,AX938,$BX$7:$BX$1843,"&lt;="&amp;BX938),"")</f>
        <v>1194.88049450549</v>
      </c>
      <c r="AZ938" s="70" t="n">
        <f aca="false">IF(AY938="",0,MAX(0,MIN(1,(IF(CG938="L1",Parameter!$H$5,IF(CG938="L23",Parameter!$H$6+Parameter!$H$7,Parameter!$H$5+Parameter!$H$6+Parameter!$H$7))-(AY938-AT938))/AT938)))</f>
        <v>1</v>
      </c>
      <c r="BA938" s="62" t="n">
        <f aca="false">IF(LEFT(Cockpit!$O$5,1)="A",H938,IF(Parameter!$E$30="MAX-Bestand",IF(CI938=1,CJ938,IF(LEFT(Cockpit!$O$5,1)="B",BG938,MAX(BG938,H938))),ROUNDUP(BE938,0)))</f>
        <v>35</v>
      </c>
      <c r="BB938" s="62" t="n">
        <f aca="false">IF(CA938=1,0,ROUNDUP(BA938/BZ938,0))</f>
        <v>1</v>
      </c>
      <c r="BC938" s="64" t="n">
        <f aca="false">IF(CR938&gt;0,CR938*MAX(1,BA938/X938),IF(CA938=1,IF(BA938&lt;=0,0,CE938*MAX(1,IF(H938&gt;0,BA938/H938,1))),IF(R938&gt;0,BB938/R938,0))/MAX(0.1,N(Parameter!$M$21)))</f>
        <v>0.00714285714285714</v>
      </c>
      <c r="BD938" s="62" t="n">
        <f aca="false">BC938*CC938</f>
        <v>1.10714285714286</v>
      </c>
      <c r="BE938" s="63" t="n">
        <f aca="false">IF(LEFT(Cockpit!$O$5,1)="A",H938,IF(CI938=1,(CL938+CJ938)/2,IF(LEFT(Cockpit!$O$5,1)="B",(CL938+BG938)/2,MAX((CL938+BG938)/2,H938))))</f>
        <v>34.5</v>
      </c>
      <c r="BF938" s="62" t="n">
        <f aca="false">BE938*G938</f>
        <v>126.96</v>
      </c>
      <c r="BG938" s="62" t="n">
        <f aca="false">ROUNDUP(CL938+MAX(CM938,2*(J938/IF(CH938&gt;0,CH938,MAX(0.1,N(Cockpit!$O$6)))-CL938)),0)</f>
        <v>67</v>
      </c>
      <c r="BH938" s="63" t="n">
        <f aca="false">IF(BD938&gt;0,J938/BD938,-1)</f>
        <v>58.7096774193548</v>
      </c>
      <c r="BI938" s="63" t="n">
        <f aca="false">IF(AND(OR(CG938="L1",CG938="L23",CG938="LIFT"),BD938&gt;0),SUMIFS($BD$7:$BD$1843,$CG$7:$CG$1843,CG938,$BH$7:$BH$1843,"&gt;"&amp;BH938)+SUMIFS($BD$7:$BD$1843,$CG$7:$CG$1843,CG938,$BH$7:$BH$1843,BH938,$BX$7:$BX$1843,"&lt;="&amp;BX938),"")</f>
        <v>1118.08058608059</v>
      </c>
      <c r="BJ938" s="70" t="n">
        <f aca="false">IF(BI938="",0,MAX(0,MIN(1,(IF(CG938="L1",Parameter!$H$5,IF(CG938="L23",Parameter!$H$6+Parameter!$H$7,Parameter!$H$5+Parameter!$H$6+Parameter!$H$7))-(BI938-BD938))/BD938)))</f>
        <v>1</v>
      </c>
      <c r="BK938" s="60" t="str">
        <f aca="false">IF(AJ938&lt;=0,"",IF(CG938="Aussen","Aussenlager",IF(CG938="-","Nicht im Lift",IF(AP938&gt;=1,"Lift",IF(AP938&lt;=0,"Aussenlager","teilweise")))))</f>
        <v>Lift</v>
      </c>
      <c r="BL938" s="60" t="str">
        <f aca="false">IF(AT938&lt;=0,"",IF(CG938="Aussen","Aussenlager",IF(CG938="-","Nicht im Lift",IF(AZ938&gt;=1,"Lift",IF(AZ938&lt;=0,"Aussenlager","teilweise")))))</f>
        <v>Lift</v>
      </c>
      <c r="BM938" s="60" t="str">
        <f aca="false">IF(BD938&lt;=0,"",IF(CG938="Aussen","Aussenlager",IF(CG938="-","Nicht im Lift",IF(BJ938&gt;=1,"Lift",IF(BJ938&lt;=0,"Aussenlager","teilweise")))))</f>
        <v>Lift</v>
      </c>
      <c r="BN938" s="60" t="str">
        <f aca="false">IF(A938="","",IF(BW938=1,"Neu; ","")&amp;IF(AND(BW938=0,BR938&lt;0),"negativer Bestand (Export "&amp;BR938&amp;"); ","")&amp;IF(J938&lt;=0,"Kein Verbrauch; ","")&amp;IF(CR938&gt;0,"Lift "&amp;W938&amp;" lt. Liftbericht (Fach "&amp;X938&amp;" Stk); ",IF(CB938=1,"Gebinde geschätzt ("&amp;T938&amp;"); ",IF(CA938=1,"Lose – Tablare geschätzt; ","")))&amp;IF(H938&gt;AW938,"Überbestand "&amp;ROUND(H938-AW938,0)&amp;" Stk / CHF "&amp;ROUND((H938-AW938)*G938,0)&amp;"; ","")&amp;IF(AND(CI938=1,CJ938&lt;CK938),"MAX &lt; MB+LG; ","")&amp;IF(AND(CQ938&gt;0,CP938*10&gt;CQ938),"zu hoch für Tablar; ","")&amp;IF(AND(BW938=0,OR(CI938=1,AB938&lt;&gt;"",U938&lt;&gt;"",V938&lt;&gt;"",AC938&lt;&gt;"")),"manuell übersteuert; ","")&amp;IF(AND(CA938=0,R938=0),"Gebinde unbekannt / Stellmass fehlt; ","")&amp;IF(AND(CA938=0,N(V938)&lt;=0,N(Q938)&lt;=0),"Menge pro Gebinde fehlt (Ist = 1 Gebinde); ","")&amp;BV938)</f>
        <v>negativer Bestand (Export -15); </v>
      </c>
      <c r="BO938" s="60"/>
      <c r="BP938" s="60"/>
      <c r="BQ938" s="67"/>
      <c r="BR938" s="62" t="n">
        <v>-15</v>
      </c>
      <c r="BS938" s="62" t="n">
        <v>39</v>
      </c>
      <c r="BT938" s="61" t="n">
        <v>-53.22</v>
      </c>
      <c r="BU938" s="62" t="n">
        <v>65</v>
      </c>
      <c r="BV938" s="60"/>
      <c r="BW938" s="65" t="n">
        <v>0</v>
      </c>
      <c r="BX938" s="65" t="n">
        <v>938</v>
      </c>
      <c r="BY938" s="60" t="str">
        <f aca="false">IF(U938&lt;&gt;"",UPPER(TRIM(U938)),IF(CB938=1,UPPER(VLOOKUP(T938,Parameter!$I$27:$K$29,2,0)),IF(P938="","LOSE",P938)))</f>
        <v>S22</v>
      </c>
      <c r="BZ938" s="62" t="n">
        <f aca="false">IF(BY938="LOSE",1,IF(N(V938)&gt;0,V938,IF(CB938=1,MAX(1,N(VLOOKUP(T938,Parameter!$I$27:$K$29,3,0)),H938,N(N938)),IF(N(Q938)&gt;0,Q938,MAX(1,H938)))))</f>
        <v>60</v>
      </c>
      <c r="CA938" s="65" t="n">
        <f aca="false">IF(BY938="LOSE",1,0)</f>
        <v>0</v>
      </c>
      <c r="CB938" s="65" t="n">
        <f aca="false">IF(AND(U938="",OR(P938="",P938="LOSE"),T938&lt;&gt;"",N(S938)&lt;=0,ISNUMBER(MATCH(T938,Parameter!$I$27:$I$29,0))),1,0)</f>
        <v>0</v>
      </c>
      <c r="CC938" s="65" t="n">
        <f aca="false">IF(CR938&gt;0,INDEX(Parameter!$H$5:$H$7,W938)/INDEX(Parameter!$E$5:$E$7,W938),IF(AND(CA938=0,N(IFERROR(VLOOKUP(BY938,'Gebinde-Kategorie'!$A$5:$N$45,14,0),0))&gt;0),VLOOKUP(BY938,'Gebinde-Kategorie'!$A$5:$N$45,14,0)*10+Parameter!$M$23,Parameter!$M$24))</f>
        <v>155</v>
      </c>
      <c r="CD938" s="60" t="str">
        <f aca="false">IF(AND(Parameter!$B$19="Ja",E938&lt;&gt;"",ISNUMBER(MATCH(E938,Parameter!$I$35:$I$52,0))),VLOOKUP(E938,Parameter!$I$35:$J$52,2,0),IFERROR(VLOOKUP(D938,Parameter!$A$35:$C$64,2,0),"Nein"))</f>
        <v>2+3</v>
      </c>
      <c r="CE938" s="64" t="n">
        <f aca="false">IF(CA938=0,0,IF(N(S938)&gt;0,S938,IFERROR(VLOOKUP(D938,Parameter!$A$35:$C$64,3,0)+0,0)))</f>
        <v>0</v>
      </c>
      <c r="CF938" s="60" t="n">
        <f aca="false">IF(AB938&lt;&gt;"",AB938,AA938)</f>
        <v>1</v>
      </c>
      <c r="CG938" s="60" t="str">
        <f aca="false">IF(OR(CF938=1,CF938=2,CF938=3),IF(Parameter!$E$27="Ja","LIFT",IF(CF938=1,"L1","L23")),IF(CF938="Aussen","Aussen","-"))</f>
        <v>LIFT</v>
      </c>
      <c r="CH938" s="71" t="n">
        <f aca="false">IF(N(AC938)&gt;0,AC938,0)</f>
        <v>0</v>
      </c>
      <c r="CI938" s="65" t="n">
        <f aca="false">IF(ISNUMBER(AF938),1,0)</f>
        <v>0</v>
      </c>
      <c r="CJ938" s="62" t="n">
        <f aca="false">N(AF938)</f>
        <v>0</v>
      </c>
      <c r="CK938" s="62" t="n">
        <f aca="false">N(M938)+N(N938)</f>
        <v>67</v>
      </c>
      <c r="CL938" s="62" t="n">
        <f aca="false">N(M938)</f>
        <v>2</v>
      </c>
      <c r="CM938" s="62" t="n">
        <f aca="false">N(N938)</f>
        <v>65</v>
      </c>
      <c r="CN938" s="62" t="n">
        <f aca="false">ROUNDUP(H938/BZ938,0)</f>
        <v>1</v>
      </c>
      <c r="CO938" s="62" t="n">
        <f aca="false">ROUNDUP(CJ938/BZ938,0)</f>
        <v>0</v>
      </c>
      <c r="CP938" s="65" t="n">
        <f aca="false">IF(CA938=1,0,IFERROR(VLOOKUP(BY938,'Gebinde-Kategorie'!$A$5:$N$45,5,0)+0,0))</f>
        <v>8</v>
      </c>
      <c r="CQ938" s="65" t="n">
        <f aca="false">IFERROR(IF(OR(CF938=1,CF938=2,CF938=3),N(INDEX(Parameter!$I$5:$I$7,CF938)),0),0)</f>
        <v>0</v>
      </c>
      <c r="CR938" s="64" t="n">
        <f aca="false">IF(AND(Parameter!$B$21="Ja",ISNUMBER(W938),N(X938)&gt;0),IFERROR(N(INDEX(Parameter!$L$5:$L$7,W938))*INDEX(Parameter!$E$5:$E$7,W938)*X938/SUMIFS($X$7:$X$1843,$W$7:$W$1843,W938),0),0)</f>
        <v>0</v>
      </c>
      <c r="CS938" s="62" t="n">
        <f aca="false">IF(AND(OR(CG938="L1",CG938="L23",CG938="LIFT"),H938&gt;0),CC938*IF(CR938&gt;0,CR938*MAX(1,H938/X938),IF(CA938=1,CE938,IF(R938&gt;0,CN938/R938,0))/MAX(0.1,N(Parameter!$M$21))),"")</f>
        <v>1.10714285714286</v>
      </c>
      <c r="CT938" s="64" t="n">
        <f aca="false">IF(CS938="","",J938/H938)</f>
        <v>2.70833333333333</v>
      </c>
      <c r="CU938" s="62" t="n">
        <f aca="false">IF(CS938="","",H938*G938)</f>
        <v>88.32</v>
      </c>
      <c r="CV938" s="63" t="n">
        <f aca="false">IF(CS938="","",(CL938+ROUNDUP(CL938+MAX(CM938,2*(J938/MAX(0.1,N(Einkauf!$C$6))-CL938)),0))/2)</f>
        <v>34.5</v>
      </c>
      <c r="CW938" s="62" t="n">
        <f aca="false">IF(CS938="","",MAX(0,H938-CV938)*G938)</f>
        <v>0</v>
      </c>
      <c r="CX938" s="62" t="n">
        <f aca="false">IF(CS938="","",CS938*MAX(0,1-CV938/H938))</f>
        <v>0</v>
      </c>
      <c r="CY938" s="64" t="n">
        <f aca="false">IF(CS938="","",PERCENTRANK($CS$7:$CS$1843,CS938)+PERCENTRANK($CU$7:$CU$1843,CU938)+1-PERCENTRANK($CT$7:$CT$1843,CT938))</f>
        <v>0.3974</v>
      </c>
      <c r="CZ938" s="72" t="n">
        <f aca="false">IF(CS938="","",CHOOSE(MATCH(Einkauf!$C$5,Parameter!$G$23:$G$27,0),CY938,CS938,CU938,-CT938,CW938)+ROW()/1000000000)</f>
        <v>0.397400938</v>
      </c>
    </row>
    <row r="939" customFormat="false" ht="15" hidden="false" customHeight="false" outlineLevel="0" collapsed="false">
      <c r="A939" s="60" t="s">
        <v>1795</v>
      </c>
      <c r="B939" s="60" t="s">
        <v>631</v>
      </c>
      <c r="C939" s="60" t="s">
        <v>206</v>
      </c>
      <c r="D939" s="60" t="s">
        <v>226</v>
      </c>
      <c r="E939" s="60" t="s">
        <v>227</v>
      </c>
      <c r="F939" s="60" t="s">
        <v>260</v>
      </c>
      <c r="G939" s="61" t="n">
        <v>17.75</v>
      </c>
      <c r="H939" s="62" t="n">
        <f aca="false">MAX(0,IF(AND(Parameter!$B$21="Ja",ISNUMBER(Y939)),Y939,IF(Parameter!$B$20="Jahresanfang 2025 + Export",BS939+BR939,BR939)))</f>
        <v>48</v>
      </c>
      <c r="I939" s="62" t="n">
        <f aca="false">H939*G939</f>
        <v>852</v>
      </c>
      <c r="J939" s="62" t="n">
        <f aca="false">BU939*Parameter!$B$18</f>
        <v>15</v>
      </c>
      <c r="K939" s="63" t="n">
        <v>49.5</v>
      </c>
      <c r="L939" s="64" t="n">
        <v>0.303030303030303</v>
      </c>
      <c r="M939" s="62" t="n">
        <v>1</v>
      </c>
      <c r="N939" s="62" t="n">
        <v>15</v>
      </c>
      <c r="O939" s="65" t="n">
        <v>28</v>
      </c>
      <c r="P939" s="60" t="s">
        <v>468</v>
      </c>
      <c r="Q939" s="62" t="n">
        <v>64</v>
      </c>
      <c r="R939" s="65" t="n">
        <f aca="false">IF(CA939=1,0,IFERROR(VLOOKUP(BY939,'Gebinde-Kategorie'!$A$5:$N$45,13,0)+0,0))</f>
        <v>140</v>
      </c>
      <c r="S939" s="66"/>
      <c r="T939" s="67"/>
      <c r="U939" s="67"/>
      <c r="V939" s="67"/>
      <c r="W939" s="60"/>
      <c r="X939" s="62"/>
      <c r="Y939" s="62"/>
      <c r="Z939" s="60" t="n">
        <v>1</v>
      </c>
      <c r="AA939" s="60" t="n">
        <f aca="false">IF(A939="","",IF(AND(Parameter!$B$21="Ja",ISNUMBER(W939)),W939,IF(AND(Parameter!$E$27="Ja",ISNUMBER(Z939),CD939&lt;&gt;"Nein"),Z939,IF(CD939="2+3",IF(ISNUMBER(SEARCH("grosser Artikel",BV939)),2,IFERROR(VLOOKUP(BY939,Parameter!$F$35:$G$64,2,0),2)),IF(OR(CD939="Nein",CD939=""),"-",CD939)))))</f>
        <v>1</v>
      </c>
      <c r="AB939" s="67"/>
      <c r="AC939" s="68"/>
      <c r="AD939" s="62" t="n">
        <f aca="false">AW939</f>
        <v>16</v>
      </c>
      <c r="AE939" s="62" t="n">
        <f aca="false">MAX(AW939,H939)</f>
        <v>48</v>
      </c>
      <c r="AF939" s="69"/>
      <c r="AG939" s="62" t="n">
        <f aca="false">IF(LEFT(Cockpit!$C$5,1)="A",H939,IF(Parameter!$E$30="MAX-Bestand",IF(CI939=1,CJ939,IF(LEFT(Cockpit!$C$5,1)="B",AM939,MAX(AM939,H939))),ROUNDUP(AK939,0)))</f>
        <v>48</v>
      </c>
      <c r="AH939" s="62" t="n">
        <f aca="false">IF(CA939=1,0,ROUNDUP(AG939/BZ939,0))</f>
        <v>1</v>
      </c>
      <c r="AI939" s="64" t="n">
        <f aca="false">IF(CR939&gt;0,CR939*MAX(1,AG939/X939),IF(CA939=1,IF(AG939&lt;=0,0,CE939*MAX(1,IF(H939&gt;0,AG939/H939,1))),IF(R939&gt;0,AH939/R939,0))/MAX(0.1,N(Parameter!$M$21)))</f>
        <v>0.00714285714285714</v>
      </c>
      <c r="AJ939" s="62" t="n">
        <f aca="false">AI939*CC939</f>
        <v>1.10714285714286</v>
      </c>
      <c r="AK939" s="63" t="n">
        <f aca="false">IF(LEFT(Cockpit!$C$5,1)="A",H939,IF(CI939=1,(CL939+CJ939)/2,IF(LEFT(Cockpit!$C$5,1)="B",(CL939+AM939)/2,MAX((CL939+AM939)/2,H939))))</f>
        <v>48</v>
      </c>
      <c r="AL939" s="62" t="n">
        <f aca="false">AK939*G939</f>
        <v>852</v>
      </c>
      <c r="AM939" s="62" t="n">
        <f aca="false">ROUNDUP(CL939+MAX(CM939,2*(J939/IF(CH939&gt;0,CH939,MAX(0.1,N(Cockpit!$C$6)))-CL939)),0)</f>
        <v>16</v>
      </c>
      <c r="AN939" s="63" t="n">
        <f aca="false">IF(AJ939&gt;0,J939/AJ939,-1)</f>
        <v>13.5483870967742</v>
      </c>
      <c r="AO939" s="63" t="n">
        <f aca="false">IF(AND(OR(CG939="L1",CG939="L23",CG939="LIFT"),AJ939&gt;0),SUMIFS($AJ$7:$AJ$1843,$CG$7:$CG$1843,CG939,$AN$7:$AN$1843,"&gt;"&amp;AN939)+SUMIFS($AJ$7:$AJ$1843,$CG$7:$CG$1843,CG939,$AN$7:$AN$1843,AN939,$BX$7:$BX$1843,"&lt;="&amp;BX939),"")</f>
        <v>2341.72893772894</v>
      </c>
      <c r="AP939" s="70" t="n">
        <f aca="false">IF(AO939="",0,MAX(0,MIN(1,(IF(CG939="L1",Parameter!$H$5,IF(CG939="L23",Parameter!$H$6+Parameter!$H$7,Parameter!$H$5+Parameter!$H$6+Parameter!$H$7))-(AO939-AJ939))/AJ939)))</f>
        <v>1</v>
      </c>
      <c r="AQ939" s="62" t="n">
        <f aca="false">IF(LEFT(Cockpit!$I$5,1)="A",H939,IF(Parameter!$E$30="MAX-Bestand",IF(CI939=1,CJ939,IF(LEFT(Cockpit!$I$5,1)="B",AW939,MAX(AW939,H939))),ROUNDUP(AU939,0)))</f>
        <v>48</v>
      </c>
      <c r="AR939" s="62" t="n">
        <f aca="false">IF(CA939=1,0,ROUNDUP(AQ939/BZ939,0))</f>
        <v>1</v>
      </c>
      <c r="AS939" s="64" t="n">
        <f aca="false">IF(CR939&gt;0,CR939*MAX(1,AQ939/X939),IF(CA939=1,IF(AQ939&lt;=0,0,CE939*MAX(1,IF(H939&gt;0,AQ939/H939,1))),IF(R939&gt;0,AR939/R939,0))/MAX(0.1,N(Parameter!$M$21)))</f>
        <v>0.00714285714285714</v>
      </c>
      <c r="AT939" s="62" t="n">
        <f aca="false">AS939*CC939</f>
        <v>1.10714285714286</v>
      </c>
      <c r="AU939" s="63" t="n">
        <f aca="false">IF(LEFT(Cockpit!$I$5,1)="A",H939,IF(CI939=1,(CL939+CJ939)/2,IF(LEFT(Cockpit!$I$5,1)="B",(CL939+AW939)/2,MAX((CL939+AW939)/2,H939))))</f>
        <v>48</v>
      </c>
      <c r="AV939" s="62" t="n">
        <f aca="false">AU939*G939</f>
        <v>852</v>
      </c>
      <c r="AW939" s="62" t="n">
        <f aca="false">ROUNDUP(CL939+MAX(CM939,2*(J939/IF(CH939&gt;0,CH939,MAX(0.1,N(Cockpit!$I$6)))-CL939)),0)</f>
        <v>16</v>
      </c>
      <c r="AX939" s="63" t="n">
        <f aca="false">IF(AT939&gt;0,J939/AT939,-1)</f>
        <v>13.5483870967742</v>
      </c>
      <c r="AY939" s="63" t="n">
        <f aca="false">IF(AND(OR(CG939="L1",CG939="L23",CG939="LIFT"),AT939&gt;0),SUMIFS($AT$7:$AT$1843,$CG$7:$CG$1843,CG939,$AX$7:$AX$1843,"&gt;"&amp;AX939)+SUMIFS($AT$7:$AT$1843,$CG$7:$CG$1843,CG939,$AX$7:$AX$1843,AX939,$BX$7:$BX$1843,"&lt;="&amp;BX939),"")</f>
        <v>2960.91575091575</v>
      </c>
      <c r="AZ939" s="70" t="n">
        <f aca="false">IF(AY939="",0,MAX(0,MIN(1,(IF(CG939="L1",Parameter!$H$5,IF(CG939="L23",Parameter!$H$6+Parameter!$H$7,Parameter!$H$5+Parameter!$H$6+Parameter!$H$7))-(AY939-AT939))/AT939)))</f>
        <v>1</v>
      </c>
      <c r="BA939" s="62" t="n">
        <f aca="false">IF(LEFT(Cockpit!$O$5,1)="A",H939,IF(Parameter!$E$30="MAX-Bestand",IF(CI939=1,CJ939,IF(LEFT(Cockpit!$O$5,1)="B",BG939,MAX(BG939,H939))),ROUNDUP(BE939,0)))</f>
        <v>9</v>
      </c>
      <c r="BB939" s="62" t="n">
        <f aca="false">IF(CA939=1,0,ROUNDUP(BA939/BZ939,0))</f>
        <v>1</v>
      </c>
      <c r="BC939" s="64" t="n">
        <f aca="false">IF(CR939&gt;0,CR939*MAX(1,BA939/X939),IF(CA939=1,IF(BA939&lt;=0,0,CE939*MAX(1,IF(H939&gt;0,BA939/H939,1))),IF(R939&gt;0,BB939/R939,0))/MAX(0.1,N(Parameter!$M$21)))</f>
        <v>0.00714285714285714</v>
      </c>
      <c r="BD939" s="62" t="n">
        <f aca="false">BC939*CC939</f>
        <v>1.10714285714286</v>
      </c>
      <c r="BE939" s="63" t="n">
        <f aca="false">IF(LEFT(Cockpit!$O$5,1)="A",H939,IF(CI939=1,(CL939+CJ939)/2,IF(LEFT(Cockpit!$O$5,1)="B",(CL939+BG939)/2,MAX((CL939+BG939)/2,H939))))</f>
        <v>8.5</v>
      </c>
      <c r="BF939" s="62" t="n">
        <f aca="false">BE939*G939</f>
        <v>150.875</v>
      </c>
      <c r="BG939" s="62" t="n">
        <f aca="false">ROUNDUP(CL939+MAX(CM939,2*(J939/IF(CH939&gt;0,CH939,MAX(0.1,N(Cockpit!$O$6)))-CL939)),0)</f>
        <v>16</v>
      </c>
      <c r="BH939" s="63" t="n">
        <f aca="false">IF(BD939&gt;0,J939/BD939,-1)</f>
        <v>13.5483870967742</v>
      </c>
      <c r="BI939" s="63" t="n">
        <f aca="false">IF(AND(OR(CG939="L1",CG939="L23",CG939="LIFT"),BD939&gt;0),SUMIFS($BD$7:$BD$1843,$CG$7:$CG$1843,CG939,$BH$7:$BH$1843,"&gt;"&amp;BH939)+SUMIFS($BD$7:$BD$1843,$CG$7:$CG$1843,CG939,$BH$7:$BH$1843,BH939,$BX$7:$BX$1843,"&lt;="&amp;BX939),"")</f>
        <v>2501.74725274725</v>
      </c>
      <c r="BJ939" s="70" t="n">
        <f aca="false">IF(BI939="",0,MAX(0,MIN(1,(IF(CG939="L1",Parameter!$H$5,IF(CG939="L23",Parameter!$H$6+Parameter!$H$7,Parameter!$H$5+Parameter!$H$6+Parameter!$H$7))-(BI939-BD939))/BD939)))</f>
        <v>1</v>
      </c>
      <c r="BK939" s="60" t="str">
        <f aca="false">IF(AJ939&lt;=0,"",IF(CG939="Aussen","Aussenlager",IF(CG939="-","Nicht im Lift",IF(AP939&gt;=1,"Lift",IF(AP939&lt;=0,"Aussenlager","teilweise")))))</f>
        <v>Lift</v>
      </c>
      <c r="BL939" s="60" t="str">
        <f aca="false">IF(AT939&lt;=0,"",IF(CG939="Aussen","Aussenlager",IF(CG939="-","Nicht im Lift",IF(AZ939&gt;=1,"Lift",IF(AZ939&lt;=0,"Aussenlager","teilweise")))))</f>
        <v>Lift</v>
      </c>
      <c r="BM939" s="60" t="str">
        <f aca="false">IF(BD939&lt;=0,"",IF(CG939="Aussen","Aussenlager",IF(CG939="-","Nicht im Lift",IF(BJ939&gt;=1,"Lift",IF(BJ939&lt;=0,"Aussenlager","teilweise")))))</f>
        <v>Lift</v>
      </c>
      <c r="BN939" s="60" t="str">
        <f aca="false">IF(A939="","",IF(BW939=1,"Neu; ","")&amp;IF(AND(BW939=0,BR939&lt;0),"negativer Bestand (Export "&amp;BR939&amp;"); ","")&amp;IF(J939&lt;=0,"Kein Verbrauch; ","")&amp;IF(CR939&gt;0,"Lift "&amp;W939&amp;" lt. Liftbericht (Fach "&amp;X939&amp;" Stk); ",IF(CB939=1,"Gebinde geschätzt ("&amp;T939&amp;"); ",IF(CA939=1,"Lose – Tablare geschätzt; ","")))&amp;IF(H939&gt;AW939,"Überbestand "&amp;ROUND(H939-AW939,0)&amp;" Stk / CHF "&amp;ROUND((H939-AW939)*G939,0)&amp;"; ","")&amp;IF(AND(CI939=1,CJ939&lt;CK939),"MAX &lt; MB+LG; ","")&amp;IF(AND(CQ939&gt;0,CP939*10&gt;CQ939),"zu hoch für Tablar; ","")&amp;IF(AND(BW939=0,OR(CI939=1,AB939&lt;&gt;"",U939&lt;&gt;"",V939&lt;&gt;"",AC939&lt;&gt;"")),"manuell übersteuert; ","")&amp;IF(AND(CA939=0,R939=0),"Gebinde unbekannt / Stellmass fehlt; ","")&amp;IF(AND(CA939=0,N(V939)&lt;=0,N(Q939)&lt;=0),"Menge pro Gebinde fehlt (Ist = 1 Gebinde); ","")&amp;BV939)</f>
        <v>negativer Bestand (Export -3); Überbestand 32 Stk / CHF 568; twin</v>
      </c>
      <c r="BO939" s="60"/>
      <c r="BP939" s="60"/>
      <c r="BQ939" s="67"/>
      <c r="BR939" s="62" t="n">
        <v>-3</v>
      </c>
      <c r="BS939" s="62" t="n">
        <v>51</v>
      </c>
      <c r="BT939" s="61" t="n">
        <v>-53.25</v>
      </c>
      <c r="BU939" s="62" t="n">
        <v>15</v>
      </c>
      <c r="BV939" s="60" t="s">
        <v>1783</v>
      </c>
      <c r="BW939" s="65" t="n">
        <v>0</v>
      </c>
      <c r="BX939" s="65" t="n">
        <v>939</v>
      </c>
      <c r="BY939" s="60" t="str">
        <f aca="false">IF(U939&lt;&gt;"",UPPER(TRIM(U939)),IF(CB939=1,UPPER(VLOOKUP(T939,Parameter!$I$27:$K$29,2,0)),IF(P939="","LOSE",P939)))</f>
        <v>S22</v>
      </c>
      <c r="BZ939" s="62" t="n">
        <f aca="false">IF(BY939="LOSE",1,IF(N(V939)&gt;0,V939,IF(CB939=1,MAX(1,N(VLOOKUP(T939,Parameter!$I$27:$K$29,3,0)),H939,N(N939)),IF(N(Q939)&gt;0,Q939,MAX(1,H939)))))</f>
        <v>64</v>
      </c>
      <c r="CA939" s="65" t="n">
        <f aca="false">IF(BY939="LOSE",1,0)</f>
        <v>0</v>
      </c>
      <c r="CB939" s="65" t="n">
        <f aca="false">IF(AND(U939="",OR(P939="",P939="LOSE"),T939&lt;&gt;"",N(S939)&lt;=0,ISNUMBER(MATCH(T939,Parameter!$I$27:$I$29,0))),1,0)</f>
        <v>0</v>
      </c>
      <c r="CC939" s="65" t="n">
        <f aca="false">IF(CR939&gt;0,INDEX(Parameter!$H$5:$H$7,W939)/INDEX(Parameter!$E$5:$E$7,W939),IF(AND(CA939=0,N(IFERROR(VLOOKUP(BY939,'Gebinde-Kategorie'!$A$5:$N$45,14,0),0))&gt;0),VLOOKUP(BY939,'Gebinde-Kategorie'!$A$5:$N$45,14,0)*10+Parameter!$M$23,Parameter!$M$24))</f>
        <v>155</v>
      </c>
      <c r="CD939" s="60" t="str">
        <f aca="false">IF(AND(Parameter!$B$19="Ja",E939&lt;&gt;"",ISNUMBER(MATCH(E939,Parameter!$I$35:$I$52,0))),VLOOKUP(E939,Parameter!$I$35:$J$52,2,0),IFERROR(VLOOKUP(D939,Parameter!$A$35:$C$64,2,0),"Nein"))</f>
        <v>2+3</v>
      </c>
      <c r="CE939" s="64" t="n">
        <f aca="false">IF(CA939=0,0,IF(N(S939)&gt;0,S939,IFERROR(VLOOKUP(D939,Parameter!$A$35:$C$64,3,0)+0,0)))</f>
        <v>0</v>
      </c>
      <c r="CF939" s="60" t="n">
        <f aca="false">IF(AB939&lt;&gt;"",AB939,AA939)</f>
        <v>1</v>
      </c>
      <c r="CG939" s="60" t="str">
        <f aca="false">IF(OR(CF939=1,CF939=2,CF939=3),IF(Parameter!$E$27="Ja","LIFT",IF(CF939=1,"L1","L23")),IF(CF939="Aussen","Aussen","-"))</f>
        <v>LIFT</v>
      </c>
      <c r="CH939" s="71" t="n">
        <f aca="false">IF(N(AC939)&gt;0,AC939,0)</f>
        <v>0</v>
      </c>
      <c r="CI939" s="65" t="n">
        <f aca="false">IF(ISNUMBER(AF939),1,0)</f>
        <v>0</v>
      </c>
      <c r="CJ939" s="62" t="n">
        <f aca="false">N(AF939)</f>
        <v>0</v>
      </c>
      <c r="CK939" s="62" t="n">
        <f aca="false">N(M939)+N(N939)</f>
        <v>16</v>
      </c>
      <c r="CL939" s="62" t="n">
        <f aca="false">N(M939)</f>
        <v>1</v>
      </c>
      <c r="CM939" s="62" t="n">
        <f aca="false">N(N939)</f>
        <v>15</v>
      </c>
      <c r="CN939" s="62" t="n">
        <f aca="false">ROUNDUP(H939/BZ939,0)</f>
        <v>1</v>
      </c>
      <c r="CO939" s="62" t="n">
        <f aca="false">ROUNDUP(CJ939/BZ939,0)</f>
        <v>0</v>
      </c>
      <c r="CP939" s="65" t="n">
        <f aca="false">IF(CA939=1,0,IFERROR(VLOOKUP(BY939,'Gebinde-Kategorie'!$A$5:$N$45,5,0)+0,0))</f>
        <v>8</v>
      </c>
      <c r="CQ939" s="65" t="n">
        <f aca="false">IFERROR(IF(OR(CF939=1,CF939=2,CF939=3),N(INDEX(Parameter!$I$5:$I$7,CF939)),0),0)</f>
        <v>0</v>
      </c>
      <c r="CR939" s="64" t="n">
        <f aca="false">IF(AND(Parameter!$B$21="Ja",ISNUMBER(W939),N(X939)&gt;0),IFERROR(N(INDEX(Parameter!$L$5:$L$7,W939))*INDEX(Parameter!$E$5:$E$7,W939)*X939/SUMIFS($X$7:$X$1843,$W$7:$W$1843,W939),0),0)</f>
        <v>0</v>
      </c>
      <c r="CS939" s="62" t="n">
        <f aca="false">IF(AND(OR(CG939="L1",CG939="L23",CG939="LIFT"),H939&gt;0),CC939*IF(CR939&gt;0,CR939*MAX(1,H939/X939),IF(CA939=1,CE939,IF(R939&gt;0,CN939/R939,0))/MAX(0.1,N(Parameter!$M$21))),"")</f>
        <v>1.10714285714286</v>
      </c>
      <c r="CT939" s="64" t="n">
        <f aca="false">IF(CS939="","",J939/H939)</f>
        <v>0.3125</v>
      </c>
      <c r="CU939" s="62" t="n">
        <f aca="false">IF(CS939="","",H939*G939)</f>
        <v>852</v>
      </c>
      <c r="CV939" s="63" t="n">
        <f aca="false">IF(CS939="","",(CL939+ROUNDUP(CL939+MAX(CM939,2*(J939/MAX(0.1,N(Einkauf!$C$6))-CL939)),0))/2)</f>
        <v>8.5</v>
      </c>
      <c r="CW939" s="62" t="n">
        <f aca="false">IF(CS939="","",MAX(0,H939-CV939)*G939)</f>
        <v>701.125</v>
      </c>
      <c r="CX939" s="62" t="n">
        <f aca="false">IF(CS939="","",CS939*MAX(0,1-CV939/H939))</f>
        <v>0.91108630952381</v>
      </c>
      <c r="CY939" s="64" t="n">
        <f aca="false">IF(CS939="","",PERCENTRANK($CS$7:$CS$1843,CS939)+PERCENTRANK($CU$7:$CU$1843,CU939)+1-PERCENTRANK($CT$7:$CT$1843,CT939))</f>
        <v>1.1714</v>
      </c>
      <c r="CZ939" s="72" t="n">
        <f aca="false">IF(CS939="","",CHOOSE(MATCH(Einkauf!$C$5,Parameter!$G$23:$G$27,0),CY939,CS939,CU939,-CT939,CW939)+ROW()/1000000000)</f>
        <v>1.171400939</v>
      </c>
    </row>
    <row r="940" customFormat="false" ht="15" hidden="false" customHeight="false" outlineLevel="0" collapsed="false">
      <c r="A940" s="60" t="s">
        <v>1796</v>
      </c>
      <c r="B940" s="60" t="s">
        <v>1797</v>
      </c>
      <c r="C940" s="60" t="s">
        <v>498</v>
      </c>
      <c r="D940" s="60" t="s">
        <v>226</v>
      </c>
      <c r="E940" s="60"/>
      <c r="F940" s="60" t="s">
        <v>260</v>
      </c>
      <c r="G940" s="61" t="n">
        <v>7.7</v>
      </c>
      <c r="H940" s="62" t="n">
        <f aca="false">MAX(0,IF(AND(Parameter!$B$21="Ja",ISNUMBER(Y940)),Y940,IF(Parameter!$B$20="Jahresanfang 2025 + Export",BS940+BR940,BR940)))</f>
        <v>7</v>
      </c>
      <c r="I940" s="62" t="n">
        <f aca="false">H940*G940</f>
        <v>53.9</v>
      </c>
      <c r="J940" s="62" t="n">
        <f aca="false">BU940*Parameter!$B$18</f>
        <v>7</v>
      </c>
      <c r="K940" s="63" t="n">
        <v>7</v>
      </c>
      <c r="L940" s="64" t="n">
        <v>1</v>
      </c>
      <c r="M940" s="62" t="n">
        <v>0</v>
      </c>
      <c r="N940" s="62" t="n">
        <v>5</v>
      </c>
      <c r="O940" s="65" t="n">
        <v>21</v>
      </c>
      <c r="P940" s="60" t="s">
        <v>210</v>
      </c>
      <c r="Q940" s="62"/>
      <c r="R940" s="65" t="n">
        <f aca="false">IF(CA940=1,0,IFERROR(VLOOKUP(BY940,'Gebinde-Kategorie'!$A$5:$N$45,13,0)+0,0))</f>
        <v>26</v>
      </c>
      <c r="S940" s="66"/>
      <c r="T940" s="67" t="s">
        <v>317</v>
      </c>
      <c r="U940" s="67"/>
      <c r="V940" s="67"/>
      <c r="W940" s="60"/>
      <c r="X940" s="62"/>
      <c r="Y940" s="62"/>
      <c r="Z940" s="60" t="n">
        <v>3</v>
      </c>
      <c r="AA940" s="60" t="n">
        <f aca="false">IF(A940="","",IF(AND(Parameter!$B$21="Ja",ISNUMBER(W940)),W940,IF(AND(Parameter!$E$27="Ja",ISNUMBER(Z940),CD940&lt;&gt;"Nein"),Z940,IF(CD940="2+3",IF(ISNUMBER(SEARCH("grosser Artikel",BV940)),2,IFERROR(VLOOKUP(BY940,Parameter!$F$35:$G$64,2,0),2)),IF(OR(CD940="Nein",CD940=""),"-",CD940)))))</f>
        <v>3</v>
      </c>
      <c r="AB940" s="67"/>
      <c r="AC940" s="68"/>
      <c r="AD940" s="62" t="n">
        <f aca="false">AW940</f>
        <v>5</v>
      </c>
      <c r="AE940" s="62" t="n">
        <f aca="false">MAX(AW940,H940)</f>
        <v>7</v>
      </c>
      <c r="AF940" s="69"/>
      <c r="AG940" s="62" t="n">
        <f aca="false">IF(LEFT(Cockpit!$C$5,1)="A",H940,IF(Parameter!$E$30="MAX-Bestand",IF(CI940=1,CJ940,IF(LEFT(Cockpit!$C$5,1)="B",AM940,MAX(AM940,H940))),ROUNDUP(AK940,0)))</f>
        <v>7</v>
      </c>
      <c r="AH940" s="62" t="n">
        <f aca="false">IF(CA940=1,0,ROUNDUP(AG940/BZ940,0))</f>
        <v>1</v>
      </c>
      <c r="AI940" s="64" t="n">
        <f aca="false">IF(CR940&gt;0,CR940*MAX(1,AG940/X940),IF(CA940=1,IF(AG940&lt;=0,0,CE940*MAX(1,IF(H940&gt;0,AG940/H940,1))),IF(R940&gt;0,AH940/R940,0))/MAX(0.1,N(Parameter!$M$21)))</f>
        <v>0.0384615384615385</v>
      </c>
      <c r="AJ940" s="62" t="n">
        <f aca="false">AI940*CC940</f>
        <v>5.96153846153846</v>
      </c>
      <c r="AK940" s="63" t="n">
        <f aca="false">IF(LEFT(Cockpit!$C$5,1)="A",H940,IF(CI940=1,(CL940+CJ940)/2,IF(LEFT(Cockpit!$C$5,1)="B",(CL940+AM940)/2,MAX((CL940+AM940)/2,H940))))</f>
        <v>7</v>
      </c>
      <c r="AL940" s="62" t="n">
        <f aca="false">AK940*G940</f>
        <v>53.9</v>
      </c>
      <c r="AM940" s="62" t="n">
        <f aca="false">ROUNDUP(CL940+MAX(CM940,2*(J940/IF(CH940&gt;0,CH940,MAX(0.1,N(Cockpit!$C$6)))-CL940)),0)</f>
        <v>5</v>
      </c>
      <c r="AN940" s="63" t="n">
        <f aca="false">IF(AJ940&gt;0,J940/AJ940,-1)</f>
        <v>1.1741935483871</v>
      </c>
      <c r="AO940" s="63" t="n">
        <f aca="false">IF(AND(OR(CG940="L1",CG940="L23",CG940="LIFT"),AJ940&gt;0),SUMIFS($AJ$7:$AJ$1843,$CG$7:$CG$1843,CG940,$AN$7:$AN$1843,"&gt;"&amp;AN940)+SUMIFS($AJ$7:$AJ$1843,$CG$7:$CG$1843,CG940,$AN$7:$AN$1843,AN940,$BX$7:$BX$1843,"&lt;="&amp;BX940),"")</f>
        <v>6703.51968864469</v>
      </c>
      <c r="AP940" s="70" t="n">
        <f aca="false">IF(AO940="",0,MAX(0,MIN(1,(IF(CG940="L1",Parameter!$H$5,IF(CG940="L23",Parameter!$H$6+Parameter!$H$7,Parameter!$H$5+Parameter!$H$6+Parameter!$H$7))-(AO940-AJ940))/AJ940)))</f>
        <v>1</v>
      </c>
      <c r="AQ940" s="62" t="n">
        <f aca="false">IF(LEFT(Cockpit!$I$5,1)="A",H940,IF(Parameter!$E$30="MAX-Bestand",IF(CI940=1,CJ940,IF(LEFT(Cockpit!$I$5,1)="B",AW940,MAX(AW940,H940))),ROUNDUP(AU940,0)))</f>
        <v>7</v>
      </c>
      <c r="AR940" s="62" t="n">
        <f aca="false">IF(CA940=1,0,ROUNDUP(AQ940/BZ940,0))</f>
        <v>1</v>
      </c>
      <c r="AS940" s="64" t="n">
        <f aca="false">IF(CR940&gt;0,CR940*MAX(1,AQ940/X940),IF(CA940=1,IF(AQ940&lt;=0,0,CE940*MAX(1,IF(H940&gt;0,AQ940/H940,1))),IF(R940&gt;0,AR940/R940,0))/MAX(0.1,N(Parameter!$M$21)))</f>
        <v>0.0384615384615385</v>
      </c>
      <c r="AT940" s="62" t="n">
        <f aca="false">AS940*CC940</f>
        <v>5.96153846153846</v>
      </c>
      <c r="AU940" s="63" t="n">
        <f aca="false">IF(LEFT(Cockpit!$I$5,1)="A",H940,IF(CI940=1,(CL940+CJ940)/2,IF(LEFT(Cockpit!$I$5,1)="B",(CL940+AW940)/2,MAX((CL940+AW940)/2,H940))))</f>
        <v>7</v>
      </c>
      <c r="AV940" s="62" t="n">
        <f aca="false">AU940*G940</f>
        <v>53.9</v>
      </c>
      <c r="AW940" s="62" t="n">
        <f aca="false">ROUNDUP(CL940+MAX(CM940,2*(J940/IF(CH940&gt;0,CH940,MAX(0.1,N(Cockpit!$I$6)))-CL940)),0)</f>
        <v>5</v>
      </c>
      <c r="AX940" s="63" t="n">
        <f aca="false">IF(AT940&gt;0,J940/AT940,-1)</f>
        <v>1.1741935483871</v>
      </c>
      <c r="AY940" s="63" t="n">
        <f aca="false">IF(AND(OR(CG940="L1",CG940="L23",CG940="LIFT"),AT940&gt;0),SUMIFS($AT$7:$AT$1843,$CG$7:$CG$1843,CG940,$AX$7:$AX$1843,"&gt;"&amp;AX940)+SUMIFS($AT$7:$AT$1843,$CG$7:$CG$1843,CG940,$AX$7:$AX$1843,AX940,$BX$7:$BX$1843,"&lt;="&amp;BX940),"")</f>
        <v>8149.0173992674</v>
      </c>
      <c r="AZ940" s="70" t="n">
        <f aca="false">IF(AY940="",0,MAX(0,MIN(1,(IF(CG940="L1",Parameter!$H$5,IF(CG940="L23",Parameter!$H$6+Parameter!$H$7,Parameter!$H$5+Parameter!$H$6+Parameter!$H$7))-(AY940-AT940))/AT940)))</f>
        <v>1</v>
      </c>
      <c r="BA940" s="62" t="n">
        <f aca="false">IF(LEFT(Cockpit!$O$5,1)="A",H940,IF(Parameter!$E$30="MAX-Bestand",IF(CI940=1,CJ940,IF(LEFT(Cockpit!$O$5,1)="B",BG940,MAX(BG940,H940))),ROUNDUP(BE940,0)))</f>
        <v>3</v>
      </c>
      <c r="BB940" s="62" t="n">
        <f aca="false">IF(CA940=1,0,ROUNDUP(BA940/BZ940,0))</f>
        <v>1</v>
      </c>
      <c r="BC940" s="64" t="n">
        <f aca="false">IF(CR940&gt;0,CR940*MAX(1,BA940/X940),IF(CA940=1,IF(BA940&lt;=0,0,CE940*MAX(1,IF(H940&gt;0,BA940/H940,1))),IF(R940&gt;0,BB940/R940,0))/MAX(0.1,N(Parameter!$M$21)))</f>
        <v>0.0384615384615385</v>
      </c>
      <c r="BD940" s="62" t="n">
        <f aca="false">BC940*CC940</f>
        <v>5.96153846153846</v>
      </c>
      <c r="BE940" s="63" t="n">
        <f aca="false">IF(LEFT(Cockpit!$O$5,1)="A",H940,IF(CI940=1,(CL940+CJ940)/2,IF(LEFT(Cockpit!$O$5,1)="B",(CL940+BG940)/2,MAX((CL940+BG940)/2,H940))))</f>
        <v>2.5</v>
      </c>
      <c r="BF940" s="62" t="n">
        <f aca="false">BE940*G940</f>
        <v>19.25</v>
      </c>
      <c r="BG940" s="62" t="n">
        <f aca="false">ROUNDUP(CL940+MAX(CM940,2*(J940/IF(CH940&gt;0,CH940,MAX(0.1,N(Cockpit!$O$6)))-CL940)),0)</f>
        <v>5</v>
      </c>
      <c r="BH940" s="63" t="n">
        <f aca="false">IF(BD940&gt;0,J940/BD940,-1)</f>
        <v>1.1741935483871</v>
      </c>
      <c r="BI940" s="63" t="n">
        <f aca="false">IF(AND(OR(CG940="L1",CG940="L23",CG940="LIFT"),BD940&gt;0),SUMIFS($BD$7:$BD$1843,$CG$7:$CG$1843,CG940,$BH$7:$BH$1843,"&gt;"&amp;BH940)+SUMIFS($BD$7:$BD$1843,$CG$7:$CG$1843,CG940,$BH$7:$BH$1843,BH940,$BX$7:$BX$1843,"&lt;="&amp;BX940),"")</f>
        <v>7200.30357142857</v>
      </c>
      <c r="BJ940" s="70" t="n">
        <f aca="false">IF(BI940="",0,MAX(0,MIN(1,(IF(CG940="L1",Parameter!$H$5,IF(CG940="L23",Parameter!$H$6+Parameter!$H$7,Parameter!$H$5+Parameter!$H$6+Parameter!$H$7))-(BI940-BD940))/BD940)))</f>
        <v>1</v>
      </c>
      <c r="BK940" s="60" t="str">
        <f aca="false">IF(AJ940&lt;=0,"",IF(CG940="Aussen","Aussenlager",IF(CG940="-","Nicht im Lift",IF(AP940&gt;=1,"Lift",IF(AP940&lt;=0,"Aussenlager","teilweise")))))</f>
        <v>Lift</v>
      </c>
      <c r="BL940" s="60" t="str">
        <f aca="false">IF(AT940&lt;=0,"",IF(CG940="Aussen","Aussenlager",IF(CG940="-","Nicht im Lift",IF(AZ940&gt;=1,"Lift",IF(AZ940&lt;=0,"Aussenlager","teilweise")))))</f>
        <v>Lift</v>
      </c>
      <c r="BM940" s="60" t="str">
        <f aca="false">IF(BD940&lt;=0,"",IF(CG940="Aussen","Aussenlager",IF(CG940="-","Nicht im Lift",IF(BJ940&gt;=1,"Lift",IF(BJ940&lt;=0,"Aussenlager","teilweise")))))</f>
        <v>Lift</v>
      </c>
      <c r="BN940" s="60" t="str">
        <f aca="false">IF(A940="","",IF(BW940=1,"Neu; ","")&amp;IF(AND(BW940=0,BR940&lt;0),"negativer Bestand (Export "&amp;BR940&amp;"); ","")&amp;IF(J940&lt;=0,"Kein Verbrauch; ","")&amp;IF(CR940&gt;0,"Lift "&amp;W940&amp;" lt. Liftbericht (Fach "&amp;X940&amp;" Stk); ",IF(CB940=1,"Gebinde geschätzt ("&amp;T940&amp;"); ",IF(CA940=1,"Lose – Tablare geschätzt; ","")))&amp;IF(H940&gt;AW940,"Überbestand "&amp;ROUND(H940-AW940,0)&amp;" Stk / CHF "&amp;ROUND((H940-AW940)*G940,0)&amp;"; ","")&amp;IF(AND(CI940=1,CJ940&lt;CK940),"MAX &lt; MB+LG; ","")&amp;IF(AND(CQ940&gt;0,CP940*10&gt;CQ940),"zu hoch für Tablar; ","")&amp;IF(AND(BW940=0,OR(CI940=1,AB940&lt;&gt;"",U940&lt;&gt;"",V940&lt;&gt;"",AC940&lt;&gt;"")),"manuell übersteuert; ","")&amp;IF(AND(CA940=0,R940=0),"Gebinde unbekannt / Stellmass fehlt; ","")&amp;IF(AND(CA940=0,N(V940)&lt;=0,N(Q940)&lt;=0),"Menge pro Gebinde fehlt (Ist = 1 Gebinde); ","")&amp;BV940)</f>
        <v>negativer Bestand (Export -7); Gebinde geschätzt (Klein); Überbestand 2 Stk / CHF 15; Menge pro Gebinde fehlt (Ist = 1 Gebinde); </v>
      </c>
      <c r="BO940" s="60"/>
      <c r="BP940" s="60"/>
      <c r="BQ940" s="67"/>
      <c r="BR940" s="62" t="n">
        <v>-7</v>
      </c>
      <c r="BS940" s="62" t="n">
        <v>14</v>
      </c>
      <c r="BT940" s="61" t="n">
        <v>-53.9</v>
      </c>
      <c r="BU940" s="62" t="n">
        <v>7</v>
      </c>
      <c r="BV940" s="60"/>
      <c r="BW940" s="65" t="n">
        <v>0</v>
      </c>
      <c r="BX940" s="65" t="n">
        <v>940</v>
      </c>
      <c r="BY940" s="60" t="str">
        <f aca="false">IF(U940&lt;&gt;"",UPPER(TRIM(U940)),IF(CB940=1,UPPER(VLOOKUP(T940,Parameter!$I$27:$K$29,2,0)),IF(P940="","LOSE",P940)))</f>
        <v>S51</v>
      </c>
      <c r="BZ940" s="62" t="n">
        <f aca="false">IF(BY940="LOSE",1,IF(N(V940)&gt;0,V940,IF(CB940=1,MAX(1,N(VLOOKUP(T940,Parameter!$I$27:$K$29,3,0)),H940,N(N940)),IF(N(Q940)&gt;0,Q940,MAX(1,H940)))))</f>
        <v>20</v>
      </c>
      <c r="CA940" s="65" t="n">
        <f aca="false">IF(BY940="LOSE",1,0)</f>
        <v>0</v>
      </c>
      <c r="CB940" s="65" t="n">
        <f aca="false">IF(AND(U940="",OR(P940="",P940="LOSE"),T940&lt;&gt;"",N(S940)&lt;=0,ISNUMBER(MATCH(T940,Parameter!$I$27:$I$29,0))),1,0)</f>
        <v>1</v>
      </c>
      <c r="CC940" s="65" t="n">
        <f aca="false">IF(CR940&gt;0,INDEX(Parameter!$H$5:$H$7,W940)/INDEX(Parameter!$E$5:$E$7,W940),IF(AND(CA940=0,N(IFERROR(VLOOKUP(BY940,'Gebinde-Kategorie'!$A$5:$N$45,14,0),0))&gt;0),VLOOKUP(BY940,'Gebinde-Kategorie'!$A$5:$N$45,14,0)*10+Parameter!$M$23,Parameter!$M$24))</f>
        <v>155</v>
      </c>
      <c r="CD940" s="60" t="str">
        <f aca="false">IF(AND(Parameter!$B$19="Ja",E940&lt;&gt;"",ISNUMBER(MATCH(E940,Parameter!$I$35:$I$52,0))),VLOOKUP(E940,Parameter!$I$35:$J$52,2,0),IFERROR(VLOOKUP(D940,Parameter!$A$35:$C$64,2,0),"Nein"))</f>
        <v>2+3</v>
      </c>
      <c r="CE940" s="64" t="n">
        <f aca="false">IF(CA940=0,0,IF(N(S940)&gt;0,S940,IFERROR(VLOOKUP(D940,Parameter!$A$35:$C$64,3,0)+0,0)))</f>
        <v>0</v>
      </c>
      <c r="CF940" s="60" t="n">
        <f aca="false">IF(AB940&lt;&gt;"",AB940,AA940)</f>
        <v>3</v>
      </c>
      <c r="CG940" s="60" t="str">
        <f aca="false">IF(OR(CF940=1,CF940=2,CF940=3),IF(Parameter!$E$27="Ja","LIFT",IF(CF940=1,"L1","L23")),IF(CF940="Aussen","Aussen","-"))</f>
        <v>LIFT</v>
      </c>
      <c r="CH940" s="71" t="n">
        <f aca="false">IF(N(AC940)&gt;0,AC940,0)</f>
        <v>0</v>
      </c>
      <c r="CI940" s="65" t="n">
        <f aca="false">IF(ISNUMBER(AF940),1,0)</f>
        <v>0</v>
      </c>
      <c r="CJ940" s="62" t="n">
        <f aca="false">N(AF940)</f>
        <v>0</v>
      </c>
      <c r="CK940" s="62" t="n">
        <f aca="false">N(M940)+N(N940)</f>
        <v>5</v>
      </c>
      <c r="CL940" s="62" t="n">
        <f aca="false">N(M940)</f>
        <v>0</v>
      </c>
      <c r="CM940" s="62" t="n">
        <f aca="false">N(N940)</f>
        <v>5</v>
      </c>
      <c r="CN940" s="62" t="n">
        <f aca="false">ROUNDUP(H940/BZ940,0)</f>
        <v>1</v>
      </c>
      <c r="CO940" s="62" t="n">
        <f aca="false">ROUNDUP(CJ940/BZ940,0)</f>
        <v>0</v>
      </c>
      <c r="CP940" s="65" t="n">
        <f aca="false">IF(CA940=1,0,IFERROR(VLOOKUP(BY940,'Gebinde-Kategorie'!$A$5:$N$45,5,0)+0,0))</f>
        <v>11</v>
      </c>
      <c r="CQ940" s="65" t="n">
        <f aca="false">IFERROR(IF(OR(CF940=1,CF940=2,CF940=3),N(INDEX(Parameter!$I$5:$I$7,CF940)),0),0)</f>
        <v>0</v>
      </c>
      <c r="CR940" s="64" t="n">
        <f aca="false">IF(AND(Parameter!$B$21="Ja",ISNUMBER(W940),N(X940)&gt;0),IFERROR(N(INDEX(Parameter!$L$5:$L$7,W940))*INDEX(Parameter!$E$5:$E$7,W940)*X940/SUMIFS($X$7:$X$1843,$W$7:$W$1843,W940),0),0)</f>
        <v>0</v>
      </c>
      <c r="CS940" s="62" t="n">
        <f aca="false">IF(AND(OR(CG940="L1",CG940="L23",CG940="LIFT"),H940&gt;0),CC940*IF(CR940&gt;0,CR940*MAX(1,H940/X940),IF(CA940=1,CE940,IF(R940&gt;0,CN940/R940,0))/MAX(0.1,N(Parameter!$M$21))),"")</f>
        <v>5.96153846153846</v>
      </c>
      <c r="CT940" s="64" t="n">
        <f aca="false">IF(CS940="","",J940/H940)</f>
        <v>1</v>
      </c>
      <c r="CU940" s="62" t="n">
        <f aca="false">IF(CS940="","",H940*G940)</f>
        <v>53.9</v>
      </c>
      <c r="CV940" s="63" t="n">
        <f aca="false">IF(CS940="","",(CL940+ROUNDUP(CL940+MAX(CM940,2*(J940/MAX(0.1,N(Einkauf!$C$6))-CL940)),0))/2)</f>
        <v>2.5</v>
      </c>
      <c r="CW940" s="62" t="n">
        <f aca="false">IF(CS940="","",MAX(0,H940-CV940)*G940)</f>
        <v>34.65</v>
      </c>
      <c r="CX940" s="62" t="n">
        <f aca="false">IF(CS940="","",CS940*MAX(0,1-CV940/H940))</f>
        <v>3.83241758241758</v>
      </c>
      <c r="CY940" s="64" t="n">
        <f aca="false">IF(CS940="","",PERCENTRANK($CS$7:$CS$1843,CS940)+PERCENTRANK($CU$7:$CU$1843,CU940)+1-PERCENTRANK($CT$7:$CT$1843,CT940))</f>
        <v>0.878</v>
      </c>
      <c r="CZ940" s="72" t="n">
        <f aca="false">IF(CS940="","",CHOOSE(MATCH(Einkauf!$C$5,Parameter!$G$23:$G$27,0),CY940,CS940,CU940,-CT940,CW940)+ROW()/1000000000)</f>
        <v>0.87800094</v>
      </c>
    </row>
    <row r="941" customFormat="false" ht="15" hidden="false" customHeight="false" outlineLevel="0" collapsed="false">
      <c r="A941" s="60" t="s">
        <v>1798</v>
      </c>
      <c r="B941" s="60" t="s">
        <v>447</v>
      </c>
      <c r="C941" s="60" t="s">
        <v>206</v>
      </c>
      <c r="D941" s="60" t="s">
        <v>226</v>
      </c>
      <c r="E941" s="60" t="s">
        <v>227</v>
      </c>
      <c r="F941" s="60" t="s">
        <v>260</v>
      </c>
      <c r="G941" s="61" t="n">
        <v>0.17</v>
      </c>
      <c r="H941" s="62" t="n">
        <f aca="false">MAX(0,IF(AND(Parameter!$B$21="Ja",ISNUMBER(Y941)),Y941,IF(Parameter!$B$20="Jahresanfang 2025 + Export",BS941+BR941,BR941)))</f>
        <v>179</v>
      </c>
      <c r="I941" s="62" t="n">
        <f aca="false">H941*G941</f>
        <v>30.43</v>
      </c>
      <c r="J941" s="62" t="n">
        <f aca="false">BU941*Parameter!$B$18</f>
        <v>1200</v>
      </c>
      <c r="K941" s="63" t="n">
        <v>458</v>
      </c>
      <c r="L941" s="64" t="n">
        <v>2.62008733624454</v>
      </c>
      <c r="M941" s="62" t="n">
        <v>70</v>
      </c>
      <c r="N941" s="62" t="n">
        <v>600</v>
      </c>
      <c r="O941" s="65" t="n">
        <v>21</v>
      </c>
      <c r="P941" s="60" t="s">
        <v>275</v>
      </c>
      <c r="Q941" s="62" t="n">
        <v>884</v>
      </c>
      <c r="R941" s="65" t="n">
        <f aca="false">IF(CA941=1,0,IFERROR(VLOOKUP(BY941,'Gebinde-Kategorie'!$A$5:$N$45,13,0)+0,0))</f>
        <v>26</v>
      </c>
      <c r="S941" s="66"/>
      <c r="T941" s="67"/>
      <c r="U941" s="67"/>
      <c r="V941" s="67"/>
      <c r="W941" s="60"/>
      <c r="X941" s="62"/>
      <c r="Y941" s="62"/>
      <c r="Z941" s="60" t="n">
        <v>3</v>
      </c>
      <c r="AA941" s="60" t="n">
        <f aca="false">IF(A941="","",IF(AND(Parameter!$B$21="Ja",ISNUMBER(W941)),W941,IF(AND(Parameter!$E$27="Ja",ISNUMBER(Z941),CD941&lt;&gt;"Nein"),Z941,IF(CD941="2+3",IF(ISNUMBER(SEARCH("grosser Artikel",BV941)),2,IFERROR(VLOOKUP(BY941,Parameter!$F$35:$G$64,2,0),2)),IF(OR(CD941="Nein",CD941=""),"-",CD941)))))</f>
        <v>3</v>
      </c>
      <c r="AB941" s="67"/>
      <c r="AC941" s="68"/>
      <c r="AD941" s="62" t="n">
        <f aca="false">AW941</f>
        <v>730</v>
      </c>
      <c r="AE941" s="62" t="n">
        <f aca="false">MAX(AW941,H941)</f>
        <v>730</v>
      </c>
      <c r="AF941" s="69"/>
      <c r="AG941" s="62" t="n">
        <f aca="false">IF(LEFT(Cockpit!$C$5,1)="A",H941,IF(Parameter!$E$30="MAX-Bestand",IF(CI941=1,CJ941,IF(LEFT(Cockpit!$C$5,1)="B",AM941,MAX(AM941,H941))),ROUNDUP(AK941,0)))</f>
        <v>179</v>
      </c>
      <c r="AH941" s="62" t="n">
        <f aca="false">IF(CA941=1,0,ROUNDUP(AG941/BZ941,0))</f>
        <v>1</v>
      </c>
      <c r="AI941" s="64" t="n">
        <f aca="false">IF(CR941&gt;0,CR941*MAX(1,AG941/X941),IF(CA941=1,IF(AG941&lt;=0,0,CE941*MAX(1,IF(H941&gt;0,AG941/H941,1))),IF(R941&gt;0,AH941/R941,0))/MAX(0.1,N(Parameter!$M$21)))</f>
        <v>0.0384615384615385</v>
      </c>
      <c r="AJ941" s="62" t="n">
        <f aca="false">AI941*CC941</f>
        <v>9.42307692307692</v>
      </c>
      <c r="AK941" s="63" t="n">
        <f aca="false">IF(LEFT(Cockpit!$C$5,1)="A",H941,IF(CI941=1,(CL941+CJ941)/2,IF(LEFT(Cockpit!$C$5,1)="B",(CL941+AM941)/2,MAX((CL941+AM941)/2,H941))))</f>
        <v>179</v>
      </c>
      <c r="AL941" s="62" t="n">
        <f aca="false">AK941*G941</f>
        <v>30.43</v>
      </c>
      <c r="AM941" s="62" t="n">
        <f aca="false">ROUNDUP(CL941+MAX(CM941,2*(J941/IF(CH941&gt;0,CH941,MAX(0.1,N(Cockpit!$C$6)))-CL941)),0)</f>
        <v>730</v>
      </c>
      <c r="AN941" s="63" t="n">
        <f aca="false">IF(AJ941&gt;0,J941/AJ941,-1)</f>
        <v>127.34693877551</v>
      </c>
      <c r="AO941" s="63" t="n">
        <f aca="false">IF(AND(OR(CG941="L1",CG941="L23",CG941="LIFT"),AJ941&gt;0),SUMIFS($AJ$7:$AJ$1843,$CG$7:$CG$1843,CG941,$AN$7:$AN$1843,"&gt;"&amp;AN941)+SUMIFS($AJ$7:$AJ$1843,$CG$7:$CG$1843,CG941,$AN$7:$AN$1843,AN941,$BX$7:$BX$1843,"&lt;="&amp;BX941),"")</f>
        <v>650.43315018315</v>
      </c>
      <c r="AP941" s="70" t="n">
        <f aca="false">IF(AO941="",0,MAX(0,MIN(1,(IF(CG941="L1",Parameter!$H$5,IF(CG941="L23",Parameter!$H$6+Parameter!$H$7,Parameter!$H$5+Parameter!$H$6+Parameter!$H$7))-(AO941-AJ941))/AJ941)))</f>
        <v>1</v>
      </c>
      <c r="AQ941" s="62" t="n">
        <f aca="false">IF(LEFT(Cockpit!$I$5,1)="A",H941,IF(Parameter!$E$30="MAX-Bestand",IF(CI941=1,CJ941,IF(LEFT(Cockpit!$I$5,1)="B",AW941,MAX(AW941,H941))),ROUNDUP(AU941,0)))</f>
        <v>400</v>
      </c>
      <c r="AR941" s="62" t="n">
        <f aca="false">IF(CA941=1,0,ROUNDUP(AQ941/BZ941,0))</f>
        <v>1</v>
      </c>
      <c r="AS941" s="64" t="n">
        <f aca="false">IF(CR941&gt;0,CR941*MAX(1,AQ941/X941),IF(CA941=1,IF(AQ941&lt;=0,0,CE941*MAX(1,IF(H941&gt;0,AQ941/H941,1))),IF(R941&gt;0,AR941/R941,0))/MAX(0.1,N(Parameter!$M$21)))</f>
        <v>0.0384615384615385</v>
      </c>
      <c r="AT941" s="62" t="n">
        <f aca="false">AS941*CC941</f>
        <v>9.42307692307692</v>
      </c>
      <c r="AU941" s="63" t="n">
        <f aca="false">IF(LEFT(Cockpit!$I$5,1)="A",H941,IF(CI941=1,(CL941+CJ941)/2,IF(LEFT(Cockpit!$I$5,1)="B",(CL941+AW941)/2,MAX((CL941+AW941)/2,H941))))</f>
        <v>400</v>
      </c>
      <c r="AV941" s="62" t="n">
        <f aca="false">AU941*G941</f>
        <v>68</v>
      </c>
      <c r="AW941" s="62" t="n">
        <f aca="false">ROUNDUP(CL941+MAX(CM941,2*(J941/IF(CH941&gt;0,CH941,MAX(0.1,N(Cockpit!$I$6)))-CL941)),0)</f>
        <v>730</v>
      </c>
      <c r="AX941" s="63" t="n">
        <f aca="false">IF(AT941&gt;0,J941/AT941,-1)</f>
        <v>127.34693877551</v>
      </c>
      <c r="AY941" s="63" t="n">
        <f aca="false">IF(AND(OR(CG941="L1",CG941="L23",CG941="LIFT"),AT941&gt;0),SUMIFS($AT$7:$AT$1843,$CG$7:$CG$1843,CG941,$AX$7:$AX$1843,"&gt;"&amp;AX941)+SUMIFS($AT$7:$AT$1843,$CG$7:$CG$1843,CG941,$AX$7:$AX$1843,AX941,$BX$7:$BX$1843,"&lt;="&amp;BX941),"")</f>
        <v>762.108516483517</v>
      </c>
      <c r="AZ941" s="70" t="n">
        <f aca="false">IF(AY941="",0,MAX(0,MIN(1,(IF(CG941="L1",Parameter!$H$5,IF(CG941="L23",Parameter!$H$6+Parameter!$H$7,Parameter!$H$5+Parameter!$H$6+Parameter!$H$7))-(AY941-AT941))/AT941)))</f>
        <v>1</v>
      </c>
      <c r="BA941" s="62" t="n">
        <f aca="false">IF(LEFT(Cockpit!$O$5,1)="A",H941,IF(Parameter!$E$30="MAX-Bestand",IF(CI941=1,CJ941,IF(LEFT(Cockpit!$O$5,1)="B",BG941,MAX(BG941,H941))),ROUNDUP(BE941,0)))</f>
        <v>370</v>
      </c>
      <c r="BB941" s="62" t="n">
        <f aca="false">IF(CA941=1,0,ROUNDUP(BA941/BZ941,0))</f>
        <v>1</v>
      </c>
      <c r="BC941" s="64" t="n">
        <f aca="false">IF(CR941&gt;0,CR941*MAX(1,BA941/X941),IF(CA941=1,IF(BA941&lt;=0,0,CE941*MAX(1,IF(H941&gt;0,BA941/H941,1))),IF(R941&gt;0,BB941/R941,0))/MAX(0.1,N(Parameter!$M$21)))</f>
        <v>0.0384615384615385</v>
      </c>
      <c r="BD941" s="62" t="n">
        <f aca="false">BC941*CC941</f>
        <v>9.42307692307692</v>
      </c>
      <c r="BE941" s="63" t="n">
        <f aca="false">IF(LEFT(Cockpit!$O$5,1)="A",H941,IF(CI941=1,(CL941+CJ941)/2,IF(LEFT(Cockpit!$O$5,1)="B",(CL941+BG941)/2,MAX((CL941+BG941)/2,H941))))</f>
        <v>370</v>
      </c>
      <c r="BF941" s="62" t="n">
        <f aca="false">BE941*G941</f>
        <v>62.9</v>
      </c>
      <c r="BG941" s="62" t="n">
        <f aca="false">ROUNDUP(CL941+MAX(CM941,2*(J941/IF(CH941&gt;0,CH941,MAX(0.1,N(Cockpit!$O$6)))-CL941)),0)</f>
        <v>670</v>
      </c>
      <c r="BH941" s="63" t="n">
        <f aca="false">IF(BD941&gt;0,J941/BD941,-1)</f>
        <v>127.34693877551</v>
      </c>
      <c r="BI941" s="63" t="n">
        <f aca="false">IF(AND(OR(CG941="L1",CG941="L23",CG941="LIFT"),BD941&gt;0),SUMIFS($BD$7:$BD$1843,$CG$7:$CG$1843,CG941,$BH$7:$BH$1843,"&gt;"&amp;BH941)+SUMIFS($BD$7:$BD$1843,$CG$7:$CG$1843,CG941,$BH$7:$BH$1843,BH941,$BX$7:$BX$1843,"&lt;="&amp;BX941),"")</f>
        <v>782.037087912088</v>
      </c>
      <c r="BJ941" s="70" t="n">
        <f aca="false">IF(BI941="",0,MAX(0,MIN(1,(IF(CG941="L1",Parameter!$H$5,IF(CG941="L23",Parameter!$H$6+Parameter!$H$7,Parameter!$H$5+Parameter!$H$6+Parameter!$H$7))-(BI941-BD941))/BD941)))</f>
        <v>1</v>
      </c>
      <c r="BK941" s="60" t="str">
        <f aca="false">IF(AJ941&lt;=0,"",IF(CG941="Aussen","Aussenlager",IF(CG941="-","Nicht im Lift",IF(AP941&gt;=1,"Lift",IF(AP941&lt;=0,"Aussenlager","teilweise")))))</f>
        <v>Lift</v>
      </c>
      <c r="BL941" s="60" t="str">
        <f aca="false">IF(AT941&lt;=0,"",IF(CG941="Aussen","Aussenlager",IF(CG941="-","Nicht im Lift",IF(AZ941&gt;=1,"Lift",IF(AZ941&lt;=0,"Aussenlager","teilweise")))))</f>
        <v>Lift</v>
      </c>
      <c r="BM941" s="60" t="str">
        <f aca="false">IF(BD941&lt;=0,"",IF(CG941="Aussen","Aussenlager",IF(CG941="-","Nicht im Lift",IF(BJ941&gt;=1,"Lift",IF(BJ941&lt;=0,"Aussenlager","teilweise")))))</f>
        <v>Lift</v>
      </c>
      <c r="BN941" s="60" t="str">
        <f aca="false">IF(A941="","",IF(BW941=1,"Neu; ","")&amp;IF(AND(BW941=0,BR941&lt;0),"negativer Bestand (Export "&amp;BR941&amp;"); ","")&amp;IF(J941&lt;=0,"Kein Verbrauch; ","")&amp;IF(CR941&gt;0,"Lift "&amp;W941&amp;" lt. Liftbericht (Fach "&amp;X941&amp;" Stk); ",IF(CB941=1,"Gebinde geschätzt ("&amp;T941&amp;"); ",IF(CA941=1,"Lose – Tablare geschätzt; ","")))&amp;IF(H941&gt;AW941,"Überbestand "&amp;ROUND(H941-AW941,0)&amp;" Stk / CHF "&amp;ROUND((H941-AW941)*G941,0)&amp;"; ","")&amp;IF(AND(CI941=1,CJ941&lt;CK941),"MAX &lt; MB+LG; ","")&amp;IF(AND(CQ941&gt;0,CP941*10&gt;CQ941),"zu hoch für Tablar; ","")&amp;IF(AND(BW941=0,OR(CI941=1,AB941&lt;&gt;"",U941&lt;&gt;"",V941&lt;&gt;"",AC941&lt;&gt;"")),"manuell übersteuert; ","")&amp;IF(AND(CA941=0,R941=0),"Gebinde unbekannt / Stellmass fehlt; ","")&amp;IF(AND(CA941=0,N(V941)&lt;=0,N(Q941)&lt;=0),"Menge pro Gebinde fehlt (Ist = 1 Gebinde); ","")&amp;BV941)</f>
        <v>negativer Bestand (Export -292); </v>
      </c>
      <c r="BO941" s="60"/>
      <c r="BP941" s="60"/>
      <c r="BQ941" s="67"/>
      <c r="BR941" s="62" t="n">
        <v>-292</v>
      </c>
      <c r="BS941" s="62" t="n">
        <v>471</v>
      </c>
      <c r="BT941" s="61" t="n">
        <v>-54.29</v>
      </c>
      <c r="BU941" s="62" t="n">
        <v>1200</v>
      </c>
      <c r="BV941" s="60"/>
      <c r="BW941" s="65" t="n">
        <v>0</v>
      </c>
      <c r="BX941" s="65" t="n">
        <v>941</v>
      </c>
      <c r="BY941" s="60" t="str">
        <f aca="false">IF(U941&lt;&gt;"",UPPER(TRIM(U941)),IF(CB941=1,UPPER(VLOOKUP(T941,Parameter!$I$27:$K$29,2,0)),IF(P941="","LOSE",P941)))</f>
        <v>S52</v>
      </c>
      <c r="BZ941" s="62" t="n">
        <f aca="false">IF(BY941="LOSE",1,IF(N(V941)&gt;0,V941,IF(CB941=1,MAX(1,N(VLOOKUP(T941,Parameter!$I$27:$K$29,3,0)),H941,N(N941)),IF(N(Q941)&gt;0,Q941,MAX(1,H941)))))</f>
        <v>884</v>
      </c>
      <c r="CA941" s="65" t="n">
        <f aca="false">IF(BY941="LOSE",1,0)</f>
        <v>0</v>
      </c>
      <c r="CB941" s="65" t="n">
        <f aca="false">IF(AND(U941="",OR(P941="",P941="LOSE"),T941&lt;&gt;"",N(S941)&lt;=0,ISNUMBER(MATCH(T941,Parameter!$I$27:$I$29,0))),1,0)</f>
        <v>0</v>
      </c>
      <c r="CC941" s="65" t="n">
        <f aca="false">IF(CR941&gt;0,INDEX(Parameter!$H$5:$H$7,W941)/INDEX(Parameter!$E$5:$E$7,W941),IF(AND(CA941=0,N(IFERROR(VLOOKUP(BY941,'Gebinde-Kategorie'!$A$5:$N$45,14,0),0))&gt;0),VLOOKUP(BY941,'Gebinde-Kategorie'!$A$5:$N$45,14,0)*10+Parameter!$M$23,Parameter!$M$24))</f>
        <v>245</v>
      </c>
      <c r="CD941" s="60" t="str">
        <f aca="false">IF(AND(Parameter!$B$19="Ja",E941&lt;&gt;"",ISNUMBER(MATCH(E941,Parameter!$I$35:$I$52,0))),VLOOKUP(E941,Parameter!$I$35:$J$52,2,0),IFERROR(VLOOKUP(D941,Parameter!$A$35:$C$64,2,0),"Nein"))</f>
        <v>2+3</v>
      </c>
      <c r="CE941" s="64" t="n">
        <f aca="false">IF(CA941=0,0,IF(N(S941)&gt;0,S941,IFERROR(VLOOKUP(D941,Parameter!$A$35:$C$64,3,0)+0,0)))</f>
        <v>0</v>
      </c>
      <c r="CF941" s="60" t="n">
        <f aca="false">IF(AB941&lt;&gt;"",AB941,AA941)</f>
        <v>3</v>
      </c>
      <c r="CG941" s="60" t="str">
        <f aca="false">IF(OR(CF941=1,CF941=2,CF941=3),IF(Parameter!$E$27="Ja","LIFT",IF(CF941=1,"L1","L23")),IF(CF941="Aussen","Aussen","-"))</f>
        <v>LIFT</v>
      </c>
      <c r="CH941" s="71" t="n">
        <f aca="false">IF(N(AC941)&gt;0,AC941,0)</f>
        <v>0</v>
      </c>
      <c r="CI941" s="65" t="n">
        <f aca="false">IF(ISNUMBER(AF941),1,0)</f>
        <v>0</v>
      </c>
      <c r="CJ941" s="62" t="n">
        <f aca="false">N(AF941)</f>
        <v>0</v>
      </c>
      <c r="CK941" s="62" t="n">
        <f aca="false">N(M941)+N(N941)</f>
        <v>670</v>
      </c>
      <c r="CL941" s="62" t="n">
        <f aca="false">N(M941)</f>
        <v>70</v>
      </c>
      <c r="CM941" s="62" t="n">
        <f aca="false">N(N941)</f>
        <v>600</v>
      </c>
      <c r="CN941" s="62" t="n">
        <f aca="false">ROUNDUP(H941/BZ941,0)</f>
        <v>1</v>
      </c>
      <c r="CO941" s="62" t="n">
        <f aca="false">ROUNDUP(CJ941/BZ941,0)</f>
        <v>0</v>
      </c>
      <c r="CP941" s="65" t="n">
        <f aca="false">IF(CA941=1,0,IFERROR(VLOOKUP(BY941,'Gebinde-Kategorie'!$A$5:$N$45,5,0)+0,0))</f>
        <v>21</v>
      </c>
      <c r="CQ941" s="65" t="n">
        <f aca="false">IFERROR(IF(OR(CF941=1,CF941=2,CF941=3),N(INDEX(Parameter!$I$5:$I$7,CF941)),0),0)</f>
        <v>0</v>
      </c>
      <c r="CR941" s="64" t="n">
        <f aca="false">IF(AND(Parameter!$B$21="Ja",ISNUMBER(W941),N(X941)&gt;0),IFERROR(N(INDEX(Parameter!$L$5:$L$7,W941))*INDEX(Parameter!$E$5:$E$7,W941)*X941/SUMIFS($X$7:$X$1843,$W$7:$W$1843,W941),0),0)</f>
        <v>0</v>
      </c>
      <c r="CS941" s="62" t="n">
        <f aca="false">IF(AND(OR(CG941="L1",CG941="L23",CG941="LIFT"),H941&gt;0),CC941*IF(CR941&gt;0,CR941*MAX(1,H941/X941),IF(CA941=1,CE941,IF(R941&gt;0,CN941/R941,0))/MAX(0.1,N(Parameter!$M$21))),"")</f>
        <v>9.42307692307692</v>
      </c>
      <c r="CT941" s="64" t="n">
        <f aca="false">IF(CS941="","",J941/H941)</f>
        <v>6.70391061452514</v>
      </c>
      <c r="CU941" s="62" t="n">
        <f aca="false">IF(CS941="","",H941*G941)</f>
        <v>30.43</v>
      </c>
      <c r="CV941" s="63" t="n">
        <f aca="false">IF(CS941="","",(CL941+ROUNDUP(CL941+MAX(CM941,2*(J941/MAX(0.1,N(Einkauf!$C$6))-CL941)),0))/2)</f>
        <v>370</v>
      </c>
      <c r="CW941" s="62" t="n">
        <f aca="false">IF(CS941="","",MAX(0,H941-CV941)*G941)</f>
        <v>0</v>
      </c>
      <c r="CX941" s="62" t="n">
        <f aca="false">IF(CS941="","",CS941*MAX(0,1-CV941/H941))</f>
        <v>0</v>
      </c>
      <c r="CY941" s="64" t="n">
        <f aca="false">IF(CS941="","",PERCENTRANK($CS$7:$CS$1843,CS941)+PERCENTRANK($CU$7:$CU$1843,CU941)+1-PERCENTRANK($CT$7:$CT$1843,CT941))</f>
        <v>0.714</v>
      </c>
      <c r="CZ941" s="72" t="n">
        <f aca="false">IF(CS941="","",CHOOSE(MATCH(Einkauf!$C$5,Parameter!$G$23:$G$27,0),CY941,CS941,CU941,-CT941,CW941)+ROW()/1000000000)</f>
        <v>0.714000941</v>
      </c>
    </row>
    <row r="942" customFormat="false" ht="15" hidden="false" customHeight="false" outlineLevel="0" collapsed="false">
      <c r="A942" s="60" t="s">
        <v>1799</v>
      </c>
      <c r="B942" s="60" t="s">
        <v>1207</v>
      </c>
      <c r="C942" s="60" t="s">
        <v>206</v>
      </c>
      <c r="D942" s="60" t="s">
        <v>226</v>
      </c>
      <c r="E942" s="60" t="s">
        <v>227</v>
      </c>
      <c r="F942" s="60" t="s">
        <v>260</v>
      </c>
      <c r="G942" s="61" t="n">
        <v>18.23</v>
      </c>
      <c r="H942" s="62" t="n">
        <f aca="false">MAX(0,IF(AND(Parameter!$B$21="Ja",ISNUMBER(Y942)),Y942,IF(Parameter!$B$20="Jahresanfang 2025 + Export",BS942+BR942,BR942)))</f>
        <v>4</v>
      </c>
      <c r="I942" s="62" t="n">
        <f aca="false">H942*G942</f>
        <v>72.92</v>
      </c>
      <c r="J942" s="62" t="n">
        <f aca="false">BU942*Parameter!$B$18</f>
        <v>8</v>
      </c>
      <c r="K942" s="63" t="n">
        <v>3.5</v>
      </c>
      <c r="L942" s="64" t="n">
        <v>2.28571428571429</v>
      </c>
      <c r="M942" s="62" t="n">
        <v>0</v>
      </c>
      <c r="N942" s="62" t="n">
        <v>10</v>
      </c>
      <c r="O942" s="65" t="n">
        <v>18</v>
      </c>
      <c r="P942" s="60" t="s">
        <v>518</v>
      </c>
      <c r="Q942" s="62" t="n">
        <v>16</v>
      </c>
      <c r="R942" s="65" t="n">
        <f aca="false">IF(CA942=1,0,IFERROR(VLOOKUP(BY942,'Gebinde-Kategorie'!$A$5:$N$45,13,0)+0,0))</f>
        <v>52</v>
      </c>
      <c r="S942" s="66"/>
      <c r="T942" s="67"/>
      <c r="U942" s="67"/>
      <c r="V942" s="67"/>
      <c r="W942" s="60"/>
      <c r="X942" s="62"/>
      <c r="Y942" s="62"/>
      <c r="Z942" s="60" t="n">
        <v>2</v>
      </c>
      <c r="AA942" s="60" t="n">
        <f aca="false">IF(A942="","",IF(AND(Parameter!$B$21="Ja",ISNUMBER(W942)),W942,IF(AND(Parameter!$E$27="Ja",ISNUMBER(Z942),CD942&lt;&gt;"Nein"),Z942,IF(CD942="2+3",IF(ISNUMBER(SEARCH("grosser Artikel",BV942)),2,IFERROR(VLOOKUP(BY942,Parameter!$F$35:$G$64,2,0),2)),IF(OR(CD942="Nein",CD942=""),"-",CD942)))))</f>
        <v>2</v>
      </c>
      <c r="AB942" s="67"/>
      <c r="AC942" s="68"/>
      <c r="AD942" s="62" t="n">
        <f aca="false">AW942</f>
        <v>10</v>
      </c>
      <c r="AE942" s="62" t="n">
        <f aca="false">MAX(AW942,H942)</f>
        <v>10</v>
      </c>
      <c r="AF942" s="69"/>
      <c r="AG942" s="62" t="n">
        <f aca="false">IF(LEFT(Cockpit!$C$5,1)="A",H942,IF(Parameter!$E$30="MAX-Bestand",IF(CI942=1,CJ942,IF(LEFT(Cockpit!$C$5,1)="B",AM942,MAX(AM942,H942))),ROUNDUP(AK942,0)))</f>
        <v>4</v>
      </c>
      <c r="AH942" s="62" t="n">
        <f aca="false">IF(CA942=1,0,ROUNDUP(AG942/BZ942,0))</f>
        <v>1</v>
      </c>
      <c r="AI942" s="64" t="n">
        <f aca="false">IF(CR942&gt;0,CR942*MAX(1,AG942/X942),IF(CA942=1,IF(AG942&lt;=0,0,CE942*MAX(1,IF(H942&gt;0,AG942/H942,1))),IF(R942&gt;0,AH942/R942,0))/MAX(0.1,N(Parameter!$M$21)))</f>
        <v>0.0192307692307692</v>
      </c>
      <c r="AJ942" s="62" t="n">
        <f aca="false">AI942*CC942</f>
        <v>2.98076923076923</v>
      </c>
      <c r="AK942" s="63" t="n">
        <f aca="false">IF(LEFT(Cockpit!$C$5,1)="A",H942,IF(CI942=1,(CL942+CJ942)/2,IF(LEFT(Cockpit!$C$5,1)="B",(CL942+AM942)/2,MAX((CL942+AM942)/2,H942))))</f>
        <v>4</v>
      </c>
      <c r="AL942" s="62" t="n">
        <f aca="false">AK942*G942</f>
        <v>72.92</v>
      </c>
      <c r="AM942" s="62" t="n">
        <f aca="false">ROUNDUP(CL942+MAX(CM942,2*(J942/IF(CH942&gt;0,CH942,MAX(0.1,N(Cockpit!$C$6)))-CL942)),0)</f>
        <v>10</v>
      </c>
      <c r="AN942" s="63" t="n">
        <f aca="false">IF(AJ942&gt;0,J942/AJ942,-1)</f>
        <v>2.68387096774194</v>
      </c>
      <c r="AO942" s="63" t="n">
        <f aca="false">IF(AND(OR(CG942="L1",CG942="L23",CG942="LIFT"),AJ942&gt;0),SUMIFS($AJ$7:$AJ$1843,$CG$7:$CG$1843,CG942,$AN$7:$AN$1843,"&gt;"&amp;AN942)+SUMIFS($AJ$7:$AJ$1843,$CG$7:$CG$1843,CG942,$AN$7:$AN$1843,AN942,$BX$7:$BX$1843,"&lt;="&amp;BX942),"")</f>
        <v>5335.38095238095</v>
      </c>
      <c r="AP942" s="70" t="n">
        <f aca="false">IF(AO942="",0,MAX(0,MIN(1,(IF(CG942="L1",Parameter!$H$5,IF(CG942="L23",Parameter!$H$6+Parameter!$H$7,Parameter!$H$5+Parameter!$H$6+Parameter!$H$7))-(AO942-AJ942))/AJ942)))</f>
        <v>1</v>
      </c>
      <c r="AQ942" s="62" t="n">
        <f aca="false">IF(LEFT(Cockpit!$I$5,1)="A",H942,IF(Parameter!$E$30="MAX-Bestand",IF(CI942=1,CJ942,IF(LEFT(Cockpit!$I$5,1)="B",AW942,MAX(AW942,H942))),ROUNDUP(AU942,0)))</f>
        <v>5</v>
      </c>
      <c r="AR942" s="62" t="n">
        <f aca="false">IF(CA942=1,0,ROUNDUP(AQ942/BZ942,0))</f>
        <v>1</v>
      </c>
      <c r="AS942" s="64" t="n">
        <f aca="false">IF(CR942&gt;0,CR942*MAX(1,AQ942/X942),IF(CA942=1,IF(AQ942&lt;=0,0,CE942*MAX(1,IF(H942&gt;0,AQ942/H942,1))),IF(R942&gt;0,AR942/R942,0))/MAX(0.1,N(Parameter!$M$21)))</f>
        <v>0.0192307692307692</v>
      </c>
      <c r="AT942" s="62" t="n">
        <f aca="false">AS942*CC942</f>
        <v>2.98076923076923</v>
      </c>
      <c r="AU942" s="63" t="n">
        <f aca="false">IF(LEFT(Cockpit!$I$5,1)="A",H942,IF(CI942=1,(CL942+CJ942)/2,IF(LEFT(Cockpit!$I$5,1)="B",(CL942+AW942)/2,MAX((CL942+AW942)/2,H942))))</f>
        <v>5</v>
      </c>
      <c r="AV942" s="62" t="n">
        <f aca="false">AU942*G942</f>
        <v>91.15</v>
      </c>
      <c r="AW942" s="62" t="n">
        <f aca="false">ROUNDUP(CL942+MAX(CM942,2*(J942/IF(CH942&gt;0,CH942,MAX(0.1,N(Cockpit!$I$6)))-CL942)),0)</f>
        <v>10</v>
      </c>
      <c r="AX942" s="63" t="n">
        <f aca="false">IF(AT942&gt;0,J942/AT942,-1)</f>
        <v>2.68387096774194</v>
      </c>
      <c r="AY942" s="63" t="n">
        <f aca="false">IF(AND(OR(CG942="L1",CG942="L23",CG942="LIFT"),AT942&gt;0),SUMIFS($AT$7:$AT$1843,$CG$7:$CG$1843,CG942,$AX$7:$AX$1843,"&gt;"&amp;AX942)+SUMIFS($AT$7:$AT$1843,$CG$7:$CG$1843,CG942,$AX$7:$AX$1843,AX942,$BX$7:$BX$1843,"&lt;="&amp;BX942),"")</f>
        <v>6169.85897435897</v>
      </c>
      <c r="AZ942" s="70" t="n">
        <f aca="false">IF(AY942="",0,MAX(0,MIN(1,(IF(CG942="L1",Parameter!$H$5,IF(CG942="L23",Parameter!$H$6+Parameter!$H$7,Parameter!$H$5+Parameter!$H$6+Parameter!$H$7))-(AY942-AT942))/AT942)))</f>
        <v>1</v>
      </c>
      <c r="BA942" s="62" t="n">
        <f aca="false">IF(LEFT(Cockpit!$O$5,1)="A",H942,IF(Parameter!$E$30="MAX-Bestand",IF(CI942=1,CJ942,IF(LEFT(Cockpit!$O$5,1)="B",BG942,MAX(BG942,H942))),ROUNDUP(BE942,0)))</f>
        <v>5</v>
      </c>
      <c r="BB942" s="62" t="n">
        <f aca="false">IF(CA942=1,0,ROUNDUP(BA942/BZ942,0))</f>
        <v>1</v>
      </c>
      <c r="BC942" s="64" t="n">
        <f aca="false">IF(CR942&gt;0,CR942*MAX(1,BA942/X942),IF(CA942=1,IF(BA942&lt;=0,0,CE942*MAX(1,IF(H942&gt;0,BA942/H942,1))),IF(R942&gt;0,BB942/R942,0))/MAX(0.1,N(Parameter!$M$21)))</f>
        <v>0.0192307692307692</v>
      </c>
      <c r="BD942" s="62" t="n">
        <f aca="false">BC942*CC942</f>
        <v>2.98076923076923</v>
      </c>
      <c r="BE942" s="63" t="n">
        <f aca="false">IF(LEFT(Cockpit!$O$5,1)="A",H942,IF(CI942=1,(CL942+CJ942)/2,IF(LEFT(Cockpit!$O$5,1)="B",(CL942+BG942)/2,MAX((CL942+BG942)/2,H942))))</f>
        <v>5</v>
      </c>
      <c r="BF942" s="62" t="n">
        <f aca="false">BE942*G942</f>
        <v>91.15</v>
      </c>
      <c r="BG942" s="62" t="n">
        <f aca="false">ROUNDUP(CL942+MAX(CM942,2*(J942/IF(CH942&gt;0,CH942,MAX(0.1,N(Cockpit!$O$6)))-CL942)),0)</f>
        <v>10</v>
      </c>
      <c r="BH942" s="63" t="n">
        <f aca="false">IF(BD942&gt;0,J942/BD942,-1)</f>
        <v>2.68387096774194</v>
      </c>
      <c r="BI942" s="63" t="n">
        <f aca="false">IF(AND(OR(CG942="L1",CG942="L23",CG942="LIFT"),BD942&gt;0),SUMIFS($BD$7:$BD$1843,$CG$7:$CG$1843,CG942,$BH$7:$BH$1843,"&gt;"&amp;BH942)+SUMIFS($BD$7:$BD$1843,$CG$7:$CG$1843,CG942,$BH$7:$BH$1843,BH942,$BX$7:$BX$1843,"&lt;="&amp;BX942),"")</f>
        <v>5347.91346153846</v>
      </c>
      <c r="BJ942" s="70" t="n">
        <f aca="false">IF(BI942="",0,MAX(0,MIN(1,(IF(CG942="L1",Parameter!$H$5,IF(CG942="L23",Parameter!$H$6+Parameter!$H$7,Parameter!$H$5+Parameter!$H$6+Parameter!$H$7))-(BI942-BD942))/BD942)))</f>
        <v>1</v>
      </c>
      <c r="BK942" s="60" t="str">
        <f aca="false">IF(AJ942&lt;=0,"",IF(CG942="Aussen","Aussenlager",IF(CG942="-","Nicht im Lift",IF(AP942&gt;=1,"Lift",IF(AP942&lt;=0,"Aussenlager","teilweise")))))</f>
        <v>Lift</v>
      </c>
      <c r="BL942" s="60" t="str">
        <f aca="false">IF(AT942&lt;=0,"",IF(CG942="Aussen","Aussenlager",IF(CG942="-","Nicht im Lift",IF(AZ942&gt;=1,"Lift",IF(AZ942&lt;=0,"Aussenlager","teilweise")))))</f>
        <v>Lift</v>
      </c>
      <c r="BM942" s="60" t="str">
        <f aca="false">IF(BD942&lt;=0,"",IF(CG942="Aussen","Aussenlager",IF(CG942="-","Nicht im Lift",IF(BJ942&gt;=1,"Lift",IF(BJ942&lt;=0,"Aussenlager","teilweise")))))</f>
        <v>Lift</v>
      </c>
      <c r="BN942" s="60" t="str">
        <f aca="false">IF(A942="","",IF(BW942=1,"Neu; ","")&amp;IF(AND(BW942=0,BR942&lt;0),"negativer Bestand (Export "&amp;BR942&amp;"); ","")&amp;IF(J942&lt;=0,"Kein Verbrauch; ","")&amp;IF(CR942&gt;0,"Lift "&amp;W942&amp;" lt. Liftbericht (Fach "&amp;X942&amp;" Stk); ",IF(CB942=1,"Gebinde geschätzt ("&amp;T942&amp;"); ",IF(CA942=1,"Lose – Tablare geschätzt; ","")))&amp;IF(H942&gt;AW942,"Überbestand "&amp;ROUND(H942-AW942,0)&amp;" Stk / CHF "&amp;ROUND((H942-AW942)*G942,0)&amp;"; ","")&amp;IF(AND(CI942=1,CJ942&lt;CK942),"MAX &lt; MB+LG; ","")&amp;IF(AND(CQ942&gt;0,CP942*10&gt;CQ942),"zu hoch für Tablar; ","")&amp;IF(AND(BW942=0,OR(CI942=1,AB942&lt;&gt;"",U942&lt;&gt;"",V942&lt;&gt;"",AC942&lt;&gt;"")),"manuell übersteuert; ","")&amp;IF(AND(CA942=0,R942=0),"Gebinde unbekannt / Stellmass fehlt; ","")&amp;IF(AND(CA942=0,N(V942)&lt;=0,N(Q942)&lt;=0),"Menge pro Gebinde fehlt (Ist = 1 Gebinde); ","")&amp;BV942)</f>
        <v>negativer Bestand (Export -1); </v>
      </c>
      <c r="BO942" s="60"/>
      <c r="BP942" s="60"/>
      <c r="BQ942" s="67"/>
      <c r="BR942" s="62" t="n">
        <v>-1</v>
      </c>
      <c r="BS942" s="62" t="n">
        <v>5</v>
      </c>
      <c r="BT942" s="61" t="n">
        <v>-54.78</v>
      </c>
      <c r="BU942" s="62" t="n">
        <v>8</v>
      </c>
      <c r="BV942" s="60"/>
      <c r="BW942" s="65" t="n">
        <v>0</v>
      </c>
      <c r="BX942" s="65" t="n">
        <v>942</v>
      </c>
      <c r="BY942" s="60" t="str">
        <f aca="false">IF(U942&lt;&gt;"",UPPER(TRIM(U942)),IF(CB942=1,UPPER(VLOOKUP(T942,Parameter!$I$27:$K$29,2,0)),IF(P942="","LOSE",P942)))</f>
        <v>S33</v>
      </c>
      <c r="BZ942" s="62" t="n">
        <f aca="false">IF(BY942="LOSE",1,IF(N(V942)&gt;0,V942,IF(CB942=1,MAX(1,N(VLOOKUP(T942,Parameter!$I$27:$K$29,3,0)),H942,N(N942)),IF(N(Q942)&gt;0,Q942,MAX(1,H942)))))</f>
        <v>16</v>
      </c>
      <c r="CA942" s="65" t="n">
        <f aca="false">IF(BY942="LOSE",1,0)</f>
        <v>0</v>
      </c>
      <c r="CB942" s="65" t="n">
        <f aca="false">IF(AND(U942="",OR(P942="",P942="LOSE"),T942&lt;&gt;"",N(S942)&lt;=0,ISNUMBER(MATCH(T942,Parameter!$I$27:$I$29,0))),1,0)</f>
        <v>0</v>
      </c>
      <c r="CC942" s="65" t="n">
        <f aca="false">IF(CR942&gt;0,INDEX(Parameter!$H$5:$H$7,W942)/INDEX(Parameter!$E$5:$E$7,W942),IF(AND(CA942=0,N(IFERROR(VLOOKUP(BY942,'Gebinde-Kategorie'!$A$5:$N$45,14,0),0))&gt;0),VLOOKUP(BY942,'Gebinde-Kategorie'!$A$5:$N$45,14,0)*10+Parameter!$M$23,Parameter!$M$24))</f>
        <v>155</v>
      </c>
      <c r="CD942" s="60" t="str">
        <f aca="false">IF(AND(Parameter!$B$19="Ja",E942&lt;&gt;"",ISNUMBER(MATCH(E942,Parameter!$I$35:$I$52,0))),VLOOKUP(E942,Parameter!$I$35:$J$52,2,0),IFERROR(VLOOKUP(D942,Parameter!$A$35:$C$64,2,0),"Nein"))</f>
        <v>2+3</v>
      </c>
      <c r="CE942" s="64" t="n">
        <f aca="false">IF(CA942=0,0,IF(N(S942)&gt;0,S942,IFERROR(VLOOKUP(D942,Parameter!$A$35:$C$64,3,0)+0,0)))</f>
        <v>0</v>
      </c>
      <c r="CF942" s="60" t="n">
        <f aca="false">IF(AB942&lt;&gt;"",AB942,AA942)</f>
        <v>2</v>
      </c>
      <c r="CG942" s="60" t="str">
        <f aca="false">IF(OR(CF942=1,CF942=2,CF942=3),IF(Parameter!$E$27="Ja","LIFT",IF(CF942=1,"L1","L23")),IF(CF942="Aussen","Aussen","-"))</f>
        <v>LIFT</v>
      </c>
      <c r="CH942" s="71" t="n">
        <f aca="false">IF(N(AC942)&gt;0,AC942,0)</f>
        <v>0</v>
      </c>
      <c r="CI942" s="65" t="n">
        <f aca="false">IF(ISNUMBER(AF942),1,0)</f>
        <v>0</v>
      </c>
      <c r="CJ942" s="62" t="n">
        <f aca="false">N(AF942)</f>
        <v>0</v>
      </c>
      <c r="CK942" s="62" t="n">
        <f aca="false">N(M942)+N(N942)</f>
        <v>10</v>
      </c>
      <c r="CL942" s="62" t="n">
        <f aca="false">N(M942)</f>
        <v>0</v>
      </c>
      <c r="CM942" s="62" t="n">
        <f aca="false">N(N942)</f>
        <v>10</v>
      </c>
      <c r="CN942" s="62" t="n">
        <f aca="false">ROUNDUP(H942/BZ942,0)</f>
        <v>1</v>
      </c>
      <c r="CO942" s="62" t="n">
        <f aca="false">ROUNDUP(CJ942/BZ942,0)</f>
        <v>0</v>
      </c>
      <c r="CP942" s="65" t="n">
        <f aca="false">IF(CA942=1,0,IFERROR(VLOOKUP(BY942,'Gebinde-Kategorie'!$A$5:$N$45,5,0)+0,0))</f>
        <v>8</v>
      </c>
      <c r="CQ942" s="65" t="n">
        <f aca="false">IFERROR(IF(OR(CF942=1,CF942=2,CF942=3),N(INDEX(Parameter!$I$5:$I$7,CF942)),0),0)</f>
        <v>0</v>
      </c>
      <c r="CR942" s="64" t="n">
        <f aca="false">IF(AND(Parameter!$B$21="Ja",ISNUMBER(W942),N(X942)&gt;0),IFERROR(N(INDEX(Parameter!$L$5:$L$7,W942))*INDEX(Parameter!$E$5:$E$7,W942)*X942/SUMIFS($X$7:$X$1843,$W$7:$W$1843,W942),0),0)</f>
        <v>0</v>
      </c>
      <c r="CS942" s="62" t="n">
        <f aca="false">IF(AND(OR(CG942="L1",CG942="L23",CG942="LIFT"),H942&gt;0),CC942*IF(CR942&gt;0,CR942*MAX(1,H942/X942),IF(CA942=1,CE942,IF(R942&gt;0,CN942/R942,0))/MAX(0.1,N(Parameter!$M$21))),"")</f>
        <v>2.98076923076923</v>
      </c>
      <c r="CT942" s="64" t="n">
        <f aca="false">IF(CS942="","",J942/H942)</f>
        <v>2</v>
      </c>
      <c r="CU942" s="62" t="n">
        <f aca="false">IF(CS942="","",H942*G942)</f>
        <v>72.92</v>
      </c>
      <c r="CV942" s="63" t="n">
        <f aca="false">IF(CS942="","",(CL942+ROUNDUP(CL942+MAX(CM942,2*(J942/MAX(0.1,N(Einkauf!$C$6))-CL942)),0))/2)</f>
        <v>5</v>
      </c>
      <c r="CW942" s="62" t="n">
        <f aca="false">IF(CS942="","",MAX(0,H942-CV942)*G942)</f>
        <v>0</v>
      </c>
      <c r="CX942" s="62" t="n">
        <f aca="false">IF(CS942="","",CS942*MAX(0,1-CV942/H942))</f>
        <v>0</v>
      </c>
      <c r="CY942" s="64" t="n">
        <f aca="false">IF(CS942="","",PERCENTRANK($CS$7:$CS$1843,CS942)+PERCENTRANK($CU$7:$CU$1843,CU942)+1-PERCENTRANK($CT$7:$CT$1843,CT942))</f>
        <v>0.589</v>
      </c>
      <c r="CZ942" s="72" t="n">
        <f aca="false">IF(CS942="","",CHOOSE(MATCH(Einkauf!$C$5,Parameter!$G$23:$G$27,0),CY942,CS942,CU942,-CT942,CW942)+ROW()/1000000000)</f>
        <v>0.589000942</v>
      </c>
    </row>
    <row r="943" customFormat="false" ht="15" hidden="false" customHeight="false" outlineLevel="0" collapsed="false">
      <c r="A943" s="60" t="s">
        <v>1800</v>
      </c>
      <c r="B943" s="60" t="s">
        <v>1801</v>
      </c>
      <c r="C943" s="60" t="s">
        <v>498</v>
      </c>
      <c r="D943" s="60" t="s">
        <v>226</v>
      </c>
      <c r="E943" s="60"/>
      <c r="F943" s="60" t="s">
        <v>260</v>
      </c>
      <c r="G943" s="61" t="n">
        <v>2.05</v>
      </c>
      <c r="H943" s="62" t="n">
        <f aca="false">MAX(0,IF(AND(Parameter!$B$21="Ja",ISNUMBER(Y943)),Y943,IF(Parameter!$B$20="Jahresanfang 2025 + Export",BS943+BR943,BR943)))</f>
        <v>27</v>
      </c>
      <c r="I943" s="62" t="n">
        <f aca="false">H943*G943</f>
        <v>55.35</v>
      </c>
      <c r="J943" s="62" t="n">
        <f aca="false">BU943*Parameter!$B$18</f>
        <v>27</v>
      </c>
      <c r="K943" s="63" t="n">
        <v>27</v>
      </c>
      <c r="L943" s="64" t="n">
        <v>1</v>
      </c>
      <c r="M943" s="62" t="n">
        <v>1</v>
      </c>
      <c r="N943" s="62" t="n">
        <v>25</v>
      </c>
      <c r="O943" s="65" t="n">
        <v>21</v>
      </c>
      <c r="P943" s="60" t="s">
        <v>210</v>
      </c>
      <c r="Q943" s="62"/>
      <c r="R943" s="65" t="n">
        <f aca="false">IF(CA943=1,0,IFERROR(VLOOKUP(BY943,'Gebinde-Kategorie'!$A$5:$N$45,13,0)+0,0))</f>
        <v>26</v>
      </c>
      <c r="S943" s="66"/>
      <c r="T943" s="67" t="s">
        <v>317</v>
      </c>
      <c r="U943" s="67"/>
      <c r="V943" s="67"/>
      <c r="W943" s="60"/>
      <c r="X943" s="62"/>
      <c r="Y943" s="62"/>
      <c r="Z943" s="60" t="n">
        <v>3</v>
      </c>
      <c r="AA943" s="60" t="n">
        <f aca="false">IF(A943="","",IF(AND(Parameter!$B$21="Ja",ISNUMBER(W943)),W943,IF(AND(Parameter!$E$27="Ja",ISNUMBER(Z943),CD943&lt;&gt;"Nein"),Z943,IF(CD943="2+3",IF(ISNUMBER(SEARCH("grosser Artikel",BV943)),2,IFERROR(VLOOKUP(BY943,Parameter!$F$35:$G$64,2,0),2)),IF(OR(CD943="Nein",CD943=""),"-",CD943)))))</f>
        <v>3</v>
      </c>
      <c r="AB943" s="67"/>
      <c r="AC943" s="68"/>
      <c r="AD943" s="62" t="n">
        <f aca="false">AW943</f>
        <v>26</v>
      </c>
      <c r="AE943" s="62" t="n">
        <f aca="false">MAX(AW943,H943)</f>
        <v>27</v>
      </c>
      <c r="AF943" s="69"/>
      <c r="AG943" s="62" t="n">
        <f aca="false">IF(LEFT(Cockpit!$C$5,1)="A",H943,IF(Parameter!$E$30="MAX-Bestand",IF(CI943=1,CJ943,IF(LEFT(Cockpit!$C$5,1)="B",AM943,MAX(AM943,H943))),ROUNDUP(AK943,0)))</f>
        <v>27</v>
      </c>
      <c r="AH943" s="62" t="n">
        <f aca="false">IF(CA943=1,0,ROUNDUP(AG943/BZ943,0))</f>
        <v>1</v>
      </c>
      <c r="AI943" s="64" t="n">
        <f aca="false">IF(CR943&gt;0,CR943*MAX(1,AG943/X943),IF(CA943=1,IF(AG943&lt;=0,0,CE943*MAX(1,IF(H943&gt;0,AG943/H943,1))),IF(R943&gt;0,AH943/R943,0))/MAX(0.1,N(Parameter!$M$21)))</f>
        <v>0.0384615384615385</v>
      </c>
      <c r="AJ943" s="62" t="n">
        <f aca="false">AI943*CC943</f>
        <v>5.96153846153846</v>
      </c>
      <c r="AK943" s="63" t="n">
        <f aca="false">IF(LEFT(Cockpit!$C$5,1)="A",H943,IF(CI943=1,(CL943+CJ943)/2,IF(LEFT(Cockpit!$C$5,1)="B",(CL943+AM943)/2,MAX((CL943+AM943)/2,H943))))</f>
        <v>27</v>
      </c>
      <c r="AL943" s="62" t="n">
        <f aca="false">AK943*G943</f>
        <v>55.35</v>
      </c>
      <c r="AM943" s="62" t="n">
        <f aca="false">ROUNDUP(CL943+MAX(CM943,2*(J943/IF(CH943&gt;0,CH943,MAX(0.1,N(Cockpit!$C$6)))-CL943)),0)</f>
        <v>26</v>
      </c>
      <c r="AN943" s="63" t="n">
        <f aca="false">IF(AJ943&gt;0,J943/AJ943,-1)</f>
        <v>4.52903225806452</v>
      </c>
      <c r="AO943" s="63" t="n">
        <f aca="false">IF(AND(OR(CG943="L1",CG943="L23",CG943="LIFT"),AJ943&gt;0),SUMIFS($AJ$7:$AJ$1843,$CG$7:$CG$1843,CG943,$AN$7:$AN$1843,"&gt;"&amp;AN943)+SUMIFS($AJ$7:$AJ$1843,$CG$7:$CG$1843,CG943,$AN$7:$AN$1843,AN943,$BX$7:$BX$1843,"&lt;="&amp;BX943),"")</f>
        <v>4147.77426739927</v>
      </c>
      <c r="AP943" s="70" t="n">
        <f aca="false">IF(AO943="",0,MAX(0,MIN(1,(IF(CG943="L1",Parameter!$H$5,IF(CG943="L23",Parameter!$H$6+Parameter!$H$7,Parameter!$H$5+Parameter!$H$6+Parameter!$H$7))-(AO943-AJ943))/AJ943)))</f>
        <v>1</v>
      </c>
      <c r="AQ943" s="62" t="n">
        <f aca="false">IF(LEFT(Cockpit!$I$5,1)="A",H943,IF(Parameter!$E$30="MAX-Bestand",IF(CI943=1,CJ943,IF(LEFT(Cockpit!$I$5,1)="B",AW943,MAX(AW943,H943))),ROUNDUP(AU943,0)))</f>
        <v>27</v>
      </c>
      <c r="AR943" s="62" t="n">
        <f aca="false">IF(CA943=1,0,ROUNDUP(AQ943/BZ943,0))</f>
        <v>1</v>
      </c>
      <c r="AS943" s="64" t="n">
        <f aca="false">IF(CR943&gt;0,CR943*MAX(1,AQ943/X943),IF(CA943=1,IF(AQ943&lt;=0,0,CE943*MAX(1,IF(H943&gt;0,AQ943/H943,1))),IF(R943&gt;0,AR943/R943,0))/MAX(0.1,N(Parameter!$M$21)))</f>
        <v>0.0384615384615385</v>
      </c>
      <c r="AT943" s="62" t="n">
        <f aca="false">AS943*CC943</f>
        <v>5.96153846153846</v>
      </c>
      <c r="AU943" s="63" t="n">
        <f aca="false">IF(LEFT(Cockpit!$I$5,1)="A",H943,IF(CI943=1,(CL943+CJ943)/2,IF(LEFT(Cockpit!$I$5,1)="B",(CL943+AW943)/2,MAX((CL943+AW943)/2,H943))))</f>
        <v>27</v>
      </c>
      <c r="AV943" s="62" t="n">
        <f aca="false">AU943*G943</f>
        <v>55.35</v>
      </c>
      <c r="AW943" s="62" t="n">
        <f aca="false">ROUNDUP(CL943+MAX(CM943,2*(J943/IF(CH943&gt;0,CH943,MAX(0.1,N(Cockpit!$I$6)))-CL943)),0)</f>
        <v>26</v>
      </c>
      <c r="AX943" s="63" t="n">
        <f aca="false">IF(AT943&gt;0,J943/AT943,-1)</f>
        <v>4.52903225806452</v>
      </c>
      <c r="AY943" s="63" t="n">
        <f aca="false">IF(AND(OR(CG943="L1",CG943="L23",CG943="LIFT"),AT943&gt;0),SUMIFS($AT$7:$AT$1843,$CG$7:$CG$1843,CG943,$AX$7:$AX$1843,"&gt;"&amp;AX943)+SUMIFS($AT$7:$AT$1843,$CG$7:$CG$1843,CG943,$AX$7:$AX$1843,AX943,$BX$7:$BX$1843,"&lt;="&amp;BX943),"")</f>
        <v>4744.01510989011</v>
      </c>
      <c r="AZ943" s="70" t="n">
        <f aca="false">IF(AY943="",0,MAX(0,MIN(1,(IF(CG943="L1",Parameter!$H$5,IF(CG943="L23",Parameter!$H$6+Parameter!$H$7,Parameter!$H$5+Parameter!$H$6+Parameter!$H$7))-(AY943-AT943))/AT943)))</f>
        <v>1</v>
      </c>
      <c r="BA943" s="62" t="n">
        <f aca="false">IF(LEFT(Cockpit!$O$5,1)="A",H943,IF(Parameter!$E$30="MAX-Bestand",IF(CI943=1,CJ943,IF(LEFT(Cockpit!$O$5,1)="B",BG943,MAX(BG943,H943))),ROUNDUP(BE943,0)))</f>
        <v>14</v>
      </c>
      <c r="BB943" s="62" t="n">
        <f aca="false">IF(CA943=1,0,ROUNDUP(BA943/BZ943,0))</f>
        <v>1</v>
      </c>
      <c r="BC943" s="64" t="n">
        <f aca="false">IF(CR943&gt;0,CR943*MAX(1,BA943/X943),IF(CA943=1,IF(BA943&lt;=0,0,CE943*MAX(1,IF(H943&gt;0,BA943/H943,1))),IF(R943&gt;0,BB943/R943,0))/MAX(0.1,N(Parameter!$M$21)))</f>
        <v>0.0384615384615385</v>
      </c>
      <c r="BD943" s="62" t="n">
        <f aca="false">BC943*CC943</f>
        <v>5.96153846153846</v>
      </c>
      <c r="BE943" s="63" t="n">
        <f aca="false">IF(LEFT(Cockpit!$O$5,1)="A",H943,IF(CI943=1,(CL943+CJ943)/2,IF(LEFT(Cockpit!$O$5,1)="B",(CL943+BG943)/2,MAX((CL943+BG943)/2,H943))))</f>
        <v>13.5</v>
      </c>
      <c r="BF943" s="62" t="n">
        <f aca="false">BE943*G943</f>
        <v>27.675</v>
      </c>
      <c r="BG943" s="62" t="n">
        <f aca="false">ROUNDUP(CL943+MAX(CM943,2*(J943/IF(CH943&gt;0,CH943,MAX(0.1,N(Cockpit!$O$6)))-CL943)),0)</f>
        <v>26</v>
      </c>
      <c r="BH943" s="63" t="n">
        <f aca="false">IF(BD943&gt;0,J943/BD943,-1)</f>
        <v>4.52903225806452</v>
      </c>
      <c r="BI943" s="63" t="n">
        <f aca="false">IF(AND(OR(CG943="L1",CG943="L23",CG943="LIFT"),BD943&gt;0),SUMIFS($BD$7:$BD$1843,$CG$7:$CG$1843,CG943,$BH$7:$BH$1843,"&gt;"&amp;BH943)+SUMIFS($BD$7:$BD$1843,$CG$7:$CG$1843,CG943,$BH$7:$BH$1843,BH943,$BX$7:$BX$1843,"&lt;="&amp;BX943),"")</f>
        <v>3911.85805860806</v>
      </c>
      <c r="BJ943" s="70" t="n">
        <f aca="false">IF(BI943="",0,MAX(0,MIN(1,(IF(CG943="L1",Parameter!$H$5,IF(CG943="L23",Parameter!$H$6+Parameter!$H$7,Parameter!$H$5+Parameter!$H$6+Parameter!$H$7))-(BI943-BD943))/BD943)))</f>
        <v>1</v>
      </c>
      <c r="BK943" s="60" t="str">
        <f aca="false">IF(AJ943&lt;=0,"",IF(CG943="Aussen","Aussenlager",IF(CG943="-","Nicht im Lift",IF(AP943&gt;=1,"Lift",IF(AP943&lt;=0,"Aussenlager","teilweise")))))</f>
        <v>Lift</v>
      </c>
      <c r="BL943" s="60" t="str">
        <f aca="false">IF(AT943&lt;=0,"",IF(CG943="Aussen","Aussenlager",IF(CG943="-","Nicht im Lift",IF(AZ943&gt;=1,"Lift",IF(AZ943&lt;=0,"Aussenlager","teilweise")))))</f>
        <v>Lift</v>
      </c>
      <c r="BM943" s="60" t="str">
        <f aca="false">IF(BD943&lt;=0,"",IF(CG943="Aussen","Aussenlager",IF(CG943="-","Nicht im Lift",IF(BJ943&gt;=1,"Lift",IF(BJ943&lt;=0,"Aussenlager","teilweise")))))</f>
        <v>Lift</v>
      </c>
      <c r="BN943" s="60" t="str">
        <f aca="false">IF(A943="","",IF(BW943=1,"Neu; ","")&amp;IF(AND(BW943=0,BR943&lt;0),"negativer Bestand (Export "&amp;BR943&amp;"); ","")&amp;IF(J943&lt;=0,"Kein Verbrauch; ","")&amp;IF(CR943&gt;0,"Lift "&amp;W943&amp;" lt. Liftbericht (Fach "&amp;X943&amp;" Stk); ",IF(CB943=1,"Gebinde geschätzt ("&amp;T943&amp;"); ",IF(CA943=1,"Lose – Tablare geschätzt; ","")))&amp;IF(H943&gt;AW943,"Überbestand "&amp;ROUND(H943-AW943,0)&amp;" Stk / CHF "&amp;ROUND((H943-AW943)*G943,0)&amp;"; ","")&amp;IF(AND(CI943=1,CJ943&lt;CK943),"MAX &lt; MB+LG; ","")&amp;IF(AND(CQ943&gt;0,CP943*10&gt;CQ943),"zu hoch für Tablar; ","")&amp;IF(AND(BW943=0,OR(CI943=1,AB943&lt;&gt;"",U943&lt;&gt;"",V943&lt;&gt;"",AC943&lt;&gt;"")),"manuell übersteuert; ","")&amp;IF(AND(CA943=0,R943=0),"Gebinde unbekannt / Stellmass fehlt; ","")&amp;IF(AND(CA943=0,N(V943)&lt;=0,N(Q943)&lt;=0),"Menge pro Gebinde fehlt (Ist = 1 Gebinde); ","")&amp;BV943)</f>
        <v>negativer Bestand (Export -27); Gebinde geschätzt (Klein); Überbestand 1 Stk / CHF 2; Menge pro Gebinde fehlt (Ist = 1 Gebinde); </v>
      </c>
      <c r="BO943" s="60"/>
      <c r="BP943" s="60"/>
      <c r="BQ943" s="67"/>
      <c r="BR943" s="62" t="n">
        <v>-27</v>
      </c>
      <c r="BS943" s="62" t="n">
        <v>54</v>
      </c>
      <c r="BT943" s="61" t="n">
        <v>-55.35</v>
      </c>
      <c r="BU943" s="62" t="n">
        <v>27</v>
      </c>
      <c r="BV943" s="60"/>
      <c r="BW943" s="65" t="n">
        <v>0</v>
      </c>
      <c r="BX943" s="65" t="n">
        <v>943</v>
      </c>
      <c r="BY943" s="60" t="str">
        <f aca="false">IF(U943&lt;&gt;"",UPPER(TRIM(U943)),IF(CB943=1,UPPER(VLOOKUP(T943,Parameter!$I$27:$K$29,2,0)),IF(P943="","LOSE",P943)))</f>
        <v>S51</v>
      </c>
      <c r="BZ943" s="62" t="n">
        <f aca="false">IF(BY943="LOSE",1,IF(N(V943)&gt;0,V943,IF(CB943=1,MAX(1,N(VLOOKUP(T943,Parameter!$I$27:$K$29,3,0)),H943,N(N943)),IF(N(Q943)&gt;0,Q943,MAX(1,H943)))))</f>
        <v>27</v>
      </c>
      <c r="CA943" s="65" t="n">
        <f aca="false">IF(BY943="LOSE",1,0)</f>
        <v>0</v>
      </c>
      <c r="CB943" s="65" t="n">
        <f aca="false">IF(AND(U943="",OR(P943="",P943="LOSE"),T943&lt;&gt;"",N(S943)&lt;=0,ISNUMBER(MATCH(T943,Parameter!$I$27:$I$29,0))),1,0)</f>
        <v>1</v>
      </c>
      <c r="CC943" s="65" t="n">
        <f aca="false">IF(CR943&gt;0,INDEX(Parameter!$H$5:$H$7,W943)/INDEX(Parameter!$E$5:$E$7,W943),IF(AND(CA943=0,N(IFERROR(VLOOKUP(BY943,'Gebinde-Kategorie'!$A$5:$N$45,14,0),0))&gt;0),VLOOKUP(BY943,'Gebinde-Kategorie'!$A$5:$N$45,14,0)*10+Parameter!$M$23,Parameter!$M$24))</f>
        <v>155</v>
      </c>
      <c r="CD943" s="60" t="str">
        <f aca="false">IF(AND(Parameter!$B$19="Ja",E943&lt;&gt;"",ISNUMBER(MATCH(E943,Parameter!$I$35:$I$52,0))),VLOOKUP(E943,Parameter!$I$35:$J$52,2,0),IFERROR(VLOOKUP(D943,Parameter!$A$35:$C$64,2,0),"Nein"))</f>
        <v>2+3</v>
      </c>
      <c r="CE943" s="64" t="n">
        <f aca="false">IF(CA943=0,0,IF(N(S943)&gt;0,S943,IFERROR(VLOOKUP(D943,Parameter!$A$35:$C$64,3,0)+0,0)))</f>
        <v>0</v>
      </c>
      <c r="CF943" s="60" t="n">
        <f aca="false">IF(AB943&lt;&gt;"",AB943,AA943)</f>
        <v>3</v>
      </c>
      <c r="CG943" s="60" t="str">
        <f aca="false">IF(OR(CF943=1,CF943=2,CF943=3),IF(Parameter!$E$27="Ja","LIFT",IF(CF943=1,"L1","L23")),IF(CF943="Aussen","Aussen","-"))</f>
        <v>LIFT</v>
      </c>
      <c r="CH943" s="71" t="n">
        <f aca="false">IF(N(AC943)&gt;0,AC943,0)</f>
        <v>0</v>
      </c>
      <c r="CI943" s="65" t="n">
        <f aca="false">IF(ISNUMBER(AF943),1,0)</f>
        <v>0</v>
      </c>
      <c r="CJ943" s="62" t="n">
        <f aca="false">N(AF943)</f>
        <v>0</v>
      </c>
      <c r="CK943" s="62" t="n">
        <f aca="false">N(M943)+N(N943)</f>
        <v>26</v>
      </c>
      <c r="CL943" s="62" t="n">
        <f aca="false">N(M943)</f>
        <v>1</v>
      </c>
      <c r="CM943" s="62" t="n">
        <f aca="false">N(N943)</f>
        <v>25</v>
      </c>
      <c r="CN943" s="62" t="n">
        <f aca="false">ROUNDUP(H943/BZ943,0)</f>
        <v>1</v>
      </c>
      <c r="CO943" s="62" t="n">
        <f aca="false">ROUNDUP(CJ943/BZ943,0)</f>
        <v>0</v>
      </c>
      <c r="CP943" s="65" t="n">
        <f aca="false">IF(CA943=1,0,IFERROR(VLOOKUP(BY943,'Gebinde-Kategorie'!$A$5:$N$45,5,0)+0,0))</f>
        <v>11</v>
      </c>
      <c r="CQ943" s="65" t="n">
        <f aca="false">IFERROR(IF(OR(CF943=1,CF943=2,CF943=3),N(INDEX(Parameter!$I$5:$I$7,CF943)),0),0)</f>
        <v>0</v>
      </c>
      <c r="CR943" s="64" t="n">
        <f aca="false">IF(AND(Parameter!$B$21="Ja",ISNUMBER(W943),N(X943)&gt;0),IFERROR(N(INDEX(Parameter!$L$5:$L$7,W943))*INDEX(Parameter!$E$5:$E$7,W943)*X943/SUMIFS($X$7:$X$1843,$W$7:$W$1843,W943),0),0)</f>
        <v>0</v>
      </c>
      <c r="CS943" s="62" t="n">
        <f aca="false">IF(AND(OR(CG943="L1",CG943="L23",CG943="LIFT"),H943&gt;0),CC943*IF(CR943&gt;0,CR943*MAX(1,H943/X943),IF(CA943=1,CE943,IF(R943&gt;0,CN943/R943,0))/MAX(0.1,N(Parameter!$M$21))),"")</f>
        <v>5.96153846153846</v>
      </c>
      <c r="CT943" s="64" t="n">
        <f aca="false">IF(CS943="","",J943/H943)</f>
        <v>1</v>
      </c>
      <c r="CU943" s="62" t="n">
        <f aca="false">IF(CS943="","",H943*G943)</f>
        <v>55.35</v>
      </c>
      <c r="CV943" s="63" t="n">
        <f aca="false">IF(CS943="","",(CL943+ROUNDUP(CL943+MAX(CM943,2*(J943/MAX(0.1,N(Einkauf!$C$6))-CL943)),0))/2)</f>
        <v>13.5</v>
      </c>
      <c r="CW943" s="62" t="n">
        <f aca="false">IF(CS943="","",MAX(0,H943-CV943)*G943)</f>
        <v>27.675</v>
      </c>
      <c r="CX943" s="62" t="n">
        <f aca="false">IF(CS943="","",CS943*MAX(0,1-CV943/H943))</f>
        <v>2.98076923076923</v>
      </c>
      <c r="CY943" s="64" t="n">
        <f aca="false">IF(CS943="","",PERCENTRANK($CS$7:$CS$1843,CS943)+PERCENTRANK($CU$7:$CU$1843,CU943)+1-PERCENTRANK($CT$7:$CT$1843,CT943))</f>
        <v>0.88</v>
      </c>
      <c r="CZ943" s="72" t="n">
        <f aca="false">IF(CS943="","",CHOOSE(MATCH(Einkauf!$C$5,Parameter!$G$23:$G$27,0),CY943,CS943,CU943,-CT943,CW943)+ROW()/1000000000)</f>
        <v>0.880000943</v>
      </c>
    </row>
    <row r="944" customFormat="false" ht="15" hidden="false" customHeight="false" outlineLevel="0" collapsed="false">
      <c r="A944" s="60" t="s">
        <v>1802</v>
      </c>
      <c r="B944" s="60" t="s">
        <v>1803</v>
      </c>
      <c r="C944" s="60" t="s">
        <v>498</v>
      </c>
      <c r="D944" s="60" t="s">
        <v>226</v>
      </c>
      <c r="E944" s="60"/>
      <c r="F944" s="60" t="s">
        <v>260</v>
      </c>
      <c r="G944" s="61" t="n">
        <v>6.15</v>
      </c>
      <c r="H944" s="62" t="n">
        <f aca="false">MAX(0,IF(AND(Parameter!$B$21="Ja",ISNUMBER(Y944)),Y944,IF(Parameter!$B$20="Jahresanfang 2025 + Export",BS944+BR944,BR944)))</f>
        <v>9</v>
      </c>
      <c r="I944" s="62" t="n">
        <f aca="false">H944*G944</f>
        <v>55.35</v>
      </c>
      <c r="J944" s="62" t="n">
        <f aca="false">BU944*Parameter!$B$18</f>
        <v>9</v>
      </c>
      <c r="K944" s="63" t="n">
        <v>9</v>
      </c>
      <c r="L944" s="64" t="n">
        <v>1</v>
      </c>
      <c r="M944" s="62" t="n">
        <v>0</v>
      </c>
      <c r="N944" s="62" t="n">
        <v>10</v>
      </c>
      <c r="O944" s="65" t="n">
        <v>21</v>
      </c>
      <c r="P944" s="60" t="s">
        <v>210</v>
      </c>
      <c r="Q944" s="62"/>
      <c r="R944" s="65" t="n">
        <f aca="false">IF(CA944=1,0,IFERROR(VLOOKUP(BY944,'Gebinde-Kategorie'!$A$5:$N$45,13,0)+0,0))</f>
        <v>26</v>
      </c>
      <c r="S944" s="66"/>
      <c r="T944" s="67" t="s">
        <v>317</v>
      </c>
      <c r="U944" s="67"/>
      <c r="V944" s="67"/>
      <c r="W944" s="60"/>
      <c r="X944" s="62"/>
      <c r="Y944" s="62"/>
      <c r="Z944" s="60" t="n">
        <v>3</v>
      </c>
      <c r="AA944" s="60" t="n">
        <f aca="false">IF(A944="","",IF(AND(Parameter!$B$21="Ja",ISNUMBER(W944)),W944,IF(AND(Parameter!$E$27="Ja",ISNUMBER(Z944),CD944&lt;&gt;"Nein"),Z944,IF(CD944="2+3",IF(ISNUMBER(SEARCH("grosser Artikel",BV944)),2,IFERROR(VLOOKUP(BY944,Parameter!$F$35:$G$64,2,0),2)),IF(OR(CD944="Nein",CD944=""),"-",CD944)))))</f>
        <v>3</v>
      </c>
      <c r="AB944" s="67"/>
      <c r="AC944" s="68"/>
      <c r="AD944" s="62" t="n">
        <f aca="false">AW944</f>
        <v>10</v>
      </c>
      <c r="AE944" s="62" t="n">
        <f aca="false">MAX(AW944,H944)</f>
        <v>10</v>
      </c>
      <c r="AF944" s="69"/>
      <c r="AG944" s="62" t="n">
        <f aca="false">IF(LEFT(Cockpit!$C$5,1)="A",H944,IF(Parameter!$E$30="MAX-Bestand",IF(CI944=1,CJ944,IF(LEFT(Cockpit!$C$5,1)="B",AM944,MAX(AM944,H944))),ROUNDUP(AK944,0)))</f>
        <v>9</v>
      </c>
      <c r="AH944" s="62" t="n">
        <f aca="false">IF(CA944=1,0,ROUNDUP(AG944/BZ944,0))</f>
        <v>1</v>
      </c>
      <c r="AI944" s="64" t="n">
        <f aca="false">IF(CR944&gt;0,CR944*MAX(1,AG944/X944),IF(CA944=1,IF(AG944&lt;=0,0,CE944*MAX(1,IF(H944&gt;0,AG944/H944,1))),IF(R944&gt;0,AH944/R944,0))/MAX(0.1,N(Parameter!$M$21)))</f>
        <v>0.0384615384615385</v>
      </c>
      <c r="AJ944" s="62" t="n">
        <f aca="false">AI944*CC944</f>
        <v>5.96153846153846</v>
      </c>
      <c r="AK944" s="63" t="n">
        <f aca="false">IF(LEFT(Cockpit!$C$5,1)="A",H944,IF(CI944=1,(CL944+CJ944)/2,IF(LEFT(Cockpit!$C$5,1)="B",(CL944+AM944)/2,MAX((CL944+AM944)/2,H944))))</f>
        <v>9</v>
      </c>
      <c r="AL944" s="62" t="n">
        <f aca="false">AK944*G944</f>
        <v>55.35</v>
      </c>
      <c r="AM944" s="62" t="n">
        <f aca="false">ROUNDUP(CL944+MAX(CM944,2*(J944/IF(CH944&gt;0,CH944,MAX(0.1,N(Cockpit!$C$6)))-CL944)),0)</f>
        <v>10</v>
      </c>
      <c r="AN944" s="63" t="n">
        <f aca="false">IF(AJ944&gt;0,J944/AJ944,-1)</f>
        <v>1.50967741935484</v>
      </c>
      <c r="AO944" s="63" t="n">
        <f aca="false">IF(AND(OR(CG944="L1",CG944="L23",CG944="LIFT"),AJ944&gt;0),SUMIFS($AJ$7:$AJ$1843,$CG$7:$CG$1843,CG944,$AN$7:$AN$1843,"&gt;"&amp;AN944)+SUMIFS($AJ$7:$AJ$1843,$CG$7:$CG$1843,CG944,$AN$7:$AN$1843,AN944,$BX$7:$BX$1843,"&lt;="&amp;BX944),"")</f>
        <v>6221.85302197802</v>
      </c>
      <c r="AP944" s="70" t="n">
        <f aca="false">IF(AO944="",0,MAX(0,MIN(1,(IF(CG944="L1",Parameter!$H$5,IF(CG944="L23",Parameter!$H$6+Parameter!$H$7,Parameter!$H$5+Parameter!$H$6+Parameter!$H$7))-(AO944-AJ944))/AJ944)))</f>
        <v>1</v>
      </c>
      <c r="AQ944" s="62" t="n">
        <f aca="false">IF(LEFT(Cockpit!$I$5,1)="A",H944,IF(Parameter!$E$30="MAX-Bestand",IF(CI944=1,CJ944,IF(LEFT(Cockpit!$I$5,1)="B",AW944,MAX(AW944,H944))),ROUNDUP(AU944,0)))</f>
        <v>9</v>
      </c>
      <c r="AR944" s="62" t="n">
        <f aca="false">IF(CA944=1,0,ROUNDUP(AQ944/BZ944,0))</f>
        <v>1</v>
      </c>
      <c r="AS944" s="64" t="n">
        <f aca="false">IF(CR944&gt;0,CR944*MAX(1,AQ944/X944),IF(CA944=1,IF(AQ944&lt;=0,0,CE944*MAX(1,IF(H944&gt;0,AQ944/H944,1))),IF(R944&gt;0,AR944/R944,0))/MAX(0.1,N(Parameter!$M$21)))</f>
        <v>0.0384615384615385</v>
      </c>
      <c r="AT944" s="62" t="n">
        <f aca="false">AS944*CC944</f>
        <v>5.96153846153846</v>
      </c>
      <c r="AU944" s="63" t="n">
        <f aca="false">IF(LEFT(Cockpit!$I$5,1)="A",H944,IF(CI944=1,(CL944+CJ944)/2,IF(LEFT(Cockpit!$I$5,1)="B",(CL944+AW944)/2,MAX((CL944+AW944)/2,H944))))</f>
        <v>9</v>
      </c>
      <c r="AV944" s="62" t="n">
        <f aca="false">AU944*G944</f>
        <v>55.35</v>
      </c>
      <c r="AW944" s="62" t="n">
        <f aca="false">ROUNDUP(CL944+MAX(CM944,2*(J944/IF(CH944&gt;0,CH944,MAX(0.1,N(Cockpit!$I$6)))-CL944)),0)</f>
        <v>10</v>
      </c>
      <c r="AX944" s="63" t="n">
        <f aca="false">IF(AT944&gt;0,J944/AT944,-1)</f>
        <v>1.50967741935484</v>
      </c>
      <c r="AY944" s="63" t="n">
        <f aca="false">IF(AND(OR(CG944="L1",CG944="L23",CG944="LIFT"),AT944&gt;0),SUMIFS($AT$7:$AT$1843,$CG$7:$CG$1843,CG944,$AX$7:$AX$1843,"&gt;"&amp;AX944)+SUMIFS($AT$7:$AT$1843,$CG$7:$CG$1843,CG944,$AX$7:$AX$1843,AX944,$BX$7:$BX$1843,"&lt;="&amp;BX944),"")</f>
        <v>7661.74175824176</v>
      </c>
      <c r="AZ944" s="70" t="n">
        <f aca="false">IF(AY944="",0,MAX(0,MIN(1,(IF(CG944="L1",Parameter!$H$5,IF(CG944="L23",Parameter!$H$6+Parameter!$H$7,Parameter!$H$5+Parameter!$H$6+Parameter!$H$7))-(AY944-AT944))/AT944)))</f>
        <v>1</v>
      </c>
      <c r="BA944" s="62" t="n">
        <f aca="false">IF(LEFT(Cockpit!$O$5,1)="A",H944,IF(Parameter!$E$30="MAX-Bestand",IF(CI944=1,CJ944,IF(LEFT(Cockpit!$O$5,1)="B",BG944,MAX(BG944,H944))),ROUNDUP(BE944,0)))</f>
        <v>5</v>
      </c>
      <c r="BB944" s="62" t="n">
        <f aca="false">IF(CA944=1,0,ROUNDUP(BA944/BZ944,0))</f>
        <v>1</v>
      </c>
      <c r="BC944" s="64" t="n">
        <f aca="false">IF(CR944&gt;0,CR944*MAX(1,BA944/X944),IF(CA944=1,IF(BA944&lt;=0,0,CE944*MAX(1,IF(H944&gt;0,BA944/H944,1))),IF(R944&gt;0,BB944/R944,0))/MAX(0.1,N(Parameter!$M$21)))</f>
        <v>0.0384615384615385</v>
      </c>
      <c r="BD944" s="62" t="n">
        <f aca="false">BC944*CC944</f>
        <v>5.96153846153846</v>
      </c>
      <c r="BE944" s="63" t="n">
        <f aca="false">IF(LEFT(Cockpit!$O$5,1)="A",H944,IF(CI944=1,(CL944+CJ944)/2,IF(LEFT(Cockpit!$O$5,1)="B",(CL944+BG944)/2,MAX((CL944+BG944)/2,H944))))</f>
        <v>5</v>
      </c>
      <c r="BF944" s="62" t="n">
        <f aca="false">BE944*G944</f>
        <v>30.75</v>
      </c>
      <c r="BG944" s="62" t="n">
        <f aca="false">ROUNDUP(CL944+MAX(CM944,2*(J944/IF(CH944&gt;0,CH944,MAX(0.1,N(Cockpit!$O$6)))-CL944)),0)</f>
        <v>10</v>
      </c>
      <c r="BH944" s="63" t="n">
        <f aca="false">IF(BD944&gt;0,J944/BD944,-1)</f>
        <v>1.50967741935484</v>
      </c>
      <c r="BI944" s="63" t="n">
        <f aca="false">IF(AND(OR(CG944="L1",CG944="L23",CG944="LIFT"),BD944&gt;0),SUMIFS($BD$7:$BD$1843,$CG$7:$CG$1843,CG944,$BH$7:$BH$1843,"&gt;"&amp;BH944)+SUMIFS($BD$7:$BD$1843,$CG$7:$CG$1843,CG944,$BH$7:$BH$1843,BH944,$BX$7:$BX$1843,"&lt;="&amp;BX944),"")</f>
        <v>6474.40613553114</v>
      </c>
      <c r="BJ944" s="70" t="n">
        <f aca="false">IF(BI944="",0,MAX(0,MIN(1,(IF(CG944="L1",Parameter!$H$5,IF(CG944="L23",Parameter!$H$6+Parameter!$H$7,Parameter!$H$5+Parameter!$H$6+Parameter!$H$7))-(BI944-BD944))/BD944)))</f>
        <v>1</v>
      </c>
      <c r="BK944" s="60" t="str">
        <f aca="false">IF(AJ944&lt;=0,"",IF(CG944="Aussen","Aussenlager",IF(CG944="-","Nicht im Lift",IF(AP944&gt;=1,"Lift",IF(AP944&lt;=0,"Aussenlager","teilweise")))))</f>
        <v>Lift</v>
      </c>
      <c r="BL944" s="60" t="str">
        <f aca="false">IF(AT944&lt;=0,"",IF(CG944="Aussen","Aussenlager",IF(CG944="-","Nicht im Lift",IF(AZ944&gt;=1,"Lift",IF(AZ944&lt;=0,"Aussenlager","teilweise")))))</f>
        <v>Lift</v>
      </c>
      <c r="BM944" s="60" t="str">
        <f aca="false">IF(BD944&lt;=0,"",IF(CG944="Aussen","Aussenlager",IF(CG944="-","Nicht im Lift",IF(BJ944&gt;=1,"Lift",IF(BJ944&lt;=0,"Aussenlager","teilweise")))))</f>
        <v>Lift</v>
      </c>
      <c r="BN944" s="60" t="str">
        <f aca="false">IF(A944="","",IF(BW944=1,"Neu; ","")&amp;IF(AND(BW944=0,BR944&lt;0),"negativer Bestand (Export "&amp;BR944&amp;"); ","")&amp;IF(J944&lt;=0,"Kein Verbrauch; ","")&amp;IF(CR944&gt;0,"Lift "&amp;W944&amp;" lt. Liftbericht (Fach "&amp;X944&amp;" Stk); ",IF(CB944=1,"Gebinde geschätzt ("&amp;T944&amp;"); ",IF(CA944=1,"Lose – Tablare geschätzt; ","")))&amp;IF(H944&gt;AW944,"Überbestand "&amp;ROUND(H944-AW944,0)&amp;" Stk / CHF "&amp;ROUND((H944-AW944)*G944,0)&amp;"; ","")&amp;IF(AND(CI944=1,CJ944&lt;CK944),"MAX &lt; MB+LG; ","")&amp;IF(AND(CQ944&gt;0,CP944*10&gt;CQ944),"zu hoch für Tablar; ","")&amp;IF(AND(BW944=0,OR(CI944=1,AB944&lt;&gt;"",U944&lt;&gt;"",V944&lt;&gt;"",AC944&lt;&gt;"")),"manuell übersteuert; ","")&amp;IF(AND(CA944=0,R944=0),"Gebinde unbekannt / Stellmass fehlt; ","")&amp;IF(AND(CA944=0,N(V944)&lt;=0,N(Q944)&lt;=0),"Menge pro Gebinde fehlt (Ist = 1 Gebinde); ","")&amp;BV944)</f>
        <v>negativer Bestand (Export -9); Gebinde geschätzt (Klein); Menge pro Gebinde fehlt (Ist = 1 Gebinde); </v>
      </c>
      <c r="BO944" s="60"/>
      <c r="BP944" s="60"/>
      <c r="BQ944" s="67"/>
      <c r="BR944" s="62" t="n">
        <v>-9</v>
      </c>
      <c r="BS944" s="62" t="n">
        <v>18</v>
      </c>
      <c r="BT944" s="61" t="n">
        <v>-55.35</v>
      </c>
      <c r="BU944" s="62" t="n">
        <v>9</v>
      </c>
      <c r="BV944" s="60"/>
      <c r="BW944" s="65" t="n">
        <v>0</v>
      </c>
      <c r="BX944" s="65" t="n">
        <v>944</v>
      </c>
      <c r="BY944" s="60" t="str">
        <f aca="false">IF(U944&lt;&gt;"",UPPER(TRIM(U944)),IF(CB944=1,UPPER(VLOOKUP(T944,Parameter!$I$27:$K$29,2,0)),IF(P944="","LOSE",P944)))</f>
        <v>S51</v>
      </c>
      <c r="BZ944" s="62" t="n">
        <f aca="false">IF(BY944="LOSE",1,IF(N(V944)&gt;0,V944,IF(CB944=1,MAX(1,N(VLOOKUP(T944,Parameter!$I$27:$K$29,3,0)),H944,N(N944)),IF(N(Q944)&gt;0,Q944,MAX(1,H944)))))</f>
        <v>20</v>
      </c>
      <c r="CA944" s="65" t="n">
        <f aca="false">IF(BY944="LOSE",1,0)</f>
        <v>0</v>
      </c>
      <c r="CB944" s="65" t="n">
        <f aca="false">IF(AND(U944="",OR(P944="",P944="LOSE"),T944&lt;&gt;"",N(S944)&lt;=0,ISNUMBER(MATCH(T944,Parameter!$I$27:$I$29,0))),1,0)</f>
        <v>1</v>
      </c>
      <c r="CC944" s="65" t="n">
        <f aca="false">IF(CR944&gt;0,INDEX(Parameter!$H$5:$H$7,W944)/INDEX(Parameter!$E$5:$E$7,W944),IF(AND(CA944=0,N(IFERROR(VLOOKUP(BY944,'Gebinde-Kategorie'!$A$5:$N$45,14,0),0))&gt;0),VLOOKUP(BY944,'Gebinde-Kategorie'!$A$5:$N$45,14,0)*10+Parameter!$M$23,Parameter!$M$24))</f>
        <v>155</v>
      </c>
      <c r="CD944" s="60" t="str">
        <f aca="false">IF(AND(Parameter!$B$19="Ja",E944&lt;&gt;"",ISNUMBER(MATCH(E944,Parameter!$I$35:$I$52,0))),VLOOKUP(E944,Parameter!$I$35:$J$52,2,0),IFERROR(VLOOKUP(D944,Parameter!$A$35:$C$64,2,0),"Nein"))</f>
        <v>2+3</v>
      </c>
      <c r="CE944" s="64" t="n">
        <f aca="false">IF(CA944=0,0,IF(N(S944)&gt;0,S944,IFERROR(VLOOKUP(D944,Parameter!$A$35:$C$64,3,0)+0,0)))</f>
        <v>0</v>
      </c>
      <c r="CF944" s="60" t="n">
        <f aca="false">IF(AB944&lt;&gt;"",AB944,AA944)</f>
        <v>3</v>
      </c>
      <c r="CG944" s="60" t="str">
        <f aca="false">IF(OR(CF944=1,CF944=2,CF944=3),IF(Parameter!$E$27="Ja","LIFT",IF(CF944=1,"L1","L23")),IF(CF944="Aussen","Aussen","-"))</f>
        <v>LIFT</v>
      </c>
      <c r="CH944" s="71" t="n">
        <f aca="false">IF(N(AC944)&gt;0,AC944,0)</f>
        <v>0</v>
      </c>
      <c r="CI944" s="65" t="n">
        <f aca="false">IF(ISNUMBER(AF944),1,0)</f>
        <v>0</v>
      </c>
      <c r="CJ944" s="62" t="n">
        <f aca="false">N(AF944)</f>
        <v>0</v>
      </c>
      <c r="CK944" s="62" t="n">
        <f aca="false">N(M944)+N(N944)</f>
        <v>10</v>
      </c>
      <c r="CL944" s="62" t="n">
        <f aca="false">N(M944)</f>
        <v>0</v>
      </c>
      <c r="CM944" s="62" t="n">
        <f aca="false">N(N944)</f>
        <v>10</v>
      </c>
      <c r="CN944" s="62" t="n">
        <f aca="false">ROUNDUP(H944/BZ944,0)</f>
        <v>1</v>
      </c>
      <c r="CO944" s="62" t="n">
        <f aca="false">ROUNDUP(CJ944/BZ944,0)</f>
        <v>0</v>
      </c>
      <c r="CP944" s="65" t="n">
        <f aca="false">IF(CA944=1,0,IFERROR(VLOOKUP(BY944,'Gebinde-Kategorie'!$A$5:$N$45,5,0)+0,0))</f>
        <v>11</v>
      </c>
      <c r="CQ944" s="65" t="n">
        <f aca="false">IFERROR(IF(OR(CF944=1,CF944=2,CF944=3),N(INDEX(Parameter!$I$5:$I$7,CF944)),0),0)</f>
        <v>0</v>
      </c>
      <c r="CR944" s="64" t="n">
        <f aca="false">IF(AND(Parameter!$B$21="Ja",ISNUMBER(W944),N(X944)&gt;0),IFERROR(N(INDEX(Parameter!$L$5:$L$7,W944))*INDEX(Parameter!$E$5:$E$7,W944)*X944/SUMIFS($X$7:$X$1843,$W$7:$W$1843,W944),0),0)</f>
        <v>0</v>
      </c>
      <c r="CS944" s="62" t="n">
        <f aca="false">IF(AND(OR(CG944="L1",CG944="L23",CG944="LIFT"),H944&gt;0),CC944*IF(CR944&gt;0,CR944*MAX(1,H944/X944),IF(CA944=1,CE944,IF(R944&gt;0,CN944/R944,0))/MAX(0.1,N(Parameter!$M$21))),"")</f>
        <v>5.96153846153846</v>
      </c>
      <c r="CT944" s="64" t="n">
        <f aca="false">IF(CS944="","",J944/H944)</f>
        <v>1</v>
      </c>
      <c r="CU944" s="62" t="n">
        <f aca="false">IF(CS944="","",H944*G944)</f>
        <v>55.35</v>
      </c>
      <c r="CV944" s="63" t="n">
        <f aca="false">IF(CS944="","",(CL944+ROUNDUP(CL944+MAX(CM944,2*(J944/MAX(0.1,N(Einkauf!$C$6))-CL944)),0))/2)</f>
        <v>5</v>
      </c>
      <c r="CW944" s="62" t="n">
        <f aca="false">IF(CS944="","",MAX(0,H944-CV944)*G944)</f>
        <v>24.6</v>
      </c>
      <c r="CX944" s="62" t="n">
        <f aca="false">IF(CS944="","",CS944*MAX(0,1-CV944/H944))</f>
        <v>2.64957264957265</v>
      </c>
      <c r="CY944" s="64" t="n">
        <f aca="false">IF(CS944="","",PERCENTRANK($CS$7:$CS$1843,CS944)+PERCENTRANK($CU$7:$CU$1843,CU944)+1-PERCENTRANK($CT$7:$CT$1843,CT944))</f>
        <v>0.881</v>
      </c>
      <c r="CZ944" s="72" t="n">
        <f aca="false">IF(CS944="","",CHOOSE(MATCH(Einkauf!$C$5,Parameter!$G$23:$G$27,0),CY944,CS944,CU944,-CT944,CW944)+ROW()/1000000000)</f>
        <v>0.881000944</v>
      </c>
    </row>
    <row r="945" customFormat="false" ht="15" hidden="false" customHeight="false" outlineLevel="0" collapsed="false">
      <c r="A945" s="60" t="s">
        <v>1804</v>
      </c>
      <c r="B945" s="60" t="s">
        <v>1805</v>
      </c>
      <c r="C945" s="60" t="s">
        <v>206</v>
      </c>
      <c r="D945" s="60" t="s">
        <v>226</v>
      </c>
      <c r="E945" s="60"/>
      <c r="F945" s="60" t="s">
        <v>260</v>
      </c>
      <c r="G945" s="61" t="n">
        <v>28</v>
      </c>
      <c r="H945" s="62" t="n">
        <f aca="false">MAX(0,IF(AND(Parameter!$B$21="Ja",ISNUMBER(Y945)),Y945,IF(Parameter!$B$20="Jahresanfang 2025 + Export",BS945+BR945,BR945)))</f>
        <v>0</v>
      </c>
      <c r="I945" s="62" t="n">
        <f aca="false">H945*G945</f>
        <v>0</v>
      </c>
      <c r="J945" s="62" t="n">
        <f aca="false">BU945*Parameter!$B$18</f>
        <v>0</v>
      </c>
      <c r="K945" s="63" t="n">
        <v>1</v>
      </c>
      <c r="L945" s="64" t="n">
        <v>0</v>
      </c>
      <c r="M945" s="62" t="n">
        <v>0</v>
      </c>
      <c r="N945" s="62" t="n">
        <v>1</v>
      </c>
      <c r="O945" s="65" t="n">
        <v>49</v>
      </c>
      <c r="P945" s="60" t="s">
        <v>210</v>
      </c>
      <c r="Q945" s="62"/>
      <c r="R945" s="65" t="n">
        <f aca="false">IF(CA945=1,0,IFERROR(VLOOKUP(BY945,'Gebinde-Kategorie'!$A$5:$N$45,13,0)+0,0))</f>
        <v>26</v>
      </c>
      <c r="S945" s="66"/>
      <c r="T945" s="67" t="s">
        <v>317</v>
      </c>
      <c r="U945" s="67"/>
      <c r="V945" s="67"/>
      <c r="W945" s="60"/>
      <c r="X945" s="62"/>
      <c r="Y945" s="62"/>
      <c r="Z945" s="60" t="n">
        <v>3</v>
      </c>
      <c r="AA945" s="60" t="n">
        <f aca="false">IF(A945="","",IF(AND(Parameter!$B$21="Ja",ISNUMBER(W945)),W945,IF(AND(Parameter!$E$27="Ja",ISNUMBER(Z945),CD945&lt;&gt;"Nein"),Z945,IF(CD945="2+3",IF(ISNUMBER(SEARCH("grosser Artikel",BV945)),2,IFERROR(VLOOKUP(BY945,Parameter!$F$35:$G$64,2,0),2)),IF(OR(CD945="Nein",CD945=""),"-",CD945)))))</f>
        <v>3</v>
      </c>
      <c r="AB945" s="67"/>
      <c r="AC945" s="68"/>
      <c r="AD945" s="62" t="n">
        <f aca="false">AW945</f>
        <v>1</v>
      </c>
      <c r="AE945" s="62" t="n">
        <f aca="false">MAX(AW945,H945)</f>
        <v>1</v>
      </c>
      <c r="AF945" s="69"/>
      <c r="AG945" s="62" t="n">
        <f aca="false">IF(LEFT(Cockpit!$C$5,1)="A",H945,IF(Parameter!$E$30="MAX-Bestand",IF(CI945=1,CJ945,IF(LEFT(Cockpit!$C$5,1)="B",AM945,MAX(AM945,H945))),ROUNDUP(AK945,0)))</f>
        <v>0</v>
      </c>
      <c r="AH945" s="62" t="n">
        <f aca="false">IF(CA945=1,0,ROUNDUP(AG945/BZ945,0))</f>
        <v>0</v>
      </c>
      <c r="AI945" s="64" t="n">
        <f aca="false">IF(CR945&gt;0,CR945*MAX(1,AG945/X945),IF(CA945=1,IF(AG945&lt;=0,0,CE945*MAX(1,IF(H945&gt;0,AG945/H945,1))),IF(R945&gt;0,AH945/R945,0))/MAX(0.1,N(Parameter!$M$21)))</f>
        <v>0</v>
      </c>
      <c r="AJ945" s="62" t="n">
        <f aca="false">AI945*CC945</f>
        <v>0</v>
      </c>
      <c r="AK945" s="63" t="n">
        <f aca="false">IF(LEFT(Cockpit!$C$5,1)="A",H945,IF(CI945=1,(CL945+CJ945)/2,IF(LEFT(Cockpit!$C$5,1)="B",(CL945+AM945)/2,MAX((CL945+AM945)/2,H945))))</f>
        <v>0</v>
      </c>
      <c r="AL945" s="62" t="n">
        <f aca="false">AK945*G945</f>
        <v>0</v>
      </c>
      <c r="AM945" s="62" t="n">
        <f aca="false">ROUNDUP(CL945+MAX(CM945,2*(J945/IF(CH945&gt;0,CH945,MAX(0.1,N(Cockpit!$C$6)))-CL945)),0)</f>
        <v>1</v>
      </c>
      <c r="AN945" s="63" t="n">
        <f aca="false">IF(AJ945&gt;0,J945/AJ945,-1)</f>
        <v>-1</v>
      </c>
      <c r="AO945" s="63" t="str">
        <f aca="false">IF(AND(OR(CG945="L1",CG945="L23",CG945="LIFT"),AJ945&gt;0),SUMIFS($AJ$7:$AJ$1843,$CG$7:$CG$1843,CG945,$AN$7:$AN$1843,"&gt;"&amp;AN945)+SUMIFS($AJ$7:$AJ$1843,$CG$7:$CG$1843,CG945,$AN$7:$AN$1843,AN945,$BX$7:$BX$1843,"&lt;="&amp;BX945),"")</f>
        <v/>
      </c>
      <c r="AP945" s="70" t="n">
        <f aca="false">IF(AO945="",0,MAX(0,MIN(1,(IF(CG945="L1",Parameter!$H$5,IF(CG945="L23",Parameter!$H$6+Parameter!$H$7,Parameter!$H$5+Parameter!$H$6+Parameter!$H$7))-(AO945-AJ945))/AJ945)))</f>
        <v>0</v>
      </c>
      <c r="AQ945" s="62" t="n">
        <f aca="false">IF(LEFT(Cockpit!$I$5,1)="A",H945,IF(Parameter!$E$30="MAX-Bestand",IF(CI945=1,CJ945,IF(LEFT(Cockpit!$I$5,1)="B",AW945,MAX(AW945,H945))),ROUNDUP(AU945,0)))</f>
        <v>1</v>
      </c>
      <c r="AR945" s="62" t="n">
        <f aca="false">IF(CA945=1,0,ROUNDUP(AQ945/BZ945,0))</f>
        <v>1</v>
      </c>
      <c r="AS945" s="64" t="n">
        <f aca="false">IF(CR945&gt;0,CR945*MAX(1,AQ945/X945),IF(CA945=1,IF(AQ945&lt;=0,0,CE945*MAX(1,IF(H945&gt;0,AQ945/H945,1))),IF(R945&gt;0,AR945/R945,0))/MAX(0.1,N(Parameter!$M$21)))</f>
        <v>0.0384615384615385</v>
      </c>
      <c r="AT945" s="62" t="n">
        <f aca="false">AS945*CC945</f>
        <v>5.96153846153846</v>
      </c>
      <c r="AU945" s="63" t="n">
        <f aca="false">IF(LEFT(Cockpit!$I$5,1)="A",H945,IF(CI945=1,(CL945+CJ945)/2,IF(LEFT(Cockpit!$I$5,1)="B",(CL945+AW945)/2,MAX((CL945+AW945)/2,H945))))</f>
        <v>0.5</v>
      </c>
      <c r="AV945" s="62" t="n">
        <f aca="false">AU945*G945</f>
        <v>14</v>
      </c>
      <c r="AW945" s="62" t="n">
        <f aca="false">ROUNDUP(CL945+MAX(CM945,2*(J945/IF(CH945&gt;0,CH945,MAX(0.1,N(Cockpit!$I$6)))-CL945)),0)</f>
        <v>1</v>
      </c>
      <c r="AX945" s="63" t="n">
        <f aca="false">IF(AT945&gt;0,J945/AT945,-1)</f>
        <v>0</v>
      </c>
      <c r="AY945" s="63" t="n">
        <f aca="false">IF(AND(OR(CG945="L1",CG945="L23",CG945="LIFT"),AT945&gt;0),SUMIFS($AT$7:$AT$1843,$CG$7:$CG$1843,CG945,$AX$7:$AX$1843,"&gt;"&amp;AX945)+SUMIFS($AT$7:$AT$1843,$CG$7:$CG$1843,CG945,$AX$7:$AX$1843,AX945,$BX$7:$BX$1843,"&lt;="&amp;BX945),"")</f>
        <v>34545.1488095238</v>
      </c>
      <c r="AZ945" s="70" t="n">
        <f aca="false">IF(AY945="",0,MAX(0,MIN(1,(IF(CG945="L1",Parameter!$H$5,IF(CG945="L23",Parameter!$H$6+Parameter!$H$7,Parameter!$H$5+Parameter!$H$6+Parameter!$H$7))-(AY945-AT945))/AT945)))</f>
        <v>1</v>
      </c>
      <c r="BA945" s="62" t="n">
        <f aca="false">IF(LEFT(Cockpit!$O$5,1)="A",H945,IF(Parameter!$E$30="MAX-Bestand",IF(CI945=1,CJ945,IF(LEFT(Cockpit!$O$5,1)="B",BG945,MAX(BG945,H945))),ROUNDUP(BE945,0)))</f>
        <v>1</v>
      </c>
      <c r="BB945" s="62" t="n">
        <f aca="false">IF(CA945=1,0,ROUNDUP(BA945/BZ945,0))</f>
        <v>1</v>
      </c>
      <c r="BC945" s="64" t="n">
        <f aca="false">IF(CR945&gt;0,CR945*MAX(1,BA945/X945),IF(CA945=1,IF(BA945&lt;=0,0,CE945*MAX(1,IF(H945&gt;0,BA945/H945,1))),IF(R945&gt;0,BB945/R945,0))/MAX(0.1,N(Parameter!$M$21)))</f>
        <v>0.0384615384615385</v>
      </c>
      <c r="BD945" s="62" t="n">
        <f aca="false">BC945*CC945</f>
        <v>5.96153846153846</v>
      </c>
      <c r="BE945" s="63" t="n">
        <f aca="false">IF(LEFT(Cockpit!$O$5,1)="A",H945,IF(CI945=1,(CL945+CJ945)/2,IF(LEFT(Cockpit!$O$5,1)="B",(CL945+BG945)/2,MAX((CL945+BG945)/2,H945))))</f>
        <v>0.5</v>
      </c>
      <c r="BF945" s="62" t="n">
        <f aca="false">BE945*G945</f>
        <v>14</v>
      </c>
      <c r="BG945" s="62" t="n">
        <f aca="false">ROUNDUP(CL945+MAX(CM945,2*(J945/IF(CH945&gt;0,CH945,MAX(0.1,N(Cockpit!$O$6)))-CL945)),0)</f>
        <v>1</v>
      </c>
      <c r="BH945" s="63" t="n">
        <f aca="false">IF(BD945&gt;0,J945/BD945,-1)</f>
        <v>0</v>
      </c>
      <c r="BI945" s="63" t="n">
        <f aca="false">IF(AND(OR(CG945="L1",CG945="L23",CG945="LIFT"),BD945&gt;0),SUMIFS($BD$7:$BD$1843,$CG$7:$CG$1843,CG945,$BH$7:$BH$1843,"&gt;"&amp;BH945)+SUMIFS($BD$7:$BD$1843,$CG$7:$CG$1843,CG945,$BH$7:$BH$1843,BH945,$BX$7:$BX$1843,"&lt;="&amp;BX945),"")</f>
        <v>28575.6477773639</v>
      </c>
      <c r="BJ945" s="70" t="n">
        <f aca="false">IF(BI945="",0,MAX(0,MIN(1,(IF(CG945="L1",Parameter!$H$5,IF(CG945="L23",Parameter!$H$6+Parameter!$H$7,Parameter!$H$5+Parameter!$H$6+Parameter!$H$7))-(BI945-BD945))/BD945)))</f>
        <v>1</v>
      </c>
      <c r="BK945" s="60" t="str">
        <f aca="false">IF(AJ945&lt;=0,"",IF(CG945="Aussen","Aussenlager",IF(CG945="-","Nicht im Lift",IF(AP945&gt;=1,"Lift",IF(AP945&lt;=0,"Aussenlager","teilweise")))))</f>
        <v/>
      </c>
      <c r="BL945" s="60" t="str">
        <f aca="false">IF(AT945&lt;=0,"",IF(CG945="Aussen","Aussenlager",IF(CG945="-","Nicht im Lift",IF(AZ945&gt;=1,"Lift",IF(AZ945&lt;=0,"Aussenlager","teilweise")))))</f>
        <v>Lift</v>
      </c>
      <c r="BM945" s="60" t="str">
        <f aca="false">IF(BD945&lt;=0,"",IF(CG945="Aussen","Aussenlager",IF(CG945="-","Nicht im Lift",IF(BJ945&gt;=1,"Lift",IF(BJ945&lt;=0,"Aussenlager","teilweise")))))</f>
        <v>Lift</v>
      </c>
      <c r="BN945" s="60" t="str">
        <f aca="false">IF(A945="","",IF(BW945=1,"Neu; ","")&amp;IF(AND(BW945=0,BR945&lt;0),"negativer Bestand (Export "&amp;BR945&amp;"); ","")&amp;IF(J945&lt;=0,"Kein Verbrauch; ","")&amp;IF(CR945&gt;0,"Lift "&amp;W945&amp;" lt. Liftbericht (Fach "&amp;X945&amp;" Stk); ",IF(CB945=1,"Gebinde geschätzt ("&amp;T945&amp;"); ",IF(CA945=1,"Lose – Tablare geschätzt; ","")))&amp;IF(H945&gt;AW945,"Überbestand "&amp;ROUND(H945-AW945,0)&amp;" Stk / CHF "&amp;ROUND((H945-AW945)*G945,0)&amp;"; ","")&amp;IF(AND(CI945=1,CJ945&lt;CK945),"MAX &lt; MB+LG; ","")&amp;IF(AND(CQ945&gt;0,CP945*10&gt;CQ945),"zu hoch für Tablar; ","")&amp;IF(AND(BW945=0,OR(CI945=1,AB945&lt;&gt;"",U945&lt;&gt;"",V945&lt;&gt;"",AC945&lt;&gt;"")),"manuell übersteuert; ","")&amp;IF(AND(CA945=0,R945=0),"Gebinde unbekannt / Stellmass fehlt; ","")&amp;IF(AND(CA945=0,N(V945)&lt;=0,N(Q945)&lt;=0),"Menge pro Gebinde fehlt (Ist = 1 Gebinde); ","")&amp;BV945)</f>
        <v>negativer Bestand (Export -2); Kein Verbrauch; Gebinde geschätzt (Klein); Menge pro Gebinde fehlt (Ist = 1 Gebinde); </v>
      </c>
      <c r="BO945" s="60"/>
      <c r="BP945" s="60"/>
      <c r="BQ945" s="67"/>
      <c r="BR945" s="62" t="n">
        <v>-2</v>
      </c>
      <c r="BS945" s="62" t="n">
        <v>2</v>
      </c>
      <c r="BT945" s="61" t="n">
        <v>-56</v>
      </c>
      <c r="BU945" s="62" t="n">
        <v>0</v>
      </c>
      <c r="BV945" s="60"/>
      <c r="BW945" s="65" t="n">
        <v>0</v>
      </c>
      <c r="BX945" s="65" t="n">
        <v>945</v>
      </c>
      <c r="BY945" s="60" t="str">
        <f aca="false">IF(U945&lt;&gt;"",UPPER(TRIM(U945)),IF(CB945=1,UPPER(VLOOKUP(T945,Parameter!$I$27:$K$29,2,0)),IF(P945="","LOSE",P945)))</f>
        <v>S51</v>
      </c>
      <c r="BZ945" s="62" t="n">
        <f aca="false">IF(BY945="LOSE",1,IF(N(V945)&gt;0,V945,IF(CB945=1,MAX(1,N(VLOOKUP(T945,Parameter!$I$27:$K$29,3,0)),H945,N(N945)),IF(N(Q945)&gt;0,Q945,MAX(1,H945)))))</f>
        <v>20</v>
      </c>
      <c r="CA945" s="65" t="n">
        <f aca="false">IF(BY945="LOSE",1,0)</f>
        <v>0</v>
      </c>
      <c r="CB945" s="65" t="n">
        <f aca="false">IF(AND(U945="",OR(P945="",P945="LOSE"),T945&lt;&gt;"",N(S945)&lt;=0,ISNUMBER(MATCH(T945,Parameter!$I$27:$I$29,0))),1,0)</f>
        <v>1</v>
      </c>
      <c r="CC945" s="65" t="n">
        <f aca="false">IF(CR945&gt;0,INDEX(Parameter!$H$5:$H$7,W945)/INDEX(Parameter!$E$5:$E$7,W945),IF(AND(CA945=0,N(IFERROR(VLOOKUP(BY945,'Gebinde-Kategorie'!$A$5:$N$45,14,0),0))&gt;0),VLOOKUP(BY945,'Gebinde-Kategorie'!$A$5:$N$45,14,0)*10+Parameter!$M$23,Parameter!$M$24))</f>
        <v>155</v>
      </c>
      <c r="CD945" s="60" t="str">
        <f aca="false">IF(AND(Parameter!$B$19="Ja",E945&lt;&gt;"",ISNUMBER(MATCH(E945,Parameter!$I$35:$I$52,0))),VLOOKUP(E945,Parameter!$I$35:$J$52,2,0),IFERROR(VLOOKUP(D945,Parameter!$A$35:$C$64,2,0),"Nein"))</f>
        <v>2+3</v>
      </c>
      <c r="CE945" s="64" t="n">
        <f aca="false">IF(CA945=0,0,IF(N(S945)&gt;0,S945,IFERROR(VLOOKUP(D945,Parameter!$A$35:$C$64,3,0)+0,0)))</f>
        <v>0</v>
      </c>
      <c r="CF945" s="60" t="n">
        <f aca="false">IF(AB945&lt;&gt;"",AB945,AA945)</f>
        <v>3</v>
      </c>
      <c r="CG945" s="60" t="str">
        <f aca="false">IF(OR(CF945=1,CF945=2,CF945=3),IF(Parameter!$E$27="Ja","LIFT",IF(CF945=1,"L1","L23")),IF(CF945="Aussen","Aussen","-"))</f>
        <v>LIFT</v>
      </c>
      <c r="CH945" s="71" t="n">
        <f aca="false">IF(N(AC945)&gt;0,AC945,0)</f>
        <v>0</v>
      </c>
      <c r="CI945" s="65" t="n">
        <f aca="false">IF(ISNUMBER(AF945),1,0)</f>
        <v>0</v>
      </c>
      <c r="CJ945" s="62" t="n">
        <f aca="false">N(AF945)</f>
        <v>0</v>
      </c>
      <c r="CK945" s="62" t="n">
        <f aca="false">N(M945)+N(N945)</f>
        <v>1</v>
      </c>
      <c r="CL945" s="62" t="n">
        <f aca="false">N(M945)</f>
        <v>0</v>
      </c>
      <c r="CM945" s="62" t="n">
        <f aca="false">N(N945)</f>
        <v>1</v>
      </c>
      <c r="CN945" s="62" t="n">
        <f aca="false">ROUNDUP(H945/BZ945,0)</f>
        <v>0</v>
      </c>
      <c r="CO945" s="62" t="n">
        <f aca="false">ROUNDUP(CJ945/BZ945,0)</f>
        <v>0</v>
      </c>
      <c r="CP945" s="65" t="n">
        <f aca="false">IF(CA945=1,0,IFERROR(VLOOKUP(BY945,'Gebinde-Kategorie'!$A$5:$N$45,5,0)+0,0))</f>
        <v>11</v>
      </c>
      <c r="CQ945" s="65" t="n">
        <f aca="false">IFERROR(IF(OR(CF945=1,CF945=2,CF945=3),N(INDEX(Parameter!$I$5:$I$7,CF945)),0),0)</f>
        <v>0</v>
      </c>
      <c r="CR945" s="64" t="n">
        <f aca="false">IF(AND(Parameter!$B$21="Ja",ISNUMBER(W945),N(X945)&gt;0),IFERROR(N(INDEX(Parameter!$L$5:$L$7,W945))*INDEX(Parameter!$E$5:$E$7,W945)*X945/SUMIFS($X$7:$X$1843,$W$7:$W$1843,W945),0),0)</f>
        <v>0</v>
      </c>
      <c r="CS945" s="62" t="str">
        <f aca="false">IF(AND(OR(CG945="L1",CG945="L23",CG945="LIFT"),H945&gt;0),CC945*IF(CR945&gt;0,CR945*MAX(1,H945/X945),IF(CA945=1,CE945,IF(R945&gt;0,CN945/R945,0))/MAX(0.1,N(Parameter!$M$21))),"")</f>
        <v/>
      </c>
      <c r="CT945" s="64" t="str">
        <f aca="false">IF(CS945="","",J945/H945)</f>
        <v/>
      </c>
      <c r="CU945" s="62" t="str">
        <f aca="false">IF(CS945="","",H945*G945)</f>
        <v/>
      </c>
      <c r="CV945" s="63" t="str">
        <f aca="false">IF(CS945="","",(CL945+ROUNDUP(CL945+MAX(CM945,2*(J945/MAX(0.1,N(Einkauf!$C$6))-CL945)),0))/2)</f>
        <v/>
      </c>
      <c r="CW945" s="62" t="str">
        <f aca="false">IF(CS945="","",MAX(0,H945-CV945)*G945)</f>
        <v/>
      </c>
      <c r="CX945" s="62" t="str">
        <f aca="false">IF(CS945="","",CS945*MAX(0,1-CV945/H945))</f>
        <v/>
      </c>
      <c r="CY945" s="64" t="str">
        <f aca="false">IF(CS945="","",PERCENTRANK($CS$7:$CS$1843,CS945)+PERCENTRANK($CU$7:$CU$1843,CU945)+1-PERCENTRANK($CT$7:$CT$1843,CT945))</f>
        <v/>
      </c>
      <c r="CZ945" s="72" t="str">
        <f aca="false">IF(CS945="","",CHOOSE(MATCH(Einkauf!$C$5,Parameter!$G$23:$G$27,0),CY945,CS945,CU945,-CT945,CW945)+ROW()/1000000000)</f>
        <v/>
      </c>
    </row>
    <row r="946" customFormat="false" ht="15" hidden="false" customHeight="false" outlineLevel="0" collapsed="false">
      <c r="A946" s="60" t="s">
        <v>1806</v>
      </c>
      <c r="B946" s="60" t="s">
        <v>1025</v>
      </c>
      <c r="C946" s="60" t="s">
        <v>206</v>
      </c>
      <c r="D946" s="60" t="s">
        <v>226</v>
      </c>
      <c r="E946" s="60" t="s">
        <v>227</v>
      </c>
      <c r="F946" s="60" t="s">
        <v>260</v>
      </c>
      <c r="G946" s="61" t="n">
        <v>18.9</v>
      </c>
      <c r="H946" s="62" t="n">
        <f aca="false">MAX(0,IF(AND(Parameter!$B$21="Ja",ISNUMBER(Y946)),Y946,IF(Parameter!$B$20="Jahresanfang 2025 + Export",BS946+BR946,BR946)))</f>
        <v>2</v>
      </c>
      <c r="I946" s="62" t="n">
        <f aca="false">H946*G946</f>
        <v>37.8</v>
      </c>
      <c r="J946" s="62" t="n">
        <f aca="false">BU946*Parameter!$B$18</f>
        <v>8</v>
      </c>
      <c r="K946" s="63" t="n">
        <v>3.5</v>
      </c>
      <c r="L946" s="64" t="n">
        <v>2.28571428571429</v>
      </c>
      <c r="M946" s="62" t="n">
        <v>0</v>
      </c>
      <c r="N946" s="62" t="n">
        <v>10</v>
      </c>
      <c r="O946" s="65" t="n">
        <v>21</v>
      </c>
      <c r="P946" s="60" t="s">
        <v>344</v>
      </c>
      <c r="Q946" s="62" t="n">
        <v>10</v>
      </c>
      <c r="R946" s="65" t="n">
        <f aca="false">IF(CA946=1,0,IFERROR(VLOOKUP(BY946,'Gebinde-Kategorie'!$A$5:$N$45,13,0)+0,0))</f>
        <v>26</v>
      </c>
      <c r="S946" s="66"/>
      <c r="T946" s="67"/>
      <c r="U946" s="67"/>
      <c r="V946" s="67"/>
      <c r="W946" s="60"/>
      <c r="X946" s="62"/>
      <c r="Y946" s="62"/>
      <c r="Z946" s="60" t="n">
        <v>3</v>
      </c>
      <c r="AA946" s="60" t="n">
        <f aca="false">IF(A946="","",IF(AND(Parameter!$B$21="Ja",ISNUMBER(W946)),W946,IF(AND(Parameter!$E$27="Ja",ISNUMBER(Z946),CD946&lt;&gt;"Nein"),Z946,IF(CD946="2+3",IF(ISNUMBER(SEARCH("grosser Artikel",BV946)),2,IFERROR(VLOOKUP(BY946,Parameter!$F$35:$G$64,2,0),2)),IF(OR(CD946="Nein",CD946=""),"-",CD946)))))</f>
        <v>3</v>
      </c>
      <c r="AB946" s="67"/>
      <c r="AC946" s="68"/>
      <c r="AD946" s="62" t="n">
        <f aca="false">AW946</f>
        <v>10</v>
      </c>
      <c r="AE946" s="62" t="n">
        <f aca="false">MAX(AW946,H946)</f>
        <v>10</v>
      </c>
      <c r="AF946" s="69"/>
      <c r="AG946" s="62" t="n">
        <f aca="false">IF(LEFT(Cockpit!$C$5,1)="A",H946,IF(Parameter!$E$30="MAX-Bestand",IF(CI946=1,CJ946,IF(LEFT(Cockpit!$C$5,1)="B",AM946,MAX(AM946,H946))),ROUNDUP(AK946,0)))</f>
        <v>2</v>
      </c>
      <c r="AH946" s="62" t="n">
        <f aca="false">IF(CA946=1,0,ROUNDUP(AG946/BZ946,0))</f>
        <v>1</v>
      </c>
      <c r="AI946" s="64" t="n">
        <f aca="false">IF(CR946&gt;0,CR946*MAX(1,AG946/X946),IF(CA946=1,IF(AG946&lt;=0,0,CE946*MAX(1,IF(H946&gt;0,AG946/H946,1))),IF(R946&gt;0,AH946/R946,0))/MAX(0.1,N(Parameter!$M$21)))</f>
        <v>0.0384615384615385</v>
      </c>
      <c r="AJ946" s="62" t="n">
        <f aca="false">AI946*CC946</f>
        <v>5.96153846153846</v>
      </c>
      <c r="AK946" s="63" t="n">
        <f aca="false">IF(LEFT(Cockpit!$C$5,1)="A",H946,IF(CI946=1,(CL946+CJ946)/2,IF(LEFT(Cockpit!$C$5,1)="B",(CL946+AM946)/2,MAX((CL946+AM946)/2,H946))))</f>
        <v>2</v>
      </c>
      <c r="AL946" s="62" t="n">
        <f aca="false">AK946*G946</f>
        <v>37.8</v>
      </c>
      <c r="AM946" s="62" t="n">
        <f aca="false">ROUNDUP(CL946+MAX(CM946,2*(J946/IF(CH946&gt;0,CH946,MAX(0.1,N(Cockpit!$C$6)))-CL946)),0)</f>
        <v>10</v>
      </c>
      <c r="AN946" s="63" t="n">
        <f aca="false">IF(AJ946&gt;0,J946/AJ946,-1)</f>
        <v>1.34193548387097</v>
      </c>
      <c r="AO946" s="63" t="n">
        <f aca="false">IF(AND(OR(CG946="L1",CG946="L23",CG946="LIFT"),AJ946&gt;0),SUMIFS($AJ$7:$AJ$1843,$CG$7:$CG$1843,CG946,$AN$7:$AN$1843,"&gt;"&amp;AN946)+SUMIFS($AJ$7:$AJ$1843,$CG$7:$CG$1843,CG946,$AN$7:$AN$1843,AN946,$BX$7:$BX$1843,"&lt;="&amp;BX946),"")</f>
        <v>6343.07097069597</v>
      </c>
      <c r="AP946" s="70" t="n">
        <f aca="false">IF(AO946="",0,MAX(0,MIN(1,(IF(CG946="L1",Parameter!$H$5,IF(CG946="L23",Parameter!$H$6+Parameter!$H$7,Parameter!$H$5+Parameter!$H$6+Parameter!$H$7))-(AO946-AJ946))/AJ946)))</f>
        <v>1</v>
      </c>
      <c r="AQ946" s="62" t="n">
        <f aca="false">IF(LEFT(Cockpit!$I$5,1)="A",H946,IF(Parameter!$E$30="MAX-Bestand",IF(CI946=1,CJ946,IF(LEFT(Cockpit!$I$5,1)="B",AW946,MAX(AW946,H946))),ROUNDUP(AU946,0)))</f>
        <v>5</v>
      </c>
      <c r="AR946" s="62" t="n">
        <f aca="false">IF(CA946=1,0,ROUNDUP(AQ946/BZ946,0))</f>
        <v>1</v>
      </c>
      <c r="AS946" s="64" t="n">
        <f aca="false">IF(CR946&gt;0,CR946*MAX(1,AQ946/X946),IF(CA946=1,IF(AQ946&lt;=0,0,CE946*MAX(1,IF(H946&gt;0,AQ946/H946,1))),IF(R946&gt;0,AR946/R946,0))/MAX(0.1,N(Parameter!$M$21)))</f>
        <v>0.0384615384615385</v>
      </c>
      <c r="AT946" s="62" t="n">
        <f aca="false">AS946*CC946</f>
        <v>5.96153846153846</v>
      </c>
      <c r="AU946" s="63" t="n">
        <f aca="false">IF(LEFT(Cockpit!$I$5,1)="A",H946,IF(CI946=1,(CL946+CJ946)/2,IF(LEFT(Cockpit!$I$5,1)="B",(CL946+AW946)/2,MAX((CL946+AW946)/2,H946))))</f>
        <v>5</v>
      </c>
      <c r="AV946" s="62" t="n">
        <f aca="false">AU946*G946</f>
        <v>94.5</v>
      </c>
      <c r="AW946" s="62" t="n">
        <f aca="false">ROUNDUP(CL946+MAX(CM946,2*(J946/IF(CH946&gt;0,CH946,MAX(0.1,N(Cockpit!$I$6)))-CL946)),0)</f>
        <v>10</v>
      </c>
      <c r="AX946" s="63" t="n">
        <f aca="false">IF(AT946&gt;0,J946/AT946,-1)</f>
        <v>1.34193548387097</v>
      </c>
      <c r="AY946" s="63" t="n">
        <f aca="false">IF(AND(OR(CG946="L1",CG946="L23",CG946="LIFT"),AT946&gt;0),SUMIFS($AT$7:$AT$1843,$CG$7:$CG$1843,CG946,$AX$7:$AX$1843,"&gt;"&amp;AX946)+SUMIFS($AT$7:$AT$1843,$CG$7:$CG$1843,CG946,$AX$7:$AX$1843,AX946,$BX$7:$BX$1843,"&lt;="&amp;BX946),"")</f>
        <v>7867.25457875458</v>
      </c>
      <c r="AZ946" s="70" t="n">
        <f aca="false">IF(AY946="",0,MAX(0,MIN(1,(IF(CG946="L1",Parameter!$H$5,IF(CG946="L23",Parameter!$H$6+Parameter!$H$7,Parameter!$H$5+Parameter!$H$6+Parameter!$H$7))-(AY946-AT946))/AT946)))</f>
        <v>1</v>
      </c>
      <c r="BA946" s="62" t="n">
        <f aca="false">IF(LEFT(Cockpit!$O$5,1)="A",H946,IF(Parameter!$E$30="MAX-Bestand",IF(CI946=1,CJ946,IF(LEFT(Cockpit!$O$5,1)="B",BG946,MAX(BG946,H946))),ROUNDUP(BE946,0)))</f>
        <v>5</v>
      </c>
      <c r="BB946" s="62" t="n">
        <f aca="false">IF(CA946=1,0,ROUNDUP(BA946/BZ946,0))</f>
        <v>1</v>
      </c>
      <c r="BC946" s="64" t="n">
        <f aca="false">IF(CR946&gt;0,CR946*MAX(1,BA946/X946),IF(CA946=1,IF(BA946&lt;=0,0,CE946*MAX(1,IF(H946&gt;0,BA946/H946,1))),IF(R946&gt;0,BB946/R946,0))/MAX(0.1,N(Parameter!$M$21)))</f>
        <v>0.0384615384615385</v>
      </c>
      <c r="BD946" s="62" t="n">
        <f aca="false">BC946*CC946</f>
        <v>5.96153846153846</v>
      </c>
      <c r="BE946" s="63" t="n">
        <f aca="false">IF(LEFT(Cockpit!$O$5,1)="A",H946,IF(CI946=1,(CL946+CJ946)/2,IF(LEFT(Cockpit!$O$5,1)="B",(CL946+BG946)/2,MAX((CL946+BG946)/2,H946))))</f>
        <v>5</v>
      </c>
      <c r="BF946" s="62" t="n">
        <f aca="false">BE946*G946</f>
        <v>94.5</v>
      </c>
      <c r="BG946" s="62" t="n">
        <f aca="false">ROUNDUP(CL946+MAX(CM946,2*(J946/IF(CH946&gt;0,CH946,MAX(0.1,N(Cockpit!$O$6)))-CL946)),0)</f>
        <v>10</v>
      </c>
      <c r="BH946" s="63" t="n">
        <f aca="false">IF(BD946&gt;0,J946/BD946,-1)</f>
        <v>1.34193548387097</v>
      </c>
      <c r="BI946" s="63" t="n">
        <f aca="false">IF(AND(OR(CG946="L1",CG946="L23",CG946="LIFT"),BD946&gt;0),SUMIFS($BD$7:$BD$1843,$CG$7:$CG$1843,CG946,$BH$7:$BH$1843,"&gt;"&amp;BH946)+SUMIFS($BD$7:$BD$1843,$CG$7:$CG$1843,CG946,$BH$7:$BH$1843,BH946,$BX$7:$BX$1843,"&lt;="&amp;BX946),"")</f>
        <v>6804.47023809524</v>
      </c>
      <c r="BJ946" s="70" t="n">
        <f aca="false">IF(BI946="",0,MAX(0,MIN(1,(IF(CG946="L1",Parameter!$H$5,IF(CG946="L23",Parameter!$H$6+Parameter!$H$7,Parameter!$H$5+Parameter!$H$6+Parameter!$H$7))-(BI946-BD946))/BD946)))</f>
        <v>1</v>
      </c>
      <c r="BK946" s="60" t="str">
        <f aca="false">IF(AJ946&lt;=0,"",IF(CG946="Aussen","Aussenlager",IF(CG946="-","Nicht im Lift",IF(AP946&gt;=1,"Lift",IF(AP946&lt;=0,"Aussenlager","teilweise")))))</f>
        <v>Lift</v>
      </c>
      <c r="BL946" s="60" t="str">
        <f aca="false">IF(AT946&lt;=0,"",IF(CG946="Aussen","Aussenlager",IF(CG946="-","Nicht im Lift",IF(AZ946&gt;=1,"Lift",IF(AZ946&lt;=0,"Aussenlager","teilweise")))))</f>
        <v>Lift</v>
      </c>
      <c r="BM946" s="60" t="str">
        <f aca="false">IF(BD946&lt;=0,"",IF(CG946="Aussen","Aussenlager",IF(CG946="-","Nicht im Lift",IF(BJ946&gt;=1,"Lift",IF(BJ946&lt;=0,"Aussenlager","teilweise")))))</f>
        <v>Lift</v>
      </c>
      <c r="BN946" s="60" t="str">
        <f aca="false">IF(A946="","",IF(BW946=1,"Neu; ","")&amp;IF(AND(BW946=0,BR946&lt;0),"negativer Bestand (Export "&amp;BR946&amp;"); ","")&amp;IF(J946&lt;=0,"Kein Verbrauch; ","")&amp;IF(CR946&gt;0,"Lift "&amp;W946&amp;" lt. Liftbericht (Fach "&amp;X946&amp;" Stk); ",IF(CB946=1,"Gebinde geschätzt ("&amp;T946&amp;"); ",IF(CA946=1,"Lose – Tablare geschätzt; ","")))&amp;IF(H946&gt;AW946,"Überbestand "&amp;ROUND(H946-AW946,0)&amp;" Stk / CHF "&amp;ROUND((H946-AW946)*G946,0)&amp;"; ","")&amp;IF(AND(CI946=1,CJ946&lt;CK946),"MAX &lt; MB+LG; ","")&amp;IF(AND(CQ946&gt;0,CP946*10&gt;CQ946),"zu hoch für Tablar; ","")&amp;IF(AND(BW946=0,OR(CI946=1,AB946&lt;&gt;"",U946&lt;&gt;"",V946&lt;&gt;"",AC946&lt;&gt;"")),"manuell übersteuert; ","")&amp;IF(AND(CA946=0,R946=0),"Gebinde unbekannt / Stellmass fehlt; ","")&amp;IF(AND(CA946=0,N(V946)&lt;=0,N(Q946)&lt;=0),"Menge pro Gebinde fehlt (Ist = 1 Gebinde); ","")&amp;BV946)</f>
        <v>negativer Bestand (Export -3); </v>
      </c>
      <c r="BO946" s="60"/>
      <c r="BP946" s="60"/>
      <c r="BQ946" s="67"/>
      <c r="BR946" s="62" t="n">
        <v>-3</v>
      </c>
      <c r="BS946" s="62" t="n">
        <v>5</v>
      </c>
      <c r="BT946" s="61" t="n">
        <v>-56.7</v>
      </c>
      <c r="BU946" s="62" t="n">
        <v>8</v>
      </c>
      <c r="BV946" s="60"/>
      <c r="BW946" s="65" t="n">
        <v>0</v>
      </c>
      <c r="BX946" s="65" t="n">
        <v>946</v>
      </c>
      <c r="BY946" s="60" t="str">
        <f aca="false">IF(U946&lt;&gt;"",UPPER(TRIM(U946)),IF(CB946=1,UPPER(VLOOKUP(T946,Parameter!$I$27:$K$29,2,0)),IF(P946="","LOSE",P946)))</f>
        <v>S51</v>
      </c>
      <c r="BZ946" s="62" t="n">
        <f aca="false">IF(BY946="LOSE",1,IF(N(V946)&gt;0,V946,IF(CB946=1,MAX(1,N(VLOOKUP(T946,Parameter!$I$27:$K$29,3,0)),H946,N(N946)),IF(N(Q946)&gt;0,Q946,MAX(1,H946)))))</f>
        <v>10</v>
      </c>
      <c r="CA946" s="65" t="n">
        <f aca="false">IF(BY946="LOSE",1,0)</f>
        <v>0</v>
      </c>
      <c r="CB946" s="65" t="n">
        <f aca="false">IF(AND(U946="",OR(P946="",P946="LOSE"),T946&lt;&gt;"",N(S946)&lt;=0,ISNUMBER(MATCH(T946,Parameter!$I$27:$I$29,0))),1,0)</f>
        <v>0</v>
      </c>
      <c r="CC946" s="65" t="n">
        <f aca="false">IF(CR946&gt;0,INDEX(Parameter!$H$5:$H$7,W946)/INDEX(Parameter!$E$5:$E$7,W946),IF(AND(CA946=0,N(IFERROR(VLOOKUP(BY946,'Gebinde-Kategorie'!$A$5:$N$45,14,0),0))&gt;0),VLOOKUP(BY946,'Gebinde-Kategorie'!$A$5:$N$45,14,0)*10+Parameter!$M$23,Parameter!$M$24))</f>
        <v>155</v>
      </c>
      <c r="CD946" s="60" t="str">
        <f aca="false">IF(AND(Parameter!$B$19="Ja",E946&lt;&gt;"",ISNUMBER(MATCH(E946,Parameter!$I$35:$I$52,0))),VLOOKUP(E946,Parameter!$I$35:$J$52,2,0),IFERROR(VLOOKUP(D946,Parameter!$A$35:$C$64,2,0),"Nein"))</f>
        <v>2+3</v>
      </c>
      <c r="CE946" s="64" t="n">
        <f aca="false">IF(CA946=0,0,IF(N(S946)&gt;0,S946,IFERROR(VLOOKUP(D946,Parameter!$A$35:$C$64,3,0)+0,0)))</f>
        <v>0</v>
      </c>
      <c r="CF946" s="60" t="n">
        <f aca="false">IF(AB946&lt;&gt;"",AB946,AA946)</f>
        <v>3</v>
      </c>
      <c r="CG946" s="60" t="str">
        <f aca="false">IF(OR(CF946=1,CF946=2,CF946=3),IF(Parameter!$E$27="Ja","LIFT",IF(CF946=1,"L1","L23")),IF(CF946="Aussen","Aussen","-"))</f>
        <v>LIFT</v>
      </c>
      <c r="CH946" s="71" t="n">
        <f aca="false">IF(N(AC946)&gt;0,AC946,0)</f>
        <v>0</v>
      </c>
      <c r="CI946" s="65" t="n">
        <f aca="false">IF(ISNUMBER(AF946),1,0)</f>
        <v>0</v>
      </c>
      <c r="CJ946" s="62" t="n">
        <f aca="false">N(AF946)</f>
        <v>0</v>
      </c>
      <c r="CK946" s="62" t="n">
        <f aca="false">N(M946)+N(N946)</f>
        <v>10</v>
      </c>
      <c r="CL946" s="62" t="n">
        <f aca="false">N(M946)</f>
        <v>0</v>
      </c>
      <c r="CM946" s="62" t="n">
        <f aca="false">N(N946)</f>
        <v>10</v>
      </c>
      <c r="CN946" s="62" t="n">
        <f aca="false">ROUNDUP(H946/BZ946,0)</f>
        <v>1</v>
      </c>
      <c r="CO946" s="62" t="n">
        <f aca="false">ROUNDUP(CJ946/BZ946,0)</f>
        <v>0</v>
      </c>
      <c r="CP946" s="65" t="n">
        <f aca="false">IF(CA946=1,0,IFERROR(VLOOKUP(BY946,'Gebinde-Kategorie'!$A$5:$N$45,5,0)+0,0))</f>
        <v>11</v>
      </c>
      <c r="CQ946" s="65" t="n">
        <f aca="false">IFERROR(IF(OR(CF946=1,CF946=2,CF946=3),N(INDEX(Parameter!$I$5:$I$7,CF946)),0),0)</f>
        <v>0</v>
      </c>
      <c r="CR946" s="64" t="n">
        <f aca="false">IF(AND(Parameter!$B$21="Ja",ISNUMBER(W946),N(X946)&gt;0),IFERROR(N(INDEX(Parameter!$L$5:$L$7,W946))*INDEX(Parameter!$E$5:$E$7,W946)*X946/SUMIFS($X$7:$X$1843,$W$7:$W$1843,W946),0),0)</f>
        <v>0</v>
      </c>
      <c r="CS946" s="62" t="n">
        <f aca="false">IF(AND(OR(CG946="L1",CG946="L23",CG946="LIFT"),H946&gt;0),CC946*IF(CR946&gt;0,CR946*MAX(1,H946/X946),IF(CA946=1,CE946,IF(R946&gt;0,CN946/R946,0))/MAX(0.1,N(Parameter!$M$21))),"")</f>
        <v>5.96153846153846</v>
      </c>
      <c r="CT946" s="64" t="n">
        <f aca="false">IF(CS946="","",J946/H946)</f>
        <v>4</v>
      </c>
      <c r="CU946" s="62" t="n">
        <f aca="false">IF(CS946="","",H946*G946)</f>
        <v>37.8</v>
      </c>
      <c r="CV946" s="63" t="n">
        <f aca="false">IF(CS946="","",(CL946+ROUNDUP(CL946+MAX(CM946,2*(J946/MAX(0.1,N(Einkauf!$C$6))-CL946)),0))/2)</f>
        <v>5</v>
      </c>
      <c r="CW946" s="62" t="n">
        <f aca="false">IF(CS946="","",MAX(0,H946-CV946)*G946)</f>
        <v>0</v>
      </c>
      <c r="CX946" s="62" t="n">
        <f aca="false">IF(CS946="","",CS946*MAX(0,1-CV946/H946))</f>
        <v>0</v>
      </c>
      <c r="CY946" s="64" t="n">
        <f aca="false">IF(CS946="","",PERCENTRANK($CS$7:$CS$1843,CS946)+PERCENTRANK($CU$7:$CU$1843,CU946)+1-PERCENTRANK($CT$7:$CT$1843,CT946))</f>
        <v>0.55</v>
      </c>
      <c r="CZ946" s="72" t="n">
        <f aca="false">IF(CS946="","",CHOOSE(MATCH(Einkauf!$C$5,Parameter!$G$23:$G$27,0),CY946,CS946,CU946,-CT946,CW946)+ROW()/1000000000)</f>
        <v>0.550000946</v>
      </c>
    </row>
    <row r="947" customFormat="false" ht="15" hidden="false" customHeight="false" outlineLevel="0" collapsed="false">
      <c r="A947" s="60" t="s">
        <v>1807</v>
      </c>
      <c r="B947" s="60" t="s">
        <v>1808</v>
      </c>
      <c r="C947" s="60" t="s">
        <v>206</v>
      </c>
      <c r="D947" s="60" t="s">
        <v>226</v>
      </c>
      <c r="E947" s="60" t="s">
        <v>227</v>
      </c>
      <c r="F947" s="60" t="s">
        <v>260</v>
      </c>
      <c r="G947" s="61" t="n">
        <v>28.49</v>
      </c>
      <c r="H947" s="62" t="n">
        <f aca="false">MAX(0,IF(AND(Parameter!$B$21="Ja",ISNUMBER(Y947)),Y947,IF(Parameter!$B$20="Jahresanfang 2025 + Export",BS947+BR947,BR947)))</f>
        <v>2</v>
      </c>
      <c r="I947" s="62" t="n">
        <f aca="false">H947*G947</f>
        <v>56.98</v>
      </c>
      <c r="J947" s="62" t="n">
        <f aca="false">BU947*Parameter!$B$18</f>
        <v>0</v>
      </c>
      <c r="K947" s="63" t="n">
        <v>4</v>
      </c>
      <c r="L947" s="64" t="n">
        <v>0</v>
      </c>
      <c r="M947" s="62" t="n">
        <v>0</v>
      </c>
      <c r="N947" s="62" t="n">
        <v>1</v>
      </c>
      <c r="O947" s="65" t="n">
        <v>28</v>
      </c>
      <c r="P947" s="60" t="s">
        <v>370</v>
      </c>
      <c r="Q947" s="62" t="n">
        <v>3</v>
      </c>
      <c r="R947" s="65" t="n">
        <f aca="false">IF(CA947=1,0,IFERROR(VLOOKUP(BY947,'Gebinde-Kategorie'!$A$5:$N$45,13,0)+0,0))</f>
        <v>52</v>
      </c>
      <c r="S947" s="66"/>
      <c r="T947" s="67"/>
      <c r="U947" s="67"/>
      <c r="V947" s="67"/>
      <c r="W947" s="60"/>
      <c r="X947" s="62"/>
      <c r="Y947" s="62"/>
      <c r="Z947" s="60" t="n">
        <v>2</v>
      </c>
      <c r="AA947" s="60" t="n">
        <f aca="false">IF(A947="","",IF(AND(Parameter!$B$21="Ja",ISNUMBER(W947)),W947,IF(AND(Parameter!$E$27="Ja",ISNUMBER(Z947),CD947&lt;&gt;"Nein"),Z947,IF(CD947="2+3",IF(ISNUMBER(SEARCH("grosser Artikel",BV947)),2,IFERROR(VLOOKUP(BY947,Parameter!$F$35:$G$64,2,0),2)),IF(OR(CD947="Nein",CD947=""),"-",CD947)))))</f>
        <v>2</v>
      </c>
      <c r="AB947" s="67"/>
      <c r="AC947" s="68"/>
      <c r="AD947" s="62" t="n">
        <f aca="false">AW947</f>
        <v>1</v>
      </c>
      <c r="AE947" s="62" t="n">
        <f aca="false">MAX(AW947,H947)</f>
        <v>2</v>
      </c>
      <c r="AF947" s="69"/>
      <c r="AG947" s="62" t="n">
        <f aca="false">IF(LEFT(Cockpit!$C$5,1)="A",H947,IF(Parameter!$E$30="MAX-Bestand",IF(CI947=1,CJ947,IF(LEFT(Cockpit!$C$5,1)="B",AM947,MAX(AM947,H947))),ROUNDUP(AK947,0)))</f>
        <v>2</v>
      </c>
      <c r="AH947" s="62" t="n">
        <f aca="false">IF(CA947=1,0,ROUNDUP(AG947/BZ947,0))</f>
        <v>1</v>
      </c>
      <c r="AI947" s="64" t="n">
        <f aca="false">IF(CR947&gt;0,CR947*MAX(1,AG947/X947),IF(CA947=1,IF(AG947&lt;=0,0,CE947*MAX(1,IF(H947&gt;0,AG947/H947,1))),IF(R947&gt;0,AH947/R947,0))/MAX(0.1,N(Parameter!$M$21)))</f>
        <v>0.0192307692307692</v>
      </c>
      <c r="AJ947" s="62" t="n">
        <f aca="false">AI947*CC947</f>
        <v>2.98076923076923</v>
      </c>
      <c r="AK947" s="63" t="n">
        <f aca="false">IF(LEFT(Cockpit!$C$5,1)="A",H947,IF(CI947=1,(CL947+CJ947)/2,IF(LEFT(Cockpit!$C$5,1)="B",(CL947+AM947)/2,MAX((CL947+AM947)/2,H947))))</f>
        <v>2</v>
      </c>
      <c r="AL947" s="62" t="n">
        <f aca="false">AK947*G947</f>
        <v>56.98</v>
      </c>
      <c r="AM947" s="62" t="n">
        <f aca="false">ROUNDUP(CL947+MAX(CM947,2*(J947/IF(CH947&gt;0,CH947,MAX(0.1,N(Cockpit!$C$6)))-CL947)),0)</f>
        <v>1</v>
      </c>
      <c r="AN947" s="63" t="n">
        <f aca="false">IF(AJ947&gt;0,J947/AJ947,-1)</f>
        <v>0</v>
      </c>
      <c r="AO947" s="63" t="n">
        <f aca="false">IF(AND(OR(CG947="L1",CG947="L23",CG947="LIFT"),AJ947&gt;0),SUMIFS($AJ$7:$AJ$1843,$CG$7:$CG$1843,CG947,$AN$7:$AN$1843,"&gt;"&amp;AN947)+SUMIFS($AJ$7:$AJ$1843,$CG$7:$CG$1843,CG947,$AN$7:$AN$1843,AN947,$BX$7:$BX$1843,"&lt;="&amp;BX947),"")</f>
        <v>28880.1965967178</v>
      </c>
      <c r="AP947" s="70" t="n">
        <f aca="false">IF(AO947="",0,MAX(0,MIN(1,(IF(CG947="L1",Parameter!$H$5,IF(CG947="L23",Parameter!$H$6+Parameter!$H$7,Parameter!$H$5+Parameter!$H$6+Parameter!$H$7))-(AO947-AJ947))/AJ947)))</f>
        <v>1</v>
      </c>
      <c r="AQ947" s="62" t="n">
        <f aca="false">IF(LEFT(Cockpit!$I$5,1)="A",H947,IF(Parameter!$E$30="MAX-Bestand",IF(CI947=1,CJ947,IF(LEFT(Cockpit!$I$5,1)="B",AW947,MAX(AW947,H947))),ROUNDUP(AU947,0)))</f>
        <v>2</v>
      </c>
      <c r="AR947" s="62" t="n">
        <f aca="false">IF(CA947=1,0,ROUNDUP(AQ947/BZ947,0))</f>
        <v>1</v>
      </c>
      <c r="AS947" s="64" t="n">
        <f aca="false">IF(CR947&gt;0,CR947*MAX(1,AQ947/X947),IF(CA947=1,IF(AQ947&lt;=0,0,CE947*MAX(1,IF(H947&gt;0,AQ947/H947,1))),IF(R947&gt;0,AR947/R947,0))/MAX(0.1,N(Parameter!$M$21)))</f>
        <v>0.0192307692307692</v>
      </c>
      <c r="AT947" s="62" t="n">
        <f aca="false">AS947*CC947</f>
        <v>2.98076923076923</v>
      </c>
      <c r="AU947" s="63" t="n">
        <f aca="false">IF(LEFT(Cockpit!$I$5,1)="A",H947,IF(CI947=1,(CL947+CJ947)/2,IF(LEFT(Cockpit!$I$5,1)="B",(CL947+AW947)/2,MAX((CL947+AW947)/2,H947))))</f>
        <v>2</v>
      </c>
      <c r="AV947" s="62" t="n">
        <f aca="false">AU947*G947</f>
        <v>56.98</v>
      </c>
      <c r="AW947" s="62" t="n">
        <f aca="false">ROUNDUP(CL947+MAX(CM947,2*(J947/IF(CH947&gt;0,CH947,MAX(0.1,N(Cockpit!$I$6)))-CL947)),0)</f>
        <v>1</v>
      </c>
      <c r="AX947" s="63" t="n">
        <f aca="false">IF(AT947&gt;0,J947/AT947,-1)</f>
        <v>0</v>
      </c>
      <c r="AY947" s="63" t="n">
        <f aca="false">IF(AND(OR(CG947="L1",CG947="L23",CG947="LIFT"),AT947&gt;0),SUMIFS($AT$7:$AT$1843,$CG$7:$CG$1843,CG947,$AX$7:$AX$1843,"&gt;"&amp;AX947)+SUMIFS($AT$7:$AT$1843,$CG$7:$CG$1843,CG947,$AX$7:$AX$1843,AX947,$BX$7:$BX$1843,"&lt;="&amp;BX947),"")</f>
        <v>34548.1295787546</v>
      </c>
      <c r="AZ947" s="70" t="n">
        <f aca="false">IF(AY947="",0,MAX(0,MIN(1,(IF(CG947="L1",Parameter!$H$5,IF(CG947="L23",Parameter!$H$6+Parameter!$H$7,Parameter!$H$5+Parameter!$H$6+Parameter!$H$7))-(AY947-AT947))/AT947)))</f>
        <v>1</v>
      </c>
      <c r="BA947" s="62" t="n">
        <f aca="false">IF(LEFT(Cockpit!$O$5,1)="A",H947,IF(Parameter!$E$30="MAX-Bestand",IF(CI947=1,CJ947,IF(LEFT(Cockpit!$O$5,1)="B",BG947,MAX(BG947,H947))),ROUNDUP(BE947,0)))</f>
        <v>1</v>
      </c>
      <c r="BB947" s="62" t="n">
        <f aca="false">IF(CA947=1,0,ROUNDUP(BA947/BZ947,0))</f>
        <v>1</v>
      </c>
      <c r="BC947" s="64" t="n">
        <f aca="false">IF(CR947&gt;0,CR947*MAX(1,BA947/X947),IF(CA947=1,IF(BA947&lt;=0,0,CE947*MAX(1,IF(H947&gt;0,BA947/H947,1))),IF(R947&gt;0,BB947/R947,0))/MAX(0.1,N(Parameter!$M$21)))</f>
        <v>0.0192307692307692</v>
      </c>
      <c r="BD947" s="62" t="n">
        <f aca="false">BC947*CC947</f>
        <v>2.98076923076923</v>
      </c>
      <c r="BE947" s="63" t="n">
        <f aca="false">IF(LEFT(Cockpit!$O$5,1)="A",H947,IF(CI947=1,(CL947+CJ947)/2,IF(LEFT(Cockpit!$O$5,1)="B",(CL947+BG947)/2,MAX((CL947+BG947)/2,H947))))</f>
        <v>0.5</v>
      </c>
      <c r="BF947" s="62" t="n">
        <f aca="false">BE947*G947</f>
        <v>14.245</v>
      </c>
      <c r="BG947" s="62" t="n">
        <f aca="false">ROUNDUP(CL947+MAX(CM947,2*(J947/IF(CH947&gt;0,CH947,MAX(0.1,N(Cockpit!$O$6)))-CL947)),0)</f>
        <v>1</v>
      </c>
      <c r="BH947" s="63" t="n">
        <f aca="false">IF(BD947&gt;0,J947/BD947,-1)</f>
        <v>0</v>
      </c>
      <c r="BI947" s="63" t="n">
        <f aca="false">IF(AND(OR(CG947="L1",CG947="L23",CG947="LIFT"),BD947&gt;0),SUMIFS($BD$7:$BD$1843,$CG$7:$CG$1843,CG947,$BH$7:$BH$1843,"&gt;"&amp;BH947)+SUMIFS($BD$7:$BD$1843,$CG$7:$CG$1843,CG947,$BH$7:$BH$1843,BH947,$BX$7:$BX$1843,"&lt;="&amp;BX947),"")</f>
        <v>28578.6285465947</v>
      </c>
      <c r="BJ947" s="70" t="n">
        <f aca="false">IF(BI947="",0,MAX(0,MIN(1,(IF(CG947="L1",Parameter!$H$5,IF(CG947="L23",Parameter!$H$6+Parameter!$H$7,Parameter!$H$5+Parameter!$H$6+Parameter!$H$7))-(BI947-BD947))/BD947)))</f>
        <v>1</v>
      </c>
      <c r="BK947" s="60" t="str">
        <f aca="false">IF(AJ947&lt;=0,"",IF(CG947="Aussen","Aussenlager",IF(CG947="-","Nicht im Lift",IF(AP947&gt;=1,"Lift",IF(AP947&lt;=0,"Aussenlager","teilweise")))))</f>
        <v>Lift</v>
      </c>
      <c r="BL947" s="60" t="str">
        <f aca="false">IF(AT947&lt;=0,"",IF(CG947="Aussen","Aussenlager",IF(CG947="-","Nicht im Lift",IF(AZ947&gt;=1,"Lift",IF(AZ947&lt;=0,"Aussenlager","teilweise")))))</f>
        <v>Lift</v>
      </c>
      <c r="BM947" s="60" t="str">
        <f aca="false">IF(BD947&lt;=0,"",IF(CG947="Aussen","Aussenlager",IF(CG947="-","Nicht im Lift",IF(BJ947&gt;=1,"Lift",IF(BJ947&lt;=0,"Aussenlager","teilweise")))))</f>
        <v>Lift</v>
      </c>
      <c r="BN947" s="60" t="str">
        <f aca="false">IF(A947="","",IF(BW947=1,"Neu; ","")&amp;IF(AND(BW947=0,BR947&lt;0),"negativer Bestand (Export "&amp;BR947&amp;"); ","")&amp;IF(J947&lt;=0,"Kein Verbrauch; ","")&amp;IF(CR947&gt;0,"Lift "&amp;W947&amp;" lt. Liftbericht (Fach "&amp;X947&amp;" Stk); ",IF(CB947=1,"Gebinde geschätzt ("&amp;T947&amp;"); ",IF(CA947=1,"Lose – Tablare geschätzt; ","")))&amp;IF(H947&gt;AW947,"Überbestand "&amp;ROUND(H947-AW947,0)&amp;" Stk / CHF "&amp;ROUND((H947-AW947)*G947,0)&amp;"; ","")&amp;IF(AND(CI947=1,CJ947&lt;CK947),"MAX &lt; MB+LG; ","")&amp;IF(AND(CQ947&gt;0,CP947*10&gt;CQ947),"zu hoch für Tablar; ","")&amp;IF(AND(BW947=0,OR(CI947=1,AB947&lt;&gt;"",U947&lt;&gt;"",V947&lt;&gt;"",AC947&lt;&gt;"")),"manuell übersteuert; ","")&amp;IF(AND(CA947=0,R947=0),"Gebinde unbekannt / Stellmass fehlt; ","")&amp;IF(AND(CA947=0,N(V947)&lt;=0,N(Q947)&lt;=0),"Menge pro Gebinde fehlt (Ist = 1 Gebinde); ","")&amp;BV947)</f>
        <v>negativer Bestand (Export -2); Kein Verbrauch; Überbestand 1 Stk / CHF 28; </v>
      </c>
      <c r="BO947" s="60"/>
      <c r="BP947" s="60"/>
      <c r="BQ947" s="67"/>
      <c r="BR947" s="62" t="n">
        <v>-2</v>
      </c>
      <c r="BS947" s="62" t="n">
        <v>4</v>
      </c>
      <c r="BT947" s="61" t="n">
        <v>-56.98</v>
      </c>
      <c r="BU947" s="62" t="n">
        <v>0</v>
      </c>
      <c r="BV947" s="60"/>
      <c r="BW947" s="65" t="n">
        <v>0</v>
      </c>
      <c r="BX947" s="65" t="n">
        <v>947</v>
      </c>
      <c r="BY947" s="60" t="str">
        <f aca="false">IF(U947&lt;&gt;"",UPPER(TRIM(U947)),IF(CB947=1,UPPER(VLOOKUP(T947,Parameter!$I$27:$K$29,2,0)),IF(P947="","LOSE",P947)))</f>
        <v>S41</v>
      </c>
      <c r="BZ947" s="62" t="n">
        <f aca="false">IF(BY947="LOSE",1,IF(N(V947)&gt;0,V947,IF(CB947=1,MAX(1,N(VLOOKUP(T947,Parameter!$I$27:$K$29,3,0)),H947,N(N947)),IF(N(Q947)&gt;0,Q947,MAX(1,H947)))))</f>
        <v>3</v>
      </c>
      <c r="CA947" s="65" t="n">
        <f aca="false">IF(BY947="LOSE",1,0)</f>
        <v>0</v>
      </c>
      <c r="CB947" s="65" t="n">
        <f aca="false">IF(AND(U947="",OR(P947="",P947="LOSE"),T947&lt;&gt;"",N(S947)&lt;=0,ISNUMBER(MATCH(T947,Parameter!$I$27:$I$29,0))),1,0)</f>
        <v>0</v>
      </c>
      <c r="CC947" s="65" t="n">
        <f aca="false">IF(CR947&gt;0,INDEX(Parameter!$H$5:$H$7,W947)/INDEX(Parameter!$E$5:$E$7,W947),IF(AND(CA947=0,N(IFERROR(VLOOKUP(BY947,'Gebinde-Kategorie'!$A$5:$N$45,14,0),0))&gt;0),VLOOKUP(BY947,'Gebinde-Kategorie'!$A$5:$N$45,14,0)*10+Parameter!$M$23,Parameter!$M$24))</f>
        <v>155</v>
      </c>
      <c r="CD947" s="60" t="str">
        <f aca="false">IF(AND(Parameter!$B$19="Ja",E947&lt;&gt;"",ISNUMBER(MATCH(E947,Parameter!$I$35:$I$52,0))),VLOOKUP(E947,Parameter!$I$35:$J$52,2,0),IFERROR(VLOOKUP(D947,Parameter!$A$35:$C$64,2,0),"Nein"))</f>
        <v>2+3</v>
      </c>
      <c r="CE947" s="64" t="n">
        <f aca="false">IF(CA947=0,0,IF(N(S947)&gt;0,S947,IFERROR(VLOOKUP(D947,Parameter!$A$35:$C$64,3,0)+0,0)))</f>
        <v>0</v>
      </c>
      <c r="CF947" s="60" t="n">
        <f aca="false">IF(AB947&lt;&gt;"",AB947,AA947)</f>
        <v>2</v>
      </c>
      <c r="CG947" s="60" t="str">
        <f aca="false">IF(OR(CF947=1,CF947=2,CF947=3),IF(Parameter!$E$27="Ja","LIFT",IF(CF947=1,"L1","L23")),IF(CF947="Aussen","Aussen","-"))</f>
        <v>LIFT</v>
      </c>
      <c r="CH947" s="71" t="n">
        <f aca="false">IF(N(AC947)&gt;0,AC947,0)</f>
        <v>0</v>
      </c>
      <c r="CI947" s="65" t="n">
        <f aca="false">IF(ISNUMBER(AF947),1,0)</f>
        <v>0</v>
      </c>
      <c r="CJ947" s="62" t="n">
        <f aca="false">N(AF947)</f>
        <v>0</v>
      </c>
      <c r="CK947" s="62" t="n">
        <f aca="false">N(M947)+N(N947)</f>
        <v>1</v>
      </c>
      <c r="CL947" s="62" t="n">
        <f aca="false">N(M947)</f>
        <v>0</v>
      </c>
      <c r="CM947" s="62" t="n">
        <f aca="false">N(N947)</f>
        <v>1</v>
      </c>
      <c r="CN947" s="62" t="n">
        <f aca="false">ROUNDUP(H947/BZ947,0)</f>
        <v>1</v>
      </c>
      <c r="CO947" s="62" t="n">
        <f aca="false">ROUNDUP(CJ947/BZ947,0)</f>
        <v>0</v>
      </c>
      <c r="CP947" s="65" t="n">
        <f aca="false">IF(CA947=1,0,IFERROR(VLOOKUP(BY947,'Gebinde-Kategorie'!$A$5:$N$45,5,0)+0,0))</f>
        <v>11</v>
      </c>
      <c r="CQ947" s="65" t="n">
        <f aca="false">IFERROR(IF(OR(CF947=1,CF947=2,CF947=3),N(INDEX(Parameter!$I$5:$I$7,CF947)),0),0)</f>
        <v>0</v>
      </c>
      <c r="CR947" s="64" t="n">
        <f aca="false">IF(AND(Parameter!$B$21="Ja",ISNUMBER(W947),N(X947)&gt;0),IFERROR(N(INDEX(Parameter!$L$5:$L$7,W947))*INDEX(Parameter!$E$5:$E$7,W947)*X947/SUMIFS($X$7:$X$1843,$W$7:$W$1843,W947),0),0)</f>
        <v>0</v>
      </c>
      <c r="CS947" s="62" t="n">
        <f aca="false">IF(AND(OR(CG947="L1",CG947="L23",CG947="LIFT"),H947&gt;0),CC947*IF(CR947&gt;0,CR947*MAX(1,H947/X947),IF(CA947=1,CE947,IF(R947&gt;0,CN947/R947,0))/MAX(0.1,N(Parameter!$M$21))),"")</f>
        <v>2.98076923076923</v>
      </c>
      <c r="CT947" s="64" t="n">
        <f aca="false">IF(CS947="","",J947/H947)</f>
        <v>0</v>
      </c>
      <c r="CU947" s="62" t="n">
        <f aca="false">IF(CS947="","",H947*G947)</f>
        <v>56.98</v>
      </c>
      <c r="CV947" s="63" t="n">
        <f aca="false">IF(CS947="","",(CL947+ROUNDUP(CL947+MAX(CM947,2*(J947/MAX(0.1,N(Einkauf!$C$6))-CL947)),0))/2)</f>
        <v>0.5</v>
      </c>
      <c r="CW947" s="62" t="n">
        <f aca="false">IF(CS947="","",MAX(0,H947-CV947)*G947)</f>
        <v>42.735</v>
      </c>
      <c r="CX947" s="62" t="n">
        <f aca="false">IF(CS947="","",CS947*MAX(0,1-CV947/H947))</f>
        <v>2.23557692307692</v>
      </c>
      <c r="CY947" s="64" t="n">
        <f aca="false">IF(CS947="","",PERCENTRANK($CS$7:$CS$1843,CS947)+PERCENTRANK($CU$7:$CU$1843,CU947)+1-PERCENTRANK($CT$7:$CT$1843,CT947))</f>
        <v>1.374</v>
      </c>
      <c r="CZ947" s="72" t="n">
        <f aca="false">IF(CS947="","",CHOOSE(MATCH(Einkauf!$C$5,Parameter!$G$23:$G$27,0),CY947,CS947,CU947,-CT947,CW947)+ROW()/1000000000)</f>
        <v>1.374000947</v>
      </c>
    </row>
    <row r="948" customFormat="false" ht="15" hidden="false" customHeight="false" outlineLevel="0" collapsed="false">
      <c r="A948" s="60" t="s">
        <v>1809</v>
      </c>
      <c r="B948" s="60" t="s">
        <v>1810</v>
      </c>
      <c r="C948" s="60" t="s">
        <v>206</v>
      </c>
      <c r="D948" s="60" t="s">
        <v>226</v>
      </c>
      <c r="E948" s="60" t="s">
        <v>227</v>
      </c>
      <c r="F948" s="60" t="s">
        <v>260</v>
      </c>
      <c r="G948" s="61" t="n">
        <v>3.79</v>
      </c>
      <c r="H948" s="62" t="n">
        <f aca="false">MAX(0,IF(AND(Parameter!$B$21="Ja",ISNUMBER(Y948)),Y948,IF(Parameter!$B$20="Jahresanfang 2025 + Export",BS948+BR948,BR948)))</f>
        <v>22</v>
      </c>
      <c r="I948" s="62" t="n">
        <f aca="false">H948*G948</f>
        <v>83.38</v>
      </c>
      <c r="J948" s="62" t="n">
        <f aca="false">BU948*Parameter!$B$18</f>
        <v>35</v>
      </c>
      <c r="K948" s="63" t="n">
        <v>28.5</v>
      </c>
      <c r="L948" s="64" t="n">
        <v>1.2280701754386</v>
      </c>
      <c r="M948" s="62" t="n">
        <v>1</v>
      </c>
      <c r="N948" s="62" t="n">
        <v>35</v>
      </c>
      <c r="O948" s="65" t="n">
        <v>14</v>
      </c>
      <c r="P948" s="60" t="s">
        <v>275</v>
      </c>
      <c r="Q948" s="62" t="n">
        <v>48</v>
      </c>
      <c r="R948" s="65" t="n">
        <f aca="false">IF(CA948=1,0,IFERROR(VLOOKUP(BY948,'Gebinde-Kategorie'!$A$5:$N$45,13,0)+0,0))</f>
        <v>26</v>
      </c>
      <c r="S948" s="66"/>
      <c r="T948" s="67"/>
      <c r="U948" s="67"/>
      <c r="V948" s="67"/>
      <c r="W948" s="60"/>
      <c r="X948" s="62"/>
      <c r="Y948" s="62"/>
      <c r="Z948" s="60" t="n">
        <v>3</v>
      </c>
      <c r="AA948" s="60" t="n">
        <f aca="false">IF(A948="","",IF(AND(Parameter!$B$21="Ja",ISNUMBER(W948)),W948,IF(AND(Parameter!$E$27="Ja",ISNUMBER(Z948),CD948&lt;&gt;"Nein"),Z948,IF(CD948="2+3",IF(ISNUMBER(SEARCH("grosser Artikel",BV948)),2,IFERROR(VLOOKUP(BY948,Parameter!$F$35:$G$64,2,0),2)),IF(OR(CD948="Nein",CD948=""),"-",CD948)))))</f>
        <v>3</v>
      </c>
      <c r="AB948" s="67"/>
      <c r="AC948" s="68"/>
      <c r="AD948" s="62" t="n">
        <f aca="false">AW948</f>
        <v>36</v>
      </c>
      <c r="AE948" s="62" t="n">
        <f aca="false">MAX(AW948,H948)</f>
        <v>36</v>
      </c>
      <c r="AF948" s="69"/>
      <c r="AG948" s="62" t="n">
        <f aca="false">IF(LEFT(Cockpit!$C$5,1)="A",H948,IF(Parameter!$E$30="MAX-Bestand",IF(CI948=1,CJ948,IF(LEFT(Cockpit!$C$5,1)="B",AM948,MAX(AM948,H948))),ROUNDUP(AK948,0)))</f>
        <v>22</v>
      </c>
      <c r="AH948" s="62" t="n">
        <f aca="false">IF(CA948=1,0,ROUNDUP(AG948/BZ948,0))</f>
        <v>1</v>
      </c>
      <c r="AI948" s="64" t="n">
        <f aca="false">IF(CR948&gt;0,CR948*MAX(1,AG948/X948),IF(CA948=1,IF(AG948&lt;=0,0,CE948*MAX(1,IF(H948&gt;0,AG948/H948,1))),IF(R948&gt;0,AH948/R948,0))/MAX(0.1,N(Parameter!$M$21)))</f>
        <v>0.0384615384615385</v>
      </c>
      <c r="AJ948" s="62" t="n">
        <f aca="false">AI948*CC948</f>
        <v>9.42307692307692</v>
      </c>
      <c r="AK948" s="63" t="n">
        <f aca="false">IF(LEFT(Cockpit!$C$5,1)="A",H948,IF(CI948=1,(CL948+CJ948)/2,IF(LEFT(Cockpit!$C$5,1)="B",(CL948+AM948)/2,MAX((CL948+AM948)/2,H948))))</f>
        <v>22</v>
      </c>
      <c r="AL948" s="62" t="n">
        <f aca="false">AK948*G948</f>
        <v>83.38</v>
      </c>
      <c r="AM948" s="62" t="n">
        <f aca="false">ROUNDUP(CL948+MAX(CM948,2*(J948/IF(CH948&gt;0,CH948,MAX(0.1,N(Cockpit!$C$6)))-CL948)),0)</f>
        <v>36</v>
      </c>
      <c r="AN948" s="63" t="n">
        <f aca="false">IF(AJ948&gt;0,J948/AJ948,-1)</f>
        <v>3.71428571428571</v>
      </c>
      <c r="AO948" s="63" t="n">
        <f aca="false">IF(AND(OR(CG948="L1",CG948="L23",CG948="LIFT"),AJ948&gt;0),SUMIFS($AJ$7:$AJ$1843,$CG$7:$CG$1843,CG948,$AN$7:$AN$1843,"&gt;"&amp;AN948)+SUMIFS($AJ$7:$AJ$1843,$CG$7:$CG$1843,CG948,$AN$7:$AN$1843,AN948,$BX$7:$BX$1843,"&lt;="&amp;BX948),"")</f>
        <v>4727.64743589744</v>
      </c>
      <c r="AP948" s="70" t="n">
        <f aca="false">IF(AO948="",0,MAX(0,MIN(1,(IF(CG948="L1",Parameter!$H$5,IF(CG948="L23",Parameter!$H$6+Parameter!$H$7,Parameter!$H$5+Parameter!$H$6+Parameter!$H$7))-(AO948-AJ948))/AJ948)))</f>
        <v>1</v>
      </c>
      <c r="AQ948" s="62" t="n">
        <f aca="false">IF(LEFT(Cockpit!$I$5,1)="A",H948,IF(Parameter!$E$30="MAX-Bestand",IF(CI948=1,CJ948,IF(LEFT(Cockpit!$I$5,1)="B",AW948,MAX(AW948,H948))),ROUNDUP(AU948,0)))</f>
        <v>22</v>
      </c>
      <c r="AR948" s="62" t="n">
        <f aca="false">IF(CA948=1,0,ROUNDUP(AQ948/BZ948,0))</f>
        <v>1</v>
      </c>
      <c r="AS948" s="64" t="n">
        <f aca="false">IF(CR948&gt;0,CR948*MAX(1,AQ948/X948),IF(CA948=1,IF(AQ948&lt;=0,0,CE948*MAX(1,IF(H948&gt;0,AQ948/H948,1))),IF(R948&gt;0,AR948/R948,0))/MAX(0.1,N(Parameter!$M$21)))</f>
        <v>0.0384615384615385</v>
      </c>
      <c r="AT948" s="62" t="n">
        <f aca="false">AS948*CC948</f>
        <v>9.42307692307692</v>
      </c>
      <c r="AU948" s="63" t="n">
        <f aca="false">IF(LEFT(Cockpit!$I$5,1)="A",H948,IF(CI948=1,(CL948+CJ948)/2,IF(LEFT(Cockpit!$I$5,1)="B",(CL948+AW948)/2,MAX((CL948+AW948)/2,H948))))</f>
        <v>22</v>
      </c>
      <c r="AV948" s="62" t="n">
        <f aca="false">AU948*G948</f>
        <v>83.38</v>
      </c>
      <c r="AW948" s="62" t="n">
        <f aca="false">ROUNDUP(CL948+MAX(CM948,2*(J948/IF(CH948&gt;0,CH948,MAX(0.1,N(Cockpit!$I$6)))-CL948)),0)</f>
        <v>36</v>
      </c>
      <c r="AX948" s="63" t="n">
        <f aca="false">IF(AT948&gt;0,J948/AT948,-1)</f>
        <v>3.71428571428571</v>
      </c>
      <c r="AY948" s="63" t="n">
        <f aca="false">IF(AND(OR(CG948="L1",CG948="L23",CG948="LIFT"),AT948&gt;0),SUMIFS($AT$7:$AT$1843,$CG$7:$CG$1843,CG948,$AX$7:$AX$1843,"&gt;"&amp;AX948)+SUMIFS($AT$7:$AT$1843,$CG$7:$CG$1843,CG948,$AX$7:$AX$1843,AX948,$BX$7:$BX$1843,"&lt;="&amp;BX948),"")</f>
        <v>5346.06776556777</v>
      </c>
      <c r="AZ948" s="70" t="n">
        <f aca="false">IF(AY948="",0,MAX(0,MIN(1,(IF(CG948="L1",Parameter!$H$5,IF(CG948="L23",Parameter!$H$6+Parameter!$H$7,Parameter!$H$5+Parameter!$H$6+Parameter!$H$7))-(AY948-AT948))/AT948)))</f>
        <v>1</v>
      </c>
      <c r="BA948" s="62" t="n">
        <f aca="false">IF(LEFT(Cockpit!$O$5,1)="A",H948,IF(Parameter!$E$30="MAX-Bestand",IF(CI948=1,CJ948,IF(LEFT(Cockpit!$O$5,1)="B",BG948,MAX(BG948,H948))),ROUNDUP(BE948,0)))</f>
        <v>19</v>
      </c>
      <c r="BB948" s="62" t="n">
        <f aca="false">IF(CA948=1,0,ROUNDUP(BA948/BZ948,0))</f>
        <v>1</v>
      </c>
      <c r="BC948" s="64" t="n">
        <f aca="false">IF(CR948&gt;0,CR948*MAX(1,BA948/X948),IF(CA948=1,IF(BA948&lt;=0,0,CE948*MAX(1,IF(H948&gt;0,BA948/H948,1))),IF(R948&gt;0,BB948/R948,0))/MAX(0.1,N(Parameter!$M$21)))</f>
        <v>0.0384615384615385</v>
      </c>
      <c r="BD948" s="62" t="n">
        <f aca="false">BC948*CC948</f>
        <v>9.42307692307692</v>
      </c>
      <c r="BE948" s="63" t="n">
        <f aca="false">IF(LEFT(Cockpit!$O$5,1)="A",H948,IF(CI948=1,(CL948+CJ948)/2,IF(LEFT(Cockpit!$O$5,1)="B",(CL948+BG948)/2,MAX((CL948+BG948)/2,H948))))</f>
        <v>18.5</v>
      </c>
      <c r="BF948" s="62" t="n">
        <f aca="false">BE948*G948</f>
        <v>70.115</v>
      </c>
      <c r="BG948" s="62" t="n">
        <f aca="false">ROUNDUP(CL948+MAX(CM948,2*(J948/IF(CH948&gt;0,CH948,MAX(0.1,N(Cockpit!$O$6)))-CL948)),0)</f>
        <v>36</v>
      </c>
      <c r="BH948" s="63" t="n">
        <f aca="false">IF(BD948&gt;0,J948/BD948,-1)</f>
        <v>3.71428571428571</v>
      </c>
      <c r="BI948" s="63" t="n">
        <f aca="false">IF(AND(OR(CG948="L1",CG948="L23",CG948="LIFT"),BD948&gt;0),SUMIFS($BD$7:$BD$1843,$CG$7:$CG$1843,CG948,$BH$7:$BH$1843,"&gt;"&amp;BH948)+SUMIFS($BD$7:$BD$1843,$CG$7:$CG$1843,CG948,$BH$7:$BH$1843,BH948,$BX$7:$BX$1843,"&lt;="&amp;BX948),"")</f>
        <v>4364.43956043956</v>
      </c>
      <c r="BJ948" s="70" t="n">
        <f aca="false">IF(BI948="",0,MAX(0,MIN(1,(IF(CG948="L1",Parameter!$H$5,IF(CG948="L23",Parameter!$H$6+Parameter!$H$7,Parameter!$H$5+Parameter!$H$6+Parameter!$H$7))-(BI948-BD948))/BD948)))</f>
        <v>1</v>
      </c>
      <c r="BK948" s="60" t="str">
        <f aca="false">IF(AJ948&lt;=0,"",IF(CG948="Aussen","Aussenlager",IF(CG948="-","Nicht im Lift",IF(AP948&gt;=1,"Lift",IF(AP948&lt;=0,"Aussenlager","teilweise")))))</f>
        <v>Lift</v>
      </c>
      <c r="BL948" s="60" t="str">
        <f aca="false">IF(AT948&lt;=0,"",IF(CG948="Aussen","Aussenlager",IF(CG948="-","Nicht im Lift",IF(AZ948&gt;=1,"Lift",IF(AZ948&lt;=0,"Aussenlager","teilweise")))))</f>
        <v>Lift</v>
      </c>
      <c r="BM948" s="60" t="str">
        <f aca="false">IF(BD948&lt;=0,"",IF(CG948="Aussen","Aussenlager",IF(CG948="-","Nicht im Lift",IF(BJ948&gt;=1,"Lift",IF(BJ948&lt;=0,"Aussenlager","teilweise")))))</f>
        <v>Lift</v>
      </c>
      <c r="BN948" s="60" t="str">
        <f aca="false">IF(A948="","",IF(BW948=1,"Neu; ","")&amp;IF(AND(BW948=0,BR948&lt;0),"negativer Bestand (Export "&amp;BR948&amp;"); ","")&amp;IF(J948&lt;=0,"Kein Verbrauch; ","")&amp;IF(CR948&gt;0,"Lift "&amp;W948&amp;" lt. Liftbericht (Fach "&amp;X948&amp;" Stk); ",IF(CB948=1,"Gebinde geschätzt ("&amp;T948&amp;"); ",IF(CA948=1,"Lose – Tablare geschätzt; ","")))&amp;IF(H948&gt;AW948,"Überbestand "&amp;ROUND(H948-AW948,0)&amp;" Stk / CHF "&amp;ROUND((H948-AW948)*G948,0)&amp;"; ","")&amp;IF(AND(CI948=1,CJ948&lt;CK948),"MAX &lt; MB+LG; ","")&amp;IF(AND(CQ948&gt;0,CP948*10&gt;CQ948),"zu hoch für Tablar; ","")&amp;IF(AND(BW948=0,OR(CI948=1,AB948&lt;&gt;"",U948&lt;&gt;"",V948&lt;&gt;"",AC948&lt;&gt;"")),"manuell übersteuert; ","")&amp;IF(AND(CA948=0,R948=0),"Gebinde unbekannt / Stellmass fehlt; ","")&amp;IF(AND(CA948=0,N(V948)&lt;=0,N(Q948)&lt;=0),"Menge pro Gebinde fehlt (Ist = 1 Gebinde); ","")&amp;BV948)</f>
        <v>negativer Bestand (Export -14); </v>
      </c>
      <c r="BO948" s="60"/>
      <c r="BP948" s="60"/>
      <c r="BQ948" s="67"/>
      <c r="BR948" s="62" t="n">
        <v>-14</v>
      </c>
      <c r="BS948" s="62" t="n">
        <v>36</v>
      </c>
      <c r="BT948" s="61" t="n">
        <v>-58.1</v>
      </c>
      <c r="BU948" s="62" t="n">
        <v>35</v>
      </c>
      <c r="BV948" s="60"/>
      <c r="BW948" s="65" t="n">
        <v>0</v>
      </c>
      <c r="BX948" s="65" t="n">
        <v>948</v>
      </c>
      <c r="BY948" s="60" t="str">
        <f aca="false">IF(U948&lt;&gt;"",UPPER(TRIM(U948)),IF(CB948=1,UPPER(VLOOKUP(T948,Parameter!$I$27:$K$29,2,0)),IF(P948="","LOSE",P948)))</f>
        <v>S52</v>
      </c>
      <c r="BZ948" s="62" t="n">
        <f aca="false">IF(BY948="LOSE",1,IF(N(V948)&gt;0,V948,IF(CB948=1,MAX(1,N(VLOOKUP(T948,Parameter!$I$27:$K$29,3,0)),H948,N(N948)),IF(N(Q948)&gt;0,Q948,MAX(1,H948)))))</f>
        <v>48</v>
      </c>
      <c r="CA948" s="65" t="n">
        <f aca="false">IF(BY948="LOSE",1,0)</f>
        <v>0</v>
      </c>
      <c r="CB948" s="65" t="n">
        <f aca="false">IF(AND(U948="",OR(P948="",P948="LOSE"),T948&lt;&gt;"",N(S948)&lt;=0,ISNUMBER(MATCH(T948,Parameter!$I$27:$I$29,0))),1,0)</f>
        <v>0</v>
      </c>
      <c r="CC948" s="65" t="n">
        <f aca="false">IF(CR948&gt;0,INDEX(Parameter!$H$5:$H$7,W948)/INDEX(Parameter!$E$5:$E$7,W948),IF(AND(CA948=0,N(IFERROR(VLOOKUP(BY948,'Gebinde-Kategorie'!$A$5:$N$45,14,0),0))&gt;0),VLOOKUP(BY948,'Gebinde-Kategorie'!$A$5:$N$45,14,0)*10+Parameter!$M$23,Parameter!$M$24))</f>
        <v>245</v>
      </c>
      <c r="CD948" s="60" t="str">
        <f aca="false">IF(AND(Parameter!$B$19="Ja",E948&lt;&gt;"",ISNUMBER(MATCH(E948,Parameter!$I$35:$I$52,0))),VLOOKUP(E948,Parameter!$I$35:$J$52,2,0),IFERROR(VLOOKUP(D948,Parameter!$A$35:$C$64,2,0),"Nein"))</f>
        <v>2+3</v>
      </c>
      <c r="CE948" s="64" t="n">
        <f aca="false">IF(CA948=0,0,IF(N(S948)&gt;0,S948,IFERROR(VLOOKUP(D948,Parameter!$A$35:$C$64,3,0)+0,0)))</f>
        <v>0</v>
      </c>
      <c r="CF948" s="60" t="n">
        <f aca="false">IF(AB948&lt;&gt;"",AB948,AA948)</f>
        <v>3</v>
      </c>
      <c r="CG948" s="60" t="str">
        <f aca="false">IF(OR(CF948=1,CF948=2,CF948=3),IF(Parameter!$E$27="Ja","LIFT",IF(CF948=1,"L1","L23")),IF(CF948="Aussen","Aussen","-"))</f>
        <v>LIFT</v>
      </c>
      <c r="CH948" s="71" t="n">
        <f aca="false">IF(N(AC948)&gt;0,AC948,0)</f>
        <v>0</v>
      </c>
      <c r="CI948" s="65" t="n">
        <f aca="false">IF(ISNUMBER(AF948),1,0)</f>
        <v>0</v>
      </c>
      <c r="CJ948" s="62" t="n">
        <f aca="false">N(AF948)</f>
        <v>0</v>
      </c>
      <c r="CK948" s="62" t="n">
        <f aca="false">N(M948)+N(N948)</f>
        <v>36</v>
      </c>
      <c r="CL948" s="62" t="n">
        <f aca="false">N(M948)</f>
        <v>1</v>
      </c>
      <c r="CM948" s="62" t="n">
        <f aca="false">N(N948)</f>
        <v>35</v>
      </c>
      <c r="CN948" s="62" t="n">
        <f aca="false">ROUNDUP(H948/BZ948,0)</f>
        <v>1</v>
      </c>
      <c r="CO948" s="62" t="n">
        <f aca="false">ROUNDUP(CJ948/BZ948,0)</f>
        <v>0</v>
      </c>
      <c r="CP948" s="65" t="n">
        <f aca="false">IF(CA948=1,0,IFERROR(VLOOKUP(BY948,'Gebinde-Kategorie'!$A$5:$N$45,5,0)+0,0))</f>
        <v>21</v>
      </c>
      <c r="CQ948" s="65" t="n">
        <f aca="false">IFERROR(IF(OR(CF948=1,CF948=2,CF948=3),N(INDEX(Parameter!$I$5:$I$7,CF948)),0),0)</f>
        <v>0</v>
      </c>
      <c r="CR948" s="64" t="n">
        <f aca="false">IF(AND(Parameter!$B$21="Ja",ISNUMBER(W948),N(X948)&gt;0),IFERROR(N(INDEX(Parameter!$L$5:$L$7,W948))*INDEX(Parameter!$E$5:$E$7,W948)*X948/SUMIFS($X$7:$X$1843,$W$7:$W$1843,W948),0),0)</f>
        <v>0</v>
      </c>
      <c r="CS948" s="62" t="n">
        <f aca="false">IF(AND(OR(CG948="L1",CG948="L23",CG948="LIFT"),H948&gt;0),CC948*IF(CR948&gt;0,CR948*MAX(1,H948/X948),IF(CA948=1,CE948,IF(R948&gt;0,CN948/R948,0))/MAX(0.1,N(Parameter!$M$21))),"")</f>
        <v>9.42307692307692</v>
      </c>
      <c r="CT948" s="64" t="n">
        <f aca="false">IF(CS948="","",J948/H948)</f>
        <v>1.59090909090909</v>
      </c>
      <c r="CU948" s="62" t="n">
        <f aca="false">IF(CS948="","",H948*G948)</f>
        <v>83.38</v>
      </c>
      <c r="CV948" s="63" t="n">
        <f aca="false">IF(CS948="","",(CL948+ROUNDUP(CL948+MAX(CM948,2*(J948/MAX(0.1,N(Einkauf!$C$6))-CL948)),0))/2)</f>
        <v>18.5</v>
      </c>
      <c r="CW948" s="62" t="n">
        <f aca="false">IF(CS948="","",MAX(0,H948-CV948)*G948)</f>
        <v>13.265</v>
      </c>
      <c r="CX948" s="62" t="n">
        <f aca="false">IF(CS948="","",CS948*MAX(0,1-CV948/H948))</f>
        <v>1.49912587412587</v>
      </c>
      <c r="CY948" s="64" t="n">
        <f aca="false">IF(CS948="","",PERCENTRANK($CS$7:$CS$1843,CS948)+PERCENTRANK($CU$7:$CU$1843,CU948)+1-PERCENTRANK($CT$7:$CT$1843,CT948))</f>
        <v>1.008</v>
      </c>
      <c r="CZ948" s="72" t="n">
        <f aca="false">IF(CS948="","",CHOOSE(MATCH(Einkauf!$C$5,Parameter!$G$23:$G$27,0),CY948,CS948,CU948,-CT948,CW948)+ROW()/1000000000)</f>
        <v>1.008000948</v>
      </c>
    </row>
    <row r="949" customFormat="false" ht="15" hidden="false" customHeight="false" outlineLevel="0" collapsed="false">
      <c r="A949" s="60" t="s">
        <v>1811</v>
      </c>
      <c r="B949" s="60" t="s">
        <v>510</v>
      </c>
      <c r="C949" s="60" t="s">
        <v>206</v>
      </c>
      <c r="D949" s="60" t="s">
        <v>226</v>
      </c>
      <c r="E949" s="60" t="s">
        <v>227</v>
      </c>
      <c r="F949" s="60" t="s">
        <v>260</v>
      </c>
      <c r="G949" s="61" t="n">
        <v>0.84</v>
      </c>
      <c r="H949" s="62" t="n">
        <f aca="false">MAX(0,IF(AND(Parameter!$B$21="Ja",ISNUMBER(Y949)),Y949,IF(Parameter!$B$20="Jahresanfang 2025 + Export",BS949+BR949,BR949)))</f>
        <v>113</v>
      </c>
      <c r="I949" s="62" t="n">
        <f aca="false">H949*G949</f>
        <v>94.92</v>
      </c>
      <c r="J949" s="62" t="n">
        <f aca="false">BU949*Parameter!$B$18</f>
        <v>136</v>
      </c>
      <c r="K949" s="63" t="n">
        <v>196.5</v>
      </c>
      <c r="L949" s="64" t="n">
        <v>0.692111959287532</v>
      </c>
      <c r="M949" s="62" t="n">
        <v>5</v>
      </c>
      <c r="N949" s="62" t="n">
        <v>135</v>
      </c>
      <c r="O949" s="65" t="n">
        <v>14</v>
      </c>
      <c r="P949" s="60" t="s">
        <v>518</v>
      </c>
      <c r="Q949" s="62" t="n">
        <v>371</v>
      </c>
      <c r="R949" s="65" t="n">
        <f aca="false">IF(CA949=1,0,IFERROR(VLOOKUP(BY949,'Gebinde-Kategorie'!$A$5:$N$45,13,0)+0,0))</f>
        <v>52</v>
      </c>
      <c r="S949" s="66"/>
      <c r="T949" s="67"/>
      <c r="U949" s="67"/>
      <c r="V949" s="67"/>
      <c r="W949" s="60"/>
      <c r="X949" s="62"/>
      <c r="Y949" s="62"/>
      <c r="Z949" s="60" t="n">
        <v>2</v>
      </c>
      <c r="AA949" s="60" t="n">
        <f aca="false">IF(A949="","",IF(AND(Parameter!$B$21="Ja",ISNUMBER(W949)),W949,IF(AND(Parameter!$E$27="Ja",ISNUMBER(Z949),CD949&lt;&gt;"Nein"),Z949,IF(CD949="2+3",IF(ISNUMBER(SEARCH("grosser Artikel",BV949)),2,IFERROR(VLOOKUP(BY949,Parameter!$F$35:$G$64,2,0),2)),IF(OR(CD949="Nein",CD949=""),"-",CD949)))))</f>
        <v>2</v>
      </c>
      <c r="AB949" s="67"/>
      <c r="AC949" s="68"/>
      <c r="AD949" s="62" t="n">
        <f aca="false">AW949</f>
        <v>140</v>
      </c>
      <c r="AE949" s="62" t="n">
        <f aca="false">MAX(AW949,H949)</f>
        <v>140</v>
      </c>
      <c r="AF949" s="69"/>
      <c r="AG949" s="62" t="n">
        <f aca="false">IF(LEFT(Cockpit!$C$5,1)="A",H949,IF(Parameter!$E$30="MAX-Bestand",IF(CI949=1,CJ949,IF(LEFT(Cockpit!$C$5,1)="B",AM949,MAX(AM949,H949))),ROUNDUP(AK949,0)))</f>
        <v>113</v>
      </c>
      <c r="AH949" s="62" t="n">
        <f aca="false">IF(CA949=1,0,ROUNDUP(AG949/BZ949,0))</f>
        <v>1</v>
      </c>
      <c r="AI949" s="64" t="n">
        <f aca="false">IF(CR949&gt;0,CR949*MAX(1,AG949/X949),IF(CA949=1,IF(AG949&lt;=0,0,CE949*MAX(1,IF(H949&gt;0,AG949/H949,1))),IF(R949&gt;0,AH949/R949,0))/MAX(0.1,N(Parameter!$M$21)))</f>
        <v>0.0192307692307692</v>
      </c>
      <c r="AJ949" s="62" t="n">
        <f aca="false">AI949*CC949</f>
        <v>2.98076923076923</v>
      </c>
      <c r="AK949" s="63" t="n">
        <f aca="false">IF(LEFT(Cockpit!$C$5,1)="A",H949,IF(CI949=1,(CL949+CJ949)/2,IF(LEFT(Cockpit!$C$5,1)="B",(CL949+AM949)/2,MAX((CL949+AM949)/2,H949))))</f>
        <v>113</v>
      </c>
      <c r="AL949" s="62" t="n">
        <f aca="false">AK949*G949</f>
        <v>94.92</v>
      </c>
      <c r="AM949" s="62" t="n">
        <f aca="false">ROUNDUP(CL949+MAX(CM949,2*(J949/IF(CH949&gt;0,CH949,MAX(0.1,N(Cockpit!$C$6)))-CL949)),0)</f>
        <v>140</v>
      </c>
      <c r="AN949" s="63" t="n">
        <f aca="false">IF(AJ949&gt;0,J949/AJ949,-1)</f>
        <v>45.6258064516129</v>
      </c>
      <c r="AO949" s="63" t="n">
        <f aca="false">IF(AND(OR(CG949="L1",CG949="L23",CG949="LIFT"),AJ949&gt;0),SUMIFS($AJ$7:$AJ$1843,$CG$7:$CG$1843,CG949,$AN$7:$AN$1843,"&gt;"&amp;AN949)+SUMIFS($AJ$7:$AJ$1843,$CG$7:$CG$1843,CG949,$AN$7:$AN$1843,AN949,$BX$7:$BX$1843,"&lt;="&amp;BX949),"")</f>
        <v>1163.84752747253</v>
      </c>
      <c r="AP949" s="70" t="n">
        <f aca="false">IF(AO949="",0,MAX(0,MIN(1,(IF(CG949="L1",Parameter!$H$5,IF(CG949="L23",Parameter!$H$6+Parameter!$H$7,Parameter!$H$5+Parameter!$H$6+Parameter!$H$7))-(AO949-AJ949))/AJ949)))</f>
        <v>1</v>
      </c>
      <c r="AQ949" s="62" t="n">
        <f aca="false">IF(LEFT(Cockpit!$I$5,1)="A",H949,IF(Parameter!$E$30="MAX-Bestand",IF(CI949=1,CJ949,IF(LEFT(Cockpit!$I$5,1)="B",AW949,MAX(AW949,H949))),ROUNDUP(AU949,0)))</f>
        <v>113</v>
      </c>
      <c r="AR949" s="62" t="n">
        <f aca="false">IF(CA949=1,0,ROUNDUP(AQ949/BZ949,0))</f>
        <v>1</v>
      </c>
      <c r="AS949" s="64" t="n">
        <f aca="false">IF(CR949&gt;0,CR949*MAX(1,AQ949/X949),IF(CA949=1,IF(AQ949&lt;=0,0,CE949*MAX(1,IF(H949&gt;0,AQ949/H949,1))),IF(R949&gt;0,AR949/R949,0))/MAX(0.1,N(Parameter!$M$21)))</f>
        <v>0.0192307692307692</v>
      </c>
      <c r="AT949" s="62" t="n">
        <f aca="false">AS949*CC949</f>
        <v>2.98076923076923</v>
      </c>
      <c r="AU949" s="63" t="n">
        <f aca="false">IF(LEFT(Cockpit!$I$5,1)="A",H949,IF(CI949=1,(CL949+CJ949)/2,IF(LEFT(Cockpit!$I$5,1)="B",(CL949+AW949)/2,MAX((CL949+AW949)/2,H949))))</f>
        <v>113</v>
      </c>
      <c r="AV949" s="62" t="n">
        <f aca="false">AU949*G949</f>
        <v>94.92</v>
      </c>
      <c r="AW949" s="62" t="n">
        <f aca="false">ROUNDUP(CL949+MAX(CM949,2*(J949/IF(CH949&gt;0,CH949,MAX(0.1,N(Cockpit!$I$6)))-CL949)),0)</f>
        <v>140</v>
      </c>
      <c r="AX949" s="63" t="n">
        <f aca="false">IF(AT949&gt;0,J949/AT949,-1)</f>
        <v>45.6258064516129</v>
      </c>
      <c r="AY949" s="63" t="n">
        <f aca="false">IF(AND(OR(CG949="L1",CG949="L23",CG949="LIFT"),AT949&gt;0),SUMIFS($AT$7:$AT$1843,$CG$7:$CG$1843,CG949,$AX$7:$AX$1843,"&gt;"&amp;AX949)+SUMIFS($AT$7:$AT$1843,$CG$7:$CG$1843,CG949,$AX$7:$AX$1843,AX949,$BX$7:$BX$1843,"&lt;="&amp;BX949),"")</f>
        <v>1450.05952380952</v>
      </c>
      <c r="AZ949" s="70" t="n">
        <f aca="false">IF(AY949="",0,MAX(0,MIN(1,(IF(CG949="L1",Parameter!$H$5,IF(CG949="L23",Parameter!$H$6+Parameter!$H$7,Parameter!$H$5+Parameter!$H$6+Parameter!$H$7))-(AY949-AT949))/AT949)))</f>
        <v>1</v>
      </c>
      <c r="BA949" s="62" t="n">
        <f aca="false">IF(LEFT(Cockpit!$O$5,1)="A",H949,IF(Parameter!$E$30="MAX-Bestand",IF(CI949=1,CJ949,IF(LEFT(Cockpit!$O$5,1)="B",BG949,MAX(BG949,H949))),ROUNDUP(BE949,0)))</f>
        <v>73</v>
      </c>
      <c r="BB949" s="62" t="n">
        <f aca="false">IF(CA949=1,0,ROUNDUP(BA949/BZ949,0))</f>
        <v>1</v>
      </c>
      <c r="BC949" s="64" t="n">
        <f aca="false">IF(CR949&gt;0,CR949*MAX(1,BA949/X949),IF(CA949=1,IF(BA949&lt;=0,0,CE949*MAX(1,IF(H949&gt;0,BA949/H949,1))),IF(R949&gt;0,BB949/R949,0))/MAX(0.1,N(Parameter!$M$21)))</f>
        <v>0.0192307692307692</v>
      </c>
      <c r="BD949" s="62" t="n">
        <f aca="false">BC949*CC949</f>
        <v>2.98076923076923</v>
      </c>
      <c r="BE949" s="63" t="n">
        <f aca="false">IF(LEFT(Cockpit!$O$5,1)="A",H949,IF(CI949=1,(CL949+CJ949)/2,IF(LEFT(Cockpit!$O$5,1)="B",(CL949+BG949)/2,MAX((CL949+BG949)/2,H949))))</f>
        <v>72.5</v>
      </c>
      <c r="BF949" s="62" t="n">
        <f aca="false">BE949*G949</f>
        <v>60.9</v>
      </c>
      <c r="BG949" s="62" t="n">
        <f aca="false">ROUNDUP(CL949+MAX(CM949,2*(J949/IF(CH949&gt;0,CH949,MAX(0.1,N(Cockpit!$O$6)))-CL949)),0)</f>
        <v>140</v>
      </c>
      <c r="BH949" s="63" t="n">
        <f aca="false">IF(BD949&gt;0,J949/BD949,-1)</f>
        <v>45.6258064516129</v>
      </c>
      <c r="BI949" s="63" t="n">
        <f aca="false">IF(AND(OR(CG949="L1",CG949="L23",CG949="LIFT"),BD949&gt;0),SUMIFS($BD$7:$BD$1843,$CG$7:$CG$1843,CG949,$BH$7:$BH$1843,"&gt;"&amp;BH949)+SUMIFS($BD$7:$BD$1843,$CG$7:$CG$1843,CG949,$BH$7:$BH$1843,BH949,$BX$7:$BX$1843,"&lt;="&amp;BX949),"")</f>
        <v>1228.04395604396</v>
      </c>
      <c r="BJ949" s="70" t="n">
        <f aca="false">IF(BI949="",0,MAX(0,MIN(1,(IF(CG949="L1",Parameter!$H$5,IF(CG949="L23",Parameter!$H$6+Parameter!$H$7,Parameter!$H$5+Parameter!$H$6+Parameter!$H$7))-(BI949-BD949))/BD949)))</f>
        <v>1</v>
      </c>
      <c r="BK949" s="60" t="str">
        <f aca="false">IF(AJ949&lt;=0,"",IF(CG949="Aussen","Aussenlager",IF(CG949="-","Nicht im Lift",IF(AP949&gt;=1,"Lift",IF(AP949&lt;=0,"Aussenlager","teilweise")))))</f>
        <v>Lift</v>
      </c>
      <c r="BL949" s="60" t="str">
        <f aca="false">IF(AT949&lt;=0,"",IF(CG949="Aussen","Aussenlager",IF(CG949="-","Nicht im Lift",IF(AZ949&gt;=1,"Lift",IF(AZ949&lt;=0,"Aussenlager","teilweise")))))</f>
        <v>Lift</v>
      </c>
      <c r="BM949" s="60" t="str">
        <f aca="false">IF(BD949&lt;=0,"",IF(CG949="Aussen","Aussenlager",IF(CG949="-","Nicht im Lift",IF(BJ949&gt;=1,"Lift",IF(BJ949&lt;=0,"Aussenlager","teilweise")))))</f>
        <v>Lift</v>
      </c>
      <c r="BN949" s="60" t="str">
        <f aca="false">IF(A949="","",IF(BW949=1,"Neu; ","")&amp;IF(AND(BW949=0,BR949&lt;0),"negativer Bestand (Export "&amp;BR949&amp;"); ","")&amp;IF(J949&lt;=0,"Kein Verbrauch; ","")&amp;IF(CR949&gt;0,"Lift "&amp;W949&amp;" lt. Liftbericht (Fach "&amp;X949&amp;" Stk); ",IF(CB949=1,"Gebinde geschätzt ("&amp;T949&amp;"); ",IF(CA949=1,"Lose – Tablare geschätzt; ","")))&amp;IF(H949&gt;AW949,"Überbestand "&amp;ROUND(H949-AW949,0)&amp;" Stk / CHF "&amp;ROUND((H949-AW949)*G949,0)&amp;"; ","")&amp;IF(AND(CI949=1,CJ949&lt;CK949),"MAX &lt; MB+LG; ","")&amp;IF(AND(CQ949&gt;0,CP949*10&gt;CQ949),"zu hoch für Tablar; ","")&amp;IF(AND(BW949=0,OR(CI949=1,AB949&lt;&gt;"",U949&lt;&gt;"",V949&lt;&gt;"",AC949&lt;&gt;"")),"manuell übersteuert; ","")&amp;IF(AND(CA949=0,R949=0),"Gebinde unbekannt / Stellmass fehlt; ","")&amp;IF(AND(CA949=0,N(V949)&lt;=0,N(Q949)&lt;=0),"Menge pro Gebinde fehlt (Ist = 1 Gebinde); ","")&amp;BV949)</f>
        <v>negativer Bestand (Export -62); </v>
      </c>
      <c r="BO949" s="60"/>
      <c r="BP949" s="60"/>
      <c r="BQ949" s="67"/>
      <c r="BR949" s="62" t="n">
        <v>-62</v>
      </c>
      <c r="BS949" s="62" t="n">
        <v>175</v>
      </c>
      <c r="BT949" s="61" t="n">
        <v>-58.7599999999999</v>
      </c>
      <c r="BU949" s="62" t="n">
        <v>136</v>
      </c>
      <c r="BV949" s="60"/>
      <c r="BW949" s="65" t="n">
        <v>0</v>
      </c>
      <c r="BX949" s="65" t="n">
        <v>949</v>
      </c>
      <c r="BY949" s="60" t="str">
        <f aca="false">IF(U949&lt;&gt;"",UPPER(TRIM(U949)),IF(CB949=1,UPPER(VLOOKUP(T949,Parameter!$I$27:$K$29,2,0)),IF(P949="","LOSE",P949)))</f>
        <v>S33</v>
      </c>
      <c r="BZ949" s="62" t="n">
        <f aca="false">IF(BY949="LOSE",1,IF(N(V949)&gt;0,V949,IF(CB949=1,MAX(1,N(VLOOKUP(T949,Parameter!$I$27:$K$29,3,0)),H949,N(N949)),IF(N(Q949)&gt;0,Q949,MAX(1,H949)))))</f>
        <v>371</v>
      </c>
      <c r="CA949" s="65" t="n">
        <f aca="false">IF(BY949="LOSE",1,0)</f>
        <v>0</v>
      </c>
      <c r="CB949" s="65" t="n">
        <f aca="false">IF(AND(U949="",OR(P949="",P949="LOSE"),T949&lt;&gt;"",N(S949)&lt;=0,ISNUMBER(MATCH(T949,Parameter!$I$27:$I$29,0))),1,0)</f>
        <v>0</v>
      </c>
      <c r="CC949" s="65" t="n">
        <f aca="false">IF(CR949&gt;0,INDEX(Parameter!$H$5:$H$7,W949)/INDEX(Parameter!$E$5:$E$7,W949),IF(AND(CA949=0,N(IFERROR(VLOOKUP(BY949,'Gebinde-Kategorie'!$A$5:$N$45,14,0),0))&gt;0),VLOOKUP(BY949,'Gebinde-Kategorie'!$A$5:$N$45,14,0)*10+Parameter!$M$23,Parameter!$M$24))</f>
        <v>155</v>
      </c>
      <c r="CD949" s="60" t="str">
        <f aca="false">IF(AND(Parameter!$B$19="Ja",E949&lt;&gt;"",ISNUMBER(MATCH(E949,Parameter!$I$35:$I$52,0))),VLOOKUP(E949,Parameter!$I$35:$J$52,2,0),IFERROR(VLOOKUP(D949,Parameter!$A$35:$C$64,2,0),"Nein"))</f>
        <v>2+3</v>
      </c>
      <c r="CE949" s="64" t="n">
        <f aca="false">IF(CA949=0,0,IF(N(S949)&gt;0,S949,IFERROR(VLOOKUP(D949,Parameter!$A$35:$C$64,3,0)+0,0)))</f>
        <v>0</v>
      </c>
      <c r="CF949" s="60" t="n">
        <f aca="false">IF(AB949&lt;&gt;"",AB949,AA949)</f>
        <v>2</v>
      </c>
      <c r="CG949" s="60" t="str">
        <f aca="false">IF(OR(CF949=1,CF949=2,CF949=3),IF(Parameter!$E$27="Ja","LIFT",IF(CF949=1,"L1","L23")),IF(CF949="Aussen","Aussen","-"))</f>
        <v>LIFT</v>
      </c>
      <c r="CH949" s="71" t="n">
        <f aca="false">IF(N(AC949)&gt;0,AC949,0)</f>
        <v>0</v>
      </c>
      <c r="CI949" s="65" t="n">
        <f aca="false">IF(ISNUMBER(AF949),1,0)</f>
        <v>0</v>
      </c>
      <c r="CJ949" s="62" t="n">
        <f aca="false">N(AF949)</f>
        <v>0</v>
      </c>
      <c r="CK949" s="62" t="n">
        <f aca="false">N(M949)+N(N949)</f>
        <v>140</v>
      </c>
      <c r="CL949" s="62" t="n">
        <f aca="false">N(M949)</f>
        <v>5</v>
      </c>
      <c r="CM949" s="62" t="n">
        <f aca="false">N(N949)</f>
        <v>135</v>
      </c>
      <c r="CN949" s="62" t="n">
        <f aca="false">ROUNDUP(H949/BZ949,0)</f>
        <v>1</v>
      </c>
      <c r="CO949" s="62" t="n">
        <f aca="false">ROUNDUP(CJ949/BZ949,0)</f>
        <v>0</v>
      </c>
      <c r="CP949" s="65" t="n">
        <f aca="false">IF(CA949=1,0,IFERROR(VLOOKUP(BY949,'Gebinde-Kategorie'!$A$5:$N$45,5,0)+0,0))</f>
        <v>8</v>
      </c>
      <c r="CQ949" s="65" t="n">
        <f aca="false">IFERROR(IF(OR(CF949=1,CF949=2,CF949=3),N(INDEX(Parameter!$I$5:$I$7,CF949)),0),0)</f>
        <v>0</v>
      </c>
      <c r="CR949" s="64" t="n">
        <f aca="false">IF(AND(Parameter!$B$21="Ja",ISNUMBER(W949),N(X949)&gt;0),IFERROR(N(INDEX(Parameter!$L$5:$L$7,W949))*INDEX(Parameter!$E$5:$E$7,W949)*X949/SUMIFS($X$7:$X$1843,$W$7:$W$1843,W949),0),0)</f>
        <v>0</v>
      </c>
      <c r="CS949" s="62" t="n">
        <f aca="false">IF(AND(OR(CG949="L1",CG949="L23",CG949="LIFT"),H949&gt;0),CC949*IF(CR949&gt;0,CR949*MAX(1,H949/X949),IF(CA949=1,CE949,IF(R949&gt;0,CN949/R949,0))/MAX(0.1,N(Parameter!$M$21))),"")</f>
        <v>2.98076923076923</v>
      </c>
      <c r="CT949" s="64" t="n">
        <f aca="false">IF(CS949="","",J949/H949)</f>
        <v>1.20353982300885</v>
      </c>
      <c r="CU949" s="62" t="n">
        <f aca="false">IF(CS949="","",H949*G949)</f>
        <v>94.92</v>
      </c>
      <c r="CV949" s="63" t="n">
        <f aca="false">IF(CS949="","",(CL949+ROUNDUP(CL949+MAX(CM949,2*(J949/MAX(0.1,N(Einkauf!$C$6))-CL949)),0))/2)</f>
        <v>72.5</v>
      </c>
      <c r="CW949" s="62" t="n">
        <f aca="false">IF(CS949="","",MAX(0,H949-CV949)*G949)</f>
        <v>34.02</v>
      </c>
      <c r="CX949" s="62" t="n">
        <f aca="false">IF(CS949="","",CS949*MAX(0,1-CV949/H949))</f>
        <v>1.06832879509871</v>
      </c>
      <c r="CY949" s="64" t="n">
        <f aca="false">IF(CS949="","",PERCENTRANK($CS$7:$CS$1843,CS949)+PERCENTRANK($CU$7:$CU$1843,CU949)+1-PERCENTRANK($CT$7:$CT$1843,CT949))</f>
        <v>0.718</v>
      </c>
      <c r="CZ949" s="72" t="n">
        <f aca="false">IF(CS949="","",CHOOSE(MATCH(Einkauf!$C$5,Parameter!$G$23:$G$27,0),CY949,CS949,CU949,-CT949,CW949)+ROW()/1000000000)</f>
        <v>0.718000949</v>
      </c>
    </row>
    <row r="950" customFormat="false" ht="15" hidden="false" customHeight="false" outlineLevel="0" collapsed="false">
      <c r="A950" s="60" t="s">
        <v>1812</v>
      </c>
      <c r="B950" s="60" t="s">
        <v>1813</v>
      </c>
      <c r="C950" s="60" t="s">
        <v>206</v>
      </c>
      <c r="D950" s="60" t="s">
        <v>226</v>
      </c>
      <c r="E950" s="60" t="s">
        <v>227</v>
      </c>
      <c r="F950" s="60" t="s">
        <v>260</v>
      </c>
      <c r="G950" s="61" t="n">
        <v>58.07</v>
      </c>
      <c r="H950" s="62" t="n">
        <f aca="false">MAX(0,IF(AND(Parameter!$B$21="Ja",ISNUMBER(Y950)),Y950,IF(Parameter!$B$20="Jahresanfang 2025 + Export",BS950+BR950,BR950)))</f>
        <v>9</v>
      </c>
      <c r="I950" s="62" t="n">
        <f aca="false">H950*G950</f>
        <v>522.63</v>
      </c>
      <c r="J950" s="62" t="n">
        <f aca="false">BU950*Parameter!$B$18</f>
        <v>7</v>
      </c>
      <c r="K950" s="63" t="n">
        <v>9</v>
      </c>
      <c r="L950" s="64" t="n">
        <v>0.777777777777778</v>
      </c>
      <c r="M950" s="62" t="n">
        <v>0</v>
      </c>
      <c r="N950" s="62" t="n">
        <v>5</v>
      </c>
      <c r="O950" s="65" t="n">
        <v>28</v>
      </c>
      <c r="P950" s="60" t="s">
        <v>275</v>
      </c>
      <c r="Q950" s="62" t="n">
        <v>21</v>
      </c>
      <c r="R950" s="65" t="n">
        <f aca="false">IF(CA950=1,0,IFERROR(VLOOKUP(BY950,'Gebinde-Kategorie'!$A$5:$N$45,13,0)+0,0))</f>
        <v>26</v>
      </c>
      <c r="S950" s="66"/>
      <c r="T950" s="67"/>
      <c r="U950" s="67"/>
      <c r="V950" s="67"/>
      <c r="W950" s="60"/>
      <c r="X950" s="62"/>
      <c r="Y950" s="62"/>
      <c r="Z950" s="60" t="n">
        <v>3</v>
      </c>
      <c r="AA950" s="60" t="n">
        <f aca="false">IF(A950="","",IF(AND(Parameter!$B$21="Ja",ISNUMBER(W950)),W950,IF(AND(Parameter!$E$27="Ja",ISNUMBER(Z950),CD950&lt;&gt;"Nein"),Z950,IF(CD950="2+3",IF(ISNUMBER(SEARCH("grosser Artikel",BV950)),2,IFERROR(VLOOKUP(BY950,Parameter!$F$35:$G$64,2,0),2)),IF(OR(CD950="Nein",CD950=""),"-",CD950)))))</f>
        <v>3</v>
      </c>
      <c r="AB950" s="67"/>
      <c r="AC950" s="68"/>
      <c r="AD950" s="62" t="n">
        <f aca="false">AW950</f>
        <v>5</v>
      </c>
      <c r="AE950" s="62" t="n">
        <f aca="false">MAX(AW950,H950)</f>
        <v>9</v>
      </c>
      <c r="AF950" s="69"/>
      <c r="AG950" s="62" t="n">
        <f aca="false">IF(LEFT(Cockpit!$C$5,1)="A",H950,IF(Parameter!$E$30="MAX-Bestand",IF(CI950=1,CJ950,IF(LEFT(Cockpit!$C$5,1)="B",AM950,MAX(AM950,H950))),ROUNDUP(AK950,0)))</f>
        <v>9</v>
      </c>
      <c r="AH950" s="62" t="n">
        <f aca="false">IF(CA950=1,0,ROUNDUP(AG950/BZ950,0))</f>
        <v>1</v>
      </c>
      <c r="AI950" s="64" t="n">
        <f aca="false">IF(CR950&gt;0,CR950*MAX(1,AG950/X950),IF(CA950=1,IF(AG950&lt;=0,0,CE950*MAX(1,IF(H950&gt;0,AG950/H950,1))),IF(R950&gt;0,AH950/R950,0))/MAX(0.1,N(Parameter!$M$21)))</f>
        <v>0.0384615384615385</v>
      </c>
      <c r="AJ950" s="62" t="n">
        <f aca="false">AI950*CC950</f>
        <v>9.42307692307692</v>
      </c>
      <c r="AK950" s="63" t="n">
        <f aca="false">IF(LEFT(Cockpit!$C$5,1)="A",H950,IF(CI950=1,(CL950+CJ950)/2,IF(LEFT(Cockpit!$C$5,1)="B",(CL950+AM950)/2,MAX((CL950+AM950)/2,H950))))</f>
        <v>9</v>
      </c>
      <c r="AL950" s="62" t="n">
        <f aca="false">AK950*G950</f>
        <v>522.63</v>
      </c>
      <c r="AM950" s="62" t="n">
        <f aca="false">ROUNDUP(CL950+MAX(CM950,2*(J950/IF(CH950&gt;0,CH950,MAX(0.1,N(Cockpit!$C$6)))-CL950)),0)</f>
        <v>5</v>
      </c>
      <c r="AN950" s="63" t="n">
        <f aca="false">IF(AJ950&gt;0,J950/AJ950,-1)</f>
        <v>0.742857142857143</v>
      </c>
      <c r="AO950" s="63" t="n">
        <f aca="false">IF(AND(OR(CG950="L1",CG950="L23",CG950="LIFT"),AJ950&gt;0),SUMIFS($AJ$7:$AJ$1843,$CG$7:$CG$1843,CG950,$AN$7:$AN$1843,"&gt;"&amp;AN950)+SUMIFS($AJ$7:$AJ$1843,$CG$7:$CG$1843,CG950,$AN$7:$AN$1843,AN950,$BX$7:$BX$1843,"&lt;="&amp;BX950),"")</f>
        <v>8388.9967948718</v>
      </c>
      <c r="AP950" s="70" t="n">
        <f aca="false">IF(AO950="",0,MAX(0,MIN(1,(IF(CG950="L1",Parameter!$H$5,IF(CG950="L23",Parameter!$H$6+Parameter!$H$7,Parameter!$H$5+Parameter!$H$6+Parameter!$H$7))-(AO950-AJ950))/AJ950)))</f>
        <v>1</v>
      </c>
      <c r="AQ950" s="62" t="n">
        <f aca="false">IF(LEFT(Cockpit!$I$5,1)="A",H950,IF(Parameter!$E$30="MAX-Bestand",IF(CI950=1,CJ950,IF(LEFT(Cockpit!$I$5,1)="B",AW950,MAX(AW950,H950))),ROUNDUP(AU950,0)))</f>
        <v>9</v>
      </c>
      <c r="AR950" s="62" t="n">
        <f aca="false">IF(CA950=1,0,ROUNDUP(AQ950/BZ950,0))</f>
        <v>1</v>
      </c>
      <c r="AS950" s="64" t="n">
        <f aca="false">IF(CR950&gt;0,CR950*MAX(1,AQ950/X950),IF(CA950=1,IF(AQ950&lt;=0,0,CE950*MAX(1,IF(H950&gt;0,AQ950/H950,1))),IF(R950&gt;0,AR950/R950,0))/MAX(0.1,N(Parameter!$M$21)))</f>
        <v>0.0384615384615385</v>
      </c>
      <c r="AT950" s="62" t="n">
        <f aca="false">AS950*CC950</f>
        <v>9.42307692307692</v>
      </c>
      <c r="AU950" s="63" t="n">
        <f aca="false">IF(LEFT(Cockpit!$I$5,1)="A",H950,IF(CI950=1,(CL950+CJ950)/2,IF(LEFT(Cockpit!$I$5,1)="B",(CL950+AW950)/2,MAX((CL950+AW950)/2,H950))))</f>
        <v>9</v>
      </c>
      <c r="AV950" s="62" t="n">
        <f aca="false">AU950*G950</f>
        <v>522.63</v>
      </c>
      <c r="AW950" s="62" t="n">
        <f aca="false">ROUNDUP(CL950+MAX(CM950,2*(J950/IF(CH950&gt;0,CH950,MAX(0.1,N(Cockpit!$I$6)))-CL950)),0)</f>
        <v>5</v>
      </c>
      <c r="AX950" s="63" t="n">
        <f aca="false">IF(AT950&gt;0,J950/AT950,-1)</f>
        <v>0.742857142857143</v>
      </c>
      <c r="AY950" s="63" t="n">
        <f aca="false">IF(AND(OR(CG950="L1",CG950="L23",CG950="LIFT"),AT950&gt;0),SUMIFS($AT$7:$AT$1843,$CG$7:$CG$1843,CG950,$AX$7:$AX$1843,"&gt;"&amp;AX950)+SUMIFS($AT$7:$AT$1843,$CG$7:$CG$1843,CG950,$AX$7:$AX$1843,AX950,$BX$7:$BX$1843,"&lt;="&amp;BX950),"")</f>
        <v>10648.565018315</v>
      </c>
      <c r="AZ950" s="70" t="n">
        <f aca="false">IF(AY950="",0,MAX(0,MIN(1,(IF(CG950="L1",Parameter!$H$5,IF(CG950="L23",Parameter!$H$6+Parameter!$H$7,Parameter!$H$5+Parameter!$H$6+Parameter!$H$7))-(AY950-AT950))/AT950)))</f>
        <v>1</v>
      </c>
      <c r="BA950" s="62" t="n">
        <f aca="false">IF(LEFT(Cockpit!$O$5,1)="A",H950,IF(Parameter!$E$30="MAX-Bestand",IF(CI950=1,CJ950,IF(LEFT(Cockpit!$O$5,1)="B",BG950,MAX(BG950,H950))),ROUNDUP(BE950,0)))</f>
        <v>3</v>
      </c>
      <c r="BB950" s="62" t="n">
        <f aca="false">IF(CA950=1,0,ROUNDUP(BA950/BZ950,0))</f>
        <v>1</v>
      </c>
      <c r="BC950" s="64" t="n">
        <f aca="false">IF(CR950&gt;0,CR950*MAX(1,BA950/X950),IF(CA950=1,IF(BA950&lt;=0,0,CE950*MAX(1,IF(H950&gt;0,BA950/H950,1))),IF(R950&gt;0,BB950/R950,0))/MAX(0.1,N(Parameter!$M$21)))</f>
        <v>0.0384615384615385</v>
      </c>
      <c r="BD950" s="62" t="n">
        <f aca="false">BC950*CC950</f>
        <v>9.42307692307692</v>
      </c>
      <c r="BE950" s="63" t="n">
        <f aca="false">IF(LEFT(Cockpit!$O$5,1)="A",H950,IF(CI950=1,(CL950+CJ950)/2,IF(LEFT(Cockpit!$O$5,1)="B",(CL950+BG950)/2,MAX((CL950+BG950)/2,H950))))</f>
        <v>2.5</v>
      </c>
      <c r="BF950" s="62" t="n">
        <f aca="false">BE950*G950</f>
        <v>145.175</v>
      </c>
      <c r="BG950" s="62" t="n">
        <f aca="false">ROUNDUP(CL950+MAX(CM950,2*(J950/IF(CH950&gt;0,CH950,MAX(0.1,N(Cockpit!$O$6)))-CL950)),0)</f>
        <v>5</v>
      </c>
      <c r="BH950" s="63" t="n">
        <f aca="false">IF(BD950&gt;0,J950/BD950,-1)</f>
        <v>0.742857142857143</v>
      </c>
      <c r="BI950" s="63" t="n">
        <f aca="false">IF(AND(OR(CG950="L1",CG950="L23",CG950="LIFT"),BD950&gt;0),SUMIFS($BD$7:$BD$1843,$CG$7:$CG$1843,CG950,$BH$7:$BH$1843,"&gt;"&amp;BH950)+SUMIFS($BD$7:$BD$1843,$CG$7:$CG$1843,CG950,$BH$7:$BH$1843,BH950,$BX$7:$BX$1843,"&lt;="&amp;BX950),"")</f>
        <v>9111.94917582418</v>
      </c>
      <c r="BJ950" s="70" t="n">
        <f aca="false">IF(BI950="",0,MAX(0,MIN(1,(IF(CG950="L1",Parameter!$H$5,IF(CG950="L23",Parameter!$H$6+Parameter!$H$7,Parameter!$H$5+Parameter!$H$6+Parameter!$H$7))-(BI950-BD950))/BD950)))</f>
        <v>1</v>
      </c>
      <c r="BK950" s="60" t="str">
        <f aca="false">IF(AJ950&lt;=0,"",IF(CG950="Aussen","Aussenlager",IF(CG950="-","Nicht im Lift",IF(AP950&gt;=1,"Lift",IF(AP950&lt;=0,"Aussenlager","teilweise")))))</f>
        <v>Lift</v>
      </c>
      <c r="BL950" s="60" t="str">
        <f aca="false">IF(AT950&lt;=0,"",IF(CG950="Aussen","Aussenlager",IF(CG950="-","Nicht im Lift",IF(AZ950&gt;=1,"Lift",IF(AZ950&lt;=0,"Aussenlager","teilweise")))))</f>
        <v>Lift</v>
      </c>
      <c r="BM950" s="60" t="str">
        <f aca="false">IF(BD950&lt;=0,"",IF(CG950="Aussen","Aussenlager",IF(CG950="-","Nicht im Lift",IF(BJ950&gt;=1,"Lift",IF(BJ950&lt;=0,"Aussenlager","teilweise")))))</f>
        <v>Lift</v>
      </c>
      <c r="BN950" s="60" t="str">
        <f aca="false">IF(A950="","",IF(BW950=1,"Neu; ","")&amp;IF(AND(BW950=0,BR950&lt;0),"negativer Bestand (Export "&amp;BR950&amp;"); ","")&amp;IF(J950&lt;=0,"Kein Verbrauch; ","")&amp;IF(CR950&gt;0,"Lift "&amp;W950&amp;" lt. Liftbericht (Fach "&amp;X950&amp;" Stk); ",IF(CB950=1,"Gebinde geschätzt ("&amp;T950&amp;"); ",IF(CA950=1,"Lose – Tablare geschätzt; ","")))&amp;IF(H950&gt;AW950,"Überbestand "&amp;ROUND(H950-AW950,0)&amp;" Stk / CHF "&amp;ROUND((H950-AW950)*G950,0)&amp;"; ","")&amp;IF(AND(CI950=1,CJ950&lt;CK950),"MAX &lt; MB+LG; ","")&amp;IF(AND(CQ950&gt;0,CP950*10&gt;CQ950),"zu hoch für Tablar; ","")&amp;IF(AND(BW950=0,OR(CI950=1,AB950&lt;&gt;"",U950&lt;&gt;"",V950&lt;&gt;"",AC950&lt;&gt;"")),"manuell übersteuert; ","")&amp;IF(AND(CA950=0,R950=0),"Gebinde unbekannt / Stellmass fehlt; ","")&amp;IF(AND(CA950=0,N(V950)&lt;=0,N(Q950)&lt;=0),"Menge pro Gebinde fehlt (Ist = 1 Gebinde); ","")&amp;BV950)</f>
        <v>negativer Bestand (Export -1); Überbestand 4 Stk / CHF 232; </v>
      </c>
      <c r="BO950" s="60"/>
      <c r="BP950" s="60"/>
      <c r="BQ950" s="67"/>
      <c r="BR950" s="62" t="n">
        <v>-1</v>
      </c>
      <c r="BS950" s="62" t="n">
        <v>10</v>
      </c>
      <c r="BT950" s="61" t="n">
        <v>-59.4699999999999</v>
      </c>
      <c r="BU950" s="62" t="n">
        <v>7</v>
      </c>
      <c r="BV950" s="60"/>
      <c r="BW950" s="65" t="n">
        <v>0</v>
      </c>
      <c r="BX950" s="65" t="n">
        <v>950</v>
      </c>
      <c r="BY950" s="60" t="str">
        <f aca="false">IF(U950&lt;&gt;"",UPPER(TRIM(U950)),IF(CB950=1,UPPER(VLOOKUP(T950,Parameter!$I$27:$K$29,2,0)),IF(P950="","LOSE",P950)))</f>
        <v>S52</v>
      </c>
      <c r="BZ950" s="62" t="n">
        <f aca="false">IF(BY950="LOSE",1,IF(N(V950)&gt;0,V950,IF(CB950=1,MAX(1,N(VLOOKUP(T950,Parameter!$I$27:$K$29,3,0)),H950,N(N950)),IF(N(Q950)&gt;0,Q950,MAX(1,H950)))))</f>
        <v>21</v>
      </c>
      <c r="CA950" s="65" t="n">
        <f aca="false">IF(BY950="LOSE",1,0)</f>
        <v>0</v>
      </c>
      <c r="CB950" s="65" t="n">
        <f aca="false">IF(AND(U950="",OR(P950="",P950="LOSE"),T950&lt;&gt;"",N(S950)&lt;=0,ISNUMBER(MATCH(T950,Parameter!$I$27:$I$29,0))),1,0)</f>
        <v>0</v>
      </c>
      <c r="CC950" s="65" t="n">
        <f aca="false">IF(CR950&gt;0,INDEX(Parameter!$H$5:$H$7,W950)/INDEX(Parameter!$E$5:$E$7,W950),IF(AND(CA950=0,N(IFERROR(VLOOKUP(BY950,'Gebinde-Kategorie'!$A$5:$N$45,14,0),0))&gt;0),VLOOKUP(BY950,'Gebinde-Kategorie'!$A$5:$N$45,14,0)*10+Parameter!$M$23,Parameter!$M$24))</f>
        <v>245</v>
      </c>
      <c r="CD950" s="60" t="str">
        <f aca="false">IF(AND(Parameter!$B$19="Ja",E950&lt;&gt;"",ISNUMBER(MATCH(E950,Parameter!$I$35:$I$52,0))),VLOOKUP(E950,Parameter!$I$35:$J$52,2,0),IFERROR(VLOOKUP(D950,Parameter!$A$35:$C$64,2,0),"Nein"))</f>
        <v>2+3</v>
      </c>
      <c r="CE950" s="64" t="n">
        <f aca="false">IF(CA950=0,0,IF(N(S950)&gt;0,S950,IFERROR(VLOOKUP(D950,Parameter!$A$35:$C$64,3,0)+0,0)))</f>
        <v>0</v>
      </c>
      <c r="CF950" s="60" t="n">
        <f aca="false">IF(AB950&lt;&gt;"",AB950,AA950)</f>
        <v>3</v>
      </c>
      <c r="CG950" s="60" t="str">
        <f aca="false">IF(OR(CF950=1,CF950=2,CF950=3),IF(Parameter!$E$27="Ja","LIFT",IF(CF950=1,"L1","L23")),IF(CF950="Aussen","Aussen","-"))</f>
        <v>LIFT</v>
      </c>
      <c r="CH950" s="71" t="n">
        <f aca="false">IF(N(AC950)&gt;0,AC950,0)</f>
        <v>0</v>
      </c>
      <c r="CI950" s="65" t="n">
        <f aca="false">IF(ISNUMBER(AF950),1,0)</f>
        <v>0</v>
      </c>
      <c r="CJ950" s="62" t="n">
        <f aca="false">N(AF950)</f>
        <v>0</v>
      </c>
      <c r="CK950" s="62" t="n">
        <f aca="false">N(M950)+N(N950)</f>
        <v>5</v>
      </c>
      <c r="CL950" s="62" t="n">
        <f aca="false">N(M950)</f>
        <v>0</v>
      </c>
      <c r="CM950" s="62" t="n">
        <f aca="false">N(N950)</f>
        <v>5</v>
      </c>
      <c r="CN950" s="62" t="n">
        <f aca="false">ROUNDUP(H950/BZ950,0)</f>
        <v>1</v>
      </c>
      <c r="CO950" s="62" t="n">
        <f aca="false">ROUNDUP(CJ950/BZ950,0)</f>
        <v>0</v>
      </c>
      <c r="CP950" s="65" t="n">
        <f aca="false">IF(CA950=1,0,IFERROR(VLOOKUP(BY950,'Gebinde-Kategorie'!$A$5:$N$45,5,0)+0,0))</f>
        <v>21</v>
      </c>
      <c r="CQ950" s="65" t="n">
        <f aca="false">IFERROR(IF(OR(CF950=1,CF950=2,CF950=3),N(INDEX(Parameter!$I$5:$I$7,CF950)),0),0)</f>
        <v>0</v>
      </c>
      <c r="CR950" s="64" t="n">
        <f aca="false">IF(AND(Parameter!$B$21="Ja",ISNUMBER(W950),N(X950)&gt;0),IFERROR(N(INDEX(Parameter!$L$5:$L$7,W950))*INDEX(Parameter!$E$5:$E$7,W950)*X950/SUMIFS($X$7:$X$1843,$W$7:$W$1843,W950),0),0)</f>
        <v>0</v>
      </c>
      <c r="CS950" s="62" t="n">
        <f aca="false">IF(AND(OR(CG950="L1",CG950="L23",CG950="LIFT"),H950&gt;0),CC950*IF(CR950&gt;0,CR950*MAX(1,H950/X950),IF(CA950=1,CE950,IF(R950&gt;0,CN950/R950,0))/MAX(0.1,N(Parameter!$M$21))),"")</f>
        <v>9.42307692307692</v>
      </c>
      <c r="CT950" s="64" t="n">
        <f aca="false">IF(CS950="","",J950/H950)</f>
        <v>0.777777777777778</v>
      </c>
      <c r="CU950" s="62" t="n">
        <f aca="false">IF(CS950="","",H950*G950)</f>
        <v>522.63</v>
      </c>
      <c r="CV950" s="63" t="n">
        <f aca="false">IF(CS950="","",(CL950+ROUNDUP(CL950+MAX(CM950,2*(J950/MAX(0.1,N(Einkauf!$C$6))-CL950)),0))/2)</f>
        <v>2.5</v>
      </c>
      <c r="CW950" s="62" t="n">
        <f aca="false">IF(CS950="","",MAX(0,H950-CV950)*G950)</f>
        <v>377.455</v>
      </c>
      <c r="CX950" s="62" t="n">
        <f aca="false">IF(CS950="","",CS950*MAX(0,1-CV950/H950))</f>
        <v>6.80555555555556</v>
      </c>
      <c r="CY950" s="64" t="n">
        <f aca="false">IF(CS950="","",PERCENTRANK($CS$7:$CS$1843,CS950)+PERCENTRANK($CU$7:$CU$1843,CU950)+1-PERCENTRANK($CT$7:$CT$1843,CT950))</f>
        <v>1.501</v>
      </c>
      <c r="CZ950" s="72" t="n">
        <f aca="false">IF(CS950="","",CHOOSE(MATCH(Einkauf!$C$5,Parameter!$G$23:$G$27,0),CY950,CS950,CU950,-CT950,CW950)+ROW()/1000000000)</f>
        <v>1.50100095</v>
      </c>
    </row>
    <row r="951" customFormat="false" ht="15" hidden="false" customHeight="false" outlineLevel="0" collapsed="false">
      <c r="A951" s="60" t="s">
        <v>1814</v>
      </c>
      <c r="B951" s="60" t="s">
        <v>1815</v>
      </c>
      <c r="C951" s="60" t="s">
        <v>206</v>
      </c>
      <c r="D951" s="60" t="s">
        <v>226</v>
      </c>
      <c r="E951" s="60"/>
      <c r="F951" s="60" t="s">
        <v>260</v>
      </c>
      <c r="G951" s="61" t="n">
        <v>19.99</v>
      </c>
      <c r="H951" s="62" t="n">
        <f aca="false">MAX(0,IF(AND(Parameter!$B$21="Ja",ISNUMBER(Y951)),Y951,IF(Parameter!$B$20="Jahresanfang 2025 + Export",BS951+BR951,BR951)))</f>
        <v>4</v>
      </c>
      <c r="I951" s="62" t="n">
        <f aca="false">H951*G951</f>
        <v>79.96</v>
      </c>
      <c r="J951" s="62" t="n">
        <f aca="false">BU951*Parameter!$B$18</f>
        <v>1</v>
      </c>
      <c r="K951" s="63" t="n">
        <v>6</v>
      </c>
      <c r="L951" s="64" t="n">
        <v>0.166666666666667</v>
      </c>
      <c r="M951" s="62" t="n">
        <v>0</v>
      </c>
      <c r="N951" s="62" t="n">
        <v>1</v>
      </c>
      <c r="O951" s="65" t="n">
        <v>35</v>
      </c>
      <c r="P951" s="60" t="s">
        <v>468</v>
      </c>
      <c r="Q951" s="62" t="n">
        <v>5</v>
      </c>
      <c r="R951" s="65" t="n">
        <f aca="false">IF(CA951=1,0,IFERROR(VLOOKUP(BY951,'Gebinde-Kategorie'!$A$5:$N$45,13,0)+0,0))</f>
        <v>140</v>
      </c>
      <c r="S951" s="66"/>
      <c r="T951" s="67"/>
      <c r="U951" s="67"/>
      <c r="V951" s="67"/>
      <c r="W951" s="60"/>
      <c r="X951" s="62"/>
      <c r="Y951" s="62"/>
      <c r="Z951" s="60" t="n">
        <v>1</v>
      </c>
      <c r="AA951" s="60" t="n">
        <f aca="false">IF(A951="","",IF(AND(Parameter!$B$21="Ja",ISNUMBER(W951)),W951,IF(AND(Parameter!$E$27="Ja",ISNUMBER(Z951),CD951&lt;&gt;"Nein"),Z951,IF(CD951="2+3",IF(ISNUMBER(SEARCH("grosser Artikel",BV951)),2,IFERROR(VLOOKUP(BY951,Parameter!$F$35:$G$64,2,0),2)),IF(OR(CD951="Nein",CD951=""),"-",CD951)))))</f>
        <v>1</v>
      </c>
      <c r="AB951" s="67"/>
      <c r="AC951" s="68"/>
      <c r="AD951" s="62" t="n">
        <f aca="false">AW951</f>
        <v>1</v>
      </c>
      <c r="AE951" s="62" t="n">
        <f aca="false">MAX(AW951,H951)</f>
        <v>4</v>
      </c>
      <c r="AF951" s="69"/>
      <c r="AG951" s="62" t="n">
        <f aca="false">IF(LEFT(Cockpit!$C$5,1)="A",H951,IF(Parameter!$E$30="MAX-Bestand",IF(CI951=1,CJ951,IF(LEFT(Cockpit!$C$5,1)="B",AM951,MAX(AM951,H951))),ROUNDUP(AK951,0)))</f>
        <v>4</v>
      </c>
      <c r="AH951" s="62" t="n">
        <f aca="false">IF(CA951=1,0,ROUNDUP(AG951/BZ951,0))</f>
        <v>1</v>
      </c>
      <c r="AI951" s="64" t="n">
        <f aca="false">IF(CR951&gt;0,CR951*MAX(1,AG951/X951),IF(CA951=1,IF(AG951&lt;=0,0,CE951*MAX(1,IF(H951&gt;0,AG951/H951,1))),IF(R951&gt;0,AH951/R951,0))/MAX(0.1,N(Parameter!$M$21)))</f>
        <v>0.00714285714285714</v>
      </c>
      <c r="AJ951" s="62" t="n">
        <f aca="false">AI951*CC951</f>
        <v>1.10714285714286</v>
      </c>
      <c r="AK951" s="63" t="n">
        <f aca="false">IF(LEFT(Cockpit!$C$5,1)="A",H951,IF(CI951=1,(CL951+CJ951)/2,IF(LEFT(Cockpit!$C$5,1)="B",(CL951+AM951)/2,MAX((CL951+AM951)/2,H951))))</f>
        <v>4</v>
      </c>
      <c r="AL951" s="62" t="n">
        <f aca="false">AK951*G951</f>
        <v>79.96</v>
      </c>
      <c r="AM951" s="62" t="n">
        <f aca="false">ROUNDUP(CL951+MAX(CM951,2*(J951/IF(CH951&gt;0,CH951,MAX(0.1,N(Cockpit!$C$6)))-CL951)),0)</f>
        <v>1</v>
      </c>
      <c r="AN951" s="63" t="n">
        <f aca="false">IF(AJ951&gt;0,J951/AJ951,-1)</f>
        <v>0.903225806451613</v>
      </c>
      <c r="AO951" s="63" t="n">
        <f aca="false">IF(AND(OR(CG951="L1",CG951="L23",CG951="LIFT"),AJ951&gt;0),SUMIFS($AJ$7:$AJ$1843,$CG$7:$CG$1843,CG951,$AN$7:$AN$1843,"&gt;"&amp;AN951)+SUMIFS($AJ$7:$AJ$1843,$CG$7:$CG$1843,CG951,$AN$7:$AN$1843,AN951,$BX$7:$BX$1843,"&lt;="&amp;BX951),"")</f>
        <v>7621.06272893773</v>
      </c>
      <c r="AP951" s="70" t="n">
        <f aca="false">IF(AO951="",0,MAX(0,MIN(1,(IF(CG951="L1",Parameter!$H$5,IF(CG951="L23",Parameter!$H$6+Parameter!$H$7,Parameter!$H$5+Parameter!$H$6+Parameter!$H$7))-(AO951-AJ951))/AJ951)))</f>
        <v>1</v>
      </c>
      <c r="AQ951" s="62" t="n">
        <f aca="false">IF(LEFT(Cockpit!$I$5,1)="A",H951,IF(Parameter!$E$30="MAX-Bestand",IF(CI951=1,CJ951,IF(LEFT(Cockpit!$I$5,1)="B",AW951,MAX(AW951,H951))),ROUNDUP(AU951,0)))</f>
        <v>4</v>
      </c>
      <c r="AR951" s="62" t="n">
        <f aca="false">IF(CA951=1,0,ROUNDUP(AQ951/BZ951,0))</f>
        <v>1</v>
      </c>
      <c r="AS951" s="64" t="n">
        <f aca="false">IF(CR951&gt;0,CR951*MAX(1,AQ951/X951),IF(CA951=1,IF(AQ951&lt;=0,0,CE951*MAX(1,IF(H951&gt;0,AQ951/H951,1))),IF(R951&gt;0,AR951/R951,0))/MAX(0.1,N(Parameter!$M$21)))</f>
        <v>0.00714285714285714</v>
      </c>
      <c r="AT951" s="62" t="n">
        <f aca="false">AS951*CC951</f>
        <v>1.10714285714286</v>
      </c>
      <c r="AU951" s="63" t="n">
        <f aca="false">IF(LEFT(Cockpit!$I$5,1)="A",H951,IF(CI951=1,(CL951+CJ951)/2,IF(LEFT(Cockpit!$I$5,1)="B",(CL951+AW951)/2,MAX((CL951+AW951)/2,H951))))</f>
        <v>4</v>
      </c>
      <c r="AV951" s="62" t="n">
        <f aca="false">AU951*G951</f>
        <v>79.96</v>
      </c>
      <c r="AW951" s="62" t="n">
        <f aca="false">ROUNDUP(CL951+MAX(CM951,2*(J951/IF(CH951&gt;0,CH951,MAX(0.1,N(Cockpit!$I$6)))-CL951)),0)</f>
        <v>1</v>
      </c>
      <c r="AX951" s="63" t="n">
        <f aca="false">IF(AT951&gt;0,J951/AT951,-1)</f>
        <v>0.903225806451613</v>
      </c>
      <c r="AY951" s="63" t="n">
        <f aca="false">IF(AND(OR(CG951="L1",CG951="L23",CG951="LIFT"),AT951&gt;0),SUMIFS($AT$7:$AT$1843,$CG$7:$CG$1843,CG951,$AX$7:$AX$1843,"&gt;"&amp;AX951)+SUMIFS($AT$7:$AT$1843,$CG$7:$CG$1843,CG951,$AX$7:$AX$1843,AX951,$BX$7:$BX$1843,"&lt;="&amp;BX951),"")</f>
        <v>9195.50274725275</v>
      </c>
      <c r="AZ951" s="70" t="n">
        <f aca="false">IF(AY951="",0,MAX(0,MIN(1,(IF(CG951="L1",Parameter!$H$5,IF(CG951="L23",Parameter!$H$6+Parameter!$H$7,Parameter!$H$5+Parameter!$H$6+Parameter!$H$7))-(AY951-AT951))/AT951)))</f>
        <v>1</v>
      </c>
      <c r="BA951" s="62" t="n">
        <f aca="false">IF(LEFT(Cockpit!$O$5,1)="A",H951,IF(Parameter!$E$30="MAX-Bestand",IF(CI951=1,CJ951,IF(LEFT(Cockpit!$O$5,1)="B",BG951,MAX(BG951,H951))),ROUNDUP(BE951,0)))</f>
        <v>1</v>
      </c>
      <c r="BB951" s="62" t="n">
        <f aca="false">IF(CA951=1,0,ROUNDUP(BA951/BZ951,0))</f>
        <v>1</v>
      </c>
      <c r="BC951" s="64" t="n">
        <f aca="false">IF(CR951&gt;0,CR951*MAX(1,BA951/X951),IF(CA951=1,IF(BA951&lt;=0,0,CE951*MAX(1,IF(H951&gt;0,BA951/H951,1))),IF(R951&gt;0,BB951/R951,0))/MAX(0.1,N(Parameter!$M$21)))</f>
        <v>0.00714285714285714</v>
      </c>
      <c r="BD951" s="62" t="n">
        <f aca="false">BC951*CC951</f>
        <v>1.10714285714286</v>
      </c>
      <c r="BE951" s="63" t="n">
        <f aca="false">IF(LEFT(Cockpit!$O$5,1)="A",H951,IF(CI951=1,(CL951+CJ951)/2,IF(LEFT(Cockpit!$O$5,1)="B",(CL951+BG951)/2,MAX((CL951+BG951)/2,H951))))</f>
        <v>0.5</v>
      </c>
      <c r="BF951" s="62" t="n">
        <f aca="false">BE951*G951</f>
        <v>9.995</v>
      </c>
      <c r="BG951" s="62" t="n">
        <f aca="false">ROUNDUP(CL951+MAX(CM951,2*(J951/IF(CH951&gt;0,CH951,MAX(0.1,N(Cockpit!$O$6)))-CL951)),0)</f>
        <v>1</v>
      </c>
      <c r="BH951" s="63" t="n">
        <f aca="false">IF(BD951&gt;0,J951/BD951,-1)</f>
        <v>0.903225806451613</v>
      </c>
      <c r="BI951" s="63" t="n">
        <f aca="false">IF(AND(OR(CG951="L1",CG951="L23",CG951="LIFT"),BD951&gt;0),SUMIFS($BD$7:$BD$1843,$CG$7:$CG$1843,CG951,$BH$7:$BH$1843,"&gt;"&amp;BH951)+SUMIFS($BD$7:$BD$1843,$CG$7:$CG$1843,CG951,$BH$7:$BH$1843,BH951,$BX$7:$BX$1843,"&lt;="&amp;BX951),"")</f>
        <v>8247.82921245421</v>
      </c>
      <c r="BJ951" s="70" t="n">
        <f aca="false">IF(BI951="",0,MAX(0,MIN(1,(IF(CG951="L1",Parameter!$H$5,IF(CG951="L23",Parameter!$H$6+Parameter!$H$7,Parameter!$H$5+Parameter!$H$6+Parameter!$H$7))-(BI951-BD951))/BD951)))</f>
        <v>1</v>
      </c>
      <c r="BK951" s="60" t="str">
        <f aca="false">IF(AJ951&lt;=0,"",IF(CG951="Aussen","Aussenlager",IF(CG951="-","Nicht im Lift",IF(AP951&gt;=1,"Lift",IF(AP951&lt;=0,"Aussenlager","teilweise")))))</f>
        <v>Lift</v>
      </c>
      <c r="BL951" s="60" t="str">
        <f aca="false">IF(AT951&lt;=0,"",IF(CG951="Aussen","Aussenlager",IF(CG951="-","Nicht im Lift",IF(AZ951&gt;=1,"Lift",IF(AZ951&lt;=0,"Aussenlager","teilweise")))))</f>
        <v>Lift</v>
      </c>
      <c r="BM951" s="60" t="str">
        <f aca="false">IF(BD951&lt;=0,"",IF(CG951="Aussen","Aussenlager",IF(CG951="-","Nicht im Lift",IF(BJ951&gt;=1,"Lift",IF(BJ951&lt;=0,"Aussenlager","teilweise")))))</f>
        <v>Lift</v>
      </c>
      <c r="BN951" s="60" t="str">
        <f aca="false">IF(A951="","",IF(BW951=1,"Neu; ","")&amp;IF(AND(BW951=0,BR951&lt;0),"negativer Bestand (Export "&amp;BR951&amp;"); ","")&amp;IF(J951&lt;=0,"Kein Verbrauch; ","")&amp;IF(CR951&gt;0,"Lift "&amp;W951&amp;" lt. Liftbericht (Fach "&amp;X951&amp;" Stk); ",IF(CB951=1,"Gebinde geschätzt ("&amp;T951&amp;"); ",IF(CA951=1,"Lose – Tablare geschätzt; ","")))&amp;IF(H951&gt;AW951,"Überbestand "&amp;ROUND(H951-AW951,0)&amp;" Stk / CHF "&amp;ROUND((H951-AW951)*G951,0)&amp;"; ","")&amp;IF(AND(CI951=1,CJ951&lt;CK951),"MAX &lt; MB+LG; ","")&amp;IF(AND(CQ951&gt;0,CP951*10&gt;CQ951),"zu hoch für Tablar; ","")&amp;IF(AND(BW951=0,OR(CI951=1,AB951&lt;&gt;"",U951&lt;&gt;"",V951&lt;&gt;"",AC951&lt;&gt;"")),"manuell übersteuert; ","")&amp;IF(AND(CA951=0,R951=0),"Gebinde unbekannt / Stellmass fehlt; ","")&amp;IF(AND(CA951=0,N(V951)&lt;=0,N(Q951)&lt;=0),"Menge pro Gebinde fehlt (Ist = 1 Gebinde); ","")&amp;BV951)</f>
        <v>negativer Bestand (Export -3); Überbestand 3 Stk / CHF 60; Neuer Art.</v>
      </c>
      <c r="BO951" s="60"/>
      <c r="BP951" s="60"/>
      <c r="BQ951" s="67"/>
      <c r="BR951" s="62" t="n">
        <v>-3</v>
      </c>
      <c r="BS951" s="62" t="n">
        <v>7</v>
      </c>
      <c r="BT951" s="61" t="n">
        <v>-59.97</v>
      </c>
      <c r="BU951" s="62" t="n">
        <v>1</v>
      </c>
      <c r="BV951" s="60" t="s">
        <v>554</v>
      </c>
      <c r="BW951" s="65" t="n">
        <v>0</v>
      </c>
      <c r="BX951" s="65" t="n">
        <v>951</v>
      </c>
      <c r="BY951" s="60" t="str">
        <f aca="false">IF(U951&lt;&gt;"",UPPER(TRIM(U951)),IF(CB951=1,UPPER(VLOOKUP(T951,Parameter!$I$27:$K$29,2,0)),IF(P951="","LOSE",P951)))</f>
        <v>S22</v>
      </c>
      <c r="BZ951" s="62" t="n">
        <f aca="false">IF(BY951="LOSE",1,IF(N(V951)&gt;0,V951,IF(CB951=1,MAX(1,N(VLOOKUP(T951,Parameter!$I$27:$K$29,3,0)),H951,N(N951)),IF(N(Q951)&gt;0,Q951,MAX(1,H951)))))</f>
        <v>5</v>
      </c>
      <c r="CA951" s="65" t="n">
        <f aca="false">IF(BY951="LOSE",1,0)</f>
        <v>0</v>
      </c>
      <c r="CB951" s="65" t="n">
        <f aca="false">IF(AND(U951="",OR(P951="",P951="LOSE"),T951&lt;&gt;"",N(S951)&lt;=0,ISNUMBER(MATCH(T951,Parameter!$I$27:$I$29,0))),1,0)</f>
        <v>0</v>
      </c>
      <c r="CC951" s="65" t="n">
        <f aca="false">IF(CR951&gt;0,INDEX(Parameter!$H$5:$H$7,W951)/INDEX(Parameter!$E$5:$E$7,W951),IF(AND(CA951=0,N(IFERROR(VLOOKUP(BY951,'Gebinde-Kategorie'!$A$5:$N$45,14,0),0))&gt;0),VLOOKUP(BY951,'Gebinde-Kategorie'!$A$5:$N$45,14,0)*10+Parameter!$M$23,Parameter!$M$24))</f>
        <v>155</v>
      </c>
      <c r="CD951" s="60" t="str">
        <f aca="false">IF(AND(Parameter!$B$19="Ja",E951&lt;&gt;"",ISNUMBER(MATCH(E951,Parameter!$I$35:$I$52,0))),VLOOKUP(E951,Parameter!$I$35:$J$52,2,0),IFERROR(VLOOKUP(D951,Parameter!$A$35:$C$64,2,0),"Nein"))</f>
        <v>2+3</v>
      </c>
      <c r="CE951" s="64" t="n">
        <f aca="false">IF(CA951=0,0,IF(N(S951)&gt;0,S951,IFERROR(VLOOKUP(D951,Parameter!$A$35:$C$64,3,0)+0,0)))</f>
        <v>0</v>
      </c>
      <c r="CF951" s="60" t="n">
        <f aca="false">IF(AB951&lt;&gt;"",AB951,AA951)</f>
        <v>1</v>
      </c>
      <c r="CG951" s="60" t="str">
        <f aca="false">IF(OR(CF951=1,CF951=2,CF951=3),IF(Parameter!$E$27="Ja","LIFT",IF(CF951=1,"L1","L23")),IF(CF951="Aussen","Aussen","-"))</f>
        <v>LIFT</v>
      </c>
      <c r="CH951" s="71" t="n">
        <f aca="false">IF(N(AC951)&gt;0,AC951,0)</f>
        <v>0</v>
      </c>
      <c r="CI951" s="65" t="n">
        <f aca="false">IF(ISNUMBER(AF951),1,0)</f>
        <v>0</v>
      </c>
      <c r="CJ951" s="62" t="n">
        <f aca="false">N(AF951)</f>
        <v>0</v>
      </c>
      <c r="CK951" s="62" t="n">
        <f aca="false">N(M951)+N(N951)</f>
        <v>1</v>
      </c>
      <c r="CL951" s="62" t="n">
        <f aca="false">N(M951)</f>
        <v>0</v>
      </c>
      <c r="CM951" s="62" t="n">
        <f aca="false">N(N951)</f>
        <v>1</v>
      </c>
      <c r="CN951" s="62" t="n">
        <f aca="false">ROUNDUP(H951/BZ951,0)</f>
        <v>1</v>
      </c>
      <c r="CO951" s="62" t="n">
        <f aca="false">ROUNDUP(CJ951/BZ951,0)</f>
        <v>0</v>
      </c>
      <c r="CP951" s="65" t="n">
        <f aca="false">IF(CA951=1,0,IFERROR(VLOOKUP(BY951,'Gebinde-Kategorie'!$A$5:$N$45,5,0)+0,0))</f>
        <v>8</v>
      </c>
      <c r="CQ951" s="65" t="n">
        <f aca="false">IFERROR(IF(OR(CF951=1,CF951=2,CF951=3),N(INDEX(Parameter!$I$5:$I$7,CF951)),0),0)</f>
        <v>0</v>
      </c>
      <c r="CR951" s="64" t="n">
        <f aca="false">IF(AND(Parameter!$B$21="Ja",ISNUMBER(W951),N(X951)&gt;0),IFERROR(N(INDEX(Parameter!$L$5:$L$7,W951))*INDEX(Parameter!$E$5:$E$7,W951)*X951/SUMIFS($X$7:$X$1843,$W$7:$W$1843,W951),0),0)</f>
        <v>0</v>
      </c>
      <c r="CS951" s="62" t="n">
        <f aca="false">IF(AND(OR(CG951="L1",CG951="L23",CG951="LIFT"),H951&gt;0),CC951*IF(CR951&gt;0,CR951*MAX(1,H951/X951),IF(CA951=1,CE951,IF(R951&gt;0,CN951/R951,0))/MAX(0.1,N(Parameter!$M$21))),"")</f>
        <v>1.10714285714286</v>
      </c>
      <c r="CT951" s="64" t="n">
        <f aca="false">IF(CS951="","",J951/H951)</f>
        <v>0.25</v>
      </c>
      <c r="CU951" s="62" t="n">
        <f aca="false">IF(CS951="","",H951*G951)</f>
        <v>79.96</v>
      </c>
      <c r="CV951" s="63" t="n">
        <f aca="false">IF(CS951="","",(CL951+ROUNDUP(CL951+MAX(CM951,2*(J951/MAX(0.1,N(Einkauf!$C$6))-CL951)),0))/2)</f>
        <v>0.5</v>
      </c>
      <c r="CW951" s="62" t="n">
        <f aca="false">IF(CS951="","",MAX(0,H951-CV951)*G951)</f>
        <v>69.965</v>
      </c>
      <c r="CX951" s="62" t="n">
        <f aca="false">IF(CS951="","",CS951*MAX(0,1-CV951/H951))</f>
        <v>0.96875</v>
      </c>
      <c r="CY951" s="64" t="n">
        <f aca="false">IF(CS951="","",PERCENTRANK($CS$7:$CS$1843,CS951)+PERCENTRANK($CU$7:$CU$1843,CU951)+1-PERCENTRANK($CT$7:$CT$1843,CT951))</f>
        <v>0.7694</v>
      </c>
      <c r="CZ951" s="72" t="n">
        <f aca="false">IF(CS951="","",CHOOSE(MATCH(Einkauf!$C$5,Parameter!$G$23:$G$27,0),CY951,CS951,CU951,-CT951,CW951)+ROW()/1000000000)</f>
        <v>0.769400951</v>
      </c>
    </row>
    <row r="952" customFormat="false" ht="15" hidden="false" customHeight="false" outlineLevel="0" collapsed="false">
      <c r="A952" s="60" t="s">
        <v>1816</v>
      </c>
      <c r="B952" s="60" t="s">
        <v>1817</v>
      </c>
      <c r="C952" s="60" t="s">
        <v>206</v>
      </c>
      <c r="D952" s="60" t="s">
        <v>226</v>
      </c>
      <c r="E952" s="60" t="s">
        <v>227</v>
      </c>
      <c r="F952" s="60" t="s">
        <v>260</v>
      </c>
      <c r="G952" s="61" t="n">
        <v>12.28</v>
      </c>
      <c r="H952" s="62" t="n">
        <f aca="false">MAX(0,IF(AND(Parameter!$B$21="Ja",ISNUMBER(Y952)),Y952,IF(Parameter!$B$20="Jahresanfang 2025 + Export",BS952+BR952,BR952)))</f>
        <v>0</v>
      </c>
      <c r="I952" s="62" t="n">
        <f aca="false">H952*G952</f>
        <v>0</v>
      </c>
      <c r="J952" s="62" t="n">
        <f aca="false">BU952*Parameter!$B$18</f>
        <v>4</v>
      </c>
      <c r="K952" s="63" t="n">
        <v>2.5</v>
      </c>
      <c r="L952" s="64" t="n">
        <v>1.6</v>
      </c>
      <c r="M952" s="62" t="n">
        <v>0</v>
      </c>
      <c r="N952" s="62" t="n">
        <v>5</v>
      </c>
      <c r="O952" s="65" t="n">
        <v>28</v>
      </c>
      <c r="P952" s="60" t="s">
        <v>518</v>
      </c>
      <c r="Q952" s="62" t="n">
        <v>6</v>
      </c>
      <c r="R952" s="65" t="n">
        <f aca="false">IF(CA952=1,0,IFERROR(VLOOKUP(BY952,'Gebinde-Kategorie'!$A$5:$N$45,13,0)+0,0))</f>
        <v>52</v>
      </c>
      <c r="S952" s="66"/>
      <c r="T952" s="67"/>
      <c r="U952" s="67"/>
      <c r="V952" s="67"/>
      <c r="W952" s="60"/>
      <c r="X952" s="62"/>
      <c r="Y952" s="62"/>
      <c r="Z952" s="60" t="n">
        <v>3</v>
      </c>
      <c r="AA952" s="60" t="n">
        <f aca="false">IF(A952="","",IF(AND(Parameter!$B$21="Ja",ISNUMBER(W952)),W952,IF(AND(Parameter!$E$27="Ja",ISNUMBER(Z952),CD952&lt;&gt;"Nein"),Z952,IF(CD952="2+3",IF(ISNUMBER(SEARCH("grosser Artikel",BV952)),2,IFERROR(VLOOKUP(BY952,Parameter!$F$35:$G$64,2,0),2)),IF(OR(CD952="Nein",CD952=""),"-",CD952)))))</f>
        <v>3</v>
      </c>
      <c r="AB952" s="67"/>
      <c r="AC952" s="68"/>
      <c r="AD952" s="62" t="n">
        <f aca="false">AW952</f>
        <v>5</v>
      </c>
      <c r="AE952" s="62" t="n">
        <f aca="false">MAX(AW952,H952)</f>
        <v>5</v>
      </c>
      <c r="AF952" s="69"/>
      <c r="AG952" s="62" t="n">
        <f aca="false">IF(LEFT(Cockpit!$C$5,1)="A",H952,IF(Parameter!$E$30="MAX-Bestand",IF(CI952=1,CJ952,IF(LEFT(Cockpit!$C$5,1)="B",AM952,MAX(AM952,H952))),ROUNDUP(AK952,0)))</f>
        <v>0</v>
      </c>
      <c r="AH952" s="62" t="n">
        <f aca="false">IF(CA952=1,0,ROUNDUP(AG952/BZ952,0))</f>
        <v>0</v>
      </c>
      <c r="AI952" s="64" t="n">
        <f aca="false">IF(CR952&gt;0,CR952*MAX(1,AG952/X952),IF(CA952=1,IF(AG952&lt;=0,0,CE952*MAX(1,IF(H952&gt;0,AG952/H952,1))),IF(R952&gt;0,AH952/R952,0))/MAX(0.1,N(Parameter!$M$21)))</f>
        <v>0</v>
      </c>
      <c r="AJ952" s="62" t="n">
        <f aca="false">AI952*CC952</f>
        <v>0</v>
      </c>
      <c r="AK952" s="63" t="n">
        <f aca="false">IF(LEFT(Cockpit!$C$5,1)="A",H952,IF(CI952=1,(CL952+CJ952)/2,IF(LEFT(Cockpit!$C$5,1)="B",(CL952+AM952)/2,MAX((CL952+AM952)/2,H952))))</f>
        <v>0</v>
      </c>
      <c r="AL952" s="62" t="n">
        <f aca="false">AK952*G952</f>
        <v>0</v>
      </c>
      <c r="AM952" s="62" t="n">
        <f aca="false">ROUNDUP(CL952+MAX(CM952,2*(J952/IF(CH952&gt;0,CH952,MAX(0.1,N(Cockpit!$C$6)))-CL952)),0)</f>
        <v>5</v>
      </c>
      <c r="AN952" s="63" t="n">
        <f aca="false">IF(AJ952&gt;0,J952/AJ952,-1)</f>
        <v>-1</v>
      </c>
      <c r="AO952" s="63" t="str">
        <f aca="false">IF(AND(OR(CG952="L1",CG952="L23",CG952="LIFT"),AJ952&gt;0),SUMIFS($AJ$7:$AJ$1843,$CG$7:$CG$1843,CG952,$AN$7:$AN$1843,"&gt;"&amp;AN952)+SUMIFS($AJ$7:$AJ$1843,$CG$7:$CG$1843,CG952,$AN$7:$AN$1843,AN952,$BX$7:$BX$1843,"&lt;="&amp;BX952),"")</f>
        <v/>
      </c>
      <c r="AP952" s="70" t="n">
        <f aca="false">IF(AO952="",0,MAX(0,MIN(1,(IF(CG952="L1",Parameter!$H$5,IF(CG952="L23",Parameter!$H$6+Parameter!$H$7,Parameter!$H$5+Parameter!$H$6+Parameter!$H$7))-(AO952-AJ952))/AJ952)))</f>
        <v>0</v>
      </c>
      <c r="AQ952" s="62" t="n">
        <f aca="false">IF(LEFT(Cockpit!$I$5,1)="A",H952,IF(Parameter!$E$30="MAX-Bestand",IF(CI952=1,CJ952,IF(LEFT(Cockpit!$I$5,1)="B",AW952,MAX(AW952,H952))),ROUNDUP(AU952,0)))</f>
        <v>3</v>
      </c>
      <c r="AR952" s="62" t="n">
        <f aca="false">IF(CA952=1,0,ROUNDUP(AQ952/BZ952,0))</f>
        <v>1</v>
      </c>
      <c r="AS952" s="64" t="n">
        <f aca="false">IF(CR952&gt;0,CR952*MAX(1,AQ952/X952),IF(CA952=1,IF(AQ952&lt;=0,0,CE952*MAX(1,IF(H952&gt;0,AQ952/H952,1))),IF(R952&gt;0,AR952/R952,0))/MAX(0.1,N(Parameter!$M$21)))</f>
        <v>0.0192307692307692</v>
      </c>
      <c r="AT952" s="62" t="n">
        <f aca="false">AS952*CC952</f>
        <v>2.98076923076923</v>
      </c>
      <c r="AU952" s="63" t="n">
        <f aca="false">IF(LEFT(Cockpit!$I$5,1)="A",H952,IF(CI952=1,(CL952+CJ952)/2,IF(LEFT(Cockpit!$I$5,1)="B",(CL952+AW952)/2,MAX((CL952+AW952)/2,H952))))</f>
        <v>2.5</v>
      </c>
      <c r="AV952" s="62" t="n">
        <f aca="false">AU952*G952</f>
        <v>30.7</v>
      </c>
      <c r="AW952" s="62" t="n">
        <f aca="false">ROUNDUP(CL952+MAX(CM952,2*(J952/IF(CH952&gt;0,CH952,MAX(0.1,N(Cockpit!$I$6)))-CL952)),0)</f>
        <v>5</v>
      </c>
      <c r="AX952" s="63" t="n">
        <f aca="false">IF(AT952&gt;0,J952/AT952,-1)</f>
        <v>1.34193548387097</v>
      </c>
      <c r="AY952" s="63" t="n">
        <f aca="false">IF(AND(OR(CG952="L1",CG952="L23",CG952="LIFT"),AT952&gt;0),SUMIFS($AT$7:$AT$1843,$CG$7:$CG$1843,CG952,$AX$7:$AX$1843,"&gt;"&amp;AX952)+SUMIFS($AT$7:$AT$1843,$CG$7:$CG$1843,CG952,$AX$7:$AX$1843,AX952,$BX$7:$BX$1843,"&lt;="&amp;BX952),"")</f>
        <v>7870.23534798535</v>
      </c>
      <c r="AZ952" s="70" t="n">
        <f aca="false">IF(AY952="",0,MAX(0,MIN(1,(IF(CG952="L1",Parameter!$H$5,IF(CG952="L23",Parameter!$H$6+Parameter!$H$7,Parameter!$H$5+Parameter!$H$6+Parameter!$H$7))-(AY952-AT952))/AT952)))</f>
        <v>1</v>
      </c>
      <c r="BA952" s="62" t="n">
        <f aca="false">IF(LEFT(Cockpit!$O$5,1)="A",H952,IF(Parameter!$E$30="MAX-Bestand",IF(CI952=1,CJ952,IF(LEFT(Cockpit!$O$5,1)="B",BG952,MAX(BG952,H952))),ROUNDUP(BE952,0)))</f>
        <v>3</v>
      </c>
      <c r="BB952" s="62" t="n">
        <f aca="false">IF(CA952=1,0,ROUNDUP(BA952/BZ952,0))</f>
        <v>1</v>
      </c>
      <c r="BC952" s="64" t="n">
        <f aca="false">IF(CR952&gt;0,CR952*MAX(1,BA952/X952),IF(CA952=1,IF(BA952&lt;=0,0,CE952*MAX(1,IF(H952&gt;0,BA952/H952,1))),IF(R952&gt;0,BB952/R952,0))/MAX(0.1,N(Parameter!$M$21)))</f>
        <v>0.0192307692307692</v>
      </c>
      <c r="BD952" s="62" t="n">
        <f aca="false">BC952*CC952</f>
        <v>2.98076923076923</v>
      </c>
      <c r="BE952" s="63" t="n">
        <f aca="false">IF(LEFT(Cockpit!$O$5,1)="A",H952,IF(CI952=1,(CL952+CJ952)/2,IF(LEFT(Cockpit!$O$5,1)="B",(CL952+BG952)/2,MAX((CL952+BG952)/2,H952))))</f>
        <v>2.5</v>
      </c>
      <c r="BF952" s="62" t="n">
        <f aca="false">BE952*G952</f>
        <v>30.7</v>
      </c>
      <c r="BG952" s="62" t="n">
        <f aca="false">ROUNDUP(CL952+MAX(CM952,2*(J952/IF(CH952&gt;0,CH952,MAX(0.1,N(Cockpit!$O$6)))-CL952)),0)</f>
        <v>5</v>
      </c>
      <c r="BH952" s="63" t="n">
        <f aca="false">IF(BD952&gt;0,J952/BD952,-1)</f>
        <v>1.34193548387097</v>
      </c>
      <c r="BI952" s="63" t="n">
        <f aca="false">IF(AND(OR(CG952="L1",CG952="L23",CG952="LIFT"),BD952&gt;0),SUMIFS($BD$7:$BD$1843,$CG$7:$CG$1843,CG952,$BH$7:$BH$1843,"&gt;"&amp;BH952)+SUMIFS($BD$7:$BD$1843,$CG$7:$CG$1843,CG952,$BH$7:$BH$1843,BH952,$BX$7:$BX$1843,"&lt;="&amp;BX952),"")</f>
        <v>6807.45100732601</v>
      </c>
      <c r="BJ952" s="70" t="n">
        <f aca="false">IF(BI952="",0,MAX(0,MIN(1,(IF(CG952="L1",Parameter!$H$5,IF(CG952="L23",Parameter!$H$6+Parameter!$H$7,Parameter!$H$5+Parameter!$H$6+Parameter!$H$7))-(BI952-BD952))/BD952)))</f>
        <v>1</v>
      </c>
      <c r="BK952" s="60" t="str">
        <f aca="false">IF(AJ952&lt;=0,"",IF(CG952="Aussen","Aussenlager",IF(CG952="-","Nicht im Lift",IF(AP952&gt;=1,"Lift",IF(AP952&lt;=0,"Aussenlager","teilweise")))))</f>
        <v/>
      </c>
      <c r="BL952" s="60" t="str">
        <f aca="false">IF(AT952&lt;=0,"",IF(CG952="Aussen","Aussenlager",IF(CG952="-","Nicht im Lift",IF(AZ952&gt;=1,"Lift",IF(AZ952&lt;=0,"Aussenlager","teilweise")))))</f>
        <v>Lift</v>
      </c>
      <c r="BM952" s="60" t="str">
        <f aca="false">IF(BD952&lt;=0,"",IF(CG952="Aussen","Aussenlager",IF(CG952="-","Nicht im Lift",IF(BJ952&gt;=1,"Lift",IF(BJ952&lt;=0,"Aussenlager","teilweise")))))</f>
        <v>Lift</v>
      </c>
      <c r="BN952" s="60" t="str">
        <f aca="false">IF(A952="","",IF(BW952=1,"Neu; ","")&amp;IF(AND(BW952=0,BR952&lt;0),"negativer Bestand (Export "&amp;BR952&amp;"); ","")&amp;IF(J952&lt;=0,"Kein Verbrauch; ","")&amp;IF(CR952&gt;0,"Lift "&amp;W952&amp;" lt. Liftbericht (Fach "&amp;X952&amp;" Stk); ",IF(CB952=1,"Gebinde geschätzt ("&amp;T952&amp;"); ",IF(CA952=1,"Lose – Tablare geschätzt; ","")))&amp;IF(H952&gt;AW952,"Überbestand "&amp;ROUND(H952-AW952,0)&amp;" Stk / CHF "&amp;ROUND((H952-AW952)*G952,0)&amp;"; ","")&amp;IF(AND(CI952=1,CJ952&lt;CK952),"MAX &lt; MB+LG; ","")&amp;IF(AND(CQ952&gt;0,CP952*10&gt;CQ952),"zu hoch für Tablar; ","")&amp;IF(AND(BW952=0,OR(CI952=1,AB952&lt;&gt;"",U952&lt;&gt;"",V952&lt;&gt;"",AC952&lt;&gt;"")),"manuell übersteuert; ","")&amp;IF(AND(CA952=0,R952=0),"Gebinde unbekannt / Stellmass fehlt; ","")&amp;IF(AND(CA952=0,N(V952)&lt;=0,N(Q952)&lt;=0),"Menge pro Gebinde fehlt (Ist = 1 Gebinde); ","")&amp;BV952)</f>
        <v>negativer Bestand (Export -5); Verb.Lager</v>
      </c>
      <c r="BO952" s="60"/>
      <c r="BP952" s="60"/>
      <c r="BQ952" s="67"/>
      <c r="BR952" s="62" t="n">
        <v>-5</v>
      </c>
      <c r="BS952" s="62" t="n">
        <v>5</v>
      </c>
      <c r="BT952" s="61" t="n">
        <v>-61.4</v>
      </c>
      <c r="BU952" s="62" t="n">
        <v>4</v>
      </c>
      <c r="BV952" s="60" t="s">
        <v>1072</v>
      </c>
      <c r="BW952" s="65" t="n">
        <v>0</v>
      </c>
      <c r="BX952" s="65" t="n">
        <v>952</v>
      </c>
      <c r="BY952" s="60" t="str">
        <f aca="false">IF(U952&lt;&gt;"",UPPER(TRIM(U952)),IF(CB952=1,UPPER(VLOOKUP(T952,Parameter!$I$27:$K$29,2,0)),IF(P952="","LOSE",P952)))</f>
        <v>S33</v>
      </c>
      <c r="BZ952" s="62" t="n">
        <f aca="false">IF(BY952="LOSE",1,IF(N(V952)&gt;0,V952,IF(CB952=1,MAX(1,N(VLOOKUP(T952,Parameter!$I$27:$K$29,3,0)),H952,N(N952)),IF(N(Q952)&gt;0,Q952,MAX(1,H952)))))</f>
        <v>6</v>
      </c>
      <c r="CA952" s="65" t="n">
        <f aca="false">IF(BY952="LOSE",1,0)</f>
        <v>0</v>
      </c>
      <c r="CB952" s="65" t="n">
        <f aca="false">IF(AND(U952="",OR(P952="",P952="LOSE"),T952&lt;&gt;"",N(S952)&lt;=0,ISNUMBER(MATCH(T952,Parameter!$I$27:$I$29,0))),1,0)</f>
        <v>0</v>
      </c>
      <c r="CC952" s="65" t="n">
        <f aca="false">IF(CR952&gt;0,INDEX(Parameter!$H$5:$H$7,W952)/INDEX(Parameter!$E$5:$E$7,W952),IF(AND(CA952=0,N(IFERROR(VLOOKUP(BY952,'Gebinde-Kategorie'!$A$5:$N$45,14,0),0))&gt;0),VLOOKUP(BY952,'Gebinde-Kategorie'!$A$5:$N$45,14,0)*10+Parameter!$M$23,Parameter!$M$24))</f>
        <v>155</v>
      </c>
      <c r="CD952" s="60" t="str">
        <f aca="false">IF(AND(Parameter!$B$19="Ja",E952&lt;&gt;"",ISNUMBER(MATCH(E952,Parameter!$I$35:$I$52,0))),VLOOKUP(E952,Parameter!$I$35:$J$52,2,0),IFERROR(VLOOKUP(D952,Parameter!$A$35:$C$64,2,0),"Nein"))</f>
        <v>2+3</v>
      </c>
      <c r="CE952" s="64" t="n">
        <f aca="false">IF(CA952=0,0,IF(N(S952)&gt;0,S952,IFERROR(VLOOKUP(D952,Parameter!$A$35:$C$64,3,0)+0,0)))</f>
        <v>0</v>
      </c>
      <c r="CF952" s="60" t="n">
        <f aca="false">IF(AB952&lt;&gt;"",AB952,AA952)</f>
        <v>3</v>
      </c>
      <c r="CG952" s="60" t="str">
        <f aca="false">IF(OR(CF952=1,CF952=2,CF952=3),IF(Parameter!$E$27="Ja","LIFT",IF(CF952=1,"L1","L23")),IF(CF952="Aussen","Aussen","-"))</f>
        <v>LIFT</v>
      </c>
      <c r="CH952" s="71" t="n">
        <f aca="false">IF(N(AC952)&gt;0,AC952,0)</f>
        <v>0</v>
      </c>
      <c r="CI952" s="65" t="n">
        <f aca="false">IF(ISNUMBER(AF952),1,0)</f>
        <v>0</v>
      </c>
      <c r="CJ952" s="62" t="n">
        <f aca="false">N(AF952)</f>
        <v>0</v>
      </c>
      <c r="CK952" s="62" t="n">
        <f aca="false">N(M952)+N(N952)</f>
        <v>5</v>
      </c>
      <c r="CL952" s="62" t="n">
        <f aca="false">N(M952)</f>
        <v>0</v>
      </c>
      <c r="CM952" s="62" t="n">
        <f aca="false">N(N952)</f>
        <v>5</v>
      </c>
      <c r="CN952" s="62" t="n">
        <f aca="false">ROUNDUP(H952/BZ952,0)</f>
        <v>0</v>
      </c>
      <c r="CO952" s="62" t="n">
        <f aca="false">ROUNDUP(CJ952/BZ952,0)</f>
        <v>0</v>
      </c>
      <c r="CP952" s="65" t="n">
        <f aca="false">IF(CA952=1,0,IFERROR(VLOOKUP(BY952,'Gebinde-Kategorie'!$A$5:$N$45,5,0)+0,0))</f>
        <v>8</v>
      </c>
      <c r="CQ952" s="65" t="n">
        <f aca="false">IFERROR(IF(OR(CF952=1,CF952=2,CF952=3),N(INDEX(Parameter!$I$5:$I$7,CF952)),0),0)</f>
        <v>0</v>
      </c>
      <c r="CR952" s="64" t="n">
        <f aca="false">IF(AND(Parameter!$B$21="Ja",ISNUMBER(W952),N(X952)&gt;0),IFERROR(N(INDEX(Parameter!$L$5:$L$7,W952))*INDEX(Parameter!$E$5:$E$7,W952)*X952/SUMIFS($X$7:$X$1843,$W$7:$W$1843,W952),0),0)</f>
        <v>0</v>
      </c>
      <c r="CS952" s="62" t="str">
        <f aca="false">IF(AND(OR(CG952="L1",CG952="L23",CG952="LIFT"),H952&gt;0),CC952*IF(CR952&gt;0,CR952*MAX(1,H952/X952),IF(CA952=1,CE952,IF(R952&gt;0,CN952/R952,0))/MAX(0.1,N(Parameter!$M$21))),"")</f>
        <v/>
      </c>
      <c r="CT952" s="64" t="str">
        <f aca="false">IF(CS952="","",J952/H952)</f>
        <v/>
      </c>
      <c r="CU952" s="62" t="str">
        <f aca="false">IF(CS952="","",H952*G952)</f>
        <v/>
      </c>
      <c r="CV952" s="63" t="str">
        <f aca="false">IF(CS952="","",(CL952+ROUNDUP(CL952+MAX(CM952,2*(J952/MAX(0.1,N(Einkauf!$C$6))-CL952)),0))/2)</f>
        <v/>
      </c>
      <c r="CW952" s="62" t="str">
        <f aca="false">IF(CS952="","",MAX(0,H952-CV952)*G952)</f>
        <v/>
      </c>
      <c r="CX952" s="62" t="str">
        <f aca="false">IF(CS952="","",CS952*MAX(0,1-CV952/H952))</f>
        <v/>
      </c>
      <c r="CY952" s="64" t="str">
        <f aca="false">IF(CS952="","",PERCENTRANK($CS$7:$CS$1843,CS952)+PERCENTRANK($CU$7:$CU$1843,CU952)+1-PERCENTRANK($CT$7:$CT$1843,CT952))</f>
        <v/>
      </c>
      <c r="CZ952" s="72" t="str">
        <f aca="false">IF(CS952="","",CHOOSE(MATCH(Einkauf!$C$5,Parameter!$G$23:$G$27,0),CY952,CS952,CU952,-CT952,CW952)+ROW()/1000000000)</f>
        <v/>
      </c>
    </row>
    <row r="953" customFormat="false" ht="15" hidden="false" customHeight="false" outlineLevel="0" collapsed="false">
      <c r="A953" s="60" t="s">
        <v>1818</v>
      </c>
      <c r="B953" s="60" t="s">
        <v>586</v>
      </c>
      <c r="C953" s="60" t="s">
        <v>206</v>
      </c>
      <c r="D953" s="60" t="s">
        <v>226</v>
      </c>
      <c r="E953" s="60"/>
      <c r="F953" s="60" t="s">
        <v>260</v>
      </c>
      <c r="G953" s="61" t="n">
        <v>15.4</v>
      </c>
      <c r="H953" s="62" t="n">
        <f aca="false">MAX(0,IF(AND(Parameter!$B$21="Ja",ISNUMBER(Y953)),Y953,IF(Parameter!$B$20="Jahresanfang 2025 + Export",BS953+BR953,BR953)))</f>
        <v>25</v>
      </c>
      <c r="I953" s="62" t="n">
        <f aca="false">H953*G953</f>
        <v>385</v>
      </c>
      <c r="J953" s="62" t="n">
        <f aca="false">BU953*Parameter!$B$18</f>
        <v>0</v>
      </c>
      <c r="K953" s="63" t="n">
        <v>27</v>
      </c>
      <c r="L953" s="64" t="n">
        <v>0</v>
      </c>
      <c r="M953" s="62" t="n">
        <v>0</v>
      </c>
      <c r="N953" s="62" t="n">
        <v>1</v>
      </c>
      <c r="O953" s="65" t="n">
        <v>28</v>
      </c>
      <c r="P953" s="60" t="s">
        <v>468</v>
      </c>
      <c r="Q953" s="62" t="n">
        <v>25</v>
      </c>
      <c r="R953" s="65" t="n">
        <f aca="false">IF(CA953=1,0,IFERROR(VLOOKUP(BY953,'Gebinde-Kategorie'!$A$5:$N$45,13,0)+0,0))</f>
        <v>140</v>
      </c>
      <c r="S953" s="66"/>
      <c r="T953" s="67"/>
      <c r="U953" s="67"/>
      <c r="V953" s="67"/>
      <c r="W953" s="60"/>
      <c r="X953" s="62"/>
      <c r="Y953" s="62"/>
      <c r="Z953" s="60" t="n">
        <v>1</v>
      </c>
      <c r="AA953" s="60" t="n">
        <f aca="false">IF(A953="","",IF(AND(Parameter!$B$21="Ja",ISNUMBER(W953)),W953,IF(AND(Parameter!$E$27="Ja",ISNUMBER(Z953),CD953&lt;&gt;"Nein"),Z953,IF(CD953="2+3",IF(ISNUMBER(SEARCH("grosser Artikel",BV953)),2,IFERROR(VLOOKUP(BY953,Parameter!$F$35:$G$64,2,0),2)),IF(OR(CD953="Nein",CD953=""),"-",CD953)))))</f>
        <v>1</v>
      </c>
      <c r="AB953" s="67"/>
      <c r="AC953" s="68"/>
      <c r="AD953" s="62" t="n">
        <f aca="false">AW953</f>
        <v>1</v>
      </c>
      <c r="AE953" s="62" t="n">
        <f aca="false">MAX(AW953,H953)</f>
        <v>25</v>
      </c>
      <c r="AF953" s="69"/>
      <c r="AG953" s="62" t="n">
        <f aca="false">IF(LEFT(Cockpit!$C$5,1)="A",H953,IF(Parameter!$E$30="MAX-Bestand",IF(CI953=1,CJ953,IF(LEFT(Cockpit!$C$5,1)="B",AM953,MAX(AM953,H953))),ROUNDUP(AK953,0)))</f>
        <v>25</v>
      </c>
      <c r="AH953" s="62" t="n">
        <f aca="false">IF(CA953=1,0,ROUNDUP(AG953/BZ953,0))</f>
        <v>1</v>
      </c>
      <c r="AI953" s="64" t="n">
        <f aca="false">IF(CR953&gt;0,CR953*MAX(1,AG953/X953),IF(CA953=1,IF(AG953&lt;=0,0,CE953*MAX(1,IF(H953&gt;0,AG953/H953,1))),IF(R953&gt;0,AH953/R953,0))/MAX(0.1,N(Parameter!$M$21)))</f>
        <v>0.00714285714285714</v>
      </c>
      <c r="AJ953" s="62" t="n">
        <f aca="false">AI953*CC953</f>
        <v>1.10714285714286</v>
      </c>
      <c r="AK953" s="63" t="n">
        <f aca="false">IF(LEFT(Cockpit!$C$5,1)="A",H953,IF(CI953=1,(CL953+CJ953)/2,IF(LEFT(Cockpit!$C$5,1)="B",(CL953+AM953)/2,MAX((CL953+AM953)/2,H953))))</f>
        <v>25</v>
      </c>
      <c r="AL953" s="62" t="n">
        <f aca="false">AK953*G953</f>
        <v>385</v>
      </c>
      <c r="AM953" s="62" t="n">
        <f aca="false">ROUNDUP(CL953+MAX(CM953,2*(J953/IF(CH953&gt;0,CH953,MAX(0.1,N(Cockpit!$C$6)))-CL953)),0)</f>
        <v>1</v>
      </c>
      <c r="AN953" s="63" t="n">
        <f aca="false">IF(AJ953&gt;0,J953/AJ953,-1)</f>
        <v>0</v>
      </c>
      <c r="AO953" s="63" t="n">
        <f aca="false">IF(AND(OR(CG953="L1",CG953="L23",CG953="LIFT"),AJ953&gt;0),SUMIFS($AJ$7:$AJ$1843,$CG$7:$CG$1843,CG953,$AN$7:$AN$1843,"&gt;"&amp;AN953)+SUMIFS($AJ$7:$AJ$1843,$CG$7:$CG$1843,CG953,$AN$7:$AN$1843,AN953,$BX$7:$BX$1843,"&lt;="&amp;BX953),"")</f>
        <v>28881.3037395749</v>
      </c>
      <c r="AP953" s="70" t="n">
        <f aca="false">IF(AO953="",0,MAX(0,MIN(1,(IF(CG953="L1",Parameter!$H$5,IF(CG953="L23",Parameter!$H$6+Parameter!$H$7,Parameter!$H$5+Parameter!$H$6+Parameter!$H$7))-(AO953-AJ953))/AJ953)))</f>
        <v>1</v>
      </c>
      <c r="AQ953" s="62" t="n">
        <f aca="false">IF(LEFT(Cockpit!$I$5,1)="A",H953,IF(Parameter!$E$30="MAX-Bestand",IF(CI953=1,CJ953,IF(LEFT(Cockpit!$I$5,1)="B",AW953,MAX(AW953,H953))),ROUNDUP(AU953,0)))</f>
        <v>25</v>
      </c>
      <c r="AR953" s="62" t="n">
        <f aca="false">IF(CA953=1,0,ROUNDUP(AQ953/BZ953,0))</f>
        <v>1</v>
      </c>
      <c r="AS953" s="64" t="n">
        <f aca="false">IF(CR953&gt;0,CR953*MAX(1,AQ953/X953),IF(CA953=1,IF(AQ953&lt;=0,0,CE953*MAX(1,IF(H953&gt;0,AQ953/H953,1))),IF(R953&gt;0,AR953/R953,0))/MAX(0.1,N(Parameter!$M$21)))</f>
        <v>0.00714285714285714</v>
      </c>
      <c r="AT953" s="62" t="n">
        <f aca="false">AS953*CC953</f>
        <v>1.10714285714286</v>
      </c>
      <c r="AU953" s="63" t="n">
        <f aca="false">IF(LEFT(Cockpit!$I$5,1)="A",H953,IF(CI953=1,(CL953+CJ953)/2,IF(LEFT(Cockpit!$I$5,1)="B",(CL953+AW953)/2,MAX((CL953+AW953)/2,H953))))</f>
        <v>25</v>
      </c>
      <c r="AV953" s="62" t="n">
        <f aca="false">AU953*G953</f>
        <v>385</v>
      </c>
      <c r="AW953" s="62" t="n">
        <f aca="false">ROUNDUP(CL953+MAX(CM953,2*(J953/IF(CH953&gt;0,CH953,MAX(0.1,N(Cockpit!$I$6)))-CL953)),0)</f>
        <v>1</v>
      </c>
      <c r="AX953" s="63" t="n">
        <f aca="false">IF(AT953&gt;0,J953/AT953,-1)</f>
        <v>0</v>
      </c>
      <c r="AY953" s="63" t="n">
        <f aca="false">IF(AND(OR(CG953="L1",CG953="L23",CG953="LIFT"),AT953&gt;0),SUMIFS($AT$7:$AT$1843,$CG$7:$CG$1843,CG953,$AX$7:$AX$1843,"&gt;"&amp;AX953)+SUMIFS($AT$7:$AT$1843,$CG$7:$CG$1843,CG953,$AX$7:$AX$1843,AX953,$BX$7:$BX$1843,"&lt;="&amp;BX953),"")</f>
        <v>34549.2367216117</v>
      </c>
      <c r="AZ953" s="70" t="n">
        <f aca="false">IF(AY953="",0,MAX(0,MIN(1,(IF(CG953="L1",Parameter!$H$5,IF(CG953="L23",Parameter!$H$6+Parameter!$H$7,Parameter!$H$5+Parameter!$H$6+Parameter!$H$7))-(AY953-AT953))/AT953)))</f>
        <v>1</v>
      </c>
      <c r="BA953" s="62" t="n">
        <f aca="false">IF(LEFT(Cockpit!$O$5,1)="A",H953,IF(Parameter!$E$30="MAX-Bestand",IF(CI953=1,CJ953,IF(LEFT(Cockpit!$O$5,1)="B",BG953,MAX(BG953,H953))),ROUNDUP(BE953,0)))</f>
        <v>1</v>
      </c>
      <c r="BB953" s="62" t="n">
        <f aca="false">IF(CA953=1,0,ROUNDUP(BA953/BZ953,0))</f>
        <v>1</v>
      </c>
      <c r="BC953" s="64" t="n">
        <f aca="false">IF(CR953&gt;0,CR953*MAX(1,BA953/X953),IF(CA953=1,IF(BA953&lt;=0,0,CE953*MAX(1,IF(H953&gt;0,BA953/H953,1))),IF(R953&gt;0,BB953/R953,0))/MAX(0.1,N(Parameter!$M$21)))</f>
        <v>0.00714285714285714</v>
      </c>
      <c r="BD953" s="62" t="n">
        <f aca="false">BC953*CC953</f>
        <v>1.10714285714286</v>
      </c>
      <c r="BE953" s="63" t="n">
        <f aca="false">IF(LEFT(Cockpit!$O$5,1)="A",H953,IF(CI953=1,(CL953+CJ953)/2,IF(LEFT(Cockpit!$O$5,1)="B",(CL953+BG953)/2,MAX((CL953+BG953)/2,H953))))</f>
        <v>0.5</v>
      </c>
      <c r="BF953" s="62" t="n">
        <f aca="false">BE953*G953</f>
        <v>7.7</v>
      </c>
      <c r="BG953" s="62" t="n">
        <f aca="false">ROUNDUP(CL953+MAX(CM953,2*(J953/IF(CH953&gt;0,CH953,MAX(0.1,N(Cockpit!$O$6)))-CL953)),0)</f>
        <v>1</v>
      </c>
      <c r="BH953" s="63" t="n">
        <f aca="false">IF(BD953&gt;0,J953/BD953,-1)</f>
        <v>0</v>
      </c>
      <c r="BI953" s="63" t="n">
        <f aca="false">IF(AND(OR(CG953="L1",CG953="L23",CG953="LIFT"),BD953&gt;0),SUMIFS($BD$7:$BD$1843,$CG$7:$CG$1843,CG953,$BH$7:$BH$1843,"&gt;"&amp;BH953)+SUMIFS($BD$7:$BD$1843,$CG$7:$CG$1843,CG953,$BH$7:$BH$1843,BH953,$BX$7:$BX$1843,"&lt;="&amp;BX953),"")</f>
        <v>28579.7356894518</v>
      </c>
      <c r="BJ953" s="70" t="n">
        <f aca="false">IF(BI953="",0,MAX(0,MIN(1,(IF(CG953="L1",Parameter!$H$5,IF(CG953="L23",Parameter!$H$6+Parameter!$H$7,Parameter!$H$5+Parameter!$H$6+Parameter!$H$7))-(BI953-BD953))/BD953)))</f>
        <v>1</v>
      </c>
      <c r="BK953" s="60" t="str">
        <f aca="false">IF(AJ953&lt;=0,"",IF(CG953="Aussen","Aussenlager",IF(CG953="-","Nicht im Lift",IF(AP953&gt;=1,"Lift",IF(AP953&lt;=0,"Aussenlager","teilweise")))))</f>
        <v>Lift</v>
      </c>
      <c r="BL953" s="60" t="str">
        <f aca="false">IF(AT953&lt;=0,"",IF(CG953="Aussen","Aussenlager",IF(CG953="-","Nicht im Lift",IF(AZ953&gt;=1,"Lift",IF(AZ953&lt;=0,"Aussenlager","teilweise")))))</f>
        <v>Lift</v>
      </c>
      <c r="BM953" s="60" t="str">
        <f aca="false">IF(BD953&lt;=0,"",IF(CG953="Aussen","Aussenlager",IF(CG953="-","Nicht im Lift",IF(BJ953&gt;=1,"Lift",IF(BJ953&lt;=0,"Aussenlager","teilweise")))))</f>
        <v>Lift</v>
      </c>
      <c r="BN953" s="60" t="str">
        <f aca="false">IF(A953="","",IF(BW953=1,"Neu; ","")&amp;IF(AND(BW953=0,BR953&lt;0),"negativer Bestand (Export "&amp;BR953&amp;"); ","")&amp;IF(J953&lt;=0,"Kein Verbrauch; ","")&amp;IF(CR953&gt;0,"Lift "&amp;W953&amp;" lt. Liftbericht (Fach "&amp;X953&amp;" Stk); ",IF(CB953=1,"Gebinde geschätzt ("&amp;T953&amp;"); ",IF(CA953=1,"Lose – Tablare geschätzt; ","")))&amp;IF(H953&gt;AW953,"Überbestand "&amp;ROUND(H953-AW953,0)&amp;" Stk / CHF "&amp;ROUND((H953-AW953)*G953,0)&amp;"; ","")&amp;IF(AND(CI953=1,CJ953&lt;CK953),"MAX &lt; MB+LG; ","")&amp;IF(AND(CQ953&gt;0,CP953*10&gt;CQ953),"zu hoch für Tablar; ","")&amp;IF(AND(BW953=0,OR(CI953=1,AB953&lt;&gt;"",U953&lt;&gt;"",V953&lt;&gt;"",AC953&lt;&gt;"")),"manuell übersteuert; ","")&amp;IF(AND(CA953=0,R953=0),"Gebinde unbekannt / Stellmass fehlt; ","")&amp;IF(AND(CA953=0,N(V953)&lt;=0,N(Q953)&lt;=0),"Menge pro Gebinde fehlt (Ist = 1 Gebinde); ","")&amp;BV953)</f>
        <v>negativer Bestand (Export -4); Kein Verbrauch; Überbestand 24 Stk / CHF 370; Neuer Art.</v>
      </c>
      <c r="BO953" s="60"/>
      <c r="BP953" s="60"/>
      <c r="BQ953" s="67"/>
      <c r="BR953" s="62" t="n">
        <v>-4</v>
      </c>
      <c r="BS953" s="62" t="n">
        <v>29</v>
      </c>
      <c r="BT953" s="61" t="n">
        <v>-61.6</v>
      </c>
      <c r="BU953" s="62" t="n">
        <v>0</v>
      </c>
      <c r="BV953" s="60" t="s">
        <v>554</v>
      </c>
      <c r="BW953" s="65" t="n">
        <v>0</v>
      </c>
      <c r="BX953" s="65" t="n">
        <v>953</v>
      </c>
      <c r="BY953" s="60" t="str">
        <f aca="false">IF(U953&lt;&gt;"",UPPER(TRIM(U953)),IF(CB953=1,UPPER(VLOOKUP(T953,Parameter!$I$27:$K$29,2,0)),IF(P953="","LOSE",P953)))</f>
        <v>S22</v>
      </c>
      <c r="BZ953" s="62" t="n">
        <f aca="false">IF(BY953="LOSE",1,IF(N(V953)&gt;0,V953,IF(CB953=1,MAX(1,N(VLOOKUP(T953,Parameter!$I$27:$K$29,3,0)),H953,N(N953)),IF(N(Q953)&gt;0,Q953,MAX(1,H953)))))</f>
        <v>25</v>
      </c>
      <c r="CA953" s="65" t="n">
        <f aca="false">IF(BY953="LOSE",1,0)</f>
        <v>0</v>
      </c>
      <c r="CB953" s="65" t="n">
        <f aca="false">IF(AND(U953="",OR(P953="",P953="LOSE"),T953&lt;&gt;"",N(S953)&lt;=0,ISNUMBER(MATCH(T953,Parameter!$I$27:$I$29,0))),1,0)</f>
        <v>0</v>
      </c>
      <c r="CC953" s="65" t="n">
        <f aca="false">IF(CR953&gt;0,INDEX(Parameter!$H$5:$H$7,W953)/INDEX(Parameter!$E$5:$E$7,W953),IF(AND(CA953=0,N(IFERROR(VLOOKUP(BY953,'Gebinde-Kategorie'!$A$5:$N$45,14,0),0))&gt;0),VLOOKUP(BY953,'Gebinde-Kategorie'!$A$5:$N$45,14,0)*10+Parameter!$M$23,Parameter!$M$24))</f>
        <v>155</v>
      </c>
      <c r="CD953" s="60" t="str">
        <f aca="false">IF(AND(Parameter!$B$19="Ja",E953&lt;&gt;"",ISNUMBER(MATCH(E953,Parameter!$I$35:$I$52,0))),VLOOKUP(E953,Parameter!$I$35:$J$52,2,0),IFERROR(VLOOKUP(D953,Parameter!$A$35:$C$64,2,0),"Nein"))</f>
        <v>2+3</v>
      </c>
      <c r="CE953" s="64" t="n">
        <f aca="false">IF(CA953=0,0,IF(N(S953)&gt;0,S953,IFERROR(VLOOKUP(D953,Parameter!$A$35:$C$64,3,0)+0,0)))</f>
        <v>0</v>
      </c>
      <c r="CF953" s="60" t="n">
        <f aca="false">IF(AB953&lt;&gt;"",AB953,AA953)</f>
        <v>1</v>
      </c>
      <c r="CG953" s="60" t="str">
        <f aca="false">IF(OR(CF953=1,CF953=2,CF953=3),IF(Parameter!$E$27="Ja","LIFT",IF(CF953=1,"L1","L23")),IF(CF953="Aussen","Aussen","-"))</f>
        <v>LIFT</v>
      </c>
      <c r="CH953" s="71" t="n">
        <f aca="false">IF(N(AC953)&gt;0,AC953,0)</f>
        <v>0</v>
      </c>
      <c r="CI953" s="65" t="n">
        <f aca="false">IF(ISNUMBER(AF953),1,0)</f>
        <v>0</v>
      </c>
      <c r="CJ953" s="62" t="n">
        <f aca="false">N(AF953)</f>
        <v>0</v>
      </c>
      <c r="CK953" s="62" t="n">
        <f aca="false">N(M953)+N(N953)</f>
        <v>1</v>
      </c>
      <c r="CL953" s="62" t="n">
        <f aca="false">N(M953)</f>
        <v>0</v>
      </c>
      <c r="CM953" s="62" t="n">
        <f aca="false">N(N953)</f>
        <v>1</v>
      </c>
      <c r="CN953" s="62" t="n">
        <f aca="false">ROUNDUP(H953/BZ953,0)</f>
        <v>1</v>
      </c>
      <c r="CO953" s="62" t="n">
        <f aca="false">ROUNDUP(CJ953/BZ953,0)</f>
        <v>0</v>
      </c>
      <c r="CP953" s="65" t="n">
        <f aca="false">IF(CA953=1,0,IFERROR(VLOOKUP(BY953,'Gebinde-Kategorie'!$A$5:$N$45,5,0)+0,0))</f>
        <v>8</v>
      </c>
      <c r="CQ953" s="65" t="n">
        <f aca="false">IFERROR(IF(OR(CF953=1,CF953=2,CF953=3),N(INDEX(Parameter!$I$5:$I$7,CF953)),0),0)</f>
        <v>0</v>
      </c>
      <c r="CR953" s="64" t="n">
        <f aca="false">IF(AND(Parameter!$B$21="Ja",ISNUMBER(W953),N(X953)&gt;0),IFERROR(N(INDEX(Parameter!$L$5:$L$7,W953))*INDEX(Parameter!$E$5:$E$7,W953)*X953/SUMIFS($X$7:$X$1843,$W$7:$W$1843,W953),0),0)</f>
        <v>0</v>
      </c>
      <c r="CS953" s="62" t="n">
        <f aca="false">IF(AND(OR(CG953="L1",CG953="L23",CG953="LIFT"),H953&gt;0),CC953*IF(CR953&gt;0,CR953*MAX(1,H953/X953),IF(CA953=1,CE953,IF(R953&gt;0,CN953/R953,0))/MAX(0.1,N(Parameter!$M$21))),"")</f>
        <v>1.10714285714286</v>
      </c>
      <c r="CT953" s="64" t="n">
        <f aca="false">IF(CS953="","",J953/H953)</f>
        <v>0</v>
      </c>
      <c r="CU953" s="62" t="n">
        <f aca="false">IF(CS953="","",H953*G953)</f>
        <v>385</v>
      </c>
      <c r="CV953" s="63" t="n">
        <f aca="false">IF(CS953="","",(CL953+ROUNDUP(CL953+MAX(CM953,2*(J953/MAX(0.1,N(Einkauf!$C$6))-CL953)),0))/2)</f>
        <v>0.5</v>
      </c>
      <c r="CW953" s="62" t="n">
        <f aca="false">IF(CS953="","",MAX(0,H953-CV953)*G953)</f>
        <v>377.3</v>
      </c>
      <c r="CX953" s="62" t="n">
        <f aca="false">IF(CS953="","",CS953*MAX(0,1-CV953/H953))</f>
        <v>1.085</v>
      </c>
      <c r="CY953" s="64" t="n">
        <f aca="false">IF(CS953="","",PERCENTRANK($CS$7:$CS$1843,CS953)+PERCENTRANK($CU$7:$CU$1843,CU953)+1-PERCENTRANK($CT$7:$CT$1843,CT953))</f>
        <v>1.5304</v>
      </c>
      <c r="CZ953" s="72" t="n">
        <f aca="false">IF(CS953="","",CHOOSE(MATCH(Einkauf!$C$5,Parameter!$G$23:$G$27,0),CY953,CS953,CU953,-CT953,CW953)+ROW()/1000000000)</f>
        <v>1.530400953</v>
      </c>
    </row>
    <row r="954" customFormat="false" ht="15" hidden="false" customHeight="false" outlineLevel="0" collapsed="false">
      <c r="A954" s="60" t="s">
        <v>1819</v>
      </c>
      <c r="B954" s="60" t="s">
        <v>1820</v>
      </c>
      <c r="C954" s="60" t="s">
        <v>206</v>
      </c>
      <c r="D954" s="60" t="s">
        <v>226</v>
      </c>
      <c r="E954" s="60"/>
      <c r="F954" s="60" t="s">
        <v>260</v>
      </c>
      <c r="G954" s="61" t="n">
        <v>62.04</v>
      </c>
      <c r="H954" s="62" t="n">
        <f aca="false">MAX(0,IF(AND(Parameter!$B$21="Ja",ISNUMBER(Y954)),Y954,IF(Parameter!$B$20="Jahresanfang 2025 + Export",BS954+BR954,BR954)))</f>
        <v>1</v>
      </c>
      <c r="I954" s="62" t="n">
        <f aca="false">H954*G954</f>
        <v>62.04</v>
      </c>
      <c r="J954" s="62" t="n">
        <f aca="false">BU954*Parameter!$B$18</f>
        <v>1</v>
      </c>
      <c r="K954" s="63" t="n">
        <v>1.5</v>
      </c>
      <c r="L954" s="64" t="n">
        <v>0.666666666666667</v>
      </c>
      <c r="M954" s="62" t="n">
        <v>0</v>
      </c>
      <c r="N954" s="62" t="n">
        <v>1</v>
      </c>
      <c r="O954" s="65" t="n">
        <v>35</v>
      </c>
      <c r="P954" s="60" t="s">
        <v>463</v>
      </c>
      <c r="Q954" s="62" t="n">
        <v>2</v>
      </c>
      <c r="R954" s="65" t="n">
        <f aca="false">IF(CA954=1,0,IFERROR(VLOOKUP(BY954,'Gebinde-Kategorie'!$A$5:$N$45,13,0)+0,0))</f>
        <v>104</v>
      </c>
      <c r="S954" s="66"/>
      <c r="T954" s="67"/>
      <c r="U954" s="67"/>
      <c r="V954" s="67"/>
      <c r="W954" s="60"/>
      <c r="X954" s="62"/>
      <c r="Y954" s="62"/>
      <c r="Z954" s="60" t="n">
        <v>3</v>
      </c>
      <c r="AA954" s="60" t="n">
        <f aca="false">IF(A954="","",IF(AND(Parameter!$B$21="Ja",ISNUMBER(W954)),W954,IF(AND(Parameter!$E$27="Ja",ISNUMBER(Z954),CD954&lt;&gt;"Nein"),Z954,IF(CD954="2+3",IF(ISNUMBER(SEARCH("grosser Artikel",BV954)),2,IFERROR(VLOOKUP(BY954,Parameter!$F$35:$G$64,2,0),2)),IF(OR(CD954="Nein",CD954=""),"-",CD954)))))</f>
        <v>3</v>
      </c>
      <c r="AB954" s="67"/>
      <c r="AC954" s="68"/>
      <c r="AD954" s="62" t="n">
        <f aca="false">AW954</f>
        <v>1</v>
      </c>
      <c r="AE954" s="62" t="n">
        <f aca="false">MAX(AW954,H954)</f>
        <v>1</v>
      </c>
      <c r="AF954" s="69"/>
      <c r="AG954" s="62" t="n">
        <f aca="false">IF(LEFT(Cockpit!$C$5,1)="A",H954,IF(Parameter!$E$30="MAX-Bestand",IF(CI954=1,CJ954,IF(LEFT(Cockpit!$C$5,1)="B",AM954,MAX(AM954,H954))),ROUNDUP(AK954,0)))</f>
        <v>1</v>
      </c>
      <c r="AH954" s="62" t="n">
        <f aca="false">IF(CA954=1,0,ROUNDUP(AG954/BZ954,0))</f>
        <v>1</v>
      </c>
      <c r="AI954" s="64" t="n">
        <f aca="false">IF(CR954&gt;0,CR954*MAX(1,AG954/X954),IF(CA954=1,IF(AG954&lt;=0,0,CE954*MAX(1,IF(H954&gt;0,AG954/H954,1))),IF(R954&gt;0,AH954/R954,0))/MAX(0.1,N(Parameter!$M$21)))</f>
        <v>0.00961538461538462</v>
      </c>
      <c r="AJ954" s="62" t="n">
        <f aca="false">AI954*CC954</f>
        <v>1.49038461538462</v>
      </c>
      <c r="AK954" s="63" t="n">
        <f aca="false">IF(LEFT(Cockpit!$C$5,1)="A",H954,IF(CI954=1,(CL954+CJ954)/2,IF(LEFT(Cockpit!$C$5,1)="B",(CL954+AM954)/2,MAX((CL954+AM954)/2,H954))))</f>
        <v>1</v>
      </c>
      <c r="AL954" s="62" t="n">
        <f aca="false">AK954*G954</f>
        <v>62.04</v>
      </c>
      <c r="AM954" s="62" t="n">
        <f aca="false">ROUNDUP(CL954+MAX(CM954,2*(J954/IF(CH954&gt;0,CH954,MAX(0.1,N(Cockpit!$C$6)))-CL954)),0)</f>
        <v>1</v>
      </c>
      <c r="AN954" s="63" t="n">
        <f aca="false">IF(AJ954&gt;0,J954/AJ954,-1)</f>
        <v>0.670967741935484</v>
      </c>
      <c r="AO954" s="63" t="n">
        <f aca="false">IF(AND(OR(CG954="L1",CG954="L23",CG954="LIFT"),AJ954&gt;0),SUMIFS($AJ$7:$AJ$1843,$CG$7:$CG$1843,CG954,$AN$7:$AN$1843,"&gt;"&amp;AN954)+SUMIFS($AJ$7:$AJ$1843,$CG$7:$CG$1843,CG954,$AN$7:$AN$1843,AN954,$BX$7:$BX$1843,"&lt;="&amp;BX954),"")</f>
        <v>8622.07371794872</v>
      </c>
      <c r="AP954" s="70" t="n">
        <f aca="false">IF(AO954="",0,MAX(0,MIN(1,(IF(CG954="L1",Parameter!$H$5,IF(CG954="L23",Parameter!$H$6+Parameter!$H$7,Parameter!$H$5+Parameter!$H$6+Parameter!$H$7))-(AO954-AJ954))/AJ954)))</f>
        <v>1</v>
      </c>
      <c r="AQ954" s="62" t="n">
        <f aca="false">IF(LEFT(Cockpit!$I$5,1)="A",H954,IF(Parameter!$E$30="MAX-Bestand",IF(CI954=1,CJ954,IF(LEFT(Cockpit!$I$5,1)="B",AW954,MAX(AW954,H954))),ROUNDUP(AU954,0)))</f>
        <v>1</v>
      </c>
      <c r="AR954" s="62" t="n">
        <f aca="false">IF(CA954=1,0,ROUNDUP(AQ954/BZ954,0))</f>
        <v>1</v>
      </c>
      <c r="AS954" s="64" t="n">
        <f aca="false">IF(CR954&gt;0,CR954*MAX(1,AQ954/X954),IF(CA954=1,IF(AQ954&lt;=0,0,CE954*MAX(1,IF(H954&gt;0,AQ954/H954,1))),IF(R954&gt;0,AR954/R954,0))/MAX(0.1,N(Parameter!$M$21)))</f>
        <v>0.00961538461538462</v>
      </c>
      <c r="AT954" s="62" t="n">
        <f aca="false">AS954*CC954</f>
        <v>1.49038461538462</v>
      </c>
      <c r="AU954" s="63" t="n">
        <f aca="false">IF(LEFT(Cockpit!$I$5,1)="A",H954,IF(CI954=1,(CL954+CJ954)/2,IF(LEFT(Cockpit!$I$5,1)="B",(CL954+AW954)/2,MAX((CL954+AW954)/2,H954))))</f>
        <v>1</v>
      </c>
      <c r="AV954" s="62" t="n">
        <f aca="false">AU954*G954</f>
        <v>62.04</v>
      </c>
      <c r="AW954" s="62" t="n">
        <f aca="false">ROUNDUP(CL954+MAX(CM954,2*(J954/IF(CH954&gt;0,CH954,MAX(0.1,N(Cockpit!$I$6)))-CL954)),0)</f>
        <v>1</v>
      </c>
      <c r="AX954" s="63" t="n">
        <f aca="false">IF(AT954&gt;0,J954/AT954,-1)</f>
        <v>0.670967741935484</v>
      </c>
      <c r="AY954" s="63" t="n">
        <f aca="false">IF(AND(OR(CG954="L1",CG954="L23",CG954="LIFT"),AT954&gt;0),SUMIFS($AT$7:$AT$1843,$CG$7:$CG$1843,CG954,$AX$7:$AX$1843,"&gt;"&amp;AX954)+SUMIFS($AT$7:$AT$1843,$CG$7:$CG$1843,CG954,$AX$7:$AX$1843,AX954,$BX$7:$BX$1843,"&lt;="&amp;BX954),"")</f>
        <v>10916.2413003663</v>
      </c>
      <c r="AZ954" s="70" t="n">
        <f aca="false">IF(AY954="",0,MAX(0,MIN(1,(IF(CG954="L1",Parameter!$H$5,IF(CG954="L23",Parameter!$H$6+Parameter!$H$7,Parameter!$H$5+Parameter!$H$6+Parameter!$H$7))-(AY954-AT954))/AT954)))</f>
        <v>1</v>
      </c>
      <c r="BA954" s="62" t="n">
        <f aca="false">IF(LEFT(Cockpit!$O$5,1)="A",H954,IF(Parameter!$E$30="MAX-Bestand",IF(CI954=1,CJ954,IF(LEFT(Cockpit!$O$5,1)="B",BG954,MAX(BG954,H954))),ROUNDUP(BE954,0)))</f>
        <v>1</v>
      </c>
      <c r="BB954" s="62" t="n">
        <f aca="false">IF(CA954=1,0,ROUNDUP(BA954/BZ954,0))</f>
        <v>1</v>
      </c>
      <c r="BC954" s="64" t="n">
        <f aca="false">IF(CR954&gt;0,CR954*MAX(1,BA954/X954),IF(CA954=1,IF(BA954&lt;=0,0,CE954*MAX(1,IF(H954&gt;0,BA954/H954,1))),IF(R954&gt;0,BB954/R954,0))/MAX(0.1,N(Parameter!$M$21)))</f>
        <v>0.00961538461538462</v>
      </c>
      <c r="BD954" s="62" t="n">
        <f aca="false">BC954*CC954</f>
        <v>1.49038461538462</v>
      </c>
      <c r="BE954" s="63" t="n">
        <f aca="false">IF(LEFT(Cockpit!$O$5,1)="A",H954,IF(CI954=1,(CL954+CJ954)/2,IF(LEFT(Cockpit!$O$5,1)="B",(CL954+BG954)/2,MAX((CL954+BG954)/2,H954))))</f>
        <v>0.5</v>
      </c>
      <c r="BF954" s="62" t="n">
        <f aca="false">BE954*G954</f>
        <v>31.02</v>
      </c>
      <c r="BG954" s="62" t="n">
        <f aca="false">ROUNDUP(CL954+MAX(CM954,2*(J954/IF(CH954&gt;0,CH954,MAX(0.1,N(Cockpit!$O$6)))-CL954)),0)</f>
        <v>1</v>
      </c>
      <c r="BH954" s="63" t="n">
        <f aca="false">IF(BD954&gt;0,J954/BD954,-1)</f>
        <v>0.670967741935484</v>
      </c>
      <c r="BI954" s="63" t="n">
        <f aca="false">IF(AND(OR(CG954="L1",CG954="L23",CG954="LIFT"),BD954&gt;0),SUMIFS($BD$7:$BD$1843,$CG$7:$CG$1843,CG954,$BH$7:$BH$1843,"&gt;"&amp;BH954)+SUMIFS($BD$7:$BD$1843,$CG$7:$CG$1843,CG954,$BH$7:$BH$1843,BH954,$BX$7:$BX$1843,"&lt;="&amp;BX954),"")</f>
        <v>9525.87545787546</v>
      </c>
      <c r="BJ954" s="70" t="n">
        <f aca="false">IF(BI954="",0,MAX(0,MIN(1,(IF(CG954="L1",Parameter!$H$5,IF(CG954="L23",Parameter!$H$6+Parameter!$H$7,Parameter!$H$5+Parameter!$H$6+Parameter!$H$7))-(BI954-BD954))/BD954)))</f>
        <v>1</v>
      </c>
      <c r="BK954" s="60" t="str">
        <f aca="false">IF(AJ954&lt;=0,"",IF(CG954="Aussen","Aussenlager",IF(CG954="-","Nicht im Lift",IF(AP954&gt;=1,"Lift",IF(AP954&lt;=0,"Aussenlager","teilweise")))))</f>
        <v>Lift</v>
      </c>
      <c r="BL954" s="60" t="str">
        <f aca="false">IF(AT954&lt;=0,"",IF(CG954="Aussen","Aussenlager",IF(CG954="-","Nicht im Lift",IF(AZ954&gt;=1,"Lift",IF(AZ954&lt;=0,"Aussenlager","teilweise")))))</f>
        <v>Lift</v>
      </c>
      <c r="BM954" s="60" t="str">
        <f aca="false">IF(BD954&lt;=0,"",IF(CG954="Aussen","Aussenlager",IF(CG954="-","Nicht im Lift",IF(BJ954&gt;=1,"Lift",IF(BJ954&lt;=0,"Aussenlager","teilweise")))))</f>
        <v>Lift</v>
      </c>
      <c r="BN954" s="60" t="str">
        <f aca="false">IF(A954="","",IF(BW954=1,"Neu; ","")&amp;IF(AND(BW954=0,BR954&lt;0),"negativer Bestand (Export "&amp;BR954&amp;"); ","")&amp;IF(J954&lt;=0,"Kein Verbrauch; ","")&amp;IF(CR954&gt;0,"Lift "&amp;W954&amp;" lt. Liftbericht (Fach "&amp;X954&amp;" Stk); ",IF(CB954=1,"Gebinde geschätzt ("&amp;T954&amp;"); ",IF(CA954=1,"Lose – Tablare geschätzt; ","")))&amp;IF(H954&gt;AW954,"Überbestand "&amp;ROUND(H954-AW954,0)&amp;" Stk / CHF "&amp;ROUND((H954-AW954)*G954,0)&amp;"; ","")&amp;IF(AND(CI954=1,CJ954&lt;CK954),"MAX &lt; MB+LG; ","")&amp;IF(AND(CQ954&gt;0,CP954*10&gt;CQ954),"zu hoch für Tablar; ","")&amp;IF(AND(BW954=0,OR(CI954=1,AB954&lt;&gt;"",U954&lt;&gt;"",V954&lt;&gt;"",AC954&lt;&gt;"")),"manuell übersteuert; ","")&amp;IF(AND(CA954=0,R954=0),"Gebinde unbekannt / Stellmass fehlt; ","")&amp;IF(AND(CA954=0,N(V954)&lt;=0,N(Q954)&lt;=0),"Menge pro Gebinde fehlt (Ist = 1 Gebinde); ","")&amp;BV954)</f>
        <v>negativer Bestand (Export -1); </v>
      </c>
      <c r="BO954" s="60"/>
      <c r="BP954" s="60"/>
      <c r="BQ954" s="67"/>
      <c r="BR954" s="62" t="n">
        <v>-1</v>
      </c>
      <c r="BS954" s="62" t="n">
        <v>2</v>
      </c>
      <c r="BT954" s="61" t="n">
        <v>-62.04</v>
      </c>
      <c r="BU954" s="62" t="n">
        <v>1</v>
      </c>
      <c r="BV954" s="60"/>
      <c r="BW954" s="65" t="n">
        <v>0</v>
      </c>
      <c r="BX954" s="65" t="n">
        <v>954</v>
      </c>
      <c r="BY954" s="60" t="str">
        <f aca="false">IF(U954&lt;&gt;"",UPPER(TRIM(U954)),IF(CB954=1,UPPER(VLOOKUP(T954,Parameter!$I$27:$K$29,2,0)),IF(P954="","LOSE",P954)))</f>
        <v>S32</v>
      </c>
      <c r="BZ954" s="62" t="n">
        <f aca="false">IF(BY954="LOSE",1,IF(N(V954)&gt;0,V954,IF(CB954=1,MAX(1,N(VLOOKUP(T954,Parameter!$I$27:$K$29,3,0)),H954,N(N954)),IF(N(Q954)&gt;0,Q954,MAX(1,H954)))))</f>
        <v>2</v>
      </c>
      <c r="CA954" s="65" t="n">
        <f aca="false">IF(BY954="LOSE",1,0)</f>
        <v>0</v>
      </c>
      <c r="CB954" s="65" t="n">
        <f aca="false">IF(AND(U954="",OR(P954="",P954="LOSE"),T954&lt;&gt;"",N(S954)&lt;=0,ISNUMBER(MATCH(T954,Parameter!$I$27:$I$29,0))),1,0)</f>
        <v>0</v>
      </c>
      <c r="CC954" s="65" t="n">
        <f aca="false">IF(CR954&gt;0,INDEX(Parameter!$H$5:$H$7,W954)/INDEX(Parameter!$E$5:$E$7,W954),IF(AND(CA954=0,N(IFERROR(VLOOKUP(BY954,'Gebinde-Kategorie'!$A$5:$N$45,14,0),0))&gt;0),VLOOKUP(BY954,'Gebinde-Kategorie'!$A$5:$N$45,14,0)*10+Parameter!$M$23,Parameter!$M$24))</f>
        <v>155</v>
      </c>
      <c r="CD954" s="60" t="str">
        <f aca="false">IF(AND(Parameter!$B$19="Ja",E954&lt;&gt;"",ISNUMBER(MATCH(E954,Parameter!$I$35:$I$52,0))),VLOOKUP(E954,Parameter!$I$35:$J$52,2,0),IFERROR(VLOOKUP(D954,Parameter!$A$35:$C$64,2,0),"Nein"))</f>
        <v>2+3</v>
      </c>
      <c r="CE954" s="64" t="n">
        <f aca="false">IF(CA954=0,0,IF(N(S954)&gt;0,S954,IFERROR(VLOOKUP(D954,Parameter!$A$35:$C$64,3,0)+0,0)))</f>
        <v>0</v>
      </c>
      <c r="CF954" s="60" t="n">
        <f aca="false">IF(AB954&lt;&gt;"",AB954,AA954)</f>
        <v>3</v>
      </c>
      <c r="CG954" s="60" t="str">
        <f aca="false">IF(OR(CF954=1,CF954=2,CF954=3),IF(Parameter!$E$27="Ja","LIFT",IF(CF954=1,"L1","L23")),IF(CF954="Aussen","Aussen","-"))</f>
        <v>LIFT</v>
      </c>
      <c r="CH954" s="71" t="n">
        <f aca="false">IF(N(AC954)&gt;0,AC954,0)</f>
        <v>0</v>
      </c>
      <c r="CI954" s="65" t="n">
        <f aca="false">IF(ISNUMBER(AF954),1,0)</f>
        <v>0</v>
      </c>
      <c r="CJ954" s="62" t="n">
        <f aca="false">N(AF954)</f>
        <v>0</v>
      </c>
      <c r="CK954" s="62" t="n">
        <f aca="false">N(M954)+N(N954)</f>
        <v>1</v>
      </c>
      <c r="CL954" s="62" t="n">
        <f aca="false">N(M954)</f>
        <v>0</v>
      </c>
      <c r="CM954" s="62" t="n">
        <f aca="false">N(N954)</f>
        <v>1</v>
      </c>
      <c r="CN954" s="62" t="n">
        <f aca="false">ROUNDUP(H954/BZ954,0)</f>
        <v>1</v>
      </c>
      <c r="CO954" s="62" t="n">
        <f aca="false">ROUNDUP(CJ954/BZ954,0)</f>
        <v>0</v>
      </c>
      <c r="CP954" s="65" t="n">
        <f aca="false">IF(CA954=1,0,IFERROR(VLOOKUP(BY954,'Gebinde-Kategorie'!$A$5:$N$45,5,0)+0,0))</f>
        <v>8</v>
      </c>
      <c r="CQ954" s="65" t="n">
        <f aca="false">IFERROR(IF(OR(CF954=1,CF954=2,CF954=3),N(INDEX(Parameter!$I$5:$I$7,CF954)),0),0)</f>
        <v>0</v>
      </c>
      <c r="CR954" s="64" t="n">
        <f aca="false">IF(AND(Parameter!$B$21="Ja",ISNUMBER(W954),N(X954)&gt;0),IFERROR(N(INDEX(Parameter!$L$5:$L$7,W954))*INDEX(Parameter!$E$5:$E$7,W954)*X954/SUMIFS($X$7:$X$1843,$W$7:$W$1843,W954),0),0)</f>
        <v>0</v>
      </c>
      <c r="CS954" s="62" t="n">
        <f aca="false">IF(AND(OR(CG954="L1",CG954="L23",CG954="LIFT"),H954&gt;0),CC954*IF(CR954&gt;0,CR954*MAX(1,H954/X954),IF(CA954=1,CE954,IF(R954&gt;0,CN954/R954,0))/MAX(0.1,N(Parameter!$M$21))),"")</f>
        <v>1.49038461538462</v>
      </c>
      <c r="CT954" s="64" t="n">
        <f aca="false">IF(CS954="","",J954/H954)</f>
        <v>1</v>
      </c>
      <c r="CU954" s="62" t="n">
        <f aca="false">IF(CS954="","",H954*G954)</f>
        <v>62.04</v>
      </c>
      <c r="CV954" s="63" t="n">
        <f aca="false">IF(CS954="","",(CL954+ROUNDUP(CL954+MAX(CM954,2*(J954/MAX(0.1,N(Einkauf!$C$6))-CL954)),0))/2)</f>
        <v>0.5</v>
      </c>
      <c r="CW954" s="62" t="n">
        <f aca="false">IF(CS954="","",MAX(0,H954-CV954)*G954)</f>
        <v>31.02</v>
      </c>
      <c r="CX954" s="62" t="n">
        <f aca="false">IF(CS954="","",CS954*MAX(0,1-CV954/H954))</f>
        <v>0.745192307692308</v>
      </c>
      <c r="CY954" s="64" t="n">
        <f aca="false">IF(CS954="","",PERCENTRANK($CS$7:$CS$1843,CS954)+PERCENTRANK($CU$7:$CU$1843,CU954)+1-PERCENTRANK($CT$7:$CT$1843,CT954))</f>
        <v>0.655</v>
      </c>
      <c r="CZ954" s="72" t="n">
        <f aca="false">IF(CS954="","",CHOOSE(MATCH(Einkauf!$C$5,Parameter!$G$23:$G$27,0),CY954,CS954,CU954,-CT954,CW954)+ROW()/1000000000)</f>
        <v>0.655000954</v>
      </c>
    </row>
    <row r="955" customFormat="false" ht="15" hidden="false" customHeight="false" outlineLevel="0" collapsed="false">
      <c r="A955" s="60" t="s">
        <v>1821</v>
      </c>
      <c r="B955" s="60" t="s">
        <v>1822</v>
      </c>
      <c r="C955" s="60" t="s">
        <v>206</v>
      </c>
      <c r="D955" s="60" t="s">
        <v>226</v>
      </c>
      <c r="E955" s="60" t="s">
        <v>227</v>
      </c>
      <c r="F955" s="60" t="s">
        <v>260</v>
      </c>
      <c r="G955" s="61" t="n">
        <v>9.01</v>
      </c>
      <c r="H955" s="62" t="n">
        <f aca="false">MAX(0,IF(AND(Parameter!$B$21="Ja",ISNUMBER(Y955)),Y955,IF(Parameter!$B$20="Jahresanfang 2025 + Export",BS955+BR955,BR955)))</f>
        <v>4</v>
      </c>
      <c r="I955" s="62" t="n">
        <f aca="false">H955*G955</f>
        <v>36.04</v>
      </c>
      <c r="J955" s="62" t="n">
        <f aca="false">BU955*Parameter!$B$18</f>
        <v>9</v>
      </c>
      <c r="K955" s="63" t="n">
        <v>8.5</v>
      </c>
      <c r="L955" s="64" t="n">
        <v>1.05882352941177</v>
      </c>
      <c r="M955" s="62" t="n">
        <v>0</v>
      </c>
      <c r="N955" s="62" t="n">
        <v>10</v>
      </c>
      <c r="O955" s="65" t="n">
        <v>17</v>
      </c>
      <c r="P955" s="60" t="s">
        <v>518</v>
      </c>
      <c r="Q955" s="62" t="n">
        <v>23</v>
      </c>
      <c r="R955" s="65" t="n">
        <f aca="false">IF(CA955=1,0,IFERROR(VLOOKUP(BY955,'Gebinde-Kategorie'!$A$5:$N$45,13,0)+0,0))</f>
        <v>52</v>
      </c>
      <c r="S955" s="66"/>
      <c r="T955" s="67"/>
      <c r="U955" s="67"/>
      <c r="V955" s="67"/>
      <c r="W955" s="60"/>
      <c r="X955" s="62"/>
      <c r="Y955" s="62"/>
      <c r="Z955" s="60" t="n">
        <v>1</v>
      </c>
      <c r="AA955" s="60" t="n">
        <f aca="false">IF(A955="","",IF(AND(Parameter!$B$21="Ja",ISNUMBER(W955)),W955,IF(AND(Parameter!$E$27="Ja",ISNUMBER(Z955),CD955&lt;&gt;"Nein"),Z955,IF(CD955="2+3",IF(ISNUMBER(SEARCH("grosser Artikel",BV955)),2,IFERROR(VLOOKUP(BY955,Parameter!$F$35:$G$64,2,0),2)),IF(OR(CD955="Nein",CD955=""),"-",CD955)))))</f>
        <v>1</v>
      </c>
      <c r="AB955" s="67"/>
      <c r="AC955" s="68"/>
      <c r="AD955" s="62" t="n">
        <f aca="false">AW955</f>
        <v>10</v>
      </c>
      <c r="AE955" s="62" t="n">
        <f aca="false">MAX(AW955,H955)</f>
        <v>10</v>
      </c>
      <c r="AF955" s="69"/>
      <c r="AG955" s="62" t="n">
        <f aca="false">IF(LEFT(Cockpit!$C$5,1)="A",H955,IF(Parameter!$E$30="MAX-Bestand",IF(CI955=1,CJ955,IF(LEFT(Cockpit!$C$5,1)="B",AM955,MAX(AM955,H955))),ROUNDUP(AK955,0)))</f>
        <v>4</v>
      </c>
      <c r="AH955" s="62" t="n">
        <f aca="false">IF(CA955=1,0,ROUNDUP(AG955/BZ955,0))</f>
        <v>1</v>
      </c>
      <c r="AI955" s="64" t="n">
        <f aca="false">IF(CR955&gt;0,CR955*MAX(1,AG955/X955),IF(CA955=1,IF(AG955&lt;=0,0,CE955*MAX(1,IF(H955&gt;0,AG955/H955,1))),IF(R955&gt;0,AH955/R955,0))/MAX(0.1,N(Parameter!$M$21)))</f>
        <v>0.0192307692307692</v>
      </c>
      <c r="AJ955" s="62" t="n">
        <f aca="false">AI955*CC955</f>
        <v>2.98076923076923</v>
      </c>
      <c r="AK955" s="63" t="n">
        <f aca="false">IF(LEFT(Cockpit!$C$5,1)="A",H955,IF(CI955=1,(CL955+CJ955)/2,IF(LEFT(Cockpit!$C$5,1)="B",(CL955+AM955)/2,MAX((CL955+AM955)/2,H955))))</f>
        <v>4</v>
      </c>
      <c r="AL955" s="62" t="n">
        <f aca="false">AK955*G955</f>
        <v>36.04</v>
      </c>
      <c r="AM955" s="62" t="n">
        <f aca="false">ROUNDUP(CL955+MAX(CM955,2*(J955/IF(CH955&gt;0,CH955,MAX(0.1,N(Cockpit!$C$6)))-CL955)),0)</f>
        <v>10</v>
      </c>
      <c r="AN955" s="63" t="n">
        <f aca="false">IF(AJ955&gt;0,J955/AJ955,-1)</f>
        <v>3.01935483870968</v>
      </c>
      <c r="AO955" s="63" t="n">
        <f aca="false">IF(AND(OR(CG955="L1",CG955="L23",CG955="LIFT"),AJ955&gt;0),SUMIFS($AJ$7:$AJ$1843,$CG$7:$CG$1843,CG955,$AN$7:$AN$1843,"&gt;"&amp;AN955)+SUMIFS($AJ$7:$AJ$1843,$CG$7:$CG$1843,CG955,$AN$7:$AN$1843,AN955,$BX$7:$BX$1843,"&lt;="&amp;BX955),"")</f>
        <v>5075.79624542125</v>
      </c>
      <c r="AP955" s="70" t="n">
        <f aca="false">IF(AO955="",0,MAX(0,MIN(1,(IF(CG955="L1",Parameter!$H$5,IF(CG955="L23",Parameter!$H$6+Parameter!$H$7,Parameter!$H$5+Parameter!$H$6+Parameter!$H$7))-(AO955-AJ955))/AJ955)))</f>
        <v>1</v>
      </c>
      <c r="AQ955" s="62" t="n">
        <f aca="false">IF(LEFT(Cockpit!$I$5,1)="A",H955,IF(Parameter!$E$30="MAX-Bestand",IF(CI955=1,CJ955,IF(LEFT(Cockpit!$I$5,1)="B",AW955,MAX(AW955,H955))),ROUNDUP(AU955,0)))</f>
        <v>5</v>
      </c>
      <c r="AR955" s="62" t="n">
        <f aca="false">IF(CA955=1,0,ROUNDUP(AQ955/BZ955,0))</f>
        <v>1</v>
      </c>
      <c r="AS955" s="64" t="n">
        <f aca="false">IF(CR955&gt;0,CR955*MAX(1,AQ955/X955),IF(CA955=1,IF(AQ955&lt;=0,0,CE955*MAX(1,IF(H955&gt;0,AQ955/H955,1))),IF(R955&gt;0,AR955/R955,0))/MAX(0.1,N(Parameter!$M$21)))</f>
        <v>0.0192307692307692</v>
      </c>
      <c r="AT955" s="62" t="n">
        <f aca="false">AS955*CC955</f>
        <v>2.98076923076923</v>
      </c>
      <c r="AU955" s="63" t="n">
        <f aca="false">IF(LEFT(Cockpit!$I$5,1)="A",H955,IF(CI955=1,(CL955+CJ955)/2,IF(LEFT(Cockpit!$I$5,1)="B",(CL955+AW955)/2,MAX((CL955+AW955)/2,H955))))</f>
        <v>5</v>
      </c>
      <c r="AV955" s="62" t="n">
        <f aca="false">AU955*G955</f>
        <v>45.05</v>
      </c>
      <c r="AW955" s="62" t="n">
        <f aca="false">ROUNDUP(CL955+MAX(CM955,2*(J955/IF(CH955&gt;0,CH955,MAX(0.1,N(Cockpit!$I$6)))-CL955)),0)</f>
        <v>10</v>
      </c>
      <c r="AX955" s="63" t="n">
        <f aca="false">IF(AT955&gt;0,J955/AT955,-1)</f>
        <v>3.01935483870968</v>
      </c>
      <c r="AY955" s="63" t="n">
        <f aca="false">IF(AND(OR(CG955="L1",CG955="L23",CG955="LIFT"),AT955&gt;0),SUMIFS($AT$7:$AT$1843,$CG$7:$CG$1843,CG955,$AX$7:$AX$1843,"&gt;"&amp;AX955)+SUMIFS($AT$7:$AT$1843,$CG$7:$CG$1843,CG955,$AX$7:$AX$1843,AX955,$BX$7:$BX$1843,"&lt;="&amp;BX955),"")</f>
        <v>5913.51144688645</v>
      </c>
      <c r="AZ955" s="70" t="n">
        <f aca="false">IF(AY955="",0,MAX(0,MIN(1,(IF(CG955="L1",Parameter!$H$5,IF(CG955="L23",Parameter!$H$6+Parameter!$H$7,Parameter!$H$5+Parameter!$H$6+Parameter!$H$7))-(AY955-AT955))/AT955)))</f>
        <v>1</v>
      </c>
      <c r="BA955" s="62" t="n">
        <f aca="false">IF(LEFT(Cockpit!$O$5,1)="A",H955,IF(Parameter!$E$30="MAX-Bestand",IF(CI955=1,CJ955,IF(LEFT(Cockpit!$O$5,1)="B",BG955,MAX(BG955,H955))),ROUNDUP(BE955,0)))</f>
        <v>5</v>
      </c>
      <c r="BB955" s="62" t="n">
        <f aca="false">IF(CA955=1,0,ROUNDUP(BA955/BZ955,0))</f>
        <v>1</v>
      </c>
      <c r="BC955" s="64" t="n">
        <f aca="false">IF(CR955&gt;0,CR955*MAX(1,BA955/X955),IF(CA955=1,IF(BA955&lt;=0,0,CE955*MAX(1,IF(H955&gt;0,BA955/H955,1))),IF(R955&gt;0,BB955/R955,0))/MAX(0.1,N(Parameter!$M$21)))</f>
        <v>0.0192307692307692</v>
      </c>
      <c r="BD955" s="62" t="n">
        <f aca="false">BC955*CC955</f>
        <v>2.98076923076923</v>
      </c>
      <c r="BE955" s="63" t="n">
        <f aca="false">IF(LEFT(Cockpit!$O$5,1)="A",H955,IF(CI955=1,(CL955+CJ955)/2,IF(LEFT(Cockpit!$O$5,1)="B",(CL955+BG955)/2,MAX((CL955+BG955)/2,H955))))</f>
        <v>5</v>
      </c>
      <c r="BF955" s="62" t="n">
        <f aca="false">BE955*G955</f>
        <v>45.05</v>
      </c>
      <c r="BG955" s="62" t="n">
        <f aca="false">ROUNDUP(CL955+MAX(CM955,2*(J955/IF(CH955&gt;0,CH955,MAX(0.1,N(Cockpit!$O$6)))-CL955)),0)</f>
        <v>10</v>
      </c>
      <c r="BH955" s="63" t="n">
        <f aca="false">IF(BD955&gt;0,J955/BD955,-1)</f>
        <v>3.01935483870968</v>
      </c>
      <c r="BI955" s="63" t="n">
        <f aca="false">IF(AND(OR(CG955="L1",CG955="L23",CG955="LIFT"),BD955&gt;0),SUMIFS($BD$7:$BD$1843,$CG$7:$CG$1843,CG955,$BH$7:$BH$1843,"&gt;"&amp;BH955)+SUMIFS($BD$7:$BD$1843,$CG$7:$CG$1843,CG955,$BH$7:$BH$1843,BH955,$BX$7:$BX$1843,"&lt;="&amp;BX955),"")</f>
        <v>4776.26144688645</v>
      </c>
      <c r="BJ955" s="70" t="n">
        <f aca="false">IF(BI955="",0,MAX(0,MIN(1,(IF(CG955="L1",Parameter!$H$5,IF(CG955="L23",Parameter!$H$6+Parameter!$H$7,Parameter!$H$5+Parameter!$H$6+Parameter!$H$7))-(BI955-BD955))/BD955)))</f>
        <v>1</v>
      </c>
      <c r="BK955" s="60" t="str">
        <f aca="false">IF(AJ955&lt;=0,"",IF(CG955="Aussen","Aussenlager",IF(CG955="-","Nicht im Lift",IF(AP955&gt;=1,"Lift",IF(AP955&lt;=0,"Aussenlager","teilweise")))))</f>
        <v>Lift</v>
      </c>
      <c r="BL955" s="60" t="str">
        <f aca="false">IF(AT955&lt;=0,"",IF(CG955="Aussen","Aussenlager",IF(CG955="-","Nicht im Lift",IF(AZ955&gt;=1,"Lift",IF(AZ955&lt;=0,"Aussenlager","teilweise")))))</f>
        <v>Lift</v>
      </c>
      <c r="BM955" s="60" t="str">
        <f aca="false">IF(BD955&lt;=0,"",IF(CG955="Aussen","Aussenlager",IF(CG955="-","Nicht im Lift",IF(BJ955&gt;=1,"Lift",IF(BJ955&lt;=0,"Aussenlager","teilweise")))))</f>
        <v>Lift</v>
      </c>
      <c r="BN955" s="60" t="str">
        <f aca="false">IF(A955="","",IF(BW955=1,"Neu; ","")&amp;IF(AND(BW955=0,BR955&lt;0),"negativer Bestand (Export "&amp;BR955&amp;"); ","")&amp;IF(J955&lt;=0,"Kein Verbrauch; ","")&amp;IF(CR955&gt;0,"Lift "&amp;W955&amp;" lt. Liftbericht (Fach "&amp;X955&amp;" Stk); ",IF(CB955=1,"Gebinde geschätzt ("&amp;T955&amp;"); ",IF(CA955=1,"Lose – Tablare geschätzt; ","")))&amp;IF(H955&gt;AW955,"Überbestand "&amp;ROUND(H955-AW955,0)&amp;" Stk / CHF "&amp;ROUND((H955-AW955)*G955,0)&amp;"; ","")&amp;IF(AND(CI955=1,CJ955&lt;CK955),"MAX &lt; MB+LG; ","")&amp;IF(AND(CQ955&gt;0,CP955*10&gt;CQ955),"zu hoch für Tablar; ","")&amp;IF(AND(BW955=0,OR(CI955=1,AB955&lt;&gt;"",U955&lt;&gt;"",V955&lt;&gt;"",AC955&lt;&gt;"")),"manuell übersteuert; ","")&amp;IF(AND(CA955=0,R955=0),"Gebinde unbekannt / Stellmass fehlt; ","")&amp;IF(AND(CA955=0,N(V955)&lt;=0,N(Q955)&lt;=0),"Menge pro Gebinde fehlt (Ist = 1 Gebinde); ","")&amp;BV955)</f>
        <v>negativer Bestand (Export -8); </v>
      </c>
      <c r="BO955" s="60"/>
      <c r="BP955" s="60"/>
      <c r="BQ955" s="67"/>
      <c r="BR955" s="62" t="n">
        <v>-8</v>
      </c>
      <c r="BS955" s="62" t="n">
        <v>12</v>
      </c>
      <c r="BT955" s="61" t="n">
        <v>-62.6</v>
      </c>
      <c r="BU955" s="62" t="n">
        <v>9</v>
      </c>
      <c r="BV955" s="60"/>
      <c r="BW955" s="65" t="n">
        <v>0</v>
      </c>
      <c r="BX955" s="65" t="n">
        <v>955</v>
      </c>
      <c r="BY955" s="60" t="str">
        <f aca="false">IF(U955&lt;&gt;"",UPPER(TRIM(U955)),IF(CB955=1,UPPER(VLOOKUP(T955,Parameter!$I$27:$K$29,2,0)),IF(P955="","LOSE",P955)))</f>
        <v>S33</v>
      </c>
      <c r="BZ955" s="62" t="n">
        <f aca="false">IF(BY955="LOSE",1,IF(N(V955)&gt;0,V955,IF(CB955=1,MAX(1,N(VLOOKUP(T955,Parameter!$I$27:$K$29,3,0)),H955,N(N955)),IF(N(Q955)&gt;0,Q955,MAX(1,H955)))))</f>
        <v>23</v>
      </c>
      <c r="CA955" s="65" t="n">
        <f aca="false">IF(BY955="LOSE",1,0)</f>
        <v>0</v>
      </c>
      <c r="CB955" s="65" t="n">
        <f aca="false">IF(AND(U955="",OR(P955="",P955="LOSE"),T955&lt;&gt;"",N(S955)&lt;=0,ISNUMBER(MATCH(T955,Parameter!$I$27:$I$29,0))),1,0)</f>
        <v>0</v>
      </c>
      <c r="CC955" s="65" t="n">
        <f aca="false">IF(CR955&gt;0,INDEX(Parameter!$H$5:$H$7,W955)/INDEX(Parameter!$E$5:$E$7,W955),IF(AND(CA955=0,N(IFERROR(VLOOKUP(BY955,'Gebinde-Kategorie'!$A$5:$N$45,14,0),0))&gt;0),VLOOKUP(BY955,'Gebinde-Kategorie'!$A$5:$N$45,14,0)*10+Parameter!$M$23,Parameter!$M$24))</f>
        <v>155</v>
      </c>
      <c r="CD955" s="60" t="str">
        <f aca="false">IF(AND(Parameter!$B$19="Ja",E955&lt;&gt;"",ISNUMBER(MATCH(E955,Parameter!$I$35:$I$52,0))),VLOOKUP(E955,Parameter!$I$35:$J$52,2,0),IFERROR(VLOOKUP(D955,Parameter!$A$35:$C$64,2,0),"Nein"))</f>
        <v>2+3</v>
      </c>
      <c r="CE955" s="64" t="n">
        <f aca="false">IF(CA955=0,0,IF(N(S955)&gt;0,S955,IFERROR(VLOOKUP(D955,Parameter!$A$35:$C$64,3,0)+0,0)))</f>
        <v>0</v>
      </c>
      <c r="CF955" s="60" t="n">
        <f aca="false">IF(AB955&lt;&gt;"",AB955,AA955)</f>
        <v>1</v>
      </c>
      <c r="CG955" s="60" t="str">
        <f aca="false">IF(OR(CF955=1,CF955=2,CF955=3),IF(Parameter!$E$27="Ja","LIFT",IF(CF955=1,"L1","L23")),IF(CF955="Aussen","Aussen","-"))</f>
        <v>LIFT</v>
      </c>
      <c r="CH955" s="71" t="n">
        <f aca="false">IF(N(AC955)&gt;0,AC955,0)</f>
        <v>0</v>
      </c>
      <c r="CI955" s="65" t="n">
        <f aca="false">IF(ISNUMBER(AF955),1,0)</f>
        <v>0</v>
      </c>
      <c r="CJ955" s="62" t="n">
        <f aca="false">N(AF955)</f>
        <v>0</v>
      </c>
      <c r="CK955" s="62" t="n">
        <f aca="false">N(M955)+N(N955)</f>
        <v>10</v>
      </c>
      <c r="CL955" s="62" t="n">
        <f aca="false">N(M955)</f>
        <v>0</v>
      </c>
      <c r="CM955" s="62" t="n">
        <f aca="false">N(N955)</f>
        <v>10</v>
      </c>
      <c r="CN955" s="62" t="n">
        <f aca="false">ROUNDUP(H955/BZ955,0)</f>
        <v>1</v>
      </c>
      <c r="CO955" s="62" t="n">
        <f aca="false">ROUNDUP(CJ955/BZ955,0)</f>
        <v>0</v>
      </c>
      <c r="CP955" s="65" t="n">
        <f aca="false">IF(CA955=1,0,IFERROR(VLOOKUP(BY955,'Gebinde-Kategorie'!$A$5:$N$45,5,0)+0,0))</f>
        <v>8</v>
      </c>
      <c r="CQ955" s="65" t="n">
        <f aca="false">IFERROR(IF(OR(CF955=1,CF955=2,CF955=3),N(INDEX(Parameter!$I$5:$I$7,CF955)),0),0)</f>
        <v>0</v>
      </c>
      <c r="CR955" s="64" t="n">
        <f aca="false">IF(AND(Parameter!$B$21="Ja",ISNUMBER(W955),N(X955)&gt;0),IFERROR(N(INDEX(Parameter!$L$5:$L$7,W955))*INDEX(Parameter!$E$5:$E$7,W955)*X955/SUMIFS($X$7:$X$1843,$W$7:$W$1843,W955),0),0)</f>
        <v>0</v>
      </c>
      <c r="CS955" s="62" t="n">
        <f aca="false">IF(AND(OR(CG955="L1",CG955="L23",CG955="LIFT"),H955&gt;0),CC955*IF(CR955&gt;0,CR955*MAX(1,H955/X955),IF(CA955=1,CE955,IF(R955&gt;0,CN955/R955,0))/MAX(0.1,N(Parameter!$M$21))),"")</f>
        <v>2.98076923076923</v>
      </c>
      <c r="CT955" s="64" t="n">
        <f aca="false">IF(CS955="","",J955/H955)</f>
        <v>2.25</v>
      </c>
      <c r="CU955" s="62" t="n">
        <f aca="false">IF(CS955="","",H955*G955)</f>
        <v>36.04</v>
      </c>
      <c r="CV955" s="63" t="n">
        <f aca="false">IF(CS955="","",(CL955+ROUNDUP(CL955+MAX(CM955,2*(J955/MAX(0.1,N(Einkauf!$C$6))-CL955)),0))/2)</f>
        <v>5</v>
      </c>
      <c r="CW955" s="62" t="n">
        <f aca="false">IF(CS955="","",MAX(0,H955-CV955)*G955)</f>
        <v>0</v>
      </c>
      <c r="CX955" s="62" t="n">
        <f aca="false">IF(CS955="","",CS955*MAX(0,1-CV955/H955))</f>
        <v>0</v>
      </c>
      <c r="CY955" s="64" t="n">
        <f aca="false">IF(CS955="","",PERCENTRANK($CS$7:$CS$1843,CS955)+PERCENTRANK($CU$7:$CU$1843,CU955)+1-PERCENTRANK($CT$7:$CT$1843,CT955))</f>
        <v>0.508</v>
      </c>
      <c r="CZ955" s="72" t="n">
        <f aca="false">IF(CS955="","",CHOOSE(MATCH(Einkauf!$C$5,Parameter!$G$23:$G$27,0),CY955,CS955,CU955,-CT955,CW955)+ROW()/1000000000)</f>
        <v>0.508000955</v>
      </c>
    </row>
    <row r="956" customFormat="false" ht="15" hidden="false" customHeight="false" outlineLevel="0" collapsed="false">
      <c r="A956" s="60" t="s">
        <v>1823</v>
      </c>
      <c r="B956" s="60" t="s">
        <v>1750</v>
      </c>
      <c r="C956" s="60" t="s">
        <v>206</v>
      </c>
      <c r="D956" s="60" t="s">
        <v>226</v>
      </c>
      <c r="E956" s="60" t="s">
        <v>227</v>
      </c>
      <c r="F956" s="60" t="s">
        <v>260</v>
      </c>
      <c r="G956" s="61" t="n">
        <v>31.64</v>
      </c>
      <c r="H956" s="62" t="n">
        <f aca="false">MAX(0,IF(AND(Parameter!$B$21="Ja",ISNUMBER(Y956)),Y956,IF(Parameter!$B$20="Jahresanfang 2025 + Export",BS956+BR956,BR956)))</f>
        <v>15</v>
      </c>
      <c r="I956" s="62" t="n">
        <f aca="false">H956*G956</f>
        <v>474.6</v>
      </c>
      <c r="J956" s="62" t="n">
        <f aca="false">BU956*Parameter!$B$18</f>
        <v>1</v>
      </c>
      <c r="K956" s="63" t="n">
        <v>16</v>
      </c>
      <c r="L956" s="64" t="n">
        <v>0.0625</v>
      </c>
      <c r="M956" s="62" t="n">
        <v>0</v>
      </c>
      <c r="N956" s="62" t="n">
        <v>5</v>
      </c>
      <c r="O956" s="65" t="n">
        <v>56</v>
      </c>
      <c r="P956" s="60" t="s">
        <v>518</v>
      </c>
      <c r="Q956" s="62" t="n">
        <v>22</v>
      </c>
      <c r="R956" s="65" t="n">
        <f aca="false">IF(CA956=1,0,IFERROR(VLOOKUP(BY956,'Gebinde-Kategorie'!$A$5:$N$45,13,0)+0,0))</f>
        <v>52</v>
      </c>
      <c r="S956" s="66"/>
      <c r="T956" s="67"/>
      <c r="U956" s="67"/>
      <c r="V956" s="67"/>
      <c r="W956" s="60"/>
      <c r="X956" s="62"/>
      <c r="Y956" s="62"/>
      <c r="Z956" s="60" t="n">
        <v>1</v>
      </c>
      <c r="AA956" s="60" t="n">
        <f aca="false">IF(A956="","",IF(AND(Parameter!$B$21="Ja",ISNUMBER(W956)),W956,IF(AND(Parameter!$E$27="Ja",ISNUMBER(Z956),CD956&lt;&gt;"Nein"),Z956,IF(CD956="2+3",IF(ISNUMBER(SEARCH("grosser Artikel",BV956)),2,IFERROR(VLOOKUP(BY956,Parameter!$F$35:$G$64,2,0),2)),IF(OR(CD956="Nein",CD956=""),"-",CD956)))))</f>
        <v>1</v>
      </c>
      <c r="AB956" s="67"/>
      <c r="AC956" s="68"/>
      <c r="AD956" s="62" t="n">
        <f aca="false">AW956</f>
        <v>5</v>
      </c>
      <c r="AE956" s="62" t="n">
        <f aca="false">MAX(AW956,H956)</f>
        <v>15</v>
      </c>
      <c r="AF956" s="69"/>
      <c r="AG956" s="62" t="n">
        <f aca="false">IF(LEFT(Cockpit!$C$5,1)="A",H956,IF(Parameter!$E$30="MAX-Bestand",IF(CI956=1,CJ956,IF(LEFT(Cockpit!$C$5,1)="B",AM956,MAX(AM956,H956))),ROUNDUP(AK956,0)))</f>
        <v>15</v>
      </c>
      <c r="AH956" s="62" t="n">
        <f aca="false">IF(CA956=1,0,ROUNDUP(AG956/BZ956,0))</f>
        <v>1</v>
      </c>
      <c r="AI956" s="64" t="n">
        <f aca="false">IF(CR956&gt;0,CR956*MAX(1,AG956/X956),IF(CA956=1,IF(AG956&lt;=0,0,CE956*MAX(1,IF(H956&gt;0,AG956/H956,1))),IF(R956&gt;0,AH956/R956,0))/MAX(0.1,N(Parameter!$M$21)))</f>
        <v>0.0192307692307692</v>
      </c>
      <c r="AJ956" s="62" t="n">
        <f aca="false">AI956*CC956</f>
        <v>2.98076923076923</v>
      </c>
      <c r="AK956" s="63" t="n">
        <f aca="false">IF(LEFT(Cockpit!$C$5,1)="A",H956,IF(CI956=1,(CL956+CJ956)/2,IF(LEFT(Cockpit!$C$5,1)="B",(CL956+AM956)/2,MAX((CL956+AM956)/2,H956))))</f>
        <v>15</v>
      </c>
      <c r="AL956" s="62" t="n">
        <f aca="false">AK956*G956</f>
        <v>474.6</v>
      </c>
      <c r="AM956" s="62" t="n">
        <f aca="false">ROUNDUP(CL956+MAX(CM956,2*(J956/IF(CH956&gt;0,CH956,MAX(0.1,N(Cockpit!$C$6)))-CL956)),0)</f>
        <v>5</v>
      </c>
      <c r="AN956" s="63" t="n">
        <f aca="false">IF(AJ956&gt;0,J956/AJ956,-1)</f>
        <v>0.335483870967742</v>
      </c>
      <c r="AO956" s="63" t="n">
        <f aca="false">IF(AND(OR(CG956="L1",CG956="L23",CG956="LIFT"),AJ956&gt;0),SUMIFS($AJ$7:$AJ$1843,$CG$7:$CG$1843,CG956,$AN$7:$AN$1843,"&gt;"&amp;AN956)+SUMIFS($AJ$7:$AJ$1843,$CG$7:$CG$1843,CG956,$AN$7:$AN$1843,AN956,$BX$7:$BX$1843,"&lt;="&amp;BX956),"")</f>
        <v>11215.8270394859</v>
      </c>
      <c r="AP956" s="70" t="n">
        <f aca="false">IF(AO956="",0,MAX(0,MIN(1,(IF(CG956="L1",Parameter!$H$5,IF(CG956="L23",Parameter!$H$6+Parameter!$H$7,Parameter!$H$5+Parameter!$H$6+Parameter!$H$7))-(AO956-AJ956))/AJ956)))</f>
        <v>1</v>
      </c>
      <c r="AQ956" s="62" t="n">
        <f aca="false">IF(LEFT(Cockpit!$I$5,1)="A",H956,IF(Parameter!$E$30="MAX-Bestand",IF(CI956=1,CJ956,IF(LEFT(Cockpit!$I$5,1)="B",AW956,MAX(AW956,H956))),ROUNDUP(AU956,0)))</f>
        <v>15</v>
      </c>
      <c r="AR956" s="62" t="n">
        <f aca="false">IF(CA956=1,0,ROUNDUP(AQ956/BZ956,0))</f>
        <v>1</v>
      </c>
      <c r="AS956" s="64" t="n">
        <f aca="false">IF(CR956&gt;0,CR956*MAX(1,AQ956/X956),IF(CA956=1,IF(AQ956&lt;=0,0,CE956*MAX(1,IF(H956&gt;0,AQ956/H956,1))),IF(R956&gt;0,AR956/R956,0))/MAX(0.1,N(Parameter!$M$21)))</f>
        <v>0.0192307692307692</v>
      </c>
      <c r="AT956" s="62" t="n">
        <f aca="false">AS956*CC956</f>
        <v>2.98076923076923</v>
      </c>
      <c r="AU956" s="63" t="n">
        <f aca="false">IF(LEFT(Cockpit!$I$5,1)="A",H956,IF(CI956=1,(CL956+CJ956)/2,IF(LEFT(Cockpit!$I$5,1)="B",(CL956+AW956)/2,MAX((CL956+AW956)/2,H956))))</f>
        <v>15</v>
      </c>
      <c r="AV956" s="62" t="n">
        <f aca="false">AU956*G956</f>
        <v>474.6</v>
      </c>
      <c r="AW956" s="62" t="n">
        <f aca="false">ROUNDUP(CL956+MAX(CM956,2*(J956/IF(CH956&gt;0,CH956,MAX(0.1,N(Cockpit!$I$6)))-CL956)),0)</f>
        <v>5</v>
      </c>
      <c r="AX956" s="63" t="n">
        <f aca="false">IF(AT956&gt;0,J956/AT956,-1)</f>
        <v>0.335483870967742</v>
      </c>
      <c r="AY956" s="63" t="n">
        <f aca="false">IF(AND(OR(CG956="L1",CG956="L23",CG956="LIFT"),AT956&gt;0),SUMIFS($AT$7:$AT$1843,$CG$7:$CG$1843,CG956,$AX$7:$AX$1843,"&gt;"&amp;AX956)+SUMIFS($AT$7:$AT$1843,$CG$7:$CG$1843,CG956,$AX$7:$AX$1843,AX956,$BX$7:$BX$1843,"&lt;="&amp;BX956),"")</f>
        <v>13749.9647435897</v>
      </c>
      <c r="AZ956" s="70" t="n">
        <f aca="false">IF(AY956="",0,MAX(0,MIN(1,(IF(CG956="L1",Parameter!$H$5,IF(CG956="L23",Parameter!$H$6+Parameter!$H$7,Parameter!$H$5+Parameter!$H$6+Parameter!$H$7))-(AY956-AT956))/AT956)))</f>
        <v>1</v>
      </c>
      <c r="BA956" s="62" t="n">
        <f aca="false">IF(LEFT(Cockpit!$O$5,1)="A",H956,IF(Parameter!$E$30="MAX-Bestand",IF(CI956=1,CJ956,IF(LEFT(Cockpit!$O$5,1)="B",BG956,MAX(BG956,H956))),ROUNDUP(BE956,0)))</f>
        <v>3</v>
      </c>
      <c r="BB956" s="62" t="n">
        <f aca="false">IF(CA956=1,0,ROUNDUP(BA956/BZ956,0))</f>
        <v>1</v>
      </c>
      <c r="BC956" s="64" t="n">
        <f aca="false">IF(CR956&gt;0,CR956*MAX(1,BA956/X956),IF(CA956=1,IF(BA956&lt;=0,0,CE956*MAX(1,IF(H956&gt;0,BA956/H956,1))),IF(R956&gt;0,BB956/R956,0))/MAX(0.1,N(Parameter!$M$21)))</f>
        <v>0.0192307692307692</v>
      </c>
      <c r="BD956" s="62" t="n">
        <f aca="false">BC956*CC956</f>
        <v>2.98076923076923</v>
      </c>
      <c r="BE956" s="63" t="n">
        <f aca="false">IF(LEFT(Cockpit!$O$5,1)="A",H956,IF(CI956=1,(CL956+CJ956)/2,IF(LEFT(Cockpit!$O$5,1)="B",(CL956+BG956)/2,MAX((CL956+BG956)/2,H956))))</f>
        <v>2.5</v>
      </c>
      <c r="BF956" s="62" t="n">
        <f aca="false">BE956*G956</f>
        <v>79.1</v>
      </c>
      <c r="BG956" s="62" t="n">
        <f aca="false">ROUNDUP(CL956+MAX(CM956,2*(J956/IF(CH956&gt;0,CH956,MAX(0.1,N(Cockpit!$O$6)))-CL956)),0)</f>
        <v>5</v>
      </c>
      <c r="BH956" s="63" t="n">
        <f aca="false">IF(BD956&gt;0,J956/BD956,-1)</f>
        <v>0.335483870967742</v>
      </c>
      <c r="BI956" s="63" t="n">
        <f aca="false">IF(AND(OR(CG956="L1",CG956="L23",CG956="LIFT"),BD956&gt;0),SUMIFS($BD$7:$BD$1843,$CG$7:$CG$1843,CG956,$BH$7:$BH$1843,"&gt;"&amp;BH956)+SUMIFS($BD$7:$BD$1843,$CG$7:$CG$1843,CG956,$BH$7:$BH$1843,BH956,$BX$7:$BX$1843,"&lt;="&amp;BX956),"")</f>
        <v>11600.9235347985</v>
      </c>
      <c r="BJ956" s="70" t="n">
        <f aca="false">IF(BI956="",0,MAX(0,MIN(1,(IF(CG956="L1",Parameter!$H$5,IF(CG956="L23",Parameter!$H$6+Parameter!$H$7,Parameter!$H$5+Parameter!$H$6+Parameter!$H$7))-(BI956-BD956))/BD956)))</f>
        <v>1</v>
      </c>
      <c r="BK956" s="60" t="str">
        <f aca="false">IF(AJ956&lt;=0,"",IF(CG956="Aussen","Aussenlager",IF(CG956="-","Nicht im Lift",IF(AP956&gt;=1,"Lift",IF(AP956&lt;=0,"Aussenlager","teilweise")))))</f>
        <v>Lift</v>
      </c>
      <c r="BL956" s="60" t="str">
        <f aca="false">IF(AT956&lt;=0,"",IF(CG956="Aussen","Aussenlager",IF(CG956="-","Nicht im Lift",IF(AZ956&gt;=1,"Lift",IF(AZ956&lt;=0,"Aussenlager","teilweise")))))</f>
        <v>Lift</v>
      </c>
      <c r="BM956" s="60" t="str">
        <f aca="false">IF(BD956&lt;=0,"",IF(CG956="Aussen","Aussenlager",IF(CG956="-","Nicht im Lift",IF(BJ956&gt;=1,"Lift",IF(BJ956&lt;=0,"Aussenlager","teilweise")))))</f>
        <v>Lift</v>
      </c>
      <c r="BN956" s="60" t="str">
        <f aca="false">IF(A956="","",IF(BW956=1,"Neu; ","")&amp;IF(AND(BW956=0,BR956&lt;0),"negativer Bestand (Export "&amp;BR956&amp;"); ","")&amp;IF(J956&lt;=0,"Kein Verbrauch; ","")&amp;IF(CR956&gt;0,"Lift "&amp;W956&amp;" lt. Liftbericht (Fach "&amp;X956&amp;" Stk); ",IF(CB956=1,"Gebinde geschätzt ("&amp;T956&amp;"); ",IF(CA956=1,"Lose – Tablare geschätzt; ","")))&amp;IF(H956&gt;AW956,"Überbestand "&amp;ROUND(H956-AW956,0)&amp;" Stk / CHF "&amp;ROUND((H956-AW956)*G956,0)&amp;"; ","")&amp;IF(AND(CI956=1,CJ956&lt;CK956),"MAX &lt; MB+LG; ","")&amp;IF(AND(CQ956&gt;0,CP956*10&gt;CQ956),"zu hoch für Tablar; ","")&amp;IF(AND(BW956=0,OR(CI956=1,AB956&lt;&gt;"",U956&lt;&gt;"",V956&lt;&gt;"",AC956&lt;&gt;"")),"manuell übersteuert; ","")&amp;IF(AND(CA956=0,R956=0),"Gebinde unbekannt / Stellmass fehlt; ","")&amp;IF(AND(CA956=0,N(V956)&lt;=0,N(Q956)&lt;=0),"Menge pro Gebinde fehlt (Ist = 1 Gebinde); ","")&amp;BV956)</f>
        <v>negativer Bestand (Export -2); Überbestand 10 Stk / CHF 316; </v>
      </c>
      <c r="BO956" s="60"/>
      <c r="BP956" s="60"/>
      <c r="BQ956" s="67"/>
      <c r="BR956" s="62" t="n">
        <v>-2</v>
      </c>
      <c r="BS956" s="62" t="n">
        <v>17</v>
      </c>
      <c r="BT956" s="61" t="n">
        <v>-63.28</v>
      </c>
      <c r="BU956" s="62" t="n">
        <v>1</v>
      </c>
      <c r="BV956" s="60"/>
      <c r="BW956" s="65" t="n">
        <v>0</v>
      </c>
      <c r="BX956" s="65" t="n">
        <v>956</v>
      </c>
      <c r="BY956" s="60" t="str">
        <f aca="false">IF(U956&lt;&gt;"",UPPER(TRIM(U956)),IF(CB956=1,UPPER(VLOOKUP(T956,Parameter!$I$27:$K$29,2,0)),IF(P956="","LOSE",P956)))</f>
        <v>S33</v>
      </c>
      <c r="BZ956" s="62" t="n">
        <f aca="false">IF(BY956="LOSE",1,IF(N(V956)&gt;0,V956,IF(CB956=1,MAX(1,N(VLOOKUP(T956,Parameter!$I$27:$K$29,3,0)),H956,N(N956)),IF(N(Q956)&gt;0,Q956,MAX(1,H956)))))</f>
        <v>22</v>
      </c>
      <c r="CA956" s="65" t="n">
        <f aca="false">IF(BY956="LOSE",1,0)</f>
        <v>0</v>
      </c>
      <c r="CB956" s="65" t="n">
        <f aca="false">IF(AND(U956="",OR(P956="",P956="LOSE"),T956&lt;&gt;"",N(S956)&lt;=0,ISNUMBER(MATCH(T956,Parameter!$I$27:$I$29,0))),1,0)</f>
        <v>0</v>
      </c>
      <c r="CC956" s="65" t="n">
        <f aca="false">IF(CR956&gt;0,INDEX(Parameter!$H$5:$H$7,W956)/INDEX(Parameter!$E$5:$E$7,W956),IF(AND(CA956=0,N(IFERROR(VLOOKUP(BY956,'Gebinde-Kategorie'!$A$5:$N$45,14,0),0))&gt;0),VLOOKUP(BY956,'Gebinde-Kategorie'!$A$5:$N$45,14,0)*10+Parameter!$M$23,Parameter!$M$24))</f>
        <v>155</v>
      </c>
      <c r="CD956" s="60" t="str">
        <f aca="false">IF(AND(Parameter!$B$19="Ja",E956&lt;&gt;"",ISNUMBER(MATCH(E956,Parameter!$I$35:$I$52,0))),VLOOKUP(E956,Parameter!$I$35:$J$52,2,0),IFERROR(VLOOKUP(D956,Parameter!$A$35:$C$64,2,0),"Nein"))</f>
        <v>2+3</v>
      </c>
      <c r="CE956" s="64" t="n">
        <f aca="false">IF(CA956=0,0,IF(N(S956)&gt;0,S956,IFERROR(VLOOKUP(D956,Parameter!$A$35:$C$64,3,0)+0,0)))</f>
        <v>0</v>
      </c>
      <c r="CF956" s="60" t="n">
        <f aca="false">IF(AB956&lt;&gt;"",AB956,AA956)</f>
        <v>1</v>
      </c>
      <c r="CG956" s="60" t="str">
        <f aca="false">IF(OR(CF956=1,CF956=2,CF956=3),IF(Parameter!$E$27="Ja","LIFT",IF(CF956=1,"L1","L23")),IF(CF956="Aussen","Aussen","-"))</f>
        <v>LIFT</v>
      </c>
      <c r="CH956" s="71" t="n">
        <f aca="false">IF(N(AC956)&gt;0,AC956,0)</f>
        <v>0</v>
      </c>
      <c r="CI956" s="65" t="n">
        <f aca="false">IF(ISNUMBER(AF956),1,0)</f>
        <v>0</v>
      </c>
      <c r="CJ956" s="62" t="n">
        <f aca="false">N(AF956)</f>
        <v>0</v>
      </c>
      <c r="CK956" s="62" t="n">
        <f aca="false">N(M956)+N(N956)</f>
        <v>5</v>
      </c>
      <c r="CL956" s="62" t="n">
        <f aca="false">N(M956)</f>
        <v>0</v>
      </c>
      <c r="CM956" s="62" t="n">
        <f aca="false">N(N956)</f>
        <v>5</v>
      </c>
      <c r="CN956" s="62" t="n">
        <f aca="false">ROUNDUP(H956/BZ956,0)</f>
        <v>1</v>
      </c>
      <c r="CO956" s="62" t="n">
        <f aca="false">ROUNDUP(CJ956/BZ956,0)</f>
        <v>0</v>
      </c>
      <c r="CP956" s="65" t="n">
        <f aca="false">IF(CA956=1,0,IFERROR(VLOOKUP(BY956,'Gebinde-Kategorie'!$A$5:$N$45,5,0)+0,0))</f>
        <v>8</v>
      </c>
      <c r="CQ956" s="65" t="n">
        <f aca="false">IFERROR(IF(OR(CF956=1,CF956=2,CF956=3),N(INDEX(Parameter!$I$5:$I$7,CF956)),0),0)</f>
        <v>0</v>
      </c>
      <c r="CR956" s="64" t="n">
        <f aca="false">IF(AND(Parameter!$B$21="Ja",ISNUMBER(W956),N(X956)&gt;0),IFERROR(N(INDEX(Parameter!$L$5:$L$7,W956))*INDEX(Parameter!$E$5:$E$7,W956)*X956/SUMIFS($X$7:$X$1843,$W$7:$W$1843,W956),0),0)</f>
        <v>0</v>
      </c>
      <c r="CS956" s="62" t="n">
        <f aca="false">IF(AND(OR(CG956="L1",CG956="L23",CG956="LIFT"),H956&gt;0),CC956*IF(CR956&gt;0,CR956*MAX(1,H956/X956),IF(CA956=1,CE956,IF(R956&gt;0,CN956/R956,0))/MAX(0.1,N(Parameter!$M$21))),"")</f>
        <v>2.98076923076923</v>
      </c>
      <c r="CT956" s="64" t="n">
        <f aca="false">IF(CS956="","",J956/H956)</f>
        <v>0.0666666666666667</v>
      </c>
      <c r="CU956" s="62" t="n">
        <f aca="false">IF(CS956="","",H956*G956)</f>
        <v>474.6</v>
      </c>
      <c r="CV956" s="63" t="n">
        <f aca="false">IF(CS956="","",(CL956+ROUNDUP(CL956+MAX(CM956,2*(J956/MAX(0.1,N(Einkauf!$C$6))-CL956)),0))/2)</f>
        <v>2.5</v>
      </c>
      <c r="CW956" s="62" t="n">
        <f aca="false">IF(CS956="","",MAX(0,H956-CV956)*G956)</f>
        <v>395.5</v>
      </c>
      <c r="CX956" s="62" t="n">
        <f aca="false">IF(CS956="","",CS956*MAX(0,1-CV956/H956))</f>
        <v>2.48397435897436</v>
      </c>
      <c r="CY956" s="64" t="n">
        <f aca="false">IF(CS956="","",PERCENTRANK($CS$7:$CS$1843,CS956)+PERCENTRANK($CU$7:$CU$1843,CU956)+1-PERCENTRANK($CT$7:$CT$1843,CT956))</f>
        <v>1.302</v>
      </c>
      <c r="CZ956" s="72" t="n">
        <f aca="false">IF(CS956="","",CHOOSE(MATCH(Einkauf!$C$5,Parameter!$G$23:$G$27,0),CY956,CS956,CU956,-CT956,CW956)+ROW()/1000000000)</f>
        <v>1.302000956</v>
      </c>
    </row>
    <row r="957" customFormat="false" ht="15" hidden="false" customHeight="false" outlineLevel="0" collapsed="false">
      <c r="A957" s="60" t="s">
        <v>1824</v>
      </c>
      <c r="B957" s="60" t="s">
        <v>1803</v>
      </c>
      <c r="C957" s="60" t="s">
        <v>206</v>
      </c>
      <c r="D957" s="60" t="s">
        <v>226</v>
      </c>
      <c r="E957" s="60" t="s">
        <v>227</v>
      </c>
      <c r="F957" s="60" t="s">
        <v>260</v>
      </c>
      <c r="G957" s="61" t="n">
        <v>21.34</v>
      </c>
      <c r="H957" s="62" t="n">
        <f aca="false">MAX(0,IF(AND(Parameter!$B$21="Ja",ISNUMBER(Y957)),Y957,IF(Parameter!$B$20="Jahresanfang 2025 + Export",BS957+BR957,BR957)))</f>
        <v>42</v>
      </c>
      <c r="I957" s="62" t="n">
        <f aca="false">H957*G957</f>
        <v>896.28</v>
      </c>
      <c r="J957" s="62" t="n">
        <f aca="false">BU957*Parameter!$B$18</f>
        <v>0</v>
      </c>
      <c r="K957" s="63" t="n">
        <v>45</v>
      </c>
      <c r="L957" s="64" t="n">
        <v>0</v>
      </c>
      <c r="M957" s="62" t="n">
        <v>0</v>
      </c>
      <c r="N957" s="62" t="n">
        <v>1</v>
      </c>
      <c r="O957" s="65" t="n">
        <v>35</v>
      </c>
      <c r="P957" s="60" t="s">
        <v>463</v>
      </c>
      <c r="Q957" s="62" t="n">
        <v>54</v>
      </c>
      <c r="R957" s="65" t="n">
        <f aca="false">IF(CA957=1,0,IFERROR(VLOOKUP(BY957,'Gebinde-Kategorie'!$A$5:$N$45,13,0)+0,0))</f>
        <v>104</v>
      </c>
      <c r="S957" s="66"/>
      <c r="T957" s="67"/>
      <c r="U957" s="67"/>
      <c r="V957" s="67"/>
      <c r="W957" s="60"/>
      <c r="X957" s="62"/>
      <c r="Y957" s="62"/>
      <c r="Z957" s="60" t="n">
        <v>3</v>
      </c>
      <c r="AA957" s="60" t="n">
        <f aca="false">IF(A957="","",IF(AND(Parameter!$B$21="Ja",ISNUMBER(W957)),W957,IF(AND(Parameter!$E$27="Ja",ISNUMBER(Z957),CD957&lt;&gt;"Nein"),Z957,IF(CD957="2+3",IF(ISNUMBER(SEARCH("grosser Artikel",BV957)),2,IFERROR(VLOOKUP(BY957,Parameter!$F$35:$G$64,2,0),2)),IF(OR(CD957="Nein",CD957=""),"-",CD957)))))</f>
        <v>3</v>
      </c>
      <c r="AB957" s="67"/>
      <c r="AC957" s="68"/>
      <c r="AD957" s="62" t="n">
        <f aca="false">AW957</f>
        <v>1</v>
      </c>
      <c r="AE957" s="62" t="n">
        <f aca="false">MAX(AW957,H957)</f>
        <v>42</v>
      </c>
      <c r="AF957" s="69"/>
      <c r="AG957" s="62" t="n">
        <f aca="false">IF(LEFT(Cockpit!$C$5,1)="A",H957,IF(Parameter!$E$30="MAX-Bestand",IF(CI957=1,CJ957,IF(LEFT(Cockpit!$C$5,1)="B",AM957,MAX(AM957,H957))),ROUNDUP(AK957,0)))</f>
        <v>42</v>
      </c>
      <c r="AH957" s="62" t="n">
        <f aca="false">IF(CA957=1,0,ROUNDUP(AG957/BZ957,0))</f>
        <v>1</v>
      </c>
      <c r="AI957" s="64" t="n">
        <f aca="false">IF(CR957&gt;0,CR957*MAX(1,AG957/X957),IF(CA957=1,IF(AG957&lt;=0,0,CE957*MAX(1,IF(H957&gt;0,AG957/H957,1))),IF(R957&gt;0,AH957/R957,0))/MAX(0.1,N(Parameter!$M$21)))</f>
        <v>0.00961538461538462</v>
      </c>
      <c r="AJ957" s="62" t="n">
        <f aca="false">AI957*CC957</f>
        <v>1.49038461538462</v>
      </c>
      <c r="AK957" s="63" t="n">
        <f aca="false">IF(LEFT(Cockpit!$C$5,1)="A",H957,IF(CI957=1,(CL957+CJ957)/2,IF(LEFT(Cockpit!$C$5,1)="B",(CL957+AM957)/2,MAX((CL957+AM957)/2,H957))))</f>
        <v>42</v>
      </c>
      <c r="AL957" s="62" t="n">
        <f aca="false">AK957*G957</f>
        <v>896.28</v>
      </c>
      <c r="AM957" s="62" t="n">
        <f aca="false">ROUNDUP(CL957+MAX(CM957,2*(J957/IF(CH957&gt;0,CH957,MAX(0.1,N(Cockpit!$C$6)))-CL957)),0)</f>
        <v>1</v>
      </c>
      <c r="AN957" s="63" t="n">
        <f aca="false">IF(AJ957&gt;0,J957/AJ957,-1)</f>
        <v>0</v>
      </c>
      <c r="AO957" s="63" t="n">
        <f aca="false">IF(AND(OR(CG957="L1",CG957="L23",CG957="LIFT"),AJ957&gt;0),SUMIFS($AJ$7:$AJ$1843,$CG$7:$CG$1843,CG957,$AN$7:$AN$1843,"&gt;"&amp;AN957)+SUMIFS($AJ$7:$AJ$1843,$CG$7:$CG$1843,CG957,$AN$7:$AN$1843,AN957,$BX$7:$BX$1843,"&lt;="&amp;BX957),"")</f>
        <v>28882.7941241903</v>
      </c>
      <c r="AP957" s="70" t="n">
        <f aca="false">IF(AO957="",0,MAX(0,MIN(1,(IF(CG957="L1",Parameter!$H$5,IF(CG957="L23",Parameter!$H$6+Parameter!$H$7,Parameter!$H$5+Parameter!$H$6+Parameter!$H$7))-(AO957-AJ957))/AJ957)))</f>
        <v>1</v>
      </c>
      <c r="AQ957" s="62" t="n">
        <f aca="false">IF(LEFT(Cockpit!$I$5,1)="A",H957,IF(Parameter!$E$30="MAX-Bestand",IF(CI957=1,CJ957,IF(LEFT(Cockpit!$I$5,1)="B",AW957,MAX(AW957,H957))),ROUNDUP(AU957,0)))</f>
        <v>42</v>
      </c>
      <c r="AR957" s="62" t="n">
        <f aca="false">IF(CA957=1,0,ROUNDUP(AQ957/BZ957,0))</f>
        <v>1</v>
      </c>
      <c r="AS957" s="64" t="n">
        <f aca="false">IF(CR957&gt;0,CR957*MAX(1,AQ957/X957),IF(CA957=1,IF(AQ957&lt;=0,0,CE957*MAX(1,IF(H957&gt;0,AQ957/H957,1))),IF(R957&gt;0,AR957/R957,0))/MAX(0.1,N(Parameter!$M$21)))</f>
        <v>0.00961538461538462</v>
      </c>
      <c r="AT957" s="62" t="n">
        <f aca="false">AS957*CC957</f>
        <v>1.49038461538462</v>
      </c>
      <c r="AU957" s="63" t="n">
        <f aca="false">IF(LEFT(Cockpit!$I$5,1)="A",H957,IF(CI957=1,(CL957+CJ957)/2,IF(LEFT(Cockpit!$I$5,1)="B",(CL957+AW957)/2,MAX((CL957+AW957)/2,H957))))</f>
        <v>42</v>
      </c>
      <c r="AV957" s="62" t="n">
        <f aca="false">AU957*G957</f>
        <v>896.28</v>
      </c>
      <c r="AW957" s="62" t="n">
        <f aca="false">ROUNDUP(CL957+MAX(CM957,2*(J957/IF(CH957&gt;0,CH957,MAX(0.1,N(Cockpit!$I$6)))-CL957)),0)</f>
        <v>1</v>
      </c>
      <c r="AX957" s="63" t="n">
        <f aca="false">IF(AT957&gt;0,J957/AT957,-1)</f>
        <v>0</v>
      </c>
      <c r="AY957" s="63" t="n">
        <f aca="false">IF(AND(OR(CG957="L1",CG957="L23",CG957="LIFT"),AT957&gt;0),SUMIFS($AT$7:$AT$1843,$CG$7:$CG$1843,CG957,$AX$7:$AX$1843,"&gt;"&amp;AX957)+SUMIFS($AT$7:$AT$1843,$CG$7:$CG$1843,CG957,$AX$7:$AX$1843,AX957,$BX$7:$BX$1843,"&lt;="&amp;BX957),"")</f>
        <v>34550.7271062271</v>
      </c>
      <c r="AZ957" s="70" t="n">
        <f aca="false">IF(AY957="",0,MAX(0,MIN(1,(IF(CG957="L1",Parameter!$H$5,IF(CG957="L23",Parameter!$H$6+Parameter!$H$7,Parameter!$H$5+Parameter!$H$6+Parameter!$H$7))-(AY957-AT957))/AT957)))</f>
        <v>1</v>
      </c>
      <c r="BA957" s="62" t="n">
        <f aca="false">IF(LEFT(Cockpit!$O$5,1)="A",H957,IF(Parameter!$E$30="MAX-Bestand",IF(CI957=1,CJ957,IF(LEFT(Cockpit!$O$5,1)="B",BG957,MAX(BG957,H957))),ROUNDUP(BE957,0)))</f>
        <v>1</v>
      </c>
      <c r="BB957" s="62" t="n">
        <f aca="false">IF(CA957=1,0,ROUNDUP(BA957/BZ957,0))</f>
        <v>1</v>
      </c>
      <c r="BC957" s="64" t="n">
        <f aca="false">IF(CR957&gt;0,CR957*MAX(1,BA957/X957),IF(CA957=1,IF(BA957&lt;=0,0,CE957*MAX(1,IF(H957&gt;0,BA957/H957,1))),IF(R957&gt;0,BB957/R957,0))/MAX(0.1,N(Parameter!$M$21)))</f>
        <v>0.00961538461538462</v>
      </c>
      <c r="BD957" s="62" t="n">
        <f aca="false">BC957*CC957</f>
        <v>1.49038461538462</v>
      </c>
      <c r="BE957" s="63" t="n">
        <f aca="false">IF(LEFT(Cockpit!$O$5,1)="A",H957,IF(CI957=1,(CL957+CJ957)/2,IF(LEFT(Cockpit!$O$5,1)="B",(CL957+BG957)/2,MAX((CL957+BG957)/2,H957))))</f>
        <v>0.5</v>
      </c>
      <c r="BF957" s="62" t="n">
        <f aca="false">BE957*G957</f>
        <v>10.67</v>
      </c>
      <c r="BG957" s="62" t="n">
        <f aca="false">ROUNDUP(CL957+MAX(CM957,2*(J957/IF(CH957&gt;0,CH957,MAX(0.1,N(Cockpit!$O$6)))-CL957)),0)</f>
        <v>1</v>
      </c>
      <c r="BH957" s="63" t="n">
        <f aca="false">IF(BD957&gt;0,J957/BD957,-1)</f>
        <v>0</v>
      </c>
      <c r="BI957" s="63" t="n">
        <f aca="false">IF(AND(OR(CG957="L1",CG957="L23",CG957="LIFT"),BD957&gt;0),SUMIFS($BD$7:$BD$1843,$CG$7:$CG$1843,CG957,$BH$7:$BH$1843,"&gt;"&amp;BH957)+SUMIFS($BD$7:$BD$1843,$CG$7:$CG$1843,CG957,$BH$7:$BH$1843,BH957,$BX$7:$BX$1843,"&lt;="&amp;BX957),"")</f>
        <v>28581.2260740672</v>
      </c>
      <c r="BJ957" s="70" t="n">
        <f aca="false">IF(BI957="",0,MAX(0,MIN(1,(IF(CG957="L1",Parameter!$H$5,IF(CG957="L23",Parameter!$H$6+Parameter!$H$7,Parameter!$H$5+Parameter!$H$6+Parameter!$H$7))-(BI957-BD957))/BD957)))</f>
        <v>1</v>
      </c>
      <c r="BK957" s="60" t="str">
        <f aca="false">IF(AJ957&lt;=0,"",IF(CG957="Aussen","Aussenlager",IF(CG957="-","Nicht im Lift",IF(AP957&gt;=1,"Lift",IF(AP957&lt;=0,"Aussenlager","teilweise")))))</f>
        <v>Lift</v>
      </c>
      <c r="BL957" s="60" t="str">
        <f aca="false">IF(AT957&lt;=0,"",IF(CG957="Aussen","Aussenlager",IF(CG957="-","Nicht im Lift",IF(AZ957&gt;=1,"Lift",IF(AZ957&lt;=0,"Aussenlager","teilweise")))))</f>
        <v>Lift</v>
      </c>
      <c r="BM957" s="60" t="str">
        <f aca="false">IF(BD957&lt;=0,"",IF(CG957="Aussen","Aussenlager",IF(CG957="-","Nicht im Lift",IF(BJ957&gt;=1,"Lift",IF(BJ957&lt;=0,"Aussenlager","teilweise")))))</f>
        <v>Lift</v>
      </c>
      <c r="BN957" s="60" t="str">
        <f aca="false">IF(A957="","",IF(BW957=1,"Neu; ","")&amp;IF(AND(BW957=0,BR957&lt;0),"negativer Bestand (Export "&amp;BR957&amp;"); ","")&amp;IF(J957&lt;=0,"Kein Verbrauch; ","")&amp;IF(CR957&gt;0,"Lift "&amp;W957&amp;" lt. Liftbericht (Fach "&amp;X957&amp;" Stk); ",IF(CB957=1,"Gebinde geschätzt ("&amp;T957&amp;"); ",IF(CA957=1,"Lose – Tablare geschätzt; ","")))&amp;IF(H957&gt;AW957,"Überbestand "&amp;ROUND(H957-AW957,0)&amp;" Stk / CHF "&amp;ROUND((H957-AW957)*G957,0)&amp;"; ","")&amp;IF(AND(CI957=1,CJ957&lt;CK957),"MAX &lt; MB+LG; ","")&amp;IF(AND(CQ957&gt;0,CP957*10&gt;CQ957),"zu hoch für Tablar; ","")&amp;IF(AND(BW957=0,OR(CI957=1,AB957&lt;&gt;"",U957&lt;&gt;"",V957&lt;&gt;"",AC957&lt;&gt;"")),"manuell übersteuert; ","")&amp;IF(AND(CA957=0,R957=0),"Gebinde unbekannt / Stellmass fehlt; ","")&amp;IF(AND(CA957=0,N(V957)&lt;=0,N(Q957)&lt;=0),"Menge pro Gebinde fehlt (Ist = 1 Gebinde); ","")&amp;BV957)</f>
        <v>negativer Bestand (Export -3); Kein Verbrauch; Überbestand 41 Stk / CHF 875; Twin</v>
      </c>
      <c r="BO957" s="60"/>
      <c r="BP957" s="60"/>
      <c r="BQ957" s="67"/>
      <c r="BR957" s="62" t="n">
        <v>-3</v>
      </c>
      <c r="BS957" s="62" t="n">
        <v>45</v>
      </c>
      <c r="BT957" s="61" t="n">
        <v>-64.02</v>
      </c>
      <c r="BU957" s="62" t="n">
        <v>0</v>
      </c>
      <c r="BV957" s="60" t="s">
        <v>256</v>
      </c>
      <c r="BW957" s="65" t="n">
        <v>0</v>
      </c>
      <c r="BX957" s="65" t="n">
        <v>957</v>
      </c>
      <c r="BY957" s="60" t="str">
        <f aca="false">IF(U957&lt;&gt;"",UPPER(TRIM(U957)),IF(CB957=1,UPPER(VLOOKUP(T957,Parameter!$I$27:$K$29,2,0)),IF(P957="","LOSE",P957)))</f>
        <v>S32</v>
      </c>
      <c r="BZ957" s="62" t="n">
        <f aca="false">IF(BY957="LOSE",1,IF(N(V957)&gt;0,V957,IF(CB957=1,MAX(1,N(VLOOKUP(T957,Parameter!$I$27:$K$29,3,0)),H957,N(N957)),IF(N(Q957)&gt;0,Q957,MAX(1,H957)))))</f>
        <v>54</v>
      </c>
      <c r="CA957" s="65" t="n">
        <f aca="false">IF(BY957="LOSE",1,0)</f>
        <v>0</v>
      </c>
      <c r="CB957" s="65" t="n">
        <f aca="false">IF(AND(U957="",OR(P957="",P957="LOSE"),T957&lt;&gt;"",N(S957)&lt;=0,ISNUMBER(MATCH(T957,Parameter!$I$27:$I$29,0))),1,0)</f>
        <v>0</v>
      </c>
      <c r="CC957" s="65" t="n">
        <f aca="false">IF(CR957&gt;0,INDEX(Parameter!$H$5:$H$7,W957)/INDEX(Parameter!$E$5:$E$7,W957),IF(AND(CA957=0,N(IFERROR(VLOOKUP(BY957,'Gebinde-Kategorie'!$A$5:$N$45,14,0),0))&gt;0),VLOOKUP(BY957,'Gebinde-Kategorie'!$A$5:$N$45,14,0)*10+Parameter!$M$23,Parameter!$M$24))</f>
        <v>155</v>
      </c>
      <c r="CD957" s="60" t="str">
        <f aca="false">IF(AND(Parameter!$B$19="Ja",E957&lt;&gt;"",ISNUMBER(MATCH(E957,Parameter!$I$35:$I$52,0))),VLOOKUP(E957,Parameter!$I$35:$J$52,2,0),IFERROR(VLOOKUP(D957,Parameter!$A$35:$C$64,2,0),"Nein"))</f>
        <v>2+3</v>
      </c>
      <c r="CE957" s="64" t="n">
        <f aca="false">IF(CA957=0,0,IF(N(S957)&gt;0,S957,IFERROR(VLOOKUP(D957,Parameter!$A$35:$C$64,3,0)+0,0)))</f>
        <v>0</v>
      </c>
      <c r="CF957" s="60" t="n">
        <f aca="false">IF(AB957&lt;&gt;"",AB957,AA957)</f>
        <v>3</v>
      </c>
      <c r="CG957" s="60" t="str">
        <f aca="false">IF(OR(CF957=1,CF957=2,CF957=3),IF(Parameter!$E$27="Ja","LIFT",IF(CF957=1,"L1","L23")),IF(CF957="Aussen","Aussen","-"))</f>
        <v>LIFT</v>
      </c>
      <c r="CH957" s="71" t="n">
        <f aca="false">IF(N(AC957)&gt;0,AC957,0)</f>
        <v>0</v>
      </c>
      <c r="CI957" s="65" t="n">
        <f aca="false">IF(ISNUMBER(AF957),1,0)</f>
        <v>0</v>
      </c>
      <c r="CJ957" s="62" t="n">
        <f aca="false">N(AF957)</f>
        <v>0</v>
      </c>
      <c r="CK957" s="62" t="n">
        <f aca="false">N(M957)+N(N957)</f>
        <v>1</v>
      </c>
      <c r="CL957" s="62" t="n">
        <f aca="false">N(M957)</f>
        <v>0</v>
      </c>
      <c r="CM957" s="62" t="n">
        <f aca="false">N(N957)</f>
        <v>1</v>
      </c>
      <c r="CN957" s="62" t="n">
        <f aca="false">ROUNDUP(H957/BZ957,0)</f>
        <v>1</v>
      </c>
      <c r="CO957" s="62" t="n">
        <f aca="false">ROUNDUP(CJ957/BZ957,0)</f>
        <v>0</v>
      </c>
      <c r="CP957" s="65" t="n">
        <f aca="false">IF(CA957=1,0,IFERROR(VLOOKUP(BY957,'Gebinde-Kategorie'!$A$5:$N$45,5,0)+0,0))</f>
        <v>8</v>
      </c>
      <c r="CQ957" s="65" t="n">
        <f aca="false">IFERROR(IF(OR(CF957=1,CF957=2,CF957=3),N(INDEX(Parameter!$I$5:$I$7,CF957)),0),0)</f>
        <v>0</v>
      </c>
      <c r="CR957" s="64" t="n">
        <f aca="false">IF(AND(Parameter!$B$21="Ja",ISNUMBER(W957),N(X957)&gt;0),IFERROR(N(INDEX(Parameter!$L$5:$L$7,W957))*INDEX(Parameter!$E$5:$E$7,W957)*X957/SUMIFS($X$7:$X$1843,$W$7:$W$1843,W957),0),0)</f>
        <v>0</v>
      </c>
      <c r="CS957" s="62" t="n">
        <f aca="false">IF(AND(OR(CG957="L1",CG957="L23",CG957="LIFT"),H957&gt;0),CC957*IF(CR957&gt;0,CR957*MAX(1,H957/X957),IF(CA957=1,CE957,IF(R957&gt;0,CN957/R957,0))/MAX(0.1,N(Parameter!$M$21))),"")</f>
        <v>1.49038461538462</v>
      </c>
      <c r="CT957" s="64" t="n">
        <f aca="false">IF(CS957="","",J957/H957)</f>
        <v>0</v>
      </c>
      <c r="CU957" s="62" t="n">
        <f aca="false">IF(CS957="","",H957*G957)</f>
        <v>896.28</v>
      </c>
      <c r="CV957" s="63" t="n">
        <f aca="false">IF(CS957="","",(CL957+ROUNDUP(CL957+MAX(CM957,2*(J957/MAX(0.1,N(Einkauf!$C$6))-CL957)),0))/2)</f>
        <v>0.5</v>
      </c>
      <c r="CW957" s="62" t="n">
        <f aca="false">IF(CS957="","",MAX(0,H957-CV957)*G957)</f>
        <v>885.61</v>
      </c>
      <c r="CX957" s="62" t="n">
        <f aca="false">IF(CS957="","",CS957*MAX(0,1-CV957/H957))</f>
        <v>1.47264194139194</v>
      </c>
      <c r="CY957" s="64" t="n">
        <f aca="false">IF(CS957="","",PERCENTRANK($CS$7:$CS$1843,CS957)+PERCENTRANK($CU$7:$CU$1843,CU957)+1-PERCENTRANK($CT$7:$CT$1843,CT957))</f>
        <v>1.744</v>
      </c>
      <c r="CZ957" s="72" t="n">
        <f aca="false">IF(CS957="","",CHOOSE(MATCH(Einkauf!$C$5,Parameter!$G$23:$G$27,0),CY957,CS957,CU957,-CT957,CW957)+ROW()/1000000000)</f>
        <v>1.744000957</v>
      </c>
    </row>
    <row r="958" customFormat="false" ht="15" hidden="false" customHeight="false" outlineLevel="0" collapsed="false">
      <c r="A958" s="60" t="s">
        <v>1825</v>
      </c>
      <c r="B958" s="60" t="s">
        <v>1826</v>
      </c>
      <c r="C958" s="60" t="s">
        <v>206</v>
      </c>
      <c r="D958" s="60" t="s">
        <v>226</v>
      </c>
      <c r="E958" s="60" t="s">
        <v>227</v>
      </c>
      <c r="F958" s="60" t="s">
        <v>260</v>
      </c>
      <c r="G958" s="61" t="n">
        <v>65.36</v>
      </c>
      <c r="H958" s="62" t="n">
        <f aca="false">MAX(0,IF(AND(Parameter!$B$21="Ja",ISNUMBER(Y958)),Y958,IF(Parameter!$B$20="Jahresanfang 2025 + Export",BS958+BR958,BR958)))</f>
        <v>5</v>
      </c>
      <c r="I958" s="62" t="n">
        <f aca="false">H958*G958</f>
        <v>326.8</v>
      </c>
      <c r="J958" s="62" t="n">
        <f aca="false">BU958*Parameter!$B$18</f>
        <v>0</v>
      </c>
      <c r="K958" s="63" t="n">
        <v>5.5</v>
      </c>
      <c r="L958" s="64" t="n">
        <v>0</v>
      </c>
      <c r="M958" s="62" t="n">
        <v>0</v>
      </c>
      <c r="N958" s="62" t="n">
        <v>1</v>
      </c>
      <c r="O958" s="65" t="n">
        <v>28</v>
      </c>
      <c r="P958" s="60" t="s">
        <v>370</v>
      </c>
      <c r="Q958" s="62" t="n">
        <v>10</v>
      </c>
      <c r="R958" s="65" t="n">
        <f aca="false">IF(CA958=1,0,IFERROR(VLOOKUP(BY958,'Gebinde-Kategorie'!$A$5:$N$45,13,0)+0,0))</f>
        <v>52</v>
      </c>
      <c r="S958" s="66"/>
      <c r="T958" s="67"/>
      <c r="U958" s="67"/>
      <c r="V958" s="67"/>
      <c r="W958" s="60"/>
      <c r="X958" s="62"/>
      <c r="Y958" s="62"/>
      <c r="Z958" s="60" t="n">
        <v>1</v>
      </c>
      <c r="AA958" s="60" t="n">
        <f aca="false">IF(A958="","",IF(AND(Parameter!$B$21="Ja",ISNUMBER(W958)),W958,IF(AND(Parameter!$E$27="Ja",ISNUMBER(Z958),CD958&lt;&gt;"Nein"),Z958,IF(CD958="2+3",IF(ISNUMBER(SEARCH("grosser Artikel",BV958)),2,IFERROR(VLOOKUP(BY958,Parameter!$F$35:$G$64,2,0),2)),IF(OR(CD958="Nein",CD958=""),"-",CD958)))))</f>
        <v>1</v>
      </c>
      <c r="AB958" s="67"/>
      <c r="AC958" s="68"/>
      <c r="AD958" s="62" t="n">
        <f aca="false">AW958</f>
        <v>1</v>
      </c>
      <c r="AE958" s="62" t="n">
        <f aca="false">MAX(AW958,H958)</f>
        <v>5</v>
      </c>
      <c r="AF958" s="69"/>
      <c r="AG958" s="62" t="n">
        <f aca="false">IF(LEFT(Cockpit!$C$5,1)="A",H958,IF(Parameter!$E$30="MAX-Bestand",IF(CI958=1,CJ958,IF(LEFT(Cockpit!$C$5,1)="B",AM958,MAX(AM958,H958))),ROUNDUP(AK958,0)))</f>
        <v>5</v>
      </c>
      <c r="AH958" s="62" t="n">
        <f aca="false">IF(CA958=1,0,ROUNDUP(AG958/BZ958,0))</f>
        <v>1</v>
      </c>
      <c r="AI958" s="64" t="n">
        <f aca="false">IF(CR958&gt;0,CR958*MAX(1,AG958/X958),IF(CA958=1,IF(AG958&lt;=0,0,CE958*MAX(1,IF(H958&gt;0,AG958/H958,1))),IF(R958&gt;0,AH958/R958,0))/MAX(0.1,N(Parameter!$M$21)))</f>
        <v>0.0192307692307692</v>
      </c>
      <c r="AJ958" s="62" t="n">
        <f aca="false">AI958*CC958</f>
        <v>2.98076923076923</v>
      </c>
      <c r="AK958" s="63" t="n">
        <f aca="false">IF(LEFT(Cockpit!$C$5,1)="A",H958,IF(CI958=1,(CL958+CJ958)/2,IF(LEFT(Cockpit!$C$5,1)="B",(CL958+AM958)/2,MAX((CL958+AM958)/2,H958))))</f>
        <v>5</v>
      </c>
      <c r="AL958" s="62" t="n">
        <f aca="false">AK958*G958</f>
        <v>326.8</v>
      </c>
      <c r="AM958" s="62" t="n">
        <f aca="false">ROUNDUP(CL958+MAX(CM958,2*(J958/IF(CH958&gt;0,CH958,MAX(0.1,N(Cockpit!$C$6)))-CL958)),0)</f>
        <v>1</v>
      </c>
      <c r="AN958" s="63" t="n">
        <f aca="false">IF(AJ958&gt;0,J958/AJ958,-1)</f>
        <v>0</v>
      </c>
      <c r="AO958" s="63" t="n">
        <f aca="false">IF(AND(OR(CG958="L1",CG958="L23",CG958="LIFT"),AJ958&gt;0),SUMIFS($AJ$7:$AJ$1843,$CG$7:$CG$1843,CG958,$AN$7:$AN$1843,"&gt;"&amp;AN958)+SUMIFS($AJ$7:$AJ$1843,$CG$7:$CG$1843,CG958,$AN$7:$AN$1843,AN958,$BX$7:$BX$1843,"&lt;="&amp;BX958),"")</f>
        <v>28885.7748934211</v>
      </c>
      <c r="AP958" s="70" t="n">
        <f aca="false">IF(AO958="",0,MAX(0,MIN(1,(IF(CG958="L1",Parameter!$H$5,IF(CG958="L23",Parameter!$H$6+Parameter!$H$7,Parameter!$H$5+Parameter!$H$6+Parameter!$H$7))-(AO958-AJ958))/AJ958)))</f>
        <v>1</v>
      </c>
      <c r="AQ958" s="62" t="n">
        <f aca="false">IF(LEFT(Cockpit!$I$5,1)="A",H958,IF(Parameter!$E$30="MAX-Bestand",IF(CI958=1,CJ958,IF(LEFT(Cockpit!$I$5,1)="B",AW958,MAX(AW958,H958))),ROUNDUP(AU958,0)))</f>
        <v>5</v>
      </c>
      <c r="AR958" s="62" t="n">
        <f aca="false">IF(CA958=1,0,ROUNDUP(AQ958/BZ958,0))</f>
        <v>1</v>
      </c>
      <c r="AS958" s="64" t="n">
        <f aca="false">IF(CR958&gt;0,CR958*MAX(1,AQ958/X958),IF(CA958=1,IF(AQ958&lt;=0,0,CE958*MAX(1,IF(H958&gt;0,AQ958/H958,1))),IF(R958&gt;0,AR958/R958,0))/MAX(0.1,N(Parameter!$M$21)))</f>
        <v>0.0192307692307692</v>
      </c>
      <c r="AT958" s="62" t="n">
        <f aca="false">AS958*CC958</f>
        <v>2.98076923076923</v>
      </c>
      <c r="AU958" s="63" t="n">
        <f aca="false">IF(LEFT(Cockpit!$I$5,1)="A",H958,IF(CI958=1,(CL958+CJ958)/2,IF(LEFT(Cockpit!$I$5,1)="B",(CL958+AW958)/2,MAX((CL958+AW958)/2,H958))))</f>
        <v>5</v>
      </c>
      <c r="AV958" s="62" t="n">
        <f aca="false">AU958*G958</f>
        <v>326.8</v>
      </c>
      <c r="AW958" s="62" t="n">
        <f aca="false">ROUNDUP(CL958+MAX(CM958,2*(J958/IF(CH958&gt;0,CH958,MAX(0.1,N(Cockpit!$I$6)))-CL958)),0)</f>
        <v>1</v>
      </c>
      <c r="AX958" s="63" t="n">
        <f aca="false">IF(AT958&gt;0,J958/AT958,-1)</f>
        <v>0</v>
      </c>
      <c r="AY958" s="63" t="n">
        <f aca="false">IF(AND(OR(CG958="L1",CG958="L23",CG958="LIFT"),AT958&gt;0),SUMIFS($AT$7:$AT$1843,$CG$7:$CG$1843,CG958,$AX$7:$AX$1843,"&gt;"&amp;AX958)+SUMIFS($AT$7:$AT$1843,$CG$7:$CG$1843,CG958,$AX$7:$AX$1843,AX958,$BX$7:$BX$1843,"&lt;="&amp;BX958),"")</f>
        <v>34553.7078754579</v>
      </c>
      <c r="AZ958" s="70" t="n">
        <f aca="false">IF(AY958="",0,MAX(0,MIN(1,(IF(CG958="L1",Parameter!$H$5,IF(CG958="L23",Parameter!$H$6+Parameter!$H$7,Parameter!$H$5+Parameter!$H$6+Parameter!$H$7))-(AY958-AT958))/AT958)))</f>
        <v>1</v>
      </c>
      <c r="BA958" s="62" t="n">
        <f aca="false">IF(LEFT(Cockpit!$O$5,1)="A",H958,IF(Parameter!$E$30="MAX-Bestand",IF(CI958=1,CJ958,IF(LEFT(Cockpit!$O$5,1)="B",BG958,MAX(BG958,H958))),ROUNDUP(BE958,0)))</f>
        <v>1</v>
      </c>
      <c r="BB958" s="62" t="n">
        <f aca="false">IF(CA958=1,0,ROUNDUP(BA958/BZ958,0))</f>
        <v>1</v>
      </c>
      <c r="BC958" s="64" t="n">
        <f aca="false">IF(CR958&gt;0,CR958*MAX(1,BA958/X958),IF(CA958=1,IF(BA958&lt;=0,0,CE958*MAX(1,IF(H958&gt;0,BA958/H958,1))),IF(R958&gt;0,BB958/R958,0))/MAX(0.1,N(Parameter!$M$21)))</f>
        <v>0.0192307692307692</v>
      </c>
      <c r="BD958" s="62" t="n">
        <f aca="false">BC958*CC958</f>
        <v>2.98076923076923</v>
      </c>
      <c r="BE958" s="63" t="n">
        <f aca="false">IF(LEFT(Cockpit!$O$5,1)="A",H958,IF(CI958=1,(CL958+CJ958)/2,IF(LEFT(Cockpit!$O$5,1)="B",(CL958+BG958)/2,MAX((CL958+BG958)/2,H958))))</f>
        <v>0.5</v>
      </c>
      <c r="BF958" s="62" t="n">
        <f aca="false">BE958*G958</f>
        <v>32.68</v>
      </c>
      <c r="BG958" s="62" t="n">
        <f aca="false">ROUNDUP(CL958+MAX(CM958,2*(J958/IF(CH958&gt;0,CH958,MAX(0.1,N(Cockpit!$O$6)))-CL958)),0)</f>
        <v>1</v>
      </c>
      <c r="BH958" s="63" t="n">
        <f aca="false">IF(BD958&gt;0,J958/BD958,-1)</f>
        <v>0</v>
      </c>
      <c r="BI958" s="63" t="n">
        <f aca="false">IF(AND(OR(CG958="L1",CG958="L23",CG958="LIFT"),BD958&gt;0),SUMIFS($BD$7:$BD$1843,$CG$7:$CG$1843,CG958,$BH$7:$BH$1843,"&gt;"&amp;BH958)+SUMIFS($BD$7:$BD$1843,$CG$7:$CG$1843,CG958,$BH$7:$BH$1843,BH958,$BX$7:$BX$1843,"&lt;="&amp;BX958),"")</f>
        <v>28584.2068432979</v>
      </c>
      <c r="BJ958" s="70" t="n">
        <f aca="false">IF(BI958="",0,MAX(0,MIN(1,(IF(CG958="L1",Parameter!$H$5,IF(CG958="L23",Parameter!$H$6+Parameter!$H$7,Parameter!$H$5+Parameter!$H$6+Parameter!$H$7))-(BI958-BD958))/BD958)))</f>
        <v>1</v>
      </c>
      <c r="BK958" s="60" t="str">
        <f aca="false">IF(AJ958&lt;=0,"",IF(CG958="Aussen","Aussenlager",IF(CG958="-","Nicht im Lift",IF(AP958&gt;=1,"Lift",IF(AP958&lt;=0,"Aussenlager","teilweise")))))</f>
        <v>Lift</v>
      </c>
      <c r="BL958" s="60" t="str">
        <f aca="false">IF(AT958&lt;=0,"",IF(CG958="Aussen","Aussenlager",IF(CG958="-","Nicht im Lift",IF(AZ958&gt;=1,"Lift",IF(AZ958&lt;=0,"Aussenlager","teilweise")))))</f>
        <v>Lift</v>
      </c>
      <c r="BM958" s="60" t="str">
        <f aca="false">IF(BD958&lt;=0,"",IF(CG958="Aussen","Aussenlager",IF(CG958="-","Nicht im Lift",IF(BJ958&gt;=1,"Lift",IF(BJ958&lt;=0,"Aussenlager","teilweise")))))</f>
        <v>Lift</v>
      </c>
      <c r="BN958" s="60" t="str">
        <f aca="false">IF(A958="","",IF(BW958=1,"Neu; ","")&amp;IF(AND(BW958=0,BR958&lt;0),"negativer Bestand (Export "&amp;BR958&amp;"); ","")&amp;IF(J958&lt;=0,"Kein Verbrauch; ","")&amp;IF(CR958&gt;0,"Lift "&amp;W958&amp;" lt. Liftbericht (Fach "&amp;X958&amp;" Stk); ",IF(CB958=1,"Gebinde geschätzt ("&amp;T958&amp;"); ",IF(CA958=1,"Lose – Tablare geschätzt; ","")))&amp;IF(H958&gt;AW958,"Überbestand "&amp;ROUND(H958-AW958,0)&amp;" Stk / CHF "&amp;ROUND((H958-AW958)*G958,0)&amp;"; ","")&amp;IF(AND(CI958=1,CJ958&lt;CK958),"MAX &lt; MB+LG; ","")&amp;IF(AND(CQ958&gt;0,CP958*10&gt;CQ958),"zu hoch für Tablar; ","")&amp;IF(AND(BW958=0,OR(CI958=1,AB958&lt;&gt;"",U958&lt;&gt;"",V958&lt;&gt;"",AC958&lt;&gt;"")),"manuell übersteuert; ","")&amp;IF(AND(CA958=0,R958=0),"Gebinde unbekannt / Stellmass fehlt; ","")&amp;IF(AND(CA958=0,N(V958)&lt;=0,N(Q958)&lt;=0),"Menge pro Gebinde fehlt (Ist = 1 Gebinde); ","")&amp;BV958)</f>
        <v>negativer Bestand (Export -1); Kein Verbrauch; Überbestand 4 Stk / CHF 261; Verb.Lager</v>
      </c>
      <c r="BO958" s="60"/>
      <c r="BP958" s="60"/>
      <c r="BQ958" s="67"/>
      <c r="BR958" s="62" t="n">
        <v>-1</v>
      </c>
      <c r="BS958" s="62" t="n">
        <v>6</v>
      </c>
      <c r="BT958" s="61" t="n">
        <v>-65.36</v>
      </c>
      <c r="BU958" s="62" t="n">
        <v>0</v>
      </c>
      <c r="BV958" s="60" t="s">
        <v>1072</v>
      </c>
      <c r="BW958" s="65" t="n">
        <v>0</v>
      </c>
      <c r="BX958" s="65" t="n">
        <v>958</v>
      </c>
      <c r="BY958" s="60" t="str">
        <f aca="false">IF(U958&lt;&gt;"",UPPER(TRIM(U958)),IF(CB958=1,UPPER(VLOOKUP(T958,Parameter!$I$27:$K$29,2,0)),IF(P958="","LOSE",P958)))</f>
        <v>S41</v>
      </c>
      <c r="BZ958" s="62" t="n">
        <f aca="false">IF(BY958="LOSE",1,IF(N(V958)&gt;0,V958,IF(CB958=1,MAX(1,N(VLOOKUP(T958,Parameter!$I$27:$K$29,3,0)),H958,N(N958)),IF(N(Q958)&gt;0,Q958,MAX(1,H958)))))</f>
        <v>10</v>
      </c>
      <c r="CA958" s="65" t="n">
        <f aca="false">IF(BY958="LOSE",1,0)</f>
        <v>0</v>
      </c>
      <c r="CB958" s="65" t="n">
        <f aca="false">IF(AND(U958="",OR(P958="",P958="LOSE"),T958&lt;&gt;"",N(S958)&lt;=0,ISNUMBER(MATCH(T958,Parameter!$I$27:$I$29,0))),1,0)</f>
        <v>0</v>
      </c>
      <c r="CC958" s="65" t="n">
        <f aca="false">IF(CR958&gt;0,INDEX(Parameter!$H$5:$H$7,W958)/INDEX(Parameter!$E$5:$E$7,W958),IF(AND(CA958=0,N(IFERROR(VLOOKUP(BY958,'Gebinde-Kategorie'!$A$5:$N$45,14,0),0))&gt;0),VLOOKUP(BY958,'Gebinde-Kategorie'!$A$5:$N$45,14,0)*10+Parameter!$M$23,Parameter!$M$24))</f>
        <v>155</v>
      </c>
      <c r="CD958" s="60" t="str">
        <f aca="false">IF(AND(Parameter!$B$19="Ja",E958&lt;&gt;"",ISNUMBER(MATCH(E958,Parameter!$I$35:$I$52,0))),VLOOKUP(E958,Parameter!$I$35:$J$52,2,0),IFERROR(VLOOKUP(D958,Parameter!$A$35:$C$64,2,0),"Nein"))</f>
        <v>2+3</v>
      </c>
      <c r="CE958" s="64" t="n">
        <f aca="false">IF(CA958=0,0,IF(N(S958)&gt;0,S958,IFERROR(VLOOKUP(D958,Parameter!$A$35:$C$64,3,0)+0,0)))</f>
        <v>0</v>
      </c>
      <c r="CF958" s="60" t="n">
        <f aca="false">IF(AB958&lt;&gt;"",AB958,AA958)</f>
        <v>1</v>
      </c>
      <c r="CG958" s="60" t="str">
        <f aca="false">IF(OR(CF958=1,CF958=2,CF958=3),IF(Parameter!$E$27="Ja","LIFT",IF(CF958=1,"L1","L23")),IF(CF958="Aussen","Aussen","-"))</f>
        <v>LIFT</v>
      </c>
      <c r="CH958" s="71" t="n">
        <f aca="false">IF(N(AC958)&gt;0,AC958,0)</f>
        <v>0</v>
      </c>
      <c r="CI958" s="65" t="n">
        <f aca="false">IF(ISNUMBER(AF958),1,0)</f>
        <v>0</v>
      </c>
      <c r="CJ958" s="62" t="n">
        <f aca="false">N(AF958)</f>
        <v>0</v>
      </c>
      <c r="CK958" s="62" t="n">
        <f aca="false">N(M958)+N(N958)</f>
        <v>1</v>
      </c>
      <c r="CL958" s="62" t="n">
        <f aca="false">N(M958)</f>
        <v>0</v>
      </c>
      <c r="CM958" s="62" t="n">
        <f aca="false">N(N958)</f>
        <v>1</v>
      </c>
      <c r="CN958" s="62" t="n">
        <f aca="false">ROUNDUP(H958/BZ958,0)</f>
        <v>1</v>
      </c>
      <c r="CO958" s="62" t="n">
        <f aca="false">ROUNDUP(CJ958/BZ958,0)</f>
        <v>0</v>
      </c>
      <c r="CP958" s="65" t="n">
        <f aca="false">IF(CA958=1,0,IFERROR(VLOOKUP(BY958,'Gebinde-Kategorie'!$A$5:$N$45,5,0)+0,0))</f>
        <v>11</v>
      </c>
      <c r="CQ958" s="65" t="n">
        <f aca="false">IFERROR(IF(OR(CF958=1,CF958=2,CF958=3),N(INDEX(Parameter!$I$5:$I$7,CF958)),0),0)</f>
        <v>0</v>
      </c>
      <c r="CR958" s="64" t="n">
        <f aca="false">IF(AND(Parameter!$B$21="Ja",ISNUMBER(W958),N(X958)&gt;0),IFERROR(N(INDEX(Parameter!$L$5:$L$7,W958))*INDEX(Parameter!$E$5:$E$7,W958)*X958/SUMIFS($X$7:$X$1843,$W$7:$W$1843,W958),0),0)</f>
        <v>0</v>
      </c>
      <c r="CS958" s="62" t="n">
        <f aca="false">IF(AND(OR(CG958="L1",CG958="L23",CG958="LIFT"),H958&gt;0),CC958*IF(CR958&gt;0,CR958*MAX(1,H958/X958),IF(CA958=1,CE958,IF(R958&gt;0,CN958/R958,0))/MAX(0.1,N(Parameter!$M$21))),"")</f>
        <v>2.98076923076923</v>
      </c>
      <c r="CT958" s="64" t="n">
        <f aca="false">IF(CS958="","",J958/H958)</f>
        <v>0</v>
      </c>
      <c r="CU958" s="62" t="n">
        <f aca="false">IF(CS958="","",H958*G958)</f>
        <v>326.8</v>
      </c>
      <c r="CV958" s="63" t="n">
        <f aca="false">IF(CS958="","",(CL958+ROUNDUP(CL958+MAX(CM958,2*(J958/MAX(0.1,N(Einkauf!$C$6))-CL958)),0))/2)</f>
        <v>0.5</v>
      </c>
      <c r="CW958" s="62" t="n">
        <f aca="false">IF(CS958="","",MAX(0,H958-CV958)*G958)</f>
        <v>294.12</v>
      </c>
      <c r="CX958" s="62" t="n">
        <f aca="false">IF(CS958="","",CS958*MAX(0,1-CV958/H958))</f>
        <v>2.68269230769231</v>
      </c>
      <c r="CY958" s="64" t="n">
        <f aca="false">IF(CS958="","",PERCENTRANK($CS$7:$CS$1843,CS958)+PERCENTRANK($CU$7:$CU$1843,CU958)+1-PERCENTRANK($CT$7:$CT$1843,CT958))</f>
        <v>1.649</v>
      </c>
      <c r="CZ958" s="72" t="n">
        <f aca="false">IF(CS958="","",CHOOSE(MATCH(Einkauf!$C$5,Parameter!$G$23:$G$27,0),CY958,CS958,CU958,-CT958,CW958)+ROW()/1000000000)</f>
        <v>1.649000958</v>
      </c>
    </row>
    <row r="959" customFormat="false" ht="15" hidden="false" customHeight="false" outlineLevel="0" collapsed="false">
      <c r="A959" s="60" t="s">
        <v>1827</v>
      </c>
      <c r="B959" s="60" t="s">
        <v>1828</v>
      </c>
      <c r="C959" s="60" t="s">
        <v>206</v>
      </c>
      <c r="D959" s="60" t="s">
        <v>226</v>
      </c>
      <c r="E959" s="60" t="s">
        <v>227</v>
      </c>
      <c r="F959" s="60" t="s">
        <v>260</v>
      </c>
      <c r="G959" s="61" t="n">
        <v>21.84</v>
      </c>
      <c r="H959" s="62" t="n">
        <f aca="false">MAX(0,IF(AND(Parameter!$B$21="Ja",ISNUMBER(Y959)),Y959,IF(Parameter!$B$20="Jahresanfang 2025 + Export",BS959+BR959,BR959)))</f>
        <v>6</v>
      </c>
      <c r="I959" s="62" t="n">
        <f aca="false">H959*G959</f>
        <v>131.04</v>
      </c>
      <c r="J959" s="62" t="n">
        <f aca="false">BU959*Parameter!$B$18</f>
        <v>2.01</v>
      </c>
      <c r="K959" s="63" t="n">
        <v>7.5</v>
      </c>
      <c r="L959" s="64" t="n">
        <v>0.268</v>
      </c>
      <c r="M959" s="62" t="n">
        <v>0</v>
      </c>
      <c r="N959" s="62" t="n">
        <v>1</v>
      </c>
      <c r="O959" s="65" t="n">
        <v>28</v>
      </c>
      <c r="P959" s="60" t="s">
        <v>370</v>
      </c>
      <c r="Q959" s="62" t="n">
        <v>12</v>
      </c>
      <c r="R959" s="65" t="n">
        <f aca="false">IF(CA959=1,0,IFERROR(VLOOKUP(BY959,'Gebinde-Kategorie'!$A$5:$N$45,13,0)+0,0))</f>
        <v>52</v>
      </c>
      <c r="S959" s="66"/>
      <c r="T959" s="67"/>
      <c r="U959" s="67"/>
      <c r="V959" s="67"/>
      <c r="W959" s="60"/>
      <c r="X959" s="62"/>
      <c r="Y959" s="62"/>
      <c r="Z959" s="60" t="n">
        <v>1</v>
      </c>
      <c r="AA959" s="60" t="n">
        <f aca="false">IF(A959="","",IF(AND(Parameter!$B$21="Ja",ISNUMBER(W959)),W959,IF(AND(Parameter!$E$27="Ja",ISNUMBER(Z959),CD959&lt;&gt;"Nein"),Z959,IF(CD959="2+3",IF(ISNUMBER(SEARCH("grosser Artikel",BV959)),2,IFERROR(VLOOKUP(BY959,Parameter!$F$35:$G$64,2,0),2)),IF(OR(CD959="Nein",CD959=""),"-",CD959)))))</f>
        <v>1</v>
      </c>
      <c r="AB959" s="67"/>
      <c r="AC959" s="68"/>
      <c r="AD959" s="62" t="n">
        <f aca="false">AW959</f>
        <v>2</v>
      </c>
      <c r="AE959" s="62" t="n">
        <f aca="false">MAX(AW959,H959)</f>
        <v>6</v>
      </c>
      <c r="AF959" s="69"/>
      <c r="AG959" s="62" t="n">
        <f aca="false">IF(LEFT(Cockpit!$C$5,1)="A",H959,IF(Parameter!$E$30="MAX-Bestand",IF(CI959=1,CJ959,IF(LEFT(Cockpit!$C$5,1)="B",AM959,MAX(AM959,H959))),ROUNDUP(AK959,0)))</f>
        <v>6</v>
      </c>
      <c r="AH959" s="62" t="n">
        <f aca="false">IF(CA959=1,0,ROUNDUP(AG959/BZ959,0))</f>
        <v>1</v>
      </c>
      <c r="AI959" s="64" t="n">
        <f aca="false">IF(CR959&gt;0,CR959*MAX(1,AG959/X959),IF(CA959=1,IF(AG959&lt;=0,0,CE959*MAX(1,IF(H959&gt;0,AG959/H959,1))),IF(R959&gt;0,AH959/R959,0))/MAX(0.1,N(Parameter!$M$21)))</f>
        <v>0.0192307692307692</v>
      </c>
      <c r="AJ959" s="62" t="n">
        <f aca="false">AI959*CC959</f>
        <v>2.98076923076923</v>
      </c>
      <c r="AK959" s="63" t="n">
        <f aca="false">IF(LEFT(Cockpit!$C$5,1)="A",H959,IF(CI959=1,(CL959+CJ959)/2,IF(LEFT(Cockpit!$C$5,1)="B",(CL959+AM959)/2,MAX((CL959+AM959)/2,H959))))</f>
        <v>6</v>
      </c>
      <c r="AL959" s="62" t="n">
        <f aca="false">AK959*G959</f>
        <v>131.04</v>
      </c>
      <c r="AM959" s="62" t="n">
        <f aca="false">ROUNDUP(CL959+MAX(CM959,2*(J959/IF(CH959&gt;0,CH959,MAX(0.1,N(Cockpit!$C$6)))-CL959)),0)</f>
        <v>2</v>
      </c>
      <c r="AN959" s="63" t="n">
        <f aca="false">IF(AJ959&gt;0,J959/AJ959,-1)</f>
        <v>0.674322580645161</v>
      </c>
      <c r="AO959" s="63" t="n">
        <f aca="false">IF(AND(OR(CG959="L1",CG959="L23",CG959="LIFT"),AJ959&gt;0),SUMIFS($AJ$7:$AJ$1843,$CG$7:$CG$1843,CG959,$AN$7:$AN$1843,"&gt;"&amp;AN959)+SUMIFS($AJ$7:$AJ$1843,$CG$7:$CG$1843,CG959,$AN$7:$AN$1843,AN959,$BX$7:$BX$1843,"&lt;="&amp;BX959),"")</f>
        <v>8595.2467948718</v>
      </c>
      <c r="AP959" s="70" t="n">
        <f aca="false">IF(AO959="",0,MAX(0,MIN(1,(IF(CG959="L1",Parameter!$H$5,IF(CG959="L23",Parameter!$H$6+Parameter!$H$7,Parameter!$H$5+Parameter!$H$6+Parameter!$H$7))-(AO959-AJ959))/AJ959)))</f>
        <v>1</v>
      </c>
      <c r="AQ959" s="62" t="n">
        <f aca="false">IF(LEFT(Cockpit!$I$5,1)="A",H959,IF(Parameter!$E$30="MAX-Bestand",IF(CI959=1,CJ959,IF(LEFT(Cockpit!$I$5,1)="B",AW959,MAX(AW959,H959))),ROUNDUP(AU959,0)))</f>
        <v>6</v>
      </c>
      <c r="AR959" s="62" t="n">
        <f aca="false">IF(CA959=1,0,ROUNDUP(AQ959/BZ959,0))</f>
        <v>1</v>
      </c>
      <c r="AS959" s="64" t="n">
        <f aca="false">IF(CR959&gt;0,CR959*MAX(1,AQ959/X959),IF(CA959=1,IF(AQ959&lt;=0,0,CE959*MAX(1,IF(H959&gt;0,AQ959/H959,1))),IF(R959&gt;0,AR959/R959,0))/MAX(0.1,N(Parameter!$M$21)))</f>
        <v>0.0192307692307692</v>
      </c>
      <c r="AT959" s="62" t="n">
        <f aca="false">AS959*CC959</f>
        <v>2.98076923076923</v>
      </c>
      <c r="AU959" s="63" t="n">
        <f aca="false">IF(LEFT(Cockpit!$I$5,1)="A",H959,IF(CI959=1,(CL959+CJ959)/2,IF(LEFT(Cockpit!$I$5,1)="B",(CL959+AW959)/2,MAX((CL959+AW959)/2,H959))))</f>
        <v>6</v>
      </c>
      <c r="AV959" s="62" t="n">
        <f aca="false">AU959*G959</f>
        <v>131.04</v>
      </c>
      <c r="AW959" s="62" t="n">
        <f aca="false">ROUNDUP(CL959+MAX(CM959,2*(J959/IF(CH959&gt;0,CH959,MAX(0.1,N(Cockpit!$I$6)))-CL959)),0)</f>
        <v>2</v>
      </c>
      <c r="AX959" s="63" t="n">
        <f aca="false">IF(AT959&gt;0,J959/AT959,-1)</f>
        <v>0.674322580645161</v>
      </c>
      <c r="AY959" s="63" t="n">
        <f aca="false">IF(AND(OR(CG959="L1",CG959="L23",CG959="LIFT"),AT959&gt;0),SUMIFS($AT$7:$AT$1843,$CG$7:$CG$1843,CG959,$AX$7:$AX$1843,"&gt;"&amp;AX959)+SUMIFS($AT$7:$AT$1843,$CG$7:$CG$1843,CG959,$AX$7:$AX$1843,AX959,$BX$7:$BX$1843,"&lt;="&amp;BX959),"")</f>
        <v>10878.9816849817</v>
      </c>
      <c r="AZ959" s="70" t="n">
        <f aca="false">IF(AY959="",0,MAX(0,MIN(1,(IF(CG959="L1",Parameter!$H$5,IF(CG959="L23",Parameter!$H$6+Parameter!$H$7,Parameter!$H$5+Parameter!$H$6+Parameter!$H$7))-(AY959-AT959))/AT959)))</f>
        <v>1</v>
      </c>
      <c r="BA959" s="62" t="n">
        <f aca="false">IF(LEFT(Cockpit!$O$5,1)="A",H959,IF(Parameter!$E$30="MAX-Bestand",IF(CI959=1,CJ959,IF(LEFT(Cockpit!$O$5,1)="B",BG959,MAX(BG959,H959))),ROUNDUP(BE959,0)))</f>
        <v>1</v>
      </c>
      <c r="BB959" s="62" t="n">
        <f aca="false">IF(CA959=1,0,ROUNDUP(BA959/BZ959,0))</f>
        <v>1</v>
      </c>
      <c r="BC959" s="64" t="n">
        <f aca="false">IF(CR959&gt;0,CR959*MAX(1,BA959/X959),IF(CA959=1,IF(BA959&lt;=0,0,CE959*MAX(1,IF(H959&gt;0,BA959/H959,1))),IF(R959&gt;0,BB959/R959,0))/MAX(0.1,N(Parameter!$M$21)))</f>
        <v>0.0192307692307692</v>
      </c>
      <c r="BD959" s="62" t="n">
        <f aca="false">BC959*CC959</f>
        <v>2.98076923076923</v>
      </c>
      <c r="BE959" s="63" t="n">
        <f aca="false">IF(LEFT(Cockpit!$O$5,1)="A",H959,IF(CI959=1,(CL959+CJ959)/2,IF(LEFT(Cockpit!$O$5,1)="B",(CL959+BG959)/2,MAX((CL959+BG959)/2,H959))))</f>
        <v>1</v>
      </c>
      <c r="BF959" s="62" t="n">
        <f aca="false">BE959*G959</f>
        <v>21.84</v>
      </c>
      <c r="BG959" s="62" t="n">
        <f aca="false">ROUNDUP(CL959+MAX(CM959,2*(J959/IF(CH959&gt;0,CH959,MAX(0.1,N(Cockpit!$O$6)))-CL959)),0)</f>
        <v>2</v>
      </c>
      <c r="BH959" s="63" t="n">
        <f aca="false">IF(BD959&gt;0,J959/BD959,-1)</f>
        <v>0.674322580645161</v>
      </c>
      <c r="BI959" s="63" t="n">
        <f aca="false">IF(AND(OR(CG959="L1",CG959="L23",CG959="LIFT"),BD959&gt;0),SUMIFS($BD$7:$BD$1843,$CG$7:$CG$1843,CG959,$BH$7:$BH$1843,"&gt;"&amp;BH959)+SUMIFS($BD$7:$BD$1843,$CG$7:$CG$1843,CG959,$BH$7:$BH$1843,BH959,$BX$7:$BX$1843,"&lt;="&amp;BX959),"")</f>
        <v>9488.61584249084</v>
      </c>
      <c r="BJ959" s="70" t="n">
        <f aca="false">IF(BI959="",0,MAX(0,MIN(1,(IF(CG959="L1",Parameter!$H$5,IF(CG959="L23",Parameter!$H$6+Parameter!$H$7,Parameter!$H$5+Parameter!$H$6+Parameter!$H$7))-(BI959-BD959))/BD959)))</f>
        <v>1</v>
      </c>
      <c r="BK959" s="60" t="str">
        <f aca="false">IF(AJ959&lt;=0,"",IF(CG959="Aussen","Aussenlager",IF(CG959="-","Nicht im Lift",IF(AP959&gt;=1,"Lift",IF(AP959&lt;=0,"Aussenlager","teilweise")))))</f>
        <v>Lift</v>
      </c>
      <c r="BL959" s="60" t="str">
        <f aca="false">IF(AT959&lt;=0,"",IF(CG959="Aussen","Aussenlager",IF(CG959="-","Nicht im Lift",IF(AZ959&gt;=1,"Lift",IF(AZ959&lt;=0,"Aussenlager","teilweise")))))</f>
        <v>Lift</v>
      </c>
      <c r="BM959" s="60" t="str">
        <f aca="false">IF(BD959&lt;=0,"",IF(CG959="Aussen","Aussenlager",IF(CG959="-","Nicht im Lift",IF(BJ959&gt;=1,"Lift",IF(BJ959&lt;=0,"Aussenlager","teilweise")))))</f>
        <v>Lift</v>
      </c>
      <c r="BN959" s="60" t="str">
        <f aca="false">IF(A959="","",IF(BW959=1,"Neu; ","")&amp;IF(AND(BW959=0,BR959&lt;0),"negativer Bestand (Export "&amp;BR959&amp;"); ","")&amp;IF(J959&lt;=0,"Kein Verbrauch; ","")&amp;IF(CR959&gt;0,"Lift "&amp;W959&amp;" lt. Liftbericht (Fach "&amp;X959&amp;" Stk); ",IF(CB959=1,"Gebinde geschätzt ("&amp;T959&amp;"); ",IF(CA959=1,"Lose – Tablare geschätzt; ","")))&amp;IF(H959&gt;AW959,"Überbestand "&amp;ROUND(H959-AW959,0)&amp;" Stk / CHF "&amp;ROUND((H959-AW959)*G959,0)&amp;"; ","")&amp;IF(AND(CI959=1,CJ959&lt;CK959),"MAX &lt; MB+LG; ","")&amp;IF(AND(CQ959&gt;0,CP959*10&gt;CQ959),"zu hoch für Tablar; ","")&amp;IF(AND(BW959=0,OR(CI959=1,AB959&lt;&gt;"",U959&lt;&gt;"",V959&lt;&gt;"",AC959&lt;&gt;"")),"manuell übersteuert; ","")&amp;IF(AND(CA959=0,R959=0),"Gebinde unbekannt / Stellmass fehlt; ","")&amp;IF(AND(CA959=0,N(V959)&lt;=0,N(Q959)&lt;=0),"Menge pro Gebinde fehlt (Ist = 1 Gebinde); ","")&amp;BV959)</f>
        <v>negativer Bestand (Export -3); Überbestand 4 Stk / CHF 87; </v>
      </c>
      <c r="BO959" s="60"/>
      <c r="BP959" s="60"/>
      <c r="BQ959" s="67"/>
      <c r="BR959" s="62" t="n">
        <v>-3</v>
      </c>
      <c r="BS959" s="62" t="n">
        <v>9</v>
      </c>
      <c r="BT959" s="61" t="n">
        <v>-65.52</v>
      </c>
      <c r="BU959" s="62" t="n">
        <v>2.01</v>
      </c>
      <c r="BV959" s="60"/>
      <c r="BW959" s="65" t="n">
        <v>0</v>
      </c>
      <c r="BX959" s="65" t="n">
        <v>959</v>
      </c>
      <c r="BY959" s="60" t="str">
        <f aca="false">IF(U959&lt;&gt;"",UPPER(TRIM(U959)),IF(CB959=1,UPPER(VLOOKUP(T959,Parameter!$I$27:$K$29,2,0)),IF(P959="","LOSE",P959)))</f>
        <v>S41</v>
      </c>
      <c r="BZ959" s="62" t="n">
        <f aca="false">IF(BY959="LOSE",1,IF(N(V959)&gt;0,V959,IF(CB959=1,MAX(1,N(VLOOKUP(T959,Parameter!$I$27:$K$29,3,0)),H959,N(N959)),IF(N(Q959)&gt;0,Q959,MAX(1,H959)))))</f>
        <v>12</v>
      </c>
      <c r="CA959" s="65" t="n">
        <f aca="false">IF(BY959="LOSE",1,0)</f>
        <v>0</v>
      </c>
      <c r="CB959" s="65" t="n">
        <f aca="false">IF(AND(U959="",OR(P959="",P959="LOSE"),T959&lt;&gt;"",N(S959)&lt;=0,ISNUMBER(MATCH(T959,Parameter!$I$27:$I$29,0))),1,0)</f>
        <v>0</v>
      </c>
      <c r="CC959" s="65" t="n">
        <f aca="false">IF(CR959&gt;0,INDEX(Parameter!$H$5:$H$7,W959)/INDEX(Parameter!$E$5:$E$7,W959),IF(AND(CA959=0,N(IFERROR(VLOOKUP(BY959,'Gebinde-Kategorie'!$A$5:$N$45,14,0),0))&gt;0),VLOOKUP(BY959,'Gebinde-Kategorie'!$A$5:$N$45,14,0)*10+Parameter!$M$23,Parameter!$M$24))</f>
        <v>155</v>
      </c>
      <c r="CD959" s="60" t="str">
        <f aca="false">IF(AND(Parameter!$B$19="Ja",E959&lt;&gt;"",ISNUMBER(MATCH(E959,Parameter!$I$35:$I$52,0))),VLOOKUP(E959,Parameter!$I$35:$J$52,2,0),IFERROR(VLOOKUP(D959,Parameter!$A$35:$C$64,2,0),"Nein"))</f>
        <v>2+3</v>
      </c>
      <c r="CE959" s="64" t="n">
        <f aca="false">IF(CA959=0,0,IF(N(S959)&gt;0,S959,IFERROR(VLOOKUP(D959,Parameter!$A$35:$C$64,3,0)+0,0)))</f>
        <v>0</v>
      </c>
      <c r="CF959" s="60" t="n">
        <f aca="false">IF(AB959&lt;&gt;"",AB959,AA959)</f>
        <v>1</v>
      </c>
      <c r="CG959" s="60" t="str">
        <f aca="false">IF(OR(CF959=1,CF959=2,CF959=3),IF(Parameter!$E$27="Ja","LIFT",IF(CF959=1,"L1","L23")),IF(CF959="Aussen","Aussen","-"))</f>
        <v>LIFT</v>
      </c>
      <c r="CH959" s="71" t="n">
        <f aca="false">IF(N(AC959)&gt;0,AC959,0)</f>
        <v>0</v>
      </c>
      <c r="CI959" s="65" t="n">
        <f aca="false">IF(ISNUMBER(AF959),1,0)</f>
        <v>0</v>
      </c>
      <c r="CJ959" s="62" t="n">
        <f aca="false">N(AF959)</f>
        <v>0</v>
      </c>
      <c r="CK959" s="62" t="n">
        <f aca="false">N(M959)+N(N959)</f>
        <v>1</v>
      </c>
      <c r="CL959" s="62" t="n">
        <f aca="false">N(M959)</f>
        <v>0</v>
      </c>
      <c r="CM959" s="62" t="n">
        <f aca="false">N(N959)</f>
        <v>1</v>
      </c>
      <c r="CN959" s="62" t="n">
        <f aca="false">ROUNDUP(H959/BZ959,0)</f>
        <v>1</v>
      </c>
      <c r="CO959" s="62" t="n">
        <f aca="false">ROUNDUP(CJ959/BZ959,0)</f>
        <v>0</v>
      </c>
      <c r="CP959" s="65" t="n">
        <f aca="false">IF(CA959=1,0,IFERROR(VLOOKUP(BY959,'Gebinde-Kategorie'!$A$5:$N$45,5,0)+0,0))</f>
        <v>11</v>
      </c>
      <c r="CQ959" s="65" t="n">
        <f aca="false">IFERROR(IF(OR(CF959=1,CF959=2,CF959=3),N(INDEX(Parameter!$I$5:$I$7,CF959)),0),0)</f>
        <v>0</v>
      </c>
      <c r="CR959" s="64" t="n">
        <f aca="false">IF(AND(Parameter!$B$21="Ja",ISNUMBER(W959),N(X959)&gt;0),IFERROR(N(INDEX(Parameter!$L$5:$L$7,W959))*INDEX(Parameter!$E$5:$E$7,W959)*X959/SUMIFS($X$7:$X$1843,$W$7:$W$1843,W959),0),0)</f>
        <v>0</v>
      </c>
      <c r="CS959" s="62" t="n">
        <f aca="false">IF(AND(OR(CG959="L1",CG959="L23",CG959="LIFT"),H959&gt;0),CC959*IF(CR959&gt;0,CR959*MAX(1,H959/X959),IF(CA959=1,CE959,IF(R959&gt;0,CN959/R959,0))/MAX(0.1,N(Parameter!$M$21))),"")</f>
        <v>2.98076923076923</v>
      </c>
      <c r="CT959" s="64" t="n">
        <f aca="false">IF(CS959="","",J959/H959)</f>
        <v>0.335</v>
      </c>
      <c r="CU959" s="62" t="n">
        <f aca="false">IF(CS959="","",H959*G959)</f>
        <v>131.04</v>
      </c>
      <c r="CV959" s="63" t="n">
        <f aca="false">IF(CS959="","",(CL959+ROUNDUP(CL959+MAX(CM959,2*(J959/MAX(0.1,N(Einkauf!$C$6))-CL959)),0))/2)</f>
        <v>1</v>
      </c>
      <c r="CW959" s="62" t="n">
        <f aca="false">IF(CS959="","",MAX(0,H959-CV959)*G959)</f>
        <v>109.2</v>
      </c>
      <c r="CX959" s="62" t="n">
        <f aca="false">IF(CS959="","",CS959*MAX(0,1-CV959/H959))</f>
        <v>2.48397435897436</v>
      </c>
      <c r="CY959" s="64" t="n">
        <f aca="false">IF(CS959="","",PERCENTRANK($CS$7:$CS$1843,CS959)+PERCENTRANK($CU$7:$CU$1843,CU959)+1-PERCENTRANK($CT$7:$CT$1843,CT959))</f>
        <v>0.971</v>
      </c>
      <c r="CZ959" s="72" t="n">
        <f aca="false">IF(CS959="","",CHOOSE(MATCH(Einkauf!$C$5,Parameter!$G$23:$G$27,0),CY959,CS959,CU959,-CT959,CW959)+ROW()/1000000000)</f>
        <v>0.971000959</v>
      </c>
    </row>
    <row r="960" customFormat="false" ht="15" hidden="false" customHeight="false" outlineLevel="0" collapsed="false">
      <c r="A960" s="60" t="s">
        <v>1829</v>
      </c>
      <c r="B960" s="60" t="s">
        <v>1007</v>
      </c>
      <c r="C960" s="60" t="s">
        <v>206</v>
      </c>
      <c r="D960" s="60" t="s">
        <v>226</v>
      </c>
      <c r="E960" s="60" t="s">
        <v>227</v>
      </c>
      <c r="F960" s="60" t="s">
        <v>260</v>
      </c>
      <c r="G960" s="61" t="n">
        <v>16.51</v>
      </c>
      <c r="H960" s="62" t="n">
        <f aca="false">MAX(0,IF(AND(Parameter!$B$21="Ja",ISNUMBER(Y960)),Y960,IF(Parameter!$B$20="Jahresanfang 2025 + Export",BS960+BR960,BR960)))</f>
        <v>8</v>
      </c>
      <c r="I960" s="62" t="n">
        <f aca="false">H960*G960</f>
        <v>132.08</v>
      </c>
      <c r="J960" s="62" t="n">
        <f aca="false">BU960*Parameter!$B$18</f>
        <v>0</v>
      </c>
      <c r="K960" s="63" t="n">
        <v>10.5</v>
      </c>
      <c r="L960" s="64" t="n">
        <v>0</v>
      </c>
      <c r="M960" s="62" t="n">
        <v>0</v>
      </c>
      <c r="N960" s="62" t="n">
        <v>1</v>
      </c>
      <c r="O960" s="65" t="n">
        <v>35</v>
      </c>
      <c r="P960" s="60" t="s">
        <v>518</v>
      </c>
      <c r="Q960" s="62" t="n">
        <v>14</v>
      </c>
      <c r="R960" s="65" t="n">
        <f aca="false">IF(CA960=1,0,IFERROR(VLOOKUP(BY960,'Gebinde-Kategorie'!$A$5:$N$45,13,0)+0,0))</f>
        <v>52</v>
      </c>
      <c r="S960" s="66"/>
      <c r="T960" s="67"/>
      <c r="U960" s="67"/>
      <c r="V960" s="67"/>
      <c r="W960" s="60"/>
      <c r="X960" s="62"/>
      <c r="Y960" s="62"/>
      <c r="Z960" s="60" t="n">
        <v>3</v>
      </c>
      <c r="AA960" s="60" t="n">
        <f aca="false">IF(A960="","",IF(AND(Parameter!$B$21="Ja",ISNUMBER(W960)),W960,IF(AND(Parameter!$E$27="Ja",ISNUMBER(Z960),CD960&lt;&gt;"Nein"),Z960,IF(CD960="2+3",IF(ISNUMBER(SEARCH("grosser Artikel",BV960)),2,IFERROR(VLOOKUP(BY960,Parameter!$F$35:$G$64,2,0),2)),IF(OR(CD960="Nein",CD960=""),"-",CD960)))))</f>
        <v>3</v>
      </c>
      <c r="AB960" s="67"/>
      <c r="AC960" s="68"/>
      <c r="AD960" s="62" t="n">
        <f aca="false">AW960</f>
        <v>1</v>
      </c>
      <c r="AE960" s="62" t="n">
        <f aca="false">MAX(AW960,H960)</f>
        <v>8</v>
      </c>
      <c r="AF960" s="69"/>
      <c r="AG960" s="62" t="n">
        <f aca="false">IF(LEFT(Cockpit!$C$5,1)="A",H960,IF(Parameter!$E$30="MAX-Bestand",IF(CI960=1,CJ960,IF(LEFT(Cockpit!$C$5,1)="B",AM960,MAX(AM960,H960))),ROUNDUP(AK960,0)))</f>
        <v>8</v>
      </c>
      <c r="AH960" s="62" t="n">
        <f aca="false">IF(CA960=1,0,ROUNDUP(AG960/BZ960,0))</f>
        <v>1</v>
      </c>
      <c r="AI960" s="64" t="n">
        <f aca="false">IF(CR960&gt;0,CR960*MAX(1,AG960/X960),IF(CA960=1,IF(AG960&lt;=0,0,CE960*MAX(1,IF(H960&gt;0,AG960/H960,1))),IF(R960&gt;0,AH960/R960,0))/MAX(0.1,N(Parameter!$M$21)))</f>
        <v>0.0192307692307692</v>
      </c>
      <c r="AJ960" s="62" t="n">
        <f aca="false">AI960*CC960</f>
        <v>2.98076923076923</v>
      </c>
      <c r="AK960" s="63" t="n">
        <f aca="false">IF(LEFT(Cockpit!$C$5,1)="A",H960,IF(CI960=1,(CL960+CJ960)/2,IF(LEFT(Cockpit!$C$5,1)="B",(CL960+AM960)/2,MAX((CL960+AM960)/2,H960))))</f>
        <v>8</v>
      </c>
      <c r="AL960" s="62" t="n">
        <f aca="false">AK960*G960</f>
        <v>132.08</v>
      </c>
      <c r="AM960" s="62" t="n">
        <f aca="false">ROUNDUP(CL960+MAX(CM960,2*(J960/IF(CH960&gt;0,CH960,MAX(0.1,N(Cockpit!$C$6)))-CL960)),0)</f>
        <v>1</v>
      </c>
      <c r="AN960" s="63" t="n">
        <f aca="false">IF(AJ960&gt;0,J960/AJ960,-1)</f>
        <v>0</v>
      </c>
      <c r="AO960" s="63" t="n">
        <f aca="false">IF(AND(OR(CG960="L1",CG960="L23",CG960="LIFT"),AJ960&gt;0),SUMIFS($AJ$7:$AJ$1843,$CG$7:$CG$1843,CG960,$AN$7:$AN$1843,"&gt;"&amp;AN960)+SUMIFS($AJ$7:$AJ$1843,$CG$7:$CG$1843,CG960,$AN$7:$AN$1843,AN960,$BX$7:$BX$1843,"&lt;="&amp;BX960),"")</f>
        <v>28888.7556626519</v>
      </c>
      <c r="AP960" s="70" t="n">
        <f aca="false">IF(AO960="",0,MAX(0,MIN(1,(IF(CG960="L1",Parameter!$H$5,IF(CG960="L23",Parameter!$H$6+Parameter!$H$7,Parameter!$H$5+Parameter!$H$6+Parameter!$H$7))-(AO960-AJ960))/AJ960)))</f>
        <v>1</v>
      </c>
      <c r="AQ960" s="62" t="n">
        <f aca="false">IF(LEFT(Cockpit!$I$5,1)="A",H960,IF(Parameter!$E$30="MAX-Bestand",IF(CI960=1,CJ960,IF(LEFT(Cockpit!$I$5,1)="B",AW960,MAX(AW960,H960))),ROUNDUP(AU960,0)))</f>
        <v>8</v>
      </c>
      <c r="AR960" s="62" t="n">
        <f aca="false">IF(CA960=1,0,ROUNDUP(AQ960/BZ960,0))</f>
        <v>1</v>
      </c>
      <c r="AS960" s="64" t="n">
        <f aca="false">IF(CR960&gt;0,CR960*MAX(1,AQ960/X960),IF(CA960=1,IF(AQ960&lt;=0,0,CE960*MAX(1,IF(H960&gt;0,AQ960/H960,1))),IF(R960&gt;0,AR960/R960,0))/MAX(0.1,N(Parameter!$M$21)))</f>
        <v>0.0192307692307692</v>
      </c>
      <c r="AT960" s="62" t="n">
        <f aca="false">AS960*CC960</f>
        <v>2.98076923076923</v>
      </c>
      <c r="AU960" s="63" t="n">
        <f aca="false">IF(LEFT(Cockpit!$I$5,1)="A",H960,IF(CI960=1,(CL960+CJ960)/2,IF(LEFT(Cockpit!$I$5,1)="B",(CL960+AW960)/2,MAX((CL960+AW960)/2,H960))))</f>
        <v>8</v>
      </c>
      <c r="AV960" s="62" t="n">
        <f aca="false">AU960*G960</f>
        <v>132.08</v>
      </c>
      <c r="AW960" s="62" t="n">
        <f aca="false">ROUNDUP(CL960+MAX(CM960,2*(J960/IF(CH960&gt;0,CH960,MAX(0.1,N(Cockpit!$I$6)))-CL960)),0)</f>
        <v>1</v>
      </c>
      <c r="AX960" s="63" t="n">
        <f aca="false">IF(AT960&gt;0,J960/AT960,-1)</f>
        <v>0</v>
      </c>
      <c r="AY960" s="63" t="n">
        <f aca="false">IF(AND(OR(CG960="L1",CG960="L23",CG960="LIFT"),AT960&gt;0),SUMIFS($AT$7:$AT$1843,$CG$7:$CG$1843,CG960,$AX$7:$AX$1843,"&gt;"&amp;AX960)+SUMIFS($AT$7:$AT$1843,$CG$7:$CG$1843,CG960,$AX$7:$AX$1843,AX960,$BX$7:$BX$1843,"&lt;="&amp;BX960),"")</f>
        <v>34556.6886446886</v>
      </c>
      <c r="AZ960" s="70" t="n">
        <f aca="false">IF(AY960="",0,MAX(0,MIN(1,(IF(CG960="L1",Parameter!$H$5,IF(CG960="L23",Parameter!$H$6+Parameter!$H$7,Parameter!$H$5+Parameter!$H$6+Parameter!$H$7))-(AY960-AT960))/AT960)))</f>
        <v>1</v>
      </c>
      <c r="BA960" s="62" t="n">
        <f aca="false">IF(LEFT(Cockpit!$O$5,1)="A",H960,IF(Parameter!$E$30="MAX-Bestand",IF(CI960=1,CJ960,IF(LEFT(Cockpit!$O$5,1)="B",BG960,MAX(BG960,H960))),ROUNDUP(BE960,0)))</f>
        <v>1</v>
      </c>
      <c r="BB960" s="62" t="n">
        <f aca="false">IF(CA960=1,0,ROUNDUP(BA960/BZ960,0))</f>
        <v>1</v>
      </c>
      <c r="BC960" s="64" t="n">
        <f aca="false">IF(CR960&gt;0,CR960*MAX(1,BA960/X960),IF(CA960=1,IF(BA960&lt;=0,0,CE960*MAX(1,IF(H960&gt;0,BA960/H960,1))),IF(R960&gt;0,BB960/R960,0))/MAX(0.1,N(Parameter!$M$21)))</f>
        <v>0.0192307692307692</v>
      </c>
      <c r="BD960" s="62" t="n">
        <f aca="false">BC960*CC960</f>
        <v>2.98076923076923</v>
      </c>
      <c r="BE960" s="63" t="n">
        <f aca="false">IF(LEFT(Cockpit!$O$5,1)="A",H960,IF(CI960=1,(CL960+CJ960)/2,IF(LEFT(Cockpit!$O$5,1)="B",(CL960+BG960)/2,MAX((CL960+BG960)/2,H960))))</f>
        <v>0.5</v>
      </c>
      <c r="BF960" s="62" t="n">
        <f aca="false">BE960*G960</f>
        <v>8.255</v>
      </c>
      <c r="BG960" s="62" t="n">
        <f aca="false">ROUNDUP(CL960+MAX(CM960,2*(J960/IF(CH960&gt;0,CH960,MAX(0.1,N(Cockpit!$O$6)))-CL960)),0)</f>
        <v>1</v>
      </c>
      <c r="BH960" s="63" t="n">
        <f aca="false">IF(BD960&gt;0,J960/BD960,-1)</f>
        <v>0</v>
      </c>
      <c r="BI960" s="63" t="n">
        <f aca="false">IF(AND(OR(CG960="L1",CG960="L23",CG960="LIFT"),BD960&gt;0),SUMIFS($BD$7:$BD$1843,$CG$7:$CG$1843,CG960,$BH$7:$BH$1843,"&gt;"&amp;BH960)+SUMIFS($BD$7:$BD$1843,$CG$7:$CG$1843,CG960,$BH$7:$BH$1843,BH960,$BX$7:$BX$1843,"&lt;="&amp;BX960),"")</f>
        <v>28587.1876125287</v>
      </c>
      <c r="BJ960" s="70" t="n">
        <f aca="false">IF(BI960="",0,MAX(0,MIN(1,(IF(CG960="L1",Parameter!$H$5,IF(CG960="L23",Parameter!$H$6+Parameter!$H$7,Parameter!$H$5+Parameter!$H$6+Parameter!$H$7))-(BI960-BD960))/BD960)))</f>
        <v>1</v>
      </c>
      <c r="BK960" s="60" t="str">
        <f aca="false">IF(AJ960&lt;=0,"",IF(CG960="Aussen","Aussenlager",IF(CG960="-","Nicht im Lift",IF(AP960&gt;=1,"Lift",IF(AP960&lt;=0,"Aussenlager","teilweise")))))</f>
        <v>Lift</v>
      </c>
      <c r="BL960" s="60" t="str">
        <f aca="false">IF(AT960&lt;=0,"",IF(CG960="Aussen","Aussenlager",IF(CG960="-","Nicht im Lift",IF(AZ960&gt;=1,"Lift",IF(AZ960&lt;=0,"Aussenlager","teilweise")))))</f>
        <v>Lift</v>
      </c>
      <c r="BM960" s="60" t="str">
        <f aca="false">IF(BD960&lt;=0,"",IF(CG960="Aussen","Aussenlager",IF(CG960="-","Nicht im Lift",IF(BJ960&gt;=1,"Lift",IF(BJ960&lt;=0,"Aussenlager","teilweise")))))</f>
        <v>Lift</v>
      </c>
      <c r="BN960" s="60" t="str">
        <f aca="false">IF(A960="","",IF(BW960=1,"Neu; ","")&amp;IF(AND(BW960=0,BR960&lt;0),"negativer Bestand (Export "&amp;BR960&amp;"); ","")&amp;IF(J960&lt;=0,"Kein Verbrauch; ","")&amp;IF(CR960&gt;0,"Lift "&amp;W960&amp;" lt. Liftbericht (Fach "&amp;X960&amp;" Stk); ",IF(CB960=1,"Gebinde geschätzt ("&amp;T960&amp;"); ",IF(CA960=1,"Lose – Tablare geschätzt; ","")))&amp;IF(H960&gt;AW960,"Überbestand "&amp;ROUND(H960-AW960,0)&amp;" Stk / CHF "&amp;ROUND((H960-AW960)*G960,0)&amp;"; ","")&amp;IF(AND(CI960=1,CJ960&lt;CK960),"MAX &lt; MB+LG; ","")&amp;IF(AND(CQ960&gt;0,CP960*10&gt;CQ960),"zu hoch für Tablar; ","")&amp;IF(AND(BW960=0,OR(CI960=1,AB960&lt;&gt;"",U960&lt;&gt;"",V960&lt;&gt;"",AC960&lt;&gt;"")),"manuell übersteuert; ","")&amp;IF(AND(CA960=0,R960=0),"Gebinde unbekannt / Stellmass fehlt; ","")&amp;IF(AND(CA960=0,N(V960)&lt;=0,N(Q960)&lt;=0),"Menge pro Gebinde fehlt (Ist = 1 Gebinde); ","")&amp;BV960)</f>
        <v>negativer Bestand (Export -4); Kein Verbrauch; Überbestand 7 Stk / CHF 116; </v>
      </c>
      <c r="BO960" s="60"/>
      <c r="BP960" s="60"/>
      <c r="BQ960" s="67"/>
      <c r="BR960" s="62" t="n">
        <v>-4</v>
      </c>
      <c r="BS960" s="62" t="n">
        <v>12</v>
      </c>
      <c r="BT960" s="61" t="n">
        <v>-66.04</v>
      </c>
      <c r="BU960" s="62" t="n">
        <v>0</v>
      </c>
      <c r="BV960" s="60"/>
      <c r="BW960" s="65" t="n">
        <v>0</v>
      </c>
      <c r="BX960" s="65" t="n">
        <v>960</v>
      </c>
      <c r="BY960" s="60" t="str">
        <f aca="false">IF(U960&lt;&gt;"",UPPER(TRIM(U960)),IF(CB960=1,UPPER(VLOOKUP(T960,Parameter!$I$27:$K$29,2,0)),IF(P960="","LOSE",P960)))</f>
        <v>S33</v>
      </c>
      <c r="BZ960" s="62" t="n">
        <f aca="false">IF(BY960="LOSE",1,IF(N(V960)&gt;0,V960,IF(CB960=1,MAX(1,N(VLOOKUP(T960,Parameter!$I$27:$K$29,3,0)),H960,N(N960)),IF(N(Q960)&gt;0,Q960,MAX(1,H960)))))</f>
        <v>14</v>
      </c>
      <c r="CA960" s="65" t="n">
        <f aca="false">IF(BY960="LOSE",1,0)</f>
        <v>0</v>
      </c>
      <c r="CB960" s="65" t="n">
        <f aca="false">IF(AND(U960="",OR(P960="",P960="LOSE"),T960&lt;&gt;"",N(S960)&lt;=0,ISNUMBER(MATCH(T960,Parameter!$I$27:$I$29,0))),1,0)</f>
        <v>0</v>
      </c>
      <c r="CC960" s="65" t="n">
        <f aca="false">IF(CR960&gt;0,INDEX(Parameter!$H$5:$H$7,W960)/INDEX(Parameter!$E$5:$E$7,W960),IF(AND(CA960=0,N(IFERROR(VLOOKUP(BY960,'Gebinde-Kategorie'!$A$5:$N$45,14,0),0))&gt;0),VLOOKUP(BY960,'Gebinde-Kategorie'!$A$5:$N$45,14,0)*10+Parameter!$M$23,Parameter!$M$24))</f>
        <v>155</v>
      </c>
      <c r="CD960" s="60" t="str">
        <f aca="false">IF(AND(Parameter!$B$19="Ja",E960&lt;&gt;"",ISNUMBER(MATCH(E960,Parameter!$I$35:$I$52,0))),VLOOKUP(E960,Parameter!$I$35:$J$52,2,0),IFERROR(VLOOKUP(D960,Parameter!$A$35:$C$64,2,0),"Nein"))</f>
        <v>2+3</v>
      </c>
      <c r="CE960" s="64" t="n">
        <f aca="false">IF(CA960=0,0,IF(N(S960)&gt;0,S960,IFERROR(VLOOKUP(D960,Parameter!$A$35:$C$64,3,0)+0,0)))</f>
        <v>0</v>
      </c>
      <c r="CF960" s="60" t="n">
        <f aca="false">IF(AB960&lt;&gt;"",AB960,AA960)</f>
        <v>3</v>
      </c>
      <c r="CG960" s="60" t="str">
        <f aca="false">IF(OR(CF960=1,CF960=2,CF960=3),IF(Parameter!$E$27="Ja","LIFT",IF(CF960=1,"L1","L23")),IF(CF960="Aussen","Aussen","-"))</f>
        <v>LIFT</v>
      </c>
      <c r="CH960" s="71" t="n">
        <f aca="false">IF(N(AC960)&gt;0,AC960,0)</f>
        <v>0</v>
      </c>
      <c r="CI960" s="65" t="n">
        <f aca="false">IF(ISNUMBER(AF960),1,0)</f>
        <v>0</v>
      </c>
      <c r="CJ960" s="62" t="n">
        <f aca="false">N(AF960)</f>
        <v>0</v>
      </c>
      <c r="CK960" s="62" t="n">
        <f aca="false">N(M960)+N(N960)</f>
        <v>1</v>
      </c>
      <c r="CL960" s="62" t="n">
        <f aca="false">N(M960)</f>
        <v>0</v>
      </c>
      <c r="CM960" s="62" t="n">
        <f aca="false">N(N960)</f>
        <v>1</v>
      </c>
      <c r="CN960" s="62" t="n">
        <f aca="false">ROUNDUP(H960/BZ960,0)</f>
        <v>1</v>
      </c>
      <c r="CO960" s="62" t="n">
        <f aca="false">ROUNDUP(CJ960/BZ960,0)</f>
        <v>0</v>
      </c>
      <c r="CP960" s="65" t="n">
        <f aca="false">IF(CA960=1,0,IFERROR(VLOOKUP(BY960,'Gebinde-Kategorie'!$A$5:$N$45,5,0)+0,0))</f>
        <v>8</v>
      </c>
      <c r="CQ960" s="65" t="n">
        <f aca="false">IFERROR(IF(OR(CF960=1,CF960=2,CF960=3),N(INDEX(Parameter!$I$5:$I$7,CF960)),0),0)</f>
        <v>0</v>
      </c>
      <c r="CR960" s="64" t="n">
        <f aca="false">IF(AND(Parameter!$B$21="Ja",ISNUMBER(W960),N(X960)&gt;0),IFERROR(N(INDEX(Parameter!$L$5:$L$7,W960))*INDEX(Parameter!$E$5:$E$7,W960)*X960/SUMIFS($X$7:$X$1843,$W$7:$W$1843,W960),0),0)</f>
        <v>0</v>
      </c>
      <c r="CS960" s="62" t="n">
        <f aca="false">IF(AND(OR(CG960="L1",CG960="L23",CG960="LIFT"),H960&gt;0),CC960*IF(CR960&gt;0,CR960*MAX(1,H960/X960),IF(CA960=1,CE960,IF(R960&gt;0,CN960/R960,0))/MAX(0.1,N(Parameter!$M$21))),"")</f>
        <v>2.98076923076923</v>
      </c>
      <c r="CT960" s="64" t="n">
        <f aca="false">IF(CS960="","",J960/H960)</f>
        <v>0</v>
      </c>
      <c r="CU960" s="62" t="n">
        <f aca="false">IF(CS960="","",H960*G960)</f>
        <v>132.08</v>
      </c>
      <c r="CV960" s="63" t="n">
        <f aca="false">IF(CS960="","",(CL960+ROUNDUP(CL960+MAX(CM960,2*(J960/MAX(0.1,N(Einkauf!$C$6))-CL960)),0))/2)</f>
        <v>0.5</v>
      </c>
      <c r="CW960" s="62" t="n">
        <f aca="false">IF(CS960="","",MAX(0,H960-CV960)*G960)</f>
        <v>123.825</v>
      </c>
      <c r="CX960" s="62" t="n">
        <f aca="false">IF(CS960="","",CS960*MAX(0,1-CV960/H960))</f>
        <v>2.79447115384615</v>
      </c>
      <c r="CY960" s="64" t="n">
        <f aca="false">IF(CS960="","",PERCENTRANK($CS$7:$CS$1843,CS960)+PERCENTRANK($CU$7:$CU$1843,CU960)+1-PERCENTRANK($CT$7:$CT$1843,CT960))</f>
        <v>1.487</v>
      </c>
      <c r="CZ960" s="72" t="n">
        <f aca="false">IF(CS960="","",CHOOSE(MATCH(Einkauf!$C$5,Parameter!$G$23:$G$27,0),CY960,CS960,CU960,-CT960,CW960)+ROW()/1000000000)</f>
        <v>1.48700096</v>
      </c>
    </row>
    <row r="961" customFormat="false" ht="15" hidden="false" customHeight="false" outlineLevel="0" collapsed="false">
      <c r="A961" s="60" t="s">
        <v>1830</v>
      </c>
      <c r="B961" s="60" t="s">
        <v>1831</v>
      </c>
      <c r="C961" s="60" t="s">
        <v>206</v>
      </c>
      <c r="D961" s="60" t="s">
        <v>226</v>
      </c>
      <c r="E961" s="60" t="s">
        <v>227</v>
      </c>
      <c r="F961" s="60" t="s">
        <v>260</v>
      </c>
      <c r="G961" s="61" t="n">
        <v>67.24</v>
      </c>
      <c r="H961" s="62" t="n">
        <f aca="false">MAX(0,IF(AND(Parameter!$B$21="Ja",ISNUMBER(Y961)),Y961,IF(Parameter!$B$20="Jahresanfang 2025 + Export",BS961+BR961,BR961)))</f>
        <v>3</v>
      </c>
      <c r="I961" s="62" t="n">
        <f aca="false">H961*G961</f>
        <v>201.72</v>
      </c>
      <c r="J961" s="62" t="n">
        <f aca="false">BU961*Parameter!$B$18</f>
        <v>1</v>
      </c>
      <c r="K961" s="63" t="n">
        <v>4</v>
      </c>
      <c r="L961" s="64" t="n">
        <v>0.25</v>
      </c>
      <c r="M961" s="62" t="n">
        <v>0</v>
      </c>
      <c r="N961" s="62" t="n">
        <v>1</v>
      </c>
      <c r="O961" s="65" t="n">
        <v>21</v>
      </c>
      <c r="P961" s="60" t="s">
        <v>344</v>
      </c>
      <c r="Q961" s="62" t="n">
        <v>6</v>
      </c>
      <c r="R961" s="65" t="n">
        <f aca="false">IF(CA961=1,0,IFERROR(VLOOKUP(BY961,'Gebinde-Kategorie'!$A$5:$N$45,13,0)+0,0))</f>
        <v>26</v>
      </c>
      <c r="S961" s="66"/>
      <c r="T961" s="67"/>
      <c r="U961" s="67"/>
      <c r="V961" s="67"/>
      <c r="W961" s="60"/>
      <c r="X961" s="62"/>
      <c r="Y961" s="62"/>
      <c r="Z961" s="60" t="n">
        <v>3</v>
      </c>
      <c r="AA961" s="60" t="n">
        <f aca="false">IF(A961="","",IF(AND(Parameter!$B$21="Ja",ISNUMBER(W961)),W961,IF(AND(Parameter!$E$27="Ja",ISNUMBER(Z961),CD961&lt;&gt;"Nein"),Z961,IF(CD961="2+3",IF(ISNUMBER(SEARCH("grosser Artikel",BV961)),2,IFERROR(VLOOKUP(BY961,Parameter!$F$35:$G$64,2,0),2)),IF(OR(CD961="Nein",CD961=""),"-",CD961)))))</f>
        <v>3</v>
      </c>
      <c r="AB961" s="67"/>
      <c r="AC961" s="68"/>
      <c r="AD961" s="62" t="n">
        <f aca="false">AW961</f>
        <v>1</v>
      </c>
      <c r="AE961" s="62" t="n">
        <f aca="false">MAX(AW961,H961)</f>
        <v>3</v>
      </c>
      <c r="AF961" s="69"/>
      <c r="AG961" s="62" t="n">
        <f aca="false">IF(LEFT(Cockpit!$C$5,1)="A",H961,IF(Parameter!$E$30="MAX-Bestand",IF(CI961=1,CJ961,IF(LEFT(Cockpit!$C$5,1)="B",AM961,MAX(AM961,H961))),ROUNDUP(AK961,0)))</f>
        <v>3</v>
      </c>
      <c r="AH961" s="62" t="n">
        <f aca="false">IF(CA961=1,0,ROUNDUP(AG961/BZ961,0))</f>
        <v>1</v>
      </c>
      <c r="AI961" s="64" t="n">
        <f aca="false">IF(CR961&gt;0,CR961*MAX(1,AG961/X961),IF(CA961=1,IF(AG961&lt;=0,0,CE961*MAX(1,IF(H961&gt;0,AG961/H961,1))),IF(R961&gt;0,AH961/R961,0))/MAX(0.1,N(Parameter!$M$21)))</f>
        <v>0.0384615384615385</v>
      </c>
      <c r="AJ961" s="62" t="n">
        <f aca="false">AI961*CC961</f>
        <v>5.96153846153846</v>
      </c>
      <c r="AK961" s="63" t="n">
        <f aca="false">IF(LEFT(Cockpit!$C$5,1)="A",H961,IF(CI961=1,(CL961+CJ961)/2,IF(LEFT(Cockpit!$C$5,1)="B",(CL961+AM961)/2,MAX((CL961+AM961)/2,H961))))</f>
        <v>3</v>
      </c>
      <c r="AL961" s="62" t="n">
        <f aca="false">AK961*G961</f>
        <v>201.72</v>
      </c>
      <c r="AM961" s="62" t="n">
        <f aca="false">ROUNDUP(CL961+MAX(CM961,2*(J961/IF(CH961&gt;0,CH961,MAX(0.1,N(Cockpit!$C$6)))-CL961)),0)</f>
        <v>1</v>
      </c>
      <c r="AN961" s="63" t="n">
        <f aca="false">IF(AJ961&gt;0,J961/AJ961,-1)</f>
        <v>0.167741935483871</v>
      </c>
      <c r="AO961" s="63" t="n">
        <f aca="false">IF(AND(OR(CG961="L1",CG961="L23",CG961="LIFT"),AJ961&gt;0),SUMIFS($AJ$7:$AJ$1843,$CG$7:$CG$1843,CG961,$AN$7:$AN$1843,"&gt;"&amp;AN961)+SUMIFS($AJ$7:$AJ$1843,$CG$7:$CG$1843,CG961,$AN$7:$AN$1843,AN961,$BX$7:$BX$1843,"&lt;="&amp;BX961),"")</f>
        <v>12733.3875669999</v>
      </c>
      <c r="AP961" s="70" t="n">
        <f aca="false">IF(AO961="",0,MAX(0,MIN(1,(IF(CG961="L1",Parameter!$H$5,IF(CG961="L23",Parameter!$H$6+Parameter!$H$7,Parameter!$H$5+Parameter!$H$6+Parameter!$H$7))-(AO961-AJ961))/AJ961)))</f>
        <v>1</v>
      </c>
      <c r="AQ961" s="62" t="n">
        <f aca="false">IF(LEFT(Cockpit!$I$5,1)="A",H961,IF(Parameter!$E$30="MAX-Bestand",IF(CI961=1,CJ961,IF(LEFT(Cockpit!$I$5,1)="B",AW961,MAX(AW961,H961))),ROUNDUP(AU961,0)))</f>
        <v>3</v>
      </c>
      <c r="AR961" s="62" t="n">
        <f aca="false">IF(CA961=1,0,ROUNDUP(AQ961/BZ961,0))</f>
        <v>1</v>
      </c>
      <c r="AS961" s="64" t="n">
        <f aca="false">IF(CR961&gt;0,CR961*MAX(1,AQ961/X961),IF(CA961=1,IF(AQ961&lt;=0,0,CE961*MAX(1,IF(H961&gt;0,AQ961/H961,1))),IF(R961&gt;0,AR961/R961,0))/MAX(0.1,N(Parameter!$M$21)))</f>
        <v>0.0384615384615385</v>
      </c>
      <c r="AT961" s="62" t="n">
        <f aca="false">AS961*CC961</f>
        <v>5.96153846153846</v>
      </c>
      <c r="AU961" s="63" t="n">
        <f aca="false">IF(LEFT(Cockpit!$I$5,1)="A",H961,IF(CI961=1,(CL961+CJ961)/2,IF(LEFT(Cockpit!$I$5,1)="B",(CL961+AW961)/2,MAX((CL961+AW961)/2,H961))))</f>
        <v>3</v>
      </c>
      <c r="AV961" s="62" t="n">
        <f aca="false">AU961*G961</f>
        <v>201.72</v>
      </c>
      <c r="AW961" s="62" t="n">
        <f aca="false">ROUNDUP(CL961+MAX(CM961,2*(J961/IF(CH961&gt;0,CH961,MAX(0.1,N(Cockpit!$I$6)))-CL961)),0)</f>
        <v>1</v>
      </c>
      <c r="AX961" s="63" t="n">
        <f aca="false">IF(AT961&gt;0,J961/AT961,-1)</f>
        <v>0.167741935483871</v>
      </c>
      <c r="AY961" s="63" t="n">
        <f aca="false">IF(AND(OR(CG961="L1",CG961="L23",CG961="LIFT"),AT961&gt;0),SUMIFS($AT$7:$AT$1843,$CG$7:$CG$1843,CG961,$AX$7:$AX$1843,"&gt;"&amp;AX961)+SUMIFS($AT$7:$AT$1843,$CG$7:$CG$1843,CG961,$AX$7:$AX$1843,AX961,$BX$7:$BX$1843,"&lt;="&amp;BX961),"")</f>
        <v>15662.0682234432</v>
      </c>
      <c r="AZ961" s="70" t="n">
        <f aca="false">IF(AY961="",0,MAX(0,MIN(1,(IF(CG961="L1",Parameter!$H$5,IF(CG961="L23",Parameter!$H$6+Parameter!$H$7,Parameter!$H$5+Parameter!$H$6+Parameter!$H$7))-(AY961-AT961))/AT961)))</f>
        <v>1</v>
      </c>
      <c r="BA961" s="62" t="n">
        <f aca="false">IF(LEFT(Cockpit!$O$5,1)="A",H961,IF(Parameter!$E$30="MAX-Bestand",IF(CI961=1,CJ961,IF(LEFT(Cockpit!$O$5,1)="B",BG961,MAX(BG961,H961))),ROUNDUP(BE961,0)))</f>
        <v>1</v>
      </c>
      <c r="BB961" s="62" t="n">
        <f aca="false">IF(CA961=1,0,ROUNDUP(BA961/BZ961,0))</f>
        <v>1</v>
      </c>
      <c r="BC961" s="64" t="n">
        <f aca="false">IF(CR961&gt;0,CR961*MAX(1,BA961/X961),IF(CA961=1,IF(BA961&lt;=0,0,CE961*MAX(1,IF(H961&gt;0,BA961/H961,1))),IF(R961&gt;0,BB961/R961,0))/MAX(0.1,N(Parameter!$M$21)))</f>
        <v>0.0384615384615385</v>
      </c>
      <c r="BD961" s="62" t="n">
        <f aca="false">BC961*CC961</f>
        <v>5.96153846153846</v>
      </c>
      <c r="BE961" s="63" t="n">
        <f aca="false">IF(LEFT(Cockpit!$O$5,1)="A",H961,IF(CI961=1,(CL961+CJ961)/2,IF(LEFT(Cockpit!$O$5,1)="B",(CL961+BG961)/2,MAX((CL961+BG961)/2,H961))))</f>
        <v>0.5</v>
      </c>
      <c r="BF961" s="62" t="n">
        <f aca="false">BE961*G961</f>
        <v>33.62</v>
      </c>
      <c r="BG961" s="62" t="n">
        <f aca="false">ROUNDUP(CL961+MAX(CM961,2*(J961/IF(CH961&gt;0,CH961,MAX(0.1,N(Cockpit!$O$6)))-CL961)),0)</f>
        <v>1</v>
      </c>
      <c r="BH961" s="63" t="n">
        <f aca="false">IF(BD961&gt;0,J961/BD961,-1)</f>
        <v>0.167741935483871</v>
      </c>
      <c r="BI961" s="63" t="n">
        <f aca="false">IF(AND(OR(CG961="L1",CG961="L23",CG961="LIFT"),BD961&gt;0),SUMIFS($BD$7:$BD$1843,$CG$7:$CG$1843,CG961,$BH$7:$BH$1843,"&gt;"&amp;BH961)+SUMIFS($BD$7:$BD$1843,$CG$7:$CG$1843,CG961,$BH$7:$BH$1843,BH961,$BX$7:$BX$1843,"&lt;="&amp;BX961),"")</f>
        <v>13464.3680516753</v>
      </c>
      <c r="BJ961" s="70" t="n">
        <f aca="false">IF(BI961="",0,MAX(0,MIN(1,(IF(CG961="L1",Parameter!$H$5,IF(CG961="L23",Parameter!$H$6+Parameter!$H$7,Parameter!$H$5+Parameter!$H$6+Parameter!$H$7))-(BI961-BD961))/BD961)))</f>
        <v>1</v>
      </c>
      <c r="BK961" s="60" t="str">
        <f aca="false">IF(AJ961&lt;=0,"",IF(CG961="Aussen","Aussenlager",IF(CG961="-","Nicht im Lift",IF(AP961&gt;=1,"Lift",IF(AP961&lt;=0,"Aussenlager","teilweise")))))</f>
        <v>Lift</v>
      </c>
      <c r="BL961" s="60" t="str">
        <f aca="false">IF(AT961&lt;=0,"",IF(CG961="Aussen","Aussenlager",IF(CG961="-","Nicht im Lift",IF(AZ961&gt;=1,"Lift",IF(AZ961&lt;=0,"Aussenlager","teilweise")))))</f>
        <v>Lift</v>
      </c>
      <c r="BM961" s="60" t="str">
        <f aca="false">IF(BD961&lt;=0,"",IF(CG961="Aussen","Aussenlager",IF(CG961="-","Nicht im Lift",IF(BJ961&gt;=1,"Lift",IF(BJ961&lt;=0,"Aussenlager","teilweise")))))</f>
        <v>Lift</v>
      </c>
      <c r="BN961" s="60" t="str">
        <f aca="false">IF(A961="","",IF(BW961=1,"Neu; ","")&amp;IF(AND(BW961=0,BR961&lt;0),"negativer Bestand (Export "&amp;BR961&amp;"); ","")&amp;IF(J961&lt;=0,"Kein Verbrauch; ","")&amp;IF(CR961&gt;0,"Lift "&amp;W961&amp;" lt. Liftbericht (Fach "&amp;X961&amp;" Stk); ",IF(CB961=1,"Gebinde geschätzt ("&amp;T961&amp;"); ",IF(CA961=1,"Lose – Tablare geschätzt; ","")))&amp;IF(H961&gt;AW961,"Überbestand "&amp;ROUND(H961-AW961,0)&amp;" Stk / CHF "&amp;ROUND((H961-AW961)*G961,0)&amp;"; ","")&amp;IF(AND(CI961=1,CJ961&lt;CK961),"MAX &lt; MB+LG; ","")&amp;IF(AND(CQ961&gt;0,CP961*10&gt;CQ961),"zu hoch für Tablar; ","")&amp;IF(AND(BW961=0,OR(CI961=1,AB961&lt;&gt;"",U961&lt;&gt;"",V961&lt;&gt;"",AC961&lt;&gt;"")),"manuell übersteuert; ","")&amp;IF(AND(CA961=0,R961=0),"Gebinde unbekannt / Stellmass fehlt; ","")&amp;IF(AND(CA961=0,N(V961)&lt;=0,N(Q961)&lt;=0),"Menge pro Gebinde fehlt (Ist = 1 Gebinde); ","")&amp;BV961)</f>
        <v>negativer Bestand (Export -1); Überbestand 2 Stk / CHF 134; </v>
      </c>
      <c r="BO961" s="60"/>
      <c r="BP961" s="60"/>
      <c r="BQ961" s="67"/>
      <c r="BR961" s="62" t="n">
        <v>-1</v>
      </c>
      <c r="BS961" s="62" t="n">
        <v>4</v>
      </c>
      <c r="BT961" s="61" t="n">
        <v>-67.24</v>
      </c>
      <c r="BU961" s="62" t="n">
        <v>1</v>
      </c>
      <c r="BV961" s="60"/>
      <c r="BW961" s="65" t="n">
        <v>0</v>
      </c>
      <c r="BX961" s="65" t="n">
        <v>961</v>
      </c>
      <c r="BY961" s="60" t="str">
        <f aca="false">IF(U961&lt;&gt;"",UPPER(TRIM(U961)),IF(CB961=1,UPPER(VLOOKUP(T961,Parameter!$I$27:$K$29,2,0)),IF(P961="","LOSE",P961)))</f>
        <v>S51</v>
      </c>
      <c r="BZ961" s="62" t="n">
        <f aca="false">IF(BY961="LOSE",1,IF(N(V961)&gt;0,V961,IF(CB961=1,MAX(1,N(VLOOKUP(T961,Parameter!$I$27:$K$29,3,0)),H961,N(N961)),IF(N(Q961)&gt;0,Q961,MAX(1,H961)))))</f>
        <v>6</v>
      </c>
      <c r="CA961" s="65" t="n">
        <f aca="false">IF(BY961="LOSE",1,0)</f>
        <v>0</v>
      </c>
      <c r="CB961" s="65" t="n">
        <f aca="false">IF(AND(U961="",OR(P961="",P961="LOSE"),T961&lt;&gt;"",N(S961)&lt;=0,ISNUMBER(MATCH(T961,Parameter!$I$27:$I$29,0))),1,0)</f>
        <v>0</v>
      </c>
      <c r="CC961" s="65" t="n">
        <f aca="false">IF(CR961&gt;0,INDEX(Parameter!$H$5:$H$7,W961)/INDEX(Parameter!$E$5:$E$7,W961),IF(AND(CA961=0,N(IFERROR(VLOOKUP(BY961,'Gebinde-Kategorie'!$A$5:$N$45,14,0),0))&gt;0),VLOOKUP(BY961,'Gebinde-Kategorie'!$A$5:$N$45,14,0)*10+Parameter!$M$23,Parameter!$M$24))</f>
        <v>155</v>
      </c>
      <c r="CD961" s="60" t="str">
        <f aca="false">IF(AND(Parameter!$B$19="Ja",E961&lt;&gt;"",ISNUMBER(MATCH(E961,Parameter!$I$35:$I$52,0))),VLOOKUP(E961,Parameter!$I$35:$J$52,2,0),IFERROR(VLOOKUP(D961,Parameter!$A$35:$C$64,2,0),"Nein"))</f>
        <v>2+3</v>
      </c>
      <c r="CE961" s="64" t="n">
        <f aca="false">IF(CA961=0,0,IF(N(S961)&gt;0,S961,IFERROR(VLOOKUP(D961,Parameter!$A$35:$C$64,3,0)+0,0)))</f>
        <v>0</v>
      </c>
      <c r="CF961" s="60" t="n">
        <f aca="false">IF(AB961&lt;&gt;"",AB961,AA961)</f>
        <v>3</v>
      </c>
      <c r="CG961" s="60" t="str">
        <f aca="false">IF(OR(CF961=1,CF961=2,CF961=3),IF(Parameter!$E$27="Ja","LIFT",IF(CF961=1,"L1","L23")),IF(CF961="Aussen","Aussen","-"))</f>
        <v>LIFT</v>
      </c>
      <c r="CH961" s="71" t="n">
        <f aca="false">IF(N(AC961)&gt;0,AC961,0)</f>
        <v>0</v>
      </c>
      <c r="CI961" s="65" t="n">
        <f aca="false">IF(ISNUMBER(AF961),1,0)</f>
        <v>0</v>
      </c>
      <c r="CJ961" s="62" t="n">
        <f aca="false">N(AF961)</f>
        <v>0</v>
      </c>
      <c r="CK961" s="62" t="n">
        <f aca="false">N(M961)+N(N961)</f>
        <v>1</v>
      </c>
      <c r="CL961" s="62" t="n">
        <f aca="false">N(M961)</f>
        <v>0</v>
      </c>
      <c r="CM961" s="62" t="n">
        <f aca="false">N(N961)</f>
        <v>1</v>
      </c>
      <c r="CN961" s="62" t="n">
        <f aca="false">ROUNDUP(H961/BZ961,0)</f>
        <v>1</v>
      </c>
      <c r="CO961" s="62" t="n">
        <f aca="false">ROUNDUP(CJ961/BZ961,0)</f>
        <v>0</v>
      </c>
      <c r="CP961" s="65" t="n">
        <f aca="false">IF(CA961=1,0,IFERROR(VLOOKUP(BY961,'Gebinde-Kategorie'!$A$5:$N$45,5,0)+0,0))</f>
        <v>11</v>
      </c>
      <c r="CQ961" s="65" t="n">
        <f aca="false">IFERROR(IF(OR(CF961=1,CF961=2,CF961=3),N(INDEX(Parameter!$I$5:$I$7,CF961)),0),0)</f>
        <v>0</v>
      </c>
      <c r="CR961" s="64" t="n">
        <f aca="false">IF(AND(Parameter!$B$21="Ja",ISNUMBER(W961),N(X961)&gt;0),IFERROR(N(INDEX(Parameter!$L$5:$L$7,W961))*INDEX(Parameter!$E$5:$E$7,W961)*X961/SUMIFS($X$7:$X$1843,$W$7:$W$1843,W961),0),0)</f>
        <v>0</v>
      </c>
      <c r="CS961" s="62" t="n">
        <f aca="false">IF(AND(OR(CG961="L1",CG961="L23",CG961="LIFT"),H961&gt;0),CC961*IF(CR961&gt;0,CR961*MAX(1,H961/X961),IF(CA961=1,CE961,IF(R961&gt;0,CN961/R961,0))/MAX(0.1,N(Parameter!$M$21))),"")</f>
        <v>5.96153846153846</v>
      </c>
      <c r="CT961" s="64" t="n">
        <f aca="false">IF(CS961="","",J961/H961)</f>
        <v>0.333333333333333</v>
      </c>
      <c r="CU961" s="62" t="n">
        <f aca="false">IF(CS961="","",H961*G961)</f>
        <v>201.72</v>
      </c>
      <c r="CV961" s="63" t="n">
        <f aca="false">IF(CS961="","",(CL961+ROUNDUP(CL961+MAX(CM961,2*(J961/MAX(0.1,N(Einkauf!$C$6))-CL961)),0))/2)</f>
        <v>0.5</v>
      </c>
      <c r="CW961" s="62" t="n">
        <f aca="false">IF(CS961="","",MAX(0,H961-CV961)*G961)</f>
        <v>168.1</v>
      </c>
      <c r="CX961" s="62" t="n">
        <f aca="false">IF(CS961="","",CS961*MAX(0,1-CV961/H961))</f>
        <v>4.96794871794872</v>
      </c>
      <c r="CY961" s="64" t="n">
        <f aca="false">IF(CS961="","",PERCENTRANK($CS$7:$CS$1843,CS961)+PERCENTRANK($CU$7:$CU$1843,CU961)+1-PERCENTRANK($CT$7:$CT$1843,CT961))</f>
        <v>1.193</v>
      </c>
      <c r="CZ961" s="72" t="n">
        <f aca="false">IF(CS961="","",CHOOSE(MATCH(Einkauf!$C$5,Parameter!$G$23:$G$27,0),CY961,CS961,CU961,-CT961,CW961)+ROW()/1000000000)</f>
        <v>1.193000961</v>
      </c>
    </row>
    <row r="962" customFormat="false" ht="15" hidden="false" customHeight="false" outlineLevel="0" collapsed="false">
      <c r="A962" s="60" t="s">
        <v>1832</v>
      </c>
      <c r="B962" s="60" t="s">
        <v>1833</v>
      </c>
      <c r="C962" s="60" t="s">
        <v>206</v>
      </c>
      <c r="D962" s="60" t="s">
        <v>226</v>
      </c>
      <c r="E962" s="60" t="s">
        <v>227</v>
      </c>
      <c r="F962" s="60" t="s">
        <v>260</v>
      </c>
      <c r="G962" s="61" t="n">
        <v>68.34</v>
      </c>
      <c r="H962" s="62" t="n">
        <f aca="false">MAX(0,IF(AND(Parameter!$B$21="Ja",ISNUMBER(Y962)),Y962,IF(Parameter!$B$20="Jahresanfang 2025 + Export",BS962+BR962,BR962)))</f>
        <v>7</v>
      </c>
      <c r="I962" s="62" t="n">
        <f aca="false">H962*G962</f>
        <v>478.38</v>
      </c>
      <c r="J962" s="62" t="n">
        <f aca="false">BU962*Parameter!$B$18</f>
        <v>3</v>
      </c>
      <c r="K962" s="63" t="n">
        <v>7</v>
      </c>
      <c r="L962" s="64" t="n">
        <v>0.428571428571429</v>
      </c>
      <c r="M962" s="62" t="n">
        <v>0</v>
      </c>
      <c r="N962" s="62" t="n">
        <v>5</v>
      </c>
      <c r="O962" s="65" t="n">
        <v>14</v>
      </c>
      <c r="P962" s="60" t="s">
        <v>335</v>
      </c>
      <c r="Q962" s="62" t="n">
        <v>13</v>
      </c>
      <c r="R962" s="65" t="n">
        <f aca="false">IF(CA962=1,0,IFERROR(VLOOKUP(BY962,'Gebinde-Kategorie'!$A$5:$N$45,13,0)+0,0))</f>
        <v>12</v>
      </c>
      <c r="S962" s="66"/>
      <c r="T962" s="67"/>
      <c r="U962" s="67"/>
      <c r="V962" s="67"/>
      <c r="W962" s="60"/>
      <c r="X962" s="62"/>
      <c r="Y962" s="62"/>
      <c r="Z962" s="60" t="n">
        <v>3</v>
      </c>
      <c r="AA962" s="60" t="n">
        <f aca="false">IF(A962="","",IF(AND(Parameter!$B$21="Ja",ISNUMBER(W962)),W962,IF(AND(Parameter!$E$27="Ja",ISNUMBER(Z962),CD962&lt;&gt;"Nein"),Z962,IF(CD962="2+3",IF(ISNUMBER(SEARCH("grosser Artikel",BV962)),2,IFERROR(VLOOKUP(BY962,Parameter!$F$35:$G$64,2,0),2)),IF(OR(CD962="Nein",CD962=""),"-",CD962)))))</f>
        <v>3</v>
      </c>
      <c r="AB962" s="67"/>
      <c r="AC962" s="68"/>
      <c r="AD962" s="62" t="n">
        <f aca="false">AW962</f>
        <v>5</v>
      </c>
      <c r="AE962" s="62" t="n">
        <f aca="false">MAX(AW962,H962)</f>
        <v>7</v>
      </c>
      <c r="AF962" s="69"/>
      <c r="AG962" s="62" t="n">
        <f aca="false">IF(LEFT(Cockpit!$C$5,1)="A",H962,IF(Parameter!$E$30="MAX-Bestand",IF(CI962=1,CJ962,IF(LEFT(Cockpit!$C$5,1)="B",AM962,MAX(AM962,H962))),ROUNDUP(AK962,0)))</f>
        <v>7</v>
      </c>
      <c r="AH962" s="62" t="n">
        <f aca="false">IF(CA962=1,0,ROUNDUP(AG962/BZ962,0))</f>
        <v>1</v>
      </c>
      <c r="AI962" s="64" t="n">
        <f aca="false">IF(CR962&gt;0,CR962*MAX(1,AG962/X962),IF(CA962=1,IF(AG962&lt;=0,0,CE962*MAX(1,IF(H962&gt;0,AG962/H962,1))),IF(R962&gt;0,AH962/R962,0))/MAX(0.1,N(Parameter!$M$21)))</f>
        <v>0.0833333333333333</v>
      </c>
      <c r="AJ962" s="62" t="n">
        <f aca="false">AI962*CC962</f>
        <v>20.4166666666667</v>
      </c>
      <c r="AK962" s="63" t="n">
        <f aca="false">IF(LEFT(Cockpit!$C$5,1)="A",H962,IF(CI962=1,(CL962+CJ962)/2,IF(LEFT(Cockpit!$C$5,1)="B",(CL962+AM962)/2,MAX((CL962+AM962)/2,H962))))</f>
        <v>7</v>
      </c>
      <c r="AL962" s="62" t="n">
        <f aca="false">AK962*G962</f>
        <v>478.38</v>
      </c>
      <c r="AM962" s="62" t="n">
        <f aca="false">ROUNDUP(CL962+MAX(CM962,2*(J962/IF(CH962&gt;0,CH962,MAX(0.1,N(Cockpit!$C$6)))-CL962)),0)</f>
        <v>5</v>
      </c>
      <c r="AN962" s="63" t="n">
        <f aca="false">IF(AJ962&gt;0,J962/AJ962,-1)</f>
        <v>0.146938775510204</v>
      </c>
      <c r="AO962" s="63" t="n">
        <f aca="false">IF(AND(OR(CG962="L1",CG962="L23",CG962="LIFT"),AJ962&gt;0),SUMIFS($AJ$7:$AJ$1843,$CG$7:$CG$1843,CG962,$AN$7:$AN$1843,"&gt;"&amp;AN962)+SUMIFS($AJ$7:$AJ$1843,$CG$7:$CG$1843,CG962,$AN$7:$AN$1843,AN962,$BX$7:$BX$1843,"&lt;="&amp;BX962),"")</f>
        <v>13042.9067977691</v>
      </c>
      <c r="AP962" s="70" t="n">
        <f aca="false">IF(AO962="",0,MAX(0,MIN(1,(IF(CG962="L1",Parameter!$H$5,IF(CG962="L23",Parameter!$H$6+Parameter!$H$7,Parameter!$H$5+Parameter!$H$6+Parameter!$H$7))-(AO962-AJ962))/AJ962)))</f>
        <v>1</v>
      </c>
      <c r="AQ962" s="62" t="n">
        <f aca="false">IF(LEFT(Cockpit!$I$5,1)="A",H962,IF(Parameter!$E$30="MAX-Bestand",IF(CI962=1,CJ962,IF(LEFT(Cockpit!$I$5,1)="B",AW962,MAX(AW962,H962))),ROUNDUP(AU962,0)))</f>
        <v>7</v>
      </c>
      <c r="AR962" s="62" t="n">
        <f aca="false">IF(CA962=1,0,ROUNDUP(AQ962/BZ962,0))</f>
        <v>1</v>
      </c>
      <c r="AS962" s="64" t="n">
        <f aca="false">IF(CR962&gt;0,CR962*MAX(1,AQ962/X962),IF(CA962=1,IF(AQ962&lt;=0,0,CE962*MAX(1,IF(H962&gt;0,AQ962/H962,1))),IF(R962&gt;0,AR962/R962,0))/MAX(0.1,N(Parameter!$M$21)))</f>
        <v>0.0833333333333333</v>
      </c>
      <c r="AT962" s="62" t="n">
        <f aca="false">AS962*CC962</f>
        <v>20.4166666666667</v>
      </c>
      <c r="AU962" s="63" t="n">
        <f aca="false">IF(LEFT(Cockpit!$I$5,1)="A",H962,IF(CI962=1,(CL962+CJ962)/2,IF(LEFT(Cockpit!$I$5,1)="B",(CL962+AW962)/2,MAX((CL962+AW962)/2,H962))))</f>
        <v>7</v>
      </c>
      <c r="AV962" s="62" t="n">
        <f aca="false">AU962*G962</f>
        <v>478.38</v>
      </c>
      <c r="AW962" s="62" t="n">
        <f aca="false">ROUNDUP(CL962+MAX(CM962,2*(J962/IF(CH962&gt;0,CH962,MAX(0.1,N(Cockpit!$I$6)))-CL962)),0)</f>
        <v>5</v>
      </c>
      <c r="AX962" s="63" t="n">
        <f aca="false">IF(AT962&gt;0,J962/AT962,-1)</f>
        <v>0.146938775510204</v>
      </c>
      <c r="AY962" s="63" t="n">
        <f aca="false">IF(AND(OR(CG962="L1",CG962="L23",CG962="LIFT"),AT962&gt;0),SUMIFS($AT$7:$AT$1843,$CG$7:$CG$1843,CG962,$AX$7:$AX$1843,"&gt;"&amp;AX962)+SUMIFS($AT$7:$AT$1843,$CG$7:$CG$1843,CG962,$AX$7:$AX$1843,AX962,$BX$7:$BX$1843,"&lt;="&amp;BX962),"")</f>
        <v>17067.3054391465</v>
      </c>
      <c r="AZ962" s="70" t="n">
        <f aca="false">IF(AY962="",0,MAX(0,MIN(1,(IF(CG962="L1",Parameter!$H$5,IF(CG962="L23",Parameter!$H$6+Parameter!$H$7,Parameter!$H$5+Parameter!$H$6+Parameter!$H$7))-(AY962-AT962))/AT962)))</f>
        <v>1</v>
      </c>
      <c r="BA962" s="62" t="n">
        <f aca="false">IF(LEFT(Cockpit!$O$5,1)="A",H962,IF(Parameter!$E$30="MAX-Bestand",IF(CI962=1,CJ962,IF(LEFT(Cockpit!$O$5,1)="B",BG962,MAX(BG962,H962))),ROUNDUP(BE962,0)))</f>
        <v>3</v>
      </c>
      <c r="BB962" s="62" t="n">
        <f aca="false">IF(CA962=1,0,ROUNDUP(BA962/BZ962,0))</f>
        <v>1</v>
      </c>
      <c r="BC962" s="64" t="n">
        <f aca="false">IF(CR962&gt;0,CR962*MAX(1,BA962/X962),IF(CA962=1,IF(BA962&lt;=0,0,CE962*MAX(1,IF(H962&gt;0,BA962/H962,1))),IF(R962&gt;0,BB962/R962,0))/MAX(0.1,N(Parameter!$M$21)))</f>
        <v>0.0833333333333333</v>
      </c>
      <c r="BD962" s="62" t="n">
        <f aca="false">BC962*CC962</f>
        <v>20.4166666666667</v>
      </c>
      <c r="BE962" s="63" t="n">
        <f aca="false">IF(LEFT(Cockpit!$O$5,1)="A",H962,IF(CI962=1,(CL962+CJ962)/2,IF(LEFT(Cockpit!$O$5,1)="B",(CL962+BG962)/2,MAX((CL962+BG962)/2,H962))))</f>
        <v>2.5</v>
      </c>
      <c r="BF962" s="62" t="n">
        <f aca="false">BE962*G962</f>
        <v>170.85</v>
      </c>
      <c r="BG962" s="62" t="n">
        <f aca="false">ROUNDUP(CL962+MAX(CM962,2*(J962/IF(CH962&gt;0,CH962,MAX(0.1,N(Cockpit!$O$6)))-CL962)),0)</f>
        <v>5</v>
      </c>
      <c r="BH962" s="63" t="n">
        <f aca="false">IF(BD962&gt;0,J962/BD962,-1)</f>
        <v>0.146938775510204</v>
      </c>
      <c r="BI962" s="63" t="n">
        <f aca="false">IF(AND(OR(CG962="L1",CG962="L23",CG962="LIFT"),BD962&gt;0),SUMIFS($BD$7:$BD$1843,$CG$7:$CG$1843,CG962,$BH$7:$BH$1843,"&gt;"&amp;BH962)+SUMIFS($BD$7:$BD$1843,$CG$7:$CG$1843,CG962,$BH$7:$BH$1843,BH962,$BX$7:$BX$1843,"&lt;="&amp;BX962),"")</f>
        <v>13841.8039491112</v>
      </c>
      <c r="BJ962" s="70" t="n">
        <f aca="false">IF(BI962="",0,MAX(0,MIN(1,(IF(CG962="L1",Parameter!$H$5,IF(CG962="L23",Parameter!$H$6+Parameter!$H$7,Parameter!$H$5+Parameter!$H$6+Parameter!$H$7))-(BI962-BD962))/BD962)))</f>
        <v>1</v>
      </c>
      <c r="BK962" s="60" t="str">
        <f aca="false">IF(AJ962&lt;=0,"",IF(CG962="Aussen","Aussenlager",IF(CG962="-","Nicht im Lift",IF(AP962&gt;=1,"Lift",IF(AP962&lt;=0,"Aussenlager","teilweise")))))</f>
        <v>Lift</v>
      </c>
      <c r="BL962" s="60" t="str">
        <f aca="false">IF(AT962&lt;=0,"",IF(CG962="Aussen","Aussenlager",IF(CG962="-","Nicht im Lift",IF(AZ962&gt;=1,"Lift",IF(AZ962&lt;=0,"Aussenlager","teilweise")))))</f>
        <v>Lift</v>
      </c>
      <c r="BM962" s="60" t="str">
        <f aca="false">IF(BD962&lt;=0,"",IF(CG962="Aussen","Aussenlager",IF(CG962="-","Nicht im Lift",IF(BJ962&gt;=1,"Lift",IF(BJ962&lt;=0,"Aussenlager","teilweise")))))</f>
        <v>Lift</v>
      </c>
      <c r="BN962" s="60" t="str">
        <f aca="false">IF(A962="","",IF(BW962=1,"Neu; ","")&amp;IF(AND(BW962=0,BR962&lt;0),"negativer Bestand (Export "&amp;BR962&amp;"); ","")&amp;IF(J962&lt;=0,"Kein Verbrauch; ","")&amp;IF(CR962&gt;0,"Lift "&amp;W962&amp;" lt. Liftbericht (Fach "&amp;X962&amp;" Stk); ",IF(CB962=1,"Gebinde geschätzt ("&amp;T962&amp;"); ",IF(CA962=1,"Lose – Tablare geschätzt; ","")))&amp;IF(H962&gt;AW962,"Überbestand "&amp;ROUND(H962-AW962,0)&amp;" Stk / CHF "&amp;ROUND((H962-AW962)*G962,0)&amp;"; ","")&amp;IF(AND(CI962=1,CJ962&lt;CK962),"MAX &lt; MB+LG; ","")&amp;IF(AND(CQ962&gt;0,CP962*10&gt;CQ962),"zu hoch für Tablar; ","")&amp;IF(AND(BW962=0,OR(CI962=1,AB962&lt;&gt;"",U962&lt;&gt;"",V962&lt;&gt;"",AC962&lt;&gt;"")),"manuell übersteuert; ","")&amp;IF(AND(CA962=0,R962=0),"Gebinde unbekannt / Stellmass fehlt; ","")&amp;IF(AND(CA962=0,N(V962)&lt;=0,N(Q962)&lt;=0),"Menge pro Gebinde fehlt (Ist = 1 Gebinde); ","")&amp;BV962)</f>
        <v>negativer Bestand (Export -1); Überbestand 2 Stk / CHF 137; </v>
      </c>
      <c r="BO962" s="60"/>
      <c r="BP962" s="60"/>
      <c r="BQ962" s="67"/>
      <c r="BR962" s="62" t="n">
        <v>-1</v>
      </c>
      <c r="BS962" s="62" t="n">
        <v>8</v>
      </c>
      <c r="BT962" s="61" t="n">
        <v>-68.34</v>
      </c>
      <c r="BU962" s="62" t="n">
        <v>3</v>
      </c>
      <c r="BV962" s="60"/>
      <c r="BW962" s="65" t="n">
        <v>0</v>
      </c>
      <c r="BX962" s="65" t="n">
        <v>962</v>
      </c>
      <c r="BY962" s="60" t="str">
        <f aca="false">IF(U962&lt;&gt;"",UPPER(TRIM(U962)),IF(CB962=1,UPPER(VLOOKUP(T962,Parameter!$I$27:$K$29,2,0)),IF(P962="","LOSE",P962)))</f>
        <v>S62</v>
      </c>
      <c r="BZ962" s="62" t="n">
        <f aca="false">IF(BY962="LOSE",1,IF(N(V962)&gt;0,V962,IF(CB962=1,MAX(1,N(VLOOKUP(T962,Parameter!$I$27:$K$29,3,0)),H962,N(N962)),IF(N(Q962)&gt;0,Q962,MAX(1,H962)))))</f>
        <v>13</v>
      </c>
      <c r="CA962" s="65" t="n">
        <f aca="false">IF(BY962="LOSE",1,0)</f>
        <v>0</v>
      </c>
      <c r="CB962" s="65" t="n">
        <f aca="false">IF(AND(U962="",OR(P962="",P962="LOSE"),T962&lt;&gt;"",N(S962)&lt;=0,ISNUMBER(MATCH(T962,Parameter!$I$27:$I$29,0))),1,0)</f>
        <v>0</v>
      </c>
      <c r="CC962" s="65" t="n">
        <f aca="false">IF(CR962&gt;0,INDEX(Parameter!$H$5:$H$7,W962)/INDEX(Parameter!$E$5:$E$7,W962),IF(AND(CA962=0,N(IFERROR(VLOOKUP(BY962,'Gebinde-Kategorie'!$A$5:$N$45,14,0),0))&gt;0),VLOOKUP(BY962,'Gebinde-Kategorie'!$A$5:$N$45,14,0)*10+Parameter!$M$23,Parameter!$M$24))</f>
        <v>245</v>
      </c>
      <c r="CD962" s="60" t="str">
        <f aca="false">IF(AND(Parameter!$B$19="Ja",E962&lt;&gt;"",ISNUMBER(MATCH(E962,Parameter!$I$35:$I$52,0))),VLOOKUP(E962,Parameter!$I$35:$J$52,2,0),IFERROR(VLOOKUP(D962,Parameter!$A$35:$C$64,2,0),"Nein"))</f>
        <v>2+3</v>
      </c>
      <c r="CE962" s="64" t="n">
        <f aca="false">IF(CA962=0,0,IF(N(S962)&gt;0,S962,IFERROR(VLOOKUP(D962,Parameter!$A$35:$C$64,3,0)+0,0)))</f>
        <v>0</v>
      </c>
      <c r="CF962" s="60" t="n">
        <f aca="false">IF(AB962&lt;&gt;"",AB962,AA962)</f>
        <v>3</v>
      </c>
      <c r="CG962" s="60" t="str">
        <f aca="false">IF(OR(CF962=1,CF962=2,CF962=3),IF(Parameter!$E$27="Ja","LIFT",IF(CF962=1,"L1","L23")),IF(CF962="Aussen","Aussen","-"))</f>
        <v>LIFT</v>
      </c>
      <c r="CH962" s="71" t="n">
        <f aca="false">IF(N(AC962)&gt;0,AC962,0)</f>
        <v>0</v>
      </c>
      <c r="CI962" s="65" t="n">
        <f aca="false">IF(ISNUMBER(AF962),1,0)</f>
        <v>0</v>
      </c>
      <c r="CJ962" s="62" t="n">
        <f aca="false">N(AF962)</f>
        <v>0</v>
      </c>
      <c r="CK962" s="62" t="n">
        <f aca="false">N(M962)+N(N962)</f>
        <v>5</v>
      </c>
      <c r="CL962" s="62" t="n">
        <f aca="false">N(M962)</f>
        <v>0</v>
      </c>
      <c r="CM962" s="62" t="n">
        <f aca="false">N(N962)</f>
        <v>5</v>
      </c>
      <c r="CN962" s="62" t="n">
        <f aca="false">ROUNDUP(H962/BZ962,0)</f>
        <v>1</v>
      </c>
      <c r="CO962" s="62" t="n">
        <f aca="false">ROUNDUP(CJ962/BZ962,0)</f>
        <v>0</v>
      </c>
      <c r="CP962" s="65" t="n">
        <f aca="false">IF(CA962=1,0,IFERROR(VLOOKUP(BY962,'Gebinde-Kategorie'!$A$5:$N$45,5,0)+0,0))</f>
        <v>21</v>
      </c>
      <c r="CQ962" s="65" t="n">
        <f aca="false">IFERROR(IF(OR(CF962=1,CF962=2,CF962=3),N(INDEX(Parameter!$I$5:$I$7,CF962)),0),0)</f>
        <v>0</v>
      </c>
      <c r="CR962" s="64" t="n">
        <f aca="false">IF(AND(Parameter!$B$21="Ja",ISNUMBER(W962),N(X962)&gt;0),IFERROR(N(INDEX(Parameter!$L$5:$L$7,W962))*INDEX(Parameter!$E$5:$E$7,W962)*X962/SUMIFS($X$7:$X$1843,$W$7:$W$1843,W962),0),0)</f>
        <v>0</v>
      </c>
      <c r="CS962" s="62" t="n">
        <f aca="false">IF(AND(OR(CG962="L1",CG962="L23",CG962="LIFT"),H962&gt;0),CC962*IF(CR962&gt;0,CR962*MAX(1,H962/X962),IF(CA962=1,CE962,IF(R962&gt;0,CN962/R962,0))/MAX(0.1,N(Parameter!$M$21))),"")</f>
        <v>20.4166666666667</v>
      </c>
      <c r="CT962" s="64" t="n">
        <f aca="false">IF(CS962="","",J962/H962)</f>
        <v>0.428571428571429</v>
      </c>
      <c r="CU962" s="62" t="n">
        <f aca="false">IF(CS962="","",H962*G962)</f>
        <v>478.38</v>
      </c>
      <c r="CV962" s="63" t="n">
        <f aca="false">IF(CS962="","",(CL962+ROUNDUP(CL962+MAX(CM962,2*(J962/MAX(0.1,N(Einkauf!$C$6))-CL962)),0))/2)</f>
        <v>2.5</v>
      </c>
      <c r="CW962" s="62" t="n">
        <f aca="false">IF(CS962="","",MAX(0,H962-CV962)*G962)</f>
        <v>307.53</v>
      </c>
      <c r="CX962" s="62" t="n">
        <f aca="false">IF(CS962="","",CS962*MAX(0,1-CV962/H962))</f>
        <v>13.125</v>
      </c>
      <c r="CY962" s="64" t="n">
        <f aca="false">IF(CS962="","",PERCENTRANK($CS$7:$CS$1843,CS962)+PERCENTRANK($CU$7:$CU$1843,CU962)+1-PERCENTRANK($CT$7:$CT$1843,CT962))</f>
        <v>1.751</v>
      </c>
      <c r="CZ962" s="72" t="n">
        <f aca="false">IF(CS962="","",CHOOSE(MATCH(Einkauf!$C$5,Parameter!$G$23:$G$27,0),CY962,CS962,CU962,-CT962,CW962)+ROW()/1000000000)</f>
        <v>1.751000962</v>
      </c>
    </row>
    <row r="963" customFormat="false" ht="15" hidden="false" customHeight="false" outlineLevel="0" collapsed="false">
      <c r="A963" s="60" t="s">
        <v>1834</v>
      </c>
      <c r="B963" s="60" t="s">
        <v>531</v>
      </c>
      <c r="C963" s="60" t="s">
        <v>206</v>
      </c>
      <c r="D963" s="60" t="s">
        <v>226</v>
      </c>
      <c r="E963" s="60" t="s">
        <v>227</v>
      </c>
      <c r="F963" s="60" t="s">
        <v>260</v>
      </c>
      <c r="G963" s="61" t="n">
        <v>1.22</v>
      </c>
      <c r="H963" s="62" t="n">
        <f aca="false">MAX(0,IF(AND(Parameter!$B$21="Ja",ISNUMBER(Y963)),Y963,IF(Parameter!$B$20="Jahresanfang 2025 + Export",BS963+BR963,BR963)))</f>
        <v>187</v>
      </c>
      <c r="I963" s="62" t="n">
        <f aca="false">H963*G963</f>
        <v>228.14</v>
      </c>
      <c r="J963" s="62" t="n">
        <f aca="false">BU963*Parameter!$B$18</f>
        <v>422</v>
      </c>
      <c r="K963" s="63" t="n">
        <v>345.5</v>
      </c>
      <c r="L963" s="64" t="n">
        <v>1.22141823444284</v>
      </c>
      <c r="M963" s="62" t="n">
        <v>16</v>
      </c>
      <c r="N963" s="62" t="n">
        <v>420</v>
      </c>
      <c r="O963" s="65" t="n">
        <v>14</v>
      </c>
      <c r="P963" s="60" t="s">
        <v>344</v>
      </c>
      <c r="Q963" s="62" t="n">
        <v>621</v>
      </c>
      <c r="R963" s="65" t="n">
        <f aca="false">IF(CA963=1,0,IFERROR(VLOOKUP(BY963,'Gebinde-Kategorie'!$A$5:$N$45,13,0)+0,0))</f>
        <v>26</v>
      </c>
      <c r="S963" s="66"/>
      <c r="T963" s="67"/>
      <c r="U963" s="67"/>
      <c r="V963" s="67"/>
      <c r="W963" s="60"/>
      <c r="X963" s="62"/>
      <c r="Y963" s="62"/>
      <c r="Z963" s="60" t="n">
        <v>3</v>
      </c>
      <c r="AA963" s="60" t="n">
        <f aca="false">IF(A963="","",IF(AND(Parameter!$B$21="Ja",ISNUMBER(W963)),W963,IF(AND(Parameter!$E$27="Ja",ISNUMBER(Z963),CD963&lt;&gt;"Nein"),Z963,IF(CD963="2+3",IF(ISNUMBER(SEARCH("grosser Artikel",BV963)),2,IFERROR(VLOOKUP(BY963,Parameter!$F$35:$G$64,2,0),2)),IF(OR(CD963="Nein",CD963=""),"-",CD963)))))</f>
        <v>3</v>
      </c>
      <c r="AB963" s="67"/>
      <c r="AC963" s="68"/>
      <c r="AD963" s="62" t="n">
        <f aca="false">AW963</f>
        <v>436</v>
      </c>
      <c r="AE963" s="62" t="n">
        <f aca="false">MAX(AW963,H963)</f>
        <v>436</v>
      </c>
      <c r="AF963" s="69"/>
      <c r="AG963" s="62" t="n">
        <f aca="false">IF(LEFT(Cockpit!$C$5,1)="A",H963,IF(Parameter!$E$30="MAX-Bestand",IF(CI963=1,CJ963,IF(LEFT(Cockpit!$C$5,1)="B",AM963,MAX(AM963,H963))),ROUNDUP(AK963,0)))</f>
        <v>187</v>
      </c>
      <c r="AH963" s="62" t="n">
        <f aca="false">IF(CA963=1,0,ROUNDUP(AG963/BZ963,0))</f>
        <v>1</v>
      </c>
      <c r="AI963" s="64" t="n">
        <f aca="false">IF(CR963&gt;0,CR963*MAX(1,AG963/X963),IF(CA963=1,IF(AG963&lt;=0,0,CE963*MAX(1,IF(H963&gt;0,AG963/H963,1))),IF(R963&gt;0,AH963/R963,0))/MAX(0.1,N(Parameter!$M$21)))</f>
        <v>0.0384615384615385</v>
      </c>
      <c r="AJ963" s="62" t="n">
        <f aca="false">AI963*CC963</f>
        <v>5.96153846153846</v>
      </c>
      <c r="AK963" s="63" t="n">
        <f aca="false">IF(LEFT(Cockpit!$C$5,1)="A",H963,IF(CI963=1,(CL963+CJ963)/2,IF(LEFT(Cockpit!$C$5,1)="B",(CL963+AM963)/2,MAX((CL963+AM963)/2,H963))))</f>
        <v>187</v>
      </c>
      <c r="AL963" s="62" t="n">
        <f aca="false">AK963*G963</f>
        <v>228.14</v>
      </c>
      <c r="AM963" s="62" t="n">
        <f aca="false">ROUNDUP(CL963+MAX(CM963,2*(J963/IF(CH963&gt;0,CH963,MAX(0.1,N(Cockpit!$C$6)))-CL963)),0)</f>
        <v>436</v>
      </c>
      <c r="AN963" s="63" t="n">
        <f aca="false">IF(AJ963&gt;0,J963/AJ963,-1)</f>
        <v>70.7870967741935</v>
      </c>
      <c r="AO963" s="63" t="n">
        <f aca="false">IF(AND(OR(CG963="L1",CG963="L23",CG963="LIFT"),AJ963&gt;0),SUMIFS($AJ$7:$AJ$1843,$CG$7:$CG$1843,CG963,$AN$7:$AN$1843,"&gt;"&amp;AN963)+SUMIFS($AJ$7:$AJ$1843,$CG$7:$CG$1843,CG963,$AN$7:$AN$1843,AN963,$BX$7:$BX$1843,"&lt;="&amp;BX963),"")</f>
        <v>892.460164835165</v>
      </c>
      <c r="AP963" s="70" t="n">
        <f aca="false">IF(AO963="",0,MAX(0,MIN(1,(IF(CG963="L1",Parameter!$H$5,IF(CG963="L23",Parameter!$H$6+Parameter!$H$7,Parameter!$H$5+Parameter!$H$6+Parameter!$H$7))-(AO963-AJ963))/AJ963)))</f>
        <v>1</v>
      </c>
      <c r="AQ963" s="62" t="n">
        <f aca="false">IF(LEFT(Cockpit!$I$5,1)="A",H963,IF(Parameter!$E$30="MAX-Bestand",IF(CI963=1,CJ963,IF(LEFT(Cockpit!$I$5,1)="B",AW963,MAX(AW963,H963))),ROUNDUP(AU963,0)))</f>
        <v>226</v>
      </c>
      <c r="AR963" s="62" t="n">
        <f aca="false">IF(CA963=1,0,ROUNDUP(AQ963/BZ963,0))</f>
        <v>1</v>
      </c>
      <c r="AS963" s="64" t="n">
        <f aca="false">IF(CR963&gt;0,CR963*MAX(1,AQ963/X963),IF(CA963=1,IF(AQ963&lt;=0,0,CE963*MAX(1,IF(H963&gt;0,AQ963/H963,1))),IF(R963&gt;0,AR963/R963,0))/MAX(0.1,N(Parameter!$M$21)))</f>
        <v>0.0384615384615385</v>
      </c>
      <c r="AT963" s="62" t="n">
        <f aca="false">AS963*CC963</f>
        <v>5.96153846153846</v>
      </c>
      <c r="AU963" s="63" t="n">
        <f aca="false">IF(LEFT(Cockpit!$I$5,1)="A",H963,IF(CI963=1,(CL963+CJ963)/2,IF(LEFT(Cockpit!$I$5,1)="B",(CL963+AW963)/2,MAX((CL963+AW963)/2,H963))))</f>
        <v>226</v>
      </c>
      <c r="AV963" s="62" t="n">
        <f aca="false">AU963*G963</f>
        <v>275.72</v>
      </c>
      <c r="AW963" s="62" t="n">
        <f aca="false">ROUNDUP(CL963+MAX(CM963,2*(J963/IF(CH963&gt;0,CH963,MAX(0.1,N(Cockpit!$I$6)))-CL963)),0)</f>
        <v>436</v>
      </c>
      <c r="AX963" s="63" t="n">
        <f aca="false">IF(AT963&gt;0,J963/AT963,-1)</f>
        <v>70.7870967741935</v>
      </c>
      <c r="AY963" s="63" t="n">
        <f aca="false">IF(AND(OR(CG963="L1",CG963="L23",CG963="LIFT"),AT963&gt;0),SUMIFS($AT$7:$AT$1843,$CG$7:$CG$1843,CG963,$AX$7:$AX$1843,"&gt;"&amp;AX963)+SUMIFS($AT$7:$AT$1843,$CG$7:$CG$1843,CG963,$AX$7:$AX$1843,AX963,$BX$7:$BX$1843,"&lt;="&amp;BX963),"")</f>
        <v>1104.26510989011</v>
      </c>
      <c r="AZ963" s="70" t="n">
        <f aca="false">IF(AY963="",0,MAX(0,MIN(1,(IF(CG963="L1",Parameter!$H$5,IF(CG963="L23",Parameter!$H$6+Parameter!$H$7,Parameter!$H$5+Parameter!$H$6+Parameter!$H$7))-(AY963-AT963))/AT963)))</f>
        <v>1</v>
      </c>
      <c r="BA963" s="62" t="n">
        <f aca="false">IF(LEFT(Cockpit!$O$5,1)="A",H963,IF(Parameter!$E$30="MAX-Bestand",IF(CI963=1,CJ963,IF(LEFT(Cockpit!$O$5,1)="B",BG963,MAX(BG963,H963))),ROUNDUP(BE963,0)))</f>
        <v>226</v>
      </c>
      <c r="BB963" s="62" t="n">
        <f aca="false">IF(CA963=1,0,ROUNDUP(BA963/BZ963,0))</f>
        <v>1</v>
      </c>
      <c r="BC963" s="64" t="n">
        <f aca="false">IF(CR963&gt;0,CR963*MAX(1,BA963/X963),IF(CA963=1,IF(BA963&lt;=0,0,CE963*MAX(1,IF(H963&gt;0,BA963/H963,1))),IF(R963&gt;0,BB963/R963,0))/MAX(0.1,N(Parameter!$M$21)))</f>
        <v>0.0384615384615385</v>
      </c>
      <c r="BD963" s="62" t="n">
        <f aca="false">BC963*CC963</f>
        <v>5.96153846153846</v>
      </c>
      <c r="BE963" s="63" t="n">
        <f aca="false">IF(LEFT(Cockpit!$O$5,1)="A",H963,IF(CI963=1,(CL963+CJ963)/2,IF(LEFT(Cockpit!$O$5,1)="B",(CL963+BG963)/2,MAX((CL963+BG963)/2,H963))))</f>
        <v>226</v>
      </c>
      <c r="BF963" s="62" t="n">
        <f aca="false">BE963*G963</f>
        <v>275.72</v>
      </c>
      <c r="BG963" s="62" t="n">
        <f aca="false">ROUNDUP(CL963+MAX(CM963,2*(J963/IF(CH963&gt;0,CH963,MAX(0.1,N(Cockpit!$O$6)))-CL963)),0)</f>
        <v>436</v>
      </c>
      <c r="BH963" s="63" t="n">
        <f aca="false">IF(BD963&gt;0,J963/BD963,-1)</f>
        <v>70.7870967741935</v>
      </c>
      <c r="BI963" s="63" t="n">
        <f aca="false">IF(AND(OR(CG963="L1",CG963="L23",CG963="LIFT"),BD963&gt;0),SUMIFS($BD$7:$BD$1843,$CG$7:$CG$1843,CG963,$BH$7:$BH$1843,"&gt;"&amp;BH963)+SUMIFS($BD$7:$BD$1843,$CG$7:$CG$1843,CG963,$BH$7:$BH$1843,BH963,$BX$7:$BX$1843,"&lt;="&amp;BX963),"")</f>
        <v>1024.44734432234</v>
      </c>
      <c r="BJ963" s="70" t="n">
        <f aca="false">IF(BI963="",0,MAX(0,MIN(1,(IF(CG963="L1",Parameter!$H$5,IF(CG963="L23",Parameter!$H$6+Parameter!$H$7,Parameter!$H$5+Parameter!$H$6+Parameter!$H$7))-(BI963-BD963))/BD963)))</f>
        <v>1</v>
      </c>
      <c r="BK963" s="60" t="str">
        <f aca="false">IF(AJ963&lt;=0,"",IF(CG963="Aussen","Aussenlager",IF(CG963="-","Nicht im Lift",IF(AP963&gt;=1,"Lift",IF(AP963&lt;=0,"Aussenlager","teilweise")))))</f>
        <v>Lift</v>
      </c>
      <c r="BL963" s="60" t="str">
        <f aca="false">IF(AT963&lt;=0,"",IF(CG963="Aussen","Aussenlager",IF(CG963="-","Nicht im Lift",IF(AZ963&gt;=1,"Lift",IF(AZ963&lt;=0,"Aussenlager","teilweise")))))</f>
        <v>Lift</v>
      </c>
      <c r="BM963" s="60" t="str">
        <f aca="false">IF(BD963&lt;=0,"",IF(CG963="Aussen","Aussenlager",IF(CG963="-","Nicht im Lift",IF(BJ963&gt;=1,"Lift",IF(BJ963&lt;=0,"Aussenlager","teilweise")))))</f>
        <v>Lift</v>
      </c>
      <c r="BN963" s="60" t="str">
        <f aca="false">IF(A963="","",IF(BW963=1,"Neu; ","")&amp;IF(AND(BW963=0,BR963&lt;0),"negativer Bestand (Export "&amp;BR963&amp;"); ","")&amp;IF(J963&lt;=0,"Kein Verbrauch; ","")&amp;IF(CR963&gt;0,"Lift "&amp;W963&amp;" lt. Liftbericht (Fach "&amp;X963&amp;" Stk); ",IF(CB963=1,"Gebinde geschätzt ("&amp;T963&amp;"); ",IF(CA963=1,"Lose – Tablare geschätzt; ","")))&amp;IF(H963&gt;AW963,"Überbestand "&amp;ROUND(H963-AW963,0)&amp;" Stk / CHF "&amp;ROUND((H963-AW963)*G963,0)&amp;"; ","")&amp;IF(AND(CI963=1,CJ963&lt;CK963),"MAX &lt; MB+LG; ","")&amp;IF(AND(CQ963&gt;0,CP963*10&gt;CQ963),"zu hoch für Tablar; ","")&amp;IF(AND(BW963=0,OR(CI963=1,AB963&lt;&gt;"",U963&lt;&gt;"",V963&lt;&gt;"",AC963&lt;&gt;"")),"manuell übersteuert; ","")&amp;IF(AND(CA963=0,R963=0),"Gebinde unbekannt / Stellmass fehlt; ","")&amp;IF(AND(CA963=0,N(V963)&lt;=0,N(Q963)&lt;=0),"Menge pro Gebinde fehlt (Ist = 1 Gebinde); ","")&amp;BV963)</f>
        <v>negativer Bestand (Export -65); </v>
      </c>
      <c r="BO963" s="60"/>
      <c r="BP963" s="60"/>
      <c r="BQ963" s="67"/>
      <c r="BR963" s="62" t="n">
        <v>-65</v>
      </c>
      <c r="BS963" s="62" t="n">
        <v>252</v>
      </c>
      <c r="BT963" s="61" t="n">
        <v>-69.22</v>
      </c>
      <c r="BU963" s="62" t="n">
        <v>422</v>
      </c>
      <c r="BV963" s="60"/>
      <c r="BW963" s="65" t="n">
        <v>0</v>
      </c>
      <c r="BX963" s="65" t="n">
        <v>963</v>
      </c>
      <c r="BY963" s="60" t="str">
        <f aca="false">IF(U963&lt;&gt;"",UPPER(TRIM(U963)),IF(CB963=1,UPPER(VLOOKUP(T963,Parameter!$I$27:$K$29,2,0)),IF(P963="","LOSE",P963)))</f>
        <v>S51</v>
      </c>
      <c r="BZ963" s="62" t="n">
        <f aca="false">IF(BY963="LOSE",1,IF(N(V963)&gt;0,V963,IF(CB963=1,MAX(1,N(VLOOKUP(T963,Parameter!$I$27:$K$29,3,0)),H963,N(N963)),IF(N(Q963)&gt;0,Q963,MAX(1,H963)))))</f>
        <v>621</v>
      </c>
      <c r="CA963" s="65" t="n">
        <f aca="false">IF(BY963="LOSE",1,0)</f>
        <v>0</v>
      </c>
      <c r="CB963" s="65" t="n">
        <f aca="false">IF(AND(U963="",OR(P963="",P963="LOSE"),T963&lt;&gt;"",N(S963)&lt;=0,ISNUMBER(MATCH(T963,Parameter!$I$27:$I$29,0))),1,0)</f>
        <v>0</v>
      </c>
      <c r="CC963" s="65" t="n">
        <f aca="false">IF(CR963&gt;0,INDEX(Parameter!$H$5:$H$7,W963)/INDEX(Parameter!$E$5:$E$7,W963),IF(AND(CA963=0,N(IFERROR(VLOOKUP(BY963,'Gebinde-Kategorie'!$A$5:$N$45,14,0),0))&gt;0),VLOOKUP(BY963,'Gebinde-Kategorie'!$A$5:$N$45,14,0)*10+Parameter!$M$23,Parameter!$M$24))</f>
        <v>155</v>
      </c>
      <c r="CD963" s="60" t="str">
        <f aca="false">IF(AND(Parameter!$B$19="Ja",E963&lt;&gt;"",ISNUMBER(MATCH(E963,Parameter!$I$35:$I$52,0))),VLOOKUP(E963,Parameter!$I$35:$J$52,2,0),IFERROR(VLOOKUP(D963,Parameter!$A$35:$C$64,2,0),"Nein"))</f>
        <v>2+3</v>
      </c>
      <c r="CE963" s="64" t="n">
        <f aca="false">IF(CA963=0,0,IF(N(S963)&gt;0,S963,IFERROR(VLOOKUP(D963,Parameter!$A$35:$C$64,3,0)+0,0)))</f>
        <v>0</v>
      </c>
      <c r="CF963" s="60" t="n">
        <f aca="false">IF(AB963&lt;&gt;"",AB963,AA963)</f>
        <v>3</v>
      </c>
      <c r="CG963" s="60" t="str">
        <f aca="false">IF(OR(CF963=1,CF963=2,CF963=3),IF(Parameter!$E$27="Ja","LIFT",IF(CF963=1,"L1","L23")),IF(CF963="Aussen","Aussen","-"))</f>
        <v>LIFT</v>
      </c>
      <c r="CH963" s="71" t="n">
        <f aca="false">IF(N(AC963)&gt;0,AC963,0)</f>
        <v>0</v>
      </c>
      <c r="CI963" s="65" t="n">
        <f aca="false">IF(ISNUMBER(AF963),1,0)</f>
        <v>0</v>
      </c>
      <c r="CJ963" s="62" t="n">
        <f aca="false">N(AF963)</f>
        <v>0</v>
      </c>
      <c r="CK963" s="62" t="n">
        <f aca="false">N(M963)+N(N963)</f>
        <v>436</v>
      </c>
      <c r="CL963" s="62" t="n">
        <f aca="false">N(M963)</f>
        <v>16</v>
      </c>
      <c r="CM963" s="62" t="n">
        <f aca="false">N(N963)</f>
        <v>420</v>
      </c>
      <c r="CN963" s="62" t="n">
        <f aca="false">ROUNDUP(H963/BZ963,0)</f>
        <v>1</v>
      </c>
      <c r="CO963" s="62" t="n">
        <f aca="false">ROUNDUP(CJ963/BZ963,0)</f>
        <v>0</v>
      </c>
      <c r="CP963" s="65" t="n">
        <f aca="false">IF(CA963=1,0,IFERROR(VLOOKUP(BY963,'Gebinde-Kategorie'!$A$5:$N$45,5,0)+0,0))</f>
        <v>11</v>
      </c>
      <c r="CQ963" s="65" t="n">
        <f aca="false">IFERROR(IF(OR(CF963=1,CF963=2,CF963=3),N(INDEX(Parameter!$I$5:$I$7,CF963)),0),0)</f>
        <v>0</v>
      </c>
      <c r="CR963" s="64" t="n">
        <f aca="false">IF(AND(Parameter!$B$21="Ja",ISNUMBER(W963),N(X963)&gt;0),IFERROR(N(INDEX(Parameter!$L$5:$L$7,W963))*INDEX(Parameter!$E$5:$E$7,W963)*X963/SUMIFS($X$7:$X$1843,$W$7:$W$1843,W963),0),0)</f>
        <v>0</v>
      </c>
      <c r="CS963" s="62" t="n">
        <f aca="false">IF(AND(OR(CG963="L1",CG963="L23",CG963="LIFT"),H963&gt;0),CC963*IF(CR963&gt;0,CR963*MAX(1,H963/X963),IF(CA963=1,CE963,IF(R963&gt;0,CN963/R963,0))/MAX(0.1,N(Parameter!$M$21))),"")</f>
        <v>5.96153846153846</v>
      </c>
      <c r="CT963" s="64" t="n">
        <f aca="false">IF(CS963="","",J963/H963)</f>
        <v>2.25668449197861</v>
      </c>
      <c r="CU963" s="62" t="n">
        <f aca="false">IF(CS963="","",H963*G963)</f>
        <v>228.14</v>
      </c>
      <c r="CV963" s="63" t="n">
        <f aca="false">IF(CS963="","",(CL963+ROUNDUP(CL963+MAX(CM963,2*(J963/MAX(0.1,N(Einkauf!$C$6))-CL963)),0))/2)</f>
        <v>226</v>
      </c>
      <c r="CW963" s="62" t="n">
        <f aca="false">IF(CS963="","",MAX(0,H963-CV963)*G963)</f>
        <v>0</v>
      </c>
      <c r="CX963" s="62" t="n">
        <f aca="false">IF(CS963="","",CS963*MAX(0,1-CV963/H963))</f>
        <v>0</v>
      </c>
      <c r="CY963" s="64" t="n">
        <f aca="false">IF(CS963="","",PERCENTRANK($CS$7:$CS$1843,CS963)+PERCENTRANK($CU$7:$CU$1843,CU963)+1-PERCENTRANK($CT$7:$CT$1843,CT963))</f>
        <v>0.886</v>
      </c>
      <c r="CZ963" s="72" t="n">
        <f aca="false">IF(CS963="","",CHOOSE(MATCH(Einkauf!$C$5,Parameter!$G$23:$G$27,0),CY963,CS963,CU963,-CT963,CW963)+ROW()/1000000000)</f>
        <v>0.886000963</v>
      </c>
    </row>
    <row r="964" customFormat="false" ht="15" hidden="false" customHeight="false" outlineLevel="0" collapsed="false">
      <c r="A964" s="60" t="s">
        <v>1835</v>
      </c>
      <c r="B964" s="60" t="s">
        <v>531</v>
      </c>
      <c r="C964" s="60" t="s">
        <v>206</v>
      </c>
      <c r="D964" s="60" t="s">
        <v>226</v>
      </c>
      <c r="E964" s="60" t="s">
        <v>227</v>
      </c>
      <c r="F964" s="60" t="s">
        <v>260</v>
      </c>
      <c r="G964" s="61" t="n">
        <v>1.74</v>
      </c>
      <c r="H964" s="62" t="n">
        <f aca="false">MAX(0,IF(AND(Parameter!$B$21="Ja",ISNUMBER(Y964)),Y964,IF(Parameter!$B$20="Jahresanfang 2025 + Export",BS964+BR964,BR964)))</f>
        <v>54</v>
      </c>
      <c r="I964" s="62" t="n">
        <f aca="false">H964*G964</f>
        <v>93.96</v>
      </c>
      <c r="J964" s="62" t="n">
        <f aca="false">BU964*Parameter!$B$18</f>
        <v>272</v>
      </c>
      <c r="K964" s="63" t="n">
        <v>157</v>
      </c>
      <c r="L964" s="64" t="n">
        <v>1.73248407643312</v>
      </c>
      <c r="M964" s="62" t="n">
        <v>10</v>
      </c>
      <c r="N964" s="62" t="n">
        <v>300</v>
      </c>
      <c r="O964" s="65" t="n">
        <v>14</v>
      </c>
      <c r="P964" s="60" t="s">
        <v>518</v>
      </c>
      <c r="Q964" s="62" t="n">
        <v>486</v>
      </c>
      <c r="R964" s="65" t="n">
        <f aca="false">IF(CA964=1,0,IFERROR(VLOOKUP(BY964,'Gebinde-Kategorie'!$A$5:$N$45,13,0)+0,0))</f>
        <v>52</v>
      </c>
      <c r="S964" s="66"/>
      <c r="T964" s="67"/>
      <c r="U964" s="67"/>
      <c r="V964" s="67"/>
      <c r="W964" s="60"/>
      <c r="X964" s="62"/>
      <c r="Y964" s="62"/>
      <c r="Z964" s="60" t="n">
        <v>3</v>
      </c>
      <c r="AA964" s="60" t="n">
        <f aca="false">IF(A964="","",IF(AND(Parameter!$B$21="Ja",ISNUMBER(W964)),W964,IF(AND(Parameter!$E$27="Ja",ISNUMBER(Z964),CD964&lt;&gt;"Nein"),Z964,IF(CD964="2+3",IF(ISNUMBER(SEARCH("grosser Artikel",BV964)),2,IFERROR(VLOOKUP(BY964,Parameter!$F$35:$G$64,2,0),2)),IF(OR(CD964="Nein",CD964=""),"-",CD964)))))</f>
        <v>3</v>
      </c>
      <c r="AB964" s="67"/>
      <c r="AC964" s="68"/>
      <c r="AD964" s="62" t="n">
        <f aca="false">AW964</f>
        <v>310</v>
      </c>
      <c r="AE964" s="62" t="n">
        <f aca="false">MAX(AW964,H964)</f>
        <v>310</v>
      </c>
      <c r="AF964" s="69"/>
      <c r="AG964" s="62" t="n">
        <f aca="false">IF(LEFT(Cockpit!$C$5,1)="A",H964,IF(Parameter!$E$30="MAX-Bestand",IF(CI964=1,CJ964,IF(LEFT(Cockpit!$C$5,1)="B",AM964,MAX(AM964,H964))),ROUNDUP(AK964,0)))</f>
        <v>54</v>
      </c>
      <c r="AH964" s="62" t="n">
        <f aca="false">IF(CA964=1,0,ROUNDUP(AG964/BZ964,0))</f>
        <v>1</v>
      </c>
      <c r="AI964" s="64" t="n">
        <f aca="false">IF(CR964&gt;0,CR964*MAX(1,AG964/X964),IF(CA964=1,IF(AG964&lt;=0,0,CE964*MAX(1,IF(H964&gt;0,AG964/H964,1))),IF(R964&gt;0,AH964/R964,0))/MAX(0.1,N(Parameter!$M$21)))</f>
        <v>0.0192307692307692</v>
      </c>
      <c r="AJ964" s="62" t="n">
        <f aca="false">AI964*CC964</f>
        <v>2.98076923076923</v>
      </c>
      <c r="AK964" s="63" t="n">
        <f aca="false">IF(LEFT(Cockpit!$C$5,1)="A",H964,IF(CI964=1,(CL964+CJ964)/2,IF(LEFT(Cockpit!$C$5,1)="B",(CL964+AM964)/2,MAX((CL964+AM964)/2,H964))))</f>
        <v>54</v>
      </c>
      <c r="AL964" s="62" t="n">
        <f aca="false">AK964*G964</f>
        <v>93.96</v>
      </c>
      <c r="AM964" s="62" t="n">
        <f aca="false">ROUNDUP(CL964+MAX(CM964,2*(J964/IF(CH964&gt;0,CH964,MAX(0.1,N(Cockpit!$C$6)))-CL964)),0)</f>
        <v>310</v>
      </c>
      <c r="AN964" s="63" t="n">
        <f aca="false">IF(AJ964&gt;0,J964/AJ964,-1)</f>
        <v>91.2516129032258</v>
      </c>
      <c r="AO964" s="63" t="n">
        <f aca="false">IF(AND(OR(CG964="L1",CG964="L23",CG964="LIFT"),AJ964&gt;0),SUMIFS($AJ$7:$AJ$1843,$CG$7:$CG$1843,CG964,$AN$7:$AN$1843,"&gt;"&amp;AN964)+SUMIFS($AJ$7:$AJ$1843,$CG$7:$CG$1843,CG964,$AN$7:$AN$1843,AN964,$BX$7:$BX$1843,"&lt;="&amp;BX964),"")</f>
        <v>821.973901098901</v>
      </c>
      <c r="AP964" s="70" t="n">
        <f aca="false">IF(AO964="",0,MAX(0,MIN(1,(IF(CG964="L1",Parameter!$H$5,IF(CG964="L23",Parameter!$H$6+Parameter!$H$7,Parameter!$H$5+Parameter!$H$6+Parameter!$H$7))-(AO964-AJ964))/AJ964)))</f>
        <v>1</v>
      </c>
      <c r="AQ964" s="62" t="n">
        <f aca="false">IF(LEFT(Cockpit!$I$5,1)="A",H964,IF(Parameter!$E$30="MAX-Bestand",IF(CI964=1,CJ964,IF(LEFT(Cockpit!$I$5,1)="B",AW964,MAX(AW964,H964))),ROUNDUP(AU964,0)))</f>
        <v>160</v>
      </c>
      <c r="AR964" s="62" t="n">
        <f aca="false">IF(CA964=1,0,ROUNDUP(AQ964/BZ964,0))</f>
        <v>1</v>
      </c>
      <c r="AS964" s="64" t="n">
        <f aca="false">IF(CR964&gt;0,CR964*MAX(1,AQ964/X964),IF(CA964=1,IF(AQ964&lt;=0,0,CE964*MAX(1,IF(H964&gt;0,AQ964/H964,1))),IF(R964&gt;0,AR964/R964,0))/MAX(0.1,N(Parameter!$M$21)))</f>
        <v>0.0192307692307692</v>
      </c>
      <c r="AT964" s="62" t="n">
        <f aca="false">AS964*CC964</f>
        <v>2.98076923076923</v>
      </c>
      <c r="AU964" s="63" t="n">
        <f aca="false">IF(LEFT(Cockpit!$I$5,1)="A",H964,IF(CI964=1,(CL964+CJ964)/2,IF(LEFT(Cockpit!$I$5,1)="B",(CL964+AW964)/2,MAX((CL964+AW964)/2,H964))))</f>
        <v>160</v>
      </c>
      <c r="AV964" s="62" t="n">
        <f aca="false">AU964*G964</f>
        <v>278.4</v>
      </c>
      <c r="AW964" s="62" t="n">
        <f aca="false">ROUNDUP(CL964+MAX(CM964,2*(J964/IF(CH964&gt;0,CH964,MAX(0.1,N(Cockpit!$I$6)))-CL964)),0)</f>
        <v>310</v>
      </c>
      <c r="AX964" s="63" t="n">
        <f aca="false">IF(AT964&gt;0,J964/AT964,-1)</f>
        <v>91.2516129032258</v>
      </c>
      <c r="AY964" s="63" t="n">
        <f aca="false">IF(AND(OR(CG964="L1",CG964="L23",CG964="LIFT"),AT964&gt;0),SUMIFS($AT$7:$AT$1843,$CG$7:$CG$1843,CG964,$AX$7:$AX$1843,"&gt;"&amp;AX964)+SUMIFS($AT$7:$AT$1843,$CG$7:$CG$1843,CG964,$AX$7:$AX$1843,AX964,$BX$7:$BX$1843,"&lt;="&amp;BX964),"")</f>
        <v>1034.88598901099</v>
      </c>
      <c r="AZ964" s="70" t="n">
        <f aca="false">IF(AY964="",0,MAX(0,MIN(1,(IF(CG964="L1",Parameter!$H$5,IF(CG964="L23",Parameter!$H$6+Parameter!$H$7,Parameter!$H$5+Parameter!$H$6+Parameter!$H$7))-(AY964-AT964))/AT964)))</f>
        <v>1</v>
      </c>
      <c r="BA964" s="62" t="n">
        <f aca="false">IF(LEFT(Cockpit!$O$5,1)="A",H964,IF(Parameter!$E$30="MAX-Bestand",IF(CI964=1,CJ964,IF(LEFT(Cockpit!$O$5,1)="B",BG964,MAX(BG964,H964))),ROUNDUP(BE964,0)))</f>
        <v>160</v>
      </c>
      <c r="BB964" s="62" t="n">
        <f aca="false">IF(CA964=1,0,ROUNDUP(BA964/BZ964,0))</f>
        <v>1</v>
      </c>
      <c r="BC964" s="64" t="n">
        <f aca="false">IF(CR964&gt;0,CR964*MAX(1,BA964/X964),IF(CA964=1,IF(BA964&lt;=0,0,CE964*MAX(1,IF(H964&gt;0,BA964/H964,1))),IF(R964&gt;0,BB964/R964,0))/MAX(0.1,N(Parameter!$M$21)))</f>
        <v>0.0192307692307692</v>
      </c>
      <c r="BD964" s="62" t="n">
        <f aca="false">BC964*CC964</f>
        <v>2.98076923076923</v>
      </c>
      <c r="BE964" s="63" t="n">
        <f aca="false">IF(LEFT(Cockpit!$O$5,1)="A",H964,IF(CI964=1,(CL964+CJ964)/2,IF(LEFT(Cockpit!$O$5,1)="B",(CL964+BG964)/2,MAX((CL964+BG964)/2,H964))))</f>
        <v>160</v>
      </c>
      <c r="BF964" s="62" t="n">
        <f aca="false">BE964*G964</f>
        <v>278.4</v>
      </c>
      <c r="BG964" s="62" t="n">
        <f aca="false">ROUNDUP(CL964+MAX(CM964,2*(J964/IF(CH964&gt;0,CH964,MAX(0.1,N(Cockpit!$O$6)))-CL964)),0)</f>
        <v>310</v>
      </c>
      <c r="BH964" s="63" t="n">
        <f aca="false">IF(BD964&gt;0,J964/BD964,-1)</f>
        <v>91.2516129032258</v>
      </c>
      <c r="BI964" s="63" t="n">
        <f aca="false">IF(AND(OR(CG964="L1",CG964="L23",CG964="LIFT"),BD964&gt;0),SUMIFS($BD$7:$BD$1843,$CG$7:$CG$1843,CG964,$BH$7:$BH$1843,"&gt;"&amp;BH964)+SUMIFS($BD$7:$BD$1843,$CG$7:$CG$1843,CG964,$BH$7:$BH$1843,BH964,$BX$7:$BX$1843,"&lt;="&amp;BX964),"")</f>
        <v>967.928113553114</v>
      </c>
      <c r="BJ964" s="70" t="n">
        <f aca="false">IF(BI964="",0,MAX(0,MIN(1,(IF(CG964="L1",Parameter!$H$5,IF(CG964="L23",Parameter!$H$6+Parameter!$H$7,Parameter!$H$5+Parameter!$H$6+Parameter!$H$7))-(BI964-BD964))/BD964)))</f>
        <v>1</v>
      </c>
      <c r="BK964" s="60" t="str">
        <f aca="false">IF(AJ964&lt;=0,"",IF(CG964="Aussen","Aussenlager",IF(CG964="-","Nicht im Lift",IF(AP964&gt;=1,"Lift",IF(AP964&lt;=0,"Aussenlager","teilweise")))))</f>
        <v>Lift</v>
      </c>
      <c r="BL964" s="60" t="str">
        <f aca="false">IF(AT964&lt;=0,"",IF(CG964="Aussen","Aussenlager",IF(CG964="-","Nicht im Lift",IF(AZ964&gt;=1,"Lift",IF(AZ964&lt;=0,"Aussenlager","teilweise")))))</f>
        <v>Lift</v>
      </c>
      <c r="BM964" s="60" t="str">
        <f aca="false">IF(BD964&lt;=0,"",IF(CG964="Aussen","Aussenlager",IF(CG964="-","Nicht im Lift",IF(BJ964&gt;=1,"Lift",IF(BJ964&lt;=0,"Aussenlager","teilweise")))))</f>
        <v>Lift</v>
      </c>
      <c r="BN964" s="60" t="str">
        <f aca="false">IF(A964="","",IF(BW964=1,"Neu; ","")&amp;IF(AND(BW964=0,BR964&lt;0),"negativer Bestand (Export "&amp;BR964&amp;"); ","")&amp;IF(J964&lt;=0,"Kein Verbrauch; ","")&amp;IF(CR964&gt;0,"Lift "&amp;W964&amp;" lt. Liftbericht (Fach "&amp;X964&amp;" Stk); ",IF(CB964=1,"Gebinde geschätzt ("&amp;T964&amp;"); ",IF(CA964=1,"Lose – Tablare geschätzt; ","")))&amp;IF(H964&gt;AW964,"Überbestand "&amp;ROUND(H964-AW964,0)&amp;" Stk / CHF "&amp;ROUND((H964-AW964)*G964,0)&amp;"; ","")&amp;IF(AND(CI964=1,CJ964&lt;CK964),"MAX &lt; MB+LG; ","")&amp;IF(AND(CQ964&gt;0,CP964*10&gt;CQ964),"zu hoch für Tablar; ","")&amp;IF(AND(BW964=0,OR(CI964=1,AB964&lt;&gt;"",U964&lt;&gt;"",V964&lt;&gt;"",AC964&lt;&gt;"")),"manuell übersteuert; ","")&amp;IF(AND(CA964=0,R964=0),"Gebinde unbekannt / Stellmass fehlt; ","")&amp;IF(AND(CA964=0,N(V964)&lt;=0,N(Q964)&lt;=0),"Menge pro Gebinde fehlt (Ist = 1 Gebinde); ","")&amp;BV964)</f>
        <v>negativer Bestand (Export -39); </v>
      </c>
      <c r="BO964" s="60"/>
      <c r="BP964" s="60"/>
      <c r="BQ964" s="67"/>
      <c r="BR964" s="62" t="n">
        <v>-39</v>
      </c>
      <c r="BS964" s="62" t="n">
        <v>93</v>
      </c>
      <c r="BT964" s="61" t="n">
        <v>-69.3999999999999</v>
      </c>
      <c r="BU964" s="62" t="n">
        <v>272</v>
      </c>
      <c r="BV964" s="60"/>
      <c r="BW964" s="65" t="n">
        <v>0</v>
      </c>
      <c r="BX964" s="65" t="n">
        <v>964</v>
      </c>
      <c r="BY964" s="60" t="str">
        <f aca="false">IF(U964&lt;&gt;"",UPPER(TRIM(U964)),IF(CB964=1,UPPER(VLOOKUP(T964,Parameter!$I$27:$K$29,2,0)),IF(P964="","LOSE",P964)))</f>
        <v>S33</v>
      </c>
      <c r="BZ964" s="62" t="n">
        <f aca="false">IF(BY964="LOSE",1,IF(N(V964)&gt;0,V964,IF(CB964=1,MAX(1,N(VLOOKUP(T964,Parameter!$I$27:$K$29,3,0)),H964,N(N964)),IF(N(Q964)&gt;0,Q964,MAX(1,H964)))))</f>
        <v>486</v>
      </c>
      <c r="CA964" s="65" t="n">
        <f aca="false">IF(BY964="LOSE",1,0)</f>
        <v>0</v>
      </c>
      <c r="CB964" s="65" t="n">
        <f aca="false">IF(AND(U964="",OR(P964="",P964="LOSE"),T964&lt;&gt;"",N(S964)&lt;=0,ISNUMBER(MATCH(T964,Parameter!$I$27:$I$29,0))),1,0)</f>
        <v>0</v>
      </c>
      <c r="CC964" s="65" t="n">
        <f aca="false">IF(CR964&gt;0,INDEX(Parameter!$H$5:$H$7,W964)/INDEX(Parameter!$E$5:$E$7,W964),IF(AND(CA964=0,N(IFERROR(VLOOKUP(BY964,'Gebinde-Kategorie'!$A$5:$N$45,14,0),0))&gt;0),VLOOKUP(BY964,'Gebinde-Kategorie'!$A$5:$N$45,14,0)*10+Parameter!$M$23,Parameter!$M$24))</f>
        <v>155</v>
      </c>
      <c r="CD964" s="60" t="str">
        <f aca="false">IF(AND(Parameter!$B$19="Ja",E964&lt;&gt;"",ISNUMBER(MATCH(E964,Parameter!$I$35:$I$52,0))),VLOOKUP(E964,Parameter!$I$35:$J$52,2,0),IFERROR(VLOOKUP(D964,Parameter!$A$35:$C$64,2,0),"Nein"))</f>
        <v>2+3</v>
      </c>
      <c r="CE964" s="64" t="n">
        <f aca="false">IF(CA964=0,0,IF(N(S964)&gt;0,S964,IFERROR(VLOOKUP(D964,Parameter!$A$35:$C$64,3,0)+0,0)))</f>
        <v>0</v>
      </c>
      <c r="CF964" s="60" t="n">
        <f aca="false">IF(AB964&lt;&gt;"",AB964,AA964)</f>
        <v>3</v>
      </c>
      <c r="CG964" s="60" t="str">
        <f aca="false">IF(OR(CF964=1,CF964=2,CF964=3),IF(Parameter!$E$27="Ja","LIFT",IF(CF964=1,"L1","L23")),IF(CF964="Aussen","Aussen","-"))</f>
        <v>LIFT</v>
      </c>
      <c r="CH964" s="71" t="n">
        <f aca="false">IF(N(AC964)&gt;0,AC964,0)</f>
        <v>0</v>
      </c>
      <c r="CI964" s="65" t="n">
        <f aca="false">IF(ISNUMBER(AF964),1,0)</f>
        <v>0</v>
      </c>
      <c r="CJ964" s="62" t="n">
        <f aca="false">N(AF964)</f>
        <v>0</v>
      </c>
      <c r="CK964" s="62" t="n">
        <f aca="false">N(M964)+N(N964)</f>
        <v>310</v>
      </c>
      <c r="CL964" s="62" t="n">
        <f aca="false">N(M964)</f>
        <v>10</v>
      </c>
      <c r="CM964" s="62" t="n">
        <f aca="false">N(N964)</f>
        <v>300</v>
      </c>
      <c r="CN964" s="62" t="n">
        <f aca="false">ROUNDUP(H964/BZ964,0)</f>
        <v>1</v>
      </c>
      <c r="CO964" s="62" t="n">
        <f aca="false">ROUNDUP(CJ964/BZ964,0)</f>
        <v>0</v>
      </c>
      <c r="CP964" s="65" t="n">
        <f aca="false">IF(CA964=1,0,IFERROR(VLOOKUP(BY964,'Gebinde-Kategorie'!$A$5:$N$45,5,0)+0,0))</f>
        <v>8</v>
      </c>
      <c r="CQ964" s="65" t="n">
        <f aca="false">IFERROR(IF(OR(CF964=1,CF964=2,CF964=3),N(INDEX(Parameter!$I$5:$I$7,CF964)),0),0)</f>
        <v>0</v>
      </c>
      <c r="CR964" s="64" t="n">
        <f aca="false">IF(AND(Parameter!$B$21="Ja",ISNUMBER(W964),N(X964)&gt;0),IFERROR(N(INDEX(Parameter!$L$5:$L$7,W964))*INDEX(Parameter!$E$5:$E$7,W964)*X964/SUMIFS($X$7:$X$1843,$W$7:$W$1843,W964),0),0)</f>
        <v>0</v>
      </c>
      <c r="CS964" s="62" t="n">
        <f aca="false">IF(AND(OR(CG964="L1",CG964="L23",CG964="LIFT"),H964&gt;0),CC964*IF(CR964&gt;0,CR964*MAX(1,H964/X964),IF(CA964=1,CE964,IF(R964&gt;0,CN964/R964,0))/MAX(0.1,N(Parameter!$M$21))),"")</f>
        <v>2.98076923076923</v>
      </c>
      <c r="CT964" s="64" t="n">
        <f aca="false">IF(CS964="","",J964/H964)</f>
        <v>5.03703703703704</v>
      </c>
      <c r="CU964" s="62" t="n">
        <f aca="false">IF(CS964="","",H964*G964)</f>
        <v>93.96</v>
      </c>
      <c r="CV964" s="63" t="n">
        <f aca="false">IF(CS964="","",(CL964+ROUNDUP(CL964+MAX(CM964,2*(J964/MAX(0.1,N(Einkauf!$C$6))-CL964)),0))/2)</f>
        <v>160</v>
      </c>
      <c r="CW964" s="62" t="n">
        <f aca="false">IF(CS964="","",MAX(0,H964-CV964)*G964)</f>
        <v>0</v>
      </c>
      <c r="CX964" s="62" t="n">
        <f aca="false">IF(CS964="","",CS964*MAX(0,1-CV964/H964))</f>
        <v>0</v>
      </c>
      <c r="CY964" s="64" t="n">
        <f aca="false">IF(CS964="","",PERCENTRANK($CS$7:$CS$1843,CS964)+PERCENTRANK($CU$7:$CU$1843,CU964)+1-PERCENTRANK($CT$7:$CT$1843,CT964))</f>
        <v>0.473</v>
      </c>
      <c r="CZ964" s="72" t="n">
        <f aca="false">IF(CS964="","",CHOOSE(MATCH(Einkauf!$C$5,Parameter!$G$23:$G$27,0),CY964,CS964,CU964,-CT964,CW964)+ROW()/1000000000)</f>
        <v>0.473000964</v>
      </c>
    </row>
    <row r="965" customFormat="false" ht="15" hidden="false" customHeight="false" outlineLevel="0" collapsed="false">
      <c r="A965" s="60" t="s">
        <v>1836</v>
      </c>
      <c r="B965" s="60" t="s">
        <v>510</v>
      </c>
      <c r="C965" s="60" t="s">
        <v>206</v>
      </c>
      <c r="D965" s="60" t="s">
        <v>226</v>
      </c>
      <c r="E965" s="60" t="s">
        <v>227</v>
      </c>
      <c r="F965" s="60" t="s">
        <v>260</v>
      </c>
      <c r="G965" s="61" t="n">
        <v>5.06</v>
      </c>
      <c r="H965" s="62" t="n">
        <f aca="false">MAX(0,IF(AND(Parameter!$B$21="Ja",ISNUMBER(Y965)),Y965,IF(Parameter!$B$20="Jahresanfang 2025 + Export",BS965+BR965,BR965)))</f>
        <v>190</v>
      </c>
      <c r="I965" s="62" t="n">
        <f aca="false">H965*G965</f>
        <v>961.4</v>
      </c>
      <c r="J965" s="62" t="n">
        <f aca="false">BU965*Parameter!$B$18</f>
        <v>264</v>
      </c>
      <c r="K965" s="63" t="n">
        <v>130</v>
      </c>
      <c r="L965" s="64" t="n">
        <v>2.03076923076923</v>
      </c>
      <c r="M965" s="62" t="n">
        <v>10</v>
      </c>
      <c r="N965" s="62" t="n">
        <v>265</v>
      </c>
      <c r="O965" s="65" t="n">
        <v>14</v>
      </c>
      <c r="P965" s="60" t="s">
        <v>518</v>
      </c>
      <c r="Q965" s="62" t="n">
        <v>61</v>
      </c>
      <c r="R965" s="65" t="n">
        <f aca="false">IF(CA965=1,0,IFERROR(VLOOKUP(BY965,'Gebinde-Kategorie'!$A$5:$N$45,13,0)+0,0))</f>
        <v>52</v>
      </c>
      <c r="S965" s="66"/>
      <c r="T965" s="67"/>
      <c r="U965" s="67"/>
      <c r="V965" s="67"/>
      <c r="W965" s="60"/>
      <c r="X965" s="62"/>
      <c r="Y965" s="62"/>
      <c r="Z965" s="60" t="n">
        <v>3</v>
      </c>
      <c r="AA965" s="60" t="n">
        <f aca="false">IF(A965="","",IF(AND(Parameter!$B$21="Ja",ISNUMBER(W965)),W965,IF(AND(Parameter!$E$27="Ja",ISNUMBER(Z965),CD965&lt;&gt;"Nein"),Z965,IF(CD965="2+3",IF(ISNUMBER(SEARCH("grosser Artikel",BV965)),2,IFERROR(VLOOKUP(BY965,Parameter!$F$35:$G$64,2,0),2)),IF(OR(CD965="Nein",CD965=""),"-",CD965)))))</f>
        <v>3</v>
      </c>
      <c r="AB965" s="67"/>
      <c r="AC965" s="68"/>
      <c r="AD965" s="62" t="n">
        <f aca="false">AW965</f>
        <v>275</v>
      </c>
      <c r="AE965" s="62" t="n">
        <f aca="false">MAX(AW965,H965)</f>
        <v>275</v>
      </c>
      <c r="AF965" s="69"/>
      <c r="AG965" s="62" t="n">
        <f aca="false">IF(LEFT(Cockpit!$C$5,1)="A",H965,IF(Parameter!$E$30="MAX-Bestand",IF(CI965=1,CJ965,IF(LEFT(Cockpit!$C$5,1)="B",AM965,MAX(AM965,H965))),ROUNDUP(AK965,0)))</f>
        <v>190</v>
      </c>
      <c r="AH965" s="62" t="n">
        <f aca="false">IF(CA965=1,0,ROUNDUP(AG965/BZ965,0))</f>
        <v>4</v>
      </c>
      <c r="AI965" s="64" t="n">
        <f aca="false">IF(CR965&gt;0,CR965*MAX(1,AG965/X965),IF(CA965=1,IF(AG965&lt;=0,0,CE965*MAX(1,IF(H965&gt;0,AG965/H965,1))),IF(R965&gt;0,AH965/R965,0))/MAX(0.1,N(Parameter!$M$21)))</f>
        <v>0.0769230769230769</v>
      </c>
      <c r="AJ965" s="62" t="n">
        <f aca="false">AI965*CC965</f>
        <v>11.9230769230769</v>
      </c>
      <c r="AK965" s="63" t="n">
        <f aca="false">IF(LEFT(Cockpit!$C$5,1)="A",H965,IF(CI965=1,(CL965+CJ965)/2,IF(LEFT(Cockpit!$C$5,1)="B",(CL965+AM965)/2,MAX((CL965+AM965)/2,H965))))</f>
        <v>190</v>
      </c>
      <c r="AL965" s="62" t="n">
        <f aca="false">AK965*G965</f>
        <v>961.4</v>
      </c>
      <c r="AM965" s="62" t="n">
        <f aca="false">ROUNDUP(CL965+MAX(CM965,2*(J965/IF(CH965&gt;0,CH965,MAX(0.1,N(Cockpit!$C$6)))-CL965)),0)</f>
        <v>275</v>
      </c>
      <c r="AN965" s="63" t="n">
        <f aca="false">IF(AJ965&gt;0,J965/AJ965,-1)</f>
        <v>22.141935483871</v>
      </c>
      <c r="AO965" s="63" t="n">
        <f aca="false">IF(AND(OR(CG965="L1",CG965="L23",CG965="LIFT"),AJ965&gt;0),SUMIFS($AJ$7:$AJ$1843,$CG$7:$CG$1843,CG965,$AN$7:$AN$1843,"&gt;"&amp;AN965)+SUMIFS($AJ$7:$AJ$1843,$CG$7:$CG$1843,CG965,$AN$7:$AN$1843,AN965,$BX$7:$BX$1843,"&lt;="&amp;BX965),"")</f>
        <v>1613.41391941392</v>
      </c>
      <c r="AP965" s="70" t="n">
        <f aca="false">IF(AO965="",0,MAX(0,MIN(1,(IF(CG965="L1",Parameter!$H$5,IF(CG965="L23",Parameter!$H$6+Parameter!$H$7,Parameter!$H$5+Parameter!$H$6+Parameter!$H$7))-(AO965-AJ965))/AJ965)))</f>
        <v>1</v>
      </c>
      <c r="AQ965" s="62" t="n">
        <f aca="false">IF(LEFT(Cockpit!$I$5,1)="A",H965,IF(Parameter!$E$30="MAX-Bestand",IF(CI965=1,CJ965,IF(LEFT(Cockpit!$I$5,1)="B",AW965,MAX(AW965,H965))),ROUNDUP(AU965,0)))</f>
        <v>190</v>
      </c>
      <c r="AR965" s="62" t="n">
        <f aca="false">IF(CA965=1,0,ROUNDUP(AQ965/BZ965,0))</f>
        <v>4</v>
      </c>
      <c r="AS965" s="64" t="n">
        <f aca="false">IF(CR965&gt;0,CR965*MAX(1,AQ965/X965),IF(CA965=1,IF(AQ965&lt;=0,0,CE965*MAX(1,IF(H965&gt;0,AQ965/H965,1))),IF(R965&gt;0,AR965/R965,0))/MAX(0.1,N(Parameter!$M$21)))</f>
        <v>0.0769230769230769</v>
      </c>
      <c r="AT965" s="62" t="n">
        <f aca="false">AS965*CC965</f>
        <v>11.9230769230769</v>
      </c>
      <c r="AU965" s="63" t="n">
        <f aca="false">IF(LEFT(Cockpit!$I$5,1)="A",H965,IF(CI965=1,(CL965+CJ965)/2,IF(LEFT(Cockpit!$I$5,1)="B",(CL965+AW965)/2,MAX((CL965+AW965)/2,H965))))</f>
        <v>190</v>
      </c>
      <c r="AV965" s="62" t="n">
        <f aca="false">AU965*G965</f>
        <v>961.4</v>
      </c>
      <c r="AW965" s="62" t="n">
        <f aca="false">ROUNDUP(CL965+MAX(CM965,2*(J965/IF(CH965&gt;0,CH965,MAX(0.1,N(Cockpit!$I$6)))-CL965)),0)</f>
        <v>275</v>
      </c>
      <c r="AX965" s="63" t="n">
        <f aca="false">IF(AT965&gt;0,J965/AT965,-1)</f>
        <v>22.141935483871</v>
      </c>
      <c r="AY965" s="63" t="n">
        <f aca="false">IF(AND(OR(CG965="L1",CG965="L23",CG965="LIFT"),AT965&gt;0),SUMIFS($AT$7:$AT$1843,$CG$7:$CG$1843,CG965,$AX$7:$AX$1843,"&gt;"&amp;AX965)+SUMIFS($AT$7:$AT$1843,$CG$7:$CG$1843,CG965,$AX$7:$AX$1843,AX965,$BX$7:$BX$1843,"&lt;="&amp;BX965),"")</f>
        <v>2220.72710622711</v>
      </c>
      <c r="AZ965" s="70" t="n">
        <f aca="false">IF(AY965="",0,MAX(0,MIN(1,(IF(CG965="L1",Parameter!$H$5,IF(CG965="L23",Parameter!$H$6+Parameter!$H$7,Parameter!$H$5+Parameter!$H$6+Parameter!$H$7))-(AY965-AT965))/AT965)))</f>
        <v>1</v>
      </c>
      <c r="BA965" s="62" t="n">
        <f aca="false">IF(LEFT(Cockpit!$O$5,1)="A",H965,IF(Parameter!$E$30="MAX-Bestand",IF(CI965=1,CJ965,IF(LEFT(Cockpit!$O$5,1)="B",BG965,MAX(BG965,H965))),ROUNDUP(BE965,0)))</f>
        <v>143</v>
      </c>
      <c r="BB965" s="62" t="n">
        <f aca="false">IF(CA965=1,0,ROUNDUP(BA965/BZ965,0))</f>
        <v>3</v>
      </c>
      <c r="BC965" s="64" t="n">
        <f aca="false">IF(CR965&gt;0,CR965*MAX(1,BA965/X965),IF(CA965=1,IF(BA965&lt;=0,0,CE965*MAX(1,IF(H965&gt;0,BA965/H965,1))),IF(R965&gt;0,BB965/R965,0))/MAX(0.1,N(Parameter!$M$21)))</f>
        <v>0.0576923076923077</v>
      </c>
      <c r="BD965" s="62" t="n">
        <f aca="false">BC965*CC965</f>
        <v>8.94230769230769</v>
      </c>
      <c r="BE965" s="63" t="n">
        <f aca="false">IF(LEFT(Cockpit!$O$5,1)="A",H965,IF(CI965=1,(CL965+CJ965)/2,IF(LEFT(Cockpit!$O$5,1)="B",(CL965+BG965)/2,MAX((CL965+BG965)/2,H965))))</f>
        <v>142.5</v>
      </c>
      <c r="BF965" s="62" t="n">
        <f aca="false">BE965*G965</f>
        <v>721.05</v>
      </c>
      <c r="BG965" s="62" t="n">
        <f aca="false">ROUNDUP(CL965+MAX(CM965,2*(J965/IF(CH965&gt;0,CH965,MAX(0.1,N(Cockpit!$O$6)))-CL965)),0)</f>
        <v>275</v>
      </c>
      <c r="BH965" s="63" t="n">
        <f aca="false">IF(BD965&gt;0,J965/BD965,-1)</f>
        <v>29.5225806451613</v>
      </c>
      <c r="BI965" s="63" t="n">
        <f aca="false">IF(AND(OR(CG965="L1",CG965="L23",CG965="LIFT"),BD965&gt;0),SUMIFS($BD$7:$BD$1843,$CG$7:$CG$1843,CG965,$BH$7:$BH$1843,"&gt;"&amp;BH965)+SUMIFS($BD$7:$BD$1843,$CG$7:$CG$1843,CG965,$BH$7:$BH$1843,BH965,$BX$7:$BX$1843,"&lt;="&amp;BX965),"")</f>
        <v>1858.63919413919</v>
      </c>
      <c r="BJ965" s="70" t="n">
        <f aca="false">IF(BI965="",0,MAX(0,MIN(1,(IF(CG965="L1",Parameter!$H$5,IF(CG965="L23",Parameter!$H$6+Parameter!$H$7,Parameter!$H$5+Parameter!$H$6+Parameter!$H$7))-(BI965-BD965))/BD965)))</f>
        <v>1</v>
      </c>
      <c r="BK965" s="60" t="str">
        <f aca="false">IF(AJ965&lt;=0,"",IF(CG965="Aussen","Aussenlager",IF(CG965="-","Nicht im Lift",IF(AP965&gt;=1,"Lift",IF(AP965&lt;=0,"Aussenlager","teilweise")))))</f>
        <v>Lift</v>
      </c>
      <c r="BL965" s="60" t="str">
        <f aca="false">IF(AT965&lt;=0,"",IF(CG965="Aussen","Aussenlager",IF(CG965="-","Nicht im Lift",IF(AZ965&gt;=1,"Lift",IF(AZ965&lt;=0,"Aussenlager","teilweise")))))</f>
        <v>Lift</v>
      </c>
      <c r="BM965" s="60" t="str">
        <f aca="false">IF(BD965&lt;=0,"",IF(CG965="Aussen","Aussenlager",IF(CG965="-","Nicht im Lift",IF(BJ965&gt;=1,"Lift",IF(BJ965&lt;=0,"Aussenlager","teilweise")))))</f>
        <v>Lift</v>
      </c>
      <c r="BN965" s="60" t="str">
        <f aca="false">IF(A965="","",IF(BW965=1,"Neu; ","")&amp;IF(AND(BW965=0,BR965&lt;0),"negativer Bestand (Export "&amp;BR965&amp;"); ","")&amp;IF(J965&lt;=0,"Kein Verbrauch; ","")&amp;IF(CR965&gt;0,"Lift "&amp;W965&amp;" lt. Liftbericht (Fach "&amp;X965&amp;" Stk); ",IF(CB965=1,"Gebinde geschätzt ("&amp;T965&amp;"); ",IF(CA965=1,"Lose – Tablare geschätzt; ","")))&amp;IF(H965&gt;AW965,"Überbestand "&amp;ROUND(H965-AW965,0)&amp;" Stk / CHF "&amp;ROUND((H965-AW965)*G965,0)&amp;"; ","")&amp;IF(AND(CI965=1,CJ965&lt;CK965),"MAX &lt; MB+LG; ","")&amp;IF(AND(CQ965&gt;0,CP965*10&gt;CQ965),"zu hoch für Tablar; ","")&amp;IF(AND(BW965=0,OR(CI965=1,AB965&lt;&gt;"",U965&lt;&gt;"",V965&lt;&gt;"",AC965&lt;&gt;"")),"manuell übersteuert; ","")&amp;IF(AND(CA965=0,R965=0),"Gebinde unbekannt / Stellmass fehlt; ","")&amp;IF(AND(CA965=0,N(V965)&lt;=0,N(Q965)&lt;=0),"Menge pro Gebinde fehlt (Ist = 1 Gebinde); ","")&amp;BV965)</f>
        <v/>
      </c>
      <c r="BO965" s="60"/>
      <c r="BP965" s="60"/>
      <c r="BQ965" s="67"/>
      <c r="BR965" s="62" t="n">
        <v>2</v>
      </c>
      <c r="BS965" s="62" t="n">
        <v>188</v>
      </c>
      <c r="BT965" s="61" t="n">
        <v>-69.8600000000007</v>
      </c>
      <c r="BU965" s="62" t="n">
        <v>264</v>
      </c>
      <c r="BV965" s="60"/>
      <c r="BW965" s="65" t="n">
        <v>0</v>
      </c>
      <c r="BX965" s="65" t="n">
        <v>965</v>
      </c>
      <c r="BY965" s="60" t="str">
        <f aca="false">IF(U965&lt;&gt;"",UPPER(TRIM(U965)),IF(CB965=1,UPPER(VLOOKUP(T965,Parameter!$I$27:$K$29,2,0)),IF(P965="","LOSE",P965)))</f>
        <v>S33</v>
      </c>
      <c r="BZ965" s="62" t="n">
        <f aca="false">IF(BY965="LOSE",1,IF(N(V965)&gt;0,V965,IF(CB965=1,MAX(1,N(VLOOKUP(T965,Parameter!$I$27:$K$29,3,0)),H965,N(N965)),IF(N(Q965)&gt;0,Q965,MAX(1,H965)))))</f>
        <v>61</v>
      </c>
      <c r="CA965" s="65" t="n">
        <f aca="false">IF(BY965="LOSE",1,0)</f>
        <v>0</v>
      </c>
      <c r="CB965" s="65" t="n">
        <f aca="false">IF(AND(U965="",OR(P965="",P965="LOSE"),T965&lt;&gt;"",N(S965)&lt;=0,ISNUMBER(MATCH(T965,Parameter!$I$27:$I$29,0))),1,0)</f>
        <v>0</v>
      </c>
      <c r="CC965" s="65" t="n">
        <f aca="false">IF(CR965&gt;0,INDEX(Parameter!$H$5:$H$7,W965)/INDEX(Parameter!$E$5:$E$7,W965),IF(AND(CA965=0,N(IFERROR(VLOOKUP(BY965,'Gebinde-Kategorie'!$A$5:$N$45,14,0),0))&gt;0),VLOOKUP(BY965,'Gebinde-Kategorie'!$A$5:$N$45,14,0)*10+Parameter!$M$23,Parameter!$M$24))</f>
        <v>155</v>
      </c>
      <c r="CD965" s="60" t="str">
        <f aca="false">IF(AND(Parameter!$B$19="Ja",E965&lt;&gt;"",ISNUMBER(MATCH(E965,Parameter!$I$35:$I$52,0))),VLOOKUP(E965,Parameter!$I$35:$J$52,2,0),IFERROR(VLOOKUP(D965,Parameter!$A$35:$C$64,2,0),"Nein"))</f>
        <v>2+3</v>
      </c>
      <c r="CE965" s="64" t="n">
        <f aca="false">IF(CA965=0,0,IF(N(S965)&gt;0,S965,IFERROR(VLOOKUP(D965,Parameter!$A$35:$C$64,3,0)+0,0)))</f>
        <v>0</v>
      </c>
      <c r="CF965" s="60" t="n">
        <f aca="false">IF(AB965&lt;&gt;"",AB965,AA965)</f>
        <v>3</v>
      </c>
      <c r="CG965" s="60" t="str">
        <f aca="false">IF(OR(CF965=1,CF965=2,CF965=3),IF(Parameter!$E$27="Ja","LIFT",IF(CF965=1,"L1","L23")),IF(CF965="Aussen","Aussen","-"))</f>
        <v>LIFT</v>
      </c>
      <c r="CH965" s="71" t="n">
        <f aca="false">IF(N(AC965)&gt;0,AC965,0)</f>
        <v>0</v>
      </c>
      <c r="CI965" s="65" t="n">
        <f aca="false">IF(ISNUMBER(AF965),1,0)</f>
        <v>0</v>
      </c>
      <c r="CJ965" s="62" t="n">
        <f aca="false">N(AF965)</f>
        <v>0</v>
      </c>
      <c r="CK965" s="62" t="n">
        <f aca="false">N(M965)+N(N965)</f>
        <v>275</v>
      </c>
      <c r="CL965" s="62" t="n">
        <f aca="false">N(M965)</f>
        <v>10</v>
      </c>
      <c r="CM965" s="62" t="n">
        <f aca="false">N(N965)</f>
        <v>265</v>
      </c>
      <c r="CN965" s="62" t="n">
        <f aca="false">ROUNDUP(H965/BZ965,0)</f>
        <v>4</v>
      </c>
      <c r="CO965" s="62" t="n">
        <f aca="false">ROUNDUP(CJ965/BZ965,0)</f>
        <v>0</v>
      </c>
      <c r="CP965" s="65" t="n">
        <f aca="false">IF(CA965=1,0,IFERROR(VLOOKUP(BY965,'Gebinde-Kategorie'!$A$5:$N$45,5,0)+0,0))</f>
        <v>8</v>
      </c>
      <c r="CQ965" s="65" t="n">
        <f aca="false">IFERROR(IF(OR(CF965=1,CF965=2,CF965=3),N(INDEX(Parameter!$I$5:$I$7,CF965)),0),0)</f>
        <v>0</v>
      </c>
      <c r="CR965" s="64" t="n">
        <f aca="false">IF(AND(Parameter!$B$21="Ja",ISNUMBER(W965),N(X965)&gt;0),IFERROR(N(INDEX(Parameter!$L$5:$L$7,W965))*INDEX(Parameter!$E$5:$E$7,W965)*X965/SUMIFS($X$7:$X$1843,$W$7:$W$1843,W965),0),0)</f>
        <v>0</v>
      </c>
      <c r="CS965" s="62" t="n">
        <f aca="false">IF(AND(OR(CG965="L1",CG965="L23",CG965="LIFT"),H965&gt;0),CC965*IF(CR965&gt;0,CR965*MAX(1,H965/X965),IF(CA965=1,CE965,IF(R965&gt;0,CN965/R965,0))/MAX(0.1,N(Parameter!$M$21))),"")</f>
        <v>11.9230769230769</v>
      </c>
      <c r="CT965" s="64" t="n">
        <f aca="false">IF(CS965="","",J965/H965)</f>
        <v>1.38947368421053</v>
      </c>
      <c r="CU965" s="62" t="n">
        <f aca="false">IF(CS965="","",H965*G965)</f>
        <v>961.4</v>
      </c>
      <c r="CV965" s="63" t="n">
        <f aca="false">IF(CS965="","",(CL965+ROUNDUP(CL965+MAX(CM965,2*(J965/MAX(0.1,N(Einkauf!$C$6))-CL965)),0))/2)</f>
        <v>142.5</v>
      </c>
      <c r="CW965" s="62" t="n">
        <f aca="false">IF(CS965="","",MAX(0,H965-CV965)*G965)</f>
        <v>240.35</v>
      </c>
      <c r="CX965" s="62" t="n">
        <f aca="false">IF(CS965="","",CS965*MAX(0,1-CV965/H965))</f>
        <v>2.98076923076923</v>
      </c>
      <c r="CY965" s="64" t="n">
        <f aca="false">IF(CS965="","",PERCENTRANK($CS$7:$CS$1843,CS965)+PERCENTRANK($CU$7:$CU$1843,CU965)+1-PERCENTRANK($CT$7:$CT$1843,CT965))</f>
        <v>1.527</v>
      </c>
      <c r="CZ965" s="72" t="n">
        <f aca="false">IF(CS965="","",CHOOSE(MATCH(Einkauf!$C$5,Parameter!$G$23:$G$27,0),CY965,CS965,CU965,-CT965,CW965)+ROW()/1000000000)</f>
        <v>1.527000965</v>
      </c>
    </row>
    <row r="966" customFormat="false" ht="15" hidden="false" customHeight="false" outlineLevel="0" collapsed="false">
      <c r="A966" s="60" t="s">
        <v>1837</v>
      </c>
      <c r="B966" s="60" t="s">
        <v>1838</v>
      </c>
      <c r="C966" s="60" t="s">
        <v>206</v>
      </c>
      <c r="D966" s="60" t="s">
        <v>395</v>
      </c>
      <c r="E966" s="60"/>
      <c r="F966" s="60" t="s">
        <v>260</v>
      </c>
      <c r="G966" s="61" t="n">
        <v>71.23</v>
      </c>
      <c r="H966" s="62" t="n">
        <f aca="false">MAX(0,IF(AND(Parameter!$B$21="Ja",ISNUMBER(Y966)),Y966,IF(Parameter!$B$20="Jahresanfang 2025 + Export",BS966+BR966,BR966)))</f>
        <v>0</v>
      </c>
      <c r="I966" s="62" t="n">
        <f aca="false">H966*G966</f>
        <v>0</v>
      </c>
      <c r="J966" s="62" t="n">
        <f aca="false">BU966*Parameter!$B$18</f>
        <v>0</v>
      </c>
      <c r="K966" s="63" t="n">
        <v>0.5</v>
      </c>
      <c r="L966" s="64" t="n">
        <v>0</v>
      </c>
      <c r="M966" s="62" t="n">
        <v>0</v>
      </c>
      <c r="N966" s="62" t="n">
        <v>0</v>
      </c>
      <c r="O966" s="65" t="n">
        <v>28</v>
      </c>
      <c r="P966" s="60" t="s">
        <v>210</v>
      </c>
      <c r="Q966" s="62"/>
      <c r="R966" s="65" t="n">
        <f aca="false">IF(CA966=1,0,IFERROR(VLOOKUP(BY966,'Gebinde-Kategorie'!$A$5:$N$45,13,0)+0,0))</f>
        <v>0</v>
      </c>
      <c r="S966" s="66"/>
      <c r="T966" s="67"/>
      <c r="U966" s="67"/>
      <c r="V966" s="67"/>
      <c r="W966" s="60"/>
      <c r="X966" s="62"/>
      <c r="Y966" s="62"/>
      <c r="Z966" s="60"/>
      <c r="AA966" s="60" t="str">
        <f aca="false">IF(A966="","",IF(AND(Parameter!$B$21="Ja",ISNUMBER(W966)),W966,IF(AND(Parameter!$E$27="Ja",ISNUMBER(Z966),CD966&lt;&gt;"Nein"),Z966,IF(CD966="2+3",IF(ISNUMBER(SEARCH("grosser Artikel",BV966)),2,IFERROR(VLOOKUP(BY966,Parameter!$F$35:$G$64,2,0),2)),IF(OR(CD966="Nein",CD966=""),"-",CD966)))))</f>
        <v>-</v>
      </c>
      <c r="AB966" s="67"/>
      <c r="AC966" s="68"/>
      <c r="AD966" s="62" t="n">
        <f aca="false">AW966</f>
        <v>0</v>
      </c>
      <c r="AE966" s="62" t="n">
        <f aca="false">MAX(AW966,H966)</f>
        <v>0</v>
      </c>
      <c r="AF966" s="69"/>
      <c r="AG966" s="62" t="n">
        <f aca="false">IF(LEFT(Cockpit!$C$5,1)="A",H966,IF(Parameter!$E$30="MAX-Bestand",IF(CI966=1,CJ966,IF(LEFT(Cockpit!$C$5,1)="B",AM966,MAX(AM966,H966))),ROUNDUP(AK966,0)))</f>
        <v>0</v>
      </c>
      <c r="AH966" s="62" t="n">
        <f aca="false">IF(CA966=1,0,ROUNDUP(AG966/BZ966,0))</f>
        <v>0</v>
      </c>
      <c r="AI966" s="64" t="n">
        <f aca="false">IF(CR966&gt;0,CR966*MAX(1,AG966/X966),IF(CA966=1,IF(AG966&lt;=0,0,CE966*MAX(1,IF(H966&gt;0,AG966/H966,1))),IF(R966&gt;0,AH966/R966,0))/MAX(0.1,N(Parameter!$M$21)))</f>
        <v>0</v>
      </c>
      <c r="AJ966" s="62" t="n">
        <f aca="false">AI966*CC966</f>
        <v>0</v>
      </c>
      <c r="AK966" s="63" t="n">
        <f aca="false">IF(LEFT(Cockpit!$C$5,1)="A",H966,IF(CI966=1,(CL966+CJ966)/2,IF(LEFT(Cockpit!$C$5,1)="B",(CL966+AM966)/2,MAX((CL966+AM966)/2,H966))))</f>
        <v>0</v>
      </c>
      <c r="AL966" s="62" t="n">
        <f aca="false">AK966*G966</f>
        <v>0</v>
      </c>
      <c r="AM966" s="62" t="n">
        <f aca="false">ROUNDUP(CL966+MAX(CM966,2*(J966/IF(CH966&gt;0,CH966,MAX(0.1,N(Cockpit!$C$6)))-CL966)),0)</f>
        <v>0</v>
      </c>
      <c r="AN966" s="63" t="n">
        <f aca="false">IF(AJ966&gt;0,J966/AJ966,-1)</f>
        <v>-1</v>
      </c>
      <c r="AO966" s="63" t="str">
        <f aca="false">IF(AND(OR(CG966="L1",CG966="L23",CG966="LIFT"),AJ966&gt;0),SUMIFS($AJ$7:$AJ$1843,$CG$7:$CG$1843,CG966,$AN$7:$AN$1843,"&gt;"&amp;AN966)+SUMIFS($AJ$7:$AJ$1843,$CG$7:$CG$1843,CG966,$AN$7:$AN$1843,AN966,$BX$7:$BX$1843,"&lt;="&amp;BX966),"")</f>
        <v/>
      </c>
      <c r="AP966" s="70" t="n">
        <f aca="false">IF(AO966="",0,MAX(0,MIN(1,(IF(CG966="L1",Parameter!$H$5,IF(CG966="L23",Parameter!$H$6+Parameter!$H$7,Parameter!$H$5+Parameter!$H$6+Parameter!$H$7))-(AO966-AJ966))/AJ966)))</f>
        <v>0</v>
      </c>
      <c r="AQ966" s="62" t="n">
        <f aca="false">IF(LEFT(Cockpit!$I$5,1)="A",H966,IF(Parameter!$E$30="MAX-Bestand",IF(CI966=1,CJ966,IF(LEFT(Cockpit!$I$5,1)="B",AW966,MAX(AW966,H966))),ROUNDUP(AU966,0)))</f>
        <v>0</v>
      </c>
      <c r="AR966" s="62" t="n">
        <f aca="false">IF(CA966=1,0,ROUNDUP(AQ966/BZ966,0))</f>
        <v>0</v>
      </c>
      <c r="AS966" s="64" t="n">
        <f aca="false">IF(CR966&gt;0,CR966*MAX(1,AQ966/X966),IF(CA966=1,IF(AQ966&lt;=0,0,CE966*MAX(1,IF(H966&gt;0,AQ966/H966,1))),IF(R966&gt;0,AR966/R966,0))/MAX(0.1,N(Parameter!$M$21)))</f>
        <v>0</v>
      </c>
      <c r="AT966" s="62" t="n">
        <f aca="false">AS966*CC966</f>
        <v>0</v>
      </c>
      <c r="AU966" s="63" t="n">
        <f aca="false">IF(LEFT(Cockpit!$I$5,1)="A",H966,IF(CI966=1,(CL966+CJ966)/2,IF(LEFT(Cockpit!$I$5,1)="B",(CL966+AW966)/2,MAX((CL966+AW966)/2,H966))))</f>
        <v>0</v>
      </c>
      <c r="AV966" s="62" t="n">
        <f aca="false">AU966*G966</f>
        <v>0</v>
      </c>
      <c r="AW966" s="62" t="n">
        <f aca="false">ROUNDUP(CL966+MAX(CM966,2*(J966/IF(CH966&gt;0,CH966,MAX(0.1,N(Cockpit!$I$6)))-CL966)),0)</f>
        <v>0</v>
      </c>
      <c r="AX966" s="63" t="n">
        <f aca="false">IF(AT966&gt;0,J966/AT966,-1)</f>
        <v>-1</v>
      </c>
      <c r="AY966" s="63" t="str">
        <f aca="false">IF(AND(OR(CG966="L1",CG966="L23",CG966="LIFT"),AT966&gt;0),SUMIFS($AT$7:$AT$1843,$CG$7:$CG$1843,CG966,$AX$7:$AX$1843,"&gt;"&amp;AX966)+SUMIFS($AT$7:$AT$1843,$CG$7:$CG$1843,CG966,$AX$7:$AX$1843,AX966,$BX$7:$BX$1843,"&lt;="&amp;BX966),"")</f>
        <v/>
      </c>
      <c r="AZ966" s="70" t="n">
        <f aca="false">IF(AY966="",0,MAX(0,MIN(1,(IF(CG966="L1",Parameter!$H$5,IF(CG966="L23",Parameter!$H$6+Parameter!$H$7,Parameter!$H$5+Parameter!$H$6+Parameter!$H$7))-(AY966-AT966))/AT966)))</f>
        <v>0</v>
      </c>
      <c r="BA966" s="62" t="n">
        <f aca="false">IF(LEFT(Cockpit!$O$5,1)="A",H966,IF(Parameter!$E$30="MAX-Bestand",IF(CI966=1,CJ966,IF(LEFT(Cockpit!$O$5,1)="B",BG966,MAX(BG966,H966))),ROUNDUP(BE966,0)))</f>
        <v>0</v>
      </c>
      <c r="BB966" s="62" t="n">
        <f aca="false">IF(CA966=1,0,ROUNDUP(BA966/BZ966,0))</f>
        <v>0</v>
      </c>
      <c r="BC966" s="64" t="n">
        <f aca="false">IF(CR966&gt;0,CR966*MAX(1,BA966/X966),IF(CA966=1,IF(BA966&lt;=0,0,CE966*MAX(1,IF(H966&gt;0,BA966/H966,1))),IF(R966&gt;0,BB966/R966,0))/MAX(0.1,N(Parameter!$M$21)))</f>
        <v>0</v>
      </c>
      <c r="BD966" s="62" t="n">
        <f aca="false">BC966*CC966</f>
        <v>0</v>
      </c>
      <c r="BE966" s="63" t="n">
        <f aca="false">IF(LEFT(Cockpit!$O$5,1)="A",H966,IF(CI966=1,(CL966+CJ966)/2,IF(LEFT(Cockpit!$O$5,1)="B",(CL966+BG966)/2,MAX((CL966+BG966)/2,H966))))</f>
        <v>0</v>
      </c>
      <c r="BF966" s="62" t="n">
        <f aca="false">BE966*G966</f>
        <v>0</v>
      </c>
      <c r="BG966" s="62" t="n">
        <f aca="false">ROUNDUP(CL966+MAX(CM966,2*(J966/IF(CH966&gt;0,CH966,MAX(0.1,N(Cockpit!$O$6)))-CL966)),0)</f>
        <v>0</v>
      </c>
      <c r="BH966" s="63" t="n">
        <f aca="false">IF(BD966&gt;0,J966/BD966,-1)</f>
        <v>-1</v>
      </c>
      <c r="BI966" s="63" t="str">
        <f aca="false">IF(AND(OR(CG966="L1",CG966="L23",CG966="LIFT"),BD966&gt;0),SUMIFS($BD$7:$BD$1843,$CG$7:$CG$1843,CG966,$BH$7:$BH$1843,"&gt;"&amp;BH966)+SUMIFS($BD$7:$BD$1843,$CG$7:$CG$1843,CG966,$BH$7:$BH$1843,BH966,$BX$7:$BX$1843,"&lt;="&amp;BX966),"")</f>
        <v/>
      </c>
      <c r="BJ966" s="70" t="n">
        <f aca="false">IF(BI966="",0,MAX(0,MIN(1,(IF(CG966="L1",Parameter!$H$5,IF(CG966="L23",Parameter!$H$6+Parameter!$H$7,Parameter!$H$5+Parameter!$H$6+Parameter!$H$7))-(BI966-BD966))/BD966)))</f>
        <v>0</v>
      </c>
      <c r="BK966" s="60" t="str">
        <f aca="false">IF(AJ966&lt;=0,"",IF(CG966="Aussen","Aussenlager",IF(CG966="-","Nicht im Lift",IF(AP966&gt;=1,"Lift",IF(AP966&lt;=0,"Aussenlager","teilweise")))))</f>
        <v/>
      </c>
      <c r="BL966" s="60" t="str">
        <f aca="false">IF(AT966&lt;=0,"",IF(CG966="Aussen","Aussenlager",IF(CG966="-","Nicht im Lift",IF(AZ966&gt;=1,"Lift",IF(AZ966&lt;=0,"Aussenlager","teilweise")))))</f>
        <v/>
      </c>
      <c r="BM966" s="60" t="str">
        <f aca="false">IF(BD966&lt;=0,"",IF(CG966="Aussen","Aussenlager",IF(CG966="-","Nicht im Lift",IF(BJ966&gt;=1,"Lift",IF(BJ966&lt;=0,"Aussenlager","teilweise")))))</f>
        <v/>
      </c>
      <c r="BN966" s="60" t="str">
        <f aca="false">IF(A966="","",IF(BW966=1,"Neu; ","")&amp;IF(AND(BW966=0,BR966&lt;0),"negativer Bestand (Export "&amp;BR966&amp;"); ","")&amp;IF(J966&lt;=0,"Kein Verbrauch; ","")&amp;IF(CR966&gt;0,"Lift "&amp;W966&amp;" lt. Liftbericht (Fach "&amp;X966&amp;" Stk); ",IF(CB966=1,"Gebinde geschätzt ("&amp;T966&amp;"); ",IF(CA966=1,"Lose – Tablare geschätzt; ","")))&amp;IF(H966&gt;AW966,"Überbestand "&amp;ROUND(H966-AW966,0)&amp;" Stk / CHF "&amp;ROUND((H966-AW966)*G966,0)&amp;"; ","")&amp;IF(AND(CI966=1,CJ966&lt;CK966),"MAX &lt; MB+LG; ","")&amp;IF(AND(CQ966&gt;0,CP966*10&gt;CQ966),"zu hoch für Tablar; ","")&amp;IF(AND(BW966=0,OR(CI966=1,AB966&lt;&gt;"",U966&lt;&gt;"",V966&lt;&gt;"",AC966&lt;&gt;"")),"manuell übersteuert; ","")&amp;IF(AND(CA966=0,R966=0),"Gebinde unbekannt / Stellmass fehlt; ","")&amp;IF(AND(CA966=0,N(V966)&lt;=0,N(Q966)&lt;=0),"Menge pro Gebinde fehlt (Ist = 1 Gebinde); ","")&amp;BV966)</f>
        <v>negativer Bestand (Export -1); Kein Verbrauch; Lose – Tablare geschätzt; </v>
      </c>
      <c r="BO966" s="60"/>
      <c r="BP966" s="60"/>
      <c r="BQ966" s="67"/>
      <c r="BR966" s="62" t="n">
        <v>-1</v>
      </c>
      <c r="BS966" s="62" t="n">
        <v>1</v>
      </c>
      <c r="BT966" s="61" t="n">
        <v>-71.23</v>
      </c>
      <c r="BU966" s="62" t="n">
        <v>0</v>
      </c>
      <c r="BV966" s="60"/>
      <c r="BW966" s="65" t="n">
        <v>0</v>
      </c>
      <c r="BX966" s="65" t="n">
        <v>966</v>
      </c>
      <c r="BY966" s="60" t="str">
        <f aca="false">IF(U966&lt;&gt;"",UPPER(TRIM(U966)),IF(CB966=1,UPPER(VLOOKUP(T966,Parameter!$I$27:$K$29,2,0)),IF(P966="","LOSE",P966)))</f>
        <v>LOSE</v>
      </c>
      <c r="BZ966" s="62" t="n">
        <f aca="false">IF(BY966="LOSE",1,IF(N(V966)&gt;0,V966,IF(CB966=1,MAX(1,N(VLOOKUP(T966,Parameter!$I$27:$K$29,3,0)),H966,N(N966)),IF(N(Q966)&gt;0,Q966,MAX(1,H966)))))</f>
        <v>1</v>
      </c>
      <c r="CA966" s="65" t="n">
        <f aca="false">IF(BY966="LOSE",1,0)</f>
        <v>1</v>
      </c>
      <c r="CB966" s="65" t="n">
        <f aca="false">IF(AND(U966="",OR(P966="",P966="LOSE"),T966&lt;&gt;"",N(S966)&lt;=0,ISNUMBER(MATCH(T966,Parameter!$I$27:$I$29,0))),1,0)</f>
        <v>0</v>
      </c>
      <c r="CC966" s="65" t="n">
        <f aca="false">IF(CR966&gt;0,INDEX(Parameter!$H$5:$H$7,W966)/INDEX(Parameter!$E$5:$E$7,W966),IF(AND(CA966=0,N(IFERROR(VLOOKUP(BY966,'Gebinde-Kategorie'!$A$5:$N$45,14,0),0))&gt;0),VLOOKUP(BY966,'Gebinde-Kategorie'!$A$5:$N$45,14,0)*10+Parameter!$M$23,Parameter!$M$24))</f>
        <v>235</v>
      </c>
      <c r="CD966" s="60" t="str">
        <f aca="false">IF(AND(Parameter!$B$19="Ja",E966&lt;&gt;"",ISNUMBER(MATCH(E966,Parameter!$I$35:$I$52,0))),VLOOKUP(E966,Parameter!$I$35:$J$52,2,0),IFERROR(VLOOKUP(D966,Parameter!$A$35:$C$64,2,0),"Nein"))</f>
        <v>Nein</v>
      </c>
      <c r="CE966" s="64" t="n">
        <f aca="false">IF(CA966=0,0,IF(N(S966)&gt;0,S966,IFERROR(VLOOKUP(D966,Parameter!$A$35:$C$64,3,0)+0,0)))</f>
        <v>0.15</v>
      </c>
      <c r="CF966" s="60" t="str">
        <f aca="false">IF(AB966&lt;&gt;"",AB966,AA966)</f>
        <v>-</v>
      </c>
      <c r="CG966" s="60" t="str">
        <f aca="false">IF(OR(CF966=1,CF966=2,CF966=3),IF(Parameter!$E$27="Ja","LIFT",IF(CF966=1,"L1","L23")),IF(CF966="Aussen","Aussen","-"))</f>
        <v>-</v>
      </c>
      <c r="CH966" s="71" t="n">
        <f aca="false">IF(N(AC966)&gt;0,AC966,0)</f>
        <v>0</v>
      </c>
      <c r="CI966" s="65" t="n">
        <f aca="false">IF(ISNUMBER(AF966),1,0)</f>
        <v>0</v>
      </c>
      <c r="CJ966" s="62" t="n">
        <f aca="false">N(AF966)</f>
        <v>0</v>
      </c>
      <c r="CK966" s="62" t="n">
        <f aca="false">N(M966)+N(N966)</f>
        <v>0</v>
      </c>
      <c r="CL966" s="62" t="n">
        <f aca="false">N(M966)</f>
        <v>0</v>
      </c>
      <c r="CM966" s="62" t="n">
        <f aca="false">N(N966)</f>
        <v>0</v>
      </c>
      <c r="CN966" s="62" t="n">
        <f aca="false">ROUNDUP(H966/BZ966,0)</f>
        <v>0</v>
      </c>
      <c r="CO966" s="62" t="n">
        <f aca="false">ROUNDUP(CJ966/BZ966,0)</f>
        <v>0</v>
      </c>
      <c r="CP966" s="65" t="n">
        <f aca="false">IF(CA966=1,0,IFERROR(VLOOKUP(BY966,'Gebinde-Kategorie'!$A$5:$N$45,5,0)+0,0))</f>
        <v>0</v>
      </c>
      <c r="CQ966" s="65" t="n">
        <f aca="false">IFERROR(IF(OR(CF966=1,CF966=2,CF966=3),N(INDEX(Parameter!$I$5:$I$7,CF966)),0),0)</f>
        <v>0</v>
      </c>
      <c r="CR966" s="64" t="n">
        <f aca="false">IF(AND(Parameter!$B$21="Ja",ISNUMBER(W966),N(X966)&gt;0),IFERROR(N(INDEX(Parameter!$L$5:$L$7,W966))*INDEX(Parameter!$E$5:$E$7,W966)*X966/SUMIFS($X$7:$X$1843,$W$7:$W$1843,W966),0),0)</f>
        <v>0</v>
      </c>
      <c r="CS966" s="62" t="str">
        <f aca="false">IF(AND(OR(CG966="L1",CG966="L23",CG966="LIFT"),H966&gt;0),CC966*IF(CR966&gt;0,CR966*MAX(1,H966/X966),IF(CA966=1,CE966,IF(R966&gt;0,CN966/R966,0))/MAX(0.1,N(Parameter!$M$21))),"")</f>
        <v/>
      </c>
      <c r="CT966" s="64" t="str">
        <f aca="false">IF(CS966="","",J966/H966)</f>
        <v/>
      </c>
      <c r="CU966" s="62" t="str">
        <f aca="false">IF(CS966="","",H966*G966)</f>
        <v/>
      </c>
      <c r="CV966" s="63" t="str">
        <f aca="false">IF(CS966="","",(CL966+ROUNDUP(CL966+MAX(CM966,2*(J966/MAX(0.1,N(Einkauf!$C$6))-CL966)),0))/2)</f>
        <v/>
      </c>
      <c r="CW966" s="62" t="str">
        <f aca="false">IF(CS966="","",MAX(0,H966-CV966)*G966)</f>
        <v/>
      </c>
      <c r="CX966" s="62" t="str">
        <f aca="false">IF(CS966="","",CS966*MAX(0,1-CV966/H966))</f>
        <v/>
      </c>
      <c r="CY966" s="64" t="str">
        <f aca="false">IF(CS966="","",PERCENTRANK($CS$7:$CS$1843,CS966)+PERCENTRANK($CU$7:$CU$1843,CU966)+1-PERCENTRANK($CT$7:$CT$1843,CT966))</f>
        <v/>
      </c>
      <c r="CZ966" s="72" t="str">
        <f aca="false">IF(CS966="","",CHOOSE(MATCH(Einkauf!$C$5,Parameter!$G$23:$G$27,0),CY966,CS966,CU966,-CT966,CW966)+ROW()/1000000000)</f>
        <v/>
      </c>
    </row>
    <row r="967" customFormat="false" ht="15" hidden="false" customHeight="false" outlineLevel="0" collapsed="false">
      <c r="A967" s="60" t="s">
        <v>1839</v>
      </c>
      <c r="B967" s="60" t="s">
        <v>1321</v>
      </c>
      <c r="C967" s="60" t="s">
        <v>206</v>
      </c>
      <c r="D967" s="60" t="s">
        <v>226</v>
      </c>
      <c r="E967" s="60" t="s">
        <v>227</v>
      </c>
      <c r="F967" s="60" t="s">
        <v>260</v>
      </c>
      <c r="G967" s="61" t="n">
        <v>2.5</v>
      </c>
      <c r="H967" s="62" t="n">
        <f aca="false">MAX(0,IF(AND(Parameter!$B$21="Ja",ISNUMBER(Y967)),Y967,IF(Parameter!$B$20="Jahresanfang 2025 + Export",BS967+BR967,BR967)))</f>
        <v>0</v>
      </c>
      <c r="I967" s="62" t="n">
        <f aca="false">H967*G967</f>
        <v>0</v>
      </c>
      <c r="J967" s="62" t="n">
        <f aca="false">BU967*Parameter!$B$18</f>
        <v>17</v>
      </c>
      <c r="K967" s="63" t="n">
        <v>26</v>
      </c>
      <c r="L967" s="64" t="n">
        <v>0.653846153846154</v>
      </c>
      <c r="M967" s="62" t="n">
        <v>0</v>
      </c>
      <c r="N967" s="62" t="n">
        <v>15</v>
      </c>
      <c r="O967" s="65" t="n">
        <v>14</v>
      </c>
      <c r="P967" s="60" t="s">
        <v>443</v>
      </c>
      <c r="Q967" s="62" t="n">
        <v>20</v>
      </c>
      <c r="R967" s="65" t="n">
        <f aca="false">IF(CA967=1,0,IFERROR(VLOOKUP(BY967,'Gebinde-Kategorie'!$A$5:$N$45,13,0)+0,0))</f>
        <v>280</v>
      </c>
      <c r="S967" s="66"/>
      <c r="T967" s="67"/>
      <c r="U967" s="67"/>
      <c r="V967" s="67"/>
      <c r="W967" s="60"/>
      <c r="X967" s="62"/>
      <c r="Y967" s="62"/>
      <c r="Z967" s="60" t="n">
        <v>3</v>
      </c>
      <c r="AA967" s="60" t="n">
        <f aca="false">IF(A967="","",IF(AND(Parameter!$B$21="Ja",ISNUMBER(W967)),W967,IF(AND(Parameter!$E$27="Ja",ISNUMBER(Z967),CD967&lt;&gt;"Nein"),Z967,IF(CD967="2+3",IF(ISNUMBER(SEARCH("grosser Artikel",BV967)),2,IFERROR(VLOOKUP(BY967,Parameter!$F$35:$G$64,2,0),2)),IF(OR(CD967="Nein",CD967=""),"-",CD967)))))</f>
        <v>3</v>
      </c>
      <c r="AB967" s="67"/>
      <c r="AC967" s="68"/>
      <c r="AD967" s="62" t="n">
        <f aca="false">AW967</f>
        <v>15</v>
      </c>
      <c r="AE967" s="62" t="n">
        <f aca="false">MAX(AW967,H967)</f>
        <v>15</v>
      </c>
      <c r="AF967" s="69"/>
      <c r="AG967" s="62" t="n">
        <f aca="false">IF(LEFT(Cockpit!$C$5,1)="A",H967,IF(Parameter!$E$30="MAX-Bestand",IF(CI967=1,CJ967,IF(LEFT(Cockpit!$C$5,1)="B",AM967,MAX(AM967,H967))),ROUNDUP(AK967,0)))</f>
        <v>0</v>
      </c>
      <c r="AH967" s="62" t="n">
        <f aca="false">IF(CA967=1,0,ROUNDUP(AG967/BZ967,0))</f>
        <v>0</v>
      </c>
      <c r="AI967" s="64" t="n">
        <f aca="false">IF(CR967&gt;0,CR967*MAX(1,AG967/X967),IF(CA967=1,IF(AG967&lt;=0,0,CE967*MAX(1,IF(H967&gt;0,AG967/H967,1))),IF(R967&gt;0,AH967/R967,0))/MAX(0.1,N(Parameter!$M$21)))</f>
        <v>0</v>
      </c>
      <c r="AJ967" s="62" t="n">
        <f aca="false">AI967*CC967</f>
        <v>0</v>
      </c>
      <c r="AK967" s="63" t="n">
        <f aca="false">IF(LEFT(Cockpit!$C$5,1)="A",H967,IF(CI967=1,(CL967+CJ967)/2,IF(LEFT(Cockpit!$C$5,1)="B",(CL967+AM967)/2,MAX((CL967+AM967)/2,H967))))</f>
        <v>0</v>
      </c>
      <c r="AL967" s="62" t="n">
        <f aca="false">AK967*G967</f>
        <v>0</v>
      </c>
      <c r="AM967" s="62" t="n">
        <f aca="false">ROUNDUP(CL967+MAX(CM967,2*(J967/IF(CH967&gt;0,CH967,MAX(0.1,N(Cockpit!$C$6)))-CL967)),0)</f>
        <v>15</v>
      </c>
      <c r="AN967" s="63" t="n">
        <f aca="false">IF(AJ967&gt;0,J967/AJ967,-1)</f>
        <v>-1</v>
      </c>
      <c r="AO967" s="63" t="str">
        <f aca="false">IF(AND(OR(CG967="L1",CG967="L23",CG967="LIFT"),AJ967&gt;0),SUMIFS($AJ$7:$AJ$1843,$CG$7:$CG$1843,CG967,$AN$7:$AN$1843,"&gt;"&amp;AN967)+SUMIFS($AJ$7:$AJ$1843,$CG$7:$CG$1843,CG967,$AN$7:$AN$1843,AN967,$BX$7:$BX$1843,"&lt;="&amp;BX967),"")</f>
        <v/>
      </c>
      <c r="AP967" s="70" t="n">
        <f aca="false">IF(AO967="",0,MAX(0,MIN(1,(IF(CG967="L1",Parameter!$H$5,IF(CG967="L23",Parameter!$H$6+Parameter!$H$7,Parameter!$H$5+Parameter!$H$6+Parameter!$H$7))-(AO967-AJ967))/AJ967)))</f>
        <v>0</v>
      </c>
      <c r="AQ967" s="62" t="n">
        <f aca="false">IF(LEFT(Cockpit!$I$5,1)="A",H967,IF(Parameter!$E$30="MAX-Bestand",IF(CI967=1,CJ967,IF(LEFT(Cockpit!$I$5,1)="B",AW967,MAX(AW967,H967))),ROUNDUP(AU967,0)))</f>
        <v>8</v>
      </c>
      <c r="AR967" s="62" t="n">
        <f aca="false">IF(CA967=1,0,ROUNDUP(AQ967/BZ967,0))</f>
        <v>1</v>
      </c>
      <c r="AS967" s="64" t="n">
        <f aca="false">IF(CR967&gt;0,CR967*MAX(1,AQ967/X967),IF(CA967=1,IF(AQ967&lt;=0,0,CE967*MAX(1,IF(H967&gt;0,AQ967/H967,1))),IF(R967&gt;0,AR967/R967,0))/MAX(0.1,N(Parameter!$M$21)))</f>
        <v>0.00357142857142857</v>
      </c>
      <c r="AT967" s="62" t="n">
        <f aca="false">AS967*CC967</f>
        <v>0.553571428571429</v>
      </c>
      <c r="AU967" s="63" t="n">
        <f aca="false">IF(LEFT(Cockpit!$I$5,1)="A",H967,IF(CI967=1,(CL967+CJ967)/2,IF(LEFT(Cockpit!$I$5,1)="B",(CL967+AW967)/2,MAX((CL967+AW967)/2,H967))))</f>
        <v>7.5</v>
      </c>
      <c r="AV967" s="62" t="n">
        <f aca="false">AU967*G967</f>
        <v>18.75</v>
      </c>
      <c r="AW967" s="62" t="n">
        <f aca="false">ROUNDUP(CL967+MAX(CM967,2*(J967/IF(CH967&gt;0,CH967,MAX(0.1,N(Cockpit!$I$6)))-CL967)),0)</f>
        <v>15</v>
      </c>
      <c r="AX967" s="63" t="n">
        <f aca="false">IF(AT967&gt;0,J967/AT967,-1)</f>
        <v>30.7096774193548</v>
      </c>
      <c r="AY967" s="63" t="n">
        <f aca="false">IF(AND(OR(CG967="L1",CG967="L23",CG967="LIFT"),AT967&gt;0),SUMIFS($AT$7:$AT$1843,$CG$7:$CG$1843,CG967,$AX$7:$AX$1843,"&gt;"&amp;AX967)+SUMIFS($AT$7:$AT$1843,$CG$7:$CG$1843,CG967,$AX$7:$AX$1843,AX967,$BX$7:$BX$1843,"&lt;="&amp;BX967),"")</f>
        <v>1812.55586080586</v>
      </c>
      <c r="AZ967" s="70" t="n">
        <f aca="false">IF(AY967="",0,MAX(0,MIN(1,(IF(CG967="L1",Parameter!$H$5,IF(CG967="L23",Parameter!$H$6+Parameter!$H$7,Parameter!$H$5+Parameter!$H$6+Parameter!$H$7))-(AY967-AT967))/AT967)))</f>
        <v>1</v>
      </c>
      <c r="BA967" s="62" t="n">
        <f aca="false">IF(LEFT(Cockpit!$O$5,1)="A",H967,IF(Parameter!$E$30="MAX-Bestand",IF(CI967=1,CJ967,IF(LEFT(Cockpit!$O$5,1)="B",BG967,MAX(BG967,H967))),ROUNDUP(BE967,0)))</f>
        <v>8</v>
      </c>
      <c r="BB967" s="62" t="n">
        <f aca="false">IF(CA967=1,0,ROUNDUP(BA967/BZ967,0))</f>
        <v>1</v>
      </c>
      <c r="BC967" s="64" t="n">
        <f aca="false">IF(CR967&gt;0,CR967*MAX(1,BA967/X967),IF(CA967=1,IF(BA967&lt;=0,0,CE967*MAX(1,IF(H967&gt;0,BA967/H967,1))),IF(R967&gt;0,BB967/R967,0))/MAX(0.1,N(Parameter!$M$21)))</f>
        <v>0.00357142857142857</v>
      </c>
      <c r="BD967" s="62" t="n">
        <f aca="false">BC967*CC967</f>
        <v>0.553571428571429</v>
      </c>
      <c r="BE967" s="63" t="n">
        <f aca="false">IF(LEFT(Cockpit!$O$5,1)="A",H967,IF(CI967=1,(CL967+CJ967)/2,IF(LEFT(Cockpit!$O$5,1)="B",(CL967+BG967)/2,MAX((CL967+BG967)/2,H967))))</f>
        <v>7.5</v>
      </c>
      <c r="BF967" s="62" t="n">
        <f aca="false">BE967*G967</f>
        <v>18.75</v>
      </c>
      <c r="BG967" s="62" t="n">
        <f aca="false">ROUNDUP(CL967+MAX(CM967,2*(J967/IF(CH967&gt;0,CH967,MAX(0.1,N(Cockpit!$O$6)))-CL967)),0)</f>
        <v>15</v>
      </c>
      <c r="BH967" s="63" t="n">
        <f aca="false">IF(BD967&gt;0,J967/BD967,-1)</f>
        <v>30.7096774193548</v>
      </c>
      <c r="BI967" s="63" t="n">
        <f aca="false">IF(AND(OR(CG967="L1",CG967="L23",CG967="LIFT"),BD967&gt;0),SUMIFS($BD$7:$BD$1843,$CG$7:$CG$1843,CG967,$BH$7:$BH$1843,"&gt;"&amp;BH967)+SUMIFS($BD$7:$BD$1843,$CG$7:$CG$1843,CG967,$BH$7:$BH$1843,BH967,$BX$7:$BX$1843,"&lt;="&amp;BX967),"")</f>
        <v>1755.97893772894</v>
      </c>
      <c r="BJ967" s="70" t="n">
        <f aca="false">IF(BI967="",0,MAX(0,MIN(1,(IF(CG967="L1",Parameter!$H$5,IF(CG967="L23",Parameter!$H$6+Parameter!$H$7,Parameter!$H$5+Parameter!$H$6+Parameter!$H$7))-(BI967-BD967))/BD967)))</f>
        <v>1</v>
      </c>
      <c r="BK967" s="60" t="str">
        <f aca="false">IF(AJ967&lt;=0,"",IF(CG967="Aussen","Aussenlager",IF(CG967="-","Nicht im Lift",IF(AP967&gt;=1,"Lift",IF(AP967&lt;=0,"Aussenlager","teilweise")))))</f>
        <v/>
      </c>
      <c r="BL967" s="60" t="str">
        <f aca="false">IF(AT967&lt;=0,"",IF(CG967="Aussen","Aussenlager",IF(CG967="-","Nicht im Lift",IF(AZ967&gt;=1,"Lift",IF(AZ967&lt;=0,"Aussenlager","teilweise")))))</f>
        <v>Lift</v>
      </c>
      <c r="BM967" s="60" t="str">
        <f aca="false">IF(BD967&lt;=0,"",IF(CG967="Aussen","Aussenlager",IF(CG967="-","Nicht im Lift",IF(BJ967&gt;=1,"Lift",IF(BJ967&lt;=0,"Aussenlager","teilweise")))))</f>
        <v>Lift</v>
      </c>
      <c r="BN967" s="60" t="str">
        <f aca="false">IF(A967="","",IF(BW967=1,"Neu; ","")&amp;IF(AND(BW967=0,BR967&lt;0),"negativer Bestand (Export "&amp;BR967&amp;"); ","")&amp;IF(J967&lt;=0,"Kein Verbrauch; ","")&amp;IF(CR967&gt;0,"Lift "&amp;W967&amp;" lt. Liftbericht (Fach "&amp;X967&amp;" Stk); ",IF(CB967=1,"Gebinde geschätzt ("&amp;T967&amp;"); ",IF(CA967=1,"Lose – Tablare geschätzt; ","")))&amp;IF(H967&gt;AW967,"Überbestand "&amp;ROUND(H967-AW967,0)&amp;" Stk / CHF "&amp;ROUND((H967-AW967)*G967,0)&amp;"; ","")&amp;IF(AND(CI967=1,CJ967&lt;CK967),"MAX &lt; MB+LG; ","")&amp;IF(AND(CQ967&gt;0,CP967*10&gt;CQ967),"zu hoch für Tablar; ","")&amp;IF(AND(BW967=0,OR(CI967=1,AB967&lt;&gt;"",U967&lt;&gt;"",V967&lt;&gt;"",AC967&lt;&gt;"")),"manuell übersteuert; ","")&amp;IF(AND(CA967=0,R967=0),"Gebinde unbekannt / Stellmass fehlt; ","")&amp;IF(AND(CA967=0,N(V967)&lt;=0,N(Q967)&lt;=0),"Menge pro Gebinde fehlt (Ist = 1 Gebinde); ","")&amp;BV967)</f>
        <v>negativer Bestand (Export -29); </v>
      </c>
      <c r="BO967" s="60"/>
      <c r="BP967" s="60"/>
      <c r="BQ967" s="67"/>
      <c r="BR967" s="62" t="n">
        <v>-29</v>
      </c>
      <c r="BS967" s="62" t="n">
        <v>29</v>
      </c>
      <c r="BT967" s="61" t="n">
        <v>-71.63</v>
      </c>
      <c r="BU967" s="62" t="n">
        <v>17</v>
      </c>
      <c r="BV967" s="60"/>
      <c r="BW967" s="65" t="n">
        <v>0</v>
      </c>
      <c r="BX967" s="65" t="n">
        <v>967</v>
      </c>
      <c r="BY967" s="60" t="str">
        <f aca="false">IF(U967&lt;&gt;"",UPPER(TRIM(U967)),IF(CB967=1,UPPER(VLOOKUP(T967,Parameter!$I$27:$K$29,2,0)),IF(P967="","LOSE",P967)))</f>
        <v>S21</v>
      </c>
      <c r="BZ967" s="62" t="n">
        <f aca="false">IF(BY967="LOSE",1,IF(N(V967)&gt;0,V967,IF(CB967=1,MAX(1,N(VLOOKUP(T967,Parameter!$I$27:$K$29,3,0)),H967,N(N967)),IF(N(Q967)&gt;0,Q967,MAX(1,H967)))))</f>
        <v>20</v>
      </c>
      <c r="CA967" s="65" t="n">
        <f aca="false">IF(BY967="LOSE",1,0)</f>
        <v>0</v>
      </c>
      <c r="CB967" s="65" t="n">
        <f aca="false">IF(AND(U967="",OR(P967="",P967="LOSE"),T967&lt;&gt;"",N(S967)&lt;=0,ISNUMBER(MATCH(T967,Parameter!$I$27:$I$29,0))),1,0)</f>
        <v>0</v>
      </c>
      <c r="CC967" s="65" t="n">
        <f aca="false">IF(CR967&gt;0,INDEX(Parameter!$H$5:$H$7,W967)/INDEX(Parameter!$E$5:$E$7,W967),IF(AND(CA967=0,N(IFERROR(VLOOKUP(BY967,'Gebinde-Kategorie'!$A$5:$N$45,14,0),0))&gt;0),VLOOKUP(BY967,'Gebinde-Kategorie'!$A$5:$N$45,14,0)*10+Parameter!$M$23,Parameter!$M$24))</f>
        <v>155</v>
      </c>
      <c r="CD967" s="60" t="str">
        <f aca="false">IF(AND(Parameter!$B$19="Ja",E967&lt;&gt;"",ISNUMBER(MATCH(E967,Parameter!$I$35:$I$52,0))),VLOOKUP(E967,Parameter!$I$35:$J$52,2,0),IFERROR(VLOOKUP(D967,Parameter!$A$35:$C$64,2,0),"Nein"))</f>
        <v>2+3</v>
      </c>
      <c r="CE967" s="64" t="n">
        <f aca="false">IF(CA967=0,0,IF(N(S967)&gt;0,S967,IFERROR(VLOOKUP(D967,Parameter!$A$35:$C$64,3,0)+0,0)))</f>
        <v>0</v>
      </c>
      <c r="CF967" s="60" t="n">
        <f aca="false">IF(AB967&lt;&gt;"",AB967,AA967)</f>
        <v>3</v>
      </c>
      <c r="CG967" s="60" t="str">
        <f aca="false">IF(OR(CF967=1,CF967=2,CF967=3),IF(Parameter!$E$27="Ja","LIFT",IF(CF967=1,"L1","L23")),IF(CF967="Aussen","Aussen","-"))</f>
        <v>LIFT</v>
      </c>
      <c r="CH967" s="71" t="n">
        <f aca="false">IF(N(AC967)&gt;0,AC967,0)</f>
        <v>0</v>
      </c>
      <c r="CI967" s="65" t="n">
        <f aca="false">IF(ISNUMBER(AF967),1,0)</f>
        <v>0</v>
      </c>
      <c r="CJ967" s="62" t="n">
        <f aca="false">N(AF967)</f>
        <v>0</v>
      </c>
      <c r="CK967" s="62" t="n">
        <f aca="false">N(M967)+N(N967)</f>
        <v>15</v>
      </c>
      <c r="CL967" s="62" t="n">
        <f aca="false">N(M967)</f>
        <v>0</v>
      </c>
      <c r="CM967" s="62" t="n">
        <f aca="false">N(N967)</f>
        <v>15</v>
      </c>
      <c r="CN967" s="62" t="n">
        <f aca="false">ROUNDUP(H967/BZ967,0)</f>
        <v>0</v>
      </c>
      <c r="CO967" s="62" t="n">
        <f aca="false">ROUNDUP(CJ967/BZ967,0)</f>
        <v>0</v>
      </c>
      <c r="CP967" s="65" t="n">
        <f aca="false">IF(CA967=1,0,IFERROR(VLOOKUP(BY967,'Gebinde-Kategorie'!$A$5:$N$45,5,0)+0,0))</f>
        <v>8</v>
      </c>
      <c r="CQ967" s="65" t="n">
        <f aca="false">IFERROR(IF(OR(CF967=1,CF967=2,CF967=3),N(INDEX(Parameter!$I$5:$I$7,CF967)),0),0)</f>
        <v>0</v>
      </c>
      <c r="CR967" s="64" t="n">
        <f aca="false">IF(AND(Parameter!$B$21="Ja",ISNUMBER(W967),N(X967)&gt;0),IFERROR(N(INDEX(Parameter!$L$5:$L$7,W967))*INDEX(Parameter!$E$5:$E$7,W967)*X967/SUMIFS($X$7:$X$1843,$W$7:$W$1843,W967),0),0)</f>
        <v>0</v>
      </c>
      <c r="CS967" s="62" t="str">
        <f aca="false">IF(AND(OR(CG967="L1",CG967="L23",CG967="LIFT"),H967&gt;0),CC967*IF(CR967&gt;0,CR967*MAX(1,H967/X967),IF(CA967=1,CE967,IF(R967&gt;0,CN967/R967,0))/MAX(0.1,N(Parameter!$M$21))),"")</f>
        <v/>
      </c>
      <c r="CT967" s="64" t="str">
        <f aca="false">IF(CS967="","",J967/H967)</f>
        <v/>
      </c>
      <c r="CU967" s="62" t="str">
        <f aca="false">IF(CS967="","",H967*G967)</f>
        <v/>
      </c>
      <c r="CV967" s="63" t="str">
        <f aca="false">IF(CS967="","",(CL967+ROUNDUP(CL967+MAX(CM967,2*(J967/MAX(0.1,N(Einkauf!$C$6))-CL967)),0))/2)</f>
        <v/>
      </c>
      <c r="CW967" s="62" t="str">
        <f aca="false">IF(CS967="","",MAX(0,H967-CV967)*G967)</f>
        <v/>
      </c>
      <c r="CX967" s="62" t="str">
        <f aca="false">IF(CS967="","",CS967*MAX(0,1-CV967/H967))</f>
        <v/>
      </c>
      <c r="CY967" s="64" t="str">
        <f aca="false">IF(CS967="","",PERCENTRANK($CS$7:$CS$1843,CS967)+PERCENTRANK($CU$7:$CU$1843,CU967)+1-PERCENTRANK($CT$7:$CT$1843,CT967))</f>
        <v/>
      </c>
      <c r="CZ967" s="72" t="str">
        <f aca="false">IF(CS967="","",CHOOSE(MATCH(Einkauf!$C$5,Parameter!$G$23:$G$27,0),CY967,CS967,CU967,-CT967,CW967)+ROW()/1000000000)</f>
        <v/>
      </c>
    </row>
    <row r="968" customFormat="false" ht="15" hidden="false" customHeight="false" outlineLevel="0" collapsed="false">
      <c r="A968" s="60" t="s">
        <v>1840</v>
      </c>
      <c r="B968" s="60" t="s">
        <v>1841</v>
      </c>
      <c r="C968" s="60" t="s">
        <v>206</v>
      </c>
      <c r="D968" s="60" t="s">
        <v>226</v>
      </c>
      <c r="E968" s="60" t="s">
        <v>227</v>
      </c>
      <c r="F968" s="60" t="s">
        <v>260</v>
      </c>
      <c r="G968" s="61" t="n">
        <v>72.05</v>
      </c>
      <c r="H968" s="62" t="n">
        <f aca="false">MAX(0,IF(AND(Parameter!$B$21="Ja",ISNUMBER(Y968)),Y968,IF(Parameter!$B$20="Jahresanfang 2025 + Export",BS968+BR968,BR968)))</f>
        <v>6</v>
      </c>
      <c r="I968" s="62" t="n">
        <f aca="false">H968*G968</f>
        <v>432.3</v>
      </c>
      <c r="J968" s="62" t="n">
        <f aca="false">BU968*Parameter!$B$18</f>
        <v>1</v>
      </c>
      <c r="K968" s="63" t="n">
        <v>6</v>
      </c>
      <c r="L968" s="64" t="n">
        <v>0.166666666666667</v>
      </c>
      <c r="M968" s="62" t="n">
        <v>0</v>
      </c>
      <c r="N968" s="62" t="n">
        <v>1</v>
      </c>
      <c r="O968" s="65" t="n">
        <v>14</v>
      </c>
      <c r="P968" s="60" t="s">
        <v>275</v>
      </c>
      <c r="Q968" s="62" t="n">
        <v>12</v>
      </c>
      <c r="R968" s="65" t="n">
        <f aca="false">IF(CA968=1,0,IFERROR(VLOOKUP(BY968,'Gebinde-Kategorie'!$A$5:$N$45,13,0)+0,0))</f>
        <v>26</v>
      </c>
      <c r="S968" s="66"/>
      <c r="T968" s="67"/>
      <c r="U968" s="67"/>
      <c r="V968" s="67"/>
      <c r="W968" s="60"/>
      <c r="X968" s="62"/>
      <c r="Y968" s="62"/>
      <c r="Z968" s="60" t="n">
        <v>3</v>
      </c>
      <c r="AA968" s="60" t="n">
        <f aca="false">IF(A968="","",IF(AND(Parameter!$B$21="Ja",ISNUMBER(W968)),W968,IF(AND(Parameter!$E$27="Ja",ISNUMBER(Z968),CD968&lt;&gt;"Nein"),Z968,IF(CD968="2+3",IF(ISNUMBER(SEARCH("grosser Artikel",BV968)),2,IFERROR(VLOOKUP(BY968,Parameter!$F$35:$G$64,2,0),2)),IF(OR(CD968="Nein",CD968=""),"-",CD968)))))</f>
        <v>3</v>
      </c>
      <c r="AB968" s="67"/>
      <c r="AC968" s="68"/>
      <c r="AD968" s="62" t="n">
        <f aca="false">AW968</f>
        <v>1</v>
      </c>
      <c r="AE968" s="62" t="n">
        <f aca="false">MAX(AW968,H968)</f>
        <v>6</v>
      </c>
      <c r="AF968" s="69"/>
      <c r="AG968" s="62" t="n">
        <f aca="false">IF(LEFT(Cockpit!$C$5,1)="A",H968,IF(Parameter!$E$30="MAX-Bestand",IF(CI968=1,CJ968,IF(LEFT(Cockpit!$C$5,1)="B",AM968,MAX(AM968,H968))),ROUNDUP(AK968,0)))</f>
        <v>6</v>
      </c>
      <c r="AH968" s="62" t="n">
        <f aca="false">IF(CA968=1,0,ROUNDUP(AG968/BZ968,0))</f>
        <v>1</v>
      </c>
      <c r="AI968" s="64" t="n">
        <f aca="false">IF(CR968&gt;0,CR968*MAX(1,AG968/X968),IF(CA968=1,IF(AG968&lt;=0,0,CE968*MAX(1,IF(H968&gt;0,AG968/H968,1))),IF(R968&gt;0,AH968/R968,0))/MAX(0.1,N(Parameter!$M$21)))</f>
        <v>0.0384615384615385</v>
      </c>
      <c r="AJ968" s="62" t="n">
        <f aca="false">AI968*CC968</f>
        <v>9.42307692307692</v>
      </c>
      <c r="AK968" s="63" t="n">
        <f aca="false">IF(LEFT(Cockpit!$C$5,1)="A",H968,IF(CI968=1,(CL968+CJ968)/2,IF(LEFT(Cockpit!$C$5,1)="B",(CL968+AM968)/2,MAX((CL968+AM968)/2,H968))))</f>
        <v>6</v>
      </c>
      <c r="AL968" s="62" t="n">
        <f aca="false">AK968*G968</f>
        <v>432.3</v>
      </c>
      <c r="AM968" s="62" t="n">
        <f aca="false">ROUNDUP(CL968+MAX(CM968,2*(J968/IF(CH968&gt;0,CH968,MAX(0.1,N(Cockpit!$C$6)))-CL968)),0)</f>
        <v>1</v>
      </c>
      <c r="AN968" s="63" t="n">
        <f aca="false">IF(AJ968&gt;0,J968/AJ968,-1)</f>
        <v>0.106122448979592</v>
      </c>
      <c r="AO968" s="63" t="n">
        <f aca="false">IF(AND(OR(CG968="L1",CG968="L23",CG968="LIFT"),AJ968&gt;0),SUMIFS($AJ$7:$AJ$1843,$CG$7:$CG$1843,CG968,$AN$7:$AN$1843,"&gt;"&amp;AN968)+SUMIFS($AJ$7:$AJ$1843,$CG$7:$CG$1843,CG968,$AN$7:$AN$1843,AN968,$BX$7:$BX$1843,"&lt;="&amp;BX968),"")</f>
        <v>15314.0758547009</v>
      </c>
      <c r="AP968" s="70" t="n">
        <f aca="false">IF(AO968="",0,MAX(0,MIN(1,(IF(CG968="L1",Parameter!$H$5,IF(CG968="L23",Parameter!$H$6+Parameter!$H$7,Parameter!$H$5+Parameter!$H$6+Parameter!$H$7))-(AO968-AJ968))/AJ968)))</f>
        <v>1</v>
      </c>
      <c r="AQ968" s="62" t="n">
        <f aca="false">IF(LEFT(Cockpit!$I$5,1)="A",H968,IF(Parameter!$E$30="MAX-Bestand",IF(CI968=1,CJ968,IF(LEFT(Cockpit!$I$5,1)="B",AW968,MAX(AW968,H968))),ROUNDUP(AU968,0)))</f>
        <v>6</v>
      </c>
      <c r="AR968" s="62" t="n">
        <f aca="false">IF(CA968=1,0,ROUNDUP(AQ968/BZ968,0))</f>
        <v>1</v>
      </c>
      <c r="AS968" s="64" t="n">
        <f aca="false">IF(CR968&gt;0,CR968*MAX(1,AQ968/X968),IF(CA968=1,IF(AQ968&lt;=0,0,CE968*MAX(1,IF(H968&gt;0,AQ968/H968,1))),IF(R968&gt;0,AR968/R968,0))/MAX(0.1,N(Parameter!$M$21)))</f>
        <v>0.0384615384615385</v>
      </c>
      <c r="AT968" s="62" t="n">
        <f aca="false">AS968*CC968</f>
        <v>9.42307692307692</v>
      </c>
      <c r="AU968" s="63" t="n">
        <f aca="false">IF(LEFT(Cockpit!$I$5,1)="A",H968,IF(CI968=1,(CL968+CJ968)/2,IF(LEFT(Cockpit!$I$5,1)="B",(CL968+AW968)/2,MAX((CL968+AW968)/2,H968))))</f>
        <v>6</v>
      </c>
      <c r="AV968" s="62" t="n">
        <f aca="false">AU968*G968</f>
        <v>432.3</v>
      </c>
      <c r="AW968" s="62" t="n">
        <f aca="false">ROUNDUP(CL968+MAX(CM968,2*(J968/IF(CH968&gt;0,CH968,MAX(0.1,N(Cockpit!$I$6)))-CL968)),0)</f>
        <v>1</v>
      </c>
      <c r="AX968" s="63" t="n">
        <f aca="false">IF(AT968&gt;0,J968/AT968,-1)</f>
        <v>0.106122448979592</v>
      </c>
      <c r="AY968" s="63" t="n">
        <f aca="false">IF(AND(OR(CG968="L1",CG968="L23",CG968="LIFT"),AT968&gt;0),SUMIFS($AT$7:$AT$1843,$CG$7:$CG$1843,CG968,$AX$7:$AX$1843,"&gt;"&amp;AX968)+SUMIFS($AT$7:$AT$1843,$CG$7:$CG$1843,CG968,$AX$7:$AX$1843,AX968,$BX$7:$BX$1843,"&lt;="&amp;BX968),"")</f>
        <v>19338.4744960783</v>
      </c>
      <c r="AZ968" s="70" t="n">
        <f aca="false">IF(AY968="",0,MAX(0,MIN(1,(IF(CG968="L1",Parameter!$H$5,IF(CG968="L23",Parameter!$H$6+Parameter!$H$7,Parameter!$H$5+Parameter!$H$6+Parameter!$H$7))-(AY968-AT968))/AT968)))</f>
        <v>1</v>
      </c>
      <c r="BA968" s="62" t="n">
        <f aca="false">IF(LEFT(Cockpit!$O$5,1)="A",H968,IF(Parameter!$E$30="MAX-Bestand",IF(CI968=1,CJ968,IF(LEFT(Cockpit!$O$5,1)="B",BG968,MAX(BG968,H968))),ROUNDUP(BE968,0)))</f>
        <v>1</v>
      </c>
      <c r="BB968" s="62" t="n">
        <f aca="false">IF(CA968=1,0,ROUNDUP(BA968/BZ968,0))</f>
        <v>1</v>
      </c>
      <c r="BC968" s="64" t="n">
        <f aca="false">IF(CR968&gt;0,CR968*MAX(1,BA968/X968),IF(CA968=1,IF(BA968&lt;=0,0,CE968*MAX(1,IF(H968&gt;0,BA968/H968,1))),IF(R968&gt;0,BB968/R968,0))/MAX(0.1,N(Parameter!$M$21)))</f>
        <v>0.0384615384615385</v>
      </c>
      <c r="BD968" s="62" t="n">
        <f aca="false">BC968*CC968</f>
        <v>9.42307692307692</v>
      </c>
      <c r="BE968" s="63" t="n">
        <f aca="false">IF(LEFT(Cockpit!$O$5,1)="A",H968,IF(CI968=1,(CL968+CJ968)/2,IF(LEFT(Cockpit!$O$5,1)="B",(CL968+BG968)/2,MAX((CL968+BG968)/2,H968))))</f>
        <v>0.5</v>
      </c>
      <c r="BF968" s="62" t="n">
        <f aca="false">BE968*G968</f>
        <v>36.025</v>
      </c>
      <c r="BG968" s="62" t="n">
        <f aca="false">ROUNDUP(CL968+MAX(CM968,2*(J968/IF(CH968&gt;0,CH968,MAX(0.1,N(Cockpit!$O$6)))-CL968)),0)</f>
        <v>1</v>
      </c>
      <c r="BH968" s="63" t="n">
        <f aca="false">IF(BD968&gt;0,J968/BD968,-1)</f>
        <v>0.106122448979592</v>
      </c>
      <c r="BI968" s="63" t="n">
        <f aca="false">IF(AND(OR(CG968="L1",CG968="L23",CG968="LIFT"),BD968&gt;0),SUMIFS($BD$7:$BD$1843,$CG$7:$CG$1843,CG968,$BH$7:$BH$1843,"&gt;"&amp;BH968)+SUMIFS($BD$7:$BD$1843,$CG$7:$CG$1843,CG968,$BH$7:$BH$1843,BH968,$BX$7:$BX$1843,"&lt;="&amp;BX968),"")</f>
        <v>16939.287108607</v>
      </c>
      <c r="BJ968" s="70" t="n">
        <f aca="false">IF(BI968="",0,MAX(0,MIN(1,(IF(CG968="L1",Parameter!$H$5,IF(CG968="L23",Parameter!$H$6+Parameter!$H$7,Parameter!$H$5+Parameter!$H$6+Parameter!$H$7))-(BI968-BD968))/BD968)))</f>
        <v>1</v>
      </c>
      <c r="BK968" s="60" t="str">
        <f aca="false">IF(AJ968&lt;=0,"",IF(CG968="Aussen","Aussenlager",IF(CG968="-","Nicht im Lift",IF(AP968&gt;=1,"Lift",IF(AP968&lt;=0,"Aussenlager","teilweise")))))</f>
        <v>Lift</v>
      </c>
      <c r="BL968" s="60" t="str">
        <f aca="false">IF(AT968&lt;=0,"",IF(CG968="Aussen","Aussenlager",IF(CG968="-","Nicht im Lift",IF(AZ968&gt;=1,"Lift",IF(AZ968&lt;=0,"Aussenlager","teilweise")))))</f>
        <v>Lift</v>
      </c>
      <c r="BM968" s="60" t="str">
        <f aca="false">IF(BD968&lt;=0,"",IF(CG968="Aussen","Aussenlager",IF(CG968="-","Nicht im Lift",IF(BJ968&gt;=1,"Lift",IF(BJ968&lt;=0,"Aussenlager","teilweise")))))</f>
        <v>Lift</v>
      </c>
      <c r="BN968" s="60" t="str">
        <f aca="false">IF(A968="","",IF(BW968=1,"Neu; ","")&amp;IF(AND(BW968=0,BR968&lt;0),"negativer Bestand (Export "&amp;BR968&amp;"); ","")&amp;IF(J968&lt;=0,"Kein Verbrauch; ","")&amp;IF(CR968&gt;0,"Lift "&amp;W968&amp;" lt. Liftbericht (Fach "&amp;X968&amp;" Stk); ",IF(CB968=1,"Gebinde geschätzt ("&amp;T968&amp;"); ",IF(CA968=1,"Lose – Tablare geschätzt; ","")))&amp;IF(H968&gt;AW968,"Überbestand "&amp;ROUND(H968-AW968,0)&amp;" Stk / CHF "&amp;ROUND((H968-AW968)*G968,0)&amp;"; ","")&amp;IF(AND(CI968=1,CJ968&lt;CK968),"MAX &lt; MB+LG; ","")&amp;IF(AND(CQ968&gt;0,CP968*10&gt;CQ968),"zu hoch für Tablar; ","")&amp;IF(AND(BW968=0,OR(CI968=1,AB968&lt;&gt;"",U968&lt;&gt;"",V968&lt;&gt;"",AC968&lt;&gt;"")),"manuell übersteuert; ","")&amp;IF(AND(CA968=0,R968=0),"Gebinde unbekannt / Stellmass fehlt; ","")&amp;IF(AND(CA968=0,N(V968)&lt;=0,N(Q968)&lt;=0),"Menge pro Gebinde fehlt (Ist = 1 Gebinde); ","")&amp;BV968)</f>
        <v>negativer Bestand (Export -1); Überbestand 5 Stk / CHF 360; </v>
      </c>
      <c r="BO968" s="60"/>
      <c r="BP968" s="60"/>
      <c r="BQ968" s="67"/>
      <c r="BR968" s="62" t="n">
        <v>-1</v>
      </c>
      <c r="BS968" s="62" t="n">
        <v>7</v>
      </c>
      <c r="BT968" s="61" t="n">
        <v>-72.05</v>
      </c>
      <c r="BU968" s="62" t="n">
        <v>1</v>
      </c>
      <c r="BV968" s="60"/>
      <c r="BW968" s="65" t="n">
        <v>0</v>
      </c>
      <c r="BX968" s="65" t="n">
        <v>968</v>
      </c>
      <c r="BY968" s="60" t="str">
        <f aca="false">IF(U968&lt;&gt;"",UPPER(TRIM(U968)),IF(CB968=1,UPPER(VLOOKUP(T968,Parameter!$I$27:$K$29,2,0)),IF(P968="","LOSE",P968)))</f>
        <v>S52</v>
      </c>
      <c r="BZ968" s="62" t="n">
        <f aca="false">IF(BY968="LOSE",1,IF(N(V968)&gt;0,V968,IF(CB968=1,MAX(1,N(VLOOKUP(T968,Parameter!$I$27:$K$29,3,0)),H968,N(N968)),IF(N(Q968)&gt;0,Q968,MAX(1,H968)))))</f>
        <v>12</v>
      </c>
      <c r="CA968" s="65" t="n">
        <f aca="false">IF(BY968="LOSE",1,0)</f>
        <v>0</v>
      </c>
      <c r="CB968" s="65" t="n">
        <f aca="false">IF(AND(U968="",OR(P968="",P968="LOSE"),T968&lt;&gt;"",N(S968)&lt;=0,ISNUMBER(MATCH(T968,Parameter!$I$27:$I$29,0))),1,0)</f>
        <v>0</v>
      </c>
      <c r="CC968" s="65" t="n">
        <f aca="false">IF(CR968&gt;0,INDEX(Parameter!$H$5:$H$7,W968)/INDEX(Parameter!$E$5:$E$7,W968),IF(AND(CA968=0,N(IFERROR(VLOOKUP(BY968,'Gebinde-Kategorie'!$A$5:$N$45,14,0),0))&gt;0),VLOOKUP(BY968,'Gebinde-Kategorie'!$A$5:$N$45,14,0)*10+Parameter!$M$23,Parameter!$M$24))</f>
        <v>245</v>
      </c>
      <c r="CD968" s="60" t="str">
        <f aca="false">IF(AND(Parameter!$B$19="Ja",E968&lt;&gt;"",ISNUMBER(MATCH(E968,Parameter!$I$35:$I$52,0))),VLOOKUP(E968,Parameter!$I$35:$J$52,2,0),IFERROR(VLOOKUP(D968,Parameter!$A$35:$C$64,2,0),"Nein"))</f>
        <v>2+3</v>
      </c>
      <c r="CE968" s="64" t="n">
        <f aca="false">IF(CA968=0,0,IF(N(S968)&gt;0,S968,IFERROR(VLOOKUP(D968,Parameter!$A$35:$C$64,3,0)+0,0)))</f>
        <v>0</v>
      </c>
      <c r="CF968" s="60" t="n">
        <f aca="false">IF(AB968&lt;&gt;"",AB968,AA968)</f>
        <v>3</v>
      </c>
      <c r="CG968" s="60" t="str">
        <f aca="false">IF(OR(CF968=1,CF968=2,CF968=3),IF(Parameter!$E$27="Ja","LIFT",IF(CF968=1,"L1","L23")),IF(CF968="Aussen","Aussen","-"))</f>
        <v>LIFT</v>
      </c>
      <c r="CH968" s="71" t="n">
        <f aca="false">IF(N(AC968)&gt;0,AC968,0)</f>
        <v>0</v>
      </c>
      <c r="CI968" s="65" t="n">
        <f aca="false">IF(ISNUMBER(AF968),1,0)</f>
        <v>0</v>
      </c>
      <c r="CJ968" s="62" t="n">
        <f aca="false">N(AF968)</f>
        <v>0</v>
      </c>
      <c r="CK968" s="62" t="n">
        <f aca="false">N(M968)+N(N968)</f>
        <v>1</v>
      </c>
      <c r="CL968" s="62" t="n">
        <f aca="false">N(M968)</f>
        <v>0</v>
      </c>
      <c r="CM968" s="62" t="n">
        <f aca="false">N(N968)</f>
        <v>1</v>
      </c>
      <c r="CN968" s="62" t="n">
        <f aca="false">ROUNDUP(H968/BZ968,0)</f>
        <v>1</v>
      </c>
      <c r="CO968" s="62" t="n">
        <f aca="false">ROUNDUP(CJ968/BZ968,0)</f>
        <v>0</v>
      </c>
      <c r="CP968" s="65" t="n">
        <f aca="false">IF(CA968=1,0,IFERROR(VLOOKUP(BY968,'Gebinde-Kategorie'!$A$5:$N$45,5,0)+0,0))</f>
        <v>21</v>
      </c>
      <c r="CQ968" s="65" t="n">
        <f aca="false">IFERROR(IF(OR(CF968=1,CF968=2,CF968=3),N(INDEX(Parameter!$I$5:$I$7,CF968)),0),0)</f>
        <v>0</v>
      </c>
      <c r="CR968" s="64" t="n">
        <f aca="false">IF(AND(Parameter!$B$21="Ja",ISNUMBER(W968),N(X968)&gt;0),IFERROR(N(INDEX(Parameter!$L$5:$L$7,W968))*INDEX(Parameter!$E$5:$E$7,W968)*X968/SUMIFS($X$7:$X$1843,$W$7:$W$1843,W968),0),0)</f>
        <v>0</v>
      </c>
      <c r="CS968" s="62" t="n">
        <f aca="false">IF(AND(OR(CG968="L1",CG968="L23",CG968="LIFT"),H968&gt;0),CC968*IF(CR968&gt;0,CR968*MAX(1,H968/X968),IF(CA968=1,CE968,IF(R968&gt;0,CN968/R968,0))/MAX(0.1,N(Parameter!$M$21))),"")</f>
        <v>9.42307692307692</v>
      </c>
      <c r="CT968" s="64" t="n">
        <f aca="false">IF(CS968="","",J968/H968)</f>
        <v>0.166666666666667</v>
      </c>
      <c r="CU968" s="62" t="n">
        <f aca="false">IF(CS968="","",H968*G968)</f>
        <v>432.3</v>
      </c>
      <c r="CV968" s="63" t="n">
        <f aca="false">IF(CS968="","",(CL968+ROUNDUP(CL968+MAX(CM968,2*(J968/MAX(0.1,N(Einkauf!$C$6))-CL968)),0))/2)</f>
        <v>0.5</v>
      </c>
      <c r="CW968" s="62" t="n">
        <f aca="false">IF(CS968="","",MAX(0,H968-CV968)*G968)</f>
        <v>396.275</v>
      </c>
      <c r="CX968" s="62" t="n">
        <f aca="false">IF(CS968="","",CS968*MAX(0,1-CV968/H968))</f>
        <v>8.63782051282051</v>
      </c>
      <c r="CY968" s="64" t="n">
        <f aca="false">IF(CS968="","",PERCENTRANK($CS$7:$CS$1843,CS968)+PERCENTRANK($CU$7:$CU$1843,CU968)+1-PERCENTRANK($CT$7:$CT$1843,CT968))</f>
        <v>1.606</v>
      </c>
      <c r="CZ968" s="72" t="n">
        <f aca="false">IF(CS968="","",CHOOSE(MATCH(Einkauf!$C$5,Parameter!$G$23:$G$27,0),CY968,CS968,CU968,-CT968,CW968)+ROW()/1000000000)</f>
        <v>1.606000968</v>
      </c>
    </row>
    <row r="969" customFormat="false" ht="15" hidden="false" customHeight="false" outlineLevel="0" collapsed="false">
      <c r="A969" s="60" t="s">
        <v>1842</v>
      </c>
      <c r="B969" s="60" t="s">
        <v>677</v>
      </c>
      <c r="C969" s="60" t="s">
        <v>206</v>
      </c>
      <c r="D969" s="60" t="s">
        <v>215</v>
      </c>
      <c r="E969" s="60"/>
      <c r="F969" s="60" t="s">
        <v>260</v>
      </c>
      <c r="G969" s="61" t="n">
        <v>36.14</v>
      </c>
      <c r="H969" s="62" t="n">
        <f aca="false">MAX(0,IF(AND(Parameter!$B$21="Ja",ISNUMBER(Y969)),Y969,IF(Parameter!$B$20="Jahresanfang 2025 + Export",BS969+BR969,BR969)))</f>
        <v>17</v>
      </c>
      <c r="I969" s="62" t="n">
        <f aca="false">H969*G969</f>
        <v>614.38</v>
      </c>
      <c r="J969" s="62" t="n">
        <f aca="false">BU969*Parameter!$B$18</f>
        <v>2</v>
      </c>
      <c r="K969" s="63" t="n">
        <v>18</v>
      </c>
      <c r="L969" s="64" t="n">
        <v>0.111111111111111</v>
      </c>
      <c r="M969" s="62" t="n">
        <v>10</v>
      </c>
      <c r="N969" s="62" t="n">
        <v>1</v>
      </c>
      <c r="O969" s="65" t="n">
        <v>28</v>
      </c>
      <c r="P969" s="60" t="s">
        <v>210</v>
      </c>
      <c r="Q969" s="62"/>
      <c r="R969" s="65" t="n">
        <f aca="false">IF(CA969=1,0,IFERROR(VLOOKUP(BY969,'Gebinde-Kategorie'!$A$5:$N$45,13,0)+0,0))</f>
        <v>12</v>
      </c>
      <c r="S969" s="66"/>
      <c r="T969" s="67" t="s">
        <v>221</v>
      </c>
      <c r="U969" s="67"/>
      <c r="V969" s="67"/>
      <c r="W969" s="60"/>
      <c r="X969" s="62"/>
      <c r="Y969" s="62"/>
      <c r="Z969" s="60" t="n">
        <v>3</v>
      </c>
      <c r="AA969" s="60" t="n">
        <f aca="false">IF(A969="","",IF(AND(Parameter!$B$21="Ja",ISNUMBER(W969)),W969,IF(AND(Parameter!$E$27="Ja",ISNUMBER(Z969),CD969&lt;&gt;"Nein"),Z969,IF(CD969="2+3",IF(ISNUMBER(SEARCH("grosser Artikel",BV969)),2,IFERROR(VLOOKUP(BY969,Parameter!$F$35:$G$64,2,0),2)),IF(OR(CD969="Nein",CD969=""),"-",CD969)))))</f>
        <v>3</v>
      </c>
      <c r="AB969" s="67"/>
      <c r="AC969" s="68"/>
      <c r="AD969" s="62" t="n">
        <f aca="false">AW969</f>
        <v>11</v>
      </c>
      <c r="AE969" s="62" t="n">
        <f aca="false">MAX(AW969,H969)</f>
        <v>17</v>
      </c>
      <c r="AF969" s="69"/>
      <c r="AG969" s="62" t="n">
        <f aca="false">IF(LEFT(Cockpit!$C$5,1)="A",H969,IF(Parameter!$E$30="MAX-Bestand",IF(CI969=1,CJ969,IF(LEFT(Cockpit!$C$5,1)="B",AM969,MAX(AM969,H969))),ROUNDUP(AK969,0)))</f>
        <v>17</v>
      </c>
      <c r="AH969" s="62" t="n">
        <f aca="false">IF(CA969=1,0,ROUNDUP(AG969/BZ969,0))</f>
        <v>1</v>
      </c>
      <c r="AI969" s="64" t="n">
        <f aca="false">IF(CR969&gt;0,CR969*MAX(1,AG969/X969),IF(CA969=1,IF(AG969&lt;=0,0,CE969*MAX(1,IF(H969&gt;0,AG969/H969,1))),IF(R969&gt;0,AH969/R969,0))/MAX(0.1,N(Parameter!$M$21)))</f>
        <v>0.0833333333333333</v>
      </c>
      <c r="AJ969" s="62" t="n">
        <f aca="false">AI969*CC969</f>
        <v>12.0833333333333</v>
      </c>
      <c r="AK969" s="63" t="n">
        <f aca="false">IF(LEFT(Cockpit!$C$5,1)="A",H969,IF(CI969=1,(CL969+CJ969)/2,IF(LEFT(Cockpit!$C$5,1)="B",(CL969+AM969)/2,MAX((CL969+AM969)/2,H969))))</f>
        <v>17</v>
      </c>
      <c r="AL969" s="62" t="n">
        <f aca="false">AK969*G969</f>
        <v>614.38</v>
      </c>
      <c r="AM969" s="62" t="n">
        <f aca="false">ROUNDUP(CL969+MAX(CM969,2*(J969/IF(CH969&gt;0,CH969,MAX(0.1,N(Cockpit!$C$6)))-CL969)),0)</f>
        <v>11</v>
      </c>
      <c r="AN969" s="63" t="n">
        <f aca="false">IF(AJ969&gt;0,J969/AJ969,-1)</f>
        <v>0.16551724137931</v>
      </c>
      <c r="AO969" s="63" t="n">
        <f aca="false">IF(AND(OR(CG969="L1",CG969="L23",CG969="LIFT"),AJ969&gt;0),SUMIFS($AJ$7:$AJ$1843,$CG$7:$CG$1843,CG969,$AN$7:$AN$1843,"&gt;"&amp;AN969)+SUMIFS($AJ$7:$AJ$1843,$CG$7:$CG$1843,CG969,$AN$7:$AN$1843,AN969,$BX$7:$BX$1843,"&lt;="&amp;BX969),"")</f>
        <v>12829.5734644358</v>
      </c>
      <c r="AP969" s="70" t="n">
        <f aca="false">IF(AO969="",0,MAX(0,MIN(1,(IF(CG969="L1",Parameter!$H$5,IF(CG969="L23",Parameter!$H$6+Parameter!$H$7,Parameter!$H$5+Parameter!$H$6+Parameter!$H$7))-(AO969-AJ969))/AJ969)))</f>
        <v>1</v>
      </c>
      <c r="AQ969" s="62" t="n">
        <f aca="false">IF(LEFT(Cockpit!$I$5,1)="A",H969,IF(Parameter!$E$30="MAX-Bestand",IF(CI969=1,CJ969,IF(LEFT(Cockpit!$I$5,1)="B",AW969,MAX(AW969,H969))),ROUNDUP(AU969,0)))</f>
        <v>17</v>
      </c>
      <c r="AR969" s="62" t="n">
        <f aca="false">IF(CA969=1,0,ROUNDUP(AQ969/BZ969,0))</f>
        <v>1</v>
      </c>
      <c r="AS969" s="64" t="n">
        <f aca="false">IF(CR969&gt;0,CR969*MAX(1,AQ969/X969),IF(CA969=1,IF(AQ969&lt;=0,0,CE969*MAX(1,IF(H969&gt;0,AQ969/H969,1))),IF(R969&gt;0,AR969/R969,0))/MAX(0.1,N(Parameter!$M$21)))</f>
        <v>0.0833333333333333</v>
      </c>
      <c r="AT969" s="62" t="n">
        <f aca="false">AS969*CC969</f>
        <v>12.0833333333333</v>
      </c>
      <c r="AU969" s="63" t="n">
        <f aca="false">IF(LEFT(Cockpit!$I$5,1)="A",H969,IF(CI969=1,(CL969+CJ969)/2,IF(LEFT(Cockpit!$I$5,1)="B",(CL969+AW969)/2,MAX((CL969+AW969)/2,H969))))</f>
        <v>17</v>
      </c>
      <c r="AV969" s="62" t="n">
        <f aca="false">AU969*G969</f>
        <v>614.38</v>
      </c>
      <c r="AW969" s="62" t="n">
        <f aca="false">ROUNDUP(CL969+MAX(CM969,2*(J969/IF(CH969&gt;0,CH969,MAX(0.1,N(Cockpit!$I$6)))-CL969)),0)</f>
        <v>11</v>
      </c>
      <c r="AX969" s="63" t="n">
        <f aca="false">IF(AT969&gt;0,J969/AT969,-1)</f>
        <v>0.16551724137931</v>
      </c>
      <c r="AY969" s="63" t="n">
        <f aca="false">IF(AND(OR(CG969="L1",CG969="L23",CG969="LIFT"),AT969&gt;0),SUMIFS($AT$7:$AT$1843,$CG$7:$CG$1843,CG969,$AX$7:$AX$1843,"&gt;"&amp;AX969)+SUMIFS($AT$7:$AT$1843,$CG$7:$CG$1843,CG969,$AX$7:$AX$1843,AX969,$BX$7:$BX$1843,"&lt;="&amp;BX969),"")</f>
        <v>15758.2541208791</v>
      </c>
      <c r="AZ969" s="70" t="n">
        <f aca="false">IF(AY969="",0,MAX(0,MIN(1,(IF(CG969="L1",Parameter!$H$5,IF(CG969="L23",Parameter!$H$6+Parameter!$H$7,Parameter!$H$5+Parameter!$H$6+Parameter!$H$7))-(AY969-AT969))/AT969)))</f>
        <v>1</v>
      </c>
      <c r="BA969" s="62" t="n">
        <f aca="false">IF(LEFT(Cockpit!$O$5,1)="A",H969,IF(Parameter!$E$30="MAX-Bestand",IF(CI969=1,CJ969,IF(LEFT(Cockpit!$O$5,1)="B",BG969,MAX(BG969,H969))),ROUNDUP(BE969,0)))</f>
        <v>11</v>
      </c>
      <c r="BB969" s="62" t="n">
        <f aca="false">IF(CA969=1,0,ROUNDUP(BA969/BZ969,0))</f>
        <v>1</v>
      </c>
      <c r="BC969" s="64" t="n">
        <f aca="false">IF(CR969&gt;0,CR969*MAX(1,BA969/X969),IF(CA969=1,IF(BA969&lt;=0,0,CE969*MAX(1,IF(H969&gt;0,BA969/H969,1))),IF(R969&gt;0,BB969/R969,0))/MAX(0.1,N(Parameter!$M$21)))</f>
        <v>0.0833333333333333</v>
      </c>
      <c r="BD969" s="62" t="n">
        <f aca="false">BC969*CC969</f>
        <v>12.0833333333333</v>
      </c>
      <c r="BE969" s="63" t="n">
        <f aca="false">IF(LEFT(Cockpit!$O$5,1)="A",H969,IF(CI969=1,(CL969+CJ969)/2,IF(LEFT(Cockpit!$O$5,1)="B",(CL969+BG969)/2,MAX((CL969+BG969)/2,H969))))</f>
        <v>10.5</v>
      </c>
      <c r="BF969" s="62" t="n">
        <f aca="false">BE969*G969</f>
        <v>379.47</v>
      </c>
      <c r="BG969" s="62" t="n">
        <f aca="false">ROUNDUP(CL969+MAX(CM969,2*(J969/IF(CH969&gt;0,CH969,MAX(0.1,N(Cockpit!$O$6)))-CL969)),0)</f>
        <v>11</v>
      </c>
      <c r="BH969" s="63" t="n">
        <f aca="false">IF(BD969&gt;0,J969/BD969,-1)</f>
        <v>0.16551724137931</v>
      </c>
      <c r="BI969" s="63" t="n">
        <f aca="false">IF(AND(OR(CG969="L1",CG969="L23",CG969="LIFT"),BD969&gt;0),SUMIFS($BD$7:$BD$1843,$CG$7:$CG$1843,CG969,$BH$7:$BH$1843,"&gt;"&amp;BH969)+SUMIFS($BD$7:$BD$1843,$CG$7:$CG$1843,CG969,$BH$7:$BH$1843,BH969,$BX$7:$BX$1843,"&lt;="&amp;BX969),"")</f>
        <v>13572.6372824445</v>
      </c>
      <c r="BJ969" s="70" t="n">
        <f aca="false">IF(BI969="",0,MAX(0,MIN(1,(IF(CG969="L1",Parameter!$H$5,IF(CG969="L23",Parameter!$H$6+Parameter!$H$7,Parameter!$H$5+Parameter!$H$6+Parameter!$H$7))-(BI969-BD969))/BD969)))</f>
        <v>1</v>
      </c>
      <c r="BK969" s="60" t="str">
        <f aca="false">IF(AJ969&lt;=0,"",IF(CG969="Aussen","Aussenlager",IF(CG969="-","Nicht im Lift",IF(AP969&gt;=1,"Lift",IF(AP969&lt;=0,"Aussenlager","teilweise")))))</f>
        <v>Lift</v>
      </c>
      <c r="BL969" s="60" t="str">
        <f aca="false">IF(AT969&lt;=0,"",IF(CG969="Aussen","Aussenlager",IF(CG969="-","Nicht im Lift",IF(AZ969&gt;=1,"Lift",IF(AZ969&lt;=0,"Aussenlager","teilweise")))))</f>
        <v>Lift</v>
      </c>
      <c r="BM969" s="60" t="str">
        <f aca="false">IF(BD969&lt;=0,"",IF(CG969="Aussen","Aussenlager",IF(CG969="-","Nicht im Lift",IF(BJ969&gt;=1,"Lift",IF(BJ969&lt;=0,"Aussenlager","teilweise")))))</f>
        <v>Lift</v>
      </c>
      <c r="BN969" s="60" t="str">
        <f aca="false">IF(A969="","",IF(BW969=1,"Neu; ","")&amp;IF(AND(BW969=0,BR969&lt;0),"negativer Bestand (Export "&amp;BR969&amp;"); ","")&amp;IF(J969&lt;=0,"Kein Verbrauch; ","")&amp;IF(CR969&gt;0,"Lift "&amp;W969&amp;" lt. Liftbericht (Fach "&amp;X969&amp;" Stk); ",IF(CB969=1,"Gebinde geschätzt ("&amp;T969&amp;"); ",IF(CA969=1,"Lose – Tablare geschätzt; ","")))&amp;IF(H969&gt;AW969,"Überbestand "&amp;ROUND(H969-AW969,0)&amp;" Stk / CHF "&amp;ROUND((H969-AW969)*G969,0)&amp;"; ","")&amp;IF(AND(CI969=1,CJ969&lt;CK969),"MAX &lt; MB+LG; ","")&amp;IF(AND(CQ969&gt;0,CP969*10&gt;CQ969),"zu hoch für Tablar; ","")&amp;IF(AND(BW969=0,OR(CI969=1,AB969&lt;&gt;"",U969&lt;&gt;"",V969&lt;&gt;"",AC969&lt;&gt;"")),"manuell übersteuert; ","")&amp;IF(AND(CA969=0,R969=0),"Gebinde unbekannt / Stellmass fehlt; ","")&amp;IF(AND(CA969=0,N(V969)&lt;=0,N(Q969)&lt;=0),"Menge pro Gebinde fehlt (Ist = 1 Gebinde); ","")&amp;BV969)</f>
        <v>negativer Bestand (Export -2); Gebinde geschätzt (Mittel); Überbestand 6 Stk / CHF 217; Menge pro Gebinde fehlt (Ist = 1 Gebinde); </v>
      </c>
      <c r="BO969" s="60"/>
      <c r="BP969" s="60"/>
      <c r="BQ969" s="67"/>
      <c r="BR969" s="62" t="n">
        <v>-2</v>
      </c>
      <c r="BS969" s="62" t="n">
        <v>19</v>
      </c>
      <c r="BT969" s="61" t="n">
        <v>-72.28</v>
      </c>
      <c r="BU969" s="62" t="n">
        <v>2</v>
      </c>
      <c r="BV969" s="60"/>
      <c r="BW969" s="65" t="n">
        <v>0</v>
      </c>
      <c r="BX969" s="65" t="n">
        <v>969</v>
      </c>
      <c r="BY969" s="60" t="str">
        <f aca="false">IF(U969&lt;&gt;"",UPPER(TRIM(U969)),IF(CB969=1,UPPER(VLOOKUP(T969,Parameter!$I$27:$K$29,2,0)),IF(P969="","LOSE",P969)))</f>
        <v>S61</v>
      </c>
      <c r="BZ969" s="62" t="n">
        <f aca="false">IF(BY969="LOSE",1,IF(N(V969)&gt;0,V969,IF(CB969=1,MAX(1,N(VLOOKUP(T969,Parameter!$I$27:$K$29,3,0)),H969,N(N969)),IF(N(Q969)&gt;0,Q969,MAX(1,H969)))))</f>
        <v>17</v>
      </c>
      <c r="CA969" s="65" t="n">
        <f aca="false">IF(BY969="LOSE",1,0)</f>
        <v>0</v>
      </c>
      <c r="CB969" s="65" t="n">
        <f aca="false">IF(AND(U969="",OR(P969="",P969="LOSE"),T969&lt;&gt;"",N(S969)&lt;=0,ISNUMBER(MATCH(T969,Parameter!$I$27:$I$29,0))),1,0)</f>
        <v>1</v>
      </c>
      <c r="CC969" s="65" t="n">
        <f aca="false">IF(CR969&gt;0,INDEX(Parameter!$H$5:$H$7,W969)/INDEX(Parameter!$E$5:$E$7,W969),IF(AND(CA969=0,N(IFERROR(VLOOKUP(BY969,'Gebinde-Kategorie'!$A$5:$N$45,14,0),0))&gt;0),VLOOKUP(BY969,'Gebinde-Kategorie'!$A$5:$N$45,14,0)*10+Parameter!$M$23,Parameter!$M$24))</f>
        <v>145</v>
      </c>
      <c r="CD969" s="60" t="str">
        <f aca="false">IF(AND(Parameter!$B$19="Ja",E969&lt;&gt;"",ISNUMBER(MATCH(E969,Parameter!$I$35:$I$52,0))),VLOOKUP(E969,Parameter!$I$35:$J$52,2,0),IFERROR(VLOOKUP(D969,Parameter!$A$35:$C$64,2,0),"Nein"))</f>
        <v>2+3</v>
      </c>
      <c r="CE969" s="64" t="n">
        <f aca="false">IF(CA969=0,0,IF(N(S969)&gt;0,S969,IFERROR(VLOOKUP(D969,Parameter!$A$35:$C$64,3,0)+0,0)))</f>
        <v>0</v>
      </c>
      <c r="CF969" s="60" t="n">
        <f aca="false">IF(AB969&lt;&gt;"",AB969,AA969)</f>
        <v>3</v>
      </c>
      <c r="CG969" s="60" t="str">
        <f aca="false">IF(OR(CF969=1,CF969=2,CF969=3),IF(Parameter!$E$27="Ja","LIFT",IF(CF969=1,"L1","L23")),IF(CF969="Aussen","Aussen","-"))</f>
        <v>LIFT</v>
      </c>
      <c r="CH969" s="71" t="n">
        <f aca="false">IF(N(AC969)&gt;0,AC969,0)</f>
        <v>0</v>
      </c>
      <c r="CI969" s="65" t="n">
        <f aca="false">IF(ISNUMBER(AF969),1,0)</f>
        <v>0</v>
      </c>
      <c r="CJ969" s="62" t="n">
        <f aca="false">N(AF969)</f>
        <v>0</v>
      </c>
      <c r="CK969" s="62" t="n">
        <f aca="false">N(M969)+N(N969)</f>
        <v>11</v>
      </c>
      <c r="CL969" s="62" t="n">
        <f aca="false">N(M969)</f>
        <v>10</v>
      </c>
      <c r="CM969" s="62" t="n">
        <f aca="false">N(N969)</f>
        <v>1</v>
      </c>
      <c r="CN969" s="62" t="n">
        <f aca="false">ROUNDUP(H969/BZ969,0)</f>
        <v>1</v>
      </c>
      <c r="CO969" s="62" t="n">
        <f aca="false">ROUNDUP(CJ969/BZ969,0)</f>
        <v>0</v>
      </c>
      <c r="CP969" s="65" t="n">
        <f aca="false">IF(CA969=1,0,IFERROR(VLOOKUP(BY969,'Gebinde-Kategorie'!$A$5:$N$45,5,0)+0,0))</f>
        <v>11</v>
      </c>
      <c r="CQ969" s="65" t="n">
        <f aca="false">IFERROR(IF(OR(CF969=1,CF969=2,CF969=3),N(INDEX(Parameter!$I$5:$I$7,CF969)),0),0)</f>
        <v>0</v>
      </c>
      <c r="CR969" s="64" t="n">
        <f aca="false">IF(AND(Parameter!$B$21="Ja",ISNUMBER(W969),N(X969)&gt;0),IFERROR(N(INDEX(Parameter!$L$5:$L$7,W969))*INDEX(Parameter!$E$5:$E$7,W969)*X969/SUMIFS($X$7:$X$1843,$W$7:$W$1843,W969),0),0)</f>
        <v>0</v>
      </c>
      <c r="CS969" s="62" t="n">
        <f aca="false">IF(AND(OR(CG969="L1",CG969="L23",CG969="LIFT"),H969&gt;0),CC969*IF(CR969&gt;0,CR969*MAX(1,H969/X969),IF(CA969=1,CE969,IF(R969&gt;0,CN969/R969,0))/MAX(0.1,N(Parameter!$M$21))),"")</f>
        <v>12.0833333333333</v>
      </c>
      <c r="CT969" s="64" t="n">
        <f aca="false">IF(CS969="","",J969/H969)</f>
        <v>0.117647058823529</v>
      </c>
      <c r="CU969" s="62" t="n">
        <f aca="false">IF(CS969="","",H969*G969)</f>
        <v>614.38</v>
      </c>
      <c r="CV969" s="63" t="n">
        <f aca="false">IF(CS969="","",(CL969+ROUNDUP(CL969+MAX(CM969,2*(J969/MAX(0.1,N(Einkauf!$C$6))-CL969)),0))/2)</f>
        <v>10.5</v>
      </c>
      <c r="CW969" s="62" t="n">
        <f aca="false">IF(CS969="","",MAX(0,H969-CV969)*G969)</f>
        <v>234.91</v>
      </c>
      <c r="CX969" s="62" t="n">
        <f aca="false">IF(CS969="","",CS969*MAX(0,1-CV969/H969))</f>
        <v>4.62009803921569</v>
      </c>
      <c r="CY969" s="64" t="n">
        <f aca="false">IF(CS969="","",PERCENTRANK($CS$7:$CS$1843,CS969)+PERCENTRANK($CU$7:$CU$1843,CU969)+1-PERCENTRANK($CT$7:$CT$1843,CT969))</f>
        <v>1.779</v>
      </c>
      <c r="CZ969" s="72" t="n">
        <f aca="false">IF(CS969="","",CHOOSE(MATCH(Einkauf!$C$5,Parameter!$G$23:$G$27,0),CY969,CS969,CU969,-CT969,CW969)+ROW()/1000000000)</f>
        <v>1.779000969</v>
      </c>
    </row>
    <row r="970" customFormat="false" ht="15" hidden="false" customHeight="false" outlineLevel="0" collapsed="false">
      <c r="A970" s="60" t="s">
        <v>1843</v>
      </c>
      <c r="B970" s="60" t="s">
        <v>759</v>
      </c>
      <c r="C970" s="60" t="s">
        <v>206</v>
      </c>
      <c r="D970" s="60" t="s">
        <v>215</v>
      </c>
      <c r="E970" s="60" t="s">
        <v>208</v>
      </c>
      <c r="F970" s="60" t="s">
        <v>260</v>
      </c>
      <c r="G970" s="61" t="n">
        <v>72.28</v>
      </c>
      <c r="H970" s="62" t="n">
        <f aca="false">MAX(0,IF(AND(Parameter!$B$21="Ja",ISNUMBER(Y970)),Y970,IF(Parameter!$B$20="Jahresanfang 2025 + Export",BS970+BR970,BR970)))</f>
        <v>25</v>
      </c>
      <c r="I970" s="62" t="n">
        <f aca="false">H970*G970</f>
        <v>1807</v>
      </c>
      <c r="J970" s="62" t="n">
        <f aca="false">BU970*Parameter!$B$18</f>
        <v>0</v>
      </c>
      <c r="K970" s="63" t="n">
        <v>26</v>
      </c>
      <c r="L970" s="64" t="n">
        <v>0</v>
      </c>
      <c r="M970" s="62" t="n">
        <v>0</v>
      </c>
      <c r="N970" s="62" t="n">
        <v>1</v>
      </c>
      <c r="O970" s="65" t="n">
        <v>28</v>
      </c>
      <c r="P970" s="60" t="s">
        <v>228</v>
      </c>
      <c r="Q970" s="62" t="n">
        <v>26</v>
      </c>
      <c r="R970" s="65" t="n">
        <f aca="false">IF(CA970=1,0,IFERROR(VLOOKUP(BY970,'Gebinde-Kategorie'!$A$5:$N$45,13,0)+0,0))</f>
        <v>12</v>
      </c>
      <c r="S970" s="66"/>
      <c r="T970" s="67"/>
      <c r="U970" s="67"/>
      <c r="V970" s="67"/>
      <c r="W970" s="60"/>
      <c r="X970" s="62"/>
      <c r="Y970" s="62"/>
      <c r="Z970" s="60" t="n">
        <v>3</v>
      </c>
      <c r="AA970" s="60" t="n">
        <f aca="false">IF(A970="","",IF(AND(Parameter!$B$21="Ja",ISNUMBER(W970)),W970,IF(AND(Parameter!$E$27="Ja",ISNUMBER(Z970),CD970&lt;&gt;"Nein"),Z970,IF(CD970="2+3",IF(ISNUMBER(SEARCH("grosser Artikel",BV970)),2,IFERROR(VLOOKUP(BY970,Parameter!$F$35:$G$64,2,0),2)),IF(OR(CD970="Nein",CD970=""),"-",CD970)))))</f>
        <v>3</v>
      </c>
      <c r="AB970" s="67"/>
      <c r="AC970" s="68"/>
      <c r="AD970" s="62" t="n">
        <f aca="false">AW970</f>
        <v>1</v>
      </c>
      <c r="AE970" s="62" t="n">
        <f aca="false">MAX(AW970,H970)</f>
        <v>25</v>
      </c>
      <c r="AF970" s="69"/>
      <c r="AG970" s="62" t="n">
        <f aca="false">IF(LEFT(Cockpit!$C$5,1)="A",H970,IF(Parameter!$E$30="MAX-Bestand",IF(CI970=1,CJ970,IF(LEFT(Cockpit!$C$5,1)="B",AM970,MAX(AM970,H970))),ROUNDUP(AK970,0)))</f>
        <v>25</v>
      </c>
      <c r="AH970" s="62" t="n">
        <f aca="false">IF(CA970=1,0,ROUNDUP(AG970/BZ970,0))</f>
        <v>1</v>
      </c>
      <c r="AI970" s="64" t="n">
        <f aca="false">IF(CR970&gt;0,CR970*MAX(1,AG970/X970),IF(CA970=1,IF(AG970&lt;=0,0,CE970*MAX(1,IF(H970&gt;0,AG970/H970,1))),IF(R970&gt;0,AH970/R970,0))/MAX(0.1,N(Parameter!$M$21)))</f>
        <v>0.0833333333333333</v>
      </c>
      <c r="AJ970" s="62" t="n">
        <f aca="false">AI970*CC970</f>
        <v>12.0833333333333</v>
      </c>
      <c r="AK970" s="63" t="n">
        <f aca="false">IF(LEFT(Cockpit!$C$5,1)="A",H970,IF(CI970=1,(CL970+CJ970)/2,IF(LEFT(Cockpit!$C$5,1)="B",(CL970+AM970)/2,MAX((CL970+AM970)/2,H970))))</f>
        <v>25</v>
      </c>
      <c r="AL970" s="62" t="n">
        <f aca="false">AK970*G970</f>
        <v>1807</v>
      </c>
      <c r="AM970" s="62" t="n">
        <f aca="false">ROUNDUP(CL970+MAX(CM970,2*(J970/IF(CH970&gt;0,CH970,MAX(0.1,N(Cockpit!$C$6)))-CL970)),0)</f>
        <v>1</v>
      </c>
      <c r="AN970" s="63" t="n">
        <f aca="false">IF(AJ970&gt;0,J970/AJ970,-1)</f>
        <v>0</v>
      </c>
      <c r="AO970" s="63" t="n">
        <f aca="false">IF(AND(OR(CG970="L1",CG970="L23",CG970="LIFT"),AJ970&gt;0),SUMIFS($AJ$7:$AJ$1843,$CG$7:$CG$1843,CG970,$AN$7:$AN$1843,"&gt;"&amp;AN970)+SUMIFS($AJ$7:$AJ$1843,$CG$7:$CG$1843,CG970,$AN$7:$AN$1843,AN970,$BX$7:$BX$1843,"&lt;="&amp;BX970),"")</f>
        <v>28900.8389959852</v>
      </c>
      <c r="AP970" s="70" t="n">
        <f aca="false">IF(AO970="",0,MAX(0,MIN(1,(IF(CG970="L1",Parameter!$H$5,IF(CG970="L23",Parameter!$H$6+Parameter!$H$7,Parameter!$H$5+Parameter!$H$6+Parameter!$H$7))-(AO970-AJ970))/AJ970)))</f>
        <v>1</v>
      </c>
      <c r="AQ970" s="62" t="n">
        <f aca="false">IF(LEFT(Cockpit!$I$5,1)="A",H970,IF(Parameter!$E$30="MAX-Bestand",IF(CI970=1,CJ970,IF(LEFT(Cockpit!$I$5,1)="B",AW970,MAX(AW970,H970))),ROUNDUP(AU970,0)))</f>
        <v>25</v>
      </c>
      <c r="AR970" s="62" t="n">
        <f aca="false">IF(CA970=1,0,ROUNDUP(AQ970/BZ970,0))</f>
        <v>1</v>
      </c>
      <c r="AS970" s="64" t="n">
        <f aca="false">IF(CR970&gt;0,CR970*MAX(1,AQ970/X970),IF(CA970=1,IF(AQ970&lt;=0,0,CE970*MAX(1,IF(H970&gt;0,AQ970/H970,1))),IF(R970&gt;0,AR970/R970,0))/MAX(0.1,N(Parameter!$M$21)))</f>
        <v>0.0833333333333333</v>
      </c>
      <c r="AT970" s="62" t="n">
        <f aca="false">AS970*CC970</f>
        <v>12.0833333333333</v>
      </c>
      <c r="AU970" s="63" t="n">
        <f aca="false">IF(LEFT(Cockpit!$I$5,1)="A",H970,IF(CI970=1,(CL970+CJ970)/2,IF(LEFT(Cockpit!$I$5,1)="B",(CL970+AW970)/2,MAX((CL970+AW970)/2,H970))))</f>
        <v>25</v>
      </c>
      <c r="AV970" s="62" t="n">
        <f aca="false">AU970*G970</f>
        <v>1807</v>
      </c>
      <c r="AW970" s="62" t="n">
        <f aca="false">ROUNDUP(CL970+MAX(CM970,2*(J970/IF(CH970&gt;0,CH970,MAX(0.1,N(Cockpit!$I$6)))-CL970)),0)</f>
        <v>1</v>
      </c>
      <c r="AX970" s="63" t="n">
        <f aca="false">IF(AT970&gt;0,J970/AT970,-1)</f>
        <v>0</v>
      </c>
      <c r="AY970" s="63" t="n">
        <f aca="false">IF(AND(OR(CG970="L1",CG970="L23",CG970="LIFT"),AT970&gt;0),SUMIFS($AT$7:$AT$1843,$CG$7:$CG$1843,CG970,$AX$7:$AX$1843,"&gt;"&amp;AX970)+SUMIFS($AT$7:$AT$1843,$CG$7:$CG$1843,CG970,$AX$7:$AX$1843,AX970,$BX$7:$BX$1843,"&lt;="&amp;BX970),"")</f>
        <v>34568.771978022</v>
      </c>
      <c r="AZ970" s="70" t="n">
        <f aca="false">IF(AY970="",0,MAX(0,MIN(1,(IF(CG970="L1",Parameter!$H$5,IF(CG970="L23",Parameter!$H$6+Parameter!$H$7,Parameter!$H$5+Parameter!$H$6+Parameter!$H$7))-(AY970-AT970))/AT970)))</f>
        <v>1</v>
      </c>
      <c r="BA970" s="62" t="n">
        <f aca="false">IF(LEFT(Cockpit!$O$5,1)="A",H970,IF(Parameter!$E$30="MAX-Bestand",IF(CI970=1,CJ970,IF(LEFT(Cockpit!$O$5,1)="B",BG970,MAX(BG970,H970))),ROUNDUP(BE970,0)))</f>
        <v>1</v>
      </c>
      <c r="BB970" s="62" t="n">
        <f aca="false">IF(CA970=1,0,ROUNDUP(BA970/BZ970,0))</f>
        <v>1</v>
      </c>
      <c r="BC970" s="64" t="n">
        <f aca="false">IF(CR970&gt;0,CR970*MAX(1,BA970/X970),IF(CA970=1,IF(BA970&lt;=0,0,CE970*MAX(1,IF(H970&gt;0,BA970/H970,1))),IF(R970&gt;0,BB970/R970,0))/MAX(0.1,N(Parameter!$M$21)))</f>
        <v>0.0833333333333333</v>
      </c>
      <c r="BD970" s="62" t="n">
        <f aca="false">BC970*CC970</f>
        <v>12.0833333333333</v>
      </c>
      <c r="BE970" s="63" t="n">
        <f aca="false">IF(LEFT(Cockpit!$O$5,1)="A",H970,IF(CI970=1,(CL970+CJ970)/2,IF(LEFT(Cockpit!$O$5,1)="B",(CL970+BG970)/2,MAX((CL970+BG970)/2,H970))))</f>
        <v>0.5</v>
      </c>
      <c r="BF970" s="62" t="n">
        <f aca="false">BE970*G970</f>
        <v>36.14</v>
      </c>
      <c r="BG970" s="62" t="n">
        <f aca="false">ROUNDUP(CL970+MAX(CM970,2*(J970/IF(CH970&gt;0,CH970,MAX(0.1,N(Cockpit!$O$6)))-CL970)),0)</f>
        <v>1</v>
      </c>
      <c r="BH970" s="63" t="n">
        <f aca="false">IF(BD970&gt;0,J970/BD970,-1)</f>
        <v>0</v>
      </c>
      <c r="BI970" s="63" t="n">
        <f aca="false">IF(AND(OR(CG970="L1",CG970="L23",CG970="LIFT"),BD970&gt;0),SUMIFS($BD$7:$BD$1843,$CG$7:$CG$1843,CG970,$BH$7:$BH$1843,"&gt;"&amp;BH970)+SUMIFS($BD$7:$BD$1843,$CG$7:$CG$1843,CG970,$BH$7:$BH$1843,BH970,$BX$7:$BX$1843,"&lt;="&amp;BX970),"")</f>
        <v>28599.2709458621</v>
      </c>
      <c r="BJ970" s="70" t="n">
        <f aca="false">IF(BI970="",0,MAX(0,MIN(1,(IF(CG970="L1",Parameter!$H$5,IF(CG970="L23",Parameter!$H$6+Parameter!$H$7,Parameter!$H$5+Parameter!$H$6+Parameter!$H$7))-(BI970-BD970))/BD970)))</f>
        <v>1</v>
      </c>
      <c r="BK970" s="60" t="str">
        <f aca="false">IF(AJ970&lt;=0,"",IF(CG970="Aussen","Aussenlager",IF(CG970="-","Nicht im Lift",IF(AP970&gt;=1,"Lift",IF(AP970&lt;=0,"Aussenlager","teilweise")))))</f>
        <v>Lift</v>
      </c>
      <c r="BL970" s="60" t="str">
        <f aca="false">IF(AT970&lt;=0,"",IF(CG970="Aussen","Aussenlager",IF(CG970="-","Nicht im Lift",IF(AZ970&gt;=1,"Lift",IF(AZ970&lt;=0,"Aussenlager","teilweise")))))</f>
        <v>Lift</v>
      </c>
      <c r="BM970" s="60" t="str">
        <f aca="false">IF(BD970&lt;=0,"",IF(CG970="Aussen","Aussenlager",IF(CG970="-","Nicht im Lift",IF(BJ970&gt;=1,"Lift",IF(BJ970&lt;=0,"Aussenlager","teilweise")))))</f>
        <v>Lift</v>
      </c>
      <c r="BN970" s="60" t="str">
        <f aca="false">IF(A970="","",IF(BW970=1,"Neu; ","")&amp;IF(AND(BW970=0,BR970&lt;0),"negativer Bestand (Export "&amp;BR970&amp;"); ","")&amp;IF(J970&lt;=0,"Kein Verbrauch; ","")&amp;IF(CR970&gt;0,"Lift "&amp;W970&amp;" lt. Liftbericht (Fach "&amp;X970&amp;" Stk); ",IF(CB970=1,"Gebinde geschätzt ("&amp;T970&amp;"); ",IF(CA970=1,"Lose – Tablare geschätzt; ","")))&amp;IF(H970&gt;AW970,"Überbestand "&amp;ROUND(H970-AW970,0)&amp;" Stk / CHF "&amp;ROUND((H970-AW970)*G970,0)&amp;"; ","")&amp;IF(AND(CI970=1,CJ970&lt;CK970),"MAX &lt; MB+LG; ","")&amp;IF(AND(CQ970&gt;0,CP970*10&gt;CQ970),"zu hoch für Tablar; ","")&amp;IF(AND(BW970=0,OR(CI970=1,AB970&lt;&gt;"",U970&lt;&gt;"",V970&lt;&gt;"",AC970&lt;&gt;"")),"manuell übersteuert; ","")&amp;IF(AND(CA970=0,R970=0),"Gebinde unbekannt / Stellmass fehlt; ","")&amp;IF(AND(CA970=0,N(V970)&lt;=0,N(Q970)&lt;=0),"Menge pro Gebinde fehlt (Ist = 1 Gebinde); ","")&amp;BV970)</f>
        <v>negativer Bestand (Export -1); Kein Verbrauch; Überbestand 24 Stk / CHF 1735; </v>
      </c>
      <c r="BO970" s="60"/>
      <c r="BP970" s="60"/>
      <c r="BQ970" s="67"/>
      <c r="BR970" s="62" t="n">
        <v>-1</v>
      </c>
      <c r="BS970" s="62" t="n">
        <v>26</v>
      </c>
      <c r="BT970" s="61" t="n">
        <v>-72.28</v>
      </c>
      <c r="BU970" s="62" t="n">
        <v>0</v>
      </c>
      <c r="BV970" s="60"/>
      <c r="BW970" s="65" t="n">
        <v>0</v>
      </c>
      <c r="BX970" s="65" t="n">
        <v>970</v>
      </c>
      <c r="BY970" s="60" t="str">
        <f aca="false">IF(U970&lt;&gt;"",UPPER(TRIM(U970)),IF(CB970=1,UPPER(VLOOKUP(T970,Parameter!$I$27:$K$29,2,0)),IF(P970="","LOSE",P970)))</f>
        <v>S61</v>
      </c>
      <c r="BZ970" s="62" t="n">
        <f aca="false">IF(BY970="LOSE",1,IF(N(V970)&gt;0,V970,IF(CB970=1,MAX(1,N(VLOOKUP(T970,Parameter!$I$27:$K$29,3,0)),H970,N(N970)),IF(N(Q970)&gt;0,Q970,MAX(1,H970)))))</f>
        <v>26</v>
      </c>
      <c r="CA970" s="65" t="n">
        <f aca="false">IF(BY970="LOSE",1,0)</f>
        <v>0</v>
      </c>
      <c r="CB970" s="65" t="n">
        <f aca="false">IF(AND(U970="",OR(P970="",P970="LOSE"),T970&lt;&gt;"",N(S970)&lt;=0,ISNUMBER(MATCH(T970,Parameter!$I$27:$I$29,0))),1,0)</f>
        <v>0</v>
      </c>
      <c r="CC970" s="65" t="n">
        <f aca="false">IF(CR970&gt;0,INDEX(Parameter!$H$5:$H$7,W970)/INDEX(Parameter!$E$5:$E$7,W970),IF(AND(CA970=0,N(IFERROR(VLOOKUP(BY970,'Gebinde-Kategorie'!$A$5:$N$45,14,0),0))&gt;0),VLOOKUP(BY970,'Gebinde-Kategorie'!$A$5:$N$45,14,0)*10+Parameter!$M$23,Parameter!$M$24))</f>
        <v>145</v>
      </c>
      <c r="CD970" s="60" t="n">
        <f aca="false">IF(AND(Parameter!$B$19="Ja",E970&lt;&gt;"",ISNUMBER(MATCH(E970,Parameter!$I$35:$I$52,0))),VLOOKUP(E970,Parameter!$I$35:$J$52,2,0),IFERROR(VLOOKUP(D970,Parameter!$A$35:$C$64,2,0),"Nein"))</f>
        <v>1</v>
      </c>
      <c r="CE970" s="64" t="n">
        <f aca="false">IF(CA970=0,0,IF(N(S970)&gt;0,S970,IFERROR(VLOOKUP(D970,Parameter!$A$35:$C$64,3,0)+0,0)))</f>
        <v>0</v>
      </c>
      <c r="CF970" s="60" t="n">
        <f aca="false">IF(AB970&lt;&gt;"",AB970,AA970)</f>
        <v>3</v>
      </c>
      <c r="CG970" s="60" t="str">
        <f aca="false">IF(OR(CF970=1,CF970=2,CF970=3),IF(Parameter!$E$27="Ja","LIFT",IF(CF970=1,"L1","L23")),IF(CF970="Aussen","Aussen","-"))</f>
        <v>LIFT</v>
      </c>
      <c r="CH970" s="71" t="n">
        <f aca="false">IF(N(AC970)&gt;0,AC970,0)</f>
        <v>0</v>
      </c>
      <c r="CI970" s="65" t="n">
        <f aca="false">IF(ISNUMBER(AF970),1,0)</f>
        <v>0</v>
      </c>
      <c r="CJ970" s="62" t="n">
        <f aca="false">N(AF970)</f>
        <v>0</v>
      </c>
      <c r="CK970" s="62" t="n">
        <f aca="false">N(M970)+N(N970)</f>
        <v>1</v>
      </c>
      <c r="CL970" s="62" t="n">
        <f aca="false">N(M970)</f>
        <v>0</v>
      </c>
      <c r="CM970" s="62" t="n">
        <f aca="false">N(N970)</f>
        <v>1</v>
      </c>
      <c r="CN970" s="62" t="n">
        <f aca="false">ROUNDUP(H970/BZ970,0)</f>
        <v>1</v>
      </c>
      <c r="CO970" s="62" t="n">
        <f aca="false">ROUNDUP(CJ970/BZ970,0)</f>
        <v>0</v>
      </c>
      <c r="CP970" s="65" t="n">
        <f aca="false">IF(CA970=1,0,IFERROR(VLOOKUP(BY970,'Gebinde-Kategorie'!$A$5:$N$45,5,0)+0,0))</f>
        <v>11</v>
      </c>
      <c r="CQ970" s="65" t="n">
        <f aca="false">IFERROR(IF(OR(CF970=1,CF970=2,CF970=3),N(INDEX(Parameter!$I$5:$I$7,CF970)),0),0)</f>
        <v>0</v>
      </c>
      <c r="CR970" s="64" t="n">
        <f aca="false">IF(AND(Parameter!$B$21="Ja",ISNUMBER(W970),N(X970)&gt;0),IFERROR(N(INDEX(Parameter!$L$5:$L$7,W970))*INDEX(Parameter!$E$5:$E$7,W970)*X970/SUMIFS($X$7:$X$1843,$W$7:$W$1843,W970),0),0)</f>
        <v>0</v>
      </c>
      <c r="CS970" s="62" t="n">
        <f aca="false">IF(AND(OR(CG970="L1",CG970="L23",CG970="LIFT"),H970&gt;0),CC970*IF(CR970&gt;0,CR970*MAX(1,H970/X970),IF(CA970=1,CE970,IF(R970&gt;0,CN970/R970,0))/MAX(0.1,N(Parameter!$M$21))),"")</f>
        <v>12.0833333333333</v>
      </c>
      <c r="CT970" s="64" t="n">
        <f aca="false">IF(CS970="","",J970/H970)</f>
        <v>0</v>
      </c>
      <c r="CU970" s="62" t="n">
        <f aca="false">IF(CS970="","",H970*G970)</f>
        <v>1807</v>
      </c>
      <c r="CV970" s="63" t="n">
        <f aca="false">IF(CS970="","",(CL970+ROUNDUP(CL970+MAX(CM970,2*(J970/MAX(0.1,N(Einkauf!$C$6))-CL970)),0))/2)</f>
        <v>0.5</v>
      </c>
      <c r="CW970" s="62" t="n">
        <f aca="false">IF(CS970="","",MAX(0,H970-CV970)*G970)</f>
        <v>1770.86</v>
      </c>
      <c r="CX970" s="62" t="n">
        <f aca="false">IF(CS970="","",CS970*MAX(0,1-CV970/H970))</f>
        <v>11.8416666666667</v>
      </c>
      <c r="CY970" s="64" t="n">
        <f aca="false">IF(CS970="","",PERCENTRANK($CS$7:$CS$1843,CS970)+PERCENTRANK($CU$7:$CU$1843,CU970)+1-PERCENTRANK($CT$7:$CT$1843,CT970))</f>
        <v>2.411</v>
      </c>
      <c r="CZ970" s="72" t="n">
        <f aca="false">IF(CS970="","",CHOOSE(MATCH(Einkauf!$C$5,Parameter!$G$23:$G$27,0),CY970,CS970,CU970,-CT970,CW970)+ROW()/1000000000)</f>
        <v>2.41100097</v>
      </c>
    </row>
    <row r="971" customFormat="false" ht="15" hidden="false" customHeight="false" outlineLevel="0" collapsed="false">
      <c r="A971" s="60" t="s">
        <v>1844</v>
      </c>
      <c r="B971" s="60" t="s">
        <v>1845</v>
      </c>
      <c r="C971" s="60" t="s">
        <v>206</v>
      </c>
      <c r="D971" s="60" t="s">
        <v>226</v>
      </c>
      <c r="E971" s="60" t="s">
        <v>227</v>
      </c>
      <c r="F971" s="60" t="s">
        <v>260</v>
      </c>
      <c r="G971" s="61" t="n">
        <v>72.69</v>
      </c>
      <c r="H971" s="62" t="n">
        <f aca="false">MAX(0,IF(AND(Parameter!$B$21="Ja",ISNUMBER(Y971)),Y971,IF(Parameter!$B$20="Jahresanfang 2025 + Export",BS971+BR971,BR971)))</f>
        <v>9</v>
      </c>
      <c r="I971" s="62" t="n">
        <f aca="false">H971*G971</f>
        <v>654.21</v>
      </c>
      <c r="J971" s="62" t="n">
        <f aca="false">BU971*Parameter!$B$18</f>
        <v>0</v>
      </c>
      <c r="K971" s="63" t="n">
        <v>9.5</v>
      </c>
      <c r="L971" s="64" t="n">
        <v>0</v>
      </c>
      <c r="M971" s="62" t="n">
        <v>0</v>
      </c>
      <c r="N971" s="62" t="n">
        <v>1</v>
      </c>
      <c r="O971" s="65" t="n">
        <v>97</v>
      </c>
      <c r="P971" s="60" t="s">
        <v>275</v>
      </c>
      <c r="Q971" s="62" t="n">
        <v>10</v>
      </c>
      <c r="R971" s="65" t="n">
        <f aca="false">IF(CA971=1,0,IFERROR(VLOOKUP(BY971,'Gebinde-Kategorie'!$A$5:$N$45,13,0)+0,0))</f>
        <v>26</v>
      </c>
      <c r="S971" s="66"/>
      <c r="T971" s="67"/>
      <c r="U971" s="67"/>
      <c r="V971" s="67"/>
      <c r="W971" s="60"/>
      <c r="X971" s="62"/>
      <c r="Y971" s="62"/>
      <c r="Z971" s="60" t="n">
        <v>3</v>
      </c>
      <c r="AA971" s="60" t="n">
        <f aca="false">IF(A971="","",IF(AND(Parameter!$B$21="Ja",ISNUMBER(W971)),W971,IF(AND(Parameter!$E$27="Ja",ISNUMBER(Z971),CD971&lt;&gt;"Nein"),Z971,IF(CD971="2+3",IF(ISNUMBER(SEARCH("grosser Artikel",BV971)),2,IFERROR(VLOOKUP(BY971,Parameter!$F$35:$G$64,2,0),2)),IF(OR(CD971="Nein",CD971=""),"-",CD971)))))</f>
        <v>3</v>
      </c>
      <c r="AB971" s="67"/>
      <c r="AC971" s="68"/>
      <c r="AD971" s="62" t="n">
        <f aca="false">AW971</f>
        <v>1</v>
      </c>
      <c r="AE971" s="62" t="n">
        <f aca="false">MAX(AW971,H971)</f>
        <v>9</v>
      </c>
      <c r="AF971" s="69"/>
      <c r="AG971" s="62" t="n">
        <f aca="false">IF(LEFT(Cockpit!$C$5,1)="A",H971,IF(Parameter!$E$30="MAX-Bestand",IF(CI971=1,CJ971,IF(LEFT(Cockpit!$C$5,1)="B",AM971,MAX(AM971,H971))),ROUNDUP(AK971,0)))</f>
        <v>9</v>
      </c>
      <c r="AH971" s="62" t="n">
        <f aca="false">IF(CA971=1,0,ROUNDUP(AG971/BZ971,0))</f>
        <v>1</v>
      </c>
      <c r="AI971" s="64" t="n">
        <f aca="false">IF(CR971&gt;0,CR971*MAX(1,AG971/X971),IF(CA971=1,IF(AG971&lt;=0,0,CE971*MAX(1,IF(H971&gt;0,AG971/H971,1))),IF(R971&gt;0,AH971/R971,0))/MAX(0.1,N(Parameter!$M$21)))</f>
        <v>0.0384615384615385</v>
      </c>
      <c r="AJ971" s="62" t="n">
        <f aca="false">AI971*CC971</f>
        <v>9.42307692307692</v>
      </c>
      <c r="AK971" s="63" t="n">
        <f aca="false">IF(LEFT(Cockpit!$C$5,1)="A",H971,IF(CI971=1,(CL971+CJ971)/2,IF(LEFT(Cockpit!$C$5,1)="B",(CL971+AM971)/2,MAX((CL971+AM971)/2,H971))))</f>
        <v>9</v>
      </c>
      <c r="AL971" s="62" t="n">
        <f aca="false">AK971*G971</f>
        <v>654.21</v>
      </c>
      <c r="AM971" s="62" t="n">
        <f aca="false">ROUNDUP(CL971+MAX(CM971,2*(J971/IF(CH971&gt;0,CH971,MAX(0.1,N(Cockpit!$C$6)))-CL971)),0)</f>
        <v>1</v>
      </c>
      <c r="AN971" s="63" t="n">
        <f aca="false">IF(AJ971&gt;0,J971/AJ971,-1)</f>
        <v>0</v>
      </c>
      <c r="AO971" s="63" t="n">
        <f aca="false">IF(AND(OR(CG971="L1",CG971="L23",CG971="LIFT"),AJ971&gt;0),SUMIFS($AJ$7:$AJ$1843,$CG$7:$CG$1843,CG971,$AN$7:$AN$1843,"&gt;"&amp;AN971)+SUMIFS($AJ$7:$AJ$1843,$CG$7:$CG$1843,CG971,$AN$7:$AN$1843,AN971,$BX$7:$BX$1843,"&lt;="&amp;BX971),"")</f>
        <v>28910.2620729083</v>
      </c>
      <c r="AP971" s="70" t="n">
        <f aca="false">IF(AO971="",0,MAX(0,MIN(1,(IF(CG971="L1",Parameter!$H$5,IF(CG971="L23",Parameter!$H$6+Parameter!$H$7,Parameter!$H$5+Parameter!$H$6+Parameter!$H$7))-(AO971-AJ971))/AJ971)))</f>
        <v>1</v>
      </c>
      <c r="AQ971" s="62" t="n">
        <f aca="false">IF(LEFT(Cockpit!$I$5,1)="A",H971,IF(Parameter!$E$30="MAX-Bestand",IF(CI971=1,CJ971,IF(LEFT(Cockpit!$I$5,1)="B",AW971,MAX(AW971,H971))),ROUNDUP(AU971,0)))</f>
        <v>9</v>
      </c>
      <c r="AR971" s="62" t="n">
        <f aca="false">IF(CA971=1,0,ROUNDUP(AQ971/BZ971,0))</f>
        <v>1</v>
      </c>
      <c r="AS971" s="64" t="n">
        <f aca="false">IF(CR971&gt;0,CR971*MAX(1,AQ971/X971),IF(CA971=1,IF(AQ971&lt;=0,0,CE971*MAX(1,IF(H971&gt;0,AQ971/H971,1))),IF(R971&gt;0,AR971/R971,0))/MAX(0.1,N(Parameter!$M$21)))</f>
        <v>0.0384615384615385</v>
      </c>
      <c r="AT971" s="62" t="n">
        <f aca="false">AS971*CC971</f>
        <v>9.42307692307692</v>
      </c>
      <c r="AU971" s="63" t="n">
        <f aca="false">IF(LEFT(Cockpit!$I$5,1)="A",H971,IF(CI971=1,(CL971+CJ971)/2,IF(LEFT(Cockpit!$I$5,1)="B",(CL971+AW971)/2,MAX((CL971+AW971)/2,H971))))</f>
        <v>9</v>
      </c>
      <c r="AV971" s="62" t="n">
        <f aca="false">AU971*G971</f>
        <v>654.21</v>
      </c>
      <c r="AW971" s="62" t="n">
        <f aca="false">ROUNDUP(CL971+MAX(CM971,2*(J971/IF(CH971&gt;0,CH971,MAX(0.1,N(Cockpit!$I$6)))-CL971)),0)</f>
        <v>1</v>
      </c>
      <c r="AX971" s="63" t="n">
        <f aca="false">IF(AT971&gt;0,J971/AT971,-1)</f>
        <v>0</v>
      </c>
      <c r="AY971" s="63" t="n">
        <f aca="false">IF(AND(OR(CG971="L1",CG971="L23",CG971="LIFT"),AT971&gt;0),SUMIFS($AT$7:$AT$1843,$CG$7:$CG$1843,CG971,$AX$7:$AX$1843,"&gt;"&amp;AX971)+SUMIFS($AT$7:$AT$1843,$CG$7:$CG$1843,CG971,$AX$7:$AX$1843,AX971,$BX$7:$BX$1843,"&lt;="&amp;BX971),"")</f>
        <v>34578.1950549451</v>
      </c>
      <c r="AZ971" s="70" t="n">
        <f aca="false">IF(AY971="",0,MAX(0,MIN(1,(IF(CG971="L1",Parameter!$H$5,IF(CG971="L23",Parameter!$H$6+Parameter!$H$7,Parameter!$H$5+Parameter!$H$6+Parameter!$H$7))-(AY971-AT971))/AT971)))</f>
        <v>1</v>
      </c>
      <c r="BA971" s="62" t="n">
        <f aca="false">IF(LEFT(Cockpit!$O$5,1)="A",H971,IF(Parameter!$E$30="MAX-Bestand",IF(CI971=1,CJ971,IF(LEFT(Cockpit!$O$5,1)="B",BG971,MAX(BG971,H971))),ROUNDUP(BE971,0)))</f>
        <v>1</v>
      </c>
      <c r="BB971" s="62" t="n">
        <f aca="false">IF(CA971=1,0,ROUNDUP(BA971/BZ971,0))</f>
        <v>1</v>
      </c>
      <c r="BC971" s="64" t="n">
        <f aca="false">IF(CR971&gt;0,CR971*MAX(1,BA971/X971),IF(CA971=1,IF(BA971&lt;=0,0,CE971*MAX(1,IF(H971&gt;0,BA971/H971,1))),IF(R971&gt;0,BB971/R971,0))/MAX(0.1,N(Parameter!$M$21)))</f>
        <v>0.0384615384615385</v>
      </c>
      <c r="BD971" s="62" t="n">
        <f aca="false">BC971*CC971</f>
        <v>9.42307692307692</v>
      </c>
      <c r="BE971" s="63" t="n">
        <f aca="false">IF(LEFT(Cockpit!$O$5,1)="A",H971,IF(CI971=1,(CL971+CJ971)/2,IF(LEFT(Cockpit!$O$5,1)="B",(CL971+BG971)/2,MAX((CL971+BG971)/2,H971))))</f>
        <v>0.5</v>
      </c>
      <c r="BF971" s="62" t="n">
        <f aca="false">BE971*G971</f>
        <v>36.345</v>
      </c>
      <c r="BG971" s="62" t="n">
        <f aca="false">ROUNDUP(CL971+MAX(CM971,2*(J971/IF(CH971&gt;0,CH971,MAX(0.1,N(Cockpit!$O$6)))-CL971)),0)</f>
        <v>1</v>
      </c>
      <c r="BH971" s="63" t="n">
        <f aca="false">IF(BD971&gt;0,J971/BD971,-1)</f>
        <v>0</v>
      </c>
      <c r="BI971" s="63" t="n">
        <f aca="false">IF(AND(OR(CG971="L1",CG971="L23",CG971="LIFT"),BD971&gt;0),SUMIFS($BD$7:$BD$1843,$CG$7:$CG$1843,CG971,$BH$7:$BH$1843,"&gt;"&amp;BH971)+SUMIFS($BD$7:$BD$1843,$CG$7:$CG$1843,CG971,$BH$7:$BH$1843,BH971,$BX$7:$BX$1843,"&lt;="&amp;BX971),"")</f>
        <v>28608.6940227851</v>
      </c>
      <c r="BJ971" s="70" t="n">
        <f aca="false">IF(BI971="",0,MAX(0,MIN(1,(IF(CG971="L1",Parameter!$H$5,IF(CG971="L23",Parameter!$H$6+Parameter!$H$7,Parameter!$H$5+Parameter!$H$6+Parameter!$H$7))-(BI971-BD971))/BD971)))</f>
        <v>1</v>
      </c>
      <c r="BK971" s="60" t="str">
        <f aca="false">IF(AJ971&lt;=0,"",IF(CG971="Aussen","Aussenlager",IF(CG971="-","Nicht im Lift",IF(AP971&gt;=1,"Lift",IF(AP971&lt;=0,"Aussenlager","teilweise")))))</f>
        <v>Lift</v>
      </c>
      <c r="BL971" s="60" t="str">
        <f aca="false">IF(AT971&lt;=0,"",IF(CG971="Aussen","Aussenlager",IF(CG971="-","Nicht im Lift",IF(AZ971&gt;=1,"Lift",IF(AZ971&lt;=0,"Aussenlager","teilweise")))))</f>
        <v>Lift</v>
      </c>
      <c r="BM971" s="60" t="str">
        <f aca="false">IF(BD971&lt;=0,"",IF(CG971="Aussen","Aussenlager",IF(CG971="-","Nicht im Lift",IF(BJ971&gt;=1,"Lift",IF(BJ971&lt;=0,"Aussenlager","teilweise")))))</f>
        <v>Lift</v>
      </c>
      <c r="BN971" s="60" t="str">
        <f aca="false">IF(A971="","",IF(BW971=1,"Neu; ","")&amp;IF(AND(BW971=0,BR971&lt;0),"negativer Bestand (Export "&amp;BR971&amp;"); ","")&amp;IF(J971&lt;=0,"Kein Verbrauch; ","")&amp;IF(CR971&gt;0,"Lift "&amp;W971&amp;" lt. Liftbericht (Fach "&amp;X971&amp;" Stk); ",IF(CB971=1,"Gebinde geschätzt ("&amp;T971&amp;"); ",IF(CA971=1,"Lose – Tablare geschätzt; ","")))&amp;IF(H971&gt;AW971,"Überbestand "&amp;ROUND(H971-AW971,0)&amp;" Stk / CHF "&amp;ROUND((H971-AW971)*G971,0)&amp;"; ","")&amp;IF(AND(CI971=1,CJ971&lt;CK971),"MAX &lt; MB+LG; ","")&amp;IF(AND(CQ971&gt;0,CP971*10&gt;CQ971),"zu hoch für Tablar; ","")&amp;IF(AND(BW971=0,OR(CI971=1,AB971&lt;&gt;"",U971&lt;&gt;"",V971&lt;&gt;"",AC971&lt;&gt;"")),"manuell übersteuert; ","")&amp;IF(AND(CA971=0,R971=0),"Gebinde unbekannt / Stellmass fehlt; ","")&amp;IF(AND(CA971=0,N(V971)&lt;=0,N(Q971)&lt;=0),"Menge pro Gebinde fehlt (Ist = 1 Gebinde); ","")&amp;BV971)</f>
        <v>negativer Bestand (Export -1); Kein Verbrauch; Überbestand 8 Stk / CHF 582; Überbestand</v>
      </c>
      <c r="BO971" s="60"/>
      <c r="BP971" s="60"/>
      <c r="BQ971" s="67"/>
      <c r="BR971" s="62" t="n">
        <v>-1</v>
      </c>
      <c r="BS971" s="62" t="n">
        <v>10</v>
      </c>
      <c r="BT971" s="61" t="n">
        <v>-72.69</v>
      </c>
      <c r="BU971" s="62" t="n">
        <v>0</v>
      </c>
      <c r="BV971" s="60" t="s">
        <v>434</v>
      </c>
      <c r="BW971" s="65" t="n">
        <v>0</v>
      </c>
      <c r="BX971" s="65" t="n">
        <v>971</v>
      </c>
      <c r="BY971" s="60" t="str">
        <f aca="false">IF(U971&lt;&gt;"",UPPER(TRIM(U971)),IF(CB971=1,UPPER(VLOOKUP(T971,Parameter!$I$27:$K$29,2,0)),IF(P971="","LOSE",P971)))</f>
        <v>S52</v>
      </c>
      <c r="BZ971" s="62" t="n">
        <f aca="false">IF(BY971="LOSE",1,IF(N(V971)&gt;0,V971,IF(CB971=1,MAX(1,N(VLOOKUP(T971,Parameter!$I$27:$K$29,3,0)),H971,N(N971)),IF(N(Q971)&gt;0,Q971,MAX(1,H971)))))</f>
        <v>10</v>
      </c>
      <c r="CA971" s="65" t="n">
        <f aca="false">IF(BY971="LOSE",1,0)</f>
        <v>0</v>
      </c>
      <c r="CB971" s="65" t="n">
        <f aca="false">IF(AND(U971="",OR(P971="",P971="LOSE"),T971&lt;&gt;"",N(S971)&lt;=0,ISNUMBER(MATCH(T971,Parameter!$I$27:$I$29,0))),1,0)</f>
        <v>0</v>
      </c>
      <c r="CC971" s="65" t="n">
        <f aca="false">IF(CR971&gt;0,INDEX(Parameter!$H$5:$H$7,W971)/INDEX(Parameter!$E$5:$E$7,W971),IF(AND(CA971=0,N(IFERROR(VLOOKUP(BY971,'Gebinde-Kategorie'!$A$5:$N$45,14,0),0))&gt;0),VLOOKUP(BY971,'Gebinde-Kategorie'!$A$5:$N$45,14,0)*10+Parameter!$M$23,Parameter!$M$24))</f>
        <v>245</v>
      </c>
      <c r="CD971" s="60" t="str">
        <f aca="false">IF(AND(Parameter!$B$19="Ja",E971&lt;&gt;"",ISNUMBER(MATCH(E971,Parameter!$I$35:$I$52,0))),VLOOKUP(E971,Parameter!$I$35:$J$52,2,0),IFERROR(VLOOKUP(D971,Parameter!$A$35:$C$64,2,0),"Nein"))</f>
        <v>2+3</v>
      </c>
      <c r="CE971" s="64" t="n">
        <f aca="false">IF(CA971=0,0,IF(N(S971)&gt;0,S971,IFERROR(VLOOKUP(D971,Parameter!$A$35:$C$64,3,0)+0,0)))</f>
        <v>0</v>
      </c>
      <c r="CF971" s="60" t="n">
        <f aca="false">IF(AB971&lt;&gt;"",AB971,AA971)</f>
        <v>3</v>
      </c>
      <c r="CG971" s="60" t="str">
        <f aca="false">IF(OR(CF971=1,CF971=2,CF971=3),IF(Parameter!$E$27="Ja","LIFT",IF(CF971=1,"L1","L23")),IF(CF971="Aussen","Aussen","-"))</f>
        <v>LIFT</v>
      </c>
      <c r="CH971" s="71" t="n">
        <f aca="false">IF(N(AC971)&gt;0,AC971,0)</f>
        <v>0</v>
      </c>
      <c r="CI971" s="65" t="n">
        <f aca="false">IF(ISNUMBER(AF971),1,0)</f>
        <v>0</v>
      </c>
      <c r="CJ971" s="62" t="n">
        <f aca="false">N(AF971)</f>
        <v>0</v>
      </c>
      <c r="CK971" s="62" t="n">
        <f aca="false">N(M971)+N(N971)</f>
        <v>1</v>
      </c>
      <c r="CL971" s="62" t="n">
        <f aca="false">N(M971)</f>
        <v>0</v>
      </c>
      <c r="CM971" s="62" t="n">
        <f aca="false">N(N971)</f>
        <v>1</v>
      </c>
      <c r="CN971" s="62" t="n">
        <f aca="false">ROUNDUP(H971/BZ971,0)</f>
        <v>1</v>
      </c>
      <c r="CO971" s="62" t="n">
        <f aca="false">ROUNDUP(CJ971/BZ971,0)</f>
        <v>0</v>
      </c>
      <c r="CP971" s="65" t="n">
        <f aca="false">IF(CA971=1,0,IFERROR(VLOOKUP(BY971,'Gebinde-Kategorie'!$A$5:$N$45,5,0)+0,0))</f>
        <v>21</v>
      </c>
      <c r="CQ971" s="65" t="n">
        <f aca="false">IFERROR(IF(OR(CF971=1,CF971=2,CF971=3),N(INDEX(Parameter!$I$5:$I$7,CF971)),0),0)</f>
        <v>0</v>
      </c>
      <c r="CR971" s="64" t="n">
        <f aca="false">IF(AND(Parameter!$B$21="Ja",ISNUMBER(W971),N(X971)&gt;0),IFERROR(N(INDEX(Parameter!$L$5:$L$7,W971))*INDEX(Parameter!$E$5:$E$7,W971)*X971/SUMIFS($X$7:$X$1843,$W$7:$W$1843,W971),0),0)</f>
        <v>0</v>
      </c>
      <c r="CS971" s="62" t="n">
        <f aca="false">IF(AND(OR(CG971="L1",CG971="L23",CG971="LIFT"),H971&gt;0),CC971*IF(CR971&gt;0,CR971*MAX(1,H971/X971),IF(CA971=1,CE971,IF(R971&gt;0,CN971/R971,0))/MAX(0.1,N(Parameter!$M$21))),"")</f>
        <v>9.42307692307692</v>
      </c>
      <c r="CT971" s="64" t="n">
        <f aca="false">IF(CS971="","",J971/H971)</f>
        <v>0</v>
      </c>
      <c r="CU971" s="62" t="n">
        <f aca="false">IF(CS971="","",H971*G971)</f>
        <v>654.21</v>
      </c>
      <c r="CV971" s="63" t="n">
        <f aca="false">IF(CS971="","",(CL971+ROUNDUP(CL971+MAX(CM971,2*(J971/MAX(0.1,N(Einkauf!$C$6))-CL971)),0))/2)</f>
        <v>0.5</v>
      </c>
      <c r="CW971" s="62" t="n">
        <f aca="false">IF(CS971="","",MAX(0,H971-CV971)*G971)</f>
        <v>617.865</v>
      </c>
      <c r="CX971" s="62" t="n">
        <f aca="false">IF(CS971="","",CS971*MAX(0,1-CV971/H971))</f>
        <v>8.89957264957265</v>
      </c>
      <c r="CY971" s="64" t="n">
        <f aca="false">IF(CS971="","",PERCENTRANK($CS$7:$CS$1843,CS971)+PERCENTRANK($CU$7:$CU$1843,CU971)+1-PERCENTRANK($CT$7:$CT$1843,CT971))</f>
        <v>2.147</v>
      </c>
      <c r="CZ971" s="72" t="n">
        <f aca="false">IF(CS971="","",CHOOSE(MATCH(Einkauf!$C$5,Parameter!$G$23:$G$27,0),CY971,CS971,CU971,-CT971,CW971)+ROW()/1000000000)</f>
        <v>2.147000971</v>
      </c>
    </row>
    <row r="972" customFormat="false" ht="15" hidden="false" customHeight="false" outlineLevel="0" collapsed="false">
      <c r="A972" s="60" t="s">
        <v>1846</v>
      </c>
      <c r="B972" s="60" t="s">
        <v>531</v>
      </c>
      <c r="C972" s="60" t="s">
        <v>206</v>
      </c>
      <c r="D972" s="60" t="s">
        <v>226</v>
      </c>
      <c r="E972" s="60" t="s">
        <v>227</v>
      </c>
      <c r="F972" s="60" t="s">
        <v>260</v>
      </c>
      <c r="G972" s="61" t="n">
        <v>1.36</v>
      </c>
      <c r="H972" s="62" t="n">
        <f aca="false">MAX(0,IF(AND(Parameter!$B$21="Ja",ISNUMBER(Y972)),Y972,IF(Parameter!$B$20="Jahresanfang 2025 + Export",BS972+BR972,BR972)))</f>
        <v>371</v>
      </c>
      <c r="I972" s="62" t="n">
        <f aca="false">H972*G972</f>
        <v>504.56</v>
      </c>
      <c r="J972" s="62" t="n">
        <f aca="false">BU972*Parameter!$B$18</f>
        <v>674</v>
      </c>
      <c r="K972" s="63" t="n">
        <v>352.5</v>
      </c>
      <c r="L972" s="64" t="n">
        <v>1.91205673758865</v>
      </c>
      <c r="M972" s="62" t="n">
        <v>26</v>
      </c>
      <c r="N972" s="62" t="n">
        <v>675</v>
      </c>
      <c r="O972" s="65" t="n">
        <v>14</v>
      </c>
      <c r="P972" s="60" t="s">
        <v>344</v>
      </c>
      <c r="Q972" s="62" t="n">
        <v>1739</v>
      </c>
      <c r="R972" s="65" t="n">
        <f aca="false">IF(CA972=1,0,IFERROR(VLOOKUP(BY972,'Gebinde-Kategorie'!$A$5:$N$45,13,0)+0,0))</f>
        <v>26</v>
      </c>
      <c r="S972" s="66"/>
      <c r="T972" s="67"/>
      <c r="U972" s="67"/>
      <c r="V972" s="67"/>
      <c r="W972" s="60"/>
      <c r="X972" s="62"/>
      <c r="Y972" s="62"/>
      <c r="Z972" s="60" t="n">
        <v>3</v>
      </c>
      <c r="AA972" s="60" t="n">
        <f aca="false">IF(A972="","",IF(AND(Parameter!$B$21="Ja",ISNUMBER(W972)),W972,IF(AND(Parameter!$E$27="Ja",ISNUMBER(Z972),CD972&lt;&gt;"Nein"),Z972,IF(CD972="2+3",IF(ISNUMBER(SEARCH("grosser Artikel",BV972)),2,IFERROR(VLOOKUP(BY972,Parameter!$F$35:$G$64,2,0),2)),IF(OR(CD972="Nein",CD972=""),"-",CD972)))))</f>
        <v>3</v>
      </c>
      <c r="AB972" s="67"/>
      <c r="AC972" s="68"/>
      <c r="AD972" s="62" t="n">
        <f aca="false">AW972</f>
        <v>701</v>
      </c>
      <c r="AE972" s="62" t="n">
        <f aca="false">MAX(AW972,H972)</f>
        <v>701</v>
      </c>
      <c r="AF972" s="69"/>
      <c r="AG972" s="62" t="n">
        <f aca="false">IF(LEFT(Cockpit!$C$5,1)="A",H972,IF(Parameter!$E$30="MAX-Bestand",IF(CI972=1,CJ972,IF(LEFT(Cockpit!$C$5,1)="B",AM972,MAX(AM972,H972))),ROUNDUP(AK972,0)))</f>
        <v>371</v>
      </c>
      <c r="AH972" s="62" t="n">
        <f aca="false">IF(CA972=1,0,ROUNDUP(AG972/BZ972,0))</f>
        <v>1</v>
      </c>
      <c r="AI972" s="64" t="n">
        <f aca="false">IF(CR972&gt;0,CR972*MAX(1,AG972/X972),IF(CA972=1,IF(AG972&lt;=0,0,CE972*MAX(1,IF(H972&gt;0,AG972/H972,1))),IF(R972&gt;0,AH972/R972,0))/MAX(0.1,N(Parameter!$M$21)))</f>
        <v>0.0384615384615385</v>
      </c>
      <c r="AJ972" s="62" t="n">
        <f aca="false">AI972*CC972</f>
        <v>5.96153846153846</v>
      </c>
      <c r="AK972" s="63" t="n">
        <f aca="false">IF(LEFT(Cockpit!$C$5,1)="A",H972,IF(CI972=1,(CL972+CJ972)/2,IF(LEFT(Cockpit!$C$5,1)="B",(CL972+AM972)/2,MAX((CL972+AM972)/2,H972))))</f>
        <v>371</v>
      </c>
      <c r="AL972" s="62" t="n">
        <f aca="false">AK972*G972</f>
        <v>504.56</v>
      </c>
      <c r="AM972" s="62" t="n">
        <f aca="false">ROUNDUP(CL972+MAX(CM972,2*(J972/IF(CH972&gt;0,CH972,MAX(0.1,N(Cockpit!$C$6)))-CL972)),0)</f>
        <v>701</v>
      </c>
      <c r="AN972" s="63" t="n">
        <f aca="false">IF(AJ972&gt;0,J972/AJ972,-1)</f>
        <v>113.058064516129</v>
      </c>
      <c r="AO972" s="63" t="n">
        <f aca="false">IF(AND(OR(CG972="L1",CG972="L23",CG972="LIFT"),AJ972&gt;0),SUMIFS($AJ$7:$AJ$1843,$CG$7:$CG$1843,CG972,$AN$7:$AN$1843,"&gt;"&amp;AN972)+SUMIFS($AJ$7:$AJ$1843,$CG$7:$CG$1843,CG972,$AN$7:$AN$1843,AN972,$BX$7:$BX$1843,"&lt;="&amp;BX972),"")</f>
        <v>739.744047619048</v>
      </c>
      <c r="AP972" s="70" t="n">
        <f aca="false">IF(AO972="",0,MAX(0,MIN(1,(IF(CG972="L1",Parameter!$H$5,IF(CG972="L23",Parameter!$H$6+Parameter!$H$7,Parameter!$H$5+Parameter!$H$6+Parameter!$H$7))-(AO972-AJ972))/AJ972)))</f>
        <v>1</v>
      </c>
      <c r="AQ972" s="62" t="n">
        <f aca="false">IF(LEFT(Cockpit!$I$5,1)="A",H972,IF(Parameter!$E$30="MAX-Bestand",IF(CI972=1,CJ972,IF(LEFT(Cockpit!$I$5,1)="B",AW972,MAX(AW972,H972))),ROUNDUP(AU972,0)))</f>
        <v>371</v>
      </c>
      <c r="AR972" s="62" t="n">
        <f aca="false">IF(CA972=1,0,ROUNDUP(AQ972/BZ972,0))</f>
        <v>1</v>
      </c>
      <c r="AS972" s="64" t="n">
        <f aca="false">IF(CR972&gt;0,CR972*MAX(1,AQ972/X972),IF(CA972=1,IF(AQ972&lt;=0,0,CE972*MAX(1,IF(H972&gt;0,AQ972/H972,1))),IF(R972&gt;0,AR972/R972,0))/MAX(0.1,N(Parameter!$M$21)))</f>
        <v>0.0384615384615385</v>
      </c>
      <c r="AT972" s="62" t="n">
        <f aca="false">AS972*CC972</f>
        <v>5.96153846153846</v>
      </c>
      <c r="AU972" s="63" t="n">
        <f aca="false">IF(LEFT(Cockpit!$I$5,1)="A",H972,IF(CI972=1,(CL972+CJ972)/2,IF(LEFT(Cockpit!$I$5,1)="B",(CL972+AW972)/2,MAX((CL972+AW972)/2,H972))))</f>
        <v>371</v>
      </c>
      <c r="AV972" s="62" t="n">
        <f aca="false">AU972*G972</f>
        <v>504.56</v>
      </c>
      <c r="AW972" s="62" t="n">
        <f aca="false">ROUNDUP(CL972+MAX(CM972,2*(J972/IF(CH972&gt;0,CH972,MAX(0.1,N(Cockpit!$I$6)))-CL972)),0)</f>
        <v>701</v>
      </c>
      <c r="AX972" s="63" t="n">
        <f aca="false">IF(AT972&gt;0,J972/AT972,-1)</f>
        <v>113.058064516129</v>
      </c>
      <c r="AY972" s="63" t="n">
        <f aca="false">IF(AND(OR(CG972="L1",CG972="L23",CG972="LIFT"),AT972&gt;0),SUMIFS($AT$7:$AT$1843,$CG$7:$CG$1843,CG972,$AX$7:$AX$1843,"&gt;"&amp;AX972)+SUMIFS($AT$7:$AT$1843,$CG$7:$CG$1843,CG972,$AX$7:$AX$1843,AX972,$BX$7:$BX$1843,"&lt;="&amp;BX972),"")</f>
        <v>814.467032967033</v>
      </c>
      <c r="AZ972" s="70" t="n">
        <f aca="false">IF(AY972="",0,MAX(0,MIN(1,(IF(CG972="L1",Parameter!$H$5,IF(CG972="L23",Parameter!$H$6+Parameter!$H$7,Parameter!$H$5+Parameter!$H$6+Parameter!$H$7))-(AY972-AT972))/AT972)))</f>
        <v>1</v>
      </c>
      <c r="BA972" s="62" t="n">
        <f aca="false">IF(LEFT(Cockpit!$O$5,1)="A",H972,IF(Parameter!$E$30="MAX-Bestand",IF(CI972=1,CJ972,IF(LEFT(Cockpit!$O$5,1)="B",BG972,MAX(BG972,H972))),ROUNDUP(BE972,0)))</f>
        <v>364</v>
      </c>
      <c r="BB972" s="62" t="n">
        <f aca="false">IF(CA972=1,0,ROUNDUP(BA972/BZ972,0))</f>
        <v>1</v>
      </c>
      <c r="BC972" s="64" t="n">
        <f aca="false">IF(CR972&gt;0,CR972*MAX(1,BA972/X972),IF(CA972=1,IF(BA972&lt;=0,0,CE972*MAX(1,IF(H972&gt;0,BA972/H972,1))),IF(R972&gt;0,BB972/R972,0))/MAX(0.1,N(Parameter!$M$21)))</f>
        <v>0.0384615384615385</v>
      </c>
      <c r="BD972" s="62" t="n">
        <f aca="false">BC972*CC972</f>
        <v>5.96153846153846</v>
      </c>
      <c r="BE972" s="63" t="n">
        <f aca="false">IF(LEFT(Cockpit!$O$5,1)="A",H972,IF(CI972=1,(CL972+CJ972)/2,IF(LEFT(Cockpit!$O$5,1)="B",(CL972+BG972)/2,MAX((CL972+BG972)/2,H972))))</f>
        <v>363.5</v>
      </c>
      <c r="BF972" s="62" t="n">
        <f aca="false">BE972*G972</f>
        <v>494.36</v>
      </c>
      <c r="BG972" s="62" t="n">
        <f aca="false">ROUNDUP(CL972+MAX(CM972,2*(J972/IF(CH972&gt;0,CH972,MAX(0.1,N(Cockpit!$O$6)))-CL972)),0)</f>
        <v>701</v>
      </c>
      <c r="BH972" s="63" t="n">
        <f aca="false">IF(BD972&gt;0,J972/BD972,-1)</f>
        <v>113.058064516129</v>
      </c>
      <c r="BI972" s="63" t="n">
        <f aca="false">IF(AND(OR(CG972="L1",CG972="L23",CG972="LIFT"),BD972&gt;0),SUMIFS($BD$7:$BD$1843,$CG$7:$CG$1843,CG972,$BH$7:$BH$1843,"&gt;"&amp;BH972)+SUMIFS($BD$7:$BD$1843,$CG$7:$CG$1843,CG972,$BH$7:$BH$1843,BH972,$BX$7:$BX$1843,"&lt;="&amp;BX972),"")</f>
        <v>870.581501831502</v>
      </c>
      <c r="BJ972" s="70" t="n">
        <f aca="false">IF(BI972="",0,MAX(0,MIN(1,(IF(CG972="L1",Parameter!$H$5,IF(CG972="L23",Parameter!$H$6+Parameter!$H$7,Parameter!$H$5+Parameter!$H$6+Parameter!$H$7))-(BI972-BD972))/BD972)))</f>
        <v>1</v>
      </c>
      <c r="BK972" s="60" t="str">
        <f aca="false">IF(AJ972&lt;=0,"",IF(CG972="Aussen","Aussenlager",IF(CG972="-","Nicht im Lift",IF(AP972&gt;=1,"Lift",IF(AP972&lt;=0,"Aussenlager","teilweise")))))</f>
        <v>Lift</v>
      </c>
      <c r="BL972" s="60" t="str">
        <f aca="false">IF(AT972&lt;=0,"",IF(CG972="Aussen","Aussenlager",IF(CG972="-","Nicht im Lift",IF(AZ972&gt;=1,"Lift",IF(AZ972&lt;=0,"Aussenlager","teilweise")))))</f>
        <v>Lift</v>
      </c>
      <c r="BM972" s="60" t="str">
        <f aca="false">IF(BD972&lt;=0,"",IF(CG972="Aussen","Aussenlager",IF(CG972="-","Nicht im Lift",IF(BJ972&gt;=1,"Lift",IF(BJ972&lt;=0,"Aussenlager","teilweise")))))</f>
        <v>Lift</v>
      </c>
      <c r="BN972" s="60" t="str">
        <f aca="false">IF(A972="","",IF(BW972=1,"Neu; ","")&amp;IF(AND(BW972=0,BR972&lt;0),"negativer Bestand (Export "&amp;BR972&amp;"); ","")&amp;IF(J972&lt;=0,"Kein Verbrauch; ","")&amp;IF(CR972&gt;0,"Lift "&amp;W972&amp;" lt. Liftbericht (Fach "&amp;X972&amp;" Stk); ",IF(CB972=1,"Gebinde geschätzt ("&amp;T972&amp;"); ",IF(CA972=1,"Lose – Tablare geschätzt; ","")))&amp;IF(H972&gt;AW972,"Überbestand "&amp;ROUND(H972-AW972,0)&amp;" Stk / CHF "&amp;ROUND((H972-AW972)*G972,0)&amp;"; ","")&amp;IF(AND(CI972=1,CJ972&lt;CK972),"MAX &lt; MB+LG; ","")&amp;IF(AND(CQ972&gt;0,CP972*10&gt;CQ972),"zu hoch für Tablar; ","")&amp;IF(AND(BW972=0,OR(CI972=1,AB972&lt;&gt;"",U972&lt;&gt;"",V972&lt;&gt;"",AC972&lt;&gt;"")),"manuell übersteuert; ","")&amp;IF(AND(CA972=0,R972=0),"Gebinde unbekannt / Stellmass fehlt; ","")&amp;IF(AND(CA972=0,N(V972)&lt;=0,N(Q972)&lt;=0),"Menge pro Gebinde fehlt (Ist = 1 Gebinde); ","")&amp;BV972)</f>
        <v>negativer Bestand (Export -54); </v>
      </c>
      <c r="BO972" s="60"/>
      <c r="BP972" s="60"/>
      <c r="BQ972" s="67"/>
      <c r="BR972" s="62" t="n">
        <v>-54</v>
      </c>
      <c r="BS972" s="62" t="n">
        <v>425</v>
      </c>
      <c r="BT972" s="61" t="n">
        <v>-73.4399999999998</v>
      </c>
      <c r="BU972" s="62" t="n">
        <v>674</v>
      </c>
      <c r="BV972" s="60"/>
      <c r="BW972" s="65" t="n">
        <v>0</v>
      </c>
      <c r="BX972" s="65" t="n">
        <v>972</v>
      </c>
      <c r="BY972" s="60" t="str">
        <f aca="false">IF(U972&lt;&gt;"",UPPER(TRIM(U972)),IF(CB972=1,UPPER(VLOOKUP(T972,Parameter!$I$27:$K$29,2,0)),IF(P972="","LOSE",P972)))</f>
        <v>S51</v>
      </c>
      <c r="BZ972" s="62" t="n">
        <f aca="false">IF(BY972="LOSE",1,IF(N(V972)&gt;0,V972,IF(CB972=1,MAX(1,N(VLOOKUP(T972,Parameter!$I$27:$K$29,3,0)),H972,N(N972)),IF(N(Q972)&gt;0,Q972,MAX(1,H972)))))</f>
        <v>1739</v>
      </c>
      <c r="CA972" s="65" t="n">
        <f aca="false">IF(BY972="LOSE",1,0)</f>
        <v>0</v>
      </c>
      <c r="CB972" s="65" t="n">
        <f aca="false">IF(AND(U972="",OR(P972="",P972="LOSE"),T972&lt;&gt;"",N(S972)&lt;=0,ISNUMBER(MATCH(T972,Parameter!$I$27:$I$29,0))),1,0)</f>
        <v>0</v>
      </c>
      <c r="CC972" s="65" t="n">
        <f aca="false">IF(CR972&gt;0,INDEX(Parameter!$H$5:$H$7,W972)/INDEX(Parameter!$E$5:$E$7,W972),IF(AND(CA972=0,N(IFERROR(VLOOKUP(BY972,'Gebinde-Kategorie'!$A$5:$N$45,14,0),0))&gt;0),VLOOKUP(BY972,'Gebinde-Kategorie'!$A$5:$N$45,14,0)*10+Parameter!$M$23,Parameter!$M$24))</f>
        <v>155</v>
      </c>
      <c r="CD972" s="60" t="str">
        <f aca="false">IF(AND(Parameter!$B$19="Ja",E972&lt;&gt;"",ISNUMBER(MATCH(E972,Parameter!$I$35:$I$52,0))),VLOOKUP(E972,Parameter!$I$35:$J$52,2,0),IFERROR(VLOOKUP(D972,Parameter!$A$35:$C$64,2,0),"Nein"))</f>
        <v>2+3</v>
      </c>
      <c r="CE972" s="64" t="n">
        <f aca="false">IF(CA972=0,0,IF(N(S972)&gt;0,S972,IFERROR(VLOOKUP(D972,Parameter!$A$35:$C$64,3,0)+0,0)))</f>
        <v>0</v>
      </c>
      <c r="CF972" s="60" t="n">
        <f aca="false">IF(AB972&lt;&gt;"",AB972,AA972)</f>
        <v>3</v>
      </c>
      <c r="CG972" s="60" t="str">
        <f aca="false">IF(OR(CF972=1,CF972=2,CF972=3),IF(Parameter!$E$27="Ja","LIFT",IF(CF972=1,"L1","L23")),IF(CF972="Aussen","Aussen","-"))</f>
        <v>LIFT</v>
      </c>
      <c r="CH972" s="71" t="n">
        <f aca="false">IF(N(AC972)&gt;0,AC972,0)</f>
        <v>0</v>
      </c>
      <c r="CI972" s="65" t="n">
        <f aca="false">IF(ISNUMBER(AF972),1,0)</f>
        <v>0</v>
      </c>
      <c r="CJ972" s="62" t="n">
        <f aca="false">N(AF972)</f>
        <v>0</v>
      </c>
      <c r="CK972" s="62" t="n">
        <f aca="false">N(M972)+N(N972)</f>
        <v>701</v>
      </c>
      <c r="CL972" s="62" t="n">
        <f aca="false">N(M972)</f>
        <v>26</v>
      </c>
      <c r="CM972" s="62" t="n">
        <f aca="false">N(N972)</f>
        <v>675</v>
      </c>
      <c r="CN972" s="62" t="n">
        <f aca="false">ROUNDUP(H972/BZ972,0)</f>
        <v>1</v>
      </c>
      <c r="CO972" s="62" t="n">
        <f aca="false">ROUNDUP(CJ972/BZ972,0)</f>
        <v>0</v>
      </c>
      <c r="CP972" s="65" t="n">
        <f aca="false">IF(CA972=1,0,IFERROR(VLOOKUP(BY972,'Gebinde-Kategorie'!$A$5:$N$45,5,0)+0,0))</f>
        <v>11</v>
      </c>
      <c r="CQ972" s="65" t="n">
        <f aca="false">IFERROR(IF(OR(CF972=1,CF972=2,CF972=3),N(INDEX(Parameter!$I$5:$I$7,CF972)),0),0)</f>
        <v>0</v>
      </c>
      <c r="CR972" s="64" t="n">
        <f aca="false">IF(AND(Parameter!$B$21="Ja",ISNUMBER(W972),N(X972)&gt;0),IFERROR(N(INDEX(Parameter!$L$5:$L$7,W972))*INDEX(Parameter!$E$5:$E$7,W972)*X972/SUMIFS($X$7:$X$1843,$W$7:$W$1843,W972),0),0)</f>
        <v>0</v>
      </c>
      <c r="CS972" s="62" t="n">
        <f aca="false">IF(AND(OR(CG972="L1",CG972="L23",CG972="LIFT"),H972&gt;0),CC972*IF(CR972&gt;0,CR972*MAX(1,H972/X972),IF(CA972=1,CE972,IF(R972&gt;0,CN972/R972,0))/MAX(0.1,N(Parameter!$M$21))),"")</f>
        <v>5.96153846153846</v>
      </c>
      <c r="CT972" s="64" t="n">
        <f aca="false">IF(CS972="","",J972/H972)</f>
        <v>1.8167115902965</v>
      </c>
      <c r="CU972" s="62" t="n">
        <f aca="false">IF(CS972="","",H972*G972)</f>
        <v>504.56</v>
      </c>
      <c r="CV972" s="63" t="n">
        <f aca="false">IF(CS972="","",(CL972+ROUNDUP(CL972+MAX(CM972,2*(J972/MAX(0.1,N(Einkauf!$C$6))-CL972)),0))/2)</f>
        <v>363.5</v>
      </c>
      <c r="CW972" s="62" t="n">
        <f aca="false">IF(CS972="","",MAX(0,H972-CV972)*G972)</f>
        <v>10.2</v>
      </c>
      <c r="CX972" s="62" t="n">
        <f aca="false">IF(CS972="","",CS972*MAX(0,1-CV972/H972))</f>
        <v>0.120516276176653</v>
      </c>
      <c r="CY972" s="64" t="n">
        <f aca="false">IF(CS972="","",PERCENTRANK($CS$7:$CS$1843,CS972)+PERCENTRANK($CU$7:$CU$1843,CU972)+1-PERCENTRANK($CT$7:$CT$1843,CT972))</f>
        <v>1.074</v>
      </c>
      <c r="CZ972" s="72" t="n">
        <f aca="false">IF(CS972="","",CHOOSE(MATCH(Einkauf!$C$5,Parameter!$G$23:$G$27,0),CY972,CS972,CU972,-CT972,CW972)+ROW()/1000000000)</f>
        <v>1.074000972</v>
      </c>
    </row>
    <row r="973" customFormat="false" ht="15" hidden="false" customHeight="false" outlineLevel="0" collapsed="false">
      <c r="A973" s="60" t="s">
        <v>1847</v>
      </c>
      <c r="B973" s="60" t="s">
        <v>903</v>
      </c>
      <c r="C973" s="60" t="s">
        <v>206</v>
      </c>
      <c r="D973" s="60" t="s">
        <v>226</v>
      </c>
      <c r="E973" s="60" t="s">
        <v>227</v>
      </c>
      <c r="F973" s="60" t="s">
        <v>260</v>
      </c>
      <c r="G973" s="61" t="n">
        <v>9.2</v>
      </c>
      <c r="H973" s="62" t="n">
        <f aca="false">MAX(0,IF(AND(Parameter!$B$21="Ja",ISNUMBER(Y973)),Y973,IF(Parameter!$B$20="Jahresanfang 2025 + Export",BS973+BR973,BR973)))</f>
        <v>147</v>
      </c>
      <c r="I973" s="62" t="n">
        <f aca="false">H973*G973</f>
        <v>1352.4</v>
      </c>
      <c r="J973" s="62" t="n">
        <f aca="false">BU973*Parameter!$B$18</f>
        <v>6</v>
      </c>
      <c r="K973" s="63" t="n">
        <v>152.5</v>
      </c>
      <c r="L973" s="64" t="n">
        <v>0.039344262295082</v>
      </c>
      <c r="M973" s="62" t="n">
        <v>0</v>
      </c>
      <c r="N973" s="62" t="n">
        <v>5</v>
      </c>
      <c r="O973" s="65" t="n">
        <v>35</v>
      </c>
      <c r="P973" s="60" t="s">
        <v>370</v>
      </c>
      <c r="Q973" s="62" t="n">
        <v>157</v>
      </c>
      <c r="R973" s="65" t="n">
        <f aca="false">IF(CA973=1,0,IFERROR(VLOOKUP(BY973,'Gebinde-Kategorie'!$A$5:$N$45,13,0)+0,0))</f>
        <v>52</v>
      </c>
      <c r="S973" s="66"/>
      <c r="T973" s="67"/>
      <c r="U973" s="67"/>
      <c r="V973" s="67"/>
      <c r="W973" s="60"/>
      <c r="X973" s="62"/>
      <c r="Y973" s="62"/>
      <c r="Z973" s="60" t="n">
        <v>3</v>
      </c>
      <c r="AA973" s="60" t="n">
        <f aca="false">IF(A973="","",IF(AND(Parameter!$B$21="Ja",ISNUMBER(W973)),W973,IF(AND(Parameter!$E$27="Ja",ISNUMBER(Z973),CD973&lt;&gt;"Nein"),Z973,IF(CD973="2+3",IF(ISNUMBER(SEARCH("grosser Artikel",BV973)),2,IFERROR(VLOOKUP(BY973,Parameter!$F$35:$G$64,2,0),2)),IF(OR(CD973="Nein",CD973=""),"-",CD973)))))</f>
        <v>3</v>
      </c>
      <c r="AB973" s="67"/>
      <c r="AC973" s="68"/>
      <c r="AD973" s="62" t="n">
        <f aca="false">AW973</f>
        <v>5</v>
      </c>
      <c r="AE973" s="62" t="n">
        <f aca="false">MAX(AW973,H973)</f>
        <v>147</v>
      </c>
      <c r="AF973" s="69"/>
      <c r="AG973" s="62" t="n">
        <f aca="false">IF(LEFT(Cockpit!$C$5,1)="A",H973,IF(Parameter!$E$30="MAX-Bestand",IF(CI973=1,CJ973,IF(LEFT(Cockpit!$C$5,1)="B",AM973,MAX(AM973,H973))),ROUNDUP(AK973,0)))</f>
        <v>147</v>
      </c>
      <c r="AH973" s="62" t="n">
        <f aca="false">IF(CA973=1,0,ROUNDUP(AG973/BZ973,0))</f>
        <v>1</v>
      </c>
      <c r="AI973" s="64" t="n">
        <f aca="false">IF(CR973&gt;0,CR973*MAX(1,AG973/X973),IF(CA973=1,IF(AG973&lt;=0,0,CE973*MAX(1,IF(H973&gt;0,AG973/H973,1))),IF(R973&gt;0,AH973/R973,0))/MAX(0.1,N(Parameter!$M$21)))</f>
        <v>0.0192307692307692</v>
      </c>
      <c r="AJ973" s="62" t="n">
        <f aca="false">AI973*CC973</f>
        <v>2.98076923076923</v>
      </c>
      <c r="AK973" s="63" t="n">
        <f aca="false">IF(LEFT(Cockpit!$C$5,1)="A",H973,IF(CI973=1,(CL973+CJ973)/2,IF(LEFT(Cockpit!$C$5,1)="B",(CL973+AM973)/2,MAX((CL973+AM973)/2,H973))))</f>
        <v>147</v>
      </c>
      <c r="AL973" s="62" t="n">
        <f aca="false">AK973*G973</f>
        <v>1352.4</v>
      </c>
      <c r="AM973" s="62" t="n">
        <f aca="false">ROUNDUP(CL973+MAX(CM973,2*(J973/IF(CH973&gt;0,CH973,MAX(0.1,N(Cockpit!$C$6)))-CL973)),0)</f>
        <v>5</v>
      </c>
      <c r="AN973" s="63" t="n">
        <f aca="false">IF(AJ973&gt;0,J973/AJ973,-1)</f>
        <v>2.01290322580645</v>
      </c>
      <c r="AO973" s="63" t="n">
        <f aca="false">IF(AND(OR(CG973="L1",CG973="L23",CG973="LIFT"),AJ973&gt;0),SUMIFS($AJ$7:$AJ$1843,$CG$7:$CG$1843,CG973,$AN$7:$AN$1843,"&gt;"&amp;AN973)+SUMIFS($AJ$7:$AJ$1843,$CG$7:$CG$1843,CG973,$AN$7:$AN$1843,AN973,$BX$7:$BX$1843,"&lt;="&amp;BX973),"")</f>
        <v>5793.83058608059</v>
      </c>
      <c r="AP973" s="70" t="n">
        <f aca="false">IF(AO973="",0,MAX(0,MIN(1,(IF(CG973="L1",Parameter!$H$5,IF(CG973="L23",Parameter!$H$6+Parameter!$H$7,Parameter!$H$5+Parameter!$H$6+Parameter!$H$7))-(AO973-AJ973))/AJ973)))</f>
        <v>1</v>
      </c>
      <c r="AQ973" s="62" t="n">
        <f aca="false">IF(LEFT(Cockpit!$I$5,1)="A",H973,IF(Parameter!$E$30="MAX-Bestand",IF(CI973=1,CJ973,IF(LEFT(Cockpit!$I$5,1)="B",AW973,MAX(AW973,H973))),ROUNDUP(AU973,0)))</f>
        <v>147</v>
      </c>
      <c r="AR973" s="62" t="n">
        <f aca="false">IF(CA973=1,0,ROUNDUP(AQ973/BZ973,0))</f>
        <v>1</v>
      </c>
      <c r="AS973" s="64" t="n">
        <f aca="false">IF(CR973&gt;0,CR973*MAX(1,AQ973/X973),IF(CA973=1,IF(AQ973&lt;=0,0,CE973*MAX(1,IF(H973&gt;0,AQ973/H973,1))),IF(R973&gt;0,AR973/R973,0))/MAX(0.1,N(Parameter!$M$21)))</f>
        <v>0.0192307692307692</v>
      </c>
      <c r="AT973" s="62" t="n">
        <f aca="false">AS973*CC973</f>
        <v>2.98076923076923</v>
      </c>
      <c r="AU973" s="63" t="n">
        <f aca="false">IF(LEFT(Cockpit!$I$5,1)="A",H973,IF(CI973=1,(CL973+CJ973)/2,IF(LEFT(Cockpit!$I$5,1)="B",(CL973+AW973)/2,MAX((CL973+AW973)/2,H973))))</f>
        <v>147</v>
      </c>
      <c r="AV973" s="62" t="n">
        <f aca="false">AU973*G973</f>
        <v>1352.4</v>
      </c>
      <c r="AW973" s="62" t="n">
        <f aca="false">ROUNDUP(CL973+MAX(CM973,2*(J973/IF(CH973&gt;0,CH973,MAX(0.1,N(Cockpit!$I$6)))-CL973)),0)</f>
        <v>5</v>
      </c>
      <c r="AX973" s="63" t="n">
        <f aca="false">IF(AT973&gt;0,J973/AT973,-1)</f>
        <v>2.01290322580645</v>
      </c>
      <c r="AY973" s="63" t="n">
        <f aca="false">IF(AND(OR(CG973="L1",CG973="L23",CG973="LIFT"),AT973&gt;0),SUMIFS($AT$7:$AT$1843,$CG$7:$CG$1843,CG973,$AX$7:$AX$1843,"&gt;"&amp;AX973)+SUMIFS($AT$7:$AT$1843,$CG$7:$CG$1843,CG973,$AX$7:$AX$1843,AX973,$BX$7:$BX$1843,"&lt;="&amp;BX973),"")</f>
        <v>7161.77014652015</v>
      </c>
      <c r="AZ973" s="70" t="n">
        <f aca="false">IF(AY973="",0,MAX(0,MIN(1,(IF(CG973="L1",Parameter!$H$5,IF(CG973="L23",Parameter!$H$6+Parameter!$H$7,Parameter!$H$5+Parameter!$H$6+Parameter!$H$7))-(AY973-AT973))/AT973)))</f>
        <v>1</v>
      </c>
      <c r="BA973" s="62" t="n">
        <f aca="false">IF(LEFT(Cockpit!$O$5,1)="A",H973,IF(Parameter!$E$30="MAX-Bestand",IF(CI973=1,CJ973,IF(LEFT(Cockpit!$O$5,1)="B",BG973,MAX(BG973,H973))),ROUNDUP(BE973,0)))</f>
        <v>3</v>
      </c>
      <c r="BB973" s="62" t="n">
        <f aca="false">IF(CA973=1,0,ROUNDUP(BA973/BZ973,0))</f>
        <v>1</v>
      </c>
      <c r="BC973" s="64" t="n">
        <f aca="false">IF(CR973&gt;0,CR973*MAX(1,BA973/X973),IF(CA973=1,IF(BA973&lt;=0,0,CE973*MAX(1,IF(H973&gt;0,BA973/H973,1))),IF(R973&gt;0,BB973/R973,0))/MAX(0.1,N(Parameter!$M$21)))</f>
        <v>0.0192307692307692</v>
      </c>
      <c r="BD973" s="62" t="n">
        <f aca="false">BC973*CC973</f>
        <v>2.98076923076923</v>
      </c>
      <c r="BE973" s="63" t="n">
        <f aca="false">IF(LEFT(Cockpit!$O$5,1)="A",H973,IF(CI973=1,(CL973+CJ973)/2,IF(LEFT(Cockpit!$O$5,1)="B",(CL973+BG973)/2,MAX((CL973+BG973)/2,H973))))</f>
        <v>2.5</v>
      </c>
      <c r="BF973" s="62" t="n">
        <f aca="false">BE973*G973</f>
        <v>23</v>
      </c>
      <c r="BG973" s="62" t="n">
        <f aca="false">ROUNDUP(CL973+MAX(CM973,2*(J973/IF(CH973&gt;0,CH973,MAX(0.1,N(Cockpit!$O$6)))-CL973)),0)</f>
        <v>5</v>
      </c>
      <c r="BH973" s="63" t="n">
        <f aca="false">IF(BD973&gt;0,J973/BD973,-1)</f>
        <v>2.01290322580645</v>
      </c>
      <c r="BI973" s="63" t="n">
        <f aca="false">IF(AND(OR(CG973="L1",CG973="L23",CG973="LIFT"),BD973&gt;0),SUMIFS($BD$7:$BD$1843,$CG$7:$CG$1843,CG973,$BH$7:$BH$1843,"&gt;"&amp;BH973)+SUMIFS($BD$7:$BD$1843,$CG$7:$CG$1843,CG973,$BH$7:$BH$1843,BH973,$BX$7:$BX$1843,"&lt;="&amp;BX973),"")</f>
        <v>5875.52564102564</v>
      </c>
      <c r="BJ973" s="70" t="n">
        <f aca="false">IF(BI973="",0,MAX(0,MIN(1,(IF(CG973="L1",Parameter!$H$5,IF(CG973="L23",Parameter!$H$6+Parameter!$H$7,Parameter!$H$5+Parameter!$H$6+Parameter!$H$7))-(BI973-BD973))/BD973)))</f>
        <v>1</v>
      </c>
      <c r="BK973" s="60" t="str">
        <f aca="false">IF(AJ973&lt;=0,"",IF(CG973="Aussen","Aussenlager",IF(CG973="-","Nicht im Lift",IF(AP973&gt;=1,"Lift",IF(AP973&lt;=0,"Aussenlager","teilweise")))))</f>
        <v>Lift</v>
      </c>
      <c r="BL973" s="60" t="str">
        <f aca="false">IF(AT973&lt;=0,"",IF(CG973="Aussen","Aussenlager",IF(CG973="-","Nicht im Lift",IF(AZ973&gt;=1,"Lift",IF(AZ973&lt;=0,"Aussenlager","teilweise")))))</f>
        <v>Lift</v>
      </c>
      <c r="BM973" s="60" t="str">
        <f aca="false">IF(BD973&lt;=0,"",IF(CG973="Aussen","Aussenlager",IF(CG973="-","Nicht im Lift",IF(BJ973&gt;=1,"Lift",IF(BJ973&lt;=0,"Aussenlager","teilweise")))))</f>
        <v>Lift</v>
      </c>
      <c r="BN973" s="60" t="str">
        <f aca="false">IF(A973="","",IF(BW973=1,"Neu; ","")&amp;IF(AND(BW973=0,BR973&lt;0),"negativer Bestand (Export "&amp;BR973&amp;"); ","")&amp;IF(J973&lt;=0,"Kein Verbrauch; ","")&amp;IF(CR973&gt;0,"Lift "&amp;W973&amp;" lt. Liftbericht (Fach "&amp;X973&amp;" Stk); ",IF(CB973=1,"Gebinde geschätzt ("&amp;T973&amp;"); ",IF(CA973=1,"Lose – Tablare geschätzt; ","")))&amp;IF(H973&gt;AW973,"Überbestand "&amp;ROUND(H973-AW973,0)&amp;" Stk / CHF "&amp;ROUND((H973-AW973)*G973,0)&amp;"; ","")&amp;IF(AND(CI973=1,CJ973&lt;CK973),"MAX &lt; MB+LG; ","")&amp;IF(AND(CQ973&gt;0,CP973*10&gt;CQ973),"zu hoch für Tablar; ","")&amp;IF(AND(BW973=0,OR(CI973=1,AB973&lt;&gt;"",U973&lt;&gt;"",V973&lt;&gt;"",AC973&lt;&gt;"")),"manuell übersteuert; ","")&amp;IF(AND(CA973=0,R973=0),"Gebinde unbekannt / Stellmass fehlt; ","")&amp;IF(AND(CA973=0,N(V973)&lt;=0,N(Q973)&lt;=0),"Menge pro Gebinde fehlt (Ist = 1 Gebinde); ","")&amp;BV973)</f>
        <v>negativer Bestand (Export -8); Überbestand 142 Stk / CHF 1306; Überbestand</v>
      </c>
      <c r="BO973" s="60"/>
      <c r="BP973" s="60"/>
      <c r="BQ973" s="67"/>
      <c r="BR973" s="62" t="n">
        <v>-8</v>
      </c>
      <c r="BS973" s="62" t="n">
        <v>155</v>
      </c>
      <c r="BT973" s="61" t="n">
        <v>-73.6</v>
      </c>
      <c r="BU973" s="62" t="n">
        <v>6</v>
      </c>
      <c r="BV973" s="60" t="s">
        <v>434</v>
      </c>
      <c r="BW973" s="65" t="n">
        <v>0</v>
      </c>
      <c r="BX973" s="65" t="n">
        <v>973</v>
      </c>
      <c r="BY973" s="60" t="str">
        <f aca="false">IF(U973&lt;&gt;"",UPPER(TRIM(U973)),IF(CB973=1,UPPER(VLOOKUP(T973,Parameter!$I$27:$K$29,2,0)),IF(P973="","LOSE",P973)))</f>
        <v>S41</v>
      </c>
      <c r="BZ973" s="62" t="n">
        <f aca="false">IF(BY973="LOSE",1,IF(N(V973)&gt;0,V973,IF(CB973=1,MAX(1,N(VLOOKUP(T973,Parameter!$I$27:$K$29,3,0)),H973,N(N973)),IF(N(Q973)&gt;0,Q973,MAX(1,H973)))))</f>
        <v>157</v>
      </c>
      <c r="CA973" s="65" t="n">
        <f aca="false">IF(BY973="LOSE",1,0)</f>
        <v>0</v>
      </c>
      <c r="CB973" s="65" t="n">
        <f aca="false">IF(AND(U973="",OR(P973="",P973="LOSE"),T973&lt;&gt;"",N(S973)&lt;=0,ISNUMBER(MATCH(T973,Parameter!$I$27:$I$29,0))),1,0)</f>
        <v>0</v>
      </c>
      <c r="CC973" s="65" t="n">
        <f aca="false">IF(CR973&gt;0,INDEX(Parameter!$H$5:$H$7,W973)/INDEX(Parameter!$E$5:$E$7,W973),IF(AND(CA973=0,N(IFERROR(VLOOKUP(BY973,'Gebinde-Kategorie'!$A$5:$N$45,14,0),0))&gt;0),VLOOKUP(BY973,'Gebinde-Kategorie'!$A$5:$N$45,14,0)*10+Parameter!$M$23,Parameter!$M$24))</f>
        <v>155</v>
      </c>
      <c r="CD973" s="60" t="str">
        <f aca="false">IF(AND(Parameter!$B$19="Ja",E973&lt;&gt;"",ISNUMBER(MATCH(E973,Parameter!$I$35:$I$52,0))),VLOOKUP(E973,Parameter!$I$35:$J$52,2,0),IFERROR(VLOOKUP(D973,Parameter!$A$35:$C$64,2,0),"Nein"))</f>
        <v>2+3</v>
      </c>
      <c r="CE973" s="64" t="n">
        <f aca="false">IF(CA973=0,0,IF(N(S973)&gt;0,S973,IFERROR(VLOOKUP(D973,Parameter!$A$35:$C$64,3,0)+0,0)))</f>
        <v>0</v>
      </c>
      <c r="CF973" s="60" t="n">
        <f aca="false">IF(AB973&lt;&gt;"",AB973,AA973)</f>
        <v>3</v>
      </c>
      <c r="CG973" s="60" t="str">
        <f aca="false">IF(OR(CF973=1,CF973=2,CF973=3),IF(Parameter!$E$27="Ja","LIFT",IF(CF973=1,"L1","L23")),IF(CF973="Aussen","Aussen","-"))</f>
        <v>LIFT</v>
      </c>
      <c r="CH973" s="71" t="n">
        <f aca="false">IF(N(AC973)&gt;0,AC973,0)</f>
        <v>0</v>
      </c>
      <c r="CI973" s="65" t="n">
        <f aca="false">IF(ISNUMBER(AF973),1,0)</f>
        <v>0</v>
      </c>
      <c r="CJ973" s="62" t="n">
        <f aca="false">N(AF973)</f>
        <v>0</v>
      </c>
      <c r="CK973" s="62" t="n">
        <f aca="false">N(M973)+N(N973)</f>
        <v>5</v>
      </c>
      <c r="CL973" s="62" t="n">
        <f aca="false">N(M973)</f>
        <v>0</v>
      </c>
      <c r="CM973" s="62" t="n">
        <f aca="false">N(N973)</f>
        <v>5</v>
      </c>
      <c r="CN973" s="62" t="n">
        <f aca="false">ROUNDUP(H973/BZ973,0)</f>
        <v>1</v>
      </c>
      <c r="CO973" s="62" t="n">
        <f aca="false">ROUNDUP(CJ973/BZ973,0)</f>
        <v>0</v>
      </c>
      <c r="CP973" s="65" t="n">
        <f aca="false">IF(CA973=1,0,IFERROR(VLOOKUP(BY973,'Gebinde-Kategorie'!$A$5:$N$45,5,0)+0,0))</f>
        <v>11</v>
      </c>
      <c r="CQ973" s="65" t="n">
        <f aca="false">IFERROR(IF(OR(CF973=1,CF973=2,CF973=3),N(INDEX(Parameter!$I$5:$I$7,CF973)),0),0)</f>
        <v>0</v>
      </c>
      <c r="CR973" s="64" t="n">
        <f aca="false">IF(AND(Parameter!$B$21="Ja",ISNUMBER(W973),N(X973)&gt;0),IFERROR(N(INDEX(Parameter!$L$5:$L$7,W973))*INDEX(Parameter!$E$5:$E$7,W973)*X973/SUMIFS($X$7:$X$1843,$W$7:$W$1843,W973),0),0)</f>
        <v>0</v>
      </c>
      <c r="CS973" s="62" t="n">
        <f aca="false">IF(AND(OR(CG973="L1",CG973="L23",CG973="LIFT"),H973&gt;0),CC973*IF(CR973&gt;0,CR973*MAX(1,H973/X973),IF(CA973=1,CE973,IF(R973&gt;0,CN973/R973,0))/MAX(0.1,N(Parameter!$M$21))),"")</f>
        <v>2.98076923076923</v>
      </c>
      <c r="CT973" s="64" t="n">
        <f aca="false">IF(CS973="","",J973/H973)</f>
        <v>0.0408163265306122</v>
      </c>
      <c r="CU973" s="62" t="n">
        <f aca="false">IF(CS973="","",H973*G973)</f>
        <v>1352.4</v>
      </c>
      <c r="CV973" s="63" t="n">
        <f aca="false">IF(CS973="","",(CL973+ROUNDUP(CL973+MAX(CM973,2*(J973/MAX(0.1,N(Einkauf!$C$6))-CL973)),0))/2)</f>
        <v>2.5</v>
      </c>
      <c r="CW973" s="62" t="n">
        <f aca="false">IF(CS973="","",MAX(0,H973-CV973)*G973)</f>
        <v>1329.4</v>
      </c>
      <c r="CX973" s="62" t="n">
        <f aca="false">IF(CS973="","",CS973*MAX(0,1-CV973/H973))</f>
        <v>2.93007587650445</v>
      </c>
      <c r="CY973" s="64" t="n">
        <f aca="false">IF(CS973="","",PERCENTRANK($CS$7:$CS$1843,CS973)+PERCENTRANK($CU$7:$CU$1843,CU973)+1-PERCENTRANK($CT$7:$CT$1843,CT973))</f>
        <v>1.512</v>
      </c>
      <c r="CZ973" s="72" t="n">
        <f aca="false">IF(CS973="","",CHOOSE(MATCH(Einkauf!$C$5,Parameter!$G$23:$G$27,0),CY973,CS973,CU973,-CT973,CW973)+ROW()/1000000000)</f>
        <v>1.512000973</v>
      </c>
    </row>
    <row r="974" customFormat="false" ht="15" hidden="false" customHeight="false" outlineLevel="0" collapsed="false">
      <c r="A974" s="60" t="s">
        <v>1848</v>
      </c>
      <c r="B974" s="60" t="s">
        <v>1849</v>
      </c>
      <c r="C974" s="60" t="s">
        <v>206</v>
      </c>
      <c r="D974" s="60" t="s">
        <v>226</v>
      </c>
      <c r="E974" s="60" t="s">
        <v>227</v>
      </c>
      <c r="F974" s="60" t="s">
        <v>260</v>
      </c>
      <c r="G974" s="61" t="n">
        <v>68.15</v>
      </c>
      <c r="H974" s="62" t="n">
        <f aca="false">MAX(0,IF(AND(Parameter!$B$21="Ja",ISNUMBER(Y974)),Y974,IF(Parameter!$B$20="Jahresanfang 2025 + Export",BS974+BR974,BR974)))</f>
        <v>4</v>
      </c>
      <c r="I974" s="62" t="n">
        <f aca="false">H974*G974</f>
        <v>272.6</v>
      </c>
      <c r="J974" s="62" t="n">
        <f aca="false">BU974*Parameter!$B$18</f>
        <v>5</v>
      </c>
      <c r="K974" s="63" t="n">
        <v>4.5</v>
      </c>
      <c r="L974" s="64" t="n">
        <v>1.11111111111111</v>
      </c>
      <c r="M974" s="62" t="n">
        <v>0</v>
      </c>
      <c r="N974" s="62" t="n">
        <v>5</v>
      </c>
      <c r="O974" s="65" t="n">
        <v>21</v>
      </c>
      <c r="P974" s="60" t="s">
        <v>518</v>
      </c>
      <c r="Q974" s="62" t="n">
        <v>11</v>
      </c>
      <c r="R974" s="65" t="n">
        <f aca="false">IF(CA974=1,0,IFERROR(VLOOKUP(BY974,'Gebinde-Kategorie'!$A$5:$N$45,13,0)+0,0))</f>
        <v>52</v>
      </c>
      <c r="S974" s="66"/>
      <c r="T974" s="67"/>
      <c r="U974" s="67"/>
      <c r="V974" s="67"/>
      <c r="W974" s="60"/>
      <c r="X974" s="62"/>
      <c r="Y974" s="62"/>
      <c r="Z974" s="60" t="n">
        <v>3</v>
      </c>
      <c r="AA974" s="60" t="n">
        <f aca="false">IF(A974="","",IF(AND(Parameter!$B$21="Ja",ISNUMBER(W974)),W974,IF(AND(Parameter!$E$27="Ja",ISNUMBER(Z974),CD974&lt;&gt;"Nein"),Z974,IF(CD974="2+3",IF(ISNUMBER(SEARCH("grosser Artikel",BV974)),2,IFERROR(VLOOKUP(BY974,Parameter!$F$35:$G$64,2,0),2)),IF(OR(CD974="Nein",CD974=""),"-",CD974)))))</f>
        <v>3</v>
      </c>
      <c r="AB974" s="67"/>
      <c r="AC974" s="68"/>
      <c r="AD974" s="62" t="n">
        <f aca="false">AW974</f>
        <v>5</v>
      </c>
      <c r="AE974" s="62" t="n">
        <f aca="false">MAX(AW974,H974)</f>
        <v>5</v>
      </c>
      <c r="AF974" s="69"/>
      <c r="AG974" s="62" t="n">
        <f aca="false">IF(LEFT(Cockpit!$C$5,1)="A",H974,IF(Parameter!$E$30="MAX-Bestand",IF(CI974=1,CJ974,IF(LEFT(Cockpit!$C$5,1)="B",AM974,MAX(AM974,H974))),ROUNDUP(AK974,0)))</f>
        <v>4</v>
      </c>
      <c r="AH974" s="62" t="n">
        <f aca="false">IF(CA974=1,0,ROUNDUP(AG974/BZ974,0))</f>
        <v>1</v>
      </c>
      <c r="AI974" s="64" t="n">
        <f aca="false">IF(CR974&gt;0,CR974*MAX(1,AG974/X974),IF(CA974=1,IF(AG974&lt;=0,0,CE974*MAX(1,IF(H974&gt;0,AG974/H974,1))),IF(R974&gt;0,AH974/R974,0))/MAX(0.1,N(Parameter!$M$21)))</f>
        <v>0.0192307692307692</v>
      </c>
      <c r="AJ974" s="62" t="n">
        <f aca="false">AI974*CC974</f>
        <v>2.98076923076923</v>
      </c>
      <c r="AK974" s="63" t="n">
        <f aca="false">IF(LEFT(Cockpit!$C$5,1)="A",H974,IF(CI974=1,(CL974+CJ974)/2,IF(LEFT(Cockpit!$C$5,1)="B",(CL974+AM974)/2,MAX((CL974+AM974)/2,H974))))</f>
        <v>4</v>
      </c>
      <c r="AL974" s="62" t="n">
        <f aca="false">AK974*G974</f>
        <v>272.6</v>
      </c>
      <c r="AM974" s="62" t="n">
        <f aca="false">ROUNDUP(CL974+MAX(CM974,2*(J974/IF(CH974&gt;0,CH974,MAX(0.1,N(Cockpit!$C$6)))-CL974)),0)</f>
        <v>5</v>
      </c>
      <c r="AN974" s="63" t="n">
        <f aca="false">IF(AJ974&gt;0,J974/AJ974,-1)</f>
        <v>1.67741935483871</v>
      </c>
      <c r="AO974" s="63" t="n">
        <f aca="false">IF(AND(OR(CG974="L1",CG974="L23",CG974="LIFT"),AJ974&gt;0),SUMIFS($AJ$7:$AJ$1843,$CG$7:$CG$1843,CG974,$AN$7:$AN$1843,"&gt;"&amp;AN974)+SUMIFS($AJ$7:$AJ$1843,$CG$7:$CG$1843,CG974,$AN$7:$AN$1843,AN974,$BX$7:$BX$1843,"&lt;="&amp;BX974),"")</f>
        <v>6057.81456043956</v>
      </c>
      <c r="AP974" s="70" t="n">
        <f aca="false">IF(AO974="",0,MAX(0,MIN(1,(IF(CG974="L1",Parameter!$H$5,IF(CG974="L23",Parameter!$H$6+Parameter!$H$7,Parameter!$H$5+Parameter!$H$6+Parameter!$H$7))-(AO974-AJ974))/AJ974)))</f>
        <v>1</v>
      </c>
      <c r="AQ974" s="62" t="n">
        <f aca="false">IF(LEFT(Cockpit!$I$5,1)="A",H974,IF(Parameter!$E$30="MAX-Bestand",IF(CI974=1,CJ974,IF(LEFT(Cockpit!$I$5,1)="B",AW974,MAX(AW974,H974))),ROUNDUP(AU974,0)))</f>
        <v>4</v>
      </c>
      <c r="AR974" s="62" t="n">
        <f aca="false">IF(CA974=1,0,ROUNDUP(AQ974/BZ974,0))</f>
        <v>1</v>
      </c>
      <c r="AS974" s="64" t="n">
        <f aca="false">IF(CR974&gt;0,CR974*MAX(1,AQ974/X974),IF(CA974=1,IF(AQ974&lt;=0,0,CE974*MAX(1,IF(H974&gt;0,AQ974/H974,1))),IF(R974&gt;0,AR974/R974,0))/MAX(0.1,N(Parameter!$M$21)))</f>
        <v>0.0192307692307692</v>
      </c>
      <c r="AT974" s="62" t="n">
        <f aca="false">AS974*CC974</f>
        <v>2.98076923076923</v>
      </c>
      <c r="AU974" s="63" t="n">
        <f aca="false">IF(LEFT(Cockpit!$I$5,1)="A",H974,IF(CI974=1,(CL974+CJ974)/2,IF(LEFT(Cockpit!$I$5,1)="B",(CL974+AW974)/2,MAX((CL974+AW974)/2,H974))))</f>
        <v>4</v>
      </c>
      <c r="AV974" s="62" t="n">
        <f aca="false">AU974*G974</f>
        <v>272.6</v>
      </c>
      <c r="AW974" s="62" t="n">
        <f aca="false">ROUNDUP(CL974+MAX(CM974,2*(J974/IF(CH974&gt;0,CH974,MAX(0.1,N(Cockpit!$I$6)))-CL974)),0)</f>
        <v>5</v>
      </c>
      <c r="AX974" s="63" t="n">
        <f aca="false">IF(AT974&gt;0,J974/AT974,-1)</f>
        <v>1.67741935483871</v>
      </c>
      <c r="AY974" s="63" t="n">
        <f aca="false">IF(AND(OR(CG974="L1",CG974="L23",CG974="LIFT"),AT974&gt;0),SUMIFS($AT$7:$AT$1843,$CG$7:$CG$1843,CG974,$AX$7:$AX$1843,"&gt;"&amp;AX974)+SUMIFS($AT$7:$AT$1843,$CG$7:$CG$1843,CG974,$AX$7:$AX$1843,AX974,$BX$7:$BX$1843,"&lt;="&amp;BX974),"")</f>
        <v>7485.78021978022</v>
      </c>
      <c r="AZ974" s="70" t="n">
        <f aca="false">IF(AY974="",0,MAX(0,MIN(1,(IF(CG974="L1",Parameter!$H$5,IF(CG974="L23",Parameter!$H$6+Parameter!$H$7,Parameter!$H$5+Parameter!$H$6+Parameter!$H$7))-(AY974-AT974))/AT974)))</f>
        <v>1</v>
      </c>
      <c r="BA974" s="62" t="n">
        <f aca="false">IF(LEFT(Cockpit!$O$5,1)="A",H974,IF(Parameter!$E$30="MAX-Bestand",IF(CI974=1,CJ974,IF(LEFT(Cockpit!$O$5,1)="B",BG974,MAX(BG974,H974))),ROUNDUP(BE974,0)))</f>
        <v>3</v>
      </c>
      <c r="BB974" s="62" t="n">
        <f aca="false">IF(CA974=1,0,ROUNDUP(BA974/BZ974,0))</f>
        <v>1</v>
      </c>
      <c r="BC974" s="64" t="n">
        <f aca="false">IF(CR974&gt;0,CR974*MAX(1,BA974/X974),IF(CA974=1,IF(BA974&lt;=0,0,CE974*MAX(1,IF(H974&gt;0,BA974/H974,1))),IF(R974&gt;0,BB974/R974,0))/MAX(0.1,N(Parameter!$M$21)))</f>
        <v>0.0192307692307692</v>
      </c>
      <c r="BD974" s="62" t="n">
        <f aca="false">BC974*CC974</f>
        <v>2.98076923076923</v>
      </c>
      <c r="BE974" s="63" t="n">
        <f aca="false">IF(LEFT(Cockpit!$O$5,1)="A",H974,IF(CI974=1,(CL974+CJ974)/2,IF(LEFT(Cockpit!$O$5,1)="B",(CL974+BG974)/2,MAX((CL974+BG974)/2,H974))))</f>
        <v>2.5</v>
      </c>
      <c r="BF974" s="62" t="n">
        <f aca="false">BE974*G974</f>
        <v>170.375</v>
      </c>
      <c r="BG974" s="62" t="n">
        <f aca="false">ROUNDUP(CL974+MAX(CM974,2*(J974/IF(CH974&gt;0,CH974,MAX(0.1,N(Cockpit!$O$6)))-CL974)),0)</f>
        <v>5</v>
      </c>
      <c r="BH974" s="63" t="n">
        <f aca="false">IF(BD974&gt;0,J974/BD974,-1)</f>
        <v>1.67741935483871</v>
      </c>
      <c r="BI974" s="63" t="n">
        <f aca="false">IF(AND(OR(CG974="L1",CG974="L23",CG974="LIFT"),BD974&gt;0),SUMIFS($BD$7:$BD$1843,$CG$7:$CG$1843,CG974,$BH$7:$BH$1843,"&gt;"&amp;BH974)+SUMIFS($BD$7:$BD$1843,$CG$7:$CG$1843,CG974,$BH$7:$BH$1843,BH974,$BX$7:$BX$1843,"&lt;="&amp;BX974),"")</f>
        <v>6300.62408424908</v>
      </c>
      <c r="BJ974" s="70" t="n">
        <f aca="false">IF(BI974="",0,MAX(0,MIN(1,(IF(CG974="L1",Parameter!$H$5,IF(CG974="L23",Parameter!$H$6+Parameter!$H$7,Parameter!$H$5+Parameter!$H$6+Parameter!$H$7))-(BI974-BD974))/BD974)))</f>
        <v>1</v>
      </c>
      <c r="BK974" s="60" t="str">
        <f aca="false">IF(AJ974&lt;=0,"",IF(CG974="Aussen","Aussenlager",IF(CG974="-","Nicht im Lift",IF(AP974&gt;=1,"Lift",IF(AP974&lt;=0,"Aussenlager","teilweise")))))</f>
        <v>Lift</v>
      </c>
      <c r="BL974" s="60" t="str">
        <f aca="false">IF(AT974&lt;=0,"",IF(CG974="Aussen","Aussenlager",IF(CG974="-","Nicht im Lift",IF(AZ974&gt;=1,"Lift",IF(AZ974&lt;=0,"Aussenlager","teilweise")))))</f>
        <v>Lift</v>
      </c>
      <c r="BM974" s="60" t="str">
        <f aca="false">IF(BD974&lt;=0,"",IF(CG974="Aussen","Aussenlager",IF(CG974="-","Nicht im Lift",IF(BJ974&gt;=1,"Lift",IF(BJ974&lt;=0,"Aussenlager","teilweise")))))</f>
        <v>Lift</v>
      </c>
      <c r="BN974" s="60" t="str">
        <f aca="false">IF(A974="","",IF(BW974=1,"Neu; ","")&amp;IF(AND(BW974=0,BR974&lt;0),"negativer Bestand (Export "&amp;BR974&amp;"); ","")&amp;IF(J974&lt;=0,"Kein Verbrauch; ","")&amp;IF(CR974&gt;0,"Lift "&amp;W974&amp;" lt. Liftbericht (Fach "&amp;X974&amp;" Stk); ",IF(CB974=1,"Gebinde geschätzt ("&amp;T974&amp;"); ",IF(CA974=1,"Lose – Tablare geschätzt; ","")))&amp;IF(H974&gt;AW974,"Überbestand "&amp;ROUND(H974-AW974,0)&amp;" Stk / CHF "&amp;ROUND((H974-AW974)*G974,0)&amp;"; ","")&amp;IF(AND(CI974=1,CJ974&lt;CK974),"MAX &lt; MB+LG; ","")&amp;IF(AND(CQ974&gt;0,CP974*10&gt;CQ974),"zu hoch für Tablar; ","")&amp;IF(AND(BW974=0,OR(CI974=1,AB974&lt;&gt;"",U974&lt;&gt;"",V974&lt;&gt;"",AC974&lt;&gt;"")),"manuell übersteuert; ","")&amp;IF(AND(CA974=0,R974=0),"Gebinde unbekannt / Stellmass fehlt; ","")&amp;IF(AND(CA974=0,N(V974)&lt;=0,N(Q974)&lt;=0),"Menge pro Gebinde fehlt (Ist = 1 Gebinde); ","")&amp;BV974)</f>
        <v>negativer Bestand (Export -2); </v>
      </c>
      <c r="BO974" s="60"/>
      <c r="BP974" s="60"/>
      <c r="BQ974" s="67"/>
      <c r="BR974" s="62" t="n">
        <v>-2</v>
      </c>
      <c r="BS974" s="62" t="n">
        <v>6</v>
      </c>
      <c r="BT974" s="61" t="n">
        <v>-73.66</v>
      </c>
      <c r="BU974" s="62" t="n">
        <v>5</v>
      </c>
      <c r="BV974" s="60"/>
      <c r="BW974" s="65" t="n">
        <v>0</v>
      </c>
      <c r="BX974" s="65" t="n">
        <v>974</v>
      </c>
      <c r="BY974" s="60" t="str">
        <f aca="false">IF(U974&lt;&gt;"",UPPER(TRIM(U974)),IF(CB974=1,UPPER(VLOOKUP(T974,Parameter!$I$27:$K$29,2,0)),IF(P974="","LOSE",P974)))</f>
        <v>S33</v>
      </c>
      <c r="BZ974" s="62" t="n">
        <f aca="false">IF(BY974="LOSE",1,IF(N(V974)&gt;0,V974,IF(CB974=1,MAX(1,N(VLOOKUP(T974,Parameter!$I$27:$K$29,3,0)),H974,N(N974)),IF(N(Q974)&gt;0,Q974,MAX(1,H974)))))</f>
        <v>11</v>
      </c>
      <c r="CA974" s="65" t="n">
        <f aca="false">IF(BY974="LOSE",1,0)</f>
        <v>0</v>
      </c>
      <c r="CB974" s="65" t="n">
        <f aca="false">IF(AND(U974="",OR(P974="",P974="LOSE"),T974&lt;&gt;"",N(S974)&lt;=0,ISNUMBER(MATCH(T974,Parameter!$I$27:$I$29,0))),1,0)</f>
        <v>0</v>
      </c>
      <c r="CC974" s="65" t="n">
        <f aca="false">IF(CR974&gt;0,INDEX(Parameter!$H$5:$H$7,W974)/INDEX(Parameter!$E$5:$E$7,W974),IF(AND(CA974=0,N(IFERROR(VLOOKUP(BY974,'Gebinde-Kategorie'!$A$5:$N$45,14,0),0))&gt;0),VLOOKUP(BY974,'Gebinde-Kategorie'!$A$5:$N$45,14,0)*10+Parameter!$M$23,Parameter!$M$24))</f>
        <v>155</v>
      </c>
      <c r="CD974" s="60" t="str">
        <f aca="false">IF(AND(Parameter!$B$19="Ja",E974&lt;&gt;"",ISNUMBER(MATCH(E974,Parameter!$I$35:$I$52,0))),VLOOKUP(E974,Parameter!$I$35:$J$52,2,0),IFERROR(VLOOKUP(D974,Parameter!$A$35:$C$64,2,0),"Nein"))</f>
        <v>2+3</v>
      </c>
      <c r="CE974" s="64" t="n">
        <f aca="false">IF(CA974=0,0,IF(N(S974)&gt;0,S974,IFERROR(VLOOKUP(D974,Parameter!$A$35:$C$64,3,0)+0,0)))</f>
        <v>0</v>
      </c>
      <c r="CF974" s="60" t="n">
        <f aca="false">IF(AB974&lt;&gt;"",AB974,AA974)</f>
        <v>3</v>
      </c>
      <c r="CG974" s="60" t="str">
        <f aca="false">IF(OR(CF974=1,CF974=2,CF974=3),IF(Parameter!$E$27="Ja","LIFT",IF(CF974=1,"L1","L23")),IF(CF974="Aussen","Aussen","-"))</f>
        <v>LIFT</v>
      </c>
      <c r="CH974" s="71" t="n">
        <f aca="false">IF(N(AC974)&gt;0,AC974,0)</f>
        <v>0</v>
      </c>
      <c r="CI974" s="65" t="n">
        <f aca="false">IF(ISNUMBER(AF974),1,0)</f>
        <v>0</v>
      </c>
      <c r="CJ974" s="62" t="n">
        <f aca="false">N(AF974)</f>
        <v>0</v>
      </c>
      <c r="CK974" s="62" t="n">
        <f aca="false">N(M974)+N(N974)</f>
        <v>5</v>
      </c>
      <c r="CL974" s="62" t="n">
        <f aca="false">N(M974)</f>
        <v>0</v>
      </c>
      <c r="CM974" s="62" t="n">
        <f aca="false">N(N974)</f>
        <v>5</v>
      </c>
      <c r="CN974" s="62" t="n">
        <f aca="false">ROUNDUP(H974/BZ974,0)</f>
        <v>1</v>
      </c>
      <c r="CO974" s="62" t="n">
        <f aca="false">ROUNDUP(CJ974/BZ974,0)</f>
        <v>0</v>
      </c>
      <c r="CP974" s="65" t="n">
        <f aca="false">IF(CA974=1,0,IFERROR(VLOOKUP(BY974,'Gebinde-Kategorie'!$A$5:$N$45,5,0)+0,0))</f>
        <v>8</v>
      </c>
      <c r="CQ974" s="65" t="n">
        <f aca="false">IFERROR(IF(OR(CF974=1,CF974=2,CF974=3),N(INDEX(Parameter!$I$5:$I$7,CF974)),0),0)</f>
        <v>0</v>
      </c>
      <c r="CR974" s="64" t="n">
        <f aca="false">IF(AND(Parameter!$B$21="Ja",ISNUMBER(W974),N(X974)&gt;0),IFERROR(N(INDEX(Parameter!$L$5:$L$7,W974))*INDEX(Parameter!$E$5:$E$7,W974)*X974/SUMIFS($X$7:$X$1843,$W$7:$W$1843,W974),0),0)</f>
        <v>0</v>
      </c>
      <c r="CS974" s="62" t="n">
        <f aca="false">IF(AND(OR(CG974="L1",CG974="L23",CG974="LIFT"),H974&gt;0),CC974*IF(CR974&gt;0,CR974*MAX(1,H974/X974),IF(CA974=1,CE974,IF(R974&gt;0,CN974/R974,0))/MAX(0.1,N(Parameter!$M$21))),"")</f>
        <v>2.98076923076923</v>
      </c>
      <c r="CT974" s="64" t="n">
        <f aca="false">IF(CS974="","",J974/H974)</f>
        <v>1.25</v>
      </c>
      <c r="CU974" s="62" t="n">
        <f aca="false">IF(CS974="","",H974*G974)</f>
        <v>272.6</v>
      </c>
      <c r="CV974" s="63" t="n">
        <f aca="false">IF(CS974="","",(CL974+ROUNDUP(CL974+MAX(CM974,2*(J974/MAX(0.1,N(Einkauf!$C$6))-CL974)),0))/2)</f>
        <v>2.5</v>
      </c>
      <c r="CW974" s="62" t="n">
        <f aca="false">IF(CS974="","",MAX(0,H974-CV974)*G974)</f>
        <v>102.225</v>
      </c>
      <c r="CX974" s="62" t="n">
        <f aca="false">IF(CS974="","",CS974*MAX(0,1-CV974/H974))</f>
        <v>1.11778846153846</v>
      </c>
      <c r="CY974" s="64" t="n">
        <f aca="false">IF(CS974="","",PERCENTRANK($CS$7:$CS$1843,CS974)+PERCENTRANK($CU$7:$CU$1843,CU974)+1-PERCENTRANK($CT$7:$CT$1843,CT974))</f>
        <v>0.881</v>
      </c>
      <c r="CZ974" s="72" t="n">
        <f aca="false">IF(CS974="","",CHOOSE(MATCH(Einkauf!$C$5,Parameter!$G$23:$G$27,0),CY974,CS974,CU974,-CT974,CW974)+ROW()/1000000000)</f>
        <v>0.881000974</v>
      </c>
    </row>
    <row r="975" customFormat="false" ht="15" hidden="false" customHeight="false" outlineLevel="0" collapsed="false">
      <c r="A975" s="60" t="s">
        <v>1850</v>
      </c>
      <c r="B975" s="60" t="s">
        <v>854</v>
      </c>
      <c r="C975" s="60" t="s">
        <v>206</v>
      </c>
      <c r="D975" s="60" t="s">
        <v>226</v>
      </c>
      <c r="E975" s="60" t="s">
        <v>227</v>
      </c>
      <c r="F975" s="60" t="s">
        <v>260</v>
      </c>
      <c r="G975" s="61" t="n">
        <v>0.16</v>
      </c>
      <c r="H975" s="62" t="n">
        <f aca="false">MAX(0,IF(AND(Parameter!$B$21="Ja",ISNUMBER(Y975)),Y975,IF(Parameter!$B$20="Jahresanfang 2025 + Export",BS975+BR975,BR975)))</f>
        <v>242</v>
      </c>
      <c r="I975" s="62" t="n">
        <f aca="false">H975*G975</f>
        <v>38.72</v>
      </c>
      <c r="J975" s="62" t="n">
        <f aca="false">BU975*Parameter!$B$18</f>
        <v>196</v>
      </c>
      <c r="K975" s="63" t="n">
        <v>565.5</v>
      </c>
      <c r="L975" s="64" t="n">
        <v>0.346595932802829</v>
      </c>
      <c r="M975" s="62" t="n">
        <v>11</v>
      </c>
      <c r="N975" s="62" t="n">
        <v>195</v>
      </c>
      <c r="O975" s="65" t="n">
        <v>21</v>
      </c>
      <c r="P975" s="60" t="s">
        <v>275</v>
      </c>
      <c r="Q975" s="62" t="n">
        <v>609</v>
      </c>
      <c r="R975" s="65" t="n">
        <f aca="false">IF(CA975=1,0,IFERROR(VLOOKUP(BY975,'Gebinde-Kategorie'!$A$5:$N$45,13,0)+0,0))</f>
        <v>26</v>
      </c>
      <c r="S975" s="66"/>
      <c r="T975" s="67"/>
      <c r="U975" s="67"/>
      <c r="V975" s="67"/>
      <c r="W975" s="60"/>
      <c r="X975" s="62"/>
      <c r="Y975" s="62"/>
      <c r="Z975" s="60" t="n">
        <v>3</v>
      </c>
      <c r="AA975" s="60" t="n">
        <f aca="false">IF(A975="","",IF(AND(Parameter!$B$21="Ja",ISNUMBER(W975)),W975,IF(AND(Parameter!$E$27="Ja",ISNUMBER(Z975),CD975&lt;&gt;"Nein"),Z975,IF(CD975="2+3",IF(ISNUMBER(SEARCH("grosser Artikel",BV975)),2,IFERROR(VLOOKUP(BY975,Parameter!$F$35:$G$64,2,0),2)),IF(OR(CD975="Nein",CD975=""),"-",CD975)))))</f>
        <v>3</v>
      </c>
      <c r="AB975" s="67"/>
      <c r="AC975" s="68"/>
      <c r="AD975" s="62" t="n">
        <f aca="false">AW975</f>
        <v>206</v>
      </c>
      <c r="AE975" s="62" t="n">
        <f aca="false">MAX(AW975,H975)</f>
        <v>242</v>
      </c>
      <c r="AF975" s="69"/>
      <c r="AG975" s="62" t="n">
        <f aca="false">IF(LEFT(Cockpit!$C$5,1)="A",H975,IF(Parameter!$E$30="MAX-Bestand",IF(CI975=1,CJ975,IF(LEFT(Cockpit!$C$5,1)="B",AM975,MAX(AM975,H975))),ROUNDUP(AK975,0)))</f>
        <v>242</v>
      </c>
      <c r="AH975" s="62" t="n">
        <f aca="false">IF(CA975=1,0,ROUNDUP(AG975/BZ975,0))</f>
        <v>1</v>
      </c>
      <c r="AI975" s="64" t="n">
        <f aca="false">IF(CR975&gt;0,CR975*MAX(1,AG975/X975),IF(CA975=1,IF(AG975&lt;=0,0,CE975*MAX(1,IF(H975&gt;0,AG975/H975,1))),IF(R975&gt;0,AH975/R975,0))/MAX(0.1,N(Parameter!$M$21)))</f>
        <v>0.0384615384615385</v>
      </c>
      <c r="AJ975" s="62" t="n">
        <f aca="false">AI975*CC975</f>
        <v>9.42307692307692</v>
      </c>
      <c r="AK975" s="63" t="n">
        <f aca="false">IF(LEFT(Cockpit!$C$5,1)="A",H975,IF(CI975=1,(CL975+CJ975)/2,IF(LEFT(Cockpit!$C$5,1)="B",(CL975+AM975)/2,MAX((CL975+AM975)/2,H975))))</f>
        <v>242</v>
      </c>
      <c r="AL975" s="62" t="n">
        <f aca="false">AK975*G975</f>
        <v>38.72</v>
      </c>
      <c r="AM975" s="62" t="n">
        <f aca="false">ROUNDUP(CL975+MAX(CM975,2*(J975/IF(CH975&gt;0,CH975,MAX(0.1,N(Cockpit!$C$6)))-CL975)),0)</f>
        <v>206</v>
      </c>
      <c r="AN975" s="63" t="n">
        <f aca="false">IF(AJ975&gt;0,J975/AJ975,-1)</f>
        <v>20.8</v>
      </c>
      <c r="AO975" s="63" t="n">
        <f aca="false">IF(AND(OR(CG975="L1",CG975="L23",CG975="LIFT"),AJ975&gt;0),SUMIFS($AJ$7:$AJ$1843,$CG$7:$CG$1843,CG975,$AN$7:$AN$1843,"&gt;"&amp;AN975)+SUMIFS($AJ$7:$AJ$1843,$CG$7:$CG$1843,CG975,$AN$7:$AN$1843,AN975,$BX$7:$BX$1843,"&lt;="&amp;BX975),"")</f>
        <v>1652.64468864469</v>
      </c>
      <c r="AP975" s="70" t="n">
        <f aca="false">IF(AO975="",0,MAX(0,MIN(1,(IF(CG975="L1",Parameter!$H$5,IF(CG975="L23",Parameter!$H$6+Parameter!$H$7,Parameter!$H$5+Parameter!$H$6+Parameter!$H$7))-(AO975-AJ975))/AJ975)))</f>
        <v>1</v>
      </c>
      <c r="AQ975" s="62" t="n">
        <f aca="false">IF(LEFT(Cockpit!$I$5,1)="A",H975,IF(Parameter!$E$30="MAX-Bestand",IF(CI975=1,CJ975,IF(LEFT(Cockpit!$I$5,1)="B",AW975,MAX(AW975,H975))),ROUNDUP(AU975,0)))</f>
        <v>242</v>
      </c>
      <c r="AR975" s="62" t="n">
        <f aca="false">IF(CA975=1,0,ROUNDUP(AQ975/BZ975,0))</f>
        <v>1</v>
      </c>
      <c r="AS975" s="64" t="n">
        <f aca="false">IF(CR975&gt;0,CR975*MAX(1,AQ975/X975),IF(CA975=1,IF(AQ975&lt;=0,0,CE975*MAX(1,IF(H975&gt;0,AQ975/H975,1))),IF(R975&gt;0,AR975/R975,0))/MAX(0.1,N(Parameter!$M$21)))</f>
        <v>0.0384615384615385</v>
      </c>
      <c r="AT975" s="62" t="n">
        <f aca="false">AS975*CC975</f>
        <v>9.42307692307692</v>
      </c>
      <c r="AU975" s="63" t="n">
        <f aca="false">IF(LEFT(Cockpit!$I$5,1)="A",H975,IF(CI975=1,(CL975+CJ975)/2,IF(LEFT(Cockpit!$I$5,1)="B",(CL975+AW975)/2,MAX((CL975+AW975)/2,H975))))</f>
        <v>242</v>
      </c>
      <c r="AV975" s="62" t="n">
        <f aca="false">AU975*G975</f>
        <v>38.72</v>
      </c>
      <c r="AW975" s="62" t="n">
        <f aca="false">ROUNDUP(CL975+MAX(CM975,2*(J975/IF(CH975&gt;0,CH975,MAX(0.1,N(Cockpit!$I$6)))-CL975)),0)</f>
        <v>206</v>
      </c>
      <c r="AX975" s="63" t="n">
        <f aca="false">IF(AT975&gt;0,J975/AT975,-1)</f>
        <v>20.8</v>
      </c>
      <c r="AY975" s="63" t="n">
        <f aca="false">IF(AND(OR(CG975="L1",CG975="L23",CG975="LIFT"),AT975&gt;0),SUMIFS($AT$7:$AT$1843,$CG$7:$CG$1843,CG975,$AX$7:$AX$1843,"&gt;"&amp;AX975)+SUMIFS($AT$7:$AT$1843,$CG$7:$CG$1843,CG975,$AX$7:$AX$1843,AX975,$BX$7:$BX$1843,"&lt;="&amp;BX975),"")</f>
        <v>2289.76556776557</v>
      </c>
      <c r="AZ975" s="70" t="n">
        <f aca="false">IF(AY975="",0,MAX(0,MIN(1,(IF(CG975="L1",Parameter!$H$5,IF(CG975="L23",Parameter!$H$6+Parameter!$H$7,Parameter!$H$5+Parameter!$H$6+Parameter!$H$7))-(AY975-AT975))/AT975)))</f>
        <v>1</v>
      </c>
      <c r="BA975" s="62" t="n">
        <f aca="false">IF(LEFT(Cockpit!$O$5,1)="A",H975,IF(Parameter!$E$30="MAX-Bestand",IF(CI975=1,CJ975,IF(LEFT(Cockpit!$O$5,1)="B",BG975,MAX(BG975,H975))),ROUNDUP(BE975,0)))</f>
        <v>109</v>
      </c>
      <c r="BB975" s="62" t="n">
        <f aca="false">IF(CA975=1,0,ROUNDUP(BA975/BZ975,0))</f>
        <v>1</v>
      </c>
      <c r="BC975" s="64" t="n">
        <f aca="false">IF(CR975&gt;0,CR975*MAX(1,BA975/X975),IF(CA975=1,IF(BA975&lt;=0,0,CE975*MAX(1,IF(H975&gt;0,BA975/H975,1))),IF(R975&gt;0,BB975/R975,0))/MAX(0.1,N(Parameter!$M$21)))</f>
        <v>0.0384615384615385</v>
      </c>
      <c r="BD975" s="62" t="n">
        <f aca="false">BC975*CC975</f>
        <v>9.42307692307692</v>
      </c>
      <c r="BE975" s="63" t="n">
        <f aca="false">IF(LEFT(Cockpit!$O$5,1)="A",H975,IF(CI975=1,(CL975+CJ975)/2,IF(LEFT(Cockpit!$O$5,1)="B",(CL975+BG975)/2,MAX((CL975+BG975)/2,H975))))</f>
        <v>108.5</v>
      </c>
      <c r="BF975" s="62" t="n">
        <f aca="false">BE975*G975</f>
        <v>17.36</v>
      </c>
      <c r="BG975" s="62" t="n">
        <f aca="false">ROUNDUP(CL975+MAX(CM975,2*(J975/IF(CH975&gt;0,CH975,MAX(0.1,N(Cockpit!$O$6)))-CL975)),0)</f>
        <v>206</v>
      </c>
      <c r="BH975" s="63" t="n">
        <f aca="false">IF(BD975&gt;0,J975/BD975,-1)</f>
        <v>20.8</v>
      </c>
      <c r="BI975" s="63" t="n">
        <f aca="false">IF(AND(OR(CG975="L1",CG975="L23",CG975="LIFT"),BD975&gt;0),SUMIFS($BD$7:$BD$1843,$CG$7:$CG$1843,CG975,$BH$7:$BH$1843,"&gt;"&amp;BH975)+SUMIFS($BD$7:$BD$1843,$CG$7:$CG$1843,CG975,$BH$7:$BH$1843,BH975,$BX$7:$BX$1843,"&lt;="&amp;BX975),"")</f>
        <v>2200.19642857143</v>
      </c>
      <c r="BJ975" s="70" t="n">
        <f aca="false">IF(BI975="",0,MAX(0,MIN(1,(IF(CG975="L1",Parameter!$H$5,IF(CG975="L23",Parameter!$H$6+Parameter!$H$7,Parameter!$H$5+Parameter!$H$6+Parameter!$H$7))-(BI975-BD975))/BD975)))</f>
        <v>1</v>
      </c>
      <c r="BK975" s="60" t="str">
        <f aca="false">IF(AJ975&lt;=0,"",IF(CG975="Aussen","Aussenlager",IF(CG975="-","Nicht im Lift",IF(AP975&gt;=1,"Lift",IF(AP975&lt;=0,"Aussenlager","teilweise")))))</f>
        <v>Lift</v>
      </c>
      <c r="BL975" s="60" t="str">
        <f aca="false">IF(AT975&lt;=0,"",IF(CG975="Aussen","Aussenlager",IF(CG975="-","Nicht im Lift",IF(AZ975&gt;=1,"Lift",IF(AZ975&lt;=0,"Aussenlager","teilweise")))))</f>
        <v>Lift</v>
      </c>
      <c r="BM975" s="60" t="str">
        <f aca="false">IF(BD975&lt;=0,"",IF(CG975="Aussen","Aussenlager",IF(CG975="-","Nicht im Lift",IF(BJ975&gt;=1,"Lift",IF(BJ975&lt;=0,"Aussenlager","teilweise")))))</f>
        <v>Lift</v>
      </c>
      <c r="BN975" s="60" t="str">
        <f aca="false">IF(A975="","",IF(BW975=1,"Neu; ","")&amp;IF(AND(BW975=0,BR975&lt;0),"negativer Bestand (Export "&amp;BR975&amp;"); ","")&amp;IF(J975&lt;=0,"Kein Verbrauch; ","")&amp;IF(CR975&gt;0,"Lift "&amp;W975&amp;" lt. Liftbericht (Fach "&amp;X975&amp;" Stk); ",IF(CB975=1,"Gebinde geschätzt ("&amp;T975&amp;"); ",IF(CA975=1,"Lose – Tablare geschätzt; ","")))&amp;IF(H975&gt;AW975,"Überbestand "&amp;ROUND(H975-AW975,0)&amp;" Stk / CHF "&amp;ROUND((H975-AW975)*G975,0)&amp;"; ","")&amp;IF(AND(CI975=1,CJ975&lt;CK975),"MAX &lt; MB+LG; ","")&amp;IF(AND(CQ975&gt;0,CP975*10&gt;CQ975),"zu hoch für Tablar; ","")&amp;IF(AND(BW975=0,OR(CI975=1,AB975&lt;&gt;"",U975&lt;&gt;"",V975&lt;&gt;"",AC975&lt;&gt;"")),"manuell übersteuert; ","")&amp;IF(AND(CA975=0,R975=0),"Gebinde unbekannt / Stellmass fehlt; ","")&amp;IF(AND(CA975=0,N(V975)&lt;=0,N(Q975)&lt;=0),"Menge pro Gebinde fehlt (Ist = 1 Gebinde); ","")&amp;BV975)</f>
        <v>negativer Bestand (Export -464); Überbestand 36 Stk / CHF 6; </v>
      </c>
      <c r="BO975" s="60"/>
      <c r="BP975" s="60"/>
      <c r="BQ975" s="67"/>
      <c r="BR975" s="62" t="n">
        <v>-464</v>
      </c>
      <c r="BS975" s="62" t="n">
        <v>706</v>
      </c>
      <c r="BT975" s="61" t="n">
        <v>-74.24</v>
      </c>
      <c r="BU975" s="62" t="n">
        <v>196</v>
      </c>
      <c r="BV975" s="60"/>
      <c r="BW975" s="65" t="n">
        <v>0</v>
      </c>
      <c r="BX975" s="65" t="n">
        <v>975</v>
      </c>
      <c r="BY975" s="60" t="str">
        <f aca="false">IF(U975&lt;&gt;"",UPPER(TRIM(U975)),IF(CB975=1,UPPER(VLOOKUP(T975,Parameter!$I$27:$K$29,2,0)),IF(P975="","LOSE",P975)))</f>
        <v>S52</v>
      </c>
      <c r="BZ975" s="62" t="n">
        <f aca="false">IF(BY975="LOSE",1,IF(N(V975)&gt;0,V975,IF(CB975=1,MAX(1,N(VLOOKUP(T975,Parameter!$I$27:$K$29,3,0)),H975,N(N975)),IF(N(Q975)&gt;0,Q975,MAX(1,H975)))))</f>
        <v>609</v>
      </c>
      <c r="CA975" s="65" t="n">
        <f aca="false">IF(BY975="LOSE",1,0)</f>
        <v>0</v>
      </c>
      <c r="CB975" s="65" t="n">
        <f aca="false">IF(AND(U975="",OR(P975="",P975="LOSE"),T975&lt;&gt;"",N(S975)&lt;=0,ISNUMBER(MATCH(T975,Parameter!$I$27:$I$29,0))),1,0)</f>
        <v>0</v>
      </c>
      <c r="CC975" s="65" t="n">
        <f aca="false">IF(CR975&gt;0,INDEX(Parameter!$H$5:$H$7,W975)/INDEX(Parameter!$E$5:$E$7,W975),IF(AND(CA975=0,N(IFERROR(VLOOKUP(BY975,'Gebinde-Kategorie'!$A$5:$N$45,14,0),0))&gt;0),VLOOKUP(BY975,'Gebinde-Kategorie'!$A$5:$N$45,14,0)*10+Parameter!$M$23,Parameter!$M$24))</f>
        <v>245</v>
      </c>
      <c r="CD975" s="60" t="str">
        <f aca="false">IF(AND(Parameter!$B$19="Ja",E975&lt;&gt;"",ISNUMBER(MATCH(E975,Parameter!$I$35:$I$52,0))),VLOOKUP(E975,Parameter!$I$35:$J$52,2,0),IFERROR(VLOOKUP(D975,Parameter!$A$35:$C$64,2,0),"Nein"))</f>
        <v>2+3</v>
      </c>
      <c r="CE975" s="64" t="n">
        <f aca="false">IF(CA975=0,0,IF(N(S975)&gt;0,S975,IFERROR(VLOOKUP(D975,Parameter!$A$35:$C$64,3,0)+0,0)))</f>
        <v>0</v>
      </c>
      <c r="CF975" s="60" t="n">
        <f aca="false">IF(AB975&lt;&gt;"",AB975,AA975)</f>
        <v>3</v>
      </c>
      <c r="CG975" s="60" t="str">
        <f aca="false">IF(OR(CF975=1,CF975=2,CF975=3),IF(Parameter!$E$27="Ja","LIFT",IF(CF975=1,"L1","L23")),IF(CF975="Aussen","Aussen","-"))</f>
        <v>LIFT</v>
      </c>
      <c r="CH975" s="71" t="n">
        <f aca="false">IF(N(AC975)&gt;0,AC975,0)</f>
        <v>0</v>
      </c>
      <c r="CI975" s="65" t="n">
        <f aca="false">IF(ISNUMBER(AF975),1,0)</f>
        <v>0</v>
      </c>
      <c r="CJ975" s="62" t="n">
        <f aca="false">N(AF975)</f>
        <v>0</v>
      </c>
      <c r="CK975" s="62" t="n">
        <f aca="false">N(M975)+N(N975)</f>
        <v>206</v>
      </c>
      <c r="CL975" s="62" t="n">
        <f aca="false">N(M975)</f>
        <v>11</v>
      </c>
      <c r="CM975" s="62" t="n">
        <f aca="false">N(N975)</f>
        <v>195</v>
      </c>
      <c r="CN975" s="62" t="n">
        <f aca="false">ROUNDUP(H975/BZ975,0)</f>
        <v>1</v>
      </c>
      <c r="CO975" s="62" t="n">
        <f aca="false">ROUNDUP(CJ975/BZ975,0)</f>
        <v>0</v>
      </c>
      <c r="CP975" s="65" t="n">
        <f aca="false">IF(CA975=1,0,IFERROR(VLOOKUP(BY975,'Gebinde-Kategorie'!$A$5:$N$45,5,0)+0,0))</f>
        <v>21</v>
      </c>
      <c r="CQ975" s="65" t="n">
        <f aca="false">IFERROR(IF(OR(CF975=1,CF975=2,CF975=3),N(INDEX(Parameter!$I$5:$I$7,CF975)),0),0)</f>
        <v>0</v>
      </c>
      <c r="CR975" s="64" t="n">
        <f aca="false">IF(AND(Parameter!$B$21="Ja",ISNUMBER(W975),N(X975)&gt;0),IFERROR(N(INDEX(Parameter!$L$5:$L$7,W975))*INDEX(Parameter!$E$5:$E$7,W975)*X975/SUMIFS($X$7:$X$1843,$W$7:$W$1843,W975),0),0)</f>
        <v>0</v>
      </c>
      <c r="CS975" s="62" t="n">
        <f aca="false">IF(AND(OR(CG975="L1",CG975="L23",CG975="LIFT"),H975&gt;0),CC975*IF(CR975&gt;0,CR975*MAX(1,H975/X975),IF(CA975=1,CE975,IF(R975&gt;0,CN975/R975,0))/MAX(0.1,N(Parameter!$M$21))),"")</f>
        <v>9.42307692307692</v>
      </c>
      <c r="CT975" s="64" t="n">
        <f aca="false">IF(CS975="","",J975/H975)</f>
        <v>0.809917355371901</v>
      </c>
      <c r="CU975" s="62" t="n">
        <f aca="false">IF(CS975="","",H975*G975)</f>
        <v>38.72</v>
      </c>
      <c r="CV975" s="63" t="n">
        <f aca="false">IF(CS975="","",(CL975+ROUNDUP(CL975+MAX(CM975,2*(J975/MAX(0.1,N(Einkauf!$C$6))-CL975)),0))/2)</f>
        <v>108.5</v>
      </c>
      <c r="CW975" s="62" t="n">
        <f aca="false">IF(CS975="","",MAX(0,H975-CV975)*G975)</f>
        <v>21.36</v>
      </c>
      <c r="CX975" s="62" t="n">
        <f aca="false">IF(CS975="","",CS975*MAX(0,1-CV975/H975))</f>
        <v>5.19826764144946</v>
      </c>
      <c r="CY975" s="64" t="n">
        <f aca="false">IF(CS975="","",PERCENTRANK($CS$7:$CS$1843,CS975)+PERCENTRANK($CU$7:$CU$1843,CU975)+1-PERCENTRANK($CT$7:$CT$1843,CT975))</f>
        <v>1.103</v>
      </c>
      <c r="CZ975" s="72" t="n">
        <f aca="false">IF(CS975="","",CHOOSE(MATCH(Einkauf!$C$5,Parameter!$G$23:$G$27,0),CY975,CS975,CU975,-CT975,CW975)+ROW()/1000000000)</f>
        <v>1.103000975</v>
      </c>
    </row>
    <row r="976" customFormat="false" ht="15" hidden="false" customHeight="false" outlineLevel="0" collapsed="false">
      <c r="A976" s="60" t="s">
        <v>1851</v>
      </c>
      <c r="B976" s="60" t="s">
        <v>510</v>
      </c>
      <c r="C976" s="60" t="s">
        <v>206</v>
      </c>
      <c r="D976" s="60" t="s">
        <v>226</v>
      </c>
      <c r="E976" s="60" t="s">
        <v>227</v>
      </c>
      <c r="F976" s="60" t="s">
        <v>260</v>
      </c>
      <c r="G976" s="61" t="n">
        <v>0.87</v>
      </c>
      <c r="H976" s="62" t="n">
        <f aca="false">MAX(0,IF(AND(Parameter!$B$21="Ja",ISNUMBER(Y976)),Y976,IF(Parameter!$B$20="Jahresanfang 2025 + Export",BS976+BR976,BR976)))</f>
        <v>93</v>
      </c>
      <c r="I976" s="62" t="n">
        <f aca="false">H976*G976</f>
        <v>80.91</v>
      </c>
      <c r="J976" s="62" t="n">
        <f aca="false">BU976*Parameter!$B$18</f>
        <v>145</v>
      </c>
      <c r="K976" s="63" t="n">
        <v>181</v>
      </c>
      <c r="L976" s="64" t="n">
        <v>0.801104972375691</v>
      </c>
      <c r="M976" s="62" t="n">
        <v>5</v>
      </c>
      <c r="N976" s="62" t="n">
        <v>145</v>
      </c>
      <c r="O976" s="65" t="n">
        <v>14</v>
      </c>
      <c r="P976" s="60" t="s">
        <v>344</v>
      </c>
      <c r="Q976" s="62" t="n">
        <v>165</v>
      </c>
      <c r="R976" s="65" t="n">
        <f aca="false">IF(CA976=1,0,IFERROR(VLOOKUP(BY976,'Gebinde-Kategorie'!$A$5:$N$45,13,0)+0,0))</f>
        <v>26</v>
      </c>
      <c r="S976" s="66"/>
      <c r="T976" s="67"/>
      <c r="U976" s="67"/>
      <c r="V976" s="67"/>
      <c r="W976" s="60"/>
      <c r="X976" s="62"/>
      <c r="Y976" s="62"/>
      <c r="Z976" s="60" t="n">
        <v>3</v>
      </c>
      <c r="AA976" s="60" t="n">
        <f aca="false">IF(A976="","",IF(AND(Parameter!$B$21="Ja",ISNUMBER(W976)),W976,IF(AND(Parameter!$E$27="Ja",ISNUMBER(Z976),CD976&lt;&gt;"Nein"),Z976,IF(CD976="2+3",IF(ISNUMBER(SEARCH("grosser Artikel",BV976)),2,IFERROR(VLOOKUP(BY976,Parameter!$F$35:$G$64,2,0),2)),IF(OR(CD976="Nein",CD976=""),"-",CD976)))))</f>
        <v>3</v>
      </c>
      <c r="AB976" s="67"/>
      <c r="AC976" s="68"/>
      <c r="AD976" s="62" t="n">
        <f aca="false">AW976</f>
        <v>150</v>
      </c>
      <c r="AE976" s="62" t="n">
        <f aca="false">MAX(AW976,H976)</f>
        <v>150</v>
      </c>
      <c r="AF976" s="69"/>
      <c r="AG976" s="62" t="n">
        <f aca="false">IF(LEFT(Cockpit!$C$5,1)="A",H976,IF(Parameter!$E$30="MAX-Bestand",IF(CI976=1,CJ976,IF(LEFT(Cockpit!$C$5,1)="B",AM976,MAX(AM976,H976))),ROUNDUP(AK976,0)))</f>
        <v>93</v>
      </c>
      <c r="AH976" s="62" t="n">
        <f aca="false">IF(CA976=1,0,ROUNDUP(AG976/BZ976,0))</f>
        <v>1</v>
      </c>
      <c r="AI976" s="64" t="n">
        <f aca="false">IF(CR976&gt;0,CR976*MAX(1,AG976/X976),IF(CA976=1,IF(AG976&lt;=0,0,CE976*MAX(1,IF(H976&gt;0,AG976/H976,1))),IF(R976&gt;0,AH976/R976,0))/MAX(0.1,N(Parameter!$M$21)))</f>
        <v>0.0384615384615385</v>
      </c>
      <c r="AJ976" s="62" t="n">
        <f aca="false">AI976*CC976</f>
        <v>5.96153846153846</v>
      </c>
      <c r="AK976" s="63" t="n">
        <f aca="false">IF(LEFT(Cockpit!$C$5,1)="A",H976,IF(CI976=1,(CL976+CJ976)/2,IF(LEFT(Cockpit!$C$5,1)="B",(CL976+AM976)/2,MAX((CL976+AM976)/2,H976))))</f>
        <v>93</v>
      </c>
      <c r="AL976" s="62" t="n">
        <f aca="false">AK976*G976</f>
        <v>80.91</v>
      </c>
      <c r="AM976" s="62" t="n">
        <f aca="false">ROUNDUP(CL976+MAX(CM976,2*(J976/IF(CH976&gt;0,CH976,MAX(0.1,N(Cockpit!$C$6)))-CL976)),0)</f>
        <v>150</v>
      </c>
      <c r="AN976" s="63" t="n">
        <f aca="false">IF(AJ976&gt;0,J976/AJ976,-1)</f>
        <v>24.3225806451613</v>
      </c>
      <c r="AO976" s="63" t="n">
        <f aca="false">IF(AND(OR(CG976="L1",CG976="L23",CG976="LIFT"),AJ976&gt;0),SUMIFS($AJ$7:$AJ$1843,$CG$7:$CG$1843,CG976,$AN$7:$AN$1843,"&gt;"&amp;AN976)+SUMIFS($AJ$7:$AJ$1843,$CG$7:$CG$1843,CG976,$AN$7:$AN$1843,AN976,$BX$7:$BX$1843,"&lt;="&amp;BX976),"")</f>
        <v>1550.07921245421</v>
      </c>
      <c r="AP976" s="70" t="n">
        <f aca="false">IF(AO976="",0,MAX(0,MIN(1,(IF(CG976="L1",Parameter!$H$5,IF(CG976="L23",Parameter!$H$6+Parameter!$H$7,Parameter!$H$5+Parameter!$H$6+Parameter!$H$7))-(AO976-AJ976))/AJ976)))</f>
        <v>1</v>
      </c>
      <c r="AQ976" s="62" t="n">
        <f aca="false">IF(LEFT(Cockpit!$I$5,1)="A",H976,IF(Parameter!$E$30="MAX-Bestand",IF(CI976=1,CJ976,IF(LEFT(Cockpit!$I$5,1)="B",AW976,MAX(AW976,H976))),ROUNDUP(AU976,0)))</f>
        <v>93</v>
      </c>
      <c r="AR976" s="62" t="n">
        <f aca="false">IF(CA976=1,0,ROUNDUP(AQ976/BZ976,0))</f>
        <v>1</v>
      </c>
      <c r="AS976" s="64" t="n">
        <f aca="false">IF(CR976&gt;0,CR976*MAX(1,AQ976/X976),IF(CA976=1,IF(AQ976&lt;=0,0,CE976*MAX(1,IF(H976&gt;0,AQ976/H976,1))),IF(R976&gt;0,AR976/R976,0))/MAX(0.1,N(Parameter!$M$21)))</f>
        <v>0.0384615384615385</v>
      </c>
      <c r="AT976" s="62" t="n">
        <f aca="false">AS976*CC976</f>
        <v>5.96153846153846</v>
      </c>
      <c r="AU976" s="63" t="n">
        <f aca="false">IF(LEFT(Cockpit!$I$5,1)="A",H976,IF(CI976=1,(CL976+CJ976)/2,IF(LEFT(Cockpit!$I$5,1)="B",(CL976+AW976)/2,MAX((CL976+AW976)/2,H976))))</f>
        <v>93</v>
      </c>
      <c r="AV976" s="62" t="n">
        <f aca="false">AU976*G976</f>
        <v>80.91</v>
      </c>
      <c r="AW976" s="62" t="n">
        <f aca="false">ROUNDUP(CL976+MAX(CM976,2*(J976/IF(CH976&gt;0,CH976,MAX(0.1,N(Cockpit!$I$6)))-CL976)),0)</f>
        <v>150</v>
      </c>
      <c r="AX976" s="63" t="n">
        <f aca="false">IF(AT976&gt;0,J976/AT976,-1)</f>
        <v>24.3225806451613</v>
      </c>
      <c r="AY976" s="63" t="n">
        <f aca="false">IF(AND(OR(CG976="L1",CG976="L23",CG976="LIFT"),AT976&gt;0),SUMIFS($AT$7:$AT$1843,$CG$7:$CG$1843,CG976,$AX$7:$AX$1843,"&gt;"&amp;AX976)+SUMIFS($AT$7:$AT$1843,$CG$7:$CG$1843,CG976,$AX$7:$AX$1843,AX976,$BX$7:$BX$1843,"&lt;="&amp;BX976),"")</f>
        <v>2175.91804029304</v>
      </c>
      <c r="AZ976" s="70" t="n">
        <f aca="false">IF(AY976="",0,MAX(0,MIN(1,(IF(CG976="L1",Parameter!$H$5,IF(CG976="L23",Parameter!$H$6+Parameter!$H$7,Parameter!$H$5+Parameter!$H$6+Parameter!$H$7))-(AY976-AT976))/AT976)))</f>
        <v>1</v>
      </c>
      <c r="BA976" s="62" t="n">
        <f aca="false">IF(LEFT(Cockpit!$O$5,1)="A",H976,IF(Parameter!$E$30="MAX-Bestand",IF(CI976=1,CJ976,IF(LEFT(Cockpit!$O$5,1)="B",BG976,MAX(BG976,H976))),ROUNDUP(BE976,0)))</f>
        <v>78</v>
      </c>
      <c r="BB976" s="62" t="n">
        <f aca="false">IF(CA976=1,0,ROUNDUP(BA976/BZ976,0))</f>
        <v>1</v>
      </c>
      <c r="BC976" s="64" t="n">
        <f aca="false">IF(CR976&gt;0,CR976*MAX(1,BA976/X976),IF(CA976=1,IF(BA976&lt;=0,0,CE976*MAX(1,IF(H976&gt;0,BA976/H976,1))),IF(R976&gt;0,BB976/R976,0))/MAX(0.1,N(Parameter!$M$21)))</f>
        <v>0.0384615384615385</v>
      </c>
      <c r="BD976" s="62" t="n">
        <f aca="false">BC976*CC976</f>
        <v>5.96153846153846</v>
      </c>
      <c r="BE976" s="63" t="n">
        <f aca="false">IF(LEFT(Cockpit!$O$5,1)="A",H976,IF(CI976=1,(CL976+CJ976)/2,IF(LEFT(Cockpit!$O$5,1)="B",(CL976+BG976)/2,MAX((CL976+BG976)/2,H976))))</f>
        <v>77.5</v>
      </c>
      <c r="BF976" s="62" t="n">
        <f aca="false">BE976*G976</f>
        <v>67.425</v>
      </c>
      <c r="BG976" s="62" t="n">
        <f aca="false">ROUNDUP(CL976+MAX(CM976,2*(J976/IF(CH976&gt;0,CH976,MAX(0.1,N(Cockpit!$O$6)))-CL976)),0)</f>
        <v>150</v>
      </c>
      <c r="BH976" s="63" t="n">
        <f aca="false">IF(BD976&gt;0,J976/BD976,-1)</f>
        <v>24.3225806451613</v>
      </c>
      <c r="BI976" s="63" t="n">
        <f aca="false">IF(AND(OR(CG976="L1",CG976="L23",CG976="LIFT"),BD976&gt;0),SUMIFS($BD$7:$BD$1843,$CG$7:$CG$1843,CG976,$BH$7:$BH$1843,"&gt;"&amp;BH976)+SUMIFS($BD$7:$BD$1843,$CG$7:$CG$1843,CG976,$BH$7:$BH$1843,BH976,$BX$7:$BX$1843,"&lt;="&amp;BX976),"")</f>
        <v>2093.87362637363</v>
      </c>
      <c r="BJ976" s="70" t="n">
        <f aca="false">IF(BI976="",0,MAX(0,MIN(1,(IF(CG976="L1",Parameter!$H$5,IF(CG976="L23",Parameter!$H$6+Parameter!$H$7,Parameter!$H$5+Parameter!$H$6+Parameter!$H$7))-(BI976-BD976))/BD976)))</f>
        <v>1</v>
      </c>
      <c r="BK976" s="60" t="str">
        <f aca="false">IF(AJ976&lt;=0,"",IF(CG976="Aussen","Aussenlager",IF(CG976="-","Nicht im Lift",IF(AP976&gt;=1,"Lift",IF(AP976&lt;=0,"Aussenlager","teilweise")))))</f>
        <v>Lift</v>
      </c>
      <c r="BL976" s="60" t="str">
        <f aca="false">IF(AT976&lt;=0,"",IF(CG976="Aussen","Aussenlager",IF(CG976="-","Nicht im Lift",IF(AZ976&gt;=1,"Lift",IF(AZ976&lt;=0,"Aussenlager","teilweise")))))</f>
        <v>Lift</v>
      </c>
      <c r="BM976" s="60" t="str">
        <f aca="false">IF(BD976&lt;=0,"",IF(CG976="Aussen","Aussenlager",IF(CG976="-","Nicht im Lift",IF(BJ976&gt;=1,"Lift",IF(BJ976&lt;=0,"Aussenlager","teilweise")))))</f>
        <v>Lift</v>
      </c>
      <c r="BN976" s="60" t="str">
        <f aca="false">IF(A976="","",IF(BW976=1,"Neu; ","")&amp;IF(AND(BW976=0,BR976&lt;0),"negativer Bestand (Export "&amp;BR976&amp;"); ","")&amp;IF(J976&lt;=0,"Kein Verbrauch; ","")&amp;IF(CR976&gt;0,"Lift "&amp;W976&amp;" lt. Liftbericht (Fach "&amp;X976&amp;" Stk); ",IF(CB976=1,"Gebinde geschätzt ("&amp;T976&amp;"); ",IF(CA976=1,"Lose – Tablare geschätzt; ","")))&amp;IF(H976&gt;AW976,"Überbestand "&amp;ROUND(H976-AW976,0)&amp;" Stk / CHF "&amp;ROUND((H976-AW976)*G976,0)&amp;"; ","")&amp;IF(AND(CI976=1,CJ976&lt;CK976),"MAX &lt; MB+LG; ","")&amp;IF(AND(CQ976&gt;0,CP976*10&gt;CQ976),"zu hoch für Tablar; ","")&amp;IF(AND(BW976=0,OR(CI976=1,AB976&lt;&gt;"",U976&lt;&gt;"",V976&lt;&gt;"",AC976&lt;&gt;"")),"manuell übersteuert; ","")&amp;IF(AND(CA976=0,R976=0),"Gebinde unbekannt / Stellmass fehlt; ","")&amp;IF(AND(CA976=0,N(V976)&lt;=0,N(Q976)&lt;=0),"Menge pro Gebinde fehlt (Ist = 1 Gebinde); ","")&amp;BV976)</f>
        <v>negativer Bestand (Export -94); </v>
      </c>
      <c r="BO976" s="60"/>
      <c r="BP976" s="60"/>
      <c r="BQ976" s="67"/>
      <c r="BR976" s="62" t="n">
        <v>-94</v>
      </c>
      <c r="BS976" s="62" t="n">
        <v>187</v>
      </c>
      <c r="BT976" s="61" t="n">
        <v>-74.4999999999999</v>
      </c>
      <c r="BU976" s="62" t="n">
        <v>145</v>
      </c>
      <c r="BV976" s="60"/>
      <c r="BW976" s="65" t="n">
        <v>0</v>
      </c>
      <c r="BX976" s="65" t="n">
        <v>976</v>
      </c>
      <c r="BY976" s="60" t="str">
        <f aca="false">IF(U976&lt;&gt;"",UPPER(TRIM(U976)),IF(CB976=1,UPPER(VLOOKUP(T976,Parameter!$I$27:$K$29,2,0)),IF(P976="","LOSE",P976)))</f>
        <v>S51</v>
      </c>
      <c r="BZ976" s="62" t="n">
        <f aca="false">IF(BY976="LOSE",1,IF(N(V976)&gt;0,V976,IF(CB976=1,MAX(1,N(VLOOKUP(T976,Parameter!$I$27:$K$29,3,0)),H976,N(N976)),IF(N(Q976)&gt;0,Q976,MAX(1,H976)))))</f>
        <v>165</v>
      </c>
      <c r="CA976" s="65" t="n">
        <f aca="false">IF(BY976="LOSE",1,0)</f>
        <v>0</v>
      </c>
      <c r="CB976" s="65" t="n">
        <f aca="false">IF(AND(U976="",OR(P976="",P976="LOSE"),T976&lt;&gt;"",N(S976)&lt;=0,ISNUMBER(MATCH(T976,Parameter!$I$27:$I$29,0))),1,0)</f>
        <v>0</v>
      </c>
      <c r="CC976" s="65" t="n">
        <f aca="false">IF(CR976&gt;0,INDEX(Parameter!$H$5:$H$7,W976)/INDEX(Parameter!$E$5:$E$7,W976),IF(AND(CA976=0,N(IFERROR(VLOOKUP(BY976,'Gebinde-Kategorie'!$A$5:$N$45,14,0),0))&gt;0),VLOOKUP(BY976,'Gebinde-Kategorie'!$A$5:$N$45,14,0)*10+Parameter!$M$23,Parameter!$M$24))</f>
        <v>155</v>
      </c>
      <c r="CD976" s="60" t="str">
        <f aca="false">IF(AND(Parameter!$B$19="Ja",E976&lt;&gt;"",ISNUMBER(MATCH(E976,Parameter!$I$35:$I$52,0))),VLOOKUP(E976,Parameter!$I$35:$J$52,2,0),IFERROR(VLOOKUP(D976,Parameter!$A$35:$C$64,2,0),"Nein"))</f>
        <v>2+3</v>
      </c>
      <c r="CE976" s="64" t="n">
        <f aca="false">IF(CA976=0,0,IF(N(S976)&gt;0,S976,IFERROR(VLOOKUP(D976,Parameter!$A$35:$C$64,3,0)+0,0)))</f>
        <v>0</v>
      </c>
      <c r="CF976" s="60" t="n">
        <f aca="false">IF(AB976&lt;&gt;"",AB976,AA976)</f>
        <v>3</v>
      </c>
      <c r="CG976" s="60" t="str">
        <f aca="false">IF(OR(CF976=1,CF976=2,CF976=3),IF(Parameter!$E$27="Ja","LIFT",IF(CF976=1,"L1","L23")),IF(CF976="Aussen","Aussen","-"))</f>
        <v>LIFT</v>
      </c>
      <c r="CH976" s="71" t="n">
        <f aca="false">IF(N(AC976)&gt;0,AC976,0)</f>
        <v>0</v>
      </c>
      <c r="CI976" s="65" t="n">
        <f aca="false">IF(ISNUMBER(AF976),1,0)</f>
        <v>0</v>
      </c>
      <c r="CJ976" s="62" t="n">
        <f aca="false">N(AF976)</f>
        <v>0</v>
      </c>
      <c r="CK976" s="62" t="n">
        <f aca="false">N(M976)+N(N976)</f>
        <v>150</v>
      </c>
      <c r="CL976" s="62" t="n">
        <f aca="false">N(M976)</f>
        <v>5</v>
      </c>
      <c r="CM976" s="62" t="n">
        <f aca="false">N(N976)</f>
        <v>145</v>
      </c>
      <c r="CN976" s="62" t="n">
        <f aca="false">ROUNDUP(H976/BZ976,0)</f>
        <v>1</v>
      </c>
      <c r="CO976" s="62" t="n">
        <f aca="false">ROUNDUP(CJ976/BZ976,0)</f>
        <v>0</v>
      </c>
      <c r="CP976" s="65" t="n">
        <f aca="false">IF(CA976=1,0,IFERROR(VLOOKUP(BY976,'Gebinde-Kategorie'!$A$5:$N$45,5,0)+0,0))</f>
        <v>11</v>
      </c>
      <c r="CQ976" s="65" t="n">
        <f aca="false">IFERROR(IF(OR(CF976=1,CF976=2,CF976=3),N(INDEX(Parameter!$I$5:$I$7,CF976)),0),0)</f>
        <v>0</v>
      </c>
      <c r="CR976" s="64" t="n">
        <f aca="false">IF(AND(Parameter!$B$21="Ja",ISNUMBER(W976),N(X976)&gt;0),IFERROR(N(INDEX(Parameter!$L$5:$L$7,W976))*INDEX(Parameter!$E$5:$E$7,W976)*X976/SUMIFS($X$7:$X$1843,$W$7:$W$1843,W976),0),0)</f>
        <v>0</v>
      </c>
      <c r="CS976" s="62" t="n">
        <f aca="false">IF(AND(OR(CG976="L1",CG976="L23",CG976="LIFT"),H976&gt;0),CC976*IF(CR976&gt;0,CR976*MAX(1,H976/X976),IF(CA976=1,CE976,IF(R976&gt;0,CN976/R976,0))/MAX(0.1,N(Parameter!$M$21))),"")</f>
        <v>5.96153846153846</v>
      </c>
      <c r="CT976" s="64" t="n">
        <f aca="false">IF(CS976="","",J976/H976)</f>
        <v>1.55913978494624</v>
      </c>
      <c r="CU976" s="62" t="n">
        <f aca="false">IF(CS976="","",H976*G976)</f>
        <v>80.91</v>
      </c>
      <c r="CV976" s="63" t="n">
        <f aca="false">IF(CS976="","",(CL976+ROUNDUP(CL976+MAX(CM976,2*(J976/MAX(0.1,N(Einkauf!$C$6))-CL976)),0))/2)</f>
        <v>77.5</v>
      </c>
      <c r="CW976" s="62" t="n">
        <f aca="false">IF(CS976="","",MAX(0,H976-CV976)*G976)</f>
        <v>13.485</v>
      </c>
      <c r="CX976" s="62" t="n">
        <f aca="false">IF(CS976="","",CS976*MAX(0,1-CV976/H976))</f>
        <v>0.993589743589743</v>
      </c>
      <c r="CY976" s="64" t="n">
        <f aca="false">IF(CS976="","",PERCENTRANK($CS$7:$CS$1843,CS976)+PERCENTRANK($CU$7:$CU$1843,CU976)+1-PERCENTRANK($CT$7:$CT$1843,CT976))</f>
        <v>0.786</v>
      </c>
      <c r="CZ976" s="72" t="n">
        <f aca="false">IF(CS976="","",CHOOSE(MATCH(Einkauf!$C$5,Parameter!$G$23:$G$27,0),CY976,CS976,CU976,-CT976,CW976)+ROW()/1000000000)</f>
        <v>0.786000976</v>
      </c>
    </row>
    <row r="977" customFormat="false" ht="15" hidden="false" customHeight="false" outlineLevel="0" collapsed="false">
      <c r="A977" s="60" t="s">
        <v>1852</v>
      </c>
      <c r="B977" s="60" t="s">
        <v>1822</v>
      </c>
      <c r="C977" s="60" t="s">
        <v>206</v>
      </c>
      <c r="D977" s="60" t="s">
        <v>226</v>
      </c>
      <c r="E977" s="60" t="s">
        <v>227</v>
      </c>
      <c r="F977" s="60" t="s">
        <v>260</v>
      </c>
      <c r="G977" s="61" t="n">
        <v>8.33</v>
      </c>
      <c r="H977" s="62" t="n">
        <f aca="false">MAX(0,IF(AND(Parameter!$B$21="Ja",ISNUMBER(Y977)),Y977,IF(Parameter!$B$20="Jahresanfang 2025 + Export",BS977+BR977,BR977)))</f>
        <v>3</v>
      </c>
      <c r="I977" s="62" t="n">
        <f aca="false">H977*G977</f>
        <v>24.99</v>
      </c>
      <c r="J977" s="62" t="n">
        <f aca="false">BU977*Parameter!$B$18</f>
        <v>8</v>
      </c>
      <c r="K977" s="63" t="n">
        <v>8</v>
      </c>
      <c r="L977" s="64" t="n">
        <v>1</v>
      </c>
      <c r="M977" s="62" t="n">
        <v>0</v>
      </c>
      <c r="N977" s="62" t="n">
        <v>10</v>
      </c>
      <c r="O977" s="65" t="n">
        <v>17</v>
      </c>
      <c r="P977" s="60" t="s">
        <v>518</v>
      </c>
      <c r="Q977" s="62" t="n">
        <v>23</v>
      </c>
      <c r="R977" s="65" t="n">
        <f aca="false">IF(CA977=1,0,IFERROR(VLOOKUP(BY977,'Gebinde-Kategorie'!$A$5:$N$45,13,0)+0,0))</f>
        <v>52</v>
      </c>
      <c r="S977" s="66"/>
      <c r="T977" s="67"/>
      <c r="U977" s="67"/>
      <c r="V977" s="67"/>
      <c r="W977" s="60"/>
      <c r="X977" s="62"/>
      <c r="Y977" s="62"/>
      <c r="Z977" s="60" t="n">
        <v>2</v>
      </c>
      <c r="AA977" s="60" t="n">
        <f aca="false">IF(A977="","",IF(AND(Parameter!$B$21="Ja",ISNUMBER(W977)),W977,IF(AND(Parameter!$E$27="Ja",ISNUMBER(Z977),CD977&lt;&gt;"Nein"),Z977,IF(CD977="2+3",IF(ISNUMBER(SEARCH("grosser Artikel",BV977)),2,IFERROR(VLOOKUP(BY977,Parameter!$F$35:$G$64,2,0),2)),IF(OR(CD977="Nein",CD977=""),"-",CD977)))))</f>
        <v>2</v>
      </c>
      <c r="AB977" s="67"/>
      <c r="AC977" s="68"/>
      <c r="AD977" s="62" t="n">
        <f aca="false">AW977</f>
        <v>10</v>
      </c>
      <c r="AE977" s="62" t="n">
        <f aca="false">MAX(AW977,H977)</f>
        <v>10</v>
      </c>
      <c r="AF977" s="69"/>
      <c r="AG977" s="62" t="n">
        <f aca="false">IF(LEFT(Cockpit!$C$5,1)="A",H977,IF(Parameter!$E$30="MAX-Bestand",IF(CI977=1,CJ977,IF(LEFT(Cockpit!$C$5,1)="B",AM977,MAX(AM977,H977))),ROUNDUP(AK977,0)))</f>
        <v>3</v>
      </c>
      <c r="AH977" s="62" t="n">
        <f aca="false">IF(CA977=1,0,ROUNDUP(AG977/BZ977,0))</f>
        <v>1</v>
      </c>
      <c r="AI977" s="64" t="n">
        <f aca="false">IF(CR977&gt;0,CR977*MAX(1,AG977/X977),IF(CA977=1,IF(AG977&lt;=0,0,CE977*MAX(1,IF(H977&gt;0,AG977/H977,1))),IF(R977&gt;0,AH977/R977,0))/MAX(0.1,N(Parameter!$M$21)))</f>
        <v>0.0192307692307692</v>
      </c>
      <c r="AJ977" s="62" t="n">
        <f aca="false">AI977*CC977</f>
        <v>2.98076923076923</v>
      </c>
      <c r="AK977" s="63" t="n">
        <f aca="false">IF(LEFT(Cockpit!$C$5,1)="A",H977,IF(CI977=1,(CL977+CJ977)/2,IF(LEFT(Cockpit!$C$5,1)="B",(CL977+AM977)/2,MAX((CL977+AM977)/2,H977))))</f>
        <v>3</v>
      </c>
      <c r="AL977" s="62" t="n">
        <f aca="false">AK977*G977</f>
        <v>24.99</v>
      </c>
      <c r="AM977" s="62" t="n">
        <f aca="false">ROUNDUP(CL977+MAX(CM977,2*(J977/IF(CH977&gt;0,CH977,MAX(0.1,N(Cockpit!$C$6)))-CL977)),0)</f>
        <v>10</v>
      </c>
      <c r="AN977" s="63" t="n">
        <f aca="false">IF(AJ977&gt;0,J977/AJ977,-1)</f>
        <v>2.68387096774194</v>
      </c>
      <c r="AO977" s="63" t="n">
        <f aca="false">IF(AND(OR(CG977="L1",CG977="L23",CG977="LIFT"),AJ977&gt;0),SUMIFS($AJ$7:$AJ$1843,$CG$7:$CG$1843,CG977,$AN$7:$AN$1843,"&gt;"&amp;AN977)+SUMIFS($AJ$7:$AJ$1843,$CG$7:$CG$1843,CG977,$AN$7:$AN$1843,AN977,$BX$7:$BX$1843,"&lt;="&amp;BX977),"")</f>
        <v>5338.36172161172</v>
      </c>
      <c r="AP977" s="70" t="n">
        <f aca="false">IF(AO977="",0,MAX(0,MIN(1,(IF(CG977="L1",Parameter!$H$5,IF(CG977="L23",Parameter!$H$6+Parameter!$H$7,Parameter!$H$5+Parameter!$H$6+Parameter!$H$7))-(AO977-AJ977))/AJ977)))</f>
        <v>1</v>
      </c>
      <c r="AQ977" s="62" t="n">
        <f aca="false">IF(LEFT(Cockpit!$I$5,1)="A",H977,IF(Parameter!$E$30="MAX-Bestand",IF(CI977=1,CJ977,IF(LEFT(Cockpit!$I$5,1)="B",AW977,MAX(AW977,H977))),ROUNDUP(AU977,0)))</f>
        <v>5</v>
      </c>
      <c r="AR977" s="62" t="n">
        <f aca="false">IF(CA977=1,0,ROUNDUP(AQ977/BZ977,0))</f>
        <v>1</v>
      </c>
      <c r="AS977" s="64" t="n">
        <f aca="false">IF(CR977&gt;0,CR977*MAX(1,AQ977/X977),IF(CA977=1,IF(AQ977&lt;=0,0,CE977*MAX(1,IF(H977&gt;0,AQ977/H977,1))),IF(R977&gt;0,AR977/R977,0))/MAX(0.1,N(Parameter!$M$21)))</f>
        <v>0.0192307692307692</v>
      </c>
      <c r="AT977" s="62" t="n">
        <f aca="false">AS977*CC977</f>
        <v>2.98076923076923</v>
      </c>
      <c r="AU977" s="63" t="n">
        <f aca="false">IF(LEFT(Cockpit!$I$5,1)="A",H977,IF(CI977=1,(CL977+CJ977)/2,IF(LEFT(Cockpit!$I$5,1)="B",(CL977+AW977)/2,MAX((CL977+AW977)/2,H977))))</f>
        <v>5</v>
      </c>
      <c r="AV977" s="62" t="n">
        <f aca="false">AU977*G977</f>
        <v>41.65</v>
      </c>
      <c r="AW977" s="62" t="n">
        <f aca="false">ROUNDUP(CL977+MAX(CM977,2*(J977/IF(CH977&gt;0,CH977,MAX(0.1,N(Cockpit!$I$6)))-CL977)),0)</f>
        <v>10</v>
      </c>
      <c r="AX977" s="63" t="n">
        <f aca="false">IF(AT977&gt;0,J977/AT977,-1)</f>
        <v>2.68387096774194</v>
      </c>
      <c r="AY977" s="63" t="n">
        <f aca="false">IF(AND(OR(CG977="L1",CG977="L23",CG977="LIFT"),AT977&gt;0),SUMIFS($AT$7:$AT$1843,$CG$7:$CG$1843,CG977,$AX$7:$AX$1843,"&gt;"&amp;AX977)+SUMIFS($AT$7:$AT$1843,$CG$7:$CG$1843,CG977,$AX$7:$AX$1843,AX977,$BX$7:$BX$1843,"&lt;="&amp;BX977),"")</f>
        <v>6172.83974358974</v>
      </c>
      <c r="AZ977" s="70" t="n">
        <f aca="false">IF(AY977="",0,MAX(0,MIN(1,(IF(CG977="L1",Parameter!$H$5,IF(CG977="L23",Parameter!$H$6+Parameter!$H$7,Parameter!$H$5+Parameter!$H$6+Parameter!$H$7))-(AY977-AT977))/AT977)))</f>
        <v>1</v>
      </c>
      <c r="BA977" s="62" t="n">
        <f aca="false">IF(LEFT(Cockpit!$O$5,1)="A",H977,IF(Parameter!$E$30="MAX-Bestand",IF(CI977=1,CJ977,IF(LEFT(Cockpit!$O$5,1)="B",BG977,MAX(BG977,H977))),ROUNDUP(BE977,0)))</f>
        <v>5</v>
      </c>
      <c r="BB977" s="62" t="n">
        <f aca="false">IF(CA977=1,0,ROUNDUP(BA977/BZ977,0))</f>
        <v>1</v>
      </c>
      <c r="BC977" s="64" t="n">
        <f aca="false">IF(CR977&gt;0,CR977*MAX(1,BA977/X977),IF(CA977=1,IF(BA977&lt;=0,0,CE977*MAX(1,IF(H977&gt;0,BA977/H977,1))),IF(R977&gt;0,BB977/R977,0))/MAX(0.1,N(Parameter!$M$21)))</f>
        <v>0.0192307692307692</v>
      </c>
      <c r="BD977" s="62" t="n">
        <f aca="false">BC977*CC977</f>
        <v>2.98076923076923</v>
      </c>
      <c r="BE977" s="63" t="n">
        <f aca="false">IF(LEFT(Cockpit!$O$5,1)="A",H977,IF(CI977=1,(CL977+CJ977)/2,IF(LEFT(Cockpit!$O$5,1)="B",(CL977+BG977)/2,MAX((CL977+BG977)/2,H977))))</f>
        <v>5</v>
      </c>
      <c r="BF977" s="62" t="n">
        <f aca="false">BE977*G977</f>
        <v>41.65</v>
      </c>
      <c r="BG977" s="62" t="n">
        <f aca="false">ROUNDUP(CL977+MAX(CM977,2*(J977/IF(CH977&gt;0,CH977,MAX(0.1,N(Cockpit!$O$6)))-CL977)),0)</f>
        <v>10</v>
      </c>
      <c r="BH977" s="63" t="n">
        <f aca="false">IF(BD977&gt;0,J977/BD977,-1)</f>
        <v>2.68387096774194</v>
      </c>
      <c r="BI977" s="63" t="n">
        <f aca="false">IF(AND(OR(CG977="L1",CG977="L23",CG977="LIFT"),BD977&gt;0),SUMIFS($BD$7:$BD$1843,$CG$7:$CG$1843,CG977,$BH$7:$BH$1843,"&gt;"&amp;BH977)+SUMIFS($BD$7:$BD$1843,$CG$7:$CG$1843,CG977,$BH$7:$BH$1843,BH977,$BX$7:$BX$1843,"&lt;="&amp;BX977),"")</f>
        <v>5350.89423076923</v>
      </c>
      <c r="BJ977" s="70" t="n">
        <f aca="false">IF(BI977="",0,MAX(0,MIN(1,(IF(CG977="L1",Parameter!$H$5,IF(CG977="L23",Parameter!$H$6+Parameter!$H$7,Parameter!$H$5+Parameter!$H$6+Parameter!$H$7))-(BI977-BD977))/BD977)))</f>
        <v>1</v>
      </c>
      <c r="BK977" s="60" t="str">
        <f aca="false">IF(AJ977&lt;=0,"",IF(CG977="Aussen","Aussenlager",IF(CG977="-","Nicht im Lift",IF(AP977&gt;=1,"Lift",IF(AP977&lt;=0,"Aussenlager","teilweise")))))</f>
        <v>Lift</v>
      </c>
      <c r="BL977" s="60" t="str">
        <f aca="false">IF(AT977&lt;=0,"",IF(CG977="Aussen","Aussenlager",IF(CG977="-","Nicht im Lift",IF(AZ977&gt;=1,"Lift",IF(AZ977&lt;=0,"Aussenlager","teilweise")))))</f>
        <v>Lift</v>
      </c>
      <c r="BM977" s="60" t="str">
        <f aca="false">IF(BD977&lt;=0,"",IF(CG977="Aussen","Aussenlager",IF(CG977="-","Nicht im Lift",IF(BJ977&gt;=1,"Lift",IF(BJ977&lt;=0,"Aussenlager","teilweise")))))</f>
        <v>Lift</v>
      </c>
      <c r="BN977" s="60" t="str">
        <f aca="false">IF(A977="","",IF(BW977=1,"Neu; ","")&amp;IF(AND(BW977=0,BR977&lt;0),"negativer Bestand (Export "&amp;BR977&amp;"); ","")&amp;IF(J977&lt;=0,"Kein Verbrauch; ","")&amp;IF(CR977&gt;0,"Lift "&amp;W977&amp;" lt. Liftbericht (Fach "&amp;X977&amp;" Stk); ",IF(CB977=1,"Gebinde geschätzt ("&amp;T977&amp;"); ",IF(CA977=1,"Lose – Tablare geschätzt; ","")))&amp;IF(H977&gt;AW977,"Überbestand "&amp;ROUND(H977-AW977,0)&amp;" Stk / CHF "&amp;ROUND((H977-AW977)*G977,0)&amp;"; ","")&amp;IF(AND(CI977=1,CJ977&lt;CK977),"MAX &lt; MB+LG; ","")&amp;IF(AND(CQ977&gt;0,CP977*10&gt;CQ977),"zu hoch für Tablar; ","")&amp;IF(AND(BW977=0,OR(CI977=1,AB977&lt;&gt;"",U977&lt;&gt;"",V977&lt;&gt;"",AC977&lt;&gt;"")),"manuell übersteuert; ","")&amp;IF(AND(CA977=0,R977=0),"Gebinde unbekannt / Stellmass fehlt; ","")&amp;IF(AND(CA977=0,N(V977)&lt;=0,N(Q977)&lt;=0),"Menge pro Gebinde fehlt (Ist = 1 Gebinde); ","")&amp;BV977)</f>
        <v>negativer Bestand (Export -9); </v>
      </c>
      <c r="BO977" s="60"/>
      <c r="BP977" s="60"/>
      <c r="BQ977" s="67"/>
      <c r="BR977" s="62" t="n">
        <v>-9</v>
      </c>
      <c r="BS977" s="62" t="n">
        <v>12</v>
      </c>
      <c r="BT977" s="61" t="n">
        <v>-74.97</v>
      </c>
      <c r="BU977" s="62" t="n">
        <v>8</v>
      </c>
      <c r="BV977" s="60"/>
      <c r="BW977" s="65" t="n">
        <v>0</v>
      </c>
      <c r="BX977" s="65" t="n">
        <v>977</v>
      </c>
      <c r="BY977" s="60" t="str">
        <f aca="false">IF(U977&lt;&gt;"",UPPER(TRIM(U977)),IF(CB977=1,UPPER(VLOOKUP(T977,Parameter!$I$27:$K$29,2,0)),IF(P977="","LOSE",P977)))</f>
        <v>S33</v>
      </c>
      <c r="BZ977" s="62" t="n">
        <f aca="false">IF(BY977="LOSE",1,IF(N(V977)&gt;0,V977,IF(CB977=1,MAX(1,N(VLOOKUP(T977,Parameter!$I$27:$K$29,3,0)),H977,N(N977)),IF(N(Q977)&gt;0,Q977,MAX(1,H977)))))</f>
        <v>23</v>
      </c>
      <c r="CA977" s="65" t="n">
        <f aca="false">IF(BY977="LOSE",1,0)</f>
        <v>0</v>
      </c>
      <c r="CB977" s="65" t="n">
        <f aca="false">IF(AND(U977="",OR(P977="",P977="LOSE"),T977&lt;&gt;"",N(S977)&lt;=0,ISNUMBER(MATCH(T977,Parameter!$I$27:$I$29,0))),1,0)</f>
        <v>0</v>
      </c>
      <c r="CC977" s="65" t="n">
        <f aca="false">IF(CR977&gt;0,INDEX(Parameter!$H$5:$H$7,W977)/INDEX(Parameter!$E$5:$E$7,W977),IF(AND(CA977=0,N(IFERROR(VLOOKUP(BY977,'Gebinde-Kategorie'!$A$5:$N$45,14,0),0))&gt;0),VLOOKUP(BY977,'Gebinde-Kategorie'!$A$5:$N$45,14,0)*10+Parameter!$M$23,Parameter!$M$24))</f>
        <v>155</v>
      </c>
      <c r="CD977" s="60" t="str">
        <f aca="false">IF(AND(Parameter!$B$19="Ja",E977&lt;&gt;"",ISNUMBER(MATCH(E977,Parameter!$I$35:$I$52,0))),VLOOKUP(E977,Parameter!$I$35:$J$52,2,0),IFERROR(VLOOKUP(D977,Parameter!$A$35:$C$64,2,0),"Nein"))</f>
        <v>2+3</v>
      </c>
      <c r="CE977" s="64" t="n">
        <f aca="false">IF(CA977=0,0,IF(N(S977)&gt;0,S977,IFERROR(VLOOKUP(D977,Parameter!$A$35:$C$64,3,0)+0,0)))</f>
        <v>0</v>
      </c>
      <c r="CF977" s="60" t="n">
        <f aca="false">IF(AB977&lt;&gt;"",AB977,AA977)</f>
        <v>2</v>
      </c>
      <c r="CG977" s="60" t="str">
        <f aca="false">IF(OR(CF977=1,CF977=2,CF977=3),IF(Parameter!$E$27="Ja","LIFT",IF(CF977=1,"L1","L23")),IF(CF977="Aussen","Aussen","-"))</f>
        <v>LIFT</v>
      </c>
      <c r="CH977" s="71" t="n">
        <f aca="false">IF(N(AC977)&gt;0,AC977,0)</f>
        <v>0</v>
      </c>
      <c r="CI977" s="65" t="n">
        <f aca="false">IF(ISNUMBER(AF977),1,0)</f>
        <v>0</v>
      </c>
      <c r="CJ977" s="62" t="n">
        <f aca="false">N(AF977)</f>
        <v>0</v>
      </c>
      <c r="CK977" s="62" t="n">
        <f aca="false">N(M977)+N(N977)</f>
        <v>10</v>
      </c>
      <c r="CL977" s="62" t="n">
        <f aca="false">N(M977)</f>
        <v>0</v>
      </c>
      <c r="CM977" s="62" t="n">
        <f aca="false">N(N977)</f>
        <v>10</v>
      </c>
      <c r="CN977" s="62" t="n">
        <f aca="false">ROUNDUP(H977/BZ977,0)</f>
        <v>1</v>
      </c>
      <c r="CO977" s="62" t="n">
        <f aca="false">ROUNDUP(CJ977/BZ977,0)</f>
        <v>0</v>
      </c>
      <c r="CP977" s="65" t="n">
        <f aca="false">IF(CA977=1,0,IFERROR(VLOOKUP(BY977,'Gebinde-Kategorie'!$A$5:$N$45,5,0)+0,0))</f>
        <v>8</v>
      </c>
      <c r="CQ977" s="65" t="n">
        <f aca="false">IFERROR(IF(OR(CF977=1,CF977=2,CF977=3),N(INDEX(Parameter!$I$5:$I$7,CF977)),0),0)</f>
        <v>0</v>
      </c>
      <c r="CR977" s="64" t="n">
        <f aca="false">IF(AND(Parameter!$B$21="Ja",ISNUMBER(W977),N(X977)&gt;0),IFERROR(N(INDEX(Parameter!$L$5:$L$7,W977))*INDEX(Parameter!$E$5:$E$7,W977)*X977/SUMIFS($X$7:$X$1843,$W$7:$W$1843,W977),0),0)</f>
        <v>0</v>
      </c>
      <c r="CS977" s="62" t="n">
        <f aca="false">IF(AND(OR(CG977="L1",CG977="L23",CG977="LIFT"),H977&gt;0),CC977*IF(CR977&gt;0,CR977*MAX(1,H977/X977),IF(CA977=1,CE977,IF(R977&gt;0,CN977/R977,0))/MAX(0.1,N(Parameter!$M$21))),"")</f>
        <v>2.98076923076923</v>
      </c>
      <c r="CT977" s="64" t="n">
        <f aca="false">IF(CS977="","",J977/H977)</f>
        <v>2.66666666666667</v>
      </c>
      <c r="CU977" s="62" t="n">
        <f aca="false">IF(CS977="","",H977*G977)</f>
        <v>24.99</v>
      </c>
      <c r="CV977" s="63" t="n">
        <f aca="false">IF(CS977="","",(CL977+ROUNDUP(CL977+MAX(CM977,2*(J977/MAX(0.1,N(Einkauf!$C$6))-CL977)),0))/2)</f>
        <v>5</v>
      </c>
      <c r="CW977" s="62" t="n">
        <f aca="false">IF(CS977="","",MAX(0,H977-CV977)*G977)</f>
        <v>0</v>
      </c>
      <c r="CX977" s="62" t="n">
        <f aca="false">IF(CS977="","",CS977*MAX(0,1-CV977/H977))</f>
        <v>0</v>
      </c>
      <c r="CY977" s="64" t="n">
        <f aca="false">IF(CS977="","",PERCENTRANK($CS$7:$CS$1843,CS977)+PERCENTRANK($CU$7:$CU$1843,CU977)+1-PERCENTRANK($CT$7:$CT$1843,CT977))</f>
        <v>0.4404</v>
      </c>
      <c r="CZ977" s="72" t="n">
        <f aca="false">IF(CS977="","",CHOOSE(MATCH(Einkauf!$C$5,Parameter!$G$23:$G$27,0),CY977,CS977,CU977,-CT977,CW977)+ROW()/1000000000)</f>
        <v>0.440400977</v>
      </c>
    </row>
    <row r="978" customFormat="false" ht="15" hidden="false" customHeight="false" outlineLevel="0" collapsed="false">
      <c r="A978" s="60" t="s">
        <v>1853</v>
      </c>
      <c r="B978" s="60" t="s">
        <v>995</v>
      </c>
      <c r="C978" s="60" t="s">
        <v>206</v>
      </c>
      <c r="D978" s="60" t="s">
        <v>226</v>
      </c>
      <c r="E978" s="60"/>
      <c r="F978" s="60" t="s">
        <v>260</v>
      </c>
      <c r="G978" s="61" t="n">
        <v>0.63</v>
      </c>
      <c r="H978" s="62" t="n">
        <f aca="false">MAX(0,IF(AND(Parameter!$B$21="Ja",ISNUMBER(Y978)),Y978,IF(Parameter!$B$20="Jahresanfang 2025 + Export",BS978+BR978,BR978)))</f>
        <v>0</v>
      </c>
      <c r="I978" s="62" t="n">
        <f aca="false">H978*G978</f>
        <v>0</v>
      </c>
      <c r="J978" s="62" t="n">
        <f aca="false">BU978*Parameter!$B$18</f>
        <v>0</v>
      </c>
      <c r="K978" s="63" t="n">
        <v>60</v>
      </c>
      <c r="L978" s="64" t="n">
        <v>0</v>
      </c>
      <c r="M978" s="62" t="n">
        <v>0</v>
      </c>
      <c r="N978" s="62" t="n">
        <v>1</v>
      </c>
      <c r="O978" s="65" t="n">
        <v>14</v>
      </c>
      <c r="P978" s="60" t="s">
        <v>210</v>
      </c>
      <c r="Q978" s="62"/>
      <c r="R978" s="65" t="n">
        <f aca="false">IF(CA978=1,0,IFERROR(VLOOKUP(BY978,'Gebinde-Kategorie'!$A$5:$N$45,13,0)+0,0))</f>
        <v>26</v>
      </c>
      <c r="S978" s="66"/>
      <c r="T978" s="67" t="s">
        <v>317</v>
      </c>
      <c r="U978" s="67"/>
      <c r="V978" s="67"/>
      <c r="W978" s="60"/>
      <c r="X978" s="62"/>
      <c r="Y978" s="62"/>
      <c r="Z978" s="60" t="n">
        <v>3</v>
      </c>
      <c r="AA978" s="60" t="n">
        <f aca="false">IF(A978="","",IF(AND(Parameter!$B$21="Ja",ISNUMBER(W978)),W978,IF(AND(Parameter!$E$27="Ja",ISNUMBER(Z978),CD978&lt;&gt;"Nein"),Z978,IF(CD978="2+3",IF(ISNUMBER(SEARCH("grosser Artikel",BV978)),2,IFERROR(VLOOKUP(BY978,Parameter!$F$35:$G$64,2,0),2)),IF(OR(CD978="Nein",CD978=""),"-",CD978)))))</f>
        <v>3</v>
      </c>
      <c r="AB978" s="67"/>
      <c r="AC978" s="68"/>
      <c r="AD978" s="62" t="n">
        <f aca="false">AW978</f>
        <v>1</v>
      </c>
      <c r="AE978" s="62" t="n">
        <f aca="false">MAX(AW978,H978)</f>
        <v>1</v>
      </c>
      <c r="AF978" s="69"/>
      <c r="AG978" s="62" t="n">
        <f aca="false">IF(LEFT(Cockpit!$C$5,1)="A",H978,IF(Parameter!$E$30="MAX-Bestand",IF(CI978=1,CJ978,IF(LEFT(Cockpit!$C$5,1)="B",AM978,MAX(AM978,H978))),ROUNDUP(AK978,0)))</f>
        <v>0</v>
      </c>
      <c r="AH978" s="62" t="n">
        <f aca="false">IF(CA978=1,0,ROUNDUP(AG978/BZ978,0))</f>
        <v>0</v>
      </c>
      <c r="AI978" s="64" t="n">
        <f aca="false">IF(CR978&gt;0,CR978*MAX(1,AG978/X978),IF(CA978=1,IF(AG978&lt;=0,0,CE978*MAX(1,IF(H978&gt;0,AG978/H978,1))),IF(R978&gt;0,AH978/R978,0))/MAX(0.1,N(Parameter!$M$21)))</f>
        <v>0</v>
      </c>
      <c r="AJ978" s="62" t="n">
        <f aca="false">AI978*CC978</f>
        <v>0</v>
      </c>
      <c r="AK978" s="63" t="n">
        <f aca="false">IF(LEFT(Cockpit!$C$5,1)="A",H978,IF(CI978=1,(CL978+CJ978)/2,IF(LEFT(Cockpit!$C$5,1)="B",(CL978+AM978)/2,MAX((CL978+AM978)/2,H978))))</f>
        <v>0</v>
      </c>
      <c r="AL978" s="62" t="n">
        <f aca="false">AK978*G978</f>
        <v>0</v>
      </c>
      <c r="AM978" s="62" t="n">
        <f aca="false">ROUNDUP(CL978+MAX(CM978,2*(J978/IF(CH978&gt;0,CH978,MAX(0.1,N(Cockpit!$C$6)))-CL978)),0)</f>
        <v>1</v>
      </c>
      <c r="AN978" s="63" t="n">
        <f aca="false">IF(AJ978&gt;0,J978/AJ978,-1)</f>
        <v>-1</v>
      </c>
      <c r="AO978" s="63" t="str">
        <f aca="false">IF(AND(OR(CG978="L1",CG978="L23",CG978="LIFT"),AJ978&gt;0),SUMIFS($AJ$7:$AJ$1843,$CG$7:$CG$1843,CG978,$AN$7:$AN$1843,"&gt;"&amp;AN978)+SUMIFS($AJ$7:$AJ$1843,$CG$7:$CG$1843,CG978,$AN$7:$AN$1843,AN978,$BX$7:$BX$1843,"&lt;="&amp;BX978),"")</f>
        <v/>
      </c>
      <c r="AP978" s="70" t="n">
        <f aca="false">IF(AO978="",0,MAX(0,MIN(1,(IF(CG978="L1",Parameter!$H$5,IF(CG978="L23",Parameter!$H$6+Parameter!$H$7,Parameter!$H$5+Parameter!$H$6+Parameter!$H$7))-(AO978-AJ978))/AJ978)))</f>
        <v>0</v>
      </c>
      <c r="AQ978" s="62" t="n">
        <f aca="false">IF(LEFT(Cockpit!$I$5,1)="A",H978,IF(Parameter!$E$30="MAX-Bestand",IF(CI978=1,CJ978,IF(LEFT(Cockpit!$I$5,1)="B",AW978,MAX(AW978,H978))),ROUNDUP(AU978,0)))</f>
        <v>1</v>
      </c>
      <c r="AR978" s="62" t="n">
        <f aca="false">IF(CA978=1,0,ROUNDUP(AQ978/BZ978,0))</f>
        <v>1</v>
      </c>
      <c r="AS978" s="64" t="n">
        <f aca="false">IF(CR978&gt;0,CR978*MAX(1,AQ978/X978),IF(CA978=1,IF(AQ978&lt;=0,0,CE978*MAX(1,IF(H978&gt;0,AQ978/H978,1))),IF(R978&gt;0,AR978/R978,0))/MAX(0.1,N(Parameter!$M$21)))</f>
        <v>0.0384615384615385</v>
      </c>
      <c r="AT978" s="62" t="n">
        <f aca="false">AS978*CC978</f>
        <v>5.96153846153846</v>
      </c>
      <c r="AU978" s="63" t="n">
        <f aca="false">IF(LEFT(Cockpit!$I$5,1)="A",H978,IF(CI978=1,(CL978+CJ978)/2,IF(LEFT(Cockpit!$I$5,1)="B",(CL978+AW978)/2,MAX((CL978+AW978)/2,H978))))</f>
        <v>0.5</v>
      </c>
      <c r="AV978" s="62" t="n">
        <f aca="false">AU978*G978</f>
        <v>0.315</v>
      </c>
      <c r="AW978" s="62" t="n">
        <f aca="false">ROUNDUP(CL978+MAX(CM978,2*(J978/IF(CH978&gt;0,CH978,MAX(0.1,N(Cockpit!$I$6)))-CL978)),0)</f>
        <v>1</v>
      </c>
      <c r="AX978" s="63" t="n">
        <f aca="false">IF(AT978&gt;0,J978/AT978,-1)</f>
        <v>0</v>
      </c>
      <c r="AY978" s="63" t="n">
        <f aca="false">IF(AND(OR(CG978="L1",CG978="L23",CG978="LIFT"),AT978&gt;0),SUMIFS($AT$7:$AT$1843,$CG$7:$CG$1843,CG978,$AX$7:$AX$1843,"&gt;"&amp;AX978)+SUMIFS($AT$7:$AT$1843,$CG$7:$CG$1843,CG978,$AX$7:$AX$1843,AX978,$BX$7:$BX$1843,"&lt;="&amp;BX978),"")</f>
        <v>34584.1565934066</v>
      </c>
      <c r="AZ978" s="70" t="n">
        <f aca="false">IF(AY978="",0,MAX(0,MIN(1,(IF(CG978="L1",Parameter!$H$5,IF(CG978="L23",Parameter!$H$6+Parameter!$H$7,Parameter!$H$5+Parameter!$H$6+Parameter!$H$7))-(AY978-AT978))/AT978)))</f>
        <v>1</v>
      </c>
      <c r="BA978" s="62" t="n">
        <f aca="false">IF(LEFT(Cockpit!$O$5,1)="A",H978,IF(Parameter!$E$30="MAX-Bestand",IF(CI978=1,CJ978,IF(LEFT(Cockpit!$O$5,1)="B",BG978,MAX(BG978,H978))),ROUNDUP(BE978,0)))</f>
        <v>1</v>
      </c>
      <c r="BB978" s="62" t="n">
        <f aca="false">IF(CA978=1,0,ROUNDUP(BA978/BZ978,0))</f>
        <v>1</v>
      </c>
      <c r="BC978" s="64" t="n">
        <f aca="false">IF(CR978&gt;0,CR978*MAX(1,BA978/X978),IF(CA978=1,IF(BA978&lt;=0,0,CE978*MAX(1,IF(H978&gt;0,BA978/H978,1))),IF(R978&gt;0,BB978/R978,0))/MAX(0.1,N(Parameter!$M$21)))</f>
        <v>0.0384615384615385</v>
      </c>
      <c r="BD978" s="62" t="n">
        <f aca="false">BC978*CC978</f>
        <v>5.96153846153846</v>
      </c>
      <c r="BE978" s="63" t="n">
        <f aca="false">IF(LEFT(Cockpit!$O$5,1)="A",H978,IF(CI978=1,(CL978+CJ978)/2,IF(LEFT(Cockpit!$O$5,1)="B",(CL978+BG978)/2,MAX((CL978+BG978)/2,H978))))</f>
        <v>0.5</v>
      </c>
      <c r="BF978" s="62" t="n">
        <f aca="false">BE978*G978</f>
        <v>0.315</v>
      </c>
      <c r="BG978" s="62" t="n">
        <f aca="false">ROUNDUP(CL978+MAX(CM978,2*(J978/IF(CH978&gt;0,CH978,MAX(0.1,N(Cockpit!$O$6)))-CL978)),0)</f>
        <v>1</v>
      </c>
      <c r="BH978" s="63" t="n">
        <f aca="false">IF(BD978&gt;0,J978/BD978,-1)</f>
        <v>0</v>
      </c>
      <c r="BI978" s="63" t="n">
        <f aca="false">IF(AND(OR(CG978="L1",CG978="L23",CG978="LIFT"),BD978&gt;0),SUMIFS($BD$7:$BD$1843,$CG$7:$CG$1843,CG978,$BH$7:$BH$1843,"&gt;"&amp;BH978)+SUMIFS($BD$7:$BD$1843,$CG$7:$CG$1843,CG978,$BH$7:$BH$1843,BH978,$BX$7:$BX$1843,"&lt;="&amp;BX978),"")</f>
        <v>28614.6555612467</v>
      </c>
      <c r="BJ978" s="70" t="n">
        <f aca="false">IF(BI978="",0,MAX(0,MIN(1,(IF(CG978="L1",Parameter!$H$5,IF(CG978="L23",Parameter!$H$6+Parameter!$H$7,Parameter!$H$5+Parameter!$H$6+Parameter!$H$7))-(BI978-BD978))/BD978)))</f>
        <v>1</v>
      </c>
      <c r="BK978" s="60" t="str">
        <f aca="false">IF(AJ978&lt;=0,"",IF(CG978="Aussen","Aussenlager",IF(CG978="-","Nicht im Lift",IF(AP978&gt;=1,"Lift",IF(AP978&lt;=0,"Aussenlager","teilweise")))))</f>
        <v/>
      </c>
      <c r="BL978" s="60" t="str">
        <f aca="false">IF(AT978&lt;=0,"",IF(CG978="Aussen","Aussenlager",IF(CG978="-","Nicht im Lift",IF(AZ978&gt;=1,"Lift",IF(AZ978&lt;=0,"Aussenlager","teilweise")))))</f>
        <v>Lift</v>
      </c>
      <c r="BM978" s="60" t="str">
        <f aca="false">IF(BD978&lt;=0,"",IF(CG978="Aussen","Aussenlager",IF(CG978="-","Nicht im Lift",IF(BJ978&gt;=1,"Lift",IF(BJ978&lt;=0,"Aussenlager","teilweise")))))</f>
        <v>Lift</v>
      </c>
      <c r="BN978" s="60" t="str">
        <f aca="false">IF(A978="","",IF(BW978=1,"Neu; ","")&amp;IF(AND(BW978=0,BR978&lt;0),"negativer Bestand (Export "&amp;BR978&amp;"); ","")&amp;IF(J978&lt;=0,"Kein Verbrauch; ","")&amp;IF(CR978&gt;0,"Lift "&amp;W978&amp;" lt. Liftbericht (Fach "&amp;X978&amp;" Stk); ",IF(CB978=1,"Gebinde geschätzt ("&amp;T978&amp;"); ",IF(CA978=1,"Lose – Tablare geschätzt; ","")))&amp;IF(H978&gt;AW978,"Überbestand "&amp;ROUND(H978-AW978,0)&amp;" Stk / CHF "&amp;ROUND((H978-AW978)*G978,0)&amp;"; ","")&amp;IF(AND(CI978=1,CJ978&lt;CK978),"MAX &lt; MB+LG; ","")&amp;IF(AND(CQ978&gt;0,CP978*10&gt;CQ978),"zu hoch für Tablar; ","")&amp;IF(AND(BW978=0,OR(CI978=1,AB978&lt;&gt;"",U978&lt;&gt;"",V978&lt;&gt;"",AC978&lt;&gt;"")),"manuell übersteuert; ","")&amp;IF(AND(CA978=0,R978=0),"Gebinde unbekannt / Stellmass fehlt; ","")&amp;IF(AND(CA978=0,N(V978)&lt;=0,N(Q978)&lt;=0),"Menge pro Gebinde fehlt (Ist = 1 Gebinde); ","")&amp;BV978)</f>
        <v>negativer Bestand (Export -120); Kein Verbrauch; Gebinde geschätzt (Klein); Menge pro Gebinde fehlt (Ist = 1 Gebinde); </v>
      </c>
      <c r="BO978" s="60"/>
      <c r="BP978" s="60"/>
      <c r="BQ978" s="67"/>
      <c r="BR978" s="62" t="n">
        <v>-120</v>
      </c>
      <c r="BS978" s="62" t="n">
        <v>120</v>
      </c>
      <c r="BT978" s="61" t="n">
        <v>-75.6</v>
      </c>
      <c r="BU978" s="62" t="n">
        <v>0</v>
      </c>
      <c r="BV978" s="60"/>
      <c r="BW978" s="65" t="n">
        <v>0</v>
      </c>
      <c r="BX978" s="65" t="n">
        <v>978</v>
      </c>
      <c r="BY978" s="60" t="str">
        <f aca="false">IF(U978&lt;&gt;"",UPPER(TRIM(U978)),IF(CB978=1,UPPER(VLOOKUP(T978,Parameter!$I$27:$K$29,2,0)),IF(P978="","LOSE",P978)))</f>
        <v>S51</v>
      </c>
      <c r="BZ978" s="62" t="n">
        <f aca="false">IF(BY978="LOSE",1,IF(N(V978)&gt;0,V978,IF(CB978=1,MAX(1,N(VLOOKUP(T978,Parameter!$I$27:$K$29,3,0)),H978,N(N978)),IF(N(Q978)&gt;0,Q978,MAX(1,H978)))))</f>
        <v>20</v>
      </c>
      <c r="CA978" s="65" t="n">
        <f aca="false">IF(BY978="LOSE",1,0)</f>
        <v>0</v>
      </c>
      <c r="CB978" s="65" t="n">
        <f aca="false">IF(AND(U978="",OR(P978="",P978="LOSE"),T978&lt;&gt;"",N(S978)&lt;=0,ISNUMBER(MATCH(T978,Parameter!$I$27:$I$29,0))),1,0)</f>
        <v>1</v>
      </c>
      <c r="CC978" s="65" t="n">
        <f aca="false">IF(CR978&gt;0,INDEX(Parameter!$H$5:$H$7,W978)/INDEX(Parameter!$E$5:$E$7,W978),IF(AND(CA978=0,N(IFERROR(VLOOKUP(BY978,'Gebinde-Kategorie'!$A$5:$N$45,14,0),0))&gt;0),VLOOKUP(BY978,'Gebinde-Kategorie'!$A$5:$N$45,14,0)*10+Parameter!$M$23,Parameter!$M$24))</f>
        <v>155</v>
      </c>
      <c r="CD978" s="60" t="str">
        <f aca="false">IF(AND(Parameter!$B$19="Ja",E978&lt;&gt;"",ISNUMBER(MATCH(E978,Parameter!$I$35:$I$52,0))),VLOOKUP(E978,Parameter!$I$35:$J$52,2,0),IFERROR(VLOOKUP(D978,Parameter!$A$35:$C$64,2,0),"Nein"))</f>
        <v>2+3</v>
      </c>
      <c r="CE978" s="64" t="n">
        <f aca="false">IF(CA978=0,0,IF(N(S978)&gt;0,S978,IFERROR(VLOOKUP(D978,Parameter!$A$35:$C$64,3,0)+0,0)))</f>
        <v>0</v>
      </c>
      <c r="CF978" s="60" t="n">
        <f aca="false">IF(AB978&lt;&gt;"",AB978,AA978)</f>
        <v>3</v>
      </c>
      <c r="CG978" s="60" t="str">
        <f aca="false">IF(OR(CF978=1,CF978=2,CF978=3),IF(Parameter!$E$27="Ja","LIFT",IF(CF978=1,"L1","L23")),IF(CF978="Aussen","Aussen","-"))</f>
        <v>LIFT</v>
      </c>
      <c r="CH978" s="71" t="n">
        <f aca="false">IF(N(AC978)&gt;0,AC978,0)</f>
        <v>0</v>
      </c>
      <c r="CI978" s="65" t="n">
        <f aca="false">IF(ISNUMBER(AF978),1,0)</f>
        <v>0</v>
      </c>
      <c r="CJ978" s="62" t="n">
        <f aca="false">N(AF978)</f>
        <v>0</v>
      </c>
      <c r="CK978" s="62" t="n">
        <f aca="false">N(M978)+N(N978)</f>
        <v>1</v>
      </c>
      <c r="CL978" s="62" t="n">
        <f aca="false">N(M978)</f>
        <v>0</v>
      </c>
      <c r="CM978" s="62" t="n">
        <f aca="false">N(N978)</f>
        <v>1</v>
      </c>
      <c r="CN978" s="62" t="n">
        <f aca="false">ROUNDUP(H978/BZ978,0)</f>
        <v>0</v>
      </c>
      <c r="CO978" s="62" t="n">
        <f aca="false">ROUNDUP(CJ978/BZ978,0)</f>
        <v>0</v>
      </c>
      <c r="CP978" s="65" t="n">
        <f aca="false">IF(CA978=1,0,IFERROR(VLOOKUP(BY978,'Gebinde-Kategorie'!$A$5:$N$45,5,0)+0,0))</f>
        <v>11</v>
      </c>
      <c r="CQ978" s="65" t="n">
        <f aca="false">IFERROR(IF(OR(CF978=1,CF978=2,CF978=3),N(INDEX(Parameter!$I$5:$I$7,CF978)),0),0)</f>
        <v>0</v>
      </c>
      <c r="CR978" s="64" t="n">
        <f aca="false">IF(AND(Parameter!$B$21="Ja",ISNUMBER(W978),N(X978)&gt;0),IFERROR(N(INDEX(Parameter!$L$5:$L$7,W978))*INDEX(Parameter!$E$5:$E$7,W978)*X978/SUMIFS($X$7:$X$1843,$W$7:$W$1843,W978),0),0)</f>
        <v>0</v>
      </c>
      <c r="CS978" s="62" t="str">
        <f aca="false">IF(AND(OR(CG978="L1",CG978="L23",CG978="LIFT"),H978&gt;0),CC978*IF(CR978&gt;0,CR978*MAX(1,H978/X978),IF(CA978=1,CE978,IF(R978&gt;0,CN978/R978,0))/MAX(0.1,N(Parameter!$M$21))),"")</f>
        <v/>
      </c>
      <c r="CT978" s="64" t="str">
        <f aca="false">IF(CS978="","",J978/H978)</f>
        <v/>
      </c>
      <c r="CU978" s="62" t="str">
        <f aca="false">IF(CS978="","",H978*G978)</f>
        <v/>
      </c>
      <c r="CV978" s="63" t="str">
        <f aca="false">IF(CS978="","",(CL978+ROUNDUP(CL978+MAX(CM978,2*(J978/MAX(0.1,N(Einkauf!$C$6))-CL978)),0))/2)</f>
        <v/>
      </c>
      <c r="CW978" s="62" t="str">
        <f aca="false">IF(CS978="","",MAX(0,H978-CV978)*G978)</f>
        <v/>
      </c>
      <c r="CX978" s="62" t="str">
        <f aca="false">IF(CS978="","",CS978*MAX(0,1-CV978/H978))</f>
        <v/>
      </c>
      <c r="CY978" s="64" t="str">
        <f aca="false">IF(CS978="","",PERCENTRANK($CS$7:$CS$1843,CS978)+PERCENTRANK($CU$7:$CU$1843,CU978)+1-PERCENTRANK($CT$7:$CT$1843,CT978))</f>
        <v/>
      </c>
      <c r="CZ978" s="72" t="str">
        <f aca="false">IF(CS978="","",CHOOSE(MATCH(Einkauf!$C$5,Parameter!$G$23:$G$27,0),CY978,CS978,CU978,-CT978,CW978)+ROW()/1000000000)</f>
        <v/>
      </c>
    </row>
    <row r="979" customFormat="false" ht="15" hidden="false" customHeight="false" outlineLevel="0" collapsed="false">
      <c r="A979" s="60" t="s">
        <v>1854</v>
      </c>
      <c r="B979" s="60" t="s">
        <v>1855</v>
      </c>
      <c r="C979" s="60" t="s">
        <v>206</v>
      </c>
      <c r="D979" s="60" t="s">
        <v>226</v>
      </c>
      <c r="E979" s="60"/>
      <c r="F979" s="60" t="s">
        <v>260</v>
      </c>
      <c r="G979" s="61" t="n">
        <v>37.82</v>
      </c>
      <c r="H979" s="62" t="n">
        <f aca="false">MAX(0,IF(AND(Parameter!$B$21="Ja",ISNUMBER(Y979)),Y979,IF(Parameter!$B$20="Jahresanfang 2025 + Export",BS979+BR979,BR979)))</f>
        <v>3</v>
      </c>
      <c r="I979" s="62" t="n">
        <f aca="false">H979*G979</f>
        <v>113.46</v>
      </c>
      <c r="J979" s="62" t="n">
        <f aca="false">BU979*Parameter!$B$18</f>
        <v>3</v>
      </c>
      <c r="K979" s="63" t="n">
        <v>3.5</v>
      </c>
      <c r="L979" s="64" t="n">
        <v>0.857142857142857</v>
      </c>
      <c r="M979" s="62" t="n">
        <v>0</v>
      </c>
      <c r="N979" s="62" t="n">
        <v>5</v>
      </c>
      <c r="O979" s="65" t="n">
        <v>70</v>
      </c>
      <c r="P979" s="60" t="s">
        <v>370</v>
      </c>
      <c r="Q979" s="62" t="n">
        <v>5</v>
      </c>
      <c r="R979" s="65" t="n">
        <f aca="false">IF(CA979=1,0,IFERROR(VLOOKUP(BY979,'Gebinde-Kategorie'!$A$5:$N$45,13,0)+0,0))</f>
        <v>52</v>
      </c>
      <c r="S979" s="66"/>
      <c r="T979" s="67"/>
      <c r="U979" s="67"/>
      <c r="V979" s="67"/>
      <c r="W979" s="60"/>
      <c r="X979" s="62"/>
      <c r="Y979" s="62"/>
      <c r="Z979" s="60" t="n">
        <v>2</v>
      </c>
      <c r="AA979" s="60" t="n">
        <f aca="false">IF(A979="","",IF(AND(Parameter!$B$21="Ja",ISNUMBER(W979)),W979,IF(AND(Parameter!$E$27="Ja",ISNUMBER(Z979),CD979&lt;&gt;"Nein"),Z979,IF(CD979="2+3",IF(ISNUMBER(SEARCH("grosser Artikel",BV979)),2,IFERROR(VLOOKUP(BY979,Parameter!$F$35:$G$64,2,0),2)),IF(OR(CD979="Nein",CD979=""),"-",CD979)))))</f>
        <v>2</v>
      </c>
      <c r="AB979" s="67"/>
      <c r="AC979" s="68"/>
      <c r="AD979" s="62" t="n">
        <f aca="false">AW979</f>
        <v>5</v>
      </c>
      <c r="AE979" s="62" t="n">
        <f aca="false">MAX(AW979,H979)</f>
        <v>5</v>
      </c>
      <c r="AF979" s="69"/>
      <c r="AG979" s="62" t="n">
        <f aca="false">IF(LEFT(Cockpit!$C$5,1)="A",H979,IF(Parameter!$E$30="MAX-Bestand",IF(CI979=1,CJ979,IF(LEFT(Cockpit!$C$5,1)="B",AM979,MAX(AM979,H979))),ROUNDUP(AK979,0)))</f>
        <v>3</v>
      </c>
      <c r="AH979" s="62" t="n">
        <f aca="false">IF(CA979=1,0,ROUNDUP(AG979/BZ979,0))</f>
        <v>1</v>
      </c>
      <c r="AI979" s="64" t="n">
        <f aca="false">IF(CR979&gt;0,CR979*MAX(1,AG979/X979),IF(CA979=1,IF(AG979&lt;=0,0,CE979*MAX(1,IF(H979&gt;0,AG979/H979,1))),IF(R979&gt;0,AH979/R979,0))/MAX(0.1,N(Parameter!$M$21)))</f>
        <v>0.0192307692307692</v>
      </c>
      <c r="AJ979" s="62" t="n">
        <f aca="false">AI979*CC979</f>
        <v>2.98076923076923</v>
      </c>
      <c r="AK979" s="63" t="n">
        <f aca="false">IF(LEFT(Cockpit!$C$5,1)="A",H979,IF(CI979=1,(CL979+CJ979)/2,IF(LEFT(Cockpit!$C$5,1)="B",(CL979+AM979)/2,MAX((CL979+AM979)/2,H979))))</f>
        <v>3</v>
      </c>
      <c r="AL979" s="62" t="n">
        <f aca="false">AK979*G979</f>
        <v>113.46</v>
      </c>
      <c r="AM979" s="62" t="n">
        <f aca="false">ROUNDUP(CL979+MAX(CM979,2*(J979/IF(CH979&gt;0,CH979,MAX(0.1,N(Cockpit!$C$6)))-CL979)),0)</f>
        <v>5</v>
      </c>
      <c r="AN979" s="63" t="n">
        <f aca="false">IF(AJ979&gt;0,J979/AJ979,-1)</f>
        <v>1.00645161290323</v>
      </c>
      <c r="AO979" s="63" t="n">
        <f aca="false">IF(AND(OR(CG979="L1",CG979="L23",CG979="LIFT"),AJ979&gt;0),SUMIFS($AJ$7:$AJ$1843,$CG$7:$CG$1843,CG979,$AN$7:$AN$1843,"&gt;"&amp;AN979)+SUMIFS($AJ$7:$AJ$1843,$CG$7:$CG$1843,CG979,$AN$7:$AN$1843,AN979,$BX$7:$BX$1843,"&lt;="&amp;BX979),"")</f>
        <v>7041.50045787546</v>
      </c>
      <c r="AP979" s="70" t="n">
        <f aca="false">IF(AO979="",0,MAX(0,MIN(1,(IF(CG979="L1",Parameter!$H$5,IF(CG979="L23",Parameter!$H$6+Parameter!$H$7,Parameter!$H$5+Parameter!$H$6+Parameter!$H$7))-(AO979-AJ979))/AJ979)))</f>
        <v>1</v>
      </c>
      <c r="AQ979" s="62" t="n">
        <f aca="false">IF(LEFT(Cockpit!$I$5,1)="A",H979,IF(Parameter!$E$30="MAX-Bestand",IF(CI979=1,CJ979,IF(LEFT(Cockpit!$I$5,1)="B",AW979,MAX(AW979,H979))),ROUNDUP(AU979,0)))</f>
        <v>3</v>
      </c>
      <c r="AR979" s="62" t="n">
        <f aca="false">IF(CA979=1,0,ROUNDUP(AQ979/BZ979,0))</f>
        <v>1</v>
      </c>
      <c r="AS979" s="64" t="n">
        <f aca="false">IF(CR979&gt;0,CR979*MAX(1,AQ979/X979),IF(CA979=1,IF(AQ979&lt;=0,0,CE979*MAX(1,IF(H979&gt;0,AQ979/H979,1))),IF(R979&gt;0,AR979/R979,0))/MAX(0.1,N(Parameter!$M$21)))</f>
        <v>0.0192307692307692</v>
      </c>
      <c r="AT979" s="62" t="n">
        <f aca="false">AS979*CC979</f>
        <v>2.98076923076923</v>
      </c>
      <c r="AU979" s="63" t="n">
        <f aca="false">IF(LEFT(Cockpit!$I$5,1)="A",H979,IF(CI979=1,(CL979+CJ979)/2,IF(LEFT(Cockpit!$I$5,1)="B",(CL979+AW979)/2,MAX((CL979+AW979)/2,H979))))</f>
        <v>3</v>
      </c>
      <c r="AV979" s="62" t="n">
        <f aca="false">AU979*G979</f>
        <v>113.46</v>
      </c>
      <c r="AW979" s="62" t="n">
        <f aca="false">ROUNDUP(CL979+MAX(CM979,2*(J979/IF(CH979&gt;0,CH979,MAX(0.1,N(Cockpit!$I$6)))-CL979)),0)</f>
        <v>5</v>
      </c>
      <c r="AX979" s="63" t="n">
        <f aca="false">IF(AT979&gt;0,J979/AT979,-1)</f>
        <v>1.00645161290323</v>
      </c>
      <c r="AY979" s="63" t="n">
        <f aca="false">IF(AND(OR(CG979="L1",CG979="L23",CG979="LIFT"),AT979&gt;0),SUMIFS($AT$7:$AT$1843,$CG$7:$CG$1843,CG979,$AX$7:$AX$1843,"&gt;"&amp;AX979)+SUMIFS($AT$7:$AT$1843,$CG$7:$CG$1843,CG979,$AX$7:$AX$1843,AX979,$BX$7:$BX$1843,"&lt;="&amp;BX979),"")</f>
        <v>8413.18406593407</v>
      </c>
      <c r="AZ979" s="70" t="n">
        <f aca="false">IF(AY979="",0,MAX(0,MIN(1,(IF(CG979="L1",Parameter!$H$5,IF(CG979="L23",Parameter!$H$6+Parameter!$H$7,Parameter!$H$5+Parameter!$H$6+Parameter!$H$7))-(AY979-AT979))/AT979)))</f>
        <v>1</v>
      </c>
      <c r="BA979" s="62" t="n">
        <f aca="false">IF(LEFT(Cockpit!$O$5,1)="A",H979,IF(Parameter!$E$30="MAX-Bestand",IF(CI979=1,CJ979,IF(LEFT(Cockpit!$O$5,1)="B",BG979,MAX(BG979,H979))),ROUNDUP(BE979,0)))</f>
        <v>3</v>
      </c>
      <c r="BB979" s="62" t="n">
        <f aca="false">IF(CA979=1,0,ROUNDUP(BA979/BZ979,0))</f>
        <v>1</v>
      </c>
      <c r="BC979" s="64" t="n">
        <f aca="false">IF(CR979&gt;0,CR979*MAX(1,BA979/X979),IF(CA979=1,IF(BA979&lt;=0,0,CE979*MAX(1,IF(H979&gt;0,BA979/H979,1))),IF(R979&gt;0,BB979/R979,0))/MAX(0.1,N(Parameter!$M$21)))</f>
        <v>0.0192307692307692</v>
      </c>
      <c r="BD979" s="62" t="n">
        <f aca="false">BC979*CC979</f>
        <v>2.98076923076923</v>
      </c>
      <c r="BE979" s="63" t="n">
        <f aca="false">IF(LEFT(Cockpit!$O$5,1)="A",H979,IF(CI979=1,(CL979+CJ979)/2,IF(LEFT(Cockpit!$O$5,1)="B",(CL979+BG979)/2,MAX((CL979+BG979)/2,H979))))</f>
        <v>2.5</v>
      </c>
      <c r="BF979" s="62" t="n">
        <f aca="false">BE979*G979</f>
        <v>94.55</v>
      </c>
      <c r="BG979" s="62" t="n">
        <f aca="false">ROUNDUP(CL979+MAX(CM979,2*(J979/IF(CH979&gt;0,CH979,MAX(0.1,N(Cockpit!$O$6)))-CL979)),0)</f>
        <v>5</v>
      </c>
      <c r="BH979" s="63" t="n">
        <f aca="false">IF(BD979&gt;0,J979/BD979,-1)</f>
        <v>1.00645161290323</v>
      </c>
      <c r="BI979" s="63" t="n">
        <f aca="false">IF(AND(OR(CG979="L1",CG979="L23",CG979="LIFT"),BD979&gt;0),SUMIFS($BD$7:$BD$1843,$CG$7:$CG$1843,CG979,$BH$7:$BH$1843,"&gt;"&amp;BH979)+SUMIFS($BD$7:$BD$1843,$CG$7:$CG$1843,CG979,$BH$7:$BH$1843,BH979,$BX$7:$BX$1843,"&lt;="&amp;BX979),"")</f>
        <v>7651.29716117216</v>
      </c>
      <c r="BJ979" s="70" t="n">
        <f aca="false">IF(BI979="",0,MAX(0,MIN(1,(IF(CG979="L1",Parameter!$H$5,IF(CG979="L23",Parameter!$H$6+Parameter!$H$7,Parameter!$H$5+Parameter!$H$6+Parameter!$H$7))-(BI979-BD979))/BD979)))</f>
        <v>1</v>
      </c>
      <c r="BK979" s="60" t="str">
        <f aca="false">IF(AJ979&lt;=0,"",IF(CG979="Aussen","Aussenlager",IF(CG979="-","Nicht im Lift",IF(AP979&gt;=1,"Lift",IF(AP979&lt;=0,"Aussenlager","teilweise")))))</f>
        <v>Lift</v>
      </c>
      <c r="BL979" s="60" t="str">
        <f aca="false">IF(AT979&lt;=0,"",IF(CG979="Aussen","Aussenlager",IF(CG979="-","Nicht im Lift",IF(AZ979&gt;=1,"Lift",IF(AZ979&lt;=0,"Aussenlager","teilweise")))))</f>
        <v>Lift</v>
      </c>
      <c r="BM979" s="60" t="str">
        <f aca="false">IF(BD979&lt;=0,"",IF(CG979="Aussen","Aussenlager",IF(CG979="-","Nicht im Lift",IF(BJ979&gt;=1,"Lift",IF(BJ979&lt;=0,"Aussenlager","teilweise")))))</f>
        <v>Lift</v>
      </c>
      <c r="BN979" s="60" t="str">
        <f aca="false">IF(A979="","",IF(BW979=1,"Neu; ","")&amp;IF(AND(BW979=0,BR979&lt;0),"negativer Bestand (Export "&amp;BR979&amp;"); ","")&amp;IF(J979&lt;=0,"Kein Verbrauch; ","")&amp;IF(CR979&gt;0,"Lift "&amp;W979&amp;" lt. Liftbericht (Fach "&amp;X979&amp;" Stk); ",IF(CB979=1,"Gebinde geschätzt ("&amp;T979&amp;"); ",IF(CA979=1,"Lose – Tablare geschätzt; ","")))&amp;IF(H979&gt;AW979,"Überbestand "&amp;ROUND(H979-AW979,0)&amp;" Stk / CHF "&amp;ROUND((H979-AW979)*G979,0)&amp;"; ","")&amp;IF(AND(CI979=1,CJ979&lt;CK979),"MAX &lt; MB+LG; ","")&amp;IF(AND(CQ979&gt;0,CP979*10&gt;CQ979),"zu hoch für Tablar; ","")&amp;IF(AND(BW979=0,OR(CI979=1,AB979&lt;&gt;"",U979&lt;&gt;"",V979&lt;&gt;"",AC979&lt;&gt;"")),"manuell übersteuert; ","")&amp;IF(AND(CA979=0,R979=0),"Gebinde unbekannt / Stellmass fehlt; ","")&amp;IF(AND(CA979=0,N(V979)&lt;=0,N(Q979)&lt;=0),"Menge pro Gebinde fehlt (Ist = 1 Gebinde); ","")&amp;BV979)</f>
        <v>negativer Bestand (Export -2); Überbestand</v>
      </c>
      <c r="BO979" s="60"/>
      <c r="BP979" s="60"/>
      <c r="BQ979" s="67"/>
      <c r="BR979" s="62" t="n">
        <v>-2</v>
      </c>
      <c r="BS979" s="62" t="n">
        <v>5</v>
      </c>
      <c r="BT979" s="61" t="n">
        <v>-75.64</v>
      </c>
      <c r="BU979" s="62" t="n">
        <v>3</v>
      </c>
      <c r="BV979" s="60" t="s">
        <v>434</v>
      </c>
      <c r="BW979" s="65" t="n">
        <v>0</v>
      </c>
      <c r="BX979" s="65" t="n">
        <v>979</v>
      </c>
      <c r="BY979" s="60" t="str">
        <f aca="false">IF(U979&lt;&gt;"",UPPER(TRIM(U979)),IF(CB979=1,UPPER(VLOOKUP(T979,Parameter!$I$27:$K$29,2,0)),IF(P979="","LOSE",P979)))</f>
        <v>S41</v>
      </c>
      <c r="BZ979" s="62" t="n">
        <f aca="false">IF(BY979="LOSE",1,IF(N(V979)&gt;0,V979,IF(CB979=1,MAX(1,N(VLOOKUP(T979,Parameter!$I$27:$K$29,3,0)),H979,N(N979)),IF(N(Q979)&gt;0,Q979,MAX(1,H979)))))</f>
        <v>5</v>
      </c>
      <c r="CA979" s="65" t="n">
        <f aca="false">IF(BY979="LOSE",1,0)</f>
        <v>0</v>
      </c>
      <c r="CB979" s="65" t="n">
        <f aca="false">IF(AND(U979="",OR(P979="",P979="LOSE"),T979&lt;&gt;"",N(S979)&lt;=0,ISNUMBER(MATCH(T979,Parameter!$I$27:$I$29,0))),1,0)</f>
        <v>0</v>
      </c>
      <c r="CC979" s="65" t="n">
        <f aca="false">IF(CR979&gt;0,INDEX(Parameter!$H$5:$H$7,W979)/INDEX(Parameter!$E$5:$E$7,W979),IF(AND(CA979=0,N(IFERROR(VLOOKUP(BY979,'Gebinde-Kategorie'!$A$5:$N$45,14,0),0))&gt;0),VLOOKUP(BY979,'Gebinde-Kategorie'!$A$5:$N$45,14,0)*10+Parameter!$M$23,Parameter!$M$24))</f>
        <v>155</v>
      </c>
      <c r="CD979" s="60" t="str">
        <f aca="false">IF(AND(Parameter!$B$19="Ja",E979&lt;&gt;"",ISNUMBER(MATCH(E979,Parameter!$I$35:$I$52,0))),VLOOKUP(E979,Parameter!$I$35:$J$52,2,0),IFERROR(VLOOKUP(D979,Parameter!$A$35:$C$64,2,0),"Nein"))</f>
        <v>2+3</v>
      </c>
      <c r="CE979" s="64" t="n">
        <f aca="false">IF(CA979=0,0,IF(N(S979)&gt;0,S979,IFERROR(VLOOKUP(D979,Parameter!$A$35:$C$64,3,0)+0,0)))</f>
        <v>0</v>
      </c>
      <c r="CF979" s="60" t="n">
        <f aca="false">IF(AB979&lt;&gt;"",AB979,AA979)</f>
        <v>2</v>
      </c>
      <c r="CG979" s="60" t="str">
        <f aca="false">IF(OR(CF979=1,CF979=2,CF979=3),IF(Parameter!$E$27="Ja","LIFT",IF(CF979=1,"L1","L23")),IF(CF979="Aussen","Aussen","-"))</f>
        <v>LIFT</v>
      </c>
      <c r="CH979" s="71" t="n">
        <f aca="false">IF(N(AC979)&gt;0,AC979,0)</f>
        <v>0</v>
      </c>
      <c r="CI979" s="65" t="n">
        <f aca="false">IF(ISNUMBER(AF979),1,0)</f>
        <v>0</v>
      </c>
      <c r="CJ979" s="62" t="n">
        <f aca="false">N(AF979)</f>
        <v>0</v>
      </c>
      <c r="CK979" s="62" t="n">
        <f aca="false">N(M979)+N(N979)</f>
        <v>5</v>
      </c>
      <c r="CL979" s="62" t="n">
        <f aca="false">N(M979)</f>
        <v>0</v>
      </c>
      <c r="CM979" s="62" t="n">
        <f aca="false">N(N979)</f>
        <v>5</v>
      </c>
      <c r="CN979" s="62" t="n">
        <f aca="false">ROUNDUP(H979/BZ979,0)</f>
        <v>1</v>
      </c>
      <c r="CO979" s="62" t="n">
        <f aca="false">ROUNDUP(CJ979/BZ979,0)</f>
        <v>0</v>
      </c>
      <c r="CP979" s="65" t="n">
        <f aca="false">IF(CA979=1,0,IFERROR(VLOOKUP(BY979,'Gebinde-Kategorie'!$A$5:$N$45,5,0)+0,0))</f>
        <v>11</v>
      </c>
      <c r="CQ979" s="65" t="n">
        <f aca="false">IFERROR(IF(OR(CF979=1,CF979=2,CF979=3),N(INDEX(Parameter!$I$5:$I$7,CF979)),0),0)</f>
        <v>0</v>
      </c>
      <c r="CR979" s="64" t="n">
        <f aca="false">IF(AND(Parameter!$B$21="Ja",ISNUMBER(W979),N(X979)&gt;0),IFERROR(N(INDEX(Parameter!$L$5:$L$7,W979))*INDEX(Parameter!$E$5:$E$7,W979)*X979/SUMIFS($X$7:$X$1843,$W$7:$W$1843,W979),0),0)</f>
        <v>0</v>
      </c>
      <c r="CS979" s="62" t="n">
        <f aca="false">IF(AND(OR(CG979="L1",CG979="L23",CG979="LIFT"),H979&gt;0),CC979*IF(CR979&gt;0,CR979*MAX(1,H979/X979),IF(CA979=1,CE979,IF(R979&gt;0,CN979/R979,0))/MAX(0.1,N(Parameter!$M$21))),"")</f>
        <v>2.98076923076923</v>
      </c>
      <c r="CT979" s="64" t="n">
        <f aca="false">IF(CS979="","",J979/H979)</f>
        <v>1</v>
      </c>
      <c r="CU979" s="62" t="n">
        <f aca="false">IF(CS979="","",H979*G979)</f>
        <v>113.46</v>
      </c>
      <c r="CV979" s="63" t="n">
        <f aca="false">IF(CS979="","",(CL979+ROUNDUP(CL979+MAX(CM979,2*(J979/MAX(0.1,N(Einkauf!$C$6))-CL979)),0))/2)</f>
        <v>2.5</v>
      </c>
      <c r="CW979" s="62" t="n">
        <f aca="false">IF(CS979="","",MAX(0,H979-CV979)*G979)</f>
        <v>18.91</v>
      </c>
      <c r="CX979" s="62" t="n">
        <f aca="false">IF(CS979="","",CS979*MAX(0,1-CV979/H979))</f>
        <v>0.496794871794872</v>
      </c>
      <c r="CY979" s="64" t="n">
        <f aca="false">IF(CS979="","",PERCENTRANK($CS$7:$CS$1843,CS979)+PERCENTRANK($CU$7:$CU$1843,CU979)+1-PERCENTRANK($CT$7:$CT$1843,CT979))</f>
        <v>0.827</v>
      </c>
      <c r="CZ979" s="72" t="n">
        <f aca="false">IF(CS979="","",CHOOSE(MATCH(Einkauf!$C$5,Parameter!$G$23:$G$27,0),CY979,CS979,CU979,-CT979,CW979)+ROW()/1000000000)</f>
        <v>0.827000979</v>
      </c>
    </row>
    <row r="980" customFormat="false" ht="15" hidden="false" customHeight="false" outlineLevel="0" collapsed="false">
      <c r="A980" s="60" t="s">
        <v>1856</v>
      </c>
      <c r="B980" s="60" t="s">
        <v>1857</v>
      </c>
      <c r="C980" s="60" t="s">
        <v>209</v>
      </c>
      <c r="D980" s="60" t="s">
        <v>226</v>
      </c>
      <c r="E980" s="60" t="s">
        <v>227</v>
      </c>
      <c r="F980" s="60" t="s">
        <v>260</v>
      </c>
      <c r="G980" s="61" t="n">
        <v>4.45</v>
      </c>
      <c r="H980" s="62" t="n">
        <f aca="false">MAX(0,IF(AND(Parameter!$B$21="Ja",ISNUMBER(Y980)),Y980,IF(Parameter!$B$20="Jahresanfang 2025 + Export",BS980+BR980,BR980)))</f>
        <v>98</v>
      </c>
      <c r="I980" s="62" t="n">
        <f aca="false">H980*G980</f>
        <v>436.1</v>
      </c>
      <c r="J980" s="62" t="n">
        <f aca="false">BU980*Parameter!$B$18</f>
        <v>0</v>
      </c>
      <c r="K980" s="63" t="n">
        <v>110</v>
      </c>
      <c r="L980" s="64" t="n">
        <v>0</v>
      </c>
      <c r="M980" s="62" t="n">
        <v>0</v>
      </c>
      <c r="N980" s="62" t="n">
        <v>1</v>
      </c>
      <c r="O980" s="65" t="n">
        <v>14</v>
      </c>
      <c r="P980" s="60" t="s">
        <v>463</v>
      </c>
      <c r="Q980" s="62" t="n">
        <v>20</v>
      </c>
      <c r="R980" s="65" t="n">
        <f aca="false">IF(CA980=1,0,IFERROR(VLOOKUP(BY980,'Gebinde-Kategorie'!$A$5:$N$45,13,0)+0,0))</f>
        <v>104</v>
      </c>
      <c r="S980" s="66"/>
      <c r="T980" s="67"/>
      <c r="U980" s="67"/>
      <c r="V980" s="67"/>
      <c r="W980" s="60"/>
      <c r="X980" s="62"/>
      <c r="Y980" s="62"/>
      <c r="Z980" s="60" t="n">
        <v>3</v>
      </c>
      <c r="AA980" s="60" t="n">
        <f aca="false">IF(A980="","",IF(AND(Parameter!$B$21="Ja",ISNUMBER(W980)),W980,IF(AND(Parameter!$E$27="Ja",ISNUMBER(Z980),CD980&lt;&gt;"Nein"),Z980,IF(CD980="2+3",IF(ISNUMBER(SEARCH("grosser Artikel",BV980)),2,IFERROR(VLOOKUP(BY980,Parameter!$F$35:$G$64,2,0),2)),IF(OR(CD980="Nein",CD980=""),"-",CD980)))))</f>
        <v>3</v>
      </c>
      <c r="AB980" s="67"/>
      <c r="AC980" s="68"/>
      <c r="AD980" s="62" t="n">
        <f aca="false">AW980</f>
        <v>1</v>
      </c>
      <c r="AE980" s="62" t="n">
        <f aca="false">MAX(AW980,H980)</f>
        <v>98</v>
      </c>
      <c r="AF980" s="69"/>
      <c r="AG980" s="62" t="n">
        <f aca="false">IF(LEFT(Cockpit!$C$5,1)="A",H980,IF(Parameter!$E$30="MAX-Bestand",IF(CI980=1,CJ980,IF(LEFT(Cockpit!$C$5,1)="B",AM980,MAX(AM980,H980))),ROUNDUP(AK980,0)))</f>
        <v>98</v>
      </c>
      <c r="AH980" s="62" t="n">
        <f aca="false">IF(CA980=1,0,ROUNDUP(AG980/BZ980,0))</f>
        <v>5</v>
      </c>
      <c r="AI980" s="64" t="n">
        <f aca="false">IF(CR980&gt;0,CR980*MAX(1,AG980/X980),IF(CA980=1,IF(AG980&lt;=0,0,CE980*MAX(1,IF(H980&gt;0,AG980/H980,1))),IF(R980&gt;0,AH980/R980,0))/MAX(0.1,N(Parameter!$M$21)))</f>
        <v>0.0480769230769231</v>
      </c>
      <c r="AJ980" s="62" t="n">
        <f aca="false">AI980*CC980</f>
        <v>7.45192307692308</v>
      </c>
      <c r="AK980" s="63" t="n">
        <f aca="false">IF(LEFT(Cockpit!$C$5,1)="A",H980,IF(CI980=1,(CL980+CJ980)/2,IF(LEFT(Cockpit!$C$5,1)="B",(CL980+AM980)/2,MAX((CL980+AM980)/2,H980))))</f>
        <v>98</v>
      </c>
      <c r="AL980" s="62" t="n">
        <f aca="false">AK980*G980</f>
        <v>436.1</v>
      </c>
      <c r="AM980" s="62" t="n">
        <f aca="false">ROUNDUP(CL980+MAX(CM980,2*(J980/IF(CH980&gt;0,CH980,MAX(0.1,N(Cockpit!$C$6)))-CL980)),0)</f>
        <v>1</v>
      </c>
      <c r="AN980" s="63" t="n">
        <f aca="false">IF(AJ980&gt;0,J980/AJ980,-1)</f>
        <v>0</v>
      </c>
      <c r="AO980" s="63" t="n">
        <f aca="false">IF(AND(OR(CG980="L1",CG980="L23",CG980="LIFT"),AJ980&gt;0),SUMIFS($AJ$7:$AJ$1843,$CG$7:$CG$1843,CG980,$AN$7:$AN$1843,"&gt;"&amp;AN980)+SUMIFS($AJ$7:$AJ$1843,$CG$7:$CG$1843,CG980,$AN$7:$AN$1843,AN980,$BX$7:$BX$1843,"&lt;="&amp;BX980),"")</f>
        <v>28917.7139959852</v>
      </c>
      <c r="AP980" s="70" t="n">
        <f aca="false">IF(AO980="",0,MAX(0,MIN(1,(IF(CG980="L1",Parameter!$H$5,IF(CG980="L23",Parameter!$H$6+Parameter!$H$7,Parameter!$H$5+Parameter!$H$6+Parameter!$H$7))-(AO980-AJ980))/AJ980)))</f>
        <v>1</v>
      </c>
      <c r="AQ980" s="62" t="n">
        <f aca="false">IF(LEFT(Cockpit!$I$5,1)="A",H980,IF(Parameter!$E$30="MAX-Bestand",IF(CI980=1,CJ980,IF(LEFT(Cockpit!$I$5,1)="B",AW980,MAX(AW980,H980))),ROUNDUP(AU980,0)))</f>
        <v>98</v>
      </c>
      <c r="AR980" s="62" t="n">
        <f aca="false">IF(CA980=1,0,ROUNDUP(AQ980/BZ980,0))</f>
        <v>5</v>
      </c>
      <c r="AS980" s="64" t="n">
        <f aca="false">IF(CR980&gt;0,CR980*MAX(1,AQ980/X980),IF(CA980=1,IF(AQ980&lt;=0,0,CE980*MAX(1,IF(H980&gt;0,AQ980/H980,1))),IF(R980&gt;0,AR980/R980,0))/MAX(0.1,N(Parameter!$M$21)))</f>
        <v>0.0480769230769231</v>
      </c>
      <c r="AT980" s="62" t="n">
        <f aca="false">AS980*CC980</f>
        <v>7.45192307692308</v>
      </c>
      <c r="AU980" s="63" t="n">
        <f aca="false">IF(LEFT(Cockpit!$I$5,1)="A",H980,IF(CI980=1,(CL980+CJ980)/2,IF(LEFT(Cockpit!$I$5,1)="B",(CL980+AW980)/2,MAX((CL980+AW980)/2,H980))))</f>
        <v>98</v>
      </c>
      <c r="AV980" s="62" t="n">
        <f aca="false">AU980*G980</f>
        <v>436.1</v>
      </c>
      <c r="AW980" s="62" t="n">
        <f aca="false">ROUNDUP(CL980+MAX(CM980,2*(J980/IF(CH980&gt;0,CH980,MAX(0.1,N(Cockpit!$I$6)))-CL980)),0)</f>
        <v>1</v>
      </c>
      <c r="AX980" s="63" t="n">
        <f aca="false">IF(AT980&gt;0,J980/AT980,-1)</f>
        <v>0</v>
      </c>
      <c r="AY980" s="63" t="n">
        <f aca="false">IF(AND(OR(CG980="L1",CG980="L23",CG980="LIFT"),AT980&gt;0),SUMIFS($AT$7:$AT$1843,$CG$7:$CG$1843,CG980,$AX$7:$AX$1843,"&gt;"&amp;AX980)+SUMIFS($AT$7:$AT$1843,$CG$7:$CG$1843,CG980,$AX$7:$AX$1843,AX980,$BX$7:$BX$1843,"&lt;="&amp;BX980),"")</f>
        <v>34591.6085164835</v>
      </c>
      <c r="AZ980" s="70" t="n">
        <f aca="false">IF(AY980="",0,MAX(0,MIN(1,(IF(CG980="L1",Parameter!$H$5,IF(CG980="L23",Parameter!$H$6+Parameter!$H$7,Parameter!$H$5+Parameter!$H$6+Parameter!$H$7))-(AY980-AT980))/AT980)))</f>
        <v>1</v>
      </c>
      <c r="BA980" s="62" t="n">
        <f aca="false">IF(LEFT(Cockpit!$O$5,1)="A",H980,IF(Parameter!$E$30="MAX-Bestand",IF(CI980=1,CJ980,IF(LEFT(Cockpit!$O$5,1)="B",BG980,MAX(BG980,H980))),ROUNDUP(BE980,0)))</f>
        <v>1</v>
      </c>
      <c r="BB980" s="62" t="n">
        <f aca="false">IF(CA980=1,0,ROUNDUP(BA980/BZ980,0))</f>
        <v>1</v>
      </c>
      <c r="BC980" s="64" t="n">
        <f aca="false">IF(CR980&gt;0,CR980*MAX(1,BA980/X980),IF(CA980=1,IF(BA980&lt;=0,0,CE980*MAX(1,IF(H980&gt;0,BA980/H980,1))),IF(R980&gt;0,BB980/R980,0))/MAX(0.1,N(Parameter!$M$21)))</f>
        <v>0.00961538461538462</v>
      </c>
      <c r="BD980" s="62" t="n">
        <f aca="false">BC980*CC980</f>
        <v>1.49038461538462</v>
      </c>
      <c r="BE980" s="63" t="n">
        <f aca="false">IF(LEFT(Cockpit!$O$5,1)="A",H980,IF(CI980=1,(CL980+CJ980)/2,IF(LEFT(Cockpit!$O$5,1)="B",(CL980+BG980)/2,MAX((CL980+BG980)/2,H980))))</f>
        <v>0.5</v>
      </c>
      <c r="BF980" s="62" t="n">
        <f aca="false">BE980*G980</f>
        <v>2.225</v>
      </c>
      <c r="BG980" s="62" t="n">
        <f aca="false">ROUNDUP(CL980+MAX(CM980,2*(J980/IF(CH980&gt;0,CH980,MAX(0.1,N(Cockpit!$O$6)))-CL980)),0)</f>
        <v>1</v>
      </c>
      <c r="BH980" s="63" t="n">
        <f aca="false">IF(BD980&gt;0,J980/BD980,-1)</f>
        <v>0</v>
      </c>
      <c r="BI980" s="63" t="n">
        <f aca="false">IF(AND(OR(CG980="L1",CG980="L23",CG980="LIFT"),BD980&gt;0),SUMIFS($BD$7:$BD$1843,$CG$7:$CG$1843,CG980,$BH$7:$BH$1843,"&gt;"&amp;BH980)+SUMIFS($BD$7:$BD$1843,$CG$7:$CG$1843,CG980,$BH$7:$BH$1843,BH980,$BX$7:$BX$1843,"&lt;="&amp;BX980),"")</f>
        <v>28616.1459458621</v>
      </c>
      <c r="BJ980" s="70" t="n">
        <f aca="false">IF(BI980="",0,MAX(0,MIN(1,(IF(CG980="L1",Parameter!$H$5,IF(CG980="L23",Parameter!$H$6+Parameter!$H$7,Parameter!$H$5+Parameter!$H$6+Parameter!$H$7))-(BI980-BD980))/BD980)))</f>
        <v>1</v>
      </c>
      <c r="BK980" s="60" t="str">
        <f aca="false">IF(AJ980&lt;=0,"",IF(CG980="Aussen","Aussenlager",IF(CG980="-","Nicht im Lift",IF(AP980&gt;=1,"Lift",IF(AP980&lt;=0,"Aussenlager","teilweise")))))</f>
        <v>Lift</v>
      </c>
      <c r="BL980" s="60" t="str">
        <f aca="false">IF(AT980&lt;=0,"",IF(CG980="Aussen","Aussenlager",IF(CG980="-","Nicht im Lift",IF(AZ980&gt;=1,"Lift",IF(AZ980&lt;=0,"Aussenlager","teilweise")))))</f>
        <v>Lift</v>
      </c>
      <c r="BM980" s="60" t="str">
        <f aca="false">IF(BD980&lt;=0,"",IF(CG980="Aussen","Aussenlager",IF(CG980="-","Nicht im Lift",IF(BJ980&gt;=1,"Lift",IF(BJ980&lt;=0,"Aussenlager","teilweise")))))</f>
        <v>Lift</v>
      </c>
      <c r="BN980" s="60" t="str">
        <f aca="false">IF(A980="","",IF(BW980=1,"Neu; ","")&amp;IF(AND(BW980=0,BR980&lt;0),"negativer Bestand (Export "&amp;BR980&amp;"); ","")&amp;IF(J980&lt;=0,"Kein Verbrauch; ","")&amp;IF(CR980&gt;0,"Lift "&amp;W980&amp;" lt. Liftbericht (Fach "&amp;X980&amp;" Stk); ",IF(CB980=1,"Gebinde geschätzt ("&amp;T980&amp;"); ",IF(CA980=1,"Lose – Tablare geschätzt; ","")))&amp;IF(H980&gt;AW980,"Überbestand "&amp;ROUND(H980-AW980,0)&amp;" Stk / CHF "&amp;ROUND((H980-AW980)*G980,0)&amp;"; ","")&amp;IF(AND(CI980=1,CJ980&lt;CK980),"MAX &lt; MB+LG; ","")&amp;IF(AND(CQ980&gt;0,CP980*10&gt;CQ980),"zu hoch für Tablar; ","")&amp;IF(AND(BW980=0,OR(CI980=1,AB980&lt;&gt;"",U980&lt;&gt;"",V980&lt;&gt;"",AC980&lt;&gt;"")),"manuell übersteuert; ","")&amp;IF(AND(CA980=0,R980=0),"Gebinde unbekannt / Stellmass fehlt; ","")&amp;IF(AND(CA980=0,N(V980)&lt;=0,N(Q980)&lt;=0),"Menge pro Gebinde fehlt (Ist = 1 Gebinde); ","")&amp;BV980)</f>
        <v>negativer Bestand (Export -17); Kein Verbrauch; Überbestand 97 Stk / CHF 432; Verb.Lager</v>
      </c>
      <c r="BO980" s="60"/>
      <c r="BP980" s="60"/>
      <c r="BQ980" s="67"/>
      <c r="BR980" s="62" t="n">
        <v>-17</v>
      </c>
      <c r="BS980" s="62" t="n">
        <v>115</v>
      </c>
      <c r="BT980" s="61" t="n">
        <v>-75.65</v>
      </c>
      <c r="BU980" s="62" t="n">
        <v>0</v>
      </c>
      <c r="BV980" s="60" t="s">
        <v>1072</v>
      </c>
      <c r="BW980" s="65" t="n">
        <v>0</v>
      </c>
      <c r="BX980" s="65" t="n">
        <v>980</v>
      </c>
      <c r="BY980" s="60" t="str">
        <f aca="false">IF(U980&lt;&gt;"",UPPER(TRIM(U980)),IF(CB980=1,UPPER(VLOOKUP(T980,Parameter!$I$27:$K$29,2,0)),IF(P980="","LOSE",P980)))</f>
        <v>S32</v>
      </c>
      <c r="BZ980" s="62" t="n">
        <f aca="false">IF(BY980="LOSE",1,IF(N(V980)&gt;0,V980,IF(CB980=1,MAX(1,N(VLOOKUP(T980,Parameter!$I$27:$K$29,3,0)),H980,N(N980)),IF(N(Q980)&gt;0,Q980,MAX(1,H980)))))</f>
        <v>20</v>
      </c>
      <c r="CA980" s="65" t="n">
        <f aca="false">IF(BY980="LOSE",1,0)</f>
        <v>0</v>
      </c>
      <c r="CB980" s="65" t="n">
        <f aca="false">IF(AND(U980="",OR(P980="",P980="LOSE"),T980&lt;&gt;"",N(S980)&lt;=0,ISNUMBER(MATCH(T980,Parameter!$I$27:$I$29,0))),1,0)</f>
        <v>0</v>
      </c>
      <c r="CC980" s="65" t="n">
        <f aca="false">IF(CR980&gt;0,INDEX(Parameter!$H$5:$H$7,W980)/INDEX(Parameter!$E$5:$E$7,W980),IF(AND(CA980=0,N(IFERROR(VLOOKUP(BY980,'Gebinde-Kategorie'!$A$5:$N$45,14,0),0))&gt;0),VLOOKUP(BY980,'Gebinde-Kategorie'!$A$5:$N$45,14,0)*10+Parameter!$M$23,Parameter!$M$24))</f>
        <v>155</v>
      </c>
      <c r="CD980" s="60" t="str">
        <f aca="false">IF(AND(Parameter!$B$19="Ja",E980&lt;&gt;"",ISNUMBER(MATCH(E980,Parameter!$I$35:$I$52,0))),VLOOKUP(E980,Parameter!$I$35:$J$52,2,0),IFERROR(VLOOKUP(D980,Parameter!$A$35:$C$64,2,0),"Nein"))</f>
        <v>2+3</v>
      </c>
      <c r="CE980" s="64" t="n">
        <f aca="false">IF(CA980=0,0,IF(N(S980)&gt;0,S980,IFERROR(VLOOKUP(D980,Parameter!$A$35:$C$64,3,0)+0,0)))</f>
        <v>0</v>
      </c>
      <c r="CF980" s="60" t="n">
        <f aca="false">IF(AB980&lt;&gt;"",AB980,AA980)</f>
        <v>3</v>
      </c>
      <c r="CG980" s="60" t="str">
        <f aca="false">IF(OR(CF980=1,CF980=2,CF980=3),IF(Parameter!$E$27="Ja","LIFT",IF(CF980=1,"L1","L23")),IF(CF980="Aussen","Aussen","-"))</f>
        <v>LIFT</v>
      </c>
      <c r="CH980" s="71" t="n">
        <f aca="false">IF(N(AC980)&gt;0,AC980,0)</f>
        <v>0</v>
      </c>
      <c r="CI980" s="65" t="n">
        <f aca="false">IF(ISNUMBER(AF980),1,0)</f>
        <v>0</v>
      </c>
      <c r="CJ980" s="62" t="n">
        <f aca="false">N(AF980)</f>
        <v>0</v>
      </c>
      <c r="CK980" s="62" t="n">
        <f aca="false">N(M980)+N(N980)</f>
        <v>1</v>
      </c>
      <c r="CL980" s="62" t="n">
        <f aca="false">N(M980)</f>
        <v>0</v>
      </c>
      <c r="CM980" s="62" t="n">
        <f aca="false">N(N980)</f>
        <v>1</v>
      </c>
      <c r="CN980" s="62" t="n">
        <f aca="false">ROUNDUP(H980/BZ980,0)</f>
        <v>5</v>
      </c>
      <c r="CO980" s="62" t="n">
        <f aca="false">ROUNDUP(CJ980/BZ980,0)</f>
        <v>0</v>
      </c>
      <c r="CP980" s="65" t="n">
        <f aca="false">IF(CA980=1,0,IFERROR(VLOOKUP(BY980,'Gebinde-Kategorie'!$A$5:$N$45,5,0)+0,0))</f>
        <v>8</v>
      </c>
      <c r="CQ980" s="65" t="n">
        <f aca="false">IFERROR(IF(OR(CF980=1,CF980=2,CF980=3),N(INDEX(Parameter!$I$5:$I$7,CF980)),0),0)</f>
        <v>0</v>
      </c>
      <c r="CR980" s="64" t="n">
        <f aca="false">IF(AND(Parameter!$B$21="Ja",ISNUMBER(W980),N(X980)&gt;0),IFERROR(N(INDEX(Parameter!$L$5:$L$7,W980))*INDEX(Parameter!$E$5:$E$7,W980)*X980/SUMIFS($X$7:$X$1843,$W$7:$W$1843,W980),0),0)</f>
        <v>0</v>
      </c>
      <c r="CS980" s="62" t="n">
        <f aca="false">IF(AND(OR(CG980="L1",CG980="L23",CG980="LIFT"),H980&gt;0),CC980*IF(CR980&gt;0,CR980*MAX(1,H980/X980),IF(CA980=1,CE980,IF(R980&gt;0,CN980/R980,0))/MAX(0.1,N(Parameter!$M$21))),"")</f>
        <v>7.45192307692308</v>
      </c>
      <c r="CT980" s="64" t="n">
        <f aca="false">IF(CS980="","",J980/H980)</f>
        <v>0</v>
      </c>
      <c r="CU980" s="62" t="n">
        <f aca="false">IF(CS980="","",H980*G980)</f>
        <v>436.1</v>
      </c>
      <c r="CV980" s="63" t="n">
        <f aca="false">IF(CS980="","",(CL980+ROUNDUP(CL980+MAX(CM980,2*(J980/MAX(0.1,N(Einkauf!$C$6))-CL980)),0))/2)</f>
        <v>0.5</v>
      </c>
      <c r="CW980" s="62" t="n">
        <f aca="false">IF(CS980="","",MAX(0,H980-CV980)*G980)</f>
        <v>433.875</v>
      </c>
      <c r="CX980" s="62" t="n">
        <f aca="false">IF(CS980="","",CS980*MAX(0,1-CV980/H980))</f>
        <v>7.41390306122449</v>
      </c>
      <c r="CY980" s="64" t="n">
        <f aca="false">IF(CS980="","",PERCENTRANK($CS$7:$CS$1843,CS980)+PERCENTRANK($CU$7:$CU$1843,CU980)+1-PERCENTRANK($CT$7:$CT$1843,CT980))</f>
        <v>2.055</v>
      </c>
      <c r="CZ980" s="72" t="n">
        <f aca="false">IF(CS980="","",CHOOSE(MATCH(Einkauf!$C$5,Parameter!$G$23:$G$27,0),CY980,CS980,CU980,-CT980,CW980)+ROW()/1000000000)</f>
        <v>2.05500098</v>
      </c>
    </row>
    <row r="981" customFormat="false" ht="15" hidden="false" customHeight="false" outlineLevel="0" collapsed="false">
      <c r="A981" s="60" t="s">
        <v>1858</v>
      </c>
      <c r="B981" s="60" t="s">
        <v>903</v>
      </c>
      <c r="C981" s="60" t="s">
        <v>206</v>
      </c>
      <c r="D981" s="60" t="s">
        <v>226</v>
      </c>
      <c r="E981" s="60"/>
      <c r="F981" s="60" t="s">
        <v>260</v>
      </c>
      <c r="G981" s="61" t="n">
        <v>37.92</v>
      </c>
      <c r="H981" s="62" t="n">
        <f aca="false">MAX(0,IF(AND(Parameter!$B$21="Ja",ISNUMBER(Y981)),Y981,IF(Parameter!$B$20="Jahresanfang 2025 + Export",BS981+BR981,BR981)))</f>
        <v>18</v>
      </c>
      <c r="I981" s="62" t="n">
        <f aca="false">H981*G981</f>
        <v>682.56</v>
      </c>
      <c r="J981" s="62" t="n">
        <f aca="false">BU981*Parameter!$B$18</f>
        <v>4</v>
      </c>
      <c r="K981" s="63" t="n">
        <v>19</v>
      </c>
      <c r="L981" s="64" t="n">
        <v>0.210526315789474</v>
      </c>
      <c r="M981" s="62" t="n">
        <v>0</v>
      </c>
      <c r="N981" s="62" t="n">
        <v>5</v>
      </c>
      <c r="O981" s="65" t="n">
        <v>28</v>
      </c>
      <c r="P981" s="60" t="s">
        <v>468</v>
      </c>
      <c r="Q981" s="62" t="n">
        <v>20</v>
      </c>
      <c r="R981" s="65" t="n">
        <f aca="false">IF(CA981=1,0,IFERROR(VLOOKUP(BY981,'Gebinde-Kategorie'!$A$5:$N$45,13,0)+0,0))</f>
        <v>140</v>
      </c>
      <c r="S981" s="66"/>
      <c r="T981" s="67"/>
      <c r="U981" s="67"/>
      <c r="V981" s="67"/>
      <c r="W981" s="60"/>
      <c r="X981" s="62"/>
      <c r="Y981" s="62"/>
      <c r="Z981" s="60" t="n">
        <v>1</v>
      </c>
      <c r="AA981" s="60" t="n">
        <f aca="false">IF(A981="","",IF(AND(Parameter!$B$21="Ja",ISNUMBER(W981)),W981,IF(AND(Parameter!$E$27="Ja",ISNUMBER(Z981),CD981&lt;&gt;"Nein"),Z981,IF(CD981="2+3",IF(ISNUMBER(SEARCH("grosser Artikel",BV981)),2,IFERROR(VLOOKUP(BY981,Parameter!$F$35:$G$64,2,0),2)),IF(OR(CD981="Nein",CD981=""),"-",CD981)))))</f>
        <v>1</v>
      </c>
      <c r="AB981" s="67"/>
      <c r="AC981" s="68"/>
      <c r="AD981" s="62" t="n">
        <f aca="false">AW981</f>
        <v>5</v>
      </c>
      <c r="AE981" s="62" t="n">
        <f aca="false">MAX(AW981,H981)</f>
        <v>18</v>
      </c>
      <c r="AF981" s="69"/>
      <c r="AG981" s="62" t="n">
        <f aca="false">IF(LEFT(Cockpit!$C$5,1)="A",H981,IF(Parameter!$E$30="MAX-Bestand",IF(CI981=1,CJ981,IF(LEFT(Cockpit!$C$5,1)="B",AM981,MAX(AM981,H981))),ROUNDUP(AK981,0)))</f>
        <v>18</v>
      </c>
      <c r="AH981" s="62" t="n">
        <f aca="false">IF(CA981=1,0,ROUNDUP(AG981/BZ981,0))</f>
        <v>1</v>
      </c>
      <c r="AI981" s="64" t="n">
        <f aca="false">IF(CR981&gt;0,CR981*MAX(1,AG981/X981),IF(CA981=1,IF(AG981&lt;=0,0,CE981*MAX(1,IF(H981&gt;0,AG981/H981,1))),IF(R981&gt;0,AH981/R981,0))/MAX(0.1,N(Parameter!$M$21)))</f>
        <v>0.00714285714285714</v>
      </c>
      <c r="AJ981" s="62" t="n">
        <f aca="false">AI981*CC981</f>
        <v>1.10714285714286</v>
      </c>
      <c r="AK981" s="63" t="n">
        <f aca="false">IF(LEFT(Cockpit!$C$5,1)="A",H981,IF(CI981=1,(CL981+CJ981)/2,IF(LEFT(Cockpit!$C$5,1)="B",(CL981+AM981)/2,MAX((CL981+AM981)/2,H981))))</f>
        <v>18</v>
      </c>
      <c r="AL981" s="62" t="n">
        <f aca="false">AK981*G981</f>
        <v>682.56</v>
      </c>
      <c r="AM981" s="62" t="n">
        <f aca="false">ROUNDUP(CL981+MAX(CM981,2*(J981/IF(CH981&gt;0,CH981,MAX(0.1,N(Cockpit!$C$6)))-CL981)),0)</f>
        <v>5</v>
      </c>
      <c r="AN981" s="63" t="n">
        <f aca="false">IF(AJ981&gt;0,J981/AJ981,-1)</f>
        <v>3.61290322580645</v>
      </c>
      <c r="AO981" s="63" t="n">
        <f aca="false">IF(AND(OR(CG981="L1",CG981="L23",CG981="LIFT"),AJ981&gt;0),SUMIFS($AJ$7:$AJ$1843,$CG$7:$CG$1843,CG981,$AN$7:$AN$1843,"&gt;"&amp;AN981)+SUMIFS($AJ$7:$AJ$1843,$CG$7:$CG$1843,CG981,$AN$7:$AN$1843,AN981,$BX$7:$BX$1843,"&lt;="&amp;BX981),"")</f>
        <v>4830.08836996337</v>
      </c>
      <c r="AP981" s="70" t="n">
        <f aca="false">IF(AO981="",0,MAX(0,MIN(1,(IF(CG981="L1",Parameter!$H$5,IF(CG981="L23",Parameter!$H$6+Parameter!$H$7,Parameter!$H$5+Parameter!$H$6+Parameter!$H$7))-(AO981-AJ981))/AJ981)))</f>
        <v>1</v>
      </c>
      <c r="AQ981" s="62" t="n">
        <f aca="false">IF(LEFT(Cockpit!$I$5,1)="A",H981,IF(Parameter!$E$30="MAX-Bestand",IF(CI981=1,CJ981,IF(LEFT(Cockpit!$I$5,1)="B",AW981,MAX(AW981,H981))),ROUNDUP(AU981,0)))</f>
        <v>18</v>
      </c>
      <c r="AR981" s="62" t="n">
        <f aca="false">IF(CA981=1,0,ROUNDUP(AQ981/BZ981,0))</f>
        <v>1</v>
      </c>
      <c r="AS981" s="64" t="n">
        <f aca="false">IF(CR981&gt;0,CR981*MAX(1,AQ981/X981),IF(CA981=1,IF(AQ981&lt;=0,0,CE981*MAX(1,IF(H981&gt;0,AQ981/H981,1))),IF(R981&gt;0,AR981/R981,0))/MAX(0.1,N(Parameter!$M$21)))</f>
        <v>0.00714285714285714</v>
      </c>
      <c r="AT981" s="62" t="n">
        <f aca="false">AS981*CC981</f>
        <v>1.10714285714286</v>
      </c>
      <c r="AU981" s="63" t="n">
        <f aca="false">IF(LEFT(Cockpit!$I$5,1)="A",H981,IF(CI981=1,(CL981+CJ981)/2,IF(LEFT(Cockpit!$I$5,1)="B",(CL981+AW981)/2,MAX((CL981+AW981)/2,H981))))</f>
        <v>18</v>
      </c>
      <c r="AV981" s="62" t="n">
        <f aca="false">AU981*G981</f>
        <v>682.56</v>
      </c>
      <c r="AW981" s="62" t="n">
        <f aca="false">ROUNDUP(CL981+MAX(CM981,2*(J981/IF(CH981&gt;0,CH981,MAX(0.1,N(Cockpit!$I$6)))-CL981)),0)</f>
        <v>5</v>
      </c>
      <c r="AX981" s="63" t="n">
        <f aca="false">IF(AT981&gt;0,J981/AT981,-1)</f>
        <v>3.61290322580645</v>
      </c>
      <c r="AY981" s="63" t="n">
        <f aca="false">IF(AND(OR(CG981="L1",CG981="L23",CG981="LIFT"),AT981&gt;0),SUMIFS($AT$7:$AT$1843,$CG$7:$CG$1843,CG981,$AX$7:$AX$1843,"&gt;"&amp;AX981)+SUMIFS($AT$7:$AT$1843,$CG$7:$CG$1843,CG981,$AX$7:$AX$1843,AX981,$BX$7:$BX$1843,"&lt;="&amp;BX981),"")</f>
        <v>5407.67536630037</v>
      </c>
      <c r="AZ981" s="70" t="n">
        <f aca="false">IF(AY981="",0,MAX(0,MIN(1,(IF(CG981="L1",Parameter!$H$5,IF(CG981="L23",Parameter!$H$6+Parameter!$H$7,Parameter!$H$5+Parameter!$H$6+Parameter!$H$7))-(AY981-AT981))/AT981)))</f>
        <v>1</v>
      </c>
      <c r="BA981" s="62" t="n">
        <f aca="false">IF(LEFT(Cockpit!$O$5,1)="A",H981,IF(Parameter!$E$30="MAX-Bestand",IF(CI981=1,CJ981,IF(LEFT(Cockpit!$O$5,1)="B",BG981,MAX(BG981,H981))),ROUNDUP(BE981,0)))</f>
        <v>3</v>
      </c>
      <c r="BB981" s="62" t="n">
        <f aca="false">IF(CA981=1,0,ROUNDUP(BA981/BZ981,0))</f>
        <v>1</v>
      </c>
      <c r="BC981" s="64" t="n">
        <f aca="false">IF(CR981&gt;0,CR981*MAX(1,BA981/X981),IF(CA981=1,IF(BA981&lt;=0,0,CE981*MAX(1,IF(H981&gt;0,BA981/H981,1))),IF(R981&gt;0,BB981/R981,0))/MAX(0.1,N(Parameter!$M$21)))</f>
        <v>0.00714285714285714</v>
      </c>
      <c r="BD981" s="62" t="n">
        <f aca="false">BC981*CC981</f>
        <v>1.10714285714286</v>
      </c>
      <c r="BE981" s="63" t="n">
        <f aca="false">IF(LEFT(Cockpit!$O$5,1)="A",H981,IF(CI981=1,(CL981+CJ981)/2,IF(LEFT(Cockpit!$O$5,1)="B",(CL981+BG981)/2,MAX((CL981+BG981)/2,H981))))</f>
        <v>2.5</v>
      </c>
      <c r="BF981" s="62" t="n">
        <f aca="false">BE981*G981</f>
        <v>94.8</v>
      </c>
      <c r="BG981" s="62" t="n">
        <f aca="false">ROUNDUP(CL981+MAX(CM981,2*(J981/IF(CH981&gt;0,CH981,MAX(0.1,N(Cockpit!$O$6)))-CL981)),0)</f>
        <v>5</v>
      </c>
      <c r="BH981" s="63" t="n">
        <f aca="false">IF(BD981&gt;0,J981/BD981,-1)</f>
        <v>3.61290322580645</v>
      </c>
      <c r="BI981" s="63" t="n">
        <f aca="false">IF(AND(OR(CG981="L1",CG981="L23",CG981="LIFT"),BD981&gt;0),SUMIFS($BD$7:$BD$1843,$CG$7:$CG$1843,CG981,$BH$7:$BH$1843,"&gt;"&amp;BH981)+SUMIFS($BD$7:$BD$1843,$CG$7:$CG$1843,CG981,$BH$7:$BH$1843,BH981,$BX$7:$BX$1843,"&lt;="&amp;BX981),"")</f>
        <v>4422.17216117216</v>
      </c>
      <c r="BJ981" s="70" t="n">
        <f aca="false">IF(BI981="",0,MAX(0,MIN(1,(IF(CG981="L1",Parameter!$H$5,IF(CG981="L23",Parameter!$H$6+Parameter!$H$7,Parameter!$H$5+Parameter!$H$6+Parameter!$H$7))-(BI981-BD981))/BD981)))</f>
        <v>1</v>
      </c>
      <c r="BK981" s="60" t="str">
        <f aca="false">IF(AJ981&lt;=0,"",IF(CG981="Aussen","Aussenlager",IF(CG981="-","Nicht im Lift",IF(AP981&gt;=1,"Lift",IF(AP981&lt;=0,"Aussenlager","teilweise")))))</f>
        <v>Lift</v>
      </c>
      <c r="BL981" s="60" t="str">
        <f aca="false">IF(AT981&lt;=0,"",IF(CG981="Aussen","Aussenlager",IF(CG981="-","Nicht im Lift",IF(AZ981&gt;=1,"Lift",IF(AZ981&lt;=0,"Aussenlager","teilweise")))))</f>
        <v>Lift</v>
      </c>
      <c r="BM981" s="60" t="str">
        <f aca="false">IF(BD981&lt;=0,"",IF(CG981="Aussen","Aussenlager",IF(CG981="-","Nicht im Lift",IF(BJ981&gt;=1,"Lift",IF(BJ981&lt;=0,"Aussenlager","teilweise")))))</f>
        <v>Lift</v>
      </c>
      <c r="BN981" s="60" t="str">
        <f aca="false">IF(A981="","",IF(BW981=1,"Neu; ","")&amp;IF(AND(BW981=0,BR981&lt;0),"negativer Bestand (Export "&amp;BR981&amp;"); ","")&amp;IF(J981&lt;=0,"Kein Verbrauch; ","")&amp;IF(CR981&gt;0,"Lift "&amp;W981&amp;" lt. Liftbericht (Fach "&amp;X981&amp;" Stk); ",IF(CB981=1,"Gebinde geschätzt ("&amp;T981&amp;"); ",IF(CA981=1,"Lose – Tablare geschätzt; ","")))&amp;IF(H981&gt;AW981,"Überbestand "&amp;ROUND(H981-AW981,0)&amp;" Stk / CHF "&amp;ROUND((H981-AW981)*G981,0)&amp;"; ","")&amp;IF(AND(CI981=1,CJ981&lt;CK981),"MAX &lt; MB+LG; ","")&amp;IF(AND(CQ981&gt;0,CP981*10&gt;CQ981),"zu hoch für Tablar; ","")&amp;IF(AND(BW981=0,OR(CI981=1,AB981&lt;&gt;"",U981&lt;&gt;"",V981&lt;&gt;"",AC981&lt;&gt;"")),"manuell übersteuert; ","")&amp;IF(AND(CA981=0,R981=0),"Gebinde unbekannt / Stellmass fehlt; ","")&amp;IF(AND(CA981=0,N(V981)&lt;=0,N(Q981)&lt;=0),"Menge pro Gebinde fehlt (Ist = 1 Gebinde); ","")&amp;BV981)</f>
        <v>negativer Bestand (Export -2); Überbestand 13 Stk / CHF 493; </v>
      </c>
      <c r="BO981" s="60"/>
      <c r="BP981" s="60"/>
      <c r="BQ981" s="67"/>
      <c r="BR981" s="62" t="n">
        <v>-2</v>
      </c>
      <c r="BS981" s="62" t="n">
        <v>20</v>
      </c>
      <c r="BT981" s="61" t="n">
        <v>-75.84</v>
      </c>
      <c r="BU981" s="62" t="n">
        <v>4</v>
      </c>
      <c r="BV981" s="60"/>
      <c r="BW981" s="65" t="n">
        <v>0</v>
      </c>
      <c r="BX981" s="65" t="n">
        <v>981</v>
      </c>
      <c r="BY981" s="60" t="str">
        <f aca="false">IF(U981&lt;&gt;"",UPPER(TRIM(U981)),IF(CB981=1,UPPER(VLOOKUP(T981,Parameter!$I$27:$K$29,2,0)),IF(P981="","LOSE",P981)))</f>
        <v>S22</v>
      </c>
      <c r="BZ981" s="62" t="n">
        <f aca="false">IF(BY981="LOSE",1,IF(N(V981)&gt;0,V981,IF(CB981=1,MAX(1,N(VLOOKUP(T981,Parameter!$I$27:$K$29,3,0)),H981,N(N981)),IF(N(Q981)&gt;0,Q981,MAX(1,H981)))))</f>
        <v>20</v>
      </c>
      <c r="CA981" s="65" t="n">
        <f aca="false">IF(BY981="LOSE",1,0)</f>
        <v>0</v>
      </c>
      <c r="CB981" s="65" t="n">
        <f aca="false">IF(AND(U981="",OR(P981="",P981="LOSE"),T981&lt;&gt;"",N(S981)&lt;=0,ISNUMBER(MATCH(T981,Parameter!$I$27:$I$29,0))),1,0)</f>
        <v>0</v>
      </c>
      <c r="CC981" s="65" t="n">
        <f aca="false">IF(CR981&gt;0,INDEX(Parameter!$H$5:$H$7,W981)/INDEX(Parameter!$E$5:$E$7,W981),IF(AND(CA981=0,N(IFERROR(VLOOKUP(BY981,'Gebinde-Kategorie'!$A$5:$N$45,14,0),0))&gt;0),VLOOKUP(BY981,'Gebinde-Kategorie'!$A$5:$N$45,14,0)*10+Parameter!$M$23,Parameter!$M$24))</f>
        <v>155</v>
      </c>
      <c r="CD981" s="60" t="str">
        <f aca="false">IF(AND(Parameter!$B$19="Ja",E981&lt;&gt;"",ISNUMBER(MATCH(E981,Parameter!$I$35:$I$52,0))),VLOOKUP(E981,Parameter!$I$35:$J$52,2,0),IFERROR(VLOOKUP(D981,Parameter!$A$35:$C$64,2,0),"Nein"))</f>
        <v>2+3</v>
      </c>
      <c r="CE981" s="64" t="n">
        <f aca="false">IF(CA981=0,0,IF(N(S981)&gt;0,S981,IFERROR(VLOOKUP(D981,Parameter!$A$35:$C$64,3,0)+0,0)))</f>
        <v>0</v>
      </c>
      <c r="CF981" s="60" t="n">
        <f aca="false">IF(AB981&lt;&gt;"",AB981,AA981)</f>
        <v>1</v>
      </c>
      <c r="CG981" s="60" t="str">
        <f aca="false">IF(OR(CF981=1,CF981=2,CF981=3),IF(Parameter!$E$27="Ja","LIFT",IF(CF981=1,"L1","L23")),IF(CF981="Aussen","Aussen","-"))</f>
        <v>LIFT</v>
      </c>
      <c r="CH981" s="71" t="n">
        <f aca="false">IF(N(AC981)&gt;0,AC981,0)</f>
        <v>0</v>
      </c>
      <c r="CI981" s="65" t="n">
        <f aca="false">IF(ISNUMBER(AF981),1,0)</f>
        <v>0</v>
      </c>
      <c r="CJ981" s="62" t="n">
        <f aca="false">N(AF981)</f>
        <v>0</v>
      </c>
      <c r="CK981" s="62" t="n">
        <f aca="false">N(M981)+N(N981)</f>
        <v>5</v>
      </c>
      <c r="CL981" s="62" t="n">
        <f aca="false">N(M981)</f>
        <v>0</v>
      </c>
      <c r="CM981" s="62" t="n">
        <f aca="false">N(N981)</f>
        <v>5</v>
      </c>
      <c r="CN981" s="62" t="n">
        <f aca="false">ROUNDUP(H981/BZ981,0)</f>
        <v>1</v>
      </c>
      <c r="CO981" s="62" t="n">
        <f aca="false">ROUNDUP(CJ981/BZ981,0)</f>
        <v>0</v>
      </c>
      <c r="CP981" s="65" t="n">
        <f aca="false">IF(CA981=1,0,IFERROR(VLOOKUP(BY981,'Gebinde-Kategorie'!$A$5:$N$45,5,0)+0,0))</f>
        <v>8</v>
      </c>
      <c r="CQ981" s="65" t="n">
        <f aca="false">IFERROR(IF(OR(CF981=1,CF981=2,CF981=3),N(INDEX(Parameter!$I$5:$I$7,CF981)),0),0)</f>
        <v>0</v>
      </c>
      <c r="CR981" s="64" t="n">
        <f aca="false">IF(AND(Parameter!$B$21="Ja",ISNUMBER(W981),N(X981)&gt;0),IFERROR(N(INDEX(Parameter!$L$5:$L$7,W981))*INDEX(Parameter!$E$5:$E$7,W981)*X981/SUMIFS($X$7:$X$1843,$W$7:$W$1843,W981),0),0)</f>
        <v>0</v>
      </c>
      <c r="CS981" s="62" t="n">
        <f aca="false">IF(AND(OR(CG981="L1",CG981="L23",CG981="LIFT"),H981&gt;0),CC981*IF(CR981&gt;0,CR981*MAX(1,H981/X981),IF(CA981=1,CE981,IF(R981&gt;0,CN981/R981,0))/MAX(0.1,N(Parameter!$M$21))),"")</f>
        <v>1.10714285714286</v>
      </c>
      <c r="CT981" s="64" t="n">
        <f aca="false">IF(CS981="","",J981/H981)</f>
        <v>0.222222222222222</v>
      </c>
      <c r="CU981" s="62" t="n">
        <f aca="false">IF(CS981="","",H981*G981)</f>
        <v>682.56</v>
      </c>
      <c r="CV981" s="63" t="n">
        <f aca="false">IF(CS981="","",(CL981+ROUNDUP(CL981+MAX(CM981,2*(J981/MAX(0.1,N(Einkauf!$C$6))-CL981)),0))/2)</f>
        <v>2.5</v>
      </c>
      <c r="CW981" s="62" t="n">
        <f aca="false">IF(CS981="","",MAX(0,H981-CV981)*G981)</f>
        <v>587.76</v>
      </c>
      <c r="CX981" s="62" t="n">
        <f aca="false">IF(CS981="","",CS981*MAX(0,1-CV981/H981))</f>
        <v>0.953373015873016</v>
      </c>
      <c r="CY981" s="64" t="n">
        <f aca="false">IF(CS981="","",PERCENTRANK($CS$7:$CS$1843,CS981)+PERCENTRANK($CU$7:$CU$1843,CU981)+1-PERCENTRANK($CT$7:$CT$1843,CT981))</f>
        <v>1.1514</v>
      </c>
      <c r="CZ981" s="72" t="n">
        <f aca="false">IF(CS981="","",CHOOSE(MATCH(Einkauf!$C$5,Parameter!$G$23:$G$27,0),CY981,CS981,CU981,-CT981,CW981)+ROW()/1000000000)</f>
        <v>1.151400981</v>
      </c>
    </row>
    <row r="982" customFormat="false" ht="15" hidden="false" customHeight="false" outlineLevel="0" collapsed="false">
      <c r="A982" s="60" t="s">
        <v>1859</v>
      </c>
      <c r="B982" s="60" t="s">
        <v>447</v>
      </c>
      <c r="C982" s="60" t="s">
        <v>206</v>
      </c>
      <c r="D982" s="60" t="s">
        <v>226</v>
      </c>
      <c r="E982" s="60" t="s">
        <v>227</v>
      </c>
      <c r="F982" s="60" t="s">
        <v>260</v>
      </c>
      <c r="G982" s="61" t="n">
        <v>1.54</v>
      </c>
      <c r="H982" s="62" t="n">
        <f aca="false">MAX(0,IF(AND(Parameter!$B$21="Ja",ISNUMBER(Y982)),Y982,IF(Parameter!$B$20="Jahresanfang 2025 + Export",BS982+BR982,BR982)))</f>
        <v>197</v>
      </c>
      <c r="I982" s="62" t="n">
        <f aca="false">H982*G982</f>
        <v>303.38</v>
      </c>
      <c r="J982" s="62" t="n">
        <f aca="false">BU982*Parameter!$B$18</f>
        <v>42</v>
      </c>
      <c r="K982" s="63" t="n">
        <v>225.5</v>
      </c>
      <c r="L982" s="64" t="n">
        <v>0.186252771618625</v>
      </c>
      <c r="M982" s="62" t="n">
        <v>3</v>
      </c>
      <c r="N982" s="62" t="n">
        <v>40</v>
      </c>
      <c r="O982" s="65" t="n">
        <v>28</v>
      </c>
      <c r="P982" s="60" t="s">
        <v>344</v>
      </c>
      <c r="Q982" s="62" t="n">
        <v>196</v>
      </c>
      <c r="R982" s="65" t="n">
        <f aca="false">IF(CA982=1,0,IFERROR(VLOOKUP(BY982,'Gebinde-Kategorie'!$A$5:$N$45,13,0)+0,0))</f>
        <v>26</v>
      </c>
      <c r="S982" s="66"/>
      <c r="T982" s="67"/>
      <c r="U982" s="67"/>
      <c r="V982" s="67"/>
      <c r="W982" s="60"/>
      <c r="X982" s="62"/>
      <c r="Y982" s="62"/>
      <c r="Z982" s="60" t="n">
        <v>3</v>
      </c>
      <c r="AA982" s="60" t="n">
        <f aca="false">IF(A982="","",IF(AND(Parameter!$B$21="Ja",ISNUMBER(W982)),W982,IF(AND(Parameter!$E$27="Ja",ISNUMBER(Z982),CD982&lt;&gt;"Nein"),Z982,IF(CD982="2+3",IF(ISNUMBER(SEARCH("grosser Artikel",BV982)),2,IFERROR(VLOOKUP(BY982,Parameter!$F$35:$G$64,2,0),2)),IF(OR(CD982="Nein",CD982=""),"-",CD982)))))</f>
        <v>3</v>
      </c>
      <c r="AB982" s="67"/>
      <c r="AC982" s="68"/>
      <c r="AD982" s="62" t="n">
        <f aca="false">AW982</f>
        <v>43</v>
      </c>
      <c r="AE982" s="62" t="n">
        <f aca="false">MAX(AW982,H982)</f>
        <v>197</v>
      </c>
      <c r="AF982" s="69"/>
      <c r="AG982" s="62" t="n">
        <f aca="false">IF(LEFT(Cockpit!$C$5,1)="A",H982,IF(Parameter!$E$30="MAX-Bestand",IF(CI982=1,CJ982,IF(LEFT(Cockpit!$C$5,1)="B",AM982,MAX(AM982,H982))),ROUNDUP(AK982,0)))</f>
        <v>197</v>
      </c>
      <c r="AH982" s="62" t="n">
        <f aca="false">IF(CA982=1,0,ROUNDUP(AG982/BZ982,0))</f>
        <v>2</v>
      </c>
      <c r="AI982" s="64" t="n">
        <f aca="false">IF(CR982&gt;0,CR982*MAX(1,AG982/X982),IF(CA982=1,IF(AG982&lt;=0,0,CE982*MAX(1,IF(H982&gt;0,AG982/H982,1))),IF(R982&gt;0,AH982/R982,0))/MAX(0.1,N(Parameter!$M$21)))</f>
        <v>0.0769230769230769</v>
      </c>
      <c r="AJ982" s="62" t="n">
        <f aca="false">AI982*CC982</f>
        <v>11.9230769230769</v>
      </c>
      <c r="AK982" s="63" t="n">
        <f aca="false">IF(LEFT(Cockpit!$C$5,1)="A",H982,IF(CI982=1,(CL982+CJ982)/2,IF(LEFT(Cockpit!$C$5,1)="B",(CL982+AM982)/2,MAX((CL982+AM982)/2,H982))))</f>
        <v>197</v>
      </c>
      <c r="AL982" s="62" t="n">
        <f aca="false">AK982*G982</f>
        <v>303.38</v>
      </c>
      <c r="AM982" s="62" t="n">
        <f aca="false">ROUNDUP(CL982+MAX(CM982,2*(J982/IF(CH982&gt;0,CH982,MAX(0.1,N(Cockpit!$C$6)))-CL982)),0)</f>
        <v>43</v>
      </c>
      <c r="AN982" s="63" t="n">
        <f aca="false">IF(AJ982&gt;0,J982/AJ982,-1)</f>
        <v>3.52258064516129</v>
      </c>
      <c r="AO982" s="63" t="n">
        <f aca="false">IF(AND(OR(CG982="L1",CG982="L23",CG982="LIFT"),AJ982&gt;0),SUMIFS($AJ$7:$AJ$1843,$CG$7:$CG$1843,CG982,$AN$7:$AN$1843,"&gt;"&amp;AN982)+SUMIFS($AJ$7:$AJ$1843,$CG$7:$CG$1843,CG982,$AN$7:$AN$1843,AN982,$BX$7:$BX$1843,"&lt;="&amp;BX982),"")</f>
        <v>4894.48214285714</v>
      </c>
      <c r="AP982" s="70" t="n">
        <f aca="false">IF(AO982="",0,MAX(0,MIN(1,(IF(CG982="L1",Parameter!$H$5,IF(CG982="L23",Parameter!$H$6+Parameter!$H$7,Parameter!$H$5+Parameter!$H$6+Parameter!$H$7))-(AO982-AJ982))/AJ982)))</f>
        <v>1</v>
      </c>
      <c r="AQ982" s="62" t="n">
        <f aca="false">IF(LEFT(Cockpit!$I$5,1)="A",H982,IF(Parameter!$E$30="MAX-Bestand",IF(CI982=1,CJ982,IF(LEFT(Cockpit!$I$5,1)="B",AW982,MAX(AW982,H982))),ROUNDUP(AU982,0)))</f>
        <v>197</v>
      </c>
      <c r="AR982" s="62" t="n">
        <f aca="false">IF(CA982=1,0,ROUNDUP(AQ982/BZ982,0))</f>
        <v>2</v>
      </c>
      <c r="AS982" s="64" t="n">
        <f aca="false">IF(CR982&gt;0,CR982*MAX(1,AQ982/X982),IF(CA982=1,IF(AQ982&lt;=0,0,CE982*MAX(1,IF(H982&gt;0,AQ982/H982,1))),IF(R982&gt;0,AR982/R982,0))/MAX(0.1,N(Parameter!$M$21)))</f>
        <v>0.0769230769230769</v>
      </c>
      <c r="AT982" s="62" t="n">
        <f aca="false">AS982*CC982</f>
        <v>11.9230769230769</v>
      </c>
      <c r="AU982" s="63" t="n">
        <f aca="false">IF(LEFT(Cockpit!$I$5,1)="A",H982,IF(CI982=1,(CL982+CJ982)/2,IF(LEFT(Cockpit!$I$5,1)="B",(CL982+AW982)/2,MAX((CL982+AW982)/2,H982))))</f>
        <v>197</v>
      </c>
      <c r="AV982" s="62" t="n">
        <f aca="false">AU982*G982</f>
        <v>303.38</v>
      </c>
      <c r="AW982" s="62" t="n">
        <f aca="false">ROUNDUP(CL982+MAX(CM982,2*(J982/IF(CH982&gt;0,CH982,MAX(0.1,N(Cockpit!$I$6)))-CL982)),0)</f>
        <v>43</v>
      </c>
      <c r="AX982" s="63" t="n">
        <f aca="false">IF(AT982&gt;0,J982/AT982,-1)</f>
        <v>3.52258064516129</v>
      </c>
      <c r="AY982" s="63" t="n">
        <f aca="false">IF(AND(OR(CG982="L1",CG982="L23",CG982="LIFT"),AT982&gt;0),SUMIFS($AT$7:$AT$1843,$CG$7:$CG$1843,CG982,$AX$7:$AX$1843,"&gt;"&amp;AX982)+SUMIFS($AT$7:$AT$1843,$CG$7:$CG$1843,CG982,$AX$7:$AX$1843,AX982,$BX$7:$BX$1843,"&lt;="&amp;BX982),"")</f>
        <v>5472.06913919414</v>
      </c>
      <c r="AZ982" s="70" t="n">
        <f aca="false">IF(AY982="",0,MAX(0,MIN(1,(IF(CG982="L1",Parameter!$H$5,IF(CG982="L23",Parameter!$H$6+Parameter!$H$7,Parameter!$H$5+Parameter!$H$6+Parameter!$H$7))-(AY982-AT982))/AT982)))</f>
        <v>1</v>
      </c>
      <c r="BA982" s="62" t="n">
        <f aca="false">IF(LEFT(Cockpit!$O$5,1)="A",H982,IF(Parameter!$E$30="MAX-Bestand",IF(CI982=1,CJ982,IF(LEFT(Cockpit!$O$5,1)="B",BG982,MAX(BG982,H982))),ROUNDUP(BE982,0)))</f>
        <v>23</v>
      </c>
      <c r="BB982" s="62" t="n">
        <f aca="false">IF(CA982=1,0,ROUNDUP(BA982/BZ982,0))</f>
        <v>1</v>
      </c>
      <c r="BC982" s="64" t="n">
        <f aca="false">IF(CR982&gt;0,CR982*MAX(1,BA982/X982),IF(CA982=1,IF(BA982&lt;=0,0,CE982*MAX(1,IF(H982&gt;0,BA982/H982,1))),IF(R982&gt;0,BB982/R982,0))/MAX(0.1,N(Parameter!$M$21)))</f>
        <v>0.0384615384615385</v>
      </c>
      <c r="BD982" s="62" t="n">
        <f aca="false">BC982*CC982</f>
        <v>5.96153846153846</v>
      </c>
      <c r="BE982" s="63" t="n">
        <f aca="false">IF(LEFT(Cockpit!$O$5,1)="A",H982,IF(CI982=1,(CL982+CJ982)/2,IF(LEFT(Cockpit!$O$5,1)="B",(CL982+BG982)/2,MAX((CL982+BG982)/2,H982))))</f>
        <v>23</v>
      </c>
      <c r="BF982" s="62" t="n">
        <f aca="false">BE982*G982</f>
        <v>35.42</v>
      </c>
      <c r="BG982" s="62" t="n">
        <f aca="false">ROUNDUP(CL982+MAX(CM982,2*(J982/IF(CH982&gt;0,CH982,MAX(0.1,N(Cockpit!$O$6)))-CL982)),0)</f>
        <v>43</v>
      </c>
      <c r="BH982" s="63" t="n">
        <f aca="false">IF(BD982&gt;0,J982/BD982,-1)</f>
        <v>7.04516129032258</v>
      </c>
      <c r="BI982" s="63" t="n">
        <f aca="false">IF(AND(OR(CG982="L1",CG982="L23",CG982="LIFT"),BD982&gt;0),SUMIFS($BD$7:$BD$1843,$CG$7:$CG$1843,CG982,$BH$7:$BH$1843,"&gt;"&amp;BH982)+SUMIFS($BD$7:$BD$1843,$CG$7:$CG$1843,CG982,$BH$7:$BH$1843,BH982,$BX$7:$BX$1843,"&lt;="&amp;BX982),"")</f>
        <v>3274.90613553114</v>
      </c>
      <c r="BJ982" s="70" t="n">
        <f aca="false">IF(BI982="",0,MAX(0,MIN(1,(IF(CG982="L1",Parameter!$H$5,IF(CG982="L23",Parameter!$H$6+Parameter!$H$7,Parameter!$H$5+Parameter!$H$6+Parameter!$H$7))-(BI982-BD982))/BD982)))</f>
        <v>1</v>
      </c>
      <c r="BK982" s="60" t="str">
        <f aca="false">IF(AJ982&lt;=0,"",IF(CG982="Aussen","Aussenlager",IF(CG982="-","Nicht im Lift",IF(AP982&gt;=1,"Lift",IF(AP982&lt;=0,"Aussenlager","teilweise")))))</f>
        <v>Lift</v>
      </c>
      <c r="BL982" s="60" t="str">
        <f aca="false">IF(AT982&lt;=0,"",IF(CG982="Aussen","Aussenlager",IF(CG982="-","Nicht im Lift",IF(AZ982&gt;=1,"Lift",IF(AZ982&lt;=0,"Aussenlager","teilweise")))))</f>
        <v>Lift</v>
      </c>
      <c r="BM982" s="60" t="str">
        <f aca="false">IF(BD982&lt;=0,"",IF(CG982="Aussen","Aussenlager",IF(CG982="-","Nicht im Lift",IF(BJ982&gt;=1,"Lift",IF(BJ982&lt;=0,"Aussenlager","teilweise")))))</f>
        <v>Lift</v>
      </c>
      <c r="BN982" s="60" t="str">
        <f aca="false">IF(A982="","",IF(BW982=1,"Neu; ","")&amp;IF(AND(BW982=0,BR982&lt;0),"negativer Bestand (Export "&amp;BR982&amp;"); ","")&amp;IF(J982&lt;=0,"Kein Verbrauch; ","")&amp;IF(CR982&gt;0,"Lift "&amp;W982&amp;" lt. Liftbericht (Fach "&amp;X982&amp;" Stk); ",IF(CB982=1,"Gebinde geschätzt ("&amp;T982&amp;"); ",IF(CA982=1,"Lose – Tablare geschätzt; ","")))&amp;IF(H982&gt;AW982,"Überbestand "&amp;ROUND(H982-AW982,0)&amp;" Stk / CHF "&amp;ROUND((H982-AW982)*G982,0)&amp;"; ","")&amp;IF(AND(CI982=1,CJ982&lt;CK982),"MAX &lt; MB+LG; ","")&amp;IF(AND(CQ982&gt;0,CP982*10&gt;CQ982),"zu hoch für Tablar; ","")&amp;IF(AND(BW982=0,OR(CI982=1,AB982&lt;&gt;"",U982&lt;&gt;"",V982&lt;&gt;"",AC982&lt;&gt;"")),"manuell übersteuert; ","")&amp;IF(AND(CA982=0,R982=0),"Gebinde unbekannt / Stellmass fehlt; ","")&amp;IF(AND(CA982=0,N(V982)&lt;=0,N(Q982)&lt;=0),"Menge pro Gebinde fehlt (Ist = 1 Gebinde); ","")&amp;BV982)</f>
        <v>negativer Bestand (Export -50); Überbestand 154 Stk / CHF 237; </v>
      </c>
      <c r="BO982" s="60"/>
      <c r="BP982" s="60"/>
      <c r="BQ982" s="67"/>
      <c r="BR982" s="62" t="n">
        <v>-50</v>
      </c>
      <c r="BS982" s="62" t="n">
        <v>247</v>
      </c>
      <c r="BT982" s="61" t="n">
        <v>-77</v>
      </c>
      <c r="BU982" s="62" t="n">
        <v>42</v>
      </c>
      <c r="BV982" s="60"/>
      <c r="BW982" s="65" t="n">
        <v>0</v>
      </c>
      <c r="BX982" s="65" t="n">
        <v>982</v>
      </c>
      <c r="BY982" s="60" t="str">
        <f aca="false">IF(U982&lt;&gt;"",UPPER(TRIM(U982)),IF(CB982=1,UPPER(VLOOKUP(T982,Parameter!$I$27:$K$29,2,0)),IF(P982="","LOSE",P982)))</f>
        <v>S51</v>
      </c>
      <c r="BZ982" s="62" t="n">
        <f aca="false">IF(BY982="LOSE",1,IF(N(V982)&gt;0,V982,IF(CB982=1,MAX(1,N(VLOOKUP(T982,Parameter!$I$27:$K$29,3,0)),H982,N(N982)),IF(N(Q982)&gt;0,Q982,MAX(1,H982)))))</f>
        <v>196</v>
      </c>
      <c r="CA982" s="65" t="n">
        <f aca="false">IF(BY982="LOSE",1,0)</f>
        <v>0</v>
      </c>
      <c r="CB982" s="65" t="n">
        <f aca="false">IF(AND(U982="",OR(P982="",P982="LOSE"),T982&lt;&gt;"",N(S982)&lt;=0,ISNUMBER(MATCH(T982,Parameter!$I$27:$I$29,0))),1,0)</f>
        <v>0</v>
      </c>
      <c r="CC982" s="65" t="n">
        <f aca="false">IF(CR982&gt;0,INDEX(Parameter!$H$5:$H$7,W982)/INDEX(Parameter!$E$5:$E$7,W982),IF(AND(CA982=0,N(IFERROR(VLOOKUP(BY982,'Gebinde-Kategorie'!$A$5:$N$45,14,0),0))&gt;0),VLOOKUP(BY982,'Gebinde-Kategorie'!$A$5:$N$45,14,0)*10+Parameter!$M$23,Parameter!$M$24))</f>
        <v>155</v>
      </c>
      <c r="CD982" s="60" t="str">
        <f aca="false">IF(AND(Parameter!$B$19="Ja",E982&lt;&gt;"",ISNUMBER(MATCH(E982,Parameter!$I$35:$I$52,0))),VLOOKUP(E982,Parameter!$I$35:$J$52,2,0),IFERROR(VLOOKUP(D982,Parameter!$A$35:$C$64,2,0),"Nein"))</f>
        <v>2+3</v>
      </c>
      <c r="CE982" s="64" t="n">
        <f aca="false">IF(CA982=0,0,IF(N(S982)&gt;0,S982,IFERROR(VLOOKUP(D982,Parameter!$A$35:$C$64,3,0)+0,0)))</f>
        <v>0</v>
      </c>
      <c r="CF982" s="60" t="n">
        <f aca="false">IF(AB982&lt;&gt;"",AB982,AA982)</f>
        <v>3</v>
      </c>
      <c r="CG982" s="60" t="str">
        <f aca="false">IF(OR(CF982=1,CF982=2,CF982=3),IF(Parameter!$E$27="Ja","LIFT",IF(CF982=1,"L1","L23")),IF(CF982="Aussen","Aussen","-"))</f>
        <v>LIFT</v>
      </c>
      <c r="CH982" s="71" t="n">
        <f aca="false">IF(N(AC982)&gt;0,AC982,0)</f>
        <v>0</v>
      </c>
      <c r="CI982" s="65" t="n">
        <f aca="false">IF(ISNUMBER(AF982),1,0)</f>
        <v>0</v>
      </c>
      <c r="CJ982" s="62" t="n">
        <f aca="false">N(AF982)</f>
        <v>0</v>
      </c>
      <c r="CK982" s="62" t="n">
        <f aca="false">N(M982)+N(N982)</f>
        <v>43</v>
      </c>
      <c r="CL982" s="62" t="n">
        <f aca="false">N(M982)</f>
        <v>3</v>
      </c>
      <c r="CM982" s="62" t="n">
        <f aca="false">N(N982)</f>
        <v>40</v>
      </c>
      <c r="CN982" s="62" t="n">
        <f aca="false">ROUNDUP(H982/BZ982,0)</f>
        <v>2</v>
      </c>
      <c r="CO982" s="62" t="n">
        <f aca="false">ROUNDUP(CJ982/BZ982,0)</f>
        <v>0</v>
      </c>
      <c r="CP982" s="65" t="n">
        <f aca="false">IF(CA982=1,0,IFERROR(VLOOKUP(BY982,'Gebinde-Kategorie'!$A$5:$N$45,5,0)+0,0))</f>
        <v>11</v>
      </c>
      <c r="CQ982" s="65" t="n">
        <f aca="false">IFERROR(IF(OR(CF982=1,CF982=2,CF982=3),N(INDEX(Parameter!$I$5:$I$7,CF982)),0),0)</f>
        <v>0</v>
      </c>
      <c r="CR982" s="64" t="n">
        <f aca="false">IF(AND(Parameter!$B$21="Ja",ISNUMBER(W982),N(X982)&gt;0),IFERROR(N(INDEX(Parameter!$L$5:$L$7,W982))*INDEX(Parameter!$E$5:$E$7,W982)*X982/SUMIFS($X$7:$X$1843,$W$7:$W$1843,W982),0),0)</f>
        <v>0</v>
      </c>
      <c r="CS982" s="62" t="n">
        <f aca="false">IF(AND(OR(CG982="L1",CG982="L23",CG982="LIFT"),H982&gt;0),CC982*IF(CR982&gt;0,CR982*MAX(1,H982/X982),IF(CA982=1,CE982,IF(R982&gt;0,CN982/R982,0))/MAX(0.1,N(Parameter!$M$21))),"")</f>
        <v>11.9230769230769</v>
      </c>
      <c r="CT982" s="64" t="n">
        <f aca="false">IF(CS982="","",J982/H982)</f>
        <v>0.213197969543147</v>
      </c>
      <c r="CU982" s="62" t="n">
        <f aca="false">IF(CS982="","",H982*G982)</f>
        <v>303.38</v>
      </c>
      <c r="CV982" s="63" t="n">
        <f aca="false">IF(CS982="","",(CL982+ROUNDUP(CL982+MAX(CM982,2*(J982/MAX(0.1,N(Einkauf!$C$6))-CL982)),0))/2)</f>
        <v>23</v>
      </c>
      <c r="CW982" s="62" t="n">
        <f aca="false">IF(CS982="","",MAX(0,H982-CV982)*G982)</f>
        <v>267.96</v>
      </c>
      <c r="CX982" s="62" t="n">
        <f aca="false">IF(CS982="","",CS982*MAX(0,1-CV982/H982))</f>
        <v>10.5310425614994</v>
      </c>
      <c r="CY982" s="64" t="n">
        <f aca="false">IF(CS982="","",PERCENTRANK($CS$7:$CS$1843,CS982)+PERCENTRANK($CU$7:$CU$1843,CU982)+1-PERCENTRANK($CT$7:$CT$1843,CT982))</f>
        <v>1.577</v>
      </c>
      <c r="CZ982" s="72" t="n">
        <f aca="false">IF(CS982="","",CHOOSE(MATCH(Einkauf!$C$5,Parameter!$G$23:$G$27,0),CY982,CS982,CU982,-CT982,CW982)+ROW()/1000000000)</f>
        <v>1.577000982</v>
      </c>
    </row>
    <row r="983" customFormat="false" ht="15" hidden="false" customHeight="false" outlineLevel="0" collapsed="false">
      <c r="A983" s="60" t="s">
        <v>1860</v>
      </c>
      <c r="B983" s="60" t="s">
        <v>631</v>
      </c>
      <c r="C983" s="60" t="s">
        <v>206</v>
      </c>
      <c r="D983" s="60" t="s">
        <v>226</v>
      </c>
      <c r="E983" s="60" t="s">
        <v>227</v>
      </c>
      <c r="F983" s="60" t="s">
        <v>260</v>
      </c>
      <c r="G983" s="61" t="n">
        <v>1.66</v>
      </c>
      <c r="H983" s="62" t="n">
        <f aca="false">MAX(0,IF(AND(Parameter!$B$21="Ja",ISNUMBER(Y983)),Y983,IF(Parameter!$B$20="Jahresanfang 2025 + Export",BS983+BR983,BR983)))</f>
        <v>158</v>
      </c>
      <c r="I983" s="62" t="n">
        <f aca="false">H983*G983</f>
        <v>262.28</v>
      </c>
      <c r="J983" s="62" t="n">
        <f aca="false">BU983*Parameter!$B$18</f>
        <v>310</v>
      </c>
      <c r="K983" s="63" t="n">
        <v>148</v>
      </c>
      <c r="L983" s="64" t="n">
        <v>2.0945945945946</v>
      </c>
      <c r="M983" s="62" t="n">
        <v>12</v>
      </c>
      <c r="N983" s="62" t="n">
        <v>310</v>
      </c>
      <c r="O983" s="65" t="n">
        <v>14</v>
      </c>
      <c r="P983" s="60" t="s">
        <v>443</v>
      </c>
      <c r="Q983" s="62" t="n">
        <v>74</v>
      </c>
      <c r="R983" s="65" t="n">
        <f aca="false">IF(CA983=1,0,IFERROR(VLOOKUP(BY983,'Gebinde-Kategorie'!$A$5:$N$45,13,0)+0,0))</f>
        <v>280</v>
      </c>
      <c r="S983" s="66"/>
      <c r="T983" s="67"/>
      <c r="U983" s="67"/>
      <c r="V983" s="67"/>
      <c r="W983" s="60"/>
      <c r="X983" s="62"/>
      <c r="Y983" s="62"/>
      <c r="Z983" s="60" t="n">
        <v>1</v>
      </c>
      <c r="AA983" s="60" t="n">
        <f aca="false">IF(A983="","",IF(AND(Parameter!$B$21="Ja",ISNUMBER(W983)),W983,IF(AND(Parameter!$E$27="Ja",ISNUMBER(Z983),CD983&lt;&gt;"Nein"),Z983,IF(CD983="2+3",IF(ISNUMBER(SEARCH("grosser Artikel",BV983)),2,IFERROR(VLOOKUP(BY983,Parameter!$F$35:$G$64,2,0),2)),IF(OR(CD983="Nein",CD983=""),"-",CD983)))))</f>
        <v>1</v>
      </c>
      <c r="AB983" s="67"/>
      <c r="AC983" s="68"/>
      <c r="AD983" s="62" t="n">
        <f aca="false">AW983</f>
        <v>322</v>
      </c>
      <c r="AE983" s="62" t="n">
        <f aca="false">MAX(AW983,H983)</f>
        <v>322</v>
      </c>
      <c r="AF983" s="69"/>
      <c r="AG983" s="62" t="n">
        <f aca="false">IF(LEFT(Cockpit!$C$5,1)="A",H983,IF(Parameter!$E$30="MAX-Bestand",IF(CI983=1,CJ983,IF(LEFT(Cockpit!$C$5,1)="B",AM983,MAX(AM983,H983))),ROUNDUP(AK983,0)))</f>
        <v>158</v>
      </c>
      <c r="AH983" s="62" t="n">
        <f aca="false">IF(CA983=1,0,ROUNDUP(AG983/BZ983,0))</f>
        <v>3</v>
      </c>
      <c r="AI983" s="64" t="n">
        <f aca="false">IF(CR983&gt;0,CR983*MAX(1,AG983/X983),IF(CA983=1,IF(AG983&lt;=0,0,CE983*MAX(1,IF(H983&gt;0,AG983/H983,1))),IF(R983&gt;0,AH983/R983,0))/MAX(0.1,N(Parameter!$M$21)))</f>
        <v>0.0107142857142857</v>
      </c>
      <c r="AJ983" s="62" t="n">
        <f aca="false">AI983*CC983</f>
        <v>1.66071428571429</v>
      </c>
      <c r="AK983" s="63" t="n">
        <f aca="false">IF(LEFT(Cockpit!$C$5,1)="A",H983,IF(CI983=1,(CL983+CJ983)/2,IF(LEFT(Cockpit!$C$5,1)="B",(CL983+AM983)/2,MAX((CL983+AM983)/2,H983))))</f>
        <v>158</v>
      </c>
      <c r="AL983" s="62" t="n">
        <f aca="false">AK983*G983</f>
        <v>262.28</v>
      </c>
      <c r="AM983" s="62" t="n">
        <f aca="false">ROUNDUP(CL983+MAX(CM983,2*(J983/IF(CH983&gt;0,CH983,MAX(0.1,N(Cockpit!$C$6)))-CL983)),0)</f>
        <v>322</v>
      </c>
      <c r="AN983" s="63" t="n">
        <f aca="false">IF(AJ983&gt;0,J983/AJ983,-1)</f>
        <v>186.666666666667</v>
      </c>
      <c r="AO983" s="63" t="n">
        <f aca="false">IF(AND(OR(CG983="L1",CG983="L23",CG983="LIFT"),AJ983&gt;0),SUMIFS($AJ$7:$AJ$1843,$CG$7:$CG$1843,CG983,$AN$7:$AN$1843,"&gt;"&amp;AN983)+SUMIFS($AJ$7:$AJ$1843,$CG$7:$CG$1843,CG983,$AN$7:$AN$1843,AN983,$BX$7:$BX$1843,"&lt;="&amp;BX983),"")</f>
        <v>381.217490842491</v>
      </c>
      <c r="AP983" s="70" t="n">
        <f aca="false">IF(AO983="",0,MAX(0,MIN(1,(IF(CG983="L1",Parameter!$H$5,IF(CG983="L23",Parameter!$H$6+Parameter!$H$7,Parameter!$H$5+Parameter!$H$6+Parameter!$H$7))-(AO983-AJ983))/AJ983)))</f>
        <v>1</v>
      </c>
      <c r="AQ983" s="62" t="n">
        <f aca="false">IF(LEFT(Cockpit!$I$5,1)="A",H983,IF(Parameter!$E$30="MAX-Bestand",IF(CI983=1,CJ983,IF(LEFT(Cockpit!$I$5,1)="B",AW983,MAX(AW983,H983))),ROUNDUP(AU983,0)))</f>
        <v>167</v>
      </c>
      <c r="AR983" s="62" t="n">
        <f aca="false">IF(CA983=1,0,ROUNDUP(AQ983/BZ983,0))</f>
        <v>3</v>
      </c>
      <c r="AS983" s="64" t="n">
        <f aca="false">IF(CR983&gt;0,CR983*MAX(1,AQ983/X983),IF(CA983=1,IF(AQ983&lt;=0,0,CE983*MAX(1,IF(H983&gt;0,AQ983/H983,1))),IF(R983&gt;0,AR983/R983,0))/MAX(0.1,N(Parameter!$M$21)))</f>
        <v>0.0107142857142857</v>
      </c>
      <c r="AT983" s="62" t="n">
        <f aca="false">AS983*CC983</f>
        <v>1.66071428571429</v>
      </c>
      <c r="AU983" s="63" t="n">
        <f aca="false">IF(LEFT(Cockpit!$I$5,1)="A",H983,IF(CI983=1,(CL983+CJ983)/2,IF(LEFT(Cockpit!$I$5,1)="B",(CL983+AW983)/2,MAX((CL983+AW983)/2,H983))))</f>
        <v>167</v>
      </c>
      <c r="AV983" s="62" t="n">
        <f aca="false">AU983*G983</f>
        <v>277.22</v>
      </c>
      <c r="AW983" s="62" t="n">
        <f aca="false">ROUNDUP(CL983+MAX(CM983,2*(J983/IF(CH983&gt;0,CH983,MAX(0.1,N(Cockpit!$I$6)))-CL983)),0)</f>
        <v>322</v>
      </c>
      <c r="AX983" s="63" t="n">
        <f aca="false">IF(AT983&gt;0,J983/AT983,-1)</f>
        <v>186.666666666667</v>
      </c>
      <c r="AY983" s="63" t="n">
        <f aca="false">IF(AND(OR(CG983="L1",CG983="L23",CG983="LIFT"),AT983&gt;0),SUMIFS($AT$7:$AT$1843,$CG$7:$CG$1843,CG983,$AX$7:$AX$1843,"&gt;"&amp;AX983)+SUMIFS($AT$7:$AT$1843,$CG$7:$CG$1843,CG983,$AX$7:$AX$1843,AX983,$BX$7:$BX$1843,"&lt;="&amp;BX983),"")</f>
        <v>498.854395604396</v>
      </c>
      <c r="AZ983" s="70" t="n">
        <f aca="false">IF(AY983="",0,MAX(0,MIN(1,(IF(CG983="L1",Parameter!$H$5,IF(CG983="L23",Parameter!$H$6+Parameter!$H$7,Parameter!$H$5+Parameter!$H$6+Parameter!$H$7))-(AY983-AT983))/AT983)))</f>
        <v>1</v>
      </c>
      <c r="BA983" s="62" t="n">
        <f aca="false">IF(LEFT(Cockpit!$O$5,1)="A",H983,IF(Parameter!$E$30="MAX-Bestand",IF(CI983=1,CJ983,IF(LEFT(Cockpit!$O$5,1)="B",BG983,MAX(BG983,H983))),ROUNDUP(BE983,0)))</f>
        <v>167</v>
      </c>
      <c r="BB983" s="62" t="n">
        <f aca="false">IF(CA983=1,0,ROUNDUP(BA983/BZ983,0))</f>
        <v>3</v>
      </c>
      <c r="BC983" s="64" t="n">
        <f aca="false">IF(CR983&gt;0,CR983*MAX(1,BA983/X983),IF(CA983=1,IF(BA983&lt;=0,0,CE983*MAX(1,IF(H983&gt;0,BA983/H983,1))),IF(R983&gt;0,BB983/R983,0))/MAX(0.1,N(Parameter!$M$21)))</f>
        <v>0.0107142857142857</v>
      </c>
      <c r="BD983" s="62" t="n">
        <f aca="false">BC983*CC983</f>
        <v>1.66071428571429</v>
      </c>
      <c r="BE983" s="63" t="n">
        <f aca="false">IF(LEFT(Cockpit!$O$5,1)="A",H983,IF(CI983=1,(CL983+CJ983)/2,IF(LEFT(Cockpit!$O$5,1)="B",(CL983+BG983)/2,MAX((CL983+BG983)/2,H983))))</f>
        <v>167</v>
      </c>
      <c r="BF983" s="62" t="n">
        <f aca="false">BE983*G983</f>
        <v>277.22</v>
      </c>
      <c r="BG983" s="62" t="n">
        <f aca="false">ROUNDUP(CL983+MAX(CM983,2*(J983/IF(CH983&gt;0,CH983,MAX(0.1,N(Cockpit!$O$6)))-CL983)),0)</f>
        <v>322</v>
      </c>
      <c r="BH983" s="63" t="n">
        <f aca="false">IF(BD983&gt;0,J983/BD983,-1)</f>
        <v>186.666666666667</v>
      </c>
      <c r="BI983" s="63" t="n">
        <f aca="false">IF(AND(OR(CG983="L1",CG983="L23",CG983="LIFT"),BD983&gt;0),SUMIFS($BD$7:$BD$1843,$CG$7:$CG$1843,CG983,$BH$7:$BH$1843,"&gt;"&amp;BH983)+SUMIFS($BD$7:$BD$1843,$CG$7:$CG$1843,CG983,$BH$7:$BH$1843,BH983,$BX$7:$BX$1843,"&lt;="&amp;BX983),"")</f>
        <v>491.543956043956</v>
      </c>
      <c r="BJ983" s="70" t="n">
        <f aca="false">IF(BI983="",0,MAX(0,MIN(1,(IF(CG983="L1",Parameter!$H$5,IF(CG983="L23",Parameter!$H$6+Parameter!$H$7,Parameter!$H$5+Parameter!$H$6+Parameter!$H$7))-(BI983-BD983))/BD983)))</f>
        <v>1</v>
      </c>
      <c r="BK983" s="60" t="str">
        <f aca="false">IF(AJ983&lt;=0,"",IF(CG983="Aussen","Aussenlager",IF(CG983="-","Nicht im Lift",IF(AP983&gt;=1,"Lift",IF(AP983&lt;=0,"Aussenlager","teilweise")))))</f>
        <v>Lift</v>
      </c>
      <c r="BL983" s="60" t="str">
        <f aca="false">IF(AT983&lt;=0,"",IF(CG983="Aussen","Aussenlager",IF(CG983="-","Nicht im Lift",IF(AZ983&gt;=1,"Lift",IF(AZ983&lt;=0,"Aussenlager","teilweise")))))</f>
        <v>Lift</v>
      </c>
      <c r="BM983" s="60" t="str">
        <f aca="false">IF(BD983&lt;=0,"",IF(CG983="Aussen","Aussenlager",IF(CG983="-","Nicht im Lift",IF(BJ983&gt;=1,"Lift",IF(BJ983&lt;=0,"Aussenlager","teilweise")))))</f>
        <v>Lift</v>
      </c>
      <c r="BN983" s="60" t="str">
        <f aca="false">IF(A983="","",IF(BW983=1,"Neu; ","")&amp;IF(AND(BW983=0,BR983&lt;0),"negativer Bestand (Export "&amp;BR983&amp;"); ","")&amp;IF(J983&lt;=0,"Kein Verbrauch; ","")&amp;IF(CR983&gt;0,"Lift "&amp;W983&amp;" lt. Liftbericht (Fach "&amp;X983&amp;" Stk); ",IF(CB983=1,"Gebinde geschätzt ("&amp;T983&amp;"); ",IF(CA983=1,"Lose – Tablare geschätzt; ","")))&amp;IF(H983&gt;AW983,"Überbestand "&amp;ROUND(H983-AW983,0)&amp;" Stk / CHF "&amp;ROUND((H983-AW983)*G983,0)&amp;"; ","")&amp;IF(AND(CI983=1,CJ983&lt;CK983),"MAX &lt; MB+LG; ","")&amp;IF(AND(CQ983&gt;0,CP983*10&gt;CQ983),"zu hoch für Tablar; ","")&amp;IF(AND(BW983=0,OR(CI983=1,AB983&lt;&gt;"",U983&lt;&gt;"",V983&lt;&gt;"",AC983&lt;&gt;"")),"manuell übersteuert; ","")&amp;IF(AND(CA983=0,R983=0),"Gebinde unbekannt / Stellmass fehlt; ","")&amp;IF(AND(CA983=0,N(V983)&lt;=0,N(Q983)&lt;=0),"Menge pro Gebinde fehlt (Ist = 1 Gebinde); ","")&amp;BV983)</f>
        <v>negativer Bestand (Export -44); </v>
      </c>
      <c r="BO983" s="60"/>
      <c r="BP983" s="60"/>
      <c r="BQ983" s="67"/>
      <c r="BR983" s="62" t="n">
        <v>-44</v>
      </c>
      <c r="BS983" s="62" t="n">
        <v>202</v>
      </c>
      <c r="BT983" s="61" t="n">
        <v>-77.0799999999999</v>
      </c>
      <c r="BU983" s="62" t="n">
        <v>310</v>
      </c>
      <c r="BV983" s="60"/>
      <c r="BW983" s="65" t="n">
        <v>0</v>
      </c>
      <c r="BX983" s="65" t="n">
        <v>983</v>
      </c>
      <c r="BY983" s="60" t="str">
        <f aca="false">IF(U983&lt;&gt;"",UPPER(TRIM(U983)),IF(CB983=1,UPPER(VLOOKUP(T983,Parameter!$I$27:$K$29,2,0)),IF(P983="","LOSE",P983)))</f>
        <v>S21</v>
      </c>
      <c r="BZ983" s="62" t="n">
        <f aca="false">IF(BY983="LOSE",1,IF(N(V983)&gt;0,V983,IF(CB983=1,MAX(1,N(VLOOKUP(T983,Parameter!$I$27:$K$29,3,0)),H983,N(N983)),IF(N(Q983)&gt;0,Q983,MAX(1,H983)))))</f>
        <v>74</v>
      </c>
      <c r="CA983" s="65" t="n">
        <f aca="false">IF(BY983="LOSE",1,0)</f>
        <v>0</v>
      </c>
      <c r="CB983" s="65" t="n">
        <f aca="false">IF(AND(U983="",OR(P983="",P983="LOSE"),T983&lt;&gt;"",N(S983)&lt;=0,ISNUMBER(MATCH(T983,Parameter!$I$27:$I$29,0))),1,0)</f>
        <v>0</v>
      </c>
      <c r="CC983" s="65" t="n">
        <f aca="false">IF(CR983&gt;0,INDEX(Parameter!$H$5:$H$7,W983)/INDEX(Parameter!$E$5:$E$7,W983),IF(AND(CA983=0,N(IFERROR(VLOOKUP(BY983,'Gebinde-Kategorie'!$A$5:$N$45,14,0),0))&gt;0),VLOOKUP(BY983,'Gebinde-Kategorie'!$A$5:$N$45,14,0)*10+Parameter!$M$23,Parameter!$M$24))</f>
        <v>155</v>
      </c>
      <c r="CD983" s="60" t="str">
        <f aca="false">IF(AND(Parameter!$B$19="Ja",E983&lt;&gt;"",ISNUMBER(MATCH(E983,Parameter!$I$35:$I$52,0))),VLOOKUP(E983,Parameter!$I$35:$J$52,2,0),IFERROR(VLOOKUP(D983,Parameter!$A$35:$C$64,2,0),"Nein"))</f>
        <v>2+3</v>
      </c>
      <c r="CE983" s="64" t="n">
        <f aca="false">IF(CA983=0,0,IF(N(S983)&gt;0,S983,IFERROR(VLOOKUP(D983,Parameter!$A$35:$C$64,3,0)+0,0)))</f>
        <v>0</v>
      </c>
      <c r="CF983" s="60" t="n">
        <f aca="false">IF(AB983&lt;&gt;"",AB983,AA983)</f>
        <v>1</v>
      </c>
      <c r="CG983" s="60" t="str">
        <f aca="false">IF(OR(CF983=1,CF983=2,CF983=3),IF(Parameter!$E$27="Ja","LIFT",IF(CF983=1,"L1","L23")),IF(CF983="Aussen","Aussen","-"))</f>
        <v>LIFT</v>
      </c>
      <c r="CH983" s="71" t="n">
        <f aca="false">IF(N(AC983)&gt;0,AC983,0)</f>
        <v>0</v>
      </c>
      <c r="CI983" s="65" t="n">
        <f aca="false">IF(ISNUMBER(AF983),1,0)</f>
        <v>0</v>
      </c>
      <c r="CJ983" s="62" t="n">
        <f aca="false">N(AF983)</f>
        <v>0</v>
      </c>
      <c r="CK983" s="62" t="n">
        <f aca="false">N(M983)+N(N983)</f>
        <v>322</v>
      </c>
      <c r="CL983" s="62" t="n">
        <f aca="false">N(M983)</f>
        <v>12</v>
      </c>
      <c r="CM983" s="62" t="n">
        <f aca="false">N(N983)</f>
        <v>310</v>
      </c>
      <c r="CN983" s="62" t="n">
        <f aca="false">ROUNDUP(H983/BZ983,0)</f>
        <v>3</v>
      </c>
      <c r="CO983" s="62" t="n">
        <f aca="false">ROUNDUP(CJ983/BZ983,0)</f>
        <v>0</v>
      </c>
      <c r="CP983" s="65" t="n">
        <f aca="false">IF(CA983=1,0,IFERROR(VLOOKUP(BY983,'Gebinde-Kategorie'!$A$5:$N$45,5,0)+0,0))</f>
        <v>8</v>
      </c>
      <c r="CQ983" s="65" t="n">
        <f aca="false">IFERROR(IF(OR(CF983=1,CF983=2,CF983=3),N(INDEX(Parameter!$I$5:$I$7,CF983)),0),0)</f>
        <v>0</v>
      </c>
      <c r="CR983" s="64" t="n">
        <f aca="false">IF(AND(Parameter!$B$21="Ja",ISNUMBER(W983),N(X983)&gt;0),IFERROR(N(INDEX(Parameter!$L$5:$L$7,W983))*INDEX(Parameter!$E$5:$E$7,W983)*X983/SUMIFS($X$7:$X$1843,$W$7:$W$1843,W983),0),0)</f>
        <v>0</v>
      </c>
      <c r="CS983" s="62" t="n">
        <f aca="false">IF(AND(OR(CG983="L1",CG983="L23",CG983="LIFT"),H983&gt;0),CC983*IF(CR983&gt;0,CR983*MAX(1,H983/X983),IF(CA983=1,CE983,IF(R983&gt;0,CN983/R983,0))/MAX(0.1,N(Parameter!$M$21))),"")</f>
        <v>1.66071428571429</v>
      </c>
      <c r="CT983" s="64" t="n">
        <f aca="false">IF(CS983="","",J983/H983)</f>
        <v>1.9620253164557</v>
      </c>
      <c r="CU983" s="62" t="n">
        <f aca="false">IF(CS983="","",H983*G983)</f>
        <v>262.28</v>
      </c>
      <c r="CV983" s="63" t="n">
        <f aca="false">IF(CS983="","",(CL983+ROUNDUP(CL983+MAX(CM983,2*(J983/MAX(0.1,N(Einkauf!$C$6))-CL983)),0))/2)</f>
        <v>167</v>
      </c>
      <c r="CW983" s="62" t="n">
        <f aca="false">IF(CS983="","",MAX(0,H983-CV983)*G983)</f>
        <v>0</v>
      </c>
      <c r="CX983" s="62" t="n">
        <f aca="false">IF(CS983="","",CS983*MAX(0,1-CV983/H983))</f>
        <v>0</v>
      </c>
      <c r="CY983" s="64" t="n">
        <f aca="false">IF(CS983="","",PERCENTRANK($CS$7:$CS$1843,CS983)+PERCENTRANK($CU$7:$CU$1843,CU983)+1-PERCENTRANK($CT$7:$CT$1843,CT983))</f>
        <v>0.776</v>
      </c>
      <c r="CZ983" s="72" t="n">
        <f aca="false">IF(CS983="","",CHOOSE(MATCH(Einkauf!$C$5,Parameter!$G$23:$G$27,0),CY983,CS983,CU983,-CT983,CW983)+ROW()/1000000000)</f>
        <v>0.776000983</v>
      </c>
    </row>
    <row r="984" customFormat="false" ht="15" hidden="false" customHeight="false" outlineLevel="0" collapsed="false">
      <c r="A984" s="60" t="s">
        <v>1861</v>
      </c>
      <c r="B984" s="60" t="s">
        <v>1862</v>
      </c>
      <c r="C984" s="60" t="s">
        <v>206</v>
      </c>
      <c r="D984" s="60" t="s">
        <v>226</v>
      </c>
      <c r="E984" s="60" t="s">
        <v>227</v>
      </c>
      <c r="F984" s="60" t="s">
        <v>260</v>
      </c>
      <c r="G984" s="61" t="n">
        <v>25.86</v>
      </c>
      <c r="H984" s="62" t="n">
        <f aca="false">MAX(0,IF(AND(Parameter!$B$21="Ja",ISNUMBER(Y984)),Y984,IF(Parameter!$B$20="Jahresanfang 2025 + Export",BS984+BR984,BR984)))</f>
        <v>59</v>
      </c>
      <c r="I984" s="62" t="n">
        <f aca="false">H984*G984</f>
        <v>1525.74</v>
      </c>
      <c r="J984" s="62" t="n">
        <f aca="false">BU984*Parameter!$B$18</f>
        <v>0</v>
      </c>
      <c r="K984" s="63" t="n">
        <v>62</v>
      </c>
      <c r="L984" s="64" t="n">
        <v>0</v>
      </c>
      <c r="M984" s="62" t="n">
        <v>0</v>
      </c>
      <c r="N984" s="62" t="n">
        <v>1</v>
      </c>
      <c r="O984" s="65" t="n">
        <v>14</v>
      </c>
      <c r="P984" s="60" t="s">
        <v>463</v>
      </c>
      <c r="Q984" s="62" t="n">
        <v>78</v>
      </c>
      <c r="R984" s="65" t="n">
        <f aca="false">IF(CA984=1,0,IFERROR(VLOOKUP(BY984,'Gebinde-Kategorie'!$A$5:$N$45,13,0)+0,0))</f>
        <v>104</v>
      </c>
      <c r="S984" s="66"/>
      <c r="T984" s="67"/>
      <c r="U984" s="67"/>
      <c r="V984" s="67"/>
      <c r="W984" s="60"/>
      <c r="X984" s="62"/>
      <c r="Y984" s="62"/>
      <c r="Z984" s="60" t="n">
        <v>2</v>
      </c>
      <c r="AA984" s="60" t="n">
        <f aca="false">IF(A984="","",IF(AND(Parameter!$B$21="Ja",ISNUMBER(W984)),W984,IF(AND(Parameter!$E$27="Ja",ISNUMBER(Z984),CD984&lt;&gt;"Nein"),Z984,IF(CD984="2+3",IF(ISNUMBER(SEARCH("grosser Artikel",BV984)),2,IFERROR(VLOOKUP(BY984,Parameter!$F$35:$G$64,2,0),2)),IF(OR(CD984="Nein",CD984=""),"-",CD984)))))</f>
        <v>2</v>
      </c>
      <c r="AB984" s="67"/>
      <c r="AC984" s="68"/>
      <c r="AD984" s="62" t="n">
        <f aca="false">AW984</f>
        <v>1</v>
      </c>
      <c r="AE984" s="62" t="n">
        <f aca="false">MAX(AW984,H984)</f>
        <v>59</v>
      </c>
      <c r="AF984" s="69"/>
      <c r="AG984" s="62" t="n">
        <f aca="false">IF(LEFT(Cockpit!$C$5,1)="A",H984,IF(Parameter!$E$30="MAX-Bestand",IF(CI984=1,CJ984,IF(LEFT(Cockpit!$C$5,1)="B",AM984,MAX(AM984,H984))),ROUNDUP(AK984,0)))</f>
        <v>59</v>
      </c>
      <c r="AH984" s="62" t="n">
        <f aca="false">IF(CA984=1,0,ROUNDUP(AG984/BZ984,0))</f>
        <v>1</v>
      </c>
      <c r="AI984" s="64" t="n">
        <f aca="false">IF(CR984&gt;0,CR984*MAX(1,AG984/X984),IF(CA984=1,IF(AG984&lt;=0,0,CE984*MAX(1,IF(H984&gt;0,AG984/H984,1))),IF(R984&gt;0,AH984/R984,0))/MAX(0.1,N(Parameter!$M$21)))</f>
        <v>0.00961538461538462</v>
      </c>
      <c r="AJ984" s="62" t="n">
        <f aca="false">AI984*CC984</f>
        <v>1.49038461538462</v>
      </c>
      <c r="AK984" s="63" t="n">
        <f aca="false">IF(LEFT(Cockpit!$C$5,1)="A",H984,IF(CI984=1,(CL984+CJ984)/2,IF(LEFT(Cockpit!$C$5,1)="B",(CL984+AM984)/2,MAX((CL984+AM984)/2,H984))))</f>
        <v>59</v>
      </c>
      <c r="AL984" s="62" t="n">
        <f aca="false">AK984*G984</f>
        <v>1525.74</v>
      </c>
      <c r="AM984" s="62" t="n">
        <f aca="false">ROUNDUP(CL984+MAX(CM984,2*(J984/IF(CH984&gt;0,CH984,MAX(0.1,N(Cockpit!$C$6)))-CL984)),0)</f>
        <v>1</v>
      </c>
      <c r="AN984" s="63" t="n">
        <f aca="false">IF(AJ984&gt;0,J984/AJ984,-1)</f>
        <v>0</v>
      </c>
      <c r="AO984" s="63" t="n">
        <f aca="false">IF(AND(OR(CG984="L1",CG984="L23",CG984="LIFT"),AJ984&gt;0),SUMIFS($AJ$7:$AJ$1843,$CG$7:$CG$1843,CG984,$AN$7:$AN$1843,"&gt;"&amp;AN984)+SUMIFS($AJ$7:$AJ$1843,$CG$7:$CG$1843,CG984,$AN$7:$AN$1843,AN984,$BX$7:$BX$1843,"&lt;="&amp;BX984),"")</f>
        <v>28919.2043806006</v>
      </c>
      <c r="AP984" s="70" t="n">
        <f aca="false">IF(AO984="",0,MAX(0,MIN(1,(IF(CG984="L1",Parameter!$H$5,IF(CG984="L23",Parameter!$H$6+Parameter!$H$7,Parameter!$H$5+Parameter!$H$6+Parameter!$H$7))-(AO984-AJ984))/AJ984)))</f>
        <v>1</v>
      </c>
      <c r="AQ984" s="62" t="n">
        <f aca="false">IF(LEFT(Cockpit!$I$5,1)="A",H984,IF(Parameter!$E$30="MAX-Bestand",IF(CI984=1,CJ984,IF(LEFT(Cockpit!$I$5,1)="B",AW984,MAX(AW984,H984))),ROUNDUP(AU984,0)))</f>
        <v>59</v>
      </c>
      <c r="AR984" s="62" t="n">
        <f aca="false">IF(CA984=1,0,ROUNDUP(AQ984/BZ984,0))</f>
        <v>1</v>
      </c>
      <c r="AS984" s="64" t="n">
        <f aca="false">IF(CR984&gt;0,CR984*MAX(1,AQ984/X984),IF(CA984=1,IF(AQ984&lt;=0,0,CE984*MAX(1,IF(H984&gt;0,AQ984/H984,1))),IF(R984&gt;0,AR984/R984,0))/MAX(0.1,N(Parameter!$M$21)))</f>
        <v>0.00961538461538462</v>
      </c>
      <c r="AT984" s="62" t="n">
        <f aca="false">AS984*CC984</f>
        <v>1.49038461538462</v>
      </c>
      <c r="AU984" s="63" t="n">
        <f aca="false">IF(LEFT(Cockpit!$I$5,1)="A",H984,IF(CI984=1,(CL984+CJ984)/2,IF(LEFT(Cockpit!$I$5,1)="B",(CL984+AW984)/2,MAX((CL984+AW984)/2,H984))))</f>
        <v>59</v>
      </c>
      <c r="AV984" s="62" t="n">
        <f aca="false">AU984*G984</f>
        <v>1525.74</v>
      </c>
      <c r="AW984" s="62" t="n">
        <f aca="false">ROUNDUP(CL984+MAX(CM984,2*(J984/IF(CH984&gt;0,CH984,MAX(0.1,N(Cockpit!$I$6)))-CL984)),0)</f>
        <v>1</v>
      </c>
      <c r="AX984" s="63" t="n">
        <f aca="false">IF(AT984&gt;0,J984/AT984,-1)</f>
        <v>0</v>
      </c>
      <c r="AY984" s="63" t="n">
        <f aca="false">IF(AND(OR(CG984="L1",CG984="L23",CG984="LIFT"),AT984&gt;0),SUMIFS($AT$7:$AT$1843,$CG$7:$CG$1843,CG984,$AX$7:$AX$1843,"&gt;"&amp;AX984)+SUMIFS($AT$7:$AT$1843,$CG$7:$CG$1843,CG984,$AX$7:$AX$1843,AX984,$BX$7:$BX$1843,"&lt;="&amp;BX984),"")</f>
        <v>34593.0989010989</v>
      </c>
      <c r="AZ984" s="70" t="n">
        <f aca="false">IF(AY984="",0,MAX(0,MIN(1,(IF(CG984="L1",Parameter!$H$5,IF(CG984="L23",Parameter!$H$6+Parameter!$H$7,Parameter!$H$5+Parameter!$H$6+Parameter!$H$7))-(AY984-AT984))/AT984)))</f>
        <v>1</v>
      </c>
      <c r="BA984" s="62" t="n">
        <f aca="false">IF(LEFT(Cockpit!$O$5,1)="A",H984,IF(Parameter!$E$30="MAX-Bestand",IF(CI984=1,CJ984,IF(LEFT(Cockpit!$O$5,1)="B",BG984,MAX(BG984,H984))),ROUNDUP(BE984,0)))</f>
        <v>1</v>
      </c>
      <c r="BB984" s="62" t="n">
        <f aca="false">IF(CA984=1,0,ROUNDUP(BA984/BZ984,0))</f>
        <v>1</v>
      </c>
      <c r="BC984" s="64" t="n">
        <f aca="false">IF(CR984&gt;0,CR984*MAX(1,BA984/X984),IF(CA984=1,IF(BA984&lt;=0,0,CE984*MAX(1,IF(H984&gt;0,BA984/H984,1))),IF(R984&gt;0,BB984/R984,0))/MAX(0.1,N(Parameter!$M$21)))</f>
        <v>0.00961538461538462</v>
      </c>
      <c r="BD984" s="62" t="n">
        <f aca="false">BC984*CC984</f>
        <v>1.49038461538462</v>
      </c>
      <c r="BE984" s="63" t="n">
        <f aca="false">IF(LEFT(Cockpit!$O$5,1)="A",H984,IF(CI984=1,(CL984+CJ984)/2,IF(LEFT(Cockpit!$O$5,1)="B",(CL984+BG984)/2,MAX((CL984+BG984)/2,H984))))</f>
        <v>0.5</v>
      </c>
      <c r="BF984" s="62" t="n">
        <f aca="false">BE984*G984</f>
        <v>12.93</v>
      </c>
      <c r="BG984" s="62" t="n">
        <f aca="false">ROUNDUP(CL984+MAX(CM984,2*(J984/IF(CH984&gt;0,CH984,MAX(0.1,N(Cockpit!$O$6)))-CL984)),0)</f>
        <v>1</v>
      </c>
      <c r="BH984" s="63" t="n">
        <f aca="false">IF(BD984&gt;0,J984/BD984,-1)</f>
        <v>0</v>
      </c>
      <c r="BI984" s="63" t="n">
        <f aca="false">IF(AND(OR(CG984="L1",CG984="L23",CG984="LIFT"),BD984&gt;0),SUMIFS($BD$7:$BD$1843,$CG$7:$CG$1843,CG984,$BH$7:$BH$1843,"&gt;"&amp;BH984)+SUMIFS($BD$7:$BD$1843,$CG$7:$CG$1843,CG984,$BH$7:$BH$1843,BH984,$BX$7:$BX$1843,"&lt;="&amp;BX984),"")</f>
        <v>28617.6363304774</v>
      </c>
      <c r="BJ984" s="70" t="n">
        <f aca="false">IF(BI984="",0,MAX(0,MIN(1,(IF(CG984="L1",Parameter!$H$5,IF(CG984="L23",Parameter!$H$6+Parameter!$H$7,Parameter!$H$5+Parameter!$H$6+Parameter!$H$7))-(BI984-BD984))/BD984)))</f>
        <v>1</v>
      </c>
      <c r="BK984" s="60" t="str">
        <f aca="false">IF(AJ984&lt;=0,"",IF(CG984="Aussen","Aussenlager",IF(CG984="-","Nicht im Lift",IF(AP984&gt;=1,"Lift",IF(AP984&lt;=0,"Aussenlager","teilweise")))))</f>
        <v>Lift</v>
      </c>
      <c r="BL984" s="60" t="str">
        <f aca="false">IF(AT984&lt;=0,"",IF(CG984="Aussen","Aussenlager",IF(CG984="-","Nicht im Lift",IF(AZ984&gt;=1,"Lift",IF(AZ984&lt;=0,"Aussenlager","teilweise")))))</f>
        <v>Lift</v>
      </c>
      <c r="BM984" s="60" t="str">
        <f aca="false">IF(BD984&lt;=0,"",IF(CG984="Aussen","Aussenlager",IF(CG984="-","Nicht im Lift",IF(BJ984&gt;=1,"Lift",IF(BJ984&lt;=0,"Aussenlager","teilweise")))))</f>
        <v>Lift</v>
      </c>
      <c r="BN984" s="60" t="str">
        <f aca="false">IF(A984="","",IF(BW984=1,"Neu; ","")&amp;IF(AND(BW984=0,BR984&lt;0),"negativer Bestand (Export "&amp;BR984&amp;"); ","")&amp;IF(J984&lt;=0,"Kein Verbrauch; ","")&amp;IF(CR984&gt;0,"Lift "&amp;W984&amp;" lt. Liftbericht (Fach "&amp;X984&amp;" Stk); ",IF(CB984=1,"Gebinde geschätzt ("&amp;T984&amp;"); ",IF(CA984=1,"Lose – Tablare geschätzt; ","")))&amp;IF(H984&gt;AW984,"Überbestand "&amp;ROUND(H984-AW984,0)&amp;" Stk / CHF "&amp;ROUND((H984-AW984)*G984,0)&amp;"; ","")&amp;IF(AND(CI984=1,CJ984&lt;CK984),"MAX &lt; MB+LG; ","")&amp;IF(AND(CQ984&gt;0,CP984*10&gt;CQ984),"zu hoch für Tablar; ","")&amp;IF(AND(BW984=0,OR(CI984=1,AB984&lt;&gt;"",U984&lt;&gt;"",V984&lt;&gt;"",AC984&lt;&gt;"")),"manuell übersteuert; ","")&amp;IF(AND(CA984=0,R984=0),"Gebinde unbekannt / Stellmass fehlt; ","")&amp;IF(AND(CA984=0,N(V984)&lt;=0,N(Q984)&lt;=0),"Menge pro Gebinde fehlt (Ist = 1 Gebinde); ","")&amp;BV984)</f>
        <v>negativer Bestand (Export -3); Kein Verbrauch; Überbestand 58 Stk / CHF 1500; </v>
      </c>
      <c r="BO984" s="60"/>
      <c r="BP984" s="60"/>
      <c r="BQ984" s="67"/>
      <c r="BR984" s="62" t="n">
        <v>-3</v>
      </c>
      <c r="BS984" s="62" t="n">
        <v>62</v>
      </c>
      <c r="BT984" s="61" t="n">
        <v>-77.58</v>
      </c>
      <c r="BU984" s="62" t="n">
        <v>0</v>
      </c>
      <c r="BV984" s="60"/>
      <c r="BW984" s="65" t="n">
        <v>0</v>
      </c>
      <c r="BX984" s="65" t="n">
        <v>984</v>
      </c>
      <c r="BY984" s="60" t="str">
        <f aca="false">IF(U984&lt;&gt;"",UPPER(TRIM(U984)),IF(CB984=1,UPPER(VLOOKUP(T984,Parameter!$I$27:$K$29,2,0)),IF(P984="","LOSE",P984)))</f>
        <v>S32</v>
      </c>
      <c r="BZ984" s="62" t="n">
        <f aca="false">IF(BY984="LOSE",1,IF(N(V984)&gt;0,V984,IF(CB984=1,MAX(1,N(VLOOKUP(T984,Parameter!$I$27:$K$29,3,0)),H984,N(N984)),IF(N(Q984)&gt;0,Q984,MAX(1,H984)))))</f>
        <v>78</v>
      </c>
      <c r="CA984" s="65" t="n">
        <f aca="false">IF(BY984="LOSE",1,0)</f>
        <v>0</v>
      </c>
      <c r="CB984" s="65" t="n">
        <f aca="false">IF(AND(U984="",OR(P984="",P984="LOSE"),T984&lt;&gt;"",N(S984)&lt;=0,ISNUMBER(MATCH(T984,Parameter!$I$27:$I$29,0))),1,0)</f>
        <v>0</v>
      </c>
      <c r="CC984" s="65" t="n">
        <f aca="false">IF(CR984&gt;0,INDEX(Parameter!$H$5:$H$7,W984)/INDEX(Parameter!$E$5:$E$7,W984),IF(AND(CA984=0,N(IFERROR(VLOOKUP(BY984,'Gebinde-Kategorie'!$A$5:$N$45,14,0),0))&gt;0),VLOOKUP(BY984,'Gebinde-Kategorie'!$A$5:$N$45,14,0)*10+Parameter!$M$23,Parameter!$M$24))</f>
        <v>155</v>
      </c>
      <c r="CD984" s="60" t="str">
        <f aca="false">IF(AND(Parameter!$B$19="Ja",E984&lt;&gt;"",ISNUMBER(MATCH(E984,Parameter!$I$35:$I$52,0))),VLOOKUP(E984,Parameter!$I$35:$J$52,2,0),IFERROR(VLOOKUP(D984,Parameter!$A$35:$C$64,2,0),"Nein"))</f>
        <v>2+3</v>
      </c>
      <c r="CE984" s="64" t="n">
        <f aca="false">IF(CA984=0,0,IF(N(S984)&gt;0,S984,IFERROR(VLOOKUP(D984,Parameter!$A$35:$C$64,3,0)+0,0)))</f>
        <v>0</v>
      </c>
      <c r="CF984" s="60" t="n">
        <f aca="false">IF(AB984&lt;&gt;"",AB984,AA984)</f>
        <v>2</v>
      </c>
      <c r="CG984" s="60" t="str">
        <f aca="false">IF(OR(CF984=1,CF984=2,CF984=3),IF(Parameter!$E$27="Ja","LIFT",IF(CF984=1,"L1","L23")),IF(CF984="Aussen","Aussen","-"))</f>
        <v>LIFT</v>
      </c>
      <c r="CH984" s="71" t="n">
        <f aca="false">IF(N(AC984)&gt;0,AC984,0)</f>
        <v>0</v>
      </c>
      <c r="CI984" s="65" t="n">
        <f aca="false">IF(ISNUMBER(AF984),1,0)</f>
        <v>0</v>
      </c>
      <c r="CJ984" s="62" t="n">
        <f aca="false">N(AF984)</f>
        <v>0</v>
      </c>
      <c r="CK984" s="62" t="n">
        <f aca="false">N(M984)+N(N984)</f>
        <v>1</v>
      </c>
      <c r="CL984" s="62" t="n">
        <f aca="false">N(M984)</f>
        <v>0</v>
      </c>
      <c r="CM984" s="62" t="n">
        <f aca="false">N(N984)</f>
        <v>1</v>
      </c>
      <c r="CN984" s="62" t="n">
        <f aca="false">ROUNDUP(H984/BZ984,0)</f>
        <v>1</v>
      </c>
      <c r="CO984" s="62" t="n">
        <f aca="false">ROUNDUP(CJ984/BZ984,0)</f>
        <v>0</v>
      </c>
      <c r="CP984" s="65" t="n">
        <f aca="false">IF(CA984=1,0,IFERROR(VLOOKUP(BY984,'Gebinde-Kategorie'!$A$5:$N$45,5,0)+0,0))</f>
        <v>8</v>
      </c>
      <c r="CQ984" s="65" t="n">
        <f aca="false">IFERROR(IF(OR(CF984=1,CF984=2,CF984=3),N(INDEX(Parameter!$I$5:$I$7,CF984)),0),0)</f>
        <v>0</v>
      </c>
      <c r="CR984" s="64" t="n">
        <f aca="false">IF(AND(Parameter!$B$21="Ja",ISNUMBER(W984),N(X984)&gt;0),IFERROR(N(INDEX(Parameter!$L$5:$L$7,W984))*INDEX(Parameter!$E$5:$E$7,W984)*X984/SUMIFS($X$7:$X$1843,$W$7:$W$1843,W984),0),0)</f>
        <v>0</v>
      </c>
      <c r="CS984" s="62" t="n">
        <f aca="false">IF(AND(OR(CG984="L1",CG984="L23",CG984="LIFT"),H984&gt;0),CC984*IF(CR984&gt;0,CR984*MAX(1,H984/X984),IF(CA984=1,CE984,IF(R984&gt;0,CN984/R984,0))/MAX(0.1,N(Parameter!$M$21))),"")</f>
        <v>1.49038461538462</v>
      </c>
      <c r="CT984" s="64" t="n">
        <f aca="false">IF(CS984="","",J984/H984)</f>
        <v>0</v>
      </c>
      <c r="CU984" s="62" t="n">
        <f aca="false">IF(CS984="","",H984*G984)</f>
        <v>1525.74</v>
      </c>
      <c r="CV984" s="63" t="n">
        <f aca="false">IF(CS984="","",(CL984+ROUNDUP(CL984+MAX(CM984,2*(J984/MAX(0.1,N(Einkauf!$C$6))-CL984)),0))/2)</f>
        <v>0.5</v>
      </c>
      <c r="CW984" s="62" t="n">
        <f aca="false">IF(CS984="","",MAX(0,H984-CV984)*G984)</f>
        <v>1512.81</v>
      </c>
      <c r="CX984" s="62" t="n">
        <f aca="false">IF(CS984="","",CS984*MAX(0,1-CV984/H984))</f>
        <v>1.47775423728814</v>
      </c>
      <c r="CY984" s="64" t="n">
        <f aca="false">IF(CS984="","",PERCENTRANK($CS$7:$CS$1843,CS984)+PERCENTRANK($CU$7:$CU$1843,CU984)+1-PERCENTRANK($CT$7:$CT$1843,CT984))</f>
        <v>1.84</v>
      </c>
      <c r="CZ984" s="72" t="n">
        <f aca="false">IF(CS984="","",CHOOSE(MATCH(Einkauf!$C$5,Parameter!$G$23:$G$27,0),CY984,CS984,CU984,-CT984,CW984)+ROW()/1000000000)</f>
        <v>1.840000984</v>
      </c>
    </row>
    <row r="985" customFormat="false" ht="15" hidden="false" customHeight="false" outlineLevel="0" collapsed="false">
      <c r="A985" s="60" t="s">
        <v>1863</v>
      </c>
      <c r="B985" s="60" t="s">
        <v>1864</v>
      </c>
      <c r="C985" s="60" t="s">
        <v>498</v>
      </c>
      <c r="D985" s="60" t="s">
        <v>226</v>
      </c>
      <c r="E985" s="60"/>
      <c r="F985" s="60" t="s">
        <v>260</v>
      </c>
      <c r="G985" s="61" t="n">
        <v>2</v>
      </c>
      <c r="H985" s="62" t="n">
        <f aca="false">MAX(0,IF(AND(Parameter!$B$21="Ja",ISNUMBER(Y985)),Y985,IF(Parameter!$B$20="Jahresanfang 2025 + Export",BS985+BR985,BR985)))</f>
        <v>0</v>
      </c>
      <c r="I985" s="62" t="n">
        <f aca="false">H985*G985</f>
        <v>0</v>
      </c>
      <c r="J985" s="62" t="n">
        <f aca="false">BU985*Parameter!$B$18</f>
        <v>0</v>
      </c>
      <c r="K985" s="63" t="n">
        <v>40</v>
      </c>
      <c r="L985" s="64" t="n">
        <v>0</v>
      </c>
      <c r="M985" s="62" t="n">
        <v>0</v>
      </c>
      <c r="N985" s="62" t="n">
        <v>1</v>
      </c>
      <c r="O985" s="65" t="n">
        <v>21</v>
      </c>
      <c r="P985" s="60" t="s">
        <v>210</v>
      </c>
      <c r="Q985" s="62"/>
      <c r="R985" s="65" t="n">
        <f aca="false">IF(CA985=1,0,IFERROR(VLOOKUP(BY985,'Gebinde-Kategorie'!$A$5:$N$45,13,0)+0,0))</f>
        <v>26</v>
      </c>
      <c r="S985" s="66"/>
      <c r="T985" s="67" t="s">
        <v>317</v>
      </c>
      <c r="U985" s="67"/>
      <c r="V985" s="67"/>
      <c r="W985" s="60"/>
      <c r="X985" s="62"/>
      <c r="Y985" s="62"/>
      <c r="Z985" s="60" t="n">
        <v>3</v>
      </c>
      <c r="AA985" s="60" t="n">
        <f aca="false">IF(A985="","",IF(AND(Parameter!$B$21="Ja",ISNUMBER(W985)),W985,IF(AND(Parameter!$E$27="Ja",ISNUMBER(Z985),CD985&lt;&gt;"Nein"),Z985,IF(CD985="2+3",IF(ISNUMBER(SEARCH("grosser Artikel",BV985)),2,IFERROR(VLOOKUP(BY985,Parameter!$F$35:$G$64,2,0),2)),IF(OR(CD985="Nein",CD985=""),"-",CD985)))))</f>
        <v>3</v>
      </c>
      <c r="AB985" s="67"/>
      <c r="AC985" s="68"/>
      <c r="AD985" s="62" t="n">
        <f aca="false">AW985</f>
        <v>1</v>
      </c>
      <c r="AE985" s="62" t="n">
        <f aca="false">MAX(AW985,H985)</f>
        <v>1</v>
      </c>
      <c r="AF985" s="69"/>
      <c r="AG985" s="62" t="n">
        <f aca="false">IF(LEFT(Cockpit!$C$5,1)="A",H985,IF(Parameter!$E$30="MAX-Bestand",IF(CI985=1,CJ985,IF(LEFT(Cockpit!$C$5,1)="B",AM985,MAX(AM985,H985))),ROUNDUP(AK985,0)))</f>
        <v>0</v>
      </c>
      <c r="AH985" s="62" t="n">
        <f aca="false">IF(CA985=1,0,ROUNDUP(AG985/BZ985,0))</f>
        <v>0</v>
      </c>
      <c r="AI985" s="64" t="n">
        <f aca="false">IF(CR985&gt;0,CR985*MAX(1,AG985/X985),IF(CA985=1,IF(AG985&lt;=0,0,CE985*MAX(1,IF(H985&gt;0,AG985/H985,1))),IF(R985&gt;0,AH985/R985,0))/MAX(0.1,N(Parameter!$M$21)))</f>
        <v>0</v>
      </c>
      <c r="AJ985" s="62" t="n">
        <f aca="false">AI985*CC985</f>
        <v>0</v>
      </c>
      <c r="AK985" s="63" t="n">
        <f aca="false">IF(LEFT(Cockpit!$C$5,1)="A",H985,IF(CI985=1,(CL985+CJ985)/2,IF(LEFT(Cockpit!$C$5,1)="B",(CL985+AM985)/2,MAX((CL985+AM985)/2,H985))))</f>
        <v>0</v>
      </c>
      <c r="AL985" s="62" t="n">
        <f aca="false">AK985*G985</f>
        <v>0</v>
      </c>
      <c r="AM985" s="62" t="n">
        <f aca="false">ROUNDUP(CL985+MAX(CM985,2*(J985/IF(CH985&gt;0,CH985,MAX(0.1,N(Cockpit!$C$6)))-CL985)),0)</f>
        <v>1</v>
      </c>
      <c r="AN985" s="63" t="n">
        <f aca="false">IF(AJ985&gt;0,J985/AJ985,-1)</f>
        <v>-1</v>
      </c>
      <c r="AO985" s="63" t="str">
        <f aca="false">IF(AND(OR(CG985="L1",CG985="L23",CG985="LIFT"),AJ985&gt;0),SUMIFS($AJ$7:$AJ$1843,$CG$7:$CG$1843,CG985,$AN$7:$AN$1843,"&gt;"&amp;AN985)+SUMIFS($AJ$7:$AJ$1843,$CG$7:$CG$1843,CG985,$AN$7:$AN$1843,AN985,$BX$7:$BX$1843,"&lt;="&amp;BX985),"")</f>
        <v/>
      </c>
      <c r="AP985" s="70" t="n">
        <f aca="false">IF(AO985="",0,MAX(0,MIN(1,(IF(CG985="L1",Parameter!$H$5,IF(CG985="L23",Parameter!$H$6+Parameter!$H$7,Parameter!$H$5+Parameter!$H$6+Parameter!$H$7))-(AO985-AJ985))/AJ985)))</f>
        <v>0</v>
      </c>
      <c r="AQ985" s="62" t="n">
        <f aca="false">IF(LEFT(Cockpit!$I$5,1)="A",H985,IF(Parameter!$E$30="MAX-Bestand",IF(CI985=1,CJ985,IF(LEFT(Cockpit!$I$5,1)="B",AW985,MAX(AW985,H985))),ROUNDUP(AU985,0)))</f>
        <v>1</v>
      </c>
      <c r="AR985" s="62" t="n">
        <f aca="false">IF(CA985=1,0,ROUNDUP(AQ985/BZ985,0))</f>
        <v>1</v>
      </c>
      <c r="AS985" s="64" t="n">
        <f aca="false">IF(CR985&gt;0,CR985*MAX(1,AQ985/X985),IF(CA985=1,IF(AQ985&lt;=0,0,CE985*MAX(1,IF(H985&gt;0,AQ985/H985,1))),IF(R985&gt;0,AR985/R985,0))/MAX(0.1,N(Parameter!$M$21)))</f>
        <v>0.0384615384615385</v>
      </c>
      <c r="AT985" s="62" t="n">
        <f aca="false">AS985*CC985</f>
        <v>5.96153846153846</v>
      </c>
      <c r="AU985" s="63" t="n">
        <f aca="false">IF(LEFT(Cockpit!$I$5,1)="A",H985,IF(CI985=1,(CL985+CJ985)/2,IF(LEFT(Cockpit!$I$5,1)="B",(CL985+AW985)/2,MAX((CL985+AW985)/2,H985))))</f>
        <v>0.5</v>
      </c>
      <c r="AV985" s="62" t="n">
        <f aca="false">AU985*G985</f>
        <v>1</v>
      </c>
      <c r="AW985" s="62" t="n">
        <f aca="false">ROUNDUP(CL985+MAX(CM985,2*(J985/IF(CH985&gt;0,CH985,MAX(0.1,N(Cockpit!$I$6)))-CL985)),0)</f>
        <v>1</v>
      </c>
      <c r="AX985" s="63" t="n">
        <f aca="false">IF(AT985&gt;0,J985/AT985,-1)</f>
        <v>0</v>
      </c>
      <c r="AY985" s="63" t="n">
        <f aca="false">IF(AND(OR(CG985="L1",CG985="L23",CG985="LIFT"),AT985&gt;0),SUMIFS($AT$7:$AT$1843,$CG$7:$CG$1843,CG985,$AX$7:$AX$1843,"&gt;"&amp;AX985)+SUMIFS($AT$7:$AT$1843,$CG$7:$CG$1843,CG985,$AX$7:$AX$1843,AX985,$BX$7:$BX$1843,"&lt;="&amp;BX985),"")</f>
        <v>34599.0604395604</v>
      </c>
      <c r="AZ985" s="70" t="n">
        <f aca="false">IF(AY985="",0,MAX(0,MIN(1,(IF(CG985="L1",Parameter!$H$5,IF(CG985="L23",Parameter!$H$6+Parameter!$H$7,Parameter!$H$5+Parameter!$H$6+Parameter!$H$7))-(AY985-AT985))/AT985)))</f>
        <v>1</v>
      </c>
      <c r="BA985" s="62" t="n">
        <f aca="false">IF(LEFT(Cockpit!$O$5,1)="A",H985,IF(Parameter!$E$30="MAX-Bestand",IF(CI985=1,CJ985,IF(LEFT(Cockpit!$O$5,1)="B",BG985,MAX(BG985,H985))),ROUNDUP(BE985,0)))</f>
        <v>1</v>
      </c>
      <c r="BB985" s="62" t="n">
        <f aca="false">IF(CA985=1,0,ROUNDUP(BA985/BZ985,0))</f>
        <v>1</v>
      </c>
      <c r="BC985" s="64" t="n">
        <f aca="false">IF(CR985&gt;0,CR985*MAX(1,BA985/X985),IF(CA985=1,IF(BA985&lt;=0,0,CE985*MAX(1,IF(H985&gt;0,BA985/H985,1))),IF(R985&gt;0,BB985/R985,0))/MAX(0.1,N(Parameter!$M$21)))</f>
        <v>0.0384615384615385</v>
      </c>
      <c r="BD985" s="62" t="n">
        <f aca="false">BC985*CC985</f>
        <v>5.96153846153846</v>
      </c>
      <c r="BE985" s="63" t="n">
        <f aca="false">IF(LEFT(Cockpit!$O$5,1)="A",H985,IF(CI985=1,(CL985+CJ985)/2,IF(LEFT(Cockpit!$O$5,1)="B",(CL985+BG985)/2,MAX((CL985+BG985)/2,H985))))</f>
        <v>0.5</v>
      </c>
      <c r="BF985" s="62" t="n">
        <f aca="false">BE985*G985</f>
        <v>1</v>
      </c>
      <c r="BG985" s="62" t="n">
        <f aca="false">ROUNDUP(CL985+MAX(CM985,2*(J985/IF(CH985&gt;0,CH985,MAX(0.1,N(Cockpit!$O$6)))-CL985)),0)</f>
        <v>1</v>
      </c>
      <c r="BH985" s="63" t="n">
        <f aca="false">IF(BD985&gt;0,J985/BD985,-1)</f>
        <v>0</v>
      </c>
      <c r="BI985" s="63" t="n">
        <f aca="false">IF(AND(OR(CG985="L1",CG985="L23",CG985="LIFT"),BD985&gt;0),SUMIFS($BD$7:$BD$1843,$CG$7:$CG$1843,CG985,$BH$7:$BH$1843,"&gt;"&amp;BH985)+SUMIFS($BD$7:$BD$1843,$CG$7:$CG$1843,CG985,$BH$7:$BH$1843,BH985,$BX$7:$BX$1843,"&lt;="&amp;BX985),"")</f>
        <v>28623.597868939</v>
      </c>
      <c r="BJ985" s="70" t="n">
        <f aca="false">IF(BI985="",0,MAX(0,MIN(1,(IF(CG985="L1",Parameter!$H$5,IF(CG985="L23",Parameter!$H$6+Parameter!$H$7,Parameter!$H$5+Parameter!$H$6+Parameter!$H$7))-(BI985-BD985))/BD985)))</f>
        <v>1</v>
      </c>
      <c r="BK985" s="60" t="str">
        <f aca="false">IF(AJ985&lt;=0,"",IF(CG985="Aussen","Aussenlager",IF(CG985="-","Nicht im Lift",IF(AP985&gt;=1,"Lift",IF(AP985&lt;=0,"Aussenlager","teilweise")))))</f>
        <v/>
      </c>
      <c r="BL985" s="60" t="str">
        <f aca="false">IF(AT985&lt;=0,"",IF(CG985="Aussen","Aussenlager",IF(CG985="-","Nicht im Lift",IF(AZ985&gt;=1,"Lift",IF(AZ985&lt;=0,"Aussenlager","teilweise")))))</f>
        <v>Lift</v>
      </c>
      <c r="BM985" s="60" t="str">
        <f aca="false">IF(BD985&lt;=0,"",IF(CG985="Aussen","Aussenlager",IF(CG985="-","Nicht im Lift",IF(BJ985&gt;=1,"Lift",IF(BJ985&lt;=0,"Aussenlager","teilweise")))))</f>
        <v>Lift</v>
      </c>
      <c r="BN985" s="60" t="str">
        <f aca="false">IF(A985="","",IF(BW985=1,"Neu; ","")&amp;IF(AND(BW985=0,BR985&lt;0),"negativer Bestand (Export "&amp;BR985&amp;"); ","")&amp;IF(J985&lt;=0,"Kein Verbrauch; ","")&amp;IF(CR985&gt;0,"Lift "&amp;W985&amp;" lt. Liftbericht (Fach "&amp;X985&amp;" Stk); ",IF(CB985=1,"Gebinde geschätzt ("&amp;T985&amp;"); ",IF(CA985=1,"Lose – Tablare geschätzt; ","")))&amp;IF(H985&gt;AW985,"Überbestand "&amp;ROUND(H985-AW985,0)&amp;" Stk / CHF "&amp;ROUND((H985-AW985)*G985,0)&amp;"; ","")&amp;IF(AND(CI985=1,CJ985&lt;CK985),"MAX &lt; MB+LG; ","")&amp;IF(AND(CQ985&gt;0,CP985*10&gt;CQ985),"zu hoch für Tablar; ","")&amp;IF(AND(BW985=0,OR(CI985=1,AB985&lt;&gt;"",U985&lt;&gt;"",V985&lt;&gt;"",AC985&lt;&gt;"")),"manuell übersteuert; ","")&amp;IF(AND(CA985=0,R985=0),"Gebinde unbekannt / Stellmass fehlt; ","")&amp;IF(AND(CA985=0,N(V985)&lt;=0,N(Q985)&lt;=0),"Menge pro Gebinde fehlt (Ist = 1 Gebinde); ","")&amp;BV985)</f>
        <v>negativer Bestand (Export -40); Kein Verbrauch; Gebinde geschätzt (Klein); Menge pro Gebinde fehlt (Ist = 1 Gebinde); </v>
      </c>
      <c r="BO985" s="60"/>
      <c r="BP985" s="60"/>
      <c r="BQ985" s="67"/>
      <c r="BR985" s="62" t="n">
        <v>-40</v>
      </c>
      <c r="BS985" s="62" t="n">
        <v>40</v>
      </c>
      <c r="BT985" s="61" t="n">
        <v>-80</v>
      </c>
      <c r="BU985" s="62" t="n">
        <v>0</v>
      </c>
      <c r="BV985" s="60"/>
      <c r="BW985" s="65" t="n">
        <v>0</v>
      </c>
      <c r="BX985" s="65" t="n">
        <v>985</v>
      </c>
      <c r="BY985" s="60" t="str">
        <f aca="false">IF(U985&lt;&gt;"",UPPER(TRIM(U985)),IF(CB985=1,UPPER(VLOOKUP(T985,Parameter!$I$27:$K$29,2,0)),IF(P985="","LOSE",P985)))</f>
        <v>S51</v>
      </c>
      <c r="BZ985" s="62" t="n">
        <f aca="false">IF(BY985="LOSE",1,IF(N(V985)&gt;0,V985,IF(CB985=1,MAX(1,N(VLOOKUP(T985,Parameter!$I$27:$K$29,3,0)),H985,N(N985)),IF(N(Q985)&gt;0,Q985,MAX(1,H985)))))</f>
        <v>20</v>
      </c>
      <c r="CA985" s="65" t="n">
        <f aca="false">IF(BY985="LOSE",1,0)</f>
        <v>0</v>
      </c>
      <c r="CB985" s="65" t="n">
        <f aca="false">IF(AND(U985="",OR(P985="",P985="LOSE"),T985&lt;&gt;"",N(S985)&lt;=0,ISNUMBER(MATCH(T985,Parameter!$I$27:$I$29,0))),1,0)</f>
        <v>1</v>
      </c>
      <c r="CC985" s="65" t="n">
        <f aca="false">IF(CR985&gt;0,INDEX(Parameter!$H$5:$H$7,W985)/INDEX(Parameter!$E$5:$E$7,W985),IF(AND(CA985=0,N(IFERROR(VLOOKUP(BY985,'Gebinde-Kategorie'!$A$5:$N$45,14,0),0))&gt;0),VLOOKUP(BY985,'Gebinde-Kategorie'!$A$5:$N$45,14,0)*10+Parameter!$M$23,Parameter!$M$24))</f>
        <v>155</v>
      </c>
      <c r="CD985" s="60" t="str">
        <f aca="false">IF(AND(Parameter!$B$19="Ja",E985&lt;&gt;"",ISNUMBER(MATCH(E985,Parameter!$I$35:$I$52,0))),VLOOKUP(E985,Parameter!$I$35:$J$52,2,0),IFERROR(VLOOKUP(D985,Parameter!$A$35:$C$64,2,0),"Nein"))</f>
        <v>2+3</v>
      </c>
      <c r="CE985" s="64" t="n">
        <f aca="false">IF(CA985=0,0,IF(N(S985)&gt;0,S985,IFERROR(VLOOKUP(D985,Parameter!$A$35:$C$64,3,0)+0,0)))</f>
        <v>0</v>
      </c>
      <c r="CF985" s="60" t="n">
        <f aca="false">IF(AB985&lt;&gt;"",AB985,AA985)</f>
        <v>3</v>
      </c>
      <c r="CG985" s="60" t="str">
        <f aca="false">IF(OR(CF985=1,CF985=2,CF985=3),IF(Parameter!$E$27="Ja","LIFT",IF(CF985=1,"L1","L23")),IF(CF985="Aussen","Aussen","-"))</f>
        <v>LIFT</v>
      </c>
      <c r="CH985" s="71" t="n">
        <f aca="false">IF(N(AC985)&gt;0,AC985,0)</f>
        <v>0</v>
      </c>
      <c r="CI985" s="65" t="n">
        <f aca="false">IF(ISNUMBER(AF985),1,0)</f>
        <v>0</v>
      </c>
      <c r="CJ985" s="62" t="n">
        <f aca="false">N(AF985)</f>
        <v>0</v>
      </c>
      <c r="CK985" s="62" t="n">
        <f aca="false">N(M985)+N(N985)</f>
        <v>1</v>
      </c>
      <c r="CL985" s="62" t="n">
        <f aca="false">N(M985)</f>
        <v>0</v>
      </c>
      <c r="CM985" s="62" t="n">
        <f aca="false">N(N985)</f>
        <v>1</v>
      </c>
      <c r="CN985" s="62" t="n">
        <f aca="false">ROUNDUP(H985/BZ985,0)</f>
        <v>0</v>
      </c>
      <c r="CO985" s="62" t="n">
        <f aca="false">ROUNDUP(CJ985/BZ985,0)</f>
        <v>0</v>
      </c>
      <c r="CP985" s="65" t="n">
        <f aca="false">IF(CA985=1,0,IFERROR(VLOOKUP(BY985,'Gebinde-Kategorie'!$A$5:$N$45,5,0)+0,0))</f>
        <v>11</v>
      </c>
      <c r="CQ985" s="65" t="n">
        <f aca="false">IFERROR(IF(OR(CF985=1,CF985=2,CF985=3),N(INDEX(Parameter!$I$5:$I$7,CF985)),0),0)</f>
        <v>0</v>
      </c>
      <c r="CR985" s="64" t="n">
        <f aca="false">IF(AND(Parameter!$B$21="Ja",ISNUMBER(W985),N(X985)&gt;0),IFERROR(N(INDEX(Parameter!$L$5:$L$7,W985))*INDEX(Parameter!$E$5:$E$7,W985)*X985/SUMIFS($X$7:$X$1843,$W$7:$W$1843,W985),0),0)</f>
        <v>0</v>
      </c>
      <c r="CS985" s="62" t="str">
        <f aca="false">IF(AND(OR(CG985="L1",CG985="L23",CG985="LIFT"),H985&gt;0),CC985*IF(CR985&gt;0,CR985*MAX(1,H985/X985),IF(CA985=1,CE985,IF(R985&gt;0,CN985/R985,0))/MAX(0.1,N(Parameter!$M$21))),"")</f>
        <v/>
      </c>
      <c r="CT985" s="64" t="str">
        <f aca="false">IF(CS985="","",J985/H985)</f>
        <v/>
      </c>
      <c r="CU985" s="62" t="str">
        <f aca="false">IF(CS985="","",H985*G985)</f>
        <v/>
      </c>
      <c r="CV985" s="63" t="str">
        <f aca="false">IF(CS985="","",(CL985+ROUNDUP(CL985+MAX(CM985,2*(J985/MAX(0.1,N(Einkauf!$C$6))-CL985)),0))/2)</f>
        <v/>
      </c>
      <c r="CW985" s="62" t="str">
        <f aca="false">IF(CS985="","",MAX(0,H985-CV985)*G985)</f>
        <v/>
      </c>
      <c r="CX985" s="62" t="str">
        <f aca="false">IF(CS985="","",CS985*MAX(0,1-CV985/H985))</f>
        <v/>
      </c>
      <c r="CY985" s="64" t="str">
        <f aca="false">IF(CS985="","",PERCENTRANK($CS$7:$CS$1843,CS985)+PERCENTRANK($CU$7:$CU$1843,CU985)+1-PERCENTRANK($CT$7:$CT$1843,CT985))</f>
        <v/>
      </c>
      <c r="CZ985" s="72" t="str">
        <f aca="false">IF(CS985="","",CHOOSE(MATCH(Einkauf!$C$5,Parameter!$G$23:$G$27,0),CY985,CS985,CU985,-CT985,CW985)+ROW()/1000000000)</f>
        <v/>
      </c>
    </row>
    <row r="986" customFormat="false" ht="15" hidden="false" customHeight="false" outlineLevel="0" collapsed="false">
      <c r="A986" s="60" t="s">
        <v>1865</v>
      </c>
      <c r="B986" s="60" t="s">
        <v>1866</v>
      </c>
      <c r="C986" s="60" t="s">
        <v>498</v>
      </c>
      <c r="D986" s="60" t="s">
        <v>226</v>
      </c>
      <c r="E986" s="60"/>
      <c r="F986" s="60" t="s">
        <v>260</v>
      </c>
      <c r="G986" s="61" t="n">
        <v>2</v>
      </c>
      <c r="H986" s="62" t="n">
        <f aca="false">MAX(0,IF(AND(Parameter!$B$21="Ja",ISNUMBER(Y986)),Y986,IF(Parameter!$B$20="Jahresanfang 2025 + Export",BS986+BR986,BR986)))</f>
        <v>0</v>
      </c>
      <c r="I986" s="62" t="n">
        <f aca="false">H986*G986</f>
        <v>0</v>
      </c>
      <c r="J986" s="62" t="n">
        <f aca="false">BU986*Parameter!$B$18</f>
        <v>0</v>
      </c>
      <c r="K986" s="63" t="n">
        <v>37.5</v>
      </c>
      <c r="L986" s="64" t="n">
        <v>0</v>
      </c>
      <c r="M986" s="62" t="n">
        <v>0</v>
      </c>
      <c r="N986" s="62" t="n">
        <v>1</v>
      </c>
      <c r="O986" s="65" t="n">
        <v>21</v>
      </c>
      <c r="P986" s="60" t="s">
        <v>210</v>
      </c>
      <c r="Q986" s="62"/>
      <c r="R986" s="65" t="n">
        <f aca="false">IF(CA986=1,0,IFERROR(VLOOKUP(BY986,'Gebinde-Kategorie'!$A$5:$N$45,13,0)+0,0))</f>
        <v>26</v>
      </c>
      <c r="S986" s="66"/>
      <c r="T986" s="67" t="s">
        <v>317</v>
      </c>
      <c r="U986" s="67"/>
      <c r="V986" s="67"/>
      <c r="W986" s="60"/>
      <c r="X986" s="62"/>
      <c r="Y986" s="62"/>
      <c r="Z986" s="60" t="n">
        <v>3</v>
      </c>
      <c r="AA986" s="60" t="n">
        <f aca="false">IF(A986="","",IF(AND(Parameter!$B$21="Ja",ISNUMBER(W986)),W986,IF(AND(Parameter!$E$27="Ja",ISNUMBER(Z986),CD986&lt;&gt;"Nein"),Z986,IF(CD986="2+3",IF(ISNUMBER(SEARCH("grosser Artikel",BV986)),2,IFERROR(VLOOKUP(BY986,Parameter!$F$35:$G$64,2,0),2)),IF(OR(CD986="Nein",CD986=""),"-",CD986)))))</f>
        <v>3</v>
      </c>
      <c r="AB986" s="67"/>
      <c r="AC986" s="68"/>
      <c r="AD986" s="62" t="n">
        <f aca="false">AW986</f>
        <v>1</v>
      </c>
      <c r="AE986" s="62" t="n">
        <f aca="false">MAX(AW986,H986)</f>
        <v>1</v>
      </c>
      <c r="AF986" s="69"/>
      <c r="AG986" s="62" t="n">
        <f aca="false">IF(LEFT(Cockpit!$C$5,1)="A",H986,IF(Parameter!$E$30="MAX-Bestand",IF(CI986=1,CJ986,IF(LEFT(Cockpit!$C$5,1)="B",AM986,MAX(AM986,H986))),ROUNDUP(AK986,0)))</f>
        <v>0</v>
      </c>
      <c r="AH986" s="62" t="n">
        <f aca="false">IF(CA986=1,0,ROUNDUP(AG986/BZ986,0))</f>
        <v>0</v>
      </c>
      <c r="AI986" s="64" t="n">
        <f aca="false">IF(CR986&gt;0,CR986*MAX(1,AG986/X986),IF(CA986=1,IF(AG986&lt;=0,0,CE986*MAX(1,IF(H986&gt;0,AG986/H986,1))),IF(R986&gt;0,AH986/R986,0))/MAX(0.1,N(Parameter!$M$21)))</f>
        <v>0</v>
      </c>
      <c r="AJ986" s="62" t="n">
        <f aca="false">AI986*CC986</f>
        <v>0</v>
      </c>
      <c r="AK986" s="63" t="n">
        <f aca="false">IF(LEFT(Cockpit!$C$5,1)="A",H986,IF(CI986=1,(CL986+CJ986)/2,IF(LEFT(Cockpit!$C$5,1)="B",(CL986+AM986)/2,MAX((CL986+AM986)/2,H986))))</f>
        <v>0</v>
      </c>
      <c r="AL986" s="62" t="n">
        <f aca="false">AK986*G986</f>
        <v>0</v>
      </c>
      <c r="AM986" s="62" t="n">
        <f aca="false">ROUNDUP(CL986+MAX(CM986,2*(J986/IF(CH986&gt;0,CH986,MAX(0.1,N(Cockpit!$C$6)))-CL986)),0)</f>
        <v>1</v>
      </c>
      <c r="AN986" s="63" t="n">
        <f aca="false">IF(AJ986&gt;0,J986/AJ986,-1)</f>
        <v>-1</v>
      </c>
      <c r="AO986" s="63" t="str">
        <f aca="false">IF(AND(OR(CG986="L1",CG986="L23",CG986="LIFT"),AJ986&gt;0),SUMIFS($AJ$7:$AJ$1843,$CG$7:$CG$1843,CG986,$AN$7:$AN$1843,"&gt;"&amp;AN986)+SUMIFS($AJ$7:$AJ$1843,$CG$7:$CG$1843,CG986,$AN$7:$AN$1843,AN986,$BX$7:$BX$1843,"&lt;="&amp;BX986),"")</f>
        <v/>
      </c>
      <c r="AP986" s="70" t="n">
        <f aca="false">IF(AO986="",0,MAX(0,MIN(1,(IF(CG986="L1",Parameter!$H$5,IF(CG986="L23",Parameter!$H$6+Parameter!$H$7,Parameter!$H$5+Parameter!$H$6+Parameter!$H$7))-(AO986-AJ986))/AJ986)))</f>
        <v>0</v>
      </c>
      <c r="AQ986" s="62" t="n">
        <f aca="false">IF(LEFT(Cockpit!$I$5,1)="A",H986,IF(Parameter!$E$30="MAX-Bestand",IF(CI986=1,CJ986,IF(LEFT(Cockpit!$I$5,1)="B",AW986,MAX(AW986,H986))),ROUNDUP(AU986,0)))</f>
        <v>1</v>
      </c>
      <c r="AR986" s="62" t="n">
        <f aca="false">IF(CA986=1,0,ROUNDUP(AQ986/BZ986,0))</f>
        <v>1</v>
      </c>
      <c r="AS986" s="64" t="n">
        <f aca="false">IF(CR986&gt;0,CR986*MAX(1,AQ986/X986),IF(CA986=1,IF(AQ986&lt;=0,0,CE986*MAX(1,IF(H986&gt;0,AQ986/H986,1))),IF(R986&gt;0,AR986/R986,0))/MAX(0.1,N(Parameter!$M$21)))</f>
        <v>0.0384615384615385</v>
      </c>
      <c r="AT986" s="62" t="n">
        <f aca="false">AS986*CC986</f>
        <v>5.96153846153846</v>
      </c>
      <c r="AU986" s="63" t="n">
        <f aca="false">IF(LEFT(Cockpit!$I$5,1)="A",H986,IF(CI986=1,(CL986+CJ986)/2,IF(LEFT(Cockpit!$I$5,1)="B",(CL986+AW986)/2,MAX((CL986+AW986)/2,H986))))</f>
        <v>0.5</v>
      </c>
      <c r="AV986" s="62" t="n">
        <f aca="false">AU986*G986</f>
        <v>1</v>
      </c>
      <c r="AW986" s="62" t="n">
        <f aca="false">ROUNDUP(CL986+MAX(CM986,2*(J986/IF(CH986&gt;0,CH986,MAX(0.1,N(Cockpit!$I$6)))-CL986)),0)</f>
        <v>1</v>
      </c>
      <c r="AX986" s="63" t="n">
        <f aca="false">IF(AT986&gt;0,J986/AT986,-1)</f>
        <v>0</v>
      </c>
      <c r="AY986" s="63" t="n">
        <f aca="false">IF(AND(OR(CG986="L1",CG986="L23",CG986="LIFT"),AT986&gt;0),SUMIFS($AT$7:$AT$1843,$CG$7:$CG$1843,CG986,$AX$7:$AX$1843,"&gt;"&amp;AX986)+SUMIFS($AT$7:$AT$1843,$CG$7:$CG$1843,CG986,$AX$7:$AX$1843,AX986,$BX$7:$BX$1843,"&lt;="&amp;BX986),"")</f>
        <v>34605.021978022</v>
      </c>
      <c r="AZ986" s="70" t="n">
        <f aca="false">IF(AY986="",0,MAX(0,MIN(1,(IF(CG986="L1",Parameter!$H$5,IF(CG986="L23",Parameter!$H$6+Parameter!$H$7,Parameter!$H$5+Parameter!$H$6+Parameter!$H$7))-(AY986-AT986))/AT986)))</f>
        <v>1</v>
      </c>
      <c r="BA986" s="62" t="n">
        <f aca="false">IF(LEFT(Cockpit!$O$5,1)="A",H986,IF(Parameter!$E$30="MAX-Bestand",IF(CI986=1,CJ986,IF(LEFT(Cockpit!$O$5,1)="B",BG986,MAX(BG986,H986))),ROUNDUP(BE986,0)))</f>
        <v>1</v>
      </c>
      <c r="BB986" s="62" t="n">
        <f aca="false">IF(CA986=1,0,ROUNDUP(BA986/BZ986,0))</f>
        <v>1</v>
      </c>
      <c r="BC986" s="64" t="n">
        <f aca="false">IF(CR986&gt;0,CR986*MAX(1,BA986/X986),IF(CA986=1,IF(BA986&lt;=0,0,CE986*MAX(1,IF(H986&gt;0,BA986/H986,1))),IF(R986&gt;0,BB986/R986,0))/MAX(0.1,N(Parameter!$M$21)))</f>
        <v>0.0384615384615385</v>
      </c>
      <c r="BD986" s="62" t="n">
        <f aca="false">BC986*CC986</f>
        <v>5.96153846153846</v>
      </c>
      <c r="BE986" s="63" t="n">
        <f aca="false">IF(LEFT(Cockpit!$O$5,1)="A",H986,IF(CI986=1,(CL986+CJ986)/2,IF(LEFT(Cockpit!$O$5,1)="B",(CL986+BG986)/2,MAX((CL986+BG986)/2,H986))))</f>
        <v>0.5</v>
      </c>
      <c r="BF986" s="62" t="n">
        <f aca="false">BE986*G986</f>
        <v>1</v>
      </c>
      <c r="BG986" s="62" t="n">
        <f aca="false">ROUNDUP(CL986+MAX(CM986,2*(J986/IF(CH986&gt;0,CH986,MAX(0.1,N(Cockpit!$O$6)))-CL986)),0)</f>
        <v>1</v>
      </c>
      <c r="BH986" s="63" t="n">
        <f aca="false">IF(BD986&gt;0,J986/BD986,-1)</f>
        <v>0</v>
      </c>
      <c r="BI986" s="63" t="n">
        <f aca="false">IF(AND(OR(CG986="L1",CG986="L23",CG986="LIFT"),BD986&gt;0),SUMIFS($BD$7:$BD$1843,$CG$7:$CG$1843,CG986,$BH$7:$BH$1843,"&gt;"&amp;BH986)+SUMIFS($BD$7:$BD$1843,$CG$7:$CG$1843,CG986,$BH$7:$BH$1843,BH986,$BX$7:$BX$1843,"&lt;="&amp;BX986),"")</f>
        <v>28629.5594074005</v>
      </c>
      <c r="BJ986" s="70" t="n">
        <f aca="false">IF(BI986="",0,MAX(0,MIN(1,(IF(CG986="L1",Parameter!$H$5,IF(CG986="L23",Parameter!$H$6+Parameter!$H$7,Parameter!$H$5+Parameter!$H$6+Parameter!$H$7))-(BI986-BD986))/BD986)))</f>
        <v>1</v>
      </c>
      <c r="BK986" s="60" t="str">
        <f aca="false">IF(AJ986&lt;=0,"",IF(CG986="Aussen","Aussenlager",IF(CG986="-","Nicht im Lift",IF(AP986&gt;=1,"Lift",IF(AP986&lt;=0,"Aussenlager","teilweise")))))</f>
        <v/>
      </c>
      <c r="BL986" s="60" t="str">
        <f aca="false">IF(AT986&lt;=0,"",IF(CG986="Aussen","Aussenlager",IF(CG986="-","Nicht im Lift",IF(AZ986&gt;=1,"Lift",IF(AZ986&lt;=0,"Aussenlager","teilweise")))))</f>
        <v>Lift</v>
      </c>
      <c r="BM986" s="60" t="str">
        <f aca="false">IF(BD986&lt;=0,"",IF(CG986="Aussen","Aussenlager",IF(CG986="-","Nicht im Lift",IF(BJ986&gt;=1,"Lift",IF(BJ986&lt;=0,"Aussenlager","teilweise")))))</f>
        <v>Lift</v>
      </c>
      <c r="BN986" s="60" t="str">
        <f aca="false">IF(A986="","",IF(BW986=1,"Neu; ","")&amp;IF(AND(BW986=0,BR986&lt;0),"negativer Bestand (Export "&amp;BR986&amp;"); ","")&amp;IF(J986&lt;=0,"Kein Verbrauch; ","")&amp;IF(CR986&gt;0,"Lift "&amp;W986&amp;" lt. Liftbericht (Fach "&amp;X986&amp;" Stk); ",IF(CB986=1,"Gebinde geschätzt ("&amp;T986&amp;"); ",IF(CA986=1,"Lose – Tablare geschätzt; ","")))&amp;IF(H986&gt;AW986,"Überbestand "&amp;ROUND(H986-AW986,0)&amp;" Stk / CHF "&amp;ROUND((H986-AW986)*G986,0)&amp;"; ","")&amp;IF(AND(CI986=1,CJ986&lt;CK986),"MAX &lt; MB+LG; ","")&amp;IF(AND(CQ986&gt;0,CP986*10&gt;CQ986),"zu hoch für Tablar; ","")&amp;IF(AND(BW986=0,OR(CI986=1,AB986&lt;&gt;"",U986&lt;&gt;"",V986&lt;&gt;"",AC986&lt;&gt;"")),"manuell übersteuert; ","")&amp;IF(AND(CA986=0,R986=0),"Gebinde unbekannt / Stellmass fehlt; ","")&amp;IF(AND(CA986=0,N(V986)&lt;=0,N(Q986)&lt;=0),"Menge pro Gebinde fehlt (Ist = 1 Gebinde); ","")&amp;BV986)</f>
        <v>negativer Bestand (Export -40); Kein Verbrauch; Gebinde geschätzt (Klein); Menge pro Gebinde fehlt (Ist = 1 Gebinde); </v>
      </c>
      <c r="BO986" s="60"/>
      <c r="BP986" s="60"/>
      <c r="BQ986" s="67"/>
      <c r="BR986" s="62" t="n">
        <v>-40</v>
      </c>
      <c r="BS986" s="62" t="n">
        <v>40</v>
      </c>
      <c r="BT986" s="61" t="n">
        <v>-80</v>
      </c>
      <c r="BU986" s="62" t="n">
        <v>0</v>
      </c>
      <c r="BV986" s="60"/>
      <c r="BW986" s="65" t="n">
        <v>0</v>
      </c>
      <c r="BX986" s="65" t="n">
        <v>986</v>
      </c>
      <c r="BY986" s="60" t="str">
        <f aca="false">IF(U986&lt;&gt;"",UPPER(TRIM(U986)),IF(CB986=1,UPPER(VLOOKUP(T986,Parameter!$I$27:$K$29,2,0)),IF(P986="","LOSE",P986)))</f>
        <v>S51</v>
      </c>
      <c r="BZ986" s="62" t="n">
        <f aca="false">IF(BY986="LOSE",1,IF(N(V986)&gt;0,V986,IF(CB986=1,MAX(1,N(VLOOKUP(T986,Parameter!$I$27:$K$29,3,0)),H986,N(N986)),IF(N(Q986)&gt;0,Q986,MAX(1,H986)))))</f>
        <v>20</v>
      </c>
      <c r="CA986" s="65" t="n">
        <f aca="false">IF(BY986="LOSE",1,0)</f>
        <v>0</v>
      </c>
      <c r="CB986" s="65" t="n">
        <f aca="false">IF(AND(U986="",OR(P986="",P986="LOSE"),T986&lt;&gt;"",N(S986)&lt;=0,ISNUMBER(MATCH(T986,Parameter!$I$27:$I$29,0))),1,0)</f>
        <v>1</v>
      </c>
      <c r="CC986" s="65" t="n">
        <f aca="false">IF(CR986&gt;0,INDEX(Parameter!$H$5:$H$7,W986)/INDEX(Parameter!$E$5:$E$7,W986),IF(AND(CA986=0,N(IFERROR(VLOOKUP(BY986,'Gebinde-Kategorie'!$A$5:$N$45,14,0),0))&gt;0),VLOOKUP(BY986,'Gebinde-Kategorie'!$A$5:$N$45,14,0)*10+Parameter!$M$23,Parameter!$M$24))</f>
        <v>155</v>
      </c>
      <c r="CD986" s="60" t="str">
        <f aca="false">IF(AND(Parameter!$B$19="Ja",E986&lt;&gt;"",ISNUMBER(MATCH(E986,Parameter!$I$35:$I$52,0))),VLOOKUP(E986,Parameter!$I$35:$J$52,2,0),IFERROR(VLOOKUP(D986,Parameter!$A$35:$C$64,2,0),"Nein"))</f>
        <v>2+3</v>
      </c>
      <c r="CE986" s="64" t="n">
        <f aca="false">IF(CA986=0,0,IF(N(S986)&gt;0,S986,IFERROR(VLOOKUP(D986,Parameter!$A$35:$C$64,3,0)+0,0)))</f>
        <v>0</v>
      </c>
      <c r="CF986" s="60" t="n">
        <f aca="false">IF(AB986&lt;&gt;"",AB986,AA986)</f>
        <v>3</v>
      </c>
      <c r="CG986" s="60" t="str">
        <f aca="false">IF(OR(CF986=1,CF986=2,CF986=3),IF(Parameter!$E$27="Ja","LIFT",IF(CF986=1,"L1","L23")),IF(CF986="Aussen","Aussen","-"))</f>
        <v>LIFT</v>
      </c>
      <c r="CH986" s="71" t="n">
        <f aca="false">IF(N(AC986)&gt;0,AC986,0)</f>
        <v>0</v>
      </c>
      <c r="CI986" s="65" t="n">
        <f aca="false">IF(ISNUMBER(AF986),1,0)</f>
        <v>0</v>
      </c>
      <c r="CJ986" s="62" t="n">
        <f aca="false">N(AF986)</f>
        <v>0</v>
      </c>
      <c r="CK986" s="62" t="n">
        <f aca="false">N(M986)+N(N986)</f>
        <v>1</v>
      </c>
      <c r="CL986" s="62" t="n">
        <f aca="false">N(M986)</f>
        <v>0</v>
      </c>
      <c r="CM986" s="62" t="n">
        <f aca="false">N(N986)</f>
        <v>1</v>
      </c>
      <c r="CN986" s="62" t="n">
        <f aca="false">ROUNDUP(H986/BZ986,0)</f>
        <v>0</v>
      </c>
      <c r="CO986" s="62" t="n">
        <f aca="false">ROUNDUP(CJ986/BZ986,0)</f>
        <v>0</v>
      </c>
      <c r="CP986" s="65" t="n">
        <f aca="false">IF(CA986=1,0,IFERROR(VLOOKUP(BY986,'Gebinde-Kategorie'!$A$5:$N$45,5,0)+0,0))</f>
        <v>11</v>
      </c>
      <c r="CQ986" s="65" t="n">
        <f aca="false">IFERROR(IF(OR(CF986=1,CF986=2,CF986=3),N(INDEX(Parameter!$I$5:$I$7,CF986)),0),0)</f>
        <v>0</v>
      </c>
      <c r="CR986" s="64" t="n">
        <f aca="false">IF(AND(Parameter!$B$21="Ja",ISNUMBER(W986),N(X986)&gt;0),IFERROR(N(INDEX(Parameter!$L$5:$L$7,W986))*INDEX(Parameter!$E$5:$E$7,W986)*X986/SUMIFS($X$7:$X$1843,$W$7:$W$1843,W986),0),0)</f>
        <v>0</v>
      </c>
      <c r="CS986" s="62" t="str">
        <f aca="false">IF(AND(OR(CG986="L1",CG986="L23",CG986="LIFT"),H986&gt;0),CC986*IF(CR986&gt;0,CR986*MAX(1,H986/X986),IF(CA986=1,CE986,IF(R986&gt;0,CN986/R986,0))/MAX(0.1,N(Parameter!$M$21))),"")</f>
        <v/>
      </c>
      <c r="CT986" s="64" t="str">
        <f aca="false">IF(CS986="","",J986/H986)</f>
        <v/>
      </c>
      <c r="CU986" s="62" t="str">
        <f aca="false">IF(CS986="","",H986*G986)</f>
        <v/>
      </c>
      <c r="CV986" s="63" t="str">
        <f aca="false">IF(CS986="","",(CL986+ROUNDUP(CL986+MAX(CM986,2*(J986/MAX(0.1,N(Einkauf!$C$6))-CL986)),0))/2)</f>
        <v/>
      </c>
      <c r="CW986" s="62" t="str">
        <f aca="false">IF(CS986="","",MAX(0,H986-CV986)*G986)</f>
        <v/>
      </c>
      <c r="CX986" s="62" t="str">
        <f aca="false">IF(CS986="","",CS986*MAX(0,1-CV986/H986))</f>
        <v/>
      </c>
      <c r="CY986" s="64" t="str">
        <f aca="false">IF(CS986="","",PERCENTRANK($CS$7:$CS$1843,CS986)+PERCENTRANK($CU$7:$CU$1843,CU986)+1-PERCENTRANK($CT$7:$CT$1843,CT986))</f>
        <v/>
      </c>
      <c r="CZ986" s="72" t="str">
        <f aca="false">IF(CS986="","",CHOOSE(MATCH(Einkauf!$C$5,Parameter!$G$23:$G$27,0),CY986,CS986,CU986,-CT986,CW986)+ROW()/1000000000)</f>
        <v/>
      </c>
    </row>
    <row r="987" customFormat="false" ht="15" hidden="false" customHeight="false" outlineLevel="0" collapsed="false">
      <c r="A987" s="60" t="s">
        <v>1867</v>
      </c>
      <c r="B987" s="60" t="s">
        <v>1868</v>
      </c>
      <c r="C987" s="60" t="s">
        <v>206</v>
      </c>
      <c r="D987" s="60" t="s">
        <v>226</v>
      </c>
      <c r="E987" s="60" t="s">
        <v>227</v>
      </c>
      <c r="F987" s="60" t="s">
        <v>260</v>
      </c>
      <c r="G987" s="61" t="n">
        <v>80.81</v>
      </c>
      <c r="H987" s="62" t="n">
        <f aca="false">MAX(0,IF(AND(Parameter!$B$21="Ja",ISNUMBER(Y987)),Y987,IF(Parameter!$B$20="Jahresanfang 2025 + Export",BS987+BR987,BR987)))</f>
        <v>1</v>
      </c>
      <c r="I987" s="62" t="n">
        <f aca="false">H987*G987</f>
        <v>80.81</v>
      </c>
      <c r="J987" s="62" t="n">
        <f aca="false">BU987*Parameter!$B$18</f>
        <v>1</v>
      </c>
      <c r="K987" s="63" t="n">
        <v>1.5</v>
      </c>
      <c r="L987" s="64" t="n">
        <v>0.666666666666667</v>
      </c>
      <c r="M987" s="62" t="n">
        <v>0</v>
      </c>
      <c r="N987" s="62" t="n">
        <v>1</v>
      </c>
      <c r="O987" s="65" t="n">
        <v>14</v>
      </c>
      <c r="P987" s="60" t="s">
        <v>344</v>
      </c>
      <c r="Q987" s="62" t="n">
        <v>8</v>
      </c>
      <c r="R987" s="65" t="n">
        <f aca="false">IF(CA987=1,0,IFERROR(VLOOKUP(BY987,'Gebinde-Kategorie'!$A$5:$N$45,13,0)+0,0))</f>
        <v>26</v>
      </c>
      <c r="S987" s="66"/>
      <c r="T987" s="67"/>
      <c r="U987" s="67"/>
      <c r="V987" s="67"/>
      <c r="W987" s="60"/>
      <c r="X987" s="62"/>
      <c r="Y987" s="62"/>
      <c r="Z987" s="60" t="n">
        <v>3</v>
      </c>
      <c r="AA987" s="60" t="n">
        <f aca="false">IF(A987="","",IF(AND(Parameter!$B$21="Ja",ISNUMBER(W987)),W987,IF(AND(Parameter!$E$27="Ja",ISNUMBER(Z987),CD987&lt;&gt;"Nein"),Z987,IF(CD987="2+3",IF(ISNUMBER(SEARCH("grosser Artikel",BV987)),2,IFERROR(VLOOKUP(BY987,Parameter!$F$35:$G$64,2,0),2)),IF(OR(CD987="Nein",CD987=""),"-",CD987)))))</f>
        <v>3</v>
      </c>
      <c r="AB987" s="67"/>
      <c r="AC987" s="68"/>
      <c r="AD987" s="62" t="n">
        <f aca="false">AW987</f>
        <v>1</v>
      </c>
      <c r="AE987" s="62" t="n">
        <f aca="false">MAX(AW987,H987)</f>
        <v>1</v>
      </c>
      <c r="AF987" s="69"/>
      <c r="AG987" s="62" t="n">
        <f aca="false">IF(LEFT(Cockpit!$C$5,1)="A",H987,IF(Parameter!$E$30="MAX-Bestand",IF(CI987=1,CJ987,IF(LEFT(Cockpit!$C$5,1)="B",AM987,MAX(AM987,H987))),ROUNDUP(AK987,0)))</f>
        <v>1</v>
      </c>
      <c r="AH987" s="62" t="n">
        <f aca="false">IF(CA987=1,0,ROUNDUP(AG987/BZ987,0))</f>
        <v>1</v>
      </c>
      <c r="AI987" s="64" t="n">
        <f aca="false">IF(CR987&gt;0,CR987*MAX(1,AG987/X987),IF(CA987=1,IF(AG987&lt;=0,0,CE987*MAX(1,IF(H987&gt;0,AG987/H987,1))),IF(R987&gt;0,AH987/R987,0))/MAX(0.1,N(Parameter!$M$21)))</f>
        <v>0.0384615384615385</v>
      </c>
      <c r="AJ987" s="62" t="n">
        <f aca="false">AI987*CC987</f>
        <v>5.96153846153846</v>
      </c>
      <c r="AK987" s="63" t="n">
        <f aca="false">IF(LEFT(Cockpit!$C$5,1)="A",H987,IF(CI987=1,(CL987+CJ987)/2,IF(LEFT(Cockpit!$C$5,1)="B",(CL987+AM987)/2,MAX((CL987+AM987)/2,H987))))</f>
        <v>1</v>
      </c>
      <c r="AL987" s="62" t="n">
        <f aca="false">AK987*G987</f>
        <v>80.81</v>
      </c>
      <c r="AM987" s="62" t="n">
        <f aca="false">ROUNDUP(CL987+MAX(CM987,2*(J987/IF(CH987&gt;0,CH987,MAX(0.1,N(Cockpit!$C$6)))-CL987)),0)</f>
        <v>1</v>
      </c>
      <c r="AN987" s="63" t="n">
        <f aca="false">IF(AJ987&gt;0,J987/AJ987,-1)</f>
        <v>0.167741935483871</v>
      </c>
      <c r="AO987" s="63" t="n">
        <f aca="false">IF(AND(OR(CG987="L1",CG987="L23",CG987="LIFT"),AJ987&gt;0),SUMIFS($AJ$7:$AJ$1843,$CG$7:$CG$1843,CG987,$AN$7:$AN$1843,"&gt;"&amp;AN987)+SUMIFS($AJ$7:$AJ$1843,$CG$7:$CG$1843,CG987,$AN$7:$AN$1843,AN987,$BX$7:$BX$1843,"&lt;="&amp;BX987),"")</f>
        <v>12739.3491054614</v>
      </c>
      <c r="AP987" s="70" t="n">
        <f aca="false">IF(AO987="",0,MAX(0,MIN(1,(IF(CG987="L1",Parameter!$H$5,IF(CG987="L23",Parameter!$H$6+Parameter!$H$7,Parameter!$H$5+Parameter!$H$6+Parameter!$H$7))-(AO987-AJ987))/AJ987)))</f>
        <v>1</v>
      </c>
      <c r="AQ987" s="62" t="n">
        <f aca="false">IF(LEFT(Cockpit!$I$5,1)="A",H987,IF(Parameter!$E$30="MAX-Bestand",IF(CI987=1,CJ987,IF(LEFT(Cockpit!$I$5,1)="B",AW987,MAX(AW987,H987))),ROUNDUP(AU987,0)))</f>
        <v>1</v>
      </c>
      <c r="AR987" s="62" t="n">
        <f aca="false">IF(CA987=1,0,ROUNDUP(AQ987/BZ987,0))</f>
        <v>1</v>
      </c>
      <c r="AS987" s="64" t="n">
        <f aca="false">IF(CR987&gt;0,CR987*MAX(1,AQ987/X987),IF(CA987=1,IF(AQ987&lt;=0,0,CE987*MAX(1,IF(H987&gt;0,AQ987/H987,1))),IF(R987&gt;0,AR987/R987,0))/MAX(0.1,N(Parameter!$M$21)))</f>
        <v>0.0384615384615385</v>
      </c>
      <c r="AT987" s="62" t="n">
        <f aca="false">AS987*CC987</f>
        <v>5.96153846153846</v>
      </c>
      <c r="AU987" s="63" t="n">
        <f aca="false">IF(LEFT(Cockpit!$I$5,1)="A",H987,IF(CI987=1,(CL987+CJ987)/2,IF(LEFT(Cockpit!$I$5,1)="B",(CL987+AW987)/2,MAX((CL987+AW987)/2,H987))))</f>
        <v>1</v>
      </c>
      <c r="AV987" s="62" t="n">
        <f aca="false">AU987*G987</f>
        <v>80.81</v>
      </c>
      <c r="AW987" s="62" t="n">
        <f aca="false">ROUNDUP(CL987+MAX(CM987,2*(J987/IF(CH987&gt;0,CH987,MAX(0.1,N(Cockpit!$I$6)))-CL987)),0)</f>
        <v>1</v>
      </c>
      <c r="AX987" s="63" t="n">
        <f aca="false">IF(AT987&gt;0,J987/AT987,-1)</f>
        <v>0.167741935483871</v>
      </c>
      <c r="AY987" s="63" t="n">
        <f aca="false">IF(AND(OR(CG987="L1",CG987="L23",CG987="LIFT"),AT987&gt;0),SUMIFS($AT$7:$AT$1843,$CG$7:$CG$1843,CG987,$AX$7:$AX$1843,"&gt;"&amp;AX987)+SUMIFS($AT$7:$AT$1843,$CG$7:$CG$1843,CG987,$AX$7:$AX$1843,AX987,$BX$7:$BX$1843,"&lt;="&amp;BX987),"")</f>
        <v>15668.0297619048</v>
      </c>
      <c r="AZ987" s="70" t="n">
        <f aca="false">IF(AY987="",0,MAX(0,MIN(1,(IF(CG987="L1",Parameter!$H$5,IF(CG987="L23",Parameter!$H$6+Parameter!$H$7,Parameter!$H$5+Parameter!$H$6+Parameter!$H$7))-(AY987-AT987))/AT987)))</f>
        <v>1</v>
      </c>
      <c r="BA987" s="62" t="n">
        <f aca="false">IF(LEFT(Cockpit!$O$5,1)="A",H987,IF(Parameter!$E$30="MAX-Bestand",IF(CI987=1,CJ987,IF(LEFT(Cockpit!$O$5,1)="B",BG987,MAX(BG987,H987))),ROUNDUP(BE987,0)))</f>
        <v>1</v>
      </c>
      <c r="BB987" s="62" t="n">
        <f aca="false">IF(CA987=1,0,ROUNDUP(BA987/BZ987,0))</f>
        <v>1</v>
      </c>
      <c r="BC987" s="64" t="n">
        <f aca="false">IF(CR987&gt;0,CR987*MAX(1,BA987/X987),IF(CA987=1,IF(BA987&lt;=0,0,CE987*MAX(1,IF(H987&gt;0,BA987/H987,1))),IF(R987&gt;0,BB987/R987,0))/MAX(0.1,N(Parameter!$M$21)))</f>
        <v>0.0384615384615385</v>
      </c>
      <c r="BD987" s="62" t="n">
        <f aca="false">BC987*CC987</f>
        <v>5.96153846153846</v>
      </c>
      <c r="BE987" s="63" t="n">
        <f aca="false">IF(LEFT(Cockpit!$O$5,1)="A",H987,IF(CI987=1,(CL987+CJ987)/2,IF(LEFT(Cockpit!$O$5,1)="B",(CL987+BG987)/2,MAX((CL987+BG987)/2,H987))))</f>
        <v>0.5</v>
      </c>
      <c r="BF987" s="62" t="n">
        <f aca="false">BE987*G987</f>
        <v>40.405</v>
      </c>
      <c r="BG987" s="62" t="n">
        <f aca="false">ROUNDUP(CL987+MAX(CM987,2*(J987/IF(CH987&gt;0,CH987,MAX(0.1,N(Cockpit!$O$6)))-CL987)),0)</f>
        <v>1</v>
      </c>
      <c r="BH987" s="63" t="n">
        <f aca="false">IF(BD987&gt;0,J987/BD987,-1)</f>
        <v>0.167741935483871</v>
      </c>
      <c r="BI987" s="63" t="n">
        <f aca="false">IF(AND(OR(CG987="L1",CG987="L23",CG987="LIFT"),BD987&gt;0),SUMIFS($BD$7:$BD$1843,$CG$7:$CG$1843,CG987,$BH$7:$BH$1843,"&gt;"&amp;BH987)+SUMIFS($BD$7:$BD$1843,$CG$7:$CG$1843,CG987,$BH$7:$BH$1843,BH987,$BX$7:$BX$1843,"&lt;="&amp;BX987),"")</f>
        <v>13470.3295901368</v>
      </c>
      <c r="BJ987" s="70" t="n">
        <f aca="false">IF(BI987="",0,MAX(0,MIN(1,(IF(CG987="L1",Parameter!$H$5,IF(CG987="L23",Parameter!$H$6+Parameter!$H$7,Parameter!$H$5+Parameter!$H$6+Parameter!$H$7))-(BI987-BD987))/BD987)))</f>
        <v>1</v>
      </c>
      <c r="BK987" s="60" t="str">
        <f aca="false">IF(AJ987&lt;=0,"",IF(CG987="Aussen","Aussenlager",IF(CG987="-","Nicht im Lift",IF(AP987&gt;=1,"Lift",IF(AP987&lt;=0,"Aussenlager","teilweise")))))</f>
        <v>Lift</v>
      </c>
      <c r="BL987" s="60" t="str">
        <f aca="false">IF(AT987&lt;=0,"",IF(CG987="Aussen","Aussenlager",IF(CG987="-","Nicht im Lift",IF(AZ987&gt;=1,"Lift",IF(AZ987&lt;=0,"Aussenlager","teilweise")))))</f>
        <v>Lift</v>
      </c>
      <c r="BM987" s="60" t="str">
        <f aca="false">IF(BD987&lt;=0,"",IF(CG987="Aussen","Aussenlager",IF(CG987="-","Nicht im Lift",IF(BJ987&gt;=1,"Lift",IF(BJ987&lt;=0,"Aussenlager","teilweise")))))</f>
        <v>Lift</v>
      </c>
      <c r="BN987" s="60" t="str">
        <f aca="false">IF(A987="","",IF(BW987=1,"Neu; ","")&amp;IF(AND(BW987=0,BR987&lt;0),"negativer Bestand (Export "&amp;BR987&amp;"); ","")&amp;IF(J987&lt;=0,"Kein Verbrauch; ","")&amp;IF(CR987&gt;0,"Lift "&amp;W987&amp;" lt. Liftbericht (Fach "&amp;X987&amp;" Stk); ",IF(CB987=1,"Gebinde geschätzt ("&amp;T987&amp;"); ",IF(CA987=1,"Lose – Tablare geschätzt; ","")))&amp;IF(H987&gt;AW987,"Überbestand "&amp;ROUND(H987-AW987,0)&amp;" Stk / CHF "&amp;ROUND((H987-AW987)*G987,0)&amp;"; ","")&amp;IF(AND(CI987=1,CJ987&lt;CK987),"MAX &lt; MB+LG; ","")&amp;IF(AND(CQ987&gt;0,CP987*10&gt;CQ987),"zu hoch für Tablar; ","")&amp;IF(AND(BW987=0,OR(CI987=1,AB987&lt;&gt;"",U987&lt;&gt;"",V987&lt;&gt;"",AC987&lt;&gt;"")),"manuell übersteuert; ","")&amp;IF(AND(CA987=0,R987=0),"Gebinde unbekannt / Stellmass fehlt; ","")&amp;IF(AND(CA987=0,N(V987)&lt;=0,N(Q987)&lt;=0),"Menge pro Gebinde fehlt (Ist = 1 Gebinde); ","")&amp;BV987)</f>
        <v>negativer Bestand (Export -1); </v>
      </c>
      <c r="BO987" s="60"/>
      <c r="BP987" s="60"/>
      <c r="BQ987" s="67"/>
      <c r="BR987" s="62" t="n">
        <v>-1</v>
      </c>
      <c r="BS987" s="62" t="n">
        <v>2</v>
      </c>
      <c r="BT987" s="61" t="n">
        <v>-80.81</v>
      </c>
      <c r="BU987" s="62" t="n">
        <v>1</v>
      </c>
      <c r="BV987" s="60"/>
      <c r="BW987" s="65" t="n">
        <v>0</v>
      </c>
      <c r="BX987" s="65" t="n">
        <v>987</v>
      </c>
      <c r="BY987" s="60" t="str">
        <f aca="false">IF(U987&lt;&gt;"",UPPER(TRIM(U987)),IF(CB987=1,UPPER(VLOOKUP(T987,Parameter!$I$27:$K$29,2,0)),IF(P987="","LOSE",P987)))</f>
        <v>S51</v>
      </c>
      <c r="BZ987" s="62" t="n">
        <f aca="false">IF(BY987="LOSE",1,IF(N(V987)&gt;0,V987,IF(CB987=1,MAX(1,N(VLOOKUP(T987,Parameter!$I$27:$K$29,3,0)),H987,N(N987)),IF(N(Q987)&gt;0,Q987,MAX(1,H987)))))</f>
        <v>8</v>
      </c>
      <c r="CA987" s="65" t="n">
        <f aca="false">IF(BY987="LOSE",1,0)</f>
        <v>0</v>
      </c>
      <c r="CB987" s="65" t="n">
        <f aca="false">IF(AND(U987="",OR(P987="",P987="LOSE"),T987&lt;&gt;"",N(S987)&lt;=0,ISNUMBER(MATCH(T987,Parameter!$I$27:$I$29,0))),1,0)</f>
        <v>0</v>
      </c>
      <c r="CC987" s="65" t="n">
        <f aca="false">IF(CR987&gt;0,INDEX(Parameter!$H$5:$H$7,W987)/INDEX(Parameter!$E$5:$E$7,W987),IF(AND(CA987=0,N(IFERROR(VLOOKUP(BY987,'Gebinde-Kategorie'!$A$5:$N$45,14,0),0))&gt;0),VLOOKUP(BY987,'Gebinde-Kategorie'!$A$5:$N$45,14,0)*10+Parameter!$M$23,Parameter!$M$24))</f>
        <v>155</v>
      </c>
      <c r="CD987" s="60" t="str">
        <f aca="false">IF(AND(Parameter!$B$19="Ja",E987&lt;&gt;"",ISNUMBER(MATCH(E987,Parameter!$I$35:$I$52,0))),VLOOKUP(E987,Parameter!$I$35:$J$52,2,0),IFERROR(VLOOKUP(D987,Parameter!$A$35:$C$64,2,0),"Nein"))</f>
        <v>2+3</v>
      </c>
      <c r="CE987" s="64" t="n">
        <f aca="false">IF(CA987=0,0,IF(N(S987)&gt;0,S987,IFERROR(VLOOKUP(D987,Parameter!$A$35:$C$64,3,0)+0,0)))</f>
        <v>0</v>
      </c>
      <c r="CF987" s="60" t="n">
        <f aca="false">IF(AB987&lt;&gt;"",AB987,AA987)</f>
        <v>3</v>
      </c>
      <c r="CG987" s="60" t="str">
        <f aca="false">IF(OR(CF987=1,CF987=2,CF987=3),IF(Parameter!$E$27="Ja","LIFT",IF(CF987=1,"L1","L23")),IF(CF987="Aussen","Aussen","-"))</f>
        <v>LIFT</v>
      </c>
      <c r="CH987" s="71" t="n">
        <f aca="false">IF(N(AC987)&gt;0,AC987,0)</f>
        <v>0</v>
      </c>
      <c r="CI987" s="65" t="n">
        <f aca="false">IF(ISNUMBER(AF987),1,0)</f>
        <v>0</v>
      </c>
      <c r="CJ987" s="62" t="n">
        <f aca="false">N(AF987)</f>
        <v>0</v>
      </c>
      <c r="CK987" s="62" t="n">
        <f aca="false">N(M987)+N(N987)</f>
        <v>1</v>
      </c>
      <c r="CL987" s="62" t="n">
        <f aca="false">N(M987)</f>
        <v>0</v>
      </c>
      <c r="CM987" s="62" t="n">
        <f aca="false">N(N987)</f>
        <v>1</v>
      </c>
      <c r="CN987" s="62" t="n">
        <f aca="false">ROUNDUP(H987/BZ987,0)</f>
        <v>1</v>
      </c>
      <c r="CO987" s="62" t="n">
        <f aca="false">ROUNDUP(CJ987/BZ987,0)</f>
        <v>0</v>
      </c>
      <c r="CP987" s="65" t="n">
        <f aca="false">IF(CA987=1,0,IFERROR(VLOOKUP(BY987,'Gebinde-Kategorie'!$A$5:$N$45,5,0)+0,0))</f>
        <v>11</v>
      </c>
      <c r="CQ987" s="65" t="n">
        <f aca="false">IFERROR(IF(OR(CF987=1,CF987=2,CF987=3),N(INDEX(Parameter!$I$5:$I$7,CF987)),0),0)</f>
        <v>0</v>
      </c>
      <c r="CR987" s="64" t="n">
        <f aca="false">IF(AND(Parameter!$B$21="Ja",ISNUMBER(W987),N(X987)&gt;0),IFERROR(N(INDEX(Parameter!$L$5:$L$7,W987))*INDEX(Parameter!$E$5:$E$7,W987)*X987/SUMIFS($X$7:$X$1843,$W$7:$W$1843,W987),0),0)</f>
        <v>0</v>
      </c>
      <c r="CS987" s="62" t="n">
        <f aca="false">IF(AND(OR(CG987="L1",CG987="L23",CG987="LIFT"),H987&gt;0),CC987*IF(CR987&gt;0,CR987*MAX(1,H987/X987),IF(CA987=1,CE987,IF(R987&gt;0,CN987/R987,0))/MAX(0.1,N(Parameter!$M$21))),"")</f>
        <v>5.96153846153846</v>
      </c>
      <c r="CT987" s="64" t="n">
        <f aca="false">IF(CS987="","",J987/H987)</f>
        <v>1</v>
      </c>
      <c r="CU987" s="62" t="n">
        <f aca="false">IF(CS987="","",H987*G987)</f>
        <v>80.81</v>
      </c>
      <c r="CV987" s="63" t="n">
        <f aca="false">IF(CS987="","",(CL987+ROUNDUP(CL987+MAX(CM987,2*(J987/MAX(0.1,N(Einkauf!$C$6))-CL987)),0))/2)</f>
        <v>0.5</v>
      </c>
      <c r="CW987" s="62" t="n">
        <f aca="false">IF(CS987="","",MAX(0,H987-CV987)*G987)</f>
        <v>40.405</v>
      </c>
      <c r="CX987" s="62" t="n">
        <f aca="false">IF(CS987="","",CS987*MAX(0,1-CV987/H987))</f>
        <v>2.98076923076923</v>
      </c>
      <c r="CY987" s="64" t="n">
        <f aca="false">IF(CS987="","",PERCENTRANK($CS$7:$CS$1843,CS987)+PERCENTRANK($CU$7:$CU$1843,CU987)+1-PERCENTRANK($CT$7:$CT$1843,CT987))</f>
        <v>0.924</v>
      </c>
      <c r="CZ987" s="72" t="n">
        <f aca="false">IF(CS987="","",CHOOSE(MATCH(Einkauf!$C$5,Parameter!$G$23:$G$27,0),CY987,CS987,CU987,-CT987,CW987)+ROW()/1000000000)</f>
        <v>0.924000987</v>
      </c>
    </row>
    <row r="988" customFormat="false" ht="15" hidden="false" customHeight="false" outlineLevel="0" collapsed="false">
      <c r="A988" s="60" t="s">
        <v>1869</v>
      </c>
      <c r="B988" s="60" t="s">
        <v>1775</v>
      </c>
      <c r="C988" s="60" t="s">
        <v>206</v>
      </c>
      <c r="D988" s="60" t="s">
        <v>226</v>
      </c>
      <c r="E988" s="60" t="s">
        <v>227</v>
      </c>
      <c r="F988" s="60" t="s">
        <v>260</v>
      </c>
      <c r="G988" s="61" t="n">
        <v>40.5</v>
      </c>
      <c r="H988" s="62" t="n">
        <f aca="false">MAX(0,IF(AND(Parameter!$B$21="Ja",ISNUMBER(Y988)),Y988,IF(Parameter!$B$20="Jahresanfang 2025 + Export",BS988+BR988,BR988)))</f>
        <v>25</v>
      </c>
      <c r="I988" s="62" t="n">
        <f aca="false">H988*G988</f>
        <v>1012.5</v>
      </c>
      <c r="J988" s="62" t="n">
        <f aca="false">BU988*Parameter!$B$18</f>
        <v>4</v>
      </c>
      <c r="K988" s="63" t="n">
        <v>25.5</v>
      </c>
      <c r="L988" s="64" t="n">
        <v>0.156862745098039</v>
      </c>
      <c r="M988" s="62" t="n">
        <v>0</v>
      </c>
      <c r="N988" s="62" t="n">
        <v>5</v>
      </c>
      <c r="O988" s="65" t="n">
        <v>14</v>
      </c>
      <c r="P988" s="60" t="s">
        <v>463</v>
      </c>
      <c r="Q988" s="62" t="n">
        <v>29</v>
      </c>
      <c r="R988" s="65" t="n">
        <f aca="false">IF(CA988=1,0,IFERROR(VLOOKUP(BY988,'Gebinde-Kategorie'!$A$5:$N$45,13,0)+0,0))</f>
        <v>104</v>
      </c>
      <c r="S988" s="66"/>
      <c r="T988" s="67"/>
      <c r="U988" s="67"/>
      <c r="V988" s="67"/>
      <c r="W988" s="60"/>
      <c r="X988" s="62"/>
      <c r="Y988" s="62"/>
      <c r="Z988" s="60" t="n">
        <v>2</v>
      </c>
      <c r="AA988" s="60" t="n">
        <f aca="false">IF(A988="","",IF(AND(Parameter!$B$21="Ja",ISNUMBER(W988)),W988,IF(AND(Parameter!$E$27="Ja",ISNUMBER(Z988),CD988&lt;&gt;"Nein"),Z988,IF(CD988="2+3",IF(ISNUMBER(SEARCH("grosser Artikel",BV988)),2,IFERROR(VLOOKUP(BY988,Parameter!$F$35:$G$64,2,0),2)),IF(OR(CD988="Nein",CD988=""),"-",CD988)))))</f>
        <v>2</v>
      </c>
      <c r="AB988" s="67"/>
      <c r="AC988" s="68"/>
      <c r="AD988" s="62" t="n">
        <f aca="false">AW988</f>
        <v>5</v>
      </c>
      <c r="AE988" s="62" t="n">
        <f aca="false">MAX(AW988,H988)</f>
        <v>25</v>
      </c>
      <c r="AF988" s="69"/>
      <c r="AG988" s="62" t="n">
        <f aca="false">IF(LEFT(Cockpit!$C$5,1)="A",H988,IF(Parameter!$E$30="MAX-Bestand",IF(CI988=1,CJ988,IF(LEFT(Cockpit!$C$5,1)="B",AM988,MAX(AM988,H988))),ROUNDUP(AK988,0)))</f>
        <v>25</v>
      </c>
      <c r="AH988" s="62" t="n">
        <f aca="false">IF(CA988=1,0,ROUNDUP(AG988/BZ988,0))</f>
        <v>1</v>
      </c>
      <c r="AI988" s="64" t="n">
        <f aca="false">IF(CR988&gt;0,CR988*MAX(1,AG988/X988),IF(CA988=1,IF(AG988&lt;=0,0,CE988*MAX(1,IF(H988&gt;0,AG988/H988,1))),IF(R988&gt;0,AH988/R988,0))/MAX(0.1,N(Parameter!$M$21)))</f>
        <v>0.00961538461538462</v>
      </c>
      <c r="AJ988" s="62" t="n">
        <f aca="false">AI988*CC988</f>
        <v>1.49038461538462</v>
      </c>
      <c r="AK988" s="63" t="n">
        <f aca="false">IF(LEFT(Cockpit!$C$5,1)="A",H988,IF(CI988=1,(CL988+CJ988)/2,IF(LEFT(Cockpit!$C$5,1)="B",(CL988+AM988)/2,MAX((CL988+AM988)/2,H988))))</f>
        <v>25</v>
      </c>
      <c r="AL988" s="62" t="n">
        <f aca="false">AK988*G988</f>
        <v>1012.5</v>
      </c>
      <c r="AM988" s="62" t="n">
        <f aca="false">ROUNDUP(CL988+MAX(CM988,2*(J988/IF(CH988&gt;0,CH988,MAX(0.1,N(Cockpit!$C$6)))-CL988)),0)</f>
        <v>5</v>
      </c>
      <c r="AN988" s="63" t="n">
        <f aca="false">IF(AJ988&gt;0,J988/AJ988,-1)</f>
        <v>2.68387096774194</v>
      </c>
      <c r="AO988" s="63" t="n">
        <f aca="false">IF(AND(OR(CG988="L1",CG988="L23",CG988="LIFT"),AJ988&gt;0),SUMIFS($AJ$7:$AJ$1843,$CG$7:$CG$1843,CG988,$AN$7:$AN$1843,"&gt;"&amp;AN988)+SUMIFS($AJ$7:$AJ$1843,$CG$7:$CG$1843,CG988,$AN$7:$AN$1843,AN988,$BX$7:$BX$1843,"&lt;="&amp;BX988),"")</f>
        <v>5339.85210622711</v>
      </c>
      <c r="AP988" s="70" t="n">
        <f aca="false">IF(AO988="",0,MAX(0,MIN(1,(IF(CG988="L1",Parameter!$H$5,IF(CG988="L23",Parameter!$H$6+Parameter!$H$7,Parameter!$H$5+Parameter!$H$6+Parameter!$H$7))-(AO988-AJ988))/AJ988)))</f>
        <v>1</v>
      </c>
      <c r="AQ988" s="62" t="n">
        <f aca="false">IF(LEFT(Cockpit!$I$5,1)="A",H988,IF(Parameter!$E$30="MAX-Bestand",IF(CI988=1,CJ988,IF(LEFT(Cockpit!$I$5,1)="B",AW988,MAX(AW988,H988))),ROUNDUP(AU988,0)))</f>
        <v>25</v>
      </c>
      <c r="AR988" s="62" t="n">
        <f aca="false">IF(CA988=1,0,ROUNDUP(AQ988/BZ988,0))</f>
        <v>1</v>
      </c>
      <c r="AS988" s="64" t="n">
        <f aca="false">IF(CR988&gt;0,CR988*MAX(1,AQ988/X988),IF(CA988=1,IF(AQ988&lt;=0,0,CE988*MAX(1,IF(H988&gt;0,AQ988/H988,1))),IF(R988&gt;0,AR988/R988,0))/MAX(0.1,N(Parameter!$M$21)))</f>
        <v>0.00961538461538462</v>
      </c>
      <c r="AT988" s="62" t="n">
        <f aca="false">AS988*CC988</f>
        <v>1.49038461538462</v>
      </c>
      <c r="AU988" s="63" t="n">
        <f aca="false">IF(LEFT(Cockpit!$I$5,1)="A",H988,IF(CI988=1,(CL988+CJ988)/2,IF(LEFT(Cockpit!$I$5,1)="B",(CL988+AW988)/2,MAX((CL988+AW988)/2,H988))))</f>
        <v>25</v>
      </c>
      <c r="AV988" s="62" t="n">
        <f aca="false">AU988*G988</f>
        <v>1012.5</v>
      </c>
      <c r="AW988" s="62" t="n">
        <f aca="false">ROUNDUP(CL988+MAX(CM988,2*(J988/IF(CH988&gt;0,CH988,MAX(0.1,N(Cockpit!$I$6)))-CL988)),0)</f>
        <v>5</v>
      </c>
      <c r="AX988" s="63" t="n">
        <f aca="false">IF(AT988&gt;0,J988/AT988,-1)</f>
        <v>2.68387096774194</v>
      </c>
      <c r="AY988" s="63" t="n">
        <f aca="false">IF(AND(OR(CG988="L1",CG988="L23",CG988="LIFT"),AT988&gt;0),SUMIFS($AT$7:$AT$1843,$CG$7:$CG$1843,CG988,$AX$7:$AX$1843,"&gt;"&amp;AX988)+SUMIFS($AT$7:$AT$1843,$CG$7:$CG$1843,CG988,$AX$7:$AX$1843,AX988,$BX$7:$BX$1843,"&lt;="&amp;BX988),"")</f>
        <v>6174.33012820513</v>
      </c>
      <c r="AZ988" s="70" t="n">
        <f aca="false">IF(AY988="",0,MAX(0,MIN(1,(IF(CG988="L1",Parameter!$H$5,IF(CG988="L23",Parameter!$H$6+Parameter!$H$7,Parameter!$H$5+Parameter!$H$6+Parameter!$H$7))-(AY988-AT988))/AT988)))</f>
        <v>1</v>
      </c>
      <c r="BA988" s="62" t="n">
        <f aca="false">IF(LEFT(Cockpit!$O$5,1)="A",H988,IF(Parameter!$E$30="MAX-Bestand",IF(CI988=1,CJ988,IF(LEFT(Cockpit!$O$5,1)="B",BG988,MAX(BG988,H988))),ROUNDUP(BE988,0)))</f>
        <v>3</v>
      </c>
      <c r="BB988" s="62" t="n">
        <f aca="false">IF(CA988=1,0,ROUNDUP(BA988/BZ988,0))</f>
        <v>1</v>
      </c>
      <c r="BC988" s="64" t="n">
        <f aca="false">IF(CR988&gt;0,CR988*MAX(1,BA988/X988),IF(CA988=1,IF(BA988&lt;=0,0,CE988*MAX(1,IF(H988&gt;0,BA988/H988,1))),IF(R988&gt;0,BB988/R988,0))/MAX(0.1,N(Parameter!$M$21)))</f>
        <v>0.00961538461538462</v>
      </c>
      <c r="BD988" s="62" t="n">
        <f aca="false">BC988*CC988</f>
        <v>1.49038461538462</v>
      </c>
      <c r="BE988" s="63" t="n">
        <f aca="false">IF(LEFT(Cockpit!$O$5,1)="A",H988,IF(CI988=1,(CL988+CJ988)/2,IF(LEFT(Cockpit!$O$5,1)="B",(CL988+BG988)/2,MAX((CL988+BG988)/2,H988))))</f>
        <v>2.5</v>
      </c>
      <c r="BF988" s="62" t="n">
        <f aca="false">BE988*G988</f>
        <v>101.25</v>
      </c>
      <c r="BG988" s="62" t="n">
        <f aca="false">ROUNDUP(CL988+MAX(CM988,2*(J988/IF(CH988&gt;0,CH988,MAX(0.1,N(Cockpit!$O$6)))-CL988)),0)</f>
        <v>5</v>
      </c>
      <c r="BH988" s="63" t="n">
        <f aca="false">IF(BD988&gt;0,J988/BD988,-1)</f>
        <v>2.68387096774194</v>
      </c>
      <c r="BI988" s="63" t="n">
        <f aca="false">IF(AND(OR(CG988="L1",CG988="L23",CG988="LIFT"),BD988&gt;0),SUMIFS($BD$7:$BD$1843,$CG$7:$CG$1843,CG988,$BH$7:$BH$1843,"&gt;"&amp;BH988)+SUMIFS($BD$7:$BD$1843,$CG$7:$CG$1843,CG988,$BH$7:$BH$1843,BH988,$BX$7:$BX$1843,"&lt;="&amp;BX988),"")</f>
        <v>5352.38461538462</v>
      </c>
      <c r="BJ988" s="70" t="n">
        <f aca="false">IF(BI988="",0,MAX(0,MIN(1,(IF(CG988="L1",Parameter!$H$5,IF(CG988="L23",Parameter!$H$6+Parameter!$H$7,Parameter!$H$5+Parameter!$H$6+Parameter!$H$7))-(BI988-BD988))/BD988)))</f>
        <v>1</v>
      </c>
      <c r="BK988" s="60" t="str">
        <f aca="false">IF(AJ988&lt;=0,"",IF(CG988="Aussen","Aussenlager",IF(CG988="-","Nicht im Lift",IF(AP988&gt;=1,"Lift",IF(AP988&lt;=0,"Aussenlager","teilweise")))))</f>
        <v>Lift</v>
      </c>
      <c r="BL988" s="60" t="str">
        <f aca="false">IF(AT988&lt;=0,"",IF(CG988="Aussen","Aussenlager",IF(CG988="-","Nicht im Lift",IF(AZ988&gt;=1,"Lift",IF(AZ988&lt;=0,"Aussenlager","teilweise")))))</f>
        <v>Lift</v>
      </c>
      <c r="BM988" s="60" t="str">
        <f aca="false">IF(BD988&lt;=0,"",IF(CG988="Aussen","Aussenlager",IF(CG988="-","Nicht im Lift",IF(BJ988&gt;=1,"Lift",IF(BJ988&lt;=0,"Aussenlager","teilweise")))))</f>
        <v>Lift</v>
      </c>
      <c r="BN988" s="60" t="str">
        <f aca="false">IF(A988="","",IF(BW988=1,"Neu; ","")&amp;IF(AND(BW988=0,BR988&lt;0),"negativer Bestand (Export "&amp;BR988&amp;"); ","")&amp;IF(J988&lt;=0,"Kein Verbrauch; ","")&amp;IF(CR988&gt;0,"Lift "&amp;W988&amp;" lt. Liftbericht (Fach "&amp;X988&amp;" Stk); ",IF(CB988=1,"Gebinde geschätzt ("&amp;T988&amp;"); ",IF(CA988=1,"Lose – Tablare geschätzt; ","")))&amp;IF(H988&gt;AW988,"Überbestand "&amp;ROUND(H988-AW988,0)&amp;" Stk / CHF "&amp;ROUND((H988-AW988)*G988,0)&amp;"; ","")&amp;IF(AND(CI988=1,CJ988&lt;CK988),"MAX &lt; MB+LG; ","")&amp;IF(AND(CQ988&gt;0,CP988*10&gt;CQ988),"zu hoch für Tablar; ","")&amp;IF(AND(BW988=0,OR(CI988=1,AB988&lt;&gt;"",U988&lt;&gt;"",V988&lt;&gt;"",AC988&lt;&gt;"")),"manuell übersteuert; ","")&amp;IF(AND(CA988=0,R988=0),"Gebinde unbekannt / Stellmass fehlt; ","")&amp;IF(AND(CA988=0,N(V988)&lt;=0,N(Q988)&lt;=0),"Menge pro Gebinde fehlt (Ist = 1 Gebinde); ","")&amp;BV988)</f>
        <v>negativer Bestand (Export -2); Überbestand 20 Stk / CHF 810; </v>
      </c>
      <c r="BO988" s="60"/>
      <c r="BP988" s="60"/>
      <c r="BQ988" s="67"/>
      <c r="BR988" s="62" t="n">
        <v>-2</v>
      </c>
      <c r="BS988" s="62" t="n">
        <v>27</v>
      </c>
      <c r="BT988" s="61" t="n">
        <v>-81</v>
      </c>
      <c r="BU988" s="62" t="n">
        <v>4</v>
      </c>
      <c r="BV988" s="60"/>
      <c r="BW988" s="65" t="n">
        <v>0</v>
      </c>
      <c r="BX988" s="65" t="n">
        <v>988</v>
      </c>
      <c r="BY988" s="60" t="str">
        <f aca="false">IF(U988&lt;&gt;"",UPPER(TRIM(U988)),IF(CB988=1,UPPER(VLOOKUP(T988,Parameter!$I$27:$K$29,2,0)),IF(P988="","LOSE",P988)))</f>
        <v>S32</v>
      </c>
      <c r="BZ988" s="62" t="n">
        <f aca="false">IF(BY988="LOSE",1,IF(N(V988)&gt;0,V988,IF(CB988=1,MAX(1,N(VLOOKUP(T988,Parameter!$I$27:$K$29,3,0)),H988,N(N988)),IF(N(Q988)&gt;0,Q988,MAX(1,H988)))))</f>
        <v>29</v>
      </c>
      <c r="CA988" s="65" t="n">
        <f aca="false">IF(BY988="LOSE",1,0)</f>
        <v>0</v>
      </c>
      <c r="CB988" s="65" t="n">
        <f aca="false">IF(AND(U988="",OR(P988="",P988="LOSE"),T988&lt;&gt;"",N(S988)&lt;=0,ISNUMBER(MATCH(T988,Parameter!$I$27:$I$29,0))),1,0)</f>
        <v>0</v>
      </c>
      <c r="CC988" s="65" t="n">
        <f aca="false">IF(CR988&gt;0,INDEX(Parameter!$H$5:$H$7,W988)/INDEX(Parameter!$E$5:$E$7,W988),IF(AND(CA988=0,N(IFERROR(VLOOKUP(BY988,'Gebinde-Kategorie'!$A$5:$N$45,14,0),0))&gt;0),VLOOKUP(BY988,'Gebinde-Kategorie'!$A$5:$N$45,14,0)*10+Parameter!$M$23,Parameter!$M$24))</f>
        <v>155</v>
      </c>
      <c r="CD988" s="60" t="str">
        <f aca="false">IF(AND(Parameter!$B$19="Ja",E988&lt;&gt;"",ISNUMBER(MATCH(E988,Parameter!$I$35:$I$52,0))),VLOOKUP(E988,Parameter!$I$35:$J$52,2,0),IFERROR(VLOOKUP(D988,Parameter!$A$35:$C$64,2,0),"Nein"))</f>
        <v>2+3</v>
      </c>
      <c r="CE988" s="64" t="n">
        <f aca="false">IF(CA988=0,0,IF(N(S988)&gt;0,S988,IFERROR(VLOOKUP(D988,Parameter!$A$35:$C$64,3,0)+0,0)))</f>
        <v>0</v>
      </c>
      <c r="CF988" s="60" t="n">
        <f aca="false">IF(AB988&lt;&gt;"",AB988,AA988)</f>
        <v>2</v>
      </c>
      <c r="CG988" s="60" t="str">
        <f aca="false">IF(OR(CF988=1,CF988=2,CF988=3),IF(Parameter!$E$27="Ja","LIFT",IF(CF988=1,"L1","L23")),IF(CF988="Aussen","Aussen","-"))</f>
        <v>LIFT</v>
      </c>
      <c r="CH988" s="71" t="n">
        <f aca="false">IF(N(AC988)&gt;0,AC988,0)</f>
        <v>0</v>
      </c>
      <c r="CI988" s="65" t="n">
        <f aca="false">IF(ISNUMBER(AF988),1,0)</f>
        <v>0</v>
      </c>
      <c r="CJ988" s="62" t="n">
        <f aca="false">N(AF988)</f>
        <v>0</v>
      </c>
      <c r="CK988" s="62" t="n">
        <f aca="false">N(M988)+N(N988)</f>
        <v>5</v>
      </c>
      <c r="CL988" s="62" t="n">
        <f aca="false">N(M988)</f>
        <v>0</v>
      </c>
      <c r="CM988" s="62" t="n">
        <f aca="false">N(N988)</f>
        <v>5</v>
      </c>
      <c r="CN988" s="62" t="n">
        <f aca="false">ROUNDUP(H988/BZ988,0)</f>
        <v>1</v>
      </c>
      <c r="CO988" s="62" t="n">
        <f aca="false">ROUNDUP(CJ988/BZ988,0)</f>
        <v>0</v>
      </c>
      <c r="CP988" s="65" t="n">
        <f aca="false">IF(CA988=1,0,IFERROR(VLOOKUP(BY988,'Gebinde-Kategorie'!$A$5:$N$45,5,0)+0,0))</f>
        <v>8</v>
      </c>
      <c r="CQ988" s="65" t="n">
        <f aca="false">IFERROR(IF(OR(CF988=1,CF988=2,CF988=3),N(INDEX(Parameter!$I$5:$I$7,CF988)),0),0)</f>
        <v>0</v>
      </c>
      <c r="CR988" s="64" t="n">
        <f aca="false">IF(AND(Parameter!$B$21="Ja",ISNUMBER(W988),N(X988)&gt;0),IFERROR(N(INDEX(Parameter!$L$5:$L$7,W988))*INDEX(Parameter!$E$5:$E$7,W988)*X988/SUMIFS($X$7:$X$1843,$W$7:$W$1843,W988),0),0)</f>
        <v>0</v>
      </c>
      <c r="CS988" s="62" t="n">
        <f aca="false">IF(AND(OR(CG988="L1",CG988="L23",CG988="LIFT"),H988&gt;0),CC988*IF(CR988&gt;0,CR988*MAX(1,H988/X988),IF(CA988=1,CE988,IF(R988&gt;0,CN988/R988,0))/MAX(0.1,N(Parameter!$M$21))),"")</f>
        <v>1.49038461538462</v>
      </c>
      <c r="CT988" s="64" t="n">
        <f aca="false">IF(CS988="","",J988/H988)</f>
        <v>0.16</v>
      </c>
      <c r="CU988" s="62" t="n">
        <f aca="false">IF(CS988="","",H988*G988)</f>
        <v>1012.5</v>
      </c>
      <c r="CV988" s="63" t="n">
        <f aca="false">IF(CS988="","",(CL988+ROUNDUP(CL988+MAX(CM988,2*(J988/MAX(0.1,N(Einkauf!$C$6))-CL988)),0))/2)</f>
        <v>2.5</v>
      </c>
      <c r="CW988" s="62" t="n">
        <f aca="false">IF(CS988="","",MAX(0,H988-CV988)*G988)</f>
        <v>911.25</v>
      </c>
      <c r="CX988" s="62" t="n">
        <f aca="false">IF(CS988="","",CS988*MAX(0,1-CV988/H988))</f>
        <v>1.34134615384615</v>
      </c>
      <c r="CY988" s="64" t="n">
        <f aca="false">IF(CS988="","",PERCENTRANK($CS$7:$CS$1843,CS988)+PERCENTRANK($CU$7:$CU$1843,CU988)+1-PERCENTRANK($CT$7:$CT$1843,CT988))</f>
        <v>1.309</v>
      </c>
      <c r="CZ988" s="72" t="n">
        <f aca="false">IF(CS988="","",CHOOSE(MATCH(Einkauf!$C$5,Parameter!$G$23:$G$27,0),CY988,CS988,CU988,-CT988,CW988)+ROW()/1000000000)</f>
        <v>1.309000988</v>
      </c>
    </row>
    <row r="989" customFormat="false" ht="15" hidden="false" customHeight="false" outlineLevel="0" collapsed="false">
      <c r="A989" s="60" t="s">
        <v>1870</v>
      </c>
      <c r="B989" s="60" t="s">
        <v>1871</v>
      </c>
      <c r="C989" s="60" t="s">
        <v>206</v>
      </c>
      <c r="D989" s="60" t="s">
        <v>226</v>
      </c>
      <c r="E989" s="60" t="s">
        <v>227</v>
      </c>
      <c r="F989" s="60" t="s">
        <v>260</v>
      </c>
      <c r="G989" s="61" t="n">
        <v>20.42</v>
      </c>
      <c r="H989" s="62" t="n">
        <f aca="false">MAX(0,IF(AND(Parameter!$B$21="Ja",ISNUMBER(Y989)),Y989,IF(Parameter!$B$20="Jahresanfang 2025 + Export",BS989+BR989,BR989)))</f>
        <v>56</v>
      </c>
      <c r="I989" s="62" t="n">
        <f aca="false">H989*G989</f>
        <v>1143.52</v>
      </c>
      <c r="J989" s="62" t="n">
        <f aca="false">BU989*Parameter!$B$18</f>
        <v>0</v>
      </c>
      <c r="K989" s="63" t="n">
        <v>60</v>
      </c>
      <c r="L989" s="64" t="n">
        <v>0</v>
      </c>
      <c r="M989" s="62" t="n">
        <v>0</v>
      </c>
      <c r="N989" s="62" t="n">
        <v>1</v>
      </c>
      <c r="O989" s="65" t="n">
        <v>14</v>
      </c>
      <c r="P989" s="60" t="s">
        <v>518</v>
      </c>
      <c r="Q989" s="62" t="n">
        <v>88</v>
      </c>
      <c r="R989" s="65" t="n">
        <f aca="false">IF(CA989=1,0,IFERROR(VLOOKUP(BY989,'Gebinde-Kategorie'!$A$5:$N$45,13,0)+0,0))</f>
        <v>52</v>
      </c>
      <c r="S989" s="66"/>
      <c r="T989" s="67"/>
      <c r="U989" s="67"/>
      <c r="V989" s="67"/>
      <c r="W989" s="60"/>
      <c r="X989" s="62"/>
      <c r="Y989" s="62"/>
      <c r="Z989" s="60" t="n">
        <v>2</v>
      </c>
      <c r="AA989" s="60" t="n">
        <f aca="false">IF(A989="","",IF(AND(Parameter!$B$21="Ja",ISNUMBER(W989)),W989,IF(AND(Parameter!$E$27="Ja",ISNUMBER(Z989),CD989&lt;&gt;"Nein"),Z989,IF(CD989="2+3",IF(ISNUMBER(SEARCH("grosser Artikel",BV989)),2,IFERROR(VLOOKUP(BY989,Parameter!$F$35:$G$64,2,0),2)),IF(OR(CD989="Nein",CD989=""),"-",CD989)))))</f>
        <v>2</v>
      </c>
      <c r="AB989" s="67"/>
      <c r="AC989" s="68"/>
      <c r="AD989" s="62" t="n">
        <f aca="false">AW989</f>
        <v>1</v>
      </c>
      <c r="AE989" s="62" t="n">
        <f aca="false">MAX(AW989,H989)</f>
        <v>56</v>
      </c>
      <c r="AF989" s="69"/>
      <c r="AG989" s="62" t="n">
        <f aca="false">IF(LEFT(Cockpit!$C$5,1)="A",H989,IF(Parameter!$E$30="MAX-Bestand",IF(CI989=1,CJ989,IF(LEFT(Cockpit!$C$5,1)="B",AM989,MAX(AM989,H989))),ROUNDUP(AK989,0)))</f>
        <v>56</v>
      </c>
      <c r="AH989" s="62" t="n">
        <f aca="false">IF(CA989=1,0,ROUNDUP(AG989/BZ989,0))</f>
        <v>1</v>
      </c>
      <c r="AI989" s="64" t="n">
        <f aca="false">IF(CR989&gt;0,CR989*MAX(1,AG989/X989),IF(CA989=1,IF(AG989&lt;=0,0,CE989*MAX(1,IF(H989&gt;0,AG989/H989,1))),IF(R989&gt;0,AH989/R989,0))/MAX(0.1,N(Parameter!$M$21)))</f>
        <v>0.0192307692307692</v>
      </c>
      <c r="AJ989" s="62" t="n">
        <f aca="false">AI989*CC989</f>
        <v>2.98076923076923</v>
      </c>
      <c r="AK989" s="63" t="n">
        <f aca="false">IF(LEFT(Cockpit!$C$5,1)="A",H989,IF(CI989=1,(CL989+CJ989)/2,IF(LEFT(Cockpit!$C$5,1)="B",(CL989+AM989)/2,MAX((CL989+AM989)/2,H989))))</f>
        <v>56</v>
      </c>
      <c r="AL989" s="62" t="n">
        <f aca="false">AK989*G989</f>
        <v>1143.52</v>
      </c>
      <c r="AM989" s="62" t="n">
        <f aca="false">ROUNDUP(CL989+MAX(CM989,2*(J989/IF(CH989&gt;0,CH989,MAX(0.1,N(Cockpit!$C$6)))-CL989)),0)</f>
        <v>1</v>
      </c>
      <c r="AN989" s="63" t="n">
        <f aca="false">IF(AJ989&gt;0,J989/AJ989,-1)</f>
        <v>0</v>
      </c>
      <c r="AO989" s="63" t="n">
        <f aca="false">IF(AND(OR(CG989="L1",CG989="L23",CG989="LIFT"),AJ989&gt;0),SUMIFS($AJ$7:$AJ$1843,$CG$7:$CG$1843,CG989,$AN$7:$AN$1843,"&gt;"&amp;AN989)+SUMIFS($AJ$7:$AJ$1843,$CG$7:$CG$1843,CG989,$AN$7:$AN$1843,AN989,$BX$7:$BX$1843,"&lt;="&amp;BX989),"")</f>
        <v>28922.1851498313</v>
      </c>
      <c r="AP989" s="70" t="n">
        <f aca="false">IF(AO989="",0,MAX(0,MIN(1,(IF(CG989="L1",Parameter!$H$5,IF(CG989="L23",Parameter!$H$6+Parameter!$H$7,Parameter!$H$5+Parameter!$H$6+Parameter!$H$7))-(AO989-AJ989))/AJ989)))</f>
        <v>1</v>
      </c>
      <c r="AQ989" s="62" t="n">
        <f aca="false">IF(LEFT(Cockpit!$I$5,1)="A",H989,IF(Parameter!$E$30="MAX-Bestand",IF(CI989=1,CJ989,IF(LEFT(Cockpit!$I$5,1)="B",AW989,MAX(AW989,H989))),ROUNDUP(AU989,0)))</f>
        <v>56</v>
      </c>
      <c r="AR989" s="62" t="n">
        <f aca="false">IF(CA989=1,0,ROUNDUP(AQ989/BZ989,0))</f>
        <v>1</v>
      </c>
      <c r="AS989" s="64" t="n">
        <f aca="false">IF(CR989&gt;0,CR989*MAX(1,AQ989/X989),IF(CA989=1,IF(AQ989&lt;=0,0,CE989*MAX(1,IF(H989&gt;0,AQ989/H989,1))),IF(R989&gt;0,AR989/R989,0))/MAX(0.1,N(Parameter!$M$21)))</f>
        <v>0.0192307692307692</v>
      </c>
      <c r="AT989" s="62" t="n">
        <f aca="false">AS989*CC989</f>
        <v>2.98076923076923</v>
      </c>
      <c r="AU989" s="63" t="n">
        <f aca="false">IF(LEFT(Cockpit!$I$5,1)="A",H989,IF(CI989=1,(CL989+CJ989)/2,IF(LEFT(Cockpit!$I$5,1)="B",(CL989+AW989)/2,MAX((CL989+AW989)/2,H989))))</f>
        <v>56</v>
      </c>
      <c r="AV989" s="62" t="n">
        <f aca="false">AU989*G989</f>
        <v>1143.52</v>
      </c>
      <c r="AW989" s="62" t="n">
        <f aca="false">ROUNDUP(CL989+MAX(CM989,2*(J989/IF(CH989&gt;0,CH989,MAX(0.1,N(Cockpit!$I$6)))-CL989)),0)</f>
        <v>1</v>
      </c>
      <c r="AX989" s="63" t="n">
        <f aca="false">IF(AT989&gt;0,J989/AT989,-1)</f>
        <v>0</v>
      </c>
      <c r="AY989" s="63" t="n">
        <f aca="false">IF(AND(OR(CG989="L1",CG989="L23",CG989="LIFT"),AT989&gt;0),SUMIFS($AT$7:$AT$1843,$CG$7:$CG$1843,CG989,$AX$7:$AX$1843,"&gt;"&amp;AX989)+SUMIFS($AT$7:$AT$1843,$CG$7:$CG$1843,CG989,$AX$7:$AX$1843,AX989,$BX$7:$BX$1843,"&lt;="&amp;BX989),"")</f>
        <v>34608.0027472527</v>
      </c>
      <c r="AZ989" s="70" t="n">
        <f aca="false">IF(AY989="",0,MAX(0,MIN(1,(IF(CG989="L1",Parameter!$H$5,IF(CG989="L23",Parameter!$H$6+Parameter!$H$7,Parameter!$H$5+Parameter!$H$6+Parameter!$H$7))-(AY989-AT989))/AT989)))</f>
        <v>1</v>
      </c>
      <c r="BA989" s="62" t="n">
        <f aca="false">IF(LEFT(Cockpit!$O$5,1)="A",H989,IF(Parameter!$E$30="MAX-Bestand",IF(CI989=1,CJ989,IF(LEFT(Cockpit!$O$5,1)="B",BG989,MAX(BG989,H989))),ROUNDUP(BE989,0)))</f>
        <v>1</v>
      </c>
      <c r="BB989" s="62" t="n">
        <f aca="false">IF(CA989=1,0,ROUNDUP(BA989/BZ989,0))</f>
        <v>1</v>
      </c>
      <c r="BC989" s="64" t="n">
        <f aca="false">IF(CR989&gt;0,CR989*MAX(1,BA989/X989),IF(CA989=1,IF(BA989&lt;=0,0,CE989*MAX(1,IF(H989&gt;0,BA989/H989,1))),IF(R989&gt;0,BB989/R989,0))/MAX(0.1,N(Parameter!$M$21)))</f>
        <v>0.0192307692307692</v>
      </c>
      <c r="BD989" s="62" t="n">
        <f aca="false">BC989*CC989</f>
        <v>2.98076923076923</v>
      </c>
      <c r="BE989" s="63" t="n">
        <f aca="false">IF(LEFT(Cockpit!$O$5,1)="A",H989,IF(CI989=1,(CL989+CJ989)/2,IF(LEFT(Cockpit!$O$5,1)="B",(CL989+BG989)/2,MAX((CL989+BG989)/2,H989))))</f>
        <v>0.5</v>
      </c>
      <c r="BF989" s="62" t="n">
        <f aca="false">BE989*G989</f>
        <v>10.21</v>
      </c>
      <c r="BG989" s="62" t="n">
        <f aca="false">ROUNDUP(CL989+MAX(CM989,2*(J989/IF(CH989&gt;0,CH989,MAX(0.1,N(Cockpit!$O$6)))-CL989)),0)</f>
        <v>1</v>
      </c>
      <c r="BH989" s="63" t="n">
        <f aca="false">IF(BD989&gt;0,J989/BD989,-1)</f>
        <v>0</v>
      </c>
      <c r="BI989" s="63" t="n">
        <f aca="false">IF(AND(OR(CG989="L1",CG989="L23",CG989="LIFT"),BD989&gt;0),SUMIFS($BD$7:$BD$1843,$CG$7:$CG$1843,CG989,$BH$7:$BH$1843,"&gt;"&amp;BH989)+SUMIFS($BD$7:$BD$1843,$CG$7:$CG$1843,CG989,$BH$7:$BH$1843,BH989,$BX$7:$BX$1843,"&lt;="&amp;BX989),"")</f>
        <v>28632.5401766313</v>
      </c>
      <c r="BJ989" s="70" t="n">
        <f aca="false">IF(BI989="",0,MAX(0,MIN(1,(IF(CG989="L1",Parameter!$H$5,IF(CG989="L23",Parameter!$H$6+Parameter!$H$7,Parameter!$H$5+Parameter!$H$6+Parameter!$H$7))-(BI989-BD989))/BD989)))</f>
        <v>1</v>
      </c>
      <c r="BK989" s="60" t="str">
        <f aca="false">IF(AJ989&lt;=0,"",IF(CG989="Aussen","Aussenlager",IF(CG989="-","Nicht im Lift",IF(AP989&gt;=1,"Lift",IF(AP989&lt;=0,"Aussenlager","teilweise")))))</f>
        <v>Lift</v>
      </c>
      <c r="BL989" s="60" t="str">
        <f aca="false">IF(AT989&lt;=0,"",IF(CG989="Aussen","Aussenlager",IF(CG989="-","Nicht im Lift",IF(AZ989&gt;=1,"Lift",IF(AZ989&lt;=0,"Aussenlager","teilweise")))))</f>
        <v>Lift</v>
      </c>
      <c r="BM989" s="60" t="str">
        <f aca="false">IF(BD989&lt;=0,"",IF(CG989="Aussen","Aussenlager",IF(CG989="-","Nicht im Lift",IF(BJ989&gt;=1,"Lift",IF(BJ989&lt;=0,"Aussenlager","teilweise")))))</f>
        <v>Lift</v>
      </c>
      <c r="BN989" s="60" t="str">
        <f aca="false">IF(A989="","",IF(BW989=1,"Neu; ","")&amp;IF(AND(BW989=0,BR989&lt;0),"negativer Bestand (Export "&amp;BR989&amp;"); ","")&amp;IF(J989&lt;=0,"Kein Verbrauch; ","")&amp;IF(CR989&gt;0,"Lift "&amp;W989&amp;" lt. Liftbericht (Fach "&amp;X989&amp;" Stk); ",IF(CB989=1,"Gebinde geschätzt ("&amp;T989&amp;"); ",IF(CA989=1,"Lose – Tablare geschätzt; ","")))&amp;IF(H989&gt;AW989,"Überbestand "&amp;ROUND(H989-AW989,0)&amp;" Stk / CHF "&amp;ROUND((H989-AW989)*G989,0)&amp;"; ","")&amp;IF(AND(CI989=1,CJ989&lt;CK989),"MAX &lt; MB+LG; ","")&amp;IF(AND(CQ989&gt;0,CP989*10&gt;CQ989),"zu hoch für Tablar; ","")&amp;IF(AND(BW989=0,OR(CI989=1,AB989&lt;&gt;"",U989&lt;&gt;"",V989&lt;&gt;"",AC989&lt;&gt;"")),"manuell übersteuert; ","")&amp;IF(AND(CA989=0,R989=0),"Gebinde unbekannt / Stellmass fehlt; ","")&amp;IF(AND(CA989=0,N(V989)&lt;=0,N(Q989)&lt;=0),"Menge pro Gebinde fehlt (Ist = 1 Gebinde); ","")&amp;BV989)</f>
        <v>negativer Bestand (Export -4); Kein Verbrauch; Überbestand 55 Stk / CHF 1123; Überbestand</v>
      </c>
      <c r="BO989" s="60"/>
      <c r="BP989" s="60"/>
      <c r="BQ989" s="67"/>
      <c r="BR989" s="62" t="n">
        <v>-4</v>
      </c>
      <c r="BS989" s="62" t="n">
        <v>60</v>
      </c>
      <c r="BT989" s="61" t="n">
        <v>-81.68</v>
      </c>
      <c r="BU989" s="62" t="n">
        <v>0</v>
      </c>
      <c r="BV989" s="60" t="s">
        <v>434</v>
      </c>
      <c r="BW989" s="65" t="n">
        <v>0</v>
      </c>
      <c r="BX989" s="65" t="n">
        <v>989</v>
      </c>
      <c r="BY989" s="60" t="str">
        <f aca="false">IF(U989&lt;&gt;"",UPPER(TRIM(U989)),IF(CB989=1,UPPER(VLOOKUP(T989,Parameter!$I$27:$K$29,2,0)),IF(P989="","LOSE",P989)))</f>
        <v>S33</v>
      </c>
      <c r="BZ989" s="62" t="n">
        <f aca="false">IF(BY989="LOSE",1,IF(N(V989)&gt;0,V989,IF(CB989=1,MAX(1,N(VLOOKUP(T989,Parameter!$I$27:$K$29,3,0)),H989,N(N989)),IF(N(Q989)&gt;0,Q989,MAX(1,H989)))))</f>
        <v>88</v>
      </c>
      <c r="CA989" s="65" t="n">
        <f aca="false">IF(BY989="LOSE",1,0)</f>
        <v>0</v>
      </c>
      <c r="CB989" s="65" t="n">
        <f aca="false">IF(AND(U989="",OR(P989="",P989="LOSE"),T989&lt;&gt;"",N(S989)&lt;=0,ISNUMBER(MATCH(T989,Parameter!$I$27:$I$29,0))),1,0)</f>
        <v>0</v>
      </c>
      <c r="CC989" s="65" t="n">
        <f aca="false">IF(CR989&gt;0,INDEX(Parameter!$H$5:$H$7,W989)/INDEX(Parameter!$E$5:$E$7,W989),IF(AND(CA989=0,N(IFERROR(VLOOKUP(BY989,'Gebinde-Kategorie'!$A$5:$N$45,14,0),0))&gt;0),VLOOKUP(BY989,'Gebinde-Kategorie'!$A$5:$N$45,14,0)*10+Parameter!$M$23,Parameter!$M$24))</f>
        <v>155</v>
      </c>
      <c r="CD989" s="60" t="str">
        <f aca="false">IF(AND(Parameter!$B$19="Ja",E989&lt;&gt;"",ISNUMBER(MATCH(E989,Parameter!$I$35:$I$52,0))),VLOOKUP(E989,Parameter!$I$35:$J$52,2,0),IFERROR(VLOOKUP(D989,Parameter!$A$35:$C$64,2,0),"Nein"))</f>
        <v>2+3</v>
      </c>
      <c r="CE989" s="64" t="n">
        <f aca="false">IF(CA989=0,0,IF(N(S989)&gt;0,S989,IFERROR(VLOOKUP(D989,Parameter!$A$35:$C$64,3,0)+0,0)))</f>
        <v>0</v>
      </c>
      <c r="CF989" s="60" t="n">
        <f aca="false">IF(AB989&lt;&gt;"",AB989,AA989)</f>
        <v>2</v>
      </c>
      <c r="CG989" s="60" t="str">
        <f aca="false">IF(OR(CF989=1,CF989=2,CF989=3),IF(Parameter!$E$27="Ja","LIFT",IF(CF989=1,"L1","L23")),IF(CF989="Aussen","Aussen","-"))</f>
        <v>LIFT</v>
      </c>
      <c r="CH989" s="71" t="n">
        <f aca="false">IF(N(AC989)&gt;0,AC989,0)</f>
        <v>0</v>
      </c>
      <c r="CI989" s="65" t="n">
        <f aca="false">IF(ISNUMBER(AF989),1,0)</f>
        <v>0</v>
      </c>
      <c r="CJ989" s="62" t="n">
        <f aca="false">N(AF989)</f>
        <v>0</v>
      </c>
      <c r="CK989" s="62" t="n">
        <f aca="false">N(M989)+N(N989)</f>
        <v>1</v>
      </c>
      <c r="CL989" s="62" t="n">
        <f aca="false">N(M989)</f>
        <v>0</v>
      </c>
      <c r="CM989" s="62" t="n">
        <f aca="false">N(N989)</f>
        <v>1</v>
      </c>
      <c r="CN989" s="62" t="n">
        <f aca="false">ROUNDUP(H989/BZ989,0)</f>
        <v>1</v>
      </c>
      <c r="CO989" s="62" t="n">
        <f aca="false">ROUNDUP(CJ989/BZ989,0)</f>
        <v>0</v>
      </c>
      <c r="CP989" s="65" t="n">
        <f aca="false">IF(CA989=1,0,IFERROR(VLOOKUP(BY989,'Gebinde-Kategorie'!$A$5:$N$45,5,0)+0,0))</f>
        <v>8</v>
      </c>
      <c r="CQ989" s="65" t="n">
        <f aca="false">IFERROR(IF(OR(CF989=1,CF989=2,CF989=3),N(INDEX(Parameter!$I$5:$I$7,CF989)),0),0)</f>
        <v>0</v>
      </c>
      <c r="CR989" s="64" t="n">
        <f aca="false">IF(AND(Parameter!$B$21="Ja",ISNUMBER(W989),N(X989)&gt;0),IFERROR(N(INDEX(Parameter!$L$5:$L$7,W989))*INDEX(Parameter!$E$5:$E$7,W989)*X989/SUMIFS($X$7:$X$1843,$W$7:$W$1843,W989),0),0)</f>
        <v>0</v>
      </c>
      <c r="CS989" s="62" t="n">
        <f aca="false">IF(AND(OR(CG989="L1",CG989="L23",CG989="LIFT"),H989&gt;0),CC989*IF(CR989&gt;0,CR989*MAX(1,H989/X989),IF(CA989=1,CE989,IF(R989&gt;0,CN989/R989,0))/MAX(0.1,N(Parameter!$M$21))),"")</f>
        <v>2.98076923076923</v>
      </c>
      <c r="CT989" s="64" t="n">
        <f aca="false">IF(CS989="","",J989/H989)</f>
        <v>0</v>
      </c>
      <c r="CU989" s="62" t="n">
        <f aca="false">IF(CS989="","",H989*G989)</f>
        <v>1143.52</v>
      </c>
      <c r="CV989" s="63" t="n">
        <f aca="false">IF(CS989="","",(CL989+ROUNDUP(CL989+MAX(CM989,2*(J989/MAX(0.1,N(Einkauf!$C$6))-CL989)),0))/2)</f>
        <v>0.5</v>
      </c>
      <c r="CW989" s="62" t="n">
        <f aca="false">IF(CS989="","",MAX(0,H989-CV989)*G989)</f>
        <v>1133.31</v>
      </c>
      <c r="CX989" s="62" t="n">
        <f aca="false">IF(CS989="","",CS989*MAX(0,1-CV989/H989))</f>
        <v>2.95415521978022</v>
      </c>
      <c r="CY989" s="64" t="n">
        <f aca="false">IF(CS989="","",PERCENTRANK($CS$7:$CS$1843,CS989)+PERCENTRANK($CU$7:$CU$1843,CU989)+1-PERCENTRANK($CT$7:$CT$1843,CT989))</f>
        <v>1.886</v>
      </c>
      <c r="CZ989" s="72" t="n">
        <f aca="false">IF(CS989="","",CHOOSE(MATCH(Einkauf!$C$5,Parameter!$G$23:$G$27,0),CY989,CS989,CU989,-CT989,CW989)+ROW()/1000000000)</f>
        <v>1.886000989</v>
      </c>
    </row>
    <row r="990" customFormat="false" ht="15" hidden="false" customHeight="false" outlineLevel="0" collapsed="false">
      <c r="A990" s="60" t="s">
        <v>1872</v>
      </c>
      <c r="B990" s="60" t="s">
        <v>991</v>
      </c>
      <c r="C990" s="60" t="s">
        <v>206</v>
      </c>
      <c r="D990" s="60" t="s">
        <v>226</v>
      </c>
      <c r="E990" s="60" t="s">
        <v>227</v>
      </c>
      <c r="F990" s="60" t="s">
        <v>260</v>
      </c>
      <c r="G990" s="61" t="n">
        <v>0.32</v>
      </c>
      <c r="H990" s="62" t="n">
        <f aca="false">MAX(0,IF(AND(Parameter!$B$21="Ja",ISNUMBER(Y990)),Y990,IF(Parameter!$B$20="Jahresanfang 2025 + Export",BS990+BR990,BR990)))</f>
        <v>0</v>
      </c>
      <c r="I990" s="62" t="n">
        <f aca="false">H990*G990</f>
        <v>0</v>
      </c>
      <c r="J990" s="62" t="n">
        <f aca="false">BU990*Parameter!$B$18</f>
        <v>140</v>
      </c>
      <c r="K990" s="63" t="n">
        <v>691.5</v>
      </c>
      <c r="L990" s="64" t="n">
        <v>0.202458423716558</v>
      </c>
      <c r="M990" s="62" t="n">
        <v>8</v>
      </c>
      <c r="N990" s="62" t="n">
        <v>200</v>
      </c>
      <c r="O990" s="65" t="n">
        <v>21</v>
      </c>
      <c r="P990" s="60" t="s">
        <v>468</v>
      </c>
      <c r="Q990" s="62" t="n">
        <v>787</v>
      </c>
      <c r="R990" s="65" t="n">
        <f aca="false">IF(CA990=1,0,IFERROR(VLOOKUP(BY990,'Gebinde-Kategorie'!$A$5:$N$45,13,0)+0,0))</f>
        <v>140</v>
      </c>
      <c r="S990" s="66"/>
      <c r="T990" s="67"/>
      <c r="U990" s="67"/>
      <c r="V990" s="67"/>
      <c r="W990" s="60"/>
      <c r="X990" s="62"/>
      <c r="Y990" s="62"/>
      <c r="Z990" s="60" t="n">
        <v>3</v>
      </c>
      <c r="AA990" s="60" t="n">
        <f aca="false">IF(A990="","",IF(AND(Parameter!$B$21="Ja",ISNUMBER(W990)),W990,IF(AND(Parameter!$E$27="Ja",ISNUMBER(Z990),CD990&lt;&gt;"Nein"),Z990,IF(CD990="2+3",IF(ISNUMBER(SEARCH("grosser Artikel",BV990)),2,IFERROR(VLOOKUP(BY990,Parameter!$F$35:$G$64,2,0),2)),IF(OR(CD990="Nein",CD990=""),"-",CD990)))))</f>
        <v>3</v>
      </c>
      <c r="AB990" s="67"/>
      <c r="AC990" s="68"/>
      <c r="AD990" s="62" t="n">
        <f aca="false">AW990</f>
        <v>208</v>
      </c>
      <c r="AE990" s="62" t="n">
        <f aca="false">MAX(AW990,H990)</f>
        <v>208</v>
      </c>
      <c r="AF990" s="69"/>
      <c r="AG990" s="62" t="n">
        <f aca="false">IF(LEFT(Cockpit!$C$5,1)="A",H990,IF(Parameter!$E$30="MAX-Bestand",IF(CI990=1,CJ990,IF(LEFT(Cockpit!$C$5,1)="B",AM990,MAX(AM990,H990))),ROUNDUP(AK990,0)))</f>
        <v>0</v>
      </c>
      <c r="AH990" s="62" t="n">
        <f aca="false">IF(CA990=1,0,ROUNDUP(AG990/BZ990,0))</f>
        <v>0</v>
      </c>
      <c r="AI990" s="64" t="n">
        <f aca="false">IF(CR990&gt;0,CR990*MAX(1,AG990/X990),IF(CA990=1,IF(AG990&lt;=0,0,CE990*MAX(1,IF(H990&gt;0,AG990/H990,1))),IF(R990&gt;0,AH990/R990,0))/MAX(0.1,N(Parameter!$M$21)))</f>
        <v>0</v>
      </c>
      <c r="AJ990" s="62" t="n">
        <f aca="false">AI990*CC990</f>
        <v>0</v>
      </c>
      <c r="AK990" s="63" t="n">
        <f aca="false">IF(LEFT(Cockpit!$C$5,1)="A",H990,IF(CI990=1,(CL990+CJ990)/2,IF(LEFT(Cockpit!$C$5,1)="B",(CL990+AM990)/2,MAX((CL990+AM990)/2,H990))))</f>
        <v>0</v>
      </c>
      <c r="AL990" s="62" t="n">
        <f aca="false">AK990*G990</f>
        <v>0</v>
      </c>
      <c r="AM990" s="62" t="n">
        <f aca="false">ROUNDUP(CL990+MAX(CM990,2*(J990/IF(CH990&gt;0,CH990,MAX(0.1,N(Cockpit!$C$6)))-CL990)),0)</f>
        <v>208</v>
      </c>
      <c r="AN990" s="63" t="n">
        <f aca="false">IF(AJ990&gt;0,J990/AJ990,-1)</f>
        <v>-1</v>
      </c>
      <c r="AO990" s="63" t="str">
        <f aca="false">IF(AND(OR(CG990="L1",CG990="L23",CG990="LIFT"),AJ990&gt;0),SUMIFS($AJ$7:$AJ$1843,$CG$7:$CG$1843,CG990,$AN$7:$AN$1843,"&gt;"&amp;AN990)+SUMIFS($AJ$7:$AJ$1843,$CG$7:$CG$1843,CG990,$AN$7:$AN$1843,AN990,$BX$7:$BX$1843,"&lt;="&amp;BX990),"")</f>
        <v/>
      </c>
      <c r="AP990" s="70" t="n">
        <f aca="false">IF(AO990="",0,MAX(0,MIN(1,(IF(CG990="L1",Parameter!$H$5,IF(CG990="L23",Parameter!$H$6+Parameter!$H$7,Parameter!$H$5+Parameter!$H$6+Parameter!$H$7))-(AO990-AJ990))/AJ990)))</f>
        <v>0</v>
      </c>
      <c r="AQ990" s="62" t="n">
        <f aca="false">IF(LEFT(Cockpit!$I$5,1)="A",H990,IF(Parameter!$E$30="MAX-Bestand",IF(CI990=1,CJ990,IF(LEFT(Cockpit!$I$5,1)="B",AW990,MAX(AW990,H990))),ROUNDUP(AU990,0)))</f>
        <v>108</v>
      </c>
      <c r="AR990" s="62" t="n">
        <f aca="false">IF(CA990=1,0,ROUNDUP(AQ990/BZ990,0))</f>
        <v>1</v>
      </c>
      <c r="AS990" s="64" t="n">
        <f aca="false">IF(CR990&gt;0,CR990*MAX(1,AQ990/X990),IF(CA990=1,IF(AQ990&lt;=0,0,CE990*MAX(1,IF(H990&gt;0,AQ990/H990,1))),IF(R990&gt;0,AR990/R990,0))/MAX(0.1,N(Parameter!$M$21)))</f>
        <v>0.00714285714285714</v>
      </c>
      <c r="AT990" s="62" t="n">
        <f aca="false">AS990*CC990</f>
        <v>1.10714285714286</v>
      </c>
      <c r="AU990" s="63" t="n">
        <f aca="false">IF(LEFT(Cockpit!$I$5,1)="A",H990,IF(CI990=1,(CL990+CJ990)/2,IF(LEFT(Cockpit!$I$5,1)="B",(CL990+AW990)/2,MAX((CL990+AW990)/2,H990))))</f>
        <v>108</v>
      </c>
      <c r="AV990" s="62" t="n">
        <f aca="false">AU990*G990</f>
        <v>34.56</v>
      </c>
      <c r="AW990" s="62" t="n">
        <f aca="false">ROUNDUP(CL990+MAX(CM990,2*(J990/IF(CH990&gt;0,CH990,MAX(0.1,N(Cockpit!$I$6)))-CL990)),0)</f>
        <v>208</v>
      </c>
      <c r="AX990" s="63" t="n">
        <f aca="false">IF(AT990&gt;0,J990/AT990,-1)</f>
        <v>126.451612903226</v>
      </c>
      <c r="AY990" s="63" t="n">
        <f aca="false">IF(AND(OR(CG990="L1",CG990="L23",CG990="LIFT"),AT990&gt;0),SUMIFS($AT$7:$AT$1843,$CG$7:$CG$1843,CG990,$AX$7:$AX$1843,"&gt;"&amp;AX990)+SUMIFS($AT$7:$AT$1843,$CG$7:$CG$1843,CG990,$AX$7:$AX$1843,AX990,$BX$7:$BX$1843,"&lt;="&amp;BX990),"")</f>
        <v>763.215659340659</v>
      </c>
      <c r="AZ990" s="70" t="n">
        <f aca="false">IF(AY990="",0,MAX(0,MIN(1,(IF(CG990="L1",Parameter!$H$5,IF(CG990="L23",Parameter!$H$6+Parameter!$H$7,Parameter!$H$5+Parameter!$H$6+Parameter!$H$7))-(AY990-AT990))/AT990)))</f>
        <v>1</v>
      </c>
      <c r="BA990" s="62" t="n">
        <f aca="false">IF(LEFT(Cockpit!$O$5,1)="A",H990,IF(Parameter!$E$30="MAX-Bestand",IF(CI990=1,CJ990,IF(LEFT(Cockpit!$O$5,1)="B",BG990,MAX(BG990,H990))),ROUNDUP(BE990,0)))</f>
        <v>108</v>
      </c>
      <c r="BB990" s="62" t="n">
        <f aca="false">IF(CA990=1,0,ROUNDUP(BA990/BZ990,0))</f>
        <v>1</v>
      </c>
      <c r="BC990" s="64" t="n">
        <f aca="false">IF(CR990&gt;0,CR990*MAX(1,BA990/X990),IF(CA990=1,IF(BA990&lt;=0,0,CE990*MAX(1,IF(H990&gt;0,BA990/H990,1))),IF(R990&gt;0,BB990/R990,0))/MAX(0.1,N(Parameter!$M$21)))</f>
        <v>0.00714285714285714</v>
      </c>
      <c r="BD990" s="62" t="n">
        <f aca="false">BC990*CC990</f>
        <v>1.10714285714286</v>
      </c>
      <c r="BE990" s="63" t="n">
        <f aca="false">IF(LEFT(Cockpit!$O$5,1)="A",H990,IF(CI990=1,(CL990+CJ990)/2,IF(LEFT(Cockpit!$O$5,1)="B",(CL990+BG990)/2,MAX((CL990+BG990)/2,H990))))</f>
        <v>108</v>
      </c>
      <c r="BF990" s="62" t="n">
        <f aca="false">BE990*G990</f>
        <v>34.56</v>
      </c>
      <c r="BG990" s="62" t="n">
        <f aca="false">ROUNDUP(CL990+MAX(CM990,2*(J990/IF(CH990&gt;0,CH990,MAX(0.1,N(Cockpit!$O$6)))-CL990)),0)</f>
        <v>208</v>
      </c>
      <c r="BH990" s="63" t="n">
        <f aca="false">IF(BD990&gt;0,J990/BD990,-1)</f>
        <v>126.451612903226</v>
      </c>
      <c r="BI990" s="63" t="n">
        <f aca="false">IF(AND(OR(CG990="L1",CG990="L23",CG990="LIFT"),BD990&gt;0),SUMIFS($BD$7:$BD$1843,$CG$7:$CG$1843,CG990,$BH$7:$BH$1843,"&gt;"&amp;BH990)+SUMIFS($BD$7:$BD$1843,$CG$7:$CG$1843,CG990,$BH$7:$BH$1843,BH990,$BX$7:$BX$1843,"&lt;="&amp;BX990),"")</f>
        <v>783.144230769231</v>
      </c>
      <c r="BJ990" s="70" t="n">
        <f aca="false">IF(BI990="",0,MAX(0,MIN(1,(IF(CG990="L1",Parameter!$H$5,IF(CG990="L23",Parameter!$H$6+Parameter!$H$7,Parameter!$H$5+Parameter!$H$6+Parameter!$H$7))-(BI990-BD990))/BD990)))</f>
        <v>1</v>
      </c>
      <c r="BK990" s="60" t="str">
        <f aca="false">IF(AJ990&lt;=0,"",IF(CG990="Aussen","Aussenlager",IF(CG990="-","Nicht im Lift",IF(AP990&gt;=1,"Lift",IF(AP990&lt;=0,"Aussenlager","teilweise")))))</f>
        <v/>
      </c>
      <c r="BL990" s="60" t="str">
        <f aca="false">IF(AT990&lt;=0,"",IF(CG990="Aussen","Aussenlager",IF(CG990="-","Nicht im Lift",IF(AZ990&gt;=1,"Lift",IF(AZ990&lt;=0,"Aussenlager","teilweise")))))</f>
        <v>Lift</v>
      </c>
      <c r="BM990" s="60" t="str">
        <f aca="false">IF(BD990&lt;=0,"",IF(CG990="Aussen","Aussenlager",IF(CG990="-","Nicht im Lift",IF(BJ990&gt;=1,"Lift",IF(BJ990&lt;=0,"Aussenlager","teilweise")))))</f>
        <v>Lift</v>
      </c>
      <c r="BN990" s="60" t="str">
        <f aca="false">IF(A990="","",IF(BW990=1,"Neu; ","")&amp;IF(AND(BW990=0,BR990&lt;0),"negativer Bestand (Export "&amp;BR990&amp;"); ","")&amp;IF(J990&lt;=0,"Kein Verbrauch; ","")&amp;IF(CR990&gt;0,"Lift "&amp;W990&amp;" lt. Liftbericht (Fach "&amp;X990&amp;" Stk); ",IF(CB990=1,"Gebinde geschätzt ("&amp;T990&amp;"); ",IF(CA990=1,"Lose – Tablare geschätzt; ","")))&amp;IF(H990&gt;AW990,"Überbestand "&amp;ROUND(H990-AW990,0)&amp;" Stk / CHF "&amp;ROUND((H990-AW990)*G990,0)&amp;"; ","")&amp;IF(AND(CI990=1,CJ990&lt;CK990),"MAX &lt; MB+LG; ","")&amp;IF(AND(CQ990&gt;0,CP990*10&gt;CQ990),"zu hoch für Tablar; ","")&amp;IF(AND(BW990=0,OR(CI990=1,AB990&lt;&gt;"",U990&lt;&gt;"",V990&lt;&gt;"",AC990&lt;&gt;"")),"manuell übersteuert; ","")&amp;IF(AND(CA990=0,R990=0),"Gebinde unbekannt / Stellmass fehlt; ","")&amp;IF(AND(CA990=0,N(V990)&lt;=0,N(Q990)&lt;=0),"Menge pro Gebinde fehlt (Ist = 1 Gebinde); ","")&amp;BV990)</f>
        <v>negativer Bestand (Export -1036); </v>
      </c>
      <c r="BO990" s="60"/>
      <c r="BP990" s="60"/>
      <c r="BQ990" s="67"/>
      <c r="BR990" s="62" t="n">
        <v>-1036</v>
      </c>
      <c r="BS990" s="62" t="n">
        <v>1036</v>
      </c>
      <c r="BT990" s="61" t="n">
        <v>-82.88</v>
      </c>
      <c r="BU990" s="62" t="n">
        <v>140</v>
      </c>
      <c r="BV990" s="60"/>
      <c r="BW990" s="65" t="n">
        <v>0</v>
      </c>
      <c r="BX990" s="65" t="n">
        <v>990</v>
      </c>
      <c r="BY990" s="60" t="str">
        <f aca="false">IF(U990&lt;&gt;"",UPPER(TRIM(U990)),IF(CB990=1,UPPER(VLOOKUP(T990,Parameter!$I$27:$K$29,2,0)),IF(P990="","LOSE",P990)))</f>
        <v>S22</v>
      </c>
      <c r="BZ990" s="62" t="n">
        <f aca="false">IF(BY990="LOSE",1,IF(N(V990)&gt;0,V990,IF(CB990=1,MAX(1,N(VLOOKUP(T990,Parameter!$I$27:$K$29,3,0)),H990,N(N990)),IF(N(Q990)&gt;0,Q990,MAX(1,H990)))))</f>
        <v>787</v>
      </c>
      <c r="CA990" s="65" t="n">
        <f aca="false">IF(BY990="LOSE",1,0)</f>
        <v>0</v>
      </c>
      <c r="CB990" s="65" t="n">
        <f aca="false">IF(AND(U990="",OR(P990="",P990="LOSE"),T990&lt;&gt;"",N(S990)&lt;=0,ISNUMBER(MATCH(T990,Parameter!$I$27:$I$29,0))),1,0)</f>
        <v>0</v>
      </c>
      <c r="CC990" s="65" t="n">
        <f aca="false">IF(CR990&gt;0,INDEX(Parameter!$H$5:$H$7,W990)/INDEX(Parameter!$E$5:$E$7,W990),IF(AND(CA990=0,N(IFERROR(VLOOKUP(BY990,'Gebinde-Kategorie'!$A$5:$N$45,14,0),0))&gt;0),VLOOKUP(BY990,'Gebinde-Kategorie'!$A$5:$N$45,14,0)*10+Parameter!$M$23,Parameter!$M$24))</f>
        <v>155</v>
      </c>
      <c r="CD990" s="60" t="str">
        <f aca="false">IF(AND(Parameter!$B$19="Ja",E990&lt;&gt;"",ISNUMBER(MATCH(E990,Parameter!$I$35:$I$52,0))),VLOOKUP(E990,Parameter!$I$35:$J$52,2,0),IFERROR(VLOOKUP(D990,Parameter!$A$35:$C$64,2,0),"Nein"))</f>
        <v>2+3</v>
      </c>
      <c r="CE990" s="64" t="n">
        <f aca="false">IF(CA990=0,0,IF(N(S990)&gt;0,S990,IFERROR(VLOOKUP(D990,Parameter!$A$35:$C$64,3,0)+0,0)))</f>
        <v>0</v>
      </c>
      <c r="CF990" s="60" t="n">
        <f aca="false">IF(AB990&lt;&gt;"",AB990,AA990)</f>
        <v>3</v>
      </c>
      <c r="CG990" s="60" t="str">
        <f aca="false">IF(OR(CF990=1,CF990=2,CF990=3),IF(Parameter!$E$27="Ja","LIFT",IF(CF990=1,"L1","L23")),IF(CF990="Aussen","Aussen","-"))</f>
        <v>LIFT</v>
      </c>
      <c r="CH990" s="71" t="n">
        <f aca="false">IF(N(AC990)&gt;0,AC990,0)</f>
        <v>0</v>
      </c>
      <c r="CI990" s="65" t="n">
        <f aca="false">IF(ISNUMBER(AF990),1,0)</f>
        <v>0</v>
      </c>
      <c r="CJ990" s="62" t="n">
        <f aca="false">N(AF990)</f>
        <v>0</v>
      </c>
      <c r="CK990" s="62" t="n">
        <f aca="false">N(M990)+N(N990)</f>
        <v>208</v>
      </c>
      <c r="CL990" s="62" t="n">
        <f aca="false">N(M990)</f>
        <v>8</v>
      </c>
      <c r="CM990" s="62" t="n">
        <f aca="false">N(N990)</f>
        <v>200</v>
      </c>
      <c r="CN990" s="62" t="n">
        <f aca="false">ROUNDUP(H990/BZ990,0)</f>
        <v>0</v>
      </c>
      <c r="CO990" s="62" t="n">
        <f aca="false">ROUNDUP(CJ990/BZ990,0)</f>
        <v>0</v>
      </c>
      <c r="CP990" s="65" t="n">
        <f aca="false">IF(CA990=1,0,IFERROR(VLOOKUP(BY990,'Gebinde-Kategorie'!$A$5:$N$45,5,0)+0,0))</f>
        <v>8</v>
      </c>
      <c r="CQ990" s="65" t="n">
        <f aca="false">IFERROR(IF(OR(CF990=1,CF990=2,CF990=3),N(INDEX(Parameter!$I$5:$I$7,CF990)),0),0)</f>
        <v>0</v>
      </c>
      <c r="CR990" s="64" t="n">
        <f aca="false">IF(AND(Parameter!$B$21="Ja",ISNUMBER(W990),N(X990)&gt;0),IFERROR(N(INDEX(Parameter!$L$5:$L$7,W990))*INDEX(Parameter!$E$5:$E$7,W990)*X990/SUMIFS($X$7:$X$1843,$W$7:$W$1843,W990),0),0)</f>
        <v>0</v>
      </c>
      <c r="CS990" s="62" t="str">
        <f aca="false">IF(AND(OR(CG990="L1",CG990="L23",CG990="LIFT"),H990&gt;0),CC990*IF(CR990&gt;0,CR990*MAX(1,H990/X990),IF(CA990=1,CE990,IF(R990&gt;0,CN990/R990,0))/MAX(0.1,N(Parameter!$M$21))),"")</f>
        <v/>
      </c>
      <c r="CT990" s="64" t="str">
        <f aca="false">IF(CS990="","",J990/H990)</f>
        <v/>
      </c>
      <c r="CU990" s="62" t="str">
        <f aca="false">IF(CS990="","",H990*G990)</f>
        <v/>
      </c>
      <c r="CV990" s="63" t="str">
        <f aca="false">IF(CS990="","",(CL990+ROUNDUP(CL990+MAX(CM990,2*(J990/MAX(0.1,N(Einkauf!$C$6))-CL990)),0))/2)</f>
        <v/>
      </c>
      <c r="CW990" s="62" t="str">
        <f aca="false">IF(CS990="","",MAX(0,H990-CV990)*G990)</f>
        <v/>
      </c>
      <c r="CX990" s="62" t="str">
        <f aca="false">IF(CS990="","",CS990*MAX(0,1-CV990/H990))</f>
        <v/>
      </c>
      <c r="CY990" s="64" t="str">
        <f aca="false">IF(CS990="","",PERCENTRANK($CS$7:$CS$1843,CS990)+PERCENTRANK($CU$7:$CU$1843,CU990)+1-PERCENTRANK($CT$7:$CT$1843,CT990))</f>
        <v/>
      </c>
      <c r="CZ990" s="72" t="str">
        <f aca="false">IF(CS990="","",CHOOSE(MATCH(Einkauf!$C$5,Parameter!$G$23:$G$27,0),CY990,CS990,CU990,-CT990,CW990)+ROW()/1000000000)</f>
        <v/>
      </c>
    </row>
    <row r="991" customFormat="false" ht="15" hidden="false" customHeight="false" outlineLevel="0" collapsed="false">
      <c r="A991" s="60" t="s">
        <v>1873</v>
      </c>
      <c r="B991" s="60" t="s">
        <v>1874</v>
      </c>
      <c r="C991" s="60" t="s">
        <v>206</v>
      </c>
      <c r="D991" s="60" t="s">
        <v>226</v>
      </c>
      <c r="E991" s="60" t="s">
        <v>227</v>
      </c>
      <c r="F991" s="60" t="s">
        <v>260</v>
      </c>
      <c r="G991" s="61" t="n">
        <v>35.92</v>
      </c>
      <c r="H991" s="62" t="n">
        <f aca="false">MAX(0,IF(AND(Parameter!$B$21="Ja",ISNUMBER(Y991)),Y991,IF(Parameter!$B$20="Jahresanfang 2025 + Export",BS991+BR991,BR991)))</f>
        <v>3</v>
      </c>
      <c r="I991" s="62" t="n">
        <f aca="false">H991*G991</f>
        <v>107.76</v>
      </c>
      <c r="J991" s="62" t="n">
        <f aca="false">BU991*Parameter!$B$18</f>
        <v>5</v>
      </c>
      <c r="K991" s="63" t="n">
        <v>5</v>
      </c>
      <c r="L991" s="64" t="n">
        <v>1</v>
      </c>
      <c r="M991" s="62" t="n">
        <v>0</v>
      </c>
      <c r="N991" s="62" t="n">
        <v>5</v>
      </c>
      <c r="O991" s="65" t="n">
        <v>21</v>
      </c>
      <c r="P991" s="60" t="s">
        <v>344</v>
      </c>
      <c r="Q991" s="62" t="n">
        <v>11</v>
      </c>
      <c r="R991" s="65" t="n">
        <f aca="false">IF(CA991=1,0,IFERROR(VLOOKUP(BY991,'Gebinde-Kategorie'!$A$5:$N$45,13,0)+0,0))</f>
        <v>26</v>
      </c>
      <c r="S991" s="66"/>
      <c r="T991" s="67"/>
      <c r="U991" s="67"/>
      <c r="V991" s="67"/>
      <c r="W991" s="60"/>
      <c r="X991" s="62"/>
      <c r="Y991" s="62"/>
      <c r="Z991" s="60" t="n">
        <v>3</v>
      </c>
      <c r="AA991" s="60" t="n">
        <f aca="false">IF(A991="","",IF(AND(Parameter!$B$21="Ja",ISNUMBER(W991)),W991,IF(AND(Parameter!$E$27="Ja",ISNUMBER(Z991),CD991&lt;&gt;"Nein"),Z991,IF(CD991="2+3",IF(ISNUMBER(SEARCH("grosser Artikel",BV991)),2,IFERROR(VLOOKUP(BY991,Parameter!$F$35:$G$64,2,0),2)),IF(OR(CD991="Nein",CD991=""),"-",CD991)))))</f>
        <v>3</v>
      </c>
      <c r="AB991" s="67"/>
      <c r="AC991" s="68"/>
      <c r="AD991" s="62" t="n">
        <f aca="false">AW991</f>
        <v>5</v>
      </c>
      <c r="AE991" s="62" t="n">
        <f aca="false">MAX(AW991,H991)</f>
        <v>5</v>
      </c>
      <c r="AF991" s="69"/>
      <c r="AG991" s="62" t="n">
        <f aca="false">IF(LEFT(Cockpit!$C$5,1)="A",H991,IF(Parameter!$E$30="MAX-Bestand",IF(CI991=1,CJ991,IF(LEFT(Cockpit!$C$5,1)="B",AM991,MAX(AM991,H991))),ROUNDUP(AK991,0)))</f>
        <v>3</v>
      </c>
      <c r="AH991" s="62" t="n">
        <f aca="false">IF(CA991=1,0,ROUNDUP(AG991/BZ991,0))</f>
        <v>1</v>
      </c>
      <c r="AI991" s="64" t="n">
        <f aca="false">IF(CR991&gt;0,CR991*MAX(1,AG991/X991),IF(CA991=1,IF(AG991&lt;=0,0,CE991*MAX(1,IF(H991&gt;0,AG991/H991,1))),IF(R991&gt;0,AH991/R991,0))/MAX(0.1,N(Parameter!$M$21)))</f>
        <v>0.0384615384615385</v>
      </c>
      <c r="AJ991" s="62" t="n">
        <f aca="false">AI991*CC991</f>
        <v>5.96153846153846</v>
      </c>
      <c r="AK991" s="63" t="n">
        <f aca="false">IF(LEFT(Cockpit!$C$5,1)="A",H991,IF(CI991=1,(CL991+CJ991)/2,IF(LEFT(Cockpit!$C$5,1)="B",(CL991+AM991)/2,MAX((CL991+AM991)/2,H991))))</f>
        <v>3</v>
      </c>
      <c r="AL991" s="62" t="n">
        <f aca="false">AK991*G991</f>
        <v>107.76</v>
      </c>
      <c r="AM991" s="62" t="n">
        <f aca="false">ROUNDUP(CL991+MAX(CM991,2*(J991/IF(CH991&gt;0,CH991,MAX(0.1,N(Cockpit!$C$6)))-CL991)),0)</f>
        <v>5</v>
      </c>
      <c r="AN991" s="63" t="n">
        <f aca="false">IF(AJ991&gt;0,J991/AJ991,-1)</f>
        <v>0.838709677419355</v>
      </c>
      <c r="AO991" s="63" t="n">
        <f aca="false">IF(AND(OR(CG991="L1",CG991="L23",CG991="LIFT"),AJ991&gt;0),SUMIFS($AJ$7:$AJ$1843,$CG$7:$CG$1843,CG991,$AN$7:$AN$1843,"&gt;"&amp;AN991)+SUMIFS($AJ$7:$AJ$1843,$CG$7:$CG$1843,CG991,$AN$7:$AN$1843,AN991,$BX$7:$BX$1843,"&lt;="&amp;BX991),"")</f>
        <v>7890.66346153846</v>
      </c>
      <c r="AP991" s="70" t="n">
        <f aca="false">IF(AO991="",0,MAX(0,MIN(1,(IF(CG991="L1",Parameter!$H$5,IF(CG991="L23",Parameter!$H$6+Parameter!$H$7,Parameter!$H$5+Parameter!$H$6+Parameter!$H$7))-(AO991-AJ991))/AJ991)))</f>
        <v>1</v>
      </c>
      <c r="AQ991" s="62" t="n">
        <f aca="false">IF(LEFT(Cockpit!$I$5,1)="A",H991,IF(Parameter!$E$30="MAX-Bestand",IF(CI991=1,CJ991,IF(LEFT(Cockpit!$I$5,1)="B",AW991,MAX(AW991,H991))),ROUNDUP(AU991,0)))</f>
        <v>3</v>
      </c>
      <c r="AR991" s="62" t="n">
        <f aca="false">IF(CA991=1,0,ROUNDUP(AQ991/BZ991,0))</f>
        <v>1</v>
      </c>
      <c r="AS991" s="64" t="n">
        <f aca="false">IF(CR991&gt;0,CR991*MAX(1,AQ991/X991),IF(CA991=1,IF(AQ991&lt;=0,0,CE991*MAX(1,IF(H991&gt;0,AQ991/H991,1))),IF(R991&gt;0,AR991/R991,0))/MAX(0.1,N(Parameter!$M$21)))</f>
        <v>0.0384615384615385</v>
      </c>
      <c r="AT991" s="62" t="n">
        <f aca="false">AS991*CC991</f>
        <v>5.96153846153846</v>
      </c>
      <c r="AU991" s="63" t="n">
        <f aca="false">IF(LEFT(Cockpit!$I$5,1)="A",H991,IF(CI991=1,(CL991+CJ991)/2,IF(LEFT(Cockpit!$I$5,1)="B",(CL991+AW991)/2,MAX((CL991+AW991)/2,H991))))</f>
        <v>3</v>
      </c>
      <c r="AV991" s="62" t="n">
        <f aca="false">AU991*G991</f>
        <v>107.76</v>
      </c>
      <c r="AW991" s="62" t="n">
        <f aca="false">ROUNDUP(CL991+MAX(CM991,2*(J991/IF(CH991&gt;0,CH991,MAX(0.1,N(Cockpit!$I$6)))-CL991)),0)</f>
        <v>5</v>
      </c>
      <c r="AX991" s="63" t="n">
        <f aca="false">IF(AT991&gt;0,J991/AT991,-1)</f>
        <v>0.838709677419355</v>
      </c>
      <c r="AY991" s="63" t="n">
        <f aca="false">IF(AND(OR(CG991="L1",CG991="L23",CG991="LIFT"),AT991&gt;0),SUMIFS($AT$7:$AT$1843,$CG$7:$CG$1843,CG991,$AX$7:$AX$1843,"&gt;"&amp;AX991)+SUMIFS($AT$7:$AT$1843,$CG$7:$CG$1843,CG991,$AX$7:$AX$1843,AX991,$BX$7:$BX$1843,"&lt;="&amp;BX991),"")</f>
        <v>9646.06501831502</v>
      </c>
      <c r="AZ991" s="70" t="n">
        <f aca="false">IF(AY991="",0,MAX(0,MIN(1,(IF(CG991="L1",Parameter!$H$5,IF(CG991="L23",Parameter!$H$6+Parameter!$H$7,Parameter!$H$5+Parameter!$H$6+Parameter!$H$7))-(AY991-AT991))/AT991)))</f>
        <v>1</v>
      </c>
      <c r="BA991" s="62" t="n">
        <f aca="false">IF(LEFT(Cockpit!$O$5,1)="A",H991,IF(Parameter!$E$30="MAX-Bestand",IF(CI991=1,CJ991,IF(LEFT(Cockpit!$O$5,1)="B",BG991,MAX(BG991,H991))),ROUNDUP(BE991,0)))</f>
        <v>3</v>
      </c>
      <c r="BB991" s="62" t="n">
        <f aca="false">IF(CA991=1,0,ROUNDUP(BA991/BZ991,0))</f>
        <v>1</v>
      </c>
      <c r="BC991" s="64" t="n">
        <f aca="false">IF(CR991&gt;0,CR991*MAX(1,BA991/X991),IF(CA991=1,IF(BA991&lt;=0,0,CE991*MAX(1,IF(H991&gt;0,BA991/H991,1))),IF(R991&gt;0,BB991/R991,0))/MAX(0.1,N(Parameter!$M$21)))</f>
        <v>0.0384615384615385</v>
      </c>
      <c r="BD991" s="62" t="n">
        <f aca="false">BC991*CC991</f>
        <v>5.96153846153846</v>
      </c>
      <c r="BE991" s="63" t="n">
        <f aca="false">IF(LEFT(Cockpit!$O$5,1)="A",H991,IF(CI991=1,(CL991+CJ991)/2,IF(LEFT(Cockpit!$O$5,1)="B",(CL991+BG991)/2,MAX((CL991+BG991)/2,H991))))</f>
        <v>2.5</v>
      </c>
      <c r="BF991" s="62" t="n">
        <f aca="false">BE991*G991</f>
        <v>89.8</v>
      </c>
      <c r="BG991" s="62" t="n">
        <f aca="false">ROUNDUP(CL991+MAX(CM991,2*(J991/IF(CH991&gt;0,CH991,MAX(0.1,N(Cockpit!$O$6)))-CL991)),0)</f>
        <v>5</v>
      </c>
      <c r="BH991" s="63" t="n">
        <f aca="false">IF(BD991&gt;0,J991/BD991,-1)</f>
        <v>0.838709677419355</v>
      </c>
      <c r="BI991" s="63" t="n">
        <f aca="false">IF(AND(OR(CG991="L1",CG991="L23",CG991="LIFT"),BD991&gt;0),SUMIFS($BD$7:$BD$1843,$CG$7:$CG$1843,CG991,$BH$7:$BH$1843,"&gt;"&amp;BH991)+SUMIFS($BD$7:$BD$1843,$CG$7:$CG$1843,CG991,$BH$7:$BH$1843,BH991,$BX$7:$BX$1843,"&lt;="&amp;BX991),"")</f>
        <v>8607.14148351648</v>
      </c>
      <c r="BJ991" s="70" t="n">
        <f aca="false">IF(BI991="",0,MAX(0,MIN(1,(IF(CG991="L1",Parameter!$H$5,IF(CG991="L23",Parameter!$H$6+Parameter!$H$7,Parameter!$H$5+Parameter!$H$6+Parameter!$H$7))-(BI991-BD991))/BD991)))</f>
        <v>1</v>
      </c>
      <c r="BK991" s="60" t="str">
        <f aca="false">IF(AJ991&lt;=0,"",IF(CG991="Aussen","Aussenlager",IF(CG991="-","Nicht im Lift",IF(AP991&gt;=1,"Lift",IF(AP991&lt;=0,"Aussenlager","teilweise")))))</f>
        <v>Lift</v>
      </c>
      <c r="BL991" s="60" t="str">
        <f aca="false">IF(AT991&lt;=0,"",IF(CG991="Aussen","Aussenlager",IF(CG991="-","Nicht im Lift",IF(AZ991&gt;=1,"Lift",IF(AZ991&lt;=0,"Aussenlager","teilweise")))))</f>
        <v>Lift</v>
      </c>
      <c r="BM991" s="60" t="str">
        <f aca="false">IF(BD991&lt;=0,"",IF(CG991="Aussen","Aussenlager",IF(CG991="-","Nicht im Lift",IF(BJ991&gt;=1,"Lift",IF(BJ991&lt;=0,"Aussenlager","teilweise")))))</f>
        <v>Lift</v>
      </c>
      <c r="BN991" s="60" t="str">
        <f aca="false">IF(A991="","",IF(BW991=1,"Neu; ","")&amp;IF(AND(BW991=0,BR991&lt;0),"negativer Bestand (Export "&amp;BR991&amp;"); ","")&amp;IF(J991&lt;=0,"Kein Verbrauch; ","")&amp;IF(CR991&gt;0,"Lift "&amp;W991&amp;" lt. Liftbericht (Fach "&amp;X991&amp;" Stk); ",IF(CB991=1,"Gebinde geschätzt ("&amp;T991&amp;"); ",IF(CA991=1,"Lose – Tablare geschätzt; ","")))&amp;IF(H991&gt;AW991,"Überbestand "&amp;ROUND(H991-AW991,0)&amp;" Stk / CHF "&amp;ROUND((H991-AW991)*G991,0)&amp;"; ","")&amp;IF(AND(CI991=1,CJ991&lt;CK991),"MAX &lt; MB+LG; ","")&amp;IF(AND(CQ991&gt;0,CP991*10&gt;CQ991),"zu hoch für Tablar; ","")&amp;IF(AND(BW991=0,OR(CI991=1,AB991&lt;&gt;"",U991&lt;&gt;"",V991&lt;&gt;"",AC991&lt;&gt;"")),"manuell übersteuert; ","")&amp;IF(AND(CA991=0,R991=0),"Gebinde unbekannt / Stellmass fehlt; ","")&amp;IF(AND(CA991=0,N(V991)&lt;=0,N(Q991)&lt;=0),"Menge pro Gebinde fehlt (Ist = 1 Gebinde); ","")&amp;BV991)</f>
        <v>negativer Bestand (Export -3); </v>
      </c>
      <c r="BO991" s="60"/>
      <c r="BP991" s="60"/>
      <c r="BQ991" s="67"/>
      <c r="BR991" s="62" t="n">
        <v>-3</v>
      </c>
      <c r="BS991" s="62" t="n">
        <v>6</v>
      </c>
      <c r="BT991" s="61" t="n">
        <v>-84.84</v>
      </c>
      <c r="BU991" s="62" t="n">
        <v>5</v>
      </c>
      <c r="BV991" s="60"/>
      <c r="BW991" s="65" t="n">
        <v>0</v>
      </c>
      <c r="BX991" s="65" t="n">
        <v>991</v>
      </c>
      <c r="BY991" s="60" t="str">
        <f aca="false">IF(U991&lt;&gt;"",UPPER(TRIM(U991)),IF(CB991=1,UPPER(VLOOKUP(T991,Parameter!$I$27:$K$29,2,0)),IF(P991="","LOSE",P991)))</f>
        <v>S51</v>
      </c>
      <c r="BZ991" s="62" t="n">
        <f aca="false">IF(BY991="LOSE",1,IF(N(V991)&gt;0,V991,IF(CB991=1,MAX(1,N(VLOOKUP(T991,Parameter!$I$27:$K$29,3,0)),H991,N(N991)),IF(N(Q991)&gt;0,Q991,MAX(1,H991)))))</f>
        <v>11</v>
      </c>
      <c r="CA991" s="65" t="n">
        <f aca="false">IF(BY991="LOSE",1,0)</f>
        <v>0</v>
      </c>
      <c r="CB991" s="65" t="n">
        <f aca="false">IF(AND(U991="",OR(P991="",P991="LOSE"),T991&lt;&gt;"",N(S991)&lt;=0,ISNUMBER(MATCH(T991,Parameter!$I$27:$I$29,0))),1,0)</f>
        <v>0</v>
      </c>
      <c r="CC991" s="65" t="n">
        <f aca="false">IF(CR991&gt;0,INDEX(Parameter!$H$5:$H$7,W991)/INDEX(Parameter!$E$5:$E$7,W991),IF(AND(CA991=0,N(IFERROR(VLOOKUP(BY991,'Gebinde-Kategorie'!$A$5:$N$45,14,0),0))&gt;0),VLOOKUP(BY991,'Gebinde-Kategorie'!$A$5:$N$45,14,0)*10+Parameter!$M$23,Parameter!$M$24))</f>
        <v>155</v>
      </c>
      <c r="CD991" s="60" t="str">
        <f aca="false">IF(AND(Parameter!$B$19="Ja",E991&lt;&gt;"",ISNUMBER(MATCH(E991,Parameter!$I$35:$I$52,0))),VLOOKUP(E991,Parameter!$I$35:$J$52,2,0),IFERROR(VLOOKUP(D991,Parameter!$A$35:$C$64,2,0),"Nein"))</f>
        <v>2+3</v>
      </c>
      <c r="CE991" s="64" t="n">
        <f aca="false">IF(CA991=0,0,IF(N(S991)&gt;0,S991,IFERROR(VLOOKUP(D991,Parameter!$A$35:$C$64,3,0)+0,0)))</f>
        <v>0</v>
      </c>
      <c r="CF991" s="60" t="n">
        <f aca="false">IF(AB991&lt;&gt;"",AB991,AA991)</f>
        <v>3</v>
      </c>
      <c r="CG991" s="60" t="str">
        <f aca="false">IF(OR(CF991=1,CF991=2,CF991=3),IF(Parameter!$E$27="Ja","LIFT",IF(CF991=1,"L1","L23")),IF(CF991="Aussen","Aussen","-"))</f>
        <v>LIFT</v>
      </c>
      <c r="CH991" s="71" t="n">
        <f aca="false">IF(N(AC991)&gt;0,AC991,0)</f>
        <v>0</v>
      </c>
      <c r="CI991" s="65" t="n">
        <f aca="false">IF(ISNUMBER(AF991),1,0)</f>
        <v>0</v>
      </c>
      <c r="CJ991" s="62" t="n">
        <f aca="false">N(AF991)</f>
        <v>0</v>
      </c>
      <c r="CK991" s="62" t="n">
        <f aca="false">N(M991)+N(N991)</f>
        <v>5</v>
      </c>
      <c r="CL991" s="62" t="n">
        <f aca="false">N(M991)</f>
        <v>0</v>
      </c>
      <c r="CM991" s="62" t="n">
        <f aca="false">N(N991)</f>
        <v>5</v>
      </c>
      <c r="CN991" s="62" t="n">
        <f aca="false">ROUNDUP(H991/BZ991,0)</f>
        <v>1</v>
      </c>
      <c r="CO991" s="62" t="n">
        <f aca="false">ROUNDUP(CJ991/BZ991,0)</f>
        <v>0</v>
      </c>
      <c r="CP991" s="65" t="n">
        <f aca="false">IF(CA991=1,0,IFERROR(VLOOKUP(BY991,'Gebinde-Kategorie'!$A$5:$N$45,5,0)+0,0))</f>
        <v>11</v>
      </c>
      <c r="CQ991" s="65" t="n">
        <f aca="false">IFERROR(IF(OR(CF991=1,CF991=2,CF991=3),N(INDEX(Parameter!$I$5:$I$7,CF991)),0),0)</f>
        <v>0</v>
      </c>
      <c r="CR991" s="64" t="n">
        <f aca="false">IF(AND(Parameter!$B$21="Ja",ISNUMBER(W991),N(X991)&gt;0),IFERROR(N(INDEX(Parameter!$L$5:$L$7,W991))*INDEX(Parameter!$E$5:$E$7,W991)*X991/SUMIFS($X$7:$X$1843,$W$7:$W$1843,W991),0),0)</f>
        <v>0</v>
      </c>
      <c r="CS991" s="62" t="n">
        <f aca="false">IF(AND(OR(CG991="L1",CG991="L23",CG991="LIFT"),H991&gt;0),CC991*IF(CR991&gt;0,CR991*MAX(1,H991/X991),IF(CA991=1,CE991,IF(R991&gt;0,CN991/R991,0))/MAX(0.1,N(Parameter!$M$21))),"")</f>
        <v>5.96153846153846</v>
      </c>
      <c r="CT991" s="64" t="n">
        <f aca="false">IF(CS991="","",J991/H991)</f>
        <v>1.66666666666667</v>
      </c>
      <c r="CU991" s="62" t="n">
        <f aca="false">IF(CS991="","",H991*G991)</f>
        <v>107.76</v>
      </c>
      <c r="CV991" s="63" t="n">
        <f aca="false">IF(CS991="","",(CL991+ROUNDUP(CL991+MAX(CM991,2*(J991/MAX(0.1,N(Einkauf!$C$6))-CL991)),0))/2)</f>
        <v>2.5</v>
      </c>
      <c r="CW991" s="62" t="n">
        <f aca="false">IF(CS991="","",MAX(0,H991-CV991)*G991)</f>
        <v>17.96</v>
      </c>
      <c r="CX991" s="62" t="n">
        <f aca="false">IF(CS991="","",CS991*MAX(0,1-CV991/H991))</f>
        <v>0.993589743589743</v>
      </c>
      <c r="CY991" s="64" t="n">
        <f aca="false">IF(CS991="","",PERCENTRANK($CS$7:$CS$1843,CS991)+PERCENTRANK($CU$7:$CU$1843,CU991)+1-PERCENTRANK($CT$7:$CT$1843,CT991))</f>
        <v>0.816</v>
      </c>
      <c r="CZ991" s="72" t="n">
        <f aca="false">IF(CS991="","",CHOOSE(MATCH(Einkauf!$C$5,Parameter!$G$23:$G$27,0),CY991,CS991,CU991,-CT991,CW991)+ROW()/1000000000)</f>
        <v>0.816000991</v>
      </c>
    </row>
    <row r="992" customFormat="false" ht="15" hidden="false" customHeight="false" outlineLevel="0" collapsed="false">
      <c r="A992" s="60" t="s">
        <v>1875</v>
      </c>
      <c r="B992" s="60" t="s">
        <v>1876</v>
      </c>
      <c r="C992" s="60" t="s">
        <v>206</v>
      </c>
      <c r="D992" s="60" t="s">
        <v>226</v>
      </c>
      <c r="E992" s="60" t="s">
        <v>227</v>
      </c>
      <c r="F992" s="60" t="s">
        <v>260</v>
      </c>
      <c r="G992" s="61" t="n">
        <v>43.78</v>
      </c>
      <c r="H992" s="62" t="n">
        <f aca="false">MAX(0,IF(AND(Parameter!$B$21="Ja",ISNUMBER(Y992)),Y992,IF(Parameter!$B$20="Jahresanfang 2025 + Export",BS992+BR992,BR992)))</f>
        <v>13</v>
      </c>
      <c r="I992" s="62" t="n">
        <f aca="false">H992*G992</f>
        <v>569.14</v>
      </c>
      <c r="J992" s="62" t="n">
        <f aca="false">BU992*Parameter!$B$18</f>
        <v>4</v>
      </c>
      <c r="K992" s="63" t="n">
        <v>13.5</v>
      </c>
      <c r="L992" s="64" t="n">
        <v>0.296296296296296</v>
      </c>
      <c r="M992" s="62" t="n">
        <v>0</v>
      </c>
      <c r="N992" s="62" t="n">
        <v>5</v>
      </c>
      <c r="O992" s="65" t="n">
        <v>16</v>
      </c>
      <c r="P992" s="60" t="s">
        <v>468</v>
      </c>
      <c r="Q992" s="62" t="n">
        <v>17</v>
      </c>
      <c r="R992" s="65" t="n">
        <f aca="false">IF(CA992=1,0,IFERROR(VLOOKUP(BY992,'Gebinde-Kategorie'!$A$5:$N$45,13,0)+0,0))</f>
        <v>140</v>
      </c>
      <c r="S992" s="66"/>
      <c r="T992" s="67"/>
      <c r="U992" s="67"/>
      <c r="V992" s="67"/>
      <c r="W992" s="60"/>
      <c r="X992" s="62"/>
      <c r="Y992" s="62"/>
      <c r="Z992" s="60" t="n">
        <v>3</v>
      </c>
      <c r="AA992" s="60" t="n">
        <f aca="false">IF(A992="","",IF(AND(Parameter!$B$21="Ja",ISNUMBER(W992)),W992,IF(AND(Parameter!$E$27="Ja",ISNUMBER(Z992),CD992&lt;&gt;"Nein"),Z992,IF(CD992="2+3",IF(ISNUMBER(SEARCH("grosser Artikel",BV992)),2,IFERROR(VLOOKUP(BY992,Parameter!$F$35:$G$64,2,0),2)),IF(OR(CD992="Nein",CD992=""),"-",CD992)))))</f>
        <v>3</v>
      </c>
      <c r="AB992" s="67"/>
      <c r="AC992" s="68"/>
      <c r="AD992" s="62" t="n">
        <f aca="false">AW992</f>
        <v>5</v>
      </c>
      <c r="AE992" s="62" t="n">
        <f aca="false">MAX(AW992,H992)</f>
        <v>13</v>
      </c>
      <c r="AF992" s="69"/>
      <c r="AG992" s="62" t="n">
        <f aca="false">IF(LEFT(Cockpit!$C$5,1)="A",H992,IF(Parameter!$E$30="MAX-Bestand",IF(CI992=1,CJ992,IF(LEFT(Cockpit!$C$5,1)="B",AM992,MAX(AM992,H992))),ROUNDUP(AK992,0)))</f>
        <v>13</v>
      </c>
      <c r="AH992" s="62" t="n">
        <f aca="false">IF(CA992=1,0,ROUNDUP(AG992/BZ992,0))</f>
        <v>1</v>
      </c>
      <c r="AI992" s="64" t="n">
        <f aca="false">IF(CR992&gt;0,CR992*MAX(1,AG992/X992),IF(CA992=1,IF(AG992&lt;=0,0,CE992*MAX(1,IF(H992&gt;0,AG992/H992,1))),IF(R992&gt;0,AH992/R992,0))/MAX(0.1,N(Parameter!$M$21)))</f>
        <v>0.00714285714285714</v>
      </c>
      <c r="AJ992" s="62" t="n">
        <f aca="false">AI992*CC992</f>
        <v>1.10714285714286</v>
      </c>
      <c r="AK992" s="63" t="n">
        <f aca="false">IF(LEFT(Cockpit!$C$5,1)="A",H992,IF(CI992=1,(CL992+CJ992)/2,IF(LEFT(Cockpit!$C$5,1)="B",(CL992+AM992)/2,MAX((CL992+AM992)/2,H992))))</f>
        <v>13</v>
      </c>
      <c r="AL992" s="62" t="n">
        <f aca="false">AK992*G992</f>
        <v>569.14</v>
      </c>
      <c r="AM992" s="62" t="n">
        <f aca="false">ROUNDUP(CL992+MAX(CM992,2*(J992/IF(CH992&gt;0,CH992,MAX(0.1,N(Cockpit!$C$6)))-CL992)),0)</f>
        <v>5</v>
      </c>
      <c r="AN992" s="63" t="n">
        <f aca="false">IF(AJ992&gt;0,J992/AJ992,-1)</f>
        <v>3.61290322580645</v>
      </c>
      <c r="AO992" s="63" t="n">
        <f aca="false">IF(AND(OR(CG992="L1",CG992="L23",CG992="LIFT"),AJ992&gt;0),SUMIFS($AJ$7:$AJ$1843,$CG$7:$CG$1843,CG992,$AN$7:$AN$1843,"&gt;"&amp;AN992)+SUMIFS($AJ$7:$AJ$1843,$CG$7:$CG$1843,CG992,$AN$7:$AN$1843,AN992,$BX$7:$BX$1843,"&lt;="&amp;BX992),"")</f>
        <v>4831.19551282051</v>
      </c>
      <c r="AP992" s="70" t="n">
        <f aca="false">IF(AO992="",0,MAX(0,MIN(1,(IF(CG992="L1",Parameter!$H$5,IF(CG992="L23",Parameter!$H$6+Parameter!$H$7,Parameter!$H$5+Parameter!$H$6+Parameter!$H$7))-(AO992-AJ992))/AJ992)))</f>
        <v>1</v>
      </c>
      <c r="AQ992" s="62" t="n">
        <f aca="false">IF(LEFT(Cockpit!$I$5,1)="A",H992,IF(Parameter!$E$30="MAX-Bestand",IF(CI992=1,CJ992,IF(LEFT(Cockpit!$I$5,1)="B",AW992,MAX(AW992,H992))),ROUNDUP(AU992,0)))</f>
        <v>13</v>
      </c>
      <c r="AR992" s="62" t="n">
        <f aca="false">IF(CA992=1,0,ROUNDUP(AQ992/BZ992,0))</f>
        <v>1</v>
      </c>
      <c r="AS992" s="64" t="n">
        <f aca="false">IF(CR992&gt;0,CR992*MAX(1,AQ992/X992),IF(CA992=1,IF(AQ992&lt;=0,0,CE992*MAX(1,IF(H992&gt;0,AQ992/H992,1))),IF(R992&gt;0,AR992/R992,0))/MAX(0.1,N(Parameter!$M$21)))</f>
        <v>0.00714285714285714</v>
      </c>
      <c r="AT992" s="62" t="n">
        <f aca="false">AS992*CC992</f>
        <v>1.10714285714286</v>
      </c>
      <c r="AU992" s="63" t="n">
        <f aca="false">IF(LEFT(Cockpit!$I$5,1)="A",H992,IF(CI992=1,(CL992+CJ992)/2,IF(LEFT(Cockpit!$I$5,1)="B",(CL992+AW992)/2,MAX((CL992+AW992)/2,H992))))</f>
        <v>13</v>
      </c>
      <c r="AV992" s="62" t="n">
        <f aca="false">AU992*G992</f>
        <v>569.14</v>
      </c>
      <c r="AW992" s="62" t="n">
        <f aca="false">ROUNDUP(CL992+MAX(CM992,2*(J992/IF(CH992&gt;0,CH992,MAX(0.1,N(Cockpit!$I$6)))-CL992)),0)</f>
        <v>5</v>
      </c>
      <c r="AX992" s="63" t="n">
        <f aca="false">IF(AT992&gt;0,J992/AT992,-1)</f>
        <v>3.61290322580645</v>
      </c>
      <c r="AY992" s="63" t="n">
        <f aca="false">IF(AND(OR(CG992="L1",CG992="L23",CG992="LIFT"),AT992&gt;0),SUMIFS($AT$7:$AT$1843,$CG$7:$CG$1843,CG992,$AX$7:$AX$1843,"&gt;"&amp;AX992)+SUMIFS($AT$7:$AT$1843,$CG$7:$CG$1843,CG992,$AX$7:$AX$1843,AX992,$BX$7:$BX$1843,"&lt;="&amp;BX992),"")</f>
        <v>5408.78250915751</v>
      </c>
      <c r="AZ992" s="70" t="n">
        <f aca="false">IF(AY992="",0,MAX(0,MIN(1,(IF(CG992="L1",Parameter!$H$5,IF(CG992="L23",Parameter!$H$6+Parameter!$H$7,Parameter!$H$5+Parameter!$H$6+Parameter!$H$7))-(AY992-AT992))/AT992)))</f>
        <v>1</v>
      </c>
      <c r="BA992" s="62" t="n">
        <f aca="false">IF(LEFT(Cockpit!$O$5,1)="A",H992,IF(Parameter!$E$30="MAX-Bestand",IF(CI992=1,CJ992,IF(LEFT(Cockpit!$O$5,1)="B",BG992,MAX(BG992,H992))),ROUNDUP(BE992,0)))</f>
        <v>3</v>
      </c>
      <c r="BB992" s="62" t="n">
        <f aca="false">IF(CA992=1,0,ROUNDUP(BA992/BZ992,0))</f>
        <v>1</v>
      </c>
      <c r="BC992" s="64" t="n">
        <f aca="false">IF(CR992&gt;0,CR992*MAX(1,BA992/X992),IF(CA992=1,IF(BA992&lt;=0,0,CE992*MAX(1,IF(H992&gt;0,BA992/H992,1))),IF(R992&gt;0,BB992/R992,0))/MAX(0.1,N(Parameter!$M$21)))</f>
        <v>0.00714285714285714</v>
      </c>
      <c r="BD992" s="62" t="n">
        <f aca="false">BC992*CC992</f>
        <v>1.10714285714286</v>
      </c>
      <c r="BE992" s="63" t="n">
        <f aca="false">IF(LEFT(Cockpit!$O$5,1)="A",H992,IF(CI992=1,(CL992+CJ992)/2,IF(LEFT(Cockpit!$O$5,1)="B",(CL992+BG992)/2,MAX((CL992+BG992)/2,H992))))</f>
        <v>2.5</v>
      </c>
      <c r="BF992" s="62" t="n">
        <f aca="false">BE992*G992</f>
        <v>109.45</v>
      </c>
      <c r="BG992" s="62" t="n">
        <f aca="false">ROUNDUP(CL992+MAX(CM992,2*(J992/IF(CH992&gt;0,CH992,MAX(0.1,N(Cockpit!$O$6)))-CL992)),0)</f>
        <v>5</v>
      </c>
      <c r="BH992" s="63" t="n">
        <f aca="false">IF(BD992&gt;0,J992/BD992,-1)</f>
        <v>3.61290322580645</v>
      </c>
      <c r="BI992" s="63" t="n">
        <f aca="false">IF(AND(OR(CG992="L1",CG992="L23",CG992="LIFT"),BD992&gt;0),SUMIFS($BD$7:$BD$1843,$CG$7:$CG$1843,CG992,$BH$7:$BH$1843,"&gt;"&amp;BH992)+SUMIFS($BD$7:$BD$1843,$CG$7:$CG$1843,CG992,$BH$7:$BH$1843,BH992,$BX$7:$BX$1843,"&lt;="&amp;BX992),"")</f>
        <v>4423.2793040293</v>
      </c>
      <c r="BJ992" s="70" t="n">
        <f aca="false">IF(BI992="",0,MAX(0,MIN(1,(IF(CG992="L1",Parameter!$H$5,IF(CG992="L23",Parameter!$H$6+Parameter!$H$7,Parameter!$H$5+Parameter!$H$6+Parameter!$H$7))-(BI992-BD992))/BD992)))</f>
        <v>1</v>
      </c>
      <c r="BK992" s="60" t="str">
        <f aca="false">IF(AJ992&lt;=0,"",IF(CG992="Aussen","Aussenlager",IF(CG992="-","Nicht im Lift",IF(AP992&gt;=1,"Lift",IF(AP992&lt;=0,"Aussenlager","teilweise")))))</f>
        <v>Lift</v>
      </c>
      <c r="BL992" s="60" t="str">
        <f aca="false">IF(AT992&lt;=0,"",IF(CG992="Aussen","Aussenlager",IF(CG992="-","Nicht im Lift",IF(AZ992&gt;=1,"Lift",IF(AZ992&lt;=0,"Aussenlager","teilweise")))))</f>
        <v>Lift</v>
      </c>
      <c r="BM992" s="60" t="str">
        <f aca="false">IF(BD992&lt;=0,"",IF(CG992="Aussen","Aussenlager",IF(CG992="-","Nicht im Lift",IF(BJ992&gt;=1,"Lift",IF(BJ992&lt;=0,"Aussenlager","teilweise")))))</f>
        <v>Lift</v>
      </c>
      <c r="BN992" s="60" t="str">
        <f aca="false">IF(A992="","",IF(BW992=1,"Neu; ","")&amp;IF(AND(BW992=0,BR992&lt;0),"negativer Bestand (Export "&amp;BR992&amp;"); ","")&amp;IF(J992&lt;=0,"Kein Verbrauch; ","")&amp;IF(CR992&gt;0,"Lift "&amp;W992&amp;" lt. Liftbericht (Fach "&amp;X992&amp;" Stk); ",IF(CB992=1,"Gebinde geschätzt ("&amp;T992&amp;"); ",IF(CA992=1,"Lose – Tablare geschätzt; ","")))&amp;IF(H992&gt;AW992,"Überbestand "&amp;ROUND(H992-AW992,0)&amp;" Stk / CHF "&amp;ROUND((H992-AW992)*G992,0)&amp;"; ","")&amp;IF(AND(CI992=1,CJ992&lt;CK992),"MAX &lt; MB+LG; ","")&amp;IF(AND(CQ992&gt;0,CP992*10&gt;CQ992),"zu hoch für Tablar; ","")&amp;IF(AND(BW992=0,OR(CI992=1,AB992&lt;&gt;"",U992&lt;&gt;"",V992&lt;&gt;"",AC992&lt;&gt;"")),"manuell übersteuert; ","")&amp;IF(AND(CA992=0,R992=0),"Gebinde unbekannt / Stellmass fehlt; ","")&amp;IF(AND(CA992=0,N(V992)&lt;=0,N(Q992)&lt;=0),"Menge pro Gebinde fehlt (Ist = 1 Gebinde); ","")&amp;BV992)</f>
        <v>negativer Bestand (Export -2); Überbestand 8 Stk / CHF 350; </v>
      </c>
      <c r="BO992" s="60"/>
      <c r="BP992" s="60"/>
      <c r="BQ992" s="67"/>
      <c r="BR992" s="62" t="n">
        <v>-2</v>
      </c>
      <c r="BS992" s="62" t="n">
        <v>15</v>
      </c>
      <c r="BT992" s="61" t="n">
        <v>-87.56</v>
      </c>
      <c r="BU992" s="62" t="n">
        <v>4</v>
      </c>
      <c r="BV992" s="60"/>
      <c r="BW992" s="65" t="n">
        <v>0</v>
      </c>
      <c r="BX992" s="65" t="n">
        <v>992</v>
      </c>
      <c r="BY992" s="60" t="str">
        <f aca="false">IF(U992&lt;&gt;"",UPPER(TRIM(U992)),IF(CB992=1,UPPER(VLOOKUP(T992,Parameter!$I$27:$K$29,2,0)),IF(P992="","LOSE",P992)))</f>
        <v>S22</v>
      </c>
      <c r="BZ992" s="62" t="n">
        <f aca="false">IF(BY992="LOSE",1,IF(N(V992)&gt;0,V992,IF(CB992=1,MAX(1,N(VLOOKUP(T992,Parameter!$I$27:$K$29,3,0)),H992,N(N992)),IF(N(Q992)&gt;0,Q992,MAX(1,H992)))))</f>
        <v>17</v>
      </c>
      <c r="CA992" s="65" t="n">
        <f aca="false">IF(BY992="LOSE",1,0)</f>
        <v>0</v>
      </c>
      <c r="CB992" s="65" t="n">
        <f aca="false">IF(AND(U992="",OR(P992="",P992="LOSE"),T992&lt;&gt;"",N(S992)&lt;=0,ISNUMBER(MATCH(T992,Parameter!$I$27:$I$29,0))),1,0)</f>
        <v>0</v>
      </c>
      <c r="CC992" s="65" t="n">
        <f aca="false">IF(CR992&gt;0,INDEX(Parameter!$H$5:$H$7,W992)/INDEX(Parameter!$E$5:$E$7,W992),IF(AND(CA992=0,N(IFERROR(VLOOKUP(BY992,'Gebinde-Kategorie'!$A$5:$N$45,14,0),0))&gt;0),VLOOKUP(BY992,'Gebinde-Kategorie'!$A$5:$N$45,14,0)*10+Parameter!$M$23,Parameter!$M$24))</f>
        <v>155</v>
      </c>
      <c r="CD992" s="60" t="str">
        <f aca="false">IF(AND(Parameter!$B$19="Ja",E992&lt;&gt;"",ISNUMBER(MATCH(E992,Parameter!$I$35:$I$52,0))),VLOOKUP(E992,Parameter!$I$35:$J$52,2,0),IFERROR(VLOOKUP(D992,Parameter!$A$35:$C$64,2,0),"Nein"))</f>
        <v>2+3</v>
      </c>
      <c r="CE992" s="64" t="n">
        <f aca="false">IF(CA992=0,0,IF(N(S992)&gt;0,S992,IFERROR(VLOOKUP(D992,Parameter!$A$35:$C$64,3,0)+0,0)))</f>
        <v>0</v>
      </c>
      <c r="CF992" s="60" t="n">
        <f aca="false">IF(AB992&lt;&gt;"",AB992,AA992)</f>
        <v>3</v>
      </c>
      <c r="CG992" s="60" t="str">
        <f aca="false">IF(OR(CF992=1,CF992=2,CF992=3),IF(Parameter!$E$27="Ja","LIFT",IF(CF992=1,"L1","L23")),IF(CF992="Aussen","Aussen","-"))</f>
        <v>LIFT</v>
      </c>
      <c r="CH992" s="71" t="n">
        <f aca="false">IF(N(AC992)&gt;0,AC992,0)</f>
        <v>0</v>
      </c>
      <c r="CI992" s="65" t="n">
        <f aca="false">IF(ISNUMBER(AF992),1,0)</f>
        <v>0</v>
      </c>
      <c r="CJ992" s="62" t="n">
        <f aca="false">N(AF992)</f>
        <v>0</v>
      </c>
      <c r="CK992" s="62" t="n">
        <f aca="false">N(M992)+N(N992)</f>
        <v>5</v>
      </c>
      <c r="CL992" s="62" t="n">
        <f aca="false">N(M992)</f>
        <v>0</v>
      </c>
      <c r="CM992" s="62" t="n">
        <f aca="false">N(N992)</f>
        <v>5</v>
      </c>
      <c r="CN992" s="62" t="n">
        <f aca="false">ROUNDUP(H992/BZ992,0)</f>
        <v>1</v>
      </c>
      <c r="CO992" s="62" t="n">
        <f aca="false">ROUNDUP(CJ992/BZ992,0)</f>
        <v>0</v>
      </c>
      <c r="CP992" s="65" t="n">
        <f aca="false">IF(CA992=1,0,IFERROR(VLOOKUP(BY992,'Gebinde-Kategorie'!$A$5:$N$45,5,0)+0,0))</f>
        <v>8</v>
      </c>
      <c r="CQ992" s="65" t="n">
        <f aca="false">IFERROR(IF(OR(CF992=1,CF992=2,CF992=3),N(INDEX(Parameter!$I$5:$I$7,CF992)),0),0)</f>
        <v>0</v>
      </c>
      <c r="CR992" s="64" t="n">
        <f aca="false">IF(AND(Parameter!$B$21="Ja",ISNUMBER(W992),N(X992)&gt;0),IFERROR(N(INDEX(Parameter!$L$5:$L$7,W992))*INDEX(Parameter!$E$5:$E$7,W992)*X992/SUMIFS($X$7:$X$1843,$W$7:$W$1843,W992),0),0)</f>
        <v>0</v>
      </c>
      <c r="CS992" s="62" t="n">
        <f aca="false">IF(AND(OR(CG992="L1",CG992="L23",CG992="LIFT"),H992&gt;0),CC992*IF(CR992&gt;0,CR992*MAX(1,H992/X992),IF(CA992=1,CE992,IF(R992&gt;0,CN992/R992,0))/MAX(0.1,N(Parameter!$M$21))),"")</f>
        <v>1.10714285714286</v>
      </c>
      <c r="CT992" s="64" t="n">
        <f aca="false">IF(CS992="","",J992/H992)</f>
        <v>0.307692307692308</v>
      </c>
      <c r="CU992" s="62" t="n">
        <f aca="false">IF(CS992="","",H992*G992)</f>
        <v>569.14</v>
      </c>
      <c r="CV992" s="63" t="n">
        <f aca="false">IF(CS992="","",(CL992+ROUNDUP(CL992+MAX(CM992,2*(J992/MAX(0.1,N(Einkauf!$C$6))-CL992)),0))/2)</f>
        <v>2.5</v>
      </c>
      <c r="CW992" s="62" t="n">
        <f aca="false">IF(CS992="","",MAX(0,H992-CV992)*G992)</f>
        <v>459.69</v>
      </c>
      <c r="CX992" s="62" t="n">
        <f aca="false">IF(CS992="","",CS992*MAX(0,1-CV992/H992))</f>
        <v>0.894230769230769</v>
      </c>
      <c r="CY992" s="64" t="n">
        <f aca="false">IF(CS992="","",PERCENTRANK($CS$7:$CS$1843,CS992)+PERCENTRANK($CU$7:$CU$1843,CU992)+1-PERCENTRANK($CT$7:$CT$1843,CT992))</f>
        <v>1.0944</v>
      </c>
      <c r="CZ992" s="72" t="n">
        <f aca="false">IF(CS992="","",CHOOSE(MATCH(Einkauf!$C$5,Parameter!$G$23:$G$27,0),CY992,CS992,CU992,-CT992,CW992)+ROW()/1000000000)</f>
        <v>1.094400992</v>
      </c>
    </row>
    <row r="993" customFormat="false" ht="15" hidden="false" customHeight="false" outlineLevel="0" collapsed="false">
      <c r="A993" s="60" t="s">
        <v>1877</v>
      </c>
      <c r="B993" s="60" t="s">
        <v>766</v>
      </c>
      <c r="C993" s="60" t="s">
        <v>206</v>
      </c>
      <c r="D993" s="60" t="s">
        <v>226</v>
      </c>
      <c r="E993" s="60" t="s">
        <v>227</v>
      </c>
      <c r="F993" s="60" t="s">
        <v>260</v>
      </c>
      <c r="G993" s="61" t="n">
        <v>14.65</v>
      </c>
      <c r="H993" s="62" t="n">
        <f aca="false">MAX(0,IF(AND(Parameter!$B$21="Ja",ISNUMBER(Y993)),Y993,IF(Parameter!$B$20="Jahresanfang 2025 + Export",BS993+BR993,BR993)))</f>
        <v>5</v>
      </c>
      <c r="I993" s="62" t="n">
        <f aca="false">H993*G993</f>
        <v>73.25</v>
      </c>
      <c r="J993" s="62" t="n">
        <f aca="false">BU993*Parameter!$B$18</f>
        <v>6</v>
      </c>
      <c r="K993" s="63" t="n">
        <v>8</v>
      </c>
      <c r="L993" s="64" t="n">
        <v>0.75</v>
      </c>
      <c r="M993" s="62" t="n">
        <v>0</v>
      </c>
      <c r="N993" s="62" t="n">
        <v>5</v>
      </c>
      <c r="O993" s="65" t="n">
        <v>14</v>
      </c>
      <c r="P993" s="60" t="s">
        <v>463</v>
      </c>
      <c r="Q993" s="62" t="n">
        <v>19</v>
      </c>
      <c r="R993" s="65" t="n">
        <f aca="false">IF(CA993=1,0,IFERROR(VLOOKUP(BY993,'Gebinde-Kategorie'!$A$5:$N$45,13,0)+0,0))</f>
        <v>104</v>
      </c>
      <c r="S993" s="66"/>
      <c r="T993" s="67"/>
      <c r="U993" s="67"/>
      <c r="V993" s="67"/>
      <c r="W993" s="60"/>
      <c r="X993" s="62"/>
      <c r="Y993" s="62"/>
      <c r="Z993" s="60" t="n">
        <v>2</v>
      </c>
      <c r="AA993" s="60" t="n">
        <f aca="false">IF(A993="","",IF(AND(Parameter!$B$21="Ja",ISNUMBER(W993)),W993,IF(AND(Parameter!$E$27="Ja",ISNUMBER(Z993),CD993&lt;&gt;"Nein"),Z993,IF(CD993="2+3",IF(ISNUMBER(SEARCH("grosser Artikel",BV993)),2,IFERROR(VLOOKUP(BY993,Parameter!$F$35:$G$64,2,0),2)),IF(OR(CD993="Nein",CD993=""),"-",CD993)))))</f>
        <v>2</v>
      </c>
      <c r="AB993" s="67"/>
      <c r="AC993" s="68"/>
      <c r="AD993" s="62" t="n">
        <f aca="false">AW993</f>
        <v>5</v>
      </c>
      <c r="AE993" s="62" t="n">
        <f aca="false">MAX(AW993,H993)</f>
        <v>5</v>
      </c>
      <c r="AF993" s="69"/>
      <c r="AG993" s="62" t="n">
        <f aca="false">IF(LEFT(Cockpit!$C$5,1)="A",H993,IF(Parameter!$E$30="MAX-Bestand",IF(CI993=1,CJ993,IF(LEFT(Cockpit!$C$5,1)="B",AM993,MAX(AM993,H993))),ROUNDUP(AK993,0)))</f>
        <v>5</v>
      </c>
      <c r="AH993" s="62" t="n">
        <f aca="false">IF(CA993=1,0,ROUNDUP(AG993/BZ993,0))</f>
        <v>1</v>
      </c>
      <c r="AI993" s="64" t="n">
        <f aca="false">IF(CR993&gt;0,CR993*MAX(1,AG993/X993),IF(CA993=1,IF(AG993&lt;=0,0,CE993*MAX(1,IF(H993&gt;0,AG993/H993,1))),IF(R993&gt;0,AH993/R993,0))/MAX(0.1,N(Parameter!$M$21)))</f>
        <v>0.00961538461538462</v>
      </c>
      <c r="AJ993" s="62" t="n">
        <f aca="false">AI993*CC993</f>
        <v>1.49038461538462</v>
      </c>
      <c r="AK993" s="63" t="n">
        <f aca="false">IF(LEFT(Cockpit!$C$5,1)="A",H993,IF(CI993=1,(CL993+CJ993)/2,IF(LEFT(Cockpit!$C$5,1)="B",(CL993+AM993)/2,MAX((CL993+AM993)/2,H993))))</f>
        <v>5</v>
      </c>
      <c r="AL993" s="62" t="n">
        <f aca="false">AK993*G993</f>
        <v>73.25</v>
      </c>
      <c r="AM993" s="62" t="n">
        <f aca="false">ROUNDUP(CL993+MAX(CM993,2*(J993/IF(CH993&gt;0,CH993,MAX(0.1,N(Cockpit!$C$6)))-CL993)),0)</f>
        <v>5</v>
      </c>
      <c r="AN993" s="63" t="n">
        <f aca="false">IF(AJ993&gt;0,J993/AJ993,-1)</f>
        <v>4.0258064516129</v>
      </c>
      <c r="AO993" s="63" t="n">
        <f aca="false">IF(AND(OR(CG993="L1",CG993="L23",CG993="LIFT"),AJ993&gt;0),SUMIFS($AJ$7:$AJ$1843,$CG$7:$CG$1843,CG993,$AN$7:$AN$1843,"&gt;"&amp;AN993)+SUMIFS($AJ$7:$AJ$1843,$CG$7:$CG$1843,CG993,$AN$7:$AN$1843,AN993,$BX$7:$BX$1843,"&lt;="&amp;BX993),"")</f>
        <v>4355.70833333333</v>
      </c>
      <c r="AP993" s="70" t="n">
        <f aca="false">IF(AO993="",0,MAX(0,MIN(1,(IF(CG993="L1",Parameter!$H$5,IF(CG993="L23",Parameter!$H$6+Parameter!$H$7,Parameter!$H$5+Parameter!$H$6+Parameter!$H$7))-(AO993-AJ993))/AJ993)))</f>
        <v>1</v>
      </c>
      <c r="AQ993" s="62" t="n">
        <f aca="false">IF(LEFT(Cockpit!$I$5,1)="A",H993,IF(Parameter!$E$30="MAX-Bestand",IF(CI993=1,CJ993,IF(LEFT(Cockpit!$I$5,1)="B",AW993,MAX(AW993,H993))),ROUNDUP(AU993,0)))</f>
        <v>5</v>
      </c>
      <c r="AR993" s="62" t="n">
        <f aca="false">IF(CA993=1,0,ROUNDUP(AQ993/BZ993,0))</f>
        <v>1</v>
      </c>
      <c r="AS993" s="64" t="n">
        <f aca="false">IF(CR993&gt;0,CR993*MAX(1,AQ993/X993),IF(CA993=1,IF(AQ993&lt;=0,0,CE993*MAX(1,IF(H993&gt;0,AQ993/H993,1))),IF(R993&gt;0,AR993/R993,0))/MAX(0.1,N(Parameter!$M$21)))</f>
        <v>0.00961538461538462</v>
      </c>
      <c r="AT993" s="62" t="n">
        <f aca="false">AS993*CC993</f>
        <v>1.49038461538462</v>
      </c>
      <c r="AU993" s="63" t="n">
        <f aca="false">IF(LEFT(Cockpit!$I$5,1)="A",H993,IF(CI993=1,(CL993+CJ993)/2,IF(LEFT(Cockpit!$I$5,1)="B",(CL993+AW993)/2,MAX((CL993+AW993)/2,H993))))</f>
        <v>5</v>
      </c>
      <c r="AV993" s="62" t="n">
        <f aca="false">AU993*G993</f>
        <v>73.25</v>
      </c>
      <c r="AW993" s="62" t="n">
        <f aca="false">ROUNDUP(CL993+MAX(CM993,2*(J993/IF(CH993&gt;0,CH993,MAX(0.1,N(Cockpit!$I$6)))-CL993)),0)</f>
        <v>5</v>
      </c>
      <c r="AX993" s="63" t="n">
        <f aca="false">IF(AT993&gt;0,J993/AT993,-1)</f>
        <v>4.0258064516129</v>
      </c>
      <c r="AY993" s="63" t="n">
        <f aca="false">IF(AND(OR(CG993="L1",CG993="L23",CG993="LIFT"),AT993&gt;0),SUMIFS($AT$7:$AT$1843,$CG$7:$CG$1843,CG993,$AX$7:$AX$1843,"&gt;"&amp;AX993)+SUMIFS($AT$7:$AT$1843,$CG$7:$CG$1843,CG993,$AX$7:$AX$1843,AX993,$BX$7:$BX$1843,"&lt;="&amp;BX993),"")</f>
        <v>4964.70558608059</v>
      </c>
      <c r="AZ993" s="70" t="n">
        <f aca="false">IF(AY993="",0,MAX(0,MIN(1,(IF(CG993="L1",Parameter!$H$5,IF(CG993="L23",Parameter!$H$6+Parameter!$H$7,Parameter!$H$5+Parameter!$H$6+Parameter!$H$7))-(AY993-AT993))/AT993)))</f>
        <v>1</v>
      </c>
      <c r="BA993" s="62" t="n">
        <f aca="false">IF(LEFT(Cockpit!$O$5,1)="A",H993,IF(Parameter!$E$30="MAX-Bestand",IF(CI993=1,CJ993,IF(LEFT(Cockpit!$O$5,1)="B",BG993,MAX(BG993,H993))),ROUNDUP(BE993,0)))</f>
        <v>3</v>
      </c>
      <c r="BB993" s="62" t="n">
        <f aca="false">IF(CA993=1,0,ROUNDUP(BA993/BZ993,0))</f>
        <v>1</v>
      </c>
      <c r="BC993" s="64" t="n">
        <f aca="false">IF(CR993&gt;0,CR993*MAX(1,BA993/X993),IF(CA993=1,IF(BA993&lt;=0,0,CE993*MAX(1,IF(H993&gt;0,BA993/H993,1))),IF(R993&gt;0,BB993/R993,0))/MAX(0.1,N(Parameter!$M$21)))</f>
        <v>0.00961538461538462</v>
      </c>
      <c r="BD993" s="62" t="n">
        <f aca="false">BC993*CC993</f>
        <v>1.49038461538462</v>
      </c>
      <c r="BE993" s="63" t="n">
        <f aca="false">IF(LEFT(Cockpit!$O$5,1)="A",H993,IF(CI993=1,(CL993+CJ993)/2,IF(LEFT(Cockpit!$O$5,1)="B",(CL993+BG993)/2,MAX((CL993+BG993)/2,H993))))</f>
        <v>2.5</v>
      </c>
      <c r="BF993" s="62" t="n">
        <f aca="false">BE993*G993</f>
        <v>36.625</v>
      </c>
      <c r="BG993" s="62" t="n">
        <f aca="false">ROUNDUP(CL993+MAX(CM993,2*(J993/IF(CH993&gt;0,CH993,MAX(0.1,N(Cockpit!$O$6)))-CL993)),0)</f>
        <v>5</v>
      </c>
      <c r="BH993" s="63" t="n">
        <f aca="false">IF(BD993&gt;0,J993/BD993,-1)</f>
        <v>4.0258064516129</v>
      </c>
      <c r="BI993" s="63" t="n">
        <f aca="false">IF(AND(OR(CG993="L1",CG993="L23",CG993="LIFT"),BD993&gt;0),SUMIFS($BD$7:$BD$1843,$CG$7:$CG$1843,CG993,$BH$7:$BH$1843,"&gt;"&amp;BH993)+SUMIFS($BD$7:$BD$1843,$CG$7:$CG$1843,CG993,$BH$7:$BH$1843,BH993,$BX$7:$BX$1843,"&lt;="&amp;BX993),"")</f>
        <v>4076.31456043956</v>
      </c>
      <c r="BJ993" s="70" t="n">
        <f aca="false">IF(BI993="",0,MAX(0,MIN(1,(IF(CG993="L1",Parameter!$H$5,IF(CG993="L23",Parameter!$H$6+Parameter!$H$7,Parameter!$H$5+Parameter!$H$6+Parameter!$H$7))-(BI993-BD993))/BD993)))</f>
        <v>1</v>
      </c>
      <c r="BK993" s="60" t="str">
        <f aca="false">IF(AJ993&lt;=0,"",IF(CG993="Aussen","Aussenlager",IF(CG993="-","Nicht im Lift",IF(AP993&gt;=1,"Lift",IF(AP993&lt;=0,"Aussenlager","teilweise")))))</f>
        <v>Lift</v>
      </c>
      <c r="BL993" s="60" t="str">
        <f aca="false">IF(AT993&lt;=0,"",IF(CG993="Aussen","Aussenlager",IF(CG993="-","Nicht im Lift",IF(AZ993&gt;=1,"Lift",IF(AZ993&lt;=0,"Aussenlager","teilweise")))))</f>
        <v>Lift</v>
      </c>
      <c r="BM993" s="60" t="str">
        <f aca="false">IF(BD993&lt;=0,"",IF(CG993="Aussen","Aussenlager",IF(CG993="-","Nicht im Lift",IF(BJ993&gt;=1,"Lift",IF(BJ993&lt;=0,"Aussenlager","teilweise")))))</f>
        <v>Lift</v>
      </c>
      <c r="BN993" s="60" t="str">
        <f aca="false">IF(A993="","",IF(BW993=1,"Neu; ","")&amp;IF(AND(BW993=0,BR993&lt;0),"negativer Bestand (Export "&amp;BR993&amp;"); ","")&amp;IF(J993&lt;=0,"Kein Verbrauch; ","")&amp;IF(CR993&gt;0,"Lift "&amp;W993&amp;" lt. Liftbericht (Fach "&amp;X993&amp;" Stk); ",IF(CB993=1,"Gebinde geschätzt ("&amp;T993&amp;"); ",IF(CA993=1,"Lose – Tablare geschätzt; ","")))&amp;IF(H993&gt;AW993,"Überbestand "&amp;ROUND(H993-AW993,0)&amp;" Stk / CHF "&amp;ROUND((H993-AW993)*G993,0)&amp;"; ","")&amp;IF(AND(CI993=1,CJ993&lt;CK993),"MAX &lt; MB+LG; ","")&amp;IF(AND(CQ993&gt;0,CP993*10&gt;CQ993),"zu hoch für Tablar; ","")&amp;IF(AND(BW993=0,OR(CI993=1,AB993&lt;&gt;"",U993&lt;&gt;"",V993&lt;&gt;"",AC993&lt;&gt;"")),"manuell übersteuert; ","")&amp;IF(AND(CA993=0,R993=0),"Gebinde unbekannt / Stellmass fehlt; ","")&amp;IF(AND(CA993=0,N(V993)&lt;=0,N(Q993)&lt;=0),"Menge pro Gebinde fehlt (Ist = 1 Gebinde); ","")&amp;BV993)</f>
        <v>negativer Bestand (Export -6); </v>
      </c>
      <c r="BO993" s="60"/>
      <c r="BP993" s="60"/>
      <c r="BQ993" s="67"/>
      <c r="BR993" s="62" t="n">
        <v>-6</v>
      </c>
      <c r="BS993" s="62" t="n">
        <v>11</v>
      </c>
      <c r="BT993" s="61" t="n">
        <v>-87.9</v>
      </c>
      <c r="BU993" s="62" t="n">
        <v>6</v>
      </c>
      <c r="BV993" s="60"/>
      <c r="BW993" s="65" t="n">
        <v>0</v>
      </c>
      <c r="BX993" s="65" t="n">
        <v>993</v>
      </c>
      <c r="BY993" s="60" t="str">
        <f aca="false">IF(U993&lt;&gt;"",UPPER(TRIM(U993)),IF(CB993=1,UPPER(VLOOKUP(T993,Parameter!$I$27:$K$29,2,0)),IF(P993="","LOSE",P993)))</f>
        <v>S32</v>
      </c>
      <c r="BZ993" s="62" t="n">
        <f aca="false">IF(BY993="LOSE",1,IF(N(V993)&gt;0,V993,IF(CB993=1,MAX(1,N(VLOOKUP(T993,Parameter!$I$27:$K$29,3,0)),H993,N(N993)),IF(N(Q993)&gt;0,Q993,MAX(1,H993)))))</f>
        <v>19</v>
      </c>
      <c r="CA993" s="65" t="n">
        <f aca="false">IF(BY993="LOSE",1,0)</f>
        <v>0</v>
      </c>
      <c r="CB993" s="65" t="n">
        <f aca="false">IF(AND(U993="",OR(P993="",P993="LOSE"),T993&lt;&gt;"",N(S993)&lt;=0,ISNUMBER(MATCH(T993,Parameter!$I$27:$I$29,0))),1,0)</f>
        <v>0</v>
      </c>
      <c r="CC993" s="65" t="n">
        <f aca="false">IF(CR993&gt;0,INDEX(Parameter!$H$5:$H$7,W993)/INDEX(Parameter!$E$5:$E$7,W993),IF(AND(CA993=0,N(IFERROR(VLOOKUP(BY993,'Gebinde-Kategorie'!$A$5:$N$45,14,0),0))&gt;0),VLOOKUP(BY993,'Gebinde-Kategorie'!$A$5:$N$45,14,0)*10+Parameter!$M$23,Parameter!$M$24))</f>
        <v>155</v>
      </c>
      <c r="CD993" s="60" t="str">
        <f aca="false">IF(AND(Parameter!$B$19="Ja",E993&lt;&gt;"",ISNUMBER(MATCH(E993,Parameter!$I$35:$I$52,0))),VLOOKUP(E993,Parameter!$I$35:$J$52,2,0),IFERROR(VLOOKUP(D993,Parameter!$A$35:$C$64,2,0),"Nein"))</f>
        <v>2+3</v>
      </c>
      <c r="CE993" s="64" t="n">
        <f aca="false">IF(CA993=0,0,IF(N(S993)&gt;0,S993,IFERROR(VLOOKUP(D993,Parameter!$A$35:$C$64,3,0)+0,0)))</f>
        <v>0</v>
      </c>
      <c r="CF993" s="60" t="n">
        <f aca="false">IF(AB993&lt;&gt;"",AB993,AA993)</f>
        <v>2</v>
      </c>
      <c r="CG993" s="60" t="str">
        <f aca="false">IF(OR(CF993=1,CF993=2,CF993=3),IF(Parameter!$E$27="Ja","LIFT",IF(CF993=1,"L1","L23")),IF(CF993="Aussen","Aussen","-"))</f>
        <v>LIFT</v>
      </c>
      <c r="CH993" s="71" t="n">
        <f aca="false">IF(N(AC993)&gt;0,AC993,0)</f>
        <v>0</v>
      </c>
      <c r="CI993" s="65" t="n">
        <f aca="false">IF(ISNUMBER(AF993),1,0)</f>
        <v>0</v>
      </c>
      <c r="CJ993" s="62" t="n">
        <f aca="false">N(AF993)</f>
        <v>0</v>
      </c>
      <c r="CK993" s="62" t="n">
        <f aca="false">N(M993)+N(N993)</f>
        <v>5</v>
      </c>
      <c r="CL993" s="62" t="n">
        <f aca="false">N(M993)</f>
        <v>0</v>
      </c>
      <c r="CM993" s="62" t="n">
        <f aca="false">N(N993)</f>
        <v>5</v>
      </c>
      <c r="CN993" s="62" t="n">
        <f aca="false">ROUNDUP(H993/BZ993,0)</f>
        <v>1</v>
      </c>
      <c r="CO993" s="62" t="n">
        <f aca="false">ROUNDUP(CJ993/BZ993,0)</f>
        <v>0</v>
      </c>
      <c r="CP993" s="65" t="n">
        <f aca="false">IF(CA993=1,0,IFERROR(VLOOKUP(BY993,'Gebinde-Kategorie'!$A$5:$N$45,5,0)+0,0))</f>
        <v>8</v>
      </c>
      <c r="CQ993" s="65" t="n">
        <f aca="false">IFERROR(IF(OR(CF993=1,CF993=2,CF993=3),N(INDEX(Parameter!$I$5:$I$7,CF993)),0),0)</f>
        <v>0</v>
      </c>
      <c r="CR993" s="64" t="n">
        <f aca="false">IF(AND(Parameter!$B$21="Ja",ISNUMBER(W993),N(X993)&gt;0),IFERROR(N(INDEX(Parameter!$L$5:$L$7,W993))*INDEX(Parameter!$E$5:$E$7,W993)*X993/SUMIFS($X$7:$X$1843,$W$7:$W$1843,W993),0),0)</f>
        <v>0</v>
      </c>
      <c r="CS993" s="62" t="n">
        <f aca="false">IF(AND(OR(CG993="L1",CG993="L23",CG993="LIFT"),H993&gt;0),CC993*IF(CR993&gt;0,CR993*MAX(1,H993/X993),IF(CA993=1,CE993,IF(R993&gt;0,CN993/R993,0))/MAX(0.1,N(Parameter!$M$21))),"")</f>
        <v>1.49038461538462</v>
      </c>
      <c r="CT993" s="64" t="n">
        <f aca="false">IF(CS993="","",J993/H993)</f>
        <v>1.2</v>
      </c>
      <c r="CU993" s="62" t="n">
        <f aca="false">IF(CS993="","",H993*G993)</f>
        <v>73.25</v>
      </c>
      <c r="CV993" s="63" t="n">
        <f aca="false">IF(CS993="","",(CL993+ROUNDUP(CL993+MAX(CM993,2*(J993/MAX(0.1,N(Einkauf!$C$6))-CL993)),0))/2)</f>
        <v>2.5</v>
      </c>
      <c r="CW993" s="62" t="n">
        <f aca="false">IF(CS993="","",MAX(0,H993-CV993)*G993)</f>
        <v>36.625</v>
      </c>
      <c r="CX993" s="62" t="n">
        <f aca="false">IF(CS993="","",CS993*MAX(0,1-CV993/H993))</f>
        <v>0.745192307692308</v>
      </c>
      <c r="CY993" s="64" t="n">
        <f aca="false">IF(CS993="","",PERCENTRANK($CS$7:$CS$1843,CS993)+PERCENTRANK($CU$7:$CU$1843,CU993)+1-PERCENTRANK($CT$7:$CT$1843,CT993))</f>
        <v>0.589</v>
      </c>
      <c r="CZ993" s="72" t="n">
        <f aca="false">IF(CS993="","",CHOOSE(MATCH(Einkauf!$C$5,Parameter!$G$23:$G$27,0),CY993,CS993,CU993,-CT993,CW993)+ROW()/1000000000)</f>
        <v>0.589000993</v>
      </c>
    </row>
    <row r="994" customFormat="false" ht="15" hidden="false" customHeight="false" outlineLevel="0" collapsed="false">
      <c r="A994" s="60" t="s">
        <v>1878</v>
      </c>
      <c r="B994" s="60" t="s">
        <v>1879</v>
      </c>
      <c r="C994" s="60" t="s">
        <v>206</v>
      </c>
      <c r="D994" s="60" t="s">
        <v>226</v>
      </c>
      <c r="E994" s="60" t="s">
        <v>227</v>
      </c>
      <c r="F994" s="60" t="s">
        <v>260</v>
      </c>
      <c r="G994" s="61" t="n">
        <v>3.58</v>
      </c>
      <c r="H994" s="62" t="n">
        <f aca="false">MAX(0,IF(AND(Parameter!$B$21="Ja",ISNUMBER(Y994)),Y994,IF(Parameter!$B$20="Jahresanfang 2025 + Export",BS994+BR994,BR994)))</f>
        <v>0</v>
      </c>
      <c r="I994" s="62" t="n">
        <f aca="false">H994*G994</f>
        <v>0</v>
      </c>
      <c r="J994" s="62" t="n">
        <f aca="false">BU994*Parameter!$B$18</f>
        <v>0</v>
      </c>
      <c r="K994" s="63" t="n">
        <v>45</v>
      </c>
      <c r="L994" s="64" t="n">
        <v>0</v>
      </c>
      <c r="M994" s="62" t="n">
        <v>0</v>
      </c>
      <c r="N994" s="62" t="n">
        <v>1</v>
      </c>
      <c r="O994" s="65" t="n">
        <v>21</v>
      </c>
      <c r="P994" s="60" t="s">
        <v>518</v>
      </c>
      <c r="Q994" s="62" t="n">
        <v>71</v>
      </c>
      <c r="R994" s="65" t="n">
        <f aca="false">IF(CA994=1,0,IFERROR(VLOOKUP(BY994,'Gebinde-Kategorie'!$A$5:$N$45,13,0)+0,0))</f>
        <v>52</v>
      </c>
      <c r="S994" s="66"/>
      <c r="T994" s="67"/>
      <c r="U994" s="67"/>
      <c r="V994" s="67"/>
      <c r="W994" s="60"/>
      <c r="X994" s="62"/>
      <c r="Y994" s="62"/>
      <c r="Z994" s="60" t="n">
        <v>3</v>
      </c>
      <c r="AA994" s="60" t="n">
        <f aca="false">IF(A994="","",IF(AND(Parameter!$B$21="Ja",ISNUMBER(W994)),W994,IF(AND(Parameter!$E$27="Ja",ISNUMBER(Z994),CD994&lt;&gt;"Nein"),Z994,IF(CD994="2+3",IF(ISNUMBER(SEARCH("grosser Artikel",BV994)),2,IFERROR(VLOOKUP(BY994,Parameter!$F$35:$G$64,2,0),2)),IF(OR(CD994="Nein",CD994=""),"-",CD994)))))</f>
        <v>3</v>
      </c>
      <c r="AB994" s="67"/>
      <c r="AC994" s="68"/>
      <c r="AD994" s="62" t="n">
        <f aca="false">AW994</f>
        <v>1</v>
      </c>
      <c r="AE994" s="62" t="n">
        <f aca="false">MAX(AW994,H994)</f>
        <v>1</v>
      </c>
      <c r="AF994" s="69"/>
      <c r="AG994" s="62" t="n">
        <f aca="false">IF(LEFT(Cockpit!$C$5,1)="A",H994,IF(Parameter!$E$30="MAX-Bestand",IF(CI994=1,CJ994,IF(LEFT(Cockpit!$C$5,1)="B",AM994,MAX(AM994,H994))),ROUNDUP(AK994,0)))</f>
        <v>0</v>
      </c>
      <c r="AH994" s="62" t="n">
        <f aca="false">IF(CA994=1,0,ROUNDUP(AG994/BZ994,0))</f>
        <v>0</v>
      </c>
      <c r="AI994" s="64" t="n">
        <f aca="false">IF(CR994&gt;0,CR994*MAX(1,AG994/X994),IF(CA994=1,IF(AG994&lt;=0,0,CE994*MAX(1,IF(H994&gt;0,AG994/H994,1))),IF(R994&gt;0,AH994/R994,0))/MAX(0.1,N(Parameter!$M$21)))</f>
        <v>0</v>
      </c>
      <c r="AJ994" s="62" t="n">
        <f aca="false">AI994*CC994</f>
        <v>0</v>
      </c>
      <c r="AK994" s="63" t="n">
        <f aca="false">IF(LEFT(Cockpit!$C$5,1)="A",H994,IF(CI994=1,(CL994+CJ994)/2,IF(LEFT(Cockpit!$C$5,1)="B",(CL994+AM994)/2,MAX((CL994+AM994)/2,H994))))</f>
        <v>0</v>
      </c>
      <c r="AL994" s="62" t="n">
        <f aca="false">AK994*G994</f>
        <v>0</v>
      </c>
      <c r="AM994" s="62" t="n">
        <f aca="false">ROUNDUP(CL994+MAX(CM994,2*(J994/IF(CH994&gt;0,CH994,MAX(0.1,N(Cockpit!$C$6)))-CL994)),0)</f>
        <v>1</v>
      </c>
      <c r="AN994" s="63" t="n">
        <f aca="false">IF(AJ994&gt;0,J994/AJ994,-1)</f>
        <v>-1</v>
      </c>
      <c r="AO994" s="63" t="str">
        <f aca="false">IF(AND(OR(CG994="L1",CG994="L23",CG994="LIFT"),AJ994&gt;0),SUMIFS($AJ$7:$AJ$1843,$CG$7:$CG$1843,CG994,$AN$7:$AN$1843,"&gt;"&amp;AN994)+SUMIFS($AJ$7:$AJ$1843,$CG$7:$CG$1843,CG994,$AN$7:$AN$1843,AN994,$BX$7:$BX$1843,"&lt;="&amp;BX994),"")</f>
        <v/>
      </c>
      <c r="AP994" s="70" t="n">
        <f aca="false">IF(AO994="",0,MAX(0,MIN(1,(IF(CG994="L1",Parameter!$H$5,IF(CG994="L23",Parameter!$H$6+Parameter!$H$7,Parameter!$H$5+Parameter!$H$6+Parameter!$H$7))-(AO994-AJ994))/AJ994)))</f>
        <v>0</v>
      </c>
      <c r="AQ994" s="62" t="n">
        <f aca="false">IF(LEFT(Cockpit!$I$5,1)="A",H994,IF(Parameter!$E$30="MAX-Bestand",IF(CI994=1,CJ994,IF(LEFT(Cockpit!$I$5,1)="B",AW994,MAX(AW994,H994))),ROUNDUP(AU994,0)))</f>
        <v>1</v>
      </c>
      <c r="AR994" s="62" t="n">
        <f aca="false">IF(CA994=1,0,ROUNDUP(AQ994/BZ994,0))</f>
        <v>1</v>
      </c>
      <c r="AS994" s="64" t="n">
        <f aca="false">IF(CR994&gt;0,CR994*MAX(1,AQ994/X994),IF(CA994=1,IF(AQ994&lt;=0,0,CE994*MAX(1,IF(H994&gt;0,AQ994/H994,1))),IF(R994&gt;0,AR994/R994,0))/MAX(0.1,N(Parameter!$M$21)))</f>
        <v>0.0192307692307692</v>
      </c>
      <c r="AT994" s="62" t="n">
        <f aca="false">AS994*CC994</f>
        <v>2.98076923076923</v>
      </c>
      <c r="AU994" s="63" t="n">
        <f aca="false">IF(LEFT(Cockpit!$I$5,1)="A",H994,IF(CI994=1,(CL994+CJ994)/2,IF(LEFT(Cockpit!$I$5,1)="B",(CL994+AW994)/2,MAX((CL994+AW994)/2,H994))))</f>
        <v>0.5</v>
      </c>
      <c r="AV994" s="62" t="n">
        <f aca="false">AU994*G994</f>
        <v>1.79</v>
      </c>
      <c r="AW994" s="62" t="n">
        <f aca="false">ROUNDUP(CL994+MAX(CM994,2*(J994/IF(CH994&gt;0,CH994,MAX(0.1,N(Cockpit!$I$6)))-CL994)),0)</f>
        <v>1</v>
      </c>
      <c r="AX994" s="63" t="n">
        <f aca="false">IF(AT994&gt;0,J994/AT994,-1)</f>
        <v>0</v>
      </c>
      <c r="AY994" s="63" t="n">
        <f aca="false">IF(AND(OR(CG994="L1",CG994="L23",CG994="LIFT"),AT994&gt;0),SUMIFS($AT$7:$AT$1843,$CG$7:$CG$1843,CG994,$AX$7:$AX$1843,"&gt;"&amp;AX994)+SUMIFS($AT$7:$AT$1843,$CG$7:$CG$1843,CG994,$AX$7:$AX$1843,AX994,$BX$7:$BX$1843,"&lt;="&amp;BX994),"")</f>
        <v>34610.9835164835</v>
      </c>
      <c r="AZ994" s="70" t="n">
        <f aca="false">IF(AY994="",0,MAX(0,MIN(1,(IF(CG994="L1",Parameter!$H$5,IF(CG994="L23",Parameter!$H$6+Parameter!$H$7,Parameter!$H$5+Parameter!$H$6+Parameter!$H$7))-(AY994-AT994))/AT994)))</f>
        <v>1</v>
      </c>
      <c r="BA994" s="62" t="n">
        <f aca="false">IF(LEFT(Cockpit!$O$5,1)="A",H994,IF(Parameter!$E$30="MAX-Bestand",IF(CI994=1,CJ994,IF(LEFT(Cockpit!$O$5,1)="B",BG994,MAX(BG994,H994))),ROUNDUP(BE994,0)))</f>
        <v>1</v>
      </c>
      <c r="BB994" s="62" t="n">
        <f aca="false">IF(CA994=1,0,ROUNDUP(BA994/BZ994,0))</f>
        <v>1</v>
      </c>
      <c r="BC994" s="64" t="n">
        <f aca="false">IF(CR994&gt;0,CR994*MAX(1,BA994/X994),IF(CA994=1,IF(BA994&lt;=0,0,CE994*MAX(1,IF(H994&gt;0,BA994/H994,1))),IF(R994&gt;0,BB994/R994,0))/MAX(0.1,N(Parameter!$M$21)))</f>
        <v>0.0192307692307692</v>
      </c>
      <c r="BD994" s="62" t="n">
        <f aca="false">BC994*CC994</f>
        <v>2.98076923076923</v>
      </c>
      <c r="BE994" s="63" t="n">
        <f aca="false">IF(LEFT(Cockpit!$O$5,1)="A",H994,IF(CI994=1,(CL994+CJ994)/2,IF(LEFT(Cockpit!$O$5,1)="B",(CL994+BG994)/2,MAX((CL994+BG994)/2,H994))))</f>
        <v>0.5</v>
      </c>
      <c r="BF994" s="62" t="n">
        <f aca="false">BE994*G994</f>
        <v>1.79</v>
      </c>
      <c r="BG994" s="62" t="n">
        <f aca="false">ROUNDUP(CL994+MAX(CM994,2*(J994/IF(CH994&gt;0,CH994,MAX(0.1,N(Cockpit!$O$6)))-CL994)),0)</f>
        <v>1</v>
      </c>
      <c r="BH994" s="63" t="n">
        <f aca="false">IF(BD994&gt;0,J994/BD994,-1)</f>
        <v>0</v>
      </c>
      <c r="BI994" s="63" t="n">
        <f aca="false">IF(AND(OR(CG994="L1",CG994="L23",CG994="LIFT"),BD994&gt;0),SUMIFS($BD$7:$BD$1843,$CG$7:$CG$1843,CG994,$BH$7:$BH$1843,"&gt;"&amp;BH994)+SUMIFS($BD$7:$BD$1843,$CG$7:$CG$1843,CG994,$BH$7:$BH$1843,BH994,$BX$7:$BX$1843,"&lt;="&amp;BX994),"")</f>
        <v>28635.5209458621</v>
      </c>
      <c r="BJ994" s="70" t="n">
        <f aca="false">IF(BI994="",0,MAX(0,MIN(1,(IF(CG994="L1",Parameter!$H$5,IF(CG994="L23",Parameter!$H$6+Parameter!$H$7,Parameter!$H$5+Parameter!$H$6+Parameter!$H$7))-(BI994-BD994))/BD994)))</f>
        <v>1</v>
      </c>
      <c r="BK994" s="60" t="str">
        <f aca="false">IF(AJ994&lt;=0,"",IF(CG994="Aussen","Aussenlager",IF(CG994="-","Nicht im Lift",IF(AP994&gt;=1,"Lift",IF(AP994&lt;=0,"Aussenlager","teilweise")))))</f>
        <v/>
      </c>
      <c r="BL994" s="60" t="str">
        <f aca="false">IF(AT994&lt;=0,"",IF(CG994="Aussen","Aussenlager",IF(CG994="-","Nicht im Lift",IF(AZ994&gt;=1,"Lift",IF(AZ994&lt;=0,"Aussenlager","teilweise")))))</f>
        <v>Lift</v>
      </c>
      <c r="BM994" s="60" t="str">
        <f aca="false">IF(BD994&lt;=0,"",IF(CG994="Aussen","Aussenlager",IF(CG994="-","Nicht im Lift",IF(BJ994&gt;=1,"Lift",IF(BJ994&lt;=0,"Aussenlager","teilweise")))))</f>
        <v>Lift</v>
      </c>
      <c r="BN994" s="60" t="str">
        <f aca="false">IF(A994="","",IF(BW994=1,"Neu; ","")&amp;IF(AND(BW994=0,BR994&lt;0),"negativer Bestand (Export "&amp;BR994&amp;"); ","")&amp;IF(J994&lt;=0,"Kein Verbrauch; ","")&amp;IF(CR994&gt;0,"Lift "&amp;W994&amp;" lt. Liftbericht (Fach "&amp;X994&amp;" Stk); ",IF(CB994=1,"Gebinde geschätzt ("&amp;T994&amp;"); ",IF(CA994=1,"Lose – Tablare geschätzt; ","")))&amp;IF(H994&gt;AW994,"Überbestand "&amp;ROUND(H994-AW994,0)&amp;" Stk / CHF "&amp;ROUND((H994-AW994)*G994,0)&amp;"; ","")&amp;IF(AND(CI994=1,CJ994&lt;CK994),"MAX &lt; MB+LG; ","")&amp;IF(AND(CQ994&gt;0,CP994*10&gt;CQ994),"zu hoch für Tablar; ","")&amp;IF(AND(BW994=0,OR(CI994=1,AB994&lt;&gt;"",U994&lt;&gt;"",V994&lt;&gt;"",AC994&lt;&gt;"")),"manuell übersteuert; ","")&amp;IF(AND(CA994=0,R994=0),"Gebinde unbekannt / Stellmass fehlt; ","")&amp;IF(AND(CA994=0,N(V994)&lt;=0,N(Q994)&lt;=0),"Menge pro Gebinde fehlt (Ist = 1 Gebinde); ","")&amp;BV994)</f>
        <v>negativer Bestand (Export -60); Kein Verbrauch; Überbestand</v>
      </c>
      <c r="BO994" s="60"/>
      <c r="BP994" s="60"/>
      <c r="BQ994" s="67"/>
      <c r="BR994" s="62" t="n">
        <v>-60</v>
      </c>
      <c r="BS994" s="62" t="n">
        <v>60</v>
      </c>
      <c r="BT994" s="61" t="n">
        <v>-88.2</v>
      </c>
      <c r="BU994" s="62" t="n">
        <v>0</v>
      </c>
      <c r="BV994" s="60" t="s">
        <v>434</v>
      </c>
      <c r="BW994" s="65" t="n">
        <v>0</v>
      </c>
      <c r="BX994" s="65" t="n">
        <v>994</v>
      </c>
      <c r="BY994" s="60" t="str">
        <f aca="false">IF(U994&lt;&gt;"",UPPER(TRIM(U994)),IF(CB994=1,UPPER(VLOOKUP(T994,Parameter!$I$27:$K$29,2,0)),IF(P994="","LOSE",P994)))</f>
        <v>S33</v>
      </c>
      <c r="BZ994" s="62" t="n">
        <f aca="false">IF(BY994="LOSE",1,IF(N(V994)&gt;0,V994,IF(CB994=1,MAX(1,N(VLOOKUP(T994,Parameter!$I$27:$K$29,3,0)),H994,N(N994)),IF(N(Q994)&gt;0,Q994,MAX(1,H994)))))</f>
        <v>71</v>
      </c>
      <c r="CA994" s="65" t="n">
        <f aca="false">IF(BY994="LOSE",1,0)</f>
        <v>0</v>
      </c>
      <c r="CB994" s="65" t="n">
        <f aca="false">IF(AND(U994="",OR(P994="",P994="LOSE"),T994&lt;&gt;"",N(S994)&lt;=0,ISNUMBER(MATCH(T994,Parameter!$I$27:$I$29,0))),1,0)</f>
        <v>0</v>
      </c>
      <c r="CC994" s="65" t="n">
        <f aca="false">IF(CR994&gt;0,INDEX(Parameter!$H$5:$H$7,W994)/INDEX(Parameter!$E$5:$E$7,W994),IF(AND(CA994=0,N(IFERROR(VLOOKUP(BY994,'Gebinde-Kategorie'!$A$5:$N$45,14,0),0))&gt;0),VLOOKUP(BY994,'Gebinde-Kategorie'!$A$5:$N$45,14,0)*10+Parameter!$M$23,Parameter!$M$24))</f>
        <v>155</v>
      </c>
      <c r="CD994" s="60" t="str">
        <f aca="false">IF(AND(Parameter!$B$19="Ja",E994&lt;&gt;"",ISNUMBER(MATCH(E994,Parameter!$I$35:$I$52,0))),VLOOKUP(E994,Parameter!$I$35:$J$52,2,0),IFERROR(VLOOKUP(D994,Parameter!$A$35:$C$64,2,0),"Nein"))</f>
        <v>2+3</v>
      </c>
      <c r="CE994" s="64" t="n">
        <f aca="false">IF(CA994=0,0,IF(N(S994)&gt;0,S994,IFERROR(VLOOKUP(D994,Parameter!$A$35:$C$64,3,0)+0,0)))</f>
        <v>0</v>
      </c>
      <c r="CF994" s="60" t="n">
        <f aca="false">IF(AB994&lt;&gt;"",AB994,AA994)</f>
        <v>3</v>
      </c>
      <c r="CG994" s="60" t="str">
        <f aca="false">IF(OR(CF994=1,CF994=2,CF994=3),IF(Parameter!$E$27="Ja","LIFT",IF(CF994=1,"L1","L23")),IF(CF994="Aussen","Aussen","-"))</f>
        <v>LIFT</v>
      </c>
      <c r="CH994" s="71" t="n">
        <f aca="false">IF(N(AC994)&gt;0,AC994,0)</f>
        <v>0</v>
      </c>
      <c r="CI994" s="65" t="n">
        <f aca="false">IF(ISNUMBER(AF994),1,0)</f>
        <v>0</v>
      </c>
      <c r="CJ994" s="62" t="n">
        <f aca="false">N(AF994)</f>
        <v>0</v>
      </c>
      <c r="CK994" s="62" t="n">
        <f aca="false">N(M994)+N(N994)</f>
        <v>1</v>
      </c>
      <c r="CL994" s="62" t="n">
        <f aca="false">N(M994)</f>
        <v>0</v>
      </c>
      <c r="CM994" s="62" t="n">
        <f aca="false">N(N994)</f>
        <v>1</v>
      </c>
      <c r="CN994" s="62" t="n">
        <f aca="false">ROUNDUP(H994/BZ994,0)</f>
        <v>0</v>
      </c>
      <c r="CO994" s="62" t="n">
        <f aca="false">ROUNDUP(CJ994/BZ994,0)</f>
        <v>0</v>
      </c>
      <c r="CP994" s="65" t="n">
        <f aca="false">IF(CA994=1,0,IFERROR(VLOOKUP(BY994,'Gebinde-Kategorie'!$A$5:$N$45,5,0)+0,0))</f>
        <v>8</v>
      </c>
      <c r="CQ994" s="65" t="n">
        <f aca="false">IFERROR(IF(OR(CF994=1,CF994=2,CF994=3),N(INDEX(Parameter!$I$5:$I$7,CF994)),0),0)</f>
        <v>0</v>
      </c>
      <c r="CR994" s="64" t="n">
        <f aca="false">IF(AND(Parameter!$B$21="Ja",ISNUMBER(W994),N(X994)&gt;0),IFERROR(N(INDEX(Parameter!$L$5:$L$7,W994))*INDEX(Parameter!$E$5:$E$7,W994)*X994/SUMIFS($X$7:$X$1843,$W$7:$W$1843,W994),0),0)</f>
        <v>0</v>
      </c>
      <c r="CS994" s="62" t="str">
        <f aca="false">IF(AND(OR(CG994="L1",CG994="L23",CG994="LIFT"),H994&gt;0),CC994*IF(CR994&gt;0,CR994*MAX(1,H994/X994),IF(CA994=1,CE994,IF(R994&gt;0,CN994/R994,0))/MAX(0.1,N(Parameter!$M$21))),"")</f>
        <v/>
      </c>
      <c r="CT994" s="64" t="str">
        <f aca="false">IF(CS994="","",J994/H994)</f>
        <v/>
      </c>
      <c r="CU994" s="62" t="str">
        <f aca="false">IF(CS994="","",H994*G994)</f>
        <v/>
      </c>
      <c r="CV994" s="63" t="str">
        <f aca="false">IF(CS994="","",(CL994+ROUNDUP(CL994+MAX(CM994,2*(J994/MAX(0.1,N(Einkauf!$C$6))-CL994)),0))/2)</f>
        <v/>
      </c>
      <c r="CW994" s="62" t="str">
        <f aca="false">IF(CS994="","",MAX(0,H994-CV994)*G994)</f>
        <v/>
      </c>
      <c r="CX994" s="62" t="str">
        <f aca="false">IF(CS994="","",CS994*MAX(0,1-CV994/H994))</f>
        <v/>
      </c>
      <c r="CY994" s="64" t="str">
        <f aca="false">IF(CS994="","",PERCENTRANK($CS$7:$CS$1843,CS994)+PERCENTRANK($CU$7:$CU$1843,CU994)+1-PERCENTRANK($CT$7:$CT$1843,CT994))</f>
        <v/>
      </c>
      <c r="CZ994" s="72" t="str">
        <f aca="false">IF(CS994="","",CHOOSE(MATCH(Einkauf!$C$5,Parameter!$G$23:$G$27,0),CY994,CS994,CU994,-CT994,CW994)+ROW()/1000000000)</f>
        <v/>
      </c>
    </row>
    <row r="995" customFormat="false" ht="15" hidden="false" customHeight="false" outlineLevel="0" collapsed="false">
      <c r="A995" s="60" t="s">
        <v>1880</v>
      </c>
      <c r="B995" s="60" t="s">
        <v>766</v>
      </c>
      <c r="C995" s="60" t="s">
        <v>206</v>
      </c>
      <c r="D995" s="60" t="s">
        <v>226</v>
      </c>
      <c r="E995" s="60" t="s">
        <v>227</v>
      </c>
      <c r="F995" s="60" t="s">
        <v>260</v>
      </c>
      <c r="G995" s="61" t="n">
        <v>13.01</v>
      </c>
      <c r="H995" s="62" t="n">
        <f aca="false">MAX(0,IF(AND(Parameter!$B$21="Ja",ISNUMBER(Y995)),Y995,IF(Parameter!$B$20="Jahresanfang 2025 + Export",BS995+BR995,BR995)))</f>
        <v>13</v>
      </c>
      <c r="I995" s="62" t="n">
        <f aca="false">H995*G995</f>
        <v>169.13</v>
      </c>
      <c r="J995" s="62" t="n">
        <f aca="false">BU995*Parameter!$B$18</f>
        <v>7</v>
      </c>
      <c r="K995" s="63" t="n">
        <v>16.5</v>
      </c>
      <c r="L995" s="64" t="n">
        <v>0.424242424242424</v>
      </c>
      <c r="M995" s="62" t="n">
        <v>0</v>
      </c>
      <c r="N995" s="62" t="n">
        <v>5</v>
      </c>
      <c r="O995" s="65" t="n">
        <v>18</v>
      </c>
      <c r="P995" s="60" t="s">
        <v>463</v>
      </c>
      <c r="Q995" s="62" t="n">
        <v>28</v>
      </c>
      <c r="R995" s="65" t="n">
        <f aca="false">IF(CA995=1,0,IFERROR(VLOOKUP(BY995,'Gebinde-Kategorie'!$A$5:$N$45,13,0)+0,0))</f>
        <v>104</v>
      </c>
      <c r="S995" s="66"/>
      <c r="T995" s="67"/>
      <c r="U995" s="67"/>
      <c r="V995" s="67"/>
      <c r="W995" s="60"/>
      <c r="X995" s="62"/>
      <c r="Y995" s="62"/>
      <c r="Z995" s="60" t="n">
        <v>2</v>
      </c>
      <c r="AA995" s="60" t="n">
        <f aca="false">IF(A995="","",IF(AND(Parameter!$B$21="Ja",ISNUMBER(W995)),W995,IF(AND(Parameter!$E$27="Ja",ISNUMBER(Z995),CD995&lt;&gt;"Nein"),Z995,IF(CD995="2+3",IF(ISNUMBER(SEARCH("grosser Artikel",BV995)),2,IFERROR(VLOOKUP(BY995,Parameter!$F$35:$G$64,2,0),2)),IF(OR(CD995="Nein",CD995=""),"-",CD995)))))</f>
        <v>2</v>
      </c>
      <c r="AB995" s="67"/>
      <c r="AC995" s="68"/>
      <c r="AD995" s="62" t="n">
        <f aca="false">AW995</f>
        <v>5</v>
      </c>
      <c r="AE995" s="62" t="n">
        <f aca="false">MAX(AW995,H995)</f>
        <v>13</v>
      </c>
      <c r="AF995" s="69"/>
      <c r="AG995" s="62" t="n">
        <f aca="false">IF(LEFT(Cockpit!$C$5,1)="A",H995,IF(Parameter!$E$30="MAX-Bestand",IF(CI995=1,CJ995,IF(LEFT(Cockpit!$C$5,1)="B",AM995,MAX(AM995,H995))),ROUNDUP(AK995,0)))</f>
        <v>13</v>
      </c>
      <c r="AH995" s="62" t="n">
        <f aca="false">IF(CA995=1,0,ROUNDUP(AG995/BZ995,0))</f>
        <v>1</v>
      </c>
      <c r="AI995" s="64" t="n">
        <f aca="false">IF(CR995&gt;0,CR995*MAX(1,AG995/X995),IF(CA995=1,IF(AG995&lt;=0,0,CE995*MAX(1,IF(H995&gt;0,AG995/H995,1))),IF(R995&gt;0,AH995/R995,0))/MAX(0.1,N(Parameter!$M$21)))</f>
        <v>0.00961538461538462</v>
      </c>
      <c r="AJ995" s="62" t="n">
        <f aca="false">AI995*CC995</f>
        <v>1.49038461538462</v>
      </c>
      <c r="AK995" s="63" t="n">
        <f aca="false">IF(LEFT(Cockpit!$C$5,1)="A",H995,IF(CI995=1,(CL995+CJ995)/2,IF(LEFT(Cockpit!$C$5,1)="B",(CL995+AM995)/2,MAX((CL995+AM995)/2,H995))))</f>
        <v>13</v>
      </c>
      <c r="AL995" s="62" t="n">
        <f aca="false">AK995*G995</f>
        <v>169.13</v>
      </c>
      <c r="AM995" s="62" t="n">
        <f aca="false">ROUNDUP(CL995+MAX(CM995,2*(J995/IF(CH995&gt;0,CH995,MAX(0.1,N(Cockpit!$C$6)))-CL995)),0)</f>
        <v>5</v>
      </c>
      <c r="AN995" s="63" t="n">
        <f aca="false">IF(AJ995&gt;0,J995/AJ995,-1)</f>
        <v>4.69677419354839</v>
      </c>
      <c r="AO995" s="63" t="n">
        <f aca="false">IF(AND(OR(CG995="L1",CG995="L23",CG995="LIFT"),AJ995&gt;0),SUMIFS($AJ$7:$AJ$1843,$CG$7:$CG$1843,CG995,$AN$7:$AN$1843,"&gt;"&amp;AN995)+SUMIFS($AJ$7:$AJ$1843,$CG$7:$CG$1843,CG995,$AN$7:$AN$1843,AN995,$BX$7:$BX$1843,"&lt;="&amp;BX995),"")</f>
        <v>4118.97619047619</v>
      </c>
      <c r="AP995" s="70" t="n">
        <f aca="false">IF(AO995="",0,MAX(0,MIN(1,(IF(CG995="L1",Parameter!$H$5,IF(CG995="L23",Parameter!$H$6+Parameter!$H$7,Parameter!$H$5+Parameter!$H$6+Parameter!$H$7))-(AO995-AJ995))/AJ995)))</f>
        <v>1</v>
      </c>
      <c r="AQ995" s="62" t="n">
        <f aca="false">IF(LEFT(Cockpit!$I$5,1)="A",H995,IF(Parameter!$E$30="MAX-Bestand",IF(CI995=1,CJ995,IF(LEFT(Cockpit!$I$5,1)="B",AW995,MAX(AW995,H995))),ROUNDUP(AU995,0)))</f>
        <v>13</v>
      </c>
      <c r="AR995" s="62" t="n">
        <f aca="false">IF(CA995=1,0,ROUNDUP(AQ995/BZ995,0))</f>
        <v>1</v>
      </c>
      <c r="AS995" s="64" t="n">
        <f aca="false">IF(CR995&gt;0,CR995*MAX(1,AQ995/X995),IF(CA995=1,IF(AQ995&lt;=0,0,CE995*MAX(1,IF(H995&gt;0,AQ995/H995,1))),IF(R995&gt;0,AR995/R995,0))/MAX(0.1,N(Parameter!$M$21)))</f>
        <v>0.00961538461538462</v>
      </c>
      <c r="AT995" s="62" t="n">
        <f aca="false">AS995*CC995</f>
        <v>1.49038461538462</v>
      </c>
      <c r="AU995" s="63" t="n">
        <f aca="false">IF(LEFT(Cockpit!$I$5,1)="A",H995,IF(CI995=1,(CL995+CJ995)/2,IF(LEFT(Cockpit!$I$5,1)="B",(CL995+AW995)/2,MAX((CL995+AW995)/2,H995))))</f>
        <v>13</v>
      </c>
      <c r="AV995" s="62" t="n">
        <f aca="false">AU995*G995</f>
        <v>169.13</v>
      </c>
      <c r="AW995" s="62" t="n">
        <f aca="false">ROUNDUP(CL995+MAX(CM995,2*(J995/IF(CH995&gt;0,CH995,MAX(0.1,N(Cockpit!$I$6)))-CL995)),0)</f>
        <v>5</v>
      </c>
      <c r="AX995" s="63" t="n">
        <f aca="false">IF(AT995&gt;0,J995/AT995,-1)</f>
        <v>4.69677419354839</v>
      </c>
      <c r="AY995" s="63" t="n">
        <f aca="false">IF(AND(OR(CG995="L1",CG995="L23",CG995="LIFT"),AT995&gt;0),SUMIFS($AT$7:$AT$1843,$CG$7:$CG$1843,CG995,$AX$7:$AX$1843,"&gt;"&amp;AX995)+SUMIFS($AT$7:$AT$1843,$CG$7:$CG$1843,CG995,$AX$7:$AX$1843,AX995,$BX$7:$BX$1843,"&lt;="&amp;BX995),"")</f>
        <v>4715.21703296703</v>
      </c>
      <c r="AZ995" s="70" t="n">
        <f aca="false">IF(AY995="",0,MAX(0,MIN(1,(IF(CG995="L1",Parameter!$H$5,IF(CG995="L23",Parameter!$H$6+Parameter!$H$7,Parameter!$H$5+Parameter!$H$6+Parameter!$H$7))-(AY995-AT995))/AT995)))</f>
        <v>1</v>
      </c>
      <c r="BA995" s="62" t="n">
        <f aca="false">IF(LEFT(Cockpit!$O$5,1)="A",H995,IF(Parameter!$E$30="MAX-Bestand",IF(CI995=1,CJ995,IF(LEFT(Cockpit!$O$5,1)="B",BG995,MAX(BG995,H995))),ROUNDUP(BE995,0)))</f>
        <v>3</v>
      </c>
      <c r="BB995" s="62" t="n">
        <f aca="false">IF(CA995=1,0,ROUNDUP(BA995/BZ995,0))</f>
        <v>1</v>
      </c>
      <c r="BC995" s="64" t="n">
        <f aca="false">IF(CR995&gt;0,CR995*MAX(1,BA995/X995),IF(CA995=1,IF(BA995&lt;=0,0,CE995*MAX(1,IF(H995&gt;0,BA995/H995,1))),IF(R995&gt;0,BB995/R995,0))/MAX(0.1,N(Parameter!$M$21)))</f>
        <v>0.00961538461538462</v>
      </c>
      <c r="BD995" s="62" t="n">
        <f aca="false">BC995*CC995</f>
        <v>1.49038461538462</v>
      </c>
      <c r="BE995" s="63" t="n">
        <f aca="false">IF(LEFT(Cockpit!$O$5,1)="A",H995,IF(CI995=1,(CL995+CJ995)/2,IF(LEFT(Cockpit!$O$5,1)="B",(CL995+BG995)/2,MAX((CL995+BG995)/2,H995))))</f>
        <v>2.5</v>
      </c>
      <c r="BF995" s="62" t="n">
        <f aca="false">BE995*G995</f>
        <v>32.525</v>
      </c>
      <c r="BG995" s="62" t="n">
        <f aca="false">ROUNDUP(CL995+MAX(CM995,2*(J995/IF(CH995&gt;0,CH995,MAX(0.1,N(Cockpit!$O$6)))-CL995)),0)</f>
        <v>5</v>
      </c>
      <c r="BH995" s="63" t="n">
        <f aca="false">IF(BD995&gt;0,J995/BD995,-1)</f>
        <v>4.69677419354839</v>
      </c>
      <c r="BI995" s="63" t="n">
        <f aca="false">IF(AND(OR(CG995="L1",CG995="L23",CG995="LIFT"),BD995&gt;0),SUMIFS($BD$7:$BD$1843,$CG$7:$CG$1843,CG995,$BH$7:$BH$1843,"&gt;"&amp;BH995)+SUMIFS($BD$7:$BD$1843,$CG$7:$CG$1843,CG995,$BH$7:$BH$1843,BH995,$BX$7:$BX$1843,"&lt;="&amp;BX995),"")</f>
        <v>3882.89972527473</v>
      </c>
      <c r="BJ995" s="70" t="n">
        <f aca="false">IF(BI995="",0,MAX(0,MIN(1,(IF(CG995="L1",Parameter!$H$5,IF(CG995="L23",Parameter!$H$6+Parameter!$H$7,Parameter!$H$5+Parameter!$H$6+Parameter!$H$7))-(BI995-BD995))/BD995)))</f>
        <v>1</v>
      </c>
      <c r="BK995" s="60" t="str">
        <f aca="false">IF(AJ995&lt;=0,"",IF(CG995="Aussen","Aussenlager",IF(CG995="-","Nicht im Lift",IF(AP995&gt;=1,"Lift",IF(AP995&lt;=0,"Aussenlager","teilweise")))))</f>
        <v>Lift</v>
      </c>
      <c r="BL995" s="60" t="str">
        <f aca="false">IF(AT995&lt;=0,"",IF(CG995="Aussen","Aussenlager",IF(CG995="-","Nicht im Lift",IF(AZ995&gt;=1,"Lift",IF(AZ995&lt;=0,"Aussenlager","teilweise")))))</f>
        <v>Lift</v>
      </c>
      <c r="BM995" s="60" t="str">
        <f aca="false">IF(BD995&lt;=0,"",IF(CG995="Aussen","Aussenlager",IF(CG995="-","Nicht im Lift",IF(BJ995&gt;=1,"Lift",IF(BJ995&lt;=0,"Aussenlager","teilweise")))))</f>
        <v>Lift</v>
      </c>
      <c r="BN995" s="60" t="str">
        <f aca="false">IF(A995="","",IF(BW995=1,"Neu; ","")&amp;IF(AND(BW995=0,BR995&lt;0),"negativer Bestand (Export "&amp;BR995&amp;"); ","")&amp;IF(J995&lt;=0,"Kein Verbrauch; ","")&amp;IF(CR995&gt;0,"Lift "&amp;W995&amp;" lt. Liftbericht (Fach "&amp;X995&amp;" Stk); ",IF(CB995=1,"Gebinde geschätzt ("&amp;T995&amp;"); ",IF(CA995=1,"Lose – Tablare geschätzt; ","")))&amp;IF(H995&gt;AW995,"Überbestand "&amp;ROUND(H995-AW995,0)&amp;" Stk / CHF "&amp;ROUND((H995-AW995)*G995,0)&amp;"; ","")&amp;IF(AND(CI995=1,CJ995&lt;CK995),"MAX &lt; MB+LG; ","")&amp;IF(AND(CQ995&gt;0,CP995*10&gt;CQ995),"zu hoch für Tablar; ","")&amp;IF(AND(BW995=0,OR(CI995=1,AB995&lt;&gt;"",U995&lt;&gt;"",V995&lt;&gt;"",AC995&lt;&gt;"")),"manuell übersteuert; ","")&amp;IF(AND(CA995=0,R995=0),"Gebinde unbekannt / Stellmass fehlt; ","")&amp;IF(AND(CA995=0,N(V995)&lt;=0,N(Q995)&lt;=0),"Menge pro Gebinde fehlt (Ist = 1 Gebinde); ","")&amp;BV995)</f>
        <v>negativer Bestand (Export -7); Überbestand 8 Stk / CHF 104; </v>
      </c>
      <c r="BO995" s="60"/>
      <c r="BP995" s="60"/>
      <c r="BQ995" s="67"/>
      <c r="BR995" s="62" t="n">
        <v>-7</v>
      </c>
      <c r="BS995" s="62" t="n">
        <v>20</v>
      </c>
      <c r="BT995" s="61" t="n">
        <v>-91.07</v>
      </c>
      <c r="BU995" s="62" t="n">
        <v>7</v>
      </c>
      <c r="BV995" s="60"/>
      <c r="BW995" s="65" t="n">
        <v>0</v>
      </c>
      <c r="BX995" s="65" t="n">
        <v>995</v>
      </c>
      <c r="BY995" s="60" t="str">
        <f aca="false">IF(U995&lt;&gt;"",UPPER(TRIM(U995)),IF(CB995=1,UPPER(VLOOKUP(T995,Parameter!$I$27:$K$29,2,0)),IF(P995="","LOSE",P995)))</f>
        <v>S32</v>
      </c>
      <c r="BZ995" s="62" t="n">
        <f aca="false">IF(BY995="LOSE",1,IF(N(V995)&gt;0,V995,IF(CB995=1,MAX(1,N(VLOOKUP(T995,Parameter!$I$27:$K$29,3,0)),H995,N(N995)),IF(N(Q995)&gt;0,Q995,MAX(1,H995)))))</f>
        <v>28</v>
      </c>
      <c r="CA995" s="65" t="n">
        <f aca="false">IF(BY995="LOSE",1,0)</f>
        <v>0</v>
      </c>
      <c r="CB995" s="65" t="n">
        <f aca="false">IF(AND(U995="",OR(P995="",P995="LOSE"),T995&lt;&gt;"",N(S995)&lt;=0,ISNUMBER(MATCH(T995,Parameter!$I$27:$I$29,0))),1,0)</f>
        <v>0</v>
      </c>
      <c r="CC995" s="65" t="n">
        <f aca="false">IF(CR995&gt;0,INDEX(Parameter!$H$5:$H$7,W995)/INDEX(Parameter!$E$5:$E$7,W995),IF(AND(CA995=0,N(IFERROR(VLOOKUP(BY995,'Gebinde-Kategorie'!$A$5:$N$45,14,0),0))&gt;0),VLOOKUP(BY995,'Gebinde-Kategorie'!$A$5:$N$45,14,0)*10+Parameter!$M$23,Parameter!$M$24))</f>
        <v>155</v>
      </c>
      <c r="CD995" s="60" t="str">
        <f aca="false">IF(AND(Parameter!$B$19="Ja",E995&lt;&gt;"",ISNUMBER(MATCH(E995,Parameter!$I$35:$I$52,0))),VLOOKUP(E995,Parameter!$I$35:$J$52,2,0),IFERROR(VLOOKUP(D995,Parameter!$A$35:$C$64,2,0),"Nein"))</f>
        <v>2+3</v>
      </c>
      <c r="CE995" s="64" t="n">
        <f aca="false">IF(CA995=0,0,IF(N(S995)&gt;0,S995,IFERROR(VLOOKUP(D995,Parameter!$A$35:$C$64,3,0)+0,0)))</f>
        <v>0</v>
      </c>
      <c r="CF995" s="60" t="n">
        <f aca="false">IF(AB995&lt;&gt;"",AB995,AA995)</f>
        <v>2</v>
      </c>
      <c r="CG995" s="60" t="str">
        <f aca="false">IF(OR(CF995=1,CF995=2,CF995=3),IF(Parameter!$E$27="Ja","LIFT",IF(CF995=1,"L1","L23")),IF(CF995="Aussen","Aussen","-"))</f>
        <v>LIFT</v>
      </c>
      <c r="CH995" s="71" t="n">
        <f aca="false">IF(N(AC995)&gt;0,AC995,0)</f>
        <v>0</v>
      </c>
      <c r="CI995" s="65" t="n">
        <f aca="false">IF(ISNUMBER(AF995),1,0)</f>
        <v>0</v>
      </c>
      <c r="CJ995" s="62" t="n">
        <f aca="false">N(AF995)</f>
        <v>0</v>
      </c>
      <c r="CK995" s="62" t="n">
        <f aca="false">N(M995)+N(N995)</f>
        <v>5</v>
      </c>
      <c r="CL995" s="62" t="n">
        <f aca="false">N(M995)</f>
        <v>0</v>
      </c>
      <c r="CM995" s="62" t="n">
        <f aca="false">N(N995)</f>
        <v>5</v>
      </c>
      <c r="CN995" s="62" t="n">
        <f aca="false">ROUNDUP(H995/BZ995,0)</f>
        <v>1</v>
      </c>
      <c r="CO995" s="62" t="n">
        <f aca="false">ROUNDUP(CJ995/BZ995,0)</f>
        <v>0</v>
      </c>
      <c r="CP995" s="65" t="n">
        <f aca="false">IF(CA995=1,0,IFERROR(VLOOKUP(BY995,'Gebinde-Kategorie'!$A$5:$N$45,5,0)+0,0))</f>
        <v>8</v>
      </c>
      <c r="CQ995" s="65" t="n">
        <f aca="false">IFERROR(IF(OR(CF995=1,CF995=2,CF995=3),N(INDEX(Parameter!$I$5:$I$7,CF995)),0),0)</f>
        <v>0</v>
      </c>
      <c r="CR995" s="64" t="n">
        <f aca="false">IF(AND(Parameter!$B$21="Ja",ISNUMBER(W995),N(X995)&gt;0),IFERROR(N(INDEX(Parameter!$L$5:$L$7,W995))*INDEX(Parameter!$E$5:$E$7,W995)*X995/SUMIFS($X$7:$X$1843,$W$7:$W$1843,W995),0),0)</f>
        <v>0</v>
      </c>
      <c r="CS995" s="62" t="n">
        <f aca="false">IF(AND(OR(CG995="L1",CG995="L23",CG995="LIFT"),H995&gt;0),CC995*IF(CR995&gt;0,CR995*MAX(1,H995/X995),IF(CA995=1,CE995,IF(R995&gt;0,CN995/R995,0))/MAX(0.1,N(Parameter!$M$21))),"")</f>
        <v>1.49038461538462</v>
      </c>
      <c r="CT995" s="64" t="n">
        <f aca="false">IF(CS995="","",J995/H995)</f>
        <v>0.538461538461538</v>
      </c>
      <c r="CU995" s="62" t="n">
        <f aca="false">IF(CS995="","",H995*G995)</f>
        <v>169.13</v>
      </c>
      <c r="CV995" s="63" t="n">
        <f aca="false">IF(CS995="","",(CL995+ROUNDUP(CL995+MAX(CM995,2*(J995/MAX(0.1,N(Einkauf!$C$6))-CL995)),0))/2)</f>
        <v>2.5</v>
      </c>
      <c r="CW995" s="62" t="n">
        <f aca="false">IF(CS995="","",MAX(0,H995-CV995)*G995)</f>
        <v>136.605</v>
      </c>
      <c r="CX995" s="62" t="n">
        <f aca="false">IF(CS995="","",CS995*MAX(0,1-CV995/H995))</f>
        <v>1.20377218934911</v>
      </c>
      <c r="CY995" s="64" t="n">
        <f aca="false">IF(CS995="","",PERCENTRANK($CS$7:$CS$1843,CS995)+PERCENTRANK($CU$7:$CU$1843,CU995)+1-PERCENTRANK($CT$7:$CT$1843,CT995))</f>
        <v>0.87</v>
      </c>
      <c r="CZ995" s="72" t="n">
        <f aca="false">IF(CS995="","",CHOOSE(MATCH(Einkauf!$C$5,Parameter!$G$23:$G$27,0),CY995,CS995,CU995,-CT995,CW995)+ROW()/1000000000)</f>
        <v>0.870000995</v>
      </c>
    </row>
    <row r="996" customFormat="false" ht="15" hidden="false" customHeight="false" outlineLevel="0" collapsed="false">
      <c r="A996" s="60" t="s">
        <v>1881</v>
      </c>
      <c r="B996" s="60" t="s">
        <v>776</v>
      </c>
      <c r="C996" s="60" t="s">
        <v>206</v>
      </c>
      <c r="D996" s="60" t="s">
        <v>226</v>
      </c>
      <c r="E996" s="60"/>
      <c r="F996" s="60" t="s">
        <v>260</v>
      </c>
      <c r="G996" s="61" t="n">
        <v>42.17</v>
      </c>
      <c r="H996" s="62" t="n">
        <f aca="false">MAX(0,IF(AND(Parameter!$B$21="Ja",ISNUMBER(Y996)),Y996,IF(Parameter!$B$20="Jahresanfang 2025 + Export",BS996+BR996,BR996)))</f>
        <v>4</v>
      </c>
      <c r="I996" s="62" t="n">
        <f aca="false">H996*G996</f>
        <v>168.68</v>
      </c>
      <c r="J996" s="62" t="n">
        <f aca="false">BU996*Parameter!$B$18</f>
        <v>5</v>
      </c>
      <c r="K996" s="63" t="n">
        <v>3.5</v>
      </c>
      <c r="L996" s="64" t="n">
        <v>1.42857142857143</v>
      </c>
      <c r="M996" s="62" t="n">
        <v>0</v>
      </c>
      <c r="N996" s="62" t="n">
        <v>5</v>
      </c>
      <c r="O996" s="65" t="n">
        <v>28</v>
      </c>
      <c r="P996" s="60" t="s">
        <v>370</v>
      </c>
      <c r="Q996" s="62" t="n">
        <v>20</v>
      </c>
      <c r="R996" s="65" t="n">
        <f aca="false">IF(CA996=1,0,IFERROR(VLOOKUP(BY996,'Gebinde-Kategorie'!$A$5:$N$45,13,0)+0,0))</f>
        <v>52</v>
      </c>
      <c r="S996" s="66"/>
      <c r="T996" s="67"/>
      <c r="U996" s="67"/>
      <c r="V996" s="67"/>
      <c r="W996" s="60"/>
      <c r="X996" s="62"/>
      <c r="Y996" s="62"/>
      <c r="Z996" s="60" t="n">
        <v>2</v>
      </c>
      <c r="AA996" s="60" t="n">
        <f aca="false">IF(A996="","",IF(AND(Parameter!$B$21="Ja",ISNUMBER(W996)),W996,IF(AND(Parameter!$E$27="Ja",ISNUMBER(Z996),CD996&lt;&gt;"Nein"),Z996,IF(CD996="2+3",IF(ISNUMBER(SEARCH("grosser Artikel",BV996)),2,IFERROR(VLOOKUP(BY996,Parameter!$F$35:$G$64,2,0),2)),IF(OR(CD996="Nein",CD996=""),"-",CD996)))))</f>
        <v>2</v>
      </c>
      <c r="AB996" s="67"/>
      <c r="AC996" s="68"/>
      <c r="AD996" s="62" t="n">
        <f aca="false">AW996</f>
        <v>5</v>
      </c>
      <c r="AE996" s="62" t="n">
        <f aca="false">MAX(AW996,H996)</f>
        <v>5</v>
      </c>
      <c r="AF996" s="69"/>
      <c r="AG996" s="62" t="n">
        <f aca="false">IF(LEFT(Cockpit!$C$5,1)="A",H996,IF(Parameter!$E$30="MAX-Bestand",IF(CI996=1,CJ996,IF(LEFT(Cockpit!$C$5,1)="B",AM996,MAX(AM996,H996))),ROUNDUP(AK996,0)))</f>
        <v>4</v>
      </c>
      <c r="AH996" s="62" t="n">
        <f aca="false">IF(CA996=1,0,ROUNDUP(AG996/BZ996,0))</f>
        <v>1</v>
      </c>
      <c r="AI996" s="64" t="n">
        <f aca="false">IF(CR996&gt;0,CR996*MAX(1,AG996/X996),IF(CA996=1,IF(AG996&lt;=0,0,CE996*MAX(1,IF(H996&gt;0,AG996/H996,1))),IF(R996&gt;0,AH996/R996,0))/MAX(0.1,N(Parameter!$M$21)))</f>
        <v>0.0192307692307692</v>
      </c>
      <c r="AJ996" s="62" t="n">
        <f aca="false">AI996*CC996</f>
        <v>2.98076923076923</v>
      </c>
      <c r="AK996" s="63" t="n">
        <f aca="false">IF(LEFT(Cockpit!$C$5,1)="A",H996,IF(CI996=1,(CL996+CJ996)/2,IF(LEFT(Cockpit!$C$5,1)="B",(CL996+AM996)/2,MAX((CL996+AM996)/2,H996))))</f>
        <v>4</v>
      </c>
      <c r="AL996" s="62" t="n">
        <f aca="false">AK996*G996</f>
        <v>168.68</v>
      </c>
      <c r="AM996" s="62" t="n">
        <f aca="false">ROUNDUP(CL996+MAX(CM996,2*(J996/IF(CH996&gt;0,CH996,MAX(0.1,N(Cockpit!$C$6)))-CL996)),0)</f>
        <v>5</v>
      </c>
      <c r="AN996" s="63" t="n">
        <f aca="false">IF(AJ996&gt;0,J996/AJ996,-1)</f>
        <v>1.67741935483871</v>
      </c>
      <c r="AO996" s="63" t="n">
        <f aca="false">IF(AND(OR(CG996="L1",CG996="L23",CG996="LIFT"),AJ996&gt;0),SUMIFS($AJ$7:$AJ$1843,$CG$7:$CG$1843,CG996,$AN$7:$AN$1843,"&gt;"&amp;AN996)+SUMIFS($AJ$7:$AJ$1843,$CG$7:$CG$1843,CG996,$AN$7:$AN$1843,AN996,$BX$7:$BX$1843,"&lt;="&amp;BX996),"")</f>
        <v>6060.79532967033</v>
      </c>
      <c r="AP996" s="70" t="n">
        <f aca="false">IF(AO996="",0,MAX(0,MIN(1,(IF(CG996="L1",Parameter!$H$5,IF(CG996="L23",Parameter!$H$6+Parameter!$H$7,Parameter!$H$5+Parameter!$H$6+Parameter!$H$7))-(AO996-AJ996))/AJ996)))</f>
        <v>1</v>
      </c>
      <c r="AQ996" s="62" t="n">
        <f aca="false">IF(LEFT(Cockpit!$I$5,1)="A",H996,IF(Parameter!$E$30="MAX-Bestand",IF(CI996=1,CJ996,IF(LEFT(Cockpit!$I$5,1)="B",AW996,MAX(AW996,H996))),ROUNDUP(AU996,0)))</f>
        <v>4</v>
      </c>
      <c r="AR996" s="62" t="n">
        <f aca="false">IF(CA996=1,0,ROUNDUP(AQ996/BZ996,0))</f>
        <v>1</v>
      </c>
      <c r="AS996" s="64" t="n">
        <f aca="false">IF(CR996&gt;0,CR996*MAX(1,AQ996/X996),IF(CA996=1,IF(AQ996&lt;=0,0,CE996*MAX(1,IF(H996&gt;0,AQ996/H996,1))),IF(R996&gt;0,AR996/R996,0))/MAX(0.1,N(Parameter!$M$21)))</f>
        <v>0.0192307692307692</v>
      </c>
      <c r="AT996" s="62" t="n">
        <f aca="false">AS996*CC996</f>
        <v>2.98076923076923</v>
      </c>
      <c r="AU996" s="63" t="n">
        <f aca="false">IF(LEFT(Cockpit!$I$5,1)="A",H996,IF(CI996=1,(CL996+CJ996)/2,IF(LEFT(Cockpit!$I$5,1)="B",(CL996+AW996)/2,MAX((CL996+AW996)/2,H996))))</f>
        <v>4</v>
      </c>
      <c r="AV996" s="62" t="n">
        <f aca="false">AU996*G996</f>
        <v>168.68</v>
      </c>
      <c r="AW996" s="62" t="n">
        <f aca="false">ROUNDUP(CL996+MAX(CM996,2*(J996/IF(CH996&gt;0,CH996,MAX(0.1,N(Cockpit!$I$6)))-CL996)),0)</f>
        <v>5</v>
      </c>
      <c r="AX996" s="63" t="n">
        <f aca="false">IF(AT996&gt;0,J996/AT996,-1)</f>
        <v>1.67741935483871</v>
      </c>
      <c r="AY996" s="63" t="n">
        <f aca="false">IF(AND(OR(CG996="L1",CG996="L23",CG996="LIFT"),AT996&gt;0),SUMIFS($AT$7:$AT$1843,$CG$7:$CG$1843,CG996,$AX$7:$AX$1843,"&gt;"&amp;AX996)+SUMIFS($AT$7:$AT$1843,$CG$7:$CG$1843,CG996,$AX$7:$AX$1843,AX996,$BX$7:$BX$1843,"&lt;="&amp;BX996),"")</f>
        <v>7488.76098901099</v>
      </c>
      <c r="AZ996" s="70" t="n">
        <f aca="false">IF(AY996="",0,MAX(0,MIN(1,(IF(CG996="L1",Parameter!$H$5,IF(CG996="L23",Parameter!$H$6+Parameter!$H$7,Parameter!$H$5+Parameter!$H$6+Parameter!$H$7))-(AY996-AT996))/AT996)))</f>
        <v>1</v>
      </c>
      <c r="BA996" s="62" t="n">
        <f aca="false">IF(LEFT(Cockpit!$O$5,1)="A",H996,IF(Parameter!$E$30="MAX-Bestand",IF(CI996=1,CJ996,IF(LEFT(Cockpit!$O$5,1)="B",BG996,MAX(BG996,H996))),ROUNDUP(BE996,0)))</f>
        <v>3</v>
      </c>
      <c r="BB996" s="62" t="n">
        <f aca="false">IF(CA996=1,0,ROUNDUP(BA996/BZ996,0))</f>
        <v>1</v>
      </c>
      <c r="BC996" s="64" t="n">
        <f aca="false">IF(CR996&gt;0,CR996*MAX(1,BA996/X996),IF(CA996=1,IF(BA996&lt;=0,0,CE996*MAX(1,IF(H996&gt;0,BA996/H996,1))),IF(R996&gt;0,BB996/R996,0))/MAX(0.1,N(Parameter!$M$21)))</f>
        <v>0.0192307692307692</v>
      </c>
      <c r="BD996" s="62" t="n">
        <f aca="false">BC996*CC996</f>
        <v>2.98076923076923</v>
      </c>
      <c r="BE996" s="63" t="n">
        <f aca="false">IF(LEFT(Cockpit!$O$5,1)="A",H996,IF(CI996=1,(CL996+CJ996)/2,IF(LEFT(Cockpit!$O$5,1)="B",(CL996+BG996)/2,MAX((CL996+BG996)/2,H996))))</f>
        <v>2.5</v>
      </c>
      <c r="BF996" s="62" t="n">
        <f aca="false">BE996*G996</f>
        <v>105.425</v>
      </c>
      <c r="BG996" s="62" t="n">
        <f aca="false">ROUNDUP(CL996+MAX(CM996,2*(J996/IF(CH996&gt;0,CH996,MAX(0.1,N(Cockpit!$O$6)))-CL996)),0)</f>
        <v>5</v>
      </c>
      <c r="BH996" s="63" t="n">
        <f aca="false">IF(BD996&gt;0,J996/BD996,-1)</f>
        <v>1.67741935483871</v>
      </c>
      <c r="BI996" s="63" t="n">
        <f aca="false">IF(AND(OR(CG996="L1",CG996="L23",CG996="LIFT"),BD996&gt;0),SUMIFS($BD$7:$BD$1843,$CG$7:$CG$1843,CG996,$BH$7:$BH$1843,"&gt;"&amp;BH996)+SUMIFS($BD$7:$BD$1843,$CG$7:$CG$1843,CG996,$BH$7:$BH$1843,BH996,$BX$7:$BX$1843,"&lt;="&amp;BX996),"")</f>
        <v>6303.60485347985</v>
      </c>
      <c r="BJ996" s="70" t="n">
        <f aca="false">IF(BI996="",0,MAX(0,MIN(1,(IF(CG996="L1",Parameter!$H$5,IF(CG996="L23",Parameter!$H$6+Parameter!$H$7,Parameter!$H$5+Parameter!$H$6+Parameter!$H$7))-(BI996-BD996))/BD996)))</f>
        <v>1</v>
      </c>
      <c r="BK996" s="60" t="str">
        <f aca="false">IF(AJ996&lt;=0,"",IF(CG996="Aussen","Aussenlager",IF(CG996="-","Nicht im Lift",IF(AP996&gt;=1,"Lift",IF(AP996&lt;=0,"Aussenlager","teilweise")))))</f>
        <v>Lift</v>
      </c>
      <c r="BL996" s="60" t="str">
        <f aca="false">IF(AT996&lt;=0,"",IF(CG996="Aussen","Aussenlager",IF(CG996="-","Nicht im Lift",IF(AZ996&gt;=1,"Lift",IF(AZ996&lt;=0,"Aussenlager","teilweise")))))</f>
        <v>Lift</v>
      </c>
      <c r="BM996" s="60" t="str">
        <f aca="false">IF(BD996&lt;=0,"",IF(CG996="Aussen","Aussenlager",IF(CG996="-","Nicht im Lift",IF(BJ996&gt;=1,"Lift",IF(BJ996&lt;=0,"Aussenlager","teilweise")))))</f>
        <v>Lift</v>
      </c>
      <c r="BN996" s="60" t="str">
        <f aca="false">IF(A996="","",IF(BW996=1,"Neu; ","")&amp;IF(AND(BW996=0,BR996&lt;0),"negativer Bestand (Export "&amp;BR996&amp;"); ","")&amp;IF(J996&lt;=0,"Kein Verbrauch; ","")&amp;IF(CR996&gt;0,"Lift "&amp;W996&amp;" lt. Liftbericht (Fach "&amp;X996&amp;" Stk); ",IF(CB996=1,"Gebinde geschätzt ("&amp;T996&amp;"); ",IF(CA996=1,"Lose – Tablare geschätzt; ","")))&amp;IF(H996&gt;AW996,"Überbestand "&amp;ROUND(H996-AW996,0)&amp;" Stk / CHF "&amp;ROUND((H996-AW996)*G996,0)&amp;"; ","")&amp;IF(AND(CI996=1,CJ996&lt;CK996),"MAX &lt; MB+LG; ","")&amp;IF(AND(CQ996&gt;0,CP996*10&gt;CQ996),"zu hoch für Tablar; ","")&amp;IF(AND(BW996=0,OR(CI996=1,AB996&lt;&gt;"",U996&lt;&gt;"",V996&lt;&gt;"",AC996&lt;&gt;"")),"manuell übersteuert; ","")&amp;IF(AND(CA996=0,R996=0),"Gebinde unbekannt / Stellmass fehlt; ","")&amp;IF(AND(CA996=0,N(V996)&lt;=0,N(Q996)&lt;=0),"Menge pro Gebinde fehlt (Ist = 1 Gebinde); ","")&amp;BV996)</f>
        <v/>
      </c>
      <c r="BO996" s="60"/>
      <c r="BP996" s="60"/>
      <c r="BQ996" s="67"/>
      <c r="BR996" s="62" t="n">
        <v>0</v>
      </c>
      <c r="BS996" s="62" t="n">
        <v>4</v>
      </c>
      <c r="BT996" s="61" t="n">
        <v>-91.72</v>
      </c>
      <c r="BU996" s="62" t="n">
        <v>5</v>
      </c>
      <c r="BV996" s="60"/>
      <c r="BW996" s="65" t="n">
        <v>0</v>
      </c>
      <c r="BX996" s="65" t="n">
        <v>996</v>
      </c>
      <c r="BY996" s="60" t="str">
        <f aca="false">IF(U996&lt;&gt;"",UPPER(TRIM(U996)),IF(CB996=1,UPPER(VLOOKUP(T996,Parameter!$I$27:$K$29,2,0)),IF(P996="","LOSE",P996)))</f>
        <v>S41</v>
      </c>
      <c r="BZ996" s="62" t="n">
        <f aca="false">IF(BY996="LOSE",1,IF(N(V996)&gt;0,V996,IF(CB996=1,MAX(1,N(VLOOKUP(T996,Parameter!$I$27:$K$29,3,0)),H996,N(N996)),IF(N(Q996)&gt;0,Q996,MAX(1,H996)))))</f>
        <v>20</v>
      </c>
      <c r="CA996" s="65" t="n">
        <f aca="false">IF(BY996="LOSE",1,0)</f>
        <v>0</v>
      </c>
      <c r="CB996" s="65" t="n">
        <f aca="false">IF(AND(U996="",OR(P996="",P996="LOSE"),T996&lt;&gt;"",N(S996)&lt;=0,ISNUMBER(MATCH(T996,Parameter!$I$27:$I$29,0))),1,0)</f>
        <v>0</v>
      </c>
      <c r="CC996" s="65" t="n">
        <f aca="false">IF(CR996&gt;0,INDEX(Parameter!$H$5:$H$7,W996)/INDEX(Parameter!$E$5:$E$7,W996),IF(AND(CA996=0,N(IFERROR(VLOOKUP(BY996,'Gebinde-Kategorie'!$A$5:$N$45,14,0),0))&gt;0),VLOOKUP(BY996,'Gebinde-Kategorie'!$A$5:$N$45,14,0)*10+Parameter!$M$23,Parameter!$M$24))</f>
        <v>155</v>
      </c>
      <c r="CD996" s="60" t="str">
        <f aca="false">IF(AND(Parameter!$B$19="Ja",E996&lt;&gt;"",ISNUMBER(MATCH(E996,Parameter!$I$35:$I$52,0))),VLOOKUP(E996,Parameter!$I$35:$J$52,2,0),IFERROR(VLOOKUP(D996,Parameter!$A$35:$C$64,2,0),"Nein"))</f>
        <v>2+3</v>
      </c>
      <c r="CE996" s="64" t="n">
        <f aca="false">IF(CA996=0,0,IF(N(S996)&gt;0,S996,IFERROR(VLOOKUP(D996,Parameter!$A$35:$C$64,3,0)+0,0)))</f>
        <v>0</v>
      </c>
      <c r="CF996" s="60" t="n">
        <f aca="false">IF(AB996&lt;&gt;"",AB996,AA996)</f>
        <v>2</v>
      </c>
      <c r="CG996" s="60" t="str">
        <f aca="false">IF(OR(CF996=1,CF996=2,CF996=3),IF(Parameter!$E$27="Ja","LIFT",IF(CF996=1,"L1","L23")),IF(CF996="Aussen","Aussen","-"))</f>
        <v>LIFT</v>
      </c>
      <c r="CH996" s="71" t="n">
        <f aca="false">IF(N(AC996)&gt;0,AC996,0)</f>
        <v>0</v>
      </c>
      <c r="CI996" s="65" t="n">
        <f aca="false">IF(ISNUMBER(AF996),1,0)</f>
        <v>0</v>
      </c>
      <c r="CJ996" s="62" t="n">
        <f aca="false">N(AF996)</f>
        <v>0</v>
      </c>
      <c r="CK996" s="62" t="n">
        <f aca="false">N(M996)+N(N996)</f>
        <v>5</v>
      </c>
      <c r="CL996" s="62" t="n">
        <f aca="false">N(M996)</f>
        <v>0</v>
      </c>
      <c r="CM996" s="62" t="n">
        <f aca="false">N(N996)</f>
        <v>5</v>
      </c>
      <c r="CN996" s="62" t="n">
        <f aca="false">ROUNDUP(H996/BZ996,0)</f>
        <v>1</v>
      </c>
      <c r="CO996" s="62" t="n">
        <f aca="false">ROUNDUP(CJ996/BZ996,0)</f>
        <v>0</v>
      </c>
      <c r="CP996" s="65" t="n">
        <f aca="false">IF(CA996=1,0,IFERROR(VLOOKUP(BY996,'Gebinde-Kategorie'!$A$5:$N$45,5,0)+0,0))</f>
        <v>11</v>
      </c>
      <c r="CQ996" s="65" t="n">
        <f aca="false">IFERROR(IF(OR(CF996=1,CF996=2,CF996=3),N(INDEX(Parameter!$I$5:$I$7,CF996)),0),0)</f>
        <v>0</v>
      </c>
      <c r="CR996" s="64" t="n">
        <f aca="false">IF(AND(Parameter!$B$21="Ja",ISNUMBER(W996),N(X996)&gt;0),IFERROR(N(INDEX(Parameter!$L$5:$L$7,W996))*INDEX(Parameter!$E$5:$E$7,W996)*X996/SUMIFS($X$7:$X$1843,$W$7:$W$1843,W996),0),0)</f>
        <v>0</v>
      </c>
      <c r="CS996" s="62" t="n">
        <f aca="false">IF(AND(OR(CG996="L1",CG996="L23",CG996="LIFT"),H996&gt;0),CC996*IF(CR996&gt;0,CR996*MAX(1,H996/X996),IF(CA996=1,CE996,IF(R996&gt;0,CN996/R996,0))/MAX(0.1,N(Parameter!$M$21))),"")</f>
        <v>2.98076923076923</v>
      </c>
      <c r="CT996" s="64" t="n">
        <f aca="false">IF(CS996="","",J996/H996)</f>
        <v>1.25</v>
      </c>
      <c r="CU996" s="62" t="n">
        <f aca="false">IF(CS996="","",H996*G996)</f>
        <v>168.68</v>
      </c>
      <c r="CV996" s="63" t="n">
        <f aca="false">IF(CS996="","",(CL996+ROUNDUP(CL996+MAX(CM996,2*(J996/MAX(0.1,N(Einkauf!$C$6))-CL996)),0))/2)</f>
        <v>2.5</v>
      </c>
      <c r="CW996" s="62" t="n">
        <f aca="false">IF(CS996="","",MAX(0,H996-CV996)*G996)</f>
        <v>63.255</v>
      </c>
      <c r="CX996" s="62" t="n">
        <f aca="false">IF(CS996="","",CS996*MAX(0,1-CV996/H996))</f>
        <v>1.11778846153846</v>
      </c>
      <c r="CY996" s="64" t="n">
        <f aca="false">IF(CS996="","",PERCENTRANK($CS$7:$CS$1843,CS996)+PERCENTRANK($CU$7:$CU$1843,CU996)+1-PERCENTRANK($CT$7:$CT$1843,CT996))</f>
        <v>0.799</v>
      </c>
      <c r="CZ996" s="72" t="n">
        <f aca="false">IF(CS996="","",CHOOSE(MATCH(Einkauf!$C$5,Parameter!$G$23:$G$27,0),CY996,CS996,CU996,-CT996,CW996)+ROW()/1000000000)</f>
        <v>0.799000996</v>
      </c>
    </row>
    <row r="997" customFormat="false" ht="15" hidden="false" customHeight="false" outlineLevel="0" collapsed="false">
      <c r="A997" s="60" t="s">
        <v>1882</v>
      </c>
      <c r="B997" s="60" t="s">
        <v>1883</v>
      </c>
      <c r="C997" s="60" t="s">
        <v>206</v>
      </c>
      <c r="D997" s="60" t="s">
        <v>226</v>
      </c>
      <c r="E997" s="60" t="s">
        <v>227</v>
      </c>
      <c r="F997" s="60" t="s">
        <v>260</v>
      </c>
      <c r="G997" s="61" t="n">
        <v>2.13</v>
      </c>
      <c r="H997" s="62" t="n">
        <f aca="false">MAX(0,IF(AND(Parameter!$B$21="Ja",ISNUMBER(Y997)),Y997,IF(Parameter!$B$20="Jahresanfang 2025 + Export",BS997+BR997,BR997)))</f>
        <v>72</v>
      </c>
      <c r="I997" s="62" t="n">
        <f aca="false">H997*G997</f>
        <v>153.36</v>
      </c>
      <c r="J997" s="62" t="n">
        <f aca="false">BU997*Parameter!$B$18</f>
        <v>325</v>
      </c>
      <c r="K997" s="63" t="n">
        <v>112</v>
      </c>
      <c r="L997" s="64" t="n">
        <v>2.90178571428571</v>
      </c>
      <c r="M997" s="62" t="n">
        <v>18</v>
      </c>
      <c r="N997" s="62" t="n">
        <v>100</v>
      </c>
      <c r="O997" s="65" t="n">
        <v>2</v>
      </c>
      <c r="P997" s="60" t="s">
        <v>463</v>
      </c>
      <c r="Q997" s="62" t="n">
        <v>120</v>
      </c>
      <c r="R997" s="65" t="n">
        <f aca="false">IF(CA997=1,0,IFERROR(VLOOKUP(BY997,'Gebinde-Kategorie'!$A$5:$N$45,13,0)+0,0))</f>
        <v>104</v>
      </c>
      <c r="S997" s="66"/>
      <c r="T997" s="67"/>
      <c r="U997" s="67"/>
      <c r="V997" s="67"/>
      <c r="W997" s="60"/>
      <c r="X997" s="62"/>
      <c r="Y997" s="62"/>
      <c r="Z997" s="60" t="n">
        <v>2</v>
      </c>
      <c r="AA997" s="60" t="n">
        <f aca="false">IF(A997="","",IF(AND(Parameter!$B$21="Ja",ISNUMBER(W997)),W997,IF(AND(Parameter!$E$27="Ja",ISNUMBER(Z997),CD997&lt;&gt;"Nein"),Z997,IF(CD997="2+3",IF(ISNUMBER(SEARCH("grosser Artikel",BV997)),2,IFERROR(VLOOKUP(BY997,Parameter!$F$35:$G$64,2,0),2)),IF(OR(CD997="Nein",CD997=""),"-",CD997)))))</f>
        <v>2</v>
      </c>
      <c r="AB997" s="67"/>
      <c r="AC997" s="68"/>
      <c r="AD997" s="62" t="n">
        <f aca="false">AW997</f>
        <v>199</v>
      </c>
      <c r="AE997" s="62" t="n">
        <f aca="false">MAX(AW997,H997)</f>
        <v>199</v>
      </c>
      <c r="AF997" s="69"/>
      <c r="AG997" s="62" t="n">
        <f aca="false">IF(LEFT(Cockpit!$C$5,1)="A",H997,IF(Parameter!$E$30="MAX-Bestand",IF(CI997=1,CJ997,IF(LEFT(Cockpit!$C$5,1)="B",AM997,MAX(AM997,H997))),ROUNDUP(AK997,0)))</f>
        <v>72</v>
      </c>
      <c r="AH997" s="62" t="n">
        <f aca="false">IF(CA997=1,0,ROUNDUP(AG997/BZ997,0))</f>
        <v>1</v>
      </c>
      <c r="AI997" s="64" t="n">
        <f aca="false">IF(CR997&gt;0,CR997*MAX(1,AG997/X997),IF(CA997=1,IF(AG997&lt;=0,0,CE997*MAX(1,IF(H997&gt;0,AG997/H997,1))),IF(R997&gt;0,AH997/R997,0))/MAX(0.1,N(Parameter!$M$21)))</f>
        <v>0.00961538461538462</v>
      </c>
      <c r="AJ997" s="62" t="n">
        <f aca="false">AI997*CC997</f>
        <v>1.49038461538462</v>
      </c>
      <c r="AK997" s="63" t="n">
        <f aca="false">IF(LEFT(Cockpit!$C$5,1)="A",H997,IF(CI997=1,(CL997+CJ997)/2,IF(LEFT(Cockpit!$C$5,1)="B",(CL997+AM997)/2,MAX((CL997+AM997)/2,H997))))</f>
        <v>72</v>
      </c>
      <c r="AL997" s="62" t="n">
        <f aca="false">AK997*G997</f>
        <v>153.36</v>
      </c>
      <c r="AM997" s="62" t="n">
        <f aca="false">ROUNDUP(CL997+MAX(CM997,2*(J997/IF(CH997&gt;0,CH997,MAX(0.1,N(Cockpit!$C$6)))-CL997)),0)</f>
        <v>199</v>
      </c>
      <c r="AN997" s="63" t="n">
        <f aca="false">IF(AJ997&gt;0,J997/AJ997,-1)</f>
        <v>218.064516129032</v>
      </c>
      <c r="AO997" s="63" t="n">
        <f aca="false">IF(AND(OR(CG997="L1",CG997="L23",CG997="LIFT"),AJ997&gt;0),SUMIFS($AJ$7:$AJ$1843,$CG$7:$CG$1843,CG997,$AN$7:$AN$1843,"&gt;"&amp;AN997)+SUMIFS($AJ$7:$AJ$1843,$CG$7:$CG$1843,CG997,$AN$7:$AN$1843,AN997,$BX$7:$BX$1843,"&lt;="&amp;BX997),"")</f>
        <v>316.157051282051</v>
      </c>
      <c r="AP997" s="70" t="n">
        <f aca="false">IF(AO997="",0,MAX(0,MIN(1,(IF(CG997="L1",Parameter!$H$5,IF(CG997="L23",Parameter!$H$6+Parameter!$H$7,Parameter!$H$5+Parameter!$H$6+Parameter!$H$7))-(AO997-AJ997))/AJ997)))</f>
        <v>1</v>
      </c>
      <c r="AQ997" s="62" t="n">
        <f aca="false">IF(LEFT(Cockpit!$I$5,1)="A",H997,IF(Parameter!$E$30="MAX-Bestand",IF(CI997=1,CJ997,IF(LEFT(Cockpit!$I$5,1)="B",AW997,MAX(AW997,H997))),ROUNDUP(AU997,0)))</f>
        <v>109</v>
      </c>
      <c r="AR997" s="62" t="n">
        <f aca="false">IF(CA997=1,0,ROUNDUP(AQ997/BZ997,0))</f>
        <v>1</v>
      </c>
      <c r="AS997" s="64" t="n">
        <f aca="false">IF(CR997&gt;0,CR997*MAX(1,AQ997/X997),IF(CA997=1,IF(AQ997&lt;=0,0,CE997*MAX(1,IF(H997&gt;0,AQ997/H997,1))),IF(R997&gt;0,AR997/R997,0))/MAX(0.1,N(Parameter!$M$21)))</f>
        <v>0.00961538461538462</v>
      </c>
      <c r="AT997" s="62" t="n">
        <f aca="false">AS997*CC997</f>
        <v>1.49038461538462</v>
      </c>
      <c r="AU997" s="63" t="n">
        <f aca="false">IF(LEFT(Cockpit!$I$5,1)="A",H997,IF(CI997=1,(CL997+CJ997)/2,IF(LEFT(Cockpit!$I$5,1)="B",(CL997+AW997)/2,MAX((CL997+AW997)/2,H997))))</f>
        <v>108.5</v>
      </c>
      <c r="AV997" s="62" t="n">
        <f aca="false">AU997*G997</f>
        <v>231.105</v>
      </c>
      <c r="AW997" s="62" t="n">
        <f aca="false">ROUNDUP(CL997+MAX(CM997,2*(J997/IF(CH997&gt;0,CH997,MAX(0.1,N(Cockpit!$I$6)))-CL997)),0)</f>
        <v>199</v>
      </c>
      <c r="AX997" s="63" t="n">
        <f aca="false">IF(AT997&gt;0,J997/AT997,-1)</f>
        <v>218.064516129032</v>
      </c>
      <c r="AY997" s="63" t="n">
        <f aca="false">IF(AND(OR(CG997="L1",CG997="L23",CG997="LIFT"),AT997&gt;0),SUMIFS($AT$7:$AT$1843,$CG$7:$CG$1843,CG997,$AX$7:$AX$1843,"&gt;"&amp;AX997)+SUMIFS($AT$7:$AT$1843,$CG$7:$CG$1843,CG997,$AX$7:$AX$1843,AX997,$BX$7:$BX$1843,"&lt;="&amp;BX997),"")</f>
        <v>346.999084249084</v>
      </c>
      <c r="AZ997" s="70" t="n">
        <f aca="false">IF(AY997="",0,MAX(0,MIN(1,(IF(CG997="L1",Parameter!$H$5,IF(CG997="L23",Parameter!$H$6+Parameter!$H$7,Parameter!$H$5+Parameter!$H$6+Parameter!$H$7))-(AY997-AT997))/AT997)))</f>
        <v>1</v>
      </c>
      <c r="BA997" s="62" t="n">
        <f aca="false">IF(LEFT(Cockpit!$O$5,1)="A",H997,IF(Parameter!$E$30="MAX-Bestand",IF(CI997=1,CJ997,IF(LEFT(Cockpit!$O$5,1)="B",BG997,MAX(BG997,H997))),ROUNDUP(BE997,0)))</f>
        <v>82</v>
      </c>
      <c r="BB997" s="62" t="n">
        <f aca="false">IF(CA997=1,0,ROUNDUP(BA997/BZ997,0))</f>
        <v>1</v>
      </c>
      <c r="BC997" s="64" t="n">
        <f aca="false">IF(CR997&gt;0,CR997*MAX(1,BA997/X997),IF(CA997=1,IF(BA997&lt;=0,0,CE997*MAX(1,IF(H997&gt;0,BA997/H997,1))),IF(R997&gt;0,BB997/R997,0))/MAX(0.1,N(Parameter!$M$21)))</f>
        <v>0.00961538461538462</v>
      </c>
      <c r="BD997" s="62" t="n">
        <f aca="false">BC997*CC997</f>
        <v>1.49038461538462</v>
      </c>
      <c r="BE997" s="63" t="n">
        <f aca="false">IF(LEFT(Cockpit!$O$5,1)="A",H997,IF(CI997=1,(CL997+CJ997)/2,IF(LEFT(Cockpit!$O$5,1)="B",(CL997+BG997)/2,MAX((CL997+BG997)/2,H997))))</f>
        <v>81.5</v>
      </c>
      <c r="BF997" s="62" t="n">
        <f aca="false">BE997*G997</f>
        <v>173.595</v>
      </c>
      <c r="BG997" s="62" t="n">
        <f aca="false">ROUNDUP(CL997+MAX(CM997,2*(J997/IF(CH997&gt;0,CH997,MAX(0.1,N(Cockpit!$O$6)))-CL997)),0)</f>
        <v>145</v>
      </c>
      <c r="BH997" s="63" t="n">
        <f aca="false">IF(BD997&gt;0,J997/BD997,-1)</f>
        <v>218.064516129032</v>
      </c>
      <c r="BI997" s="63" t="n">
        <f aca="false">IF(AND(OR(CG997="L1",CG997="L23",CG997="LIFT"),BD997&gt;0),SUMIFS($BD$7:$BD$1843,$CG$7:$CG$1843,CG997,$BH$7:$BH$1843,"&gt;"&amp;BH997)+SUMIFS($BD$7:$BD$1843,$CG$7:$CG$1843,CG997,$BH$7:$BH$1843,BH997,$BX$7:$BX$1843,"&lt;="&amp;BX997),"")</f>
        <v>404.565934065934</v>
      </c>
      <c r="BJ997" s="70" t="n">
        <f aca="false">IF(BI997="",0,MAX(0,MIN(1,(IF(CG997="L1",Parameter!$H$5,IF(CG997="L23",Parameter!$H$6+Parameter!$H$7,Parameter!$H$5+Parameter!$H$6+Parameter!$H$7))-(BI997-BD997))/BD997)))</f>
        <v>1</v>
      </c>
      <c r="BK997" s="60" t="str">
        <f aca="false">IF(AJ997&lt;=0,"",IF(CG997="Aussen","Aussenlager",IF(CG997="-","Nicht im Lift",IF(AP997&gt;=1,"Lift",IF(AP997&lt;=0,"Aussenlager","teilweise")))))</f>
        <v>Lift</v>
      </c>
      <c r="BL997" s="60" t="str">
        <f aca="false">IF(AT997&lt;=0,"",IF(CG997="Aussen","Aussenlager",IF(CG997="-","Nicht im Lift",IF(AZ997&gt;=1,"Lift",IF(AZ997&lt;=0,"Aussenlager","teilweise")))))</f>
        <v>Lift</v>
      </c>
      <c r="BM997" s="60" t="str">
        <f aca="false">IF(BD997&lt;=0,"",IF(CG997="Aussen","Aussenlager",IF(CG997="-","Nicht im Lift",IF(BJ997&gt;=1,"Lift",IF(BJ997&lt;=0,"Aussenlager","teilweise")))))</f>
        <v>Lift</v>
      </c>
      <c r="BN997" s="60" t="str">
        <f aca="false">IF(A997="","",IF(BW997=1,"Neu; ","")&amp;IF(AND(BW997=0,BR997&lt;0),"negativer Bestand (Export "&amp;BR997&amp;"); ","")&amp;IF(J997&lt;=0,"Kein Verbrauch; ","")&amp;IF(CR997&gt;0,"Lift "&amp;W997&amp;" lt. Liftbericht (Fach "&amp;X997&amp;" Stk); ",IF(CB997=1,"Gebinde geschätzt ("&amp;T997&amp;"); ",IF(CA997=1,"Lose – Tablare geschätzt; ","")))&amp;IF(H997&gt;AW997,"Überbestand "&amp;ROUND(H997-AW997,0)&amp;" Stk / CHF "&amp;ROUND((H997-AW997)*G997,0)&amp;"; ","")&amp;IF(AND(CI997=1,CJ997&lt;CK997),"MAX &lt; MB+LG; ","")&amp;IF(AND(CQ997&gt;0,CP997*10&gt;CQ997),"zu hoch für Tablar; ","")&amp;IF(AND(BW997=0,OR(CI997=1,AB997&lt;&gt;"",U997&lt;&gt;"",V997&lt;&gt;"",AC997&lt;&gt;"")),"manuell übersteuert; ","")&amp;IF(AND(CA997=0,R997=0),"Gebinde unbekannt / Stellmass fehlt; ","")&amp;IF(AND(CA997=0,N(V997)&lt;=0,N(Q997)&lt;=0),"Menge pro Gebinde fehlt (Ist = 1 Gebinde); ","")&amp;BV997)</f>
        <v>negativer Bestand (Export -44); </v>
      </c>
      <c r="BO997" s="60"/>
      <c r="BP997" s="60"/>
      <c r="BQ997" s="67"/>
      <c r="BR997" s="62" t="n">
        <v>-44</v>
      </c>
      <c r="BS997" s="62" t="n">
        <v>116</v>
      </c>
      <c r="BT997" s="61" t="n">
        <v>-93.7199999999999</v>
      </c>
      <c r="BU997" s="62" t="n">
        <v>325</v>
      </c>
      <c r="BV997" s="60"/>
      <c r="BW997" s="65" t="n">
        <v>0</v>
      </c>
      <c r="BX997" s="65" t="n">
        <v>997</v>
      </c>
      <c r="BY997" s="60" t="str">
        <f aca="false">IF(U997&lt;&gt;"",UPPER(TRIM(U997)),IF(CB997=1,UPPER(VLOOKUP(T997,Parameter!$I$27:$K$29,2,0)),IF(P997="","LOSE",P997)))</f>
        <v>S32</v>
      </c>
      <c r="BZ997" s="62" t="n">
        <f aca="false">IF(BY997="LOSE",1,IF(N(V997)&gt;0,V997,IF(CB997=1,MAX(1,N(VLOOKUP(T997,Parameter!$I$27:$K$29,3,0)),H997,N(N997)),IF(N(Q997)&gt;0,Q997,MAX(1,H997)))))</f>
        <v>120</v>
      </c>
      <c r="CA997" s="65" t="n">
        <f aca="false">IF(BY997="LOSE",1,0)</f>
        <v>0</v>
      </c>
      <c r="CB997" s="65" t="n">
        <f aca="false">IF(AND(U997="",OR(P997="",P997="LOSE"),T997&lt;&gt;"",N(S997)&lt;=0,ISNUMBER(MATCH(T997,Parameter!$I$27:$I$29,0))),1,0)</f>
        <v>0</v>
      </c>
      <c r="CC997" s="65" t="n">
        <f aca="false">IF(CR997&gt;0,INDEX(Parameter!$H$5:$H$7,W997)/INDEX(Parameter!$E$5:$E$7,W997),IF(AND(CA997=0,N(IFERROR(VLOOKUP(BY997,'Gebinde-Kategorie'!$A$5:$N$45,14,0),0))&gt;0),VLOOKUP(BY997,'Gebinde-Kategorie'!$A$5:$N$45,14,0)*10+Parameter!$M$23,Parameter!$M$24))</f>
        <v>155</v>
      </c>
      <c r="CD997" s="60" t="str">
        <f aca="false">IF(AND(Parameter!$B$19="Ja",E997&lt;&gt;"",ISNUMBER(MATCH(E997,Parameter!$I$35:$I$52,0))),VLOOKUP(E997,Parameter!$I$35:$J$52,2,0),IFERROR(VLOOKUP(D997,Parameter!$A$35:$C$64,2,0),"Nein"))</f>
        <v>2+3</v>
      </c>
      <c r="CE997" s="64" t="n">
        <f aca="false">IF(CA997=0,0,IF(N(S997)&gt;0,S997,IFERROR(VLOOKUP(D997,Parameter!$A$35:$C$64,3,0)+0,0)))</f>
        <v>0</v>
      </c>
      <c r="CF997" s="60" t="n">
        <f aca="false">IF(AB997&lt;&gt;"",AB997,AA997)</f>
        <v>2</v>
      </c>
      <c r="CG997" s="60" t="str">
        <f aca="false">IF(OR(CF997=1,CF997=2,CF997=3),IF(Parameter!$E$27="Ja","LIFT",IF(CF997=1,"L1","L23")),IF(CF997="Aussen","Aussen","-"))</f>
        <v>LIFT</v>
      </c>
      <c r="CH997" s="71" t="n">
        <f aca="false">IF(N(AC997)&gt;0,AC997,0)</f>
        <v>0</v>
      </c>
      <c r="CI997" s="65" t="n">
        <f aca="false">IF(ISNUMBER(AF997),1,0)</f>
        <v>0</v>
      </c>
      <c r="CJ997" s="62" t="n">
        <f aca="false">N(AF997)</f>
        <v>0</v>
      </c>
      <c r="CK997" s="62" t="n">
        <f aca="false">N(M997)+N(N997)</f>
        <v>118</v>
      </c>
      <c r="CL997" s="62" t="n">
        <f aca="false">N(M997)</f>
        <v>18</v>
      </c>
      <c r="CM997" s="62" t="n">
        <f aca="false">N(N997)</f>
        <v>100</v>
      </c>
      <c r="CN997" s="62" t="n">
        <f aca="false">ROUNDUP(H997/BZ997,0)</f>
        <v>1</v>
      </c>
      <c r="CO997" s="62" t="n">
        <f aca="false">ROUNDUP(CJ997/BZ997,0)</f>
        <v>0</v>
      </c>
      <c r="CP997" s="65" t="n">
        <f aca="false">IF(CA997=1,0,IFERROR(VLOOKUP(BY997,'Gebinde-Kategorie'!$A$5:$N$45,5,0)+0,0))</f>
        <v>8</v>
      </c>
      <c r="CQ997" s="65" t="n">
        <f aca="false">IFERROR(IF(OR(CF997=1,CF997=2,CF997=3),N(INDEX(Parameter!$I$5:$I$7,CF997)),0),0)</f>
        <v>0</v>
      </c>
      <c r="CR997" s="64" t="n">
        <f aca="false">IF(AND(Parameter!$B$21="Ja",ISNUMBER(W997),N(X997)&gt;0),IFERROR(N(INDEX(Parameter!$L$5:$L$7,W997))*INDEX(Parameter!$E$5:$E$7,W997)*X997/SUMIFS($X$7:$X$1843,$W$7:$W$1843,W997),0),0)</f>
        <v>0</v>
      </c>
      <c r="CS997" s="62" t="n">
        <f aca="false">IF(AND(OR(CG997="L1",CG997="L23",CG997="LIFT"),H997&gt;0),CC997*IF(CR997&gt;0,CR997*MAX(1,H997/X997),IF(CA997=1,CE997,IF(R997&gt;0,CN997/R997,0))/MAX(0.1,N(Parameter!$M$21))),"")</f>
        <v>1.49038461538462</v>
      </c>
      <c r="CT997" s="64" t="n">
        <f aca="false">IF(CS997="","",J997/H997)</f>
        <v>4.51388888888889</v>
      </c>
      <c r="CU997" s="62" t="n">
        <f aca="false">IF(CS997="","",H997*G997)</f>
        <v>153.36</v>
      </c>
      <c r="CV997" s="63" t="n">
        <f aca="false">IF(CS997="","",(CL997+ROUNDUP(CL997+MAX(CM997,2*(J997/MAX(0.1,N(Einkauf!$C$6))-CL997)),0))/2)</f>
        <v>81.5</v>
      </c>
      <c r="CW997" s="62" t="n">
        <f aca="false">IF(CS997="","",MAX(0,H997-CV997)*G997)</f>
        <v>0</v>
      </c>
      <c r="CX997" s="62" t="n">
        <f aca="false">IF(CS997="","",CS997*MAX(0,1-CV997/H997))</f>
        <v>0</v>
      </c>
      <c r="CY997" s="64" t="n">
        <f aca="false">IF(CS997="","",PERCENTRANK($CS$7:$CS$1843,CS997)+PERCENTRANK($CU$7:$CU$1843,CU997)+1-PERCENTRANK($CT$7:$CT$1843,CT997))</f>
        <v>0.466</v>
      </c>
      <c r="CZ997" s="72" t="n">
        <f aca="false">IF(CS997="","",CHOOSE(MATCH(Einkauf!$C$5,Parameter!$G$23:$G$27,0),CY997,CS997,CU997,-CT997,CW997)+ROW()/1000000000)</f>
        <v>0.466000997</v>
      </c>
    </row>
    <row r="998" customFormat="false" ht="15" hidden="false" customHeight="false" outlineLevel="0" collapsed="false">
      <c r="A998" s="60" t="s">
        <v>1884</v>
      </c>
      <c r="B998" s="60" t="s">
        <v>877</v>
      </c>
      <c r="C998" s="60" t="s">
        <v>206</v>
      </c>
      <c r="D998" s="60" t="s">
        <v>226</v>
      </c>
      <c r="E998" s="60" t="s">
        <v>227</v>
      </c>
      <c r="F998" s="60" t="s">
        <v>260</v>
      </c>
      <c r="G998" s="61" t="n">
        <v>8.57</v>
      </c>
      <c r="H998" s="62" t="n">
        <f aca="false">MAX(0,IF(AND(Parameter!$B$21="Ja",ISNUMBER(Y998)),Y998,IF(Parameter!$B$20="Jahresanfang 2025 + Export",BS998+BR998,BR998)))</f>
        <v>22</v>
      </c>
      <c r="I998" s="62" t="n">
        <f aca="false">H998*G998</f>
        <v>188.54</v>
      </c>
      <c r="J998" s="62" t="n">
        <f aca="false">BU998*Parameter!$B$18</f>
        <v>0</v>
      </c>
      <c r="K998" s="63" t="n">
        <v>27</v>
      </c>
      <c r="L998" s="64" t="n">
        <v>0</v>
      </c>
      <c r="M998" s="62" t="n">
        <v>0</v>
      </c>
      <c r="N998" s="62" t="n">
        <v>10</v>
      </c>
      <c r="O998" s="65" t="n">
        <v>28</v>
      </c>
      <c r="P998" s="60" t="s">
        <v>275</v>
      </c>
      <c r="Q998" s="62" t="n">
        <v>18</v>
      </c>
      <c r="R998" s="65" t="n">
        <f aca="false">IF(CA998=1,0,IFERROR(VLOOKUP(BY998,'Gebinde-Kategorie'!$A$5:$N$45,13,0)+0,0))</f>
        <v>26</v>
      </c>
      <c r="S998" s="66"/>
      <c r="T998" s="67"/>
      <c r="U998" s="67"/>
      <c r="V998" s="67"/>
      <c r="W998" s="60"/>
      <c r="X998" s="62"/>
      <c r="Y998" s="62"/>
      <c r="Z998" s="60" t="n">
        <v>3</v>
      </c>
      <c r="AA998" s="60" t="n">
        <f aca="false">IF(A998="","",IF(AND(Parameter!$B$21="Ja",ISNUMBER(W998)),W998,IF(AND(Parameter!$E$27="Ja",ISNUMBER(Z998),CD998&lt;&gt;"Nein"),Z998,IF(CD998="2+3",IF(ISNUMBER(SEARCH("grosser Artikel",BV998)),2,IFERROR(VLOOKUP(BY998,Parameter!$F$35:$G$64,2,0),2)),IF(OR(CD998="Nein",CD998=""),"-",CD998)))))</f>
        <v>3</v>
      </c>
      <c r="AB998" s="67"/>
      <c r="AC998" s="68"/>
      <c r="AD998" s="62" t="n">
        <f aca="false">AW998</f>
        <v>10</v>
      </c>
      <c r="AE998" s="62" t="n">
        <f aca="false">MAX(AW998,H998)</f>
        <v>22</v>
      </c>
      <c r="AF998" s="69"/>
      <c r="AG998" s="62" t="n">
        <f aca="false">IF(LEFT(Cockpit!$C$5,1)="A",H998,IF(Parameter!$E$30="MAX-Bestand",IF(CI998=1,CJ998,IF(LEFT(Cockpit!$C$5,1)="B",AM998,MAX(AM998,H998))),ROUNDUP(AK998,0)))</f>
        <v>22</v>
      </c>
      <c r="AH998" s="62" t="n">
        <f aca="false">IF(CA998=1,0,ROUNDUP(AG998/BZ998,0))</f>
        <v>2</v>
      </c>
      <c r="AI998" s="64" t="n">
        <f aca="false">IF(CR998&gt;0,CR998*MAX(1,AG998/X998),IF(CA998=1,IF(AG998&lt;=0,0,CE998*MAX(1,IF(H998&gt;0,AG998/H998,1))),IF(R998&gt;0,AH998/R998,0))/MAX(0.1,N(Parameter!$M$21)))</f>
        <v>0.0769230769230769</v>
      </c>
      <c r="AJ998" s="62" t="n">
        <f aca="false">AI998*CC998</f>
        <v>18.8461538461538</v>
      </c>
      <c r="AK998" s="63" t="n">
        <f aca="false">IF(LEFT(Cockpit!$C$5,1)="A",H998,IF(CI998=1,(CL998+CJ998)/2,IF(LEFT(Cockpit!$C$5,1)="B",(CL998+AM998)/2,MAX((CL998+AM998)/2,H998))))</f>
        <v>22</v>
      </c>
      <c r="AL998" s="62" t="n">
        <f aca="false">AK998*G998</f>
        <v>188.54</v>
      </c>
      <c r="AM998" s="62" t="n">
        <f aca="false">ROUNDUP(CL998+MAX(CM998,2*(J998/IF(CH998&gt;0,CH998,MAX(0.1,N(Cockpit!$C$6)))-CL998)),0)</f>
        <v>10</v>
      </c>
      <c r="AN998" s="63" t="n">
        <f aca="false">IF(AJ998&gt;0,J998/AJ998,-1)</f>
        <v>0</v>
      </c>
      <c r="AO998" s="63" t="n">
        <f aca="false">IF(AND(OR(CG998="L1",CG998="L23",CG998="LIFT"),AJ998&gt;0),SUMIFS($AJ$7:$AJ$1843,$CG$7:$CG$1843,CG998,$AN$7:$AN$1843,"&gt;"&amp;AN998)+SUMIFS($AJ$7:$AJ$1843,$CG$7:$CG$1843,CG998,$AN$7:$AN$1843,AN998,$BX$7:$BX$1843,"&lt;="&amp;BX998),"")</f>
        <v>28941.0313036775</v>
      </c>
      <c r="AP998" s="70" t="n">
        <f aca="false">IF(AO998="",0,MAX(0,MIN(1,(IF(CG998="L1",Parameter!$H$5,IF(CG998="L23",Parameter!$H$6+Parameter!$H$7,Parameter!$H$5+Parameter!$H$6+Parameter!$H$7))-(AO998-AJ998))/AJ998)))</f>
        <v>1</v>
      </c>
      <c r="AQ998" s="62" t="n">
        <f aca="false">IF(LEFT(Cockpit!$I$5,1)="A",H998,IF(Parameter!$E$30="MAX-Bestand",IF(CI998=1,CJ998,IF(LEFT(Cockpit!$I$5,1)="B",AW998,MAX(AW998,H998))),ROUNDUP(AU998,0)))</f>
        <v>22</v>
      </c>
      <c r="AR998" s="62" t="n">
        <f aca="false">IF(CA998=1,0,ROUNDUP(AQ998/BZ998,0))</f>
        <v>2</v>
      </c>
      <c r="AS998" s="64" t="n">
        <f aca="false">IF(CR998&gt;0,CR998*MAX(1,AQ998/X998),IF(CA998=1,IF(AQ998&lt;=0,0,CE998*MAX(1,IF(H998&gt;0,AQ998/H998,1))),IF(R998&gt;0,AR998/R998,0))/MAX(0.1,N(Parameter!$M$21)))</f>
        <v>0.0769230769230769</v>
      </c>
      <c r="AT998" s="62" t="n">
        <f aca="false">AS998*CC998</f>
        <v>18.8461538461538</v>
      </c>
      <c r="AU998" s="63" t="n">
        <f aca="false">IF(LEFT(Cockpit!$I$5,1)="A",H998,IF(CI998=1,(CL998+CJ998)/2,IF(LEFT(Cockpit!$I$5,1)="B",(CL998+AW998)/2,MAX((CL998+AW998)/2,H998))))</f>
        <v>22</v>
      </c>
      <c r="AV998" s="62" t="n">
        <f aca="false">AU998*G998</f>
        <v>188.54</v>
      </c>
      <c r="AW998" s="62" t="n">
        <f aca="false">ROUNDUP(CL998+MAX(CM998,2*(J998/IF(CH998&gt;0,CH998,MAX(0.1,N(Cockpit!$I$6)))-CL998)),0)</f>
        <v>10</v>
      </c>
      <c r="AX998" s="63" t="n">
        <f aca="false">IF(AT998&gt;0,J998/AT998,-1)</f>
        <v>0</v>
      </c>
      <c r="AY998" s="63" t="n">
        <f aca="false">IF(AND(OR(CG998="L1",CG998="L23",CG998="LIFT"),AT998&gt;0),SUMIFS($AT$7:$AT$1843,$CG$7:$CG$1843,CG998,$AX$7:$AX$1843,"&gt;"&amp;AX998)+SUMIFS($AT$7:$AT$1843,$CG$7:$CG$1843,CG998,$AX$7:$AX$1843,AX998,$BX$7:$BX$1843,"&lt;="&amp;BX998),"")</f>
        <v>34629.8296703297</v>
      </c>
      <c r="AZ998" s="70" t="n">
        <f aca="false">IF(AY998="",0,MAX(0,MIN(1,(IF(CG998="L1",Parameter!$H$5,IF(CG998="L23",Parameter!$H$6+Parameter!$H$7,Parameter!$H$5+Parameter!$H$6+Parameter!$H$7))-(AY998-AT998))/AT998)))</f>
        <v>1</v>
      </c>
      <c r="BA998" s="62" t="n">
        <f aca="false">IF(LEFT(Cockpit!$O$5,1)="A",H998,IF(Parameter!$E$30="MAX-Bestand",IF(CI998=1,CJ998,IF(LEFT(Cockpit!$O$5,1)="B",BG998,MAX(BG998,H998))),ROUNDUP(BE998,0)))</f>
        <v>5</v>
      </c>
      <c r="BB998" s="62" t="n">
        <f aca="false">IF(CA998=1,0,ROUNDUP(BA998/BZ998,0))</f>
        <v>1</v>
      </c>
      <c r="BC998" s="64" t="n">
        <f aca="false">IF(CR998&gt;0,CR998*MAX(1,BA998/X998),IF(CA998=1,IF(BA998&lt;=0,0,CE998*MAX(1,IF(H998&gt;0,BA998/H998,1))),IF(R998&gt;0,BB998/R998,0))/MAX(0.1,N(Parameter!$M$21)))</f>
        <v>0.0384615384615385</v>
      </c>
      <c r="BD998" s="62" t="n">
        <f aca="false">BC998*CC998</f>
        <v>9.42307692307692</v>
      </c>
      <c r="BE998" s="63" t="n">
        <f aca="false">IF(LEFT(Cockpit!$O$5,1)="A",H998,IF(CI998=1,(CL998+CJ998)/2,IF(LEFT(Cockpit!$O$5,1)="B",(CL998+BG998)/2,MAX((CL998+BG998)/2,H998))))</f>
        <v>5</v>
      </c>
      <c r="BF998" s="62" t="n">
        <f aca="false">BE998*G998</f>
        <v>42.85</v>
      </c>
      <c r="BG998" s="62" t="n">
        <f aca="false">ROUNDUP(CL998+MAX(CM998,2*(J998/IF(CH998&gt;0,CH998,MAX(0.1,N(Cockpit!$O$6)))-CL998)),0)</f>
        <v>10</v>
      </c>
      <c r="BH998" s="63" t="n">
        <f aca="false">IF(BD998&gt;0,J998/BD998,-1)</f>
        <v>0</v>
      </c>
      <c r="BI998" s="63" t="n">
        <f aca="false">IF(AND(OR(CG998="L1",CG998="L23",CG998="LIFT"),BD998&gt;0),SUMIFS($BD$7:$BD$1843,$CG$7:$CG$1843,CG998,$BH$7:$BH$1843,"&gt;"&amp;BH998)+SUMIFS($BD$7:$BD$1843,$CG$7:$CG$1843,CG998,$BH$7:$BH$1843,BH998,$BX$7:$BX$1843,"&lt;="&amp;BX998),"")</f>
        <v>28644.9440227851</v>
      </c>
      <c r="BJ998" s="70" t="n">
        <f aca="false">IF(BI998="",0,MAX(0,MIN(1,(IF(CG998="L1",Parameter!$H$5,IF(CG998="L23",Parameter!$H$6+Parameter!$H$7,Parameter!$H$5+Parameter!$H$6+Parameter!$H$7))-(BI998-BD998))/BD998)))</f>
        <v>1</v>
      </c>
      <c r="BK998" s="60" t="str">
        <f aca="false">IF(AJ998&lt;=0,"",IF(CG998="Aussen","Aussenlager",IF(CG998="-","Nicht im Lift",IF(AP998&gt;=1,"Lift",IF(AP998&lt;=0,"Aussenlager","teilweise")))))</f>
        <v>Lift</v>
      </c>
      <c r="BL998" s="60" t="str">
        <f aca="false">IF(AT998&lt;=0,"",IF(CG998="Aussen","Aussenlager",IF(CG998="-","Nicht im Lift",IF(AZ998&gt;=1,"Lift",IF(AZ998&lt;=0,"Aussenlager","teilweise")))))</f>
        <v>Lift</v>
      </c>
      <c r="BM998" s="60" t="str">
        <f aca="false">IF(BD998&lt;=0,"",IF(CG998="Aussen","Aussenlager",IF(CG998="-","Nicht im Lift",IF(BJ998&gt;=1,"Lift",IF(BJ998&lt;=0,"Aussenlager","teilweise")))))</f>
        <v>Lift</v>
      </c>
      <c r="BN998" s="60" t="str">
        <f aca="false">IF(A998="","",IF(BW998=1,"Neu; ","")&amp;IF(AND(BW998=0,BR998&lt;0),"negativer Bestand (Export "&amp;BR998&amp;"); ","")&amp;IF(J998&lt;=0,"Kein Verbrauch; ","")&amp;IF(CR998&gt;0,"Lift "&amp;W998&amp;" lt. Liftbericht (Fach "&amp;X998&amp;" Stk); ",IF(CB998=1,"Gebinde geschätzt ("&amp;T998&amp;"); ",IF(CA998=1,"Lose – Tablare geschätzt; ","")))&amp;IF(H998&gt;AW998,"Überbestand "&amp;ROUND(H998-AW998,0)&amp;" Stk / CHF "&amp;ROUND((H998-AW998)*G998,0)&amp;"; ","")&amp;IF(AND(CI998=1,CJ998&lt;CK998),"MAX &lt; MB+LG; ","")&amp;IF(AND(CQ998&gt;0,CP998*10&gt;CQ998),"zu hoch für Tablar; ","")&amp;IF(AND(BW998=0,OR(CI998=1,AB998&lt;&gt;"",U998&lt;&gt;"",V998&lt;&gt;"",AC998&lt;&gt;"")),"manuell übersteuert; ","")&amp;IF(AND(CA998=0,R998=0),"Gebinde unbekannt / Stellmass fehlt; ","")&amp;IF(AND(CA998=0,N(V998)&lt;=0,N(Q998)&lt;=0),"Menge pro Gebinde fehlt (Ist = 1 Gebinde); ","")&amp;BV998)</f>
        <v>negativer Bestand (Export -11); Kein Verbrauch; Überbestand 12 Stk / CHF 103; </v>
      </c>
      <c r="BO998" s="60"/>
      <c r="BP998" s="60"/>
      <c r="BQ998" s="67"/>
      <c r="BR998" s="62" t="n">
        <v>-11</v>
      </c>
      <c r="BS998" s="62" t="n">
        <v>33</v>
      </c>
      <c r="BT998" s="61" t="n">
        <v>-94.27</v>
      </c>
      <c r="BU998" s="62" t="n">
        <v>0</v>
      </c>
      <c r="BV998" s="60"/>
      <c r="BW998" s="65" t="n">
        <v>0</v>
      </c>
      <c r="BX998" s="65" t="n">
        <v>998</v>
      </c>
      <c r="BY998" s="60" t="str">
        <f aca="false">IF(U998&lt;&gt;"",UPPER(TRIM(U998)),IF(CB998=1,UPPER(VLOOKUP(T998,Parameter!$I$27:$K$29,2,0)),IF(P998="","LOSE",P998)))</f>
        <v>S52</v>
      </c>
      <c r="BZ998" s="62" t="n">
        <f aca="false">IF(BY998="LOSE",1,IF(N(V998)&gt;0,V998,IF(CB998=1,MAX(1,N(VLOOKUP(T998,Parameter!$I$27:$K$29,3,0)),H998,N(N998)),IF(N(Q998)&gt;0,Q998,MAX(1,H998)))))</f>
        <v>18</v>
      </c>
      <c r="CA998" s="65" t="n">
        <f aca="false">IF(BY998="LOSE",1,0)</f>
        <v>0</v>
      </c>
      <c r="CB998" s="65" t="n">
        <f aca="false">IF(AND(U998="",OR(P998="",P998="LOSE"),T998&lt;&gt;"",N(S998)&lt;=0,ISNUMBER(MATCH(T998,Parameter!$I$27:$I$29,0))),1,0)</f>
        <v>0</v>
      </c>
      <c r="CC998" s="65" t="n">
        <f aca="false">IF(CR998&gt;0,INDEX(Parameter!$H$5:$H$7,W998)/INDEX(Parameter!$E$5:$E$7,W998),IF(AND(CA998=0,N(IFERROR(VLOOKUP(BY998,'Gebinde-Kategorie'!$A$5:$N$45,14,0),0))&gt;0),VLOOKUP(BY998,'Gebinde-Kategorie'!$A$5:$N$45,14,0)*10+Parameter!$M$23,Parameter!$M$24))</f>
        <v>245</v>
      </c>
      <c r="CD998" s="60" t="str">
        <f aca="false">IF(AND(Parameter!$B$19="Ja",E998&lt;&gt;"",ISNUMBER(MATCH(E998,Parameter!$I$35:$I$52,0))),VLOOKUP(E998,Parameter!$I$35:$J$52,2,0),IFERROR(VLOOKUP(D998,Parameter!$A$35:$C$64,2,0),"Nein"))</f>
        <v>2+3</v>
      </c>
      <c r="CE998" s="64" t="n">
        <f aca="false">IF(CA998=0,0,IF(N(S998)&gt;0,S998,IFERROR(VLOOKUP(D998,Parameter!$A$35:$C$64,3,0)+0,0)))</f>
        <v>0</v>
      </c>
      <c r="CF998" s="60" t="n">
        <f aca="false">IF(AB998&lt;&gt;"",AB998,AA998)</f>
        <v>3</v>
      </c>
      <c r="CG998" s="60" t="str">
        <f aca="false">IF(OR(CF998=1,CF998=2,CF998=3),IF(Parameter!$E$27="Ja","LIFT",IF(CF998=1,"L1","L23")),IF(CF998="Aussen","Aussen","-"))</f>
        <v>LIFT</v>
      </c>
      <c r="CH998" s="71" t="n">
        <f aca="false">IF(N(AC998)&gt;0,AC998,0)</f>
        <v>0</v>
      </c>
      <c r="CI998" s="65" t="n">
        <f aca="false">IF(ISNUMBER(AF998),1,0)</f>
        <v>0</v>
      </c>
      <c r="CJ998" s="62" t="n">
        <f aca="false">N(AF998)</f>
        <v>0</v>
      </c>
      <c r="CK998" s="62" t="n">
        <f aca="false">N(M998)+N(N998)</f>
        <v>10</v>
      </c>
      <c r="CL998" s="62" t="n">
        <f aca="false">N(M998)</f>
        <v>0</v>
      </c>
      <c r="CM998" s="62" t="n">
        <f aca="false">N(N998)</f>
        <v>10</v>
      </c>
      <c r="CN998" s="62" t="n">
        <f aca="false">ROUNDUP(H998/BZ998,0)</f>
        <v>2</v>
      </c>
      <c r="CO998" s="62" t="n">
        <f aca="false">ROUNDUP(CJ998/BZ998,0)</f>
        <v>0</v>
      </c>
      <c r="CP998" s="65" t="n">
        <f aca="false">IF(CA998=1,0,IFERROR(VLOOKUP(BY998,'Gebinde-Kategorie'!$A$5:$N$45,5,0)+0,0))</f>
        <v>21</v>
      </c>
      <c r="CQ998" s="65" t="n">
        <f aca="false">IFERROR(IF(OR(CF998=1,CF998=2,CF998=3),N(INDEX(Parameter!$I$5:$I$7,CF998)),0),0)</f>
        <v>0</v>
      </c>
      <c r="CR998" s="64" t="n">
        <f aca="false">IF(AND(Parameter!$B$21="Ja",ISNUMBER(W998),N(X998)&gt;0),IFERROR(N(INDEX(Parameter!$L$5:$L$7,W998))*INDEX(Parameter!$E$5:$E$7,W998)*X998/SUMIFS($X$7:$X$1843,$W$7:$W$1843,W998),0),0)</f>
        <v>0</v>
      </c>
      <c r="CS998" s="62" t="n">
        <f aca="false">IF(AND(OR(CG998="L1",CG998="L23",CG998="LIFT"),H998&gt;0),CC998*IF(CR998&gt;0,CR998*MAX(1,H998/X998),IF(CA998=1,CE998,IF(R998&gt;0,CN998/R998,0))/MAX(0.1,N(Parameter!$M$21))),"")</f>
        <v>18.8461538461538</v>
      </c>
      <c r="CT998" s="64" t="n">
        <f aca="false">IF(CS998="","",J998/H998)</f>
        <v>0</v>
      </c>
      <c r="CU998" s="62" t="n">
        <f aca="false">IF(CS998="","",H998*G998)</f>
        <v>188.54</v>
      </c>
      <c r="CV998" s="63" t="n">
        <f aca="false">IF(CS998="","",(CL998+ROUNDUP(CL998+MAX(CM998,2*(J998/MAX(0.1,N(Einkauf!$C$6))-CL998)),0))/2)</f>
        <v>5</v>
      </c>
      <c r="CW998" s="62" t="n">
        <f aca="false">IF(CS998="","",MAX(0,H998-CV998)*G998)</f>
        <v>145.69</v>
      </c>
      <c r="CX998" s="62" t="n">
        <f aca="false">IF(CS998="","",CS998*MAX(0,1-CV998/H998))</f>
        <v>14.5629370629371</v>
      </c>
      <c r="CY998" s="64" t="n">
        <f aca="false">IF(CS998="","",PERCENTRANK($CS$7:$CS$1843,CS998)+PERCENTRANK($CU$7:$CU$1843,CU998)+1-PERCENTRANK($CT$7:$CT$1843,CT998))</f>
        <v>2.097</v>
      </c>
      <c r="CZ998" s="72" t="n">
        <f aca="false">IF(CS998="","",CHOOSE(MATCH(Einkauf!$C$5,Parameter!$G$23:$G$27,0),CY998,CS998,CU998,-CT998,CW998)+ROW()/1000000000)</f>
        <v>2.097000998</v>
      </c>
    </row>
    <row r="999" customFormat="false" ht="15" hidden="false" customHeight="false" outlineLevel="0" collapsed="false">
      <c r="A999" s="60" t="s">
        <v>1885</v>
      </c>
      <c r="B999" s="60" t="s">
        <v>510</v>
      </c>
      <c r="C999" s="60" t="s">
        <v>206</v>
      </c>
      <c r="D999" s="60" t="s">
        <v>226</v>
      </c>
      <c r="E999" s="60" t="s">
        <v>227</v>
      </c>
      <c r="F999" s="60" t="s">
        <v>260</v>
      </c>
      <c r="G999" s="61" t="n">
        <v>0.44</v>
      </c>
      <c r="H999" s="62" t="n">
        <f aca="false">MAX(0,IF(AND(Parameter!$B$21="Ja",ISNUMBER(Y999)),Y999,IF(Parameter!$B$20="Jahresanfang 2025 + Export",BS999+BR999,BR999)))</f>
        <v>137</v>
      </c>
      <c r="I999" s="62" t="n">
        <f aca="false">H999*G999</f>
        <v>60.28</v>
      </c>
      <c r="J999" s="62" t="n">
        <f aca="false">BU999*Parameter!$B$18</f>
        <v>235</v>
      </c>
      <c r="K999" s="63" t="n">
        <v>343.5</v>
      </c>
      <c r="L999" s="64" t="n">
        <v>0.684133915574964</v>
      </c>
      <c r="M999" s="62" t="n">
        <v>9</v>
      </c>
      <c r="N999" s="62" t="n">
        <v>235</v>
      </c>
      <c r="O999" s="65" t="n">
        <v>14</v>
      </c>
      <c r="P999" s="60" t="s">
        <v>370</v>
      </c>
      <c r="Q999" s="62" t="n">
        <v>224</v>
      </c>
      <c r="R999" s="65" t="n">
        <f aca="false">IF(CA999=1,0,IFERROR(VLOOKUP(BY999,'Gebinde-Kategorie'!$A$5:$N$45,13,0)+0,0))</f>
        <v>52</v>
      </c>
      <c r="S999" s="66"/>
      <c r="T999" s="67"/>
      <c r="U999" s="67"/>
      <c r="V999" s="67"/>
      <c r="W999" s="60"/>
      <c r="X999" s="62"/>
      <c r="Y999" s="62"/>
      <c r="Z999" s="60" t="n">
        <v>1</v>
      </c>
      <c r="AA999" s="60" t="n">
        <f aca="false">IF(A999="","",IF(AND(Parameter!$B$21="Ja",ISNUMBER(W999)),W999,IF(AND(Parameter!$E$27="Ja",ISNUMBER(Z999),CD999&lt;&gt;"Nein"),Z999,IF(CD999="2+3",IF(ISNUMBER(SEARCH("grosser Artikel",BV999)),2,IFERROR(VLOOKUP(BY999,Parameter!$F$35:$G$64,2,0),2)),IF(OR(CD999="Nein",CD999=""),"-",CD999)))))</f>
        <v>1</v>
      </c>
      <c r="AB999" s="67"/>
      <c r="AC999" s="68"/>
      <c r="AD999" s="62" t="n">
        <f aca="false">AW999</f>
        <v>244</v>
      </c>
      <c r="AE999" s="62" t="n">
        <f aca="false">MAX(AW999,H999)</f>
        <v>244</v>
      </c>
      <c r="AF999" s="69"/>
      <c r="AG999" s="62" t="n">
        <f aca="false">IF(LEFT(Cockpit!$C$5,1)="A",H999,IF(Parameter!$E$30="MAX-Bestand",IF(CI999=1,CJ999,IF(LEFT(Cockpit!$C$5,1)="B",AM999,MAX(AM999,H999))),ROUNDUP(AK999,0)))</f>
        <v>137</v>
      </c>
      <c r="AH999" s="62" t="n">
        <f aca="false">IF(CA999=1,0,ROUNDUP(AG999/BZ999,0))</f>
        <v>1</v>
      </c>
      <c r="AI999" s="64" t="n">
        <f aca="false">IF(CR999&gt;0,CR999*MAX(1,AG999/X999),IF(CA999=1,IF(AG999&lt;=0,0,CE999*MAX(1,IF(H999&gt;0,AG999/H999,1))),IF(R999&gt;0,AH999/R999,0))/MAX(0.1,N(Parameter!$M$21)))</f>
        <v>0.0192307692307692</v>
      </c>
      <c r="AJ999" s="62" t="n">
        <f aca="false">AI999*CC999</f>
        <v>2.98076923076923</v>
      </c>
      <c r="AK999" s="63" t="n">
        <f aca="false">IF(LEFT(Cockpit!$C$5,1)="A",H999,IF(CI999=1,(CL999+CJ999)/2,IF(LEFT(Cockpit!$C$5,1)="B",(CL999+AM999)/2,MAX((CL999+AM999)/2,H999))))</f>
        <v>137</v>
      </c>
      <c r="AL999" s="62" t="n">
        <f aca="false">AK999*G999</f>
        <v>60.28</v>
      </c>
      <c r="AM999" s="62" t="n">
        <f aca="false">ROUNDUP(CL999+MAX(CM999,2*(J999/IF(CH999&gt;0,CH999,MAX(0.1,N(Cockpit!$C$6)))-CL999)),0)</f>
        <v>244</v>
      </c>
      <c r="AN999" s="63" t="n">
        <f aca="false">IF(AJ999&gt;0,J999/AJ999,-1)</f>
        <v>78.8387096774194</v>
      </c>
      <c r="AO999" s="63" t="n">
        <f aca="false">IF(AND(OR(CG999="L1",CG999="L23",CG999="LIFT"),AJ999&gt;0),SUMIFS($AJ$7:$AJ$1843,$CG$7:$CG$1843,CG999,$AN$7:$AN$1843,"&gt;"&amp;AN999)+SUMIFS($AJ$7:$AJ$1843,$CG$7:$CG$1843,CG999,$AN$7:$AN$1843,AN999,$BX$7:$BX$1843,"&lt;="&amp;BX999),"")</f>
        <v>864.428571428571</v>
      </c>
      <c r="AP999" s="70" t="n">
        <f aca="false">IF(AO999="",0,MAX(0,MIN(1,(IF(CG999="L1",Parameter!$H$5,IF(CG999="L23",Parameter!$H$6+Parameter!$H$7,Parameter!$H$5+Parameter!$H$6+Parameter!$H$7))-(AO999-AJ999))/AJ999)))</f>
        <v>1</v>
      </c>
      <c r="AQ999" s="62" t="n">
        <f aca="false">IF(LEFT(Cockpit!$I$5,1)="A",H999,IF(Parameter!$E$30="MAX-Bestand",IF(CI999=1,CJ999,IF(LEFT(Cockpit!$I$5,1)="B",AW999,MAX(AW999,H999))),ROUNDUP(AU999,0)))</f>
        <v>137</v>
      </c>
      <c r="AR999" s="62" t="n">
        <f aca="false">IF(CA999=1,0,ROUNDUP(AQ999/BZ999,0))</f>
        <v>1</v>
      </c>
      <c r="AS999" s="64" t="n">
        <f aca="false">IF(CR999&gt;0,CR999*MAX(1,AQ999/X999),IF(CA999=1,IF(AQ999&lt;=0,0,CE999*MAX(1,IF(H999&gt;0,AQ999/H999,1))),IF(R999&gt;0,AR999/R999,0))/MAX(0.1,N(Parameter!$M$21)))</f>
        <v>0.0192307692307692</v>
      </c>
      <c r="AT999" s="62" t="n">
        <f aca="false">AS999*CC999</f>
        <v>2.98076923076923</v>
      </c>
      <c r="AU999" s="63" t="n">
        <f aca="false">IF(LEFT(Cockpit!$I$5,1)="A",H999,IF(CI999=1,(CL999+CJ999)/2,IF(LEFT(Cockpit!$I$5,1)="B",(CL999+AW999)/2,MAX((CL999+AW999)/2,H999))))</f>
        <v>137</v>
      </c>
      <c r="AV999" s="62" t="n">
        <f aca="false">AU999*G999</f>
        <v>60.28</v>
      </c>
      <c r="AW999" s="62" t="n">
        <f aca="false">ROUNDUP(CL999+MAX(CM999,2*(J999/IF(CH999&gt;0,CH999,MAX(0.1,N(Cockpit!$I$6)))-CL999)),0)</f>
        <v>244</v>
      </c>
      <c r="AX999" s="63" t="n">
        <f aca="false">IF(AT999&gt;0,J999/AT999,-1)</f>
        <v>78.8387096774194</v>
      </c>
      <c r="AY999" s="63" t="n">
        <f aca="false">IF(AND(OR(CG999="L1",CG999="L23",CG999="LIFT"),AT999&gt;0),SUMIFS($AT$7:$AT$1843,$CG$7:$CG$1843,CG999,$AX$7:$AX$1843,"&gt;"&amp;AX999)+SUMIFS($AT$7:$AT$1843,$CG$7:$CG$1843,CG999,$AX$7:$AX$1843,AX999,$BX$7:$BX$1843,"&lt;="&amp;BX999),"")</f>
        <v>1077.34065934066</v>
      </c>
      <c r="AZ999" s="70" t="n">
        <f aca="false">IF(AY999="",0,MAX(0,MIN(1,(IF(CG999="L1",Parameter!$H$5,IF(CG999="L23",Parameter!$H$6+Parameter!$H$7,Parameter!$H$5+Parameter!$H$6+Parameter!$H$7))-(AY999-AT999))/AT999)))</f>
        <v>1</v>
      </c>
      <c r="BA999" s="62" t="n">
        <f aca="false">IF(LEFT(Cockpit!$O$5,1)="A",H999,IF(Parameter!$E$30="MAX-Bestand",IF(CI999=1,CJ999,IF(LEFT(Cockpit!$O$5,1)="B",BG999,MAX(BG999,H999))),ROUNDUP(BE999,0)))</f>
        <v>127</v>
      </c>
      <c r="BB999" s="62" t="n">
        <f aca="false">IF(CA999=1,0,ROUNDUP(BA999/BZ999,0))</f>
        <v>1</v>
      </c>
      <c r="BC999" s="64" t="n">
        <f aca="false">IF(CR999&gt;0,CR999*MAX(1,BA999/X999),IF(CA999=1,IF(BA999&lt;=0,0,CE999*MAX(1,IF(H999&gt;0,BA999/H999,1))),IF(R999&gt;0,BB999/R999,0))/MAX(0.1,N(Parameter!$M$21)))</f>
        <v>0.0192307692307692</v>
      </c>
      <c r="BD999" s="62" t="n">
        <f aca="false">BC999*CC999</f>
        <v>2.98076923076923</v>
      </c>
      <c r="BE999" s="63" t="n">
        <f aca="false">IF(LEFT(Cockpit!$O$5,1)="A",H999,IF(CI999=1,(CL999+CJ999)/2,IF(LEFT(Cockpit!$O$5,1)="B",(CL999+BG999)/2,MAX((CL999+BG999)/2,H999))))</f>
        <v>126.5</v>
      </c>
      <c r="BF999" s="62" t="n">
        <f aca="false">BE999*G999</f>
        <v>55.66</v>
      </c>
      <c r="BG999" s="62" t="n">
        <f aca="false">ROUNDUP(CL999+MAX(CM999,2*(J999/IF(CH999&gt;0,CH999,MAX(0.1,N(Cockpit!$O$6)))-CL999)),0)</f>
        <v>244</v>
      </c>
      <c r="BH999" s="63" t="n">
        <f aca="false">IF(BD999&gt;0,J999/BD999,-1)</f>
        <v>78.8387096774194</v>
      </c>
      <c r="BI999" s="63" t="n">
        <f aca="false">IF(AND(OR(CG999="L1",CG999="L23",CG999="LIFT"),BD999&gt;0),SUMIFS($BD$7:$BD$1843,$CG$7:$CG$1843,CG999,$BH$7:$BH$1843,"&gt;"&amp;BH999)+SUMIFS($BD$7:$BD$1843,$CG$7:$CG$1843,CG999,$BH$7:$BH$1843,BH999,$BX$7:$BX$1843,"&lt;="&amp;BX999),"")</f>
        <v>992.498168498169</v>
      </c>
      <c r="BJ999" s="70" t="n">
        <f aca="false">IF(BI999="",0,MAX(0,MIN(1,(IF(CG999="L1",Parameter!$H$5,IF(CG999="L23",Parameter!$H$6+Parameter!$H$7,Parameter!$H$5+Parameter!$H$6+Parameter!$H$7))-(BI999-BD999))/BD999)))</f>
        <v>1</v>
      </c>
      <c r="BK999" s="60" t="str">
        <f aca="false">IF(AJ999&lt;=0,"",IF(CG999="Aussen","Aussenlager",IF(CG999="-","Nicht im Lift",IF(AP999&gt;=1,"Lift",IF(AP999&lt;=0,"Aussenlager","teilweise")))))</f>
        <v>Lift</v>
      </c>
      <c r="BL999" s="60" t="str">
        <f aca="false">IF(AT999&lt;=0,"",IF(CG999="Aussen","Aussenlager",IF(CG999="-","Nicht im Lift",IF(AZ999&gt;=1,"Lift",IF(AZ999&lt;=0,"Aussenlager","teilweise")))))</f>
        <v>Lift</v>
      </c>
      <c r="BM999" s="60" t="str">
        <f aca="false">IF(BD999&lt;=0,"",IF(CG999="Aussen","Aussenlager",IF(CG999="-","Nicht im Lift",IF(BJ999&gt;=1,"Lift",IF(BJ999&lt;=0,"Aussenlager","teilweise")))))</f>
        <v>Lift</v>
      </c>
      <c r="BN999" s="60" t="str">
        <f aca="false">IF(A999="","",IF(BW999=1,"Neu; ","")&amp;IF(AND(BW999=0,BR999&lt;0),"negativer Bestand (Export "&amp;BR999&amp;"); ","")&amp;IF(J999&lt;=0,"Kein Verbrauch; ","")&amp;IF(CR999&gt;0,"Lift "&amp;W999&amp;" lt. Liftbericht (Fach "&amp;X999&amp;" Stk); ",IF(CB999=1,"Gebinde geschätzt ("&amp;T999&amp;"); ",IF(CA999=1,"Lose – Tablare geschätzt; ","")))&amp;IF(H999&gt;AW999,"Überbestand "&amp;ROUND(H999-AW999,0)&amp;" Stk / CHF "&amp;ROUND((H999-AW999)*G999,0)&amp;"; ","")&amp;IF(AND(CI999=1,CJ999&lt;CK999),"MAX &lt; MB+LG; ","")&amp;IF(AND(CQ999&gt;0,CP999*10&gt;CQ999),"zu hoch für Tablar; ","")&amp;IF(AND(BW999=0,OR(CI999=1,AB999&lt;&gt;"",U999&lt;&gt;"",V999&lt;&gt;"",AC999&lt;&gt;"")),"manuell übersteuert; ","")&amp;IF(AND(CA999=0,R999=0),"Gebinde unbekannt / Stellmass fehlt; ","")&amp;IF(AND(CA999=0,N(V999)&lt;=0,N(Q999)&lt;=0),"Menge pro Gebinde fehlt (Ist = 1 Gebinde); ","")&amp;BV999)</f>
        <v>negativer Bestand (Export -224); </v>
      </c>
      <c r="BO999" s="60"/>
      <c r="BP999" s="60"/>
      <c r="BQ999" s="67"/>
      <c r="BR999" s="62" t="n">
        <v>-224</v>
      </c>
      <c r="BS999" s="62" t="n">
        <v>361</v>
      </c>
      <c r="BT999" s="61" t="n">
        <v>-95.0999999999999</v>
      </c>
      <c r="BU999" s="62" t="n">
        <v>235</v>
      </c>
      <c r="BV999" s="60"/>
      <c r="BW999" s="65" t="n">
        <v>0</v>
      </c>
      <c r="BX999" s="65" t="n">
        <v>999</v>
      </c>
      <c r="BY999" s="60" t="str">
        <f aca="false">IF(U999&lt;&gt;"",UPPER(TRIM(U999)),IF(CB999=1,UPPER(VLOOKUP(T999,Parameter!$I$27:$K$29,2,0)),IF(P999="","LOSE",P999)))</f>
        <v>S41</v>
      </c>
      <c r="BZ999" s="62" t="n">
        <f aca="false">IF(BY999="LOSE",1,IF(N(V999)&gt;0,V999,IF(CB999=1,MAX(1,N(VLOOKUP(T999,Parameter!$I$27:$K$29,3,0)),H999,N(N999)),IF(N(Q999)&gt;0,Q999,MAX(1,H999)))))</f>
        <v>224</v>
      </c>
      <c r="CA999" s="65" t="n">
        <f aca="false">IF(BY999="LOSE",1,0)</f>
        <v>0</v>
      </c>
      <c r="CB999" s="65" t="n">
        <f aca="false">IF(AND(U999="",OR(P999="",P999="LOSE"),T999&lt;&gt;"",N(S999)&lt;=0,ISNUMBER(MATCH(T999,Parameter!$I$27:$I$29,0))),1,0)</f>
        <v>0</v>
      </c>
      <c r="CC999" s="65" t="n">
        <f aca="false">IF(CR999&gt;0,INDEX(Parameter!$H$5:$H$7,W999)/INDEX(Parameter!$E$5:$E$7,W999),IF(AND(CA999=0,N(IFERROR(VLOOKUP(BY999,'Gebinde-Kategorie'!$A$5:$N$45,14,0),0))&gt;0),VLOOKUP(BY999,'Gebinde-Kategorie'!$A$5:$N$45,14,0)*10+Parameter!$M$23,Parameter!$M$24))</f>
        <v>155</v>
      </c>
      <c r="CD999" s="60" t="str">
        <f aca="false">IF(AND(Parameter!$B$19="Ja",E999&lt;&gt;"",ISNUMBER(MATCH(E999,Parameter!$I$35:$I$52,0))),VLOOKUP(E999,Parameter!$I$35:$J$52,2,0),IFERROR(VLOOKUP(D999,Parameter!$A$35:$C$64,2,0),"Nein"))</f>
        <v>2+3</v>
      </c>
      <c r="CE999" s="64" t="n">
        <f aca="false">IF(CA999=0,0,IF(N(S999)&gt;0,S999,IFERROR(VLOOKUP(D999,Parameter!$A$35:$C$64,3,0)+0,0)))</f>
        <v>0</v>
      </c>
      <c r="CF999" s="60" t="n">
        <f aca="false">IF(AB999&lt;&gt;"",AB999,AA999)</f>
        <v>1</v>
      </c>
      <c r="CG999" s="60" t="str">
        <f aca="false">IF(OR(CF999=1,CF999=2,CF999=3),IF(Parameter!$E$27="Ja","LIFT",IF(CF999=1,"L1","L23")),IF(CF999="Aussen","Aussen","-"))</f>
        <v>LIFT</v>
      </c>
      <c r="CH999" s="71" t="n">
        <f aca="false">IF(N(AC999)&gt;0,AC999,0)</f>
        <v>0</v>
      </c>
      <c r="CI999" s="65" t="n">
        <f aca="false">IF(ISNUMBER(AF999),1,0)</f>
        <v>0</v>
      </c>
      <c r="CJ999" s="62" t="n">
        <f aca="false">N(AF999)</f>
        <v>0</v>
      </c>
      <c r="CK999" s="62" t="n">
        <f aca="false">N(M999)+N(N999)</f>
        <v>244</v>
      </c>
      <c r="CL999" s="62" t="n">
        <f aca="false">N(M999)</f>
        <v>9</v>
      </c>
      <c r="CM999" s="62" t="n">
        <f aca="false">N(N999)</f>
        <v>235</v>
      </c>
      <c r="CN999" s="62" t="n">
        <f aca="false">ROUNDUP(H999/BZ999,0)</f>
        <v>1</v>
      </c>
      <c r="CO999" s="62" t="n">
        <f aca="false">ROUNDUP(CJ999/BZ999,0)</f>
        <v>0</v>
      </c>
      <c r="CP999" s="65" t="n">
        <f aca="false">IF(CA999=1,0,IFERROR(VLOOKUP(BY999,'Gebinde-Kategorie'!$A$5:$N$45,5,0)+0,0))</f>
        <v>11</v>
      </c>
      <c r="CQ999" s="65" t="n">
        <f aca="false">IFERROR(IF(OR(CF999=1,CF999=2,CF999=3),N(INDEX(Parameter!$I$5:$I$7,CF999)),0),0)</f>
        <v>0</v>
      </c>
      <c r="CR999" s="64" t="n">
        <f aca="false">IF(AND(Parameter!$B$21="Ja",ISNUMBER(W999),N(X999)&gt;0),IFERROR(N(INDEX(Parameter!$L$5:$L$7,W999))*INDEX(Parameter!$E$5:$E$7,W999)*X999/SUMIFS($X$7:$X$1843,$W$7:$W$1843,W999),0),0)</f>
        <v>0</v>
      </c>
      <c r="CS999" s="62" t="n">
        <f aca="false">IF(AND(OR(CG999="L1",CG999="L23",CG999="LIFT"),H999&gt;0),CC999*IF(CR999&gt;0,CR999*MAX(1,H999/X999),IF(CA999=1,CE999,IF(R999&gt;0,CN999/R999,0))/MAX(0.1,N(Parameter!$M$21))),"")</f>
        <v>2.98076923076923</v>
      </c>
      <c r="CT999" s="64" t="n">
        <f aca="false">IF(CS999="","",J999/H999)</f>
        <v>1.71532846715328</v>
      </c>
      <c r="CU999" s="62" t="n">
        <f aca="false">IF(CS999="","",H999*G999)</f>
        <v>60.28</v>
      </c>
      <c r="CV999" s="63" t="n">
        <f aca="false">IF(CS999="","",(CL999+ROUNDUP(CL999+MAX(CM999,2*(J999/MAX(0.1,N(Einkauf!$C$6))-CL999)),0))/2)</f>
        <v>126.5</v>
      </c>
      <c r="CW999" s="62" t="n">
        <f aca="false">IF(CS999="","",MAX(0,H999-CV999)*G999)</f>
        <v>4.62</v>
      </c>
      <c r="CX999" s="62" t="n">
        <f aca="false">IF(CS999="","",CS999*MAX(0,1-CV999/H999))</f>
        <v>0.228453116226839</v>
      </c>
      <c r="CY999" s="64" t="n">
        <f aca="false">IF(CS999="","",PERCENTRANK($CS$7:$CS$1843,CS999)+PERCENTRANK($CU$7:$CU$1843,CU999)+1-PERCENTRANK($CT$7:$CT$1843,CT999))</f>
        <v>0.59</v>
      </c>
      <c r="CZ999" s="72" t="n">
        <f aca="false">IF(CS999="","",CHOOSE(MATCH(Einkauf!$C$5,Parameter!$G$23:$G$27,0),CY999,CS999,CU999,-CT999,CW999)+ROW()/1000000000)</f>
        <v>0.590000999</v>
      </c>
    </row>
    <row r="1000" customFormat="false" ht="15" hidden="false" customHeight="false" outlineLevel="0" collapsed="false">
      <c r="A1000" s="60" t="s">
        <v>1886</v>
      </c>
      <c r="B1000" s="60" t="s">
        <v>1887</v>
      </c>
      <c r="C1000" s="60" t="s">
        <v>206</v>
      </c>
      <c r="D1000" s="60" t="s">
        <v>226</v>
      </c>
      <c r="E1000" s="60"/>
      <c r="F1000" s="60" t="s">
        <v>260</v>
      </c>
      <c r="G1000" s="61" t="n">
        <v>28.43</v>
      </c>
      <c r="H1000" s="62" t="n">
        <f aca="false">MAX(0,IF(AND(Parameter!$B$21="Ja",ISNUMBER(Y1000)),Y1000,IF(Parameter!$B$20="Jahresanfang 2025 + Export",BS1000+BR1000,BR1000)))</f>
        <v>5</v>
      </c>
      <c r="I1000" s="62" t="n">
        <f aca="false">H1000*G1000</f>
        <v>142.15</v>
      </c>
      <c r="J1000" s="62" t="n">
        <f aca="false">BU1000*Parameter!$B$18</f>
        <v>5</v>
      </c>
      <c r="K1000" s="63" t="n">
        <v>11.5</v>
      </c>
      <c r="L1000" s="64" t="n">
        <v>0.434782608695652</v>
      </c>
      <c r="M1000" s="62" t="n">
        <v>0</v>
      </c>
      <c r="N1000" s="62" t="n">
        <v>5</v>
      </c>
      <c r="O1000" s="65" t="n">
        <v>21</v>
      </c>
      <c r="P1000" s="60" t="s">
        <v>370</v>
      </c>
      <c r="Q1000" s="62" t="n">
        <v>5</v>
      </c>
      <c r="R1000" s="65" t="n">
        <f aca="false">IF(CA1000=1,0,IFERROR(VLOOKUP(BY1000,'Gebinde-Kategorie'!$A$5:$N$45,13,0)+0,0))</f>
        <v>52</v>
      </c>
      <c r="S1000" s="66"/>
      <c r="T1000" s="67"/>
      <c r="U1000" s="67"/>
      <c r="V1000" s="67"/>
      <c r="W1000" s="60"/>
      <c r="X1000" s="62"/>
      <c r="Y1000" s="62"/>
      <c r="Z1000" s="60" t="n">
        <v>1</v>
      </c>
      <c r="AA1000" s="60" t="n">
        <f aca="false">IF(A1000="","",IF(AND(Parameter!$B$21="Ja",ISNUMBER(W1000)),W1000,IF(AND(Parameter!$E$27="Ja",ISNUMBER(Z1000),CD1000&lt;&gt;"Nein"),Z1000,IF(CD1000="2+3",IF(ISNUMBER(SEARCH("grosser Artikel",BV1000)),2,IFERROR(VLOOKUP(BY1000,Parameter!$F$35:$G$64,2,0),2)),IF(OR(CD1000="Nein",CD1000=""),"-",CD1000)))))</f>
        <v>1</v>
      </c>
      <c r="AB1000" s="67"/>
      <c r="AC1000" s="68"/>
      <c r="AD1000" s="62" t="n">
        <f aca="false">AW1000</f>
        <v>5</v>
      </c>
      <c r="AE1000" s="62" t="n">
        <f aca="false">MAX(AW1000,H1000)</f>
        <v>5</v>
      </c>
      <c r="AF1000" s="69"/>
      <c r="AG1000" s="62" t="n">
        <f aca="false">IF(LEFT(Cockpit!$C$5,1)="A",H1000,IF(Parameter!$E$30="MAX-Bestand",IF(CI1000=1,CJ1000,IF(LEFT(Cockpit!$C$5,1)="B",AM1000,MAX(AM1000,H1000))),ROUNDUP(AK1000,0)))</f>
        <v>5</v>
      </c>
      <c r="AH1000" s="62" t="n">
        <f aca="false">IF(CA1000=1,0,ROUNDUP(AG1000/BZ1000,0))</f>
        <v>1</v>
      </c>
      <c r="AI1000" s="64" t="n">
        <f aca="false">IF(CR1000&gt;0,CR1000*MAX(1,AG1000/X1000),IF(CA1000=1,IF(AG1000&lt;=0,0,CE1000*MAX(1,IF(H1000&gt;0,AG1000/H1000,1))),IF(R1000&gt;0,AH1000/R1000,0))/MAX(0.1,N(Parameter!$M$21)))</f>
        <v>0.0192307692307692</v>
      </c>
      <c r="AJ1000" s="62" t="n">
        <f aca="false">AI1000*CC1000</f>
        <v>2.98076923076923</v>
      </c>
      <c r="AK1000" s="63" t="n">
        <f aca="false">IF(LEFT(Cockpit!$C$5,1)="A",H1000,IF(CI1000=1,(CL1000+CJ1000)/2,IF(LEFT(Cockpit!$C$5,1)="B",(CL1000+AM1000)/2,MAX((CL1000+AM1000)/2,H1000))))</f>
        <v>5</v>
      </c>
      <c r="AL1000" s="62" t="n">
        <f aca="false">AK1000*G1000</f>
        <v>142.15</v>
      </c>
      <c r="AM1000" s="62" t="n">
        <f aca="false">ROUNDUP(CL1000+MAX(CM1000,2*(J1000/IF(CH1000&gt;0,CH1000,MAX(0.1,N(Cockpit!$C$6)))-CL1000)),0)</f>
        <v>5</v>
      </c>
      <c r="AN1000" s="63" t="n">
        <f aca="false">IF(AJ1000&gt;0,J1000/AJ1000,-1)</f>
        <v>1.67741935483871</v>
      </c>
      <c r="AO1000" s="63" t="n">
        <f aca="false">IF(AND(OR(CG1000="L1",CG1000="L23",CG1000="LIFT"),AJ1000&gt;0),SUMIFS($AJ$7:$AJ$1843,$CG$7:$CG$1843,CG1000,$AN$7:$AN$1843,"&gt;"&amp;AN1000)+SUMIFS($AJ$7:$AJ$1843,$CG$7:$CG$1843,CG1000,$AN$7:$AN$1843,AN1000,$BX$7:$BX$1843,"&lt;="&amp;BX1000),"")</f>
        <v>6063.7760989011</v>
      </c>
      <c r="AP1000" s="70" t="n">
        <f aca="false">IF(AO1000="",0,MAX(0,MIN(1,(IF(CG1000="L1",Parameter!$H$5,IF(CG1000="L23",Parameter!$H$6+Parameter!$H$7,Parameter!$H$5+Parameter!$H$6+Parameter!$H$7))-(AO1000-AJ1000))/AJ1000)))</f>
        <v>1</v>
      </c>
      <c r="AQ1000" s="62" t="n">
        <f aca="false">IF(LEFT(Cockpit!$I$5,1)="A",H1000,IF(Parameter!$E$30="MAX-Bestand",IF(CI1000=1,CJ1000,IF(LEFT(Cockpit!$I$5,1)="B",AW1000,MAX(AW1000,H1000))),ROUNDUP(AU1000,0)))</f>
        <v>5</v>
      </c>
      <c r="AR1000" s="62" t="n">
        <f aca="false">IF(CA1000=1,0,ROUNDUP(AQ1000/BZ1000,0))</f>
        <v>1</v>
      </c>
      <c r="AS1000" s="64" t="n">
        <f aca="false">IF(CR1000&gt;0,CR1000*MAX(1,AQ1000/X1000),IF(CA1000=1,IF(AQ1000&lt;=0,0,CE1000*MAX(1,IF(H1000&gt;0,AQ1000/H1000,1))),IF(R1000&gt;0,AR1000/R1000,0))/MAX(0.1,N(Parameter!$M$21)))</f>
        <v>0.0192307692307692</v>
      </c>
      <c r="AT1000" s="62" t="n">
        <f aca="false">AS1000*CC1000</f>
        <v>2.98076923076923</v>
      </c>
      <c r="AU1000" s="63" t="n">
        <f aca="false">IF(LEFT(Cockpit!$I$5,1)="A",H1000,IF(CI1000=1,(CL1000+CJ1000)/2,IF(LEFT(Cockpit!$I$5,1)="B",(CL1000+AW1000)/2,MAX((CL1000+AW1000)/2,H1000))))</f>
        <v>5</v>
      </c>
      <c r="AV1000" s="62" t="n">
        <f aca="false">AU1000*G1000</f>
        <v>142.15</v>
      </c>
      <c r="AW1000" s="62" t="n">
        <f aca="false">ROUNDUP(CL1000+MAX(CM1000,2*(J1000/IF(CH1000&gt;0,CH1000,MAX(0.1,N(Cockpit!$I$6)))-CL1000)),0)</f>
        <v>5</v>
      </c>
      <c r="AX1000" s="63" t="n">
        <f aca="false">IF(AT1000&gt;0,J1000/AT1000,-1)</f>
        <v>1.67741935483871</v>
      </c>
      <c r="AY1000" s="63" t="n">
        <f aca="false">IF(AND(OR(CG1000="L1",CG1000="L23",CG1000="LIFT"),AT1000&gt;0),SUMIFS($AT$7:$AT$1843,$CG$7:$CG$1843,CG1000,$AX$7:$AX$1843,"&gt;"&amp;AX1000)+SUMIFS($AT$7:$AT$1843,$CG$7:$CG$1843,CG1000,$AX$7:$AX$1843,AX1000,$BX$7:$BX$1843,"&lt;="&amp;BX1000),"")</f>
        <v>7491.74175824176</v>
      </c>
      <c r="AZ1000" s="70" t="n">
        <f aca="false">IF(AY1000="",0,MAX(0,MIN(1,(IF(CG1000="L1",Parameter!$H$5,IF(CG1000="L23",Parameter!$H$6+Parameter!$H$7,Parameter!$H$5+Parameter!$H$6+Parameter!$H$7))-(AY1000-AT1000))/AT1000)))</f>
        <v>1</v>
      </c>
      <c r="BA1000" s="62" t="n">
        <f aca="false">IF(LEFT(Cockpit!$O$5,1)="A",H1000,IF(Parameter!$E$30="MAX-Bestand",IF(CI1000=1,CJ1000,IF(LEFT(Cockpit!$O$5,1)="B",BG1000,MAX(BG1000,H1000))),ROUNDUP(BE1000,0)))</f>
        <v>3</v>
      </c>
      <c r="BB1000" s="62" t="n">
        <f aca="false">IF(CA1000=1,0,ROUNDUP(BA1000/BZ1000,0))</f>
        <v>1</v>
      </c>
      <c r="BC1000" s="64" t="n">
        <f aca="false">IF(CR1000&gt;0,CR1000*MAX(1,BA1000/X1000),IF(CA1000=1,IF(BA1000&lt;=0,0,CE1000*MAX(1,IF(H1000&gt;0,BA1000/H1000,1))),IF(R1000&gt;0,BB1000/R1000,0))/MAX(0.1,N(Parameter!$M$21)))</f>
        <v>0.0192307692307692</v>
      </c>
      <c r="BD1000" s="62" t="n">
        <f aca="false">BC1000*CC1000</f>
        <v>2.98076923076923</v>
      </c>
      <c r="BE1000" s="63" t="n">
        <f aca="false">IF(LEFT(Cockpit!$O$5,1)="A",H1000,IF(CI1000=1,(CL1000+CJ1000)/2,IF(LEFT(Cockpit!$O$5,1)="B",(CL1000+BG1000)/2,MAX((CL1000+BG1000)/2,H1000))))</f>
        <v>2.5</v>
      </c>
      <c r="BF1000" s="62" t="n">
        <f aca="false">BE1000*G1000</f>
        <v>71.075</v>
      </c>
      <c r="BG1000" s="62" t="n">
        <f aca="false">ROUNDUP(CL1000+MAX(CM1000,2*(J1000/IF(CH1000&gt;0,CH1000,MAX(0.1,N(Cockpit!$O$6)))-CL1000)),0)</f>
        <v>5</v>
      </c>
      <c r="BH1000" s="63" t="n">
        <f aca="false">IF(BD1000&gt;0,J1000/BD1000,-1)</f>
        <v>1.67741935483871</v>
      </c>
      <c r="BI1000" s="63" t="n">
        <f aca="false">IF(AND(OR(CG1000="L1",CG1000="L23",CG1000="LIFT"),BD1000&gt;0),SUMIFS($BD$7:$BD$1843,$CG$7:$CG$1843,CG1000,$BH$7:$BH$1843,"&gt;"&amp;BH1000)+SUMIFS($BD$7:$BD$1843,$CG$7:$CG$1843,CG1000,$BH$7:$BH$1843,BH1000,$BX$7:$BX$1843,"&lt;="&amp;BX1000),"")</f>
        <v>6306.58562271062</v>
      </c>
      <c r="BJ1000" s="70" t="n">
        <f aca="false">IF(BI1000="",0,MAX(0,MIN(1,(IF(CG1000="L1",Parameter!$H$5,IF(CG1000="L23",Parameter!$H$6+Parameter!$H$7,Parameter!$H$5+Parameter!$H$6+Parameter!$H$7))-(BI1000-BD1000))/BD1000)))</f>
        <v>1</v>
      </c>
      <c r="BK1000" s="60" t="str">
        <f aca="false">IF(AJ1000&lt;=0,"",IF(CG1000="Aussen","Aussenlager",IF(CG1000="-","Nicht im Lift",IF(AP1000&gt;=1,"Lift",IF(AP1000&lt;=0,"Aussenlager","teilweise")))))</f>
        <v>Lift</v>
      </c>
      <c r="BL1000" s="60" t="str">
        <f aca="false">IF(AT1000&lt;=0,"",IF(CG1000="Aussen","Aussenlager",IF(CG1000="-","Nicht im Lift",IF(AZ1000&gt;=1,"Lift",IF(AZ1000&lt;=0,"Aussenlager","teilweise")))))</f>
        <v>Lift</v>
      </c>
      <c r="BM1000" s="60" t="str">
        <f aca="false">IF(BD1000&lt;=0,"",IF(CG1000="Aussen","Aussenlager",IF(CG1000="-","Nicht im Lift",IF(BJ1000&gt;=1,"Lift",IF(BJ1000&lt;=0,"Aussenlager","teilweise")))))</f>
        <v>Lift</v>
      </c>
      <c r="BN1000" s="60" t="str">
        <f aca="false">IF(A1000="","",IF(BW1000=1,"Neu; ","")&amp;IF(AND(BW1000=0,BR1000&lt;0),"negativer Bestand (Export "&amp;BR1000&amp;"); ","")&amp;IF(J1000&lt;=0,"Kein Verbrauch; ","")&amp;IF(CR1000&gt;0,"Lift "&amp;W1000&amp;" lt. Liftbericht (Fach "&amp;X1000&amp;" Stk); ",IF(CB1000=1,"Gebinde geschätzt ("&amp;T1000&amp;"); ",IF(CA1000=1,"Lose – Tablare geschätzt; ","")))&amp;IF(H1000&gt;AW1000,"Überbestand "&amp;ROUND(H1000-AW1000,0)&amp;" Stk / CHF "&amp;ROUND((H1000-AW1000)*G1000,0)&amp;"; ","")&amp;IF(AND(CI1000=1,CJ1000&lt;CK1000),"MAX &lt; MB+LG; ","")&amp;IF(AND(CQ1000&gt;0,CP1000*10&gt;CQ1000),"zu hoch für Tablar; ","")&amp;IF(AND(BW1000=0,OR(CI1000=1,AB1000&lt;&gt;"",U1000&lt;&gt;"",V1000&lt;&gt;"",AC1000&lt;&gt;"")),"manuell übersteuert; ","")&amp;IF(AND(CA1000=0,R1000=0),"Gebinde unbekannt / Stellmass fehlt; ","")&amp;IF(AND(CA1000=0,N(V1000)&lt;=0,N(Q1000)&lt;=0),"Menge pro Gebinde fehlt (Ist = 1 Gebinde); ","")&amp;BV1000)</f>
        <v>negativer Bestand (Export -9); </v>
      </c>
      <c r="BO1000" s="60"/>
      <c r="BP1000" s="60"/>
      <c r="BQ1000" s="67"/>
      <c r="BR1000" s="62" t="n">
        <v>-9</v>
      </c>
      <c r="BS1000" s="62" t="n">
        <v>14</v>
      </c>
      <c r="BT1000" s="61" t="n">
        <v>-95.85</v>
      </c>
      <c r="BU1000" s="62" t="n">
        <v>5</v>
      </c>
      <c r="BV1000" s="60"/>
      <c r="BW1000" s="65" t="n">
        <v>0</v>
      </c>
      <c r="BX1000" s="65" t="n">
        <v>1000</v>
      </c>
      <c r="BY1000" s="60" t="str">
        <f aca="false">IF(U1000&lt;&gt;"",UPPER(TRIM(U1000)),IF(CB1000=1,UPPER(VLOOKUP(T1000,Parameter!$I$27:$K$29,2,0)),IF(P1000="","LOSE",P1000)))</f>
        <v>S41</v>
      </c>
      <c r="BZ1000" s="62" t="n">
        <f aca="false">IF(BY1000="LOSE",1,IF(N(V1000)&gt;0,V1000,IF(CB1000=1,MAX(1,N(VLOOKUP(T1000,Parameter!$I$27:$K$29,3,0)),H1000,N(N1000)),IF(N(Q1000)&gt;0,Q1000,MAX(1,H1000)))))</f>
        <v>5</v>
      </c>
      <c r="CA1000" s="65" t="n">
        <f aca="false">IF(BY1000="LOSE",1,0)</f>
        <v>0</v>
      </c>
      <c r="CB1000" s="65" t="n">
        <f aca="false">IF(AND(U1000="",OR(P1000="",P1000="LOSE"),T1000&lt;&gt;"",N(S1000)&lt;=0,ISNUMBER(MATCH(T1000,Parameter!$I$27:$I$29,0))),1,0)</f>
        <v>0</v>
      </c>
      <c r="CC1000" s="65" t="n">
        <f aca="false">IF(CR1000&gt;0,INDEX(Parameter!$H$5:$H$7,W1000)/INDEX(Parameter!$E$5:$E$7,W1000),IF(AND(CA1000=0,N(IFERROR(VLOOKUP(BY1000,'Gebinde-Kategorie'!$A$5:$N$45,14,0),0))&gt;0),VLOOKUP(BY1000,'Gebinde-Kategorie'!$A$5:$N$45,14,0)*10+Parameter!$M$23,Parameter!$M$24))</f>
        <v>155</v>
      </c>
      <c r="CD1000" s="60" t="str">
        <f aca="false">IF(AND(Parameter!$B$19="Ja",E1000&lt;&gt;"",ISNUMBER(MATCH(E1000,Parameter!$I$35:$I$52,0))),VLOOKUP(E1000,Parameter!$I$35:$J$52,2,0),IFERROR(VLOOKUP(D1000,Parameter!$A$35:$C$64,2,0),"Nein"))</f>
        <v>2+3</v>
      </c>
      <c r="CE1000" s="64" t="n">
        <f aca="false">IF(CA1000=0,0,IF(N(S1000)&gt;0,S1000,IFERROR(VLOOKUP(D1000,Parameter!$A$35:$C$64,3,0)+0,0)))</f>
        <v>0</v>
      </c>
      <c r="CF1000" s="60" t="n">
        <f aca="false">IF(AB1000&lt;&gt;"",AB1000,AA1000)</f>
        <v>1</v>
      </c>
      <c r="CG1000" s="60" t="str">
        <f aca="false">IF(OR(CF1000=1,CF1000=2,CF1000=3),IF(Parameter!$E$27="Ja","LIFT",IF(CF1000=1,"L1","L23")),IF(CF1000="Aussen","Aussen","-"))</f>
        <v>LIFT</v>
      </c>
      <c r="CH1000" s="71" t="n">
        <f aca="false">IF(N(AC1000)&gt;0,AC1000,0)</f>
        <v>0</v>
      </c>
      <c r="CI1000" s="65" t="n">
        <f aca="false">IF(ISNUMBER(AF1000),1,0)</f>
        <v>0</v>
      </c>
      <c r="CJ1000" s="62" t="n">
        <f aca="false">N(AF1000)</f>
        <v>0</v>
      </c>
      <c r="CK1000" s="62" t="n">
        <f aca="false">N(M1000)+N(N1000)</f>
        <v>5</v>
      </c>
      <c r="CL1000" s="62" t="n">
        <f aca="false">N(M1000)</f>
        <v>0</v>
      </c>
      <c r="CM1000" s="62" t="n">
        <f aca="false">N(N1000)</f>
        <v>5</v>
      </c>
      <c r="CN1000" s="62" t="n">
        <f aca="false">ROUNDUP(H1000/BZ1000,0)</f>
        <v>1</v>
      </c>
      <c r="CO1000" s="62" t="n">
        <f aca="false">ROUNDUP(CJ1000/BZ1000,0)</f>
        <v>0</v>
      </c>
      <c r="CP1000" s="65" t="n">
        <f aca="false">IF(CA1000=1,0,IFERROR(VLOOKUP(BY1000,'Gebinde-Kategorie'!$A$5:$N$45,5,0)+0,0))</f>
        <v>11</v>
      </c>
      <c r="CQ1000" s="65" t="n">
        <f aca="false">IFERROR(IF(OR(CF1000=1,CF1000=2,CF1000=3),N(INDEX(Parameter!$I$5:$I$7,CF1000)),0),0)</f>
        <v>0</v>
      </c>
      <c r="CR1000" s="64" t="n">
        <f aca="false">IF(AND(Parameter!$B$21="Ja",ISNUMBER(W1000),N(X1000)&gt;0),IFERROR(N(INDEX(Parameter!$L$5:$L$7,W1000))*INDEX(Parameter!$E$5:$E$7,W1000)*X1000/SUMIFS($X$7:$X$1843,$W$7:$W$1843,W1000),0),0)</f>
        <v>0</v>
      </c>
      <c r="CS1000" s="62" t="n">
        <f aca="false">IF(AND(OR(CG1000="L1",CG1000="L23",CG1000="LIFT"),H1000&gt;0),CC1000*IF(CR1000&gt;0,CR1000*MAX(1,H1000/X1000),IF(CA1000=1,CE1000,IF(R1000&gt;0,CN1000/R1000,0))/MAX(0.1,N(Parameter!$M$21))),"")</f>
        <v>2.98076923076923</v>
      </c>
      <c r="CT1000" s="64" t="n">
        <f aca="false">IF(CS1000="","",J1000/H1000)</f>
        <v>1</v>
      </c>
      <c r="CU1000" s="62" t="n">
        <f aca="false">IF(CS1000="","",H1000*G1000)</f>
        <v>142.15</v>
      </c>
      <c r="CV1000" s="63" t="n">
        <f aca="false">IF(CS1000="","",(CL1000+ROUNDUP(CL1000+MAX(CM1000,2*(J1000/MAX(0.1,N(Einkauf!$C$6))-CL1000)),0))/2)</f>
        <v>2.5</v>
      </c>
      <c r="CW1000" s="62" t="n">
        <f aca="false">IF(CS1000="","",MAX(0,H1000-CV1000)*G1000)</f>
        <v>71.075</v>
      </c>
      <c r="CX1000" s="62" t="n">
        <f aca="false">IF(CS1000="","",CS1000*MAX(0,1-CV1000/H1000))</f>
        <v>1.49038461538462</v>
      </c>
      <c r="CY1000" s="64" t="n">
        <f aca="false">IF(CS1000="","",PERCENTRANK($CS$7:$CS$1843,CS1000)+PERCENTRANK($CU$7:$CU$1843,CU1000)+1-PERCENTRANK($CT$7:$CT$1843,CT1000))</f>
        <v>0.866</v>
      </c>
      <c r="CZ1000" s="72" t="n">
        <f aca="false">IF(CS1000="","",CHOOSE(MATCH(Einkauf!$C$5,Parameter!$G$23:$G$27,0),CY1000,CS1000,CU1000,-CT1000,CW1000)+ROW()/1000000000)</f>
        <v>0.866001</v>
      </c>
    </row>
    <row r="1001" customFormat="false" ht="15" hidden="false" customHeight="false" outlineLevel="0" collapsed="false">
      <c r="A1001" s="60" t="s">
        <v>1888</v>
      </c>
      <c r="B1001" s="60" t="s">
        <v>934</v>
      </c>
      <c r="C1001" s="60" t="s">
        <v>206</v>
      </c>
      <c r="D1001" s="60" t="s">
        <v>226</v>
      </c>
      <c r="E1001" s="60" t="s">
        <v>227</v>
      </c>
      <c r="F1001" s="60" t="s">
        <v>260</v>
      </c>
      <c r="G1001" s="61" t="n">
        <v>12.08</v>
      </c>
      <c r="H1001" s="62" t="n">
        <f aca="false">MAX(0,IF(AND(Parameter!$B$21="Ja",ISNUMBER(Y1001)),Y1001,IF(Parameter!$B$20="Jahresanfang 2025 + Export",BS1001+BR1001,BR1001)))</f>
        <v>4</v>
      </c>
      <c r="I1001" s="62" t="n">
        <f aca="false">H1001*G1001</f>
        <v>48.32</v>
      </c>
      <c r="J1001" s="62" t="n">
        <f aca="false">BU1001*Parameter!$B$18</f>
        <v>5</v>
      </c>
      <c r="K1001" s="63" t="n">
        <v>8.5</v>
      </c>
      <c r="L1001" s="64" t="n">
        <v>0.588235294117647</v>
      </c>
      <c r="M1001" s="62" t="n">
        <v>0</v>
      </c>
      <c r="N1001" s="62" t="n">
        <v>5</v>
      </c>
      <c r="O1001" s="65" t="n">
        <v>21</v>
      </c>
      <c r="P1001" s="60" t="s">
        <v>463</v>
      </c>
      <c r="Q1001" s="62" t="n">
        <v>18</v>
      </c>
      <c r="R1001" s="65" t="n">
        <f aca="false">IF(CA1001=1,0,IFERROR(VLOOKUP(BY1001,'Gebinde-Kategorie'!$A$5:$N$45,13,0)+0,0))</f>
        <v>104</v>
      </c>
      <c r="S1001" s="66"/>
      <c r="T1001" s="67"/>
      <c r="U1001" s="67"/>
      <c r="V1001" s="67"/>
      <c r="W1001" s="60"/>
      <c r="X1001" s="62"/>
      <c r="Y1001" s="62"/>
      <c r="Z1001" s="60" t="n">
        <v>2</v>
      </c>
      <c r="AA1001" s="60" t="n">
        <f aca="false">IF(A1001="","",IF(AND(Parameter!$B$21="Ja",ISNUMBER(W1001)),W1001,IF(AND(Parameter!$E$27="Ja",ISNUMBER(Z1001),CD1001&lt;&gt;"Nein"),Z1001,IF(CD1001="2+3",IF(ISNUMBER(SEARCH("grosser Artikel",BV1001)),2,IFERROR(VLOOKUP(BY1001,Parameter!$F$35:$G$64,2,0),2)),IF(OR(CD1001="Nein",CD1001=""),"-",CD1001)))))</f>
        <v>2</v>
      </c>
      <c r="AB1001" s="67"/>
      <c r="AC1001" s="68"/>
      <c r="AD1001" s="62" t="n">
        <f aca="false">AW1001</f>
        <v>5</v>
      </c>
      <c r="AE1001" s="62" t="n">
        <f aca="false">MAX(AW1001,H1001)</f>
        <v>5</v>
      </c>
      <c r="AF1001" s="69"/>
      <c r="AG1001" s="62" t="n">
        <f aca="false">IF(LEFT(Cockpit!$C$5,1)="A",H1001,IF(Parameter!$E$30="MAX-Bestand",IF(CI1001=1,CJ1001,IF(LEFT(Cockpit!$C$5,1)="B",AM1001,MAX(AM1001,H1001))),ROUNDUP(AK1001,0)))</f>
        <v>4</v>
      </c>
      <c r="AH1001" s="62" t="n">
        <f aca="false">IF(CA1001=1,0,ROUNDUP(AG1001/BZ1001,0))</f>
        <v>1</v>
      </c>
      <c r="AI1001" s="64" t="n">
        <f aca="false">IF(CR1001&gt;0,CR1001*MAX(1,AG1001/X1001),IF(CA1001=1,IF(AG1001&lt;=0,0,CE1001*MAX(1,IF(H1001&gt;0,AG1001/H1001,1))),IF(R1001&gt;0,AH1001/R1001,0))/MAX(0.1,N(Parameter!$M$21)))</f>
        <v>0.00961538461538462</v>
      </c>
      <c r="AJ1001" s="62" t="n">
        <f aca="false">AI1001*CC1001</f>
        <v>1.49038461538462</v>
      </c>
      <c r="AK1001" s="63" t="n">
        <f aca="false">IF(LEFT(Cockpit!$C$5,1)="A",H1001,IF(CI1001=1,(CL1001+CJ1001)/2,IF(LEFT(Cockpit!$C$5,1)="B",(CL1001+AM1001)/2,MAX((CL1001+AM1001)/2,H1001))))</f>
        <v>4</v>
      </c>
      <c r="AL1001" s="62" t="n">
        <f aca="false">AK1001*G1001</f>
        <v>48.32</v>
      </c>
      <c r="AM1001" s="62" t="n">
        <f aca="false">ROUNDUP(CL1001+MAX(CM1001,2*(J1001/IF(CH1001&gt;0,CH1001,MAX(0.1,N(Cockpit!$C$6)))-CL1001)),0)</f>
        <v>5</v>
      </c>
      <c r="AN1001" s="63" t="n">
        <f aca="false">IF(AJ1001&gt;0,J1001/AJ1001,-1)</f>
        <v>3.35483870967742</v>
      </c>
      <c r="AO1001" s="63" t="n">
        <f aca="false">IF(AND(OR(CG1001="L1",CG1001="L23",CG1001="LIFT"),AJ1001&gt;0),SUMIFS($AJ$7:$AJ$1843,$CG$7:$CG$1843,CG1001,$AN$7:$AN$1843,"&gt;"&amp;AN1001)+SUMIFS($AJ$7:$AJ$1843,$CG$7:$CG$1843,CG1001,$AN$7:$AN$1843,AN1001,$BX$7:$BX$1843,"&lt;="&amp;BX1001),"")</f>
        <v>4946.6456043956</v>
      </c>
      <c r="AP1001" s="70" t="n">
        <f aca="false">IF(AO1001="",0,MAX(0,MIN(1,(IF(CG1001="L1",Parameter!$H$5,IF(CG1001="L23",Parameter!$H$6+Parameter!$H$7,Parameter!$H$5+Parameter!$H$6+Parameter!$H$7))-(AO1001-AJ1001))/AJ1001)))</f>
        <v>1</v>
      </c>
      <c r="AQ1001" s="62" t="n">
        <f aca="false">IF(LEFT(Cockpit!$I$5,1)="A",H1001,IF(Parameter!$E$30="MAX-Bestand",IF(CI1001=1,CJ1001,IF(LEFT(Cockpit!$I$5,1)="B",AW1001,MAX(AW1001,H1001))),ROUNDUP(AU1001,0)))</f>
        <v>4</v>
      </c>
      <c r="AR1001" s="62" t="n">
        <f aca="false">IF(CA1001=1,0,ROUNDUP(AQ1001/BZ1001,0))</f>
        <v>1</v>
      </c>
      <c r="AS1001" s="64" t="n">
        <f aca="false">IF(CR1001&gt;0,CR1001*MAX(1,AQ1001/X1001),IF(CA1001=1,IF(AQ1001&lt;=0,0,CE1001*MAX(1,IF(H1001&gt;0,AQ1001/H1001,1))),IF(R1001&gt;0,AR1001/R1001,0))/MAX(0.1,N(Parameter!$M$21)))</f>
        <v>0.00961538461538462</v>
      </c>
      <c r="AT1001" s="62" t="n">
        <f aca="false">AS1001*CC1001</f>
        <v>1.49038461538462</v>
      </c>
      <c r="AU1001" s="63" t="n">
        <f aca="false">IF(LEFT(Cockpit!$I$5,1)="A",H1001,IF(CI1001=1,(CL1001+CJ1001)/2,IF(LEFT(Cockpit!$I$5,1)="B",(CL1001+AW1001)/2,MAX((CL1001+AW1001)/2,H1001))))</f>
        <v>4</v>
      </c>
      <c r="AV1001" s="62" t="n">
        <f aca="false">AU1001*G1001</f>
        <v>48.32</v>
      </c>
      <c r="AW1001" s="62" t="n">
        <f aca="false">ROUNDUP(CL1001+MAX(CM1001,2*(J1001/IF(CH1001&gt;0,CH1001,MAX(0.1,N(Cockpit!$I$6)))-CL1001)),0)</f>
        <v>5</v>
      </c>
      <c r="AX1001" s="63" t="n">
        <f aca="false">IF(AT1001&gt;0,J1001/AT1001,-1)</f>
        <v>3.35483870967742</v>
      </c>
      <c r="AY1001" s="63" t="n">
        <f aca="false">IF(AND(OR(CG1001="L1",CG1001="L23",CG1001="LIFT"),AT1001&gt;0),SUMIFS($AT$7:$AT$1843,$CG$7:$CG$1843,CG1001,$AX$7:$AX$1843,"&gt;"&amp;AX1001)+SUMIFS($AT$7:$AT$1843,$CG$7:$CG$1843,CG1001,$AX$7:$AX$1843,AX1001,$BX$7:$BX$1843,"&lt;="&amp;BX1001),"")</f>
        <v>5610.4826007326</v>
      </c>
      <c r="AZ1001" s="70" t="n">
        <f aca="false">IF(AY1001="",0,MAX(0,MIN(1,(IF(CG1001="L1",Parameter!$H$5,IF(CG1001="L23",Parameter!$H$6+Parameter!$H$7,Parameter!$H$5+Parameter!$H$6+Parameter!$H$7))-(AY1001-AT1001))/AT1001)))</f>
        <v>1</v>
      </c>
      <c r="BA1001" s="62" t="n">
        <f aca="false">IF(LEFT(Cockpit!$O$5,1)="A",H1001,IF(Parameter!$E$30="MAX-Bestand",IF(CI1001=1,CJ1001,IF(LEFT(Cockpit!$O$5,1)="B",BG1001,MAX(BG1001,H1001))),ROUNDUP(BE1001,0)))</f>
        <v>3</v>
      </c>
      <c r="BB1001" s="62" t="n">
        <f aca="false">IF(CA1001=1,0,ROUNDUP(BA1001/BZ1001,0))</f>
        <v>1</v>
      </c>
      <c r="BC1001" s="64" t="n">
        <f aca="false">IF(CR1001&gt;0,CR1001*MAX(1,BA1001/X1001),IF(CA1001=1,IF(BA1001&lt;=0,0,CE1001*MAX(1,IF(H1001&gt;0,BA1001/H1001,1))),IF(R1001&gt;0,BB1001/R1001,0))/MAX(0.1,N(Parameter!$M$21)))</f>
        <v>0.00961538461538462</v>
      </c>
      <c r="BD1001" s="62" t="n">
        <f aca="false">BC1001*CC1001</f>
        <v>1.49038461538462</v>
      </c>
      <c r="BE1001" s="63" t="n">
        <f aca="false">IF(LEFT(Cockpit!$O$5,1)="A",H1001,IF(CI1001=1,(CL1001+CJ1001)/2,IF(LEFT(Cockpit!$O$5,1)="B",(CL1001+BG1001)/2,MAX((CL1001+BG1001)/2,H1001))))</f>
        <v>2.5</v>
      </c>
      <c r="BF1001" s="62" t="n">
        <f aca="false">BE1001*G1001</f>
        <v>30.2</v>
      </c>
      <c r="BG1001" s="62" t="n">
        <f aca="false">ROUNDUP(CL1001+MAX(CM1001,2*(J1001/IF(CH1001&gt;0,CH1001,MAX(0.1,N(Cockpit!$O$6)))-CL1001)),0)</f>
        <v>5</v>
      </c>
      <c r="BH1001" s="63" t="n">
        <f aca="false">IF(BD1001&gt;0,J1001/BD1001,-1)</f>
        <v>3.35483870967742</v>
      </c>
      <c r="BI1001" s="63" t="n">
        <f aca="false">IF(AND(OR(CG1001="L1",CG1001="L23",CG1001="LIFT"),BD1001&gt;0),SUMIFS($BD$7:$BD$1843,$CG$7:$CG$1843,CG1001,$BH$7:$BH$1843,"&gt;"&amp;BH1001)+SUMIFS($BD$7:$BD$1843,$CG$7:$CG$1843,CG1001,$BH$7:$BH$1843,BH1001,$BX$7:$BX$1843,"&lt;="&amp;BX1001),"")</f>
        <v>4590.70054945055</v>
      </c>
      <c r="BJ1001" s="70" t="n">
        <f aca="false">IF(BI1001="",0,MAX(0,MIN(1,(IF(CG1001="L1",Parameter!$H$5,IF(CG1001="L23",Parameter!$H$6+Parameter!$H$7,Parameter!$H$5+Parameter!$H$6+Parameter!$H$7))-(BI1001-BD1001))/BD1001)))</f>
        <v>1</v>
      </c>
      <c r="BK1001" s="60" t="str">
        <f aca="false">IF(AJ1001&lt;=0,"",IF(CG1001="Aussen","Aussenlager",IF(CG1001="-","Nicht im Lift",IF(AP1001&gt;=1,"Lift",IF(AP1001&lt;=0,"Aussenlager","teilweise")))))</f>
        <v>Lift</v>
      </c>
      <c r="BL1001" s="60" t="str">
        <f aca="false">IF(AT1001&lt;=0,"",IF(CG1001="Aussen","Aussenlager",IF(CG1001="-","Nicht im Lift",IF(AZ1001&gt;=1,"Lift",IF(AZ1001&lt;=0,"Aussenlager","teilweise")))))</f>
        <v>Lift</v>
      </c>
      <c r="BM1001" s="60" t="str">
        <f aca="false">IF(BD1001&lt;=0,"",IF(CG1001="Aussen","Aussenlager",IF(CG1001="-","Nicht im Lift",IF(BJ1001&gt;=1,"Lift",IF(BJ1001&lt;=0,"Aussenlager","teilweise")))))</f>
        <v>Lift</v>
      </c>
      <c r="BN1001" s="60" t="str">
        <f aca="false">IF(A1001="","",IF(BW1001=1,"Neu; ","")&amp;IF(AND(BW1001=0,BR1001&lt;0),"negativer Bestand (Export "&amp;BR1001&amp;"); ","")&amp;IF(J1001&lt;=0,"Kein Verbrauch; ","")&amp;IF(CR1001&gt;0,"Lift "&amp;W1001&amp;" lt. Liftbericht (Fach "&amp;X1001&amp;" Stk); ",IF(CB1001=1,"Gebinde geschätzt ("&amp;T1001&amp;"); ",IF(CA1001=1,"Lose – Tablare geschätzt; ","")))&amp;IF(H1001&gt;AW1001,"Überbestand "&amp;ROUND(H1001-AW1001,0)&amp;" Stk / CHF "&amp;ROUND((H1001-AW1001)*G1001,0)&amp;"; ","")&amp;IF(AND(CI1001=1,CJ1001&lt;CK1001),"MAX &lt; MB+LG; ","")&amp;IF(AND(CQ1001&gt;0,CP1001*10&gt;CQ1001),"zu hoch für Tablar; ","")&amp;IF(AND(BW1001=0,OR(CI1001=1,AB1001&lt;&gt;"",U1001&lt;&gt;"",V1001&lt;&gt;"",AC1001&lt;&gt;"")),"manuell übersteuert; ","")&amp;IF(AND(CA1001=0,R1001=0),"Gebinde unbekannt / Stellmass fehlt; ","")&amp;IF(AND(CA1001=0,N(V1001)&lt;=0,N(Q1001)&lt;=0),"Menge pro Gebinde fehlt (Ist = 1 Gebinde); ","")&amp;BV1001)</f>
        <v>negativer Bestand (Export -8); Neu</v>
      </c>
      <c r="BO1001" s="60"/>
      <c r="BP1001" s="60"/>
      <c r="BQ1001" s="67"/>
      <c r="BR1001" s="62" t="n">
        <v>-8</v>
      </c>
      <c r="BS1001" s="62" t="n">
        <v>12</v>
      </c>
      <c r="BT1001" s="61" t="n">
        <v>-96.64</v>
      </c>
      <c r="BU1001" s="62" t="n">
        <v>5</v>
      </c>
      <c r="BV1001" s="60" t="s">
        <v>668</v>
      </c>
      <c r="BW1001" s="65" t="n">
        <v>0</v>
      </c>
      <c r="BX1001" s="65" t="n">
        <v>1001</v>
      </c>
      <c r="BY1001" s="60" t="str">
        <f aca="false">IF(U1001&lt;&gt;"",UPPER(TRIM(U1001)),IF(CB1001=1,UPPER(VLOOKUP(T1001,Parameter!$I$27:$K$29,2,0)),IF(P1001="","LOSE",P1001)))</f>
        <v>S32</v>
      </c>
      <c r="BZ1001" s="62" t="n">
        <f aca="false">IF(BY1001="LOSE",1,IF(N(V1001)&gt;0,V1001,IF(CB1001=1,MAX(1,N(VLOOKUP(T1001,Parameter!$I$27:$K$29,3,0)),H1001,N(N1001)),IF(N(Q1001)&gt;0,Q1001,MAX(1,H1001)))))</f>
        <v>18</v>
      </c>
      <c r="CA1001" s="65" t="n">
        <f aca="false">IF(BY1001="LOSE",1,0)</f>
        <v>0</v>
      </c>
      <c r="CB1001" s="65" t="n">
        <f aca="false">IF(AND(U1001="",OR(P1001="",P1001="LOSE"),T1001&lt;&gt;"",N(S1001)&lt;=0,ISNUMBER(MATCH(T1001,Parameter!$I$27:$I$29,0))),1,0)</f>
        <v>0</v>
      </c>
      <c r="CC1001" s="65" t="n">
        <f aca="false">IF(CR1001&gt;0,INDEX(Parameter!$H$5:$H$7,W1001)/INDEX(Parameter!$E$5:$E$7,W1001),IF(AND(CA1001=0,N(IFERROR(VLOOKUP(BY1001,'Gebinde-Kategorie'!$A$5:$N$45,14,0),0))&gt;0),VLOOKUP(BY1001,'Gebinde-Kategorie'!$A$5:$N$45,14,0)*10+Parameter!$M$23,Parameter!$M$24))</f>
        <v>155</v>
      </c>
      <c r="CD1001" s="60" t="str">
        <f aca="false">IF(AND(Parameter!$B$19="Ja",E1001&lt;&gt;"",ISNUMBER(MATCH(E1001,Parameter!$I$35:$I$52,0))),VLOOKUP(E1001,Parameter!$I$35:$J$52,2,0),IFERROR(VLOOKUP(D1001,Parameter!$A$35:$C$64,2,0),"Nein"))</f>
        <v>2+3</v>
      </c>
      <c r="CE1001" s="64" t="n">
        <f aca="false">IF(CA1001=0,0,IF(N(S1001)&gt;0,S1001,IFERROR(VLOOKUP(D1001,Parameter!$A$35:$C$64,3,0)+0,0)))</f>
        <v>0</v>
      </c>
      <c r="CF1001" s="60" t="n">
        <f aca="false">IF(AB1001&lt;&gt;"",AB1001,AA1001)</f>
        <v>2</v>
      </c>
      <c r="CG1001" s="60" t="str">
        <f aca="false">IF(OR(CF1001=1,CF1001=2,CF1001=3),IF(Parameter!$E$27="Ja","LIFT",IF(CF1001=1,"L1","L23")),IF(CF1001="Aussen","Aussen","-"))</f>
        <v>LIFT</v>
      </c>
      <c r="CH1001" s="71" t="n">
        <f aca="false">IF(N(AC1001)&gt;0,AC1001,0)</f>
        <v>0</v>
      </c>
      <c r="CI1001" s="65" t="n">
        <f aca="false">IF(ISNUMBER(AF1001),1,0)</f>
        <v>0</v>
      </c>
      <c r="CJ1001" s="62" t="n">
        <f aca="false">N(AF1001)</f>
        <v>0</v>
      </c>
      <c r="CK1001" s="62" t="n">
        <f aca="false">N(M1001)+N(N1001)</f>
        <v>5</v>
      </c>
      <c r="CL1001" s="62" t="n">
        <f aca="false">N(M1001)</f>
        <v>0</v>
      </c>
      <c r="CM1001" s="62" t="n">
        <f aca="false">N(N1001)</f>
        <v>5</v>
      </c>
      <c r="CN1001" s="62" t="n">
        <f aca="false">ROUNDUP(H1001/BZ1001,0)</f>
        <v>1</v>
      </c>
      <c r="CO1001" s="62" t="n">
        <f aca="false">ROUNDUP(CJ1001/BZ1001,0)</f>
        <v>0</v>
      </c>
      <c r="CP1001" s="65" t="n">
        <f aca="false">IF(CA1001=1,0,IFERROR(VLOOKUP(BY1001,'Gebinde-Kategorie'!$A$5:$N$45,5,0)+0,0))</f>
        <v>8</v>
      </c>
      <c r="CQ1001" s="65" t="n">
        <f aca="false">IFERROR(IF(OR(CF1001=1,CF1001=2,CF1001=3),N(INDEX(Parameter!$I$5:$I$7,CF1001)),0),0)</f>
        <v>0</v>
      </c>
      <c r="CR1001" s="64" t="n">
        <f aca="false">IF(AND(Parameter!$B$21="Ja",ISNUMBER(W1001),N(X1001)&gt;0),IFERROR(N(INDEX(Parameter!$L$5:$L$7,W1001))*INDEX(Parameter!$E$5:$E$7,W1001)*X1001/SUMIFS($X$7:$X$1843,$W$7:$W$1843,W1001),0),0)</f>
        <v>0</v>
      </c>
      <c r="CS1001" s="62" t="n">
        <f aca="false">IF(AND(OR(CG1001="L1",CG1001="L23",CG1001="LIFT"),H1001&gt;0),CC1001*IF(CR1001&gt;0,CR1001*MAX(1,H1001/X1001),IF(CA1001=1,CE1001,IF(R1001&gt;0,CN1001/R1001,0))/MAX(0.1,N(Parameter!$M$21))),"")</f>
        <v>1.49038461538462</v>
      </c>
      <c r="CT1001" s="64" t="n">
        <f aca="false">IF(CS1001="","",J1001/H1001)</f>
        <v>1.25</v>
      </c>
      <c r="CU1001" s="62" t="n">
        <f aca="false">IF(CS1001="","",H1001*G1001)</f>
        <v>48.32</v>
      </c>
      <c r="CV1001" s="63" t="n">
        <f aca="false">IF(CS1001="","",(CL1001+ROUNDUP(CL1001+MAX(CM1001,2*(J1001/MAX(0.1,N(Einkauf!$C$6))-CL1001)),0))/2)</f>
        <v>2.5</v>
      </c>
      <c r="CW1001" s="62" t="n">
        <f aca="false">IF(CS1001="","",MAX(0,H1001-CV1001)*G1001)</f>
        <v>18.12</v>
      </c>
      <c r="CX1001" s="62" t="n">
        <f aca="false">IF(CS1001="","",CS1001*MAX(0,1-CV1001/H1001))</f>
        <v>0.558894230769231</v>
      </c>
      <c r="CY1001" s="64" t="n">
        <f aca="false">IF(CS1001="","",PERCENTRANK($CS$7:$CS$1843,CS1001)+PERCENTRANK($CU$7:$CU$1843,CU1001)+1-PERCENTRANK($CT$7:$CT$1843,CT1001))</f>
        <v>0.539</v>
      </c>
      <c r="CZ1001" s="72" t="n">
        <f aca="false">IF(CS1001="","",CHOOSE(MATCH(Einkauf!$C$5,Parameter!$G$23:$G$27,0),CY1001,CS1001,CU1001,-CT1001,CW1001)+ROW()/1000000000)</f>
        <v>0.539001001</v>
      </c>
    </row>
    <row r="1002" customFormat="false" ht="15" hidden="false" customHeight="false" outlineLevel="0" collapsed="false">
      <c r="A1002" s="60" t="s">
        <v>1889</v>
      </c>
      <c r="B1002" s="60" t="s">
        <v>1890</v>
      </c>
      <c r="C1002" s="60" t="s">
        <v>206</v>
      </c>
      <c r="D1002" s="60" t="s">
        <v>215</v>
      </c>
      <c r="E1002" s="60" t="s">
        <v>507</v>
      </c>
      <c r="F1002" s="60" t="s">
        <v>260</v>
      </c>
      <c r="G1002" s="61" t="n">
        <v>14.63</v>
      </c>
      <c r="H1002" s="62" t="n">
        <f aca="false">MAX(0,IF(AND(Parameter!$B$21="Ja",ISNUMBER(Y1002)),Y1002,IF(Parameter!$B$20="Jahresanfang 2025 + Export",BS1002+BR1002,BR1002)))</f>
        <v>10</v>
      </c>
      <c r="I1002" s="62" t="n">
        <f aca="false">H1002*G1002</f>
        <v>146.3</v>
      </c>
      <c r="J1002" s="62" t="n">
        <f aca="false">BU1002*Parameter!$B$18</f>
        <v>24</v>
      </c>
      <c r="K1002" s="63" t="n">
        <v>13.5</v>
      </c>
      <c r="L1002" s="64" t="n">
        <v>1.77777777777778</v>
      </c>
      <c r="M1002" s="62" t="n">
        <v>1</v>
      </c>
      <c r="N1002" s="62" t="n">
        <v>10</v>
      </c>
      <c r="O1002" s="65" t="n">
        <v>21</v>
      </c>
      <c r="P1002" s="60" t="s">
        <v>210</v>
      </c>
      <c r="Q1002" s="62"/>
      <c r="R1002" s="65" t="n">
        <f aca="false">IF(CA1002=1,0,IFERROR(VLOOKUP(BY1002,'Gebinde-Kategorie'!$A$5:$N$45,13,0)+0,0))</f>
        <v>12</v>
      </c>
      <c r="S1002" s="66"/>
      <c r="T1002" s="67" t="s">
        <v>221</v>
      </c>
      <c r="U1002" s="67"/>
      <c r="V1002" s="67"/>
      <c r="W1002" s="60"/>
      <c r="X1002" s="62"/>
      <c r="Y1002" s="62"/>
      <c r="Z1002" s="60"/>
      <c r="AA1002" s="60" t="str">
        <f aca="false">IF(A1002="","",IF(AND(Parameter!$B$21="Ja",ISNUMBER(W1002)),W1002,IF(AND(Parameter!$E$27="Ja",ISNUMBER(Z1002),CD1002&lt;&gt;"Nein"),Z1002,IF(CD1002="2+3",IF(ISNUMBER(SEARCH("grosser Artikel",BV1002)),2,IFERROR(VLOOKUP(BY1002,Parameter!$F$35:$G$64,2,0),2)),IF(OR(CD1002="Nein",CD1002=""),"-",CD1002)))))</f>
        <v>-</v>
      </c>
      <c r="AB1002" s="67"/>
      <c r="AC1002" s="68"/>
      <c r="AD1002" s="62" t="n">
        <f aca="false">AW1002</f>
        <v>15</v>
      </c>
      <c r="AE1002" s="62" t="n">
        <f aca="false">MAX(AW1002,H1002)</f>
        <v>15</v>
      </c>
      <c r="AF1002" s="69"/>
      <c r="AG1002" s="62" t="n">
        <f aca="false">IF(LEFT(Cockpit!$C$5,1)="A",H1002,IF(Parameter!$E$30="MAX-Bestand",IF(CI1002=1,CJ1002,IF(LEFT(Cockpit!$C$5,1)="B",AM1002,MAX(AM1002,H1002))),ROUNDUP(AK1002,0)))</f>
        <v>10</v>
      </c>
      <c r="AH1002" s="62" t="n">
        <f aca="false">IF(CA1002=1,0,ROUNDUP(AG1002/BZ1002,0))</f>
        <v>1</v>
      </c>
      <c r="AI1002" s="64" t="n">
        <f aca="false">IF(CR1002&gt;0,CR1002*MAX(1,AG1002/X1002),IF(CA1002=1,IF(AG1002&lt;=0,0,CE1002*MAX(1,IF(H1002&gt;0,AG1002/H1002,1))),IF(R1002&gt;0,AH1002/R1002,0))/MAX(0.1,N(Parameter!$M$21)))</f>
        <v>0.0833333333333333</v>
      </c>
      <c r="AJ1002" s="62" t="n">
        <f aca="false">AI1002*CC1002</f>
        <v>12.0833333333333</v>
      </c>
      <c r="AK1002" s="63" t="n">
        <f aca="false">IF(LEFT(Cockpit!$C$5,1)="A",H1002,IF(CI1002=1,(CL1002+CJ1002)/2,IF(LEFT(Cockpit!$C$5,1)="B",(CL1002+AM1002)/2,MAX((CL1002+AM1002)/2,H1002))))</f>
        <v>10</v>
      </c>
      <c r="AL1002" s="62" t="n">
        <f aca="false">AK1002*G1002</f>
        <v>146.3</v>
      </c>
      <c r="AM1002" s="62" t="n">
        <f aca="false">ROUNDUP(CL1002+MAX(CM1002,2*(J1002/IF(CH1002&gt;0,CH1002,MAX(0.1,N(Cockpit!$C$6)))-CL1002)),0)</f>
        <v>15</v>
      </c>
      <c r="AN1002" s="63" t="n">
        <f aca="false">IF(AJ1002&gt;0,J1002/AJ1002,-1)</f>
        <v>1.98620689655172</v>
      </c>
      <c r="AO1002" s="63" t="str">
        <f aca="false">IF(AND(OR(CG1002="L1",CG1002="L23",CG1002="LIFT"),AJ1002&gt;0),SUMIFS($AJ$7:$AJ$1843,$CG$7:$CG$1843,CG1002,$AN$7:$AN$1843,"&gt;"&amp;AN1002)+SUMIFS($AJ$7:$AJ$1843,$CG$7:$CG$1843,CG1002,$AN$7:$AN$1843,AN1002,$BX$7:$BX$1843,"&lt;="&amp;BX1002),"")</f>
        <v/>
      </c>
      <c r="AP1002" s="70" t="n">
        <f aca="false">IF(AO1002="",0,MAX(0,MIN(1,(IF(CG1002="L1",Parameter!$H$5,IF(CG1002="L23",Parameter!$H$6+Parameter!$H$7,Parameter!$H$5+Parameter!$H$6+Parameter!$H$7))-(AO1002-AJ1002))/AJ1002)))</f>
        <v>0</v>
      </c>
      <c r="AQ1002" s="62" t="n">
        <f aca="false">IF(LEFT(Cockpit!$I$5,1)="A",H1002,IF(Parameter!$E$30="MAX-Bestand",IF(CI1002=1,CJ1002,IF(LEFT(Cockpit!$I$5,1)="B",AW1002,MAX(AW1002,H1002))),ROUNDUP(AU1002,0)))</f>
        <v>10</v>
      </c>
      <c r="AR1002" s="62" t="n">
        <f aca="false">IF(CA1002=1,0,ROUNDUP(AQ1002/BZ1002,0))</f>
        <v>1</v>
      </c>
      <c r="AS1002" s="64" t="n">
        <f aca="false">IF(CR1002&gt;0,CR1002*MAX(1,AQ1002/X1002),IF(CA1002=1,IF(AQ1002&lt;=0,0,CE1002*MAX(1,IF(H1002&gt;0,AQ1002/H1002,1))),IF(R1002&gt;0,AR1002/R1002,0))/MAX(0.1,N(Parameter!$M$21)))</f>
        <v>0.0833333333333333</v>
      </c>
      <c r="AT1002" s="62" t="n">
        <f aca="false">AS1002*CC1002</f>
        <v>12.0833333333333</v>
      </c>
      <c r="AU1002" s="63" t="n">
        <f aca="false">IF(LEFT(Cockpit!$I$5,1)="A",H1002,IF(CI1002=1,(CL1002+CJ1002)/2,IF(LEFT(Cockpit!$I$5,1)="B",(CL1002+AW1002)/2,MAX((CL1002+AW1002)/2,H1002))))</f>
        <v>10</v>
      </c>
      <c r="AV1002" s="62" t="n">
        <f aca="false">AU1002*G1002</f>
        <v>146.3</v>
      </c>
      <c r="AW1002" s="62" t="n">
        <f aca="false">ROUNDUP(CL1002+MAX(CM1002,2*(J1002/IF(CH1002&gt;0,CH1002,MAX(0.1,N(Cockpit!$I$6)))-CL1002)),0)</f>
        <v>15</v>
      </c>
      <c r="AX1002" s="63" t="n">
        <f aca="false">IF(AT1002&gt;0,J1002/AT1002,-1)</f>
        <v>1.98620689655172</v>
      </c>
      <c r="AY1002" s="63" t="str">
        <f aca="false">IF(AND(OR(CG1002="L1",CG1002="L23",CG1002="LIFT"),AT1002&gt;0),SUMIFS($AT$7:$AT$1843,$CG$7:$CG$1843,CG1002,$AX$7:$AX$1843,"&gt;"&amp;AX1002)+SUMIFS($AT$7:$AT$1843,$CG$7:$CG$1843,CG1002,$AX$7:$AX$1843,AX1002,$BX$7:$BX$1843,"&lt;="&amp;BX1002),"")</f>
        <v/>
      </c>
      <c r="AZ1002" s="70" t="n">
        <f aca="false">IF(AY1002="",0,MAX(0,MIN(1,(IF(CG1002="L1",Parameter!$H$5,IF(CG1002="L23",Parameter!$H$6+Parameter!$H$7,Parameter!$H$5+Parameter!$H$6+Parameter!$H$7))-(AY1002-AT1002))/AT1002)))</f>
        <v>0</v>
      </c>
      <c r="BA1002" s="62" t="n">
        <f aca="false">IF(LEFT(Cockpit!$O$5,1)="A",H1002,IF(Parameter!$E$30="MAX-Bestand",IF(CI1002=1,CJ1002,IF(LEFT(Cockpit!$O$5,1)="B",BG1002,MAX(BG1002,H1002))),ROUNDUP(BE1002,0)))</f>
        <v>6</v>
      </c>
      <c r="BB1002" s="62" t="n">
        <f aca="false">IF(CA1002=1,0,ROUNDUP(BA1002/BZ1002,0))</f>
        <v>1</v>
      </c>
      <c r="BC1002" s="64" t="n">
        <f aca="false">IF(CR1002&gt;0,CR1002*MAX(1,BA1002/X1002),IF(CA1002=1,IF(BA1002&lt;=0,0,CE1002*MAX(1,IF(H1002&gt;0,BA1002/H1002,1))),IF(R1002&gt;0,BB1002/R1002,0))/MAX(0.1,N(Parameter!$M$21)))</f>
        <v>0.0833333333333333</v>
      </c>
      <c r="BD1002" s="62" t="n">
        <f aca="false">BC1002*CC1002</f>
        <v>12.0833333333333</v>
      </c>
      <c r="BE1002" s="63" t="n">
        <f aca="false">IF(LEFT(Cockpit!$O$5,1)="A",H1002,IF(CI1002=1,(CL1002+CJ1002)/2,IF(LEFT(Cockpit!$O$5,1)="B",(CL1002+BG1002)/2,MAX((CL1002+BG1002)/2,H1002))))</f>
        <v>6</v>
      </c>
      <c r="BF1002" s="62" t="n">
        <f aca="false">BE1002*G1002</f>
        <v>87.78</v>
      </c>
      <c r="BG1002" s="62" t="n">
        <f aca="false">ROUNDUP(CL1002+MAX(CM1002,2*(J1002/IF(CH1002&gt;0,CH1002,MAX(0.1,N(Cockpit!$O$6)))-CL1002)),0)</f>
        <v>11</v>
      </c>
      <c r="BH1002" s="63" t="n">
        <f aca="false">IF(BD1002&gt;0,J1002/BD1002,-1)</f>
        <v>1.98620689655172</v>
      </c>
      <c r="BI1002" s="63" t="str">
        <f aca="false">IF(AND(OR(CG1002="L1",CG1002="L23",CG1002="LIFT"),BD1002&gt;0),SUMIFS($BD$7:$BD$1843,$CG$7:$CG$1843,CG1002,$BH$7:$BH$1843,"&gt;"&amp;BH1002)+SUMIFS($BD$7:$BD$1843,$CG$7:$CG$1843,CG1002,$BH$7:$BH$1843,BH1002,$BX$7:$BX$1843,"&lt;="&amp;BX1002),"")</f>
        <v/>
      </c>
      <c r="BJ1002" s="70" t="n">
        <f aca="false">IF(BI1002="",0,MAX(0,MIN(1,(IF(CG1002="L1",Parameter!$H$5,IF(CG1002="L23",Parameter!$H$6+Parameter!$H$7,Parameter!$H$5+Parameter!$H$6+Parameter!$H$7))-(BI1002-BD1002))/BD1002)))</f>
        <v>0</v>
      </c>
      <c r="BK1002" s="60" t="str">
        <f aca="false">IF(AJ1002&lt;=0,"",IF(CG1002="Aussen","Aussenlager",IF(CG1002="-","Nicht im Lift",IF(AP1002&gt;=1,"Lift",IF(AP1002&lt;=0,"Aussenlager","teilweise")))))</f>
        <v>Nicht im Lift</v>
      </c>
      <c r="BL1002" s="60" t="str">
        <f aca="false">IF(AT1002&lt;=0,"",IF(CG1002="Aussen","Aussenlager",IF(CG1002="-","Nicht im Lift",IF(AZ1002&gt;=1,"Lift",IF(AZ1002&lt;=0,"Aussenlager","teilweise")))))</f>
        <v>Nicht im Lift</v>
      </c>
      <c r="BM1002" s="60" t="str">
        <f aca="false">IF(BD1002&lt;=0,"",IF(CG1002="Aussen","Aussenlager",IF(CG1002="-","Nicht im Lift",IF(BJ1002&gt;=1,"Lift",IF(BJ1002&lt;=0,"Aussenlager","teilweise")))))</f>
        <v>Nicht im Lift</v>
      </c>
      <c r="BN1002" s="60" t="str">
        <f aca="false">IF(A1002="","",IF(BW1002=1,"Neu; ","")&amp;IF(AND(BW1002=0,BR1002&lt;0),"negativer Bestand (Export "&amp;BR1002&amp;"); ","")&amp;IF(J1002&lt;=0,"Kein Verbrauch; ","")&amp;IF(CR1002&gt;0,"Lift "&amp;W1002&amp;" lt. Liftbericht (Fach "&amp;X1002&amp;" Stk); ",IF(CB1002=1,"Gebinde geschätzt ("&amp;T1002&amp;"); ",IF(CA1002=1,"Lose – Tablare geschätzt; ","")))&amp;IF(H1002&gt;AW1002,"Überbestand "&amp;ROUND(H1002-AW1002,0)&amp;" Stk / CHF "&amp;ROUND((H1002-AW1002)*G1002,0)&amp;"; ","")&amp;IF(AND(CI1002=1,CJ1002&lt;CK1002),"MAX &lt; MB+LG; ","")&amp;IF(AND(CQ1002&gt;0,CP1002*10&gt;CQ1002),"zu hoch für Tablar; ","")&amp;IF(AND(BW1002=0,OR(CI1002=1,AB1002&lt;&gt;"",U1002&lt;&gt;"",V1002&lt;&gt;"",AC1002&lt;&gt;"")),"manuell übersteuert; ","")&amp;IF(AND(CA1002=0,R1002=0),"Gebinde unbekannt / Stellmass fehlt; ","")&amp;IF(AND(CA1002=0,N(V1002)&lt;=0,N(Q1002)&lt;=0),"Menge pro Gebinde fehlt (Ist = 1 Gebinde); ","")&amp;BV1002)</f>
        <v>negativer Bestand (Export -6); Gebinde geschätzt (Mittel); Menge pro Gebinde fehlt (Ist = 1 Gebinde); </v>
      </c>
      <c r="BO1002" s="60"/>
      <c r="BP1002" s="60"/>
      <c r="BQ1002" s="67"/>
      <c r="BR1002" s="62" t="n">
        <v>-6</v>
      </c>
      <c r="BS1002" s="62" t="n">
        <v>16</v>
      </c>
      <c r="BT1002" s="61" t="n">
        <v>-98.5000000000001</v>
      </c>
      <c r="BU1002" s="62" t="n">
        <v>24</v>
      </c>
      <c r="BV1002" s="60"/>
      <c r="BW1002" s="65" t="n">
        <v>0</v>
      </c>
      <c r="BX1002" s="65" t="n">
        <v>1002</v>
      </c>
      <c r="BY1002" s="60" t="str">
        <f aca="false">IF(U1002&lt;&gt;"",UPPER(TRIM(U1002)),IF(CB1002=1,UPPER(VLOOKUP(T1002,Parameter!$I$27:$K$29,2,0)),IF(P1002="","LOSE",P1002)))</f>
        <v>S61</v>
      </c>
      <c r="BZ1002" s="62" t="n">
        <f aca="false">IF(BY1002="LOSE",1,IF(N(V1002)&gt;0,V1002,IF(CB1002=1,MAX(1,N(VLOOKUP(T1002,Parameter!$I$27:$K$29,3,0)),H1002,N(N1002)),IF(N(Q1002)&gt;0,Q1002,MAX(1,H1002)))))</f>
        <v>10</v>
      </c>
      <c r="CA1002" s="65" t="n">
        <f aca="false">IF(BY1002="LOSE",1,0)</f>
        <v>0</v>
      </c>
      <c r="CB1002" s="65" t="n">
        <f aca="false">IF(AND(U1002="",OR(P1002="",P1002="LOSE"),T1002&lt;&gt;"",N(S1002)&lt;=0,ISNUMBER(MATCH(T1002,Parameter!$I$27:$I$29,0))),1,0)</f>
        <v>1</v>
      </c>
      <c r="CC1002" s="65" t="n">
        <f aca="false">IF(CR1002&gt;0,INDEX(Parameter!$H$5:$H$7,W1002)/INDEX(Parameter!$E$5:$E$7,W1002),IF(AND(CA1002=0,N(IFERROR(VLOOKUP(BY1002,'Gebinde-Kategorie'!$A$5:$N$45,14,0),0))&gt;0),VLOOKUP(BY1002,'Gebinde-Kategorie'!$A$5:$N$45,14,0)*10+Parameter!$M$23,Parameter!$M$24))</f>
        <v>145</v>
      </c>
      <c r="CD1002" s="60" t="str">
        <f aca="false">IF(AND(Parameter!$B$19="Ja",E1002&lt;&gt;"",ISNUMBER(MATCH(E1002,Parameter!$I$35:$I$52,0))),VLOOKUP(E1002,Parameter!$I$35:$J$52,2,0),IFERROR(VLOOKUP(D1002,Parameter!$A$35:$C$64,2,0),"Nein"))</f>
        <v>Nein</v>
      </c>
      <c r="CE1002" s="64" t="n">
        <f aca="false">IF(CA1002=0,0,IF(N(S1002)&gt;0,S1002,IFERROR(VLOOKUP(D1002,Parameter!$A$35:$C$64,3,0)+0,0)))</f>
        <v>0</v>
      </c>
      <c r="CF1002" s="60" t="str">
        <f aca="false">IF(AB1002&lt;&gt;"",AB1002,AA1002)</f>
        <v>-</v>
      </c>
      <c r="CG1002" s="60" t="str">
        <f aca="false">IF(OR(CF1002=1,CF1002=2,CF1002=3),IF(Parameter!$E$27="Ja","LIFT",IF(CF1002=1,"L1","L23")),IF(CF1002="Aussen","Aussen","-"))</f>
        <v>-</v>
      </c>
      <c r="CH1002" s="71" t="n">
        <f aca="false">IF(N(AC1002)&gt;0,AC1002,0)</f>
        <v>0</v>
      </c>
      <c r="CI1002" s="65" t="n">
        <f aca="false">IF(ISNUMBER(AF1002),1,0)</f>
        <v>0</v>
      </c>
      <c r="CJ1002" s="62" t="n">
        <f aca="false">N(AF1002)</f>
        <v>0</v>
      </c>
      <c r="CK1002" s="62" t="n">
        <f aca="false">N(M1002)+N(N1002)</f>
        <v>11</v>
      </c>
      <c r="CL1002" s="62" t="n">
        <f aca="false">N(M1002)</f>
        <v>1</v>
      </c>
      <c r="CM1002" s="62" t="n">
        <f aca="false">N(N1002)</f>
        <v>10</v>
      </c>
      <c r="CN1002" s="62" t="n">
        <f aca="false">ROUNDUP(H1002/BZ1002,0)</f>
        <v>1</v>
      </c>
      <c r="CO1002" s="62" t="n">
        <f aca="false">ROUNDUP(CJ1002/BZ1002,0)</f>
        <v>0</v>
      </c>
      <c r="CP1002" s="65" t="n">
        <f aca="false">IF(CA1002=1,0,IFERROR(VLOOKUP(BY1002,'Gebinde-Kategorie'!$A$5:$N$45,5,0)+0,0))</f>
        <v>11</v>
      </c>
      <c r="CQ1002" s="65" t="n">
        <f aca="false">IFERROR(IF(OR(CF1002=1,CF1002=2,CF1002=3),N(INDEX(Parameter!$I$5:$I$7,CF1002)),0),0)</f>
        <v>0</v>
      </c>
      <c r="CR1002" s="64" t="n">
        <f aca="false">IF(AND(Parameter!$B$21="Ja",ISNUMBER(W1002),N(X1002)&gt;0),IFERROR(N(INDEX(Parameter!$L$5:$L$7,W1002))*INDEX(Parameter!$E$5:$E$7,W1002)*X1002/SUMIFS($X$7:$X$1843,$W$7:$W$1843,W1002),0),0)</f>
        <v>0</v>
      </c>
      <c r="CS1002" s="62" t="str">
        <f aca="false">IF(AND(OR(CG1002="L1",CG1002="L23",CG1002="LIFT"),H1002&gt;0),CC1002*IF(CR1002&gt;0,CR1002*MAX(1,H1002/X1002),IF(CA1002=1,CE1002,IF(R1002&gt;0,CN1002/R1002,0))/MAX(0.1,N(Parameter!$M$21))),"")</f>
        <v/>
      </c>
      <c r="CT1002" s="64" t="str">
        <f aca="false">IF(CS1002="","",J1002/H1002)</f>
        <v/>
      </c>
      <c r="CU1002" s="62" t="str">
        <f aca="false">IF(CS1002="","",H1002*G1002)</f>
        <v/>
      </c>
      <c r="CV1002" s="63" t="str">
        <f aca="false">IF(CS1002="","",(CL1002+ROUNDUP(CL1002+MAX(CM1002,2*(J1002/MAX(0.1,N(Einkauf!$C$6))-CL1002)),0))/2)</f>
        <v/>
      </c>
      <c r="CW1002" s="62" t="str">
        <f aca="false">IF(CS1002="","",MAX(0,H1002-CV1002)*G1002)</f>
        <v/>
      </c>
      <c r="CX1002" s="62" t="str">
        <f aca="false">IF(CS1002="","",CS1002*MAX(0,1-CV1002/H1002))</f>
        <v/>
      </c>
      <c r="CY1002" s="64" t="str">
        <f aca="false">IF(CS1002="","",PERCENTRANK($CS$7:$CS$1843,CS1002)+PERCENTRANK($CU$7:$CU$1843,CU1002)+1-PERCENTRANK($CT$7:$CT$1843,CT1002))</f>
        <v/>
      </c>
      <c r="CZ1002" s="72" t="str">
        <f aca="false">IF(CS1002="","",CHOOSE(MATCH(Einkauf!$C$5,Parameter!$G$23:$G$27,0),CY1002,CS1002,CU1002,-CT1002,CW1002)+ROW()/1000000000)</f>
        <v/>
      </c>
    </row>
    <row r="1003" customFormat="false" ht="15" hidden="false" customHeight="false" outlineLevel="0" collapsed="false">
      <c r="A1003" s="60" t="s">
        <v>1891</v>
      </c>
      <c r="B1003" s="60" t="s">
        <v>1892</v>
      </c>
      <c r="C1003" s="60" t="s">
        <v>206</v>
      </c>
      <c r="D1003" s="60" t="s">
        <v>215</v>
      </c>
      <c r="E1003" s="60"/>
      <c r="F1003" s="60" t="s">
        <v>260</v>
      </c>
      <c r="G1003" s="61" t="n">
        <v>99.06</v>
      </c>
      <c r="H1003" s="62" t="n">
        <f aca="false">MAX(0,IF(AND(Parameter!$B$21="Ja",ISNUMBER(Y1003)),Y1003,IF(Parameter!$B$20="Jahresanfang 2025 + Export",BS1003+BR1003,BR1003)))</f>
        <v>1</v>
      </c>
      <c r="I1003" s="62" t="n">
        <f aca="false">H1003*G1003</f>
        <v>99.06</v>
      </c>
      <c r="J1003" s="62" t="n">
        <f aca="false">BU1003*Parameter!$B$18</f>
        <v>0</v>
      </c>
      <c r="K1003" s="63" t="n">
        <v>1.5</v>
      </c>
      <c r="L1003" s="64" t="n">
        <v>0</v>
      </c>
      <c r="M1003" s="62" t="n">
        <v>0</v>
      </c>
      <c r="N1003" s="62" t="n">
        <v>1</v>
      </c>
      <c r="O1003" s="65" t="n">
        <v>28</v>
      </c>
      <c r="P1003" s="60" t="s">
        <v>210</v>
      </c>
      <c r="Q1003" s="62"/>
      <c r="R1003" s="65" t="n">
        <f aca="false">IF(CA1003=1,0,IFERROR(VLOOKUP(BY1003,'Gebinde-Kategorie'!$A$5:$N$45,13,0)+0,0))</f>
        <v>12</v>
      </c>
      <c r="S1003" s="66"/>
      <c r="T1003" s="67" t="s">
        <v>221</v>
      </c>
      <c r="U1003" s="67"/>
      <c r="V1003" s="67"/>
      <c r="W1003" s="60"/>
      <c r="X1003" s="62"/>
      <c r="Y1003" s="62"/>
      <c r="Z1003" s="60" t="n">
        <v>3</v>
      </c>
      <c r="AA1003" s="60" t="n">
        <f aca="false">IF(A1003="","",IF(AND(Parameter!$B$21="Ja",ISNUMBER(W1003)),W1003,IF(AND(Parameter!$E$27="Ja",ISNUMBER(Z1003),CD1003&lt;&gt;"Nein"),Z1003,IF(CD1003="2+3",IF(ISNUMBER(SEARCH("grosser Artikel",BV1003)),2,IFERROR(VLOOKUP(BY1003,Parameter!$F$35:$G$64,2,0),2)),IF(OR(CD1003="Nein",CD1003=""),"-",CD1003)))))</f>
        <v>3</v>
      </c>
      <c r="AB1003" s="67"/>
      <c r="AC1003" s="68"/>
      <c r="AD1003" s="62" t="n">
        <f aca="false">AW1003</f>
        <v>1</v>
      </c>
      <c r="AE1003" s="62" t="n">
        <f aca="false">MAX(AW1003,H1003)</f>
        <v>1</v>
      </c>
      <c r="AF1003" s="69"/>
      <c r="AG1003" s="62" t="n">
        <f aca="false">IF(LEFT(Cockpit!$C$5,1)="A",H1003,IF(Parameter!$E$30="MAX-Bestand",IF(CI1003=1,CJ1003,IF(LEFT(Cockpit!$C$5,1)="B",AM1003,MAX(AM1003,H1003))),ROUNDUP(AK1003,0)))</f>
        <v>1</v>
      </c>
      <c r="AH1003" s="62" t="n">
        <f aca="false">IF(CA1003=1,0,ROUNDUP(AG1003/BZ1003,0))</f>
        <v>1</v>
      </c>
      <c r="AI1003" s="64" t="n">
        <f aca="false">IF(CR1003&gt;0,CR1003*MAX(1,AG1003/X1003),IF(CA1003=1,IF(AG1003&lt;=0,0,CE1003*MAX(1,IF(H1003&gt;0,AG1003/H1003,1))),IF(R1003&gt;0,AH1003/R1003,0))/MAX(0.1,N(Parameter!$M$21)))</f>
        <v>0.0833333333333333</v>
      </c>
      <c r="AJ1003" s="62" t="n">
        <f aca="false">AI1003*CC1003</f>
        <v>12.0833333333333</v>
      </c>
      <c r="AK1003" s="63" t="n">
        <f aca="false">IF(LEFT(Cockpit!$C$5,1)="A",H1003,IF(CI1003=1,(CL1003+CJ1003)/2,IF(LEFT(Cockpit!$C$5,1)="B",(CL1003+AM1003)/2,MAX((CL1003+AM1003)/2,H1003))))</f>
        <v>1</v>
      </c>
      <c r="AL1003" s="62" t="n">
        <f aca="false">AK1003*G1003</f>
        <v>99.06</v>
      </c>
      <c r="AM1003" s="62" t="n">
        <f aca="false">ROUNDUP(CL1003+MAX(CM1003,2*(J1003/IF(CH1003&gt;0,CH1003,MAX(0.1,N(Cockpit!$C$6)))-CL1003)),0)</f>
        <v>1</v>
      </c>
      <c r="AN1003" s="63" t="n">
        <f aca="false">IF(AJ1003&gt;0,J1003/AJ1003,-1)</f>
        <v>0</v>
      </c>
      <c r="AO1003" s="63" t="n">
        <f aca="false">IF(AND(OR(CG1003="L1",CG1003="L23",CG1003="LIFT"),AJ1003&gt;0),SUMIFS($AJ$7:$AJ$1843,$CG$7:$CG$1843,CG1003,$AN$7:$AN$1843,"&gt;"&amp;AN1003)+SUMIFS($AJ$7:$AJ$1843,$CG$7:$CG$1843,CG1003,$AN$7:$AN$1843,AN1003,$BX$7:$BX$1843,"&lt;="&amp;BX1003),"")</f>
        <v>28953.1146370108</v>
      </c>
      <c r="AP1003" s="70" t="n">
        <f aca="false">IF(AO1003="",0,MAX(0,MIN(1,(IF(CG1003="L1",Parameter!$H$5,IF(CG1003="L23",Parameter!$H$6+Parameter!$H$7,Parameter!$H$5+Parameter!$H$6+Parameter!$H$7))-(AO1003-AJ1003))/AJ1003)))</f>
        <v>1</v>
      </c>
      <c r="AQ1003" s="62" t="n">
        <f aca="false">IF(LEFT(Cockpit!$I$5,1)="A",H1003,IF(Parameter!$E$30="MAX-Bestand",IF(CI1003=1,CJ1003,IF(LEFT(Cockpit!$I$5,1)="B",AW1003,MAX(AW1003,H1003))),ROUNDUP(AU1003,0)))</f>
        <v>1</v>
      </c>
      <c r="AR1003" s="62" t="n">
        <f aca="false">IF(CA1003=1,0,ROUNDUP(AQ1003/BZ1003,0))</f>
        <v>1</v>
      </c>
      <c r="AS1003" s="64" t="n">
        <f aca="false">IF(CR1003&gt;0,CR1003*MAX(1,AQ1003/X1003),IF(CA1003=1,IF(AQ1003&lt;=0,0,CE1003*MAX(1,IF(H1003&gt;0,AQ1003/H1003,1))),IF(R1003&gt;0,AR1003/R1003,0))/MAX(0.1,N(Parameter!$M$21)))</f>
        <v>0.0833333333333333</v>
      </c>
      <c r="AT1003" s="62" t="n">
        <f aca="false">AS1003*CC1003</f>
        <v>12.0833333333333</v>
      </c>
      <c r="AU1003" s="63" t="n">
        <f aca="false">IF(LEFT(Cockpit!$I$5,1)="A",H1003,IF(CI1003=1,(CL1003+CJ1003)/2,IF(LEFT(Cockpit!$I$5,1)="B",(CL1003+AW1003)/2,MAX((CL1003+AW1003)/2,H1003))))</f>
        <v>1</v>
      </c>
      <c r="AV1003" s="62" t="n">
        <f aca="false">AU1003*G1003</f>
        <v>99.06</v>
      </c>
      <c r="AW1003" s="62" t="n">
        <f aca="false">ROUNDUP(CL1003+MAX(CM1003,2*(J1003/IF(CH1003&gt;0,CH1003,MAX(0.1,N(Cockpit!$I$6)))-CL1003)),0)</f>
        <v>1</v>
      </c>
      <c r="AX1003" s="63" t="n">
        <f aca="false">IF(AT1003&gt;0,J1003/AT1003,-1)</f>
        <v>0</v>
      </c>
      <c r="AY1003" s="63" t="n">
        <f aca="false">IF(AND(OR(CG1003="L1",CG1003="L23",CG1003="LIFT"),AT1003&gt;0),SUMIFS($AT$7:$AT$1843,$CG$7:$CG$1843,CG1003,$AX$7:$AX$1843,"&gt;"&amp;AX1003)+SUMIFS($AT$7:$AT$1843,$CG$7:$CG$1843,CG1003,$AX$7:$AX$1843,AX1003,$BX$7:$BX$1843,"&lt;="&amp;BX1003),"")</f>
        <v>34641.913003663</v>
      </c>
      <c r="AZ1003" s="70" t="n">
        <f aca="false">IF(AY1003="",0,MAX(0,MIN(1,(IF(CG1003="L1",Parameter!$H$5,IF(CG1003="L23",Parameter!$H$6+Parameter!$H$7,Parameter!$H$5+Parameter!$H$6+Parameter!$H$7))-(AY1003-AT1003))/AT1003)))</f>
        <v>1</v>
      </c>
      <c r="BA1003" s="62" t="n">
        <f aca="false">IF(LEFT(Cockpit!$O$5,1)="A",H1003,IF(Parameter!$E$30="MAX-Bestand",IF(CI1003=1,CJ1003,IF(LEFT(Cockpit!$O$5,1)="B",BG1003,MAX(BG1003,H1003))),ROUNDUP(BE1003,0)))</f>
        <v>1</v>
      </c>
      <c r="BB1003" s="62" t="n">
        <f aca="false">IF(CA1003=1,0,ROUNDUP(BA1003/BZ1003,0))</f>
        <v>1</v>
      </c>
      <c r="BC1003" s="64" t="n">
        <f aca="false">IF(CR1003&gt;0,CR1003*MAX(1,BA1003/X1003),IF(CA1003=1,IF(BA1003&lt;=0,0,CE1003*MAX(1,IF(H1003&gt;0,BA1003/H1003,1))),IF(R1003&gt;0,BB1003/R1003,0))/MAX(0.1,N(Parameter!$M$21)))</f>
        <v>0.0833333333333333</v>
      </c>
      <c r="BD1003" s="62" t="n">
        <f aca="false">BC1003*CC1003</f>
        <v>12.0833333333333</v>
      </c>
      <c r="BE1003" s="63" t="n">
        <f aca="false">IF(LEFT(Cockpit!$O$5,1)="A",H1003,IF(CI1003=1,(CL1003+CJ1003)/2,IF(LEFT(Cockpit!$O$5,1)="B",(CL1003+BG1003)/2,MAX((CL1003+BG1003)/2,H1003))))</f>
        <v>0.5</v>
      </c>
      <c r="BF1003" s="62" t="n">
        <f aca="false">BE1003*G1003</f>
        <v>49.53</v>
      </c>
      <c r="BG1003" s="62" t="n">
        <f aca="false">ROUNDUP(CL1003+MAX(CM1003,2*(J1003/IF(CH1003&gt;0,CH1003,MAX(0.1,N(Cockpit!$O$6)))-CL1003)),0)</f>
        <v>1</v>
      </c>
      <c r="BH1003" s="63" t="n">
        <f aca="false">IF(BD1003&gt;0,J1003/BD1003,-1)</f>
        <v>0</v>
      </c>
      <c r="BI1003" s="63" t="n">
        <f aca="false">IF(AND(OR(CG1003="L1",CG1003="L23",CG1003="LIFT"),BD1003&gt;0),SUMIFS($BD$7:$BD$1843,$CG$7:$CG$1843,CG1003,$BH$7:$BH$1843,"&gt;"&amp;BH1003)+SUMIFS($BD$7:$BD$1843,$CG$7:$CG$1843,CG1003,$BH$7:$BH$1843,BH1003,$BX$7:$BX$1843,"&lt;="&amp;BX1003),"")</f>
        <v>28657.0273561185</v>
      </c>
      <c r="BJ1003" s="70" t="n">
        <f aca="false">IF(BI1003="",0,MAX(0,MIN(1,(IF(CG1003="L1",Parameter!$H$5,IF(CG1003="L23",Parameter!$H$6+Parameter!$H$7,Parameter!$H$5+Parameter!$H$6+Parameter!$H$7))-(BI1003-BD1003))/BD1003)))</f>
        <v>1</v>
      </c>
      <c r="BK1003" s="60" t="str">
        <f aca="false">IF(AJ1003&lt;=0,"",IF(CG1003="Aussen","Aussenlager",IF(CG1003="-","Nicht im Lift",IF(AP1003&gt;=1,"Lift",IF(AP1003&lt;=0,"Aussenlager","teilweise")))))</f>
        <v>Lift</v>
      </c>
      <c r="BL1003" s="60" t="str">
        <f aca="false">IF(AT1003&lt;=0,"",IF(CG1003="Aussen","Aussenlager",IF(CG1003="-","Nicht im Lift",IF(AZ1003&gt;=1,"Lift",IF(AZ1003&lt;=0,"Aussenlager","teilweise")))))</f>
        <v>Lift</v>
      </c>
      <c r="BM1003" s="60" t="str">
        <f aca="false">IF(BD1003&lt;=0,"",IF(CG1003="Aussen","Aussenlager",IF(CG1003="-","Nicht im Lift",IF(BJ1003&gt;=1,"Lift",IF(BJ1003&lt;=0,"Aussenlager","teilweise")))))</f>
        <v>Lift</v>
      </c>
      <c r="BN1003" s="60" t="str">
        <f aca="false">IF(A1003="","",IF(BW1003=1,"Neu; ","")&amp;IF(AND(BW1003=0,BR1003&lt;0),"negativer Bestand (Export "&amp;BR1003&amp;"); ","")&amp;IF(J1003&lt;=0,"Kein Verbrauch; ","")&amp;IF(CR1003&gt;0,"Lift "&amp;W1003&amp;" lt. Liftbericht (Fach "&amp;X1003&amp;" Stk); ",IF(CB1003=1,"Gebinde geschätzt ("&amp;T1003&amp;"); ",IF(CA1003=1,"Lose – Tablare geschätzt; ","")))&amp;IF(H1003&gt;AW1003,"Überbestand "&amp;ROUND(H1003-AW1003,0)&amp;" Stk / CHF "&amp;ROUND((H1003-AW1003)*G1003,0)&amp;"; ","")&amp;IF(AND(CI1003=1,CJ1003&lt;CK1003),"MAX &lt; MB+LG; ","")&amp;IF(AND(CQ1003&gt;0,CP1003*10&gt;CQ1003),"zu hoch für Tablar; ","")&amp;IF(AND(BW1003=0,OR(CI1003=1,AB1003&lt;&gt;"",U1003&lt;&gt;"",V1003&lt;&gt;"",AC1003&lt;&gt;"")),"manuell übersteuert; ","")&amp;IF(AND(CA1003=0,R1003=0),"Gebinde unbekannt / Stellmass fehlt; ","")&amp;IF(AND(CA1003=0,N(V1003)&lt;=0,N(Q1003)&lt;=0),"Menge pro Gebinde fehlt (Ist = 1 Gebinde); ","")&amp;BV1003)</f>
        <v>negativer Bestand (Export -1); Kein Verbrauch; Gebinde geschätzt (Mittel); Menge pro Gebinde fehlt (Ist = 1 Gebinde); </v>
      </c>
      <c r="BO1003" s="60"/>
      <c r="BP1003" s="60"/>
      <c r="BQ1003" s="67"/>
      <c r="BR1003" s="62" t="n">
        <v>-1</v>
      </c>
      <c r="BS1003" s="62" t="n">
        <v>2</v>
      </c>
      <c r="BT1003" s="61" t="n">
        <v>-99.06</v>
      </c>
      <c r="BU1003" s="62" t="n">
        <v>0</v>
      </c>
      <c r="BV1003" s="60"/>
      <c r="BW1003" s="65" t="n">
        <v>0</v>
      </c>
      <c r="BX1003" s="65" t="n">
        <v>1003</v>
      </c>
      <c r="BY1003" s="60" t="str">
        <f aca="false">IF(U1003&lt;&gt;"",UPPER(TRIM(U1003)),IF(CB1003=1,UPPER(VLOOKUP(T1003,Parameter!$I$27:$K$29,2,0)),IF(P1003="","LOSE",P1003)))</f>
        <v>S61</v>
      </c>
      <c r="BZ1003" s="62" t="n">
        <f aca="false">IF(BY1003="LOSE",1,IF(N(V1003)&gt;0,V1003,IF(CB1003=1,MAX(1,N(VLOOKUP(T1003,Parameter!$I$27:$K$29,3,0)),H1003,N(N1003)),IF(N(Q1003)&gt;0,Q1003,MAX(1,H1003)))))</f>
        <v>4</v>
      </c>
      <c r="CA1003" s="65" t="n">
        <f aca="false">IF(BY1003="LOSE",1,0)</f>
        <v>0</v>
      </c>
      <c r="CB1003" s="65" t="n">
        <f aca="false">IF(AND(U1003="",OR(P1003="",P1003="LOSE"),T1003&lt;&gt;"",N(S1003)&lt;=0,ISNUMBER(MATCH(T1003,Parameter!$I$27:$I$29,0))),1,0)</f>
        <v>1</v>
      </c>
      <c r="CC1003" s="65" t="n">
        <f aca="false">IF(CR1003&gt;0,INDEX(Parameter!$H$5:$H$7,W1003)/INDEX(Parameter!$E$5:$E$7,W1003),IF(AND(CA1003=0,N(IFERROR(VLOOKUP(BY1003,'Gebinde-Kategorie'!$A$5:$N$45,14,0),0))&gt;0),VLOOKUP(BY1003,'Gebinde-Kategorie'!$A$5:$N$45,14,0)*10+Parameter!$M$23,Parameter!$M$24))</f>
        <v>145</v>
      </c>
      <c r="CD1003" s="60" t="str">
        <f aca="false">IF(AND(Parameter!$B$19="Ja",E1003&lt;&gt;"",ISNUMBER(MATCH(E1003,Parameter!$I$35:$I$52,0))),VLOOKUP(E1003,Parameter!$I$35:$J$52,2,0),IFERROR(VLOOKUP(D1003,Parameter!$A$35:$C$64,2,0),"Nein"))</f>
        <v>2+3</v>
      </c>
      <c r="CE1003" s="64" t="n">
        <f aca="false">IF(CA1003=0,0,IF(N(S1003)&gt;0,S1003,IFERROR(VLOOKUP(D1003,Parameter!$A$35:$C$64,3,0)+0,0)))</f>
        <v>0</v>
      </c>
      <c r="CF1003" s="60" t="n">
        <f aca="false">IF(AB1003&lt;&gt;"",AB1003,AA1003)</f>
        <v>3</v>
      </c>
      <c r="CG1003" s="60" t="str">
        <f aca="false">IF(OR(CF1003=1,CF1003=2,CF1003=3),IF(Parameter!$E$27="Ja","LIFT",IF(CF1003=1,"L1","L23")),IF(CF1003="Aussen","Aussen","-"))</f>
        <v>LIFT</v>
      </c>
      <c r="CH1003" s="71" t="n">
        <f aca="false">IF(N(AC1003)&gt;0,AC1003,0)</f>
        <v>0</v>
      </c>
      <c r="CI1003" s="65" t="n">
        <f aca="false">IF(ISNUMBER(AF1003),1,0)</f>
        <v>0</v>
      </c>
      <c r="CJ1003" s="62" t="n">
        <f aca="false">N(AF1003)</f>
        <v>0</v>
      </c>
      <c r="CK1003" s="62" t="n">
        <f aca="false">N(M1003)+N(N1003)</f>
        <v>1</v>
      </c>
      <c r="CL1003" s="62" t="n">
        <f aca="false">N(M1003)</f>
        <v>0</v>
      </c>
      <c r="CM1003" s="62" t="n">
        <f aca="false">N(N1003)</f>
        <v>1</v>
      </c>
      <c r="CN1003" s="62" t="n">
        <f aca="false">ROUNDUP(H1003/BZ1003,0)</f>
        <v>1</v>
      </c>
      <c r="CO1003" s="62" t="n">
        <f aca="false">ROUNDUP(CJ1003/BZ1003,0)</f>
        <v>0</v>
      </c>
      <c r="CP1003" s="65" t="n">
        <f aca="false">IF(CA1003=1,0,IFERROR(VLOOKUP(BY1003,'Gebinde-Kategorie'!$A$5:$N$45,5,0)+0,0))</f>
        <v>11</v>
      </c>
      <c r="CQ1003" s="65" t="n">
        <f aca="false">IFERROR(IF(OR(CF1003=1,CF1003=2,CF1003=3),N(INDEX(Parameter!$I$5:$I$7,CF1003)),0),0)</f>
        <v>0</v>
      </c>
      <c r="CR1003" s="64" t="n">
        <f aca="false">IF(AND(Parameter!$B$21="Ja",ISNUMBER(W1003),N(X1003)&gt;0),IFERROR(N(INDEX(Parameter!$L$5:$L$7,W1003))*INDEX(Parameter!$E$5:$E$7,W1003)*X1003/SUMIFS($X$7:$X$1843,$W$7:$W$1843,W1003),0),0)</f>
        <v>0</v>
      </c>
      <c r="CS1003" s="62" t="n">
        <f aca="false">IF(AND(OR(CG1003="L1",CG1003="L23",CG1003="LIFT"),H1003&gt;0),CC1003*IF(CR1003&gt;0,CR1003*MAX(1,H1003/X1003),IF(CA1003=1,CE1003,IF(R1003&gt;0,CN1003/R1003,0))/MAX(0.1,N(Parameter!$M$21))),"")</f>
        <v>12.0833333333333</v>
      </c>
      <c r="CT1003" s="64" t="n">
        <f aca="false">IF(CS1003="","",J1003/H1003)</f>
        <v>0</v>
      </c>
      <c r="CU1003" s="62" t="n">
        <f aca="false">IF(CS1003="","",H1003*G1003)</f>
        <v>99.06</v>
      </c>
      <c r="CV1003" s="63" t="n">
        <f aca="false">IF(CS1003="","",(CL1003+ROUNDUP(CL1003+MAX(CM1003,2*(J1003/MAX(0.1,N(Einkauf!$C$6))-CL1003)),0))/2)</f>
        <v>0.5</v>
      </c>
      <c r="CW1003" s="62" t="n">
        <f aca="false">IF(CS1003="","",MAX(0,H1003-CV1003)*G1003)</f>
        <v>49.53</v>
      </c>
      <c r="CX1003" s="62" t="n">
        <f aca="false">IF(CS1003="","",CS1003*MAX(0,1-CV1003/H1003))</f>
        <v>6.04166666666667</v>
      </c>
      <c r="CY1003" s="64" t="n">
        <f aca="false">IF(CS1003="","",PERCENTRANK($CS$7:$CS$1843,CS1003)+PERCENTRANK($CU$7:$CU$1843,CU1003)+1-PERCENTRANK($CT$7:$CT$1843,CT1003))</f>
        <v>1.893</v>
      </c>
      <c r="CZ1003" s="72" t="n">
        <f aca="false">IF(CS1003="","",CHOOSE(MATCH(Einkauf!$C$5,Parameter!$G$23:$G$27,0),CY1003,CS1003,CU1003,-CT1003,CW1003)+ROW()/1000000000)</f>
        <v>1.893001003</v>
      </c>
    </row>
    <row r="1004" customFormat="false" ht="15" hidden="false" customHeight="false" outlineLevel="0" collapsed="false">
      <c r="A1004" s="60" t="s">
        <v>1893</v>
      </c>
      <c r="B1004" s="60" t="s">
        <v>1894</v>
      </c>
      <c r="C1004" s="60" t="s">
        <v>498</v>
      </c>
      <c r="D1004" s="60" t="s">
        <v>215</v>
      </c>
      <c r="E1004" s="60"/>
      <c r="F1004" s="60" t="s">
        <v>260</v>
      </c>
      <c r="G1004" s="61" t="n">
        <v>12.5</v>
      </c>
      <c r="H1004" s="62" t="n">
        <f aca="false">MAX(0,IF(AND(Parameter!$B$21="Ja",ISNUMBER(Y1004)),Y1004,IF(Parameter!$B$20="Jahresanfang 2025 + Export",BS1004+BR1004,BR1004)))</f>
        <v>8</v>
      </c>
      <c r="I1004" s="62" t="n">
        <f aca="false">H1004*G1004</f>
        <v>100</v>
      </c>
      <c r="J1004" s="62" t="n">
        <f aca="false">BU1004*Parameter!$B$18</f>
        <v>8</v>
      </c>
      <c r="K1004" s="63" t="n">
        <v>8</v>
      </c>
      <c r="L1004" s="64" t="n">
        <v>1</v>
      </c>
      <c r="M1004" s="62" t="n">
        <v>0</v>
      </c>
      <c r="N1004" s="62" t="n">
        <v>10</v>
      </c>
      <c r="O1004" s="65" t="n">
        <v>28</v>
      </c>
      <c r="P1004" s="60" t="s">
        <v>210</v>
      </c>
      <c r="Q1004" s="62"/>
      <c r="R1004" s="65" t="n">
        <f aca="false">IF(CA1004=1,0,IFERROR(VLOOKUP(BY1004,'Gebinde-Kategorie'!$A$5:$N$45,13,0)+0,0))</f>
        <v>12</v>
      </c>
      <c r="S1004" s="66"/>
      <c r="T1004" s="67" t="s">
        <v>221</v>
      </c>
      <c r="U1004" s="67"/>
      <c r="V1004" s="67"/>
      <c r="W1004" s="60"/>
      <c r="X1004" s="62"/>
      <c r="Y1004" s="62"/>
      <c r="Z1004" s="60" t="n">
        <v>3</v>
      </c>
      <c r="AA1004" s="60" t="n">
        <f aca="false">IF(A1004="","",IF(AND(Parameter!$B$21="Ja",ISNUMBER(W1004)),W1004,IF(AND(Parameter!$E$27="Ja",ISNUMBER(Z1004),CD1004&lt;&gt;"Nein"),Z1004,IF(CD1004="2+3",IF(ISNUMBER(SEARCH("grosser Artikel",BV1004)),2,IFERROR(VLOOKUP(BY1004,Parameter!$F$35:$G$64,2,0),2)),IF(OR(CD1004="Nein",CD1004=""),"-",CD1004)))))</f>
        <v>3</v>
      </c>
      <c r="AB1004" s="67"/>
      <c r="AC1004" s="68"/>
      <c r="AD1004" s="62" t="n">
        <f aca="false">AW1004</f>
        <v>10</v>
      </c>
      <c r="AE1004" s="62" t="n">
        <f aca="false">MAX(AW1004,H1004)</f>
        <v>10</v>
      </c>
      <c r="AF1004" s="69"/>
      <c r="AG1004" s="62" t="n">
        <f aca="false">IF(LEFT(Cockpit!$C$5,1)="A",H1004,IF(Parameter!$E$30="MAX-Bestand",IF(CI1004=1,CJ1004,IF(LEFT(Cockpit!$C$5,1)="B",AM1004,MAX(AM1004,H1004))),ROUNDUP(AK1004,0)))</f>
        <v>8</v>
      </c>
      <c r="AH1004" s="62" t="n">
        <f aca="false">IF(CA1004=1,0,ROUNDUP(AG1004/BZ1004,0))</f>
        <v>1</v>
      </c>
      <c r="AI1004" s="64" t="n">
        <f aca="false">IF(CR1004&gt;0,CR1004*MAX(1,AG1004/X1004),IF(CA1004=1,IF(AG1004&lt;=0,0,CE1004*MAX(1,IF(H1004&gt;0,AG1004/H1004,1))),IF(R1004&gt;0,AH1004/R1004,0))/MAX(0.1,N(Parameter!$M$21)))</f>
        <v>0.0833333333333333</v>
      </c>
      <c r="AJ1004" s="62" t="n">
        <f aca="false">AI1004*CC1004</f>
        <v>12.0833333333333</v>
      </c>
      <c r="AK1004" s="63" t="n">
        <f aca="false">IF(LEFT(Cockpit!$C$5,1)="A",H1004,IF(CI1004=1,(CL1004+CJ1004)/2,IF(LEFT(Cockpit!$C$5,1)="B",(CL1004+AM1004)/2,MAX((CL1004+AM1004)/2,H1004))))</f>
        <v>8</v>
      </c>
      <c r="AL1004" s="62" t="n">
        <f aca="false">AK1004*G1004</f>
        <v>100</v>
      </c>
      <c r="AM1004" s="62" t="n">
        <f aca="false">ROUNDUP(CL1004+MAX(CM1004,2*(J1004/IF(CH1004&gt;0,CH1004,MAX(0.1,N(Cockpit!$C$6)))-CL1004)),0)</f>
        <v>10</v>
      </c>
      <c r="AN1004" s="63" t="n">
        <f aca="false">IF(AJ1004&gt;0,J1004/AJ1004,-1)</f>
        <v>0.662068965517242</v>
      </c>
      <c r="AO1004" s="63" t="n">
        <f aca="false">IF(AND(OR(CG1004="L1",CG1004="L23",CG1004="LIFT"),AJ1004&gt;0),SUMIFS($AJ$7:$AJ$1843,$CG$7:$CG$1843,CG1004,$AN$7:$AN$1843,"&gt;"&amp;AN1004)+SUMIFS($AJ$7:$AJ$1843,$CG$7:$CG$1843,CG1004,$AN$7:$AN$1843,AN1004,$BX$7:$BX$1843,"&lt;="&amp;BX1004),"")</f>
        <v>8704.6217948718</v>
      </c>
      <c r="AP1004" s="70" t="n">
        <f aca="false">IF(AO1004="",0,MAX(0,MIN(1,(IF(CG1004="L1",Parameter!$H$5,IF(CG1004="L23",Parameter!$H$6+Parameter!$H$7,Parameter!$H$5+Parameter!$H$6+Parameter!$H$7))-(AO1004-AJ1004))/AJ1004)))</f>
        <v>1</v>
      </c>
      <c r="AQ1004" s="62" t="n">
        <f aca="false">IF(LEFT(Cockpit!$I$5,1)="A",H1004,IF(Parameter!$E$30="MAX-Bestand",IF(CI1004=1,CJ1004,IF(LEFT(Cockpit!$I$5,1)="B",AW1004,MAX(AW1004,H1004))),ROUNDUP(AU1004,0)))</f>
        <v>8</v>
      </c>
      <c r="AR1004" s="62" t="n">
        <f aca="false">IF(CA1004=1,0,ROUNDUP(AQ1004/BZ1004,0))</f>
        <v>1</v>
      </c>
      <c r="AS1004" s="64" t="n">
        <f aca="false">IF(CR1004&gt;0,CR1004*MAX(1,AQ1004/X1004),IF(CA1004=1,IF(AQ1004&lt;=0,0,CE1004*MAX(1,IF(H1004&gt;0,AQ1004/H1004,1))),IF(R1004&gt;0,AR1004/R1004,0))/MAX(0.1,N(Parameter!$M$21)))</f>
        <v>0.0833333333333333</v>
      </c>
      <c r="AT1004" s="62" t="n">
        <f aca="false">AS1004*CC1004</f>
        <v>12.0833333333333</v>
      </c>
      <c r="AU1004" s="63" t="n">
        <f aca="false">IF(LEFT(Cockpit!$I$5,1)="A",H1004,IF(CI1004=1,(CL1004+CJ1004)/2,IF(LEFT(Cockpit!$I$5,1)="B",(CL1004+AW1004)/2,MAX((CL1004+AW1004)/2,H1004))))</f>
        <v>8</v>
      </c>
      <c r="AV1004" s="62" t="n">
        <f aca="false">AU1004*G1004</f>
        <v>100</v>
      </c>
      <c r="AW1004" s="62" t="n">
        <f aca="false">ROUNDUP(CL1004+MAX(CM1004,2*(J1004/IF(CH1004&gt;0,CH1004,MAX(0.1,N(Cockpit!$I$6)))-CL1004)),0)</f>
        <v>10</v>
      </c>
      <c r="AX1004" s="63" t="n">
        <f aca="false">IF(AT1004&gt;0,J1004/AT1004,-1)</f>
        <v>0.662068965517242</v>
      </c>
      <c r="AY1004" s="63" t="n">
        <f aca="false">IF(AND(OR(CG1004="L1",CG1004="L23",CG1004="LIFT"),AT1004&gt;0),SUMIFS($AT$7:$AT$1843,$CG$7:$CG$1843,CG1004,$AX$7:$AX$1843,"&gt;"&amp;AX1004)+SUMIFS($AT$7:$AT$1843,$CG$7:$CG$1843,CG1004,$AX$7:$AX$1843,AX1004,$BX$7:$BX$1843,"&lt;="&amp;BX1004),"")</f>
        <v>11004.7509157509</v>
      </c>
      <c r="AZ1004" s="70" t="n">
        <f aca="false">IF(AY1004="",0,MAX(0,MIN(1,(IF(CG1004="L1",Parameter!$H$5,IF(CG1004="L23",Parameter!$H$6+Parameter!$H$7,Parameter!$H$5+Parameter!$H$6+Parameter!$H$7))-(AY1004-AT1004))/AT1004)))</f>
        <v>1</v>
      </c>
      <c r="BA1004" s="62" t="n">
        <f aca="false">IF(LEFT(Cockpit!$O$5,1)="A",H1004,IF(Parameter!$E$30="MAX-Bestand",IF(CI1004=1,CJ1004,IF(LEFT(Cockpit!$O$5,1)="B",BG1004,MAX(BG1004,H1004))),ROUNDUP(BE1004,0)))</f>
        <v>5</v>
      </c>
      <c r="BB1004" s="62" t="n">
        <f aca="false">IF(CA1004=1,0,ROUNDUP(BA1004/BZ1004,0))</f>
        <v>1</v>
      </c>
      <c r="BC1004" s="64" t="n">
        <f aca="false">IF(CR1004&gt;0,CR1004*MAX(1,BA1004/X1004),IF(CA1004=1,IF(BA1004&lt;=0,0,CE1004*MAX(1,IF(H1004&gt;0,BA1004/H1004,1))),IF(R1004&gt;0,BB1004/R1004,0))/MAX(0.1,N(Parameter!$M$21)))</f>
        <v>0.0833333333333333</v>
      </c>
      <c r="BD1004" s="62" t="n">
        <f aca="false">BC1004*CC1004</f>
        <v>12.0833333333333</v>
      </c>
      <c r="BE1004" s="63" t="n">
        <f aca="false">IF(LEFT(Cockpit!$O$5,1)="A",H1004,IF(CI1004=1,(CL1004+CJ1004)/2,IF(LEFT(Cockpit!$O$5,1)="B",(CL1004+BG1004)/2,MAX((CL1004+BG1004)/2,H1004))))</f>
        <v>5</v>
      </c>
      <c r="BF1004" s="62" t="n">
        <f aca="false">BE1004*G1004</f>
        <v>62.5</v>
      </c>
      <c r="BG1004" s="62" t="n">
        <f aca="false">ROUNDUP(CL1004+MAX(CM1004,2*(J1004/IF(CH1004&gt;0,CH1004,MAX(0.1,N(Cockpit!$O$6)))-CL1004)),0)</f>
        <v>10</v>
      </c>
      <c r="BH1004" s="63" t="n">
        <f aca="false">IF(BD1004&gt;0,J1004/BD1004,-1)</f>
        <v>0.662068965517242</v>
      </c>
      <c r="BI1004" s="63" t="n">
        <f aca="false">IF(AND(OR(CG1004="L1",CG1004="L23",CG1004="LIFT"),BD1004&gt;0),SUMIFS($BD$7:$BD$1843,$CG$7:$CG$1843,CG1004,$BH$7:$BH$1843,"&gt;"&amp;BH1004)+SUMIFS($BD$7:$BD$1843,$CG$7:$CG$1843,CG1004,$BH$7:$BH$1843,BH1004,$BX$7:$BX$1843,"&lt;="&amp;BX1004),"")</f>
        <v>9617.36584249084</v>
      </c>
      <c r="BJ1004" s="70" t="n">
        <f aca="false">IF(BI1004="",0,MAX(0,MIN(1,(IF(CG1004="L1",Parameter!$H$5,IF(CG1004="L23",Parameter!$H$6+Parameter!$H$7,Parameter!$H$5+Parameter!$H$6+Parameter!$H$7))-(BI1004-BD1004))/BD1004)))</f>
        <v>1</v>
      </c>
      <c r="BK1004" s="60" t="str">
        <f aca="false">IF(AJ1004&lt;=0,"",IF(CG1004="Aussen","Aussenlager",IF(CG1004="-","Nicht im Lift",IF(AP1004&gt;=1,"Lift",IF(AP1004&lt;=0,"Aussenlager","teilweise")))))</f>
        <v>Lift</v>
      </c>
      <c r="BL1004" s="60" t="str">
        <f aca="false">IF(AT1004&lt;=0,"",IF(CG1004="Aussen","Aussenlager",IF(CG1004="-","Nicht im Lift",IF(AZ1004&gt;=1,"Lift",IF(AZ1004&lt;=0,"Aussenlager","teilweise")))))</f>
        <v>Lift</v>
      </c>
      <c r="BM1004" s="60" t="str">
        <f aca="false">IF(BD1004&lt;=0,"",IF(CG1004="Aussen","Aussenlager",IF(CG1004="-","Nicht im Lift",IF(BJ1004&gt;=1,"Lift",IF(BJ1004&lt;=0,"Aussenlager","teilweise")))))</f>
        <v>Lift</v>
      </c>
      <c r="BN1004" s="60" t="str">
        <f aca="false">IF(A1004="","",IF(BW1004=1,"Neu; ","")&amp;IF(AND(BW1004=0,BR1004&lt;0),"negativer Bestand (Export "&amp;BR1004&amp;"); ","")&amp;IF(J1004&lt;=0,"Kein Verbrauch; ","")&amp;IF(CR1004&gt;0,"Lift "&amp;W1004&amp;" lt. Liftbericht (Fach "&amp;X1004&amp;" Stk); ",IF(CB1004=1,"Gebinde geschätzt ("&amp;T1004&amp;"); ",IF(CA1004=1,"Lose – Tablare geschätzt; ","")))&amp;IF(H1004&gt;AW1004,"Überbestand "&amp;ROUND(H1004-AW1004,0)&amp;" Stk / CHF "&amp;ROUND((H1004-AW1004)*G1004,0)&amp;"; ","")&amp;IF(AND(CI1004=1,CJ1004&lt;CK1004),"MAX &lt; MB+LG; ","")&amp;IF(AND(CQ1004&gt;0,CP1004*10&gt;CQ1004),"zu hoch für Tablar; ","")&amp;IF(AND(BW1004=0,OR(CI1004=1,AB1004&lt;&gt;"",U1004&lt;&gt;"",V1004&lt;&gt;"",AC1004&lt;&gt;"")),"manuell übersteuert; ","")&amp;IF(AND(CA1004=0,R1004=0),"Gebinde unbekannt / Stellmass fehlt; ","")&amp;IF(AND(CA1004=0,N(V1004)&lt;=0,N(Q1004)&lt;=0),"Menge pro Gebinde fehlt (Ist = 1 Gebinde); ","")&amp;BV1004)</f>
        <v>negativer Bestand (Export -8); Gebinde geschätzt (Mittel); Menge pro Gebinde fehlt (Ist = 1 Gebinde); </v>
      </c>
      <c r="BO1004" s="60"/>
      <c r="BP1004" s="60"/>
      <c r="BQ1004" s="67"/>
      <c r="BR1004" s="62" t="n">
        <v>-8</v>
      </c>
      <c r="BS1004" s="62" t="n">
        <v>16</v>
      </c>
      <c r="BT1004" s="61" t="n">
        <v>-100</v>
      </c>
      <c r="BU1004" s="62" t="n">
        <v>8</v>
      </c>
      <c r="BV1004" s="60"/>
      <c r="BW1004" s="65" t="n">
        <v>0</v>
      </c>
      <c r="BX1004" s="65" t="n">
        <v>1004</v>
      </c>
      <c r="BY1004" s="60" t="str">
        <f aca="false">IF(U1004&lt;&gt;"",UPPER(TRIM(U1004)),IF(CB1004=1,UPPER(VLOOKUP(T1004,Parameter!$I$27:$K$29,2,0)),IF(P1004="","LOSE",P1004)))</f>
        <v>S61</v>
      </c>
      <c r="BZ1004" s="62" t="n">
        <f aca="false">IF(BY1004="LOSE",1,IF(N(V1004)&gt;0,V1004,IF(CB1004=1,MAX(1,N(VLOOKUP(T1004,Parameter!$I$27:$K$29,3,0)),H1004,N(N1004)),IF(N(Q1004)&gt;0,Q1004,MAX(1,H1004)))))</f>
        <v>10</v>
      </c>
      <c r="CA1004" s="65" t="n">
        <f aca="false">IF(BY1004="LOSE",1,0)</f>
        <v>0</v>
      </c>
      <c r="CB1004" s="65" t="n">
        <f aca="false">IF(AND(U1004="",OR(P1004="",P1004="LOSE"),T1004&lt;&gt;"",N(S1004)&lt;=0,ISNUMBER(MATCH(T1004,Parameter!$I$27:$I$29,0))),1,0)</f>
        <v>1</v>
      </c>
      <c r="CC1004" s="65" t="n">
        <f aca="false">IF(CR1004&gt;0,INDEX(Parameter!$H$5:$H$7,W1004)/INDEX(Parameter!$E$5:$E$7,W1004),IF(AND(CA1004=0,N(IFERROR(VLOOKUP(BY1004,'Gebinde-Kategorie'!$A$5:$N$45,14,0),0))&gt;0),VLOOKUP(BY1004,'Gebinde-Kategorie'!$A$5:$N$45,14,0)*10+Parameter!$M$23,Parameter!$M$24))</f>
        <v>145</v>
      </c>
      <c r="CD1004" s="60" t="str">
        <f aca="false">IF(AND(Parameter!$B$19="Ja",E1004&lt;&gt;"",ISNUMBER(MATCH(E1004,Parameter!$I$35:$I$52,0))),VLOOKUP(E1004,Parameter!$I$35:$J$52,2,0),IFERROR(VLOOKUP(D1004,Parameter!$A$35:$C$64,2,0),"Nein"))</f>
        <v>2+3</v>
      </c>
      <c r="CE1004" s="64" t="n">
        <f aca="false">IF(CA1004=0,0,IF(N(S1004)&gt;0,S1004,IFERROR(VLOOKUP(D1004,Parameter!$A$35:$C$64,3,0)+0,0)))</f>
        <v>0</v>
      </c>
      <c r="CF1004" s="60" t="n">
        <f aca="false">IF(AB1004&lt;&gt;"",AB1004,AA1004)</f>
        <v>3</v>
      </c>
      <c r="CG1004" s="60" t="str">
        <f aca="false">IF(OR(CF1004=1,CF1004=2,CF1004=3),IF(Parameter!$E$27="Ja","LIFT",IF(CF1004=1,"L1","L23")),IF(CF1004="Aussen","Aussen","-"))</f>
        <v>LIFT</v>
      </c>
      <c r="CH1004" s="71" t="n">
        <f aca="false">IF(N(AC1004)&gt;0,AC1004,0)</f>
        <v>0</v>
      </c>
      <c r="CI1004" s="65" t="n">
        <f aca="false">IF(ISNUMBER(AF1004),1,0)</f>
        <v>0</v>
      </c>
      <c r="CJ1004" s="62" t="n">
        <f aca="false">N(AF1004)</f>
        <v>0</v>
      </c>
      <c r="CK1004" s="62" t="n">
        <f aca="false">N(M1004)+N(N1004)</f>
        <v>10</v>
      </c>
      <c r="CL1004" s="62" t="n">
        <f aca="false">N(M1004)</f>
        <v>0</v>
      </c>
      <c r="CM1004" s="62" t="n">
        <f aca="false">N(N1004)</f>
        <v>10</v>
      </c>
      <c r="CN1004" s="62" t="n">
        <f aca="false">ROUNDUP(H1004/BZ1004,0)</f>
        <v>1</v>
      </c>
      <c r="CO1004" s="62" t="n">
        <f aca="false">ROUNDUP(CJ1004/BZ1004,0)</f>
        <v>0</v>
      </c>
      <c r="CP1004" s="65" t="n">
        <f aca="false">IF(CA1004=1,0,IFERROR(VLOOKUP(BY1004,'Gebinde-Kategorie'!$A$5:$N$45,5,0)+0,0))</f>
        <v>11</v>
      </c>
      <c r="CQ1004" s="65" t="n">
        <f aca="false">IFERROR(IF(OR(CF1004=1,CF1004=2,CF1004=3),N(INDEX(Parameter!$I$5:$I$7,CF1004)),0),0)</f>
        <v>0</v>
      </c>
      <c r="CR1004" s="64" t="n">
        <f aca="false">IF(AND(Parameter!$B$21="Ja",ISNUMBER(W1004),N(X1004)&gt;0),IFERROR(N(INDEX(Parameter!$L$5:$L$7,W1004))*INDEX(Parameter!$E$5:$E$7,W1004)*X1004/SUMIFS($X$7:$X$1843,$W$7:$W$1843,W1004),0),0)</f>
        <v>0</v>
      </c>
      <c r="CS1004" s="62" t="n">
        <f aca="false">IF(AND(OR(CG1004="L1",CG1004="L23",CG1004="LIFT"),H1004&gt;0),CC1004*IF(CR1004&gt;0,CR1004*MAX(1,H1004/X1004),IF(CA1004=1,CE1004,IF(R1004&gt;0,CN1004/R1004,0))/MAX(0.1,N(Parameter!$M$21))),"")</f>
        <v>12.0833333333333</v>
      </c>
      <c r="CT1004" s="64" t="n">
        <f aca="false">IF(CS1004="","",J1004/H1004)</f>
        <v>1</v>
      </c>
      <c r="CU1004" s="62" t="n">
        <f aca="false">IF(CS1004="","",H1004*G1004)</f>
        <v>100</v>
      </c>
      <c r="CV1004" s="63" t="n">
        <f aca="false">IF(CS1004="","",(CL1004+ROUNDUP(CL1004+MAX(CM1004,2*(J1004/MAX(0.1,N(Einkauf!$C$6))-CL1004)),0))/2)</f>
        <v>5</v>
      </c>
      <c r="CW1004" s="62" t="n">
        <f aca="false">IF(CS1004="","",MAX(0,H1004-CV1004)*G1004)</f>
        <v>37.5</v>
      </c>
      <c r="CX1004" s="62" t="n">
        <f aca="false">IF(CS1004="","",CS1004*MAX(0,1-CV1004/H1004))</f>
        <v>4.53125</v>
      </c>
      <c r="CY1004" s="64" t="n">
        <f aca="false">IF(CS1004="","",PERCENTRANK($CS$7:$CS$1843,CS1004)+PERCENTRANK($CU$7:$CU$1843,CU1004)+1-PERCENTRANK($CT$7:$CT$1843,CT1004))</f>
        <v>1.26</v>
      </c>
      <c r="CZ1004" s="72" t="n">
        <f aca="false">IF(CS1004="","",CHOOSE(MATCH(Einkauf!$C$5,Parameter!$G$23:$G$27,0),CY1004,CS1004,CU1004,-CT1004,CW1004)+ROW()/1000000000)</f>
        <v>1.260001004</v>
      </c>
    </row>
    <row r="1005" customFormat="false" ht="15" hidden="false" customHeight="false" outlineLevel="0" collapsed="false">
      <c r="A1005" s="60" t="s">
        <v>1895</v>
      </c>
      <c r="B1005" s="60" t="s">
        <v>1896</v>
      </c>
      <c r="C1005" s="60" t="s">
        <v>206</v>
      </c>
      <c r="D1005" s="60" t="s">
        <v>226</v>
      </c>
      <c r="E1005" s="60" t="s">
        <v>227</v>
      </c>
      <c r="F1005" s="60" t="s">
        <v>260</v>
      </c>
      <c r="G1005" s="61" t="n">
        <v>7.57</v>
      </c>
      <c r="H1005" s="62" t="n">
        <f aca="false">MAX(0,IF(AND(Parameter!$B$21="Ja",ISNUMBER(Y1005)),Y1005,IF(Parameter!$B$20="Jahresanfang 2025 + Export",BS1005+BR1005,BR1005)))</f>
        <v>13</v>
      </c>
      <c r="I1005" s="62" t="n">
        <f aca="false">H1005*G1005</f>
        <v>98.41</v>
      </c>
      <c r="J1005" s="62" t="n">
        <f aca="false">BU1005*Parameter!$B$18</f>
        <v>53</v>
      </c>
      <c r="K1005" s="63" t="n">
        <v>26.5</v>
      </c>
      <c r="L1005" s="64" t="n">
        <v>2</v>
      </c>
      <c r="M1005" s="62" t="n">
        <v>3</v>
      </c>
      <c r="N1005" s="62" t="n">
        <v>55</v>
      </c>
      <c r="O1005" s="65" t="n">
        <v>21</v>
      </c>
      <c r="P1005" s="60" t="s">
        <v>370</v>
      </c>
      <c r="Q1005" s="62" t="n">
        <v>41</v>
      </c>
      <c r="R1005" s="65" t="n">
        <f aca="false">IF(CA1005=1,0,IFERROR(VLOOKUP(BY1005,'Gebinde-Kategorie'!$A$5:$N$45,13,0)+0,0))</f>
        <v>52</v>
      </c>
      <c r="S1005" s="66"/>
      <c r="T1005" s="67"/>
      <c r="U1005" s="67"/>
      <c r="V1005" s="67"/>
      <c r="W1005" s="60"/>
      <c r="X1005" s="62"/>
      <c r="Y1005" s="62"/>
      <c r="Z1005" s="60" t="n">
        <v>1</v>
      </c>
      <c r="AA1005" s="60" t="n">
        <f aca="false">IF(A1005="","",IF(AND(Parameter!$B$21="Ja",ISNUMBER(W1005)),W1005,IF(AND(Parameter!$E$27="Ja",ISNUMBER(Z1005),CD1005&lt;&gt;"Nein"),Z1005,IF(CD1005="2+3",IF(ISNUMBER(SEARCH("grosser Artikel",BV1005)),2,IFERROR(VLOOKUP(BY1005,Parameter!$F$35:$G$64,2,0),2)),IF(OR(CD1005="Nein",CD1005=""),"-",CD1005)))))</f>
        <v>1</v>
      </c>
      <c r="AB1005" s="67"/>
      <c r="AC1005" s="68"/>
      <c r="AD1005" s="62" t="n">
        <f aca="false">AW1005</f>
        <v>58</v>
      </c>
      <c r="AE1005" s="62" t="n">
        <f aca="false">MAX(AW1005,H1005)</f>
        <v>58</v>
      </c>
      <c r="AF1005" s="69"/>
      <c r="AG1005" s="62" t="n">
        <f aca="false">IF(LEFT(Cockpit!$C$5,1)="A",H1005,IF(Parameter!$E$30="MAX-Bestand",IF(CI1005=1,CJ1005,IF(LEFT(Cockpit!$C$5,1)="B",AM1005,MAX(AM1005,H1005))),ROUNDUP(AK1005,0)))</f>
        <v>13</v>
      </c>
      <c r="AH1005" s="62" t="n">
        <f aca="false">IF(CA1005=1,0,ROUNDUP(AG1005/BZ1005,0))</f>
        <v>1</v>
      </c>
      <c r="AI1005" s="64" t="n">
        <f aca="false">IF(CR1005&gt;0,CR1005*MAX(1,AG1005/X1005),IF(CA1005=1,IF(AG1005&lt;=0,0,CE1005*MAX(1,IF(H1005&gt;0,AG1005/H1005,1))),IF(R1005&gt;0,AH1005/R1005,0))/MAX(0.1,N(Parameter!$M$21)))</f>
        <v>0.0192307692307692</v>
      </c>
      <c r="AJ1005" s="62" t="n">
        <f aca="false">AI1005*CC1005</f>
        <v>2.98076923076923</v>
      </c>
      <c r="AK1005" s="63" t="n">
        <f aca="false">IF(LEFT(Cockpit!$C$5,1)="A",H1005,IF(CI1005=1,(CL1005+CJ1005)/2,IF(LEFT(Cockpit!$C$5,1)="B",(CL1005+AM1005)/2,MAX((CL1005+AM1005)/2,H1005))))</f>
        <v>13</v>
      </c>
      <c r="AL1005" s="62" t="n">
        <f aca="false">AK1005*G1005</f>
        <v>98.41</v>
      </c>
      <c r="AM1005" s="62" t="n">
        <f aca="false">ROUNDUP(CL1005+MAX(CM1005,2*(J1005/IF(CH1005&gt;0,CH1005,MAX(0.1,N(Cockpit!$C$6)))-CL1005)),0)</f>
        <v>58</v>
      </c>
      <c r="AN1005" s="63" t="n">
        <f aca="false">IF(AJ1005&gt;0,J1005/AJ1005,-1)</f>
        <v>17.7806451612903</v>
      </c>
      <c r="AO1005" s="63" t="n">
        <f aca="false">IF(AND(OR(CG1005="L1",CG1005="L23",CG1005="LIFT"),AJ1005&gt;0),SUMIFS($AJ$7:$AJ$1843,$CG$7:$CG$1843,CG1005,$AN$7:$AN$1843,"&gt;"&amp;AN1005)+SUMIFS($AJ$7:$AJ$1843,$CG$7:$CG$1843,CG1005,$AN$7:$AN$1843,AN1005,$BX$7:$BX$1843,"&lt;="&amp;BX1005),"")</f>
        <v>1943.56364468865</v>
      </c>
      <c r="AP1005" s="70" t="n">
        <f aca="false">IF(AO1005="",0,MAX(0,MIN(1,(IF(CG1005="L1",Parameter!$H$5,IF(CG1005="L23",Parameter!$H$6+Parameter!$H$7,Parameter!$H$5+Parameter!$H$6+Parameter!$H$7))-(AO1005-AJ1005))/AJ1005)))</f>
        <v>1</v>
      </c>
      <c r="AQ1005" s="62" t="n">
        <f aca="false">IF(LEFT(Cockpit!$I$5,1)="A",H1005,IF(Parameter!$E$30="MAX-Bestand",IF(CI1005=1,CJ1005,IF(LEFT(Cockpit!$I$5,1)="B",AW1005,MAX(AW1005,H1005))),ROUNDUP(AU1005,0)))</f>
        <v>31</v>
      </c>
      <c r="AR1005" s="62" t="n">
        <f aca="false">IF(CA1005=1,0,ROUNDUP(AQ1005/BZ1005,0))</f>
        <v>1</v>
      </c>
      <c r="AS1005" s="64" t="n">
        <f aca="false">IF(CR1005&gt;0,CR1005*MAX(1,AQ1005/X1005),IF(CA1005=1,IF(AQ1005&lt;=0,0,CE1005*MAX(1,IF(H1005&gt;0,AQ1005/H1005,1))),IF(R1005&gt;0,AR1005/R1005,0))/MAX(0.1,N(Parameter!$M$21)))</f>
        <v>0.0192307692307692</v>
      </c>
      <c r="AT1005" s="62" t="n">
        <f aca="false">AS1005*CC1005</f>
        <v>2.98076923076923</v>
      </c>
      <c r="AU1005" s="63" t="n">
        <f aca="false">IF(LEFT(Cockpit!$I$5,1)="A",H1005,IF(CI1005=1,(CL1005+CJ1005)/2,IF(LEFT(Cockpit!$I$5,1)="B",(CL1005+AW1005)/2,MAX((CL1005+AW1005)/2,H1005))))</f>
        <v>30.5</v>
      </c>
      <c r="AV1005" s="62" t="n">
        <f aca="false">AU1005*G1005</f>
        <v>230.885</v>
      </c>
      <c r="AW1005" s="62" t="n">
        <f aca="false">ROUNDUP(CL1005+MAX(CM1005,2*(J1005/IF(CH1005&gt;0,CH1005,MAX(0.1,N(Cockpit!$I$6)))-CL1005)),0)</f>
        <v>58</v>
      </c>
      <c r="AX1005" s="63" t="n">
        <f aca="false">IF(AT1005&gt;0,J1005/AT1005,-1)</f>
        <v>17.7806451612903</v>
      </c>
      <c r="AY1005" s="63" t="n">
        <f aca="false">IF(AND(OR(CG1005="L1",CG1005="L23",CG1005="LIFT"),AT1005&gt;0),SUMIFS($AT$7:$AT$1843,$CG$7:$CG$1843,CG1005,$AX$7:$AX$1843,"&gt;"&amp;AX1005)+SUMIFS($AT$7:$AT$1843,$CG$7:$CG$1843,CG1005,$AX$7:$AX$1843,AX1005,$BX$7:$BX$1843,"&lt;="&amp;BX1005),"")</f>
        <v>2580.68452380952</v>
      </c>
      <c r="AZ1005" s="70" t="n">
        <f aca="false">IF(AY1005="",0,MAX(0,MIN(1,(IF(CG1005="L1",Parameter!$H$5,IF(CG1005="L23",Parameter!$H$6+Parameter!$H$7,Parameter!$H$5+Parameter!$H$6+Parameter!$H$7))-(AY1005-AT1005))/AT1005)))</f>
        <v>1</v>
      </c>
      <c r="BA1005" s="62" t="n">
        <f aca="false">IF(LEFT(Cockpit!$O$5,1)="A",H1005,IF(Parameter!$E$30="MAX-Bestand",IF(CI1005=1,CJ1005,IF(LEFT(Cockpit!$O$5,1)="B",BG1005,MAX(BG1005,H1005))),ROUNDUP(BE1005,0)))</f>
        <v>31</v>
      </c>
      <c r="BB1005" s="62" t="n">
        <f aca="false">IF(CA1005=1,0,ROUNDUP(BA1005/BZ1005,0))</f>
        <v>1</v>
      </c>
      <c r="BC1005" s="64" t="n">
        <f aca="false">IF(CR1005&gt;0,CR1005*MAX(1,BA1005/X1005),IF(CA1005=1,IF(BA1005&lt;=0,0,CE1005*MAX(1,IF(H1005&gt;0,BA1005/H1005,1))),IF(R1005&gt;0,BB1005/R1005,0))/MAX(0.1,N(Parameter!$M$21)))</f>
        <v>0.0192307692307692</v>
      </c>
      <c r="BD1005" s="62" t="n">
        <f aca="false">BC1005*CC1005</f>
        <v>2.98076923076923</v>
      </c>
      <c r="BE1005" s="63" t="n">
        <f aca="false">IF(LEFT(Cockpit!$O$5,1)="A",H1005,IF(CI1005=1,(CL1005+CJ1005)/2,IF(LEFT(Cockpit!$O$5,1)="B",(CL1005+BG1005)/2,MAX((CL1005+BG1005)/2,H1005))))</f>
        <v>30.5</v>
      </c>
      <c r="BF1005" s="62" t="n">
        <f aca="false">BE1005*G1005</f>
        <v>230.885</v>
      </c>
      <c r="BG1005" s="62" t="n">
        <f aca="false">ROUNDUP(CL1005+MAX(CM1005,2*(J1005/IF(CH1005&gt;0,CH1005,MAX(0.1,N(Cockpit!$O$6)))-CL1005)),0)</f>
        <v>58</v>
      </c>
      <c r="BH1005" s="63" t="n">
        <f aca="false">IF(BD1005&gt;0,J1005/BD1005,-1)</f>
        <v>17.7806451612903</v>
      </c>
      <c r="BI1005" s="63" t="n">
        <f aca="false">IF(AND(OR(CG1005="L1",CG1005="L23",CG1005="LIFT"),BD1005&gt;0),SUMIFS($BD$7:$BD$1843,$CG$7:$CG$1843,CG1005,$BH$7:$BH$1843,"&gt;"&amp;BH1005)+SUMIFS($BD$7:$BD$1843,$CG$7:$CG$1843,CG1005,$BH$7:$BH$1843,BH1005,$BX$7:$BX$1843,"&lt;="&amp;BX1005),"")</f>
        <v>2321.33241758242</v>
      </c>
      <c r="BJ1005" s="70" t="n">
        <f aca="false">IF(BI1005="",0,MAX(0,MIN(1,(IF(CG1005="L1",Parameter!$H$5,IF(CG1005="L23",Parameter!$H$6+Parameter!$H$7,Parameter!$H$5+Parameter!$H$6+Parameter!$H$7))-(BI1005-BD1005))/BD1005)))</f>
        <v>1</v>
      </c>
      <c r="BK1005" s="60" t="str">
        <f aca="false">IF(AJ1005&lt;=0,"",IF(CG1005="Aussen","Aussenlager",IF(CG1005="-","Nicht im Lift",IF(AP1005&gt;=1,"Lift",IF(AP1005&lt;=0,"Aussenlager","teilweise")))))</f>
        <v>Lift</v>
      </c>
      <c r="BL1005" s="60" t="str">
        <f aca="false">IF(AT1005&lt;=0,"",IF(CG1005="Aussen","Aussenlager",IF(CG1005="-","Nicht im Lift",IF(AZ1005&gt;=1,"Lift",IF(AZ1005&lt;=0,"Aussenlager","teilweise")))))</f>
        <v>Lift</v>
      </c>
      <c r="BM1005" s="60" t="str">
        <f aca="false">IF(BD1005&lt;=0,"",IF(CG1005="Aussen","Aussenlager",IF(CG1005="-","Nicht im Lift",IF(BJ1005&gt;=1,"Lift",IF(BJ1005&lt;=0,"Aussenlager","teilweise")))))</f>
        <v>Lift</v>
      </c>
      <c r="BN1005" s="60" t="str">
        <f aca="false">IF(A1005="","",IF(BW1005=1,"Neu; ","")&amp;IF(AND(BW1005=0,BR1005&lt;0),"negativer Bestand (Export "&amp;BR1005&amp;"); ","")&amp;IF(J1005&lt;=0,"Kein Verbrauch; ","")&amp;IF(CR1005&gt;0,"Lift "&amp;W1005&amp;" lt. Liftbericht (Fach "&amp;X1005&amp;" Stk); ",IF(CB1005=1,"Gebinde geschätzt ("&amp;T1005&amp;"); ",IF(CA1005=1,"Lose – Tablare geschätzt; ","")))&amp;IF(H1005&gt;AW1005,"Überbestand "&amp;ROUND(H1005-AW1005,0)&amp;" Stk / CHF "&amp;ROUND((H1005-AW1005)*G1005,0)&amp;"; ","")&amp;IF(AND(CI1005=1,CJ1005&lt;CK1005),"MAX &lt; MB+LG; ","")&amp;IF(AND(CQ1005&gt;0,CP1005*10&gt;CQ1005),"zu hoch für Tablar; ","")&amp;IF(AND(BW1005=0,OR(CI1005=1,AB1005&lt;&gt;"",U1005&lt;&gt;"",V1005&lt;&gt;"",AC1005&lt;&gt;"")),"manuell übersteuert; ","")&amp;IF(AND(CA1005=0,R1005=0),"Gebinde unbekannt / Stellmass fehlt; ","")&amp;IF(AND(CA1005=0,N(V1005)&lt;=0,N(Q1005)&lt;=0),"Menge pro Gebinde fehlt (Ist = 1 Gebinde); ","")&amp;BV1005)</f>
        <v>negativer Bestand (Export -10); </v>
      </c>
      <c r="BO1005" s="60"/>
      <c r="BP1005" s="60"/>
      <c r="BQ1005" s="67"/>
      <c r="BR1005" s="62" t="n">
        <v>-10</v>
      </c>
      <c r="BS1005" s="62" t="n">
        <v>23</v>
      </c>
      <c r="BT1005" s="61" t="n">
        <v>-101.69</v>
      </c>
      <c r="BU1005" s="62" t="n">
        <v>53</v>
      </c>
      <c r="BV1005" s="60"/>
      <c r="BW1005" s="65" t="n">
        <v>0</v>
      </c>
      <c r="BX1005" s="65" t="n">
        <v>1005</v>
      </c>
      <c r="BY1005" s="60" t="str">
        <f aca="false">IF(U1005&lt;&gt;"",UPPER(TRIM(U1005)),IF(CB1005=1,UPPER(VLOOKUP(T1005,Parameter!$I$27:$K$29,2,0)),IF(P1005="","LOSE",P1005)))</f>
        <v>S41</v>
      </c>
      <c r="BZ1005" s="62" t="n">
        <f aca="false">IF(BY1005="LOSE",1,IF(N(V1005)&gt;0,V1005,IF(CB1005=1,MAX(1,N(VLOOKUP(T1005,Parameter!$I$27:$K$29,3,0)),H1005,N(N1005)),IF(N(Q1005)&gt;0,Q1005,MAX(1,H1005)))))</f>
        <v>41</v>
      </c>
      <c r="CA1005" s="65" t="n">
        <f aca="false">IF(BY1005="LOSE",1,0)</f>
        <v>0</v>
      </c>
      <c r="CB1005" s="65" t="n">
        <f aca="false">IF(AND(U1005="",OR(P1005="",P1005="LOSE"),T1005&lt;&gt;"",N(S1005)&lt;=0,ISNUMBER(MATCH(T1005,Parameter!$I$27:$I$29,0))),1,0)</f>
        <v>0</v>
      </c>
      <c r="CC1005" s="65" t="n">
        <f aca="false">IF(CR1005&gt;0,INDEX(Parameter!$H$5:$H$7,W1005)/INDEX(Parameter!$E$5:$E$7,W1005),IF(AND(CA1005=0,N(IFERROR(VLOOKUP(BY1005,'Gebinde-Kategorie'!$A$5:$N$45,14,0),0))&gt;0),VLOOKUP(BY1005,'Gebinde-Kategorie'!$A$5:$N$45,14,0)*10+Parameter!$M$23,Parameter!$M$24))</f>
        <v>155</v>
      </c>
      <c r="CD1005" s="60" t="str">
        <f aca="false">IF(AND(Parameter!$B$19="Ja",E1005&lt;&gt;"",ISNUMBER(MATCH(E1005,Parameter!$I$35:$I$52,0))),VLOOKUP(E1005,Parameter!$I$35:$J$52,2,0),IFERROR(VLOOKUP(D1005,Parameter!$A$35:$C$64,2,0),"Nein"))</f>
        <v>2+3</v>
      </c>
      <c r="CE1005" s="64" t="n">
        <f aca="false">IF(CA1005=0,0,IF(N(S1005)&gt;0,S1005,IFERROR(VLOOKUP(D1005,Parameter!$A$35:$C$64,3,0)+0,0)))</f>
        <v>0</v>
      </c>
      <c r="CF1005" s="60" t="n">
        <f aca="false">IF(AB1005&lt;&gt;"",AB1005,AA1005)</f>
        <v>1</v>
      </c>
      <c r="CG1005" s="60" t="str">
        <f aca="false">IF(OR(CF1005=1,CF1005=2,CF1005=3),IF(Parameter!$E$27="Ja","LIFT",IF(CF1005=1,"L1","L23")),IF(CF1005="Aussen","Aussen","-"))</f>
        <v>LIFT</v>
      </c>
      <c r="CH1005" s="71" t="n">
        <f aca="false">IF(N(AC1005)&gt;0,AC1005,0)</f>
        <v>0</v>
      </c>
      <c r="CI1005" s="65" t="n">
        <f aca="false">IF(ISNUMBER(AF1005),1,0)</f>
        <v>0</v>
      </c>
      <c r="CJ1005" s="62" t="n">
        <f aca="false">N(AF1005)</f>
        <v>0</v>
      </c>
      <c r="CK1005" s="62" t="n">
        <f aca="false">N(M1005)+N(N1005)</f>
        <v>58</v>
      </c>
      <c r="CL1005" s="62" t="n">
        <f aca="false">N(M1005)</f>
        <v>3</v>
      </c>
      <c r="CM1005" s="62" t="n">
        <f aca="false">N(N1005)</f>
        <v>55</v>
      </c>
      <c r="CN1005" s="62" t="n">
        <f aca="false">ROUNDUP(H1005/BZ1005,0)</f>
        <v>1</v>
      </c>
      <c r="CO1005" s="62" t="n">
        <f aca="false">ROUNDUP(CJ1005/BZ1005,0)</f>
        <v>0</v>
      </c>
      <c r="CP1005" s="65" t="n">
        <f aca="false">IF(CA1005=1,0,IFERROR(VLOOKUP(BY1005,'Gebinde-Kategorie'!$A$5:$N$45,5,0)+0,0))</f>
        <v>11</v>
      </c>
      <c r="CQ1005" s="65" t="n">
        <f aca="false">IFERROR(IF(OR(CF1005=1,CF1005=2,CF1005=3),N(INDEX(Parameter!$I$5:$I$7,CF1005)),0),0)</f>
        <v>0</v>
      </c>
      <c r="CR1005" s="64" t="n">
        <f aca="false">IF(AND(Parameter!$B$21="Ja",ISNUMBER(W1005),N(X1005)&gt;0),IFERROR(N(INDEX(Parameter!$L$5:$L$7,W1005))*INDEX(Parameter!$E$5:$E$7,W1005)*X1005/SUMIFS($X$7:$X$1843,$W$7:$W$1843,W1005),0),0)</f>
        <v>0</v>
      </c>
      <c r="CS1005" s="62" t="n">
        <f aca="false">IF(AND(OR(CG1005="L1",CG1005="L23",CG1005="LIFT"),H1005&gt;0),CC1005*IF(CR1005&gt;0,CR1005*MAX(1,H1005/X1005),IF(CA1005=1,CE1005,IF(R1005&gt;0,CN1005/R1005,0))/MAX(0.1,N(Parameter!$M$21))),"")</f>
        <v>2.98076923076923</v>
      </c>
      <c r="CT1005" s="64" t="n">
        <f aca="false">IF(CS1005="","",J1005/H1005)</f>
        <v>4.07692307692308</v>
      </c>
      <c r="CU1005" s="62" t="n">
        <f aca="false">IF(CS1005="","",H1005*G1005)</f>
        <v>98.41</v>
      </c>
      <c r="CV1005" s="63" t="n">
        <f aca="false">IF(CS1005="","",(CL1005+ROUNDUP(CL1005+MAX(CM1005,2*(J1005/MAX(0.1,N(Einkauf!$C$6))-CL1005)),0))/2)</f>
        <v>30.5</v>
      </c>
      <c r="CW1005" s="62" t="n">
        <f aca="false">IF(CS1005="","",MAX(0,H1005-CV1005)*G1005)</f>
        <v>0</v>
      </c>
      <c r="CX1005" s="62" t="n">
        <f aca="false">IF(CS1005="","",CS1005*MAX(0,1-CV1005/H1005))</f>
        <v>0</v>
      </c>
      <c r="CY1005" s="64" t="n">
        <f aca="false">IF(CS1005="","",PERCENTRANK($CS$7:$CS$1843,CS1005)+PERCENTRANK($CU$7:$CU$1843,CU1005)+1-PERCENTRANK($CT$7:$CT$1843,CT1005))</f>
        <v>0.504</v>
      </c>
      <c r="CZ1005" s="72" t="n">
        <f aca="false">IF(CS1005="","",CHOOSE(MATCH(Einkauf!$C$5,Parameter!$G$23:$G$27,0),CY1005,CS1005,CU1005,-CT1005,CW1005)+ROW()/1000000000)</f>
        <v>0.504001005</v>
      </c>
    </row>
    <row r="1006" customFormat="false" ht="15" hidden="false" customHeight="false" outlineLevel="0" collapsed="false">
      <c r="A1006" s="60" t="s">
        <v>1897</v>
      </c>
      <c r="B1006" s="60" t="s">
        <v>1898</v>
      </c>
      <c r="C1006" s="60" t="s">
        <v>206</v>
      </c>
      <c r="D1006" s="60" t="s">
        <v>215</v>
      </c>
      <c r="E1006" s="60"/>
      <c r="F1006" s="60" t="s">
        <v>260</v>
      </c>
      <c r="G1006" s="61" t="n">
        <v>20.83</v>
      </c>
      <c r="H1006" s="62" t="n">
        <f aca="false">MAX(0,IF(AND(Parameter!$B$21="Ja",ISNUMBER(Y1006)),Y1006,IF(Parameter!$B$20="Jahresanfang 2025 + Export",BS1006+BR1006,BR1006)))</f>
        <v>0</v>
      </c>
      <c r="I1006" s="62" t="n">
        <f aca="false">H1006*G1006</f>
        <v>0</v>
      </c>
      <c r="J1006" s="62" t="n">
        <f aca="false">BU1006*Parameter!$B$18</f>
        <v>0</v>
      </c>
      <c r="K1006" s="63" t="n">
        <v>2.5</v>
      </c>
      <c r="L1006" s="64" t="n">
        <v>0</v>
      </c>
      <c r="M1006" s="62" t="n">
        <v>0</v>
      </c>
      <c r="N1006" s="62" t="n">
        <v>1</v>
      </c>
      <c r="O1006" s="65" t="n">
        <v>42</v>
      </c>
      <c r="P1006" s="60" t="s">
        <v>210</v>
      </c>
      <c r="Q1006" s="62"/>
      <c r="R1006" s="65" t="n">
        <f aca="false">IF(CA1006=1,0,IFERROR(VLOOKUP(BY1006,'Gebinde-Kategorie'!$A$5:$N$45,13,0)+0,0))</f>
        <v>12</v>
      </c>
      <c r="S1006" s="66"/>
      <c r="T1006" s="67" t="s">
        <v>221</v>
      </c>
      <c r="U1006" s="67"/>
      <c r="V1006" s="67"/>
      <c r="W1006" s="60"/>
      <c r="X1006" s="62"/>
      <c r="Y1006" s="62"/>
      <c r="Z1006" s="60" t="n">
        <v>3</v>
      </c>
      <c r="AA1006" s="60" t="n">
        <f aca="false">IF(A1006="","",IF(AND(Parameter!$B$21="Ja",ISNUMBER(W1006)),W1006,IF(AND(Parameter!$E$27="Ja",ISNUMBER(Z1006),CD1006&lt;&gt;"Nein"),Z1006,IF(CD1006="2+3",IF(ISNUMBER(SEARCH("grosser Artikel",BV1006)),2,IFERROR(VLOOKUP(BY1006,Parameter!$F$35:$G$64,2,0),2)),IF(OR(CD1006="Nein",CD1006=""),"-",CD1006)))))</f>
        <v>3</v>
      </c>
      <c r="AB1006" s="67"/>
      <c r="AC1006" s="68"/>
      <c r="AD1006" s="62" t="n">
        <f aca="false">AW1006</f>
        <v>1</v>
      </c>
      <c r="AE1006" s="62" t="n">
        <f aca="false">MAX(AW1006,H1006)</f>
        <v>1</v>
      </c>
      <c r="AF1006" s="69"/>
      <c r="AG1006" s="62" t="n">
        <f aca="false">IF(LEFT(Cockpit!$C$5,1)="A",H1006,IF(Parameter!$E$30="MAX-Bestand",IF(CI1006=1,CJ1006,IF(LEFT(Cockpit!$C$5,1)="B",AM1006,MAX(AM1006,H1006))),ROUNDUP(AK1006,0)))</f>
        <v>0</v>
      </c>
      <c r="AH1006" s="62" t="n">
        <f aca="false">IF(CA1006=1,0,ROUNDUP(AG1006/BZ1006,0))</f>
        <v>0</v>
      </c>
      <c r="AI1006" s="64" t="n">
        <f aca="false">IF(CR1006&gt;0,CR1006*MAX(1,AG1006/X1006),IF(CA1006=1,IF(AG1006&lt;=0,0,CE1006*MAX(1,IF(H1006&gt;0,AG1006/H1006,1))),IF(R1006&gt;0,AH1006/R1006,0))/MAX(0.1,N(Parameter!$M$21)))</f>
        <v>0</v>
      </c>
      <c r="AJ1006" s="62" t="n">
        <f aca="false">AI1006*CC1006</f>
        <v>0</v>
      </c>
      <c r="AK1006" s="63" t="n">
        <f aca="false">IF(LEFT(Cockpit!$C$5,1)="A",H1006,IF(CI1006=1,(CL1006+CJ1006)/2,IF(LEFT(Cockpit!$C$5,1)="B",(CL1006+AM1006)/2,MAX((CL1006+AM1006)/2,H1006))))</f>
        <v>0</v>
      </c>
      <c r="AL1006" s="62" t="n">
        <f aca="false">AK1006*G1006</f>
        <v>0</v>
      </c>
      <c r="AM1006" s="62" t="n">
        <f aca="false">ROUNDUP(CL1006+MAX(CM1006,2*(J1006/IF(CH1006&gt;0,CH1006,MAX(0.1,N(Cockpit!$C$6)))-CL1006)),0)</f>
        <v>1</v>
      </c>
      <c r="AN1006" s="63" t="n">
        <f aca="false">IF(AJ1006&gt;0,J1006/AJ1006,-1)</f>
        <v>-1</v>
      </c>
      <c r="AO1006" s="63" t="str">
        <f aca="false">IF(AND(OR(CG1006="L1",CG1006="L23",CG1006="LIFT"),AJ1006&gt;0),SUMIFS($AJ$7:$AJ$1843,$CG$7:$CG$1843,CG1006,$AN$7:$AN$1843,"&gt;"&amp;AN1006)+SUMIFS($AJ$7:$AJ$1843,$CG$7:$CG$1843,CG1006,$AN$7:$AN$1843,AN1006,$BX$7:$BX$1843,"&lt;="&amp;BX1006),"")</f>
        <v/>
      </c>
      <c r="AP1006" s="70" t="n">
        <f aca="false">IF(AO1006="",0,MAX(0,MIN(1,(IF(CG1006="L1",Parameter!$H$5,IF(CG1006="L23",Parameter!$H$6+Parameter!$H$7,Parameter!$H$5+Parameter!$H$6+Parameter!$H$7))-(AO1006-AJ1006))/AJ1006)))</f>
        <v>0</v>
      </c>
      <c r="AQ1006" s="62" t="n">
        <f aca="false">IF(LEFT(Cockpit!$I$5,1)="A",H1006,IF(Parameter!$E$30="MAX-Bestand",IF(CI1006=1,CJ1006,IF(LEFT(Cockpit!$I$5,1)="B",AW1006,MAX(AW1006,H1006))),ROUNDUP(AU1006,0)))</f>
        <v>1</v>
      </c>
      <c r="AR1006" s="62" t="n">
        <f aca="false">IF(CA1006=1,0,ROUNDUP(AQ1006/BZ1006,0))</f>
        <v>1</v>
      </c>
      <c r="AS1006" s="64" t="n">
        <f aca="false">IF(CR1006&gt;0,CR1006*MAX(1,AQ1006/X1006),IF(CA1006=1,IF(AQ1006&lt;=0,0,CE1006*MAX(1,IF(H1006&gt;0,AQ1006/H1006,1))),IF(R1006&gt;0,AR1006/R1006,0))/MAX(0.1,N(Parameter!$M$21)))</f>
        <v>0.0833333333333333</v>
      </c>
      <c r="AT1006" s="62" t="n">
        <f aca="false">AS1006*CC1006</f>
        <v>12.0833333333333</v>
      </c>
      <c r="AU1006" s="63" t="n">
        <f aca="false">IF(LEFT(Cockpit!$I$5,1)="A",H1006,IF(CI1006=1,(CL1006+CJ1006)/2,IF(LEFT(Cockpit!$I$5,1)="B",(CL1006+AW1006)/2,MAX((CL1006+AW1006)/2,H1006))))</f>
        <v>0.5</v>
      </c>
      <c r="AV1006" s="62" t="n">
        <f aca="false">AU1006*G1006</f>
        <v>10.415</v>
      </c>
      <c r="AW1006" s="62" t="n">
        <f aca="false">ROUNDUP(CL1006+MAX(CM1006,2*(J1006/IF(CH1006&gt;0,CH1006,MAX(0.1,N(Cockpit!$I$6)))-CL1006)),0)</f>
        <v>1</v>
      </c>
      <c r="AX1006" s="63" t="n">
        <f aca="false">IF(AT1006&gt;0,J1006/AT1006,-1)</f>
        <v>0</v>
      </c>
      <c r="AY1006" s="63" t="n">
        <f aca="false">IF(AND(OR(CG1006="L1",CG1006="L23",CG1006="LIFT"),AT1006&gt;0),SUMIFS($AT$7:$AT$1843,$CG$7:$CG$1843,CG1006,$AX$7:$AX$1843,"&gt;"&amp;AX1006)+SUMIFS($AT$7:$AT$1843,$CG$7:$CG$1843,CG1006,$AX$7:$AX$1843,AX1006,$BX$7:$BX$1843,"&lt;="&amp;BX1006),"")</f>
        <v>34653.9963369963</v>
      </c>
      <c r="AZ1006" s="70" t="n">
        <f aca="false">IF(AY1006="",0,MAX(0,MIN(1,(IF(CG1006="L1",Parameter!$H$5,IF(CG1006="L23",Parameter!$H$6+Parameter!$H$7,Parameter!$H$5+Parameter!$H$6+Parameter!$H$7))-(AY1006-AT1006))/AT1006)))</f>
        <v>1</v>
      </c>
      <c r="BA1006" s="62" t="n">
        <f aca="false">IF(LEFT(Cockpit!$O$5,1)="A",H1006,IF(Parameter!$E$30="MAX-Bestand",IF(CI1006=1,CJ1006,IF(LEFT(Cockpit!$O$5,1)="B",BG1006,MAX(BG1006,H1006))),ROUNDUP(BE1006,0)))</f>
        <v>1</v>
      </c>
      <c r="BB1006" s="62" t="n">
        <f aca="false">IF(CA1006=1,0,ROUNDUP(BA1006/BZ1006,0))</f>
        <v>1</v>
      </c>
      <c r="BC1006" s="64" t="n">
        <f aca="false">IF(CR1006&gt;0,CR1006*MAX(1,BA1006/X1006),IF(CA1006=1,IF(BA1006&lt;=0,0,CE1006*MAX(1,IF(H1006&gt;0,BA1006/H1006,1))),IF(R1006&gt;0,BB1006/R1006,0))/MAX(0.1,N(Parameter!$M$21)))</f>
        <v>0.0833333333333333</v>
      </c>
      <c r="BD1006" s="62" t="n">
        <f aca="false">BC1006*CC1006</f>
        <v>12.0833333333333</v>
      </c>
      <c r="BE1006" s="63" t="n">
        <f aca="false">IF(LEFT(Cockpit!$O$5,1)="A",H1006,IF(CI1006=1,(CL1006+CJ1006)/2,IF(LEFT(Cockpit!$O$5,1)="B",(CL1006+BG1006)/2,MAX((CL1006+BG1006)/2,H1006))))</f>
        <v>0.5</v>
      </c>
      <c r="BF1006" s="62" t="n">
        <f aca="false">BE1006*G1006</f>
        <v>10.415</v>
      </c>
      <c r="BG1006" s="62" t="n">
        <f aca="false">ROUNDUP(CL1006+MAX(CM1006,2*(J1006/IF(CH1006&gt;0,CH1006,MAX(0.1,N(Cockpit!$O$6)))-CL1006)),0)</f>
        <v>1</v>
      </c>
      <c r="BH1006" s="63" t="n">
        <f aca="false">IF(BD1006&gt;0,J1006/BD1006,-1)</f>
        <v>0</v>
      </c>
      <c r="BI1006" s="63" t="n">
        <f aca="false">IF(AND(OR(CG1006="L1",CG1006="L23",CG1006="LIFT"),BD1006&gt;0),SUMIFS($BD$7:$BD$1843,$CG$7:$CG$1843,CG1006,$BH$7:$BH$1843,"&gt;"&amp;BH1006)+SUMIFS($BD$7:$BD$1843,$CG$7:$CG$1843,CG1006,$BH$7:$BH$1843,BH1006,$BX$7:$BX$1843,"&lt;="&amp;BX1006),"")</f>
        <v>28669.1106894518</v>
      </c>
      <c r="BJ1006" s="70" t="n">
        <f aca="false">IF(BI1006="",0,MAX(0,MIN(1,(IF(CG1006="L1",Parameter!$H$5,IF(CG1006="L23",Parameter!$H$6+Parameter!$H$7,Parameter!$H$5+Parameter!$H$6+Parameter!$H$7))-(BI1006-BD1006))/BD1006)))</f>
        <v>1</v>
      </c>
      <c r="BK1006" s="60" t="str">
        <f aca="false">IF(AJ1006&lt;=0,"",IF(CG1006="Aussen","Aussenlager",IF(CG1006="-","Nicht im Lift",IF(AP1006&gt;=1,"Lift",IF(AP1006&lt;=0,"Aussenlager","teilweise")))))</f>
        <v/>
      </c>
      <c r="BL1006" s="60" t="str">
        <f aca="false">IF(AT1006&lt;=0,"",IF(CG1006="Aussen","Aussenlager",IF(CG1006="-","Nicht im Lift",IF(AZ1006&gt;=1,"Lift",IF(AZ1006&lt;=0,"Aussenlager","teilweise")))))</f>
        <v>Lift</v>
      </c>
      <c r="BM1006" s="60" t="str">
        <f aca="false">IF(BD1006&lt;=0,"",IF(CG1006="Aussen","Aussenlager",IF(CG1006="-","Nicht im Lift",IF(BJ1006&gt;=1,"Lift",IF(BJ1006&lt;=0,"Aussenlager","teilweise")))))</f>
        <v>Lift</v>
      </c>
      <c r="BN1006" s="60" t="str">
        <f aca="false">IF(A1006="","",IF(BW1006=1,"Neu; ","")&amp;IF(AND(BW1006=0,BR1006&lt;0),"negativer Bestand (Export "&amp;BR1006&amp;"); ","")&amp;IF(J1006&lt;=0,"Kein Verbrauch; ","")&amp;IF(CR1006&gt;0,"Lift "&amp;W1006&amp;" lt. Liftbericht (Fach "&amp;X1006&amp;" Stk); ",IF(CB1006=1,"Gebinde geschätzt ("&amp;T1006&amp;"); ",IF(CA1006=1,"Lose – Tablare geschätzt; ","")))&amp;IF(H1006&gt;AW1006,"Überbestand "&amp;ROUND(H1006-AW1006,0)&amp;" Stk / CHF "&amp;ROUND((H1006-AW1006)*G1006,0)&amp;"; ","")&amp;IF(AND(CI1006=1,CJ1006&lt;CK1006),"MAX &lt; MB+LG; ","")&amp;IF(AND(CQ1006&gt;0,CP1006*10&gt;CQ1006),"zu hoch für Tablar; ","")&amp;IF(AND(BW1006=0,OR(CI1006=1,AB1006&lt;&gt;"",U1006&lt;&gt;"",V1006&lt;&gt;"",AC1006&lt;&gt;"")),"manuell übersteuert; ","")&amp;IF(AND(CA1006=0,R1006=0),"Gebinde unbekannt / Stellmass fehlt; ","")&amp;IF(AND(CA1006=0,N(V1006)&lt;=0,N(Q1006)&lt;=0),"Menge pro Gebinde fehlt (Ist = 1 Gebinde); ","")&amp;BV1006)</f>
        <v>negativer Bestand (Export -5); Kein Verbrauch; Gebinde geschätzt (Mittel); Menge pro Gebinde fehlt (Ist = 1 Gebinde); </v>
      </c>
      <c r="BO1006" s="60"/>
      <c r="BP1006" s="60"/>
      <c r="BQ1006" s="67"/>
      <c r="BR1006" s="62" t="n">
        <v>-5</v>
      </c>
      <c r="BS1006" s="62" t="n">
        <v>5</v>
      </c>
      <c r="BT1006" s="61" t="n">
        <v>-104.15</v>
      </c>
      <c r="BU1006" s="62" t="n">
        <v>0</v>
      </c>
      <c r="BV1006" s="60"/>
      <c r="BW1006" s="65" t="n">
        <v>0</v>
      </c>
      <c r="BX1006" s="65" t="n">
        <v>1006</v>
      </c>
      <c r="BY1006" s="60" t="str">
        <f aca="false">IF(U1006&lt;&gt;"",UPPER(TRIM(U1006)),IF(CB1006=1,UPPER(VLOOKUP(T1006,Parameter!$I$27:$K$29,2,0)),IF(P1006="","LOSE",P1006)))</f>
        <v>S61</v>
      </c>
      <c r="BZ1006" s="62" t="n">
        <f aca="false">IF(BY1006="LOSE",1,IF(N(V1006)&gt;0,V1006,IF(CB1006=1,MAX(1,N(VLOOKUP(T1006,Parameter!$I$27:$K$29,3,0)),H1006,N(N1006)),IF(N(Q1006)&gt;0,Q1006,MAX(1,H1006)))))</f>
        <v>4</v>
      </c>
      <c r="CA1006" s="65" t="n">
        <f aca="false">IF(BY1006="LOSE",1,0)</f>
        <v>0</v>
      </c>
      <c r="CB1006" s="65" t="n">
        <f aca="false">IF(AND(U1006="",OR(P1006="",P1006="LOSE"),T1006&lt;&gt;"",N(S1006)&lt;=0,ISNUMBER(MATCH(T1006,Parameter!$I$27:$I$29,0))),1,0)</f>
        <v>1</v>
      </c>
      <c r="CC1006" s="65" t="n">
        <f aca="false">IF(CR1006&gt;0,INDEX(Parameter!$H$5:$H$7,W1006)/INDEX(Parameter!$E$5:$E$7,W1006),IF(AND(CA1006=0,N(IFERROR(VLOOKUP(BY1006,'Gebinde-Kategorie'!$A$5:$N$45,14,0),0))&gt;0),VLOOKUP(BY1006,'Gebinde-Kategorie'!$A$5:$N$45,14,0)*10+Parameter!$M$23,Parameter!$M$24))</f>
        <v>145</v>
      </c>
      <c r="CD1006" s="60" t="str">
        <f aca="false">IF(AND(Parameter!$B$19="Ja",E1006&lt;&gt;"",ISNUMBER(MATCH(E1006,Parameter!$I$35:$I$52,0))),VLOOKUP(E1006,Parameter!$I$35:$J$52,2,0),IFERROR(VLOOKUP(D1006,Parameter!$A$35:$C$64,2,0),"Nein"))</f>
        <v>2+3</v>
      </c>
      <c r="CE1006" s="64" t="n">
        <f aca="false">IF(CA1006=0,0,IF(N(S1006)&gt;0,S1006,IFERROR(VLOOKUP(D1006,Parameter!$A$35:$C$64,3,0)+0,0)))</f>
        <v>0</v>
      </c>
      <c r="CF1006" s="60" t="n">
        <f aca="false">IF(AB1006&lt;&gt;"",AB1006,AA1006)</f>
        <v>3</v>
      </c>
      <c r="CG1006" s="60" t="str">
        <f aca="false">IF(OR(CF1006=1,CF1006=2,CF1006=3),IF(Parameter!$E$27="Ja","LIFT",IF(CF1006=1,"L1","L23")),IF(CF1006="Aussen","Aussen","-"))</f>
        <v>LIFT</v>
      </c>
      <c r="CH1006" s="71" t="n">
        <f aca="false">IF(N(AC1006)&gt;0,AC1006,0)</f>
        <v>0</v>
      </c>
      <c r="CI1006" s="65" t="n">
        <f aca="false">IF(ISNUMBER(AF1006),1,0)</f>
        <v>0</v>
      </c>
      <c r="CJ1006" s="62" t="n">
        <f aca="false">N(AF1006)</f>
        <v>0</v>
      </c>
      <c r="CK1006" s="62" t="n">
        <f aca="false">N(M1006)+N(N1006)</f>
        <v>1</v>
      </c>
      <c r="CL1006" s="62" t="n">
        <f aca="false">N(M1006)</f>
        <v>0</v>
      </c>
      <c r="CM1006" s="62" t="n">
        <f aca="false">N(N1006)</f>
        <v>1</v>
      </c>
      <c r="CN1006" s="62" t="n">
        <f aca="false">ROUNDUP(H1006/BZ1006,0)</f>
        <v>0</v>
      </c>
      <c r="CO1006" s="62" t="n">
        <f aca="false">ROUNDUP(CJ1006/BZ1006,0)</f>
        <v>0</v>
      </c>
      <c r="CP1006" s="65" t="n">
        <f aca="false">IF(CA1006=1,0,IFERROR(VLOOKUP(BY1006,'Gebinde-Kategorie'!$A$5:$N$45,5,0)+0,0))</f>
        <v>11</v>
      </c>
      <c r="CQ1006" s="65" t="n">
        <f aca="false">IFERROR(IF(OR(CF1006=1,CF1006=2,CF1006=3),N(INDEX(Parameter!$I$5:$I$7,CF1006)),0),0)</f>
        <v>0</v>
      </c>
      <c r="CR1006" s="64" t="n">
        <f aca="false">IF(AND(Parameter!$B$21="Ja",ISNUMBER(W1006),N(X1006)&gt;0),IFERROR(N(INDEX(Parameter!$L$5:$L$7,W1006))*INDEX(Parameter!$E$5:$E$7,W1006)*X1006/SUMIFS($X$7:$X$1843,$W$7:$W$1843,W1006),0),0)</f>
        <v>0</v>
      </c>
      <c r="CS1006" s="62" t="str">
        <f aca="false">IF(AND(OR(CG1006="L1",CG1006="L23",CG1006="LIFT"),H1006&gt;0),CC1006*IF(CR1006&gt;0,CR1006*MAX(1,H1006/X1006),IF(CA1006=1,CE1006,IF(R1006&gt;0,CN1006/R1006,0))/MAX(0.1,N(Parameter!$M$21))),"")</f>
        <v/>
      </c>
      <c r="CT1006" s="64" t="str">
        <f aca="false">IF(CS1006="","",J1006/H1006)</f>
        <v/>
      </c>
      <c r="CU1006" s="62" t="str">
        <f aca="false">IF(CS1006="","",H1006*G1006)</f>
        <v/>
      </c>
      <c r="CV1006" s="63" t="str">
        <f aca="false">IF(CS1006="","",(CL1006+ROUNDUP(CL1006+MAX(CM1006,2*(J1006/MAX(0.1,N(Einkauf!$C$6))-CL1006)),0))/2)</f>
        <v/>
      </c>
      <c r="CW1006" s="62" t="str">
        <f aca="false">IF(CS1006="","",MAX(0,H1006-CV1006)*G1006)</f>
        <v/>
      </c>
      <c r="CX1006" s="62" t="str">
        <f aca="false">IF(CS1006="","",CS1006*MAX(0,1-CV1006/H1006))</f>
        <v/>
      </c>
      <c r="CY1006" s="64" t="str">
        <f aca="false">IF(CS1006="","",PERCENTRANK($CS$7:$CS$1843,CS1006)+PERCENTRANK($CU$7:$CU$1843,CU1006)+1-PERCENTRANK($CT$7:$CT$1843,CT1006))</f>
        <v/>
      </c>
      <c r="CZ1006" s="72" t="str">
        <f aca="false">IF(CS1006="","",CHOOSE(MATCH(Einkauf!$C$5,Parameter!$G$23:$G$27,0),CY1006,CS1006,CU1006,-CT1006,CW1006)+ROW()/1000000000)</f>
        <v/>
      </c>
    </row>
    <row r="1007" customFormat="false" ht="15" hidden="false" customHeight="false" outlineLevel="0" collapsed="false">
      <c r="A1007" s="60" t="s">
        <v>1899</v>
      </c>
      <c r="B1007" s="60" t="s">
        <v>1900</v>
      </c>
      <c r="C1007" s="60" t="s">
        <v>206</v>
      </c>
      <c r="D1007" s="60" t="s">
        <v>226</v>
      </c>
      <c r="E1007" s="60" t="s">
        <v>227</v>
      </c>
      <c r="F1007" s="60" t="s">
        <v>260</v>
      </c>
      <c r="G1007" s="61" t="n">
        <v>7.39</v>
      </c>
      <c r="H1007" s="62" t="n">
        <f aca="false">MAX(0,IF(AND(Parameter!$B$21="Ja",ISNUMBER(Y1007)),Y1007,IF(Parameter!$B$20="Jahresanfang 2025 + Export",BS1007+BR1007,BR1007)))</f>
        <v>42</v>
      </c>
      <c r="I1007" s="62" t="n">
        <f aca="false">H1007*G1007</f>
        <v>310.38</v>
      </c>
      <c r="J1007" s="62" t="n">
        <f aca="false">BU1007*Parameter!$B$18</f>
        <v>103</v>
      </c>
      <c r="K1007" s="63" t="n">
        <v>102</v>
      </c>
      <c r="L1007" s="64" t="n">
        <v>1.00980392156863</v>
      </c>
      <c r="M1007" s="62" t="n">
        <v>4</v>
      </c>
      <c r="N1007" s="62" t="n">
        <v>110</v>
      </c>
      <c r="O1007" s="65" t="n">
        <v>14</v>
      </c>
      <c r="P1007" s="60" t="s">
        <v>518</v>
      </c>
      <c r="Q1007" s="62" t="n">
        <v>229</v>
      </c>
      <c r="R1007" s="65" t="n">
        <f aca="false">IF(CA1007=1,0,IFERROR(VLOOKUP(BY1007,'Gebinde-Kategorie'!$A$5:$N$45,13,0)+0,0))</f>
        <v>52</v>
      </c>
      <c r="S1007" s="66"/>
      <c r="T1007" s="67"/>
      <c r="U1007" s="67"/>
      <c r="V1007" s="67"/>
      <c r="W1007" s="60"/>
      <c r="X1007" s="62"/>
      <c r="Y1007" s="62"/>
      <c r="Z1007" s="60" t="n">
        <v>1</v>
      </c>
      <c r="AA1007" s="60" t="n">
        <f aca="false">IF(A1007="","",IF(AND(Parameter!$B$21="Ja",ISNUMBER(W1007)),W1007,IF(AND(Parameter!$E$27="Ja",ISNUMBER(Z1007),CD1007&lt;&gt;"Nein"),Z1007,IF(CD1007="2+3",IF(ISNUMBER(SEARCH("grosser Artikel",BV1007)),2,IFERROR(VLOOKUP(BY1007,Parameter!$F$35:$G$64,2,0),2)),IF(OR(CD1007="Nein",CD1007=""),"-",CD1007)))))</f>
        <v>1</v>
      </c>
      <c r="AB1007" s="67"/>
      <c r="AC1007" s="68"/>
      <c r="AD1007" s="62" t="n">
        <f aca="false">AW1007</f>
        <v>114</v>
      </c>
      <c r="AE1007" s="62" t="n">
        <f aca="false">MAX(AW1007,H1007)</f>
        <v>114</v>
      </c>
      <c r="AF1007" s="69"/>
      <c r="AG1007" s="62" t="n">
        <f aca="false">IF(LEFT(Cockpit!$C$5,1)="A",H1007,IF(Parameter!$E$30="MAX-Bestand",IF(CI1007=1,CJ1007,IF(LEFT(Cockpit!$C$5,1)="B",AM1007,MAX(AM1007,H1007))),ROUNDUP(AK1007,0)))</f>
        <v>42</v>
      </c>
      <c r="AH1007" s="62" t="n">
        <f aca="false">IF(CA1007=1,0,ROUNDUP(AG1007/BZ1007,0))</f>
        <v>1</v>
      </c>
      <c r="AI1007" s="64" t="n">
        <f aca="false">IF(CR1007&gt;0,CR1007*MAX(1,AG1007/X1007),IF(CA1007=1,IF(AG1007&lt;=0,0,CE1007*MAX(1,IF(H1007&gt;0,AG1007/H1007,1))),IF(R1007&gt;0,AH1007/R1007,0))/MAX(0.1,N(Parameter!$M$21)))</f>
        <v>0.0192307692307692</v>
      </c>
      <c r="AJ1007" s="62" t="n">
        <f aca="false">AI1007*CC1007</f>
        <v>2.98076923076923</v>
      </c>
      <c r="AK1007" s="63" t="n">
        <f aca="false">IF(LEFT(Cockpit!$C$5,1)="A",H1007,IF(CI1007=1,(CL1007+CJ1007)/2,IF(LEFT(Cockpit!$C$5,1)="B",(CL1007+AM1007)/2,MAX((CL1007+AM1007)/2,H1007))))</f>
        <v>42</v>
      </c>
      <c r="AL1007" s="62" t="n">
        <f aca="false">AK1007*G1007</f>
        <v>310.38</v>
      </c>
      <c r="AM1007" s="62" t="n">
        <f aca="false">ROUNDUP(CL1007+MAX(CM1007,2*(J1007/IF(CH1007&gt;0,CH1007,MAX(0.1,N(Cockpit!$C$6)))-CL1007)),0)</f>
        <v>114</v>
      </c>
      <c r="AN1007" s="63" t="n">
        <f aca="false">IF(AJ1007&gt;0,J1007/AJ1007,-1)</f>
        <v>34.5548387096774</v>
      </c>
      <c r="AO1007" s="63" t="n">
        <f aca="false">IF(AND(OR(CG1007="L1",CG1007="L23",CG1007="LIFT"),AJ1007&gt;0),SUMIFS($AJ$7:$AJ$1843,$CG$7:$CG$1843,CG1007,$AN$7:$AN$1843,"&gt;"&amp;AN1007)+SUMIFS($AJ$7:$AJ$1843,$CG$7:$CG$1843,CG1007,$AN$7:$AN$1843,AN1007,$BX$7:$BX$1843,"&lt;="&amp;BX1007),"")</f>
        <v>1301.73763736264</v>
      </c>
      <c r="AP1007" s="70" t="n">
        <f aca="false">IF(AO1007="",0,MAX(0,MIN(1,(IF(CG1007="L1",Parameter!$H$5,IF(CG1007="L23",Parameter!$H$6+Parameter!$H$7,Parameter!$H$5+Parameter!$H$6+Parameter!$H$7))-(AO1007-AJ1007))/AJ1007)))</f>
        <v>1</v>
      </c>
      <c r="AQ1007" s="62" t="n">
        <f aca="false">IF(LEFT(Cockpit!$I$5,1)="A",H1007,IF(Parameter!$E$30="MAX-Bestand",IF(CI1007=1,CJ1007,IF(LEFT(Cockpit!$I$5,1)="B",AW1007,MAX(AW1007,H1007))),ROUNDUP(AU1007,0)))</f>
        <v>59</v>
      </c>
      <c r="AR1007" s="62" t="n">
        <f aca="false">IF(CA1007=1,0,ROUNDUP(AQ1007/BZ1007,0))</f>
        <v>1</v>
      </c>
      <c r="AS1007" s="64" t="n">
        <f aca="false">IF(CR1007&gt;0,CR1007*MAX(1,AQ1007/X1007),IF(CA1007=1,IF(AQ1007&lt;=0,0,CE1007*MAX(1,IF(H1007&gt;0,AQ1007/H1007,1))),IF(R1007&gt;0,AR1007/R1007,0))/MAX(0.1,N(Parameter!$M$21)))</f>
        <v>0.0192307692307692</v>
      </c>
      <c r="AT1007" s="62" t="n">
        <f aca="false">AS1007*CC1007</f>
        <v>2.98076923076923</v>
      </c>
      <c r="AU1007" s="63" t="n">
        <f aca="false">IF(LEFT(Cockpit!$I$5,1)="A",H1007,IF(CI1007=1,(CL1007+CJ1007)/2,IF(LEFT(Cockpit!$I$5,1)="B",(CL1007+AW1007)/2,MAX((CL1007+AW1007)/2,H1007))))</f>
        <v>59</v>
      </c>
      <c r="AV1007" s="62" t="n">
        <f aca="false">AU1007*G1007</f>
        <v>436.01</v>
      </c>
      <c r="AW1007" s="62" t="n">
        <f aca="false">ROUNDUP(CL1007+MAX(CM1007,2*(J1007/IF(CH1007&gt;0,CH1007,MAX(0.1,N(Cockpit!$I$6)))-CL1007)),0)</f>
        <v>114</v>
      </c>
      <c r="AX1007" s="63" t="n">
        <f aca="false">IF(AT1007&gt;0,J1007/AT1007,-1)</f>
        <v>34.5548387096774</v>
      </c>
      <c r="AY1007" s="63" t="n">
        <f aca="false">IF(AND(OR(CG1007="L1",CG1007="L23",CG1007="LIFT"),AT1007&gt;0),SUMIFS($AT$7:$AT$1843,$CG$7:$CG$1843,CG1007,$AX$7:$AX$1843,"&gt;"&amp;AX1007)+SUMIFS($AT$7:$AT$1843,$CG$7:$CG$1843,CG1007,$AX$7:$AX$1843,AX1007,$BX$7:$BX$1843,"&lt;="&amp;BX1007),"")</f>
        <v>1622.50366300366</v>
      </c>
      <c r="AZ1007" s="70" t="n">
        <f aca="false">IF(AY1007="",0,MAX(0,MIN(1,(IF(CG1007="L1",Parameter!$H$5,IF(CG1007="L23",Parameter!$H$6+Parameter!$H$7,Parameter!$H$5+Parameter!$H$6+Parameter!$H$7))-(AY1007-AT1007))/AT1007)))</f>
        <v>1</v>
      </c>
      <c r="BA1007" s="62" t="n">
        <f aca="false">IF(LEFT(Cockpit!$O$5,1)="A",H1007,IF(Parameter!$E$30="MAX-Bestand",IF(CI1007=1,CJ1007,IF(LEFT(Cockpit!$O$5,1)="B",BG1007,MAX(BG1007,H1007))),ROUNDUP(BE1007,0)))</f>
        <v>59</v>
      </c>
      <c r="BB1007" s="62" t="n">
        <f aca="false">IF(CA1007=1,0,ROUNDUP(BA1007/BZ1007,0))</f>
        <v>1</v>
      </c>
      <c r="BC1007" s="64" t="n">
        <f aca="false">IF(CR1007&gt;0,CR1007*MAX(1,BA1007/X1007),IF(CA1007=1,IF(BA1007&lt;=0,0,CE1007*MAX(1,IF(H1007&gt;0,BA1007/H1007,1))),IF(R1007&gt;0,BB1007/R1007,0))/MAX(0.1,N(Parameter!$M$21)))</f>
        <v>0.0192307692307692</v>
      </c>
      <c r="BD1007" s="62" t="n">
        <f aca="false">BC1007*CC1007</f>
        <v>2.98076923076923</v>
      </c>
      <c r="BE1007" s="63" t="n">
        <f aca="false">IF(LEFT(Cockpit!$O$5,1)="A",H1007,IF(CI1007=1,(CL1007+CJ1007)/2,IF(LEFT(Cockpit!$O$5,1)="B",(CL1007+BG1007)/2,MAX((CL1007+BG1007)/2,H1007))))</f>
        <v>59</v>
      </c>
      <c r="BF1007" s="62" t="n">
        <f aca="false">BE1007*G1007</f>
        <v>436.01</v>
      </c>
      <c r="BG1007" s="62" t="n">
        <f aca="false">ROUNDUP(CL1007+MAX(CM1007,2*(J1007/IF(CH1007&gt;0,CH1007,MAX(0.1,N(Cockpit!$O$6)))-CL1007)),0)</f>
        <v>114</v>
      </c>
      <c r="BH1007" s="63" t="n">
        <f aca="false">IF(BD1007&gt;0,J1007/BD1007,-1)</f>
        <v>34.5548387096774</v>
      </c>
      <c r="BI1007" s="63" t="n">
        <f aca="false">IF(AND(OR(CG1007="L1",CG1007="L23",CG1007="LIFT"),BD1007&gt;0),SUMIFS($BD$7:$BD$1843,$CG$7:$CG$1843,CG1007,$BH$7:$BH$1843,"&gt;"&amp;BH1007)+SUMIFS($BD$7:$BD$1843,$CG$7:$CG$1843,CG1007,$BH$7:$BH$1843,BH1007,$BX$7:$BX$1843,"&lt;="&amp;BX1007),"")</f>
        <v>1544.74358974359</v>
      </c>
      <c r="BJ1007" s="70" t="n">
        <f aca="false">IF(BI1007="",0,MAX(0,MIN(1,(IF(CG1007="L1",Parameter!$H$5,IF(CG1007="L23",Parameter!$H$6+Parameter!$H$7,Parameter!$H$5+Parameter!$H$6+Parameter!$H$7))-(BI1007-BD1007))/BD1007)))</f>
        <v>1</v>
      </c>
      <c r="BK1007" s="60" t="str">
        <f aca="false">IF(AJ1007&lt;=0,"",IF(CG1007="Aussen","Aussenlager",IF(CG1007="-","Nicht im Lift",IF(AP1007&gt;=1,"Lift",IF(AP1007&lt;=0,"Aussenlager","teilweise")))))</f>
        <v>Lift</v>
      </c>
      <c r="BL1007" s="60" t="str">
        <f aca="false">IF(AT1007&lt;=0,"",IF(CG1007="Aussen","Aussenlager",IF(CG1007="-","Nicht im Lift",IF(AZ1007&gt;=1,"Lift",IF(AZ1007&lt;=0,"Aussenlager","teilweise")))))</f>
        <v>Lift</v>
      </c>
      <c r="BM1007" s="60" t="str">
        <f aca="false">IF(BD1007&lt;=0,"",IF(CG1007="Aussen","Aussenlager",IF(CG1007="-","Nicht im Lift",IF(BJ1007&gt;=1,"Lift",IF(BJ1007&lt;=0,"Aussenlager","teilweise")))))</f>
        <v>Lift</v>
      </c>
      <c r="BN1007" s="60" t="str">
        <f aca="false">IF(A1007="","",IF(BW1007=1,"Neu; ","")&amp;IF(AND(BW1007=0,BR1007&lt;0),"negativer Bestand (Export "&amp;BR1007&amp;"); ","")&amp;IF(J1007&lt;=0,"Kein Verbrauch; ","")&amp;IF(CR1007&gt;0,"Lift "&amp;W1007&amp;" lt. Liftbericht (Fach "&amp;X1007&amp;" Stk); ",IF(CB1007=1,"Gebinde geschätzt ("&amp;T1007&amp;"); ",IF(CA1007=1,"Lose – Tablare geschätzt; ","")))&amp;IF(H1007&gt;AW1007,"Überbestand "&amp;ROUND(H1007-AW1007,0)&amp;" Stk / CHF "&amp;ROUND((H1007-AW1007)*G1007,0)&amp;"; ","")&amp;IF(AND(CI1007=1,CJ1007&lt;CK1007),"MAX &lt; MB+LG; ","")&amp;IF(AND(CQ1007&gt;0,CP1007*10&gt;CQ1007),"zu hoch für Tablar; ","")&amp;IF(AND(BW1007=0,OR(CI1007=1,AB1007&lt;&gt;"",U1007&lt;&gt;"",V1007&lt;&gt;"",AC1007&lt;&gt;"")),"manuell übersteuert; ","")&amp;IF(AND(CA1007=0,R1007=0),"Gebinde unbekannt / Stellmass fehlt; ","")&amp;IF(AND(CA1007=0,N(V1007)&lt;=0,N(Q1007)&lt;=0),"Menge pro Gebinde fehlt (Ist = 1 Gebinde); ","")&amp;BV1007)</f>
        <v>negativer Bestand (Export -16); </v>
      </c>
      <c r="BO1007" s="60"/>
      <c r="BP1007" s="60"/>
      <c r="BQ1007" s="67"/>
      <c r="BR1007" s="62" t="n">
        <v>-16</v>
      </c>
      <c r="BS1007" s="62" t="n">
        <v>58</v>
      </c>
      <c r="BT1007" s="61" t="n">
        <v>-105.24</v>
      </c>
      <c r="BU1007" s="62" t="n">
        <v>103</v>
      </c>
      <c r="BV1007" s="60"/>
      <c r="BW1007" s="65" t="n">
        <v>0</v>
      </c>
      <c r="BX1007" s="65" t="n">
        <v>1007</v>
      </c>
      <c r="BY1007" s="60" t="str">
        <f aca="false">IF(U1007&lt;&gt;"",UPPER(TRIM(U1007)),IF(CB1007=1,UPPER(VLOOKUP(T1007,Parameter!$I$27:$K$29,2,0)),IF(P1007="","LOSE",P1007)))</f>
        <v>S33</v>
      </c>
      <c r="BZ1007" s="62" t="n">
        <f aca="false">IF(BY1007="LOSE",1,IF(N(V1007)&gt;0,V1007,IF(CB1007=1,MAX(1,N(VLOOKUP(T1007,Parameter!$I$27:$K$29,3,0)),H1007,N(N1007)),IF(N(Q1007)&gt;0,Q1007,MAX(1,H1007)))))</f>
        <v>229</v>
      </c>
      <c r="CA1007" s="65" t="n">
        <f aca="false">IF(BY1007="LOSE",1,0)</f>
        <v>0</v>
      </c>
      <c r="CB1007" s="65" t="n">
        <f aca="false">IF(AND(U1007="",OR(P1007="",P1007="LOSE"),T1007&lt;&gt;"",N(S1007)&lt;=0,ISNUMBER(MATCH(T1007,Parameter!$I$27:$I$29,0))),1,0)</f>
        <v>0</v>
      </c>
      <c r="CC1007" s="65" t="n">
        <f aca="false">IF(CR1007&gt;0,INDEX(Parameter!$H$5:$H$7,W1007)/INDEX(Parameter!$E$5:$E$7,W1007),IF(AND(CA1007=0,N(IFERROR(VLOOKUP(BY1007,'Gebinde-Kategorie'!$A$5:$N$45,14,0),0))&gt;0),VLOOKUP(BY1007,'Gebinde-Kategorie'!$A$5:$N$45,14,0)*10+Parameter!$M$23,Parameter!$M$24))</f>
        <v>155</v>
      </c>
      <c r="CD1007" s="60" t="str">
        <f aca="false">IF(AND(Parameter!$B$19="Ja",E1007&lt;&gt;"",ISNUMBER(MATCH(E1007,Parameter!$I$35:$I$52,0))),VLOOKUP(E1007,Parameter!$I$35:$J$52,2,0),IFERROR(VLOOKUP(D1007,Parameter!$A$35:$C$64,2,0),"Nein"))</f>
        <v>2+3</v>
      </c>
      <c r="CE1007" s="64" t="n">
        <f aca="false">IF(CA1007=0,0,IF(N(S1007)&gt;0,S1007,IFERROR(VLOOKUP(D1007,Parameter!$A$35:$C$64,3,0)+0,0)))</f>
        <v>0</v>
      </c>
      <c r="CF1007" s="60" t="n">
        <f aca="false">IF(AB1007&lt;&gt;"",AB1007,AA1007)</f>
        <v>1</v>
      </c>
      <c r="CG1007" s="60" t="str">
        <f aca="false">IF(OR(CF1007=1,CF1007=2,CF1007=3),IF(Parameter!$E$27="Ja","LIFT",IF(CF1007=1,"L1","L23")),IF(CF1007="Aussen","Aussen","-"))</f>
        <v>LIFT</v>
      </c>
      <c r="CH1007" s="71" t="n">
        <f aca="false">IF(N(AC1007)&gt;0,AC1007,0)</f>
        <v>0</v>
      </c>
      <c r="CI1007" s="65" t="n">
        <f aca="false">IF(ISNUMBER(AF1007),1,0)</f>
        <v>0</v>
      </c>
      <c r="CJ1007" s="62" t="n">
        <f aca="false">N(AF1007)</f>
        <v>0</v>
      </c>
      <c r="CK1007" s="62" t="n">
        <f aca="false">N(M1007)+N(N1007)</f>
        <v>114</v>
      </c>
      <c r="CL1007" s="62" t="n">
        <f aca="false">N(M1007)</f>
        <v>4</v>
      </c>
      <c r="CM1007" s="62" t="n">
        <f aca="false">N(N1007)</f>
        <v>110</v>
      </c>
      <c r="CN1007" s="62" t="n">
        <f aca="false">ROUNDUP(H1007/BZ1007,0)</f>
        <v>1</v>
      </c>
      <c r="CO1007" s="62" t="n">
        <f aca="false">ROUNDUP(CJ1007/BZ1007,0)</f>
        <v>0</v>
      </c>
      <c r="CP1007" s="65" t="n">
        <f aca="false">IF(CA1007=1,0,IFERROR(VLOOKUP(BY1007,'Gebinde-Kategorie'!$A$5:$N$45,5,0)+0,0))</f>
        <v>8</v>
      </c>
      <c r="CQ1007" s="65" t="n">
        <f aca="false">IFERROR(IF(OR(CF1007=1,CF1007=2,CF1007=3),N(INDEX(Parameter!$I$5:$I$7,CF1007)),0),0)</f>
        <v>0</v>
      </c>
      <c r="CR1007" s="64" t="n">
        <f aca="false">IF(AND(Parameter!$B$21="Ja",ISNUMBER(W1007),N(X1007)&gt;0),IFERROR(N(INDEX(Parameter!$L$5:$L$7,W1007))*INDEX(Parameter!$E$5:$E$7,W1007)*X1007/SUMIFS($X$7:$X$1843,$W$7:$W$1843,W1007),0),0)</f>
        <v>0</v>
      </c>
      <c r="CS1007" s="62" t="n">
        <f aca="false">IF(AND(OR(CG1007="L1",CG1007="L23",CG1007="LIFT"),H1007&gt;0),CC1007*IF(CR1007&gt;0,CR1007*MAX(1,H1007/X1007),IF(CA1007=1,CE1007,IF(R1007&gt;0,CN1007/R1007,0))/MAX(0.1,N(Parameter!$M$21))),"")</f>
        <v>2.98076923076923</v>
      </c>
      <c r="CT1007" s="64" t="n">
        <f aca="false">IF(CS1007="","",J1007/H1007)</f>
        <v>2.45238095238095</v>
      </c>
      <c r="CU1007" s="62" t="n">
        <f aca="false">IF(CS1007="","",H1007*G1007)</f>
        <v>310.38</v>
      </c>
      <c r="CV1007" s="63" t="n">
        <f aca="false">IF(CS1007="","",(CL1007+ROUNDUP(CL1007+MAX(CM1007,2*(J1007/MAX(0.1,N(Einkauf!$C$6))-CL1007)),0))/2)</f>
        <v>59</v>
      </c>
      <c r="CW1007" s="62" t="n">
        <f aca="false">IF(CS1007="","",MAX(0,H1007-CV1007)*G1007)</f>
        <v>0</v>
      </c>
      <c r="CX1007" s="62" t="n">
        <f aca="false">IF(CS1007="","",CS1007*MAX(0,1-CV1007/H1007))</f>
        <v>0</v>
      </c>
      <c r="CY1007" s="64" t="n">
        <f aca="false">IF(CS1007="","",PERCENTRANK($CS$7:$CS$1843,CS1007)+PERCENTRANK($CU$7:$CU$1843,CU1007)+1-PERCENTRANK($CT$7:$CT$1843,CT1007))</f>
        <v>0.787</v>
      </c>
      <c r="CZ1007" s="72" t="n">
        <f aca="false">IF(CS1007="","",CHOOSE(MATCH(Einkauf!$C$5,Parameter!$G$23:$G$27,0),CY1007,CS1007,CU1007,-CT1007,CW1007)+ROW()/1000000000)</f>
        <v>0.787001007</v>
      </c>
    </row>
    <row r="1008" customFormat="false" ht="15" hidden="false" customHeight="false" outlineLevel="0" collapsed="false">
      <c r="A1008" s="60" t="s">
        <v>1901</v>
      </c>
      <c r="B1008" s="60" t="s">
        <v>1838</v>
      </c>
      <c r="C1008" s="60" t="s">
        <v>206</v>
      </c>
      <c r="D1008" s="60" t="s">
        <v>395</v>
      </c>
      <c r="E1008" s="60"/>
      <c r="F1008" s="60" t="s">
        <v>260</v>
      </c>
      <c r="G1008" s="61" t="n">
        <v>106.63</v>
      </c>
      <c r="H1008" s="62" t="n">
        <f aca="false">MAX(0,IF(AND(Parameter!$B$21="Ja",ISNUMBER(Y1008)),Y1008,IF(Parameter!$B$20="Jahresanfang 2025 + Export",BS1008+BR1008,BR1008)))</f>
        <v>0</v>
      </c>
      <c r="I1008" s="62" t="n">
        <f aca="false">H1008*G1008</f>
        <v>0</v>
      </c>
      <c r="J1008" s="62" t="n">
        <f aca="false">BU1008*Parameter!$B$18</f>
        <v>0</v>
      </c>
      <c r="K1008" s="63" t="n">
        <v>0.5</v>
      </c>
      <c r="L1008" s="64" t="n">
        <v>0</v>
      </c>
      <c r="M1008" s="62" t="n">
        <v>0</v>
      </c>
      <c r="N1008" s="62" t="n">
        <v>0</v>
      </c>
      <c r="O1008" s="65" t="n">
        <v>28</v>
      </c>
      <c r="P1008" s="60" t="s">
        <v>210</v>
      </c>
      <c r="Q1008" s="62"/>
      <c r="R1008" s="65" t="n">
        <f aca="false">IF(CA1008=1,0,IFERROR(VLOOKUP(BY1008,'Gebinde-Kategorie'!$A$5:$N$45,13,0)+0,0))</f>
        <v>0</v>
      </c>
      <c r="S1008" s="66"/>
      <c r="T1008" s="67"/>
      <c r="U1008" s="67"/>
      <c r="V1008" s="67"/>
      <c r="W1008" s="60"/>
      <c r="X1008" s="62"/>
      <c r="Y1008" s="62"/>
      <c r="Z1008" s="60"/>
      <c r="AA1008" s="60" t="str">
        <f aca="false">IF(A1008="","",IF(AND(Parameter!$B$21="Ja",ISNUMBER(W1008)),W1008,IF(AND(Parameter!$E$27="Ja",ISNUMBER(Z1008),CD1008&lt;&gt;"Nein"),Z1008,IF(CD1008="2+3",IF(ISNUMBER(SEARCH("grosser Artikel",BV1008)),2,IFERROR(VLOOKUP(BY1008,Parameter!$F$35:$G$64,2,0),2)),IF(OR(CD1008="Nein",CD1008=""),"-",CD1008)))))</f>
        <v>-</v>
      </c>
      <c r="AB1008" s="67"/>
      <c r="AC1008" s="68"/>
      <c r="AD1008" s="62" t="n">
        <f aca="false">AW1008</f>
        <v>0</v>
      </c>
      <c r="AE1008" s="62" t="n">
        <f aca="false">MAX(AW1008,H1008)</f>
        <v>0</v>
      </c>
      <c r="AF1008" s="69"/>
      <c r="AG1008" s="62" t="n">
        <f aca="false">IF(LEFT(Cockpit!$C$5,1)="A",H1008,IF(Parameter!$E$30="MAX-Bestand",IF(CI1008=1,CJ1008,IF(LEFT(Cockpit!$C$5,1)="B",AM1008,MAX(AM1008,H1008))),ROUNDUP(AK1008,0)))</f>
        <v>0</v>
      </c>
      <c r="AH1008" s="62" t="n">
        <f aca="false">IF(CA1008=1,0,ROUNDUP(AG1008/BZ1008,0))</f>
        <v>0</v>
      </c>
      <c r="AI1008" s="64" t="n">
        <f aca="false">IF(CR1008&gt;0,CR1008*MAX(1,AG1008/X1008),IF(CA1008=1,IF(AG1008&lt;=0,0,CE1008*MAX(1,IF(H1008&gt;0,AG1008/H1008,1))),IF(R1008&gt;0,AH1008/R1008,0))/MAX(0.1,N(Parameter!$M$21)))</f>
        <v>0</v>
      </c>
      <c r="AJ1008" s="62" t="n">
        <f aca="false">AI1008*CC1008</f>
        <v>0</v>
      </c>
      <c r="AK1008" s="63" t="n">
        <f aca="false">IF(LEFT(Cockpit!$C$5,1)="A",H1008,IF(CI1008=1,(CL1008+CJ1008)/2,IF(LEFT(Cockpit!$C$5,1)="B",(CL1008+AM1008)/2,MAX((CL1008+AM1008)/2,H1008))))</f>
        <v>0</v>
      </c>
      <c r="AL1008" s="62" t="n">
        <f aca="false">AK1008*G1008</f>
        <v>0</v>
      </c>
      <c r="AM1008" s="62" t="n">
        <f aca="false">ROUNDUP(CL1008+MAX(CM1008,2*(J1008/IF(CH1008&gt;0,CH1008,MAX(0.1,N(Cockpit!$C$6)))-CL1008)),0)</f>
        <v>0</v>
      </c>
      <c r="AN1008" s="63" t="n">
        <f aca="false">IF(AJ1008&gt;0,J1008/AJ1008,-1)</f>
        <v>-1</v>
      </c>
      <c r="AO1008" s="63" t="str">
        <f aca="false">IF(AND(OR(CG1008="L1",CG1008="L23",CG1008="LIFT"),AJ1008&gt;0),SUMIFS($AJ$7:$AJ$1843,$CG$7:$CG$1843,CG1008,$AN$7:$AN$1843,"&gt;"&amp;AN1008)+SUMIFS($AJ$7:$AJ$1843,$CG$7:$CG$1843,CG1008,$AN$7:$AN$1843,AN1008,$BX$7:$BX$1843,"&lt;="&amp;BX1008),"")</f>
        <v/>
      </c>
      <c r="AP1008" s="70" t="n">
        <f aca="false">IF(AO1008="",0,MAX(0,MIN(1,(IF(CG1008="L1",Parameter!$H$5,IF(CG1008="L23",Parameter!$H$6+Parameter!$H$7,Parameter!$H$5+Parameter!$H$6+Parameter!$H$7))-(AO1008-AJ1008))/AJ1008)))</f>
        <v>0</v>
      </c>
      <c r="AQ1008" s="62" t="n">
        <f aca="false">IF(LEFT(Cockpit!$I$5,1)="A",H1008,IF(Parameter!$E$30="MAX-Bestand",IF(CI1008=1,CJ1008,IF(LEFT(Cockpit!$I$5,1)="B",AW1008,MAX(AW1008,H1008))),ROUNDUP(AU1008,0)))</f>
        <v>0</v>
      </c>
      <c r="AR1008" s="62" t="n">
        <f aca="false">IF(CA1008=1,0,ROUNDUP(AQ1008/BZ1008,0))</f>
        <v>0</v>
      </c>
      <c r="AS1008" s="64" t="n">
        <f aca="false">IF(CR1008&gt;0,CR1008*MAX(1,AQ1008/X1008),IF(CA1008=1,IF(AQ1008&lt;=0,0,CE1008*MAX(1,IF(H1008&gt;0,AQ1008/H1008,1))),IF(R1008&gt;0,AR1008/R1008,0))/MAX(0.1,N(Parameter!$M$21)))</f>
        <v>0</v>
      </c>
      <c r="AT1008" s="62" t="n">
        <f aca="false">AS1008*CC1008</f>
        <v>0</v>
      </c>
      <c r="AU1008" s="63" t="n">
        <f aca="false">IF(LEFT(Cockpit!$I$5,1)="A",H1008,IF(CI1008=1,(CL1008+CJ1008)/2,IF(LEFT(Cockpit!$I$5,1)="B",(CL1008+AW1008)/2,MAX((CL1008+AW1008)/2,H1008))))</f>
        <v>0</v>
      </c>
      <c r="AV1008" s="62" t="n">
        <f aca="false">AU1008*G1008</f>
        <v>0</v>
      </c>
      <c r="AW1008" s="62" t="n">
        <f aca="false">ROUNDUP(CL1008+MAX(CM1008,2*(J1008/IF(CH1008&gt;0,CH1008,MAX(0.1,N(Cockpit!$I$6)))-CL1008)),0)</f>
        <v>0</v>
      </c>
      <c r="AX1008" s="63" t="n">
        <f aca="false">IF(AT1008&gt;0,J1008/AT1008,-1)</f>
        <v>-1</v>
      </c>
      <c r="AY1008" s="63" t="str">
        <f aca="false">IF(AND(OR(CG1008="L1",CG1008="L23",CG1008="LIFT"),AT1008&gt;0),SUMIFS($AT$7:$AT$1843,$CG$7:$CG$1843,CG1008,$AX$7:$AX$1843,"&gt;"&amp;AX1008)+SUMIFS($AT$7:$AT$1843,$CG$7:$CG$1843,CG1008,$AX$7:$AX$1843,AX1008,$BX$7:$BX$1843,"&lt;="&amp;BX1008),"")</f>
        <v/>
      </c>
      <c r="AZ1008" s="70" t="n">
        <f aca="false">IF(AY1008="",0,MAX(0,MIN(1,(IF(CG1008="L1",Parameter!$H$5,IF(CG1008="L23",Parameter!$H$6+Parameter!$H$7,Parameter!$H$5+Parameter!$H$6+Parameter!$H$7))-(AY1008-AT1008))/AT1008)))</f>
        <v>0</v>
      </c>
      <c r="BA1008" s="62" t="n">
        <f aca="false">IF(LEFT(Cockpit!$O$5,1)="A",H1008,IF(Parameter!$E$30="MAX-Bestand",IF(CI1008=1,CJ1008,IF(LEFT(Cockpit!$O$5,1)="B",BG1008,MAX(BG1008,H1008))),ROUNDUP(BE1008,0)))</f>
        <v>0</v>
      </c>
      <c r="BB1008" s="62" t="n">
        <f aca="false">IF(CA1008=1,0,ROUNDUP(BA1008/BZ1008,0))</f>
        <v>0</v>
      </c>
      <c r="BC1008" s="64" t="n">
        <f aca="false">IF(CR1008&gt;0,CR1008*MAX(1,BA1008/X1008),IF(CA1008=1,IF(BA1008&lt;=0,0,CE1008*MAX(1,IF(H1008&gt;0,BA1008/H1008,1))),IF(R1008&gt;0,BB1008/R1008,0))/MAX(0.1,N(Parameter!$M$21)))</f>
        <v>0</v>
      </c>
      <c r="BD1008" s="62" t="n">
        <f aca="false">BC1008*CC1008</f>
        <v>0</v>
      </c>
      <c r="BE1008" s="63" t="n">
        <f aca="false">IF(LEFT(Cockpit!$O$5,1)="A",H1008,IF(CI1008=1,(CL1008+CJ1008)/2,IF(LEFT(Cockpit!$O$5,1)="B",(CL1008+BG1008)/2,MAX((CL1008+BG1008)/2,H1008))))</f>
        <v>0</v>
      </c>
      <c r="BF1008" s="62" t="n">
        <f aca="false">BE1008*G1008</f>
        <v>0</v>
      </c>
      <c r="BG1008" s="62" t="n">
        <f aca="false">ROUNDUP(CL1008+MAX(CM1008,2*(J1008/IF(CH1008&gt;0,CH1008,MAX(0.1,N(Cockpit!$O$6)))-CL1008)),0)</f>
        <v>0</v>
      </c>
      <c r="BH1008" s="63" t="n">
        <f aca="false">IF(BD1008&gt;0,J1008/BD1008,-1)</f>
        <v>-1</v>
      </c>
      <c r="BI1008" s="63" t="str">
        <f aca="false">IF(AND(OR(CG1008="L1",CG1008="L23",CG1008="LIFT"),BD1008&gt;0),SUMIFS($BD$7:$BD$1843,$CG$7:$CG$1843,CG1008,$BH$7:$BH$1843,"&gt;"&amp;BH1008)+SUMIFS($BD$7:$BD$1843,$CG$7:$CG$1843,CG1008,$BH$7:$BH$1843,BH1008,$BX$7:$BX$1843,"&lt;="&amp;BX1008),"")</f>
        <v/>
      </c>
      <c r="BJ1008" s="70" t="n">
        <f aca="false">IF(BI1008="",0,MAX(0,MIN(1,(IF(CG1008="L1",Parameter!$H$5,IF(CG1008="L23",Parameter!$H$6+Parameter!$H$7,Parameter!$H$5+Parameter!$H$6+Parameter!$H$7))-(BI1008-BD1008))/BD1008)))</f>
        <v>0</v>
      </c>
      <c r="BK1008" s="60" t="str">
        <f aca="false">IF(AJ1008&lt;=0,"",IF(CG1008="Aussen","Aussenlager",IF(CG1008="-","Nicht im Lift",IF(AP1008&gt;=1,"Lift",IF(AP1008&lt;=0,"Aussenlager","teilweise")))))</f>
        <v/>
      </c>
      <c r="BL1008" s="60" t="str">
        <f aca="false">IF(AT1008&lt;=0,"",IF(CG1008="Aussen","Aussenlager",IF(CG1008="-","Nicht im Lift",IF(AZ1008&gt;=1,"Lift",IF(AZ1008&lt;=0,"Aussenlager","teilweise")))))</f>
        <v/>
      </c>
      <c r="BM1008" s="60" t="str">
        <f aca="false">IF(BD1008&lt;=0,"",IF(CG1008="Aussen","Aussenlager",IF(CG1008="-","Nicht im Lift",IF(BJ1008&gt;=1,"Lift",IF(BJ1008&lt;=0,"Aussenlager","teilweise")))))</f>
        <v/>
      </c>
      <c r="BN1008" s="60" t="str">
        <f aca="false">IF(A1008="","",IF(BW1008=1,"Neu; ","")&amp;IF(AND(BW1008=0,BR1008&lt;0),"negativer Bestand (Export "&amp;BR1008&amp;"); ","")&amp;IF(J1008&lt;=0,"Kein Verbrauch; ","")&amp;IF(CR1008&gt;0,"Lift "&amp;W1008&amp;" lt. Liftbericht (Fach "&amp;X1008&amp;" Stk); ",IF(CB1008=1,"Gebinde geschätzt ("&amp;T1008&amp;"); ",IF(CA1008=1,"Lose – Tablare geschätzt; ","")))&amp;IF(H1008&gt;AW1008,"Überbestand "&amp;ROUND(H1008-AW1008,0)&amp;" Stk / CHF "&amp;ROUND((H1008-AW1008)*G1008,0)&amp;"; ","")&amp;IF(AND(CI1008=1,CJ1008&lt;CK1008),"MAX &lt; MB+LG; ","")&amp;IF(AND(CQ1008&gt;0,CP1008*10&gt;CQ1008),"zu hoch für Tablar; ","")&amp;IF(AND(BW1008=0,OR(CI1008=1,AB1008&lt;&gt;"",U1008&lt;&gt;"",V1008&lt;&gt;"",AC1008&lt;&gt;"")),"manuell übersteuert; ","")&amp;IF(AND(CA1008=0,R1008=0),"Gebinde unbekannt / Stellmass fehlt; ","")&amp;IF(AND(CA1008=0,N(V1008)&lt;=0,N(Q1008)&lt;=0),"Menge pro Gebinde fehlt (Ist = 1 Gebinde); ","")&amp;BV1008)</f>
        <v>negativer Bestand (Export -1); Kein Verbrauch; Lose – Tablare geschätzt; </v>
      </c>
      <c r="BO1008" s="60"/>
      <c r="BP1008" s="60"/>
      <c r="BQ1008" s="67"/>
      <c r="BR1008" s="62" t="n">
        <v>-1</v>
      </c>
      <c r="BS1008" s="62" t="n">
        <v>1</v>
      </c>
      <c r="BT1008" s="61" t="n">
        <v>-106.63</v>
      </c>
      <c r="BU1008" s="62" t="n">
        <v>0</v>
      </c>
      <c r="BV1008" s="60"/>
      <c r="BW1008" s="65" t="n">
        <v>0</v>
      </c>
      <c r="BX1008" s="65" t="n">
        <v>1008</v>
      </c>
      <c r="BY1008" s="60" t="str">
        <f aca="false">IF(U1008&lt;&gt;"",UPPER(TRIM(U1008)),IF(CB1008=1,UPPER(VLOOKUP(T1008,Parameter!$I$27:$K$29,2,0)),IF(P1008="","LOSE",P1008)))</f>
        <v>LOSE</v>
      </c>
      <c r="BZ1008" s="62" t="n">
        <f aca="false">IF(BY1008="LOSE",1,IF(N(V1008)&gt;0,V1008,IF(CB1008=1,MAX(1,N(VLOOKUP(T1008,Parameter!$I$27:$K$29,3,0)),H1008,N(N1008)),IF(N(Q1008)&gt;0,Q1008,MAX(1,H1008)))))</f>
        <v>1</v>
      </c>
      <c r="CA1008" s="65" t="n">
        <f aca="false">IF(BY1008="LOSE",1,0)</f>
        <v>1</v>
      </c>
      <c r="CB1008" s="65" t="n">
        <f aca="false">IF(AND(U1008="",OR(P1008="",P1008="LOSE"),T1008&lt;&gt;"",N(S1008)&lt;=0,ISNUMBER(MATCH(T1008,Parameter!$I$27:$I$29,0))),1,0)</f>
        <v>0</v>
      </c>
      <c r="CC1008" s="65" t="n">
        <f aca="false">IF(CR1008&gt;0,INDEX(Parameter!$H$5:$H$7,W1008)/INDEX(Parameter!$E$5:$E$7,W1008),IF(AND(CA1008=0,N(IFERROR(VLOOKUP(BY1008,'Gebinde-Kategorie'!$A$5:$N$45,14,0),0))&gt;0),VLOOKUP(BY1008,'Gebinde-Kategorie'!$A$5:$N$45,14,0)*10+Parameter!$M$23,Parameter!$M$24))</f>
        <v>235</v>
      </c>
      <c r="CD1008" s="60" t="str">
        <f aca="false">IF(AND(Parameter!$B$19="Ja",E1008&lt;&gt;"",ISNUMBER(MATCH(E1008,Parameter!$I$35:$I$52,0))),VLOOKUP(E1008,Parameter!$I$35:$J$52,2,0),IFERROR(VLOOKUP(D1008,Parameter!$A$35:$C$64,2,0),"Nein"))</f>
        <v>Nein</v>
      </c>
      <c r="CE1008" s="64" t="n">
        <f aca="false">IF(CA1008=0,0,IF(N(S1008)&gt;0,S1008,IFERROR(VLOOKUP(D1008,Parameter!$A$35:$C$64,3,0)+0,0)))</f>
        <v>0.15</v>
      </c>
      <c r="CF1008" s="60" t="str">
        <f aca="false">IF(AB1008&lt;&gt;"",AB1008,AA1008)</f>
        <v>-</v>
      </c>
      <c r="CG1008" s="60" t="str">
        <f aca="false">IF(OR(CF1008=1,CF1008=2,CF1008=3),IF(Parameter!$E$27="Ja","LIFT",IF(CF1008=1,"L1","L23")),IF(CF1008="Aussen","Aussen","-"))</f>
        <v>-</v>
      </c>
      <c r="CH1008" s="71" t="n">
        <f aca="false">IF(N(AC1008)&gt;0,AC1008,0)</f>
        <v>0</v>
      </c>
      <c r="CI1008" s="65" t="n">
        <f aca="false">IF(ISNUMBER(AF1008),1,0)</f>
        <v>0</v>
      </c>
      <c r="CJ1008" s="62" t="n">
        <f aca="false">N(AF1008)</f>
        <v>0</v>
      </c>
      <c r="CK1008" s="62" t="n">
        <f aca="false">N(M1008)+N(N1008)</f>
        <v>0</v>
      </c>
      <c r="CL1008" s="62" t="n">
        <f aca="false">N(M1008)</f>
        <v>0</v>
      </c>
      <c r="CM1008" s="62" t="n">
        <f aca="false">N(N1008)</f>
        <v>0</v>
      </c>
      <c r="CN1008" s="62" t="n">
        <f aca="false">ROUNDUP(H1008/BZ1008,0)</f>
        <v>0</v>
      </c>
      <c r="CO1008" s="62" t="n">
        <f aca="false">ROUNDUP(CJ1008/BZ1008,0)</f>
        <v>0</v>
      </c>
      <c r="CP1008" s="65" t="n">
        <f aca="false">IF(CA1008=1,0,IFERROR(VLOOKUP(BY1008,'Gebinde-Kategorie'!$A$5:$N$45,5,0)+0,0))</f>
        <v>0</v>
      </c>
      <c r="CQ1008" s="65" t="n">
        <f aca="false">IFERROR(IF(OR(CF1008=1,CF1008=2,CF1008=3),N(INDEX(Parameter!$I$5:$I$7,CF1008)),0),0)</f>
        <v>0</v>
      </c>
      <c r="CR1008" s="64" t="n">
        <f aca="false">IF(AND(Parameter!$B$21="Ja",ISNUMBER(W1008),N(X1008)&gt;0),IFERROR(N(INDEX(Parameter!$L$5:$L$7,W1008))*INDEX(Parameter!$E$5:$E$7,W1008)*X1008/SUMIFS($X$7:$X$1843,$W$7:$W$1843,W1008),0),0)</f>
        <v>0</v>
      </c>
      <c r="CS1008" s="62" t="str">
        <f aca="false">IF(AND(OR(CG1008="L1",CG1008="L23",CG1008="LIFT"),H1008&gt;0),CC1008*IF(CR1008&gt;0,CR1008*MAX(1,H1008/X1008),IF(CA1008=1,CE1008,IF(R1008&gt;0,CN1008/R1008,0))/MAX(0.1,N(Parameter!$M$21))),"")</f>
        <v/>
      </c>
      <c r="CT1008" s="64" t="str">
        <f aca="false">IF(CS1008="","",J1008/H1008)</f>
        <v/>
      </c>
      <c r="CU1008" s="62" t="str">
        <f aca="false">IF(CS1008="","",H1008*G1008)</f>
        <v/>
      </c>
      <c r="CV1008" s="63" t="str">
        <f aca="false">IF(CS1008="","",(CL1008+ROUNDUP(CL1008+MAX(CM1008,2*(J1008/MAX(0.1,N(Einkauf!$C$6))-CL1008)),0))/2)</f>
        <v/>
      </c>
      <c r="CW1008" s="62" t="str">
        <f aca="false">IF(CS1008="","",MAX(0,H1008-CV1008)*G1008)</f>
        <v/>
      </c>
      <c r="CX1008" s="62" t="str">
        <f aca="false">IF(CS1008="","",CS1008*MAX(0,1-CV1008/H1008))</f>
        <v/>
      </c>
      <c r="CY1008" s="64" t="str">
        <f aca="false">IF(CS1008="","",PERCENTRANK($CS$7:$CS$1843,CS1008)+PERCENTRANK($CU$7:$CU$1843,CU1008)+1-PERCENTRANK($CT$7:$CT$1843,CT1008))</f>
        <v/>
      </c>
      <c r="CZ1008" s="72" t="str">
        <f aca="false">IF(CS1008="","",CHOOSE(MATCH(Einkauf!$C$5,Parameter!$G$23:$G$27,0),CY1008,CS1008,CU1008,-CT1008,CW1008)+ROW()/1000000000)</f>
        <v/>
      </c>
    </row>
    <row r="1009" customFormat="false" ht="15" hidden="false" customHeight="false" outlineLevel="0" collapsed="false">
      <c r="A1009" s="60" t="s">
        <v>1902</v>
      </c>
      <c r="B1009" s="60" t="s">
        <v>1903</v>
      </c>
      <c r="C1009" s="60" t="s">
        <v>206</v>
      </c>
      <c r="D1009" s="60" t="s">
        <v>226</v>
      </c>
      <c r="E1009" s="60"/>
      <c r="F1009" s="60" t="s">
        <v>260</v>
      </c>
      <c r="G1009" s="61" t="n">
        <v>106.76</v>
      </c>
      <c r="H1009" s="62" t="n">
        <f aca="false">MAX(0,IF(AND(Parameter!$B$21="Ja",ISNUMBER(Y1009)),Y1009,IF(Parameter!$B$20="Jahresanfang 2025 + Export",BS1009+BR1009,BR1009)))</f>
        <v>6</v>
      </c>
      <c r="I1009" s="62" t="n">
        <f aca="false">H1009*G1009</f>
        <v>640.56</v>
      </c>
      <c r="J1009" s="62" t="n">
        <f aca="false">BU1009*Parameter!$B$18</f>
        <v>0</v>
      </c>
      <c r="K1009" s="63" t="n">
        <v>7</v>
      </c>
      <c r="L1009" s="64" t="n">
        <v>0</v>
      </c>
      <c r="M1009" s="62" t="n">
        <v>0</v>
      </c>
      <c r="N1009" s="62" t="n">
        <v>1</v>
      </c>
      <c r="O1009" s="65" t="n">
        <v>35</v>
      </c>
      <c r="P1009" s="60" t="s">
        <v>210</v>
      </c>
      <c r="Q1009" s="62"/>
      <c r="R1009" s="65" t="n">
        <f aca="false">IF(CA1009=1,0,IFERROR(VLOOKUP(BY1009,'Gebinde-Kategorie'!$A$5:$N$45,13,0)+0,0))</f>
        <v>12</v>
      </c>
      <c r="S1009" s="66"/>
      <c r="T1009" s="67" t="s">
        <v>221</v>
      </c>
      <c r="U1009" s="67"/>
      <c r="V1009" s="67"/>
      <c r="W1009" s="60"/>
      <c r="X1009" s="62"/>
      <c r="Y1009" s="62"/>
      <c r="Z1009" s="60" t="n">
        <v>3</v>
      </c>
      <c r="AA1009" s="60" t="n">
        <f aca="false">IF(A1009="","",IF(AND(Parameter!$B$21="Ja",ISNUMBER(W1009)),W1009,IF(AND(Parameter!$E$27="Ja",ISNUMBER(Z1009),CD1009&lt;&gt;"Nein"),Z1009,IF(CD1009="2+3",IF(ISNUMBER(SEARCH("grosser Artikel",BV1009)),2,IFERROR(VLOOKUP(BY1009,Parameter!$F$35:$G$64,2,0),2)),IF(OR(CD1009="Nein",CD1009=""),"-",CD1009)))))</f>
        <v>3</v>
      </c>
      <c r="AB1009" s="67"/>
      <c r="AC1009" s="68"/>
      <c r="AD1009" s="62" t="n">
        <f aca="false">AW1009</f>
        <v>1</v>
      </c>
      <c r="AE1009" s="62" t="n">
        <f aca="false">MAX(AW1009,H1009)</f>
        <v>6</v>
      </c>
      <c r="AF1009" s="69"/>
      <c r="AG1009" s="62" t="n">
        <f aca="false">IF(LEFT(Cockpit!$C$5,1)="A",H1009,IF(Parameter!$E$30="MAX-Bestand",IF(CI1009=1,CJ1009,IF(LEFT(Cockpit!$C$5,1)="B",AM1009,MAX(AM1009,H1009))),ROUNDUP(AK1009,0)))</f>
        <v>6</v>
      </c>
      <c r="AH1009" s="62" t="n">
        <f aca="false">IF(CA1009=1,0,ROUNDUP(AG1009/BZ1009,0))</f>
        <v>1</v>
      </c>
      <c r="AI1009" s="64" t="n">
        <f aca="false">IF(CR1009&gt;0,CR1009*MAX(1,AG1009/X1009),IF(CA1009=1,IF(AG1009&lt;=0,0,CE1009*MAX(1,IF(H1009&gt;0,AG1009/H1009,1))),IF(R1009&gt;0,AH1009/R1009,0))/MAX(0.1,N(Parameter!$M$21)))</f>
        <v>0.0833333333333333</v>
      </c>
      <c r="AJ1009" s="62" t="n">
        <f aca="false">AI1009*CC1009</f>
        <v>12.0833333333333</v>
      </c>
      <c r="AK1009" s="63" t="n">
        <f aca="false">IF(LEFT(Cockpit!$C$5,1)="A",H1009,IF(CI1009=1,(CL1009+CJ1009)/2,IF(LEFT(Cockpit!$C$5,1)="B",(CL1009+AM1009)/2,MAX((CL1009+AM1009)/2,H1009))))</f>
        <v>6</v>
      </c>
      <c r="AL1009" s="62" t="n">
        <f aca="false">AK1009*G1009</f>
        <v>640.56</v>
      </c>
      <c r="AM1009" s="62" t="n">
        <f aca="false">ROUNDUP(CL1009+MAX(CM1009,2*(J1009/IF(CH1009&gt;0,CH1009,MAX(0.1,N(Cockpit!$C$6)))-CL1009)),0)</f>
        <v>1</v>
      </c>
      <c r="AN1009" s="63" t="n">
        <f aca="false">IF(AJ1009&gt;0,J1009/AJ1009,-1)</f>
        <v>0</v>
      </c>
      <c r="AO1009" s="63" t="n">
        <f aca="false">IF(AND(OR(CG1009="L1",CG1009="L23",CG1009="LIFT"),AJ1009&gt;0),SUMIFS($AJ$7:$AJ$1843,$CG$7:$CG$1843,CG1009,$AN$7:$AN$1843,"&gt;"&amp;AN1009)+SUMIFS($AJ$7:$AJ$1843,$CG$7:$CG$1843,CG1009,$AN$7:$AN$1843,AN1009,$BX$7:$BX$1843,"&lt;="&amp;BX1009),"")</f>
        <v>28965.1979703442</v>
      </c>
      <c r="AP1009" s="70" t="n">
        <f aca="false">IF(AO1009="",0,MAX(0,MIN(1,(IF(CG1009="L1",Parameter!$H$5,IF(CG1009="L23",Parameter!$H$6+Parameter!$H$7,Parameter!$H$5+Parameter!$H$6+Parameter!$H$7))-(AO1009-AJ1009))/AJ1009)))</f>
        <v>1</v>
      </c>
      <c r="AQ1009" s="62" t="n">
        <f aca="false">IF(LEFT(Cockpit!$I$5,1)="A",H1009,IF(Parameter!$E$30="MAX-Bestand",IF(CI1009=1,CJ1009,IF(LEFT(Cockpit!$I$5,1)="B",AW1009,MAX(AW1009,H1009))),ROUNDUP(AU1009,0)))</f>
        <v>6</v>
      </c>
      <c r="AR1009" s="62" t="n">
        <f aca="false">IF(CA1009=1,0,ROUNDUP(AQ1009/BZ1009,0))</f>
        <v>1</v>
      </c>
      <c r="AS1009" s="64" t="n">
        <f aca="false">IF(CR1009&gt;0,CR1009*MAX(1,AQ1009/X1009),IF(CA1009=1,IF(AQ1009&lt;=0,0,CE1009*MAX(1,IF(H1009&gt;0,AQ1009/H1009,1))),IF(R1009&gt;0,AR1009/R1009,0))/MAX(0.1,N(Parameter!$M$21)))</f>
        <v>0.0833333333333333</v>
      </c>
      <c r="AT1009" s="62" t="n">
        <f aca="false">AS1009*CC1009</f>
        <v>12.0833333333333</v>
      </c>
      <c r="AU1009" s="63" t="n">
        <f aca="false">IF(LEFT(Cockpit!$I$5,1)="A",H1009,IF(CI1009=1,(CL1009+CJ1009)/2,IF(LEFT(Cockpit!$I$5,1)="B",(CL1009+AW1009)/2,MAX((CL1009+AW1009)/2,H1009))))</f>
        <v>6</v>
      </c>
      <c r="AV1009" s="62" t="n">
        <f aca="false">AU1009*G1009</f>
        <v>640.56</v>
      </c>
      <c r="AW1009" s="62" t="n">
        <f aca="false">ROUNDUP(CL1009+MAX(CM1009,2*(J1009/IF(CH1009&gt;0,CH1009,MAX(0.1,N(Cockpit!$I$6)))-CL1009)),0)</f>
        <v>1</v>
      </c>
      <c r="AX1009" s="63" t="n">
        <f aca="false">IF(AT1009&gt;0,J1009/AT1009,-1)</f>
        <v>0</v>
      </c>
      <c r="AY1009" s="63" t="n">
        <f aca="false">IF(AND(OR(CG1009="L1",CG1009="L23",CG1009="LIFT"),AT1009&gt;0),SUMIFS($AT$7:$AT$1843,$CG$7:$CG$1843,CG1009,$AX$7:$AX$1843,"&gt;"&amp;AX1009)+SUMIFS($AT$7:$AT$1843,$CG$7:$CG$1843,CG1009,$AX$7:$AX$1843,AX1009,$BX$7:$BX$1843,"&lt;="&amp;BX1009),"")</f>
        <v>34666.0796703297</v>
      </c>
      <c r="AZ1009" s="70" t="n">
        <f aca="false">IF(AY1009="",0,MAX(0,MIN(1,(IF(CG1009="L1",Parameter!$H$5,IF(CG1009="L23",Parameter!$H$6+Parameter!$H$7,Parameter!$H$5+Parameter!$H$6+Parameter!$H$7))-(AY1009-AT1009))/AT1009)))</f>
        <v>1</v>
      </c>
      <c r="BA1009" s="62" t="n">
        <f aca="false">IF(LEFT(Cockpit!$O$5,1)="A",H1009,IF(Parameter!$E$30="MAX-Bestand",IF(CI1009=1,CJ1009,IF(LEFT(Cockpit!$O$5,1)="B",BG1009,MAX(BG1009,H1009))),ROUNDUP(BE1009,0)))</f>
        <v>1</v>
      </c>
      <c r="BB1009" s="62" t="n">
        <f aca="false">IF(CA1009=1,0,ROUNDUP(BA1009/BZ1009,0))</f>
        <v>1</v>
      </c>
      <c r="BC1009" s="64" t="n">
        <f aca="false">IF(CR1009&gt;0,CR1009*MAX(1,BA1009/X1009),IF(CA1009=1,IF(BA1009&lt;=0,0,CE1009*MAX(1,IF(H1009&gt;0,BA1009/H1009,1))),IF(R1009&gt;0,BB1009/R1009,0))/MAX(0.1,N(Parameter!$M$21)))</f>
        <v>0.0833333333333333</v>
      </c>
      <c r="BD1009" s="62" t="n">
        <f aca="false">BC1009*CC1009</f>
        <v>12.0833333333333</v>
      </c>
      <c r="BE1009" s="63" t="n">
        <f aca="false">IF(LEFT(Cockpit!$O$5,1)="A",H1009,IF(CI1009=1,(CL1009+CJ1009)/2,IF(LEFT(Cockpit!$O$5,1)="B",(CL1009+BG1009)/2,MAX((CL1009+BG1009)/2,H1009))))</f>
        <v>0.5</v>
      </c>
      <c r="BF1009" s="62" t="n">
        <f aca="false">BE1009*G1009</f>
        <v>53.38</v>
      </c>
      <c r="BG1009" s="62" t="n">
        <f aca="false">ROUNDUP(CL1009+MAX(CM1009,2*(J1009/IF(CH1009&gt;0,CH1009,MAX(0.1,N(Cockpit!$O$6)))-CL1009)),0)</f>
        <v>1</v>
      </c>
      <c r="BH1009" s="63" t="n">
        <f aca="false">IF(BD1009&gt;0,J1009/BD1009,-1)</f>
        <v>0</v>
      </c>
      <c r="BI1009" s="63" t="n">
        <f aca="false">IF(AND(OR(CG1009="L1",CG1009="L23",CG1009="LIFT"),BD1009&gt;0),SUMIFS($BD$7:$BD$1843,$CG$7:$CG$1843,CG1009,$BH$7:$BH$1843,"&gt;"&amp;BH1009)+SUMIFS($BD$7:$BD$1843,$CG$7:$CG$1843,CG1009,$BH$7:$BH$1843,BH1009,$BX$7:$BX$1843,"&lt;="&amp;BX1009),"")</f>
        <v>28681.1940227851</v>
      </c>
      <c r="BJ1009" s="70" t="n">
        <f aca="false">IF(BI1009="",0,MAX(0,MIN(1,(IF(CG1009="L1",Parameter!$H$5,IF(CG1009="L23",Parameter!$H$6+Parameter!$H$7,Parameter!$H$5+Parameter!$H$6+Parameter!$H$7))-(BI1009-BD1009))/BD1009)))</f>
        <v>1</v>
      </c>
      <c r="BK1009" s="60" t="str">
        <f aca="false">IF(AJ1009&lt;=0,"",IF(CG1009="Aussen","Aussenlager",IF(CG1009="-","Nicht im Lift",IF(AP1009&gt;=1,"Lift",IF(AP1009&lt;=0,"Aussenlager","teilweise")))))</f>
        <v>Lift</v>
      </c>
      <c r="BL1009" s="60" t="str">
        <f aca="false">IF(AT1009&lt;=0,"",IF(CG1009="Aussen","Aussenlager",IF(CG1009="-","Nicht im Lift",IF(AZ1009&gt;=1,"Lift",IF(AZ1009&lt;=0,"Aussenlager","teilweise")))))</f>
        <v>Lift</v>
      </c>
      <c r="BM1009" s="60" t="str">
        <f aca="false">IF(BD1009&lt;=0,"",IF(CG1009="Aussen","Aussenlager",IF(CG1009="-","Nicht im Lift",IF(BJ1009&gt;=1,"Lift",IF(BJ1009&lt;=0,"Aussenlager","teilweise")))))</f>
        <v>Lift</v>
      </c>
      <c r="BN1009" s="60" t="str">
        <f aca="false">IF(A1009="","",IF(BW1009=1,"Neu; ","")&amp;IF(AND(BW1009=0,BR1009&lt;0),"negativer Bestand (Export "&amp;BR1009&amp;"); ","")&amp;IF(J1009&lt;=0,"Kein Verbrauch; ","")&amp;IF(CR1009&gt;0,"Lift "&amp;W1009&amp;" lt. Liftbericht (Fach "&amp;X1009&amp;" Stk); ",IF(CB1009=1,"Gebinde geschätzt ("&amp;T1009&amp;"); ",IF(CA1009=1,"Lose – Tablare geschätzt; ","")))&amp;IF(H1009&gt;AW1009,"Überbestand "&amp;ROUND(H1009-AW1009,0)&amp;" Stk / CHF "&amp;ROUND((H1009-AW1009)*G1009,0)&amp;"; ","")&amp;IF(AND(CI1009=1,CJ1009&lt;CK1009),"MAX &lt; MB+LG; ","")&amp;IF(AND(CQ1009&gt;0,CP1009*10&gt;CQ1009),"zu hoch für Tablar; ","")&amp;IF(AND(BW1009=0,OR(CI1009=1,AB1009&lt;&gt;"",U1009&lt;&gt;"",V1009&lt;&gt;"",AC1009&lt;&gt;"")),"manuell übersteuert; ","")&amp;IF(AND(CA1009=0,R1009=0),"Gebinde unbekannt / Stellmass fehlt; ","")&amp;IF(AND(CA1009=0,N(V1009)&lt;=0,N(Q1009)&lt;=0),"Menge pro Gebinde fehlt (Ist = 1 Gebinde); ","")&amp;BV1009)</f>
        <v>negativer Bestand (Export -1); Kein Verbrauch; Gebinde geschätzt (Mittel); Überbestand 5 Stk / CHF 534; Menge pro Gebinde fehlt (Ist = 1 Gebinde); </v>
      </c>
      <c r="BO1009" s="60"/>
      <c r="BP1009" s="60"/>
      <c r="BQ1009" s="67"/>
      <c r="BR1009" s="62" t="n">
        <v>-1</v>
      </c>
      <c r="BS1009" s="62" t="n">
        <v>7</v>
      </c>
      <c r="BT1009" s="61" t="n">
        <v>-106.76</v>
      </c>
      <c r="BU1009" s="62" t="n">
        <v>0</v>
      </c>
      <c r="BV1009" s="60"/>
      <c r="BW1009" s="65" t="n">
        <v>0</v>
      </c>
      <c r="BX1009" s="65" t="n">
        <v>1009</v>
      </c>
      <c r="BY1009" s="60" t="str">
        <f aca="false">IF(U1009&lt;&gt;"",UPPER(TRIM(U1009)),IF(CB1009=1,UPPER(VLOOKUP(T1009,Parameter!$I$27:$K$29,2,0)),IF(P1009="","LOSE",P1009)))</f>
        <v>S61</v>
      </c>
      <c r="BZ1009" s="62" t="n">
        <f aca="false">IF(BY1009="LOSE",1,IF(N(V1009)&gt;0,V1009,IF(CB1009=1,MAX(1,N(VLOOKUP(T1009,Parameter!$I$27:$K$29,3,0)),H1009,N(N1009)),IF(N(Q1009)&gt;0,Q1009,MAX(1,H1009)))))</f>
        <v>6</v>
      </c>
      <c r="CA1009" s="65" t="n">
        <f aca="false">IF(BY1009="LOSE",1,0)</f>
        <v>0</v>
      </c>
      <c r="CB1009" s="65" t="n">
        <f aca="false">IF(AND(U1009="",OR(P1009="",P1009="LOSE"),T1009&lt;&gt;"",N(S1009)&lt;=0,ISNUMBER(MATCH(T1009,Parameter!$I$27:$I$29,0))),1,0)</f>
        <v>1</v>
      </c>
      <c r="CC1009" s="65" t="n">
        <f aca="false">IF(CR1009&gt;0,INDEX(Parameter!$H$5:$H$7,W1009)/INDEX(Parameter!$E$5:$E$7,W1009),IF(AND(CA1009=0,N(IFERROR(VLOOKUP(BY1009,'Gebinde-Kategorie'!$A$5:$N$45,14,0),0))&gt;0),VLOOKUP(BY1009,'Gebinde-Kategorie'!$A$5:$N$45,14,0)*10+Parameter!$M$23,Parameter!$M$24))</f>
        <v>145</v>
      </c>
      <c r="CD1009" s="60" t="str">
        <f aca="false">IF(AND(Parameter!$B$19="Ja",E1009&lt;&gt;"",ISNUMBER(MATCH(E1009,Parameter!$I$35:$I$52,0))),VLOOKUP(E1009,Parameter!$I$35:$J$52,2,0),IFERROR(VLOOKUP(D1009,Parameter!$A$35:$C$64,2,0),"Nein"))</f>
        <v>2+3</v>
      </c>
      <c r="CE1009" s="64" t="n">
        <f aca="false">IF(CA1009=0,0,IF(N(S1009)&gt;0,S1009,IFERROR(VLOOKUP(D1009,Parameter!$A$35:$C$64,3,0)+0,0)))</f>
        <v>0</v>
      </c>
      <c r="CF1009" s="60" t="n">
        <f aca="false">IF(AB1009&lt;&gt;"",AB1009,AA1009)</f>
        <v>3</v>
      </c>
      <c r="CG1009" s="60" t="str">
        <f aca="false">IF(OR(CF1009=1,CF1009=2,CF1009=3),IF(Parameter!$E$27="Ja","LIFT",IF(CF1009=1,"L1","L23")),IF(CF1009="Aussen","Aussen","-"))</f>
        <v>LIFT</v>
      </c>
      <c r="CH1009" s="71" t="n">
        <f aca="false">IF(N(AC1009)&gt;0,AC1009,0)</f>
        <v>0</v>
      </c>
      <c r="CI1009" s="65" t="n">
        <f aca="false">IF(ISNUMBER(AF1009),1,0)</f>
        <v>0</v>
      </c>
      <c r="CJ1009" s="62" t="n">
        <f aca="false">N(AF1009)</f>
        <v>0</v>
      </c>
      <c r="CK1009" s="62" t="n">
        <f aca="false">N(M1009)+N(N1009)</f>
        <v>1</v>
      </c>
      <c r="CL1009" s="62" t="n">
        <f aca="false">N(M1009)</f>
        <v>0</v>
      </c>
      <c r="CM1009" s="62" t="n">
        <f aca="false">N(N1009)</f>
        <v>1</v>
      </c>
      <c r="CN1009" s="62" t="n">
        <f aca="false">ROUNDUP(H1009/BZ1009,0)</f>
        <v>1</v>
      </c>
      <c r="CO1009" s="62" t="n">
        <f aca="false">ROUNDUP(CJ1009/BZ1009,0)</f>
        <v>0</v>
      </c>
      <c r="CP1009" s="65" t="n">
        <f aca="false">IF(CA1009=1,0,IFERROR(VLOOKUP(BY1009,'Gebinde-Kategorie'!$A$5:$N$45,5,0)+0,0))</f>
        <v>11</v>
      </c>
      <c r="CQ1009" s="65" t="n">
        <f aca="false">IFERROR(IF(OR(CF1009=1,CF1009=2,CF1009=3),N(INDEX(Parameter!$I$5:$I$7,CF1009)),0),0)</f>
        <v>0</v>
      </c>
      <c r="CR1009" s="64" t="n">
        <f aca="false">IF(AND(Parameter!$B$21="Ja",ISNUMBER(W1009),N(X1009)&gt;0),IFERROR(N(INDEX(Parameter!$L$5:$L$7,W1009))*INDEX(Parameter!$E$5:$E$7,W1009)*X1009/SUMIFS($X$7:$X$1843,$W$7:$W$1843,W1009),0),0)</f>
        <v>0</v>
      </c>
      <c r="CS1009" s="62" t="n">
        <f aca="false">IF(AND(OR(CG1009="L1",CG1009="L23",CG1009="LIFT"),H1009&gt;0),CC1009*IF(CR1009&gt;0,CR1009*MAX(1,H1009/X1009),IF(CA1009=1,CE1009,IF(R1009&gt;0,CN1009/R1009,0))/MAX(0.1,N(Parameter!$M$21))),"")</f>
        <v>12.0833333333333</v>
      </c>
      <c r="CT1009" s="64" t="n">
        <f aca="false">IF(CS1009="","",J1009/H1009)</f>
        <v>0</v>
      </c>
      <c r="CU1009" s="62" t="n">
        <f aca="false">IF(CS1009="","",H1009*G1009)</f>
        <v>640.56</v>
      </c>
      <c r="CV1009" s="63" t="n">
        <f aca="false">IF(CS1009="","",(CL1009+ROUNDUP(CL1009+MAX(CM1009,2*(J1009/MAX(0.1,N(Einkauf!$C$6))-CL1009)),0))/2)</f>
        <v>0.5</v>
      </c>
      <c r="CW1009" s="62" t="n">
        <f aca="false">IF(CS1009="","",MAX(0,H1009-CV1009)*G1009)</f>
        <v>587.18</v>
      </c>
      <c r="CX1009" s="62" t="n">
        <f aca="false">IF(CS1009="","",CS1009*MAX(0,1-CV1009/H1009))</f>
        <v>11.0763888888889</v>
      </c>
      <c r="CY1009" s="64" t="n">
        <f aca="false">IF(CS1009="","",PERCENTRANK($CS$7:$CS$1843,CS1009)+PERCENTRANK($CU$7:$CU$1843,CU1009)+1-PERCENTRANK($CT$7:$CT$1843,CT1009))</f>
        <v>2.219</v>
      </c>
      <c r="CZ1009" s="72" t="n">
        <f aca="false">IF(CS1009="","",CHOOSE(MATCH(Einkauf!$C$5,Parameter!$G$23:$G$27,0),CY1009,CS1009,CU1009,-CT1009,CW1009)+ROW()/1000000000)</f>
        <v>2.219001009</v>
      </c>
    </row>
    <row r="1010" customFormat="false" ht="15" hidden="false" customHeight="false" outlineLevel="0" collapsed="false">
      <c r="A1010" s="60" t="s">
        <v>1904</v>
      </c>
      <c r="B1010" s="60" t="s">
        <v>543</v>
      </c>
      <c r="C1010" s="60" t="s">
        <v>206</v>
      </c>
      <c r="D1010" s="60" t="s">
        <v>226</v>
      </c>
      <c r="E1010" s="60" t="s">
        <v>227</v>
      </c>
      <c r="F1010" s="60" t="s">
        <v>260</v>
      </c>
      <c r="G1010" s="61" t="n">
        <v>10.06</v>
      </c>
      <c r="H1010" s="62" t="n">
        <f aca="false">MAX(0,IF(AND(Parameter!$B$21="Ja",ISNUMBER(Y1010)),Y1010,IF(Parameter!$B$20="Jahresanfang 2025 + Export",BS1010+BR1010,BR1010)))</f>
        <v>137</v>
      </c>
      <c r="I1010" s="62" t="n">
        <f aca="false">H1010*G1010</f>
        <v>1378.22</v>
      </c>
      <c r="J1010" s="62" t="n">
        <f aca="false">BU1010*Parameter!$B$18</f>
        <v>184</v>
      </c>
      <c r="K1010" s="63" t="n">
        <v>124</v>
      </c>
      <c r="L1010" s="64" t="n">
        <v>1.48387096774194</v>
      </c>
      <c r="M1010" s="62" t="n">
        <v>11</v>
      </c>
      <c r="N1010" s="62" t="n">
        <v>190</v>
      </c>
      <c r="O1010" s="65" t="n">
        <v>21</v>
      </c>
      <c r="P1010" s="60" t="s">
        <v>275</v>
      </c>
      <c r="Q1010" s="62" t="n">
        <v>131</v>
      </c>
      <c r="R1010" s="65" t="n">
        <f aca="false">IF(CA1010=1,0,IFERROR(VLOOKUP(BY1010,'Gebinde-Kategorie'!$A$5:$N$45,13,0)+0,0))</f>
        <v>26</v>
      </c>
      <c r="S1010" s="66"/>
      <c r="T1010" s="67"/>
      <c r="U1010" s="67"/>
      <c r="V1010" s="67"/>
      <c r="W1010" s="60"/>
      <c r="X1010" s="62"/>
      <c r="Y1010" s="62"/>
      <c r="Z1010" s="60" t="n">
        <v>3</v>
      </c>
      <c r="AA1010" s="60" t="n">
        <f aca="false">IF(A1010="","",IF(AND(Parameter!$B$21="Ja",ISNUMBER(W1010)),W1010,IF(AND(Parameter!$E$27="Ja",ISNUMBER(Z1010),CD1010&lt;&gt;"Nein"),Z1010,IF(CD1010="2+3",IF(ISNUMBER(SEARCH("grosser Artikel",BV1010)),2,IFERROR(VLOOKUP(BY1010,Parameter!$F$35:$G$64,2,0),2)),IF(OR(CD1010="Nein",CD1010=""),"-",CD1010)))))</f>
        <v>3</v>
      </c>
      <c r="AB1010" s="67"/>
      <c r="AC1010" s="68"/>
      <c r="AD1010" s="62" t="n">
        <f aca="false">AW1010</f>
        <v>201</v>
      </c>
      <c r="AE1010" s="62" t="n">
        <f aca="false">MAX(AW1010,H1010)</f>
        <v>201</v>
      </c>
      <c r="AF1010" s="69"/>
      <c r="AG1010" s="62" t="n">
        <f aca="false">IF(LEFT(Cockpit!$C$5,1)="A",H1010,IF(Parameter!$E$30="MAX-Bestand",IF(CI1010=1,CJ1010,IF(LEFT(Cockpit!$C$5,1)="B",AM1010,MAX(AM1010,H1010))),ROUNDUP(AK1010,0)))</f>
        <v>137</v>
      </c>
      <c r="AH1010" s="62" t="n">
        <f aca="false">IF(CA1010=1,0,ROUNDUP(AG1010/BZ1010,0))</f>
        <v>2</v>
      </c>
      <c r="AI1010" s="64" t="n">
        <f aca="false">IF(CR1010&gt;0,CR1010*MAX(1,AG1010/X1010),IF(CA1010=1,IF(AG1010&lt;=0,0,CE1010*MAX(1,IF(H1010&gt;0,AG1010/H1010,1))),IF(R1010&gt;0,AH1010/R1010,0))/MAX(0.1,N(Parameter!$M$21)))</f>
        <v>0.0769230769230769</v>
      </c>
      <c r="AJ1010" s="62" t="n">
        <f aca="false">AI1010*CC1010</f>
        <v>18.8461538461538</v>
      </c>
      <c r="AK1010" s="63" t="n">
        <f aca="false">IF(LEFT(Cockpit!$C$5,1)="A",H1010,IF(CI1010=1,(CL1010+CJ1010)/2,IF(LEFT(Cockpit!$C$5,1)="B",(CL1010+AM1010)/2,MAX((CL1010+AM1010)/2,H1010))))</f>
        <v>137</v>
      </c>
      <c r="AL1010" s="62" t="n">
        <f aca="false">AK1010*G1010</f>
        <v>1378.22</v>
      </c>
      <c r="AM1010" s="62" t="n">
        <f aca="false">ROUNDUP(CL1010+MAX(CM1010,2*(J1010/IF(CH1010&gt;0,CH1010,MAX(0.1,N(Cockpit!$C$6)))-CL1010)),0)</f>
        <v>201</v>
      </c>
      <c r="AN1010" s="63" t="n">
        <f aca="false">IF(AJ1010&gt;0,J1010/AJ1010,-1)</f>
        <v>9.76326530612245</v>
      </c>
      <c r="AO1010" s="63" t="n">
        <f aca="false">IF(AND(OR(CG1010="L1",CG1010="L23",CG1010="LIFT"),AJ1010&gt;0),SUMIFS($AJ$7:$AJ$1843,$CG$7:$CG$1843,CG1010,$AN$7:$AN$1843,"&gt;"&amp;AN1010)+SUMIFS($AJ$7:$AJ$1843,$CG$7:$CG$1843,CG1010,$AN$7:$AN$1843,AN1010,$BX$7:$BX$1843,"&lt;="&amp;BX1010),"")</f>
        <v>2891.25228937729</v>
      </c>
      <c r="AP1010" s="70" t="n">
        <f aca="false">IF(AO1010="",0,MAX(0,MIN(1,(IF(CG1010="L1",Parameter!$H$5,IF(CG1010="L23",Parameter!$H$6+Parameter!$H$7,Parameter!$H$5+Parameter!$H$6+Parameter!$H$7))-(AO1010-AJ1010))/AJ1010)))</f>
        <v>1</v>
      </c>
      <c r="AQ1010" s="62" t="n">
        <f aca="false">IF(LEFT(Cockpit!$I$5,1)="A",H1010,IF(Parameter!$E$30="MAX-Bestand",IF(CI1010=1,CJ1010,IF(LEFT(Cockpit!$I$5,1)="B",AW1010,MAX(AW1010,H1010))),ROUNDUP(AU1010,0)))</f>
        <v>137</v>
      </c>
      <c r="AR1010" s="62" t="n">
        <f aca="false">IF(CA1010=1,0,ROUNDUP(AQ1010/BZ1010,0))</f>
        <v>2</v>
      </c>
      <c r="AS1010" s="64" t="n">
        <f aca="false">IF(CR1010&gt;0,CR1010*MAX(1,AQ1010/X1010),IF(CA1010=1,IF(AQ1010&lt;=0,0,CE1010*MAX(1,IF(H1010&gt;0,AQ1010/H1010,1))),IF(R1010&gt;0,AR1010/R1010,0))/MAX(0.1,N(Parameter!$M$21)))</f>
        <v>0.0769230769230769</v>
      </c>
      <c r="AT1010" s="62" t="n">
        <f aca="false">AS1010*CC1010</f>
        <v>18.8461538461538</v>
      </c>
      <c r="AU1010" s="63" t="n">
        <f aca="false">IF(LEFT(Cockpit!$I$5,1)="A",H1010,IF(CI1010=1,(CL1010+CJ1010)/2,IF(LEFT(Cockpit!$I$5,1)="B",(CL1010+AW1010)/2,MAX((CL1010+AW1010)/2,H1010))))</f>
        <v>137</v>
      </c>
      <c r="AV1010" s="62" t="n">
        <f aca="false">AU1010*G1010</f>
        <v>1378.22</v>
      </c>
      <c r="AW1010" s="62" t="n">
        <f aca="false">ROUNDUP(CL1010+MAX(CM1010,2*(J1010/IF(CH1010&gt;0,CH1010,MAX(0.1,N(Cockpit!$I$6)))-CL1010)),0)</f>
        <v>201</v>
      </c>
      <c r="AX1010" s="63" t="n">
        <f aca="false">IF(AT1010&gt;0,J1010/AT1010,-1)</f>
        <v>9.76326530612245</v>
      </c>
      <c r="AY1010" s="63" t="n">
        <f aca="false">IF(AND(OR(CG1010="L1",CG1010="L23",CG1010="LIFT"),AT1010&gt;0),SUMIFS($AT$7:$AT$1843,$CG$7:$CG$1843,CG1010,$AX$7:$AX$1843,"&gt;"&amp;AX1010)+SUMIFS($AT$7:$AT$1843,$CG$7:$CG$1843,CG1010,$AX$7:$AX$1843,AX1010,$BX$7:$BX$1843,"&lt;="&amp;BX1010),"")</f>
        <v>3506.24038461538</v>
      </c>
      <c r="AZ1010" s="70" t="n">
        <f aca="false">IF(AY1010="",0,MAX(0,MIN(1,(IF(CG1010="L1",Parameter!$H$5,IF(CG1010="L23",Parameter!$H$6+Parameter!$H$7,Parameter!$H$5+Parameter!$H$6+Parameter!$H$7))-(AY1010-AT1010))/AT1010)))</f>
        <v>1</v>
      </c>
      <c r="BA1010" s="62" t="n">
        <f aca="false">IF(LEFT(Cockpit!$O$5,1)="A",H1010,IF(Parameter!$E$30="MAX-Bestand",IF(CI1010=1,CJ1010,IF(LEFT(Cockpit!$O$5,1)="B",BG1010,MAX(BG1010,H1010))),ROUNDUP(BE1010,0)))</f>
        <v>106</v>
      </c>
      <c r="BB1010" s="62" t="n">
        <f aca="false">IF(CA1010=1,0,ROUNDUP(BA1010/BZ1010,0))</f>
        <v>1</v>
      </c>
      <c r="BC1010" s="64" t="n">
        <f aca="false">IF(CR1010&gt;0,CR1010*MAX(1,BA1010/X1010),IF(CA1010=1,IF(BA1010&lt;=0,0,CE1010*MAX(1,IF(H1010&gt;0,BA1010/H1010,1))),IF(R1010&gt;0,BB1010/R1010,0))/MAX(0.1,N(Parameter!$M$21)))</f>
        <v>0.0384615384615385</v>
      </c>
      <c r="BD1010" s="62" t="n">
        <f aca="false">BC1010*CC1010</f>
        <v>9.42307692307692</v>
      </c>
      <c r="BE1010" s="63" t="n">
        <f aca="false">IF(LEFT(Cockpit!$O$5,1)="A",H1010,IF(CI1010=1,(CL1010+CJ1010)/2,IF(LEFT(Cockpit!$O$5,1)="B",(CL1010+BG1010)/2,MAX((CL1010+BG1010)/2,H1010))))</f>
        <v>106</v>
      </c>
      <c r="BF1010" s="62" t="n">
        <f aca="false">BE1010*G1010</f>
        <v>1066.36</v>
      </c>
      <c r="BG1010" s="62" t="n">
        <f aca="false">ROUNDUP(CL1010+MAX(CM1010,2*(J1010/IF(CH1010&gt;0,CH1010,MAX(0.1,N(Cockpit!$O$6)))-CL1010)),0)</f>
        <v>201</v>
      </c>
      <c r="BH1010" s="63" t="n">
        <f aca="false">IF(BD1010&gt;0,J1010/BD1010,-1)</f>
        <v>19.5265306122449</v>
      </c>
      <c r="BI1010" s="63" t="n">
        <f aca="false">IF(AND(OR(CG1010="L1",CG1010="L23",CG1010="LIFT"),BD1010&gt;0),SUMIFS($BD$7:$BD$1843,$CG$7:$CG$1843,CG1010,$BH$7:$BH$1843,"&gt;"&amp;BH1010)+SUMIFS($BD$7:$BD$1843,$CG$7:$CG$1843,CG1010,$BH$7:$BH$1843,BH1010,$BX$7:$BX$1843,"&lt;="&amp;BX1010),"")</f>
        <v>2245.12774725275</v>
      </c>
      <c r="BJ1010" s="70" t="n">
        <f aca="false">IF(BI1010="",0,MAX(0,MIN(1,(IF(CG1010="L1",Parameter!$H$5,IF(CG1010="L23",Parameter!$H$6+Parameter!$H$7,Parameter!$H$5+Parameter!$H$6+Parameter!$H$7))-(BI1010-BD1010))/BD1010)))</f>
        <v>1</v>
      </c>
      <c r="BK1010" s="60" t="str">
        <f aca="false">IF(AJ1010&lt;=0,"",IF(CG1010="Aussen","Aussenlager",IF(CG1010="-","Nicht im Lift",IF(AP1010&gt;=1,"Lift",IF(AP1010&lt;=0,"Aussenlager","teilweise")))))</f>
        <v>Lift</v>
      </c>
      <c r="BL1010" s="60" t="str">
        <f aca="false">IF(AT1010&lt;=0,"",IF(CG1010="Aussen","Aussenlager",IF(CG1010="-","Nicht im Lift",IF(AZ1010&gt;=1,"Lift",IF(AZ1010&lt;=0,"Aussenlager","teilweise")))))</f>
        <v>Lift</v>
      </c>
      <c r="BM1010" s="60" t="str">
        <f aca="false">IF(BD1010&lt;=0,"",IF(CG1010="Aussen","Aussenlager",IF(CG1010="-","Nicht im Lift",IF(BJ1010&gt;=1,"Lift",IF(BJ1010&lt;=0,"Aussenlager","teilweise")))))</f>
        <v>Lift</v>
      </c>
      <c r="BN1010" s="60" t="str">
        <f aca="false">IF(A1010="","",IF(BW1010=1,"Neu; ","")&amp;IF(AND(BW1010=0,BR1010&lt;0),"negativer Bestand (Export "&amp;BR1010&amp;"); ","")&amp;IF(J1010&lt;=0,"Kein Verbrauch; ","")&amp;IF(CR1010&gt;0,"Lift "&amp;W1010&amp;" lt. Liftbericht (Fach "&amp;X1010&amp;" Stk); ",IF(CB1010=1,"Gebinde geschätzt ("&amp;T1010&amp;"); ",IF(CA1010=1,"Lose – Tablare geschätzt; ","")))&amp;IF(H1010&gt;AW1010,"Überbestand "&amp;ROUND(H1010-AW1010,0)&amp;" Stk / CHF "&amp;ROUND((H1010-AW1010)*G1010,0)&amp;"; ","")&amp;IF(AND(CI1010=1,CJ1010&lt;CK1010),"MAX &lt; MB+LG; ","")&amp;IF(AND(CQ1010&gt;0,CP1010*10&gt;CQ1010),"zu hoch für Tablar; ","")&amp;IF(AND(BW1010=0,OR(CI1010=1,AB1010&lt;&gt;"",U1010&lt;&gt;"",V1010&lt;&gt;"",AC1010&lt;&gt;"")),"manuell übersteuert; ","")&amp;IF(AND(CA1010=0,R1010=0),"Gebinde unbekannt / Stellmass fehlt; ","")&amp;IF(AND(CA1010=0,N(V1010)&lt;=0,N(Q1010)&lt;=0),"Menge pro Gebinde fehlt (Ist = 1 Gebinde); ","")&amp;BV1010)</f>
        <v>negativer Bestand (Export -27); </v>
      </c>
      <c r="BO1010" s="60"/>
      <c r="BP1010" s="60"/>
      <c r="BQ1010" s="67"/>
      <c r="BR1010" s="62" t="n">
        <v>-27</v>
      </c>
      <c r="BS1010" s="62" t="n">
        <v>164</v>
      </c>
      <c r="BT1010" s="61" t="n">
        <v>-107.619999999999</v>
      </c>
      <c r="BU1010" s="62" t="n">
        <v>184</v>
      </c>
      <c r="BV1010" s="60"/>
      <c r="BW1010" s="65" t="n">
        <v>0</v>
      </c>
      <c r="BX1010" s="65" t="n">
        <v>1010</v>
      </c>
      <c r="BY1010" s="60" t="str">
        <f aca="false">IF(U1010&lt;&gt;"",UPPER(TRIM(U1010)),IF(CB1010=1,UPPER(VLOOKUP(T1010,Parameter!$I$27:$K$29,2,0)),IF(P1010="","LOSE",P1010)))</f>
        <v>S52</v>
      </c>
      <c r="BZ1010" s="62" t="n">
        <f aca="false">IF(BY1010="LOSE",1,IF(N(V1010)&gt;0,V1010,IF(CB1010=1,MAX(1,N(VLOOKUP(T1010,Parameter!$I$27:$K$29,3,0)),H1010,N(N1010)),IF(N(Q1010)&gt;0,Q1010,MAX(1,H1010)))))</f>
        <v>131</v>
      </c>
      <c r="CA1010" s="65" t="n">
        <f aca="false">IF(BY1010="LOSE",1,0)</f>
        <v>0</v>
      </c>
      <c r="CB1010" s="65" t="n">
        <f aca="false">IF(AND(U1010="",OR(P1010="",P1010="LOSE"),T1010&lt;&gt;"",N(S1010)&lt;=0,ISNUMBER(MATCH(T1010,Parameter!$I$27:$I$29,0))),1,0)</f>
        <v>0</v>
      </c>
      <c r="CC1010" s="65" t="n">
        <f aca="false">IF(CR1010&gt;0,INDEX(Parameter!$H$5:$H$7,W1010)/INDEX(Parameter!$E$5:$E$7,W1010),IF(AND(CA1010=0,N(IFERROR(VLOOKUP(BY1010,'Gebinde-Kategorie'!$A$5:$N$45,14,0),0))&gt;0),VLOOKUP(BY1010,'Gebinde-Kategorie'!$A$5:$N$45,14,0)*10+Parameter!$M$23,Parameter!$M$24))</f>
        <v>245</v>
      </c>
      <c r="CD1010" s="60" t="str">
        <f aca="false">IF(AND(Parameter!$B$19="Ja",E1010&lt;&gt;"",ISNUMBER(MATCH(E1010,Parameter!$I$35:$I$52,0))),VLOOKUP(E1010,Parameter!$I$35:$J$52,2,0),IFERROR(VLOOKUP(D1010,Parameter!$A$35:$C$64,2,0),"Nein"))</f>
        <v>2+3</v>
      </c>
      <c r="CE1010" s="64" t="n">
        <f aca="false">IF(CA1010=0,0,IF(N(S1010)&gt;0,S1010,IFERROR(VLOOKUP(D1010,Parameter!$A$35:$C$64,3,0)+0,0)))</f>
        <v>0</v>
      </c>
      <c r="CF1010" s="60" t="n">
        <f aca="false">IF(AB1010&lt;&gt;"",AB1010,AA1010)</f>
        <v>3</v>
      </c>
      <c r="CG1010" s="60" t="str">
        <f aca="false">IF(OR(CF1010=1,CF1010=2,CF1010=3),IF(Parameter!$E$27="Ja","LIFT",IF(CF1010=1,"L1","L23")),IF(CF1010="Aussen","Aussen","-"))</f>
        <v>LIFT</v>
      </c>
      <c r="CH1010" s="71" t="n">
        <f aca="false">IF(N(AC1010)&gt;0,AC1010,0)</f>
        <v>0</v>
      </c>
      <c r="CI1010" s="65" t="n">
        <f aca="false">IF(ISNUMBER(AF1010),1,0)</f>
        <v>0</v>
      </c>
      <c r="CJ1010" s="62" t="n">
        <f aca="false">N(AF1010)</f>
        <v>0</v>
      </c>
      <c r="CK1010" s="62" t="n">
        <f aca="false">N(M1010)+N(N1010)</f>
        <v>201</v>
      </c>
      <c r="CL1010" s="62" t="n">
        <f aca="false">N(M1010)</f>
        <v>11</v>
      </c>
      <c r="CM1010" s="62" t="n">
        <f aca="false">N(N1010)</f>
        <v>190</v>
      </c>
      <c r="CN1010" s="62" t="n">
        <f aca="false">ROUNDUP(H1010/BZ1010,0)</f>
        <v>2</v>
      </c>
      <c r="CO1010" s="62" t="n">
        <f aca="false">ROUNDUP(CJ1010/BZ1010,0)</f>
        <v>0</v>
      </c>
      <c r="CP1010" s="65" t="n">
        <f aca="false">IF(CA1010=1,0,IFERROR(VLOOKUP(BY1010,'Gebinde-Kategorie'!$A$5:$N$45,5,0)+0,0))</f>
        <v>21</v>
      </c>
      <c r="CQ1010" s="65" t="n">
        <f aca="false">IFERROR(IF(OR(CF1010=1,CF1010=2,CF1010=3),N(INDEX(Parameter!$I$5:$I$7,CF1010)),0),0)</f>
        <v>0</v>
      </c>
      <c r="CR1010" s="64" t="n">
        <f aca="false">IF(AND(Parameter!$B$21="Ja",ISNUMBER(W1010),N(X1010)&gt;0),IFERROR(N(INDEX(Parameter!$L$5:$L$7,W1010))*INDEX(Parameter!$E$5:$E$7,W1010)*X1010/SUMIFS($X$7:$X$1843,$W$7:$W$1843,W1010),0),0)</f>
        <v>0</v>
      </c>
      <c r="CS1010" s="62" t="n">
        <f aca="false">IF(AND(OR(CG1010="L1",CG1010="L23",CG1010="LIFT"),H1010&gt;0),CC1010*IF(CR1010&gt;0,CR1010*MAX(1,H1010/X1010),IF(CA1010=1,CE1010,IF(R1010&gt;0,CN1010/R1010,0))/MAX(0.1,N(Parameter!$M$21))),"")</f>
        <v>18.8461538461538</v>
      </c>
      <c r="CT1010" s="64" t="n">
        <f aca="false">IF(CS1010="","",J1010/H1010)</f>
        <v>1.34306569343066</v>
      </c>
      <c r="CU1010" s="62" t="n">
        <f aca="false">IF(CS1010="","",H1010*G1010)</f>
        <v>1378.22</v>
      </c>
      <c r="CV1010" s="63" t="n">
        <f aca="false">IF(CS1010="","",(CL1010+ROUNDUP(CL1010+MAX(CM1010,2*(J1010/MAX(0.1,N(Einkauf!$C$6))-CL1010)),0))/2)</f>
        <v>106</v>
      </c>
      <c r="CW1010" s="62" t="n">
        <f aca="false">IF(CS1010="","",MAX(0,H1010-CV1010)*G1010)</f>
        <v>311.86</v>
      </c>
      <c r="CX1010" s="62" t="n">
        <f aca="false">IF(CS1010="","",CS1010*MAX(0,1-CV1010/H1010))</f>
        <v>4.26445816956766</v>
      </c>
      <c r="CY1010" s="64" t="n">
        <f aca="false">IF(CS1010="","",PERCENTRANK($CS$7:$CS$1843,CS1010)+PERCENTRANK($CU$7:$CU$1843,CU1010)+1-PERCENTRANK($CT$7:$CT$1843,CT1010))</f>
        <v>1.725</v>
      </c>
      <c r="CZ1010" s="72" t="n">
        <f aca="false">IF(CS1010="","",CHOOSE(MATCH(Einkauf!$C$5,Parameter!$G$23:$G$27,0),CY1010,CS1010,CU1010,-CT1010,CW1010)+ROW()/1000000000)</f>
        <v>1.72500101</v>
      </c>
    </row>
    <row r="1011" customFormat="false" ht="15" hidden="false" customHeight="false" outlineLevel="0" collapsed="false">
      <c r="A1011" s="60" t="s">
        <v>1905</v>
      </c>
      <c r="B1011" s="60" t="s">
        <v>1906</v>
      </c>
      <c r="C1011" s="60" t="s">
        <v>206</v>
      </c>
      <c r="D1011" s="60" t="s">
        <v>215</v>
      </c>
      <c r="E1011" s="60" t="s">
        <v>227</v>
      </c>
      <c r="F1011" s="60" t="s">
        <v>260</v>
      </c>
      <c r="G1011" s="61" t="n">
        <v>54.04</v>
      </c>
      <c r="H1011" s="62" t="n">
        <f aca="false">MAX(0,IF(AND(Parameter!$B$21="Ja",ISNUMBER(Y1011)),Y1011,IF(Parameter!$B$20="Jahresanfang 2025 + Export",BS1011+BR1011,BR1011)))</f>
        <v>30</v>
      </c>
      <c r="I1011" s="62" t="n">
        <f aca="false">H1011*G1011</f>
        <v>1621.2</v>
      </c>
      <c r="J1011" s="62" t="n">
        <f aca="false">BU1011*Parameter!$B$18</f>
        <v>0</v>
      </c>
      <c r="K1011" s="63" t="n">
        <v>31</v>
      </c>
      <c r="L1011" s="64" t="n">
        <v>0</v>
      </c>
      <c r="M1011" s="62" t="n">
        <v>0</v>
      </c>
      <c r="N1011" s="62" t="n">
        <v>1</v>
      </c>
      <c r="O1011" s="65" t="n">
        <v>42</v>
      </c>
      <c r="P1011" s="60" t="s">
        <v>335</v>
      </c>
      <c r="Q1011" s="62" t="n">
        <v>32</v>
      </c>
      <c r="R1011" s="65" t="n">
        <f aca="false">IF(CA1011=1,0,IFERROR(VLOOKUP(BY1011,'Gebinde-Kategorie'!$A$5:$N$45,13,0)+0,0))</f>
        <v>12</v>
      </c>
      <c r="S1011" s="66"/>
      <c r="T1011" s="67"/>
      <c r="U1011" s="67"/>
      <c r="V1011" s="67"/>
      <c r="W1011" s="60"/>
      <c r="X1011" s="62"/>
      <c r="Y1011" s="62"/>
      <c r="Z1011" s="60" t="n">
        <v>3</v>
      </c>
      <c r="AA1011" s="60" t="n">
        <f aca="false">IF(A1011="","",IF(AND(Parameter!$B$21="Ja",ISNUMBER(W1011)),W1011,IF(AND(Parameter!$E$27="Ja",ISNUMBER(Z1011),CD1011&lt;&gt;"Nein"),Z1011,IF(CD1011="2+3",IF(ISNUMBER(SEARCH("grosser Artikel",BV1011)),2,IFERROR(VLOOKUP(BY1011,Parameter!$F$35:$G$64,2,0),2)),IF(OR(CD1011="Nein",CD1011=""),"-",CD1011)))))</f>
        <v>3</v>
      </c>
      <c r="AB1011" s="67"/>
      <c r="AC1011" s="68"/>
      <c r="AD1011" s="62" t="n">
        <f aca="false">AW1011</f>
        <v>1</v>
      </c>
      <c r="AE1011" s="62" t="n">
        <f aca="false">MAX(AW1011,H1011)</f>
        <v>30</v>
      </c>
      <c r="AF1011" s="69"/>
      <c r="AG1011" s="62" t="n">
        <f aca="false">IF(LEFT(Cockpit!$C$5,1)="A",H1011,IF(Parameter!$E$30="MAX-Bestand",IF(CI1011=1,CJ1011,IF(LEFT(Cockpit!$C$5,1)="B",AM1011,MAX(AM1011,H1011))),ROUNDUP(AK1011,0)))</f>
        <v>30</v>
      </c>
      <c r="AH1011" s="62" t="n">
        <f aca="false">IF(CA1011=1,0,ROUNDUP(AG1011/BZ1011,0))</f>
        <v>1</v>
      </c>
      <c r="AI1011" s="64" t="n">
        <f aca="false">IF(CR1011&gt;0,CR1011*MAX(1,AG1011/X1011),IF(CA1011=1,IF(AG1011&lt;=0,0,CE1011*MAX(1,IF(H1011&gt;0,AG1011/H1011,1))),IF(R1011&gt;0,AH1011/R1011,0))/MAX(0.1,N(Parameter!$M$21)))</f>
        <v>0.0833333333333333</v>
      </c>
      <c r="AJ1011" s="62" t="n">
        <f aca="false">AI1011*CC1011</f>
        <v>20.4166666666667</v>
      </c>
      <c r="AK1011" s="63" t="n">
        <f aca="false">IF(LEFT(Cockpit!$C$5,1)="A",H1011,IF(CI1011=1,(CL1011+CJ1011)/2,IF(LEFT(Cockpit!$C$5,1)="B",(CL1011+AM1011)/2,MAX((CL1011+AM1011)/2,H1011))))</f>
        <v>30</v>
      </c>
      <c r="AL1011" s="62" t="n">
        <f aca="false">AK1011*G1011</f>
        <v>1621.2</v>
      </c>
      <c r="AM1011" s="62" t="n">
        <f aca="false">ROUNDUP(CL1011+MAX(CM1011,2*(J1011/IF(CH1011&gt;0,CH1011,MAX(0.1,N(Cockpit!$C$6)))-CL1011)),0)</f>
        <v>1</v>
      </c>
      <c r="AN1011" s="63" t="n">
        <f aca="false">IF(AJ1011&gt;0,J1011/AJ1011,-1)</f>
        <v>0</v>
      </c>
      <c r="AO1011" s="63" t="n">
        <f aca="false">IF(AND(OR(CG1011="L1",CG1011="L23",CG1011="LIFT"),AJ1011&gt;0),SUMIFS($AJ$7:$AJ$1843,$CG$7:$CG$1843,CG1011,$AN$7:$AN$1843,"&gt;"&amp;AN1011)+SUMIFS($AJ$7:$AJ$1843,$CG$7:$CG$1843,CG1011,$AN$7:$AN$1843,AN1011,$BX$7:$BX$1843,"&lt;="&amp;BX1011),"")</f>
        <v>28985.6146370108</v>
      </c>
      <c r="AP1011" s="70" t="n">
        <f aca="false">IF(AO1011="",0,MAX(0,MIN(1,(IF(CG1011="L1",Parameter!$H$5,IF(CG1011="L23",Parameter!$H$6+Parameter!$H$7,Parameter!$H$5+Parameter!$H$6+Parameter!$H$7))-(AO1011-AJ1011))/AJ1011)))</f>
        <v>1</v>
      </c>
      <c r="AQ1011" s="62" t="n">
        <f aca="false">IF(LEFT(Cockpit!$I$5,1)="A",H1011,IF(Parameter!$E$30="MAX-Bestand",IF(CI1011=1,CJ1011,IF(LEFT(Cockpit!$I$5,1)="B",AW1011,MAX(AW1011,H1011))),ROUNDUP(AU1011,0)))</f>
        <v>30</v>
      </c>
      <c r="AR1011" s="62" t="n">
        <f aca="false">IF(CA1011=1,0,ROUNDUP(AQ1011/BZ1011,0))</f>
        <v>1</v>
      </c>
      <c r="AS1011" s="64" t="n">
        <f aca="false">IF(CR1011&gt;0,CR1011*MAX(1,AQ1011/X1011),IF(CA1011=1,IF(AQ1011&lt;=0,0,CE1011*MAX(1,IF(H1011&gt;0,AQ1011/H1011,1))),IF(R1011&gt;0,AR1011/R1011,0))/MAX(0.1,N(Parameter!$M$21)))</f>
        <v>0.0833333333333333</v>
      </c>
      <c r="AT1011" s="62" t="n">
        <f aca="false">AS1011*CC1011</f>
        <v>20.4166666666667</v>
      </c>
      <c r="AU1011" s="63" t="n">
        <f aca="false">IF(LEFT(Cockpit!$I$5,1)="A",H1011,IF(CI1011=1,(CL1011+CJ1011)/2,IF(LEFT(Cockpit!$I$5,1)="B",(CL1011+AW1011)/2,MAX((CL1011+AW1011)/2,H1011))))</f>
        <v>30</v>
      </c>
      <c r="AV1011" s="62" t="n">
        <f aca="false">AU1011*G1011</f>
        <v>1621.2</v>
      </c>
      <c r="AW1011" s="62" t="n">
        <f aca="false">ROUNDUP(CL1011+MAX(CM1011,2*(J1011/IF(CH1011&gt;0,CH1011,MAX(0.1,N(Cockpit!$I$6)))-CL1011)),0)</f>
        <v>1</v>
      </c>
      <c r="AX1011" s="63" t="n">
        <f aca="false">IF(AT1011&gt;0,J1011/AT1011,-1)</f>
        <v>0</v>
      </c>
      <c r="AY1011" s="63" t="n">
        <f aca="false">IF(AND(OR(CG1011="L1",CG1011="L23",CG1011="LIFT"),AT1011&gt;0),SUMIFS($AT$7:$AT$1843,$CG$7:$CG$1843,CG1011,$AX$7:$AX$1843,"&gt;"&amp;AX1011)+SUMIFS($AT$7:$AT$1843,$CG$7:$CG$1843,CG1011,$AX$7:$AX$1843,AX1011,$BX$7:$BX$1843,"&lt;="&amp;BX1011),"")</f>
        <v>34686.4963369963</v>
      </c>
      <c r="AZ1011" s="70" t="n">
        <f aca="false">IF(AY1011="",0,MAX(0,MIN(1,(IF(CG1011="L1",Parameter!$H$5,IF(CG1011="L23",Parameter!$H$6+Parameter!$H$7,Parameter!$H$5+Parameter!$H$6+Parameter!$H$7))-(AY1011-AT1011))/AT1011)))</f>
        <v>1</v>
      </c>
      <c r="BA1011" s="62" t="n">
        <f aca="false">IF(LEFT(Cockpit!$O$5,1)="A",H1011,IF(Parameter!$E$30="MAX-Bestand",IF(CI1011=1,CJ1011,IF(LEFT(Cockpit!$O$5,1)="B",BG1011,MAX(BG1011,H1011))),ROUNDUP(BE1011,0)))</f>
        <v>1</v>
      </c>
      <c r="BB1011" s="62" t="n">
        <f aca="false">IF(CA1011=1,0,ROUNDUP(BA1011/BZ1011,0))</f>
        <v>1</v>
      </c>
      <c r="BC1011" s="64" t="n">
        <f aca="false">IF(CR1011&gt;0,CR1011*MAX(1,BA1011/X1011),IF(CA1011=1,IF(BA1011&lt;=0,0,CE1011*MAX(1,IF(H1011&gt;0,BA1011/H1011,1))),IF(R1011&gt;0,BB1011/R1011,0))/MAX(0.1,N(Parameter!$M$21)))</f>
        <v>0.0833333333333333</v>
      </c>
      <c r="BD1011" s="62" t="n">
        <f aca="false">BC1011*CC1011</f>
        <v>20.4166666666667</v>
      </c>
      <c r="BE1011" s="63" t="n">
        <f aca="false">IF(LEFT(Cockpit!$O$5,1)="A",H1011,IF(CI1011=1,(CL1011+CJ1011)/2,IF(LEFT(Cockpit!$O$5,1)="B",(CL1011+BG1011)/2,MAX((CL1011+BG1011)/2,H1011))))</f>
        <v>0.5</v>
      </c>
      <c r="BF1011" s="62" t="n">
        <f aca="false">BE1011*G1011</f>
        <v>27.02</v>
      </c>
      <c r="BG1011" s="62" t="n">
        <f aca="false">ROUNDUP(CL1011+MAX(CM1011,2*(J1011/IF(CH1011&gt;0,CH1011,MAX(0.1,N(Cockpit!$O$6)))-CL1011)),0)</f>
        <v>1</v>
      </c>
      <c r="BH1011" s="63" t="n">
        <f aca="false">IF(BD1011&gt;0,J1011/BD1011,-1)</f>
        <v>0</v>
      </c>
      <c r="BI1011" s="63" t="n">
        <f aca="false">IF(AND(OR(CG1011="L1",CG1011="L23",CG1011="LIFT"),BD1011&gt;0),SUMIFS($BD$7:$BD$1843,$CG$7:$CG$1843,CG1011,$BH$7:$BH$1843,"&gt;"&amp;BH1011)+SUMIFS($BD$7:$BD$1843,$CG$7:$CG$1843,CG1011,$BH$7:$BH$1843,BH1011,$BX$7:$BX$1843,"&lt;="&amp;BX1011),"")</f>
        <v>28701.6106894518</v>
      </c>
      <c r="BJ1011" s="70" t="n">
        <f aca="false">IF(BI1011="",0,MAX(0,MIN(1,(IF(CG1011="L1",Parameter!$H$5,IF(CG1011="L23",Parameter!$H$6+Parameter!$H$7,Parameter!$H$5+Parameter!$H$6+Parameter!$H$7))-(BI1011-BD1011))/BD1011)))</f>
        <v>1</v>
      </c>
      <c r="BK1011" s="60" t="str">
        <f aca="false">IF(AJ1011&lt;=0,"",IF(CG1011="Aussen","Aussenlager",IF(CG1011="-","Nicht im Lift",IF(AP1011&gt;=1,"Lift",IF(AP1011&lt;=0,"Aussenlager","teilweise")))))</f>
        <v>Lift</v>
      </c>
      <c r="BL1011" s="60" t="str">
        <f aca="false">IF(AT1011&lt;=0,"",IF(CG1011="Aussen","Aussenlager",IF(CG1011="-","Nicht im Lift",IF(AZ1011&gt;=1,"Lift",IF(AZ1011&lt;=0,"Aussenlager","teilweise")))))</f>
        <v>Lift</v>
      </c>
      <c r="BM1011" s="60" t="str">
        <f aca="false">IF(BD1011&lt;=0,"",IF(CG1011="Aussen","Aussenlager",IF(CG1011="-","Nicht im Lift",IF(BJ1011&gt;=1,"Lift",IF(BJ1011&lt;=0,"Aussenlager","teilweise")))))</f>
        <v>Lift</v>
      </c>
      <c r="BN1011" s="60" t="str">
        <f aca="false">IF(A1011="","",IF(BW1011=1,"Neu; ","")&amp;IF(AND(BW1011=0,BR1011&lt;0),"negativer Bestand (Export "&amp;BR1011&amp;"); ","")&amp;IF(J1011&lt;=0,"Kein Verbrauch; ","")&amp;IF(CR1011&gt;0,"Lift "&amp;W1011&amp;" lt. Liftbericht (Fach "&amp;X1011&amp;" Stk); ",IF(CB1011=1,"Gebinde geschätzt ("&amp;T1011&amp;"); ",IF(CA1011=1,"Lose – Tablare geschätzt; ","")))&amp;IF(H1011&gt;AW1011,"Überbestand "&amp;ROUND(H1011-AW1011,0)&amp;" Stk / CHF "&amp;ROUND((H1011-AW1011)*G1011,0)&amp;"; ","")&amp;IF(AND(CI1011=1,CJ1011&lt;CK1011),"MAX &lt; MB+LG; ","")&amp;IF(AND(CQ1011&gt;0,CP1011*10&gt;CQ1011),"zu hoch für Tablar; ","")&amp;IF(AND(BW1011=0,OR(CI1011=1,AB1011&lt;&gt;"",U1011&lt;&gt;"",V1011&lt;&gt;"",AC1011&lt;&gt;"")),"manuell übersteuert; ","")&amp;IF(AND(CA1011=0,R1011=0),"Gebinde unbekannt / Stellmass fehlt; ","")&amp;IF(AND(CA1011=0,N(V1011)&lt;=0,N(Q1011)&lt;=0),"Menge pro Gebinde fehlt (Ist = 1 Gebinde); ","")&amp;BV1011)</f>
        <v>negativer Bestand (Export -2); Kein Verbrauch; Überbestand 29 Stk / CHF 1567; </v>
      </c>
      <c r="BO1011" s="60"/>
      <c r="BP1011" s="60"/>
      <c r="BQ1011" s="67"/>
      <c r="BR1011" s="62" t="n">
        <v>-2</v>
      </c>
      <c r="BS1011" s="62" t="n">
        <v>32</v>
      </c>
      <c r="BT1011" s="61" t="n">
        <v>-108.08</v>
      </c>
      <c r="BU1011" s="62" t="n">
        <v>0</v>
      </c>
      <c r="BV1011" s="60"/>
      <c r="BW1011" s="65" t="n">
        <v>0</v>
      </c>
      <c r="BX1011" s="65" t="n">
        <v>1011</v>
      </c>
      <c r="BY1011" s="60" t="str">
        <f aca="false">IF(U1011&lt;&gt;"",UPPER(TRIM(U1011)),IF(CB1011=1,UPPER(VLOOKUP(T1011,Parameter!$I$27:$K$29,2,0)),IF(P1011="","LOSE",P1011)))</f>
        <v>S62</v>
      </c>
      <c r="BZ1011" s="62" t="n">
        <f aca="false">IF(BY1011="LOSE",1,IF(N(V1011)&gt;0,V1011,IF(CB1011=1,MAX(1,N(VLOOKUP(T1011,Parameter!$I$27:$K$29,3,0)),H1011,N(N1011)),IF(N(Q1011)&gt;0,Q1011,MAX(1,H1011)))))</f>
        <v>32</v>
      </c>
      <c r="CA1011" s="65" t="n">
        <f aca="false">IF(BY1011="LOSE",1,0)</f>
        <v>0</v>
      </c>
      <c r="CB1011" s="65" t="n">
        <f aca="false">IF(AND(U1011="",OR(P1011="",P1011="LOSE"),T1011&lt;&gt;"",N(S1011)&lt;=0,ISNUMBER(MATCH(T1011,Parameter!$I$27:$I$29,0))),1,0)</f>
        <v>0</v>
      </c>
      <c r="CC1011" s="65" t="n">
        <f aca="false">IF(CR1011&gt;0,INDEX(Parameter!$H$5:$H$7,W1011)/INDEX(Parameter!$E$5:$E$7,W1011),IF(AND(CA1011=0,N(IFERROR(VLOOKUP(BY1011,'Gebinde-Kategorie'!$A$5:$N$45,14,0),0))&gt;0),VLOOKUP(BY1011,'Gebinde-Kategorie'!$A$5:$N$45,14,0)*10+Parameter!$M$23,Parameter!$M$24))</f>
        <v>245</v>
      </c>
      <c r="CD1011" s="60" t="str">
        <f aca="false">IF(AND(Parameter!$B$19="Ja",E1011&lt;&gt;"",ISNUMBER(MATCH(E1011,Parameter!$I$35:$I$52,0))),VLOOKUP(E1011,Parameter!$I$35:$J$52,2,0),IFERROR(VLOOKUP(D1011,Parameter!$A$35:$C$64,2,0),"Nein"))</f>
        <v>2+3</v>
      </c>
      <c r="CE1011" s="64" t="n">
        <f aca="false">IF(CA1011=0,0,IF(N(S1011)&gt;0,S1011,IFERROR(VLOOKUP(D1011,Parameter!$A$35:$C$64,3,0)+0,0)))</f>
        <v>0</v>
      </c>
      <c r="CF1011" s="60" t="n">
        <f aca="false">IF(AB1011&lt;&gt;"",AB1011,AA1011)</f>
        <v>3</v>
      </c>
      <c r="CG1011" s="60" t="str">
        <f aca="false">IF(OR(CF1011=1,CF1011=2,CF1011=3),IF(Parameter!$E$27="Ja","LIFT",IF(CF1011=1,"L1","L23")),IF(CF1011="Aussen","Aussen","-"))</f>
        <v>LIFT</v>
      </c>
      <c r="CH1011" s="71" t="n">
        <f aca="false">IF(N(AC1011)&gt;0,AC1011,0)</f>
        <v>0</v>
      </c>
      <c r="CI1011" s="65" t="n">
        <f aca="false">IF(ISNUMBER(AF1011),1,0)</f>
        <v>0</v>
      </c>
      <c r="CJ1011" s="62" t="n">
        <f aca="false">N(AF1011)</f>
        <v>0</v>
      </c>
      <c r="CK1011" s="62" t="n">
        <f aca="false">N(M1011)+N(N1011)</f>
        <v>1</v>
      </c>
      <c r="CL1011" s="62" t="n">
        <f aca="false">N(M1011)</f>
        <v>0</v>
      </c>
      <c r="CM1011" s="62" t="n">
        <f aca="false">N(N1011)</f>
        <v>1</v>
      </c>
      <c r="CN1011" s="62" t="n">
        <f aca="false">ROUNDUP(H1011/BZ1011,0)</f>
        <v>1</v>
      </c>
      <c r="CO1011" s="62" t="n">
        <f aca="false">ROUNDUP(CJ1011/BZ1011,0)</f>
        <v>0</v>
      </c>
      <c r="CP1011" s="65" t="n">
        <f aca="false">IF(CA1011=1,0,IFERROR(VLOOKUP(BY1011,'Gebinde-Kategorie'!$A$5:$N$45,5,0)+0,0))</f>
        <v>21</v>
      </c>
      <c r="CQ1011" s="65" t="n">
        <f aca="false">IFERROR(IF(OR(CF1011=1,CF1011=2,CF1011=3),N(INDEX(Parameter!$I$5:$I$7,CF1011)),0),0)</f>
        <v>0</v>
      </c>
      <c r="CR1011" s="64" t="n">
        <f aca="false">IF(AND(Parameter!$B$21="Ja",ISNUMBER(W1011),N(X1011)&gt;0),IFERROR(N(INDEX(Parameter!$L$5:$L$7,W1011))*INDEX(Parameter!$E$5:$E$7,W1011)*X1011/SUMIFS($X$7:$X$1843,$W$7:$W$1843,W1011),0),0)</f>
        <v>0</v>
      </c>
      <c r="CS1011" s="62" t="n">
        <f aca="false">IF(AND(OR(CG1011="L1",CG1011="L23",CG1011="LIFT"),H1011&gt;0),CC1011*IF(CR1011&gt;0,CR1011*MAX(1,H1011/X1011),IF(CA1011=1,CE1011,IF(R1011&gt;0,CN1011/R1011,0))/MAX(0.1,N(Parameter!$M$21))),"")</f>
        <v>20.4166666666667</v>
      </c>
      <c r="CT1011" s="64" t="n">
        <f aca="false">IF(CS1011="","",J1011/H1011)</f>
        <v>0</v>
      </c>
      <c r="CU1011" s="62" t="n">
        <f aca="false">IF(CS1011="","",H1011*G1011)</f>
        <v>1621.2</v>
      </c>
      <c r="CV1011" s="63" t="n">
        <f aca="false">IF(CS1011="","",(CL1011+ROUNDUP(CL1011+MAX(CM1011,2*(J1011/MAX(0.1,N(Einkauf!$C$6))-CL1011)),0))/2)</f>
        <v>0.5</v>
      </c>
      <c r="CW1011" s="62" t="n">
        <f aca="false">IF(CS1011="","",MAX(0,H1011-CV1011)*G1011)</f>
        <v>1594.18</v>
      </c>
      <c r="CX1011" s="62" t="n">
        <f aca="false">IF(CS1011="","",CS1011*MAX(0,1-CV1011/H1011))</f>
        <v>20.0763888888889</v>
      </c>
      <c r="CY1011" s="64" t="n">
        <f aca="false">IF(CS1011="","",PERCENTRANK($CS$7:$CS$1843,CS1011)+PERCENTRANK($CU$7:$CU$1843,CU1011)+1-PERCENTRANK($CT$7:$CT$1843,CT1011))</f>
        <v>2.513</v>
      </c>
      <c r="CZ1011" s="72" t="n">
        <f aca="false">IF(CS1011="","",CHOOSE(MATCH(Einkauf!$C$5,Parameter!$G$23:$G$27,0),CY1011,CS1011,CU1011,-CT1011,CW1011)+ROW()/1000000000)</f>
        <v>2.513001011</v>
      </c>
    </row>
    <row r="1012" customFormat="false" ht="15" hidden="false" customHeight="false" outlineLevel="0" collapsed="false">
      <c r="A1012" s="60" t="s">
        <v>1907</v>
      </c>
      <c r="B1012" s="60" t="s">
        <v>477</v>
      </c>
      <c r="C1012" s="60" t="s">
        <v>206</v>
      </c>
      <c r="D1012" s="60" t="s">
        <v>226</v>
      </c>
      <c r="E1012" s="60" t="s">
        <v>227</v>
      </c>
      <c r="F1012" s="60" t="s">
        <v>260</v>
      </c>
      <c r="G1012" s="61" t="n">
        <v>2.71</v>
      </c>
      <c r="H1012" s="62" t="n">
        <f aca="false">MAX(0,IF(AND(Parameter!$B$21="Ja",ISNUMBER(Y1012)),Y1012,IF(Parameter!$B$20="Jahresanfang 2025 + Export",BS1012+BR1012,BR1012)))</f>
        <v>47</v>
      </c>
      <c r="I1012" s="62" t="n">
        <f aca="false">H1012*G1012</f>
        <v>127.37</v>
      </c>
      <c r="J1012" s="62" t="n">
        <f aca="false">BU1012*Parameter!$B$18</f>
        <v>0</v>
      </c>
      <c r="K1012" s="63" t="n">
        <v>69</v>
      </c>
      <c r="L1012" s="64" t="n">
        <v>0</v>
      </c>
      <c r="M1012" s="62" t="n">
        <v>0</v>
      </c>
      <c r="N1012" s="62" t="n">
        <v>1</v>
      </c>
      <c r="O1012" s="65" t="n">
        <v>14</v>
      </c>
      <c r="P1012" s="60" t="s">
        <v>344</v>
      </c>
      <c r="Q1012" s="62" t="n">
        <v>94</v>
      </c>
      <c r="R1012" s="65" t="n">
        <f aca="false">IF(CA1012=1,0,IFERROR(VLOOKUP(BY1012,'Gebinde-Kategorie'!$A$5:$N$45,13,0)+0,0))</f>
        <v>26</v>
      </c>
      <c r="S1012" s="66"/>
      <c r="T1012" s="67"/>
      <c r="U1012" s="67"/>
      <c r="V1012" s="67"/>
      <c r="W1012" s="60"/>
      <c r="X1012" s="62"/>
      <c r="Y1012" s="62"/>
      <c r="Z1012" s="60" t="n">
        <v>3</v>
      </c>
      <c r="AA1012" s="60" t="n">
        <f aca="false">IF(A1012="","",IF(AND(Parameter!$B$21="Ja",ISNUMBER(W1012)),W1012,IF(AND(Parameter!$E$27="Ja",ISNUMBER(Z1012),CD1012&lt;&gt;"Nein"),Z1012,IF(CD1012="2+3",IF(ISNUMBER(SEARCH("grosser Artikel",BV1012)),2,IFERROR(VLOOKUP(BY1012,Parameter!$F$35:$G$64,2,0),2)),IF(OR(CD1012="Nein",CD1012=""),"-",CD1012)))))</f>
        <v>3</v>
      </c>
      <c r="AB1012" s="67"/>
      <c r="AC1012" s="68"/>
      <c r="AD1012" s="62" t="n">
        <f aca="false">AW1012</f>
        <v>1</v>
      </c>
      <c r="AE1012" s="62" t="n">
        <f aca="false">MAX(AW1012,H1012)</f>
        <v>47</v>
      </c>
      <c r="AF1012" s="69"/>
      <c r="AG1012" s="62" t="n">
        <f aca="false">IF(LEFT(Cockpit!$C$5,1)="A",H1012,IF(Parameter!$E$30="MAX-Bestand",IF(CI1012=1,CJ1012,IF(LEFT(Cockpit!$C$5,1)="B",AM1012,MAX(AM1012,H1012))),ROUNDUP(AK1012,0)))</f>
        <v>47</v>
      </c>
      <c r="AH1012" s="62" t="n">
        <f aca="false">IF(CA1012=1,0,ROUNDUP(AG1012/BZ1012,0))</f>
        <v>1</v>
      </c>
      <c r="AI1012" s="64" t="n">
        <f aca="false">IF(CR1012&gt;0,CR1012*MAX(1,AG1012/X1012),IF(CA1012=1,IF(AG1012&lt;=0,0,CE1012*MAX(1,IF(H1012&gt;0,AG1012/H1012,1))),IF(R1012&gt;0,AH1012/R1012,0))/MAX(0.1,N(Parameter!$M$21)))</f>
        <v>0.0384615384615385</v>
      </c>
      <c r="AJ1012" s="62" t="n">
        <f aca="false">AI1012*CC1012</f>
        <v>5.96153846153846</v>
      </c>
      <c r="AK1012" s="63" t="n">
        <f aca="false">IF(LEFT(Cockpit!$C$5,1)="A",H1012,IF(CI1012=1,(CL1012+CJ1012)/2,IF(LEFT(Cockpit!$C$5,1)="B",(CL1012+AM1012)/2,MAX((CL1012+AM1012)/2,H1012))))</f>
        <v>47</v>
      </c>
      <c r="AL1012" s="62" t="n">
        <f aca="false">AK1012*G1012</f>
        <v>127.37</v>
      </c>
      <c r="AM1012" s="62" t="n">
        <f aca="false">ROUNDUP(CL1012+MAX(CM1012,2*(J1012/IF(CH1012&gt;0,CH1012,MAX(0.1,N(Cockpit!$C$6)))-CL1012)),0)</f>
        <v>1</v>
      </c>
      <c r="AN1012" s="63" t="n">
        <f aca="false">IF(AJ1012&gt;0,J1012/AJ1012,-1)</f>
        <v>0</v>
      </c>
      <c r="AO1012" s="63" t="n">
        <f aca="false">IF(AND(OR(CG1012="L1",CG1012="L23",CG1012="LIFT"),AJ1012&gt;0),SUMIFS($AJ$7:$AJ$1843,$CG$7:$CG$1843,CG1012,$AN$7:$AN$1843,"&gt;"&amp;AN1012)+SUMIFS($AJ$7:$AJ$1843,$CG$7:$CG$1843,CG1012,$AN$7:$AN$1843,AN1012,$BX$7:$BX$1843,"&lt;="&amp;BX1012),"")</f>
        <v>28991.5761754724</v>
      </c>
      <c r="AP1012" s="70" t="n">
        <f aca="false">IF(AO1012="",0,MAX(0,MIN(1,(IF(CG1012="L1",Parameter!$H$5,IF(CG1012="L23",Parameter!$H$6+Parameter!$H$7,Parameter!$H$5+Parameter!$H$6+Parameter!$H$7))-(AO1012-AJ1012))/AJ1012)))</f>
        <v>1</v>
      </c>
      <c r="AQ1012" s="62" t="n">
        <f aca="false">IF(LEFT(Cockpit!$I$5,1)="A",H1012,IF(Parameter!$E$30="MAX-Bestand",IF(CI1012=1,CJ1012,IF(LEFT(Cockpit!$I$5,1)="B",AW1012,MAX(AW1012,H1012))),ROUNDUP(AU1012,0)))</f>
        <v>47</v>
      </c>
      <c r="AR1012" s="62" t="n">
        <f aca="false">IF(CA1012=1,0,ROUNDUP(AQ1012/BZ1012,0))</f>
        <v>1</v>
      </c>
      <c r="AS1012" s="64" t="n">
        <f aca="false">IF(CR1012&gt;0,CR1012*MAX(1,AQ1012/X1012),IF(CA1012=1,IF(AQ1012&lt;=0,0,CE1012*MAX(1,IF(H1012&gt;0,AQ1012/H1012,1))),IF(R1012&gt;0,AR1012/R1012,0))/MAX(0.1,N(Parameter!$M$21)))</f>
        <v>0.0384615384615385</v>
      </c>
      <c r="AT1012" s="62" t="n">
        <f aca="false">AS1012*CC1012</f>
        <v>5.96153846153846</v>
      </c>
      <c r="AU1012" s="63" t="n">
        <f aca="false">IF(LEFT(Cockpit!$I$5,1)="A",H1012,IF(CI1012=1,(CL1012+CJ1012)/2,IF(LEFT(Cockpit!$I$5,1)="B",(CL1012+AW1012)/2,MAX((CL1012+AW1012)/2,H1012))))</f>
        <v>47</v>
      </c>
      <c r="AV1012" s="62" t="n">
        <f aca="false">AU1012*G1012</f>
        <v>127.37</v>
      </c>
      <c r="AW1012" s="62" t="n">
        <f aca="false">ROUNDUP(CL1012+MAX(CM1012,2*(J1012/IF(CH1012&gt;0,CH1012,MAX(0.1,N(Cockpit!$I$6)))-CL1012)),0)</f>
        <v>1</v>
      </c>
      <c r="AX1012" s="63" t="n">
        <f aca="false">IF(AT1012&gt;0,J1012/AT1012,-1)</f>
        <v>0</v>
      </c>
      <c r="AY1012" s="63" t="n">
        <f aca="false">IF(AND(OR(CG1012="L1",CG1012="L23",CG1012="LIFT"),AT1012&gt;0),SUMIFS($AT$7:$AT$1843,$CG$7:$CG$1843,CG1012,$AX$7:$AX$1843,"&gt;"&amp;AX1012)+SUMIFS($AT$7:$AT$1843,$CG$7:$CG$1843,CG1012,$AX$7:$AX$1843,AX1012,$BX$7:$BX$1843,"&lt;="&amp;BX1012),"")</f>
        <v>34692.4578754579</v>
      </c>
      <c r="AZ1012" s="70" t="n">
        <f aca="false">IF(AY1012="",0,MAX(0,MIN(1,(IF(CG1012="L1",Parameter!$H$5,IF(CG1012="L23",Parameter!$H$6+Parameter!$H$7,Parameter!$H$5+Parameter!$H$6+Parameter!$H$7))-(AY1012-AT1012))/AT1012)))</f>
        <v>1</v>
      </c>
      <c r="BA1012" s="62" t="n">
        <f aca="false">IF(LEFT(Cockpit!$O$5,1)="A",H1012,IF(Parameter!$E$30="MAX-Bestand",IF(CI1012=1,CJ1012,IF(LEFT(Cockpit!$O$5,1)="B",BG1012,MAX(BG1012,H1012))),ROUNDUP(BE1012,0)))</f>
        <v>1</v>
      </c>
      <c r="BB1012" s="62" t="n">
        <f aca="false">IF(CA1012=1,0,ROUNDUP(BA1012/BZ1012,0))</f>
        <v>1</v>
      </c>
      <c r="BC1012" s="64" t="n">
        <f aca="false">IF(CR1012&gt;0,CR1012*MAX(1,BA1012/X1012),IF(CA1012=1,IF(BA1012&lt;=0,0,CE1012*MAX(1,IF(H1012&gt;0,BA1012/H1012,1))),IF(R1012&gt;0,BB1012/R1012,0))/MAX(0.1,N(Parameter!$M$21)))</f>
        <v>0.0384615384615385</v>
      </c>
      <c r="BD1012" s="62" t="n">
        <f aca="false">BC1012*CC1012</f>
        <v>5.96153846153846</v>
      </c>
      <c r="BE1012" s="63" t="n">
        <f aca="false">IF(LEFT(Cockpit!$O$5,1)="A",H1012,IF(CI1012=1,(CL1012+CJ1012)/2,IF(LEFT(Cockpit!$O$5,1)="B",(CL1012+BG1012)/2,MAX((CL1012+BG1012)/2,H1012))))</f>
        <v>0.5</v>
      </c>
      <c r="BF1012" s="62" t="n">
        <f aca="false">BE1012*G1012</f>
        <v>1.355</v>
      </c>
      <c r="BG1012" s="62" t="n">
        <f aca="false">ROUNDUP(CL1012+MAX(CM1012,2*(J1012/IF(CH1012&gt;0,CH1012,MAX(0.1,N(Cockpit!$O$6)))-CL1012)),0)</f>
        <v>1</v>
      </c>
      <c r="BH1012" s="63" t="n">
        <f aca="false">IF(BD1012&gt;0,J1012/BD1012,-1)</f>
        <v>0</v>
      </c>
      <c r="BI1012" s="63" t="n">
        <f aca="false">IF(AND(OR(CG1012="L1",CG1012="L23",CG1012="LIFT"),BD1012&gt;0),SUMIFS($BD$7:$BD$1843,$CG$7:$CG$1843,CG1012,$BH$7:$BH$1843,"&gt;"&amp;BH1012)+SUMIFS($BD$7:$BD$1843,$CG$7:$CG$1843,CG1012,$BH$7:$BH$1843,BH1012,$BX$7:$BX$1843,"&lt;="&amp;BX1012),"")</f>
        <v>28707.5722279133</v>
      </c>
      <c r="BJ1012" s="70" t="n">
        <f aca="false">IF(BI1012="",0,MAX(0,MIN(1,(IF(CG1012="L1",Parameter!$H$5,IF(CG1012="L23",Parameter!$H$6+Parameter!$H$7,Parameter!$H$5+Parameter!$H$6+Parameter!$H$7))-(BI1012-BD1012))/BD1012)))</f>
        <v>1</v>
      </c>
      <c r="BK1012" s="60" t="str">
        <f aca="false">IF(AJ1012&lt;=0,"",IF(CG1012="Aussen","Aussenlager",IF(CG1012="-","Nicht im Lift",IF(AP1012&gt;=1,"Lift",IF(AP1012&lt;=0,"Aussenlager","teilweise")))))</f>
        <v>Lift</v>
      </c>
      <c r="BL1012" s="60" t="str">
        <f aca="false">IF(AT1012&lt;=0,"",IF(CG1012="Aussen","Aussenlager",IF(CG1012="-","Nicht im Lift",IF(AZ1012&gt;=1,"Lift",IF(AZ1012&lt;=0,"Aussenlager","teilweise")))))</f>
        <v>Lift</v>
      </c>
      <c r="BM1012" s="60" t="str">
        <f aca="false">IF(BD1012&lt;=0,"",IF(CG1012="Aussen","Aussenlager",IF(CG1012="-","Nicht im Lift",IF(BJ1012&gt;=1,"Lift",IF(BJ1012&lt;=0,"Aussenlager","teilweise")))))</f>
        <v>Lift</v>
      </c>
      <c r="BN1012" s="60" t="str">
        <f aca="false">IF(A1012="","",IF(BW1012=1,"Neu; ","")&amp;IF(AND(BW1012=0,BR1012&lt;0),"negativer Bestand (Export "&amp;BR1012&amp;"); ","")&amp;IF(J1012&lt;=0,"Kein Verbrauch; ","")&amp;IF(CR1012&gt;0,"Lift "&amp;W1012&amp;" lt. Liftbericht (Fach "&amp;X1012&amp;" Stk); ",IF(CB1012=1,"Gebinde geschätzt ("&amp;T1012&amp;"); ",IF(CA1012=1,"Lose – Tablare geschätzt; ","")))&amp;IF(H1012&gt;AW1012,"Überbestand "&amp;ROUND(H1012-AW1012,0)&amp;" Stk / CHF "&amp;ROUND((H1012-AW1012)*G1012,0)&amp;"; ","")&amp;IF(AND(CI1012=1,CJ1012&lt;CK1012),"MAX &lt; MB+LG; ","")&amp;IF(AND(CQ1012&gt;0,CP1012*10&gt;CQ1012),"zu hoch für Tablar; ","")&amp;IF(AND(BW1012=0,OR(CI1012=1,AB1012&lt;&gt;"",U1012&lt;&gt;"",V1012&lt;&gt;"",AC1012&lt;&gt;"")),"manuell übersteuert; ","")&amp;IF(AND(CA1012=0,R1012=0),"Gebinde unbekannt / Stellmass fehlt; ","")&amp;IF(AND(CA1012=0,N(V1012)&lt;=0,N(Q1012)&lt;=0),"Menge pro Gebinde fehlt (Ist = 1 Gebinde); ","")&amp;BV1012)</f>
        <v>negativer Bestand (Export -41); Kein Verbrauch; Überbestand 46 Stk / CHF 125; Überbestand</v>
      </c>
      <c r="BO1012" s="60"/>
      <c r="BP1012" s="60"/>
      <c r="BQ1012" s="67"/>
      <c r="BR1012" s="62" t="n">
        <v>-41</v>
      </c>
      <c r="BS1012" s="62" t="n">
        <v>88</v>
      </c>
      <c r="BT1012" s="61" t="n">
        <v>-110.23</v>
      </c>
      <c r="BU1012" s="62" t="n">
        <v>0</v>
      </c>
      <c r="BV1012" s="60" t="s">
        <v>434</v>
      </c>
      <c r="BW1012" s="65" t="n">
        <v>0</v>
      </c>
      <c r="BX1012" s="65" t="n">
        <v>1012</v>
      </c>
      <c r="BY1012" s="60" t="str">
        <f aca="false">IF(U1012&lt;&gt;"",UPPER(TRIM(U1012)),IF(CB1012=1,UPPER(VLOOKUP(T1012,Parameter!$I$27:$K$29,2,0)),IF(P1012="","LOSE",P1012)))</f>
        <v>S51</v>
      </c>
      <c r="BZ1012" s="62" t="n">
        <f aca="false">IF(BY1012="LOSE",1,IF(N(V1012)&gt;0,V1012,IF(CB1012=1,MAX(1,N(VLOOKUP(T1012,Parameter!$I$27:$K$29,3,0)),H1012,N(N1012)),IF(N(Q1012)&gt;0,Q1012,MAX(1,H1012)))))</f>
        <v>94</v>
      </c>
      <c r="CA1012" s="65" t="n">
        <f aca="false">IF(BY1012="LOSE",1,0)</f>
        <v>0</v>
      </c>
      <c r="CB1012" s="65" t="n">
        <f aca="false">IF(AND(U1012="",OR(P1012="",P1012="LOSE"),T1012&lt;&gt;"",N(S1012)&lt;=0,ISNUMBER(MATCH(T1012,Parameter!$I$27:$I$29,0))),1,0)</f>
        <v>0</v>
      </c>
      <c r="CC1012" s="65" t="n">
        <f aca="false">IF(CR1012&gt;0,INDEX(Parameter!$H$5:$H$7,W1012)/INDEX(Parameter!$E$5:$E$7,W1012),IF(AND(CA1012=0,N(IFERROR(VLOOKUP(BY1012,'Gebinde-Kategorie'!$A$5:$N$45,14,0),0))&gt;0),VLOOKUP(BY1012,'Gebinde-Kategorie'!$A$5:$N$45,14,0)*10+Parameter!$M$23,Parameter!$M$24))</f>
        <v>155</v>
      </c>
      <c r="CD1012" s="60" t="str">
        <f aca="false">IF(AND(Parameter!$B$19="Ja",E1012&lt;&gt;"",ISNUMBER(MATCH(E1012,Parameter!$I$35:$I$52,0))),VLOOKUP(E1012,Parameter!$I$35:$J$52,2,0),IFERROR(VLOOKUP(D1012,Parameter!$A$35:$C$64,2,0),"Nein"))</f>
        <v>2+3</v>
      </c>
      <c r="CE1012" s="64" t="n">
        <f aca="false">IF(CA1012=0,0,IF(N(S1012)&gt;0,S1012,IFERROR(VLOOKUP(D1012,Parameter!$A$35:$C$64,3,0)+0,0)))</f>
        <v>0</v>
      </c>
      <c r="CF1012" s="60" t="n">
        <f aca="false">IF(AB1012&lt;&gt;"",AB1012,AA1012)</f>
        <v>3</v>
      </c>
      <c r="CG1012" s="60" t="str">
        <f aca="false">IF(OR(CF1012=1,CF1012=2,CF1012=3),IF(Parameter!$E$27="Ja","LIFT",IF(CF1012=1,"L1","L23")),IF(CF1012="Aussen","Aussen","-"))</f>
        <v>LIFT</v>
      </c>
      <c r="CH1012" s="71" t="n">
        <f aca="false">IF(N(AC1012)&gt;0,AC1012,0)</f>
        <v>0</v>
      </c>
      <c r="CI1012" s="65" t="n">
        <f aca="false">IF(ISNUMBER(AF1012),1,0)</f>
        <v>0</v>
      </c>
      <c r="CJ1012" s="62" t="n">
        <f aca="false">N(AF1012)</f>
        <v>0</v>
      </c>
      <c r="CK1012" s="62" t="n">
        <f aca="false">N(M1012)+N(N1012)</f>
        <v>1</v>
      </c>
      <c r="CL1012" s="62" t="n">
        <f aca="false">N(M1012)</f>
        <v>0</v>
      </c>
      <c r="CM1012" s="62" t="n">
        <f aca="false">N(N1012)</f>
        <v>1</v>
      </c>
      <c r="CN1012" s="62" t="n">
        <f aca="false">ROUNDUP(H1012/BZ1012,0)</f>
        <v>1</v>
      </c>
      <c r="CO1012" s="62" t="n">
        <f aca="false">ROUNDUP(CJ1012/BZ1012,0)</f>
        <v>0</v>
      </c>
      <c r="CP1012" s="65" t="n">
        <f aca="false">IF(CA1012=1,0,IFERROR(VLOOKUP(BY1012,'Gebinde-Kategorie'!$A$5:$N$45,5,0)+0,0))</f>
        <v>11</v>
      </c>
      <c r="CQ1012" s="65" t="n">
        <f aca="false">IFERROR(IF(OR(CF1012=1,CF1012=2,CF1012=3),N(INDEX(Parameter!$I$5:$I$7,CF1012)),0),0)</f>
        <v>0</v>
      </c>
      <c r="CR1012" s="64" t="n">
        <f aca="false">IF(AND(Parameter!$B$21="Ja",ISNUMBER(W1012),N(X1012)&gt;0),IFERROR(N(INDEX(Parameter!$L$5:$L$7,W1012))*INDEX(Parameter!$E$5:$E$7,W1012)*X1012/SUMIFS($X$7:$X$1843,$W$7:$W$1843,W1012),0),0)</f>
        <v>0</v>
      </c>
      <c r="CS1012" s="62" t="n">
        <f aca="false">IF(AND(OR(CG1012="L1",CG1012="L23",CG1012="LIFT"),H1012&gt;0),CC1012*IF(CR1012&gt;0,CR1012*MAX(1,H1012/X1012),IF(CA1012=1,CE1012,IF(R1012&gt;0,CN1012/R1012,0))/MAX(0.1,N(Parameter!$M$21))),"")</f>
        <v>5.96153846153846</v>
      </c>
      <c r="CT1012" s="64" t="n">
        <f aca="false">IF(CS1012="","",J1012/H1012)</f>
        <v>0</v>
      </c>
      <c r="CU1012" s="62" t="n">
        <f aca="false">IF(CS1012="","",H1012*G1012)</f>
        <v>127.37</v>
      </c>
      <c r="CV1012" s="63" t="n">
        <f aca="false">IF(CS1012="","",(CL1012+ROUNDUP(CL1012+MAX(CM1012,2*(J1012/MAX(0.1,N(Einkauf!$C$6))-CL1012)),0))/2)</f>
        <v>0.5</v>
      </c>
      <c r="CW1012" s="62" t="n">
        <f aca="false">IF(CS1012="","",MAX(0,H1012-CV1012)*G1012)</f>
        <v>126.015</v>
      </c>
      <c r="CX1012" s="62" t="n">
        <f aca="false">IF(CS1012="","",CS1012*MAX(0,1-CV1012/H1012))</f>
        <v>5.8981178396072</v>
      </c>
      <c r="CY1012" s="64" t="n">
        <f aca="false">IF(CS1012="","",PERCENTRANK($CS$7:$CS$1843,CS1012)+PERCENTRANK($CU$7:$CU$1843,CU1012)+1-PERCENTRANK($CT$7:$CT$1843,CT1012))</f>
        <v>1.624</v>
      </c>
      <c r="CZ1012" s="72" t="n">
        <f aca="false">IF(CS1012="","",CHOOSE(MATCH(Einkauf!$C$5,Parameter!$G$23:$G$27,0),CY1012,CS1012,CU1012,-CT1012,CW1012)+ROW()/1000000000)</f>
        <v>1.624001012</v>
      </c>
    </row>
    <row r="1013" customFormat="false" ht="15" hidden="false" customHeight="false" outlineLevel="0" collapsed="false">
      <c r="A1013" s="60" t="s">
        <v>1908</v>
      </c>
      <c r="B1013" s="60" t="s">
        <v>870</v>
      </c>
      <c r="C1013" s="60" t="s">
        <v>206</v>
      </c>
      <c r="D1013" s="60" t="s">
        <v>215</v>
      </c>
      <c r="E1013" s="60"/>
      <c r="F1013" s="60" t="s">
        <v>260</v>
      </c>
      <c r="G1013" s="61" t="n">
        <v>8.73</v>
      </c>
      <c r="H1013" s="62" t="n">
        <f aca="false">MAX(0,IF(AND(Parameter!$B$21="Ja",ISNUMBER(Y1013)),Y1013,IF(Parameter!$B$20="Jahresanfang 2025 + Export",BS1013+BR1013,BR1013)))</f>
        <v>10</v>
      </c>
      <c r="I1013" s="62" t="n">
        <f aca="false">H1013*G1013</f>
        <v>87.3</v>
      </c>
      <c r="J1013" s="62" t="n">
        <f aca="false">BU1013*Parameter!$B$18</f>
        <v>20</v>
      </c>
      <c r="K1013" s="63" t="n">
        <v>26</v>
      </c>
      <c r="L1013" s="64" t="n">
        <v>0.769230769230769</v>
      </c>
      <c r="M1013" s="62" t="n">
        <v>2</v>
      </c>
      <c r="N1013" s="62" t="n">
        <v>20</v>
      </c>
      <c r="O1013" s="65" t="n">
        <v>42</v>
      </c>
      <c r="P1013" s="60" t="s">
        <v>216</v>
      </c>
      <c r="Q1013" s="62" t="n">
        <v>24</v>
      </c>
      <c r="R1013" s="65" t="n">
        <f aca="false">IF(CA1013=1,0,IFERROR(VLOOKUP(BY1013,'Gebinde-Kategorie'!$A$5:$N$45,13,0)+0,0))</f>
        <v>6</v>
      </c>
      <c r="S1013" s="66"/>
      <c r="T1013" s="67"/>
      <c r="U1013" s="67"/>
      <c r="V1013" s="67"/>
      <c r="W1013" s="60"/>
      <c r="X1013" s="62"/>
      <c r="Y1013" s="62"/>
      <c r="Z1013" s="60" t="n">
        <v>2</v>
      </c>
      <c r="AA1013" s="60" t="n">
        <f aca="false">IF(A1013="","",IF(AND(Parameter!$B$21="Ja",ISNUMBER(W1013)),W1013,IF(AND(Parameter!$E$27="Ja",ISNUMBER(Z1013),CD1013&lt;&gt;"Nein"),Z1013,IF(CD1013="2+3",IF(ISNUMBER(SEARCH("grosser Artikel",BV1013)),2,IFERROR(VLOOKUP(BY1013,Parameter!$F$35:$G$64,2,0),2)),IF(OR(CD1013="Nein",CD1013=""),"-",CD1013)))))</f>
        <v>2</v>
      </c>
      <c r="AB1013" s="67"/>
      <c r="AC1013" s="68"/>
      <c r="AD1013" s="62" t="n">
        <f aca="false">AW1013</f>
        <v>22</v>
      </c>
      <c r="AE1013" s="62" t="n">
        <f aca="false">MAX(AW1013,H1013)</f>
        <v>22</v>
      </c>
      <c r="AF1013" s="69"/>
      <c r="AG1013" s="62" t="n">
        <f aca="false">IF(LEFT(Cockpit!$C$5,1)="A",H1013,IF(Parameter!$E$30="MAX-Bestand",IF(CI1013=1,CJ1013,IF(LEFT(Cockpit!$C$5,1)="B",AM1013,MAX(AM1013,H1013))),ROUNDUP(AK1013,0)))</f>
        <v>10</v>
      </c>
      <c r="AH1013" s="62" t="n">
        <f aca="false">IF(CA1013=1,0,ROUNDUP(AG1013/BZ1013,0))</f>
        <v>1</v>
      </c>
      <c r="AI1013" s="64" t="n">
        <f aca="false">IF(CR1013&gt;0,CR1013*MAX(1,AG1013/X1013),IF(CA1013=1,IF(AG1013&lt;=0,0,CE1013*MAX(1,IF(H1013&gt;0,AG1013/H1013,1))),IF(R1013&gt;0,AH1013/R1013,0))/MAX(0.1,N(Parameter!$M$21)))</f>
        <v>0.166666666666667</v>
      </c>
      <c r="AJ1013" s="62" t="n">
        <f aca="false">AI1013*CC1013</f>
        <v>39.1666666666667</v>
      </c>
      <c r="AK1013" s="63" t="n">
        <f aca="false">IF(LEFT(Cockpit!$C$5,1)="A",H1013,IF(CI1013=1,(CL1013+CJ1013)/2,IF(LEFT(Cockpit!$C$5,1)="B",(CL1013+AM1013)/2,MAX((CL1013+AM1013)/2,H1013))))</f>
        <v>10</v>
      </c>
      <c r="AL1013" s="62" t="n">
        <f aca="false">AK1013*G1013</f>
        <v>87.3</v>
      </c>
      <c r="AM1013" s="62" t="n">
        <f aca="false">ROUNDUP(CL1013+MAX(CM1013,2*(J1013/IF(CH1013&gt;0,CH1013,MAX(0.1,N(Cockpit!$C$6)))-CL1013)),0)</f>
        <v>22</v>
      </c>
      <c r="AN1013" s="63" t="n">
        <f aca="false">IF(AJ1013&gt;0,J1013/AJ1013,-1)</f>
        <v>0.510638297872341</v>
      </c>
      <c r="AO1013" s="63" t="n">
        <f aca="false">IF(AND(OR(CG1013="L1",CG1013="L23",CG1013="LIFT"),AJ1013&gt;0),SUMIFS($AJ$7:$AJ$1843,$CG$7:$CG$1843,CG1013,$AN$7:$AN$1843,"&gt;"&amp;AN1013)+SUMIFS($AJ$7:$AJ$1843,$CG$7:$CG$1843,CG1013,$AN$7:$AN$1843,AN1013,$BX$7:$BX$1843,"&lt;="&amp;BX1013),"")</f>
        <v>9568.12588729538</v>
      </c>
      <c r="AP1013" s="70" t="n">
        <f aca="false">IF(AO1013="",0,MAX(0,MIN(1,(IF(CG1013="L1",Parameter!$H$5,IF(CG1013="L23",Parameter!$H$6+Parameter!$H$7,Parameter!$H$5+Parameter!$H$6+Parameter!$H$7))-(AO1013-AJ1013))/AJ1013)))</f>
        <v>1</v>
      </c>
      <c r="AQ1013" s="62" t="n">
        <f aca="false">IF(LEFT(Cockpit!$I$5,1)="A",H1013,IF(Parameter!$E$30="MAX-Bestand",IF(CI1013=1,CJ1013,IF(LEFT(Cockpit!$I$5,1)="B",AW1013,MAX(AW1013,H1013))),ROUNDUP(AU1013,0)))</f>
        <v>12</v>
      </c>
      <c r="AR1013" s="62" t="n">
        <f aca="false">IF(CA1013=1,0,ROUNDUP(AQ1013/BZ1013,0))</f>
        <v>1</v>
      </c>
      <c r="AS1013" s="64" t="n">
        <f aca="false">IF(CR1013&gt;0,CR1013*MAX(1,AQ1013/X1013),IF(CA1013=1,IF(AQ1013&lt;=0,0,CE1013*MAX(1,IF(H1013&gt;0,AQ1013/H1013,1))),IF(R1013&gt;0,AR1013/R1013,0))/MAX(0.1,N(Parameter!$M$21)))</f>
        <v>0.166666666666667</v>
      </c>
      <c r="AT1013" s="62" t="n">
        <f aca="false">AS1013*CC1013</f>
        <v>39.1666666666667</v>
      </c>
      <c r="AU1013" s="63" t="n">
        <f aca="false">IF(LEFT(Cockpit!$I$5,1)="A",H1013,IF(CI1013=1,(CL1013+CJ1013)/2,IF(LEFT(Cockpit!$I$5,1)="B",(CL1013+AW1013)/2,MAX((CL1013+AW1013)/2,H1013))))</f>
        <v>12</v>
      </c>
      <c r="AV1013" s="62" t="n">
        <f aca="false">AU1013*G1013</f>
        <v>104.76</v>
      </c>
      <c r="AW1013" s="62" t="n">
        <f aca="false">ROUNDUP(CL1013+MAX(CM1013,2*(J1013/IF(CH1013&gt;0,CH1013,MAX(0.1,N(Cockpit!$I$6)))-CL1013)),0)</f>
        <v>22</v>
      </c>
      <c r="AX1013" s="63" t="n">
        <f aca="false">IF(AT1013&gt;0,J1013/AT1013,-1)</f>
        <v>0.510638297872341</v>
      </c>
      <c r="AY1013" s="63" t="n">
        <f aca="false">IF(AND(OR(CG1013="L1",CG1013="L23",CG1013="LIFT"),AT1013&gt;0),SUMIFS($AT$7:$AT$1843,$CG$7:$CG$1843,CG1013,$AX$7:$AX$1843,"&gt;"&amp;AX1013)+SUMIFS($AT$7:$AT$1843,$CG$7:$CG$1843,CG1013,$AX$7:$AX$1843,AX1013,$BX$7:$BX$1843,"&lt;="&amp;BX1013),"")</f>
        <v>11970.0393772894</v>
      </c>
      <c r="AZ1013" s="70" t="n">
        <f aca="false">IF(AY1013="",0,MAX(0,MIN(1,(IF(CG1013="L1",Parameter!$H$5,IF(CG1013="L23",Parameter!$H$6+Parameter!$H$7,Parameter!$H$5+Parameter!$H$6+Parameter!$H$7))-(AY1013-AT1013))/AT1013)))</f>
        <v>1</v>
      </c>
      <c r="BA1013" s="62" t="n">
        <f aca="false">IF(LEFT(Cockpit!$O$5,1)="A",H1013,IF(Parameter!$E$30="MAX-Bestand",IF(CI1013=1,CJ1013,IF(LEFT(Cockpit!$O$5,1)="B",BG1013,MAX(BG1013,H1013))),ROUNDUP(BE1013,0)))</f>
        <v>12</v>
      </c>
      <c r="BB1013" s="62" t="n">
        <f aca="false">IF(CA1013=1,0,ROUNDUP(BA1013/BZ1013,0))</f>
        <v>1</v>
      </c>
      <c r="BC1013" s="64" t="n">
        <f aca="false">IF(CR1013&gt;0,CR1013*MAX(1,BA1013/X1013),IF(CA1013=1,IF(BA1013&lt;=0,0,CE1013*MAX(1,IF(H1013&gt;0,BA1013/H1013,1))),IF(R1013&gt;0,BB1013/R1013,0))/MAX(0.1,N(Parameter!$M$21)))</f>
        <v>0.166666666666667</v>
      </c>
      <c r="BD1013" s="62" t="n">
        <f aca="false">BC1013*CC1013</f>
        <v>39.1666666666667</v>
      </c>
      <c r="BE1013" s="63" t="n">
        <f aca="false">IF(LEFT(Cockpit!$O$5,1)="A",H1013,IF(CI1013=1,(CL1013+CJ1013)/2,IF(LEFT(Cockpit!$O$5,1)="B",(CL1013+BG1013)/2,MAX((CL1013+BG1013)/2,H1013))))</f>
        <v>12</v>
      </c>
      <c r="BF1013" s="62" t="n">
        <f aca="false">BE1013*G1013</f>
        <v>104.76</v>
      </c>
      <c r="BG1013" s="62" t="n">
        <f aca="false">ROUNDUP(CL1013+MAX(CM1013,2*(J1013/IF(CH1013&gt;0,CH1013,MAX(0.1,N(Cockpit!$O$6)))-CL1013)),0)</f>
        <v>22</v>
      </c>
      <c r="BH1013" s="63" t="n">
        <f aca="false">IF(BD1013&gt;0,J1013/BD1013,-1)</f>
        <v>0.510638297872341</v>
      </c>
      <c r="BI1013" s="63" t="n">
        <f aca="false">IF(AND(OR(CG1013="L1",CG1013="L23",CG1013="LIFT"),BD1013&gt;0),SUMIFS($BD$7:$BD$1843,$CG$7:$CG$1843,CG1013,$BH$7:$BH$1843,"&gt;"&amp;BH1013)+SUMIFS($BD$7:$BD$1843,$CG$7:$CG$1843,CG1013,$BH$7:$BH$1843,BH1013,$BX$7:$BX$1843,"&lt;="&amp;BX1013),"")</f>
        <v>10333.4555860806</v>
      </c>
      <c r="BJ1013" s="70" t="n">
        <f aca="false">IF(BI1013="",0,MAX(0,MIN(1,(IF(CG1013="L1",Parameter!$H$5,IF(CG1013="L23",Parameter!$H$6+Parameter!$H$7,Parameter!$H$5+Parameter!$H$6+Parameter!$H$7))-(BI1013-BD1013))/BD1013)))</f>
        <v>1</v>
      </c>
      <c r="BK1013" s="60" t="str">
        <f aca="false">IF(AJ1013&lt;=0,"",IF(CG1013="Aussen","Aussenlager",IF(CG1013="-","Nicht im Lift",IF(AP1013&gt;=1,"Lift",IF(AP1013&lt;=0,"Aussenlager","teilweise")))))</f>
        <v>Lift</v>
      </c>
      <c r="BL1013" s="60" t="str">
        <f aca="false">IF(AT1013&lt;=0,"",IF(CG1013="Aussen","Aussenlager",IF(CG1013="-","Nicht im Lift",IF(AZ1013&gt;=1,"Lift",IF(AZ1013&lt;=0,"Aussenlager","teilweise")))))</f>
        <v>Lift</v>
      </c>
      <c r="BM1013" s="60" t="str">
        <f aca="false">IF(BD1013&lt;=0,"",IF(CG1013="Aussen","Aussenlager",IF(CG1013="-","Nicht im Lift",IF(BJ1013&gt;=1,"Lift",IF(BJ1013&lt;=0,"Aussenlager","teilweise")))))</f>
        <v>Lift</v>
      </c>
      <c r="BN1013" s="60" t="str">
        <f aca="false">IF(A1013="","",IF(BW1013=1,"Neu; ","")&amp;IF(AND(BW1013=0,BR1013&lt;0),"negativer Bestand (Export "&amp;BR1013&amp;"); ","")&amp;IF(J1013&lt;=0,"Kein Verbrauch; ","")&amp;IF(CR1013&gt;0,"Lift "&amp;W1013&amp;" lt. Liftbericht (Fach "&amp;X1013&amp;" Stk); ",IF(CB1013=1,"Gebinde geschätzt ("&amp;T1013&amp;"); ",IF(CA1013=1,"Lose – Tablare geschätzt; ","")))&amp;IF(H1013&gt;AW1013,"Überbestand "&amp;ROUND(H1013-AW1013,0)&amp;" Stk / CHF "&amp;ROUND((H1013-AW1013)*G1013,0)&amp;"; ","")&amp;IF(AND(CI1013=1,CJ1013&lt;CK1013),"MAX &lt; MB+LG; ","")&amp;IF(AND(CQ1013&gt;0,CP1013*10&gt;CQ1013),"zu hoch für Tablar; ","")&amp;IF(AND(BW1013=0,OR(CI1013=1,AB1013&lt;&gt;"",U1013&lt;&gt;"",V1013&lt;&gt;"",AC1013&lt;&gt;"")),"manuell übersteuert; ","")&amp;IF(AND(CA1013=0,R1013=0),"Gebinde unbekannt / Stellmass fehlt; ","")&amp;IF(AND(CA1013=0,N(V1013)&lt;=0,N(Q1013)&lt;=0),"Menge pro Gebinde fehlt (Ist = 1 Gebinde); ","")&amp;BV1013)</f>
        <v>negativer Bestand (Export -6); </v>
      </c>
      <c r="BO1013" s="60"/>
      <c r="BP1013" s="60"/>
      <c r="BQ1013" s="67"/>
      <c r="BR1013" s="62" t="n">
        <v>-6</v>
      </c>
      <c r="BS1013" s="62" t="n">
        <v>16</v>
      </c>
      <c r="BT1013" s="61" t="n">
        <v>-111.58</v>
      </c>
      <c r="BU1013" s="62" t="n">
        <v>20</v>
      </c>
      <c r="BV1013" s="60"/>
      <c r="BW1013" s="65" t="n">
        <v>0</v>
      </c>
      <c r="BX1013" s="65" t="n">
        <v>1013</v>
      </c>
      <c r="BY1013" s="60" t="str">
        <f aca="false">IF(U1013&lt;&gt;"",UPPER(TRIM(U1013)),IF(CB1013=1,UPPER(VLOOKUP(T1013,Parameter!$I$27:$K$29,2,0)),IF(P1013="","LOSE",P1013)))</f>
        <v>S71</v>
      </c>
      <c r="BZ1013" s="62" t="n">
        <f aca="false">IF(BY1013="LOSE",1,IF(N(V1013)&gt;0,V1013,IF(CB1013=1,MAX(1,N(VLOOKUP(T1013,Parameter!$I$27:$K$29,3,0)),H1013,N(N1013)),IF(N(Q1013)&gt;0,Q1013,MAX(1,H1013)))))</f>
        <v>24</v>
      </c>
      <c r="CA1013" s="65" t="n">
        <f aca="false">IF(BY1013="LOSE",1,0)</f>
        <v>0</v>
      </c>
      <c r="CB1013" s="65" t="n">
        <f aca="false">IF(AND(U1013="",OR(P1013="",P1013="LOSE"),T1013&lt;&gt;"",N(S1013)&lt;=0,ISNUMBER(MATCH(T1013,Parameter!$I$27:$I$29,0))),1,0)</f>
        <v>0</v>
      </c>
      <c r="CC1013" s="65" t="n">
        <f aca="false">IF(CR1013&gt;0,INDEX(Parameter!$H$5:$H$7,W1013)/INDEX(Parameter!$E$5:$E$7,W1013),IF(AND(CA1013=0,N(IFERROR(VLOOKUP(BY1013,'Gebinde-Kategorie'!$A$5:$N$45,14,0),0))&gt;0),VLOOKUP(BY1013,'Gebinde-Kategorie'!$A$5:$N$45,14,0)*10+Parameter!$M$23,Parameter!$M$24))</f>
        <v>235</v>
      </c>
      <c r="CD1013" s="60" t="str">
        <f aca="false">IF(AND(Parameter!$B$19="Ja",E1013&lt;&gt;"",ISNUMBER(MATCH(E1013,Parameter!$I$35:$I$52,0))),VLOOKUP(E1013,Parameter!$I$35:$J$52,2,0),IFERROR(VLOOKUP(D1013,Parameter!$A$35:$C$64,2,0),"Nein"))</f>
        <v>2+3</v>
      </c>
      <c r="CE1013" s="64" t="n">
        <f aca="false">IF(CA1013=0,0,IF(N(S1013)&gt;0,S1013,IFERROR(VLOOKUP(D1013,Parameter!$A$35:$C$64,3,0)+0,0)))</f>
        <v>0</v>
      </c>
      <c r="CF1013" s="60" t="n">
        <f aca="false">IF(AB1013&lt;&gt;"",AB1013,AA1013)</f>
        <v>2</v>
      </c>
      <c r="CG1013" s="60" t="str">
        <f aca="false">IF(OR(CF1013=1,CF1013=2,CF1013=3),IF(Parameter!$E$27="Ja","LIFT",IF(CF1013=1,"L1","L23")),IF(CF1013="Aussen","Aussen","-"))</f>
        <v>LIFT</v>
      </c>
      <c r="CH1013" s="71" t="n">
        <f aca="false">IF(N(AC1013)&gt;0,AC1013,0)</f>
        <v>0</v>
      </c>
      <c r="CI1013" s="65" t="n">
        <f aca="false">IF(ISNUMBER(AF1013),1,0)</f>
        <v>0</v>
      </c>
      <c r="CJ1013" s="62" t="n">
        <f aca="false">N(AF1013)</f>
        <v>0</v>
      </c>
      <c r="CK1013" s="62" t="n">
        <f aca="false">N(M1013)+N(N1013)</f>
        <v>22</v>
      </c>
      <c r="CL1013" s="62" t="n">
        <f aca="false">N(M1013)</f>
        <v>2</v>
      </c>
      <c r="CM1013" s="62" t="n">
        <f aca="false">N(N1013)</f>
        <v>20</v>
      </c>
      <c r="CN1013" s="62" t="n">
        <f aca="false">ROUNDUP(H1013/BZ1013,0)</f>
        <v>1</v>
      </c>
      <c r="CO1013" s="62" t="n">
        <f aca="false">ROUNDUP(CJ1013/BZ1013,0)</f>
        <v>0</v>
      </c>
      <c r="CP1013" s="65" t="n">
        <f aca="false">IF(CA1013=1,0,IFERROR(VLOOKUP(BY1013,'Gebinde-Kategorie'!$A$5:$N$45,5,0)+0,0))</f>
        <v>20</v>
      </c>
      <c r="CQ1013" s="65" t="n">
        <f aca="false">IFERROR(IF(OR(CF1013=1,CF1013=2,CF1013=3),N(INDEX(Parameter!$I$5:$I$7,CF1013)),0),0)</f>
        <v>0</v>
      </c>
      <c r="CR1013" s="64" t="n">
        <f aca="false">IF(AND(Parameter!$B$21="Ja",ISNUMBER(W1013),N(X1013)&gt;0),IFERROR(N(INDEX(Parameter!$L$5:$L$7,W1013))*INDEX(Parameter!$E$5:$E$7,W1013)*X1013/SUMIFS($X$7:$X$1843,$W$7:$W$1843,W1013),0),0)</f>
        <v>0</v>
      </c>
      <c r="CS1013" s="62" t="n">
        <f aca="false">IF(AND(OR(CG1013="L1",CG1013="L23",CG1013="LIFT"),H1013&gt;0),CC1013*IF(CR1013&gt;0,CR1013*MAX(1,H1013/X1013),IF(CA1013=1,CE1013,IF(R1013&gt;0,CN1013/R1013,0))/MAX(0.1,N(Parameter!$M$21))),"")</f>
        <v>39.1666666666667</v>
      </c>
      <c r="CT1013" s="64" t="n">
        <f aca="false">IF(CS1013="","",J1013/H1013)</f>
        <v>2</v>
      </c>
      <c r="CU1013" s="62" t="n">
        <f aca="false">IF(CS1013="","",H1013*G1013)</f>
        <v>87.3</v>
      </c>
      <c r="CV1013" s="63" t="n">
        <f aca="false">IF(CS1013="","",(CL1013+ROUNDUP(CL1013+MAX(CM1013,2*(J1013/MAX(0.1,N(Einkauf!$C$6))-CL1013)),0))/2)</f>
        <v>12</v>
      </c>
      <c r="CW1013" s="62" t="n">
        <f aca="false">IF(CS1013="","",MAX(0,H1013-CV1013)*G1013)</f>
        <v>0</v>
      </c>
      <c r="CX1013" s="62" t="n">
        <f aca="false">IF(CS1013="","",CS1013*MAX(0,1-CV1013/H1013))</f>
        <v>0</v>
      </c>
      <c r="CY1013" s="64" t="n">
        <f aca="false">IF(CS1013="","",PERCENTRANK($CS$7:$CS$1843,CS1013)+PERCENTRANK($CU$7:$CU$1843,CU1013)+1-PERCENTRANK($CT$7:$CT$1843,CT1013))</f>
        <v>1.264</v>
      </c>
      <c r="CZ1013" s="72" t="n">
        <f aca="false">IF(CS1013="","",CHOOSE(MATCH(Einkauf!$C$5,Parameter!$G$23:$G$27,0),CY1013,CS1013,CU1013,-CT1013,CW1013)+ROW()/1000000000)</f>
        <v>1.264001013</v>
      </c>
    </row>
    <row r="1014" customFormat="false" ht="15" hidden="false" customHeight="false" outlineLevel="0" collapsed="false">
      <c r="A1014" s="60" t="s">
        <v>1909</v>
      </c>
      <c r="B1014" s="60" t="s">
        <v>1910</v>
      </c>
      <c r="C1014" s="60" t="s">
        <v>206</v>
      </c>
      <c r="D1014" s="60" t="s">
        <v>226</v>
      </c>
      <c r="E1014" s="60" t="s">
        <v>227</v>
      </c>
      <c r="F1014" s="60" t="s">
        <v>260</v>
      </c>
      <c r="G1014" s="61" t="n">
        <v>112.6</v>
      </c>
      <c r="H1014" s="62" t="n">
        <f aca="false">MAX(0,IF(AND(Parameter!$B$21="Ja",ISNUMBER(Y1014)),Y1014,IF(Parameter!$B$20="Jahresanfang 2025 + Export",BS1014+BR1014,BR1014)))</f>
        <v>7</v>
      </c>
      <c r="I1014" s="62" t="n">
        <f aca="false">H1014*G1014</f>
        <v>788.2</v>
      </c>
      <c r="J1014" s="62" t="n">
        <f aca="false">BU1014*Parameter!$B$18</f>
        <v>0</v>
      </c>
      <c r="K1014" s="63" t="n">
        <v>8</v>
      </c>
      <c r="L1014" s="64" t="n">
        <v>0</v>
      </c>
      <c r="M1014" s="62" t="n">
        <v>0</v>
      </c>
      <c r="N1014" s="62" t="n">
        <v>1</v>
      </c>
      <c r="O1014" s="65" t="n">
        <v>56</v>
      </c>
      <c r="P1014" s="60" t="s">
        <v>370</v>
      </c>
      <c r="Q1014" s="62" t="n">
        <v>8</v>
      </c>
      <c r="R1014" s="65" t="n">
        <f aca="false">IF(CA1014=1,0,IFERROR(VLOOKUP(BY1014,'Gebinde-Kategorie'!$A$5:$N$45,13,0)+0,0))</f>
        <v>52</v>
      </c>
      <c r="S1014" s="66"/>
      <c r="T1014" s="67"/>
      <c r="U1014" s="67"/>
      <c r="V1014" s="67"/>
      <c r="W1014" s="60"/>
      <c r="X1014" s="62"/>
      <c r="Y1014" s="62"/>
      <c r="Z1014" s="60" t="n">
        <v>3</v>
      </c>
      <c r="AA1014" s="60" t="n">
        <f aca="false">IF(A1014="","",IF(AND(Parameter!$B$21="Ja",ISNUMBER(W1014)),W1014,IF(AND(Parameter!$E$27="Ja",ISNUMBER(Z1014),CD1014&lt;&gt;"Nein"),Z1014,IF(CD1014="2+3",IF(ISNUMBER(SEARCH("grosser Artikel",BV1014)),2,IFERROR(VLOOKUP(BY1014,Parameter!$F$35:$G$64,2,0),2)),IF(OR(CD1014="Nein",CD1014=""),"-",CD1014)))))</f>
        <v>3</v>
      </c>
      <c r="AB1014" s="67"/>
      <c r="AC1014" s="68"/>
      <c r="AD1014" s="62" t="n">
        <f aca="false">AW1014</f>
        <v>1</v>
      </c>
      <c r="AE1014" s="62" t="n">
        <f aca="false">MAX(AW1014,H1014)</f>
        <v>7</v>
      </c>
      <c r="AF1014" s="69"/>
      <c r="AG1014" s="62" t="n">
        <f aca="false">IF(LEFT(Cockpit!$C$5,1)="A",H1014,IF(Parameter!$E$30="MAX-Bestand",IF(CI1014=1,CJ1014,IF(LEFT(Cockpit!$C$5,1)="B",AM1014,MAX(AM1014,H1014))),ROUNDUP(AK1014,0)))</f>
        <v>7</v>
      </c>
      <c r="AH1014" s="62" t="n">
        <f aca="false">IF(CA1014=1,0,ROUNDUP(AG1014/BZ1014,0))</f>
        <v>1</v>
      </c>
      <c r="AI1014" s="64" t="n">
        <f aca="false">IF(CR1014&gt;0,CR1014*MAX(1,AG1014/X1014),IF(CA1014=1,IF(AG1014&lt;=0,0,CE1014*MAX(1,IF(H1014&gt;0,AG1014/H1014,1))),IF(R1014&gt;0,AH1014/R1014,0))/MAX(0.1,N(Parameter!$M$21)))</f>
        <v>0.0192307692307692</v>
      </c>
      <c r="AJ1014" s="62" t="n">
        <f aca="false">AI1014*CC1014</f>
        <v>2.98076923076923</v>
      </c>
      <c r="AK1014" s="63" t="n">
        <f aca="false">IF(LEFT(Cockpit!$C$5,1)="A",H1014,IF(CI1014=1,(CL1014+CJ1014)/2,IF(LEFT(Cockpit!$C$5,1)="B",(CL1014+AM1014)/2,MAX((CL1014+AM1014)/2,H1014))))</f>
        <v>7</v>
      </c>
      <c r="AL1014" s="62" t="n">
        <f aca="false">AK1014*G1014</f>
        <v>788.2</v>
      </c>
      <c r="AM1014" s="62" t="n">
        <f aca="false">ROUNDUP(CL1014+MAX(CM1014,2*(J1014/IF(CH1014&gt;0,CH1014,MAX(0.1,N(Cockpit!$C$6)))-CL1014)),0)</f>
        <v>1</v>
      </c>
      <c r="AN1014" s="63" t="n">
        <f aca="false">IF(AJ1014&gt;0,J1014/AJ1014,-1)</f>
        <v>0</v>
      </c>
      <c r="AO1014" s="63" t="n">
        <f aca="false">IF(AND(OR(CG1014="L1",CG1014="L23",CG1014="LIFT"),AJ1014&gt;0),SUMIFS($AJ$7:$AJ$1843,$CG$7:$CG$1843,CG1014,$AN$7:$AN$1843,"&gt;"&amp;AN1014)+SUMIFS($AJ$7:$AJ$1843,$CG$7:$CG$1843,CG1014,$AN$7:$AN$1843,AN1014,$BX$7:$BX$1843,"&lt;="&amp;BX1014),"")</f>
        <v>28994.5569447031</v>
      </c>
      <c r="AP1014" s="70" t="n">
        <f aca="false">IF(AO1014="",0,MAX(0,MIN(1,(IF(CG1014="L1",Parameter!$H$5,IF(CG1014="L23",Parameter!$H$6+Parameter!$H$7,Parameter!$H$5+Parameter!$H$6+Parameter!$H$7))-(AO1014-AJ1014))/AJ1014)))</f>
        <v>1</v>
      </c>
      <c r="AQ1014" s="62" t="n">
        <f aca="false">IF(LEFT(Cockpit!$I$5,1)="A",H1014,IF(Parameter!$E$30="MAX-Bestand",IF(CI1014=1,CJ1014,IF(LEFT(Cockpit!$I$5,1)="B",AW1014,MAX(AW1014,H1014))),ROUNDUP(AU1014,0)))</f>
        <v>7</v>
      </c>
      <c r="AR1014" s="62" t="n">
        <f aca="false">IF(CA1014=1,0,ROUNDUP(AQ1014/BZ1014,0))</f>
        <v>1</v>
      </c>
      <c r="AS1014" s="64" t="n">
        <f aca="false">IF(CR1014&gt;0,CR1014*MAX(1,AQ1014/X1014),IF(CA1014=1,IF(AQ1014&lt;=0,0,CE1014*MAX(1,IF(H1014&gt;0,AQ1014/H1014,1))),IF(R1014&gt;0,AR1014/R1014,0))/MAX(0.1,N(Parameter!$M$21)))</f>
        <v>0.0192307692307692</v>
      </c>
      <c r="AT1014" s="62" t="n">
        <f aca="false">AS1014*CC1014</f>
        <v>2.98076923076923</v>
      </c>
      <c r="AU1014" s="63" t="n">
        <f aca="false">IF(LEFT(Cockpit!$I$5,1)="A",H1014,IF(CI1014=1,(CL1014+CJ1014)/2,IF(LEFT(Cockpit!$I$5,1)="B",(CL1014+AW1014)/2,MAX((CL1014+AW1014)/2,H1014))))</f>
        <v>7</v>
      </c>
      <c r="AV1014" s="62" t="n">
        <f aca="false">AU1014*G1014</f>
        <v>788.2</v>
      </c>
      <c r="AW1014" s="62" t="n">
        <f aca="false">ROUNDUP(CL1014+MAX(CM1014,2*(J1014/IF(CH1014&gt;0,CH1014,MAX(0.1,N(Cockpit!$I$6)))-CL1014)),0)</f>
        <v>1</v>
      </c>
      <c r="AX1014" s="63" t="n">
        <f aca="false">IF(AT1014&gt;0,J1014/AT1014,-1)</f>
        <v>0</v>
      </c>
      <c r="AY1014" s="63" t="n">
        <f aca="false">IF(AND(OR(CG1014="L1",CG1014="L23",CG1014="LIFT"),AT1014&gt;0),SUMIFS($AT$7:$AT$1843,$CG$7:$CG$1843,CG1014,$AX$7:$AX$1843,"&gt;"&amp;AX1014)+SUMIFS($AT$7:$AT$1843,$CG$7:$CG$1843,CG1014,$AX$7:$AX$1843,AX1014,$BX$7:$BX$1843,"&lt;="&amp;BX1014),"")</f>
        <v>34695.4386446886</v>
      </c>
      <c r="AZ1014" s="70" t="n">
        <f aca="false">IF(AY1014="",0,MAX(0,MIN(1,(IF(CG1014="L1",Parameter!$H$5,IF(CG1014="L23",Parameter!$H$6+Parameter!$H$7,Parameter!$H$5+Parameter!$H$6+Parameter!$H$7))-(AY1014-AT1014))/AT1014)))</f>
        <v>1</v>
      </c>
      <c r="BA1014" s="62" t="n">
        <f aca="false">IF(LEFT(Cockpit!$O$5,1)="A",H1014,IF(Parameter!$E$30="MAX-Bestand",IF(CI1014=1,CJ1014,IF(LEFT(Cockpit!$O$5,1)="B",BG1014,MAX(BG1014,H1014))),ROUNDUP(BE1014,0)))</f>
        <v>1</v>
      </c>
      <c r="BB1014" s="62" t="n">
        <f aca="false">IF(CA1014=1,0,ROUNDUP(BA1014/BZ1014,0))</f>
        <v>1</v>
      </c>
      <c r="BC1014" s="64" t="n">
        <f aca="false">IF(CR1014&gt;0,CR1014*MAX(1,BA1014/X1014),IF(CA1014=1,IF(BA1014&lt;=0,0,CE1014*MAX(1,IF(H1014&gt;0,BA1014/H1014,1))),IF(R1014&gt;0,BB1014/R1014,0))/MAX(0.1,N(Parameter!$M$21)))</f>
        <v>0.0192307692307692</v>
      </c>
      <c r="BD1014" s="62" t="n">
        <f aca="false">BC1014*CC1014</f>
        <v>2.98076923076923</v>
      </c>
      <c r="BE1014" s="63" t="n">
        <f aca="false">IF(LEFT(Cockpit!$O$5,1)="A",H1014,IF(CI1014=1,(CL1014+CJ1014)/2,IF(LEFT(Cockpit!$O$5,1)="B",(CL1014+BG1014)/2,MAX((CL1014+BG1014)/2,H1014))))</f>
        <v>0.5</v>
      </c>
      <c r="BF1014" s="62" t="n">
        <f aca="false">BE1014*G1014</f>
        <v>56.3</v>
      </c>
      <c r="BG1014" s="62" t="n">
        <f aca="false">ROUNDUP(CL1014+MAX(CM1014,2*(J1014/IF(CH1014&gt;0,CH1014,MAX(0.1,N(Cockpit!$O$6)))-CL1014)),0)</f>
        <v>1</v>
      </c>
      <c r="BH1014" s="63" t="n">
        <f aca="false">IF(BD1014&gt;0,J1014/BD1014,-1)</f>
        <v>0</v>
      </c>
      <c r="BI1014" s="63" t="n">
        <f aca="false">IF(AND(OR(CG1014="L1",CG1014="L23",CG1014="LIFT"),BD1014&gt;0),SUMIFS($BD$7:$BD$1843,$CG$7:$CG$1843,CG1014,$BH$7:$BH$1843,"&gt;"&amp;BH1014)+SUMIFS($BD$7:$BD$1843,$CG$7:$CG$1843,CG1014,$BH$7:$BH$1843,BH1014,$BX$7:$BX$1843,"&lt;="&amp;BX1014),"")</f>
        <v>28710.5529971441</v>
      </c>
      <c r="BJ1014" s="70" t="n">
        <f aca="false">IF(BI1014="",0,MAX(0,MIN(1,(IF(CG1014="L1",Parameter!$H$5,IF(CG1014="L23",Parameter!$H$6+Parameter!$H$7,Parameter!$H$5+Parameter!$H$6+Parameter!$H$7))-(BI1014-BD1014))/BD1014)))</f>
        <v>1</v>
      </c>
      <c r="BK1014" s="60" t="str">
        <f aca="false">IF(AJ1014&lt;=0,"",IF(CG1014="Aussen","Aussenlager",IF(CG1014="-","Nicht im Lift",IF(AP1014&gt;=1,"Lift",IF(AP1014&lt;=0,"Aussenlager","teilweise")))))</f>
        <v>Lift</v>
      </c>
      <c r="BL1014" s="60" t="str">
        <f aca="false">IF(AT1014&lt;=0,"",IF(CG1014="Aussen","Aussenlager",IF(CG1014="-","Nicht im Lift",IF(AZ1014&gt;=1,"Lift",IF(AZ1014&lt;=0,"Aussenlager","teilweise")))))</f>
        <v>Lift</v>
      </c>
      <c r="BM1014" s="60" t="str">
        <f aca="false">IF(BD1014&lt;=0,"",IF(CG1014="Aussen","Aussenlager",IF(CG1014="-","Nicht im Lift",IF(BJ1014&gt;=1,"Lift",IF(BJ1014&lt;=0,"Aussenlager","teilweise")))))</f>
        <v>Lift</v>
      </c>
      <c r="BN1014" s="60" t="str">
        <f aca="false">IF(A1014="","",IF(BW1014=1,"Neu; ","")&amp;IF(AND(BW1014=0,BR1014&lt;0),"negativer Bestand (Export "&amp;BR1014&amp;"); ","")&amp;IF(J1014&lt;=0,"Kein Verbrauch; ","")&amp;IF(CR1014&gt;0,"Lift "&amp;W1014&amp;" lt. Liftbericht (Fach "&amp;X1014&amp;" Stk); ",IF(CB1014=1,"Gebinde geschätzt ("&amp;T1014&amp;"); ",IF(CA1014=1,"Lose – Tablare geschätzt; ","")))&amp;IF(H1014&gt;AW1014,"Überbestand "&amp;ROUND(H1014-AW1014,0)&amp;" Stk / CHF "&amp;ROUND((H1014-AW1014)*G1014,0)&amp;"; ","")&amp;IF(AND(CI1014=1,CJ1014&lt;CK1014),"MAX &lt; MB+LG; ","")&amp;IF(AND(CQ1014&gt;0,CP1014*10&gt;CQ1014),"zu hoch für Tablar; ","")&amp;IF(AND(BW1014=0,OR(CI1014=1,AB1014&lt;&gt;"",U1014&lt;&gt;"",V1014&lt;&gt;"",AC1014&lt;&gt;"")),"manuell übersteuert; ","")&amp;IF(AND(CA1014=0,R1014=0),"Gebinde unbekannt / Stellmass fehlt; ","")&amp;IF(AND(CA1014=0,N(V1014)&lt;=0,N(Q1014)&lt;=0),"Menge pro Gebinde fehlt (Ist = 1 Gebinde); ","")&amp;BV1014)</f>
        <v>negativer Bestand (Export -1); Kein Verbrauch; Überbestand 6 Stk / CHF 676; Überbestand</v>
      </c>
      <c r="BO1014" s="60"/>
      <c r="BP1014" s="60"/>
      <c r="BQ1014" s="67"/>
      <c r="BR1014" s="62" t="n">
        <v>-1</v>
      </c>
      <c r="BS1014" s="62" t="n">
        <v>8</v>
      </c>
      <c r="BT1014" s="61" t="n">
        <v>-112.6</v>
      </c>
      <c r="BU1014" s="62" t="n">
        <v>0</v>
      </c>
      <c r="BV1014" s="60" t="s">
        <v>434</v>
      </c>
      <c r="BW1014" s="65" t="n">
        <v>0</v>
      </c>
      <c r="BX1014" s="65" t="n">
        <v>1014</v>
      </c>
      <c r="BY1014" s="60" t="str">
        <f aca="false">IF(U1014&lt;&gt;"",UPPER(TRIM(U1014)),IF(CB1014=1,UPPER(VLOOKUP(T1014,Parameter!$I$27:$K$29,2,0)),IF(P1014="","LOSE",P1014)))</f>
        <v>S41</v>
      </c>
      <c r="BZ1014" s="62" t="n">
        <f aca="false">IF(BY1014="LOSE",1,IF(N(V1014)&gt;0,V1014,IF(CB1014=1,MAX(1,N(VLOOKUP(T1014,Parameter!$I$27:$K$29,3,0)),H1014,N(N1014)),IF(N(Q1014)&gt;0,Q1014,MAX(1,H1014)))))</f>
        <v>8</v>
      </c>
      <c r="CA1014" s="65" t="n">
        <f aca="false">IF(BY1014="LOSE",1,0)</f>
        <v>0</v>
      </c>
      <c r="CB1014" s="65" t="n">
        <f aca="false">IF(AND(U1014="",OR(P1014="",P1014="LOSE"),T1014&lt;&gt;"",N(S1014)&lt;=0,ISNUMBER(MATCH(T1014,Parameter!$I$27:$I$29,0))),1,0)</f>
        <v>0</v>
      </c>
      <c r="CC1014" s="65" t="n">
        <f aca="false">IF(CR1014&gt;0,INDEX(Parameter!$H$5:$H$7,W1014)/INDEX(Parameter!$E$5:$E$7,W1014),IF(AND(CA1014=0,N(IFERROR(VLOOKUP(BY1014,'Gebinde-Kategorie'!$A$5:$N$45,14,0),0))&gt;0),VLOOKUP(BY1014,'Gebinde-Kategorie'!$A$5:$N$45,14,0)*10+Parameter!$M$23,Parameter!$M$24))</f>
        <v>155</v>
      </c>
      <c r="CD1014" s="60" t="str">
        <f aca="false">IF(AND(Parameter!$B$19="Ja",E1014&lt;&gt;"",ISNUMBER(MATCH(E1014,Parameter!$I$35:$I$52,0))),VLOOKUP(E1014,Parameter!$I$35:$J$52,2,0),IFERROR(VLOOKUP(D1014,Parameter!$A$35:$C$64,2,0),"Nein"))</f>
        <v>2+3</v>
      </c>
      <c r="CE1014" s="64" t="n">
        <f aca="false">IF(CA1014=0,0,IF(N(S1014)&gt;0,S1014,IFERROR(VLOOKUP(D1014,Parameter!$A$35:$C$64,3,0)+0,0)))</f>
        <v>0</v>
      </c>
      <c r="CF1014" s="60" t="n">
        <f aca="false">IF(AB1014&lt;&gt;"",AB1014,AA1014)</f>
        <v>3</v>
      </c>
      <c r="CG1014" s="60" t="str">
        <f aca="false">IF(OR(CF1014=1,CF1014=2,CF1014=3),IF(Parameter!$E$27="Ja","LIFT",IF(CF1014=1,"L1","L23")),IF(CF1014="Aussen","Aussen","-"))</f>
        <v>LIFT</v>
      </c>
      <c r="CH1014" s="71" t="n">
        <f aca="false">IF(N(AC1014)&gt;0,AC1014,0)</f>
        <v>0</v>
      </c>
      <c r="CI1014" s="65" t="n">
        <f aca="false">IF(ISNUMBER(AF1014),1,0)</f>
        <v>0</v>
      </c>
      <c r="CJ1014" s="62" t="n">
        <f aca="false">N(AF1014)</f>
        <v>0</v>
      </c>
      <c r="CK1014" s="62" t="n">
        <f aca="false">N(M1014)+N(N1014)</f>
        <v>1</v>
      </c>
      <c r="CL1014" s="62" t="n">
        <f aca="false">N(M1014)</f>
        <v>0</v>
      </c>
      <c r="CM1014" s="62" t="n">
        <f aca="false">N(N1014)</f>
        <v>1</v>
      </c>
      <c r="CN1014" s="62" t="n">
        <f aca="false">ROUNDUP(H1014/BZ1014,0)</f>
        <v>1</v>
      </c>
      <c r="CO1014" s="62" t="n">
        <f aca="false">ROUNDUP(CJ1014/BZ1014,0)</f>
        <v>0</v>
      </c>
      <c r="CP1014" s="65" t="n">
        <f aca="false">IF(CA1014=1,0,IFERROR(VLOOKUP(BY1014,'Gebinde-Kategorie'!$A$5:$N$45,5,0)+0,0))</f>
        <v>11</v>
      </c>
      <c r="CQ1014" s="65" t="n">
        <f aca="false">IFERROR(IF(OR(CF1014=1,CF1014=2,CF1014=3),N(INDEX(Parameter!$I$5:$I$7,CF1014)),0),0)</f>
        <v>0</v>
      </c>
      <c r="CR1014" s="64" t="n">
        <f aca="false">IF(AND(Parameter!$B$21="Ja",ISNUMBER(W1014),N(X1014)&gt;0),IFERROR(N(INDEX(Parameter!$L$5:$L$7,W1014))*INDEX(Parameter!$E$5:$E$7,W1014)*X1014/SUMIFS($X$7:$X$1843,$W$7:$W$1843,W1014),0),0)</f>
        <v>0</v>
      </c>
      <c r="CS1014" s="62" t="n">
        <f aca="false">IF(AND(OR(CG1014="L1",CG1014="L23",CG1014="LIFT"),H1014&gt;0),CC1014*IF(CR1014&gt;0,CR1014*MAX(1,H1014/X1014),IF(CA1014=1,CE1014,IF(R1014&gt;0,CN1014/R1014,0))/MAX(0.1,N(Parameter!$M$21))),"")</f>
        <v>2.98076923076923</v>
      </c>
      <c r="CT1014" s="64" t="n">
        <f aca="false">IF(CS1014="","",J1014/H1014)</f>
        <v>0</v>
      </c>
      <c r="CU1014" s="62" t="n">
        <f aca="false">IF(CS1014="","",H1014*G1014)</f>
        <v>788.2</v>
      </c>
      <c r="CV1014" s="63" t="n">
        <f aca="false">IF(CS1014="","",(CL1014+ROUNDUP(CL1014+MAX(CM1014,2*(J1014/MAX(0.1,N(Einkauf!$C$6))-CL1014)),0))/2)</f>
        <v>0.5</v>
      </c>
      <c r="CW1014" s="62" t="n">
        <f aca="false">IF(CS1014="","",MAX(0,H1014-CV1014)*G1014)</f>
        <v>731.9</v>
      </c>
      <c r="CX1014" s="62" t="n">
        <f aca="false">IF(CS1014="","",CS1014*MAX(0,1-CV1014/H1014))</f>
        <v>2.76785714285714</v>
      </c>
      <c r="CY1014" s="64" t="n">
        <f aca="false">IF(CS1014="","",PERCENTRANK($CS$7:$CS$1843,CS1014)+PERCENTRANK($CU$7:$CU$1843,CU1014)+1-PERCENTRANK($CT$7:$CT$1843,CT1014))</f>
        <v>1.814</v>
      </c>
      <c r="CZ1014" s="72" t="n">
        <f aca="false">IF(CS1014="","",CHOOSE(MATCH(Einkauf!$C$5,Parameter!$G$23:$G$27,0),CY1014,CS1014,CU1014,-CT1014,CW1014)+ROW()/1000000000)</f>
        <v>1.814001014</v>
      </c>
    </row>
    <row r="1015" customFormat="false" ht="15" hidden="false" customHeight="false" outlineLevel="0" collapsed="false">
      <c r="A1015" s="60" t="s">
        <v>1911</v>
      </c>
      <c r="B1015" s="60" t="s">
        <v>1025</v>
      </c>
      <c r="C1015" s="60" t="s">
        <v>206</v>
      </c>
      <c r="D1015" s="60" t="s">
        <v>226</v>
      </c>
      <c r="E1015" s="60"/>
      <c r="F1015" s="60" t="s">
        <v>260</v>
      </c>
      <c r="G1015" s="61" t="n">
        <v>37.57</v>
      </c>
      <c r="H1015" s="62" t="n">
        <f aca="false">MAX(0,IF(AND(Parameter!$B$21="Ja",ISNUMBER(Y1015)),Y1015,IF(Parameter!$B$20="Jahresanfang 2025 + Export",BS1015+BR1015,BR1015)))</f>
        <v>9</v>
      </c>
      <c r="I1015" s="62" t="n">
        <f aca="false">H1015*G1015</f>
        <v>338.13</v>
      </c>
      <c r="J1015" s="62" t="n">
        <f aca="false">BU1015*Parameter!$B$18</f>
        <v>0</v>
      </c>
      <c r="K1015" s="63" t="n">
        <v>10.5</v>
      </c>
      <c r="L1015" s="64" t="n">
        <v>0</v>
      </c>
      <c r="M1015" s="62" t="n">
        <v>0</v>
      </c>
      <c r="N1015" s="62" t="n">
        <v>1</v>
      </c>
      <c r="O1015" s="65" t="n">
        <v>14</v>
      </c>
      <c r="P1015" s="60" t="s">
        <v>228</v>
      </c>
      <c r="Q1015" s="62" t="n">
        <v>10</v>
      </c>
      <c r="R1015" s="65" t="n">
        <f aca="false">IF(CA1015=1,0,IFERROR(VLOOKUP(BY1015,'Gebinde-Kategorie'!$A$5:$N$45,13,0)+0,0))</f>
        <v>12</v>
      </c>
      <c r="S1015" s="66"/>
      <c r="T1015" s="67"/>
      <c r="U1015" s="67"/>
      <c r="V1015" s="67"/>
      <c r="W1015" s="60"/>
      <c r="X1015" s="62"/>
      <c r="Y1015" s="62"/>
      <c r="Z1015" s="60" t="n">
        <v>3</v>
      </c>
      <c r="AA1015" s="60" t="n">
        <f aca="false">IF(A1015="","",IF(AND(Parameter!$B$21="Ja",ISNUMBER(W1015)),W1015,IF(AND(Parameter!$E$27="Ja",ISNUMBER(Z1015),CD1015&lt;&gt;"Nein"),Z1015,IF(CD1015="2+3",IF(ISNUMBER(SEARCH("grosser Artikel",BV1015)),2,IFERROR(VLOOKUP(BY1015,Parameter!$F$35:$G$64,2,0),2)),IF(OR(CD1015="Nein",CD1015=""),"-",CD1015)))))</f>
        <v>3</v>
      </c>
      <c r="AB1015" s="67"/>
      <c r="AC1015" s="68"/>
      <c r="AD1015" s="62" t="n">
        <f aca="false">AW1015</f>
        <v>1</v>
      </c>
      <c r="AE1015" s="62" t="n">
        <f aca="false">MAX(AW1015,H1015)</f>
        <v>9</v>
      </c>
      <c r="AF1015" s="69"/>
      <c r="AG1015" s="62" t="n">
        <f aca="false">IF(LEFT(Cockpit!$C$5,1)="A",H1015,IF(Parameter!$E$30="MAX-Bestand",IF(CI1015=1,CJ1015,IF(LEFT(Cockpit!$C$5,1)="B",AM1015,MAX(AM1015,H1015))),ROUNDUP(AK1015,0)))</f>
        <v>9</v>
      </c>
      <c r="AH1015" s="62" t="n">
        <f aca="false">IF(CA1015=1,0,ROUNDUP(AG1015/BZ1015,0))</f>
        <v>1</v>
      </c>
      <c r="AI1015" s="64" t="n">
        <f aca="false">IF(CR1015&gt;0,CR1015*MAX(1,AG1015/X1015),IF(CA1015=1,IF(AG1015&lt;=0,0,CE1015*MAX(1,IF(H1015&gt;0,AG1015/H1015,1))),IF(R1015&gt;0,AH1015/R1015,0))/MAX(0.1,N(Parameter!$M$21)))</f>
        <v>0.0833333333333333</v>
      </c>
      <c r="AJ1015" s="62" t="n">
        <f aca="false">AI1015*CC1015</f>
        <v>12.0833333333333</v>
      </c>
      <c r="AK1015" s="63" t="n">
        <f aca="false">IF(LEFT(Cockpit!$C$5,1)="A",H1015,IF(CI1015=1,(CL1015+CJ1015)/2,IF(LEFT(Cockpit!$C$5,1)="B",(CL1015+AM1015)/2,MAX((CL1015+AM1015)/2,H1015))))</f>
        <v>9</v>
      </c>
      <c r="AL1015" s="62" t="n">
        <f aca="false">AK1015*G1015</f>
        <v>338.13</v>
      </c>
      <c r="AM1015" s="62" t="n">
        <f aca="false">ROUNDUP(CL1015+MAX(CM1015,2*(J1015/IF(CH1015&gt;0,CH1015,MAX(0.1,N(Cockpit!$C$6)))-CL1015)),0)</f>
        <v>1</v>
      </c>
      <c r="AN1015" s="63" t="n">
        <f aca="false">IF(AJ1015&gt;0,J1015/AJ1015,-1)</f>
        <v>0</v>
      </c>
      <c r="AO1015" s="63" t="n">
        <f aca="false">IF(AND(OR(CG1015="L1",CG1015="L23",CG1015="LIFT"),AJ1015&gt;0),SUMIFS($AJ$7:$AJ$1843,$CG$7:$CG$1843,CG1015,$AN$7:$AN$1843,"&gt;"&amp;AN1015)+SUMIFS($AJ$7:$AJ$1843,$CG$7:$CG$1843,CG1015,$AN$7:$AN$1843,AN1015,$BX$7:$BX$1843,"&lt;="&amp;BX1015),"")</f>
        <v>29006.6402780365</v>
      </c>
      <c r="AP1015" s="70" t="n">
        <f aca="false">IF(AO1015="",0,MAX(0,MIN(1,(IF(CG1015="L1",Parameter!$H$5,IF(CG1015="L23",Parameter!$H$6+Parameter!$H$7,Parameter!$H$5+Parameter!$H$6+Parameter!$H$7))-(AO1015-AJ1015))/AJ1015)))</f>
        <v>1</v>
      </c>
      <c r="AQ1015" s="62" t="n">
        <f aca="false">IF(LEFT(Cockpit!$I$5,1)="A",H1015,IF(Parameter!$E$30="MAX-Bestand",IF(CI1015=1,CJ1015,IF(LEFT(Cockpit!$I$5,1)="B",AW1015,MAX(AW1015,H1015))),ROUNDUP(AU1015,0)))</f>
        <v>9</v>
      </c>
      <c r="AR1015" s="62" t="n">
        <f aca="false">IF(CA1015=1,0,ROUNDUP(AQ1015/BZ1015,0))</f>
        <v>1</v>
      </c>
      <c r="AS1015" s="64" t="n">
        <f aca="false">IF(CR1015&gt;0,CR1015*MAX(1,AQ1015/X1015),IF(CA1015=1,IF(AQ1015&lt;=0,0,CE1015*MAX(1,IF(H1015&gt;0,AQ1015/H1015,1))),IF(R1015&gt;0,AR1015/R1015,0))/MAX(0.1,N(Parameter!$M$21)))</f>
        <v>0.0833333333333333</v>
      </c>
      <c r="AT1015" s="62" t="n">
        <f aca="false">AS1015*CC1015</f>
        <v>12.0833333333333</v>
      </c>
      <c r="AU1015" s="63" t="n">
        <f aca="false">IF(LEFT(Cockpit!$I$5,1)="A",H1015,IF(CI1015=1,(CL1015+CJ1015)/2,IF(LEFT(Cockpit!$I$5,1)="B",(CL1015+AW1015)/2,MAX((CL1015+AW1015)/2,H1015))))</f>
        <v>9</v>
      </c>
      <c r="AV1015" s="62" t="n">
        <f aca="false">AU1015*G1015</f>
        <v>338.13</v>
      </c>
      <c r="AW1015" s="62" t="n">
        <f aca="false">ROUNDUP(CL1015+MAX(CM1015,2*(J1015/IF(CH1015&gt;0,CH1015,MAX(0.1,N(Cockpit!$I$6)))-CL1015)),0)</f>
        <v>1</v>
      </c>
      <c r="AX1015" s="63" t="n">
        <f aca="false">IF(AT1015&gt;0,J1015/AT1015,-1)</f>
        <v>0</v>
      </c>
      <c r="AY1015" s="63" t="n">
        <f aca="false">IF(AND(OR(CG1015="L1",CG1015="L23",CG1015="LIFT"),AT1015&gt;0),SUMIFS($AT$7:$AT$1843,$CG$7:$CG$1843,CG1015,$AX$7:$AX$1843,"&gt;"&amp;AX1015)+SUMIFS($AT$7:$AT$1843,$CG$7:$CG$1843,CG1015,$AX$7:$AX$1843,AX1015,$BX$7:$BX$1843,"&lt;="&amp;BX1015),"")</f>
        <v>34707.521978022</v>
      </c>
      <c r="AZ1015" s="70" t="n">
        <f aca="false">IF(AY1015="",0,MAX(0,MIN(1,(IF(CG1015="L1",Parameter!$H$5,IF(CG1015="L23",Parameter!$H$6+Parameter!$H$7,Parameter!$H$5+Parameter!$H$6+Parameter!$H$7))-(AY1015-AT1015))/AT1015)))</f>
        <v>1</v>
      </c>
      <c r="BA1015" s="62" t="n">
        <f aca="false">IF(LEFT(Cockpit!$O$5,1)="A",H1015,IF(Parameter!$E$30="MAX-Bestand",IF(CI1015=1,CJ1015,IF(LEFT(Cockpit!$O$5,1)="B",BG1015,MAX(BG1015,H1015))),ROUNDUP(BE1015,0)))</f>
        <v>1</v>
      </c>
      <c r="BB1015" s="62" t="n">
        <f aca="false">IF(CA1015=1,0,ROUNDUP(BA1015/BZ1015,0))</f>
        <v>1</v>
      </c>
      <c r="BC1015" s="64" t="n">
        <f aca="false">IF(CR1015&gt;0,CR1015*MAX(1,BA1015/X1015),IF(CA1015=1,IF(BA1015&lt;=0,0,CE1015*MAX(1,IF(H1015&gt;0,BA1015/H1015,1))),IF(R1015&gt;0,BB1015/R1015,0))/MAX(0.1,N(Parameter!$M$21)))</f>
        <v>0.0833333333333333</v>
      </c>
      <c r="BD1015" s="62" t="n">
        <f aca="false">BC1015*CC1015</f>
        <v>12.0833333333333</v>
      </c>
      <c r="BE1015" s="63" t="n">
        <f aca="false">IF(LEFT(Cockpit!$O$5,1)="A",H1015,IF(CI1015=1,(CL1015+CJ1015)/2,IF(LEFT(Cockpit!$O$5,1)="B",(CL1015+BG1015)/2,MAX((CL1015+BG1015)/2,H1015))))</f>
        <v>0.5</v>
      </c>
      <c r="BF1015" s="62" t="n">
        <f aca="false">BE1015*G1015</f>
        <v>18.785</v>
      </c>
      <c r="BG1015" s="62" t="n">
        <f aca="false">ROUNDUP(CL1015+MAX(CM1015,2*(J1015/IF(CH1015&gt;0,CH1015,MAX(0.1,N(Cockpit!$O$6)))-CL1015)),0)</f>
        <v>1</v>
      </c>
      <c r="BH1015" s="63" t="n">
        <f aca="false">IF(BD1015&gt;0,J1015/BD1015,-1)</f>
        <v>0</v>
      </c>
      <c r="BI1015" s="63" t="n">
        <f aca="false">IF(AND(OR(CG1015="L1",CG1015="L23",CG1015="LIFT"),BD1015&gt;0),SUMIFS($BD$7:$BD$1843,$CG$7:$CG$1843,CG1015,$BH$7:$BH$1843,"&gt;"&amp;BH1015)+SUMIFS($BD$7:$BD$1843,$CG$7:$CG$1843,CG1015,$BH$7:$BH$1843,BH1015,$BX$7:$BX$1843,"&lt;="&amp;BX1015),"")</f>
        <v>28722.6363304774</v>
      </c>
      <c r="BJ1015" s="70" t="n">
        <f aca="false">IF(BI1015="",0,MAX(0,MIN(1,(IF(CG1015="L1",Parameter!$H$5,IF(CG1015="L23",Parameter!$H$6+Parameter!$H$7,Parameter!$H$5+Parameter!$H$6+Parameter!$H$7))-(BI1015-BD1015))/BD1015)))</f>
        <v>1</v>
      </c>
      <c r="BK1015" s="60" t="str">
        <f aca="false">IF(AJ1015&lt;=0,"",IF(CG1015="Aussen","Aussenlager",IF(CG1015="-","Nicht im Lift",IF(AP1015&gt;=1,"Lift",IF(AP1015&lt;=0,"Aussenlager","teilweise")))))</f>
        <v>Lift</v>
      </c>
      <c r="BL1015" s="60" t="str">
        <f aca="false">IF(AT1015&lt;=0,"",IF(CG1015="Aussen","Aussenlager",IF(CG1015="-","Nicht im Lift",IF(AZ1015&gt;=1,"Lift",IF(AZ1015&lt;=0,"Aussenlager","teilweise")))))</f>
        <v>Lift</v>
      </c>
      <c r="BM1015" s="60" t="str">
        <f aca="false">IF(BD1015&lt;=0,"",IF(CG1015="Aussen","Aussenlager",IF(CG1015="-","Nicht im Lift",IF(BJ1015&gt;=1,"Lift",IF(BJ1015&lt;=0,"Aussenlager","teilweise")))))</f>
        <v>Lift</v>
      </c>
      <c r="BN1015" s="60" t="str">
        <f aca="false">IF(A1015="","",IF(BW1015=1,"Neu; ","")&amp;IF(AND(BW1015=0,BR1015&lt;0),"negativer Bestand (Export "&amp;BR1015&amp;"); ","")&amp;IF(J1015&lt;=0,"Kein Verbrauch; ","")&amp;IF(CR1015&gt;0,"Lift "&amp;W1015&amp;" lt. Liftbericht (Fach "&amp;X1015&amp;" Stk); ",IF(CB1015=1,"Gebinde geschätzt ("&amp;T1015&amp;"); ",IF(CA1015=1,"Lose – Tablare geschätzt; ","")))&amp;IF(H1015&gt;AW1015,"Überbestand "&amp;ROUND(H1015-AW1015,0)&amp;" Stk / CHF "&amp;ROUND((H1015-AW1015)*G1015,0)&amp;"; ","")&amp;IF(AND(CI1015=1,CJ1015&lt;CK1015),"MAX &lt; MB+LG; ","")&amp;IF(AND(CQ1015&gt;0,CP1015*10&gt;CQ1015),"zu hoch für Tablar; ","")&amp;IF(AND(BW1015=0,OR(CI1015=1,AB1015&lt;&gt;"",U1015&lt;&gt;"",V1015&lt;&gt;"",AC1015&lt;&gt;"")),"manuell übersteuert; ","")&amp;IF(AND(CA1015=0,R1015=0),"Gebinde unbekannt / Stellmass fehlt; ","")&amp;IF(AND(CA1015=0,N(V1015)&lt;=0,N(Q1015)&lt;=0),"Menge pro Gebinde fehlt (Ist = 1 Gebinde); ","")&amp;BV1015)</f>
        <v>negativer Bestand (Export -3); Kein Verbrauch; Überbestand 8 Stk / CHF 301; </v>
      </c>
      <c r="BO1015" s="60"/>
      <c r="BP1015" s="60"/>
      <c r="BQ1015" s="67"/>
      <c r="BR1015" s="62" t="n">
        <v>-3</v>
      </c>
      <c r="BS1015" s="62" t="n">
        <v>12</v>
      </c>
      <c r="BT1015" s="61" t="n">
        <v>-112.71</v>
      </c>
      <c r="BU1015" s="62" t="n">
        <v>0</v>
      </c>
      <c r="BV1015" s="60"/>
      <c r="BW1015" s="65" t="n">
        <v>0</v>
      </c>
      <c r="BX1015" s="65" t="n">
        <v>1015</v>
      </c>
      <c r="BY1015" s="60" t="str">
        <f aca="false">IF(U1015&lt;&gt;"",UPPER(TRIM(U1015)),IF(CB1015=1,UPPER(VLOOKUP(T1015,Parameter!$I$27:$K$29,2,0)),IF(P1015="","LOSE",P1015)))</f>
        <v>S61</v>
      </c>
      <c r="BZ1015" s="62" t="n">
        <f aca="false">IF(BY1015="LOSE",1,IF(N(V1015)&gt;0,V1015,IF(CB1015=1,MAX(1,N(VLOOKUP(T1015,Parameter!$I$27:$K$29,3,0)),H1015,N(N1015)),IF(N(Q1015)&gt;0,Q1015,MAX(1,H1015)))))</f>
        <v>10</v>
      </c>
      <c r="CA1015" s="65" t="n">
        <f aca="false">IF(BY1015="LOSE",1,0)</f>
        <v>0</v>
      </c>
      <c r="CB1015" s="65" t="n">
        <f aca="false">IF(AND(U1015="",OR(P1015="",P1015="LOSE"),T1015&lt;&gt;"",N(S1015)&lt;=0,ISNUMBER(MATCH(T1015,Parameter!$I$27:$I$29,0))),1,0)</f>
        <v>0</v>
      </c>
      <c r="CC1015" s="65" t="n">
        <f aca="false">IF(CR1015&gt;0,INDEX(Parameter!$H$5:$H$7,W1015)/INDEX(Parameter!$E$5:$E$7,W1015),IF(AND(CA1015=0,N(IFERROR(VLOOKUP(BY1015,'Gebinde-Kategorie'!$A$5:$N$45,14,0),0))&gt;0),VLOOKUP(BY1015,'Gebinde-Kategorie'!$A$5:$N$45,14,0)*10+Parameter!$M$23,Parameter!$M$24))</f>
        <v>145</v>
      </c>
      <c r="CD1015" s="60" t="str">
        <f aca="false">IF(AND(Parameter!$B$19="Ja",E1015&lt;&gt;"",ISNUMBER(MATCH(E1015,Parameter!$I$35:$I$52,0))),VLOOKUP(E1015,Parameter!$I$35:$J$52,2,0),IFERROR(VLOOKUP(D1015,Parameter!$A$35:$C$64,2,0),"Nein"))</f>
        <v>2+3</v>
      </c>
      <c r="CE1015" s="64" t="n">
        <f aca="false">IF(CA1015=0,0,IF(N(S1015)&gt;0,S1015,IFERROR(VLOOKUP(D1015,Parameter!$A$35:$C$64,3,0)+0,0)))</f>
        <v>0</v>
      </c>
      <c r="CF1015" s="60" t="n">
        <f aca="false">IF(AB1015&lt;&gt;"",AB1015,AA1015)</f>
        <v>3</v>
      </c>
      <c r="CG1015" s="60" t="str">
        <f aca="false">IF(OR(CF1015=1,CF1015=2,CF1015=3),IF(Parameter!$E$27="Ja","LIFT",IF(CF1015=1,"L1","L23")),IF(CF1015="Aussen","Aussen","-"))</f>
        <v>LIFT</v>
      </c>
      <c r="CH1015" s="71" t="n">
        <f aca="false">IF(N(AC1015)&gt;0,AC1015,0)</f>
        <v>0</v>
      </c>
      <c r="CI1015" s="65" t="n">
        <f aca="false">IF(ISNUMBER(AF1015),1,0)</f>
        <v>0</v>
      </c>
      <c r="CJ1015" s="62" t="n">
        <f aca="false">N(AF1015)</f>
        <v>0</v>
      </c>
      <c r="CK1015" s="62" t="n">
        <f aca="false">N(M1015)+N(N1015)</f>
        <v>1</v>
      </c>
      <c r="CL1015" s="62" t="n">
        <f aca="false">N(M1015)</f>
        <v>0</v>
      </c>
      <c r="CM1015" s="62" t="n">
        <f aca="false">N(N1015)</f>
        <v>1</v>
      </c>
      <c r="CN1015" s="62" t="n">
        <f aca="false">ROUNDUP(H1015/BZ1015,0)</f>
        <v>1</v>
      </c>
      <c r="CO1015" s="62" t="n">
        <f aca="false">ROUNDUP(CJ1015/BZ1015,0)</f>
        <v>0</v>
      </c>
      <c r="CP1015" s="65" t="n">
        <f aca="false">IF(CA1015=1,0,IFERROR(VLOOKUP(BY1015,'Gebinde-Kategorie'!$A$5:$N$45,5,0)+0,0))</f>
        <v>11</v>
      </c>
      <c r="CQ1015" s="65" t="n">
        <f aca="false">IFERROR(IF(OR(CF1015=1,CF1015=2,CF1015=3),N(INDEX(Parameter!$I$5:$I$7,CF1015)),0),0)</f>
        <v>0</v>
      </c>
      <c r="CR1015" s="64" t="n">
        <f aca="false">IF(AND(Parameter!$B$21="Ja",ISNUMBER(W1015),N(X1015)&gt;0),IFERROR(N(INDEX(Parameter!$L$5:$L$7,W1015))*INDEX(Parameter!$E$5:$E$7,W1015)*X1015/SUMIFS($X$7:$X$1843,$W$7:$W$1843,W1015),0),0)</f>
        <v>0</v>
      </c>
      <c r="CS1015" s="62" t="n">
        <f aca="false">IF(AND(OR(CG1015="L1",CG1015="L23",CG1015="LIFT"),H1015&gt;0),CC1015*IF(CR1015&gt;0,CR1015*MAX(1,H1015/X1015),IF(CA1015=1,CE1015,IF(R1015&gt;0,CN1015/R1015,0))/MAX(0.1,N(Parameter!$M$21))),"")</f>
        <v>12.0833333333333</v>
      </c>
      <c r="CT1015" s="64" t="n">
        <f aca="false">IF(CS1015="","",J1015/H1015)</f>
        <v>0</v>
      </c>
      <c r="CU1015" s="62" t="n">
        <f aca="false">IF(CS1015="","",H1015*G1015)</f>
        <v>338.13</v>
      </c>
      <c r="CV1015" s="63" t="n">
        <f aca="false">IF(CS1015="","",(CL1015+ROUNDUP(CL1015+MAX(CM1015,2*(J1015/MAX(0.1,N(Einkauf!$C$6))-CL1015)),0))/2)</f>
        <v>0.5</v>
      </c>
      <c r="CW1015" s="62" t="n">
        <f aca="false">IF(CS1015="","",MAX(0,H1015-CV1015)*G1015)</f>
        <v>319.345</v>
      </c>
      <c r="CX1015" s="62" t="n">
        <f aca="false">IF(CS1015="","",CS1015*MAX(0,1-CV1015/H1015))</f>
        <v>11.412037037037</v>
      </c>
      <c r="CY1015" s="64" t="n">
        <f aca="false">IF(CS1015="","",PERCENTRANK($CS$7:$CS$1843,CS1015)+PERCENTRANK($CU$7:$CU$1843,CU1015)+1-PERCENTRANK($CT$7:$CT$1843,CT1015))</f>
        <v>2.107</v>
      </c>
      <c r="CZ1015" s="72" t="n">
        <f aca="false">IF(CS1015="","",CHOOSE(MATCH(Einkauf!$C$5,Parameter!$G$23:$G$27,0),CY1015,CS1015,CU1015,-CT1015,CW1015)+ROW()/1000000000)</f>
        <v>2.107001015</v>
      </c>
    </row>
    <row r="1016" customFormat="false" ht="15" hidden="false" customHeight="false" outlineLevel="0" collapsed="false">
      <c r="A1016" s="60" t="s">
        <v>1912</v>
      </c>
      <c r="B1016" s="60" t="s">
        <v>1913</v>
      </c>
      <c r="C1016" s="60" t="s">
        <v>498</v>
      </c>
      <c r="D1016" s="60" t="s">
        <v>226</v>
      </c>
      <c r="E1016" s="60"/>
      <c r="F1016" s="60" t="s">
        <v>260</v>
      </c>
      <c r="G1016" s="61" t="n">
        <v>8.06</v>
      </c>
      <c r="H1016" s="62" t="n">
        <f aca="false">MAX(0,IF(AND(Parameter!$B$21="Ja",ISNUMBER(Y1016)),Y1016,IF(Parameter!$B$20="Jahresanfang 2025 + Export",BS1016+BR1016,BR1016)))</f>
        <v>14</v>
      </c>
      <c r="I1016" s="62" t="n">
        <f aca="false">H1016*G1016</f>
        <v>112.84</v>
      </c>
      <c r="J1016" s="62" t="n">
        <f aca="false">BU1016*Parameter!$B$18</f>
        <v>14</v>
      </c>
      <c r="K1016" s="63" t="n">
        <v>14</v>
      </c>
      <c r="L1016" s="64" t="n">
        <v>1</v>
      </c>
      <c r="M1016" s="62" t="n">
        <v>0</v>
      </c>
      <c r="N1016" s="62" t="n">
        <v>15</v>
      </c>
      <c r="O1016" s="65" t="n">
        <v>14</v>
      </c>
      <c r="P1016" s="60" t="s">
        <v>210</v>
      </c>
      <c r="Q1016" s="62"/>
      <c r="R1016" s="65" t="n">
        <f aca="false">IF(CA1016=1,0,IFERROR(VLOOKUP(BY1016,'Gebinde-Kategorie'!$A$5:$N$45,13,0)+0,0))</f>
        <v>26</v>
      </c>
      <c r="S1016" s="66"/>
      <c r="T1016" s="67" t="s">
        <v>317</v>
      </c>
      <c r="U1016" s="67"/>
      <c r="V1016" s="67"/>
      <c r="W1016" s="60"/>
      <c r="X1016" s="62"/>
      <c r="Y1016" s="62"/>
      <c r="Z1016" s="60" t="n">
        <v>3</v>
      </c>
      <c r="AA1016" s="60" t="n">
        <f aca="false">IF(A1016="","",IF(AND(Parameter!$B$21="Ja",ISNUMBER(W1016)),W1016,IF(AND(Parameter!$E$27="Ja",ISNUMBER(Z1016),CD1016&lt;&gt;"Nein"),Z1016,IF(CD1016="2+3",IF(ISNUMBER(SEARCH("grosser Artikel",BV1016)),2,IFERROR(VLOOKUP(BY1016,Parameter!$F$35:$G$64,2,0),2)),IF(OR(CD1016="Nein",CD1016=""),"-",CD1016)))))</f>
        <v>3</v>
      </c>
      <c r="AB1016" s="67"/>
      <c r="AC1016" s="68"/>
      <c r="AD1016" s="62" t="n">
        <f aca="false">AW1016</f>
        <v>15</v>
      </c>
      <c r="AE1016" s="62" t="n">
        <f aca="false">MAX(AW1016,H1016)</f>
        <v>15</v>
      </c>
      <c r="AF1016" s="69"/>
      <c r="AG1016" s="62" t="n">
        <f aca="false">IF(LEFT(Cockpit!$C$5,1)="A",H1016,IF(Parameter!$E$30="MAX-Bestand",IF(CI1016=1,CJ1016,IF(LEFT(Cockpit!$C$5,1)="B",AM1016,MAX(AM1016,H1016))),ROUNDUP(AK1016,0)))</f>
        <v>14</v>
      </c>
      <c r="AH1016" s="62" t="n">
        <f aca="false">IF(CA1016=1,0,ROUNDUP(AG1016/BZ1016,0))</f>
        <v>1</v>
      </c>
      <c r="AI1016" s="64" t="n">
        <f aca="false">IF(CR1016&gt;0,CR1016*MAX(1,AG1016/X1016),IF(CA1016=1,IF(AG1016&lt;=0,0,CE1016*MAX(1,IF(H1016&gt;0,AG1016/H1016,1))),IF(R1016&gt;0,AH1016/R1016,0))/MAX(0.1,N(Parameter!$M$21)))</f>
        <v>0.0384615384615385</v>
      </c>
      <c r="AJ1016" s="62" t="n">
        <f aca="false">AI1016*CC1016</f>
        <v>5.96153846153846</v>
      </c>
      <c r="AK1016" s="63" t="n">
        <f aca="false">IF(LEFT(Cockpit!$C$5,1)="A",H1016,IF(CI1016=1,(CL1016+CJ1016)/2,IF(LEFT(Cockpit!$C$5,1)="B",(CL1016+AM1016)/2,MAX((CL1016+AM1016)/2,H1016))))</f>
        <v>14</v>
      </c>
      <c r="AL1016" s="62" t="n">
        <f aca="false">AK1016*G1016</f>
        <v>112.84</v>
      </c>
      <c r="AM1016" s="62" t="n">
        <f aca="false">ROUNDUP(CL1016+MAX(CM1016,2*(J1016/IF(CH1016&gt;0,CH1016,MAX(0.1,N(Cockpit!$C$6)))-CL1016)),0)</f>
        <v>15</v>
      </c>
      <c r="AN1016" s="63" t="n">
        <f aca="false">IF(AJ1016&gt;0,J1016/AJ1016,-1)</f>
        <v>2.34838709677419</v>
      </c>
      <c r="AO1016" s="63" t="n">
        <f aca="false">IF(AND(OR(CG1016="L1",CG1016="L23",CG1016="LIFT"),AJ1016&gt;0),SUMIFS($AJ$7:$AJ$1843,$CG$7:$CG$1843,CG1016,$AN$7:$AN$1843,"&gt;"&amp;AN1016)+SUMIFS($AJ$7:$AJ$1843,$CG$7:$CG$1843,CG1016,$AN$7:$AN$1843,AN1016,$BX$7:$BX$1843,"&lt;="&amp;BX1016),"")</f>
        <v>5640.16071428571</v>
      </c>
      <c r="AP1016" s="70" t="n">
        <f aca="false">IF(AO1016="",0,MAX(0,MIN(1,(IF(CG1016="L1",Parameter!$H$5,IF(CG1016="L23",Parameter!$H$6+Parameter!$H$7,Parameter!$H$5+Parameter!$H$6+Parameter!$H$7))-(AO1016-AJ1016))/AJ1016)))</f>
        <v>1</v>
      </c>
      <c r="AQ1016" s="62" t="n">
        <f aca="false">IF(LEFT(Cockpit!$I$5,1)="A",H1016,IF(Parameter!$E$30="MAX-Bestand",IF(CI1016=1,CJ1016,IF(LEFT(Cockpit!$I$5,1)="B",AW1016,MAX(AW1016,H1016))),ROUNDUP(AU1016,0)))</f>
        <v>14</v>
      </c>
      <c r="AR1016" s="62" t="n">
        <f aca="false">IF(CA1016=1,0,ROUNDUP(AQ1016/BZ1016,0))</f>
        <v>1</v>
      </c>
      <c r="AS1016" s="64" t="n">
        <f aca="false">IF(CR1016&gt;0,CR1016*MAX(1,AQ1016/X1016),IF(CA1016=1,IF(AQ1016&lt;=0,0,CE1016*MAX(1,IF(H1016&gt;0,AQ1016/H1016,1))),IF(R1016&gt;0,AR1016/R1016,0))/MAX(0.1,N(Parameter!$M$21)))</f>
        <v>0.0384615384615385</v>
      </c>
      <c r="AT1016" s="62" t="n">
        <f aca="false">AS1016*CC1016</f>
        <v>5.96153846153846</v>
      </c>
      <c r="AU1016" s="63" t="n">
        <f aca="false">IF(LEFT(Cockpit!$I$5,1)="A",H1016,IF(CI1016=1,(CL1016+CJ1016)/2,IF(LEFT(Cockpit!$I$5,1)="B",(CL1016+AW1016)/2,MAX((CL1016+AW1016)/2,H1016))))</f>
        <v>14</v>
      </c>
      <c r="AV1016" s="62" t="n">
        <f aca="false">AU1016*G1016</f>
        <v>112.84</v>
      </c>
      <c r="AW1016" s="62" t="n">
        <f aca="false">ROUNDUP(CL1016+MAX(CM1016,2*(J1016/IF(CH1016&gt;0,CH1016,MAX(0.1,N(Cockpit!$I$6)))-CL1016)),0)</f>
        <v>15</v>
      </c>
      <c r="AX1016" s="63" t="n">
        <f aca="false">IF(AT1016&gt;0,J1016/AT1016,-1)</f>
        <v>2.34838709677419</v>
      </c>
      <c r="AY1016" s="63" t="n">
        <f aca="false">IF(AND(OR(CG1016="L1",CG1016="L23",CG1016="LIFT"),AT1016&gt;0),SUMIFS($AT$7:$AT$1843,$CG$7:$CG$1843,CG1016,$AX$7:$AX$1843,"&gt;"&amp;AX1016)+SUMIFS($AT$7:$AT$1843,$CG$7:$CG$1843,CG1016,$AX$7:$AX$1843,AX1016,$BX$7:$BX$1843,"&lt;="&amp;BX1016),"")</f>
        <v>6462.5554029304</v>
      </c>
      <c r="AZ1016" s="70" t="n">
        <f aca="false">IF(AY1016="",0,MAX(0,MIN(1,(IF(CG1016="L1",Parameter!$H$5,IF(CG1016="L23",Parameter!$H$6+Parameter!$H$7,Parameter!$H$5+Parameter!$H$6+Parameter!$H$7))-(AY1016-AT1016))/AT1016)))</f>
        <v>1</v>
      </c>
      <c r="BA1016" s="62" t="n">
        <f aca="false">IF(LEFT(Cockpit!$O$5,1)="A",H1016,IF(Parameter!$E$30="MAX-Bestand",IF(CI1016=1,CJ1016,IF(LEFT(Cockpit!$O$5,1)="B",BG1016,MAX(BG1016,H1016))),ROUNDUP(BE1016,0)))</f>
        <v>8</v>
      </c>
      <c r="BB1016" s="62" t="n">
        <f aca="false">IF(CA1016=1,0,ROUNDUP(BA1016/BZ1016,0))</f>
        <v>1</v>
      </c>
      <c r="BC1016" s="64" t="n">
        <f aca="false">IF(CR1016&gt;0,CR1016*MAX(1,BA1016/X1016),IF(CA1016=1,IF(BA1016&lt;=0,0,CE1016*MAX(1,IF(H1016&gt;0,BA1016/H1016,1))),IF(R1016&gt;0,BB1016/R1016,0))/MAX(0.1,N(Parameter!$M$21)))</f>
        <v>0.0384615384615385</v>
      </c>
      <c r="BD1016" s="62" t="n">
        <f aca="false">BC1016*CC1016</f>
        <v>5.96153846153846</v>
      </c>
      <c r="BE1016" s="63" t="n">
        <f aca="false">IF(LEFT(Cockpit!$O$5,1)="A",H1016,IF(CI1016=1,(CL1016+CJ1016)/2,IF(LEFT(Cockpit!$O$5,1)="B",(CL1016+BG1016)/2,MAX((CL1016+BG1016)/2,H1016))))</f>
        <v>7.5</v>
      </c>
      <c r="BF1016" s="62" t="n">
        <f aca="false">BE1016*G1016</f>
        <v>60.45</v>
      </c>
      <c r="BG1016" s="62" t="n">
        <f aca="false">ROUNDUP(CL1016+MAX(CM1016,2*(J1016/IF(CH1016&gt;0,CH1016,MAX(0.1,N(Cockpit!$O$6)))-CL1016)),0)</f>
        <v>15</v>
      </c>
      <c r="BH1016" s="63" t="n">
        <f aca="false">IF(BD1016&gt;0,J1016/BD1016,-1)</f>
        <v>2.34838709677419</v>
      </c>
      <c r="BI1016" s="63" t="n">
        <f aca="false">IF(AND(OR(CG1016="L1",CG1016="L23",CG1016="LIFT"),BD1016&gt;0),SUMIFS($BD$7:$BD$1843,$CG$7:$CG$1843,CG1016,$BH$7:$BH$1843,"&gt;"&amp;BH1016)+SUMIFS($BD$7:$BD$1843,$CG$7:$CG$1843,CG1016,$BH$7:$BH$1843,BH1016,$BX$7:$BX$1843,"&lt;="&amp;BX1016),"")</f>
        <v>5616.42307692308</v>
      </c>
      <c r="BJ1016" s="70" t="n">
        <f aca="false">IF(BI1016="",0,MAX(0,MIN(1,(IF(CG1016="L1",Parameter!$H$5,IF(CG1016="L23",Parameter!$H$6+Parameter!$H$7,Parameter!$H$5+Parameter!$H$6+Parameter!$H$7))-(BI1016-BD1016))/BD1016)))</f>
        <v>1</v>
      </c>
      <c r="BK1016" s="60" t="str">
        <f aca="false">IF(AJ1016&lt;=0,"",IF(CG1016="Aussen","Aussenlager",IF(CG1016="-","Nicht im Lift",IF(AP1016&gt;=1,"Lift",IF(AP1016&lt;=0,"Aussenlager","teilweise")))))</f>
        <v>Lift</v>
      </c>
      <c r="BL1016" s="60" t="str">
        <f aca="false">IF(AT1016&lt;=0,"",IF(CG1016="Aussen","Aussenlager",IF(CG1016="-","Nicht im Lift",IF(AZ1016&gt;=1,"Lift",IF(AZ1016&lt;=0,"Aussenlager","teilweise")))))</f>
        <v>Lift</v>
      </c>
      <c r="BM1016" s="60" t="str">
        <f aca="false">IF(BD1016&lt;=0,"",IF(CG1016="Aussen","Aussenlager",IF(CG1016="-","Nicht im Lift",IF(BJ1016&gt;=1,"Lift",IF(BJ1016&lt;=0,"Aussenlager","teilweise")))))</f>
        <v>Lift</v>
      </c>
      <c r="BN1016" s="60" t="str">
        <f aca="false">IF(A1016="","",IF(BW1016=1,"Neu; ","")&amp;IF(AND(BW1016=0,BR1016&lt;0),"negativer Bestand (Export "&amp;BR1016&amp;"); ","")&amp;IF(J1016&lt;=0,"Kein Verbrauch; ","")&amp;IF(CR1016&gt;0,"Lift "&amp;W1016&amp;" lt. Liftbericht (Fach "&amp;X1016&amp;" Stk); ",IF(CB1016=1,"Gebinde geschätzt ("&amp;T1016&amp;"); ",IF(CA1016=1,"Lose – Tablare geschätzt; ","")))&amp;IF(H1016&gt;AW1016,"Überbestand "&amp;ROUND(H1016-AW1016,0)&amp;" Stk / CHF "&amp;ROUND((H1016-AW1016)*G1016,0)&amp;"; ","")&amp;IF(AND(CI1016=1,CJ1016&lt;CK1016),"MAX &lt; MB+LG; ","")&amp;IF(AND(CQ1016&gt;0,CP1016*10&gt;CQ1016),"zu hoch für Tablar; ","")&amp;IF(AND(BW1016=0,OR(CI1016=1,AB1016&lt;&gt;"",U1016&lt;&gt;"",V1016&lt;&gt;"",AC1016&lt;&gt;"")),"manuell übersteuert; ","")&amp;IF(AND(CA1016=0,R1016=0),"Gebinde unbekannt / Stellmass fehlt; ","")&amp;IF(AND(CA1016=0,N(V1016)&lt;=0,N(Q1016)&lt;=0),"Menge pro Gebinde fehlt (Ist = 1 Gebinde); ","")&amp;BV1016)</f>
        <v>negativer Bestand (Export -14); Gebinde geschätzt (Klein); Menge pro Gebinde fehlt (Ist = 1 Gebinde); </v>
      </c>
      <c r="BO1016" s="60"/>
      <c r="BP1016" s="60"/>
      <c r="BQ1016" s="67"/>
      <c r="BR1016" s="62" t="n">
        <v>-14</v>
      </c>
      <c r="BS1016" s="62" t="n">
        <v>28</v>
      </c>
      <c r="BT1016" s="61" t="n">
        <v>-112.84</v>
      </c>
      <c r="BU1016" s="62" t="n">
        <v>14</v>
      </c>
      <c r="BV1016" s="60"/>
      <c r="BW1016" s="65" t="n">
        <v>0</v>
      </c>
      <c r="BX1016" s="65" t="n">
        <v>1016</v>
      </c>
      <c r="BY1016" s="60" t="str">
        <f aca="false">IF(U1016&lt;&gt;"",UPPER(TRIM(U1016)),IF(CB1016=1,UPPER(VLOOKUP(T1016,Parameter!$I$27:$K$29,2,0)),IF(P1016="","LOSE",P1016)))</f>
        <v>S51</v>
      </c>
      <c r="BZ1016" s="62" t="n">
        <f aca="false">IF(BY1016="LOSE",1,IF(N(V1016)&gt;0,V1016,IF(CB1016=1,MAX(1,N(VLOOKUP(T1016,Parameter!$I$27:$K$29,3,0)),H1016,N(N1016)),IF(N(Q1016)&gt;0,Q1016,MAX(1,H1016)))))</f>
        <v>20</v>
      </c>
      <c r="CA1016" s="65" t="n">
        <f aca="false">IF(BY1016="LOSE",1,0)</f>
        <v>0</v>
      </c>
      <c r="CB1016" s="65" t="n">
        <f aca="false">IF(AND(U1016="",OR(P1016="",P1016="LOSE"),T1016&lt;&gt;"",N(S1016)&lt;=0,ISNUMBER(MATCH(T1016,Parameter!$I$27:$I$29,0))),1,0)</f>
        <v>1</v>
      </c>
      <c r="CC1016" s="65" t="n">
        <f aca="false">IF(CR1016&gt;0,INDEX(Parameter!$H$5:$H$7,W1016)/INDEX(Parameter!$E$5:$E$7,W1016),IF(AND(CA1016=0,N(IFERROR(VLOOKUP(BY1016,'Gebinde-Kategorie'!$A$5:$N$45,14,0),0))&gt;0),VLOOKUP(BY1016,'Gebinde-Kategorie'!$A$5:$N$45,14,0)*10+Parameter!$M$23,Parameter!$M$24))</f>
        <v>155</v>
      </c>
      <c r="CD1016" s="60" t="str">
        <f aca="false">IF(AND(Parameter!$B$19="Ja",E1016&lt;&gt;"",ISNUMBER(MATCH(E1016,Parameter!$I$35:$I$52,0))),VLOOKUP(E1016,Parameter!$I$35:$J$52,2,0),IFERROR(VLOOKUP(D1016,Parameter!$A$35:$C$64,2,0),"Nein"))</f>
        <v>2+3</v>
      </c>
      <c r="CE1016" s="64" t="n">
        <f aca="false">IF(CA1016=0,0,IF(N(S1016)&gt;0,S1016,IFERROR(VLOOKUP(D1016,Parameter!$A$35:$C$64,3,0)+0,0)))</f>
        <v>0</v>
      </c>
      <c r="CF1016" s="60" t="n">
        <f aca="false">IF(AB1016&lt;&gt;"",AB1016,AA1016)</f>
        <v>3</v>
      </c>
      <c r="CG1016" s="60" t="str">
        <f aca="false">IF(OR(CF1016=1,CF1016=2,CF1016=3),IF(Parameter!$E$27="Ja","LIFT",IF(CF1016=1,"L1","L23")),IF(CF1016="Aussen","Aussen","-"))</f>
        <v>LIFT</v>
      </c>
      <c r="CH1016" s="71" t="n">
        <f aca="false">IF(N(AC1016)&gt;0,AC1016,0)</f>
        <v>0</v>
      </c>
      <c r="CI1016" s="65" t="n">
        <f aca="false">IF(ISNUMBER(AF1016),1,0)</f>
        <v>0</v>
      </c>
      <c r="CJ1016" s="62" t="n">
        <f aca="false">N(AF1016)</f>
        <v>0</v>
      </c>
      <c r="CK1016" s="62" t="n">
        <f aca="false">N(M1016)+N(N1016)</f>
        <v>15</v>
      </c>
      <c r="CL1016" s="62" t="n">
        <f aca="false">N(M1016)</f>
        <v>0</v>
      </c>
      <c r="CM1016" s="62" t="n">
        <f aca="false">N(N1016)</f>
        <v>15</v>
      </c>
      <c r="CN1016" s="62" t="n">
        <f aca="false">ROUNDUP(H1016/BZ1016,0)</f>
        <v>1</v>
      </c>
      <c r="CO1016" s="62" t="n">
        <f aca="false">ROUNDUP(CJ1016/BZ1016,0)</f>
        <v>0</v>
      </c>
      <c r="CP1016" s="65" t="n">
        <f aca="false">IF(CA1016=1,0,IFERROR(VLOOKUP(BY1016,'Gebinde-Kategorie'!$A$5:$N$45,5,0)+0,0))</f>
        <v>11</v>
      </c>
      <c r="CQ1016" s="65" t="n">
        <f aca="false">IFERROR(IF(OR(CF1016=1,CF1016=2,CF1016=3),N(INDEX(Parameter!$I$5:$I$7,CF1016)),0),0)</f>
        <v>0</v>
      </c>
      <c r="CR1016" s="64" t="n">
        <f aca="false">IF(AND(Parameter!$B$21="Ja",ISNUMBER(W1016),N(X1016)&gt;0),IFERROR(N(INDEX(Parameter!$L$5:$L$7,W1016))*INDEX(Parameter!$E$5:$E$7,W1016)*X1016/SUMIFS($X$7:$X$1843,$W$7:$W$1843,W1016),0),0)</f>
        <v>0</v>
      </c>
      <c r="CS1016" s="62" t="n">
        <f aca="false">IF(AND(OR(CG1016="L1",CG1016="L23",CG1016="LIFT"),H1016&gt;0),CC1016*IF(CR1016&gt;0,CR1016*MAX(1,H1016/X1016),IF(CA1016=1,CE1016,IF(R1016&gt;0,CN1016/R1016,0))/MAX(0.1,N(Parameter!$M$21))),"")</f>
        <v>5.96153846153846</v>
      </c>
      <c r="CT1016" s="64" t="n">
        <f aca="false">IF(CS1016="","",J1016/H1016)</f>
        <v>1</v>
      </c>
      <c r="CU1016" s="62" t="n">
        <f aca="false">IF(CS1016="","",H1016*G1016)</f>
        <v>112.84</v>
      </c>
      <c r="CV1016" s="63" t="n">
        <f aca="false">IF(CS1016="","",(CL1016+ROUNDUP(CL1016+MAX(CM1016,2*(J1016/MAX(0.1,N(Einkauf!$C$6))-CL1016)),0))/2)</f>
        <v>7.5</v>
      </c>
      <c r="CW1016" s="62" t="n">
        <f aca="false">IF(CS1016="","",MAX(0,H1016-CV1016)*G1016)</f>
        <v>52.39</v>
      </c>
      <c r="CX1016" s="62" t="n">
        <f aca="false">IF(CS1016="","",CS1016*MAX(0,1-CV1016/H1016))</f>
        <v>2.76785714285714</v>
      </c>
      <c r="CY1016" s="64" t="n">
        <f aca="false">IF(CS1016="","",PERCENTRANK($CS$7:$CS$1843,CS1016)+PERCENTRANK($CU$7:$CU$1843,CU1016)+1-PERCENTRANK($CT$7:$CT$1843,CT1016))</f>
        <v>0.971</v>
      </c>
      <c r="CZ1016" s="72" t="n">
        <f aca="false">IF(CS1016="","",CHOOSE(MATCH(Einkauf!$C$5,Parameter!$G$23:$G$27,0),CY1016,CS1016,CU1016,-CT1016,CW1016)+ROW()/1000000000)</f>
        <v>0.971001016</v>
      </c>
    </row>
    <row r="1017" customFormat="false" ht="15" hidden="false" customHeight="false" outlineLevel="0" collapsed="false">
      <c r="A1017" s="60" t="s">
        <v>1914</v>
      </c>
      <c r="B1017" s="60" t="s">
        <v>934</v>
      </c>
      <c r="C1017" s="60" t="s">
        <v>206</v>
      </c>
      <c r="D1017" s="60" t="s">
        <v>226</v>
      </c>
      <c r="E1017" s="60" t="s">
        <v>227</v>
      </c>
      <c r="F1017" s="60" t="s">
        <v>260</v>
      </c>
      <c r="G1017" s="61" t="n">
        <v>10.72</v>
      </c>
      <c r="H1017" s="62" t="n">
        <f aca="false">MAX(0,IF(AND(Parameter!$B$21="Ja",ISNUMBER(Y1017)),Y1017,IF(Parameter!$B$20="Jahresanfang 2025 + Export",BS1017+BR1017,BR1017)))</f>
        <v>3</v>
      </c>
      <c r="I1017" s="62" t="n">
        <f aca="false">H1017*G1017</f>
        <v>32.16</v>
      </c>
      <c r="J1017" s="62" t="n">
        <f aca="false">BU1017*Parameter!$B$18</f>
        <v>8</v>
      </c>
      <c r="K1017" s="63" t="n">
        <v>7.5</v>
      </c>
      <c r="L1017" s="64" t="n">
        <v>1.06666666666667</v>
      </c>
      <c r="M1017" s="62" t="n">
        <v>0</v>
      </c>
      <c r="N1017" s="62" t="n">
        <v>10</v>
      </c>
      <c r="O1017" s="65" t="n">
        <v>18</v>
      </c>
      <c r="P1017" s="60" t="s">
        <v>463</v>
      </c>
      <c r="Q1017" s="62" t="n">
        <v>23</v>
      </c>
      <c r="R1017" s="65" t="n">
        <f aca="false">IF(CA1017=1,0,IFERROR(VLOOKUP(BY1017,'Gebinde-Kategorie'!$A$5:$N$45,13,0)+0,0))</f>
        <v>104</v>
      </c>
      <c r="S1017" s="66"/>
      <c r="T1017" s="67"/>
      <c r="U1017" s="67"/>
      <c r="V1017" s="67"/>
      <c r="W1017" s="60"/>
      <c r="X1017" s="62"/>
      <c r="Y1017" s="62"/>
      <c r="Z1017" s="60" t="n">
        <v>2</v>
      </c>
      <c r="AA1017" s="60" t="n">
        <f aca="false">IF(A1017="","",IF(AND(Parameter!$B$21="Ja",ISNUMBER(W1017)),W1017,IF(AND(Parameter!$E$27="Ja",ISNUMBER(Z1017),CD1017&lt;&gt;"Nein"),Z1017,IF(CD1017="2+3",IF(ISNUMBER(SEARCH("grosser Artikel",BV1017)),2,IFERROR(VLOOKUP(BY1017,Parameter!$F$35:$G$64,2,0),2)),IF(OR(CD1017="Nein",CD1017=""),"-",CD1017)))))</f>
        <v>2</v>
      </c>
      <c r="AB1017" s="67"/>
      <c r="AC1017" s="68"/>
      <c r="AD1017" s="62" t="n">
        <f aca="false">AW1017</f>
        <v>10</v>
      </c>
      <c r="AE1017" s="62" t="n">
        <f aca="false">MAX(AW1017,H1017)</f>
        <v>10</v>
      </c>
      <c r="AF1017" s="69"/>
      <c r="AG1017" s="62" t="n">
        <f aca="false">IF(LEFT(Cockpit!$C$5,1)="A",H1017,IF(Parameter!$E$30="MAX-Bestand",IF(CI1017=1,CJ1017,IF(LEFT(Cockpit!$C$5,1)="B",AM1017,MAX(AM1017,H1017))),ROUNDUP(AK1017,0)))</f>
        <v>3</v>
      </c>
      <c r="AH1017" s="62" t="n">
        <f aca="false">IF(CA1017=1,0,ROUNDUP(AG1017/BZ1017,0))</f>
        <v>1</v>
      </c>
      <c r="AI1017" s="64" t="n">
        <f aca="false">IF(CR1017&gt;0,CR1017*MAX(1,AG1017/X1017),IF(CA1017=1,IF(AG1017&lt;=0,0,CE1017*MAX(1,IF(H1017&gt;0,AG1017/H1017,1))),IF(R1017&gt;0,AH1017/R1017,0))/MAX(0.1,N(Parameter!$M$21)))</f>
        <v>0.00961538461538462</v>
      </c>
      <c r="AJ1017" s="62" t="n">
        <f aca="false">AI1017*CC1017</f>
        <v>1.49038461538462</v>
      </c>
      <c r="AK1017" s="63" t="n">
        <f aca="false">IF(LEFT(Cockpit!$C$5,1)="A",H1017,IF(CI1017=1,(CL1017+CJ1017)/2,IF(LEFT(Cockpit!$C$5,1)="B",(CL1017+AM1017)/2,MAX((CL1017+AM1017)/2,H1017))))</f>
        <v>3</v>
      </c>
      <c r="AL1017" s="62" t="n">
        <f aca="false">AK1017*G1017</f>
        <v>32.16</v>
      </c>
      <c r="AM1017" s="62" t="n">
        <f aca="false">ROUNDUP(CL1017+MAX(CM1017,2*(J1017/IF(CH1017&gt;0,CH1017,MAX(0.1,N(Cockpit!$C$6)))-CL1017)),0)</f>
        <v>10</v>
      </c>
      <c r="AN1017" s="63" t="n">
        <f aca="false">IF(AJ1017&gt;0,J1017/AJ1017,-1)</f>
        <v>5.36774193548387</v>
      </c>
      <c r="AO1017" s="63" t="n">
        <f aca="false">IF(AND(OR(CG1017="L1",CG1017="L23",CG1017="LIFT"),AJ1017&gt;0),SUMIFS($AJ$7:$AJ$1843,$CG$7:$CG$1843,CG1017,$AN$7:$AN$1843,"&gt;"&amp;AN1017)+SUMIFS($AJ$7:$AJ$1843,$CG$7:$CG$1843,CG1017,$AN$7:$AN$1843,AN1017,$BX$7:$BX$1843,"&lt;="&amp;BX1017),"")</f>
        <v>3730.66254578755</v>
      </c>
      <c r="AP1017" s="70" t="n">
        <f aca="false">IF(AO1017="",0,MAX(0,MIN(1,(IF(CG1017="L1",Parameter!$H$5,IF(CG1017="L23",Parameter!$H$6+Parameter!$H$7,Parameter!$H$5+Parameter!$H$6+Parameter!$H$7))-(AO1017-AJ1017))/AJ1017)))</f>
        <v>1</v>
      </c>
      <c r="AQ1017" s="62" t="n">
        <f aca="false">IF(LEFT(Cockpit!$I$5,1)="A",H1017,IF(Parameter!$E$30="MAX-Bestand",IF(CI1017=1,CJ1017,IF(LEFT(Cockpit!$I$5,1)="B",AW1017,MAX(AW1017,H1017))),ROUNDUP(AU1017,0)))</f>
        <v>5</v>
      </c>
      <c r="AR1017" s="62" t="n">
        <f aca="false">IF(CA1017=1,0,ROUNDUP(AQ1017/BZ1017,0))</f>
        <v>1</v>
      </c>
      <c r="AS1017" s="64" t="n">
        <f aca="false">IF(CR1017&gt;0,CR1017*MAX(1,AQ1017/X1017),IF(CA1017=1,IF(AQ1017&lt;=0,0,CE1017*MAX(1,IF(H1017&gt;0,AQ1017/H1017,1))),IF(R1017&gt;0,AR1017/R1017,0))/MAX(0.1,N(Parameter!$M$21)))</f>
        <v>0.00961538461538462</v>
      </c>
      <c r="AT1017" s="62" t="n">
        <f aca="false">AS1017*CC1017</f>
        <v>1.49038461538462</v>
      </c>
      <c r="AU1017" s="63" t="n">
        <f aca="false">IF(LEFT(Cockpit!$I$5,1)="A",H1017,IF(CI1017=1,(CL1017+CJ1017)/2,IF(LEFT(Cockpit!$I$5,1)="B",(CL1017+AW1017)/2,MAX((CL1017+AW1017)/2,H1017))))</f>
        <v>5</v>
      </c>
      <c r="AV1017" s="62" t="n">
        <f aca="false">AU1017*G1017</f>
        <v>53.6</v>
      </c>
      <c r="AW1017" s="62" t="n">
        <f aca="false">ROUNDUP(CL1017+MAX(CM1017,2*(J1017/IF(CH1017&gt;0,CH1017,MAX(0.1,N(Cockpit!$I$6)))-CL1017)),0)</f>
        <v>10</v>
      </c>
      <c r="AX1017" s="63" t="n">
        <f aca="false">IF(AT1017&gt;0,J1017/AT1017,-1)</f>
        <v>5.36774193548387</v>
      </c>
      <c r="AY1017" s="63" t="n">
        <f aca="false">IF(AND(OR(CG1017="L1",CG1017="L23",CG1017="LIFT"),AT1017&gt;0),SUMIFS($AT$7:$AT$1843,$CG$7:$CG$1843,CG1017,$AX$7:$AX$1843,"&gt;"&amp;AX1017)+SUMIFS($AT$7:$AT$1843,$CG$7:$CG$1843,CG1017,$AX$7:$AX$1843,AX1017,$BX$7:$BX$1843,"&lt;="&amp;BX1017),"")</f>
        <v>4384.40338827839</v>
      </c>
      <c r="AZ1017" s="70" t="n">
        <f aca="false">IF(AY1017="",0,MAX(0,MIN(1,(IF(CG1017="L1",Parameter!$H$5,IF(CG1017="L23",Parameter!$H$6+Parameter!$H$7,Parameter!$H$5+Parameter!$H$6+Parameter!$H$7))-(AY1017-AT1017))/AT1017)))</f>
        <v>1</v>
      </c>
      <c r="BA1017" s="62" t="n">
        <f aca="false">IF(LEFT(Cockpit!$O$5,1)="A",H1017,IF(Parameter!$E$30="MAX-Bestand",IF(CI1017=1,CJ1017,IF(LEFT(Cockpit!$O$5,1)="B",BG1017,MAX(BG1017,H1017))),ROUNDUP(BE1017,0)))</f>
        <v>5</v>
      </c>
      <c r="BB1017" s="62" t="n">
        <f aca="false">IF(CA1017=1,0,ROUNDUP(BA1017/BZ1017,0))</f>
        <v>1</v>
      </c>
      <c r="BC1017" s="64" t="n">
        <f aca="false">IF(CR1017&gt;0,CR1017*MAX(1,BA1017/X1017),IF(CA1017=1,IF(BA1017&lt;=0,0,CE1017*MAX(1,IF(H1017&gt;0,BA1017/H1017,1))),IF(R1017&gt;0,BB1017/R1017,0))/MAX(0.1,N(Parameter!$M$21)))</f>
        <v>0.00961538461538462</v>
      </c>
      <c r="BD1017" s="62" t="n">
        <f aca="false">BC1017*CC1017</f>
        <v>1.49038461538462</v>
      </c>
      <c r="BE1017" s="63" t="n">
        <f aca="false">IF(LEFT(Cockpit!$O$5,1)="A",H1017,IF(CI1017=1,(CL1017+CJ1017)/2,IF(LEFT(Cockpit!$O$5,1)="B",(CL1017+BG1017)/2,MAX((CL1017+BG1017)/2,H1017))))</f>
        <v>5</v>
      </c>
      <c r="BF1017" s="62" t="n">
        <f aca="false">BE1017*G1017</f>
        <v>53.6</v>
      </c>
      <c r="BG1017" s="62" t="n">
        <f aca="false">ROUNDUP(CL1017+MAX(CM1017,2*(J1017/IF(CH1017&gt;0,CH1017,MAX(0.1,N(Cockpit!$O$6)))-CL1017)),0)</f>
        <v>10</v>
      </c>
      <c r="BH1017" s="63" t="n">
        <f aca="false">IF(BD1017&gt;0,J1017/BD1017,-1)</f>
        <v>5.36774193548387</v>
      </c>
      <c r="BI1017" s="63" t="n">
        <f aca="false">IF(AND(OR(CG1017="L1",CG1017="L23",CG1017="LIFT"),BD1017&gt;0),SUMIFS($BD$7:$BD$1843,$CG$7:$CG$1843,CG1017,$BH$7:$BH$1843,"&gt;"&amp;BH1017)+SUMIFS($BD$7:$BD$1843,$CG$7:$CG$1843,CG1017,$BH$7:$BH$1843,BH1017,$BX$7:$BX$1843,"&lt;="&amp;BX1017),"")</f>
        <v>3697.43498168498</v>
      </c>
      <c r="BJ1017" s="70" t="n">
        <f aca="false">IF(BI1017="",0,MAX(0,MIN(1,(IF(CG1017="L1",Parameter!$H$5,IF(CG1017="L23",Parameter!$H$6+Parameter!$H$7,Parameter!$H$5+Parameter!$H$6+Parameter!$H$7))-(BI1017-BD1017))/BD1017)))</f>
        <v>1</v>
      </c>
      <c r="BK1017" s="60" t="str">
        <f aca="false">IF(AJ1017&lt;=0,"",IF(CG1017="Aussen","Aussenlager",IF(CG1017="-","Nicht im Lift",IF(AP1017&gt;=1,"Lift",IF(AP1017&lt;=0,"Aussenlager","teilweise")))))</f>
        <v>Lift</v>
      </c>
      <c r="BL1017" s="60" t="str">
        <f aca="false">IF(AT1017&lt;=0,"",IF(CG1017="Aussen","Aussenlager",IF(CG1017="-","Nicht im Lift",IF(AZ1017&gt;=1,"Lift",IF(AZ1017&lt;=0,"Aussenlager","teilweise")))))</f>
        <v>Lift</v>
      </c>
      <c r="BM1017" s="60" t="str">
        <f aca="false">IF(BD1017&lt;=0,"",IF(CG1017="Aussen","Aussenlager",IF(CG1017="-","Nicht im Lift",IF(BJ1017&gt;=1,"Lift",IF(BJ1017&lt;=0,"Aussenlager","teilweise")))))</f>
        <v>Lift</v>
      </c>
      <c r="BN1017" s="60" t="str">
        <f aca="false">IF(A1017="","",IF(BW1017=1,"Neu; ","")&amp;IF(AND(BW1017=0,BR1017&lt;0),"negativer Bestand (Export "&amp;BR1017&amp;"); ","")&amp;IF(J1017&lt;=0,"Kein Verbrauch; ","")&amp;IF(CR1017&gt;0,"Lift "&amp;W1017&amp;" lt. Liftbericht (Fach "&amp;X1017&amp;" Stk); ",IF(CB1017=1,"Gebinde geschätzt ("&amp;T1017&amp;"); ",IF(CA1017=1,"Lose – Tablare geschätzt; ","")))&amp;IF(H1017&gt;AW1017,"Überbestand "&amp;ROUND(H1017-AW1017,0)&amp;" Stk / CHF "&amp;ROUND((H1017-AW1017)*G1017,0)&amp;"; ","")&amp;IF(AND(CI1017=1,CJ1017&lt;CK1017),"MAX &lt; MB+LG; ","")&amp;IF(AND(CQ1017&gt;0,CP1017*10&gt;CQ1017),"zu hoch für Tablar; ","")&amp;IF(AND(BW1017=0,OR(CI1017=1,AB1017&lt;&gt;"",U1017&lt;&gt;"",V1017&lt;&gt;"",AC1017&lt;&gt;"")),"manuell übersteuert; ","")&amp;IF(AND(CA1017=0,R1017=0),"Gebinde unbekannt / Stellmass fehlt; ","")&amp;IF(AND(CA1017=0,N(V1017)&lt;=0,N(Q1017)&lt;=0),"Menge pro Gebinde fehlt (Ist = 1 Gebinde); ","")&amp;BV1017)</f>
        <v>negativer Bestand (Export -9); </v>
      </c>
      <c r="BO1017" s="60"/>
      <c r="BP1017" s="60"/>
      <c r="BQ1017" s="67"/>
      <c r="BR1017" s="62" t="n">
        <v>-9</v>
      </c>
      <c r="BS1017" s="62" t="n">
        <v>12</v>
      </c>
      <c r="BT1017" s="61" t="n">
        <v>-113.16</v>
      </c>
      <c r="BU1017" s="62" t="n">
        <v>8</v>
      </c>
      <c r="BV1017" s="60"/>
      <c r="BW1017" s="65" t="n">
        <v>0</v>
      </c>
      <c r="BX1017" s="65" t="n">
        <v>1017</v>
      </c>
      <c r="BY1017" s="60" t="str">
        <f aca="false">IF(U1017&lt;&gt;"",UPPER(TRIM(U1017)),IF(CB1017=1,UPPER(VLOOKUP(T1017,Parameter!$I$27:$K$29,2,0)),IF(P1017="","LOSE",P1017)))</f>
        <v>S32</v>
      </c>
      <c r="BZ1017" s="62" t="n">
        <f aca="false">IF(BY1017="LOSE",1,IF(N(V1017)&gt;0,V1017,IF(CB1017=1,MAX(1,N(VLOOKUP(T1017,Parameter!$I$27:$K$29,3,0)),H1017,N(N1017)),IF(N(Q1017)&gt;0,Q1017,MAX(1,H1017)))))</f>
        <v>23</v>
      </c>
      <c r="CA1017" s="65" t="n">
        <f aca="false">IF(BY1017="LOSE",1,0)</f>
        <v>0</v>
      </c>
      <c r="CB1017" s="65" t="n">
        <f aca="false">IF(AND(U1017="",OR(P1017="",P1017="LOSE"),T1017&lt;&gt;"",N(S1017)&lt;=0,ISNUMBER(MATCH(T1017,Parameter!$I$27:$I$29,0))),1,0)</f>
        <v>0</v>
      </c>
      <c r="CC1017" s="65" t="n">
        <f aca="false">IF(CR1017&gt;0,INDEX(Parameter!$H$5:$H$7,W1017)/INDEX(Parameter!$E$5:$E$7,W1017),IF(AND(CA1017=0,N(IFERROR(VLOOKUP(BY1017,'Gebinde-Kategorie'!$A$5:$N$45,14,0),0))&gt;0),VLOOKUP(BY1017,'Gebinde-Kategorie'!$A$5:$N$45,14,0)*10+Parameter!$M$23,Parameter!$M$24))</f>
        <v>155</v>
      </c>
      <c r="CD1017" s="60" t="str">
        <f aca="false">IF(AND(Parameter!$B$19="Ja",E1017&lt;&gt;"",ISNUMBER(MATCH(E1017,Parameter!$I$35:$I$52,0))),VLOOKUP(E1017,Parameter!$I$35:$J$52,2,0),IFERROR(VLOOKUP(D1017,Parameter!$A$35:$C$64,2,0),"Nein"))</f>
        <v>2+3</v>
      </c>
      <c r="CE1017" s="64" t="n">
        <f aca="false">IF(CA1017=0,0,IF(N(S1017)&gt;0,S1017,IFERROR(VLOOKUP(D1017,Parameter!$A$35:$C$64,3,0)+0,0)))</f>
        <v>0</v>
      </c>
      <c r="CF1017" s="60" t="n">
        <f aca="false">IF(AB1017&lt;&gt;"",AB1017,AA1017)</f>
        <v>2</v>
      </c>
      <c r="CG1017" s="60" t="str">
        <f aca="false">IF(OR(CF1017=1,CF1017=2,CF1017=3),IF(Parameter!$E$27="Ja","LIFT",IF(CF1017=1,"L1","L23")),IF(CF1017="Aussen","Aussen","-"))</f>
        <v>LIFT</v>
      </c>
      <c r="CH1017" s="71" t="n">
        <f aca="false">IF(N(AC1017)&gt;0,AC1017,0)</f>
        <v>0</v>
      </c>
      <c r="CI1017" s="65" t="n">
        <f aca="false">IF(ISNUMBER(AF1017),1,0)</f>
        <v>0</v>
      </c>
      <c r="CJ1017" s="62" t="n">
        <f aca="false">N(AF1017)</f>
        <v>0</v>
      </c>
      <c r="CK1017" s="62" t="n">
        <f aca="false">N(M1017)+N(N1017)</f>
        <v>10</v>
      </c>
      <c r="CL1017" s="62" t="n">
        <f aca="false">N(M1017)</f>
        <v>0</v>
      </c>
      <c r="CM1017" s="62" t="n">
        <f aca="false">N(N1017)</f>
        <v>10</v>
      </c>
      <c r="CN1017" s="62" t="n">
        <f aca="false">ROUNDUP(H1017/BZ1017,0)</f>
        <v>1</v>
      </c>
      <c r="CO1017" s="62" t="n">
        <f aca="false">ROUNDUP(CJ1017/BZ1017,0)</f>
        <v>0</v>
      </c>
      <c r="CP1017" s="65" t="n">
        <f aca="false">IF(CA1017=1,0,IFERROR(VLOOKUP(BY1017,'Gebinde-Kategorie'!$A$5:$N$45,5,0)+0,0))</f>
        <v>8</v>
      </c>
      <c r="CQ1017" s="65" t="n">
        <f aca="false">IFERROR(IF(OR(CF1017=1,CF1017=2,CF1017=3),N(INDEX(Parameter!$I$5:$I$7,CF1017)),0),0)</f>
        <v>0</v>
      </c>
      <c r="CR1017" s="64" t="n">
        <f aca="false">IF(AND(Parameter!$B$21="Ja",ISNUMBER(W1017),N(X1017)&gt;0),IFERROR(N(INDEX(Parameter!$L$5:$L$7,W1017))*INDEX(Parameter!$E$5:$E$7,W1017)*X1017/SUMIFS($X$7:$X$1843,$W$7:$W$1843,W1017),0),0)</f>
        <v>0</v>
      </c>
      <c r="CS1017" s="62" t="n">
        <f aca="false">IF(AND(OR(CG1017="L1",CG1017="L23",CG1017="LIFT"),H1017&gt;0),CC1017*IF(CR1017&gt;0,CR1017*MAX(1,H1017/X1017),IF(CA1017=1,CE1017,IF(R1017&gt;0,CN1017/R1017,0))/MAX(0.1,N(Parameter!$M$21))),"")</f>
        <v>1.49038461538462</v>
      </c>
      <c r="CT1017" s="64" t="n">
        <f aca="false">IF(CS1017="","",J1017/H1017)</f>
        <v>2.66666666666667</v>
      </c>
      <c r="CU1017" s="62" t="n">
        <f aca="false">IF(CS1017="","",H1017*G1017)</f>
        <v>32.16</v>
      </c>
      <c r="CV1017" s="63" t="n">
        <f aca="false">IF(CS1017="","",(CL1017+ROUNDUP(CL1017+MAX(CM1017,2*(J1017/MAX(0.1,N(Einkauf!$C$6))-CL1017)),0))/2)</f>
        <v>5</v>
      </c>
      <c r="CW1017" s="62" t="n">
        <f aca="false">IF(CS1017="","",MAX(0,H1017-CV1017)*G1017)</f>
        <v>0</v>
      </c>
      <c r="CX1017" s="62" t="n">
        <f aca="false">IF(CS1017="","",CS1017*MAX(0,1-CV1017/H1017))</f>
        <v>0</v>
      </c>
      <c r="CY1017" s="64" t="n">
        <f aca="false">IF(CS1017="","",PERCENTRANK($CS$7:$CS$1843,CS1017)+PERCENTRANK($CU$7:$CU$1843,CU1017)+1-PERCENTRANK($CT$7:$CT$1843,CT1017))</f>
        <v>0.367</v>
      </c>
      <c r="CZ1017" s="72" t="n">
        <f aca="false">IF(CS1017="","",CHOOSE(MATCH(Einkauf!$C$5,Parameter!$G$23:$G$27,0),CY1017,CS1017,CU1017,-CT1017,CW1017)+ROW()/1000000000)</f>
        <v>0.367001017</v>
      </c>
    </row>
    <row r="1018" customFormat="false" ht="15" hidden="false" customHeight="false" outlineLevel="0" collapsed="false">
      <c r="A1018" s="60" t="s">
        <v>1915</v>
      </c>
      <c r="B1018" s="60" t="s">
        <v>1916</v>
      </c>
      <c r="C1018" s="60" t="s">
        <v>498</v>
      </c>
      <c r="D1018" s="60" t="s">
        <v>215</v>
      </c>
      <c r="E1018" s="60" t="s">
        <v>1521</v>
      </c>
      <c r="F1018" s="60" t="s">
        <v>260</v>
      </c>
      <c r="G1018" s="61" t="n">
        <v>114.36</v>
      </c>
      <c r="H1018" s="62" t="n">
        <f aca="false">MAX(0,IF(AND(Parameter!$B$21="Ja",ISNUMBER(Y1018)),Y1018,IF(Parameter!$B$20="Jahresanfang 2025 + Export",BS1018+BR1018,BR1018)))</f>
        <v>0</v>
      </c>
      <c r="I1018" s="62" t="n">
        <f aca="false">H1018*G1018</f>
        <v>0</v>
      </c>
      <c r="J1018" s="62" t="n">
        <f aca="false">BU1018*Parameter!$B$18</f>
        <v>0</v>
      </c>
      <c r="K1018" s="63" t="n">
        <v>0.5</v>
      </c>
      <c r="L1018" s="64" t="n">
        <v>0</v>
      </c>
      <c r="M1018" s="62" t="n">
        <v>0</v>
      </c>
      <c r="N1018" s="62" t="n">
        <v>1</v>
      </c>
      <c r="O1018" s="65" t="n">
        <v>56</v>
      </c>
      <c r="P1018" s="60" t="s">
        <v>210</v>
      </c>
      <c r="Q1018" s="62"/>
      <c r="R1018" s="65" t="n">
        <f aca="false">IF(CA1018=1,0,IFERROR(VLOOKUP(BY1018,'Gebinde-Kategorie'!$A$5:$N$45,13,0)+0,0))</f>
        <v>4</v>
      </c>
      <c r="S1018" s="66"/>
      <c r="T1018" s="67" t="s">
        <v>231</v>
      </c>
      <c r="U1018" s="67"/>
      <c r="V1018" s="67"/>
      <c r="W1018" s="60"/>
      <c r="X1018" s="62"/>
      <c r="Y1018" s="62"/>
      <c r="Z1018" s="60"/>
      <c r="AA1018" s="60" t="str">
        <f aca="false">IF(A1018="","",IF(AND(Parameter!$B$21="Ja",ISNUMBER(W1018)),W1018,IF(AND(Parameter!$E$27="Ja",ISNUMBER(Z1018),CD1018&lt;&gt;"Nein"),Z1018,IF(CD1018="2+3",IF(ISNUMBER(SEARCH("grosser Artikel",BV1018)),2,IFERROR(VLOOKUP(BY1018,Parameter!$F$35:$G$64,2,0),2)),IF(OR(CD1018="Nein",CD1018=""),"-",CD1018)))))</f>
        <v>-</v>
      </c>
      <c r="AB1018" s="67"/>
      <c r="AC1018" s="68"/>
      <c r="AD1018" s="62" t="n">
        <f aca="false">AW1018</f>
        <v>1</v>
      </c>
      <c r="AE1018" s="62" t="n">
        <f aca="false">MAX(AW1018,H1018)</f>
        <v>1</v>
      </c>
      <c r="AF1018" s="69"/>
      <c r="AG1018" s="62" t="n">
        <f aca="false">IF(LEFT(Cockpit!$C$5,1)="A",H1018,IF(Parameter!$E$30="MAX-Bestand",IF(CI1018=1,CJ1018,IF(LEFT(Cockpit!$C$5,1)="B",AM1018,MAX(AM1018,H1018))),ROUNDUP(AK1018,0)))</f>
        <v>0</v>
      </c>
      <c r="AH1018" s="62" t="n">
        <f aca="false">IF(CA1018=1,0,ROUNDUP(AG1018/BZ1018,0))</f>
        <v>0</v>
      </c>
      <c r="AI1018" s="64" t="n">
        <f aca="false">IF(CR1018&gt;0,CR1018*MAX(1,AG1018/X1018),IF(CA1018=1,IF(AG1018&lt;=0,0,CE1018*MAX(1,IF(H1018&gt;0,AG1018/H1018,1))),IF(R1018&gt;0,AH1018/R1018,0))/MAX(0.1,N(Parameter!$M$21)))</f>
        <v>0</v>
      </c>
      <c r="AJ1018" s="62" t="n">
        <f aca="false">AI1018*CC1018</f>
        <v>0</v>
      </c>
      <c r="AK1018" s="63" t="n">
        <f aca="false">IF(LEFT(Cockpit!$C$5,1)="A",H1018,IF(CI1018=1,(CL1018+CJ1018)/2,IF(LEFT(Cockpit!$C$5,1)="B",(CL1018+AM1018)/2,MAX((CL1018+AM1018)/2,H1018))))</f>
        <v>0</v>
      </c>
      <c r="AL1018" s="62" t="n">
        <f aca="false">AK1018*G1018</f>
        <v>0</v>
      </c>
      <c r="AM1018" s="62" t="n">
        <f aca="false">ROUNDUP(CL1018+MAX(CM1018,2*(J1018/IF(CH1018&gt;0,CH1018,MAX(0.1,N(Cockpit!$C$6)))-CL1018)),0)</f>
        <v>1</v>
      </c>
      <c r="AN1018" s="63" t="n">
        <f aca="false">IF(AJ1018&gt;0,J1018/AJ1018,-1)</f>
        <v>-1</v>
      </c>
      <c r="AO1018" s="63" t="str">
        <f aca="false">IF(AND(OR(CG1018="L1",CG1018="L23",CG1018="LIFT"),AJ1018&gt;0),SUMIFS($AJ$7:$AJ$1843,$CG$7:$CG$1843,CG1018,$AN$7:$AN$1843,"&gt;"&amp;AN1018)+SUMIFS($AJ$7:$AJ$1843,$CG$7:$CG$1843,CG1018,$AN$7:$AN$1843,AN1018,$BX$7:$BX$1843,"&lt;="&amp;BX1018),"")</f>
        <v/>
      </c>
      <c r="AP1018" s="70" t="n">
        <f aca="false">IF(AO1018="",0,MAX(0,MIN(1,(IF(CG1018="L1",Parameter!$H$5,IF(CG1018="L23",Parameter!$H$6+Parameter!$H$7,Parameter!$H$5+Parameter!$H$6+Parameter!$H$7))-(AO1018-AJ1018))/AJ1018)))</f>
        <v>0</v>
      </c>
      <c r="AQ1018" s="62" t="n">
        <f aca="false">IF(LEFT(Cockpit!$I$5,1)="A",H1018,IF(Parameter!$E$30="MAX-Bestand",IF(CI1018=1,CJ1018,IF(LEFT(Cockpit!$I$5,1)="B",AW1018,MAX(AW1018,H1018))),ROUNDUP(AU1018,0)))</f>
        <v>1</v>
      </c>
      <c r="AR1018" s="62" t="n">
        <f aca="false">IF(CA1018=1,0,ROUNDUP(AQ1018/BZ1018,0))</f>
        <v>1</v>
      </c>
      <c r="AS1018" s="64" t="n">
        <f aca="false">IF(CR1018&gt;0,CR1018*MAX(1,AQ1018/X1018),IF(CA1018=1,IF(AQ1018&lt;=0,0,CE1018*MAX(1,IF(H1018&gt;0,AQ1018/H1018,1))),IF(R1018&gt;0,AR1018/R1018,0))/MAX(0.1,N(Parameter!$M$21)))</f>
        <v>0.25</v>
      </c>
      <c r="AT1018" s="62" t="n">
        <f aca="false">AS1018*CC1018</f>
        <v>58.75</v>
      </c>
      <c r="AU1018" s="63" t="n">
        <f aca="false">IF(LEFT(Cockpit!$I$5,1)="A",H1018,IF(CI1018=1,(CL1018+CJ1018)/2,IF(LEFT(Cockpit!$I$5,1)="B",(CL1018+AW1018)/2,MAX((CL1018+AW1018)/2,H1018))))</f>
        <v>0.5</v>
      </c>
      <c r="AV1018" s="62" t="n">
        <f aca="false">AU1018*G1018</f>
        <v>57.18</v>
      </c>
      <c r="AW1018" s="62" t="n">
        <f aca="false">ROUNDUP(CL1018+MAX(CM1018,2*(J1018/IF(CH1018&gt;0,CH1018,MAX(0.1,N(Cockpit!$I$6)))-CL1018)),0)</f>
        <v>1</v>
      </c>
      <c r="AX1018" s="63" t="n">
        <f aca="false">IF(AT1018&gt;0,J1018/AT1018,-1)</f>
        <v>0</v>
      </c>
      <c r="AY1018" s="63" t="str">
        <f aca="false">IF(AND(OR(CG1018="L1",CG1018="L23",CG1018="LIFT"),AT1018&gt;0),SUMIFS($AT$7:$AT$1843,$CG$7:$CG$1843,CG1018,$AX$7:$AX$1843,"&gt;"&amp;AX1018)+SUMIFS($AT$7:$AT$1843,$CG$7:$CG$1843,CG1018,$AX$7:$AX$1843,AX1018,$BX$7:$BX$1843,"&lt;="&amp;BX1018),"")</f>
        <v/>
      </c>
      <c r="AZ1018" s="70" t="n">
        <f aca="false">IF(AY1018="",0,MAX(0,MIN(1,(IF(CG1018="L1",Parameter!$H$5,IF(CG1018="L23",Parameter!$H$6+Parameter!$H$7,Parameter!$H$5+Parameter!$H$6+Parameter!$H$7))-(AY1018-AT1018))/AT1018)))</f>
        <v>0</v>
      </c>
      <c r="BA1018" s="62" t="n">
        <f aca="false">IF(LEFT(Cockpit!$O$5,1)="A",H1018,IF(Parameter!$E$30="MAX-Bestand",IF(CI1018=1,CJ1018,IF(LEFT(Cockpit!$O$5,1)="B",BG1018,MAX(BG1018,H1018))),ROUNDUP(BE1018,0)))</f>
        <v>1</v>
      </c>
      <c r="BB1018" s="62" t="n">
        <f aca="false">IF(CA1018=1,0,ROUNDUP(BA1018/BZ1018,0))</f>
        <v>1</v>
      </c>
      <c r="BC1018" s="64" t="n">
        <f aca="false">IF(CR1018&gt;0,CR1018*MAX(1,BA1018/X1018),IF(CA1018=1,IF(BA1018&lt;=0,0,CE1018*MAX(1,IF(H1018&gt;0,BA1018/H1018,1))),IF(R1018&gt;0,BB1018/R1018,0))/MAX(0.1,N(Parameter!$M$21)))</f>
        <v>0.25</v>
      </c>
      <c r="BD1018" s="62" t="n">
        <f aca="false">BC1018*CC1018</f>
        <v>58.75</v>
      </c>
      <c r="BE1018" s="63" t="n">
        <f aca="false">IF(LEFT(Cockpit!$O$5,1)="A",H1018,IF(CI1018=1,(CL1018+CJ1018)/2,IF(LEFT(Cockpit!$O$5,1)="B",(CL1018+BG1018)/2,MAX((CL1018+BG1018)/2,H1018))))</f>
        <v>0.5</v>
      </c>
      <c r="BF1018" s="62" t="n">
        <f aca="false">BE1018*G1018</f>
        <v>57.18</v>
      </c>
      <c r="BG1018" s="62" t="n">
        <f aca="false">ROUNDUP(CL1018+MAX(CM1018,2*(J1018/IF(CH1018&gt;0,CH1018,MAX(0.1,N(Cockpit!$O$6)))-CL1018)),0)</f>
        <v>1</v>
      </c>
      <c r="BH1018" s="63" t="n">
        <f aca="false">IF(BD1018&gt;0,J1018/BD1018,-1)</f>
        <v>0</v>
      </c>
      <c r="BI1018" s="63" t="str">
        <f aca="false">IF(AND(OR(CG1018="L1",CG1018="L23",CG1018="LIFT"),BD1018&gt;0),SUMIFS($BD$7:$BD$1843,$CG$7:$CG$1843,CG1018,$BH$7:$BH$1843,"&gt;"&amp;BH1018)+SUMIFS($BD$7:$BD$1843,$CG$7:$CG$1843,CG1018,$BH$7:$BH$1843,BH1018,$BX$7:$BX$1843,"&lt;="&amp;BX1018),"")</f>
        <v/>
      </c>
      <c r="BJ1018" s="70" t="n">
        <f aca="false">IF(BI1018="",0,MAX(0,MIN(1,(IF(CG1018="L1",Parameter!$H$5,IF(CG1018="L23",Parameter!$H$6+Parameter!$H$7,Parameter!$H$5+Parameter!$H$6+Parameter!$H$7))-(BI1018-BD1018))/BD1018)))</f>
        <v>0</v>
      </c>
      <c r="BK1018" s="60" t="str">
        <f aca="false">IF(AJ1018&lt;=0,"",IF(CG1018="Aussen","Aussenlager",IF(CG1018="-","Nicht im Lift",IF(AP1018&gt;=1,"Lift",IF(AP1018&lt;=0,"Aussenlager","teilweise")))))</f>
        <v/>
      </c>
      <c r="BL1018" s="60" t="str">
        <f aca="false">IF(AT1018&lt;=0,"",IF(CG1018="Aussen","Aussenlager",IF(CG1018="-","Nicht im Lift",IF(AZ1018&gt;=1,"Lift",IF(AZ1018&lt;=0,"Aussenlager","teilweise")))))</f>
        <v>Nicht im Lift</v>
      </c>
      <c r="BM1018" s="60" t="str">
        <f aca="false">IF(BD1018&lt;=0,"",IF(CG1018="Aussen","Aussenlager",IF(CG1018="-","Nicht im Lift",IF(BJ1018&gt;=1,"Lift",IF(BJ1018&lt;=0,"Aussenlager","teilweise")))))</f>
        <v>Nicht im Lift</v>
      </c>
      <c r="BN1018" s="60" t="str">
        <f aca="false">IF(A1018="","",IF(BW1018=1,"Neu; ","")&amp;IF(AND(BW1018=0,BR1018&lt;0),"negativer Bestand (Export "&amp;BR1018&amp;"); ","")&amp;IF(J1018&lt;=0,"Kein Verbrauch; ","")&amp;IF(CR1018&gt;0,"Lift "&amp;W1018&amp;" lt. Liftbericht (Fach "&amp;X1018&amp;" Stk); ",IF(CB1018=1,"Gebinde geschätzt ("&amp;T1018&amp;"); ",IF(CA1018=1,"Lose – Tablare geschätzt; ","")))&amp;IF(H1018&gt;AW1018,"Überbestand "&amp;ROUND(H1018-AW1018,0)&amp;" Stk / CHF "&amp;ROUND((H1018-AW1018)*G1018,0)&amp;"; ","")&amp;IF(AND(CI1018=1,CJ1018&lt;CK1018),"MAX &lt; MB+LG; ","")&amp;IF(AND(CQ1018&gt;0,CP1018*10&gt;CQ1018),"zu hoch für Tablar; ","")&amp;IF(AND(BW1018=0,OR(CI1018=1,AB1018&lt;&gt;"",U1018&lt;&gt;"",V1018&lt;&gt;"",AC1018&lt;&gt;"")),"manuell übersteuert; ","")&amp;IF(AND(CA1018=0,R1018=0),"Gebinde unbekannt / Stellmass fehlt; ","")&amp;IF(AND(CA1018=0,N(V1018)&lt;=0,N(Q1018)&lt;=0),"Menge pro Gebinde fehlt (Ist = 1 Gebinde); ","")&amp;BV1018)</f>
        <v>negativer Bestand (Export -1); Kein Verbrauch; Gebinde geschätzt (Gross); Menge pro Gebinde fehlt (Ist = 1 Gebinde); Neu</v>
      </c>
      <c r="BO1018" s="60"/>
      <c r="BP1018" s="60"/>
      <c r="BQ1018" s="67"/>
      <c r="BR1018" s="62" t="n">
        <v>-1</v>
      </c>
      <c r="BS1018" s="62" t="n">
        <v>1</v>
      </c>
      <c r="BT1018" s="61" t="n">
        <v>-114.36</v>
      </c>
      <c r="BU1018" s="62" t="n">
        <v>0</v>
      </c>
      <c r="BV1018" s="60" t="s">
        <v>668</v>
      </c>
      <c r="BW1018" s="65" t="n">
        <v>0</v>
      </c>
      <c r="BX1018" s="65" t="n">
        <v>1018</v>
      </c>
      <c r="BY1018" s="60" t="str">
        <f aca="false">IF(U1018&lt;&gt;"",UPPER(TRIM(U1018)),IF(CB1018=1,UPPER(VLOOKUP(T1018,Parameter!$I$27:$K$29,2,0)),IF(P1018="","LOSE",P1018)))</f>
        <v>S81</v>
      </c>
      <c r="BZ1018" s="62" t="n">
        <f aca="false">IF(BY1018="LOSE",1,IF(N(V1018)&gt;0,V1018,IF(CB1018=1,MAX(1,N(VLOOKUP(T1018,Parameter!$I$27:$K$29,3,0)),H1018,N(N1018)),IF(N(Q1018)&gt;0,Q1018,MAX(1,H1018)))))</f>
        <v>2</v>
      </c>
      <c r="CA1018" s="65" t="n">
        <f aca="false">IF(BY1018="LOSE",1,0)</f>
        <v>0</v>
      </c>
      <c r="CB1018" s="65" t="n">
        <f aca="false">IF(AND(U1018="",OR(P1018="",P1018="LOSE"),T1018&lt;&gt;"",N(S1018)&lt;=0,ISNUMBER(MATCH(T1018,Parameter!$I$27:$I$29,0))),1,0)</f>
        <v>1</v>
      </c>
      <c r="CC1018" s="65" t="n">
        <f aca="false">IF(CR1018&gt;0,INDEX(Parameter!$H$5:$H$7,W1018)/INDEX(Parameter!$E$5:$E$7,W1018),IF(AND(CA1018=0,N(IFERROR(VLOOKUP(BY1018,'Gebinde-Kategorie'!$A$5:$N$45,14,0),0))&gt;0),VLOOKUP(BY1018,'Gebinde-Kategorie'!$A$5:$N$45,14,0)*10+Parameter!$M$23,Parameter!$M$24))</f>
        <v>235</v>
      </c>
      <c r="CD1018" s="60" t="str">
        <f aca="false">IF(AND(Parameter!$B$19="Ja",E1018&lt;&gt;"",ISNUMBER(MATCH(E1018,Parameter!$I$35:$I$52,0))),VLOOKUP(E1018,Parameter!$I$35:$J$52,2,0),IFERROR(VLOOKUP(D1018,Parameter!$A$35:$C$64,2,0),"Nein"))</f>
        <v>Nein</v>
      </c>
      <c r="CE1018" s="64" t="n">
        <f aca="false">IF(CA1018=0,0,IF(N(S1018)&gt;0,S1018,IFERROR(VLOOKUP(D1018,Parameter!$A$35:$C$64,3,0)+0,0)))</f>
        <v>0</v>
      </c>
      <c r="CF1018" s="60" t="str">
        <f aca="false">IF(AB1018&lt;&gt;"",AB1018,AA1018)</f>
        <v>-</v>
      </c>
      <c r="CG1018" s="60" t="str">
        <f aca="false">IF(OR(CF1018=1,CF1018=2,CF1018=3),IF(Parameter!$E$27="Ja","LIFT",IF(CF1018=1,"L1","L23")),IF(CF1018="Aussen","Aussen","-"))</f>
        <v>-</v>
      </c>
      <c r="CH1018" s="71" t="n">
        <f aca="false">IF(N(AC1018)&gt;0,AC1018,0)</f>
        <v>0</v>
      </c>
      <c r="CI1018" s="65" t="n">
        <f aca="false">IF(ISNUMBER(AF1018),1,0)</f>
        <v>0</v>
      </c>
      <c r="CJ1018" s="62" t="n">
        <f aca="false">N(AF1018)</f>
        <v>0</v>
      </c>
      <c r="CK1018" s="62" t="n">
        <f aca="false">N(M1018)+N(N1018)</f>
        <v>1</v>
      </c>
      <c r="CL1018" s="62" t="n">
        <f aca="false">N(M1018)</f>
        <v>0</v>
      </c>
      <c r="CM1018" s="62" t="n">
        <f aca="false">N(N1018)</f>
        <v>1</v>
      </c>
      <c r="CN1018" s="62" t="n">
        <f aca="false">ROUNDUP(H1018/BZ1018,0)</f>
        <v>0</v>
      </c>
      <c r="CO1018" s="62" t="n">
        <f aca="false">ROUNDUP(CJ1018/BZ1018,0)</f>
        <v>0</v>
      </c>
      <c r="CP1018" s="65" t="n">
        <f aca="false">IF(CA1018=1,0,IFERROR(VLOOKUP(BY1018,'Gebinde-Kategorie'!$A$5:$N$45,5,0)+0,0))</f>
        <v>20</v>
      </c>
      <c r="CQ1018" s="65" t="n">
        <f aca="false">IFERROR(IF(OR(CF1018=1,CF1018=2,CF1018=3),N(INDEX(Parameter!$I$5:$I$7,CF1018)),0),0)</f>
        <v>0</v>
      </c>
      <c r="CR1018" s="64" t="n">
        <f aca="false">IF(AND(Parameter!$B$21="Ja",ISNUMBER(W1018),N(X1018)&gt;0),IFERROR(N(INDEX(Parameter!$L$5:$L$7,W1018))*INDEX(Parameter!$E$5:$E$7,W1018)*X1018/SUMIFS($X$7:$X$1843,$W$7:$W$1843,W1018),0),0)</f>
        <v>0</v>
      </c>
      <c r="CS1018" s="62" t="str">
        <f aca="false">IF(AND(OR(CG1018="L1",CG1018="L23",CG1018="LIFT"),H1018&gt;0),CC1018*IF(CR1018&gt;0,CR1018*MAX(1,H1018/X1018),IF(CA1018=1,CE1018,IF(R1018&gt;0,CN1018/R1018,0))/MAX(0.1,N(Parameter!$M$21))),"")</f>
        <v/>
      </c>
      <c r="CT1018" s="64" t="str">
        <f aca="false">IF(CS1018="","",J1018/H1018)</f>
        <v/>
      </c>
      <c r="CU1018" s="62" t="str">
        <f aca="false">IF(CS1018="","",H1018*G1018)</f>
        <v/>
      </c>
      <c r="CV1018" s="63" t="str">
        <f aca="false">IF(CS1018="","",(CL1018+ROUNDUP(CL1018+MAX(CM1018,2*(J1018/MAX(0.1,N(Einkauf!$C$6))-CL1018)),0))/2)</f>
        <v/>
      </c>
      <c r="CW1018" s="62" t="str">
        <f aca="false">IF(CS1018="","",MAX(0,H1018-CV1018)*G1018)</f>
        <v/>
      </c>
      <c r="CX1018" s="62" t="str">
        <f aca="false">IF(CS1018="","",CS1018*MAX(0,1-CV1018/H1018))</f>
        <v/>
      </c>
      <c r="CY1018" s="64" t="str">
        <f aca="false">IF(CS1018="","",PERCENTRANK($CS$7:$CS$1843,CS1018)+PERCENTRANK($CU$7:$CU$1843,CU1018)+1-PERCENTRANK($CT$7:$CT$1843,CT1018))</f>
        <v/>
      </c>
      <c r="CZ1018" s="72" t="str">
        <f aca="false">IF(CS1018="","",CHOOSE(MATCH(Einkauf!$C$5,Parameter!$G$23:$G$27,0),CY1018,CS1018,CU1018,-CT1018,CW1018)+ROW()/1000000000)</f>
        <v/>
      </c>
    </row>
    <row r="1019" customFormat="false" ht="15" hidden="false" customHeight="false" outlineLevel="0" collapsed="false">
      <c r="A1019" s="60" t="s">
        <v>1917</v>
      </c>
      <c r="B1019" s="60" t="s">
        <v>531</v>
      </c>
      <c r="C1019" s="60" t="s">
        <v>206</v>
      </c>
      <c r="D1019" s="60" t="s">
        <v>226</v>
      </c>
      <c r="E1019" s="60" t="s">
        <v>227</v>
      </c>
      <c r="F1019" s="60" t="s">
        <v>260</v>
      </c>
      <c r="G1019" s="61" t="n">
        <v>2.19</v>
      </c>
      <c r="H1019" s="62" t="n">
        <f aca="false">MAX(0,IF(AND(Parameter!$B$21="Ja",ISNUMBER(Y1019)),Y1019,IF(Parameter!$B$20="Jahresanfang 2025 + Export",BS1019+BR1019,BR1019)))</f>
        <v>77</v>
      </c>
      <c r="I1019" s="62" t="n">
        <f aca="false">H1019*G1019</f>
        <v>168.63</v>
      </c>
      <c r="J1019" s="62" t="n">
        <f aca="false">BU1019*Parameter!$B$18</f>
        <v>145</v>
      </c>
      <c r="K1019" s="63" t="n">
        <v>145</v>
      </c>
      <c r="L1019" s="64" t="n">
        <v>1</v>
      </c>
      <c r="M1019" s="62" t="n">
        <v>5</v>
      </c>
      <c r="N1019" s="62" t="n">
        <v>145</v>
      </c>
      <c r="O1019" s="65" t="n">
        <v>14</v>
      </c>
      <c r="P1019" s="60" t="s">
        <v>463</v>
      </c>
      <c r="Q1019" s="62" t="n">
        <v>275</v>
      </c>
      <c r="R1019" s="65" t="n">
        <f aca="false">IF(CA1019=1,0,IFERROR(VLOOKUP(BY1019,'Gebinde-Kategorie'!$A$5:$N$45,13,0)+0,0))</f>
        <v>104</v>
      </c>
      <c r="S1019" s="66"/>
      <c r="T1019" s="67"/>
      <c r="U1019" s="67"/>
      <c r="V1019" s="67"/>
      <c r="W1019" s="60"/>
      <c r="X1019" s="62"/>
      <c r="Y1019" s="62"/>
      <c r="Z1019" s="60" t="n">
        <v>2</v>
      </c>
      <c r="AA1019" s="60" t="n">
        <f aca="false">IF(A1019="","",IF(AND(Parameter!$B$21="Ja",ISNUMBER(W1019)),W1019,IF(AND(Parameter!$E$27="Ja",ISNUMBER(Z1019),CD1019&lt;&gt;"Nein"),Z1019,IF(CD1019="2+3",IF(ISNUMBER(SEARCH("grosser Artikel",BV1019)),2,IFERROR(VLOOKUP(BY1019,Parameter!$F$35:$G$64,2,0),2)),IF(OR(CD1019="Nein",CD1019=""),"-",CD1019)))))</f>
        <v>2</v>
      </c>
      <c r="AB1019" s="67"/>
      <c r="AC1019" s="68"/>
      <c r="AD1019" s="62" t="n">
        <f aca="false">AW1019</f>
        <v>150</v>
      </c>
      <c r="AE1019" s="62" t="n">
        <f aca="false">MAX(AW1019,H1019)</f>
        <v>150</v>
      </c>
      <c r="AF1019" s="69"/>
      <c r="AG1019" s="62" t="n">
        <f aca="false">IF(LEFT(Cockpit!$C$5,1)="A",H1019,IF(Parameter!$E$30="MAX-Bestand",IF(CI1019=1,CJ1019,IF(LEFT(Cockpit!$C$5,1)="B",AM1019,MAX(AM1019,H1019))),ROUNDUP(AK1019,0)))</f>
        <v>77</v>
      </c>
      <c r="AH1019" s="62" t="n">
        <f aca="false">IF(CA1019=1,0,ROUNDUP(AG1019/BZ1019,0))</f>
        <v>1</v>
      </c>
      <c r="AI1019" s="64" t="n">
        <f aca="false">IF(CR1019&gt;0,CR1019*MAX(1,AG1019/X1019),IF(CA1019=1,IF(AG1019&lt;=0,0,CE1019*MAX(1,IF(H1019&gt;0,AG1019/H1019,1))),IF(R1019&gt;0,AH1019/R1019,0))/MAX(0.1,N(Parameter!$M$21)))</f>
        <v>0.00961538461538462</v>
      </c>
      <c r="AJ1019" s="62" t="n">
        <f aca="false">AI1019*CC1019</f>
        <v>1.49038461538462</v>
      </c>
      <c r="AK1019" s="63" t="n">
        <f aca="false">IF(LEFT(Cockpit!$C$5,1)="A",H1019,IF(CI1019=1,(CL1019+CJ1019)/2,IF(LEFT(Cockpit!$C$5,1)="B",(CL1019+AM1019)/2,MAX((CL1019+AM1019)/2,H1019))))</f>
        <v>77</v>
      </c>
      <c r="AL1019" s="62" t="n">
        <f aca="false">AK1019*G1019</f>
        <v>168.63</v>
      </c>
      <c r="AM1019" s="62" t="n">
        <f aca="false">ROUNDUP(CL1019+MAX(CM1019,2*(J1019/IF(CH1019&gt;0,CH1019,MAX(0.1,N(Cockpit!$C$6)))-CL1019)),0)</f>
        <v>150</v>
      </c>
      <c r="AN1019" s="63" t="n">
        <f aca="false">IF(AJ1019&gt;0,J1019/AJ1019,-1)</f>
        <v>97.2903225806452</v>
      </c>
      <c r="AO1019" s="63" t="n">
        <f aca="false">IF(AND(OR(CG1019="L1",CG1019="L23",CG1019="LIFT"),AJ1019&gt;0),SUMIFS($AJ$7:$AJ$1843,$CG$7:$CG$1843,CG1019,$AN$7:$AN$1843,"&gt;"&amp;AN1019)+SUMIFS($AJ$7:$AJ$1843,$CG$7:$CG$1843,CG1019,$AN$7:$AN$1843,AN1019,$BX$7:$BX$1843,"&lt;="&amp;BX1019),"")</f>
        <v>768.913003663004</v>
      </c>
      <c r="AP1019" s="70" t="n">
        <f aca="false">IF(AO1019="",0,MAX(0,MIN(1,(IF(CG1019="L1",Parameter!$H$5,IF(CG1019="L23",Parameter!$H$6+Parameter!$H$7,Parameter!$H$5+Parameter!$H$6+Parameter!$H$7))-(AO1019-AJ1019))/AJ1019)))</f>
        <v>1</v>
      </c>
      <c r="AQ1019" s="62" t="n">
        <f aca="false">IF(LEFT(Cockpit!$I$5,1)="A",H1019,IF(Parameter!$E$30="MAX-Bestand",IF(CI1019=1,CJ1019,IF(LEFT(Cockpit!$I$5,1)="B",AW1019,MAX(AW1019,H1019))),ROUNDUP(AU1019,0)))</f>
        <v>78</v>
      </c>
      <c r="AR1019" s="62" t="n">
        <f aca="false">IF(CA1019=1,0,ROUNDUP(AQ1019/BZ1019,0))</f>
        <v>1</v>
      </c>
      <c r="AS1019" s="64" t="n">
        <f aca="false">IF(CR1019&gt;0,CR1019*MAX(1,AQ1019/X1019),IF(CA1019=1,IF(AQ1019&lt;=0,0,CE1019*MAX(1,IF(H1019&gt;0,AQ1019/H1019,1))),IF(R1019&gt;0,AR1019/R1019,0))/MAX(0.1,N(Parameter!$M$21)))</f>
        <v>0.00961538461538462</v>
      </c>
      <c r="AT1019" s="62" t="n">
        <f aca="false">AS1019*CC1019</f>
        <v>1.49038461538462</v>
      </c>
      <c r="AU1019" s="63" t="n">
        <f aca="false">IF(LEFT(Cockpit!$I$5,1)="A",H1019,IF(CI1019=1,(CL1019+CJ1019)/2,IF(LEFT(Cockpit!$I$5,1)="B",(CL1019+AW1019)/2,MAX((CL1019+AW1019)/2,H1019))))</f>
        <v>77.5</v>
      </c>
      <c r="AV1019" s="62" t="n">
        <f aca="false">AU1019*G1019</f>
        <v>169.725</v>
      </c>
      <c r="AW1019" s="62" t="n">
        <f aca="false">ROUNDUP(CL1019+MAX(CM1019,2*(J1019/IF(CH1019&gt;0,CH1019,MAX(0.1,N(Cockpit!$I$6)))-CL1019)),0)</f>
        <v>150</v>
      </c>
      <c r="AX1019" s="63" t="n">
        <f aca="false">IF(AT1019&gt;0,J1019/AT1019,-1)</f>
        <v>97.2903225806452</v>
      </c>
      <c r="AY1019" s="63" t="n">
        <f aca="false">IF(AND(OR(CG1019="L1",CG1019="L23",CG1019="LIFT"),AT1019&gt;0),SUMIFS($AT$7:$AT$1843,$CG$7:$CG$1843,CG1019,$AX$7:$AX$1843,"&gt;"&amp;AX1019)+SUMIFS($AT$7:$AT$1843,$CG$7:$CG$1843,CG1019,$AX$7:$AX$1843,AX1019,$BX$7:$BX$1843,"&lt;="&amp;BX1019),"")</f>
        <v>1022.48214285714</v>
      </c>
      <c r="AZ1019" s="70" t="n">
        <f aca="false">IF(AY1019="",0,MAX(0,MIN(1,(IF(CG1019="L1",Parameter!$H$5,IF(CG1019="L23",Parameter!$H$6+Parameter!$H$7,Parameter!$H$5+Parameter!$H$6+Parameter!$H$7))-(AY1019-AT1019))/AT1019)))</f>
        <v>1</v>
      </c>
      <c r="BA1019" s="62" t="n">
        <f aca="false">IF(LEFT(Cockpit!$O$5,1)="A",H1019,IF(Parameter!$E$30="MAX-Bestand",IF(CI1019=1,CJ1019,IF(LEFT(Cockpit!$O$5,1)="B",BG1019,MAX(BG1019,H1019))),ROUNDUP(BE1019,0)))</f>
        <v>78</v>
      </c>
      <c r="BB1019" s="62" t="n">
        <f aca="false">IF(CA1019=1,0,ROUNDUP(BA1019/BZ1019,0))</f>
        <v>1</v>
      </c>
      <c r="BC1019" s="64" t="n">
        <f aca="false">IF(CR1019&gt;0,CR1019*MAX(1,BA1019/X1019),IF(CA1019=1,IF(BA1019&lt;=0,0,CE1019*MAX(1,IF(H1019&gt;0,BA1019/H1019,1))),IF(R1019&gt;0,BB1019/R1019,0))/MAX(0.1,N(Parameter!$M$21)))</f>
        <v>0.00961538461538462</v>
      </c>
      <c r="BD1019" s="62" t="n">
        <f aca="false">BC1019*CC1019</f>
        <v>1.49038461538462</v>
      </c>
      <c r="BE1019" s="63" t="n">
        <f aca="false">IF(LEFT(Cockpit!$O$5,1)="A",H1019,IF(CI1019=1,(CL1019+CJ1019)/2,IF(LEFT(Cockpit!$O$5,1)="B",(CL1019+BG1019)/2,MAX((CL1019+BG1019)/2,H1019))))</f>
        <v>77.5</v>
      </c>
      <c r="BF1019" s="62" t="n">
        <f aca="false">BE1019*G1019</f>
        <v>169.725</v>
      </c>
      <c r="BG1019" s="62" t="n">
        <f aca="false">ROUNDUP(CL1019+MAX(CM1019,2*(J1019/IF(CH1019&gt;0,CH1019,MAX(0.1,N(Cockpit!$O$6)))-CL1019)),0)</f>
        <v>150</v>
      </c>
      <c r="BH1019" s="63" t="n">
        <f aca="false">IF(BD1019&gt;0,J1019/BD1019,-1)</f>
        <v>97.2903225806452</v>
      </c>
      <c r="BI1019" s="63" t="n">
        <f aca="false">IF(AND(OR(CG1019="L1",CG1019="L23",CG1019="LIFT"),BD1019&gt;0),SUMIFS($BD$7:$BD$1843,$CG$7:$CG$1843,CG1019,$BH$7:$BH$1843,"&gt;"&amp;BH1019)+SUMIFS($BD$7:$BD$1843,$CG$7:$CG$1843,CG1019,$BH$7:$BH$1843,BH1019,$BX$7:$BX$1843,"&lt;="&amp;BX1019),"")</f>
        <v>916.357600732601</v>
      </c>
      <c r="BJ1019" s="70" t="n">
        <f aca="false">IF(BI1019="",0,MAX(0,MIN(1,(IF(CG1019="L1",Parameter!$H$5,IF(CG1019="L23",Parameter!$H$6+Parameter!$H$7,Parameter!$H$5+Parameter!$H$6+Parameter!$H$7))-(BI1019-BD1019))/BD1019)))</f>
        <v>1</v>
      </c>
      <c r="BK1019" s="60" t="str">
        <f aca="false">IF(AJ1019&lt;=0,"",IF(CG1019="Aussen","Aussenlager",IF(CG1019="-","Nicht im Lift",IF(AP1019&gt;=1,"Lift",IF(AP1019&lt;=0,"Aussenlager","teilweise")))))</f>
        <v>Lift</v>
      </c>
      <c r="BL1019" s="60" t="str">
        <f aca="false">IF(AT1019&lt;=0,"",IF(CG1019="Aussen","Aussenlager",IF(CG1019="-","Nicht im Lift",IF(AZ1019&gt;=1,"Lift",IF(AZ1019&lt;=0,"Aussenlager","teilweise")))))</f>
        <v>Lift</v>
      </c>
      <c r="BM1019" s="60" t="str">
        <f aca="false">IF(BD1019&lt;=0,"",IF(CG1019="Aussen","Aussenlager",IF(CG1019="-","Nicht im Lift",IF(BJ1019&gt;=1,"Lift",IF(BJ1019&lt;=0,"Aussenlager","teilweise")))))</f>
        <v>Lift</v>
      </c>
      <c r="BN1019" s="60" t="str">
        <f aca="false">IF(A1019="","",IF(BW1019=1,"Neu; ","")&amp;IF(AND(BW1019=0,BR1019&lt;0),"negativer Bestand (Export "&amp;BR1019&amp;"); ","")&amp;IF(J1019&lt;=0,"Kein Verbrauch; ","")&amp;IF(CR1019&gt;0,"Lift "&amp;W1019&amp;" lt. Liftbericht (Fach "&amp;X1019&amp;" Stk); ",IF(CB1019=1,"Gebinde geschätzt ("&amp;T1019&amp;"); ",IF(CA1019=1,"Lose – Tablare geschätzt; ","")))&amp;IF(H1019&gt;AW1019,"Überbestand "&amp;ROUND(H1019-AW1019,0)&amp;" Stk / CHF "&amp;ROUND((H1019-AW1019)*G1019,0)&amp;"; ","")&amp;IF(AND(CI1019=1,CJ1019&lt;CK1019),"MAX &lt; MB+LG; ","")&amp;IF(AND(CQ1019&gt;0,CP1019*10&gt;CQ1019),"zu hoch für Tablar; ","")&amp;IF(AND(BW1019=0,OR(CI1019=1,AB1019&lt;&gt;"",U1019&lt;&gt;"",V1019&lt;&gt;"",AC1019&lt;&gt;"")),"manuell übersteuert; ","")&amp;IF(AND(CA1019=0,R1019=0),"Gebinde unbekannt / Stellmass fehlt; ","")&amp;IF(AND(CA1019=0,N(V1019)&lt;=0,N(Q1019)&lt;=0),"Menge pro Gebinde fehlt (Ist = 1 Gebinde); ","")&amp;BV1019)</f>
        <v>negativer Bestand (Export -52); </v>
      </c>
      <c r="BO1019" s="60"/>
      <c r="BP1019" s="60"/>
      <c r="BQ1019" s="67"/>
      <c r="BR1019" s="62" t="n">
        <v>-52</v>
      </c>
      <c r="BS1019" s="62" t="n">
        <v>129</v>
      </c>
      <c r="BT1019" s="61" t="n">
        <v>-115.13</v>
      </c>
      <c r="BU1019" s="62" t="n">
        <v>145</v>
      </c>
      <c r="BV1019" s="60"/>
      <c r="BW1019" s="65" t="n">
        <v>0</v>
      </c>
      <c r="BX1019" s="65" t="n">
        <v>1019</v>
      </c>
      <c r="BY1019" s="60" t="str">
        <f aca="false">IF(U1019&lt;&gt;"",UPPER(TRIM(U1019)),IF(CB1019=1,UPPER(VLOOKUP(T1019,Parameter!$I$27:$K$29,2,0)),IF(P1019="","LOSE",P1019)))</f>
        <v>S32</v>
      </c>
      <c r="BZ1019" s="62" t="n">
        <f aca="false">IF(BY1019="LOSE",1,IF(N(V1019)&gt;0,V1019,IF(CB1019=1,MAX(1,N(VLOOKUP(T1019,Parameter!$I$27:$K$29,3,0)),H1019,N(N1019)),IF(N(Q1019)&gt;0,Q1019,MAX(1,H1019)))))</f>
        <v>275</v>
      </c>
      <c r="CA1019" s="65" t="n">
        <f aca="false">IF(BY1019="LOSE",1,0)</f>
        <v>0</v>
      </c>
      <c r="CB1019" s="65" t="n">
        <f aca="false">IF(AND(U1019="",OR(P1019="",P1019="LOSE"),T1019&lt;&gt;"",N(S1019)&lt;=0,ISNUMBER(MATCH(T1019,Parameter!$I$27:$I$29,0))),1,0)</f>
        <v>0</v>
      </c>
      <c r="CC1019" s="65" t="n">
        <f aca="false">IF(CR1019&gt;0,INDEX(Parameter!$H$5:$H$7,W1019)/INDEX(Parameter!$E$5:$E$7,W1019),IF(AND(CA1019=0,N(IFERROR(VLOOKUP(BY1019,'Gebinde-Kategorie'!$A$5:$N$45,14,0),0))&gt;0),VLOOKUP(BY1019,'Gebinde-Kategorie'!$A$5:$N$45,14,0)*10+Parameter!$M$23,Parameter!$M$24))</f>
        <v>155</v>
      </c>
      <c r="CD1019" s="60" t="str">
        <f aca="false">IF(AND(Parameter!$B$19="Ja",E1019&lt;&gt;"",ISNUMBER(MATCH(E1019,Parameter!$I$35:$I$52,0))),VLOOKUP(E1019,Parameter!$I$35:$J$52,2,0),IFERROR(VLOOKUP(D1019,Parameter!$A$35:$C$64,2,0),"Nein"))</f>
        <v>2+3</v>
      </c>
      <c r="CE1019" s="64" t="n">
        <f aca="false">IF(CA1019=0,0,IF(N(S1019)&gt;0,S1019,IFERROR(VLOOKUP(D1019,Parameter!$A$35:$C$64,3,0)+0,0)))</f>
        <v>0</v>
      </c>
      <c r="CF1019" s="60" t="n">
        <f aca="false">IF(AB1019&lt;&gt;"",AB1019,AA1019)</f>
        <v>2</v>
      </c>
      <c r="CG1019" s="60" t="str">
        <f aca="false">IF(OR(CF1019=1,CF1019=2,CF1019=3),IF(Parameter!$E$27="Ja","LIFT",IF(CF1019=1,"L1","L23")),IF(CF1019="Aussen","Aussen","-"))</f>
        <v>LIFT</v>
      </c>
      <c r="CH1019" s="71" t="n">
        <f aca="false">IF(N(AC1019)&gt;0,AC1019,0)</f>
        <v>0</v>
      </c>
      <c r="CI1019" s="65" t="n">
        <f aca="false">IF(ISNUMBER(AF1019),1,0)</f>
        <v>0</v>
      </c>
      <c r="CJ1019" s="62" t="n">
        <f aca="false">N(AF1019)</f>
        <v>0</v>
      </c>
      <c r="CK1019" s="62" t="n">
        <f aca="false">N(M1019)+N(N1019)</f>
        <v>150</v>
      </c>
      <c r="CL1019" s="62" t="n">
        <f aca="false">N(M1019)</f>
        <v>5</v>
      </c>
      <c r="CM1019" s="62" t="n">
        <f aca="false">N(N1019)</f>
        <v>145</v>
      </c>
      <c r="CN1019" s="62" t="n">
        <f aca="false">ROUNDUP(H1019/BZ1019,0)</f>
        <v>1</v>
      </c>
      <c r="CO1019" s="62" t="n">
        <f aca="false">ROUNDUP(CJ1019/BZ1019,0)</f>
        <v>0</v>
      </c>
      <c r="CP1019" s="65" t="n">
        <f aca="false">IF(CA1019=1,0,IFERROR(VLOOKUP(BY1019,'Gebinde-Kategorie'!$A$5:$N$45,5,0)+0,0))</f>
        <v>8</v>
      </c>
      <c r="CQ1019" s="65" t="n">
        <f aca="false">IFERROR(IF(OR(CF1019=1,CF1019=2,CF1019=3),N(INDEX(Parameter!$I$5:$I$7,CF1019)),0),0)</f>
        <v>0</v>
      </c>
      <c r="CR1019" s="64" t="n">
        <f aca="false">IF(AND(Parameter!$B$21="Ja",ISNUMBER(W1019),N(X1019)&gt;0),IFERROR(N(INDEX(Parameter!$L$5:$L$7,W1019))*INDEX(Parameter!$E$5:$E$7,W1019)*X1019/SUMIFS($X$7:$X$1843,$W$7:$W$1843,W1019),0),0)</f>
        <v>0</v>
      </c>
      <c r="CS1019" s="62" t="n">
        <f aca="false">IF(AND(OR(CG1019="L1",CG1019="L23",CG1019="LIFT"),H1019&gt;0),CC1019*IF(CR1019&gt;0,CR1019*MAX(1,H1019/X1019),IF(CA1019=1,CE1019,IF(R1019&gt;0,CN1019/R1019,0))/MAX(0.1,N(Parameter!$M$21))),"")</f>
        <v>1.49038461538462</v>
      </c>
      <c r="CT1019" s="64" t="n">
        <f aca="false">IF(CS1019="","",J1019/H1019)</f>
        <v>1.88311688311688</v>
      </c>
      <c r="CU1019" s="62" t="n">
        <f aca="false">IF(CS1019="","",H1019*G1019)</f>
        <v>168.63</v>
      </c>
      <c r="CV1019" s="63" t="n">
        <f aca="false">IF(CS1019="","",(CL1019+ROUNDUP(CL1019+MAX(CM1019,2*(J1019/MAX(0.1,N(Einkauf!$C$6))-CL1019)),0))/2)</f>
        <v>77.5</v>
      </c>
      <c r="CW1019" s="62" t="n">
        <f aca="false">IF(CS1019="","",MAX(0,H1019-CV1019)*G1019)</f>
        <v>0</v>
      </c>
      <c r="CX1019" s="62" t="n">
        <f aca="false">IF(CS1019="","",CS1019*MAX(0,1-CV1019/H1019))</f>
        <v>0</v>
      </c>
      <c r="CY1019" s="64" t="n">
        <f aca="false">IF(CS1019="","",PERCENTRANK($CS$7:$CS$1843,CS1019)+PERCENTRANK($CU$7:$CU$1843,CU1019)+1-PERCENTRANK($CT$7:$CT$1843,CT1019))</f>
        <v>0.625</v>
      </c>
      <c r="CZ1019" s="72" t="n">
        <f aca="false">IF(CS1019="","",CHOOSE(MATCH(Einkauf!$C$5,Parameter!$G$23:$G$27,0),CY1019,CS1019,CU1019,-CT1019,CW1019)+ROW()/1000000000)</f>
        <v>0.625001019</v>
      </c>
    </row>
    <row r="1020" customFormat="false" ht="15" hidden="false" customHeight="false" outlineLevel="0" collapsed="false">
      <c r="A1020" s="60" t="s">
        <v>1918</v>
      </c>
      <c r="B1020" s="60" t="s">
        <v>1919</v>
      </c>
      <c r="C1020" s="60" t="s">
        <v>206</v>
      </c>
      <c r="D1020" s="60" t="s">
        <v>226</v>
      </c>
      <c r="E1020" s="60" t="s">
        <v>227</v>
      </c>
      <c r="F1020" s="60" t="s">
        <v>260</v>
      </c>
      <c r="G1020" s="61" t="n">
        <v>42.1</v>
      </c>
      <c r="H1020" s="62" t="n">
        <f aca="false">MAX(0,IF(AND(Parameter!$B$21="Ja",ISNUMBER(Y1020)),Y1020,IF(Parameter!$B$20="Jahresanfang 2025 + Export",BS1020+BR1020,BR1020)))</f>
        <v>2</v>
      </c>
      <c r="I1020" s="62" t="n">
        <f aca="false">H1020*G1020</f>
        <v>84.2</v>
      </c>
      <c r="J1020" s="62" t="n">
        <f aca="false">BU1020*Parameter!$B$18</f>
        <v>6</v>
      </c>
      <c r="K1020" s="63" t="n">
        <v>3.5</v>
      </c>
      <c r="L1020" s="64" t="n">
        <v>1.71428571428571</v>
      </c>
      <c r="M1020" s="62" t="n">
        <v>0</v>
      </c>
      <c r="N1020" s="62" t="n">
        <v>5</v>
      </c>
      <c r="O1020" s="65" t="n">
        <v>20</v>
      </c>
      <c r="P1020" s="60" t="s">
        <v>518</v>
      </c>
      <c r="Q1020" s="62" t="n">
        <v>10</v>
      </c>
      <c r="R1020" s="65" t="n">
        <f aca="false">IF(CA1020=1,0,IFERROR(VLOOKUP(BY1020,'Gebinde-Kategorie'!$A$5:$N$45,13,0)+0,0))</f>
        <v>52</v>
      </c>
      <c r="S1020" s="66"/>
      <c r="T1020" s="67"/>
      <c r="U1020" s="67"/>
      <c r="V1020" s="67"/>
      <c r="W1020" s="60"/>
      <c r="X1020" s="62"/>
      <c r="Y1020" s="62"/>
      <c r="Z1020" s="60" t="n">
        <v>3</v>
      </c>
      <c r="AA1020" s="60" t="n">
        <f aca="false">IF(A1020="","",IF(AND(Parameter!$B$21="Ja",ISNUMBER(W1020)),W1020,IF(AND(Parameter!$E$27="Ja",ISNUMBER(Z1020),CD1020&lt;&gt;"Nein"),Z1020,IF(CD1020="2+3",IF(ISNUMBER(SEARCH("grosser Artikel",BV1020)),2,IFERROR(VLOOKUP(BY1020,Parameter!$F$35:$G$64,2,0),2)),IF(OR(CD1020="Nein",CD1020=""),"-",CD1020)))))</f>
        <v>3</v>
      </c>
      <c r="AB1020" s="67"/>
      <c r="AC1020" s="68"/>
      <c r="AD1020" s="62" t="n">
        <f aca="false">AW1020</f>
        <v>5</v>
      </c>
      <c r="AE1020" s="62" t="n">
        <f aca="false">MAX(AW1020,H1020)</f>
        <v>5</v>
      </c>
      <c r="AF1020" s="69"/>
      <c r="AG1020" s="62" t="n">
        <f aca="false">IF(LEFT(Cockpit!$C$5,1)="A",H1020,IF(Parameter!$E$30="MAX-Bestand",IF(CI1020=1,CJ1020,IF(LEFT(Cockpit!$C$5,1)="B",AM1020,MAX(AM1020,H1020))),ROUNDUP(AK1020,0)))</f>
        <v>2</v>
      </c>
      <c r="AH1020" s="62" t="n">
        <f aca="false">IF(CA1020=1,0,ROUNDUP(AG1020/BZ1020,0))</f>
        <v>1</v>
      </c>
      <c r="AI1020" s="64" t="n">
        <f aca="false">IF(CR1020&gt;0,CR1020*MAX(1,AG1020/X1020),IF(CA1020=1,IF(AG1020&lt;=0,0,CE1020*MAX(1,IF(H1020&gt;0,AG1020/H1020,1))),IF(R1020&gt;0,AH1020/R1020,0))/MAX(0.1,N(Parameter!$M$21)))</f>
        <v>0.0192307692307692</v>
      </c>
      <c r="AJ1020" s="62" t="n">
        <f aca="false">AI1020*CC1020</f>
        <v>2.98076923076923</v>
      </c>
      <c r="AK1020" s="63" t="n">
        <f aca="false">IF(LEFT(Cockpit!$C$5,1)="A",H1020,IF(CI1020=1,(CL1020+CJ1020)/2,IF(LEFT(Cockpit!$C$5,1)="B",(CL1020+AM1020)/2,MAX((CL1020+AM1020)/2,H1020))))</f>
        <v>2</v>
      </c>
      <c r="AL1020" s="62" t="n">
        <f aca="false">AK1020*G1020</f>
        <v>84.2</v>
      </c>
      <c r="AM1020" s="62" t="n">
        <f aca="false">ROUNDUP(CL1020+MAX(CM1020,2*(J1020/IF(CH1020&gt;0,CH1020,MAX(0.1,N(Cockpit!$C$6)))-CL1020)),0)</f>
        <v>5</v>
      </c>
      <c r="AN1020" s="63" t="n">
        <f aca="false">IF(AJ1020&gt;0,J1020/AJ1020,-1)</f>
        <v>2.01290322580645</v>
      </c>
      <c r="AO1020" s="63" t="n">
        <f aca="false">IF(AND(OR(CG1020="L1",CG1020="L23",CG1020="LIFT"),AJ1020&gt;0),SUMIFS($AJ$7:$AJ$1843,$CG$7:$CG$1843,CG1020,$AN$7:$AN$1843,"&gt;"&amp;AN1020)+SUMIFS($AJ$7:$AJ$1843,$CG$7:$CG$1843,CG1020,$AN$7:$AN$1843,AN1020,$BX$7:$BX$1843,"&lt;="&amp;BX1020),"")</f>
        <v>5796.81135531136</v>
      </c>
      <c r="AP1020" s="70" t="n">
        <f aca="false">IF(AO1020="",0,MAX(0,MIN(1,(IF(CG1020="L1",Parameter!$H$5,IF(CG1020="L23",Parameter!$H$6+Parameter!$H$7,Parameter!$H$5+Parameter!$H$6+Parameter!$H$7))-(AO1020-AJ1020))/AJ1020)))</f>
        <v>1</v>
      </c>
      <c r="AQ1020" s="62" t="n">
        <f aca="false">IF(LEFT(Cockpit!$I$5,1)="A",H1020,IF(Parameter!$E$30="MAX-Bestand",IF(CI1020=1,CJ1020,IF(LEFT(Cockpit!$I$5,1)="B",AW1020,MAX(AW1020,H1020))),ROUNDUP(AU1020,0)))</f>
        <v>3</v>
      </c>
      <c r="AR1020" s="62" t="n">
        <f aca="false">IF(CA1020=1,0,ROUNDUP(AQ1020/BZ1020,0))</f>
        <v>1</v>
      </c>
      <c r="AS1020" s="64" t="n">
        <f aca="false">IF(CR1020&gt;0,CR1020*MAX(1,AQ1020/X1020),IF(CA1020=1,IF(AQ1020&lt;=0,0,CE1020*MAX(1,IF(H1020&gt;0,AQ1020/H1020,1))),IF(R1020&gt;0,AR1020/R1020,0))/MAX(0.1,N(Parameter!$M$21)))</f>
        <v>0.0192307692307692</v>
      </c>
      <c r="AT1020" s="62" t="n">
        <f aca="false">AS1020*CC1020</f>
        <v>2.98076923076923</v>
      </c>
      <c r="AU1020" s="63" t="n">
        <f aca="false">IF(LEFT(Cockpit!$I$5,1)="A",H1020,IF(CI1020=1,(CL1020+CJ1020)/2,IF(LEFT(Cockpit!$I$5,1)="B",(CL1020+AW1020)/2,MAX((CL1020+AW1020)/2,H1020))))</f>
        <v>2.5</v>
      </c>
      <c r="AV1020" s="62" t="n">
        <f aca="false">AU1020*G1020</f>
        <v>105.25</v>
      </c>
      <c r="AW1020" s="62" t="n">
        <f aca="false">ROUNDUP(CL1020+MAX(CM1020,2*(J1020/IF(CH1020&gt;0,CH1020,MAX(0.1,N(Cockpit!$I$6)))-CL1020)),0)</f>
        <v>5</v>
      </c>
      <c r="AX1020" s="63" t="n">
        <f aca="false">IF(AT1020&gt;0,J1020/AT1020,-1)</f>
        <v>2.01290322580645</v>
      </c>
      <c r="AY1020" s="63" t="n">
        <f aca="false">IF(AND(OR(CG1020="L1",CG1020="L23",CG1020="LIFT"),AT1020&gt;0),SUMIFS($AT$7:$AT$1843,$CG$7:$CG$1843,CG1020,$AX$7:$AX$1843,"&gt;"&amp;AX1020)+SUMIFS($AT$7:$AT$1843,$CG$7:$CG$1843,CG1020,$AX$7:$AX$1843,AX1020,$BX$7:$BX$1843,"&lt;="&amp;BX1020),"")</f>
        <v>7164.75091575092</v>
      </c>
      <c r="AZ1020" s="70" t="n">
        <f aca="false">IF(AY1020="",0,MAX(0,MIN(1,(IF(CG1020="L1",Parameter!$H$5,IF(CG1020="L23",Parameter!$H$6+Parameter!$H$7,Parameter!$H$5+Parameter!$H$6+Parameter!$H$7))-(AY1020-AT1020))/AT1020)))</f>
        <v>1</v>
      </c>
      <c r="BA1020" s="62" t="n">
        <f aca="false">IF(LEFT(Cockpit!$O$5,1)="A",H1020,IF(Parameter!$E$30="MAX-Bestand",IF(CI1020=1,CJ1020,IF(LEFT(Cockpit!$O$5,1)="B",BG1020,MAX(BG1020,H1020))),ROUNDUP(BE1020,0)))</f>
        <v>3</v>
      </c>
      <c r="BB1020" s="62" t="n">
        <f aca="false">IF(CA1020=1,0,ROUNDUP(BA1020/BZ1020,0))</f>
        <v>1</v>
      </c>
      <c r="BC1020" s="64" t="n">
        <f aca="false">IF(CR1020&gt;0,CR1020*MAX(1,BA1020/X1020),IF(CA1020=1,IF(BA1020&lt;=0,0,CE1020*MAX(1,IF(H1020&gt;0,BA1020/H1020,1))),IF(R1020&gt;0,BB1020/R1020,0))/MAX(0.1,N(Parameter!$M$21)))</f>
        <v>0.0192307692307692</v>
      </c>
      <c r="BD1020" s="62" t="n">
        <f aca="false">BC1020*CC1020</f>
        <v>2.98076923076923</v>
      </c>
      <c r="BE1020" s="63" t="n">
        <f aca="false">IF(LEFT(Cockpit!$O$5,1)="A",H1020,IF(CI1020=1,(CL1020+CJ1020)/2,IF(LEFT(Cockpit!$O$5,1)="B",(CL1020+BG1020)/2,MAX((CL1020+BG1020)/2,H1020))))</f>
        <v>2.5</v>
      </c>
      <c r="BF1020" s="62" t="n">
        <f aca="false">BE1020*G1020</f>
        <v>105.25</v>
      </c>
      <c r="BG1020" s="62" t="n">
        <f aca="false">ROUNDUP(CL1020+MAX(CM1020,2*(J1020/IF(CH1020&gt;0,CH1020,MAX(0.1,N(Cockpit!$O$6)))-CL1020)),0)</f>
        <v>5</v>
      </c>
      <c r="BH1020" s="63" t="n">
        <f aca="false">IF(BD1020&gt;0,J1020/BD1020,-1)</f>
        <v>2.01290322580645</v>
      </c>
      <c r="BI1020" s="63" t="n">
        <f aca="false">IF(AND(OR(CG1020="L1",CG1020="L23",CG1020="LIFT"),BD1020&gt;0),SUMIFS($BD$7:$BD$1843,$CG$7:$CG$1843,CG1020,$BH$7:$BH$1843,"&gt;"&amp;BH1020)+SUMIFS($BD$7:$BD$1843,$CG$7:$CG$1843,CG1020,$BH$7:$BH$1843,BH1020,$BX$7:$BX$1843,"&lt;="&amp;BX1020),"")</f>
        <v>5878.50641025641</v>
      </c>
      <c r="BJ1020" s="70" t="n">
        <f aca="false">IF(BI1020="",0,MAX(0,MIN(1,(IF(CG1020="L1",Parameter!$H$5,IF(CG1020="L23",Parameter!$H$6+Parameter!$H$7,Parameter!$H$5+Parameter!$H$6+Parameter!$H$7))-(BI1020-BD1020))/BD1020)))</f>
        <v>1</v>
      </c>
      <c r="BK1020" s="60" t="str">
        <f aca="false">IF(AJ1020&lt;=0,"",IF(CG1020="Aussen","Aussenlager",IF(CG1020="-","Nicht im Lift",IF(AP1020&gt;=1,"Lift",IF(AP1020&lt;=0,"Aussenlager","teilweise")))))</f>
        <v>Lift</v>
      </c>
      <c r="BL1020" s="60" t="str">
        <f aca="false">IF(AT1020&lt;=0,"",IF(CG1020="Aussen","Aussenlager",IF(CG1020="-","Nicht im Lift",IF(AZ1020&gt;=1,"Lift",IF(AZ1020&lt;=0,"Aussenlager","teilweise")))))</f>
        <v>Lift</v>
      </c>
      <c r="BM1020" s="60" t="str">
        <f aca="false">IF(BD1020&lt;=0,"",IF(CG1020="Aussen","Aussenlager",IF(CG1020="-","Nicht im Lift",IF(BJ1020&gt;=1,"Lift",IF(BJ1020&lt;=0,"Aussenlager","teilweise")))))</f>
        <v>Lift</v>
      </c>
      <c r="BN1020" s="60" t="str">
        <f aca="false">IF(A1020="","",IF(BW1020=1,"Neu; ","")&amp;IF(AND(BW1020=0,BR1020&lt;0),"negativer Bestand (Export "&amp;BR1020&amp;"); ","")&amp;IF(J1020&lt;=0,"Kein Verbrauch; ","")&amp;IF(CR1020&gt;0,"Lift "&amp;W1020&amp;" lt. Liftbericht (Fach "&amp;X1020&amp;" Stk); ",IF(CB1020=1,"Gebinde geschätzt ("&amp;T1020&amp;"); ",IF(CA1020=1,"Lose – Tablare geschätzt; ","")))&amp;IF(H1020&gt;AW1020,"Überbestand "&amp;ROUND(H1020-AW1020,0)&amp;" Stk / CHF "&amp;ROUND((H1020-AW1020)*G1020,0)&amp;"; ","")&amp;IF(AND(CI1020=1,CJ1020&lt;CK1020),"MAX &lt; MB+LG; ","")&amp;IF(AND(CQ1020&gt;0,CP1020*10&gt;CQ1020),"zu hoch für Tablar; ","")&amp;IF(AND(BW1020=0,OR(CI1020=1,AB1020&lt;&gt;"",U1020&lt;&gt;"",V1020&lt;&gt;"",AC1020&lt;&gt;"")),"manuell übersteuert; ","")&amp;IF(AND(CA1020=0,R1020=0),"Gebinde unbekannt / Stellmass fehlt; ","")&amp;IF(AND(CA1020=0,N(V1020)&lt;=0,N(Q1020)&lt;=0),"Menge pro Gebinde fehlt (Ist = 1 Gebinde); ","")&amp;BV1020)</f>
        <v>negativer Bestand (Export -3); </v>
      </c>
      <c r="BO1020" s="60"/>
      <c r="BP1020" s="60"/>
      <c r="BQ1020" s="67"/>
      <c r="BR1020" s="62" t="n">
        <v>-3</v>
      </c>
      <c r="BS1020" s="62" t="n">
        <v>5</v>
      </c>
      <c r="BT1020" s="61" t="n">
        <v>-116.35</v>
      </c>
      <c r="BU1020" s="62" t="n">
        <v>6</v>
      </c>
      <c r="BV1020" s="60"/>
      <c r="BW1020" s="65" t="n">
        <v>0</v>
      </c>
      <c r="BX1020" s="65" t="n">
        <v>1020</v>
      </c>
      <c r="BY1020" s="60" t="str">
        <f aca="false">IF(U1020&lt;&gt;"",UPPER(TRIM(U1020)),IF(CB1020=1,UPPER(VLOOKUP(T1020,Parameter!$I$27:$K$29,2,0)),IF(P1020="","LOSE",P1020)))</f>
        <v>S33</v>
      </c>
      <c r="BZ1020" s="62" t="n">
        <f aca="false">IF(BY1020="LOSE",1,IF(N(V1020)&gt;0,V1020,IF(CB1020=1,MAX(1,N(VLOOKUP(T1020,Parameter!$I$27:$K$29,3,0)),H1020,N(N1020)),IF(N(Q1020)&gt;0,Q1020,MAX(1,H1020)))))</f>
        <v>10</v>
      </c>
      <c r="CA1020" s="65" t="n">
        <f aca="false">IF(BY1020="LOSE",1,0)</f>
        <v>0</v>
      </c>
      <c r="CB1020" s="65" t="n">
        <f aca="false">IF(AND(U1020="",OR(P1020="",P1020="LOSE"),T1020&lt;&gt;"",N(S1020)&lt;=0,ISNUMBER(MATCH(T1020,Parameter!$I$27:$I$29,0))),1,0)</f>
        <v>0</v>
      </c>
      <c r="CC1020" s="65" t="n">
        <f aca="false">IF(CR1020&gt;0,INDEX(Parameter!$H$5:$H$7,W1020)/INDEX(Parameter!$E$5:$E$7,W1020),IF(AND(CA1020=0,N(IFERROR(VLOOKUP(BY1020,'Gebinde-Kategorie'!$A$5:$N$45,14,0),0))&gt;0),VLOOKUP(BY1020,'Gebinde-Kategorie'!$A$5:$N$45,14,0)*10+Parameter!$M$23,Parameter!$M$24))</f>
        <v>155</v>
      </c>
      <c r="CD1020" s="60" t="str">
        <f aca="false">IF(AND(Parameter!$B$19="Ja",E1020&lt;&gt;"",ISNUMBER(MATCH(E1020,Parameter!$I$35:$I$52,0))),VLOOKUP(E1020,Parameter!$I$35:$J$52,2,0),IFERROR(VLOOKUP(D1020,Parameter!$A$35:$C$64,2,0),"Nein"))</f>
        <v>2+3</v>
      </c>
      <c r="CE1020" s="64" t="n">
        <f aca="false">IF(CA1020=0,0,IF(N(S1020)&gt;0,S1020,IFERROR(VLOOKUP(D1020,Parameter!$A$35:$C$64,3,0)+0,0)))</f>
        <v>0</v>
      </c>
      <c r="CF1020" s="60" t="n">
        <f aca="false">IF(AB1020&lt;&gt;"",AB1020,AA1020)</f>
        <v>3</v>
      </c>
      <c r="CG1020" s="60" t="str">
        <f aca="false">IF(OR(CF1020=1,CF1020=2,CF1020=3),IF(Parameter!$E$27="Ja","LIFT",IF(CF1020=1,"L1","L23")),IF(CF1020="Aussen","Aussen","-"))</f>
        <v>LIFT</v>
      </c>
      <c r="CH1020" s="71" t="n">
        <f aca="false">IF(N(AC1020)&gt;0,AC1020,0)</f>
        <v>0</v>
      </c>
      <c r="CI1020" s="65" t="n">
        <f aca="false">IF(ISNUMBER(AF1020),1,0)</f>
        <v>0</v>
      </c>
      <c r="CJ1020" s="62" t="n">
        <f aca="false">N(AF1020)</f>
        <v>0</v>
      </c>
      <c r="CK1020" s="62" t="n">
        <f aca="false">N(M1020)+N(N1020)</f>
        <v>5</v>
      </c>
      <c r="CL1020" s="62" t="n">
        <f aca="false">N(M1020)</f>
        <v>0</v>
      </c>
      <c r="CM1020" s="62" t="n">
        <f aca="false">N(N1020)</f>
        <v>5</v>
      </c>
      <c r="CN1020" s="62" t="n">
        <f aca="false">ROUNDUP(H1020/BZ1020,0)</f>
        <v>1</v>
      </c>
      <c r="CO1020" s="62" t="n">
        <f aca="false">ROUNDUP(CJ1020/BZ1020,0)</f>
        <v>0</v>
      </c>
      <c r="CP1020" s="65" t="n">
        <f aca="false">IF(CA1020=1,0,IFERROR(VLOOKUP(BY1020,'Gebinde-Kategorie'!$A$5:$N$45,5,0)+0,0))</f>
        <v>8</v>
      </c>
      <c r="CQ1020" s="65" t="n">
        <f aca="false">IFERROR(IF(OR(CF1020=1,CF1020=2,CF1020=3),N(INDEX(Parameter!$I$5:$I$7,CF1020)),0),0)</f>
        <v>0</v>
      </c>
      <c r="CR1020" s="64" t="n">
        <f aca="false">IF(AND(Parameter!$B$21="Ja",ISNUMBER(W1020),N(X1020)&gt;0),IFERROR(N(INDEX(Parameter!$L$5:$L$7,W1020))*INDEX(Parameter!$E$5:$E$7,W1020)*X1020/SUMIFS($X$7:$X$1843,$W$7:$W$1843,W1020),0),0)</f>
        <v>0</v>
      </c>
      <c r="CS1020" s="62" t="n">
        <f aca="false">IF(AND(OR(CG1020="L1",CG1020="L23",CG1020="LIFT"),H1020&gt;0),CC1020*IF(CR1020&gt;0,CR1020*MAX(1,H1020/X1020),IF(CA1020=1,CE1020,IF(R1020&gt;0,CN1020/R1020,0))/MAX(0.1,N(Parameter!$M$21))),"")</f>
        <v>2.98076923076923</v>
      </c>
      <c r="CT1020" s="64" t="n">
        <f aca="false">IF(CS1020="","",J1020/H1020)</f>
        <v>3</v>
      </c>
      <c r="CU1020" s="62" t="n">
        <f aca="false">IF(CS1020="","",H1020*G1020)</f>
        <v>84.2</v>
      </c>
      <c r="CV1020" s="63" t="n">
        <f aca="false">IF(CS1020="","",(CL1020+ROUNDUP(CL1020+MAX(CM1020,2*(J1020/MAX(0.1,N(Einkauf!$C$6))-CL1020)),0))/2)</f>
        <v>2.5</v>
      </c>
      <c r="CW1020" s="62" t="n">
        <f aca="false">IF(CS1020="","",MAX(0,H1020-CV1020)*G1020)</f>
        <v>0</v>
      </c>
      <c r="CX1020" s="62" t="n">
        <f aca="false">IF(CS1020="","",CS1020*MAX(0,1-CV1020/H1020))</f>
        <v>0</v>
      </c>
      <c r="CY1020" s="64" t="n">
        <f aca="false">IF(CS1020="","",PERCENTRANK($CS$7:$CS$1843,CS1020)+PERCENTRANK($CU$7:$CU$1843,CU1020)+1-PERCENTRANK($CT$7:$CT$1843,CT1020))</f>
        <v>0.537</v>
      </c>
      <c r="CZ1020" s="72" t="n">
        <f aca="false">IF(CS1020="","",CHOOSE(MATCH(Einkauf!$C$5,Parameter!$G$23:$G$27,0),CY1020,CS1020,CU1020,-CT1020,CW1020)+ROW()/1000000000)</f>
        <v>0.53700102</v>
      </c>
    </row>
    <row r="1021" customFormat="false" ht="15" hidden="false" customHeight="false" outlineLevel="0" collapsed="false">
      <c r="A1021" s="60" t="s">
        <v>1920</v>
      </c>
      <c r="B1021" s="60" t="s">
        <v>447</v>
      </c>
      <c r="C1021" s="60" t="s">
        <v>206</v>
      </c>
      <c r="D1021" s="60" t="s">
        <v>226</v>
      </c>
      <c r="E1021" s="60" t="s">
        <v>227</v>
      </c>
      <c r="F1021" s="60" t="s">
        <v>260</v>
      </c>
      <c r="G1021" s="61" t="n">
        <v>2.49</v>
      </c>
      <c r="H1021" s="62" t="n">
        <f aca="false">MAX(0,IF(AND(Parameter!$B$21="Ja",ISNUMBER(Y1021)),Y1021,IF(Parameter!$B$20="Jahresanfang 2025 + Export",BS1021+BR1021,BR1021)))</f>
        <v>129</v>
      </c>
      <c r="I1021" s="62" t="n">
        <f aca="false">H1021*G1021</f>
        <v>321.21</v>
      </c>
      <c r="J1021" s="62" t="n">
        <f aca="false">BU1021*Parameter!$B$18</f>
        <v>43</v>
      </c>
      <c r="K1021" s="63" t="n">
        <v>156.5</v>
      </c>
      <c r="L1021" s="64" t="n">
        <v>0.274760383386582</v>
      </c>
      <c r="M1021" s="62" t="n">
        <v>14</v>
      </c>
      <c r="N1021" s="62" t="n">
        <v>45</v>
      </c>
      <c r="O1021" s="65" t="n">
        <v>119</v>
      </c>
      <c r="P1021" s="60" t="s">
        <v>344</v>
      </c>
      <c r="Q1021" s="62" t="n">
        <v>480</v>
      </c>
      <c r="R1021" s="65" t="n">
        <f aca="false">IF(CA1021=1,0,IFERROR(VLOOKUP(BY1021,'Gebinde-Kategorie'!$A$5:$N$45,13,0)+0,0))</f>
        <v>26</v>
      </c>
      <c r="S1021" s="66"/>
      <c r="T1021" s="67"/>
      <c r="U1021" s="67"/>
      <c r="V1021" s="67"/>
      <c r="W1021" s="60"/>
      <c r="X1021" s="62"/>
      <c r="Y1021" s="62"/>
      <c r="Z1021" s="60" t="n">
        <v>3</v>
      </c>
      <c r="AA1021" s="60" t="n">
        <f aca="false">IF(A1021="","",IF(AND(Parameter!$B$21="Ja",ISNUMBER(W1021)),W1021,IF(AND(Parameter!$E$27="Ja",ISNUMBER(Z1021),CD1021&lt;&gt;"Nein"),Z1021,IF(CD1021="2+3",IF(ISNUMBER(SEARCH("grosser Artikel",BV1021)),2,IFERROR(VLOOKUP(BY1021,Parameter!$F$35:$G$64,2,0),2)),IF(OR(CD1021="Nein",CD1021=""),"-",CD1021)))))</f>
        <v>3</v>
      </c>
      <c r="AB1021" s="67"/>
      <c r="AC1021" s="68"/>
      <c r="AD1021" s="62" t="n">
        <f aca="false">AW1021</f>
        <v>59</v>
      </c>
      <c r="AE1021" s="62" t="n">
        <f aca="false">MAX(AW1021,H1021)</f>
        <v>129</v>
      </c>
      <c r="AF1021" s="69"/>
      <c r="AG1021" s="62" t="n">
        <f aca="false">IF(LEFT(Cockpit!$C$5,1)="A",H1021,IF(Parameter!$E$30="MAX-Bestand",IF(CI1021=1,CJ1021,IF(LEFT(Cockpit!$C$5,1)="B",AM1021,MAX(AM1021,H1021))),ROUNDUP(AK1021,0)))</f>
        <v>129</v>
      </c>
      <c r="AH1021" s="62" t="n">
        <f aca="false">IF(CA1021=1,0,ROUNDUP(AG1021/BZ1021,0))</f>
        <v>1</v>
      </c>
      <c r="AI1021" s="64" t="n">
        <f aca="false">IF(CR1021&gt;0,CR1021*MAX(1,AG1021/X1021),IF(CA1021=1,IF(AG1021&lt;=0,0,CE1021*MAX(1,IF(H1021&gt;0,AG1021/H1021,1))),IF(R1021&gt;0,AH1021/R1021,0))/MAX(0.1,N(Parameter!$M$21)))</f>
        <v>0.0384615384615385</v>
      </c>
      <c r="AJ1021" s="62" t="n">
        <f aca="false">AI1021*CC1021</f>
        <v>5.96153846153846</v>
      </c>
      <c r="AK1021" s="63" t="n">
        <f aca="false">IF(LEFT(Cockpit!$C$5,1)="A",H1021,IF(CI1021=1,(CL1021+CJ1021)/2,IF(LEFT(Cockpit!$C$5,1)="B",(CL1021+AM1021)/2,MAX((CL1021+AM1021)/2,H1021))))</f>
        <v>129</v>
      </c>
      <c r="AL1021" s="62" t="n">
        <f aca="false">AK1021*G1021</f>
        <v>321.21</v>
      </c>
      <c r="AM1021" s="62" t="n">
        <f aca="false">ROUNDUP(CL1021+MAX(CM1021,2*(J1021/IF(CH1021&gt;0,CH1021,MAX(0.1,N(Cockpit!$C$6)))-CL1021)),0)</f>
        <v>59</v>
      </c>
      <c r="AN1021" s="63" t="n">
        <f aca="false">IF(AJ1021&gt;0,J1021/AJ1021,-1)</f>
        <v>7.21290322580645</v>
      </c>
      <c r="AO1021" s="63" t="n">
        <f aca="false">IF(AND(OR(CG1021="L1",CG1021="L23",CG1021="LIFT"),AJ1021&gt;0),SUMIFS($AJ$7:$AJ$1843,$CG$7:$CG$1843,CG1021,$AN$7:$AN$1843,"&gt;"&amp;AN1021)+SUMIFS($AJ$7:$AJ$1843,$CG$7:$CG$1843,CG1021,$AN$7:$AN$1843,AN1021,$BX$7:$BX$1843,"&lt;="&amp;BX1021),"")</f>
        <v>3163.7586996337</v>
      </c>
      <c r="AP1021" s="70" t="n">
        <f aca="false">IF(AO1021="",0,MAX(0,MIN(1,(IF(CG1021="L1",Parameter!$H$5,IF(CG1021="L23",Parameter!$H$6+Parameter!$H$7,Parameter!$H$5+Parameter!$H$6+Parameter!$H$7))-(AO1021-AJ1021))/AJ1021)))</f>
        <v>1</v>
      </c>
      <c r="AQ1021" s="62" t="n">
        <f aca="false">IF(LEFT(Cockpit!$I$5,1)="A",H1021,IF(Parameter!$E$30="MAX-Bestand",IF(CI1021=1,CJ1021,IF(LEFT(Cockpit!$I$5,1)="B",AW1021,MAX(AW1021,H1021))),ROUNDUP(AU1021,0)))</f>
        <v>129</v>
      </c>
      <c r="AR1021" s="62" t="n">
        <f aca="false">IF(CA1021=1,0,ROUNDUP(AQ1021/BZ1021,0))</f>
        <v>1</v>
      </c>
      <c r="AS1021" s="64" t="n">
        <f aca="false">IF(CR1021&gt;0,CR1021*MAX(1,AQ1021/X1021),IF(CA1021=1,IF(AQ1021&lt;=0,0,CE1021*MAX(1,IF(H1021&gt;0,AQ1021/H1021,1))),IF(R1021&gt;0,AR1021/R1021,0))/MAX(0.1,N(Parameter!$M$21)))</f>
        <v>0.0384615384615385</v>
      </c>
      <c r="AT1021" s="62" t="n">
        <f aca="false">AS1021*CC1021</f>
        <v>5.96153846153846</v>
      </c>
      <c r="AU1021" s="63" t="n">
        <f aca="false">IF(LEFT(Cockpit!$I$5,1)="A",H1021,IF(CI1021=1,(CL1021+CJ1021)/2,IF(LEFT(Cockpit!$I$5,1)="B",(CL1021+AW1021)/2,MAX((CL1021+AW1021)/2,H1021))))</f>
        <v>129</v>
      </c>
      <c r="AV1021" s="62" t="n">
        <f aca="false">AU1021*G1021</f>
        <v>321.21</v>
      </c>
      <c r="AW1021" s="62" t="n">
        <f aca="false">ROUNDUP(CL1021+MAX(CM1021,2*(J1021/IF(CH1021&gt;0,CH1021,MAX(0.1,N(Cockpit!$I$6)))-CL1021)),0)</f>
        <v>59</v>
      </c>
      <c r="AX1021" s="63" t="n">
        <f aca="false">IF(AT1021&gt;0,J1021/AT1021,-1)</f>
        <v>7.21290322580645</v>
      </c>
      <c r="AY1021" s="63" t="n">
        <f aca="false">IF(AND(OR(CG1021="L1",CG1021="L23",CG1021="LIFT"),AT1021&gt;0),SUMIFS($AT$7:$AT$1843,$CG$7:$CG$1843,CG1021,$AX$7:$AX$1843,"&gt;"&amp;AX1021)+SUMIFS($AT$7:$AT$1843,$CG$7:$CG$1843,CG1021,$AX$7:$AX$1843,AX1021,$BX$7:$BX$1843,"&lt;="&amp;BX1021),"")</f>
        <v>3824.07005494506</v>
      </c>
      <c r="AZ1021" s="70" t="n">
        <f aca="false">IF(AY1021="",0,MAX(0,MIN(1,(IF(CG1021="L1",Parameter!$H$5,IF(CG1021="L23",Parameter!$H$6+Parameter!$H$7,Parameter!$H$5+Parameter!$H$6+Parameter!$H$7))-(AY1021-AT1021))/AT1021)))</f>
        <v>1</v>
      </c>
      <c r="BA1021" s="62" t="n">
        <f aca="false">IF(LEFT(Cockpit!$O$5,1)="A",H1021,IF(Parameter!$E$30="MAX-Bestand",IF(CI1021=1,CJ1021,IF(LEFT(Cockpit!$O$5,1)="B",BG1021,MAX(BG1021,H1021))),ROUNDUP(BE1021,0)))</f>
        <v>37</v>
      </c>
      <c r="BB1021" s="62" t="n">
        <f aca="false">IF(CA1021=1,0,ROUNDUP(BA1021/BZ1021,0))</f>
        <v>1</v>
      </c>
      <c r="BC1021" s="64" t="n">
        <f aca="false">IF(CR1021&gt;0,CR1021*MAX(1,BA1021/X1021),IF(CA1021=1,IF(BA1021&lt;=0,0,CE1021*MAX(1,IF(H1021&gt;0,BA1021/H1021,1))),IF(R1021&gt;0,BB1021/R1021,0))/MAX(0.1,N(Parameter!$M$21)))</f>
        <v>0.0384615384615385</v>
      </c>
      <c r="BD1021" s="62" t="n">
        <f aca="false">BC1021*CC1021</f>
        <v>5.96153846153846</v>
      </c>
      <c r="BE1021" s="63" t="n">
        <f aca="false">IF(LEFT(Cockpit!$O$5,1)="A",H1021,IF(CI1021=1,(CL1021+CJ1021)/2,IF(LEFT(Cockpit!$O$5,1)="B",(CL1021+BG1021)/2,MAX((CL1021+BG1021)/2,H1021))))</f>
        <v>36.5</v>
      </c>
      <c r="BF1021" s="62" t="n">
        <f aca="false">BE1021*G1021</f>
        <v>90.885</v>
      </c>
      <c r="BG1021" s="62" t="n">
        <f aca="false">ROUNDUP(CL1021+MAX(CM1021,2*(J1021/IF(CH1021&gt;0,CH1021,MAX(0.1,N(Cockpit!$O$6)))-CL1021)),0)</f>
        <v>59</v>
      </c>
      <c r="BH1021" s="63" t="n">
        <f aca="false">IF(BD1021&gt;0,J1021/BD1021,-1)</f>
        <v>7.21290322580645</v>
      </c>
      <c r="BI1021" s="63" t="n">
        <f aca="false">IF(AND(OR(CG1021="L1",CG1021="L23",CG1021="LIFT"),BD1021&gt;0),SUMIFS($BD$7:$BD$1843,$CG$7:$CG$1843,CG1021,$BH$7:$BH$1843,"&gt;"&amp;BH1021)+SUMIFS($BD$7:$BD$1843,$CG$7:$CG$1843,CG1021,$BH$7:$BH$1843,BH1021,$BX$7:$BX$1843,"&lt;="&amp;BX1021),"")</f>
        <v>3248.52793040293</v>
      </c>
      <c r="BJ1021" s="70" t="n">
        <f aca="false">IF(BI1021="",0,MAX(0,MIN(1,(IF(CG1021="L1",Parameter!$H$5,IF(CG1021="L23",Parameter!$H$6+Parameter!$H$7,Parameter!$H$5+Parameter!$H$6+Parameter!$H$7))-(BI1021-BD1021))/BD1021)))</f>
        <v>1</v>
      </c>
      <c r="BK1021" s="60" t="str">
        <f aca="false">IF(AJ1021&lt;=0,"",IF(CG1021="Aussen","Aussenlager",IF(CG1021="-","Nicht im Lift",IF(AP1021&gt;=1,"Lift",IF(AP1021&lt;=0,"Aussenlager","teilweise")))))</f>
        <v>Lift</v>
      </c>
      <c r="BL1021" s="60" t="str">
        <f aca="false">IF(AT1021&lt;=0,"",IF(CG1021="Aussen","Aussenlager",IF(CG1021="-","Nicht im Lift",IF(AZ1021&gt;=1,"Lift",IF(AZ1021&lt;=0,"Aussenlager","teilweise")))))</f>
        <v>Lift</v>
      </c>
      <c r="BM1021" s="60" t="str">
        <f aca="false">IF(BD1021&lt;=0,"",IF(CG1021="Aussen","Aussenlager",IF(CG1021="-","Nicht im Lift",IF(BJ1021&gt;=1,"Lift",IF(BJ1021&lt;=0,"Aussenlager","teilweise")))))</f>
        <v>Lift</v>
      </c>
      <c r="BN1021" s="60" t="str">
        <f aca="false">IF(A1021="","",IF(BW1021=1,"Neu; ","")&amp;IF(AND(BW1021=0,BR1021&lt;0),"negativer Bestand (Export "&amp;BR1021&amp;"); ","")&amp;IF(J1021&lt;=0,"Kein Verbrauch; ","")&amp;IF(CR1021&gt;0,"Lift "&amp;W1021&amp;" lt. Liftbericht (Fach "&amp;X1021&amp;" Stk); ",IF(CB1021=1,"Gebinde geschätzt ("&amp;T1021&amp;"); ",IF(CA1021=1,"Lose – Tablare geschätzt; ","")))&amp;IF(H1021&gt;AW1021,"Überbestand "&amp;ROUND(H1021-AW1021,0)&amp;" Stk / CHF "&amp;ROUND((H1021-AW1021)*G1021,0)&amp;"; ","")&amp;IF(AND(CI1021=1,CJ1021&lt;CK1021),"MAX &lt; MB+LG; ","")&amp;IF(AND(CQ1021&gt;0,CP1021*10&gt;CQ1021),"zu hoch für Tablar; ","")&amp;IF(AND(BW1021=0,OR(CI1021=1,AB1021&lt;&gt;"",U1021&lt;&gt;"",V1021&lt;&gt;"",AC1021&lt;&gt;"")),"manuell übersteuert; ","")&amp;IF(AND(CA1021=0,R1021=0),"Gebinde unbekannt / Stellmass fehlt; ","")&amp;IF(AND(CA1021=0,N(V1021)&lt;=0,N(Q1021)&lt;=0),"Menge pro Gebinde fehlt (Ist = 1 Gebinde); ","")&amp;BV1021)</f>
        <v>negativer Bestand (Export -48); Überbestand 70 Stk / CHF 174; twin</v>
      </c>
      <c r="BO1021" s="60"/>
      <c r="BP1021" s="60"/>
      <c r="BQ1021" s="67"/>
      <c r="BR1021" s="62" t="n">
        <v>-48</v>
      </c>
      <c r="BS1021" s="62" t="n">
        <v>177</v>
      </c>
      <c r="BT1021" s="61" t="n">
        <v>-119.52</v>
      </c>
      <c r="BU1021" s="62" t="n">
        <v>43</v>
      </c>
      <c r="BV1021" s="60" t="s">
        <v>1783</v>
      </c>
      <c r="BW1021" s="65" t="n">
        <v>0</v>
      </c>
      <c r="BX1021" s="65" t="n">
        <v>1021</v>
      </c>
      <c r="BY1021" s="60" t="str">
        <f aca="false">IF(U1021&lt;&gt;"",UPPER(TRIM(U1021)),IF(CB1021=1,UPPER(VLOOKUP(T1021,Parameter!$I$27:$K$29,2,0)),IF(P1021="","LOSE",P1021)))</f>
        <v>S51</v>
      </c>
      <c r="BZ1021" s="62" t="n">
        <f aca="false">IF(BY1021="LOSE",1,IF(N(V1021)&gt;0,V1021,IF(CB1021=1,MAX(1,N(VLOOKUP(T1021,Parameter!$I$27:$K$29,3,0)),H1021,N(N1021)),IF(N(Q1021)&gt;0,Q1021,MAX(1,H1021)))))</f>
        <v>480</v>
      </c>
      <c r="CA1021" s="65" t="n">
        <f aca="false">IF(BY1021="LOSE",1,0)</f>
        <v>0</v>
      </c>
      <c r="CB1021" s="65" t="n">
        <f aca="false">IF(AND(U1021="",OR(P1021="",P1021="LOSE"),T1021&lt;&gt;"",N(S1021)&lt;=0,ISNUMBER(MATCH(T1021,Parameter!$I$27:$I$29,0))),1,0)</f>
        <v>0</v>
      </c>
      <c r="CC1021" s="65" t="n">
        <f aca="false">IF(CR1021&gt;0,INDEX(Parameter!$H$5:$H$7,W1021)/INDEX(Parameter!$E$5:$E$7,W1021),IF(AND(CA1021=0,N(IFERROR(VLOOKUP(BY1021,'Gebinde-Kategorie'!$A$5:$N$45,14,0),0))&gt;0),VLOOKUP(BY1021,'Gebinde-Kategorie'!$A$5:$N$45,14,0)*10+Parameter!$M$23,Parameter!$M$24))</f>
        <v>155</v>
      </c>
      <c r="CD1021" s="60" t="str">
        <f aca="false">IF(AND(Parameter!$B$19="Ja",E1021&lt;&gt;"",ISNUMBER(MATCH(E1021,Parameter!$I$35:$I$52,0))),VLOOKUP(E1021,Parameter!$I$35:$J$52,2,0),IFERROR(VLOOKUP(D1021,Parameter!$A$35:$C$64,2,0),"Nein"))</f>
        <v>2+3</v>
      </c>
      <c r="CE1021" s="64" t="n">
        <f aca="false">IF(CA1021=0,0,IF(N(S1021)&gt;0,S1021,IFERROR(VLOOKUP(D1021,Parameter!$A$35:$C$64,3,0)+0,0)))</f>
        <v>0</v>
      </c>
      <c r="CF1021" s="60" t="n">
        <f aca="false">IF(AB1021&lt;&gt;"",AB1021,AA1021)</f>
        <v>3</v>
      </c>
      <c r="CG1021" s="60" t="str">
        <f aca="false">IF(OR(CF1021=1,CF1021=2,CF1021=3),IF(Parameter!$E$27="Ja","LIFT",IF(CF1021=1,"L1","L23")),IF(CF1021="Aussen","Aussen","-"))</f>
        <v>LIFT</v>
      </c>
      <c r="CH1021" s="71" t="n">
        <f aca="false">IF(N(AC1021)&gt;0,AC1021,0)</f>
        <v>0</v>
      </c>
      <c r="CI1021" s="65" t="n">
        <f aca="false">IF(ISNUMBER(AF1021),1,0)</f>
        <v>0</v>
      </c>
      <c r="CJ1021" s="62" t="n">
        <f aca="false">N(AF1021)</f>
        <v>0</v>
      </c>
      <c r="CK1021" s="62" t="n">
        <f aca="false">N(M1021)+N(N1021)</f>
        <v>59</v>
      </c>
      <c r="CL1021" s="62" t="n">
        <f aca="false">N(M1021)</f>
        <v>14</v>
      </c>
      <c r="CM1021" s="62" t="n">
        <f aca="false">N(N1021)</f>
        <v>45</v>
      </c>
      <c r="CN1021" s="62" t="n">
        <f aca="false">ROUNDUP(H1021/BZ1021,0)</f>
        <v>1</v>
      </c>
      <c r="CO1021" s="62" t="n">
        <f aca="false">ROUNDUP(CJ1021/BZ1021,0)</f>
        <v>0</v>
      </c>
      <c r="CP1021" s="65" t="n">
        <f aca="false">IF(CA1021=1,0,IFERROR(VLOOKUP(BY1021,'Gebinde-Kategorie'!$A$5:$N$45,5,0)+0,0))</f>
        <v>11</v>
      </c>
      <c r="CQ1021" s="65" t="n">
        <f aca="false">IFERROR(IF(OR(CF1021=1,CF1021=2,CF1021=3),N(INDEX(Parameter!$I$5:$I$7,CF1021)),0),0)</f>
        <v>0</v>
      </c>
      <c r="CR1021" s="64" t="n">
        <f aca="false">IF(AND(Parameter!$B$21="Ja",ISNUMBER(W1021),N(X1021)&gt;0),IFERROR(N(INDEX(Parameter!$L$5:$L$7,W1021))*INDEX(Parameter!$E$5:$E$7,W1021)*X1021/SUMIFS($X$7:$X$1843,$W$7:$W$1843,W1021),0),0)</f>
        <v>0</v>
      </c>
      <c r="CS1021" s="62" t="n">
        <f aca="false">IF(AND(OR(CG1021="L1",CG1021="L23",CG1021="LIFT"),H1021&gt;0),CC1021*IF(CR1021&gt;0,CR1021*MAX(1,H1021/X1021),IF(CA1021=1,CE1021,IF(R1021&gt;0,CN1021/R1021,0))/MAX(0.1,N(Parameter!$M$21))),"")</f>
        <v>5.96153846153846</v>
      </c>
      <c r="CT1021" s="64" t="n">
        <f aca="false">IF(CS1021="","",J1021/H1021)</f>
        <v>0.333333333333333</v>
      </c>
      <c r="CU1021" s="62" t="n">
        <f aca="false">IF(CS1021="","",H1021*G1021)</f>
        <v>321.21</v>
      </c>
      <c r="CV1021" s="63" t="n">
        <f aca="false">IF(CS1021="","",(CL1021+ROUNDUP(CL1021+MAX(CM1021,2*(J1021/MAX(0.1,N(Einkauf!$C$6))-CL1021)),0))/2)</f>
        <v>36.5</v>
      </c>
      <c r="CW1021" s="62" t="n">
        <f aca="false">IF(CS1021="","",MAX(0,H1021-CV1021)*G1021)</f>
        <v>230.325</v>
      </c>
      <c r="CX1021" s="62" t="n">
        <f aca="false">IF(CS1021="","",CS1021*MAX(0,1-CV1021/H1021))</f>
        <v>4.2747465712582</v>
      </c>
      <c r="CY1021" s="64" t="n">
        <f aca="false">IF(CS1021="","",PERCENTRANK($CS$7:$CS$1843,CS1021)+PERCENTRANK($CU$7:$CU$1843,CU1021)+1-PERCENTRANK($CT$7:$CT$1843,CT1021))</f>
        <v>1.284</v>
      </c>
      <c r="CZ1021" s="72" t="n">
        <f aca="false">IF(CS1021="","",CHOOSE(MATCH(Einkauf!$C$5,Parameter!$G$23:$G$27,0),CY1021,CS1021,CU1021,-CT1021,CW1021)+ROW()/1000000000)</f>
        <v>1.284001021</v>
      </c>
    </row>
    <row r="1022" customFormat="false" ht="15" hidden="false" customHeight="false" outlineLevel="0" collapsed="false">
      <c r="A1022" s="60" t="s">
        <v>1921</v>
      </c>
      <c r="B1022" s="60" t="s">
        <v>913</v>
      </c>
      <c r="C1022" s="60" t="s">
        <v>498</v>
      </c>
      <c r="D1022" s="60" t="s">
        <v>226</v>
      </c>
      <c r="E1022" s="60"/>
      <c r="F1022" s="60" t="s">
        <v>260</v>
      </c>
      <c r="G1022" s="61" t="n">
        <v>15.27</v>
      </c>
      <c r="H1022" s="62" t="n">
        <f aca="false">MAX(0,IF(AND(Parameter!$B$21="Ja",ISNUMBER(Y1022)),Y1022,IF(Parameter!$B$20="Jahresanfang 2025 + Export",BS1022+BR1022,BR1022)))</f>
        <v>8</v>
      </c>
      <c r="I1022" s="62" t="n">
        <f aca="false">H1022*G1022</f>
        <v>122.16</v>
      </c>
      <c r="J1022" s="62" t="n">
        <f aca="false">BU1022*Parameter!$B$18</f>
        <v>8</v>
      </c>
      <c r="K1022" s="63" t="n">
        <v>8</v>
      </c>
      <c r="L1022" s="64" t="n">
        <v>1</v>
      </c>
      <c r="M1022" s="62" t="n">
        <v>1</v>
      </c>
      <c r="N1022" s="62" t="n">
        <v>10</v>
      </c>
      <c r="O1022" s="65" t="n">
        <v>56</v>
      </c>
      <c r="P1022" s="60" t="s">
        <v>210</v>
      </c>
      <c r="Q1022" s="62"/>
      <c r="R1022" s="65" t="n">
        <f aca="false">IF(CA1022=1,0,IFERROR(VLOOKUP(BY1022,'Gebinde-Kategorie'!$A$5:$N$45,13,0)+0,0))</f>
        <v>26</v>
      </c>
      <c r="S1022" s="66"/>
      <c r="T1022" s="67" t="s">
        <v>317</v>
      </c>
      <c r="U1022" s="67"/>
      <c r="V1022" s="67"/>
      <c r="W1022" s="60"/>
      <c r="X1022" s="62"/>
      <c r="Y1022" s="62"/>
      <c r="Z1022" s="60" t="n">
        <v>3</v>
      </c>
      <c r="AA1022" s="60" t="n">
        <f aca="false">IF(A1022="","",IF(AND(Parameter!$B$21="Ja",ISNUMBER(W1022)),W1022,IF(AND(Parameter!$E$27="Ja",ISNUMBER(Z1022),CD1022&lt;&gt;"Nein"),Z1022,IF(CD1022="2+3",IF(ISNUMBER(SEARCH("grosser Artikel",BV1022)),2,IFERROR(VLOOKUP(BY1022,Parameter!$F$35:$G$64,2,0),2)),IF(OR(CD1022="Nein",CD1022=""),"-",CD1022)))))</f>
        <v>3</v>
      </c>
      <c r="AB1022" s="67"/>
      <c r="AC1022" s="68"/>
      <c r="AD1022" s="62" t="n">
        <f aca="false">AW1022</f>
        <v>11</v>
      </c>
      <c r="AE1022" s="62" t="n">
        <f aca="false">MAX(AW1022,H1022)</f>
        <v>11</v>
      </c>
      <c r="AF1022" s="69"/>
      <c r="AG1022" s="62" t="n">
        <f aca="false">IF(LEFT(Cockpit!$C$5,1)="A",H1022,IF(Parameter!$E$30="MAX-Bestand",IF(CI1022=1,CJ1022,IF(LEFT(Cockpit!$C$5,1)="B",AM1022,MAX(AM1022,H1022))),ROUNDUP(AK1022,0)))</f>
        <v>8</v>
      </c>
      <c r="AH1022" s="62" t="n">
        <f aca="false">IF(CA1022=1,0,ROUNDUP(AG1022/BZ1022,0))</f>
        <v>1</v>
      </c>
      <c r="AI1022" s="64" t="n">
        <f aca="false">IF(CR1022&gt;0,CR1022*MAX(1,AG1022/X1022),IF(CA1022=1,IF(AG1022&lt;=0,0,CE1022*MAX(1,IF(H1022&gt;0,AG1022/H1022,1))),IF(R1022&gt;0,AH1022/R1022,0))/MAX(0.1,N(Parameter!$M$21)))</f>
        <v>0.0384615384615385</v>
      </c>
      <c r="AJ1022" s="62" t="n">
        <f aca="false">AI1022*CC1022</f>
        <v>5.96153846153846</v>
      </c>
      <c r="AK1022" s="63" t="n">
        <f aca="false">IF(LEFT(Cockpit!$C$5,1)="A",H1022,IF(CI1022=1,(CL1022+CJ1022)/2,IF(LEFT(Cockpit!$C$5,1)="B",(CL1022+AM1022)/2,MAX((CL1022+AM1022)/2,H1022))))</f>
        <v>8</v>
      </c>
      <c r="AL1022" s="62" t="n">
        <f aca="false">AK1022*G1022</f>
        <v>122.16</v>
      </c>
      <c r="AM1022" s="62" t="n">
        <f aca="false">ROUNDUP(CL1022+MAX(CM1022,2*(J1022/IF(CH1022&gt;0,CH1022,MAX(0.1,N(Cockpit!$C$6)))-CL1022)),0)</f>
        <v>11</v>
      </c>
      <c r="AN1022" s="63" t="n">
        <f aca="false">IF(AJ1022&gt;0,J1022/AJ1022,-1)</f>
        <v>1.34193548387097</v>
      </c>
      <c r="AO1022" s="63" t="n">
        <f aca="false">IF(AND(OR(CG1022="L1",CG1022="L23",CG1022="LIFT"),AJ1022&gt;0),SUMIFS($AJ$7:$AJ$1843,$CG$7:$CG$1843,CG1022,$AN$7:$AN$1843,"&gt;"&amp;AN1022)+SUMIFS($AJ$7:$AJ$1843,$CG$7:$CG$1843,CG1022,$AN$7:$AN$1843,AN1022,$BX$7:$BX$1843,"&lt;="&amp;BX1022),"")</f>
        <v>6349.03250915751</v>
      </c>
      <c r="AP1022" s="70" t="n">
        <f aca="false">IF(AO1022="",0,MAX(0,MIN(1,(IF(CG1022="L1",Parameter!$H$5,IF(CG1022="L23",Parameter!$H$6+Parameter!$H$7,Parameter!$H$5+Parameter!$H$6+Parameter!$H$7))-(AO1022-AJ1022))/AJ1022)))</f>
        <v>1</v>
      </c>
      <c r="AQ1022" s="62" t="n">
        <f aca="false">IF(LEFT(Cockpit!$I$5,1)="A",H1022,IF(Parameter!$E$30="MAX-Bestand",IF(CI1022=1,CJ1022,IF(LEFT(Cockpit!$I$5,1)="B",AW1022,MAX(AW1022,H1022))),ROUNDUP(AU1022,0)))</f>
        <v>8</v>
      </c>
      <c r="AR1022" s="62" t="n">
        <f aca="false">IF(CA1022=1,0,ROUNDUP(AQ1022/BZ1022,0))</f>
        <v>1</v>
      </c>
      <c r="AS1022" s="64" t="n">
        <f aca="false">IF(CR1022&gt;0,CR1022*MAX(1,AQ1022/X1022),IF(CA1022=1,IF(AQ1022&lt;=0,0,CE1022*MAX(1,IF(H1022&gt;0,AQ1022/H1022,1))),IF(R1022&gt;0,AR1022/R1022,0))/MAX(0.1,N(Parameter!$M$21)))</f>
        <v>0.0384615384615385</v>
      </c>
      <c r="AT1022" s="62" t="n">
        <f aca="false">AS1022*CC1022</f>
        <v>5.96153846153846</v>
      </c>
      <c r="AU1022" s="63" t="n">
        <f aca="false">IF(LEFT(Cockpit!$I$5,1)="A",H1022,IF(CI1022=1,(CL1022+CJ1022)/2,IF(LEFT(Cockpit!$I$5,1)="B",(CL1022+AW1022)/2,MAX((CL1022+AW1022)/2,H1022))))</f>
        <v>8</v>
      </c>
      <c r="AV1022" s="62" t="n">
        <f aca="false">AU1022*G1022</f>
        <v>122.16</v>
      </c>
      <c r="AW1022" s="62" t="n">
        <f aca="false">ROUNDUP(CL1022+MAX(CM1022,2*(J1022/IF(CH1022&gt;0,CH1022,MAX(0.1,N(Cockpit!$I$6)))-CL1022)),0)</f>
        <v>11</v>
      </c>
      <c r="AX1022" s="63" t="n">
        <f aca="false">IF(AT1022&gt;0,J1022/AT1022,-1)</f>
        <v>1.34193548387097</v>
      </c>
      <c r="AY1022" s="63" t="n">
        <f aca="false">IF(AND(OR(CG1022="L1",CG1022="L23",CG1022="LIFT"),AT1022&gt;0),SUMIFS($AT$7:$AT$1843,$CG$7:$CG$1843,CG1022,$AX$7:$AX$1843,"&gt;"&amp;AX1022)+SUMIFS($AT$7:$AT$1843,$CG$7:$CG$1843,CG1022,$AX$7:$AX$1843,AX1022,$BX$7:$BX$1843,"&lt;="&amp;BX1022),"")</f>
        <v>7876.19688644689</v>
      </c>
      <c r="AZ1022" s="70" t="n">
        <f aca="false">IF(AY1022="",0,MAX(0,MIN(1,(IF(CG1022="L1",Parameter!$H$5,IF(CG1022="L23",Parameter!$H$6+Parameter!$H$7,Parameter!$H$5+Parameter!$H$6+Parameter!$H$7))-(AY1022-AT1022))/AT1022)))</f>
        <v>1</v>
      </c>
      <c r="BA1022" s="62" t="n">
        <f aca="false">IF(LEFT(Cockpit!$O$5,1)="A",H1022,IF(Parameter!$E$30="MAX-Bestand",IF(CI1022=1,CJ1022,IF(LEFT(Cockpit!$O$5,1)="B",BG1022,MAX(BG1022,H1022))),ROUNDUP(BE1022,0)))</f>
        <v>6</v>
      </c>
      <c r="BB1022" s="62" t="n">
        <f aca="false">IF(CA1022=1,0,ROUNDUP(BA1022/BZ1022,0))</f>
        <v>1</v>
      </c>
      <c r="BC1022" s="64" t="n">
        <f aca="false">IF(CR1022&gt;0,CR1022*MAX(1,BA1022/X1022),IF(CA1022=1,IF(BA1022&lt;=0,0,CE1022*MAX(1,IF(H1022&gt;0,BA1022/H1022,1))),IF(R1022&gt;0,BB1022/R1022,0))/MAX(0.1,N(Parameter!$M$21)))</f>
        <v>0.0384615384615385</v>
      </c>
      <c r="BD1022" s="62" t="n">
        <f aca="false">BC1022*CC1022</f>
        <v>5.96153846153846</v>
      </c>
      <c r="BE1022" s="63" t="n">
        <f aca="false">IF(LEFT(Cockpit!$O$5,1)="A",H1022,IF(CI1022=1,(CL1022+CJ1022)/2,IF(LEFT(Cockpit!$O$5,1)="B",(CL1022+BG1022)/2,MAX((CL1022+BG1022)/2,H1022))))</f>
        <v>6</v>
      </c>
      <c r="BF1022" s="62" t="n">
        <f aca="false">BE1022*G1022</f>
        <v>91.62</v>
      </c>
      <c r="BG1022" s="62" t="n">
        <f aca="false">ROUNDUP(CL1022+MAX(CM1022,2*(J1022/IF(CH1022&gt;0,CH1022,MAX(0.1,N(Cockpit!$O$6)))-CL1022)),0)</f>
        <v>11</v>
      </c>
      <c r="BH1022" s="63" t="n">
        <f aca="false">IF(BD1022&gt;0,J1022/BD1022,-1)</f>
        <v>1.34193548387097</v>
      </c>
      <c r="BI1022" s="63" t="n">
        <f aca="false">IF(AND(OR(CG1022="L1",CG1022="L23",CG1022="LIFT"),BD1022&gt;0),SUMIFS($BD$7:$BD$1843,$CG$7:$CG$1843,CG1022,$BH$7:$BH$1843,"&gt;"&amp;BH1022)+SUMIFS($BD$7:$BD$1843,$CG$7:$CG$1843,CG1022,$BH$7:$BH$1843,BH1022,$BX$7:$BX$1843,"&lt;="&amp;BX1022),"")</f>
        <v>6813.41254578755</v>
      </c>
      <c r="BJ1022" s="70" t="n">
        <f aca="false">IF(BI1022="",0,MAX(0,MIN(1,(IF(CG1022="L1",Parameter!$H$5,IF(CG1022="L23",Parameter!$H$6+Parameter!$H$7,Parameter!$H$5+Parameter!$H$6+Parameter!$H$7))-(BI1022-BD1022))/BD1022)))</f>
        <v>1</v>
      </c>
      <c r="BK1022" s="60" t="str">
        <f aca="false">IF(AJ1022&lt;=0,"",IF(CG1022="Aussen","Aussenlager",IF(CG1022="-","Nicht im Lift",IF(AP1022&gt;=1,"Lift",IF(AP1022&lt;=0,"Aussenlager","teilweise")))))</f>
        <v>Lift</v>
      </c>
      <c r="BL1022" s="60" t="str">
        <f aca="false">IF(AT1022&lt;=0,"",IF(CG1022="Aussen","Aussenlager",IF(CG1022="-","Nicht im Lift",IF(AZ1022&gt;=1,"Lift",IF(AZ1022&lt;=0,"Aussenlager","teilweise")))))</f>
        <v>Lift</v>
      </c>
      <c r="BM1022" s="60" t="str">
        <f aca="false">IF(BD1022&lt;=0,"",IF(CG1022="Aussen","Aussenlager",IF(CG1022="-","Nicht im Lift",IF(BJ1022&gt;=1,"Lift",IF(BJ1022&lt;=0,"Aussenlager","teilweise")))))</f>
        <v>Lift</v>
      </c>
      <c r="BN1022" s="60" t="str">
        <f aca="false">IF(A1022="","",IF(BW1022=1,"Neu; ","")&amp;IF(AND(BW1022=0,BR1022&lt;0),"negativer Bestand (Export "&amp;BR1022&amp;"); ","")&amp;IF(J1022&lt;=0,"Kein Verbrauch; ","")&amp;IF(CR1022&gt;0,"Lift "&amp;W1022&amp;" lt. Liftbericht (Fach "&amp;X1022&amp;" Stk); ",IF(CB1022=1,"Gebinde geschätzt ("&amp;T1022&amp;"); ",IF(CA1022=1,"Lose – Tablare geschätzt; ","")))&amp;IF(H1022&gt;AW1022,"Überbestand "&amp;ROUND(H1022-AW1022,0)&amp;" Stk / CHF "&amp;ROUND((H1022-AW1022)*G1022,0)&amp;"; ","")&amp;IF(AND(CI1022=1,CJ1022&lt;CK1022),"MAX &lt; MB+LG; ","")&amp;IF(AND(CQ1022&gt;0,CP1022*10&gt;CQ1022),"zu hoch für Tablar; ","")&amp;IF(AND(BW1022=0,OR(CI1022=1,AB1022&lt;&gt;"",U1022&lt;&gt;"",V1022&lt;&gt;"",AC1022&lt;&gt;"")),"manuell übersteuert; ","")&amp;IF(AND(CA1022=0,R1022=0),"Gebinde unbekannt / Stellmass fehlt; ","")&amp;IF(AND(CA1022=0,N(V1022)&lt;=0,N(Q1022)&lt;=0),"Menge pro Gebinde fehlt (Ist = 1 Gebinde); ","")&amp;BV1022)</f>
        <v>negativer Bestand (Export -8); Gebinde geschätzt (Klein); Menge pro Gebinde fehlt (Ist = 1 Gebinde); </v>
      </c>
      <c r="BO1022" s="60"/>
      <c r="BP1022" s="60"/>
      <c r="BQ1022" s="67"/>
      <c r="BR1022" s="62" t="n">
        <v>-8</v>
      </c>
      <c r="BS1022" s="62" t="n">
        <v>16</v>
      </c>
      <c r="BT1022" s="61" t="n">
        <v>-122.16</v>
      </c>
      <c r="BU1022" s="62" t="n">
        <v>8</v>
      </c>
      <c r="BV1022" s="60"/>
      <c r="BW1022" s="65" t="n">
        <v>0</v>
      </c>
      <c r="BX1022" s="65" t="n">
        <v>1022</v>
      </c>
      <c r="BY1022" s="60" t="str">
        <f aca="false">IF(U1022&lt;&gt;"",UPPER(TRIM(U1022)),IF(CB1022=1,UPPER(VLOOKUP(T1022,Parameter!$I$27:$K$29,2,0)),IF(P1022="","LOSE",P1022)))</f>
        <v>S51</v>
      </c>
      <c r="BZ1022" s="62" t="n">
        <f aca="false">IF(BY1022="LOSE",1,IF(N(V1022)&gt;0,V1022,IF(CB1022=1,MAX(1,N(VLOOKUP(T1022,Parameter!$I$27:$K$29,3,0)),H1022,N(N1022)),IF(N(Q1022)&gt;0,Q1022,MAX(1,H1022)))))</f>
        <v>20</v>
      </c>
      <c r="CA1022" s="65" t="n">
        <f aca="false">IF(BY1022="LOSE",1,0)</f>
        <v>0</v>
      </c>
      <c r="CB1022" s="65" t="n">
        <f aca="false">IF(AND(U1022="",OR(P1022="",P1022="LOSE"),T1022&lt;&gt;"",N(S1022)&lt;=0,ISNUMBER(MATCH(T1022,Parameter!$I$27:$I$29,0))),1,0)</f>
        <v>1</v>
      </c>
      <c r="CC1022" s="65" t="n">
        <f aca="false">IF(CR1022&gt;0,INDEX(Parameter!$H$5:$H$7,W1022)/INDEX(Parameter!$E$5:$E$7,W1022),IF(AND(CA1022=0,N(IFERROR(VLOOKUP(BY1022,'Gebinde-Kategorie'!$A$5:$N$45,14,0),0))&gt;0),VLOOKUP(BY1022,'Gebinde-Kategorie'!$A$5:$N$45,14,0)*10+Parameter!$M$23,Parameter!$M$24))</f>
        <v>155</v>
      </c>
      <c r="CD1022" s="60" t="str">
        <f aca="false">IF(AND(Parameter!$B$19="Ja",E1022&lt;&gt;"",ISNUMBER(MATCH(E1022,Parameter!$I$35:$I$52,0))),VLOOKUP(E1022,Parameter!$I$35:$J$52,2,0),IFERROR(VLOOKUP(D1022,Parameter!$A$35:$C$64,2,0),"Nein"))</f>
        <v>2+3</v>
      </c>
      <c r="CE1022" s="64" t="n">
        <f aca="false">IF(CA1022=0,0,IF(N(S1022)&gt;0,S1022,IFERROR(VLOOKUP(D1022,Parameter!$A$35:$C$64,3,0)+0,0)))</f>
        <v>0</v>
      </c>
      <c r="CF1022" s="60" t="n">
        <f aca="false">IF(AB1022&lt;&gt;"",AB1022,AA1022)</f>
        <v>3</v>
      </c>
      <c r="CG1022" s="60" t="str">
        <f aca="false">IF(OR(CF1022=1,CF1022=2,CF1022=3),IF(Parameter!$E$27="Ja","LIFT",IF(CF1022=1,"L1","L23")),IF(CF1022="Aussen","Aussen","-"))</f>
        <v>LIFT</v>
      </c>
      <c r="CH1022" s="71" t="n">
        <f aca="false">IF(N(AC1022)&gt;0,AC1022,0)</f>
        <v>0</v>
      </c>
      <c r="CI1022" s="65" t="n">
        <f aca="false">IF(ISNUMBER(AF1022),1,0)</f>
        <v>0</v>
      </c>
      <c r="CJ1022" s="62" t="n">
        <f aca="false">N(AF1022)</f>
        <v>0</v>
      </c>
      <c r="CK1022" s="62" t="n">
        <f aca="false">N(M1022)+N(N1022)</f>
        <v>11</v>
      </c>
      <c r="CL1022" s="62" t="n">
        <f aca="false">N(M1022)</f>
        <v>1</v>
      </c>
      <c r="CM1022" s="62" t="n">
        <f aca="false">N(N1022)</f>
        <v>10</v>
      </c>
      <c r="CN1022" s="62" t="n">
        <f aca="false">ROUNDUP(H1022/BZ1022,0)</f>
        <v>1</v>
      </c>
      <c r="CO1022" s="62" t="n">
        <f aca="false">ROUNDUP(CJ1022/BZ1022,0)</f>
        <v>0</v>
      </c>
      <c r="CP1022" s="65" t="n">
        <f aca="false">IF(CA1022=1,0,IFERROR(VLOOKUP(BY1022,'Gebinde-Kategorie'!$A$5:$N$45,5,0)+0,0))</f>
        <v>11</v>
      </c>
      <c r="CQ1022" s="65" t="n">
        <f aca="false">IFERROR(IF(OR(CF1022=1,CF1022=2,CF1022=3),N(INDEX(Parameter!$I$5:$I$7,CF1022)),0),0)</f>
        <v>0</v>
      </c>
      <c r="CR1022" s="64" t="n">
        <f aca="false">IF(AND(Parameter!$B$21="Ja",ISNUMBER(W1022),N(X1022)&gt;0),IFERROR(N(INDEX(Parameter!$L$5:$L$7,W1022))*INDEX(Parameter!$E$5:$E$7,W1022)*X1022/SUMIFS($X$7:$X$1843,$W$7:$W$1843,W1022),0),0)</f>
        <v>0</v>
      </c>
      <c r="CS1022" s="62" t="n">
        <f aca="false">IF(AND(OR(CG1022="L1",CG1022="L23",CG1022="LIFT"),H1022&gt;0),CC1022*IF(CR1022&gt;0,CR1022*MAX(1,H1022/X1022),IF(CA1022=1,CE1022,IF(R1022&gt;0,CN1022/R1022,0))/MAX(0.1,N(Parameter!$M$21))),"")</f>
        <v>5.96153846153846</v>
      </c>
      <c r="CT1022" s="64" t="n">
        <f aca="false">IF(CS1022="","",J1022/H1022)</f>
        <v>1</v>
      </c>
      <c r="CU1022" s="62" t="n">
        <f aca="false">IF(CS1022="","",H1022*G1022)</f>
        <v>122.16</v>
      </c>
      <c r="CV1022" s="63" t="n">
        <f aca="false">IF(CS1022="","",(CL1022+ROUNDUP(CL1022+MAX(CM1022,2*(J1022/MAX(0.1,N(Einkauf!$C$6))-CL1022)),0))/2)</f>
        <v>6</v>
      </c>
      <c r="CW1022" s="62" t="n">
        <f aca="false">IF(CS1022="","",MAX(0,H1022-CV1022)*G1022)</f>
        <v>30.54</v>
      </c>
      <c r="CX1022" s="62" t="n">
        <f aca="false">IF(CS1022="","",CS1022*MAX(0,1-CV1022/H1022))</f>
        <v>1.49038461538462</v>
      </c>
      <c r="CY1022" s="64" t="n">
        <f aca="false">IF(CS1022="","",PERCENTRANK($CS$7:$CS$1843,CS1022)+PERCENTRANK($CU$7:$CU$1843,CU1022)+1-PERCENTRANK($CT$7:$CT$1843,CT1022))</f>
        <v>0.984</v>
      </c>
      <c r="CZ1022" s="72" t="n">
        <f aca="false">IF(CS1022="","",CHOOSE(MATCH(Einkauf!$C$5,Parameter!$G$23:$G$27,0),CY1022,CS1022,CU1022,-CT1022,CW1022)+ROW()/1000000000)</f>
        <v>0.984001022</v>
      </c>
    </row>
    <row r="1023" customFormat="false" ht="15" hidden="false" customHeight="false" outlineLevel="0" collapsed="false">
      <c r="A1023" s="60" t="s">
        <v>1922</v>
      </c>
      <c r="B1023" s="60" t="s">
        <v>1923</v>
      </c>
      <c r="C1023" s="60" t="s">
        <v>206</v>
      </c>
      <c r="D1023" s="60" t="s">
        <v>226</v>
      </c>
      <c r="E1023" s="60" t="s">
        <v>227</v>
      </c>
      <c r="F1023" s="60" t="s">
        <v>260</v>
      </c>
      <c r="G1023" s="61" t="n">
        <v>42.42</v>
      </c>
      <c r="H1023" s="62" t="n">
        <f aca="false">MAX(0,IF(AND(Parameter!$B$21="Ja",ISNUMBER(Y1023)),Y1023,IF(Parameter!$B$20="Jahresanfang 2025 + Export",BS1023+BR1023,BR1023)))</f>
        <v>4</v>
      </c>
      <c r="I1023" s="62" t="n">
        <f aca="false">H1023*G1023</f>
        <v>169.68</v>
      </c>
      <c r="J1023" s="62" t="n">
        <f aca="false">BU1023*Parameter!$B$18</f>
        <v>0</v>
      </c>
      <c r="K1023" s="63" t="n">
        <v>7</v>
      </c>
      <c r="L1023" s="64" t="n">
        <v>0</v>
      </c>
      <c r="M1023" s="62" t="n">
        <v>0</v>
      </c>
      <c r="N1023" s="62" t="n">
        <v>1</v>
      </c>
      <c r="O1023" s="65" t="n">
        <v>28</v>
      </c>
      <c r="P1023" s="60" t="s">
        <v>275</v>
      </c>
      <c r="Q1023" s="62" t="n">
        <v>12</v>
      </c>
      <c r="R1023" s="65" t="n">
        <f aca="false">IF(CA1023=1,0,IFERROR(VLOOKUP(BY1023,'Gebinde-Kategorie'!$A$5:$N$45,13,0)+0,0))</f>
        <v>26</v>
      </c>
      <c r="S1023" s="66"/>
      <c r="T1023" s="67"/>
      <c r="U1023" s="67"/>
      <c r="V1023" s="67"/>
      <c r="W1023" s="60"/>
      <c r="X1023" s="62"/>
      <c r="Y1023" s="62"/>
      <c r="Z1023" s="60" t="n">
        <v>3</v>
      </c>
      <c r="AA1023" s="60" t="n">
        <f aca="false">IF(A1023="","",IF(AND(Parameter!$B$21="Ja",ISNUMBER(W1023)),W1023,IF(AND(Parameter!$E$27="Ja",ISNUMBER(Z1023),CD1023&lt;&gt;"Nein"),Z1023,IF(CD1023="2+3",IF(ISNUMBER(SEARCH("grosser Artikel",BV1023)),2,IFERROR(VLOOKUP(BY1023,Parameter!$F$35:$G$64,2,0),2)),IF(OR(CD1023="Nein",CD1023=""),"-",CD1023)))))</f>
        <v>3</v>
      </c>
      <c r="AB1023" s="67"/>
      <c r="AC1023" s="68"/>
      <c r="AD1023" s="62" t="n">
        <f aca="false">AW1023</f>
        <v>1</v>
      </c>
      <c r="AE1023" s="62" t="n">
        <f aca="false">MAX(AW1023,H1023)</f>
        <v>4</v>
      </c>
      <c r="AF1023" s="69"/>
      <c r="AG1023" s="62" t="n">
        <f aca="false">IF(LEFT(Cockpit!$C$5,1)="A",H1023,IF(Parameter!$E$30="MAX-Bestand",IF(CI1023=1,CJ1023,IF(LEFT(Cockpit!$C$5,1)="B",AM1023,MAX(AM1023,H1023))),ROUNDUP(AK1023,0)))</f>
        <v>4</v>
      </c>
      <c r="AH1023" s="62" t="n">
        <f aca="false">IF(CA1023=1,0,ROUNDUP(AG1023/BZ1023,0))</f>
        <v>1</v>
      </c>
      <c r="AI1023" s="64" t="n">
        <f aca="false">IF(CR1023&gt;0,CR1023*MAX(1,AG1023/X1023),IF(CA1023=1,IF(AG1023&lt;=0,0,CE1023*MAX(1,IF(H1023&gt;0,AG1023/H1023,1))),IF(R1023&gt;0,AH1023/R1023,0))/MAX(0.1,N(Parameter!$M$21)))</f>
        <v>0.0384615384615385</v>
      </c>
      <c r="AJ1023" s="62" t="n">
        <f aca="false">AI1023*CC1023</f>
        <v>9.42307692307692</v>
      </c>
      <c r="AK1023" s="63" t="n">
        <f aca="false">IF(LEFT(Cockpit!$C$5,1)="A",H1023,IF(CI1023=1,(CL1023+CJ1023)/2,IF(LEFT(Cockpit!$C$5,1)="B",(CL1023+AM1023)/2,MAX((CL1023+AM1023)/2,H1023))))</f>
        <v>4</v>
      </c>
      <c r="AL1023" s="62" t="n">
        <f aca="false">AK1023*G1023</f>
        <v>169.68</v>
      </c>
      <c r="AM1023" s="62" t="n">
        <f aca="false">ROUNDUP(CL1023+MAX(CM1023,2*(J1023/IF(CH1023&gt;0,CH1023,MAX(0.1,N(Cockpit!$C$6)))-CL1023)),0)</f>
        <v>1</v>
      </c>
      <c r="AN1023" s="63" t="n">
        <f aca="false">IF(AJ1023&gt;0,J1023/AJ1023,-1)</f>
        <v>0</v>
      </c>
      <c r="AO1023" s="63" t="n">
        <f aca="false">IF(AND(OR(CG1023="L1",CG1023="L23",CG1023="LIFT"),AJ1023&gt;0),SUMIFS($AJ$7:$AJ$1843,$CG$7:$CG$1843,CG1023,$AN$7:$AN$1843,"&gt;"&amp;AN1023)+SUMIFS($AJ$7:$AJ$1843,$CG$7:$CG$1843,CG1023,$AN$7:$AN$1843,AN1023,$BX$7:$BX$1843,"&lt;="&amp;BX1023),"")</f>
        <v>29016.0633549595</v>
      </c>
      <c r="AP1023" s="70" t="n">
        <f aca="false">IF(AO1023="",0,MAX(0,MIN(1,(IF(CG1023="L1",Parameter!$H$5,IF(CG1023="L23",Parameter!$H$6+Parameter!$H$7,Parameter!$H$5+Parameter!$H$6+Parameter!$H$7))-(AO1023-AJ1023))/AJ1023)))</f>
        <v>1</v>
      </c>
      <c r="AQ1023" s="62" t="n">
        <f aca="false">IF(LEFT(Cockpit!$I$5,1)="A",H1023,IF(Parameter!$E$30="MAX-Bestand",IF(CI1023=1,CJ1023,IF(LEFT(Cockpit!$I$5,1)="B",AW1023,MAX(AW1023,H1023))),ROUNDUP(AU1023,0)))</f>
        <v>4</v>
      </c>
      <c r="AR1023" s="62" t="n">
        <f aca="false">IF(CA1023=1,0,ROUNDUP(AQ1023/BZ1023,0))</f>
        <v>1</v>
      </c>
      <c r="AS1023" s="64" t="n">
        <f aca="false">IF(CR1023&gt;0,CR1023*MAX(1,AQ1023/X1023),IF(CA1023=1,IF(AQ1023&lt;=0,0,CE1023*MAX(1,IF(H1023&gt;0,AQ1023/H1023,1))),IF(R1023&gt;0,AR1023/R1023,0))/MAX(0.1,N(Parameter!$M$21)))</f>
        <v>0.0384615384615385</v>
      </c>
      <c r="AT1023" s="62" t="n">
        <f aca="false">AS1023*CC1023</f>
        <v>9.42307692307692</v>
      </c>
      <c r="AU1023" s="63" t="n">
        <f aca="false">IF(LEFT(Cockpit!$I$5,1)="A",H1023,IF(CI1023=1,(CL1023+CJ1023)/2,IF(LEFT(Cockpit!$I$5,1)="B",(CL1023+AW1023)/2,MAX((CL1023+AW1023)/2,H1023))))</f>
        <v>4</v>
      </c>
      <c r="AV1023" s="62" t="n">
        <f aca="false">AU1023*G1023</f>
        <v>169.68</v>
      </c>
      <c r="AW1023" s="62" t="n">
        <f aca="false">ROUNDUP(CL1023+MAX(CM1023,2*(J1023/IF(CH1023&gt;0,CH1023,MAX(0.1,N(Cockpit!$I$6)))-CL1023)),0)</f>
        <v>1</v>
      </c>
      <c r="AX1023" s="63" t="n">
        <f aca="false">IF(AT1023&gt;0,J1023/AT1023,-1)</f>
        <v>0</v>
      </c>
      <c r="AY1023" s="63" t="n">
        <f aca="false">IF(AND(OR(CG1023="L1",CG1023="L23",CG1023="LIFT"),AT1023&gt;0),SUMIFS($AT$7:$AT$1843,$CG$7:$CG$1843,CG1023,$AX$7:$AX$1843,"&gt;"&amp;AX1023)+SUMIFS($AT$7:$AT$1843,$CG$7:$CG$1843,CG1023,$AX$7:$AX$1843,AX1023,$BX$7:$BX$1843,"&lt;="&amp;BX1023),"")</f>
        <v>34716.9450549451</v>
      </c>
      <c r="AZ1023" s="70" t="n">
        <f aca="false">IF(AY1023="",0,MAX(0,MIN(1,(IF(CG1023="L1",Parameter!$H$5,IF(CG1023="L23",Parameter!$H$6+Parameter!$H$7,Parameter!$H$5+Parameter!$H$6+Parameter!$H$7))-(AY1023-AT1023))/AT1023)))</f>
        <v>1</v>
      </c>
      <c r="BA1023" s="62" t="n">
        <f aca="false">IF(LEFT(Cockpit!$O$5,1)="A",H1023,IF(Parameter!$E$30="MAX-Bestand",IF(CI1023=1,CJ1023,IF(LEFT(Cockpit!$O$5,1)="B",BG1023,MAX(BG1023,H1023))),ROUNDUP(BE1023,0)))</f>
        <v>1</v>
      </c>
      <c r="BB1023" s="62" t="n">
        <f aca="false">IF(CA1023=1,0,ROUNDUP(BA1023/BZ1023,0))</f>
        <v>1</v>
      </c>
      <c r="BC1023" s="64" t="n">
        <f aca="false">IF(CR1023&gt;0,CR1023*MAX(1,BA1023/X1023),IF(CA1023=1,IF(BA1023&lt;=0,0,CE1023*MAX(1,IF(H1023&gt;0,BA1023/H1023,1))),IF(R1023&gt;0,BB1023/R1023,0))/MAX(0.1,N(Parameter!$M$21)))</f>
        <v>0.0384615384615385</v>
      </c>
      <c r="BD1023" s="62" t="n">
        <f aca="false">BC1023*CC1023</f>
        <v>9.42307692307692</v>
      </c>
      <c r="BE1023" s="63" t="n">
        <f aca="false">IF(LEFT(Cockpit!$O$5,1)="A",H1023,IF(CI1023=1,(CL1023+CJ1023)/2,IF(LEFT(Cockpit!$O$5,1)="B",(CL1023+BG1023)/2,MAX((CL1023+BG1023)/2,H1023))))</f>
        <v>0.5</v>
      </c>
      <c r="BF1023" s="62" t="n">
        <f aca="false">BE1023*G1023</f>
        <v>21.21</v>
      </c>
      <c r="BG1023" s="62" t="n">
        <f aca="false">ROUNDUP(CL1023+MAX(CM1023,2*(J1023/IF(CH1023&gt;0,CH1023,MAX(0.1,N(Cockpit!$O$6)))-CL1023)),0)</f>
        <v>1</v>
      </c>
      <c r="BH1023" s="63" t="n">
        <f aca="false">IF(BD1023&gt;0,J1023/BD1023,-1)</f>
        <v>0</v>
      </c>
      <c r="BI1023" s="63" t="n">
        <f aca="false">IF(AND(OR(CG1023="L1",CG1023="L23",CG1023="LIFT"),BD1023&gt;0),SUMIFS($BD$7:$BD$1843,$CG$7:$CG$1843,CG1023,$BH$7:$BH$1843,"&gt;"&amp;BH1023)+SUMIFS($BD$7:$BD$1843,$CG$7:$CG$1843,CG1023,$BH$7:$BH$1843,BH1023,$BX$7:$BX$1843,"&lt;="&amp;BX1023),"")</f>
        <v>28732.0594074005</v>
      </c>
      <c r="BJ1023" s="70" t="n">
        <f aca="false">IF(BI1023="",0,MAX(0,MIN(1,(IF(CG1023="L1",Parameter!$H$5,IF(CG1023="L23",Parameter!$H$6+Parameter!$H$7,Parameter!$H$5+Parameter!$H$6+Parameter!$H$7))-(BI1023-BD1023))/BD1023)))</f>
        <v>1</v>
      </c>
      <c r="BK1023" s="60" t="str">
        <f aca="false">IF(AJ1023&lt;=0,"",IF(CG1023="Aussen","Aussenlager",IF(CG1023="-","Nicht im Lift",IF(AP1023&gt;=1,"Lift",IF(AP1023&lt;=0,"Aussenlager","teilweise")))))</f>
        <v>Lift</v>
      </c>
      <c r="BL1023" s="60" t="str">
        <f aca="false">IF(AT1023&lt;=0,"",IF(CG1023="Aussen","Aussenlager",IF(CG1023="-","Nicht im Lift",IF(AZ1023&gt;=1,"Lift",IF(AZ1023&lt;=0,"Aussenlager","teilweise")))))</f>
        <v>Lift</v>
      </c>
      <c r="BM1023" s="60" t="str">
        <f aca="false">IF(BD1023&lt;=0,"",IF(CG1023="Aussen","Aussenlager",IF(CG1023="-","Nicht im Lift",IF(BJ1023&gt;=1,"Lift",IF(BJ1023&lt;=0,"Aussenlager","teilweise")))))</f>
        <v>Lift</v>
      </c>
      <c r="BN1023" s="60" t="str">
        <f aca="false">IF(A1023="","",IF(BW1023=1,"Neu; ","")&amp;IF(AND(BW1023=0,BR1023&lt;0),"negativer Bestand (Export "&amp;BR1023&amp;"); ","")&amp;IF(J1023&lt;=0,"Kein Verbrauch; ","")&amp;IF(CR1023&gt;0,"Lift "&amp;W1023&amp;" lt. Liftbericht (Fach "&amp;X1023&amp;" Stk); ",IF(CB1023=1,"Gebinde geschätzt ("&amp;T1023&amp;"); ",IF(CA1023=1,"Lose – Tablare geschätzt; ","")))&amp;IF(H1023&gt;AW1023,"Überbestand "&amp;ROUND(H1023-AW1023,0)&amp;" Stk / CHF "&amp;ROUND((H1023-AW1023)*G1023,0)&amp;"; ","")&amp;IF(AND(CI1023=1,CJ1023&lt;CK1023),"MAX &lt; MB+LG; ","")&amp;IF(AND(CQ1023&gt;0,CP1023*10&gt;CQ1023),"zu hoch für Tablar; ","")&amp;IF(AND(BW1023=0,OR(CI1023=1,AB1023&lt;&gt;"",U1023&lt;&gt;"",V1023&lt;&gt;"",AC1023&lt;&gt;"")),"manuell übersteuert; ","")&amp;IF(AND(CA1023=0,R1023=0),"Gebinde unbekannt / Stellmass fehlt; ","")&amp;IF(AND(CA1023=0,N(V1023)&lt;=0,N(Q1023)&lt;=0),"Menge pro Gebinde fehlt (Ist = 1 Gebinde); ","")&amp;BV1023)</f>
        <v>negativer Bestand (Export -3); Kein Verbrauch; Überbestand 3 Stk / CHF 127; Neu</v>
      </c>
      <c r="BO1023" s="60"/>
      <c r="BP1023" s="60"/>
      <c r="BQ1023" s="67"/>
      <c r="BR1023" s="62" t="n">
        <v>-3</v>
      </c>
      <c r="BS1023" s="62" t="n">
        <v>7</v>
      </c>
      <c r="BT1023" s="61" t="n">
        <v>-122.22</v>
      </c>
      <c r="BU1023" s="62" t="n">
        <v>0</v>
      </c>
      <c r="BV1023" s="60" t="s">
        <v>668</v>
      </c>
      <c r="BW1023" s="65" t="n">
        <v>0</v>
      </c>
      <c r="BX1023" s="65" t="n">
        <v>1023</v>
      </c>
      <c r="BY1023" s="60" t="str">
        <f aca="false">IF(U1023&lt;&gt;"",UPPER(TRIM(U1023)),IF(CB1023=1,UPPER(VLOOKUP(T1023,Parameter!$I$27:$K$29,2,0)),IF(P1023="","LOSE",P1023)))</f>
        <v>S52</v>
      </c>
      <c r="BZ1023" s="62" t="n">
        <f aca="false">IF(BY1023="LOSE",1,IF(N(V1023)&gt;0,V1023,IF(CB1023=1,MAX(1,N(VLOOKUP(T1023,Parameter!$I$27:$K$29,3,0)),H1023,N(N1023)),IF(N(Q1023)&gt;0,Q1023,MAX(1,H1023)))))</f>
        <v>12</v>
      </c>
      <c r="CA1023" s="65" t="n">
        <f aca="false">IF(BY1023="LOSE",1,0)</f>
        <v>0</v>
      </c>
      <c r="CB1023" s="65" t="n">
        <f aca="false">IF(AND(U1023="",OR(P1023="",P1023="LOSE"),T1023&lt;&gt;"",N(S1023)&lt;=0,ISNUMBER(MATCH(T1023,Parameter!$I$27:$I$29,0))),1,0)</f>
        <v>0</v>
      </c>
      <c r="CC1023" s="65" t="n">
        <f aca="false">IF(CR1023&gt;0,INDEX(Parameter!$H$5:$H$7,W1023)/INDEX(Parameter!$E$5:$E$7,W1023),IF(AND(CA1023=0,N(IFERROR(VLOOKUP(BY1023,'Gebinde-Kategorie'!$A$5:$N$45,14,0),0))&gt;0),VLOOKUP(BY1023,'Gebinde-Kategorie'!$A$5:$N$45,14,0)*10+Parameter!$M$23,Parameter!$M$24))</f>
        <v>245</v>
      </c>
      <c r="CD1023" s="60" t="str">
        <f aca="false">IF(AND(Parameter!$B$19="Ja",E1023&lt;&gt;"",ISNUMBER(MATCH(E1023,Parameter!$I$35:$I$52,0))),VLOOKUP(E1023,Parameter!$I$35:$J$52,2,0),IFERROR(VLOOKUP(D1023,Parameter!$A$35:$C$64,2,0),"Nein"))</f>
        <v>2+3</v>
      </c>
      <c r="CE1023" s="64" t="n">
        <f aca="false">IF(CA1023=0,0,IF(N(S1023)&gt;0,S1023,IFERROR(VLOOKUP(D1023,Parameter!$A$35:$C$64,3,0)+0,0)))</f>
        <v>0</v>
      </c>
      <c r="CF1023" s="60" t="n">
        <f aca="false">IF(AB1023&lt;&gt;"",AB1023,AA1023)</f>
        <v>3</v>
      </c>
      <c r="CG1023" s="60" t="str">
        <f aca="false">IF(OR(CF1023=1,CF1023=2,CF1023=3),IF(Parameter!$E$27="Ja","LIFT",IF(CF1023=1,"L1","L23")),IF(CF1023="Aussen","Aussen","-"))</f>
        <v>LIFT</v>
      </c>
      <c r="CH1023" s="71" t="n">
        <f aca="false">IF(N(AC1023)&gt;0,AC1023,0)</f>
        <v>0</v>
      </c>
      <c r="CI1023" s="65" t="n">
        <f aca="false">IF(ISNUMBER(AF1023),1,0)</f>
        <v>0</v>
      </c>
      <c r="CJ1023" s="62" t="n">
        <f aca="false">N(AF1023)</f>
        <v>0</v>
      </c>
      <c r="CK1023" s="62" t="n">
        <f aca="false">N(M1023)+N(N1023)</f>
        <v>1</v>
      </c>
      <c r="CL1023" s="62" t="n">
        <f aca="false">N(M1023)</f>
        <v>0</v>
      </c>
      <c r="CM1023" s="62" t="n">
        <f aca="false">N(N1023)</f>
        <v>1</v>
      </c>
      <c r="CN1023" s="62" t="n">
        <f aca="false">ROUNDUP(H1023/BZ1023,0)</f>
        <v>1</v>
      </c>
      <c r="CO1023" s="62" t="n">
        <f aca="false">ROUNDUP(CJ1023/BZ1023,0)</f>
        <v>0</v>
      </c>
      <c r="CP1023" s="65" t="n">
        <f aca="false">IF(CA1023=1,0,IFERROR(VLOOKUP(BY1023,'Gebinde-Kategorie'!$A$5:$N$45,5,0)+0,0))</f>
        <v>21</v>
      </c>
      <c r="CQ1023" s="65" t="n">
        <f aca="false">IFERROR(IF(OR(CF1023=1,CF1023=2,CF1023=3),N(INDEX(Parameter!$I$5:$I$7,CF1023)),0),0)</f>
        <v>0</v>
      </c>
      <c r="CR1023" s="64" t="n">
        <f aca="false">IF(AND(Parameter!$B$21="Ja",ISNUMBER(W1023),N(X1023)&gt;0),IFERROR(N(INDEX(Parameter!$L$5:$L$7,W1023))*INDEX(Parameter!$E$5:$E$7,W1023)*X1023/SUMIFS($X$7:$X$1843,$W$7:$W$1843,W1023),0),0)</f>
        <v>0</v>
      </c>
      <c r="CS1023" s="62" t="n">
        <f aca="false">IF(AND(OR(CG1023="L1",CG1023="L23",CG1023="LIFT"),H1023&gt;0),CC1023*IF(CR1023&gt;0,CR1023*MAX(1,H1023/X1023),IF(CA1023=1,CE1023,IF(R1023&gt;0,CN1023/R1023,0))/MAX(0.1,N(Parameter!$M$21))),"")</f>
        <v>9.42307692307692</v>
      </c>
      <c r="CT1023" s="64" t="n">
        <f aca="false">IF(CS1023="","",J1023/H1023)</f>
        <v>0</v>
      </c>
      <c r="CU1023" s="62" t="n">
        <f aca="false">IF(CS1023="","",H1023*G1023)</f>
        <v>169.68</v>
      </c>
      <c r="CV1023" s="63" t="n">
        <f aca="false">IF(CS1023="","",(CL1023+ROUNDUP(CL1023+MAX(CM1023,2*(J1023/MAX(0.1,N(Einkauf!$C$6))-CL1023)),0))/2)</f>
        <v>0.5</v>
      </c>
      <c r="CW1023" s="62" t="n">
        <f aca="false">IF(CS1023="","",MAX(0,H1023-CV1023)*G1023)</f>
        <v>148.47</v>
      </c>
      <c r="CX1023" s="62" t="n">
        <f aca="false">IF(CS1023="","",CS1023*MAX(0,1-CV1023/H1023))</f>
        <v>8.24519230769231</v>
      </c>
      <c r="CY1023" s="64" t="n">
        <f aca="false">IF(CS1023="","",PERCENTRANK($CS$7:$CS$1843,CS1023)+PERCENTRANK($CU$7:$CU$1843,CU1023)+1-PERCENTRANK($CT$7:$CT$1843,CT1023))</f>
        <v>1.892</v>
      </c>
      <c r="CZ1023" s="72" t="n">
        <f aca="false">IF(CS1023="","",CHOOSE(MATCH(Einkauf!$C$5,Parameter!$G$23:$G$27,0),CY1023,CS1023,CU1023,-CT1023,CW1023)+ROW()/1000000000)</f>
        <v>1.892001023</v>
      </c>
    </row>
    <row r="1024" customFormat="false" ht="15" hidden="false" customHeight="false" outlineLevel="0" collapsed="false">
      <c r="A1024" s="60" t="s">
        <v>1924</v>
      </c>
      <c r="B1024" s="60" t="s">
        <v>1925</v>
      </c>
      <c r="C1024" s="60" t="s">
        <v>206</v>
      </c>
      <c r="D1024" s="60" t="s">
        <v>226</v>
      </c>
      <c r="E1024" s="60" t="s">
        <v>227</v>
      </c>
      <c r="F1024" s="60" t="s">
        <v>260</v>
      </c>
      <c r="G1024" s="61" t="n">
        <v>124</v>
      </c>
      <c r="H1024" s="62" t="n">
        <f aca="false">MAX(0,IF(AND(Parameter!$B$21="Ja",ISNUMBER(Y1024)),Y1024,IF(Parameter!$B$20="Jahresanfang 2025 + Export",BS1024+BR1024,BR1024)))</f>
        <v>39</v>
      </c>
      <c r="I1024" s="62" t="n">
        <f aca="false">H1024*G1024</f>
        <v>4836</v>
      </c>
      <c r="J1024" s="62" t="n">
        <f aca="false">BU1024*Parameter!$B$18</f>
        <v>2</v>
      </c>
      <c r="K1024" s="63" t="n">
        <v>39</v>
      </c>
      <c r="L1024" s="64" t="n">
        <v>0.0512820512820513</v>
      </c>
      <c r="M1024" s="62" t="n">
        <v>0</v>
      </c>
      <c r="N1024" s="62" t="n">
        <v>1</v>
      </c>
      <c r="O1024" s="65" t="n">
        <v>35</v>
      </c>
      <c r="P1024" s="60" t="s">
        <v>275</v>
      </c>
      <c r="Q1024" s="62" t="n">
        <v>45</v>
      </c>
      <c r="R1024" s="65" t="n">
        <f aca="false">IF(CA1024=1,0,IFERROR(VLOOKUP(BY1024,'Gebinde-Kategorie'!$A$5:$N$45,13,0)+0,0))</f>
        <v>26</v>
      </c>
      <c r="S1024" s="66"/>
      <c r="T1024" s="67"/>
      <c r="U1024" s="67"/>
      <c r="V1024" s="67"/>
      <c r="W1024" s="60"/>
      <c r="X1024" s="62"/>
      <c r="Y1024" s="62"/>
      <c r="Z1024" s="60" t="n">
        <v>3</v>
      </c>
      <c r="AA1024" s="60" t="n">
        <f aca="false">IF(A1024="","",IF(AND(Parameter!$B$21="Ja",ISNUMBER(W1024)),W1024,IF(AND(Parameter!$E$27="Ja",ISNUMBER(Z1024),CD1024&lt;&gt;"Nein"),Z1024,IF(CD1024="2+3",IF(ISNUMBER(SEARCH("grosser Artikel",BV1024)),2,IFERROR(VLOOKUP(BY1024,Parameter!$F$35:$G$64,2,0),2)),IF(OR(CD1024="Nein",CD1024=""),"-",CD1024)))))</f>
        <v>3</v>
      </c>
      <c r="AB1024" s="67"/>
      <c r="AC1024" s="68"/>
      <c r="AD1024" s="62" t="n">
        <f aca="false">AW1024</f>
        <v>2</v>
      </c>
      <c r="AE1024" s="62" t="n">
        <f aca="false">MAX(AW1024,H1024)</f>
        <v>39</v>
      </c>
      <c r="AF1024" s="69"/>
      <c r="AG1024" s="62" t="n">
        <f aca="false">IF(LEFT(Cockpit!$C$5,1)="A",H1024,IF(Parameter!$E$30="MAX-Bestand",IF(CI1024=1,CJ1024,IF(LEFT(Cockpit!$C$5,1)="B",AM1024,MAX(AM1024,H1024))),ROUNDUP(AK1024,0)))</f>
        <v>39</v>
      </c>
      <c r="AH1024" s="62" t="n">
        <f aca="false">IF(CA1024=1,0,ROUNDUP(AG1024/BZ1024,0))</f>
        <v>1</v>
      </c>
      <c r="AI1024" s="64" t="n">
        <f aca="false">IF(CR1024&gt;0,CR1024*MAX(1,AG1024/X1024),IF(CA1024=1,IF(AG1024&lt;=0,0,CE1024*MAX(1,IF(H1024&gt;0,AG1024/H1024,1))),IF(R1024&gt;0,AH1024/R1024,0))/MAX(0.1,N(Parameter!$M$21)))</f>
        <v>0.0384615384615385</v>
      </c>
      <c r="AJ1024" s="62" t="n">
        <f aca="false">AI1024*CC1024</f>
        <v>9.42307692307692</v>
      </c>
      <c r="AK1024" s="63" t="n">
        <f aca="false">IF(LEFT(Cockpit!$C$5,1)="A",H1024,IF(CI1024=1,(CL1024+CJ1024)/2,IF(LEFT(Cockpit!$C$5,1)="B",(CL1024+AM1024)/2,MAX((CL1024+AM1024)/2,H1024))))</f>
        <v>39</v>
      </c>
      <c r="AL1024" s="62" t="n">
        <f aca="false">AK1024*G1024</f>
        <v>4836</v>
      </c>
      <c r="AM1024" s="62" t="n">
        <f aca="false">ROUNDUP(CL1024+MAX(CM1024,2*(J1024/IF(CH1024&gt;0,CH1024,MAX(0.1,N(Cockpit!$C$6)))-CL1024)),0)</f>
        <v>2</v>
      </c>
      <c r="AN1024" s="63" t="n">
        <f aca="false">IF(AJ1024&gt;0,J1024/AJ1024,-1)</f>
        <v>0.212244897959184</v>
      </c>
      <c r="AO1024" s="63" t="n">
        <f aca="false">IF(AND(OR(CG1024="L1",CG1024="L23",CG1024="LIFT"),AJ1024&gt;0),SUMIFS($AJ$7:$AJ$1843,$CG$7:$CG$1843,CG1024,$AN$7:$AN$1843,"&gt;"&amp;AN1024)+SUMIFS($AJ$7:$AJ$1843,$CG$7:$CG$1843,CG1024,$AN$7:$AN$1843,AN1024,$BX$7:$BX$1843,"&lt;="&amp;BX1024),"")</f>
        <v>12373.5478234101</v>
      </c>
      <c r="AP1024" s="70" t="n">
        <f aca="false">IF(AO1024="",0,MAX(0,MIN(1,(IF(CG1024="L1",Parameter!$H$5,IF(CG1024="L23",Parameter!$H$6+Parameter!$H$7,Parameter!$H$5+Parameter!$H$6+Parameter!$H$7))-(AO1024-AJ1024))/AJ1024)))</f>
        <v>1</v>
      </c>
      <c r="AQ1024" s="62" t="n">
        <f aca="false">IF(LEFT(Cockpit!$I$5,1)="A",H1024,IF(Parameter!$E$30="MAX-Bestand",IF(CI1024=1,CJ1024,IF(LEFT(Cockpit!$I$5,1)="B",AW1024,MAX(AW1024,H1024))),ROUNDUP(AU1024,0)))</f>
        <v>39</v>
      </c>
      <c r="AR1024" s="62" t="n">
        <f aca="false">IF(CA1024=1,0,ROUNDUP(AQ1024/BZ1024,0))</f>
        <v>1</v>
      </c>
      <c r="AS1024" s="64" t="n">
        <f aca="false">IF(CR1024&gt;0,CR1024*MAX(1,AQ1024/X1024),IF(CA1024=1,IF(AQ1024&lt;=0,0,CE1024*MAX(1,IF(H1024&gt;0,AQ1024/H1024,1))),IF(R1024&gt;0,AR1024/R1024,0))/MAX(0.1,N(Parameter!$M$21)))</f>
        <v>0.0384615384615385</v>
      </c>
      <c r="AT1024" s="62" t="n">
        <f aca="false">AS1024*CC1024</f>
        <v>9.42307692307692</v>
      </c>
      <c r="AU1024" s="63" t="n">
        <f aca="false">IF(LEFT(Cockpit!$I$5,1)="A",H1024,IF(CI1024=1,(CL1024+CJ1024)/2,IF(LEFT(Cockpit!$I$5,1)="B",(CL1024+AW1024)/2,MAX((CL1024+AW1024)/2,H1024))))</f>
        <v>39</v>
      </c>
      <c r="AV1024" s="62" t="n">
        <f aca="false">AU1024*G1024</f>
        <v>4836</v>
      </c>
      <c r="AW1024" s="62" t="n">
        <f aca="false">ROUNDUP(CL1024+MAX(CM1024,2*(J1024/IF(CH1024&gt;0,CH1024,MAX(0.1,N(Cockpit!$I$6)))-CL1024)),0)</f>
        <v>2</v>
      </c>
      <c r="AX1024" s="63" t="n">
        <f aca="false">IF(AT1024&gt;0,J1024/AT1024,-1)</f>
        <v>0.212244897959184</v>
      </c>
      <c r="AY1024" s="63" t="n">
        <f aca="false">IF(AND(OR(CG1024="L1",CG1024="L23",CG1024="LIFT"),AT1024&gt;0),SUMIFS($AT$7:$AT$1843,$CG$7:$CG$1843,CG1024,$AX$7:$AX$1843,"&gt;"&amp;AX1024)+SUMIFS($AT$7:$AT$1843,$CG$7:$CG$1843,CG1024,$AX$7:$AX$1843,AX1024,$BX$7:$BX$1843,"&lt;="&amp;BX1024),"")</f>
        <v>15202.8054029304</v>
      </c>
      <c r="AZ1024" s="70" t="n">
        <f aca="false">IF(AY1024="",0,MAX(0,MIN(1,(IF(CG1024="L1",Parameter!$H$5,IF(CG1024="L23",Parameter!$H$6+Parameter!$H$7,Parameter!$H$5+Parameter!$H$6+Parameter!$H$7))-(AY1024-AT1024))/AT1024)))</f>
        <v>1</v>
      </c>
      <c r="BA1024" s="62" t="n">
        <f aca="false">IF(LEFT(Cockpit!$O$5,1)="A",H1024,IF(Parameter!$E$30="MAX-Bestand",IF(CI1024=1,CJ1024,IF(LEFT(Cockpit!$O$5,1)="B",BG1024,MAX(BG1024,H1024))),ROUNDUP(BE1024,0)))</f>
        <v>1</v>
      </c>
      <c r="BB1024" s="62" t="n">
        <f aca="false">IF(CA1024=1,0,ROUNDUP(BA1024/BZ1024,0))</f>
        <v>1</v>
      </c>
      <c r="BC1024" s="64" t="n">
        <f aca="false">IF(CR1024&gt;0,CR1024*MAX(1,BA1024/X1024),IF(CA1024=1,IF(BA1024&lt;=0,0,CE1024*MAX(1,IF(H1024&gt;0,BA1024/H1024,1))),IF(R1024&gt;0,BB1024/R1024,0))/MAX(0.1,N(Parameter!$M$21)))</f>
        <v>0.0384615384615385</v>
      </c>
      <c r="BD1024" s="62" t="n">
        <f aca="false">BC1024*CC1024</f>
        <v>9.42307692307692</v>
      </c>
      <c r="BE1024" s="63" t="n">
        <f aca="false">IF(LEFT(Cockpit!$O$5,1)="A",H1024,IF(CI1024=1,(CL1024+CJ1024)/2,IF(LEFT(Cockpit!$O$5,1)="B",(CL1024+BG1024)/2,MAX((CL1024+BG1024)/2,H1024))))</f>
        <v>0.5</v>
      </c>
      <c r="BF1024" s="62" t="n">
        <f aca="false">BE1024*G1024</f>
        <v>62</v>
      </c>
      <c r="BG1024" s="62" t="n">
        <f aca="false">ROUNDUP(CL1024+MAX(CM1024,2*(J1024/IF(CH1024&gt;0,CH1024,MAX(0.1,N(Cockpit!$O$6)))-CL1024)),0)</f>
        <v>1</v>
      </c>
      <c r="BH1024" s="63" t="n">
        <f aca="false">IF(BD1024&gt;0,J1024/BD1024,-1)</f>
        <v>0.212244897959184</v>
      </c>
      <c r="BI1024" s="63" t="n">
        <f aca="false">IF(AND(OR(CG1024="L1",CG1024="L23",CG1024="LIFT"),BD1024&gt;0),SUMIFS($BD$7:$BD$1843,$CG$7:$CG$1843,CG1024,$BH$7:$BH$1843,"&gt;"&amp;BH1024)+SUMIFS($BD$7:$BD$1843,$CG$7:$CG$1843,CG1024,$BH$7:$BH$1843,BH1024,$BX$7:$BX$1843,"&lt;="&amp;BX1024),"")</f>
        <v>12345.0902014652</v>
      </c>
      <c r="BJ1024" s="70" t="n">
        <f aca="false">IF(BI1024="",0,MAX(0,MIN(1,(IF(CG1024="L1",Parameter!$H$5,IF(CG1024="L23",Parameter!$H$6+Parameter!$H$7,Parameter!$H$5+Parameter!$H$6+Parameter!$H$7))-(BI1024-BD1024))/BD1024)))</f>
        <v>1</v>
      </c>
      <c r="BK1024" s="60" t="str">
        <f aca="false">IF(AJ1024&lt;=0,"",IF(CG1024="Aussen","Aussenlager",IF(CG1024="-","Nicht im Lift",IF(AP1024&gt;=1,"Lift",IF(AP1024&lt;=0,"Aussenlager","teilweise")))))</f>
        <v>Lift</v>
      </c>
      <c r="BL1024" s="60" t="str">
        <f aca="false">IF(AT1024&lt;=0,"",IF(CG1024="Aussen","Aussenlager",IF(CG1024="-","Nicht im Lift",IF(AZ1024&gt;=1,"Lift",IF(AZ1024&lt;=0,"Aussenlager","teilweise")))))</f>
        <v>Lift</v>
      </c>
      <c r="BM1024" s="60" t="str">
        <f aca="false">IF(BD1024&lt;=0,"",IF(CG1024="Aussen","Aussenlager",IF(CG1024="-","Nicht im Lift",IF(BJ1024&gt;=1,"Lift",IF(BJ1024&lt;=0,"Aussenlager","teilweise")))))</f>
        <v>Lift</v>
      </c>
      <c r="BN1024" s="60" t="str">
        <f aca="false">IF(A1024="","",IF(BW1024=1,"Neu; ","")&amp;IF(AND(BW1024=0,BR1024&lt;0),"negativer Bestand (Export "&amp;BR1024&amp;"); ","")&amp;IF(J1024&lt;=0,"Kein Verbrauch; ","")&amp;IF(CR1024&gt;0,"Lift "&amp;W1024&amp;" lt. Liftbericht (Fach "&amp;X1024&amp;" Stk); ",IF(CB1024=1,"Gebinde geschätzt ("&amp;T1024&amp;"); ",IF(CA1024=1,"Lose – Tablare geschätzt; ","")))&amp;IF(H1024&gt;AW1024,"Überbestand "&amp;ROUND(H1024-AW1024,0)&amp;" Stk / CHF "&amp;ROUND((H1024-AW1024)*G1024,0)&amp;"; ","")&amp;IF(AND(CI1024=1,CJ1024&lt;CK1024),"MAX &lt; MB+LG; ","")&amp;IF(AND(CQ1024&gt;0,CP1024*10&gt;CQ1024),"zu hoch für Tablar; ","")&amp;IF(AND(BW1024=0,OR(CI1024=1,AB1024&lt;&gt;"",U1024&lt;&gt;"",V1024&lt;&gt;"",AC1024&lt;&gt;"")),"manuell übersteuert; ","")&amp;IF(AND(CA1024=0,R1024=0),"Gebinde unbekannt / Stellmass fehlt; ","")&amp;IF(AND(CA1024=0,N(V1024)&lt;=0,N(Q1024)&lt;=0),"Menge pro Gebinde fehlt (Ist = 1 Gebinde); ","")&amp;BV1024)</f>
        <v>negativer Bestand (Export -1); Überbestand 37 Stk / CHF 4588; </v>
      </c>
      <c r="BO1024" s="60"/>
      <c r="BP1024" s="60"/>
      <c r="BQ1024" s="67"/>
      <c r="BR1024" s="62" t="n">
        <v>-1</v>
      </c>
      <c r="BS1024" s="62" t="n">
        <v>40</v>
      </c>
      <c r="BT1024" s="61" t="n">
        <v>-124</v>
      </c>
      <c r="BU1024" s="62" t="n">
        <v>2</v>
      </c>
      <c r="BV1024" s="60"/>
      <c r="BW1024" s="65" t="n">
        <v>0</v>
      </c>
      <c r="BX1024" s="65" t="n">
        <v>1024</v>
      </c>
      <c r="BY1024" s="60" t="str">
        <f aca="false">IF(U1024&lt;&gt;"",UPPER(TRIM(U1024)),IF(CB1024=1,UPPER(VLOOKUP(T1024,Parameter!$I$27:$K$29,2,0)),IF(P1024="","LOSE",P1024)))</f>
        <v>S52</v>
      </c>
      <c r="BZ1024" s="62" t="n">
        <f aca="false">IF(BY1024="LOSE",1,IF(N(V1024)&gt;0,V1024,IF(CB1024=1,MAX(1,N(VLOOKUP(T1024,Parameter!$I$27:$K$29,3,0)),H1024,N(N1024)),IF(N(Q1024)&gt;0,Q1024,MAX(1,H1024)))))</f>
        <v>45</v>
      </c>
      <c r="CA1024" s="65" t="n">
        <f aca="false">IF(BY1024="LOSE",1,0)</f>
        <v>0</v>
      </c>
      <c r="CB1024" s="65" t="n">
        <f aca="false">IF(AND(U1024="",OR(P1024="",P1024="LOSE"),T1024&lt;&gt;"",N(S1024)&lt;=0,ISNUMBER(MATCH(T1024,Parameter!$I$27:$I$29,0))),1,0)</f>
        <v>0</v>
      </c>
      <c r="CC1024" s="65" t="n">
        <f aca="false">IF(CR1024&gt;0,INDEX(Parameter!$H$5:$H$7,W1024)/INDEX(Parameter!$E$5:$E$7,W1024),IF(AND(CA1024=0,N(IFERROR(VLOOKUP(BY1024,'Gebinde-Kategorie'!$A$5:$N$45,14,0),0))&gt;0),VLOOKUP(BY1024,'Gebinde-Kategorie'!$A$5:$N$45,14,0)*10+Parameter!$M$23,Parameter!$M$24))</f>
        <v>245</v>
      </c>
      <c r="CD1024" s="60" t="str">
        <f aca="false">IF(AND(Parameter!$B$19="Ja",E1024&lt;&gt;"",ISNUMBER(MATCH(E1024,Parameter!$I$35:$I$52,0))),VLOOKUP(E1024,Parameter!$I$35:$J$52,2,0),IFERROR(VLOOKUP(D1024,Parameter!$A$35:$C$64,2,0),"Nein"))</f>
        <v>2+3</v>
      </c>
      <c r="CE1024" s="64" t="n">
        <f aca="false">IF(CA1024=0,0,IF(N(S1024)&gt;0,S1024,IFERROR(VLOOKUP(D1024,Parameter!$A$35:$C$64,3,0)+0,0)))</f>
        <v>0</v>
      </c>
      <c r="CF1024" s="60" t="n">
        <f aca="false">IF(AB1024&lt;&gt;"",AB1024,AA1024)</f>
        <v>3</v>
      </c>
      <c r="CG1024" s="60" t="str">
        <f aca="false">IF(OR(CF1024=1,CF1024=2,CF1024=3),IF(Parameter!$E$27="Ja","LIFT",IF(CF1024=1,"L1","L23")),IF(CF1024="Aussen","Aussen","-"))</f>
        <v>LIFT</v>
      </c>
      <c r="CH1024" s="71" t="n">
        <f aca="false">IF(N(AC1024)&gt;0,AC1024,0)</f>
        <v>0</v>
      </c>
      <c r="CI1024" s="65" t="n">
        <f aca="false">IF(ISNUMBER(AF1024),1,0)</f>
        <v>0</v>
      </c>
      <c r="CJ1024" s="62" t="n">
        <f aca="false">N(AF1024)</f>
        <v>0</v>
      </c>
      <c r="CK1024" s="62" t="n">
        <f aca="false">N(M1024)+N(N1024)</f>
        <v>1</v>
      </c>
      <c r="CL1024" s="62" t="n">
        <f aca="false">N(M1024)</f>
        <v>0</v>
      </c>
      <c r="CM1024" s="62" t="n">
        <f aca="false">N(N1024)</f>
        <v>1</v>
      </c>
      <c r="CN1024" s="62" t="n">
        <f aca="false">ROUNDUP(H1024/BZ1024,0)</f>
        <v>1</v>
      </c>
      <c r="CO1024" s="62" t="n">
        <f aca="false">ROUNDUP(CJ1024/BZ1024,0)</f>
        <v>0</v>
      </c>
      <c r="CP1024" s="65" t="n">
        <f aca="false">IF(CA1024=1,0,IFERROR(VLOOKUP(BY1024,'Gebinde-Kategorie'!$A$5:$N$45,5,0)+0,0))</f>
        <v>21</v>
      </c>
      <c r="CQ1024" s="65" t="n">
        <f aca="false">IFERROR(IF(OR(CF1024=1,CF1024=2,CF1024=3),N(INDEX(Parameter!$I$5:$I$7,CF1024)),0),0)</f>
        <v>0</v>
      </c>
      <c r="CR1024" s="64" t="n">
        <f aca="false">IF(AND(Parameter!$B$21="Ja",ISNUMBER(W1024),N(X1024)&gt;0),IFERROR(N(INDEX(Parameter!$L$5:$L$7,W1024))*INDEX(Parameter!$E$5:$E$7,W1024)*X1024/SUMIFS($X$7:$X$1843,$W$7:$W$1843,W1024),0),0)</f>
        <v>0</v>
      </c>
      <c r="CS1024" s="62" t="n">
        <f aca="false">IF(AND(OR(CG1024="L1",CG1024="L23",CG1024="LIFT"),H1024&gt;0),CC1024*IF(CR1024&gt;0,CR1024*MAX(1,H1024/X1024),IF(CA1024=1,CE1024,IF(R1024&gt;0,CN1024/R1024,0))/MAX(0.1,N(Parameter!$M$21))),"")</f>
        <v>9.42307692307692</v>
      </c>
      <c r="CT1024" s="64" t="n">
        <f aca="false">IF(CS1024="","",J1024/H1024)</f>
        <v>0.0512820512820513</v>
      </c>
      <c r="CU1024" s="62" t="n">
        <f aca="false">IF(CS1024="","",H1024*G1024)</f>
        <v>4836</v>
      </c>
      <c r="CV1024" s="63" t="n">
        <f aca="false">IF(CS1024="","",(CL1024+ROUNDUP(CL1024+MAX(CM1024,2*(J1024/MAX(0.1,N(Einkauf!$C$6))-CL1024)),0))/2)</f>
        <v>0.5</v>
      </c>
      <c r="CW1024" s="62" t="n">
        <f aca="false">IF(CS1024="","",MAX(0,H1024-CV1024)*G1024)</f>
        <v>4774</v>
      </c>
      <c r="CX1024" s="62" t="n">
        <f aca="false">IF(CS1024="","",CS1024*MAX(0,1-CV1024/H1024))</f>
        <v>9.30226824457594</v>
      </c>
      <c r="CY1024" s="64" t="n">
        <f aca="false">IF(CS1024="","",PERCENTRANK($CS$7:$CS$1843,CS1024)+PERCENTRANK($CU$7:$CU$1843,CU1024)+1-PERCENTRANK($CT$7:$CT$1843,CT1024))</f>
        <v>2.073</v>
      </c>
      <c r="CZ1024" s="72" t="n">
        <f aca="false">IF(CS1024="","",CHOOSE(MATCH(Einkauf!$C$5,Parameter!$G$23:$G$27,0),CY1024,CS1024,CU1024,-CT1024,CW1024)+ROW()/1000000000)</f>
        <v>2.073001024</v>
      </c>
    </row>
    <row r="1025" customFormat="false" ht="15" hidden="false" customHeight="false" outlineLevel="0" collapsed="false">
      <c r="A1025" s="60" t="s">
        <v>1926</v>
      </c>
      <c r="B1025" s="60" t="s">
        <v>1927</v>
      </c>
      <c r="C1025" s="60" t="s">
        <v>206</v>
      </c>
      <c r="D1025" s="60" t="s">
        <v>226</v>
      </c>
      <c r="E1025" s="60"/>
      <c r="F1025" s="60" t="s">
        <v>260</v>
      </c>
      <c r="G1025" s="61" t="n">
        <v>27.84</v>
      </c>
      <c r="H1025" s="62" t="n">
        <f aca="false">MAX(0,IF(AND(Parameter!$B$21="Ja",ISNUMBER(Y1025)),Y1025,IF(Parameter!$B$20="Jahresanfang 2025 + Export",BS1025+BR1025,BR1025)))</f>
        <v>10</v>
      </c>
      <c r="I1025" s="62" t="n">
        <f aca="false">H1025*G1025</f>
        <v>278.4</v>
      </c>
      <c r="J1025" s="62" t="n">
        <f aca="false">BU1025*Parameter!$B$18</f>
        <v>20</v>
      </c>
      <c r="K1025" s="63" t="n">
        <v>19</v>
      </c>
      <c r="L1025" s="64" t="n">
        <v>1.05263157894737</v>
      </c>
      <c r="M1025" s="62" t="n">
        <v>1</v>
      </c>
      <c r="N1025" s="62" t="n">
        <v>20</v>
      </c>
      <c r="O1025" s="65" t="n">
        <v>21</v>
      </c>
      <c r="P1025" s="60" t="s">
        <v>468</v>
      </c>
      <c r="Q1025" s="62" t="n">
        <v>17</v>
      </c>
      <c r="R1025" s="65" t="n">
        <f aca="false">IF(CA1025=1,0,IFERROR(VLOOKUP(BY1025,'Gebinde-Kategorie'!$A$5:$N$45,13,0)+0,0))</f>
        <v>140</v>
      </c>
      <c r="S1025" s="66"/>
      <c r="T1025" s="67"/>
      <c r="U1025" s="67"/>
      <c r="V1025" s="67"/>
      <c r="W1025" s="60"/>
      <c r="X1025" s="62"/>
      <c r="Y1025" s="62"/>
      <c r="Z1025" s="60" t="n">
        <v>3</v>
      </c>
      <c r="AA1025" s="60" t="n">
        <f aca="false">IF(A1025="","",IF(AND(Parameter!$B$21="Ja",ISNUMBER(W1025)),W1025,IF(AND(Parameter!$E$27="Ja",ISNUMBER(Z1025),CD1025&lt;&gt;"Nein"),Z1025,IF(CD1025="2+3",IF(ISNUMBER(SEARCH("grosser Artikel",BV1025)),2,IFERROR(VLOOKUP(BY1025,Parameter!$F$35:$G$64,2,0),2)),IF(OR(CD1025="Nein",CD1025=""),"-",CD1025)))))</f>
        <v>3</v>
      </c>
      <c r="AB1025" s="67"/>
      <c r="AC1025" s="68"/>
      <c r="AD1025" s="62" t="n">
        <f aca="false">AW1025</f>
        <v>21</v>
      </c>
      <c r="AE1025" s="62" t="n">
        <f aca="false">MAX(AW1025,H1025)</f>
        <v>21</v>
      </c>
      <c r="AF1025" s="69"/>
      <c r="AG1025" s="62" t="n">
        <f aca="false">IF(LEFT(Cockpit!$C$5,1)="A",H1025,IF(Parameter!$E$30="MAX-Bestand",IF(CI1025=1,CJ1025,IF(LEFT(Cockpit!$C$5,1)="B",AM1025,MAX(AM1025,H1025))),ROUNDUP(AK1025,0)))</f>
        <v>10</v>
      </c>
      <c r="AH1025" s="62" t="n">
        <f aca="false">IF(CA1025=1,0,ROUNDUP(AG1025/BZ1025,0))</f>
        <v>1</v>
      </c>
      <c r="AI1025" s="64" t="n">
        <f aca="false">IF(CR1025&gt;0,CR1025*MAX(1,AG1025/X1025),IF(CA1025=1,IF(AG1025&lt;=0,0,CE1025*MAX(1,IF(H1025&gt;0,AG1025/H1025,1))),IF(R1025&gt;0,AH1025/R1025,0))/MAX(0.1,N(Parameter!$M$21)))</f>
        <v>0.00714285714285714</v>
      </c>
      <c r="AJ1025" s="62" t="n">
        <f aca="false">AI1025*CC1025</f>
        <v>1.10714285714286</v>
      </c>
      <c r="AK1025" s="63" t="n">
        <f aca="false">IF(LEFT(Cockpit!$C$5,1)="A",H1025,IF(CI1025=1,(CL1025+CJ1025)/2,IF(LEFT(Cockpit!$C$5,1)="B",(CL1025+AM1025)/2,MAX((CL1025+AM1025)/2,H1025))))</f>
        <v>10</v>
      </c>
      <c r="AL1025" s="62" t="n">
        <f aca="false">AK1025*G1025</f>
        <v>278.4</v>
      </c>
      <c r="AM1025" s="62" t="n">
        <f aca="false">ROUNDUP(CL1025+MAX(CM1025,2*(J1025/IF(CH1025&gt;0,CH1025,MAX(0.1,N(Cockpit!$C$6)))-CL1025)),0)</f>
        <v>21</v>
      </c>
      <c r="AN1025" s="63" t="n">
        <f aca="false">IF(AJ1025&gt;0,J1025/AJ1025,-1)</f>
        <v>18.0645161290323</v>
      </c>
      <c r="AO1025" s="63" t="n">
        <f aca="false">IF(AND(OR(CG1025="L1",CG1025="L23",CG1025="LIFT"),AJ1025&gt;0),SUMIFS($AJ$7:$AJ$1843,$CG$7:$CG$1843,CG1025,$AN$7:$AN$1843,"&gt;"&amp;AN1025)+SUMIFS($AJ$7:$AJ$1843,$CG$7:$CG$1843,CG1025,$AN$7:$AN$1843,AN1025,$BX$7:$BX$1843,"&lt;="&amp;BX1025),"")</f>
        <v>1771.92902930403</v>
      </c>
      <c r="AP1025" s="70" t="n">
        <f aca="false">IF(AO1025="",0,MAX(0,MIN(1,(IF(CG1025="L1",Parameter!$H$5,IF(CG1025="L23",Parameter!$H$6+Parameter!$H$7,Parameter!$H$5+Parameter!$H$6+Parameter!$H$7))-(AO1025-AJ1025))/AJ1025)))</f>
        <v>1</v>
      </c>
      <c r="AQ1025" s="62" t="n">
        <f aca="false">IF(LEFT(Cockpit!$I$5,1)="A",H1025,IF(Parameter!$E$30="MAX-Bestand",IF(CI1025=1,CJ1025,IF(LEFT(Cockpit!$I$5,1)="B",AW1025,MAX(AW1025,H1025))),ROUNDUP(AU1025,0)))</f>
        <v>11</v>
      </c>
      <c r="AR1025" s="62" t="n">
        <f aca="false">IF(CA1025=1,0,ROUNDUP(AQ1025/BZ1025,0))</f>
        <v>1</v>
      </c>
      <c r="AS1025" s="64" t="n">
        <f aca="false">IF(CR1025&gt;0,CR1025*MAX(1,AQ1025/X1025),IF(CA1025=1,IF(AQ1025&lt;=0,0,CE1025*MAX(1,IF(H1025&gt;0,AQ1025/H1025,1))),IF(R1025&gt;0,AR1025/R1025,0))/MAX(0.1,N(Parameter!$M$21)))</f>
        <v>0.00714285714285714</v>
      </c>
      <c r="AT1025" s="62" t="n">
        <f aca="false">AS1025*CC1025</f>
        <v>1.10714285714286</v>
      </c>
      <c r="AU1025" s="63" t="n">
        <f aca="false">IF(LEFT(Cockpit!$I$5,1)="A",H1025,IF(CI1025=1,(CL1025+CJ1025)/2,IF(LEFT(Cockpit!$I$5,1)="B",(CL1025+AW1025)/2,MAX((CL1025+AW1025)/2,H1025))))</f>
        <v>11</v>
      </c>
      <c r="AV1025" s="62" t="n">
        <f aca="false">AU1025*G1025</f>
        <v>306.24</v>
      </c>
      <c r="AW1025" s="62" t="n">
        <f aca="false">ROUNDUP(CL1025+MAX(CM1025,2*(J1025/IF(CH1025&gt;0,CH1025,MAX(0.1,N(Cockpit!$I$6)))-CL1025)),0)</f>
        <v>21</v>
      </c>
      <c r="AX1025" s="63" t="n">
        <f aca="false">IF(AT1025&gt;0,J1025/AT1025,-1)</f>
        <v>18.0645161290323</v>
      </c>
      <c r="AY1025" s="63" t="n">
        <f aca="false">IF(AND(OR(CG1025="L1",CG1025="L23",CG1025="LIFT"),AT1025&gt;0),SUMIFS($AT$7:$AT$1843,$CG$7:$CG$1843,CG1025,$AX$7:$AX$1843,"&gt;"&amp;AX1025)+SUMIFS($AT$7:$AT$1843,$CG$7:$CG$1843,CG1025,$AX$7:$AX$1843,AX1025,$BX$7:$BX$1843,"&lt;="&amp;BX1025),"")</f>
        <v>2409.04990842491</v>
      </c>
      <c r="AZ1025" s="70" t="n">
        <f aca="false">IF(AY1025="",0,MAX(0,MIN(1,(IF(CG1025="L1",Parameter!$H$5,IF(CG1025="L23",Parameter!$H$6+Parameter!$H$7,Parameter!$H$5+Parameter!$H$6+Parameter!$H$7))-(AY1025-AT1025))/AT1025)))</f>
        <v>1</v>
      </c>
      <c r="BA1025" s="62" t="n">
        <f aca="false">IF(LEFT(Cockpit!$O$5,1)="A",H1025,IF(Parameter!$E$30="MAX-Bestand",IF(CI1025=1,CJ1025,IF(LEFT(Cockpit!$O$5,1)="B",BG1025,MAX(BG1025,H1025))),ROUNDUP(BE1025,0)))</f>
        <v>11</v>
      </c>
      <c r="BB1025" s="62" t="n">
        <f aca="false">IF(CA1025=1,0,ROUNDUP(BA1025/BZ1025,0))</f>
        <v>1</v>
      </c>
      <c r="BC1025" s="64" t="n">
        <f aca="false">IF(CR1025&gt;0,CR1025*MAX(1,BA1025/X1025),IF(CA1025=1,IF(BA1025&lt;=0,0,CE1025*MAX(1,IF(H1025&gt;0,BA1025/H1025,1))),IF(R1025&gt;0,BB1025/R1025,0))/MAX(0.1,N(Parameter!$M$21)))</f>
        <v>0.00714285714285714</v>
      </c>
      <c r="BD1025" s="62" t="n">
        <f aca="false">BC1025*CC1025</f>
        <v>1.10714285714286</v>
      </c>
      <c r="BE1025" s="63" t="n">
        <f aca="false">IF(LEFT(Cockpit!$O$5,1)="A",H1025,IF(CI1025=1,(CL1025+CJ1025)/2,IF(LEFT(Cockpit!$O$5,1)="B",(CL1025+BG1025)/2,MAX((CL1025+BG1025)/2,H1025))))</f>
        <v>11</v>
      </c>
      <c r="BF1025" s="62" t="n">
        <f aca="false">BE1025*G1025</f>
        <v>306.24</v>
      </c>
      <c r="BG1025" s="62" t="n">
        <f aca="false">ROUNDUP(CL1025+MAX(CM1025,2*(J1025/IF(CH1025&gt;0,CH1025,MAX(0.1,N(Cockpit!$O$6)))-CL1025)),0)</f>
        <v>21</v>
      </c>
      <c r="BH1025" s="63" t="n">
        <f aca="false">IF(BD1025&gt;0,J1025/BD1025,-1)</f>
        <v>18.0645161290323</v>
      </c>
      <c r="BI1025" s="63" t="n">
        <f aca="false">IF(AND(OR(CG1025="L1",CG1025="L23",CG1025="LIFT"),BD1025&gt;0),SUMIFS($BD$7:$BD$1843,$CG$7:$CG$1843,CG1025,$BH$7:$BH$1843,"&gt;"&amp;BH1025)+SUMIFS($BD$7:$BD$1843,$CG$7:$CG$1843,CG1025,$BH$7:$BH$1843,BH1025,$BX$7:$BX$1843,"&lt;="&amp;BX1025),"")</f>
        <v>2291.04395604396</v>
      </c>
      <c r="BJ1025" s="70" t="n">
        <f aca="false">IF(BI1025="",0,MAX(0,MIN(1,(IF(CG1025="L1",Parameter!$H$5,IF(CG1025="L23",Parameter!$H$6+Parameter!$H$7,Parameter!$H$5+Parameter!$H$6+Parameter!$H$7))-(BI1025-BD1025))/BD1025)))</f>
        <v>1</v>
      </c>
      <c r="BK1025" s="60" t="str">
        <f aca="false">IF(AJ1025&lt;=0,"",IF(CG1025="Aussen","Aussenlager",IF(CG1025="-","Nicht im Lift",IF(AP1025&gt;=1,"Lift",IF(AP1025&lt;=0,"Aussenlager","teilweise")))))</f>
        <v>Lift</v>
      </c>
      <c r="BL1025" s="60" t="str">
        <f aca="false">IF(AT1025&lt;=0,"",IF(CG1025="Aussen","Aussenlager",IF(CG1025="-","Nicht im Lift",IF(AZ1025&gt;=1,"Lift",IF(AZ1025&lt;=0,"Aussenlager","teilweise")))))</f>
        <v>Lift</v>
      </c>
      <c r="BM1025" s="60" t="str">
        <f aca="false">IF(BD1025&lt;=0,"",IF(CG1025="Aussen","Aussenlager",IF(CG1025="-","Nicht im Lift",IF(BJ1025&gt;=1,"Lift",IF(BJ1025&lt;=0,"Aussenlager","teilweise")))))</f>
        <v>Lift</v>
      </c>
      <c r="BN1025" s="60" t="str">
        <f aca="false">IF(A1025="","",IF(BW1025=1,"Neu; ","")&amp;IF(AND(BW1025=0,BR1025&lt;0),"negativer Bestand (Export "&amp;BR1025&amp;"); ","")&amp;IF(J1025&lt;=0,"Kein Verbrauch; ","")&amp;IF(CR1025&gt;0,"Lift "&amp;W1025&amp;" lt. Liftbericht (Fach "&amp;X1025&amp;" Stk); ",IF(CB1025=1,"Gebinde geschätzt ("&amp;T1025&amp;"); ",IF(CA1025=1,"Lose – Tablare geschätzt; ","")))&amp;IF(H1025&gt;AW1025,"Überbestand "&amp;ROUND(H1025-AW1025,0)&amp;" Stk / CHF "&amp;ROUND((H1025-AW1025)*G1025,0)&amp;"; ","")&amp;IF(AND(CI1025=1,CJ1025&lt;CK1025),"MAX &lt; MB+LG; ","")&amp;IF(AND(CQ1025&gt;0,CP1025*10&gt;CQ1025),"zu hoch für Tablar; ","")&amp;IF(AND(BW1025=0,OR(CI1025=1,AB1025&lt;&gt;"",U1025&lt;&gt;"",V1025&lt;&gt;"",AC1025&lt;&gt;"")),"manuell übersteuert; ","")&amp;IF(AND(CA1025=0,R1025=0),"Gebinde unbekannt / Stellmass fehlt; ","")&amp;IF(AND(CA1025=0,N(V1025)&lt;=0,N(Q1025)&lt;=0),"Menge pro Gebinde fehlt (Ist = 1 Gebinde); ","")&amp;BV1025)</f>
        <v>negativer Bestand (Export -4); </v>
      </c>
      <c r="BO1025" s="60"/>
      <c r="BP1025" s="60"/>
      <c r="BQ1025" s="67"/>
      <c r="BR1025" s="62" t="n">
        <v>-4</v>
      </c>
      <c r="BS1025" s="62" t="n">
        <v>14</v>
      </c>
      <c r="BT1025" s="61" t="n">
        <v>-124.24</v>
      </c>
      <c r="BU1025" s="62" t="n">
        <v>20</v>
      </c>
      <c r="BV1025" s="60"/>
      <c r="BW1025" s="65" t="n">
        <v>0</v>
      </c>
      <c r="BX1025" s="65" t="n">
        <v>1025</v>
      </c>
      <c r="BY1025" s="60" t="str">
        <f aca="false">IF(U1025&lt;&gt;"",UPPER(TRIM(U1025)),IF(CB1025=1,UPPER(VLOOKUP(T1025,Parameter!$I$27:$K$29,2,0)),IF(P1025="","LOSE",P1025)))</f>
        <v>S22</v>
      </c>
      <c r="BZ1025" s="62" t="n">
        <f aca="false">IF(BY1025="LOSE",1,IF(N(V1025)&gt;0,V1025,IF(CB1025=1,MAX(1,N(VLOOKUP(T1025,Parameter!$I$27:$K$29,3,0)),H1025,N(N1025)),IF(N(Q1025)&gt;0,Q1025,MAX(1,H1025)))))</f>
        <v>17</v>
      </c>
      <c r="CA1025" s="65" t="n">
        <f aca="false">IF(BY1025="LOSE",1,0)</f>
        <v>0</v>
      </c>
      <c r="CB1025" s="65" t="n">
        <f aca="false">IF(AND(U1025="",OR(P1025="",P1025="LOSE"),T1025&lt;&gt;"",N(S1025)&lt;=0,ISNUMBER(MATCH(T1025,Parameter!$I$27:$I$29,0))),1,0)</f>
        <v>0</v>
      </c>
      <c r="CC1025" s="65" t="n">
        <f aca="false">IF(CR1025&gt;0,INDEX(Parameter!$H$5:$H$7,W1025)/INDEX(Parameter!$E$5:$E$7,W1025),IF(AND(CA1025=0,N(IFERROR(VLOOKUP(BY1025,'Gebinde-Kategorie'!$A$5:$N$45,14,0),0))&gt;0),VLOOKUP(BY1025,'Gebinde-Kategorie'!$A$5:$N$45,14,0)*10+Parameter!$M$23,Parameter!$M$24))</f>
        <v>155</v>
      </c>
      <c r="CD1025" s="60" t="str">
        <f aca="false">IF(AND(Parameter!$B$19="Ja",E1025&lt;&gt;"",ISNUMBER(MATCH(E1025,Parameter!$I$35:$I$52,0))),VLOOKUP(E1025,Parameter!$I$35:$J$52,2,0),IFERROR(VLOOKUP(D1025,Parameter!$A$35:$C$64,2,0),"Nein"))</f>
        <v>2+3</v>
      </c>
      <c r="CE1025" s="64" t="n">
        <f aca="false">IF(CA1025=0,0,IF(N(S1025)&gt;0,S1025,IFERROR(VLOOKUP(D1025,Parameter!$A$35:$C$64,3,0)+0,0)))</f>
        <v>0</v>
      </c>
      <c r="CF1025" s="60" t="n">
        <f aca="false">IF(AB1025&lt;&gt;"",AB1025,AA1025)</f>
        <v>3</v>
      </c>
      <c r="CG1025" s="60" t="str">
        <f aca="false">IF(OR(CF1025=1,CF1025=2,CF1025=3),IF(Parameter!$E$27="Ja","LIFT",IF(CF1025=1,"L1","L23")),IF(CF1025="Aussen","Aussen","-"))</f>
        <v>LIFT</v>
      </c>
      <c r="CH1025" s="71" t="n">
        <f aca="false">IF(N(AC1025)&gt;0,AC1025,0)</f>
        <v>0</v>
      </c>
      <c r="CI1025" s="65" t="n">
        <f aca="false">IF(ISNUMBER(AF1025),1,0)</f>
        <v>0</v>
      </c>
      <c r="CJ1025" s="62" t="n">
        <f aca="false">N(AF1025)</f>
        <v>0</v>
      </c>
      <c r="CK1025" s="62" t="n">
        <f aca="false">N(M1025)+N(N1025)</f>
        <v>21</v>
      </c>
      <c r="CL1025" s="62" t="n">
        <f aca="false">N(M1025)</f>
        <v>1</v>
      </c>
      <c r="CM1025" s="62" t="n">
        <f aca="false">N(N1025)</f>
        <v>20</v>
      </c>
      <c r="CN1025" s="62" t="n">
        <f aca="false">ROUNDUP(H1025/BZ1025,0)</f>
        <v>1</v>
      </c>
      <c r="CO1025" s="62" t="n">
        <f aca="false">ROUNDUP(CJ1025/BZ1025,0)</f>
        <v>0</v>
      </c>
      <c r="CP1025" s="65" t="n">
        <f aca="false">IF(CA1025=1,0,IFERROR(VLOOKUP(BY1025,'Gebinde-Kategorie'!$A$5:$N$45,5,0)+0,0))</f>
        <v>8</v>
      </c>
      <c r="CQ1025" s="65" t="n">
        <f aca="false">IFERROR(IF(OR(CF1025=1,CF1025=2,CF1025=3),N(INDEX(Parameter!$I$5:$I$7,CF1025)),0),0)</f>
        <v>0</v>
      </c>
      <c r="CR1025" s="64" t="n">
        <f aca="false">IF(AND(Parameter!$B$21="Ja",ISNUMBER(W1025),N(X1025)&gt;0),IFERROR(N(INDEX(Parameter!$L$5:$L$7,W1025))*INDEX(Parameter!$E$5:$E$7,W1025)*X1025/SUMIFS($X$7:$X$1843,$W$7:$W$1843,W1025),0),0)</f>
        <v>0</v>
      </c>
      <c r="CS1025" s="62" t="n">
        <f aca="false">IF(AND(OR(CG1025="L1",CG1025="L23",CG1025="LIFT"),H1025&gt;0),CC1025*IF(CR1025&gt;0,CR1025*MAX(1,H1025/X1025),IF(CA1025=1,CE1025,IF(R1025&gt;0,CN1025/R1025,0))/MAX(0.1,N(Parameter!$M$21))),"")</f>
        <v>1.10714285714286</v>
      </c>
      <c r="CT1025" s="64" t="n">
        <f aca="false">IF(CS1025="","",J1025/H1025)</f>
        <v>2</v>
      </c>
      <c r="CU1025" s="62" t="n">
        <f aca="false">IF(CS1025="","",H1025*G1025)</f>
        <v>278.4</v>
      </c>
      <c r="CV1025" s="63" t="n">
        <f aca="false">IF(CS1025="","",(CL1025+ROUNDUP(CL1025+MAX(CM1025,2*(J1025/MAX(0.1,N(Einkauf!$C$6))-CL1025)),0))/2)</f>
        <v>11</v>
      </c>
      <c r="CW1025" s="62" t="n">
        <f aca="false">IF(CS1025="","",MAX(0,H1025-CV1025)*G1025)</f>
        <v>0</v>
      </c>
      <c r="CX1025" s="62" t="n">
        <f aca="false">IF(CS1025="","",CS1025*MAX(0,1-CV1025/H1025))</f>
        <v>0</v>
      </c>
      <c r="CY1025" s="64" t="n">
        <f aca="false">IF(CS1025="","",PERCENTRANK($CS$7:$CS$1843,CS1025)+PERCENTRANK($CU$7:$CU$1843,CU1025)+1-PERCENTRANK($CT$7:$CT$1843,CT1025))</f>
        <v>0.6484</v>
      </c>
      <c r="CZ1025" s="72" t="n">
        <f aca="false">IF(CS1025="","",CHOOSE(MATCH(Einkauf!$C$5,Parameter!$G$23:$G$27,0),CY1025,CS1025,CU1025,-CT1025,CW1025)+ROW()/1000000000)</f>
        <v>0.648401025</v>
      </c>
    </row>
    <row r="1026" customFormat="false" ht="15" hidden="false" customHeight="false" outlineLevel="0" collapsed="false">
      <c r="A1026" s="60" t="s">
        <v>1928</v>
      </c>
      <c r="B1026" s="60" t="s">
        <v>1929</v>
      </c>
      <c r="C1026" s="60" t="s">
        <v>206</v>
      </c>
      <c r="D1026" s="60" t="s">
        <v>226</v>
      </c>
      <c r="E1026" s="60" t="s">
        <v>227</v>
      </c>
      <c r="F1026" s="60" t="s">
        <v>260</v>
      </c>
      <c r="G1026" s="61" t="n">
        <v>11.33</v>
      </c>
      <c r="H1026" s="62" t="n">
        <f aca="false">MAX(0,IF(AND(Parameter!$B$21="Ja",ISNUMBER(Y1026)),Y1026,IF(Parameter!$B$20="Jahresanfang 2025 + Export",BS1026+BR1026,BR1026)))</f>
        <v>4</v>
      </c>
      <c r="I1026" s="62" t="n">
        <f aca="false">H1026*G1026</f>
        <v>45.32</v>
      </c>
      <c r="J1026" s="62" t="n">
        <f aca="false">BU1026*Parameter!$B$18</f>
        <v>6</v>
      </c>
      <c r="K1026" s="63" t="n">
        <v>12</v>
      </c>
      <c r="L1026" s="64" t="n">
        <v>0.5</v>
      </c>
      <c r="M1026" s="62" t="n">
        <v>0</v>
      </c>
      <c r="N1026" s="62" t="n">
        <v>5</v>
      </c>
      <c r="O1026" s="65" t="n">
        <v>35</v>
      </c>
      <c r="P1026" s="60" t="s">
        <v>463</v>
      </c>
      <c r="Q1026" s="62" t="n">
        <v>9</v>
      </c>
      <c r="R1026" s="65" t="n">
        <f aca="false">IF(CA1026=1,0,IFERROR(VLOOKUP(BY1026,'Gebinde-Kategorie'!$A$5:$N$45,13,0)+0,0))</f>
        <v>104</v>
      </c>
      <c r="S1026" s="66"/>
      <c r="T1026" s="67"/>
      <c r="U1026" s="67"/>
      <c r="V1026" s="67"/>
      <c r="W1026" s="60"/>
      <c r="X1026" s="62"/>
      <c r="Y1026" s="62"/>
      <c r="Z1026" s="60" t="n">
        <v>1</v>
      </c>
      <c r="AA1026" s="60" t="n">
        <f aca="false">IF(A1026="","",IF(AND(Parameter!$B$21="Ja",ISNUMBER(W1026)),W1026,IF(AND(Parameter!$E$27="Ja",ISNUMBER(Z1026),CD1026&lt;&gt;"Nein"),Z1026,IF(CD1026="2+3",IF(ISNUMBER(SEARCH("grosser Artikel",BV1026)),2,IFERROR(VLOOKUP(BY1026,Parameter!$F$35:$G$64,2,0),2)),IF(OR(CD1026="Nein",CD1026=""),"-",CD1026)))))</f>
        <v>1</v>
      </c>
      <c r="AB1026" s="67"/>
      <c r="AC1026" s="68"/>
      <c r="AD1026" s="62" t="n">
        <f aca="false">AW1026</f>
        <v>5</v>
      </c>
      <c r="AE1026" s="62" t="n">
        <f aca="false">MAX(AW1026,H1026)</f>
        <v>5</v>
      </c>
      <c r="AF1026" s="69"/>
      <c r="AG1026" s="62" t="n">
        <f aca="false">IF(LEFT(Cockpit!$C$5,1)="A",H1026,IF(Parameter!$E$30="MAX-Bestand",IF(CI1026=1,CJ1026,IF(LEFT(Cockpit!$C$5,1)="B",AM1026,MAX(AM1026,H1026))),ROUNDUP(AK1026,0)))</f>
        <v>4</v>
      </c>
      <c r="AH1026" s="62" t="n">
        <f aca="false">IF(CA1026=1,0,ROUNDUP(AG1026/BZ1026,0))</f>
        <v>1</v>
      </c>
      <c r="AI1026" s="64" t="n">
        <f aca="false">IF(CR1026&gt;0,CR1026*MAX(1,AG1026/X1026),IF(CA1026=1,IF(AG1026&lt;=0,0,CE1026*MAX(1,IF(H1026&gt;0,AG1026/H1026,1))),IF(R1026&gt;0,AH1026/R1026,0))/MAX(0.1,N(Parameter!$M$21)))</f>
        <v>0.00961538461538462</v>
      </c>
      <c r="AJ1026" s="62" t="n">
        <f aca="false">AI1026*CC1026</f>
        <v>1.49038461538462</v>
      </c>
      <c r="AK1026" s="63" t="n">
        <f aca="false">IF(LEFT(Cockpit!$C$5,1)="A",H1026,IF(CI1026=1,(CL1026+CJ1026)/2,IF(LEFT(Cockpit!$C$5,1)="B",(CL1026+AM1026)/2,MAX((CL1026+AM1026)/2,H1026))))</f>
        <v>4</v>
      </c>
      <c r="AL1026" s="62" t="n">
        <f aca="false">AK1026*G1026</f>
        <v>45.32</v>
      </c>
      <c r="AM1026" s="62" t="n">
        <f aca="false">ROUNDUP(CL1026+MAX(CM1026,2*(J1026/IF(CH1026&gt;0,CH1026,MAX(0.1,N(Cockpit!$C$6)))-CL1026)),0)</f>
        <v>5</v>
      </c>
      <c r="AN1026" s="63" t="n">
        <f aca="false">IF(AJ1026&gt;0,J1026/AJ1026,-1)</f>
        <v>4.0258064516129</v>
      </c>
      <c r="AO1026" s="63" t="n">
        <f aca="false">IF(AND(OR(CG1026="L1",CG1026="L23",CG1026="LIFT"),AJ1026&gt;0),SUMIFS($AJ$7:$AJ$1843,$CG$7:$CG$1843,CG1026,$AN$7:$AN$1843,"&gt;"&amp;AN1026)+SUMIFS($AJ$7:$AJ$1843,$CG$7:$CG$1843,CG1026,$AN$7:$AN$1843,AN1026,$BX$7:$BX$1843,"&lt;="&amp;BX1026),"")</f>
        <v>4357.19871794872</v>
      </c>
      <c r="AP1026" s="70" t="n">
        <f aca="false">IF(AO1026="",0,MAX(0,MIN(1,(IF(CG1026="L1",Parameter!$H$5,IF(CG1026="L23",Parameter!$H$6+Parameter!$H$7,Parameter!$H$5+Parameter!$H$6+Parameter!$H$7))-(AO1026-AJ1026))/AJ1026)))</f>
        <v>1</v>
      </c>
      <c r="AQ1026" s="62" t="n">
        <f aca="false">IF(LEFT(Cockpit!$I$5,1)="A",H1026,IF(Parameter!$E$30="MAX-Bestand",IF(CI1026=1,CJ1026,IF(LEFT(Cockpit!$I$5,1)="B",AW1026,MAX(AW1026,H1026))),ROUNDUP(AU1026,0)))</f>
        <v>4</v>
      </c>
      <c r="AR1026" s="62" t="n">
        <f aca="false">IF(CA1026=1,0,ROUNDUP(AQ1026/BZ1026,0))</f>
        <v>1</v>
      </c>
      <c r="AS1026" s="64" t="n">
        <f aca="false">IF(CR1026&gt;0,CR1026*MAX(1,AQ1026/X1026),IF(CA1026=1,IF(AQ1026&lt;=0,0,CE1026*MAX(1,IF(H1026&gt;0,AQ1026/H1026,1))),IF(R1026&gt;0,AR1026/R1026,0))/MAX(0.1,N(Parameter!$M$21)))</f>
        <v>0.00961538461538462</v>
      </c>
      <c r="AT1026" s="62" t="n">
        <f aca="false">AS1026*CC1026</f>
        <v>1.49038461538462</v>
      </c>
      <c r="AU1026" s="63" t="n">
        <f aca="false">IF(LEFT(Cockpit!$I$5,1)="A",H1026,IF(CI1026=1,(CL1026+CJ1026)/2,IF(LEFT(Cockpit!$I$5,1)="B",(CL1026+AW1026)/2,MAX((CL1026+AW1026)/2,H1026))))</f>
        <v>4</v>
      </c>
      <c r="AV1026" s="62" t="n">
        <f aca="false">AU1026*G1026</f>
        <v>45.32</v>
      </c>
      <c r="AW1026" s="62" t="n">
        <f aca="false">ROUNDUP(CL1026+MAX(CM1026,2*(J1026/IF(CH1026&gt;0,CH1026,MAX(0.1,N(Cockpit!$I$6)))-CL1026)),0)</f>
        <v>5</v>
      </c>
      <c r="AX1026" s="63" t="n">
        <f aca="false">IF(AT1026&gt;0,J1026/AT1026,-1)</f>
        <v>4.0258064516129</v>
      </c>
      <c r="AY1026" s="63" t="n">
        <f aca="false">IF(AND(OR(CG1026="L1",CG1026="L23",CG1026="LIFT"),AT1026&gt;0),SUMIFS($AT$7:$AT$1843,$CG$7:$CG$1843,CG1026,$AX$7:$AX$1843,"&gt;"&amp;AX1026)+SUMIFS($AT$7:$AT$1843,$CG$7:$CG$1843,CG1026,$AX$7:$AX$1843,AX1026,$BX$7:$BX$1843,"&lt;="&amp;BX1026),"")</f>
        <v>4966.19597069597</v>
      </c>
      <c r="AZ1026" s="70" t="n">
        <f aca="false">IF(AY1026="",0,MAX(0,MIN(1,(IF(CG1026="L1",Parameter!$H$5,IF(CG1026="L23",Parameter!$H$6+Parameter!$H$7,Parameter!$H$5+Parameter!$H$6+Parameter!$H$7))-(AY1026-AT1026))/AT1026)))</f>
        <v>1</v>
      </c>
      <c r="BA1026" s="62" t="n">
        <f aca="false">IF(LEFT(Cockpit!$O$5,1)="A",H1026,IF(Parameter!$E$30="MAX-Bestand",IF(CI1026=1,CJ1026,IF(LEFT(Cockpit!$O$5,1)="B",BG1026,MAX(BG1026,H1026))),ROUNDUP(BE1026,0)))</f>
        <v>3</v>
      </c>
      <c r="BB1026" s="62" t="n">
        <f aca="false">IF(CA1026=1,0,ROUNDUP(BA1026/BZ1026,0))</f>
        <v>1</v>
      </c>
      <c r="BC1026" s="64" t="n">
        <f aca="false">IF(CR1026&gt;0,CR1026*MAX(1,BA1026/X1026),IF(CA1026=1,IF(BA1026&lt;=0,0,CE1026*MAX(1,IF(H1026&gt;0,BA1026/H1026,1))),IF(R1026&gt;0,BB1026/R1026,0))/MAX(0.1,N(Parameter!$M$21)))</f>
        <v>0.00961538461538462</v>
      </c>
      <c r="BD1026" s="62" t="n">
        <f aca="false">BC1026*CC1026</f>
        <v>1.49038461538462</v>
      </c>
      <c r="BE1026" s="63" t="n">
        <f aca="false">IF(LEFT(Cockpit!$O$5,1)="A",H1026,IF(CI1026=1,(CL1026+CJ1026)/2,IF(LEFT(Cockpit!$O$5,1)="B",(CL1026+BG1026)/2,MAX((CL1026+BG1026)/2,H1026))))</f>
        <v>2.5</v>
      </c>
      <c r="BF1026" s="62" t="n">
        <f aca="false">BE1026*G1026</f>
        <v>28.325</v>
      </c>
      <c r="BG1026" s="62" t="n">
        <f aca="false">ROUNDUP(CL1026+MAX(CM1026,2*(J1026/IF(CH1026&gt;0,CH1026,MAX(0.1,N(Cockpit!$O$6)))-CL1026)),0)</f>
        <v>5</v>
      </c>
      <c r="BH1026" s="63" t="n">
        <f aca="false">IF(BD1026&gt;0,J1026/BD1026,-1)</f>
        <v>4.0258064516129</v>
      </c>
      <c r="BI1026" s="63" t="n">
        <f aca="false">IF(AND(OR(CG1026="L1",CG1026="L23",CG1026="LIFT"),BD1026&gt;0),SUMIFS($BD$7:$BD$1843,$CG$7:$CG$1843,CG1026,$BH$7:$BH$1843,"&gt;"&amp;BH1026)+SUMIFS($BD$7:$BD$1843,$CG$7:$CG$1843,CG1026,$BH$7:$BH$1843,BH1026,$BX$7:$BX$1843,"&lt;="&amp;BX1026),"")</f>
        <v>4077.80494505495</v>
      </c>
      <c r="BJ1026" s="70" t="n">
        <f aca="false">IF(BI1026="",0,MAX(0,MIN(1,(IF(CG1026="L1",Parameter!$H$5,IF(CG1026="L23",Parameter!$H$6+Parameter!$H$7,Parameter!$H$5+Parameter!$H$6+Parameter!$H$7))-(BI1026-BD1026))/BD1026)))</f>
        <v>1</v>
      </c>
      <c r="BK1026" s="60" t="str">
        <f aca="false">IF(AJ1026&lt;=0,"",IF(CG1026="Aussen","Aussenlager",IF(CG1026="-","Nicht im Lift",IF(AP1026&gt;=1,"Lift",IF(AP1026&lt;=0,"Aussenlager","teilweise")))))</f>
        <v>Lift</v>
      </c>
      <c r="BL1026" s="60" t="str">
        <f aca="false">IF(AT1026&lt;=0,"",IF(CG1026="Aussen","Aussenlager",IF(CG1026="-","Nicht im Lift",IF(AZ1026&gt;=1,"Lift",IF(AZ1026&lt;=0,"Aussenlager","teilweise")))))</f>
        <v>Lift</v>
      </c>
      <c r="BM1026" s="60" t="str">
        <f aca="false">IF(BD1026&lt;=0,"",IF(CG1026="Aussen","Aussenlager",IF(CG1026="-","Nicht im Lift",IF(BJ1026&gt;=1,"Lift",IF(BJ1026&lt;=0,"Aussenlager","teilweise")))))</f>
        <v>Lift</v>
      </c>
      <c r="BN1026" s="60" t="str">
        <f aca="false">IF(A1026="","",IF(BW1026=1,"Neu; ","")&amp;IF(AND(BW1026=0,BR1026&lt;0),"negativer Bestand (Export "&amp;BR1026&amp;"); ","")&amp;IF(J1026&lt;=0,"Kein Verbrauch; ","")&amp;IF(CR1026&gt;0,"Lift "&amp;W1026&amp;" lt. Liftbericht (Fach "&amp;X1026&amp;" Stk); ",IF(CB1026=1,"Gebinde geschätzt ("&amp;T1026&amp;"); ",IF(CA1026=1,"Lose – Tablare geschätzt; ","")))&amp;IF(H1026&gt;AW1026,"Überbestand "&amp;ROUND(H1026-AW1026,0)&amp;" Stk / CHF "&amp;ROUND((H1026-AW1026)*G1026,0)&amp;"; ","")&amp;IF(AND(CI1026=1,CJ1026&lt;CK1026),"MAX &lt; MB+LG; ","")&amp;IF(AND(CQ1026&gt;0,CP1026*10&gt;CQ1026),"zu hoch für Tablar; ","")&amp;IF(AND(BW1026=0,OR(CI1026=1,AB1026&lt;&gt;"",U1026&lt;&gt;"",V1026&lt;&gt;"",AC1026&lt;&gt;"")),"manuell übersteuert; ","")&amp;IF(AND(CA1026=0,R1026=0),"Gebinde unbekannt / Stellmass fehlt; ","")&amp;IF(AND(CA1026=0,N(V1026)&lt;=0,N(Q1026)&lt;=0),"Menge pro Gebinde fehlt (Ist = 1 Gebinde); ","")&amp;BV1026)</f>
        <v>negativer Bestand (Export -11); </v>
      </c>
      <c r="BO1026" s="60"/>
      <c r="BP1026" s="60"/>
      <c r="BQ1026" s="67"/>
      <c r="BR1026" s="62" t="n">
        <v>-11</v>
      </c>
      <c r="BS1026" s="62" t="n">
        <v>15</v>
      </c>
      <c r="BT1026" s="61" t="n">
        <v>-124.63</v>
      </c>
      <c r="BU1026" s="62" t="n">
        <v>6</v>
      </c>
      <c r="BV1026" s="60"/>
      <c r="BW1026" s="65" t="n">
        <v>0</v>
      </c>
      <c r="BX1026" s="65" t="n">
        <v>1026</v>
      </c>
      <c r="BY1026" s="60" t="str">
        <f aca="false">IF(U1026&lt;&gt;"",UPPER(TRIM(U1026)),IF(CB1026=1,UPPER(VLOOKUP(T1026,Parameter!$I$27:$K$29,2,0)),IF(P1026="","LOSE",P1026)))</f>
        <v>S32</v>
      </c>
      <c r="BZ1026" s="62" t="n">
        <f aca="false">IF(BY1026="LOSE",1,IF(N(V1026)&gt;0,V1026,IF(CB1026=1,MAX(1,N(VLOOKUP(T1026,Parameter!$I$27:$K$29,3,0)),H1026,N(N1026)),IF(N(Q1026)&gt;0,Q1026,MAX(1,H1026)))))</f>
        <v>9</v>
      </c>
      <c r="CA1026" s="65" t="n">
        <f aca="false">IF(BY1026="LOSE",1,0)</f>
        <v>0</v>
      </c>
      <c r="CB1026" s="65" t="n">
        <f aca="false">IF(AND(U1026="",OR(P1026="",P1026="LOSE"),T1026&lt;&gt;"",N(S1026)&lt;=0,ISNUMBER(MATCH(T1026,Parameter!$I$27:$I$29,0))),1,0)</f>
        <v>0</v>
      </c>
      <c r="CC1026" s="65" t="n">
        <f aca="false">IF(CR1026&gt;0,INDEX(Parameter!$H$5:$H$7,W1026)/INDEX(Parameter!$E$5:$E$7,W1026),IF(AND(CA1026=0,N(IFERROR(VLOOKUP(BY1026,'Gebinde-Kategorie'!$A$5:$N$45,14,0),0))&gt;0),VLOOKUP(BY1026,'Gebinde-Kategorie'!$A$5:$N$45,14,0)*10+Parameter!$M$23,Parameter!$M$24))</f>
        <v>155</v>
      </c>
      <c r="CD1026" s="60" t="str">
        <f aca="false">IF(AND(Parameter!$B$19="Ja",E1026&lt;&gt;"",ISNUMBER(MATCH(E1026,Parameter!$I$35:$I$52,0))),VLOOKUP(E1026,Parameter!$I$35:$J$52,2,0),IFERROR(VLOOKUP(D1026,Parameter!$A$35:$C$64,2,0),"Nein"))</f>
        <v>2+3</v>
      </c>
      <c r="CE1026" s="64" t="n">
        <f aca="false">IF(CA1026=0,0,IF(N(S1026)&gt;0,S1026,IFERROR(VLOOKUP(D1026,Parameter!$A$35:$C$64,3,0)+0,0)))</f>
        <v>0</v>
      </c>
      <c r="CF1026" s="60" t="n">
        <f aca="false">IF(AB1026&lt;&gt;"",AB1026,AA1026)</f>
        <v>1</v>
      </c>
      <c r="CG1026" s="60" t="str">
        <f aca="false">IF(OR(CF1026=1,CF1026=2,CF1026=3),IF(Parameter!$E$27="Ja","LIFT",IF(CF1026=1,"L1","L23")),IF(CF1026="Aussen","Aussen","-"))</f>
        <v>LIFT</v>
      </c>
      <c r="CH1026" s="71" t="n">
        <f aca="false">IF(N(AC1026)&gt;0,AC1026,0)</f>
        <v>0</v>
      </c>
      <c r="CI1026" s="65" t="n">
        <f aca="false">IF(ISNUMBER(AF1026),1,0)</f>
        <v>0</v>
      </c>
      <c r="CJ1026" s="62" t="n">
        <f aca="false">N(AF1026)</f>
        <v>0</v>
      </c>
      <c r="CK1026" s="62" t="n">
        <f aca="false">N(M1026)+N(N1026)</f>
        <v>5</v>
      </c>
      <c r="CL1026" s="62" t="n">
        <f aca="false">N(M1026)</f>
        <v>0</v>
      </c>
      <c r="CM1026" s="62" t="n">
        <f aca="false">N(N1026)</f>
        <v>5</v>
      </c>
      <c r="CN1026" s="62" t="n">
        <f aca="false">ROUNDUP(H1026/BZ1026,0)</f>
        <v>1</v>
      </c>
      <c r="CO1026" s="62" t="n">
        <f aca="false">ROUNDUP(CJ1026/BZ1026,0)</f>
        <v>0</v>
      </c>
      <c r="CP1026" s="65" t="n">
        <f aca="false">IF(CA1026=1,0,IFERROR(VLOOKUP(BY1026,'Gebinde-Kategorie'!$A$5:$N$45,5,0)+0,0))</f>
        <v>8</v>
      </c>
      <c r="CQ1026" s="65" t="n">
        <f aca="false">IFERROR(IF(OR(CF1026=1,CF1026=2,CF1026=3),N(INDEX(Parameter!$I$5:$I$7,CF1026)),0),0)</f>
        <v>0</v>
      </c>
      <c r="CR1026" s="64" t="n">
        <f aca="false">IF(AND(Parameter!$B$21="Ja",ISNUMBER(W1026),N(X1026)&gt;0),IFERROR(N(INDEX(Parameter!$L$5:$L$7,W1026))*INDEX(Parameter!$E$5:$E$7,W1026)*X1026/SUMIFS($X$7:$X$1843,$W$7:$W$1843,W1026),0),0)</f>
        <v>0</v>
      </c>
      <c r="CS1026" s="62" t="n">
        <f aca="false">IF(AND(OR(CG1026="L1",CG1026="L23",CG1026="LIFT"),H1026&gt;0),CC1026*IF(CR1026&gt;0,CR1026*MAX(1,H1026/X1026),IF(CA1026=1,CE1026,IF(R1026&gt;0,CN1026/R1026,0))/MAX(0.1,N(Parameter!$M$21))),"")</f>
        <v>1.49038461538462</v>
      </c>
      <c r="CT1026" s="64" t="n">
        <f aca="false">IF(CS1026="","",J1026/H1026)</f>
        <v>1.5</v>
      </c>
      <c r="CU1026" s="62" t="n">
        <f aca="false">IF(CS1026="","",H1026*G1026)</f>
        <v>45.32</v>
      </c>
      <c r="CV1026" s="63" t="n">
        <f aca="false">IF(CS1026="","",(CL1026+ROUNDUP(CL1026+MAX(CM1026,2*(J1026/MAX(0.1,N(Einkauf!$C$6))-CL1026)),0))/2)</f>
        <v>2.5</v>
      </c>
      <c r="CW1026" s="62" t="n">
        <f aca="false">IF(CS1026="","",MAX(0,H1026-CV1026)*G1026)</f>
        <v>16.995</v>
      </c>
      <c r="CX1026" s="62" t="n">
        <f aca="false">IF(CS1026="","",CS1026*MAX(0,1-CV1026/H1026))</f>
        <v>0.558894230769231</v>
      </c>
      <c r="CY1026" s="64" t="n">
        <f aca="false">IF(CS1026="","",PERCENTRANK($CS$7:$CS$1843,CS1026)+PERCENTRANK($CU$7:$CU$1843,CU1026)+1-PERCENTRANK($CT$7:$CT$1843,CT1026))</f>
        <v>0.5</v>
      </c>
      <c r="CZ1026" s="72" t="n">
        <f aca="false">IF(CS1026="","",CHOOSE(MATCH(Einkauf!$C$5,Parameter!$G$23:$G$27,0),CY1026,CS1026,CU1026,-CT1026,CW1026)+ROW()/1000000000)</f>
        <v>0.500001026</v>
      </c>
    </row>
    <row r="1027" customFormat="false" ht="15" hidden="false" customHeight="false" outlineLevel="0" collapsed="false">
      <c r="A1027" s="60" t="s">
        <v>1930</v>
      </c>
      <c r="B1027" s="60" t="s">
        <v>1931</v>
      </c>
      <c r="C1027" s="60" t="s">
        <v>206</v>
      </c>
      <c r="D1027" s="60" t="s">
        <v>226</v>
      </c>
      <c r="E1027" s="60"/>
      <c r="F1027" s="60" t="s">
        <v>260</v>
      </c>
      <c r="G1027" s="61" t="n">
        <v>125</v>
      </c>
      <c r="H1027" s="62" t="n">
        <f aca="false">MAX(0,IF(AND(Parameter!$B$21="Ja",ISNUMBER(Y1027)),Y1027,IF(Parameter!$B$20="Jahresanfang 2025 + Export",BS1027+BR1027,BR1027)))</f>
        <v>10</v>
      </c>
      <c r="I1027" s="62" t="n">
        <f aca="false">H1027*G1027</f>
        <v>1250</v>
      </c>
      <c r="J1027" s="62" t="n">
        <f aca="false">BU1027*Parameter!$B$18</f>
        <v>0</v>
      </c>
      <c r="K1027" s="63" t="n">
        <v>11</v>
      </c>
      <c r="L1027" s="64" t="n">
        <v>0</v>
      </c>
      <c r="M1027" s="62" t="n">
        <v>0</v>
      </c>
      <c r="N1027" s="62" t="n">
        <v>1</v>
      </c>
      <c r="O1027" s="65" t="n">
        <v>35</v>
      </c>
      <c r="P1027" s="60" t="s">
        <v>335</v>
      </c>
      <c r="Q1027" s="62" t="n">
        <v>15</v>
      </c>
      <c r="R1027" s="65" t="n">
        <f aca="false">IF(CA1027=1,0,IFERROR(VLOOKUP(BY1027,'Gebinde-Kategorie'!$A$5:$N$45,13,0)+0,0))</f>
        <v>12</v>
      </c>
      <c r="S1027" s="66"/>
      <c r="T1027" s="67"/>
      <c r="U1027" s="67"/>
      <c r="V1027" s="67"/>
      <c r="W1027" s="60"/>
      <c r="X1027" s="62"/>
      <c r="Y1027" s="62"/>
      <c r="Z1027" s="60" t="n">
        <v>3</v>
      </c>
      <c r="AA1027" s="60" t="n">
        <f aca="false">IF(A1027="","",IF(AND(Parameter!$B$21="Ja",ISNUMBER(W1027)),W1027,IF(AND(Parameter!$E$27="Ja",ISNUMBER(Z1027),CD1027&lt;&gt;"Nein"),Z1027,IF(CD1027="2+3",IF(ISNUMBER(SEARCH("grosser Artikel",BV1027)),2,IFERROR(VLOOKUP(BY1027,Parameter!$F$35:$G$64,2,0),2)),IF(OR(CD1027="Nein",CD1027=""),"-",CD1027)))))</f>
        <v>3</v>
      </c>
      <c r="AB1027" s="67"/>
      <c r="AC1027" s="68"/>
      <c r="AD1027" s="62" t="n">
        <f aca="false">AW1027</f>
        <v>1</v>
      </c>
      <c r="AE1027" s="62" t="n">
        <f aca="false">MAX(AW1027,H1027)</f>
        <v>10</v>
      </c>
      <c r="AF1027" s="69"/>
      <c r="AG1027" s="62" t="n">
        <f aca="false">IF(LEFT(Cockpit!$C$5,1)="A",H1027,IF(Parameter!$E$30="MAX-Bestand",IF(CI1027=1,CJ1027,IF(LEFT(Cockpit!$C$5,1)="B",AM1027,MAX(AM1027,H1027))),ROUNDUP(AK1027,0)))</f>
        <v>10</v>
      </c>
      <c r="AH1027" s="62" t="n">
        <f aca="false">IF(CA1027=1,0,ROUNDUP(AG1027/BZ1027,0))</f>
        <v>1</v>
      </c>
      <c r="AI1027" s="64" t="n">
        <f aca="false">IF(CR1027&gt;0,CR1027*MAX(1,AG1027/X1027),IF(CA1027=1,IF(AG1027&lt;=0,0,CE1027*MAX(1,IF(H1027&gt;0,AG1027/H1027,1))),IF(R1027&gt;0,AH1027/R1027,0))/MAX(0.1,N(Parameter!$M$21)))</f>
        <v>0.0833333333333333</v>
      </c>
      <c r="AJ1027" s="62" t="n">
        <f aca="false">AI1027*CC1027</f>
        <v>20.4166666666667</v>
      </c>
      <c r="AK1027" s="63" t="n">
        <f aca="false">IF(LEFT(Cockpit!$C$5,1)="A",H1027,IF(CI1027=1,(CL1027+CJ1027)/2,IF(LEFT(Cockpit!$C$5,1)="B",(CL1027+AM1027)/2,MAX((CL1027+AM1027)/2,H1027))))</f>
        <v>10</v>
      </c>
      <c r="AL1027" s="62" t="n">
        <f aca="false">AK1027*G1027</f>
        <v>1250</v>
      </c>
      <c r="AM1027" s="62" t="n">
        <f aca="false">ROUNDUP(CL1027+MAX(CM1027,2*(J1027/IF(CH1027&gt;0,CH1027,MAX(0.1,N(Cockpit!$C$6)))-CL1027)),0)</f>
        <v>1</v>
      </c>
      <c r="AN1027" s="63" t="n">
        <f aca="false">IF(AJ1027&gt;0,J1027/AJ1027,-1)</f>
        <v>0</v>
      </c>
      <c r="AO1027" s="63" t="n">
        <f aca="false">IF(AND(OR(CG1027="L1",CG1027="L23",CG1027="LIFT"),AJ1027&gt;0),SUMIFS($AJ$7:$AJ$1843,$CG$7:$CG$1843,CG1027,$AN$7:$AN$1843,"&gt;"&amp;AN1027)+SUMIFS($AJ$7:$AJ$1843,$CG$7:$CG$1843,CG1027,$AN$7:$AN$1843,AN1027,$BX$7:$BX$1843,"&lt;="&amp;BX1027),"")</f>
        <v>29036.4800216262</v>
      </c>
      <c r="AP1027" s="70" t="n">
        <f aca="false">IF(AO1027="",0,MAX(0,MIN(1,(IF(CG1027="L1",Parameter!$H$5,IF(CG1027="L23",Parameter!$H$6+Parameter!$H$7,Parameter!$H$5+Parameter!$H$6+Parameter!$H$7))-(AO1027-AJ1027))/AJ1027)))</f>
        <v>1</v>
      </c>
      <c r="AQ1027" s="62" t="n">
        <f aca="false">IF(LEFT(Cockpit!$I$5,1)="A",H1027,IF(Parameter!$E$30="MAX-Bestand",IF(CI1027=1,CJ1027,IF(LEFT(Cockpit!$I$5,1)="B",AW1027,MAX(AW1027,H1027))),ROUNDUP(AU1027,0)))</f>
        <v>10</v>
      </c>
      <c r="AR1027" s="62" t="n">
        <f aca="false">IF(CA1027=1,0,ROUNDUP(AQ1027/BZ1027,0))</f>
        <v>1</v>
      </c>
      <c r="AS1027" s="64" t="n">
        <f aca="false">IF(CR1027&gt;0,CR1027*MAX(1,AQ1027/X1027),IF(CA1027=1,IF(AQ1027&lt;=0,0,CE1027*MAX(1,IF(H1027&gt;0,AQ1027/H1027,1))),IF(R1027&gt;0,AR1027/R1027,0))/MAX(0.1,N(Parameter!$M$21)))</f>
        <v>0.0833333333333333</v>
      </c>
      <c r="AT1027" s="62" t="n">
        <f aca="false">AS1027*CC1027</f>
        <v>20.4166666666667</v>
      </c>
      <c r="AU1027" s="63" t="n">
        <f aca="false">IF(LEFT(Cockpit!$I$5,1)="A",H1027,IF(CI1027=1,(CL1027+CJ1027)/2,IF(LEFT(Cockpit!$I$5,1)="B",(CL1027+AW1027)/2,MAX((CL1027+AW1027)/2,H1027))))</f>
        <v>10</v>
      </c>
      <c r="AV1027" s="62" t="n">
        <f aca="false">AU1027*G1027</f>
        <v>1250</v>
      </c>
      <c r="AW1027" s="62" t="n">
        <f aca="false">ROUNDUP(CL1027+MAX(CM1027,2*(J1027/IF(CH1027&gt;0,CH1027,MAX(0.1,N(Cockpit!$I$6)))-CL1027)),0)</f>
        <v>1</v>
      </c>
      <c r="AX1027" s="63" t="n">
        <f aca="false">IF(AT1027&gt;0,J1027/AT1027,-1)</f>
        <v>0</v>
      </c>
      <c r="AY1027" s="63" t="n">
        <f aca="false">IF(AND(OR(CG1027="L1",CG1027="L23",CG1027="LIFT"),AT1027&gt;0),SUMIFS($AT$7:$AT$1843,$CG$7:$CG$1843,CG1027,$AX$7:$AX$1843,"&gt;"&amp;AX1027)+SUMIFS($AT$7:$AT$1843,$CG$7:$CG$1843,CG1027,$AX$7:$AX$1843,AX1027,$BX$7:$BX$1843,"&lt;="&amp;BX1027),"")</f>
        <v>34737.3617216117</v>
      </c>
      <c r="AZ1027" s="70" t="n">
        <f aca="false">IF(AY1027="",0,MAX(0,MIN(1,(IF(CG1027="L1",Parameter!$H$5,IF(CG1027="L23",Parameter!$H$6+Parameter!$H$7,Parameter!$H$5+Parameter!$H$6+Parameter!$H$7))-(AY1027-AT1027))/AT1027)))</f>
        <v>1</v>
      </c>
      <c r="BA1027" s="62" t="n">
        <f aca="false">IF(LEFT(Cockpit!$O$5,1)="A",H1027,IF(Parameter!$E$30="MAX-Bestand",IF(CI1027=1,CJ1027,IF(LEFT(Cockpit!$O$5,1)="B",BG1027,MAX(BG1027,H1027))),ROUNDUP(BE1027,0)))</f>
        <v>1</v>
      </c>
      <c r="BB1027" s="62" t="n">
        <f aca="false">IF(CA1027=1,0,ROUNDUP(BA1027/BZ1027,0))</f>
        <v>1</v>
      </c>
      <c r="BC1027" s="64" t="n">
        <f aca="false">IF(CR1027&gt;0,CR1027*MAX(1,BA1027/X1027),IF(CA1027=1,IF(BA1027&lt;=0,0,CE1027*MAX(1,IF(H1027&gt;0,BA1027/H1027,1))),IF(R1027&gt;0,BB1027/R1027,0))/MAX(0.1,N(Parameter!$M$21)))</f>
        <v>0.0833333333333333</v>
      </c>
      <c r="BD1027" s="62" t="n">
        <f aca="false">BC1027*CC1027</f>
        <v>20.4166666666667</v>
      </c>
      <c r="BE1027" s="63" t="n">
        <f aca="false">IF(LEFT(Cockpit!$O$5,1)="A",H1027,IF(CI1027=1,(CL1027+CJ1027)/2,IF(LEFT(Cockpit!$O$5,1)="B",(CL1027+BG1027)/2,MAX((CL1027+BG1027)/2,H1027))))</f>
        <v>0.5</v>
      </c>
      <c r="BF1027" s="62" t="n">
        <f aca="false">BE1027*G1027</f>
        <v>62.5</v>
      </c>
      <c r="BG1027" s="62" t="n">
        <f aca="false">ROUNDUP(CL1027+MAX(CM1027,2*(J1027/IF(CH1027&gt;0,CH1027,MAX(0.1,N(Cockpit!$O$6)))-CL1027)),0)</f>
        <v>1</v>
      </c>
      <c r="BH1027" s="63" t="n">
        <f aca="false">IF(BD1027&gt;0,J1027/BD1027,-1)</f>
        <v>0</v>
      </c>
      <c r="BI1027" s="63" t="n">
        <f aca="false">IF(AND(OR(CG1027="L1",CG1027="L23",CG1027="LIFT"),BD1027&gt;0),SUMIFS($BD$7:$BD$1843,$CG$7:$CG$1843,CG1027,$BH$7:$BH$1843,"&gt;"&amp;BH1027)+SUMIFS($BD$7:$BD$1843,$CG$7:$CG$1843,CG1027,$BH$7:$BH$1843,BH1027,$BX$7:$BX$1843,"&lt;="&amp;BX1027),"")</f>
        <v>28752.4760740672</v>
      </c>
      <c r="BJ1027" s="70" t="n">
        <f aca="false">IF(BI1027="",0,MAX(0,MIN(1,(IF(CG1027="L1",Parameter!$H$5,IF(CG1027="L23",Parameter!$H$6+Parameter!$H$7,Parameter!$H$5+Parameter!$H$6+Parameter!$H$7))-(BI1027-BD1027))/BD1027)))</f>
        <v>1</v>
      </c>
      <c r="BK1027" s="60" t="str">
        <f aca="false">IF(AJ1027&lt;=0,"",IF(CG1027="Aussen","Aussenlager",IF(CG1027="-","Nicht im Lift",IF(AP1027&gt;=1,"Lift",IF(AP1027&lt;=0,"Aussenlager","teilweise")))))</f>
        <v>Lift</v>
      </c>
      <c r="BL1027" s="60" t="str">
        <f aca="false">IF(AT1027&lt;=0,"",IF(CG1027="Aussen","Aussenlager",IF(CG1027="-","Nicht im Lift",IF(AZ1027&gt;=1,"Lift",IF(AZ1027&lt;=0,"Aussenlager","teilweise")))))</f>
        <v>Lift</v>
      </c>
      <c r="BM1027" s="60" t="str">
        <f aca="false">IF(BD1027&lt;=0,"",IF(CG1027="Aussen","Aussenlager",IF(CG1027="-","Nicht im Lift",IF(BJ1027&gt;=1,"Lift",IF(BJ1027&lt;=0,"Aussenlager","teilweise")))))</f>
        <v>Lift</v>
      </c>
      <c r="BN1027" s="60" t="str">
        <f aca="false">IF(A1027="","",IF(BW1027=1,"Neu; ","")&amp;IF(AND(BW1027=0,BR1027&lt;0),"negativer Bestand (Export "&amp;BR1027&amp;"); ","")&amp;IF(J1027&lt;=0,"Kein Verbrauch; ","")&amp;IF(CR1027&gt;0,"Lift "&amp;W1027&amp;" lt. Liftbericht (Fach "&amp;X1027&amp;" Stk); ",IF(CB1027=1,"Gebinde geschätzt ("&amp;T1027&amp;"); ",IF(CA1027=1,"Lose – Tablare geschätzt; ","")))&amp;IF(H1027&gt;AW1027,"Überbestand "&amp;ROUND(H1027-AW1027,0)&amp;" Stk / CHF "&amp;ROUND((H1027-AW1027)*G1027,0)&amp;"; ","")&amp;IF(AND(CI1027=1,CJ1027&lt;CK1027),"MAX &lt; MB+LG; ","")&amp;IF(AND(CQ1027&gt;0,CP1027*10&gt;CQ1027),"zu hoch für Tablar; ","")&amp;IF(AND(BW1027=0,OR(CI1027=1,AB1027&lt;&gt;"",U1027&lt;&gt;"",V1027&lt;&gt;"",AC1027&lt;&gt;"")),"manuell übersteuert; ","")&amp;IF(AND(CA1027=0,R1027=0),"Gebinde unbekannt / Stellmass fehlt; ","")&amp;IF(AND(CA1027=0,N(V1027)&lt;=0,N(Q1027)&lt;=0),"Menge pro Gebinde fehlt (Ist = 1 Gebinde); ","")&amp;BV1027)</f>
        <v>negativer Bestand (Export -1); Kein Verbrauch; Überbestand 9 Stk / CHF 1125; </v>
      </c>
      <c r="BO1027" s="60"/>
      <c r="BP1027" s="60"/>
      <c r="BQ1027" s="67"/>
      <c r="BR1027" s="62" t="n">
        <v>-1</v>
      </c>
      <c r="BS1027" s="62" t="n">
        <v>11</v>
      </c>
      <c r="BT1027" s="61" t="n">
        <v>-125</v>
      </c>
      <c r="BU1027" s="62" t="n">
        <v>0</v>
      </c>
      <c r="BV1027" s="60"/>
      <c r="BW1027" s="65" t="n">
        <v>0</v>
      </c>
      <c r="BX1027" s="65" t="n">
        <v>1027</v>
      </c>
      <c r="BY1027" s="60" t="str">
        <f aca="false">IF(U1027&lt;&gt;"",UPPER(TRIM(U1027)),IF(CB1027=1,UPPER(VLOOKUP(T1027,Parameter!$I$27:$K$29,2,0)),IF(P1027="","LOSE",P1027)))</f>
        <v>S62</v>
      </c>
      <c r="BZ1027" s="62" t="n">
        <f aca="false">IF(BY1027="LOSE",1,IF(N(V1027)&gt;0,V1027,IF(CB1027=1,MAX(1,N(VLOOKUP(T1027,Parameter!$I$27:$K$29,3,0)),H1027,N(N1027)),IF(N(Q1027)&gt;0,Q1027,MAX(1,H1027)))))</f>
        <v>15</v>
      </c>
      <c r="CA1027" s="65" t="n">
        <f aca="false">IF(BY1027="LOSE",1,0)</f>
        <v>0</v>
      </c>
      <c r="CB1027" s="65" t="n">
        <f aca="false">IF(AND(U1027="",OR(P1027="",P1027="LOSE"),T1027&lt;&gt;"",N(S1027)&lt;=0,ISNUMBER(MATCH(T1027,Parameter!$I$27:$I$29,0))),1,0)</f>
        <v>0</v>
      </c>
      <c r="CC1027" s="65" t="n">
        <f aca="false">IF(CR1027&gt;0,INDEX(Parameter!$H$5:$H$7,W1027)/INDEX(Parameter!$E$5:$E$7,W1027),IF(AND(CA1027=0,N(IFERROR(VLOOKUP(BY1027,'Gebinde-Kategorie'!$A$5:$N$45,14,0),0))&gt;0),VLOOKUP(BY1027,'Gebinde-Kategorie'!$A$5:$N$45,14,0)*10+Parameter!$M$23,Parameter!$M$24))</f>
        <v>245</v>
      </c>
      <c r="CD1027" s="60" t="str">
        <f aca="false">IF(AND(Parameter!$B$19="Ja",E1027&lt;&gt;"",ISNUMBER(MATCH(E1027,Parameter!$I$35:$I$52,0))),VLOOKUP(E1027,Parameter!$I$35:$J$52,2,0),IFERROR(VLOOKUP(D1027,Parameter!$A$35:$C$64,2,0),"Nein"))</f>
        <v>2+3</v>
      </c>
      <c r="CE1027" s="64" t="n">
        <f aca="false">IF(CA1027=0,0,IF(N(S1027)&gt;0,S1027,IFERROR(VLOOKUP(D1027,Parameter!$A$35:$C$64,3,0)+0,0)))</f>
        <v>0</v>
      </c>
      <c r="CF1027" s="60" t="n">
        <f aca="false">IF(AB1027&lt;&gt;"",AB1027,AA1027)</f>
        <v>3</v>
      </c>
      <c r="CG1027" s="60" t="str">
        <f aca="false">IF(OR(CF1027=1,CF1027=2,CF1027=3),IF(Parameter!$E$27="Ja","LIFT",IF(CF1027=1,"L1","L23")),IF(CF1027="Aussen","Aussen","-"))</f>
        <v>LIFT</v>
      </c>
      <c r="CH1027" s="71" t="n">
        <f aca="false">IF(N(AC1027)&gt;0,AC1027,0)</f>
        <v>0</v>
      </c>
      <c r="CI1027" s="65" t="n">
        <f aca="false">IF(ISNUMBER(AF1027),1,0)</f>
        <v>0</v>
      </c>
      <c r="CJ1027" s="62" t="n">
        <f aca="false">N(AF1027)</f>
        <v>0</v>
      </c>
      <c r="CK1027" s="62" t="n">
        <f aca="false">N(M1027)+N(N1027)</f>
        <v>1</v>
      </c>
      <c r="CL1027" s="62" t="n">
        <f aca="false">N(M1027)</f>
        <v>0</v>
      </c>
      <c r="CM1027" s="62" t="n">
        <f aca="false">N(N1027)</f>
        <v>1</v>
      </c>
      <c r="CN1027" s="62" t="n">
        <f aca="false">ROUNDUP(H1027/BZ1027,0)</f>
        <v>1</v>
      </c>
      <c r="CO1027" s="62" t="n">
        <f aca="false">ROUNDUP(CJ1027/BZ1027,0)</f>
        <v>0</v>
      </c>
      <c r="CP1027" s="65" t="n">
        <f aca="false">IF(CA1027=1,0,IFERROR(VLOOKUP(BY1027,'Gebinde-Kategorie'!$A$5:$N$45,5,0)+0,0))</f>
        <v>21</v>
      </c>
      <c r="CQ1027" s="65" t="n">
        <f aca="false">IFERROR(IF(OR(CF1027=1,CF1027=2,CF1027=3),N(INDEX(Parameter!$I$5:$I$7,CF1027)),0),0)</f>
        <v>0</v>
      </c>
      <c r="CR1027" s="64" t="n">
        <f aca="false">IF(AND(Parameter!$B$21="Ja",ISNUMBER(W1027),N(X1027)&gt;0),IFERROR(N(INDEX(Parameter!$L$5:$L$7,W1027))*INDEX(Parameter!$E$5:$E$7,W1027)*X1027/SUMIFS($X$7:$X$1843,$W$7:$W$1843,W1027),0),0)</f>
        <v>0</v>
      </c>
      <c r="CS1027" s="62" t="n">
        <f aca="false">IF(AND(OR(CG1027="L1",CG1027="L23",CG1027="LIFT"),H1027&gt;0),CC1027*IF(CR1027&gt;0,CR1027*MAX(1,H1027/X1027),IF(CA1027=1,CE1027,IF(R1027&gt;0,CN1027/R1027,0))/MAX(0.1,N(Parameter!$M$21))),"")</f>
        <v>20.4166666666667</v>
      </c>
      <c r="CT1027" s="64" t="n">
        <f aca="false">IF(CS1027="","",J1027/H1027)</f>
        <v>0</v>
      </c>
      <c r="CU1027" s="62" t="n">
        <f aca="false">IF(CS1027="","",H1027*G1027)</f>
        <v>1250</v>
      </c>
      <c r="CV1027" s="63" t="n">
        <f aca="false">IF(CS1027="","",(CL1027+ROUNDUP(CL1027+MAX(CM1027,2*(J1027/MAX(0.1,N(Einkauf!$C$6))-CL1027)),0))/2)</f>
        <v>0.5</v>
      </c>
      <c r="CW1027" s="62" t="n">
        <f aca="false">IF(CS1027="","",MAX(0,H1027-CV1027)*G1027)</f>
        <v>1187.5</v>
      </c>
      <c r="CX1027" s="62" t="n">
        <f aca="false">IF(CS1027="","",CS1027*MAX(0,1-CV1027/H1027))</f>
        <v>19.3958333333333</v>
      </c>
      <c r="CY1027" s="64" t="n">
        <f aca="false">IF(CS1027="","",PERCENTRANK($CS$7:$CS$1843,CS1027)+PERCENTRANK($CU$7:$CU$1843,CU1027)+1-PERCENTRANK($CT$7:$CT$1843,CT1027))</f>
        <v>2.467</v>
      </c>
      <c r="CZ1027" s="72" t="n">
        <f aca="false">IF(CS1027="","",CHOOSE(MATCH(Einkauf!$C$5,Parameter!$G$23:$G$27,0),CY1027,CS1027,CU1027,-CT1027,CW1027)+ROW()/1000000000)</f>
        <v>2.467001027</v>
      </c>
    </row>
    <row r="1028" customFormat="false" ht="15" hidden="false" customHeight="false" outlineLevel="0" collapsed="false">
      <c r="A1028" s="60" t="s">
        <v>1932</v>
      </c>
      <c r="B1028" s="60" t="s">
        <v>586</v>
      </c>
      <c r="C1028" s="60" t="s">
        <v>206</v>
      </c>
      <c r="D1028" s="60" t="s">
        <v>226</v>
      </c>
      <c r="E1028" s="60" t="s">
        <v>227</v>
      </c>
      <c r="F1028" s="60" t="s">
        <v>260</v>
      </c>
      <c r="G1028" s="61" t="n">
        <v>20.71</v>
      </c>
      <c r="H1028" s="62" t="n">
        <f aca="false">MAX(0,IF(AND(Parameter!$B$21="Ja",ISNUMBER(Y1028)),Y1028,IF(Parameter!$B$20="Jahresanfang 2025 + Export",BS1028+BR1028,BR1028)))</f>
        <v>14</v>
      </c>
      <c r="I1028" s="62" t="n">
        <f aca="false">H1028*G1028</f>
        <v>289.94</v>
      </c>
      <c r="J1028" s="62" t="n">
        <f aca="false">BU1028*Parameter!$B$18</f>
        <v>13</v>
      </c>
      <c r="K1028" s="63" t="n">
        <v>19.5</v>
      </c>
      <c r="L1028" s="64" t="n">
        <v>0.666666666666667</v>
      </c>
      <c r="M1028" s="62" t="n">
        <v>0</v>
      </c>
      <c r="N1028" s="62" t="n">
        <v>15</v>
      </c>
      <c r="O1028" s="65" t="n">
        <v>21</v>
      </c>
      <c r="P1028" s="60" t="s">
        <v>463</v>
      </c>
      <c r="Q1028" s="62" t="n">
        <v>13</v>
      </c>
      <c r="R1028" s="65" t="n">
        <f aca="false">IF(CA1028=1,0,IFERROR(VLOOKUP(BY1028,'Gebinde-Kategorie'!$A$5:$N$45,13,0)+0,0))</f>
        <v>104</v>
      </c>
      <c r="S1028" s="66"/>
      <c r="T1028" s="67"/>
      <c r="U1028" s="67"/>
      <c r="V1028" s="67"/>
      <c r="W1028" s="60"/>
      <c r="X1028" s="62"/>
      <c r="Y1028" s="62"/>
      <c r="Z1028" s="60" t="n">
        <v>3</v>
      </c>
      <c r="AA1028" s="60" t="n">
        <f aca="false">IF(A1028="","",IF(AND(Parameter!$B$21="Ja",ISNUMBER(W1028)),W1028,IF(AND(Parameter!$E$27="Ja",ISNUMBER(Z1028),CD1028&lt;&gt;"Nein"),Z1028,IF(CD1028="2+3",IF(ISNUMBER(SEARCH("grosser Artikel",BV1028)),2,IFERROR(VLOOKUP(BY1028,Parameter!$F$35:$G$64,2,0),2)),IF(OR(CD1028="Nein",CD1028=""),"-",CD1028)))))</f>
        <v>3</v>
      </c>
      <c r="AB1028" s="67"/>
      <c r="AC1028" s="68"/>
      <c r="AD1028" s="62" t="n">
        <f aca="false">AW1028</f>
        <v>15</v>
      </c>
      <c r="AE1028" s="62" t="n">
        <f aca="false">MAX(AW1028,H1028)</f>
        <v>15</v>
      </c>
      <c r="AF1028" s="69"/>
      <c r="AG1028" s="62" t="n">
        <f aca="false">IF(LEFT(Cockpit!$C$5,1)="A",H1028,IF(Parameter!$E$30="MAX-Bestand",IF(CI1028=1,CJ1028,IF(LEFT(Cockpit!$C$5,1)="B",AM1028,MAX(AM1028,H1028))),ROUNDUP(AK1028,0)))</f>
        <v>14</v>
      </c>
      <c r="AH1028" s="62" t="n">
        <f aca="false">IF(CA1028=1,0,ROUNDUP(AG1028/BZ1028,0))</f>
        <v>2</v>
      </c>
      <c r="AI1028" s="64" t="n">
        <f aca="false">IF(CR1028&gt;0,CR1028*MAX(1,AG1028/X1028),IF(CA1028=1,IF(AG1028&lt;=0,0,CE1028*MAX(1,IF(H1028&gt;0,AG1028/H1028,1))),IF(R1028&gt;0,AH1028/R1028,0))/MAX(0.1,N(Parameter!$M$21)))</f>
        <v>0.0192307692307692</v>
      </c>
      <c r="AJ1028" s="62" t="n">
        <f aca="false">AI1028*CC1028</f>
        <v>2.98076923076923</v>
      </c>
      <c r="AK1028" s="63" t="n">
        <f aca="false">IF(LEFT(Cockpit!$C$5,1)="A",H1028,IF(CI1028=1,(CL1028+CJ1028)/2,IF(LEFT(Cockpit!$C$5,1)="B",(CL1028+AM1028)/2,MAX((CL1028+AM1028)/2,H1028))))</f>
        <v>14</v>
      </c>
      <c r="AL1028" s="62" t="n">
        <f aca="false">AK1028*G1028</f>
        <v>289.94</v>
      </c>
      <c r="AM1028" s="62" t="n">
        <f aca="false">ROUNDUP(CL1028+MAX(CM1028,2*(J1028/IF(CH1028&gt;0,CH1028,MAX(0.1,N(Cockpit!$C$6)))-CL1028)),0)</f>
        <v>15</v>
      </c>
      <c r="AN1028" s="63" t="n">
        <f aca="false">IF(AJ1028&gt;0,J1028/AJ1028,-1)</f>
        <v>4.36129032258065</v>
      </c>
      <c r="AO1028" s="63" t="n">
        <f aca="false">IF(AND(OR(CG1028="L1",CG1028="L23",CG1028="LIFT"),AJ1028&gt;0),SUMIFS($AJ$7:$AJ$1843,$CG$7:$CG$1843,CG1028,$AN$7:$AN$1843,"&gt;"&amp;AN1028)+SUMIFS($AJ$7:$AJ$1843,$CG$7:$CG$1843,CG1028,$AN$7:$AN$1843,AN1028,$BX$7:$BX$1843,"&lt;="&amp;BX1028),"")</f>
        <v>4186.57371794872</v>
      </c>
      <c r="AP1028" s="70" t="n">
        <f aca="false">IF(AO1028="",0,MAX(0,MIN(1,(IF(CG1028="L1",Parameter!$H$5,IF(CG1028="L23",Parameter!$H$6+Parameter!$H$7,Parameter!$H$5+Parameter!$H$6+Parameter!$H$7))-(AO1028-AJ1028))/AJ1028)))</f>
        <v>1</v>
      </c>
      <c r="AQ1028" s="62" t="n">
        <f aca="false">IF(LEFT(Cockpit!$I$5,1)="A",H1028,IF(Parameter!$E$30="MAX-Bestand",IF(CI1028=1,CJ1028,IF(LEFT(Cockpit!$I$5,1)="B",AW1028,MAX(AW1028,H1028))),ROUNDUP(AU1028,0)))</f>
        <v>14</v>
      </c>
      <c r="AR1028" s="62" t="n">
        <f aca="false">IF(CA1028=1,0,ROUNDUP(AQ1028/BZ1028,0))</f>
        <v>2</v>
      </c>
      <c r="AS1028" s="64" t="n">
        <f aca="false">IF(CR1028&gt;0,CR1028*MAX(1,AQ1028/X1028),IF(CA1028=1,IF(AQ1028&lt;=0,0,CE1028*MAX(1,IF(H1028&gt;0,AQ1028/H1028,1))),IF(R1028&gt;0,AR1028/R1028,0))/MAX(0.1,N(Parameter!$M$21)))</f>
        <v>0.0192307692307692</v>
      </c>
      <c r="AT1028" s="62" t="n">
        <f aca="false">AS1028*CC1028</f>
        <v>2.98076923076923</v>
      </c>
      <c r="AU1028" s="63" t="n">
        <f aca="false">IF(LEFT(Cockpit!$I$5,1)="A",H1028,IF(CI1028=1,(CL1028+CJ1028)/2,IF(LEFT(Cockpit!$I$5,1)="B",(CL1028+AW1028)/2,MAX((CL1028+AW1028)/2,H1028))))</f>
        <v>14</v>
      </c>
      <c r="AV1028" s="62" t="n">
        <f aca="false">AU1028*G1028</f>
        <v>289.94</v>
      </c>
      <c r="AW1028" s="62" t="n">
        <f aca="false">ROUNDUP(CL1028+MAX(CM1028,2*(J1028/IF(CH1028&gt;0,CH1028,MAX(0.1,N(Cockpit!$I$6)))-CL1028)),0)</f>
        <v>15</v>
      </c>
      <c r="AX1028" s="63" t="n">
        <f aca="false">IF(AT1028&gt;0,J1028/AT1028,-1)</f>
        <v>4.36129032258065</v>
      </c>
      <c r="AY1028" s="63" t="n">
        <f aca="false">IF(AND(OR(CG1028="L1",CG1028="L23",CG1028="LIFT"),AT1028&gt;0),SUMIFS($AT$7:$AT$1843,$CG$7:$CG$1843,CG1028,$AX$7:$AX$1843,"&gt;"&amp;AX1028)+SUMIFS($AT$7:$AT$1843,$CG$7:$CG$1843,CG1028,$AX$7:$AX$1843,AX1028,$BX$7:$BX$1843,"&lt;="&amp;BX1028),"")</f>
        <v>4754.06456043956</v>
      </c>
      <c r="AZ1028" s="70" t="n">
        <f aca="false">IF(AY1028="",0,MAX(0,MIN(1,(IF(CG1028="L1",Parameter!$H$5,IF(CG1028="L23",Parameter!$H$6+Parameter!$H$7,Parameter!$H$5+Parameter!$H$6+Parameter!$H$7))-(AY1028-AT1028))/AT1028)))</f>
        <v>1</v>
      </c>
      <c r="BA1028" s="62" t="n">
        <f aca="false">IF(LEFT(Cockpit!$O$5,1)="A",H1028,IF(Parameter!$E$30="MAX-Bestand",IF(CI1028=1,CJ1028,IF(LEFT(Cockpit!$O$5,1)="B",BG1028,MAX(BG1028,H1028))),ROUNDUP(BE1028,0)))</f>
        <v>8</v>
      </c>
      <c r="BB1028" s="62" t="n">
        <f aca="false">IF(CA1028=1,0,ROUNDUP(BA1028/BZ1028,0))</f>
        <v>1</v>
      </c>
      <c r="BC1028" s="64" t="n">
        <f aca="false">IF(CR1028&gt;0,CR1028*MAX(1,BA1028/X1028),IF(CA1028=1,IF(BA1028&lt;=0,0,CE1028*MAX(1,IF(H1028&gt;0,BA1028/H1028,1))),IF(R1028&gt;0,BB1028/R1028,0))/MAX(0.1,N(Parameter!$M$21)))</f>
        <v>0.00961538461538462</v>
      </c>
      <c r="BD1028" s="62" t="n">
        <f aca="false">BC1028*CC1028</f>
        <v>1.49038461538462</v>
      </c>
      <c r="BE1028" s="63" t="n">
        <f aca="false">IF(LEFT(Cockpit!$O$5,1)="A",H1028,IF(CI1028=1,(CL1028+CJ1028)/2,IF(LEFT(Cockpit!$O$5,1)="B",(CL1028+BG1028)/2,MAX((CL1028+BG1028)/2,H1028))))</f>
        <v>7.5</v>
      </c>
      <c r="BF1028" s="62" t="n">
        <f aca="false">BE1028*G1028</f>
        <v>155.325</v>
      </c>
      <c r="BG1028" s="62" t="n">
        <f aca="false">ROUNDUP(CL1028+MAX(CM1028,2*(J1028/IF(CH1028&gt;0,CH1028,MAX(0.1,N(Cockpit!$O$6)))-CL1028)),0)</f>
        <v>15</v>
      </c>
      <c r="BH1028" s="63" t="n">
        <f aca="false">IF(BD1028&gt;0,J1028/BD1028,-1)</f>
        <v>8.72258064516129</v>
      </c>
      <c r="BI1028" s="63" t="n">
        <f aca="false">IF(AND(OR(CG1028="L1",CG1028="L23",CG1028="LIFT"),BD1028&gt;0),SUMIFS($BD$7:$BD$1843,$CG$7:$CG$1843,CG1028,$BH$7:$BH$1843,"&gt;"&amp;BH1028)+SUMIFS($BD$7:$BD$1843,$CG$7:$CG$1843,CG1028,$BH$7:$BH$1843,BH1028,$BX$7:$BX$1843,"&lt;="&amp;BX1028),"")</f>
        <v>2892.17811355311</v>
      </c>
      <c r="BJ1028" s="70" t="n">
        <f aca="false">IF(BI1028="",0,MAX(0,MIN(1,(IF(CG1028="L1",Parameter!$H$5,IF(CG1028="L23",Parameter!$H$6+Parameter!$H$7,Parameter!$H$5+Parameter!$H$6+Parameter!$H$7))-(BI1028-BD1028))/BD1028)))</f>
        <v>1</v>
      </c>
      <c r="BK1028" s="60" t="str">
        <f aca="false">IF(AJ1028&lt;=0,"",IF(CG1028="Aussen","Aussenlager",IF(CG1028="-","Nicht im Lift",IF(AP1028&gt;=1,"Lift",IF(AP1028&lt;=0,"Aussenlager","teilweise")))))</f>
        <v>Lift</v>
      </c>
      <c r="BL1028" s="60" t="str">
        <f aca="false">IF(AT1028&lt;=0,"",IF(CG1028="Aussen","Aussenlager",IF(CG1028="-","Nicht im Lift",IF(AZ1028&gt;=1,"Lift",IF(AZ1028&lt;=0,"Aussenlager","teilweise")))))</f>
        <v>Lift</v>
      </c>
      <c r="BM1028" s="60" t="str">
        <f aca="false">IF(BD1028&lt;=0,"",IF(CG1028="Aussen","Aussenlager",IF(CG1028="-","Nicht im Lift",IF(BJ1028&gt;=1,"Lift",IF(BJ1028&lt;=0,"Aussenlager","teilweise")))))</f>
        <v>Lift</v>
      </c>
      <c r="BN1028" s="60" t="str">
        <f aca="false">IF(A1028="","",IF(BW1028=1,"Neu; ","")&amp;IF(AND(BW1028=0,BR1028&lt;0),"negativer Bestand (Export "&amp;BR1028&amp;"); ","")&amp;IF(J1028&lt;=0,"Kein Verbrauch; ","")&amp;IF(CR1028&gt;0,"Lift "&amp;W1028&amp;" lt. Liftbericht (Fach "&amp;X1028&amp;" Stk); ",IF(CB1028=1,"Gebinde geschätzt ("&amp;T1028&amp;"); ",IF(CA1028=1,"Lose – Tablare geschätzt; ","")))&amp;IF(H1028&gt;AW1028,"Überbestand "&amp;ROUND(H1028-AW1028,0)&amp;" Stk / CHF "&amp;ROUND((H1028-AW1028)*G1028,0)&amp;"; ","")&amp;IF(AND(CI1028=1,CJ1028&lt;CK1028),"MAX &lt; MB+LG; ","")&amp;IF(AND(CQ1028&gt;0,CP1028*10&gt;CQ1028),"zu hoch für Tablar; ","")&amp;IF(AND(BW1028=0,OR(CI1028=1,AB1028&lt;&gt;"",U1028&lt;&gt;"",V1028&lt;&gt;"",AC1028&lt;&gt;"")),"manuell übersteuert; ","")&amp;IF(AND(CA1028=0,R1028=0),"Gebinde unbekannt / Stellmass fehlt; ","")&amp;IF(AND(CA1028=0,N(V1028)&lt;=0,N(Q1028)&lt;=0),"Menge pro Gebinde fehlt (Ist = 1 Gebinde); ","")&amp;BV1028)</f>
        <v>negativer Bestand (Export -7); </v>
      </c>
      <c r="BO1028" s="60"/>
      <c r="BP1028" s="60"/>
      <c r="BQ1028" s="67"/>
      <c r="BR1028" s="62" t="n">
        <v>-7</v>
      </c>
      <c r="BS1028" s="62" t="n">
        <v>21</v>
      </c>
      <c r="BT1028" s="61" t="n">
        <v>-127.12</v>
      </c>
      <c r="BU1028" s="62" t="n">
        <v>13</v>
      </c>
      <c r="BV1028" s="60"/>
      <c r="BW1028" s="65" t="n">
        <v>0</v>
      </c>
      <c r="BX1028" s="65" t="n">
        <v>1028</v>
      </c>
      <c r="BY1028" s="60" t="str">
        <f aca="false">IF(U1028&lt;&gt;"",UPPER(TRIM(U1028)),IF(CB1028=1,UPPER(VLOOKUP(T1028,Parameter!$I$27:$K$29,2,0)),IF(P1028="","LOSE",P1028)))</f>
        <v>S32</v>
      </c>
      <c r="BZ1028" s="62" t="n">
        <f aca="false">IF(BY1028="LOSE",1,IF(N(V1028)&gt;0,V1028,IF(CB1028=1,MAX(1,N(VLOOKUP(T1028,Parameter!$I$27:$K$29,3,0)),H1028,N(N1028)),IF(N(Q1028)&gt;0,Q1028,MAX(1,H1028)))))</f>
        <v>13</v>
      </c>
      <c r="CA1028" s="65" t="n">
        <f aca="false">IF(BY1028="LOSE",1,0)</f>
        <v>0</v>
      </c>
      <c r="CB1028" s="65" t="n">
        <f aca="false">IF(AND(U1028="",OR(P1028="",P1028="LOSE"),T1028&lt;&gt;"",N(S1028)&lt;=0,ISNUMBER(MATCH(T1028,Parameter!$I$27:$I$29,0))),1,0)</f>
        <v>0</v>
      </c>
      <c r="CC1028" s="65" t="n">
        <f aca="false">IF(CR1028&gt;0,INDEX(Parameter!$H$5:$H$7,W1028)/INDEX(Parameter!$E$5:$E$7,W1028),IF(AND(CA1028=0,N(IFERROR(VLOOKUP(BY1028,'Gebinde-Kategorie'!$A$5:$N$45,14,0),0))&gt;0),VLOOKUP(BY1028,'Gebinde-Kategorie'!$A$5:$N$45,14,0)*10+Parameter!$M$23,Parameter!$M$24))</f>
        <v>155</v>
      </c>
      <c r="CD1028" s="60" t="str">
        <f aca="false">IF(AND(Parameter!$B$19="Ja",E1028&lt;&gt;"",ISNUMBER(MATCH(E1028,Parameter!$I$35:$I$52,0))),VLOOKUP(E1028,Parameter!$I$35:$J$52,2,0),IFERROR(VLOOKUP(D1028,Parameter!$A$35:$C$64,2,0),"Nein"))</f>
        <v>2+3</v>
      </c>
      <c r="CE1028" s="64" t="n">
        <f aca="false">IF(CA1028=0,0,IF(N(S1028)&gt;0,S1028,IFERROR(VLOOKUP(D1028,Parameter!$A$35:$C$64,3,0)+0,0)))</f>
        <v>0</v>
      </c>
      <c r="CF1028" s="60" t="n">
        <f aca="false">IF(AB1028&lt;&gt;"",AB1028,AA1028)</f>
        <v>3</v>
      </c>
      <c r="CG1028" s="60" t="str">
        <f aca="false">IF(OR(CF1028=1,CF1028=2,CF1028=3),IF(Parameter!$E$27="Ja","LIFT",IF(CF1028=1,"L1","L23")),IF(CF1028="Aussen","Aussen","-"))</f>
        <v>LIFT</v>
      </c>
      <c r="CH1028" s="71" t="n">
        <f aca="false">IF(N(AC1028)&gt;0,AC1028,0)</f>
        <v>0</v>
      </c>
      <c r="CI1028" s="65" t="n">
        <f aca="false">IF(ISNUMBER(AF1028),1,0)</f>
        <v>0</v>
      </c>
      <c r="CJ1028" s="62" t="n">
        <f aca="false">N(AF1028)</f>
        <v>0</v>
      </c>
      <c r="CK1028" s="62" t="n">
        <f aca="false">N(M1028)+N(N1028)</f>
        <v>15</v>
      </c>
      <c r="CL1028" s="62" t="n">
        <f aca="false">N(M1028)</f>
        <v>0</v>
      </c>
      <c r="CM1028" s="62" t="n">
        <f aca="false">N(N1028)</f>
        <v>15</v>
      </c>
      <c r="CN1028" s="62" t="n">
        <f aca="false">ROUNDUP(H1028/BZ1028,0)</f>
        <v>2</v>
      </c>
      <c r="CO1028" s="62" t="n">
        <f aca="false">ROUNDUP(CJ1028/BZ1028,0)</f>
        <v>0</v>
      </c>
      <c r="CP1028" s="65" t="n">
        <f aca="false">IF(CA1028=1,0,IFERROR(VLOOKUP(BY1028,'Gebinde-Kategorie'!$A$5:$N$45,5,0)+0,0))</f>
        <v>8</v>
      </c>
      <c r="CQ1028" s="65" t="n">
        <f aca="false">IFERROR(IF(OR(CF1028=1,CF1028=2,CF1028=3),N(INDEX(Parameter!$I$5:$I$7,CF1028)),0),0)</f>
        <v>0</v>
      </c>
      <c r="CR1028" s="64" t="n">
        <f aca="false">IF(AND(Parameter!$B$21="Ja",ISNUMBER(W1028),N(X1028)&gt;0),IFERROR(N(INDEX(Parameter!$L$5:$L$7,W1028))*INDEX(Parameter!$E$5:$E$7,W1028)*X1028/SUMIFS($X$7:$X$1843,$W$7:$W$1843,W1028),0),0)</f>
        <v>0</v>
      </c>
      <c r="CS1028" s="62" t="n">
        <f aca="false">IF(AND(OR(CG1028="L1",CG1028="L23",CG1028="LIFT"),H1028&gt;0),CC1028*IF(CR1028&gt;0,CR1028*MAX(1,H1028/X1028),IF(CA1028=1,CE1028,IF(R1028&gt;0,CN1028/R1028,0))/MAX(0.1,N(Parameter!$M$21))),"")</f>
        <v>2.98076923076923</v>
      </c>
      <c r="CT1028" s="64" t="n">
        <f aca="false">IF(CS1028="","",J1028/H1028)</f>
        <v>0.928571428571429</v>
      </c>
      <c r="CU1028" s="62" t="n">
        <f aca="false">IF(CS1028="","",H1028*G1028)</f>
        <v>289.94</v>
      </c>
      <c r="CV1028" s="63" t="n">
        <f aca="false">IF(CS1028="","",(CL1028+ROUNDUP(CL1028+MAX(CM1028,2*(J1028/MAX(0.1,N(Einkauf!$C$6))-CL1028)),0))/2)</f>
        <v>7.5</v>
      </c>
      <c r="CW1028" s="62" t="n">
        <f aca="false">IF(CS1028="","",MAX(0,H1028-CV1028)*G1028)</f>
        <v>134.615</v>
      </c>
      <c r="CX1028" s="62" t="n">
        <f aca="false">IF(CS1028="","",CS1028*MAX(0,1-CV1028/H1028))</f>
        <v>1.38392857142857</v>
      </c>
      <c r="CY1028" s="64" t="n">
        <f aca="false">IF(CS1028="","",PERCENTRANK($CS$7:$CS$1843,CS1028)+PERCENTRANK($CU$7:$CU$1843,CU1028)+1-PERCENTRANK($CT$7:$CT$1843,CT1028))</f>
        <v>0.996</v>
      </c>
      <c r="CZ1028" s="72" t="n">
        <f aca="false">IF(CS1028="","",CHOOSE(MATCH(Einkauf!$C$5,Parameter!$G$23:$G$27,0),CY1028,CS1028,CU1028,-CT1028,CW1028)+ROW()/1000000000)</f>
        <v>0.996001028</v>
      </c>
    </row>
    <row r="1029" customFormat="false" ht="15" hidden="false" customHeight="false" outlineLevel="0" collapsed="false">
      <c r="A1029" s="60" t="s">
        <v>1933</v>
      </c>
      <c r="B1029" s="60" t="s">
        <v>1934</v>
      </c>
      <c r="C1029" s="60" t="s">
        <v>206</v>
      </c>
      <c r="D1029" s="60" t="s">
        <v>226</v>
      </c>
      <c r="E1029" s="60" t="s">
        <v>227</v>
      </c>
      <c r="F1029" s="60" t="s">
        <v>260</v>
      </c>
      <c r="G1029" s="61" t="n">
        <v>15.9</v>
      </c>
      <c r="H1029" s="62" t="n">
        <f aca="false">MAX(0,IF(AND(Parameter!$B$21="Ja",ISNUMBER(Y1029)),Y1029,IF(Parameter!$B$20="Jahresanfang 2025 + Export",BS1029+BR1029,BR1029)))</f>
        <v>73</v>
      </c>
      <c r="I1029" s="62" t="n">
        <f aca="false">H1029*G1029</f>
        <v>1160.7</v>
      </c>
      <c r="J1029" s="62" t="n">
        <f aca="false">BU1029*Parameter!$B$18</f>
        <v>6</v>
      </c>
      <c r="K1029" s="63" t="n">
        <v>78</v>
      </c>
      <c r="L1029" s="64" t="n">
        <v>0.0769230769230769</v>
      </c>
      <c r="M1029" s="62" t="n">
        <v>0</v>
      </c>
      <c r="N1029" s="62" t="n">
        <v>5</v>
      </c>
      <c r="O1029" s="65" t="n">
        <v>35</v>
      </c>
      <c r="P1029" s="60" t="s">
        <v>370</v>
      </c>
      <c r="Q1029" s="62" t="n">
        <v>119</v>
      </c>
      <c r="R1029" s="65" t="n">
        <f aca="false">IF(CA1029=1,0,IFERROR(VLOOKUP(BY1029,'Gebinde-Kategorie'!$A$5:$N$45,13,0)+0,0))</f>
        <v>52</v>
      </c>
      <c r="S1029" s="66"/>
      <c r="T1029" s="67"/>
      <c r="U1029" s="67"/>
      <c r="V1029" s="67"/>
      <c r="W1029" s="60"/>
      <c r="X1029" s="62"/>
      <c r="Y1029" s="62"/>
      <c r="Z1029" s="60" t="n">
        <v>3</v>
      </c>
      <c r="AA1029" s="60" t="n">
        <f aca="false">IF(A1029="","",IF(AND(Parameter!$B$21="Ja",ISNUMBER(W1029)),W1029,IF(AND(Parameter!$E$27="Ja",ISNUMBER(Z1029),CD1029&lt;&gt;"Nein"),Z1029,IF(CD1029="2+3",IF(ISNUMBER(SEARCH("grosser Artikel",BV1029)),2,IFERROR(VLOOKUP(BY1029,Parameter!$F$35:$G$64,2,0),2)),IF(OR(CD1029="Nein",CD1029=""),"-",CD1029)))))</f>
        <v>3</v>
      </c>
      <c r="AB1029" s="67"/>
      <c r="AC1029" s="68"/>
      <c r="AD1029" s="62" t="n">
        <f aca="false">AW1029</f>
        <v>5</v>
      </c>
      <c r="AE1029" s="62" t="n">
        <f aca="false">MAX(AW1029,H1029)</f>
        <v>73</v>
      </c>
      <c r="AF1029" s="69"/>
      <c r="AG1029" s="62" t="n">
        <f aca="false">IF(LEFT(Cockpit!$C$5,1)="A",H1029,IF(Parameter!$E$30="MAX-Bestand",IF(CI1029=1,CJ1029,IF(LEFT(Cockpit!$C$5,1)="B",AM1029,MAX(AM1029,H1029))),ROUNDUP(AK1029,0)))</f>
        <v>73</v>
      </c>
      <c r="AH1029" s="62" t="n">
        <f aca="false">IF(CA1029=1,0,ROUNDUP(AG1029/BZ1029,0))</f>
        <v>1</v>
      </c>
      <c r="AI1029" s="64" t="n">
        <f aca="false">IF(CR1029&gt;0,CR1029*MAX(1,AG1029/X1029),IF(CA1029=1,IF(AG1029&lt;=0,0,CE1029*MAX(1,IF(H1029&gt;0,AG1029/H1029,1))),IF(R1029&gt;0,AH1029/R1029,0))/MAX(0.1,N(Parameter!$M$21)))</f>
        <v>0.0192307692307692</v>
      </c>
      <c r="AJ1029" s="62" t="n">
        <f aca="false">AI1029*CC1029</f>
        <v>2.98076923076923</v>
      </c>
      <c r="AK1029" s="63" t="n">
        <f aca="false">IF(LEFT(Cockpit!$C$5,1)="A",H1029,IF(CI1029=1,(CL1029+CJ1029)/2,IF(LEFT(Cockpit!$C$5,1)="B",(CL1029+AM1029)/2,MAX((CL1029+AM1029)/2,H1029))))</f>
        <v>73</v>
      </c>
      <c r="AL1029" s="62" t="n">
        <f aca="false">AK1029*G1029</f>
        <v>1160.7</v>
      </c>
      <c r="AM1029" s="62" t="n">
        <f aca="false">ROUNDUP(CL1029+MAX(CM1029,2*(J1029/IF(CH1029&gt;0,CH1029,MAX(0.1,N(Cockpit!$C$6)))-CL1029)),0)</f>
        <v>5</v>
      </c>
      <c r="AN1029" s="63" t="n">
        <f aca="false">IF(AJ1029&gt;0,J1029/AJ1029,-1)</f>
        <v>2.01290322580645</v>
      </c>
      <c r="AO1029" s="63" t="n">
        <f aca="false">IF(AND(OR(CG1029="L1",CG1029="L23",CG1029="LIFT"),AJ1029&gt;0),SUMIFS($AJ$7:$AJ$1843,$CG$7:$CG$1843,CG1029,$AN$7:$AN$1843,"&gt;"&amp;AN1029)+SUMIFS($AJ$7:$AJ$1843,$CG$7:$CG$1843,CG1029,$AN$7:$AN$1843,AN1029,$BX$7:$BX$1843,"&lt;="&amp;BX1029),"")</f>
        <v>5799.79212454213</v>
      </c>
      <c r="AP1029" s="70" t="n">
        <f aca="false">IF(AO1029="",0,MAX(0,MIN(1,(IF(CG1029="L1",Parameter!$H$5,IF(CG1029="L23",Parameter!$H$6+Parameter!$H$7,Parameter!$H$5+Parameter!$H$6+Parameter!$H$7))-(AO1029-AJ1029))/AJ1029)))</f>
        <v>1</v>
      </c>
      <c r="AQ1029" s="62" t="n">
        <f aca="false">IF(LEFT(Cockpit!$I$5,1)="A",H1029,IF(Parameter!$E$30="MAX-Bestand",IF(CI1029=1,CJ1029,IF(LEFT(Cockpit!$I$5,1)="B",AW1029,MAX(AW1029,H1029))),ROUNDUP(AU1029,0)))</f>
        <v>73</v>
      </c>
      <c r="AR1029" s="62" t="n">
        <f aca="false">IF(CA1029=1,0,ROUNDUP(AQ1029/BZ1029,0))</f>
        <v>1</v>
      </c>
      <c r="AS1029" s="64" t="n">
        <f aca="false">IF(CR1029&gt;0,CR1029*MAX(1,AQ1029/X1029),IF(CA1029=1,IF(AQ1029&lt;=0,0,CE1029*MAX(1,IF(H1029&gt;0,AQ1029/H1029,1))),IF(R1029&gt;0,AR1029/R1029,0))/MAX(0.1,N(Parameter!$M$21)))</f>
        <v>0.0192307692307692</v>
      </c>
      <c r="AT1029" s="62" t="n">
        <f aca="false">AS1029*CC1029</f>
        <v>2.98076923076923</v>
      </c>
      <c r="AU1029" s="63" t="n">
        <f aca="false">IF(LEFT(Cockpit!$I$5,1)="A",H1029,IF(CI1029=1,(CL1029+CJ1029)/2,IF(LEFT(Cockpit!$I$5,1)="B",(CL1029+AW1029)/2,MAX((CL1029+AW1029)/2,H1029))))</f>
        <v>73</v>
      </c>
      <c r="AV1029" s="62" t="n">
        <f aca="false">AU1029*G1029</f>
        <v>1160.7</v>
      </c>
      <c r="AW1029" s="62" t="n">
        <f aca="false">ROUNDUP(CL1029+MAX(CM1029,2*(J1029/IF(CH1029&gt;0,CH1029,MAX(0.1,N(Cockpit!$I$6)))-CL1029)),0)</f>
        <v>5</v>
      </c>
      <c r="AX1029" s="63" t="n">
        <f aca="false">IF(AT1029&gt;0,J1029/AT1029,-1)</f>
        <v>2.01290322580645</v>
      </c>
      <c r="AY1029" s="63" t="n">
        <f aca="false">IF(AND(OR(CG1029="L1",CG1029="L23",CG1029="LIFT"),AT1029&gt;0),SUMIFS($AT$7:$AT$1843,$CG$7:$CG$1843,CG1029,$AX$7:$AX$1843,"&gt;"&amp;AX1029)+SUMIFS($AT$7:$AT$1843,$CG$7:$CG$1843,CG1029,$AX$7:$AX$1843,AX1029,$BX$7:$BX$1843,"&lt;="&amp;BX1029),"")</f>
        <v>7167.73168498169</v>
      </c>
      <c r="AZ1029" s="70" t="n">
        <f aca="false">IF(AY1029="",0,MAX(0,MIN(1,(IF(CG1029="L1",Parameter!$H$5,IF(CG1029="L23",Parameter!$H$6+Parameter!$H$7,Parameter!$H$5+Parameter!$H$6+Parameter!$H$7))-(AY1029-AT1029))/AT1029)))</f>
        <v>1</v>
      </c>
      <c r="BA1029" s="62" t="n">
        <f aca="false">IF(LEFT(Cockpit!$O$5,1)="A",H1029,IF(Parameter!$E$30="MAX-Bestand",IF(CI1029=1,CJ1029,IF(LEFT(Cockpit!$O$5,1)="B",BG1029,MAX(BG1029,H1029))),ROUNDUP(BE1029,0)))</f>
        <v>3</v>
      </c>
      <c r="BB1029" s="62" t="n">
        <f aca="false">IF(CA1029=1,0,ROUNDUP(BA1029/BZ1029,0))</f>
        <v>1</v>
      </c>
      <c r="BC1029" s="64" t="n">
        <f aca="false">IF(CR1029&gt;0,CR1029*MAX(1,BA1029/X1029),IF(CA1029=1,IF(BA1029&lt;=0,0,CE1029*MAX(1,IF(H1029&gt;0,BA1029/H1029,1))),IF(R1029&gt;0,BB1029/R1029,0))/MAX(0.1,N(Parameter!$M$21)))</f>
        <v>0.0192307692307692</v>
      </c>
      <c r="BD1029" s="62" t="n">
        <f aca="false">BC1029*CC1029</f>
        <v>2.98076923076923</v>
      </c>
      <c r="BE1029" s="63" t="n">
        <f aca="false">IF(LEFT(Cockpit!$O$5,1)="A",H1029,IF(CI1029=1,(CL1029+CJ1029)/2,IF(LEFT(Cockpit!$O$5,1)="B",(CL1029+BG1029)/2,MAX((CL1029+BG1029)/2,H1029))))</f>
        <v>2.5</v>
      </c>
      <c r="BF1029" s="62" t="n">
        <f aca="false">BE1029*G1029</f>
        <v>39.75</v>
      </c>
      <c r="BG1029" s="62" t="n">
        <f aca="false">ROUNDUP(CL1029+MAX(CM1029,2*(J1029/IF(CH1029&gt;0,CH1029,MAX(0.1,N(Cockpit!$O$6)))-CL1029)),0)</f>
        <v>5</v>
      </c>
      <c r="BH1029" s="63" t="n">
        <f aca="false">IF(BD1029&gt;0,J1029/BD1029,-1)</f>
        <v>2.01290322580645</v>
      </c>
      <c r="BI1029" s="63" t="n">
        <f aca="false">IF(AND(OR(CG1029="L1",CG1029="L23",CG1029="LIFT"),BD1029&gt;0),SUMIFS($BD$7:$BD$1843,$CG$7:$CG$1843,CG1029,$BH$7:$BH$1843,"&gt;"&amp;BH1029)+SUMIFS($BD$7:$BD$1843,$CG$7:$CG$1843,CG1029,$BH$7:$BH$1843,BH1029,$BX$7:$BX$1843,"&lt;="&amp;BX1029),"")</f>
        <v>5881.48717948718</v>
      </c>
      <c r="BJ1029" s="70" t="n">
        <f aca="false">IF(BI1029="",0,MAX(0,MIN(1,(IF(CG1029="L1",Parameter!$H$5,IF(CG1029="L23",Parameter!$H$6+Parameter!$H$7,Parameter!$H$5+Parameter!$H$6+Parameter!$H$7))-(BI1029-BD1029))/BD1029)))</f>
        <v>1</v>
      </c>
      <c r="BK1029" s="60" t="str">
        <f aca="false">IF(AJ1029&lt;=0,"",IF(CG1029="Aussen","Aussenlager",IF(CG1029="-","Nicht im Lift",IF(AP1029&gt;=1,"Lift",IF(AP1029&lt;=0,"Aussenlager","teilweise")))))</f>
        <v>Lift</v>
      </c>
      <c r="BL1029" s="60" t="str">
        <f aca="false">IF(AT1029&lt;=0,"",IF(CG1029="Aussen","Aussenlager",IF(CG1029="-","Nicht im Lift",IF(AZ1029&gt;=1,"Lift",IF(AZ1029&lt;=0,"Aussenlager","teilweise")))))</f>
        <v>Lift</v>
      </c>
      <c r="BM1029" s="60" t="str">
        <f aca="false">IF(BD1029&lt;=0,"",IF(CG1029="Aussen","Aussenlager",IF(CG1029="-","Nicht im Lift",IF(BJ1029&gt;=1,"Lift",IF(BJ1029&lt;=0,"Aussenlager","teilweise")))))</f>
        <v>Lift</v>
      </c>
      <c r="BN1029" s="60" t="str">
        <f aca="false">IF(A1029="","",IF(BW1029=1,"Neu; ","")&amp;IF(AND(BW1029=0,BR1029&lt;0),"negativer Bestand (Export "&amp;BR1029&amp;"); ","")&amp;IF(J1029&lt;=0,"Kein Verbrauch; ","")&amp;IF(CR1029&gt;0,"Lift "&amp;W1029&amp;" lt. Liftbericht (Fach "&amp;X1029&amp;" Stk); ",IF(CB1029=1,"Gebinde geschätzt ("&amp;T1029&amp;"); ",IF(CA1029=1,"Lose – Tablare geschätzt; ","")))&amp;IF(H1029&gt;AW1029,"Überbestand "&amp;ROUND(H1029-AW1029,0)&amp;" Stk / CHF "&amp;ROUND((H1029-AW1029)*G1029,0)&amp;"; ","")&amp;IF(AND(CI1029=1,CJ1029&lt;CK1029),"MAX &lt; MB+LG; ","")&amp;IF(AND(CQ1029&gt;0,CP1029*10&gt;CQ1029),"zu hoch für Tablar; ","")&amp;IF(AND(BW1029=0,OR(CI1029=1,AB1029&lt;&gt;"",U1029&lt;&gt;"",V1029&lt;&gt;"",AC1029&lt;&gt;"")),"manuell übersteuert; ","")&amp;IF(AND(CA1029=0,R1029=0),"Gebinde unbekannt / Stellmass fehlt; ","")&amp;IF(AND(CA1029=0,N(V1029)&lt;=0,N(Q1029)&lt;=0),"Menge pro Gebinde fehlt (Ist = 1 Gebinde); ","")&amp;BV1029)</f>
        <v>negativer Bestand (Export -8); Überbestand 68 Stk / CHF 1081; twin</v>
      </c>
      <c r="BO1029" s="60"/>
      <c r="BP1029" s="60"/>
      <c r="BQ1029" s="67"/>
      <c r="BR1029" s="62" t="n">
        <v>-8</v>
      </c>
      <c r="BS1029" s="62" t="n">
        <v>81</v>
      </c>
      <c r="BT1029" s="61" t="n">
        <v>-127.2</v>
      </c>
      <c r="BU1029" s="62" t="n">
        <v>6</v>
      </c>
      <c r="BV1029" s="60" t="s">
        <v>1783</v>
      </c>
      <c r="BW1029" s="65" t="n">
        <v>0</v>
      </c>
      <c r="BX1029" s="65" t="n">
        <v>1029</v>
      </c>
      <c r="BY1029" s="60" t="str">
        <f aca="false">IF(U1029&lt;&gt;"",UPPER(TRIM(U1029)),IF(CB1029=1,UPPER(VLOOKUP(T1029,Parameter!$I$27:$K$29,2,0)),IF(P1029="","LOSE",P1029)))</f>
        <v>S41</v>
      </c>
      <c r="BZ1029" s="62" t="n">
        <f aca="false">IF(BY1029="LOSE",1,IF(N(V1029)&gt;0,V1029,IF(CB1029=1,MAX(1,N(VLOOKUP(T1029,Parameter!$I$27:$K$29,3,0)),H1029,N(N1029)),IF(N(Q1029)&gt;0,Q1029,MAX(1,H1029)))))</f>
        <v>119</v>
      </c>
      <c r="CA1029" s="65" t="n">
        <f aca="false">IF(BY1029="LOSE",1,0)</f>
        <v>0</v>
      </c>
      <c r="CB1029" s="65" t="n">
        <f aca="false">IF(AND(U1029="",OR(P1029="",P1029="LOSE"),T1029&lt;&gt;"",N(S1029)&lt;=0,ISNUMBER(MATCH(T1029,Parameter!$I$27:$I$29,0))),1,0)</f>
        <v>0</v>
      </c>
      <c r="CC1029" s="65" t="n">
        <f aca="false">IF(CR1029&gt;0,INDEX(Parameter!$H$5:$H$7,W1029)/INDEX(Parameter!$E$5:$E$7,W1029),IF(AND(CA1029=0,N(IFERROR(VLOOKUP(BY1029,'Gebinde-Kategorie'!$A$5:$N$45,14,0),0))&gt;0),VLOOKUP(BY1029,'Gebinde-Kategorie'!$A$5:$N$45,14,0)*10+Parameter!$M$23,Parameter!$M$24))</f>
        <v>155</v>
      </c>
      <c r="CD1029" s="60" t="str">
        <f aca="false">IF(AND(Parameter!$B$19="Ja",E1029&lt;&gt;"",ISNUMBER(MATCH(E1029,Parameter!$I$35:$I$52,0))),VLOOKUP(E1029,Parameter!$I$35:$J$52,2,0),IFERROR(VLOOKUP(D1029,Parameter!$A$35:$C$64,2,0),"Nein"))</f>
        <v>2+3</v>
      </c>
      <c r="CE1029" s="64" t="n">
        <f aca="false">IF(CA1029=0,0,IF(N(S1029)&gt;0,S1029,IFERROR(VLOOKUP(D1029,Parameter!$A$35:$C$64,3,0)+0,0)))</f>
        <v>0</v>
      </c>
      <c r="CF1029" s="60" t="n">
        <f aca="false">IF(AB1029&lt;&gt;"",AB1029,AA1029)</f>
        <v>3</v>
      </c>
      <c r="CG1029" s="60" t="str">
        <f aca="false">IF(OR(CF1029=1,CF1029=2,CF1029=3),IF(Parameter!$E$27="Ja","LIFT",IF(CF1029=1,"L1","L23")),IF(CF1029="Aussen","Aussen","-"))</f>
        <v>LIFT</v>
      </c>
      <c r="CH1029" s="71" t="n">
        <f aca="false">IF(N(AC1029)&gt;0,AC1029,0)</f>
        <v>0</v>
      </c>
      <c r="CI1029" s="65" t="n">
        <f aca="false">IF(ISNUMBER(AF1029),1,0)</f>
        <v>0</v>
      </c>
      <c r="CJ1029" s="62" t="n">
        <f aca="false">N(AF1029)</f>
        <v>0</v>
      </c>
      <c r="CK1029" s="62" t="n">
        <f aca="false">N(M1029)+N(N1029)</f>
        <v>5</v>
      </c>
      <c r="CL1029" s="62" t="n">
        <f aca="false">N(M1029)</f>
        <v>0</v>
      </c>
      <c r="CM1029" s="62" t="n">
        <f aca="false">N(N1029)</f>
        <v>5</v>
      </c>
      <c r="CN1029" s="62" t="n">
        <f aca="false">ROUNDUP(H1029/BZ1029,0)</f>
        <v>1</v>
      </c>
      <c r="CO1029" s="62" t="n">
        <f aca="false">ROUNDUP(CJ1029/BZ1029,0)</f>
        <v>0</v>
      </c>
      <c r="CP1029" s="65" t="n">
        <f aca="false">IF(CA1029=1,0,IFERROR(VLOOKUP(BY1029,'Gebinde-Kategorie'!$A$5:$N$45,5,0)+0,0))</f>
        <v>11</v>
      </c>
      <c r="CQ1029" s="65" t="n">
        <f aca="false">IFERROR(IF(OR(CF1029=1,CF1029=2,CF1029=3),N(INDEX(Parameter!$I$5:$I$7,CF1029)),0),0)</f>
        <v>0</v>
      </c>
      <c r="CR1029" s="64" t="n">
        <f aca="false">IF(AND(Parameter!$B$21="Ja",ISNUMBER(W1029),N(X1029)&gt;0),IFERROR(N(INDEX(Parameter!$L$5:$L$7,W1029))*INDEX(Parameter!$E$5:$E$7,W1029)*X1029/SUMIFS($X$7:$X$1843,$W$7:$W$1843,W1029),0),0)</f>
        <v>0</v>
      </c>
      <c r="CS1029" s="62" t="n">
        <f aca="false">IF(AND(OR(CG1029="L1",CG1029="L23",CG1029="LIFT"),H1029&gt;0),CC1029*IF(CR1029&gt;0,CR1029*MAX(1,H1029/X1029),IF(CA1029=1,CE1029,IF(R1029&gt;0,CN1029/R1029,0))/MAX(0.1,N(Parameter!$M$21))),"")</f>
        <v>2.98076923076923</v>
      </c>
      <c r="CT1029" s="64" t="n">
        <f aca="false">IF(CS1029="","",J1029/H1029)</f>
        <v>0.0821917808219178</v>
      </c>
      <c r="CU1029" s="62" t="n">
        <f aca="false">IF(CS1029="","",H1029*G1029)</f>
        <v>1160.7</v>
      </c>
      <c r="CV1029" s="63" t="n">
        <f aca="false">IF(CS1029="","",(CL1029+ROUNDUP(CL1029+MAX(CM1029,2*(J1029/MAX(0.1,N(Einkauf!$C$6))-CL1029)),0))/2)</f>
        <v>2.5</v>
      </c>
      <c r="CW1029" s="62" t="n">
        <f aca="false">IF(CS1029="","",MAX(0,H1029-CV1029)*G1029)</f>
        <v>1120.95</v>
      </c>
      <c r="CX1029" s="62" t="n">
        <f aca="false">IF(CS1029="","",CS1029*MAX(0,1-CV1029/H1029))</f>
        <v>2.87868809272919</v>
      </c>
      <c r="CY1029" s="64" t="n">
        <f aca="false">IF(CS1029="","",PERCENTRANK($CS$7:$CS$1843,CS1029)+PERCENTRANK($CU$7:$CU$1843,CU1029)+1-PERCENTRANK($CT$7:$CT$1843,CT1029))</f>
        <v>1.469</v>
      </c>
      <c r="CZ1029" s="72" t="n">
        <f aca="false">IF(CS1029="","",CHOOSE(MATCH(Einkauf!$C$5,Parameter!$G$23:$G$27,0),CY1029,CS1029,CU1029,-CT1029,CW1029)+ROW()/1000000000)</f>
        <v>1.469001029</v>
      </c>
    </row>
    <row r="1030" customFormat="false" ht="15" hidden="false" customHeight="false" outlineLevel="0" collapsed="false">
      <c r="A1030" s="60" t="s">
        <v>1935</v>
      </c>
      <c r="B1030" s="60" t="s">
        <v>1936</v>
      </c>
      <c r="C1030" s="60" t="s">
        <v>206</v>
      </c>
      <c r="D1030" s="60" t="s">
        <v>226</v>
      </c>
      <c r="E1030" s="60"/>
      <c r="F1030" s="60" t="s">
        <v>260</v>
      </c>
      <c r="G1030" s="61" t="n">
        <v>7.61</v>
      </c>
      <c r="H1030" s="62" t="n">
        <f aca="false">MAX(0,IF(AND(Parameter!$B$21="Ja",ISNUMBER(Y1030)),Y1030,IF(Parameter!$B$20="Jahresanfang 2025 + Export",BS1030+BR1030,BR1030)))</f>
        <v>24</v>
      </c>
      <c r="I1030" s="62" t="n">
        <f aca="false">H1030*G1030</f>
        <v>182.64</v>
      </c>
      <c r="J1030" s="62" t="n">
        <f aca="false">BU1030*Parameter!$B$18</f>
        <v>13</v>
      </c>
      <c r="K1030" s="63" t="n">
        <v>31.5</v>
      </c>
      <c r="L1030" s="64" t="n">
        <v>0.412698412698413</v>
      </c>
      <c r="M1030" s="62" t="n">
        <v>0</v>
      </c>
      <c r="N1030" s="62" t="n">
        <v>15</v>
      </c>
      <c r="O1030" s="65" t="n">
        <v>14</v>
      </c>
      <c r="P1030" s="60" t="s">
        <v>443</v>
      </c>
      <c r="Q1030" s="62" t="n">
        <v>15</v>
      </c>
      <c r="R1030" s="65" t="n">
        <f aca="false">IF(CA1030=1,0,IFERROR(VLOOKUP(BY1030,'Gebinde-Kategorie'!$A$5:$N$45,13,0)+0,0))</f>
        <v>280</v>
      </c>
      <c r="S1030" s="66"/>
      <c r="T1030" s="67"/>
      <c r="U1030" s="67"/>
      <c r="V1030" s="67"/>
      <c r="W1030" s="60"/>
      <c r="X1030" s="62"/>
      <c r="Y1030" s="62"/>
      <c r="Z1030" s="60" t="n">
        <v>1</v>
      </c>
      <c r="AA1030" s="60" t="n">
        <f aca="false">IF(A1030="","",IF(AND(Parameter!$B$21="Ja",ISNUMBER(W1030)),W1030,IF(AND(Parameter!$E$27="Ja",ISNUMBER(Z1030),CD1030&lt;&gt;"Nein"),Z1030,IF(CD1030="2+3",IF(ISNUMBER(SEARCH("grosser Artikel",BV1030)),2,IFERROR(VLOOKUP(BY1030,Parameter!$F$35:$G$64,2,0),2)),IF(OR(CD1030="Nein",CD1030=""),"-",CD1030)))))</f>
        <v>1</v>
      </c>
      <c r="AB1030" s="67"/>
      <c r="AC1030" s="68"/>
      <c r="AD1030" s="62" t="n">
        <f aca="false">AW1030</f>
        <v>15</v>
      </c>
      <c r="AE1030" s="62" t="n">
        <f aca="false">MAX(AW1030,H1030)</f>
        <v>24</v>
      </c>
      <c r="AF1030" s="69"/>
      <c r="AG1030" s="62" t="n">
        <f aca="false">IF(LEFT(Cockpit!$C$5,1)="A",H1030,IF(Parameter!$E$30="MAX-Bestand",IF(CI1030=1,CJ1030,IF(LEFT(Cockpit!$C$5,1)="B",AM1030,MAX(AM1030,H1030))),ROUNDUP(AK1030,0)))</f>
        <v>24</v>
      </c>
      <c r="AH1030" s="62" t="n">
        <f aca="false">IF(CA1030=1,0,ROUNDUP(AG1030/BZ1030,0))</f>
        <v>2</v>
      </c>
      <c r="AI1030" s="64" t="n">
        <f aca="false">IF(CR1030&gt;0,CR1030*MAX(1,AG1030/X1030),IF(CA1030=1,IF(AG1030&lt;=0,0,CE1030*MAX(1,IF(H1030&gt;0,AG1030/H1030,1))),IF(R1030&gt;0,AH1030/R1030,0))/MAX(0.1,N(Parameter!$M$21)))</f>
        <v>0.00714285714285714</v>
      </c>
      <c r="AJ1030" s="62" t="n">
        <f aca="false">AI1030*CC1030</f>
        <v>1.10714285714286</v>
      </c>
      <c r="AK1030" s="63" t="n">
        <f aca="false">IF(LEFT(Cockpit!$C$5,1)="A",H1030,IF(CI1030=1,(CL1030+CJ1030)/2,IF(LEFT(Cockpit!$C$5,1)="B",(CL1030+AM1030)/2,MAX((CL1030+AM1030)/2,H1030))))</f>
        <v>24</v>
      </c>
      <c r="AL1030" s="62" t="n">
        <f aca="false">AK1030*G1030</f>
        <v>182.64</v>
      </c>
      <c r="AM1030" s="62" t="n">
        <f aca="false">ROUNDUP(CL1030+MAX(CM1030,2*(J1030/IF(CH1030&gt;0,CH1030,MAX(0.1,N(Cockpit!$C$6)))-CL1030)),0)</f>
        <v>15</v>
      </c>
      <c r="AN1030" s="63" t="n">
        <f aca="false">IF(AJ1030&gt;0,J1030/AJ1030,-1)</f>
        <v>11.741935483871</v>
      </c>
      <c r="AO1030" s="63" t="n">
        <f aca="false">IF(AND(OR(CG1030="L1",CG1030="L23",CG1030="LIFT"),AJ1030&gt;0),SUMIFS($AJ$7:$AJ$1843,$CG$7:$CG$1843,CG1030,$AN$7:$AN$1843,"&gt;"&amp;AN1030)+SUMIFS($AJ$7:$AJ$1843,$CG$7:$CG$1843,CG1030,$AN$7:$AN$1843,AN1030,$BX$7:$BX$1843,"&lt;="&amp;BX1030),"")</f>
        <v>2535.51373626374</v>
      </c>
      <c r="AP1030" s="70" t="n">
        <f aca="false">IF(AO1030="",0,MAX(0,MIN(1,(IF(CG1030="L1",Parameter!$H$5,IF(CG1030="L23",Parameter!$H$6+Parameter!$H$7,Parameter!$H$5+Parameter!$H$6+Parameter!$H$7))-(AO1030-AJ1030))/AJ1030)))</f>
        <v>1</v>
      </c>
      <c r="AQ1030" s="62" t="n">
        <f aca="false">IF(LEFT(Cockpit!$I$5,1)="A",H1030,IF(Parameter!$E$30="MAX-Bestand",IF(CI1030=1,CJ1030,IF(LEFT(Cockpit!$I$5,1)="B",AW1030,MAX(AW1030,H1030))),ROUNDUP(AU1030,0)))</f>
        <v>24</v>
      </c>
      <c r="AR1030" s="62" t="n">
        <f aca="false">IF(CA1030=1,0,ROUNDUP(AQ1030/BZ1030,0))</f>
        <v>2</v>
      </c>
      <c r="AS1030" s="64" t="n">
        <f aca="false">IF(CR1030&gt;0,CR1030*MAX(1,AQ1030/X1030),IF(CA1030=1,IF(AQ1030&lt;=0,0,CE1030*MAX(1,IF(H1030&gt;0,AQ1030/H1030,1))),IF(R1030&gt;0,AR1030/R1030,0))/MAX(0.1,N(Parameter!$M$21)))</f>
        <v>0.00714285714285714</v>
      </c>
      <c r="AT1030" s="62" t="n">
        <f aca="false">AS1030*CC1030</f>
        <v>1.10714285714286</v>
      </c>
      <c r="AU1030" s="63" t="n">
        <f aca="false">IF(LEFT(Cockpit!$I$5,1)="A",H1030,IF(CI1030=1,(CL1030+CJ1030)/2,IF(LEFT(Cockpit!$I$5,1)="B",(CL1030+AW1030)/2,MAX((CL1030+AW1030)/2,H1030))))</f>
        <v>24</v>
      </c>
      <c r="AV1030" s="62" t="n">
        <f aca="false">AU1030*G1030</f>
        <v>182.64</v>
      </c>
      <c r="AW1030" s="62" t="n">
        <f aca="false">ROUNDUP(CL1030+MAX(CM1030,2*(J1030/IF(CH1030&gt;0,CH1030,MAX(0.1,N(Cockpit!$I$6)))-CL1030)),0)</f>
        <v>15</v>
      </c>
      <c r="AX1030" s="63" t="n">
        <f aca="false">IF(AT1030&gt;0,J1030/AT1030,-1)</f>
        <v>11.741935483871</v>
      </c>
      <c r="AY1030" s="63" t="n">
        <f aca="false">IF(AND(OR(CG1030="L1",CG1030="L23",CG1030="LIFT"),AT1030&gt;0),SUMIFS($AT$7:$AT$1843,$CG$7:$CG$1843,CG1030,$AX$7:$AX$1843,"&gt;"&amp;AX1030)+SUMIFS($AT$7:$AT$1843,$CG$7:$CG$1843,CG1030,$AX$7:$AX$1843,AX1030,$BX$7:$BX$1843,"&lt;="&amp;BX1030),"")</f>
        <v>3112.80952380952</v>
      </c>
      <c r="AZ1030" s="70" t="n">
        <f aca="false">IF(AY1030="",0,MAX(0,MIN(1,(IF(CG1030="L1",Parameter!$H$5,IF(CG1030="L23",Parameter!$H$6+Parameter!$H$7,Parameter!$H$5+Parameter!$H$6+Parameter!$H$7))-(AY1030-AT1030))/AT1030)))</f>
        <v>1</v>
      </c>
      <c r="BA1030" s="62" t="n">
        <f aca="false">IF(LEFT(Cockpit!$O$5,1)="A",H1030,IF(Parameter!$E$30="MAX-Bestand",IF(CI1030=1,CJ1030,IF(LEFT(Cockpit!$O$5,1)="B",BG1030,MAX(BG1030,H1030))),ROUNDUP(BE1030,0)))</f>
        <v>8</v>
      </c>
      <c r="BB1030" s="62" t="n">
        <f aca="false">IF(CA1030=1,0,ROUNDUP(BA1030/BZ1030,0))</f>
        <v>1</v>
      </c>
      <c r="BC1030" s="64" t="n">
        <f aca="false">IF(CR1030&gt;0,CR1030*MAX(1,BA1030/X1030),IF(CA1030=1,IF(BA1030&lt;=0,0,CE1030*MAX(1,IF(H1030&gt;0,BA1030/H1030,1))),IF(R1030&gt;0,BB1030/R1030,0))/MAX(0.1,N(Parameter!$M$21)))</f>
        <v>0.00357142857142857</v>
      </c>
      <c r="BD1030" s="62" t="n">
        <f aca="false">BC1030*CC1030</f>
        <v>0.553571428571429</v>
      </c>
      <c r="BE1030" s="63" t="n">
        <f aca="false">IF(LEFT(Cockpit!$O$5,1)="A",H1030,IF(CI1030=1,(CL1030+CJ1030)/2,IF(LEFT(Cockpit!$O$5,1)="B",(CL1030+BG1030)/2,MAX((CL1030+BG1030)/2,H1030))))</f>
        <v>7.5</v>
      </c>
      <c r="BF1030" s="62" t="n">
        <f aca="false">BE1030*G1030</f>
        <v>57.075</v>
      </c>
      <c r="BG1030" s="62" t="n">
        <f aca="false">ROUNDUP(CL1030+MAX(CM1030,2*(J1030/IF(CH1030&gt;0,CH1030,MAX(0.1,N(Cockpit!$O$6)))-CL1030)),0)</f>
        <v>15</v>
      </c>
      <c r="BH1030" s="63" t="n">
        <f aca="false">IF(BD1030&gt;0,J1030/BD1030,-1)</f>
        <v>23.4838709677419</v>
      </c>
      <c r="BI1030" s="63" t="n">
        <f aca="false">IF(AND(OR(CG1030="L1",CG1030="L23",CG1030="LIFT"),BD1030&gt;0),SUMIFS($BD$7:$BD$1843,$CG$7:$CG$1843,CG1030,$BH$7:$BH$1843,"&gt;"&amp;BH1030)+SUMIFS($BD$7:$BD$1843,$CG$7:$CG$1843,CG1030,$BH$7:$BH$1843,BH1030,$BX$7:$BX$1843,"&lt;="&amp;BX1030),"")</f>
        <v>2136.63873626374</v>
      </c>
      <c r="BJ1030" s="70" t="n">
        <f aca="false">IF(BI1030="",0,MAX(0,MIN(1,(IF(CG1030="L1",Parameter!$H$5,IF(CG1030="L23",Parameter!$H$6+Parameter!$H$7,Parameter!$H$5+Parameter!$H$6+Parameter!$H$7))-(BI1030-BD1030))/BD1030)))</f>
        <v>1</v>
      </c>
      <c r="BK1030" s="60" t="str">
        <f aca="false">IF(AJ1030&lt;=0,"",IF(CG1030="Aussen","Aussenlager",IF(CG1030="-","Nicht im Lift",IF(AP1030&gt;=1,"Lift",IF(AP1030&lt;=0,"Aussenlager","teilweise")))))</f>
        <v>Lift</v>
      </c>
      <c r="BL1030" s="60" t="str">
        <f aca="false">IF(AT1030&lt;=0,"",IF(CG1030="Aussen","Aussenlager",IF(CG1030="-","Nicht im Lift",IF(AZ1030&gt;=1,"Lift",IF(AZ1030&lt;=0,"Aussenlager","teilweise")))))</f>
        <v>Lift</v>
      </c>
      <c r="BM1030" s="60" t="str">
        <f aca="false">IF(BD1030&lt;=0,"",IF(CG1030="Aussen","Aussenlager",IF(CG1030="-","Nicht im Lift",IF(BJ1030&gt;=1,"Lift",IF(BJ1030&lt;=0,"Aussenlager","teilweise")))))</f>
        <v>Lift</v>
      </c>
      <c r="BN1030" s="60" t="str">
        <f aca="false">IF(A1030="","",IF(BW1030=1,"Neu; ","")&amp;IF(AND(BW1030=0,BR1030&lt;0),"negativer Bestand (Export "&amp;BR1030&amp;"); ","")&amp;IF(J1030&lt;=0,"Kein Verbrauch; ","")&amp;IF(CR1030&gt;0,"Lift "&amp;W1030&amp;" lt. Liftbericht (Fach "&amp;X1030&amp;" Stk); ",IF(CB1030=1,"Gebinde geschätzt ("&amp;T1030&amp;"); ",IF(CA1030=1,"Lose – Tablare geschätzt; ","")))&amp;IF(H1030&gt;AW1030,"Überbestand "&amp;ROUND(H1030-AW1030,0)&amp;" Stk / CHF "&amp;ROUND((H1030-AW1030)*G1030,0)&amp;"; ","")&amp;IF(AND(CI1030=1,CJ1030&lt;CK1030),"MAX &lt; MB+LG; ","")&amp;IF(AND(CQ1030&gt;0,CP1030*10&gt;CQ1030),"zu hoch für Tablar; ","")&amp;IF(AND(BW1030=0,OR(CI1030=1,AB1030&lt;&gt;"",U1030&lt;&gt;"",V1030&lt;&gt;"",AC1030&lt;&gt;"")),"manuell übersteuert; ","")&amp;IF(AND(CA1030=0,R1030=0),"Gebinde unbekannt / Stellmass fehlt; ","")&amp;IF(AND(CA1030=0,N(V1030)&lt;=0,N(Q1030)&lt;=0),"Menge pro Gebinde fehlt (Ist = 1 Gebinde); ","")&amp;BV1030)</f>
        <v>negativer Bestand (Export -17); Überbestand 9 Stk / CHF 68; </v>
      </c>
      <c r="BO1030" s="60"/>
      <c r="BP1030" s="60"/>
      <c r="BQ1030" s="67"/>
      <c r="BR1030" s="62" t="n">
        <v>-17</v>
      </c>
      <c r="BS1030" s="62" t="n">
        <v>41</v>
      </c>
      <c r="BT1030" s="61" t="n">
        <v>-129.37</v>
      </c>
      <c r="BU1030" s="62" t="n">
        <v>13</v>
      </c>
      <c r="BV1030" s="60"/>
      <c r="BW1030" s="65" t="n">
        <v>0</v>
      </c>
      <c r="BX1030" s="65" t="n">
        <v>1030</v>
      </c>
      <c r="BY1030" s="60" t="str">
        <f aca="false">IF(U1030&lt;&gt;"",UPPER(TRIM(U1030)),IF(CB1030=1,UPPER(VLOOKUP(T1030,Parameter!$I$27:$K$29,2,0)),IF(P1030="","LOSE",P1030)))</f>
        <v>S21</v>
      </c>
      <c r="BZ1030" s="62" t="n">
        <f aca="false">IF(BY1030="LOSE",1,IF(N(V1030)&gt;0,V1030,IF(CB1030=1,MAX(1,N(VLOOKUP(T1030,Parameter!$I$27:$K$29,3,0)),H1030,N(N1030)),IF(N(Q1030)&gt;0,Q1030,MAX(1,H1030)))))</f>
        <v>15</v>
      </c>
      <c r="CA1030" s="65" t="n">
        <f aca="false">IF(BY1030="LOSE",1,0)</f>
        <v>0</v>
      </c>
      <c r="CB1030" s="65" t="n">
        <f aca="false">IF(AND(U1030="",OR(P1030="",P1030="LOSE"),T1030&lt;&gt;"",N(S1030)&lt;=0,ISNUMBER(MATCH(T1030,Parameter!$I$27:$I$29,0))),1,0)</f>
        <v>0</v>
      </c>
      <c r="CC1030" s="65" t="n">
        <f aca="false">IF(CR1030&gt;0,INDEX(Parameter!$H$5:$H$7,W1030)/INDEX(Parameter!$E$5:$E$7,W1030),IF(AND(CA1030=0,N(IFERROR(VLOOKUP(BY1030,'Gebinde-Kategorie'!$A$5:$N$45,14,0),0))&gt;0),VLOOKUP(BY1030,'Gebinde-Kategorie'!$A$5:$N$45,14,0)*10+Parameter!$M$23,Parameter!$M$24))</f>
        <v>155</v>
      </c>
      <c r="CD1030" s="60" t="str">
        <f aca="false">IF(AND(Parameter!$B$19="Ja",E1030&lt;&gt;"",ISNUMBER(MATCH(E1030,Parameter!$I$35:$I$52,0))),VLOOKUP(E1030,Parameter!$I$35:$J$52,2,0),IFERROR(VLOOKUP(D1030,Parameter!$A$35:$C$64,2,0),"Nein"))</f>
        <v>2+3</v>
      </c>
      <c r="CE1030" s="64" t="n">
        <f aca="false">IF(CA1030=0,0,IF(N(S1030)&gt;0,S1030,IFERROR(VLOOKUP(D1030,Parameter!$A$35:$C$64,3,0)+0,0)))</f>
        <v>0</v>
      </c>
      <c r="CF1030" s="60" t="n">
        <f aca="false">IF(AB1030&lt;&gt;"",AB1030,AA1030)</f>
        <v>1</v>
      </c>
      <c r="CG1030" s="60" t="str">
        <f aca="false">IF(OR(CF1030=1,CF1030=2,CF1030=3),IF(Parameter!$E$27="Ja","LIFT",IF(CF1030=1,"L1","L23")),IF(CF1030="Aussen","Aussen","-"))</f>
        <v>LIFT</v>
      </c>
      <c r="CH1030" s="71" t="n">
        <f aca="false">IF(N(AC1030)&gt;0,AC1030,0)</f>
        <v>0</v>
      </c>
      <c r="CI1030" s="65" t="n">
        <f aca="false">IF(ISNUMBER(AF1030),1,0)</f>
        <v>0</v>
      </c>
      <c r="CJ1030" s="62" t="n">
        <f aca="false">N(AF1030)</f>
        <v>0</v>
      </c>
      <c r="CK1030" s="62" t="n">
        <f aca="false">N(M1030)+N(N1030)</f>
        <v>15</v>
      </c>
      <c r="CL1030" s="62" t="n">
        <f aca="false">N(M1030)</f>
        <v>0</v>
      </c>
      <c r="CM1030" s="62" t="n">
        <f aca="false">N(N1030)</f>
        <v>15</v>
      </c>
      <c r="CN1030" s="62" t="n">
        <f aca="false">ROUNDUP(H1030/BZ1030,0)</f>
        <v>2</v>
      </c>
      <c r="CO1030" s="62" t="n">
        <f aca="false">ROUNDUP(CJ1030/BZ1030,0)</f>
        <v>0</v>
      </c>
      <c r="CP1030" s="65" t="n">
        <f aca="false">IF(CA1030=1,0,IFERROR(VLOOKUP(BY1030,'Gebinde-Kategorie'!$A$5:$N$45,5,0)+0,0))</f>
        <v>8</v>
      </c>
      <c r="CQ1030" s="65" t="n">
        <f aca="false">IFERROR(IF(OR(CF1030=1,CF1030=2,CF1030=3),N(INDEX(Parameter!$I$5:$I$7,CF1030)),0),0)</f>
        <v>0</v>
      </c>
      <c r="CR1030" s="64" t="n">
        <f aca="false">IF(AND(Parameter!$B$21="Ja",ISNUMBER(W1030),N(X1030)&gt;0),IFERROR(N(INDEX(Parameter!$L$5:$L$7,W1030))*INDEX(Parameter!$E$5:$E$7,W1030)*X1030/SUMIFS($X$7:$X$1843,$W$7:$W$1843,W1030),0),0)</f>
        <v>0</v>
      </c>
      <c r="CS1030" s="62" t="n">
        <f aca="false">IF(AND(OR(CG1030="L1",CG1030="L23",CG1030="LIFT"),H1030&gt;0),CC1030*IF(CR1030&gt;0,CR1030*MAX(1,H1030/X1030),IF(CA1030=1,CE1030,IF(R1030&gt;0,CN1030/R1030,0))/MAX(0.1,N(Parameter!$M$21))),"")</f>
        <v>1.10714285714286</v>
      </c>
      <c r="CT1030" s="64" t="n">
        <f aca="false">IF(CS1030="","",J1030/H1030)</f>
        <v>0.541666666666667</v>
      </c>
      <c r="CU1030" s="62" t="n">
        <f aca="false">IF(CS1030="","",H1030*G1030)</f>
        <v>182.64</v>
      </c>
      <c r="CV1030" s="63" t="n">
        <f aca="false">IF(CS1030="","",(CL1030+ROUNDUP(CL1030+MAX(CM1030,2*(J1030/MAX(0.1,N(Einkauf!$C$6))-CL1030)),0))/2)</f>
        <v>7.5</v>
      </c>
      <c r="CW1030" s="62" t="n">
        <f aca="false">IF(CS1030="","",MAX(0,H1030-CV1030)*G1030)</f>
        <v>125.565</v>
      </c>
      <c r="CX1030" s="62" t="n">
        <f aca="false">IF(CS1030="","",CS1030*MAX(0,1-CV1030/H1030))</f>
        <v>0.761160714285714</v>
      </c>
      <c r="CY1030" s="64" t="n">
        <f aca="false">IF(CS1030="","",PERCENTRANK($CS$7:$CS$1843,CS1030)+PERCENTRANK($CU$7:$CU$1843,CU1030)+1-PERCENTRANK($CT$7:$CT$1843,CT1030))</f>
        <v>0.8214</v>
      </c>
      <c r="CZ1030" s="72" t="n">
        <f aca="false">IF(CS1030="","",CHOOSE(MATCH(Einkauf!$C$5,Parameter!$G$23:$G$27,0),CY1030,CS1030,CU1030,-CT1030,CW1030)+ROW()/1000000000)</f>
        <v>0.82140103</v>
      </c>
    </row>
    <row r="1031" customFormat="false" ht="15" hidden="false" customHeight="false" outlineLevel="0" collapsed="false">
      <c r="A1031" s="60" t="s">
        <v>1937</v>
      </c>
      <c r="B1031" s="60" t="s">
        <v>1938</v>
      </c>
      <c r="C1031" s="60" t="s">
        <v>498</v>
      </c>
      <c r="D1031" s="60" t="s">
        <v>215</v>
      </c>
      <c r="E1031" s="60" t="s">
        <v>1521</v>
      </c>
      <c r="F1031" s="60" t="s">
        <v>260</v>
      </c>
      <c r="G1031" s="61" t="n">
        <v>130.2</v>
      </c>
      <c r="H1031" s="62" t="n">
        <f aca="false">MAX(0,IF(AND(Parameter!$B$21="Ja",ISNUMBER(Y1031)),Y1031,IF(Parameter!$B$20="Jahresanfang 2025 + Export",BS1031+BR1031,BR1031)))</f>
        <v>0</v>
      </c>
      <c r="I1031" s="62" t="n">
        <f aca="false">H1031*G1031</f>
        <v>0</v>
      </c>
      <c r="J1031" s="62" t="n">
        <f aca="false">BU1031*Parameter!$B$18</f>
        <v>0</v>
      </c>
      <c r="K1031" s="63" t="n">
        <v>0.5</v>
      </c>
      <c r="L1031" s="64" t="n">
        <v>0</v>
      </c>
      <c r="M1031" s="62" t="n">
        <v>0</v>
      </c>
      <c r="N1031" s="62" t="n">
        <v>1</v>
      </c>
      <c r="O1031" s="65" t="n">
        <v>56</v>
      </c>
      <c r="P1031" s="60" t="s">
        <v>210</v>
      </c>
      <c r="Q1031" s="62"/>
      <c r="R1031" s="65" t="n">
        <f aca="false">IF(CA1031=1,0,IFERROR(VLOOKUP(BY1031,'Gebinde-Kategorie'!$A$5:$N$45,13,0)+0,0))</f>
        <v>4</v>
      </c>
      <c r="S1031" s="66"/>
      <c r="T1031" s="67" t="s">
        <v>231</v>
      </c>
      <c r="U1031" s="67"/>
      <c r="V1031" s="67"/>
      <c r="W1031" s="60"/>
      <c r="X1031" s="62"/>
      <c r="Y1031" s="62"/>
      <c r="Z1031" s="60"/>
      <c r="AA1031" s="60" t="str">
        <f aca="false">IF(A1031="","",IF(AND(Parameter!$B$21="Ja",ISNUMBER(W1031)),W1031,IF(AND(Parameter!$E$27="Ja",ISNUMBER(Z1031),CD1031&lt;&gt;"Nein"),Z1031,IF(CD1031="2+3",IF(ISNUMBER(SEARCH("grosser Artikel",BV1031)),2,IFERROR(VLOOKUP(BY1031,Parameter!$F$35:$G$64,2,0),2)),IF(OR(CD1031="Nein",CD1031=""),"-",CD1031)))))</f>
        <v>-</v>
      </c>
      <c r="AB1031" s="67"/>
      <c r="AC1031" s="68"/>
      <c r="AD1031" s="62" t="n">
        <f aca="false">AW1031</f>
        <v>1</v>
      </c>
      <c r="AE1031" s="62" t="n">
        <f aca="false">MAX(AW1031,H1031)</f>
        <v>1</v>
      </c>
      <c r="AF1031" s="69"/>
      <c r="AG1031" s="62" t="n">
        <f aca="false">IF(LEFT(Cockpit!$C$5,1)="A",H1031,IF(Parameter!$E$30="MAX-Bestand",IF(CI1031=1,CJ1031,IF(LEFT(Cockpit!$C$5,1)="B",AM1031,MAX(AM1031,H1031))),ROUNDUP(AK1031,0)))</f>
        <v>0</v>
      </c>
      <c r="AH1031" s="62" t="n">
        <f aca="false">IF(CA1031=1,0,ROUNDUP(AG1031/BZ1031,0))</f>
        <v>0</v>
      </c>
      <c r="AI1031" s="64" t="n">
        <f aca="false">IF(CR1031&gt;0,CR1031*MAX(1,AG1031/X1031),IF(CA1031=1,IF(AG1031&lt;=0,0,CE1031*MAX(1,IF(H1031&gt;0,AG1031/H1031,1))),IF(R1031&gt;0,AH1031/R1031,0))/MAX(0.1,N(Parameter!$M$21)))</f>
        <v>0</v>
      </c>
      <c r="AJ1031" s="62" t="n">
        <f aca="false">AI1031*CC1031</f>
        <v>0</v>
      </c>
      <c r="AK1031" s="63" t="n">
        <f aca="false">IF(LEFT(Cockpit!$C$5,1)="A",H1031,IF(CI1031=1,(CL1031+CJ1031)/2,IF(LEFT(Cockpit!$C$5,1)="B",(CL1031+AM1031)/2,MAX((CL1031+AM1031)/2,H1031))))</f>
        <v>0</v>
      </c>
      <c r="AL1031" s="62" t="n">
        <f aca="false">AK1031*G1031</f>
        <v>0</v>
      </c>
      <c r="AM1031" s="62" t="n">
        <f aca="false">ROUNDUP(CL1031+MAX(CM1031,2*(J1031/IF(CH1031&gt;0,CH1031,MAX(0.1,N(Cockpit!$C$6)))-CL1031)),0)</f>
        <v>1</v>
      </c>
      <c r="AN1031" s="63" t="n">
        <f aca="false">IF(AJ1031&gt;0,J1031/AJ1031,-1)</f>
        <v>-1</v>
      </c>
      <c r="AO1031" s="63" t="str">
        <f aca="false">IF(AND(OR(CG1031="L1",CG1031="L23",CG1031="LIFT"),AJ1031&gt;0),SUMIFS($AJ$7:$AJ$1843,$CG$7:$CG$1843,CG1031,$AN$7:$AN$1843,"&gt;"&amp;AN1031)+SUMIFS($AJ$7:$AJ$1843,$CG$7:$CG$1843,CG1031,$AN$7:$AN$1843,AN1031,$BX$7:$BX$1843,"&lt;="&amp;BX1031),"")</f>
        <v/>
      </c>
      <c r="AP1031" s="70" t="n">
        <f aca="false">IF(AO1031="",0,MAX(0,MIN(1,(IF(CG1031="L1",Parameter!$H$5,IF(CG1031="L23",Parameter!$H$6+Parameter!$H$7,Parameter!$H$5+Parameter!$H$6+Parameter!$H$7))-(AO1031-AJ1031))/AJ1031)))</f>
        <v>0</v>
      </c>
      <c r="AQ1031" s="62" t="n">
        <f aca="false">IF(LEFT(Cockpit!$I$5,1)="A",H1031,IF(Parameter!$E$30="MAX-Bestand",IF(CI1031=1,CJ1031,IF(LEFT(Cockpit!$I$5,1)="B",AW1031,MAX(AW1031,H1031))),ROUNDUP(AU1031,0)))</f>
        <v>1</v>
      </c>
      <c r="AR1031" s="62" t="n">
        <f aca="false">IF(CA1031=1,0,ROUNDUP(AQ1031/BZ1031,0))</f>
        <v>1</v>
      </c>
      <c r="AS1031" s="64" t="n">
        <f aca="false">IF(CR1031&gt;0,CR1031*MAX(1,AQ1031/X1031),IF(CA1031=1,IF(AQ1031&lt;=0,0,CE1031*MAX(1,IF(H1031&gt;0,AQ1031/H1031,1))),IF(R1031&gt;0,AR1031/R1031,0))/MAX(0.1,N(Parameter!$M$21)))</f>
        <v>0.25</v>
      </c>
      <c r="AT1031" s="62" t="n">
        <f aca="false">AS1031*CC1031</f>
        <v>58.75</v>
      </c>
      <c r="AU1031" s="63" t="n">
        <f aca="false">IF(LEFT(Cockpit!$I$5,1)="A",H1031,IF(CI1031=1,(CL1031+CJ1031)/2,IF(LEFT(Cockpit!$I$5,1)="B",(CL1031+AW1031)/2,MAX((CL1031+AW1031)/2,H1031))))</f>
        <v>0.5</v>
      </c>
      <c r="AV1031" s="62" t="n">
        <f aca="false">AU1031*G1031</f>
        <v>65.1</v>
      </c>
      <c r="AW1031" s="62" t="n">
        <f aca="false">ROUNDUP(CL1031+MAX(CM1031,2*(J1031/IF(CH1031&gt;0,CH1031,MAX(0.1,N(Cockpit!$I$6)))-CL1031)),0)</f>
        <v>1</v>
      </c>
      <c r="AX1031" s="63" t="n">
        <f aca="false">IF(AT1031&gt;0,J1031/AT1031,-1)</f>
        <v>0</v>
      </c>
      <c r="AY1031" s="63" t="str">
        <f aca="false">IF(AND(OR(CG1031="L1",CG1031="L23",CG1031="LIFT"),AT1031&gt;0),SUMIFS($AT$7:$AT$1843,$CG$7:$CG$1843,CG1031,$AX$7:$AX$1843,"&gt;"&amp;AX1031)+SUMIFS($AT$7:$AT$1843,$CG$7:$CG$1843,CG1031,$AX$7:$AX$1843,AX1031,$BX$7:$BX$1843,"&lt;="&amp;BX1031),"")</f>
        <v/>
      </c>
      <c r="AZ1031" s="70" t="n">
        <f aca="false">IF(AY1031="",0,MAX(0,MIN(1,(IF(CG1031="L1",Parameter!$H$5,IF(CG1031="L23",Parameter!$H$6+Parameter!$H$7,Parameter!$H$5+Parameter!$H$6+Parameter!$H$7))-(AY1031-AT1031))/AT1031)))</f>
        <v>0</v>
      </c>
      <c r="BA1031" s="62" t="n">
        <f aca="false">IF(LEFT(Cockpit!$O$5,1)="A",H1031,IF(Parameter!$E$30="MAX-Bestand",IF(CI1031=1,CJ1031,IF(LEFT(Cockpit!$O$5,1)="B",BG1031,MAX(BG1031,H1031))),ROUNDUP(BE1031,0)))</f>
        <v>1</v>
      </c>
      <c r="BB1031" s="62" t="n">
        <f aca="false">IF(CA1031=1,0,ROUNDUP(BA1031/BZ1031,0))</f>
        <v>1</v>
      </c>
      <c r="BC1031" s="64" t="n">
        <f aca="false">IF(CR1031&gt;0,CR1031*MAX(1,BA1031/X1031),IF(CA1031=1,IF(BA1031&lt;=0,0,CE1031*MAX(1,IF(H1031&gt;0,BA1031/H1031,1))),IF(R1031&gt;0,BB1031/R1031,0))/MAX(0.1,N(Parameter!$M$21)))</f>
        <v>0.25</v>
      </c>
      <c r="BD1031" s="62" t="n">
        <f aca="false">BC1031*CC1031</f>
        <v>58.75</v>
      </c>
      <c r="BE1031" s="63" t="n">
        <f aca="false">IF(LEFT(Cockpit!$O$5,1)="A",H1031,IF(CI1031=1,(CL1031+CJ1031)/2,IF(LEFT(Cockpit!$O$5,1)="B",(CL1031+BG1031)/2,MAX((CL1031+BG1031)/2,H1031))))</f>
        <v>0.5</v>
      </c>
      <c r="BF1031" s="62" t="n">
        <f aca="false">BE1031*G1031</f>
        <v>65.1</v>
      </c>
      <c r="BG1031" s="62" t="n">
        <f aca="false">ROUNDUP(CL1031+MAX(CM1031,2*(J1031/IF(CH1031&gt;0,CH1031,MAX(0.1,N(Cockpit!$O$6)))-CL1031)),0)</f>
        <v>1</v>
      </c>
      <c r="BH1031" s="63" t="n">
        <f aca="false">IF(BD1031&gt;0,J1031/BD1031,-1)</f>
        <v>0</v>
      </c>
      <c r="BI1031" s="63" t="str">
        <f aca="false">IF(AND(OR(CG1031="L1",CG1031="L23",CG1031="LIFT"),BD1031&gt;0),SUMIFS($BD$7:$BD$1843,$CG$7:$CG$1843,CG1031,$BH$7:$BH$1843,"&gt;"&amp;BH1031)+SUMIFS($BD$7:$BD$1843,$CG$7:$CG$1843,CG1031,$BH$7:$BH$1843,BH1031,$BX$7:$BX$1843,"&lt;="&amp;BX1031),"")</f>
        <v/>
      </c>
      <c r="BJ1031" s="70" t="n">
        <f aca="false">IF(BI1031="",0,MAX(0,MIN(1,(IF(CG1031="L1",Parameter!$H$5,IF(CG1031="L23",Parameter!$H$6+Parameter!$H$7,Parameter!$H$5+Parameter!$H$6+Parameter!$H$7))-(BI1031-BD1031))/BD1031)))</f>
        <v>0</v>
      </c>
      <c r="BK1031" s="60" t="str">
        <f aca="false">IF(AJ1031&lt;=0,"",IF(CG1031="Aussen","Aussenlager",IF(CG1031="-","Nicht im Lift",IF(AP1031&gt;=1,"Lift",IF(AP1031&lt;=0,"Aussenlager","teilweise")))))</f>
        <v/>
      </c>
      <c r="BL1031" s="60" t="str">
        <f aca="false">IF(AT1031&lt;=0,"",IF(CG1031="Aussen","Aussenlager",IF(CG1031="-","Nicht im Lift",IF(AZ1031&gt;=1,"Lift",IF(AZ1031&lt;=0,"Aussenlager","teilweise")))))</f>
        <v>Nicht im Lift</v>
      </c>
      <c r="BM1031" s="60" t="str">
        <f aca="false">IF(BD1031&lt;=0,"",IF(CG1031="Aussen","Aussenlager",IF(CG1031="-","Nicht im Lift",IF(BJ1031&gt;=1,"Lift",IF(BJ1031&lt;=0,"Aussenlager","teilweise")))))</f>
        <v>Nicht im Lift</v>
      </c>
      <c r="BN1031" s="60" t="str">
        <f aca="false">IF(A1031="","",IF(BW1031=1,"Neu; ","")&amp;IF(AND(BW1031=0,BR1031&lt;0),"negativer Bestand (Export "&amp;BR1031&amp;"); ","")&amp;IF(J1031&lt;=0,"Kein Verbrauch; ","")&amp;IF(CR1031&gt;0,"Lift "&amp;W1031&amp;" lt. Liftbericht (Fach "&amp;X1031&amp;" Stk); ",IF(CB1031=1,"Gebinde geschätzt ("&amp;T1031&amp;"); ",IF(CA1031=1,"Lose – Tablare geschätzt; ","")))&amp;IF(H1031&gt;AW1031,"Überbestand "&amp;ROUND(H1031-AW1031,0)&amp;" Stk / CHF "&amp;ROUND((H1031-AW1031)*G1031,0)&amp;"; ","")&amp;IF(AND(CI1031=1,CJ1031&lt;CK1031),"MAX &lt; MB+LG; ","")&amp;IF(AND(CQ1031&gt;0,CP1031*10&gt;CQ1031),"zu hoch für Tablar; ","")&amp;IF(AND(BW1031=0,OR(CI1031=1,AB1031&lt;&gt;"",U1031&lt;&gt;"",V1031&lt;&gt;"",AC1031&lt;&gt;"")),"manuell übersteuert; ","")&amp;IF(AND(CA1031=0,R1031=0),"Gebinde unbekannt / Stellmass fehlt; ","")&amp;IF(AND(CA1031=0,N(V1031)&lt;=0,N(Q1031)&lt;=0),"Menge pro Gebinde fehlt (Ist = 1 Gebinde); ","")&amp;BV1031)</f>
        <v>negativer Bestand (Export -1); Kein Verbrauch; Gebinde geschätzt (Gross); Menge pro Gebinde fehlt (Ist = 1 Gebinde); Neu</v>
      </c>
      <c r="BO1031" s="60"/>
      <c r="BP1031" s="60"/>
      <c r="BQ1031" s="67"/>
      <c r="BR1031" s="62" t="n">
        <v>-1</v>
      </c>
      <c r="BS1031" s="62" t="n">
        <v>1</v>
      </c>
      <c r="BT1031" s="61" t="n">
        <v>-130.2</v>
      </c>
      <c r="BU1031" s="62" t="n">
        <v>0</v>
      </c>
      <c r="BV1031" s="60" t="s">
        <v>668</v>
      </c>
      <c r="BW1031" s="65" t="n">
        <v>0</v>
      </c>
      <c r="BX1031" s="65" t="n">
        <v>1031</v>
      </c>
      <c r="BY1031" s="60" t="str">
        <f aca="false">IF(U1031&lt;&gt;"",UPPER(TRIM(U1031)),IF(CB1031=1,UPPER(VLOOKUP(T1031,Parameter!$I$27:$K$29,2,0)),IF(P1031="","LOSE",P1031)))</f>
        <v>S81</v>
      </c>
      <c r="BZ1031" s="62" t="n">
        <f aca="false">IF(BY1031="LOSE",1,IF(N(V1031)&gt;0,V1031,IF(CB1031=1,MAX(1,N(VLOOKUP(T1031,Parameter!$I$27:$K$29,3,0)),H1031,N(N1031)),IF(N(Q1031)&gt;0,Q1031,MAX(1,H1031)))))</f>
        <v>2</v>
      </c>
      <c r="CA1031" s="65" t="n">
        <f aca="false">IF(BY1031="LOSE",1,0)</f>
        <v>0</v>
      </c>
      <c r="CB1031" s="65" t="n">
        <f aca="false">IF(AND(U1031="",OR(P1031="",P1031="LOSE"),T1031&lt;&gt;"",N(S1031)&lt;=0,ISNUMBER(MATCH(T1031,Parameter!$I$27:$I$29,0))),1,0)</f>
        <v>1</v>
      </c>
      <c r="CC1031" s="65" t="n">
        <f aca="false">IF(CR1031&gt;0,INDEX(Parameter!$H$5:$H$7,W1031)/INDEX(Parameter!$E$5:$E$7,W1031),IF(AND(CA1031=0,N(IFERROR(VLOOKUP(BY1031,'Gebinde-Kategorie'!$A$5:$N$45,14,0),0))&gt;0),VLOOKUP(BY1031,'Gebinde-Kategorie'!$A$5:$N$45,14,0)*10+Parameter!$M$23,Parameter!$M$24))</f>
        <v>235</v>
      </c>
      <c r="CD1031" s="60" t="str">
        <f aca="false">IF(AND(Parameter!$B$19="Ja",E1031&lt;&gt;"",ISNUMBER(MATCH(E1031,Parameter!$I$35:$I$52,0))),VLOOKUP(E1031,Parameter!$I$35:$J$52,2,0),IFERROR(VLOOKUP(D1031,Parameter!$A$35:$C$64,2,0),"Nein"))</f>
        <v>Nein</v>
      </c>
      <c r="CE1031" s="64" t="n">
        <f aca="false">IF(CA1031=0,0,IF(N(S1031)&gt;0,S1031,IFERROR(VLOOKUP(D1031,Parameter!$A$35:$C$64,3,0)+0,0)))</f>
        <v>0</v>
      </c>
      <c r="CF1031" s="60" t="str">
        <f aca="false">IF(AB1031&lt;&gt;"",AB1031,AA1031)</f>
        <v>-</v>
      </c>
      <c r="CG1031" s="60" t="str">
        <f aca="false">IF(OR(CF1031=1,CF1031=2,CF1031=3),IF(Parameter!$E$27="Ja","LIFT",IF(CF1031=1,"L1","L23")),IF(CF1031="Aussen","Aussen","-"))</f>
        <v>-</v>
      </c>
      <c r="CH1031" s="71" t="n">
        <f aca="false">IF(N(AC1031)&gt;0,AC1031,0)</f>
        <v>0</v>
      </c>
      <c r="CI1031" s="65" t="n">
        <f aca="false">IF(ISNUMBER(AF1031),1,0)</f>
        <v>0</v>
      </c>
      <c r="CJ1031" s="62" t="n">
        <f aca="false">N(AF1031)</f>
        <v>0</v>
      </c>
      <c r="CK1031" s="62" t="n">
        <f aca="false">N(M1031)+N(N1031)</f>
        <v>1</v>
      </c>
      <c r="CL1031" s="62" t="n">
        <f aca="false">N(M1031)</f>
        <v>0</v>
      </c>
      <c r="CM1031" s="62" t="n">
        <f aca="false">N(N1031)</f>
        <v>1</v>
      </c>
      <c r="CN1031" s="62" t="n">
        <f aca="false">ROUNDUP(H1031/BZ1031,0)</f>
        <v>0</v>
      </c>
      <c r="CO1031" s="62" t="n">
        <f aca="false">ROUNDUP(CJ1031/BZ1031,0)</f>
        <v>0</v>
      </c>
      <c r="CP1031" s="65" t="n">
        <f aca="false">IF(CA1031=1,0,IFERROR(VLOOKUP(BY1031,'Gebinde-Kategorie'!$A$5:$N$45,5,0)+0,0))</f>
        <v>20</v>
      </c>
      <c r="CQ1031" s="65" t="n">
        <f aca="false">IFERROR(IF(OR(CF1031=1,CF1031=2,CF1031=3),N(INDEX(Parameter!$I$5:$I$7,CF1031)),0),0)</f>
        <v>0</v>
      </c>
      <c r="CR1031" s="64" t="n">
        <f aca="false">IF(AND(Parameter!$B$21="Ja",ISNUMBER(W1031),N(X1031)&gt;0),IFERROR(N(INDEX(Parameter!$L$5:$L$7,W1031))*INDEX(Parameter!$E$5:$E$7,W1031)*X1031/SUMIFS($X$7:$X$1843,$W$7:$W$1843,W1031),0),0)</f>
        <v>0</v>
      </c>
      <c r="CS1031" s="62" t="str">
        <f aca="false">IF(AND(OR(CG1031="L1",CG1031="L23",CG1031="LIFT"),H1031&gt;0),CC1031*IF(CR1031&gt;0,CR1031*MAX(1,H1031/X1031),IF(CA1031=1,CE1031,IF(R1031&gt;0,CN1031/R1031,0))/MAX(0.1,N(Parameter!$M$21))),"")</f>
        <v/>
      </c>
      <c r="CT1031" s="64" t="str">
        <f aca="false">IF(CS1031="","",J1031/H1031)</f>
        <v/>
      </c>
      <c r="CU1031" s="62" t="str">
        <f aca="false">IF(CS1031="","",H1031*G1031)</f>
        <v/>
      </c>
      <c r="CV1031" s="63" t="str">
        <f aca="false">IF(CS1031="","",(CL1031+ROUNDUP(CL1031+MAX(CM1031,2*(J1031/MAX(0.1,N(Einkauf!$C$6))-CL1031)),0))/2)</f>
        <v/>
      </c>
      <c r="CW1031" s="62" t="str">
        <f aca="false">IF(CS1031="","",MAX(0,H1031-CV1031)*G1031)</f>
        <v/>
      </c>
      <c r="CX1031" s="62" t="str">
        <f aca="false">IF(CS1031="","",CS1031*MAX(0,1-CV1031/H1031))</f>
        <v/>
      </c>
      <c r="CY1031" s="64" t="str">
        <f aca="false">IF(CS1031="","",PERCENTRANK($CS$7:$CS$1843,CS1031)+PERCENTRANK($CU$7:$CU$1843,CU1031)+1-PERCENTRANK($CT$7:$CT$1843,CT1031))</f>
        <v/>
      </c>
      <c r="CZ1031" s="72" t="str">
        <f aca="false">IF(CS1031="","",CHOOSE(MATCH(Einkauf!$C$5,Parameter!$G$23:$G$27,0),CY1031,CS1031,CU1031,-CT1031,CW1031)+ROW()/1000000000)</f>
        <v/>
      </c>
    </row>
    <row r="1032" customFormat="false" ht="15" hidden="false" customHeight="false" outlineLevel="0" collapsed="false">
      <c r="A1032" s="60" t="s">
        <v>1939</v>
      </c>
      <c r="B1032" s="60" t="s">
        <v>1940</v>
      </c>
      <c r="C1032" s="60" t="s">
        <v>206</v>
      </c>
      <c r="D1032" s="60" t="s">
        <v>226</v>
      </c>
      <c r="E1032" s="60" t="s">
        <v>227</v>
      </c>
      <c r="F1032" s="60" t="s">
        <v>260</v>
      </c>
      <c r="G1032" s="61" t="n">
        <v>22.57</v>
      </c>
      <c r="H1032" s="62" t="n">
        <f aca="false">MAX(0,IF(AND(Parameter!$B$21="Ja",ISNUMBER(Y1032)),Y1032,IF(Parameter!$B$20="Jahresanfang 2025 + Export",BS1032+BR1032,BR1032)))</f>
        <v>8</v>
      </c>
      <c r="I1032" s="62" t="n">
        <f aca="false">H1032*G1032</f>
        <v>180.56</v>
      </c>
      <c r="J1032" s="62" t="n">
        <f aca="false">BU1032*Parameter!$B$18</f>
        <v>20</v>
      </c>
      <c r="K1032" s="63" t="n">
        <v>11</v>
      </c>
      <c r="L1032" s="64" t="n">
        <v>1.81818181818182</v>
      </c>
      <c r="M1032" s="62" t="n">
        <v>1</v>
      </c>
      <c r="N1032" s="62" t="n">
        <v>20</v>
      </c>
      <c r="O1032" s="65" t="n">
        <v>24</v>
      </c>
      <c r="P1032" s="60" t="s">
        <v>344</v>
      </c>
      <c r="Q1032" s="62" t="n">
        <v>43</v>
      </c>
      <c r="R1032" s="65" t="n">
        <f aca="false">IF(CA1032=1,0,IFERROR(VLOOKUP(BY1032,'Gebinde-Kategorie'!$A$5:$N$45,13,0)+0,0))</f>
        <v>26</v>
      </c>
      <c r="S1032" s="66"/>
      <c r="T1032" s="67"/>
      <c r="U1032" s="67"/>
      <c r="V1032" s="67"/>
      <c r="W1032" s="60"/>
      <c r="X1032" s="62"/>
      <c r="Y1032" s="62"/>
      <c r="Z1032" s="60" t="n">
        <v>3</v>
      </c>
      <c r="AA1032" s="60" t="n">
        <f aca="false">IF(A1032="","",IF(AND(Parameter!$B$21="Ja",ISNUMBER(W1032)),W1032,IF(AND(Parameter!$E$27="Ja",ISNUMBER(Z1032),CD1032&lt;&gt;"Nein"),Z1032,IF(CD1032="2+3",IF(ISNUMBER(SEARCH("grosser Artikel",BV1032)),2,IFERROR(VLOOKUP(BY1032,Parameter!$F$35:$G$64,2,0),2)),IF(OR(CD1032="Nein",CD1032=""),"-",CD1032)))))</f>
        <v>3</v>
      </c>
      <c r="AB1032" s="67"/>
      <c r="AC1032" s="68"/>
      <c r="AD1032" s="62" t="n">
        <f aca="false">AW1032</f>
        <v>21</v>
      </c>
      <c r="AE1032" s="62" t="n">
        <f aca="false">MAX(AW1032,H1032)</f>
        <v>21</v>
      </c>
      <c r="AF1032" s="69"/>
      <c r="AG1032" s="62" t="n">
        <f aca="false">IF(LEFT(Cockpit!$C$5,1)="A",H1032,IF(Parameter!$E$30="MAX-Bestand",IF(CI1032=1,CJ1032,IF(LEFT(Cockpit!$C$5,1)="B",AM1032,MAX(AM1032,H1032))),ROUNDUP(AK1032,0)))</f>
        <v>8</v>
      </c>
      <c r="AH1032" s="62" t="n">
        <f aca="false">IF(CA1032=1,0,ROUNDUP(AG1032/BZ1032,0))</f>
        <v>1</v>
      </c>
      <c r="AI1032" s="64" t="n">
        <f aca="false">IF(CR1032&gt;0,CR1032*MAX(1,AG1032/X1032),IF(CA1032=1,IF(AG1032&lt;=0,0,CE1032*MAX(1,IF(H1032&gt;0,AG1032/H1032,1))),IF(R1032&gt;0,AH1032/R1032,0))/MAX(0.1,N(Parameter!$M$21)))</f>
        <v>0.0384615384615385</v>
      </c>
      <c r="AJ1032" s="62" t="n">
        <f aca="false">AI1032*CC1032</f>
        <v>5.96153846153846</v>
      </c>
      <c r="AK1032" s="63" t="n">
        <f aca="false">IF(LEFT(Cockpit!$C$5,1)="A",H1032,IF(CI1032=1,(CL1032+CJ1032)/2,IF(LEFT(Cockpit!$C$5,1)="B",(CL1032+AM1032)/2,MAX((CL1032+AM1032)/2,H1032))))</f>
        <v>8</v>
      </c>
      <c r="AL1032" s="62" t="n">
        <f aca="false">AK1032*G1032</f>
        <v>180.56</v>
      </c>
      <c r="AM1032" s="62" t="n">
        <f aca="false">ROUNDUP(CL1032+MAX(CM1032,2*(J1032/IF(CH1032&gt;0,CH1032,MAX(0.1,N(Cockpit!$C$6)))-CL1032)),0)</f>
        <v>21</v>
      </c>
      <c r="AN1032" s="63" t="n">
        <f aca="false">IF(AJ1032&gt;0,J1032/AJ1032,-1)</f>
        <v>3.35483870967742</v>
      </c>
      <c r="AO1032" s="63" t="n">
        <f aca="false">IF(AND(OR(CG1032="L1",CG1032="L23",CG1032="LIFT"),AJ1032&gt;0),SUMIFS($AJ$7:$AJ$1843,$CG$7:$CG$1843,CG1032,$AN$7:$AN$1843,"&gt;"&amp;AN1032)+SUMIFS($AJ$7:$AJ$1843,$CG$7:$CG$1843,CG1032,$AN$7:$AN$1843,AN1032,$BX$7:$BX$1843,"&lt;="&amp;BX1032),"")</f>
        <v>4952.60714285714</v>
      </c>
      <c r="AP1032" s="70" t="n">
        <f aca="false">IF(AO1032="",0,MAX(0,MIN(1,(IF(CG1032="L1",Parameter!$H$5,IF(CG1032="L23",Parameter!$H$6+Parameter!$H$7,Parameter!$H$5+Parameter!$H$6+Parameter!$H$7))-(AO1032-AJ1032))/AJ1032)))</f>
        <v>1</v>
      </c>
      <c r="AQ1032" s="62" t="n">
        <f aca="false">IF(LEFT(Cockpit!$I$5,1)="A",H1032,IF(Parameter!$E$30="MAX-Bestand",IF(CI1032=1,CJ1032,IF(LEFT(Cockpit!$I$5,1)="B",AW1032,MAX(AW1032,H1032))),ROUNDUP(AU1032,0)))</f>
        <v>11</v>
      </c>
      <c r="AR1032" s="62" t="n">
        <f aca="false">IF(CA1032=1,0,ROUNDUP(AQ1032/BZ1032,0))</f>
        <v>1</v>
      </c>
      <c r="AS1032" s="64" t="n">
        <f aca="false">IF(CR1032&gt;0,CR1032*MAX(1,AQ1032/X1032),IF(CA1032=1,IF(AQ1032&lt;=0,0,CE1032*MAX(1,IF(H1032&gt;0,AQ1032/H1032,1))),IF(R1032&gt;0,AR1032/R1032,0))/MAX(0.1,N(Parameter!$M$21)))</f>
        <v>0.0384615384615385</v>
      </c>
      <c r="AT1032" s="62" t="n">
        <f aca="false">AS1032*CC1032</f>
        <v>5.96153846153846</v>
      </c>
      <c r="AU1032" s="63" t="n">
        <f aca="false">IF(LEFT(Cockpit!$I$5,1)="A",H1032,IF(CI1032=1,(CL1032+CJ1032)/2,IF(LEFT(Cockpit!$I$5,1)="B",(CL1032+AW1032)/2,MAX((CL1032+AW1032)/2,H1032))))</f>
        <v>11</v>
      </c>
      <c r="AV1032" s="62" t="n">
        <f aca="false">AU1032*G1032</f>
        <v>248.27</v>
      </c>
      <c r="AW1032" s="62" t="n">
        <f aca="false">ROUNDUP(CL1032+MAX(CM1032,2*(J1032/IF(CH1032&gt;0,CH1032,MAX(0.1,N(Cockpit!$I$6)))-CL1032)),0)</f>
        <v>21</v>
      </c>
      <c r="AX1032" s="63" t="n">
        <f aca="false">IF(AT1032&gt;0,J1032/AT1032,-1)</f>
        <v>3.35483870967742</v>
      </c>
      <c r="AY1032" s="63" t="n">
        <f aca="false">IF(AND(OR(CG1032="L1",CG1032="L23",CG1032="LIFT"),AT1032&gt;0),SUMIFS($AT$7:$AT$1843,$CG$7:$CG$1843,CG1032,$AX$7:$AX$1843,"&gt;"&amp;AX1032)+SUMIFS($AT$7:$AT$1843,$CG$7:$CG$1843,CG1032,$AX$7:$AX$1843,AX1032,$BX$7:$BX$1843,"&lt;="&amp;BX1032),"")</f>
        <v>5616.44413919414</v>
      </c>
      <c r="AZ1032" s="70" t="n">
        <f aca="false">IF(AY1032="",0,MAX(0,MIN(1,(IF(CG1032="L1",Parameter!$H$5,IF(CG1032="L23",Parameter!$H$6+Parameter!$H$7,Parameter!$H$5+Parameter!$H$6+Parameter!$H$7))-(AY1032-AT1032))/AT1032)))</f>
        <v>1</v>
      </c>
      <c r="BA1032" s="62" t="n">
        <f aca="false">IF(LEFT(Cockpit!$O$5,1)="A",H1032,IF(Parameter!$E$30="MAX-Bestand",IF(CI1032=1,CJ1032,IF(LEFT(Cockpit!$O$5,1)="B",BG1032,MAX(BG1032,H1032))),ROUNDUP(BE1032,0)))</f>
        <v>11</v>
      </c>
      <c r="BB1032" s="62" t="n">
        <f aca="false">IF(CA1032=1,0,ROUNDUP(BA1032/BZ1032,0))</f>
        <v>1</v>
      </c>
      <c r="BC1032" s="64" t="n">
        <f aca="false">IF(CR1032&gt;0,CR1032*MAX(1,BA1032/X1032),IF(CA1032=1,IF(BA1032&lt;=0,0,CE1032*MAX(1,IF(H1032&gt;0,BA1032/H1032,1))),IF(R1032&gt;0,BB1032/R1032,0))/MAX(0.1,N(Parameter!$M$21)))</f>
        <v>0.0384615384615385</v>
      </c>
      <c r="BD1032" s="62" t="n">
        <f aca="false">BC1032*CC1032</f>
        <v>5.96153846153846</v>
      </c>
      <c r="BE1032" s="63" t="n">
        <f aca="false">IF(LEFT(Cockpit!$O$5,1)="A",H1032,IF(CI1032=1,(CL1032+CJ1032)/2,IF(LEFT(Cockpit!$O$5,1)="B",(CL1032+BG1032)/2,MAX((CL1032+BG1032)/2,H1032))))</f>
        <v>11</v>
      </c>
      <c r="BF1032" s="62" t="n">
        <f aca="false">BE1032*G1032</f>
        <v>248.27</v>
      </c>
      <c r="BG1032" s="62" t="n">
        <f aca="false">ROUNDUP(CL1032+MAX(CM1032,2*(J1032/IF(CH1032&gt;0,CH1032,MAX(0.1,N(Cockpit!$O$6)))-CL1032)),0)</f>
        <v>21</v>
      </c>
      <c r="BH1032" s="63" t="n">
        <f aca="false">IF(BD1032&gt;0,J1032/BD1032,-1)</f>
        <v>3.35483870967742</v>
      </c>
      <c r="BI1032" s="63" t="n">
        <f aca="false">IF(AND(OR(CG1032="L1",CG1032="L23",CG1032="LIFT"),BD1032&gt;0),SUMIFS($BD$7:$BD$1843,$CG$7:$CG$1843,CG1032,$BH$7:$BH$1843,"&gt;"&amp;BH1032)+SUMIFS($BD$7:$BD$1843,$CG$7:$CG$1843,CG1032,$BH$7:$BH$1843,BH1032,$BX$7:$BX$1843,"&lt;="&amp;BX1032),"")</f>
        <v>4596.66208791209</v>
      </c>
      <c r="BJ1032" s="70" t="n">
        <f aca="false">IF(BI1032="",0,MAX(0,MIN(1,(IF(CG1032="L1",Parameter!$H$5,IF(CG1032="L23",Parameter!$H$6+Parameter!$H$7,Parameter!$H$5+Parameter!$H$6+Parameter!$H$7))-(BI1032-BD1032))/BD1032)))</f>
        <v>1</v>
      </c>
      <c r="BK1032" s="60" t="str">
        <f aca="false">IF(AJ1032&lt;=0,"",IF(CG1032="Aussen","Aussenlager",IF(CG1032="-","Nicht im Lift",IF(AP1032&gt;=1,"Lift",IF(AP1032&lt;=0,"Aussenlager","teilweise")))))</f>
        <v>Lift</v>
      </c>
      <c r="BL1032" s="60" t="str">
        <f aca="false">IF(AT1032&lt;=0,"",IF(CG1032="Aussen","Aussenlager",IF(CG1032="-","Nicht im Lift",IF(AZ1032&gt;=1,"Lift",IF(AZ1032&lt;=0,"Aussenlager","teilweise")))))</f>
        <v>Lift</v>
      </c>
      <c r="BM1032" s="60" t="str">
        <f aca="false">IF(BD1032&lt;=0,"",IF(CG1032="Aussen","Aussenlager",IF(CG1032="-","Nicht im Lift",IF(BJ1032&gt;=1,"Lift",IF(BJ1032&lt;=0,"Aussenlager","teilweise")))))</f>
        <v>Lift</v>
      </c>
      <c r="BN1032" s="60" t="str">
        <f aca="false">IF(A1032="","",IF(BW1032=1,"Neu; ","")&amp;IF(AND(BW1032=0,BR1032&lt;0),"negativer Bestand (Export "&amp;BR1032&amp;"); ","")&amp;IF(J1032&lt;=0,"Kein Verbrauch; ","")&amp;IF(CR1032&gt;0,"Lift "&amp;W1032&amp;" lt. Liftbericht (Fach "&amp;X1032&amp;" Stk); ",IF(CB1032=1,"Gebinde geschätzt ("&amp;T1032&amp;"); ",IF(CA1032=1,"Lose – Tablare geschätzt; ","")))&amp;IF(H1032&gt;AW1032,"Überbestand "&amp;ROUND(H1032-AW1032,0)&amp;" Stk / CHF "&amp;ROUND((H1032-AW1032)*G1032,0)&amp;"; ","")&amp;IF(AND(CI1032=1,CJ1032&lt;CK1032),"MAX &lt; MB+LG; ","")&amp;IF(AND(CQ1032&gt;0,CP1032*10&gt;CQ1032),"zu hoch für Tablar; ","")&amp;IF(AND(BW1032=0,OR(CI1032=1,AB1032&lt;&gt;"",U1032&lt;&gt;"",V1032&lt;&gt;"",AC1032&lt;&gt;"")),"manuell übersteuert; ","")&amp;IF(AND(CA1032=0,R1032=0),"Gebinde unbekannt / Stellmass fehlt; ","")&amp;IF(AND(CA1032=0,N(V1032)&lt;=0,N(Q1032)&lt;=0),"Menge pro Gebinde fehlt (Ist = 1 Gebinde); ","")&amp;BV1032)</f>
        <v>negativer Bestand (Export -6); </v>
      </c>
      <c r="BO1032" s="60"/>
      <c r="BP1032" s="60"/>
      <c r="BQ1032" s="67"/>
      <c r="BR1032" s="62" t="n">
        <v>-6</v>
      </c>
      <c r="BS1032" s="62" t="n">
        <v>14</v>
      </c>
      <c r="BT1032" s="61" t="n">
        <v>-130.66</v>
      </c>
      <c r="BU1032" s="62" t="n">
        <v>20</v>
      </c>
      <c r="BV1032" s="60"/>
      <c r="BW1032" s="65" t="n">
        <v>0</v>
      </c>
      <c r="BX1032" s="65" t="n">
        <v>1032</v>
      </c>
      <c r="BY1032" s="60" t="str">
        <f aca="false">IF(U1032&lt;&gt;"",UPPER(TRIM(U1032)),IF(CB1032=1,UPPER(VLOOKUP(T1032,Parameter!$I$27:$K$29,2,0)),IF(P1032="","LOSE",P1032)))</f>
        <v>S51</v>
      </c>
      <c r="BZ1032" s="62" t="n">
        <f aca="false">IF(BY1032="LOSE",1,IF(N(V1032)&gt;0,V1032,IF(CB1032=1,MAX(1,N(VLOOKUP(T1032,Parameter!$I$27:$K$29,3,0)),H1032,N(N1032)),IF(N(Q1032)&gt;0,Q1032,MAX(1,H1032)))))</f>
        <v>43</v>
      </c>
      <c r="CA1032" s="65" t="n">
        <f aca="false">IF(BY1032="LOSE",1,0)</f>
        <v>0</v>
      </c>
      <c r="CB1032" s="65" t="n">
        <f aca="false">IF(AND(U1032="",OR(P1032="",P1032="LOSE"),T1032&lt;&gt;"",N(S1032)&lt;=0,ISNUMBER(MATCH(T1032,Parameter!$I$27:$I$29,0))),1,0)</f>
        <v>0</v>
      </c>
      <c r="CC1032" s="65" t="n">
        <f aca="false">IF(CR1032&gt;0,INDEX(Parameter!$H$5:$H$7,W1032)/INDEX(Parameter!$E$5:$E$7,W1032),IF(AND(CA1032=0,N(IFERROR(VLOOKUP(BY1032,'Gebinde-Kategorie'!$A$5:$N$45,14,0),0))&gt;0),VLOOKUP(BY1032,'Gebinde-Kategorie'!$A$5:$N$45,14,0)*10+Parameter!$M$23,Parameter!$M$24))</f>
        <v>155</v>
      </c>
      <c r="CD1032" s="60" t="str">
        <f aca="false">IF(AND(Parameter!$B$19="Ja",E1032&lt;&gt;"",ISNUMBER(MATCH(E1032,Parameter!$I$35:$I$52,0))),VLOOKUP(E1032,Parameter!$I$35:$J$52,2,0),IFERROR(VLOOKUP(D1032,Parameter!$A$35:$C$64,2,0),"Nein"))</f>
        <v>2+3</v>
      </c>
      <c r="CE1032" s="64" t="n">
        <f aca="false">IF(CA1032=0,0,IF(N(S1032)&gt;0,S1032,IFERROR(VLOOKUP(D1032,Parameter!$A$35:$C$64,3,0)+0,0)))</f>
        <v>0</v>
      </c>
      <c r="CF1032" s="60" t="n">
        <f aca="false">IF(AB1032&lt;&gt;"",AB1032,AA1032)</f>
        <v>3</v>
      </c>
      <c r="CG1032" s="60" t="str">
        <f aca="false">IF(OR(CF1032=1,CF1032=2,CF1032=3),IF(Parameter!$E$27="Ja","LIFT",IF(CF1032=1,"L1","L23")),IF(CF1032="Aussen","Aussen","-"))</f>
        <v>LIFT</v>
      </c>
      <c r="CH1032" s="71" t="n">
        <f aca="false">IF(N(AC1032)&gt;0,AC1032,0)</f>
        <v>0</v>
      </c>
      <c r="CI1032" s="65" t="n">
        <f aca="false">IF(ISNUMBER(AF1032),1,0)</f>
        <v>0</v>
      </c>
      <c r="CJ1032" s="62" t="n">
        <f aca="false">N(AF1032)</f>
        <v>0</v>
      </c>
      <c r="CK1032" s="62" t="n">
        <f aca="false">N(M1032)+N(N1032)</f>
        <v>21</v>
      </c>
      <c r="CL1032" s="62" t="n">
        <f aca="false">N(M1032)</f>
        <v>1</v>
      </c>
      <c r="CM1032" s="62" t="n">
        <f aca="false">N(N1032)</f>
        <v>20</v>
      </c>
      <c r="CN1032" s="62" t="n">
        <f aca="false">ROUNDUP(H1032/BZ1032,0)</f>
        <v>1</v>
      </c>
      <c r="CO1032" s="62" t="n">
        <f aca="false">ROUNDUP(CJ1032/BZ1032,0)</f>
        <v>0</v>
      </c>
      <c r="CP1032" s="65" t="n">
        <f aca="false">IF(CA1032=1,0,IFERROR(VLOOKUP(BY1032,'Gebinde-Kategorie'!$A$5:$N$45,5,0)+0,0))</f>
        <v>11</v>
      </c>
      <c r="CQ1032" s="65" t="n">
        <f aca="false">IFERROR(IF(OR(CF1032=1,CF1032=2,CF1032=3),N(INDEX(Parameter!$I$5:$I$7,CF1032)),0),0)</f>
        <v>0</v>
      </c>
      <c r="CR1032" s="64" t="n">
        <f aca="false">IF(AND(Parameter!$B$21="Ja",ISNUMBER(W1032),N(X1032)&gt;0),IFERROR(N(INDEX(Parameter!$L$5:$L$7,W1032))*INDEX(Parameter!$E$5:$E$7,W1032)*X1032/SUMIFS($X$7:$X$1843,$W$7:$W$1843,W1032),0),0)</f>
        <v>0</v>
      </c>
      <c r="CS1032" s="62" t="n">
        <f aca="false">IF(AND(OR(CG1032="L1",CG1032="L23",CG1032="LIFT"),H1032&gt;0),CC1032*IF(CR1032&gt;0,CR1032*MAX(1,H1032/X1032),IF(CA1032=1,CE1032,IF(R1032&gt;0,CN1032/R1032,0))/MAX(0.1,N(Parameter!$M$21))),"")</f>
        <v>5.96153846153846</v>
      </c>
      <c r="CT1032" s="64" t="n">
        <f aca="false">IF(CS1032="","",J1032/H1032)</f>
        <v>2.5</v>
      </c>
      <c r="CU1032" s="62" t="n">
        <f aca="false">IF(CS1032="","",H1032*G1032)</f>
        <v>180.56</v>
      </c>
      <c r="CV1032" s="63" t="n">
        <f aca="false">IF(CS1032="","",(CL1032+ROUNDUP(CL1032+MAX(CM1032,2*(J1032/MAX(0.1,N(Einkauf!$C$6))-CL1032)),0))/2)</f>
        <v>11</v>
      </c>
      <c r="CW1032" s="62" t="n">
        <f aca="false">IF(CS1032="","",MAX(0,H1032-CV1032)*G1032)</f>
        <v>0</v>
      </c>
      <c r="CX1032" s="62" t="n">
        <f aca="false">IF(CS1032="","",CS1032*MAX(0,1-CV1032/H1032))</f>
        <v>0</v>
      </c>
      <c r="CY1032" s="64" t="n">
        <f aca="false">IF(CS1032="","",PERCENTRANK($CS$7:$CS$1843,CS1032)+PERCENTRANK($CU$7:$CU$1843,CU1032)+1-PERCENTRANK($CT$7:$CT$1843,CT1032))</f>
        <v>0.828</v>
      </c>
      <c r="CZ1032" s="72" t="n">
        <f aca="false">IF(CS1032="","",CHOOSE(MATCH(Einkauf!$C$5,Parameter!$G$23:$G$27,0),CY1032,CS1032,CU1032,-CT1032,CW1032)+ROW()/1000000000)</f>
        <v>0.828001032</v>
      </c>
    </row>
    <row r="1033" customFormat="false" ht="15" hidden="false" customHeight="false" outlineLevel="0" collapsed="false">
      <c r="A1033" s="60" t="s">
        <v>1941</v>
      </c>
      <c r="B1033" s="60" t="s">
        <v>473</v>
      </c>
      <c r="C1033" s="60" t="s">
        <v>206</v>
      </c>
      <c r="D1033" s="60" t="s">
        <v>226</v>
      </c>
      <c r="E1033" s="60" t="s">
        <v>227</v>
      </c>
      <c r="F1033" s="60" t="s">
        <v>260</v>
      </c>
      <c r="G1033" s="61" t="n">
        <v>133.9</v>
      </c>
      <c r="H1033" s="62" t="n">
        <f aca="false">MAX(0,IF(AND(Parameter!$B$21="Ja",ISNUMBER(Y1033)),Y1033,IF(Parameter!$B$20="Jahresanfang 2025 + Export",BS1033+BR1033,BR1033)))</f>
        <v>1</v>
      </c>
      <c r="I1033" s="62" t="n">
        <f aca="false">H1033*G1033</f>
        <v>133.9</v>
      </c>
      <c r="J1033" s="62" t="n">
        <f aca="false">BU1033*Parameter!$B$18</f>
        <v>0.002</v>
      </c>
      <c r="K1033" s="63" t="n">
        <v>1.5</v>
      </c>
      <c r="L1033" s="64" t="n">
        <v>0.00133333333333333</v>
      </c>
      <c r="M1033" s="62" t="n">
        <v>0</v>
      </c>
      <c r="N1033" s="62" t="n">
        <v>1</v>
      </c>
      <c r="O1033" s="65" t="n">
        <v>70</v>
      </c>
      <c r="P1033" s="60" t="s">
        <v>468</v>
      </c>
      <c r="Q1033" s="62" t="n">
        <v>2</v>
      </c>
      <c r="R1033" s="65" t="n">
        <f aca="false">IF(CA1033=1,0,IFERROR(VLOOKUP(BY1033,'Gebinde-Kategorie'!$A$5:$N$45,13,0)+0,0))</f>
        <v>140</v>
      </c>
      <c r="S1033" s="66"/>
      <c r="T1033" s="67"/>
      <c r="U1033" s="67"/>
      <c r="V1033" s="67"/>
      <c r="W1033" s="60"/>
      <c r="X1033" s="62"/>
      <c r="Y1033" s="62"/>
      <c r="Z1033" s="60" t="n">
        <v>3</v>
      </c>
      <c r="AA1033" s="60" t="n">
        <f aca="false">IF(A1033="","",IF(AND(Parameter!$B$21="Ja",ISNUMBER(W1033)),W1033,IF(AND(Parameter!$E$27="Ja",ISNUMBER(Z1033),CD1033&lt;&gt;"Nein"),Z1033,IF(CD1033="2+3",IF(ISNUMBER(SEARCH("grosser Artikel",BV1033)),2,IFERROR(VLOOKUP(BY1033,Parameter!$F$35:$G$64,2,0),2)),IF(OR(CD1033="Nein",CD1033=""),"-",CD1033)))))</f>
        <v>3</v>
      </c>
      <c r="AB1033" s="67"/>
      <c r="AC1033" s="68"/>
      <c r="AD1033" s="62" t="n">
        <f aca="false">AW1033</f>
        <v>1</v>
      </c>
      <c r="AE1033" s="62" t="n">
        <f aca="false">MAX(AW1033,H1033)</f>
        <v>1</v>
      </c>
      <c r="AF1033" s="69"/>
      <c r="AG1033" s="62" t="n">
        <f aca="false">IF(LEFT(Cockpit!$C$5,1)="A",H1033,IF(Parameter!$E$30="MAX-Bestand",IF(CI1033=1,CJ1033,IF(LEFT(Cockpit!$C$5,1)="B",AM1033,MAX(AM1033,H1033))),ROUNDUP(AK1033,0)))</f>
        <v>1</v>
      </c>
      <c r="AH1033" s="62" t="n">
        <f aca="false">IF(CA1033=1,0,ROUNDUP(AG1033/BZ1033,0))</f>
        <v>1</v>
      </c>
      <c r="AI1033" s="64" t="n">
        <f aca="false">IF(CR1033&gt;0,CR1033*MAX(1,AG1033/X1033),IF(CA1033=1,IF(AG1033&lt;=0,0,CE1033*MAX(1,IF(H1033&gt;0,AG1033/H1033,1))),IF(R1033&gt;0,AH1033/R1033,0))/MAX(0.1,N(Parameter!$M$21)))</f>
        <v>0.00714285714285714</v>
      </c>
      <c r="AJ1033" s="62" t="n">
        <f aca="false">AI1033*CC1033</f>
        <v>1.10714285714286</v>
      </c>
      <c r="AK1033" s="63" t="n">
        <f aca="false">IF(LEFT(Cockpit!$C$5,1)="A",H1033,IF(CI1033=1,(CL1033+CJ1033)/2,IF(LEFT(Cockpit!$C$5,1)="B",(CL1033+AM1033)/2,MAX((CL1033+AM1033)/2,H1033))))</f>
        <v>1</v>
      </c>
      <c r="AL1033" s="62" t="n">
        <f aca="false">AK1033*G1033</f>
        <v>133.9</v>
      </c>
      <c r="AM1033" s="62" t="n">
        <f aca="false">ROUNDUP(CL1033+MAX(CM1033,2*(J1033/IF(CH1033&gt;0,CH1033,MAX(0.1,N(Cockpit!$C$6)))-CL1033)),0)</f>
        <v>1</v>
      </c>
      <c r="AN1033" s="63" t="n">
        <f aca="false">IF(AJ1033&gt;0,J1033/AJ1033,-1)</f>
        <v>0.00180645161290323</v>
      </c>
      <c r="AO1033" s="63" t="n">
        <f aca="false">IF(AND(OR(CG1033="L1",CG1033="L23",CG1033="LIFT"),AJ1033&gt;0),SUMIFS($AJ$7:$AJ$1843,$CG$7:$CG$1843,CG1033,$AN$7:$AN$1843,"&gt;"&amp;AN1033)+SUMIFS($AJ$7:$AJ$1843,$CG$7:$CG$1843,CG1033,$AN$7:$AN$1843,AN1033,$BX$7:$BX$1843,"&lt;="&amp;BX1033),"")</f>
        <v>25429.0219081766</v>
      </c>
      <c r="AP1033" s="70" t="n">
        <f aca="false">IF(AO1033="",0,MAX(0,MIN(1,(IF(CG1033="L1",Parameter!$H$5,IF(CG1033="L23",Parameter!$H$6+Parameter!$H$7,Parameter!$H$5+Parameter!$H$6+Parameter!$H$7))-(AO1033-AJ1033))/AJ1033)))</f>
        <v>1</v>
      </c>
      <c r="AQ1033" s="62" t="n">
        <f aca="false">IF(LEFT(Cockpit!$I$5,1)="A",H1033,IF(Parameter!$E$30="MAX-Bestand",IF(CI1033=1,CJ1033,IF(LEFT(Cockpit!$I$5,1)="B",AW1033,MAX(AW1033,H1033))),ROUNDUP(AU1033,0)))</f>
        <v>1</v>
      </c>
      <c r="AR1033" s="62" t="n">
        <f aca="false">IF(CA1033=1,0,ROUNDUP(AQ1033/BZ1033,0))</f>
        <v>1</v>
      </c>
      <c r="AS1033" s="64" t="n">
        <f aca="false">IF(CR1033&gt;0,CR1033*MAX(1,AQ1033/X1033),IF(CA1033=1,IF(AQ1033&lt;=0,0,CE1033*MAX(1,IF(H1033&gt;0,AQ1033/H1033,1))),IF(R1033&gt;0,AR1033/R1033,0))/MAX(0.1,N(Parameter!$M$21)))</f>
        <v>0.00714285714285714</v>
      </c>
      <c r="AT1033" s="62" t="n">
        <f aca="false">AS1033*CC1033</f>
        <v>1.10714285714286</v>
      </c>
      <c r="AU1033" s="63" t="n">
        <f aca="false">IF(LEFT(Cockpit!$I$5,1)="A",H1033,IF(CI1033=1,(CL1033+CJ1033)/2,IF(LEFT(Cockpit!$I$5,1)="B",(CL1033+AW1033)/2,MAX((CL1033+AW1033)/2,H1033))))</f>
        <v>1</v>
      </c>
      <c r="AV1033" s="62" t="n">
        <f aca="false">AU1033*G1033</f>
        <v>133.9</v>
      </c>
      <c r="AW1033" s="62" t="n">
        <f aca="false">ROUNDUP(CL1033+MAX(CM1033,2*(J1033/IF(CH1033&gt;0,CH1033,MAX(0.1,N(Cockpit!$I$6)))-CL1033)),0)</f>
        <v>1</v>
      </c>
      <c r="AX1033" s="63" t="n">
        <f aca="false">IF(AT1033&gt;0,J1033/AT1033,-1)</f>
        <v>0.00180645161290323</v>
      </c>
      <c r="AY1033" s="63" t="n">
        <f aca="false">IF(AND(OR(CG1033="L1",CG1033="L23",CG1033="LIFT"),AT1033&gt;0),SUMIFS($AT$7:$AT$1843,$CG$7:$CG$1843,CG1033,$AX$7:$AX$1843,"&gt;"&amp;AX1033)+SUMIFS($AT$7:$AT$1843,$CG$7:$CG$1843,CG1033,$AX$7:$AX$1843,AX1033,$BX$7:$BX$1843,"&lt;="&amp;BX1033),"")</f>
        <v>30782.170549554</v>
      </c>
      <c r="AZ1033" s="70" t="n">
        <f aca="false">IF(AY1033="",0,MAX(0,MIN(1,(IF(CG1033="L1",Parameter!$H$5,IF(CG1033="L23",Parameter!$H$6+Parameter!$H$7,Parameter!$H$5+Parameter!$H$6+Parameter!$H$7))-(AY1033-AT1033))/AT1033)))</f>
        <v>1</v>
      </c>
      <c r="BA1033" s="62" t="n">
        <f aca="false">IF(LEFT(Cockpit!$O$5,1)="A",H1033,IF(Parameter!$E$30="MAX-Bestand",IF(CI1033=1,CJ1033,IF(LEFT(Cockpit!$O$5,1)="B",BG1033,MAX(BG1033,H1033))),ROUNDUP(BE1033,0)))</f>
        <v>1</v>
      </c>
      <c r="BB1033" s="62" t="n">
        <f aca="false">IF(CA1033=1,0,ROUNDUP(BA1033/BZ1033,0))</f>
        <v>1</v>
      </c>
      <c r="BC1033" s="64" t="n">
        <f aca="false">IF(CR1033&gt;0,CR1033*MAX(1,BA1033/X1033),IF(CA1033=1,IF(BA1033&lt;=0,0,CE1033*MAX(1,IF(H1033&gt;0,BA1033/H1033,1))),IF(R1033&gt;0,BB1033/R1033,0))/MAX(0.1,N(Parameter!$M$21)))</f>
        <v>0.00714285714285714</v>
      </c>
      <c r="BD1033" s="62" t="n">
        <f aca="false">BC1033*CC1033</f>
        <v>1.10714285714286</v>
      </c>
      <c r="BE1033" s="63" t="n">
        <f aca="false">IF(LEFT(Cockpit!$O$5,1)="A",H1033,IF(CI1033=1,(CL1033+CJ1033)/2,IF(LEFT(Cockpit!$O$5,1)="B",(CL1033+BG1033)/2,MAX((CL1033+BG1033)/2,H1033))))</f>
        <v>0.5</v>
      </c>
      <c r="BF1033" s="62" t="n">
        <f aca="false">BE1033*G1033</f>
        <v>66.95</v>
      </c>
      <c r="BG1033" s="62" t="n">
        <f aca="false">ROUNDUP(CL1033+MAX(CM1033,2*(J1033/IF(CH1033&gt;0,CH1033,MAX(0.1,N(Cockpit!$O$6)))-CL1033)),0)</f>
        <v>1</v>
      </c>
      <c r="BH1033" s="63" t="n">
        <f aca="false">IF(BD1033&gt;0,J1033/BD1033,-1)</f>
        <v>0.00180645161290323</v>
      </c>
      <c r="BI1033" s="63" t="n">
        <f aca="false">IF(AND(OR(CG1033="L1",CG1033="L23",CG1033="LIFT"),BD1033&gt;0),SUMIFS($BD$7:$BD$1843,$CG$7:$CG$1843,CG1033,$BH$7:$BH$1843,"&gt;"&amp;BH1033)+SUMIFS($BD$7:$BD$1843,$CG$7:$CG$1843,CG1033,$BH$7:$BH$1843,BH1033,$BX$7:$BX$1843,"&lt;="&amp;BX1033),"")</f>
        <v>25037.502392852</v>
      </c>
      <c r="BJ1033" s="70" t="n">
        <f aca="false">IF(BI1033="",0,MAX(0,MIN(1,(IF(CG1033="L1",Parameter!$H$5,IF(CG1033="L23",Parameter!$H$6+Parameter!$H$7,Parameter!$H$5+Parameter!$H$6+Parameter!$H$7))-(BI1033-BD1033))/BD1033)))</f>
        <v>1</v>
      </c>
      <c r="BK1033" s="60" t="str">
        <f aca="false">IF(AJ1033&lt;=0,"",IF(CG1033="Aussen","Aussenlager",IF(CG1033="-","Nicht im Lift",IF(AP1033&gt;=1,"Lift",IF(AP1033&lt;=0,"Aussenlager","teilweise")))))</f>
        <v>Lift</v>
      </c>
      <c r="BL1033" s="60" t="str">
        <f aca="false">IF(AT1033&lt;=0,"",IF(CG1033="Aussen","Aussenlager",IF(CG1033="-","Nicht im Lift",IF(AZ1033&gt;=1,"Lift",IF(AZ1033&lt;=0,"Aussenlager","teilweise")))))</f>
        <v>Lift</v>
      </c>
      <c r="BM1033" s="60" t="str">
        <f aca="false">IF(BD1033&lt;=0,"",IF(CG1033="Aussen","Aussenlager",IF(CG1033="-","Nicht im Lift",IF(BJ1033&gt;=1,"Lift",IF(BJ1033&lt;=0,"Aussenlager","teilweise")))))</f>
        <v>Lift</v>
      </c>
      <c r="BN1033" s="60" t="str">
        <f aca="false">IF(A1033="","",IF(BW1033=1,"Neu; ","")&amp;IF(AND(BW1033=0,BR1033&lt;0),"negativer Bestand (Export "&amp;BR1033&amp;"); ","")&amp;IF(J1033&lt;=0,"Kein Verbrauch; ","")&amp;IF(CR1033&gt;0,"Lift "&amp;W1033&amp;" lt. Liftbericht (Fach "&amp;X1033&amp;" Stk); ",IF(CB1033=1,"Gebinde geschätzt ("&amp;T1033&amp;"); ",IF(CA1033=1,"Lose – Tablare geschätzt; ","")))&amp;IF(H1033&gt;AW1033,"Überbestand "&amp;ROUND(H1033-AW1033,0)&amp;" Stk / CHF "&amp;ROUND((H1033-AW1033)*G1033,0)&amp;"; ","")&amp;IF(AND(CI1033=1,CJ1033&lt;CK1033),"MAX &lt; MB+LG; ","")&amp;IF(AND(CQ1033&gt;0,CP1033*10&gt;CQ1033),"zu hoch für Tablar; ","")&amp;IF(AND(BW1033=0,OR(CI1033=1,AB1033&lt;&gt;"",U1033&lt;&gt;"",V1033&lt;&gt;"",AC1033&lt;&gt;"")),"manuell übersteuert; ","")&amp;IF(AND(CA1033=0,R1033=0),"Gebinde unbekannt / Stellmass fehlt; ","")&amp;IF(AND(CA1033=0,N(V1033)&lt;=0,N(Q1033)&lt;=0),"Menge pro Gebinde fehlt (Ist = 1 Gebinde); ","")&amp;BV1033)</f>
        <v>negativer Bestand (Export -1); </v>
      </c>
      <c r="BO1033" s="60"/>
      <c r="BP1033" s="60"/>
      <c r="BQ1033" s="67"/>
      <c r="BR1033" s="62" t="n">
        <v>-1</v>
      </c>
      <c r="BS1033" s="62" t="n">
        <v>2</v>
      </c>
      <c r="BT1033" s="61" t="n">
        <v>-130.7</v>
      </c>
      <c r="BU1033" s="62" t="n">
        <v>0.002</v>
      </c>
      <c r="BV1033" s="60"/>
      <c r="BW1033" s="65" t="n">
        <v>0</v>
      </c>
      <c r="BX1033" s="65" t="n">
        <v>1033</v>
      </c>
      <c r="BY1033" s="60" t="str">
        <f aca="false">IF(U1033&lt;&gt;"",UPPER(TRIM(U1033)),IF(CB1033=1,UPPER(VLOOKUP(T1033,Parameter!$I$27:$K$29,2,0)),IF(P1033="","LOSE",P1033)))</f>
        <v>S22</v>
      </c>
      <c r="BZ1033" s="62" t="n">
        <f aca="false">IF(BY1033="LOSE",1,IF(N(V1033)&gt;0,V1033,IF(CB1033=1,MAX(1,N(VLOOKUP(T1033,Parameter!$I$27:$K$29,3,0)),H1033,N(N1033)),IF(N(Q1033)&gt;0,Q1033,MAX(1,H1033)))))</f>
        <v>2</v>
      </c>
      <c r="CA1033" s="65" t="n">
        <f aca="false">IF(BY1033="LOSE",1,0)</f>
        <v>0</v>
      </c>
      <c r="CB1033" s="65" t="n">
        <f aca="false">IF(AND(U1033="",OR(P1033="",P1033="LOSE"),T1033&lt;&gt;"",N(S1033)&lt;=0,ISNUMBER(MATCH(T1033,Parameter!$I$27:$I$29,0))),1,0)</f>
        <v>0</v>
      </c>
      <c r="CC1033" s="65" t="n">
        <f aca="false">IF(CR1033&gt;0,INDEX(Parameter!$H$5:$H$7,W1033)/INDEX(Parameter!$E$5:$E$7,W1033),IF(AND(CA1033=0,N(IFERROR(VLOOKUP(BY1033,'Gebinde-Kategorie'!$A$5:$N$45,14,0),0))&gt;0),VLOOKUP(BY1033,'Gebinde-Kategorie'!$A$5:$N$45,14,0)*10+Parameter!$M$23,Parameter!$M$24))</f>
        <v>155</v>
      </c>
      <c r="CD1033" s="60" t="str">
        <f aca="false">IF(AND(Parameter!$B$19="Ja",E1033&lt;&gt;"",ISNUMBER(MATCH(E1033,Parameter!$I$35:$I$52,0))),VLOOKUP(E1033,Parameter!$I$35:$J$52,2,0),IFERROR(VLOOKUP(D1033,Parameter!$A$35:$C$64,2,0),"Nein"))</f>
        <v>2+3</v>
      </c>
      <c r="CE1033" s="64" t="n">
        <f aca="false">IF(CA1033=0,0,IF(N(S1033)&gt;0,S1033,IFERROR(VLOOKUP(D1033,Parameter!$A$35:$C$64,3,0)+0,0)))</f>
        <v>0</v>
      </c>
      <c r="CF1033" s="60" t="n">
        <f aca="false">IF(AB1033&lt;&gt;"",AB1033,AA1033)</f>
        <v>3</v>
      </c>
      <c r="CG1033" s="60" t="str">
        <f aca="false">IF(OR(CF1033=1,CF1033=2,CF1033=3),IF(Parameter!$E$27="Ja","LIFT",IF(CF1033=1,"L1","L23")),IF(CF1033="Aussen","Aussen","-"))</f>
        <v>LIFT</v>
      </c>
      <c r="CH1033" s="71" t="n">
        <f aca="false">IF(N(AC1033)&gt;0,AC1033,0)</f>
        <v>0</v>
      </c>
      <c r="CI1033" s="65" t="n">
        <f aca="false">IF(ISNUMBER(AF1033),1,0)</f>
        <v>0</v>
      </c>
      <c r="CJ1033" s="62" t="n">
        <f aca="false">N(AF1033)</f>
        <v>0</v>
      </c>
      <c r="CK1033" s="62" t="n">
        <f aca="false">N(M1033)+N(N1033)</f>
        <v>1</v>
      </c>
      <c r="CL1033" s="62" t="n">
        <f aca="false">N(M1033)</f>
        <v>0</v>
      </c>
      <c r="CM1033" s="62" t="n">
        <f aca="false">N(N1033)</f>
        <v>1</v>
      </c>
      <c r="CN1033" s="62" t="n">
        <f aca="false">ROUNDUP(H1033/BZ1033,0)</f>
        <v>1</v>
      </c>
      <c r="CO1033" s="62" t="n">
        <f aca="false">ROUNDUP(CJ1033/BZ1033,0)</f>
        <v>0</v>
      </c>
      <c r="CP1033" s="65" t="n">
        <f aca="false">IF(CA1033=1,0,IFERROR(VLOOKUP(BY1033,'Gebinde-Kategorie'!$A$5:$N$45,5,0)+0,0))</f>
        <v>8</v>
      </c>
      <c r="CQ1033" s="65" t="n">
        <f aca="false">IFERROR(IF(OR(CF1033=1,CF1033=2,CF1033=3),N(INDEX(Parameter!$I$5:$I$7,CF1033)),0),0)</f>
        <v>0</v>
      </c>
      <c r="CR1033" s="64" t="n">
        <f aca="false">IF(AND(Parameter!$B$21="Ja",ISNUMBER(W1033),N(X1033)&gt;0),IFERROR(N(INDEX(Parameter!$L$5:$L$7,W1033))*INDEX(Parameter!$E$5:$E$7,W1033)*X1033/SUMIFS($X$7:$X$1843,$W$7:$W$1843,W1033),0),0)</f>
        <v>0</v>
      </c>
      <c r="CS1033" s="62" t="n">
        <f aca="false">IF(AND(OR(CG1033="L1",CG1033="L23",CG1033="LIFT"),H1033&gt;0),CC1033*IF(CR1033&gt;0,CR1033*MAX(1,H1033/X1033),IF(CA1033=1,CE1033,IF(R1033&gt;0,CN1033/R1033,0))/MAX(0.1,N(Parameter!$M$21))),"")</f>
        <v>1.10714285714286</v>
      </c>
      <c r="CT1033" s="64" t="n">
        <f aca="false">IF(CS1033="","",J1033/H1033)</f>
        <v>0.002</v>
      </c>
      <c r="CU1033" s="62" t="n">
        <f aca="false">IF(CS1033="","",H1033*G1033)</f>
        <v>133.9</v>
      </c>
      <c r="CV1033" s="63" t="n">
        <f aca="false">IF(CS1033="","",(CL1033+ROUNDUP(CL1033+MAX(CM1033,2*(J1033/MAX(0.1,N(Einkauf!$C$6))-CL1033)),0))/2)</f>
        <v>0.5</v>
      </c>
      <c r="CW1033" s="62" t="n">
        <f aca="false">IF(CS1033="","",MAX(0,H1033-CV1033)*G1033)</f>
        <v>66.95</v>
      </c>
      <c r="CX1033" s="62" t="n">
        <f aca="false">IF(CS1033="","",CS1033*MAX(0,1-CV1033/H1033))</f>
        <v>0.553571428571429</v>
      </c>
      <c r="CY1033" s="64" t="n">
        <f aca="false">IF(CS1033="","",PERCENTRANK($CS$7:$CS$1843,CS1033)+PERCENTRANK($CU$7:$CU$1843,CU1033)+1-PERCENTRANK($CT$7:$CT$1843,CT1033))</f>
        <v>0.9664</v>
      </c>
      <c r="CZ1033" s="72" t="n">
        <f aca="false">IF(CS1033="","",CHOOSE(MATCH(Einkauf!$C$5,Parameter!$G$23:$G$27,0),CY1033,CS1033,CU1033,-CT1033,CW1033)+ROW()/1000000000)</f>
        <v>0.966401033</v>
      </c>
    </row>
    <row r="1034" customFormat="false" ht="15" hidden="false" customHeight="false" outlineLevel="0" collapsed="false">
      <c r="A1034" s="60" t="s">
        <v>1942</v>
      </c>
      <c r="B1034" s="60" t="s">
        <v>451</v>
      </c>
      <c r="C1034" s="60" t="s">
        <v>206</v>
      </c>
      <c r="D1034" s="60" t="s">
        <v>226</v>
      </c>
      <c r="E1034" s="60" t="s">
        <v>227</v>
      </c>
      <c r="F1034" s="60" t="s">
        <v>260</v>
      </c>
      <c r="G1034" s="61" t="n">
        <v>43.75</v>
      </c>
      <c r="H1034" s="62" t="n">
        <f aca="false">MAX(0,IF(AND(Parameter!$B$21="Ja",ISNUMBER(Y1034)),Y1034,IF(Parameter!$B$20="Jahresanfang 2025 + Export",BS1034+BR1034,BR1034)))</f>
        <v>38</v>
      </c>
      <c r="I1034" s="62" t="n">
        <f aca="false">H1034*G1034</f>
        <v>1662.5</v>
      </c>
      <c r="J1034" s="62" t="n">
        <f aca="false">BU1034*Parameter!$B$18</f>
        <v>0</v>
      </c>
      <c r="K1034" s="63" t="n">
        <v>39.5</v>
      </c>
      <c r="L1034" s="64" t="n">
        <v>0</v>
      </c>
      <c r="M1034" s="62" t="n">
        <v>0</v>
      </c>
      <c r="N1034" s="62" t="n">
        <v>1</v>
      </c>
      <c r="O1034" s="65" t="n">
        <v>28</v>
      </c>
      <c r="P1034" s="60" t="s">
        <v>344</v>
      </c>
      <c r="Q1034" s="62" t="n">
        <v>42</v>
      </c>
      <c r="R1034" s="65" t="n">
        <f aca="false">IF(CA1034=1,0,IFERROR(VLOOKUP(BY1034,'Gebinde-Kategorie'!$A$5:$N$45,13,0)+0,0))</f>
        <v>26</v>
      </c>
      <c r="S1034" s="66"/>
      <c r="T1034" s="67"/>
      <c r="U1034" s="67"/>
      <c r="V1034" s="67"/>
      <c r="W1034" s="60"/>
      <c r="X1034" s="62"/>
      <c r="Y1034" s="62"/>
      <c r="Z1034" s="60" t="n">
        <v>3</v>
      </c>
      <c r="AA1034" s="60" t="n">
        <f aca="false">IF(A1034="","",IF(AND(Parameter!$B$21="Ja",ISNUMBER(W1034)),W1034,IF(AND(Parameter!$E$27="Ja",ISNUMBER(Z1034),CD1034&lt;&gt;"Nein"),Z1034,IF(CD1034="2+3",IF(ISNUMBER(SEARCH("grosser Artikel",BV1034)),2,IFERROR(VLOOKUP(BY1034,Parameter!$F$35:$G$64,2,0),2)),IF(OR(CD1034="Nein",CD1034=""),"-",CD1034)))))</f>
        <v>3</v>
      </c>
      <c r="AB1034" s="67"/>
      <c r="AC1034" s="68"/>
      <c r="AD1034" s="62" t="n">
        <f aca="false">AW1034</f>
        <v>1</v>
      </c>
      <c r="AE1034" s="62" t="n">
        <f aca="false">MAX(AW1034,H1034)</f>
        <v>38</v>
      </c>
      <c r="AF1034" s="69"/>
      <c r="AG1034" s="62" t="n">
        <f aca="false">IF(LEFT(Cockpit!$C$5,1)="A",H1034,IF(Parameter!$E$30="MAX-Bestand",IF(CI1034=1,CJ1034,IF(LEFT(Cockpit!$C$5,1)="B",AM1034,MAX(AM1034,H1034))),ROUNDUP(AK1034,0)))</f>
        <v>38</v>
      </c>
      <c r="AH1034" s="62" t="n">
        <f aca="false">IF(CA1034=1,0,ROUNDUP(AG1034/BZ1034,0))</f>
        <v>1</v>
      </c>
      <c r="AI1034" s="64" t="n">
        <f aca="false">IF(CR1034&gt;0,CR1034*MAX(1,AG1034/X1034),IF(CA1034=1,IF(AG1034&lt;=0,0,CE1034*MAX(1,IF(H1034&gt;0,AG1034/H1034,1))),IF(R1034&gt;0,AH1034/R1034,0))/MAX(0.1,N(Parameter!$M$21)))</f>
        <v>0.0384615384615385</v>
      </c>
      <c r="AJ1034" s="62" t="n">
        <f aca="false">AI1034*CC1034</f>
        <v>5.96153846153846</v>
      </c>
      <c r="AK1034" s="63" t="n">
        <f aca="false">IF(LEFT(Cockpit!$C$5,1)="A",H1034,IF(CI1034=1,(CL1034+CJ1034)/2,IF(LEFT(Cockpit!$C$5,1)="B",(CL1034+AM1034)/2,MAX((CL1034+AM1034)/2,H1034))))</f>
        <v>38</v>
      </c>
      <c r="AL1034" s="62" t="n">
        <f aca="false">AK1034*G1034</f>
        <v>1662.5</v>
      </c>
      <c r="AM1034" s="62" t="n">
        <f aca="false">ROUNDUP(CL1034+MAX(CM1034,2*(J1034/IF(CH1034&gt;0,CH1034,MAX(0.1,N(Cockpit!$C$6)))-CL1034)),0)</f>
        <v>1</v>
      </c>
      <c r="AN1034" s="63" t="n">
        <f aca="false">IF(AJ1034&gt;0,J1034/AJ1034,-1)</f>
        <v>0</v>
      </c>
      <c r="AO1034" s="63" t="n">
        <f aca="false">IF(AND(OR(CG1034="L1",CG1034="L23",CG1034="LIFT"),AJ1034&gt;0),SUMIFS($AJ$7:$AJ$1843,$CG$7:$CG$1843,CG1034,$AN$7:$AN$1843,"&gt;"&amp;AN1034)+SUMIFS($AJ$7:$AJ$1843,$CG$7:$CG$1843,CG1034,$AN$7:$AN$1843,AN1034,$BX$7:$BX$1843,"&lt;="&amp;BX1034),"")</f>
        <v>29042.4415600877</v>
      </c>
      <c r="AP1034" s="70" t="n">
        <f aca="false">IF(AO1034="",0,MAX(0,MIN(1,(IF(CG1034="L1",Parameter!$H$5,IF(CG1034="L23",Parameter!$H$6+Parameter!$H$7,Parameter!$H$5+Parameter!$H$6+Parameter!$H$7))-(AO1034-AJ1034))/AJ1034)))</f>
        <v>1</v>
      </c>
      <c r="AQ1034" s="62" t="n">
        <f aca="false">IF(LEFT(Cockpit!$I$5,1)="A",H1034,IF(Parameter!$E$30="MAX-Bestand",IF(CI1034=1,CJ1034,IF(LEFT(Cockpit!$I$5,1)="B",AW1034,MAX(AW1034,H1034))),ROUNDUP(AU1034,0)))</f>
        <v>38</v>
      </c>
      <c r="AR1034" s="62" t="n">
        <f aca="false">IF(CA1034=1,0,ROUNDUP(AQ1034/BZ1034,0))</f>
        <v>1</v>
      </c>
      <c r="AS1034" s="64" t="n">
        <f aca="false">IF(CR1034&gt;0,CR1034*MAX(1,AQ1034/X1034),IF(CA1034=1,IF(AQ1034&lt;=0,0,CE1034*MAX(1,IF(H1034&gt;0,AQ1034/H1034,1))),IF(R1034&gt;0,AR1034/R1034,0))/MAX(0.1,N(Parameter!$M$21)))</f>
        <v>0.0384615384615385</v>
      </c>
      <c r="AT1034" s="62" t="n">
        <f aca="false">AS1034*CC1034</f>
        <v>5.96153846153846</v>
      </c>
      <c r="AU1034" s="63" t="n">
        <f aca="false">IF(LEFT(Cockpit!$I$5,1)="A",H1034,IF(CI1034=1,(CL1034+CJ1034)/2,IF(LEFT(Cockpit!$I$5,1)="B",(CL1034+AW1034)/2,MAX((CL1034+AW1034)/2,H1034))))</f>
        <v>38</v>
      </c>
      <c r="AV1034" s="62" t="n">
        <f aca="false">AU1034*G1034</f>
        <v>1662.5</v>
      </c>
      <c r="AW1034" s="62" t="n">
        <f aca="false">ROUNDUP(CL1034+MAX(CM1034,2*(J1034/IF(CH1034&gt;0,CH1034,MAX(0.1,N(Cockpit!$I$6)))-CL1034)),0)</f>
        <v>1</v>
      </c>
      <c r="AX1034" s="63" t="n">
        <f aca="false">IF(AT1034&gt;0,J1034/AT1034,-1)</f>
        <v>0</v>
      </c>
      <c r="AY1034" s="63" t="n">
        <f aca="false">IF(AND(OR(CG1034="L1",CG1034="L23",CG1034="LIFT"),AT1034&gt;0),SUMIFS($AT$7:$AT$1843,$CG$7:$CG$1843,CG1034,$AX$7:$AX$1843,"&gt;"&amp;AX1034)+SUMIFS($AT$7:$AT$1843,$CG$7:$CG$1843,CG1034,$AX$7:$AX$1843,AX1034,$BX$7:$BX$1843,"&lt;="&amp;BX1034),"")</f>
        <v>34743.3232600733</v>
      </c>
      <c r="AZ1034" s="70" t="n">
        <f aca="false">IF(AY1034="",0,MAX(0,MIN(1,(IF(CG1034="L1",Parameter!$H$5,IF(CG1034="L23",Parameter!$H$6+Parameter!$H$7,Parameter!$H$5+Parameter!$H$6+Parameter!$H$7))-(AY1034-AT1034))/AT1034)))</f>
        <v>1</v>
      </c>
      <c r="BA1034" s="62" t="n">
        <f aca="false">IF(LEFT(Cockpit!$O$5,1)="A",H1034,IF(Parameter!$E$30="MAX-Bestand",IF(CI1034=1,CJ1034,IF(LEFT(Cockpit!$O$5,1)="B",BG1034,MAX(BG1034,H1034))),ROUNDUP(BE1034,0)))</f>
        <v>1</v>
      </c>
      <c r="BB1034" s="62" t="n">
        <f aca="false">IF(CA1034=1,0,ROUNDUP(BA1034/BZ1034,0))</f>
        <v>1</v>
      </c>
      <c r="BC1034" s="64" t="n">
        <f aca="false">IF(CR1034&gt;0,CR1034*MAX(1,BA1034/X1034),IF(CA1034=1,IF(BA1034&lt;=0,0,CE1034*MAX(1,IF(H1034&gt;0,BA1034/H1034,1))),IF(R1034&gt;0,BB1034/R1034,0))/MAX(0.1,N(Parameter!$M$21)))</f>
        <v>0.0384615384615385</v>
      </c>
      <c r="BD1034" s="62" t="n">
        <f aca="false">BC1034*CC1034</f>
        <v>5.96153846153846</v>
      </c>
      <c r="BE1034" s="63" t="n">
        <f aca="false">IF(LEFT(Cockpit!$O$5,1)="A",H1034,IF(CI1034=1,(CL1034+CJ1034)/2,IF(LEFT(Cockpit!$O$5,1)="B",(CL1034+BG1034)/2,MAX((CL1034+BG1034)/2,H1034))))</f>
        <v>0.5</v>
      </c>
      <c r="BF1034" s="62" t="n">
        <f aca="false">BE1034*G1034</f>
        <v>21.875</v>
      </c>
      <c r="BG1034" s="62" t="n">
        <f aca="false">ROUNDUP(CL1034+MAX(CM1034,2*(J1034/IF(CH1034&gt;0,CH1034,MAX(0.1,N(Cockpit!$O$6)))-CL1034)),0)</f>
        <v>1</v>
      </c>
      <c r="BH1034" s="63" t="n">
        <f aca="false">IF(BD1034&gt;0,J1034/BD1034,-1)</f>
        <v>0</v>
      </c>
      <c r="BI1034" s="63" t="n">
        <f aca="false">IF(AND(OR(CG1034="L1",CG1034="L23",CG1034="LIFT"),BD1034&gt;0),SUMIFS($BD$7:$BD$1843,$CG$7:$CG$1843,CG1034,$BH$7:$BH$1843,"&gt;"&amp;BH1034)+SUMIFS($BD$7:$BD$1843,$CG$7:$CG$1843,CG1034,$BH$7:$BH$1843,BH1034,$BX$7:$BX$1843,"&lt;="&amp;BX1034),"")</f>
        <v>28758.4376125287</v>
      </c>
      <c r="BJ1034" s="70" t="n">
        <f aca="false">IF(BI1034="",0,MAX(0,MIN(1,(IF(CG1034="L1",Parameter!$H$5,IF(CG1034="L23",Parameter!$H$6+Parameter!$H$7,Parameter!$H$5+Parameter!$H$6+Parameter!$H$7))-(BI1034-BD1034))/BD1034)))</f>
        <v>1</v>
      </c>
      <c r="BK1034" s="60" t="str">
        <f aca="false">IF(AJ1034&lt;=0,"",IF(CG1034="Aussen","Aussenlager",IF(CG1034="-","Nicht im Lift",IF(AP1034&gt;=1,"Lift",IF(AP1034&lt;=0,"Aussenlager","teilweise")))))</f>
        <v>Lift</v>
      </c>
      <c r="BL1034" s="60" t="str">
        <f aca="false">IF(AT1034&lt;=0,"",IF(CG1034="Aussen","Aussenlager",IF(CG1034="-","Nicht im Lift",IF(AZ1034&gt;=1,"Lift",IF(AZ1034&lt;=0,"Aussenlager","teilweise")))))</f>
        <v>Lift</v>
      </c>
      <c r="BM1034" s="60" t="str">
        <f aca="false">IF(BD1034&lt;=0,"",IF(CG1034="Aussen","Aussenlager",IF(CG1034="-","Nicht im Lift",IF(BJ1034&gt;=1,"Lift",IF(BJ1034&lt;=0,"Aussenlager","teilweise")))))</f>
        <v>Lift</v>
      </c>
      <c r="BN1034" s="60" t="str">
        <f aca="false">IF(A1034="","",IF(BW1034=1,"Neu; ","")&amp;IF(AND(BW1034=0,BR1034&lt;0),"negativer Bestand (Export "&amp;BR1034&amp;"); ","")&amp;IF(J1034&lt;=0,"Kein Verbrauch; ","")&amp;IF(CR1034&gt;0,"Lift "&amp;W1034&amp;" lt. Liftbericht (Fach "&amp;X1034&amp;" Stk); ",IF(CB1034=1,"Gebinde geschätzt ("&amp;T1034&amp;"); ",IF(CA1034=1,"Lose – Tablare geschätzt; ","")))&amp;IF(H1034&gt;AW1034,"Überbestand "&amp;ROUND(H1034-AW1034,0)&amp;" Stk / CHF "&amp;ROUND((H1034-AW1034)*G1034,0)&amp;"; ","")&amp;IF(AND(CI1034=1,CJ1034&lt;CK1034),"MAX &lt; MB+LG; ","")&amp;IF(AND(CQ1034&gt;0,CP1034*10&gt;CQ1034),"zu hoch für Tablar; ","")&amp;IF(AND(BW1034=0,OR(CI1034=1,AB1034&lt;&gt;"",U1034&lt;&gt;"",V1034&lt;&gt;"",AC1034&lt;&gt;"")),"manuell übersteuert; ","")&amp;IF(AND(CA1034=0,R1034=0),"Gebinde unbekannt / Stellmass fehlt; ","")&amp;IF(AND(CA1034=0,N(V1034)&lt;=0,N(Q1034)&lt;=0),"Menge pro Gebinde fehlt (Ist = 1 Gebinde); ","")&amp;BV1034)</f>
        <v>negativer Bestand (Export -3); Kein Verbrauch; Überbestand 37 Stk / CHF 1619; </v>
      </c>
      <c r="BO1034" s="60"/>
      <c r="BP1034" s="60"/>
      <c r="BQ1034" s="67"/>
      <c r="BR1034" s="62" t="n">
        <v>-3</v>
      </c>
      <c r="BS1034" s="62" t="n">
        <v>41</v>
      </c>
      <c r="BT1034" s="61" t="n">
        <v>-131.25</v>
      </c>
      <c r="BU1034" s="62" t="n">
        <v>0</v>
      </c>
      <c r="BV1034" s="60"/>
      <c r="BW1034" s="65" t="n">
        <v>0</v>
      </c>
      <c r="BX1034" s="65" t="n">
        <v>1034</v>
      </c>
      <c r="BY1034" s="60" t="str">
        <f aca="false">IF(U1034&lt;&gt;"",UPPER(TRIM(U1034)),IF(CB1034=1,UPPER(VLOOKUP(T1034,Parameter!$I$27:$K$29,2,0)),IF(P1034="","LOSE",P1034)))</f>
        <v>S51</v>
      </c>
      <c r="BZ1034" s="62" t="n">
        <f aca="false">IF(BY1034="LOSE",1,IF(N(V1034)&gt;0,V1034,IF(CB1034=1,MAX(1,N(VLOOKUP(T1034,Parameter!$I$27:$K$29,3,0)),H1034,N(N1034)),IF(N(Q1034)&gt;0,Q1034,MAX(1,H1034)))))</f>
        <v>42</v>
      </c>
      <c r="CA1034" s="65" t="n">
        <f aca="false">IF(BY1034="LOSE",1,0)</f>
        <v>0</v>
      </c>
      <c r="CB1034" s="65" t="n">
        <f aca="false">IF(AND(U1034="",OR(P1034="",P1034="LOSE"),T1034&lt;&gt;"",N(S1034)&lt;=0,ISNUMBER(MATCH(T1034,Parameter!$I$27:$I$29,0))),1,0)</f>
        <v>0</v>
      </c>
      <c r="CC1034" s="65" t="n">
        <f aca="false">IF(CR1034&gt;0,INDEX(Parameter!$H$5:$H$7,W1034)/INDEX(Parameter!$E$5:$E$7,W1034),IF(AND(CA1034=0,N(IFERROR(VLOOKUP(BY1034,'Gebinde-Kategorie'!$A$5:$N$45,14,0),0))&gt;0),VLOOKUP(BY1034,'Gebinde-Kategorie'!$A$5:$N$45,14,0)*10+Parameter!$M$23,Parameter!$M$24))</f>
        <v>155</v>
      </c>
      <c r="CD1034" s="60" t="str">
        <f aca="false">IF(AND(Parameter!$B$19="Ja",E1034&lt;&gt;"",ISNUMBER(MATCH(E1034,Parameter!$I$35:$I$52,0))),VLOOKUP(E1034,Parameter!$I$35:$J$52,2,0),IFERROR(VLOOKUP(D1034,Parameter!$A$35:$C$64,2,0),"Nein"))</f>
        <v>2+3</v>
      </c>
      <c r="CE1034" s="64" t="n">
        <f aca="false">IF(CA1034=0,0,IF(N(S1034)&gt;0,S1034,IFERROR(VLOOKUP(D1034,Parameter!$A$35:$C$64,3,0)+0,0)))</f>
        <v>0</v>
      </c>
      <c r="CF1034" s="60" t="n">
        <f aca="false">IF(AB1034&lt;&gt;"",AB1034,AA1034)</f>
        <v>3</v>
      </c>
      <c r="CG1034" s="60" t="str">
        <f aca="false">IF(OR(CF1034=1,CF1034=2,CF1034=3),IF(Parameter!$E$27="Ja","LIFT",IF(CF1034=1,"L1","L23")),IF(CF1034="Aussen","Aussen","-"))</f>
        <v>LIFT</v>
      </c>
      <c r="CH1034" s="71" t="n">
        <f aca="false">IF(N(AC1034)&gt;0,AC1034,0)</f>
        <v>0</v>
      </c>
      <c r="CI1034" s="65" t="n">
        <f aca="false">IF(ISNUMBER(AF1034),1,0)</f>
        <v>0</v>
      </c>
      <c r="CJ1034" s="62" t="n">
        <f aca="false">N(AF1034)</f>
        <v>0</v>
      </c>
      <c r="CK1034" s="62" t="n">
        <f aca="false">N(M1034)+N(N1034)</f>
        <v>1</v>
      </c>
      <c r="CL1034" s="62" t="n">
        <f aca="false">N(M1034)</f>
        <v>0</v>
      </c>
      <c r="CM1034" s="62" t="n">
        <f aca="false">N(N1034)</f>
        <v>1</v>
      </c>
      <c r="CN1034" s="62" t="n">
        <f aca="false">ROUNDUP(H1034/BZ1034,0)</f>
        <v>1</v>
      </c>
      <c r="CO1034" s="62" t="n">
        <f aca="false">ROUNDUP(CJ1034/BZ1034,0)</f>
        <v>0</v>
      </c>
      <c r="CP1034" s="65" t="n">
        <f aca="false">IF(CA1034=1,0,IFERROR(VLOOKUP(BY1034,'Gebinde-Kategorie'!$A$5:$N$45,5,0)+0,0))</f>
        <v>11</v>
      </c>
      <c r="CQ1034" s="65" t="n">
        <f aca="false">IFERROR(IF(OR(CF1034=1,CF1034=2,CF1034=3),N(INDEX(Parameter!$I$5:$I$7,CF1034)),0),0)</f>
        <v>0</v>
      </c>
      <c r="CR1034" s="64" t="n">
        <f aca="false">IF(AND(Parameter!$B$21="Ja",ISNUMBER(W1034),N(X1034)&gt;0),IFERROR(N(INDEX(Parameter!$L$5:$L$7,W1034))*INDEX(Parameter!$E$5:$E$7,W1034)*X1034/SUMIFS($X$7:$X$1843,$W$7:$W$1843,W1034),0),0)</f>
        <v>0</v>
      </c>
      <c r="CS1034" s="62" t="n">
        <f aca="false">IF(AND(OR(CG1034="L1",CG1034="L23",CG1034="LIFT"),H1034&gt;0),CC1034*IF(CR1034&gt;0,CR1034*MAX(1,H1034/X1034),IF(CA1034=1,CE1034,IF(R1034&gt;0,CN1034/R1034,0))/MAX(0.1,N(Parameter!$M$21))),"")</f>
        <v>5.96153846153846</v>
      </c>
      <c r="CT1034" s="64" t="n">
        <f aca="false">IF(CS1034="","",J1034/H1034)</f>
        <v>0</v>
      </c>
      <c r="CU1034" s="62" t="n">
        <f aca="false">IF(CS1034="","",H1034*G1034)</f>
        <v>1662.5</v>
      </c>
      <c r="CV1034" s="63" t="n">
        <f aca="false">IF(CS1034="","",(CL1034+ROUNDUP(CL1034+MAX(CM1034,2*(J1034/MAX(0.1,N(Einkauf!$C$6))-CL1034)),0))/2)</f>
        <v>0.5</v>
      </c>
      <c r="CW1034" s="62" t="n">
        <f aca="false">IF(CS1034="","",MAX(0,H1034-CV1034)*G1034)</f>
        <v>1640.625</v>
      </c>
      <c r="CX1034" s="62" t="n">
        <f aca="false">IF(CS1034="","",CS1034*MAX(0,1-CV1034/H1034))</f>
        <v>5.8830971659919</v>
      </c>
      <c r="CY1034" s="64" t="n">
        <f aca="false">IF(CS1034="","",PERCENTRANK($CS$7:$CS$1843,CS1034)+PERCENTRANK($CU$7:$CU$1843,CU1034)+1-PERCENTRANK($CT$7:$CT$1843,CT1034))</f>
        <v>2.094</v>
      </c>
      <c r="CZ1034" s="72" t="n">
        <f aca="false">IF(CS1034="","",CHOOSE(MATCH(Einkauf!$C$5,Parameter!$G$23:$G$27,0),CY1034,CS1034,CU1034,-CT1034,CW1034)+ROW()/1000000000)</f>
        <v>2.094001034</v>
      </c>
    </row>
    <row r="1035" customFormat="false" ht="15" hidden="false" customHeight="false" outlineLevel="0" collapsed="false">
      <c r="A1035" s="60" t="s">
        <v>1943</v>
      </c>
      <c r="B1035" s="60" t="s">
        <v>1944</v>
      </c>
      <c r="C1035" s="60" t="s">
        <v>206</v>
      </c>
      <c r="D1035" s="60" t="s">
        <v>226</v>
      </c>
      <c r="E1035" s="60" t="s">
        <v>227</v>
      </c>
      <c r="F1035" s="60" t="s">
        <v>260</v>
      </c>
      <c r="G1035" s="61" t="n">
        <v>32.82</v>
      </c>
      <c r="H1035" s="62" t="n">
        <f aca="false">MAX(0,IF(AND(Parameter!$B$21="Ja",ISNUMBER(Y1035)),Y1035,IF(Parameter!$B$20="Jahresanfang 2025 + Export",BS1035+BR1035,BR1035)))</f>
        <v>44</v>
      </c>
      <c r="I1035" s="62" t="n">
        <f aca="false">H1035*G1035</f>
        <v>1444.08</v>
      </c>
      <c r="J1035" s="62" t="n">
        <f aca="false">BU1035*Parameter!$B$18</f>
        <v>24</v>
      </c>
      <c r="K1035" s="63" t="n">
        <v>46.5</v>
      </c>
      <c r="L1035" s="64" t="n">
        <v>0.516129032258065</v>
      </c>
      <c r="M1035" s="62" t="n">
        <v>1</v>
      </c>
      <c r="N1035" s="62" t="n">
        <v>25</v>
      </c>
      <c r="O1035" s="65" t="n">
        <v>28</v>
      </c>
      <c r="P1035" s="60" t="s">
        <v>344</v>
      </c>
      <c r="Q1035" s="62" t="n">
        <v>30</v>
      </c>
      <c r="R1035" s="65" t="n">
        <f aca="false">IF(CA1035=1,0,IFERROR(VLOOKUP(BY1035,'Gebinde-Kategorie'!$A$5:$N$45,13,0)+0,0))</f>
        <v>26</v>
      </c>
      <c r="S1035" s="66"/>
      <c r="T1035" s="67"/>
      <c r="U1035" s="67"/>
      <c r="V1035" s="67"/>
      <c r="W1035" s="60"/>
      <c r="X1035" s="62"/>
      <c r="Y1035" s="62"/>
      <c r="Z1035" s="60" t="n">
        <v>3</v>
      </c>
      <c r="AA1035" s="60" t="n">
        <f aca="false">IF(A1035="","",IF(AND(Parameter!$B$21="Ja",ISNUMBER(W1035)),W1035,IF(AND(Parameter!$E$27="Ja",ISNUMBER(Z1035),CD1035&lt;&gt;"Nein"),Z1035,IF(CD1035="2+3",IF(ISNUMBER(SEARCH("grosser Artikel",BV1035)),2,IFERROR(VLOOKUP(BY1035,Parameter!$F$35:$G$64,2,0),2)),IF(OR(CD1035="Nein",CD1035=""),"-",CD1035)))))</f>
        <v>3</v>
      </c>
      <c r="AB1035" s="67"/>
      <c r="AC1035" s="68"/>
      <c r="AD1035" s="62" t="n">
        <f aca="false">AW1035</f>
        <v>26</v>
      </c>
      <c r="AE1035" s="62" t="n">
        <f aca="false">MAX(AW1035,H1035)</f>
        <v>44</v>
      </c>
      <c r="AF1035" s="69"/>
      <c r="AG1035" s="62" t="n">
        <f aca="false">IF(LEFT(Cockpit!$C$5,1)="A",H1035,IF(Parameter!$E$30="MAX-Bestand",IF(CI1035=1,CJ1035,IF(LEFT(Cockpit!$C$5,1)="B",AM1035,MAX(AM1035,H1035))),ROUNDUP(AK1035,0)))</f>
        <v>44</v>
      </c>
      <c r="AH1035" s="62" t="n">
        <f aca="false">IF(CA1035=1,0,ROUNDUP(AG1035/BZ1035,0))</f>
        <v>2</v>
      </c>
      <c r="AI1035" s="64" t="n">
        <f aca="false">IF(CR1035&gt;0,CR1035*MAX(1,AG1035/X1035),IF(CA1035=1,IF(AG1035&lt;=0,0,CE1035*MAX(1,IF(H1035&gt;0,AG1035/H1035,1))),IF(R1035&gt;0,AH1035/R1035,0))/MAX(0.1,N(Parameter!$M$21)))</f>
        <v>0.0769230769230769</v>
      </c>
      <c r="AJ1035" s="62" t="n">
        <f aca="false">AI1035*CC1035</f>
        <v>11.9230769230769</v>
      </c>
      <c r="AK1035" s="63" t="n">
        <f aca="false">IF(LEFT(Cockpit!$C$5,1)="A",H1035,IF(CI1035=1,(CL1035+CJ1035)/2,IF(LEFT(Cockpit!$C$5,1)="B",(CL1035+AM1035)/2,MAX((CL1035+AM1035)/2,H1035))))</f>
        <v>44</v>
      </c>
      <c r="AL1035" s="62" t="n">
        <f aca="false">AK1035*G1035</f>
        <v>1444.08</v>
      </c>
      <c r="AM1035" s="62" t="n">
        <f aca="false">ROUNDUP(CL1035+MAX(CM1035,2*(J1035/IF(CH1035&gt;0,CH1035,MAX(0.1,N(Cockpit!$C$6)))-CL1035)),0)</f>
        <v>26</v>
      </c>
      <c r="AN1035" s="63" t="n">
        <f aca="false">IF(AJ1035&gt;0,J1035/AJ1035,-1)</f>
        <v>2.01290322580645</v>
      </c>
      <c r="AO1035" s="63" t="n">
        <f aca="false">IF(AND(OR(CG1035="L1",CG1035="L23",CG1035="LIFT"),AJ1035&gt;0),SUMIFS($AJ$7:$AJ$1843,$CG$7:$CG$1843,CG1035,$AN$7:$AN$1843,"&gt;"&amp;AN1035)+SUMIFS($AJ$7:$AJ$1843,$CG$7:$CG$1843,CG1035,$AN$7:$AN$1843,AN1035,$BX$7:$BX$1843,"&lt;="&amp;BX1035),"")</f>
        <v>5811.7152014652</v>
      </c>
      <c r="AP1035" s="70" t="n">
        <f aca="false">IF(AO1035="",0,MAX(0,MIN(1,(IF(CG1035="L1",Parameter!$H$5,IF(CG1035="L23",Parameter!$H$6+Parameter!$H$7,Parameter!$H$5+Parameter!$H$6+Parameter!$H$7))-(AO1035-AJ1035))/AJ1035)))</f>
        <v>1</v>
      </c>
      <c r="AQ1035" s="62" t="n">
        <f aca="false">IF(LEFT(Cockpit!$I$5,1)="A",H1035,IF(Parameter!$E$30="MAX-Bestand",IF(CI1035=1,CJ1035,IF(LEFT(Cockpit!$I$5,1)="B",AW1035,MAX(AW1035,H1035))),ROUNDUP(AU1035,0)))</f>
        <v>44</v>
      </c>
      <c r="AR1035" s="62" t="n">
        <f aca="false">IF(CA1035=1,0,ROUNDUP(AQ1035/BZ1035,0))</f>
        <v>2</v>
      </c>
      <c r="AS1035" s="64" t="n">
        <f aca="false">IF(CR1035&gt;0,CR1035*MAX(1,AQ1035/X1035),IF(CA1035=1,IF(AQ1035&lt;=0,0,CE1035*MAX(1,IF(H1035&gt;0,AQ1035/H1035,1))),IF(R1035&gt;0,AR1035/R1035,0))/MAX(0.1,N(Parameter!$M$21)))</f>
        <v>0.0769230769230769</v>
      </c>
      <c r="AT1035" s="62" t="n">
        <f aca="false">AS1035*CC1035</f>
        <v>11.9230769230769</v>
      </c>
      <c r="AU1035" s="63" t="n">
        <f aca="false">IF(LEFT(Cockpit!$I$5,1)="A",H1035,IF(CI1035=1,(CL1035+CJ1035)/2,IF(LEFT(Cockpit!$I$5,1)="B",(CL1035+AW1035)/2,MAX((CL1035+AW1035)/2,H1035))))</f>
        <v>44</v>
      </c>
      <c r="AV1035" s="62" t="n">
        <f aca="false">AU1035*G1035</f>
        <v>1444.08</v>
      </c>
      <c r="AW1035" s="62" t="n">
        <f aca="false">ROUNDUP(CL1035+MAX(CM1035,2*(J1035/IF(CH1035&gt;0,CH1035,MAX(0.1,N(Cockpit!$I$6)))-CL1035)),0)</f>
        <v>26</v>
      </c>
      <c r="AX1035" s="63" t="n">
        <f aca="false">IF(AT1035&gt;0,J1035/AT1035,-1)</f>
        <v>2.01290322580645</v>
      </c>
      <c r="AY1035" s="63" t="n">
        <f aca="false">IF(AND(OR(CG1035="L1",CG1035="L23",CG1035="LIFT"),AT1035&gt;0),SUMIFS($AT$7:$AT$1843,$CG$7:$CG$1843,CG1035,$AX$7:$AX$1843,"&gt;"&amp;AX1035)+SUMIFS($AT$7:$AT$1843,$CG$7:$CG$1843,CG1035,$AX$7:$AX$1843,AX1035,$BX$7:$BX$1843,"&lt;="&amp;BX1035),"")</f>
        <v>7179.65476190476</v>
      </c>
      <c r="AZ1035" s="70" t="n">
        <f aca="false">IF(AY1035="",0,MAX(0,MIN(1,(IF(CG1035="L1",Parameter!$H$5,IF(CG1035="L23",Parameter!$H$6+Parameter!$H$7,Parameter!$H$5+Parameter!$H$6+Parameter!$H$7))-(AY1035-AT1035))/AT1035)))</f>
        <v>1</v>
      </c>
      <c r="BA1035" s="62" t="n">
        <f aca="false">IF(LEFT(Cockpit!$O$5,1)="A",H1035,IF(Parameter!$E$30="MAX-Bestand",IF(CI1035=1,CJ1035,IF(LEFT(Cockpit!$O$5,1)="B",BG1035,MAX(BG1035,H1035))),ROUNDUP(BE1035,0)))</f>
        <v>14</v>
      </c>
      <c r="BB1035" s="62" t="n">
        <f aca="false">IF(CA1035=1,0,ROUNDUP(BA1035/BZ1035,0))</f>
        <v>1</v>
      </c>
      <c r="BC1035" s="64" t="n">
        <f aca="false">IF(CR1035&gt;0,CR1035*MAX(1,BA1035/X1035),IF(CA1035=1,IF(BA1035&lt;=0,0,CE1035*MAX(1,IF(H1035&gt;0,BA1035/H1035,1))),IF(R1035&gt;0,BB1035/R1035,0))/MAX(0.1,N(Parameter!$M$21)))</f>
        <v>0.0384615384615385</v>
      </c>
      <c r="BD1035" s="62" t="n">
        <f aca="false">BC1035*CC1035</f>
        <v>5.96153846153846</v>
      </c>
      <c r="BE1035" s="63" t="n">
        <f aca="false">IF(LEFT(Cockpit!$O$5,1)="A",H1035,IF(CI1035=1,(CL1035+CJ1035)/2,IF(LEFT(Cockpit!$O$5,1)="B",(CL1035+BG1035)/2,MAX((CL1035+BG1035)/2,H1035))))</f>
        <v>13.5</v>
      </c>
      <c r="BF1035" s="62" t="n">
        <f aca="false">BE1035*G1035</f>
        <v>443.07</v>
      </c>
      <c r="BG1035" s="62" t="n">
        <f aca="false">ROUNDUP(CL1035+MAX(CM1035,2*(J1035/IF(CH1035&gt;0,CH1035,MAX(0.1,N(Cockpit!$O$6)))-CL1035)),0)</f>
        <v>26</v>
      </c>
      <c r="BH1035" s="63" t="n">
        <f aca="false">IF(BD1035&gt;0,J1035/BD1035,-1)</f>
        <v>4.0258064516129</v>
      </c>
      <c r="BI1035" s="63" t="n">
        <f aca="false">IF(AND(OR(CG1035="L1",CG1035="L23",CG1035="LIFT"),BD1035&gt;0),SUMIFS($BD$7:$BD$1843,$CG$7:$CG$1843,CG1035,$BH$7:$BH$1843,"&gt;"&amp;BH1035)+SUMIFS($BD$7:$BD$1843,$CG$7:$CG$1843,CG1035,$BH$7:$BH$1843,BH1035,$BX$7:$BX$1843,"&lt;="&amp;BX1035),"")</f>
        <v>4083.76648351648</v>
      </c>
      <c r="BJ1035" s="70" t="n">
        <f aca="false">IF(BI1035="",0,MAX(0,MIN(1,(IF(CG1035="L1",Parameter!$H$5,IF(CG1035="L23",Parameter!$H$6+Parameter!$H$7,Parameter!$H$5+Parameter!$H$6+Parameter!$H$7))-(BI1035-BD1035))/BD1035)))</f>
        <v>1</v>
      </c>
      <c r="BK1035" s="60" t="str">
        <f aca="false">IF(AJ1035&lt;=0,"",IF(CG1035="Aussen","Aussenlager",IF(CG1035="-","Nicht im Lift",IF(AP1035&gt;=1,"Lift",IF(AP1035&lt;=0,"Aussenlager","teilweise")))))</f>
        <v>Lift</v>
      </c>
      <c r="BL1035" s="60" t="str">
        <f aca="false">IF(AT1035&lt;=0,"",IF(CG1035="Aussen","Aussenlager",IF(CG1035="-","Nicht im Lift",IF(AZ1035&gt;=1,"Lift",IF(AZ1035&lt;=0,"Aussenlager","teilweise")))))</f>
        <v>Lift</v>
      </c>
      <c r="BM1035" s="60" t="str">
        <f aca="false">IF(BD1035&lt;=0,"",IF(CG1035="Aussen","Aussenlager",IF(CG1035="-","Nicht im Lift",IF(BJ1035&gt;=1,"Lift",IF(BJ1035&lt;=0,"Aussenlager","teilweise")))))</f>
        <v>Lift</v>
      </c>
      <c r="BN1035" s="60" t="str">
        <f aca="false">IF(A1035="","",IF(BW1035=1,"Neu; ","")&amp;IF(AND(BW1035=0,BR1035&lt;0),"negativer Bestand (Export "&amp;BR1035&amp;"); ","")&amp;IF(J1035&lt;=0,"Kein Verbrauch; ","")&amp;IF(CR1035&gt;0,"Lift "&amp;W1035&amp;" lt. Liftbericht (Fach "&amp;X1035&amp;" Stk); ",IF(CB1035=1,"Gebinde geschätzt ("&amp;T1035&amp;"); ",IF(CA1035=1,"Lose – Tablare geschätzt; ","")))&amp;IF(H1035&gt;AW1035,"Überbestand "&amp;ROUND(H1035-AW1035,0)&amp;" Stk / CHF "&amp;ROUND((H1035-AW1035)*G1035,0)&amp;"; ","")&amp;IF(AND(CI1035=1,CJ1035&lt;CK1035),"MAX &lt; MB+LG; ","")&amp;IF(AND(CQ1035&gt;0,CP1035*10&gt;CQ1035),"zu hoch für Tablar; ","")&amp;IF(AND(BW1035=0,OR(CI1035=1,AB1035&lt;&gt;"",U1035&lt;&gt;"",V1035&lt;&gt;"",AC1035&lt;&gt;"")),"manuell übersteuert; ","")&amp;IF(AND(CA1035=0,R1035=0),"Gebinde unbekannt / Stellmass fehlt; ","")&amp;IF(AND(CA1035=0,N(V1035)&lt;=0,N(Q1035)&lt;=0),"Menge pro Gebinde fehlt (Ist = 1 Gebinde); ","")&amp;BV1035)</f>
        <v>negativer Bestand (Export -4); Überbestand 18 Stk / CHF 591; Neu</v>
      </c>
      <c r="BO1035" s="60"/>
      <c r="BP1035" s="60"/>
      <c r="BQ1035" s="67"/>
      <c r="BR1035" s="62" t="n">
        <v>-4</v>
      </c>
      <c r="BS1035" s="62" t="n">
        <v>48</v>
      </c>
      <c r="BT1035" s="61" t="n">
        <v>-131.28</v>
      </c>
      <c r="BU1035" s="62" t="n">
        <v>24</v>
      </c>
      <c r="BV1035" s="60" t="s">
        <v>668</v>
      </c>
      <c r="BW1035" s="65" t="n">
        <v>0</v>
      </c>
      <c r="BX1035" s="65" t="n">
        <v>1035</v>
      </c>
      <c r="BY1035" s="60" t="str">
        <f aca="false">IF(U1035&lt;&gt;"",UPPER(TRIM(U1035)),IF(CB1035=1,UPPER(VLOOKUP(T1035,Parameter!$I$27:$K$29,2,0)),IF(P1035="","LOSE",P1035)))</f>
        <v>S51</v>
      </c>
      <c r="BZ1035" s="62" t="n">
        <f aca="false">IF(BY1035="LOSE",1,IF(N(V1035)&gt;0,V1035,IF(CB1035=1,MAX(1,N(VLOOKUP(T1035,Parameter!$I$27:$K$29,3,0)),H1035,N(N1035)),IF(N(Q1035)&gt;0,Q1035,MAX(1,H1035)))))</f>
        <v>30</v>
      </c>
      <c r="CA1035" s="65" t="n">
        <f aca="false">IF(BY1035="LOSE",1,0)</f>
        <v>0</v>
      </c>
      <c r="CB1035" s="65" t="n">
        <f aca="false">IF(AND(U1035="",OR(P1035="",P1035="LOSE"),T1035&lt;&gt;"",N(S1035)&lt;=0,ISNUMBER(MATCH(T1035,Parameter!$I$27:$I$29,0))),1,0)</f>
        <v>0</v>
      </c>
      <c r="CC1035" s="65" t="n">
        <f aca="false">IF(CR1035&gt;0,INDEX(Parameter!$H$5:$H$7,W1035)/INDEX(Parameter!$E$5:$E$7,W1035),IF(AND(CA1035=0,N(IFERROR(VLOOKUP(BY1035,'Gebinde-Kategorie'!$A$5:$N$45,14,0),0))&gt;0),VLOOKUP(BY1035,'Gebinde-Kategorie'!$A$5:$N$45,14,0)*10+Parameter!$M$23,Parameter!$M$24))</f>
        <v>155</v>
      </c>
      <c r="CD1035" s="60" t="str">
        <f aca="false">IF(AND(Parameter!$B$19="Ja",E1035&lt;&gt;"",ISNUMBER(MATCH(E1035,Parameter!$I$35:$I$52,0))),VLOOKUP(E1035,Parameter!$I$35:$J$52,2,0),IFERROR(VLOOKUP(D1035,Parameter!$A$35:$C$64,2,0),"Nein"))</f>
        <v>2+3</v>
      </c>
      <c r="CE1035" s="64" t="n">
        <f aca="false">IF(CA1035=0,0,IF(N(S1035)&gt;0,S1035,IFERROR(VLOOKUP(D1035,Parameter!$A$35:$C$64,3,0)+0,0)))</f>
        <v>0</v>
      </c>
      <c r="CF1035" s="60" t="n">
        <f aca="false">IF(AB1035&lt;&gt;"",AB1035,AA1035)</f>
        <v>3</v>
      </c>
      <c r="CG1035" s="60" t="str">
        <f aca="false">IF(OR(CF1035=1,CF1035=2,CF1035=3),IF(Parameter!$E$27="Ja","LIFT",IF(CF1035=1,"L1","L23")),IF(CF1035="Aussen","Aussen","-"))</f>
        <v>LIFT</v>
      </c>
      <c r="CH1035" s="71" t="n">
        <f aca="false">IF(N(AC1035)&gt;0,AC1035,0)</f>
        <v>0</v>
      </c>
      <c r="CI1035" s="65" t="n">
        <f aca="false">IF(ISNUMBER(AF1035),1,0)</f>
        <v>0</v>
      </c>
      <c r="CJ1035" s="62" t="n">
        <f aca="false">N(AF1035)</f>
        <v>0</v>
      </c>
      <c r="CK1035" s="62" t="n">
        <f aca="false">N(M1035)+N(N1035)</f>
        <v>26</v>
      </c>
      <c r="CL1035" s="62" t="n">
        <f aca="false">N(M1035)</f>
        <v>1</v>
      </c>
      <c r="CM1035" s="62" t="n">
        <f aca="false">N(N1035)</f>
        <v>25</v>
      </c>
      <c r="CN1035" s="62" t="n">
        <f aca="false">ROUNDUP(H1035/BZ1035,0)</f>
        <v>2</v>
      </c>
      <c r="CO1035" s="62" t="n">
        <f aca="false">ROUNDUP(CJ1035/BZ1035,0)</f>
        <v>0</v>
      </c>
      <c r="CP1035" s="65" t="n">
        <f aca="false">IF(CA1035=1,0,IFERROR(VLOOKUP(BY1035,'Gebinde-Kategorie'!$A$5:$N$45,5,0)+0,0))</f>
        <v>11</v>
      </c>
      <c r="CQ1035" s="65" t="n">
        <f aca="false">IFERROR(IF(OR(CF1035=1,CF1035=2,CF1035=3),N(INDEX(Parameter!$I$5:$I$7,CF1035)),0),0)</f>
        <v>0</v>
      </c>
      <c r="CR1035" s="64" t="n">
        <f aca="false">IF(AND(Parameter!$B$21="Ja",ISNUMBER(W1035),N(X1035)&gt;0),IFERROR(N(INDEX(Parameter!$L$5:$L$7,W1035))*INDEX(Parameter!$E$5:$E$7,W1035)*X1035/SUMIFS($X$7:$X$1843,$W$7:$W$1843,W1035),0),0)</f>
        <v>0</v>
      </c>
      <c r="CS1035" s="62" t="n">
        <f aca="false">IF(AND(OR(CG1035="L1",CG1035="L23",CG1035="LIFT"),H1035&gt;0),CC1035*IF(CR1035&gt;0,CR1035*MAX(1,H1035/X1035),IF(CA1035=1,CE1035,IF(R1035&gt;0,CN1035/R1035,0))/MAX(0.1,N(Parameter!$M$21))),"")</f>
        <v>11.9230769230769</v>
      </c>
      <c r="CT1035" s="64" t="n">
        <f aca="false">IF(CS1035="","",J1035/H1035)</f>
        <v>0.545454545454545</v>
      </c>
      <c r="CU1035" s="62" t="n">
        <f aca="false">IF(CS1035="","",H1035*G1035)</f>
        <v>1444.08</v>
      </c>
      <c r="CV1035" s="63" t="n">
        <f aca="false">IF(CS1035="","",(CL1035+ROUNDUP(CL1035+MAX(CM1035,2*(J1035/MAX(0.1,N(Einkauf!$C$6))-CL1035)),0))/2)</f>
        <v>13.5</v>
      </c>
      <c r="CW1035" s="62" t="n">
        <f aca="false">IF(CS1035="","",MAX(0,H1035-CV1035)*G1035)</f>
        <v>1001.01</v>
      </c>
      <c r="CX1035" s="62" t="n">
        <f aca="false">IF(CS1035="","",CS1035*MAX(0,1-CV1035/H1035))</f>
        <v>8.26486013986014</v>
      </c>
      <c r="CY1035" s="64" t="n">
        <f aca="false">IF(CS1035="","",PERCENTRANK($CS$7:$CS$1843,CS1035)+PERCENTRANK($CU$7:$CU$1843,CU1035)+1-PERCENTRANK($CT$7:$CT$1843,CT1035))</f>
        <v>1.781</v>
      </c>
      <c r="CZ1035" s="72" t="n">
        <f aca="false">IF(CS1035="","",CHOOSE(MATCH(Einkauf!$C$5,Parameter!$G$23:$G$27,0),CY1035,CS1035,CU1035,-CT1035,CW1035)+ROW()/1000000000)</f>
        <v>1.781001035</v>
      </c>
    </row>
    <row r="1036" customFormat="false" ht="15" hidden="false" customHeight="false" outlineLevel="0" collapsed="false">
      <c r="A1036" s="60" t="s">
        <v>1945</v>
      </c>
      <c r="B1036" s="60" t="s">
        <v>1828</v>
      </c>
      <c r="C1036" s="60" t="s">
        <v>206</v>
      </c>
      <c r="D1036" s="60" t="s">
        <v>226</v>
      </c>
      <c r="E1036" s="60" t="s">
        <v>227</v>
      </c>
      <c r="F1036" s="60" t="s">
        <v>260</v>
      </c>
      <c r="G1036" s="61" t="n">
        <v>30.34</v>
      </c>
      <c r="H1036" s="62" t="n">
        <f aca="false">MAX(0,IF(AND(Parameter!$B$21="Ja",ISNUMBER(Y1036)),Y1036,IF(Parameter!$B$20="Jahresanfang 2025 + Export",BS1036+BR1036,BR1036)))</f>
        <v>6</v>
      </c>
      <c r="I1036" s="62" t="n">
        <f aca="false">H1036*G1036</f>
        <v>182.04</v>
      </c>
      <c r="J1036" s="62" t="n">
        <f aca="false">BU1036*Parameter!$B$18</f>
        <v>2</v>
      </c>
      <c r="K1036" s="63" t="n">
        <v>9</v>
      </c>
      <c r="L1036" s="64" t="n">
        <v>0.222222222222222</v>
      </c>
      <c r="M1036" s="62" t="n">
        <v>0</v>
      </c>
      <c r="N1036" s="62" t="n">
        <v>1</v>
      </c>
      <c r="O1036" s="65" t="n">
        <v>19</v>
      </c>
      <c r="P1036" s="60" t="s">
        <v>443</v>
      </c>
      <c r="Q1036" s="62" t="n">
        <v>16</v>
      </c>
      <c r="R1036" s="65" t="n">
        <f aca="false">IF(CA1036=1,0,IFERROR(VLOOKUP(BY1036,'Gebinde-Kategorie'!$A$5:$N$45,13,0)+0,0))</f>
        <v>280</v>
      </c>
      <c r="S1036" s="66"/>
      <c r="T1036" s="67"/>
      <c r="U1036" s="67"/>
      <c r="V1036" s="67"/>
      <c r="W1036" s="60"/>
      <c r="X1036" s="62"/>
      <c r="Y1036" s="62"/>
      <c r="Z1036" s="60" t="n">
        <v>1</v>
      </c>
      <c r="AA1036" s="60" t="n">
        <f aca="false">IF(A1036="","",IF(AND(Parameter!$B$21="Ja",ISNUMBER(W1036)),W1036,IF(AND(Parameter!$E$27="Ja",ISNUMBER(Z1036),CD1036&lt;&gt;"Nein"),Z1036,IF(CD1036="2+3",IF(ISNUMBER(SEARCH("grosser Artikel",BV1036)),2,IFERROR(VLOOKUP(BY1036,Parameter!$F$35:$G$64,2,0),2)),IF(OR(CD1036="Nein",CD1036=""),"-",CD1036)))))</f>
        <v>1</v>
      </c>
      <c r="AB1036" s="67"/>
      <c r="AC1036" s="68"/>
      <c r="AD1036" s="62" t="n">
        <f aca="false">AW1036</f>
        <v>2</v>
      </c>
      <c r="AE1036" s="62" t="n">
        <f aca="false">MAX(AW1036,H1036)</f>
        <v>6</v>
      </c>
      <c r="AF1036" s="69"/>
      <c r="AG1036" s="62" t="n">
        <f aca="false">IF(LEFT(Cockpit!$C$5,1)="A",H1036,IF(Parameter!$E$30="MAX-Bestand",IF(CI1036=1,CJ1036,IF(LEFT(Cockpit!$C$5,1)="B",AM1036,MAX(AM1036,H1036))),ROUNDUP(AK1036,0)))</f>
        <v>6</v>
      </c>
      <c r="AH1036" s="62" t="n">
        <f aca="false">IF(CA1036=1,0,ROUNDUP(AG1036/BZ1036,0))</f>
        <v>1</v>
      </c>
      <c r="AI1036" s="64" t="n">
        <f aca="false">IF(CR1036&gt;0,CR1036*MAX(1,AG1036/X1036),IF(CA1036=1,IF(AG1036&lt;=0,0,CE1036*MAX(1,IF(H1036&gt;0,AG1036/H1036,1))),IF(R1036&gt;0,AH1036/R1036,0))/MAX(0.1,N(Parameter!$M$21)))</f>
        <v>0.00357142857142857</v>
      </c>
      <c r="AJ1036" s="62" t="n">
        <f aca="false">AI1036*CC1036</f>
        <v>0.553571428571429</v>
      </c>
      <c r="AK1036" s="63" t="n">
        <f aca="false">IF(LEFT(Cockpit!$C$5,1)="A",H1036,IF(CI1036=1,(CL1036+CJ1036)/2,IF(LEFT(Cockpit!$C$5,1)="B",(CL1036+AM1036)/2,MAX((CL1036+AM1036)/2,H1036))))</f>
        <v>6</v>
      </c>
      <c r="AL1036" s="62" t="n">
        <f aca="false">AK1036*G1036</f>
        <v>182.04</v>
      </c>
      <c r="AM1036" s="62" t="n">
        <f aca="false">ROUNDUP(CL1036+MAX(CM1036,2*(J1036/IF(CH1036&gt;0,CH1036,MAX(0.1,N(Cockpit!$C$6)))-CL1036)),0)</f>
        <v>2</v>
      </c>
      <c r="AN1036" s="63" t="n">
        <f aca="false">IF(AJ1036&gt;0,J1036/AJ1036,-1)</f>
        <v>3.61290322580645</v>
      </c>
      <c r="AO1036" s="63" t="n">
        <f aca="false">IF(AND(OR(CG1036="L1",CG1036="L23",CG1036="LIFT"),AJ1036&gt;0),SUMIFS($AJ$7:$AJ$1843,$CG$7:$CG$1843,CG1036,$AN$7:$AN$1843,"&gt;"&amp;AN1036)+SUMIFS($AJ$7:$AJ$1843,$CG$7:$CG$1843,CG1036,$AN$7:$AN$1843,AN1036,$BX$7:$BX$1843,"&lt;="&amp;BX1036),"")</f>
        <v>4831.74908424908</v>
      </c>
      <c r="AP1036" s="70" t="n">
        <f aca="false">IF(AO1036="",0,MAX(0,MIN(1,(IF(CG1036="L1",Parameter!$H$5,IF(CG1036="L23",Parameter!$H$6+Parameter!$H$7,Parameter!$H$5+Parameter!$H$6+Parameter!$H$7))-(AO1036-AJ1036))/AJ1036)))</f>
        <v>1</v>
      </c>
      <c r="AQ1036" s="62" t="n">
        <f aca="false">IF(LEFT(Cockpit!$I$5,1)="A",H1036,IF(Parameter!$E$30="MAX-Bestand",IF(CI1036=1,CJ1036,IF(LEFT(Cockpit!$I$5,1)="B",AW1036,MAX(AW1036,H1036))),ROUNDUP(AU1036,0)))</f>
        <v>6</v>
      </c>
      <c r="AR1036" s="62" t="n">
        <f aca="false">IF(CA1036=1,0,ROUNDUP(AQ1036/BZ1036,0))</f>
        <v>1</v>
      </c>
      <c r="AS1036" s="64" t="n">
        <f aca="false">IF(CR1036&gt;0,CR1036*MAX(1,AQ1036/X1036),IF(CA1036=1,IF(AQ1036&lt;=0,0,CE1036*MAX(1,IF(H1036&gt;0,AQ1036/H1036,1))),IF(R1036&gt;0,AR1036/R1036,0))/MAX(0.1,N(Parameter!$M$21)))</f>
        <v>0.00357142857142857</v>
      </c>
      <c r="AT1036" s="62" t="n">
        <f aca="false">AS1036*CC1036</f>
        <v>0.553571428571429</v>
      </c>
      <c r="AU1036" s="63" t="n">
        <f aca="false">IF(LEFT(Cockpit!$I$5,1)="A",H1036,IF(CI1036=1,(CL1036+CJ1036)/2,IF(LEFT(Cockpit!$I$5,1)="B",(CL1036+AW1036)/2,MAX((CL1036+AW1036)/2,H1036))))</f>
        <v>6</v>
      </c>
      <c r="AV1036" s="62" t="n">
        <f aca="false">AU1036*G1036</f>
        <v>182.04</v>
      </c>
      <c r="AW1036" s="62" t="n">
        <f aca="false">ROUNDUP(CL1036+MAX(CM1036,2*(J1036/IF(CH1036&gt;0,CH1036,MAX(0.1,N(Cockpit!$I$6)))-CL1036)),0)</f>
        <v>2</v>
      </c>
      <c r="AX1036" s="63" t="n">
        <f aca="false">IF(AT1036&gt;0,J1036/AT1036,-1)</f>
        <v>3.61290322580645</v>
      </c>
      <c r="AY1036" s="63" t="n">
        <f aca="false">IF(AND(OR(CG1036="L1",CG1036="L23",CG1036="LIFT"),AT1036&gt;0),SUMIFS($AT$7:$AT$1843,$CG$7:$CG$1843,CG1036,$AX$7:$AX$1843,"&gt;"&amp;AX1036)+SUMIFS($AT$7:$AT$1843,$CG$7:$CG$1843,CG1036,$AX$7:$AX$1843,AX1036,$BX$7:$BX$1843,"&lt;="&amp;BX1036),"")</f>
        <v>5409.33608058608</v>
      </c>
      <c r="AZ1036" s="70" t="n">
        <f aca="false">IF(AY1036="",0,MAX(0,MIN(1,(IF(CG1036="L1",Parameter!$H$5,IF(CG1036="L23",Parameter!$H$6+Parameter!$H$7,Parameter!$H$5+Parameter!$H$6+Parameter!$H$7))-(AY1036-AT1036))/AT1036)))</f>
        <v>1</v>
      </c>
      <c r="BA1036" s="62" t="n">
        <f aca="false">IF(LEFT(Cockpit!$O$5,1)="A",H1036,IF(Parameter!$E$30="MAX-Bestand",IF(CI1036=1,CJ1036,IF(LEFT(Cockpit!$O$5,1)="B",BG1036,MAX(BG1036,H1036))),ROUNDUP(BE1036,0)))</f>
        <v>1</v>
      </c>
      <c r="BB1036" s="62" t="n">
        <f aca="false">IF(CA1036=1,0,ROUNDUP(BA1036/BZ1036,0))</f>
        <v>1</v>
      </c>
      <c r="BC1036" s="64" t="n">
        <f aca="false">IF(CR1036&gt;0,CR1036*MAX(1,BA1036/X1036),IF(CA1036=1,IF(BA1036&lt;=0,0,CE1036*MAX(1,IF(H1036&gt;0,BA1036/H1036,1))),IF(R1036&gt;0,BB1036/R1036,0))/MAX(0.1,N(Parameter!$M$21)))</f>
        <v>0.00357142857142857</v>
      </c>
      <c r="BD1036" s="62" t="n">
        <f aca="false">BC1036*CC1036</f>
        <v>0.553571428571429</v>
      </c>
      <c r="BE1036" s="63" t="n">
        <f aca="false">IF(LEFT(Cockpit!$O$5,1)="A",H1036,IF(CI1036=1,(CL1036+CJ1036)/2,IF(LEFT(Cockpit!$O$5,1)="B",(CL1036+BG1036)/2,MAX((CL1036+BG1036)/2,H1036))))</f>
        <v>0.5</v>
      </c>
      <c r="BF1036" s="62" t="n">
        <f aca="false">BE1036*G1036</f>
        <v>15.17</v>
      </c>
      <c r="BG1036" s="62" t="n">
        <f aca="false">ROUNDUP(CL1036+MAX(CM1036,2*(J1036/IF(CH1036&gt;0,CH1036,MAX(0.1,N(Cockpit!$O$6)))-CL1036)),0)</f>
        <v>1</v>
      </c>
      <c r="BH1036" s="63" t="n">
        <f aca="false">IF(BD1036&gt;0,J1036/BD1036,-1)</f>
        <v>3.61290322580645</v>
      </c>
      <c r="BI1036" s="63" t="n">
        <f aca="false">IF(AND(OR(CG1036="L1",CG1036="L23",CG1036="LIFT"),BD1036&gt;0),SUMIFS($BD$7:$BD$1843,$CG$7:$CG$1843,CG1036,$BH$7:$BH$1843,"&gt;"&amp;BH1036)+SUMIFS($BD$7:$BD$1843,$CG$7:$CG$1843,CG1036,$BH$7:$BH$1843,BH1036,$BX$7:$BX$1843,"&lt;="&amp;BX1036),"")</f>
        <v>4423.83287545788</v>
      </c>
      <c r="BJ1036" s="70" t="n">
        <f aca="false">IF(BI1036="",0,MAX(0,MIN(1,(IF(CG1036="L1",Parameter!$H$5,IF(CG1036="L23",Parameter!$H$6+Parameter!$H$7,Parameter!$H$5+Parameter!$H$6+Parameter!$H$7))-(BI1036-BD1036))/BD1036)))</f>
        <v>1</v>
      </c>
      <c r="BK1036" s="60" t="str">
        <f aca="false">IF(AJ1036&lt;=0,"",IF(CG1036="Aussen","Aussenlager",IF(CG1036="-","Nicht im Lift",IF(AP1036&gt;=1,"Lift",IF(AP1036&lt;=0,"Aussenlager","teilweise")))))</f>
        <v>Lift</v>
      </c>
      <c r="BL1036" s="60" t="str">
        <f aca="false">IF(AT1036&lt;=0,"",IF(CG1036="Aussen","Aussenlager",IF(CG1036="-","Nicht im Lift",IF(AZ1036&gt;=1,"Lift",IF(AZ1036&lt;=0,"Aussenlager","teilweise")))))</f>
        <v>Lift</v>
      </c>
      <c r="BM1036" s="60" t="str">
        <f aca="false">IF(BD1036&lt;=0,"",IF(CG1036="Aussen","Aussenlager",IF(CG1036="-","Nicht im Lift",IF(BJ1036&gt;=1,"Lift",IF(BJ1036&lt;=0,"Aussenlager","teilweise")))))</f>
        <v>Lift</v>
      </c>
      <c r="BN1036" s="60" t="str">
        <f aca="false">IF(A1036="","",IF(BW1036=1,"Neu; ","")&amp;IF(AND(BW1036=0,BR1036&lt;0),"negativer Bestand (Export "&amp;BR1036&amp;"); ","")&amp;IF(J1036&lt;=0,"Kein Verbrauch; ","")&amp;IF(CR1036&gt;0,"Lift "&amp;W1036&amp;" lt. Liftbericht (Fach "&amp;X1036&amp;" Stk); ",IF(CB1036=1,"Gebinde geschätzt ("&amp;T1036&amp;"); ",IF(CA1036=1,"Lose – Tablare geschätzt; ","")))&amp;IF(H1036&gt;AW1036,"Überbestand "&amp;ROUND(H1036-AW1036,0)&amp;" Stk / CHF "&amp;ROUND((H1036-AW1036)*G1036,0)&amp;"; ","")&amp;IF(AND(CI1036=1,CJ1036&lt;CK1036),"MAX &lt; MB+LG; ","")&amp;IF(AND(CQ1036&gt;0,CP1036*10&gt;CQ1036),"zu hoch für Tablar; ","")&amp;IF(AND(BW1036=0,OR(CI1036=1,AB1036&lt;&gt;"",U1036&lt;&gt;"",V1036&lt;&gt;"",AC1036&lt;&gt;"")),"manuell übersteuert; ","")&amp;IF(AND(CA1036=0,R1036=0),"Gebinde unbekannt / Stellmass fehlt; ","")&amp;IF(AND(CA1036=0,N(V1036)&lt;=0,N(Q1036)&lt;=0),"Menge pro Gebinde fehlt (Ist = 1 Gebinde); ","")&amp;BV1036)</f>
        <v>negativer Bestand (Export -4); Überbestand 4 Stk / CHF 121; Überbestand</v>
      </c>
      <c r="BO1036" s="60"/>
      <c r="BP1036" s="60"/>
      <c r="BQ1036" s="67"/>
      <c r="BR1036" s="62" t="n">
        <v>-4</v>
      </c>
      <c r="BS1036" s="62" t="n">
        <v>10</v>
      </c>
      <c r="BT1036" s="61" t="n">
        <v>-131.66</v>
      </c>
      <c r="BU1036" s="62" t="n">
        <v>2</v>
      </c>
      <c r="BV1036" s="60" t="s">
        <v>434</v>
      </c>
      <c r="BW1036" s="65" t="n">
        <v>0</v>
      </c>
      <c r="BX1036" s="65" t="n">
        <v>1036</v>
      </c>
      <c r="BY1036" s="60" t="str">
        <f aca="false">IF(U1036&lt;&gt;"",UPPER(TRIM(U1036)),IF(CB1036=1,UPPER(VLOOKUP(T1036,Parameter!$I$27:$K$29,2,0)),IF(P1036="","LOSE",P1036)))</f>
        <v>S21</v>
      </c>
      <c r="BZ1036" s="62" t="n">
        <f aca="false">IF(BY1036="LOSE",1,IF(N(V1036)&gt;0,V1036,IF(CB1036=1,MAX(1,N(VLOOKUP(T1036,Parameter!$I$27:$K$29,3,0)),H1036,N(N1036)),IF(N(Q1036)&gt;0,Q1036,MAX(1,H1036)))))</f>
        <v>16</v>
      </c>
      <c r="CA1036" s="65" t="n">
        <f aca="false">IF(BY1036="LOSE",1,0)</f>
        <v>0</v>
      </c>
      <c r="CB1036" s="65" t="n">
        <f aca="false">IF(AND(U1036="",OR(P1036="",P1036="LOSE"),T1036&lt;&gt;"",N(S1036)&lt;=0,ISNUMBER(MATCH(T1036,Parameter!$I$27:$I$29,0))),1,0)</f>
        <v>0</v>
      </c>
      <c r="CC1036" s="65" t="n">
        <f aca="false">IF(CR1036&gt;0,INDEX(Parameter!$H$5:$H$7,W1036)/INDEX(Parameter!$E$5:$E$7,W1036),IF(AND(CA1036=0,N(IFERROR(VLOOKUP(BY1036,'Gebinde-Kategorie'!$A$5:$N$45,14,0),0))&gt;0),VLOOKUP(BY1036,'Gebinde-Kategorie'!$A$5:$N$45,14,0)*10+Parameter!$M$23,Parameter!$M$24))</f>
        <v>155</v>
      </c>
      <c r="CD1036" s="60" t="str">
        <f aca="false">IF(AND(Parameter!$B$19="Ja",E1036&lt;&gt;"",ISNUMBER(MATCH(E1036,Parameter!$I$35:$I$52,0))),VLOOKUP(E1036,Parameter!$I$35:$J$52,2,0),IFERROR(VLOOKUP(D1036,Parameter!$A$35:$C$64,2,0),"Nein"))</f>
        <v>2+3</v>
      </c>
      <c r="CE1036" s="64" t="n">
        <f aca="false">IF(CA1036=0,0,IF(N(S1036)&gt;0,S1036,IFERROR(VLOOKUP(D1036,Parameter!$A$35:$C$64,3,0)+0,0)))</f>
        <v>0</v>
      </c>
      <c r="CF1036" s="60" t="n">
        <f aca="false">IF(AB1036&lt;&gt;"",AB1036,AA1036)</f>
        <v>1</v>
      </c>
      <c r="CG1036" s="60" t="str">
        <f aca="false">IF(OR(CF1036=1,CF1036=2,CF1036=3),IF(Parameter!$E$27="Ja","LIFT",IF(CF1036=1,"L1","L23")),IF(CF1036="Aussen","Aussen","-"))</f>
        <v>LIFT</v>
      </c>
      <c r="CH1036" s="71" t="n">
        <f aca="false">IF(N(AC1036)&gt;0,AC1036,0)</f>
        <v>0</v>
      </c>
      <c r="CI1036" s="65" t="n">
        <f aca="false">IF(ISNUMBER(AF1036),1,0)</f>
        <v>0</v>
      </c>
      <c r="CJ1036" s="62" t="n">
        <f aca="false">N(AF1036)</f>
        <v>0</v>
      </c>
      <c r="CK1036" s="62" t="n">
        <f aca="false">N(M1036)+N(N1036)</f>
        <v>1</v>
      </c>
      <c r="CL1036" s="62" t="n">
        <f aca="false">N(M1036)</f>
        <v>0</v>
      </c>
      <c r="CM1036" s="62" t="n">
        <f aca="false">N(N1036)</f>
        <v>1</v>
      </c>
      <c r="CN1036" s="62" t="n">
        <f aca="false">ROUNDUP(H1036/BZ1036,0)</f>
        <v>1</v>
      </c>
      <c r="CO1036" s="62" t="n">
        <f aca="false">ROUNDUP(CJ1036/BZ1036,0)</f>
        <v>0</v>
      </c>
      <c r="CP1036" s="65" t="n">
        <f aca="false">IF(CA1036=1,0,IFERROR(VLOOKUP(BY1036,'Gebinde-Kategorie'!$A$5:$N$45,5,0)+0,0))</f>
        <v>8</v>
      </c>
      <c r="CQ1036" s="65" t="n">
        <f aca="false">IFERROR(IF(OR(CF1036=1,CF1036=2,CF1036=3),N(INDEX(Parameter!$I$5:$I$7,CF1036)),0),0)</f>
        <v>0</v>
      </c>
      <c r="CR1036" s="64" t="n">
        <f aca="false">IF(AND(Parameter!$B$21="Ja",ISNUMBER(W1036),N(X1036)&gt;0),IFERROR(N(INDEX(Parameter!$L$5:$L$7,W1036))*INDEX(Parameter!$E$5:$E$7,W1036)*X1036/SUMIFS($X$7:$X$1843,$W$7:$W$1843,W1036),0),0)</f>
        <v>0</v>
      </c>
      <c r="CS1036" s="62" t="n">
        <f aca="false">IF(AND(OR(CG1036="L1",CG1036="L23",CG1036="LIFT"),H1036&gt;0),CC1036*IF(CR1036&gt;0,CR1036*MAX(1,H1036/X1036),IF(CA1036=1,CE1036,IF(R1036&gt;0,CN1036/R1036,0))/MAX(0.1,N(Parameter!$M$21))),"")</f>
        <v>0.553571428571429</v>
      </c>
      <c r="CT1036" s="64" t="n">
        <f aca="false">IF(CS1036="","",J1036/H1036)</f>
        <v>0.333333333333333</v>
      </c>
      <c r="CU1036" s="62" t="n">
        <f aca="false">IF(CS1036="","",H1036*G1036)</f>
        <v>182.04</v>
      </c>
      <c r="CV1036" s="63" t="n">
        <f aca="false">IF(CS1036="","",(CL1036+ROUNDUP(CL1036+MAX(CM1036,2*(J1036/MAX(0.1,N(Einkauf!$C$6))-CL1036)),0))/2)</f>
        <v>0.5</v>
      </c>
      <c r="CW1036" s="62" t="n">
        <f aca="false">IF(CS1036="","",MAX(0,H1036-CV1036)*G1036)</f>
        <v>166.87</v>
      </c>
      <c r="CX1036" s="62" t="n">
        <f aca="false">IF(CS1036="","",CS1036*MAX(0,1-CV1036/H1036))</f>
        <v>0.507440476190476</v>
      </c>
      <c r="CY1036" s="64" t="n">
        <f aca="false">IF(CS1036="","",PERCENTRANK($CS$7:$CS$1843,CS1036)+PERCENTRANK($CU$7:$CU$1843,CU1036)+1-PERCENTRANK($CT$7:$CT$1843,CT1036))</f>
        <v>0.821</v>
      </c>
      <c r="CZ1036" s="72" t="n">
        <f aca="false">IF(CS1036="","",CHOOSE(MATCH(Einkauf!$C$5,Parameter!$G$23:$G$27,0),CY1036,CS1036,CU1036,-CT1036,CW1036)+ROW()/1000000000)</f>
        <v>0.821001036</v>
      </c>
    </row>
    <row r="1037" customFormat="false" ht="15" hidden="false" customHeight="false" outlineLevel="0" collapsed="false">
      <c r="A1037" s="60" t="s">
        <v>1946</v>
      </c>
      <c r="B1037" s="60" t="s">
        <v>1910</v>
      </c>
      <c r="C1037" s="60" t="s">
        <v>206</v>
      </c>
      <c r="D1037" s="60" t="s">
        <v>226</v>
      </c>
      <c r="E1037" s="60" t="s">
        <v>227</v>
      </c>
      <c r="F1037" s="60" t="s">
        <v>260</v>
      </c>
      <c r="G1037" s="61" t="n">
        <v>133.49</v>
      </c>
      <c r="H1037" s="62" t="n">
        <f aca="false">MAX(0,IF(AND(Parameter!$B$21="Ja",ISNUMBER(Y1037)),Y1037,IF(Parameter!$B$20="Jahresanfang 2025 + Export",BS1037+BR1037,BR1037)))</f>
        <v>21</v>
      </c>
      <c r="I1037" s="62" t="n">
        <f aca="false">H1037*G1037</f>
        <v>2803.29</v>
      </c>
      <c r="J1037" s="62" t="n">
        <f aca="false">BU1037*Parameter!$B$18</f>
        <v>0</v>
      </c>
      <c r="K1037" s="63" t="n">
        <v>21.5</v>
      </c>
      <c r="L1037" s="64" t="n">
        <v>0</v>
      </c>
      <c r="M1037" s="62" t="n">
        <v>0</v>
      </c>
      <c r="N1037" s="62" t="n">
        <v>1</v>
      </c>
      <c r="O1037" s="65" t="n">
        <v>56</v>
      </c>
      <c r="P1037" s="60" t="s">
        <v>344</v>
      </c>
      <c r="Q1037" s="62" t="n">
        <v>6</v>
      </c>
      <c r="R1037" s="65" t="n">
        <f aca="false">IF(CA1037=1,0,IFERROR(VLOOKUP(BY1037,'Gebinde-Kategorie'!$A$5:$N$45,13,0)+0,0))</f>
        <v>26</v>
      </c>
      <c r="S1037" s="66"/>
      <c r="T1037" s="67"/>
      <c r="U1037" s="67"/>
      <c r="V1037" s="67"/>
      <c r="W1037" s="60"/>
      <c r="X1037" s="62"/>
      <c r="Y1037" s="62"/>
      <c r="Z1037" s="60" t="n">
        <v>3</v>
      </c>
      <c r="AA1037" s="60" t="n">
        <f aca="false">IF(A1037="","",IF(AND(Parameter!$B$21="Ja",ISNUMBER(W1037)),W1037,IF(AND(Parameter!$E$27="Ja",ISNUMBER(Z1037),CD1037&lt;&gt;"Nein"),Z1037,IF(CD1037="2+3",IF(ISNUMBER(SEARCH("grosser Artikel",BV1037)),2,IFERROR(VLOOKUP(BY1037,Parameter!$F$35:$G$64,2,0),2)),IF(OR(CD1037="Nein",CD1037=""),"-",CD1037)))))</f>
        <v>3</v>
      </c>
      <c r="AB1037" s="67"/>
      <c r="AC1037" s="68"/>
      <c r="AD1037" s="62" t="n">
        <f aca="false">AW1037</f>
        <v>1</v>
      </c>
      <c r="AE1037" s="62" t="n">
        <f aca="false">MAX(AW1037,H1037)</f>
        <v>21</v>
      </c>
      <c r="AF1037" s="69"/>
      <c r="AG1037" s="62" t="n">
        <f aca="false">IF(LEFT(Cockpit!$C$5,1)="A",H1037,IF(Parameter!$E$30="MAX-Bestand",IF(CI1037=1,CJ1037,IF(LEFT(Cockpit!$C$5,1)="B",AM1037,MAX(AM1037,H1037))),ROUNDUP(AK1037,0)))</f>
        <v>21</v>
      </c>
      <c r="AH1037" s="62" t="n">
        <f aca="false">IF(CA1037=1,0,ROUNDUP(AG1037/BZ1037,0))</f>
        <v>4</v>
      </c>
      <c r="AI1037" s="64" t="n">
        <f aca="false">IF(CR1037&gt;0,CR1037*MAX(1,AG1037/X1037),IF(CA1037=1,IF(AG1037&lt;=0,0,CE1037*MAX(1,IF(H1037&gt;0,AG1037/H1037,1))),IF(R1037&gt;0,AH1037/R1037,0))/MAX(0.1,N(Parameter!$M$21)))</f>
        <v>0.153846153846154</v>
      </c>
      <c r="AJ1037" s="62" t="n">
        <f aca="false">AI1037*CC1037</f>
        <v>23.8461538461538</v>
      </c>
      <c r="AK1037" s="63" t="n">
        <f aca="false">IF(LEFT(Cockpit!$C$5,1)="A",H1037,IF(CI1037=1,(CL1037+CJ1037)/2,IF(LEFT(Cockpit!$C$5,1)="B",(CL1037+AM1037)/2,MAX((CL1037+AM1037)/2,H1037))))</f>
        <v>21</v>
      </c>
      <c r="AL1037" s="62" t="n">
        <f aca="false">AK1037*G1037</f>
        <v>2803.29</v>
      </c>
      <c r="AM1037" s="62" t="n">
        <f aca="false">ROUNDUP(CL1037+MAX(CM1037,2*(J1037/IF(CH1037&gt;0,CH1037,MAX(0.1,N(Cockpit!$C$6)))-CL1037)),0)</f>
        <v>1</v>
      </c>
      <c r="AN1037" s="63" t="n">
        <f aca="false">IF(AJ1037&gt;0,J1037/AJ1037,-1)</f>
        <v>0</v>
      </c>
      <c r="AO1037" s="63" t="n">
        <f aca="false">IF(AND(OR(CG1037="L1",CG1037="L23",CG1037="LIFT"),AJ1037&gt;0),SUMIFS($AJ$7:$AJ$1843,$CG$7:$CG$1843,CG1037,$AN$7:$AN$1843,"&gt;"&amp;AN1037)+SUMIFS($AJ$7:$AJ$1843,$CG$7:$CG$1843,CG1037,$AN$7:$AN$1843,AN1037,$BX$7:$BX$1843,"&lt;="&amp;BX1037),"")</f>
        <v>29066.2877139339</v>
      </c>
      <c r="AP1037" s="70" t="n">
        <f aca="false">IF(AO1037="",0,MAX(0,MIN(1,(IF(CG1037="L1",Parameter!$H$5,IF(CG1037="L23",Parameter!$H$6+Parameter!$H$7,Parameter!$H$5+Parameter!$H$6+Parameter!$H$7))-(AO1037-AJ1037))/AJ1037)))</f>
        <v>1</v>
      </c>
      <c r="AQ1037" s="62" t="n">
        <f aca="false">IF(LEFT(Cockpit!$I$5,1)="A",H1037,IF(Parameter!$E$30="MAX-Bestand",IF(CI1037=1,CJ1037,IF(LEFT(Cockpit!$I$5,1)="B",AW1037,MAX(AW1037,H1037))),ROUNDUP(AU1037,0)))</f>
        <v>21</v>
      </c>
      <c r="AR1037" s="62" t="n">
        <f aca="false">IF(CA1037=1,0,ROUNDUP(AQ1037/BZ1037,0))</f>
        <v>4</v>
      </c>
      <c r="AS1037" s="64" t="n">
        <f aca="false">IF(CR1037&gt;0,CR1037*MAX(1,AQ1037/X1037),IF(CA1037=1,IF(AQ1037&lt;=0,0,CE1037*MAX(1,IF(H1037&gt;0,AQ1037/H1037,1))),IF(R1037&gt;0,AR1037/R1037,0))/MAX(0.1,N(Parameter!$M$21)))</f>
        <v>0.153846153846154</v>
      </c>
      <c r="AT1037" s="62" t="n">
        <f aca="false">AS1037*CC1037</f>
        <v>23.8461538461538</v>
      </c>
      <c r="AU1037" s="63" t="n">
        <f aca="false">IF(LEFT(Cockpit!$I$5,1)="A",H1037,IF(CI1037=1,(CL1037+CJ1037)/2,IF(LEFT(Cockpit!$I$5,1)="B",(CL1037+AW1037)/2,MAX((CL1037+AW1037)/2,H1037))))</f>
        <v>21</v>
      </c>
      <c r="AV1037" s="62" t="n">
        <f aca="false">AU1037*G1037</f>
        <v>2803.29</v>
      </c>
      <c r="AW1037" s="62" t="n">
        <f aca="false">ROUNDUP(CL1037+MAX(CM1037,2*(J1037/IF(CH1037&gt;0,CH1037,MAX(0.1,N(Cockpit!$I$6)))-CL1037)),0)</f>
        <v>1</v>
      </c>
      <c r="AX1037" s="63" t="n">
        <f aca="false">IF(AT1037&gt;0,J1037/AT1037,-1)</f>
        <v>0</v>
      </c>
      <c r="AY1037" s="63" t="n">
        <f aca="false">IF(AND(OR(CG1037="L1",CG1037="L23",CG1037="LIFT"),AT1037&gt;0),SUMIFS($AT$7:$AT$1843,$CG$7:$CG$1843,CG1037,$AX$7:$AX$1843,"&gt;"&amp;AX1037)+SUMIFS($AT$7:$AT$1843,$CG$7:$CG$1843,CG1037,$AX$7:$AX$1843,AX1037,$BX$7:$BX$1843,"&lt;="&amp;BX1037),"")</f>
        <v>34767.1694139194</v>
      </c>
      <c r="AZ1037" s="70" t="n">
        <f aca="false">IF(AY1037="",0,MAX(0,MIN(1,(IF(CG1037="L1",Parameter!$H$5,IF(CG1037="L23",Parameter!$H$6+Parameter!$H$7,Parameter!$H$5+Parameter!$H$6+Parameter!$H$7))-(AY1037-AT1037))/AT1037)))</f>
        <v>1</v>
      </c>
      <c r="BA1037" s="62" t="n">
        <f aca="false">IF(LEFT(Cockpit!$O$5,1)="A",H1037,IF(Parameter!$E$30="MAX-Bestand",IF(CI1037=1,CJ1037,IF(LEFT(Cockpit!$O$5,1)="B",BG1037,MAX(BG1037,H1037))),ROUNDUP(BE1037,0)))</f>
        <v>1</v>
      </c>
      <c r="BB1037" s="62" t="n">
        <f aca="false">IF(CA1037=1,0,ROUNDUP(BA1037/BZ1037,0))</f>
        <v>1</v>
      </c>
      <c r="BC1037" s="64" t="n">
        <f aca="false">IF(CR1037&gt;0,CR1037*MAX(1,BA1037/X1037),IF(CA1037=1,IF(BA1037&lt;=0,0,CE1037*MAX(1,IF(H1037&gt;0,BA1037/H1037,1))),IF(R1037&gt;0,BB1037/R1037,0))/MAX(0.1,N(Parameter!$M$21)))</f>
        <v>0.0384615384615385</v>
      </c>
      <c r="BD1037" s="62" t="n">
        <f aca="false">BC1037*CC1037</f>
        <v>5.96153846153846</v>
      </c>
      <c r="BE1037" s="63" t="n">
        <f aca="false">IF(LEFT(Cockpit!$O$5,1)="A",H1037,IF(CI1037=1,(CL1037+CJ1037)/2,IF(LEFT(Cockpit!$O$5,1)="B",(CL1037+BG1037)/2,MAX((CL1037+BG1037)/2,H1037))))</f>
        <v>0.5</v>
      </c>
      <c r="BF1037" s="62" t="n">
        <f aca="false">BE1037*G1037</f>
        <v>66.745</v>
      </c>
      <c r="BG1037" s="62" t="n">
        <f aca="false">ROUNDUP(CL1037+MAX(CM1037,2*(J1037/IF(CH1037&gt;0,CH1037,MAX(0.1,N(Cockpit!$O$6)))-CL1037)),0)</f>
        <v>1</v>
      </c>
      <c r="BH1037" s="63" t="n">
        <f aca="false">IF(BD1037&gt;0,J1037/BD1037,-1)</f>
        <v>0</v>
      </c>
      <c r="BI1037" s="63" t="n">
        <f aca="false">IF(AND(OR(CG1037="L1",CG1037="L23",CG1037="LIFT"),BD1037&gt;0),SUMIFS($BD$7:$BD$1843,$CG$7:$CG$1843,CG1037,$BH$7:$BH$1843,"&gt;"&amp;BH1037)+SUMIFS($BD$7:$BD$1843,$CG$7:$CG$1843,CG1037,$BH$7:$BH$1843,BH1037,$BX$7:$BX$1843,"&lt;="&amp;BX1037),"")</f>
        <v>28764.3991509903</v>
      </c>
      <c r="BJ1037" s="70" t="n">
        <f aca="false">IF(BI1037="",0,MAX(0,MIN(1,(IF(CG1037="L1",Parameter!$H$5,IF(CG1037="L23",Parameter!$H$6+Parameter!$H$7,Parameter!$H$5+Parameter!$H$6+Parameter!$H$7))-(BI1037-BD1037))/BD1037)))</f>
        <v>1</v>
      </c>
      <c r="BK1037" s="60" t="str">
        <f aca="false">IF(AJ1037&lt;=0,"",IF(CG1037="Aussen","Aussenlager",IF(CG1037="-","Nicht im Lift",IF(AP1037&gt;=1,"Lift",IF(AP1037&lt;=0,"Aussenlager","teilweise")))))</f>
        <v>Lift</v>
      </c>
      <c r="BL1037" s="60" t="str">
        <f aca="false">IF(AT1037&lt;=0,"",IF(CG1037="Aussen","Aussenlager",IF(CG1037="-","Nicht im Lift",IF(AZ1037&gt;=1,"Lift",IF(AZ1037&lt;=0,"Aussenlager","teilweise")))))</f>
        <v>Lift</v>
      </c>
      <c r="BM1037" s="60" t="str">
        <f aca="false">IF(BD1037&lt;=0,"",IF(CG1037="Aussen","Aussenlager",IF(CG1037="-","Nicht im Lift",IF(BJ1037&gt;=1,"Lift",IF(BJ1037&lt;=0,"Aussenlager","teilweise")))))</f>
        <v>Lift</v>
      </c>
      <c r="BN1037" s="60" t="str">
        <f aca="false">IF(A1037="","",IF(BW1037=1,"Neu; ","")&amp;IF(AND(BW1037=0,BR1037&lt;0),"negativer Bestand (Export "&amp;BR1037&amp;"); ","")&amp;IF(J1037&lt;=0,"Kein Verbrauch; ","")&amp;IF(CR1037&gt;0,"Lift "&amp;W1037&amp;" lt. Liftbericht (Fach "&amp;X1037&amp;" Stk); ",IF(CB1037=1,"Gebinde geschätzt ("&amp;T1037&amp;"); ",IF(CA1037=1,"Lose – Tablare geschätzt; ","")))&amp;IF(H1037&gt;AW1037,"Überbestand "&amp;ROUND(H1037-AW1037,0)&amp;" Stk / CHF "&amp;ROUND((H1037-AW1037)*G1037,0)&amp;"; ","")&amp;IF(AND(CI1037=1,CJ1037&lt;CK1037),"MAX &lt; MB+LG; ","")&amp;IF(AND(CQ1037&gt;0,CP1037*10&gt;CQ1037),"zu hoch für Tablar; ","")&amp;IF(AND(BW1037=0,OR(CI1037=1,AB1037&lt;&gt;"",U1037&lt;&gt;"",V1037&lt;&gt;"",AC1037&lt;&gt;"")),"manuell übersteuert; ","")&amp;IF(AND(CA1037=0,R1037=0),"Gebinde unbekannt / Stellmass fehlt; ","")&amp;IF(AND(CA1037=0,N(V1037)&lt;=0,N(Q1037)&lt;=0),"Menge pro Gebinde fehlt (Ist = 1 Gebinde); ","")&amp;BV1037)</f>
        <v>negativer Bestand (Export -1); Kein Verbrauch; Überbestand 20 Stk / CHF 2670; </v>
      </c>
      <c r="BO1037" s="60"/>
      <c r="BP1037" s="60"/>
      <c r="BQ1037" s="67"/>
      <c r="BR1037" s="62" t="n">
        <v>-1</v>
      </c>
      <c r="BS1037" s="62" t="n">
        <v>22</v>
      </c>
      <c r="BT1037" s="61" t="n">
        <v>-133.49</v>
      </c>
      <c r="BU1037" s="62" t="n">
        <v>0</v>
      </c>
      <c r="BV1037" s="60"/>
      <c r="BW1037" s="65" t="n">
        <v>0</v>
      </c>
      <c r="BX1037" s="65" t="n">
        <v>1037</v>
      </c>
      <c r="BY1037" s="60" t="str">
        <f aca="false">IF(U1037&lt;&gt;"",UPPER(TRIM(U1037)),IF(CB1037=1,UPPER(VLOOKUP(T1037,Parameter!$I$27:$K$29,2,0)),IF(P1037="","LOSE",P1037)))</f>
        <v>S51</v>
      </c>
      <c r="BZ1037" s="62" t="n">
        <f aca="false">IF(BY1037="LOSE",1,IF(N(V1037)&gt;0,V1037,IF(CB1037=1,MAX(1,N(VLOOKUP(T1037,Parameter!$I$27:$K$29,3,0)),H1037,N(N1037)),IF(N(Q1037)&gt;0,Q1037,MAX(1,H1037)))))</f>
        <v>6</v>
      </c>
      <c r="CA1037" s="65" t="n">
        <f aca="false">IF(BY1037="LOSE",1,0)</f>
        <v>0</v>
      </c>
      <c r="CB1037" s="65" t="n">
        <f aca="false">IF(AND(U1037="",OR(P1037="",P1037="LOSE"),T1037&lt;&gt;"",N(S1037)&lt;=0,ISNUMBER(MATCH(T1037,Parameter!$I$27:$I$29,0))),1,0)</f>
        <v>0</v>
      </c>
      <c r="CC1037" s="65" t="n">
        <f aca="false">IF(CR1037&gt;0,INDEX(Parameter!$H$5:$H$7,W1037)/INDEX(Parameter!$E$5:$E$7,W1037),IF(AND(CA1037=0,N(IFERROR(VLOOKUP(BY1037,'Gebinde-Kategorie'!$A$5:$N$45,14,0),0))&gt;0),VLOOKUP(BY1037,'Gebinde-Kategorie'!$A$5:$N$45,14,0)*10+Parameter!$M$23,Parameter!$M$24))</f>
        <v>155</v>
      </c>
      <c r="CD1037" s="60" t="str">
        <f aca="false">IF(AND(Parameter!$B$19="Ja",E1037&lt;&gt;"",ISNUMBER(MATCH(E1037,Parameter!$I$35:$I$52,0))),VLOOKUP(E1037,Parameter!$I$35:$J$52,2,0),IFERROR(VLOOKUP(D1037,Parameter!$A$35:$C$64,2,0),"Nein"))</f>
        <v>2+3</v>
      </c>
      <c r="CE1037" s="64" t="n">
        <f aca="false">IF(CA1037=0,0,IF(N(S1037)&gt;0,S1037,IFERROR(VLOOKUP(D1037,Parameter!$A$35:$C$64,3,0)+0,0)))</f>
        <v>0</v>
      </c>
      <c r="CF1037" s="60" t="n">
        <f aca="false">IF(AB1037&lt;&gt;"",AB1037,AA1037)</f>
        <v>3</v>
      </c>
      <c r="CG1037" s="60" t="str">
        <f aca="false">IF(OR(CF1037=1,CF1037=2,CF1037=3),IF(Parameter!$E$27="Ja","LIFT",IF(CF1037=1,"L1","L23")),IF(CF1037="Aussen","Aussen","-"))</f>
        <v>LIFT</v>
      </c>
      <c r="CH1037" s="71" t="n">
        <f aca="false">IF(N(AC1037)&gt;0,AC1037,0)</f>
        <v>0</v>
      </c>
      <c r="CI1037" s="65" t="n">
        <f aca="false">IF(ISNUMBER(AF1037),1,0)</f>
        <v>0</v>
      </c>
      <c r="CJ1037" s="62" t="n">
        <f aca="false">N(AF1037)</f>
        <v>0</v>
      </c>
      <c r="CK1037" s="62" t="n">
        <f aca="false">N(M1037)+N(N1037)</f>
        <v>1</v>
      </c>
      <c r="CL1037" s="62" t="n">
        <f aca="false">N(M1037)</f>
        <v>0</v>
      </c>
      <c r="CM1037" s="62" t="n">
        <f aca="false">N(N1037)</f>
        <v>1</v>
      </c>
      <c r="CN1037" s="62" t="n">
        <f aca="false">ROUNDUP(H1037/BZ1037,0)</f>
        <v>4</v>
      </c>
      <c r="CO1037" s="62" t="n">
        <f aca="false">ROUNDUP(CJ1037/BZ1037,0)</f>
        <v>0</v>
      </c>
      <c r="CP1037" s="65" t="n">
        <f aca="false">IF(CA1037=1,0,IFERROR(VLOOKUP(BY1037,'Gebinde-Kategorie'!$A$5:$N$45,5,0)+0,0))</f>
        <v>11</v>
      </c>
      <c r="CQ1037" s="65" t="n">
        <f aca="false">IFERROR(IF(OR(CF1037=1,CF1037=2,CF1037=3),N(INDEX(Parameter!$I$5:$I$7,CF1037)),0),0)</f>
        <v>0</v>
      </c>
      <c r="CR1037" s="64" t="n">
        <f aca="false">IF(AND(Parameter!$B$21="Ja",ISNUMBER(W1037),N(X1037)&gt;0),IFERROR(N(INDEX(Parameter!$L$5:$L$7,W1037))*INDEX(Parameter!$E$5:$E$7,W1037)*X1037/SUMIFS($X$7:$X$1843,$W$7:$W$1843,W1037),0),0)</f>
        <v>0</v>
      </c>
      <c r="CS1037" s="62" t="n">
        <f aca="false">IF(AND(OR(CG1037="L1",CG1037="L23",CG1037="LIFT"),H1037&gt;0),CC1037*IF(CR1037&gt;0,CR1037*MAX(1,H1037/X1037),IF(CA1037=1,CE1037,IF(R1037&gt;0,CN1037/R1037,0))/MAX(0.1,N(Parameter!$M$21))),"")</f>
        <v>23.8461538461538</v>
      </c>
      <c r="CT1037" s="64" t="n">
        <f aca="false">IF(CS1037="","",J1037/H1037)</f>
        <v>0</v>
      </c>
      <c r="CU1037" s="62" t="n">
        <f aca="false">IF(CS1037="","",H1037*G1037)</f>
        <v>2803.29</v>
      </c>
      <c r="CV1037" s="63" t="n">
        <f aca="false">IF(CS1037="","",(CL1037+ROUNDUP(CL1037+MAX(CM1037,2*(J1037/MAX(0.1,N(Einkauf!$C$6))-CL1037)),0))/2)</f>
        <v>0.5</v>
      </c>
      <c r="CW1037" s="62" t="n">
        <f aca="false">IF(CS1037="","",MAX(0,H1037-CV1037)*G1037)</f>
        <v>2736.545</v>
      </c>
      <c r="CX1037" s="62" t="n">
        <f aca="false">IF(CS1037="","",CS1037*MAX(0,1-CV1037/H1037))</f>
        <v>23.2783882783883</v>
      </c>
      <c r="CY1037" s="64" t="n">
        <f aca="false">IF(CS1037="","",PERCENTRANK($CS$7:$CS$1843,CS1037)+PERCENTRANK($CU$7:$CU$1843,CU1037)+1-PERCENTRANK($CT$7:$CT$1843,CT1037))</f>
        <v>2.629</v>
      </c>
      <c r="CZ1037" s="72" t="n">
        <f aca="false">IF(CS1037="","",CHOOSE(MATCH(Einkauf!$C$5,Parameter!$G$23:$G$27,0),CY1037,CS1037,CU1037,-CT1037,CW1037)+ROW()/1000000000)</f>
        <v>2.629001037</v>
      </c>
    </row>
    <row r="1038" customFormat="false" ht="15" hidden="false" customHeight="false" outlineLevel="0" collapsed="false">
      <c r="A1038" s="60" t="s">
        <v>1947</v>
      </c>
      <c r="B1038" s="60" t="s">
        <v>1948</v>
      </c>
      <c r="C1038" s="60" t="s">
        <v>498</v>
      </c>
      <c r="D1038" s="60" t="s">
        <v>215</v>
      </c>
      <c r="E1038" s="60" t="s">
        <v>1521</v>
      </c>
      <c r="F1038" s="60" t="s">
        <v>260</v>
      </c>
      <c r="G1038" s="61" t="n">
        <v>133.51</v>
      </c>
      <c r="H1038" s="62" t="n">
        <f aca="false">MAX(0,IF(AND(Parameter!$B$21="Ja",ISNUMBER(Y1038)),Y1038,IF(Parameter!$B$20="Jahresanfang 2025 + Export",BS1038+BR1038,BR1038)))</f>
        <v>0</v>
      </c>
      <c r="I1038" s="62" t="n">
        <f aca="false">H1038*G1038</f>
        <v>0</v>
      </c>
      <c r="J1038" s="62" t="n">
        <f aca="false">BU1038*Parameter!$B$18</f>
        <v>0</v>
      </c>
      <c r="K1038" s="63" t="n">
        <v>0.5</v>
      </c>
      <c r="L1038" s="64" t="n">
        <v>0</v>
      </c>
      <c r="M1038" s="62" t="n">
        <v>0</v>
      </c>
      <c r="N1038" s="62" t="n">
        <v>1</v>
      </c>
      <c r="O1038" s="65" t="n">
        <v>56</v>
      </c>
      <c r="P1038" s="60" t="s">
        <v>210</v>
      </c>
      <c r="Q1038" s="62"/>
      <c r="R1038" s="65" t="n">
        <f aca="false">IF(CA1038=1,0,IFERROR(VLOOKUP(BY1038,'Gebinde-Kategorie'!$A$5:$N$45,13,0)+0,0))</f>
        <v>4</v>
      </c>
      <c r="S1038" s="66"/>
      <c r="T1038" s="67" t="s">
        <v>231</v>
      </c>
      <c r="U1038" s="67"/>
      <c r="V1038" s="67"/>
      <c r="W1038" s="60"/>
      <c r="X1038" s="62"/>
      <c r="Y1038" s="62"/>
      <c r="Z1038" s="60"/>
      <c r="AA1038" s="60" t="str">
        <f aca="false">IF(A1038="","",IF(AND(Parameter!$B$21="Ja",ISNUMBER(W1038)),W1038,IF(AND(Parameter!$E$27="Ja",ISNUMBER(Z1038),CD1038&lt;&gt;"Nein"),Z1038,IF(CD1038="2+3",IF(ISNUMBER(SEARCH("grosser Artikel",BV1038)),2,IFERROR(VLOOKUP(BY1038,Parameter!$F$35:$G$64,2,0),2)),IF(OR(CD1038="Nein",CD1038=""),"-",CD1038)))))</f>
        <v>-</v>
      </c>
      <c r="AB1038" s="67"/>
      <c r="AC1038" s="68"/>
      <c r="AD1038" s="62" t="n">
        <f aca="false">AW1038</f>
        <v>1</v>
      </c>
      <c r="AE1038" s="62" t="n">
        <f aca="false">MAX(AW1038,H1038)</f>
        <v>1</v>
      </c>
      <c r="AF1038" s="69"/>
      <c r="AG1038" s="62" t="n">
        <f aca="false">IF(LEFT(Cockpit!$C$5,1)="A",H1038,IF(Parameter!$E$30="MAX-Bestand",IF(CI1038=1,CJ1038,IF(LEFT(Cockpit!$C$5,1)="B",AM1038,MAX(AM1038,H1038))),ROUNDUP(AK1038,0)))</f>
        <v>0</v>
      </c>
      <c r="AH1038" s="62" t="n">
        <f aca="false">IF(CA1038=1,0,ROUNDUP(AG1038/BZ1038,0))</f>
        <v>0</v>
      </c>
      <c r="AI1038" s="64" t="n">
        <f aca="false">IF(CR1038&gt;0,CR1038*MAX(1,AG1038/X1038),IF(CA1038=1,IF(AG1038&lt;=0,0,CE1038*MAX(1,IF(H1038&gt;0,AG1038/H1038,1))),IF(R1038&gt;0,AH1038/R1038,0))/MAX(0.1,N(Parameter!$M$21)))</f>
        <v>0</v>
      </c>
      <c r="AJ1038" s="62" t="n">
        <f aca="false">AI1038*CC1038</f>
        <v>0</v>
      </c>
      <c r="AK1038" s="63" t="n">
        <f aca="false">IF(LEFT(Cockpit!$C$5,1)="A",H1038,IF(CI1038=1,(CL1038+CJ1038)/2,IF(LEFT(Cockpit!$C$5,1)="B",(CL1038+AM1038)/2,MAX((CL1038+AM1038)/2,H1038))))</f>
        <v>0</v>
      </c>
      <c r="AL1038" s="62" t="n">
        <f aca="false">AK1038*G1038</f>
        <v>0</v>
      </c>
      <c r="AM1038" s="62" t="n">
        <f aca="false">ROUNDUP(CL1038+MAX(CM1038,2*(J1038/IF(CH1038&gt;0,CH1038,MAX(0.1,N(Cockpit!$C$6)))-CL1038)),0)</f>
        <v>1</v>
      </c>
      <c r="AN1038" s="63" t="n">
        <f aca="false">IF(AJ1038&gt;0,J1038/AJ1038,-1)</f>
        <v>-1</v>
      </c>
      <c r="AO1038" s="63" t="str">
        <f aca="false">IF(AND(OR(CG1038="L1",CG1038="L23",CG1038="LIFT"),AJ1038&gt;0),SUMIFS($AJ$7:$AJ$1843,$CG$7:$CG$1843,CG1038,$AN$7:$AN$1843,"&gt;"&amp;AN1038)+SUMIFS($AJ$7:$AJ$1843,$CG$7:$CG$1843,CG1038,$AN$7:$AN$1843,AN1038,$BX$7:$BX$1843,"&lt;="&amp;BX1038),"")</f>
        <v/>
      </c>
      <c r="AP1038" s="70" t="n">
        <f aca="false">IF(AO1038="",0,MAX(0,MIN(1,(IF(CG1038="L1",Parameter!$H$5,IF(CG1038="L23",Parameter!$H$6+Parameter!$H$7,Parameter!$H$5+Parameter!$H$6+Parameter!$H$7))-(AO1038-AJ1038))/AJ1038)))</f>
        <v>0</v>
      </c>
      <c r="AQ1038" s="62" t="n">
        <f aca="false">IF(LEFT(Cockpit!$I$5,1)="A",H1038,IF(Parameter!$E$30="MAX-Bestand",IF(CI1038=1,CJ1038,IF(LEFT(Cockpit!$I$5,1)="B",AW1038,MAX(AW1038,H1038))),ROUNDUP(AU1038,0)))</f>
        <v>1</v>
      </c>
      <c r="AR1038" s="62" t="n">
        <f aca="false">IF(CA1038=1,0,ROUNDUP(AQ1038/BZ1038,0))</f>
        <v>1</v>
      </c>
      <c r="AS1038" s="64" t="n">
        <f aca="false">IF(CR1038&gt;0,CR1038*MAX(1,AQ1038/X1038),IF(CA1038=1,IF(AQ1038&lt;=0,0,CE1038*MAX(1,IF(H1038&gt;0,AQ1038/H1038,1))),IF(R1038&gt;0,AR1038/R1038,0))/MAX(0.1,N(Parameter!$M$21)))</f>
        <v>0.25</v>
      </c>
      <c r="AT1038" s="62" t="n">
        <f aca="false">AS1038*CC1038</f>
        <v>58.75</v>
      </c>
      <c r="AU1038" s="63" t="n">
        <f aca="false">IF(LEFT(Cockpit!$I$5,1)="A",H1038,IF(CI1038=1,(CL1038+CJ1038)/2,IF(LEFT(Cockpit!$I$5,1)="B",(CL1038+AW1038)/2,MAX((CL1038+AW1038)/2,H1038))))</f>
        <v>0.5</v>
      </c>
      <c r="AV1038" s="62" t="n">
        <f aca="false">AU1038*G1038</f>
        <v>66.755</v>
      </c>
      <c r="AW1038" s="62" t="n">
        <f aca="false">ROUNDUP(CL1038+MAX(CM1038,2*(J1038/IF(CH1038&gt;0,CH1038,MAX(0.1,N(Cockpit!$I$6)))-CL1038)),0)</f>
        <v>1</v>
      </c>
      <c r="AX1038" s="63" t="n">
        <f aca="false">IF(AT1038&gt;0,J1038/AT1038,-1)</f>
        <v>0</v>
      </c>
      <c r="AY1038" s="63" t="str">
        <f aca="false">IF(AND(OR(CG1038="L1",CG1038="L23",CG1038="LIFT"),AT1038&gt;0),SUMIFS($AT$7:$AT$1843,$CG$7:$CG$1843,CG1038,$AX$7:$AX$1843,"&gt;"&amp;AX1038)+SUMIFS($AT$7:$AT$1843,$CG$7:$CG$1843,CG1038,$AX$7:$AX$1843,AX1038,$BX$7:$BX$1843,"&lt;="&amp;BX1038),"")</f>
        <v/>
      </c>
      <c r="AZ1038" s="70" t="n">
        <f aca="false">IF(AY1038="",0,MAX(0,MIN(1,(IF(CG1038="L1",Parameter!$H$5,IF(CG1038="L23",Parameter!$H$6+Parameter!$H$7,Parameter!$H$5+Parameter!$H$6+Parameter!$H$7))-(AY1038-AT1038))/AT1038)))</f>
        <v>0</v>
      </c>
      <c r="BA1038" s="62" t="n">
        <f aca="false">IF(LEFT(Cockpit!$O$5,1)="A",H1038,IF(Parameter!$E$30="MAX-Bestand",IF(CI1038=1,CJ1038,IF(LEFT(Cockpit!$O$5,1)="B",BG1038,MAX(BG1038,H1038))),ROUNDUP(BE1038,0)))</f>
        <v>1</v>
      </c>
      <c r="BB1038" s="62" t="n">
        <f aca="false">IF(CA1038=1,0,ROUNDUP(BA1038/BZ1038,0))</f>
        <v>1</v>
      </c>
      <c r="BC1038" s="64" t="n">
        <f aca="false">IF(CR1038&gt;0,CR1038*MAX(1,BA1038/X1038),IF(CA1038=1,IF(BA1038&lt;=0,0,CE1038*MAX(1,IF(H1038&gt;0,BA1038/H1038,1))),IF(R1038&gt;0,BB1038/R1038,0))/MAX(0.1,N(Parameter!$M$21)))</f>
        <v>0.25</v>
      </c>
      <c r="BD1038" s="62" t="n">
        <f aca="false">BC1038*CC1038</f>
        <v>58.75</v>
      </c>
      <c r="BE1038" s="63" t="n">
        <f aca="false">IF(LEFT(Cockpit!$O$5,1)="A",H1038,IF(CI1038=1,(CL1038+CJ1038)/2,IF(LEFT(Cockpit!$O$5,1)="B",(CL1038+BG1038)/2,MAX((CL1038+BG1038)/2,H1038))))</f>
        <v>0.5</v>
      </c>
      <c r="BF1038" s="62" t="n">
        <f aca="false">BE1038*G1038</f>
        <v>66.755</v>
      </c>
      <c r="BG1038" s="62" t="n">
        <f aca="false">ROUNDUP(CL1038+MAX(CM1038,2*(J1038/IF(CH1038&gt;0,CH1038,MAX(0.1,N(Cockpit!$O$6)))-CL1038)),0)</f>
        <v>1</v>
      </c>
      <c r="BH1038" s="63" t="n">
        <f aca="false">IF(BD1038&gt;0,J1038/BD1038,-1)</f>
        <v>0</v>
      </c>
      <c r="BI1038" s="63" t="str">
        <f aca="false">IF(AND(OR(CG1038="L1",CG1038="L23",CG1038="LIFT"),BD1038&gt;0),SUMIFS($BD$7:$BD$1843,$CG$7:$CG$1843,CG1038,$BH$7:$BH$1843,"&gt;"&amp;BH1038)+SUMIFS($BD$7:$BD$1843,$CG$7:$CG$1843,CG1038,$BH$7:$BH$1843,BH1038,$BX$7:$BX$1843,"&lt;="&amp;BX1038),"")</f>
        <v/>
      </c>
      <c r="BJ1038" s="70" t="n">
        <f aca="false">IF(BI1038="",0,MAX(0,MIN(1,(IF(CG1038="L1",Parameter!$H$5,IF(CG1038="L23",Parameter!$H$6+Parameter!$H$7,Parameter!$H$5+Parameter!$H$6+Parameter!$H$7))-(BI1038-BD1038))/BD1038)))</f>
        <v>0</v>
      </c>
      <c r="BK1038" s="60" t="str">
        <f aca="false">IF(AJ1038&lt;=0,"",IF(CG1038="Aussen","Aussenlager",IF(CG1038="-","Nicht im Lift",IF(AP1038&gt;=1,"Lift",IF(AP1038&lt;=0,"Aussenlager","teilweise")))))</f>
        <v/>
      </c>
      <c r="BL1038" s="60" t="str">
        <f aca="false">IF(AT1038&lt;=0,"",IF(CG1038="Aussen","Aussenlager",IF(CG1038="-","Nicht im Lift",IF(AZ1038&gt;=1,"Lift",IF(AZ1038&lt;=0,"Aussenlager","teilweise")))))</f>
        <v>Nicht im Lift</v>
      </c>
      <c r="BM1038" s="60" t="str">
        <f aca="false">IF(BD1038&lt;=0,"",IF(CG1038="Aussen","Aussenlager",IF(CG1038="-","Nicht im Lift",IF(BJ1038&gt;=1,"Lift",IF(BJ1038&lt;=0,"Aussenlager","teilweise")))))</f>
        <v>Nicht im Lift</v>
      </c>
      <c r="BN1038" s="60" t="str">
        <f aca="false">IF(A1038="","",IF(BW1038=1,"Neu; ","")&amp;IF(AND(BW1038=0,BR1038&lt;0),"negativer Bestand (Export "&amp;BR1038&amp;"); ","")&amp;IF(J1038&lt;=0,"Kein Verbrauch; ","")&amp;IF(CR1038&gt;0,"Lift "&amp;W1038&amp;" lt. Liftbericht (Fach "&amp;X1038&amp;" Stk); ",IF(CB1038=1,"Gebinde geschätzt ("&amp;T1038&amp;"); ",IF(CA1038=1,"Lose – Tablare geschätzt; ","")))&amp;IF(H1038&gt;AW1038,"Überbestand "&amp;ROUND(H1038-AW1038,0)&amp;" Stk / CHF "&amp;ROUND((H1038-AW1038)*G1038,0)&amp;"; ","")&amp;IF(AND(CI1038=1,CJ1038&lt;CK1038),"MAX &lt; MB+LG; ","")&amp;IF(AND(CQ1038&gt;0,CP1038*10&gt;CQ1038),"zu hoch für Tablar; ","")&amp;IF(AND(BW1038=0,OR(CI1038=1,AB1038&lt;&gt;"",U1038&lt;&gt;"",V1038&lt;&gt;"",AC1038&lt;&gt;"")),"manuell übersteuert; ","")&amp;IF(AND(CA1038=0,R1038=0),"Gebinde unbekannt / Stellmass fehlt; ","")&amp;IF(AND(CA1038=0,N(V1038)&lt;=0,N(Q1038)&lt;=0),"Menge pro Gebinde fehlt (Ist = 1 Gebinde); ","")&amp;BV1038)</f>
        <v>negativer Bestand (Export -1); Kein Verbrauch; Gebinde geschätzt (Gross); Menge pro Gebinde fehlt (Ist = 1 Gebinde); Neu</v>
      </c>
      <c r="BO1038" s="60"/>
      <c r="BP1038" s="60"/>
      <c r="BQ1038" s="67"/>
      <c r="BR1038" s="62" t="n">
        <v>-1</v>
      </c>
      <c r="BS1038" s="62" t="n">
        <v>1</v>
      </c>
      <c r="BT1038" s="61" t="n">
        <v>-133.51</v>
      </c>
      <c r="BU1038" s="62" t="n">
        <v>0</v>
      </c>
      <c r="BV1038" s="60" t="s">
        <v>668</v>
      </c>
      <c r="BW1038" s="65" t="n">
        <v>0</v>
      </c>
      <c r="BX1038" s="65" t="n">
        <v>1038</v>
      </c>
      <c r="BY1038" s="60" t="str">
        <f aca="false">IF(U1038&lt;&gt;"",UPPER(TRIM(U1038)),IF(CB1038=1,UPPER(VLOOKUP(T1038,Parameter!$I$27:$K$29,2,0)),IF(P1038="","LOSE",P1038)))</f>
        <v>S81</v>
      </c>
      <c r="BZ1038" s="62" t="n">
        <f aca="false">IF(BY1038="LOSE",1,IF(N(V1038)&gt;0,V1038,IF(CB1038=1,MAX(1,N(VLOOKUP(T1038,Parameter!$I$27:$K$29,3,0)),H1038,N(N1038)),IF(N(Q1038)&gt;0,Q1038,MAX(1,H1038)))))</f>
        <v>2</v>
      </c>
      <c r="CA1038" s="65" t="n">
        <f aca="false">IF(BY1038="LOSE",1,0)</f>
        <v>0</v>
      </c>
      <c r="CB1038" s="65" t="n">
        <f aca="false">IF(AND(U1038="",OR(P1038="",P1038="LOSE"),T1038&lt;&gt;"",N(S1038)&lt;=0,ISNUMBER(MATCH(T1038,Parameter!$I$27:$I$29,0))),1,0)</f>
        <v>1</v>
      </c>
      <c r="CC1038" s="65" t="n">
        <f aca="false">IF(CR1038&gt;0,INDEX(Parameter!$H$5:$H$7,W1038)/INDEX(Parameter!$E$5:$E$7,W1038),IF(AND(CA1038=0,N(IFERROR(VLOOKUP(BY1038,'Gebinde-Kategorie'!$A$5:$N$45,14,0),0))&gt;0),VLOOKUP(BY1038,'Gebinde-Kategorie'!$A$5:$N$45,14,0)*10+Parameter!$M$23,Parameter!$M$24))</f>
        <v>235</v>
      </c>
      <c r="CD1038" s="60" t="str">
        <f aca="false">IF(AND(Parameter!$B$19="Ja",E1038&lt;&gt;"",ISNUMBER(MATCH(E1038,Parameter!$I$35:$I$52,0))),VLOOKUP(E1038,Parameter!$I$35:$J$52,2,0),IFERROR(VLOOKUP(D1038,Parameter!$A$35:$C$64,2,0),"Nein"))</f>
        <v>Nein</v>
      </c>
      <c r="CE1038" s="64" t="n">
        <f aca="false">IF(CA1038=0,0,IF(N(S1038)&gt;0,S1038,IFERROR(VLOOKUP(D1038,Parameter!$A$35:$C$64,3,0)+0,0)))</f>
        <v>0</v>
      </c>
      <c r="CF1038" s="60" t="str">
        <f aca="false">IF(AB1038&lt;&gt;"",AB1038,AA1038)</f>
        <v>-</v>
      </c>
      <c r="CG1038" s="60" t="str">
        <f aca="false">IF(OR(CF1038=1,CF1038=2,CF1038=3),IF(Parameter!$E$27="Ja","LIFT",IF(CF1038=1,"L1","L23")),IF(CF1038="Aussen","Aussen","-"))</f>
        <v>-</v>
      </c>
      <c r="CH1038" s="71" t="n">
        <f aca="false">IF(N(AC1038)&gt;0,AC1038,0)</f>
        <v>0</v>
      </c>
      <c r="CI1038" s="65" t="n">
        <f aca="false">IF(ISNUMBER(AF1038),1,0)</f>
        <v>0</v>
      </c>
      <c r="CJ1038" s="62" t="n">
        <f aca="false">N(AF1038)</f>
        <v>0</v>
      </c>
      <c r="CK1038" s="62" t="n">
        <f aca="false">N(M1038)+N(N1038)</f>
        <v>1</v>
      </c>
      <c r="CL1038" s="62" t="n">
        <f aca="false">N(M1038)</f>
        <v>0</v>
      </c>
      <c r="CM1038" s="62" t="n">
        <f aca="false">N(N1038)</f>
        <v>1</v>
      </c>
      <c r="CN1038" s="62" t="n">
        <f aca="false">ROUNDUP(H1038/BZ1038,0)</f>
        <v>0</v>
      </c>
      <c r="CO1038" s="62" t="n">
        <f aca="false">ROUNDUP(CJ1038/BZ1038,0)</f>
        <v>0</v>
      </c>
      <c r="CP1038" s="65" t="n">
        <f aca="false">IF(CA1038=1,0,IFERROR(VLOOKUP(BY1038,'Gebinde-Kategorie'!$A$5:$N$45,5,0)+0,0))</f>
        <v>20</v>
      </c>
      <c r="CQ1038" s="65" t="n">
        <f aca="false">IFERROR(IF(OR(CF1038=1,CF1038=2,CF1038=3),N(INDEX(Parameter!$I$5:$I$7,CF1038)),0),0)</f>
        <v>0</v>
      </c>
      <c r="CR1038" s="64" t="n">
        <f aca="false">IF(AND(Parameter!$B$21="Ja",ISNUMBER(W1038),N(X1038)&gt;0),IFERROR(N(INDEX(Parameter!$L$5:$L$7,W1038))*INDEX(Parameter!$E$5:$E$7,W1038)*X1038/SUMIFS($X$7:$X$1843,$W$7:$W$1843,W1038),0),0)</f>
        <v>0</v>
      </c>
      <c r="CS1038" s="62" t="str">
        <f aca="false">IF(AND(OR(CG1038="L1",CG1038="L23",CG1038="LIFT"),H1038&gt;0),CC1038*IF(CR1038&gt;0,CR1038*MAX(1,H1038/X1038),IF(CA1038=1,CE1038,IF(R1038&gt;0,CN1038/R1038,0))/MAX(0.1,N(Parameter!$M$21))),"")</f>
        <v/>
      </c>
      <c r="CT1038" s="64" t="str">
        <f aca="false">IF(CS1038="","",J1038/H1038)</f>
        <v/>
      </c>
      <c r="CU1038" s="62" t="str">
        <f aca="false">IF(CS1038="","",H1038*G1038)</f>
        <v/>
      </c>
      <c r="CV1038" s="63" t="str">
        <f aca="false">IF(CS1038="","",(CL1038+ROUNDUP(CL1038+MAX(CM1038,2*(J1038/MAX(0.1,N(Einkauf!$C$6))-CL1038)),0))/2)</f>
        <v/>
      </c>
      <c r="CW1038" s="62" t="str">
        <f aca="false">IF(CS1038="","",MAX(0,H1038-CV1038)*G1038)</f>
        <v/>
      </c>
      <c r="CX1038" s="62" t="str">
        <f aca="false">IF(CS1038="","",CS1038*MAX(0,1-CV1038/H1038))</f>
        <v/>
      </c>
      <c r="CY1038" s="64" t="str">
        <f aca="false">IF(CS1038="","",PERCENTRANK($CS$7:$CS$1843,CS1038)+PERCENTRANK($CU$7:$CU$1843,CU1038)+1-PERCENTRANK($CT$7:$CT$1843,CT1038))</f>
        <v/>
      </c>
      <c r="CZ1038" s="72" t="str">
        <f aca="false">IF(CS1038="","",CHOOSE(MATCH(Einkauf!$C$5,Parameter!$G$23:$G$27,0),CY1038,CS1038,CU1038,-CT1038,CW1038)+ROW()/1000000000)</f>
        <v/>
      </c>
    </row>
    <row r="1039" customFormat="false" ht="15" hidden="false" customHeight="false" outlineLevel="0" collapsed="false">
      <c r="A1039" s="60" t="s">
        <v>1949</v>
      </c>
      <c r="B1039" s="60" t="s">
        <v>889</v>
      </c>
      <c r="C1039" s="60" t="s">
        <v>206</v>
      </c>
      <c r="D1039" s="60" t="s">
        <v>226</v>
      </c>
      <c r="E1039" s="60" t="s">
        <v>227</v>
      </c>
      <c r="F1039" s="60" t="s">
        <v>260</v>
      </c>
      <c r="G1039" s="61" t="n">
        <v>19.2</v>
      </c>
      <c r="H1039" s="62" t="n">
        <f aca="false">MAX(0,IF(AND(Parameter!$B$21="Ja",ISNUMBER(Y1039)),Y1039,IF(Parameter!$B$20="Jahresanfang 2025 + Export",BS1039+BR1039,BR1039)))</f>
        <v>9</v>
      </c>
      <c r="I1039" s="62" t="n">
        <f aca="false">H1039*G1039</f>
        <v>172.8</v>
      </c>
      <c r="J1039" s="62" t="n">
        <f aca="false">BU1039*Parameter!$B$18</f>
        <v>6</v>
      </c>
      <c r="K1039" s="63" t="n">
        <v>13</v>
      </c>
      <c r="L1039" s="64" t="n">
        <v>0.461538461538462</v>
      </c>
      <c r="M1039" s="62" t="n">
        <v>0</v>
      </c>
      <c r="N1039" s="62" t="n">
        <v>5</v>
      </c>
      <c r="O1039" s="65" t="n">
        <v>31</v>
      </c>
      <c r="P1039" s="60" t="s">
        <v>518</v>
      </c>
      <c r="Q1039" s="62" t="n">
        <v>19</v>
      </c>
      <c r="R1039" s="65" t="n">
        <f aca="false">IF(CA1039=1,0,IFERROR(VLOOKUP(BY1039,'Gebinde-Kategorie'!$A$5:$N$45,13,0)+0,0))</f>
        <v>52</v>
      </c>
      <c r="S1039" s="66"/>
      <c r="T1039" s="67"/>
      <c r="U1039" s="67"/>
      <c r="V1039" s="67"/>
      <c r="W1039" s="60"/>
      <c r="X1039" s="62"/>
      <c r="Y1039" s="62"/>
      <c r="Z1039" s="60" t="n">
        <v>2</v>
      </c>
      <c r="AA1039" s="60" t="n">
        <f aca="false">IF(A1039="","",IF(AND(Parameter!$B$21="Ja",ISNUMBER(W1039)),W1039,IF(AND(Parameter!$E$27="Ja",ISNUMBER(Z1039),CD1039&lt;&gt;"Nein"),Z1039,IF(CD1039="2+3",IF(ISNUMBER(SEARCH("grosser Artikel",BV1039)),2,IFERROR(VLOOKUP(BY1039,Parameter!$F$35:$G$64,2,0),2)),IF(OR(CD1039="Nein",CD1039=""),"-",CD1039)))))</f>
        <v>2</v>
      </c>
      <c r="AB1039" s="67"/>
      <c r="AC1039" s="68"/>
      <c r="AD1039" s="62" t="n">
        <f aca="false">AW1039</f>
        <v>5</v>
      </c>
      <c r="AE1039" s="62" t="n">
        <f aca="false">MAX(AW1039,H1039)</f>
        <v>9</v>
      </c>
      <c r="AF1039" s="69"/>
      <c r="AG1039" s="62" t="n">
        <f aca="false">IF(LEFT(Cockpit!$C$5,1)="A",H1039,IF(Parameter!$E$30="MAX-Bestand",IF(CI1039=1,CJ1039,IF(LEFT(Cockpit!$C$5,1)="B",AM1039,MAX(AM1039,H1039))),ROUNDUP(AK1039,0)))</f>
        <v>9</v>
      </c>
      <c r="AH1039" s="62" t="n">
        <f aca="false">IF(CA1039=1,0,ROUNDUP(AG1039/BZ1039,0))</f>
        <v>1</v>
      </c>
      <c r="AI1039" s="64" t="n">
        <f aca="false">IF(CR1039&gt;0,CR1039*MAX(1,AG1039/X1039),IF(CA1039=1,IF(AG1039&lt;=0,0,CE1039*MAX(1,IF(H1039&gt;0,AG1039/H1039,1))),IF(R1039&gt;0,AH1039/R1039,0))/MAX(0.1,N(Parameter!$M$21)))</f>
        <v>0.0192307692307692</v>
      </c>
      <c r="AJ1039" s="62" t="n">
        <f aca="false">AI1039*CC1039</f>
        <v>2.98076923076923</v>
      </c>
      <c r="AK1039" s="63" t="n">
        <f aca="false">IF(LEFT(Cockpit!$C$5,1)="A",H1039,IF(CI1039=1,(CL1039+CJ1039)/2,IF(LEFT(Cockpit!$C$5,1)="B",(CL1039+AM1039)/2,MAX((CL1039+AM1039)/2,H1039))))</f>
        <v>9</v>
      </c>
      <c r="AL1039" s="62" t="n">
        <f aca="false">AK1039*G1039</f>
        <v>172.8</v>
      </c>
      <c r="AM1039" s="62" t="n">
        <f aca="false">ROUNDUP(CL1039+MAX(CM1039,2*(J1039/IF(CH1039&gt;0,CH1039,MAX(0.1,N(Cockpit!$C$6)))-CL1039)),0)</f>
        <v>5</v>
      </c>
      <c r="AN1039" s="63" t="n">
        <f aca="false">IF(AJ1039&gt;0,J1039/AJ1039,-1)</f>
        <v>2.01290322580645</v>
      </c>
      <c r="AO1039" s="63" t="n">
        <f aca="false">IF(AND(OR(CG1039="L1",CG1039="L23",CG1039="LIFT"),AJ1039&gt;0),SUMIFS($AJ$7:$AJ$1843,$CG$7:$CG$1843,CG1039,$AN$7:$AN$1843,"&gt;"&amp;AN1039)+SUMIFS($AJ$7:$AJ$1843,$CG$7:$CG$1843,CG1039,$AN$7:$AN$1843,AN1039,$BX$7:$BX$1843,"&lt;="&amp;BX1039),"")</f>
        <v>5814.69597069597</v>
      </c>
      <c r="AP1039" s="70" t="n">
        <f aca="false">IF(AO1039="",0,MAX(0,MIN(1,(IF(CG1039="L1",Parameter!$H$5,IF(CG1039="L23",Parameter!$H$6+Parameter!$H$7,Parameter!$H$5+Parameter!$H$6+Parameter!$H$7))-(AO1039-AJ1039))/AJ1039)))</f>
        <v>1</v>
      </c>
      <c r="AQ1039" s="62" t="n">
        <f aca="false">IF(LEFT(Cockpit!$I$5,1)="A",H1039,IF(Parameter!$E$30="MAX-Bestand",IF(CI1039=1,CJ1039,IF(LEFT(Cockpit!$I$5,1)="B",AW1039,MAX(AW1039,H1039))),ROUNDUP(AU1039,0)))</f>
        <v>9</v>
      </c>
      <c r="AR1039" s="62" t="n">
        <f aca="false">IF(CA1039=1,0,ROUNDUP(AQ1039/BZ1039,0))</f>
        <v>1</v>
      </c>
      <c r="AS1039" s="64" t="n">
        <f aca="false">IF(CR1039&gt;0,CR1039*MAX(1,AQ1039/X1039),IF(CA1039=1,IF(AQ1039&lt;=0,0,CE1039*MAX(1,IF(H1039&gt;0,AQ1039/H1039,1))),IF(R1039&gt;0,AR1039/R1039,0))/MAX(0.1,N(Parameter!$M$21)))</f>
        <v>0.0192307692307692</v>
      </c>
      <c r="AT1039" s="62" t="n">
        <f aca="false">AS1039*CC1039</f>
        <v>2.98076923076923</v>
      </c>
      <c r="AU1039" s="63" t="n">
        <f aca="false">IF(LEFT(Cockpit!$I$5,1)="A",H1039,IF(CI1039=1,(CL1039+CJ1039)/2,IF(LEFT(Cockpit!$I$5,1)="B",(CL1039+AW1039)/2,MAX((CL1039+AW1039)/2,H1039))))</f>
        <v>9</v>
      </c>
      <c r="AV1039" s="62" t="n">
        <f aca="false">AU1039*G1039</f>
        <v>172.8</v>
      </c>
      <c r="AW1039" s="62" t="n">
        <f aca="false">ROUNDUP(CL1039+MAX(CM1039,2*(J1039/IF(CH1039&gt;0,CH1039,MAX(0.1,N(Cockpit!$I$6)))-CL1039)),0)</f>
        <v>5</v>
      </c>
      <c r="AX1039" s="63" t="n">
        <f aca="false">IF(AT1039&gt;0,J1039/AT1039,-1)</f>
        <v>2.01290322580645</v>
      </c>
      <c r="AY1039" s="63" t="n">
        <f aca="false">IF(AND(OR(CG1039="L1",CG1039="L23",CG1039="LIFT"),AT1039&gt;0),SUMIFS($AT$7:$AT$1843,$CG$7:$CG$1843,CG1039,$AX$7:$AX$1843,"&gt;"&amp;AX1039)+SUMIFS($AT$7:$AT$1843,$CG$7:$CG$1843,CG1039,$AX$7:$AX$1843,AX1039,$BX$7:$BX$1843,"&lt;="&amp;BX1039),"")</f>
        <v>7182.63553113553</v>
      </c>
      <c r="AZ1039" s="70" t="n">
        <f aca="false">IF(AY1039="",0,MAX(0,MIN(1,(IF(CG1039="L1",Parameter!$H$5,IF(CG1039="L23",Parameter!$H$6+Parameter!$H$7,Parameter!$H$5+Parameter!$H$6+Parameter!$H$7))-(AY1039-AT1039))/AT1039)))</f>
        <v>1</v>
      </c>
      <c r="BA1039" s="62" t="n">
        <f aca="false">IF(LEFT(Cockpit!$O$5,1)="A",H1039,IF(Parameter!$E$30="MAX-Bestand",IF(CI1039=1,CJ1039,IF(LEFT(Cockpit!$O$5,1)="B",BG1039,MAX(BG1039,H1039))),ROUNDUP(BE1039,0)))</f>
        <v>3</v>
      </c>
      <c r="BB1039" s="62" t="n">
        <f aca="false">IF(CA1039=1,0,ROUNDUP(BA1039/BZ1039,0))</f>
        <v>1</v>
      </c>
      <c r="BC1039" s="64" t="n">
        <f aca="false">IF(CR1039&gt;0,CR1039*MAX(1,BA1039/X1039),IF(CA1039=1,IF(BA1039&lt;=0,0,CE1039*MAX(1,IF(H1039&gt;0,BA1039/H1039,1))),IF(R1039&gt;0,BB1039/R1039,0))/MAX(0.1,N(Parameter!$M$21)))</f>
        <v>0.0192307692307692</v>
      </c>
      <c r="BD1039" s="62" t="n">
        <f aca="false">BC1039*CC1039</f>
        <v>2.98076923076923</v>
      </c>
      <c r="BE1039" s="63" t="n">
        <f aca="false">IF(LEFT(Cockpit!$O$5,1)="A",H1039,IF(CI1039=1,(CL1039+CJ1039)/2,IF(LEFT(Cockpit!$O$5,1)="B",(CL1039+BG1039)/2,MAX((CL1039+BG1039)/2,H1039))))</f>
        <v>2.5</v>
      </c>
      <c r="BF1039" s="62" t="n">
        <f aca="false">BE1039*G1039</f>
        <v>48</v>
      </c>
      <c r="BG1039" s="62" t="n">
        <f aca="false">ROUNDUP(CL1039+MAX(CM1039,2*(J1039/IF(CH1039&gt;0,CH1039,MAX(0.1,N(Cockpit!$O$6)))-CL1039)),0)</f>
        <v>5</v>
      </c>
      <c r="BH1039" s="63" t="n">
        <f aca="false">IF(BD1039&gt;0,J1039/BD1039,-1)</f>
        <v>2.01290322580645</v>
      </c>
      <c r="BI1039" s="63" t="n">
        <f aca="false">IF(AND(OR(CG1039="L1",CG1039="L23",CG1039="LIFT"),BD1039&gt;0),SUMIFS($BD$7:$BD$1843,$CG$7:$CG$1843,CG1039,$BH$7:$BH$1843,"&gt;"&amp;BH1039)+SUMIFS($BD$7:$BD$1843,$CG$7:$CG$1843,CG1039,$BH$7:$BH$1843,BH1039,$BX$7:$BX$1843,"&lt;="&amp;BX1039),"")</f>
        <v>5884.46794871795</v>
      </c>
      <c r="BJ1039" s="70" t="n">
        <f aca="false">IF(BI1039="",0,MAX(0,MIN(1,(IF(CG1039="L1",Parameter!$H$5,IF(CG1039="L23",Parameter!$H$6+Parameter!$H$7,Parameter!$H$5+Parameter!$H$6+Parameter!$H$7))-(BI1039-BD1039))/BD1039)))</f>
        <v>1</v>
      </c>
      <c r="BK1039" s="60" t="str">
        <f aca="false">IF(AJ1039&lt;=0,"",IF(CG1039="Aussen","Aussenlager",IF(CG1039="-","Nicht im Lift",IF(AP1039&gt;=1,"Lift",IF(AP1039&lt;=0,"Aussenlager","teilweise")))))</f>
        <v>Lift</v>
      </c>
      <c r="BL1039" s="60" t="str">
        <f aca="false">IF(AT1039&lt;=0,"",IF(CG1039="Aussen","Aussenlager",IF(CG1039="-","Nicht im Lift",IF(AZ1039&gt;=1,"Lift",IF(AZ1039&lt;=0,"Aussenlager","teilweise")))))</f>
        <v>Lift</v>
      </c>
      <c r="BM1039" s="60" t="str">
        <f aca="false">IF(BD1039&lt;=0,"",IF(CG1039="Aussen","Aussenlager",IF(CG1039="-","Nicht im Lift",IF(BJ1039&gt;=1,"Lift",IF(BJ1039&lt;=0,"Aussenlager","teilweise")))))</f>
        <v>Lift</v>
      </c>
      <c r="BN1039" s="60" t="str">
        <f aca="false">IF(A1039="","",IF(BW1039=1,"Neu; ","")&amp;IF(AND(BW1039=0,BR1039&lt;0),"negativer Bestand (Export "&amp;BR1039&amp;"); ","")&amp;IF(J1039&lt;=0,"Kein Verbrauch; ","")&amp;IF(CR1039&gt;0,"Lift "&amp;W1039&amp;" lt. Liftbericht (Fach "&amp;X1039&amp;" Stk); ",IF(CB1039=1,"Gebinde geschätzt ("&amp;T1039&amp;"); ",IF(CA1039=1,"Lose – Tablare geschätzt; ","")))&amp;IF(H1039&gt;AW1039,"Überbestand "&amp;ROUND(H1039-AW1039,0)&amp;" Stk / CHF "&amp;ROUND((H1039-AW1039)*G1039,0)&amp;"; ","")&amp;IF(AND(CI1039=1,CJ1039&lt;CK1039),"MAX &lt; MB+LG; ","")&amp;IF(AND(CQ1039&gt;0,CP1039*10&gt;CQ1039),"zu hoch für Tablar; ","")&amp;IF(AND(BW1039=0,OR(CI1039=1,AB1039&lt;&gt;"",U1039&lt;&gt;"",V1039&lt;&gt;"",AC1039&lt;&gt;"")),"manuell übersteuert; ","")&amp;IF(AND(CA1039=0,R1039=0),"Gebinde unbekannt / Stellmass fehlt; ","")&amp;IF(AND(CA1039=0,N(V1039)&lt;=0,N(Q1039)&lt;=0),"Menge pro Gebinde fehlt (Ist = 1 Gebinde); ","")&amp;BV1039)</f>
        <v>negativer Bestand (Export -7); Überbestand 4 Stk / CHF 77; Überbestand</v>
      </c>
      <c r="BO1039" s="60"/>
      <c r="BP1039" s="60"/>
      <c r="BQ1039" s="67"/>
      <c r="BR1039" s="62" t="n">
        <v>-7</v>
      </c>
      <c r="BS1039" s="62" t="n">
        <v>16</v>
      </c>
      <c r="BT1039" s="61" t="n">
        <v>-134.4</v>
      </c>
      <c r="BU1039" s="62" t="n">
        <v>6</v>
      </c>
      <c r="BV1039" s="60" t="s">
        <v>434</v>
      </c>
      <c r="BW1039" s="65" t="n">
        <v>0</v>
      </c>
      <c r="BX1039" s="65" t="n">
        <v>1039</v>
      </c>
      <c r="BY1039" s="60" t="str">
        <f aca="false">IF(U1039&lt;&gt;"",UPPER(TRIM(U1039)),IF(CB1039=1,UPPER(VLOOKUP(T1039,Parameter!$I$27:$K$29,2,0)),IF(P1039="","LOSE",P1039)))</f>
        <v>S33</v>
      </c>
      <c r="BZ1039" s="62" t="n">
        <f aca="false">IF(BY1039="LOSE",1,IF(N(V1039)&gt;0,V1039,IF(CB1039=1,MAX(1,N(VLOOKUP(T1039,Parameter!$I$27:$K$29,3,0)),H1039,N(N1039)),IF(N(Q1039)&gt;0,Q1039,MAX(1,H1039)))))</f>
        <v>19</v>
      </c>
      <c r="CA1039" s="65" t="n">
        <f aca="false">IF(BY1039="LOSE",1,0)</f>
        <v>0</v>
      </c>
      <c r="CB1039" s="65" t="n">
        <f aca="false">IF(AND(U1039="",OR(P1039="",P1039="LOSE"),T1039&lt;&gt;"",N(S1039)&lt;=0,ISNUMBER(MATCH(T1039,Parameter!$I$27:$I$29,0))),1,0)</f>
        <v>0</v>
      </c>
      <c r="CC1039" s="65" t="n">
        <f aca="false">IF(CR1039&gt;0,INDEX(Parameter!$H$5:$H$7,W1039)/INDEX(Parameter!$E$5:$E$7,W1039),IF(AND(CA1039=0,N(IFERROR(VLOOKUP(BY1039,'Gebinde-Kategorie'!$A$5:$N$45,14,0),0))&gt;0),VLOOKUP(BY1039,'Gebinde-Kategorie'!$A$5:$N$45,14,0)*10+Parameter!$M$23,Parameter!$M$24))</f>
        <v>155</v>
      </c>
      <c r="CD1039" s="60" t="str">
        <f aca="false">IF(AND(Parameter!$B$19="Ja",E1039&lt;&gt;"",ISNUMBER(MATCH(E1039,Parameter!$I$35:$I$52,0))),VLOOKUP(E1039,Parameter!$I$35:$J$52,2,0),IFERROR(VLOOKUP(D1039,Parameter!$A$35:$C$64,2,0),"Nein"))</f>
        <v>2+3</v>
      </c>
      <c r="CE1039" s="64" t="n">
        <f aca="false">IF(CA1039=0,0,IF(N(S1039)&gt;0,S1039,IFERROR(VLOOKUP(D1039,Parameter!$A$35:$C$64,3,0)+0,0)))</f>
        <v>0</v>
      </c>
      <c r="CF1039" s="60" t="n">
        <f aca="false">IF(AB1039&lt;&gt;"",AB1039,AA1039)</f>
        <v>2</v>
      </c>
      <c r="CG1039" s="60" t="str">
        <f aca="false">IF(OR(CF1039=1,CF1039=2,CF1039=3),IF(Parameter!$E$27="Ja","LIFT",IF(CF1039=1,"L1","L23")),IF(CF1039="Aussen","Aussen","-"))</f>
        <v>LIFT</v>
      </c>
      <c r="CH1039" s="71" t="n">
        <f aca="false">IF(N(AC1039)&gt;0,AC1039,0)</f>
        <v>0</v>
      </c>
      <c r="CI1039" s="65" t="n">
        <f aca="false">IF(ISNUMBER(AF1039),1,0)</f>
        <v>0</v>
      </c>
      <c r="CJ1039" s="62" t="n">
        <f aca="false">N(AF1039)</f>
        <v>0</v>
      </c>
      <c r="CK1039" s="62" t="n">
        <f aca="false">N(M1039)+N(N1039)</f>
        <v>5</v>
      </c>
      <c r="CL1039" s="62" t="n">
        <f aca="false">N(M1039)</f>
        <v>0</v>
      </c>
      <c r="CM1039" s="62" t="n">
        <f aca="false">N(N1039)</f>
        <v>5</v>
      </c>
      <c r="CN1039" s="62" t="n">
        <f aca="false">ROUNDUP(H1039/BZ1039,0)</f>
        <v>1</v>
      </c>
      <c r="CO1039" s="62" t="n">
        <f aca="false">ROUNDUP(CJ1039/BZ1039,0)</f>
        <v>0</v>
      </c>
      <c r="CP1039" s="65" t="n">
        <f aca="false">IF(CA1039=1,0,IFERROR(VLOOKUP(BY1039,'Gebinde-Kategorie'!$A$5:$N$45,5,0)+0,0))</f>
        <v>8</v>
      </c>
      <c r="CQ1039" s="65" t="n">
        <f aca="false">IFERROR(IF(OR(CF1039=1,CF1039=2,CF1039=3),N(INDEX(Parameter!$I$5:$I$7,CF1039)),0),0)</f>
        <v>0</v>
      </c>
      <c r="CR1039" s="64" t="n">
        <f aca="false">IF(AND(Parameter!$B$21="Ja",ISNUMBER(W1039),N(X1039)&gt;0),IFERROR(N(INDEX(Parameter!$L$5:$L$7,W1039))*INDEX(Parameter!$E$5:$E$7,W1039)*X1039/SUMIFS($X$7:$X$1843,$W$7:$W$1843,W1039),0),0)</f>
        <v>0</v>
      </c>
      <c r="CS1039" s="62" t="n">
        <f aca="false">IF(AND(OR(CG1039="L1",CG1039="L23",CG1039="LIFT"),H1039&gt;0),CC1039*IF(CR1039&gt;0,CR1039*MAX(1,H1039/X1039),IF(CA1039=1,CE1039,IF(R1039&gt;0,CN1039/R1039,0))/MAX(0.1,N(Parameter!$M$21))),"")</f>
        <v>2.98076923076923</v>
      </c>
      <c r="CT1039" s="64" t="n">
        <f aca="false">IF(CS1039="","",J1039/H1039)</f>
        <v>0.666666666666667</v>
      </c>
      <c r="CU1039" s="62" t="n">
        <f aca="false">IF(CS1039="","",H1039*G1039)</f>
        <v>172.8</v>
      </c>
      <c r="CV1039" s="63" t="n">
        <f aca="false">IF(CS1039="","",(CL1039+ROUNDUP(CL1039+MAX(CM1039,2*(J1039/MAX(0.1,N(Einkauf!$C$6))-CL1039)),0))/2)</f>
        <v>2.5</v>
      </c>
      <c r="CW1039" s="62" t="n">
        <f aca="false">IF(CS1039="","",MAX(0,H1039-CV1039)*G1039)</f>
        <v>124.8</v>
      </c>
      <c r="CX1039" s="62" t="n">
        <f aca="false">IF(CS1039="","",CS1039*MAX(0,1-CV1039/H1039))</f>
        <v>2.15277777777778</v>
      </c>
      <c r="CY1039" s="64" t="n">
        <f aca="false">IF(CS1039="","",PERCENTRANK($CS$7:$CS$1843,CS1039)+PERCENTRANK($CU$7:$CU$1843,CU1039)+1-PERCENTRANK($CT$7:$CT$1843,CT1039))</f>
        <v>0.952</v>
      </c>
      <c r="CZ1039" s="72" t="n">
        <f aca="false">IF(CS1039="","",CHOOSE(MATCH(Einkauf!$C$5,Parameter!$G$23:$G$27,0),CY1039,CS1039,CU1039,-CT1039,CW1039)+ROW()/1000000000)</f>
        <v>0.952001039</v>
      </c>
    </row>
    <row r="1040" customFormat="false" ht="15" hidden="false" customHeight="false" outlineLevel="0" collapsed="false">
      <c r="A1040" s="60" t="s">
        <v>1950</v>
      </c>
      <c r="B1040" s="60" t="s">
        <v>1323</v>
      </c>
      <c r="C1040" s="60" t="s">
        <v>206</v>
      </c>
      <c r="D1040" s="60" t="s">
        <v>226</v>
      </c>
      <c r="E1040" s="60" t="s">
        <v>227</v>
      </c>
      <c r="F1040" s="60" t="s">
        <v>260</v>
      </c>
      <c r="G1040" s="61" t="n">
        <v>11.25</v>
      </c>
      <c r="H1040" s="62" t="n">
        <f aca="false">MAX(0,IF(AND(Parameter!$B$21="Ja",ISNUMBER(Y1040)),Y1040,IF(Parameter!$B$20="Jahresanfang 2025 + Export",BS1040+BR1040,BR1040)))</f>
        <v>70</v>
      </c>
      <c r="I1040" s="62" t="n">
        <f aca="false">H1040*G1040</f>
        <v>787.5</v>
      </c>
      <c r="J1040" s="62" t="n">
        <f aca="false">BU1040*Parameter!$B$18</f>
        <v>3</v>
      </c>
      <c r="K1040" s="63" t="n">
        <v>80.5</v>
      </c>
      <c r="L1040" s="64" t="n">
        <v>0.0372670807453416</v>
      </c>
      <c r="M1040" s="62" t="n">
        <v>0</v>
      </c>
      <c r="N1040" s="62" t="n">
        <v>5</v>
      </c>
      <c r="O1040" s="65" t="n">
        <v>21</v>
      </c>
      <c r="P1040" s="60" t="s">
        <v>463</v>
      </c>
      <c r="Q1040" s="62" t="n">
        <v>83</v>
      </c>
      <c r="R1040" s="65" t="n">
        <f aca="false">IF(CA1040=1,0,IFERROR(VLOOKUP(BY1040,'Gebinde-Kategorie'!$A$5:$N$45,13,0)+0,0))</f>
        <v>104</v>
      </c>
      <c r="S1040" s="66"/>
      <c r="T1040" s="67"/>
      <c r="U1040" s="67"/>
      <c r="V1040" s="67"/>
      <c r="W1040" s="60"/>
      <c r="X1040" s="62"/>
      <c r="Y1040" s="62"/>
      <c r="Z1040" s="60" t="n">
        <v>1</v>
      </c>
      <c r="AA1040" s="60" t="n">
        <f aca="false">IF(A1040="","",IF(AND(Parameter!$B$21="Ja",ISNUMBER(W1040)),W1040,IF(AND(Parameter!$E$27="Ja",ISNUMBER(Z1040),CD1040&lt;&gt;"Nein"),Z1040,IF(CD1040="2+3",IF(ISNUMBER(SEARCH("grosser Artikel",BV1040)),2,IFERROR(VLOOKUP(BY1040,Parameter!$F$35:$G$64,2,0),2)),IF(OR(CD1040="Nein",CD1040=""),"-",CD1040)))))</f>
        <v>1</v>
      </c>
      <c r="AB1040" s="67"/>
      <c r="AC1040" s="68"/>
      <c r="AD1040" s="62" t="n">
        <f aca="false">AW1040</f>
        <v>5</v>
      </c>
      <c r="AE1040" s="62" t="n">
        <f aca="false">MAX(AW1040,H1040)</f>
        <v>70</v>
      </c>
      <c r="AF1040" s="69"/>
      <c r="AG1040" s="62" t="n">
        <f aca="false">IF(LEFT(Cockpit!$C$5,1)="A",H1040,IF(Parameter!$E$30="MAX-Bestand",IF(CI1040=1,CJ1040,IF(LEFT(Cockpit!$C$5,1)="B",AM1040,MAX(AM1040,H1040))),ROUNDUP(AK1040,0)))</f>
        <v>70</v>
      </c>
      <c r="AH1040" s="62" t="n">
        <f aca="false">IF(CA1040=1,0,ROUNDUP(AG1040/BZ1040,0))</f>
        <v>1</v>
      </c>
      <c r="AI1040" s="64" t="n">
        <f aca="false">IF(CR1040&gt;0,CR1040*MAX(1,AG1040/X1040),IF(CA1040=1,IF(AG1040&lt;=0,0,CE1040*MAX(1,IF(H1040&gt;0,AG1040/H1040,1))),IF(R1040&gt;0,AH1040/R1040,0))/MAX(0.1,N(Parameter!$M$21)))</f>
        <v>0.00961538461538462</v>
      </c>
      <c r="AJ1040" s="62" t="n">
        <f aca="false">AI1040*CC1040</f>
        <v>1.49038461538462</v>
      </c>
      <c r="AK1040" s="63" t="n">
        <f aca="false">IF(LEFT(Cockpit!$C$5,1)="A",H1040,IF(CI1040=1,(CL1040+CJ1040)/2,IF(LEFT(Cockpit!$C$5,1)="B",(CL1040+AM1040)/2,MAX((CL1040+AM1040)/2,H1040))))</f>
        <v>70</v>
      </c>
      <c r="AL1040" s="62" t="n">
        <f aca="false">AK1040*G1040</f>
        <v>787.5</v>
      </c>
      <c r="AM1040" s="62" t="n">
        <f aca="false">ROUNDUP(CL1040+MAX(CM1040,2*(J1040/IF(CH1040&gt;0,CH1040,MAX(0.1,N(Cockpit!$C$6)))-CL1040)),0)</f>
        <v>5</v>
      </c>
      <c r="AN1040" s="63" t="n">
        <f aca="false">IF(AJ1040&gt;0,J1040/AJ1040,-1)</f>
        <v>2.01290322580645</v>
      </c>
      <c r="AO1040" s="63" t="n">
        <f aca="false">IF(AND(OR(CG1040="L1",CG1040="L23",CG1040="LIFT"),AJ1040&gt;0),SUMIFS($AJ$7:$AJ$1843,$CG$7:$CG$1843,CG1040,$AN$7:$AN$1843,"&gt;"&amp;AN1040)+SUMIFS($AJ$7:$AJ$1843,$CG$7:$CG$1843,CG1040,$AN$7:$AN$1843,AN1040,$BX$7:$BX$1843,"&lt;="&amp;BX1040),"")</f>
        <v>5816.18635531136</v>
      </c>
      <c r="AP1040" s="70" t="n">
        <f aca="false">IF(AO1040="",0,MAX(0,MIN(1,(IF(CG1040="L1",Parameter!$H$5,IF(CG1040="L23",Parameter!$H$6+Parameter!$H$7,Parameter!$H$5+Parameter!$H$6+Parameter!$H$7))-(AO1040-AJ1040))/AJ1040)))</f>
        <v>1</v>
      </c>
      <c r="AQ1040" s="62" t="n">
        <f aca="false">IF(LEFT(Cockpit!$I$5,1)="A",H1040,IF(Parameter!$E$30="MAX-Bestand",IF(CI1040=1,CJ1040,IF(LEFT(Cockpit!$I$5,1)="B",AW1040,MAX(AW1040,H1040))),ROUNDUP(AU1040,0)))</f>
        <v>70</v>
      </c>
      <c r="AR1040" s="62" t="n">
        <f aca="false">IF(CA1040=1,0,ROUNDUP(AQ1040/BZ1040,0))</f>
        <v>1</v>
      </c>
      <c r="AS1040" s="64" t="n">
        <f aca="false">IF(CR1040&gt;0,CR1040*MAX(1,AQ1040/X1040),IF(CA1040=1,IF(AQ1040&lt;=0,0,CE1040*MAX(1,IF(H1040&gt;0,AQ1040/H1040,1))),IF(R1040&gt;0,AR1040/R1040,0))/MAX(0.1,N(Parameter!$M$21)))</f>
        <v>0.00961538461538462</v>
      </c>
      <c r="AT1040" s="62" t="n">
        <f aca="false">AS1040*CC1040</f>
        <v>1.49038461538462</v>
      </c>
      <c r="AU1040" s="63" t="n">
        <f aca="false">IF(LEFT(Cockpit!$I$5,1)="A",H1040,IF(CI1040=1,(CL1040+CJ1040)/2,IF(LEFT(Cockpit!$I$5,1)="B",(CL1040+AW1040)/2,MAX((CL1040+AW1040)/2,H1040))))</f>
        <v>70</v>
      </c>
      <c r="AV1040" s="62" t="n">
        <f aca="false">AU1040*G1040</f>
        <v>787.5</v>
      </c>
      <c r="AW1040" s="62" t="n">
        <f aca="false">ROUNDUP(CL1040+MAX(CM1040,2*(J1040/IF(CH1040&gt;0,CH1040,MAX(0.1,N(Cockpit!$I$6)))-CL1040)),0)</f>
        <v>5</v>
      </c>
      <c r="AX1040" s="63" t="n">
        <f aca="false">IF(AT1040&gt;0,J1040/AT1040,-1)</f>
        <v>2.01290322580645</v>
      </c>
      <c r="AY1040" s="63" t="n">
        <f aca="false">IF(AND(OR(CG1040="L1",CG1040="L23",CG1040="LIFT"),AT1040&gt;0),SUMIFS($AT$7:$AT$1843,$CG$7:$CG$1843,CG1040,$AX$7:$AX$1843,"&gt;"&amp;AX1040)+SUMIFS($AT$7:$AT$1843,$CG$7:$CG$1843,CG1040,$AX$7:$AX$1843,AX1040,$BX$7:$BX$1843,"&lt;="&amp;BX1040),"")</f>
        <v>7184.12591575092</v>
      </c>
      <c r="AZ1040" s="70" t="n">
        <f aca="false">IF(AY1040="",0,MAX(0,MIN(1,(IF(CG1040="L1",Parameter!$H$5,IF(CG1040="L23",Parameter!$H$6+Parameter!$H$7,Parameter!$H$5+Parameter!$H$6+Parameter!$H$7))-(AY1040-AT1040))/AT1040)))</f>
        <v>1</v>
      </c>
      <c r="BA1040" s="62" t="n">
        <f aca="false">IF(LEFT(Cockpit!$O$5,1)="A",H1040,IF(Parameter!$E$30="MAX-Bestand",IF(CI1040=1,CJ1040,IF(LEFT(Cockpit!$O$5,1)="B",BG1040,MAX(BG1040,H1040))),ROUNDUP(BE1040,0)))</f>
        <v>3</v>
      </c>
      <c r="BB1040" s="62" t="n">
        <f aca="false">IF(CA1040=1,0,ROUNDUP(BA1040/BZ1040,0))</f>
        <v>1</v>
      </c>
      <c r="BC1040" s="64" t="n">
        <f aca="false">IF(CR1040&gt;0,CR1040*MAX(1,BA1040/X1040),IF(CA1040=1,IF(BA1040&lt;=0,0,CE1040*MAX(1,IF(H1040&gt;0,BA1040/H1040,1))),IF(R1040&gt;0,BB1040/R1040,0))/MAX(0.1,N(Parameter!$M$21)))</f>
        <v>0.00961538461538462</v>
      </c>
      <c r="BD1040" s="62" t="n">
        <f aca="false">BC1040*CC1040</f>
        <v>1.49038461538462</v>
      </c>
      <c r="BE1040" s="63" t="n">
        <f aca="false">IF(LEFT(Cockpit!$O$5,1)="A",H1040,IF(CI1040=1,(CL1040+CJ1040)/2,IF(LEFT(Cockpit!$O$5,1)="B",(CL1040+BG1040)/2,MAX((CL1040+BG1040)/2,H1040))))</f>
        <v>2.5</v>
      </c>
      <c r="BF1040" s="62" t="n">
        <f aca="false">BE1040*G1040</f>
        <v>28.125</v>
      </c>
      <c r="BG1040" s="62" t="n">
        <f aca="false">ROUNDUP(CL1040+MAX(CM1040,2*(J1040/IF(CH1040&gt;0,CH1040,MAX(0.1,N(Cockpit!$O$6)))-CL1040)),0)</f>
        <v>5</v>
      </c>
      <c r="BH1040" s="63" t="n">
        <f aca="false">IF(BD1040&gt;0,J1040/BD1040,-1)</f>
        <v>2.01290322580645</v>
      </c>
      <c r="BI1040" s="63" t="n">
        <f aca="false">IF(AND(OR(CG1040="L1",CG1040="L23",CG1040="LIFT"),BD1040&gt;0),SUMIFS($BD$7:$BD$1843,$CG$7:$CG$1843,CG1040,$BH$7:$BH$1843,"&gt;"&amp;BH1040)+SUMIFS($BD$7:$BD$1843,$CG$7:$CG$1843,CG1040,$BH$7:$BH$1843,BH1040,$BX$7:$BX$1843,"&lt;="&amp;BX1040),"")</f>
        <v>5885.95833333333</v>
      </c>
      <c r="BJ1040" s="70" t="n">
        <f aca="false">IF(BI1040="",0,MAX(0,MIN(1,(IF(CG1040="L1",Parameter!$H$5,IF(CG1040="L23",Parameter!$H$6+Parameter!$H$7,Parameter!$H$5+Parameter!$H$6+Parameter!$H$7))-(BI1040-BD1040))/BD1040)))</f>
        <v>1</v>
      </c>
      <c r="BK1040" s="60" t="str">
        <f aca="false">IF(AJ1040&lt;=0,"",IF(CG1040="Aussen","Aussenlager",IF(CG1040="-","Nicht im Lift",IF(AP1040&gt;=1,"Lift",IF(AP1040&lt;=0,"Aussenlager","teilweise")))))</f>
        <v>Lift</v>
      </c>
      <c r="BL1040" s="60" t="str">
        <f aca="false">IF(AT1040&lt;=0,"",IF(CG1040="Aussen","Aussenlager",IF(CG1040="-","Nicht im Lift",IF(AZ1040&gt;=1,"Lift",IF(AZ1040&lt;=0,"Aussenlager","teilweise")))))</f>
        <v>Lift</v>
      </c>
      <c r="BM1040" s="60" t="str">
        <f aca="false">IF(BD1040&lt;=0,"",IF(CG1040="Aussen","Aussenlager",IF(CG1040="-","Nicht im Lift",IF(BJ1040&gt;=1,"Lift",IF(BJ1040&lt;=0,"Aussenlager","teilweise")))))</f>
        <v>Lift</v>
      </c>
      <c r="BN1040" s="60" t="str">
        <f aca="false">IF(A1040="","",IF(BW1040=1,"Neu; ","")&amp;IF(AND(BW1040=0,BR1040&lt;0),"negativer Bestand (Export "&amp;BR1040&amp;"); ","")&amp;IF(J1040&lt;=0,"Kein Verbrauch; ","")&amp;IF(CR1040&gt;0,"Lift "&amp;W1040&amp;" lt. Liftbericht (Fach "&amp;X1040&amp;" Stk); ",IF(CB1040=1,"Gebinde geschätzt ("&amp;T1040&amp;"); ",IF(CA1040=1,"Lose – Tablare geschätzt; ","")))&amp;IF(H1040&gt;AW1040,"Überbestand "&amp;ROUND(H1040-AW1040,0)&amp;" Stk / CHF "&amp;ROUND((H1040-AW1040)*G1040,0)&amp;"; ","")&amp;IF(AND(CI1040=1,CJ1040&lt;CK1040),"MAX &lt; MB+LG; ","")&amp;IF(AND(CQ1040&gt;0,CP1040*10&gt;CQ1040),"zu hoch für Tablar; ","")&amp;IF(AND(BW1040=0,OR(CI1040=1,AB1040&lt;&gt;"",U1040&lt;&gt;"",V1040&lt;&gt;"",AC1040&lt;&gt;"")),"manuell übersteuert; ","")&amp;IF(AND(CA1040=0,R1040=0),"Gebinde unbekannt / Stellmass fehlt; ","")&amp;IF(AND(CA1040=0,N(V1040)&lt;=0,N(Q1040)&lt;=0),"Menge pro Gebinde fehlt (Ist = 1 Gebinde); ","")&amp;BV1040)</f>
        <v>negativer Bestand (Export -12); Überbestand 65 Stk / CHF 731; Überbestand</v>
      </c>
      <c r="BO1040" s="60"/>
      <c r="BP1040" s="60"/>
      <c r="BQ1040" s="67"/>
      <c r="BR1040" s="62" t="n">
        <v>-12</v>
      </c>
      <c r="BS1040" s="62" t="n">
        <v>82</v>
      </c>
      <c r="BT1040" s="61" t="n">
        <v>-135</v>
      </c>
      <c r="BU1040" s="62" t="n">
        <v>3</v>
      </c>
      <c r="BV1040" s="60" t="s">
        <v>434</v>
      </c>
      <c r="BW1040" s="65" t="n">
        <v>0</v>
      </c>
      <c r="BX1040" s="65" t="n">
        <v>1040</v>
      </c>
      <c r="BY1040" s="60" t="str">
        <f aca="false">IF(U1040&lt;&gt;"",UPPER(TRIM(U1040)),IF(CB1040=1,UPPER(VLOOKUP(T1040,Parameter!$I$27:$K$29,2,0)),IF(P1040="","LOSE",P1040)))</f>
        <v>S32</v>
      </c>
      <c r="BZ1040" s="62" t="n">
        <f aca="false">IF(BY1040="LOSE",1,IF(N(V1040)&gt;0,V1040,IF(CB1040=1,MAX(1,N(VLOOKUP(T1040,Parameter!$I$27:$K$29,3,0)),H1040,N(N1040)),IF(N(Q1040)&gt;0,Q1040,MAX(1,H1040)))))</f>
        <v>83</v>
      </c>
      <c r="CA1040" s="65" t="n">
        <f aca="false">IF(BY1040="LOSE",1,0)</f>
        <v>0</v>
      </c>
      <c r="CB1040" s="65" t="n">
        <f aca="false">IF(AND(U1040="",OR(P1040="",P1040="LOSE"),T1040&lt;&gt;"",N(S1040)&lt;=0,ISNUMBER(MATCH(T1040,Parameter!$I$27:$I$29,0))),1,0)</f>
        <v>0</v>
      </c>
      <c r="CC1040" s="65" t="n">
        <f aca="false">IF(CR1040&gt;0,INDEX(Parameter!$H$5:$H$7,W1040)/INDEX(Parameter!$E$5:$E$7,W1040),IF(AND(CA1040=0,N(IFERROR(VLOOKUP(BY1040,'Gebinde-Kategorie'!$A$5:$N$45,14,0),0))&gt;0),VLOOKUP(BY1040,'Gebinde-Kategorie'!$A$5:$N$45,14,0)*10+Parameter!$M$23,Parameter!$M$24))</f>
        <v>155</v>
      </c>
      <c r="CD1040" s="60" t="str">
        <f aca="false">IF(AND(Parameter!$B$19="Ja",E1040&lt;&gt;"",ISNUMBER(MATCH(E1040,Parameter!$I$35:$I$52,0))),VLOOKUP(E1040,Parameter!$I$35:$J$52,2,0),IFERROR(VLOOKUP(D1040,Parameter!$A$35:$C$64,2,0),"Nein"))</f>
        <v>2+3</v>
      </c>
      <c r="CE1040" s="64" t="n">
        <f aca="false">IF(CA1040=0,0,IF(N(S1040)&gt;0,S1040,IFERROR(VLOOKUP(D1040,Parameter!$A$35:$C$64,3,0)+0,0)))</f>
        <v>0</v>
      </c>
      <c r="CF1040" s="60" t="n">
        <f aca="false">IF(AB1040&lt;&gt;"",AB1040,AA1040)</f>
        <v>1</v>
      </c>
      <c r="CG1040" s="60" t="str">
        <f aca="false">IF(OR(CF1040=1,CF1040=2,CF1040=3),IF(Parameter!$E$27="Ja","LIFT",IF(CF1040=1,"L1","L23")),IF(CF1040="Aussen","Aussen","-"))</f>
        <v>LIFT</v>
      </c>
      <c r="CH1040" s="71" t="n">
        <f aca="false">IF(N(AC1040)&gt;0,AC1040,0)</f>
        <v>0</v>
      </c>
      <c r="CI1040" s="65" t="n">
        <f aca="false">IF(ISNUMBER(AF1040),1,0)</f>
        <v>0</v>
      </c>
      <c r="CJ1040" s="62" t="n">
        <f aca="false">N(AF1040)</f>
        <v>0</v>
      </c>
      <c r="CK1040" s="62" t="n">
        <f aca="false">N(M1040)+N(N1040)</f>
        <v>5</v>
      </c>
      <c r="CL1040" s="62" t="n">
        <f aca="false">N(M1040)</f>
        <v>0</v>
      </c>
      <c r="CM1040" s="62" t="n">
        <f aca="false">N(N1040)</f>
        <v>5</v>
      </c>
      <c r="CN1040" s="62" t="n">
        <f aca="false">ROUNDUP(H1040/BZ1040,0)</f>
        <v>1</v>
      </c>
      <c r="CO1040" s="62" t="n">
        <f aca="false">ROUNDUP(CJ1040/BZ1040,0)</f>
        <v>0</v>
      </c>
      <c r="CP1040" s="65" t="n">
        <f aca="false">IF(CA1040=1,0,IFERROR(VLOOKUP(BY1040,'Gebinde-Kategorie'!$A$5:$N$45,5,0)+0,0))</f>
        <v>8</v>
      </c>
      <c r="CQ1040" s="65" t="n">
        <f aca="false">IFERROR(IF(OR(CF1040=1,CF1040=2,CF1040=3),N(INDEX(Parameter!$I$5:$I$7,CF1040)),0),0)</f>
        <v>0</v>
      </c>
      <c r="CR1040" s="64" t="n">
        <f aca="false">IF(AND(Parameter!$B$21="Ja",ISNUMBER(W1040),N(X1040)&gt;0),IFERROR(N(INDEX(Parameter!$L$5:$L$7,W1040))*INDEX(Parameter!$E$5:$E$7,W1040)*X1040/SUMIFS($X$7:$X$1843,$W$7:$W$1843,W1040),0),0)</f>
        <v>0</v>
      </c>
      <c r="CS1040" s="62" t="n">
        <f aca="false">IF(AND(OR(CG1040="L1",CG1040="L23",CG1040="LIFT"),H1040&gt;0),CC1040*IF(CR1040&gt;0,CR1040*MAX(1,H1040/X1040),IF(CA1040=1,CE1040,IF(R1040&gt;0,CN1040/R1040,0))/MAX(0.1,N(Parameter!$M$21))),"")</f>
        <v>1.49038461538462</v>
      </c>
      <c r="CT1040" s="64" t="n">
        <f aca="false">IF(CS1040="","",J1040/H1040)</f>
        <v>0.0428571428571429</v>
      </c>
      <c r="CU1040" s="62" t="n">
        <f aca="false">IF(CS1040="","",H1040*G1040)</f>
        <v>787.5</v>
      </c>
      <c r="CV1040" s="63" t="n">
        <f aca="false">IF(CS1040="","",(CL1040+ROUNDUP(CL1040+MAX(CM1040,2*(J1040/MAX(0.1,N(Einkauf!$C$6))-CL1040)),0))/2)</f>
        <v>2.5</v>
      </c>
      <c r="CW1040" s="62" t="n">
        <f aca="false">IF(CS1040="","",MAX(0,H1040-CV1040)*G1040)</f>
        <v>759.375</v>
      </c>
      <c r="CX1040" s="62" t="n">
        <f aca="false">IF(CS1040="","",CS1040*MAX(0,1-CV1040/H1040))</f>
        <v>1.43715659340659</v>
      </c>
      <c r="CY1040" s="64" t="n">
        <f aca="false">IF(CS1040="","",PERCENTRANK($CS$7:$CS$1843,CS1040)+PERCENTRANK($CU$7:$CU$1843,CU1040)+1-PERCENTRANK($CT$7:$CT$1843,CT1040))</f>
        <v>1.32</v>
      </c>
      <c r="CZ1040" s="72" t="n">
        <f aca="false">IF(CS1040="","",CHOOSE(MATCH(Einkauf!$C$5,Parameter!$G$23:$G$27,0),CY1040,CS1040,CU1040,-CT1040,CW1040)+ROW()/1000000000)</f>
        <v>1.32000104</v>
      </c>
    </row>
    <row r="1041" customFormat="false" ht="15" hidden="false" customHeight="false" outlineLevel="0" collapsed="false">
      <c r="A1041" s="60" t="s">
        <v>1951</v>
      </c>
      <c r="B1041" s="60" t="s">
        <v>1952</v>
      </c>
      <c r="C1041" s="60" t="s">
        <v>206</v>
      </c>
      <c r="D1041" s="60" t="s">
        <v>226</v>
      </c>
      <c r="E1041" s="60" t="s">
        <v>227</v>
      </c>
      <c r="F1041" s="60" t="s">
        <v>260</v>
      </c>
      <c r="G1041" s="61" t="n">
        <v>11.4</v>
      </c>
      <c r="H1041" s="62" t="n">
        <f aca="false">MAX(0,IF(AND(Parameter!$B$21="Ja",ISNUMBER(Y1041)),Y1041,IF(Parameter!$B$20="Jahresanfang 2025 + Export",BS1041+BR1041,BR1041)))</f>
        <v>54</v>
      </c>
      <c r="I1041" s="62" t="n">
        <f aca="false">H1041*G1041</f>
        <v>615.6</v>
      </c>
      <c r="J1041" s="62" t="n">
        <f aca="false">BU1041*Parameter!$B$18</f>
        <v>153</v>
      </c>
      <c r="K1041" s="63" t="n">
        <v>65</v>
      </c>
      <c r="L1041" s="64" t="n">
        <v>2.35384615384615</v>
      </c>
      <c r="M1041" s="62" t="n">
        <v>17</v>
      </c>
      <c r="N1041" s="62" t="n">
        <v>50</v>
      </c>
      <c r="O1041" s="65" t="n">
        <v>42</v>
      </c>
      <c r="P1041" s="60" t="s">
        <v>335</v>
      </c>
      <c r="Q1041" s="62" t="n">
        <v>101</v>
      </c>
      <c r="R1041" s="65" t="n">
        <f aca="false">IF(CA1041=1,0,IFERROR(VLOOKUP(BY1041,'Gebinde-Kategorie'!$A$5:$N$45,13,0)+0,0))</f>
        <v>12</v>
      </c>
      <c r="S1041" s="66"/>
      <c r="T1041" s="67"/>
      <c r="U1041" s="67"/>
      <c r="V1041" s="67"/>
      <c r="W1041" s="60"/>
      <c r="X1041" s="62"/>
      <c r="Y1041" s="62"/>
      <c r="Z1041" s="60" t="n">
        <v>3</v>
      </c>
      <c r="AA1041" s="60" t="n">
        <f aca="false">IF(A1041="","",IF(AND(Parameter!$B$21="Ja",ISNUMBER(W1041)),W1041,IF(AND(Parameter!$E$27="Ja",ISNUMBER(Z1041),CD1041&lt;&gt;"Nein"),Z1041,IF(CD1041="2+3",IF(ISNUMBER(SEARCH("grosser Artikel",BV1041)),2,IFERROR(VLOOKUP(BY1041,Parameter!$F$35:$G$64,2,0),2)),IF(OR(CD1041="Nein",CD1041=""),"-",CD1041)))))</f>
        <v>3</v>
      </c>
      <c r="AB1041" s="67"/>
      <c r="AC1041" s="68"/>
      <c r="AD1041" s="62" t="n">
        <f aca="false">AW1041</f>
        <v>85</v>
      </c>
      <c r="AE1041" s="62" t="n">
        <f aca="false">MAX(AW1041,H1041)</f>
        <v>85</v>
      </c>
      <c r="AF1041" s="69"/>
      <c r="AG1041" s="62" t="n">
        <f aca="false">IF(LEFT(Cockpit!$C$5,1)="A",H1041,IF(Parameter!$E$30="MAX-Bestand",IF(CI1041=1,CJ1041,IF(LEFT(Cockpit!$C$5,1)="B",AM1041,MAX(AM1041,H1041))),ROUNDUP(AK1041,0)))</f>
        <v>54</v>
      </c>
      <c r="AH1041" s="62" t="n">
        <f aca="false">IF(CA1041=1,0,ROUNDUP(AG1041/BZ1041,0))</f>
        <v>1</v>
      </c>
      <c r="AI1041" s="64" t="n">
        <f aca="false">IF(CR1041&gt;0,CR1041*MAX(1,AG1041/X1041),IF(CA1041=1,IF(AG1041&lt;=0,0,CE1041*MAX(1,IF(H1041&gt;0,AG1041/H1041,1))),IF(R1041&gt;0,AH1041/R1041,0))/MAX(0.1,N(Parameter!$M$21)))</f>
        <v>0.0833333333333333</v>
      </c>
      <c r="AJ1041" s="62" t="n">
        <f aca="false">AI1041*CC1041</f>
        <v>20.4166666666667</v>
      </c>
      <c r="AK1041" s="63" t="n">
        <f aca="false">IF(LEFT(Cockpit!$C$5,1)="A",H1041,IF(CI1041=1,(CL1041+CJ1041)/2,IF(LEFT(Cockpit!$C$5,1)="B",(CL1041+AM1041)/2,MAX((CL1041+AM1041)/2,H1041))))</f>
        <v>54</v>
      </c>
      <c r="AL1041" s="62" t="n">
        <f aca="false">AK1041*G1041</f>
        <v>615.6</v>
      </c>
      <c r="AM1041" s="62" t="n">
        <f aca="false">ROUNDUP(CL1041+MAX(CM1041,2*(J1041/IF(CH1041&gt;0,CH1041,MAX(0.1,N(Cockpit!$C$6)))-CL1041)),0)</f>
        <v>85</v>
      </c>
      <c r="AN1041" s="63" t="n">
        <f aca="false">IF(AJ1041&gt;0,J1041/AJ1041,-1)</f>
        <v>7.49387755102041</v>
      </c>
      <c r="AO1041" s="63" t="n">
        <f aca="false">IF(AND(OR(CG1041="L1",CG1041="L23",CG1041="LIFT"),AJ1041&gt;0),SUMIFS($AJ$7:$AJ$1843,$CG$7:$CG$1843,CG1041,$AN$7:$AN$1843,"&gt;"&amp;AN1041)+SUMIFS($AJ$7:$AJ$1843,$CG$7:$CG$1843,CG1041,$AN$7:$AN$1843,AN1041,$BX$7:$BX$1843,"&lt;="&amp;BX1041),"")</f>
        <v>3148.89743589744</v>
      </c>
      <c r="AP1041" s="70" t="n">
        <f aca="false">IF(AO1041="",0,MAX(0,MIN(1,(IF(CG1041="L1",Parameter!$H$5,IF(CG1041="L23",Parameter!$H$6+Parameter!$H$7,Parameter!$H$5+Parameter!$H$6+Parameter!$H$7))-(AO1041-AJ1041))/AJ1041)))</f>
        <v>1</v>
      </c>
      <c r="AQ1041" s="62" t="n">
        <f aca="false">IF(LEFT(Cockpit!$I$5,1)="A",H1041,IF(Parameter!$E$30="MAX-Bestand",IF(CI1041=1,CJ1041,IF(LEFT(Cockpit!$I$5,1)="B",AW1041,MAX(AW1041,H1041))),ROUNDUP(AU1041,0)))</f>
        <v>54</v>
      </c>
      <c r="AR1041" s="62" t="n">
        <f aca="false">IF(CA1041=1,0,ROUNDUP(AQ1041/BZ1041,0))</f>
        <v>1</v>
      </c>
      <c r="AS1041" s="64" t="n">
        <f aca="false">IF(CR1041&gt;0,CR1041*MAX(1,AQ1041/X1041),IF(CA1041=1,IF(AQ1041&lt;=0,0,CE1041*MAX(1,IF(H1041&gt;0,AQ1041/H1041,1))),IF(R1041&gt;0,AR1041/R1041,0))/MAX(0.1,N(Parameter!$M$21)))</f>
        <v>0.0833333333333333</v>
      </c>
      <c r="AT1041" s="62" t="n">
        <f aca="false">AS1041*CC1041</f>
        <v>20.4166666666667</v>
      </c>
      <c r="AU1041" s="63" t="n">
        <f aca="false">IF(LEFT(Cockpit!$I$5,1)="A",H1041,IF(CI1041=1,(CL1041+CJ1041)/2,IF(LEFT(Cockpit!$I$5,1)="B",(CL1041+AW1041)/2,MAX((CL1041+AW1041)/2,H1041))))</f>
        <v>54</v>
      </c>
      <c r="AV1041" s="62" t="n">
        <f aca="false">AU1041*G1041</f>
        <v>615.6</v>
      </c>
      <c r="AW1041" s="62" t="n">
        <f aca="false">ROUNDUP(CL1041+MAX(CM1041,2*(J1041/IF(CH1041&gt;0,CH1041,MAX(0.1,N(Cockpit!$I$6)))-CL1041)),0)</f>
        <v>85</v>
      </c>
      <c r="AX1041" s="63" t="n">
        <f aca="false">IF(AT1041&gt;0,J1041/AT1041,-1)</f>
        <v>7.49387755102041</v>
      </c>
      <c r="AY1041" s="63" t="n">
        <f aca="false">IF(AND(OR(CG1041="L1",CG1041="L23",CG1041="LIFT"),AT1041&gt;0),SUMIFS($AT$7:$AT$1843,$CG$7:$CG$1843,CG1041,$AX$7:$AX$1843,"&gt;"&amp;AX1041)+SUMIFS($AT$7:$AT$1843,$CG$7:$CG$1843,CG1041,$AX$7:$AX$1843,AX1041,$BX$7:$BX$1843,"&lt;="&amp;BX1041),"")</f>
        <v>3809.20879120879</v>
      </c>
      <c r="AZ1041" s="70" t="n">
        <f aca="false">IF(AY1041="",0,MAX(0,MIN(1,(IF(CG1041="L1",Parameter!$H$5,IF(CG1041="L23",Parameter!$H$6+Parameter!$H$7,Parameter!$H$5+Parameter!$H$6+Parameter!$H$7))-(AY1041-AT1041))/AT1041)))</f>
        <v>1</v>
      </c>
      <c r="BA1041" s="62" t="n">
        <f aca="false">IF(LEFT(Cockpit!$O$5,1)="A",H1041,IF(Parameter!$E$30="MAX-Bestand",IF(CI1041=1,CJ1041,IF(LEFT(Cockpit!$O$5,1)="B",BG1041,MAX(BG1041,H1041))),ROUNDUP(BE1041,0)))</f>
        <v>42</v>
      </c>
      <c r="BB1041" s="62" t="n">
        <f aca="false">IF(CA1041=1,0,ROUNDUP(BA1041/BZ1041,0))</f>
        <v>1</v>
      </c>
      <c r="BC1041" s="64" t="n">
        <f aca="false">IF(CR1041&gt;0,CR1041*MAX(1,BA1041/X1041),IF(CA1041=1,IF(BA1041&lt;=0,0,CE1041*MAX(1,IF(H1041&gt;0,BA1041/H1041,1))),IF(R1041&gt;0,BB1041/R1041,0))/MAX(0.1,N(Parameter!$M$21)))</f>
        <v>0.0833333333333333</v>
      </c>
      <c r="BD1041" s="62" t="n">
        <f aca="false">BC1041*CC1041</f>
        <v>20.4166666666667</v>
      </c>
      <c r="BE1041" s="63" t="n">
        <f aca="false">IF(LEFT(Cockpit!$O$5,1)="A",H1041,IF(CI1041=1,(CL1041+CJ1041)/2,IF(LEFT(Cockpit!$O$5,1)="B",(CL1041+BG1041)/2,MAX((CL1041+BG1041)/2,H1041))))</f>
        <v>42</v>
      </c>
      <c r="BF1041" s="62" t="n">
        <f aca="false">BE1041*G1041</f>
        <v>478.8</v>
      </c>
      <c r="BG1041" s="62" t="n">
        <f aca="false">ROUNDUP(CL1041+MAX(CM1041,2*(J1041/IF(CH1041&gt;0,CH1041,MAX(0.1,N(Cockpit!$O$6)))-CL1041)),0)</f>
        <v>67</v>
      </c>
      <c r="BH1041" s="63" t="n">
        <f aca="false">IF(BD1041&gt;0,J1041/BD1041,-1)</f>
        <v>7.49387755102041</v>
      </c>
      <c r="BI1041" s="63" t="n">
        <f aca="false">IF(AND(OR(CG1041="L1",CG1041="L23",CG1041="LIFT"),BD1041&gt;0),SUMIFS($BD$7:$BD$1843,$CG$7:$CG$1843,CG1041,$BH$7:$BH$1843,"&gt;"&amp;BH1041)+SUMIFS($BD$7:$BD$1843,$CG$7:$CG$1843,CG1041,$BH$7:$BH$1843,BH1041,$BX$7:$BX$1843,"&lt;="&amp;BX1041),"")</f>
        <v>3206.73214285714</v>
      </c>
      <c r="BJ1041" s="70" t="n">
        <f aca="false">IF(BI1041="",0,MAX(0,MIN(1,(IF(CG1041="L1",Parameter!$H$5,IF(CG1041="L23",Parameter!$H$6+Parameter!$H$7,Parameter!$H$5+Parameter!$H$6+Parameter!$H$7))-(BI1041-BD1041))/BD1041)))</f>
        <v>1</v>
      </c>
      <c r="BK1041" s="60" t="str">
        <f aca="false">IF(AJ1041&lt;=0,"",IF(CG1041="Aussen","Aussenlager",IF(CG1041="-","Nicht im Lift",IF(AP1041&gt;=1,"Lift",IF(AP1041&lt;=0,"Aussenlager","teilweise")))))</f>
        <v>Lift</v>
      </c>
      <c r="BL1041" s="60" t="str">
        <f aca="false">IF(AT1041&lt;=0,"",IF(CG1041="Aussen","Aussenlager",IF(CG1041="-","Nicht im Lift",IF(AZ1041&gt;=1,"Lift",IF(AZ1041&lt;=0,"Aussenlager","teilweise")))))</f>
        <v>Lift</v>
      </c>
      <c r="BM1041" s="60" t="str">
        <f aca="false">IF(BD1041&lt;=0,"",IF(CG1041="Aussen","Aussenlager",IF(CG1041="-","Nicht im Lift",IF(BJ1041&gt;=1,"Lift",IF(BJ1041&lt;=0,"Aussenlager","teilweise")))))</f>
        <v>Lift</v>
      </c>
      <c r="BN1041" s="60" t="str">
        <f aca="false">IF(A1041="","",IF(BW1041=1,"Neu; ","")&amp;IF(AND(BW1041=0,BR1041&lt;0),"negativer Bestand (Export "&amp;BR1041&amp;"); ","")&amp;IF(J1041&lt;=0,"Kein Verbrauch; ","")&amp;IF(CR1041&gt;0,"Lift "&amp;W1041&amp;" lt. Liftbericht (Fach "&amp;X1041&amp;" Stk); ",IF(CB1041=1,"Gebinde geschätzt ("&amp;T1041&amp;"); ",IF(CA1041=1,"Lose – Tablare geschätzt; ","")))&amp;IF(H1041&gt;AW1041,"Überbestand "&amp;ROUND(H1041-AW1041,0)&amp;" Stk / CHF "&amp;ROUND((H1041-AW1041)*G1041,0)&amp;"; ","")&amp;IF(AND(CI1041=1,CJ1041&lt;CK1041),"MAX &lt; MB+LG; ","")&amp;IF(AND(CQ1041&gt;0,CP1041*10&gt;CQ1041),"zu hoch für Tablar; ","")&amp;IF(AND(BW1041=0,OR(CI1041=1,AB1041&lt;&gt;"",U1041&lt;&gt;"",V1041&lt;&gt;"",AC1041&lt;&gt;"")),"manuell übersteuert; ","")&amp;IF(AND(CA1041=0,R1041=0),"Gebinde unbekannt / Stellmass fehlt; ","")&amp;IF(AND(CA1041=0,N(V1041)&lt;=0,N(Q1041)&lt;=0),"Menge pro Gebinde fehlt (Ist = 1 Gebinde); ","")&amp;BV1041)</f>
        <v>negativer Bestand (Export -12); </v>
      </c>
      <c r="BO1041" s="60"/>
      <c r="BP1041" s="60"/>
      <c r="BQ1041" s="67"/>
      <c r="BR1041" s="62" t="n">
        <v>-12</v>
      </c>
      <c r="BS1041" s="62" t="n">
        <v>66</v>
      </c>
      <c r="BT1041" s="61" t="n">
        <v>-136.8</v>
      </c>
      <c r="BU1041" s="62" t="n">
        <v>153</v>
      </c>
      <c r="BV1041" s="60"/>
      <c r="BW1041" s="65" t="n">
        <v>0</v>
      </c>
      <c r="BX1041" s="65" t="n">
        <v>1041</v>
      </c>
      <c r="BY1041" s="60" t="str">
        <f aca="false">IF(U1041&lt;&gt;"",UPPER(TRIM(U1041)),IF(CB1041=1,UPPER(VLOOKUP(T1041,Parameter!$I$27:$K$29,2,0)),IF(P1041="","LOSE",P1041)))</f>
        <v>S62</v>
      </c>
      <c r="BZ1041" s="62" t="n">
        <f aca="false">IF(BY1041="LOSE",1,IF(N(V1041)&gt;0,V1041,IF(CB1041=1,MAX(1,N(VLOOKUP(T1041,Parameter!$I$27:$K$29,3,0)),H1041,N(N1041)),IF(N(Q1041)&gt;0,Q1041,MAX(1,H1041)))))</f>
        <v>101</v>
      </c>
      <c r="CA1041" s="65" t="n">
        <f aca="false">IF(BY1041="LOSE",1,0)</f>
        <v>0</v>
      </c>
      <c r="CB1041" s="65" t="n">
        <f aca="false">IF(AND(U1041="",OR(P1041="",P1041="LOSE"),T1041&lt;&gt;"",N(S1041)&lt;=0,ISNUMBER(MATCH(T1041,Parameter!$I$27:$I$29,0))),1,0)</f>
        <v>0</v>
      </c>
      <c r="CC1041" s="65" t="n">
        <f aca="false">IF(CR1041&gt;0,INDEX(Parameter!$H$5:$H$7,W1041)/INDEX(Parameter!$E$5:$E$7,W1041),IF(AND(CA1041=0,N(IFERROR(VLOOKUP(BY1041,'Gebinde-Kategorie'!$A$5:$N$45,14,0),0))&gt;0),VLOOKUP(BY1041,'Gebinde-Kategorie'!$A$5:$N$45,14,0)*10+Parameter!$M$23,Parameter!$M$24))</f>
        <v>245</v>
      </c>
      <c r="CD1041" s="60" t="str">
        <f aca="false">IF(AND(Parameter!$B$19="Ja",E1041&lt;&gt;"",ISNUMBER(MATCH(E1041,Parameter!$I$35:$I$52,0))),VLOOKUP(E1041,Parameter!$I$35:$J$52,2,0),IFERROR(VLOOKUP(D1041,Parameter!$A$35:$C$64,2,0),"Nein"))</f>
        <v>2+3</v>
      </c>
      <c r="CE1041" s="64" t="n">
        <f aca="false">IF(CA1041=0,0,IF(N(S1041)&gt;0,S1041,IFERROR(VLOOKUP(D1041,Parameter!$A$35:$C$64,3,0)+0,0)))</f>
        <v>0</v>
      </c>
      <c r="CF1041" s="60" t="n">
        <f aca="false">IF(AB1041&lt;&gt;"",AB1041,AA1041)</f>
        <v>3</v>
      </c>
      <c r="CG1041" s="60" t="str">
        <f aca="false">IF(OR(CF1041=1,CF1041=2,CF1041=3),IF(Parameter!$E$27="Ja","LIFT",IF(CF1041=1,"L1","L23")),IF(CF1041="Aussen","Aussen","-"))</f>
        <v>LIFT</v>
      </c>
      <c r="CH1041" s="71" t="n">
        <f aca="false">IF(N(AC1041)&gt;0,AC1041,0)</f>
        <v>0</v>
      </c>
      <c r="CI1041" s="65" t="n">
        <f aca="false">IF(ISNUMBER(AF1041),1,0)</f>
        <v>0</v>
      </c>
      <c r="CJ1041" s="62" t="n">
        <f aca="false">N(AF1041)</f>
        <v>0</v>
      </c>
      <c r="CK1041" s="62" t="n">
        <f aca="false">N(M1041)+N(N1041)</f>
        <v>67</v>
      </c>
      <c r="CL1041" s="62" t="n">
        <f aca="false">N(M1041)</f>
        <v>17</v>
      </c>
      <c r="CM1041" s="62" t="n">
        <f aca="false">N(N1041)</f>
        <v>50</v>
      </c>
      <c r="CN1041" s="62" t="n">
        <f aca="false">ROUNDUP(H1041/BZ1041,0)</f>
        <v>1</v>
      </c>
      <c r="CO1041" s="62" t="n">
        <f aca="false">ROUNDUP(CJ1041/BZ1041,0)</f>
        <v>0</v>
      </c>
      <c r="CP1041" s="65" t="n">
        <f aca="false">IF(CA1041=1,0,IFERROR(VLOOKUP(BY1041,'Gebinde-Kategorie'!$A$5:$N$45,5,0)+0,0))</f>
        <v>21</v>
      </c>
      <c r="CQ1041" s="65" t="n">
        <f aca="false">IFERROR(IF(OR(CF1041=1,CF1041=2,CF1041=3),N(INDEX(Parameter!$I$5:$I$7,CF1041)),0),0)</f>
        <v>0</v>
      </c>
      <c r="CR1041" s="64" t="n">
        <f aca="false">IF(AND(Parameter!$B$21="Ja",ISNUMBER(W1041),N(X1041)&gt;0),IFERROR(N(INDEX(Parameter!$L$5:$L$7,W1041))*INDEX(Parameter!$E$5:$E$7,W1041)*X1041/SUMIFS($X$7:$X$1843,$W$7:$W$1843,W1041),0),0)</f>
        <v>0</v>
      </c>
      <c r="CS1041" s="62" t="n">
        <f aca="false">IF(AND(OR(CG1041="L1",CG1041="L23",CG1041="LIFT"),H1041&gt;0),CC1041*IF(CR1041&gt;0,CR1041*MAX(1,H1041/X1041),IF(CA1041=1,CE1041,IF(R1041&gt;0,CN1041/R1041,0))/MAX(0.1,N(Parameter!$M$21))),"")</f>
        <v>20.4166666666667</v>
      </c>
      <c r="CT1041" s="64" t="n">
        <f aca="false">IF(CS1041="","",J1041/H1041)</f>
        <v>2.83333333333333</v>
      </c>
      <c r="CU1041" s="62" t="n">
        <f aca="false">IF(CS1041="","",H1041*G1041)</f>
        <v>615.6</v>
      </c>
      <c r="CV1041" s="63" t="n">
        <f aca="false">IF(CS1041="","",(CL1041+ROUNDUP(CL1041+MAX(CM1041,2*(J1041/MAX(0.1,N(Einkauf!$C$6))-CL1041)),0))/2)</f>
        <v>42</v>
      </c>
      <c r="CW1041" s="62" t="n">
        <f aca="false">IF(CS1041="","",MAX(0,H1041-CV1041)*G1041)</f>
        <v>136.8</v>
      </c>
      <c r="CX1041" s="62" t="n">
        <f aca="false">IF(CS1041="","",CS1041*MAX(0,1-CV1041/H1041))</f>
        <v>4.53703703703704</v>
      </c>
      <c r="CY1041" s="64" t="n">
        <f aca="false">IF(CS1041="","",PERCENTRANK($CS$7:$CS$1843,CS1041)+PERCENTRANK($CU$7:$CU$1843,CU1041)+1-PERCENTRANK($CT$7:$CT$1843,CT1041))</f>
        <v>1.459</v>
      </c>
      <c r="CZ1041" s="72" t="n">
        <f aca="false">IF(CS1041="","",CHOOSE(MATCH(Einkauf!$C$5,Parameter!$G$23:$G$27,0),CY1041,CS1041,CU1041,-CT1041,CW1041)+ROW()/1000000000)</f>
        <v>1.459001041</v>
      </c>
    </row>
    <row r="1042" customFormat="false" ht="15" hidden="false" customHeight="false" outlineLevel="0" collapsed="false">
      <c r="A1042" s="60" t="s">
        <v>1953</v>
      </c>
      <c r="B1042" s="60" t="s">
        <v>1954</v>
      </c>
      <c r="C1042" s="60" t="s">
        <v>206</v>
      </c>
      <c r="D1042" s="60" t="s">
        <v>215</v>
      </c>
      <c r="E1042" s="60"/>
      <c r="F1042" s="60" t="s">
        <v>260</v>
      </c>
      <c r="G1042" s="61" t="n">
        <v>18.72</v>
      </c>
      <c r="H1042" s="62" t="n">
        <f aca="false">MAX(0,IF(AND(Parameter!$B$21="Ja",ISNUMBER(Y1042)),Y1042,IF(Parameter!$B$20="Jahresanfang 2025 + Export",BS1042+BR1042,BR1042)))</f>
        <v>3</v>
      </c>
      <c r="I1042" s="62" t="n">
        <f aca="false">H1042*G1042</f>
        <v>56.16</v>
      </c>
      <c r="J1042" s="62" t="n">
        <f aca="false">BU1042*Parameter!$B$18</f>
        <v>15</v>
      </c>
      <c r="K1042" s="63" t="n">
        <v>8.5</v>
      </c>
      <c r="L1042" s="64" t="n">
        <v>1.76470588235294</v>
      </c>
      <c r="M1042" s="62" t="n">
        <v>1</v>
      </c>
      <c r="N1042" s="62" t="n">
        <v>15</v>
      </c>
      <c r="O1042" s="65" t="n">
        <v>35</v>
      </c>
      <c r="P1042" s="60" t="s">
        <v>468</v>
      </c>
      <c r="Q1042" s="62" t="n">
        <v>10</v>
      </c>
      <c r="R1042" s="65" t="n">
        <f aca="false">IF(CA1042=1,0,IFERROR(VLOOKUP(BY1042,'Gebinde-Kategorie'!$A$5:$N$45,13,0)+0,0))</f>
        <v>140</v>
      </c>
      <c r="S1042" s="66"/>
      <c r="T1042" s="67"/>
      <c r="U1042" s="67"/>
      <c r="V1042" s="67"/>
      <c r="W1042" s="60"/>
      <c r="X1042" s="62"/>
      <c r="Y1042" s="62"/>
      <c r="Z1042" s="60" t="n">
        <v>3</v>
      </c>
      <c r="AA1042" s="60" t="n">
        <f aca="false">IF(A1042="","",IF(AND(Parameter!$B$21="Ja",ISNUMBER(W1042)),W1042,IF(AND(Parameter!$E$27="Ja",ISNUMBER(Z1042),CD1042&lt;&gt;"Nein"),Z1042,IF(CD1042="2+3",IF(ISNUMBER(SEARCH("grosser Artikel",BV1042)),2,IFERROR(VLOOKUP(BY1042,Parameter!$F$35:$G$64,2,0),2)),IF(OR(CD1042="Nein",CD1042=""),"-",CD1042)))))</f>
        <v>3</v>
      </c>
      <c r="AB1042" s="67"/>
      <c r="AC1042" s="68"/>
      <c r="AD1042" s="62" t="n">
        <f aca="false">AW1042</f>
        <v>16</v>
      </c>
      <c r="AE1042" s="62" t="n">
        <f aca="false">MAX(AW1042,H1042)</f>
        <v>16</v>
      </c>
      <c r="AF1042" s="69"/>
      <c r="AG1042" s="62" t="n">
        <f aca="false">IF(LEFT(Cockpit!$C$5,1)="A",H1042,IF(Parameter!$E$30="MAX-Bestand",IF(CI1042=1,CJ1042,IF(LEFT(Cockpit!$C$5,1)="B",AM1042,MAX(AM1042,H1042))),ROUNDUP(AK1042,0)))</f>
        <v>3</v>
      </c>
      <c r="AH1042" s="62" t="n">
        <f aca="false">IF(CA1042=1,0,ROUNDUP(AG1042/BZ1042,0))</f>
        <v>1</v>
      </c>
      <c r="AI1042" s="64" t="n">
        <f aca="false">IF(CR1042&gt;0,CR1042*MAX(1,AG1042/X1042),IF(CA1042=1,IF(AG1042&lt;=0,0,CE1042*MAX(1,IF(H1042&gt;0,AG1042/H1042,1))),IF(R1042&gt;0,AH1042/R1042,0))/MAX(0.1,N(Parameter!$M$21)))</f>
        <v>0.00714285714285714</v>
      </c>
      <c r="AJ1042" s="62" t="n">
        <f aca="false">AI1042*CC1042</f>
        <v>1.10714285714286</v>
      </c>
      <c r="AK1042" s="63" t="n">
        <f aca="false">IF(LEFT(Cockpit!$C$5,1)="A",H1042,IF(CI1042=1,(CL1042+CJ1042)/2,IF(LEFT(Cockpit!$C$5,1)="B",(CL1042+AM1042)/2,MAX((CL1042+AM1042)/2,H1042))))</f>
        <v>3</v>
      </c>
      <c r="AL1042" s="62" t="n">
        <f aca="false">AK1042*G1042</f>
        <v>56.16</v>
      </c>
      <c r="AM1042" s="62" t="n">
        <f aca="false">ROUNDUP(CL1042+MAX(CM1042,2*(J1042/IF(CH1042&gt;0,CH1042,MAX(0.1,N(Cockpit!$C$6)))-CL1042)),0)</f>
        <v>16</v>
      </c>
      <c r="AN1042" s="63" t="n">
        <f aca="false">IF(AJ1042&gt;0,J1042/AJ1042,-1)</f>
        <v>13.5483870967742</v>
      </c>
      <c r="AO1042" s="63" t="n">
        <f aca="false">IF(AND(OR(CG1042="L1",CG1042="L23",CG1042="LIFT"),AJ1042&gt;0),SUMIFS($AJ$7:$AJ$1843,$CG$7:$CG$1843,CG1042,$AN$7:$AN$1843,"&gt;"&amp;AN1042)+SUMIFS($AJ$7:$AJ$1843,$CG$7:$CG$1843,CG1042,$AN$7:$AN$1843,AN1042,$BX$7:$BX$1843,"&lt;="&amp;BX1042),"")</f>
        <v>2342.83608058608</v>
      </c>
      <c r="AP1042" s="70" t="n">
        <f aca="false">IF(AO1042="",0,MAX(0,MIN(1,(IF(CG1042="L1",Parameter!$H$5,IF(CG1042="L23",Parameter!$H$6+Parameter!$H$7,Parameter!$H$5+Parameter!$H$6+Parameter!$H$7))-(AO1042-AJ1042))/AJ1042)))</f>
        <v>1</v>
      </c>
      <c r="AQ1042" s="62" t="n">
        <f aca="false">IF(LEFT(Cockpit!$I$5,1)="A",H1042,IF(Parameter!$E$30="MAX-Bestand",IF(CI1042=1,CJ1042,IF(LEFT(Cockpit!$I$5,1)="B",AW1042,MAX(AW1042,H1042))),ROUNDUP(AU1042,0)))</f>
        <v>9</v>
      </c>
      <c r="AR1042" s="62" t="n">
        <f aca="false">IF(CA1042=1,0,ROUNDUP(AQ1042/BZ1042,0))</f>
        <v>1</v>
      </c>
      <c r="AS1042" s="64" t="n">
        <f aca="false">IF(CR1042&gt;0,CR1042*MAX(1,AQ1042/X1042),IF(CA1042=1,IF(AQ1042&lt;=0,0,CE1042*MAX(1,IF(H1042&gt;0,AQ1042/H1042,1))),IF(R1042&gt;0,AR1042/R1042,0))/MAX(0.1,N(Parameter!$M$21)))</f>
        <v>0.00714285714285714</v>
      </c>
      <c r="AT1042" s="62" t="n">
        <f aca="false">AS1042*CC1042</f>
        <v>1.10714285714286</v>
      </c>
      <c r="AU1042" s="63" t="n">
        <f aca="false">IF(LEFT(Cockpit!$I$5,1)="A",H1042,IF(CI1042=1,(CL1042+CJ1042)/2,IF(LEFT(Cockpit!$I$5,1)="B",(CL1042+AW1042)/2,MAX((CL1042+AW1042)/2,H1042))))</f>
        <v>8.5</v>
      </c>
      <c r="AV1042" s="62" t="n">
        <f aca="false">AU1042*G1042</f>
        <v>159.12</v>
      </c>
      <c r="AW1042" s="62" t="n">
        <f aca="false">ROUNDUP(CL1042+MAX(CM1042,2*(J1042/IF(CH1042&gt;0,CH1042,MAX(0.1,N(Cockpit!$I$6)))-CL1042)),0)</f>
        <v>16</v>
      </c>
      <c r="AX1042" s="63" t="n">
        <f aca="false">IF(AT1042&gt;0,J1042/AT1042,-1)</f>
        <v>13.5483870967742</v>
      </c>
      <c r="AY1042" s="63" t="n">
        <f aca="false">IF(AND(OR(CG1042="L1",CG1042="L23",CG1042="LIFT"),AT1042&gt;0),SUMIFS($AT$7:$AT$1843,$CG$7:$CG$1843,CG1042,$AX$7:$AX$1843,"&gt;"&amp;AX1042)+SUMIFS($AT$7:$AT$1843,$CG$7:$CG$1843,CG1042,$AX$7:$AX$1843,AX1042,$BX$7:$BX$1843,"&lt;="&amp;BX1042),"")</f>
        <v>2962.02289377289</v>
      </c>
      <c r="AZ1042" s="70" t="n">
        <f aca="false">IF(AY1042="",0,MAX(0,MIN(1,(IF(CG1042="L1",Parameter!$H$5,IF(CG1042="L23",Parameter!$H$6+Parameter!$H$7,Parameter!$H$5+Parameter!$H$6+Parameter!$H$7))-(AY1042-AT1042))/AT1042)))</f>
        <v>1</v>
      </c>
      <c r="BA1042" s="62" t="n">
        <f aca="false">IF(LEFT(Cockpit!$O$5,1)="A",H1042,IF(Parameter!$E$30="MAX-Bestand",IF(CI1042=1,CJ1042,IF(LEFT(Cockpit!$O$5,1)="B",BG1042,MAX(BG1042,H1042))),ROUNDUP(BE1042,0)))</f>
        <v>9</v>
      </c>
      <c r="BB1042" s="62" t="n">
        <f aca="false">IF(CA1042=1,0,ROUNDUP(BA1042/BZ1042,0))</f>
        <v>1</v>
      </c>
      <c r="BC1042" s="64" t="n">
        <f aca="false">IF(CR1042&gt;0,CR1042*MAX(1,BA1042/X1042),IF(CA1042=1,IF(BA1042&lt;=0,0,CE1042*MAX(1,IF(H1042&gt;0,BA1042/H1042,1))),IF(R1042&gt;0,BB1042/R1042,0))/MAX(0.1,N(Parameter!$M$21)))</f>
        <v>0.00714285714285714</v>
      </c>
      <c r="BD1042" s="62" t="n">
        <f aca="false">BC1042*CC1042</f>
        <v>1.10714285714286</v>
      </c>
      <c r="BE1042" s="63" t="n">
        <f aca="false">IF(LEFT(Cockpit!$O$5,1)="A",H1042,IF(CI1042=1,(CL1042+CJ1042)/2,IF(LEFT(Cockpit!$O$5,1)="B",(CL1042+BG1042)/2,MAX((CL1042+BG1042)/2,H1042))))</f>
        <v>8.5</v>
      </c>
      <c r="BF1042" s="62" t="n">
        <f aca="false">BE1042*G1042</f>
        <v>159.12</v>
      </c>
      <c r="BG1042" s="62" t="n">
        <f aca="false">ROUNDUP(CL1042+MAX(CM1042,2*(J1042/IF(CH1042&gt;0,CH1042,MAX(0.1,N(Cockpit!$O$6)))-CL1042)),0)</f>
        <v>16</v>
      </c>
      <c r="BH1042" s="63" t="n">
        <f aca="false">IF(BD1042&gt;0,J1042/BD1042,-1)</f>
        <v>13.5483870967742</v>
      </c>
      <c r="BI1042" s="63" t="n">
        <f aca="false">IF(AND(OR(CG1042="L1",CG1042="L23",CG1042="LIFT"),BD1042&gt;0),SUMIFS($BD$7:$BD$1843,$CG$7:$CG$1843,CG1042,$BH$7:$BH$1843,"&gt;"&amp;BH1042)+SUMIFS($BD$7:$BD$1843,$CG$7:$CG$1843,CG1042,$BH$7:$BH$1843,BH1042,$BX$7:$BX$1843,"&lt;="&amp;BX1042),"")</f>
        <v>2502.8543956044</v>
      </c>
      <c r="BJ1042" s="70" t="n">
        <f aca="false">IF(BI1042="",0,MAX(0,MIN(1,(IF(CG1042="L1",Parameter!$H$5,IF(CG1042="L23",Parameter!$H$6+Parameter!$H$7,Parameter!$H$5+Parameter!$H$6+Parameter!$H$7))-(BI1042-BD1042))/BD1042)))</f>
        <v>1</v>
      </c>
      <c r="BK1042" s="60" t="str">
        <f aca="false">IF(AJ1042&lt;=0,"",IF(CG1042="Aussen","Aussenlager",IF(CG1042="-","Nicht im Lift",IF(AP1042&gt;=1,"Lift",IF(AP1042&lt;=0,"Aussenlager","teilweise")))))</f>
        <v>Lift</v>
      </c>
      <c r="BL1042" s="60" t="str">
        <f aca="false">IF(AT1042&lt;=0,"",IF(CG1042="Aussen","Aussenlager",IF(CG1042="-","Nicht im Lift",IF(AZ1042&gt;=1,"Lift",IF(AZ1042&lt;=0,"Aussenlager","teilweise")))))</f>
        <v>Lift</v>
      </c>
      <c r="BM1042" s="60" t="str">
        <f aca="false">IF(BD1042&lt;=0,"",IF(CG1042="Aussen","Aussenlager",IF(CG1042="-","Nicht im Lift",IF(BJ1042&gt;=1,"Lift",IF(BJ1042&lt;=0,"Aussenlager","teilweise")))))</f>
        <v>Lift</v>
      </c>
      <c r="BN1042" s="60" t="str">
        <f aca="false">IF(A1042="","",IF(BW1042=1,"Neu; ","")&amp;IF(AND(BW1042=0,BR1042&lt;0),"negativer Bestand (Export "&amp;BR1042&amp;"); ","")&amp;IF(J1042&lt;=0,"Kein Verbrauch; ","")&amp;IF(CR1042&gt;0,"Lift "&amp;W1042&amp;" lt. Liftbericht (Fach "&amp;X1042&amp;" Stk); ",IF(CB1042=1,"Gebinde geschätzt ("&amp;T1042&amp;"); ",IF(CA1042=1,"Lose – Tablare geschätzt; ","")))&amp;IF(H1042&gt;AW1042,"Überbestand "&amp;ROUND(H1042-AW1042,0)&amp;" Stk / CHF "&amp;ROUND((H1042-AW1042)*G1042,0)&amp;"; ","")&amp;IF(AND(CI1042=1,CJ1042&lt;CK1042),"MAX &lt; MB+LG; ","")&amp;IF(AND(CQ1042&gt;0,CP1042*10&gt;CQ1042),"zu hoch für Tablar; ","")&amp;IF(AND(BW1042=0,OR(CI1042=1,AB1042&lt;&gt;"",U1042&lt;&gt;"",V1042&lt;&gt;"",AC1042&lt;&gt;"")),"manuell übersteuert; ","")&amp;IF(AND(CA1042=0,R1042=0),"Gebinde unbekannt / Stellmass fehlt; ","")&amp;IF(AND(CA1042=0,N(V1042)&lt;=0,N(Q1042)&lt;=0),"Menge pro Gebinde fehlt (Ist = 1 Gebinde); ","")&amp;BV1042)</f>
        <v>negativer Bestand (Export -8); </v>
      </c>
      <c r="BO1042" s="60"/>
      <c r="BP1042" s="60"/>
      <c r="BQ1042" s="67"/>
      <c r="BR1042" s="62" t="n">
        <v>-8</v>
      </c>
      <c r="BS1042" s="62" t="n">
        <v>11</v>
      </c>
      <c r="BT1042" s="61" t="n">
        <v>-137.11</v>
      </c>
      <c r="BU1042" s="62" t="n">
        <v>15</v>
      </c>
      <c r="BV1042" s="60"/>
      <c r="BW1042" s="65" t="n">
        <v>0</v>
      </c>
      <c r="BX1042" s="65" t="n">
        <v>1042</v>
      </c>
      <c r="BY1042" s="60" t="str">
        <f aca="false">IF(U1042&lt;&gt;"",UPPER(TRIM(U1042)),IF(CB1042=1,UPPER(VLOOKUP(T1042,Parameter!$I$27:$K$29,2,0)),IF(P1042="","LOSE",P1042)))</f>
        <v>S22</v>
      </c>
      <c r="BZ1042" s="62" t="n">
        <f aca="false">IF(BY1042="LOSE",1,IF(N(V1042)&gt;0,V1042,IF(CB1042=1,MAX(1,N(VLOOKUP(T1042,Parameter!$I$27:$K$29,3,0)),H1042,N(N1042)),IF(N(Q1042)&gt;0,Q1042,MAX(1,H1042)))))</f>
        <v>10</v>
      </c>
      <c r="CA1042" s="65" t="n">
        <f aca="false">IF(BY1042="LOSE",1,0)</f>
        <v>0</v>
      </c>
      <c r="CB1042" s="65" t="n">
        <f aca="false">IF(AND(U1042="",OR(P1042="",P1042="LOSE"),T1042&lt;&gt;"",N(S1042)&lt;=0,ISNUMBER(MATCH(T1042,Parameter!$I$27:$I$29,0))),1,0)</f>
        <v>0</v>
      </c>
      <c r="CC1042" s="65" t="n">
        <f aca="false">IF(CR1042&gt;0,INDEX(Parameter!$H$5:$H$7,W1042)/INDEX(Parameter!$E$5:$E$7,W1042),IF(AND(CA1042=0,N(IFERROR(VLOOKUP(BY1042,'Gebinde-Kategorie'!$A$5:$N$45,14,0),0))&gt;0),VLOOKUP(BY1042,'Gebinde-Kategorie'!$A$5:$N$45,14,0)*10+Parameter!$M$23,Parameter!$M$24))</f>
        <v>155</v>
      </c>
      <c r="CD1042" s="60" t="str">
        <f aca="false">IF(AND(Parameter!$B$19="Ja",E1042&lt;&gt;"",ISNUMBER(MATCH(E1042,Parameter!$I$35:$I$52,0))),VLOOKUP(E1042,Parameter!$I$35:$J$52,2,0),IFERROR(VLOOKUP(D1042,Parameter!$A$35:$C$64,2,0),"Nein"))</f>
        <v>2+3</v>
      </c>
      <c r="CE1042" s="64" t="n">
        <f aca="false">IF(CA1042=0,0,IF(N(S1042)&gt;0,S1042,IFERROR(VLOOKUP(D1042,Parameter!$A$35:$C$64,3,0)+0,0)))</f>
        <v>0</v>
      </c>
      <c r="CF1042" s="60" t="n">
        <f aca="false">IF(AB1042&lt;&gt;"",AB1042,AA1042)</f>
        <v>3</v>
      </c>
      <c r="CG1042" s="60" t="str">
        <f aca="false">IF(OR(CF1042=1,CF1042=2,CF1042=3),IF(Parameter!$E$27="Ja","LIFT",IF(CF1042=1,"L1","L23")),IF(CF1042="Aussen","Aussen","-"))</f>
        <v>LIFT</v>
      </c>
      <c r="CH1042" s="71" t="n">
        <f aca="false">IF(N(AC1042)&gt;0,AC1042,0)</f>
        <v>0</v>
      </c>
      <c r="CI1042" s="65" t="n">
        <f aca="false">IF(ISNUMBER(AF1042),1,0)</f>
        <v>0</v>
      </c>
      <c r="CJ1042" s="62" t="n">
        <f aca="false">N(AF1042)</f>
        <v>0</v>
      </c>
      <c r="CK1042" s="62" t="n">
        <f aca="false">N(M1042)+N(N1042)</f>
        <v>16</v>
      </c>
      <c r="CL1042" s="62" t="n">
        <f aca="false">N(M1042)</f>
        <v>1</v>
      </c>
      <c r="CM1042" s="62" t="n">
        <f aca="false">N(N1042)</f>
        <v>15</v>
      </c>
      <c r="CN1042" s="62" t="n">
        <f aca="false">ROUNDUP(H1042/BZ1042,0)</f>
        <v>1</v>
      </c>
      <c r="CO1042" s="62" t="n">
        <f aca="false">ROUNDUP(CJ1042/BZ1042,0)</f>
        <v>0</v>
      </c>
      <c r="CP1042" s="65" t="n">
        <f aca="false">IF(CA1042=1,0,IFERROR(VLOOKUP(BY1042,'Gebinde-Kategorie'!$A$5:$N$45,5,0)+0,0))</f>
        <v>8</v>
      </c>
      <c r="CQ1042" s="65" t="n">
        <f aca="false">IFERROR(IF(OR(CF1042=1,CF1042=2,CF1042=3),N(INDEX(Parameter!$I$5:$I$7,CF1042)),0),0)</f>
        <v>0</v>
      </c>
      <c r="CR1042" s="64" t="n">
        <f aca="false">IF(AND(Parameter!$B$21="Ja",ISNUMBER(W1042),N(X1042)&gt;0),IFERROR(N(INDEX(Parameter!$L$5:$L$7,W1042))*INDEX(Parameter!$E$5:$E$7,W1042)*X1042/SUMIFS($X$7:$X$1843,$W$7:$W$1843,W1042),0),0)</f>
        <v>0</v>
      </c>
      <c r="CS1042" s="62" t="n">
        <f aca="false">IF(AND(OR(CG1042="L1",CG1042="L23",CG1042="LIFT"),H1042&gt;0),CC1042*IF(CR1042&gt;0,CR1042*MAX(1,H1042/X1042),IF(CA1042=1,CE1042,IF(R1042&gt;0,CN1042/R1042,0))/MAX(0.1,N(Parameter!$M$21))),"")</f>
        <v>1.10714285714286</v>
      </c>
      <c r="CT1042" s="64" t="n">
        <f aca="false">IF(CS1042="","",J1042/H1042)</f>
        <v>5</v>
      </c>
      <c r="CU1042" s="62" t="n">
        <f aca="false">IF(CS1042="","",H1042*G1042)</f>
        <v>56.16</v>
      </c>
      <c r="CV1042" s="63" t="n">
        <f aca="false">IF(CS1042="","",(CL1042+ROUNDUP(CL1042+MAX(CM1042,2*(J1042/MAX(0.1,N(Einkauf!$C$6))-CL1042)),0))/2)</f>
        <v>8.5</v>
      </c>
      <c r="CW1042" s="62" t="n">
        <f aca="false">IF(CS1042="","",MAX(0,H1042-CV1042)*G1042)</f>
        <v>0</v>
      </c>
      <c r="CX1042" s="62" t="n">
        <f aca="false">IF(CS1042="","",CS1042*MAX(0,1-CV1042/H1042))</f>
        <v>0</v>
      </c>
      <c r="CY1042" s="64" t="n">
        <f aca="false">IF(CS1042="","",PERCENTRANK($CS$7:$CS$1843,CS1042)+PERCENTRANK($CU$7:$CU$1843,CU1042)+1-PERCENTRANK($CT$7:$CT$1843,CT1042))</f>
        <v>0.2594</v>
      </c>
      <c r="CZ1042" s="72" t="n">
        <f aca="false">IF(CS1042="","",CHOOSE(MATCH(Einkauf!$C$5,Parameter!$G$23:$G$27,0),CY1042,CS1042,CU1042,-CT1042,CW1042)+ROW()/1000000000)</f>
        <v>0.259401042</v>
      </c>
    </row>
    <row r="1043" customFormat="false" ht="15" hidden="false" customHeight="false" outlineLevel="0" collapsed="false">
      <c r="A1043" s="60" t="s">
        <v>1955</v>
      </c>
      <c r="B1043" s="60" t="s">
        <v>1956</v>
      </c>
      <c r="C1043" s="60" t="s">
        <v>206</v>
      </c>
      <c r="D1043" s="60" t="s">
        <v>226</v>
      </c>
      <c r="E1043" s="60" t="s">
        <v>227</v>
      </c>
      <c r="F1043" s="60" t="s">
        <v>260</v>
      </c>
      <c r="G1043" s="61" t="n">
        <v>137.89</v>
      </c>
      <c r="H1043" s="62" t="n">
        <f aca="false">MAX(0,IF(AND(Parameter!$B$21="Ja",ISNUMBER(Y1043)),Y1043,IF(Parameter!$B$20="Jahresanfang 2025 + Export",BS1043+BR1043,BR1043)))</f>
        <v>22</v>
      </c>
      <c r="I1043" s="62" t="n">
        <f aca="false">H1043*G1043</f>
        <v>3033.58</v>
      </c>
      <c r="J1043" s="62" t="n">
        <f aca="false">BU1043*Parameter!$B$18</f>
        <v>1</v>
      </c>
      <c r="K1043" s="63" t="n">
        <v>22.5</v>
      </c>
      <c r="L1043" s="64" t="n">
        <v>0.0444444444444445</v>
      </c>
      <c r="M1043" s="62" t="n">
        <v>0</v>
      </c>
      <c r="N1043" s="62" t="n">
        <v>1</v>
      </c>
      <c r="O1043" s="65" t="n">
        <v>14</v>
      </c>
      <c r="P1043" s="60" t="s">
        <v>370</v>
      </c>
      <c r="Q1043" s="62" t="n">
        <v>47</v>
      </c>
      <c r="R1043" s="65" t="n">
        <f aca="false">IF(CA1043=1,0,IFERROR(VLOOKUP(BY1043,'Gebinde-Kategorie'!$A$5:$N$45,13,0)+0,0))</f>
        <v>52</v>
      </c>
      <c r="S1043" s="66"/>
      <c r="T1043" s="67"/>
      <c r="U1043" s="67"/>
      <c r="V1043" s="67"/>
      <c r="W1043" s="60"/>
      <c r="X1043" s="62"/>
      <c r="Y1043" s="62"/>
      <c r="Z1043" s="60" t="n">
        <v>2</v>
      </c>
      <c r="AA1043" s="60" t="n">
        <f aca="false">IF(A1043="","",IF(AND(Parameter!$B$21="Ja",ISNUMBER(W1043)),W1043,IF(AND(Parameter!$E$27="Ja",ISNUMBER(Z1043),CD1043&lt;&gt;"Nein"),Z1043,IF(CD1043="2+3",IF(ISNUMBER(SEARCH("grosser Artikel",BV1043)),2,IFERROR(VLOOKUP(BY1043,Parameter!$F$35:$G$64,2,0),2)),IF(OR(CD1043="Nein",CD1043=""),"-",CD1043)))))</f>
        <v>2</v>
      </c>
      <c r="AB1043" s="67"/>
      <c r="AC1043" s="68"/>
      <c r="AD1043" s="62" t="n">
        <f aca="false">AW1043</f>
        <v>1</v>
      </c>
      <c r="AE1043" s="62" t="n">
        <f aca="false">MAX(AW1043,H1043)</f>
        <v>22</v>
      </c>
      <c r="AF1043" s="69"/>
      <c r="AG1043" s="62" t="n">
        <f aca="false">IF(LEFT(Cockpit!$C$5,1)="A",H1043,IF(Parameter!$E$30="MAX-Bestand",IF(CI1043=1,CJ1043,IF(LEFT(Cockpit!$C$5,1)="B",AM1043,MAX(AM1043,H1043))),ROUNDUP(AK1043,0)))</f>
        <v>22</v>
      </c>
      <c r="AH1043" s="62" t="n">
        <f aca="false">IF(CA1043=1,0,ROUNDUP(AG1043/BZ1043,0))</f>
        <v>1</v>
      </c>
      <c r="AI1043" s="64" t="n">
        <f aca="false">IF(CR1043&gt;0,CR1043*MAX(1,AG1043/X1043),IF(CA1043=1,IF(AG1043&lt;=0,0,CE1043*MAX(1,IF(H1043&gt;0,AG1043/H1043,1))),IF(R1043&gt;0,AH1043/R1043,0))/MAX(0.1,N(Parameter!$M$21)))</f>
        <v>0.0192307692307692</v>
      </c>
      <c r="AJ1043" s="62" t="n">
        <f aca="false">AI1043*CC1043</f>
        <v>2.98076923076923</v>
      </c>
      <c r="AK1043" s="63" t="n">
        <f aca="false">IF(LEFT(Cockpit!$C$5,1)="A",H1043,IF(CI1043=1,(CL1043+CJ1043)/2,IF(LEFT(Cockpit!$C$5,1)="B",(CL1043+AM1043)/2,MAX((CL1043+AM1043)/2,H1043))))</f>
        <v>22</v>
      </c>
      <c r="AL1043" s="62" t="n">
        <f aca="false">AK1043*G1043</f>
        <v>3033.58</v>
      </c>
      <c r="AM1043" s="62" t="n">
        <f aca="false">ROUNDUP(CL1043+MAX(CM1043,2*(J1043/IF(CH1043&gt;0,CH1043,MAX(0.1,N(Cockpit!$C$6)))-CL1043)),0)</f>
        <v>1</v>
      </c>
      <c r="AN1043" s="63" t="n">
        <f aca="false">IF(AJ1043&gt;0,J1043/AJ1043,-1)</f>
        <v>0.335483870967742</v>
      </c>
      <c r="AO1043" s="63" t="n">
        <f aca="false">IF(AND(OR(CG1043="L1",CG1043="L23",CG1043="LIFT"),AJ1043&gt;0),SUMIFS($AJ$7:$AJ$1843,$CG$7:$CG$1843,CG1043,$AN$7:$AN$1843,"&gt;"&amp;AN1043)+SUMIFS($AJ$7:$AJ$1843,$CG$7:$CG$1843,CG1043,$AN$7:$AN$1843,AN1043,$BX$7:$BX$1843,"&lt;="&amp;BX1043),"")</f>
        <v>11218.8078087167</v>
      </c>
      <c r="AP1043" s="70" t="n">
        <f aca="false">IF(AO1043="",0,MAX(0,MIN(1,(IF(CG1043="L1",Parameter!$H$5,IF(CG1043="L23",Parameter!$H$6+Parameter!$H$7,Parameter!$H$5+Parameter!$H$6+Parameter!$H$7))-(AO1043-AJ1043))/AJ1043)))</f>
        <v>1</v>
      </c>
      <c r="AQ1043" s="62" t="n">
        <f aca="false">IF(LEFT(Cockpit!$I$5,1)="A",H1043,IF(Parameter!$E$30="MAX-Bestand",IF(CI1043=1,CJ1043,IF(LEFT(Cockpit!$I$5,1)="B",AW1043,MAX(AW1043,H1043))),ROUNDUP(AU1043,0)))</f>
        <v>22</v>
      </c>
      <c r="AR1043" s="62" t="n">
        <f aca="false">IF(CA1043=1,0,ROUNDUP(AQ1043/BZ1043,0))</f>
        <v>1</v>
      </c>
      <c r="AS1043" s="64" t="n">
        <f aca="false">IF(CR1043&gt;0,CR1043*MAX(1,AQ1043/X1043),IF(CA1043=1,IF(AQ1043&lt;=0,0,CE1043*MAX(1,IF(H1043&gt;0,AQ1043/H1043,1))),IF(R1043&gt;0,AR1043/R1043,0))/MAX(0.1,N(Parameter!$M$21)))</f>
        <v>0.0192307692307692</v>
      </c>
      <c r="AT1043" s="62" t="n">
        <f aca="false">AS1043*CC1043</f>
        <v>2.98076923076923</v>
      </c>
      <c r="AU1043" s="63" t="n">
        <f aca="false">IF(LEFT(Cockpit!$I$5,1)="A",H1043,IF(CI1043=1,(CL1043+CJ1043)/2,IF(LEFT(Cockpit!$I$5,1)="B",(CL1043+AW1043)/2,MAX((CL1043+AW1043)/2,H1043))))</f>
        <v>22</v>
      </c>
      <c r="AV1043" s="62" t="n">
        <f aca="false">AU1043*G1043</f>
        <v>3033.58</v>
      </c>
      <c r="AW1043" s="62" t="n">
        <f aca="false">ROUNDUP(CL1043+MAX(CM1043,2*(J1043/IF(CH1043&gt;0,CH1043,MAX(0.1,N(Cockpit!$I$6)))-CL1043)),0)</f>
        <v>1</v>
      </c>
      <c r="AX1043" s="63" t="n">
        <f aca="false">IF(AT1043&gt;0,J1043/AT1043,-1)</f>
        <v>0.335483870967742</v>
      </c>
      <c r="AY1043" s="63" t="n">
        <f aca="false">IF(AND(OR(CG1043="L1",CG1043="L23",CG1043="LIFT"),AT1043&gt;0),SUMIFS($AT$7:$AT$1843,$CG$7:$CG$1843,CG1043,$AX$7:$AX$1843,"&gt;"&amp;AX1043)+SUMIFS($AT$7:$AT$1843,$CG$7:$CG$1843,CG1043,$AX$7:$AX$1843,AX1043,$BX$7:$BX$1843,"&lt;="&amp;BX1043),"")</f>
        <v>13752.9455128205</v>
      </c>
      <c r="AZ1043" s="70" t="n">
        <f aca="false">IF(AY1043="",0,MAX(0,MIN(1,(IF(CG1043="L1",Parameter!$H$5,IF(CG1043="L23",Parameter!$H$6+Parameter!$H$7,Parameter!$H$5+Parameter!$H$6+Parameter!$H$7))-(AY1043-AT1043))/AT1043)))</f>
        <v>1</v>
      </c>
      <c r="BA1043" s="62" t="n">
        <f aca="false">IF(LEFT(Cockpit!$O$5,1)="A",H1043,IF(Parameter!$E$30="MAX-Bestand",IF(CI1043=1,CJ1043,IF(LEFT(Cockpit!$O$5,1)="B",BG1043,MAX(BG1043,H1043))),ROUNDUP(BE1043,0)))</f>
        <v>1</v>
      </c>
      <c r="BB1043" s="62" t="n">
        <f aca="false">IF(CA1043=1,0,ROUNDUP(BA1043/BZ1043,0))</f>
        <v>1</v>
      </c>
      <c r="BC1043" s="64" t="n">
        <f aca="false">IF(CR1043&gt;0,CR1043*MAX(1,BA1043/X1043),IF(CA1043=1,IF(BA1043&lt;=0,0,CE1043*MAX(1,IF(H1043&gt;0,BA1043/H1043,1))),IF(R1043&gt;0,BB1043/R1043,0))/MAX(0.1,N(Parameter!$M$21)))</f>
        <v>0.0192307692307692</v>
      </c>
      <c r="BD1043" s="62" t="n">
        <f aca="false">BC1043*CC1043</f>
        <v>2.98076923076923</v>
      </c>
      <c r="BE1043" s="63" t="n">
        <f aca="false">IF(LEFT(Cockpit!$O$5,1)="A",H1043,IF(CI1043=1,(CL1043+CJ1043)/2,IF(LEFT(Cockpit!$O$5,1)="B",(CL1043+BG1043)/2,MAX((CL1043+BG1043)/2,H1043))))</f>
        <v>0.5</v>
      </c>
      <c r="BF1043" s="62" t="n">
        <f aca="false">BE1043*G1043</f>
        <v>68.945</v>
      </c>
      <c r="BG1043" s="62" t="n">
        <f aca="false">ROUNDUP(CL1043+MAX(CM1043,2*(J1043/IF(CH1043&gt;0,CH1043,MAX(0.1,N(Cockpit!$O$6)))-CL1043)),0)</f>
        <v>1</v>
      </c>
      <c r="BH1043" s="63" t="n">
        <f aca="false">IF(BD1043&gt;0,J1043/BD1043,-1)</f>
        <v>0.335483870967742</v>
      </c>
      <c r="BI1043" s="63" t="n">
        <f aca="false">IF(AND(OR(CG1043="L1",CG1043="L23",CG1043="LIFT"),BD1043&gt;0),SUMIFS($BD$7:$BD$1843,$CG$7:$CG$1843,CG1043,$BH$7:$BH$1843,"&gt;"&amp;BH1043)+SUMIFS($BD$7:$BD$1843,$CG$7:$CG$1843,CG1043,$BH$7:$BH$1843,BH1043,$BX$7:$BX$1843,"&lt;="&amp;BX1043),"")</f>
        <v>11603.9043040293</v>
      </c>
      <c r="BJ1043" s="70" t="n">
        <f aca="false">IF(BI1043="",0,MAX(0,MIN(1,(IF(CG1043="L1",Parameter!$H$5,IF(CG1043="L23",Parameter!$H$6+Parameter!$H$7,Parameter!$H$5+Parameter!$H$6+Parameter!$H$7))-(BI1043-BD1043))/BD1043)))</f>
        <v>1</v>
      </c>
      <c r="BK1043" s="60" t="str">
        <f aca="false">IF(AJ1043&lt;=0,"",IF(CG1043="Aussen","Aussenlager",IF(CG1043="-","Nicht im Lift",IF(AP1043&gt;=1,"Lift",IF(AP1043&lt;=0,"Aussenlager","teilweise")))))</f>
        <v>Lift</v>
      </c>
      <c r="BL1043" s="60" t="str">
        <f aca="false">IF(AT1043&lt;=0,"",IF(CG1043="Aussen","Aussenlager",IF(CG1043="-","Nicht im Lift",IF(AZ1043&gt;=1,"Lift",IF(AZ1043&lt;=0,"Aussenlager","teilweise")))))</f>
        <v>Lift</v>
      </c>
      <c r="BM1043" s="60" t="str">
        <f aca="false">IF(BD1043&lt;=0,"",IF(CG1043="Aussen","Aussenlager",IF(CG1043="-","Nicht im Lift",IF(BJ1043&gt;=1,"Lift",IF(BJ1043&lt;=0,"Aussenlager","teilweise")))))</f>
        <v>Lift</v>
      </c>
      <c r="BN1043" s="60" t="str">
        <f aca="false">IF(A1043="","",IF(BW1043=1,"Neu; ","")&amp;IF(AND(BW1043=0,BR1043&lt;0),"negativer Bestand (Export "&amp;BR1043&amp;"); ","")&amp;IF(J1043&lt;=0,"Kein Verbrauch; ","")&amp;IF(CR1043&gt;0,"Lift "&amp;W1043&amp;" lt. Liftbericht (Fach "&amp;X1043&amp;" Stk); ",IF(CB1043=1,"Gebinde geschätzt ("&amp;T1043&amp;"); ",IF(CA1043=1,"Lose – Tablare geschätzt; ","")))&amp;IF(H1043&gt;AW1043,"Überbestand "&amp;ROUND(H1043-AW1043,0)&amp;" Stk / CHF "&amp;ROUND((H1043-AW1043)*G1043,0)&amp;"; ","")&amp;IF(AND(CI1043=1,CJ1043&lt;CK1043),"MAX &lt; MB+LG; ","")&amp;IF(AND(CQ1043&gt;0,CP1043*10&gt;CQ1043),"zu hoch für Tablar; ","")&amp;IF(AND(BW1043=0,OR(CI1043=1,AB1043&lt;&gt;"",U1043&lt;&gt;"",V1043&lt;&gt;"",AC1043&lt;&gt;"")),"manuell übersteuert; ","")&amp;IF(AND(CA1043=0,R1043=0),"Gebinde unbekannt / Stellmass fehlt; ","")&amp;IF(AND(CA1043=0,N(V1043)&lt;=0,N(Q1043)&lt;=0),"Menge pro Gebinde fehlt (Ist = 1 Gebinde); ","")&amp;BV1043)</f>
        <v>negativer Bestand (Export -1); Überbestand 21 Stk / CHF 2896; Überbestand</v>
      </c>
      <c r="BO1043" s="60"/>
      <c r="BP1043" s="60"/>
      <c r="BQ1043" s="67"/>
      <c r="BR1043" s="62" t="n">
        <v>-1</v>
      </c>
      <c r="BS1043" s="62" t="n">
        <v>23</v>
      </c>
      <c r="BT1043" s="61" t="n">
        <v>-137.89</v>
      </c>
      <c r="BU1043" s="62" t="n">
        <v>1</v>
      </c>
      <c r="BV1043" s="60" t="s">
        <v>434</v>
      </c>
      <c r="BW1043" s="65" t="n">
        <v>0</v>
      </c>
      <c r="BX1043" s="65" t="n">
        <v>1043</v>
      </c>
      <c r="BY1043" s="60" t="str">
        <f aca="false">IF(U1043&lt;&gt;"",UPPER(TRIM(U1043)),IF(CB1043=1,UPPER(VLOOKUP(T1043,Parameter!$I$27:$K$29,2,0)),IF(P1043="","LOSE",P1043)))</f>
        <v>S41</v>
      </c>
      <c r="BZ1043" s="62" t="n">
        <f aca="false">IF(BY1043="LOSE",1,IF(N(V1043)&gt;0,V1043,IF(CB1043=1,MAX(1,N(VLOOKUP(T1043,Parameter!$I$27:$K$29,3,0)),H1043,N(N1043)),IF(N(Q1043)&gt;0,Q1043,MAX(1,H1043)))))</f>
        <v>47</v>
      </c>
      <c r="CA1043" s="65" t="n">
        <f aca="false">IF(BY1043="LOSE",1,0)</f>
        <v>0</v>
      </c>
      <c r="CB1043" s="65" t="n">
        <f aca="false">IF(AND(U1043="",OR(P1043="",P1043="LOSE"),T1043&lt;&gt;"",N(S1043)&lt;=0,ISNUMBER(MATCH(T1043,Parameter!$I$27:$I$29,0))),1,0)</f>
        <v>0</v>
      </c>
      <c r="CC1043" s="65" t="n">
        <f aca="false">IF(CR1043&gt;0,INDEX(Parameter!$H$5:$H$7,W1043)/INDEX(Parameter!$E$5:$E$7,W1043),IF(AND(CA1043=0,N(IFERROR(VLOOKUP(BY1043,'Gebinde-Kategorie'!$A$5:$N$45,14,0),0))&gt;0),VLOOKUP(BY1043,'Gebinde-Kategorie'!$A$5:$N$45,14,0)*10+Parameter!$M$23,Parameter!$M$24))</f>
        <v>155</v>
      </c>
      <c r="CD1043" s="60" t="str">
        <f aca="false">IF(AND(Parameter!$B$19="Ja",E1043&lt;&gt;"",ISNUMBER(MATCH(E1043,Parameter!$I$35:$I$52,0))),VLOOKUP(E1043,Parameter!$I$35:$J$52,2,0),IFERROR(VLOOKUP(D1043,Parameter!$A$35:$C$64,2,0),"Nein"))</f>
        <v>2+3</v>
      </c>
      <c r="CE1043" s="64" t="n">
        <f aca="false">IF(CA1043=0,0,IF(N(S1043)&gt;0,S1043,IFERROR(VLOOKUP(D1043,Parameter!$A$35:$C$64,3,0)+0,0)))</f>
        <v>0</v>
      </c>
      <c r="CF1043" s="60" t="n">
        <f aca="false">IF(AB1043&lt;&gt;"",AB1043,AA1043)</f>
        <v>2</v>
      </c>
      <c r="CG1043" s="60" t="str">
        <f aca="false">IF(OR(CF1043=1,CF1043=2,CF1043=3),IF(Parameter!$E$27="Ja","LIFT",IF(CF1043=1,"L1","L23")),IF(CF1043="Aussen","Aussen","-"))</f>
        <v>LIFT</v>
      </c>
      <c r="CH1043" s="71" t="n">
        <f aca="false">IF(N(AC1043)&gt;0,AC1043,0)</f>
        <v>0</v>
      </c>
      <c r="CI1043" s="65" t="n">
        <f aca="false">IF(ISNUMBER(AF1043),1,0)</f>
        <v>0</v>
      </c>
      <c r="CJ1043" s="62" t="n">
        <f aca="false">N(AF1043)</f>
        <v>0</v>
      </c>
      <c r="CK1043" s="62" t="n">
        <f aca="false">N(M1043)+N(N1043)</f>
        <v>1</v>
      </c>
      <c r="CL1043" s="62" t="n">
        <f aca="false">N(M1043)</f>
        <v>0</v>
      </c>
      <c r="CM1043" s="62" t="n">
        <f aca="false">N(N1043)</f>
        <v>1</v>
      </c>
      <c r="CN1043" s="62" t="n">
        <f aca="false">ROUNDUP(H1043/BZ1043,0)</f>
        <v>1</v>
      </c>
      <c r="CO1043" s="62" t="n">
        <f aca="false">ROUNDUP(CJ1043/BZ1043,0)</f>
        <v>0</v>
      </c>
      <c r="CP1043" s="65" t="n">
        <f aca="false">IF(CA1043=1,0,IFERROR(VLOOKUP(BY1043,'Gebinde-Kategorie'!$A$5:$N$45,5,0)+0,0))</f>
        <v>11</v>
      </c>
      <c r="CQ1043" s="65" t="n">
        <f aca="false">IFERROR(IF(OR(CF1043=1,CF1043=2,CF1043=3),N(INDEX(Parameter!$I$5:$I$7,CF1043)),0),0)</f>
        <v>0</v>
      </c>
      <c r="CR1043" s="64" t="n">
        <f aca="false">IF(AND(Parameter!$B$21="Ja",ISNUMBER(W1043),N(X1043)&gt;0),IFERROR(N(INDEX(Parameter!$L$5:$L$7,W1043))*INDEX(Parameter!$E$5:$E$7,W1043)*X1043/SUMIFS($X$7:$X$1843,$W$7:$W$1843,W1043),0),0)</f>
        <v>0</v>
      </c>
      <c r="CS1043" s="62" t="n">
        <f aca="false">IF(AND(OR(CG1043="L1",CG1043="L23",CG1043="LIFT"),H1043&gt;0),CC1043*IF(CR1043&gt;0,CR1043*MAX(1,H1043/X1043),IF(CA1043=1,CE1043,IF(R1043&gt;0,CN1043/R1043,0))/MAX(0.1,N(Parameter!$M$21))),"")</f>
        <v>2.98076923076923</v>
      </c>
      <c r="CT1043" s="64" t="n">
        <f aca="false">IF(CS1043="","",J1043/H1043)</f>
        <v>0.0454545454545455</v>
      </c>
      <c r="CU1043" s="62" t="n">
        <f aca="false">IF(CS1043="","",H1043*G1043)</f>
        <v>3033.58</v>
      </c>
      <c r="CV1043" s="63" t="n">
        <f aca="false">IF(CS1043="","",(CL1043+ROUNDUP(CL1043+MAX(CM1043,2*(J1043/MAX(0.1,N(Einkauf!$C$6))-CL1043)),0))/2)</f>
        <v>0.5</v>
      </c>
      <c r="CW1043" s="62" t="n">
        <f aca="false">IF(CS1043="","",MAX(0,H1043-CV1043)*G1043)</f>
        <v>2964.635</v>
      </c>
      <c r="CX1043" s="62" t="n">
        <f aca="false">IF(CS1043="","",CS1043*MAX(0,1-CV1043/H1043))</f>
        <v>2.91302447552448</v>
      </c>
      <c r="CY1043" s="64" t="n">
        <f aca="false">IF(CS1043="","",PERCENTRANK($CS$7:$CS$1843,CS1043)+PERCENTRANK($CU$7:$CU$1843,CU1043)+1-PERCENTRANK($CT$7:$CT$1843,CT1043))</f>
        <v>1.641</v>
      </c>
      <c r="CZ1043" s="72" t="n">
        <f aca="false">IF(CS1043="","",CHOOSE(MATCH(Einkauf!$C$5,Parameter!$G$23:$G$27,0),CY1043,CS1043,CU1043,-CT1043,CW1043)+ROW()/1000000000)</f>
        <v>1.641001043</v>
      </c>
    </row>
    <row r="1044" customFormat="false" ht="15" hidden="false" customHeight="false" outlineLevel="0" collapsed="false">
      <c r="A1044" s="60" t="s">
        <v>1957</v>
      </c>
      <c r="B1044" s="60" t="s">
        <v>1958</v>
      </c>
      <c r="C1044" s="60" t="s">
        <v>206</v>
      </c>
      <c r="D1044" s="60" t="s">
        <v>226</v>
      </c>
      <c r="E1044" s="60" t="s">
        <v>227</v>
      </c>
      <c r="F1044" s="60" t="s">
        <v>260</v>
      </c>
      <c r="G1044" s="61" t="n">
        <v>69.28</v>
      </c>
      <c r="H1044" s="62" t="n">
        <f aca="false">MAX(0,IF(AND(Parameter!$B$21="Ja",ISNUMBER(Y1044)),Y1044,IF(Parameter!$B$20="Jahresanfang 2025 + Export",BS1044+BR1044,BR1044)))</f>
        <v>8</v>
      </c>
      <c r="I1044" s="62" t="n">
        <f aca="false">H1044*G1044</f>
        <v>554.24</v>
      </c>
      <c r="J1044" s="62" t="n">
        <f aca="false">BU1044*Parameter!$B$18</f>
        <v>0</v>
      </c>
      <c r="K1044" s="63" t="n">
        <v>10</v>
      </c>
      <c r="L1044" s="64" t="n">
        <v>0</v>
      </c>
      <c r="M1044" s="62" t="n">
        <v>0</v>
      </c>
      <c r="N1044" s="62" t="n">
        <v>1</v>
      </c>
      <c r="O1044" s="65" t="n">
        <v>42</v>
      </c>
      <c r="P1044" s="60" t="s">
        <v>518</v>
      </c>
      <c r="Q1044" s="62" t="n">
        <v>12</v>
      </c>
      <c r="R1044" s="65" t="n">
        <f aca="false">IF(CA1044=1,0,IFERROR(VLOOKUP(BY1044,'Gebinde-Kategorie'!$A$5:$N$45,13,0)+0,0))</f>
        <v>52</v>
      </c>
      <c r="S1044" s="66"/>
      <c r="T1044" s="67"/>
      <c r="U1044" s="67"/>
      <c r="V1044" s="67"/>
      <c r="W1044" s="60"/>
      <c r="X1044" s="62"/>
      <c r="Y1044" s="62"/>
      <c r="Z1044" s="60" t="n">
        <v>2</v>
      </c>
      <c r="AA1044" s="60" t="n">
        <f aca="false">IF(A1044="","",IF(AND(Parameter!$B$21="Ja",ISNUMBER(W1044)),W1044,IF(AND(Parameter!$E$27="Ja",ISNUMBER(Z1044),CD1044&lt;&gt;"Nein"),Z1044,IF(CD1044="2+3",IF(ISNUMBER(SEARCH("grosser Artikel",BV1044)),2,IFERROR(VLOOKUP(BY1044,Parameter!$F$35:$G$64,2,0),2)),IF(OR(CD1044="Nein",CD1044=""),"-",CD1044)))))</f>
        <v>2</v>
      </c>
      <c r="AB1044" s="67"/>
      <c r="AC1044" s="68"/>
      <c r="AD1044" s="62" t="n">
        <f aca="false">AW1044</f>
        <v>1</v>
      </c>
      <c r="AE1044" s="62" t="n">
        <f aca="false">MAX(AW1044,H1044)</f>
        <v>8</v>
      </c>
      <c r="AF1044" s="69"/>
      <c r="AG1044" s="62" t="n">
        <f aca="false">IF(LEFT(Cockpit!$C$5,1)="A",H1044,IF(Parameter!$E$30="MAX-Bestand",IF(CI1044=1,CJ1044,IF(LEFT(Cockpit!$C$5,1)="B",AM1044,MAX(AM1044,H1044))),ROUNDUP(AK1044,0)))</f>
        <v>8</v>
      </c>
      <c r="AH1044" s="62" t="n">
        <f aca="false">IF(CA1044=1,0,ROUNDUP(AG1044/BZ1044,0))</f>
        <v>1</v>
      </c>
      <c r="AI1044" s="64" t="n">
        <f aca="false">IF(CR1044&gt;0,CR1044*MAX(1,AG1044/X1044),IF(CA1044=1,IF(AG1044&lt;=0,0,CE1044*MAX(1,IF(H1044&gt;0,AG1044/H1044,1))),IF(R1044&gt;0,AH1044/R1044,0))/MAX(0.1,N(Parameter!$M$21)))</f>
        <v>0.0192307692307692</v>
      </c>
      <c r="AJ1044" s="62" t="n">
        <f aca="false">AI1044*CC1044</f>
        <v>2.98076923076923</v>
      </c>
      <c r="AK1044" s="63" t="n">
        <f aca="false">IF(LEFT(Cockpit!$C$5,1)="A",H1044,IF(CI1044=1,(CL1044+CJ1044)/2,IF(LEFT(Cockpit!$C$5,1)="B",(CL1044+AM1044)/2,MAX((CL1044+AM1044)/2,H1044))))</f>
        <v>8</v>
      </c>
      <c r="AL1044" s="62" t="n">
        <f aca="false">AK1044*G1044</f>
        <v>554.24</v>
      </c>
      <c r="AM1044" s="62" t="n">
        <f aca="false">ROUNDUP(CL1044+MAX(CM1044,2*(J1044/IF(CH1044&gt;0,CH1044,MAX(0.1,N(Cockpit!$C$6)))-CL1044)),0)</f>
        <v>1</v>
      </c>
      <c r="AN1044" s="63" t="n">
        <f aca="false">IF(AJ1044&gt;0,J1044/AJ1044,-1)</f>
        <v>0</v>
      </c>
      <c r="AO1044" s="63" t="n">
        <f aca="false">IF(AND(OR(CG1044="L1",CG1044="L23",CG1044="LIFT"),AJ1044&gt;0),SUMIFS($AJ$7:$AJ$1843,$CG$7:$CG$1843,CG1044,$AN$7:$AN$1843,"&gt;"&amp;AN1044)+SUMIFS($AJ$7:$AJ$1843,$CG$7:$CG$1843,CG1044,$AN$7:$AN$1843,AN1044,$BX$7:$BX$1843,"&lt;="&amp;BX1044),"")</f>
        <v>29069.2684831647</v>
      </c>
      <c r="AP1044" s="70" t="n">
        <f aca="false">IF(AO1044="",0,MAX(0,MIN(1,(IF(CG1044="L1",Parameter!$H$5,IF(CG1044="L23",Parameter!$H$6+Parameter!$H$7,Parameter!$H$5+Parameter!$H$6+Parameter!$H$7))-(AO1044-AJ1044))/AJ1044)))</f>
        <v>1</v>
      </c>
      <c r="AQ1044" s="62" t="n">
        <f aca="false">IF(LEFT(Cockpit!$I$5,1)="A",H1044,IF(Parameter!$E$30="MAX-Bestand",IF(CI1044=1,CJ1044,IF(LEFT(Cockpit!$I$5,1)="B",AW1044,MAX(AW1044,H1044))),ROUNDUP(AU1044,0)))</f>
        <v>8</v>
      </c>
      <c r="AR1044" s="62" t="n">
        <f aca="false">IF(CA1044=1,0,ROUNDUP(AQ1044/BZ1044,0))</f>
        <v>1</v>
      </c>
      <c r="AS1044" s="64" t="n">
        <f aca="false">IF(CR1044&gt;0,CR1044*MAX(1,AQ1044/X1044),IF(CA1044=1,IF(AQ1044&lt;=0,0,CE1044*MAX(1,IF(H1044&gt;0,AQ1044/H1044,1))),IF(R1044&gt;0,AR1044/R1044,0))/MAX(0.1,N(Parameter!$M$21)))</f>
        <v>0.0192307692307692</v>
      </c>
      <c r="AT1044" s="62" t="n">
        <f aca="false">AS1044*CC1044</f>
        <v>2.98076923076923</v>
      </c>
      <c r="AU1044" s="63" t="n">
        <f aca="false">IF(LEFT(Cockpit!$I$5,1)="A",H1044,IF(CI1044=1,(CL1044+CJ1044)/2,IF(LEFT(Cockpit!$I$5,1)="B",(CL1044+AW1044)/2,MAX((CL1044+AW1044)/2,H1044))))</f>
        <v>8</v>
      </c>
      <c r="AV1044" s="62" t="n">
        <f aca="false">AU1044*G1044</f>
        <v>554.24</v>
      </c>
      <c r="AW1044" s="62" t="n">
        <f aca="false">ROUNDUP(CL1044+MAX(CM1044,2*(J1044/IF(CH1044&gt;0,CH1044,MAX(0.1,N(Cockpit!$I$6)))-CL1044)),0)</f>
        <v>1</v>
      </c>
      <c r="AX1044" s="63" t="n">
        <f aca="false">IF(AT1044&gt;0,J1044/AT1044,-1)</f>
        <v>0</v>
      </c>
      <c r="AY1044" s="63" t="n">
        <f aca="false">IF(AND(OR(CG1044="L1",CG1044="L23",CG1044="LIFT"),AT1044&gt;0),SUMIFS($AT$7:$AT$1843,$CG$7:$CG$1843,CG1044,$AX$7:$AX$1843,"&gt;"&amp;AX1044)+SUMIFS($AT$7:$AT$1843,$CG$7:$CG$1843,CG1044,$AX$7:$AX$1843,AX1044,$BX$7:$BX$1843,"&lt;="&amp;BX1044),"")</f>
        <v>34770.1501831502</v>
      </c>
      <c r="AZ1044" s="70" t="n">
        <f aca="false">IF(AY1044="",0,MAX(0,MIN(1,(IF(CG1044="L1",Parameter!$H$5,IF(CG1044="L23",Parameter!$H$6+Parameter!$H$7,Parameter!$H$5+Parameter!$H$6+Parameter!$H$7))-(AY1044-AT1044))/AT1044)))</f>
        <v>1</v>
      </c>
      <c r="BA1044" s="62" t="n">
        <f aca="false">IF(LEFT(Cockpit!$O$5,1)="A",H1044,IF(Parameter!$E$30="MAX-Bestand",IF(CI1044=1,CJ1044,IF(LEFT(Cockpit!$O$5,1)="B",BG1044,MAX(BG1044,H1044))),ROUNDUP(BE1044,0)))</f>
        <v>1</v>
      </c>
      <c r="BB1044" s="62" t="n">
        <f aca="false">IF(CA1044=1,0,ROUNDUP(BA1044/BZ1044,0))</f>
        <v>1</v>
      </c>
      <c r="BC1044" s="64" t="n">
        <f aca="false">IF(CR1044&gt;0,CR1044*MAX(1,BA1044/X1044),IF(CA1044=1,IF(BA1044&lt;=0,0,CE1044*MAX(1,IF(H1044&gt;0,BA1044/H1044,1))),IF(R1044&gt;0,BB1044/R1044,0))/MAX(0.1,N(Parameter!$M$21)))</f>
        <v>0.0192307692307692</v>
      </c>
      <c r="BD1044" s="62" t="n">
        <f aca="false">BC1044*CC1044</f>
        <v>2.98076923076923</v>
      </c>
      <c r="BE1044" s="63" t="n">
        <f aca="false">IF(LEFT(Cockpit!$O$5,1)="A",H1044,IF(CI1044=1,(CL1044+CJ1044)/2,IF(LEFT(Cockpit!$O$5,1)="B",(CL1044+BG1044)/2,MAX((CL1044+BG1044)/2,H1044))))</f>
        <v>0.5</v>
      </c>
      <c r="BF1044" s="62" t="n">
        <f aca="false">BE1044*G1044</f>
        <v>34.64</v>
      </c>
      <c r="BG1044" s="62" t="n">
        <f aca="false">ROUNDUP(CL1044+MAX(CM1044,2*(J1044/IF(CH1044&gt;0,CH1044,MAX(0.1,N(Cockpit!$O$6)))-CL1044)),0)</f>
        <v>1</v>
      </c>
      <c r="BH1044" s="63" t="n">
        <f aca="false">IF(BD1044&gt;0,J1044/BD1044,-1)</f>
        <v>0</v>
      </c>
      <c r="BI1044" s="63" t="n">
        <f aca="false">IF(AND(OR(CG1044="L1",CG1044="L23",CG1044="LIFT"),BD1044&gt;0),SUMIFS($BD$7:$BD$1843,$CG$7:$CG$1843,CG1044,$BH$7:$BH$1843,"&gt;"&amp;BH1044)+SUMIFS($BD$7:$BD$1843,$CG$7:$CG$1843,CG1044,$BH$7:$BH$1843,BH1044,$BX$7:$BX$1843,"&lt;="&amp;BX1044),"")</f>
        <v>28767.379920221</v>
      </c>
      <c r="BJ1044" s="70" t="n">
        <f aca="false">IF(BI1044="",0,MAX(0,MIN(1,(IF(CG1044="L1",Parameter!$H$5,IF(CG1044="L23",Parameter!$H$6+Parameter!$H$7,Parameter!$H$5+Parameter!$H$6+Parameter!$H$7))-(BI1044-BD1044))/BD1044)))</f>
        <v>1</v>
      </c>
      <c r="BK1044" s="60" t="str">
        <f aca="false">IF(AJ1044&lt;=0,"",IF(CG1044="Aussen","Aussenlager",IF(CG1044="-","Nicht im Lift",IF(AP1044&gt;=1,"Lift",IF(AP1044&lt;=0,"Aussenlager","teilweise")))))</f>
        <v>Lift</v>
      </c>
      <c r="BL1044" s="60" t="str">
        <f aca="false">IF(AT1044&lt;=0,"",IF(CG1044="Aussen","Aussenlager",IF(CG1044="-","Nicht im Lift",IF(AZ1044&gt;=1,"Lift",IF(AZ1044&lt;=0,"Aussenlager","teilweise")))))</f>
        <v>Lift</v>
      </c>
      <c r="BM1044" s="60" t="str">
        <f aca="false">IF(BD1044&lt;=0,"",IF(CG1044="Aussen","Aussenlager",IF(CG1044="-","Nicht im Lift",IF(BJ1044&gt;=1,"Lift",IF(BJ1044&lt;=0,"Aussenlager","teilweise")))))</f>
        <v>Lift</v>
      </c>
      <c r="BN1044" s="60" t="str">
        <f aca="false">IF(A1044="","",IF(BW1044=1,"Neu; ","")&amp;IF(AND(BW1044=0,BR1044&lt;0),"negativer Bestand (Export "&amp;BR1044&amp;"); ","")&amp;IF(J1044&lt;=0,"Kein Verbrauch; ","")&amp;IF(CR1044&gt;0,"Lift "&amp;W1044&amp;" lt. Liftbericht (Fach "&amp;X1044&amp;" Stk); ",IF(CB1044=1,"Gebinde geschätzt ("&amp;T1044&amp;"); ",IF(CA1044=1,"Lose – Tablare geschätzt; ","")))&amp;IF(H1044&gt;AW1044,"Überbestand "&amp;ROUND(H1044-AW1044,0)&amp;" Stk / CHF "&amp;ROUND((H1044-AW1044)*G1044,0)&amp;"; ","")&amp;IF(AND(CI1044=1,CJ1044&lt;CK1044),"MAX &lt; MB+LG; ","")&amp;IF(AND(CQ1044&gt;0,CP1044*10&gt;CQ1044),"zu hoch für Tablar; ","")&amp;IF(AND(BW1044=0,OR(CI1044=1,AB1044&lt;&gt;"",U1044&lt;&gt;"",V1044&lt;&gt;"",AC1044&lt;&gt;"")),"manuell übersteuert; ","")&amp;IF(AND(CA1044=0,R1044=0),"Gebinde unbekannt / Stellmass fehlt; ","")&amp;IF(AND(CA1044=0,N(V1044)&lt;=0,N(Q1044)&lt;=0),"Menge pro Gebinde fehlt (Ist = 1 Gebinde); ","")&amp;BV1044)</f>
        <v>negativer Bestand (Export -2); Kein Verbrauch; Überbestand 7 Stk / CHF 485; </v>
      </c>
      <c r="BO1044" s="60"/>
      <c r="BP1044" s="60"/>
      <c r="BQ1044" s="67"/>
      <c r="BR1044" s="62" t="n">
        <v>-2</v>
      </c>
      <c r="BS1044" s="62" t="n">
        <v>10</v>
      </c>
      <c r="BT1044" s="61" t="n">
        <v>-138.56</v>
      </c>
      <c r="BU1044" s="62" t="n">
        <v>0</v>
      </c>
      <c r="BV1044" s="60"/>
      <c r="BW1044" s="65" t="n">
        <v>0</v>
      </c>
      <c r="BX1044" s="65" t="n">
        <v>1044</v>
      </c>
      <c r="BY1044" s="60" t="str">
        <f aca="false">IF(U1044&lt;&gt;"",UPPER(TRIM(U1044)),IF(CB1044=1,UPPER(VLOOKUP(T1044,Parameter!$I$27:$K$29,2,0)),IF(P1044="","LOSE",P1044)))</f>
        <v>S33</v>
      </c>
      <c r="BZ1044" s="62" t="n">
        <f aca="false">IF(BY1044="LOSE",1,IF(N(V1044)&gt;0,V1044,IF(CB1044=1,MAX(1,N(VLOOKUP(T1044,Parameter!$I$27:$K$29,3,0)),H1044,N(N1044)),IF(N(Q1044)&gt;0,Q1044,MAX(1,H1044)))))</f>
        <v>12</v>
      </c>
      <c r="CA1044" s="65" t="n">
        <f aca="false">IF(BY1044="LOSE",1,0)</f>
        <v>0</v>
      </c>
      <c r="CB1044" s="65" t="n">
        <f aca="false">IF(AND(U1044="",OR(P1044="",P1044="LOSE"),T1044&lt;&gt;"",N(S1044)&lt;=0,ISNUMBER(MATCH(T1044,Parameter!$I$27:$I$29,0))),1,0)</f>
        <v>0</v>
      </c>
      <c r="CC1044" s="65" t="n">
        <f aca="false">IF(CR1044&gt;0,INDEX(Parameter!$H$5:$H$7,W1044)/INDEX(Parameter!$E$5:$E$7,W1044),IF(AND(CA1044=0,N(IFERROR(VLOOKUP(BY1044,'Gebinde-Kategorie'!$A$5:$N$45,14,0),0))&gt;0),VLOOKUP(BY1044,'Gebinde-Kategorie'!$A$5:$N$45,14,0)*10+Parameter!$M$23,Parameter!$M$24))</f>
        <v>155</v>
      </c>
      <c r="CD1044" s="60" t="str">
        <f aca="false">IF(AND(Parameter!$B$19="Ja",E1044&lt;&gt;"",ISNUMBER(MATCH(E1044,Parameter!$I$35:$I$52,0))),VLOOKUP(E1044,Parameter!$I$35:$J$52,2,0),IFERROR(VLOOKUP(D1044,Parameter!$A$35:$C$64,2,0),"Nein"))</f>
        <v>2+3</v>
      </c>
      <c r="CE1044" s="64" t="n">
        <f aca="false">IF(CA1044=0,0,IF(N(S1044)&gt;0,S1044,IFERROR(VLOOKUP(D1044,Parameter!$A$35:$C$64,3,0)+0,0)))</f>
        <v>0</v>
      </c>
      <c r="CF1044" s="60" t="n">
        <f aca="false">IF(AB1044&lt;&gt;"",AB1044,AA1044)</f>
        <v>2</v>
      </c>
      <c r="CG1044" s="60" t="str">
        <f aca="false">IF(OR(CF1044=1,CF1044=2,CF1044=3),IF(Parameter!$E$27="Ja","LIFT",IF(CF1044=1,"L1","L23")),IF(CF1044="Aussen","Aussen","-"))</f>
        <v>LIFT</v>
      </c>
      <c r="CH1044" s="71" t="n">
        <f aca="false">IF(N(AC1044)&gt;0,AC1044,0)</f>
        <v>0</v>
      </c>
      <c r="CI1044" s="65" t="n">
        <f aca="false">IF(ISNUMBER(AF1044),1,0)</f>
        <v>0</v>
      </c>
      <c r="CJ1044" s="62" t="n">
        <f aca="false">N(AF1044)</f>
        <v>0</v>
      </c>
      <c r="CK1044" s="62" t="n">
        <f aca="false">N(M1044)+N(N1044)</f>
        <v>1</v>
      </c>
      <c r="CL1044" s="62" t="n">
        <f aca="false">N(M1044)</f>
        <v>0</v>
      </c>
      <c r="CM1044" s="62" t="n">
        <f aca="false">N(N1044)</f>
        <v>1</v>
      </c>
      <c r="CN1044" s="62" t="n">
        <f aca="false">ROUNDUP(H1044/BZ1044,0)</f>
        <v>1</v>
      </c>
      <c r="CO1044" s="62" t="n">
        <f aca="false">ROUNDUP(CJ1044/BZ1044,0)</f>
        <v>0</v>
      </c>
      <c r="CP1044" s="65" t="n">
        <f aca="false">IF(CA1044=1,0,IFERROR(VLOOKUP(BY1044,'Gebinde-Kategorie'!$A$5:$N$45,5,0)+0,0))</f>
        <v>8</v>
      </c>
      <c r="CQ1044" s="65" t="n">
        <f aca="false">IFERROR(IF(OR(CF1044=1,CF1044=2,CF1044=3),N(INDEX(Parameter!$I$5:$I$7,CF1044)),0),0)</f>
        <v>0</v>
      </c>
      <c r="CR1044" s="64" t="n">
        <f aca="false">IF(AND(Parameter!$B$21="Ja",ISNUMBER(W1044),N(X1044)&gt;0),IFERROR(N(INDEX(Parameter!$L$5:$L$7,W1044))*INDEX(Parameter!$E$5:$E$7,W1044)*X1044/SUMIFS($X$7:$X$1843,$W$7:$W$1843,W1044),0),0)</f>
        <v>0</v>
      </c>
      <c r="CS1044" s="62" t="n">
        <f aca="false">IF(AND(OR(CG1044="L1",CG1044="L23",CG1044="LIFT"),H1044&gt;0),CC1044*IF(CR1044&gt;0,CR1044*MAX(1,H1044/X1044),IF(CA1044=1,CE1044,IF(R1044&gt;0,CN1044/R1044,0))/MAX(0.1,N(Parameter!$M$21))),"")</f>
        <v>2.98076923076923</v>
      </c>
      <c r="CT1044" s="64" t="n">
        <f aca="false">IF(CS1044="","",J1044/H1044)</f>
        <v>0</v>
      </c>
      <c r="CU1044" s="62" t="n">
        <f aca="false">IF(CS1044="","",H1044*G1044)</f>
        <v>554.24</v>
      </c>
      <c r="CV1044" s="63" t="n">
        <f aca="false">IF(CS1044="","",(CL1044+ROUNDUP(CL1044+MAX(CM1044,2*(J1044/MAX(0.1,N(Einkauf!$C$6))-CL1044)),0))/2)</f>
        <v>0.5</v>
      </c>
      <c r="CW1044" s="62" t="n">
        <f aca="false">IF(CS1044="","",MAX(0,H1044-CV1044)*G1044)</f>
        <v>519.6</v>
      </c>
      <c r="CX1044" s="62" t="n">
        <f aca="false">IF(CS1044="","",CS1044*MAX(0,1-CV1044/H1044))</f>
        <v>2.79447115384615</v>
      </c>
      <c r="CY1044" s="64" t="n">
        <f aca="false">IF(CS1044="","",PERCENTRANK($CS$7:$CS$1843,CS1044)+PERCENTRANK($CU$7:$CU$1843,CU1044)+1-PERCENTRANK($CT$7:$CT$1843,CT1044))</f>
        <v>1.744</v>
      </c>
      <c r="CZ1044" s="72" t="n">
        <f aca="false">IF(CS1044="","",CHOOSE(MATCH(Einkauf!$C$5,Parameter!$G$23:$G$27,0),CY1044,CS1044,CU1044,-CT1044,CW1044)+ROW()/1000000000)</f>
        <v>1.744001044</v>
      </c>
    </row>
    <row r="1045" customFormat="false" ht="15" hidden="false" customHeight="false" outlineLevel="0" collapsed="false">
      <c r="A1045" s="60" t="s">
        <v>1959</v>
      </c>
      <c r="B1045" s="60" t="s">
        <v>1960</v>
      </c>
      <c r="C1045" s="60" t="s">
        <v>206</v>
      </c>
      <c r="D1045" s="60" t="s">
        <v>226</v>
      </c>
      <c r="E1045" s="60" t="s">
        <v>227</v>
      </c>
      <c r="F1045" s="60" t="s">
        <v>260</v>
      </c>
      <c r="G1045" s="61" t="n">
        <v>15.88</v>
      </c>
      <c r="H1045" s="62" t="n">
        <f aca="false">MAX(0,IF(AND(Parameter!$B$21="Ja",ISNUMBER(Y1045)),Y1045,IF(Parameter!$B$20="Jahresanfang 2025 + Export",BS1045+BR1045,BR1045)))</f>
        <v>9</v>
      </c>
      <c r="I1045" s="62" t="n">
        <f aca="false">H1045*G1045</f>
        <v>142.92</v>
      </c>
      <c r="J1045" s="62" t="n">
        <f aca="false">BU1045*Parameter!$B$18</f>
        <v>4</v>
      </c>
      <c r="K1045" s="63" t="n">
        <v>26</v>
      </c>
      <c r="L1045" s="64" t="n">
        <v>0.153846153846154</v>
      </c>
      <c r="M1045" s="62" t="n">
        <v>0</v>
      </c>
      <c r="N1045" s="62" t="n">
        <v>5</v>
      </c>
      <c r="O1045" s="65" t="n">
        <v>28</v>
      </c>
      <c r="P1045" s="60" t="s">
        <v>344</v>
      </c>
      <c r="Q1045" s="62" t="n">
        <v>20</v>
      </c>
      <c r="R1045" s="65" t="n">
        <f aca="false">IF(CA1045=1,0,IFERROR(VLOOKUP(BY1045,'Gebinde-Kategorie'!$A$5:$N$45,13,0)+0,0))</f>
        <v>26</v>
      </c>
      <c r="S1045" s="66"/>
      <c r="T1045" s="67"/>
      <c r="U1045" s="67"/>
      <c r="V1045" s="67"/>
      <c r="W1045" s="60"/>
      <c r="X1045" s="62"/>
      <c r="Y1045" s="62"/>
      <c r="Z1045" s="60" t="n">
        <v>3</v>
      </c>
      <c r="AA1045" s="60" t="n">
        <f aca="false">IF(A1045="","",IF(AND(Parameter!$B$21="Ja",ISNUMBER(W1045)),W1045,IF(AND(Parameter!$E$27="Ja",ISNUMBER(Z1045),CD1045&lt;&gt;"Nein"),Z1045,IF(CD1045="2+3",IF(ISNUMBER(SEARCH("grosser Artikel",BV1045)),2,IFERROR(VLOOKUP(BY1045,Parameter!$F$35:$G$64,2,0),2)),IF(OR(CD1045="Nein",CD1045=""),"-",CD1045)))))</f>
        <v>3</v>
      </c>
      <c r="AB1045" s="67"/>
      <c r="AC1045" s="68"/>
      <c r="AD1045" s="62" t="n">
        <f aca="false">AW1045</f>
        <v>5</v>
      </c>
      <c r="AE1045" s="62" t="n">
        <f aca="false">MAX(AW1045,H1045)</f>
        <v>9</v>
      </c>
      <c r="AF1045" s="69"/>
      <c r="AG1045" s="62" t="n">
        <f aca="false">IF(LEFT(Cockpit!$C$5,1)="A",H1045,IF(Parameter!$E$30="MAX-Bestand",IF(CI1045=1,CJ1045,IF(LEFT(Cockpit!$C$5,1)="B",AM1045,MAX(AM1045,H1045))),ROUNDUP(AK1045,0)))</f>
        <v>9</v>
      </c>
      <c r="AH1045" s="62" t="n">
        <f aca="false">IF(CA1045=1,0,ROUNDUP(AG1045/BZ1045,0))</f>
        <v>1</v>
      </c>
      <c r="AI1045" s="64" t="n">
        <f aca="false">IF(CR1045&gt;0,CR1045*MAX(1,AG1045/X1045),IF(CA1045=1,IF(AG1045&lt;=0,0,CE1045*MAX(1,IF(H1045&gt;0,AG1045/H1045,1))),IF(R1045&gt;0,AH1045/R1045,0))/MAX(0.1,N(Parameter!$M$21)))</f>
        <v>0.0384615384615385</v>
      </c>
      <c r="AJ1045" s="62" t="n">
        <f aca="false">AI1045*CC1045</f>
        <v>5.96153846153846</v>
      </c>
      <c r="AK1045" s="63" t="n">
        <f aca="false">IF(LEFT(Cockpit!$C$5,1)="A",H1045,IF(CI1045=1,(CL1045+CJ1045)/2,IF(LEFT(Cockpit!$C$5,1)="B",(CL1045+AM1045)/2,MAX((CL1045+AM1045)/2,H1045))))</f>
        <v>9</v>
      </c>
      <c r="AL1045" s="62" t="n">
        <f aca="false">AK1045*G1045</f>
        <v>142.92</v>
      </c>
      <c r="AM1045" s="62" t="n">
        <f aca="false">ROUNDUP(CL1045+MAX(CM1045,2*(J1045/IF(CH1045&gt;0,CH1045,MAX(0.1,N(Cockpit!$C$6)))-CL1045)),0)</f>
        <v>5</v>
      </c>
      <c r="AN1045" s="63" t="n">
        <f aca="false">IF(AJ1045&gt;0,J1045/AJ1045,-1)</f>
        <v>0.670967741935484</v>
      </c>
      <c r="AO1045" s="63" t="n">
        <f aca="false">IF(AND(OR(CG1045="L1",CG1045="L23",CG1045="LIFT"),AJ1045&gt;0),SUMIFS($AJ$7:$AJ$1843,$CG$7:$CG$1843,CG1045,$AN$7:$AN$1843,"&gt;"&amp;AN1045)+SUMIFS($AJ$7:$AJ$1843,$CG$7:$CG$1843,CG1045,$AN$7:$AN$1843,AN1045,$BX$7:$BX$1843,"&lt;="&amp;BX1045),"")</f>
        <v>8628.03525641026</v>
      </c>
      <c r="AP1045" s="70" t="n">
        <f aca="false">IF(AO1045="",0,MAX(0,MIN(1,(IF(CG1045="L1",Parameter!$H$5,IF(CG1045="L23",Parameter!$H$6+Parameter!$H$7,Parameter!$H$5+Parameter!$H$6+Parameter!$H$7))-(AO1045-AJ1045))/AJ1045)))</f>
        <v>1</v>
      </c>
      <c r="AQ1045" s="62" t="n">
        <f aca="false">IF(LEFT(Cockpit!$I$5,1)="A",H1045,IF(Parameter!$E$30="MAX-Bestand",IF(CI1045=1,CJ1045,IF(LEFT(Cockpit!$I$5,1)="B",AW1045,MAX(AW1045,H1045))),ROUNDUP(AU1045,0)))</f>
        <v>9</v>
      </c>
      <c r="AR1045" s="62" t="n">
        <f aca="false">IF(CA1045=1,0,ROUNDUP(AQ1045/BZ1045,0))</f>
        <v>1</v>
      </c>
      <c r="AS1045" s="64" t="n">
        <f aca="false">IF(CR1045&gt;0,CR1045*MAX(1,AQ1045/X1045),IF(CA1045=1,IF(AQ1045&lt;=0,0,CE1045*MAX(1,IF(H1045&gt;0,AQ1045/H1045,1))),IF(R1045&gt;0,AR1045/R1045,0))/MAX(0.1,N(Parameter!$M$21)))</f>
        <v>0.0384615384615385</v>
      </c>
      <c r="AT1045" s="62" t="n">
        <f aca="false">AS1045*CC1045</f>
        <v>5.96153846153846</v>
      </c>
      <c r="AU1045" s="63" t="n">
        <f aca="false">IF(LEFT(Cockpit!$I$5,1)="A",H1045,IF(CI1045=1,(CL1045+CJ1045)/2,IF(LEFT(Cockpit!$I$5,1)="B",(CL1045+AW1045)/2,MAX((CL1045+AW1045)/2,H1045))))</f>
        <v>9</v>
      </c>
      <c r="AV1045" s="62" t="n">
        <f aca="false">AU1045*G1045</f>
        <v>142.92</v>
      </c>
      <c r="AW1045" s="62" t="n">
        <f aca="false">ROUNDUP(CL1045+MAX(CM1045,2*(J1045/IF(CH1045&gt;0,CH1045,MAX(0.1,N(Cockpit!$I$6)))-CL1045)),0)</f>
        <v>5</v>
      </c>
      <c r="AX1045" s="63" t="n">
        <f aca="false">IF(AT1045&gt;0,J1045/AT1045,-1)</f>
        <v>0.670967741935484</v>
      </c>
      <c r="AY1045" s="63" t="n">
        <f aca="false">IF(AND(OR(CG1045="L1",CG1045="L23",CG1045="LIFT"),AT1045&gt;0),SUMIFS($AT$7:$AT$1843,$CG$7:$CG$1843,CG1045,$AX$7:$AX$1843,"&gt;"&amp;AX1045)+SUMIFS($AT$7:$AT$1843,$CG$7:$CG$1843,CG1045,$AX$7:$AX$1843,AX1045,$BX$7:$BX$1843,"&lt;="&amp;BX1045),"")</f>
        <v>10922.2028388278</v>
      </c>
      <c r="AZ1045" s="70" t="n">
        <f aca="false">IF(AY1045="",0,MAX(0,MIN(1,(IF(CG1045="L1",Parameter!$H$5,IF(CG1045="L23",Parameter!$H$6+Parameter!$H$7,Parameter!$H$5+Parameter!$H$6+Parameter!$H$7))-(AY1045-AT1045))/AT1045)))</f>
        <v>1</v>
      </c>
      <c r="BA1045" s="62" t="n">
        <f aca="false">IF(LEFT(Cockpit!$O$5,1)="A",H1045,IF(Parameter!$E$30="MAX-Bestand",IF(CI1045=1,CJ1045,IF(LEFT(Cockpit!$O$5,1)="B",BG1045,MAX(BG1045,H1045))),ROUNDUP(BE1045,0)))</f>
        <v>3</v>
      </c>
      <c r="BB1045" s="62" t="n">
        <f aca="false">IF(CA1045=1,0,ROUNDUP(BA1045/BZ1045,0))</f>
        <v>1</v>
      </c>
      <c r="BC1045" s="64" t="n">
        <f aca="false">IF(CR1045&gt;0,CR1045*MAX(1,BA1045/X1045),IF(CA1045=1,IF(BA1045&lt;=0,0,CE1045*MAX(1,IF(H1045&gt;0,BA1045/H1045,1))),IF(R1045&gt;0,BB1045/R1045,0))/MAX(0.1,N(Parameter!$M$21)))</f>
        <v>0.0384615384615385</v>
      </c>
      <c r="BD1045" s="62" t="n">
        <f aca="false">BC1045*CC1045</f>
        <v>5.96153846153846</v>
      </c>
      <c r="BE1045" s="63" t="n">
        <f aca="false">IF(LEFT(Cockpit!$O$5,1)="A",H1045,IF(CI1045=1,(CL1045+CJ1045)/2,IF(LEFT(Cockpit!$O$5,1)="B",(CL1045+BG1045)/2,MAX((CL1045+BG1045)/2,H1045))))</f>
        <v>2.5</v>
      </c>
      <c r="BF1045" s="62" t="n">
        <f aca="false">BE1045*G1045</f>
        <v>39.7</v>
      </c>
      <c r="BG1045" s="62" t="n">
        <f aca="false">ROUNDUP(CL1045+MAX(CM1045,2*(J1045/IF(CH1045&gt;0,CH1045,MAX(0.1,N(Cockpit!$O$6)))-CL1045)),0)</f>
        <v>5</v>
      </c>
      <c r="BH1045" s="63" t="n">
        <f aca="false">IF(BD1045&gt;0,J1045/BD1045,-1)</f>
        <v>0.670967741935484</v>
      </c>
      <c r="BI1045" s="63" t="n">
        <f aca="false">IF(AND(OR(CG1045="L1",CG1045="L23",CG1045="LIFT"),BD1045&gt;0),SUMIFS($BD$7:$BD$1843,$CG$7:$CG$1843,CG1045,$BH$7:$BH$1843,"&gt;"&amp;BH1045)+SUMIFS($BD$7:$BD$1843,$CG$7:$CG$1843,CG1045,$BH$7:$BH$1843,BH1045,$BX$7:$BX$1843,"&lt;="&amp;BX1045),"")</f>
        <v>9531.836996337</v>
      </c>
      <c r="BJ1045" s="70" t="n">
        <f aca="false">IF(BI1045="",0,MAX(0,MIN(1,(IF(CG1045="L1",Parameter!$H$5,IF(CG1045="L23",Parameter!$H$6+Parameter!$H$7,Parameter!$H$5+Parameter!$H$6+Parameter!$H$7))-(BI1045-BD1045))/BD1045)))</f>
        <v>1</v>
      </c>
      <c r="BK1045" s="60" t="str">
        <f aca="false">IF(AJ1045&lt;=0,"",IF(CG1045="Aussen","Aussenlager",IF(CG1045="-","Nicht im Lift",IF(AP1045&gt;=1,"Lift",IF(AP1045&lt;=0,"Aussenlager","teilweise")))))</f>
        <v>Lift</v>
      </c>
      <c r="BL1045" s="60" t="str">
        <f aca="false">IF(AT1045&lt;=0,"",IF(CG1045="Aussen","Aussenlager",IF(CG1045="-","Nicht im Lift",IF(AZ1045&gt;=1,"Lift",IF(AZ1045&lt;=0,"Aussenlager","teilweise")))))</f>
        <v>Lift</v>
      </c>
      <c r="BM1045" s="60" t="str">
        <f aca="false">IF(BD1045&lt;=0,"",IF(CG1045="Aussen","Aussenlager",IF(CG1045="-","Nicht im Lift",IF(BJ1045&gt;=1,"Lift",IF(BJ1045&lt;=0,"Aussenlager","teilweise")))))</f>
        <v>Lift</v>
      </c>
      <c r="BN1045" s="60" t="str">
        <f aca="false">IF(A1045="","",IF(BW1045=1,"Neu; ","")&amp;IF(AND(BW1045=0,BR1045&lt;0),"negativer Bestand (Export "&amp;BR1045&amp;"); ","")&amp;IF(J1045&lt;=0,"Kein Verbrauch; ","")&amp;IF(CR1045&gt;0,"Lift "&amp;W1045&amp;" lt. Liftbericht (Fach "&amp;X1045&amp;" Stk); ",IF(CB1045=1,"Gebinde geschätzt ("&amp;T1045&amp;"); ",IF(CA1045=1,"Lose – Tablare geschätzt; ","")))&amp;IF(H1045&gt;AW1045,"Überbestand "&amp;ROUND(H1045-AW1045,0)&amp;" Stk / CHF "&amp;ROUND((H1045-AW1045)*G1045,0)&amp;"; ","")&amp;IF(AND(CI1045=1,CJ1045&lt;CK1045),"MAX &lt; MB+LG; ","")&amp;IF(AND(CQ1045&gt;0,CP1045*10&gt;CQ1045),"zu hoch für Tablar; ","")&amp;IF(AND(BW1045=0,OR(CI1045=1,AB1045&lt;&gt;"",U1045&lt;&gt;"",V1045&lt;&gt;"",AC1045&lt;&gt;"")),"manuell übersteuert; ","")&amp;IF(AND(CA1045=0,R1045=0),"Gebinde unbekannt / Stellmass fehlt; ","")&amp;IF(AND(CA1045=0,N(V1045)&lt;=0,N(Q1045)&lt;=0),"Menge pro Gebinde fehlt (Ist = 1 Gebinde); ","")&amp;BV1045)</f>
        <v>negativer Bestand (Export -9); Überbestand 4 Stk / CHF 64; </v>
      </c>
      <c r="BO1045" s="60"/>
      <c r="BP1045" s="60"/>
      <c r="BQ1045" s="67"/>
      <c r="BR1045" s="62" t="n">
        <v>-9</v>
      </c>
      <c r="BS1045" s="62" t="n">
        <v>18</v>
      </c>
      <c r="BT1045" s="61" t="n">
        <v>-138.78</v>
      </c>
      <c r="BU1045" s="62" t="n">
        <v>4</v>
      </c>
      <c r="BV1045" s="60"/>
      <c r="BW1045" s="65" t="n">
        <v>0</v>
      </c>
      <c r="BX1045" s="65" t="n">
        <v>1045</v>
      </c>
      <c r="BY1045" s="60" t="str">
        <f aca="false">IF(U1045&lt;&gt;"",UPPER(TRIM(U1045)),IF(CB1045=1,UPPER(VLOOKUP(T1045,Parameter!$I$27:$K$29,2,0)),IF(P1045="","LOSE",P1045)))</f>
        <v>S51</v>
      </c>
      <c r="BZ1045" s="62" t="n">
        <f aca="false">IF(BY1045="LOSE",1,IF(N(V1045)&gt;0,V1045,IF(CB1045=1,MAX(1,N(VLOOKUP(T1045,Parameter!$I$27:$K$29,3,0)),H1045,N(N1045)),IF(N(Q1045)&gt;0,Q1045,MAX(1,H1045)))))</f>
        <v>20</v>
      </c>
      <c r="CA1045" s="65" t="n">
        <f aca="false">IF(BY1045="LOSE",1,0)</f>
        <v>0</v>
      </c>
      <c r="CB1045" s="65" t="n">
        <f aca="false">IF(AND(U1045="",OR(P1045="",P1045="LOSE"),T1045&lt;&gt;"",N(S1045)&lt;=0,ISNUMBER(MATCH(T1045,Parameter!$I$27:$I$29,0))),1,0)</f>
        <v>0</v>
      </c>
      <c r="CC1045" s="65" t="n">
        <f aca="false">IF(CR1045&gt;0,INDEX(Parameter!$H$5:$H$7,W1045)/INDEX(Parameter!$E$5:$E$7,W1045),IF(AND(CA1045=0,N(IFERROR(VLOOKUP(BY1045,'Gebinde-Kategorie'!$A$5:$N$45,14,0),0))&gt;0),VLOOKUP(BY1045,'Gebinde-Kategorie'!$A$5:$N$45,14,0)*10+Parameter!$M$23,Parameter!$M$24))</f>
        <v>155</v>
      </c>
      <c r="CD1045" s="60" t="str">
        <f aca="false">IF(AND(Parameter!$B$19="Ja",E1045&lt;&gt;"",ISNUMBER(MATCH(E1045,Parameter!$I$35:$I$52,0))),VLOOKUP(E1045,Parameter!$I$35:$J$52,2,0),IFERROR(VLOOKUP(D1045,Parameter!$A$35:$C$64,2,0),"Nein"))</f>
        <v>2+3</v>
      </c>
      <c r="CE1045" s="64" t="n">
        <f aca="false">IF(CA1045=0,0,IF(N(S1045)&gt;0,S1045,IFERROR(VLOOKUP(D1045,Parameter!$A$35:$C$64,3,0)+0,0)))</f>
        <v>0</v>
      </c>
      <c r="CF1045" s="60" t="n">
        <f aca="false">IF(AB1045&lt;&gt;"",AB1045,AA1045)</f>
        <v>3</v>
      </c>
      <c r="CG1045" s="60" t="str">
        <f aca="false">IF(OR(CF1045=1,CF1045=2,CF1045=3),IF(Parameter!$E$27="Ja","LIFT",IF(CF1045=1,"L1","L23")),IF(CF1045="Aussen","Aussen","-"))</f>
        <v>LIFT</v>
      </c>
      <c r="CH1045" s="71" t="n">
        <f aca="false">IF(N(AC1045)&gt;0,AC1045,0)</f>
        <v>0</v>
      </c>
      <c r="CI1045" s="65" t="n">
        <f aca="false">IF(ISNUMBER(AF1045),1,0)</f>
        <v>0</v>
      </c>
      <c r="CJ1045" s="62" t="n">
        <f aca="false">N(AF1045)</f>
        <v>0</v>
      </c>
      <c r="CK1045" s="62" t="n">
        <f aca="false">N(M1045)+N(N1045)</f>
        <v>5</v>
      </c>
      <c r="CL1045" s="62" t="n">
        <f aca="false">N(M1045)</f>
        <v>0</v>
      </c>
      <c r="CM1045" s="62" t="n">
        <f aca="false">N(N1045)</f>
        <v>5</v>
      </c>
      <c r="CN1045" s="62" t="n">
        <f aca="false">ROUNDUP(H1045/BZ1045,0)</f>
        <v>1</v>
      </c>
      <c r="CO1045" s="62" t="n">
        <f aca="false">ROUNDUP(CJ1045/BZ1045,0)</f>
        <v>0</v>
      </c>
      <c r="CP1045" s="65" t="n">
        <f aca="false">IF(CA1045=1,0,IFERROR(VLOOKUP(BY1045,'Gebinde-Kategorie'!$A$5:$N$45,5,0)+0,0))</f>
        <v>11</v>
      </c>
      <c r="CQ1045" s="65" t="n">
        <f aca="false">IFERROR(IF(OR(CF1045=1,CF1045=2,CF1045=3),N(INDEX(Parameter!$I$5:$I$7,CF1045)),0),0)</f>
        <v>0</v>
      </c>
      <c r="CR1045" s="64" t="n">
        <f aca="false">IF(AND(Parameter!$B$21="Ja",ISNUMBER(W1045),N(X1045)&gt;0),IFERROR(N(INDEX(Parameter!$L$5:$L$7,W1045))*INDEX(Parameter!$E$5:$E$7,W1045)*X1045/SUMIFS($X$7:$X$1843,$W$7:$W$1843,W1045),0),0)</f>
        <v>0</v>
      </c>
      <c r="CS1045" s="62" t="n">
        <f aca="false">IF(AND(OR(CG1045="L1",CG1045="L23",CG1045="LIFT"),H1045&gt;0),CC1045*IF(CR1045&gt;0,CR1045*MAX(1,H1045/X1045),IF(CA1045=1,CE1045,IF(R1045&gt;0,CN1045/R1045,0))/MAX(0.1,N(Parameter!$M$21))),"")</f>
        <v>5.96153846153846</v>
      </c>
      <c r="CT1045" s="64" t="n">
        <f aca="false">IF(CS1045="","",J1045/H1045)</f>
        <v>0.444444444444444</v>
      </c>
      <c r="CU1045" s="62" t="n">
        <f aca="false">IF(CS1045="","",H1045*G1045)</f>
        <v>142.92</v>
      </c>
      <c r="CV1045" s="63" t="n">
        <f aca="false">IF(CS1045="","",(CL1045+ROUNDUP(CL1045+MAX(CM1045,2*(J1045/MAX(0.1,N(Einkauf!$C$6))-CL1045)),0))/2)</f>
        <v>2.5</v>
      </c>
      <c r="CW1045" s="62" t="n">
        <f aca="false">IF(CS1045="","",MAX(0,H1045-CV1045)*G1045)</f>
        <v>103.22</v>
      </c>
      <c r="CX1045" s="62" t="n">
        <f aca="false">IF(CS1045="","",CS1045*MAX(0,1-CV1045/H1045))</f>
        <v>4.30555555555556</v>
      </c>
      <c r="CY1045" s="64" t="n">
        <f aca="false">IF(CS1045="","",PERCENTRANK($CS$7:$CS$1843,CS1045)+PERCENTRANK($CU$7:$CU$1843,CU1045)+1-PERCENTRANK($CT$7:$CT$1843,CT1045))</f>
        <v>1.105</v>
      </c>
      <c r="CZ1045" s="72" t="n">
        <f aca="false">IF(CS1045="","",CHOOSE(MATCH(Einkauf!$C$5,Parameter!$G$23:$G$27,0),CY1045,CS1045,CU1045,-CT1045,CW1045)+ROW()/1000000000)</f>
        <v>1.105001045</v>
      </c>
    </row>
    <row r="1046" customFormat="false" ht="15" hidden="false" customHeight="false" outlineLevel="0" collapsed="false">
      <c r="A1046" s="60" t="s">
        <v>1961</v>
      </c>
      <c r="B1046" s="60" t="s">
        <v>640</v>
      </c>
      <c r="C1046" s="60" t="s">
        <v>206</v>
      </c>
      <c r="D1046" s="60" t="s">
        <v>226</v>
      </c>
      <c r="E1046" s="60" t="s">
        <v>227</v>
      </c>
      <c r="F1046" s="60" t="s">
        <v>260</v>
      </c>
      <c r="G1046" s="61" t="n">
        <v>7.91</v>
      </c>
      <c r="H1046" s="62" t="n">
        <f aca="false">MAX(0,IF(AND(Parameter!$B$21="Ja",ISNUMBER(Y1046)),Y1046,IF(Parameter!$B$20="Jahresanfang 2025 + Export",BS1046+BR1046,BR1046)))</f>
        <v>108</v>
      </c>
      <c r="I1046" s="62" t="n">
        <f aca="false">H1046*G1046</f>
        <v>854.28</v>
      </c>
      <c r="J1046" s="62" t="n">
        <f aca="false">BU1046*Parameter!$B$18</f>
        <v>380</v>
      </c>
      <c r="K1046" s="63" t="n">
        <v>133</v>
      </c>
      <c r="L1046" s="64" t="n">
        <v>2.85714285714286</v>
      </c>
      <c r="M1046" s="62" t="n">
        <v>25</v>
      </c>
      <c r="N1046" s="62" t="n">
        <v>80</v>
      </c>
      <c r="O1046" s="65" t="n">
        <v>21</v>
      </c>
      <c r="P1046" s="60" t="s">
        <v>518</v>
      </c>
      <c r="Q1046" s="62" t="n">
        <v>117</v>
      </c>
      <c r="R1046" s="65" t="n">
        <f aca="false">IF(CA1046=1,0,IFERROR(VLOOKUP(BY1046,'Gebinde-Kategorie'!$A$5:$N$45,13,0)+0,0))</f>
        <v>52</v>
      </c>
      <c r="S1046" s="66"/>
      <c r="T1046" s="67"/>
      <c r="U1046" s="67"/>
      <c r="V1046" s="67"/>
      <c r="W1046" s="60"/>
      <c r="X1046" s="62"/>
      <c r="Y1046" s="62"/>
      <c r="Z1046" s="60" t="n">
        <v>3</v>
      </c>
      <c r="AA1046" s="60" t="n">
        <f aca="false">IF(A1046="","",IF(AND(Parameter!$B$21="Ja",ISNUMBER(W1046)),W1046,IF(AND(Parameter!$E$27="Ja",ISNUMBER(Z1046),CD1046&lt;&gt;"Nein"),Z1046,IF(CD1046="2+3",IF(ISNUMBER(SEARCH("grosser Artikel",BV1046)),2,IFERROR(VLOOKUP(BY1046,Parameter!$F$35:$G$64,2,0),2)),IF(OR(CD1046="Nein",CD1046=""),"-",CD1046)))))</f>
        <v>3</v>
      </c>
      <c r="AB1046" s="67"/>
      <c r="AC1046" s="68"/>
      <c r="AD1046" s="62" t="n">
        <f aca="false">AW1046</f>
        <v>229</v>
      </c>
      <c r="AE1046" s="62" t="n">
        <f aca="false">MAX(AW1046,H1046)</f>
        <v>229</v>
      </c>
      <c r="AF1046" s="69"/>
      <c r="AG1046" s="62" t="n">
        <f aca="false">IF(LEFT(Cockpit!$C$5,1)="A",H1046,IF(Parameter!$E$30="MAX-Bestand",IF(CI1046=1,CJ1046,IF(LEFT(Cockpit!$C$5,1)="B",AM1046,MAX(AM1046,H1046))),ROUNDUP(AK1046,0)))</f>
        <v>108</v>
      </c>
      <c r="AH1046" s="62" t="n">
        <f aca="false">IF(CA1046=1,0,ROUNDUP(AG1046/BZ1046,0))</f>
        <v>1</v>
      </c>
      <c r="AI1046" s="64" t="n">
        <f aca="false">IF(CR1046&gt;0,CR1046*MAX(1,AG1046/X1046),IF(CA1046=1,IF(AG1046&lt;=0,0,CE1046*MAX(1,IF(H1046&gt;0,AG1046/H1046,1))),IF(R1046&gt;0,AH1046/R1046,0))/MAX(0.1,N(Parameter!$M$21)))</f>
        <v>0.0192307692307692</v>
      </c>
      <c r="AJ1046" s="62" t="n">
        <f aca="false">AI1046*CC1046</f>
        <v>2.98076923076923</v>
      </c>
      <c r="AK1046" s="63" t="n">
        <f aca="false">IF(LEFT(Cockpit!$C$5,1)="A",H1046,IF(CI1046=1,(CL1046+CJ1046)/2,IF(LEFT(Cockpit!$C$5,1)="B",(CL1046+AM1046)/2,MAX((CL1046+AM1046)/2,H1046))))</f>
        <v>108</v>
      </c>
      <c r="AL1046" s="62" t="n">
        <f aca="false">AK1046*G1046</f>
        <v>854.28</v>
      </c>
      <c r="AM1046" s="62" t="n">
        <f aca="false">ROUNDUP(CL1046+MAX(CM1046,2*(J1046/IF(CH1046&gt;0,CH1046,MAX(0.1,N(Cockpit!$C$6)))-CL1046)),0)</f>
        <v>229</v>
      </c>
      <c r="AN1046" s="63" t="n">
        <f aca="false">IF(AJ1046&gt;0,J1046/AJ1046,-1)</f>
        <v>127.483870967742</v>
      </c>
      <c r="AO1046" s="63" t="n">
        <f aca="false">IF(AND(OR(CG1046="L1",CG1046="L23",CG1046="LIFT"),AJ1046&gt;0),SUMIFS($AJ$7:$AJ$1843,$CG$7:$CG$1843,CG1046,$AN$7:$AN$1843,"&gt;"&amp;AN1046)+SUMIFS($AJ$7:$AJ$1843,$CG$7:$CG$1843,CG1046,$AN$7:$AN$1843,AN1046,$BX$7:$BX$1843,"&lt;="&amp;BX1046),"")</f>
        <v>641.010073260073</v>
      </c>
      <c r="AP1046" s="70" t="n">
        <f aca="false">IF(AO1046="",0,MAX(0,MIN(1,(IF(CG1046="L1",Parameter!$H$5,IF(CG1046="L23",Parameter!$H$6+Parameter!$H$7,Parameter!$H$5+Parameter!$H$6+Parameter!$H$7))-(AO1046-AJ1046))/AJ1046)))</f>
        <v>1</v>
      </c>
      <c r="AQ1046" s="62" t="n">
        <f aca="false">IF(LEFT(Cockpit!$I$5,1)="A",H1046,IF(Parameter!$E$30="MAX-Bestand",IF(CI1046=1,CJ1046,IF(LEFT(Cockpit!$I$5,1)="B",AW1046,MAX(AW1046,H1046))),ROUNDUP(AU1046,0)))</f>
        <v>127</v>
      </c>
      <c r="AR1046" s="62" t="n">
        <f aca="false">IF(CA1046=1,0,ROUNDUP(AQ1046/BZ1046,0))</f>
        <v>2</v>
      </c>
      <c r="AS1046" s="64" t="n">
        <f aca="false">IF(CR1046&gt;0,CR1046*MAX(1,AQ1046/X1046),IF(CA1046=1,IF(AQ1046&lt;=0,0,CE1046*MAX(1,IF(H1046&gt;0,AQ1046/H1046,1))),IF(R1046&gt;0,AR1046/R1046,0))/MAX(0.1,N(Parameter!$M$21)))</f>
        <v>0.0384615384615385</v>
      </c>
      <c r="AT1046" s="62" t="n">
        <f aca="false">AS1046*CC1046</f>
        <v>5.96153846153846</v>
      </c>
      <c r="AU1046" s="63" t="n">
        <f aca="false">IF(LEFT(Cockpit!$I$5,1)="A",H1046,IF(CI1046=1,(CL1046+CJ1046)/2,IF(LEFT(Cockpit!$I$5,1)="B",(CL1046+AW1046)/2,MAX((CL1046+AW1046)/2,H1046))))</f>
        <v>127</v>
      </c>
      <c r="AV1046" s="62" t="n">
        <f aca="false">AU1046*G1046</f>
        <v>1004.57</v>
      </c>
      <c r="AW1046" s="62" t="n">
        <f aca="false">ROUNDUP(CL1046+MAX(CM1046,2*(J1046/IF(CH1046&gt;0,CH1046,MAX(0.1,N(Cockpit!$I$6)))-CL1046)),0)</f>
        <v>229</v>
      </c>
      <c r="AX1046" s="63" t="n">
        <f aca="false">IF(AT1046&gt;0,J1046/AT1046,-1)</f>
        <v>63.741935483871</v>
      </c>
      <c r="AY1046" s="63" t="n">
        <f aca="false">IF(AND(OR(CG1046="L1",CG1046="L23",CG1046="LIFT"),AT1046&gt;0),SUMIFS($AT$7:$AT$1843,$CG$7:$CG$1843,CG1046,$AX$7:$AX$1843,"&gt;"&amp;AX1046)+SUMIFS($AT$7:$AT$1843,$CG$7:$CG$1843,CG1046,$AX$7:$AX$1843,AX1046,$BX$7:$BX$1843,"&lt;="&amp;BX1046),"")</f>
        <v>1169.9271978022</v>
      </c>
      <c r="AZ1046" s="70" t="n">
        <f aca="false">IF(AY1046="",0,MAX(0,MIN(1,(IF(CG1046="L1",Parameter!$H$5,IF(CG1046="L23",Parameter!$H$6+Parameter!$H$7,Parameter!$H$5+Parameter!$H$6+Parameter!$H$7))-(AY1046-AT1046))/AT1046)))</f>
        <v>1</v>
      </c>
      <c r="BA1046" s="62" t="n">
        <f aca="false">IF(LEFT(Cockpit!$O$5,1)="A",H1046,IF(Parameter!$E$30="MAX-Bestand",IF(CI1046=1,CJ1046,IF(LEFT(Cockpit!$O$5,1)="B",BG1046,MAX(BG1046,H1046))),ROUNDUP(BE1046,0)))</f>
        <v>95</v>
      </c>
      <c r="BB1046" s="62" t="n">
        <f aca="false">IF(CA1046=1,0,ROUNDUP(BA1046/BZ1046,0))</f>
        <v>1</v>
      </c>
      <c r="BC1046" s="64" t="n">
        <f aca="false">IF(CR1046&gt;0,CR1046*MAX(1,BA1046/X1046),IF(CA1046=1,IF(BA1046&lt;=0,0,CE1046*MAX(1,IF(H1046&gt;0,BA1046/H1046,1))),IF(R1046&gt;0,BB1046/R1046,0))/MAX(0.1,N(Parameter!$M$21)))</f>
        <v>0.0192307692307692</v>
      </c>
      <c r="BD1046" s="62" t="n">
        <f aca="false">BC1046*CC1046</f>
        <v>2.98076923076923</v>
      </c>
      <c r="BE1046" s="63" t="n">
        <f aca="false">IF(LEFT(Cockpit!$O$5,1)="A",H1046,IF(CI1046=1,(CL1046+CJ1046)/2,IF(LEFT(Cockpit!$O$5,1)="B",(CL1046+BG1046)/2,MAX((CL1046+BG1046)/2,H1046))))</f>
        <v>95</v>
      </c>
      <c r="BF1046" s="62" t="n">
        <f aca="false">BE1046*G1046</f>
        <v>751.45</v>
      </c>
      <c r="BG1046" s="62" t="n">
        <f aca="false">ROUNDUP(CL1046+MAX(CM1046,2*(J1046/IF(CH1046&gt;0,CH1046,MAX(0.1,N(Cockpit!$O$6)))-CL1046)),0)</f>
        <v>165</v>
      </c>
      <c r="BH1046" s="63" t="n">
        <f aca="false">IF(BD1046&gt;0,J1046/BD1046,-1)</f>
        <v>127.483870967742</v>
      </c>
      <c r="BI1046" s="63" t="n">
        <f aca="false">IF(AND(OR(CG1046="L1",CG1046="L23",CG1046="LIFT"),BD1046&gt;0),SUMIFS($BD$7:$BD$1843,$CG$7:$CG$1843,CG1046,$BH$7:$BH$1843,"&gt;"&amp;BH1046)+SUMIFS($BD$7:$BD$1843,$CG$7:$CG$1843,CG1046,$BH$7:$BH$1843,BH1046,$BX$7:$BX$1843,"&lt;="&amp;BX1046),"")</f>
        <v>772.614010989011</v>
      </c>
      <c r="BJ1046" s="70" t="n">
        <f aca="false">IF(BI1046="",0,MAX(0,MIN(1,(IF(CG1046="L1",Parameter!$H$5,IF(CG1046="L23",Parameter!$H$6+Parameter!$H$7,Parameter!$H$5+Parameter!$H$6+Parameter!$H$7))-(BI1046-BD1046))/BD1046)))</f>
        <v>1</v>
      </c>
      <c r="BK1046" s="60" t="str">
        <f aca="false">IF(AJ1046&lt;=0,"",IF(CG1046="Aussen","Aussenlager",IF(CG1046="-","Nicht im Lift",IF(AP1046&gt;=1,"Lift",IF(AP1046&lt;=0,"Aussenlager","teilweise")))))</f>
        <v>Lift</v>
      </c>
      <c r="BL1046" s="60" t="str">
        <f aca="false">IF(AT1046&lt;=0,"",IF(CG1046="Aussen","Aussenlager",IF(CG1046="-","Nicht im Lift",IF(AZ1046&gt;=1,"Lift",IF(AZ1046&lt;=0,"Aussenlager","teilweise")))))</f>
        <v>Lift</v>
      </c>
      <c r="BM1046" s="60" t="str">
        <f aca="false">IF(BD1046&lt;=0,"",IF(CG1046="Aussen","Aussenlager",IF(CG1046="-","Nicht im Lift",IF(BJ1046&gt;=1,"Lift",IF(BJ1046&lt;=0,"Aussenlager","teilweise")))))</f>
        <v>Lift</v>
      </c>
      <c r="BN1046" s="60" t="str">
        <f aca="false">IF(A1046="","",IF(BW1046=1,"Neu; ","")&amp;IF(AND(BW1046=0,BR1046&lt;0),"negativer Bestand (Export "&amp;BR1046&amp;"); ","")&amp;IF(J1046&lt;=0,"Kein Verbrauch; ","")&amp;IF(CR1046&gt;0,"Lift "&amp;W1046&amp;" lt. Liftbericht (Fach "&amp;X1046&amp;" Stk); ",IF(CB1046=1,"Gebinde geschätzt ("&amp;T1046&amp;"); ",IF(CA1046=1,"Lose – Tablare geschätzt; ","")))&amp;IF(H1046&gt;AW1046,"Überbestand "&amp;ROUND(H1046-AW1046,0)&amp;" Stk / CHF "&amp;ROUND((H1046-AW1046)*G1046,0)&amp;"; ","")&amp;IF(AND(CI1046=1,CJ1046&lt;CK1046),"MAX &lt; MB+LG; ","")&amp;IF(AND(CQ1046&gt;0,CP1046*10&gt;CQ1046),"zu hoch für Tablar; ","")&amp;IF(AND(BW1046=0,OR(CI1046=1,AB1046&lt;&gt;"",U1046&lt;&gt;"",V1046&lt;&gt;"",AC1046&lt;&gt;"")),"manuell übersteuert; ","")&amp;IF(AND(CA1046=0,R1046=0),"Gebinde unbekannt / Stellmass fehlt; ","")&amp;IF(AND(CA1046=0,N(V1046)&lt;=0,N(Q1046)&lt;=0),"Menge pro Gebinde fehlt (Ist = 1 Gebinde); ","")&amp;BV1046)</f>
        <v>negativer Bestand (Export -16); </v>
      </c>
      <c r="BO1046" s="60"/>
      <c r="BP1046" s="60"/>
      <c r="BQ1046" s="67"/>
      <c r="BR1046" s="62" t="n">
        <v>-16</v>
      </c>
      <c r="BS1046" s="62" t="n">
        <v>124</v>
      </c>
      <c r="BT1046" s="61" t="n">
        <v>-138.96</v>
      </c>
      <c r="BU1046" s="62" t="n">
        <v>380</v>
      </c>
      <c r="BV1046" s="60"/>
      <c r="BW1046" s="65" t="n">
        <v>0</v>
      </c>
      <c r="BX1046" s="65" t="n">
        <v>1046</v>
      </c>
      <c r="BY1046" s="60" t="str">
        <f aca="false">IF(U1046&lt;&gt;"",UPPER(TRIM(U1046)),IF(CB1046=1,UPPER(VLOOKUP(T1046,Parameter!$I$27:$K$29,2,0)),IF(P1046="","LOSE",P1046)))</f>
        <v>S33</v>
      </c>
      <c r="BZ1046" s="62" t="n">
        <f aca="false">IF(BY1046="LOSE",1,IF(N(V1046)&gt;0,V1046,IF(CB1046=1,MAX(1,N(VLOOKUP(T1046,Parameter!$I$27:$K$29,3,0)),H1046,N(N1046)),IF(N(Q1046)&gt;0,Q1046,MAX(1,H1046)))))</f>
        <v>117</v>
      </c>
      <c r="CA1046" s="65" t="n">
        <f aca="false">IF(BY1046="LOSE",1,0)</f>
        <v>0</v>
      </c>
      <c r="CB1046" s="65" t="n">
        <f aca="false">IF(AND(U1046="",OR(P1046="",P1046="LOSE"),T1046&lt;&gt;"",N(S1046)&lt;=0,ISNUMBER(MATCH(T1046,Parameter!$I$27:$I$29,0))),1,0)</f>
        <v>0</v>
      </c>
      <c r="CC1046" s="65" t="n">
        <f aca="false">IF(CR1046&gt;0,INDEX(Parameter!$H$5:$H$7,W1046)/INDEX(Parameter!$E$5:$E$7,W1046),IF(AND(CA1046=0,N(IFERROR(VLOOKUP(BY1046,'Gebinde-Kategorie'!$A$5:$N$45,14,0),0))&gt;0),VLOOKUP(BY1046,'Gebinde-Kategorie'!$A$5:$N$45,14,0)*10+Parameter!$M$23,Parameter!$M$24))</f>
        <v>155</v>
      </c>
      <c r="CD1046" s="60" t="str">
        <f aca="false">IF(AND(Parameter!$B$19="Ja",E1046&lt;&gt;"",ISNUMBER(MATCH(E1046,Parameter!$I$35:$I$52,0))),VLOOKUP(E1046,Parameter!$I$35:$J$52,2,0),IFERROR(VLOOKUP(D1046,Parameter!$A$35:$C$64,2,0),"Nein"))</f>
        <v>2+3</v>
      </c>
      <c r="CE1046" s="64" t="n">
        <f aca="false">IF(CA1046=0,0,IF(N(S1046)&gt;0,S1046,IFERROR(VLOOKUP(D1046,Parameter!$A$35:$C$64,3,0)+0,0)))</f>
        <v>0</v>
      </c>
      <c r="CF1046" s="60" t="n">
        <f aca="false">IF(AB1046&lt;&gt;"",AB1046,AA1046)</f>
        <v>3</v>
      </c>
      <c r="CG1046" s="60" t="str">
        <f aca="false">IF(OR(CF1046=1,CF1046=2,CF1046=3),IF(Parameter!$E$27="Ja","LIFT",IF(CF1046=1,"L1","L23")),IF(CF1046="Aussen","Aussen","-"))</f>
        <v>LIFT</v>
      </c>
      <c r="CH1046" s="71" t="n">
        <f aca="false">IF(N(AC1046)&gt;0,AC1046,0)</f>
        <v>0</v>
      </c>
      <c r="CI1046" s="65" t="n">
        <f aca="false">IF(ISNUMBER(AF1046),1,0)</f>
        <v>0</v>
      </c>
      <c r="CJ1046" s="62" t="n">
        <f aca="false">N(AF1046)</f>
        <v>0</v>
      </c>
      <c r="CK1046" s="62" t="n">
        <f aca="false">N(M1046)+N(N1046)</f>
        <v>105</v>
      </c>
      <c r="CL1046" s="62" t="n">
        <f aca="false">N(M1046)</f>
        <v>25</v>
      </c>
      <c r="CM1046" s="62" t="n">
        <f aca="false">N(N1046)</f>
        <v>80</v>
      </c>
      <c r="CN1046" s="62" t="n">
        <f aca="false">ROUNDUP(H1046/BZ1046,0)</f>
        <v>1</v>
      </c>
      <c r="CO1046" s="62" t="n">
        <f aca="false">ROUNDUP(CJ1046/BZ1046,0)</f>
        <v>0</v>
      </c>
      <c r="CP1046" s="65" t="n">
        <f aca="false">IF(CA1046=1,0,IFERROR(VLOOKUP(BY1046,'Gebinde-Kategorie'!$A$5:$N$45,5,0)+0,0))</f>
        <v>8</v>
      </c>
      <c r="CQ1046" s="65" t="n">
        <f aca="false">IFERROR(IF(OR(CF1046=1,CF1046=2,CF1046=3),N(INDEX(Parameter!$I$5:$I$7,CF1046)),0),0)</f>
        <v>0</v>
      </c>
      <c r="CR1046" s="64" t="n">
        <f aca="false">IF(AND(Parameter!$B$21="Ja",ISNUMBER(W1046),N(X1046)&gt;0),IFERROR(N(INDEX(Parameter!$L$5:$L$7,W1046))*INDEX(Parameter!$E$5:$E$7,W1046)*X1046/SUMIFS($X$7:$X$1843,$W$7:$W$1843,W1046),0),0)</f>
        <v>0</v>
      </c>
      <c r="CS1046" s="62" t="n">
        <f aca="false">IF(AND(OR(CG1046="L1",CG1046="L23",CG1046="LIFT"),H1046&gt;0),CC1046*IF(CR1046&gt;0,CR1046*MAX(1,H1046/X1046),IF(CA1046=1,CE1046,IF(R1046&gt;0,CN1046/R1046,0))/MAX(0.1,N(Parameter!$M$21))),"")</f>
        <v>2.98076923076923</v>
      </c>
      <c r="CT1046" s="64" t="n">
        <f aca="false">IF(CS1046="","",J1046/H1046)</f>
        <v>3.51851851851852</v>
      </c>
      <c r="CU1046" s="62" t="n">
        <f aca="false">IF(CS1046="","",H1046*G1046)</f>
        <v>854.28</v>
      </c>
      <c r="CV1046" s="63" t="n">
        <f aca="false">IF(CS1046="","",(CL1046+ROUNDUP(CL1046+MAX(CM1046,2*(J1046/MAX(0.1,N(Einkauf!$C$6))-CL1046)),0))/2)</f>
        <v>95</v>
      </c>
      <c r="CW1046" s="62" t="n">
        <f aca="false">IF(CS1046="","",MAX(0,H1046-CV1046)*G1046)</f>
        <v>102.83</v>
      </c>
      <c r="CX1046" s="62" t="n">
        <f aca="false">IF(CS1046="","",CS1046*MAX(0,1-CV1046/H1046))</f>
        <v>0.358796296296296</v>
      </c>
      <c r="CY1046" s="64" t="n">
        <f aca="false">IF(CS1046="","",PERCENTRANK($CS$7:$CS$1843,CS1046)+PERCENTRANK($CU$7:$CU$1843,CU1046)+1-PERCENTRANK($CT$7:$CT$1843,CT1046))</f>
        <v>0.913</v>
      </c>
      <c r="CZ1046" s="72" t="n">
        <f aca="false">IF(CS1046="","",CHOOSE(MATCH(Einkauf!$C$5,Parameter!$G$23:$G$27,0),CY1046,CS1046,CU1046,-CT1046,CW1046)+ROW()/1000000000)</f>
        <v>0.913001046</v>
      </c>
    </row>
    <row r="1047" customFormat="false" ht="15" hidden="false" customHeight="false" outlineLevel="0" collapsed="false">
      <c r="A1047" s="60" t="s">
        <v>1962</v>
      </c>
      <c r="B1047" s="60" t="s">
        <v>640</v>
      </c>
      <c r="C1047" s="60" t="s">
        <v>206</v>
      </c>
      <c r="D1047" s="60" t="s">
        <v>226</v>
      </c>
      <c r="E1047" s="60" t="s">
        <v>227</v>
      </c>
      <c r="F1047" s="60" t="s">
        <v>260</v>
      </c>
      <c r="G1047" s="61" t="n">
        <v>17.52</v>
      </c>
      <c r="H1047" s="62" t="n">
        <f aca="false">MAX(0,IF(AND(Parameter!$B$21="Ja",ISNUMBER(Y1047)),Y1047,IF(Parameter!$B$20="Jahresanfang 2025 + Export",BS1047+BR1047,BR1047)))</f>
        <v>72</v>
      </c>
      <c r="I1047" s="62" t="n">
        <f aca="false">H1047*G1047</f>
        <v>1261.44</v>
      </c>
      <c r="J1047" s="62" t="n">
        <f aca="false">BU1047*Parameter!$B$18</f>
        <v>7</v>
      </c>
      <c r="K1047" s="63" t="n">
        <v>76.5</v>
      </c>
      <c r="L1047" s="64" t="n">
        <v>0.0915032679738562</v>
      </c>
      <c r="M1047" s="62" t="n">
        <v>0</v>
      </c>
      <c r="N1047" s="62" t="n">
        <v>5</v>
      </c>
      <c r="O1047" s="65" t="n">
        <v>14</v>
      </c>
      <c r="P1047" s="60" t="s">
        <v>518</v>
      </c>
      <c r="Q1047" s="62" t="n">
        <v>202</v>
      </c>
      <c r="R1047" s="65" t="n">
        <f aca="false">IF(CA1047=1,0,IFERROR(VLOOKUP(BY1047,'Gebinde-Kategorie'!$A$5:$N$45,13,0)+0,0))</f>
        <v>52</v>
      </c>
      <c r="S1047" s="66"/>
      <c r="T1047" s="67"/>
      <c r="U1047" s="67"/>
      <c r="V1047" s="67"/>
      <c r="W1047" s="60"/>
      <c r="X1047" s="62"/>
      <c r="Y1047" s="62"/>
      <c r="Z1047" s="60" t="n">
        <v>2</v>
      </c>
      <c r="AA1047" s="60" t="n">
        <f aca="false">IF(A1047="","",IF(AND(Parameter!$B$21="Ja",ISNUMBER(W1047)),W1047,IF(AND(Parameter!$E$27="Ja",ISNUMBER(Z1047),CD1047&lt;&gt;"Nein"),Z1047,IF(CD1047="2+3",IF(ISNUMBER(SEARCH("grosser Artikel",BV1047)),2,IFERROR(VLOOKUP(BY1047,Parameter!$F$35:$G$64,2,0),2)),IF(OR(CD1047="Nein",CD1047=""),"-",CD1047)))))</f>
        <v>2</v>
      </c>
      <c r="AB1047" s="67"/>
      <c r="AC1047" s="68"/>
      <c r="AD1047" s="62" t="n">
        <f aca="false">AW1047</f>
        <v>5</v>
      </c>
      <c r="AE1047" s="62" t="n">
        <f aca="false">MAX(AW1047,H1047)</f>
        <v>72</v>
      </c>
      <c r="AF1047" s="69"/>
      <c r="AG1047" s="62" t="n">
        <f aca="false">IF(LEFT(Cockpit!$C$5,1)="A",H1047,IF(Parameter!$E$30="MAX-Bestand",IF(CI1047=1,CJ1047,IF(LEFT(Cockpit!$C$5,1)="B",AM1047,MAX(AM1047,H1047))),ROUNDUP(AK1047,0)))</f>
        <v>72</v>
      </c>
      <c r="AH1047" s="62" t="n">
        <f aca="false">IF(CA1047=1,0,ROUNDUP(AG1047/BZ1047,0))</f>
        <v>1</v>
      </c>
      <c r="AI1047" s="64" t="n">
        <f aca="false">IF(CR1047&gt;0,CR1047*MAX(1,AG1047/X1047),IF(CA1047=1,IF(AG1047&lt;=0,0,CE1047*MAX(1,IF(H1047&gt;0,AG1047/H1047,1))),IF(R1047&gt;0,AH1047/R1047,0))/MAX(0.1,N(Parameter!$M$21)))</f>
        <v>0.0192307692307692</v>
      </c>
      <c r="AJ1047" s="62" t="n">
        <f aca="false">AI1047*CC1047</f>
        <v>2.98076923076923</v>
      </c>
      <c r="AK1047" s="63" t="n">
        <f aca="false">IF(LEFT(Cockpit!$C$5,1)="A",H1047,IF(CI1047=1,(CL1047+CJ1047)/2,IF(LEFT(Cockpit!$C$5,1)="B",(CL1047+AM1047)/2,MAX((CL1047+AM1047)/2,H1047))))</f>
        <v>72</v>
      </c>
      <c r="AL1047" s="62" t="n">
        <f aca="false">AK1047*G1047</f>
        <v>1261.44</v>
      </c>
      <c r="AM1047" s="62" t="n">
        <f aca="false">ROUNDUP(CL1047+MAX(CM1047,2*(J1047/IF(CH1047&gt;0,CH1047,MAX(0.1,N(Cockpit!$C$6)))-CL1047)),0)</f>
        <v>5</v>
      </c>
      <c r="AN1047" s="63" t="n">
        <f aca="false">IF(AJ1047&gt;0,J1047/AJ1047,-1)</f>
        <v>2.34838709677419</v>
      </c>
      <c r="AO1047" s="63" t="n">
        <f aca="false">IF(AND(OR(CG1047="L1",CG1047="L23",CG1047="LIFT"),AJ1047&gt;0),SUMIFS($AJ$7:$AJ$1843,$CG$7:$CG$1843,CG1047,$AN$7:$AN$1843,"&gt;"&amp;AN1047)+SUMIFS($AJ$7:$AJ$1843,$CG$7:$CG$1843,CG1047,$AN$7:$AN$1843,AN1047,$BX$7:$BX$1843,"&lt;="&amp;BX1047),"")</f>
        <v>5643.14148351648</v>
      </c>
      <c r="AP1047" s="70" t="n">
        <f aca="false">IF(AO1047="",0,MAX(0,MIN(1,(IF(CG1047="L1",Parameter!$H$5,IF(CG1047="L23",Parameter!$H$6+Parameter!$H$7,Parameter!$H$5+Parameter!$H$6+Parameter!$H$7))-(AO1047-AJ1047))/AJ1047)))</f>
        <v>1</v>
      </c>
      <c r="AQ1047" s="62" t="n">
        <f aca="false">IF(LEFT(Cockpit!$I$5,1)="A",H1047,IF(Parameter!$E$30="MAX-Bestand",IF(CI1047=1,CJ1047,IF(LEFT(Cockpit!$I$5,1)="B",AW1047,MAX(AW1047,H1047))),ROUNDUP(AU1047,0)))</f>
        <v>72</v>
      </c>
      <c r="AR1047" s="62" t="n">
        <f aca="false">IF(CA1047=1,0,ROUNDUP(AQ1047/BZ1047,0))</f>
        <v>1</v>
      </c>
      <c r="AS1047" s="64" t="n">
        <f aca="false">IF(CR1047&gt;0,CR1047*MAX(1,AQ1047/X1047),IF(CA1047=1,IF(AQ1047&lt;=0,0,CE1047*MAX(1,IF(H1047&gt;0,AQ1047/H1047,1))),IF(R1047&gt;0,AR1047/R1047,0))/MAX(0.1,N(Parameter!$M$21)))</f>
        <v>0.0192307692307692</v>
      </c>
      <c r="AT1047" s="62" t="n">
        <f aca="false">AS1047*CC1047</f>
        <v>2.98076923076923</v>
      </c>
      <c r="AU1047" s="63" t="n">
        <f aca="false">IF(LEFT(Cockpit!$I$5,1)="A",H1047,IF(CI1047=1,(CL1047+CJ1047)/2,IF(LEFT(Cockpit!$I$5,1)="B",(CL1047+AW1047)/2,MAX((CL1047+AW1047)/2,H1047))))</f>
        <v>72</v>
      </c>
      <c r="AV1047" s="62" t="n">
        <f aca="false">AU1047*G1047</f>
        <v>1261.44</v>
      </c>
      <c r="AW1047" s="62" t="n">
        <f aca="false">ROUNDUP(CL1047+MAX(CM1047,2*(J1047/IF(CH1047&gt;0,CH1047,MAX(0.1,N(Cockpit!$I$6)))-CL1047)),0)</f>
        <v>5</v>
      </c>
      <c r="AX1047" s="63" t="n">
        <f aca="false">IF(AT1047&gt;0,J1047/AT1047,-1)</f>
        <v>2.34838709677419</v>
      </c>
      <c r="AY1047" s="63" t="n">
        <f aca="false">IF(AND(OR(CG1047="L1",CG1047="L23",CG1047="LIFT"),AT1047&gt;0),SUMIFS($AT$7:$AT$1843,$CG$7:$CG$1843,CG1047,$AX$7:$AX$1843,"&gt;"&amp;AX1047)+SUMIFS($AT$7:$AT$1843,$CG$7:$CG$1843,CG1047,$AX$7:$AX$1843,AX1047,$BX$7:$BX$1843,"&lt;="&amp;BX1047),"")</f>
        <v>6465.53617216117</v>
      </c>
      <c r="AZ1047" s="70" t="n">
        <f aca="false">IF(AY1047="",0,MAX(0,MIN(1,(IF(CG1047="L1",Parameter!$H$5,IF(CG1047="L23",Parameter!$H$6+Parameter!$H$7,Parameter!$H$5+Parameter!$H$6+Parameter!$H$7))-(AY1047-AT1047))/AT1047)))</f>
        <v>1</v>
      </c>
      <c r="BA1047" s="62" t="n">
        <f aca="false">IF(LEFT(Cockpit!$O$5,1)="A",H1047,IF(Parameter!$E$30="MAX-Bestand",IF(CI1047=1,CJ1047,IF(LEFT(Cockpit!$O$5,1)="B",BG1047,MAX(BG1047,H1047))),ROUNDUP(BE1047,0)))</f>
        <v>3</v>
      </c>
      <c r="BB1047" s="62" t="n">
        <f aca="false">IF(CA1047=1,0,ROUNDUP(BA1047/BZ1047,0))</f>
        <v>1</v>
      </c>
      <c r="BC1047" s="64" t="n">
        <f aca="false">IF(CR1047&gt;0,CR1047*MAX(1,BA1047/X1047),IF(CA1047=1,IF(BA1047&lt;=0,0,CE1047*MAX(1,IF(H1047&gt;0,BA1047/H1047,1))),IF(R1047&gt;0,BB1047/R1047,0))/MAX(0.1,N(Parameter!$M$21)))</f>
        <v>0.0192307692307692</v>
      </c>
      <c r="BD1047" s="62" t="n">
        <f aca="false">BC1047*CC1047</f>
        <v>2.98076923076923</v>
      </c>
      <c r="BE1047" s="63" t="n">
        <f aca="false">IF(LEFT(Cockpit!$O$5,1)="A",H1047,IF(CI1047=1,(CL1047+CJ1047)/2,IF(LEFT(Cockpit!$O$5,1)="B",(CL1047+BG1047)/2,MAX((CL1047+BG1047)/2,H1047))))</f>
        <v>2.5</v>
      </c>
      <c r="BF1047" s="62" t="n">
        <f aca="false">BE1047*G1047</f>
        <v>43.8</v>
      </c>
      <c r="BG1047" s="62" t="n">
        <f aca="false">ROUNDUP(CL1047+MAX(CM1047,2*(J1047/IF(CH1047&gt;0,CH1047,MAX(0.1,N(Cockpit!$O$6)))-CL1047)),0)</f>
        <v>5</v>
      </c>
      <c r="BH1047" s="63" t="n">
        <f aca="false">IF(BD1047&gt;0,J1047/BD1047,-1)</f>
        <v>2.34838709677419</v>
      </c>
      <c r="BI1047" s="63" t="n">
        <f aca="false">IF(AND(OR(CG1047="L1",CG1047="L23",CG1047="LIFT"),BD1047&gt;0),SUMIFS($BD$7:$BD$1843,$CG$7:$CG$1843,CG1047,$BH$7:$BH$1843,"&gt;"&amp;BH1047)+SUMIFS($BD$7:$BD$1843,$CG$7:$CG$1843,CG1047,$BH$7:$BH$1843,BH1047,$BX$7:$BX$1843,"&lt;="&amp;BX1047),"")</f>
        <v>5619.40384615385</v>
      </c>
      <c r="BJ1047" s="70" t="n">
        <f aca="false">IF(BI1047="",0,MAX(0,MIN(1,(IF(CG1047="L1",Parameter!$H$5,IF(CG1047="L23",Parameter!$H$6+Parameter!$H$7,Parameter!$H$5+Parameter!$H$6+Parameter!$H$7))-(BI1047-BD1047))/BD1047)))</f>
        <v>1</v>
      </c>
      <c r="BK1047" s="60" t="str">
        <f aca="false">IF(AJ1047&lt;=0,"",IF(CG1047="Aussen","Aussenlager",IF(CG1047="-","Nicht im Lift",IF(AP1047&gt;=1,"Lift",IF(AP1047&lt;=0,"Aussenlager","teilweise")))))</f>
        <v>Lift</v>
      </c>
      <c r="BL1047" s="60" t="str">
        <f aca="false">IF(AT1047&lt;=0,"",IF(CG1047="Aussen","Aussenlager",IF(CG1047="-","Nicht im Lift",IF(AZ1047&gt;=1,"Lift",IF(AZ1047&lt;=0,"Aussenlager","teilweise")))))</f>
        <v>Lift</v>
      </c>
      <c r="BM1047" s="60" t="str">
        <f aca="false">IF(BD1047&lt;=0,"",IF(CG1047="Aussen","Aussenlager",IF(CG1047="-","Nicht im Lift",IF(BJ1047&gt;=1,"Lift",IF(BJ1047&lt;=0,"Aussenlager","teilweise")))))</f>
        <v>Lift</v>
      </c>
      <c r="BN1047" s="60" t="str">
        <f aca="false">IF(A1047="","",IF(BW1047=1,"Neu; ","")&amp;IF(AND(BW1047=0,BR1047&lt;0),"negativer Bestand (Export "&amp;BR1047&amp;"); ","")&amp;IF(J1047&lt;=0,"Kein Verbrauch; ","")&amp;IF(CR1047&gt;0,"Lift "&amp;W1047&amp;" lt. Liftbericht (Fach "&amp;X1047&amp;" Stk); ",IF(CB1047=1,"Gebinde geschätzt ("&amp;T1047&amp;"); ",IF(CA1047=1,"Lose – Tablare geschätzt; ","")))&amp;IF(H1047&gt;AW1047,"Überbestand "&amp;ROUND(H1047-AW1047,0)&amp;" Stk / CHF "&amp;ROUND((H1047-AW1047)*G1047,0)&amp;"; ","")&amp;IF(AND(CI1047=1,CJ1047&lt;CK1047),"MAX &lt; MB+LG; ","")&amp;IF(AND(CQ1047&gt;0,CP1047*10&gt;CQ1047),"zu hoch für Tablar; ","")&amp;IF(AND(BW1047=0,OR(CI1047=1,AB1047&lt;&gt;"",U1047&lt;&gt;"",V1047&lt;&gt;"",AC1047&lt;&gt;"")),"manuell übersteuert; ","")&amp;IF(AND(CA1047=0,R1047=0),"Gebinde unbekannt / Stellmass fehlt; ","")&amp;IF(AND(CA1047=0,N(V1047)&lt;=0,N(Q1047)&lt;=0),"Menge pro Gebinde fehlt (Ist = 1 Gebinde); ","")&amp;BV1047)</f>
        <v>negativer Bestand (Export -8); Überbestand 67 Stk / CHF 1174; Überbestand</v>
      </c>
      <c r="BO1047" s="60"/>
      <c r="BP1047" s="60"/>
      <c r="BQ1047" s="67"/>
      <c r="BR1047" s="62" t="n">
        <v>-8</v>
      </c>
      <c r="BS1047" s="62" t="n">
        <v>80</v>
      </c>
      <c r="BT1047" s="61" t="n">
        <v>-140.16</v>
      </c>
      <c r="BU1047" s="62" t="n">
        <v>7</v>
      </c>
      <c r="BV1047" s="60" t="s">
        <v>434</v>
      </c>
      <c r="BW1047" s="65" t="n">
        <v>0</v>
      </c>
      <c r="BX1047" s="65" t="n">
        <v>1047</v>
      </c>
      <c r="BY1047" s="60" t="str">
        <f aca="false">IF(U1047&lt;&gt;"",UPPER(TRIM(U1047)),IF(CB1047=1,UPPER(VLOOKUP(T1047,Parameter!$I$27:$K$29,2,0)),IF(P1047="","LOSE",P1047)))</f>
        <v>S33</v>
      </c>
      <c r="BZ1047" s="62" t="n">
        <f aca="false">IF(BY1047="LOSE",1,IF(N(V1047)&gt;0,V1047,IF(CB1047=1,MAX(1,N(VLOOKUP(T1047,Parameter!$I$27:$K$29,3,0)),H1047,N(N1047)),IF(N(Q1047)&gt;0,Q1047,MAX(1,H1047)))))</f>
        <v>202</v>
      </c>
      <c r="CA1047" s="65" t="n">
        <f aca="false">IF(BY1047="LOSE",1,0)</f>
        <v>0</v>
      </c>
      <c r="CB1047" s="65" t="n">
        <f aca="false">IF(AND(U1047="",OR(P1047="",P1047="LOSE"),T1047&lt;&gt;"",N(S1047)&lt;=0,ISNUMBER(MATCH(T1047,Parameter!$I$27:$I$29,0))),1,0)</f>
        <v>0</v>
      </c>
      <c r="CC1047" s="65" t="n">
        <f aca="false">IF(CR1047&gt;0,INDEX(Parameter!$H$5:$H$7,W1047)/INDEX(Parameter!$E$5:$E$7,W1047),IF(AND(CA1047=0,N(IFERROR(VLOOKUP(BY1047,'Gebinde-Kategorie'!$A$5:$N$45,14,0),0))&gt;0),VLOOKUP(BY1047,'Gebinde-Kategorie'!$A$5:$N$45,14,0)*10+Parameter!$M$23,Parameter!$M$24))</f>
        <v>155</v>
      </c>
      <c r="CD1047" s="60" t="str">
        <f aca="false">IF(AND(Parameter!$B$19="Ja",E1047&lt;&gt;"",ISNUMBER(MATCH(E1047,Parameter!$I$35:$I$52,0))),VLOOKUP(E1047,Parameter!$I$35:$J$52,2,0),IFERROR(VLOOKUP(D1047,Parameter!$A$35:$C$64,2,0),"Nein"))</f>
        <v>2+3</v>
      </c>
      <c r="CE1047" s="64" t="n">
        <f aca="false">IF(CA1047=0,0,IF(N(S1047)&gt;0,S1047,IFERROR(VLOOKUP(D1047,Parameter!$A$35:$C$64,3,0)+0,0)))</f>
        <v>0</v>
      </c>
      <c r="CF1047" s="60" t="n">
        <f aca="false">IF(AB1047&lt;&gt;"",AB1047,AA1047)</f>
        <v>2</v>
      </c>
      <c r="CG1047" s="60" t="str">
        <f aca="false">IF(OR(CF1047=1,CF1047=2,CF1047=3),IF(Parameter!$E$27="Ja","LIFT",IF(CF1047=1,"L1","L23")),IF(CF1047="Aussen","Aussen","-"))</f>
        <v>LIFT</v>
      </c>
      <c r="CH1047" s="71" t="n">
        <f aca="false">IF(N(AC1047)&gt;0,AC1047,0)</f>
        <v>0</v>
      </c>
      <c r="CI1047" s="65" t="n">
        <f aca="false">IF(ISNUMBER(AF1047),1,0)</f>
        <v>0</v>
      </c>
      <c r="CJ1047" s="62" t="n">
        <f aca="false">N(AF1047)</f>
        <v>0</v>
      </c>
      <c r="CK1047" s="62" t="n">
        <f aca="false">N(M1047)+N(N1047)</f>
        <v>5</v>
      </c>
      <c r="CL1047" s="62" t="n">
        <f aca="false">N(M1047)</f>
        <v>0</v>
      </c>
      <c r="CM1047" s="62" t="n">
        <f aca="false">N(N1047)</f>
        <v>5</v>
      </c>
      <c r="CN1047" s="62" t="n">
        <f aca="false">ROUNDUP(H1047/BZ1047,0)</f>
        <v>1</v>
      </c>
      <c r="CO1047" s="62" t="n">
        <f aca="false">ROUNDUP(CJ1047/BZ1047,0)</f>
        <v>0</v>
      </c>
      <c r="CP1047" s="65" t="n">
        <f aca="false">IF(CA1047=1,0,IFERROR(VLOOKUP(BY1047,'Gebinde-Kategorie'!$A$5:$N$45,5,0)+0,0))</f>
        <v>8</v>
      </c>
      <c r="CQ1047" s="65" t="n">
        <f aca="false">IFERROR(IF(OR(CF1047=1,CF1047=2,CF1047=3),N(INDEX(Parameter!$I$5:$I$7,CF1047)),0),0)</f>
        <v>0</v>
      </c>
      <c r="CR1047" s="64" t="n">
        <f aca="false">IF(AND(Parameter!$B$21="Ja",ISNUMBER(W1047),N(X1047)&gt;0),IFERROR(N(INDEX(Parameter!$L$5:$L$7,W1047))*INDEX(Parameter!$E$5:$E$7,W1047)*X1047/SUMIFS($X$7:$X$1843,$W$7:$W$1843,W1047),0),0)</f>
        <v>0</v>
      </c>
      <c r="CS1047" s="62" t="n">
        <f aca="false">IF(AND(OR(CG1047="L1",CG1047="L23",CG1047="LIFT"),H1047&gt;0),CC1047*IF(CR1047&gt;0,CR1047*MAX(1,H1047/X1047),IF(CA1047=1,CE1047,IF(R1047&gt;0,CN1047/R1047,0))/MAX(0.1,N(Parameter!$M$21))),"")</f>
        <v>2.98076923076923</v>
      </c>
      <c r="CT1047" s="64" t="n">
        <f aca="false">IF(CS1047="","",J1047/H1047)</f>
        <v>0.0972222222222222</v>
      </c>
      <c r="CU1047" s="62" t="n">
        <f aca="false">IF(CS1047="","",H1047*G1047)</f>
        <v>1261.44</v>
      </c>
      <c r="CV1047" s="63" t="n">
        <f aca="false">IF(CS1047="","",(CL1047+ROUNDUP(CL1047+MAX(CM1047,2*(J1047/MAX(0.1,N(Einkauf!$C$6))-CL1047)),0))/2)</f>
        <v>2.5</v>
      </c>
      <c r="CW1047" s="62" t="n">
        <f aca="false">IF(CS1047="","",MAX(0,H1047-CV1047)*G1047)</f>
        <v>1217.64</v>
      </c>
      <c r="CX1047" s="62" t="n">
        <f aca="false">IF(CS1047="","",CS1047*MAX(0,1-CV1047/H1047))</f>
        <v>2.8772702991453</v>
      </c>
      <c r="CY1047" s="64" t="n">
        <f aca="false">IF(CS1047="","",PERCENTRANK($CS$7:$CS$1843,CS1047)+PERCENTRANK($CU$7:$CU$1843,CU1047)+1-PERCENTRANK($CT$7:$CT$1843,CT1047))</f>
        <v>1.471</v>
      </c>
      <c r="CZ1047" s="72" t="n">
        <f aca="false">IF(CS1047="","",CHOOSE(MATCH(Einkauf!$C$5,Parameter!$G$23:$G$27,0),CY1047,CS1047,CU1047,-CT1047,CW1047)+ROW()/1000000000)</f>
        <v>1.471001047</v>
      </c>
    </row>
    <row r="1048" customFormat="false" ht="15" hidden="false" customHeight="false" outlineLevel="0" collapsed="false">
      <c r="A1048" s="60" t="s">
        <v>1963</v>
      </c>
      <c r="B1048" s="60" t="s">
        <v>1628</v>
      </c>
      <c r="C1048" s="60" t="s">
        <v>206</v>
      </c>
      <c r="D1048" s="60" t="s">
        <v>226</v>
      </c>
      <c r="E1048" s="60" t="s">
        <v>227</v>
      </c>
      <c r="F1048" s="60" t="s">
        <v>260</v>
      </c>
      <c r="G1048" s="61" t="n">
        <v>0.83</v>
      </c>
      <c r="H1048" s="62" t="n">
        <f aca="false">MAX(0,IF(AND(Parameter!$B$21="Ja",ISNUMBER(Y1048)),Y1048,IF(Parameter!$B$20="Jahresanfang 2025 + Export",BS1048+BR1048,BR1048)))</f>
        <v>0</v>
      </c>
      <c r="I1048" s="62" t="n">
        <f aca="false">H1048*G1048</f>
        <v>0</v>
      </c>
      <c r="J1048" s="62" t="n">
        <f aca="false">BU1048*Parameter!$B$18</f>
        <v>0</v>
      </c>
      <c r="K1048" s="63" t="n">
        <v>38.5</v>
      </c>
      <c r="L1048" s="64" t="n">
        <v>0</v>
      </c>
      <c r="M1048" s="62" t="n">
        <v>0</v>
      </c>
      <c r="N1048" s="62" t="n">
        <v>1</v>
      </c>
      <c r="O1048" s="65" t="n">
        <v>21</v>
      </c>
      <c r="P1048" s="60" t="s">
        <v>463</v>
      </c>
      <c r="Q1048" s="62" t="n">
        <v>54</v>
      </c>
      <c r="R1048" s="65" t="n">
        <f aca="false">IF(CA1048=1,0,IFERROR(VLOOKUP(BY1048,'Gebinde-Kategorie'!$A$5:$N$45,13,0)+0,0))</f>
        <v>104</v>
      </c>
      <c r="S1048" s="66"/>
      <c r="T1048" s="67"/>
      <c r="U1048" s="67"/>
      <c r="V1048" s="67"/>
      <c r="W1048" s="60"/>
      <c r="X1048" s="62"/>
      <c r="Y1048" s="62"/>
      <c r="Z1048" s="60" t="n">
        <v>3</v>
      </c>
      <c r="AA1048" s="60" t="n">
        <f aca="false">IF(A1048="","",IF(AND(Parameter!$B$21="Ja",ISNUMBER(W1048)),W1048,IF(AND(Parameter!$E$27="Ja",ISNUMBER(Z1048),CD1048&lt;&gt;"Nein"),Z1048,IF(CD1048="2+3",IF(ISNUMBER(SEARCH("grosser Artikel",BV1048)),2,IFERROR(VLOOKUP(BY1048,Parameter!$F$35:$G$64,2,0),2)),IF(OR(CD1048="Nein",CD1048=""),"-",CD1048)))))</f>
        <v>3</v>
      </c>
      <c r="AB1048" s="67"/>
      <c r="AC1048" s="68"/>
      <c r="AD1048" s="62" t="n">
        <f aca="false">AW1048</f>
        <v>1</v>
      </c>
      <c r="AE1048" s="62" t="n">
        <f aca="false">MAX(AW1048,H1048)</f>
        <v>1</v>
      </c>
      <c r="AF1048" s="69"/>
      <c r="AG1048" s="62" t="n">
        <f aca="false">IF(LEFT(Cockpit!$C$5,1)="A",H1048,IF(Parameter!$E$30="MAX-Bestand",IF(CI1048=1,CJ1048,IF(LEFT(Cockpit!$C$5,1)="B",AM1048,MAX(AM1048,H1048))),ROUNDUP(AK1048,0)))</f>
        <v>0</v>
      </c>
      <c r="AH1048" s="62" t="n">
        <f aca="false">IF(CA1048=1,0,ROUNDUP(AG1048/BZ1048,0))</f>
        <v>0</v>
      </c>
      <c r="AI1048" s="64" t="n">
        <f aca="false">IF(CR1048&gt;0,CR1048*MAX(1,AG1048/X1048),IF(CA1048=1,IF(AG1048&lt;=0,0,CE1048*MAX(1,IF(H1048&gt;0,AG1048/H1048,1))),IF(R1048&gt;0,AH1048/R1048,0))/MAX(0.1,N(Parameter!$M$21)))</f>
        <v>0</v>
      </c>
      <c r="AJ1048" s="62" t="n">
        <f aca="false">AI1048*CC1048</f>
        <v>0</v>
      </c>
      <c r="AK1048" s="63" t="n">
        <f aca="false">IF(LEFT(Cockpit!$C$5,1)="A",H1048,IF(CI1048=1,(CL1048+CJ1048)/2,IF(LEFT(Cockpit!$C$5,1)="B",(CL1048+AM1048)/2,MAX((CL1048+AM1048)/2,H1048))))</f>
        <v>0</v>
      </c>
      <c r="AL1048" s="62" t="n">
        <f aca="false">AK1048*G1048</f>
        <v>0</v>
      </c>
      <c r="AM1048" s="62" t="n">
        <f aca="false">ROUNDUP(CL1048+MAX(CM1048,2*(J1048/IF(CH1048&gt;0,CH1048,MAX(0.1,N(Cockpit!$C$6)))-CL1048)),0)</f>
        <v>1</v>
      </c>
      <c r="AN1048" s="63" t="n">
        <f aca="false">IF(AJ1048&gt;0,J1048/AJ1048,-1)</f>
        <v>-1</v>
      </c>
      <c r="AO1048" s="63" t="str">
        <f aca="false">IF(AND(OR(CG1048="L1",CG1048="L23",CG1048="LIFT"),AJ1048&gt;0),SUMIFS($AJ$7:$AJ$1843,$CG$7:$CG$1843,CG1048,$AN$7:$AN$1843,"&gt;"&amp;AN1048)+SUMIFS($AJ$7:$AJ$1843,$CG$7:$CG$1843,CG1048,$AN$7:$AN$1843,AN1048,$BX$7:$BX$1843,"&lt;="&amp;BX1048),"")</f>
        <v/>
      </c>
      <c r="AP1048" s="70" t="n">
        <f aca="false">IF(AO1048="",0,MAX(0,MIN(1,(IF(CG1048="L1",Parameter!$H$5,IF(CG1048="L23",Parameter!$H$6+Parameter!$H$7,Parameter!$H$5+Parameter!$H$6+Parameter!$H$7))-(AO1048-AJ1048))/AJ1048)))</f>
        <v>0</v>
      </c>
      <c r="AQ1048" s="62" t="n">
        <f aca="false">IF(LEFT(Cockpit!$I$5,1)="A",H1048,IF(Parameter!$E$30="MAX-Bestand",IF(CI1048=1,CJ1048,IF(LEFT(Cockpit!$I$5,1)="B",AW1048,MAX(AW1048,H1048))),ROUNDUP(AU1048,0)))</f>
        <v>1</v>
      </c>
      <c r="AR1048" s="62" t="n">
        <f aca="false">IF(CA1048=1,0,ROUNDUP(AQ1048/BZ1048,0))</f>
        <v>1</v>
      </c>
      <c r="AS1048" s="64" t="n">
        <f aca="false">IF(CR1048&gt;0,CR1048*MAX(1,AQ1048/X1048),IF(CA1048=1,IF(AQ1048&lt;=0,0,CE1048*MAX(1,IF(H1048&gt;0,AQ1048/H1048,1))),IF(R1048&gt;0,AR1048/R1048,0))/MAX(0.1,N(Parameter!$M$21)))</f>
        <v>0.00961538461538462</v>
      </c>
      <c r="AT1048" s="62" t="n">
        <f aca="false">AS1048*CC1048</f>
        <v>1.49038461538462</v>
      </c>
      <c r="AU1048" s="63" t="n">
        <f aca="false">IF(LEFT(Cockpit!$I$5,1)="A",H1048,IF(CI1048=1,(CL1048+CJ1048)/2,IF(LEFT(Cockpit!$I$5,1)="B",(CL1048+AW1048)/2,MAX((CL1048+AW1048)/2,H1048))))</f>
        <v>0.5</v>
      </c>
      <c r="AV1048" s="62" t="n">
        <f aca="false">AU1048*G1048</f>
        <v>0.415</v>
      </c>
      <c r="AW1048" s="62" t="n">
        <f aca="false">ROUNDUP(CL1048+MAX(CM1048,2*(J1048/IF(CH1048&gt;0,CH1048,MAX(0.1,N(Cockpit!$I$6)))-CL1048)),0)</f>
        <v>1</v>
      </c>
      <c r="AX1048" s="63" t="n">
        <f aca="false">IF(AT1048&gt;0,J1048/AT1048,-1)</f>
        <v>0</v>
      </c>
      <c r="AY1048" s="63" t="n">
        <f aca="false">IF(AND(OR(CG1048="L1",CG1048="L23",CG1048="LIFT"),AT1048&gt;0),SUMIFS($AT$7:$AT$1843,$CG$7:$CG$1843,CG1048,$AX$7:$AX$1843,"&gt;"&amp;AX1048)+SUMIFS($AT$7:$AT$1843,$CG$7:$CG$1843,CG1048,$AX$7:$AX$1843,AX1048,$BX$7:$BX$1843,"&lt;="&amp;BX1048),"")</f>
        <v>34771.6405677656</v>
      </c>
      <c r="AZ1048" s="70" t="n">
        <f aca="false">IF(AY1048="",0,MAX(0,MIN(1,(IF(CG1048="L1",Parameter!$H$5,IF(CG1048="L23",Parameter!$H$6+Parameter!$H$7,Parameter!$H$5+Parameter!$H$6+Parameter!$H$7))-(AY1048-AT1048))/AT1048)))</f>
        <v>1</v>
      </c>
      <c r="BA1048" s="62" t="n">
        <f aca="false">IF(LEFT(Cockpit!$O$5,1)="A",H1048,IF(Parameter!$E$30="MAX-Bestand",IF(CI1048=1,CJ1048,IF(LEFT(Cockpit!$O$5,1)="B",BG1048,MAX(BG1048,H1048))),ROUNDUP(BE1048,0)))</f>
        <v>1</v>
      </c>
      <c r="BB1048" s="62" t="n">
        <f aca="false">IF(CA1048=1,0,ROUNDUP(BA1048/BZ1048,0))</f>
        <v>1</v>
      </c>
      <c r="BC1048" s="64" t="n">
        <f aca="false">IF(CR1048&gt;0,CR1048*MAX(1,BA1048/X1048),IF(CA1048=1,IF(BA1048&lt;=0,0,CE1048*MAX(1,IF(H1048&gt;0,BA1048/H1048,1))),IF(R1048&gt;0,BB1048/R1048,0))/MAX(0.1,N(Parameter!$M$21)))</f>
        <v>0.00961538461538462</v>
      </c>
      <c r="BD1048" s="62" t="n">
        <f aca="false">BC1048*CC1048</f>
        <v>1.49038461538462</v>
      </c>
      <c r="BE1048" s="63" t="n">
        <f aca="false">IF(LEFT(Cockpit!$O$5,1)="A",H1048,IF(CI1048=1,(CL1048+CJ1048)/2,IF(LEFT(Cockpit!$O$5,1)="B",(CL1048+BG1048)/2,MAX((CL1048+BG1048)/2,H1048))))</f>
        <v>0.5</v>
      </c>
      <c r="BF1048" s="62" t="n">
        <f aca="false">BE1048*G1048</f>
        <v>0.415</v>
      </c>
      <c r="BG1048" s="62" t="n">
        <f aca="false">ROUNDUP(CL1048+MAX(CM1048,2*(J1048/IF(CH1048&gt;0,CH1048,MAX(0.1,N(Cockpit!$O$6)))-CL1048)),0)</f>
        <v>1</v>
      </c>
      <c r="BH1048" s="63" t="n">
        <f aca="false">IF(BD1048&gt;0,J1048/BD1048,-1)</f>
        <v>0</v>
      </c>
      <c r="BI1048" s="63" t="n">
        <f aca="false">IF(AND(OR(CG1048="L1",CG1048="L23",CG1048="LIFT"),BD1048&gt;0),SUMIFS($BD$7:$BD$1843,$CG$7:$CG$1843,CG1048,$BH$7:$BH$1843,"&gt;"&amp;BH1048)+SUMIFS($BD$7:$BD$1843,$CG$7:$CG$1843,CG1048,$BH$7:$BH$1843,BH1048,$BX$7:$BX$1843,"&lt;="&amp;BX1048),"")</f>
        <v>28768.8703048364</v>
      </c>
      <c r="BJ1048" s="70" t="n">
        <f aca="false">IF(BI1048="",0,MAX(0,MIN(1,(IF(CG1048="L1",Parameter!$H$5,IF(CG1048="L23",Parameter!$H$6+Parameter!$H$7,Parameter!$H$5+Parameter!$H$6+Parameter!$H$7))-(BI1048-BD1048))/BD1048)))</f>
        <v>1</v>
      </c>
      <c r="BK1048" s="60" t="str">
        <f aca="false">IF(AJ1048&lt;=0,"",IF(CG1048="Aussen","Aussenlager",IF(CG1048="-","Nicht im Lift",IF(AP1048&gt;=1,"Lift",IF(AP1048&lt;=0,"Aussenlager","teilweise")))))</f>
        <v/>
      </c>
      <c r="BL1048" s="60" t="str">
        <f aca="false">IF(AT1048&lt;=0,"",IF(CG1048="Aussen","Aussenlager",IF(CG1048="-","Nicht im Lift",IF(AZ1048&gt;=1,"Lift",IF(AZ1048&lt;=0,"Aussenlager","teilweise")))))</f>
        <v>Lift</v>
      </c>
      <c r="BM1048" s="60" t="str">
        <f aca="false">IF(BD1048&lt;=0,"",IF(CG1048="Aussen","Aussenlager",IF(CG1048="-","Nicht im Lift",IF(BJ1048&gt;=1,"Lift",IF(BJ1048&lt;=0,"Aussenlager","teilweise")))))</f>
        <v>Lift</v>
      </c>
      <c r="BN1048" s="60" t="str">
        <f aca="false">IF(A1048="","",IF(BW1048=1,"Neu; ","")&amp;IF(AND(BW1048=0,BR1048&lt;0),"negativer Bestand (Export "&amp;BR1048&amp;"); ","")&amp;IF(J1048&lt;=0,"Kein Verbrauch; ","")&amp;IF(CR1048&gt;0,"Lift "&amp;W1048&amp;" lt. Liftbericht (Fach "&amp;X1048&amp;" Stk); ",IF(CB1048=1,"Gebinde geschätzt ("&amp;T1048&amp;"); ",IF(CA1048=1,"Lose – Tablare geschätzt; ","")))&amp;IF(H1048&gt;AW1048,"Überbestand "&amp;ROUND(H1048-AW1048,0)&amp;" Stk / CHF "&amp;ROUND((H1048-AW1048)*G1048,0)&amp;"; ","")&amp;IF(AND(CI1048=1,CJ1048&lt;CK1048),"MAX &lt; MB+LG; ","")&amp;IF(AND(CQ1048&gt;0,CP1048*10&gt;CQ1048),"zu hoch für Tablar; ","")&amp;IF(AND(BW1048=0,OR(CI1048=1,AB1048&lt;&gt;"",U1048&lt;&gt;"",V1048&lt;&gt;"",AC1048&lt;&gt;"")),"manuell übersteuert; ","")&amp;IF(AND(CA1048=0,R1048=0),"Gebinde unbekannt / Stellmass fehlt; ","")&amp;IF(AND(CA1048=0,N(V1048)&lt;=0,N(Q1048)&lt;=0),"Menge pro Gebinde fehlt (Ist = 1 Gebinde); ","")&amp;BV1048)</f>
        <v>negativer Bestand (Export -47); Kein Verbrauch; Überbestand</v>
      </c>
      <c r="BO1048" s="60"/>
      <c r="BP1048" s="60"/>
      <c r="BQ1048" s="67"/>
      <c r="BR1048" s="62" t="n">
        <v>-47</v>
      </c>
      <c r="BS1048" s="62" t="n">
        <v>47</v>
      </c>
      <c r="BT1048" s="61" t="n">
        <v>-142.41</v>
      </c>
      <c r="BU1048" s="62" t="n">
        <v>0</v>
      </c>
      <c r="BV1048" s="60" t="s">
        <v>434</v>
      </c>
      <c r="BW1048" s="65" t="n">
        <v>0</v>
      </c>
      <c r="BX1048" s="65" t="n">
        <v>1048</v>
      </c>
      <c r="BY1048" s="60" t="str">
        <f aca="false">IF(U1048&lt;&gt;"",UPPER(TRIM(U1048)),IF(CB1048=1,UPPER(VLOOKUP(T1048,Parameter!$I$27:$K$29,2,0)),IF(P1048="","LOSE",P1048)))</f>
        <v>S32</v>
      </c>
      <c r="BZ1048" s="62" t="n">
        <f aca="false">IF(BY1048="LOSE",1,IF(N(V1048)&gt;0,V1048,IF(CB1048=1,MAX(1,N(VLOOKUP(T1048,Parameter!$I$27:$K$29,3,0)),H1048,N(N1048)),IF(N(Q1048)&gt;0,Q1048,MAX(1,H1048)))))</f>
        <v>54</v>
      </c>
      <c r="CA1048" s="65" t="n">
        <f aca="false">IF(BY1048="LOSE",1,0)</f>
        <v>0</v>
      </c>
      <c r="CB1048" s="65" t="n">
        <f aca="false">IF(AND(U1048="",OR(P1048="",P1048="LOSE"),T1048&lt;&gt;"",N(S1048)&lt;=0,ISNUMBER(MATCH(T1048,Parameter!$I$27:$I$29,0))),1,0)</f>
        <v>0</v>
      </c>
      <c r="CC1048" s="65" t="n">
        <f aca="false">IF(CR1048&gt;0,INDEX(Parameter!$H$5:$H$7,W1048)/INDEX(Parameter!$E$5:$E$7,W1048),IF(AND(CA1048=0,N(IFERROR(VLOOKUP(BY1048,'Gebinde-Kategorie'!$A$5:$N$45,14,0),0))&gt;0),VLOOKUP(BY1048,'Gebinde-Kategorie'!$A$5:$N$45,14,0)*10+Parameter!$M$23,Parameter!$M$24))</f>
        <v>155</v>
      </c>
      <c r="CD1048" s="60" t="str">
        <f aca="false">IF(AND(Parameter!$B$19="Ja",E1048&lt;&gt;"",ISNUMBER(MATCH(E1048,Parameter!$I$35:$I$52,0))),VLOOKUP(E1048,Parameter!$I$35:$J$52,2,0),IFERROR(VLOOKUP(D1048,Parameter!$A$35:$C$64,2,0),"Nein"))</f>
        <v>2+3</v>
      </c>
      <c r="CE1048" s="64" t="n">
        <f aca="false">IF(CA1048=0,0,IF(N(S1048)&gt;0,S1048,IFERROR(VLOOKUP(D1048,Parameter!$A$35:$C$64,3,0)+0,0)))</f>
        <v>0</v>
      </c>
      <c r="CF1048" s="60" t="n">
        <f aca="false">IF(AB1048&lt;&gt;"",AB1048,AA1048)</f>
        <v>3</v>
      </c>
      <c r="CG1048" s="60" t="str">
        <f aca="false">IF(OR(CF1048=1,CF1048=2,CF1048=3),IF(Parameter!$E$27="Ja","LIFT",IF(CF1048=1,"L1","L23")),IF(CF1048="Aussen","Aussen","-"))</f>
        <v>LIFT</v>
      </c>
      <c r="CH1048" s="71" t="n">
        <f aca="false">IF(N(AC1048)&gt;0,AC1048,0)</f>
        <v>0</v>
      </c>
      <c r="CI1048" s="65" t="n">
        <f aca="false">IF(ISNUMBER(AF1048),1,0)</f>
        <v>0</v>
      </c>
      <c r="CJ1048" s="62" t="n">
        <f aca="false">N(AF1048)</f>
        <v>0</v>
      </c>
      <c r="CK1048" s="62" t="n">
        <f aca="false">N(M1048)+N(N1048)</f>
        <v>1</v>
      </c>
      <c r="CL1048" s="62" t="n">
        <f aca="false">N(M1048)</f>
        <v>0</v>
      </c>
      <c r="CM1048" s="62" t="n">
        <f aca="false">N(N1048)</f>
        <v>1</v>
      </c>
      <c r="CN1048" s="62" t="n">
        <f aca="false">ROUNDUP(H1048/BZ1048,0)</f>
        <v>0</v>
      </c>
      <c r="CO1048" s="62" t="n">
        <f aca="false">ROUNDUP(CJ1048/BZ1048,0)</f>
        <v>0</v>
      </c>
      <c r="CP1048" s="65" t="n">
        <f aca="false">IF(CA1048=1,0,IFERROR(VLOOKUP(BY1048,'Gebinde-Kategorie'!$A$5:$N$45,5,0)+0,0))</f>
        <v>8</v>
      </c>
      <c r="CQ1048" s="65" t="n">
        <f aca="false">IFERROR(IF(OR(CF1048=1,CF1048=2,CF1048=3),N(INDEX(Parameter!$I$5:$I$7,CF1048)),0),0)</f>
        <v>0</v>
      </c>
      <c r="CR1048" s="64" t="n">
        <f aca="false">IF(AND(Parameter!$B$21="Ja",ISNUMBER(W1048),N(X1048)&gt;0),IFERROR(N(INDEX(Parameter!$L$5:$L$7,W1048))*INDEX(Parameter!$E$5:$E$7,W1048)*X1048/SUMIFS($X$7:$X$1843,$W$7:$W$1843,W1048),0),0)</f>
        <v>0</v>
      </c>
      <c r="CS1048" s="62" t="str">
        <f aca="false">IF(AND(OR(CG1048="L1",CG1048="L23",CG1048="LIFT"),H1048&gt;0),CC1048*IF(CR1048&gt;0,CR1048*MAX(1,H1048/X1048),IF(CA1048=1,CE1048,IF(R1048&gt;0,CN1048/R1048,0))/MAX(0.1,N(Parameter!$M$21))),"")</f>
        <v/>
      </c>
      <c r="CT1048" s="64" t="str">
        <f aca="false">IF(CS1048="","",J1048/H1048)</f>
        <v/>
      </c>
      <c r="CU1048" s="62" t="str">
        <f aca="false">IF(CS1048="","",H1048*G1048)</f>
        <v/>
      </c>
      <c r="CV1048" s="63" t="str">
        <f aca="false">IF(CS1048="","",(CL1048+ROUNDUP(CL1048+MAX(CM1048,2*(J1048/MAX(0.1,N(Einkauf!$C$6))-CL1048)),0))/2)</f>
        <v/>
      </c>
      <c r="CW1048" s="62" t="str">
        <f aca="false">IF(CS1048="","",MAX(0,H1048-CV1048)*G1048)</f>
        <v/>
      </c>
      <c r="CX1048" s="62" t="str">
        <f aca="false">IF(CS1048="","",CS1048*MAX(0,1-CV1048/H1048))</f>
        <v/>
      </c>
      <c r="CY1048" s="64" t="str">
        <f aca="false">IF(CS1048="","",PERCENTRANK($CS$7:$CS$1843,CS1048)+PERCENTRANK($CU$7:$CU$1843,CU1048)+1-PERCENTRANK($CT$7:$CT$1843,CT1048))</f>
        <v/>
      </c>
      <c r="CZ1048" s="72" t="str">
        <f aca="false">IF(CS1048="","",CHOOSE(MATCH(Einkauf!$C$5,Parameter!$G$23:$G$27,0),CY1048,CS1048,CU1048,-CT1048,CW1048)+ROW()/1000000000)</f>
        <v/>
      </c>
    </row>
    <row r="1049" customFormat="false" ht="15" hidden="false" customHeight="false" outlineLevel="0" collapsed="false">
      <c r="A1049" s="60" t="s">
        <v>1964</v>
      </c>
      <c r="B1049" s="60" t="s">
        <v>1845</v>
      </c>
      <c r="C1049" s="60" t="s">
        <v>206</v>
      </c>
      <c r="D1049" s="60" t="s">
        <v>226</v>
      </c>
      <c r="E1049" s="60" t="s">
        <v>227</v>
      </c>
      <c r="F1049" s="60" t="s">
        <v>260</v>
      </c>
      <c r="G1049" s="61" t="n">
        <v>59.9</v>
      </c>
      <c r="H1049" s="62" t="n">
        <f aca="false">MAX(0,IF(AND(Parameter!$B$21="Ja",ISNUMBER(Y1049)),Y1049,IF(Parameter!$B$20="Jahresanfang 2025 + Export",BS1049+BR1049,BR1049)))</f>
        <v>15</v>
      </c>
      <c r="I1049" s="62" t="n">
        <f aca="false">H1049*G1049</f>
        <v>898.5</v>
      </c>
      <c r="J1049" s="62" t="n">
        <f aca="false">BU1049*Parameter!$B$18</f>
        <v>33</v>
      </c>
      <c r="K1049" s="63" t="n">
        <v>21</v>
      </c>
      <c r="L1049" s="64" t="n">
        <v>1.57142857142857</v>
      </c>
      <c r="M1049" s="62" t="n">
        <v>3</v>
      </c>
      <c r="N1049" s="62" t="n">
        <v>35</v>
      </c>
      <c r="O1049" s="65" t="n">
        <v>35</v>
      </c>
      <c r="P1049" s="60" t="s">
        <v>335</v>
      </c>
      <c r="Q1049" s="62" t="n">
        <v>95</v>
      </c>
      <c r="R1049" s="65" t="n">
        <f aca="false">IF(CA1049=1,0,IFERROR(VLOOKUP(BY1049,'Gebinde-Kategorie'!$A$5:$N$45,13,0)+0,0))</f>
        <v>12</v>
      </c>
      <c r="S1049" s="66"/>
      <c r="T1049" s="67"/>
      <c r="U1049" s="67"/>
      <c r="V1049" s="67"/>
      <c r="W1049" s="60"/>
      <c r="X1049" s="62"/>
      <c r="Y1049" s="62"/>
      <c r="Z1049" s="60" t="n">
        <v>3</v>
      </c>
      <c r="AA1049" s="60" t="n">
        <f aca="false">IF(A1049="","",IF(AND(Parameter!$B$21="Ja",ISNUMBER(W1049)),W1049,IF(AND(Parameter!$E$27="Ja",ISNUMBER(Z1049),CD1049&lt;&gt;"Nein"),Z1049,IF(CD1049="2+3",IF(ISNUMBER(SEARCH("grosser Artikel",BV1049)),2,IFERROR(VLOOKUP(BY1049,Parameter!$F$35:$G$64,2,0),2)),IF(OR(CD1049="Nein",CD1049=""),"-",CD1049)))))</f>
        <v>3</v>
      </c>
      <c r="AB1049" s="67"/>
      <c r="AC1049" s="68"/>
      <c r="AD1049" s="62" t="n">
        <f aca="false">AW1049</f>
        <v>38</v>
      </c>
      <c r="AE1049" s="62" t="n">
        <f aca="false">MAX(AW1049,H1049)</f>
        <v>38</v>
      </c>
      <c r="AF1049" s="69"/>
      <c r="AG1049" s="62" t="n">
        <f aca="false">IF(LEFT(Cockpit!$C$5,1)="A",H1049,IF(Parameter!$E$30="MAX-Bestand",IF(CI1049=1,CJ1049,IF(LEFT(Cockpit!$C$5,1)="B",AM1049,MAX(AM1049,H1049))),ROUNDUP(AK1049,0)))</f>
        <v>15</v>
      </c>
      <c r="AH1049" s="62" t="n">
        <f aca="false">IF(CA1049=1,0,ROUNDUP(AG1049/BZ1049,0))</f>
        <v>1</v>
      </c>
      <c r="AI1049" s="64" t="n">
        <f aca="false">IF(CR1049&gt;0,CR1049*MAX(1,AG1049/X1049),IF(CA1049=1,IF(AG1049&lt;=0,0,CE1049*MAX(1,IF(H1049&gt;0,AG1049/H1049,1))),IF(R1049&gt;0,AH1049/R1049,0))/MAX(0.1,N(Parameter!$M$21)))</f>
        <v>0.0833333333333333</v>
      </c>
      <c r="AJ1049" s="62" t="n">
        <f aca="false">AI1049*CC1049</f>
        <v>20.4166666666667</v>
      </c>
      <c r="AK1049" s="63" t="n">
        <f aca="false">IF(LEFT(Cockpit!$C$5,1)="A",H1049,IF(CI1049=1,(CL1049+CJ1049)/2,IF(LEFT(Cockpit!$C$5,1)="B",(CL1049+AM1049)/2,MAX((CL1049+AM1049)/2,H1049))))</f>
        <v>15</v>
      </c>
      <c r="AL1049" s="62" t="n">
        <f aca="false">AK1049*G1049</f>
        <v>898.5</v>
      </c>
      <c r="AM1049" s="62" t="n">
        <f aca="false">ROUNDUP(CL1049+MAX(CM1049,2*(J1049/IF(CH1049&gt;0,CH1049,MAX(0.1,N(Cockpit!$C$6)))-CL1049)),0)</f>
        <v>38</v>
      </c>
      <c r="AN1049" s="63" t="n">
        <f aca="false">IF(AJ1049&gt;0,J1049/AJ1049,-1)</f>
        <v>1.61632653061225</v>
      </c>
      <c r="AO1049" s="63" t="n">
        <f aca="false">IF(AND(OR(CG1049="L1",CG1049="L23",CG1049="LIFT"),AJ1049&gt;0),SUMIFS($AJ$7:$AJ$1843,$CG$7:$CG$1843,CG1049,$AN$7:$AN$1843,"&gt;"&amp;AN1049)+SUMIFS($AJ$7:$AJ$1843,$CG$7:$CG$1843,CG1049,$AN$7:$AN$1843,AN1049,$BX$7:$BX$1843,"&lt;="&amp;BX1049),"")</f>
        <v>6161.2760989011</v>
      </c>
      <c r="AP1049" s="70" t="n">
        <f aca="false">IF(AO1049="",0,MAX(0,MIN(1,(IF(CG1049="L1",Parameter!$H$5,IF(CG1049="L23",Parameter!$H$6+Parameter!$H$7,Parameter!$H$5+Parameter!$H$6+Parameter!$H$7))-(AO1049-AJ1049))/AJ1049)))</f>
        <v>1</v>
      </c>
      <c r="AQ1049" s="62" t="n">
        <f aca="false">IF(LEFT(Cockpit!$I$5,1)="A",H1049,IF(Parameter!$E$30="MAX-Bestand",IF(CI1049=1,CJ1049,IF(LEFT(Cockpit!$I$5,1)="B",AW1049,MAX(AW1049,H1049))),ROUNDUP(AU1049,0)))</f>
        <v>21</v>
      </c>
      <c r="AR1049" s="62" t="n">
        <f aca="false">IF(CA1049=1,0,ROUNDUP(AQ1049/BZ1049,0))</f>
        <v>1</v>
      </c>
      <c r="AS1049" s="64" t="n">
        <f aca="false">IF(CR1049&gt;0,CR1049*MAX(1,AQ1049/X1049),IF(CA1049=1,IF(AQ1049&lt;=0,0,CE1049*MAX(1,IF(H1049&gt;0,AQ1049/H1049,1))),IF(R1049&gt;0,AR1049/R1049,0))/MAX(0.1,N(Parameter!$M$21)))</f>
        <v>0.0833333333333333</v>
      </c>
      <c r="AT1049" s="62" t="n">
        <f aca="false">AS1049*CC1049</f>
        <v>20.4166666666667</v>
      </c>
      <c r="AU1049" s="63" t="n">
        <f aca="false">IF(LEFT(Cockpit!$I$5,1)="A",H1049,IF(CI1049=1,(CL1049+CJ1049)/2,IF(LEFT(Cockpit!$I$5,1)="B",(CL1049+AW1049)/2,MAX((CL1049+AW1049)/2,H1049))))</f>
        <v>20.5</v>
      </c>
      <c r="AV1049" s="62" t="n">
        <f aca="false">AU1049*G1049</f>
        <v>1227.95</v>
      </c>
      <c r="AW1049" s="62" t="n">
        <f aca="false">ROUNDUP(CL1049+MAX(CM1049,2*(J1049/IF(CH1049&gt;0,CH1049,MAX(0.1,N(Cockpit!$I$6)))-CL1049)),0)</f>
        <v>38</v>
      </c>
      <c r="AX1049" s="63" t="n">
        <f aca="false">IF(AT1049&gt;0,J1049/AT1049,-1)</f>
        <v>1.61632653061225</v>
      </c>
      <c r="AY1049" s="63" t="n">
        <f aca="false">IF(AND(OR(CG1049="L1",CG1049="L23",CG1049="LIFT"),AT1049&gt;0),SUMIFS($AT$7:$AT$1843,$CG$7:$CG$1843,CG1049,$AX$7:$AX$1843,"&gt;"&amp;AX1049)+SUMIFS($AT$7:$AT$1843,$CG$7:$CG$1843,CG1049,$AX$7:$AX$1843,AX1049,$BX$7:$BX$1843,"&lt;="&amp;BX1049),"")</f>
        <v>7601.16483516484</v>
      </c>
      <c r="AZ1049" s="70" t="n">
        <f aca="false">IF(AY1049="",0,MAX(0,MIN(1,(IF(CG1049="L1",Parameter!$H$5,IF(CG1049="L23",Parameter!$H$6+Parameter!$H$7,Parameter!$H$5+Parameter!$H$6+Parameter!$H$7))-(AY1049-AT1049))/AT1049)))</f>
        <v>1</v>
      </c>
      <c r="BA1049" s="62" t="n">
        <f aca="false">IF(LEFT(Cockpit!$O$5,1)="A",H1049,IF(Parameter!$E$30="MAX-Bestand",IF(CI1049=1,CJ1049,IF(LEFT(Cockpit!$O$5,1)="B",BG1049,MAX(BG1049,H1049))),ROUNDUP(BE1049,0)))</f>
        <v>21</v>
      </c>
      <c r="BB1049" s="62" t="n">
        <f aca="false">IF(CA1049=1,0,ROUNDUP(BA1049/BZ1049,0))</f>
        <v>1</v>
      </c>
      <c r="BC1049" s="64" t="n">
        <f aca="false">IF(CR1049&gt;0,CR1049*MAX(1,BA1049/X1049),IF(CA1049=1,IF(BA1049&lt;=0,0,CE1049*MAX(1,IF(H1049&gt;0,BA1049/H1049,1))),IF(R1049&gt;0,BB1049/R1049,0))/MAX(0.1,N(Parameter!$M$21)))</f>
        <v>0.0833333333333333</v>
      </c>
      <c r="BD1049" s="62" t="n">
        <f aca="false">BC1049*CC1049</f>
        <v>20.4166666666667</v>
      </c>
      <c r="BE1049" s="63" t="n">
        <f aca="false">IF(LEFT(Cockpit!$O$5,1)="A",H1049,IF(CI1049=1,(CL1049+CJ1049)/2,IF(LEFT(Cockpit!$O$5,1)="B",(CL1049+BG1049)/2,MAX((CL1049+BG1049)/2,H1049))))</f>
        <v>20.5</v>
      </c>
      <c r="BF1049" s="62" t="n">
        <f aca="false">BE1049*G1049</f>
        <v>1227.95</v>
      </c>
      <c r="BG1049" s="62" t="n">
        <f aca="false">ROUNDUP(CL1049+MAX(CM1049,2*(J1049/IF(CH1049&gt;0,CH1049,MAX(0.1,N(Cockpit!$O$6)))-CL1049)),0)</f>
        <v>38</v>
      </c>
      <c r="BH1049" s="63" t="n">
        <f aca="false">IF(BD1049&gt;0,J1049/BD1049,-1)</f>
        <v>1.61632653061225</v>
      </c>
      <c r="BI1049" s="63" t="n">
        <f aca="false">IF(AND(OR(CG1049="L1",CG1049="L23",CG1049="LIFT"),BD1049&gt;0),SUMIFS($BD$7:$BD$1843,$CG$7:$CG$1843,CG1049,$BH$7:$BH$1843,"&gt;"&amp;BH1049)+SUMIFS($BD$7:$BD$1843,$CG$7:$CG$1843,CG1049,$BH$7:$BH$1843,BH1049,$BX$7:$BX$1843,"&lt;="&amp;BX1049),"")</f>
        <v>6432.67536630037</v>
      </c>
      <c r="BJ1049" s="70" t="n">
        <f aca="false">IF(BI1049="",0,MAX(0,MIN(1,(IF(CG1049="L1",Parameter!$H$5,IF(CG1049="L23",Parameter!$H$6+Parameter!$H$7,Parameter!$H$5+Parameter!$H$6+Parameter!$H$7))-(BI1049-BD1049))/BD1049)))</f>
        <v>1</v>
      </c>
      <c r="BK1049" s="60" t="str">
        <f aca="false">IF(AJ1049&lt;=0,"",IF(CG1049="Aussen","Aussenlager",IF(CG1049="-","Nicht im Lift",IF(AP1049&gt;=1,"Lift",IF(AP1049&lt;=0,"Aussenlager","teilweise")))))</f>
        <v>Lift</v>
      </c>
      <c r="BL1049" s="60" t="str">
        <f aca="false">IF(AT1049&lt;=0,"",IF(CG1049="Aussen","Aussenlager",IF(CG1049="-","Nicht im Lift",IF(AZ1049&gt;=1,"Lift",IF(AZ1049&lt;=0,"Aussenlager","teilweise")))))</f>
        <v>Lift</v>
      </c>
      <c r="BM1049" s="60" t="str">
        <f aca="false">IF(BD1049&lt;=0,"",IF(CG1049="Aussen","Aussenlager",IF(CG1049="-","Nicht im Lift",IF(BJ1049&gt;=1,"Lift",IF(BJ1049&lt;=0,"Aussenlager","teilweise")))))</f>
        <v>Lift</v>
      </c>
      <c r="BN1049" s="60" t="str">
        <f aca="false">IF(A1049="","",IF(BW1049=1,"Neu; ","")&amp;IF(AND(BW1049=0,BR1049&lt;0),"negativer Bestand (Export "&amp;BR1049&amp;"); ","")&amp;IF(J1049&lt;=0,"Kein Verbrauch; ","")&amp;IF(CR1049&gt;0,"Lift "&amp;W1049&amp;" lt. Liftbericht (Fach "&amp;X1049&amp;" Stk); ",IF(CB1049=1,"Gebinde geschätzt ("&amp;T1049&amp;"); ",IF(CA1049=1,"Lose – Tablare geschätzt; ","")))&amp;IF(H1049&gt;AW1049,"Überbestand "&amp;ROUND(H1049-AW1049,0)&amp;" Stk / CHF "&amp;ROUND((H1049-AW1049)*G1049,0)&amp;"; ","")&amp;IF(AND(CI1049=1,CJ1049&lt;CK1049),"MAX &lt; MB+LG; ","")&amp;IF(AND(CQ1049&gt;0,CP1049*10&gt;CQ1049),"zu hoch für Tablar; ","")&amp;IF(AND(BW1049=0,OR(CI1049=1,AB1049&lt;&gt;"",U1049&lt;&gt;"",V1049&lt;&gt;"",AC1049&lt;&gt;"")),"manuell übersteuert; ","")&amp;IF(AND(CA1049=0,R1049=0),"Gebinde unbekannt / Stellmass fehlt; ","")&amp;IF(AND(CA1049=0,N(V1049)&lt;=0,N(Q1049)&lt;=0),"Menge pro Gebinde fehlt (Ist = 1 Gebinde); ","")&amp;BV1049)</f>
        <v>negativer Bestand (Export -3); </v>
      </c>
      <c r="BO1049" s="60"/>
      <c r="BP1049" s="60"/>
      <c r="BQ1049" s="67"/>
      <c r="BR1049" s="62" t="n">
        <v>-3</v>
      </c>
      <c r="BS1049" s="62" t="n">
        <v>18</v>
      </c>
      <c r="BT1049" s="61" t="n">
        <v>-142.44</v>
      </c>
      <c r="BU1049" s="62" t="n">
        <v>33</v>
      </c>
      <c r="BV1049" s="60"/>
      <c r="BW1049" s="65" t="n">
        <v>0</v>
      </c>
      <c r="BX1049" s="65" t="n">
        <v>1049</v>
      </c>
      <c r="BY1049" s="60" t="str">
        <f aca="false">IF(U1049&lt;&gt;"",UPPER(TRIM(U1049)),IF(CB1049=1,UPPER(VLOOKUP(T1049,Parameter!$I$27:$K$29,2,0)),IF(P1049="","LOSE",P1049)))</f>
        <v>S62</v>
      </c>
      <c r="BZ1049" s="62" t="n">
        <f aca="false">IF(BY1049="LOSE",1,IF(N(V1049)&gt;0,V1049,IF(CB1049=1,MAX(1,N(VLOOKUP(T1049,Parameter!$I$27:$K$29,3,0)),H1049,N(N1049)),IF(N(Q1049)&gt;0,Q1049,MAX(1,H1049)))))</f>
        <v>95</v>
      </c>
      <c r="CA1049" s="65" t="n">
        <f aca="false">IF(BY1049="LOSE",1,0)</f>
        <v>0</v>
      </c>
      <c r="CB1049" s="65" t="n">
        <f aca="false">IF(AND(U1049="",OR(P1049="",P1049="LOSE"),T1049&lt;&gt;"",N(S1049)&lt;=0,ISNUMBER(MATCH(T1049,Parameter!$I$27:$I$29,0))),1,0)</f>
        <v>0</v>
      </c>
      <c r="CC1049" s="65" t="n">
        <f aca="false">IF(CR1049&gt;0,INDEX(Parameter!$H$5:$H$7,W1049)/INDEX(Parameter!$E$5:$E$7,W1049),IF(AND(CA1049=0,N(IFERROR(VLOOKUP(BY1049,'Gebinde-Kategorie'!$A$5:$N$45,14,0),0))&gt;0),VLOOKUP(BY1049,'Gebinde-Kategorie'!$A$5:$N$45,14,0)*10+Parameter!$M$23,Parameter!$M$24))</f>
        <v>245</v>
      </c>
      <c r="CD1049" s="60" t="str">
        <f aca="false">IF(AND(Parameter!$B$19="Ja",E1049&lt;&gt;"",ISNUMBER(MATCH(E1049,Parameter!$I$35:$I$52,0))),VLOOKUP(E1049,Parameter!$I$35:$J$52,2,0),IFERROR(VLOOKUP(D1049,Parameter!$A$35:$C$64,2,0),"Nein"))</f>
        <v>2+3</v>
      </c>
      <c r="CE1049" s="64" t="n">
        <f aca="false">IF(CA1049=0,0,IF(N(S1049)&gt;0,S1049,IFERROR(VLOOKUP(D1049,Parameter!$A$35:$C$64,3,0)+0,0)))</f>
        <v>0</v>
      </c>
      <c r="CF1049" s="60" t="n">
        <f aca="false">IF(AB1049&lt;&gt;"",AB1049,AA1049)</f>
        <v>3</v>
      </c>
      <c r="CG1049" s="60" t="str">
        <f aca="false">IF(OR(CF1049=1,CF1049=2,CF1049=3),IF(Parameter!$E$27="Ja","LIFT",IF(CF1049=1,"L1","L23")),IF(CF1049="Aussen","Aussen","-"))</f>
        <v>LIFT</v>
      </c>
      <c r="CH1049" s="71" t="n">
        <f aca="false">IF(N(AC1049)&gt;0,AC1049,0)</f>
        <v>0</v>
      </c>
      <c r="CI1049" s="65" t="n">
        <f aca="false">IF(ISNUMBER(AF1049),1,0)</f>
        <v>0</v>
      </c>
      <c r="CJ1049" s="62" t="n">
        <f aca="false">N(AF1049)</f>
        <v>0</v>
      </c>
      <c r="CK1049" s="62" t="n">
        <f aca="false">N(M1049)+N(N1049)</f>
        <v>38</v>
      </c>
      <c r="CL1049" s="62" t="n">
        <f aca="false">N(M1049)</f>
        <v>3</v>
      </c>
      <c r="CM1049" s="62" t="n">
        <f aca="false">N(N1049)</f>
        <v>35</v>
      </c>
      <c r="CN1049" s="62" t="n">
        <f aca="false">ROUNDUP(H1049/BZ1049,0)</f>
        <v>1</v>
      </c>
      <c r="CO1049" s="62" t="n">
        <f aca="false">ROUNDUP(CJ1049/BZ1049,0)</f>
        <v>0</v>
      </c>
      <c r="CP1049" s="65" t="n">
        <f aca="false">IF(CA1049=1,0,IFERROR(VLOOKUP(BY1049,'Gebinde-Kategorie'!$A$5:$N$45,5,0)+0,0))</f>
        <v>21</v>
      </c>
      <c r="CQ1049" s="65" t="n">
        <f aca="false">IFERROR(IF(OR(CF1049=1,CF1049=2,CF1049=3),N(INDEX(Parameter!$I$5:$I$7,CF1049)),0),0)</f>
        <v>0</v>
      </c>
      <c r="CR1049" s="64" t="n">
        <f aca="false">IF(AND(Parameter!$B$21="Ja",ISNUMBER(W1049),N(X1049)&gt;0),IFERROR(N(INDEX(Parameter!$L$5:$L$7,W1049))*INDEX(Parameter!$E$5:$E$7,W1049)*X1049/SUMIFS($X$7:$X$1843,$W$7:$W$1843,W1049),0),0)</f>
        <v>0</v>
      </c>
      <c r="CS1049" s="62" t="n">
        <f aca="false">IF(AND(OR(CG1049="L1",CG1049="L23",CG1049="LIFT"),H1049&gt;0),CC1049*IF(CR1049&gt;0,CR1049*MAX(1,H1049/X1049),IF(CA1049=1,CE1049,IF(R1049&gt;0,CN1049/R1049,0))/MAX(0.1,N(Parameter!$M$21))),"")</f>
        <v>20.4166666666667</v>
      </c>
      <c r="CT1049" s="64" t="n">
        <f aca="false">IF(CS1049="","",J1049/H1049)</f>
        <v>2.2</v>
      </c>
      <c r="CU1049" s="62" t="n">
        <f aca="false">IF(CS1049="","",H1049*G1049)</f>
        <v>898.5</v>
      </c>
      <c r="CV1049" s="63" t="n">
        <f aca="false">IF(CS1049="","",(CL1049+ROUNDUP(CL1049+MAX(CM1049,2*(J1049/MAX(0.1,N(Einkauf!$C$6))-CL1049)),0))/2)</f>
        <v>20.5</v>
      </c>
      <c r="CW1049" s="62" t="n">
        <f aca="false">IF(CS1049="","",MAX(0,H1049-CV1049)*G1049)</f>
        <v>0</v>
      </c>
      <c r="CX1049" s="62" t="n">
        <f aca="false">IF(CS1049="","",CS1049*MAX(0,1-CV1049/H1049))</f>
        <v>0</v>
      </c>
      <c r="CY1049" s="64" t="n">
        <f aca="false">IF(CS1049="","",PERCENTRANK($CS$7:$CS$1843,CS1049)+PERCENTRANK($CU$7:$CU$1843,CU1049)+1-PERCENTRANK($CT$7:$CT$1843,CT1049))</f>
        <v>1.587</v>
      </c>
      <c r="CZ1049" s="72" t="n">
        <f aca="false">IF(CS1049="","",CHOOSE(MATCH(Einkauf!$C$5,Parameter!$G$23:$G$27,0),CY1049,CS1049,CU1049,-CT1049,CW1049)+ROW()/1000000000)</f>
        <v>1.587001049</v>
      </c>
    </row>
    <row r="1050" customFormat="false" ht="15" hidden="false" customHeight="false" outlineLevel="0" collapsed="false">
      <c r="A1050" s="60" t="s">
        <v>1965</v>
      </c>
      <c r="B1050" s="60" t="s">
        <v>409</v>
      </c>
      <c r="C1050" s="60" t="s">
        <v>498</v>
      </c>
      <c r="D1050" s="60" t="s">
        <v>226</v>
      </c>
      <c r="E1050" s="60"/>
      <c r="F1050" s="60" t="s">
        <v>260</v>
      </c>
      <c r="G1050" s="61" t="n">
        <v>14.31</v>
      </c>
      <c r="H1050" s="62" t="n">
        <f aca="false">MAX(0,IF(AND(Parameter!$B$21="Ja",ISNUMBER(Y1050)),Y1050,IF(Parameter!$B$20="Jahresanfang 2025 + Export",BS1050+BR1050,BR1050)))</f>
        <v>0</v>
      </c>
      <c r="I1050" s="62" t="n">
        <f aca="false">H1050*G1050</f>
        <v>0</v>
      </c>
      <c r="J1050" s="62" t="n">
        <f aca="false">BU1050*Parameter!$B$18</f>
        <v>10</v>
      </c>
      <c r="K1050" s="63" t="n">
        <v>5</v>
      </c>
      <c r="L1050" s="64" t="n">
        <v>2</v>
      </c>
      <c r="M1050" s="62" t="n">
        <v>0</v>
      </c>
      <c r="N1050" s="62" t="n">
        <v>10</v>
      </c>
      <c r="O1050" s="65" t="n">
        <v>28</v>
      </c>
      <c r="P1050" s="60" t="s">
        <v>210</v>
      </c>
      <c r="Q1050" s="62"/>
      <c r="R1050" s="65" t="n">
        <f aca="false">IF(CA1050=1,0,IFERROR(VLOOKUP(BY1050,'Gebinde-Kategorie'!$A$5:$N$45,13,0)+0,0))</f>
        <v>4</v>
      </c>
      <c r="S1050" s="66"/>
      <c r="T1050" s="67" t="s">
        <v>231</v>
      </c>
      <c r="U1050" s="67"/>
      <c r="V1050" s="67"/>
      <c r="W1050" s="60"/>
      <c r="X1050" s="62"/>
      <c r="Y1050" s="62"/>
      <c r="Z1050" s="60" t="n">
        <v>2</v>
      </c>
      <c r="AA1050" s="60" t="n">
        <f aca="false">IF(A1050="","",IF(AND(Parameter!$B$21="Ja",ISNUMBER(W1050)),W1050,IF(AND(Parameter!$E$27="Ja",ISNUMBER(Z1050),CD1050&lt;&gt;"Nein"),Z1050,IF(CD1050="2+3",IF(ISNUMBER(SEARCH("grosser Artikel",BV1050)),2,IFERROR(VLOOKUP(BY1050,Parameter!$F$35:$G$64,2,0),2)),IF(OR(CD1050="Nein",CD1050=""),"-",CD1050)))))</f>
        <v>2</v>
      </c>
      <c r="AB1050" s="67"/>
      <c r="AC1050" s="68"/>
      <c r="AD1050" s="62" t="n">
        <f aca="false">AW1050</f>
        <v>10</v>
      </c>
      <c r="AE1050" s="62" t="n">
        <f aca="false">MAX(AW1050,H1050)</f>
        <v>10</v>
      </c>
      <c r="AF1050" s="69"/>
      <c r="AG1050" s="62" t="n">
        <f aca="false">IF(LEFT(Cockpit!$C$5,1)="A",H1050,IF(Parameter!$E$30="MAX-Bestand",IF(CI1050=1,CJ1050,IF(LEFT(Cockpit!$C$5,1)="B",AM1050,MAX(AM1050,H1050))),ROUNDUP(AK1050,0)))</f>
        <v>0</v>
      </c>
      <c r="AH1050" s="62" t="n">
        <f aca="false">IF(CA1050=1,0,ROUNDUP(AG1050/BZ1050,0))</f>
        <v>0</v>
      </c>
      <c r="AI1050" s="64" t="n">
        <f aca="false">IF(CR1050&gt;0,CR1050*MAX(1,AG1050/X1050),IF(CA1050=1,IF(AG1050&lt;=0,0,CE1050*MAX(1,IF(H1050&gt;0,AG1050/H1050,1))),IF(R1050&gt;0,AH1050/R1050,0))/MAX(0.1,N(Parameter!$M$21)))</f>
        <v>0</v>
      </c>
      <c r="AJ1050" s="62" t="n">
        <f aca="false">AI1050*CC1050</f>
        <v>0</v>
      </c>
      <c r="AK1050" s="63" t="n">
        <f aca="false">IF(LEFT(Cockpit!$C$5,1)="A",H1050,IF(CI1050=1,(CL1050+CJ1050)/2,IF(LEFT(Cockpit!$C$5,1)="B",(CL1050+AM1050)/2,MAX((CL1050+AM1050)/2,H1050))))</f>
        <v>0</v>
      </c>
      <c r="AL1050" s="62" t="n">
        <f aca="false">AK1050*G1050</f>
        <v>0</v>
      </c>
      <c r="AM1050" s="62" t="n">
        <f aca="false">ROUNDUP(CL1050+MAX(CM1050,2*(J1050/IF(CH1050&gt;0,CH1050,MAX(0.1,N(Cockpit!$C$6)))-CL1050)),0)</f>
        <v>10</v>
      </c>
      <c r="AN1050" s="63" t="n">
        <f aca="false">IF(AJ1050&gt;0,J1050/AJ1050,-1)</f>
        <v>-1</v>
      </c>
      <c r="AO1050" s="63" t="str">
        <f aca="false">IF(AND(OR(CG1050="L1",CG1050="L23",CG1050="LIFT"),AJ1050&gt;0),SUMIFS($AJ$7:$AJ$1843,$CG$7:$CG$1843,CG1050,$AN$7:$AN$1843,"&gt;"&amp;AN1050)+SUMIFS($AJ$7:$AJ$1843,$CG$7:$CG$1843,CG1050,$AN$7:$AN$1843,AN1050,$BX$7:$BX$1843,"&lt;="&amp;BX1050),"")</f>
        <v/>
      </c>
      <c r="AP1050" s="70" t="n">
        <f aca="false">IF(AO1050="",0,MAX(0,MIN(1,(IF(CG1050="L1",Parameter!$H$5,IF(CG1050="L23",Parameter!$H$6+Parameter!$H$7,Parameter!$H$5+Parameter!$H$6+Parameter!$H$7))-(AO1050-AJ1050))/AJ1050)))</f>
        <v>0</v>
      </c>
      <c r="AQ1050" s="62" t="n">
        <f aca="false">IF(LEFT(Cockpit!$I$5,1)="A",H1050,IF(Parameter!$E$30="MAX-Bestand",IF(CI1050=1,CJ1050,IF(LEFT(Cockpit!$I$5,1)="B",AW1050,MAX(AW1050,H1050))),ROUNDUP(AU1050,0)))</f>
        <v>5</v>
      </c>
      <c r="AR1050" s="62" t="n">
        <f aca="false">IF(CA1050=1,0,ROUNDUP(AQ1050/BZ1050,0))</f>
        <v>1</v>
      </c>
      <c r="AS1050" s="64" t="n">
        <f aca="false">IF(CR1050&gt;0,CR1050*MAX(1,AQ1050/X1050),IF(CA1050=1,IF(AQ1050&lt;=0,0,CE1050*MAX(1,IF(H1050&gt;0,AQ1050/H1050,1))),IF(R1050&gt;0,AR1050/R1050,0))/MAX(0.1,N(Parameter!$M$21)))</f>
        <v>0.25</v>
      </c>
      <c r="AT1050" s="62" t="n">
        <f aca="false">AS1050*CC1050</f>
        <v>58.75</v>
      </c>
      <c r="AU1050" s="63" t="n">
        <f aca="false">IF(LEFT(Cockpit!$I$5,1)="A",H1050,IF(CI1050=1,(CL1050+CJ1050)/2,IF(LEFT(Cockpit!$I$5,1)="B",(CL1050+AW1050)/2,MAX((CL1050+AW1050)/2,H1050))))</f>
        <v>5</v>
      </c>
      <c r="AV1050" s="62" t="n">
        <f aca="false">AU1050*G1050</f>
        <v>71.55</v>
      </c>
      <c r="AW1050" s="62" t="n">
        <f aca="false">ROUNDUP(CL1050+MAX(CM1050,2*(J1050/IF(CH1050&gt;0,CH1050,MAX(0.1,N(Cockpit!$I$6)))-CL1050)),0)</f>
        <v>10</v>
      </c>
      <c r="AX1050" s="63" t="n">
        <f aca="false">IF(AT1050&gt;0,J1050/AT1050,-1)</f>
        <v>0.170212765957447</v>
      </c>
      <c r="AY1050" s="63" t="n">
        <f aca="false">IF(AND(OR(CG1050="L1",CG1050="L23",CG1050="LIFT"),AT1050&gt;0),SUMIFS($AT$7:$AT$1843,$CG$7:$CG$1843,CG1050,$AX$7:$AX$1843,"&gt;"&amp;AX1050)+SUMIFS($AT$7:$AT$1843,$CG$7:$CG$1843,CG1050,$AX$7:$AX$1843,AX1050,$BX$7:$BX$1843,"&lt;="&amp;BX1050),"")</f>
        <v>15596.4913003663</v>
      </c>
      <c r="AZ1050" s="70" t="n">
        <f aca="false">IF(AY1050="",0,MAX(0,MIN(1,(IF(CG1050="L1",Parameter!$H$5,IF(CG1050="L23",Parameter!$H$6+Parameter!$H$7,Parameter!$H$5+Parameter!$H$6+Parameter!$H$7))-(AY1050-AT1050))/AT1050)))</f>
        <v>1</v>
      </c>
      <c r="BA1050" s="62" t="n">
        <f aca="false">IF(LEFT(Cockpit!$O$5,1)="A",H1050,IF(Parameter!$E$30="MAX-Bestand",IF(CI1050=1,CJ1050,IF(LEFT(Cockpit!$O$5,1)="B",BG1050,MAX(BG1050,H1050))),ROUNDUP(BE1050,0)))</f>
        <v>5</v>
      </c>
      <c r="BB1050" s="62" t="n">
        <f aca="false">IF(CA1050=1,0,ROUNDUP(BA1050/BZ1050,0))</f>
        <v>1</v>
      </c>
      <c r="BC1050" s="64" t="n">
        <f aca="false">IF(CR1050&gt;0,CR1050*MAX(1,BA1050/X1050),IF(CA1050=1,IF(BA1050&lt;=0,0,CE1050*MAX(1,IF(H1050&gt;0,BA1050/H1050,1))),IF(R1050&gt;0,BB1050/R1050,0))/MAX(0.1,N(Parameter!$M$21)))</f>
        <v>0.25</v>
      </c>
      <c r="BD1050" s="62" t="n">
        <f aca="false">BC1050*CC1050</f>
        <v>58.75</v>
      </c>
      <c r="BE1050" s="63" t="n">
        <f aca="false">IF(LEFT(Cockpit!$O$5,1)="A",H1050,IF(CI1050=1,(CL1050+CJ1050)/2,IF(LEFT(Cockpit!$O$5,1)="B",(CL1050+BG1050)/2,MAX((CL1050+BG1050)/2,H1050))))</f>
        <v>5</v>
      </c>
      <c r="BF1050" s="62" t="n">
        <f aca="false">BE1050*G1050</f>
        <v>71.55</v>
      </c>
      <c r="BG1050" s="62" t="n">
        <f aca="false">ROUNDUP(CL1050+MAX(CM1050,2*(J1050/IF(CH1050&gt;0,CH1050,MAX(0.1,N(Cockpit!$O$6)))-CL1050)),0)</f>
        <v>10</v>
      </c>
      <c r="BH1050" s="63" t="n">
        <f aca="false">IF(BD1050&gt;0,J1050/BD1050,-1)</f>
        <v>0.170212765957447</v>
      </c>
      <c r="BI1050" s="63" t="n">
        <f aca="false">IF(AND(OR(CG1050="L1",CG1050="L23",CG1050="LIFT"),BD1050&gt;0),SUMIFS($BD$7:$BD$1843,$CG$7:$CG$1843,CG1050,$BH$7:$BH$1843,"&gt;"&amp;BH1050)+SUMIFS($BD$7:$BD$1843,$CG$7:$CG$1843,CG1050,$BH$7:$BH$1843,BH1050,$BX$7:$BX$1843,"&lt;="&amp;BX1050),"")</f>
        <v>13392.8295901368</v>
      </c>
      <c r="BJ1050" s="70" t="n">
        <f aca="false">IF(BI1050="",0,MAX(0,MIN(1,(IF(CG1050="L1",Parameter!$H$5,IF(CG1050="L23",Parameter!$H$6+Parameter!$H$7,Parameter!$H$5+Parameter!$H$6+Parameter!$H$7))-(BI1050-BD1050))/BD1050)))</f>
        <v>1</v>
      </c>
      <c r="BK1050" s="60" t="str">
        <f aca="false">IF(AJ1050&lt;=0,"",IF(CG1050="Aussen","Aussenlager",IF(CG1050="-","Nicht im Lift",IF(AP1050&gt;=1,"Lift",IF(AP1050&lt;=0,"Aussenlager","teilweise")))))</f>
        <v/>
      </c>
      <c r="BL1050" s="60" t="str">
        <f aca="false">IF(AT1050&lt;=0,"",IF(CG1050="Aussen","Aussenlager",IF(CG1050="-","Nicht im Lift",IF(AZ1050&gt;=1,"Lift",IF(AZ1050&lt;=0,"Aussenlager","teilweise")))))</f>
        <v>Lift</v>
      </c>
      <c r="BM1050" s="60" t="str">
        <f aca="false">IF(BD1050&lt;=0,"",IF(CG1050="Aussen","Aussenlager",IF(CG1050="-","Nicht im Lift",IF(BJ1050&gt;=1,"Lift",IF(BJ1050&lt;=0,"Aussenlager","teilweise")))))</f>
        <v>Lift</v>
      </c>
      <c r="BN1050" s="60" t="str">
        <f aca="false">IF(A1050="","",IF(BW1050=1,"Neu; ","")&amp;IF(AND(BW1050=0,BR1050&lt;0),"negativer Bestand (Export "&amp;BR1050&amp;"); ","")&amp;IF(J1050&lt;=0,"Kein Verbrauch; ","")&amp;IF(CR1050&gt;0,"Lift "&amp;W1050&amp;" lt. Liftbericht (Fach "&amp;X1050&amp;" Stk); ",IF(CB1050=1,"Gebinde geschätzt ("&amp;T1050&amp;"); ",IF(CA1050=1,"Lose – Tablare geschätzt; ","")))&amp;IF(H1050&gt;AW1050,"Überbestand "&amp;ROUND(H1050-AW1050,0)&amp;" Stk / CHF "&amp;ROUND((H1050-AW1050)*G1050,0)&amp;"; ","")&amp;IF(AND(CI1050=1,CJ1050&lt;CK1050),"MAX &lt; MB+LG; ","")&amp;IF(AND(CQ1050&gt;0,CP1050*10&gt;CQ1050),"zu hoch für Tablar; ","")&amp;IF(AND(BW1050=0,OR(CI1050=1,AB1050&lt;&gt;"",U1050&lt;&gt;"",V1050&lt;&gt;"",AC1050&lt;&gt;"")),"manuell übersteuert; ","")&amp;IF(AND(CA1050=0,R1050=0),"Gebinde unbekannt / Stellmass fehlt; ","")&amp;IF(AND(CA1050=0,N(V1050)&lt;=0,N(Q1050)&lt;=0),"Menge pro Gebinde fehlt (Ist = 1 Gebinde); ","")&amp;BV1050)</f>
        <v>negativer Bestand (Export -10); Gebinde geschätzt (Gross); Menge pro Gebinde fehlt (Ist = 1 Gebinde); </v>
      </c>
      <c r="BO1050" s="60"/>
      <c r="BP1050" s="60"/>
      <c r="BQ1050" s="67"/>
      <c r="BR1050" s="62" t="n">
        <v>-10</v>
      </c>
      <c r="BS1050" s="62" t="n">
        <v>10</v>
      </c>
      <c r="BT1050" s="61" t="n">
        <v>-143.1</v>
      </c>
      <c r="BU1050" s="62" t="n">
        <v>10</v>
      </c>
      <c r="BV1050" s="60"/>
      <c r="BW1050" s="65" t="n">
        <v>0</v>
      </c>
      <c r="BX1050" s="65" t="n">
        <v>1050</v>
      </c>
      <c r="BY1050" s="60" t="str">
        <f aca="false">IF(U1050&lt;&gt;"",UPPER(TRIM(U1050)),IF(CB1050=1,UPPER(VLOOKUP(T1050,Parameter!$I$27:$K$29,2,0)),IF(P1050="","LOSE",P1050)))</f>
        <v>S81</v>
      </c>
      <c r="BZ1050" s="62" t="n">
        <f aca="false">IF(BY1050="LOSE",1,IF(N(V1050)&gt;0,V1050,IF(CB1050=1,MAX(1,N(VLOOKUP(T1050,Parameter!$I$27:$K$29,3,0)),H1050,N(N1050)),IF(N(Q1050)&gt;0,Q1050,MAX(1,H1050)))))</f>
        <v>10</v>
      </c>
      <c r="CA1050" s="65" t="n">
        <f aca="false">IF(BY1050="LOSE",1,0)</f>
        <v>0</v>
      </c>
      <c r="CB1050" s="65" t="n">
        <f aca="false">IF(AND(U1050="",OR(P1050="",P1050="LOSE"),T1050&lt;&gt;"",N(S1050)&lt;=0,ISNUMBER(MATCH(T1050,Parameter!$I$27:$I$29,0))),1,0)</f>
        <v>1</v>
      </c>
      <c r="CC1050" s="65" t="n">
        <f aca="false">IF(CR1050&gt;0,INDEX(Parameter!$H$5:$H$7,W1050)/INDEX(Parameter!$E$5:$E$7,W1050),IF(AND(CA1050=0,N(IFERROR(VLOOKUP(BY1050,'Gebinde-Kategorie'!$A$5:$N$45,14,0),0))&gt;0),VLOOKUP(BY1050,'Gebinde-Kategorie'!$A$5:$N$45,14,0)*10+Parameter!$M$23,Parameter!$M$24))</f>
        <v>235</v>
      </c>
      <c r="CD1050" s="60" t="str">
        <f aca="false">IF(AND(Parameter!$B$19="Ja",E1050&lt;&gt;"",ISNUMBER(MATCH(E1050,Parameter!$I$35:$I$52,0))),VLOOKUP(E1050,Parameter!$I$35:$J$52,2,0),IFERROR(VLOOKUP(D1050,Parameter!$A$35:$C$64,2,0),"Nein"))</f>
        <v>2+3</v>
      </c>
      <c r="CE1050" s="64" t="n">
        <f aca="false">IF(CA1050=0,0,IF(N(S1050)&gt;0,S1050,IFERROR(VLOOKUP(D1050,Parameter!$A$35:$C$64,3,0)+0,0)))</f>
        <v>0</v>
      </c>
      <c r="CF1050" s="60" t="n">
        <f aca="false">IF(AB1050&lt;&gt;"",AB1050,AA1050)</f>
        <v>2</v>
      </c>
      <c r="CG1050" s="60" t="str">
        <f aca="false">IF(OR(CF1050=1,CF1050=2,CF1050=3),IF(Parameter!$E$27="Ja","LIFT",IF(CF1050=1,"L1","L23")),IF(CF1050="Aussen","Aussen","-"))</f>
        <v>LIFT</v>
      </c>
      <c r="CH1050" s="71" t="n">
        <f aca="false">IF(N(AC1050)&gt;0,AC1050,0)</f>
        <v>0</v>
      </c>
      <c r="CI1050" s="65" t="n">
        <f aca="false">IF(ISNUMBER(AF1050),1,0)</f>
        <v>0</v>
      </c>
      <c r="CJ1050" s="62" t="n">
        <f aca="false">N(AF1050)</f>
        <v>0</v>
      </c>
      <c r="CK1050" s="62" t="n">
        <f aca="false">N(M1050)+N(N1050)</f>
        <v>10</v>
      </c>
      <c r="CL1050" s="62" t="n">
        <f aca="false">N(M1050)</f>
        <v>0</v>
      </c>
      <c r="CM1050" s="62" t="n">
        <f aca="false">N(N1050)</f>
        <v>10</v>
      </c>
      <c r="CN1050" s="62" t="n">
        <f aca="false">ROUNDUP(H1050/BZ1050,0)</f>
        <v>0</v>
      </c>
      <c r="CO1050" s="62" t="n">
        <f aca="false">ROUNDUP(CJ1050/BZ1050,0)</f>
        <v>0</v>
      </c>
      <c r="CP1050" s="65" t="n">
        <f aca="false">IF(CA1050=1,0,IFERROR(VLOOKUP(BY1050,'Gebinde-Kategorie'!$A$5:$N$45,5,0)+0,0))</f>
        <v>20</v>
      </c>
      <c r="CQ1050" s="65" t="n">
        <f aca="false">IFERROR(IF(OR(CF1050=1,CF1050=2,CF1050=3),N(INDEX(Parameter!$I$5:$I$7,CF1050)),0),0)</f>
        <v>0</v>
      </c>
      <c r="CR1050" s="64" t="n">
        <f aca="false">IF(AND(Parameter!$B$21="Ja",ISNUMBER(W1050),N(X1050)&gt;0),IFERROR(N(INDEX(Parameter!$L$5:$L$7,W1050))*INDEX(Parameter!$E$5:$E$7,W1050)*X1050/SUMIFS($X$7:$X$1843,$W$7:$W$1843,W1050),0),0)</f>
        <v>0</v>
      </c>
      <c r="CS1050" s="62" t="str">
        <f aca="false">IF(AND(OR(CG1050="L1",CG1050="L23",CG1050="LIFT"),H1050&gt;0),CC1050*IF(CR1050&gt;0,CR1050*MAX(1,H1050/X1050),IF(CA1050=1,CE1050,IF(R1050&gt;0,CN1050/R1050,0))/MAX(0.1,N(Parameter!$M$21))),"")</f>
        <v/>
      </c>
      <c r="CT1050" s="64" t="str">
        <f aca="false">IF(CS1050="","",J1050/H1050)</f>
        <v/>
      </c>
      <c r="CU1050" s="62" t="str">
        <f aca="false">IF(CS1050="","",H1050*G1050)</f>
        <v/>
      </c>
      <c r="CV1050" s="63" t="str">
        <f aca="false">IF(CS1050="","",(CL1050+ROUNDUP(CL1050+MAX(CM1050,2*(J1050/MAX(0.1,N(Einkauf!$C$6))-CL1050)),0))/2)</f>
        <v/>
      </c>
      <c r="CW1050" s="62" t="str">
        <f aca="false">IF(CS1050="","",MAX(0,H1050-CV1050)*G1050)</f>
        <v/>
      </c>
      <c r="CX1050" s="62" t="str">
        <f aca="false">IF(CS1050="","",CS1050*MAX(0,1-CV1050/H1050))</f>
        <v/>
      </c>
      <c r="CY1050" s="64" t="str">
        <f aca="false">IF(CS1050="","",PERCENTRANK($CS$7:$CS$1843,CS1050)+PERCENTRANK($CU$7:$CU$1843,CU1050)+1-PERCENTRANK($CT$7:$CT$1843,CT1050))</f>
        <v/>
      </c>
      <c r="CZ1050" s="72" t="str">
        <f aca="false">IF(CS1050="","",CHOOSE(MATCH(Einkauf!$C$5,Parameter!$G$23:$G$27,0),CY1050,CS1050,CU1050,-CT1050,CW1050)+ROW()/1000000000)</f>
        <v/>
      </c>
    </row>
    <row r="1051" customFormat="false" ht="15" hidden="false" customHeight="false" outlineLevel="0" collapsed="false">
      <c r="A1051" s="60" t="s">
        <v>1966</v>
      </c>
      <c r="B1051" s="60" t="s">
        <v>797</v>
      </c>
      <c r="C1051" s="60" t="s">
        <v>206</v>
      </c>
      <c r="D1051" s="60" t="s">
        <v>226</v>
      </c>
      <c r="E1051" s="60"/>
      <c r="F1051" s="60" t="s">
        <v>260</v>
      </c>
      <c r="G1051" s="61" t="n">
        <v>144.89</v>
      </c>
      <c r="H1051" s="62" t="n">
        <f aca="false">MAX(0,IF(AND(Parameter!$B$21="Ja",ISNUMBER(Y1051)),Y1051,IF(Parameter!$B$20="Jahresanfang 2025 + Export",BS1051+BR1051,BR1051)))</f>
        <v>8</v>
      </c>
      <c r="I1051" s="62" t="n">
        <f aca="false">H1051*G1051</f>
        <v>1159.12</v>
      </c>
      <c r="J1051" s="62" t="n">
        <f aca="false">BU1051*Parameter!$B$18</f>
        <v>0</v>
      </c>
      <c r="K1051" s="63" t="n">
        <v>9</v>
      </c>
      <c r="L1051" s="64" t="n">
        <v>0</v>
      </c>
      <c r="M1051" s="62" t="n">
        <v>0</v>
      </c>
      <c r="N1051" s="62" t="n">
        <v>1</v>
      </c>
      <c r="O1051" s="65" t="n">
        <v>35</v>
      </c>
      <c r="P1051" s="60" t="s">
        <v>468</v>
      </c>
      <c r="Q1051" s="62" t="n">
        <v>9</v>
      </c>
      <c r="R1051" s="65" t="n">
        <f aca="false">IF(CA1051=1,0,IFERROR(VLOOKUP(BY1051,'Gebinde-Kategorie'!$A$5:$N$45,13,0)+0,0))</f>
        <v>140</v>
      </c>
      <c r="S1051" s="66"/>
      <c r="T1051" s="67"/>
      <c r="U1051" s="67"/>
      <c r="V1051" s="67"/>
      <c r="W1051" s="60"/>
      <c r="X1051" s="62"/>
      <c r="Y1051" s="62"/>
      <c r="Z1051" s="60" t="n">
        <v>3</v>
      </c>
      <c r="AA1051" s="60" t="n">
        <f aca="false">IF(A1051="","",IF(AND(Parameter!$B$21="Ja",ISNUMBER(W1051)),W1051,IF(AND(Parameter!$E$27="Ja",ISNUMBER(Z1051),CD1051&lt;&gt;"Nein"),Z1051,IF(CD1051="2+3",IF(ISNUMBER(SEARCH("grosser Artikel",BV1051)),2,IFERROR(VLOOKUP(BY1051,Parameter!$F$35:$G$64,2,0),2)),IF(OR(CD1051="Nein",CD1051=""),"-",CD1051)))))</f>
        <v>3</v>
      </c>
      <c r="AB1051" s="67"/>
      <c r="AC1051" s="68"/>
      <c r="AD1051" s="62" t="n">
        <f aca="false">AW1051</f>
        <v>1</v>
      </c>
      <c r="AE1051" s="62" t="n">
        <f aca="false">MAX(AW1051,H1051)</f>
        <v>8</v>
      </c>
      <c r="AF1051" s="69"/>
      <c r="AG1051" s="62" t="n">
        <f aca="false">IF(LEFT(Cockpit!$C$5,1)="A",H1051,IF(Parameter!$E$30="MAX-Bestand",IF(CI1051=1,CJ1051,IF(LEFT(Cockpit!$C$5,1)="B",AM1051,MAX(AM1051,H1051))),ROUNDUP(AK1051,0)))</f>
        <v>8</v>
      </c>
      <c r="AH1051" s="62" t="n">
        <f aca="false">IF(CA1051=1,0,ROUNDUP(AG1051/BZ1051,0))</f>
        <v>1</v>
      </c>
      <c r="AI1051" s="64" t="n">
        <f aca="false">IF(CR1051&gt;0,CR1051*MAX(1,AG1051/X1051),IF(CA1051=1,IF(AG1051&lt;=0,0,CE1051*MAX(1,IF(H1051&gt;0,AG1051/H1051,1))),IF(R1051&gt;0,AH1051/R1051,0))/MAX(0.1,N(Parameter!$M$21)))</f>
        <v>0.00714285714285714</v>
      </c>
      <c r="AJ1051" s="62" t="n">
        <f aca="false">AI1051*CC1051</f>
        <v>1.10714285714286</v>
      </c>
      <c r="AK1051" s="63" t="n">
        <f aca="false">IF(LEFT(Cockpit!$C$5,1)="A",H1051,IF(CI1051=1,(CL1051+CJ1051)/2,IF(LEFT(Cockpit!$C$5,1)="B",(CL1051+AM1051)/2,MAX((CL1051+AM1051)/2,H1051))))</f>
        <v>8</v>
      </c>
      <c r="AL1051" s="62" t="n">
        <f aca="false">AK1051*G1051</f>
        <v>1159.12</v>
      </c>
      <c r="AM1051" s="62" t="n">
        <f aca="false">ROUNDUP(CL1051+MAX(CM1051,2*(J1051/IF(CH1051&gt;0,CH1051,MAX(0.1,N(Cockpit!$C$6)))-CL1051)),0)</f>
        <v>1</v>
      </c>
      <c r="AN1051" s="63" t="n">
        <f aca="false">IF(AJ1051&gt;0,J1051/AJ1051,-1)</f>
        <v>0</v>
      </c>
      <c r="AO1051" s="63" t="n">
        <f aca="false">IF(AND(OR(CG1051="L1",CG1051="L23",CG1051="LIFT"),AJ1051&gt;0),SUMIFS($AJ$7:$AJ$1843,$CG$7:$CG$1843,CG1051,$AN$7:$AN$1843,"&gt;"&amp;AN1051)+SUMIFS($AJ$7:$AJ$1843,$CG$7:$CG$1843,CG1051,$AN$7:$AN$1843,AN1051,$BX$7:$BX$1843,"&lt;="&amp;BX1051),"")</f>
        <v>29070.3756260218</v>
      </c>
      <c r="AP1051" s="70" t="n">
        <f aca="false">IF(AO1051="",0,MAX(0,MIN(1,(IF(CG1051="L1",Parameter!$H$5,IF(CG1051="L23",Parameter!$H$6+Parameter!$H$7,Parameter!$H$5+Parameter!$H$6+Parameter!$H$7))-(AO1051-AJ1051))/AJ1051)))</f>
        <v>1</v>
      </c>
      <c r="AQ1051" s="62" t="n">
        <f aca="false">IF(LEFT(Cockpit!$I$5,1)="A",H1051,IF(Parameter!$E$30="MAX-Bestand",IF(CI1051=1,CJ1051,IF(LEFT(Cockpit!$I$5,1)="B",AW1051,MAX(AW1051,H1051))),ROUNDUP(AU1051,0)))</f>
        <v>8</v>
      </c>
      <c r="AR1051" s="62" t="n">
        <f aca="false">IF(CA1051=1,0,ROUNDUP(AQ1051/BZ1051,0))</f>
        <v>1</v>
      </c>
      <c r="AS1051" s="64" t="n">
        <f aca="false">IF(CR1051&gt;0,CR1051*MAX(1,AQ1051/X1051),IF(CA1051=1,IF(AQ1051&lt;=0,0,CE1051*MAX(1,IF(H1051&gt;0,AQ1051/H1051,1))),IF(R1051&gt;0,AR1051/R1051,0))/MAX(0.1,N(Parameter!$M$21)))</f>
        <v>0.00714285714285714</v>
      </c>
      <c r="AT1051" s="62" t="n">
        <f aca="false">AS1051*CC1051</f>
        <v>1.10714285714286</v>
      </c>
      <c r="AU1051" s="63" t="n">
        <f aca="false">IF(LEFT(Cockpit!$I$5,1)="A",H1051,IF(CI1051=1,(CL1051+CJ1051)/2,IF(LEFT(Cockpit!$I$5,1)="B",(CL1051+AW1051)/2,MAX((CL1051+AW1051)/2,H1051))))</f>
        <v>8</v>
      </c>
      <c r="AV1051" s="62" t="n">
        <f aca="false">AU1051*G1051</f>
        <v>1159.12</v>
      </c>
      <c r="AW1051" s="62" t="n">
        <f aca="false">ROUNDUP(CL1051+MAX(CM1051,2*(J1051/IF(CH1051&gt;0,CH1051,MAX(0.1,N(Cockpit!$I$6)))-CL1051)),0)</f>
        <v>1</v>
      </c>
      <c r="AX1051" s="63" t="n">
        <f aca="false">IF(AT1051&gt;0,J1051/AT1051,-1)</f>
        <v>0</v>
      </c>
      <c r="AY1051" s="63" t="n">
        <f aca="false">IF(AND(OR(CG1051="L1",CG1051="L23",CG1051="LIFT"),AT1051&gt;0),SUMIFS($AT$7:$AT$1843,$CG$7:$CG$1843,CG1051,$AX$7:$AX$1843,"&gt;"&amp;AX1051)+SUMIFS($AT$7:$AT$1843,$CG$7:$CG$1843,CG1051,$AX$7:$AX$1843,AX1051,$BX$7:$BX$1843,"&lt;="&amp;BX1051),"")</f>
        <v>34772.7477106227</v>
      </c>
      <c r="AZ1051" s="70" t="n">
        <f aca="false">IF(AY1051="",0,MAX(0,MIN(1,(IF(CG1051="L1",Parameter!$H$5,IF(CG1051="L23",Parameter!$H$6+Parameter!$H$7,Parameter!$H$5+Parameter!$H$6+Parameter!$H$7))-(AY1051-AT1051))/AT1051)))</f>
        <v>1</v>
      </c>
      <c r="BA1051" s="62" t="n">
        <f aca="false">IF(LEFT(Cockpit!$O$5,1)="A",H1051,IF(Parameter!$E$30="MAX-Bestand",IF(CI1051=1,CJ1051,IF(LEFT(Cockpit!$O$5,1)="B",BG1051,MAX(BG1051,H1051))),ROUNDUP(BE1051,0)))</f>
        <v>1</v>
      </c>
      <c r="BB1051" s="62" t="n">
        <f aca="false">IF(CA1051=1,0,ROUNDUP(BA1051/BZ1051,0))</f>
        <v>1</v>
      </c>
      <c r="BC1051" s="64" t="n">
        <f aca="false">IF(CR1051&gt;0,CR1051*MAX(1,BA1051/X1051),IF(CA1051=1,IF(BA1051&lt;=0,0,CE1051*MAX(1,IF(H1051&gt;0,BA1051/H1051,1))),IF(R1051&gt;0,BB1051/R1051,0))/MAX(0.1,N(Parameter!$M$21)))</f>
        <v>0.00714285714285714</v>
      </c>
      <c r="BD1051" s="62" t="n">
        <f aca="false">BC1051*CC1051</f>
        <v>1.10714285714286</v>
      </c>
      <c r="BE1051" s="63" t="n">
        <f aca="false">IF(LEFT(Cockpit!$O$5,1)="A",H1051,IF(CI1051=1,(CL1051+CJ1051)/2,IF(LEFT(Cockpit!$O$5,1)="B",(CL1051+BG1051)/2,MAX((CL1051+BG1051)/2,H1051))))</f>
        <v>0.5</v>
      </c>
      <c r="BF1051" s="62" t="n">
        <f aca="false">BE1051*G1051</f>
        <v>72.445</v>
      </c>
      <c r="BG1051" s="62" t="n">
        <f aca="false">ROUNDUP(CL1051+MAX(CM1051,2*(J1051/IF(CH1051&gt;0,CH1051,MAX(0.1,N(Cockpit!$O$6)))-CL1051)),0)</f>
        <v>1</v>
      </c>
      <c r="BH1051" s="63" t="n">
        <f aca="false">IF(BD1051&gt;0,J1051/BD1051,-1)</f>
        <v>0</v>
      </c>
      <c r="BI1051" s="63" t="n">
        <f aca="false">IF(AND(OR(CG1051="L1",CG1051="L23",CG1051="LIFT"),BD1051&gt;0),SUMIFS($BD$7:$BD$1843,$CG$7:$CG$1843,CG1051,$BH$7:$BH$1843,"&gt;"&amp;BH1051)+SUMIFS($BD$7:$BD$1843,$CG$7:$CG$1843,CG1051,$BH$7:$BH$1843,BH1051,$BX$7:$BX$1843,"&lt;="&amp;BX1051),"")</f>
        <v>28769.9774476936</v>
      </c>
      <c r="BJ1051" s="70" t="n">
        <f aca="false">IF(BI1051="",0,MAX(0,MIN(1,(IF(CG1051="L1",Parameter!$H$5,IF(CG1051="L23",Parameter!$H$6+Parameter!$H$7,Parameter!$H$5+Parameter!$H$6+Parameter!$H$7))-(BI1051-BD1051))/BD1051)))</f>
        <v>1</v>
      </c>
      <c r="BK1051" s="60" t="str">
        <f aca="false">IF(AJ1051&lt;=0,"",IF(CG1051="Aussen","Aussenlager",IF(CG1051="-","Nicht im Lift",IF(AP1051&gt;=1,"Lift",IF(AP1051&lt;=0,"Aussenlager","teilweise")))))</f>
        <v>Lift</v>
      </c>
      <c r="BL1051" s="60" t="str">
        <f aca="false">IF(AT1051&lt;=0,"",IF(CG1051="Aussen","Aussenlager",IF(CG1051="-","Nicht im Lift",IF(AZ1051&gt;=1,"Lift",IF(AZ1051&lt;=0,"Aussenlager","teilweise")))))</f>
        <v>Lift</v>
      </c>
      <c r="BM1051" s="60" t="str">
        <f aca="false">IF(BD1051&lt;=0,"",IF(CG1051="Aussen","Aussenlager",IF(CG1051="-","Nicht im Lift",IF(BJ1051&gt;=1,"Lift",IF(BJ1051&lt;=0,"Aussenlager","teilweise")))))</f>
        <v>Lift</v>
      </c>
      <c r="BN1051" s="60" t="str">
        <f aca="false">IF(A1051="","",IF(BW1051=1,"Neu; ","")&amp;IF(AND(BW1051=0,BR1051&lt;0),"negativer Bestand (Export "&amp;BR1051&amp;"); ","")&amp;IF(J1051&lt;=0,"Kein Verbrauch; ","")&amp;IF(CR1051&gt;0,"Lift "&amp;W1051&amp;" lt. Liftbericht (Fach "&amp;X1051&amp;" Stk); ",IF(CB1051=1,"Gebinde geschätzt ("&amp;T1051&amp;"); ",IF(CA1051=1,"Lose – Tablare geschätzt; ","")))&amp;IF(H1051&gt;AW1051,"Überbestand "&amp;ROUND(H1051-AW1051,0)&amp;" Stk / CHF "&amp;ROUND((H1051-AW1051)*G1051,0)&amp;"; ","")&amp;IF(AND(CI1051=1,CJ1051&lt;CK1051),"MAX &lt; MB+LG; ","")&amp;IF(AND(CQ1051&gt;0,CP1051*10&gt;CQ1051),"zu hoch für Tablar; ","")&amp;IF(AND(BW1051=0,OR(CI1051=1,AB1051&lt;&gt;"",U1051&lt;&gt;"",V1051&lt;&gt;"",AC1051&lt;&gt;"")),"manuell übersteuert; ","")&amp;IF(AND(CA1051=0,R1051=0),"Gebinde unbekannt / Stellmass fehlt; ","")&amp;IF(AND(CA1051=0,N(V1051)&lt;=0,N(Q1051)&lt;=0),"Menge pro Gebinde fehlt (Ist = 1 Gebinde); ","")&amp;BV1051)</f>
        <v>negativer Bestand (Export -1); Kein Verbrauch; Überbestand 7 Stk / CHF 1014; </v>
      </c>
      <c r="BO1051" s="60"/>
      <c r="BP1051" s="60"/>
      <c r="BQ1051" s="67"/>
      <c r="BR1051" s="62" t="n">
        <v>-1</v>
      </c>
      <c r="BS1051" s="62" t="n">
        <v>9</v>
      </c>
      <c r="BT1051" s="61" t="n">
        <v>-144.89</v>
      </c>
      <c r="BU1051" s="62" t="n">
        <v>0</v>
      </c>
      <c r="BV1051" s="60"/>
      <c r="BW1051" s="65" t="n">
        <v>0</v>
      </c>
      <c r="BX1051" s="65" t="n">
        <v>1051</v>
      </c>
      <c r="BY1051" s="60" t="str">
        <f aca="false">IF(U1051&lt;&gt;"",UPPER(TRIM(U1051)),IF(CB1051=1,UPPER(VLOOKUP(T1051,Parameter!$I$27:$K$29,2,0)),IF(P1051="","LOSE",P1051)))</f>
        <v>S22</v>
      </c>
      <c r="BZ1051" s="62" t="n">
        <f aca="false">IF(BY1051="LOSE",1,IF(N(V1051)&gt;0,V1051,IF(CB1051=1,MAX(1,N(VLOOKUP(T1051,Parameter!$I$27:$K$29,3,0)),H1051,N(N1051)),IF(N(Q1051)&gt;0,Q1051,MAX(1,H1051)))))</f>
        <v>9</v>
      </c>
      <c r="CA1051" s="65" t="n">
        <f aca="false">IF(BY1051="LOSE",1,0)</f>
        <v>0</v>
      </c>
      <c r="CB1051" s="65" t="n">
        <f aca="false">IF(AND(U1051="",OR(P1051="",P1051="LOSE"),T1051&lt;&gt;"",N(S1051)&lt;=0,ISNUMBER(MATCH(T1051,Parameter!$I$27:$I$29,0))),1,0)</f>
        <v>0</v>
      </c>
      <c r="CC1051" s="65" t="n">
        <f aca="false">IF(CR1051&gt;0,INDEX(Parameter!$H$5:$H$7,W1051)/INDEX(Parameter!$E$5:$E$7,W1051),IF(AND(CA1051=0,N(IFERROR(VLOOKUP(BY1051,'Gebinde-Kategorie'!$A$5:$N$45,14,0),0))&gt;0),VLOOKUP(BY1051,'Gebinde-Kategorie'!$A$5:$N$45,14,0)*10+Parameter!$M$23,Parameter!$M$24))</f>
        <v>155</v>
      </c>
      <c r="CD1051" s="60" t="str">
        <f aca="false">IF(AND(Parameter!$B$19="Ja",E1051&lt;&gt;"",ISNUMBER(MATCH(E1051,Parameter!$I$35:$I$52,0))),VLOOKUP(E1051,Parameter!$I$35:$J$52,2,0),IFERROR(VLOOKUP(D1051,Parameter!$A$35:$C$64,2,0),"Nein"))</f>
        <v>2+3</v>
      </c>
      <c r="CE1051" s="64" t="n">
        <f aca="false">IF(CA1051=0,0,IF(N(S1051)&gt;0,S1051,IFERROR(VLOOKUP(D1051,Parameter!$A$35:$C$64,3,0)+0,0)))</f>
        <v>0</v>
      </c>
      <c r="CF1051" s="60" t="n">
        <f aca="false">IF(AB1051&lt;&gt;"",AB1051,AA1051)</f>
        <v>3</v>
      </c>
      <c r="CG1051" s="60" t="str">
        <f aca="false">IF(OR(CF1051=1,CF1051=2,CF1051=3),IF(Parameter!$E$27="Ja","LIFT",IF(CF1051=1,"L1","L23")),IF(CF1051="Aussen","Aussen","-"))</f>
        <v>LIFT</v>
      </c>
      <c r="CH1051" s="71" t="n">
        <f aca="false">IF(N(AC1051)&gt;0,AC1051,0)</f>
        <v>0</v>
      </c>
      <c r="CI1051" s="65" t="n">
        <f aca="false">IF(ISNUMBER(AF1051),1,0)</f>
        <v>0</v>
      </c>
      <c r="CJ1051" s="62" t="n">
        <f aca="false">N(AF1051)</f>
        <v>0</v>
      </c>
      <c r="CK1051" s="62" t="n">
        <f aca="false">N(M1051)+N(N1051)</f>
        <v>1</v>
      </c>
      <c r="CL1051" s="62" t="n">
        <f aca="false">N(M1051)</f>
        <v>0</v>
      </c>
      <c r="CM1051" s="62" t="n">
        <f aca="false">N(N1051)</f>
        <v>1</v>
      </c>
      <c r="CN1051" s="62" t="n">
        <f aca="false">ROUNDUP(H1051/BZ1051,0)</f>
        <v>1</v>
      </c>
      <c r="CO1051" s="62" t="n">
        <f aca="false">ROUNDUP(CJ1051/BZ1051,0)</f>
        <v>0</v>
      </c>
      <c r="CP1051" s="65" t="n">
        <f aca="false">IF(CA1051=1,0,IFERROR(VLOOKUP(BY1051,'Gebinde-Kategorie'!$A$5:$N$45,5,0)+0,0))</f>
        <v>8</v>
      </c>
      <c r="CQ1051" s="65" t="n">
        <f aca="false">IFERROR(IF(OR(CF1051=1,CF1051=2,CF1051=3),N(INDEX(Parameter!$I$5:$I$7,CF1051)),0),0)</f>
        <v>0</v>
      </c>
      <c r="CR1051" s="64" t="n">
        <f aca="false">IF(AND(Parameter!$B$21="Ja",ISNUMBER(W1051),N(X1051)&gt;0),IFERROR(N(INDEX(Parameter!$L$5:$L$7,W1051))*INDEX(Parameter!$E$5:$E$7,W1051)*X1051/SUMIFS($X$7:$X$1843,$W$7:$W$1843,W1051),0),0)</f>
        <v>0</v>
      </c>
      <c r="CS1051" s="62" t="n">
        <f aca="false">IF(AND(OR(CG1051="L1",CG1051="L23",CG1051="LIFT"),H1051&gt;0),CC1051*IF(CR1051&gt;0,CR1051*MAX(1,H1051/X1051),IF(CA1051=1,CE1051,IF(R1051&gt;0,CN1051/R1051,0))/MAX(0.1,N(Parameter!$M$21))),"")</f>
        <v>1.10714285714286</v>
      </c>
      <c r="CT1051" s="64" t="n">
        <f aca="false">IF(CS1051="","",J1051/H1051)</f>
        <v>0</v>
      </c>
      <c r="CU1051" s="62" t="n">
        <f aca="false">IF(CS1051="","",H1051*G1051)</f>
        <v>1159.12</v>
      </c>
      <c r="CV1051" s="63" t="n">
        <f aca="false">IF(CS1051="","",(CL1051+ROUNDUP(CL1051+MAX(CM1051,2*(J1051/MAX(0.1,N(Einkauf!$C$6))-CL1051)),0))/2)</f>
        <v>0.5</v>
      </c>
      <c r="CW1051" s="62" t="n">
        <f aca="false">IF(CS1051="","",MAX(0,H1051-CV1051)*G1051)</f>
        <v>1086.675</v>
      </c>
      <c r="CX1051" s="62" t="n">
        <f aca="false">IF(CS1051="","",CS1051*MAX(0,1-CV1051/H1051))</f>
        <v>1.03794642857143</v>
      </c>
      <c r="CY1051" s="64" t="n">
        <f aca="false">IF(CS1051="","",PERCENTRANK($CS$7:$CS$1843,CS1051)+PERCENTRANK($CU$7:$CU$1843,CU1051)+1-PERCENTRANK($CT$7:$CT$1843,CT1051))</f>
        <v>1.7324</v>
      </c>
      <c r="CZ1051" s="72" t="n">
        <f aca="false">IF(CS1051="","",CHOOSE(MATCH(Einkauf!$C$5,Parameter!$G$23:$G$27,0),CY1051,CS1051,CU1051,-CT1051,CW1051)+ROW()/1000000000)</f>
        <v>1.732401051</v>
      </c>
    </row>
    <row r="1052" customFormat="false" ht="15" hidden="false" customHeight="false" outlineLevel="0" collapsed="false">
      <c r="A1052" s="60" t="s">
        <v>1967</v>
      </c>
      <c r="B1052" s="60" t="s">
        <v>1910</v>
      </c>
      <c r="C1052" s="60" t="s">
        <v>206</v>
      </c>
      <c r="D1052" s="60" t="s">
        <v>226</v>
      </c>
      <c r="E1052" s="60" t="s">
        <v>227</v>
      </c>
      <c r="F1052" s="60" t="s">
        <v>260</v>
      </c>
      <c r="G1052" s="61" t="n">
        <v>145.85</v>
      </c>
      <c r="H1052" s="62" t="n">
        <f aca="false">MAX(0,IF(AND(Parameter!$B$21="Ja",ISNUMBER(Y1052)),Y1052,IF(Parameter!$B$20="Jahresanfang 2025 + Export",BS1052+BR1052,BR1052)))</f>
        <v>8</v>
      </c>
      <c r="I1052" s="62" t="n">
        <f aca="false">H1052*G1052</f>
        <v>1166.8</v>
      </c>
      <c r="J1052" s="62" t="n">
        <f aca="false">BU1052*Parameter!$B$18</f>
        <v>0</v>
      </c>
      <c r="K1052" s="63" t="n">
        <v>9</v>
      </c>
      <c r="L1052" s="64" t="n">
        <v>0</v>
      </c>
      <c r="M1052" s="62" t="n">
        <v>0</v>
      </c>
      <c r="N1052" s="62" t="n">
        <v>1</v>
      </c>
      <c r="O1052" s="65" t="n">
        <v>42</v>
      </c>
      <c r="P1052" s="60" t="s">
        <v>344</v>
      </c>
      <c r="Q1052" s="62" t="n">
        <v>3</v>
      </c>
      <c r="R1052" s="65" t="n">
        <f aca="false">IF(CA1052=1,0,IFERROR(VLOOKUP(BY1052,'Gebinde-Kategorie'!$A$5:$N$45,13,0)+0,0))</f>
        <v>26</v>
      </c>
      <c r="S1052" s="66"/>
      <c r="T1052" s="67"/>
      <c r="U1052" s="67"/>
      <c r="V1052" s="67"/>
      <c r="W1052" s="60"/>
      <c r="X1052" s="62"/>
      <c r="Y1052" s="62"/>
      <c r="Z1052" s="60" t="n">
        <v>3</v>
      </c>
      <c r="AA1052" s="60" t="n">
        <f aca="false">IF(A1052="","",IF(AND(Parameter!$B$21="Ja",ISNUMBER(W1052)),W1052,IF(AND(Parameter!$E$27="Ja",ISNUMBER(Z1052),CD1052&lt;&gt;"Nein"),Z1052,IF(CD1052="2+3",IF(ISNUMBER(SEARCH("grosser Artikel",BV1052)),2,IFERROR(VLOOKUP(BY1052,Parameter!$F$35:$G$64,2,0),2)),IF(OR(CD1052="Nein",CD1052=""),"-",CD1052)))))</f>
        <v>3</v>
      </c>
      <c r="AB1052" s="67"/>
      <c r="AC1052" s="68"/>
      <c r="AD1052" s="62" t="n">
        <f aca="false">AW1052</f>
        <v>1</v>
      </c>
      <c r="AE1052" s="62" t="n">
        <f aca="false">MAX(AW1052,H1052)</f>
        <v>8</v>
      </c>
      <c r="AF1052" s="69"/>
      <c r="AG1052" s="62" t="n">
        <f aca="false">IF(LEFT(Cockpit!$C$5,1)="A",H1052,IF(Parameter!$E$30="MAX-Bestand",IF(CI1052=1,CJ1052,IF(LEFT(Cockpit!$C$5,1)="B",AM1052,MAX(AM1052,H1052))),ROUNDUP(AK1052,0)))</f>
        <v>8</v>
      </c>
      <c r="AH1052" s="62" t="n">
        <f aca="false">IF(CA1052=1,0,ROUNDUP(AG1052/BZ1052,0))</f>
        <v>3</v>
      </c>
      <c r="AI1052" s="64" t="n">
        <f aca="false">IF(CR1052&gt;0,CR1052*MAX(1,AG1052/X1052),IF(CA1052=1,IF(AG1052&lt;=0,0,CE1052*MAX(1,IF(H1052&gt;0,AG1052/H1052,1))),IF(R1052&gt;0,AH1052/R1052,0))/MAX(0.1,N(Parameter!$M$21)))</f>
        <v>0.115384615384615</v>
      </c>
      <c r="AJ1052" s="62" t="n">
        <f aca="false">AI1052*CC1052</f>
        <v>17.8846153846154</v>
      </c>
      <c r="AK1052" s="63" t="n">
        <f aca="false">IF(LEFT(Cockpit!$C$5,1)="A",H1052,IF(CI1052=1,(CL1052+CJ1052)/2,IF(LEFT(Cockpit!$C$5,1)="B",(CL1052+AM1052)/2,MAX((CL1052+AM1052)/2,H1052))))</f>
        <v>8</v>
      </c>
      <c r="AL1052" s="62" t="n">
        <f aca="false">AK1052*G1052</f>
        <v>1166.8</v>
      </c>
      <c r="AM1052" s="62" t="n">
        <f aca="false">ROUNDUP(CL1052+MAX(CM1052,2*(J1052/IF(CH1052&gt;0,CH1052,MAX(0.1,N(Cockpit!$C$6)))-CL1052)),0)</f>
        <v>1</v>
      </c>
      <c r="AN1052" s="63" t="n">
        <f aca="false">IF(AJ1052&gt;0,J1052/AJ1052,-1)</f>
        <v>0</v>
      </c>
      <c r="AO1052" s="63" t="n">
        <f aca="false">IF(AND(OR(CG1052="L1",CG1052="L23",CG1052="LIFT"),AJ1052&gt;0),SUMIFS($AJ$7:$AJ$1843,$CG$7:$CG$1843,CG1052,$AN$7:$AN$1843,"&gt;"&amp;AN1052)+SUMIFS($AJ$7:$AJ$1843,$CG$7:$CG$1843,CG1052,$AN$7:$AN$1843,AN1052,$BX$7:$BX$1843,"&lt;="&amp;BX1052),"")</f>
        <v>29088.2602414064</v>
      </c>
      <c r="AP1052" s="70" t="n">
        <f aca="false">IF(AO1052="",0,MAX(0,MIN(1,(IF(CG1052="L1",Parameter!$H$5,IF(CG1052="L23",Parameter!$H$6+Parameter!$H$7,Parameter!$H$5+Parameter!$H$6+Parameter!$H$7))-(AO1052-AJ1052))/AJ1052)))</f>
        <v>1</v>
      </c>
      <c r="AQ1052" s="62" t="n">
        <f aca="false">IF(LEFT(Cockpit!$I$5,1)="A",H1052,IF(Parameter!$E$30="MAX-Bestand",IF(CI1052=1,CJ1052,IF(LEFT(Cockpit!$I$5,1)="B",AW1052,MAX(AW1052,H1052))),ROUNDUP(AU1052,0)))</f>
        <v>8</v>
      </c>
      <c r="AR1052" s="62" t="n">
        <f aca="false">IF(CA1052=1,0,ROUNDUP(AQ1052/BZ1052,0))</f>
        <v>3</v>
      </c>
      <c r="AS1052" s="64" t="n">
        <f aca="false">IF(CR1052&gt;0,CR1052*MAX(1,AQ1052/X1052),IF(CA1052=1,IF(AQ1052&lt;=0,0,CE1052*MAX(1,IF(H1052&gt;0,AQ1052/H1052,1))),IF(R1052&gt;0,AR1052/R1052,0))/MAX(0.1,N(Parameter!$M$21)))</f>
        <v>0.115384615384615</v>
      </c>
      <c r="AT1052" s="62" t="n">
        <f aca="false">AS1052*CC1052</f>
        <v>17.8846153846154</v>
      </c>
      <c r="AU1052" s="63" t="n">
        <f aca="false">IF(LEFT(Cockpit!$I$5,1)="A",H1052,IF(CI1052=1,(CL1052+CJ1052)/2,IF(LEFT(Cockpit!$I$5,1)="B",(CL1052+AW1052)/2,MAX((CL1052+AW1052)/2,H1052))))</f>
        <v>8</v>
      </c>
      <c r="AV1052" s="62" t="n">
        <f aca="false">AU1052*G1052</f>
        <v>1166.8</v>
      </c>
      <c r="AW1052" s="62" t="n">
        <f aca="false">ROUNDUP(CL1052+MAX(CM1052,2*(J1052/IF(CH1052&gt;0,CH1052,MAX(0.1,N(Cockpit!$I$6)))-CL1052)),0)</f>
        <v>1</v>
      </c>
      <c r="AX1052" s="63" t="n">
        <f aca="false">IF(AT1052&gt;0,J1052/AT1052,-1)</f>
        <v>0</v>
      </c>
      <c r="AY1052" s="63" t="n">
        <f aca="false">IF(AND(OR(CG1052="L1",CG1052="L23",CG1052="LIFT"),AT1052&gt;0),SUMIFS($AT$7:$AT$1843,$CG$7:$CG$1843,CG1052,$AX$7:$AX$1843,"&gt;"&amp;AX1052)+SUMIFS($AT$7:$AT$1843,$CG$7:$CG$1843,CG1052,$AX$7:$AX$1843,AX1052,$BX$7:$BX$1843,"&lt;="&amp;BX1052),"")</f>
        <v>34790.6323260073</v>
      </c>
      <c r="AZ1052" s="70" t="n">
        <f aca="false">IF(AY1052="",0,MAX(0,MIN(1,(IF(CG1052="L1",Parameter!$H$5,IF(CG1052="L23",Parameter!$H$6+Parameter!$H$7,Parameter!$H$5+Parameter!$H$6+Parameter!$H$7))-(AY1052-AT1052))/AT1052)))</f>
        <v>1</v>
      </c>
      <c r="BA1052" s="62" t="n">
        <f aca="false">IF(LEFT(Cockpit!$O$5,1)="A",H1052,IF(Parameter!$E$30="MAX-Bestand",IF(CI1052=1,CJ1052,IF(LEFT(Cockpit!$O$5,1)="B",BG1052,MAX(BG1052,H1052))),ROUNDUP(BE1052,0)))</f>
        <v>1</v>
      </c>
      <c r="BB1052" s="62" t="n">
        <f aca="false">IF(CA1052=1,0,ROUNDUP(BA1052/BZ1052,0))</f>
        <v>1</v>
      </c>
      <c r="BC1052" s="64" t="n">
        <f aca="false">IF(CR1052&gt;0,CR1052*MAX(1,BA1052/X1052),IF(CA1052=1,IF(BA1052&lt;=0,0,CE1052*MAX(1,IF(H1052&gt;0,BA1052/H1052,1))),IF(R1052&gt;0,BB1052/R1052,0))/MAX(0.1,N(Parameter!$M$21)))</f>
        <v>0.0384615384615385</v>
      </c>
      <c r="BD1052" s="62" t="n">
        <f aca="false">BC1052*CC1052</f>
        <v>5.96153846153846</v>
      </c>
      <c r="BE1052" s="63" t="n">
        <f aca="false">IF(LEFT(Cockpit!$O$5,1)="A",H1052,IF(CI1052=1,(CL1052+CJ1052)/2,IF(LEFT(Cockpit!$O$5,1)="B",(CL1052+BG1052)/2,MAX((CL1052+BG1052)/2,H1052))))</f>
        <v>0.5</v>
      </c>
      <c r="BF1052" s="62" t="n">
        <f aca="false">BE1052*G1052</f>
        <v>72.925</v>
      </c>
      <c r="BG1052" s="62" t="n">
        <f aca="false">ROUNDUP(CL1052+MAX(CM1052,2*(J1052/IF(CH1052&gt;0,CH1052,MAX(0.1,N(Cockpit!$O$6)))-CL1052)),0)</f>
        <v>1</v>
      </c>
      <c r="BH1052" s="63" t="n">
        <f aca="false">IF(BD1052&gt;0,J1052/BD1052,-1)</f>
        <v>0</v>
      </c>
      <c r="BI1052" s="63" t="n">
        <f aca="false">IF(AND(OR(CG1052="L1",CG1052="L23",CG1052="LIFT"),BD1052&gt;0),SUMIFS($BD$7:$BD$1843,$CG$7:$CG$1843,CG1052,$BH$7:$BH$1843,"&gt;"&amp;BH1052)+SUMIFS($BD$7:$BD$1843,$CG$7:$CG$1843,CG1052,$BH$7:$BH$1843,BH1052,$BX$7:$BX$1843,"&lt;="&amp;BX1052),"")</f>
        <v>28775.9389861551</v>
      </c>
      <c r="BJ1052" s="70" t="n">
        <f aca="false">IF(BI1052="",0,MAX(0,MIN(1,(IF(CG1052="L1",Parameter!$H$5,IF(CG1052="L23",Parameter!$H$6+Parameter!$H$7,Parameter!$H$5+Parameter!$H$6+Parameter!$H$7))-(BI1052-BD1052))/BD1052)))</f>
        <v>1</v>
      </c>
      <c r="BK1052" s="60" t="str">
        <f aca="false">IF(AJ1052&lt;=0,"",IF(CG1052="Aussen","Aussenlager",IF(CG1052="-","Nicht im Lift",IF(AP1052&gt;=1,"Lift",IF(AP1052&lt;=0,"Aussenlager","teilweise")))))</f>
        <v>Lift</v>
      </c>
      <c r="BL1052" s="60" t="str">
        <f aca="false">IF(AT1052&lt;=0,"",IF(CG1052="Aussen","Aussenlager",IF(CG1052="-","Nicht im Lift",IF(AZ1052&gt;=1,"Lift",IF(AZ1052&lt;=0,"Aussenlager","teilweise")))))</f>
        <v>Lift</v>
      </c>
      <c r="BM1052" s="60" t="str">
        <f aca="false">IF(BD1052&lt;=0,"",IF(CG1052="Aussen","Aussenlager",IF(CG1052="-","Nicht im Lift",IF(BJ1052&gt;=1,"Lift",IF(BJ1052&lt;=0,"Aussenlager","teilweise")))))</f>
        <v>Lift</v>
      </c>
      <c r="BN1052" s="60" t="str">
        <f aca="false">IF(A1052="","",IF(BW1052=1,"Neu; ","")&amp;IF(AND(BW1052=0,BR1052&lt;0),"negativer Bestand (Export "&amp;BR1052&amp;"); ","")&amp;IF(J1052&lt;=0,"Kein Verbrauch; ","")&amp;IF(CR1052&gt;0,"Lift "&amp;W1052&amp;" lt. Liftbericht (Fach "&amp;X1052&amp;" Stk); ",IF(CB1052=1,"Gebinde geschätzt ("&amp;T1052&amp;"); ",IF(CA1052=1,"Lose – Tablare geschätzt; ","")))&amp;IF(H1052&gt;AW1052,"Überbestand "&amp;ROUND(H1052-AW1052,0)&amp;" Stk / CHF "&amp;ROUND((H1052-AW1052)*G1052,0)&amp;"; ","")&amp;IF(AND(CI1052=1,CJ1052&lt;CK1052),"MAX &lt; MB+LG; ","")&amp;IF(AND(CQ1052&gt;0,CP1052*10&gt;CQ1052),"zu hoch für Tablar; ","")&amp;IF(AND(BW1052=0,OR(CI1052=1,AB1052&lt;&gt;"",U1052&lt;&gt;"",V1052&lt;&gt;"",AC1052&lt;&gt;"")),"manuell übersteuert; ","")&amp;IF(AND(CA1052=0,R1052=0),"Gebinde unbekannt / Stellmass fehlt; ","")&amp;IF(AND(CA1052=0,N(V1052)&lt;=0,N(Q1052)&lt;=0),"Menge pro Gebinde fehlt (Ist = 1 Gebinde); ","")&amp;BV1052)</f>
        <v>negativer Bestand (Export -1); Kein Verbrauch; Überbestand 7 Stk / CHF 1021; </v>
      </c>
      <c r="BO1052" s="60"/>
      <c r="BP1052" s="60"/>
      <c r="BQ1052" s="67"/>
      <c r="BR1052" s="62" t="n">
        <v>-1</v>
      </c>
      <c r="BS1052" s="62" t="n">
        <v>9</v>
      </c>
      <c r="BT1052" s="61" t="n">
        <v>-145.85</v>
      </c>
      <c r="BU1052" s="62" t="n">
        <v>0</v>
      </c>
      <c r="BV1052" s="60"/>
      <c r="BW1052" s="65" t="n">
        <v>0</v>
      </c>
      <c r="BX1052" s="65" t="n">
        <v>1052</v>
      </c>
      <c r="BY1052" s="60" t="str">
        <f aca="false">IF(U1052&lt;&gt;"",UPPER(TRIM(U1052)),IF(CB1052=1,UPPER(VLOOKUP(T1052,Parameter!$I$27:$K$29,2,0)),IF(P1052="","LOSE",P1052)))</f>
        <v>S51</v>
      </c>
      <c r="BZ1052" s="62" t="n">
        <f aca="false">IF(BY1052="LOSE",1,IF(N(V1052)&gt;0,V1052,IF(CB1052=1,MAX(1,N(VLOOKUP(T1052,Parameter!$I$27:$K$29,3,0)),H1052,N(N1052)),IF(N(Q1052)&gt;0,Q1052,MAX(1,H1052)))))</f>
        <v>3</v>
      </c>
      <c r="CA1052" s="65" t="n">
        <f aca="false">IF(BY1052="LOSE",1,0)</f>
        <v>0</v>
      </c>
      <c r="CB1052" s="65" t="n">
        <f aca="false">IF(AND(U1052="",OR(P1052="",P1052="LOSE"),T1052&lt;&gt;"",N(S1052)&lt;=0,ISNUMBER(MATCH(T1052,Parameter!$I$27:$I$29,0))),1,0)</f>
        <v>0</v>
      </c>
      <c r="CC1052" s="65" t="n">
        <f aca="false">IF(CR1052&gt;0,INDEX(Parameter!$H$5:$H$7,W1052)/INDEX(Parameter!$E$5:$E$7,W1052),IF(AND(CA1052=0,N(IFERROR(VLOOKUP(BY1052,'Gebinde-Kategorie'!$A$5:$N$45,14,0),0))&gt;0),VLOOKUP(BY1052,'Gebinde-Kategorie'!$A$5:$N$45,14,0)*10+Parameter!$M$23,Parameter!$M$24))</f>
        <v>155</v>
      </c>
      <c r="CD1052" s="60" t="str">
        <f aca="false">IF(AND(Parameter!$B$19="Ja",E1052&lt;&gt;"",ISNUMBER(MATCH(E1052,Parameter!$I$35:$I$52,0))),VLOOKUP(E1052,Parameter!$I$35:$J$52,2,0),IFERROR(VLOOKUP(D1052,Parameter!$A$35:$C$64,2,0),"Nein"))</f>
        <v>2+3</v>
      </c>
      <c r="CE1052" s="64" t="n">
        <f aca="false">IF(CA1052=0,0,IF(N(S1052)&gt;0,S1052,IFERROR(VLOOKUP(D1052,Parameter!$A$35:$C$64,3,0)+0,0)))</f>
        <v>0</v>
      </c>
      <c r="CF1052" s="60" t="n">
        <f aca="false">IF(AB1052&lt;&gt;"",AB1052,AA1052)</f>
        <v>3</v>
      </c>
      <c r="CG1052" s="60" t="str">
        <f aca="false">IF(OR(CF1052=1,CF1052=2,CF1052=3),IF(Parameter!$E$27="Ja","LIFT",IF(CF1052=1,"L1","L23")),IF(CF1052="Aussen","Aussen","-"))</f>
        <v>LIFT</v>
      </c>
      <c r="CH1052" s="71" t="n">
        <f aca="false">IF(N(AC1052)&gt;0,AC1052,0)</f>
        <v>0</v>
      </c>
      <c r="CI1052" s="65" t="n">
        <f aca="false">IF(ISNUMBER(AF1052),1,0)</f>
        <v>0</v>
      </c>
      <c r="CJ1052" s="62" t="n">
        <f aca="false">N(AF1052)</f>
        <v>0</v>
      </c>
      <c r="CK1052" s="62" t="n">
        <f aca="false">N(M1052)+N(N1052)</f>
        <v>1</v>
      </c>
      <c r="CL1052" s="62" t="n">
        <f aca="false">N(M1052)</f>
        <v>0</v>
      </c>
      <c r="CM1052" s="62" t="n">
        <f aca="false">N(N1052)</f>
        <v>1</v>
      </c>
      <c r="CN1052" s="62" t="n">
        <f aca="false">ROUNDUP(H1052/BZ1052,0)</f>
        <v>3</v>
      </c>
      <c r="CO1052" s="62" t="n">
        <f aca="false">ROUNDUP(CJ1052/BZ1052,0)</f>
        <v>0</v>
      </c>
      <c r="CP1052" s="65" t="n">
        <f aca="false">IF(CA1052=1,0,IFERROR(VLOOKUP(BY1052,'Gebinde-Kategorie'!$A$5:$N$45,5,0)+0,0))</f>
        <v>11</v>
      </c>
      <c r="CQ1052" s="65" t="n">
        <f aca="false">IFERROR(IF(OR(CF1052=1,CF1052=2,CF1052=3),N(INDEX(Parameter!$I$5:$I$7,CF1052)),0),0)</f>
        <v>0</v>
      </c>
      <c r="CR1052" s="64" t="n">
        <f aca="false">IF(AND(Parameter!$B$21="Ja",ISNUMBER(W1052),N(X1052)&gt;0),IFERROR(N(INDEX(Parameter!$L$5:$L$7,W1052))*INDEX(Parameter!$E$5:$E$7,W1052)*X1052/SUMIFS($X$7:$X$1843,$W$7:$W$1843,W1052),0),0)</f>
        <v>0</v>
      </c>
      <c r="CS1052" s="62" t="n">
        <f aca="false">IF(AND(OR(CG1052="L1",CG1052="L23",CG1052="LIFT"),H1052&gt;0),CC1052*IF(CR1052&gt;0,CR1052*MAX(1,H1052/X1052),IF(CA1052=1,CE1052,IF(R1052&gt;0,CN1052/R1052,0))/MAX(0.1,N(Parameter!$M$21))),"")</f>
        <v>17.8846153846154</v>
      </c>
      <c r="CT1052" s="64" t="n">
        <f aca="false">IF(CS1052="","",J1052/H1052)</f>
        <v>0</v>
      </c>
      <c r="CU1052" s="62" t="n">
        <f aca="false">IF(CS1052="","",H1052*G1052)</f>
        <v>1166.8</v>
      </c>
      <c r="CV1052" s="63" t="n">
        <f aca="false">IF(CS1052="","",(CL1052+ROUNDUP(CL1052+MAX(CM1052,2*(J1052/MAX(0.1,N(Einkauf!$C$6))-CL1052)),0))/2)</f>
        <v>0.5</v>
      </c>
      <c r="CW1052" s="62" t="n">
        <f aca="false">IF(CS1052="","",MAX(0,H1052-CV1052)*G1052)</f>
        <v>1093.875</v>
      </c>
      <c r="CX1052" s="62" t="n">
        <f aca="false">IF(CS1052="","",CS1052*MAX(0,1-CV1052/H1052))</f>
        <v>16.7668269230769</v>
      </c>
      <c r="CY1052" s="64" t="n">
        <f aca="false">IF(CS1052="","",PERCENTRANK($CS$7:$CS$1843,CS1052)+PERCENTRANK($CU$7:$CU$1843,CU1052)+1-PERCENTRANK($CT$7:$CT$1843,CT1052))</f>
        <v>2.436</v>
      </c>
      <c r="CZ1052" s="72" t="n">
        <f aca="false">IF(CS1052="","",CHOOSE(MATCH(Einkauf!$C$5,Parameter!$G$23:$G$27,0),CY1052,CS1052,CU1052,-CT1052,CW1052)+ROW()/1000000000)</f>
        <v>2.436001052</v>
      </c>
    </row>
    <row r="1053" customFormat="false" ht="15" hidden="false" customHeight="false" outlineLevel="0" collapsed="false">
      <c r="A1053" s="60" t="s">
        <v>1968</v>
      </c>
      <c r="B1053" s="60" t="s">
        <v>1596</v>
      </c>
      <c r="C1053" s="60" t="s">
        <v>206</v>
      </c>
      <c r="D1053" s="60" t="s">
        <v>215</v>
      </c>
      <c r="E1053" s="60" t="s">
        <v>507</v>
      </c>
      <c r="F1053" s="60" t="s">
        <v>260</v>
      </c>
      <c r="G1053" s="61" t="n">
        <v>4.63</v>
      </c>
      <c r="H1053" s="62" t="n">
        <f aca="false">MAX(0,IF(AND(Parameter!$B$21="Ja",ISNUMBER(Y1053)),Y1053,IF(Parameter!$B$20="Jahresanfang 2025 + Export",BS1053+BR1053,BR1053)))</f>
        <v>118</v>
      </c>
      <c r="I1053" s="62" t="n">
        <f aca="false">H1053*G1053</f>
        <v>546.34</v>
      </c>
      <c r="J1053" s="62" t="n">
        <f aca="false">BU1053*Parameter!$B$18</f>
        <v>131</v>
      </c>
      <c r="K1053" s="63" t="n">
        <v>155</v>
      </c>
      <c r="L1053" s="64" t="n">
        <v>0.845161290322581</v>
      </c>
      <c r="M1053" s="62" t="n">
        <v>7</v>
      </c>
      <c r="N1053" s="62" t="n">
        <v>135</v>
      </c>
      <c r="O1053" s="65" t="n">
        <v>21</v>
      </c>
      <c r="P1053" s="60" t="s">
        <v>210</v>
      </c>
      <c r="Q1053" s="62"/>
      <c r="R1053" s="65" t="n">
        <f aca="false">IF(CA1053=1,0,IFERROR(VLOOKUP(BY1053,'Gebinde-Kategorie'!$A$5:$N$45,13,0)+0,0))</f>
        <v>4</v>
      </c>
      <c r="S1053" s="66"/>
      <c r="T1053" s="67" t="s">
        <v>231</v>
      </c>
      <c r="U1053" s="67"/>
      <c r="V1053" s="67"/>
      <c r="W1053" s="60"/>
      <c r="X1053" s="62"/>
      <c r="Y1053" s="62"/>
      <c r="Z1053" s="60"/>
      <c r="AA1053" s="60" t="str">
        <f aca="false">IF(A1053="","",IF(AND(Parameter!$B$21="Ja",ISNUMBER(W1053)),W1053,IF(AND(Parameter!$E$27="Ja",ISNUMBER(Z1053),CD1053&lt;&gt;"Nein"),Z1053,IF(CD1053="2+3",IF(ISNUMBER(SEARCH("grosser Artikel",BV1053)),2,IFERROR(VLOOKUP(BY1053,Parameter!$F$35:$G$64,2,0),2)),IF(OR(CD1053="Nein",CD1053=""),"-",CD1053)))))</f>
        <v>-</v>
      </c>
      <c r="AB1053" s="67"/>
      <c r="AC1053" s="68"/>
      <c r="AD1053" s="62" t="n">
        <f aca="false">AW1053</f>
        <v>142</v>
      </c>
      <c r="AE1053" s="62" t="n">
        <f aca="false">MAX(AW1053,H1053)</f>
        <v>142</v>
      </c>
      <c r="AF1053" s="69"/>
      <c r="AG1053" s="62" t="n">
        <f aca="false">IF(LEFT(Cockpit!$C$5,1)="A",H1053,IF(Parameter!$E$30="MAX-Bestand",IF(CI1053=1,CJ1053,IF(LEFT(Cockpit!$C$5,1)="B",AM1053,MAX(AM1053,H1053))),ROUNDUP(AK1053,0)))</f>
        <v>118</v>
      </c>
      <c r="AH1053" s="62" t="n">
        <f aca="false">IF(CA1053=1,0,ROUNDUP(AG1053/BZ1053,0))</f>
        <v>1</v>
      </c>
      <c r="AI1053" s="64" t="n">
        <f aca="false">IF(CR1053&gt;0,CR1053*MAX(1,AG1053/X1053),IF(CA1053=1,IF(AG1053&lt;=0,0,CE1053*MAX(1,IF(H1053&gt;0,AG1053/H1053,1))),IF(R1053&gt;0,AH1053/R1053,0))/MAX(0.1,N(Parameter!$M$21)))</f>
        <v>0.25</v>
      </c>
      <c r="AJ1053" s="62" t="n">
        <f aca="false">AI1053*CC1053</f>
        <v>58.75</v>
      </c>
      <c r="AK1053" s="63" t="n">
        <f aca="false">IF(LEFT(Cockpit!$C$5,1)="A",H1053,IF(CI1053=1,(CL1053+CJ1053)/2,IF(LEFT(Cockpit!$C$5,1)="B",(CL1053+AM1053)/2,MAX((CL1053+AM1053)/2,H1053))))</f>
        <v>118</v>
      </c>
      <c r="AL1053" s="62" t="n">
        <f aca="false">AK1053*G1053</f>
        <v>546.34</v>
      </c>
      <c r="AM1053" s="62" t="n">
        <f aca="false">ROUNDUP(CL1053+MAX(CM1053,2*(J1053/IF(CH1053&gt;0,CH1053,MAX(0.1,N(Cockpit!$C$6)))-CL1053)),0)</f>
        <v>142</v>
      </c>
      <c r="AN1053" s="63" t="n">
        <f aca="false">IF(AJ1053&gt;0,J1053/AJ1053,-1)</f>
        <v>2.22978723404255</v>
      </c>
      <c r="AO1053" s="63" t="str">
        <f aca="false">IF(AND(OR(CG1053="L1",CG1053="L23",CG1053="LIFT"),AJ1053&gt;0),SUMIFS($AJ$7:$AJ$1843,$CG$7:$CG$1843,CG1053,$AN$7:$AN$1843,"&gt;"&amp;AN1053)+SUMIFS($AJ$7:$AJ$1843,$CG$7:$CG$1843,CG1053,$AN$7:$AN$1843,AN1053,$BX$7:$BX$1843,"&lt;="&amp;BX1053),"")</f>
        <v/>
      </c>
      <c r="AP1053" s="70" t="n">
        <f aca="false">IF(AO1053="",0,MAX(0,MIN(1,(IF(CG1053="L1",Parameter!$H$5,IF(CG1053="L23",Parameter!$H$6+Parameter!$H$7,Parameter!$H$5+Parameter!$H$6+Parameter!$H$7))-(AO1053-AJ1053))/AJ1053)))</f>
        <v>0</v>
      </c>
      <c r="AQ1053" s="62" t="n">
        <f aca="false">IF(LEFT(Cockpit!$I$5,1)="A",H1053,IF(Parameter!$E$30="MAX-Bestand",IF(CI1053=1,CJ1053,IF(LEFT(Cockpit!$I$5,1)="B",AW1053,MAX(AW1053,H1053))),ROUNDUP(AU1053,0)))</f>
        <v>118</v>
      </c>
      <c r="AR1053" s="62" t="n">
        <f aca="false">IF(CA1053=1,0,ROUNDUP(AQ1053/BZ1053,0))</f>
        <v>1</v>
      </c>
      <c r="AS1053" s="64" t="n">
        <f aca="false">IF(CR1053&gt;0,CR1053*MAX(1,AQ1053/X1053),IF(CA1053=1,IF(AQ1053&lt;=0,0,CE1053*MAX(1,IF(H1053&gt;0,AQ1053/H1053,1))),IF(R1053&gt;0,AR1053/R1053,0))/MAX(0.1,N(Parameter!$M$21)))</f>
        <v>0.25</v>
      </c>
      <c r="AT1053" s="62" t="n">
        <f aca="false">AS1053*CC1053</f>
        <v>58.75</v>
      </c>
      <c r="AU1053" s="63" t="n">
        <f aca="false">IF(LEFT(Cockpit!$I$5,1)="A",H1053,IF(CI1053=1,(CL1053+CJ1053)/2,IF(LEFT(Cockpit!$I$5,1)="B",(CL1053+AW1053)/2,MAX((CL1053+AW1053)/2,H1053))))</f>
        <v>118</v>
      </c>
      <c r="AV1053" s="62" t="n">
        <f aca="false">AU1053*G1053</f>
        <v>546.34</v>
      </c>
      <c r="AW1053" s="62" t="n">
        <f aca="false">ROUNDUP(CL1053+MAX(CM1053,2*(J1053/IF(CH1053&gt;0,CH1053,MAX(0.1,N(Cockpit!$I$6)))-CL1053)),0)</f>
        <v>142</v>
      </c>
      <c r="AX1053" s="63" t="n">
        <f aca="false">IF(AT1053&gt;0,J1053/AT1053,-1)</f>
        <v>2.22978723404255</v>
      </c>
      <c r="AY1053" s="63" t="str">
        <f aca="false">IF(AND(OR(CG1053="L1",CG1053="L23",CG1053="LIFT"),AT1053&gt;0),SUMIFS($AT$7:$AT$1843,$CG$7:$CG$1843,CG1053,$AX$7:$AX$1843,"&gt;"&amp;AX1053)+SUMIFS($AT$7:$AT$1843,$CG$7:$CG$1843,CG1053,$AX$7:$AX$1843,AX1053,$BX$7:$BX$1843,"&lt;="&amp;BX1053),"")</f>
        <v/>
      </c>
      <c r="AZ1053" s="70" t="n">
        <f aca="false">IF(AY1053="",0,MAX(0,MIN(1,(IF(CG1053="L1",Parameter!$H$5,IF(CG1053="L23",Parameter!$H$6+Parameter!$H$7,Parameter!$H$5+Parameter!$H$6+Parameter!$H$7))-(AY1053-AT1053))/AT1053)))</f>
        <v>0</v>
      </c>
      <c r="BA1053" s="62" t="n">
        <f aca="false">IF(LEFT(Cockpit!$O$5,1)="A",H1053,IF(Parameter!$E$30="MAX-Bestand",IF(CI1053=1,CJ1053,IF(LEFT(Cockpit!$O$5,1)="B",BG1053,MAX(BG1053,H1053))),ROUNDUP(BE1053,0)))</f>
        <v>75</v>
      </c>
      <c r="BB1053" s="62" t="n">
        <f aca="false">IF(CA1053=1,0,ROUNDUP(BA1053/BZ1053,0))</f>
        <v>1</v>
      </c>
      <c r="BC1053" s="64" t="n">
        <f aca="false">IF(CR1053&gt;0,CR1053*MAX(1,BA1053/X1053),IF(CA1053=1,IF(BA1053&lt;=0,0,CE1053*MAX(1,IF(H1053&gt;0,BA1053/H1053,1))),IF(R1053&gt;0,BB1053/R1053,0))/MAX(0.1,N(Parameter!$M$21)))</f>
        <v>0.25</v>
      </c>
      <c r="BD1053" s="62" t="n">
        <f aca="false">BC1053*CC1053</f>
        <v>58.75</v>
      </c>
      <c r="BE1053" s="63" t="n">
        <f aca="false">IF(LEFT(Cockpit!$O$5,1)="A",H1053,IF(CI1053=1,(CL1053+CJ1053)/2,IF(LEFT(Cockpit!$O$5,1)="B",(CL1053+BG1053)/2,MAX((CL1053+BG1053)/2,H1053))))</f>
        <v>74.5</v>
      </c>
      <c r="BF1053" s="62" t="n">
        <f aca="false">BE1053*G1053</f>
        <v>344.935</v>
      </c>
      <c r="BG1053" s="62" t="n">
        <f aca="false">ROUNDUP(CL1053+MAX(CM1053,2*(J1053/IF(CH1053&gt;0,CH1053,MAX(0.1,N(Cockpit!$O$6)))-CL1053)),0)</f>
        <v>142</v>
      </c>
      <c r="BH1053" s="63" t="n">
        <f aca="false">IF(BD1053&gt;0,J1053/BD1053,-1)</f>
        <v>2.22978723404255</v>
      </c>
      <c r="BI1053" s="63" t="str">
        <f aca="false">IF(AND(OR(CG1053="L1",CG1053="L23",CG1053="LIFT"),BD1053&gt;0),SUMIFS($BD$7:$BD$1843,$CG$7:$CG$1843,CG1053,$BH$7:$BH$1843,"&gt;"&amp;BH1053)+SUMIFS($BD$7:$BD$1843,$CG$7:$CG$1843,CG1053,$BH$7:$BH$1843,BH1053,$BX$7:$BX$1843,"&lt;="&amp;BX1053),"")</f>
        <v/>
      </c>
      <c r="BJ1053" s="70" t="n">
        <f aca="false">IF(BI1053="",0,MAX(0,MIN(1,(IF(CG1053="L1",Parameter!$H$5,IF(CG1053="L23",Parameter!$H$6+Parameter!$H$7,Parameter!$H$5+Parameter!$H$6+Parameter!$H$7))-(BI1053-BD1053))/BD1053)))</f>
        <v>0</v>
      </c>
      <c r="BK1053" s="60" t="str">
        <f aca="false">IF(AJ1053&lt;=0,"",IF(CG1053="Aussen","Aussenlager",IF(CG1053="-","Nicht im Lift",IF(AP1053&gt;=1,"Lift",IF(AP1053&lt;=0,"Aussenlager","teilweise")))))</f>
        <v>Nicht im Lift</v>
      </c>
      <c r="BL1053" s="60" t="str">
        <f aca="false">IF(AT1053&lt;=0,"",IF(CG1053="Aussen","Aussenlager",IF(CG1053="-","Nicht im Lift",IF(AZ1053&gt;=1,"Lift",IF(AZ1053&lt;=0,"Aussenlager","teilweise")))))</f>
        <v>Nicht im Lift</v>
      </c>
      <c r="BM1053" s="60" t="str">
        <f aca="false">IF(BD1053&lt;=0,"",IF(CG1053="Aussen","Aussenlager",IF(CG1053="-","Nicht im Lift",IF(BJ1053&gt;=1,"Lift",IF(BJ1053&lt;=0,"Aussenlager","teilweise")))))</f>
        <v>Nicht im Lift</v>
      </c>
      <c r="BN1053" s="60" t="str">
        <f aca="false">IF(A1053="","",IF(BW1053=1,"Neu; ","")&amp;IF(AND(BW1053=0,BR1053&lt;0),"negativer Bestand (Export "&amp;BR1053&amp;"); ","")&amp;IF(J1053&lt;=0,"Kein Verbrauch; ","")&amp;IF(CR1053&gt;0,"Lift "&amp;W1053&amp;" lt. Liftbericht (Fach "&amp;X1053&amp;" Stk); ",IF(CB1053=1,"Gebinde geschätzt ("&amp;T1053&amp;"); ",IF(CA1053=1,"Lose – Tablare geschätzt; ","")))&amp;IF(H1053&gt;AW1053,"Überbestand "&amp;ROUND(H1053-AW1053,0)&amp;" Stk / CHF "&amp;ROUND((H1053-AW1053)*G1053,0)&amp;"; ","")&amp;IF(AND(CI1053=1,CJ1053&lt;CK1053),"MAX &lt; MB+LG; ","")&amp;IF(AND(CQ1053&gt;0,CP1053*10&gt;CQ1053),"zu hoch für Tablar; ","")&amp;IF(AND(BW1053=0,OR(CI1053=1,AB1053&lt;&gt;"",U1053&lt;&gt;"",V1053&lt;&gt;"",AC1053&lt;&gt;"")),"manuell übersteuert; ","")&amp;IF(AND(CA1053=0,R1053=0),"Gebinde unbekannt / Stellmass fehlt; ","")&amp;IF(AND(CA1053=0,N(V1053)&lt;=0,N(Q1053)&lt;=0),"Menge pro Gebinde fehlt (Ist = 1 Gebinde); ","")&amp;BV1053)</f>
        <v>negativer Bestand (Export -35); Gebinde geschätzt (Gross); Menge pro Gebinde fehlt (Ist = 1 Gebinde); </v>
      </c>
      <c r="BO1053" s="60"/>
      <c r="BP1053" s="60"/>
      <c r="BQ1053" s="67"/>
      <c r="BR1053" s="62" t="n">
        <v>-35</v>
      </c>
      <c r="BS1053" s="62" t="n">
        <v>153</v>
      </c>
      <c r="BT1053" s="61" t="n">
        <v>-146.750000000001</v>
      </c>
      <c r="BU1053" s="62" t="n">
        <v>131</v>
      </c>
      <c r="BV1053" s="60"/>
      <c r="BW1053" s="65" t="n">
        <v>0</v>
      </c>
      <c r="BX1053" s="65" t="n">
        <v>1053</v>
      </c>
      <c r="BY1053" s="60" t="str">
        <f aca="false">IF(U1053&lt;&gt;"",UPPER(TRIM(U1053)),IF(CB1053=1,UPPER(VLOOKUP(T1053,Parameter!$I$27:$K$29,2,0)),IF(P1053="","LOSE",P1053)))</f>
        <v>S81</v>
      </c>
      <c r="BZ1053" s="62" t="n">
        <f aca="false">IF(BY1053="LOSE",1,IF(N(V1053)&gt;0,V1053,IF(CB1053=1,MAX(1,N(VLOOKUP(T1053,Parameter!$I$27:$K$29,3,0)),H1053,N(N1053)),IF(N(Q1053)&gt;0,Q1053,MAX(1,H1053)))))</f>
        <v>135</v>
      </c>
      <c r="CA1053" s="65" t="n">
        <f aca="false">IF(BY1053="LOSE",1,0)</f>
        <v>0</v>
      </c>
      <c r="CB1053" s="65" t="n">
        <f aca="false">IF(AND(U1053="",OR(P1053="",P1053="LOSE"),T1053&lt;&gt;"",N(S1053)&lt;=0,ISNUMBER(MATCH(T1053,Parameter!$I$27:$I$29,0))),1,0)</f>
        <v>1</v>
      </c>
      <c r="CC1053" s="65" t="n">
        <f aca="false">IF(CR1053&gt;0,INDEX(Parameter!$H$5:$H$7,W1053)/INDEX(Parameter!$E$5:$E$7,W1053),IF(AND(CA1053=0,N(IFERROR(VLOOKUP(BY1053,'Gebinde-Kategorie'!$A$5:$N$45,14,0),0))&gt;0),VLOOKUP(BY1053,'Gebinde-Kategorie'!$A$5:$N$45,14,0)*10+Parameter!$M$23,Parameter!$M$24))</f>
        <v>235</v>
      </c>
      <c r="CD1053" s="60" t="str">
        <f aca="false">IF(AND(Parameter!$B$19="Ja",E1053&lt;&gt;"",ISNUMBER(MATCH(E1053,Parameter!$I$35:$I$52,0))),VLOOKUP(E1053,Parameter!$I$35:$J$52,2,0),IFERROR(VLOOKUP(D1053,Parameter!$A$35:$C$64,2,0),"Nein"))</f>
        <v>Nein</v>
      </c>
      <c r="CE1053" s="64" t="n">
        <f aca="false">IF(CA1053=0,0,IF(N(S1053)&gt;0,S1053,IFERROR(VLOOKUP(D1053,Parameter!$A$35:$C$64,3,0)+0,0)))</f>
        <v>0</v>
      </c>
      <c r="CF1053" s="60" t="str">
        <f aca="false">IF(AB1053&lt;&gt;"",AB1053,AA1053)</f>
        <v>-</v>
      </c>
      <c r="CG1053" s="60" t="str">
        <f aca="false">IF(OR(CF1053=1,CF1053=2,CF1053=3),IF(Parameter!$E$27="Ja","LIFT",IF(CF1053=1,"L1","L23")),IF(CF1053="Aussen","Aussen","-"))</f>
        <v>-</v>
      </c>
      <c r="CH1053" s="71" t="n">
        <f aca="false">IF(N(AC1053)&gt;0,AC1053,0)</f>
        <v>0</v>
      </c>
      <c r="CI1053" s="65" t="n">
        <f aca="false">IF(ISNUMBER(AF1053),1,0)</f>
        <v>0</v>
      </c>
      <c r="CJ1053" s="62" t="n">
        <f aca="false">N(AF1053)</f>
        <v>0</v>
      </c>
      <c r="CK1053" s="62" t="n">
        <f aca="false">N(M1053)+N(N1053)</f>
        <v>142</v>
      </c>
      <c r="CL1053" s="62" t="n">
        <f aca="false">N(M1053)</f>
        <v>7</v>
      </c>
      <c r="CM1053" s="62" t="n">
        <f aca="false">N(N1053)</f>
        <v>135</v>
      </c>
      <c r="CN1053" s="62" t="n">
        <f aca="false">ROUNDUP(H1053/BZ1053,0)</f>
        <v>1</v>
      </c>
      <c r="CO1053" s="62" t="n">
        <f aca="false">ROUNDUP(CJ1053/BZ1053,0)</f>
        <v>0</v>
      </c>
      <c r="CP1053" s="65" t="n">
        <f aca="false">IF(CA1053=1,0,IFERROR(VLOOKUP(BY1053,'Gebinde-Kategorie'!$A$5:$N$45,5,0)+0,0))</f>
        <v>20</v>
      </c>
      <c r="CQ1053" s="65" t="n">
        <f aca="false">IFERROR(IF(OR(CF1053=1,CF1053=2,CF1053=3),N(INDEX(Parameter!$I$5:$I$7,CF1053)),0),0)</f>
        <v>0</v>
      </c>
      <c r="CR1053" s="64" t="n">
        <f aca="false">IF(AND(Parameter!$B$21="Ja",ISNUMBER(W1053),N(X1053)&gt;0),IFERROR(N(INDEX(Parameter!$L$5:$L$7,W1053))*INDEX(Parameter!$E$5:$E$7,W1053)*X1053/SUMIFS($X$7:$X$1843,$W$7:$W$1843,W1053),0),0)</f>
        <v>0</v>
      </c>
      <c r="CS1053" s="62" t="str">
        <f aca="false">IF(AND(OR(CG1053="L1",CG1053="L23",CG1053="LIFT"),H1053&gt;0),CC1053*IF(CR1053&gt;0,CR1053*MAX(1,H1053/X1053),IF(CA1053=1,CE1053,IF(R1053&gt;0,CN1053/R1053,0))/MAX(0.1,N(Parameter!$M$21))),"")</f>
        <v/>
      </c>
      <c r="CT1053" s="64" t="str">
        <f aca="false">IF(CS1053="","",J1053/H1053)</f>
        <v/>
      </c>
      <c r="CU1053" s="62" t="str">
        <f aca="false">IF(CS1053="","",H1053*G1053)</f>
        <v/>
      </c>
      <c r="CV1053" s="63" t="str">
        <f aca="false">IF(CS1053="","",(CL1053+ROUNDUP(CL1053+MAX(CM1053,2*(J1053/MAX(0.1,N(Einkauf!$C$6))-CL1053)),0))/2)</f>
        <v/>
      </c>
      <c r="CW1053" s="62" t="str">
        <f aca="false">IF(CS1053="","",MAX(0,H1053-CV1053)*G1053)</f>
        <v/>
      </c>
      <c r="CX1053" s="62" t="str">
        <f aca="false">IF(CS1053="","",CS1053*MAX(0,1-CV1053/H1053))</f>
        <v/>
      </c>
      <c r="CY1053" s="64" t="str">
        <f aca="false">IF(CS1053="","",PERCENTRANK($CS$7:$CS$1843,CS1053)+PERCENTRANK($CU$7:$CU$1843,CU1053)+1-PERCENTRANK($CT$7:$CT$1843,CT1053))</f>
        <v/>
      </c>
      <c r="CZ1053" s="72" t="str">
        <f aca="false">IF(CS1053="","",CHOOSE(MATCH(Einkauf!$C$5,Parameter!$G$23:$G$27,0),CY1053,CS1053,CU1053,-CT1053,CW1053)+ROW()/1000000000)</f>
        <v/>
      </c>
    </row>
    <row r="1054" customFormat="false" ht="15" hidden="false" customHeight="false" outlineLevel="0" collapsed="false">
      <c r="A1054" s="60" t="s">
        <v>1969</v>
      </c>
      <c r="B1054" s="60" t="s">
        <v>1970</v>
      </c>
      <c r="C1054" s="60" t="s">
        <v>206</v>
      </c>
      <c r="D1054" s="60" t="s">
        <v>226</v>
      </c>
      <c r="E1054" s="60" t="s">
        <v>227</v>
      </c>
      <c r="F1054" s="60" t="s">
        <v>260</v>
      </c>
      <c r="G1054" s="61" t="n">
        <v>23.75</v>
      </c>
      <c r="H1054" s="62" t="n">
        <f aca="false">MAX(0,IF(AND(Parameter!$B$21="Ja",ISNUMBER(Y1054)),Y1054,IF(Parameter!$B$20="Jahresanfang 2025 + Export",BS1054+BR1054,BR1054)))</f>
        <v>2</v>
      </c>
      <c r="I1054" s="62" t="n">
        <f aca="false">H1054*G1054</f>
        <v>47.5</v>
      </c>
      <c r="J1054" s="62" t="n">
        <f aca="false">BU1054*Parameter!$B$18</f>
        <v>19</v>
      </c>
      <c r="K1054" s="63" t="n">
        <v>7</v>
      </c>
      <c r="L1054" s="64" t="n">
        <v>2.71428571428571</v>
      </c>
      <c r="M1054" s="62" t="n">
        <v>1</v>
      </c>
      <c r="N1054" s="62" t="n">
        <v>20</v>
      </c>
      <c r="O1054" s="65" t="n">
        <v>28</v>
      </c>
      <c r="P1054" s="60" t="s">
        <v>370</v>
      </c>
      <c r="Q1054" s="62" t="n">
        <v>9</v>
      </c>
      <c r="R1054" s="65" t="n">
        <f aca="false">IF(CA1054=1,0,IFERROR(VLOOKUP(BY1054,'Gebinde-Kategorie'!$A$5:$N$45,13,0)+0,0))</f>
        <v>52</v>
      </c>
      <c r="S1054" s="66"/>
      <c r="T1054" s="67"/>
      <c r="U1054" s="67"/>
      <c r="V1054" s="67"/>
      <c r="W1054" s="60"/>
      <c r="X1054" s="62"/>
      <c r="Y1054" s="62"/>
      <c r="Z1054" s="60" t="n">
        <v>3</v>
      </c>
      <c r="AA1054" s="60" t="n">
        <f aca="false">IF(A1054="","",IF(AND(Parameter!$B$21="Ja",ISNUMBER(W1054)),W1054,IF(AND(Parameter!$E$27="Ja",ISNUMBER(Z1054),CD1054&lt;&gt;"Nein"),Z1054,IF(CD1054="2+3",IF(ISNUMBER(SEARCH("grosser Artikel",BV1054)),2,IFERROR(VLOOKUP(BY1054,Parameter!$F$35:$G$64,2,0),2)),IF(OR(CD1054="Nein",CD1054=""),"-",CD1054)))))</f>
        <v>3</v>
      </c>
      <c r="AB1054" s="67"/>
      <c r="AC1054" s="68"/>
      <c r="AD1054" s="62" t="n">
        <f aca="false">AW1054</f>
        <v>21</v>
      </c>
      <c r="AE1054" s="62" t="n">
        <f aca="false">MAX(AW1054,H1054)</f>
        <v>21</v>
      </c>
      <c r="AF1054" s="69"/>
      <c r="AG1054" s="62" t="n">
        <f aca="false">IF(LEFT(Cockpit!$C$5,1)="A",H1054,IF(Parameter!$E$30="MAX-Bestand",IF(CI1054=1,CJ1054,IF(LEFT(Cockpit!$C$5,1)="B",AM1054,MAX(AM1054,H1054))),ROUNDUP(AK1054,0)))</f>
        <v>2</v>
      </c>
      <c r="AH1054" s="62" t="n">
        <f aca="false">IF(CA1054=1,0,ROUNDUP(AG1054/BZ1054,0))</f>
        <v>1</v>
      </c>
      <c r="AI1054" s="64" t="n">
        <f aca="false">IF(CR1054&gt;0,CR1054*MAX(1,AG1054/X1054),IF(CA1054=1,IF(AG1054&lt;=0,0,CE1054*MAX(1,IF(H1054&gt;0,AG1054/H1054,1))),IF(R1054&gt;0,AH1054/R1054,0))/MAX(0.1,N(Parameter!$M$21)))</f>
        <v>0.0192307692307692</v>
      </c>
      <c r="AJ1054" s="62" t="n">
        <f aca="false">AI1054*CC1054</f>
        <v>2.98076923076923</v>
      </c>
      <c r="AK1054" s="63" t="n">
        <f aca="false">IF(LEFT(Cockpit!$C$5,1)="A",H1054,IF(CI1054=1,(CL1054+CJ1054)/2,IF(LEFT(Cockpit!$C$5,1)="B",(CL1054+AM1054)/2,MAX((CL1054+AM1054)/2,H1054))))</f>
        <v>2</v>
      </c>
      <c r="AL1054" s="62" t="n">
        <f aca="false">AK1054*G1054</f>
        <v>47.5</v>
      </c>
      <c r="AM1054" s="62" t="n">
        <f aca="false">ROUNDUP(CL1054+MAX(CM1054,2*(J1054/IF(CH1054&gt;0,CH1054,MAX(0.1,N(Cockpit!$C$6)))-CL1054)),0)</f>
        <v>21</v>
      </c>
      <c r="AN1054" s="63" t="n">
        <f aca="false">IF(AJ1054&gt;0,J1054/AJ1054,-1)</f>
        <v>6.3741935483871</v>
      </c>
      <c r="AO1054" s="63" t="n">
        <f aca="false">IF(AND(OR(CG1054="L1",CG1054="L23",CG1054="LIFT"),AJ1054&gt;0),SUMIFS($AJ$7:$AJ$1843,$CG$7:$CG$1843,CG1054,$AN$7:$AN$1843,"&gt;"&amp;AN1054)+SUMIFS($AJ$7:$AJ$1843,$CG$7:$CG$1843,CG1054,$AN$7:$AN$1843,AN1054,$BX$7:$BX$1843,"&lt;="&amp;BX1054),"")</f>
        <v>3431.83562271062</v>
      </c>
      <c r="AP1054" s="70" t="n">
        <f aca="false">IF(AO1054="",0,MAX(0,MIN(1,(IF(CG1054="L1",Parameter!$H$5,IF(CG1054="L23",Parameter!$H$6+Parameter!$H$7,Parameter!$H$5+Parameter!$H$6+Parameter!$H$7))-(AO1054-AJ1054))/AJ1054)))</f>
        <v>1</v>
      </c>
      <c r="AQ1054" s="62" t="n">
        <f aca="false">IF(LEFT(Cockpit!$I$5,1)="A",H1054,IF(Parameter!$E$30="MAX-Bestand",IF(CI1054=1,CJ1054,IF(LEFT(Cockpit!$I$5,1)="B",AW1054,MAX(AW1054,H1054))),ROUNDUP(AU1054,0)))</f>
        <v>11</v>
      </c>
      <c r="AR1054" s="62" t="n">
        <f aca="false">IF(CA1054=1,0,ROUNDUP(AQ1054/BZ1054,0))</f>
        <v>2</v>
      </c>
      <c r="AS1054" s="64" t="n">
        <f aca="false">IF(CR1054&gt;0,CR1054*MAX(1,AQ1054/X1054),IF(CA1054=1,IF(AQ1054&lt;=0,0,CE1054*MAX(1,IF(H1054&gt;0,AQ1054/H1054,1))),IF(R1054&gt;0,AR1054/R1054,0))/MAX(0.1,N(Parameter!$M$21)))</f>
        <v>0.0384615384615385</v>
      </c>
      <c r="AT1054" s="62" t="n">
        <f aca="false">AS1054*CC1054</f>
        <v>5.96153846153846</v>
      </c>
      <c r="AU1054" s="63" t="n">
        <f aca="false">IF(LEFT(Cockpit!$I$5,1)="A",H1054,IF(CI1054=1,(CL1054+CJ1054)/2,IF(LEFT(Cockpit!$I$5,1)="B",(CL1054+AW1054)/2,MAX((CL1054+AW1054)/2,H1054))))</f>
        <v>11</v>
      </c>
      <c r="AV1054" s="62" t="n">
        <f aca="false">AU1054*G1054</f>
        <v>261.25</v>
      </c>
      <c r="AW1054" s="62" t="n">
        <f aca="false">ROUNDUP(CL1054+MAX(CM1054,2*(J1054/IF(CH1054&gt;0,CH1054,MAX(0.1,N(Cockpit!$I$6)))-CL1054)),0)</f>
        <v>21</v>
      </c>
      <c r="AX1054" s="63" t="n">
        <f aca="false">IF(AT1054&gt;0,J1054/AT1054,-1)</f>
        <v>3.18709677419355</v>
      </c>
      <c r="AY1054" s="63" t="n">
        <f aca="false">IF(AND(OR(CG1054="L1",CG1054="L23",CG1054="LIFT"),AT1054&gt;0),SUMIFS($AT$7:$AT$1843,$CG$7:$CG$1843,CG1054,$AX$7:$AX$1843,"&gt;"&amp;AX1054)+SUMIFS($AT$7:$AT$1843,$CG$7:$CG$1843,CG1054,$AX$7:$AX$1843,AX1054,$BX$7:$BX$1843,"&lt;="&amp;BX1054),"")</f>
        <v>5690.33836996337</v>
      </c>
      <c r="AZ1054" s="70" t="n">
        <f aca="false">IF(AY1054="",0,MAX(0,MIN(1,(IF(CG1054="L1",Parameter!$H$5,IF(CG1054="L23",Parameter!$H$6+Parameter!$H$7,Parameter!$H$5+Parameter!$H$6+Parameter!$H$7))-(AY1054-AT1054))/AT1054)))</f>
        <v>1</v>
      </c>
      <c r="BA1054" s="62" t="n">
        <f aca="false">IF(LEFT(Cockpit!$O$5,1)="A",H1054,IF(Parameter!$E$30="MAX-Bestand",IF(CI1054=1,CJ1054,IF(LEFT(Cockpit!$O$5,1)="B",BG1054,MAX(BG1054,H1054))),ROUNDUP(BE1054,0)))</f>
        <v>11</v>
      </c>
      <c r="BB1054" s="62" t="n">
        <f aca="false">IF(CA1054=1,0,ROUNDUP(BA1054/BZ1054,0))</f>
        <v>2</v>
      </c>
      <c r="BC1054" s="64" t="n">
        <f aca="false">IF(CR1054&gt;0,CR1054*MAX(1,BA1054/X1054),IF(CA1054=1,IF(BA1054&lt;=0,0,CE1054*MAX(1,IF(H1054&gt;0,BA1054/H1054,1))),IF(R1054&gt;0,BB1054/R1054,0))/MAX(0.1,N(Parameter!$M$21)))</f>
        <v>0.0384615384615385</v>
      </c>
      <c r="BD1054" s="62" t="n">
        <f aca="false">BC1054*CC1054</f>
        <v>5.96153846153846</v>
      </c>
      <c r="BE1054" s="63" t="n">
        <f aca="false">IF(LEFT(Cockpit!$O$5,1)="A",H1054,IF(CI1054=1,(CL1054+CJ1054)/2,IF(LEFT(Cockpit!$O$5,1)="B",(CL1054+BG1054)/2,MAX((CL1054+BG1054)/2,H1054))))</f>
        <v>11</v>
      </c>
      <c r="BF1054" s="62" t="n">
        <f aca="false">BE1054*G1054</f>
        <v>261.25</v>
      </c>
      <c r="BG1054" s="62" t="n">
        <f aca="false">ROUNDUP(CL1054+MAX(CM1054,2*(J1054/IF(CH1054&gt;0,CH1054,MAX(0.1,N(Cockpit!$O$6)))-CL1054)),0)</f>
        <v>21</v>
      </c>
      <c r="BH1054" s="63" t="n">
        <f aca="false">IF(BD1054&gt;0,J1054/BD1054,-1)</f>
        <v>3.18709677419355</v>
      </c>
      <c r="BI1054" s="63" t="n">
        <f aca="false">IF(AND(OR(CG1054="L1",CG1054="L23",CG1054="LIFT"),BD1054&gt;0),SUMIFS($BD$7:$BD$1843,$CG$7:$CG$1843,CG1054,$BH$7:$BH$1843,"&gt;"&amp;BH1054)+SUMIFS($BD$7:$BD$1843,$CG$7:$CG$1843,CG1054,$BH$7:$BH$1843,BH1054,$BX$7:$BX$1843,"&lt;="&amp;BX1054),"")</f>
        <v>4685.01144688645</v>
      </c>
      <c r="BJ1054" s="70" t="n">
        <f aca="false">IF(BI1054="",0,MAX(0,MIN(1,(IF(CG1054="L1",Parameter!$H$5,IF(CG1054="L23",Parameter!$H$6+Parameter!$H$7,Parameter!$H$5+Parameter!$H$6+Parameter!$H$7))-(BI1054-BD1054))/BD1054)))</f>
        <v>1</v>
      </c>
      <c r="BK1054" s="60" t="str">
        <f aca="false">IF(AJ1054&lt;=0,"",IF(CG1054="Aussen","Aussenlager",IF(CG1054="-","Nicht im Lift",IF(AP1054&gt;=1,"Lift",IF(AP1054&lt;=0,"Aussenlager","teilweise")))))</f>
        <v>Lift</v>
      </c>
      <c r="BL1054" s="60" t="str">
        <f aca="false">IF(AT1054&lt;=0,"",IF(CG1054="Aussen","Aussenlager",IF(CG1054="-","Nicht im Lift",IF(AZ1054&gt;=1,"Lift",IF(AZ1054&lt;=0,"Aussenlager","teilweise")))))</f>
        <v>Lift</v>
      </c>
      <c r="BM1054" s="60" t="str">
        <f aca="false">IF(BD1054&lt;=0,"",IF(CG1054="Aussen","Aussenlager",IF(CG1054="-","Nicht im Lift",IF(BJ1054&gt;=1,"Lift",IF(BJ1054&lt;=0,"Aussenlager","teilweise")))))</f>
        <v>Lift</v>
      </c>
      <c r="BN1054" s="60" t="str">
        <f aca="false">IF(A1054="","",IF(BW1054=1,"Neu; ","")&amp;IF(AND(BW1054=0,BR1054&lt;0),"negativer Bestand (Export "&amp;BR1054&amp;"); ","")&amp;IF(J1054&lt;=0,"Kein Verbrauch; ","")&amp;IF(CR1054&gt;0,"Lift "&amp;W1054&amp;" lt. Liftbericht (Fach "&amp;X1054&amp;" Stk); ",IF(CB1054=1,"Gebinde geschätzt ("&amp;T1054&amp;"); ",IF(CA1054=1,"Lose – Tablare geschätzt; ","")))&amp;IF(H1054&gt;AW1054,"Überbestand "&amp;ROUND(H1054-AW1054,0)&amp;" Stk / CHF "&amp;ROUND((H1054-AW1054)*G1054,0)&amp;"; ","")&amp;IF(AND(CI1054=1,CJ1054&lt;CK1054),"MAX &lt; MB+LG; ","")&amp;IF(AND(CQ1054&gt;0,CP1054*10&gt;CQ1054),"zu hoch für Tablar; ","")&amp;IF(AND(BW1054=0,OR(CI1054=1,AB1054&lt;&gt;"",U1054&lt;&gt;"",V1054&lt;&gt;"",AC1054&lt;&gt;"")),"manuell übersteuert; ","")&amp;IF(AND(CA1054=0,R1054=0),"Gebinde unbekannt / Stellmass fehlt; ","")&amp;IF(AND(CA1054=0,N(V1054)&lt;=0,N(Q1054)&lt;=0),"Menge pro Gebinde fehlt (Ist = 1 Gebinde); ","")&amp;BV1054)</f>
        <v>negativer Bestand (Export -7); Neu</v>
      </c>
      <c r="BO1054" s="60"/>
      <c r="BP1054" s="60"/>
      <c r="BQ1054" s="67"/>
      <c r="BR1054" s="62" t="n">
        <v>-7</v>
      </c>
      <c r="BS1054" s="62" t="n">
        <v>9</v>
      </c>
      <c r="BT1054" s="61" t="n">
        <v>-146.81</v>
      </c>
      <c r="BU1054" s="62" t="n">
        <v>19</v>
      </c>
      <c r="BV1054" s="60" t="s">
        <v>668</v>
      </c>
      <c r="BW1054" s="65" t="n">
        <v>0</v>
      </c>
      <c r="BX1054" s="65" t="n">
        <v>1054</v>
      </c>
      <c r="BY1054" s="60" t="str">
        <f aca="false">IF(U1054&lt;&gt;"",UPPER(TRIM(U1054)),IF(CB1054=1,UPPER(VLOOKUP(T1054,Parameter!$I$27:$K$29,2,0)),IF(P1054="","LOSE",P1054)))</f>
        <v>S41</v>
      </c>
      <c r="BZ1054" s="62" t="n">
        <f aca="false">IF(BY1054="LOSE",1,IF(N(V1054)&gt;0,V1054,IF(CB1054=1,MAX(1,N(VLOOKUP(T1054,Parameter!$I$27:$K$29,3,0)),H1054,N(N1054)),IF(N(Q1054)&gt;0,Q1054,MAX(1,H1054)))))</f>
        <v>9</v>
      </c>
      <c r="CA1054" s="65" t="n">
        <f aca="false">IF(BY1054="LOSE",1,0)</f>
        <v>0</v>
      </c>
      <c r="CB1054" s="65" t="n">
        <f aca="false">IF(AND(U1054="",OR(P1054="",P1054="LOSE"),T1054&lt;&gt;"",N(S1054)&lt;=0,ISNUMBER(MATCH(T1054,Parameter!$I$27:$I$29,0))),1,0)</f>
        <v>0</v>
      </c>
      <c r="CC1054" s="65" t="n">
        <f aca="false">IF(CR1054&gt;0,INDEX(Parameter!$H$5:$H$7,W1054)/INDEX(Parameter!$E$5:$E$7,W1054),IF(AND(CA1054=0,N(IFERROR(VLOOKUP(BY1054,'Gebinde-Kategorie'!$A$5:$N$45,14,0),0))&gt;0),VLOOKUP(BY1054,'Gebinde-Kategorie'!$A$5:$N$45,14,0)*10+Parameter!$M$23,Parameter!$M$24))</f>
        <v>155</v>
      </c>
      <c r="CD1054" s="60" t="str">
        <f aca="false">IF(AND(Parameter!$B$19="Ja",E1054&lt;&gt;"",ISNUMBER(MATCH(E1054,Parameter!$I$35:$I$52,0))),VLOOKUP(E1054,Parameter!$I$35:$J$52,2,0),IFERROR(VLOOKUP(D1054,Parameter!$A$35:$C$64,2,0),"Nein"))</f>
        <v>2+3</v>
      </c>
      <c r="CE1054" s="64" t="n">
        <f aca="false">IF(CA1054=0,0,IF(N(S1054)&gt;0,S1054,IFERROR(VLOOKUP(D1054,Parameter!$A$35:$C$64,3,0)+0,0)))</f>
        <v>0</v>
      </c>
      <c r="CF1054" s="60" t="n">
        <f aca="false">IF(AB1054&lt;&gt;"",AB1054,AA1054)</f>
        <v>3</v>
      </c>
      <c r="CG1054" s="60" t="str">
        <f aca="false">IF(OR(CF1054=1,CF1054=2,CF1054=3),IF(Parameter!$E$27="Ja","LIFT",IF(CF1054=1,"L1","L23")),IF(CF1054="Aussen","Aussen","-"))</f>
        <v>LIFT</v>
      </c>
      <c r="CH1054" s="71" t="n">
        <f aca="false">IF(N(AC1054)&gt;0,AC1054,0)</f>
        <v>0</v>
      </c>
      <c r="CI1054" s="65" t="n">
        <f aca="false">IF(ISNUMBER(AF1054),1,0)</f>
        <v>0</v>
      </c>
      <c r="CJ1054" s="62" t="n">
        <f aca="false">N(AF1054)</f>
        <v>0</v>
      </c>
      <c r="CK1054" s="62" t="n">
        <f aca="false">N(M1054)+N(N1054)</f>
        <v>21</v>
      </c>
      <c r="CL1054" s="62" t="n">
        <f aca="false">N(M1054)</f>
        <v>1</v>
      </c>
      <c r="CM1054" s="62" t="n">
        <f aca="false">N(N1054)</f>
        <v>20</v>
      </c>
      <c r="CN1054" s="62" t="n">
        <f aca="false">ROUNDUP(H1054/BZ1054,0)</f>
        <v>1</v>
      </c>
      <c r="CO1054" s="62" t="n">
        <f aca="false">ROUNDUP(CJ1054/BZ1054,0)</f>
        <v>0</v>
      </c>
      <c r="CP1054" s="65" t="n">
        <f aca="false">IF(CA1054=1,0,IFERROR(VLOOKUP(BY1054,'Gebinde-Kategorie'!$A$5:$N$45,5,0)+0,0))</f>
        <v>11</v>
      </c>
      <c r="CQ1054" s="65" t="n">
        <f aca="false">IFERROR(IF(OR(CF1054=1,CF1054=2,CF1054=3),N(INDEX(Parameter!$I$5:$I$7,CF1054)),0),0)</f>
        <v>0</v>
      </c>
      <c r="CR1054" s="64" t="n">
        <f aca="false">IF(AND(Parameter!$B$21="Ja",ISNUMBER(W1054),N(X1054)&gt;0),IFERROR(N(INDEX(Parameter!$L$5:$L$7,W1054))*INDEX(Parameter!$E$5:$E$7,W1054)*X1054/SUMIFS($X$7:$X$1843,$W$7:$W$1843,W1054),0),0)</f>
        <v>0</v>
      </c>
      <c r="CS1054" s="62" t="n">
        <f aca="false">IF(AND(OR(CG1054="L1",CG1054="L23",CG1054="LIFT"),H1054&gt;0),CC1054*IF(CR1054&gt;0,CR1054*MAX(1,H1054/X1054),IF(CA1054=1,CE1054,IF(R1054&gt;0,CN1054/R1054,0))/MAX(0.1,N(Parameter!$M$21))),"")</f>
        <v>2.98076923076923</v>
      </c>
      <c r="CT1054" s="64" t="n">
        <f aca="false">IF(CS1054="","",J1054/H1054)</f>
        <v>9.5</v>
      </c>
      <c r="CU1054" s="62" t="n">
        <f aca="false">IF(CS1054="","",H1054*G1054)</f>
        <v>47.5</v>
      </c>
      <c r="CV1054" s="63" t="n">
        <f aca="false">IF(CS1054="","",(CL1054+ROUNDUP(CL1054+MAX(CM1054,2*(J1054/MAX(0.1,N(Einkauf!$C$6))-CL1054)),0))/2)</f>
        <v>11</v>
      </c>
      <c r="CW1054" s="62" t="n">
        <f aca="false">IF(CS1054="","",MAX(0,H1054-CV1054)*G1054)</f>
        <v>0</v>
      </c>
      <c r="CX1054" s="62" t="n">
        <f aca="false">IF(CS1054="","",CS1054*MAX(0,1-CV1054/H1054))</f>
        <v>0</v>
      </c>
      <c r="CY1054" s="64" t="n">
        <f aca="false">IF(CS1054="","",PERCENTRANK($CS$7:$CS$1843,CS1054)+PERCENTRANK($CU$7:$CU$1843,CU1054)+1-PERCENTRANK($CT$7:$CT$1843,CT1054))</f>
        <v>0.367</v>
      </c>
      <c r="CZ1054" s="72" t="n">
        <f aca="false">IF(CS1054="","",CHOOSE(MATCH(Einkauf!$C$5,Parameter!$G$23:$G$27,0),CY1054,CS1054,CU1054,-CT1054,CW1054)+ROW()/1000000000)</f>
        <v>0.367001054</v>
      </c>
    </row>
    <row r="1055" customFormat="false" ht="15" hidden="false" customHeight="false" outlineLevel="0" collapsed="false">
      <c r="A1055" s="60" t="s">
        <v>1971</v>
      </c>
      <c r="B1055" s="60" t="s">
        <v>1972</v>
      </c>
      <c r="C1055" s="60" t="s">
        <v>498</v>
      </c>
      <c r="D1055" s="60" t="s">
        <v>215</v>
      </c>
      <c r="E1055" s="60" t="s">
        <v>1521</v>
      </c>
      <c r="F1055" s="60" t="s">
        <v>260</v>
      </c>
      <c r="G1055" s="61" t="n">
        <v>147.86</v>
      </c>
      <c r="H1055" s="62" t="n">
        <f aca="false">MAX(0,IF(AND(Parameter!$B$21="Ja",ISNUMBER(Y1055)),Y1055,IF(Parameter!$B$20="Jahresanfang 2025 + Export",BS1055+BR1055,BR1055)))</f>
        <v>0</v>
      </c>
      <c r="I1055" s="62" t="n">
        <f aca="false">H1055*G1055</f>
        <v>0</v>
      </c>
      <c r="J1055" s="62" t="n">
        <f aca="false">BU1055*Parameter!$B$18</f>
        <v>0</v>
      </c>
      <c r="K1055" s="63" t="n">
        <v>0.5</v>
      </c>
      <c r="L1055" s="64" t="n">
        <v>0</v>
      </c>
      <c r="M1055" s="62" t="n">
        <v>0</v>
      </c>
      <c r="N1055" s="62" t="n">
        <v>1</v>
      </c>
      <c r="O1055" s="65" t="n">
        <v>56</v>
      </c>
      <c r="P1055" s="60" t="s">
        <v>210</v>
      </c>
      <c r="Q1055" s="62"/>
      <c r="R1055" s="65" t="n">
        <f aca="false">IF(CA1055=1,0,IFERROR(VLOOKUP(BY1055,'Gebinde-Kategorie'!$A$5:$N$45,13,0)+0,0))</f>
        <v>4</v>
      </c>
      <c r="S1055" s="66"/>
      <c r="T1055" s="67" t="s">
        <v>231</v>
      </c>
      <c r="U1055" s="67"/>
      <c r="V1055" s="67"/>
      <c r="W1055" s="60"/>
      <c r="X1055" s="62"/>
      <c r="Y1055" s="62"/>
      <c r="Z1055" s="60"/>
      <c r="AA1055" s="60" t="str">
        <f aca="false">IF(A1055="","",IF(AND(Parameter!$B$21="Ja",ISNUMBER(W1055)),W1055,IF(AND(Parameter!$E$27="Ja",ISNUMBER(Z1055),CD1055&lt;&gt;"Nein"),Z1055,IF(CD1055="2+3",IF(ISNUMBER(SEARCH("grosser Artikel",BV1055)),2,IFERROR(VLOOKUP(BY1055,Parameter!$F$35:$G$64,2,0),2)),IF(OR(CD1055="Nein",CD1055=""),"-",CD1055)))))</f>
        <v>-</v>
      </c>
      <c r="AB1055" s="67"/>
      <c r="AC1055" s="68"/>
      <c r="AD1055" s="62" t="n">
        <f aca="false">AW1055</f>
        <v>1</v>
      </c>
      <c r="AE1055" s="62" t="n">
        <f aca="false">MAX(AW1055,H1055)</f>
        <v>1</v>
      </c>
      <c r="AF1055" s="69"/>
      <c r="AG1055" s="62" t="n">
        <f aca="false">IF(LEFT(Cockpit!$C$5,1)="A",H1055,IF(Parameter!$E$30="MAX-Bestand",IF(CI1055=1,CJ1055,IF(LEFT(Cockpit!$C$5,1)="B",AM1055,MAX(AM1055,H1055))),ROUNDUP(AK1055,0)))</f>
        <v>0</v>
      </c>
      <c r="AH1055" s="62" t="n">
        <f aca="false">IF(CA1055=1,0,ROUNDUP(AG1055/BZ1055,0))</f>
        <v>0</v>
      </c>
      <c r="AI1055" s="64" t="n">
        <f aca="false">IF(CR1055&gt;0,CR1055*MAX(1,AG1055/X1055),IF(CA1055=1,IF(AG1055&lt;=0,0,CE1055*MAX(1,IF(H1055&gt;0,AG1055/H1055,1))),IF(R1055&gt;0,AH1055/R1055,0))/MAX(0.1,N(Parameter!$M$21)))</f>
        <v>0</v>
      </c>
      <c r="AJ1055" s="62" t="n">
        <f aca="false">AI1055*CC1055</f>
        <v>0</v>
      </c>
      <c r="AK1055" s="63" t="n">
        <f aca="false">IF(LEFT(Cockpit!$C$5,1)="A",H1055,IF(CI1055=1,(CL1055+CJ1055)/2,IF(LEFT(Cockpit!$C$5,1)="B",(CL1055+AM1055)/2,MAX((CL1055+AM1055)/2,H1055))))</f>
        <v>0</v>
      </c>
      <c r="AL1055" s="62" t="n">
        <f aca="false">AK1055*G1055</f>
        <v>0</v>
      </c>
      <c r="AM1055" s="62" t="n">
        <f aca="false">ROUNDUP(CL1055+MAX(CM1055,2*(J1055/IF(CH1055&gt;0,CH1055,MAX(0.1,N(Cockpit!$C$6)))-CL1055)),0)</f>
        <v>1</v>
      </c>
      <c r="AN1055" s="63" t="n">
        <f aca="false">IF(AJ1055&gt;0,J1055/AJ1055,-1)</f>
        <v>-1</v>
      </c>
      <c r="AO1055" s="63" t="str">
        <f aca="false">IF(AND(OR(CG1055="L1",CG1055="L23",CG1055="LIFT"),AJ1055&gt;0),SUMIFS($AJ$7:$AJ$1843,$CG$7:$CG$1843,CG1055,$AN$7:$AN$1843,"&gt;"&amp;AN1055)+SUMIFS($AJ$7:$AJ$1843,$CG$7:$CG$1843,CG1055,$AN$7:$AN$1843,AN1055,$BX$7:$BX$1843,"&lt;="&amp;BX1055),"")</f>
        <v/>
      </c>
      <c r="AP1055" s="70" t="n">
        <f aca="false">IF(AO1055="",0,MAX(0,MIN(1,(IF(CG1055="L1",Parameter!$H$5,IF(CG1055="L23",Parameter!$H$6+Parameter!$H$7,Parameter!$H$5+Parameter!$H$6+Parameter!$H$7))-(AO1055-AJ1055))/AJ1055)))</f>
        <v>0</v>
      </c>
      <c r="AQ1055" s="62" t="n">
        <f aca="false">IF(LEFT(Cockpit!$I$5,1)="A",H1055,IF(Parameter!$E$30="MAX-Bestand",IF(CI1055=1,CJ1055,IF(LEFT(Cockpit!$I$5,1)="B",AW1055,MAX(AW1055,H1055))),ROUNDUP(AU1055,0)))</f>
        <v>1</v>
      </c>
      <c r="AR1055" s="62" t="n">
        <f aca="false">IF(CA1055=1,0,ROUNDUP(AQ1055/BZ1055,0))</f>
        <v>1</v>
      </c>
      <c r="AS1055" s="64" t="n">
        <f aca="false">IF(CR1055&gt;0,CR1055*MAX(1,AQ1055/X1055),IF(CA1055=1,IF(AQ1055&lt;=0,0,CE1055*MAX(1,IF(H1055&gt;0,AQ1055/H1055,1))),IF(R1055&gt;0,AR1055/R1055,0))/MAX(0.1,N(Parameter!$M$21)))</f>
        <v>0.25</v>
      </c>
      <c r="AT1055" s="62" t="n">
        <f aca="false">AS1055*CC1055</f>
        <v>58.75</v>
      </c>
      <c r="AU1055" s="63" t="n">
        <f aca="false">IF(LEFT(Cockpit!$I$5,1)="A",H1055,IF(CI1055=1,(CL1055+CJ1055)/2,IF(LEFT(Cockpit!$I$5,1)="B",(CL1055+AW1055)/2,MAX((CL1055+AW1055)/2,H1055))))</f>
        <v>0.5</v>
      </c>
      <c r="AV1055" s="62" t="n">
        <f aca="false">AU1055*G1055</f>
        <v>73.93</v>
      </c>
      <c r="AW1055" s="62" t="n">
        <f aca="false">ROUNDUP(CL1055+MAX(CM1055,2*(J1055/IF(CH1055&gt;0,CH1055,MAX(0.1,N(Cockpit!$I$6)))-CL1055)),0)</f>
        <v>1</v>
      </c>
      <c r="AX1055" s="63" t="n">
        <f aca="false">IF(AT1055&gt;0,J1055/AT1055,-1)</f>
        <v>0</v>
      </c>
      <c r="AY1055" s="63" t="str">
        <f aca="false">IF(AND(OR(CG1055="L1",CG1055="L23",CG1055="LIFT"),AT1055&gt;0),SUMIFS($AT$7:$AT$1843,$CG$7:$CG$1843,CG1055,$AX$7:$AX$1843,"&gt;"&amp;AX1055)+SUMIFS($AT$7:$AT$1843,$CG$7:$CG$1843,CG1055,$AX$7:$AX$1843,AX1055,$BX$7:$BX$1843,"&lt;="&amp;BX1055),"")</f>
        <v/>
      </c>
      <c r="AZ1055" s="70" t="n">
        <f aca="false">IF(AY1055="",0,MAX(0,MIN(1,(IF(CG1055="L1",Parameter!$H$5,IF(CG1055="L23",Parameter!$H$6+Parameter!$H$7,Parameter!$H$5+Parameter!$H$6+Parameter!$H$7))-(AY1055-AT1055))/AT1055)))</f>
        <v>0</v>
      </c>
      <c r="BA1055" s="62" t="n">
        <f aca="false">IF(LEFT(Cockpit!$O$5,1)="A",H1055,IF(Parameter!$E$30="MAX-Bestand",IF(CI1055=1,CJ1055,IF(LEFT(Cockpit!$O$5,1)="B",BG1055,MAX(BG1055,H1055))),ROUNDUP(BE1055,0)))</f>
        <v>1</v>
      </c>
      <c r="BB1055" s="62" t="n">
        <f aca="false">IF(CA1055=1,0,ROUNDUP(BA1055/BZ1055,0))</f>
        <v>1</v>
      </c>
      <c r="BC1055" s="64" t="n">
        <f aca="false">IF(CR1055&gt;0,CR1055*MAX(1,BA1055/X1055),IF(CA1055=1,IF(BA1055&lt;=0,0,CE1055*MAX(1,IF(H1055&gt;0,BA1055/H1055,1))),IF(R1055&gt;0,BB1055/R1055,0))/MAX(0.1,N(Parameter!$M$21)))</f>
        <v>0.25</v>
      </c>
      <c r="BD1055" s="62" t="n">
        <f aca="false">BC1055*CC1055</f>
        <v>58.75</v>
      </c>
      <c r="BE1055" s="63" t="n">
        <f aca="false">IF(LEFT(Cockpit!$O$5,1)="A",H1055,IF(CI1055=1,(CL1055+CJ1055)/2,IF(LEFT(Cockpit!$O$5,1)="B",(CL1055+BG1055)/2,MAX((CL1055+BG1055)/2,H1055))))</f>
        <v>0.5</v>
      </c>
      <c r="BF1055" s="62" t="n">
        <f aca="false">BE1055*G1055</f>
        <v>73.93</v>
      </c>
      <c r="BG1055" s="62" t="n">
        <f aca="false">ROUNDUP(CL1055+MAX(CM1055,2*(J1055/IF(CH1055&gt;0,CH1055,MAX(0.1,N(Cockpit!$O$6)))-CL1055)),0)</f>
        <v>1</v>
      </c>
      <c r="BH1055" s="63" t="n">
        <f aca="false">IF(BD1055&gt;0,J1055/BD1055,-1)</f>
        <v>0</v>
      </c>
      <c r="BI1055" s="63" t="str">
        <f aca="false">IF(AND(OR(CG1055="L1",CG1055="L23",CG1055="LIFT"),BD1055&gt;0),SUMIFS($BD$7:$BD$1843,$CG$7:$CG$1843,CG1055,$BH$7:$BH$1843,"&gt;"&amp;BH1055)+SUMIFS($BD$7:$BD$1843,$CG$7:$CG$1843,CG1055,$BH$7:$BH$1843,BH1055,$BX$7:$BX$1843,"&lt;="&amp;BX1055),"")</f>
        <v/>
      </c>
      <c r="BJ1055" s="70" t="n">
        <f aca="false">IF(BI1055="",0,MAX(0,MIN(1,(IF(CG1055="L1",Parameter!$H$5,IF(CG1055="L23",Parameter!$H$6+Parameter!$H$7,Parameter!$H$5+Parameter!$H$6+Parameter!$H$7))-(BI1055-BD1055))/BD1055)))</f>
        <v>0</v>
      </c>
      <c r="BK1055" s="60" t="str">
        <f aca="false">IF(AJ1055&lt;=0,"",IF(CG1055="Aussen","Aussenlager",IF(CG1055="-","Nicht im Lift",IF(AP1055&gt;=1,"Lift",IF(AP1055&lt;=0,"Aussenlager","teilweise")))))</f>
        <v/>
      </c>
      <c r="BL1055" s="60" t="str">
        <f aca="false">IF(AT1055&lt;=0,"",IF(CG1055="Aussen","Aussenlager",IF(CG1055="-","Nicht im Lift",IF(AZ1055&gt;=1,"Lift",IF(AZ1055&lt;=0,"Aussenlager","teilweise")))))</f>
        <v>Nicht im Lift</v>
      </c>
      <c r="BM1055" s="60" t="str">
        <f aca="false">IF(BD1055&lt;=0,"",IF(CG1055="Aussen","Aussenlager",IF(CG1055="-","Nicht im Lift",IF(BJ1055&gt;=1,"Lift",IF(BJ1055&lt;=0,"Aussenlager","teilweise")))))</f>
        <v>Nicht im Lift</v>
      </c>
      <c r="BN1055" s="60" t="str">
        <f aca="false">IF(A1055="","",IF(BW1055=1,"Neu; ","")&amp;IF(AND(BW1055=0,BR1055&lt;0),"negativer Bestand (Export "&amp;BR1055&amp;"); ","")&amp;IF(J1055&lt;=0,"Kein Verbrauch; ","")&amp;IF(CR1055&gt;0,"Lift "&amp;W1055&amp;" lt. Liftbericht (Fach "&amp;X1055&amp;" Stk); ",IF(CB1055=1,"Gebinde geschätzt ("&amp;T1055&amp;"); ",IF(CA1055=1,"Lose – Tablare geschätzt; ","")))&amp;IF(H1055&gt;AW1055,"Überbestand "&amp;ROUND(H1055-AW1055,0)&amp;" Stk / CHF "&amp;ROUND((H1055-AW1055)*G1055,0)&amp;"; ","")&amp;IF(AND(CI1055=1,CJ1055&lt;CK1055),"MAX &lt; MB+LG; ","")&amp;IF(AND(CQ1055&gt;0,CP1055*10&gt;CQ1055),"zu hoch für Tablar; ","")&amp;IF(AND(BW1055=0,OR(CI1055=1,AB1055&lt;&gt;"",U1055&lt;&gt;"",V1055&lt;&gt;"",AC1055&lt;&gt;"")),"manuell übersteuert; ","")&amp;IF(AND(CA1055=0,R1055=0),"Gebinde unbekannt / Stellmass fehlt; ","")&amp;IF(AND(CA1055=0,N(V1055)&lt;=0,N(Q1055)&lt;=0),"Menge pro Gebinde fehlt (Ist = 1 Gebinde); ","")&amp;BV1055)</f>
        <v>negativer Bestand (Export -1); Kein Verbrauch; Gebinde geschätzt (Gross); Menge pro Gebinde fehlt (Ist = 1 Gebinde); Neu</v>
      </c>
      <c r="BO1055" s="60"/>
      <c r="BP1055" s="60"/>
      <c r="BQ1055" s="67"/>
      <c r="BR1055" s="62" t="n">
        <v>-1</v>
      </c>
      <c r="BS1055" s="62" t="n">
        <v>1</v>
      </c>
      <c r="BT1055" s="61" t="n">
        <v>-147.86</v>
      </c>
      <c r="BU1055" s="62" t="n">
        <v>0</v>
      </c>
      <c r="BV1055" s="60" t="s">
        <v>668</v>
      </c>
      <c r="BW1055" s="65" t="n">
        <v>0</v>
      </c>
      <c r="BX1055" s="65" t="n">
        <v>1055</v>
      </c>
      <c r="BY1055" s="60" t="str">
        <f aca="false">IF(U1055&lt;&gt;"",UPPER(TRIM(U1055)),IF(CB1055=1,UPPER(VLOOKUP(T1055,Parameter!$I$27:$K$29,2,0)),IF(P1055="","LOSE",P1055)))</f>
        <v>S81</v>
      </c>
      <c r="BZ1055" s="62" t="n">
        <f aca="false">IF(BY1055="LOSE",1,IF(N(V1055)&gt;0,V1055,IF(CB1055=1,MAX(1,N(VLOOKUP(T1055,Parameter!$I$27:$K$29,3,0)),H1055,N(N1055)),IF(N(Q1055)&gt;0,Q1055,MAX(1,H1055)))))</f>
        <v>2</v>
      </c>
      <c r="CA1055" s="65" t="n">
        <f aca="false">IF(BY1055="LOSE",1,0)</f>
        <v>0</v>
      </c>
      <c r="CB1055" s="65" t="n">
        <f aca="false">IF(AND(U1055="",OR(P1055="",P1055="LOSE"),T1055&lt;&gt;"",N(S1055)&lt;=0,ISNUMBER(MATCH(T1055,Parameter!$I$27:$I$29,0))),1,0)</f>
        <v>1</v>
      </c>
      <c r="CC1055" s="65" t="n">
        <f aca="false">IF(CR1055&gt;0,INDEX(Parameter!$H$5:$H$7,W1055)/INDEX(Parameter!$E$5:$E$7,W1055),IF(AND(CA1055=0,N(IFERROR(VLOOKUP(BY1055,'Gebinde-Kategorie'!$A$5:$N$45,14,0),0))&gt;0),VLOOKUP(BY1055,'Gebinde-Kategorie'!$A$5:$N$45,14,0)*10+Parameter!$M$23,Parameter!$M$24))</f>
        <v>235</v>
      </c>
      <c r="CD1055" s="60" t="str">
        <f aca="false">IF(AND(Parameter!$B$19="Ja",E1055&lt;&gt;"",ISNUMBER(MATCH(E1055,Parameter!$I$35:$I$52,0))),VLOOKUP(E1055,Parameter!$I$35:$J$52,2,0),IFERROR(VLOOKUP(D1055,Parameter!$A$35:$C$64,2,0),"Nein"))</f>
        <v>Nein</v>
      </c>
      <c r="CE1055" s="64" t="n">
        <f aca="false">IF(CA1055=0,0,IF(N(S1055)&gt;0,S1055,IFERROR(VLOOKUP(D1055,Parameter!$A$35:$C$64,3,0)+0,0)))</f>
        <v>0</v>
      </c>
      <c r="CF1055" s="60" t="str">
        <f aca="false">IF(AB1055&lt;&gt;"",AB1055,AA1055)</f>
        <v>-</v>
      </c>
      <c r="CG1055" s="60" t="str">
        <f aca="false">IF(OR(CF1055=1,CF1055=2,CF1055=3),IF(Parameter!$E$27="Ja","LIFT",IF(CF1055=1,"L1","L23")),IF(CF1055="Aussen","Aussen","-"))</f>
        <v>-</v>
      </c>
      <c r="CH1055" s="71" t="n">
        <f aca="false">IF(N(AC1055)&gt;0,AC1055,0)</f>
        <v>0</v>
      </c>
      <c r="CI1055" s="65" t="n">
        <f aca="false">IF(ISNUMBER(AF1055),1,0)</f>
        <v>0</v>
      </c>
      <c r="CJ1055" s="62" t="n">
        <f aca="false">N(AF1055)</f>
        <v>0</v>
      </c>
      <c r="CK1055" s="62" t="n">
        <f aca="false">N(M1055)+N(N1055)</f>
        <v>1</v>
      </c>
      <c r="CL1055" s="62" t="n">
        <f aca="false">N(M1055)</f>
        <v>0</v>
      </c>
      <c r="CM1055" s="62" t="n">
        <f aca="false">N(N1055)</f>
        <v>1</v>
      </c>
      <c r="CN1055" s="62" t="n">
        <f aca="false">ROUNDUP(H1055/BZ1055,0)</f>
        <v>0</v>
      </c>
      <c r="CO1055" s="62" t="n">
        <f aca="false">ROUNDUP(CJ1055/BZ1055,0)</f>
        <v>0</v>
      </c>
      <c r="CP1055" s="65" t="n">
        <f aca="false">IF(CA1055=1,0,IFERROR(VLOOKUP(BY1055,'Gebinde-Kategorie'!$A$5:$N$45,5,0)+0,0))</f>
        <v>20</v>
      </c>
      <c r="CQ1055" s="65" t="n">
        <f aca="false">IFERROR(IF(OR(CF1055=1,CF1055=2,CF1055=3),N(INDEX(Parameter!$I$5:$I$7,CF1055)),0),0)</f>
        <v>0</v>
      </c>
      <c r="CR1055" s="64" t="n">
        <f aca="false">IF(AND(Parameter!$B$21="Ja",ISNUMBER(W1055),N(X1055)&gt;0),IFERROR(N(INDEX(Parameter!$L$5:$L$7,W1055))*INDEX(Parameter!$E$5:$E$7,W1055)*X1055/SUMIFS($X$7:$X$1843,$W$7:$W$1843,W1055),0),0)</f>
        <v>0</v>
      </c>
      <c r="CS1055" s="62" t="str">
        <f aca="false">IF(AND(OR(CG1055="L1",CG1055="L23",CG1055="LIFT"),H1055&gt;0),CC1055*IF(CR1055&gt;0,CR1055*MAX(1,H1055/X1055),IF(CA1055=1,CE1055,IF(R1055&gt;0,CN1055/R1055,0))/MAX(0.1,N(Parameter!$M$21))),"")</f>
        <v/>
      </c>
      <c r="CT1055" s="64" t="str">
        <f aca="false">IF(CS1055="","",J1055/H1055)</f>
        <v/>
      </c>
      <c r="CU1055" s="62" t="str">
        <f aca="false">IF(CS1055="","",H1055*G1055)</f>
        <v/>
      </c>
      <c r="CV1055" s="63" t="str">
        <f aca="false">IF(CS1055="","",(CL1055+ROUNDUP(CL1055+MAX(CM1055,2*(J1055/MAX(0.1,N(Einkauf!$C$6))-CL1055)),0))/2)</f>
        <v/>
      </c>
      <c r="CW1055" s="62" t="str">
        <f aca="false">IF(CS1055="","",MAX(0,H1055-CV1055)*G1055)</f>
        <v/>
      </c>
      <c r="CX1055" s="62" t="str">
        <f aca="false">IF(CS1055="","",CS1055*MAX(0,1-CV1055/H1055))</f>
        <v/>
      </c>
      <c r="CY1055" s="64" t="str">
        <f aca="false">IF(CS1055="","",PERCENTRANK($CS$7:$CS$1843,CS1055)+PERCENTRANK($CU$7:$CU$1843,CU1055)+1-PERCENTRANK($CT$7:$CT$1843,CT1055))</f>
        <v/>
      </c>
      <c r="CZ1055" s="72" t="str">
        <f aca="false">IF(CS1055="","",CHOOSE(MATCH(Einkauf!$C$5,Parameter!$G$23:$G$27,0),CY1055,CS1055,CU1055,-CT1055,CW1055)+ROW()/1000000000)</f>
        <v/>
      </c>
    </row>
    <row r="1056" customFormat="false" ht="15" hidden="false" customHeight="false" outlineLevel="0" collapsed="false">
      <c r="A1056" s="60" t="s">
        <v>1973</v>
      </c>
      <c r="B1056" s="60" t="s">
        <v>1974</v>
      </c>
      <c r="C1056" s="60" t="s">
        <v>206</v>
      </c>
      <c r="D1056" s="60" t="s">
        <v>226</v>
      </c>
      <c r="E1056" s="60"/>
      <c r="F1056" s="60" t="s">
        <v>260</v>
      </c>
      <c r="G1056" s="61" t="n">
        <v>147.96</v>
      </c>
      <c r="H1056" s="62" t="n">
        <f aca="false">MAX(0,IF(AND(Parameter!$B$21="Ja",ISNUMBER(Y1056)),Y1056,IF(Parameter!$B$20="Jahresanfang 2025 + Export",BS1056+BR1056,BR1056)))</f>
        <v>4</v>
      </c>
      <c r="I1056" s="62" t="n">
        <f aca="false">H1056*G1056</f>
        <v>591.84</v>
      </c>
      <c r="J1056" s="62" t="n">
        <f aca="false">BU1056*Parameter!$B$18</f>
        <v>0</v>
      </c>
      <c r="K1056" s="63" t="n">
        <v>4.5</v>
      </c>
      <c r="L1056" s="64" t="n">
        <v>0</v>
      </c>
      <c r="M1056" s="62" t="n">
        <v>0</v>
      </c>
      <c r="N1056" s="62" t="n">
        <v>1</v>
      </c>
      <c r="O1056" s="65" t="n">
        <v>56</v>
      </c>
      <c r="P1056" s="60" t="s">
        <v>344</v>
      </c>
      <c r="Q1056" s="62" t="n">
        <v>5</v>
      </c>
      <c r="R1056" s="65" t="n">
        <f aca="false">IF(CA1056=1,0,IFERROR(VLOOKUP(BY1056,'Gebinde-Kategorie'!$A$5:$N$45,13,0)+0,0))</f>
        <v>26</v>
      </c>
      <c r="S1056" s="66"/>
      <c r="T1056" s="67"/>
      <c r="U1056" s="67"/>
      <c r="V1056" s="67"/>
      <c r="W1056" s="60"/>
      <c r="X1056" s="62"/>
      <c r="Y1056" s="62"/>
      <c r="Z1056" s="60" t="n">
        <v>3</v>
      </c>
      <c r="AA1056" s="60" t="n">
        <f aca="false">IF(A1056="","",IF(AND(Parameter!$B$21="Ja",ISNUMBER(W1056)),W1056,IF(AND(Parameter!$E$27="Ja",ISNUMBER(Z1056),CD1056&lt;&gt;"Nein"),Z1056,IF(CD1056="2+3",IF(ISNUMBER(SEARCH("grosser Artikel",BV1056)),2,IFERROR(VLOOKUP(BY1056,Parameter!$F$35:$G$64,2,0),2)),IF(OR(CD1056="Nein",CD1056=""),"-",CD1056)))))</f>
        <v>3</v>
      </c>
      <c r="AB1056" s="67"/>
      <c r="AC1056" s="68"/>
      <c r="AD1056" s="62" t="n">
        <f aca="false">AW1056</f>
        <v>1</v>
      </c>
      <c r="AE1056" s="62" t="n">
        <f aca="false">MAX(AW1056,H1056)</f>
        <v>4</v>
      </c>
      <c r="AF1056" s="69"/>
      <c r="AG1056" s="62" t="n">
        <f aca="false">IF(LEFT(Cockpit!$C$5,1)="A",H1056,IF(Parameter!$E$30="MAX-Bestand",IF(CI1056=1,CJ1056,IF(LEFT(Cockpit!$C$5,1)="B",AM1056,MAX(AM1056,H1056))),ROUNDUP(AK1056,0)))</f>
        <v>4</v>
      </c>
      <c r="AH1056" s="62" t="n">
        <f aca="false">IF(CA1056=1,0,ROUNDUP(AG1056/BZ1056,0))</f>
        <v>1</v>
      </c>
      <c r="AI1056" s="64" t="n">
        <f aca="false">IF(CR1056&gt;0,CR1056*MAX(1,AG1056/X1056),IF(CA1056=1,IF(AG1056&lt;=0,0,CE1056*MAX(1,IF(H1056&gt;0,AG1056/H1056,1))),IF(R1056&gt;0,AH1056/R1056,0))/MAX(0.1,N(Parameter!$M$21)))</f>
        <v>0.0384615384615385</v>
      </c>
      <c r="AJ1056" s="62" t="n">
        <f aca="false">AI1056*CC1056</f>
        <v>5.96153846153846</v>
      </c>
      <c r="AK1056" s="63" t="n">
        <f aca="false">IF(LEFT(Cockpit!$C$5,1)="A",H1056,IF(CI1056=1,(CL1056+CJ1056)/2,IF(LEFT(Cockpit!$C$5,1)="B",(CL1056+AM1056)/2,MAX((CL1056+AM1056)/2,H1056))))</f>
        <v>4</v>
      </c>
      <c r="AL1056" s="62" t="n">
        <f aca="false">AK1056*G1056</f>
        <v>591.84</v>
      </c>
      <c r="AM1056" s="62" t="n">
        <f aca="false">ROUNDUP(CL1056+MAX(CM1056,2*(J1056/IF(CH1056&gt;0,CH1056,MAX(0.1,N(Cockpit!$C$6)))-CL1056)),0)</f>
        <v>1</v>
      </c>
      <c r="AN1056" s="63" t="n">
        <f aca="false">IF(AJ1056&gt;0,J1056/AJ1056,-1)</f>
        <v>0</v>
      </c>
      <c r="AO1056" s="63" t="n">
        <f aca="false">IF(AND(OR(CG1056="L1",CG1056="L23",CG1056="LIFT"),AJ1056&gt;0),SUMIFS($AJ$7:$AJ$1843,$CG$7:$CG$1843,CG1056,$AN$7:$AN$1843,"&gt;"&amp;AN1056)+SUMIFS($AJ$7:$AJ$1843,$CG$7:$CG$1843,CG1056,$AN$7:$AN$1843,AN1056,$BX$7:$BX$1843,"&lt;="&amp;BX1056),"")</f>
        <v>29094.221779868</v>
      </c>
      <c r="AP1056" s="70" t="n">
        <f aca="false">IF(AO1056="",0,MAX(0,MIN(1,(IF(CG1056="L1",Parameter!$H$5,IF(CG1056="L23",Parameter!$H$6+Parameter!$H$7,Parameter!$H$5+Parameter!$H$6+Parameter!$H$7))-(AO1056-AJ1056))/AJ1056)))</f>
        <v>1</v>
      </c>
      <c r="AQ1056" s="62" t="n">
        <f aca="false">IF(LEFT(Cockpit!$I$5,1)="A",H1056,IF(Parameter!$E$30="MAX-Bestand",IF(CI1056=1,CJ1056,IF(LEFT(Cockpit!$I$5,1)="B",AW1056,MAX(AW1056,H1056))),ROUNDUP(AU1056,0)))</f>
        <v>4</v>
      </c>
      <c r="AR1056" s="62" t="n">
        <f aca="false">IF(CA1056=1,0,ROUNDUP(AQ1056/BZ1056,0))</f>
        <v>1</v>
      </c>
      <c r="AS1056" s="64" t="n">
        <f aca="false">IF(CR1056&gt;0,CR1056*MAX(1,AQ1056/X1056),IF(CA1056=1,IF(AQ1056&lt;=0,0,CE1056*MAX(1,IF(H1056&gt;0,AQ1056/H1056,1))),IF(R1056&gt;0,AR1056/R1056,0))/MAX(0.1,N(Parameter!$M$21)))</f>
        <v>0.0384615384615385</v>
      </c>
      <c r="AT1056" s="62" t="n">
        <f aca="false">AS1056*CC1056</f>
        <v>5.96153846153846</v>
      </c>
      <c r="AU1056" s="63" t="n">
        <f aca="false">IF(LEFT(Cockpit!$I$5,1)="A",H1056,IF(CI1056=1,(CL1056+CJ1056)/2,IF(LEFT(Cockpit!$I$5,1)="B",(CL1056+AW1056)/2,MAX((CL1056+AW1056)/2,H1056))))</f>
        <v>4</v>
      </c>
      <c r="AV1056" s="62" t="n">
        <f aca="false">AU1056*G1056</f>
        <v>591.84</v>
      </c>
      <c r="AW1056" s="62" t="n">
        <f aca="false">ROUNDUP(CL1056+MAX(CM1056,2*(J1056/IF(CH1056&gt;0,CH1056,MAX(0.1,N(Cockpit!$I$6)))-CL1056)),0)</f>
        <v>1</v>
      </c>
      <c r="AX1056" s="63" t="n">
        <f aca="false">IF(AT1056&gt;0,J1056/AT1056,-1)</f>
        <v>0</v>
      </c>
      <c r="AY1056" s="63" t="n">
        <f aca="false">IF(AND(OR(CG1056="L1",CG1056="L23",CG1056="LIFT"),AT1056&gt;0),SUMIFS($AT$7:$AT$1843,$CG$7:$CG$1843,CG1056,$AX$7:$AX$1843,"&gt;"&amp;AX1056)+SUMIFS($AT$7:$AT$1843,$CG$7:$CG$1843,CG1056,$AX$7:$AX$1843,AX1056,$BX$7:$BX$1843,"&lt;="&amp;BX1056),"")</f>
        <v>34796.5938644689</v>
      </c>
      <c r="AZ1056" s="70" t="n">
        <f aca="false">IF(AY1056="",0,MAX(0,MIN(1,(IF(CG1056="L1",Parameter!$H$5,IF(CG1056="L23",Parameter!$H$6+Parameter!$H$7,Parameter!$H$5+Parameter!$H$6+Parameter!$H$7))-(AY1056-AT1056))/AT1056)))</f>
        <v>1</v>
      </c>
      <c r="BA1056" s="62" t="n">
        <f aca="false">IF(LEFT(Cockpit!$O$5,1)="A",H1056,IF(Parameter!$E$30="MAX-Bestand",IF(CI1056=1,CJ1056,IF(LEFT(Cockpit!$O$5,1)="B",BG1056,MAX(BG1056,H1056))),ROUNDUP(BE1056,0)))</f>
        <v>1</v>
      </c>
      <c r="BB1056" s="62" t="n">
        <f aca="false">IF(CA1056=1,0,ROUNDUP(BA1056/BZ1056,0))</f>
        <v>1</v>
      </c>
      <c r="BC1056" s="64" t="n">
        <f aca="false">IF(CR1056&gt;0,CR1056*MAX(1,BA1056/X1056),IF(CA1056=1,IF(BA1056&lt;=0,0,CE1056*MAX(1,IF(H1056&gt;0,BA1056/H1056,1))),IF(R1056&gt;0,BB1056/R1056,0))/MAX(0.1,N(Parameter!$M$21)))</f>
        <v>0.0384615384615385</v>
      </c>
      <c r="BD1056" s="62" t="n">
        <f aca="false">BC1056*CC1056</f>
        <v>5.96153846153846</v>
      </c>
      <c r="BE1056" s="63" t="n">
        <f aca="false">IF(LEFT(Cockpit!$O$5,1)="A",H1056,IF(CI1056=1,(CL1056+CJ1056)/2,IF(LEFT(Cockpit!$O$5,1)="B",(CL1056+BG1056)/2,MAX((CL1056+BG1056)/2,H1056))))</f>
        <v>0.5</v>
      </c>
      <c r="BF1056" s="62" t="n">
        <f aca="false">BE1056*G1056</f>
        <v>73.98</v>
      </c>
      <c r="BG1056" s="62" t="n">
        <f aca="false">ROUNDUP(CL1056+MAX(CM1056,2*(J1056/IF(CH1056&gt;0,CH1056,MAX(0.1,N(Cockpit!$O$6)))-CL1056)),0)</f>
        <v>1</v>
      </c>
      <c r="BH1056" s="63" t="n">
        <f aca="false">IF(BD1056&gt;0,J1056/BD1056,-1)</f>
        <v>0</v>
      </c>
      <c r="BI1056" s="63" t="n">
        <f aca="false">IF(AND(OR(CG1056="L1",CG1056="L23",CG1056="LIFT"),BD1056&gt;0),SUMIFS($BD$7:$BD$1843,$CG$7:$CG$1843,CG1056,$BH$7:$BH$1843,"&gt;"&amp;BH1056)+SUMIFS($BD$7:$BD$1843,$CG$7:$CG$1843,CG1056,$BH$7:$BH$1843,BH1056,$BX$7:$BX$1843,"&lt;="&amp;BX1056),"")</f>
        <v>28781.9005246166</v>
      </c>
      <c r="BJ1056" s="70" t="n">
        <f aca="false">IF(BI1056="",0,MAX(0,MIN(1,(IF(CG1056="L1",Parameter!$H$5,IF(CG1056="L23",Parameter!$H$6+Parameter!$H$7,Parameter!$H$5+Parameter!$H$6+Parameter!$H$7))-(BI1056-BD1056))/BD1056)))</f>
        <v>1</v>
      </c>
      <c r="BK1056" s="60" t="str">
        <f aca="false">IF(AJ1056&lt;=0,"",IF(CG1056="Aussen","Aussenlager",IF(CG1056="-","Nicht im Lift",IF(AP1056&gt;=1,"Lift",IF(AP1056&lt;=0,"Aussenlager","teilweise")))))</f>
        <v>Lift</v>
      </c>
      <c r="BL1056" s="60" t="str">
        <f aca="false">IF(AT1056&lt;=0,"",IF(CG1056="Aussen","Aussenlager",IF(CG1056="-","Nicht im Lift",IF(AZ1056&gt;=1,"Lift",IF(AZ1056&lt;=0,"Aussenlager","teilweise")))))</f>
        <v>Lift</v>
      </c>
      <c r="BM1056" s="60" t="str">
        <f aca="false">IF(BD1056&lt;=0,"",IF(CG1056="Aussen","Aussenlager",IF(CG1056="-","Nicht im Lift",IF(BJ1056&gt;=1,"Lift",IF(BJ1056&lt;=0,"Aussenlager","teilweise")))))</f>
        <v>Lift</v>
      </c>
      <c r="BN1056" s="60" t="str">
        <f aca="false">IF(A1056="","",IF(BW1056=1,"Neu; ","")&amp;IF(AND(BW1056=0,BR1056&lt;0),"negativer Bestand (Export "&amp;BR1056&amp;"); ","")&amp;IF(J1056&lt;=0,"Kein Verbrauch; ","")&amp;IF(CR1056&gt;0,"Lift "&amp;W1056&amp;" lt. Liftbericht (Fach "&amp;X1056&amp;" Stk); ",IF(CB1056=1,"Gebinde geschätzt ("&amp;T1056&amp;"); ",IF(CA1056=1,"Lose – Tablare geschätzt; ","")))&amp;IF(H1056&gt;AW1056,"Überbestand "&amp;ROUND(H1056-AW1056,0)&amp;" Stk / CHF "&amp;ROUND((H1056-AW1056)*G1056,0)&amp;"; ","")&amp;IF(AND(CI1056=1,CJ1056&lt;CK1056),"MAX &lt; MB+LG; ","")&amp;IF(AND(CQ1056&gt;0,CP1056*10&gt;CQ1056),"zu hoch für Tablar; ","")&amp;IF(AND(BW1056=0,OR(CI1056=1,AB1056&lt;&gt;"",U1056&lt;&gt;"",V1056&lt;&gt;"",AC1056&lt;&gt;"")),"manuell übersteuert; ","")&amp;IF(AND(CA1056=0,R1056=0),"Gebinde unbekannt / Stellmass fehlt; ","")&amp;IF(AND(CA1056=0,N(V1056)&lt;=0,N(Q1056)&lt;=0),"Menge pro Gebinde fehlt (Ist = 1 Gebinde); ","")&amp;BV1056)</f>
        <v>negativer Bestand (Export -1); Kein Verbrauch; Überbestand 3 Stk / CHF 444; </v>
      </c>
      <c r="BO1056" s="60"/>
      <c r="BP1056" s="60"/>
      <c r="BQ1056" s="67"/>
      <c r="BR1056" s="62" t="n">
        <v>-1</v>
      </c>
      <c r="BS1056" s="62" t="n">
        <v>5</v>
      </c>
      <c r="BT1056" s="61" t="n">
        <v>-147.96</v>
      </c>
      <c r="BU1056" s="62" t="n">
        <v>0</v>
      </c>
      <c r="BV1056" s="60"/>
      <c r="BW1056" s="65" t="n">
        <v>0</v>
      </c>
      <c r="BX1056" s="65" t="n">
        <v>1056</v>
      </c>
      <c r="BY1056" s="60" t="str">
        <f aca="false">IF(U1056&lt;&gt;"",UPPER(TRIM(U1056)),IF(CB1056=1,UPPER(VLOOKUP(T1056,Parameter!$I$27:$K$29,2,0)),IF(P1056="","LOSE",P1056)))</f>
        <v>S51</v>
      </c>
      <c r="BZ1056" s="62" t="n">
        <f aca="false">IF(BY1056="LOSE",1,IF(N(V1056)&gt;0,V1056,IF(CB1056=1,MAX(1,N(VLOOKUP(T1056,Parameter!$I$27:$K$29,3,0)),H1056,N(N1056)),IF(N(Q1056)&gt;0,Q1056,MAX(1,H1056)))))</f>
        <v>5</v>
      </c>
      <c r="CA1056" s="65" t="n">
        <f aca="false">IF(BY1056="LOSE",1,0)</f>
        <v>0</v>
      </c>
      <c r="CB1056" s="65" t="n">
        <f aca="false">IF(AND(U1056="",OR(P1056="",P1056="LOSE"),T1056&lt;&gt;"",N(S1056)&lt;=0,ISNUMBER(MATCH(T1056,Parameter!$I$27:$I$29,0))),1,0)</f>
        <v>0</v>
      </c>
      <c r="CC1056" s="65" t="n">
        <f aca="false">IF(CR1056&gt;0,INDEX(Parameter!$H$5:$H$7,W1056)/INDEX(Parameter!$E$5:$E$7,W1056),IF(AND(CA1056=0,N(IFERROR(VLOOKUP(BY1056,'Gebinde-Kategorie'!$A$5:$N$45,14,0),0))&gt;0),VLOOKUP(BY1056,'Gebinde-Kategorie'!$A$5:$N$45,14,0)*10+Parameter!$M$23,Parameter!$M$24))</f>
        <v>155</v>
      </c>
      <c r="CD1056" s="60" t="str">
        <f aca="false">IF(AND(Parameter!$B$19="Ja",E1056&lt;&gt;"",ISNUMBER(MATCH(E1056,Parameter!$I$35:$I$52,0))),VLOOKUP(E1056,Parameter!$I$35:$J$52,2,0),IFERROR(VLOOKUP(D1056,Parameter!$A$35:$C$64,2,0),"Nein"))</f>
        <v>2+3</v>
      </c>
      <c r="CE1056" s="64" t="n">
        <f aca="false">IF(CA1056=0,0,IF(N(S1056)&gt;0,S1056,IFERROR(VLOOKUP(D1056,Parameter!$A$35:$C$64,3,0)+0,0)))</f>
        <v>0</v>
      </c>
      <c r="CF1056" s="60" t="n">
        <f aca="false">IF(AB1056&lt;&gt;"",AB1056,AA1056)</f>
        <v>3</v>
      </c>
      <c r="CG1056" s="60" t="str">
        <f aca="false">IF(OR(CF1056=1,CF1056=2,CF1056=3),IF(Parameter!$E$27="Ja","LIFT",IF(CF1056=1,"L1","L23")),IF(CF1056="Aussen","Aussen","-"))</f>
        <v>LIFT</v>
      </c>
      <c r="CH1056" s="71" t="n">
        <f aca="false">IF(N(AC1056)&gt;0,AC1056,0)</f>
        <v>0</v>
      </c>
      <c r="CI1056" s="65" t="n">
        <f aca="false">IF(ISNUMBER(AF1056),1,0)</f>
        <v>0</v>
      </c>
      <c r="CJ1056" s="62" t="n">
        <f aca="false">N(AF1056)</f>
        <v>0</v>
      </c>
      <c r="CK1056" s="62" t="n">
        <f aca="false">N(M1056)+N(N1056)</f>
        <v>1</v>
      </c>
      <c r="CL1056" s="62" t="n">
        <f aca="false">N(M1056)</f>
        <v>0</v>
      </c>
      <c r="CM1056" s="62" t="n">
        <f aca="false">N(N1056)</f>
        <v>1</v>
      </c>
      <c r="CN1056" s="62" t="n">
        <f aca="false">ROUNDUP(H1056/BZ1056,0)</f>
        <v>1</v>
      </c>
      <c r="CO1056" s="62" t="n">
        <f aca="false">ROUNDUP(CJ1056/BZ1056,0)</f>
        <v>0</v>
      </c>
      <c r="CP1056" s="65" t="n">
        <f aca="false">IF(CA1056=1,0,IFERROR(VLOOKUP(BY1056,'Gebinde-Kategorie'!$A$5:$N$45,5,0)+0,0))</f>
        <v>11</v>
      </c>
      <c r="CQ1056" s="65" t="n">
        <f aca="false">IFERROR(IF(OR(CF1056=1,CF1056=2,CF1056=3),N(INDEX(Parameter!$I$5:$I$7,CF1056)),0),0)</f>
        <v>0</v>
      </c>
      <c r="CR1056" s="64" t="n">
        <f aca="false">IF(AND(Parameter!$B$21="Ja",ISNUMBER(W1056),N(X1056)&gt;0),IFERROR(N(INDEX(Parameter!$L$5:$L$7,W1056))*INDEX(Parameter!$E$5:$E$7,W1056)*X1056/SUMIFS($X$7:$X$1843,$W$7:$W$1843,W1056),0),0)</f>
        <v>0</v>
      </c>
      <c r="CS1056" s="62" t="n">
        <f aca="false">IF(AND(OR(CG1056="L1",CG1056="L23",CG1056="LIFT"),H1056&gt;0),CC1056*IF(CR1056&gt;0,CR1056*MAX(1,H1056/X1056),IF(CA1056=1,CE1056,IF(R1056&gt;0,CN1056/R1056,0))/MAX(0.1,N(Parameter!$M$21))),"")</f>
        <v>5.96153846153846</v>
      </c>
      <c r="CT1056" s="64" t="n">
        <f aca="false">IF(CS1056="","",J1056/H1056)</f>
        <v>0</v>
      </c>
      <c r="CU1056" s="62" t="n">
        <f aca="false">IF(CS1056="","",H1056*G1056)</f>
        <v>591.84</v>
      </c>
      <c r="CV1056" s="63" t="n">
        <f aca="false">IF(CS1056="","",(CL1056+ROUNDUP(CL1056+MAX(CM1056,2*(J1056/MAX(0.1,N(Einkauf!$C$6))-CL1056)),0))/2)</f>
        <v>0.5</v>
      </c>
      <c r="CW1056" s="62" t="n">
        <f aca="false">IF(CS1056="","",MAX(0,H1056-CV1056)*G1056)</f>
        <v>517.86</v>
      </c>
      <c r="CX1056" s="62" t="n">
        <f aca="false">IF(CS1056="","",CS1056*MAX(0,1-CV1056/H1056))</f>
        <v>5.21634615384615</v>
      </c>
      <c r="CY1056" s="64" t="n">
        <f aca="false">IF(CS1056="","",PERCENTRANK($CS$7:$CS$1843,CS1056)+PERCENTRANK($CU$7:$CU$1843,CU1056)+1-PERCENTRANK($CT$7:$CT$1843,CT1056))</f>
        <v>1.904</v>
      </c>
      <c r="CZ1056" s="72" t="n">
        <f aca="false">IF(CS1056="","",CHOOSE(MATCH(Einkauf!$C$5,Parameter!$G$23:$G$27,0),CY1056,CS1056,CU1056,-CT1056,CW1056)+ROW()/1000000000)</f>
        <v>1.904001056</v>
      </c>
    </row>
    <row r="1057" customFormat="false" ht="15" hidden="false" customHeight="false" outlineLevel="0" collapsed="false">
      <c r="A1057" s="60" t="s">
        <v>1975</v>
      </c>
      <c r="B1057" s="60" t="s">
        <v>759</v>
      </c>
      <c r="C1057" s="60" t="s">
        <v>206</v>
      </c>
      <c r="D1057" s="60" t="s">
        <v>215</v>
      </c>
      <c r="E1057" s="60" t="s">
        <v>208</v>
      </c>
      <c r="F1057" s="60" t="s">
        <v>260</v>
      </c>
      <c r="G1057" s="61" t="n">
        <v>75</v>
      </c>
      <c r="H1057" s="62" t="n">
        <f aca="false">MAX(0,IF(AND(Parameter!$B$21="Ja",ISNUMBER(Y1057)),Y1057,IF(Parameter!$B$20="Jahresanfang 2025 + Export",BS1057+BR1057,BR1057)))</f>
        <v>4</v>
      </c>
      <c r="I1057" s="62" t="n">
        <f aca="false">H1057*G1057</f>
        <v>300</v>
      </c>
      <c r="J1057" s="62" t="n">
        <f aca="false">BU1057*Parameter!$B$18</f>
        <v>27</v>
      </c>
      <c r="K1057" s="63" t="n">
        <v>12.5</v>
      </c>
      <c r="L1057" s="64" t="n">
        <v>2.16</v>
      </c>
      <c r="M1057" s="62" t="n">
        <v>1</v>
      </c>
      <c r="N1057" s="62" t="n">
        <v>25</v>
      </c>
      <c r="O1057" s="65" t="n">
        <v>21</v>
      </c>
      <c r="P1057" s="60" t="s">
        <v>228</v>
      </c>
      <c r="Q1057" s="62" t="n">
        <v>25</v>
      </c>
      <c r="R1057" s="65" t="n">
        <f aca="false">IF(CA1057=1,0,IFERROR(VLOOKUP(BY1057,'Gebinde-Kategorie'!$A$5:$N$45,13,0)+0,0))</f>
        <v>12</v>
      </c>
      <c r="S1057" s="66"/>
      <c r="T1057" s="67"/>
      <c r="U1057" s="67"/>
      <c r="V1057" s="67"/>
      <c r="W1057" s="60"/>
      <c r="X1057" s="62"/>
      <c r="Y1057" s="62"/>
      <c r="Z1057" s="60" t="n">
        <v>3</v>
      </c>
      <c r="AA1057" s="60" t="n">
        <f aca="false">IF(A1057="","",IF(AND(Parameter!$B$21="Ja",ISNUMBER(W1057)),W1057,IF(AND(Parameter!$E$27="Ja",ISNUMBER(Z1057),CD1057&lt;&gt;"Nein"),Z1057,IF(CD1057="2+3",IF(ISNUMBER(SEARCH("grosser Artikel",BV1057)),2,IFERROR(VLOOKUP(BY1057,Parameter!$F$35:$G$64,2,0),2)),IF(OR(CD1057="Nein",CD1057=""),"-",CD1057)))))</f>
        <v>3</v>
      </c>
      <c r="AB1057" s="67"/>
      <c r="AC1057" s="68"/>
      <c r="AD1057" s="62" t="n">
        <f aca="false">AW1057</f>
        <v>26</v>
      </c>
      <c r="AE1057" s="62" t="n">
        <f aca="false">MAX(AW1057,H1057)</f>
        <v>26</v>
      </c>
      <c r="AF1057" s="69"/>
      <c r="AG1057" s="62" t="n">
        <f aca="false">IF(LEFT(Cockpit!$C$5,1)="A",H1057,IF(Parameter!$E$30="MAX-Bestand",IF(CI1057=1,CJ1057,IF(LEFT(Cockpit!$C$5,1)="B",AM1057,MAX(AM1057,H1057))),ROUNDUP(AK1057,0)))</f>
        <v>4</v>
      </c>
      <c r="AH1057" s="62" t="n">
        <f aca="false">IF(CA1057=1,0,ROUNDUP(AG1057/BZ1057,0))</f>
        <v>1</v>
      </c>
      <c r="AI1057" s="64" t="n">
        <f aca="false">IF(CR1057&gt;0,CR1057*MAX(1,AG1057/X1057),IF(CA1057=1,IF(AG1057&lt;=0,0,CE1057*MAX(1,IF(H1057&gt;0,AG1057/H1057,1))),IF(R1057&gt;0,AH1057/R1057,0))/MAX(0.1,N(Parameter!$M$21)))</f>
        <v>0.0833333333333333</v>
      </c>
      <c r="AJ1057" s="62" t="n">
        <f aca="false">AI1057*CC1057</f>
        <v>12.0833333333333</v>
      </c>
      <c r="AK1057" s="63" t="n">
        <f aca="false">IF(LEFT(Cockpit!$C$5,1)="A",H1057,IF(CI1057=1,(CL1057+CJ1057)/2,IF(LEFT(Cockpit!$C$5,1)="B",(CL1057+AM1057)/2,MAX((CL1057+AM1057)/2,H1057))))</f>
        <v>4</v>
      </c>
      <c r="AL1057" s="62" t="n">
        <f aca="false">AK1057*G1057</f>
        <v>300</v>
      </c>
      <c r="AM1057" s="62" t="n">
        <f aca="false">ROUNDUP(CL1057+MAX(CM1057,2*(J1057/IF(CH1057&gt;0,CH1057,MAX(0.1,N(Cockpit!$C$6)))-CL1057)),0)</f>
        <v>26</v>
      </c>
      <c r="AN1057" s="63" t="n">
        <f aca="false">IF(AJ1057&gt;0,J1057/AJ1057,-1)</f>
        <v>2.23448275862069</v>
      </c>
      <c r="AO1057" s="63" t="n">
        <f aca="false">IF(AND(OR(CG1057="L1",CG1057="L23",CG1057="LIFT"),AJ1057&gt;0),SUMIFS($AJ$7:$AJ$1843,$CG$7:$CG$1843,CG1057,$AN$7:$AN$1843,"&gt;"&amp;AN1057)+SUMIFS($AJ$7:$AJ$1843,$CG$7:$CG$1843,CG1057,$AN$7:$AN$1843,AN1057,$BX$7:$BX$1843,"&lt;="&amp;BX1057),"")</f>
        <v>5694.39148351648</v>
      </c>
      <c r="AP1057" s="70" t="n">
        <f aca="false">IF(AO1057="",0,MAX(0,MIN(1,(IF(CG1057="L1",Parameter!$H$5,IF(CG1057="L23",Parameter!$H$6+Parameter!$H$7,Parameter!$H$5+Parameter!$H$6+Parameter!$H$7))-(AO1057-AJ1057))/AJ1057)))</f>
        <v>1</v>
      </c>
      <c r="AQ1057" s="62" t="n">
        <f aca="false">IF(LEFT(Cockpit!$I$5,1)="A",H1057,IF(Parameter!$E$30="MAX-Bestand",IF(CI1057=1,CJ1057,IF(LEFT(Cockpit!$I$5,1)="B",AW1057,MAX(AW1057,H1057))),ROUNDUP(AU1057,0)))</f>
        <v>14</v>
      </c>
      <c r="AR1057" s="62" t="n">
        <f aca="false">IF(CA1057=1,0,ROUNDUP(AQ1057/BZ1057,0))</f>
        <v>1</v>
      </c>
      <c r="AS1057" s="64" t="n">
        <f aca="false">IF(CR1057&gt;0,CR1057*MAX(1,AQ1057/X1057),IF(CA1057=1,IF(AQ1057&lt;=0,0,CE1057*MAX(1,IF(H1057&gt;0,AQ1057/H1057,1))),IF(R1057&gt;0,AR1057/R1057,0))/MAX(0.1,N(Parameter!$M$21)))</f>
        <v>0.0833333333333333</v>
      </c>
      <c r="AT1057" s="62" t="n">
        <f aca="false">AS1057*CC1057</f>
        <v>12.0833333333333</v>
      </c>
      <c r="AU1057" s="63" t="n">
        <f aca="false">IF(LEFT(Cockpit!$I$5,1)="A",H1057,IF(CI1057=1,(CL1057+CJ1057)/2,IF(LEFT(Cockpit!$I$5,1)="B",(CL1057+AW1057)/2,MAX((CL1057+AW1057)/2,H1057))))</f>
        <v>13.5</v>
      </c>
      <c r="AV1057" s="62" t="n">
        <f aca="false">AU1057*G1057</f>
        <v>1012.5</v>
      </c>
      <c r="AW1057" s="62" t="n">
        <f aca="false">ROUNDUP(CL1057+MAX(CM1057,2*(J1057/IF(CH1057&gt;0,CH1057,MAX(0.1,N(Cockpit!$I$6)))-CL1057)),0)</f>
        <v>26</v>
      </c>
      <c r="AX1057" s="63" t="n">
        <f aca="false">IF(AT1057&gt;0,J1057/AT1057,-1)</f>
        <v>2.23448275862069</v>
      </c>
      <c r="AY1057" s="63" t="n">
        <f aca="false">IF(AND(OR(CG1057="L1",CG1057="L23",CG1057="LIFT"),AT1057&gt;0),SUMIFS($AT$7:$AT$1843,$CG$7:$CG$1843,CG1057,$AX$7:$AX$1843,"&gt;"&amp;AX1057)+SUMIFS($AT$7:$AT$1843,$CG$7:$CG$1843,CG1057,$AX$7:$AX$1843,AX1057,$BX$7:$BX$1843,"&lt;="&amp;BX1057),"")</f>
        <v>6598.45283882784</v>
      </c>
      <c r="AZ1057" s="70" t="n">
        <f aca="false">IF(AY1057="",0,MAX(0,MIN(1,(IF(CG1057="L1",Parameter!$H$5,IF(CG1057="L23",Parameter!$H$6+Parameter!$H$7,Parameter!$H$5+Parameter!$H$6+Parameter!$H$7))-(AY1057-AT1057))/AT1057)))</f>
        <v>1</v>
      </c>
      <c r="BA1057" s="62" t="n">
        <f aca="false">IF(LEFT(Cockpit!$O$5,1)="A",H1057,IF(Parameter!$E$30="MAX-Bestand",IF(CI1057=1,CJ1057,IF(LEFT(Cockpit!$O$5,1)="B",BG1057,MAX(BG1057,H1057))),ROUNDUP(BE1057,0)))</f>
        <v>14</v>
      </c>
      <c r="BB1057" s="62" t="n">
        <f aca="false">IF(CA1057=1,0,ROUNDUP(BA1057/BZ1057,0))</f>
        <v>1</v>
      </c>
      <c r="BC1057" s="64" t="n">
        <f aca="false">IF(CR1057&gt;0,CR1057*MAX(1,BA1057/X1057),IF(CA1057=1,IF(BA1057&lt;=0,0,CE1057*MAX(1,IF(H1057&gt;0,BA1057/H1057,1))),IF(R1057&gt;0,BB1057/R1057,0))/MAX(0.1,N(Parameter!$M$21)))</f>
        <v>0.0833333333333333</v>
      </c>
      <c r="BD1057" s="62" t="n">
        <f aca="false">BC1057*CC1057</f>
        <v>12.0833333333333</v>
      </c>
      <c r="BE1057" s="63" t="n">
        <f aca="false">IF(LEFT(Cockpit!$O$5,1)="A",H1057,IF(CI1057=1,(CL1057+CJ1057)/2,IF(LEFT(Cockpit!$O$5,1)="B",(CL1057+BG1057)/2,MAX((CL1057+BG1057)/2,H1057))))</f>
        <v>13.5</v>
      </c>
      <c r="BF1057" s="62" t="n">
        <f aca="false">BE1057*G1057</f>
        <v>1012.5</v>
      </c>
      <c r="BG1057" s="62" t="n">
        <f aca="false">ROUNDUP(CL1057+MAX(CM1057,2*(J1057/IF(CH1057&gt;0,CH1057,MAX(0.1,N(Cockpit!$O$6)))-CL1057)),0)</f>
        <v>26</v>
      </c>
      <c r="BH1057" s="63" t="n">
        <f aca="false">IF(BD1057&gt;0,J1057/BD1057,-1)</f>
        <v>2.23448275862069</v>
      </c>
      <c r="BI1057" s="63" t="n">
        <f aca="false">IF(AND(OR(CG1057="L1",CG1057="L23",CG1057="LIFT"),BD1057&gt;0),SUMIFS($BD$7:$BD$1843,$CG$7:$CG$1843,CG1057,$BH$7:$BH$1843,"&gt;"&amp;BH1057)+SUMIFS($BD$7:$BD$1843,$CG$7:$CG$1843,CG1057,$BH$7:$BH$1843,BH1057,$BX$7:$BX$1843,"&lt;="&amp;BX1057),"")</f>
        <v>5670.65384615385</v>
      </c>
      <c r="BJ1057" s="70" t="n">
        <f aca="false">IF(BI1057="",0,MAX(0,MIN(1,(IF(CG1057="L1",Parameter!$H$5,IF(CG1057="L23",Parameter!$H$6+Parameter!$H$7,Parameter!$H$5+Parameter!$H$6+Parameter!$H$7))-(BI1057-BD1057))/BD1057)))</f>
        <v>1</v>
      </c>
      <c r="BK1057" s="60" t="str">
        <f aca="false">IF(AJ1057&lt;=0,"",IF(CG1057="Aussen","Aussenlager",IF(CG1057="-","Nicht im Lift",IF(AP1057&gt;=1,"Lift",IF(AP1057&lt;=0,"Aussenlager","teilweise")))))</f>
        <v>Lift</v>
      </c>
      <c r="BL1057" s="60" t="str">
        <f aca="false">IF(AT1057&lt;=0,"",IF(CG1057="Aussen","Aussenlager",IF(CG1057="-","Nicht im Lift",IF(AZ1057&gt;=1,"Lift",IF(AZ1057&lt;=0,"Aussenlager","teilweise")))))</f>
        <v>Lift</v>
      </c>
      <c r="BM1057" s="60" t="str">
        <f aca="false">IF(BD1057&lt;=0,"",IF(CG1057="Aussen","Aussenlager",IF(CG1057="-","Nicht im Lift",IF(BJ1057&gt;=1,"Lift",IF(BJ1057&lt;=0,"Aussenlager","teilweise")))))</f>
        <v>Lift</v>
      </c>
      <c r="BN1057" s="60" t="str">
        <f aca="false">IF(A1057="","",IF(BW1057=1,"Neu; ","")&amp;IF(AND(BW1057=0,BR1057&lt;0),"negativer Bestand (Export "&amp;BR1057&amp;"); ","")&amp;IF(J1057&lt;=0,"Kein Verbrauch; ","")&amp;IF(CR1057&gt;0,"Lift "&amp;W1057&amp;" lt. Liftbericht (Fach "&amp;X1057&amp;" Stk); ",IF(CB1057=1,"Gebinde geschätzt ("&amp;T1057&amp;"); ",IF(CA1057=1,"Lose – Tablare geschätzt; ","")))&amp;IF(H1057&gt;AW1057,"Überbestand "&amp;ROUND(H1057-AW1057,0)&amp;" Stk / CHF "&amp;ROUND((H1057-AW1057)*G1057,0)&amp;"; ","")&amp;IF(AND(CI1057=1,CJ1057&lt;CK1057),"MAX &lt; MB+LG; ","")&amp;IF(AND(CQ1057&gt;0,CP1057*10&gt;CQ1057),"zu hoch für Tablar; ","")&amp;IF(AND(BW1057=0,OR(CI1057=1,AB1057&lt;&gt;"",U1057&lt;&gt;"",V1057&lt;&gt;"",AC1057&lt;&gt;"")),"manuell übersteuert; ","")&amp;IF(AND(CA1057=0,R1057=0),"Gebinde unbekannt / Stellmass fehlt; ","")&amp;IF(AND(CA1057=0,N(V1057)&lt;=0,N(Q1057)&lt;=0),"Menge pro Gebinde fehlt (Ist = 1 Gebinde); ","")&amp;BV1057)</f>
        <v>negativer Bestand (Export -2); </v>
      </c>
      <c r="BO1057" s="60"/>
      <c r="BP1057" s="60"/>
      <c r="BQ1057" s="67"/>
      <c r="BR1057" s="62" t="n">
        <v>-2</v>
      </c>
      <c r="BS1057" s="62" t="n">
        <v>6</v>
      </c>
      <c r="BT1057" s="61" t="n">
        <v>-148.26</v>
      </c>
      <c r="BU1057" s="62" t="n">
        <v>27</v>
      </c>
      <c r="BV1057" s="60"/>
      <c r="BW1057" s="65" t="n">
        <v>0</v>
      </c>
      <c r="BX1057" s="65" t="n">
        <v>1057</v>
      </c>
      <c r="BY1057" s="60" t="str">
        <f aca="false">IF(U1057&lt;&gt;"",UPPER(TRIM(U1057)),IF(CB1057=1,UPPER(VLOOKUP(T1057,Parameter!$I$27:$K$29,2,0)),IF(P1057="","LOSE",P1057)))</f>
        <v>S61</v>
      </c>
      <c r="BZ1057" s="62" t="n">
        <f aca="false">IF(BY1057="LOSE",1,IF(N(V1057)&gt;0,V1057,IF(CB1057=1,MAX(1,N(VLOOKUP(T1057,Parameter!$I$27:$K$29,3,0)),H1057,N(N1057)),IF(N(Q1057)&gt;0,Q1057,MAX(1,H1057)))))</f>
        <v>25</v>
      </c>
      <c r="CA1057" s="65" t="n">
        <f aca="false">IF(BY1057="LOSE",1,0)</f>
        <v>0</v>
      </c>
      <c r="CB1057" s="65" t="n">
        <f aca="false">IF(AND(U1057="",OR(P1057="",P1057="LOSE"),T1057&lt;&gt;"",N(S1057)&lt;=0,ISNUMBER(MATCH(T1057,Parameter!$I$27:$I$29,0))),1,0)</f>
        <v>0</v>
      </c>
      <c r="CC1057" s="65" t="n">
        <f aca="false">IF(CR1057&gt;0,INDEX(Parameter!$H$5:$H$7,W1057)/INDEX(Parameter!$E$5:$E$7,W1057),IF(AND(CA1057=0,N(IFERROR(VLOOKUP(BY1057,'Gebinde-Kategorie'!$A$5:$N$45,14,0),0))&gt;0),VLOOKUP(BY1057,'Gebinde-Kategorie'!$A$5:$N$45,14,0)*10+Parameter!$M$23,Parameter!$M$24))</f>
        <v>145</v>
      </c>
      <c r="CD1057" s="60" t="n">
        <f aca="false">IF(AND(Parameter!$B$19="Ja",E1057&lt;&gt;"",ISNUMBER(MATCH(E1057,Parameter!$I$35:$I$52,0))),VLOOKUP(E1057,Parameter!$I$35:$J$52,2,0),IFERROR(VLOOKUP(D1057,Parameter!$A$35:$C$64,2,0),"Nein"))</f>
        <v>1</v>
      </c>
      <c r="CE1057" s="64" t="n">
        <f aca="false">IF(CA1057=0,0,IF(N(S1057)&gt;0,S1057,IFERROR(VLOOKUP(D1057,Parameter!$A$35:$C$64,3,0)+0,0)))</f>
        <v>0</v>
      </c>
      <c r="CF1057" s="60" t="n">
        <f aca="false">IF(AB1057&lt;&gt;"",AB1057,AA1057)</f>
        <v>3</v>
      </c>
      <c r="CG1057" s="60" t="str">
        <f aca="false">IF(OR(CF1057=1,CF1057=2,CF1057=3),IF(Parameter!$E$27="Ja","LIFT",IF(CF1057=1,"L1","L23")),IF(CF1057="Aussen","Aussen","-"))</f>
        <v>LIFT</v>
      </c>
      <c r="CH1057" s="71" t="n">
        <f aca="false">IF(N(AC1057)&gt;0,AC1057,0)</f>
        <v>0</v>
      </c>
      <c r="CI1057" s="65" t="n">
        <f aca="false">IF(ISNUMBER(AF1057),1,0)</f>
        <v>0</v>
      </c>
      <c r="CJ1057" s="62" t="n">
        <f aca="false">N(AF1057)</f>
        <v>0</v>
      </c>
      <c r="CK1057" s="62" t="n">
        <f aca="false">N(M1057)+N(N1057)</f>
        <v>26</v>
      </c>
      <c r="CL1057" s="62" t="n">
        <f aca="false">N(M1057)</f>
        <v>1</v>
      </c>
      <c r="CM1057" s="62" t="n">
        <f aca="false">N(N1057)</f>
        <v>25</v>
      </c>
      <c r="CN1057" s="62" t="n">
        <f aca="false">ROUNDUP(H1057/BZ1057,0)</f>
        <v>1</v>
      </c>
      <c r="CO1057" s="62" t="n">
        <f aca="false">ROUNDUP(CJ1057/BZ1057,0)</f>
        <v>0</v>
      </c>
      <c r="CP1057" s="65" t="n">
        <f aca="false">IF(CA1057=1,0,IFERROR(VLOOKUP(BY1057,'Gebinde-Kategorie'!$A$5:$N$45,5,0)+0,0))</f>
        <v>11</v>
      </c>
      <c r="CQ1057" s="65" t="n">
        <f aca="false">IFERROR(IF(OR(CF1057=1,CF1057=2,CF1057=3),N(INDEX(Parameter!$I$5:$I$7,CF1057)),0),0)</f>
        <v>0</v>
      </c>
      <c r="CR1057" s="64" t="n">
        <f aca="false">IF(AND(Parameter!$B$21="Ja",ISNUMBER(W1057),N(X1057)&gt;0),IFERROR(N(INDEX(Parameter!$L$5:$L$7,W1057))*INDEX(Parameter!$E$5:$E$7,W1057)*X1057/SUMIFS($X$7:$X$1843,$W$7:$W$1843,W1057),0),0)</f>
        <v>0</v>
      </c>
      <c r="CS1057" s="62" t="n">
        <f aca="false">IF(AND(OR(CG1057="L1",CG1057="L23",CG1057="LIFT"),H1057&gt;0),CC1057*IF(CR1057&gt;0,CR1057*MAX(1,H1057/X1057),IF(CA1057=1,CE1057,IF(R1057&gt;0,CN1057/R1057,0))/MAX(0.1,N(Parameter!$M$21))),"")</f>
        <v>12.0833333333333</v>
      </c>
      <c r="CT1057" s="64" t="n">
        <f aca="false">IF(CS1057="","",J1057/H1057)</f>
        <v>6.75</v>
      </c>
      <c r="CU1057" s="62" t="n">
        <f aca="false">IF(CS1057="","",H1057*G1057)</f>
        <v>300</v>
      </c>
      <c r="CV1057" s="63" t="n">
        <f aca="false">IF(CS1057="","",(CL1057+ROUNDUP(CL1057+MAX(CM1057,2*(J1057/MAX(0.1,N(Einkauf!$C$6))-CL1057)),0))/2)</f>
        <v>13.5</v>
      </c>
      <c r="CW1057" s="62" t="n">
        <f aca="false">IF(CS1057="","",MAX(0,H1057-CV1057)*G1057)</f>
        <v>0</v>
      </c>
      <c r="CX1057" s="62" t="n">
        <f aca="false">IF(CS1057="","",CS1057*MAX(0,1-CV1057/H1057))</f>
        <v>0</v>
      </c>
      <c r="CY1057" s="64" t="n">
        <f aca="false">IF(CS1057="","",PERCENTRANK($CS$7:$CS$1843,CS1057)+PERCENTRANK($CU$7:$CU$1843,CU1057)+1-PERCENTRANK($CT$7:$CT$1843,CT1057))</f>
        <v>1.101</v>
      </c>
      <c r="CZ1057" s="72" t="n">
        <f aca="false">IF(CS1057="","",CHOOSE(MATCH(Einkauf!$C$5,Parameter!$G$23:$G$27,0),CY1057,CS1057,CU1057,-CT1057,CW1057)+ROW()/1000000000)</f>
        <v>1.101001057</v>
      </c>
    </row>
    <row r="1058" customFormat="false" ht="15" hidden="false" customHeight="false" outlineLevel="0" collapsed="false">
      <c r="A1058" s="60" t="s">
        <v>1976</v>
      </c>
      <c r="B1058" s="60" t="s">
        <v>1977</v>
      </c>
      <c r="C1058" s="60" t="s">
        <v>206</v>
      </c>
      <c r="D1058" s="60" t="s">
        <v>226</v>
      </c>
      <c r="E1058" s="60" t="s">
        <v>227</v>
      </c>
      <c r="F1058" s="60" t="s">
        <v>260</v>
      </c>
      <c r="G1058" s="61" t="n">
        <v>4.52</v>
      </c>
      <c r="H1058" s="62" t="n">
        <f aca="false">MAX(0,IF(AND(Parameter!$B$21="Ja",ISNUMBER(Y1058)),Y1058,IF(Parameter!$B$20="Jahresanfang 2025 + Export",BS1058+BR1058,BR1058)))</f>
        <v>42</v>
      </c>
      <c r="I1058" s="62" t="n">
        <f aca="false">H1058*G1058</f>
        <v>189.84</v>
      </c>
      <c r="J1058" s="62" t="n">
        <f aca="false">BU1058*Parameter!$B$18</f>
        <v>93</v>
      </c>
      <c r="K1058" s="63" t="n">
        <v>82.5</v>
      </c>
      <c r="L1058" s="64" t="n">
        <v>1.12727272727273</v>
      </c>
      <c r="M1058" s="62" t="n">
        <v>7</v>
      </c>
      <c r="N1058" s="62" t="n">
        <v>95</v>
      </c>
      <c r="O1058" s="65" t="n">
        <v>28</v>
      </c>
      <c r="P1058" s="60" t="s">
        <v>443</v>
      </c>
      <c r="Q1058" s="62" t="n">
        <v>55</v>
      </c>
      <c r="R1058" s="65" t="n">
        <f aca="false">IF(CA1058=1,0,IFERROR(VLOOKUP(BY1058,'Gebinde-Kategorie'!$A$5:$N$45,13,0)+0,0))</f>
        <v>280</v>
      </c>
      <c r="S1058" s="66"/>
      <c r="T1058" s="67"/>
      <c r="U1058" s="67"/>
      <c r="V1058" s="67"/>
      <c r="W1058" s="60"/>
      <c r="X1058" s="62"/>
      <c r="Y1058" s="62"/>
      <c r="Z1058" s="60" t="n">
        <v>1</v>
      </c>
      <c r="AA1058" s="60" t="n">
        <f aca="false">IF(A1058="","",IF(AND(Parameter!$B$21="Ja",ISNUMBER(W1058)),W1058,IF(AND(Parameter!$E$27="Ja",ISNUMBER(Z1058),CD1058&lt;&gt;"Nein"),Z1058,IF(CD1058="2+3",IF(ISNUMBER(SEARCH("grosser Artikel",BV1058)),2,IFERROR(VLOOKUP(BY1058,Parameter!$F$35:$G$64,2,0),2)),IF(OR(CD1058="Nein",CD1058=""),"-",CD1058)))))</f>
        <v>1</v>
      </c>
      <c r="AB1058" s="67"/>
      <c r="AC1058" s="68"/>
      <c r="AD1058" s="62" t="n">
        <f aca="false">AW1058</f>
        <v>102</v>
      </c>
      <c r="AE1058" s="62" t="n">
        <f aca="false">MAX(AW1058,H1058)</f>
        <v>102</v>
      </c>
      <c r="AF1058" s="69"/>
      <c r="AG1058" s="62" t="n">
        <f aca="false">IF(LEFT(Cockpit!$C$5,1)="A",H1058,IF(Parameter!$E$30="MAX-Bestand",IF(CI1058=1,CJ1058,IF(LEFT(Cockpit!$C$5,1)="B",AM1058,MAX(AM1058,H1058))),ROUNDUP(AK1058,0)))</f>
        <v>42</v>
      </c>
      <c r="AH1058" s="62" t="n">
        <f aca="false">IF(CA1058=1,0,ROUNDUP(AG1058/BZ1058,0))</f>
        <v>1</v>
      </c>
      <c r="AI1058" s="64" t="n">
        <f aca="false">IF(CR1058&gt;0,CR1058*MAX(1,AG1058/X1058),IF(CA1058=1,IF(AG1058&lt;=0,0,CE1058*MAX(1,IF(H1058&gt;0,AG1058/H1058,1))),IF(R1058&gt;0,AH1058/R1058,0))/MAX(0.1,N(Parameter!$M$21)))</f>
        <v>0.00357142857142857</v>
      </c>
      <c r="AJ1058" s="62" t="n">
        <f aca="false">AI1058*CC1058</f>
        <v>0.553571428571429</v>
      </c>
      <c r="AK1058" s="63" t="n">
        <f aca="false">IF(LEFT(Cockpit!$C$5,1)="A",H1058,IF(CI1058=1,(CL1058+CJ1058)/2,IF(LEFT(Cockpit!$C$5,1)="B",(CL1058+AM1058)/2,MAX((CL1058+AM1058)/2,H1058))))</f>
        <v>42</v>
      </c>
      <c r="AL1058" s="62" t="n">
        <f aca="false">AK1058*G1058</f>
        <v>189.84</v>
      </c>
      <c r="AM1058" s="62" t="n">
        <f aca="false">ROUNDUP(CL1058+MAX(CM1058,2*(J1058/IF(CH1058&gt;0,CH1058,MAX(0.1,N(Cockpit!$C$6)))-CL1058)),0)</f>
        <v>102</v>
      </c>
      <c r="AN1058" s="63" t="n">
        <f aca="false">IF(AJ1058&gt;0,J1058/AJ1058,-1)</f>
        <v>168</v>
      </c>
      <c r="AO1058" s="63" t="n">
        <f aca="false">IF(AND(OR(CG1058="L1",CG1058="L23",CG1058="LIFT"),AJ1058&gt;0),SUMIFS($AJ$7:$AJ$1843,$CG$7:$CG$1843,CG1058,$AN$7:$AN$1843,"&gt;"&amp;AN1058)+SUMIFS($AJ$7:$AJ$1843,$CG$7:$CG$1843,CG1058,$AN$7:$AN$1843,AN1058,$BX$7:$BX$1843,"&lt;="&amp;BX1058),"")</f>
        <v>408.385073260073</v>
      </c>
      <c r="AP1058" s="70" t="n">
        <f aca="false">IF(AO1058="",0,MAX(0,MIN(1,(IF(CG1058="L1",Parameter!$H$5,IF(CG1058="L23",Parameter!$H$6+Parameter!$H$7,Parameter!$H$5+Parameter!$H$6+Parameter!$H$7))-(AO1058-AJ1058))/AJ1058)))</f>
        <v>1</v>
      </c>
      <c r="AQ1058" s="62" t="n">
        <f aca="false">IF(LEFT(Cockpit!$I$5,1)="A",H1058,IF(Parameter!$E$30="MAX-Bestand",IF(CI1058=1,CJ1058,IF(LEFT(Cockpit!$I$5,1)="B",AW1058,MAX(AW1058,H1058))),ROUNDUP(AU1058,0)))</f>
        <v>55</v>
      </c>
      <c r="AR1058" s="62" t="n">
        <f aca="false">IF(CA1058=1,0,ROUNDUP(AQ1058/BZ1058,0))</f>
        <v>1</v>
      </c>
      <c r="AS1058" s="64" t="n">
        <f aca="false">IF(CR1058&gt;0,CR1058*MAX(1,AQ1058/X1058),IF(CA1058=1,IF(AQ1058&lt;=0,0,CE1058*MAX(1,IF(H1058&gt;0,AQ1058/H1058,1))),IF(R1058&gt;0,AR1058/R1058,0))/MAX(0.1,N(Parameter!$M$21)))</f>
        <v>0.00357142857142857</v>
      </c>
      <c r="AT1058" s="62" t="n">
        <f aca="false">AS1058*CC1058</f>
        <v>0.553571428571429</v>
      </c>
      <c r="AU1058" s="63" t="n">
        <f aca="false">IF(LEFT(Cockpit!$I$5,1)="A",H1058,IF(CI1058=1,(CL1058+CJ1058)/2,IF(LEFT(Cockpit!$I$5,1)="B",(CL1058+AW1058)/2,MAX((CL1058+AW1058)/2,H1058))))</f>
        <v>54.5</v>
      </c>
      <c r="AV1058" s="62" t="n">
        <f aca="false">AU1058*G1058</f>
        <v>246.34</v>
      </c>
      <c r="AW1058" s="62" t="n">
        <f aca="false">ROUNDUP(CL1058+MAX(CM1058,2*(J1058/IF(CH1058&gt;0,CH1058,MAX(0.1,N(Cockpit!$I$6)))-CL1058)),0)</f>
        <v>102</v>
      </c>
      <c r="AX1058" s="63" t="n">
        <f aca="false">IF(AT1058&gt;0,J1058/AT1058,-1)</f>
        <v>168</v>
      </c>
      <c r="AY1058" s="63" t="n">
        <f aca="false">IF(AND(OR(CG1058="L1",CG1058="L23",CG1058="LIFT"),AT1058&gt;0),SUMIFS($AT$7:$AT$1843,$CG$7:$CG$1843,CG1058,$AX$7:$AX$1843,"&gt;"&amp;AX1058)+SUMIFS($AT$7:$AT$1843,$CG$7:$CG$1843,CG1058,$AX$7:$AX$1843,AX1058,$BX$7:$BX$1843,"&lt;="&amp;BX1058),"")</f>
        <v>526.021978021978</v>
      </c>
      <c r="AZ1058" s="70" t="n">
        <f aca="false">IF(AY1058="",0,MAX(0,MIN(1,(IF(CG1058="L1",Parameter!$H$5,IF(CG1058="L23",Parameter!$H$6+Parameter!$H$7,Parameter!$H$5+Parameter!$H$6+Parameter!$H$7))-(AY1058-AT1058))/AT1058)))</f>
        <v>1</v>
      </c>
      <c r="BA1058" s="62" t="n">
        <f aca="false">IF(LEFT(Cockpit!$O$5,1)="A",H1058,IF(Parameter!$E$30="MAX-Bestand",IF(CI1058=1,CJ1058,IF(LEFT(Cockpit!$O$5,1)="B",BG1058,MAX(BG1058,H1058))),ROUNDUP(BE1058,0)))</f>
        <v>55</v>
      </c>
      <c r="BB1058" s="62" t="n">
        <f aca="false">IF(CA1058=1,0,ROUNDUP(BA1058/BZ1058,0))</f>
        <v>1</v>
      </c>
      <c r="BC1058" s="64" t="n">
        <f aca="false">IF(CR1058&gt;0,CR1058*MAX(1,BA1058/X1058),IF(CA1058=1,IF(BA1058&lt;=0,0,CE1058*MAX(1,IF(H1058&gt;0,BA1058/H1058,1))),IF(R1058&gt;0,BB1058/R1058,0))/MAX(0.1,N(Parameter!$M$21)))</f>
        <v>0.00357142857142857</v>
      </c>
      <c r="BD1058" s="62" t="n">
        <f aca="false">BC1058*CC1058</f>
        <v>0.553571428571429</v>
      </c>
      <c r="BE1058" s="63" t="n">
        <f aca="false">IF(LEFT(Cockpit!$O$5,1)="A",H1058,IF(CI1058=1,(CL1058+CJ1058)/2,IF(LEFT(Cockpit!$O$5,1)="B",(CL1058+BG1058)/2,MAX((CL1058+BG1058)/2,H1058))))</f>
        <v>54.5</v>
      </c>
      <c r="BF1058" s="62" t="n">
        <f aca="false">BE1058*G1058</f>
        <v>246.34</v>
      </c>
      <c r="BG1058" s="62" t="n">
        <f aca="false">ROUNDUP(CL1058+MAX(CM1058,2*(J1058/IF(CH1058&gt;0,CH1058,MAX(0.1,N(Cockpit!$O$6)))-CL1058)),0)</f>
        <v>102</v>
      </c>
      <c r="BH1058" s="63" t="n">
        <f aca="false">IF(BD1058&gt;0,J1058/BD1058,-1)</f>
        <v>168</v>
      </c>
      <c r="BI1058" s="63" t="n">
        <f aca="false">IF(AND(OR(CG1058="L1",CG1058="L23",CG1058="LIFT"),BD1058&gt;0),SUMIFS($BD$7:$BD$1843,$CG$7:$CG$1843,CG1058,$BH$7:$BH$1843,"&gt;"&amp;BH1058)+SUMIFS($BD$7:$BD$1843,$CG$7:$CG$1843,CG1058,$BH$7:$BH$1843,BH1058,$BX$7:$BX$1843,"&lt;="&amp;BX1058),"")</f>
        <v>520.201923076923</v>
      </c>
      <c r="BJ1058" s="70" t="n">
        <f aca="false">IF(BI1058="",0,MAX(0,MIN(1,(IF(CG1058="L1",Parameter!$H$5,IF(CG1058="L23",Parameter!$H$6+Parameter!$H$7,Parameter!$H$5+Parameter!$H$6+Parameter!$H$7))-(BI1058-BD1058))/BD1058)))</f>
        <v>1</v>
      </c>
      <c r="BK1058" s="60" t="str">
        <f aca="false">IF(AJ1058&lt;=0,"",IF(CG1058="Aussen","Aussenlager",IF(CG1058="-","Nicht im Lift",IF(AP1058&gt;=1,"Lift",IF(AP1058&lt;=0,"Aussenlager","teilweise")))))</f>
        <v>Lift</v>
      </c>
      <c r="BL1058" s="60" t="str">
        <f aca="false">IF(AT1058&lt;=0,"",IF(CG1058="Aussen","Aussenlager",IF(CG1058="-","Nicht im Lift",IF(AZ1058&gt;=1,"Lift",IF(AZ1058&lt;=0,"Aussenlager","teilweise")))))</f>
        <v>Lift</v>
      </c>
      <c r="BM1058" s="60" t="str">
        <f aca="false">IF(BD1058&lt;=0,"",IF(CG1058="Aussen","Aussenlager",IF(CG1058="-","Nicht im Lift",IF(BJ1058&gt;=1,"Lift",IF(BJ1058&lt;=0,"Aussenlager","teilweise")))))</f>
        <v>Lift</v>
      </c>
      <c r="BN1058" s="60" t="str">
        <f aca="false">IF(A1058="","",IF(BW1058=1,"Neu; ","")&amp;IF(AND(BW1058=0,BR1058&lt;0),"negativer Bestand (Export "&amp;BR1058&amp;"); ","")&amp;IF(J1058&lt;=0,"Kein Verbrauch; ","")&amp;IF(CR1058&gt;0,"Lift "&amp;W1058&amp;" lt. Liftbericht (Fach "&amp;X1058&amp;" Stk); ",IF(CB1058=1,"Gebinde geschätzt ("&amp;T1058&amp;"); ",IF(CA1058=1,"Lose – Tablare geschätzt; ","")))&amp;IF(H1058&gt;AW1058,"Überbestand "&amp;ROUND(H1058-AW1058,0)&amp;" Stk / CHF "&amp;ROUND((H1058-AW1058)*G1058,0)&amp;"; ","")&amp;IF(AND(CI1058=1,CJ1058&lt;CK1058),"MAX &lt; MB+LG; ","")&amp;IF(AND(CQ1058&gt;0,CP1058*10&gt;CQ1058),"zu hoch für Tablar; ","")&amp;IF(AND(BW1058=0,OR(CI1058=1,AB1058&lt;&gt;"",U1058&lt;&gt;"",V1058&lt;&gt;"",AC1058&lt;&gt;"")),"manuell übersteuert; ","")&amp;IF(AND(CA1058=0,R1058=0),"Gebinde unbekannt / Stellmass fehlt; ","")&amp;IF(AND(CA1058=0,N(V1058)&lt;=0,N(Q1058)&lt;=0),"Menge pro Gebinde fehlt (Ist = 1 Gebinde); ","")&amp;BV1058)</f>
        <v>negativer Bestand (Export -39); </v>
      </c>
      <c r="BO1058" s="60"/>
      <c r="BP1058" s="60"/>
      <c r="BQ1058" s="67"/>
      <c r="BR1058" s="62" t="n">
        <v>-39</v>
      </c>
      <c r="BS1058" s="62" t="n">
        <v>81</v>
      </c>
      <c r="BT1058" s="61" t="n">
        <v>-152.79</v>
      </c>
      <c r="BU1058" s="62" t="n">
        <v>93</v>
      </c>
      <c r="BV1058" s="60"/>
      <c r="BW1058" s="65" t="n">
        <v>0</v>
      </c>
      <c r="BX1058" s="65" t="n">
        <v>1058</v>
      </c>
      <c r="BY1058" s="60" t="str">
        <f aca="false">IF(U1058&lt;&gt;"",UPPER(TRIM(U1058)),IF(CB1058=1,UPPER(VLOOKUP(T1058,Parameter!$I$27:$K$29,2,0)),IF(P1058="","LOSE",P1058)))</f>
        <v>S21</v>
      </c>
      <c r="BZ1058" s="62" t="n">
        <f aca="false">IF(BY1058="LOSE",1,IF(N(V1058)&gt;0,V1058,IF(CB1058=1,MAX(1,N(VLOOKUP(T1058,Parameter!$I$27:$K$29,3,0)),H1058,N(N1058)),IF(N(Q1058)&gt;0,Q1058,MAX(1,H1058)))))</f>
        <v>55</v>
      </c>
      <c r="CA1058" s="65" t="n">
        <f aca="false">IF(BY1058="LOSE",1,0)</f>
        <v>0</v>
      </c>
      <c r="CB1058" s="65" t="n">
        <f aca="false">IF(AND(U1058="",OR(P1058="",P1058="LOSE"),T1058&lt;&gt;"",N(S1058)&lt;=0,ISNUMBER(MATCH(T1058,Parameter!$I$27:$I$29,0))),1,0)</f>
        <v>0</v>
      </c>
      <c r="CC1058" s="65" t="n">
        <f aca="false">IF(CR1058&gt;0,INDEX(Parameter!$H$5:$H$7,W1058)/INDEX(Parameter!$E$5:$E$7,W1058),IF(AND(CA1058=0,N(IFERROR(VLOOKUP(BY1058,'Gebinde-Kategorie'!$A$5:$N$45,14,0),0))&gt;0),VLOOKUP(BY1058,'Gebinde-Kategorie'!$A$5:$N$45,14,0)*10+Parameter!$M$23,Parameter!$M$24))</f>
        <v>155</v>
      </c>
      <c r="CD1058" s="60" t="str">
        <f aca="false">IF(AND(Parameter!$B$19="Ja",E1058&lt;&gt;"",ISNUMBER(MATCH(E1058,Parameter!$I$35:$I$52,0))),VLOOKUP(E1058,Parameter!$I$35:$J$52,2,0),IFERROR(VLOOKUP(D1058,Parameter!$A$35:$C$64,2,0),"Nein"))</f>
        <v>2+3</v>
      </c>
      <c r="CE1058" s="64" t="n">
        <f aca="false">IF(CA1058=0,0,IF(N(S1058)&gt;0,S1058,IFERROR(VLOOKUP(D1058,Parameter!$A$35:$C$64,3,0)+0,0)))</f>
        <v>0</v>
      </c>
      <c r="CF1058" s="60" t="n">
        <f aca="false">IF(AB1058&lt;&gt;"",AB1058,AA1058)</f>
        <v>1</v>
      </c>
      <c r="CG1058" s="60" t="str">
        <f aca="false">IF(OR(CF1058=1,CF1058=2,CF1058=3),IF(Parameter!$E$27="Ja","LIFT",IF(CF1058=1,"L1","L23")),IF(CF1058="Aussen","Aussen","-"))</f>
        <v>LIFT</v>
      </c>
      <c r="CH1058" s="71" t="n">
        <f aca="false">IF(N(AC1058)&gt;0,AC1058,0)</f>
        <v>0</v>
      </c>
      <c r="CI1058" s="65" t="n">
        <f aca="false">IF(ISNUMBER(AF1058),1,0)</f>
        <v>0</v>
      </c>
      <c r="CJ1058" s="62" t="n">
        <f aca="false">N(AF1058)</f>
        <v>0</v>
      </c>
      <c r="CK1058" s="62" t="n">
        <f aca="false">N(M1058)+N(N1058)</f>
        <v>102</v>
      </c>
      <c r="CL1058" s="62" t="n">
        <f aca="false">N(M1058)</f>
        <v>7</v>
      </c>
      <c r="CM1058" s="62" t="n">
        <f aca="false">N(N1058)</f>
        <v>95</v>
      </c>
      <c r="CN1058" s="62" t="n">
        <f aca="false">ROUNDUP(H1058/BZ1058,0)</f>
        <v>1</v>
      </c>
      <c r="CO1058" s="62" t="n">
        <f aca="false">ROUNDUP(CJ1058/BZ1058,0)</f>
        <v>0</v>
      </c>
      <c r="CP1058" s="65" t="n">
        <f aca="false">IF(CA1058=1,0,IFERROR(VLOOKUP(BY1058,'Gebinde-Kategorie'!$A$5:$N$45,5,0)+0,0))</f>
        <v>8</v>
      </c>
      <c r="CQ1058" s="65" t="n">
        <f aca="false">IFERROR(IF(OR(CF1058=1,CF1058=2,CF1058=3),N(INDEX(Parameter!$I$5:$I$7,CF1058)),0),0)</f>
        <v>0</v>
      </c>
      <c r="CR1058" s="64" t="n">
        <f aca="false">IF(AND(Parameter!$B$21="Ja",ISNUMBER(W1058),N(X1058)&gt;0),IFERROR(N(INDEX(Parameter!$L$5:$L$7,W1058))*INDEX(Parameter!$E$5:$E$7,W1058)*X1058/SUMIFS($X$7:$X$1843,$W$7:$W$1843,W1058),0),0)</f>
        <v>0</v>
      </c>
      <c r="CS1058" s="62" t="n">
        <f aca="false">IF(AND(OR(CG1058="L1",CG1058="L23",CG1058="LIFT"),H1058&gt;0),CC1058*IF(CR1058&gt;0,CR1058*MAX(1,H1058/X1058),IF(CA1058=1,CE1058,IF(R1058&gt;0,CN1058/R1058,0))/MAX(0.1,N(Parameter!$M$21))),"")</f>
        <v>0.553571428571429</v>
      </c>
      <c r="CT1058" s="64" t="n">
        <f aca="false">IF(CS1058="","",J1058/H1058)</f>
        <v>2.21428571428571</v>
      </c>
      <c r="CU1058" s="62" t="n">
        <f aca="false">IF(CS1058="","",H1058*G1058)</f>
        <v>189.84</v>
      </c>
      <c r="CV1058" s="63" t="n">
        <f aca="false">IF(CS1058="","",(CL1058+ROUNDUP(CL1058+MAX(CM1058,2*(J1058/MAX(0.1,N(Einkauf!$C$6))-CL1058)),0))/2)</f>
        <v>54.5</v>
      </c>
      <c r="CW1058" s="62" t="n">
        <f aca="false">IF(CS1058="","",MAX(0,H1058-CV1058)*G1058)</f>
        <v>0</v>
      </c>
      <c r="CX1058" s="62" t="n">
        <f aca="false">IF(CS1058="","",CS1058*MAX(0,1-CV1058/H1058))</f>
        <v>0</v>
      </c>
      <c r="CY1058" s="64" t="n">
        <f aca="false">IF(CS1058="","",PERCENTRANK($CS$7:$CS$1843,CS1058)+PERCENTRANK($CU$7:$CU$1843,CU1058)+1-PERCENTRANK($CT$7:$CT$1843,CT1058))</f>
        <v>0.509</v>
      </c>
      <c r="CZ1058" s="72" t="n">
        <f aca="false">IF(CS1058="","",CHOOSE(MATCH(Einkauf!$C$5,Parameter!$G$23:$G$27,0),CY1058,CS1058,CU1058,-CT1058,CW1058)+ROW()/1000000000)</f>
        <v>0.509001058</v>
      </c>
    </row>
    <row r="1059" customFormat="false" ht="15" hidden="false" customHeight="false" outlineLevel="0" collapsed="false">
      <c r="A1059" s="60" t="s">
        <v>1978</v>
      </c>
      <c r="B1059" s="60" t="s">
        <v>1165</v>
      </c>
      <c r="C1059" s="60" t="s">
        <v>206</v>
      </c>
      <c r="D1059" s="60" t="s">
        <v>226</v>
      </c>
      <c r="E1059" s="60" t="s">
        <v>227</v>
      </c>
      <c r="F1059" s="60" t="s">
        <v>260</v>
      </c>
      <c r="G1059" s="61" t="n">
        <v>4.18</v>
      </c>
      <c r="H1059" s="62" t="n">
        <f aca="false">MAX(0,IF(AND(Parameter!$B$21="Ja",ISNUMBER(Y1059)),Y1059,IF(Parameter!$B$20="Jahresanfang 2025 + Export",BS1059+BR1059,BR1059)))</f>
        <v>5</v>
      </c>
      <c r="I1059" s="62" t="n">
        <f aca="false">H1059*G1059</f>
        <v>20.9</v>
      </c>
      <c r="J1059" s="62" t="n">
        <f aca="false">BU1059*Parameter!$B$18</f>
        <v>17</v>
      </c>
      <c r="K1059" s="63" t="n">
        <v>31</v>
      </c>
      <c r="L1059" s="64" t="n">
        <v>0.548387096774194</v>
      </c>
      <c r="M1059" s="62" t="n">
        <v>1</v>
      </c>
      <c r="N1059" s="62" t="n">
        <v>15</v>
      </c>
      <c r="O1059" s="65" t="n">
        <v>28</v>
      </c>
      <c r="P1059" s="60" t="s">
        <v>268</v>
      </c>
      <c r="Q1059" s="62" t="n">
        <v>105</v>
      </c>
      <c r="R1059" s="65" t="n">
        <f aca="false">IF(CA1059=1,0,IFERROR(VLOOKUP(BY1059,'Gebinde-Kategorie'!$A$5:$N$45,13,0)+0,0))</f>
        <v>12</v>
      </c>
      <c r="S1059" s="66"/>
      <c r="T1059" s="67"/>
      <c r="U1059" s="67"/>
      <c r="V1059" s="67"/>
      <c r="W1059" s="60"/>
      <c r="X1059" s="62"/>
      <c r="Y1059" s="62"/>
      <c r="Z1059" s="60" t="n">
        <v>3</v>
      </c>
      <c r="AA1059" s="60" t="n">
        <f aca="false">IF(A1059="","",IF(AND(Parameter!$B$21="Ja",ISNUMBER(W1059)),W1059,IF(AND(Parameter!$E$27="Ja",ISNUMBER(Z1059),CD1059&lt;&gt;"Nein"),Z1059,IF(CD1059="2+3",IF(ISNUMBER(SEARCH("grosser Artikel",BV1059)),2,IFERROR(VLOOKUP(BY1059,Parameter!$F$35:$G$64,2,0),2)),IF(OR(CD1059="Nein",CD1059=""),"-",CD1059)))))</f>
        <v>3</v>
      </c>
      <c r="AB1059" s="67"/>
      <c r="AC1059" s="68"/>
      <c r="AD1059" s="62" t="n">
        <f aca="false">AW1059</f>
        <v>16</v>
      </c>
      <c r="AE1059" s="62" t="n">
        <f aca="false">MAX(AW1059,H1059)</f>
        <v>16</v>
      </c>
      <c r="AF1059" s="69"/>
      <c r="AG1059" s="62" t="n">
        <f aca="false">IF(LEFT(Cockpit!$C$5,1)="A",H1059,IF(Parameter!$E$30="MAX-Bestand",IF(CI1059=1,CJ1059,IF(LEFT(Cockpit!$C$5,1)="B",AM1059,MAX(AM1059,H1059))),ROUNDUP(AK1059,0)))</f>
        <v>5</v>
      </c>
      <c r="AH1059" s="62" t="n">
        <f aca="false">IF(CA1059=1,0,ROUNDUP(AG1059/BZ1059,0))</f>
        <v>1</v>
      </c>
      <c r="AI1059" s="64" t="n">
        <f aca="false">IF(CR1059&gt;0,CR1059*MAX(1,AG1059/X1059),IF(CA1059=1,IF(AG1059&lt;=0,0,CE1059*MAX(1,IF(H1059&gt;0,AG1059/H1059,1))),IF(R1059&gt;0,AH1059/R1059,0))/MAX(0.1,N(Parameter!$M$21)))</f>
        <v>0.0833333333333333</v>
      </c>
      <c r="AJ1059" s="62" t="n">
        <f aca="false">AI1059*CC1059</f>
        <v>28.75</v>
      </c>
      <c r="AK1059" s="63" t="n">
        <f aca="false">IF(LEFT(Cockpit!$C$5,1)="A",H1059,IF(CI1059=1,(CL1059+CJ1059)/2,IF(LEFT(Cockpit!$C$5,1)="B",(CL1059+AM1059)/2,MAX((CL1059+AM1059)/2,H1059))))</f>
        <v>5</v>
      </c>
      <c r="AL1059" s="62" t="n">
        <f aca="false">AK1059*G1059</f>
        <v>20.9</v>
      </c>
      <c r="AM1059" s="62" t="n">
        <f aca="false">ROUNDUP(CL1059+MAX(CM1059,2*(J1059/IF(CH1059&gt;0,CH1059,MAX(0.1,N(Cockpit!$C$6)))-CL1059)),0)</f>
        <v>16</v>
      </c>
      <c r="AN1059" s="63" t="n">
        <f aca="false">IF(AJ1059&gt;0,J1059/AJ1059,-1)</f>
        <v>0.591304347826087</v>
      </c>
      <c r="AO1059" s="63" t="n">
        <f aca="false">IF(AND(OR(CG1059="L1",CG1059="L23",CG1059="LIFT"),AJ1059&gt;0),SUMIFS($AJ$7:$AJ$1843,$CG$7:$CG$1843,CG1059,$AN$7:$AN$1843,"&gt;"&amp;AN1059)+SUMIFS($AJ$7:$AJ$1843,$CG$7:$CG$1843,CG1059,$AN$7:$AN$1843,AN1059,$BX$7:$BX$1843,"&lt;="&amp;BX1059),"")</f>
        <v>9259.11947703897</v>
      </c>
      <c r="AP1059" s="70" t="n">
        <f aca="false">IF(AO1059="",0,MAX(0,MIN(1,(IF(CG1059="L1",Parameter!$H$5,IF(CG1059="L23",Parameter!$H$6+Parameter!$H$7,Parameter!$H$5+Parameter!$H$6+Parameter!$H$7))-(AO1059-AJ1059))/AJ1059)))</f>
        <v>1</v>
      </c>
      <c r="AQ1059" s="62" t="n">
        <f aca="false">IF(LEFT(Cockpit!$I$5,1)="A",H1059,IF(Parameter!$E$30="MAX-Bestand",IF(CI1059=1,CJ1059,IF(LEFT(Cockpit!$I$5,1)="B",AW1059,MAX(AW1059,H1059))),ROUNDUP(AU1059,0)))</f>
        <v>9</v>
      </c>
      <c r="AR1059" s="62" t="n">
        <f aca="false">IF(CA1059=1,0,ROUNDUP(AQ1059/BZ1059,0))</f>
        <v>1</v>
      </c>
      <c r="AS1059" s="64" t="n">
        <f aca="false">IF(CR1059&gt;0,CR1059*MAX(1,AQ1059/X1059),IF(CA1059=1,IF(AQ1059&lt;=0,0,CE1059*MAX(1,IF(H1059&gt;0,AQ1059/H1059,1))),IF(R1059&gt;0,AR1059/R1059,0))/MAX(0.1,N(Parameter!$M$21)))</f>
        <v>0.0833333333333333</v>
      </c>
      <c r="AT1059" s="62" t="n">
        <f aca="false">AS1059*CC1059</f>
        <v>28.75</v>
      </c>
      <c r="AU1059" s="63" t="n">
        <f aca="false">IF(LEFT(Cockpit!$I$5,1)="A",H1059,IF(CI1059=1,(CL1059+CJ1059)/2,IF(LEFT(Cockpit!$I$5,1)="B",(CL1059+AW1059)/2,MAX((CL1059+AW1059)/2,H1059))))</f>
        <v>8.5</v>
      </c>
      <c r="AV1059" s="62" t="n">
        <f aca="false">AU1059*G1059</f>
        <v>35.53</v>
      </c>
      <c r="AW1059" s="62" t="n">
        <f aca="false">ROUNDUP(CL1059+MAX(CM1059,2*(J1059/IF(CH1059&gt;0,CH1059,MAX(0.1,N(Cockpit!$I$6)))-CL1059)),0)</f>
        <v>16</v>
      </c>
      <c r="AX1059" s="63" t="n">
        <f aca="false">IF(AT1059&gt;0,J1059/AT1059,-1)</f>
        <v>0.591304347826087</v>
      </c>
      <c r="AY1059" s="63" t="n">
        <f aca="false">IF(AND(OR(CG1059="L1",CG1059="L23",CG1059="LIFT"),AT1059&gt;0),SUMIFS($AT$7:$AT$1843,$CG$7:$CG$1843,CG1059,$AX$7:$AX$1843,"&gt;"&amp;AX1059)+SUMIFS($AT$7:$AT$1843,$CG$7:$CG$1843,CG1059,$AX$7:$AX$1843,AX1059,$BX$7:$BX$1843,"&lt;="&amp;BX1059),"")</f>
        <v>11266.032967033</v>
      </c>
      <c r="AZ1059" s="70" t="n">
        <f aca="false">IF(AY1059="",0,MAX(0,MIN(1,(IF(CG1059="L1",Parameter!$H$5,IF(CG1059="L23",Parameter!$H$6+Parameter!$H$7,Parameter!$H$5+Parameter!$H$6+Parameter!$H$7))-(AY1059-AT1059))/AT1059)))</f>
        <v>1</v>
      </c>
      <c r="BA1059" s="62" t="n">
        <f aca="false">IF(LEFT(Cockpit!$O$5,1)="A",H1059,IF(Parameter!$E$30="MAX-Bestand",IF(CI1059=1,CJ1059,IF(LEFT(Cockpit!$O$5,1)="B",BG1059,MAX(BG1059,H1059))),ROUNDUP(BE1059,0)))</f>
        <v>9</v>
      </c>
      <c r="BB1059" s="62" t="n">
        <f aca="false">IF(CA1059=1,0,ROUNDUP(BA1059/BZ1059,0))</f>
        <v>1</v>
      </c>
      <c r="BC1059" s="64" t="n">
        <f aca="false">IF(CR1059&gt;0,CR1059*MAX(1,BA1059/X1059),IF(CA1059=1,IF(BA1059&lt;=0,0,CE1059*MAX(1,IF(H1059&gt;0,BA1059/H1059,1))),IF(R1059&gt;0,BB1059/R1059,0))/MAX(0.1,N(Parameter!$M$21)))</f>
        <v>0.0833333333333333</v>
      </c>
      <c r="BD1059" s="62" t="n">
        <f aca="false">BC1059*CC1059</f>
        <v>28.75</v>
      </c>
      <c r="BE1059" s="63" t="n">
        <f aca="false">IF(LEFT(Cockpit!$O$5,1)="A",H1059,IF(CI1059=1,(CL1059+CJ1059)/2,IF(LEFT(Cockpit!$O$5,1)="B",(CL1059+BG1059)/2,MAX((CL1059+BG1059)/2,H1059))))</f>
        <v>8.5</v>
      </c>
      <c r="BF1059" s="62" t="n">
        <f aca="false">BE1059*G1059</f>
        <v>35.53</v>
      </c>
      <c r="BG1059" s="62" t="n">
        <f aca="false">ROUNDUP(CL1059+MAX(CM1059,2*(J1059/IF(CH1059&gt;0,CH1059,MAX(0.1,N(Cockpit!$O$6)))-CL1059)),0)</f>
        <v>16</v>
      </c>
      <c r="BH1059" s="63" t="n">
        <f aca="false">IF(BD1059&gt;0,J1059/BD1059,-1)</f>
        <v>0.591304347826087</v>
      </c>
      <c r="BI1059" s="63" t="n">
        <f aca="false">IF(AND(OR(CG1059="L1",CG1059="L23",CG1059="LIFT"),BD1059&gt;0),SUMIFS($BD$7:$BD$1843,$CG$7:$CG$1843,CG1059,$BH$7:$BH$1843,"&gt;"&amp;BH1059)+SUMIFS($BD$7:$BD$1843,$CG$7:$CG$1843,CG1059,$BH$7:$BH$1843,BH1059,$BX$7:$BX$1843,"&lt;="&amp;BX1059),"")</f>
        <v>9958.45558608059</v>
      </c>
      <c r="BJ1059" s="70" t="n">
        <f aca="false">IF(BI1059="",0,MAX(0,MIN(1,(IF(CG1059="L1",Parameter!$H$5,IF(CG1059="L23",Parameter!$H$6+Parameter!$H$7,Parameter!$H$5+Parameter!$H$6+Parameter!$H$7))-(BI1059-BD1059))/BD1059)))</f>
        <v>1</v>
      </c>
      <c r="BK1059" s="60" t="str">
        <f aca="false">IF(AJ1059&lt;=0,"",IF(CG1059="Aussen","Aussenlager",IF(CG1059="-","Nicht im Lift",IF(AP1059&gt;=1,"Lift",IF(AP1059&lt;=0,"Aussenlager","teilweise")))))</f>
        <v>Lift</v>
      </c>
      <c r="BL1059" s="60" t="str">
        <f aca="false">IF(AT1059&lt;=0,"",IF(CG1059="Aussen","Aussenlager",IF(CG1059="-","Nicht im Lift",IF(AZ1059&gt;=1,"Lift",IF(AZ1059&lt;=0,"Aussenlager","teilweise")))))</f>
        <v>Lift</v>
      </c>
      <c r="BM1059" s="60" t="str">
        <f aca="false">IF(BD1059&lt;=0,"",IF(CG1059="Aussen","Aussenlager",IF(CG1059="-","Nicht im Lift",IF(BJ1059&gt;=1,"Lift",IF(BJ1059&lt;=0,"Aussenlager","teilweise")))))</f>
        <v>Lift</v>
      </c>
      <c r="BN1059" s="60" t="str">
        <f aca="false">IF(A1059="","",IF(BW1059=1,"Neu; ","")&amp;IF(AND(BW1059=0,BR1059&lt;0),"negativer Bestand (Export "&amp;BR1059&amp;"); ","")&amp;IF(J1059&lt;=0,"Kein Verbrauch; ","")&amp;IF(CR1059&gt;0,"Lift "&amp;W1059&amp;" lt. Liftbericht (Fach "&amp;X1059&amp;" Stk); ",IF(CB1059=1,"Gebinde geschätzt ("&amp;T1059&amp;"); ",IF(CA1059=1,"Lose – Tablare geschätzt; ","")))&amp;IF(H1059&gt;AW1059,"Überbestand "&amp;ROUND(H1059-AW1059,0)&amp;" Stk / CHF "&amp;ROUND((H1059-AW1059)*G1059,0)&amp;"; ","")&amp;IF(AND(CI1059=1,CJ1059&lt;CK1059),"MAX &lt; MB+LG; ","")&amp;IF(AND(CQ1059&gt;0,CP1059*10&gt;CQ1059),"zu hoch für Tablar; ","")&amp;IF(AND(BW1059=0,OR(CI1059=1,AB1059&lt;&gt;"",U1059&lt;&gt;"",V1059&lt;&gt;"",AC1059&lt;&gt;"")),"manuell übersteuert; ","")&amp;IF(AND(CA1059=0,R1059=0),"Gebinde unbekannt / Stellmass fehlt; ","")&amp;IF(AND(CA1059=0,N(V1059)&lt;=0,N(Q1059)&lt;=0),"Menge pro Gebinde fehlt (Ist = 1 Gebinde); ","")&amp;BV1059)</f>
        <v>negativer Bestand (Export -37); Handlager</v>
      </c>
      <c r="BO1059" s="60"/>
      <c r="BP1059" s="60"/>
      <c r="BQ1059" s="67"/>
      <c r="BR1059" s="62" t="n">
        <v>-37</v>
      </c>
      <c r="BS1059" s="62" t="n">
        <v>42</v>
      </c>
      <c r="BT1059" s="61" t="n">
        <v>-154.66</v>
      </c>
      <c r="BU1059" s="62" t="n">
        <v>17</v>
      </c>
      <c r="BV1059" s="60" t="s">
        <v>937</v>
      </c>
      <c r="BW1059" s="65" t="n">
        <v>0</v>
      </c>
      <c r="BX1059" s="65" t="n">
        <v>1059</v>
      </c>
      <c r="BY1059" s="60" t="str">
        <f aca="false">IF(U1059&lt;&gt;"",UPPER(TRIM(U1059)),IF(CB1059=1,UPPER(VLOOKUP(T1059,Parameter!$I$27:$K$29,2,0)),IF(P1059="","LOSE",P1059)))</f>
        <v>S63</v>
      </c>
      <c r="BZ1059" s="62" t="n">
        <f aca="false">IF(BY1059="LOSE",1,IF(N(V1059)&gt;0,V1059,IF(CB1059=1,MAX(1,N(VLOOKUP(T1059,Parameter!$I$27:$K$29,3,0)),H1059,N(N1059)),IF(N(Q1059)&gt;0,Q1059,MAX(1,H1059)))))</f>
        <v>105</v>
      </c>
      <c r="CA1059" s="65" t="n">
        <f aca="false">IF(BY1059="LOSE",1,0)</f>
        <v>0</v>
      </c>
      <c r="CB1059" s="65" t="n">
        <f aca="false">IF(AND(U1059="",OR(P1059="",P1059="LOSE"),T1059&lt;&gt;"",N(S1059)&lt;=0,ISNUMBER(MATCH(T1059,Parameter!$I$27:$I$29,0))),1,0)</f>
        <v>0</v>
      </c>
      <c r="CC1059" s="65" t="n">
        <f aca="false">IF(CR1059&gt;0,INDEX(Parameter!$H$5:$H$7,W1059)/INDEX(Parameter!$E$5:$E$7,W1059),IF(AND(CA1059=0,N(IFERROR(VLOOKUP(BY1059,'Gebinde-Kategorie'!$A$5:$N$45,14,0),0))&gt;0),VLOOKUP(BY1059,'Gebinde-Kategorie'!$A$5:$N$45,14,0)*10+Parameter!$M$23,Parameter!$M$24))</f>
        <v>345</v>
      </c>
      <c r="CD1059" s="60" t="str">
        <f aca="false">IF(AND(Parameter!$B$19="Ja",E1059&lt;&gt;"",ISNUMBER(MATCH(E1059,Parameter!$I$35:$I$52,0))),VLOOKUP(E1059,Parameter!$I$35:$J$52,2,0),IFERROR(VLOOKUP(D1059,Parameter!$A$35:$C$64,2,0),"Nein"))</f>
        <v>2+3</v>
      </c>
      <c r="CE1059" s="64" t="n">
        <f aca="false">IF(CA1059=0,0,IF(N(S1059)&gt;0,S1059,IFERROR(VLOOKUP(D1059,Parameter!$A$35:$C$64,3,0)+0,0)))</f>
        <v>0</v>
      </c>
      <c r="CF1059" s="60" t="n">
        <f aca="false">IF(AB1059&lt;&gt;"",AB1059,AA1059)</f>
        <v>3</v>
      </c>
      <c r="CG1059" s="60" t="str">
        <f aca="false">IF(OR(CF1059=1,CF1059=2,CF1059=3),IF(Parameter!$E$27="Ja","LIFT",IF(CF1059=1,"L1","L23")),IF(CF1059="Aussen","Aussen","-"))</f>
        <v>LIFT</v>
      </c>
      <c r="CH1059" s="71" t="n">
        <f aca="false">IF(N(AC1059)&gt;0,AC1059,0)</f>
        <v>0</v>
      </c>
      <c r="CI1059" s="65" t="n">
        <f aca="false">IF(ISNUMBER(AF1059),1,0)</f>
        <v>0</v>
      </c>
      <c r="CJ1059" s="62" t="n">
        <f aca="false">N(AF1059)</f>
        <v>0</v>
      </c>
      <c r="CK1059" s="62" t="n">
        <f aca="false">N(M1059)+N(N1059)</f>
        <v>16</v>
      </c>
      <c r="CL1059" s="62" t="n">
        <f aca="false">N(M1059)</f>
        <v>1</v>
      </c>
      <c r="CM1059" s="62" t="n">
        <f aca="false">N(N1059)</f>
        <v>15</v>
      </c>
      <c r="CN1059" s="62" t="n">
        <f aca="false">ROUNDUP(H1059/BZ1059,0)</f>
        <v>1</v>
      </c>
      <c r="CO1059" s="62" t="n">
        <f aca="false">ROUNDUP(CJ1059/BZ1059,0)</f>
        <v>0</v>
      </c>
      <c r="CP1059" s="65" t="n">
        <f aca="false">IF(CA1059=1,0,IFERROR(VLOOKUP(BY1059,'Gebinde-Kategorie'!$A$5:$N$45,5,0)+0,0))</f>
        <v>31</v>
      </c>
      <c r="CQ1059" s="65" t="n">
        <f aca="false">IFERROR(IF(OR(CF1059=1,CF1059=2,CF1059=3),N(INDEX(Parameter!$I$5:$I$7,CF1059)),0),0)</f>
        <v>0</v>
      </c>
      <c r="CR1059" s="64" t="n">
        <f aca="false">IF(AND(Parameter!$B$21="Ja",ISNUMBER(W1059),N(X1059)&gt;0),IFERROR(N(INDEX(Parameter!$L$5:$L$7,W1059))*INDEX(Parameter!$E$5:$E$7,W1059)*X1059/SUMIFS($X$7:$X$1843,$W$7:$W$1843,W1059),0),0)</f>
        <v>0</v>
      </c>
      <c r="CS1059" s="62" t="n">
        <f aca="false">IF(AND(OR(CG1059="L1",CG1059="L23",CG1059="LIFT"),H1059&gt;0),CC1059*IF(CR1059&gt;0,CR1059*MAX(1,H1059/X1059),IF(CA1059=1,CE1059,IF(R1059&gt;0,CN1059/R1059,0))/MAX(0.1,N(Parameter!$M$21))),"")</f>
        <v>28.75</v>
      </c>
      <c r="CT1059" s="64" t="n">
        <f aca="false">IF(CS1059="","",J1059/H1059)</f>
        <v>3.4</v>
      </c>
      <c r="CU1059" s="62" t="n">
        <f aca="false">IF(CS1059="","",H1059*G1059)</f>
        <v>20.9</v>
      </c>
      <c r="CV1059" s="63" t="n">
        <f aca="false">IF(CS1059="","",(CL1059+ROUNDUP(CL1059+MAX(CM1059,2*(J1059/MAX(0.1,N(Einkauf!$C$6))-CL1059)),0))/2)</f>
        <v>8.5</v>
      </c>
      <c r="CW1059" s="62" t="n">
        <f aca="false">IF(CS1059="","",MAX(0,H1059-CV1059)*G1059)</f>
        <v>0</v>
      </c>
      <c r="CX1059" s="62" t="n">
        <f aca="false">IF(CS1059="","",CS1059*MAX(0,1-CV1059/H1059))</f>
        <v>0</v>
      </c>
      <c r="CY1059" s="64" t="n">
        <f aca="false">IF(CS1059="","",PERCENTRANK($CS$7:$CS$1843,CS1059)+PERCENTRANK($CU$7:$CU$1843,CU1059)+1-PERCENTRANK($CT$7:$CT$1843,CT1059))</f>
        <v>0.99</v>
      </c>
      <c r="CZ1059" s="72" t="n">
        <f aca="false">IF(CS1059="","",CHOOSE(MATCH(Einkauf!$C$5,Parameter!$G$23:$G$27,0),CY1059,CS1059,CU1059,-CT1059,CW1059)+ROW()/1000000000)</f>
        <v>0.990001059</v>
      </c>
    </row>
    <row r="1060" customFormat="false" ht="15" hidden="false" customHeight="false" outlineLevel="0" collapsed="false">
      <c r="A1060" s="60" t="s">
        <v>1979</v>
      </c>
      <c r="B1060" s="60" t="s">
        <v>1207</v>
      </c>
      <c r="C1060" s="60" t="s">
        <v>206</v>
      </c>
      <c r="D1060" s="60" t="s">
        <v>226</v>
      </c>
      <c r="E1060" s="60" t="s">
        <v>227</v>
      </c>
      <c r="F1060" s="60" t="s">
        <v>260</v>
      </c>
      <c r="G1060" s="61" t="n">
        <v>30.05</v>
      </c>
      <c r="H1060" s="62" t="n">
        <f aca="false">MAX(0,IF(AND(Parameter!$B$21="Ja",ISNUMBER(Y1060)),Y1060,IF(Parameter!$B$20="Jahresanfang 2025 + Export",BS1060+BR1060,BR1060)))</f>
        <v>5</v>
      </c>
      <c r="I1060" s="62" t="n">
        <f aca="false">H1060*G1060</f>
        <v>150.25</v>
      </c>
      <c r="J1060" s="62" t="n">
        <f aca="false">BU1060*Parameter!$B$18</f>
        <v>20</v>
      </c>
      <c r="K1060" s="63" t="n">
        <v>14.5</v>
      </c>
      <c r="L1060" s="64" t="n">
        <v>1.37931034482759</v>
      </c>
      <c r="M1060" s="62" t="n">
        <v>0</v>
      </c>
      <c r="N1060" s="62" t="n">
        <v>20</v>
      </c>
      <c r="O1060" s="65" t="n">
        <v>14</v>
      </c>
      <c r="P1060" s="60" t="s">
        <v>228</v>
      </c>
      <c r="Q1060" s="62" t="n">
        <v>24</v>
      </c>
      <c r="R1060" s="65" t="n">
        <f aca="false">IF(CA1060=1,0,IFERROR(VLOOKUP(BY1060,'Gebinde-Kategorie'!$A$5:$N$45,13,0)+0,0))</f>
        <v>12</v>
      </c>
      <c r="S1060" s="66"/>
      <c r="T1060" s="67"/>
      <c r="U1060" s="67"/>
      <c r="V1060" s="67"/>
      <c r="W1060" s="60"/>
      <c r="X1060" s="62"/>
      <c r="Y1060" s="62"/>
      <c r="Z1060" s="60" t="n">
        <v>3</v>
      </c>
      <c r="AA1060" s="60" t="n">
        <f aca="false">IF(A1060="","",IF(AND(Parameter!$B$21="Ja",ISNUMBER(W1060)),W1060,IF(AND(Parameter!$E$27="Ja",ISNUMBER(Z1060),CD1060&lt;&gt;"Nein"),Z1060,IF(CD1060="2+3",IF(ISNUMBER(SEARCH("grosser Artikel",BV1060)),2,IFERROR(VLOOKUP(BY1060,Parameter!$F$35:$G$64,2,0),2)),IF(OR(CD1060="Nein",CD1060=""),"-",CD1060)))))</f>
        <v>3</v>
      </c>
      <c r="AB1060" s="67"/>
      <c r="AC1060" s="68"/>
      <c r="AD1060" s="62" t="n">
        <f aca="false">AW1060</f>
        <v>20</v>
      </c>
      <c r="AE1060" s="62" t="n">
        <f aca="false">MAX(AW1060,H1060)</f>
        <v>20</v>
      </c>
      <c r="AF1060" s="69"/>
      <c r="AG1060" s="62" t="n">
        <f aca="false">IF(LEFT(Cockpit!$C$5,1)="A",H1060,IF(Parameter!$E$30="MAX-Bestand",IF(CI1060=1,CJ1060,IF(LEFT(Cockpit!$C$5,1)="B",AM1060,MAX(AM1060,H1060))),ROUNDUP(AK1060,0)))</f>
        <v>5</v>
      </c>
      <c r="AH1060" s="62" t="n">
        <f aca="false">IF(CA1060=1,0,ROUNDUP(AG1060/BZ1060,0))</f>
        <v>1</v>
      </c>
      <c r="AI1060" s="64" t="n">
        <f aca="false">IF(CR1060&gt;0,CR1060*MAX(1,AG1060/X1060),IF(CA1060=1,IF(AG1060&lt;=0,0,CE1060*MAX(1,IF(H1060&gt;0,AG1060/H1060,1))),IF(R1060&gt;0,AH1060/R1060,0))/MAX(0.1,N(Parameter!$M$21)))</f>
        <v>0.0833333333333333</v>
      </c>
      <c r="AJ1060" s="62" t="n">
        <f aca="false">AI1060*CC1060</f>
        <v>12.0833333333333</v>
      </c>
      <c r="AK1060" s="63" t="n">
        <f aca="false">IF(LEFT(Cockpit!$C$5,1)="A",H1060,IF(CI1060=1,(CL1060+CJ1060)/2,IF(LEFT(Cockpit!$C$5,1)="B",(CL1060+AM1060)/2,MAX((CL1060+AM1060)/2,H1060))))</f>
        <v>5</v>
      </c>
      <c r="AL1060" s="62" t="n">
        <f aca="false">AK1060*G1060</f>
        <v>150.25</v>
      </c>
      <c r="AM1060" s="62" t="n">
        <f aca="false">ROUNDUP(CL1060+MAX(CM1060,2*(J1060/IF(CH1060&gt;0,CH1060,MAX(0.1,N(Cockpit!$C$6)))-CL1060)),0)</f>
        <v>20</v>
      </c>
      <c r="AN1060" s="63" t="n">
        <f aca="false">IF(AJ1060&gt;0,J1060/AJ1060,-1)</f>
        <v>1.6551724137931</v>
      </c>
      <c r="AO1060" s="63" t="n">
        <f aca="false">IF(AND(OR(CG1060="L1",CG1060="L23",CG1060="LIFT"),AJ1060&gt;0),SUMIFS($AJ$7:$AJ$1843,$CG$7:$CG$1843,CG1060,$AN$7:$AN$1843,"&gt;"&amp;AN1060)+SUMIFS($AJ$7:$AJ$1843,$CG$7:$CG$1843,CG1060,$AN$7:$AN$1843,AN1060,$BX$7:$BX$1843,"&lt;="&amp;BX1060),"")</f>
        <v>6140.85943223443</v>
      </c>
      <c r="AP1060" s="70" t="n">
        <f aca="false">IF(AO1060="",0,MAX(0,MIN(1,(IF(CG1060="L1",Parameter!$H$5,IF(CG1060="L23",Parameter!$H$6+Parameter!$H$7,Parameter!$H$5+Parameter!$H$6+Parameter!$H$7))-(AO1060-AJ1060))/AJ1060)))</f>
        <v>1</v>
      </c>
      <c r="AQ1060" s="62" t="n">
        <f aca="false">IF(LEFT(Cockpit!$I$5,1)="A",H1060,IF(Parameter!$E$30="MAX-Bestand",IF(CI1060=1,CJ1060,IF(LEFT(Cockpit!$I$5,1)="B",AW1060,MAX(AW1060,H1060))),ROUNDUP(AU1060,0)))</f>
        <v>10</v>
      </c>
      <c r="AR1060" s="62" t="n">
        <f aca="false">IF(CA1060=1,0,ROUNDUP(AQ1060/BZ1060,0))</f>
        <v>1</v>
      </c>
      <c r="AS1060" s="64" t="n">
        <f aca="false">IF(CR1060&gt;0,CR1060*MAX(1,AQ1060/X1060),IF(CA1060=1,IF(AQ1060&lt;=0,0,CE1060*MAX(1,IF(H1060&gt;0,AQ1060/H1060,1))),IF(R1060&gt;0,AR1060/R1060,0))/MAX(0.1,N(Parameter!$M$21)))</f>
        <v>0.0833333333333333</v>
      </c>
      <c r="AT1060" s="62" t="n">
        <f aca="false">AS1060*CC1060</f>
        <v>12.0833333333333</v>
      </c>
      <c r="AU1060" s="63" t="n">
        <f aca="false">IF(LEFT(Cockpit!$I$5,1)="A",H1060,IF(CI1060=1,(CL1060+CJ1060)/2,IF(LEFT(Cockpit!$I$5,1)="B",(CL1060+AW1060)/2,MAX((CL1060+AW1060)/2,H1060))))</f>
        <v>10</v>
      </c>
      <c r="AV1060" s="62" t="n">
        <f aca="false">AU1060*G1060</f>
        <v>300.5</v>
      </c>
      <c r="AW1060" s="62" t="n">
        <f aca="false">ROUNDUP(CL1060+MAX(CM1060,2*(J1060/IF(CH1060&gt;0,CH1060,MAX(0.1,N(Cockpit!$I$6)))-CL1060)),0)</f>
        <v>20</v>
      </c>
      <c r="AX1060" s="63" t="n">
        <f aca="false">IF(AT1060&gt;0,J1060/AT1060,-1)</f>
        <v>1.6551724137931</v>
      </c>
      <c r="AY1060" s="63" t="n">
        <f aca="false">IF(AND(OR(CG1060="L1",CG1060="L23",CG1060="LIFT"),AT1060&gt;0),SUMIFS($AT$7:$AT$1843,$CG$7:$CG$1843,CG1060,$AX$7:$AX$1843,"&gt;"&amp;AX1060)+SUMIFS($AT$7:$AT$1843,$CG$7:$CG$1843,CG1060,$AX$7:$AX$1843,AX1060,$BX$7:$BX$1843,"&lt;="&amp;BX1060),"")</f>
        <v>7580.74816849817</v>
      </c>
      <c r="AZ1060" s="70" t="n">
        <f aca="false">IF(AY1060="",0,MAX(0,MIN(1,(IF(CG1060="L1",Parameter!$H$5,IF(CG1060="L23",Parameter!$H$6+Parameter!$H$7,Parameter!$H$5+Parameter!$H$6+Parameter!$H$7))-(AY1060-AT1060))/AT1060)))</f>
        <v>1</v>
      </c>
      <c r="BA1060" s="62" t="n">
        <f aca="false">IF(LEFT(Cockpit!$O$5,1)="A",H1060,IF(Parameter!$E$30="MAX-Bestand",IF(CI1060=1,CJ1060,IF(LEFT(Cockpit!$O$5,1)="B",BG1060,MAX(BG1060,H1060))),ROUNDUP(BE1060,0)))</f>
        <v>10</v>
      </c>
      <c r="BB1060" s="62" t="n">
        <f aca="false">IF(CA1060=1,0,ROUNDUP(BA1060/BZ1060,0))</f>
        <v>1</v>
      </c>
      <c r="BC1060" s="64" t="n">
        <f aca="false">IF(CR1060&gt;0,CR1060*MAX(1,BA1060/X1060),IF(CA1060=1,IF(BA1060&lt;=0,0,CE1060*MAX(1,IF(H1060&gt;0,BA1060/H1060,1))),IF(R1060&gt;0,BB1060/R1060,0))/MAX(0.1,N(Parameter!$M$21)))</f>
        <v>0.0833333333333333</v>
      </c>
      <c r="BD1060" s="62" t="n">
        <f aca="false">BC1060*CC1060</f>
        <v>12.0833333333333</v>
      </c>
      <c r="BE1060" s="63" t="n">
        <f aca="false">IF(LEFT(Cockpit!$O$5,1)="A",H1060,IF(CI1060=1,(CL1060+CJ1060)/2,IF(LEFT(Cockpit!$O$5,1)="B",(CL1060+BG1060)/2,MAX((CL1060+BG1060)/2,H1060))))</f>
        <v>10</v>
      </c>
      <c r="BF1060" s="62" t="n">
        <f aca="false">BE1060*G1060</f>
        <v>300.5</v>
      </c>
      <c r="BG1060" s="62" t="n">
        <f aca="false">ROUNDUP(CL1060+MAX(CM1060,2*(J1060/IF(CH1060&gt;0,CH1060,MAX(0.1,N(Cockpit!$O$6)))-CL1060)),0)</f>
        <v>20</v>
      </c>
      <c r="BH1060" s="63" t="n">
        <f aca="false">IF(BD1060&gt;0,J1060/BD1060,-1)</f>
        <v>1.6551724137931</v>
      </c>
      <c r="BI1060" s="63" t="n">
        <f aca="false">IF(AND(OR(CG1060="L1",CG1060="L23",CG1060="LIFT"),BD1060&gt;0),SUMIFS($BD$7:$BD$1843,$CG$7:$CG$1843,CG1060,$BH$7:$BH$1843,"&gt;"&amp;BH1060)+SUMIFS($BD$7:$BD$1843,$CG$7:$CG$1843,CG1060,$BH$7:$BH$1843,BH1060,$BX$7:$BX$1843,"&lt;="&amp;BX1060),"")</f>
        <v>6412.2586996337</v>
      </c>
      <c r="BJ1060" s="70" t="n">
        <f aca="false">IF(BI1060="",0,MAX(0,MIN(1,(IF(CG1060="L1",Parameter!$H$5,IF(CG1060="L23",Parameter!$H$6+Parameter!$H$7,Parameter!$H$5+Parameter!$H$6+Parameter!$H$7))-(BI1060-BD1060))/BD1060)))</f>
        <v>1</v>
      </c>
      <c r="BK1060" s="60" t="str">
        <f aca="false">IF(AJ1060&lt;=0,"",IF(CG1060="Aussen","Aussenlager",IF(CG1060="-","Nicht im Lift",IF(AP1060&gt;=1,"Lift",IF(AP1060&lt;=0,"Aussenlager","teilweise")))))</f>
        <v>Lift</v>
      </c>
      <c r="BL1060" s="60" t="str">
        <f aca="false">IF(AT1060&lt;=0,"",IF(CG1060="Aussen","Aussenlager",IF(CG1060="-","Nicht im Lift",IF(AZ1060&gt;=1,"Lift",IF(AZ1060&lt;=0,"Aussenlager","teilweise")))))</f>
        <v>Lift</v>
      </c>
      <c r="BM1060" s="60" t="str">
        <f aca="false">IF(BD1060&lt;=0,"",IF(CG1060="Aussen","Aussenlager",IF(CG1060="-","Nicht im Lift",IF(BJ1060&gt;=1,"Lift",IF(BJ1060&lt;=0,"Aussenlager","teilweise")))))</f>
        <v>Lift</v>
      </c>
      <c r="BN1060" s="60" t="str">
        <f aca="false">IF(A1060="","",IF(BW1060=1,"Neu; ","")&amp;IF(AND(BW1060=0,BR1060&lt;0),"negativer Bestand (Export "&amp;BR1060&amp;"); ","")&amp;IF(J1060&lt;=0,"Kein Verbrauch; ","")&amp;IF(CR1060&gt;0,"Lift "&amp;W1060&amp;" lt. Liftbericht (Fach "&amp;X1060&amp;" Stk); ",IF(CB1060=1,"Gebinde geschätzt ("&amp;T1060&amp;"); ",IF(CA1060=1,"Lose – Tablare geschätzt; ","")))&amp;IF(H1060&gt;AW1060,"Überbestand "&amp;ROUND(H1060-AW1060,0)&amp;" Stk / CHF "&amp;ROUND((H1060-AW1060)*G1060,0)&amp;"; ","")&amp;IF(AND(CI1060=1,CJ1060&lt;CK1060),"MAX &lt; MB+LG; ","")&amp;IF(AND(CQ1060&gt;0,CP1060*10&gt;CQ1060),"zu hoch für Tablar; ","")&amp;IF(AND(BW1060=0,OR(CI1060=1,AB1060&lt;&gt;"",U1060&lt;&gt;"",V1060&lt;&gt;"",AC1060&lt;&gt;"")),"manuell übersteuert; ","")&amp;IF(AND(CA1060=0,R1060=0),"Gebinde unbekannt / Stellmass fehlt; ","")&amp;IF(AND(CA1060=0,N(V1060)&lt;=0,N(Q1060)&lt;=0),"Menge pro Gebinde fehlt (Ist = 1 Gebinde); ","")&amp;BV1060)</f>
        <v>negativer Bestand (Export -5); </v>
      </c>
      <c r="BO1060" s="60"/>
      <c r="BP1060" s="60"/>
      <c r="BQ1060" s="67"/>
      <c r="BR1060" s="62" t="n">
        <v>-5</v>
      </c>
      <c r="BS1060" s="62" t="n">
        <v>10</v>
      </c>
      <c r="BT1060" s="61" t="n">
        <v>-155.05</v>
      </c>
      <c r="BU1060" s="62" t="n">
        <v>20</v>
      </c>
      <c r="BV1060" s="60"/>
      <c r="BW1060" s="65" t="n">
        <v>0</v>
      </c>
      <c r="BX1060" s="65" t="n">
        <v>1060</v>
      </c>
      <c r="BY1060" s="60" t="str">
        <f aca="false">IF(U1060&lt;&gt;"",UPPER(TRIM(U1060)),IF(CB1060=1,UPPER(VLOOKUP(T1060,Parameter!$I$27:$K$29,2,0)),IF(P1060="","LOSE",P1060)))</f>
        <v>S61</v>
      </c>
      <c r="BZ1060" s="62" t="n">
        <f aca="false">IF(BY1060="LOSE",1,IF(N(V1060)&gt;0,V1060,IF(CB1060=1,MAX(1,N(VLOOKUP(T1060,Parameter!$I$27:$K$29,3,0)),H1060,N(N1060)),IF(N(Q1060)&gt;0,Q1060,MAX(1,H1060)))))</f>
        <v>24</v>
      </c>
      <c r="CA1060" s="65" t="n">
        <f aca="false">IF(BY1060="LOSE",1,0)</f>
        <v>0</v>
      </c>
      <c r="CB1060" s="65" t="n">
        <f aca="false">IF(AND(U1060="",OR(P1060="",P1060="LOSE"),T1060&lt;&gt;"",N(S1060)&lt;=0,ISNUMBER(MATCH(T1060,Parameter!$I$27:$I$29,0))),1,0)</f>
        <v>0</v>
      </c>
      <c r="CC1060" s="65" t="n">
        <f aca="false">IF(CR1060&gt;0,INDEX(Parameter!$H$5:$H$7,W1060)/INDEX(Parameter!$E$5:$E$7,W1060),IF(AND(CA1060=0,N(IFERROR(VLOOKUP(BY1060,'Gebinde-Kategorie'!$A$5:$N$45,14,0),0))&gt;0),VLOOKUP(BY1060,'Gebinde-Kategorie'!$A$5:$N$45,14,0)*10+Parameter!$M$23,Parameter!$M$24))</f>
        <v>145</v>
      </c>
      <c r="CD1060" s="60" t="str">
        <f aca="false">IF(AND(Parameter!$B$19="Ja",E1060&lt;&gt;"",ISNUMBER(MATCH(E1060,Parameter!$I$35:$I$52,0))),VLOOKUP(E1060,Parameter!$I$35:$J$52,2,0),IFERROR(VLOOKUP(D1060,Parameter!$A$35:$C$64,2,0),"Nein"))</f>
        <v>2+3</v>
      </c>
      <c r="CE1060" s="64" t="n">
        <f aca="false">IF(CA1060=0,0,IF(N(S1060)&gt;0,S1060,IFERROR(VLOOKUP(D1060,Parameter!$A$35:$C$64,3,0)+0,0)))</f>
        <v>0</v>
      </c>
      <c r="CF1060" s="60" t="n">
        <f aca="false">IF(AB1060&lt;&gt;"",AB1060,AA1060)</f>
        <v>3</v>
      </c>
      <c r="CG1060" s="60" t="str">
        <f aca="false">IF(OR(CF1060=1,CF1060=2,CF1060=3),IF(Parameter!$E$27="Ja","LIFT",IF(CF1060=1,"L1","L23")),IF(CF1060="Aussen","Aussen","-"))</f>
        <v>LIFT</v>
      </c>
      <c r="CH1060" s="71" t="n">
        <f aca="false">IF(N(AC1060)&gt;0,AC1060,0)</f>
        <v>0</v>
      </c>
      <c r="CI1060" s="65" t="n">
        <f aca="false">IF(ISNUMBER(AF1060),1,0)</f>
        <v>0</v>
      </c>
      <c r="CJ1060" s="62" t="n">
        <f aca="false">N(AF1060)</f>
        <v>0</v>
      </c>
      <c r="CK1060" s="62" t="n">
        <f aca="false">N(M1060)+N(N1060)</f>
        <v>20</v>
      </c>
      <c r="CL1060" s="62" t="n">
        <f aca="false">N(M1060)</f>
        <v>0</v>
      </c>
      <c r="CM1060" s="62" t="n">
        <f aca="false">N(N1060)</f>
        <v>20</v>
      </c>
      <c r="CN1060" s="62" t="n">
        <f aca="false">ROUNDUP(H1060/BZ1060,0)</f>
        <v>1</v>
      </c>
      <c r="CO1060" s="62" t="n">
        <f aca="false">ROUNDUP(CJ1060/BZ1060,0)</f>
        <v>0</v>
      </c>
      <c r="CP1060" s="65" t="n">
        <f aca="false">IF(CA1060=1,0,IFERROR(VLOOKUP(BY1060,'Gebinde-Kategorie'!$A$5:$N$45,5,0)+0,0))</f>
        <v>11</v>
      </c>
      <c r="CQ1060" s="65" t="n">
        <f aca="false">IFERROR(IF(OR(CF1060=1,CF1060=2,CF1060=3),N(INDEX(Parameter!$I$5:$I$7,CF1060)),0),0)</f>
        <v>0</v>
      </c>
      <c r="CR1060" s="64" t="n">
        <f aca="false">IF(AND(Parameter!$B$21="Ja",ISNUMBER(W1060),N(X1060)&gt;0),IFERROR(N(INDEX(Parameter!$L$5:$L$7,W1060))*INDEX(Parameter!$E$5:$E$7,W1060)*X1060/SUMIFS($X$7:$X$1843,$W$7:$W$1843,W1060),0),0)</f>
        <v>0</v>
      </c>
      <c r="CS1060" s="62" t="n">
        <f aca="false">IF(AND(OR(CG1060="L1",CG1060="L23",CG1060="LIFT"),H1060&gt;0),CC1060*IF(CR1060&gt;0,CR1060*MAX(1,H1060/X1060),IF(CA1060=1,CE1060,IF(R1060&gt;0,CN1060/R1060,0))/MAX(0.1,N(Parameter!$M$21))),"")</f>
        <v>12.0833333333333</v>
      </c>
      <c r="CT1060" s="64" t="n">
        <f aca="false">IF(CS1060="","",J1060/H1060)</f>
        <v>4</v>
      </c>
      <c r="CU1060" s="62" t="n">
        <f aca="false">IF(CS1060="","",H1060*G1060)</f>
        <v>150.25</v>
      </c>
      <c r="CV1060" s="63" t="n">
        <f aca="false">IF(CS1060="","",(CL1060+ROUNDUP(CL1060+MAX(CM1060,2*(J1060/MAX(0.1,N(Einkauf!$C$6))-CL1060)),0))/2)</f>
        <v>10</v>
      </c>
      <c r="CW1060" s="62" t="n">
        <f aca="false">IF(CS1060="","",MAX(0,H1060-CV1060)*G1060)</f>
        <v>0</v>
      </c>
      <c r="CX1060" s="62" t="n">
        <f aca="false">IF(CS1060="","",CS1060*MAX(0,1-CV1060/H1060))</f>
        <v>0</v>
      </c>
      <c r="CY1060" s="64" t="n">
        <f aca="false">IF(CS1060="","",PERCENTRANK($CS$7:$CS$1843,CS1060)+PERCENTRANK($CU$7:$CU$1843,CU1060)+1-PERCENTRANK($CT$7:$CT$1843,CT1060))</f>
        <v>1.021</v>
      </c>
      <c r="CZ1060" s="72" t="n">
        <f aca="false">IF(CS1060="","",CHOOSE(MATCH(Einkauf!$C$5,Parameter!$G$23:$G$27,0),CY1060,CS1060,CU1060,-CT1060,CW1060)+ROW()/1000000000)</f>
        <v>1.02100106</v>
      </c>
    </row>
    <row r="1061" customFormat="false" ht="15" hidden="false" customHeight="false" outlineLevel="0" collapsed="false">
      <c r="A1061" s="60" t="s">
        <v>1980</v>
      </c>
      <c r="B1061" s="60" t="s">
        <v>1981</v>
      </c>
      <c r="C1061" s="60" t="s">
        <v>206</v>
      </c>
      <c r="D1061" s="60" t="s">
        <v>226</v>
      </c>
      <c r="E1061" s="60"/>
      <c r="F1061" s="60" t="s">
        <v>260</v>
      </c>
      <c r="G1061" s="61" t="n">
        <v>156.88</v>
      </c>
      <c r="H1061" s="62" t="n">
        <f aca="false">MAX(0,IF(AND(Parameter!$B$21="Ja",ISNUMBER(Y1061)),Y1061,IF(Parameter!$B$20="Jahresanfang 2025 + Export",BS1061+BR1061,BR1061)))</f>
        <v>6</v>
      </c>
      <c r="I1061" s="62" t="n">
        <f aca="false">H1061*G1061</f>
        <v>941.28</v>
      </c>
      <c r="J1061" s="62" t="n">
        <f aca="false">BU1061*Parameter!$B$18</f>
        <v>1</v>
      </c>
      <c r="K1061" s="63" t="n">
        <v>6.5</v>
      </c>
      <c r="L1061" s="64" t="n">
        <v>0.153846153846154</v>
      </c>
      <c r="M1061" s="62" t="n">
        <v>0</v>
      </c>
      <c r="N1061" s="62" t="n">
        <v>1</v>
      </c>
      <c r="O1061" s="65" t="n">
        <v>21</v>
      </c>
      <c r="P1061" s="60" t="s">
        <v>370</v>
      </c>
      <c r="Q1061" s="62" t="n">
        <v>6</v>
      </c>
      <c r="R1061" s="65" t="n">
        <f aca="false">IF(CA1061=1,0,IFERROR(VLOOKUP(BY1061,'Gebinde-Kategorie'!$A$5:$N$45,13,0)+0,0))</f>
        <v>52</v>
      </c>
      <c r="S1061" s="66"/>
      <c r="T1061" s="67"/>
      <c r="U1061" s="67"/>
      <c r="V1061" s="67"/>
      <c r="W1061" s="60"/>
      <c r="X1061" s="62"/>
      <c r="Y1061" s="62"/>
      <c r="Z1061" s="60" t="n">
        <v>1</v>
      </c>
      <c r="AA1061" s="60" t="n">
        <f aca="false">IF(A1061="","",IF(AND(Parameter!$B$21="Ja",ISNUMBER(W1061)),W1061,IF(AND(Parameter!$E$27="Ja",ISNUMBER(Z1061),CD1061&lt;&gt;"Nein"),Z1061,IF(CD1061="2+3",IF(ISNUMBER(SEARCH("grosser Artikel",BV1061)),2,IFERROR(VLOOKUP(BY1061,Parameter!$F$35:$G$64,2,0),2)),IF(OR(CD1061="Nein",CD1061=""),"-",CD1061)))))</f>
        <v>1</v>
      </c>
      <c r="AB1061" s="67"/>
      <c r="AC1061" s="68"/>
      <c r="AD1061" s="62" t="n">
        <f aca="false">AW1061</f>
        <v>1</v>
      </c>
      <c r="AE1061" s="62" t="n">
        <f aca="false">MAX(AW1061,H1061)</f>
        <v>6</v>
      </c>
      <c r="AF1061" s="69"/>
      <c r="AG1061" s="62" t="n">
        <f aca="false">IF(LEFT(Cockpit!$C$5,1)="A",H1061,IF(Parameter!$E$30="MAX-Bestand",IF(CI1061=1,CJ1061,IF(LEFT(Cockpit!$C$5,1)="B",AM1061,MAX(AM1061,H1061))),ROUNDUP(AK1061,0)))</f>
        <v>6</v>
      </c>
      <c r="AH1061" s="62" t="n">
        <f aca="false">IF(CA1061=1,0,ROUNDUP(AG1061/BZ1061,0))</f>
        <v>1</v>
      </c>
      <c r="AI1061" s="64" t="n">
        <f aca="false">IF(CR1061&gt;0,CR1061*MAX(1,AG1061/X1061),IF(CA1061=1,IF(AG1061&lt;=0,0,CE1061*MAX(1,IF(H1061&gt;0,AG1061/H1061,1))),IF(R1061&gt;0,AH1061/R1061,0))/MAX(0.1,N(Parameter!$M$21)))</f>
        <v>0.0192307692307692</v>
      </c>
      <c r="AJ1061" s="62" t="n">
        <f aca="false">AI1061*CC1061</f>
        <v>2.98076923076923</v>
      </c>
      <c r="AK1061" s="63" t="n">
        <f aca="false">IF(LEFT(Cockpit!$C$5,1)="A",H1061,IF(CI1061=1,(CL1061+CJ1061)/2,IF(LEFT(Cockpit!$C$5,1)="B",(CL1061+AM1061)/2,MAX((CL1061+AM1061)/2,H1061))))</f>
        <v>6</v>
      </c>
      <c r="AL1061" s="62" t="n">
        <f aca="false">AK1061*G1061</f>
        <v>941.28</v>
      </c>
      <c r="AM1061" s="62" t="n">
        <f aca="false">ROUNDUP(CL1061+MAX(CM1061,2*(J1061/IF(CH1061&gt;0,CH1061,MAX(0.1,N(Cockpit!$C$6)))-CL1061)),0)</f>
        <v>1</v>
      </c>
      <c r="AN1061" s="63" t="n">
        <f aca="false">IF(AJ1061&gt;0,J1061/AJ1061,-1)</f>
        <v>0.335483870967742</v>
      </c>
      <c r="AO1061" s="63" t="n">
        <f aca="false">IF(AND(OR(CG1061="L1",CG1061="L23",CG1061="LIFT"),AJ1061&gt;0),SUMIFS($AJ$7:$AJ$1843,$CG$7:$CG$1843,CG1061,$AN$7:$AN$1843,"&gt;"&amp;AN1061)+SUMIFS($AJ$7:$AJ$1843,$CG$7:$CG$1843,CG1061,$AN$7:$AN$1843,AN1061,$BX$7:$BX$1843,"&lt;="&amp;BX1061),"")</f>
        <v>11221.7885779475</v>
      </c>
      <c r="AP1061" s="70" t="n">
        <f aca="false">IF(AO1061="",0,MAX(0,MIN(1,(IF(CG1061="L1",Parameter!$H$5,IF(CG1061="L23",Parameter!$H$6+Parameter!$H$7,Parameter!$H$5+Parameter!$H$6+Parameter!$H$7))-(AO1061-AJ1061))/AJ1061)))</f>
        <v>1</v>
      </c>
      <c r="AQ1061" s="62" t="n">
        <f aca="false">IF(LEFT(Cockpit!$I$5,1)="A",H1061,IF(Parameter!$E$30="MAX-Bestand",IF(CI1061=1,CJ1061,IF(LEFT(Cockpit!$I$5,1)="B",AW1061,MAX(AW1061,H1061))),ROUNDUP(AU1061,0)))</f>
        <v>6</v>
      </c>
      <c r="AR1061" s="62" t="n">
        <f aca="false">IF(CA1061=1,0,ROUNDUP(AQ1061/BZ1061,0))</f>
        <v>1</v>
      </c>
      <c r="AS1061" s="64" t="n">
        <f aca="false">IF(CR1061&gt;0,CR1061*MAX(1,AQ1061/X1061),IF(CA1061=1,IF(AQ1061&lt;=0,0,CE1061*MAX(1,IF(H1061&gt;0,AQ1061/H1061,1))),IF(R1061&gt;0,AR1061/R1061,0))/MAX(0.1,N(Parameter!$M$21)))</f>
        <v>0.0192307692307692</v>
      </c>
      <c r="AT1061" s="62" t="n">
        <f aca="false">AS1061*CC1061</f>
        <v>2.98076923076923</v>
      </c>
      <c r="AU1061" s="63" t="n">
        <f aca="false">IF(LEFT(Cockpit!$I$5,1)="A",H1061,IF(CI1061=1,(CL1061+CJ1061)/2,IF(LEFT(Cockpit!$I$5,1)="B",(CL1061+AW1061)/2,MAX((CL1061+AW1061)/2,H1061))))</f>
        <v>6</v>
      </c>
      <c r="AV1061" s="62" t="n">
        <f aca="false">AU1061*G1061</f>
        <v>941.28</v>
      </c>
      <c r="AW1061" s="62" t="n">
        <f aca="false">ROUNDUP(CL1061+MAX(CM1061,2*(J1061/IF(CH1061&gt;0,CH1061,MAX(0.1,N(Cockpit!$I$6)))-CL1061)),0)</f>
        <v>1</v>
      </c>
      <c r="AX1061" s="63" t="n">
        <f aca="false">IF(AT1061&gt;0,J1061/AT1061,-1)</f>
        <v>0.335483870967742</v>
      </c>
      <c r="AY1061" s="63" t="n">
        <f aca="false">IF(AND(OR(CG1061="L1",CG1061="L23",CG1061="LIFT"),AT1061&gt;0),SUMIFS($AT$7:$AT$1843,$CG$7:$CG$1843,CG1061,$AX$7:$AX$1843,"&gt;"&amp;AX1061)+SUMIFS($AT$7:$AT$1843,$CG$7:$CG$1843,CG1061,$AX$7:$AX$1843,AX1061,$BX$7:$BX$1843,"&lt;="&amp;BX1061),"")</f>
        <v>13755.9262820513</v>
      </c>
      <c r="AZ1061" s="70" t="n">
        <f aca="false">IF(AY1061="",0,MAX(0,MIN(1,(IF(CG1061="L1",Parameter!$H$5,IF(CG1061="L23",Parameter!$H$6+Parameter!$H$7,Parameter!$H$5+Parameter!$H$6+Parameter!$H$7))-(AY1061-AT1061))/AT1061)))</f>
        <v>1</v>
      </c>
      <c r="BA1061" s="62" t="n">
        <f aca="false">IF(LEFT(Cockpit!$O$5,1)="A",H1061,IF(Parameter!$E$30="MAX-Bestand",IF(CI1061=1,CJ1061,IF(LEFT(Cockpit!$O$5,1)="B",BG1061,MAX(BG1061,H1061))),ROUNDUP(BE1061,0)))</f>
        <v>1</v>
      </c>
      <c r="BB1061" s="62" t="n">
        <f aca="false">IF(CA1061=1,0,ROUNDUP(BA1061/BZ1061,0))</f>
        <v>1</v>
      </c>
      <c r="BC1061" s="64" t="n">
        <f aca="false">IF(CR1061&gt;0,CR1061*MAX(1,BA1061/X1061),IF(CA1061=1,IF(BA1061&lt;=0,0,CE1061*MAX(1,IF(H1061&gt;0,BA1061/H1061,1))),IF(R1061&gt;0,BB1061/R1061,0))/MAX(0.1,N(Parameter!$M$21)))</f>
        <v>0.0192307692307692</v>
      </c>
      <c r="BD1061" s="62" t="n">
        <f aca="false">BC1061*CC1061</f>
        <v>2.98076923076923</v>
      </c>
      <c r="BE1061" s="63" t="n">
        <f aca="false">IF(LEFT(Cockpit!$O$5,1)="A",H1061,IF(CI1061=1,(CL1061+CJ1061)/2,IF(LEFT(Cockpit!$O$5,1)="B",(CL1061+BG1061)/2,MAX((CL1061+BG1061)/2,H1061))))</f>
        <v>0.5</v>
      </c>
      <c r="BF1061" s="62" t="n">
        <f aca="false">BE1061*G1061</f>
        <v>78.44</v>
      </c>
      <c r="BG1061" s="62" t="n">
        <f aca="false">ROUNDUP(CL1061+MAX(CM1061,2*(J1061/IF(CH1061&gt;0,CH1061,MAX(0.1,N(Cockpit!$O$6)))-CL1061)),0)</f>
        <v>1</v>
      </c>
      <c r="BH1061" s="63" t="n">
        <f aca="false">IF(BD1061&gt;0,J1061/BD1061,-1)</f>
        <v>0.335483870967742</v>
      </c>
      <c r="BI1061" s="63" t="n">
        <f aca="false">IF(AND(OR(CG1061="L1",CG1061="L23",CG1061="LIFT"),BD1061&gt;0),SUMIFS($BD$7:$BD$1843,$CG$7:$CG$1843,CG1061,$BH$7:$BH$1843,"&gt;"&amp;BH1061)+SUMIFS($BD$7:$BD$1843,$CG$7:$CG$1843,CG1061,$BH$7:$BH$1843,BH1061,$BX$7:$BX$1843,"&lt;="&amp;BX1061),"")</f>
        <v>11606.8850732601</v>
      </c>
      <c r="BJ1061" s="70" t="n">
        <f aca="false">IF(BI1061="",0,MAX(0,MIN(1,(IF(CG1061="L1",Parameter!$H$5,IF(CG1061="L23",Parameter!$H$6+Parameter!$H$7,Parameter!$H$5+Parameter!$H$6+Parameter!$H$7))-(BI1061-BD1061))/BD1061)))</f>
        <v>1</v>
      </c>
      <c r="BK1061" s="60" t="str">
        <f aca="false">IF(AJ1061&lt;=0,"",IF(CG1061="Aussen","Aussenlager",IF(CG1061="-","Nicht im Lift",IF(AP1061&gt;=1,"Lift",IF(AP1061&lt;=0,"Aussenlager","teilweise")))))</f>
        <v>Lift</v>
      </c>
      <c r="BL1061" s="60" t="str">
        <f aca="false">IF(AT1061&lt;=0,"",IF(CG1061="Aussen","Aussenlager",IF(CG1061="-","Nicht im Lift",IF(AZ1061&gt;=1,"Lift",IF(AZ1061&lt;=0,"Aussenlager","teilweise")))))</f>
        <v>Lift</v>
      </c>
      <c r="BM1061" s="60" t="str">
        <f aca="false">IF(BD1061&lt;=0,"",IF(CG1061="Aussen","Aussenlager",IF(CG1061="-","Nicht im Lift",IF(BJ1061&gt;=1,"Lift",IF(BJ1061&lt;=0,"Aussenlager","teilweise")))))</f>
        <v>Lift</v>
      </c>
      <c r="BN1061" s="60" t="str">
        <f aca="false">IF(A1061="","",IF(BW1061=1,"Neu; ","")&amp;IF(AND(BW1061=0,BR1061&lt;0),"negativer Bestand (Export "&amp;BR1061&amp;"); ","")&amp;IF(J1061&lt;=0,"Kein Verbrauch; ","")&amp;IF(CR1061&gt;0,"Lift "&amp;W1061&amp;" lt. Liftbericht (Fach "&amp;X1061&amp;" Stk); ",IF(CB1061=1,"Gebinde geschätzt ("&amp;T1061&amp;"); ",IF(CA1061=1,"Lose – Tablare geschätzt; ","")))&amp;IF(H1061&gt;AW1061,"Überbestand "&amp;ROUND(H1061-AW1061,0)&amp;" Stk / CHF "&amp;ROUND((H1061-AW1061)*G1061,0)&amp;"; ","")&amp;IF(AND(CI1061=1,CJ1061&lt;CK1061),"MAX &lt; MB+LG; ","")&amp;IF(AND(CQ1061&gt;0,CP1061*10&gt;CQ1061),"zu hoch für Tablar; ","")&amp;IF(AND(BW1061=0,OR(CI1061=1,AB1061&lt;&gt;"",U1061&lt;&gt;"",V1061&lt;&gt;"",AC1061&lt;&gt;"")),"manuell übersteuert; ","")&amp;IF(AND(CA1061=0,R1061=0),"Gebinde unbekannt / Stellmass fehlt; ","")&amp;IF(AND(CA1061=0,N(V1061)&lt;=0,N(Q1061)&lt;=0),"Menge pro Gebinde fehlt (Ist = 1 Gebinde); ","")&amp;BV1061)</f>
        <v>negativer Bestand (Export -1); Überbestand 5 Stk / CHF 784; </v>
      </c>
      <c r="BO1061" s="60"/>
      <c r="BP1061" s="60"/>
      <c r="BQ1061" s="67"/>
      <c r="BR1061" s="62" t="n">
        <v>-1</v>
      </c>
      <c r="BS1061" s="62" t="n">
        <v>7</v>
      </c>
      <c r="BT1061" s="61" t="n">
        <v>-156.88</v>
      </c>
      <c r="BU1061" s="62" t="n">
        <v>1</v>
      </c>
      <c r="BV1061" s="60"/>
      <c r="BW1061" s="65" t="n">
        <v>0</v>
      </c>
      <c r="BX1061" s="65" t="n">
        <v>1061</v>
      </c>
      <c r="BY1061" s="60" t="str">
        <f aca="false">IF(U1061&lt;&gt;"",UPPER(TRIM(U1061)),IF(CB1061=1,UPPER(VLOOKUP(T1061,Parameter!$I$27:$K$29,2,0)),IF(P1061="","LOSE",P1061)))</f>
        <v>S41</v>
      </c>
      <c r="BZ1061" s="62" t="n">
        <f aca="false">IF(BY1061="LOSE",1,IF(N(V1061)&gt;0,V1061,IF(CB1061=1,MAX(1,N(VLOOKUP(T1061,Parameter!$I$27:$K$29,3,0)),H1061,N(N1061)),IF(N(Q1061)&gt;0,Q1061,MAX(1,H1061)))))</f>
        <v>6</v>
      </c>
      <c r="CA1061" s="65" t="n">
        <f aca="false">IF(BY1061="LOSE",1,0)</f>
        <v>0</v>
      </c>
      <c r="CB1061" s="65" t="n">
        <f aca="false">IF(AND(U1061="",OR(P1061="",P1061="LOSE"),T1061&lt;&gt;"",N(S1061)&lt;=0,ISNUMBER(MATCH(T1061,Parameter!$I$27:$I$29,0))),1,0)</f>
        <v>0</v>
      </c>
      <c r="CC1061" s="65" t="n">
        <f aca="false">IF(CR1061&gt;0,INDEX(Parameter!$H$5:$H$7,W1061)/INDEX(Parameter!$E$5:$E$7,W1061),IF(AND(CA1061=0,N(IFERROR(VLOOKUP(BY1061,'Gebinde-Kategorie'!$A$5:$N$45,14,0),0))&gt;0),VLOOKUP(BY1061,'Gebinde-Kategorie'!$A$5:$N$45,14,0)*10+Parameter!$M$23,Parameter!$M$24))</f>
        <v>155</v>
      </c>
      <c r="CD1061" s="60" t="str">
        <f aca="false">IF(AND(Parameter!$B$19="Ja",E1061&lt;&gt;"",ISNUMBER(MATCH(E1061,Parameter!$I$35:$I$52,0))),VLOOKUP(E1061,Parameter!$I$35:$J$52,2,0),IFERROR(VLOOKUP(D1061,Parameter!$A$35:$C$64,2,0),"Nein"))</f>
        <v>2+3</v>
      </c>
      <c r="CE1061" s="64" t="n">
        <f aca="false">IF(CA1061=0,0,IF(N(S1061)&gt;0,S1061,IFERROR(VLOOKUP(D1061,Parameter!$A$35:$C$64,3,0)+0,0)))</f>
        <v>0</v>
      </c>
      <c r="CF1061" s="60" t="n">
        <f aca="false">IF(AB1061&lt;&gt;"",AB1061,AA1061)</f>
        <v>1</v>
      </c>
      <c r="CG1061" s="60" t="str">
        <f aca="false">IF(OR(CF1061=1,CF1061=2,CF1061=3),IF(Parameter!$E$27="Ja","LIFT",IF(CF1061=1,"L1","L23")),IF(CF1061="Aussen","Aussen","-"))</f>
        <v>LIFT</v>
      </c>
      <c r="CH1061" s="71" t="n">
        <f aca="false">IF(N(AC1061)&gt;0,AC1061,0)</f>
        <v>0</v>
      </c>
      <c r="CI1061" s="65" t="n">
        <f aca="false">IF(ISNUMBER(AF1061),1,0)</f>
        <v>0</v>
      </c>
      <c r="CJ1061" s="62" t="n">
        <f aca="false">N(AF1061)</f>
        <v>0</v>
      </c>
      <c r="CK1061" s="62" t="n">
        <f aca="false">N(M1061)+N(N1061)</f>
        <v>1</v>
      </c>
      <c r="CL1061" s="62" t="n">
        <f aca="false">N(M1061)</f>
        <v>0</v>
      </c>
      <c r="CM1061" s="62" t="n">
        <f aca="false">N(N1061)</f>
        <v>1</v>
      </c>
      <c r="CN1061" s="62" t="n">
        <f aca="false">ROUNDUP(H1061/BZ1061,0)</f>
        <v>1</v>
      </c>
      <c r="CO1061" s="62" t="n">
        <f aca="false">ROUNDUP(CJ1061/BZ1061,0)</f>
        <v>0</v>
      </c>
      <c r="CP1061" s="65" t="n">
        <f aca="false">IF(CA1061=1,0,IFERROR(VLOOKUP(BY1061,'Gebinde-Kategorie'!$A$5:$N$45,5,0)+0,0))</f>
        <v>11</v>
      </c>
      <c r="CQ1061" s="65" t="n">
        <f aca="false">IFERROR(IF(OR(CF1061=1,CF1061=2,CF1061=3),N(INDEX(Parameter!$I$5:$I$7,CF1061)),0),0)</f>
        <v>0</v>
      </c>
      <c r="CR1061" s="64" t="n">
        <f aca="false">IF(AND(Parameter!$B$21="Ja",ISNUMBER(W1061),N(X1061)&gt;0),IFERROR(N(INDEX(Parameter!$L$5:$L$7,W1061))*INDEX(Parameter!$E$5:$E$7,W1061)*X1061/SUMIFS($X$7:$X$1843,$W$7:$W$1843,W1061),0),0)</f>
        <v>0</v>
      </c>
      <c r="CS1061" s="62" t="n">
        <f aca="false">IF(AND(OR(CG1061="L1",CG1061="L23",CG1061="LIFT"),H1061&gt;0),CC1061*IF(CR1061&gt;0,CR1061*MAX(1,H1061/X1061),IF(CA1061=1,CE1061,IF(R1061&gt;0,CN1061/R1061,0))/MAX(0.1,N(Parameter!$M$21))),"")</f>
        <v>2.98076923076923</v>
      </c>
      <c r="CT1061" s="64" t="n">
        <f aca="false">IF(CS1061="","",J1061/H1061)</f>
        <v>0.166666666666667</v>
      </c>
      <c r="CU1061" s="62" t="n">
        <f aca="false">IF(CS1061="","",H1061*G1061)</f>
        <v>941.28</v>
      </c>
      <c r="CV1061" s="63" t="n">
        <f aca="false">IF(CS1061="","",(CL1061+ROUNDUP(CL1061+MAX(CM1061,2*(J1061/MAX(0.1,N(Einkauf!$C$6))-CL1061)),0))/2)</f>
        <v>0.5</v>
      </c>
      <c r="CW1061" s="62" t="n">
        <f aca="false">IF(CS1061="","",MAX(0,H1061-CV1061)*G1061)</f>
        <v>862.84</v>
      </c>
      <c r="CX1061" s="62" t="n">
        <f aca="false">IF(CS1061="","",CS1061*MAX(0,1-CV1061/H1061))</f>
        <v>2.73237179487179</v>
      </c>
      <c r="CY1061" s="64" t="n">
        <f aca="false">IF(CS1061="","",PERCENTRANK($CS$7:$CS$1843,CS1061)+PERCENTRANK($CU$7:$CU$1843,CU1061)+1-PERCENTRANK($CT$7:$CT$1843,CT1061))</f>
        <v>1.389</v>
      </c>
      <c r="CZ1061" s="72" t="n">
        <f aca="false">IF(CS1061="","",CHOOSE(MATCH(Einkauf!$C$5,Parameter!$G$23:$G$27,0),CY1061,CS1061,CU1061,-CT1061,CW1061)+ROW()/1000000000)</f>
        <v>1.389001061</v>
      </c>
    </row>
    <row r="1062" customFormat="false" ht="15" hidden="false" customHeight="false" outlineLevel="0" collapsed="false">
      <c r="A1062" s="60" t="s">
        <v>1982</v>
      </c>
      <c r="B1062" s="60" t="s">
        <v>791</v>
      </c>
      <c r="C1062" s="60" t="s">
        <v>206</v>
      </c>
      <c r="D1062" s="60" t="s">
        <v>226</v>
      </c>
      <c r="E1062" s="60"/>
      <c r="F1062" s="60" t="s">
        <v>260</v>
      </c>
      <c r="G1062" s="61" t="n">
        <v>157.08</v>
      </c>
      <c r="H1062" s="62" t="n">
        <f aca="false">MAX(0,IF(AND(Parameter!$B$21="Ja",ISNUMBER(Y1062)),Y1062,IF(Parameter!$B$20="Jahresanfang 2025 + Export",BS1062+BR1062,BR1062)))</f>
        <v>4</v>
      </c>
      <c r="I1062" s="62" t="n">
        <f aca="false">H1062*G1062</f>
        <v>628.32</v>
      </c>
      <c r="J1062" s="62" t="n">
        <f aca="false">BU1062*Parameter!$B$18</f>
        <v>1</v>
      </c>
      <c r="K1062" s="63" t="n">
        <v>4.5</v>
      </c>
      <c r="L1062" s="64" t="n">
        <v>0.222222222222222</v>
      </c>
      <c r="M1062" s="62" t="n">
        <v>0</v>
      </c>
      <c r="N1062" s="62" t="n">
        <v>1</v>
      </c>
      <c r="O1062" s="65" t="n">
        <v>28</v>
      </c>
      <c r="P1062" s="60" t="s">
        <v>463</v>
      </c>
      <c r="Q1062" s="62" t="n">
        <v>5</v>
      </c>
      <c r="R1062" s="65" t="n">
        <f aca="false">IF(CA1062=1,0,IFERROR(VLOOKUP(BY1062,'Gebinde-Kategorie'!$A$5:$N$45,13,0)+0,0))</f>
        <v>104</v>
      </c>
      <c r="S1062" s="66"/>
      <c r="T1062" s="67"/>
      <c r="U1062" s="67"/>
      <c r="V1062" s="67"/>
      <c r="W1062" s="60"/>
      <c r="X1062" s="62"/>
      <c r="Y1062" s="62"/>
      <c r="Z1062" s="60" t="n">
        <v>1</v>
      </c>
      <c r="AA1062" s="60" t="n">
        <f aca="false">IF(A1062="","",IF(AND(Parameter!$B$21="Ja",ISNUMBER(W1062)),W1062,IF(AND(Parameter!$E$27="Ja",ISNUMBER(Z1062),CD1062&lt;&gt;"Nein"),Z1062,IF(CD1062="2+3",IF(ISNUMBER(SEARCH("grosser Artikel",BV1062)),2,IFERROR(VLOOKUP(BY1062,Parameter!$F$35:$G$64,2,0),2)),IF(OR(CD1062="Nein",CD1062=""),"-",CD1062)))))</f>
        <v>1</v>
      </c>
      <c r="AB1062" s="67"/>
      <c r="AC1062" s="68"/>
      <c r="AD1062" s="62" t="n">
        <f aca="false">AW1062</f>
        <v>1</v>
      </c>
      <c r="AE1062" s="62" t="n">
        <f aca="false">MAX(AW1062,H1062)</f>
        <v>4</v>
      </c>
      <c r="AF1062" s="69"/>
      <c r="AG1062" s="62" t="n">
        <f aca="false">IF(LEFT(Cockpit!$C$5,1)="A",H1062,IF(Parameter!$E$30="MAX-Bestand",IF(CI1062=1,CJ1062,IF(LEFT(Cockpit!$C$5,1)="B",AM1062,MAX(AM1062,H1062))),ROUNDUP(AK1062,0)))</f>
        <v>4</v>
      </c>
      <c r="AH1062" s="62" t="n">
        <f aca="false">IF(CA1062=1,0,ROUNDUP(AG1062/BZ1062,0))</f>
        <v>1</v>
      </c>
      <c r="AI1062" s="64" t="n">
        <f aca="false">IF(CR1062&gt;0,CR1062*MAX(1,AG1062/X1062),IF(CA1062=1,IF(AG1062&lt;=0,0,CE1062*MAX(1,IF(H1062&gt;0,AG1062/H1062,1))),IF(R1062&gt;0,AH1062/R1062,0))/MAX(0.1,N(Parameter!$M$21)))</f>
        <v>0.00961538461538462</v>
      </c>
      <c r="AJ1062" s="62" t="n">
        <f aca="false">AI1062*CC1062</f>
        <v>1.49038461538462</v>
      </c>
      <c r="AK1062" s="63" t="n">
        <f aca="false">IF(LEFT(Cockpit!$C$5,1)="A",H1062,IF(CI1062=1,(CL1062+CJ1062)/2,IF(LEFT(Cockpit!$C$5,1)="B",(CL1062+AM1062)/2,MAX((CL1062+AM1062)/2,H1062))))</f>
        <v>4</v>
      </c>
      <c r="AL1062" s="62" t="n">
        <f aca="false">AK1062*G1062</f>
        <v>628.32</v>
      </c>
      <c r="AM1062" s="62" t="n">
        <f aca="false">ROUNDUP(CL1062+MAX(CM1062,2*(J1062/IF(CH1062&gt;0,CH1062,MAX(0.1,N(Cockpit!$C$6)))-CL1062)),0)</f>
        <v>1</v>
      </c>
      <c r="AN1062" s="63" t="n">
        <f aca="false">IF(AJ1062&gt;0,J1062/AJ1062,-1)</f>
        <v>0.670967741935484</v>
      </c>
      <c r="AO1062" s="63" t="n">
        <f aca="false">IF(AND(OR(CG1062="L1",CG1062="L23",CG1062="LIFT"),AJ1062&gt;0),SUMIFS($AJ$7:$AJ$1843,$CG$7:$CG$1843,CG1062,$AN$7:$AN$1843,"&gt;"&amp;AN1062)+SUMIFS($AJ$7:$AJ$1843,$CG$7:$CG$1843,CG1062,$AN$7:$AN$1843,AN1062,$BX$7:$BX$1843,"&lt;="&amp;BX1062),"")</f>
        <v>8629.52564102564</v>
      </c>
      <c r="AP1062" s="70" t="n">
        <f aca="false">IF(AO1062="",0,MAX(0,MIN(1,(IF(CG1062="L1",Parameter!$H$5,IF(CG1062="L23",Parameter!$H$6+Parameter!$H$7,Parameter!$H$5+Parameter!$H$6+Parameter!$H$7))-(AO1062-AJ1062))/AJ1062)))</f>
        <v>1</v>
      </c>
      <c r="AQ1062" s="62" t="n">
        <f aca="false">IF(LEFT(Cockpit!$I$5,1)="A",H1062,IF(Parameter!$E$30="MAX-Bestand",IF(CI1062=1,CJ1062,IF(LEFT(Cockpit!$I$5,1)="B",AW1062,MAX(AW1062,H1062))),ROUNDUP(AU1062,0)))</f>
        <v>4</v>
      </c>
      <c r="AR1062" s="62" t="n">
        <f aca="false">IF(CA1062=1,0,ROUNDUP(AQ1062/BZ1062,0))</f>
        <v>1</v>
      </c>
      <c r="AS1062" s="64" t="n">
        <f aca="false">IF(CR1062&gt;0,CR1062*MAX(1,AQ1062/X1062),IF(CA1062=1,IF(AQ1062&lt;=0,0,CE1062*MAX(1,IF(H1062&gt;0,AQ1062/H1062,1))),IF(R1062&gt;0,AR1062/R1062,0))/MAX(0.1,N(Parameter!$M$21)))</f>
        <v>0.00961538461538462</v>
      </c>
      <c r="AT1062" s="62" t="n">
        <f aca="false">AS1062*CC1062</f>
        <v>1.49038461538462</v>
      </c>
      <c r="AU1062" s="63" t="n">
        <f aca="false">IF(LEFT(Cockpit!$I$5,1)="A",H1062,IF(CI1062=1,(CL1062+CJ1062)/2,IF(LEFT(Cockpit!$I$5,1)="B",(CL1062+AW1062)/2,MAX((CL1062+AW1062)/2,H1062))))</f>
        <v>4</v>
      </c>
      <c r="AV1062" s="62" t="n">
        <f aca="false">AU1062*G1062</f>
        <v>628.32</v>
      </c>
      <c r="AW1062" s="62" t="n">
        <f aca="false">ROUNDUP(CL1062+MAX(CM1062,2*(J1062/IF(CH1062&gt;0,CH1062,MAX(0.1,N(Cockpit!$I$6)))-CL1062)),0)</f>
        <v>1</v>
      </c>
      <c r="AX1062" s="63" t="n">
        <f aca="false">IF(AT1062&gt;0,J1062/AT1062,-1)</f>
        <v>0.670967741935484</v>
      </c>
      <c r="AY1062" s="63" t="n">
        <f aca="false">IF(AND(OR(CG1062="L1",CG1062="L23",CG1062="LIFT"),AT1062&gt;0),SUMIFS($AT$7:$AT$1843,$CG$7:$CG$1843,CG1062,$AX$7:$AX$1843,"&gt;"&amp;AX1062)+SUMIFS($AT$7:$AT$1843,$CG$7:$CG$1843,CG1062,$AX$7:$AX$1843,AX1062,$BX$7:$BX$1843,"&lt;="&amp;BX1062),"")</f>
        <v>10923.6932234432</v>
      </c>
      <c r="AZ1062" s="70" t="n">
        <f aca="false">IF(AY1062="",0,MAX(0,MIN(1,(IF(CG1062="L1",Parameter!$H$5,IF(CG1062="L23",Parameter!$H$6+Parameter!$H$7,Parameter!$H$5+Parameter!$H$6+Parameter!$H$7))-(AY1062-AT1062))/AT1062)))</f>
        <v>1</v>
      </c>
      <c r="BA1062" s="62" t="n">
        <f aca="false">IF(LEFT(Cockpit!$O$5,1)="A",H1062,IF(Parameter!$E$30="MAX-Bestand",IF(CI1062=1,CJ1062,IF(LEFT(Cockpit!$O$5,1)="B",BG1062,MAX(BG1062,H1062))),ROUNDUP(BE1062,0)))</f>
        <v>1</v>
      </c>
      <c r="BB1062" s="62" t="n">
        <f aca="false">IF(CA1062=1,0,ROUNDUP(BA1062/BZ1062,0))</f>
        <v>1</v>
      </c>
      <c r="BC1062" s="64" t="n">
        <f aca="false">IF(CR1062&gt;0,CR1062*MAX(1,BA1062/X1062),IF(CA1062=1,IF(BA1062&lt;=0,0,CE1062*MAX(1,IF(H1062&gt;0,BA1062/H1062,1))),IF(R1062&gt;0,BB1062/R1062,0))/MAX(0.1,N(Parameter!$M$21)))</f>
        <v>0.00961538461538462</v>
      </c>
      <c r="BD1062" s="62" t="n">
        <f aca="false">BC1062*CC1062</f>
        <v>1.49038461538462</v>
      </c>
      <c r="BE1062" s="63" t="n">
        <f aca="false">IF(LEFT(Cockpit!$O$5,1)="A",H1062,IF(CI1062=1,(CL1062+CJ1062)/2,IF(LEFT(Cockpit!$O$5,1)="B",(CL1062+BG1062)/2,MAX((CL1062+BG1062)/2,H1062))))</f>
        <v>0.5</v>
      </c>
      <c r="BF1062" s="62" t="n">
        <f aca="false">BE1062*G1062</f>
        <v>78.54</v>
      </c>
      <c r="BG1062" s="62" t="n">
        <f aca="false">ROUNDUP(CL1062+MAX(CM1062,2*(J1062/IF(CH1062&gt;0,CH1062,MAX(0.1,N(Cockpit!$O$6)))-CL1062)),0)</f>
        <v>1</v>
      </c>
      <c r="BH1062" s="63" t="n">
        <f aca="false">IF(BD1062&gt;0,J1062/BD1062,-1)</f>
        <v>0.670967741935484</v>
      </c>
      <c r="BI1062" s="63" t="n">
        <f aca="false">IF(AND(OR(CG1062="L1",CG1062="L23",CG1062="LIFT"),BD1062&gt;0),SUMIFS($BD$7:$BD$1843,$CG$7:$CG$1843,CG1062,$BH$7:$BH$1843,"&gt;"&amp;BH1062)+SUMIFS($BD$7:$BD$1843,$CG$7:$CG$1843,CG1062,$BH$7:$BH$1843,BH1062,$BX$7:$BX$1843,"&lt;="&amp;BX1062),"")</f>
        <v>9533.32738095238</v>
      </c>
      <c r="BJ1062" s="70" t="n">
        <f aca="false">IF(BI1062="",0,MAX(0,MIN(1,(IF(CG1062="L1",Parameter!$H$5,IF(CG1062="L23",Parameter!$H$6+Parameter!$H$7,Parameter!$H$5+Parameter!$H$6+Parameter!$H$7))-(BI1062-BD1062))/BD1062)))</f>
        <v>1</v>
      </c>
      <c r="BK1062" s="60" t="str">
        <f aca="false">IF(AJ1062&lt;=0,"",IF(CG1062="Aussen","Aussenlager",IF(CG1062="-","Nicht im Lift",IF(AP1062&gt;=1,"Lift",IF(AP1062&lt;=0,"Aussenlager","teilweise")))))</f>
        <v>Lift</v>
      </c>
      <c r="BL1062" s="60" t="str">
        <f aca="false">IF(AT1062&lt;=0,"",IF(CG1062="Aussen","Aussenlager",IF(CG1062="-","Nicht im Lift",IF(AZ1062&gt;=1,"Lift",IF(AZ1062&lt;=0,"Aussenlager","teilweise")))))</f>
        <v>Lift</v>
      </c>
      <c r="BM1062" s="60" t="str">
        <f aca="false">IF(BD1062&lt;=0,"",IF(CG1062="Aussen","Aussenlager",IF(CG1062="-","Nicht im Lift",IF(BJ1062&gt;=1,"Lift",IF(BJ1062&lt;=0,"Aussenlager","teilweise")))))</f>
        <v>Lift</v>
      </c>
      <c r="BN1062" s="60" t="str">
        <f aca="false">IF(A1062="","",IF(BW1062=1,"Neu; ","")&amp;IF(AND(BW1062=0,BR1062&lt;0),"negativer Bestand (Export "&amp;BR1062&amp;"); ","")&amp;IF(J1062&lt;=0,"Kein Verbrauch; ","")&amp;IF(CR1062&gt;0,"Lift "&amp;W1062&amp;" lt. Liftbericht (Fach "&amp;X1062&amp;" Stk); ",IF(CB1062=1,"Gebinde geschätzt ("&amp;T1062&amp;"); ",IF(CA1062=1,"Lose – Tablare geschätzt; ","")))&amp;IF(H1062&gt;AW1062,"Überbestand "&amp;ROUND(H1062-AW1062,0)&amp;" Stk / CHF "&amp;ROUND((H1062-AW1062)*G1062,0)&amp;"; ","")&amp;IF(AND(CI1062=1,CJ1062&lt;CK1062),"MAX &lt; MB+LG; ","")&amp;IF(AND(CQ1062&gt;0,CP1062*10&gt;CQ1062),"zu hoch für Tablar; ","")&amp;IF(AND(BW1062=0,OR(CI1062=1,AB1062&lt;&gt;"",U1062&lt;&gt;"",V1062&lt;&gt;"",AC1062&lt;&gt;"")),"manuell übersteuert; ","")&amp;IF(AND(CA1062=0,R1062=0),"Gebinde unbekannt / Stellmass fehlt; ","")&amp;IF(AND(CA1062=0,N(V1062)&lt;=0,N(Q1062)&lt;=0),"Menge pro Gebinde fehlt (Ist = 1 Gebinde); ","")&amp;BV1062)</f>
        <v>negativer Bestand (Export -1); Überbestand 3 Stk / CHF 471; </v>
      </c>
      <c r="BO1062" s="60"/>
      <c r="BP1062" s="60"/>
      <c r="BQ1062" s="67"/>
      <c r="BR1062" s="62" t="n">
        <v>-1</v>
      </c>
      <c r="BS1062" s="62" t="n">
        <v>5</v>
      </c>
      <c r="BT1062" s="61" t="n">
        <v>-157.08</v>
      </c>
      <c r="BU1062" s="62" t="n">
        <v>1</v>
      </c>
      <c r="BV1062" s="60"/>
      <c r="BW1062" s="65" t="n">
        <v>0</v>
      </c>
      <c r="BX1062" s="65" t="n">
        <v>1062</v>
      </c>
      <c r="BY1062" s="60" t="str">
        <f aca="false">IF(U1062&lt;&gt;"",UPPER(TRIM(U1062)),IF(CB1062=1,UPPER(VLOOKUP(T1062,Parameter!$I$27:$K$29,2,0)),IF(P1062="","LOSE",P1062)))</f>
        <v>S32</v>
      </c>
      <c r="BZ1062" s="62" t="n">
        <f aca="false">IF(BY1062="LOSE",1,IF(N(V1062)&gt;0,V1062,IF(CB1062=1,MAX(1,N(VLOOKUP(T1062,Parameter!$I$27:$K$29,3,0)),H1062,N(N1062)),IF(N(Q1062)&gt;0,Q1062,MAX(1,H1062)))))</f>
        <v>5</v>
      </c>
      <c r="CA1062" s="65" t="n">
        <f aca="false">IF(BY1062="LOSE",1,0)</f>
        <v>0</v>
      </c>
      <c r="CB1062" s="65" t="n">
        <f aca="false">IF(AND(U1062="",OR(P1062="",P1062="LOSE"),T1062&lt;&gt;"",N(S1062)&lt;=0,ISNUMBER(MATCH(T1062,Parameter!$I$27:$I$29,0))),1,0)</f>
        <v>0</v>
      </c>
      <c r="CC1062" s="65" t="n">
        <f aca="false">IF(CR1062&gt;0,INDEX(Parameter!$H$5:$H$7,W1062)/INDEX(Parameter!$E$5:$E$7,W1062),IF(AND(CA1062=0,N(IFERROR(VLOOKUP(BY1062,'Gebinde-Kategorie'!$A$5:$N$45,14,0),0))&gt;0),VLOOKUP(BY1062,'Gebinde-Kategorie'!$A$5:$N$45,14,0)*10+Parameter!$M$23,Parameter!$M$24))</f>
        <v>155</v>
      </c>
      <c r="CD1062" s="60" t="str">
        <f aca="false">IF(AND(Parameter!$B$19="Ja",E1062&lt;&gt;"",ISNUMBER(MATCH(E1062,Parameter!$I$35:$I$52,0))),VLOOKUP(E1062,Parameter!$I$35:$J$52,2,0),IFERROR(VLOOKUP(D1062,Parameter!$A$35:$C$64,2,0),"Nein"))</f>
        <v>2+3</v>
      </c>
      <c r="CE1062" s="64" t="n">
        <f aca="false">IF(CA1062=0,0,IF(N(S1062)&gt;0,S1062,IFERROR(VLOOKUP(D1062,Parameter!$A$35:$C$64,3,0)+0,0)))</f>
        <v>0</v>
      </c>
      <c r="CF1062" s="60" t="n">
        <f aca="false">IF(AB1062&lt;&gt;"",AB1062,AA1062)</f>
        <v>1</v>
      </c>
      <c r="CG1062" s="60" t="str">
        <f aca="false">IF(OR(CF1062=1,CF1062=2,CF1062=3),IF(Parameter!$E$27="Ja","LIFT",IF(CF1062=1,"L1","L23")),IF(CF1062="Aussen","Aussen","-"))</f>
        <v>LIFT</v>
      </c>
      <c r="CH1062" s="71" t="n">
        <f aca="false">IF(N(AC1062)&gt;0,AC1062,0)</f>
        <v>0</v>
      </c>
      <c r="CI1062" s="65" t="n">
        <f aca="false">IF(ISNUMBER(AF1062),1,0)</f>
        <v>0</v>
      </c>
      <c r="CJ1062" s="62" t="n">
        <f aca="false">N(AF1062)</f>
        <v>0</v>
      </c>
      <c r="CK1062" s="62" t="n">
        <f aca="false">N(M1062)+N(N1062)</f>
        <v>1</v>
      </c>
      <c r="CL1062" s="62" t="n">
        <f aca="false">N(M1062)</f>
        <v>0</v>
      </c>
      <c r="CM1062" s="62" t="n">
        <f aca="false">N(N1062)</f>
        <v>1</v>
      </c>
      <c r="CN1062" s="62" t="n">
        <f aca="false">ROUNDUP(H1062/BZ1062,0)</f>
        <v>1</v>
      </c>
      <c r="CO1062" s="62" t="n">
        <f aca="false">ROUNDUP(CJ1062/BZ1062,0)</f>
        <v>0</v>
      </c>
      <c r="CP1062" s="65" t="n">
        <f aca="false">IF(CA1062=1,0,IFERROR(VLOOKUP(BY1062,'Gebinde-Kategorie'!$A$5:$N$45,5,0)+0,0))</f>
        <v>8</v>
      </c>
      <c r="CQ1062" s="65" t="n">
        <f aca="false">IFERROR(IF(OR(CF1062=1,CF1062=2,CF1062=3),N(INDEX(Parameter!$I$5:$I$7,CF1062)),0),0)</f>
        <v>0</v>
      </c>
      <c r="CR1062" s="64" t="n">
        <f aca="false">IF(AND(Parameter!$B$21="Ja",ISNUMBER(W1062),N(X1062)&gt;0),IFERROR(N(INDEX(Parameter!$L$5:$L$7,W1062))*INDEX(Parameter!$E$5:$E$7,W1062)*X1062/SUMIFS($X$7:$X$1843,$W$7:$W$1843,W1062),0),0)</f>
        <v>0</v>
      </c>
      <c r="CS1062" s="62" t="n">
        <f aca="false">IF(AND(OR(CG1062="L1",CG1062="L23",CG1062="LIFT"),H1062&gt;0),CC1062*IF(CR1062&gt;0,CR1062*MAX(1,H1062/X1062),IF(CA1062=1,CE1062,IF(R1062&gt;0,CN1062/R1062,0))/MAX(0.1,N(Parameter!$M$21))),"")</f>
        <v>1.49038461538462</v>
      </c>
      <c r="CT1062" s="64" t="n">
        <f aca="false">IF(CS1062="","",J1062/H1062)</f>
        <v>0.25</v>
      </c>
      <c r="CU1062" s="62" t="n">
        <f aca="false">IF(CS1062="","",H1062*G1062)</f>
        <v>628.32</v>
      </c>
      <c r="CV1062" s="63" t="n">
        <f aca="false">IF(CS1062="","",(CL1062+ROUNDUP(CL1062+MAX(CM1062,2*(J1062/MAX(0.1,N(Einkauf!$C$6))-CL1062)),0))/2)</f>
        <v>0.5</v>
      </c>
      <c r="CW1062" s="62" t="n">
        <f aca="false">IF(CS1062="","",MAX(0,H1062-CV1062)*G1062)</f>
        <v>549.78</v>
      </c>
      <c r="CX1062" s="62" t="n">
        <f aca="false">IF(CS1062="","",CS1062*MAX(0,1-CV1062/H1062))</f>
        <v>1.30408653846154</v>
      </c>
      <c r="CY1062" s="64" t="n">
        <f aca="false">IF(CS1062="","",PERCENTRANK($CS$7:$CS$1843,CS1062)+PERCENTRANK($CU$7:$CU$1843,CU1062)+1-PERCENTRANK($CT$7:$CT$1843,CT1062))</f>
        <v>1.189</v>
      </c>
      <c r="CZ1062" s="72" t="n">
        <f aca="false">IF(CS1062="","",CHOOSE(MATCH(Einkauf!$C$5,Parameter!$G$23:$G$27,0),CY1062,CS1062,CU1062,-CT1062,CW1062)+ROW()/1000000000)</f>
        <v>1.189001062</v>
      </c>
    </row>
    <row r="1063" customFormat="false" ht="15" hidden="false" customHeight="false" outlineLevel="0" collapsed="false">
      <c r="A1063" s="60" t="s">
        <v>1983</v>
      </c>
      <c r="B1063" s="60" t="s">
        <v>1984</v>
      </c>
      <c r="C1063" s="60" t="s">
        <v>206</v>
      </c>
      <c r="D1063" s="60" t="s">
        <v>226</v>
      </c>
      <c r="E1063" s="60" t="s">
        <v>227</v>
      </c>
      <c r="F1063" s="60" t="s">
        <v>260</v>
      </c>
      <c r="G1063" s="61" t="n">
        <v>22.7</v>
      </c>
      <c r="H1063" s="62" t="n">
        <f aca="false">MAX(0,IF(AND(Parameter!$B$21="Ja",ISNUMBER(Y1063)),Y1063,IF(Parameter!$B$20="Jahresanfang 2025 + Export",BS1063+BR1063,BR1063)))</f>
        <v>4</v>
      </c>
      <c r="I1063" s="62" t="n">
        <f aca="false">H1063*G1063</f>
        <v>90.8</v>
      </c>
      <c r="J1063" s="62" t="n">
        <f aca="false">BU1063*Parameter!$B$18</f>
        <v>4</v>
      </c>
      <c r="K1063" s="63" t="n">
        <v>13</v>
      </c>
      <c r="L1063" s="64" t="n">
        <v>0.307692307692308</v>
      </c>
      <c r="M1063" s="62" t="n">
        <v>0</v>
      </c>
      <c r="N1063" s="62" t="n">
        <v>5</v>
      </c>
      <c r="O1063" s="65" t="n">
        <v>35</v>
      </c>
      <c r="P1063" s="60" t="s">
        <v>463</v>
      </c>
      <c r="Q1063" s="62" t="n">
        <v>9</v>
      </c>
      <c r="R1063" s="65" t="n">
        <f aca="false">IF(CA1063=1,0,IFERROR(VLOOKUP(BY1063,'Gebinde-Kategorie'!$A$5:$N$45,13,0)+0,0))</f>
        <v>104</v>
      </c>
      <c r="S1063" s="66"/>
      <c r="T1063" s="67"/>
      <c r="U1063" s="67"/>
      <c r="V1063" s="67"/>
      <c r="W1063" s="60"/>
      <c r="X1063" s="62"/>
      <c r="Y1063" s="62"/>
      <c r="Z1063" s="60" t="n">
        <v>1</v>
      </c>
      <c r="AA1063" s="60" t="n">
        <f aca="false">IF(A1063="","",IF(AND(Parameter!$B$21="Ja",ISNUMBER(W1063)),W1063,IF(AND(Parameter!$E$27="Ja",ISNUMBER(Z1063),CD1063&lt;&gt;"Nein"),Z1063,IF(CD1063="2+3",IF(ISNUMBER(SEARCH("grosser Artikel",BV1063)),2,IFERROR(VLOOKUP(BY1063,Parameter!$F$35:$G$64,2,0),2)),IF(OR(CD1063="Nein",CD1063=""),"-",CD1063)))))</f>
        <v>1</v>
      </c>
      <c r="AB1063" s="67"/>
      <c r="AC1063" s="68"/>
      <c r="AD1063" s="62" t="n">
        <f aca="false">AW1063</f>
        <v>5</v>
      </c>
      <c r="AE1063" s="62" t="n">
        <f aca="false">MAX(AW1063,H1063)</f>
        <v>5</v>
      </c>
      <c r="AF1063" s="69"/>
      <c r="AG1063" s="62" t="n">
        <f aca="false">IF(LEFT(Cockpit!$C$5,1)="A",H1063,IF(Parameter!$E$30="MAX-Bestand",IF(CI1063=1,CJ1063,IF(LEFT(Cockpit!$C$5,1)="B",AM1063,MAX(AM1063,H1063))),ROUNDUP(AK1063,0)))</f>
        <v>4</v>
      </c>
      <c r="AH1063" s="62" t="n">
        <f aca="false">IF(CA1063=1,0,ROUNDUP(AG1063/BZ1063,0))</f>
        <v>1</v>
      </c>
      <c r="AI1063" s="64" t="n">
        <f aca="false">IF(CR1063&gt;0,CR1063*MAX(1,AG1063/X1063),IF(CA1063=1,IF(AG1063&lt;=0,0,CE1063*MAX(1,IF(H1063&gt;0,AG1063/H1063,1))),IF(R1063&gt;0,AH1063/R1063,0))/MAX(0.1,N(Parameter!$M$21)))</f>
        <v>0.00961538461538462</v>
      </c>
      <c r="AJ1063" s="62" t="n">
        <f aca="false">AI1063*CC1063</f>
        <v>1.49038461538462</v>
      </c>
      <c r="AK1063" s="63" t="n">
        <f aca="false">IF(LEFT(Cockpit!$C$5,1)="A",H1063,IF(CI1063=1,(CL1063+CJ1063)/2,IF(LEFT(Cockpit!$C$5,1)="B",(CL1063+AM1063)/2,MAX((CL1063+AM1063)/2,H1063))))</f>
        <v>4</v>
      </c>
      <c r="AL1063" s="62" t="n">
        <f aca="false">AK1063*G1063</f>
        <v>90.8</v>
      </c>
      <c r="AM1063" s="62" t="n">
        <f aca="false">ROUNDUP(CL1063+MAX(CM1063,2*(J1063/IF(CH1063&gt;0,CH1063,MAX(0.1,N(Cockpit!$C$6)))-CL1063)),0)</f>
        <v>5</v>
      </c>
      <c r="AN1063" s="63" t="n">
        <f aca="false">IF(AJ1063&gt;0,J1063/AJ1063,-1)</f>
        <v>2.68387096774194</v>
      </c>
      <c r="AO1063" s="63" t="n">
        <f aca="false">IF(AND(OR(CG1063="L1",CG1063="L23",CG1063="LIFT"),AJ1063&gt;0),SUMIFS($AJ$7:$AJ$1843,$CG$7:$CG$1843,CG1063,$AN$7:$AN$1843,"&gt;"&amp;AN1063)+SUMIFS($AJ$7:$AJ$1843,$CG$7:$CG$1843,CG1063,$AN$7:$AN$1843,AN1063,$BX$7:$BX$1843,"&lt;="&amp;BX1063),"")</f>
        <v>5341.34249084249</v>
      </c>
      <c r="AP1063" s="70" t="n">
        <f aca="false">IF(AO1063="",0,MAX(0,MIN(1,(IF(CG1063="L1",Parameter!$H$5,IF(CG1063="L23",Parameter!$H$6+Parameter!$H$7,Parameter!$H$5+Parameter!$H$6+Parameter!$H$7))-(AO1063-AJ1063))/AJ1063)))</f>
        <v>1</v>
      </c>
      <c r="AQ1063" s="62" t="n">
        <f aca="false">IF(LEFT(Cockpit!$I$5,1)="A",H1063,IF(Parameter!$E$30="MAX-Bestand",IF(CI1063=1,CJ1063,IF(LEFT(Cockpit!$I$5,1)="B",AW1063,MAX(AW1063,H1063))),ROUNDUP(AU1063,0)))</f>
        <v>4</v>
      </c>
      <c r="AR1063" s="62" t="n">
        <f aca="false">IF(CA1063=1,0,ROUNDUP(AQ1063/BZ1063,0))</f>
        <v>1</v>
      </c>
      <c r="AS1063" s="64" t="n">
        <f aca="false">IF(CR1063&gt;0,CR1063*MAX(1,AQ1063/X1063),IF(CA1063=1,IF(AQ1063&lt;=0,0,CE1063*MAX(1,IF(H1063&gt;0,AQ1063/H1063,1))),IF(R1063&gt;0,AR1063/R1063,0))/MAX(0.1,N(Parameter!$M$21)))</f>
        <v>0.00961538461538462</v>
      </c>
      <c r="AT1063" s="62" t="n">
        <f aca="false">AS1063*CC1063</f>
        <v>1.49038461538462</v>
      </c>
      <c r="AU1063" s="63" t="n">
        <f aca="false">IF(LEFT(Cockpit!$I$5,1)="A",H1063,IF(CI1063=1,(CL1063+CJ1063)/2,IF(LEFT(Cockpit!$I$5,1)="B",(CL1063+AW1063)/2,MAX((CL1063+AW1063)/2,H1063))))</f>
        <v>4</v>
      </c>
      <c r="AV1063" s="62" t="n">
        <f aca="false">AU1063*G1063</f>
        <v>90.8</v>
      </c>
      <c r="AW1063" s="62" t="n">
        <f aca="false">ROUNDUP(CL1063+MAX(CM1063,2*(J1063/IF(CH1063&gt;0,CH1063,MAX(0.1,N(Cockpit!$I$6)))-CL1063)),0)</f>
        <v>5</v>
      </c>
      <c r="AX1063" s="63" t="n">
        <f aca="false">IF(AT1063&gt;0,J1063/AT1063,-1)</f>
        <v>2.68387096774194</v>
      </c>
      <c r="AY1063" s="63" t="n">
        <f aca="false">IF(AND(OR(CG1063="L1",CG1063="L23",CG1063="LIFT"),AT1063&gt;0),SUMIFS($AT$7:$AT$1843,$CG$7:$CG$1843,CG1063,$AX$7:$AX$1843,"&gt;"&amp;AX1063)+SUMIFS($AT$7:$AT$1843,$CG$7:$CG$1843,CG1063,$AX$7:$AX$1843,AX1063,$BX$7:$BX$1843,"&lt;="&amp;BX1063),"")</f>
        <v>6175.82051282051</v>
      </c>
      <c r="AZ1063" s="70" t="n">
        <f aca="false">IF(AY1063="",0,MAX(0,MIN(1,(IF(CG1063="L1",Parameter!$H$5,IF(CG1063="L23",Parameter!$H$6+Parameter!$H$7,Parameter!$H$5+Parameter!$H$6+Parameter!$H$7))-(AY1063-AT1063))/AT1063)))</f>
        <v>1</v>
      </c>
      <c r="BA1063" s="62" t="n">
        <f aca="false">IF(LEFT(Cockpit!$O$5,1)="A",H1063,IF(Parameter!$E$30="MAX-Bestand",IF(CI1063=1,CJ1063,IF(LEFT(Cockpit!$O$5,1)="B",BG1063,MAX(BG1063,H1063))),ROUNDUP(BE1063,0)))</f>
        <v>3</v>
      </c>
      <c r="BB1063" s="62" t="n">
        <f aca="false">IF(CA1063=1,0,ROUNDUP(BA1063/BZ1063,0))</f>
        <v>1</v>
      </c>
      <c r="BC1063" s="64" t="n">
        <f aca="false">IF(CR1063&gt;0,CR1063*MAX(1,BA1063/X1063),IF(CA1063=1,IF(BA1063&lt;=0,0,CE1063*MAX(1,IF(H1063&gt;0,BA1063/H1063,1))),IF(R1063&gt;0,BB1063/R1063,0))/MAX(0.1,N(Parameter!$M$21)))</f>
        <v>0.00961538461538462</v>
      </c>
      <c r="BD1063" s="62" t="n">
        <f aca="false">BC1063*CC1063</f>
        <v>1.49038461538462</v>
      </c>
      <c r="BE1063" s="63" t="n">
        <f aca="false">IF(LEFT(Cockpit!$O$5,1)="A",H1063,IF(CI1063=1,(CL1063+CJ1063)/2,IF(LEFT(Cockpit!$O$5,1)="B",(CL1063+BG1063)/2,MAX((CL1063+BG1063)/2,H1063))))</f>
        <v>2.5</v>
      </c>
      <c r="BF1063" s="62" t="n">
        <f aca="false">BE1063*G1063</f>
        <v>56.75</v>
      </c>
      <c r="BG1063" s="62" t="n">
        <f aca="false">ROUNDUP(CL1063+MAX(CM1063,2*(J1063/IF(CH1063&gt;0,CH1063,MAX(0.1,N(Cockpit!$O$6)))-CL1063)),0)</f>
        <v>5</v>
      </c>
      <c r="BH1063" s="63" t="n">
        <f aca="false">IF(BD1063&gt;0,J1063/BD1063,-1)</f>
        <v>2.68387096774194</v>
      </c>
      <c r="BI1063" s="63" t="n">
        <f aca="false">IF(AND(OR(CG1063="L1",CG1063="L23",CG1063="LIFT"),BD1063&gt;0),SUMIFS($BD$7:$BD$1843,$CG$7:$CG$1843,CG1063,$BH$7:$BH$1843,"&gt;"&amp;BH1063)+SUMIFS($BD$7:$BD$1843,$CG$7:$CG$1843,CG1063,$BH$7:$BH$1843,BH1063,$BX$7:$BX$1843,"&lt;="&amp;BX1063),"")</f>
        <v>5353.875</v>
      </c>
      <c r="BJ1063" s="70" t="n">
        <f aca="false">IF(BI1063="",0,MAX(0,MIN(1,(IF(CG1063="L1",Parameter!$H$5,IF(CG1063="L23",Parameter!$H$6+Parameter!$H$7,Parameter!$H$5+Parameter!$H$6+Parameter!$H$7))-(BI1063-BD1063))/BD1063)))</f>
        <v>1</v>
      </c>
      <c r="BK1063" s="60" t="str">
        <f aca="false">IF(AJ1063&lt;=0,"",IF(CG1063="Aussen","Aussenlager",IF(CG1063="-","Nicht im Lift",IF(AP1063&gt;=1,"Lift",IF(AP1063&lt;=0,"Aussenlager","teilweise")))))</f>
        <v>Lift</v>
      </c>
      <c r="BL1063" s="60" t="str">
        <f aca="false">IF(AT1063&lt;=0,"",IF(CG1063="Aussen","Aussenlager",IF(CG1063="-","Nicht im Lift",IF(AZ1063&gt;=1,"Lift",IF(AZ1063&lt;=0,"Aussenlager","teilweise")))))</f>
        <v>Lift</v>
      </c>
      <c r="BM1063" s="60" t="str">
        <f aca="false">IF(BD1063&lt;=0,"",IF(CG1063="Aussen","Aussenlager",IF(CG1063="-","Nicht im Lift",IF(BJ1063&gt;=1,"Lift",IF(BJ1063&lt;=0,"Aussenlager","teilweise")))))</f>
        <v>Lift</v>
      </c>
      <c r="BN1063" s="60" t="str">
        <f aca="false">IF(A1063="","",IF(BW1063=1,"Neu; ","")&amp;IF(AND(BW1063=0,BR1063&lt;0),"negativer Bestand (Export "&amp;BR1063&amp;"); ","")&amp;IF(J1063&lt;=0,"Kein Verbrauch; ","")&amp;IF(CR1063&gt;0,"Lift "&amp;W1063&amp;" lt. Liftbericht (Fach "&amp;X1063&amp;" Stk); ",IF(CB1063=1,"Gebinde geschätzt ("&amp;T1063&amp;"); ",IF(CA1063=1,"Lose – Tablare geschätzt; ","")))&amp;IF(H1063&gt;AW1063,"Überbestand "&amp;ROUND(H1063-AW1063,0)&amp;" Stk / CHF "&amp;ROUND((H1063-AW1063)*G1063,0)&amp;"; ","")&amp;IF(AND(CI1063=1,CJ1063&lt;CK1063),"MAX &lt; MB+LG; ","")&amp;IF(AND(CQ1063&gt;0,CP1063*10&gt;CQ1063),"zu hoch für Tablar; ","")&amp;IF(AND(BW1063=0,OR(CI1063=1,AB1063&lt;&gt;"",U1063&lt;&gt;"",V1063&lt;&gt;"",AC1063&lt;&gt;"")),"manuell übersteuert; ","")&amp;IF(AND(CA1063=0,R1063=0),"Gebinde unbekannt / Stellmass fehlt; ","")&amp;IF(AND(CA1063=0,N(V1063)&lt;=0,N(Q1063)&lt;=0),"Menge pro Gebinde fehlt (Ist = 1 Gebinde); ","")&amp;BV1063)</f>
        <v>negativer Bestand (Export -7); </v>
      </c>
      <c r="BO1063" s="60"/>
      <c r="BP1063" s="60"/>
      <c r="BQ1063" s="67"/>
      <c r="BR1063" s="62" t="n">
        <v>-7</v>
      </c>
      <c r="BS1063" s="62" t="n">
        <v>11</v>
      </c>
      <c r="BT1063" s="61" t="n">
        <v>-158.9</v>
      </c>
      <c r="BU1063" s="62" t="n">
        <v>4</v>
      </c>
      <c r="BV1063" s="60"/>
      <c r="BW1063" s="65" t="n">
        <v>0</v>
      </c>
      <c r="BX1063" s="65" t="n">
        <v>1063</v>
      </c>
      <c r="BY1063" s="60" t="str">
        <f aca="false">IF(U1063&lt;&gt;"",UPPER(TRIM(U1063)),IF(CB1063=1,UPPER(VLOOKUP(T1063,Parameter!$I$27:$K$29,2,0)),IF(P1063="","LOSE",P1063)))</f>
        <v>S32</v>
      </c>
      <c r="BZ1063" s="62" t="n">
        <f aca="false">IF(BY1063="LOSE",1,IF(N(V1063)&gt;0,V1063,IF(CB1063=1,MAX(1,N(VLOOKUP(T1063,Parameter!$I$27:$K$29,3,0)),H1063,N(N1063)),IF(N(Q1063)&gt;0,Q1063,MAX(1,H1063)))))</f>
        <v>9</v>
      </c>
      <c r="CA1063" s="65" t="n">
        <f aca="false">IF(BY1063="LOSE",1,0)</f>
        <v>0</v>
      </c>
      <c r="CB1063" s="65" t="n">
        <f aca="false">IF(AND(U1063="",OR(P1063="",P1063="LOSE"),T1063&lt;&gt;"",N(S1063)&lt;=0,ISNUMBER(MATCH(T1063,Parameter!$I$27:$I$29,0))),1,0)</f>
        <v>0</v>
      </c>
      <c r="CC1063" s="65" t="n">
        <f aca="false">IF(CR1063&gt;0,INDEX(Parameter!$H$5:$H$7,W1063)/INDEX(Parameter!$E$5:$E$7,W1063),IF(AND(CA1063=0,N(IFERROR(VLOOKUP(BY1063,'Gebinde-Kategorie'!$A$5:$N$45,14,0),0))&gt;0),VLOOKUP(BY1063,'Gebinde-Kategorie'!$A$5:$N$45,14,0)*10+Parameter!$M$23,Parameter!$M$24))</f>
        <v>155</v>
      </c>
      <c r="CD1063" s="60" t="str">
        <f aca="false">IF(AND(Parameter!$B$19="Ja",E1063&lt;&gt;"",ISNUMBER(MATCH(E1063,Parameter!$I$35:$I$52,0))),VLOOKUP(E1063,Parameter!$I$35:$J$52,2,0),IFERROR(VLOOKUP(D1063,Parameter!$A$35:$C$64,2,0),"Nein"))</f>
        <v>2+3</v>
      </c>
      <c r="CE1063" s="64" t="n">
        <f aca="false">IF(CA1063=0,0,IF(N(S1063)&gt;0,S1063,IFERROR(VLOOKUP(D1063,Parameter!$A$35:$C$64,3,0)+0,0)))</f>
        <v>0</v>
      </c>
      <c r="CF1063" s="60" t="n">
        <f aca="false">IF(AB1063&lt;&gt;"",AB1063,AA1063)</f>
        <v>1</v>
      </c>
      <c r="CG1063" s="60" t="str">
        <f aca="false">IF(OR(CF1063=1,CF1063=2,CF1063=3),IF(Parameter!$E$27="Ja","LIFT",IF(CF1063=1,"L1","L23")),IF(CF1063="Aussen","Aussen","-"))</f>
        <v>LIFT</v>
      </c>
      <c r="CH1063" s="71" t="n">
        <f aca="false">IF(N(AC1063)&gt;0,AC1063,0)</f>
        <v>0</v>
      </c>
      <c r="CI1063" s="65" t="n">
        <f aca="false">IF(ISNUMBER(AF1063),1,0)</f>
        <v>0</v>
      </c>
      <c r="CJ1063" s="62" t="n">
        <f aca="false">N(AF1063)</f>
        <v>0</v>
      </c>
      <c r="CK1063" s="62" t="n">
        <f aca="false">N(M1063)+N(N1063)</f>
        <v>5</v>
      </c>
      <c r="CL1063" s="62" t="n">
        <f aca="false">N(M1063)</f>
        <v>0</v>
      </c>
      <c r="CM1063" s="62" t="n">
        <f aca="false">N(N1063)</f>
        <v>5</v>
      </c>
      <c r="CN1063" s="62" t="n">
        <f aca="false">ROUNDUP(H1063/BZ1063,0)</f>
        <v>1</v>
      </c>
      <c r="CO1063" s="62" t="n">
        <f aca="false">ROUNDUP(CJ1063/BZ1063,0)</f>
        <v>0</v>
      </c>
      <c r="CP1063" s="65" t="n">
        <f aca="false">IF(CA1063=1,0,IFERROR(VLOOKUP(BY1063,'Gebinde-Kategorie'!$A$5:$N$45,5,0)+0,0))</f>
        <v>8</v>
      </c>
      <c r="CQ1063" s="65" t="n">
        <f aca="false">IFERROR(IF(OR(CF1063=1,CF1063=2,CF1063=3),N(INDEX(Parameter!$I$5:$I$7,CF1063)),0),0)</f>
        <v>0</v>
      </c>
      <c r="CR1063" s="64" t="n">
        <f aca="false">IF(AND(Parameter!$B$21="Ja",ISNUMBER(W1063),N(X1063)&gt;0),IFERROR(N(INDEX(Parameter!$L$5:$L$7,W1063))*INDEX(Parameter!$E$5:$E$7,W1063)*X1063/SUMIFS($X$7:$X$1843,$W$7:$W$1843,W1063),0),0)</f>
        <v>0</v>
      </c>
      <c r="CS1063" s="62" t="n">
        <f aca="false">IF(AND(OR(CG1063="L1",CG1063="L23",CG1063="LIFT"),H1063&gt;0),CC1063*IF(CR1063&gt;0,CR1063*MAX(1,H1063/X1063),IF(CA1063=1,CE1063,IF(R1063&gt;0,CN1063/R1063,0))/MAX(0.1,N(Parameter!$M$21))),"")</f>
        <v>1.49038461538462</v>
      </c>
      <c r="CT1063" s="64" t="n">
        <f aca="false">IF(CS1063="","",J1063/H1063)</f>
        <v>1</v>
      </c>
      <c r="CU1063" s="62" t="n">
        <f aca="false">IF(CS1063="","",H1063*G1063)</f>
        <v>90.8</v>
      </c>
      <c r="CV1063" s="63" t="n">
        <f aca="false">IF(CS1063="","",(CL1063+ROUNDUP(CL1063+MAX(CM1063,2*(J1063/MAX(0.1,N(Einkauf!$C$6))-CL1063)),0))/2)</f>
        <v>2.5</v>
      </c>
      <c r="CW1063" s="62" t="n">
        <f aca="false">IF(CS1063="","",MAX(0,H1063-CV1063)*G1063)</f>
        <v>34.05</v>
      </c>
      <c r="CX1063" s="62" t="n">
        <f aca="false">IF(CS1063="","",CS1063*MAX(0,1-CV1063/H1063))</f>
        <v>0.558894230769231</v>
      </c>
      <c r="CY1063" s="64" t="n">
        <f aca="false">IF(CS1063="","",PERCENTRANK($CS$7:$CS$1843,CS1063)+PERCENTRANK($CU$7:$CU$1843,CU1063)+1-PERCENTRANK($CT$7:$CT$1843,CT1063))</f>
        <v>0.7</v>
      </c>
      <c r="CZ1063" s="72" t="n">
        <f aca="false">IF(CS1063="","",CHOOSE(MATCH(Einkauf!$C$5,Parameter!$G$23:$G$27,0),CY1063,CS1063,CU1063,-CT1063,CW1063)+ROW()/1000000000)</f>
        <v>0.700001063</v>
      </c>
    </row>
    <row r="1064" customFormat="false" ht="15" hidden="false" customHeight="false" outlineLevel="0" collapsed="false">
      <c r="A1064" s="60" t="s">
        <v>1985</v>
      </c>
      <c r="B1064" s="60" t="s">
        <v>1986</v>
      </c>
      <c r="C1064" s="60" t="s">
        <v>206</v>
      </c>
      <c r="D1064" s="60" t="s">
        <v>226</v>
      </c>
      <c r="E1064" s="60"/>
      <c r="F1064" s="60" t="s">
        <v>260</v>
      </c>
      <c r="G1064" s="61" t="n">
        <v>80.5</v>
      </c>
      <c r="H1064" s="62" t="n">
        <f aca="false">MAX(0,IF(AND(Parameter!$B$21="Ja",ISNUMBER(Y1064)),Y1064,IF(Parameter!$B$20="Jahresanfang 2025 + Export",BS1064+BR1064,BR1064)))</f>
        <v>7</v>
      </c>
      <c r="I1064" s="62" t="n">
        <f aca="false">H1064*G1064</f>
        <v>563.5</v>
      </c>
      <c r="J1064" s="62" t="n">
        <f aca="false">BU1064*Parameter!$B$18</f>
        <v>2</v>
      </c>
      <c r="K1064" s="63" t="n">
        <v>8</v>
      </c>
      <c r="L1064" s="64" t="n">
        <v>0.25</v>
      </c>
      <c r="M1064" s="62" t="n">
        <v>0</v>
      </c>
      <c r="N1064" s="62" t="n">
        <v>1</v>
      </c>
      <c r="O1064" s="65" t="n">
        <v>35</v>
      </c>
      <c r="P1064" s="60" t="s">
        <v>443</v>
      </c>
      <c r="Q1064" s="62" t="n">
        <v>7</v>
      </c>
      <c r="R1064" s="65" t="n">
        <f aca="false">IF(CA1064=1,0,IFERROR(VLOOKUP(BY1064,'Gebinde-Kategorie'!$A$5:$N$45,13,0)+0,0))</f>
        <v>280</v>
      </c>
      <c r="S1064" s="66"/>
      <c r="T1064" s="67"/>
      <c r="U1064" s="67"/>
      <c r="V1064" s="67"/>
      <c r="W1064" s="60"/>
      <c r="X1064" s="62"/>
      <c r="Y1064" s="62"/>
      <c r="Z1064" s="60" t="n">
        <v>1</v>
      </c>
      <c r="AA1064" s="60" t="n">
        <f aca="false">IF(A1064="","",IF(AND(Parameter!$B$21="Ja",ISNUMBER(W1064)),W1064,IF(AND(Parameter!$E$27="Ja",ISNUMBER(Z1064),CD1064&lt;&gt;"Nein"),Z1064,IF(CD1064="2+3",IF(ISNUMBER(SEARCH("grosser Artikel",BV1064)),2,IFERROR(VLOOKUP(BY1064,Parameter!$F$35:$G$64,2,0),2)),IF(OR(CD1064="Nein",CD1064=""),"-",CD1064)))))</f>
        <v>1</v>
      </c>
      <c r="AB1064" s="67"/>
      <c r="AC1064" s="68"/>
      <c r="AD1064" s="62" t="n">
        <f aca="false">AW1064</f>
        <v>2</v>
      </c>
      <c r="AE1064" s="62" t="n">
        <f aca="false">MAX(AW1064,H1064)</f>
        <v>7</v>
      </c>
      <c r="AF1064" s="69"/>
      <c r="AG1064" s="62" t="n">
        <f aca="false">IF(LEFT(Cockpit!$C$5,1)="A",H1064,IF(Parameter!$E$30="MAX-Bestand",IF(CI1064=1,CJ1064,IF(LEFT(Cockpit!$C$5,1)="B",AM1064,MAX(AM1064,H1064))),ROUNDUP(AK1064,0)))</f>
        <v>7</v>
      </c>
      <c r="AH1064" s="62" t="n">
        <f aca="false">IF(CA1064=1,0,ROUNDUP(AG1064/BZ1064,0))</f>
        <v>1</v>
      </c>
      <c r="AI1064" s="64" t="n">
        <f aca="false">IF(CR1064&gt;0,CR1064*MAX(1,AG1064/X1064),IF(CA1064=1,IF(AG1064&lt;=0,0,CE1064*MAX(1,IF(H1064&gt;0,AG1064/H1064,1))),IF(R1064&gt;0,AH1064/R1064,0))/MAX(0.1,N(Parameter!$M$21)))</f>
        <v>0.00357142857142857</v>
      </c>
      <c r="AJ1064" s="62" t="n">
        <f aca="false">AI1064*CC1064</f>
        <v>0.553571428571429</v>
      </c>
      <c r="AK1064" s="63" t="n">
        <f aca="false">IF(LEFT(Cockpit!$C$5,1)="A",H1064,IF(CI1064=1,(CL1064+CJ1064)/2,IF(LEFT(Cockpit!$C$5,1)="B",(CL1064+AM1064)/2,MAX((CL1064+AM1064)/2,H1064))))</f>
        <v>7</v>
      </c>
      <c r="AL1064" s="62" t="n">
        <f aca="false">AK1064*G1064</f>
        <v>563.5</v>
      </c>
      <c r="AM1064" s="62" t="n">
        <f aca="false">ROUNDUP(CL1064+MAX(CM1064,2*(J1064/IF(CH1064&gt;0,CH1064,MAX(0.1,N(Cockpit!$C$6)))-CL1064)),0)</f>
        <v>2</v>
      </c>
      <c r="AN1064" s="63" t="n">
        <f aca="false">IF(AJ1064&gt;0,J1064/AJ1064,-1)</f>
        <v>3.61290322580645</v>
      </c>
      <c r="AO1064" s="63" t="n">
        <f aca="false">IF(AND(OR(CG1064="L1",CG1064="L23",CG1064="LIFT"),AJ1064&gt;0),SUMIFS($AJ$7:$AJ$1843,$CG$7:$CG$1843,CG1064,$AN$7:$AN$1843,"&gt;"&amp;AN1064)+SUMIFS($AJ$7:$AJ$1843,$CG$7:$CG$1843,CG1064,$AN$7:$AN$1843,AN1064,$BX$7:$BX$1843,"&lt;="&amp;BX1064),"")</f>
        <v>4832.30265567766</v>
      </c>
      <c r="AP1064" s="70" t="n">
        <f aca="false">IF(AO1064="",0,MAX(0,MIN(1,(IF(CG1064="L1",Parameter!$H$5,IF(CG1064="L23",Parameter!$H$6+Parameter!$H$7,Parameter!$H$5+Parameter!$H$6+Parameter!$H$7))-(AO1064-AJ1064))/AJ1064)))</f>
        <v>1</v>
      </c>
      <c r="AQ1064" s="62" t="n">
        <f aca="false">IF(LEFT(Cockpit!$I$5,1)="A",H1064,IF(Parameter!$E$30="MAX-Bestand",IF(CI1064=1,CJ1064,IF(LEFT(Cockpit!$I$5,1)="B",AW1064,MAX(AW1064,H1064))),ROUNDUP(AU1064,0)))</f>
        <v>7</v>
      </c>
      <c r="AR1064" s="62" t="n">
        <f aca="false">IF(CA1064=1,0,ROUNDUP(AQ1064/BZ1064,0))</f>
        <v>1</v>
      </c>
      <c r="AS1064" s="64" t="n">
        <f aca="false">IF(CR1064&gt;0,CR1064*MAX(1,AQ1064/X1064),IF(CA1064=1,IF(AQ1064&lt;=0,0,CE1064*MAX(1,IF(H1064&gt;0,AQ1064/H1064,1))),IF(R1064&gt;0,AR1064/R1064,0))/MAX(0.1,N(Parameter!$M$21)))</f>
        <v>0.00357142857142857</v>
      </c>
      <c r="AT1064" s="62" t="n">
        <f aca="false">AS1064*CC1064</f>
        <v>0.553571428571429</v>
      </c>
      <c r="AU1064" s="63" t="n">
        <f aca="false">IF(LEFT(Cockpit!$I$5,1)="A",H1064,IF(CI1064=1,(CL1064+CJ1064)/2,IF(LEFT(Cockpit!$I$5,1)="B",(CL1064+AW1064)/2,MAX((CL1064+AW1064)/2,H1064))))</f>
        <v>7</v>
      </c>
      <c r="AV1064" s="62" t="n">
        <f aca="false">AU1064*G1064</f>
        <v>563.5</v>
      </c>
      <c r="AW1064" s="62" t="n">
        <f aca="false">ROUNDUP(CL1064+MAX(CM1064,2*(J1064/IF(CH1064&gt;0,CH1064,MAX(0.1,N(Cockpit!$I$6)))-CL1064)),0)</f>
        <v>2</v>
      </c>
      <c r="AX1064" s="63" t="n">
        <f aca="false">IF(AT1064&gt;0,J1064/AT1064,-1)</f>
        <v>3.61290322580645</v>
      </c>
      <c r="AY1064" s="63" t="n">
        <f aca="false">IF(AND(OR(CG1064="L1",CG1064="L23",CG1064="LIFT"),AT1064&gt;0),SUMIFS($AT$7:$AT$1843,$CG$7:$CG$1843,CG1064,$AX$7:$AX$1843,"&gt;"&amp;AX1064)+SUMIFS($AT$7:$AT$1843,$CG$7:$CG$1843,CG1064,$AX$7:$AX$1843,AX1064,$BX$7:$BX$1843,"&lt;="&amp;BX1064),"")</f>
        <v>5409.88965201465</v>
      </c>
      <c r="AZ1064" s="70" t="n">
        <f aca="false">IF(AY1064="",0,MAX(0,MIN(1,(IF(CG1064="L1",Parameter!$H$5,IF(CG1064="L23",Parameter!$H$6+Parameter!$H$7,Parameter!$H$5+Parameter!$H$6+Parameter!$H$7))-(AY1064-AT1064))/AT1064)))</f>
        <v>1</v>
      </c>
      <c r="BA1064" s="62" t="n">
        <f aca="false">IF(LEFT(Cockpit!$O$5,1)="A",H1064,IF(Parameter!$E$30="MAX-Bestand",IF(CI1064=1,CJ1064,IF(LEFT(Cockpit!$O$5,1)="B",BG1064,MAX(BG1064,H1064))),ROUNDUP(BE1064,0)))</f>
        <v>1</v>
      </c>
      <c r="BB1064" s="62" t="n">
        <f aca="false">IF(CA1064=1,0,ROUNDUP(BA1064/BZ1064,0))</f>
        <v>1</v>
      </c>
      <c r="BC1064" s="64" t="n">
        <f aca="false">IF(CR1064&gt;0,CR1064*MAX(1,BA1064/X1064),IF(CA1064=1,IF(BA1064&lt;=0,0,CE1064*MAX(1,IF(H1064&gt;0,BA1064/H1064,1))),IF(R1064&gt;0,BB1064/R1064,0))/MAX(0.1,N(Parameter!$M$21)))</f>
        <v>0.00357142857142857</v>
      </c>
      <c r="BD1064" s="62" t="n">
        <f aca="false">BC1064*CC1064</f>
        <v>0.553571428571429</v>
      </c>
      <c r="BE1064" s="63" t="n">
        <f aca="false">IF(LEFT(Cockpit!$O$5,1)="A",H1064,IF(CI1064=1,(CL1064+CJ1064)/2,IF(LEFT(Cockpit!$O$5,1)="B",(CL1064+BG1064)/2,MAX((CL1064+BG1064)/2,H1064))))</f>
        <v>0.5</v>
      </c>
      <c r="BF1064" s="62" t="n">
        <f aca="false">BE1064*G1064</f>
        <v>40.25</v>
      </c>
      <c r="BG1064" s="62" t="n">
        <f aca="false">ROUNDUP(CL1064+MAX(CM1064,2*(J1064/IF(CH1064&gt;0,CH1064,MAX(0.1,N(Cockpit!$O$6)))-CL1064)),0)</f>
        <v>1</v>
      </c>
      <c r="BH1064" s="63" t="n">
        <f aca="false">IF(BD1064&gt;0,J1064/BD1064,-1)</f>
        <v>3.61290322580645</v>
      </c>
      <c r="BI1064" s="63" t="n">
        <f aca="false">IF(AND(OR(CG1064="L1",CG1064="L23",CG1064="LIFT"),BD1064&gt;0),SUMIFS($BD$7:$BD$1843,$CG$7:$CG$1843,CG1064,$BH$7:$BH$1843,"&gt;"&amp;BH1064)+SUMIFS($BD$7:$BD$1843,$CG$7:$CG$1843,CG1064,$BH$7:$BH$1843,BH1064,$BX$7:$BX$1843,"&lt;="&amp;BX1064),"")</f>
        <v>4424.38644688645</v>
      </c>
      <c r="BJ1064" s="70" t="n">
        <f aca="false">IF(BI1064="",0,MAX(0,MIN(1,(IF(CG1064="L1",Parameter!$H$5,IF(CG1064="L23",Parameter!$H$6+Parameter!$H$7,Parameter!$H$5+Parameter!$H$6+Parameter!$H$7))-(BI1064-BD1064))/BD1064)))</f>
        <v>1</v>
      </c>
      <c r="BK1064" s="60" t="str">
        <f aca="false">IF(AJ1064&lt;=0,"",IF(CG1064="Aussen","Aussenlager",IF(CG1064="-","Nicht im Lift",IF(AP1064&gt;=1,"Lift",IF(AP1064&lt;=0,"Aussenlager","teilweise")))))</f>
        <v>Lift</v>
      </c>
      <c r="BL1064" s="60" t="str">
        <f aca="false">IF(AT1064&lt;=0,"",IF(CG1064="Aussen","Aussenlager",IF(CG1064="-","Nicht im Lift",IF(AZ1064&gt;=1,"Lift",IF(AZ1064&lt;=0,"Aussenlager","teilweise")))))</f>
        <v>Lift</v>
      </c>
      <c r="BM1064" s="60" t="str">
        <f aca="false">IF(BD1064&lt;=0,"",IF(CG1064="Aussen","Aussenlager",IF(CG1064="-","Nicht im Lift",IF(BJ1064&gt;=1,"Lift",IF(BJ1064&lt;=0,"Aussenlager","teilweise")))))</f>
        <v>Lift</v>
      </c>
      <c r="BN1064" s="60" t="str">
        <f aca="false">IF(A1064="","",IF(BW1064=1,"Neu; ","")&amp;IF(AND(BW1064=0,BR1064&lt;0),"negativer Bestand (Export "&amp;BR1064&amp;"); ","")&amp;IF(J1064&lt;=0,"Kein Verbrauch; ","")&amp;IF(CR1064&gt;0,"Lift "&amp;W1064&amp;" lt. Liftbericht (Fach "&amp;X1064&amp;" Stk); ",IF(CB1064=1,"Gebinde geschätzt ("&amp;T1064&amp;"); ",IF(CA1064=1,"Lose – Tablare geschätzt; ","")))&amp;IF(H1064&gt;AW1064,"Überbestand "&amp;ROUND(H1064-AW1064,0)&amp;" Stk / CHF "&amp;ROUND((H1064-AW1064)*G1064,0)&amp;"; ","")&amp;IF(AND(CI1064=1,CJ1064&lt;CK1064),"MAX &lt; MB+LG; ","")&amp;IF(AND(CQ1064&gt;0,CP1064*10&gt;CQ1064),"zu hoch für Tablar; ","")&amp;IF(AND(BW1064=0,OR(CI1064=1,AB1064&lt;&gt;"",U1064&lt;&gt;"",V1064&lt;&gt;"",AC1064&lt;&gt;"")),"manuell übersteuert; ","")&amp;IF(AND(CA1064=0,R1064=0),"Gebinde unbekannt / Stellmass fehlt; ","")&amp;IF(AND(CA1064=0,N(V1064)&lt;=0,N(Q1064)&lt;=0),"Menge pro Gebinde fehlt (Ist = 1 Gebinde); ","")&amp;BV1064)</f>
        <v>negativer Bestand (Export -2); Überbestand 5 Stk / CHF 403; </v>
      </c>
      <c r="BO1064" s="60"/>
      <c r="BP1064" s="60"/>
      <c r="BQ1064" s="67"/>
      <c r="BR1064" s="62" t="n">
        <v>-2</v>
      </c>
      <c r="BS1064" s="62" t="n">
        <v>9</v>
      </c>
      <c r="BT1064" s="61" t="n">
        <v>-161</v>
      </c>
      <c r="BU1064" s="62" t="n">
        <v>2</v>
      </c>
      <c r="BV1064" s="60"/>
      <c r="BW1064" s="65" t="n">
        <v>0</v>
      </c>
      <c r="BX1064" s="65" t="n">
        <v>1064</v>
      </c>
      <c r="BY1064" s="60" t="str">
        <f aca="false">IF(U1064&lt;&gt;"",UPPER(TRIM(U1064)),IF(CB1064=1,UPPER(VLOOKUP(T1064,Parameter!$I$27:$K$29,2,0)),IF(P1064="","LOSE",P1064)))</f>
        <v>S21</v>
      </c>
      <c r="BZ1064" s="62" t="n">
        <f aca="false">IF(BY1064="LOSE",1,IF(N(V1064)&gt;0,V1064,IF(CB1064=1,MAX(1,N(VLOOKUP(T1064,Parameter!$I$27:$K$29,3,0)),H1064,N(N1064)),IF(N(Q1064)&gt;0,Q1064,MAX(1,H1064)))))</f>
        <v>7</v>
      </c>
      <c r="CA1064" s="65" t="n">
        <f aca="false">IF(BY1064="LOSE",1,0)</f>
        <v>0</v>
      </c>
      <c r="CB1064" s="65" t="n">
        <f aca="false">IF(AND(U1064="",OR(P1064="",P1064="LOSE"),T1064&lt;&gt;"",N(S1064)&lt;=0,ISNUMBER(MATCH(T1064,Parameter!$I$27:$I$29,0))),1,0)</f>
        <v>0</v>
      </c>
      <c r="CC1064" s="65" t="n">
        <f aca="false">IF(CR1064&gt;0,INDEX(Parameter!$H$5:$H$7,W1064)/INDEX(Parameter!$E$5:$E$7,W1064),IF(AND(CA1064=0,N(IFERROR(VLOOKUP(BY1064,'Gebinde-Kategorie'!$A$5:$N$45,14,0),0))&gt;0),VLOOKUP(BY1064,'Gebinde-Kategorie'!$A$5:$N$45,14,0)*10+Parameter!$M$23,Parameter!$M$24))</f>
        <v>155</v>
      </c>
      <c r="CD1064" s="60" t="str">
        <f aca="false">IF(AND(Parameter!$B$19="Ja",E1064&lt;&gt;"",ISNUMBER(MATCH(E1064,Parameter!$I$35:$I$52,0))),VLOOKUP(E1064,Parameter!$I$35:$J$52,2,0),IFERROR(VLOOKUP(D1064,Parameter!$A$35:$C$64,2,0),"Nein"))</f>
        <v>2+3</v>
      </c>
      <c r="CE1064" s="64" t="n">
        <f aca="false">IF(CA1064=0,0,IF(N(S1064)&gt;0,S1064,IFERROR(VLOOKUP(D1064,Parameter!$A$35:$C$64,3,0)+0,0)))</f>
        <v>0</v>
      </c>
      <c r="CF1064" s="60" t="n">
        <f aca="false">IF(AB1064&lt;&gt;"",AB1064,AA1064)</f>
        <v>1</v>
      </c>
      <c r="CG1064" s="60" t="str">
        <f aca="false">IF(OR(CF1064=1,CF1064=2,CF1064=3),IF(Parameter!$E$27="Ja","LIFT",IF(CF1064=1,"L1","L23")),IF(CF1064="Aussen","Aussen","-"))</f>
        <v>LIFT</v>
      </c>
      <c r="CH1064" s="71" t="n">
        <f aca="false">IF(N(AC1064)&gt;0,AC1064,0)</f>
        <v>0</v>
      </c>
      <c r="CI1064" s="65" t="n">
        <f aca="false">IF(ISNUMBER(AF1064),1,0)</f>
        <v>0</v>
      </c>
      <c r="CJ1064" s="62" t="n">
        <f aca="false">N(AF1064)</f>
        <v>0</v>
      </c>
      <c r="CK1064" s="62" t="n">
        <f aca="false">N(M1064)+N(N1064)</f>
        <v>1</v>
      </c>
      <c r="CL1064" s="62" t="n">
        <f aca="false">N(M1064)</f>
        <v>0</v>
      </c>
      <c r="CM1064" s="62" t="n">
        <f aca="false">N(N1064)</f>
        <v>1</v>
      </c>
      <c r="CN1064" s="62" t="n">
        <f aca="false">ROUNDUP(H1064/BZ1064,0)</f>
        <v>1</v>
      </c>
      <c r="CO1064" s="62" t="n">
        <f aca="false">ROUNDUP(CJ1064/BZ1064,0)</f>
        <v>0</v>
      </c>
      <c r="CP1064" s="65" t="n">
        <f aca="false">IF(CA1064=1,0,IFERROR(VLOOKUP(BY1064,'Gebinde-Kategorie'!$A$5:$N$45,5,0)+0,0))</f>
        <v>8</v>
      </c>
      <c r="CQ1064" s="65" t="n">
        <f aca="false">IFERROR(IF(OR(CF1064=1,CF1064=2,CF1064=3),N(INDEX(Parameter!$I$5:$I$7,CF1064)),0),0)</f>
        <v>0</v>
      </c>
      <c r="CR1064" s="64" t="n">
        <f aca="false">IF(AND(Parameter!$B$21="Ja",ISNUMBER(W1064),N(X1064)&gt;0),IFERROR(N(INDEX(Parameter!$L$5:$L$7,W1064))*INDEX(Parameter!$E$5:$E$7,W1064)*X1064/SUMIFS($X$7:$X$1843,$W$7:$W$1843,W1064),0),0)</f>
        <v>0</v>
      </c>
      <c r="CS1064" s="62" t="n">
        <f aca="false">IF(AND(OR(CG1064="L1",CG1064="L23",CG1064="LIFT"),H1064&gt;0),CC1064*IF(CR1064&gt;0,CR1064*MAX(1,H1064/X1064),IF(CA1064=1,CE1064,IF(R1064&gt;0,CN1064/R1064,0))/MAX(0.1,N(Parameter!$M$21))),"")</f>
        <v>0.553571428571429</v>
      </c>
      <c r="CT1064" s="64" t="n">
        <f aca="false">IF(CS1064="","",J1064/H1064)</f>
        <v>0.285714285714286</v>
      </c>
      <c r="CU1064" s="62" t="n">
        <f aca="false">IF(CS1064="","",H1064*G1064)</f>
        <v>563.5</v>
      </c>
      <c r="CV1064" s="63" t="n">
        <f aca="false">IF(CS1064="","",(CL1064+ROUNDUP(CL1064+MAX(CM1064,2*(J1064/MAX(0.1,N(Einkauf!$C$6))-CL1064)),0))/2)</f>
        <v>0.5</v>
      </c>
      <c r="CW1064" s="62" t="n">
        <f aca="false">IF(CS1064="","",MAX(0,H1064-CV1064)*G1064)</f>
        <v>523.25</v>
      </c>
      <c r="CX1064" s="62" t="n">
        <f aca="false">IF(CS1064="","",CS1064*MAX(0,1-CV1064/H1064))</f>
        <v>0.514030612244898</v>
      </c>
      <c r="CY1064" s="64" t="n">
        <f aca="false">IF(CS1064="","",PERCENTRANK($CS$7:$CS$1843,CS1064)+PERCENTRANK($CU$7:$CU$1843,CU1064)+1-PERCENTRANK($CT$7:$CT$1843,CT1064))</f>
        <v>1.042</v>
      </c>
      <c r="CZ1064" s="72" t="n">
        <f aca="false">IF(CS1064="","",CHOOSE(MATCH(Einkauf!$C$5,Parameter!$G$23:$G$27,0),CY1064,CS1064,CU1064,-CT1064,CW1064)+ROW()/1000000000)</f>
        <v>1.042001064</v>
      </c>
    </row>
    <row r="1065" customFormat="false" ht="15" hidden="false" customHeight="false" outlineLevel="0" collapsed="false">
      <c r="A1065" s="60" t="s">
        <v>1987</v>
      </c>
      <c r="B1065" s="60" t="s">
        <v>1988</v>
      </c>
      <c r="C1065" s="60" t="s">
        <v>206</v>
      </c>
      <c r="D1065" s="60" t="s">
        <v>226</v>
      </c>
      <c r="E1065" s="60" t="s">
        <v>227</v>
      </c>
      <c r="F1065" s="60" t="s">
        <v>260</v>
      </c>
      <c r="G1065" s="61" t="n">
        <v>3.69</v>
      </c>
      <c r="H1065" s="62" t="n">
        <f aca="false">MAX(0,IF(AND(Parameter!$B$21="Ja",ISNUMBER(Y1065)),Y1065,IF(Parameter!$B$20="Jahresanfang 2025 + Export",BS1065+BR1065,BR1065)))</f>
        <v>6</v>
      </c>
      <c r="I1065" s="62" t="n">
        <f aca="false">H1065*G1065</f>
        <v>22.14</v>
      </c>
      <c r="J1065" s="62" t="n">
        <f aca="false">BU1065*Parameter!$B$18</f>
        <v>25</v>
      </c>
      <c r="K1065" s="63" t="n">
        <v>37</v>
      </c>
      <c r="L1065" s="64" t="n">
        <v>0.675675675675676</v>
      </c>
      <c r="M1065" s="62" t="n">
        <v>1</v>
      </c>
      <c r="N1065" s="62" t="n">
        <v>50</v>
      </c>
      <c r="O1065" s="65" t="n">
        <v>28</v>
      </c>
      <c r="P1065" s="60" t="s">
        <v>370</v>
      </c>
      <c r="Q1065" s="62" t="n">
        <v>88</v>
      </c>
      <c r="R1065" s="65" t="n">
        <f aca="false">IF(CA1065=1,0,IFERROR(VLOOKUP(BY1065,'Gebinde-Kategorie'!$A$5:$N$45,13,0)+0,0))</f>
        <v>52</v>
      </c>
      <c r="S1065" s="66"/>
      <c r="T1065" s="67"/>
      <c r="U1065" s="67"/>
      <c r="V1065" s="67"/>
      <c r="W1065" s="60"/>
      <c r="X1065" s="62"/>
      <c r="Y1065" s="62"/>
      <c r="Z1065" s="60" t="n">
        <v>1</v>
      </c>
      <c r="AA1065" s="60" t="n">
        <f aca="false">IF(A1065="","",IF(AND(Parameter!$B$21="Ja",ISNUMBER(W1065)),W1065,IF(AND(Parameter!$E$27="Ja",ISNUMBER(Z1065),CD1065&lt;&gt;"Nein"),Z1065,IF(CD1065="2+3",IF(ISNUMBER(SEARCH("grosser Artikel",BV1065)),2,IFERROR(VLOOKUP(BY1065,Parameter!$F$35:$G$64,2,0),2)),IF(OR(CD1065="Nein",CD1065=""),"-",CD1065)))))</f>
        <v>1</v>
      </c>
      <c r="AB1065" s="67"/>
      <c r="AC1065" s="68"/>
      <c r="AD1065" s="62" t="n">
        <f aca="false">AW1065</f>
        <v>51</v>
      </c>
      <c r="AE1065" s="62" t="n">
        <f aca="false">MAX(AW1065,H1065)</f>
        <v>51</v>
      </c>
      <c r="AF1065" s="69"/>
      <c r="AG1065" s="62" t="n">
        <f aca="false">IF(LEFT(Cockpit!$C$5,1)="A",H1065,IF(Parameter!$E$30="MAX-Bestand",IF(CI1065=1,CJ1065,IF(LEFT(Cockpit!$C$5,1)="B",AM1065,MAX(AM1065,H1065))),ROUNDUP(AK1065,0)))</f>
        <v>6</v>
      </c>
      <c r="AH1065" s="62" t="n">
        <f aca="false">IF(CA1065=1,0,ROUNDUP(AG1065/BZ1065,0))</f>
        <v>1</v>
      </c>
      <c r="AI1065" s="64" t="n">
        <f aca="false">IF(CR1065&gt;0,CR1065*MAX(1,AG1065/X1065),IF(CA1065=1,IF(AG1065&lt;=0,0,CE1065*MAX(1,IF(H1065&gt;0,AG1065/H1065,1))),IF(R1065&gt;0,AH1065/R1065,0))/MAX(0.1,N(Parameter!$M$21)))</f>
        <v>0.0192307692307692</v>
      </c>
      <c r="AJ1065" s="62" t="n">
        <f aca="false">AI1065*CC1065</f>
        <v>2.98076923076923</v>
      </c>
      <c r="AK1065" s="63" t="n">
        <f aca="false">IF(LEFT(Cockpit!$C$5,1)="A",H1065,IF(CI1065=1,(CL1065+CJ1065)/2,IF(LEFT(Cockpit!$C$5,1)="B",(CL1065+AM1065)/2,MAX((CL1065+AM1065)/2,H1065))))</f>
        <v>6</v>
      </c>
      <c r="AL1065" s="62" t="n">
        <f aca="false">AK1065*G1065</f>
        <v>22.14</v>
      </c>
      <c r="AM1065" s="62" t="n">
        <f aca="false">ROUNDUP(CL1065+MAX(CM1065,2*(J1065/IF(CH1065&gt;0,CH1065,MAX(0.1,N(Cockpit!$C$6)))-CL1065)),0)</f>
        <v>51</v>
      </c>
      <c r="AN1065" s="63" t="n">
        <f aca="false">IF(AJ1065&gt;0,J1065/AJ1065,-1)</f>
        <v>8.38709677419355</v>
      </c>
      <c r="AO1065" s="63" t="n">
        <f aca="false">IF(AND(OR(CG1065="L1",CG1065="L23",CG1065="LIFT"),AJ1065&gt;0),SUMIFS($AJ$7:$AJ$1843,$CG$7:$CG$1843,CG1065,$AN$7:$AN$1843,"&gt;"&amp;AN1065)+SUMIFS($AJ$7:$AJ$1843,$CG$7:$CG$1843,CG1065,$AN$7:$AN$1843,AN1065,$BX$7:$BX$1843,"&lt;="&amp;BX1065),"")</f>
        <v>2993.81730769231</v>
      </c>
      <c r="AP1065" s="70" t="n">
        <f aca="false">IF(AO1065="",0,MAX(0,MIN(1,(IF(CG1065="L1",Parameter!$H$5,IF(CG1065="L23",Parameter!$H$6+Parameter!$H$7,Parameter!$H$5+Parameter!$H$6+Parameter!$H$7))-(AO1065-AJ1065))/AJ1065)))</f>
        <v>1</v>
      </c>
      <c r="AQ1065" s="62" t="n">
        <f aca="false">IF(LEFT(Cockpit!$I$5,1)="A",H1065,IF(Parameter!$E$30="MAX-Bestand",IF(CI1065=1,CJ1065,IF(LEFT(Cockpit!$I$5,1)="B",AW1065,MAX(AW1065,H1065))),ROUNDUP(AU1065,0)))</f>
        <v>26</v>
      </c>
      <c r="AR1065" s="62" t="n">
        <f aca="false">IF(CA1065=1,0,ROUNDUP(AQ1065/BZ1065,0))</f>
        <v>1</v>
      </c>
      <c r="AS1065" s="64" t="n">
        <f aca="false">IF(CR1065&gt;0,CR1065*MAX(1,AQ1065/X1065),IF(CA1065=1,IF(AQ1065&lt;=0,0,CE1065*MAX(1,IF(H1065&gt;0,AQ1065/H1065,1))),IF(R1065&gt;0,AR1065/R1065,0))/MAX(0.1,N(Parameter!$M$21)))</f>
        <v>0.0192307692307692</v>
      </c>
      <c r="AT1065" s="62" t="n">
        <f aca="false">AS1065*CC1065</f>
        <v>2.98076923076923</v>
      </c>
      <c r="AU1065" s="63" t="n">
        <f aca="false">IF(LEFT(Cockpit!$I$5,1)="A",H1065,IF(CI1065=1,(CL1065+CJ1065)/2,IF(LEFT(Cockpit!$I$5,1)="B",(CL1065+AW1065)/2,MAX((CL1065+AW1065)/2,H1065))))</f>
        <v>26</v>
      </c>
      <c r="AV1065" s="62" t="n">
        <f aca="false">AU1065*G1065</f>
        <v>95.94</v>
      </c>
      <c r="AW1065" s="62" t="n">
        <f aca="false">ROUNDUP(CL1065+MAX(CM1065,2*(J1065/IF(CH1065&gt;0,CH1065,MAX(0.1,N(Cockpit!$I$6)))-CL1065)),0)</f>
        <v>51</v>
      </c>
      <c r="AX1065" s="63" t="n">
        <f aca="false">IF(AT1065&gt;0,J1065/AT1065,-1)</f>
        <v>8.38709677419355</v>
      </c>
      <c r="AY1065" s="63" t="n">
        <f aca="false">IF(AND(OR(CG1065="L1",CG1065="L23",CG1065="LIFT"),AT1065&gt;0),SUMIFS($AT$7:$AT$1843,$CG$7:$CG$1843,CG1065,$AX$7:$AX$1843,"&gt;"&amp;AX1065)+SUMIFS($AT$7:$AT$1843,$CG$7:$CG$1843,CG1065,$AX$7:$AX$1843,AX1065,$BX$7:$BX$1843,"&lt;="&amp;BX1065),"")</f>
        <v>3580.0554029304</v>
      </c>
      <c r="AZ1065" s="70" t="n">
        <f aca="false">IF(AY1065="",0,MAX(0,MIN(1,(IF(CG1065="L1",Parameter!$H$5,IF(CG1065="L23",Parameter!$H$6+Parameter!$H$7,Parameter!$H$5+Parameter!$H$6+Parameter!$H$7))-(AY1065-AT1065))/AT1065)))</f>
        <v>1</v>
      </c>
      <c r="BA1065" s="62" t="n">
        <f aca="false">IF(LEFT(Cockpit!$O$5,1)="A",H1065,IF(Parameter!$E$30="MAX-Bestand",IF(CI1065=1,CJ1065,IF(LEFT(Cockpit!$O$5,1)="B",BG1065,MAX(BG1065,H1065))),ROUNDUP(BE1065,0)))</f>
        <v>26</v>
      </c>
      <c r="BB1065" s="62" t="n">
        <f aca="false">IF(CA1065=1,0,ROUNDUP(BA1065/BZ1065,0))</f>
        <v>1</v>
      </c>
      <c r="BC1065" s="64" t="n">
        <f aca="false">IF(CR1065&gt;0,CR1065*MAX(1,BA1065/X1065),IF(CA1065=1,IF(BA1065&lt;=0,0,CE1065*MAX(1,IF(H1065&gt;0,BA1065/H1065,1))),IF(R1065&gt;0,BB1065/R1065,0))/MAX(0.1,N(Parameter!$M$21)))</f>
        <v>0.0192307692307692</v>
      </c>
      <c r="BD1065" s="62" t="n">
        <f aca="false">BC1065*CC1065</f>
        <v>2.98076923076923</v>
      </c>
      <c r="BE1065" s="63" t="n">
        <f aca="false">IF(LEFT(Cockpit!$O$5,1)="A",H1065,IF(CI1065=1,(CL1065+CJ1065)/2,IF(LEFT(Cockpit!$O$5,1)="B",(CL1065+BG1065)/2,MAX((CL1065+BG1065)/2,H1065))))</f>
        <v>26</v>
      </c>
      <c r="BF1065" s="62" t="n">
        <f aca="false">BE1065*G1065</f>
        <v>95.94</v>
      </c>
      <c r="BG1065" s="62" t="n">
        <f aca="false">ROUNDUP(CL1065+MAX(CM1065,2*(J1065/IF(CH1065&gt;0,CH1065,MAX(0.1,N(Cockpit!$O$6)))-CL1065)),0)</f>
        <v>51</v>
      </c>
      <c r="BH1065" s="63" t="n">
        <f aca="false">IF(BD1065&gt;0,J1065/BD1065,-1)</f>
        <v>8.38709677419355</v>
      </c>
      <c r="BI1065" s="63" t="n">
        <f aca="false">IF(AND(OR(CG1065="L1",CG1065="L23",CG1065="LIFT"),BD1065&gt;0),SUMIFS($BD$7:$BD$1843,$CG$7:$CG$1843,CG1065,$BH$7:$BH$1843,"&gt;"&amp;BH1065)+SUMIFS($BD$7:$BD$1843,$CG$7:$CG$1843,CG1065,$BH$7:$BH$1843,BH1065,$BX$7:$BX$1843,"&lt;="&amp;BX1065),"")</f>
        <v>2960.63965201465</v>
      </c>
      <c r="BJ1065" s="70" t="n">
        <f aca="false">IF(BI1065="",0,MAX(0,MIN(1,(IF(CG1065="L1",Parameter!$H$5,IF(CG1065="L23",Parameter!$H$6+Parameter!$H$7,Parameter!$H$5+Parameter!$H$6+Parameter!$H$7))-(BI1065-BD1065))/BD1065)))</f>
        <v>1</v>
      </c>
      <c r="BK1065" s="60" t="str">
        <f aca="false">IF(AJ1065&lt;=0,"",IF(CG1065="Aussen","Aussenlager",IF(CG1065="-","Nicht im Lift",IF(AP1065&gt;=1,"Lift",IF(AP1065&lt;=0,"Aussenlager","teilweise")))))</f>
        <v>Lift</v>
      </c>
      <c r="BL1065" s="60" t="str">
        <f aca="false">IF(AT1065&lt;=0,"",IF(CG1065="Aussen","Aussenlager",IF(CG1065="-","Nicht im Lift",IF(AZ1065&gt;=1,"Lift",IF(AZ1065&lt;=0,"Aussenlager","teilweise")))))</f>
        <v>Lift</v>
      </c>
      <c r="BM1065" s="60" t="str">
        <f aca="false">IF(BD1065&lt;=0,"",IF(CG1065="Aussen","Aussenlager",IF(CG1065="-","Nicht im Lift",IF(BJ1065&gt;=1,"Lift",IF(BJ1065&lt;=0,"Aussenlager","teilweise")))))</f>
        <v>Lift</v>
      </c>
      <c r="BN1065" s="60" t="str">
        <f aca="false">IF(A1065="","",IF(BW1065=1,"Neu; ","")&amp;IF(AND(BW1065=0,BR1065&lt;0),"negativer Bestand (Export "&amp;BR1065&amp;"); ","")&amp;IF(J1065&lt;=0,"Kein Verbrauch; ","")&amp;IF(CR1065&gt;0,"Lift "&amp;W1065&amp;" lt. Liftbericht (Fach "&amp;X1065&amp;" Stk); ",IF(CB1065=1,"Gebinde geschätzt ("&amp;T1065&amp;"); ",IF(CA1065=1,"Lose – Tablare geschätzt; ","")))&amp;IF(H1065&gt;AW1065,"Überbestand "&amp;ROUND(H1065-AW1065,0)&amp;" Stk / CHF "&amp;ROUND((H1065-AW1065)*G1065,0)&amp;"; ","")&amp;IF(AND(CI1065=1,CJ1065&lt;CK1065),"MAX &lt; MB+LG; ","")&amp;IF(AND(CQ1065&gt;0,CP1065*10&gt;CQ1065),"zu hoch für Tablar; ","")&amp;IF(AND(BW1065=0,OR(CI1065=1,AB1065&lt;&gt;"",U1065&lt;&gt;"",V1065&lt;&gt;"",AC1065&lt;&gt;"")),"manuell übersteuert; ","")&amp;IF(AND(CA1065=0,R1065=0),"Gebinde unbekannt / Stellmass fehlt; ","")&amp;IF(AND(CA1065=0,N(V1065)&lt;=0,N(Q1065)&lt;=0),"Menge pro Gebinde fehlt (Ist = 1 Gebinde); ","")&amp;BV1065)</f>
        <v>negativer Bestand (Export -44); Neu</v>
      </c>
      <c r="BO1065" s="60"/>
      <c r="BP1065" s="60"/>
      <c r="BQ1065" s="67"/>
      <c r="BR1065" s="62" t="n">
        <v>-44</v>
      </c>
      <c r="BS1065" s="62" t="n">
        <v>50</v>
      </c>
      <c r="BT1065" s="61" t="n">
        <v>-162.36</v>
      </c>
      <c r="BU1065" s="62" t="n">
        <v>25</v>
      </c>
      <c r="BV1065" s="60" t="s">
        <v>668</v>
      </c>
      <c r="BW1065" s="65" t="n">
        <v>0</v>
      </c>
      <c r="BX1065" s="65" t="n">
        <v>1065</v>
      </c>
      <c r="BY1065" s="60" t="str">
        <f aca="false">IF(U1065&lt;&gt;"",UPPER(TRIM(U1065)),IF(CB1065=1,UPPER(VLOOKUP(T1065,Parameter!$I$27:$K$29,2,0)),IF(P1065="","LOSE",P1065)))</f>
        <v>S41</v>
      </c>
      <c r="BZ1065" s="62" t="n">
        <f aca="false">IF(BY1065="LOSE",1,IF(N(V1065)&gt;0,V1065,IF(CB1065=1,MAX(1,N(VLOOKUP(T1065,Parameter!$I$27:$K$29,3,0)),H1065,N(N1065)),IF(N(Q1065)&gt;0,Q1065,MAX(1,H1065)))))</f>
        <v>88</v>
      </c>
      <c r="CA1065" s="65" t="n">
        <f aca="false">IF(BY1065="LOSE",1,0)</f>
        <v>0</v>
      </c>
      <c r="CB1065" s="65" t="n">
        <f aca="false">IF(AND(U1065="",OR(P1065="",P1065="LOSE"),T1065&lt;&gt;"",N(S1065)&lt;=0,ISNUMBER(MATCH(T1065,Parameter!$I$27:$I$29,0))),1,0)</f>
        <v>0</v>
      </c>
      <c r="CC1065" s="65" t="n">
        <f aca="false">IF(CR1065&gt;0,INDEX(Parameter!$H$5:$H$7,W1065)/INDEX(Parameter!$E$5:$E$7,W1065),IF(AND(CA1065=0,N(IFERROR(VLOOKUP(BY1065,'Gebinde-Kategorie'!$A$5:$N$45,14,0),0))&gt;0),VLOOKUP(BY1065,'Gebinde-Kategorie'!$A$5:$N$45,14,0)*10+Parameter!$M$23,Parameter!$M$24))</f>
        <v>155</v>
      </c>
      <c r="CD1065" s="60" t="str">
        <f aca="false">IF(AND(Parameter!$B$19="Ja",E1065&lt;&gt;"",ISNUMBER(MATCH(E1065,Parameter!$I$35:$I$52,0))),VLOOKUP(E1065,Parameter!$I$35:$J$52,2,0),IFERROR(VLOOKUP(D1065,Parameter!$A$35:$C$64,2,0),"Nein"))</f>
        <v>2+3</v>
      </c>
      <c r="CE1065" s="64" t="n">
        <f aca="false">IF(CA1065=0,0,IF(N(S1065)&gt;0,S1065,IFERROR(VLOOKUP(D1065,Parameter!$A$35:$C$64,3,0)+0,0)))</f>
        <v>0</v>
      </c>
      <c r="CF1065" s="60" t="n">
        <f aca="false">IF(AB1065&lt;&gt;"",AB1065,AA1065)</f>
        <v>1</v>
      </c>
      <c r="CG1065" s="60" t="str">
        <f aca="false">IF(OR(CF1065=1,CF1065=2,CF1065=3),IF(Parameter!$E$27="Ja","LIFT",IF(CF1065=1,"L1","L23")),IF(CF1065="Aussen","Aussen","-"))</f>
        <v>LIFT</v>
      </c>
      <c r="CH1065" s="71" t="n">
        <f aca="false">IF(N(AC1065)&gt;0,AC1065,0)</f>
        <v>0</v>
      </c>
      <c r="CI1065" s="65" t="n">
        <f aca="false">IF(ISNUMBER(AF1065),1,0)</f>
        <v>0</v>
      </c>
      <c r="CJ1065" s="62" t="n">
        <f aca="false">N(AF1065)</f>
        <v>0</v>
      </c>
      <c r="CK1065" s="62" t="n">
        <f aca="false">N(M1065)+N(N1065)</f>
        <v>51</v>
      </c>
      <c r="CL1065" s="62" t="n">
        <f aca="false">N(M1065)</f>
        <v>1</v>
      </c>
      <c r="CM1065" s="62" t="n">
        <f aca="false">N(N1065)</f>
        <v>50</v>
      </c>
      <c r="CN1065" s="62" t="n">
        <f aca="false">ROUNDUP(H1065/BZ1065,0)</f>
        <v>1</v>
      </c>
      <c r="CO1065" s="62" t="n">
        <f aca="false">ROUNDUP(CJ1065/BZ1065,0)</f>
        <v>0</v>
      </c>
      <c r="CP1065" s="65" t="n">
        <f aca="false">IF(CA1065=1,0,IFERROR(VLOOKUP(BY1065,'Gebinde-Kategorie'!$A$5:$N$45,5,0)+0,0))</f>
        <v>11</v>
      </c>
      <c r="CQ1065" s="65" t="n">
        <f aca="false">IFERROR(IF(OR(CF1065=1,CF1065=2,CF1065=3),N(INDEX(Parameter!$I$5:$I$7,CF1065)),0),0)</f>
        <v>0</v>
      </c>
      <c r="CR1065" s="64" t="n">
        <f aca="false">IF(AND(Parameter!$B$21="Ja",ISNUMBER(W1065),N(X1065)&gt;0),IFERROR(N(INDEX(Parameter!$L$5:$L$7,W1065))*INDEX(Parameter!$E$5:$E$7,W1065)*X1065/SUMIFS($X$7:$X$1843,$W$7:$W$1843,W1065),0),0)</f>
        <v>0</v>
      </c>
      <c r="CS1065" s="62" t="n">
        <f aca="false">IF(AND(OR(CG1065="L1",CG1065="L23",CG1065="LIFT"),H1065&gt;0),CC1065*IF(CR1065&gt;0,CR1065*MAX(1,H1065/X1065),IF(CA1065=1,CE1065,IF(R1065&gt;0,CN1065/R1065,0))/MAX(0.1,N(Parameter!$M$21))),"")</f>
        <v>2.98076923076923</v>
      </c>
      <c r="CT1065" s="64" t="n">
        <f aca="false">IF(CS1065="","",J1065/H1065)</f>
        <v>4.16666666666667</v>
      </c>
      <c r="CU1065" s="62" t="n">
        <f aca="false">IF(CS1065="","",H1065*G1065)</f>
        <v>22.14</v>
      </c>
      <c r="CV1065" s="63" t="n">
        <f aca="false">IF(CS1065="","",(CL1065+ROUNDUP(CL1065+MAX(CM1065,2*(J1065/MAX(0.1,N(Einkauf!$C$6))-CL1065)),0))/2)</f>
        <v>26</v>
      </c>
      <c r="CW1065" s="62" t="n">
        <f aca="false">IF(CS1065="","",MAX(0,H1065-CV1065)*G1065)</f>
        <v>0</v>
      </c>
      <c r="CX1065" s="62" t="n">
        <f aca="false">IF(CS1065="","",CS1065*MAX(0,1-CV1065/H1065))</f>
        <v>0</v>
      </c>
      <c r="CY1065" s="64" t="n">
        <f aca="false">IF(CS1065="","",PERCENTRANK($CS$7:$CS$1843,CS1065)+PERCENTRANK($CU$7:$CU$1843,CU1065)+1-PERCENTRANK($CT$7:$CT$1843,CT1065))</f>
        <v>0.3529</v>
      </c>
      <c r="CZ1065" s="72" t="n">
        <f aca="false">IF(CS1065="","",CHOOSE(MATCH(Einkauf!$C$5,Parameter!$G$23:$G$27,0),CY1065,CS1065,CU1065,-CT1065,CW1065)+ROW()/1000000000)</f>
        <v>0.352901065</v>
      </c>
    </row>
    <row r="1066" customFormat="false" ht="15" hidden="false" customHeight="false" outlineLevel="0" collapsed="false">
      <c r="A1066" s="60" t="s">
        <v>1989</v>
      </c>
      <c r="B1066" s="60" t="s">
        <v>1990</v>
      </c>
      <c r="C1066" s="60" t="s">
        <v>498</v>
      </c>
      <c r="D1066" s="60" t="s">
        <v>226</v>
      </c>
      <c r="E1066" s="60"/>
      <c r="F1066" s="60" t="s">
        <v>260</v>
      </c>
      <c r="G1066" s="61" t="n">
        <v>20.45</v>
      </c>
      <c r="H1066" s="62" t="n">
        <f aca="false">MAX(0,IF(AND(Parameter!$B$21="Ja",ISNUMBER(Y1066)),Y1066,IF(Parameter!$B$20="Jahresanfang 2025 + Export",BS1066+BR1066,BR1066)))</f>
        <v>8</v>
      </c>
      <c r="I1066" s="62" t="n">
        <f aca="false">H1066*G1066</f>
        <v>163.6</v>
      </c>
      <c r="J1066" s="62" t="n">
        <f aca="false">BU1066*Parameter!$B$18</f>
        <v>8</v>
      </c>
      <c r="K1066" s="63" t="n">
        <v>8</v>
      </c>
      <c r="L1066" s="64" t="n">
        <v>1</v>
      </c>
      <c r="M1066" s="62" t="n">
        <v>0</v>
      </c>
      <c r="N1066" s="62" t="n">
        <v>10</v>
      </c>
      <c r="O1066" s="65" t="n">
        <v>21</v>
      </c>
      <c r="P1066" s="60" t="s">
        <v>210</v>
      </c>
      <c r="Q1066" s="62"/>
      <c r="R1066" s="65" t="n">
        <f aca="false">IF(CA1066=1,0,IFERROR(VLOOKUP(BY1066,'Gebinde-Kategorie'!$A$5:$N$45,13,0)+0,0))</f>
        <v>4</v>
      </c>
      <c r="S1066" s="66"/>
      <c r="T1066" s="67" t="s">
        <v>231</v>
      </c>
      <c r="U1066" s="67"/>
      <c r="V1066" s="67"/>
      <c r="W1066" s="60"/>
      <c r="X1066" s="62"/>
      <c r="Y1066" s="62"/>
      <c r="Z1066" s="60" t="n">
        <v>2</v>
      </c>
      <c r="AA1066" s="60" t="n">
        <f aca="false">IF(A1066="","",IF(AND(Parameter!$B$21="Ja",ISNUMBER(W1066)),W1066,IF(AND(Parameter!$E$27="Ja",ISNUMBER(Z1066),CD1066&lt;&gt;"Nein"),Z1066,IF(CD1066="2+3",IF(ISNUMBER(SEARCH("grosser Artikel",BV1066)),2,IFERROR(VLOOKUP(BY1066,Parameter!$F$35:$G$64,2,0),2)),IF(OR(CD1066="Nein",CD1066=""),"-",CD1066)))))</f>
        <v>2</v>
      </c>
      <c r="AB1066" s="67"/>
      <c r="AC1066" s="68"/>
      <c r="AD1066" s="62" t="n">
        <f aca="false">AW1066</f>
        <v>10</v>
      </c>
      <c r="AE1066" s="62" t="n">
        <f aca="false">MAX(AW1066,H1066)</f>
        <v>10</v>
      </c>
      <c r="AF1066" s="69"/>
      <c r="AG1066" s="62" t="n">
        <f aca="false">IF(LEFT(Cockpit!$C$5,1)="A",H1066,IF(Parameter!$E$30="MAX-Bestand",IF(CI1066=1,CJ1066,IF(LEFT(Cockpit!$C$5,1)="B",AM1066,MAX(AM1066,H1066))),ROUNDUP(AK1066,0)))</f>
        <v>8</v>
      </c>
      <c r="AH1066" s="62" t="n">
        <f aca="false">IF(CA1066=1,0,ROUNDUP(AG1066/BZ1066,0))</f>
        <v>1</v>
      </c>
      <c r="AI1066" s="64" t="n">
        <f aca="false">IF(CR1066&gt;0,CR1066*MAX(1,AG1066/X1066),IF(CA1066=1,IF(AG1066&lt;=0,0,CE1066*MAX(1,IF(H1066&gt;0,AG1066/H1066,1))),IF(R1066&gt;0,AH1066/R1066,0))/MAX(0.1,N(Parameter!$M$21)))</f>
        <v>0.25</v>
      </c>
      <c r="AJ1066" s="62" t="n">
        <f aca="false">AI1066*CC1066</f>
        <v>58.75</v>
      </c>
      <c r="AK1066" s="63" t="n">
        <f aca="false">IF(LEFT(Cockpit!$C$5,1)="A",H1066,IF(CI1066=1,(CL1066+CJ1066)/2,IF(LEFT(Cockpit!$C$5,1)="B",(CL1066+AM1066)/2,MAX((CL1066+AM1066)/2,H1066))))</f>
        <v>8</v>
      </c>
      <c r="AL1066" s="62" t="n">
        <f aca="false">AK1066*G1066</f>
        <v>163.6</v>
      </c>
      <c r="AM1066" s="62" t="n">
        <f aca="false">ROUNDUP(CL1066+MAX(CM1066,2*(J1066/IF(CH1066&gt;0,CH1066,MAX(0.1,N(Cockpit!$C$6)))-CL1066)),0)</f>
        <v>10</v>
      </c>
      <c r="AN1066" s="63" t="n">
        <f aca="false">IF(AJ1066&gt;0,J1066/AJ1066,-1)</f>
        <v>0.136170212765957</v>
      </c>
      <c r="AO1066" s="63" t="n">
        <f aca="false">IF(AND(OR(CG1066="L1",CG1066="L23",CG1066="LIFT"),AJ1066&gt;0),SUMIFS($AJ$7:$AJ$1843,$CG$7:$CG$1843,CG1066,$AN$7:$AN$1843,"&gt;"&amp;AN1066)+SUMIFS($AJ$7:$AJ$1843,$CG$7:$CG$1843,CG1066,$AN$7:$AN$1843,AN1066,$BX$7:$BX$1843,"&lt;="&amp;BX1066),"")</f>
        <v>13270.342695205</v>
      </c>
      <c r="AP1066" s="70" t="n">
        <f aca="false">IF(AO1066="",0,MAX(0,MIN(1,(IF(CG1066="L1",Parameter!$H$5,IF(CG1066="L23",Parameter!$H$6+Parameter!$H$7,Parameter!$H$5+Parameter!$H$6+Parameter!$H$7))-(AO1066-AJ1066))/AJ1066)))</f>
        <v>1</v>
      </c>
      <c r="AQ1066" s="62" t="n">
        <f aca="false">IF(LEFT(Cockpit!$I$5,1)="A",H1066,IF(Parameter!$E$30="MAX-Bestand",IF(CI1066=1,CJ1066,IF(LEFT(Cockpit!$I$5,1)="B",AW1066,MAX(AW1066,H1066))),ROUNDUP(AU1066,0)))</f>
        <v>8</v>
      </c>
      <c r="AR1066" s="62" t="n">
        <f aca="false">IF(CA1066=1,0,ROUNDUP(AQ1066/BZ1066,0))</f>
        <v>1</v>
      </c>
      <c r="AS1066" s="64" t="n">
        <f aca="false">IF(CR1066&gt;0,CR1066*MAX(1,AQ1066/X1066),IF(CA1066=1,IF(AQ1066&lt;=0,0,CE1066*MAX(1,IF(H1066&gt;0,AQ1066/H1066,1))),IF(R1066&gt;0,AR1066/R1066,0))/MAX(0.1,N(Parameter!$M$21)))</f>
        <v>0.25</v>
      </c>
      <c r="AT1066" s="62" t="n">
        <f aca="false">AS1066*CC1066</f>
        <v>58.75</v>
      </c>
      <c r="AU1066" s="63" t="n">
        <f aca="false">IF(LEFT(Cockpit!$I$5,1)="A",H1066,IF(CI1066=1,(CL1066+CJ1066)/2,IF(LEFT(Cockpit!$I$5,1)="B",(CL1066+AW1066)/2,MAX((CL1066+AW1066)/2,H1066))))</f>
        <v>8</v>
      </c>
      <c r="AV1066" s="62" t="n">
        <f aca="false">AU1066*G1066</f>
        <v>163.6</v>
      </c>
      <c r="AW1066" s="62" t="n">
        <f aca="false">ROUNDUP(CL1066+MAX(CM1066,2*(J1066/IF(CH1066&gt;0,CH1066,MAX(0.1,N(Cockpit!$I$6)))-CL1066)),0)</f>
        <v>10</v>
      </c>
      <c r="AX1066" s="63" t="n">
        <f aca="false">IF(AT1066&gt;0,J1066/AT1066,-1)</f>
        <v>0.136170212765957</v>
      </c>
      <c r="AY1066" s="63" t="n">
        <f aca="false">IF(AND(OR(CG1066="L1",CG1066="L23",CG1066="LIFT"),AT1066&gt;0),SUMIFS($AT$7:$AT$1843,$CG$7:$CG$1843,CG1066,$AX$7:$AX$1843,"&gt;"&amp;AX1066)+SUMIFS($AT$7:$AT$1843,$CG$7:$CG$1843,CG1066,$AX$7:$AX$1843,AX1066,$BX$7:$BX$1843,"&lt;="&amp;BX1066),"")</f>
        <v>17294.7413365824</v>
      </c>
      <c r="AZ1066" s="70" t="n">
        <f aca="false">IF(AY1066="",0,MAX(0,MIN(1,(IF(CG1066="L1",Parameter!$H$5,IF(CG1066="L23",Parameter!$H$6+Parameter!$H$7,Parameter!$H$5+Parameter!$H$6+Parameter!$H$7))-(AY1066-AT1066))/AT1066)))</f>
        <v>1</v>
      </c>
      <c r="BA1066" s="62" t="n">
        <f aca="false">IF(LEFT(Cockpit!$O$5,1)="A",H1066,IF(Parameter!$E$30="MAX-Bestand",IF(CI1066=1,CJ1066,IF(LEFT(Cockpit!$O$5,1)="B",BG1066,MAX(BG1066,H1066))),ROUNDUP(BE1066,0)))</f>
        <v>5</v>
      </c>
      <c r="BB1066" s="62" t="n">
        <f aca="false">IF(CA1066=1,0,ROUNDUP(BA1066/BZ1066,0))</f>
        <v>1</v>
      </c>
      <c r="BC1066" s="64" t="n">
        <f aca="false">IF(CR1066&gt;0,CR1066*MAX(1,BA1066/X1066),IF(CA1066=1,IF(BA1066&lt;=0,0,CE1066*MAX(1,IF(H1066&gt;0,BA1066/H1066,1))),IF(R1066&gt;0,BB1066/R1066,0))/MAX(0.1,N(Parameter!$M$21)))</f>
        <v>0.25</v>
      </c>
      <c r="BD1066" s="62" t="n">
        <f aca="false">BC1066*CC1066</f>
        <v>58.75</v>
      </c>
      <c r="BE1066" s="63" t="n">
        <f aca="false">IF(LEFT(Cockpit!$O$5,1)="A",H1066,IF(CI1066=1,(CL1066+CJ1066)/2,IF(LEFT(Cockpit!$O$5,1)="B",(CL1066+BG1066)/2,MAX((CL1066+BG1066)/2,H1066))))</f>
        <v>5</v>
      </c>
      <c r="BF1066" s="62" t="n">
        <f aca="false">BE1066*G1066</f>
        <v>102.25</v>
      </c>
      <c r="BG1066" s="62" t="n">
        <f aca="false">ROUNDUP(CL1066+MAX(CM1066,2*(J1066/IF(CH1066&gt;0,CH1066,MAX(0.1,N(Cockpit!$O$6)))-CL1066)),0)</f>
        <v>10</v>
      </c>
      <c r="BH1066" s="63" t="n">
        <f aca="false">IF(BD1066&gt;0,J1066/BD1066,-1)</f>
        <v>0.136170212765957</v>
      </c>
      <c r="BI1066" s="63" t="n">
        <f aca="false">IF(AND(OR(CG1066="L1",CG1066="L23",CG1066="LIFT"),BD1066&gt;0),SUMIFS($BD$7:$BD$1843,$CG$7:$CG$1843,CG1066,$BH$7:$BH$1843,"&gt;"&amp;BH1066)+SUMIFS($BD$7:$BD$1843,$CG$7:$CG$1843,CG1066,$BH$7:$BH$1843,BH1066,$BX$7:$BX$1843,"&lt;="&amp;BX1066),"")</f>
        <v>14508.4706157778</v>
      </c>
      <c r="BJ1066" s="70" t="n">
        <f aca="false">IF(BI1066="",0,MAX(0,MIN(1,(IF(CG1066="L1",Parameter!$H$5,IF(CG1066="L23",Parameter!$H$6+Parameter!$H$7,Parameter!$H$5+Parameter!$H$6+Parameter!$H$7))-(BI1066-BD1066))/BD1066)))</f>
        <v>1</v>
      </c>
      <c r="BK1066" s="60" t="str">
        <f aca="false">IF(AJ1066&lt;=0,"",IF(CG1066="Aussen","Aussenlager",IF(CG1066="-","Nicht im Lift",IF(AP1066&gt;=1,"Lift",IF(AP1066&lt;=0,"Aussenlager","teilweise")))))</f>
        <v>Lift</v>
      </c>
      <c r="BL1066" s="60" t="str">
        <f aca="false">IF(AT1066&lt;=0,"",IF(CG1066="Aussen","Aussenlager",IF(CG1066="-","Nicht im Lift",IF(AZ1066&gt;=1,"Lift",IF(AZ1066&lt;=0,"Aussenlager","teilweise")))))</f>
        <v>Lift</v>
      </c>
      <c r="BM1066" s="60" t="str">
        <f aca="false">IF(BD1066&lt;=0,"",IF(CG1066="Aussen","Aussenlager",IF(CG1066="-","Nicht im Lift",IF(BJ1066&gt;=1,"Lift",IF(BJ1066&lt;=0,"Aussenlager","teilweise")))))</f>
        <v>Lift</v>
      </c>
      <c r="BN1066" s="60" t="str">
        <f aca="false">IF(A1066="","",IF(BW1066=1,"Neu; ","")&amp;IF(AND(BW1066=0,BR1066&lt;0),"negativer Bestand (Export "&amp;BR1066&amp;"); ","")&amp;IF(J1066&lt;=0,"Kein Verbrauch; ","")&amp;IF(CR1066&gt;0,"Lift "&amp;W1066&amp;" lt. Liftbericht (Fach "&amp;X1066&amp;" Stk); ",IF(CB1066=1,"Gebinde geschätzt ("&amp;T1066&amp;"); ",IF(CA1066=1,"Lose – Tablare geschätzt; ","")))&amp;IF(H1066&gt;AW1066,"Überbestand "&amp;ROUND(H1066-AW1066,0)&amp;" Stk / CHF "&amp;ROUND((H1066-AW1066)*G1066,0)&amp;"; ","")&amp;IF(AND(CI1066=1,CJ1066&lt;CK1066),"MAX &lt; MB+LG; ","")&amp;IF(AND(CQ1066&gt;0,CP1066*10&gt;CQ1066),"zu hoch für Tablar; ","")&amp;IF(AND(BW1066=0,OR(CI1066=1,AB1066&lt;&gt;"",U1066&lt;&gt;"",V1066&lt;&gt;"",AC1066&lt;&gt;"")),"manuell übersteuert; ","")&amp;IF(AND(CA1066=0,R1066=0),"Gebinde unbekannt / Stellmass fehlt; ","")&amp;IF(AND(CA1066=0,N(V1066)&lt;=0,N(Q1066)&lt;=0),"Menge pro Gebinde fehlt (Ist = 1 Gebinde); ","")&amp;BV1066)</f>
        <v>negativer Bestand (Export -8); Gebinde geschätzt (Gross); Menge pro Gebinde fehlt (Ist = 1 Gebinde); </v>
      </c>
      <c r="BO1066" s="60"/>
      <c r="BP1066" s="60"/>
      <c r="BQ1066" s="67"/>
      <c r="BR1066" s="62" t="n">
        <v>-8</v>
      </c>
      <c r="BS1066" s="62" t="n">
        <v>16</v>
      </c>
      <c r="BT1066" s="61" t="n">
        <v>-163.6</v>
      </c>
      <c r="BU1066" s="62" t="n">
        <v>8</v>
      </c>
      <c r="BV1066" s="60"/>
      <c r="BW1066" s="65" t="n">
        <v>0</v>
      </c>
      <c r="BX1066" s="65" t="n">
        <v>1066</v>
      </c>
      <c r="BY1066" s="60" t="str">
        <f aca="false">IF(U1066&lt;&gt;"",UPPER(TRIM(U1066)),IF(CB1066=1,UPPER(VLOOKUP(T1066,Parameter!$I$27:$K$29,2,0)),IF(P1066="","LOSE",P1066)))</f>
        <v>S81</v>
      </c>
      <c r="BZ1066" s="62" t="n">
        <f aca="false">IF(BY1066="LOSE",1,IF(N(V1066)&gt;0,V1066,IF(CB1066=1,MAX(1,N(VLOOKUP(T1066,Parameter!$I$27:$K$29,3,0)),H1066,N(N1066)),IF(N(Q1066)&gt;0,Q1066,MAX(1,H1066)))))</f>
        <v>10</v>
      </c>
      <c r="CA1066" s="65" t="n">
        <f aca="false">IF(BY1066="LOSE",1,0)</f>
        <v>0</v>
      </c>
      <c r="CB1066" s="65" t="n">
        <f aca="false">IF(AND(U1066="",OR(P1066="",P1066="LOSE"),T1066&lt;&gt;"",N(S1066)&lt;=0,ISNUMBER(MATCH(T1066,Parameter!$I$27:$I$29,0))),1,0)</f>
        <v>1</v>
      </c>
      <c r="CC1066" s="65" t="n">
        <f aca="false">IF(CR1066&gt;0,INDEX(Parameter!$H$5:$H$7,W1066)/INDEX(Parameter!$E$5:$E$7,W1066),IF(AND(CA1066=0,N(IFERROR(VLOOKUP(BY1066,'Gebinde-Kategorie'!$A$5:$N$45,14,0),0))&gt;0),VLOOKUP(BY1066,'Gebinde-Kategorie'!$A$5:$N$45,14,0)*10+Parameter!$M$23,Parameter!$M$24))</f>
        <v>235</v>
      </c>
      <c r="CD1066" s="60" t="str">
        <f aca="false">IF(AND(Parameter!$B$19="Ja",E1066&lt;&gt;"",ISNUMBER(MATCH(E1066,Parameter!$I$35:$I$52,0))),VLOOKUP(E1066,Parameter!$I$35:$J$52,2,0),IFERROR(VLOOKUP(D1066,Parameter!$A$35:$C$64,2,0),"Nein"))</f>
        <v>2+3</v>
      </c>
      <c r="CE1066" s="64" t="n">
        <f aca="false">IF(CA1066=0,0,IF(N(S1066)&gt;0,S1066,IFERROR(VLOOKUP(D1066,Parameter!$A$35:$C$64,3,0)+0,0)))</f>
        <v>0</v>
      </c>
      <c r="CF1066" s="60" t="n">
        <f aca="false">IF(AB1066&lt;&gt;"",AB1066,AA1066)</f>
        <v>2</v>
      </c>
      <c r="CG1066" s="60" t="str">
        <f aca="false">IF(OR(CF1066=1,CF1066=2,CF1066=3),IF(Parameter!$E$27="Ja","LIFT",IF(CF1066=1,"L1","L23")),IF(CF1066="Aussen","Aussen","-"))</f>
        <v>LIFT</v>
      </c>
      <c r="CH1066" s="71" t="n">
        <f aca="false">IF(N(AC1066)&gt;0,AC1066,0)</f>
        <v>0</v>
      </c>
      <c r="CI1066" s="65" t="n">
        <f aca="false">IF(ISNUMBER(AF1066),1,0)</f>
        <v>0</v>
      </c>
      <c r="CJ1066" s="62" t="n">
        <f aca="false">N(AF1066)</f>
        <v>0</v>
      </c>
      <c r="CK1066" s="62" t="n">
        <f aca="false">N(M1066)+N(N1066)</f>
        <v>10</v>
      </c>
      <c r="CL1066" s="62" t="n">
        <f aca="false">N(M1066)</f>
        <v>0</v>
      </c>
      <c r="CM1066" s="62" t="n">
        <f aca="false">N(N1066)</f>
        <v>10</v>
      </c>
      <c r="CN1066" s="62" t="n">
        <f aca="false">ROUNDUP(H1066/BZ1066,0)</f>
        <v>1</v>
      </c>
      <c r="CO1066" s="62" t="n">
        <f aca="false">ROUNDUP(CJ1066/BZ1066,0)</f>
        <v>0</v>
      </c>
      <c r="CP1066" s="65" t="n">
        <f aca="false">IF(CA1066=1,0,IFERROR(VLOOKUP(BY1066,'Gebinde-Kategorie'!$A$5:$N$45,5,0)+0,0))</f>
        <v>20</v>
      </c>
      <c r="CQ1066" s="65" t="n">
        <f aca="false">IFERROR(IF(OR(CF1066=1,CF1066=2,CF1066=3),N(INDEX(Parameter!$I$5:$I$7,CF1066)),0),0)</f>
        <v>0</v>
      </c>
      <c r="CR1066" s="64" t="n">
        <f aca="false">IF(AND(Parameter!$B$21="Ja",ISNUMBER(W1066),N(X1066)&gt;0),IFERROR(N(INDEX(Parameter!$L$5:$L$7,W1066))*INDEX(Parameter!$E$5:$E$7,W1066)*X1066/SUMIFS($X$7:$X$1843,$W$7:$W$1843,W1066),0),0)</f>
        <v>0</v>
      </c>
      <c r="CS1066" s="62" t="n">
        <f aca="false">IF(AND(OR(CG1066="L1",CG1066="L23",CG1066="LIFT"),H1066&gt;0),CC1066*IF(CR1066&gt;0,CR1066*MAX(1,H1066/X1066),IF(CA1066=1,CE1066,IF(R1066&gt;0,CN1066/R1066,0))/MAX(0.1,N(Parameter!$M$21))),"")</f>
        <v>58.75</v>
      </c>
      <c r="CT1066" s="64" t="n">
        <f aca="false">IF(CS1066="","",J1066/H1066)</f>
        <v>1</v>
      </c>
      <c r="CU1066" s="62" t="n">
        <f aca="false">IF(CS1066="","",H1066*G1066)</f>
        <v>163.6</v>
      </c>
      <c r="CV1066" s="63" t="n">
        <f aca="false">IF(CS1066="","",(CL1066+ROUNDUP(CL1066+MAX(CM1066,2*(J1066/MAX(0.1,N(Einkauf!$C$6))-CL1066)),0))/2)</f>
        <v>5</v>
      </c>
      <c r="CW1066" s="62" t="n">
        <f aca="false">IF(CS1066="","",MAX(0,H1066-CV1066)*G1066)</f>
        <v>61.35</v>
      </c>
      <c r="CX1066" s="62" t="n">
        <f aca="false">IF(CS1066="","",CS1066*MAX(0,1-CV1066/H1066))</f>
        <v>22.03125</v>
      </c>
      <c r="CY1066" s="64" t="n">
        <f aca="false">IF(CS1066="","",PERCENTRANK($CS$7:$CS$1843,CS1066)+PERCENTRANK($CU$7:$CU$1843,CU1066)+1-PERCENTRANK($CT$7:$CT$1843,CT1066))</f>
        <v>1.588</v>
      </c>
      <c r="CZ1066" s="72" t="n">
        <f aca="false">IF(CS1066="","",CHOOSE(MATCH(Einkauf!$C$5,Parameter!$G$23:$G$27,0),CY1066,CS1066,CU1066,-CT1066,CW1066)+ROW()/1000000000)</f>
        <v>1.588001066</v>
      </c>
    </row>
    <row r="1067" customFormat="false" ht="15" hidden="false" customHeight="false" outlineLevel="0" collapsed="false">
      <c r="A1067" s="60" t="s">
        <v>1991</v>
      </c>
      <c r="B1067" s="60" t="s">
        <v>1992</v>
      </c>
      <c r="C1067" s="60" t="s">
        <v>498</v>
      </c>
      <c r="D1067" s="60" t="s">
        <v>226</v>
      </c>
      <c r="E1067" s="60"/>
      <c r="F1067" s="60" t="s">
        <v>260</v>
      </c>
      <c r="G1067" s="61" t="n">
        <v>4.12</v>
      </c>
      <c r="H1067" s="62" t="n">
        <f aca="false">MAX(0,IF(AND(Parameter!$B$21="Ja",ISNUMBER(Y1067)),Y1067,IF(Parameter!$B$20="Jahresanfang 2025 + Export",BS1067+BR1067,BR1067)))</f>
        <v>0</v>
      </c>
      <c r="I1067" s="62" t="n">
        <f aca="false">H1067*G1067</f>
        <v>0</v>
      </c>
      <c r="J1067" s="62" t="n">
        <f aca="false">BU1067*Parameter!$B$18</f>
        <v>0</v>
      </c>
      <c r="K1067" s="63" t="n">
        <v>40</v>
      </c>
      <c r="L1067" s="64" t="n">
        <v>0</v>
      </c>
      <c r="M1067" s="62" t="n">
        <v>0</v>
      </c>
      <c r="N1067" s="62" t="n">
        <v>1</v>
      </c>
      <c r="O1067" s="65" t="n">
        <v>42</v>
      </c>
      <c r="P1067" s="60" t="s">
        <v>210</v>
      </c>
      <c r="Q1067" s="62"/>
      <c r="R1067" s="65" t="n">
        <f aca="false">IF(CA1067=1,0,IFERROR(VLOOKUP(BY1067,'Gebinde-Kategorie'!$A$5:$N$45,13,0)+0,0))</f>
        <v>26</v>
      </c>
      <c r="S1067" s="66"/>
      <c r="T1067" s="67" t="s">
        <v>317</v>
      </c>
      <c r="U1067" s="67"/>
      <c r="V1067" s="67"/>
      <c r="W1067" s="60"/>
      <c r="X1067" s="62"/>
      <c r="Y1067" s="62"/>
      <c r="Z1067" s="60" t="n">
        <v>3</v>
      </c>
      <c r="AA1067" s="60" t="n">
        <f aca="false">IF(A1067="","",IF(AND(Parameter!$B$21="Ja",ISNUMBER(W1067)),W1067,IF(AND(Parameter!$E$27="Ja",ISNUMBER(Z1067),CD1067&lt;&gt;"Nein"),Z1067,IF(CD1067="2+3",IF(ISNUMBER(SEARCH("grosser Artikel",BV1067)),2,IFERROR(VLOOKUP(BY1067,Parameter!$F$35:$G$64,2,0),2)),IF(OR(CD1067="Nein",CD1067=""),"-",CD1067)))))</f>
        <v>3</v>
      </c>
      <c r="AB1067" s="67"/>
      <c r="AC1067" s="68"/>
      <c r="AD1067" s="62" t="n">
        <f aca="false">AW1067</f>
        <v>1</v>
      </c>
      <c r="AE1067" s="62" t="n">
        <f aca="false">MAX(AW1067,H1067)</f>
        <v>1</v>
      </c>
      <c r="AF1067" s="69"/>
      <c r="AG1067" s="62" t="n">
        <f aca="false">IF(LEFT(Cockpit!$C$5,1)="A",H1067,IF(Parameter!$E$30="MAX-Bestand",IF(CI1067=1,CJ1067,IF(LEFT(Cockpit!$C$5,1)="B",AM1067,MAX(AM1067,H1067))),ROUNDUP(AK1067,0)))</f>
        <v>0</v>
      </c>
      <c r="AH1067" s="62" t="n">
        <f aca="false">IF(CA1067=1,0,ROUNDUP(AG1067/BZ1067,0))</f>
        <v>0</v>
      </c>
      <c r="AI1067" s="64" t="n">
        <f aca="false">IF(CR1067&gt;0,CR1067*MAX(1,AG1067/X1067),IF(CA1067=1,IF(AG1067&lt;=0,0,CE1067*MAX(1,IF(H1067&gt;0,AG1067/H1067,1))),IF(R1067&gt;0,AH1067/R1067,0))/MAX(0.1,N(Parameter!$M$21)))</f>
        <v>0</v>
      </c>
      <c r="AJ1067" s="62" t="n">
        <f aca="false">AI1067*CC1067</f>
        <v>0</v>
      </c>
      <c r="AK1067" s="63" t="n">
        <f aca="false">IF(LEFT(Cockpit!$C$5,1)="A",H1067,IF(CI1067=1,(CL1067+CJ1067)/2,IF(LEFT(Cockpit!$C$5,1)="B",(CL1067+AM1067)/2,MAX((CL1067+AM1067)/2,H1067))))</f>
        <v>0</v>
      </c>
      <c r="AL1067" s="62" t="n">
        <f aca="false">AK1067*G1067</f>
        <v>0</v>
      </c>
      <c r="AM1067" s="62" t="n">
        <f aca="false">ROUNDUP(CL1067+MAX(CM1067,2*(J1067/IF(CH1067&gt;0,CH1067,MAX(0.1,N(Cockpit!$C$6)))-CL1067)),0)</f>
        <v>1</v>
      </c>
      <c r="AN1067" s="63" t="n">
        <f aca="false">IF(AJ1067&gt;0,J1067/AJ1067,-1)</f>
        <v>-1</v>
      </c>
      <c r="AO1067" s="63" t="str">
        <f aca="false">IF(AND(OR(CG1067="L1",CG1067="L23",CG1067="LIFT"),AJ1067&gt;0),SUMIFS($AJ$7:$AJ$1843,$CG$7:$CG$1843,CG1067,$AN$7:$AN$1843,"&gt;"&amp;AN1067)+SUMIFS($AJ$7:$AJ$1843,$CG$7:$CG$1843,CG1067,$AN$7:$AN$1843,AN1067,$BX$7:$BX$1843,"&lt;="&amp;BX1067),"")</f>
        <v/>
      </c>
      <c r="AP1067" s="70" t="n">
        <f aca="false">IF(AO1067="",0,MAX(0,MIN(1,(IF(CG1067="L1",Parameter!$H$5,IF(CG1067="L23",Parameter!$H$6+Parameter!$H$7,Parameter!$H$5+Parameter!$H$6+Parameter!$H$7))-(AO1067-AJ1067))/AJ1067)))</f>
        <v>0</v>
      </c>
      <c r="AQ1067" s="62" t="n">
        <f aca="false">IF(LEFT(Cockpit!$I$5,1)="A",H1067,IF(Parameter!$E$30="MAX-Bestand",IF(CI1067=1,CJ1067,IF(LEFT(Cockpit!$I$5,1)="B",AW1067,MAX(AW1067,H1067))),ROUNDUP(AU1067,0)))</f>
        <v>1</v>
      </c>
      <c r="AR1067" s="62" t="n">
        <f aca="false">IF(CA1067=1,0,ROUNDUP(AQ1067/BZ1067,0))</f>
        <v>1</v>
      </c>
      <c r="AS1067" s="64" t="n">
        <f aca="false">IF(CR1067&gt;0,CR1067*MAX(1,AQ1067/X1067),IF(CA1067=1,IF(AQ1067&lt;=0,0,CE1067*MAX(1,IF(H1067&gt;0,AQ1067/H1067,1))),IF(R1067&gt;0,AR1067/R1067,0))/MAX(0.1,N(Parameter!$M$21)))</f>
        <v>0.0384615384615385</v>
      </c>
      <c r="AT1067" s="62" t="n">
        <f aca="false">AS1067*CC1067</f>
        <v>5.96153846153846</v>
      </c>
      <c r="AU1067" s="63" t="n">
        <f aca="false">IF(LEFT(Cockpit!$I$5,1)="A",H1067,IF(CI1067=1,(CL1067+CJ1067)/2,IF(LEFT(Cockpit!$I$5,1)="B",(CL1067+AW1067)/2,MAX((CL1067+AW1067)/2,H1067))))</f>
        <v>0.5</v>
      </c>
      <c r="AV1067" s="62" t="n">
        <f aca="false">AU1067*G1067</f>
        <v>2.06</v>
      </c>
      <c r="AW1067" s="62" t="n">
        <f aca="false">ROUNDUP(CL1067+MAX(CM1067,2*(J1067/IF(CH1067&gt;0,CH1067,MAX(0.1,N(Cockpit!$I$6)))-CL1067)),0)</f>
        <v>1</v>
      </c>
      <c r="AX1067" s="63" t="n">
        <f aca="false">IF(AT1067&gt;0,J1067/AT1067,-1)</f>
        <v>0</v>
      </c>
      <c r="AY1067" s="63" t="n">
        <f aca="false">IF(AND(OR(CG1067="L1",CG1067="L23",CG1067="LIFT"),AT1067&gt;0),SUMIFS($AT$7:$AT$1843,$CG$7:$CG$1843,CG1067,$AX$7:$AX$1843,"&gt;"&amp;AX1067)+SUMIFS($AT$7:$AT$1843,$CG$7:$CG$1843,CG1067,$AX$7:$AX$1843,AX1067,$BX$7:$BX$1843,"&lt;="&amp;BX1067),"")</f>
        <v>34802.5554029304</v>
      </c>
      <c r="AZ1067" s="70" t="n">
        <f aca="false">IF(AY1067="",0,MAX(0,MIN(1,(IF(CG1067="L1",Parameter!$H$5,IF(CG1067="L23",Parameter!$H$6+Parameter!$H$7,Parameter!$H$5+Parameter!$H$6+Parameter!$H$7))-(AY1067-AT1067))/AT1067)))</f>
        <v>1</v>
      </c>
      <c r="BA1067" s="62" t="n">
        <f aca="false">IF(LEFT(Cockpit!$O$5,1)="A",H1067,IF(Parameter!$E$30="MAX-Bestand",IF(CI1067=1,CJ1067,IF(LEFT(Cockpit!$O$5,1)="B",BG1067,MAX(BG1067,H1067))),ROUNDUP(BE1067,0)))</f>
        <v>1</v>
      </c>
      <c r="BB1067" s="62" t="n">
        <f aca="false">IF(CA1067=1,0,ROUNDUP(BA1067/BZ1067,0))</f>
        <v>1</v>
      </c>
      <c r="BC1067" s="64" t="n">
        <f aca="false">IF(CR1067&gt;0,CR1067*MAX(1,BA1067/X1067),IF(CA1067=1,IF(BA1067&lt;=0,0,CE1067*MAX(1,IF(H1067&gt;0,BA1067/H1067,1))),IF(R1067&gt;0,BB1067/R1067,0))/MAX(0.1,N(Parameter!$M$21)))</f>
        <v>0.0384615384615385</v>
      </c>
      <c r="BD1067" s="62" t="n">
        <f aca="false">BC1067*CC1067</f>
        <v>5.96153846153846</v>
      </c>
      <c r="BE1067" s="63" t="n">
        <f aca="false">IF(LEFT(Cockpit!$O$5,1)="A",H1067,IF(CI1067=1,(CL1067+CJ1067)/2,IF(LEFT(Cockpit!$O$5,1)="B",(CL1067+BG1067)/2,MAX((CL1067+BG1067)/2,H1067))))</f>
        <v>0.5</v>
      </c>
      <c r="BF1067" s="62" t="n">
        <f aca="false">BE1067*G1067</f>
        <v>2.06</v>
      </c>
      <c r="BG1067" s="62" t="n">
        <f aca="false">ROUNDUP(CL1067+MAX(CM1067,2*(J1067/IF(CH1067&gt;0,CH1067,MAX(0.1,N(Cockpit!$O$6)))-CL1067)),0)</f>
        <v>1</v>
      </c>
      <c r="BH1067" s="63" t="n">
        <f aca="false">IF(BD1067&gt;0,J1067/BD1067,-1)</f>
        <v>0</v>
      </c>
      <c r="BI1067" s="63" t="n">
        <f aca="false">IF(AND(OR(CG1067="L1",CG1067="L23",CG1067="LIFT"),BD1067&gt;0),SUMIFS($BD$7:$BD$1843,$CG$7:$CG$1843,CG1067,$BH$7:$BH$1843,"&gt;"&amp;BH1067)+SUMIFS($BD$7:$BD$1843,$CG$7:$CG$1843,CG1067,$BH$7:$BH$1843,BH1067,$BX$7:$BX$1843,"&lt;="&amp;BX1067),"")</f>
        <v>28787.8620630782</v>
      </c>
      <c r="BJ1067" s="70" t="n">
        <f aca="false">IF(BI1067="",0,MAX(0,MIN(1,(IF(CG1067="L1",Parameter!$H$5,IF(CG1067="L23",Parameter!$H$6+Parameter!$H$7,Parameter!$H$5+Parameter!$H$6+Parameter!$H$7))-(BI1067-BD1067))/BD1067)))</f>
        <v>1</v>
      </c>
      <c r="BK1067" s="60" t="str">
        <f aca="false">IF(AJ1067&lt;=0,"",IF(CG1067="Aussen","Aussenlager",IF(CG1067="-","Nicht im Lift",IF(AP1067&gt;=1,"Lift",IF(AP1067&lt;=0,"Aussenlager","teilweise")))))</f>
        <v/>
      </c>
      <c r="BL1067" s="60" t="str">
        <f aca="false">IF(AT1067&lt;=0,"",IF(CG1067="Aussen","Aussenlager",IF(CG1067="-","Nicht im Lift",IF(AZ1067&gt;=1,"Lift",IF(AZ1067&lt;=0,"Aussenlager","teilweise")))))</f>
        <v>Lift</v>
      </c>
      <c r="BM1067" s="60" t="str">
        <f aca="false">IF(BD1067&lt;=0,"",IF(CG1067="Aussen","Aussenlager",IF(CG1067="-","Nicht im Lift",IF(BJ1067&gt;=1,"Lift",IF(BJ1067&lt;=0,"Aussenlager","teilweise")))))</f>
        <v>Lift</v>
      </c>
      <c r="BN1067" s="60" t="str">
        <f aca="false">IF(A1067="","",IF(BW1067=1,"Neu; ","")&amp;IF(AND(BW1067=0,BR1067&lt;0),"negativer Bestand (Export "&amp;BR1067&amp;"); ","")&amp;IF(J1067&lt;=0,"Kein Verbrauch; ","")&amp;IF(CR1067&gt;0,"Lift "&amp;W1067&amp;" lt. Liftbericht (Fach "&amp;X1067&amp;" Stk); ",IF(CB1067=1,"Gebinde geschätzt ("&amp;T1067&amp;"); ",IF(CA1067=1,"Lose – Tablare geschätzt; ","")))&amp;IF(H1067&gt;AW1067,"Überbestand "&amp;ROUND(H1067-AW1067,0)&amp;" Stk / CHF "&amp;ROUND((H1067-AW1067)*G1067,0)&amp;"; ","")&amp;IF(AND(CI1067=1,CJ1067&lt;CK1067),"MAX &lt; MB+LG; ","")&amp;IF(AND(CQ1067&gt;0,CP1067*10&gt;CQ1067),"zu hoch für Tablar; ","")&amp;IF(AND(BW1067=0,OR(CI1067=1,AB1067&lt;&gt;"",U1067&lt;&gt;"",V1067&lt;&gt;"",AC1067&lt;&gt;"")),"manuell übersteuert; ","")&amp;IF(AND(CA1067=0,R1067=0),"Gebinde unbekannt / Stellmass fehlt; ","")&amp;IF(AND(CA1067=0,N(V1067)&lt;=0,N(Q1067)&lt;=0),"Menge pro Gebinde fehlt (Ist = 1 Gebinde); ","")&amp;BV1067)</f>
        <v>negativer Bestand (Export -40); Kein Verbrauch; Gebinde geschätzt (Klein); Menge pro Gebinde fehlt (Ist = 1 Gebinde); </v>
      </c>
      <c r="BO1067" s="60"/>
      <c r="BP1067" s="60"/>
      <c r="BQ1067" s="67"/>
      <c r="BR1067" s="62" t="n">
        <v>-40</v>
      </c>
      <c r="BS1067" s="62" t="n">
        <v>40</v>
      </c>
      <c r="BT1067" s="61" t="n">
        <v>-164.8</v>
      </c>
      <c r="BU1067" s="62" t="n">
        <v>0</v>
      </c>
      <c r="BV1067" s="60"/>
      <c r="BW1067" s="65" t="n">
        <v>0</v>
      </c>
      <c r="BX1067" s="65" t="n">
        <v>1067</v>
      </c>
      <c r="BY1067" s="60" t="str">
        <f aca="false">IF(U1067&lt;&gt;"",UPPER(TRIM(U1067)),IF(CB1067=1,UPPER(VLOOKUP(T1067,Parameter!$I$27:$K$29,2,0)),IF(P1067="","LOSE",P1067)))</f>
        <v>S51</v>
      </c>
      <c r="BZ1067" s="62" t="n">
        <f aca="false">IF(BY1067="LOSE",1,IF(N(V1067)&gt;0,V1067,IF(CB1067=1,MAX(1,N(VLOOKUP(T1067,Parameter!$I$27:$K$29,3,0)),H1067,N(N1067)),IF(N(Q1067)&gt;0,Q1067,MAX(1,H1067)))))</f>
        <v>20</v>
      </c>
      <c r="CA1067" s="65" t="n">
        <f aca="false">IF(BY1067="LOSE",1,0)</f>
        <v>0</v>
      </c>
      <c r="CB1067" s="65" t="n">
        <f aca="false">IF(AND(U1067="",OR(P1067="",P1067="LOSE"),T1067&lt;&gt;"",N(S1067)&lt;=0,ISNUMBER(MATCH(T1067,Parameter!$I$27:$I$29,0))),1,0)</f>
        <v>1</v>
      </c>
      <c r="CC1067" s="65" t="n">
        <f aca="false">IF(CR1067&gt;0,INDEX(Parameter!$H$5:$H$7,W1067)/INDEX(Parameter!$E$5:$E$7,W1067),IF(AND(CA1067=0,N(IFERROR(VLOOKUP(BY1067,'Gebinde-Kategorie'!$A$5:$N$45,14,0),0))&gt;0),VLOOKUP(BY1067,'Gebinde-Kategorie'!$A$5:$N$45,14,0)*10+Parameter!$M$23,Parameter!$M$24))</f>
        <v>155</v>
      </c>
      <c r="CD1067" s="60" t="str">
        <f aca="false">IF(AND(Parameter!$B$19="Ja",E1067&lt;&gt;"",ISNUMBER(MATCH(E1067,Parameter!$I$35:$I$52,0))),VLOOKUP(E1067,Parameter!$I$35:$J$52,2,0),IFERROR(VLOOKUP(D1067,Parameter!$A$35:$C$64,2,0),"Nein"))</f>
        <v>2+3</v>
      </c>
      <c r="CE1067" s="64" t="n">
        <f aca="false">IF(CA1067=0,0,IF(N(S1067)&gt;0,S1067,IFERROR(VLOOKUP(D1067,Parameter!$A$35:$C$64,3,0)+0,0)))</f>
        <v>0</v>
      </c>
      <c r="CF1067" s="60" t="n">
        <f aca="false">IF(AB1067&lt;&gt;"",AB1067,AA1067)</f>
        <v>3</v>
      </c>
      <c r="CG1067" s="60" t="str">
        <f aca="false">IF(OR(CF1067=1,CF1067=2,CF1067=3),IF(Parameter!$E$27="Ja","LIFT",IF(CF1067=1,"L1","L23")),IF(CF1067="Aussen","Aussen","-"))</f>
        <v>LIFT</v>
      </c>
      <c r="CH1067" s="71" t="n">
        <f aca="false">IF(N(AC1067)&gt;0,AC1067,0)</f>
        <v>0</v>
      </c>
      <c r="CI1067" s="65" t="n">
        <f aca="false">IF(ISNUMBER(AF1067),1,0)</f>
        <v>0</v>
      </c>
      <c r="CJ1067" s="62" t="n">
        <f aca="false">N(AF1067)</f>
        <v>0</v>
      </c>
      <c r="CK1067" s="62" t="n">
        <f aca="false">N(M1067)+N(N1067)</f>
        <v>1</v>
      </c>
      <c r="CL1067" s="62" t="n">
        <f aca="false">N(M1067)</f>
        <v>0</v>
      </c>
      <c r="CM1067" s="62" t="n">
        <f aca="false">N(N1067)</f>
        <v>1</v>
      </c>
      <c r="CN1067" s="62" t="n">
        <f aca="false">ROUNDUP(H1067/BZ1067,0)</f>
        <v>0</v>
      </c>
      <c r="CO1067" s="62" t="n">
        <f aca="false">ROUNDUP(CJ1067/BZ1067,0)</f>
        <v>0</v>
      </c>
      <c r="CP1067" s="65" t="n">
        <f aca="false">IF(CA1067=1,0,IFERROR(VLOOKUP(BY1067,'Gebinde-Kategorie'!$A$5:$N$45,5,0)+0,0))</f>
        <v>11</v>
      </c>
      <c r="CQ1067" s="65" t="n">
        <f aca="false">IFERROR(IF(OR(CF1067=1,CF1067=2,CF1067=3),N(INDEX(Parameter!$I$5:$I$7,CF1067)),0),0)</f>
        <v>0</v>
      </c>
      <c r="CR1067" s="64" t="n">
        <f aca="false">IF(AND(Parameter!$B$21="Ja",ISNUMBER(W1067),N(X1067)&gt;0),IFERROR(N(INDEX(Parameter!$L$5:$L$7,W1067))*INDEX(Parameter!$E$5:$E$7,W1067)*X1067/SUMIFS($X$7:$X$1843,$W$7:$W$1843,W1067),0),0)</f>
        <v>0</v>
      </c>
      <c r="CS1067" s="62" t="str">
        <f aca="false">IF(AND(OR(CG1067="L1",CG1067="L23",CG1067="LIFT"),H1067&gt;0),CC1067*IF(CR1067&gt;0,CR1067*MAX(1,H1067/X1067),IF(CA1067=1,CE1067,IF(R1067&gt;0,CN1067/R1067,0))/MAX(0.1,N(Parameter!$M$21))),"")</f>
        <v/>
      </c>
      <c r="CT1067" s="64" t="str">
        <f aca="false">IF(CS1067="","",J1067/H1067)</f>
        <v/>
      </c>
      <c r="CU1067" s="62" t="str">
        <f aca="false">IF(CS1067="","",H1067*G1067)</f>
        <v/>
      </c>
      <c r="CV1067" s="63" t="str">
        <f aca="false">IF(CS1067="","",(CL1067+ROUNDUP(CL1067+MAX(CM1067,2*(J1067/MAX(0.1,N(Einkauf!$C$6))-CL1067)),0))/2)</f>
        <v/>
      </c>
      <c r="CW1067" s="62" t="str">
        <f aca="false">IF(CS1067="","",MAX(0,H1067-CV1067)*G1067)</f>
        <v/>
      </c>
      <c r="CX1067" s="62" t="str">
        <f aca="false">IF(CS1067="","",CS1067*MAX(0,1-CV1067/H1067))</f>
        <v/>
      </c>
      <c r="CY1067" s="64" t="str">
        <f aca="false">IF(CS1067="","",PERCENTRANK($CS$7:$CS$1843,CS1067)+PERCENTRANK($CU$7:$CU$1843,CU1067)+1-PERCENTRANK($CT$7:$CT$1843,CT1067))</f>
        <v/>
      </c>
      <c r="CZ1067" s="72" t="str">
        <f aca="false">IF(CS1067="","",CHOOSE(MATCH(Einkauf!$C$5,Parameter!$G$23:$G$27,0),CY1067,CS1067,CU1067,-CT1067,CW1067)+ROW()/1000000000)</f>
        <v/>
      </c>
    </row>
    <row r="1068" customFormat="false" ht="15" hidden="false" customHeight="false" outlineLevel="0" collapsed="false">
      <c r="A1068" s="60" t="s">
        <v>1993</v>
      </c>
      <c r="B1068" s="60" t="s">
        <v>586</v>
      </c>
      <c r="C1068" s="60" t="s">
        <v>206</v>
      </c>
      <c r="D1068" s="60" t="s">
        <v>226</v>
      </c>
      <c r="E1068" s="60" t="s">
        <v>227</v>
      </c>
      <c r="F1068" s="60" t="s">
        <v>260</v>
      </c>
      <c r="G1068" s="61" t="n">
        <v>21.16</v>
      </c>
      <c r="H1068" s="62" t="n">
        <f aca="false">MAX(0,IF(AND(Parameter!$B$21="Ja",ISNUMBER(Y1068)),Y1068,IF(Parameter!$B$20="Jahresanfang 2025 + Export",BS1068+BR1068,BR1068)))</f>
        <v>3</v>
      </c>
      <c r="I1068" s="62" t="n">
        <f aca="false">H1068*G1068</f>
        <v>63.48</v>
      </c>
      <c r="J1068" s="62" t="n">
        <f aca="false">BU1068*Parameter!$B$18</f>
        <v>14</v>
      </c>
      <c r="K1068" s="63" t="n">
        <v>9</v>
      </c>
      <c r="L1068" s="64" t="n">
        <v>1.55555555555556</v>
      </c>
      <c r="M1068" s="62" t="n">
        <v>0</v>
      </c>
      <c r="N1068" s="62" t="n">
        <v>15</v>
      </c>
      <c r="O1068" s="65" t="n">
        <v>21</v>
      </c>
      <c r="P1068" s="60" t="s">
        <v>463</v>
      </c>
      <c r="Q1068" s="62" t="n">
        <v>24</v>
      </c>
      <c r="R1068" s="65" t="n">
        <f aca="false">IF(CA1068=1,0,IFERROR(VLOOKUP(BY1068,'Gebinde-Kategorie'!$A$5:$N$45,13,0)+0,0))</f>
        <v>104</v>
      </c>
      <c r="S1068" s="66"/>
      <c r="T1068" s="67"/>
      <c r="U1068" s="67"/>
      <c r="V1068" s="67"/>
      <c r="W1068" s="60"/>
      <c r="X1068" s="62"/>
      <c r="Y1068" s="62"/>
      <c r="Z1068" s="60" t="n">
        <v>1</v>
      </c>
      <c r="AA1068" s="60" t="n">
        <f aca="false">IF(A1068="","",IF(AND(Parameter!$B$21="Ja",ISNUMBER(W1068)),W1068,IF(AND(Parameter!$E$27="Ja",ISNUMBER(Z1068),CD1068&lt;&gt;"Nein"),Z1068,IF(CD1068="2+3",IF(ISNUMBER(SEARCH("grosser Artikel",BV1068)),2,IFERROR(VLOOKUP(BY1068,Parameter!$F$35:$G$64,2,0),2)),IF(OR(CD1068="Nein",CD1068=""),"-",CD1068)))))</f>
        <v>1</v>
      </c>
      <c r="AB1068" s="67"/>
      <c r="AC1068" s="68"/>
      <c r="AD1068" s="62" t="n">
        <f aca="false">AW1068</f>
        <v>15</v>
      </c>
      <c r="AE1068" s="62" t="n">
        <f aca="false">MAX(AW1068,H1068)</f>
        <v>15</v>
      </c>
      <c r="AF1068" s="69"/>
      <c r="AG1068" s="62" t="n">
        <f aca="false">IF(LEFT(Cockpit!$C$5,1)="A",H1068,IF(Parameter!$E$30="MAX-Bestand",IF(CI1068=1,CJ1068,IF(LEFT(Cockpit!$C$5,1)="B",AM1068,MAX(AM1068,H1068))),ROUNDUP(AK1068,0)))</f>
        <v>3</v>
      </c>
      <c r="AH1068" s="62" t="n">
        <f aca="false">IF(CA1068=1,0,ROUNDUP(AG1068/BZ1068,0))</f>
        <v>1</v>
      </c>
      <c r="AI1068" s="64" t="n">
        <f aca="false">IF(CR1068&gt;0,CR1068*MAX(1,AG1068/X1068),IF(CA1068=1,IF(AG1068&lt;=0,0,CE1068*MAX(1,IF(H1068&gt;0,AG1068/H1068,1))),IF(R1068&gt;0,AH1068/R1068,0))/MAX(0.1,N(Parameter!$M$21)))</f>
        <v>0.00961538461538462</v>
      </c>
      <c r="AJ1068" s="62" t="n">
        <f aca="false">AI1068*CC1068</f>
        <v>1.49038461538462</v>
      </c>
      <c r="AK1068" s="63" t="n">
        <f aca="false">IF(LEFT(Cockpit!$C$5,1)="A",H1068,IF(CI1068=1,(CL1068+CJ1068)/2,IF(LEFT(Cockpit!$C$5,1)="B",(CL1068+AM1068)/2,MAX((CL1068+AM1068)/2,H1068))))</f>
        <v>3</v>
      </c>
      <c r="AL1068" s="62" t="n">
        <f aca="false">AK1068*G1068</f>
        <v>63.48</v>
      </c>
      <c r="AM1068" s="62" t="n">
        <f aca="false">ROUNDUP(CL1068+MAX(CM1068,2*(J1068/IF(CH1068&gt;0,CH1068,MAX(0.1,N(Cockpit!$C$6)))-CL1068)),0)</f>
        <v>15</v>
      </c>
      <c r="AN1068" s="63" t="n">
        <f aca="false">IF(AJ1068&gt;0,J1068/AJ1068,-1)</f>
        <v>9.39354838709677</v>
      </c>
      <c r="AO1068" s="63" t="n">
        <f aca="false">IF(AND(OR(CG1068="L1",CG1068="L23",CG1068="LIFT"),AJ1068&gt;0),SUMIFS($AJ$7:$AJ$1843,$CG$7:$CG$1843,CG1068,$AN$7:$AN$1843,"&gt;"&amp;AN1068)+SUMIFS($AJ$7:$AJ$1843,$CG$7:$CG$1843,CG1068,$AN$7:$AN$1843,AN1068,$BX$7:$BX$1843,"&lt;="&amp;BX1068),"")</f>
        <v>2919.12087912088</v>
      </c>
      <c r="AP1068" s="70" t="n">
        <f aca="false">IF(AO1068="",0,MAX(0,MIN(1,(IF(CG1068="L1",Parameter!$H$5,IF(CG1068="L23",Parameter!$H$6+Parameter!$H$7,Parameter!$H$5+Parameter!$H$6+Parameter!$H$7))-(AO1068-AJ1068))/AJ1068)))</f>
        <v>1</v>
      </c>
      <c r="AQ1068" s="62" t="n">
        <f aca="false">IF(LEFT(Cockpit!$I$5,1)="A",H1068,IF(Parameter!$E$30="MAX-Bestand",IF(CI1068=1,CJ1068,IF(LEFT(Cockpit!$I$5,1)="B",AW1068,MAX(AW1068,H1068))),ROUNDUP(AU1068,0)))</f>
        <v>8</v>
      </c>
      <c r="AR1068" s="62" t="n">
        <f aca="false">IF(CA1068=1,0,ROUNDUP(AQ1068/BZ1068,0))</f>
        <v>1</v>
      </c>
      <c r="AS1068" s="64" t="n">
        <f aca="false">IF(CR1068&gt;0,CR1068*MAX(1,AQ1068/X1068),IF(CA1068=1,IF(AQ1068&lt;=0,0,CE1068*MAX(1,IF(H1068&gt;0,AQ1068/H1068,1))),IF(R1068&gt;0,AR1068/R1068,0))/MAX(0.1,N(Parameter!$M$21)))</f>
        <v>0.00961538461538462</v>
      </c>
      <c r="AT1068" s="62" t="n">
        <f aca="false">AS1068*CC1068</f>
        <v>1.49038461538462</v>
      </c>
      <c r="AU1068" s="63" t="n">
        <f aca="false">IF(LEFT(Cockpit!$I$5,1)="A",H1068,IF(CI1068=1,(CL1068+CJ1068)/2,IF(LEFT(Cockpit!$I$5,1)="B",(CL1068+AW1068)/2,MAX((CL1068+AW1068)/2,H1068))))</f>
        <v>7.5</v>
      </c>
      <c r="AV1068" s="62" t="n">
        <f aca="false">AU1068*G1068</f>
        <v>158.7</v>
      </c>
      <c r="AW1068" s="62" t="n">
        <f aca="false">ROUNDUP(CL1068+MAX(CM1068,2*(J1068/IF(CH1068&gt;0,CH1068,MAX(0.1,N(Cockpit!$I$6)))-CL1068)),0)</f>
        <v>15</v>
      </c>
      <c r="AX1068" s="63" t="n">
        <f aca="false">IF(AT1068&gt;0,J1068/AT1068,-1)</f>
        <v>9.39354838709677</v>
      </c>
      <c r="AY1068" s="63" t="n">
        <f aca="false">IF(AND(OR(CG1068="L1",CG1068="L23",CG1068="LIFT"),AT1068&gt;0),SUMIFS($AT$7:$AT$1843,$CG$7:$CG$1843,CG1068,$AX$7:$AX$1843,"&gt;"&amp;AX1068)+SUMIFS($AT$7:$AT$1843,$CG$7:$CG$1843,CG1068,$AX$7:$AX$1843,AX1068,$BX$7:$BX$1843,"&lt;="&amp;BX1068),"")</f>
        <v>3534.10897435897</v>
      </c>
      <c r="AZ1068" s="70" t="n">
        <f aca="false">IF(AY1068="",0,MAX(0,MIN(1,(IF(CG1068="L1",Parameter!$H$5,IF(CG1068="L23",Parameter!$H$6+Parameter!$H$7,Parameter!$H$5+Parameter!$H$6+Parameter!$H$7))-(AY1068-AT1068))/AT1068)))</f>
        <v>1</v>
      </c>
      <c r="BA1068" s="62" t="n">
        <f aca="false">IF(LEFT(Cockpit!$O$5,1)="A",H1068,IF(Parameter!$E$30="MAX-Bestand",IF(CI1068=1,CJ1068,IF(LEFT(Cockpit!$O$5,1)="B",BG1068,MAX(BG1068,H1068))),ROUNDUP(BE1068,0)))</f>
        <v>8</v>
      </c>
      <c r="BB1068" s="62" t="n">
        <f aca="false">IF(CA1068=1,0,ROUNDUP(BA1068/BZ1068,0))</f>
        <v>1</v>
      </c>
      <c r="BC1068" s="64" t="n">
        <f aca="false">IF(CR1068&gt;0,CR1068*MAX(1,BA1068/X1068),IF(CA1068=1,IF(BA1068&lt;=0,0,CE1068*MAX(1,IF(H1068&gt;0,BA1068/H1068,1))),IF(R1068&gt;0,BB1068/R1068,0))/MAX(0.1,N(Parameter!$M$21)))</f>
        <v>0.00961538461538462</v>
      </c>
      <c r="BD1068" s="62" t="n">
        <f aca="false">BC1068*CC1068</f>
        <v>1.49038461538462</v>
      </c>
      <c r="BE1068" s="63" t="n">
        <f aca="false">IF(LEFT(Cockpit!$O$5,1)="A",H1068,IF(CI1068=1,(CL1068+CJ1068)/2,IF(LEFT(Cockpit!$O$5,1)="B",(CL1068+BG1068)/2,MAX((CL1068+BG1068)/2,H1068))))</f>
        <v>7.5</v>
      </c>
      <c r="BF1068" s="62" t="n">
        <f aca="false">BE1068*G1068</f>
        <v>158.7</v>
      </c>
      <c r="BG1068" s="62" t="n">
        <f aca="false">ROUNDUP(CL1068+MAX(CM1068,2*(J1068/IF(CH1068&gt;0,CH1068,MAX(0.1,N(Cockpit!$O$6)))-CL1068)),0)</f>
        <v>15</v>
      </c>
      <c r="BH1068" s="63" t="n">
        <f aca="false">IF(BD1068&gt;0,J1068/BD1068,-1)</f>
        <v>9.39354838709677</v>
      </c>
      <c r="BI1068" s="63" t="n">
        <f aca="false">IF(AND(OR(CG1068="L1",CG1068="L23",CG1068="LIFT"),BD1068&gt;0),SUMIFS($BD$7:$BD$1843,$CG$7:$CG$1843,CG1068,$BH$7:$BH$1843,"&gt;"&amp;BH1068)+SUMIFS($BD$7:$BD$1843,$CG$7:$CG$1843,CG1068,$BH$7:$BH$1843,BH1068,$BX$7:$BX$1843,"&lt;="&amp;BX1068),"")</f>
        <v>2749.02564102564</v>
      </c>
      <c r="BJ1068" s="70" t="n">
        <f aca="false">IF(BI1068="",0,MAX(0,MIN(1,(IF(CG1068="L1",Parameter!$H$5,IF(CG1068="L23",Parameter!$H$6+Parameter!$H$7,Parameter!$H$5+Parameter!$H$6+Parameter!$H$7))-(BI1068-BD1068))/BD1068)))</f>
        <v>1</v>
      </c>
      <c r="BK1068" s="60" t="str">
        <f aca="false">IF(AJ1068&lt;=0,"",IF(CG1068="Aussen","Aussenlager",IF(CG1068="-","Nicht im Lift",IF(AP1068&gt;=1,"Lift",IF(AP1068&lt;=0,"Aussenlager","teilweise")))))</f>
        <v>Lift</v>
      </c>
      <c r="BL1068" s="60" t="str">
        <f aca="false">IF(AT1068&lt;=0,"",IF(CG1068="Aussen","Aussenlager",IF(CG1068="-","Nicht im Lift",IF(AZ1068&gt;=1,"Lift",IF(AZ1068&lt;=0,"Aussenlager","teilweise")))))</f>
        <v>Lift</v>
      </c>
      <c r="BM1068" s="60" t="str">
        <f aca="false">IF(BD1068&lt;=0,"",IF(CG1068="Aussen","Aussenlager",IF(CG1068="-","Nicht im Lift",IF(BJ1068&gt;=1,"Lift",IF(BJ1068&lt;=0,"Aussenlager","teilweise")))))</f>
        <v>Lift</v>
      </c>
      <c r="BN1068" s="60" t="str">
        <f aca="false">IF(A1068="","",IF(BW1068=1,"Neu; ","")&amp;IF(AND(BW1068=0,BR1068&lt;0),"negativer Bestand (Export "&amp;BR1068&amp;"); ","")&amp;IF(J1068&lt;=0,"Kein Verbrauch; ","")&amp;IF(CR1068&gt;0,"Lift "&amp;W1068&amp;" lt. Liftbericht (Fach "&amp;X1068&amp;" Stk); ",IF(CB1068=1,"Gebinde geschätzt ("&amp;T1068&amp;"); ",IF(CA1068=1,"Lose – Tablare geschätzt; ","")))&amp;IF(H1068&gt;AW1068,"Überbestand "&amp;ROUND(H1068-AW1068,0)&amp;" Stk / CHF "&amp;ROUND((H1068-AW1068)*G1068,0)&amp;"; ","")&amp;IF(AND(CI1068=1,CJ1068&lt;CK1068),"MAX &lt; MB+LG; ","")&amp;IF(AND(CQ1068&gt;0,CP1068*10&gt;CQ1068),"zu hoch für Tablar; ","")&amp;IF(AND(BW1068=0,OR(CI1068=1,AB1068&lt;&gt;"",U1068&lt;&gt;"",V1068&lt;&gt;"",AC1068&lt;&gt;"")),"manuell übersteuert; ","")&amp;IF(AND(CA1068=0,R1068=0),"Gebinde unbekannt / Stellmass fehlt; ","")&amp;IF(AND(CA1068=0,N(V1068)&lt;=0,N(Q1068)&lt;=0),"Menge pro Gebinde fehlt (Ist = 1 Gebinde); ","")&amp;BV1068)</f>
        <v>negativer Bestand (Export -8); </v>
      </c>
      <c r="BO1068" s="60"/>
      <c r="BP1068" s="60"/>
      <c r="BQ1068" s="67"/>
      <c r="BR1068" s="62" t="n">
        <v>-8</v>
      </c>
      <c r="BS1068" s="62" t="n">
        <v>11</v>
      </c>
      <c r="BT1068" s="61" t="n">
        <v>-166.2</v>
      </c>
      <c r="BU1068" s="62" t="n">
        <v>14</v>
      </c>
      <c r="BV1068" s="60"/>
      <c r="BW1068" s="65" t="n">
        <v>0</v>
      </c>
      <c r="BX1068" s="65" t="n">
        <v>1068</v>
      </c>
      <c r="BY1068" s="60" t="str">
        <f aca="false">IF(U1068&lt;&gt;"",UPPER(TRIM(U1068)),IF(CB1068=1,UPPER(VLOOKUP(T1068,Parameter!$I$27:$K$29,2,0)),IF(P1068="","LOSE",P1068)))</f>
        <v>S32</v>
      </c>
      <c r="BZ1068" s="62" t="n">
        <f aca="false">IF(BY1068="LOSE",1,IF(N(V1068)&gt;0,V1068,IF(CB1068=1,MAX(1,N(VLOOKUP(T1068,Parameter!$I$27:$K$29,3,0)),H1068,N(N1068)),IF(N(Q1068)&gt;0,Q1068,MAX(1,H1068)))))</f>
        <v>24</v>
      </c>
      <c r="CA1068" s="65" t="n">
        <f aca="false">IF(BY1068="LOSE",1,0)</f>
        <v>0</v>
      </c>
      <c r="CB1068" s="65" t="n">
        <f aca="false">IF(AND(U1068="",OR(P1068="",P1068="LOSE"),T1068&lt;&gt;"",N(S1068)&lt;=0,ISNUMBER(MATCH(T1068,Parameter!$I$27:$I$29,0))),1,0)</f>
        <v>0</v>
      </c>
      <c r="CC1068" s="65" t="n">
        <f aca="false">IF(CR1068&gt;0,INDEX(Parameter!$H$5:$H$7,W1068)/INDEX(Parameter!$E$5:$E$7,W1068),IF(AND(CA1068=0,N(IFERROR(VLOOKUP(BY1068,'Gebinde-Kategorie'!$A$5:$N$45,14,0),0))&gt;0),VLOOKUP(BY1068,'Gebinde-Kategorie'!$A$5:$N$45,14,0)*10+Parameter!$M$23,Parameter!$M$24))</f>
        <v>155</v>
      </c>
      <c r="CD1068" s="60" t="str">
        <f aca="false">IF(AND(Parameter!$B$19="Ja",E1068&lt;&gt;"",ISNUMBER(MATCH(E1068,Parameter!$I$35:$I$52,0))),VLOOKUP(E1068,Parameter!$I$35:$J$52,2,0),IFERROR(VLOOKUP(D1068,Parameter!$A$35:$C$64,2,0),"Nein"))</f>
        <v>2+3</v>
      </c>
      <c r="CE1068" s="64" t="n">
        <f aca="false">IF(CA1068=0,0,IF(N(S1068)&gt;0,S1068,IFERROR(VLOOKUP(D1068,Parameter!$A$35:$C$64,3,0)+0,0)))</f>
        <v>0</v>
      </c>
      <c r="CF1068" s="60" t="n">
        <f aca="false">IF(AB1068&lt;&gt;"",AB1068,AA1068)</f>
        <v>1</v>
      </c>
      <c r="CG1068" s="60" t="str">
        <f aca="false">IF(OR(CF1068=1,CF1068=2,CF1068=3),IF(Parameter!$E$27="Ja","LIFT",IF(CF1068=1,"L1","L23")),IF(CF1068="Aussen","Aussen","-"))</f>
        <v>LIFT</v>
      </c>
      <c r="CH1068" s="71" t="n">
        <f aca="false">IF(N(AC1068)&gt;0,AC1068,0)</f>
        <v>0</v>
      </c>
      <c r="CI1068" s="65" t="n">
        <f aca="false">IF(ISNUMBER(AF1068),1,0)</f>
        <v>0</v>
      </c>
      <c r="CJ1068" s="62" t="n">
        <f aca="false">N(AF1068)</f>
        <v>0</v>
      </c>
      <c r="CK1068" s="62" t="n">
        <f aca="false">N(M1068)+N(N1068)</f>
        <v>15</v>
      </c>
      <c r="CL1068" s="62" t="n">
        <f aca="false">N(M1068)</f>
        <v>0</v>
      </c>
      <c r="CM1068" s="62" t="n">
        <f aca="false">N(N1068)</f>
        <v>15</v>
      </c>
      <c r="CN1068" s="62" t="n">
        <f aca="false">ROUNDUP(H1068/BZ1068,0)</f>
        <v>1</v>
      </c>
      <c r="CO1068" s="62" t="n">
        <f aca="false">ROUNDUP(CJ1068/BZ1068,0)</f>
        <v>0</v>
      </c>
      <c r="CP1068" s="65" t="n">
        <f aca="false">IF(CA1068=1,0,IFERROR(VLOOKUP(BY1068,'Gebinde-Kategorie'!$A$5:$N$45,5,0)+0,0))</f>
        <v>8</v>
      </c>
      <c r="CQ1068" s="65" t="n">
        <f aca="false">IFERROR(IF(OR(CF1068=1,CF1068=2,CF1068=3),N(INDEX(Parameter!$I$5:$I$7,CF1068)),0),0)</f>
        <v>0</v>
      </c>
      <c r="CR1068" s="64" t="n">
        <f aca="false">IF(AND(Parameter!$B$21="Ja",ISNUMBER(W1068),N(X1068)&gt;0),IFERROR(N(INDEX(Parameter!$L$5:$L$7,W1068))*INDEX(Parameter!$E$5:$E$7,W1068)*X1068/SUMIFS($X$7:$X$1843,$W$7:$W$1843,W1068),0),0)</f>
        <v>0</v>
      </c>
      <c r="CS1068" s="62" t="n">
        <f aca="false">IF(AND(OR(CG1068="L1",CG1068="L23",CG1068="LIFT"),H1068&gt;0),CC1068*IF(CR1068&gt;0,CR1068*MAX(1,H1068/X1068),IF(CA1068=1,CE1068,IF(R1068&gt;0,CN1068/R1068,0))/MAX(0.1,N(Parameter!$M$21))),"")</f>
        <v>1.49038461538462</v>
      </c>
      <c r="CT1068" s="64" t="n">
        <f aca="false">IF(CS1068="","",J1068/H1068)</f>
        <v>4.66666666666667</v>
      </c>
      <c r="CU1068" s="62" t="n">
        <f aca="false">IF(CS1068="","",H1068*G1068)</f>
        <v>63.48</v>
      </c>
      <c r="CV1068" s="63" t="n">
        <f aca="false">IF(CS1068="","",(CL1068+ROUNDUP(CL1068+MAX(CM1068,2*(J1068/MAX(0.1,N(Einkauf!$C$6))-CL1068)),0))/2)</f>
        <v>7.5</v>
      </c>
      <c r="CW1068" s="62" t="n">
        <f aca="false">IF(CS1068="","",MAX(0,H1068-CV1068)*G1068)</f>
        <v>0</v>
      </c>
      <c r="CX1068" s="62" t="n">
        <f aca="false">IF(CS1068="","",CS1068*MAX(0,1-CV1068/H1068))</f>
        <v>0</v>
      </c>
      <c r="CY1068" s="64" t="n">
        <f aca="false">IF(CS1068="","",PERCENTRANK($CS$7:$CS$1843,CS1068)+PERCENTRANK($CU$7:$CU$1843,CU1068)+1-PERCENTRANK($CT$7:$CT$1843,CT1068))</f>
        <v>0.339</v>
      </c>
      <c r="CZ1068" s="72" t="n">
        <f aca="false">IF(CS1068="","",CHOOSE(MATCH(Einkauf!$C$5,Parameter!$G$23:$G$27,0),CY1068,CS1068,CU1068,-CT1068,CW1068)+ROW()/1000000000)</f>
        <v>0.339001068</v>
      </c>
    </row>
    <row r="1069" customFormat="false" ht="15" hidden="false" customHeight="false" outlineLevel="0" collapsed="false">
      <c r="A1069" s="60" t="s">
        <v>1994</v>
      </c>
      <c r="B1069" s="60" t="s">
        <v>1995</v>
      </c>
      <c r="C1069" s="60" t="s">
        <v>206</v>
      </c>
      <c r="D1069" s="60" t="s">
        <v>226</v>
      </c>
      <c r="E1069" s="60"/>
      <c r="F1069" s="60" t="s">
        <v>260</v>
      </c>
      <c r="G1069" s="61" t="n">
        <v>11.9</v>
      </c>
      <c r="H1069" s="62" t="n">
        <f aca="false">MAX(0,IF(AND(Parameter!$B$21="Ja",ISNUMBER(Y1069)),Y1069,IF(Parameter!$B$20="Jahresanfang 2025 + Export",BS1069+BR1069,BR1069)))</f>
        <v>161</v>
      </c>
      <c r="I1069" s="62" t="n">
        <f aca="false">H1069*G1069</f>
        <v>1915.9</v>
      </c>
      <c r="J1069" s="62" t="n">
        <f aca="false">BU1069*Parameter!$B$18</f>
        <v>3</v>
      </c>
      <c r="K1069" s="63" t="n">
        <v>169.5</v>
      </c>
      <c r="L1069" s="64" t="n">
        <v>0.0176991150442478</v>
      </c>
      <c r="M1069" s="62" t="n">
        <v>0</v>
      </c>
      <c r="N1069" s="62" t="n">
        <v>5</v>
      </c>
      <c r="O1069" s="65" t="n">
        <v>42</v>
      </c>
      <c r="P1069" s="60" t="s">
        <v>228</v>
      </c>
      <c r="Q1069" s="62" t="n">
        <v>160</v>
      </c>
      <c r="R1069" s="65" t="n">
        <f aca="false">IF(CA1069=1,0,IFERROR(VLOOKUP(BY1069,'Gebinde-Kategorie'!$A$5:$N$45,13,0)+0,0))</f>
        <v>12</v>
      </c>
      <c r="S1069" s="66"/>
      <c r="T1069" s="67"/>
      <c r="U1069" s="67"/>
      <c r="V1069" s="67"/>
      <c r="W1069" s="60"/>
      <c r="X1069" s="62"/>
      <c r="Y1069" s="62"/>
      <c r="Z1069" s="60" t="n">
        <v>3</v>
      </c>
      <c r="AA1069" s="60" t="n">
        <f aca="false">IF(A1069="","",IF(AND(Parameter!$B$21="Ja",ISNUMBER(W1069)),W1069,IF(AND(Parameter!$E$27="Ja",ISNUMBER(Z1069),CD1069&lt;&gt;"Nein"),Z1069,IF(CD1069="2+3",IF(ISNUMBER(SEARCH("grosser Artikel",BV1069)),2,IFERROR(VLOOKUP(BY1069,Parameter!$F$35:$G$64,2,0),2)),IF(OR(CD1069="Nein",CD1069=""),"-",CD1069)))))</f>
        <v>3</v>
      </c>
      <c r="AB1069" s="67"/>
      <c r="AC1069" s="68"/>
      <c r="AD1069" s="62" t="n">
        <f aca="false">AW1069</f>
        <v>5</v>
      </c>
      <c r="AE1069" s="62" t="n">
        <f aca="false">MAX(AW1069,H1069)</f>
        <v>161</v>
      </c>
      <c r="AF1069" s="69"/>
      <c r="AG1069" s="62" t="n">
        <f aca="false">IF(LEFT(Cockpit!$C$5,1)="A",H1069,IF(Parameter!$E$30="MAX-Bestand",IF(CI1069=1,CJ1069,IF(LEFT(Cockpit!$C$5,1)="B",AM1069,MAX(AM1069,H1069))),ROUNDUP(AK1069,0)))</f>
        <v>161</v>
      </c>
      <c r="AH1069" s="62" t="n">
        <f aca="false">IF(CA1069=1,0,ROUNDUP(AG1069/BZ1069,0))</f>
        <v>2</v>
      </c>
      <c r="AI1069" s="64" t="n">
        <f aca="false">IF(CR1069&gt;0,CR1069*MAX(1,AG1069/X1069),IF(CA1069=1,IF(AG1069&lt;=0,0,CE1069*MAX(1,IF(H1069&gt;0,AG1069/H1069,1))),IF(R1069&gt;0,AH1069/R1069,0))/MAX(0.1,N(Parameter!$M$21)))</f>
        <v>0.166666666666667</v>
      </c>
      <c r="AJ1069" s="62" t="n">
        <f aca="false">AI1069*CC1069</f>
        <v>24.1666666666667</v>
      </c>
      <c r="AK1069" s="63" t="n">
        <f aca="false">IF(LEFT(Cockpit!$C$5,1)="A",H1069,IF(CI1069=1,(CL1069+CJ1069)/2,IF(LEFT(Cockpit!$C$5,1)="B",(CL1069+AM1069)/2,MAX((CL1069+AM1069)/2,H1069))))</f>
        <v>161</v>
      </c>
      <c r="AL1069" s="62" t="n">
        <f aca="false">AK1069*G1069</f>
        <v>1915.9</v>
      </c>
      <c r="AM1069" s="62" t="n">
        <f aca="false">ROUNDUP(CL1069+MAX(CM1069,2*(J1069/IF(CH1069&gt;0,CH1069,MAX(0.1,N(Cockpit!$C$6)))-CL1069)),0)</f>
        <v>5</v>
      </c>
      <c r="AN1069" s="63" t="n">
        <f aca="false">IF(AJ1069&gt;0,J1069/AJ1069,-1)</f>
        <v>0.124137931034483</v>
      </c>
      <c r="AO1069" s="63" t="n">
        <f aca="false">IF(AND(OR(CG1069="L1",CG1069="L23",CG1069="LIFT"),AJ1069&gt;0),SUMIFS($AJ$7:$AJ$1843,$CG$7:$CG$1843,CG1069,$AN$7:$AN$1843,"&gt;"&amp;AN1069)+SUMIFS($AJ$7:$AJ$1843,$CG$7:$CG$1843,CG1069,$AN$7:$AN$1843,AN1069,$BX$7:$BX$1843,"&lt;="&amp;BX1069),"")</f>
        <v>14116.2866688396</v>
      </c>
      <c r="AP1069" s="70" t="n">
        <f aca="false">IF(AO1069="",0,MAX(0,MIN(1,(IF(CG1069="L1",Parameter!$H$5,IF(CG1069="L23",Parameter!$H$6+Parameter!$H$7,Parameter!$H$5+Parameter!$H$6+Parameter!$H$7))-(AO1069-AJ1069))/AJ1069)))</f>
        <v>1</v>
      </c>
      <c r="AQ1069" s="62" t="n">
        <f aca="false">IF(LEFT(Cockpit!$I$5,1)="A",H1069,IF(Parameter!$E$30="MAX-Bestand",IF(CI1069=1,CJ1069,IF(LEFT(Cockpit!$I$5,1)="B",AW1069,MAX(AW1069,H1069))),ROUNDUP(AU1069,0)))</f>
        <v>161</v>
      </c>
      <c r="AR1069" s="62" t="n">
        <f aca="false">IF(CA1069=1,0,ROUNDUP(AQ1069/BZ1069,0))</f>
        <v>2</v>
      </c>
      <c r="AS1069" s="64" t="n">
        <f aca="false">IF(CR1069&gt;0,CR1069*MAX(1,AQ1069/X1069),IF(CA1069=1,IF(AQ1069&lt;=0,0,CE1069*MAX(1,IF(H1069&gt;0,AQ1069/H1069,1))),IF(R1069&gt;0,AR1069/R1069,0))/MAX(0.1,N(Parameter!$M$21)))</f>
        <v>0.166666666666667</v>
      </c>
      <c r="AT1069" s="62" t="n">
        <f aca="false">AS1069*CC1069</f>
        <v>24.1666666666667</v>
      </c>
      <c r="AU1069" s="63" t="n">
        <f aca="false">IF(LEFT(Cockpit!$I$5,1)="A",H1069,IF(CI1069=1,(CL1069+CJ1069)/2,IF(LEFT(Cockpit!$I$5,1)="B",(CL1069+AW1069)/2,MAX((CL1069+AW1069)/2,H1069))))</f>
        <v>161</v>
      </c>
      <c r="AV1069" s="62" t="n">
        <f aca="false">AU1069*G1069</f>
        <v>1915.9</v>
      </c>
      <c r="AW1069" s="62" t="n">
        <f aca="false">ROUNDUP(CL1069+MAX(CM1069,2*(J1069/IF(CH1069&gt;0,CH1069,MAX(0.1,N(Cockpit!$I$6)))-CL1069)),0)</f>
        <v>5</v>
      </c>
      <c r="AX1069" s="63" t="n">
        <f aca="false">IF(AT1069&gt;0,J1069/AT1069,-1)</f>
        <v>0.124137931034483</v>
      </c>
      <c r="AY1069" s="63" t="n">
        <f aca="false">IF(AND(OR(CG1069="L1",CG1069="L23",CG1069="LIFT"),AT1069&gt;0),SUMIFS($AT$7:$AT$1843,$CG$7:$CG$1843,CG1069,$AX$7:$AX$1843,"&gt;"&amp;AX1069)+SUMIFS($AT$7:$AT$1843,$CG$7:$CG$1843,CG1069,$AX$7:$AX$1843,AX1069,$BX$7:$BX$1843,"&lt;="&amp;BX1069),"")</f>
        <v>18140.6853102171</v>
      </c>
      <c r="AZ1069" s="70" t="n">
        <f aca="false">IF(AY1069="",0,MAX(0,MIN(1,(IF(CG1069="L1",Parameter!$H$5,IF(CG1069="L23",Parameter!$H$6+Parameter!$H$7,Parameter!$H$5+Parameter!$H$6+Parameter!$H$7))-(AY1069-AT1069))/AT1069)))</f>
        <v>1</v>
      </c>
      <c r="BA1069" s="62" t="n">
        <f aca="false">IF(LEFT(Cockpit!$O$5,1)="A",H1069,IF(Parameter!$E$30="MAX-Bestand",IF(CI1069=1,CJ1069,IF(LEFT(Cockpit!$O$5,1)="B",BG1069,MAX(BG1069,H1069))),ROUNDUP(BE1069,0)))</f>
        <v>3</v>
      </c>
      <c r="BB1069" s="62" t="n">
        <f aca="false">IF(CA1069=1,0,ROUNDUP(BA1069/BZ1069,0))</f>
        <v>1</v>
      </c>
      <c r="BC1069" s="64" t="n">
        <f aca="false">IF(CR1069&gt;0,CR1069*MAX(1,BA1069/X1069),IF(CA1069=1,IF(BA1069&lt;=0,0,CE1069*MAX(1,IF(H1069&gt;0,BA1069/H1069,1))),IF(R1069&gt;0,BB1069/R1069,0))/MAX(0.1,N(Parameter!$M$21)))</f>
        <v>0.0833333333333333</v>
      </c>
      <c r="BD1069" s="62" t="n">
        <f aca="false">BC1069*CC1069</f>
        <v>12.0833333333333</v>
      </c>
      <c r="BE1069" s="63" t="n">
        <f aca="false">IF(LEFT(Cockpit!$O$5,1)="A",H1069,IF(CI1069=1,(CL1069+CJ1069)/2,IF(LEFT(Cockpit!$O$5,1)="B",(CL1069+BG1069)/2,MAX((CL1069+BG1069)/2,H1069))))</f>
        <v>2.5</v>
      </c>
      <c r="BF1069" s="62" t="n">
        <f aca="false">BE1069*G1069</f>
        <v>29.75</v>
      </c>
      <c r="BG1069" s="62" t="n">
        <f aca="false">ROUNDUP(CL1069+MAX(CM1069,2*(J1069/IF(CH1069&gt;0,CH1069,MAX(0.1,N(Cockpit!$O$6)))-CL1069)),0)</f>
        <v>5</v>
      </c>
      <c r="BH1069" s="63" t="n">
        <f aca="false">IF(BD1069&gt;0,J1069/BD1069,-1)</f>
        <v>0.248275862068966</v>
      </c>
      <c r="BI1069" s="63" t="n">
        <f aca="false">IF(AND(OR(CG1069="L1",CG1069="L23",CG1069="LIFT"),BD1069&gt;0),SUMIFS($BD$7:$BD$1843,$CG$7:$CG$1843,CG1069,$BH$7:$BH$1843,"&gt;"&amp;BH1069)+SUMIFS($BD$7:$BD$1843,$CG$7:$CG$1843,CG1069,$BH$7:$BH$1843,BH1069,$BX$7:$BX$1843,"&lt;="&amp;BX1069),"")</f>
        <v>12129.2248168498</v>
      </c>
      <c r="BJ1069" s="70" t="n">
        <f aca="false">IF(BI1069="",0,MAX(0,MIN(1,(IF(CG1069="L1",Parameter!$H$5,IF(CG1069="L23",Parameter!$H$6+Parameter!$H$7,Parameter!$H$5+Parameter!$H$6+Parameter!$H$7))-(BI1069-BD1069))/BD1069)))</f>
        <v>1</v>
      </c>
      <c r="BK1069" s="60" t="str">
        <f aca="false">IF(AJ1069&lt;=0,"",IF(CG1069="Aussen","Aussenlager",IF(CG1069="-","Nicht im Lift",IF(AP1069&gt;=1,"Lift",IF(AP1069&lt;=0,"Aussenlager","teilweise")))))</f>
        <v>Lift</v>
      </c>
      <c r="BL1069" s="60" t="str">
        <f aca="false">IF(AT1069&lt;=0,"",IF(CG1069="Aussen","Aussenlager",IF(CG1069="-","Nicht im Lift",IF(AZ1069&gt;=1,"Lift",IF(AZ1069&lt;=0,"Aussenlager","teilweise")))))</f>
        <v>Lift</v>
      </c>
      <c r="BM1069" s="60" t="str">
        <f aca="false">IF(BD1069&lt;=0,"",IF(CG1069="Aussen","Aussenlager",IF(CG1069="-","Nicht im Lift",IF(BJ1069&gt;=1,"Lift",IF(BJ1069&lt;=0,"Aussenlager","teilweise")))))</f>
        <v>Lift</v>
      </c>
      <c r="BN1069" s="60" t="str">
        <f aca="false">IF(A1069="","",IF(BW1069=1,"Neu; ","")&amp;IF(AND(BW1069=0,BR1069&lt;0),"negativer Bestand (Export "&amp;BR1069&amp;"); ","")&amp;IF(J1069&lt;=0,"Kein Verbrauch; ","")&amp;IF(CR1069&gt;0,"Lift "&amp;W1069&amp;" lt. Liftbericht (Fach "&amp;X1069&amp;" Stk); ",IF(CB1069=1,"Gebinde geschätzt ("&amp;T1069&amp;"); ",IF(CA1069=1,"Lose – Tablare geschätzt; ","")))&amp;IF(H1069&gt;AW1069,"Überbestand "&amp;ROUND(H1069-AW1069,0)&amp;" Stk / CHF "&amp;ROUND((H1069-AW1069)*G1069,0)&amp;"; ","")&amp;IF(AND(CI1069=1,CJ1069&lt;CK1069),"MAX &lt; MB+LG; ","")&amp;IF(AND(CQ1069&gt;0,CP1069*10&gt;CQ1069),"zu hoch für Tablar; ","")&amp;IF(AND(BW1069=0,OR(CI1069=1,AB1069&lt;&gt;"",U1069&lt;&gt;"",V1069&lt;&gt;"",AC1069&lt;&gt;"")),"manuell übersteuert; ","")&amp;IF(AND(CA1069=0,R1069=0),"Gebinde unbekannt / Stellmass fehlt; ","")&amp;IF(AND(CA1069=0,N(V1069)&lt;=0,N(Q1069)&lt;=0),"Menge pro Gebinde fehlt (Ist = 1 Gebinde); ","")&amp;BV1069)</f>
        <v>negativer Bestand (Export -14); Überbestand 156 Stk / CHF 1856; überbestand</v>
      </c>
      <c r="BO1069" s="60"/>
      <c r="BP1069" s="60"/>
      <c r="BQ1069" s="67"/>
      <c r="BR1069" s="62" t="n">
        <v>-14</v>
      </c>
      <c r="BS1069" s="62" t="n">
        <v>175</v>
      </c>
      <c r="BT1069" s="61" t="n">
        <v>-166.6</v>
      </c>
      <c r="BU1069" s="62" t="n">
        <v>3</v>
      </c>
      <c r="BV1069" s="60" t="s">
        <v>1292</v>
      </c>
      <c r="BW1069" s="65" t="n">
        <v>0</v>
      </c>
      <c r="BX1069" s="65" t="n">
        <v>1069</v>
      </c>
      <c r="BY1069" s="60" t="str">
        <f aca="false">IF(U1069&lt;&gt;"",UPPER(TRIM(U1069)),IF(CB1069=1,UPPER(VLOOKUP(T1069,Parameter!$I$27:$K$29,2,0)),IF(P1069="","LOSE",P1069)))</f>
        <v>S61</v>
      </c>
      <c r="BZ1069" s="62" t="n">
        <f aca="false">IF(BY1069="LOSE",1,IF(N(V1069)&gt;0,V1069,IF(CB1069=1,MAX(1,N(VLOOKUP(T1069,Parameter!$I$27:$K$29,3,0)),H1069,N(N1069)),IF(N(Q1069)&gt;0,Q1069,MAX(1,H1069)))))</f>
        <v>160</v>
      </c>
      <c r="CA1069" s="65" t="n">
        <f aca="false">IF(BY1069="LOSE",1,0)</f>
        <v>0</v>
      </c>
      <c r="CB1069" s="65" t="n">
        <f aca="false">IF(AND(U1069="",OR(P1069="",P1069="LOSE"),T1069&lt;&gt;"",N(S1069)&lt;=0,ISNUMBER(MATCH(T1069,Parameter!$I$27:$I$29,0))),1,0)</f>
        <v>0</v>
      </c>
      <c r="CC1069" s="65" t="n">
        <f aca="false">IF(CR1069&gt;0,INDEX(Parameter!$H$5:$H$7,W1069)/INDEX(Parameter!$E$5:$E$7,W1069),IF(AND(CA1069=0,N(IFERROR(VLOOKUP(BY1069,'Gebinde-Kategorie'!$A$5:$N$45,14,0),0))&gt;0),VLOOKUP(BY1069,'Gebinde-Kategorie'!$A$5:$N$45,14,0)*10+Parameter!$M$23,Parameter!$M$24))</f>
        <v>145</v>
      </c>
      <c r="CD1069" s="60" t="str">
        <f aca="false">IF(AND(Parameter!$B$19="Ja",E1069&lt;&gt;"",ISNUMBER(MATCH(E1069,Parameter!$I$35:$I$52,0))),VLOOKUP(E1069,Parameter!$I$35:$J$52,2,0),IFERROR(VLOOKUP(D1069,Parameter!$A$35:$C$64,2,0),"Nein"))</f>
        <v>2+3</v>
      </c>
      <c r="CE1069" s="64" t="n">
        <f aca="false">IF(CA1069=0,0,IF(N(S1069)&gt;0,S1069,IFERROR(VLOOKUP(D1069,Parameter!$A$35:$C$64,3,0)+0,0)))</f>
        <v>0</v>
      </c>
      <c r="CF1069" s="60" t="n">
        <f aca="false">IF(AB1069&lt;&gt;"",AB1069,AA1069)</f>
        <v>3</v>
      </c>
      <c r="CG1069" s="60" t="str">
        <f aca="false">IF(OR(CF1069=1,CF1069=2,CF1069=3),IF(Parameter!$E$27="Ja","LIFT",IF(CF1069=1,"L1","L23")),IF(CF1069="Aussen","Aussen","-"))</f>
        <v>LIFT</v>
      </c>
      <c r="CH1069" s="71" t="n">
        <f aca="false">IF(N(AC1069)&gt;0,AC1069,0)</f>
        <v>0</v>
      </c>
      <c r="CI1069" s="65" t="n">
        <f aca="false">IF(ISNUMBER(AF1069),1,0)</f>
        <v>0</v>
      </c>
      <c r="CJ1069" s="62" t="n">
        <f aca="false">N(AF1069)</f>
        <v>0</v>
      </c>
      <c r="CK1069" s="62" t="n">
        <f aca="false">N(M1069)+N(N1069)</f>
        <v>5</v>
      </c>
      <c r="CL1069" s="62" t="n">
        <f aca="false">N(M1069)</f>
        <v>0</v>
      </c>
      <c r="CM1069" s="62" t="n">
        <f aca="false">N(N1069)</f>
        <v>5</v>
      </c>
      <c r="CN1069" s="62" t="n">
        <f aca="false">ROUNDUP(H1069/BZ1069,0)</f>
        <v>2</v>
      </c>
      <c r="CO1069" s="62" t="n">
        <f aca="false">ROUNDUP(CJ1069/BZ1069,0)</f>
        <v>0</v>
      </c>
      <c r="CP1069" s="65" t="n">
        <f aca="false">IF(CA1069=1,0,IFERROR(VLOOKUP(BY1069,'Gebinde-Kategorie'!$A$5:$N$45,5,0)+0,0))</f>
        <v>11</v>
      </c>
      <c r="CQ1069" s="65" t="n">
        <f aca="false">IFERROR(IF(OR(CF1069=1,CF1069=2,CF1069=3),N(INDEX(Parameter!$I$5:$I$7,CF1069)),0),0)</f>
        <v>0</v>
      </c>
      <c r="CR1069" s="64" t="n">
        <f aca="false">IF(AND(Parameter!$B$21="Ja",ISNUMBER(W1069),N(X1069)&gt;0),IFERROR(N(INDEX(Parameter!$L$5:$L$7,W1069))*INDEX(Parameter!$E$5:$E$7,W1069)*X1069/SUMIFS($X$7:$X$1843,$W$7:$W$1843,W1069),0),0)</f>
        <v>0</v>
      </c>
      <c r="CS1069" s="62" t="n">
        <f aca="false">IF(AND(OR(CG1069="L1",CG1069="L23",CG1069="LIFT"),H1069&gt;0),CC1069*IF(CR1069&gt;0,CR1069*MAX(1,H1069/X1069),IF(CA1069=1,CE1069,IF(R1069&gt;0,CN1069/R1069,0))/MAX(0.1,N(Parameter!$M$21))),"")</f>
        <v>24.1666666666667</v>
      </c>
      <c r="CT1069" s="64" t="n">
        <f aca="false">IF(CS1069="","",J1069/H1069)</f>
        <v>0.0186335403726708</v>
      </c>
      <c r="CU1069" s="62" t="n">
        <f aca="false">IF(CS1069="","",H1069*G1069)</f>
        <v>1915.9</v>
      </c>
      <c r="CV1069" s="63" t="n">
        <f aca="false">IF(CS1069="","",(CL1069+ROUNDUP(CL1069+MAX(CM1069,2*(J1069/MAX(0.1,N(Einkauf!$C$6))-CL1069)),0))/2)</f>
        <v>2.5</v>
      </c>
      <c r="CW1069" s="62" t="n">
        <f aca="false">IF(CS1069="","",MAX(0,H1069-CV1069)*G1069)</f>
        <v>1886.15</v>
      </c>
      <c r="CX1069" s="62" t="n">
        <f aca="false">IF(CS1069="","",CS1069*MAX(0,1-CV1069/H1069))</f>
        <v>23.7914078674948</v>
      </c>
      <c r="CY1069" s="64" t="n">
        <f aca="false">IF(CS1069="","",PERCENTRANK($CS$7:$CS$1843,CS1069)+PERCENTRANK($CU$7:$CU$1843,CU1069)+1-PERCENTRANK($CT$7:$CT$1843,CT1069))</f>
        <v>2.199</v>
      </c>
      <c r="CZ1069" s="72" t="n">
        <f aca="false">IF(CS1069="","",CHOOSE(MATCH(Einkauf!$C$5,Parameter!$G$23:$G$27,0),CY1069,CS1069,CU1069,-CT1069,CW1069)+ROW()/1000000000)</f>
        <v>2.199001069</v>
      </c>
    </row>
    <row r="1070" customFormat="false" ht="15" hidden="false" customHeight="false" outlineLevel="0" collapsed="false">
      <c r="A1070" s="60" t="s">
        <v>1996</v>
      </c>
      <c r="B1070" s="60" t="s">
        <v>1997</v>
      </c>
      <c r="C1070" s="60" t="s">
        <v>206</v>
      </c>
      <c r="D1070" s="60" t="s">
        <v>226</v>
      </c>
      <c r="E1070" s="60" t="s">
        <v>227</v>
      </c>
      <c r="F1070" s="60" t="s">
        <v>260</v>
      </c>
      <c r="G1070" s="61" t="n">
        <v>33.39</v>
      </c>
      <c r="H1070" s="62" t="n">
        <f aca="false">MAX(0,IF(AND(Parameter!$B$21="Ja",ISNUMBER(Y1070)),Y1070,IF(Parameter!$B$20="Jahresanfang 2025 + Export",BS1070+BR1070,BR1070)))</f>
        <v>33</v>
      </c>
      <c r="I1070" s="62" t="n">
        <f aca="false">H1070*G1070</f>
        <v>1101.87</v>
      </c>
      <c r="J1070" s="62" t="n">
        <f aca="false">BU1070*Parameter!$B$18</f>
        <v>0.25</v>
      </c>
      <c r="K1070" s="63" t="n">
        <v>37.875</v>
      </c>
      <c r="L1070" s="64" t="n">
        <v>0.0066006600660066</v>
      </c>
      <c r="M1070" s="62" t="n">
        <v>0</v>
      </c>
      <c r="N1070" s="62" t="n">
        <v>1</v>
      </c>
      <c r="O1070" s="65" t="n">
        <v>14</v>
      </c>
      <c r="P1070" s="60" t="s">
        <v>370</v>
      </c>
      <c r="Q1070" s="62" t="n">
        <v>40</v>
      </c>
      <c r="R1070" s="65" t="n">
        <f aca="false">IF(CA1070=1,0,IFERROR(VLOOKUP(BY1070,'Gebinde-Kategorie'!$A$5:$N$45,13,0)+0,0))</f>
        <v>52</v>
      </c>
      <c r="S1070" s="66"/>
      <c r="T1070" s="67"/>
      <c r="U1070" s="67"/>
      <c r="V1070" s="67"/>
      <c r="W1070" s="60"/>
      <c r="X1070" s="62"/>
      <c r="Y1070" s="62"/>
      <c r="Z1070" s="60" t="n">
        <v>1</v>
      </c>
      <c r="AA1070" s="60" t="n">
        <f aca="false">IF(A1070="","",IF(AND(Parameter!$B$21="Ja",ISNUMBER(W1070)),W1070,IF(AND(Parameter!$E$27="Ja",ISNUMBER(Z1070),CD1070&lt;&gt;"Nein"),Z1070,IF(CD1070="2+3",IF(ISNUMBER(SEARCH("grosser Artikel",BV1070)),2,IFERROR(VLOOKUP(BY1070,Parameter!$F$35:$G$64,2,0),2)),IF(OR(CD1070="Nein",CD1070=""),"-",CD1070)))))</f>
        <v>1</v>
      </c>
      <c r="AB1070" s="67"/>
      <c r="AC1070" s="68"/>
      <c r="AD1070" s="62" t="n">
        <f aca="false">AW1070</f>
        <v>1</v>
      </c>
      <c r="AE1070" s="62" t="n">
        <f aca="false">MAX(AW1070,H1070)</f>
        <v>33</v>
      </c>
      <c r="AF1070" s="69"/>
      <c r="AG1070" s="62" t="n">
        <f aca="false">IF(LEFT(Cockpit!$C$5,1)="A",H1070,IF(Parameter!$E$30="MAX-Bestand",IF(CI1070=1,CJ1070,IF(LEFT(Cockpit!$C$5,1)="B",AM1070,MAX(AM1070,H1070))),ROUNDUP(AK1070,0)))</f>
        <v>33</v>
      </c>
      <c r="AH1070" s="62" t="n">
        <f aca="false">IF(CA1070=1,0,ROUNDUP(AG1070/BZ1070,0))</f>
        <v>1</v>
      </c>
      <c r="AI1070" s="64" t="n">
        <f aca="false">IF(CR1070&gt;0,CR1070*MAX(1,AG1070/X1070),IF(CA1070=1,IF(AG1070&lt;=0,0,CE1070*MAX(1,IF(H1070&gt;0,AG1070/H1070,1))),IF(R1070&gt;0,AH1070/R1070,0))/MAX(0.1,N(Parameter!$M$21)))</f>
        <v>0.0192307692307692</v>
      </c>
      <c r="AJ1070" s="62" t="n">
        <f aca="false">AI1070*CC1070</f>
        <v>2.98076923076923</v>
      </c>
      <c r="AK1070" s="63" t="n">
        <f aca="false">IF(LEFT(Cockpit!$C$5,1)="A",H1070,IF(CI1070=1,(CL1070+CJ1070)/2,IF(LEFT(Cockpit!$C$5,1)="B",(CL1070+AM1070)/2,MAX((CL1070+AM1070)/2,H1070))))</f>
        <v>33</v>
      </c>
      <c r="AL1070" s="62" t="n">
        <f aca="false">AK1070*G1070</f>
        <v>1101.87</v>
      </c>
      <c r="AM1070" s="62" t="n">
        <f aca="false">ROUNDUP(CL1070+MAX(CM1070,2*(J1070/IF(CH1070&gt;0,CH1070,MAX(0.1,N(Cockpit!$C$6)))-CL1070)),0)</f>
        <v>1</v>
      </c>
      <c r="AN1070" s="63" t="n">
        <f aca="false">IF(AJ1070&gt;0,J1070/AJ1070,-1)</f>
        <v>0.0838709677419355</v>
      </c>
      <c r="AO1070" s="63" t="n">
        <f aca="false">IF(AND(OR(CG1070="L1",CG1070="L23",CG1070="LIFT"),AJ1070&gt;0),SUMIFS($AJ$7:$AJ$1843,$CG$7:$CG$1843,CG1070,$AN$7:$AN$1843,"&gt;"&amp;AN1070)+SUMIFS($AJ$7:$AJ$1843,$CG$7:$CG$1843,CG1070,$AN$7:$AN$1843,AN1070,$BX$7:$BX$1843,"&lt;="&amp;BX1070),"")</f>
        <v>16665.2740656236</v>
      </c>
      <c r="AP1070" s="70" t="n">
        <f aca="false">IF(AO1070="",0,MAX(0,MIN(1,(IF(CG1070="L1",Parameter!$H$5,IF(CG1070="L23",Parameter!$H$6+Parameter!$H$7,Parameter!$H$5+Parameter!$H$6+Parameter!$H$7))-(AO1070-AJ1070))/AJ1070)))</f>
        <v>1</v>
      </c>
      <c r="AQ1070" s="62" t="n">
        <f aca="false">IF(LEFT(Cockpit!$I$5,1)="A",H1070,IF(Parameter!$E$30="MAX-Bestand",IF(CI1070=1,CJ1070,IF(LEFT(Cockpit!$I$5,1)="B",AW1070,MAX(AW1070,H1070))),ROUNDUP(AU1070,0)))</f>
        <v>33</v>
      </c>
      <c r="AR1070" s="62" t="n">
        <f aca="false">IF(CA1070=1,0,ROUNDUP(AQ1070/BZ1070,0))</f>
        <v>1</v>
      </c>
      <c r="AS1070" s="64" t="n">
        <f aca="false">IF(CR1070&gt;0,CR1070*MAX(1,AQ1070/X1070),IF(CA1070=1,IF(AQ1070&lt;=0,0,CE1070*MAX(1,IF(H1070&gt;0,AQ1070/H1070,1))),IF(R1070&gt;0,AR1070/R1070,0))/MAX(0.1,N(Parameter!$M$21)))</f>
        <v>0.0192307692307692</v>
      </c>
      <c r="AT1070" s="62" t="n">
        <f aca="false">AS1070*CC1070</f>
        <v>2.98076923076923</v>
      </c>
      <c r="AU1070" s="63" t="n">
        <f aca="false">IF(LEFT(Cockpit!$I$5,1)="A",H1070,IF(CI1070=1,(CL1070+CJ1070)/2,IF(LEFT(Cockpit!$I$5,1)="B",(CL1070+AW1070)/2,MAX((CL1070+AW1070)/2,H1070))))</f>
        <v>33</v>
      </c>
      <c r="AV1070" s="62" t="n">
        <f aca="false">AU1070*G1070</f>
        <v>1101.87</v>
      </c>
      <c r="AW1070" s="62" t="n">
        <f aca="false">ROUNDUP(CL1070+MAX(CM1070,2*(J1070/IF(CH1070&gt;0,CH1070,MAX(0.1,N(Cockpit!$I$6)))-CL1070)),0)</f>
        <v>1</v>
      </c>
      <c r="AX1070" s="63" t="n">
        <f aca="false">IF(AT1070&gt;0,J1070/AT1070,-1)</f>
        <v>0.0838709677419355</v>
      </c>
      <c r="AY1070" s="63" t="n">
        <f aca="false">IF(AND(OR(CG1070="L1",CG1070="L23",CG1070="LIFT"),AT1070&gt;0),SUMIFS($AT$7:$AT$1843,$CG$7:$CG$1843,CG1070,$AX$7:$AX$1843,"&gt;"&amp;AX1070)+SUMIFS($AT$7:$AT$1843,$CG$7:$CG$1843,CG1070,$AX$7:$AX$1843,AX1070,$BX$7:$BX$1843,"&lt;="&amp;BX1070),"")</f>
        <v>21688.4227070011</v>
      </c>
      <c r="AZ1070" s="70" t="n">
        <f aca="false">IF(AY1070="",0,MAX(0,MIN(1,(IF(CG1070="L1",Parameter!$H$5,IF(CG1070="L23",Parameter!$H$6+Parameter!$H$7,Parameter!$H$5+Parameter!$H$6+Parameter!$H$7))-(AY1070-AT1070))/AT1070)))</f>
        <v>1</v>
      </c>
      <c r="BA1070" s="62" t="n">
        <f aca="false">IF(LEFT(Cockpit!$O$5,1)="A",H1070,IF(Parameter!$E$30="MAX-Bestand",IF(CI1070=1,CJ1070,IF(LEFT(Cockpit!$O$5,1)="B",BG1070,MAX(BG1070,H1070))),ROUNDUP(BE1070,0)))</f>
        <v>1</v>
      </c>
      <c r="BB1070" s="62" t="n">
        <f aca="false">IF(CA1070=1,0,ROUNDUP(BA1070/BZ1070,0))</f>
        <v>1</v>
      </c>
      <c r="BC1070" s="64" t="n">
        <f aca="false">IF(CR1070&gt;0,CR1070*MAX(1,BA1070/X1070),IF(CA1070=1,IF(BA1070&lt;=0,0,CE1070*MAX(1,IF(H1070&gt;0,BA1070/H1070,1))),IF(R1070&gt;0,BB1070/R1070,0))/MAX(0.1,N(Parameter!$M$21)))</f>
        <v>0.0192307692307692</v>
      </c>
      <c r="BD1070" s="62" t="n">
        <f aca="false">BC1070*CC1070</f>
        <v>2.98076923076923</v>
      </c>
      <c r="BE1070" s="63" t="n">
        <f aca="false">IF(LEFT(Cockpit!$O$5,1)="A",H1070,IF(CI1070=1,(CL1070+CJ1070)/2,IF(LEFT(Cockpit!$O$5,1)="B",(CL1070+BG1070)/2,MAX((CL1070+BG1070)/2,H1070))))</f>
        <v>0.5</v>
      </c>
      <c r="BF1070" s="62" t="n">
        <f aca="false">BE1070*G1070</f>
        <v>16.695</v>
      </c>
      <c r="BG1070" s="62" t="n">
        <f aca="false">ROUNDUP(CL1070+MAX(CM1070,2*(J1070/IF(CH1070&gt;0,CH1070,MAX(0.1,N(Cockpit!$O$6)))-CL1070)),0)</f>
        <v>1</v>
      </c>
      <c r="BH1070" s="63" t="n">
        <f aca="false">IF(BD1070&gt;0,J1070/BD1070,-1)</f>
        <v>0.0838709677419355</v>
      </c>
      <c r="BI1070" s="63" t="n">
        <f aca="false">IF(AND(OR(CG1070="L1",CG1070="L23",CG1070="LIFT"),BD1070&gt;0),SUMIFS($BD$7:$BD$1843,$CG$7:$CG$1843,CG1070,$BH$7:$BH$1843,"&gt;"&amp;BH1070)+SUMIFS($BD$7:$BD$1843,$CG$7:$CG$1843,CG1070,$BH$7:$BH$1843,BH1070,$BX$7:$BX$1843,"&lt;="&amp;BX1070),"")</f>
        <v>18226.4789092734</v>
      </c>
      <c r="BJ1070" s="70" t="n">
        <f aca="false">IF(BI1070="",0,MAX(0,MIN(1,(IF(CG1070="L1",Parameter!$H$5,IF(CG1070="L23",Parameter!$H$6+Parameter!$H$7,Parameter!$H$5+Parameter!$H$6+Parameter!$H$7))-(BI1070-BD1070))/BD1070)))</f>
        <v>1</v>
      </c>
      <c r="BK1070" s="60" t="str">
        <f aca="false">IF(AJ1070&lt;=0,"",IF(CG1070="Aussen","Aussenlager",IF(CG1070="-","Nicht im Lift",IF(AP1070&gt;=1,"Lift",IF(AP1070&lt;=0,"Aussenlager","teilweise")))))</f>
        <v>Lift</v>
      </c>
      <c r="BL1070" s="60" t="str">
        <f aca="false">IF(AT1070&lt;=0,"",IF(CG1070="Aussen","Aussenlager",IF(CG1070="-","Nicht im Lift",IF(AZ1070&gt;=1,"Lift",IF(AZ1070&lt;=0,"Aussenlager","teilweise")))))</f>
        <v>Lift</v>
      </c>
      <c r="BM1070" s="60" t="str">
        <f aca="false">IF(BD1070&lt;=0,"",IF(CG1070="Aussen","Aussenlager",IF(CG1070="-","Nicht im Lift",IF(BJ1070&gt;=1,"Lift",IF(BJ1070&lt;=0,"Aussenlager","teilweise")))))</f>
        <v>Lift</v>
      </c>
      <c r="BN1070" s="60" t="str">
        <f aca="false">IF(A1070="","",IF(BW1070=1,"Neu; ","")&amp;IF(AND(BW1070=0,BR1070&lt;0),"negativer Bestand (Export "&amp;BR1070&amp;"); ","")&amp;IF(J1070&lt;=0,"Kein Verbrauch; ","")&amp;IF(CR1070&gt;0,"Lift "&amp;W1070&amp;" lt. Liftbericht (Fach "&amp;X1070&amp;" Stk); ",IF(CB1070=1,"Gebinde geschätzt ("&amp;T1070&amp;"); ",IF(CA1070=1,"Lose – Tablare geschätzt; ","")))&amp;IF(H1070&gt;AW1070,"Überbestand "&amp;ROUND(H1070-AW1070,0)&amp;" Stk / CHF "&amp;ROUND((H1070-AW1070)*G1070,0)&amp;"; ","")&amp;IF(AND(CI1070=1,CJ1070&lt;CK1070),"MAX &lt; MB+LG; ","")&amp;IF(AND(CQ1070&gt;0,CP1070*10&gt;CQ1070),"zu hoch für Tablar; ","")&amp;IF(AND(BW1070=0,OR(CI1070=1,AB1070&lt;&gt;"",U1070&lt;&gt;"",V1070&lt;&gt;"",AC1070&lt;&gt;"")),"manuell übersteuert; ","")&amp;IF(AND(CA1070=0,R1070=0),"Gebinde unbekannt / Stellmass fehlt; ","")&amp;IF(AND(CA1070=0,N(V1070)&lt;=0,N(Q1070)&lt;=0),"Menge pro Gebinde fehlt (Ist = 1 Gebinde); ","")&amp;BV1070)</f>
        <v>negativer Bestand (Export -5); Überbestand 32 Stk / CHF 1068; Verb.Lager</v>
      </c>
      <c r="BO1070" s="60"/>
      <c r="BP1070" s="60"/>
      <c r="BQ1070" s="67"/>
      <c r="BR1070" s="62" t="n">
        <v>-5</v>
      </c>
      <c r="BS1070" s="62" t="n">
        <v>38</v>
      </c>
      <c r="BT1070" s="61" t="n">
        <v>-166.95</v>
      </c>
      <c r="BU1070" s="62" t="n">
        <v>0.25</v>
      </c>
      <c r="BV1070" s="60" t="s">
        <v>1072</v>
      </c>
      <c r="BW1070" s="65" t="n">
        <v>0</v>
      </c>
      <c r="BX1070" s="65" t="n">
        <v>1070</v>
      </c>
      <c r="BY1070" s="60" t="str">
        <f aca="false">IF(U1070&lt;&gt;"",UPPER(TRIM(U1070)),IF(CB1070=1,UPPER(VLOOKUP(T1070,Parameter!$I$27:$K$29,2,0)),IF(P1070="","LOSE",P1070)))</f>
        <v>S41</v>
      </c>
      <c r="BZ1070" s="62" t="n">
        <f aca="false">IF(BY1070="LOSE",1,IF(N(V1070)&gt;0,V1070,IF(CB1070=1,MAX(1,N(VLOOKUP(T1070,Parameter!$I$27:$K$29,3,0)),H1070,N(N1070)),IF(N(Q1070)&gt;0,Q1070,MAX(1,H1070)))))</f>
        <v>40</v>
      </c>
      <c r="CA1070" s="65" t="n">
        <f aca="false">IF(BY1070="LOSE",1,0)</f>
        <v>0</v>
      </c>
      <c r="CB1070" s="65" t="n">
        <f aca="false">IF(AND(U1070="",OR(P1070="",P1070="LOSE"),T1070&lt;&gt;"",N(S1070)&lt;=0,ISNUMBER(MATCH(T1070,Parameter!$I$27:$I$29,0))),1,0)</f>
        <v>0</v>
      </c>
      <c r="CC1070" s="65" t="n">
        <f aca="false">IF(CR1070&gt;0,INDEX(Parameter!$H$5:$H$7,W1070)/INDEX(Parameter!$E$5:$E$7,W1070),IF(AND(CA1070=0,N(IFERROR(VLOOKUP(BY1070,'Gebinde-Kategorie'!$A$5:$N$45,14,0),0))&gt;0),VLOOKUP(BY1070,'Gebinde-Kategorie'!$A$5:$N$45,14,0)*10+Parameter!$M$23,Parameter!$M$24))</f>
        <v>155</v>
      </c>
      <c r="CD1070" s="60" t="str">
        <f aca="false">IF(AND(Parameter!$B$19="Ja",E1070&lt;&gt;"",ISNUMBER(MATCH(E1070,Parameter!$I$35:$I$52,0))),VLOOKUP(E1070,Parameter!$I$35:$J$52,2,0),IFERROR(VLOOKUP(D1070,Parameter!$A$35:$C$64,2,0),"Nein"))</f>
        <v>2+3</v>
      </c>
      <c r="CE1070" s="64" t="n">
        <f aca="false">IF(CA1070=0,0,IF(N(S1070)&gt;0,S1070,IFERROR(VLOOKUP(D1070,Parameter!$A$35:$C$64,3,0)+0,0)))</f>
        <v>0</v>
      </c>
      <c r="CF1070" s="60" t="n">
        <f aca="false">IF(AB1070&lt;&gt;"",AB1070,AA1070)</f>
        <v>1</v>
      </c>
      <c r="CG1070" s="60" t="str">
        <f aca="false">IF(OR(CF1070=1,CF1070=2,CF1070=3),IF(Parameter!$E$27="Ja","LIFT",IF(CF1070=1,"L1","L23")),IF(CF1070="Aussen","Aussen","-"))</f>
        <v>LIFT</v>
      </c>
      <c r="CH1070" s="71" t="n">
        <f aca="false">IF(N(AC1070)&gt;0,AC1070,0)</f>
        <v>0</v>
      </c>
      <c r="CI1070" s="65" t="n">
        <f aca="false">IF(ISNUMBER(AF1070),1,0)</f>
        <v>0</v>
      </c>
      <c r="CJ1070" s="62" t="n">
        <f aca="false">N(AF1070)</f>
        <v>0</v>
      </c>
      <c r="CK1070" s="62" t="n">
        <f aca="false">N(M1070)+N(N1070)</f>
        <v>1</v>
      </c>
      <c r="CL1070" s="62" t="n">
        <f aca="false">N(M1070)</f>
        <v>0</v>
      </c>
      <c r="CM1070" s="62" t="n">
        <f aca="false">N(N1070)</f>
        <v>1</v>
      </c>
      <c r="CN1070" s="62" t="n">
        <f aca="false">ROUNDUP(H1070/BZ1070,0)</f>
        <v>1</v>
      </c>
      <c r="CO1070" s="62" t="n">
        <f aca="false">ROUNDUP(CJ1070/BZ1070,0)</f>
        <v>0</v>
      </c>
      <c r="CP1070" s="65" t="n">
        <f aca="false">IF(CA1070=1,0,IFERROR(VLOOKUP(BY1070,'Gebinde-Kategorie'!$A$5:$N$45,5,0)+0,0))</f>
        <v>11</v>
      </c>
      <c r="CQ1070" s="65" t="n">
        <f aca="false">IFERROR(IF(OR(CF1070=1,CF1070=2,CF1070=3),N(INDEX(Parameter!$I$5:$I$7,CF1070)),0),0)</f>
        <v>0</v>
      </c>
      <c r="CR1070" s="64" t="n">
        <f aca="false">IF(AND(Parameter!$B$21="Ja",ISNUMBER(W1070),N(X1070)&gt;0),IFERROR(N(INDEX(Parameter!$L$5:$L$7,W1070))*INDEX(Parameter!$E$5:$E$7,W1070)*X1070/SUMIFS($X$7:$X$1843,$W$7:$W$1843,W1070),0),0)</f>
        <v>0</v>
      </c>
      <c r="CS1070" s="62" t="n">
        <f aca="false">IF(AND(OR(CG1070="L1",CG1070="L23",CG1070="LIFT"),H1070&gt;0),CC1070*IF(CR1070&gt;0,CR1070*MAX(1,H1070/X1070),IF(CA1070=1,CE1070,IF(R1070&gt;0,CN1070/R1070,0))/MAX(0.1,N(Parameter!$M$21))),"")</f>
        <v>2.98076923076923</v>
      </c>
      <c r="CT1070" s="64" t="n">
        <f aca="false">IF(CS1070="","",J1070/H1070)</f>
        <v>0.00757575757575758</v>
      </c>
      <c r="CU1070" s="62" t="n">
        <f aca="false">IF(CS1070="","",H1070*G1070)</f>
        <v>1101.87</v>
      </c>
      <c r="CV1070" s="63" t="n">
        <f aca="false">IF(CS1070="","",(CL1070+ROUNDUP(CL1070+MAX(CM1070,2*(J1070/MAX(0.1,N(Einkauf!$C$6))-CL1070)),0))/2)</f>
        <v>0.5</v>
      </c>
      <c r="CW1070" s="62" t="n">
        <f aca="false">IF(CS1070="","",MAX(0,H1070-CV1070)*G1070)</f>
        <v>1085.175</v>
      </c>
      <c r="CX1070" s="62" t="n">
        <f aca="false">IF(CS1070="","",CS1070*MAX(0,1-CV1070/H1070))</f>
        <v>2.93560606060606</v>
      </c>
      <c r="CY1070" s="64" t="n">
        <f aca="false">IF(CS1070="","",PERCENTRANK($CS$7:$CS$1843,CS1070)+PERCENTRANK($CU$7:$CU$1843,CU1070)+1-PERCENTRANK($CT$7:$CT$1843,CT1070))</f>
        <v>1.508</v>
      </c>
      <c r="CZ1070" s="72" t="n">
        <f aca="false">IF(CS1070="","",CHOOSE(MATCH(Einkauf!$C$5,Parameter!$G$23:$G$27,0),CY1070,CS1070,CU1070,-CT1070,CW1070)+ROW()/1000000000)</f>
        <v>1.50800107</v>
      </c>
    </row>
    <row r="1071" customFormat="false" ht="15" hidden="false" customHeight="false" outlineLevel="0" collapsed="false">
      <c r="A1071" s="60" t="s">
        <v>1998</v>
      </c>
      <c r="B1071" s="60" t="s">
        <v>1999</v>
      </c>
      <c r="C1071" s="60" t="s">
        <v>206</v>
      </c>
      <c r="D1071" s="60" t="s">
        <v>215</v>
      </c>
      <c r="E1071" s="60" t="s">
        <v>227</v>
      </c>
      <c r="F1071" s="60" t="s">
        <v>260</v>
      </c>
      <c r="G1071" s="61" t="n">
        <v>14.64</v>
      </c>
      <c r="H1071" s="62" t="n">
        <f aca="false">MAX(0,IF(AND(Parameter!$B$21="Ja",ISNUMBER(Y1071)),Y1071,IF(Parameter!$B$20="Jahresanfang 2025 + Export",BS1071+BR1071,BR1071)))</f>
        <v>18</v>
      </c>
      <c r="I1071" s="62" t="n">
        <f aca="false">H1071*G1071</f>
        <v>263.52</v>
      </c>
      <c r="J1071" s="62" t="n">
        <f aca="false">BU1071*Parameter!$B$18</f>
        <v>98</v>
      </c>
      <c r="K1071" s="63" t="n">
        <v>28.5</v>
      </c>
      <c r="L1071" s="64" t="n">
        <v>3.43859649122807</v>
      </c>
      <c r="M1071" s="62" t="n">
        <v>5</v>
      </c>
      <c r="N1071" s="62" t="n">
        <v>25</v>
      </c>
      <c r="O1071" s="65" t="n">
        <v>21</v>
      </c>
      <c r="P1071" s="60" t="s">
        <v>210</v>
      </c>
      <c r="Q1071" s="62"/>
      <c r="R1071" s="65" t="n">
        <f aca="false">IF(CA1071=1,0,IFERROR(VLOOKUP(BY1071,'Gebinde-Kategorie'!$A$5:$N$45,13,0)+0,0))</f>
        <v>12</v>
      </c>
      <c r="S1071" s="66"/>
      <c r="T1071" s="67" t="s">
        <v>221</v>
      </c>
      <c r="U1071" s="67"/>
      <c r="V1071" s="67"/>
      <c r="W1071" s="60"/>
      <c r="X1071" s="62"/>
      <c r="Y1071" s="62"/>
      <c r="Z1071" s="60" t="n">
        <v>3</v>
      </c>
      <c r="AA1071" s="60" t="n">
        <f aca="false">IF(A1071="","",IF(AND(Parameter!$B$21="Ja",ISNUMBER(W1071)),W1071,IF(AND(Parameter!$E$27="Ja",ISNUMBER(Z1071),CD1071&lt;&gt;"Nein"),Z1071,IF(CD1071="2+3",IF(ISNUMBER(SEARCH("grosser Artikel",BV1071)),2,IFERROR(VLOOKUP(BY1071,Parameter!$F$35:$G$64,2,0),2)),IF(OR(CD1071="Nein",CD1071=""),"-",CD1071)))))</f>
        <v>3</v>
      </c>
      <c r="AB1071" s="67"/>
      <c r="AC1071" s="68"/>
      <c r="AD1071" s="62" t="n">
        <f aca="false">AW1071</f>
        <v>61</v>
      </c>
      <c r="AE1071" s="62" t="n">
        <f aca="false">MAX(AW1071,H1071)</f>
        <v>61</v>
      </c>
      <c r="AF1071" s="69"/>
      <c r="AG1071" s="62" t="n">
        <f aca="false">IF(LEFT(Cockpit!$C$5,1)="A",H1071,IF(Parameter!$E$30="MAX-Bestand",IF(CI1071=1,CJ1071,IF(LEFT(Cockpit!$C$5,1)="B",AM1071,MAX(AM1071,H1071))),ROUNDUP(AK1071,0)))</f>
        <v>18</v>
      </c>
      <c r="AH1071" s="62" t="n">
        <f aca="false">IF(CA1071=1,0,ROUNDUP(AG1071/BZ1071,0))</f>
        <v>1</v>
      </c>
      <c r="AI1071" s="64" t="n">
        <f aca="false">IF(CR1071&gt;0,CR1071*MAX(1,AG1071/X1071),IF(CA1071=1,IF(AG1071&lt;=0,0,CE1071*MAX(1,IF(H1071&gt;0,AG1071/H1071,1))),IF(R1071&gt;0,AH1071/R1071,0))/MAX(0.1,N(Parameter!$M$21)))</f>
        <v>0.0833333333333333</v>
      </c>
      <c r="AJ1071" s="62" t="n">
        <f aca="false">AI1071*CC1071</f>
        <v>12.0833333333333</v>
      </c>
      <c r="AK1071" s="63" t="n">
        <f aca="false">IF(LEFT(Cockpit!$C$5,1)="A",H1071,IF(CI1071=1,(CL1071+CJ1071)/2,IF(LEFT(Cockpit!$C$5,1)="B",(CL1071+AM1071)/2,MAX((CL1071+AM1071)/2,H1071))))</f>
        <v>18</v>
      </c>
      <c r="AL1071" s="62" t="n">
        <f aca="false">AK1071*G1071</f>
        <v>263.52</v>
      </c>
      <c r="AM1071" s="62" t="n">
        <f aca="false">ROUNDUP(CL1071+MAX(CM1071,2*(J1071/IF(CH1071&gt;0,CH1071,MAX(0.1,N(Cockpit!$C$6)))-CL1071)),0)</f>
        <v>61</v>
      </c>
      <c r="AN1071" s="63" t="n">
        <f aca="false">IF(AJ1071&gt;0,J1071/AJ1071,-1)</f>
        <v>8.11034482758621</v>
      </c>
      <c r="AO1071" s="63" t="n">
        <f aca="false">IF(AND(OR(CG1071="L1",CG1071="L23",CG1071="LIFT"),AJ1071&gt;0),SUMIFS($AJ$7:$AJ$1843,$CG$7:$CG$1843,CG1071,$AN$7:$AN$1843,"&gt;"&amp;AN1071)+SUMIFS($AJ$7:$AJ$1843,$CG$7:$CG$1843,CG1071,$AN$7:$AN$1843,AN1071,$BX$7:$BX$1843,"&lt;="&amp;BX1071),"")</f>
        <v>3031.71794871795</v>
      </c>
      <c r="AP1071" s="70" t="n">
        <f aca="false">IF(AO1071="",0,MAX(0,MIN(1,(IF(CG1071="L1",Parameter!$H$5,IF(CG1071="L23",Parameter!$H$6+Parameter!$H$7,Parameter!$H$5+Parameter!$H$6+Parameter!$H$7))-(AO1071-AJ1071))/AJ1071)))</f>
        <v>1</v>
      </c>
      <c r="AQ1071" s="62" t="n">
        <f aca="false">IF(LEFT(Cockpit!$I$5,1)="A",H1071,IF(Parameter!$E$30="MAX-Bestand",IF(CI1071=1,CJ1071,IF(LEFT(Cockpit!$I$5,1)="B",AW1071,MAX(AW1071,H1071))),ROUNDUP(AU1071,0)))</f>
        <v>33</v>
      </c>
      <c r="AR1071" s="62" t="n">
        <f aca="false">IF(CA1071=1,0,ROUNDUP(AQ1071/BZ1071,0))</f>
        <v>2</v>
      </c>
      <c r="AS1071" s="64" t="n">
        <f aca="false">IF(CR1071&gt;0,CR1071*MAX(1,AQ1071/X1071),IF(CA1071=1,IF(AQ1071&lt;=0,0,CE1071*MAX(1,IF(H1071&gt;0,AQ1071/H1071,1))),IF(R1071&gt;0,AR1071/R1071,0))/MAX(0.1,N(Parameter!$M$21)))</f>
        <v>0.166666666666667</v>
      </c>
      <c r="AT1071" s="62" t="n">
        <f aca="false">AS1071*CC1071</f>
        <v>24.1666666666667</v>
      </c>
      <c r="AU1071" s="63" t="n">
        <f aca="false">IF(LEFT(Cockpit!$I$5,1)="A",H1071,IF(CI1071=1,(CL1071+CJ1071)/2,IF(LEFT(Cockpit!$I$5,1)="B",(CL1071+AW1071)/2,MAX((CL1071+AW1071)/2,H1071))))</f>
        <v>33</v>
      </c>
      <c r="AV1071" s="62" t="n">
        <f aca="false">AU1071*G1071</f>
        <v>483.12</v>
      </c>
      <c r="AW1071" s="62" t="n">
        <f aca="false">ROUNDUP(CL1071+MAX(CM1071,2*(J1071/IF(CH1071&gt;0,CH1071,MAX(0.1,N(Cockpit!$I$6)))-CL1071)),0)</f>
        <v>61</v>
      </c>
      <c r="AX1071" s="63" t="n">
        <f aca="false">IF(AT1071&gt;0,J1071/AT1071,-1)</f>
        <v>4.0551724137931</v>
      </c>
      <c r="AY1071" s="63" t="n">
        <f aca="false">IF(AND(OR(CG1071="L1",CG1071="L23",CG1071="LIFT"),AT1071&gt;0),SUMIFS($AT$7:$AT$1843,$CG$7:$CG$1843,CG1071,$AX$7:$AX$1843,"&gt;"&amp;AX1071)+SUMIFS($AT$7:$AT$1843,$CG$7:$CG$1843,CG1071,$AX$7:$AX$1843,AX1071,$BX$7:$BX$1843,"&lt;="&amp;BX1071),"")</f>
        <v>4908.07097069597</v>
      </c>
      <c r="AZ1071" s="70" t="n">
        <f aca="false">IF(AY1071="",0,MAX(0,MIN(1,(IF(CG1071="L1",Parameter!$H$5,IF(CG1071="L23",Parameter!$H$6+Parameter!$H$7,Parameter!$H$5+Parameter!$H$6+Parameter!$H$7))-(AY1071-AT1071))/AT1071)))</f>
        <v>1</v>
      </c>
      <c r="BA1071" s="62" t="n">
        <f aca="false">IF(LEFT(Cockpit!$O$5,1)="A",H1071,IF(Parameter!$E$30="MAX-Bestand",IF(CI1071=1,CJ1071,IF(LEFT(Cockpit!$O$5,1)="B",BG1071,MAX(BG1071,H1071))),ROUNDUP(BE1071,0)))</f>
        <v>25</v>
      </c>
      <c r="BB1071" s="62" t="n">
        <f aca="false">IF(CA1071=1,0,ROUNDUP(BA1071/BZ1071,0))</f>
        <v>1</v>
      </c>
      <c r="BC1071" s="64" t="n">
        <f aca="false">IF(CR1071&gt;0,CR1071*MAX(1,BA1071/X1071),IF(CA1071=1,IF(BA1071&lt;=0,0,CE1071*MAX(1,IF(H1071&gt;0,BA1071/H1071,1))),IF(R1071&gt;0,BB1071/R1071,0))/MAX(0.1,N(Parameter!$M$21)))</f>
        <v>0.0833333333333333</v>
      </c>
      <c r="BD1071" s="62" t="n">
        <f aca="false">BC1071*CC1071</f>
        <v>12.0833333333333</v>
      </c>
      <c r="BE1071" s="63" t="n">
        <f aca="false">IF(LEFT(Cockpit!$O$5,1)="A",H1071,IF(CI1071=1,(CL1071+CJ1071)/2,IF(LEFT(Cockpit!$O$5,1)="B",(CL1071+BG1071)/2,MAX((CL1071+BG1071)/2,H1071))))</f>
        <v>24.5</v>
      </c>
      <c r="BF1071" s="62" t="n">
        <f aca="false">BE1071*G1071</f>
        <v>358.68</v>
      </c>
      <c r="BG1071" s="62" t="n">
        <f aca="false">ROUNDUP(CL1071+MAX(CM1071,2*(J1071/IF(CH1071&gt;0,CH1071,MAX(0.1,N(Cockpit!$O$6)))-CL1071)),0)</f>
        <v>44</v>
      </c>
      <c r="BH1071" s="63" t="n">
        <f aca="false">IF(BD1071&gt;0,J1071/BD1071,-1)</f>
        <v>8.11034482758621</v>
      </c>
      <c r="BI1071" s="63" t="n">
        <f aca="false">IF(AND(OR(CG1071="L1",CG1071="L23",CG1071="LIFT"),BD1071&gt;0),SUMIFS($BD$7:$BD$1843,$CG$7:$CG$1843,CG1071,$BH$7:$BH$1843,"&gt;"&amp;BH1071)+SUMIFS($BD$7:$BD$1843,$CG$7:$CG$1843,CG1071,$BH$7:$BH$1843,BH1071,$BX$7:$BX$1843,"&lt;="&amp;BX1071),"")</f>
        <v>3032.05265567766</v>
      </c>
      <c r="BJ1071" s="70" t="n">
        <f aca="false">IF(BI1071="",0,MAX(0,MIN(1,(IF(CG1071="L1",Parameter!$H$5,IF(CG1071="L23",Parameter!$H$6+Parameter!$H$7,Parameter!$H$5+Parameter!$H$6+Parameter!$H$7))-(BI1071-BD1071))/BD1071)))</f>
        <v>1</v>
      </c>
      <c r="BK1071" s="60" t="str">
        <f aca="false">IF(AJ1071&lt;=0,"",IF(CG1071="Aussen","Aussenlager",IF(CG1071="-","Nicht im Lift",IF(AP1071&gt;=1,"Lift",IF(AP1071&lt;=0,"Aussenlager","teilweise")))))</f>
        <v>Lift</v>
      </c>
      <c r="BL1071" s="60" t="str">
        <f aca="false">IF(AT1071&lt;=0,"",IF(CG1071="Aussen","Aussenlager",IF(CG1071="-","Nicht im Lift",IF(AZ1071&gt;=1,"Lift",IF(AZ1071&lt;=0,"Aussenlager","teilweise")))))</f>
        <v>Lift</v>
      </c>
      <c r="BM1071" s="60" t="str">
        <f aca="false">IF(BD1071&lt;=0,"",IF(CG1071="Aussen","Aussenlager",IF(CG1071="-","Nicht im Lift",IF(BJ1071&gt;=1,"Lift",IF(BJ1071&lt;=0,"Aussenlager","teilweise")))))</f>
        <v>Lift</v>
      </c>
      <c r="BN1071" s="60" t="str">
        <f aca="false">IF(A1071="","",IF(BW1071=1,"Neu; ","")&amp;IF(AND(BW1071=0,BR1071&lt;0),"negativer Bestand (Export "&amp;BR1071&amp;"); ","")&amp;IF(J1071&lt;=0,"Kein Verbrauch; ","")&amp;IF(CR1071&gt;0,"Lift "&amp;W1071&amp;" lt. Liftbericht (Fach "&amp;X1071&amp;" Stk); ",IF(CB1071=1,"Gebinde geschätzt ("&amp;T1071&amp;"); ",IF(CA1071=1,"Lose – Tablare geschätzt; ","")))&amp;IF(H1071&gt;AW1071,"Überbestand "&amp;ROUND(H1071-AW1071,0)&amp;" Stk / CHF "&amp;ROUND((H1071-AW1071)*G1071,0)&amp;"; ","")&amp;IF(AND(CI1071=1,CJ1071&lt;CK1071),"MAX &lt; MB+LG; ","")&amp;IF(AND(CQ1071&gt;0,CP1071*10&gt;CQ1071),"zu hoch für Tablar; ","")&amp;IF(AND(BW1071=0,OR(CI1071=1,AB1071&lt;&gt;"",U1071&lt;&gt;"",V1071&lt;&gt;"",AC1071&lt;&gt;"")),"manuell übersteuert; ","")&amp;IF(AND(CA1071=0,R1071=0),"Gebinde unbekannt / Stellmass fehlt; ","")&amp;IF(AND(CA1071=0,N(V1071)&lt;=0,N(Q1071)&lt;=0),"Menge pro Gebinde fehlt (Ist = 1 Gebinde); ","")&amp;BV1071)</f>
        <v>negativer Bestand (Export -11); Gebinde geschätzt (Mittel); Menge pro Gebinde fehlt (Ist = 1 Gebinde); grosser Artikel &amp; nicht im KTL</v>
      </c>
      <c r="BO1071" s="60"/>
      <c r="BP1071" s="60"/>
      <c r="BQ1071" s="67"/>
      <c r="BR1071" s="62" t="n">
        <v>-11</v>
      </c>
      <c r="BS1071" s="62" t="n">
        <v>29</v>
      </c>
      <c r="BT1071" s="61" t="n">
        <v>-167.13</v>
      </c>
      <c r="BU1071" s="62" t="n">
        <v>98</v>
      </c>
      <c r="BV1071" s="60" t="s">
        <v>303</v>
      </c>
      <c r="BW1071" s="65" t="n">
        <v>0</v>
      </c>
      <c r="BX1071" s="65" t="n">
        <v>1071</v>
      </c>
      <c r="BY1071" s="60" t="str">
        <f aca="false">IF(U1071&lt;&gt;"",UPPER(TRIM(U1071)),IF(CB1071=1,UPPER(VLOOKUP(T1071,Parameter!$I$27:$K$29,2,0)),IF(P1071="","LOSE",P1071)))</f>
        <v>S61</v>
      </c>
      <c r="BZ1071" s="62" t="n">
        <f aca="false">IF(BY1071="LOSE",1,IF(N(V1071)&gt;0,V1071,IF(CB1071=1,MAX(1,N(VLOOKUP(T1071,Parameter!$I$27:$K$29,3,0)),H1071,N(N1071)),IF(N(Q1071)&gt;0,Q1071,MAX(1,H1071)))))</f>
        <v>25</v>
      </c>
      <c r="CA1071" s="65" t="n">
        <f aca="false">IF(BY1071="LOSE",1,0)</f>
        <v>0</v>
      </c>
      <c r="CB1071" s="65" t="n">
        <f aca="false">IF(AND(U1071="",OR(P1071="",P1071="LOSE"),T1071&lt;&gt;"",N(S1071)&lt;=0,ISNUMBER(MATCH(T1071,Parameter!$I$27:$I$29,0))),1,0)</f>
        <v>1</v>
      </c>
      <c r="CC1071" s="65" t="n">
        <f aca="false">IF(CR1071&gt;0,INDEX(Parameter!$H$5:$H$7,W1071)/INDEX(Parameter!$E$5:$E$7,W1071),IF(AND(CA1071=0,N(IFERROR(VLOOKUP(BY1071,'Gebinde-Kategorie'!$A$5:$N$45,14,0),0))&gt;0),VLOOKUP(BY1071,'Gebinde-Kategorie'!$A$5:$N$45,14,0)*10+Parameter!$M$23,Parameter!$M$24))</f>
        <v>145</v>
      </c>
      <c r="CD1071" s="60" t="str">
        <f aca="false">IF(AND(Parameter!$B$19="Ja",E1071&lt;&gt;"",ISNUMBER(MATCH(E1071,Parameter!$I$35:$I$52,0))),VLOOKUP(E1071,Parameter!$I$35:$J$52,2,0),IFERROR(VLOOKUP(D1071,Parameter!$A$35:$C$64,2,0),"Nein"))</f>
        <v>2+3</v>
      </c>
      <c r="CE1071" s="64" t="n">
        <f aca="false">IF(CA1071=0,0,IF(N(S1071)&gt;0,S1071,IFERROR(VLOOKUP(D1071,Parameter!$A$35:$C$64,3,0)+0,0)))</f>
        <v>0</v>
      </c>
      <c r="CF1071" s="60" t="n">
        <f aca="false">IF(AB1071&lt;&gt;"",AB1071,AA1071)</f>
        <v>3</v>
      </c>
      <c r="CG1071" s="60" t="str">
        <f aca="false">IF(OR(CF1071=1,CF1071=2,CF1071=3),IF(Parameter!$E$27="Ja","LIFT",IF(CF1071=1,"L1","L23")),IF(CF1071="Aussen","Aussen","-"))</f>
        <v>LIFT</v>
      </c>
      <c r="CH1071" s="71" t="n">
        <f aca="false">IF(N(AC1071)&gt;0,AC1071,0)</f>
        <v>0</v>
      </c>
      <c r="CI1071" s="65" t="n">
        <f aca="false">IF(ISNUMBER(AF1071),1,0)</f>
        <v>0</v>
      </c>
      <c r="CJ1071" s="62" t="n">
        <f aca="false">N(AF1071)</f>
        <v>0</v>
      </c>
      <c r="CK1071" s="62" t="n">
        <f aca="false">N(M1071)+N(N1071)</f>
        <v>30</v>
      </c>
      <c r="CL1071" s="62" t="n">
        <f aca="false">N(M1071)</f>
        <v>5</v>
      </c>
      <c r="CM1071" s="62" t="n">
        <f aca="false">N(N1071)</f>
        <v>25</v>
      </c>
      <c r="CN1071" s="62" t="n">
        <f aca="false">ROUNDUP(H1071/BZ1071,0)</f>
        <v>1</v>
      </c>
      <c r="CO1071" s="62" t="n">
        <f aca="false">ROUNDUP(CJ1071/BZ1071,0)</f>
        <v>0</v>
      </c>
      <c r="CP1071" s="65" t="n">
        <f aca="false">IF(CA1071=1,0,IFERROR(VLOOKUP(BY1071,'Gebinde-Kategorie'!$A$5:$N$45,5,0)+0,0))</f>
        <v>11</v>
      </c>
      <c r="CQ1071" s="65" t="n">
        <f aca="false">IFERROR(IF(OR(CF1071=1,CF1071=2,CF1071=3),N(INDEX(Parameter!$I$5:$I$7,CF1071)),0),0)</f>
        <v>0</v>
      </c>
      <c r="CR1071" s="64" t="n">
        <f aca="false">IF(AND(Parameter!$B$21="Ja",ISNUMBER(W1071),N(X1071)&gt;0),IFERROR(N(INDEX(Parameter!$L$5:$L$7,W1071))*INDEX(Parameter!$E$5:$E$7,W1071)*X1071/SUMIFS($X$7:$X$1843,$W$7:$W$1843,W1071),0),0)</f>
        <v>0</v>
      </c>
      <c r="CS1071" s="62" t="n">
        <f aca="false">IF(AND(OR(CG1071="L1",CG1071="L23",CG1071="LIFT"),H1071&gt;0),CC1071*IF(CR1071&gt;0,CR1071*MAX(1,H1071/X1071),IF(CA1071=1,CE1071,IF(R1071&gt;0,CN1071/R1071,0))/MAX(0.1,N(Parameter!$M$21))),"")</f>
        <v>12.0833333333333</v>
      </c>
      <c r="CT1071" s="64" t="n">
        <f aca="false">IF(CS1071="","",J1071/H1071)</f>
        <v>5.44444444444445</v>
      </c>
      <c r="CU1071" s="62" t="n">
        <f aca="false">IF(CS1071="","",H1071*G1071)</f>
        <v>263.52</v>
      </c>
      <c r="CV1071" s="63" t="n">
        <f aca="false">IF(CS1071="","",(CL1071+ROUNDUP(CL1071+MAX(CM1071,2*(J1071/MAX(0.1,N(Einkauf!$C$6))-CL1071)),0))/2)</f>
        <v>24.5</v>
      </c>
      <c r="CW1071" s="62" t="n">
        <f aca="false">IF(CS1071="","",MAX(0,H1071-CV1071)*G1071)</f>
        <v>0</v>
      </c>
      <c r="CX1071" s="62" t="n">
        <f aca="false">IF(CS1071="","",CS1071*MAX(0,1-CV1071/H1071))</f>
        <v>0</v>
      </c>
      <c r="CY1071" s="64" t="n">
        <f aca="false">IF(CS1071="","",PERCENTRANK($CS$7:$CS$1843,CS1071)+PERCENTRANK($CU$7:$CU$1843,CU1071)+1-PERCENTRANK($CT$7:$CT$1843,CT1071))</f>
        <v>1.082</v>
      </c>
      <c r="CZ1071" s="72" t="n">
        <f aca="false">IF(CS1071="","",CHOOSE(MATCH(Einkauf!$C$5,Parameter!$G$23:$G$27,0),CY1071,CS1071,CU1071,-CT1071,CW1071)+ROW()/1000000000)</f>
        <v>1.082001071</v>
      </c>
    </row>
    <row r="1072" customFormat="false" ht="15" hidden="false" customHeight="false" outlineLevel="0" collapsed="false">
      <c r="A1072" s="60" t="s">
        <v>2000</v>
      </c>
      <c r="B1072" s="60" t="s">
        <v>2001</v>
      </c>
      <c r="C1072" s="60" t="s">
        <v>206</v>
      </c>
      <c r="D1072" s="60" t="s">
        <v>215</v>
      </c>
      <c r="E1072" s="60" t="s">
        <v>227</v>
      </c>
      <c r="F1072" s="60" t="s">
        <v>260</v>
      </c>
      <c r="G1072" s="61" t="n">
        <v>168</v>
      </c>
      <c r="H1072" s="62" t="n">
        <f aca="false">MAX(0,IF(AND(Parameter!$B$21="Ja",ISNUMBER(Y1072)),Y1072,IF(Parameter!$B$20="Jahresanfang 2025 + Export",BS1072+BR1072,BR1072)))</f>
        <v>23</v>
      </c>
      <c r="I1072" s="62" t="n">
        <f aca="false">H1072*G1072</f>
        <v>3864</v>
      </c>
      <c r="J1072" s="62" t="n">
        <f aca="false">BU1072*Parameter!$B$18</f>
        <v>1</v>
      </c>
      <c r="K1072" s="63" t="n">
        <v>23.5</v>
      </c>
      <c r="L1072" s="64" t="n">
        <v>0.0425531914893617</v>
      </c>
      <c r="M1072" s="62" t="n">
        <v>0</v>
      </c>
      <c r="N1072" s="62" t="n">
        <v>1</v>
      </c>
      <c r="O1072" s="65" t="n">
        <v>14</v>
      </c>
      <c r="P1072" s="60" t="s">
        <v>210</v>
      </c>
      <c r="Q1072" s="62"/>
      <c r="R1072" s="65" t="n">
        <f aca="false">IF(CA1072=1,0,IFERROR(VLOOKUP(BY1072,'Gebinde-Kategorie'!$A$5:$N$45,13,0)+0,0))</f>
        <v>12</v>
      </c>
      <c r="S1072" s="66"/>
      <c r="T1072" s="67" t="s">
        <v>221</v>
      </c>
      <c r="U1072" s="67"/>
      <c r="V1072" s="67"/>
      <c r="W1072" s="60"/>
      <c r="X1072" s="62"/>
      <c r="Y1072" s="62"/>
      <c r="Z1072" s="60" t="n">
        <v>3</v>
      </c>
      <c r="AA1072" s="60" t="n">
        <f aca="false">IF(A1072="","",IF(AND(Parameter!$B$21="Ja",ISNUMBER(W1072)),W1072,IF(AND(Parameter!$E$27="Ja",ISNUMBER(Z1072),CD1072&lt;&gt;"Nein"),Z1072,IF(CD1072="2+3",IF(ISNUMBER(SEARCH("grosser Artikel",BV1072)),2,IFERROR(VLOOKUP(BY1072,Parameter!$F$35:$G$64,2,0),2)),IF(OR(CD1072="Nein",CD1072=""),"-",CD1072)))))</f>
        <v>3</v>
      </c>
      <c r="AB1072" s="67"/>
      <c r="AC1072" s="68"/>
      <c r="AD1072" s="62" t="n">
        <f aca="false">AW1072</f>
        <v>1</v>
      </c>
      <c r="AE1072" s="62" t="n">
        <f aca="false">MAX(AW1072,H1072)</f>
        <v>23</v>
      </c>
      <c r="AF1072" s="69"/>
      <c r="AG1072" s="62" t="n">
        <f aca="false">IF(LEFT(Cockpit!$C$5,1)="A",H1072,IF(Parameter!$E$30="MAX-Bestand",IF(CI1072=1,CJ1072,IF(LEFT(Cockpit!$C$5,1)="B",AM1072,MAX(AM1072,H1072))),ROUNDUP(AK1072,0)))</f>
        <v>23</v>
      </c>
      <c r="AH1072" s="62" t="n">
        <f aca="false">IF(CA1072=1,0,ROUNDUP(AG1072/BZ1072,0))</f>
        <v>1</v>
      </c>
      <c r="AI1072" s="64" t="n">
        <f aca="false">IF(CR1072&gt;0,CR1072*MAX(1,AG1072/X1072),IF(CA1072=1,IF(AG1072&lt;=0,0,CE1072*MAX(1,IF(H1072&gt;0,AG1072/H1072,1))),IF(R1072&gt;0,AH1072/R1072,0))/MAX(0.1,N(Parameter!$M$21)))</f>
        <v>0.0833333333333333</v>
      </c>
      <c r="AJ1072" s="62" t="n">
        <f aca="false">AI1072*CC1072</f>
        <v>12.0833333333333</v>
      </c>
      <c r="AK1072" s="63" t="n">
        <f aca="false">IF(LEFT(Cockpit!$C$5,1)="A",H1072,IF(CI1072=1,(CL1072+CJ1072)/2,IF(LEFT(Cockpit!$C$5,1)="B",(CL1072+AM1072)/2,MAX((CL1072+AM1072)/2,H1072))))</f>
        <v>23</v>
      </c>
      <c r="AL1072" s="62" t="n">
        <f aca="false">AK1072*G1072</f>
        <v>3864</v>
      </c>
      <c r="AM1072" s="62" t="n">
        <f aca="false">ROUNDUP(CL1072+MAX(CM1072,2*(J1072/IF(CH1072&gt;0,CH1072,MAX(0.1,N(Cockpit!$C$6)))-CL1072)),0)</f>
        <v>1</v>
      </c>
      <c r="AN1072" s="63" t="n">
        <f aca="false">IF(AJ1072&gt;0,J1072/AJ1072,-1)</f>
        <v>0.0827586206896552</v>
      </c>
      <c r="AO1072" s="63" t="n">
        <f aca="false">IF(AND(OR(CG1072="L1",CG1072="L23",CG1072="LIFT"),AJ1072&gt;0),SUMIFS($AJ$7:$AJ$1843,$CG$7:$CG$1843,CG1072,$AN$7:$AN$1843,"&gt;"&amp;AN1072)+SUMIFS($AJ$7:$AJ$1843,$CG$7:$CG$1843,CG1072,$AN$7:$AN$1843,AN1072,$BX$7:$BX$1843,"&lt;="&amp;BX1072),"")</f>
        <v>16737.7740656236</v>
      </c>
      <c r="AP1072" s="70" t="n">
        <f aca="false">IF(AO1072="",0,MAX(0,MIN(1,(IF(CG1072="L1",Parameter!$H$5,IF(CG1072="L23",Parameter!$H$6+Parameter!$H$7,Parameter!$H$5+Parameter!$H$6+Parameter!$H$7))-(AO1072-AJ1072))/AJ1072)))</f>
        <v>1</v>
      </c>
      <c r="AQ1072" s="62" t="n">
        <f aca="false">IF(LEFT(Cockpit!$I$5,1)="A",H1072,IF(Parameter!$E$30="MAX-Bestand",IF(CI1072=1,CJ1072,IF(LEFT(Cockpit!$I$5,1)="B",AW1072,MAX(AW1072,H1072))),ROUNDUP(AU1072,0)))</f>
        <v>23</v>
      </c>
      <c r="AR1072" s="62" t="n">
        <f aca="false">IF(CA1072=1,0,ROUNDUP(AQ1072/BZ1072,0))</f>
        <v>1</v>
      </c>
      <c r="AS1072" s="64" t="n">
        <f aca="false">IF(CR1072&gt;0,CR1072*MAX(1,AQ1072/X1072),IF(CA1072=1,IF(AQ1072&lt;=0,0,CE1072*MAX(1,IF(H1072&gt;0,AQ1072/H1072,1))),IF(R1072&gt;0,AR1072/R1072,0))/MAX(0.1,N(Parameter!$M$21)))</f>
        <v>0.0833333333333333</v>
      </c>
      <c r="AT1072" s="62" t="n">
        <f aca="false">AS1072*CC1072</f>
        <v>12.0833333333333</v>
      </c>
      <c r="AU1072" s="63" t="n">
        <f aca="false">IF(LEFT(Cockpit!$I$5,1)="A",H1072,IF(CI1072=1,(CL1072+CJ1072)/2,IF(LEFT(Cockpit!$I$5,1)="B",(CL1072+AW1072)/2,MAX((CL1072+AW1072)/2,H1072))))</f>
        <v>23</v>
      </c>
      <c r="AV1072" s="62" t="n">
        <f aca="false">AU1072*G1072</f>
        <v>3864</v>
      </c>
      <c r="AW1072" s="62" t="n">
        <f aca="false">ROUNDUP(CL1072+MAX(CM1072,2*(J1072/IF(CH1072&gt;0,CH1072,MAX(0.1,N(Cockpit!$I$6)))-CL1072)),0)</f>
        <v>1</v>
      </c>
      <c r="AX1072" s="63" t="n">
        <f aca="false">IF(AT1072&gt;0,J1072/AT1072,-1)</f>
        <v>0.0827586206896552</v>
      </c>
      <c r="AY1072" s="63" t="n">
        <f aca="false">IF(AND(OR(CG1072="L1",CG1072="L23",CG1072="LIFT"),AT1072&gt;0),SUMIFS($AT$7:$AT$1843,$CG$7:$CG$1843,CG1072,$AX$7:$AX$1843,"&gt;"&amp;AX1072)+SUMIFS($AT$7:$AT$1843,$CG$7:$CG$1843,CG1072,$AX$7:$AX$1843,AX1072,$BX$7:$BX$1843,"&lt;="&amp;BX1072),"")</f>
        <v>21797.1727070011</v>
      </c>
      <c r="AZ1072" s="70" t="n">
        <f aca="false">IF(AY1072="",0,MAX(0,MIN(1,(IF(CG1072="L1",Parameter!$H$5,IF(CG1072="L23",Parameter!$H$6+Parameter!$H$7,Parameter!$H$5+Parameter!$H$6+Parameter!$H$7))-(AY1072-AT1072))/AT1072)))</f>
        <v>1</v>
      </c>
      <c r="BA1072" s="62" t="n">
        <f aca="false">IF(LEFT(Cockpit!$O$5,1)="A",H1072,IF(Parameter!$E$30="MAX-Bestand",IF(CI1072=1,CJ1072,IF(LEFT(Cockpit!$O$5,1)="B",BG1072,MAX(BG1072,H1072))),ROUNDUP(BE1072,0)))</f>
        <v>1</v>
      </c>
      <c r="BB1072" s="62" t="n">
        <f aca="false">IF(CA1072=1,0,ROUNDUP(BA1072/BZ1072,0))</f>
        <v>1</v>
      </c>
      <c r="BC1072" s="64" t="n">
        <f aca="false">IF(CR1072&gt;0,CR1072*MAX(1,BA1072/X1072),IF(CA1072=1,IF(BA1072&lt;=0,0,CE1072*MAX(1,IF(H1072&gt;0,BA1072/H1072,1))),IF(R1072&gt;0,BB1072/R1072,0))/MAX(0.1,N(Parameter!$M$21)))</f>
        <v>0.0833333333333333</v>
      </c>
      <c r="BD1072" s="62" t="n">
        <f aca="false">BC1072*CC1072</f>
        <v>12.0833333333333</v>
      </c>
      <c r="BE1072" s="63" t="n">
        <f aca="false">IF(LEFT(Cockpit!$O$5,1)="A",H1072,IF(CI1072=1,(CL1072+CJ1072)/2,IF(LEFT(Cockpit!$O$5,1)="B",(CL1072+BG1072)/2,MAX((CL1072+BG1072)/2,H1072))))</f>
        <v>0.5</v>
      </c>
      <c r="BF1072" s="62" t="n">
        <f aca="false">BE1072*G1072</f>
        <v>84</v>
      </c>
      <c r="BG1072" s="62" t="n">
        <f aca="false">ROUNDUP(CL1072+MAX(CM1072,2*(J1072/IF(CH1072&gt;0,CH1072,MAX(0.1,N(Cockpit!$O$6)))-CL1072)),0)</f>
        <v>1</v>
      </c>
      <c r="BH1072" s="63" t="n">
        <f aca="false">IF(BD1072&gt;0,J1072/BD1072,-1)</f>
        <v>0.0827586206896552</v>
      </c>
      <c r="BI1072" s="63" t="n">
        <f aca="false">IF(AND(OR(CG1072="L1",CG1072="L23",CG1072="LIFT"),BD1072&gt;0),SUMIFS($BD$7:$BD$1843,$CG$7:$CG$1843,CG1072,$BH$7:$BH$1843,"&gt;"&amp;BH1072)+SUMIFS($BD$7:$BD$1843,$CG$7:$CG$1843,CG1072,$BH$7:$BH$1843,BH1072,$BX$7:$BX$1843,"&lt;="&amp;BX1072),"")</f>
        <v>18335.2289092734</v>
      </c>
      <c r="BJ1072" s="70" t="n">
        <f aca="false">IF(BI1072="",0,MAX(0,MIN(1,(IF(CG1072="L1",Parameter!$H$5,IF(CG1072="L23",Parameter!$H$6+Parameter!$H$7,Parameter!$H$5+Parameter!$H$6+Parameter!$H$7))-(BI1072-BD1072))/BD1072)))</f>
        <v>1</v>
      </c>
      <c r="BK1072" s="60" t="str">
        <f aca="false">IF(AJ1072&lt;=0,"",IF(CG1072="Aussen","Aussenlager",IF(CG1072="-","Nicht im Lift",IF(AP1072&gt;=1,"Lift",IF(AP1072&lt;=0,"Aussenlager","teilweise")))))</f>
        <v>Lift</v>
      </c>
      <c r="BL1072" s="60" t="str">
        <f aca="false">IF(AT1072&lt;=0,"",IF(CG1072="Aussen","Aussenlager",IF(CG1072="-","Nicht im Lift",IF(AZ1072&gt;=1,"Lift",IF(AZ1072&lt;=0,"Aussenlager","teilweise")))))</f>
        <v>Lift</v>
      </c>
      <c r="BM1072" s="60" t="str">
        <f aca="false">IF(BD1072&lt;=0,"",IF(CG1072="Aussen","Aussenlager",IF(CG1072="-","Nicht im Lift",IF(BJ1072&gt;=1,"Lift",IF(BJ1072&lt;=0,"Aussenlager","teilweise")))))</f>
        <v>Lift</v>
      </c>
      <c r="BN1072" s="60" t="str">
        <f aca="false">IF(A1072="","",IF(BW1072=1,"Neu; ","")&amp;IF(AND(BW1072=0,BR1072&lt;0),"negativer Bestand (Export "&amp;BR1072&amp;"); ","")&amp;IF(J1072&lt;=0,"Kein Verbrauch; ","")&amp;IF(CR1072&gt;0,"Lift "&amp;W1072&amp;" lt. Liftbericht (Fach "&amp;X1072&amp;" Stk); ",IF(CB1072=1,"Gebinde geschätzt ("&amp;T1072&amp;"); ",IF(CA1072=1,"Lose – Tablare geschätzt; ","")))&amp;IF(H1072&gt;AW1072,"Überbestand "&amp;ROUND(H1072-AW1072,0)&amp;" Stk / CHF "&amp;ROUND((H1072-AW1072)*G1072,0)&amp;"; ","")&amp;IF(AND(CI1072=1,CJ1072&lt;CK1072),"MAX &lt; MB+LG; ","")&amp;IF(AND(CQ1072&gt;0,CP1072*10&gt;CQ1072),"zu hoch für Tablar; ","")&amp;IF(AND(BW1072=0,OR(CI1072=1,AB1072&lt;&gt;"",U1072&lt;&gt;"",V1072&lt;&gt;"",AC1072&lt;&gt;"")),"manuell übersteuert; ","")&amp;IF(AND(CA1072=0,R1072=0),"Gebinde unbekannt / Stellmass fehlt; ","")&amp;IF(AND(CA1072=0,N(V1072)&lt;=0,N(Q1072)&lt;=0),"Menge pro Gebinde fehlt (Ist = 1 Gebinde); ","")&amp;BV1072)</f>
        <v>negativer Bestand (Export -1); Gebinde geschätzt (Mittel); Überbestand 22 Stk / CHF 3696; Menge pro Gebinde fehlt (Ist = 1 Gebinde); Überbestand; grosser Artikel &amp; nicht im KTL</v>
      </c>
      <c r="BO1072" s="60"/>
      <c r="BP1072" s="60"/>
      <c r="BQ1072" s="67"/>
      <c r="BR1072" s="62" t="n">
        <v>-1</v>
      </c>
      <c r="BS1072" s="62" t="n">
        <v>24</v>
      </c>
      <c r="BT1072" s="61" t="n">
        <v>-168</v>
      </c>
      <c r="BU1072" s="62" t="n">
        <v>1</v>
      </c>
      <c r="BV1072" s="60" t="s">
        <v>401</v>
      </c>
      <c r="BW1072" s="65" t="n">
        <v>0</v>
      </c>
      <c r="BX1072" s="65" t="n">
        <v>1072</v>
      </c>
      <c r="BY1072" s="60" t="str">
        <f aca="false">IF(U1072&lt;&gt;"",UPPER(TRIM(U1072)),IF(CB1072=1,UPPER(VLOOKUP(T1072,Parameter!$I$27:$K$29,2,0)),IF(P1072="","LOSE",P1072)))</f>
        <v>S61</v>
      </c>
      <c r="BZ1072" s="62" t="n">
        <f aca="false">IF(BY1072="LOSE",1,IF(N(V1072)&gt;0,V1072,IF(CB1072=1,MAX(1,N(VLOOKUP(T1072,Parameter!$I$27:$K$29,3,0)),H1072,N(N1072)),IF(N(Q1072)&gt;0,Q1072,MAX(1,H1072)))))</f>
        <v>23</v>
      </c>
      <c r="CA1072" s="65" t="n">
        <f aca="false">IF(BY1072="LOSE",1,0)</f>
        <v>0</v>
      </c>
      <c r="CB1072" s="65" t="n">
        <f aca="false">IF(AND(U1072="",OR(P1072="",P1072="LOSE"),T1072&lt;&gt;"",N(S1072)&lt;=0,ISNUMBER(MATCH(T1072,Parameter!$I$27:$I$29,0))),1,0)</f>
        <v>1</v>
      </c>
      <c r="CC1072" s="65" t="n">
        <f aca="false">IF(CR1072&gt;0,INDEX(Parameter!$H$5:$H$7,W1072)/INDEX(Parameter!$E$5:$E$7,W1072),IF(AND(CA1072=0,N(IFERROR(VLOOKUP(BY1072,'Gebinde-Kategorie'!$A$5:$N$45,14,0),0))&gt;0),VLOOKUP(BY1072,'Gebinde-Kategorie'!$A$5:$N$45,14,0)*10+Parameter!$M$23,Parameter!$M$24))</f>
        <v>145</v>
      </c>
      <c r="CD1072" s="60" t="str">
        <f aca="false">IF(AND(Parameter!$B$19="Ja",E1072&lt;&gt;"",ISNUMBER(MATCH(E1072,Parameter!$I$35:$I$52,0))),VLOOKUP(E1072,Parameter!$I$35:$J$52,2,0),IFERROR(VLOOKUP(D1072,Parameter!$A$35:$C$64,2,0),"Nein"))</f>
        <v>2+3</v>
      </c>
      <c r="CE1072" s="64" t="n">
        <f aca="false">IF(CA1072=0,0,IF(N(S1072)&gt;0,S1072,IFERROR(VLOOKUP(D1072,Parameter!$A$35:$C$64,3,0)+0,0)))</f>
        <v>0</v>
      </c>
      <c r="CF1072" s="60" t="n">
        <f aca="false">IF(AB1072&lt;&gt;"",AB1072,AA1072)</f>
        <v>3</v>
      </c>
      <c r="CG1072" s="60" t="str">
        <f aca="false">IF(OR(CF1072=1,CF1072=2,CF1072=3),IF(Parameter!$E$27="Ja","LIFT",IF(CF1072=1,"L1","L23")),IF(CF1072="Aussen","Aussen","-"))</f>
        <v>LIFT</v>
      </c>
      <c r="CH1072" s="71" t="n">
        <f aca="false">IF(N(AC1072)&gt;0,AC1072,0)</f>
        <v>0</v>
      </c>
      <c r="CI1072" s="65" t="n">
        <f aca="false">IF(ISNUMBER(AF1072),1,0)</f>
        <v>0</v>
      </c>
      <c r="CJ1072" s="62" t="n">
        <f aca="false">N(AF1072)</f>
        <v>0</v>
      </c>
      <c r="CK1072" s="62" t="n">
        <f aca="false">N(M1072)+N(N1072)</f>
        <v>1</v>
      </c>
      <c r="CL1072" s="62" t="n">
        <f aca="false">N(M1072)</f>
        <v>0</v>
      </c>
      <c r="CM1072" s="62" t="n">
        <f aca="false">N(N1072)</f>
        <v>1</v>
      </c>
      <c r="CN1072" s="62" t="n">
        <f aca="false">ROUNDUP(H1072/BZ1072,0)</f>
        <v>1</v>
      </c>
      <c r="CO1072" s="62" t="n">
        <f aca="false">ROUNDUP(CJ1072/BZ1072,0)</f>
        <v>0</v>
      </c>
      <c r="CP1072" s="65" t="n">
        <f aca="false">IF(CA1072=1,0,IFERROR(VLOOKUP(BY1072,'Gebinde-Kategorie'!$A$5:$N$45,5,0)+0,0))</f>
        <v>11</v>
      </c>
      <c r="CQ1072" s="65" t="n">
        <f aca="false">IFERROR(IF(OR(CF1072=1,CF1072=2,CF1072=3),N(INDEX(Parameter!$I$5:$I$7,CF1072)),0),0)</f>
        <v>0</v>
      </c>
      <c r="CR1072" s="64" t="n">
        <f aca="false">IF(AND(Parameter!$B$21="Ja",ISNUMBER(W1072),N(X1072)&gt;0),IFERROR(N(INDEX(Parameter!$L$5:$L$7,W1072))*INDEX(Parameter!$E$5:$E$7,W1072)*X1072/SUMIFS($X$7:$X$1843,$W$7:$W$1843,W1072),0),0)</f>
        <v>0</v>
      </c>
      <c r="CS1072" s="62" t="n">
        <f aca="false">IF(AND(OR(CG1072="L1",CG1072="L23",CG1072="LIFT"),H1072&gt;0),CC1072*IF(CR1072&gt;0,CR1072*MAX(1,H1072/X1072),IF(CA1072=1,CE1072,IF(R1072&gt;0,CN1072/R1072,0))/MAX(0.1,N(Parameter!$M$21))),"")</f>
        <v>12.0833333333333</v>
      </c>
      <c r="CT1072" s="64" t="n">
        <f aca="false">IF(CS1072="","",J1072/H1072)</f>
        <v>0.0434782608695652</v>
      </c>
      <c r="CU1072" s="62" t="n">
        <f aca="false">IF(CS1072="","",H1072*G1072)</f>
        <v>3864</v>
      </c>
      <c r="CV1072" s="63" t="n">
        <f aca="false">IF(CS1072="","",(CL1072+ROUNDUP(CL1072+MAX(CM1072,2*(J1072/MAX(0.1,N(Einkauf!$C$6))-CL1072)),0))/2)</f>
        <v>0.5</v>
      </c>
      <c r="CW1072" s="62" t="n">
        <f aca="false">IF(CS1072="","",MAX(0,H1072-CV1072)*G1072)</f>
        <v>3780</v>
      </c>
      <c r="CX1072" s="62" t="n">
        <f aca="false">IF(CS1072="","",CS1072*MAX(0,1-CV1072/H1072))</f>
        <v>11.820652173913</v>
      </c>
      <c r="CY1072" s="64" t="n">
        <f aca="false">IF(CS1072="","",PERCENTRANK($CS$7:$CS$1843,CS1072)+PERCENTRANK($CU$7:$CU$1843,CU1072)+1-PERCENTRANK($CT$7:$CT$1843,CT1072))</f>
        <v>2.135</v>
      </c>
      <c r="CZ1072" s="72" t="n">
        <f aca="false">IF(CS1072="","",CHOOSE(MATCH(Einkauf!$C$5,Parameter!$G$23:$G$27,0),CY1072,CS1072,CU1072,-CT1072,CW1072)+ROW()/1000000000)</f>
        <v>2.135001072</v>
      </c>
    </row>
    <row r="1073" customFormat="false" ht="15" hidden="false" customHeight="false" outlineLevel="0" collapsed="false">
      <c r="A1073" s="60" t="s">
        <v>2002</v>
      </c>
      <c r="B1073" s="60" t="s">
        <v>414</v>
      </c>
      <c r="C1073" s="60" t="s">
        <v>206</v>
      </c>
      <c r="D1073" s="60" t="s">
        <v>215</v>
      </c>
      <c r="E1073" s="60" t="s">
        <v>227</v>
      </c>
      <c r="F1073" s="60" t="s">
        <v>260</v>
      </c>
      <c r="G1073" s="61" t="n">
        <v>168</v>
      </c>
      <c r="H1073" s="62" t="n">
        <f aca="false">MAX(0,IF(AND(Parameter!$B$21="Ja",ISNUMBER(Y1073)),Y1073,IF(Parameter!$B$20="Jahresanfang 2025 + Export",BS1073+BR1073,BR1073)))</f>
        <v>11</v>
      </c>
      <c r="I1073" s="62" t="n">
        <f aca="false">H1073*G1073</f>
        <v>1848</v>
      </c>
      <c r="J1073" s="62" t="n">
        <f aca="false">BU1073*Parameter!$B$18</f>
        <v>1</v>
      </c>
      <c r="K1073" s="63" t="n">
        <v>11.5</v>
      </c>
      <c r="L1073" s="64" t="n">
        <v>0.0869565217391304</v>
      </c>
      <c r="M1073" s="62" t="n">
        <v>0</v>
      </c>
      <c r="N1073" s="62" t="n">
        <v>1</v>
      </c>
      <c r="O1073" s="65" t="n">
        <v>84</v>
      </c>
      <c r="P1073" s="60" t="s">
        <v>216</v>
      </c>
      <c r="Q1073" s="62" t="n">
        <v>15</v>
      </c>
      <c r="R1073" s="65" t="n">
        <f aca="false">IF(CA1073=1,0,IFERROR(VLOOKUP(BY1073,'Gebinde-Kategorie'!$A$5:$N$45,13,0)+0,0))</f>
        <v>6</v>
      </c>
      <c r="S1073" s="66"/>
      <c r="T1073" s="67"/>
      <c r="U1073" s="67"/>
      <c r="V1073" s="67"/>
      <c r="W1073" s="60"/>
      <c r="X1073" s="62"/>
      <c r="Y1073" s="62"/>
      <c r="Z1073" s="60" t="n">
        <v>2</v>
      </c>
      <c r="AA1073" s="60" t="n">
        <f aca="false">IF(A1073="","",IF(AND(Parameter!$B$21="Ja",ISNUMBER(W1073)),W1073,IF(AND(Parameter!$E$27="Ja",ISNUMBER(Z1073),CD1073&lt;&gt;"Nein"),Z1073,IF(CD1073="2+3",IF(ISNUMBER(SEARCH("grosser Artikel",BV1073)),2,IFERROR(VLOOKUP(BY1073,Parameter!$F$35:$G$64,2,0),2)),IF(OR(CD1073="Nein",CD1073=""),"-",CD1073)))))</f>
        <v>2</v>
      </c>
      <c r="AB1073" s="67"/>
      <c r="AC1073" s="68"/>
      <c r="AD1073" s="62" t="n">
        <f aca="false">AW1073</f>
        <v>1</v>
      </c>
      <c r="AE1073" s="62" t="n">
        <f aca="false">MAX(AW1073,H1073)</f>
        <v>11</v>
      </c>
      <c r="AF1073" s="69"/>
      <c r="AG1073" s="62" t="n">
        <f aca="false">IF(LEFT(Cockpit!$C$5,1)="A",H1073,IF(Parameter!$E$30="MAX-Bestand",IF(CI1073=1,CJ1073,IF(LEFT(Cockpit!$C$5,1)="B",AM1073,MAX(AM1073,H1073))),ROUNDUP(AK1073,0)))</f>
        <v>11</v>
      </c>
      <c r="AH1073" s="62" t="n">
        <f aca="false">IF(CA1073=1,0,ROUNDUP(AG1073/BZ1073,0))</f>
        <v>1</v>
      </c>
      <c r="AI1073" s="64" t="n">
        <f aca="false">IF(CR1073&gt;0,CR1073*MAX(1,AG1073/X1073),IF(CA1073=1,IF(AG1073&lt;=0,0,CE1073*MAX(1,IF(H1073&gt;0,AG1073/H1073,1))),IF(R1073&gt;0,AH1073/R1073,0))/MAX(0.1,N(Parameter!$M$21)))</f>
        <v>0.166666666666667</v>
      </c>
      <c r="AJ1073" s="62" t="n">
        <f aca="false">AI1073*CC1073</f>
        <v>39.1666666666667</v>
      </c>
      <c r="AK1073" s="63" t="n">
        <f aca="false">IF(LEFT(Cockpit!$C$5,1)="A",H1073,IF(CI1073=1,(CL1073+CJ1073)/2,IF(LEFT(Cockpit!$C$5,1)="B",(CL1073+AM1073)/2,MAX((CL1073+AM1073)/2,H1073))))</f>
        <v>11</v>
      </c>
      <c r="AL1073" s="62" t="n">
        <f aca="false">AK1073*G1073</f>
        <v>1848</v>
      </c>
      <c r="AM1073" s="62" t="n">
        <f aca="false">ROUNDUP(CL1073+MAX(CM1073,2*(J1073/IF(CH1073&gt;0,CH1073,MAX(0.1,N(Cockpit!$C$6)))-CL1073)),0)</f>
        <v>1</v>
      </c>
      <c r="AN1073" s="63" t="n">
        <f aca="false">IF(AJ1073&gt;0,J1073/AJ1073,-1)</f>
        <v>0.025531914893617</v>
      </c>
      <c r="AO1073" s="63" t="n">
        <f aca="false">IF(AND(OR(CG1073="L1",CG1073="L23",CG1073="LIFT"),AJ1073&gt;0),SUMIFS($AJ$7:$AJ$1843,$CG$7:$CG$1843,CG1073,$AN$7:$AN$1843,"&gt;"&amp;AN1073)+SUMIFS($AJ$7:$AJ$1843,$CG$7:$CG$1843,CG1073,$AN$7:$AN$1843,AN1073,$BX$7:$BX$1843,"&lt;="&amp;BX1073),"")</f>
        <v>21768.7770715631</v>
      </c>
      <c r="AP1073" s="70" t="n">
        <f aca="false">IF(AO1073="",0,MAX(0,MIN(1,(IF(CG1073="L1",Parameter!$H$5,IF(CG1073="L23",Parameter!$H$6+Parameter!$H$7,Parameter!$H$5+Parameter!$H$6+Parameter!$H$7))-(AO1073-AJ1073))/AJ1073)))</f>
        <v>1</v>
      </c>
      <c r="AQ1073" s="62" t="n">
        <f aca="false">IF(LEFT(Cockpit!$I$5,1)="A",H1073,IF(Parameter!$E$30="MAX-Bestand",IF(CI1073=1,CJ1073,IF(LEFT(Cockpit!$I$5,1)="B",AW1073,MAX(AW1073,H1073))),ROUNDUP(AU1073,0)))</f>
        <v>11</v>
      </c>
      <c r="AR1073" s="62" t="n">
        <f aca="false">IF(CA1073=1,0,ROUNDUP(AQ1073/BZ1073,0))</f>
        <v>1</v>
      </c>
      <c r="AS1073" s="64" t="n">
        <f aca="false">IF(CR1073&gt;0,CR1073*MAX(1,AQ1073/X1073),IF(CA1073=1,IF(AQ1073&lt;=0,0,CE1073*MAX(1,IF(H1073&gt;0,AQ1073/H1073,1))),IF(R1073&gt;0,AR1073/R1073,0))/MAX(0.1,N(Parameter!$M$21)))</f>
        <v>0.166666666666667</v>
      </c>
      <c r="AT1073" s="62" t="n">
        <f aca="false">AS1073*CC1073</f>
        <v>39.1666666666667</v>
      </c>
      <c r="AU1073" s="63" t="n">
        <f aca="false">IF(LEFT(Cockpit!$I$5,1)="A",H1073,IF(CI1073=1,(CL1073+CJ1073)/2,IF(LEFT(Cockpit!$I$5,1)="B",(CL1073+AW1073)/2,MAX((CL1073+AW1073)/2,H1073))))</f>
        <v>11</v>
      </c>
      <c r="AV1073" s="62" t="n">
        <f aca="false">AU1073*G1073</f>
        <v>1848</v>
      </c>
      <c r="AW1073" s="62" t="n">
        <f aca="false">ROUNDUP(CL1073+MAX(CM1073,2*(J1073/IF(CH1073&gt;0,CH1073,MAX(0.1,N(Cockpit!$I$6)))-CL1073)),0)</f>
        <v>1</v>
      </c>
      <c r="AX1073" s="63" t="n">
        <f aca="false">IF(AT1073&gt;0,J1073/AT1073,-1)</f>
        <v>0.025531914893617</v>
      </c>
      <c r="AY1073" s="63" t="n">
        <f aca="false">IF(AND(OR(CG1073="L1",CG1073="L23",CG1073="LIFT"),AT1073&gt;0),SUMIFS($AT$7:$AT$1843,$CG$7:$CG$1843,CG1073,$AX$7:$AX$1843,"&gt;"&amp;AX1073)+SUMIFS($AT$7:$AT$1843,$CG$7:$CG$1843,CG1073,$AX$7:$AX$1843,AX1073,$BX$7:$BX$1843,"&lt;="&amp;BX1073),"")</f>
        <v>26886.9257129405</v>
      </c>
      <c r="AZ1073" s="70" t="n">
        <f aca="false">IF(AY1073="",0,MAX(0,MIN(1,(IF(CG1073="L1",Parameter!$H$5,IF(CG1073="L23",Parameter!$H$6+Parameter!$H$7,Parameter!$H$5+Parameter!$H$6+Parameter!$H$7))-(AY1073-AT1073))/AT1073)))</f>
        <v>1</v>
      </c>
      <c r="BA1073" s="62" t="n">
        <f aca="false">IF(LEFT(Cockpit!$O$5,1)="A",H1073,IF(Parameter!$E$30="MAX-Bestand",IF(CI1073=1,CJ1073,IF(LEFT(Cockpit!$O$5,1)="B",BG1073,MAX(BG1073,H1073))),ROUNDUP(BE1073,0)))</f>
        <v>1</v>
      </c>
      <c r="BB1073" s="62" t="n">
        <f aca="false">IF(CA1073=1,0,ROUNDUP(BA1073/BZ1073,0))</f>
        <v>1</v>
      </c>
      <c r="BC1073" s="64" t="n">
        <f aca="false">IF(CR1073&gt;0,CR1073*MAX(1,BA1073/X1073),IF(CA1073=1,IF(BA1073&lt;=0,0,CE1073*MAX(1,IF(H1073&gt;0,BA1073/H1073,1))),IF(R1073&gt;0,BB1073/R1073,0))/MAX(0.1,N(Parameter!$M$21)))</f>
        <v>0.166666666666667</v>
      </c>
      <c r="BD1073" s="62" t="n">
        <f aca="false">BC1073*CC1073</f>
        <v>39.1666666666667</v>
      </c>
      <c r="BE1073" s="63" t="n">
        <f aca="false">IF(LEFT(Cockpit!$O$5,1)="A",H1073,IF(CI1073=1,(CL1073+CJ1073)/2,IF(LEFT(Cockpit!$O$5,1)="B",(CL1073+BG1073)/2,MAX((CL1073+BG1073)/2,H1073))))</f>
        <v>0.5</v>
      </c>
      <c r="BF1073" s="62" t="n">
        <f aca="false">BE1073*G1073</f>
        <v>84</v>
      </c>
      <c r="BG1073" s="62" t="n">
        <f aca="false">ROUNDUP(CL1073+MAX(CM1073,2*(J1073/IF(CH1073&gt;0,CH1073,MAX(0.1,N(Cockpit!$O$6)))-CL1073)),0)</f>
        <v>1</v>
      </c>
      <c r="BH1073" s="63" t="n">
        <f aca="false">IF(BD1073&gt;0,J1073/BD1073,-1)</f>
        <v>0.025531914893617</v>
      </c>
      <c r="BI1073" s="63" t="n">
        <f aca="false">IF(AND(OR(CG1073="L1",CG1073="L23",CG1073="LIFT"),BD1073&gt;0),SUMIFS($BD$7:$BD$1843,$CG$7:$CG$1843,CG1073,$BH$7:$BH$1843,"&gt;"&amp;BH1073)+SUMIFS($BD$7:$BD$1843,$CG$7:$CG$1843,CG1073,$BH$7:$BH$1843,BH1073,$BX$7:$BX$1843,"&lt;="&amp;BX1073),"")</f>
        <v>22589.5331972641</v>
      </c>
      <c r="BJ1073" s="70" t="n">
        <f aca="false">IF(BI1073="",0,MAX(0,MIN(1,(IF(CG1073="L1",Parameter!$H$5,IF(CG1073="L23",Parameter!$H$6+Parameter!$H$7,Parameter!$H$5+Parameter!$H$6+Parameter!$H$7))-(BI1073-BD1073))/BD1073)))</f>
        <v>1</v>
      </c>
      <c r="BK1073" s="60" t="str">
        <f aca="false">IF(AJ1073&lt;=0,"",IF(CG1073="Aussen","Aussenlager",IF(CG1073="-","Nicht im Lift",IF(AP1073&gt;=1,"Lift",IF(AP1073&lt;=0,"Aussenlager","teilweise")))))</f>
        <v>Lift</v>
      </c>
      <c r="BL1073" s="60" t="str">
        <f aca="false">IF(AT1073&lt;=0,"",IF(CG1073="Aussen","Aussenlager",IF(CG1073="-","Nicht im Lift",IF(AZ1073&gt;=1,"Lift",IF(AZ1073&lt;=0,"Aussenlager","teilweise")))))</f>
        <v>Lift</v>
      </c>
      <c r="BM1073" s="60" t="str">
        <f aca="false">IF(BD1073&lt;=0,"",IF(CG1073="Aussen","Aussenlager",IF(CG1073="-","Nicht im Lift",IF(BJ1073&gt;=1,"Lift",IF(BJ1073&lt;=0,"Aussenlager","teilweise")))))</f>
        <v>Lift</v>
      </c>
      <c r="BN1073" s="60" t="str">
        <f aca="false">IF(A1073="","",IF(BW1073=1,"Neu; ","")&amp;IF(AND(BW1073=0,BR1073&lt;0),"negativer Bestand (Export "&amp;BR1073&amp;"); ","")&amp;IF(J1073&lt;=0,"Kein Verbrauch; ","")&amp;IF(CR1073&gt;0,"Lift "&amp;W1073&amp;" lt. Liftbericht (Fach "&amp;X1073&amp;" Stk); ",IF(CB1073=1,"Gebinde geschätzt ("&amp;T1073&amp;"); ",IF(CA1073=1,"Lose – Tablare geschätzt; ","")))&amp;IF(H1073&gt;AW1073,"Überbestand "&amp;ROUND(H1073-AW1073,0)&amp;" Stk / CHF "&amp;ROUND((H1073-AW1073)*G1073,0)&amp;"; ","")&amp;IF(AND(CI1073=1,CJ1073&lt;CK1073),"MAX &lt; MB+LG; ","")&amp;IF(AND(CQ1073&gt;0,CP1073*10&gt;CQ1073),"zu hoch für Tablar; ","")&amp;IF(AND(BW1073=0,OR(CI1073=1,AB1073&lt;&gt;"",U1073&lt;&gt;"",V1073&lt;&gt;"",AC1073&lt;&gt;"")),"manuell übersteuert; ","")&amp;IF(AND(CA1073=0,R1073=0),"Gebinde unbekannt / Stellmass fehlt; ","")&amp;IF(AND(CA1073=0,N(V1073)&lt;=0,N(Q1073)&lt;=0),"Menge pro Gebinde fehlt (Ist = 1 Gebinde); ","")&amp;BV1073)</f>
        <v>negativer Bestand (Export -1); Überbestand 10 Stk / CHF 1680; grosser Artikel &amp; nicht im KTL</v>
      </c>
      <c r="BO1073" s="60"/>
      <c r="BP1073" s="60"/>
      <c r="BQ1073" s="67"/>
      <c r="BR1073" s="62" t="n">
        <v>-1</v>
      </c>
      <c r="BS1073" s="62" t="n">
        <v>12</v>
      </c>
      <c r="BT1073" s="61" t="n">
        <v>-168</v>
      </c>
      <c r="BU1073" s="62" t="n">
        <v>1</v>
      </c>
      <c r="BV1073" s="60" t="s">
        <v>303</v>
      </c>
      <c r="BW1073" s="65" t="n">
        <v>0</v>
      </c>
      <c r="BX1073" s="65" t="n">
        <v>1073</v>
      </c>
      <c r="BY1073" s="60" t="str">
        <f aca="false">IF(U1073&lt;&gt;"",UPPER(TRIM(U1073)),IF(CB1073=1,UPPER(VLOOKUP(T1073,Parameter!$I$27:$K$29,2,0)),IF(P1073="","LOSE",P1073)))</f>
        <v>S71</v>
      </c>
      <c r="BZ1073" s="62" t="n">
        <f aca="false">IF(BY1073="LOSE",1,IF(N(V1073)&gt;0,V1073,IF(CB1073=1,MAX(1,N(VLOOKUP(T1073,Parameter!$I$27:$K$29,3,0)),H1073,N(N1073)),IF(N(Q1073)&gt;0,Q1073,MAX(1,H1073)))))</f>
        <v>15</v>
      </c>
      <c r="CA1073" s="65" t="n">
        <f aca="false">IF(BY1073="LOSE",1,0)</f>
        <v>0</v>
      </c>
      <c r="CB1073" s="65" t="n">
        <f aca="false">IF(AND(U1073="",OR(P1073="",P1073="LOSE"),T1073&lt;&gt;"",N(S1073)&lt;=0,ISNUMBER(MATCH(T1073,Parameter!$I$27:$I$29,0))),1,0)</f>
        <v>0</v>
      </c>
      <c r="CC1073" s="65" t="n">
        <f aca="false">IF(CR1073&gt;0,INDEX(Parameter!$H$5:$H$7,W1073)/INDEX(Parameter!$E$5:$E$7,W1073),IF(AND(CA1073=0,N(IFERROR(VLOOKUP(BY1073,'Gebinde-Kategorie'!$A$5:$N$45,14,0),0))&gt;0),VLOOKUP(BY1073,'Gebinde-Kategorie'!$A$5:$N$45,14,0)*10+Parameter!$M$23,Parameter!$M$24))</f>
        <v>235</v>
      </c>
      <c r="CD1073" s="60" t="str">
        <f aca="false">IF(AND(Parameter!$B$19="Ja",E1073&lt;&gt;"",ISNUMBER(MATCH(E1073,Parameter!$I$35:$I$52,0))),VLOOKUP(E1073,Parameter!$I$35:$J$52,2,0),IFERROR(VLOOKUP(D1073,Parameter!$A$35:$C$64,2,0),"Nein"))</f>
        <v>2+3</v>
      </c>
      <c r="CE1073" s="64" t="n">
        <f aca="false">IF(CA1073=0,0,IF(N(S1073)&gt;0,S1073,IFERROR(VLOOKUP(D1073,Parameter!$A$35:$C$64,3,0)+0,0)))</f>
        <v>0</v>
      </c>
      <c r="CF1073" s="60" t="n">
        <f aca="false">IF(AB1073&lt;&gt;"",AB1073,AA1073)</f>
        <v>2</v>
      </c>
      <c r="CG1073" s="60" t="str">
        <f aca="false">IF(OR(CF1073=1,CF1073=2,CF1073=3),IF(Parameter!$E$27="Ja","LIFT",IF(CF1073=1,"L1","L23")),IF(CF1073="Aussen","Aussen","-"))</f>
        <v>LIFT</v>
      </c>
      <c r="CH1073" s="71" t="n">
        <f aca="false">IF(N(AC1073)&gt;0,AC1073,0)</f>
        <v>0</v>
      </c>
      <c r="CI1073" s="65" t="n">
        <f aca="false">IF(ISNUMBER(AF1073),1,0)</f>
        <v>0</v>
      </c>
      <c r="CJ1073" s="62" t="n">
        <f aca="false">N(AF1073)</f>
        <v>0</v>
      </c>
      <c r="CK1073" s="62" t="n">
        <f aca="false">N(M1073)+N(N1073)</f>
        <v>1</v>
      </c>
      <c r="CL1073" s="62" t="n">
        <f aca="false">N(M1073)</f>
        <v>0</v>
      </c>
      <c r="CM1073" s="62" t="n">
        <f aca="false">N(N1073)</f>
        <v>1</v>
      </c>
      <c r="CN1073" s="62" t="n">
        <f aca="false">ROUNDUP(H1073/BZ1073,0)</f>
        <v>1</v>
      </c>
      <c r="CO1073" s="62" t="n">
        <f aca="false">ROUNDUP(CJ1073/BZ1073,0)</f>
        <v>0</v>
      </c>
      <c r="CP1073" s="65" t="n">
        <f aca="false">IF(CA1073=1,0,IFERROR(VLOOKUP(BY1073,'Gebinde-Kategorie'!$A$5:$N$45,5,0)+0,0))</f>
        <v>20</v>
      </c>
      <c r="CQ1073" s="65" t="n">
        <f aca="false">IFERROR(IF(OR(CF1073=1,CF1073=2,CF1073=3),N(INDEX(Parameter!$I$5:$I$7,CF1073)),0),0)</f>
        <v>0</v>
      </c>
      <c r="CR1073" s="64" t="n">
        <f aca="false">IF(AND(Parameter!$B$21="Ja",ISNUMBER(W1073),N(X1073)&gt;0),IFERROR(N(INDEX(Parameter!$L$5:$L$7,W1073))*INDEX(Parameter!$E$5:$E$7,W1073)*X1073/SUMIFS($X$7:$X$1843,$W$7:$W$1843,W1073),0),0)</f>
        <v>0</v>
      </c>
      <c r="CS1073" s="62" t="n">
        <f aca="false">IF(AND(OR(CG1073="L1",CG1073="L23",CG1073="LIFT"),H1073&gt;0),CC1073*IF(CR1073&gt;0,CR1073*MAX(1,H1073/X1073),IF(CA1073=1,CE1073,IF(R1073&gt;0,CN1073/R1073,0))/MAX(0.1,N(Parameter!$M$21))),"")</f>
        <v>39.1666666666667</v>
      </c>
      <c r="CT1073" s="64" t="n">
        <f aca="false">IF(CS1073="","",J1073/H1073)</f>
        <v>0.0909090909090909</v>
      </c>
      <c r="CU1073" s="62" t="n">
        <f aca="false">IF(CS1073="","",H1073*G1073)</f>
        <v>1848</v>
      </c>
      <c r="CV1073" s="63" t="n">
        <f aca="false">IF(CS1073="","",(CL1073+ROUNDUP(CL1073+MAX(CM1073,2*(J1073/MAX(0.1,N(Einkauf!$C$6))-CL1073)),0))/2)</f>
        <v>0.5</v>
      </c>
      <c r="CW1073" s="62" t="n">
        <f aca="false">IF(CS1073="","",MAX(0,H1073-CV1073)*G1073)</f>
        <v>1764</v>
      </c>
      <c r="CX1073" s="62" t="n">
        <f aca="false">IF(CS1073="","",CS1073*MAX(0,1-CV1073/H1073))</f>
        <v>37.3863636363636</v>
      </c>
      <c r="CY1073" s="64" t="n">
        <f aca="false">IF(CS1073="","",PERCENTRANK($CS$7:$CS$1843,CS1073)+PERCENTRANK($CU$7:$CU$1843,CU1073)+1-PERCENTRANK($CT$7:$CT$1843,CT1073))</f>
        <v>2.192</v>
      </c>
      <c r="CZ1073" s="72" t="n">
        <f aca="false">IF(CS1073="","",CHOOSE(MATCH(Einkauf!$C$5,Parameter!$G$23:$G$27,0),CY1073,CS1073,CU1073,-CT1073,CW1073)+ROW()/1000000000)</f>
        <v>2.192001073</v>
      </c>
    </row>
    <row r="1074" customFormat="false" ht="15" hidden="false" customHeight="false" outlineLevel="0" collapsed="false">
      <c r="A1074" s="60" t="s">
        <v>2003</v>
      </c>
      <c r="B1074" s="60" t="s">
        <v>389</v>
      </c>
      <c r="C1074" s="60" t="s">
        <v>206</v>
      </c>
      <c r="D1074" s="60" t="s">
        <v>215</v>
      </c>
      <c r="E1074" s="60" t="s">
        <v>215</v>
      </c>
      <c r="F1074" s="60" t="s">
        <v>260</v>
      </c>
      <c r="G1074" s="61" t="n">
        <v>43.8</v>
      </c>
      <c r="H1074" s="62" t="n">
        <f aca="false">MAX(0,IF(AND(Parameter!$B$21="Ja",ISNUMBER(Y1074)),Y1074,IF(Parameter!$B$20="Jahresanfang 2025 + Export",BS1074+BR1074,BR1074)))</f>
        <v>28</v>
      </c>
      <c r="I1074" s="62" t="n">
        <f aca="false">H1074*G1074</f>
        <v>1226.4</v>
      </c>
      <c r="J1074" s="62" t="n">
        <f aca="false">BU1074*Parameter!$B$18</f>
        <v>4</v>
      </c>
      <c r="K1074" s="63" t="n">
        <v>30</v>
      </c>
      <c r="L1074" s="64" t="n">
        <v>0.133333333333333</v>
      </c>
      <c r="M1074" s="62" t="n">
        <v>0</v>
      </c>
      <c r="N1074" s="62" t="n">
        <v>5</v>
      </c>
      <c r="O1074" s="65" t="n">
        <v>70</v>
      </c>
      <c r="P1074" s="60" t="s">
        <v>268</v>
      </c>
      <c r="Q1074" s="62" t="n">
        <v>30</v>
      </c>
      <c r="R1074" s="65" t="n">
        <f aca="false">IF(CA1074=1,0,IFERROR(VLOOKUP(BY1074,'Gebinde-Kategorie'!$A$5:$N$45,13,0)+0,0))</f>
        <v>12</v>
      </c>
      <c r="S1074" s="66"/>
      <c r="T1074" s="67"/>
      <c r="U1074" s="67"/>
      <c r="V1074" s="67"/>
      <c r="W1074" s="60"/>
      <c r="X1074" s="62"/>
      <c r="Y1074" s="62"/>
      <c r="Z1074" s="60"/>
      <c r="AA1074" s="60" t="str">
        <f aca="false">IF(A1074="","",IF(AND(Parameter!$B$21="Ja",ISNUMBER(W1074)),W1074,IF(AND(Parameter!$E$27="Ja",ISNUMBER(Z1074),CD1074&lt;&gt;"Nein"),Z1074,IF(CD1074="2+3",IF(ISNUMBER(SEARCH("grosser Artikel",BV1074)),2,IFERROR(VLOOKUP(BY1074,Parameter!$F$35:$G$64,2,0),2)),IF(OR(CD1074="Nein",CD1074=""),"-",CD1074)))))</f>
        <v>-</v>
      </c>
      <c r="AB1074" s="67"/>
      <c r="AC1074" s="68"/>
      <c r="AD1074" s="62" t="n">
        <f aca="false">AW1074</f>
        <v>5</v>
      </c>
      <c r="AE1074" s="62" t="n">
        <f aca="false">MAX(AW1074,H1074)</f>
        <v>28</v>
      </c>
      <c r="AF1074" s="69"/>
      <c r="AG1074" s="62" t="n">
        <f aca="false">IF(LEFT(Cockpit!$C$5,1)="A",H1074,IF(Parameter!$E$30="MAX-Bestand",IF(CI1074=1,CJ1074,IF(LEFT(Cockpit!$C$5,1)="B",AM1074,MAX(AM1074,H1074))),ROUNDUP(AK1074,0)))</f>
        <v>28</v>
      </c>
      <c r="AH1074" s="62" t="n">
        <f aca="false">IF(CA1074=1,0,ROUNDUP(AG1074/BZ1074,0))</f>
        <v>1</v>
      </c>
      <c r="AI1074" s="64" t="n">
        <f aca="false">IF(CR1074&gt;0,CR1074*MAX(1,AG1074/X1074),IF(CA1074=1,IF(AG1074&lt;=0,0,CE1074*MAX(1,IF(H1074&gt;0,AG1074/H1074,1))),IF(R1074&gt;0,AH1074/R1074,0))/MAX(0.1,N(Parameter!$M$21)))</f>
        <v>0.0833333333333333</v>
      </c>
      <c r="AJ1074" s="62" t="n">
        <f aca="false">AI1074*CC1074</f>
        <v>28.75</v>
      </c>
      <c r="AK1074" s="63" t="n">
        <f aca="false">IF(LEFT(Cockpit!$C$5,1)="A",H1074,IF(CI1074=1,(CL1074+CJ1074)/2,IF(LEFT(Cockpit!$C$5,1)="B",(CL1074+AM1074)/2,MAX((CL1074+AM1074)/2,H1074))))</f>
        <v>28</v>
      </c>
      <c r="AL1074" s="62" t="n">
        <f aca="false">AK1074*G1074</f>
        <v>1226.4</v>
      </c>
      <c r="AM1074" s="62" t="n">
        <f aca="false">ROUNDUP(CL1074+MAX(CM1074,2*(J1074/IF(CH1074&gt;0,CH1074,MAX(0.1,N(Cockpit!$C$6)))-CL1074)),0)</f>
        <v>5</v>
      </c>
      <c r="AN1074" s="63" t="n">
        <f aca="false">IF(AJ1074&gt;0,J1074/AJ1074,-1)</f>
        <v>0.139130434782609</v>
      </c>
      <c r="AO1074" s="63" t="str">
        <f aca="false">IF(AND(OR(CG1074="L1",CG1074="L23",CG1074="LIFT"),AJ1074&gt;0),SUMIFS($AJ$7:$AJ$1843,$CG$7:$CG$1843,CG1074,$AN$7:$AN$1843,"&gt;"&amp;AN1074)+SUMIFS($AJ$7:$AJ$1843,$CG$7:$CG$1843,CG1074,$AN$7:$AN$1843,AN1074,$BX$7:$BX$1843,"&lt;="&amp;BX1074),"")</f>
        <v/>
      </c>
      <c r="AP1074" s="70" t="n">
        <f aca="false">IF(AO1074="",0,MAX(0,MIN(1,(IF(CG1074="L1",Parameter!$H$5,IF(CG1074="L23",Parameter!$H$6+Parameter!$H$7,Parameter!$H$5+Parameter!$H$6+Parameter!$H$7))-(AO1074-AJ1074))/AJ1074)))</f>
        <v>0</v>
      </c>
      <c r="AQ1074" s="62" t="n">
        <f aca="false">IF(LEFT(Cockpit!$I$5,1)="A",H1074,IF(Parameter!$E$30="MAX-Bestand",IF(CI1074=1,CJ1074,IF(LEFT(Cockpit!$I$5,1)="B",AW1074,MAX(AW1074,H1074))),ROUNDUP(AU1074,0)))</f>
        <v>28</v>
      </c>
      <c r="AR1074" s="62" t="n">
        <f aca="false">IF(CA1074=1,0,ROUNDUP(AQ1074/BZ1074,0))</f>
        <v>1</v>
      </c>
      <c r="AS1074" s="64" t="n">
        <f aca="false">IF(CR1074&gt;0,CR1074*MAX(1,AQ1074/X1074),IF(CA1074=1,IF(AQ1074&lt;=0,0,CE1074*MAX(1,IF(H1074&gt;0,AQ1074/H1074,1))),IF(R1074&gt;0,AR1074/R1074,0))/MAX(0.1,N(Parameter!$M$21)))</f>
        <v>0.0833333333333333</v>
      </c>
      <c r="AT1074" s="62" t="n">
        <f aca="false">AS1074*CC1074</f>
        <v>28.75</v>
      </c>
      <c r="AU1074" s="63" t="n">
        <f aca="false">IF(LEFT(Cockpit!$I$5,1)="A",H1074,IF(CI1074=1,(CL1074+CJ1074)/2,IF(LEFT(Cockpit!$I$5,1)="B",(CL1074+AW1074)/2,MAX((CL1074+AW1074)/2,H1074))))</f>
        <v>28</v>
      </c>
      <c r="AV1074" s="62" t="n">
        <f aca="false">AU1074*G1074</f>
        <v>1226.4</v>
      </c>
      <c r="AW1074" s="62" t="n">
        <f aca="false">ROUNDUP(CL1074+MAX(CM1074,2*(J1074/IF(CH1074&gt;0,CH1074,MAX(0.1,N(Cockpit!$I$6)))-CL1074)),0)</f>
        <v>5</v>
      </c>
      <c r="AX1074" s="63" t="n">
        <f aca="false">IF(AT1074&gt;0,J1074/AT1074,-1)</f>
        <v>0.139130434782609</v>
      </c>
      <c r="AY1074" s="63" t="str">
        <f aca="false">IF(AND(OR(CG1074="L1",CG1074="L23",CG1074="LIFT"),AT1074&gt;0),SUMIFS($AT$7:$AT$1843,$CG$7:$CG$1843,CG1074,$AX$7:$AX$1843,"&gt;"&amp;AX1074)+SUMIFS($AT$7:$AT$1843,$CG$7:$CG$1843,CG1074,$AX$7:$AX$1843,AX1074,$BX$7:$BX$1843,"&lt;="&amp;BX1074),"")</f>
        <v/>
      </c>
      <c r="AZ1074" s="70" t="n">
        <f aca="false">IF(AY1074="",0,MAX(0,MIN(1,(IF(CG1074="L1",Parameter!$H$5,IF(CG1074="L23",Parameter!$H$6+Parameter!$H$7,Parameter!$H$5+Parameter!$H$6+Parameter!$H$7))-(AY1074-AT1074))/AT1074)))</f>
        <v>0</v>
      </c>
      <c r="BA1074" s="62" t="n">
        <f aca="false">IF(LEFT(Cockpit!$O$5,1)="A",H1074,IF(Parameter!$E$30="MAX-Bestand",IF(CI1074=1,CJ1074,IF(LEFT(Cockpit!$O$5,1)="B",BG1074,MAX(BG1074,H1074))),ROUNDUP(BE1074,0)))</f>
        <v>3</v>
      </c>
      <c r="BB1074" s="62" t="n">
        <f aca="false">IF(CA1074=1,0,ROUNDUP(BA1074/BZ1074,0))</f>
        <v>1</v>
      </c>
      <c r="BC1074" s="64" t="n">
        <f aca="false">IF(CR1074&gt;0,CR1074*MAX(1,BA1074/X1074),IF(CA1074=1,IF(BA1074&lt;=0,0,CE1074*MAX(1,IF(H1074&gt;0,BA1074/H1074,1))),IF(R1074&gt;0,BB1074/R1074,0))/MAX(0.1,N(Parameter!$M$21)))</f>
        <v>0.0833333333333333</v>
      </c>
      <c r="BD1074" s="62" t="n">
        <f aca="false">BC1074*CC1074</f>
        <v>28.75</v>
      </c>
      <c r="BE1074" s="63" t="n">
        <f aca="false">IF(LEFT(Cockpit!$O$5,1)="A",H1074,IF(CI1074=1,(CL1074+CJ1074)/2,IF(LEFT(Cockpit!$O$5,1)="B",(CL1074+BG1074)/2,MAX((CL1074+BG1074)/2,H1074))))</f>
        <v>2.5</v>
      </c>
      <c r="BF1074" s="62" t="n">
        <f aca="false">BE1074*G1074</f>
        <v>109.5</v>
      </c>
      <c r="BG1074" s="62" t="n">
        <f aca="false">ROUNDUP(CL1074+MAX(CM1074,2*(J1074/IF(CH1074&gt;0,CH1074,MAX(0.1,N(Cockpit!$O$6)))-CL1074)),0)</f>
        <v>5</v>
      </c>
      <c r="BH1074" s="63" t="n">
        <f aca="false">IF(BD1074&gt;0,J1074/BD1074,-1)</f>
        <v>0.139130434782609</v>
      </c>
      <c r="BI1074" s="63" t="str">
        <f aca="false">IF(AND(OR(CG1074="L1",CG1074="L23",CG1074="LIFT"),BD1074&gt;0),SUMIFS($BD$7:$BD$1843,$CG$7:$CG$1843,CG1074,$BH$7:$BH$1843,"&gt;"&amp;BH1074)+SUMIFS($BD$7:$BD$1843,$CG$7:$CG$1843,CG1074,$BH$7:$BH$1843,BH1074,$BX$7:$BX$1843,"&lt;="&amp;BX1074),"")</f>
        <v/>
      </c>
      <c r="BJ1074" s="70" t="n">
        <f aca="false">IF(BI1074="",0,MAX(0,MIN(1,(IF(CG1074="L1",Parameter!$H$5,IF(CG1074="L23",Parameter!$H$6+Parameter!$H$7,Parameter!$H$5+Parameter!$H$6+Parameter!$H$7))-(BI1074-BD1074))/BD1074)))</f>
        <v>0</v>
      </c>
      <c r="BK1074" s="60" t="str">
        <f aca="false">IF(AJ1074&lt;=0,"",IF(CG1074="Aussen","Aussenlager",IF(CG1074="-","Nicht im Lift",IF(AP1074&gt;=1,"Lift",IF(AP1074&lt;=0,"Aussenlager","teilweise")))))</f>
        <v>Nicht im Lift</v>
      </c>
      <c r="BL1074" s="60" t="str">
        <f aca="false">IF(AT1074&lt;=0,"",IF(CG1074="Aussen","Aussenlager",IF(CG1074="-","Nicht im Lift",IF(AZ1074&gt;=1,"Lift",IF(AZ1074&lt;=0,"Aussenlager","teilweise")))))</f>
        <v>Nicht im Lift</v>
      </c>
      <c r="BM1074" s="60" t="str">
        <f aca="false">IF(BD1074&lt;=0,"",IF(CG1074="Aussen","Aussenlager",IF(CG1074="-","Nicht im Lift",IF(BJ1074&gt;=1,"Lift",IF(BJ1074&lt;=0,"Aussenlager","teilweise")))))</f>
        <v>Nicht im Lift</v>
      </c>
      <c r="BN1074" s="60" t="str">
        <f aca="false">IF(A1074="","",IF(BW1074=1,"Neu; ","")&amp;IF(AND(BW1074=0,BR1074&lt;0),"negativer Bestand (Export "&amp;BR1074&amp;"); ","")&amp;IF(J1074&lt;=0,"Kein Verbrauch; ","")&amp;IF(CR1074&gt;0,"Lift "&amp;W1074&amp;" lt. Liftbericht (Fach "&amp;X1074&amp;" Stk); ",IF(CB1074=1,"Gebinde geschätzt ("&amp;T1074&amp;"); ",IF(CA1074=1,"Lose – Tablare geschätzt; ","")))&amp;IF(H1074&gt;AW1074,"Überbestand "&amp;ROUND(H1074-AW1074,0)&amp;" Stk / CHF "&amp;ROUND((H1074-AW1074)*G1074,0)&amp;"; ","")&amp;IF(AND(CI1074=1,CJ1074&lt;CK1074),"MAX &lt; MB+LG; ","")&amp;IF(AND(CQ1074&gt;0,CP1074*10&gt;CQ1074),"zu hoch für Tablar; ","")&amp;IF(AND(BW1074=0,OR(CI1074=1,AB1074&lt;&gt;"",U1074&lt;&gt;"",V1074&lt;&gt;"",AC1074&lt;&gt;"")),"manuell übersteuert; ","")&amp;IF(AND(CA1074=0,R1074=0),"Gebinde unbekannt / Stellmass fehlt; ","")&amp;IF(AND(CA1074=0,N(V1074)&lt;=0,N(Q1074)&lt;=0),"Menge pro Gebinde fehlt (Ist = 1 Gebinde); ","")&amp;BV1074)</f>
        <v>negativer Bestand (Export -4); Überbestand 23 Stk / CHF 1007; Überbestand</v>
      </c>
      <c r="BO1074" s="60"/>
      <c r="BP1074" s="60"/>
      <c r="BQ1074" s="67"/>
      <c r="BR1074" s="62" t="n">
        <v>-4</v>
      </c>
      <c r="BS1074" s="62" t="n">
        <v>32</v>
      </c>
      <c r="BT1074" s="61" t="n">
        <v>-175.2</v>
      </c>
      <c r="BU1074" s="62" t="n">
        <v>4</v>
      </c>
      <c r="BV1074" s="60" t="s">
        <v>434</v>
      </c>
      <c r="BW1074" s="65" t="n">
        <v>0</v>
      </c>
      <c r="BX1074" s="65" t="n">
        <v>1074</v>
      </c>
      <c r="BY1074" s="60" t="str">
        <f aca="false">IF(U1074&lt;&gt;"",UPPER(TRIM(U1074)),IF(CB1074=1,UPPER(VLOOKUP(T1074,Parameter!$I$27:$K$29,2,0)),IF(P1074="","LOSE",P1074)))</f>
        <v>S63</v>
      </c>
      <c r="BZ1074" s="62" t="n">
        <f aca="false">IF(BY1074="LOSE",1,IF(N(V1074)&gt;0,V1074,IF(CB1074=1,MAX(1,N(VLOOKUP(T1074,Parameter!$I$27:$K$29,3,0)),H1074,N(N1074)),IF(N(Q1074)&gt;0,Q1074,MAX(1,H1074)))))</f>
        <v>30</v>
      </c>
      <c r="CA1074" s="65" t="n">
        <f aca="false">IF(BY1074="LOSE",1,0)</f>
        <v>0</v>
      </c>
      <c r="CB1074" s="65" t="n">
        <f aca="false">IF(AND(U1074="",OR(P1074="",P1074="LOSE"),T1074&lt;&gt;"",N(S1074)&lt;=0,ISNUMBER(MATCH(T1074,Parameter!$I$27:$I$29,0))),1,0)</f>
        <v>0</v>
      </c>
      <c r="CC1074" s="65" t="n">
        <f aca="false">IF(CR1074&gt;0,INDEX(Parameter!$H$5:$H$7,W1074)/INDEX(Parameter!$E$5:$E$7,W1074),IF(AND(CA1074=0,N(IFERROR(VLOOKUP(BY1074,'Gebinde-Kategorie'!$A$5:$N$45,14,0),0))&gt;0),VLOOKUP(BY1074,'Gebinde-Kategorie'!$A$5:$N$45,14,0)*10+Parameter!$M$23,Parameter!$M$24))</f>
        <v>345</v>
      </c>
      <c r="CD1074" s="60" t="str">
        <f aca="false">IF(AND(Parameter!$B$19="Ja",E1074&lt;&gt;"",ISNUMBER(MATCH(E1074,Parameter!$I$35:$I$52,0))),VLOOKUP(E1074,Parameter!$I$35:$J$52,2,0),IFERROR(VLOOKUP(D1074,Parameter!$A$35:$C$64,2,0),"Nein"))</f>
        <v>Nein</v>
      </c>
      <c r="CE1074" s="64" t="n">
        <f aca="false">IF(CA1074=0,0,IF(N(S1074)&gt;0,S1074,IFERROR(VLOOKUP(D1074,Parameter!$A$35:$C$64,3,0)+0,0)))</f>
        <v>0</v>
      </c>
      <c r="CF1074" s="60" t="str">
        <f aca="false">IF(AB1074&lt;&gt;"",AB1074,AA1074)</f>
        <v>-</v>
      </c>
      <c r="CG1074" s="60" t="str">
        <f aca="false">IF(OR(CF1074=1,CF1074=2,CF1074=3),IF(Parameter!$E$27="Ja","LIFT",IF(CF1074=1,"L1","L23")),IF(CF1074="Aussen","Aussen","-"))</f>
        <v>-</v>
      </c>
      <c r="CH1074" s="71" t="n">
        <f aca="false">IF(N(AC1074)&gt;0,AC1074,0)</f>
        <v>0</v>
      </c>
      <c r="CI1074" s="65" t="n">
        <f aca="false">IF(ISNUMBER(AF1074),1,0)</f>
        <v>0</v>
      </c>
      <c r="CJ1074" s="62" t="n">
        <f aca="false">N(AF1074)</f>
        <v>0</v>
      </c>
      <c r="CK1074" s="62" t="n">
        <f aca="false">N(M1074)+N(N1074)</f>
        <v>5</v>
      </c>
      <c r="CL1074" s="62" t="n">
        <f aca="false">N(M1074)</f>
        <v>0</v>
      </c>
      <c r="CM1074" s="62" t="n">
        <f aca="false">N(N1074)</f>
        <v>5</v>
      </c>
      <c r="CN1074" s="62" t="n">
        <f aca="false">ROUNDUP(H1074/BZ1074,0)</f>
        <v>1</v>
      </c>
      <c r="CO1074" s="62" t="n">
        <f aca="false">ROUNDUP(CJ1074/BZ1074,0)</f>
        <v>0</v>
      </c>
      <c r="CP1074" s="65" t="n">
        <f aca="false">IF(CA1074=1,0,IFERROR(VLOOKUP(BY1074,'Gebinde-Kategorie'!$A$5:$N$45,5,0)+0,0))</f>
        <v>31</v>
      </c>
      <c r="CQ1074" s="65" t="n">
        <f aca="false">IFERROR(IF(OR(CF1074=1,CF1074=2,CF1074=3),N(INDEX(Parameter!$I$5:$I$7,CF1074)),0),0)</f>
        <v>0</v>
      </c>
      <c r="CR1074" s="64" t="n">
        <f aca="false">IF(AND(Parameter!$B$21="Ja",ISNUMBER(W1074),N(X1074)&gt;0),IFERROR(N(INDEX(Parameter!$L$5:$L$7,W1074))*INDEX(Parameter!$E$5:$E$7,W1074)*X1074/SUMIFS($X$7:$X$1843,$W$7:$W$1843,W1074),0),0)</f>
        <v>0</v>
      </c>
      <c r="CS1074" s="62" t="str">
        <f aca="false">IF(AND(OR(CG1074="L1",CG1074="L23",CG1074="LIFT"),H1074&gt;0),CC1074*IF(CR1074&gt;0,CR1074*MAX(1,H1074/X1074),IF(CA1074=1,CE1074,IF(R1074&gt;0,CN1074/R1074,0))/MAX(0.1,N(Parameter!$M$21))),"")</f>
        <v/>
      </c>
      <c r="CT1074" s="64" t="str">
        <f aca="false">IF(CS1074="","",J1074/H1074)</f>
        <v/>
      </c>
      <c r="CU1074" s="62" t="str">
        <f aca="false">IF(CS1074="","",H1074*G1074)</f>
        <v/>
      </c>
      <c r="CV1074" s="63" t="str">
        <f aca="false">IF(CS1074="","",(CL1074+ROUNDUP(CL1074+MAX(CM1074,2*(J1074/MAX(0.1,N(Einkauf!$C$6))-CL1074)),0))/2)</f>
        <v/>
      </c>
      <c r="CW1074" s="62" t="str">
        <f aca="false">IF(CS1074="","",MAX(0,H1074-CV1074)*G1074)</f>
        <v/>
      </c>
      <c r="CX1074" s="62" t="str">
        <f aca="false">IF(CS1074="","",CS1074*MAX(0,1-CV1074/H1074))</f>
        <v/>
      </c>
      <c r="CY1074" s="64" t="str">
        <f aca="false">IF(CS1074="","",PERCENTRANK($CS$7:$CS$1843,CS1074)+PERCENTRANK($CU$7:$CU$1843,CU1074)+1-PERCENTRANK($CT$7:$CT$1843,CT1074))</f>
        <v/>
      </c>
      <c r="CZ1074" s="72" t="str">
        <f aca="false">IF(CS1074="","",CHOOSE(MATCH(Einkauf!$C$5,Parameter!$G$23:$G$27,0),CY1074,CS1074,CU1074,-CT1074,CW1074)+ROW()/1000000000)</f>
        <v/>
      </c>
    </row>
    <row r="1075" customFormat="false" ht="15" hidden="false" customHeight="false" outlineLevel="0" collapsed="false">
      <c r="A1075" s="60" t="s">
        <v>2004</v>
      </c>
      <c r="B1075" s="60" t="s">
        <v>2005</v>
      </c>
      <c r="C1075" s="60" t="s">
        <v>206</v>
      </c>
      <c r="D1075" s="60" t="s">
        <v>226</v>
      </c>
      <c r="E1075" s="60" t="s">
        <v>215</v>
      </c>
      <c r="F1075" s="60" t="s">
        <v>260</v>
      </c>
      <c r="G1075" s="61" t="n">
        <v>111.1</v>
      </c>
      <c r="H1075" s="62" t="n">
        <f aca="false">MAX(0,IF(AND(Parameter!$B$21="Ja",ISNUMBER(Y1075)),Y1075,IF(Parameter!$B$20="Jahresanfang 2025 + Export",BS1075+BR1075,BR1075)))</f>
        <v>2</v>
      </c>
      <c r="I1075" s="62" t="n">
        <f aca="false">H1075*G1075</f>
        <v>222.2</v>
      </c>
      <c r="J1075" s="62" t="n">
        <f aca="false">BU1075*Parameter!$B$18</f>
        <v>2</v>
      </c>
      <c r="K1075" s="63" t="n">
        <v>3</v>
      </c>
      <c r="L1075" s="64" t="n">
        <v>0.666666666666667</v>
      </c>
      <c r="M1075" s="62" t="n">
        <v>0</v>
      </c>
      <c r="N1075" s="62" t="n">
        <v>1</v>
      </c>
      <c r="O1075" s="65" t="n">
        <v>28</v>
      </c>
      <c r="P1075" s="60" t="s">
        <v>463</v>
      </c>
      <c r="Q1075" s="62" t="n">
        <v>3</v>
      </c>
      <c r="R1075" s="65" t="n">
        <f aca="false">IF(CA1075=1,0,IFERROR(VLOOKUP(BY1075,'Gebinde-Kategorie'!$A$5:$N$45,13,0)+0,0))</f>
        <v>104</v>
      </c>
      <c r="S1075" s="66"/>
      <c r="T1075" s="67"/>
      <c r="U1075" s="67"/>
      <c r="V1075" s="67"/>
      <c r="W1075" s="60"/>
      <c r="X1075" s="62"/>
      <c r="Y1075" s="62"/>
      <c r="Z1075" s="60"/>
      <c r="AA1075" s="60" t="str">
        <f aca="false">IF(A1075="","",IF(AND(Parameter!$B$21="Ja",ISNUMBER(W1075)),W1075,IF(AND(Parameter!$E$27="Ja",ISNUMBER(Z1075),CD1075&lt;&gt;"Nein"),Z1075,IF(CD1075="2+3",IF(ISNUMBER(SEARCH("grosser Artikel",BV1075)),2,IFERROR(VLOOKUP(BY1075,Parameter!$F$35:$G$64,2,0),2)),IF(OR(CD1075="Nein",CD1075=""),"-",CD1075)))))</f>
        <v>-</v>
      </c>
      <c r="AB1075" s="67"/>
      <c r="AC1075" s="68"/>
      <c r="AD1075" s="62" t="n">
        <f aca="false">AW1075</f>
        <v>2</v>
      </c>
      <c r="AE1075" s="62" t="n">
        <f aca="false">MAX(AW1075,H1075)</f>
        <v>2</v>
      </c>
      <c r="AF1075" s="69"/>
      <c r="AG1075" s="62" t="n">
        <f aca="false">IF(LEFT(Cockpit!$C$5,1)="A",H1075,IF(Parameter!$E$30="MAX-Bestand",IF(CI1075=1,CJ1075,IF(LEFT(Cockpit!$C$5,1)="B",AM1075,MAX(AM1075,H1075))),ROUNDUP(AK1075,0)))</f>
        <v>2</v>
      </c>
      <c r="AH1075" s="62" t="n">
        <f aca="false">IF(CA1075=1,0,ROUNDUP(AG1075/BZ1075,0))</f>
        <v>1</v>
      </c>
      <c r="AI1075" s="64" t="n">
        <f aca="false">IF(CR1075&gt;0,CR1075*MAX(1,AG1075/X1075),IF(CA1075=1,IF(AG1075&lt;=0,0,CE1075*MAX(1,IF(H1075&gt;0,AG1075/H1075,1))),IF(R1075&gt;0,AH1075/R1075,0))/MAX(0.1,N(Parameter!$M$21)))</f>
        <v>0.00961538461538462</v>
      </c>
      <c r="AJ1075" s="62" t="n">
        <f aca="false">AI1075*CC1075</f>
        <v>1.49038461538462</v>
      </c>
      <c r="AK1075" s="63" t="n">
        <f aca="false">IF(LEFT(Cockpit!$C$5,1)="A",H1075,IF(CI1075=1,(CL1075+CJ1075)/2,IF(LEFT(Cockpit!$C$5,1)="B",(CL1075+AM1075)/2,MAX((CL1075+AM1075)/2,H1075))))</f>
        <v>2</v>
      </c>
      <c r="AL1075" s="62" t="n">
        <f aca="false">AK1075*G1075</f>
        <v>222.2</v>
      </c>
      <c r="AM1075" s="62" t="n">
        <f aca="false">ROUNDUP(CL1075+MAX(CM1075,2*(J1075/IF(CH1075&gt;0,CH1075,MAX(0.1,N(Cockpit!$C$6)))-CL1075)),0)</f>
        <v>2</v>
      </c>
      <c r="AN1075" s="63" t="n">
        <f aca="false">IF(AJ1075&gt;0,J1075/AJ1075,-1)</f>
        <v>1.34193548387097</v>
      </c>
      <c r="AO1075" s="63" t="str">
        <f aca="false">IF(AND(OR(CG1075="L1",CG1075="L23",CG1075="LIFT"),AJ1075&gt;0),SUMIFS($AJ$7:$AJ$1843,$CG$7:$CG$1843,CG1075,$AN$7:$AN$1843,"&gt;"&amp;AN1075)+SUMIFS($AJ$7:$AJ$1843,$CG$7:$CG$1843,CG1075,$AN$7:$AN$1843,AN1075,$BX$7:$BX$1843,"&lt;="&amp;BX1075),"")</f>
        <v/>
      </c>
      <c r="AP1075" s="70" t="n">
        <f aca="false">IF(AO1075="",0,MAX(0,MIN(1,(IF(CG1075="L1",Parameter!$H$5,IF(CG1075="L23",Parameter!$H$6+Parameter!$H$7,Parameter!$H$5+Parameter!$H$6+Parameter!$H$7))-(AO1075-AJ1075))/AJ1075)))</f>
        <v>0</v>
      </c>
      <c r="AQ1075" s="62" t="n">
        <f aca="false">IF(LEFT(Cockpit!$I$5,1)="A",H1075,IF(Parameter!$E$30="MAX-Bestand",IF(CI1075=1,CJ1075,IF(LEFT(Cockpit!$I$5,1)="B",AW1075,MAX(AW1075,H1075))),ROUNDUP(AU1075,0)))</f>
        <v>2</v>
      </c>
      <c r="AR1075" s="62" t="n">
        <f aca="false">IF(CA1075=1,0,ROUNDUP(AQ1075/BZ1075,0))</f>
        <v>1</v>
      </c>
      <c r="AS1075" s="64" t="n">
        <f aca="false">IF(CR1075&gt;0,CR1075*MAX(1,AQ1075/X1075),IF(CA1075=1,IF(AQ1075&lt;=0,0,CE1075*MAX(1,IF(H1075&gt;0,AQ1075/H1075,1))),IF(R1075&gt;0,AR1075/R1075,0))/MAX(0.1,N(Parameter!$M$21)))</f>
        <v>0.00961538461538462</v>
      </c>
      <c r="AT1075" s="62" t="n">
        <f aca="false">AS1075*CC1075</f>
        <v>1.49038461538462</v>
      </c>
      <c r="AU1075" s="63" t="n">
        <f aca="false">IF(LEFT(Cockpit!$I$5,1)="A",H1075,IF(CI1075=1,(CL1075+CJ1075)/2,IF(LEFT(Cockpit!$I$5,1)="B",(CL1075+AW1075)/2,MAX((CL1075+AW1075)/2,H1075))))</f>
        <v>2</v>
      </c>
      <c r="AV1075" s="62" t="n">
        <f aca="false">AU1075*G1075</f>
        <v>222.2</v>
      </c>
      <c r="AW1075" s="62" t="n">
        <f aca="false">ROUNDUP(CL1075+MAX(CM1075,2*(J1075/IF(CH1075&gt;0,CH1075,MAX(0.1,N(Cockpit!$I$6)))-CL1075)),0)</f>
        <v>2</v>
      </c>
      <c r="AX1075" s="63" t="n">
        <f aca="false">IF(AT1075&gt;0,J1075/AT1075,-1)</f>
        <v>1.34193548387097</v>
      </c>
      <c r="AY1075" s="63" t="str">
        <f aca="false">IF(AND(OR(CG1075="L1",CG1075="L23",CG1075="LIFT"),AT1075&gt;0),SUMIFS($AT$7:$AT$1843,$CG$7:$CG$1843,CG1075,$AX$7:$AX$1843,"&gt;"&amp;AX1075)+SUMIFS($AT$7:$AT$1843,$CG$7:$CG$1843,CG1075,$AX$7:$AX$1843,AX1075,$BX$7:$BX$1843,"&lt;="&amp;BX1075),"")</f>
        <v/>
      </c>
      <c r="AZ1075" s="70" t="n">
        <f aca="false">IF(AY1075="",0,MAX(0,MIN(1,(IF(CG1075="L1",Parameter!$H$5,IF(CG1075="L23",Parameter!$H$6+Parameter!$H$7,Parameter!$H$5+Parameter!$H$6+Parameter!$H$7))-(AY1075-AT1075))/AT1075)))</f>
        <v>0</v>
      </c>
      <c r="BA1075" s="62" t="n">
        <f aca="false">IF(LEFT(Cockpit!$O$5,1)="A",H1075,IF(Parameter!$E$30="MAX-Bestand",IF(CI1075=1,CJ1075,IF(LEFT(Cockpit!$O$5,1)="B",BG1075,MAX(BG1075,H1075))),ROUNDUP(BE1075,0)))</f>
        <v>1</v>
      </c>
      <c r="BB1075" s="62" t="n">
        <f aca="false">IF(CA1075=1,0,ROUNDUP(BA1075/BZ1075,0))</f>
        <v>1</v>
      </c>
      <c r="BC1075" s="64" t="n">
        <f aca="false">IF(CR1075&gt;0,CR1075*MAX(1,BA1075/X1075),IF(CA1075=1,IF(BA1075&lt;=0,0,CE1075*MAX(1,IF(H1075&gt;0,BA1075/H1075,1))),IF(R1075&gt;0,BB1075/R1075,0))/MAX(0.1,N(Parameter!$M$21)))</f>
        <v>0.00961538461538462</v>
      </c>
      <c r="BD1075" s="62" t="n">
        <f aca="false">BC1075*CC1075</f>
        <v>1.49038461538462</v>
      </c>
      <c r="BE1075" s="63" t="n">
        <f aca="false">IF(LEFT(Cockpit!$O$5,1)="A",H1075,IF(CI1075=1,(CL1075+CJ1075)/2,IF(LEFT(Cockpit!$O$5,1)="B",(CL1075+BG1075)/2,MAX((CL1075+BG1075)/2,H1075))))</f>
        <v>0.5</v>
      </c>
      <c r="BF1075" s="62" t="n">
        <f aca="false">BE1075*G1075</f>
        <v>55.55</v>
      </c>
      <c r="BG1075" s="62" t="n">
        <f aca="false">ROUNDUP(CL1075+MAX(CM1075,2*(J1075/IF(CH1075&gt;0,CH1075,MAX(0.1,N(Cockpit!$O$6)))-CL1075)),0)</f>
        <v>1</v>
      </c>
      <c r="BH1075" s="63" t="n">
        <f aca="false">IF(BD1075&gt;0,J1075/BD1075,-1)</f>
        <v>1.34193548387097</v>
      </c>
      <c r="BI1075" s="63" t="str">
        <f aca="false">IF(AND(OR(CG1075="L1",CG1075="L23",CG1075="LIFT"),BD1075&gt;0),SUMIFS($BD$7:$BD$1843,$CG$7:$CG$1843,CG1075,$BH$7:$BH$1843,"&gt;"&amp;BH1075)+SUMIFS($BD$7:$BD$1843,$CG$7:$CG$1843,CG1075,$BH$7:$BH$1843,BH1075,$BX$7:$BX$1843,"&lt;="&amp;BX1075),"")</f>
        <v/>
      </c>
      <c r="BJ1075" s="70" t="n">
        <f aca="false">IF(BI1075="",0,MAX(0,MIN(1,(IF(CG1075="L1",Parameter!$H$5,IF(CG1075="L23",Parameter!$H$6+Parameter!$H$7,Parameter!$H$5+Parameter!$H$6+Parameter!$H$7))-(BI1075-BD1075))/BD1075)))</f>
        <v>0</v>
      </c>
      <c r="BK1075" s="60" t="str">
        <f aca="false">IF(AJ1075&lt;=0,"",IF(CG1075="Aussen","Aussenlager",IF(CG1075="-","Nicht im Lift",IF(AP1075&gt;=1,"Lift",IF(AP1075&lt;=0,"Aussenlager","teilweise")))))</f>
        <v>Nicht im Lift</v>
      </c>
      <c r="BL1075" s="60" t="str">
        <f aca="false">IF(AT1075&lt;=0,"",IF(CG1075="Aussen","Aussenlager",IF(CG1075="-","Nicht im Lift",IF(AZ1075&gt;=1,"Lift",IF(AZ1075&lt;=0,"Aussenlager","teilweise")))))</f>
        <v>Nicht im Lift</v>
      </c>
      <c r="BM1075" s="60" t="str">
        <f aca="false">IF(BD1075&lt;=0,"",IF(CG1075="Aussen","Aussenlager",IF(CG1075="-","Nicht im Lift",IF(BJ1075&gt;=1,"Lift",IF(BJ1075&lt;=0,"Aussenlager","teilweise")))))</f>
        <v>Nicht im Lift</v>
      </c>
      <c r="BN1075" s="60" t="str">
        <f aca="false">IF(A1075="","",IF(BW1075=1,"Neu; ","")&amp;IF(AND(BW1075=0,BR1075&lt;0),"negativer Bestand (Export "&amp;BR1075&amp;"); ","")&amp;IF(J1075&lt;=0,"Kein Verbrauch; ","")&amp;IF(CR1075&gt;0,"Lift "&amp;W1075&amp;" lt. Liftbericht (Fach "&amp;X1075&amp;" Stk); ",IF(CB1075=1,"Gebinde geschätzt ("&amp;T1075&amp;"); ",IF(CA1075=1,"Lose – Tablare geschätzt; ","")))&amp;IF(H1075&gt;AW1075,"Überbestand "&amp;ROUND(H1075-AW1075,0)&amp;" Stk / CHF "&amp;ROUND((H1075-AW1075)*G1075,0)&amp;"; ","")&amp;IF(AND(CI1075=1,CJ1075&lt;CK1075),"MAX &lt; MB+LG; ","")&amp;IF(AND(CQ1075&gt;0,CP1075*10&gt;CQ1075),"zu hoch für Tablar; ","")&amp;IF(AND(BW1075=0,OR(CI1075=1,AB1075&lt;&gt;"",U1075&lt;&gt;"",V1075&lt;&gt;"",AC1075&lt;&gt;"")),"manuell übersteuert; ","")&amp;IF(AND(CA1075=0,R1075=0),"Gebinde unbekannt / Stellmass fehlt; ","")&amp;IF(AND(CA1075=0,N(V1075)&lt;=0,N(Q1075)&lt;=0),"Menge pro Gebinde fehlt (Ist = 1 Gebinde); ","")&amp;BV1075)</f>
        <v>negativer Bestand (Export -2); Neu</v>
      </c>
      <c r="BO1075" s="60"/>
      <c r="BP1075" s="60"/>
      <c r="BQ1075" s="67"/>
      <c r="BR1075" s="62" t="n">
        <v>-2</v>
      </c>
      <c r="BS1075" s="62" t="n">
        <v>4</v>
      </c>
      <c r="BT1075" s="61" t="n">
        <v>-175.52</v>
      </c>
      <c r="BU1075" s="62" t="n">
        <v>2</v>
      </c>
      <c r="BV1075" s="60" t="s">
        <v>668</v>
      </c>
      <c r="BW1075" s="65" t="n">
        <v>0</v>
      </c>
      <c r="BX1075" s="65" t="n">
        <v>1075</v>
      </c>
      <c r="BY1075" s="60" t="str">
        <f aca="false">IF(U1075&lt;&gt;"",UPPER(TRIM(U1075)),IF(CB1075=1,UPPER(VLOOKUP(T1075,Parameter!$I$27:$K$29,2,0)),IF(P1075="","LOSE",P1075)))</f>
        <v>S32</v>
      </c>
      <c r="BZ1075" s="62" t="n">
        <f aca="false">IF(BY1075="LOSE",1,IF(N(V1075)&gt;0,V1075,IF(CB1075=1,MAX(1,N(VLOOKUP(T1075,Parameter!$I$27:$K$29,3,0)),H1075,N(N1075)),IF(N(Q1075)&gt;0,Q1075,MAX(1,H1075)))))</f>
        <v>3</v>
      </c>
      <c r="CA1075" s="65" t="n">
        <f aca="false">IF(BY1075="LOSE",1,0)</f>
        <v>0</v>
      </c>
      <c r="CB1075" s="65" t="n">
        <f aca="false">IF(AND(U1075="",OR(P1075="",P1075="LOSE"),T1075&lt;&gt;"",N(S1075)&lt;=0,ISNUMBER(MATCH(T1075,Parameter!$I$27:$I$29,0))),1,0)</f>
        <v>0</v>
      </c>
      <c r="CC1075" s="65" t="n">
        <f aca="false">IF(CR1075&gt;0,INDEX(Parameter!$H$5:$H$7,W1075)/INDEX(Parameter!$E$5:$E$7,W1075),IF(AND(CA1075=0,N(IFERROR(VLOOKUP(BY1075,'Gebinde-Kategorie'!$A$5:$N$45,14,0),0))&gt;0),VLOOKUP(BY1075,'Gebinde-Kategorie'!$A$5:$N$45,14,0)*10+Parameter!$M$23,Parameter!$M$24))</f>
        <v>155</v>
      </c>
      <c r="CD1075" s="60" t="str">
        <f aca="false">IF(AND(Parameter!$B$19="Ja",E1075&lt;&gt;"",ISNUMBER(MATCH(E1075,Parameter!$I$35:$I$52,0))),VLOOKUP(E1075,Parameter!$I$35:$J$52,2,0),IFERROR(VLOOKUP(D1075,Parameter!$A$35:$C$64,2,0),"Nein"))</f>
        <v>Nein</v>
      </c>
      <c r="CE1075" s="64" t="n">
        <f aca="false">IF(CA1075=0,0,IF(N(S1075)&gt;0,S1075,IFERROR(VLOOKUP(D1075,Parameter!$A$35:$C$64,3,0)+0,0)))</f>
        <v>0</v>
      </c>
      <c r="CF1075" s="60" t="str">
        <f aca="false">IF(AB1075&lt;&gt;"",AB1075,AA1075)</f>
        <v>-</v>
      </c>
      <c r="CG1075" s="60" t="str">
        <f aca="false">IF(OR(CF1075=1,CF1075=2,CF1075=3),IF(Parameter!$E$27="Ja","LIFT",IF(CF1075=1,"L1","L23")),IF(CF1075="Aussen","Aussen","-"))</f>
        <v>-</v>
      </c>
      <c r="CH1075" s="71" t="n">
        <f aca="false">IF(N(AC1075)&gt;0,AC1075,0)</f>
        <v>0</v>
      </c>
      <c r="CI1075" s="65" t="n">
        <f aca="false">IF(ISNUMBER(AF1075),1,0)</f>
        <v>0</v>
      </c>
      <c r="CJ1075" s="62" t="n">
        <f aca="false">N(AF1075)</f>
        <v>0</v>
      </c>
      <c r="CK1075" s="62" t="n">
        <f aca="false">N(M1075)+N(N1075)</f>
        <v>1</v>
      </c>
      <c r="CL1075" s="62" t="n">
        <f aca="false">N(M1075)</f>
        <v>0</v>
      </c>
      <c r="CM1075" s="62" t="n">
        <f aca="false">N(N1075)</f>
        <v>1</v>
      </c>
      <c r="CN1075" s="62" t="n">
        <f aca="false">ROUNDUP(H1075/BZ1075,0)</f>
        <v>1</v>
      </c>
      <c r="CO1075" s="62" t="n">
        <f aca="false">ROUNDUP(CJ1075/BZ1075,0)</f>
        <v>0</v>
      </c>
      <c r="CP1075" s="65" t="n">
        <f aca="false">IF(CA1075=1,0,IFERROR(VLOOKUP(BY1075,'Gebinde-Kategorie'!$A$5:$N$45,5,0)+0,0))</f>
        <v>8</v>
      </c>
      <c r="CQ1075" s="65" t="n">
        <f aca="false">IFERROR(IF(OR(CF1075=1,CF1075=2,CF1075=3),N(INDEX(Parameter!$I$5:$I$7,CF1075)),0),0)</f>
        <v>0</v>
      </c>
      <c r="CR1075" s="64" t="n">
        <f aca="false">IF(AND(Parameter!$B$21="Ja",ISNUMBER(W1075),N(X1075)&gt;0),IFERROR(N(INDEX(Parameter!$L$5:$L$7,W1075))*INDEX(Parameter!$E$5:$E$7,W1075)*X1075/SUMIFS($X$7:$X$1843,$W$7:$W$1843,W1075),0),0)</f>
        <v>0</v>
      </c>
      <c r="CS1075" s="62" t="str">
        <f aca="false">IF(AND(OR(CG1075="L1",CG1075="L23",CG1075="LIFT"),H1075&gt;0),CC1075*IF(CR1075&gt;0,CR1075*MAX(1,H1075/X1075),IF(CA1075=1,CE1075,IF(R1075&gt;0,CN1075/R1075,0))/MAX(0.1,N(Parameter!$M$21))),"")</f>
        <v/>
      </c>
      <c r="CT1075" s="64" t="str">
        <f aca="false">IF(CS1075="","",J1075/H1075)</f>
        <v/>
      </c>
      <c r="CU1075" s="62" t="str">
        <f aca="false">IF(CS1075="","",H1075*G1075)</f>
        <v/>
      </c>
      <c r="CV1075" s="63" t="str">
        <f aca="false">IF(CS1075="","",(CL1075+ROUNDUP(CL1075+MAX(CM1075,2*(J1075/MAX(0.1,N(Einkauf!$C$6))-CL1075)),0))/2)</f>
        <v/>
      </c>
      <c r="CW1075" s="62" t="str">
        <f aca="false">IF(CS1075="","",MAX(0,H1075-CV1075)*G1075)</f>
        <v/>
      </c>
      <c r="CX1075" s="62" t="str">
        <f aca="false">IF(CS1075="","",CS1075*MAX(0,1-CV1075/H1075))</f>
        <v/>
      </c>
      <c r="CY1075" s="64" t="str">
        <f aca="false">IF(CS1075="","",PERCENTRANK($CS$7:$CS$1843,CS1075)+PERCENTRANK($CU$7:$CU$1843,CU1075)+1-PERCENTRANK($CT$7:$CT$1843,CT1075))</f>
        <v/>
      </c>
      <c r="CZ1075" s="72" t="str">
        <f aca="false">IF(CS1075="","",CHOOSE(MATCH(Einkauf!$C$5,Parameter!$G$23:$G$27,0),CY1075,CS1075,CU1075,-CT1075,CW1075)+ROW()/1000000000)</f>
        <v/>
      </c>
    </row>
    <row r="1076" customFormat="false" ht="15" hidden="false" customHeight="false" outlineLevel="0" collapsed="false">
      <c r="A1076" s="60" t="s">
        <v>2006</v>
      </c>
      <c r="B1076" s="60" t="s">
        <v>1954</v>
      </c>
      <c r="C1076" s="60" t="s">
        <v>498</v>
      </c>
      <c r="D1076" s="60" t="s">
        <v>226</v>
      </c>
      <c r="E1076" s="60" t="s">
        <v>227</v>
      </c>
      <c r="F1076" s="60" t="s">
        <v>260</v>
      </c>
      <c r="G1076" s="61" t="n">
        <v>6.84</v>
      </c>
      <c r="H1076" s="62" t="n">
        <f aca="false">MAX(0,IF(AND(Parameter!$B$21="Ja",ISNUMBER(Y1076)),Y1076,IF(Parameter!$B$20="Jahresanfang 2025 + Export",BS1076+BR1076,BR1076)))</f>
        <v>26</v>
      </c>
      <c r="I1076" s="62" t="n">
        <f aca="false">H1076*G1076</f>
        <v>177.84</v>
      </c>
      <c r="J1076" s="62" t="n">
        <f aca="false">BU1076*Parameter!$B$18</f>
        <v>26</v>
      </c>
      <c r="K1076" s="63" t="n">
        <v>26</v>
      </c>
      <c r="L1076" s="64" t="n">
        <v>1</v>
      </c>
      <c r="M1076" s="62" t="n">
        <v>1</v>
      </c>
      <c r="N1076" s="62" t="n">
        <v>25</v>
      </c>
      <c r="O1076" s="65" t="n">
        <v>21</v>
      </c>
      <c r="P1076" s="60" t="s">
        <v>463</v>
      </c>
      <c r="Q1076" s="62" t="n">
        <v>13</v>
      </c>
      <c r="R1076" s="65" t="n">
        <f aca="false">IF(CA1076=1,0,IFERROR(VLOOKUP(BY1076,'Gebinde-Kategorie'!$A$5:$N$45,13,0)+0,0))</f>
        <v>104</v>
      </c>
      <c r="S1076" s="66"/>
      <c r="T1076" s="67"/>
      <c r="U1076" s="67"/>
      <c r="V1076" s="67"/>
      <c r="W1076" s="60"/>
      <c r="X1076" s="62"/>
      <c r="Y1076" s="62"/>
      <c r="Z1076" s="60" t="n">
        <v>1</v>
      </c>
      <c r="AA1076" s="60" t="n">
        <f aca="false">IF(A1076="","",IF(AND(Parameter!$B$21="Ja",ISNUMBER(W1076)),W1076,IF(AND(Parameter!$E$27="Ja",ISNUMBER(Z1076),CD1076&lt;&gt;"Nein"),Z1076,IF(CD1076="2+3",IF(ISNUMBER(SEARCH("grosser Artikel",BV1076)),2,IFERROR(VLOOKUP(BY1076,Parameter!$F$35:$G$64,2,0),2)),IF(OR(CD1076="Nein",CD1076=""),"-",CD1076)))))</f>
        <v>1</v>
      </c>
      <c r="AB1076" s="67"/>
      <c r="AC1076" s="68"/>
      <c r="AD1076" s="62" t="n">
        <f aca="false">AW1076</f>
        <v>26</v>
      </c>
      <c r="AE1076" s="62" t="n">
        <f aca="false">MAX(AW1076,H1076)</f>
        <v>26</v>
      </c>
      <c r="AF1076" s="69"/>
      <c r="AG1076" s="62" t="n">
        <f aca="false">IF(LEFT(Cockpit!$C$5,1)="A",H1076,IF(Parameter!$E$30="MAX-Bestand",IF(CI1076=1,CJ1076,IF(LEFT(Cockpit!$C$5,1)="B",AM1076,MAX(AM1076,H1076))),ROUNDUP(AK1076,0)))</f>
        <v>26</v>
      </c>
      <c r="AH1076" s="62" t="n">
        <f aca="false">IF(CA1076=1,0,ROUNDUP(AG1076/BZ1076,0))</f>
        <v>2</v>
      </c>
      <c r="AI1076" s="64" t="n">
        <f aca="false">IF(CR1076&gt;0,CR1076*MAX(1,AG1076/X1076),IF(CA1076=1,IF(AG1076&lt;=0,0,CE1076*MAX(1,IF(H1076&gt;0,AG1076/H1076,1))),IF(R1076&gt;0,AH1076/R1076,0))/MAX(0.1,N(Parameter!$M$21)))</f>
        <v>0.0192307692307692</v>
      </c>
      <c r="AJ1076" s="62" t="n">
        <f aca="false">AI1076*CC1076</f>
        <v>2.98076923076923</v>
      </c>
      <c r="AK1076" s="63" t="n">
        <f aca="false">IF(LEFT(Cockpit!$C$5,1)="A",H1076,IF(CI1076=1,(CL1076+CJ1076)/2,IF(LEFT(Cockpit!$C$5,1)="B",(CL1076+AM1076)/2,MAX((CL1076+AM1076)/2,H1076))))</f>
        <v>26</v>
      </c>
      <c r="AL1076" s="62" t="n">
        <f aca="false">AK1076*G1076</f>
        <v>177.84</v>
      </c>
      <c r="AM1076" s="62" t="n">
        <f aca="false">ROUNDUP(CL1076+MAX(CM1076,2*(J1076/IF(CH1076&gt;0,CH1076,MAX(0.1,N(Cockpit!$C$6)))-CL1076)),0)</f>
        <v>26</v>
      </c>
      <c r="AN1076" s="63" t="n">
        <f aca="false">IF(AJ1076&gt;0,J1076/AJ1076,-1)</f>
        <v>8.72258064516129</v>
      </c>
      <c r="AO1076" s="63" t="n">
        <f aca="false">IF(AND(OR(CG1076="L1",CG1076="L23",CG1076="LIFT"),AJ1076&gt;0),SUMIFS($AJ$7:$AJ$1843,$CG$7:$CG$1843,CG1076,$AN$7:$AN$1843,"&gt;"&amp;AN1076)+SUMIFS($AJ$7:$AJ$1843,$CG$7:$CG$1843,CG1076,$AN$7:$AN$1843,AN1076,$BX$7:$BX$1843,"&lt;="&amp;BX1076),"")</f>
        <v>2953.91071428571</v>
      </c>
      <c r="AP1076" s="70" t="n">
        <f aca="false">IF(AO1076="",0,MAX(0,MIN(1,(IF(CG1076="L1",Parameter!$H$5,IF(CG1076="L23",Parameter!$H$6+Parameter!$H$7,Parameter!$H$5+Parameter!$H$6+Parameter!$H$7))-(AO1076-AJ1076))/AJ1076)))</f>
        <v>1</v>
      </c>
      <c r="AQ1076" s="62" t="n">
        <f aca="false">IF(LEFT(Cockpit!$I$5,1)="A",H1076,IF(Parameter!$E$30="MAX-Bestand",IF(CI1076=1,CJ1076,IF(LEFT(Cockpit!$I$5,1)="B",AW1076,MAX(AW1076,H1076))),ROUNDUP(AU1076,0)))</f>
        <v>26</v>
      </c>
      <c r="AR1076" s="62" t="n">
        <f aca="false">IF(CA1076=1,0,ROUNDUP(AQ1076/BZ1076,0))</f>
        <v>2</v>
      </c>
      <c r="AS1076" s="64" t="n">
        <f aca="false">IF(CR1076&gt;0,CR1076*MAX(1,AQ1076/X1076),IF(CA1076=1,IF(AQ1076&lt;=0,0,CE1076*MAX(1,IF(H1076&gt;0,AQ1076/H1076,1))),IF(R1076&gt;0,AR1076/R1076,0))/MAX(0.1,N(Parameter!$M$21)))</f>
        <v>0.0192307692307692</v>
      </c>
      <c r="AT1076" s="62" t="n">
        <f aca="false">AS1076*CC1076</f>
        <v>2.98076923076923</v>
      </c>
      <c r="AU1076" s="63" t="n">
        <f aca="false">IF(LEFT(Cockpit!$I$5,1)="A",H1076,IF(CI1076=1,(CL1076+CJ1076)/2,IF(LEFT(Cockpit!$I$5,1)="B",(CL1076+AW1076)/2,MAX((CL1076+AW1076)/2,H1076))))</f>
        <v>26</v>
      </c>
      <c r="AV1076" s="62" t="n">
        <f aca="false">AU1076*G1076</f>
        <v>177.84</v>
      </c>
      <c r="AW1076" s="62" t="n">
        <f aca="false">ROUNDUP(CL1076+MAX(CM1076,2*(J1076/IF(CH1076&gt;0,CH1076,MAX(0.1,N(Cockpit!$I$6)))-CL1076)),0)</f>
        <v>26</v>
      </c>
      <c r="AX1076" s="63" t="n">
        <f aca="false">IF(AT1076&gt;0,J1076/AT1076,-1)</f>
        <v>8.72258064516129</v>
      </c>
      <c r="AY1076" s="63" t="n">
        <f aca="false">IF(AND(OR(CG1076="L1",CG1076="L23",CG1076="LIFT"),AT1076&gt;0),SUMIFS($AT$7:$AT$1843,$CG$7:$CG$1843,CG1076,$AX$7:$AX$1843,"&gt;"&amp;AX1076)+SUMIFS($AT$7:$AT$1843,$CG$7:$CG$1843,CG1076,$AX$7:$AX$1843,AX1076,$BX$7:$BX$1843,"&lt;="&amp;BX1076),"")</f>
        <v>3568.89880952381</v>
      </c>
      <c r="AZ1076" s="70" t="n">
        <f aca="false">IF(AY1076="",0,MAX(0,MIN(1,(IF(CG1076="L1",Parameter!$H$5,IF(CG1076="L23",Parameter!$H$6+Parameter!$H$7,Parameter!$H$5+Parameter!$H$6+Parameter!$H$7))-(AY1076-AT1076))/AT1076)))</f>
        <v>1</v>
      </c>
      <c r="BA1076" s="62" t="n">
        <f aca="false">IF(LEFT(Cockpit!$O$5,1)="A",H1076,IF(Parameter!$E$30="MAX-Bestand",IF(CI1076=1,CJ1076,IF(LEFT(Cockpit!$O$5,1)="B",BG1076,MAX(BG1076,H1076))),ROUNDUP(BE1076,0)))</f>
        <v>14</v>
      </c>
      <c r="BB1076" s="62" t="n">
        <f aca="false">IF(CA1076=1,0,ROUNDUP(BA1076/BZ1076,0))</f>
        <v>2</v>
      </c>
      <c r="BC1076" s="64" t="n">
        <f aca="false">IF(CR1076&gt;0,CR1076*MAX(1,BA1076/X1076),IF(CA1076=1,IF(BA1076&lt;=0,0,CE1076*MAX(1,IF(H1076&gt;0,BA1076/H1076,1))),IF(R1076&gt;0,BB1076/R1076,0))/MAX(0.1,N(Parameter!$M$21)))</f>
        <v>0.0192307692307692</v>
      </c>
      <c r="BD1076" s="62" t="n">
        <f aca="false">BC1076*CC1076</f>
        <v>2.98076923076923</v>
      </c>
      <c r="BE1076" s="63" t="n">
        <f aca="false">IF(LEFT(Cockpit!$O$5,1)="A",H1076,IF(CI1076=1,(CL1076+CJ1076)/2,IF(LEFT(Cockpit!$O$5,1)="B",(CL1076+BG1076)/2,MAX((CL1076+BG1076)/2,H1076))))</f>
        <v>13.5</v>
      </c>
      <c r="BF1076" s="62" t="n">
        <f aca="false">BE1076*G1076</f>
        <v>92.34</v>
      </c>
      <c r="BG1076" s="62" t="n">
        <f aca="false">ROUNDUP(CL1076+MAX(CM1076,2*(J1076/IF(CH1076&gt;0,CH1076,MAX(0.1,N(Cockpit!$O$6)))-CL1076)),0)</f>
        <v>26</v>
      </c>
      <c r="BH1076" s="63" t="n">
        <f aca="false">IF(BD1076&gt;0,J1076/BD1076,-1)</f>
        <v>8.72258064516129</v>
      </c>
      <c r="BI1076" s="63" t="n">
        <f aca="false">IF(AND(OR(CG1076="L1",CG1076="L23",CG1076="LIFT"),BD1076&gt;0),SUMIFS($BD$7:$BD$1843,$CG$7:$CG$1843,CG1076,$BH$7:$BH$1843,"&gt;"&amp;BH1076)+SUMIFS($BD$7:$BD$1843,$CG$7:$CG$1843,CG1076,$BH$7:$BH$1843,BH1076,$BX$7:$BX$1843,"&lt;="&amp;BX1076),"")</f>
        <v>2895.15888278388</v>
      </c>
      <c r="BJ1076" s="70" t="n">
        <f aca="false">IF(BI1076="",0,MAX(0,MIN(1,(IF(CG1076="L1",Parameter!$H$5,IF(CG1076="L23",Parameter!$H$6+Parameter!$H$7,Parameter!$H$5+Parameter!$H$6+Parameter!$H$7))-(BI1076-BD1076))/BD1076)))</f>
        <v>1</v>
      </c>
      <c r="BK1076" s="60" t="str">
        <f aca="false">IF(AJ1076&lt;=0,"",IF(CG1076="Aussen","Aussenlager",IF(CG1076="-","Nicht im Lift",IF(AP1076&gt;=1,"Lift",IF(AP1076&lt;=0,"Aussenlager","teilweise")))))</f>
        <v>Lift</v>
      </c>
      <c r="BL1076" s="60" t="str">
        <f aca="false">IF(AT1076&lt;=0,"",IF(CG1076="Aussen","Aussenlager",IF(CG1076="-","Nicht im Lift",IF(AZ1076&gt;=1,"Lift",IF(AZ1076&lt;=0,"Aussenlager","teilweise")))))</f>
        <v>Lift</v>
      </c>
      <c r="BM1076" s="60" t="str">
        <f aca="false">IF(BD1076&lt;=0,"",IF(CG1076="Aussen","Aussenlager",IF(CG1076="-","Nicht im Lift",IF(BJ1076&gt;=1,"Lift",IF(BJ1076&lt;=0,"Aussenlager","teilweise")))))</f>
        <v>Lift</v>
      </c>
      <c r="BN1076" s="60" t="str">
        <f aca="false">IF(A1076="","",IF(BW1076=1,"Neu; ","")&amp;IF(AND(BW1076=0,BR1076&lt;0),"negativer Bestand (Export "&amp;BR1076&amp;"); ","")&amp;IF(J1076&lt;=0,"Kein Verbrauch; ","")&amp;IF(CR1076&gt;0,"Lift "&amp;W1076&amp;" lt. Liftbericht (Fach "&amp;X1076&amp;" Stk); ",IF(CB1076=1,"Gebinde geschätzt ("&amp;T1076&amp;"); ",IF(CA1076=1,"Lose – Tablare geschätzt; ","")))&amp;IF(H1076&gt;AW1076,"Überbestand "&amp;ROUND(H1076-AW1076,0)&amp;" Stk / CHF "&amp;ROUND((H1076-AW1076)*G1076,0)&amp;"; ","")&amp;IF(AND(CI1076=1,CJ1076&lt;CK1076),"MAX &lt; MB+LG; ","")&amp;IF(AND(CQ1076&gt;0,CP1076*10&gt;CQ1076),"zu hoch für Tablar; ","")&amp;IF(AND(BW1076=0,OR(CI1076=1,AB1076&lt;&gt;"",U1076&lt;&gt;"",V1076&lt;&gt;"",AC1076&lt;&gt;"")),"manuell übersteuert; ","")&amp;IF(AND(CA1076=0,R1076=0),"Gebinde unbekannt / Stellmass fehlt; ","")&amp;IF(AND(CA1076=0,N(V1076)&lt;=0,N(Q1076)&lt;=0),"Menge pro Gebinde fehlt (Ist = 1 Gebinde); ","")&amp;BV1076)</f>
        <v>negativer Bestand (Export -26); </v>
      </c>
      <c r="BO1076" s="60"/>
      <c r="BP1076" s="60"/>
      <c r="BQ1076" s="67"/>
      <c r="BR1076" s="62" t="n">
        <v>-26</v>
      </c>
      <c r="BS1076" s="62" t="n">
        <v>52</v>
      </c>
      <c r="BT1076" s="61" t="n">
        <v>-177.84</v>
      </c>
      <c r="BU1076" s="62" t="n">
        <v>26</v>
      </c>
      <c r="BV1076" s="60"/>
      <c r="BW1076" s="65" t="n">
        <v>0</v>
      </c>
      <c r="BX1076" s="65" t="n">
        <v>1076</v>
      </c>
      <c r="BY1076" s="60" t="str">
        <f aca="false">IF(U1076&lt;&gt;"",UPPER(TRIM(U1076)),IF(CB1076=1,UPPER(VLOOKUP(T1076,Parameter!$I$27:$K$29,2,0)),IF(P1076="","LOSE",P1076)))</f>
        <v>S32</v>
      </c>
      <c r="BZ1076" s="62" t="n">
        <f aca="false">IF(BY1076="LOSE",1,IF(N(V1076)&gt;0,V1076,IF(CB1076=1,MAX(1,N(VLOOKUP(T1076,Parameter!$I$27:$K$29,3,0)),H1076,N(N1076)),IF(N(Q1076)&gt;0,Q1076,MAX(1,H1076)))))</f>
        <v>13</v>
      </c>
      <c r="CA1076" s="65" t="n">
        <f aca="false">IF(BY1076="LOSE",1,0)</f>
        <v>0</v>
      </c>
      <c r="CB1076" s="65" t="n">
        <f aca="false">IF(AND(U1076="",OR(P1076="",P1076="LOSE"),T1076&lt;&gt;"",N(S1076)&lt;=0,ISNUMBER(MATCH(T1076,Parameter!$I$27:$I$29,0))),1,0)</f>
        <v>0</v>
      </c>
      <c r="CC1076" s="65" t="n">
        <f aca="false">IF(CR1076&gt;0,INDEX(Parameter!$H$5:$H$7,W1076)/INDEX(Parameter!$E$5:$E$7,W1076),IF(AND(CA1076=0,N(IFERROR(VLOOKUP(BY1076,'Gebinde-Kategorie'!$A$5:$N$45,14,0),0))&gt;0),VLOOKUP(BY1076,'Gebinde-Kategorie'!$A$5:$N$45,14,0)*10+Parameter!$M$23,Parameter!$M$24))</f>
        <v>155</v>
      </c>
      <c r="CD1076" s="60" t="str">
        <f aca="false">IF(AND(Parameter!$B$19="Ja",E1076&lt;&gt;"",ISNUMBER(MATCH(E1076,Parameter!$I$35:$I$52,0))),VLOOKUP(E1076,Parameter!$I$35:$J$52,2,0),IFERROR(VLOOKUP(D1076,Parameter!$A$35:$C$64,2,0),"Nein"))</f>
        <v>2+3</v>
      </c>
      <c r="CE1076" s="64" t="n">
        <f aca="false">IF(CA1076=0,0,IF(N(S1076)&gt;0,S1076,IFERROR(VLOOKUP(D1076,Parameter!$A$35:$C$64,3,0)+0,0)))</f>
        <v>0</v>
      </c>
      <c r="CF1076" s="60" t="n">
        <f aca="false">IF(AB1076&lt;&gt;"",AB1076,AA1076)</f>
        <v>1</v>
      </c>
      <c r="CG1076" s="60" t="str">
        <f aca="false">IF(OR(CF1076=1,CF1076=2,CF1076=3),IF(Parameter!$E$27="Ja","LIFT",IF(CF1076=1,"L1","L23")),IF(CF1076="Aussen","Aussen","-"))</f>
        <v>LIFT</v>
      </c>
      <c r="CH1076" s="71" t="n">
        <f aca="false">IF(N(AC1076)&gt;0,AC1076,0)</f>
        <v>0</v>
      </c>
      <c r="CI1076" s="65" t="n">
        <f aca="false">IF(ISNUMBER(AF1076),1,0)</f>
        <v>0</v>
      </c>
      <c r="CJ1076" s="62" t="n">
        <f aca="false">N(AF1076)</f>
        <v>0</v>
      </c>
      <c r="CK1076" s="62" t="n">
        <f aca="false">N(M1076)+N(N1076)</f>
        <v>26</v>
      </c>
      <c r="CL1076" s="62" t="n">
        <f aca="false">N(M1076)</f>
        <v>1</v>
      </c>
      <c r="CM1076" s="62" t="n">
        <f aca="false">N(N1076)</f>
        <v>25</v>
      </c>
      <c r="CN1076" s="62" t="n">
        <f aca="false">ROUNDUP(H1076/BZ1076,0)</f>
        <v>2</v>
      </c>
      <c r="CO1076" s="62" t="n">
        <f aca="false">ROUNDUP(CJ1076/BZ1076,0)</f>
        <v>0</v>
      </c>
      <c r="CP1076" s="65" t="n">
        <f aca="false">IF(CA1076=1,0,IFERROR(VLOOKUP(BY1076,'Gebinde-Kategorie'!$A$5:$N$45,5,0)+0,0))</f>
        <v>8</v>
      </c>
      <c r="CQ1076" s="65" t="n">
        <f aca="false">IFERROR(IF(OR(CF1076=1,CF1076=2,CF1076=3),N(INDEX(Parameter!$I$5:$I$7,CF1076)),0),0)</f>
        <v>0</v>
      </c>
      <c r="CR1076" s="64" t="n">
        <f aca="false">IF(AND(Parameter!$B$21="Ja",ISNUMBER(W1076),N(X1076)&gt;0),IFERROR(N(INDEX(Parameter!$L$5:$L$7,W1076))*INDEX(Parameter!$E$5:$E$7,W1076)*X1076/SUMIFS($X$7:$X$1843,$W$7:$W$1843,W1076),0),0)</f>
        <v>0</v>
      </c>
      <c r="CS1076" s="62" t="n">
        <f aca="false">IF(AND(OR(CG1076="L1",CG1076="L23",CG1076="LIFT"),H1076&gt;0),CC1076*IF(CR1076&gt;0,CR1076*MAX(1,H1076/X1076),IF(CA1076=1,CE1076,IF(R1076&gt;0,CN1076/R1076,0))/MAX(0.1,N(Parameter!$M$21))),"")</f>
        <v>2.98076923076923</v>
      </c>
      <c r="CT1076" s="64" t="n">
        <f aca="false">IF(CS1076="","",J1076/H1076)</f>
        <v>1</v>
      </c>
      <c r="CU1076" s="62" t="n">
        <f aca="false">IF(CS1076="","",H1076*G1076)</f>
        <v>177.84</v>
      </c>
      <c r="CV1076" s="63" t="n">
        <f aca="false">IF(CS1076="","",(CL1076+ROUNDUP(CL1076+MAX(CM1076,2*(J1076/MAX(0.1,N(Einkauf!$C$6))-CL1076)),0))/2)</f>
        <v>13.5</v>
      </c>
      <c r="CW1076" s="62" t="n">
        <f aca="false">IF(CS1076="","",MAX(0,H1076-CV1076)*G1076)</f>
        <v>85.5</v>
      </c>
      <c r="CX1076" s="62" t="n">
        <f aca="false">IF(CS1076="","",CS1076*MAX(0,1-CV1076/H1076))</f>
        <v>1.43306213017751</v>
      </c>
      <c r="CY1076" s="64" t="n">
        <f aca="false">IF(CS1076="","",PERCENTRANK($CS$7:$CS$1843,CS1076)+PERCENTRANK($CU$7:$CU$1843,CU1076)+1-PERCENTRANK($CT$7:$CT$1843,CT1076))</f>
        <v>0.901</v>
      </c>
      <c r="CZ1076" s="72" t="n">
        <f aca="false">IF(CS1076="","",CHOOSE(MATCH(Einkauf!$C$5,Parameter!$G$23:$G$27,0),CY1076,CS1076,CU1076,-CT1076,CW1076)+ROW()/1000000000)</f>
        <v>0.901001076</v>
      </c>
    </row>
    <row r="1077" customFormat="false" ht="15" hidden="false" customHeight="false" outlineLevel="0" collapsed="false">
      <c r="A1077" s="60" t="s">
        <v>2007</v>
      </c>
      <c r="B1077" s="60" t="s">
        <v>2008</v>
      </c>
      <c r="C1077" s="60" t="s">
        <v>206</v>
      </c>
      <c r="D1077" s="60" t="s">
        <v>226</v>
      </c>
      <c r="E1077" s="60" t="s">
        <v>227</v>
      </c>
      <c r="F1077" s="60" t="s">
        <v>260</v>
      </c>
      <c r="G1077" s="61" t="n">
        <v>12.9</v>
      </c>
      <c r="H1077" s="62" t="n">
        <f aca="false">MAX(0,IF(AND(Parameter!$B$21="Ja",ISNUMBER(Y1077)),Y1077,IF(Parameter!$B$20="Jahresanfang 2025 + Export",BS1077+BR1077,BR1077)))</f>
        <v>13</v>
      </c>
      <c r="I1077" s="62" t="n">
        <f aca="false">H1077*G1077</f>
        <v>167.7</v>
      </c>
      <c r="J1077" s="62" t="n">
        <f aca="false">BU1077*Parameter!$B$18</f>
        <v>8</v>
      </c>
      <c r="K1077" s="63" t="n">
        <v>23</v>
      </c>
      <c r="L1077" s="64" t="n">
        <v>0.347826086956522</v>
      </c>
      <c r="M1077" s="62" t="n">
        <v>0</v>
      </c>
      <c r="N1077" s="62" t="n">
        <v>10</v>
      </c>
      <c r="O1077" s="65" t="n">
        <v>28</v>
      </c>
      <c r="P1077" s="60" t="s">
        <v>443</v>
      </c>
      <c r="Q1077" s="62" t="n">
        <v>29</v>
      </c>
      <c r="R1077" s="65" t="n">
        <f aca="false">IF(CA1077=1,0,IFERROR(VLOOKUP(BY1077,'Gebinde-Kategorie'!$A$5:$N$45,13,0)+0,0))</f>
        <v>280</v>
      </c>
      <c r="S1077" s="66"/>
      <c r="T1077" s="67"/>
      <c r="U1077" s="67"/>
      <c r="V1077" s="67"/>
      <c r="W1077" s="60"/>
      <c r="X1077" s="62"/>
      <c r="Y1077" s="62"/>
      <c r="Z1077" s="60" t="n">
        <v>1</v>
      </c>
      <c r="AA1077" s="60" t="n">
        <f aca="false">IF(A1077="","",IF(AND(Parameter!$B$21="Ja",ISNUMBER(W1077)),W1077,IF(AND(Parameter!$E$27="Ja",ISNUMBER(Z1077),CD1077&lt;&gt;"Nein"),Z1077,IF(CD1077="2+3",IF(ISNUMBER(SEARCH("grosser Artikel",BV1077)),2,IFERROR(VLOOKUP(BY1077,Parameter!$F$35:$G$64,2,0),2)),IF(OR(CD1077="Nein",CD1077=""),"-",CD1077)))))</f>
        <v>1</v>
      </c>
      <c r="AB1077" s="67"/>
      <c r="AC1077" s="68"/>
      <c r="AD1077" s="62" t="n">
        <f aca="false">AW1077</f>
        <v>10</v>
      </c>
      <c r="AE1077" s="62" t="n">
        <f aca="false">MAX(AW1077,H1077)</f>
        <v>13</v>
      </c>
      <c r="AF1077" s="69"/>
      <c r="AG1077" s="62" t="n">
        <f aca="false">IF(LEFT(Cockpit!$C$5,1)="A",H1077,IF(Parameter!$E$30="MAX-Bestand",IF(CI1077=1,CJ1077,IF(LEFT(Cockpit!$C$5,1)="B",AM1077,MAX(AM1077,H1077))),ROUNDUP(AK1077,0)))</f>
        <v>13</v>
      </c>
      <c r="AH1077" s="62" t="n">
        <f aca="false">IF(CA1077=1,0,ROUNDUP(AG1077/BZ1077,0))</f>
        <v>1</v>
      </c>
      <c r="AI1077" s="64" t="n">
        <f aca="false">IF(CR1077&gt;0,CR1077*MAX(1,AG1077/X1077),IF(CA1077=1,IF(AG1077&lt;=0,0,CE1077*MAX(1,IF(H1077&gt;0,AG1077/H1077,1))),IF(R1077&gt;0,AH1077/R1077,0))/MAX(0.1,N(Parameter!$M$21)))</f>
        <v>0.00357142857142857</v>
      </c>
      <c r="AJ1077" s="62" t="n">
        <f aca="false">AI1077*CC1077</f>
        <v>0.553571428571429</v>
      </c>
      <c r="AK1077" s="63" t="n">
        <f aca="false">IF(LEFT(Cockpit!$C$5,1)="A",H1077,IF(CI1077=1,(CL1077+CJ1077)/2,IF(LEFT(Cockpit!$C$5,1)="B",(CL1077+AM1077)/2,MAX((CL1077+AM1077)/2,H1077))))</f>
        <v>13</v>
      </c>
      <c r="AL1077" s="62" t="n">
        <f aca="false">AK1077*G1077</f>
        <v>167.7</v>
      </c>
      <c r="AM1077" s="62" t="n">
        <f aca="false">ROUNDUP(CL1077+MAX(CM1077,2*(J1077/IF(CH1077&gt;0,CH1077,MAX(0.1,N(Cockpit!$C$6)))-CL1077)),0)</f>
        <v>10</v>
      </c>
      <c r="AN1077" s="63" t="n">
        <f aca="false">IF(AJ1077&gt;0,J1077/AJ1077,-1)</f>
        <v>14.4516129032258</v>
      </c>
      <c r="AO1077" s="63" t="n">
        <f aca="false">IF(AND(OR(CG1077="L1",CG1077="L23",CG1077="LIFT"),AJ1077&gt;0),SUMIFS($AJ$7:$AJ$1843,$CG$7:$CG$1843,CG1077,$AN$7:$AN$1843,"&gt;"&amp;AN1077)+SUMIFS($AJ$7:$AJ$1843,$CG$7:$CG$1843,CG1077,$AN$7:$AN$1843,AN1077,$BX$7:$BX$1843,"&lt;="&amp;BX1077),"")</f>
        <v>2099.68956043956</v>
      </c>
      <c r="AP1077" s="70" t="n">
        <f aca="false">IF(AO1077="",0,MAX(0,MIN(1,(IF(CG1077="L1",Parameter!$H$5,IF(CG1077="L23",Parameter!$H$6+Parameter!$H$7,Parameter!$H$5+Parameter!$H$6+Parameter!$H$7))-(AO1077-AJ1077))/AJ1077)))</f>
        <v>1</v>
      </c>
      <c r="AQ1077" s="62" t="n">
        <f aca="false">IF(LEFT(Cockpit!$I$5,1)="A",H1077,IF(Parameter!$E$30="MAX-Bestand",IF(CI1077=1,CJ1077,IF(LEFT(Cockpit!$I$5,1)="B",AW1077,MAX(AW1077,H1077))),ROUNDUP(AU1077,0)))</f>
        <v>13</v>
      </c>
      <c r="AR1077" s="62" t="n">
        <f aca="false">IF(CA1077=1,0,ROUNDUP(AQ1077/BZ1077,0))</f>
        <v>1</v>
      </c>
      <c r="AS1077" s="64" t="n">
        <f aca="false">IF(CR1077&gt;0,CR1077*MAX(1,AQ1077/X1077),IF(CA1077=1,IF(AQ1077&lt;=0,0,CE1077*MAX(1,IF(H1077&gt;0,AQ1077/H1077,1))),IF(R1077&gt;0,AR1077/R1077,0))/MAX(0.1,N(Parameter!$M$21)))</f>
        <v>0.00357142857142857</v>
      </c>
      <c r="AT1077" s="62" t="n">
        <f aca="false">AS1077*CC1077</f>
        <v>0.553571428571429</v>
      </c>
      <c r="AU1077" s="63" t="n">
        <f aca="false">IF(LEFT(Cockpit!$I$5,1)="A",H1077,IF(CI1077=1,(CL1077+CJ1077)/2,IF(LEFT(Cockpit!$I$5,1)="B",(CL1077+AW1077)/2,MAX((CL1077+AW1077)/2,H1077))))</f>
        <v>13</v>
      </c>
      <c r="AV1077" s="62" t="n">
        <f aca="false">AU1077*G1077</f>
        <v>167.7</v>
      </c>
      <c r="AW1077" s="62" t="n">
        <f aca="false">ROUNDUP(CL1077+MAX(CM1077,2*(J1077/IF(CH1077&gt;0,CH1077,MAX(0.1,N(Cockpit!$I$6)))-CL1077)),0)</f>
        <v>10</v>
      </c>
      <c r="AX1077" s="63" t="n">
        <f aca="false">IF(AT1077&gt;0,J1077/AT1077,-1)</f>
        <v>14.4516129032258</v>
      </c>
      <c r="AY1077" s="63" t="n">
        <f aca="false">IF(AND(OR(CG1077="L1",CG1077="L23",CG1077="LIFT"),AT1077&gt;0),SUMIFS($AT$7:$AT$1843,$CG$7:$CG$1843,CG1077,$AX$7:$AX$1843,"&gt;"&amp;AX1077)+SUMIFS($AT$7:$AT$1843,$CG$7:$CG$1843,CG1077,$AX$7:$AX$1843,AX1077,$BX$7:$BX$1843,"&lt;="&amp;BX1077),"")</f>
        <v>2747.62637362637</v>
      </c>
      <c r="AZ1077" s="70" t="n">
        <f aca="false">IF(AY1077="",0,MAX(0,MIN(1,(IF(CG1077="L1",Parameter!$H$5,IF(CG1077="L23",Parameter!$H$6+Parameter!$H$7,Parameter!$H$5+Parameter!$H$6+Parameter!$H$7))-(AY1077-AT1077))/AT1077)))</f>
        <v>1</v>
      </c>
      <c r="BA1077" s="62" t="n">
        <f aca="false">IF(LEFT(Cockpit!$O$5,1)="A",H1077,IF(Parameter!$E$30="MAX-Bestand",IF(CI1077=1,CJ1077,IF(LEFT(Cockpit!$O$5,1)="B",BG1077,MAX(BG1077,H1077))),ROUNDUP(BE1077,0)))</f>
        <v>5</v>
      </c>
      <c r="BB1077" s="62" t="n">
        <f aca="false">IF(CA1077=1,0,ROUNDUP(BA1077/BZ1077,0))</f>
        <v>1</v>
      </c>
      <c r="BC1077" s="64" t="n">
        <f aca="false">IF(CR1077&gt;0,CR1077*MAX(1,BA1077/X1077),IF(CA1077=1,IF(BA1077&lt;=0,0,CE1077*MAX(1,IF(H1077&gt;0,BA1077/H1077,1))),IF(R1077&gt;0,BB1077/R1077,0))/MAX(0.1,N(Parameter!$M$21)))</f>
        <v>0.00357142857142857</v>
      </c>
      <c r="BD1077" s="62" t="n">
        <f aca="false">BC1077*CC1077</f>
        <v>0.553571428571429</v>
      </c>
      <c r="BE1077" s="63" t="n">
        <f aca="false">IF(LEFT(Cockpit!$O$5,1)="A",H1077,IF(CI1077=1,(CL1077+CJ1077)/2,IF(LEFT(Cockpit!$O$5,1)="B",(CL1077+BG1077)/2,MAX((CL1077+BG1077)/2,H1077))))</f>
        <v>5</v>
      </c>
      <c r="BF1077" s="62" t="n">
        <f aca="false">BE1077*G1077</f>
        <v>64.5</v>
      </c>
      <c r="BG1077" s="62" t="n">
        <f aca="false">ROUNDUP(CL1077+MAX(CM1077,2*(J1077/IF(CH1077&gt;0,CH1077,MAX(0.1,N(Cockpit!$O$6)))-CL1077)),0)</f>
        <v>10</v>
      </c>
      <c r="BH1077" s="63" t="n">
        <f aca="false">IF(BD1077&gt;0,J1077/BD1077,-1)</f>
        <v>14.4516129032258</v>
      </c>
      <c r="BI1077" s="63" t="n">
        <f aca="false">IF(AND(OR(CG1077="L1",CG1077="L23",CG1077="LIFT"),BD1077&gt;0),SUMIFS($BD$7:$BD$1843,$CG$7:$CG$1843,CG1077,$BH$7:$BH$1843,"&gt;"&amp;BH1077)+SUMIFS($BD$7:$BD$1843,$CG$7:$CG$1843,CG1077,$BH$7:$BH$1843,BH1077,$BX$7:$BX$1843,"&lt;="&amp;BX1077),"")</f>
        <v>2431.21703296703</v>
      </c>
      <c r="BJ1077" s="70" t="n">
        <f aca="false">IF(BI1077="",0,MAX(0,MIN(1,(IF(CG1077="L1",Parameter!$H$5,IF(CG1077="L23",Parameter!$H$6+Parameter!$H$7,Parameter!$H$5+Parameter!$H$6+Parameter!$H$7))-(BI1077-BD1077))/BD1077)))</f>
        <v>1</v>
      </c>
      <c r="BK1077" s="60" t="str">
        <f aca="false">IF(AJ1077&lt;=0,"",IF(CG1077="Aussen","Aussenlager",IF(CG1077="-","Nicht im Lift",IF(AP1077&gt;=1,"Lift",IF(AP1077&lt;=0,"Aussenlager","teilweise")))))</f>
        <v>Lift</v>
      </c>
      <c r="BL1077" s="60" t="str">
        <f aca="false">IF(AT1077&lt;=0,"",IF(CG1077="Aussen","Aussenlager",IF(CG1077="-","Nicht im Lift",IF(AZ1077&gt;=1,"Lift",IF(AZ1077&lt;=0,"Aussenlager","teilweise")))))</f>
        <v>Lift</v>
      </c>
      <c r="BM1077" s="60" t="str">
        <f aca="false">IF(BD1077&lt;=0,"",IF(CG1077="Aussen","Aussenlager",IF(CG1077="-","Nicht im Lift",IF(BJ1077&gt;=1,"Lift",IF(BJ1077&lt;=0,"Aussenlager","teilweise")))))</f>
        <v>Lift</v>
      </c>
      <c r="BN1077" s="60" t="str">
        <f aca="false">IF(A1077="","",IF(BW1077=1,"Neu; ","")&amp;IF(AND(BW1077=0,BR1077&lt;0),"negativer Bestand (Export "&amp;BR1077&amp;"); ","")&amp;IF(J1077&lt;=0,"Kein Verbrauch; ","")&amp;IF(CR1077&gt;0,"Lift "&amp;W1077&amp;" lt. Liftbericht (Fach "&amp;X1077&amp;" Stk); ",IF(CB1077=1,"Gebinde geschätzt ("&amp;T1077&amp;"); ",IF(CA1077=1,"Lose – Tablare geschätzt; ","")))&amp;IF(H1077&gt;AW1077,"Überbestand "&amp;ROUND(H1077-AW1077,0)&amp;" Stk / CHF "&amp;ROUND((H1077-AW1077)*G1077,0)&amp;"; ","")&amp;IF(AND(CI1077=1,CJ1077&lt;CK1077),"MAX &lt; MB+LG; ","")&amp;IF(AND(CQ1077&gt;0,CP1077*10&gt;CQ1077),"zu hoch für Tablar; ","")&amp;IF(AND(BW1077=0,OR(CI1077=1,AB1077&lt;&gt;"",U1077&lt;&gt;"",V1077&lt;&gt;"",AC1077&lt;&gt;"")),"manuell übersteuert; ","")&amp;IF(AND(CA1077=0,R1077=0),"Gebinde unbekannt / Stellmass fehlt; ","")&amp;IF(AND(CA1077=0,N(V1077)&lt;=0,N(Q1077)&lt;=0),"Menge pro Gebinde fehlt (Ist = 1 Gebinde); ","")&amp;BV1077)</f>
        <v>negativer Bestand (Export -14); Überbestand 3 Stk / CHF 39; </v>
      </c>
      <c r="BO1077" s="60"/>
      <c r="BP1077" s="60"/>
      <c r="BQ1077" s="67"/>
      <c r="BR1077" s="62" t="n">
        <v>-14</v>
      </c>
      <c r="BS1077" s="62" t="n">
        <v>27</v>
      </c>
      <c r="BT1077" s="61" t="n">
        <v>-180.6</v>
      </c>
      <c r="BU1077" s="62" t="n">
        <v>8</v>
      </c>
      <c r="BV1077" s="60"/>
      <c r="BW1077" s="65" t="n">
        <v>0</v>
      </c>
      <c r="BX1077" s="65" t="n">
        <v>1077</v>
      </c>
      <c r="BY1077" s="60" t="str">
        <f aca="false">IF(U1077&lt;&gt;"",UPPER(TRIM(U1077)),IF(CB1077=1,UPPER(VLOOKUP(T1077,Parameter!$I$27:$K$29,2,0)),IF(P1077="","LOSE",P1077)))</f>
        <v>S21</v>
      </c>
      <c r="BZ1077" s="62" t="n">
        <f aca="false">IF(BY1077="LOSE",1,IF(N(V1077)&gt;0,V1077,IF(CB1077=1,MAX(1,N(VLOOKUP(T1077,Parameter!$I$27:$K$29,3,0)),H1077,N(N1077)),IF(N(Q1077)&gt;0,Q1077,MAX(1,H1077)))))</f>
        <v>29</v>
      </c>
      <c r="CA1077" s="65" t="n">
        <f aca="false">IF(BY1077="LOSE",1,0)</f>
        <v>0</v>
      </c>
      <c r="CB1077" s="65" t="n">
        <f aca="false">IF(AND(U1077="",OR(P1077="",P1077="LOSE"),T1077&lt;&gt;"",N(S1077)&lt;=0,ISNUMBER(MATCH(T1077,Parameter!$I$27:$I$29,0))),1,0)</f>
        <v>0</v>
      </c>
      <c r="CC1077" s="65" t="n">
        <f aca="false">IF(CR1077&gt;0,INDEX(Parameter!$H$5:$H$7,W1077)/INDEX(Parameter!$E$5:$E$7,W1077),IF(AND(CA1077=0,N(IFERROR(VLOOKUP(BY1077,'Gebinde-Kategorie'!$A$5:$N$45,14,0),0))&gt;0),VLOOKUP(BY1077,'Gebinde-Kategorie'!$A$5:$N$45,14,0)*10+Parameter!$M$23,Parameter!$M$24))</f>
        <v>155</v>
      </c>
      <c r="CD1077" s="60" t="str">
        <f aca="false">IF(AND(Parameter!$B$19="Ja",E1077&lt;&gt;"",ISNUMBER(MATCH(E1077,Parameter!$I$35:$I$52,0))),VLOOKUP(E1077,Parameter!$I$35:$J$52,2,0),IFERROR(VLOOKUP(D1077,Parameter!$A$35:$C$64,2,0),"Nein"))</f>
        <v>2+3</v>
      </c>
      <c r="CE1077" s="64" t="n">
        <f aca="false">IF(CA1077=0,0,IF(N(S1077)&gt;0,S1077,IFERROR(VLOOKUP(D1077,Parameter!$A$35:$C$64,3,0)+0,0)))</f>
        <v>0</v>
      </c>
      <c r="CF1077" s="60" t="n">
        <f aca="false">IF(AB1077&lt;&gt;"",AB1077,AA1077)</f>
        <v>1</v>
      </c>
      <c r="CG1077" s="60" t="str">
        <f aca="false">IF(OR(CF1077=1,CF1077=2,CF1077=3),IF(Parameter!$E$27="Ja","LIFT",IF(CF1077=1,"L1","L23")),IF(CF1077="Aussen","Aussen","-"))</f>
        <v>LIFT</v>
      </c>
      <c r="CH1077" s="71" t="n">
        <f aca="false">IF(N(AC1077)&gt;0,AC1077,0)</f>
        <v>0</v>
      </c>
      <c r="CI1077" s="65" t="n">
        <f aca="false">IF(ISNUMBER(AF1077),1,0)</f>
        <v>0</v>
      </c>
      <c r="CJ1077" s="62" t="n">
        <f aca="false">N(AF1077)</f>
        <v>0</v>
      </c>
      <c r="CK1077" s="62" t="n">
        <f aca="false">N(M1077)+N(N1077)</f>
        <v>10</v>
      </c>
      <c r="CL1077" s="62" t="n">
        <f aca="false">N(M1077)</f>
        <v>0</v>
      </c>
      <c r="CM1077" s="62" t="n">
        <f aca="false">N(N1077)</f>
        <v>10</v>
      </c>
      <c r="CN1077" s="62" t="n">
        <f aca="false">ROUNDUP(H1077/BZ1077,0)</f>
        <v>1</v>
      </c>
      <c r="CO1077" s="62" t="n">
        <f aca="false">ROUNDUP(CJ1077/BZ1077,0)</f>
        <v>0</v>
      </c>
      <c r="CP1077" s="65" t="n">
        <f aca="false">IF(CA1077=1,0,IFERROR(VLOOKUP(BY1077,'Gebinde-Kategorie'!$A$5:$N$45,5,0)+0,0))</f>
        <v>8</v>
      </c>
      <c r="CQ1077" s="65" t="n">
        <f aca="false">IFERROR(IF(OR(CF1077=1,CF1077=2,CF1077=3),N(INDEX(Parameter!$I$5:$I$7,CF1077)),0),0)</f>
        <v>0</v>
      </c>
      <c r="CR1077" s="64" t="n">
        <f aca="false">IF(AND(Parameter!$B$21="Ja",ISNUMBER(W1077),N(X1077)&gt;0),IFERROR(N(INDEX(Parameter!$L$5:$L$7,W1077))*INDEX(Parameter!$E$5:$E$7,W1077)*X1077/SUMIFS($X$7:$X$1843,$W$7:$W$1843,W1077),0),0)</f>
        <v>0</v>
      </c>
      <c r="CS1077" s="62" t="n">
        <f aca="false">IF(AND(OR(CG1077="L1",CG1077="L23",CG1077="LIFT"),H1077&gt;0),CC1077*IF(CR1077&gt;0,CR1077*MAX(1,H1077/X1077),IF(CA1077=1,CE1077,IF(R1077&gt;0,CN1077/R1077,0))/MAX(0.1,N(Parameter!$M$21))),"")</f>
        <v>0.553571428571429</v>
      </c>
      <c r="CT1077" s="64" t="n">
        <f aca="false">IF(CS1077="","",J1077/H1077)</f>
        <v>0.615384615384615</v>
      </c>
      <c r="CU1077" s="62" t="n">
        <f aca="false">IF(CS1077="","",H1077*G1077)</f>
        <v>167.7</v>
      </c>
      <c r="CV1077" s="63" t="n">
        <f aca="false">IF(CS1077="","",(CL1077+ROUNDUP(CL1077+MAX(CM1077,2*(J1077/MAX(0.1,N(Einkauf!$C$6))-CL1077)),0))/2)</f>
        <v>5</v>
      </c>
      <c r="CW1077" s="62" t="n">
        <f aca="false">IF(CS1077="","",MAX(0,H1077-CV1077)*G1077)</f>
        <v>103.2</v>
      </c>
      <c r="CX1077" s="62" t="n">
        <f aca="false">IF(CS1077="","",CS1077*MAX(0,1-CV1077/H1077))</f>
        <v>0.340659340659341</v>
      </c>
      <c r="CY1077" s="64" t="n">
        <f aca="false">IF(CS1077="","",PERCENTRANK($CS$7:$CS$1843,CS1077)+PERCENTRANK($CU$7:$CU$1843,CU1077)+1-PERCENTRANK($CT$7:$CT$1843,CT1077))</f>
        <v>0.74</v>
      </c>
      <c r="CZ1077" s="72" t="n">
        <f aca="false">IF(CS1077="","",CHOOSE(MATCH(Einkauf!$C$5,Parameter!$G$23:$G$27,0),CY1077,CS1077,CU1077,-CT1077,CW1077)+ROW()/1000000000)</f>
        <v>0.740001077</v>
      </c>
    </row>
    <row r="1078" customFormat="false" ht="15" hidden="false" customHeight="false" outlineLevel="0" collapsed="false">
      <c r="A1078" s="60" t="s">
        <v>2009</v>
      </c>
      <c r="B1078" s="60" t="s">
        <v>2010</v>
      </c>
      <c r="C1078" s="60" t="s">
        <v>206</v>
      </c>
      <c r="D1078" s="60" t="s">
        <v>226</v>
      </c>
      <c r="E1078" s="60" t="s">
        <v>227</v>
      </c>
      <c r="F1078" s="60" t="s">
        <v>260</v>
      </c>
      <c r="G1078" s="61" t="n">
        <v>8.9</v>
      </c>
      <c r="H1078" s="62" t="n">
        <f aca="false">MAX(0,IF(AND(Parameter!$B$21="Ja",ISNUMBER(Y1078)),Y1078,IF(Parameter!$B$20="Jahresanfang 2025 + Export",BS1078+BR1078,BR1078)))</f>
        <v>13</v>
      </c>
      <c r="I1078" s="62" t="n">
        <f aca="false">H1078*G1078</f>
        <v>115.7</v>
      </c>
      <c r="J1078" s="62" t="n">
        <f aca="false">BU1078*Parameter!$B$18</f>
        <v>23</v>
      </c>
      <c r="K1078" s="63" t="n">
        <v>34</v>
      </c>
      <c r="L1078" s="64" t="n">
        <v>0.676470588235294</v>
      </c>
      <c r="M1078" s="62" t="n">
        <v>1</v>
      </c>
      <c r="N1078" s="62" t="n">
        <v>25</v>
      </c>
      <c r="O1078" s="65" t="n">
        <v>28</v>
      </c>
      <c r="P1078" s="60" t="s">
        <v>518</v>
      </c>
      <c r="Q1078" s="62" t="n">
        <v>27</v>
      </c>
      <c r="R1078" s="65" t="n">
        <f aca="false">IF(CA1078=1,0,IFERROR(VLOOKUP(BY1078,'Gebinde-Kategorie'!$A$5:$N$45,13,0)+0,0))</f>
        <v>52</v>
      </c>
      <c r="S1078" s="66"/>
      <c r="T1078" s="67"/>
      <c r="U1078" s="67"/>
      <c r="V1078" s="67"/>
      <c r="W1078" s="60"/>
      <c r="X1078" s="62"/>
      <c r="Y1078" s="62"/>
      <c r="Z1078" s="60" t="n">
        <v>3</v>
      </c>
      <c r="AA1078" s="60" t="n">
        <f aca="false">IF(A1078="","",IF(AND(Parameter!$B$21="Ja",ISNUMBER(W1078)),W1078,IF(AND(Parameter!$E$27="Ja",ISNUMBER(Z1078),CD1078&lt;&gt;"Nein"),Z1078,IF(CD1078="2+3",IF(ISNUMBER(SEARCH("grosser Artikel",BV1078)),2,IFERROR(VLOOKUP(BY1078,Parameter!$F$35:$G$64,2,0),2)),IF(OR(CD1078="Nein",CD1078=""),"-",CD1078)))))</f>
        <v>3</v>
      </c>
      <c r="AB1078" s="67"/>
      <c r="AC1078" s="68"/>
      <c r="AD1078" s="62" t="n">
        <f aca="false">AW1078</f>
        <v>26</v>
      </c>
      <c r="AE1078" s="62" t="n">
        <f aca="false">MAX(AW1078,H1078)</f>
        <v>26</v>
      </c>
      <c r="AF1078" s="69"/>
      <c r="AG1078" s="62" t="n">
        <f aca="false">IF(LEFT(Cockpit!$C$5,1)="A",H1078,IF(Parameter!$E$30="MAX-Bestand",IF(CI1078=1,CJ1078,IF(LEFT(Cockpit!$C$5,1)="B",AM1078,MAX(AM1078,H1078))),ROUNDUP(AK1078,0)))</f>
        <v>13</v>
      </c>
      <c r="AH1078" s="62" t="n">
        <f aca="false">IF(CA1078=1,0,ROUNDUP(AG1078/BZ1078,0))</f>
        <v>1</v>
      </c>
      <c r="AI1078" s="64" t="n">
        <f aca="false">IF(CR1078&gt;0,CR1078*MAX(1,AG1078/X1078),IF(CA1078=1,IF(AG1078&lt;=0,0,CE1078*MAX(1,IF(H1078&gt;0,AG1078/H1078,1))),IF(R1078&gt;0,AH1078/R1078,0))/MAX(0.1,N(Parameter!$M$21)))</f>
        <v>0.0192307692307692</v>
      </c>
      <c r="AJ1078" s="62" t="n">
        <f aca="false">AI1078*CC1078</f>
        <v>2.98076923076923</v>
      </c>
      <c r="AK1078" s="63" t="n">
        <f aca="false">IF(LEFT(Cockpit!$C$5,1)="A",H1078,IF(CI1078=1,(CL1078+CJ1078)/2,IF(LEFT(Cockpit!$C$5,1)="B",(CL1078+AM1078)/2,MAX((CL1078+AM1078)/2,H1078))))</f>
        <v>13</v>
      </c>
      <c r="AL1078" s="62" t="n">
        <f aca="false">AK1078*G1078</f>
        <v>115.7</v>
      </c>
      <c r="AM1078" s="62" t="n">
        <f aca="false">ROUNDUP(CL1078+MAX(CM1078,2*(J1078/IF(CH1078&gt;0,CH1078,MAX(0.1,N(Cockpit!$C$6)))-CL1078)),0)</f>
        <v>26</v>
      </c>
      <c r="AN1078" s="63" t="n">
        <f aca="false">IF(AJ1078&gt;0,J1078/AJ1078,-1)</f>
        <v>7.71612903225806</v>
      </c>
      <c r="AO1078" s="63" t="n">
        <f aca="false">IF(AND(OR(CG1078="L1",CG1078="L23",CG1078="LIFT"),AJ1078&gt;0),SUMIFS($AJ$7:$AJ$1843,$CG$7:$CG$1843,CG1078,$AN$7:$AN$1843,"&gt;"&amp;AN1078)+SUMIFS($AJ$7:$AJ$1843,$CG$7:$CG$1843,CG1078,$AN$7:$AN$1843,AN1078,$BX$7:$BX$1843,"&lt;="&amp;BX1078),"")</f>
        <v>3119.05769230769</v>
      </c>
      <c r="AP1078" s="70" t="n">
        <f aca="false">IF(AO1078="",0,MAX(0,MIN(1,(IF(CG1078="L1",Parameter!$H$5,IF(CG1078="L23",Parameter!$H$6+Parameter!$H$7,Parameter!$H$5+Parameter!$H$6+Parameter!$H$7))-(AO1078-AJ1078))/AJ1078)))</f>
        <v>1</v>
      </c>
      <c r="AQ1078" s="62" t="n">
        <f aca="false">IF(LEFT(Cockpit!$I$5,1)="A",H1078,IF(Parameter!$E$30="MAX-Bestand",IF(CI1078=1,CJ1078,IF(LEFT(Cockpit!$I$5,1)="B",AW1078,MAX(AW1078,H1078))),ROUNDUP(AU1078,0)))</f>
        <v>14</v>
      </c>
      <c r="AR1078" s="62" t="n">
        <f aca="false">IF(CA1078=1,0,ROUNDUP(AQ1078/BZ1078,0))</f>
        <v>1</v>
      </c>
      <c r="AS1078" s="64" t="n">
        <f aca="false">IF(CR1078&gt;0,CR1078*MAX(1,AQ1078/X1078),IF(CA1078=1,IF(AQ1078&lt;=0,0,CE1078*MAX(1,IF(H1078&gt;0,AQ1078/H1078,1))),IF(R1078&gt;0,AR1078/R1078,0))/MAX(0.1,N(Parameter!$M$21)))</f>
        <v>0.0192307692307692</v>
      </c>
      <c r="AT1078" s="62" t="n">
        <f aca="false">AS1078*CC1078</f>
        <v>2.98076923076923</v>
      </c>
      <c r="AU1078" s="63" t="n">
        <f aca="false">IF(LEFT(Cockpit!$I$5,1)="A",H1078,IF(CI1078=1,(CL1078+CJ1078)/2,IF(LEFT(Cockpit!$I$5,1)="B",(CL1078+AW1078)/2,MAX((CL1078+AW1078)/2,H1078))))</f>
        <v>13.5</v>
      </c>
      <c r="AV1078" s="62" t="n">
        <f aca="false">AU1078*G1078</f>
        <v>120.15</v>
      </c>
      <c r="AW1078" s="62" t="n">
        <f aca="false">ROUNDUP(CL1078+MAX(CM1078,2*(J1078/IF(CH1078&gt;0,CH1078,MAX(0.1,N(Cockpit!$I$6)))-CL1078)),0)</f>
        <v>26</v>
      </c>
      <c r="AX1078" s="63" t="n">
        <f aca="false">IF(AT1078&gt;0,J1078/AT1078,-1)</f>
        <v>7.71612903225806</v>
      </c>
      <c r="AY1078" s="63" t="n">
        <f aca="false">IF(AND(OR(CG1078="L1",CG1078="L23",CG1078="LIFT"),AT1078&gt;0),SUMIFS($AT$7:$AT$1843,$CG$7:$CG$1843,CG1078,$AX$7:$AX$1843,"&gt;"&amp;AX1078)+SUMIFS($AT$7:$AT$1843,$CG$7:$CG$1843,CG1078,$AX$7:$AX$1843,AX1078,$BX$7:$BX$1843,"&lt;="&amp;BX1078),"")</f>
        <v>3743.11904761905</v>
      </c>
      <c r="AZ1078" s="70" t="n">
        <f aca="false">IF(AY1078="",0,MAX(0,MIN(1,(IF(CG1078="L1",Parameter!$H$5,IF(CG1078="L23",Parameter!$H$6+Parameter!$H$7,Parameter!$H$5+Parameter!$H$6+Parameter!$H$7))-(AY1078-AT1078))/AT1078)))</f>
        <v>1</v>
      </c>
      <c r="BA1078" s="62" t="n">
        <f aca="false">IF(LEFT(Cockpit!$O$5,1)="A",H1078,IF(Parameter!$E$30="MAX-Bestand",IF(CI1078=1,CJ1078,IF(LEFT(Cockpit!$O$5,1)="B",BG1078,MAX(BG1078,H1078))),ROUNDUP(BE1078,0)))</f>
        <v>14</v>
      </c>
      <c r="BB1078" s="62" t="n">
        <f aca="false">IF(CA1078=1,0,ROUNDUP(BA1078/BZ1078,0))</f>
        <v>1</v>
      </c>
      <c r="BC1078" s="64" t="n">
        <f aca="false">IF(CR1078&gt;0,CR1078*MAX(1,BA1078/X1078),IF(CA1078=1,IF(BA1078&lt;=0,0,CE1078*MAX(1,IF(H1078&gt;0,BA1078/H1078,1))),IF(R1078&gt;0,BB1078/R1078,0))/MAX(0.1,N(Parameter!$M$21)))</f>
        <v>0.0192307692307692</v>
      </c>
      <c r="BD1078" s="62" t="n">
        <f aca="false">BC1078*CC1078</f>
        <v>2.98076923076923</v>
      </c>
      <c r="BE1078" s="63" t="n">
        <f aca="false">IF(LEFT(Cockpit!$O$5,1)="A",H1078,IF(CI1078=1,(CL1078+CJ1078)/2,IF(LEFT(Cockpit!$O$5,1)="B",(CL1078+BG1078)/2,MAX((CL1078+BG1078)/2,H1078))))</f>
        <v>13.5</v>
      </c>
      <c r="BF1078" s="62" t="n">
        <f aca="false">BE1078*G1078</f>
        <v>120.15</v>
      </c>
      <c r="BG1078" s="62" t="n">
        <f aca="false">ROUNDUP(CL1078+MAX(CM1078,2*(J1078/IF(CH1078&gt;0,CH1078,MAX(0.1,N(Cockpit!$O$6)))-CL1078)),0)</f>
        <v>26</v>
      </c>
      <c r="BH1078" s="63" t="n">
        <f aca="false">IF(BD1078&gt;0,J1078/BD1078,-1)</f>
        <v>7.71612903225806</v>
      </c>
      <c r="BI1078" s="63" t="n">
        <f aca="false">IF(AND(OR(CG1078="L1",CG1078="L23",CG1078="LIFT"),BD1078&gt;0),SUMIFS($BD$7:$BD$1843,$CG$7:$CG$1843,CG1078,$BH$7:$BH$1843,"&gt;"&amp;BH1078)+SUMIFS($BD$7:$BD$1843,$CG$7:$CG$1843,CG1078,$BH$7:$BH$1843,BH1078,$BX$7:$BX$1843,"&lt;="&amp;BX1078),"")</f>
        <v>3161.98855311355</v>
      </c>
      <c r="BJ1078" s="70" t="n">
        <f aca="false">IF(BI1078="",0,MAX(0,MIN(1,(IF(CG1078="L1",Parameter!$H$5,IF(CG1078="L23",Parameter!$H$6+Parameter!$H$7,Parameter!$H$5+Parameter!$H$6+Parameter!$H$7))-(BI1078-BD1078))/BD1078)))</f>
        <v>1</v>
      </c>
      <c r="BK1078" s="60" t="str">
        <f aca="false">IF(AJ1078&lt;=0,"",IF(CG1078="Aussen","Aussenlager",IF(CG1078="-","Nicht im Lift",IF(AP1078&gt;=1,"Lift",IF(AP1078&lt;=0,"Aussenlager","teilweise")))))</f>
        <v>Lift</v>
      </c>
      <c r="BL1078" s="60" t="str">
        <f aca="false">IF(AT1078&lt;=0,"",IF(CG1078="Aussen","Aussenlager",IF(CG1078="-","Nicht im Lift",IF(AZ1078&gt;=1,"Lift",IF(AZ1078&lt;=0,"Aussenlager","teilweise")))))</f>
        <v>Lift</v>
      </c>
      <c r="BM1078" s="60" t="str">
        <f aca="false">IF(BD1078&lt;=0,"",IF(CG1078="Aussen","Aussenlager",IF(CG1078="-","Nicht im Lift",IF(BJ1078&gt;=1,"Lift",IF(BJ1078&lt;=0,"Aussenlager","teilweise")))))</f>
        <v>Lift</v>
      </c>
      <c r="BN1078" s="60" t="str">
        <f aca="false">IF(A1078="","",IF(BW1078=1,"Neu; ","")&amp;IF(AND(BW1078=0,BR1078&lt;0),"negativer Bestand (Export "&amp;BR1078&amp;"); ","")&amp;IF(J1078&lt;=0,"Kein Verbrauch; ","")&amp;IF(CR1078&gt;0,"Lift "&amp;W1078&amp;" lt. Liftbericht (Fach "&amp;X1078&amp;" Stk); ",IF(CB1078=1,"Gebinde geschätzt ("&amp;T1078&amp;"); ",IF(CA1078=1,"Lose – Tablare geschätzt; ","")))&amp;IF(H1078&gt;AW1078,"Überbestand "&amp;ROUND(H1078-AW1078,0)&amp;" Stk / CHF "&amp;ROUND((H1078-AW1078)*G1078,0)&amp;"; ","")&amp;IF(AND(CI1078=1,CJ1078&lt;CK1078),"MAX &lt; MB+LG; ","")&amp;IF(AND(CQ1078&gt;0,CP1078*10&gt;CQ1078),"zu hoch für Tablar; ","")&amp;IF(AND(BW1078=0,OR(CI1078=1,AB1078&lt;&gt;"",U1078&lt;&gt;"",V1078&lt;&gt;"",AC1078&lt;&gt;"")),"manuell übersteuert; ","")&amp;IF(AND(CA1078=0,R1078=0),"Gebinde unbekannt / Stellmass fehlt; ","")&amp;IF(AND(CA1078=0,N(V1078)&lt;=0,N(Q1078)&lt;=0),"Menge pro Gebinde fehlt (Ist = 1 Gebinde); ","")&amp;BV1078)</f>
        <v>negativer Bestand (Export -17); </v>
      </c>
      <c r="BO1078" s="60"/>
      <c r="BP1078" s="60"/>
      <c r="BQ1078" s="67"/>
      <c r="BR1078" s="62" t="n">
        <v>-17</v>
      </c>
      <c r="BS1078" s="62" t="n">
        <v>30</v>
      </c>
      <c r="BT1078" s="61" t="n">
        <v>-182.2</v>
      </c>
      <c r="BU1078" s="62" t="n">
        <v>23</v>
      </c>
      <c r="BV1078" s="60"/>
      <c r="BW1078" s="65" t="n">
        <v>0</v>
      </c>
      <c r="BX1078" s="65" t="n">
        <v>1078</v>
      </c>
      <c r="BY1078" s="60" t="str">
        <f aca="false">IF(U1078&lt;&gt;"",UPPER(TRIM(U1078)),IF(CB1078=1,UPPER(VLOOKUP(T1078,Parameter!$I$27:$K$29,2,0)),IF(P1078="","LOSE",P1078)))</f>
        <v>S33</v>
      </c>
      <c r="BZ1078" s="62" t="n">
        <f aca="false">IF(BY1078="LOSE",1,IF(N(V1078)&gt;0,V1078,IF(CB1078=1,MAX(1,N(VLOOKUP(T1078,Parameter!$I$27:$K$29,3,0)),H1078,N(N1078)),IF(N(Q1078)&gt;0,Q1078,MAX(1,H1078)))))</f>
        <v>27</v>
      </c>
      <c r="CA1078" s="65" t="n">
        <f aca="false">IF(BY1078="LOSE",1,0)</f>
        <v>0</v>
      </c>
      <c r="CB1078" s="65" t="n">
        <f aca="false">IF(AND(U1078="",OR(P1078="",P1078="LOSE"),T1078&lt;&gt;"",N(S1078)&lt;=0,ISNUMBER(MATCH(T1078,Parameter!$I$27:$I$29,0))),1,0)</f>
        <v>0</v>
      </c>
      <c r="CC1078" s="65" t="n">
        <f aca="false">IF(CR1078&gt;0,INDEX(Parameter!$H$5:$H$7,W1078)/INDEX(Parameter!$E$5:$E$7,W1078),IF(AND(CA1078=0,N(IFERROR(VLOOKUP(BY1078,'Gebinde-Kategorie'!$A$5:$N$45,14,0),0))&gt;0),VLOOKUP(BY1078,'Gebinde-Kategorie'!$A$5:$N$45,14,0)*10+Parameter!$M$23,Parameter!$M$24))</f>
        <v>155</v>
      </c>
      <c r="CD1078" s="60" t="str">
        <f aca="false">IF(AND(Parameter!$B$19="Ja",E1078&lt;&gt;"",ISNUMBER(MATCH(E1078,Parameter!$I$35:$I$52,0))),VLOOKUP(E1078,Parameter!$I$35:$J$52,2,0),IFERROR(VLOOKUP(D1078,Parameter!$A$35:$C$64,2,0),"Nein"))</f>
        <v>2+3</v>
      </c>
      <c r="CE1078" s="64" t="n">
        <f aca="false">IF(CA1078=0,0,IF(N(S1078)&gt;0,S1078,IFERROR(VLOOKUP(D1078,Parameter!$A$35:$C$64,3,0)+0,0)))</f>
        <v>0</v>
      </c>
      <c r="CF1078" s="60" t="n">
        <f aca="false">IF(AB1078&lt;&gt;"",AB1078,AA1078)</f>
        <v>3</v>
      </c>
      <c r="CG1078" s="60" t="str">
        <f aca="false">IF(OR(CF1078=1,CF1078=2,CF1078=3),IF(Parameter!$E$27="Ja","LIFT",IF(CF1078=1,"L1","L23")),IF(CF1078="Aussen","Aussen","-"))</f>
        <v>LIFT</v>
      </c>
      <c r="CH1078" s="71" t="n">
        <f aca="false">IF(N(AC1078)&gt;0,AC1078,0)</f>
        <v>0</v>
      </c>
      <c r="CI1078" s="65" t="n">
        <f aca="false">IF(ISNUMBER(AF1078),1,0)</f>
        <v>0</v>
      </c>
      <c r="CJ1078" s="62" t="n">
        <f aca="false">N(AF1078)</f>
        <v>0</v>
      </c>
      <c r="CK1078" s="62" t="n">
        <f aca="false">N(M1078)+N(N1078)</f>
        <v>26</v>
      </c>
      <c r="CL1078" s="62" t="n">
        <f aca="false">N(M1078)</f>
        <v>1</v>
      </c>
      <c r="CM1078" s="62" t="n">
        <f aca="false">N(N1078)</f>
        <v>25</v>
      </c>
      <c r="CN1078" s="62" t="n">
        <f aca="false">ROUNDUP(H1078/BZ1078,0)</f>
        <v>1</v>
      </c>
      <c r="CO1078" s="62" t="n">
        <f aca="false">ROUNDUP(CJ1078/BZ1078,0)</f>
        <v>0</v>
      </c>
      <c r="CP1078" s="65" t="n">
        <f aca="false">IF(CA1078=1,0,IFERROR(VLOOKUP(BY1078,'Gebinde-Kategorie'!$A$5:$N$45,5,0)+0,0))</f>
        <v>8</v>
      </c>
      <c r="CQ1078" s="65" t="n">
        <f aca="false">IFERROR(IF(OR(CF1078=1,CF1078=2,CF1078=3),N(INDEX(Parameter!$I$5:$I$7,CF1078)),0),0)</f>
        <v>0</v>
      </c>
      <c r="CR1078" s="64" t="n">
        <f aca="false">IF(AND(Parameter!$B$21="Ja",ISNUMBER(W1078),N(X1078)&gt;0),IFERROR(N(INDEX(Parameter!$L$5:$L$7,W1078))*INDEX(Parameter!$E$5:$E$7,W1078)*X1078/SUMIFS($X$7:$X$1843,$W$7:$W$1843,W1078),0),0)</f>
        <v>0</v>
      </c>
      <c r="CS1078" s="62" t="n">
        <f aca="false">IF(AND(OR(CG1078="L1",CG1078="L23",CG1078="LIFT"),H1078&gt;0),CC1078*IF(CR1078&gt;0,CR1078*MAX(1,H1078/X1078),IF(CA1078=1,CE1078,IF(R1078&gt;0,CN1078/R1078,0))/MAX(0.1,N(Parameter!$M$21))),"")</f>
        <v>2.98076923076923</v>
      </c>
      <c r="CT1078" s="64" t="n">
        <f aca="false">IF(CS1078="","",J1078/H1078)</f>
        <v>1.76923076923077</v>
      </c>
      <c r="CU1078" s="62" t="n">
        <f aca="false">IF(CS1078="","",H1078*G1078)</f>
        <v>115.7</v>
      </c>
      <c r="CV1078" s="63" t="n">
        <f aca="false">IF(CS1078="","",(CL1078+ROUNDUP(CL1078+MAX(CM1078,2*(J1078/MAX(0.1,N(Einkauf!$C$6))-CL1078)),0))/2)</f>
        <v>13.5</v>
      </c>
      <c r="CW1078" s="62" t="n">
        <f aca="false">IF(CS1078="","",MAX(0,H1078-CV1078)*G1078)</f>
        <v>0</v>
      </c>
      <c r="CX1078" s="62" t="n">
        <f aca="false">IF(CS1078="","",CS1078*MAX(0,1-CV1078/H1078))</f>
        <v>0</v>
      </c>
      <c r="CY1078" s="64" t="n">
        <f aca="false">IF(CS1078="","",PERCENTRANK($CS$7:$CS$1843,CS1078)+PERCENTRANK($CU$7:$CU$1843,CU1078)+1-PERCENTRANK($CT$7:$CT$1843,CT1078))</f>
        <v>0.672</v>
      </c>
      <c r="CZ1078" s="72" t="n">
        <f aca="false">IF(CS1078="","",CHOOSE(MATCH(Einkauf!$C$5,Parameter!$G$23:$G$27,0),CY1078,CS1078,CU1078,-CT1078,CW1078)+ROW()/1000000000)</f>
        <v>0.672001078</v>
      </c>
    </row>
    <row r="1079" customFormat="false" ht="15" hidden="false" customHeight="false" outlineLevel="0" collapsed="false">
      <c r="A1079" s="60" t="s">
        <v>2011</v>
      </c>
      <c r="B1079" s="60" t="s">
        <v>449</v>
      </c>
      <c r="C1079" s="60" t="s">
        <v>206</v>
      </c>
      <c r="D1079" s="60" t="s">
        <v>226</v>
      </c>
      <c r="E1079" s="60" t="s">
        <v>227</v>
      </c>
      <c r="F1079" s="60" t="s">
        <v>260</v>
      </c>
      <c r="G1079" s="61" t="n">
        <v>0.03</v>
      </c>
      <c r="H1079" s="62" t="n">
        <f aca="false">MAX(0,IF(AND(Parameter!$B$21="Ja",ISNUMBER(Y1079)),Y1079,IF(Parameter!$B$20="Jahresanfang 2025 + Export",BS1079+BR1079,BR1079)))</f>
        <v>1561</v>
      </c>
      <c r="I1079" s="62" t="n">
        <f aca="false">H1079*G1079</f>
        <v>46.83</v>
      </c>
      <c r="J1079" s="62" t="n">
        <f aca="false">BU1079*Parameter!$B$18</f>
        <v>6186</v>
      </c>
      <c r="K1079" s="63" t="n">
        <v>5410.5</v>
      </c>
      <c r="L1079" s="64" t="n">
        <v>1.14333240920433</v>
      </c>
      <c r="M1079" s="62" t="n">
        <v>360</v>
      </c>
      <c r="N1079" s="62" t="n">
        <v>2000</v>
      </c>
      <c r="O1079" s="65" t="n">
        <v>21</v>
      </c>
      <c r="P1079" s="60" t="s">
        <v>518</v>
      </c>
      <c r="Q1079" s="62" t="n">
        <v>5992</v>
      </c>
      <c r="R1079" s="65" t="n">
        <f aca="false">IF(CA1079=1,0,IFERROR(VLOOKUP(BY1079,'Gebinde-Kategorie'!$A$5:$N$45,13,0)+0,0))</f>
        <v>52</v>
      </c>
      <c r="S1079" s="66"/>
      <c r="T1079" s="67"/>
      <c r="U1079" s="67"/>
      <c r="V1079" s="67"/>
      <c r="W1079" s="60"/>
      <c r="X1079" s="62"/>
      <c r="Y1079" s="62"/>
      <c r="Z1079" s="60" t="n">
        <v>3</v>
      </c>
      <c r="AA1079" s="60" t="n">
        <f aca="false">IF(A1079="","",IF(AND(Parameter!$B$21="Ja",ISNUMBER(W1079)),W1079,IF(AND(Parameter!$E$27="Ja",ISNUMBER(Z1079),CD1079&lt;&gt;"Nein"),Z1079,IF(CD1079="2+3",IF(ISNUMBER(SEARCH("grosser Artikel",BV1079)),2,IFERROR(VLOOKUP(BY1079,Parameter!$F$35:$G$64,2,0),2)),IF(OR(CD1079="Nein",CD1079=""),"-",CD1079)))))</f>
        <v>3</v>
      </c>
      <c r="AB1079" s="67"/>
      <c r="AC1079" s="68"/>
      <c r="AD1079" s="62" t="n">
        <f aca="false">AW1079</f>
        <v>3764</v>
      </c>
      <c r="AE1079" s="62" t="n">
        <f aca="false">MAX(AW1079,H1079)</f>
        <v>3764</v>
      </c>
      <c r="AF1079" s="69"/>
      <c r="AG1079" s="62" t="n">
        <f aca="false">IF(LEFT(Cockpit!$C$5,1)="A",H1079,IF(Parameter!$E$30="MAX-Bestand",IF(CI1079=1,CJ1079,IF(LEFT(Cockpit!$C$5,1)="B",AM1079,MAX(AM1079,H1079))),ROUNDUP(AK1079,0)))</f>
        <v>1561</v>
      </c>
      <c r="AH1079" s="62" t="n">
        <f aca="false">IF(CA1079=1,0,ROUNDUP(AG1079/BZ1079,0))</f>
        <v>1</v>
      </c>
      <c r="AI1079" s="64" t="n">
        <f aca="false">IF(CR1079&gt;0,CR1079*MAX(1,AG1079/X1079),IF(CA1079=1,IF(AG1079&lt;=0,0,CE1079*MAX(1,IF(H1079&gt;0,AG1079/H1079,1))),IF(R1079&gt;0,AH1079/R1079,0))/MAX(0.1,N(Parameter!$M$21)))</f>
        <v>0.0192307692307692</v>
      </c>
      <c r="AJ1079" s="62" t="n">
        <f aca="false">AI1079*CC1079</f>
        <v>2.98076923076923</v>
      </c>
      <c r="AK1079" s="63" t="n">
        <f aca="false">IF(LEFT(Cockpit!$C$5,1)="A",H1079,IF(CI1079=1,(CL1079+CJ1079)/2,IF(LEFT(Cockpit!$C$5,1)="B",(CL1079+AM1079)/2,MAX((CL1079+AM1079)/2,H1079))))</f>
        <v>1561</v>
      </c>
      <c r="AL1079" s="62" t="n">
        <f aca="false">AK1079*G1079</f>
        <v>46.83</v>
      </c>
      <c r="AM1079" s="62" t="n">
        <f aca="false">ROUNDUP(CL1079+MAX(CM1079,2*(J1079/IF(CH1079&gt;0,CH1079,MAX(0.1,N(Cockpit!$C$6)))-CL1079)),0)</f>
        <v>3764</v>
      </c>
      <c r="AN1079" s="63" t="n">
        <f aca="false">IF(AJ1079&gt;0,J1079/AJ1079,-1)</f>
        <v>2075.30322580645</v>
      </c>
      <c r="AO1079" s="63" t="n">
        <f aca="false">IF(AND(OR(CG1079="L1",CG1079="L23",CG1079="LIFT"),AJ1079&gt;0),SUMIFS($AJ$7:$AJ$1843,$CG$7:$CG$1843,CG1079,$AN$7:$AN$1843,"&gt;"&amp;AN1079)+SUMIFS($AJ$7:$AJ$1843,$CG$7:$CG$1843,CG1079,$AN$7:$AN$1843,AN1079,$BX$7:$BX$1843,"&lt;="&amp;BX1079),"")</f>
        <v>5.96153846153846</v>
      </c>
      <c r="AP1079" s="70" t="n">
        <f aca="false">IF(AO1079="",0,MAX(0,MIN(1,(IF(CG1079="L1",Parameter!$H$5,IF(CG1079="L23",Parameter!$H$6+Parameter!$H$7,Parameter!$H$5+Parameter!$H$6+Parameter!$H$7))-(AO1079-AJ1079))/AJ1079)))</f>
        <v>1</v>
      </c>
      <c r="AQ1079" s="62" t="n">
        <f aca="false">IF(LEFT(Cockpit!$I$5,1)="A",H1079,IF(Parameter!$E$30="MAX-Bestand",IF(CI1079=1,CJ1079,IF(LEFT(Cockpit!$I$5,1)="B",AW1079,MAX(AW1079,H1079))),ROUNDUP(AU1079,0)))</f>
        <v>2062</v>
      </c>
      <c r="AR1079" s="62" t="n">
        <f aca="false">IF(CA1079=1,0,ROUNDUP(AQ1079/BZ1079,0))</f>
        <v>1</v>
      </c>
      <c r="AS1079" s="64" t="n">
        <f aca="false">IF(CR1079&gt;0,CR1079*MAX(1,AQ1079/X1079),IF(CA1079=1,IF(AQ1079&lt;=0,0,CE1079*MAX(1,IF(H1079&gt;0,AQ1079/H1079,1))),IF(R1079&gt;0,AR1079/R1079,0))/MAX(0.1,N(Parameter!$M$21)))</f>
        <v>0.0192307692307692</v>
      </c>
      <c r="AT1079" s="62" t="n">
        <f aca="false">AS1079*CC1079</f>
        <v>2.98076923076923</v>
      </c>
      <c r="AU1079" s="63" t="n">
        <f aca="false">IF(LEFT(Cockpit!$I$5,1)="A",H1079,IF(CI1079=1,(CL1079+CJ1079)/2,IF(LEFT(Cockpit!$I$5,1)="B",(CL1079+AW1079)/2,MAX((CL1079+AW1079)/2,H1079))))</f>
        <v>2062</v>
      </c>
      <c r="AV1079" s="62" t="n">
        <f aca="false">AU1079*G1079</f>
        <v>61.86</v>
      </c>
      <c r="AW1079" s="62" t="n">
        <f aca="false">ROUNDUP(CL1079+MAX(CM1079,2*(J1079/IF(CH1079&gt;0,CH1079,MAX(0.1,N(Cockpit!$I$6)))-CL1079)),0)</f>
        <v>3764</v>
      </c>
      <c r="AX1079" s="63" t="n">
        <f aca="false">IF(AT1079&gt;0,J1079/AT1079,-1)</f>
        <v>2075.30322580645</v>
      </c>
      <c r="AY1079" s="63" t="n">
        <f aca="false">IF(AND(OR(CG1079="L1",CG1079="L23",CG1079="LIFT"),AT1079&gt;0),SUMIFS($AT$7:$AT$1843,$CG$7:$CG$1843,CG1079,$AX$7:$AX$1843,"&gt;"&amp;AX1079)+SUMIFS($AT$7:$AT$1843,$CG$7:$CG$1843,CG1079,$AX$7:$AX$1843,AX1079,$BX$7:$BX$1843,"&lt;="&amp;BX1079),"")</f>
        <v>5.96153846153846</v>
      </c>
      <c r="AZ1079" s="70" t="n">
        <f aca="false">IF(AY1079="",0,MAX(0,MIN(1,(IF(CG1079="L1",Parameter!$H$5,IF(CG1079="L23",Parameter!$H$6+Parameter!$H$7,Parameter!$H$5+Parameter!$H$6+Parameter!$H$7))-(AY1079-AT1079))/AT1079)))</f>
        <v>1</v>
      </c>
      <c r="BA1079" s="62" t="n">
        <f aca="false">IF(LEFT(Cockpit!$O$5,1)="A",H1079,IF(Parameter!$E$30="MAX-Bestand",IF(CI1079=1,CJ1079,IF(LEFT(Cockpit!$O$5,1)="B",BG1079,MAX(BG1079,H1079))),ROUNDUP(BE1079,0)))</f>
        <v>1547</v>
      </c>
      <c r="BB1079" s="62" t="n">
        <f aca="false">IF(CA1079=1,0,ROUNDUP(BA1079/BZ1079,0))</f>
        <v>1</v>
      </c>
      <c r="BC1079" s="64" t="n">
        <f aca="false">IF(CR1079&gt;0,CR1079*MAX(1,BA1079/X1079),IF(CA1079=1,IF(BA1079&lt;=0,0,CE1079*MAX(1,IF(H1079&gt;0,BA1079/H1079,1))),IF(R1079&gt;0,BB1079/R1079,0))/MAX(0.1,N(Parameter!$M$21)))</f>
        <v>0.0192307692307692</v>
      </c>
      <c r="BD1079" s="62" t="n">
        <f aca="false">BC1079*CC1079</f>
        <v>2.98076923076923</v>
      </c>
      <c r="BE1079" s="63" t="n">
        <f aca="false">IF(LEFT(Cockpit!$O$5,1)="A",H1079,IF(CI1079=1,(CL1079+CJ1079)/2,IF(LEFT(Cockpit!$O$5,1)="B",(CL1079+BG1079)/2,MAX((CL1079+BG1079)/2,H1079))))</f>
        <v>1546.5</v>
      </c>
      <c r="BF1079" s="62" t="n">
        <f aca="false">BE1079*G1079</f>
        <v>46.395</v>
      </c>
      <c r="BG1079" s="62" t="n">
        <f aca="false">ROUNDUP(CL1079+MAX(CM1079,2*(J1079/IF(CH1079&gt;0,CH1079,MAX(0.1,N(Cockpit!$O$6)))-CL1079)),0)</f>
        <v>2733</v>
      </c>
      <c r="BH1079" s="63" t="n">
        <f aca="false">IF(BD1079&gt;0,J1079/BD1079,-1)</f>
        <v>2075.30322580645</v>
      </c>
      <c r="BI1079" s="63" t="n">
        <f aca="false">IF(AND(OR(CG1079="L1",CG1079="L23",CG1079="LIFT"),BD1079&gt;0),SUMIFS($BD$7:$BD$1843,$CG$7:$CG$1843,CG1079,$BH$7:$BH$1843,"&gt;"&amp;BH1079)+SUMIFS($BD$7:$BD$1843,$CG$7:$CG$1843,CG1079,$BH$7:$BH$1843,BH1079,$BX$7:$BX$1843,"&lt;="&amp;BX1079),"")</f>
        <v>5.96153846153846</v>
      </c>
      <c r="BJ1079" s="70" t="n">
        <f aca="false">IF(BI1079="",0,MAX(0,MIN(1,(IF(CG1079="L1",Parameter!$H$5,IF(CG1079="L23",Parameter!$H$6+Parameter!$H$7,Parameter!$H$5+Parameter!$H$6+Parameter!$H$7))-(BI1079-BD1079))/BD1079)))</f>
        <v>1</v>
      </c>
      <c r="BK1079" s="60" t="str">
        <f aca="false">IF(AJ1079&lt;=0,"",IF(CG1079="Aussen","Aussenlager",IF(CG1079="-","Nicht im Lift",IF(AP1079&gt;=1,"Lift",IF(AP1079&lt;=0,"Aussenlager","teilweise")))))</f>
        <v>Lift</v>
      </c>
      <c r="BL1079" s="60" t="str">
        <f aca="false">IF(AT1079&lt;=0,"",IF(CG1079="Aussen","Aussenlager",IF(CG1079="-","Nicht im Lift",IF(AZ1079&gt;=1,"Lift",IF(AZ1079&lt;=0,"Aussenlager","teilweise")))))</f>
        <v>Lift</v>
      </c>
      <c r="BM1079" s="60" t="str">
        <f aca="false">IF(BD1079&lt;=0,"",IF(CG1079="Aussen","Aussenlager",IF(CG1079="-","Nicht im Lift",IF(BJ1079&gt;=1,"Lift",IF(BJ1079&lt;=0,"Aussenlager","teilweise")))))</f>
        <v>Lift</v>
      </c>
      <c r="BN1079" s="60" t="str">
        <f aca="false">IF(A1079="","",IF(BW1079=1,"Neu; ","")&amp;IF(AND(BW1079=0,BR1079&lt;0),"negativer Bestand (Export "&amp;BR1079&amp;"); ","")&amp;IF(J1079&lt;=0,"Kein Verbrauch; ","")&amp;IF(CR1079&gt;0,"Lift "&amp;W1079&amp;" lt. Liftbericht (Fach "&amp;X1079&amp;" Stk); ",IF(CB1079=1,"Gebinde geschätzt ("&amp;T1079&amp;"); ",IF(CA1079=1,"Lose – Tablare geschätzt; ","")))&amp;IF(H1079&gt;AW1079,"Überbestand "&amp;ROUND(H1079-AW1079,0)&amp;" Stk / CHF "&amp;ROUND((H1079-AW1079)*G1079,0)&amp;"; ","")&amp;IF(AND(CI1079=1,CJ1079&lt;CK1079),"MAX &lt; MB+LG; ","")&amp;IF(AND(CQ1079&gt;0,CP1079*10&gt;CQ1079),"zu hoch für Tablar; ","")&amp;IF(AND(BW1079=0,OR(CI1079=1,AB1079&lt;&gt;"",U1079&lt;&gt;"",V1079&lt;&gt;"",AC1079&lt;&gt;"")),"manuell übersteuert; ","")&amp;IF(AND(CA1079=0,R1079=0),"Gebinde unbekannt / Stellmass fehlt; ","")&amp;IF(AND(CA1079=0,N(V1079)&lt;=0,N(Q1079)&lt;=0),"Menge pro Gebinde fehlt (Ist = 1 Gebinde); ","")&amp;BV1079)</f>
        <v>negativer Bestand (Export -6097); </v>
      </c>
      <c r="BO1079" s="60"/>
      <c r="BP1079" s="60"/>
      <c r="BQ1079" s="67"/>
      <c r="BR1079" s="62" t="n">
        <v>-6097</v>
      </c>
      <c r="BS1079" s="62" t="n">
        <v>7658</v>
      </c>
      <c r="BT1079" s="61" t="n">
        <v>-182.91</v>
      </c>
      <c r="BU1079" s="62" t="n">
        <v>6186</v>
      </c>
      <c r="BV1079" s="60"/>
      <c r="BW1079" s="65" t="n">
        <v>0</v>
      </c>
      <c r="BX1079" s="65" t="n">
        <v>1079</v>
      </c>
      <c r="BY1079" s="60" t="str">
        <f aca="false">IF(U1079&lt;&gt;"",UPPER(TRIM(U1079)),IF(CB1079=1,UPPER(VLOOKUP(T1079,Parameter!$I$27:$K$29,2,0)),IF(P1079="","LOSE",P1079)))</f>
        <v>S33</v>
      </c>
      <c r="BZ1079" s="62" t="n">
        <f aca="false">IF(BY1079="LOSE",1,IF(N(V1079)&gt;0,V1079,IF(CB1079=1,MAX(1,N(VLOOKUP(T1079,Parameter!$I$27:$K$29,3,0)),H1079,N(N1079)),IF(N(Q1079)&gt;0,Q1079,MAX(1,H1079)))))</f>
        <v>5992</v>
      </c>
      <c r="CA1079" s="65" t="n">
        <f aca="false">IF(BY1079="LOSE",1,0)</f>
        <v>0</v>
      </c>
      <c r="CB1079" s="65" t="n">
        <f aca="false">IF(AND(U1079="",OR(P1079="",P1079="LOSE"),T1079&lt;&gt;"",N(S1079)&lt;=0,ISNUMBER(MATCH(T1079,Parameter!$I$27:$I$29,0))),1,0)</f>
        <v>0</v>
      </c>
      <c r="CC1079" s="65" t="n">
        <f aca="false">IF(CR1079&gt;0,INDEX(Parameter!$H$5:$H$7,W1079)/INDEX(Parameter!$E$5:$E$7,W1079),IF(AND(CA1079=0,N(IFERROR(VLOOKUP(BY1079,'Gebinde-Kategorie'!$A$5:$N$45,14,0),0))&gt;0),VLOOKUP(BY1079,'Gebinde-Kategorie'!$A$5:$N$45,14,0)*10+Parameter!$M$23,Parameter!$M$24))</f>
        <v>155</v>
      </c>
      <c r="CD1079" s="60" t="str">
        <f aca="false">IF(AND(Parameter!$B$19="Ja",E1079&lt;&gt;"",ISNUMBER(MATCH(E1079,Parameter!$I$35:$I$52,0))),VLOOKUP(E1079,Parameter!$I$35:$J$52,2,0),IFERROR(VLOOKUP(D1079,Parameter!$A$35:$C$64,2,0),"Nein"))</f>
        <v>2+3</v>
      </c>
      <c r="CE1079" s="64" t="n">
        <f aca="false">IF(CA1079=0,0,IF(N(S1079)&gt;0,S1079,IFERROR(VLOOKUP(D1079,Parameter!$A$35:$C$64,3,0)+0,0)))</f>
        <v>0</v>
      </c>
      <c r="CF1079" s="60" t="n">
        <f aca="false">IF(AB1079&lt;&gt;"",AB1079,AA1079)</f>
        <v>3</v>
      </c>
      <c r="CG1079" s="60" t="str">
        <f aca="false">IF(OR(CF1079=1,CF1079=2,CF1079=3),IF(Parameter!$E$27="Ja","LIFT",IF(CF1079=1,"L1","L23")),IF(CF1079="Aussen","Aussen","-"))</f>
        <v>LIFT</v>
      </c>
      <c r="CH1079" s="71" t="n">
        <f aca="false">IF(N(AC1079)&gt;0,AC1079,0)</f>
        <v>0</v>
      </c>
      <c r="CI1079" s="65" t="n">
        <f aca="false">IF(ISNUMBER(AF1079),1,0)</f>
        <v>0</v>
      </c>
      <c r="CJ1079" s="62" t="n">
        <f aca="false">N(AF1079)</f>
        <v>0</v>
      </c>
      <c r="CK1079" s="62" t="n">
        <f aca="false">N(M1079)+N(N1079)</f>
        <v>2360</v>
      </c>
      <c r="CL1079" s="62" t="n">
        <f aca="false">N(M1079)</f>
        <v>360</v>
      </c>
      <c r="CM1079" s="62" t="n">
        <f aca="false">N(N1079)</f>
        <v>2000</v>
      </c>
      <c r="CN1079" s="62" t="n">
        <f aca="false">ROUNDUP(H1079/BZ1079,0)</f>
        <v>1</v>
      </c>
      <c r="CO1079" s="62" t="n">
        <f aca="false">ROUNDUP(CJ1079/BZ1079,0)</f>
        <v>0</v>
      </c>
      <c r="CP1079" s="65" t="n">
        <f aca="false">IF(CA1079=1,0,IFERROR(VLOOKUP(BY1079,'Gebinde-Kategorie'!$A$5:$N$45,5,0)+0,0))</f>
        <v>8</v>
      </c>
      <c r="CQ1079" s="65" t="n">
        <f aca="false">IFERROR(IF(OR(CF1079=1,CF1079=2,CF1079=3),N(INDEX(Parameter!$I$5:$I$7,CF1079)),0),0)</f>
        <v>0</v>
      </c>
      <c r="CR1079" s="64" t="n">
        <f aca="false">IF(AND(Parameter!$B$21="Ja",ISNUMBER(W1079),N(X1079)&gt;0),IFERROR(N(INDEX(Parameter!$L$5:$L$7,W1079))*INDEX(Parameter!$E$5:$E$7,W1079)*X1079/SUMIFS($X$7:$X$1843,$W$7:$W$1843,W1079),0),0)</f>
        <v>0</v>
      </c>
      <c r="CS1079" s="62" t="n">
        <f aca="false">IF(AND(OR(CG1079="L1",CG1079="L23",CG1079="LIFT"),H1079&gt;0),CC1079*IF(CR1079&gt;0,CR1079*MAX(1,H1079/X1079),IF(CA1079=1,CE1079,IF(R1079&gt;0,CN1079/R1079,0))/MAX(0.1,N(Parameter!$M$21))),"")</f>
        <v>2.98076923076923</v>
      </c>
      <c r="CT1079" s="64" t="n">
        <f aca="false">IF(CS1079="","",J1079/H1079)</f>
        <v>3.96284433055734</v>
      </c>
      <c r="CU1079" s="62" t="n">
        <f aca="false">IF(CS1079="","",H1079*G1079)</f>
        <v>46.83</v>
      </c>
      <c r="CV1079" s="63" t="n">
        <f aca="false">IF(CS1079="","",(CL1079+ROUNDUP(CL1079+MAX(CM1079,2*(J1079/MAX(0.1,N(Einkauf!$C$6))-CL1079)),0))/2)</f>
        <v>1546.5</v>
      </c>
      <c r="CW1079" s="62" t="n">
        <f aca="false">IF(CS1079="","",MAX(0,H1079-CV1079)*G1079)</f>
        <v>0.435</v>
      </c>
      <c r="CX1079" s="62" t="n">
        <f aca="false">IF(CS1079="","",CS1079*MAX(0,1-CV1079/H1079))</f>
        <v>0.0276881190558322</v>
      </c>
      <c r="CY1079" s="64" t="n">
        <f aca="false">IF(CS1079="","",PERCENTRANK($CS$7:$CS$1843,CS1079)+PERCENTRANK($CU$7:$CU$1843,CU1079)+1-PERCENTRANK($CT$7:$CT$1843,CT1079))</f>
        <v>0.422</v>
      </c>
      <c r="CZ1079" s="72" t="n">
        <f aca="false">IF(CS1079="","",CHOOSE(MATCH(Einkauf!$C$5,Parameter!$G$23:$G$27,0),CY1079,CS1079,CU1079,-CT1079,CW1079)+ROW()/1000000000)</f>
        <v>0.422001079</v>
      </c>
    </row>
    <row r="1080" customFormat="false" ht="15" hidden="false" customHeight="false" outlineLevel="0" collapsed="false">
      <c r="A1080" s="60" t="s">
        <v>2012</v>
      </c>
      <c r="B1080" s="60" t="s">
        <v>1958</v>
      </c>
      <c r="C1080" s="60" t="s">
        <v>206</v>
      </c>
      <c r="D1080" s="60" t="s">
        <v>226</v>
      </c>
      <c r="E1080" s="60" t="s">
        <v>227</v>
      </c>
      <c r="F1080" s="60" t="s">
        <v>260</v>
      </c>
      <c r="G1080" s="61" t="n">
        <v>45.83</v>
      </c>
      <c r="H1080" s="62" t="n">
        <f aca="false">MAX(0,IF(AND(Parameter!$B$21="Ja",ISNUMBER(Y1080)),Y1080,IF(Parameter!$B$20="Jahresanfang 2025 + Export",BS1080+BR1080,BR1080)))</f>
        <v>3</v>
      </c>
      <c r="I1080" s="62" t="n">
        <f aca="false">H1080*G1080</f>
        <v>137.49</v>
      </c>
      <c r="J1080" s="62" t="n">
        <f aca="false">BU1080*Parameter!$B$18</f>
        <v>1</v>
      </c>
      <c r="K1080" s="63" t="n">
        <v>6.5</v>
      </c>
      <c r="L1080" s="64" t="n">
        <v>0.153846153846154</v>
      </c>
      <c r="M1080" s="62" t="n">
        <v>0</v>
      </c>
      <c r="N1080" s="62" t="n">
        <v>1</v>
      </c>
      <c r="O1080" s="65" t="n">
        <v>28</v>
      </c>
      <c r="P1080" s="60" t="s">
        <v>463</v>
      </c>
      <c r="Q1080" s="62" t="n">
        <v>7</v>
      </c>
      <c r="R1080" s="65" t="n">
        <f aca="false">IF(CA1080=1,0,IFERROR(VLOOKUP(BY1080,'Gebinde-Kategorie'!$A$5:$N$45,13,0)+0,0))</f>
        <v>104</v>
      </c>
      <c r="S1080" s="66"/>
      <c r="T1080" s="67"/>
      <c r="U1080" s="67"/>
      <c r="V1080" s="67"/>
      <c r="W1080" s="60"/>
      <c r="X1080" s="62"/>
      <c r="Y1080" s="62"/>
      <c r="Z1080" s="60" t="n">
        <v>1</v>
      </c>
      <c r="AA1080" s="60" t="n">
        <f aca="false">IF(A1080="","",IF(AND(Parameter!$B$21="Ja",ISNUMBER(W1080)),W1080,IF(AND(Parameter!$E$27="Ja",ISNUMBER(Z1080),CD1080&lt;&gt;"Nein"),Z1080,IF(CD1080="2+3",IF(ISNUMBER(SEARCH("grosser Artikel",BV1080)),2,IFERROR(VLOOKUP(BY1080,Parameter!$F$35:$G$64,2,0),2)),IF(OR(CD1080="Nein",CD1080=""),"-",CD1080)))))</f>
        <v>1</v>
      </c>
      <c r="AB1080" s="67"/>
      <c r="AC1080" s="68"/>
      <c r="AD1080" s="62" t="n">
        <f aca="false">AW1080</f>
        <v>1</v>
      </c>
      <c r="AE1080" s="62" t="n">
        <f aca="false">MAX(AW1080,H1080)</f>
        <v>3</v>
      </c>
      <c r="AF1080" s="69"/>
      <c r="AG1080" s="62" t="n">
        <f aca="false">IF(LEFT(Cockpit!$C$5,1)="A",H1080,IF(Parameter!$E$30="MAX-Bestand",IF(CI1080=1,CJ1080,IF(LEFT(Cockpit!$C$5,1)="B",AM1080,MAX(AM1080,H1080))),ROUNDUP(AK1080,0)))</f>
        <v>3</v>
      </c>
      <c r="AH1080" s="62" t="n">
        <f aca="false">IF(CA1080=1,0,ROUNDUP(AG1080/BZ1080,0))</f>
        <v>1</v>
      </c>
      <c r="AI1080" s="64" t="n">
        <f aca="false">IF(CR1080&gt;0,CR1080*MAX(1,AG1080/X1080),IF(CA1080=1,IF(AG1080&lt;=0,0,CE1080*MAX(1,IF(H1080&gt;0,AG1080/H1080,1))),IF(R1080&gt;0,AH1080/R1080,0))/MAX(0.1,N(Parameter!$M$21)))</f>
        <v>0.00961538461538462</v>
      </c>
      <c r="AJ1080" s="62" t="n">
        <f aca="false">AI1080*CC1080</f>
        <v>1.49038461538462</v>
      </c>
      <c r="AK1080" s="63" t="n">
        <f aca="false">IF(LEFT(Cockpit!$C$5,1)="A",H1080,IF(CI1080=1,(CL1080+CJ1080)/2,IF(LEFT(Cockpit!$C$5,1)="B",(CL1080+AM1080)/2,MAX((CL1080+AM1080)/2,H1080))))</f>
        <v>3</v>
      </c>
      <c r="AL1080" s="62" t="n">
        <f aca="false">AK1080*G1080</f>
        <v>137.49</v>
      </c>
      <c r="AM1080" s="62" t="n">
        <f aca="false">ROUNDUP(CL1080+MAX(CM1080,2*(J1080/IF(CH1080&gt;0,CH1080,MAX(0.1,N(Cockpit!$C$6)))-CL1080)),0)</f>
        <v>1</v>
      </c>
      <c r="AN1080" s="63" t="n">
        <f aca="false">IF(AJ1080&gt;0,J1080/AJ1080,-1)</f>
        <v>0.670967741935484</v>
      </c>
      <c r="AO1080" s="63" t="n">
        <f aca="false">IF(AND(OR(CG1080="L1",CG1080="L23",CG1080="LIFT"),AJ1080&gt;0),SUMIFS($AJ$7:$AJ$1843,$CG$7:$CG$1843,CG1080,$AN$7:$AN$1843,"&gt;"&amp;AN1080)+SUMIFS($AJ$7:$AJ$1843,$CG$7:$CG$1843,CG1080,$AN$7:$AN$1843,AN1080,$BX$7:$BX$1843,"&lt;="&amp;BX1080),"")</f>
        <v>8631.01602564103</v>
      </c>
      <c r="AP1080" s="70" t="n">
        <f aca="false">IF(AO1080="",0,MAX(0,MIN(1,(IF(CG1080="L1",Parameter!$H$5,IF(CG1080="L23",Parameter!$H$6+Parameter!$H$7,Parameter!$H$5+Parameter!$H$6+Parameter!$H$7))-(AO1080-AJ1080))/AJ1080)))</f>
        <v>1</v>
      </c>
      <c r="AQ1080" s="62" t="n">
        <f aca="false">IF(LEFT(Cockpit!$I$5,1)="A",H1080,IF(Parameter!$E$30="MAX-Bestand",IF(CI1080=1,CJ1080,IF(LEFT(Cockpit!$I$5,1)="B",AW1080,MAX(AW1080,H1080))),ROUNDUP(AU1080,0)))</f>
        <v>3</v>
      </c>
      <c r="AR1080" s="62" t="n">
        <f aca="false">IF(CA1080=1,0,ROUNDUP(AQ1080/BZ1080,0))</f>
        <v>1</v>
      </c>
      <c r="AS1080" s="64" t="n">
        <f aca="false">IF(CR1080&gt;0,CR1080*MAX(1,AQ1080/X1080),IF(CA1080=1,IF(AQ1080&lt;=0,0,CE1080*MAX(1,IF(H1080&gt;0,AQ1080/H1080,1))),IF(R1080&gt;0,AR1080/R1080,0))/MAX(0.1,N(Parameter!$M$21)))</f>
        <v>0.00961538461538462</v>
      </c>
      <c r="AT1080" s="62" t="n">
        <f aca="false">AS1080*CC1080</f>
        <v>1.49038461538462</v>
      </c>
      <c r="AU1080" s="63" t="n">
        <f aca="false">IF(LEFT(Cockpit!$I$5,1)="A",H1080,IF(CI1080=1,(CL1080+CJ1080)/2,IF(LEFT(Cockpit!$I$5,1)="B",(CL1080+AW1080)/2,MAX((CL1080+AW1080)/2,H1080))))</f>
        <v>3</v>
      </c>
      <c r="AV1080" s="62" t="n">
        <f aca="false">AU1080*G1080</f>
        <v>137.49</v>
      </c>
      <c r="AW1080" s="62" t="n">
        <f aca="false">ROUNDUP(CL1080+MAX(CM1080,2*(J1080/IF(CH1080&gt;0,CH1080,MAX(0.1,N(Cockpit!$I$6)))-CL1080)),0)</f>
        <v>1</v>
      </c>
      <c r="AX1080" s="63" t="n">
        <f aca="false">IF(AT1080&gt;0,J1080/AT1080,-1)</f>
        <v>0.670967741935484</v>
      </c>
      <c r="AY1080" s="63" t="n">
        <f aca="false">IF(AND(OR(CG1080="L1",CG1080="L23",CG1080="LIFT"),AT1080&gt;0),SUMIFS($AT$7:$AT$1843,$CG$7:$CG$1843,CG1080,$AX$7:$AX$1843,"&gt;"&amp;AX1080)+SUMIFS($AT$7:$AT$1843,$CG$7:$CG$1843,CG1080,$AX$7:$AX$1843,AX1080,$BX$7:$BX$1843,"&lt;="&amp;BX1080),"")</f>
        <v>10925.1836080586</v>
      </c>
      <c r="AZ1080" s="70" t="n">
        <f aca="false">IF(AY1080="",0,MAX(0,MIN(1,(IF(CG1080="L1",Parameter!$H$5,IF(CG1080="L23",Parameter!$H$6+Parameter!$H$7,Parameter!$H$5+Parameter!$H$6+Parameter!$H$7))-(AY1080-AT1080))/AT1080)))</f>
        <v>1</v>
      </c>
      <c r="BA1080" s="62" t="n">
        <f aca="false">IF(LEFT(Cockpit!$O$5,1)="A",H1080,IF(Parameter!$E$30="MAX-Bestand",IF(CI1080=1,CJ1080,IF(LEFT(Cockpit!$O$5,1)="B",BG1080,MAX(BG1080,H1080))),ROUNDUP(BE1080,0)))</f>
        <v>1</v>
      </c>
      <c r="BB1080" s="62" t="n">
        <f aca="false">IF(CA1080=1,0,ROUNDUP(BA1080/BZ1080,0))</f>
        <v>1</v>
      </c>
      <c r="BC1080" s="64" t="n">
        <f aca="false">IF(CR1080&gt;0,CR1080*MAX(1,BA1080/X1080),IF(CA1080=1,IF(BA1080&lt;=0,0,CE1080*MAX(1,IF(H1080&gt;0,BA1080/H1080,1))),IF(R1080&gt;0,BB1080/R1080,0))/MAX(0.1,N(Parameter!$M$21)))</f>
        <v>0.00961538461538462</v>
      </c>
      <c r="BD1080" s="62" t="n">
        <f aca="false">BC1080*CC1080</f>
        <v>1.49038461538462</v>
      </c>
      <c r="BE1080" s="63" t="n">
        <f aca="false">IF(LEFT(Cockpit!$O$5,1)="A",H1080,IF(CI1080=1,(CL1080+CJ1080)/2,IF(LEFT(Cockpit!$O$5,1)="B",(CL1080+BG1080)/2,MAX((CL1080+BG1080)/2,H1080))))</f>
        <v>0.5</v>
      </c>
      <c r="BF1080" s="62" t="n">
        <f aca="false">BE1080*G1080</f>
        <v>22.915</v>
      </c>
      <c r="BG1080" s="62" t="n">
        <f aca="false">ROUNDUP(CL1080+MAX(CM1080,2*(J1080/IF(CH1080&gt;0,CH1080,MAX(0.1,N(Cockpit!$O$6)))-CL1080)),0)</f>
        <v>1</v>
      </c>
      <c r="BH1080" s="63" t="n">
        <f aca="false">IF(BD1080&gt;0,J1080/BD1080,-1)</f>
        <v>0.670967741935484</v>
      </c>
      <c r="BI1080" s="63" t="n">
        <f aca="false">IF(AND(OR(CG1080="L1",CG1080="L23",CG1080="LIFT"),BD1080&gt;0),SUMIFS($BD$7:$BD$1843,$CG$7:$CG$1843,CG1080,$BH$7:$BH$1843,"&gt;"&amp;BH1080)+SUMIFS($BD$7:$BD$1843,$CG$7:$CG$1843,CG1080,$BH$7:$BH$1843,BH1080,$BX$7:$BX$1843,"&lt;="&amp;BX1080),"")</f>
        <v>9534.81776556777</v>
      </c>
      <c r="BJ1080" s="70" t="n">
        <f aca="false">IF(BI1080="",0,MAX(0,MIN(1,(IF(CG1080="L1",Parameter!$H$5,IF(CG1080="L23",Parameter!$H$6+Parameter!$H$7,Parameter!$H$5+Parameter!$H$6+Parameter!$H$7))-(BI1080-BD1080))/BD1080)))</f>
        <v>1</v>
      </c>
      <c r="BK1080" s="60" t="str">
        <f aca="false">IF(AJ1080&lt;=0,"",IF(CG1080="Aussen","Aussenlager",IF(CG1080="-","Nicht im Lift",IF(AP1080&gt;=1,"Lift",IF(AP1080&lt;=0,"Aussenlager","teilweise")))))</f>
        <v>Lift</v>
      </c>
      <c r="BL1080" s="60" t="str">
        <f aca="false">IF(AT1080&lt;=0,"",IF(CG1080="Aussen","Aussenlager",IF(CG1080="-","Nicht im Lift",IF(AZ1080&gt;=1,"Lift",IF(AZ1080&lt;=0,"Aussenlager","teilweise")))))</f>
        <v>Lift</v>
      </c>
      <c r="BM1080" s="60" t="str">
        <f aca="false">IF(BD1080&lt;=0,"",IF(CG1080="Aussen","Aussenlager",IF(CG1080="-","Nicht im Lift",IF(BJ1080&gt;=1,"Lift",IF(BJ1080&lt;=0,"Aussenlager","teilweise")))))</f>
        <v>Lift</v>
      </c>
      <c r="BN1080" s="60" t="str">
        <f aca="false">IF(A1080="","",IF(BW1080=1,"Neu; ","")&amp;IF(AND(BW1080=0,BR1080&lt;0),"negativer Bestand (Export "&amp;BR1080&amp;"); ","")&amp;IF(J1080&lt;=0,"Kein Verbrauch; ","")&amp;IF(CR1080&gt;0,"Lift "&amp;W1080&amp;" lt. Liftbericht (Fach "&amp;X1080&amp;" Stk); ",IF(CB1080=1,"Gebinde geschätzt ("&amp;T1080&amp;"); ",IF(CA1080=1,"Lose – Tablare geschätzt; ","")))&amp;IF(H1080&gt;AW1080,"Überbestand "&amp;ROUND(H1080-AW1080,0)&amp;" Stk / CHF "&amp;ROUND((H1080-AW1080)*G1080,0)&amp;"; ","")&amp;IF(AND(CI1080=1,CJ1080&lt;CK1080),"MAX &lt; MB+LG; ","")&amp;IF(AND(CQ1080&gt;0,CP1080*10&gt;CQ1080),"zu hoch für Tablar; ","")&amp;IF(AND(BW1080=0,OR(CI1080=1,AB1080&lt;&gt;"",U1080&lt;&gt;"",V1080&lt;&gt;"",AC1080&lt;&gt;"")),"manuell übersteuert; ","")&amp;IF(AND(CA1080=0,R1080=0),"Gebinde unbekannt / Stellmass fehlt; ","")&amp;IF(AND(CA1080=0,N(V1080)&lt;=0,N(Q1080)&lt;=0),"Menge pro Gebinde fehlt (Ist = 1 Gebinde); ","")&amp;BV1080)</f>
        <v>negativer Bestand (Export -4); Überbestand 2 Stk / CHF 92; </v>
      </c>
      <c r="BO1080" s="60"/>
      <c r="BP1080" s="60"/>
      <c r="BQ1080" s="67"/>
      <c r="BR1080" s="62" t="n">
        <v>-4</v>
      </c>
      <c r="BS1080" s="62" t="n">
        <v>7</v>
      </c>
      <c r="BT1080" s="61" t="n">
        <v>-183.32</v>
      </c>
      <c r="BU1080" s="62" t="n">
        <v>1</v>
      </c>
      <c r="BV1080" s="60"/>
      <c r="BW1080" s="65" t="n">
        <v>0</v>
      </c>
      <c r="BX1080" s="65" t="n">
        <v>1080</v>
      </c>
      <c r="BY1080" s="60" t="str">
        <f aca="false">IF(U1080&lt;&gt;"",UPPER(TRIM(U1080)),IF(CB1080=1,UPPER(VLOOKUP(T1080,Parameter!$I$27:$K$29,2,0)),IF(P1080="","LOSE",P1080)))</f>
        <v>S32</v>
      </c>
      <c r="BZ1080" s="62" t="n">
        <f aca="false">IF(BY1080="LOSE",1,IF(N(V1080)&gt;0,V1080,IF(CB1080=1,MAX(1,N(VLOOKUP(T1080,Parameter!$I$27:$K$29,3,0)),H1080,N(N1080)),IF(N(Q1080)&gt;0,Q1080,MAX(1,H1080)))))</f>
        <v>7</v>
      </c>
      <c r="CA1080" s="65" t="n">
        <f aca="false">IF(BY1080="LOSE",1,0)</f>
        <v>0</v>
      </c>
      <c r="CB1080" s="65" t="n">
        <f aca="false">IF(AND(U1080="",OR(P1080="",P1080="LOSE"),T1080&lt;&gt;"",N(S1080)&lt;=0,ISNUMBER(MATCH(T1080,Parameter!$I$27:$I$29,0))),1,0)</f>
        <v>0</v>
      </c>
      <c r="CC1080" s="65" t="n">
        <f aca="false">IF(CR1080&gt;0,INDEX(Parameter!$H$5:$H$7,W1080)/INDEX(Parameter!$E$5:$E$7,W1080),IF(AND(CA1080=0,N(IFERROR(VLOOKUP(BY1080,'Gebinde-Kategorie'!$A$5:$N$45,14,0),0))&gt;0),VLOOKUP(BY1080,'Gebinde-Kategorie'!$A$5:$N$45,14,0)*10+Parameter!$M$23,Parameter!$M$24))</f>
        <v>155</v>
      </c>
      <c r="CD1080" s="60" t="str">
        <f aca="false">IF(AND(Parameter!$B$19="Ja",E1080&lt;&gt;"",ISNUMBER(MATCH(E1080,Parameter!$I$35:$I$52,0))),VLOOKUP(E1080,Parameter!$I$35:$J$52,2,0),IFERROR(VLOOKUP(D1080,Parameter!$A$35:$C$64,2,0),"Nein"))</f>
        <v>2+3</v>
      </c>
      <c r="CE1080" s="64" t="n">
        <f aca="false">IF(CA1080=0,0,IF(N(S1080)&gt;0,S1080,IFERROR(VLOOKUP(D1080,Parameter!$A$35:$C$64,3,0)+0,0)))</f>
        <v>0</v>
      </c>
      <c r="CF1080" s="60" t="n">
        <f aca="false">IF(AB1080&lt;&gt;"",AB1080,AA1080)</f>
        <v>1</v>
      </c>
      <c r="CG1080" s="60" t="str">
        <f aca="false">IF(OR(CF1080=1,CF1080=2,CF1080=3),IF(Parameter!$E$27="Ja","LIFT",IF(CF1080=1,"L1","L23")),IF(CF1080="Aussen","Aussen","-"))</f>
        <v>LIFT</v>
      </c>
      <c r="CH1080" s="71" t="n">
        <f aca="false">IF(N(AC1080)&gt;0,AC1080,0)</f>
        <v>0</v>
      </c>
      <c r="CI1080" s="65" t="n">
        <f aca="false">IF(ISNUMBER(AF1080),1,0)</f>
        <v>0</v>
      </c>
      <c r="CJ1080" s="62" t="n">
        <f aca="false">N(AF1080)</f>
        <v>0</v>
      </c>
      <c r="CK1080" s="62" t="n">
        <f aca="false">N(M1080)+N(N1080)</f>
        <v>1</v>
      </c>
      <c r="CL1080" s="62" t="n">
        <f aca="false">N(M1080)</f>
        <v>0</v>
      </c>
      <c r="CM1080" s="62" t="n">
        <f aca="false">N(N1080)</f>
        <v>1</v>
      </c>
      <c r="CN1080" s="62" t="n">
        <f aca="false">ROUNDUP(H1080/BZ1080,0)</f>
        <v>1</v>
      </c>
      <c r="CO1080" s="62" t="n">
        <f aca="false">ROUNDUP(CJ1080/BZ1080,0)</f>
        <v>0</v>
      </c>
      <c r="CP1080" s="65" t="n">
        <f aca="false">IF(CA1080=1,0,IFERROR(VLOOKUP(BY1080,'Gebinde-Kategorie'!$A$5:$N$45,5,0)+0,0))</f>
        <v>8</v>
      </c>
      <c r="CQ1080" s="65" t="n">
        <f aca="false">IFERROR(IF(OR(CF1080=1,CF1080=2,CF1080=3),N(INDEX(Parameter!$I$5:$I$7,CF1080)),0),0)</f>
        <v>0</v>
      </c>
      <c r="CR1080" s="64" t="n">
        <f aca="false">IF(AND(Parameter!$B$21="Ja",ISNUMBER(W1080),N(X1080)&gt;0),IFERROR(N(INDEX(Parameter!$L$5:$L$7,W1080))*INDEX(Parameter!$E$5:$E$7,W1080)*X1080/SUMIFS($X$7:$X$1843,$W$7:$W$1843,W1080),0),0)</f>
        <v>0</v>
      </c>
      <c r="CS1080" s="62" t="n">
        <f aca="false">IF(AND(OR(CG1080="L1",CG1080="L23",CG1080="LIFT"),H1080&gt;0),CC1080*IF(CR1080&gt;0,CR1080*MAX(1,H1080/X1080),IF(CA1080=1,CE1080,IF(R1080&gt;0,CN1080/R1080,0))/MAX(0.1,N(Parameter!$M$21))),"")</f>
        <v>1.49038461538462</v>
      </c>
      <c r="CT1080" s="64" t="n">
        <f aca="false">IF(CS1080="","",J1080/H1080)</f>
        <v>0.333333333333333</v>
      </c>
      <c r="CU1080" s="62" t="n">
        <f aca="false">IF(CS1080="","",H1080*G1080)</f>
        <v>137.49</v>
      </c>
      <c r="CV1080" s="63" t="n">
        <f aca="false">IF(CS1080="","",(CL1080+ROUNDUP(CL1080+MAX(CM1080,2*(J1080/MAX(0.1,N(Einkauf!$C$6))-CL1080)),0))/2)</f>
        <v>0.5</v>
      </c>
      <c r="CW1080" s="62" t="n">
        <f aca="false">IF(CS1080="","",MAX(0,H1080-CV1080)*G1080)</f>
        <v>114.575</v>
      </c>
      <c r="CX1080" s="62" t="n">
        <f aca="false">IF(CS1080="","",CS1080*MAX(0,1-CV1080/H1080))</f>
        <v>1.24198717948718</v>
      </c>
      <c r="CY1080" s="64" t="n">
        <f aca="false">IF(CS1080="","",PERCENTRANK($CS$7:$CS$1843,CS1080)+PERCENTRANK($CU$7:$CU$1843,CU1080)+1-PERCENTRANK($CT$7:$CT$1843,CT1080))</f>
        <v>0.895</v>
      </c>
      <c r="CZ1080" s="72" t="n">
        <f aca="false">IF(CS1080="","",CHOOSE(MATCH(Einkauf!$C$5,Parameter!$G$23:$G$27,0),CY1080,CS1080,CU1080,-CT1080,CW1080)+ROW()/1000000000)</f>
        <v>0.89500108</v>
      </c>
    </row>
    <row r="1081" customFormat="false" ht="15" hidden="false" customHeight="false" outlineLevel="0" collapsed="false">
      <c r="A1081" s="60" t="s">
        <v>2013</v>
      </c>
      <c r="B1081" s="60" t="s">
        <v>537</v>
      </c>
      <c r="C1081" s="60" t="s">
        <v>206</v>
      </c>
      <c r="D1081" s="60" t="s">
        <v>226</v>
      </c>
      <c r="E1081" s="60" t="s">
        <v>227</v>
      </c>
      <c r="F1081" s="60" t="s">
        <v>260</v>
      </c>
      <c r="G1081" s="61" t="n">
        <v>3.55</v>
      </c>
      <c r="H1081" s="62" t="n">
        <f aca="false">MAX(0,IF(AND(Parameter!$B$21="Ja",ISNUMBER(Y1081)),Y1081,IF(Parameter!$B$20="Jahresanfang 2025 + Export",BS1081+BR1081,BR1081)))</f>
        <v>162</v>
      </c>
      <c r="I1081" s="62" t="n">
        <f aca="false">H1081*G1081</f>
        <v>575.1</v>
      </c>
      <c r="J1081" s="62" t="n">
        <f aca="false">BU1081*Parameter!$B$18</f>
        <v>549</v>
      </c>
      <c r="K1081" s="63" t="n">
        <v>249.5</v>
      </c>
      <c r="L1081" s="64" t="n">
        <v>2.20040080160321</v>
      </c>
      <c r="M1081" s="62" t="n">
        <v>21</v>
      </c>
      <c r="N1081" s="62" t="n">
        <v>100</v>
      </c>
      <c r="O1081" s="65" t="n">
        <v>14</v>
      </c>
      <c r="P1081" s="60" t="s">
        <v>518</v>
      </c>
      <c r="Q1081" s="62" t="n">
        <v>716</v>
      </c>
      <c r="R1081" s="65" t="n">
        <f aca="false">IF(CA1081=1,0,IFERROR(VLOOKUP(BY1081,'Gebinde-Kategorie'!$A$5:$N$45,13,0)+0,0))</f>
        <v>52</v>
      </c>
      <c r="S1081" s="66"/>
      <c r="T1081" s="67"/>
      <c r="U1081" s="67"/>
      <c r="V1081" s="67"/>
      <c r="W1081" s="60"/>
      <c r="X1081" s="62"/>
      <c r="Y1081" s="62"/>
      <c r="Z1081" s="60" t="n">
        <v>3</v>
      </c>
      <c r="AA1081" s="60" t="n">
        <f aca="false">IF(A1081="","",IF(AND(Parameter!$B$21="Ja",ISNUMBER(W1081)),W1081,IF(AND(Parameter!$E$27="Ja",ISNUMBER(Z1081),CD1081&lt;&gt;"Nein"),Z1081,IF(CD1081="2+3",IF(ISNUMBER(SEARCH("grosser Artikel",BV1081)),2,IFERROR(VLOOKUP(BY1081,Parameter!$F$35:$G$64,2,0),2)),IF(OR(CD1081="Nein",CD1081=""),"-",CD1081)))))</f>
        <v>3</v>
      </c>
      <c r="AB1081" s="67"/>
      <c r="AC1081" s="68"/>
      <c r="AD1081" s="62" t="n">
        <f aca="false">AW1081</f>
        <v>345</v>
      </c>
      <c r="AE1081" s="62" t="n">
        <f aca="false">MAX(AW1081,H1081)</f>
        <v>345</v>
      </c>
      <c r="AF1081" s="69"/>
      <c r="AG1081" s="62" t="n">
        <f aca="false">IF(LEFT(Cockpit!$C$5,1)="A",H1081,IF(Parameter!$E$30="MAX-Bestand",IF(CI1081=1,CJ1081,IF(LEFT(Cockpit!$C$5,1)="B",AM1081,MAX(AM1081,H1081))),ROUNDUP(AK1081,0)))</f>
        <v>162</v>
      </c>
      <c r="AH1081" s="62" t="n">
        <f aca="false">IF(CA1081=1,0,ROUNDUP(AG1081/BZ1081,0))</f>
        <v>1</v>
      </c>
      <c r="AI1081" s="64" t="n">
        <f aca="false">IF(CR1081&gt;0,CR1081*MAX(1,AG1081/X1081),IF(CA1081=1,IF(AG1081&lt;=0,0,CE1081*MAX(1,IF(H1081&gt;0,AG1081/H1081,1))),IF(R1081&gt;0,AH1081/R1081,0))/MAX(0.1,N(Parameter!$M$21)))</f>
        <v>0.0192307692307692</v>
      </c>
      <c r="AJ1081" s="62" t="n">
        <f aca="false">AI1081*CC1081</f>
        <v>2.98076923076923</v>
      </c>
      <c r="AK1081" s="63" t="n">
        <f aca="false">IF(LEFT(Cockpit!$C$5,1)="A",H1081,IF(CI1081=1,(CL1081+CJ1081)/2,IF(LEFT(Cockpit!$C$5,1)="B",(CL1081+AM1081)/2,MAX((CL1081+AM1081)/2,H1081))))</f>
        <v>162</v>
      </c>
      <c r="AL1081" s="62" t="n">
        <f aca="false">AK1081*G1081</f>
        <v>575.1</v>
      </c>
      <c r="AM1081" s="62" t="n">
        <f aca="false">ROUNDUP(CL1081+MAX(CM1081,2*(J1081/IF(CH1081&gt;0,CH1081,MAX(0.1,N(Cockpit!$C$6)))-CL1081)),0)</f>
        <v>345</v>
      </c>
      <c r="AN1081" s="63" t="n">
        <f aca="false">IF(AJ1081&gt;0,J1081/AJ1081,-1)</f>
        <v>184.18064516129</v>
      </c>
      <c r="AO1081" s="63" t="n">
        <f aca="false">IF(AND(OR(CG1081="L1",CG1081="L23",CG1081="LIFT"),AJ1081&gt;0),SUMIFS($AJ$7:$AJ$1843,$CG$7:$CG$1843,CG1081,$AN$7:$AN$1843,"&gt;"&amp;AN1081)+SUMIFS($AJ$7:$AJ$1843,$CG$7:$CG$1843,CG1081,$AN$7:$AN$1843,AN1081,$BX$7:$BX$1843,"&lt;="&amp;BX1081),"")</f>
        <v>385.858974358974</v>
      </c>
      <c r="AP1081" s="70" t="n">
        <f aca="false">IF(AO1081="",0,MAX(0,MIN(1,(IF(CG1081="L1",Parameter!$H$5,IF(CG1081="L23",Parameter!$H$6+Parameter!$H$7,Parameter!$H$5+Parameter!$H$6+Parameter!$H$7))-(AO1081-AJ1081))/AJ1081)))</f>
        <v>1</v>
      </c>
      <c r="AQ1081" s="62" t="n">
        <f aca="false">IF(LEFT(Cockpit!$I$5,1)="A",H1081,IF(Parameter!$E$30="MAX-Bestand",IF(CI1081=1,CJ1081,IF(LEFT(Cockpit!$I$5,1)="B",AW1081,MAX(AW1081,H1081))),ROUNDUP(AU1081,0)))</f>
        <v>183</v>
      </c>
      <c r="AR1081" s="62" t="n">
        <f aca="false">IF(CA1081=1,0,ROUNDUP(AQ1081/BZ1081,0))</f>
        <v>1</v>
      </c>
      <c r="AS1081" s="64" t="n">
        <f aca="false">IF(CR1081&gt;0,CR1081*MAX(1,AQ1081/X1081),IF(CA1081=1,IF(AQ1081&lt;=0,0,CE1081*MAX(1,IF(H1081&gt;0,AQ1081/H1081,1))),IF(R1081&gt;0,AR1081/R1081,0))/MAX(0.1,N(Parameter!$M$21)))</f>
        <v>0.0192307692307692</v>
      </c>
      <c r="AT1081" s="62" t="n">
        <f aca="false">AS1081*CC1081</f>
        <v>2.98076923076923</v>
      </c>
      <c r="AU1081" s="63" t="n">
        <f aca="false">IF(LEFT(Cockpit!$I$5,1)="A",H1081,IF(CI1081=1,(CL1081+CJ1081)/2,IF(LEFT(Cockpit!$I$5,1)="B",(CL1081+AW1081)/2,MAX((CL1081+AW1081)/2,H1081))))</f>
        <v>183</v>
      </c>
      <c r="AV1081" s="62" t="n">
        <f aca="false">AU1081*G1081</f>
        <v>649.65</v>
      </c>
      <c r="AW1081" s="62" t="n">
        <f aca="false">ROUNDUP(CL1081+MAX(CM1081,2*(J1081/IF(CH1081&gt;0,CH1081,MAX(0.1,N(Cockpit!$I$6)))-CL1081)),0)</f>
        <v>345</v>
      </c>
      <c r="AX1081" s="63" t="n">
        <f aca="false">IF(AT1081&gt;0,J1081/AT1081,-1)</f>
        <v>184.18064516129</v>
      </c>
      <c r="AY1081" s="63" t="n">
        <f aca="false">IF(AND(OR(CG1081="L1",CG1081="L23",CG1081="LIFT"),AT1081&gt;0),SUMIFS($AT$7:$AT$1843,$CG$7:$CG$1843,CG1081,$AX$7:$AX$1843,"&gt;"&amp;AX1081)+SUMIFS($AT$7:$AT$1843,$CG$7:$CG$1843,CG1081,$AX$7:$AX$1843,AX1081,$BX$7:$BX$1843,"&lt;="&amp;BX1081),"")</f>
        <v>503.495879120879</v>
      </c>
      <c r="AZ1081" s="70" t="n">
        <f aca="false">IF(AY1081="",0,MAX(0,MIN(1,(IF(CG1081="L1",Parameter!$H$5,IF(CG1081="L23",Parameter!$H$6+Parameter!$H$7,Parameter!$H$5+Parameter!$H$6+Parameter!$H$7))-(AY1081-AT1081))/AT1081)))</f>
        <v>1</v>
      </c>
      <c r="BA1081" s="62" t="n">
        <f aca="false">IF(LEFT(Cockpit!$O$5,1)="A",H1081,IF(Parameter!$E$30="MAX-Bestand",IF(CI1081=1,CJ1081,IF(LEFT(Cockpit!$O$5,1)="B",BG1081,MAX(BG1081,H1081))),ROUNDUP(BE1081,0)))</f>
        <v>138</v>
      </c>
      <c r="BB1081" s="62" t="n">
        <f aca="false">IF(CA1081=1,0,ROUNDUP(BA1081/BZ1081,0))</f>
        <v>1</v>
      </c>
      <c r="BC1081" s="64" t="n">
        <f aca="false">IF(CR1081&gt;0,CR1081*MAX(1,BA1081/X1081),IF(CA1081=1,IF(BA1081&lt;=0,0,CE1081*MAX(1,IF(H1081&gt;0,BA1081/H1081,1))),IF(R1081&gt;0,BB1081/R1081,0))/MAX(0.1,N(Parameter!$M$21)))</f>
        <v>0.0192307692307692</v>
      </c>
      <c r="BD1081" s="62" t="n">
        <f aca="false">BC1081*CC1081</f>
        <v>2.98076923076923</v>
      </c>
      <c r="BE1081" s="63" t="n">
        <f aca="false">IF(LEFT(Cockpit!$O$5,1)="A",H1081,IF(CI1081=1,(CL1081+CJ1081)/2,IF(LEFT(Cockpit!$O$5,1)="B",(CL1081+BG1081)/2,MAX((CL1081+BG1081)/2,H1081))))</f>
        <v>137.5</v>
      </c>
      <c r="BF1081" s="62" t="n">
        <f aca="false">BE1081*G1081</f>
        <v>488.125</v>
      </c>
      <c r="BG1081" s="62" t="n">
        <f aca="false">ROUNDUP(CL1081+MAX(CM1081,2*(J1081/IF(CH1081&gt;0,CH1081,MAX(0.1,N(Cockpit!$O$6)))-CL1081)),0)</f>
        <v>254</v>
      </c>
      <c r="BH1081" s="63" t="n">
        <f aca="false">IF(BD1081&gt;0,J1081/BD1081,-1)</f>
        <v>184.18064516129</v>
      </c>
      <c r="BI1081" s="63" t="n">
        <f aca="false">IF(AND(OR(CG1081="L1",CG1081="L23",CG1081="LIFT"),BD1081&gt;0),SUMIFS($BD$7:$BD$1843,$CG$7:$CG$1843,CG1081,$BH$7:$BH$1843,"&gt;"&amp;BH1081)+SUMIFS($BD$7:$BD$1843,$CG$7:$CG$1843,CG1081,$BH$7:$BH$1843,BH1081,$BX$7:$BX$1843,"&lt;="&amp;BX1081),"")</f>
        <v>496.18543956044</v>
      </c>
      <c r="BJ1081" s="70" t="n">
        <f aca="false">IF(BI1081="",0,MAX(0,MIN(1,(IF(CG1081="L1",Parameter!$H$5,IF(CG1081="L23",Parameter!$H$6+Parameter!$H$7,Parameter!$H$5+Parameter!$H$6+Parameter!$H$7))-(BI1081-BD1081))/BD1081)))</f>
        <v>1</v>
      </c>
      <c r="BK1081" s="60" t="str">
        <f aca="false">IF(AJ1081&lt;=0,"",IF(CG1081="Aussen","Aussenlager",IF(CG1081="-","Nicht im Lift",IF(AP1081&gt;=1,"Lift",IF(AP1081&lt;=0,"Aussenlager","teilweise")))))</f>
        <v>Lift</v>
      </c>
      <c r="BL1081" s="60" t="str">
        <f aca="false">IF(AT1081&lt;=0,"",IF(CG1081="Aussen","Aussenlager",IF(CG1081="-","Nicht im Lift",IF(AZ1081&gt;=1,"Lift",IF(AZ1081&lt;=0,"Aussenlager","teilweise")))))</f>
        <v>Lift</v>
      </c>
      <c r="BM1081" s="60" t="str">
        <f aca="false">IF(BD1081&lt;=0,"",IF(CG1081="Aussen","Aussenlager",IF(CG1081="-","Nicht im Lift",IF(BJ1081&gt;=1,"Lift",IF(BJ1081&lt;=0,"Aussenlager","teilweise")))))</f>
        <v>Lift</v>
      </c>
      <c r="BN1081" s="60" t="str">
        <f aca="false">IF(A1081="","",IF(BW1081=1,"Neu; ","")&amp;IF(AND(BW1081=0,BR1081&lt;0),"negativer Bestand (Export "&amp;BR1081&amp;"); ","")&amp;IF(J1081&lt;=0,"Kein Verbrauch; ","")&amp;IF(CR1081&gt;0,"Lift "&amp;W1081&amp;" lt. Liftbericht (Fach "&amp;X1081&amp;" Stk); ",IF(CB1081=1,"Gebinde geschätzt ("&amp;T1081&amp;"); ",IF(CA1081=1,"Lose – Tablare geschätzt; ","")))&amp;IF(H1081&gt;AW1081,"Überbestand "&amp;ROUND(H1081-AW1081,0)&amp;" Stk / CHF "&amp;ROUND((H1081-AW1081)*G1081,0)&amp;"; ","")&amp;IF(AND(CI1081=1,CJ1081&lt;CK1081),"MAX &lt; MB+LG; ","")&amp;IF(AND(CQ1081&gt;0,CP1081*10&gt;CQ1081),"zu hoch für Tablar; ","")&amp;IF(AND(BW1081=0,OR(CI1081=1,AB1081&lt;&gt;"",U1081&lt;&gt;"",V1081&lt;&gt;"",AC1081&lt;&gt;"")),"manuell übersteuert; ","")&amp;IF(AND(CA1081=0,R1081=0),"Gebinde unbekannt / Stellmass fehlt; ","")&amp;IF(AND(CA1081=0,N(V1081)&lt;=0,N(Q1081)&lt;=0),"Menge pro Gebinde fehlt (Ist = 1 Gebinde); ","")&amp;BV1081)</f>
        <v>negativer Bestand (Export -66); </v>
      </c>
      <c r="BO1081" s="60"/>
      <c r="BP1081" s="60"/>
      <c r="BQ1081" s="67"/>
      <c r="BR1081" s="62" t="n">
        <v>-66</v>
      </c>
      <c r="BS1081" s="62" t="n">
        <v>228</v>
      </c>
      <c r="BT1081" s="61" t="n">
        <v>-186.46</v>
      </c>
      <c r="BU1081" s="62" t="n">
        <v>549</v>
      </c>
      <c r="BV1081" s="60"/>
      <c r="BW1081" s="65" t="n">
        <v>0</v>
      </c>
      <c r="BX1081" s="65" t="n">
        <v>1081</v>
      </c>
      <c r="BY1081" s="60" t="str">
        <f aca="false">IF(U1081&lt;&gt;"",UPPER(TRIM(U1081)),IF(CB1081=1,UPPER(VLOOKUP(T1081,Parameter!$I$27:$K$29,2,0)),IF(P1081="","LOSE",P1081)))</f>
        <v>S33</v>
      </c>
      <c r="BZ1081" s="62" t="n">
        <f aca="false">IF(BY1081="LOSE",1,IF(N(V1081)&gt;0,V1081,IF(CB1081=1,MAX(1,N(VLOOKUP(T1081,Parameter!$I$27:$K$29,3,0)),H1081,N(N1081)),IF(N(Q1081)&gt;0,Q1081,MAX(1,H1081)))))</f>
        <v>716</v>
      </c>
      <c r="CA1081" s="65" t="n">
        <f aca="false">IF(BY1081="LOSE",1,0)</f>
        <v>0</v>
      </c>
      <c r="CB1081" s="65" t="n">
        <f aca="false">IF(AND(U1081="",OR(P1081="",P1081="LOSE"),T1081&lt;&gt;"",N(S1081)&lt;=0,ISNUMBER(MATCH(T1081,Parameter!$I$27:$I$29,0))),1,0)</f>
        <v>0</v>
      </c>
      <c r="CC1081" s="65" t="n">
        <f aca="false">IF(CR1081&gt;0,INDEX(Parameter!$H$5:$H$7,W1081)/INDEX(Parameter!$E$5:$E$7,W1081),IF(AND(CA1081=0,N(IFERROR(VLOOKUP(BY1081,'Gebinde-Kategorie'!$A$5:$N$45,14,0),0))&gt;0),VLOOKUP(BY1081,'Gebinde-Kategorie'!$A$5:$N$45,14,0)*10+Parameter!$M$23,Parameter!$M$24))</f>
        <v>155</v>
      </c>
      <c r="CD1081" s="60" t="str">
        <f aca="false">IF(AND(Parameter!$B$19="Ja",E1081&lt;&gt;"",ISNUMBER(MATCH(E1081,Parameter!$I$35:$I$52,0))),VLOOKUP(E1081,Parameter!$I$35:$J$52,2,0),IFERROR(VLOOKUP(D1081,Parameter!$A$35:$C$64,2,0),"Nein"))</f>
        <v>2+3</v>
      </c>
      <c r="CE1081" s="64" t="n">
        <f aca="false">IF(CA1081=0,0,IF(N(S1081)&gt;0,S1081,IFERROR(VLOOKUP(D1081,Parameter!$A$35:$C$64,3,0)+0,0)))</f>
        <v>0</v>
      </c>
      <c r="CF1081" s="60" t="n">
        <f aca="false">IF(AB1081&lt;&gt;"",AB1081,AA1081)</f>
        <v>3</v>
      </c>
      <c r="CG1081" s="60" t="str">
        <f aca="false">IF(OR(CF1081=1,CF1081=2,CF1081=3),IF(Parameter!$E$27="Ja","LIFT",IF(CF1081=1,"L1","L23")),IF(CF1081="Aussen","Aussen","-"))</f>
        <v>LIFT</v>
      </c>
      <c r="CH1081" s="71" t="n">
        <f aca="false">IF(N(AC1081)&gt;0,AC1081,0)</f>
        <v>0</v>
      </c>
      <c r="CI1081" s="65" t="n">
        <f aca="false">IF(ISNUMBER(AF1081),1,0)</f>
        <v>0</v>
      </c>
      <c r="CJ1081" s="62" t="n">
        <f aca="false">N(AF1081)</f>
        <v>0</v>
      </c>
      <c r="CK1081" s="62" t="n">
        <f aca="false">N(M1081)+N(N1081)</f>
        <v>121</v>
      </c>
      <c r="CL1081" s="62" t="n">
        <f aca="false">N(M1081)</f>
        <v>21</v>
      </c>
      <c r="CM1081" s="62" t="n">
        <f aca="false">N(N1081)</f>
        <v>100</v>
      </c>
      <c r="CN1081" s="62" t="n">
        <f aca="false">ROUNDUP(H1081/BZ1081,0)</f>
        <v>1</v>
      </c>
      <c r="CO1081" s="62" t="n">
        <f aca="false">ROUNDUP(CJ1081/BZ1081,0)</f>
        <v>0</v>
      </c>
      <c r="CP1081" s="65" t="n">
        <f aca="false">IF(CA1081=1,0,IFERROR(VLOOKUP(BY1081,'Gebinde-Kategorie'!$A$5:$N$45,5,0)+0,0))</f>
        <v>8</v>
      </c>
      <c r="CQ1081" s="65" t="n">
        <f aca="false">IFERROR(IF(OR(CF1081=1,CF1081=2,CF1081=3),N(INDEX(Parameter!$I$5:$I$7,CF1081)),0),0)</f>
        <v>0</v>
      </c>
      <c r="CR1081" s="64" t="n">
        <f aca="false">IF(AND(Parameter!$B$21="Ja",ISNUMBER(W1081),N(X1081)&gt;0),IFERROR(N(INDEX(Parameter!$L$5:$L$7,W1081))*INDEX(Parameter!$E$5:$E$7,W1081)*X1081/SUMIFS($X$7:$X$1843,$W$7:$W$1843,W1081),0),0)</f>
        <v>0</v>
      </c>
      <c r="CS1081" s="62" t="n">
        <f aca="false">IF(AND(OR(CG1081="L1",CG1081="L23",CG1081="LIFT"),H1081&gt;0),CC1081*IF(CR1081&gt;0,CR1081*MAX(1,H1081/X1081),IF(CA1081=1,CE1081,IF(R1081&gt;0,CN1081/R1081,0))/MAX(0.1,N(Parameter!$M$21))),"")</f>
        <v>2.98076923076923</v>
      </c>
      <c r="CT1081" s="64" t="n">
        <f aca="false">IF(CS1081="","",J1081/H1081)</f>
        <v>3.38888888888889</v>
      </c>
      <c r="CU1081" s="62" t="n">
        <f aca="false">IF(CS1081="","",H1081*G1081)</f>
        <v>575.1</v>
      </c>
      <c r="CV1081" s="63" t="n">
        <f aca="false">IF(CS1081="","",(CL1081+ROUNDUP(CL1081+MAX(CM1081,2*(J1081/MAX(0.1,N(Einkauf!$C$6))-CL1081)),0))/2)</f>
        <v>137.5</v>
      </c>
      <c r="CW1081" s="62" t="n">
        <f aca="false">IF(CS1081="","",MAX(0,H1081-CV1081)*G1081)</f>
        <v>86.975</v>
      </c>
      <c r="CX1081" s="62" t="n">
        <f aca="false">IF(CS1081="","",CS1081*MAX(0,1-CV1081/H1081))</f>
        <v>0.45079534662868</v>
      </c>
      <c r="CY1081" s="64" t="n">
        <f aca="false">IF(CS1081="","",PERCENTRANK($CS$7:$CS$1843,CS1081)+PERCENTRANK($CU$7:$CU$1843,CU1081)+1-PERCENTRANK($CT$7:$CT$1843,CT1081))</f>
        <v>0.843</v>
      </c>
      <c r="CZ1081" s="72" t="n">
        <f aca="false">IF(CS1081="","",CHOOSE(MATCH(Einkauf!$C$5,Parameter!$G$23:$G$27,0),CY1081,CS1081,CU1081,-CT1081,CW1081)+ROW()/1000000000)</f>
        <v>0.843001081</v>
      </c>
    </row>
    <row r="1082" customFormat="false" ht="15" hidden="false" customHeight="false" outlineLevel="0" collapsed="false">
      <c r="A1082" s="60" t="s">
        <v>2014</v>
      </c>
      <c r="B1082" s="60" t="s">
        <v>449</v>
      </c>
      <c r="C1082" s="60" t="s">
        <v>206</v>
      </c>
      <c r="D1082" s="60" t="s">
        <v>226</v>
      </c>
      <c r="E1082" s="60" t="s">
        <v>227</v>
      </c>
      <c r="F1082" s="60" t="s">
        <v>260</v>
      </c>
      <c r="G1082" s="61" t="n">
        <v>0.55</v>
      </c>
      <c r="H1082" s="62" t="n">
        <f aca="false">MAX(0,IF(AND(Parameter!$B$21="Ja",ISNUMBER(Y1082)),Y1082,IF(Parameter!$B$20="Jahresanfang 2025 + Export",BS1082+BR1082,BR1082)))</f>
        <v>1493</v>
      </c>
      <c r="I1082" s="62" t="n">
        <f aca="false">H1082*G1082</f>
        <v>821.15</v>
      </c>
      <c r="J1082" s="62" t="n">
        <f aca="false">BU1082*Parameter!$B$18</f>
        <v>1860</v>
      </c>
      <c r="K1082" s="63" t="n">
        <v>1638.5</v>
      </c>
      <c r="L1082" s="64" t="n">
        <v>1.13518462007934</v>
      </c>
      <c r="M1082" s="62" t="n">
        <v>109</v>
      </c>
      <c r="N1082" s="62" t="n">
        <v>1900</v>
      </c>
      <c r="O1082" s="65" t="n">
        <v>21</v>
      </c>
      <c r="P1082" s="60" t="s">
        <v>344</v>
      </c>
      <c r="Q1082" s="62" t="n">
        <v>989</v>
      </c>
      <c r="R1082" s="65" t="n">
        <f aca="false">IF(CA1082=1,0,IFERROR(VLOOKUP(BY1082,'Gebinde-Kategorie'!$A$5:$N$45,13,0)+0,0))</f>
        <v>26</v>
      </c>
      <c r="S1082" s="66"/>
      <c r="T1082" s="67"/>
      <c r="U1082" s="67"/>
      <c r="V1082" s="67"/>
      <c r="W1082" s="60"/>
      <c r="X1082" s="62"/>
      <c r="Y1082" s="62"/>
      <c r="Z1082" s="60" t="n">
        <v>3</v>
      </c>
      <c r="AA1082" s="60" t="n">
        <f aca="false">IF(A1082="","",IF(AND(Parameter!$B$21="Ja",ISNUMBER(W1082)),W1082,IF(AND(Parameter!$E$27="Ja",ISNUMBER(Z1082),CD1082&lt;&gt;"Nein"),Z1082,IF(CD1082="2+3",IF(ISNUMBER(SEARCH("grosser Artikel",BV1082)),2,IFERROR(VLOOKUP(BY1082,Parameter!$F$35:$G$64,2,0),2)),IF(OR(CD1082="Nein",CD1082=""),"-",CD1082)))))</f>
        <v>3</v>
      </c>
      <c r="AB1082" s="67"/>
      <c r="AC1082" s="68"/>
      <c r="AD1082" s="62" t="n">
        <f aca="false">AW1082</f>
        <v>2009</v>
      </c>
      <c r="AE1082" s="62" t="n">
        <f aca="false">MAX(AW1082,H1082)</f>
        <v>2009</v>
      </c>
      <c r="AF1082" s="69"/>
      <c r="AG1082" s="62" t="n">
        <f aca="false">IF(LEFT(Cockpit!$C$5,1)="A",H1082,IF(Parameter!$E$30="MAX-Bestand",IF(CI1082=1,CJ1082,IF(LEFT(Cockpit!$C$5,1)="B",AM1082,MAX(AM1082,H1082))),ROUNDUP(AK1082,0)))</f>
        <v>1493</v>
      </c>
      <c r="AH1082" s="62" t="n">
        <f aca="false">IF(CA1082=1,0,ROUNDUP(AG1082/BZ1082,0))</f>
        <v>2</v>
      </c>
      <c r="AI1082" s="64" t="n">
        <f aca="false">IF(CR1082&gt;0,CR1082*MAX(1,AG1082/X1082),IF(CA1082=1,IF(AG1082&lt;=0,0,CE1082*MAX(1,IF(H1082&gt;0,AG1082/H1082,1))),IF(R1082&gt;0,AH1082/R1082,0))/MAX(0.1,N(Parameter!$M$21)))</f>
        <v>0.0769230769230769</v>
      </c>
      <c r="AJ1082" s="62" t="n">
        <f aca="false">AI1082*CC1082</f>
        <v>11.9230769230769</v>
      </c>
      <c r="AK1082" s="63" t="n">
        <f aca="false">IF(LEFT(Cockpit!$C$5,1)="A",H1082,IF(CI1082=1,(CL1082+CJ1082)/2,IF(LEFT(Cockpit!$C$5,1)="B",(CL1082+AM1082)/2,MAX((CL1082+AM1082)/2,H1082))))</f>
        <v>1493</v>
      </c>
      <c r="AL1082" s="62" t="n">
        <f aca="false">AK1082*G1082</f>
        <v>821.15</v>
      </c>
      <c r="AM1082" s="62" t="n">
        <f aca="false">ROUNDUP(CL1082+MAX(CM1082,2*(J1082/IF(CH1082&gt;0,CH1082,MAX(0.1,N(Cockpit!$C$6)))-CL1082)),0)</f>
        <v>2009</v>
      </c>
      <c r="AN1082" s="63" t="n">
        <f aca="false">IF(AJ1082&gt;0,J1082/AJ1082,-1)</f>
        <v>156</v>
      </c>
      <c r="AO1082" s="63" t="n">
        <f aca="false">IF(AND(OR(CG1082="L1",CG1082="L23",CG1082="LIFT"),AJ1082&gt;0),SUMIFS($AJ$7:$AJ$1843,$CG$7:$CG$1843,CG1082,$AN$7:$AN$1843,"&gt;"&amp;AN1082)+SUMIFS($AJ$7:$AJ$1843,$CG$7:$CG$1843,CG1082,$AN$7:$AN$1843,AN1082,$BX$7:$BX$1843,"&lt;="&amp;BX1082),"")</f>
        <v>433.33836996337</v>
      </c>
      <c r="AP1082" s="70" t="n">
        <f aca="false">IF(AO1082="",0,MAX(0,MIN(1,(IF(CG1082="L1",Parameter!$H$5,IF(CG1082="L23",Parameter!$H$6+Parameter!$H$7,Parameter!$H$5+Parameter!$H$6+Parameter!$H$7))-(AO1082-AJ1082))/AJ1082)))</f>
        <v>1</v>
      </c>
      <c r="AQ1082" s="62" t="n">
        <f aca="false">IF(LEFT(Cockpit!$I$5,1)="A",H1082,IF(Parameter!$E$30="MAX-Bestand",IF(CI1082=1,CJ1082,IF(LEFT(Cockpit!$I$5,1)="B",AW1082,MAX(AW1082,H1082))),ROUNDUP(AU1082,0)))</f>
        <v>1493</v>
      </c>
      <c r="AR1082" s="62" t="n">
        <f aca="false">IF(CA1082=1,0,ROUNDUP(AQ1082/BZ1082,0))</f>
        <v>2</v>
      </c>
      <c r="AS1082" s="64" t="n">
        <f aca="false">IF(CR1082&gt;0,CR1082*MAX(1,AQ1082/X1082),IF(CA1082=1,IF(AQ1082&lt;=0,0,CE1082*MAX(1,IF(H1082&gt;0,AQ1082/H1082,1))),IF(R1082&gt;0,AR1082/R1082,0))/MAX(0.1,N(Parameter!$M$21)))</f>
        <v>0.0769230769230769</v>
      </c>
      <c r="AT1082" s="62" t="n">
        <f aca="false">AS1082*CC1082</f>
        <v>11.9230769230769</v>
      </c>
      <c r="AU1082" s="63" t="n">
        <f aca="false">IF(LEFT(Cockpit!$I$5,1)="A",H1082,IF(CI1082=1,(CL1082+CJ1082)/2,IF(LEFT(Cockpit!$I$5,1)="B",(CL1082+AW1082)/2,MAX((CL1082+AW1082)/2,H1082))))</f>
        <v>1493</v>
      </c>
      <c r="AV1082" s="62" t="n">
        <f aca="false">AU1082*G1082</f>
        <v>821.15</v>
      </c>
      <c r="AW1082" s="62" t="n">
        <f aca="false">ROUNDUP(CL1082+MAX(CM1082,2*(J1082/IF(CH1082&gt;0,CH1082,MAX(0.1,N(Cockpit!$I$6)))-CL1082)),0)</f>
        <v>2009</v>
      </c>
      <c r="AX1082" s="63" t="n">
        <f aca="false">IF(AT1082&gt;0,J1082/AT1082,-1)</f>
        <v>156</v>
      </c>
      <c r="AY1082" s="63" t="n">
        <f aca="false">IF(AND(OR(CG1082="L1",CG1082="L23",CG1082="LIFT"),AT1082&gt;0),SUMIFS($AT$7:$AT$1843,$CG$7:$CG$1843,CG1082,$AX$7:$AX$1843,"&gt;"&amp;AX1082)+SUMIFS($AT$7:$AT$1843,$CG$7:$CG$1843,CG1082,$AX$7:$AX$1843,AX1082,$BX$7:$BX$1843,"&lt;="&amp;BX1082),"")</f>
        <v>550.975274725275</v>
      </c>
      <c r="AZ1082" s="70" t="n">
        <f aca="false">IF(AY1082="",0,MAX(0,MIN(1,(IF(CG1082="L1",Parameter!$H$5,IF(CG1082="L23",Parameter!$H$6+Parameter!$H$7,Parameter!$H$5+Parameter!$H$6+Parameter!$H$7))-(AY1082-AT1082))/AT1082)))</f>
        <v>1</v>
      </c>
      <c r="BA1082" s="62" t="n">
        <f aca="false">IF(LEFT(Cockpit!$O$5,1)="A",H1082,IF(Parameter!$E$30="MAX-Bestand",IF(CI1082=1,CJ1082,IF(LEFT(Cockpit!$O$5,1)="B",BG1082,MAX(BG1082,H1082))),ROUNDUP(BE1082,0)))</f>
        <v>1059</v>
      </c>
      <c r="BB1082" s="62" t="n">
        <f aca="false">IF(CA1082=1,0,ROUNDUP(BA1082/BZ1082,0))</f>
        <v>2</v>
      </c>
      <c r="BC1082" s="64" t="n">
        <f aca="false">IF(CR1082&gt;0,CR1082*MAX(1,BA1082/X1082),IF(CA1082=1,IF(BA1082&lt;=0,0,CE1082*MAX(1,IF(H1082&gt;0,BA1082/H1082,1))),IF(R1082&gt;0,BB1082/R1082,0))/MAX(0.1,N(Parameter!$M$21)))</f>
        <v>0.0769230769230769</v>
      </c>
      <c r="BD1082" s="62" t="n">
        <f aca="false">BC1082*CC1082</f>
        <v>11.9230769230769</v>
      </c>
      <c r="BE1082" s="63" t="n">
        <f aca="false">IF(LEFT(Cockpit!$O$5,1)="A",H1082,IF(CI1082=1,(CL1082+CJ1082)/2,IF(LEFT(Cockpit!$O$5,1)="B",(CL1082+BG1082)/2,MAX((CL1082+BG1082)/2,H1082))))</f>
        <v>1059</v>
      </c>
      <c r="BF1082" s="62" t="n">
        <f aca="false">BE1082*G1082</f>
        <v>582.45</v>
      </c>
      <c r="BG1082" s="62" t="n">
        <f aca="false">ROUNDUP(CL1082+MAX(CM1082,2*(J1082/IF(CH1082&gt;0,CH1082,MAX(0.1,N(Cockpit!$O$6)))-CL1082)),0)</f>
        <v>2009</v>
      </c>
      <c r="BH1082" s="63" t="n">
        <f aca="false">IF(BD1082&gt;0,J1082/BD1082,-1)</f>
        <v>156</v>
      </c>
      <c r="BI1082" s="63" t="n">
        <f aca="false">IF(AND(OR(CG1082="L1",CG1082="L23",CG1082="LIFT"),BD1082&gt;0),SUMIFS($BD$7:$BD$1843,$CG$7:$CG$1843,CG1082,$BH$7:$BH$1843,"&gt;"&amp;BH1082)+SUMIFS($BD$7:$BD$1843,$CG$7:$CG$1843,CG1082,$BH$7:$BH$1843,BH1082,$BX$7:$BX$1843,"&lt;="&amp;BX1082),"")</f>
        <v>547.923076923077</v>
      </c>
      <c r="BJ1082" s="70" t="n">
        <f aca="false">IF(BI1082="",0,MAX(0,MIN(1,(IF(CG1082="L1",Parameter!$H$5,IF(CG1082="L23",Parameter!$H$6+Parameter!$H$7,Parameter!$H$5+Parameter!$H$6+Parameter!$H$7))-(BI1082-BD1082))/BD1082)))</f>
        <v>1</v>
      </c>
      <c r="BK1082" s="60" t="str">
        <f aca="false">IF(AJ1082&lt;=0,"",IF(CG1082="Aussen","Aussenlager",IF(CG1082="-","Nicht im Lift",IF(AP1082&gt;=1,"Lift",IF(AP1082&lt;=0,"Aussenlager","teilweise")))))</f>
        <v>Lift</v>
      </c>
      <c r="BL1082" s="60" t="str">
        <f aca="false">IF(AT1082&lt;=0,"",IF(CG1082="Aussen","Aussenlager",IF(CG1082="-","Nicht im Lift",IF(AZ1082&gt;=1,"Lift",IF(AZ1082&lt;=0,"Aussenlager","teilweise")))))</f>
        <v>Lift</v>
      </c>
      <c r="BM1082" s="60" t="str">
        <f aca="false">IF(BD1082&lt;=0,"",IF(CG1082="Aussen","Aussenlager",IF(CG1082="-","Nicht im Lift",IF(BJ1082&gt;=1,"Lift",IF(BJ1082&lt;=0,"Aussenlager","teilweise")))))</f>
        <v>Lift</v>
      </c>
      <c r="BN1082" s="60" t="str">
        <f aca="false">IF(A1082="","",IF(BW1082=1,"Neu; ","")&amp;IF(AND(BW1082=0,BR1082&lt;0),"negativer Bestand (Export "&amp;BR1082&amp;"); ","")&amp;IF(J1082&lt;=0,"Kein Verbrauch; ","")&amp;IF(CR1082&gt;0,"Lift "&amp;W1082&amp;" lt. Liftbericht (Fach "&amp;X1082&amp;" Stk); ",IF(CB1082=1,"Gebinde geschätzt ("&amp;T1082&amp;"); ",IF(CA1082=1,"Lose – Tablare geschätzt; ","")))&amp;IF(H1082&gt;AW1082,"Überbestand "&amp;ROUND(H1082-AW1082,0)&amp;" Stk / CHF "&amp;ROUND((H1082-AW1082)*G1082,0)&amp;"; ","")&amp;IF(AND(CI1082=1,CJ1082&lt;CK1082),"MAX &lt; MB+LG; ","")&amp;IF(AND(CQ1082&gt;0,CP1082*10&gt;CQ1082),"zu hoch für Tablar; ","")&amp;IF(AND(BW1082=0,OR(CI1082=1,AB1082&lt;&gt;"",U1082&lt;&gt;"",V1082&lt;&gt;"",AC1082&lt;&gt;"")),"manuell übersteuert; ","")&amp;IF(AND(CA1082=0,R1082=0),"Gebinde unbekannt / Stellmass fehlt; ","")&amp;IF(AND(CA1082=0,N(V1082)&lt;=0,N(Q1082)&lt;=0),"Menge pro Gebinde fehlt (Ist = 1 Gebinde); ","")&amp;BV1082)</f>
        <v>negativer Bestand (Export -375); </v>
      </c>
      <c r="BO1082" s="60"/>
      <c r="BP1082" s="60"/>
      <c r="BQ1082" s="67"/>
      <c r="BR1082" s="62" t="n">
        <v>-375</v>
      </c>
      <c r="BS1082" s="62" t="n">
        <v>1868</v>
      </c>
      <c r="BT1082" s="61" t="n">
        <v>-187.569999999999</v>
      </c>
      <c r="BU1082" s="62" t="n">
        <v>1860</v>
      </c>
      <c r="BV1082" s="60"/>
      <c r="BW1082" s="65" t="n">
        <v>0</v>
      </c>
      <c r="BX1082" s="65" t="n">
        <v>1082</v>
      </c>
      <c r="BY1082" s="60" t="str">
        <f aca="false">IF(U1082&lt;&gt;"",UPPER(TRIM(U1082)),IF(CB1082=1,UPPER(VLOOKUP(T1082,Parameter!$I$27:$K$29,2,0)),IF(P1082="","LOSE",P1082)))</f>
        <v>S51</v>
      </c>
      <c r="BZ1082" s="62" t="n">
        <f aca="false">IF(BY1082="LOSE",1,IF(N(V1082)&gt;0,V1082,IF(CB1082=1,MAX(1,N(VLOOKUP(T1082,Parameter!$I$27:$K$29,3,0)),H1082,N(N1082)),IF(N(Q1082)&gt;0,Q1082,MAX(1,H1082)))))</f>
        <v>989</v>
      </c>
      <c r="CA1082" s="65" t="n">
        <f aca="false">IF(BY1082="LOSE",1,0)</f>
        <v>0</v>
      </c>
      <c r="CB1082" s="65" t="n">
        <f aca="false">IF(AND(U1082="",OR(P1082="",P1082="LOSE"),T1082&lt;&gt;"",N(S1082)&lt;=0,ISNUMBER(MATCH(T1082,Parameter!$I$27:$I$29,0))),1,0)</f>
        <v>0</v>
      </c>
      <c r="CC1082" s="65" t="n">
        <f aca="false">IF(CR1082&gt;0,INDEX(Parameter!$H$5:$H$7,W1082)/INDEX(Parameter!$E$5:$E$7,W1082),IF(AND(CA1082=0,N(IFERROR(VLOOKUP(BY1082,'Gebinde-Kategorie'!$A$5:$N$45,14,0),0))&gt;0),VLOOKUP(BY1082,'Gebinde-Kategorie'!$A$5:$N$45,14,0)*10+Parameter!$M$23,Parameter!$M$24))</f>
        <v>155</v>
      </c>
      <c r="CD1082" s="60" t="str">
        <f aca="false">IF(AND(Parameter!$B$19="Ja",E1082&lt;&gt;"",ISNUMBER(MATCH(E1082,Parameter!$I$35:$I$52,0))),VLOOKUP(E1082,Parameter!$I$35:$J$52,2,0),IFERROR(VLOOKUP(D1082,Parameter!$A$35:$C$64,2,0),"Nein"))</f>
        <v>2+3</v>
      </c>
      <c r="CE1082" s="64" t="n">
        <f aca="false">IF(CA1082=0,0,IF(N(S1082)&gt;0,S1082,IFERROR(VLOOKUP(D1082,Parameter!$A$35:$C$64,3,0)+0,0)))</f>
        <v>0</v>
      </c>
      <c r="CF1082" s="60" t="n">
        <f aca="false">IF(AB1082&lt;&gt;"",AB1082,AA1082)</f>
        <v>3</v>
      </c>
      <c r="CG1082" s="60" t="str">
        <f aca="false">IF(OR(CF1082=1,CF1082=2,CF1082=3),IF(Parameter!$E$27="Ja","LIFT",IF(CF1082=1,"L1","L23")),IF(CF1082="Aussen","Aussen","-"))</f>
        <v>LIFT</v>
      </c>
      <c r="CH1082" s="71" t="n">
        <f aca="false">IF(N(AC1082)&gt;0,AC1082,0)</f>
        <v>0</v>
      </c>
      <c r="CI1082" s="65" t="n">
        <f aca="false">IF(ISNUMBER(AF1082),1,0)</f>
        <v>0</v>
      </c>
      <c r="CJ1082" s="62" t="n">
        <f aca="false">N(AF1082)</f>
        <v>0</v>
      </c>
      <c r="CK1082" s="62" t="n">
        <f aca="false">N(M1082)+N(N1082)</f>
        <v>2009</v>
      </c>
      <c r="CL1082" s="62" t="n">
        <f aca="false">N(M1082)</f>
        <v>109</v>
      </c>
      <c r="CM1082" s="62" t="n">
        <f aca="false">N(N1082)</f>
        <v>1900</v>
      </c>
      <c r="CN1082" s="62" t="n">
        <f aca="false">ROUNDUP(H1082/BZ1082,0)</f>
        <v>2</v>
      </c>
      <c r="CO1082" s="62" t="n">
        <f aca="false">ROUNDUP(CJ1082/BZ1082,0)</f>
        <v>0</v>
      </c>
      <c r="CP1082" s="65" t="n">
        <f aca="false">IF(CA1082=1,0,IFERROR(VLOOKUP(BY1082,'Gebinde-Kategorie'!$A$5:$N$45,5,0)+0,0))</f>
        <v>11</v>
      </c>
      <c r="CQ1082" s="65" t="n">
        <f aca="false">IFERROR(IF(OR(CF1082=1,CF1082=2,CF1082=3),N(INDEX(Parameter!$I$5:$I$7,CF1082)),0),0)</f>
        <v>0</v>
      </c>
      <c r="CR1082" s="64" t="n">
        <f aca="false">IF(AND(Parameter!$B$21="Ja",ISNUMBER(W1082),N(X1082)&gt;0),IFERROR(N(INDEX(Parameter!$L$5:$L$7,W1082))*INDEX(Parameter!$E$5:$E$7,W1082)*X1082/SUMIFS($X$7:$X$1843,$W$7:$W$1843,W1082),0),0)</f>
        <v>0</v>
      </c>
      <c r="CS1082" s="62" t="n">
        <f aca="false">IF(AND(OR(CG1082="L1",CG1082="L23",CG1082="LIFT"),H1082&gt;0),CC1082*IF(CR1082&gt;0,CR1082*MAX(1,H1082/X1082),IF(CA1082=1,CE1082,IF(R1082&gt;0,CN1082/R1082,0))/MAX(0.1,N(Parameter!$M$21))),"")</f>
        <v>11.9230769230769</v>
      </c>
      <c r="CT1082" s="64" t="n">
        <f aca="false">IF(CS1082="","",J1082/H1082)</f>
        <v>1.24581379772271</v>
      </c>
      <c r="CU1082" s="62" t="n">
        <f aca="false">IF(CS1082="","",H1082*G1082)</f>
        <v>821.15</v>
      </c>
      <c r="CV1082" s="63" t="n">
        <f aca="false">IF(CS1082="","",(CL1082+ROUNDUP(CL1082+MAX(CM1082,2*(J1082/MAX(0.1,N(Einkauf!$C$6))-CL1082)),0))/2)</f>
        <v>1059</v>
      </c>
      <c r="CW1082" s="62" t="n">
        <f aca="false">IF(CS1082="","",MAX(0,H1082-CV1082)*G1082)</f>
        <v>238.7</v>
      </c>
      <c r="CX1082" s="62" t="n">
        <f aca="false">IF(CS1082="","",CS1082*MAX(0,1-CV1082/H1082))</f>
        <v>3.46591787315163</v>
      </c>
      <c r="CY1082" s="64" t="n">
        <f aca="false">IF(CS1082="","",PERCENTRANK($CS$7:$CS$1843,CS1082)+PERCENTRANK($CU$7:$CU$1843,CU1082)+1-PERCENTRANK($CT$7:$CT$1843,CT1082))</f>
        <v>1.521</v>
      </c>
      <c r="CZ1082" s="72" t="n">
        <f aca="false">IF(CS1082="","",CHOOSE(MATCH(Einkauf!$C$5,Parameter!$G$23:$G$27,0),CY1082,CS1082,CU1082,-CT1082,CW1082)+ROW()/1000000000)</f>
        <v>1.521001082</v>
      </c>
    </row>
    <row r="1083" customFormat="false" ht="15" hidden="false" customHeight="false" outlineLevel="0" collapsed="false">
      <c r="A1083" s="60" t="s">
        <v>2015</v>
      </c>
      <c r="B1083" s="60" t="s">
        <v>531</v>
      </c>
      <c r="C1083" s="60" t="s">
        <v>206</v>
      </c>
      <c r="D1083" s="60" t="s">
        <v>226</v>
      </c>
      <c r="E1083" s="60" t="s">
        <v>227</v>
      </c>
      <c r="F1083" s="60" t="s">
        <v>260</v>
      </c>
      <c r="G1083" s="61" t="n">
        <v>8.23</v>
      </c>
      <c r="H1083" s="62" t="n">
        <f aca="false">MAX(0,IF(AND(Parameter!$B$21="Ja",ISNUMBER(Y1083)),Y1083,IF(Parameter!$B$20="Jahresanfang 2025 + Export",BS1083+BR1083,BR1083)))</f>
        <v>139</v>
      </c>
      <c r="I1083" s="62" t="n">
        <f aca="false">H1083*G1083</f>
        <v>1143.97</v>
      </c>
      <c r="J1083" s="62" t="n">
        <f aca="false">BU1083*Parameter!$B$18</f>
        <v>507</v>
      </c>
      <c r="K1083" s="63" t="n">
        <v>213</v>
      </c>
      <c r="L1083" s="64" t="n">
        <v>2.38028169014085</v>
      </c>
      <c r="M1083" s="62" t="n">
        <v>10</v>
      </c>
      <c r="N1083" s="62" t="n">
        <v>360</v>
      </c>
      <c r="O1083" s="65" t="n">
        <v>7</v>
      </c>
      <c r="P1083" s="60" t="s">
        <v>370</v>
      </c>
      <c r="Q1083" s="62" t="n">
        <v>309</v>
      </c>
      <c r="R1083" s="65" t="n">
        <f aca="false">IF(CA1083=1,0,IFERROR(VLOOKUP(BY1083,'Gebinde-Kategorie'!$A$5:$N$45,13,0)+0,0))</f>
        <v>52</v>
      </c>
      <c r="S1083" s="66"/>
      <c r="T1083" s="67"/>
      <c r="U1083" s="67"/>
      <c r="V1083" s="67"/>
      <c r="W1083" s="60"/>
      <c r="X1083" s="62"/>
      <c r="Y1083" s="62"/>
      <c r="Z1083" s="60" t="n">
        <v>3</v>
      </c>
      <c r="AA1083" s="60" t="n">
        <f aca="false">IF(A1083="","",IF(AND(Parameter!$B$21="Ja",ISNUMBER(W1083)),W1083,IF(AND(Parameter!$E$27="Ja",ISNUMBER(Z1083),CD1083&lt;&gt;"Nein"),Z1083,IF(CD1083="2+3",IF(ISNUMBER(SEARCH("grosser Artikel",BV1083)),2,IFERROR(VLOOKUP(BY1083,Parameter!$F$35:$G$64,2,0),2)),IF(OR(CD1083="Nein",CD1083=""),"-",CD1083)))))</f>
        <v>3</v>
      </c>
      <c r="AB1083" s="67"/>
      <c r="AC1083" s="68"/>
      <c r="AD1083" s="62" t="n">
        <f aca="false">AW1083</f>
        <v>370</v>
      </c>
      <c r="AE1083" s="62" t="n">
        <f aca="false">MAX(AW1083,H1083)</f>
        <v>370</v>
      </c>
      <c r="AF1083" s="69"/>
      <c r="AG1083" s="62" t="n">
        <f aca="false">IF(LEFT(Cockpit!$C$5,1)="A",H1083,IF(Parameter!$E$30="MAX-Bestand",IF(CI1083=1,CJ1083,IF(LEFT(Cockpit!$C$5,1)="B",AM1083,MAX(AM1083,H1083))),ROUNDUP(AK1083,0)))</f>
        <v>139</v>
      </c>
      <c r="AH1083" s="62" t="n">
        <f aca="false">IF(CA1083=1,0,ROUNDUP(AG1083/BZ1083,0))</f>
        <v>1</v>
      </c>
      <c r="AI1083" s="64" t="n">
        <f aca="false">IF(CR1083&gt;0,CR1083*MAX(1,AG1083/X1083),IF(CA1083=1,IF(AG1083&lt;=0,0,CE1083*MAX(1,IF(H1083&gt;0,AG1083/H1083,1))),IF(R1083&gt;0,AH1083/R1083,0))/MAX(0.1,N(Parameter!$M$21)))</f>
        <v>0.0192307692307692</v>
      </c>
      <c r="AJ1083" s="62" t="n">
        <f aca="false">AI1083*CC1083</f>
        <v>2.98076923076923</v>
      </c>
      <c r="AK1083" s="63" t="n">
        <f aca="false">IF(LEFT(Cockpit!$C$5,1)="A",H1083,IF(CI1083=1,(CL1083+CJ1083)/2,IF(LEFT(Cockpit!$C$5,1)="B",(CL1083+AM1083)/2,MAX((CL1083+AM1083)/2,H1083))))</f>
        <v>139</v>
      </c>
      <c r="AL1083" s="62" t="n">
        <f aca="false">AK1083*G1083</f>
        <v>1143.97</v>
      </c>
      <c r="AM1083" s="62" t="n">
        <f aca="false">ROUNDUP(CL1083+MAX(CM1083,2*(J1083/IF(CH1083&gt;0,CH1083,MAX(0.1,N(Cockpit!$C$6)))-CL1083)),0)</f>
        <v>370</v>
      </c>
      <c r="AN1083" s="63" t="n">
        <f aca="false">IF(AJ1083&gt;0,J1083/AJ1083,-1)</f>
        <v>170.090322580645</v>
      </c>
      <c r="AO1083" s="63" t="n">
        <f aca="false">IF(AND(OR(CG1083="L1",CG1083="L23",CG1083="LIFT"),AJ1083&gt;0),SUMIFS($AJ$7:$AJ$1843,$CG$7:$CG$1843,CG1083,$AN$7:$AN$1843,"&gt;"&amp;AN1083)+SUMIFS($AJ$7:$AJ$1843,$CG$7:$CG$1843,CG1083,$AN$7:$AN$1843,AN1083,$BX$7:$BX$1843,"&lt;="&amp;BX1083),"")</f>
        <v>406.724358974359</v>
      </c>
      <c r="AP1083" s="70" t="n">
        <f aca="false">IF(AO1083="",0,MAX(0,MIN(1,(IF(CG1083="L1",Parameter!$H$5,IF(CG1083="L23",Parameter!$H$6+Parameter!$H$7,Parameter!$H$5+Parameter!$H$6+Parameter!$H$7))-(AO1083-AJ1083))/AJ1083)))</f>
        <v>1</v>
      </c>
      <c r="AQ1083" s="62" t="n">
        <f aca="false">IF(LEFT(Cockpit!$I$5,1)="A",H1083,IF(Parameter!$E$30="MAX-Bestand",IF(CI1083=1,CJ1083,IF(LEFT(Cockpit!$I$5,1)="B",AW1083,MAX(AW1083,H1083))),ROUNDUP(AU1083,0)))</f>
        <v>190</v>
      </c>
      <c r="AR1083" s="62" t="n">
        <f aca="false">IF(CA1083=1,0,ROUNDUP(AQ1083/BZ1083,0))</f>
        <v>1</v>
      </c>
      <c r="AS1083" s="64" t="n">
        <f aca="false">IF(CR1083&gt;0,CR1083*MAX(1,AQ1083/X1083),IF(CA1083=1,IF(AQ1083&lt;=0,0,CE1083*MAX(1,IF(H1083&gt;0,AQ1083/H1083,1))),IF(R1083&gt;0,AR1083/R1083,0))/MAX(0.1,N(Parameter!$M$21)))</f>
        <v>0.0192307692307692</v>
      </c>
      <c r="AT1083" s="62" t="n">
        <f aca="false">AS1083*CC1083</f>
        <v>2.98076923076923</v>
      </c>
      <c r="AU1083" s="63" t="n">
        <f aca="false">IF(LEFT(Cockpit!$I$5,1)="A",H1083,IF(CI1083=1,(CL1083+CJ1083)/2,IF(LEFT(Cockpit!$I$5,1)="B",(CL1083+AW1083)/2,MAX((CL1083+AW1083)/2,H1083))))</f>
        <v>190</v>
      </c>
      <c r="AV1083" s="62" t="n">
        <f aca="false">AU1083*G1083</f>
        <v>1563.7</v>
      </c>
      <c r="AW1083" s="62" t="n">
        <f aca="false">ROUNDUP(CL1083+MAX(CM1083,2*(J1083/IF(CH1083&gt;0,CH1083,MAX(0.1,N(Cockpit!$I$6)))-CL1083)),0)</f>
        <v>370</v>
      </c>
      <c r="AX1083" s="63" t="n">
        <f aca="false">IF(AT1083&gt;0,J1083/AT1083,-1)</f>
        <v>170.090322580645</v>
      </c>
      <c r="AY1083" s="63" t="n">
        <f aca="false">IF(AND(OR(CG1083="L1",CG1083="L23",CG1083="LIFT"),AT1083&gt;0),SUMIFS($AT$7:$AT$1843,$CG$7:$CG$1843,CG1083,$AX$7:$AX$1843,"&gt;"&amp;AX1083)+SUMIFS($AT$7:$AT$1843,$CG$7:$CG$1843,CG1083,$AX$7:$AX$1843,AX1083,$BX$7:$BX$1843,"&lt;="&amp;BX1083),"")</f>
        <v>524.361263736264</v>
      </c>
      <c r="AZ1083" s="70" t="n">
        <f aca="false">IF(AY1083="",0,MAX(0,MIN(1,(IF(CG1083="L1",Parameter!$H$5,IF(CG1083="L23",Parameter!$H$6+Parameter!$H$7,Parameter!$H$5+Parameter!$H$6+Parameter!$H$7))-(AY1083-AT1083))/AT1083)))</f>
        <v>1</v>
      </c>
      <c r="BA1083" s="62" t="n">
        <f aca="false">IF(LEFT(Cockpit!$O$5,1)="A",H1083,IF(Parameter!$E$30="MAX-Bestand",IF(CI1083=1,CJ1083,IF(LEFT(Cockpit!$O$5,1)="B",BG1083,MAX(BG1083,H1083))),ROUNDUP(BE1083,0)))</f>
        <v>190</v>
      </c>
      <c r="BB1083" s="62" t="n">
        <f aca="false">IF(CA1083=1,0,ROUNDUP(BA1083/BZ1083,0))</f>
        <v>1</v>
      </c>
      <c r="BC1083" s="64" t="n">
        <f aca="false">IF(CR1083&gt;0,CR1083*MAX(1,BA1083/X1083),IF(CA1083=1,IF(BA1083&lt;=0,0,CE1083*MAX(1,IF(H1083&gt;0,BA1083/H1083,1))),IF(R1083&gt;0,BB1083/R1083,0))/MAX(0.1,N(Parameter!$M$21)))</f>
        <v>0.0192307692307692</v>
      </c>
      <c r="BD1083" s="62" t="n">
        <f aca="false">BC1083*CC1083</f>
        <v>2.98076923076923</v>
      </c>
      <c r="BE1083" s="63" t="n">
        <f aca="false">IF(LEFT(Cockpit!$O$5,1)="A",H1083,IF(CI1083=1,(CL1083+CJ1083)/2,IF(LEFT(Cockpit!$O$5,1)="B",(CL1083+BG1083)/2,MAX((CL1083+BG1083)/2,H1083))))</f>
        <v>190</v>
      </c>
      <c r="BF1083" s="62" t="n">
        <f aca="false">BE1083*G1083</f>
        <v>1563.7</v>
      </c>
      <c r="BG1083" s="62" t="n">
        <f aca="false">ROUNDUP(CL1083+MAX(CM1083,2*(J1083/IF(CH1083&gt;0,CH1083,MAX(0.1,N(Cockpit!$O$6)))-CL1083)),0)</f>
        <v>370</v>
      </c>
      <c r="BH1083" s="63" t="n">
        <f aca="false">IF(BD1083&gt;0,J1083/BD1083,-1)</f>
        <v>170.090322580645</v>
      </c>
      <c r="BI1083" s="63" t="n">
        <f aca="false">IF(AND(OR(CG1083="L1",CG1083="L23",CG1083="LIFT"),BD1083&gt;0),SUMIFS($BD$7:$BD$1843,$CG$7:$CG$1843,CG1083,$BH$7:$BH$1843,"&gt;"&amp;BH1083)+SUMIFS($BD$7:$BD$1843,$CG$7:$CG$1843,CG1083,$BH$7:$BH$1843,BH1083,$BX$7:$BX$1843,"&lt;="&amp;BX1083),"")</f>
        <v>518.541208791209</v>
      </c>
      <c r="BJ1083" s="70" t="n">
        <f aca="false">IF(BI1083="",0,MAX(0,MIN(1,(IF(CG1083="L1",Parameter!$H$5,IF(CG1083="L23",Parameter!$H$6+Parameter!$H$7,Parameter!$H$5+Parameter!$H$6+Parameter!$H$7))-(BI1083-BD1083))/BD1083)))</f>
        <v>1</v>
      </c>
      <c r="BK1083" s="60" t="str">
        <f aca="false">IF(AJ1083&lt;=0,"",IF(CG1083="Aussen","Aussenlager",IF(CG1083="-","Nicht im Lift",IF(AP1083&gt;=1,"Lift",IF(AP1083&lt;=0,"Aussenlager","teilweise")))))</f>
        <v>Lift</v>
      </c>
      <c r="BL1083" s="60" t="str">
        <f aca="false">IF(AT1083&lt;=0,"",IF(CG1083="Aussen","Aussenlager",IF(CG1083="-","Nicht im Lift",IF(AZ1083&gt;=1,"Lift",IF(AZ1083&lt;=0,"Aussenlager","teilweise")))))</f>
        <v>Lift</v>
      </c>
      <c r="BM1083" s="60" t="str">
        <f aca="false">IF(BD1083&lt;=0,"",IF(CG1083="Aussen","Aussenlager",IF(CG1083="-","Nicht im Lift",IF(BJ1083&gt;=1,"Lift",IF(BJ1083&lt;=0,"Aussenlager","teilweise")))))</f>
        <v>Lift</v>
      </c>
      <c r="BN1083" s="60" t="str">
        <f aca="false">IF(A1083="","",IF(BW1083=1,"Neu; ","")&amp;IF(AND(BW1083=0,BR1083&lt;0),"negativer Bestand (Export "&amp;BR1083&amp;"); ","")&amp;IF(J1083&lt;=0,"Kein Verbrauch; ","")&amp;IF(CR1083&gt;0,"Lift "&amp;W1083&amp;" lt. Liftbericht (Fach "&amp;X1083&amp;" Stk); ",IF(CB1083=1,"Gebinde geschätzt ("&amp;T1083&amp;"); ",IF(CA1083=1,"Lose – Tablare geschätzt; ","")))&amp;IF(H1083&gt;AW1083,"Überbestand "&amp;ROUND(H1083-AW1083,0)&amp;" Stk / CHF "&amp;ROUND((H1083-AW1083)*G1083,0)&amp;"; ","")&amp;IF(AND(CI1083=1,CJ1083&lt;CK1083),"MAX &lt; MB+LG; ","")&amp;IF(AND(CQ1083&gt;0,CP1083*10&gt;CQ1083),"zu hoch für Tablar; ","")&amp;IF(AND(BW1083=0,OR(CI1083=1,AB1083&lt;&gt;"",U1083&lt;&gt;"",V1083&lt;&gt;"",AC1083&lt;&gt;"")),"manuell übersteuert; ","")&amp;IF(AND(CA1083=0,R1083=0),"Gebinde unbekannt / Stellmass fehlt; ","")&amp;IF(AND(CA1083=0,N(V1083)&lt;=0,N(Q1083)&lt;=0),"Menge pro Gebinde fehlt (Ist = 1 Gebinde); ","")&amp;BV1083)</f>
        <v>negativer Bestand (Export -23); </v>
      </c>
      <c r="BO1083" s="60"/>
      <c r="BP1083" s="60"/>
      <c r="BQ1083" s="67"/>
      <c r="BR1083" s="62" t="n">
        <v>-23</v>
      </c>
      <c r="BS1083" s="62" t="n">
        <v>162</v>
      </c>
      <c r="BT1083" s="61" t="n">
        <v>-187.750000000003</v>
      </c>
      <c r="BU1083" s="62" t="n">
        <v>507</v>
      </c>
      <c r="BV1083" s="60"/>
      <c r="BW1083" s="65" t="n">
        <v>0</v>
      </c>
      <c r="BX1083" s="65" t="n">
        <v>1083</v>
      </c>
      <c r="BY1083" s="60" t="str">
        <f aca="false">IF(U1083&lt;&gt;"",UPPER(TRIM(U1083)),IF(CB1083=1,UPPER(VLOOKUP(T1083,Parameter!$I$27:$K$29,2,0)),IF(P1083="","LOSE",P1083)))</f>
        <v>S41</v>
      </c>
      <c r="BZ1083" s="62" t="n">
        <f aca="false">IF(BY1083="LOSE",1,IF(N(V1083)&gt;0,V1083,IF(CB1083=1,MAX(1,N(VLOOKUP(T1083,Parameter!$I$27:$K$29,3,0)),H1083,N(N1083)),IF(N(Q1083)&gt;0,Q1083,MAX(1,H1083)))))</f>
        <v>309</v>
      </c>
      <c r="CA1083" s="65" t="n">
        <f aca="false">IF(BY1083="LOSE",1,0)</f>
        <v>0</v>
      </c>
      <c r="CB1083" s="65" t="n">
        <f aca="false">IF(AND(U1083="",OR(P1083="",P1083="LOSE"),T1083&lt;&gt;"",N(S1083)&lt;=0,ISNUMBER(MATCH(T1083,Parameter!$I$27:$I$29,0))),1,0)</f>
        <v>0</v>
      </c>
      <c r="CC1083" s="65" t="n">
        <f aca="false">IF(CR1083&gt;0,INDEX(Parameter!$H$5:$H$7,W1083)/INDEX(Parameter!$E$5:$E$7,W1083),IF(AND(CA1083=0,N(IFERROR(VLOOKUP(BY1083,'Gebinde-Kategorie'!$A$5:$N$45,14,0),0))&gt;0),VLOOKUP(BY1083,'Gebinde-Kategorie'!$A$5:$N$45,14,0)*10+Parameter!$M$23,Parameter!$M$24))</f>
        <v>155</v>
      </c>
      <c r="CD1083" s="60" t="str">
        <f aca="false">IF(AND(Parameter!$B$19="Ja",E1083&lt;&gt;"",ISNUMBER(MATCH(E1083,Parameter!$I$35:$I$52,0))),VLOOKUP(E1083,Parameter!$I$35:$J$52,2,0),IFERROR(VLOOKUP(D1083,Parameter!$A$35:$C$64,2,0),"Nein"))</f>
        <v>2+3</v>
      </c>
      <c r="CE1083" s="64" t="n">
        <f aca="false">IF(CA1083=0,0,IF(N(S1083)&gt;0,S1083,IFERROR(VLOOKUP(D1083,Parameter!$A$35:$C$64,3,0)+0,0)))</f>
        <v>0</v>
      </c>
      <c r="CF1083" s="60" t="n">
        <f aca="false">IF(AB1083&lt;&gt;"",AB1083,AA1083)</f>
        <v>3</v>
      </c>
      <c r="CG1083" s="60" t="str">
        <f aca="false">IF(OR(CF1083=1,CF1083=2,CF1083=3),IF(Parameter!$E$27="Ja","LIFT",IF(CF1083=1,"L1","L23")),IF(CF1083="Aussen","Aussen","-"))</f>
        <v>LIFT</v>
      </c>
      <c r="CH1083" s="71" t="n">
        <f aca="false">IF(N(AC1083)&gt;0,AC1083,0)</f>
        <v>0</v>
      </c>
      <c r="CI1083" s="65" t="n">
        <f aca="false">IF(ISNUMBER(AF1083),1,0)</f>
        <v>0</v>
      </c>
      <c r="CJ1083" s="62" t="n">
        <f aca="false">N(AF1083)</f>
        <v>0</v>
      </c>
      <c r="CK1083" s="62" t="n">
        <f aca="false">N(M1083)+N(N1083)</f>
        <v>370</v>
      </c>
      <c r="CL1083" s="62" t="n">
        <f aca="false">N(M1083)</f>
        <v>10</v>
      </c>
      <c r="CM1083" s="62" t="n">
        <f aca="false">N(N1083)</f>
        <v>360</v>
      </c>
      <c r="CN1083" s="62" t="n">
        <f aca="false">ROUNDUP(H1083/BZ1083,0)</f>
        <v>1</v>
      </c>
      <c r="CO1083" s="62" t="n">
        <f aca="false">ROUNDUP(CJ1083/BZ1083,0)</f>
        <v>0</v>
      </c>
      <c r="CP1083" s="65" t="n">
        <f aca="false">IF(CA1083=1,0,IFERROR(VLOOKUP(BY1083,'Gebinde-Kategorie'!$A$5:$N$45,5,0)+0,0))</f>
        <v>11</v>
      </c>
      <c r="CQ1083" s="65" t="n">
        <f aca="false">IFERROR(IF(OR(CF1083=1,CF1083=2,CF1083=3),N(INDEX(Parameter!$I$5:$I$7,CF1083)),0),0)</f>
        <v>0</v>
      </c>
      <c r="CR1083" s="64" t="n">
        <f aca="false">IF(AND(Parameter!$B$21="Ja",ISNUMBER(W1083),N(X1083)&gt;0),IFERROR(N(INDEX(Parameter!$L$5:$L$7,W1083))*INDEX(Parameter!$E$5:$E$7,W1083)*X1083/SUMIFS($X$7:$X$1843,$W$7:$W$1843,W1083),0),0)</f>
        <v>0</v>
      </c>
      <c r="CS1083" s="62" t="n">
        <f aca="false">IF(AND(OR(CG1083="L1",CG1083="L23",CG1083="LIFT"),H1083&gt;0),CC1083*IF(CR1083&gt;0,CR1083*MAX(1,H1083/X1083),IF(CA1083=1,CE1083,IF(R1083&gt;0,CN1083/R1083,0))/MAX(0.1,N(Parameter!$M$21))),"")</f>
        <v>2.98076923076923</v>
      </c>
      <c r="CT1083" s="64" t="n">
        <f aca="false">IF(CS1083="","",J1083/H1083)</f>
        <v>3.64748201438849</v>
      </c>
      <c r="CU1083" s="62" t="n">
        <f aca="false">IF(CS1083="","",H1083*G1083)</f>
        <v>1143.97</v>
      </c>
      <c r="CV1083" s="63" t="n">
        <f aca="false">IF(CS1083="","",(CL1083+ROUNDUP(CL1083+MAX(CM1083,2*(J1083/MAX(0.1,N(Einkauf!$C$6))-CL1083)),0))/2)</f>
        <v>190</v>
      </c>
      <c r="CW1083" s="62" t="n">
        <f aca="false">IF(CS1083="","",MAX(0,H1083-CV1083)*G1083)</f>
        <v>0</v>
      </c>
      <c r="CX1083" s="62" t="n">
        <f aca="false">IF(CS1083="","",CS1083*MAX(0,1-CV1083/H1083))</f>
        <v>0</v>
      </c>
      <c r="CY1083" s="64" t="n">
        <f aca="false">IF(CS1083="","",PERCENTRANK($CS$7:$CS$1843,CS1083)+PERCENTRANK($CU$7:$CU$1843,CU1083)+1-PERCENTRANK($CT$7:$CT$1843,CT1083))</f>
        <v>0.964</v>
      </c>
      <c r="CZ1083" s="72" t="n">
        <f aca="false">IF(CS1083="","",CHOOSE(MATCH(Einkauf!$C$5,Parameter!$G$23:$G$27,0),CY1083,CS1083,CU1083,-CT1083,CW1083)+ROW()/1000000000)</f>
        <v>0.964001083</v>
      </c>
    </row>
    <row r="1084" customFormat="false" ht="15" hidden="false" customHeight="false" outlineLevel="0" collapsed="false">
      <c r="A1084" s="60" t="s">
        <v>2016</v>
      </c>
      <c r="B1084" s="60" t="s">
        <v>543</v>
      </c>
      <c r="C1084" s="60" t="s">
        <v>206</v>
      </c>
      <c r="D1084" s="60" t="s">
        <v>226</v>
      </c>
      <c r="E1084" s="60"/>
      <c r="F1084" s="60" t="s">
        <v>260</v>
      </c>
      <c r="G1084" s="61" t="n">
        <v>13.2</v>
      </c>
      <c r="H1084" s="62" t="n">
        <f aca="false">MAX(0,IF(AND(Parameter!$B$21="Ja",ISNUMBER(Y1084)),Y1084,IF(Parameter!$B$20="Jahresanfang 2025 + Export",BS1084+BR1084,BR1084)))</f>
        <v>8</v>
      </c>
      <c r="I1084" s="62" t="n">
        <f aca="false">H1084*G1084</f>
        <v>105.6</v>
      </c>
      <c r="J1084" s="62" t="n">
        <f aca="false">BU1084*Parameter!$B$18</f>
        <v>10</v>
      </c>
      <c r="K1084" s="63" t="n">
        <v>8.5</v>
      </c>
      <c r="L1084" s="64" t="n">
        <v>1.17647058823529</v>
      </c>
      <c r="M1084" s="62" t="n">
        <v>0</v>
      </c>
      <c r="N1084" s="62" t="n">
        <v>10</v>
      </c>
      <c r="O1084" s="65" t="n">
        <v>28</v>
      </c>
      <c r="P1084" s="60" t="s">
        <v>468</v>
      </c>
      <c r="Q1084" s="62" t="n">
        <v>8</v>
      </c>
      <c r="R1084" s="65" t="n">
        <f aca="false">IF(CA1084=1,0,IFERROR(VLOOKUP(BY1084,'Gebinde-Kategorie'!$A$5:$N$45,13,0)+0,0))</f>
        <v>140</v>
      </c>
      <c r="S1084" s="66"/>
      <c r="T1084" s="67"/>
      <c r="U1084" s="67"/>
      <c r="V1084" s="67"/>
      <c r="W1084" s="60"/>
      <c r="X1084" s="62"/>
      <c r="Y1084" s="62"/>
      <c r="Z1084" s="60" t="n">
        <v>3</v>
      </c>
      <c r="AA1084" s="60" t="n">
        <f aca="false">IF(A1084="","",IF(AND(Parameter!$B$21="Ja",ISNUMBER(W1084)),W1084,IF(AND(Parameter!$E$27="Ja",ISNUMBER(Z1084),CD1084&lt;&gt;"Nein"),Z1084,IF(CD1084="2+3",IF(ISNUMBER(SEARCH("grosser Artikel",BV1084)),2,IFERROR(VLOOKUP(BY1084,Parameter!$F$35:$G$64,2,0),2)),IF(OR(CD1084="Nein",CD1084=""),"-",CD1084)))))</f>
        <v>3</v>
      </c>
      <c r="AB1084" s="67"/>
      <c r="AC1084" s="68"/>
      <c r="AD1084" s="62" t="n">
        <f aca="false">AW1084</f>
        <v>10</v>
      </c>
      <c r="AE1084" s="62" t="n">
        <f aca="false">MAX(AW1084,H1084)</f>
        <v>10</v>
      </c>
      <c r="AF1084" s="69"/>
      <c r="AG1084" s="62" t="n">
        <f aca="false">IF(LEFT(Cockpit!$C$5,1)="A",H1084,IF(Parameter!$E$30="MAX-Bestand",IF(CI1084=1,CJ1084,IF(LEFT(Cockpit!$C$5,1)="B",AM1084,MAX(AM1084,H1084))),ROUNDUP(AK1084,0)))</f>
        <v>8</v>
      </c>
      <c r="AH1084" s="62" t="n">
        <f aca="false">IF(CA1084=1,0,ROUNDUP(AG1084/BZ1084,0))</f>
        <v>1</v>
      </c>
      <c r="AI1084" s="64" t="n">
        <f aca="false">IF(CR1084&gt;0,CR1084*MAX(1,AG1084/X1084),IF(CA1084=1,IF(AG1084&lt;=0,0,CE1084*MAX(1,IF(H1084&gt;0,AG1084/H1084,1))),IF(R1084&gt;0,AH1084/R1084,0))/MAX(0.1,N(Parameter!$M$21)))</f>
        <v>0.00714285714285714</v>
      </c>
      <c r="AJ1084" s="62" t="n">
        <f aca="false">AI1084*CC1084</f>
        <v>1.10714285714286</v>
      </c>
      <c r="AK1084" s="63" t="n">
        <f aca="false">IF(LEFT(Cockpit!$C$5,1)="A",H1084,IF(CI1084=1,(CL1084+CJ1084)/2,IF(LEFT(Cockpit!$C$5,1)="B",(CL1084+AM1084)/2,MAX((CL1084+AM1084)/2,H1084))))</f>
        <v>8</v>
      </c>
      <c r="AL1084" s="62" t="n">
        <f aca="false">AK1084*G1084</f>
        <v>105.6</v>
      </c>
      <c r="AM1084" s="62" t="n">
        <f aca="false">ROUNDUP(CL1084+MAX(CM1084,2*(J1084/IF(CH1084&gt;0,CH1084,MAX(0.1,N(Cockpit!$C$6)))-CL1084)),0)</f>
        <v>10</v>
      </c>
      <c r="AN1084" s="63" t="n">
        <f aca="false">IF(AJ1084&gt;0,J1084/AJ1084,-1)</f>
        <v>9.03225806451613</v>
      </c>
      <c r="AO1084" s="63" t="n">
        <f aca="false">IF(AND(OR(CG1084="L1",CG1084="L23",CG1084="LIFT"),AJ1084&gt;0),SUMIFS($AJ$7:$AJ$1843,$CG$7:$CG$1843,CG1084,$AN$7:$AN$1843,"&gt;"&amp;AN1084)+SUMIFS($AJ$7:$AJ$1843,$CG$7:$CG$1843,CG1084,$AN$7:$AN$1843,AN1084,$BX$7:$BX$1843,"&lt;="&amp;BX1084),"")</f>
        <v>2924.10302197802</v>
      </c>
      <c r="AP1084" s="70" t="n">
        <f aca="false">IF(AO1084="",0,MAX(0,MIN(1,(IF(CG1084="L1",Parameter!$H$5,IF(CG1084="L23",Parameter!$H$6+Parameter!$H$7,Parameter!$H$5+Parameter!$H$6+Parameter!$H$7))-(AO1084-AJ1084))/AJ1084)))</f>
        <v>1</v>
      </c>
      <c r="AQ1084" s="62" t="n">
        <f aca="false">IF(LEFT(Cockpit!$I$5,1)="A",H1084,IF(Parameter!$E$30="MAX-Bestand",IF(CI1084=1,CJ1084,IF(LEFT(Cockpit!$I$5,1)="B",AW1084,MAX(AW1084,H1084))),ROUNDUP(AU1084,0)))</f>
        <v>8</v>
      </c>
      <c r="AR1084" s="62" t="n">
        <f aca="false">IF(CA1084=1,0,ROUNDUP(AQ1084/BZ1084,0))</f>
        <v>1</v>
      </c>
      <c r="AS1084" s="64" t="n">
        <f aca="false">IF(CR1084&gt;0,CR1084*MAX(1,AQ1084/X1084),IF(CA1084=1,IF(AQ1084&lt;=0,0,CE1084*MAX(1,IF(H1084&gt;0,AQ1084/H1084,1))),IF(R1084&gt;0,AR1084/R1084,0))/MAX(0.1,N(Parameter!$M$21)))</f>
        <v>0.00714285714285714</v>
      </c>
      <c r="AT1084" s="62" t="n">
        <f aca="false">AS1084*CC1084</f>
        <v>1.10714285714286</v>
      </c>
      <c r="AU1084" s="63" t="n">
        <f aca="false">IF(LEFT(Cockpit!$I$5,1)="A",H1084,IF(CI1084=1,(CL1084+CJ1084)/2,IF(LEFT(Cockpit!$I$5,1)="B",(CL1084+AW1084)/2,MAX((CL1084+AW1084)/2,H1084))))</f>
        <v>8</v>
      </c>
      <c r="AV1084" s="62" t="n">
        <f aca="false">AU1084*G1084</f>
        <v>105.6</v>
      </c>
      <c r="AW1084" s="62" t="n">
        <f aca="false">ROUNDUP(CL1084+MAX(CM1084,2*(J1084/IF(CH1084&gt;0,CH1084,MAX(0.1,N(Cockpit!$I$6)))-CL1084)),0)</f>
        <v>10</v>
      </c>
      <c r="AX1084" s="63" t="n">
        <f aca="false">IF(AT1084&gt;0,J1084/AT1084,-1)</f>
        <v>9.03225806451613</v>
      </c>
      <c r="AY1084" s="63" t="n">
        <f aca="false">IF(AND(OR(CG1084="L1",CG1084="L23",CG1084="LIFT"),AT1084&gt;0),SUMIFS($AT$7:$AT$1843,$CG$7:$CG$1843,CG1084,$AX$7:$AX$1843,"&gt;"&amp;AX1084)+SUMIFS($AT$7:$AT$1843,$CG$7:$CG$1843,CG1084,$AX$7:$AX$1843,AX1084,$BX$7:$BX$1843,"&lt;="&amp;BX1084),"")</f>
        <v>3539.09111721612</v>
      </c>
      <c r="AZ1084" s="70" t="n">
        <f aca="false">IF(AY1084="",0,MAX(0,MIN(1,(IF(CG1084="L1",Parameter!$H$5,IF(CG1084="L23",Parameter!$H$6+Parameter!$H$7,Parameter!$H$5+Parameter!$H$6+Parameter!$H$7))-(AY1084-AT1084))/AT1084)))</f>
        <v>1</v>
      </c>
      <c r="BA1084" s="62" t="n">
        <f aca="false">IF(LEFT(Cockpit!$O$5,1)="A",H1084,IF(Parameter!$E$30="MAX-Bestand",IF(CI1084=1,CJ1084,IF(LEFT(Cockpit!$O$5,1)="B",BG1084,MAX(BG1084,H1084))),ROUNDUP(BE1084,0)))</f>
        <v>5</v>
      </c>
      <c r="BB1084" s="62" t="n">
        <f aca="false">IF(CA1084=1,0,ROUNDUP(BA1084/BZ1084,0))</f>
        <v>1</v>
      </c>
      <c r="BC1084" s="64" t="n">
        <f aca="false">IF(CR1084&gt;0,CR1084*MAX(1,BA1084/X1084),IF(CA1084=1,IF(BA1084&lt;=0,0,CE1084*MAX(1,IF(H1084&gt;0,BA1084/H1084,1))),IF(R1084&gt;0,BB1084/R1084,0))/MAX(0.1,N(Parameter!$M$21)))</f>
        <v>0.00714285714285714</v>
      </c>
      <c r="BD1084" s="62" t="n">
        <f aca="false">BC1084*CC1084</f>
        <v>1.10714285714286</v>
      </c>
      <c r="BE1084" s="63" t="n">
        <f aca="false">IF(LEFT(Cockpit!$O$5,1)="A",H1084,IF(CI1084=1,(CL1084+CJ1084)/2,IF(LEFT(Cockpit!$O$5,1)="B",(CL1084+BG1084)/2,MAX((CL1084+BG1084)/2,H1084))))</f>
        <v>5</v>
      </c>
      <c r="BF1084" s="62" t="n">
        <f aca="false">BE1084*G1084</f>
        <v>66</v>
      </c>
      <c r="BG1084" s="62" t="n">
        <f aca="false">ROUNDUP(CL1084+MAX(CM1084,2*(J1084/IF(CH1084&gt;0,CH1084,MAX(0.1,N(Cockpit!$O$6)))-CL1084)),0)</f>
        <v>10</v>
      </c>
      <c r="BH1084" s="63" t="n">
        <f aca="false">IF(BD1084&gt;0,J1084/BD1084,-1)</f>
        <v>9.03225806451613</v>
      </c>
      <c r="BI1084" s="63" t="n">
        <f aca="false">IF(AND(OR(CG1084="L1",CG1084="L23",CG1084="LIFT"),BD1084&gt;0),SUMIFS($BD$7:$BD$1843,$CG$7:$CG$1843,CG1084,$BH$7:$BH$1843,"&gt;"&amp;BH1084)+SUMIFS($BD$7:$BD$1843,$CG$7:$CG$1843,CG1084,$BH$7:$BH$1843,BH1084,$BX$7:$BX$1843,"&lt;="&amp;BX1084),"")</f>
        <v>2880.25503663004</v>
      </c>
      <c r="BJ1084" s="70" t="n">
        <f aca="false">IF(BI1084="",0,MAX(0,MIN(1,(IF(CG1084="L1",Parameter!$H$5,IF(CG1084="L23",Parameter!$H$6+Parameter!$H$7,Parameter!$H$5+Parameter!$H$6+Parameter!$H$7))-(BI1084-BD1084))/BD1084)))</f>
        <v>1</v>
      </c>
      <c r="BK1084" s="60" t="str">
        <f aca="false">IF(AJ1084&lt;=0,"",IF(CG1084="Aussen","Aussenlager",IF(CG1084="-","Nicht im Lift",IF(AP1084&gt;=1,"Lift",IF(AP1084&lt;=0,"Aussenlager","teilweise")))))</f>
        <v>Lift</v>
      </c>
      <c r="BL1084" s="60" t="str">
        <f aca="false">IF(AT1084&lt;=0,"",IF(CG1084="Aussen","Aussenlager",IF(CG1084="-","Nicht im Lift",IF(AZ1084&gt;=1,"Lift",IF(AZ1084&lt;=0,"Aussenlager","teilweise")))))</f>
        <v>Lift</v>
      </c>
      <c r="BM1084" s="60" t="str">
        <f aca="false">IF(BD1084&lt;=0,"",IF(CG1084="Aussen","Aussenlager",IF(CG1084="-","Nicht im Lift",IF(BJ1084&gt;=1,"Lift",IF(BJ1084&lt;=0,"Aussenlager","teilweise")))))</f>
        <v>Lift</v>
      </c>
      <c r="BN1084" s="60" t="str">
        <f aca="false">IF(A1084="","",IF(BW1084=1,"Neu; ","")&amp;IF(AND(BW1084=0,BR1084&lt;0),"negativer Bestand (Export "&amp;BR1084&amp;"); ","")&amp;IF(J1084&lt;=0,"Kein Verbrauch; ","")&amp;IF(CR1084&gt;0,"Lift "&amp;W1084&amp;" lt. Liftbericht (Fach "&amp;X1084&amp;" Stk); ",IF(CB1084=1,"Gebinde geschätzt ("&amp;T1084&amp;"); ",IF(CA1084=1,"Lose – Tablare geschätzt; ","")))&amp;IF(H1084&gt;AW1084,"Überbestand "&amp;ROUND(H1084-AW1084,0)&amp;" Stk / CHF "&amp;ROUND((H1084-AW1084)*G1084,0)&amp;"; ","")&amp;IF(AND(CI1084=1,CJ1084&lt;CK1084),"MAX &lt; MB+LG; ","")&amp;IF(AND(CQ1084&gt;0,CP1084*10&gt;CQ1084),"zu hoch für Tablar; ","")&amp;IF(AND(BW1084=0,OR(CI1084=1,AB1084&lt;&gt;"",U1084&lt;&gt;"",V1084&lt;&gt;"",AC1084&lt;&gt;"")),"manuell übersteuert; ","")&amp;IF(AND(CA1084=0,R1084=0),"Gebinde unbekannt / Stellmass fehlt; ","")&amp;IF(AND(CA1084=0,N(V1084)&lt;=0,N(Q1084)&lt;=0),"Menge pro Gebinde fehlt (Ist = 1 Gebinde); ","")&amp;BV1084)</f>
        <v/>
      </c>
      <c r="BO1084" s="60"/>
      <c r="BP1084" s="60"/>
      <c r="BQ1084" s="67"/>
      <c r="BR1084" s="62" t="n">
        <v>2</v>
      </c>
      <c r="BS1084" s="62" t="n">
        <v>6</v>
      </c>
      <c r="BT1084" s="61" t="n">
        <v>-188.4</v>
      </c>
      <c r="BU1084" s="62" t="n">
        <v>10</v>
      </c>
      <c r="BV1084" s="60"/>
      <c r="BW1084" s="65" t="n">
        <v>0</v>
      </c>
      <c r="BX1084" s="65" t="n">
        <v>1084</v>
      </c>
      <c r="BY1084" s="60" t="str">
        <f aca="false">IF(U1084&lt;&gt;"",UPPER(TRIM(U1084)),IF(CB1084=1,UPPER(VLOOKUP(T1084,Parameter!$I$27:$K$29,2,0)),IF(P1084="","LOSE",P1084)))</f>
        <v>S22</v>
      </c>
      <c r="BZ1084" s="62" t="n">
        <f aca="false">IF(BY1084="LOSE",1,IF(N(V1084)&gt;0,V1084,IF(CB1084=1,MAX(1,N(VLOOKUP(T1084,Parameter!$I$27:$K$29,3,0)),H1084,N(N1084)),IF(N(Q1084)&gt;0,Q1084,MAX(1,H1084)))))</f>
        <v>8</v>
      </c>
      <c r="CA1084" s="65" t="n">
        <f aca="false">IF(BY1084="LOSE",1,0)</f>
        <v>0</v>
      </c>
      <c r="CB1084" s="65" t="n">
        <f aca="false">IF(AND(U1084="",OR(P1084="",P1084="LOSE"),T1084&lt;&gt;"",N(S1084)&lt;=0,ISNUMBER(MATCH(T1084,Parameter!$I$27:$I$29,0))),1,0)</f>
        <v>0</v>
      </c>
      <c r="CC1084" s="65" t="n">
        <f aca="false">IF(CR1084&gt;0,INDEX(Parameter!$H$5:$H$7,W1084)/INDEX(Parameter!$E$5:$E$7,W1084),IF(AND(CA1084=0,N(IFERROR(VLOOKUP(BY1084,'Gebinde-Kategorie'!$A$5:$N$45,14,0),0))&gt;0),VLOOKUP(BY1084,'Gebinde-Kategorie'!$A$5:$N$45,14,0)*10+Parameter!$M$23,Parameter!$M$24))</f>
        <v>155</v>
      </c>
      <c r="CD1084" s="60" t="str">
        <f aca="false">IF(AND(Parameter!$B$19="Ja",E1084&lt;&gt;"",ISNUMBER(MATCH(E1084,Parameter!$I$35:$I$52,0))),VLOOKUP(E1084,Parameter!$I$35:$J$52,2,0),IFERROR(VLOOKUP(D1084,Parameter!$A$35:$C$64,2,0),"Nein"))</f>
        <v>2+3</v>
      </c>
      <c r="CE1084" s="64" t="n">
        <f aca="false">IF(CA1084=0,0,IF(N(S1084)&gt;0,S1084,IFERROR(VLOOKUP(D1084,Parameter!$A$35:$C$64,3,0)+0,0)))</f>
        <v>0</v>
      </c>
      <c r="CF1084" s="60" t="n">
        <f aca="false">IF(AB1084&lt;&gt;"",AB1084,AA1084)</f>
        <v>3</v>
      </c>
      <c r="CG1084" s="60" t="str">
        <f aca="false">IF(OR(CF1084=1,CF1084=2,CF1084=3),IF(Parameter!$E$27="Ja","LIFT",IF(CF1084=1,"L1","L23")),IF(CF1084="Aussen","Aussen","-"))</f>
        <v>LIFT</v>
      </c>
      <c r="CH1084" s="71" t="n">
        <f aca="false">IF(N(AC1084)&gt;0,AC1084,0)</f>
        <v>0</v>
      </c>
      <c r="CI1084" s="65" t="n">
        <f aca="false">IF(ISNUMBER(AF1084),1,0)</f>
        <v>0</v>
      </c>
      <c r="CJ1084" s="62" t="n">
        <f aca="false">N(AF1084)</f>
        <v>0</v>
      </c>
      <c r="CK1084" s="62" t="n">
        <f aca="false">N(M1084)+N(N1084)</f>
        <v>10</v>
      </c>
      <c r="CL1084" s="62" t="n">
        <f aca="false">N(M1084)</f>
        <v>0</v>
      </c>
      <c r="CM1084" s="62" t="n">
        <f aca="false">N(N1084)</f>
        <v>10</v>
      </c>
      <c r="CN1084" s="62" t="n">
        <f aca="false">ROUNDUP(H1084/BZ1084,0)</f>
        <v>1</v>
      </c>
      <c r="CO1084" s="62" t="n">
        <f aca="false">ROUNDUP(CJ1084/BZ1084,0)</f>
        <v>0</v>
      </c>
      <c r="CP1084" s="65" t="n">
        <f aca="false">IF(CA1084=1,0,IFERROR(VLOOKUP(BY1084,'Gebinde-Kategorie'!$A$5:$N$45,5,0)+0,0))</f>
        <v>8</v>
      </c>
      <c r="CQ1084" s="65" t="n">
        <f aca="false">IFERROR(IF(OR(CF1084=1,CF1084=2,CF1084=3),N(INDEX(Parameter!$I$5:$I$7,CF1084)),0),0)</f>
        <v>0</v>
      </c>
      <c r="CR1084" s="64" t="n">
        <f aca="false">IF(AND(Parameter!$B$21="Ja",ISNUMBER(W1084),N(X1084)&gt;0),IFERROR(N(INDEX(Parameter!$L$5:$L$7,W1084))*INDEX(Parameter!$E$5:$E$7,W1084)*X1084/SUMIFS($X$7:$X$1843,$W$7:$W$1843,W1084),0),0)</f>
        <v>0</v>
      </c>
      <c r="CS1084" s="62" t="n">
        <f aca="false">IF(AND(OR(CG1084="L1",CG1084="L23",CG1084="LIFT"),H1084&gt;0),CC1084*IF(CR1084&gt;0,CR1084*MAX(1,H1084/X1084),IF(CA1084=1,CE1084,IF(R1084&gt;0,CN1084/R1084,0))/MAX(0.1,N(Parameter!$M$21))),"")</f>
        <v>1.10714285714286</v>
      </c>
      <c r="CT1084" s="64" t="n">
        <f aca="false">IF(CS1084="","",J1084/H1084)</f>
        <v>1.25</v>
      </c>
      <c r="CU1084" s="62" t="n">
        <f aca="false">IF(CS1084="","",H1084*G1084)</f>
        <v>105.6</v>
      </c>
      <c r="CV1084" s="63" t="n">
        <f aca="false">IF(CS1084="","",(CL1084+ROUNDUP(CL1084+MAX(CM1084,2*(J1084/MAX(0.1,N(Einkauf!$C$6))-CL1084)),0))/2)</f>
        <v>5</v>
      </c>
      <c r="CW1084" s="62" t="n">
        <f aca="false">IF(CS1084="","",MAX(0,H1084-CV1084)*G1084)</f>
        <v>39.6</v>
      </c>
      <c r="CX1084" s="62" t="n">
        <f aca="false">IF(CS1084="","",CS1084*MAX(0,1-CV1084/H1084))</f>
        <v>0.415178571428571</v>
      </c>
      <c r="CY1084" s="64" t="n">
        <f aca="false">IF(CS1084="","",PERCENTRANK($CS$7:$CS$1843,CS1084)+PERCENTRANK($CU$7:$CU$1843,CU1084)+1-PERCENTRANK($CT$7:$CT$1843,CT1084))</f>
        <v>0.5694</v>
      </c>
      <c r="CZ1084" s="72" t="n">
        <f aca="false">IF(CS1084="","",CHOOSE(MATCH(Einkauf!$C$5,Parameter!$G$23:$G$27,0),CY1084,CS1084,CU1084,-CT1084,CW1084)+ROW()/1000000000)</f>
        <v>0.569401084</v>
      </c>
    </row>
    <row r="1085" customFormat="false" ht="15" hidden="false" customHeight="false" outlineLevel="0" collapsed="false">
      <c r="A1085" s="60" t="s">
        <v>2017</v>
      </c>
      <c r="B1085" s="60" t="s">
        <v>2018</v>
      </c>
      <c r="C1085" s="60" t="s">
        <v>206</v>
      </c>
      <c r="D1085" s="60" t="s">
        <v>226</v>
      </c>
      <c r="E1085" s="60" t="s">
        <v>227</v>
      </c>
      <c r="F1085" s="60" t="s">
        <v>260</v>
      </c>
      <c r="G1085" s="61" t="n">
        <v>7.08</v>
      </c>
      <c r="H1085" s="62" t="n">
        <f aca="false">MAX(0,IF(AND(Parameter!$B$21="Ja",ISNUMBER(Y1085)),Y1085,IF(Parameter!$B$20="Jahresanfang 2025 + Export",BS1085+BR1085,BR1085)))</f>
        <v>81</v>
      </c>
      <c r="I1085" s="62" t="n">
        <f aca="false">H1085*G1085</f>
        <v>573.48</v>
      </c>
      <c r="J1085" s="62" t="n">
        <f aca="false">BU1085*Parameter!$B$18</f>
        <v>129</v>
      </c>
      <c r="K1085" s="63" t="n">
        <v>91</v>
      </c>
      <c r="L1085" s="64" t="n">
        <v>1.41758241758242</v>
      </c>
      <c r="M1085" s="62" t="n">
        <v>7</v>
      </c>
      <c r="N1085" s="62" t="n">
        <v>130</v>
      </c>
      <c r="O1085" s="65" t="n">
        <v>21</v>
      </c>
      <c r="P1085" s="60" t="s">
        <v>463</v>
      </c>
      <c r="Q1085" s="62" t="n">
        <v>113</v>
      </c>
      <c r="R1085" s="65" t="n">
        <f aca="false">IF(CA1085=1,0,IFERROR(VLOOKUP(BY1085,'Gebinde-Kategorie'!$A$5:$N$45,13,0)+0,0))</f>
        <v>104</v>
      </c>
      <c r="S1085" s="66"/>
      <c r="T1085" s="67"/>
      <c r="U1085" s="67"/>
      <c r="V1085" s="67"/>
      <c r="W1085" s="60"/>
      <c r="X1085" s="62"/>
      <c r="Y1085" s="62"/>
      <c r="Z1085" s="60" t="n">
        <v>1</v>
      </c>
      <c r="AA1085" s="60" t="n">
        <f aca="false">IF(A1085="","",IF(AND(Parameter!$B$21="Ja",ISNUMBER(W1085)),W1085,IF(AND(Parameter!$E$27="Ja",ISNUMBER(Z1085),CD1085&lt;&gt;"Nein"),Z1085,IF(CD1085="2+3",IF(ISNUMBER(SEARCH("grosser Artikel",BV1085)),2,IFERROR(VLOOKUP(BY1085,Parameter!$F$35:$G$64,2,0),2)),IF(OR(CD1085="Nein",CD1085=""),"-",CD1085)))))</f>
        <v>1</v>
      </c>
      <c r="AB1085" s="67"/>
      <c r="AC1085" s="68"/>
      <c r="AD1085" s="62" t="n">
        <f aca="false">AW1085</f>
        <v>137</v>
      </c>
      <c r="AE1085" s="62" t="n">
        <f aca="false">MAX(AW1085,H1085)</f>
        <v>137</v>
      </c>
      <c r="AF1085" s="69"/>
      <c r="AG1085" s="62" t="n">
        <f aca="false">IF(LEFT(Cockpit!$C$5,1)="A",H1085,IF(Parameter!$E$30="MAX-Bestand",IF(CI1085=1,CJ1085,IF(LEFT(Cockpit!$C$5,1)="B",AM1085,MAX(AM1085,H1085))),ROUNDUP(AK1085,0)))</f>
        <v>81</v>
      </c>
      <c r="AH1085" s="62" t="n">
        <f aca="false">IF(CA1085=1,0,ROUNDUP(AG1085/BZ1085,0))</f>
        <v>1</v>
      </c>
      <c r="AI1085" s="64" t="n">
        <f aca="false">IF(CR1085&gt;0,CR1085*MAX(1,AG1085/X1085),IF(CA1085=1,IF(AG1085&lt;=0,0,CE1085*MAX(1,IF(H1085&gt;0,AG1085/H1085,1))),IF(R1085&gt;0,AH1085/R1085,0))/MAX(0.1,N(Parameter!$M$21)))</f>
        <v>0.00961538461538462</v>
      </c>
      <c r="AJ1085" s="62" t="n">
        <f aca="false">AI1085*CC1085</f>
        <v>1.49038461538462</v>
      </c>
      <c r="AK1085" s="63" t="n">
        <f aca="false">IF(LEFT(Cockpit!$C$5,1)="A",H1085,IF(CI1085=1,(CL1085+CJ1085)/2,IF(LEFT(Cockpit!$C$5,1)="B",(CL1085+AM1085)/2,MAX((CL1085+AM1085)/2,H1085))))</f>
        <v>81</v>
      </c>
      <c r="AL1085" s="62" t="n">
        <f aca="false">AK1085*G1085</f>
        <v>573.48</v>
      </c>
      <c r="AM1085" s="62" t="n">
        <f aca="false">ROUNDUP(CL1085+MAX(CM1085,2*(J1085/IF(CH1085&gt;0,CH1085,MAX(0.1,N(Cockpit!$C$6)))-CL1085)),0)</f>
        <v>137</v>
      </c>
      <c r="AN1085" s="63" t="n">
        <f aca="false">IF(AJ1085&gt;0,J1085/AJ1085,-1)</f>
        <v>86.5548387096774</v>
      </c>
      <c r="AO1085" s="63" t="n">
        <f aca="false">IF(AND(OR(CG1085="L1",CG1085="L23",CG1085="LIFT"),AJ1085&gt;0),SUMIFS($AJ$7:$AJ$1843,$CG$7:$CG$1843,CG1085,$AN$7:$AN$1843,"&gt;"&amp;AN1085)+SUMIFS($AJ$7:$AJ$1843,$CG$7:$CG$1843,CG1085,$AN$7:$AN$1843,AN1085,$BX$7:$BX$1843,"&lt;="&amp;BX1085),"")</f>
        <v>839.858516483517</v>
      </c>
      <c r="AP1085" s="70" t="n">
        <f aca="false">IF(AO1085="",0,MAX(0,MIN(1,(IF(CG1085="L1",Parameter!$H$5,IF(CG1085="L23",Parameter!$H$6+Parameter!$H$7,Parameter!$H$5+Parameter!$H$6+Parameter!$H$7))-(AO1085-AJ1085))/AJ1085)))</f>
        <v>1</v>
      </c>
      <c r="AQ1085" s="62" t="n">
        <f aca="false">IF(LEFT(Cockpit!$I$5,1)="A",H1085,IF(Parameter!$E$30="MAX-Bestand",IF(CI1085=1,CJ1085,IF(LEFT(Cockpit!$I$5,1)="B",AW1085,MAX(AW1085,H1085))),ROUNDUP(AU1085,0)))</f>
        <v>81</v>
      </c>
      <c r="AR1085" s="62" t="n">
        <f aca="false">IF(CA1085=1,0,ROUNDUP(AQ1085/BZ1085,0))</f>
        <v>1</v>
      </c>
      <c r="AS1085" s="64" t="n">
        <f aca="false">IF(CR1085&gt;0,CR1085*MAX(1,AQ1085/X1085),IF(CA1085=1,IF(AQ1085&lt;=0,0,CE1085*MAX(1,IF(H1085&gt;0,AQ1085/H1085,1))),IF(R1085&gt;0,AR1085/R1085,0))/MAX(0.1,N(Parameter!$M$21)))</f>
        <v>0.00961538461538462</v>
      </c>
      <c r="AT1085" s="62" t="n">
        <f aca="false">AS1085*CC1085</f>
        <v>1.49038461538462</v>
      </c>
      <c r="AU1085" s="63" t="n">
        <f aca="false">IF(LEFT(Cockpit!$I$5,1)="A",H1085,IF(CI1085=1,(CL1085+CJ1085)/2,IF(LEFT(Cockpit!$I$5,1)="B",(CL1085+AW1085)/2,MAX((CL1085+AW1085)/2,H1085))))</f>
        <v>81</v>
      </c>
      <c r="AV1085" s="62" t="n">
        <f aca="false">AU1085*G1085</f>
        <v>573.48</v>
      </c>
      <c r="AW1085" s="62" t="n">
        <f aca="false">ROUNDUP(CL1085+MAX(CM1085,2*(J1085/IF(CH1085&gt;0,CH1085,MAX(0.1,N(Cockpit!$I$6)))-CL1085)),0)</f>
        <v>137</v>
      </c>
      <c r="AX1085" s="63" t="n">
        <f aca="false">IF(AT1085&gt;0,J1085/AT1085,-1)</f>
        <v>86.5548387096774</v>
      </c>
      <c r="AY1085" s="63" t="n">
        <f aca="false">IF(AND(OR(CG1085="L1",CG1085="L23",CG1085="LIFT"),AT1085&gt;0),SUMIFS($AT$7:$AT$1843,$CG$7:$CG$1843,CG1085,$AX$7:$AX$1843,"&gt;"&amp;AX1085)+SUMIFS($AT$7:$AT$1843,$CG$7:$CG$1843,CG1085,$AX$7:$AX$1843,AX1085,$BX$7:$BX$1843,"&lt;="&amp;BX1085),"")</f>
        <v>1052.7706043956</v>
      </c>
      <c r="AZ1085" s="70" t="n">
        <f aca="false">IF(AY1085="",0,MAX(0,MIN(1,(IF(CG1085="L1",Parameter!$H$5,IF(CG1085="L23",Parameter!$H$6+Parameter!$H$7,Parameter!$H$5+Parameter!$H$6+Parameter!$H$7))-(AY1085-AT1085))/AT1085)))</f>
        <v>1</v>
      </c>
      <c r="BA1085" s="62" t="n">
        <f aca="false">IF(LEFT(Cockpit!$O$5,1)="A",H1085,IF(Parameter!$E$30="MAX-Bestand",IF(CI1085=1,CJ1085,IF(LEFT(Cockpit!$O$5,1)="B",BG1085,MAX(BG1085,H1085))),ROUNDUP(BE1085,0)))</f>
        <v>72</v>
      </c>
      <c r="BB1085" s="62" t="n">
        <f aca="false">IF(CA1085=1,0,ROUNDUP(BA1085/BZ1085,0))</f>
        <v>1</v>
      </c>
      <c r="BC1085" s="64" t="n">
        <f aca="false">IF(CR1085&gt;0,CR1085*MAX(1,BA1085/X1085),IF(CA1085=1,IF(BA1085&lt;=0,0,CE1085*MAX(1,IF(H1085&gt;0,BA1085/H1085,1))),IF(R1085&gt;0,BB1085/R1085,0))/MAX(0.1,N(Parameter!$M$21)))</f>
        <v>0.00961538461538462</v>
      </c>
      <c r="BD1085" s="62" t="n">
        <f aca="false">BC1085*CC1085</f>
        <v>1.49038461538462</v>
      </c>
      <c r="BE1085" s="63" t="n">
        <f aca="false">IF(LEFT(Cockpit!$O$5,1)="A",H1085,IF(CI1085=1,(CL1085+CJ1085)/2,IF(LEFT(Cockpit!$O$5,1)="B",(CL1085+BG1085)/2,MAX((CL1085+BG1085)/2,H1085))))</f>
        <v>72</v>
      </c>
      <c r="BF1085" s="62" t="n">
        <f aca="false">BE1085*G1085</f>
        <v>509.76</v>
      </c>
      <c r="BG1085" s="62" t="n">
        <f aca="false">ROUNDUP(CL1085+MAX(CM1085,2*(J1085/IF(CH1085&gt;0,CH1085,MAX(0.1,N(Cockpit!$O$6)))-CL1085)),0)</f>
        <v>137</v>
      </c>
      <c r="BH1085" s="63" t="n">
        <f aca="false">IF(BD1085&gt;0,J1085/BD1085,-1)</f>
        <v>86.5548387096774</v>
      </c>
      <c r="BI1085" s="63" t="n">
        <f aca="false">IF(AND(OR(CG1085="L1",CG1085="L23",CG1085="LIFT"),BD1085&gt;0),SUMIFS($BD$7:$BD$1843,$CG$7:$CG$1843,CG1085,$BH$7:$BH$1843,"&gt;"&amp;BH1085)+SUMIFS($BD$7:$BD$1843,$CG$7:$CG$1843,CG1085,$BH$7:$BH$1843,BH1085,$BX$7:$BX$1843,"&lt;="&amp;BX1085),"")</f>
        <v>986.919871794872</v>
      </c>
      <c r="BJ1085" s="70" t="n">
        <f aca="false">IF(BI1085="",0,MAX(0,MIN(1,(IF(CG1085="L1",Parameter!$H$5,IF(CG1085="L23",Parameter!$H$6+Parameter!$H$7,Parameter!$H$5+Parameter!$H$6+Parameter!$H$7))-(BI1085-BD1085))/BD1085)))</f>
        <v>1</v>
      </c>
      <c r="BK1085" s="60" t="str">
        <f aca="false">IF(AJ1085&lt;=0,"",IF(CG1085="Aussen","Aussenlager",IF(CG1085="-","Nicht im Lift",IF(AP1085&gt;=1,"Lift",IF(AP1085&lt;=0,"Aussenlager","teilweise")))))</f>
        <v>Lift</v>
      </c>
      <c r="BL1085" s="60" t="str">
        <f aca="false">IF(AT1085&lt;=0,"",IF(CG1085="Aussen","Aussenlager",IF(CG1085="-","Nicht im Lift",IF(AZ1085&gt;=1,"Lift",IF(AZ1085&lt;=0,"Aussenlager","teilweise")))))</f>
        <v>Lift</v>
      </c>
      <c r="BM1085" s="60" t="str">
        <f aca="false">IF(BD1085&lt;=0,"",IF(CG1085="Aussen","Aussenlager",IF(CG1085="-","Nicht im Lift",IF(BJ1085&gt;=1,"Lift",IF(BJ1085&lt;=0,"Aussenlager","teilweise")))))</f>
        <v>Lift</v>
      </c>
      <c r="BN1085" s="60" t="str">
        <f aca="false">IF(A1085="","",IF(BW1085=1,"Neu; ","")&amp;IF(AND(BW1085=0,BR1085&lt;0),"negativer Bestand (Export "&amp;BR1085&amp;"); ","")&amp;IF(J1085&lt;=0,"Kein Verbrauch; ","")&amp;IF(CR1085&gt;0,"Lift "&amp;W1085&amp;" lt. Liftbericht (Fach "&amp;X1085&amp;" Stk); ",IF(CB1085=1,"Gebinde geschätzt ("&amp;T1085&amp;"); ",IF(CA1085=1,"Lose – Tablare geschätzt; ","")))&amp;IF(H1085&gt;AW1085,"Überbestand "&amp;ROUND(H1085-AW1085,0)&amp;" Stk / CHF "&amp;ROUND((H1085-AW1085)*G1085,0)&amp;"; ","")&amp;IF(AND(CI1085=1,CJ1085&lt;CK1085),"MAX &lt; MB+LG; ","")&amp;IF(AND(CQ1085&gt;0,CP1085*10&gt;CQ1085),"zu hoch für Tablar; ","")&amp;IF(AND(BW1085=0,OR(CI1085=1,AB1085&lt;&gt;"",U1085&lt;&gt;"",V1085&lt;&gt;"",AC1085&lt;&gt;"")),"manuell übersteuert; ","")&amp;IF(AND(CA1085=0,R1085=0),"Gebinde unbekannt / Stellmass fehlt; ","")&amp;IF(AND(CA1085=0,N(V1085)&lt;=0,N(Q1085)&lt;=0),"Menge pro Gebinde fehlt (Ist = 1 Gebinde); ","")&amp;BV1085)</f>
        <v>negativer Bestand (Export -22); </v>
      </c>
      <c r="BO1085" s="60"/>
      <c r="BP1085" s="60"/>
      <c r="BQ1085" s="67"/>
      <c r="BR1085" s="62" t="n">
        <v>-22</v>
      </c>
      <c r="BS1085" s="62" t="n">
        <v>103</v>
      </c>
      <c r="BT1085" s="61" t="n">
        <v>-188.719999999999</v>
      </c>
      <c r="BU1085" s="62" t="n">
        <v>129</v>
      </c>
      <c r="BV1085" s="60"/>
      <c r="BW1085" s="65" t="n">
        <v>0</v>
      </c>
      <c r="BX1085" s="65" t="n">
        <v>1085</v>
      </c>
      <c r="BY1085" s="60" t="str">
        <f aca="false">IF(U1085&lt;&gt;"",UPPER(TRIM(U1085)),IF(CB1085=1,UPPER(VLOOKUP(T1085,Parameter!$I$27:$K$29,2,0)),IF(P1085="","LOSE",P1085)))</f>
        <v>S32</v>
      </c>
      <c r="BZ1085" s="62" t="n">
        <f aca="false">IF(BY1085="LOSE",1,IF(N(V1085)&gt;0,V1085,IF(CB1085=1,MAX(1,N(VLOOKUP(T1085,Parameter!$I$27:$K$29,3,0)),H1085,N(N1085)),IF(N(Q1085)&gt;0,Q1085,MAX(1,H1085)))))</f>
        <v>113</v>
      </c>
      <c r="CA1085" s="65" t="n">
        <f aca="false">IF(BY1085="LOSE",1,0)</f>
        <v>0</v>
      </c>
      <c r="CB1085" s="65" t="n">
        <f aca="false">IF(AND(U1085="",OR(P1085="",P1085="LOSE"),T1085&lt;&gt;"",N(S1085)&lt;=0,ISNUMBER(MATCH(T1085,Parameter!$I$27:$I$29,0))),1,0)</f>
        <v>0</v>
      </c>
      <c r="CC1085" s="65" t="n">
        <f aca="false">IF(CR1085&gt;0,INDEX(Parameter!$H$5:$H$7,W1085)/INDEX(Parameter!$E$5:$E$7,W1085),IF(AND(CA1085=0,N(IFERROR(VLOOKUP(BY1085,'Gebinde-Kategorie'!$A$5:$N$45,14,0),0))&gt;0),VLOOKUP(BY1085,'Gebinde-Kategorie'!$A$5:$N$45,14,0)*10+Parameter!$M$23,Parameter!$M$24))</f>
        <v>155</v>
      </c>
      <c r="CD1085" s="60" t="str">
        <f aca="false">IF(AND(Parameter!$B$19="Ja",E1085&lt;&gt;"",ISNUMBER(MATCH(E1085,Parameter!$I$35:$I$52,0))),VLOOKUP(E1085,Parameter!$I$35:$J$52,2,0),IFERROR(VLOOKUP(D1085,Parameter!$A$35:$C$64,2,0),"Nein"))</f>
        <v>2+3</v>
      </c>
      <c r="CE1085" s="64" t="n">
        <f aca="false">IF(CA1085=0,0,IF(N(S1085)&gt;0,S1085,IFERROR(VLOOKUP(D1085,Parameter!$A$35:$C$64,3,0)+0,0)))</f>
        <v>0</v>
      </c>
      <c r="CF1085" s="60" t="n">
        <f aca="false">IF(AB1085&lt;&gt;"",AB1085,AA1085)</f>
        <v>1</v>
      </c>
      <c r="CG1085" s="60" t="str">
        <f aca="false">IF(OR(CF1085=1,CF1085=2,CF1085=3),IF(Parameter!$E$27="Ja","LIFT",IF(CF1085=1,"L1","L23")),IF(CF1085="Aussen","Aussen","-"))</f>
        <v>LIFT</v>
      </c>
      <c r="CH1085" s="71" t="n">
        <f aca="false">IF(N(AC1085)&gt;0,AC1085,0)</f>
        <v>0</v>
      </c>
      <c r="CI1085" s="65" t="n">
        <f aca="false">IF(ISNUMBER(AF1085),1,0)</f>
        <v>0</v>
      </c>
      <c r="CJ1085" s="62" t="n">
        <f aca="false">N(AF1085)</f>
        <v>0</v>
      </c>
      <c r="CK1085" s="62" t="n">
        <f aca="false">N(M1085)+N(N1085)</f>
        <v>137</v>
      </c>
      <c r="CL1085" s="62" t="n">
        <f aca="false">N(M1085)</f>
        <v>7</v>
      </c>
      <c r="CM1085" s="62" t="n">
        <f aca="false">N(N1085)</f>
        <v>130</v>
      </c>
      <c r="CN1085" s="62" t="n">
        <f aca="false">ROUNDUP(H1085/BZ1085,0)</f>
        <v>1</v>
      </c>
      <c r="CO1085" s="62" t="n">
        <f aca="false">ROUNDUP(CJ1085/BZ1085,0)</f>
        <v>0</v>
      </c>
      <c r="CP1085" s="65" t="n">
        <f aca="false">IF(CA1085=1,0,IFERROR(VLOOKUP(BY1085,'Gebinde-Kategorie'!$A$5:$N$45,5,0)+0,0))</f>
        <v>8</v>
      </c>
      <c r="CQ1085" s="65" t="n">
        <f aca="false">IFERROR(IF(OR(CF1085=1,CF1085=2,CF1085=3),N(INDEX(Parameter!$I$5:$I$7,CF1085)),0),0)</f>
        <v>0</v>
      </c>
      <c r="CR1085" s="64" t="n">
        <f aca="false">IF(AND(Parameter!$B$21="Ja",ISNUMBER(W1085),N(X1085)&gt;0),IFERROR(N(INDEX(Parameter!$L$5:$L$7,W1085))*INDEX(Parameter!$E$5:$E$7,W1085)*X1085/SUMIFS($X$7:$X$1843,$W$7:$W$1843,W1085),0),0)</f>
        <v>0</v>
      </c>
      <c r="CS1085" s="62" t="n">
        <f aca="false">IF(AND(OR(CG1085="L1",CG1085="L23",CG1085="LIFT"),H1085&gt;0),CC1085*IF(CR1085&gt;0,CR1085*MAX(1,H1085/X1085),IF(CA1085=1,CE1085,IF(R1085&gt;0,CN1085/R1085,0))/MAX(0.1,N(Parameter!$M$21))),"")</f>
        <v>1.49038461538462</v>
      </c>
      <c r="CT1085" s="64" t="n">
        <f aca="false">IF(CS1085="","",J1085/H1085)</f>
        <v>1.59259259259259</v>
      </c>
      <c r="CU1085" s="62" t="n">
        <f aca="false">IF(CS1085="","",H1085*G1085)</f>
        <v>573.48</v>
      </c>
      <c r="CV1085" s="63" t="n">
        <f aca="false">IF(CS1085="","",(CL1085+ROUNDUP(CL1085+MAX(CM1085,2*(J1085/MAX(0.1,N(Einkauf!$C$6))-CL1085)),0))/2)</f>
        <v>72</v>
      </c>
      <c r="CW1085" s="62" t="n">
        <f aca="false">IF(CS1085="","",MAX(0,H1085-CV1085)*G1085)</f>
        <v>63.72</v>
      </c>
      <c r="CX1085" s="62" t="n">
        <f aca="false">IF(CS1085="","",CS1085*MAX(0,1-CV1085/H1085))</f>
        <v>0.165598290598291</v>
      </c>
      <c r="CY1085" s="64" t="n">
        <f aca="false">IF(CS1085="","",PERCENTRANK($CS$7:$CS$1843,CS1085)+PERCENTRANK($CU$7:$CU$1843,CU1085)+1-PERCENTRANK($CT$7:$CT$1843,CT1085))</f>
        <v>0.879</v>
      </c>
      <c r="CZ1085" s="72" t="n">
        <f aca="false">IF(CS1085="","",CHOOSE(MATCH(Einkauf!$C$5,Parameter!$G$23:$G$27,0),CY1085,CS1085,CU1085,-CT1085,CW1085)+ROW()/1000000000)</f>
        <v>0.879001085</v>
      </c>
    </row>
    <row r="1086" customFormat="false" ht="15" hidden="false" customHeight="false" outlineLevel="0" collapsed="false">
      <c r="A1086" s="60" t="s">
        <v>2019</v>
      </c>
      <c r="B1086" s="60" t="s">
        <v>2020</v>
      </c>
      <c r="C1086" s="60" t="s">
        <v>498</v>
      </c>
      <c r="D1086" s="60" t="s">
        <v>226</v>
      </c>
      <c r="E1086" s="60"/>
      <c r="F1086" s="60" t="s">
        <v>260</v>
      </c>
      <c r="G1086" s="61" t="n">
        <v>190.8</v>
      </c>
      <c r="H1086" s="62" t="n">
        <f aca="false">MAX(0,IF(AND(Parameter!$B$21="Ja",ISNUMBER(Y1086)),Y1086,IF(Parameter!$B$20="Jahresanfang 2025 + Export",BS1086+BR1086,BR1086)))</f>
        <v>0</v>
      </c>
      <c r="I1086" s="62" t="n">
        <f aca="false">H1086*G1086</f>
        <v>0</v>
      </c>
      <c r="J1086" s="62" t="n">
        <f aca="false">BU1086*Parameter!$B$18</f>
        <v>0</v>
      </c>
      <c r="K1086" s="63" t="n">
        <v>1</v>
      </c>
      <c r="L1086" s="64" t="n">
        <v>0</v>
      </c>
      <c r="M1086" s="62" t="n">
        <v>0</v>
      </c>
      <c r="N1086" s="62" t="n">
        <v>1</v>
      </c>
      <c r="O1086" s="65" t="n">
        <v>42</v>
      </c>
      <c r="P1086" s="60" t="s">
        <v>210</v>
      </c>
      <c r="Q1086" s="62"/>
      <c r="R1086" s="65" t="n">
        <f aca="false">IF(CA1086=1,0,IFERROR(VLOOKUP(BY1086,'Gebinde-Kategorie'!$A$5:$N$45,13,0)+0,0))</f>
        <v>26</v>
      </c>
      <c r="S1086" s="66"/>
      <c r="T1086" s="67" t="s">
        <v>317</v>
      </c>
      <c r="U1086" s="67"/>
      <c r="V1086" s="67"/>
      <c r="W1086" s="60"/>
      <c r="X1086" s="62"/>
      <c r="Y1086" s="62"/>
      <c r="Z1086" s="60" t="n">
        <v>3</v>
      </c>
      <c r="AA1086" s="60" t="n">
        <f aca="false">IF(A1086="","",IF(AND(Parameter!$B$21="Ja",ISNUMBER(W1086)),W1086,IF(AND(Parameter!$E$27="Ja",ISNUMBER(Z1086),CD1086&lt;&gt;"Nein"),Z1086,IF(CD1086="2+3",IF(ISNUMBER(SEARCH("grosser Artikel",BV1086)),2,IFERROR(VLOOKUP(BY1086,Parameter!$F$35:$G$64,2,0),2)),IF(OR(CD1086="Nein",CD1086=""),"-",CD1086)))))</f>
        <v>3</v>
      </c>
      <c r="AB1086" s="67"/>
      <c r="AC1086" s="68"/>
      <c r="AD1086" s="62" t="n">
        <f aca="false">AW1086</f>
        <v>1</v>
      </c>
      <c r="AE1086" s="62" t="n">
        <f aca="false">MAX(AW1086,H1086)</f>
        <v>1</v>
      </c>
      <c r="AF1086" s="69"/>
      <c r="AG1086" s="62" t="n">
        <f aca="false">IF(LEFT(Cockpit!$C$5,1)="A",H1086,IF(Parameter!$E$30="MAX-Bestand",IF(CI1086=1,CJ1086,IF(LEFT(Cockpit!$C$5,1)="B",AM1086,MAX(AM1086,H1086))),ROUNDUP(AK1086,0)))</f>
        <v>0</v>
      </c>
      <c r="AH1086" s="62" t="n">
        <f aca="false">IF(CA1086=1,0,ROUNDUP(AG1086/BZ1086,0))</f>
        <v>0</v>
      </c>
      <c r="AI1086" s="64" t="n">
        <f aca="false">IF(CR1086&gt;0,CR1086*MAX(1,AG1086/X1086),IF(CA1086=1,IF(AG1086&lt;=0,0,CE1086*MAX(1,IF(H1086&gt;0,AG1086/H1086,1))),IF(R1086&gt;0,AH1086/R1086,0))/MAX(0.1,N(Parameter!$M$21)))</f>
        <v>0</v>
      </c>
      <c r="AJ1086" s="62" t="n">
        <f aca="false">AI1086*CC1086</f>
        <v>0</v>
      </c>
      <c r="AK1086" s="63" t="n">
        <f aca="false">IF(LEFT(Cockpit!$C$5,1)="A",H1086,IF(CI1086=1,(CL1086+CJ1086)/2,IF(LEFT(Cockpit!$C$5,1)="B",(CL1086+AM1086)/2,MAX((CL1086+AM1086)/2,H1086))))</f>
        <v>0</v>
      </c>
      <c r="AL1086" s="62" t="n">
        <f aca="false">AK1086*G1086</f>
        <v>0</v>
      </c>
      <c r="AM1086" s="62" t="n">
        <f aca="false">ROUNDUP(CL1086+MAX(CM1086,2*(J1086/IF(CH1086&gt;0,CH1086,MAX(0.1,N(Cockpit!$C$6)))-CL1086)),0)</f>
        <v>1</v>
      </c>
      <c r="AN1086" s="63" t="n">
        <f aca="false">IF(AJ1086&gt;0,J1086/AJ1086,-1)</f>
        <v>-1</v>
      </c>
      <c r="AO1086" s="63" t="str">
        <f aca="false">IF(AND(OR(CG1086="L1",CG1086="L23",CG1086="LIFT"),AJ1086&gt;0),SUMIFS($AJ$7:$AJ$1843,$CG$7:$CG$1843,CG1086,$AN$7:$AN$1843,"&gt;"&amp;AN1086)+SUMIFS($AJ$7:$AJ$1843,$CG$7:$CG$1843,CG1086,$AN$7:$AN$1843,AN1086,$BX$7:$BX$1843,"&lt;="&amp;BX1086),"")</f>
        <v/>
      </c>
      <c r="AP1086" s="70" t="n">
        <f aca="false">IF(AO1086="",0,MAX(0,MIN(1,(IF(CG1086="L1",Parameter!$H$5,IF(CG1086="L23",Parameter!$H$6+Parameter!$H$7,Parameter!$H$5+Parameter!$H$6+Parameter!$H$7))-(AO1086-AJ1086))/AJ1086)))</f>
        <v>0</v>
      </c>
      <c r="AQ1086" s="62" t="n">
        <f aca="false">IF(LEFT(Cockpit!$I$5,1)="A",H1086,IF(Parameter!$E$30="MAX-Bestand",IF(CI1086=1,CJ1086,IF(LEFT(Cockpit!$I$5,1)="B",AW1086,MAX(AW1086,H1086))),ROUNDUP(AU1086,0)))</f>
        <v>1</v>
      </c>
      <c r="AR1086" s="62" t="n">
        <f aca="false">IF(CA1086=1,0,ROUNDUP(AQ1086/BZ1086,0))</f>
        <v>1</v>
      </c>
      <c r="AS1086" s="64" t="n">
        <f aca="false">IF(CR1086&gt;0,CR1086*MAX(1,AQ1086/X1086),IF(CA1086=1,IF(AQ1086&lt;=0,0,CE1086*MAX(1,IF(H1086&gt;0,AQ1086/H1086,1))),IF(R1086&gt;0,AR1086/R1086,0))/MAX(0.1,N(Parameter!$M$21)))</f>
        <v>0.0384615384615385</v>
      </c>
      <c r="AT1086" s="62" t="n">
        <f aca="false">AS1086*CC1086</f>
        <v>5.96153846153846</v>
      </c>
      <c r="AU1086" s="63" t="n">
        <f aca="false">IF(LEFT(Cockpit!$I$5,1)="A",H1086,IF(CI1086=1,(CL1086+CJ1086)/2,IF(LEFT(Cockpit!$I$5,1)="B",(CL1086+AW1086)/2,MAX((CL1086+AW1086)/2,H1086))))</f>
        <v>0.5</v>
      </c>
      <c r="AV1086" s="62" t="n">
        <f aca="false">AU1086*G1086</f>
        <v>95.4</v>
      </c>
      <c r="AW1086" s="62" t="n">
        <f aca="false">ROUNDUP(CL1086+MAX(CM1086,2*(J1086/IF(CH1086&gt;0,CH1086,MAX(0.1,N(Cockpit!$I$6)))-CL1086)),0)</f>
        <v>1</v>
      </c>
      <c r="AX1086" s="63" t="n">
        <f aca="false">IF(AT1086&gt;0,J1086/AT1086,-1)</f>
        <v>0</v>
      </c>
      <c r="AY1086" s="63" t="n">
        <f aca="false">IF(AND(OR(CG1086="L1",CG1086="L23",CG1086="LIFT"),AT1086&gt;0),SUMIFS($AT$7:$AT$1843,$CG$7:$CG$1843,CG1086,$AX$7:$AX$1843,"&gt;"&amp;AX1086)+SUMIFS($AT$7:$AT$1843,$CG$7:$CG$1843,CG1086,$AX$7:$AX$1843,AX1086,$BX$7:$BX$1843,"&lt;="&amp;BX1086),"")</f>
        <v>34808.5169413919</v>
      </c>
      <c r="AZ1086" s="70" t="n">
        <f aca="false">IF(AY1086="",0,MAX(0,MIN(1,(IF(CG1086="L1",Parameter!$H$5,IF(CG1086="L23",Parameter!$H$6+Parameter!$H$7,Parameter!$H$5+Parameter!$H$6+Parameter!$H$7))-(AY1086-AT1086))/AT1086)))</f>
        <v>1</v>
      </c>
      <c r="BA1086" s="62" t="n">
        <f aca="false">IF(LEFT(Cockpit!$O$5,1)="A",H1086,IF(Parameter!$E$30="MAX-Bestand",IF(CI1086=1,CJ1086,IF(LEFT(Cockpit!$O$5,1)="B",BG1086,MAX(BG1086,H1086))),ROUNDUP(BE1086,0)))</f>
        <v>1</v>
      </c>
      <c r="BB1086" s="62" t="n">
        <f aca="false">IF(CA1086=1,0,ROUNDUP(BA1086/BZ1086,0))</f>
        <v>1</v>
      </c>
      <c r="BC1086" s="64" t="n">
        <f aca="false">IF(CR1086&gt;0,CR1086*MAX(1,BA1086/X1086),IF(CA1086=1,IF(BA1086&lt;=0,0,CE1086*MAX(1,IF(H1086&gt;0,BA1086/H1086,1))),IF(R1086&gt;0,BB1086/R1086,0))/MAX(0.1,N(Parameter!$M$21)))</f>
        <v>0.0384615384615385</v>
      </c>
      <c r="BD1086" s="62" t="n">
        <f aca="false">BC1086*CC1086</f>
        <v>5.96153846153846</v>
      </c>
      <c r="BE1086" s="63" t="n">
        <f aca="false">IF(LEFT(Cockpit!$O$5,1)="A",H1086,IF(CI1086=1,(CL1086+CJ1086)/2,IF(LEFT(Cockpit!$O$5,1)="B",(CL1086+BG1086)/2,MAX((CL1086+BG1086)/2,H1086))))</f>
        <v>0.5</v>
      </c>
      <c r="BF1086" s="62" t="n">
        <f aca="false">BE1086*G1086</f>
        <v>95.4</v>
      </c>
      <c r="BG1086" s="62" t="n">
        <f aca="false">ROUNDUP(CL1086+MAX(CM1086,2*(J1086/IF(CH1086&gt;0,CH1086,MAX(0.1,N(Cockpit!$O$6)))-CL1086)),0)</f>
        <v>1</v>
      </c>
      <c r="BH1086" s="63" t="n">
        <f aca="false">IF(BD1086&gt;0,J1086/BD1086,-1)</f>
        <v>0</v>
      </c>
      <c r="BI1086" s="63" t="n">
        <f aca="false">IF(AND(OR(CG1086="L1",CG1086="L23",CG1086="LIFT"),BD1086&gt;0),SUMIFS($BD$7:$BD$1843,$CG$7:$CG$1843,CG1086,$BH$7:$BH$1843,"&gt;"&amp;BH1086)+SUMIFS($BD$7:$BD$1843,$CG$7:$CG$1843,CG1086,$BH$7:$BH$1843,BH1086,$BX$7:$BX$1843,"&lt;="&amp;BX1086),"")</f>
        <v>28793.8236015397</v>
      </c>
      <c r="BJ1086" s="70" t="n">
        <f aca="false">IF(BI1086="",0,MAX(0,MIN(1,(IF(CG1086="L1",Parameter!$H$5,IF(CG1086="L23",Parameter!$H$6+Parameter!$H$7,Parameter!$H$5+Parameter!$H$6+Parameter!$H$7))-(BI1086-BD1086))/BD1086)))</f>
        <v>1</v>
      </c>
      <c r="BK1086" s="60" t="str">
        <f aca="false">IF(AJ1086&lt;=0,"",IF(CG1086="Aussen","Aussenlager",IF(CG1086="-","Nicht im Lift",IF(AP1086&gt;=1,"Lift",IF(AP1086&lt;=0,"Aussenlager","teilweise")))))</f>
        <v/>
      </c>
      <c r="BL1086" s="60" t="str">
        <f aca="false">IF(AT1086&lt;=0,"",IF(CG1086="Aussen","Aussenlager",IF(CG1086="-","Nicht im Lift",IF(AZ1086&gt;=1,"Lift",IF(AZ1086&lt;=0,"Aussenlager","teilweise")))))</f>
        <v>Lift</v>
      </c>
      <c r="BM1086" s="60" t="str">
        <f aca="false">IF(BD1086&lt;=0,"",IF(CG1086="Aussen","Aussenlager",IF(CG1086="-","Nicht im Lift",IF(BJ1086&gt;=1,"Lift",IF(BJ1086&lt;=0,"Aussenlager","teilweise")))))</f>
        <v>Lift</v>
      </c>
      <c r="BN1086" s="60" t="str">
        <f aca="false">IF(A1086="","",IF(BW1086=1,"Neu; ","")&amp;IF(AND(BW1086=0,BR1086&lt;0),"negativer Bestand (Export "&amp;BR1086&amp;"); ","")&amp;IF(J1086&lt;=0,"Kein Verbrauch; ","")&amp;IF(CR1086&gt;0,"Lift "&amp;W1086&amp;" lt. Liftbericht (Fach "&amp;X1086&amp;" Stk); ",IF(CB1086=1,"Gebinde geschätzt ("&amp;T1086&amp;"); ",IF(CA1086=1,"Lose – Tablare geschätzt; ","")))&amp;IF(H1086&gt;AW1086,"Überbestand "&amp;ROUND(H1086-AW1086,0)&amp;" Stk / CHF "&amp;ROUND((H1086-AW1086)*G1086,0)&amp;"; ","")&amp;IF(AND(CI1086=1,CJ1086&lt;CK1086),"MAX &lt; MB+LG; ","")&amp;IF(AND(CQ1086&gt;0,CP1086*10&gt;CQ1086),"zu hoch für Tablar; ","")&amp;IF(AND(BW1086=0,OR(CI1086=1,AB1086&lt;&gt;"",U1086&lt;&gt;"",V1086&lt;&gt;"",AC1086&lt;&gt;"")),"manuell übersteuert; ","")&amp;IF(AND(CA1086=0,R1086=0),"Gebinde unbekannt / Stellmass fehlt; ","")&amp;IF(AND(CA1086=0,N(V1086)&lt;=0,N(Q1086)&lt;=0),"Menge pro Gebinde fehlt (Ist = 1 Gebinde); ","")&amp;BV1086)</f>
        <v>negativer Bestand (Export -1); Kein Verbrauch; Gebinde geschätzt (Klein); Menge pro Gebinde fehlt (Ist = 1 Gebinde); </v>
      </c>
      <c r="BO1086" s="60"/>
      <c r="BP1086" s="60"/>
      <c r="BQ1086" s="67"/>
      <c r="BR1086" s="62" t="n">
        <v>-1</v>
      </c>
      <c r="BS1086" s="62" t="n">
        <v>1</v>
      </c>
      <c r="BT1086" s="61" t="n">
        <v>-190.8</v>
      </c>
      <c r="BU1086" s="62" t="n">
        <v>0</v>
      </c>
      <c r="BV1086" s="60"/>
      <c r="BW1086" s="65" t="n">
        <v>0</v>
      </c>
      <c r="BX1086" s="65" t="n">
        <v>1086</v>
      </c>
      <c r="BY1086" s="60" t="str">
        <f aca="false">IF(U1086&lt;&gt;"",UPPER(TRIM(U1086)),IF(CB1086=1,UPPER(VLOOKUP(T1086,Parameter!$I$27:$K$29,2,0)),IF(P1086="","LOSE",P1086)))</f>
        <v>S51</v>
      </c>
      <c r="BZ1086" s="62" t="n">
        <f aca="false">IF(BY1086="LOSE",1,IF(N(V1086)&gt;0,V1086,IF(CB1086=1,MAX(1,N(VLOOKUP(T1086,Parameter!$I$27:$K$29,3,0)),H1086,N(N1086)),IF(N(Q1086)&gt;0,Q1086,MAX(1,H1086)))))</f>
        <v>20</v>
      </c>
      <c r="CA1086" s="65" t="n">
        <f aca="false">IF(BY1086="LOSE",1,0)</f>
        <v>0</v>
      </c>
      <c r="CB1086" s="65" t="n">
        <f aca="false">IF(AND(U1086="",OR(P1086="",P1086="LOSE"),T1086&lt;&gt;"",N(S1086)&lt;=0,ISNUMBER(MATCH(T1086,Parameter!$I$27:$I$29,0))),1,0)</f>
        <v>1</v>
      </c>
      <c r="CC1086" s="65" t="n">
        <f aca="false">IF(CR1086&gt;0,INDEX(Parameter!$H$5:$H$7,W1086)/INDEX(Parameter!$E$5:$E$7,W1086),IF(AND(CA1086=0,N(IFERROR(VLOOKUP(BY1086,'Gebinde-Kategorie'!$A$5:$N$45,14,0),0))&gt;0),VLOOKUP(BY1086,'Gebinde-Kategorie'!$A$5:$N$45,14,0)*10+Parameter!$M$23,Parameter!$M$24))</f>
        <v>155</v>
      </c>
      <c r="CD1086" s="60" t="str">
        <f aca="false">IF(AND(Parameter!$B$19="Ja",E1086&lt;&gt;"",ISNUMBER(MATCH(E1086,Parameter!$I$35:$I$52,0))),VLOOKUP(E1086,Parameter!$I$35:$J$52,2,0),IFERROR(VLOOKUP(D1086,Parameter!$A$35:$C$64,2,0),"Nein"))</f>
        <v>2+3</v>
      </c>
      <c r="CE1086" s="64" t="n">
        <f aca="false">IF(CA1086=0,0,IF(N(S1086)&gt;0,S1086,IFERROR(VLOOKUP(D1086,Parameter!$A$35:$C$64,3,0)+0,0)))</f>
        <v>0</v>
      </c>
      <c r="CF1086" s="60" t="n">
        <f aca="false">IF(AB1086&lt;&gt;"",AB1086,AA1086)</f>
        <v>3</v>
      </c>
      <c r="CG1086" s="60" t="str">
        <f aca="false">IF(OR(CF1086=1,CF1086=2,CF1086=3),IF(Parameter!$E$27="Ja","LIFT",IF(CF1086=1,"L1","L23")),IF(CF1086="Aussen","Aussen","-"))</f>
        <v>LIFT</v>
      </c>
      <c r="CH1086" s="71" t="n">
        <f aca="false">IF(N(AC1086)&gt;0,AC1086,0)</f>
        <v>0</v>
      </c>
      <c r="CI1086" s="65" t="n">
        <f aca="false">IF(ISNUMBER(AF1086),1,0)</f>
        <v>0</v>
      </c>
      <c r="CJ1086" s="62" t="n">
        <f aca="false">N(AF1086)</f>
        <v>0</v>
      </c>
      <c r="CK1086" s="62" t="n">
        <f aca="false">N(M1086)+N(N1086)</f>
        <v>1</v>
      </c>
      <c r="CL1086" s="62" t="n">
        <f aca="false">N(M1086)</f>
        <v>0</v>
      </c>
      <c r="CM1086" s="62" t="n">
        <f aca="false">N(N1086)</f>
        <v>1</v>
      </c>
      <c r="CN1086" s="62" t="n">
        <f aca="false">ROUNDUP(H1086/BZ1086,0)</f>
        <v>0</v>
      </c>
      <c r="CO1086" s="62" t="n">
        <f aca="false">ROUNDUP(CJ1086/BZ1086,0)</f>
        <v>0</v>
      </c>
      <c r="CP1086" s="65" t="n">
        <f aca="false">IF(CA1086=1,0,IFERROR(VLOOKUP(BY1086,'Gebinde-Kategorie'!$A$5:$N$45,5,0)+0,0))</f>
        <v>11</v>
      </c>
      <c r="CQ1086" s="65" t="n">
        <f aca="false">IFERROR(IF(OR(CF1086=1,CF1086=2,CF1086=3),N(INDEX(Parameter!$I$5:$I$7,CF1086)),0),0)</f>
        <v>0</v>
      </c>
      <c r="CR1086" s="64" t="n">
        <f aca="false">IF(AND(Parameter!$B$21="Ja",ISNUMBER(W1086),N(X1086)&gt;0),IFERROR(N(INDEX(Parameter!$L$5:$L$7,W1086))*INDEX(Parameter!$E$5:$E$7,W1086)*X1086/SUMIFS($X$7:$X$1843,$W$7:$W$1843,W1086),0),0)</f>
        <v>0</v>
      </c>
      <c r="CS1086" s="62" t="str">
        <f aca="false">IF(AND(OR(CG1086="L1",CG1086="L23",CG1086="LIFT"),H1086&gt;0),CC1086*IF(CR1086&gt;0,CR1086*MAX(1,H1086/X1086),IF(CA1086=1,CE1086,IF(R1086&gt;0,CN1086/R1086,0))/MAX(0.1,N(Parameter!$M$21))),"")</f>
        <v/>
      </c>
      <c r="CT1086" s="64" t="str">
        <f aca="false">IF(CS1086="","",J1086/H1086)</f>
        <v/>
      </c>
      <c r="CU1086" s="62" t="str">
        <f aca="false">IF(CS1086="","",H1086*G1086)</f>
        <v/>
      </c>
      <c r="CV1086" s="63" t="str">
        <f aca="false">IF(CS1086="","",(CL1086+ROUNDUP(CL1086+MAX(CM1086,2*(J1086/MAX(0.1,N(Einkauf!$C$6))-CL1086)),0))/2)</f>
        <v/>
      </c>
      <c r="CW1086" s="62" t="str">
        <f aca="false">IF(CS1086="","",MAX(0,H1086-CV1086)*G1086)</f>
        <v/>
      </c>
      <c r="CX1086" s="62" t="str">
        <f aca="false">IF(CS1086="","",CS1086*MAX(0,1-CV1086/H1086))</f>
        <v/>
      </c>
      <c r="CY1086" s="64" t="str">
        <f aca="false">IF(CS1086="","",PERCENTRANK($CS$7:$CS$1843,CS1086)+PERCENTRANK($CU$7:$CU$1843,CU1086)+1-PERCENTRANK($CT$7:$CT$1843,CT1086))</f>
        <v/>
      </c>
      <c r="CZ1086" s="72" t="str">
        <f aca="false">IF(CS1086="","",CHOOSE(MATCH(Einkauf!$C$5,Parameter!$G$23:$G$27,0),CY1086,CS1086,CU1086,-CT1086,CW1086)+ROW()/1000000000)</f>
        <v/>
      </c>
    </row>
    <row r="1087" customFormat="false" ht="15" hidden="false" customHeight="false" outlineLevel="0" collapsed="false">
      <c r="A1087" s="60" t="s">
        <v>2021</v>
      </c>
      <c r="B1087" s="60" t="s">
        <v>766</v>
      </c>
      <c r="C1087" s="60" t="s">
        <v>206</v>
      </c>
      <c r="D1087" s="60" t="s">
        <v>226</v>
      </c>
      <c r="E1087" s="60" t="s">
        <v>227</v>
      </c>
      <c r="F1087" s="60" t="s">
        <v>260</v>
      </c>
      <c r="G1087" s="61" t="n">
        <v>36.34</v>
      </c>
      <c r="H1087" s="62" t="n">
        <f aca="false">MAX(0,IF(AND(Parameter!$B$21="Ja",ISNUMBER(Y1087)),Y1087,IF(Parameter!$B$20="Jahresanfang 2025 + Export",BS1087+BR1087,BR1087)))</f>
        <v>6</v>
      </c>
      <c r="I1087" s="62" t="n">
        <f aca="false">H1087*G1087</f>
        <v>218.04</v>
      </c>
      <c r="J1087" s="62" t="n">
        <f aca="false">BU1087*Parameter!$B$18</f>
        <v>12</v>
      </c>
      <c r="K1087" s="63" t="n">
        <v>10</v>
      </c>
      <c r="L1087" s="64" t="n">
        <v>1.2</v>
      </c>
      <c r="M1087" s="62" t="n">
        <v>0</v>
      </c>
      <c r="N1087" s="62" t="n">
        <v>10</v>
      </c>
      <c r="O1087" s="65" t="n">
        <v>14</v>
      </c>
      <c r="P1087" s="60" t="s">
        <v>370</v>
      </c>
      <c r="Q1087" s="62" t="n">
        <v>25</v>
      </c>
      <c r="R1087" s="65" t="n">
        <f aca="false">IF(CA1087=1,0,IFERROR(VLOOKUP(BY1087,'Gebinde-Kategorie'!$A$5:$N$45,13,0)+0,0))</f>
        <v>52</v>
      </c>
      <c r="S1087" s="66"/>
      <c r="T1087" s="67"/>
      <c r="U1087" s="67"/>
      <c r="V1087" s="67"/>
      <c r="W1087" s="60"/>
      <c r="X1087" s="62"/>
      <c r="Y1087" s="62"/>
      <c r="Z1087" s="60" t="n">
        <v>2</v>
      </c>
      <c r="AA1087" s="60" t="n">
        <f aca="false">IF(A1087="","",IF(AND(Parameter!$B$21="Ja",ISNUMBER(W1087)),W1087,IF(AND(Parameter!$E$27="Ja",ISNUMBER(Z1087),CD1087&lt;&gt;"Nein"),Z1087,IF(CD1087="2+3",IF(ISNUMBER(SEARCH("grosser Artikel",BV1087)),2,IFERROR(VLOOKUP(BY1087,Parameter!$F$35:$G$64,2,0),2)),IF(OR(CD1087="Nein",CD1087=""),"-",CD1087)))))</f>
        <v>2</v>
      </c>
      <c r="AB1087" s="67"/>
      <c r="AC1087" s="68"/>
      <c r="AD1087" s="62" t="n">
        <f aca="false">AW1087</f>
        <v>10</v>
      </c>
      <c r="AE1087" s="62" t="n">
        <f aca="false">MAX(AW1087,H1087)</f>
        <v>10</v>
      </c>
      <c r="AF1087" s="69"/>
      <c r="AG1087" s="62" t="n">
        <f aca="false">IF(LEFT(Cockpit!$C$5,1)="A",H1087,IF(Parameter!$E$30="MAX-Bestand",IF(CI1087=1,CJ1087,IF(LEFT(Cockpit!$C$5,1)="B",AM1087,MAX(AM1087,H1087))),ROUNDUP(AK1087,0)))</f>
        <v>6</v>
      </c>
      <c r="AH1087" s="62" t="n">
        <f aca="false">IF(CA1087=1,0,ROUNDUP(AG1087/BZ1087,0))</f>
        <v>1</v>
      </c>
      <c r="AI1087" s="64" t="n">
        <f aca="false">IF(CR1087&gt;0,CR1087*MAX(1,AG1087/X1087),IF(CA1087=1,IF(AG1087&lt;=0,0,CE1087*MAX(1,IF(H1087&gt;0,AG1087/H1087,1))),IF(R1087&gt;0,AH1087/R1087,0))/MAX(0.1,N(Parameter!$M$21)))</f>
        <v>0.0192307692307692</v>
      </c>
      <c r="AJ1087" s="62" t="n">
        <f aca="false">AI1087*CC1087</f>
        <v>2.98076923076923</v>
      </c>
      <c r="AK1087" s="63" t="n">
        <f aca="false">IF(LEFT(Cockpit!$C$5,1)="A",H1087,IF(CI1087=1,(CL1087+CJ1087)/2,IF(LEFT(Cockpit!$C$5,1)="B",(CL1087+AM1087)/2,MAX((CL1087+AM1087)/2,H1087))))</f>
        <v>6</v>
      </c>
      <c r="AL1087" s="62" t="n">
        <f aca="false">AK1087*G1087</f>
        <v>218.04</v>
      </c>
      <c r="AM1087" s="62" t="n">
        <f aca="false">ROUNDUP(CL1087+MAX(CM1087,2*(J1087/IF(CH1087&gt;0,CH1087,MAX(0.1,N(Cockpit!$C$6)))-CL1087)),0)</f>
        <v>10</v>
      </c>
      <c r="AN1087" s="63" t="n">
        <f aca="false">IF(AJ1087&gt;0,J1087/AJ1087,-1)</f>
        <v>4.0258064516129</v>
      </c>
      <c r="AO1087" s="63" t="n">
        <f aca="false">IF(AND(OR(CG1087="L1",CG1087="L23",CG1087="LIFT"),AJ1087&gt;0),SUMIFS($AJ$7:$AJ$1843,$CG$7:$CG$1843,CG1087,$AN$7:$AN$1843,"&gt;"&amp;AN1087)+SUMIFS($AJ$7:$AJ$1843,$CG$7:$CG$1843,CG1087,$AN$7:$AN$1843,AN1087,$BX$7:$BX$1843,"&lt;="&amp;BX1087),"")</f>
        <v>4360.17948717949</v>
      </c>
      <c r="AP1087" s="70" t="n">
        <f aca="false">IF(AO1087="",0,MAX(0,MIN(1,(IF(CG1087="L1",Parameter!$H$5,IF(CG1087="L23",Parameter!$H$6+Parameter!$H$7,Parameter!$H$5+Parameter!$H$6+Parameter!$H$7))-(AO1087-AJ1087))/AJ1087)))</f>
        <v>1</v>
      </c>
      <c r="AQ1087" s="62" t="n">
        <f aca="false">IF(LEFT(Cockpit!$I$5,1)="A",H1087,IF(Parameter!$E$30="MAX-Bestand",IF(CI1087=1,CJ1087,IF(LEFT(Cockpit!$I$5,1)="B",AW1087,MAX(AW1087,H1087))),ROUNDUP(AU1087,0)))</f>
        <v>6</v>
      </c>
      <c r="AR1087" s="62" t="n">
        <f aca="false">IF(CA1087=1,0,ROUNDUP(AQ1087/BZ1087,0))</f>
        <v>1</v>
      </c>
      <c r="AS1087" s="64" t="n">
        <f aca="false">IF(CR1087&gt;0,CR1087*MAX(1,AQ1087/X1087),IF(CA1087=1,IF(AQ1087&lt;=0,0,CE1087*MAX(1,IF(H1087&gt;0,AQ1087/H1087,1))),IF(R1087&gt;0,AR1087/R1087,0))/MAX(0.1,N(Parameter!$M$21)))</f>
        <v>0.0192307692307692</v>
      </c>
      <c r="AT1087" s="62" t="n">
        <f aca="false">AS1087*CC1087</f>
        <v>2.98076923076923</v>
      </c>
      <c r="AU1087" s="63" t="n">
        <f aca="false">IF(LEFT(Cockpit!$I$5,1)="A",H1087,IF(CI1087=1,(CL1087+CJ1087)/2,IF(LEFT(Cockpit!$I$5,1)="B",(CL1087+AW1087)/2,MAX((CL1087+AW1087)/2,H1087))))</f>
        <v>6</v>
      </c>
      <c r="AV1087" s="62" t="n">
        <f aca="false">AU1087*G1087</f>
        <v>218.04</v>
      </c>
      <c r="AW1087" s="62" t="n">
        <f aca="false">ROUNDUP(CL1087+MAX(CM1087,2*(J1087/IF(CH1087&gt;0,CH1087,MAX(0.1,N(Cockpit!$I$6)))-CL1087)),0)</f>
        <v>10</v>
      </c>
      <c r="AX1087" s="63" t="n">
        <f aca="false">IF(AT1087&gt;0,J1087/AT1087,-1)</f>
        <v>4.0258064516129</v>
      </c>
      <c r="AY1087" s="63" t="n">
        <f aca="false">IF(AND(OR(CG1087="L1",CG1087="L23",CG1087="LIFT"),AT1087&gt;0),SUMIFS($AT$7:$AT$1843,$CG$7:$CG$1843,CG1087,$AX$7:$AX$1843,"&gt;"&amp;AX1087)+SUMIFS($AT$7:$AT$1843,$CG$7:$CG$1843,CG1087,$AX$7:$AX$1843,AX1087,$BX$7:$BX$1843,"&lt;="&amp;BX1087),"")</f>
        <v>4969.17673992674</v>
      </c>
      <c r="AZ1087" s="70" t="n">
        <f aca="false">IF(AY1087="",0,MAX(0,MIN(1,(IF(CG1087="L1",Parameter!$H$5,IF(CG1087="L23",Parameter!$H$6+Parameter!$H$7,Parameter!$H$5+Parameter!$H$6+Parameter!$H$7))-(AY1087-AT1087))/AT1087)))</f>
        <v>1</v>
      </c>
      <c r="BA1087" s="62" t="n">
        <f aca="false">IF(LEFT(Cockpit!$O$5,1)="A",H1087,IF(Parameter!$E$30="MAX-Bestand",IF(CI1087=1,CJ1087,IF(LEFT(Cockpit!$O$5,1)="B",BG1087,MAX(BG1087,H1087))),ROUNDUP(BE1087,0)))</f>
        <v>5</v>
      </c>
      <c r="BB1087" s="62" t="n">
        <f aca="false">IF(CA1087=1,0,ROUNDUP(BA1087/BZ1087,0))</f>
        <v>1</v>
      </c>
      <c r="BC1087" s="64" t="n">
        <f aca="false">IF(CR1087&gt;0,CR1087*MAX(1,BA1087/X1087),IF(CA1087=1,IF(BA1087&lt;=0,0,CE1087*MAX(1,IF(H1087&gt;0,BA1087/H1087,1))),IF(R1087&gt;0,BB1087/R1087,0))/MAX(0.1,N(Parameter!$M$21)))</f>
        <v>0.0192307692307692</v>
      </c>
      <c r="BD1087" s="62" t="n">
        <f aca="false">BC1087*CC1087</f>
        <v>2.98076923076923</v>
      </c>
      <c r="BE1087" s="63" t="n">
        <f aca="false">IF(LEFT(Cockpit!$O$5,1)="A",H1087,IF(CI1087=1,(CL1087+CJ1087)/2,IF(LEFT(Cockpit!$O$5,1)="B",(CL1087+BG1087)/2,MAX((CL1087+BG1087)/2,H1087))))</f>
        <v>5</v>
      </c>
      <c r="BF1087" s="62" t="n">
        <f aca="false">BE1087*G1087</f>
        <v>181.7</v>
      </c>
      <c r="BG1087" s="62" t="n">
        <f aca="false">ROUNDUP(CL1087+MAX(CM1087,2*(J1087/IF(CH1087&gt;0,CH1087,MAX(0.1,N(Cockpit!$O$6)))-CL1087)),0)</f>
        <v>10</v>
      </c>
      <c r="BH1087" s="63" t="n">
        <f aca="false">IF(BD1087&gt;0,J1087/BD1087,-1)</f>
        <v>4.0258064516129</v>
      </c>
      <c r="BI1087" s="63" t="n">
        <f aca="false">IF(AND(OR(CG1087="L1",CG1087="L23",CG1087="LIFT"),BD1087&gt;0),SUMIFS($BD$7:$BD$1843,$CG$7:$CG$1843,CG1087,$BH$7:$BH$1843,"&gt;"&amp;BH1087)+SUMIFS($BD$7:$BD$1843,$CG$7:$CG$1843,CG1087,$BH$7:$BH$1843,BH1087,$BX$7:$BX$1843,"&lt;="&amp;BX1087),"")</f>
        <v>4086.74725274725</v>
      </c>
      <c r="BJ1087" s="70" t="n">
        <f aca="false">IF(BI1087="",0,MAX(0,MIN(1,(IF(CG1087="L1",Parameter!$H$5,IF(CG1087="L23",Parameter!$H$6+Parameter!$H$7,Parameter!$H$5+Parameter!$H$6+Parameter!$H$7))-(BI1087-BD1087))/BD1087)))</f>
        <v>1</v>
      </c>
      <c r="BK1087" s="60" t="str">
        <f aca="false">IF(AJ1087&lt;=0,"",IF(CG1087="Aussen","Aussenlager",IF(CG1087="-","Nicht im Lift",IF(AP1087&gt;=1,"Lift",IF(AP1087&lt;=0,"Aussenlager","teilweise")))))</f>
        <v>Lift</v>
      </c>
      <c r="BL1087" s="60" t="str">
        <f aca="false">IF(AT1087&lt;=0,"",IF(CG1087="Aussen","Aussenlager",IF(CG1087="-","Nicht im Lift",IF(AZ1087&gt;=1,"Lift",IF(AZ1087&lt;=0,"Aussenlager","teilweise")))))</f>
        <v>Lift</v>
      </c>
      <c r="BM1087" s="60" t="str">
        <f aca="false">IF(BD1087&lt;=0,"",IF(CG1087="Aussen","Aussenlager",IF(CG1087="-","Nicht im Lift",IF(BJ1087&gt;=1,"Lift",IF(BJ1087&lt;=0,"Aussenlager","teilweise")))))</f>
        <v>Lift</v>
      </c>
      <c r="BN1087" s="60" t="str">
        <f aca="false">IF(A1087="","",IF(BW1087=1,"Neu; ","")&amp;IF(AND(BW1087=0,BR1087&lt;0),"negativer Bestand (Export "&amp;BR1087&amp;"); ","")&amp;IF(J1087&lt;=0,"Kein Verbrauch; ","")&amp;IF(CR1087&gt;0,"Lift "&amp;W1087&amp;" lt. Liftbericht (Fach "&amp;X1087&amp;" Stk); ",IF(CB1087=1,"Gebinde geschätzt ("&amp;T1087&amp;"); ",IF(CA1087=1,"Lose – Tablare geschätzt; ","")))&amp;IF(H1087&gt;AW1087,"Überbestand "&amp;ROUND(H1087-AW1087,0)&amp;" Stk / CHF "&amp;ROUND((H1087-AW1087)*G1087,0)&amp;"; ","")&amp;IF(AND(CI1087=1,CJ1087&lt;CK1087),"MAX &lt; MB+LG; ","")&amp;IF(AND(CQ1087&gt;0,CP1087*10&gt;CQ1087),"zu hoch für Tablar; ","")&amp;IF(AND(BW1087=0,OR(CI1087=1,AB1087&lt;&gt;"",U1087&lt;&gt;"",V1087&lt;&gt;"",AC1087&lt;&gt;"")),"manuell übersteuert; ","")&amp;IF(AND(CA1087=0,R1087=0),"Gebinde unbekannt / Stellmass fehlt; ","")&amp;IF(AND(CA1087=0,N(V1087)&lt;=0,N(Q1087)&lt;=0),"Menge pro Gebinde fehlt (Ist = 1 Gebinde); ","")&amp;BV1087)</f>
        <v>negativer Bestand (Export -5); </v>
      </c>
      <c r="BO1087" s="60"/>
      <c r="BP1087" s="60"/>
      <c r="BQ1087" s="67"/>
      <c r="BR1087" s="62" t="n">
        <v>-5</v>
      </c>
      <c r="BS1087" s="62" t="n">
        <v>11</v>
      </c>
      <c r="BT1087" s="61" t="n">
        <v>-191.82</v>
      </c>
      <c r="BU1087" s="62" t="n">
        <v>12</v>
      </c>
      <c r="BV1087" s="60"/>
      <c r="BW1087" s="65" t="n">
        <v>0</v>
      </c>
      <c r="BX1087" s="65" t="n">
        <v>1087</v>
      </c>
      <c r="BY1087" s="60" t="str">
        <f aca="false">IF(U1087&lt;&gt;"",UPPER(TRIM(U1087)),IF(CB1087=1,UPPER(VLOOKUP(T1087,Parameter!$I$27:$K$29,2,0)),IF(P1087="","LOSE",P1087)))</f>
        <v>S41</v>
      </c>
      <c r="BZ1087" s="62" t="n">
        <f aca="false">IF(BY1087="LOSE",1,IF(N(V1087)&gt;0,V1087,IF(CB1087=1,MAX(1,N(VLOOKUP(T1087,Parameter!$I$27:$K$29,3,0)),H1087,N(N1087)),IF(N(Q1087)&gt;0,Q1087,MAX(1,H1087)))))</f>
        <v>25</v>
      </c>
      <c r="CA1087" s="65" t="n">
        <f aca="false">IF(BY1087="LOSE",1,0)</f>
        <v>0</v>
      </c>
      <c r="CB1087" s="65" t="n">
        <f aca="false">IF(AND(U1087="",OR(P1087="",P1087="LOSE"),T1087&lt;&gt;"",N(S1087)&lt;=0,ISNUMBER(MATCH(T1087,Parameter!$I$27:$I$29,0))),1,0)</f>
        <v>0</v>
      </c>
      <c r="CC1087" s="65" t="n">
        <f aca="false">IF(CR1087&gt;0,INDEX(Parameter!$H$5:$H$7,W1087)/INDEX(Parameter!$E$5:$E$7,W1087),IF(AND(CA1087=0,N(IFERROR(VLOOKUP(BY1087,'Gebinde-Kategorie'!$A$5:$N$45,14,0),0))&gt;0),VLOOKUP(BY1087,'Gebinde-Kategorie'!$A$5:$N$45,14,0)*10+Parameter!$M$23,Parameter!$M$24))</f>
        <v>155</v>
      </c>
      <c r="CD1087" s="60" t="str">
        <f aca="false">IF(AND(Parameter!$B$19="Ja",E1087&lt;&gt;"",ISNUMBER(MATCH(E1087,Parameter!$I$35:$I$52,0))),VLOOKUP(E1087,Parameter!$I$35:$J$52,2,0),IFERROR(VLOOKUP(D1087,Parameter!$A$35:$C$64,2,0),"Nein"))</f>
        <v>2+3</v>
      </c>
      <c r="CE1087" s="64" t="n">
        <f aca="false">IF(CA1087=0,0,IF(N(S1087)&gt;0,S1087,IFERROR(VLOOKUP(D1087,Parameter!$A$35:$C$64,3,0)+0,0)))</f>
        <v>0</v>
      </c>
      <c r="CF1087" s="60" t="n">
        <f aca="false">IF(AB1087&lt;&gt;"",AB1087,AA1087)</f>
        <v>2</v>
      </c>
      <c r="CG1087" s="60" t="str">
        <f aca="false">IF(OR(CF1087=1,CF1087=2,CF1087=3),IF(Parameter!$E$27="Ja","LIFT",IF(CF1087=1,"L1","L23")),IF(CF1087="Aussen","Aussen","-"))</f>
        <v>LIFT</v>
      </c>
      <c r="CH1087" s="71" t="n">
        <f aca="false">IF(N(AC1087)&gt;0,AC1087,0)</f>
        <v>0</v>
      </c>
      <c r="CI1087" s="65" t="n">
        <f aca="false">IF(ISNUMBER(AF1087),1,0)</f>
        <v>0</v>
      </c>
      <c r="CJ1087" s="62" t="n">
        <f aca="false">N(AF1087)</f>
        <v>0</v>
      </c>
      <c r="CK1087" s="62" t="n">
        <f aca="false">N(M1087)+N(N1087)</f>
        <v>10</v>
      </c>
      <c r="CL1087" s="62" t="n">
        <f aca="false">N(M1087)</f>
        <v>0</v>
      </c>
      <c r="CM1087" s="62" t="n">
        <f aca="false">N(N1087)</f>
        <v>10</v>
      </c>
      <c r="CN1087" s="62" t="n">
        <f aca="false">ROUNDUP(H1087/BZ1087,0)</f>
        <v>1</v>
      </c>
      <c r="CO1087" s="62" t="n">
        <f aca="false">ROUNDUP(CJ1087/BZ1087,0)</f>
        <v>0</v>
      </c>
      <c r="CP1087" s="65" t="n">
        <f aca="false">IF(CA1087=1,0,IFERROR(VLOOKUP(BY1087,'Gebinde-Kategorie'!$A$5:$N$45,5,0)+0,0))</f>
        <v>11</v>
      </c>
      <c r="CQ1087" s="65" t="n">
        <f aca="false">IFERROR(IF(OR(CF1087=1,CF1087=2,CF1087=3),N(INDEX(Parameter!$I$5:$I$7,CF1087)),0),0)</f>
        <v>0</v>
      </c>
      <c r="CR1087" s="64" t="n">
        <f aca="false">IF(AND(Parameter!$B$21="Ja",ISNUMBER(W1087),N(X1087)&gt;0),IFERROR(N(INDEX(Parameter!$L$5:$L$7,W1087))*INDEX(Parameter!$E$5:$E$7,W1087)*X1087/SUMIFS($X$7:$X$1843,$W$7:$W$1843,W1087),0),0)</f>
        <v>0</v>
      </c>
      <c r="CS1087" s="62" t="n">
        <f aca="false">IF(AND(OR(CG1087="L1",CG1087="L23",CG1087="LIFT"),H1087&gt;0),CC1087*IF(CR1087&gt;0,CR1087*MAX(1,H1087/X1087),IF(CA1087=1,CE1087,IF(R1087&gt;0,CN1087/R1087,0))/MAX(0.1,N(Parameter!$M$21))),"")</f>
        <v>2.98076923076923</v>
      </c>
      <c r="CT1087" s="64" t="n">
        <f aca="false">IF(CS1087="","",J1087/H1087)</f>
        <v>2</v>
      </c>
      <c r="CU1087" s="62" t="n">
        <f aca="false">IF(CS1087="","",H1087*G1087)</f>
        <v>218.04</v>
      </c>
      <c r="CV1087" s="63" t="n">
        <f aca="false">IF(CS1087="","",(CL1087+ROUNDUP(CL1087+MAX(CM1087,2*(J1087/MAX(0.1,N(Einkauf!$C$6))-CL1087)),0))/2)</f>
        <v>5</v>
      </c>
      <c r="CW1087" s="62" t="n">
        <f aca="false">IF(CS1087="","",MAX(0,H1087-CV1087)*G1087)</f>
        <v>36.34</v>
      </c>
      <c r="CX1087" s="62" t="n">
        <f aca="false">IF(CS1087="","",CS1087*MAX(0,1-CV1087/H1087))</f>
        <v>0.496794871794872</v>
      </c>
      <c r="CY1087" s="64" t="n">
        <f aca="false">IF(CS1087="","",PERCENTRANK($CS$7:$CS$1843,CS1087)+PERCENTRANK($CU$7:$CU$1843,CU1087)+1-PERCENTRANK($CT$7:$CT$1843,CT1087))</f>
        <v>0.754</v>
      </c>
      <c r="CZ1087" s="72" t="n">
        <f aca="false">IF(CS1087="","",CHOOSE(MATCH(Einkauf!$C$5,Parameter!$G$23:$G$27,0),CY1087,CS1087,CU1087,-CT1087,CW1087)+ROW()/1000000000)</f>
        <v>0.754001087</v>
      </c>
    </row>
    <row r="1088" customFormat="false" ht="15" hidden="false" customHeight="false" outlineLevel="0" collapsed="false">
      <c r="A1088" s="60" t="s">
        <v>2022</v>
      </c>
      <c r="B1088" s="60" t="s">
        <v>2023</v>
      </c>
      <c r="C1088" s="60" t="s">
        <v>206</v>
      </c>
      <c r="D1088" s="60" t="s">
        <v>215</v>
      </c>
      <c r="E1088" s="60" t="s">
        <v>507</v>
      </c>
      <c r="F1088" s="60" t="s">
        <v>260</v>
      </c>
      <c r="G1088" s="61" t="n">
        <v>16</v>
      </c>
      <c r="H1088" s="62" t="n">
        <f aca="false">MAX(0,IF(AND(Parameter!$B$21="Ja",ISNUMBER(Y1088)),Y1088,IF(Parameter!$B$20="Jahresanfang 2025 + Export",BS1088+BR1088,BR1088)))</f>
        <v>0</v>
      </c>
      <c r="I1088" s="62" t="n">
        <f aca="false">H1088*G1088</f>
        <v>0</v>
      </c>
      <c r="J1088" s="62" t="n">
        <f aca="false">BU1088*Parameter!$B$18</f>
        <v>130</v>
      </c>
      <c r="K1088" s="63" t="n">
        <v>50.5</v>
      </c>
      <c r="L1088" s="64" t="n">
        <v>2.57425742574257</v>
      </c>
      <c r="M1088" s="62" t="n">
        <v>7</v>
      </c>
      <c r="N1088" s="62" t="n">
        <v>15</v>
      </c>
      <c r="O1088" s="65" t="n">
        <v>21</v>
      </c>
      <c r="P1088" s="60" t="s">
        <v>210</v>
      </c>
      <c r="Q1088" s="62"/>
      <c r="R1088" s="65" t="n">
        <f aca="false">IF(CA1088=1,0,IFERROR(VLOOKUP(BY1088,'Gebinde-Kategorie'!$A$5:$N$45,13,0)+0,0))</f>
        <v>4</v>
      </c>
      <c r="S1088" s="66"/>
      <c r="T1088" s="67" t="s">
        <v>231</v>
      </c>
      <c r="U1088" s="67"/>
      <c r="V1088" s="67"/>
      <c r="W1088" s="60"/>
      <c r="X1088" s="62"/>
      <c r="Y1088" s="62"/>
      <c r="Z1088" s="60"/>
      <c r="AA1088" s="60" t="str">
        <f aca="false">IF(A1088="","",IF(AND(Parameter!$B$21="Ja",ISNUMBER(W1088)),W1088,IF(AND(Parameter!$E$27="Ja",ISNUMBER(Z1088),CD1088&lt;&gt;"Nein"),Z1088,IF(CD1088="2+3",IF(ISNUMBER(SEARCH("grosser Artikel",BV1088)),2,IFERROR(VLOOKUP(BY1088,Parameter!$F$35:$G$64,2,0),2)),IF(OR(CD1088="Nein",CD1088=""),"-",CD1088)))))</f>
        <v>-</v>
      </c>
      <c r="AB1088" s="67"/>
      <c r="AC1088" s="68"/>
      <c r="AD1088" s="62" t="n">
        <f aca="false">AW1088</f>
        <v>80</v>
      </c>
      <c r="AE1088" s="62" t="n">
        <f aca="false">MAX(AW1088,H1088)</f>
        <v>80</v>
      </c>
      <c r="AF1088" s="69"/>
      <c r="AG1088" s="62" t="n">
        <f aca="false">IF(LEFT(Cockpit!$C$5,1)="A",H1088,IF(Parameter!$E$30="MAX-Bestand",IF(CI1088=1,CJ1088,IF(LEFT(Cockpit!$C$5,1)="B",AM1088,MAX(AM1088,H1088))),ROUNDUP(AK1088,0)))</f>
        <v>0</v>
      </c>
      <c r="AH1088" s="62" t="n">
        <f aca="false">IF(CA1088=1,0,ROUNDUP(AG1088/BZ1088,0))</f>
        <v>0</v>
      </c>
      <c r="AI1088" s="64" t="n">
        <f aca="false">IF(CR1088&gt;0,CR1088*MAX(1,AG1088/X1088),IF(CA1088=1,IF(AG1088&lt;=0,0,CE1088*MAX(1,IF(H1088&gt;0,AG1088/H1088,1))),IF(R1088&gt;0,AH1088/R1088,0))/MAX(0.1,N(Parameter!$M$21)))</f>
        <v>0</v>
      </c>
      <c r="AJ1088" s="62" t="n">
        <f aca="false">AI1088*CC1088</f>
        <v>0</v>
      </c>
      <c r="AK1088" s="63" t="n">
        <f aca="false">IF(LEFT(Cockpit!$C$5,1)="A",H1088,IF(CI1088=1,(CL1088+CJ1088)/2,IF(LEFT(Cockpit!$C$5,1)="B",(CL1088+AM1088)/2,MAX((CL1088+AM1088)/2,H1088))))</f>
        <v>0</v>
      </c>
      <c r="AL1088" s="62" t="n">
        <f aca="false">AK1088*G1088</f>
        <v>0</v>
      </c>
      <c r="AM1088" s="62" t="n">
        <f aca="false">ROUNDUP(CL1088+MAX(CM1088,2*(J1088/IF(CH1088&gt;0,CH1088,MAX(0.1,N(Cockpit!$C$6)))-CL1088)),0)</f>
        <v>80</v>
      </c>
      <c r="AN1088" s="63" t="n">
        <f aca="false">IF(AJ1088&gt;0,J1088/AJ1088,-1)</f>
        <v>-1</v>
      </c>
      <c r="AO1088" s="63" t="str">
        <f aca="false">IF(AND(OR(CG1088="L1",CG1088="L23",CG1088="LIFT"),AJ1088&gt;0),SUMIFS($AJ$7:$AJ$1843,$CG$7:$CG$1843,CG1088,$AN$7:$AN$1843,"&gt;"&amp;AN1088)+SUMIFS($AJ$7:$AJ$1843,$CG$7:$CG$1843,CG1088,$AN$7:$AN$1843,AN1088,$BX$7:$BX$1843,"&lt;="&amp;BX1088),"")</f>
        <v/>
      </c>
      <c r="AP1088" s="70" t="n">
        <f aca="false">IF(AO1088="",0,MAX(0,MIN(1,(IF(CG1088="L1",Parameter!$H$5,IF(CG1088="L23",Parameter!$H$6+Parameter!$H$7,Parameter!$H$5+Parameter!$H$6+Parameter!$H$7))-(AO1088-AJ1088))/AJ1088)))</f>
        <v>0</v>
      </c>
      <c r="AQ1088" s="62" t="n">
        <f aca="false">IF(LEFT(Cockpit!$I$5,1)="A",H1088,IF(Parameter!$E$30="MAX-Bestand",IF(CI1088=1,CJ1088,IF(LEFT(Cockpit!$I$5,1)="B",AW1088,MAX(AW1088,H1088))),ROUNDUP(AU1088,0)))</f>
        <v>44</v>
      </c>
      <c r="AR1088" s="62" t="n">
        <f aca="false">IF(CA1088=1,0,ROUNDUP(AQ1088/BZ1088,0))</f>
        <v>3</v>
      </c>
      <c r="AS1088" s="64" t="n">
        <f aca="false">IF(CR1088&gt;0,CR1088*MAX(1,AQ1088/X1088),IF(CA1088=1,IF(AQ1088&lt;=0,0,CE1088*MAX(1,IF(H1088&gt;0,AQ1088/H1088,1))),IF(R1088&gt;0,AR1088/R1088,0))/MAX(0.1,N(Parameter!$M$21)))</f>
        <v>0.75</v>
      </c>
      <c r="AT1088" s="62" t="n">
        <f aca="false">AS1088*CC1088</f>
        <v>176.25</v>
      </c>
      <c r="AU1088" s="63" t="n">
        <f aca="false">IF(LEFT(Cockpit!$I$5,1)="A",H1088,IF(CI1088=1,(CL1088+CJ1088)/2,IF(LEFT(Cockpit!$I$5,1)="B",(CL1088+AW1088)/2,MAX((CL1088+AW1088)/2,H1088))))</f>
        <v>43.5</v>
      </c>
      <c r="AV1088" s="62" t="n">
        <f aca="false">AU1088*G1088</f>
        <v>696</v>
      </c>
      <c r="AW1088" s="62" t="n">
        <f aca="false">ROUNDUP(CL1088+MAX(CM1088,2*(J1088/IF(CH1088&gt;0,CH1088,MAX(0.1,N(Cockpit!$I$6)))-CL1088)),0)</f>
        <v>80</v>
      </c>
      <c r="AX1088" s="63" t="n">
        <f aca="false">IF(AT1088&gt;0,J1088/AT1088,-1)</f>
        <v>0.73758865248227</v>
      </c>
      <c r="AY1088" s="63" t="str">
        <f aca="false">IF(AND(OR(CG1088="L1",CG1088="L23",CG1088="LIFT"),AT1088&gt;0),SUMIFS($AT$7:$AT$1843,$CG$7:$CG$1843,CG1088,$AX$7:$AX$1843,"&gt;"&amp;AX1088)+SUMIFS($AT$7:$AT$1843,$CG$7:$CG$1843,CG1088,$AX$7:$AX$1843,AX1088,$BX$7:$BX$1843,"&lt;="&amp;BX1088),"")</f>
        <v/>
      </c>
      <c r="AZ1088" s="70" t="n">
        <f aca="false">IF(AY1088="",0,MAX(0,MIN(1,(IF(CG1088="L1",Parameter!$H$5,IF(CG1088="L23",Parameter!$H$6+Parameter!$H$7,Parameter!$H$5+Parameter!$H$6+Parameter!$H$7))-(AY1088-AT1088))/AT1088)))</f>
        <v>0</v>
      </c>
      <c r="BA1088" s="62" t="n">
        <f aca="false">IF(LEFT(Cockpit!$O$5,1)="A",H1088,IF(Parameter!$E$30="MAX-Bestand",IF(CI1088=1,CJ1088,IF(LEFT(Cockpit!$O$5,1)="B",BG1088,MAX(BG1088,H1088))),ROUNDUP(BE1088,0)))</f>
        <v>33</v>
      </c>
      <c r="BB1088" s="62" t="n">
        <f aca="false">IF(CA1088=1,0,ROUNDUP(BA1088/BZ1088,0))</f>
        <v>3</v>
      </c>
      <c r="BC1088" s="64" t="n">
        <f aca="false">IF(CR1088&gt;0,CR1088*MAX(1,BA1088/X1088),IF(CA1088=1,IF(BA1088&lt;=0,0,CE1088*MAX(1,IF(H1088&gt;0,BA1088/H1088,1))),IF(R1088&gt;0,BB1088/R1088,0))/MAX(0.1,N(Parameter!$M$21)))</f>
        <v>0.75</v>
      </c>
      <c r="BD1088" s="62" t="n">
        <f aca="false">BC1088*CC1088</f>
        <v>176.25</v>
      </c>
      <c r="BE1088" s="63" t="n">
        <f aca="false">IF(LEFT(Cockpit!$O$5,1)="A",H1088,IF(CI1088=1,(CL1088+CJ1088)/2,IF(LEFT(Cockpit!$O$5,1)="B",(CL1088+BG1088)/2,MAX((CL1088+BG1088)/2,H1088))))</f>
        <v>32.5</v>
      </c>
      <c r="BF1088" s="62" t="n">
        <f aca="false">BE1088*G1088</f>
        <v>520</v>
      </c>
      <c r="BG1088" s="62" t="n">
        <f aca="false">ROUNDUP(CL1088+MAX(CM1088,2*(J1088/IF(CH1088&gt;0,CH1088,MAX(0.1,N(Cockpit!$O$6)))-CL1088)),0)</f>
        <v>58</v>
      </c>
      <c r="BH1088" s="63" t="n">
        <f aca="false">IF(BD1088&gt;0,J1088/BD1088,-1)</f>
        <v>0.73758865248227</v>
      </c>
      <c r="BI1088" s="63" t="str">
        <f aca="false">IF(AND(OR(CG1088="L1",CG1088="L23",CG1088="LIFT"),BD1088&gt;0),SUMIFS($BD$7:$BD$1843,$CG$7:$CG$1843,CG1088,$BH$7:$BH$1843,"&gt;"&amp;BH1088)+SUMIFS($BD$7:$BD$1843,$CG$7:$CG$1843,CG1088,$BH$7:$BH$1843,BH1088,$BX$7:$BX$1843,"&lt;="&amp;BX1088),"")</f>
        <v/>
      </c>
      <c r="BJ1088" s="70" t="n">
        <f aca="false">IF(BI1088="",0,MAX(0,MIN(1,(IF(CG1088="L1",Parameter!$H$5,IF(CG1088="L23",Parameter!$H$6+Parameter!$H$7,Parameter!$H$5+Parameter!$H$6+Parameter!$H$7))-(BI1088-BD1088))/BD1088)))</f>
        <v>0</v>
      </c>
      <c r="BK1088" s="60" t="str">
        <f aca="false">IF(AJ1088&lt;=0,"",IF(CG1088="Aussen","Aussenlager",IF(CG1088="-","Nicht im Lift",IF(AP1088&gt;=1,"Lift",IF(AP1088&lt;=0,"Aussenlager","teilweise")))))</f>
        <v/>
      </c>
      <c r="BL1088" s="60" t="str">
        <f aca="false">IF(AT1088&lt;=0,"",IF(CG1088="Aussen","Aussenlager",IF(CG1088="-","Nicht im Lift",IF(AZ1088&gt;=1,"Lift",IF(AZ1088&lt;=0,"Aussenlager","teilweise")))))</f>
        <v>Nicht im Lift</v>
      </c>
      <c r="BM1088" s="60" t="str">
        <f aca="false">IF(BD1088&lt;=0,"",IF(CG1088="Aussen","Aussenlager",IF(CG1088="-","Nicht im Lift",IF(BJ1088&gt;=1,"Lift",IF(BJ1088&lt;=0,"Aussenlager","teilweise")))))</f>
        <v>Nicht im Lift</v>
      </c>
      <c r="BN1088" s="60" t="str">
        <f aca="false">IF(A1088="","",IF(BW1088=1,"Neu; ","")&amp;IF(AND(BW1088=0,BR1088&lt;0),"negativer Bestand (Export "&amp;BR1088&amp;"); ","")&amp;IF(J1088&lt;=0,"Kein Verbrauch; ","")&amp;IF(CR1088&gt;0,"Lift "&amp;W1088&amp;" lt. Liftbericht (Fach "&amp;X1088&amp;" Stk); ",IF(CB1088=1,"Gebinde geschätzt ("&amp;T1088&amp;"); ",IF(CA1088=1,"Lose – Tablare geschätzt; ","")))&amp;IF(H1088&gt;AW1088,"Überbestand "&amp;ROUND(H1088-AW1088,0)&amp;" Stk / CHF "&amp;ROUND((H1088-AW1088)*G1088,0)&amp;"; ","")&amp;IF(AND(CI1088=1,CJ1088&lt;CK1088),"MAX &lt; MB+LG; ","")&amp;IF(AND(CQ1088&gt;0,CP1088*10&gt;CQ1088),"zu hoch für Tablar; ","")&amp;IF(AND(BW1088=0,OR(CI1088=1,AB1088&lt;&gt;"",U1088&lt;&gt;"",V1088&lt;&gt;"",AC1088&lt;&gt;"")),"manuell übersteuert; ","")&amp;IF(AND(CA1088=0,R1088=0),"Gebinde unbekannt / Stellmass fehlt; ","")&amp;IF(AND(CA1088=0,N(V1088)&lt;=0,N(Q1088)&lt;=0),"Menge pro Gebinde fehlt (Ist = 1 Gebinde); ","")&amp;BV1088)</f>
        <v>negativer Bestand (Export -13); Gebinde geschätzt (Gross); Menge pro Gebinde fehlt (Ist = 1 Gebinde); </v>
      </c>
      <c r="BO1088" s="60"/>
      <c r="BP1088" s="60"/>
      <c r="BQ1088" s="67"/>
      <c r="BR1088" s="62" t="n">
        <v>-13</v>
      </c>
      <c r="BS1088" s="62" t="n">
        <v>11</v>
      </c>
      <c r="BT1088" s="61" t="n">
        <v>-193.480000000001</v>
      </c>
      <c r="BU1088" s="62" t="n">
        <v>130</v>
      </c>
      <c r="BV1088" s="60"/>
      <c r="BW1088" s="65" t="n">
        <v>0</v>
      </c>
      <c r="BX1088" s="65" t="n">
        <v>1088</v>
      </c>
      <c r="BY1088" s="60" t="str">
        <f aca="false">IF(U1088&lt;&gt;"",UPPER(TRIM(U1088)),IF(CB1088=1,UPPER(VLOOKUP(T1088,Parameter!$I$27:$K$29,2,0)),IF(P1088="","LOSE",P1088)))</f>
        <v>S81</v>
      </c>
      <c r="BZ1088" s="62" t="n">
        <f aca="false">IF(BY1088="LOSE",1,IF(N(V1088)&gt;0,V1088,IF(CB1088=1,MAX(1,N(VLOOKUP(T1088,Parameter!$I$27:$K$29,3,0)),H1088,N(N1088)),IF(N(Q1088)&gt;0,Q1088,MAX(1,H1088)))))</f>
        <v>15</v>
      </c>
      <c r="CA1088" s="65" t="n">
        <f aca="false">IF(BY1088="LOSE",1,0)</f>
        <v>0</v>
      </c>
      <c r="CB1088" s="65" t="n">
        <f aca="false">IF(AND(U1088="",OR(P1088="",P1088="LOSE"),T1088&lt;&gt;"",N(S1088)&lt;=0,ISNUMBER(MATCH(T1088,Parameter!$I$27:$I$29,0))),1,0)</f>
        <v>1</v>
      </c>
      <c r="CC1088" s="65" t="n">
        <f aca="false">IF(CR1088&gt;0,INDEX(Parameter!$H$5:$H$7,W1088)/INDEX(Parameter!$E$5:$E$7,W1088),IF(AND(CA1088=0,N(IFERROR(VLOOKUP(BY1088,'Gebinde-Kategorie'!$A$5:$N$45,14,0),0))&gt;0),VLOOKUP(BY1088,'Gebinde-Kategorie'!$A$5:$N$45,14,0)*10+Parameter!$M$23,Parameter!$M$24))</f>
        <v>235</v>
      </c>
      <c r="CD1088" s="60" t="str">
        <f aca="false">IF(AND(Parameter!$B$19="Ja",E1088&lt;&gt;"",ISNUMBER(MATCH(E1088,Parameter!$I$35:$I$52,0))),VLOOKUP(E1088,Parameter!$I$35:$J$52,2,0),IFERROR(VLOOKUP(D1088,Parameter!$A$35:$C$64,2,0),"Nein"))</f>
        <v>Nein</v>
      </c>
      <c r="CE1088" s="64" t="n">
        <f aca="false">IF(CA1088=0,0,IF(N(S1088)&gt;0,S1088,IFERROR(VLOOKUP(D1088,Parameter!$A$35:$C$64,3,0)+0,0)))</f>
        <v>0</v>
      </c>
      <c r="CF1088" s="60" t="str">
        <f aca="false">IF(AB1088&lt;&gt;"",AB1088,AA1088)</f>
        <v>-</v>
      </c>
      <c r="CG1088" s="60" t="str">
        <f aca="false">IF(OR(CF1088=1,CF1088=2,CF1088=3),IF(Parameter!$E$27="Ja","LIFT",IF(CF1088=1,"L1","L23")),IF(CF1088="Aussen","Aussen","-"))</f>
        <v>-</v>
      </c>
      <c r="CH1088" s="71" t="n">
        <f aca="false">IF(N(AC1088)&gt;0,AC1088,0)</f>
        <v>0</v>
      </c>
      <c r="CI1088" s="65" t="n">
        <f aca="false">IF(ISNUMBER(AF1088),1,0)</f>
        <v>0</v>
      </c>
      <c r="CJ1088" s="62" t="n">
        <f aca="false">N(AF1088)</f>
        <v>0</v>
      </c>
      <c r="CK1088" s="62" t="n">
        <f aca="false">N(M1088)+N(N1088)</f>
        <v>22</v>
      </c>
      <c r="CL1088" s="62" t="n">
        <f aca="false">N(M1088)</f>
        <v>7</v>
      </c>
      <c r="CM1088" s="62" t="n">
        <f aca="false">N(N1088)</f>
        <v>15</v>
      </c>
      <c r="CN1088" s="62" t="n">
        <f aca="false">ROUNDUP(H1088/BZ1088,0)</f>
        <v>0</v>
      </c>
      <c r="CO1088" s="62" t="n">
        <f aca="false">ROUNDUP(CJ1088/BZ1088,0)</f>
        <v>0</v>
      </c>
      <c r="CP1088" s="65" t="n">
        <f aca="false">IF(CA1088=1,0,IFERROR(VLOOKUP(BY1088,'Gebinde-Kategorie'!$A$5:$N$45,5,0)+0,0))</f>
        <v>20</v>
      </c>
      <c r="CQ1088" s="65" t="n">
        <f aca="false">IFERROR(IF(OR(CF1088=1,CF1088=2,CF1088=3),N(INDEX(Parameter!$I$5:$I$7,CF1088)),0),0)</f>
        <v>0</v>
      </c>
      <c r="CR1088" s="64" t="n">
        <f aca="false">IF(AND(Parameter!$B$21="Ja",ISNUMBER(W1088),N(X1088)&gt;0),IFERROR(N(INDEX(Parameter!$L$5:$L$7,W1088))*INDEX(Parameter!$E$5:$E$7,W1088)*X1088/SUMIFS($X$7:$X$1843,$W$7:$W$1843,W1088),0),0)</f>
        <v>0</v>
      </c>
      <c r="CS1088" s="62" t="str">
        <f aca="false">IF(AND(OR(CG1088="L1",CG1088="L23",CG1088="LIFT"),H1088&gt;0),CC1088*IF(CR1088&gt;0,CR1088*MAX(1,H1088/X1088),IF(CA1088=1,CE1088,IF(R1088&gt;0,CN1088/R1088,0))/MAX(0.1,N(Parameter!$M$21))),"")</f>
        <v/>
      </c>
      <c r="CT1088" s="64" t="str">
        <f aca="false">IF(CS1088="","",J1088/H1088)</f>
        <v/>
      </c>
      <c r="CU1088" s="62" t="str">
        <f aca="false">IF(CS1088="","",H1088*G1088)</f>
        <v/>
      </c>
      <c r="CV1088" s="63" t="str">
        <f aca="false">IF(CS1088="","",(CL1088+ROUNDUP(CL1088+MAX(CM1088,2*(J1088/MAX(0.1,N(Einkauf!$C$6))-CL1088)),0))/2)</f>
        <v/>
      </c>
      <c r="CW1088" s="62" t="str">
        <f aca="false">IF(CS1088="","",MAX(0,H1088-CV1088)*G1088)</f>
        <v/>
      </c>
      <c r="CX1088" s="62" t="str">
        <f aca="false">IF(CS1088="","",CS1088*MAX(0,1-CV1088/H1088))</f>
        <v/>
      </c>
      <c r="CY1088" s="64" t="str">
        <f aca="false">IF(CS1088="","",PERCENTRANK($CS$7:$CS$1843,CS1088)+PERCENTRANK($CU$7:$CU$1843,CU1088)+1-PERCENTRANK($CT$7:$CT$1843,CT1088))</f>
        <v/>
      </c>
      <c r="CZ1088" s="72" t="str">
        <f aca="false">IF(CS1088="","",CHOOSE(MATCH(Einkauf!$C$5,Parameter!$G$23:$G$27,0),CY1088,CS1088,CU1088,-CT1088,CW1088)+ROW()/1000000000)</f>
        <v/>
      </c>
    </row>
    <row r="1089" customFormat="false" ht="15" hidden="false" customHeight="false" outlineLevel="0" collapsed="false">
      <c r="A1089" s="60" t="s">
        <v>2024</v>
      </c>
      <c r="B1089" s="60" t="s">
        <v>482</v>
      </c>
      <c r="C1089" s="60" t="s">
        <v>206</v>
      </c>
      <c r="D1089" s="60" t="s">
        <v>226</v>
      </c>
      <c r="E1089" s="60" t="s">
        <v>227</v>
      </c>
      <c r="F1089" s="60" t="s">
        <v>260</v>
      </c>
      <c r="G1089" s="61" t="n">
        <v>40.16</v>
      </c>
      <c r="H1089" s="62" t="n">
        <f aca="false">MAX(0,IF(AND(Parameter!$B$21="Ja",ISNUMBER(Y1089)),Y1089,IF(Parameter!$B$20="Jahresanfang 2025 + Export",BS1089+BR1089,BR1089)))</f>
        <v>21</v>
      </c>
      <c r="I1089" s="62" t="n">
        <f aca="false">H1089*G1089</f>
        <v>843.36</v>
      </c>
      <c r="J1089" s="62" t="n">
        <f aca="false">BU1089*Parameter!$B$18</f>
        <v>23</v>
      </c>
      <c r="K1089" s="63" t="n">
        <v>22.5</v>
      </c>
      <c r="L1089" s="64" t="n">
        <v>1.02222222222222</v>
      </c>
      <c r="M1089" s="62" t="n">
        <v>1</v>
      </c>
      <c r="N1089" s="62" t="n">
        <v>25</v>
      </c>
      <c r="O1089" s="65" t="n">
        <v>21</v>
      </c>
      <c r="P1089" s="60" t="s">
        <v>275</v>
      </c>
      <c r="Q1089" s="62" t="n">
        <v>48</v>
      </c>
      <c r="R1089" s="65" t="n">
        <f aca="false">IF(CA1089=1,0,IFERROR(VLOOKUP(BY1089,'Gebinde-Kategorie'!$A$5:$N$45,13,0)+0,0))</f>
        <v>26</v>
      </c>
      <c r="S1089" s="66"/>
      <c r="T1089" s="67"/>
      <c r="U1089" s="67"/>
      <c r="V1089" s="67"/>
      <c r="W1089" s="60"/>
      <c r="X1089" s="62"/>
      <c r="Y1089" s="62"/>
      <c r="Z1089" s="60" t="n">
        <v>3</v>
      </c>
      <c r="AA1089" s="60" t="n">
        <f aca="false">IF(A1089="","",IF(AND(Parameter!$B$21="Ja",ISNUMBER(W1089)),W1089,IF(AND(Parameter!$E$27="Ja",ISNUMBER(Z1089),CD1089&lt;&gt;"Nein"),Z1089,IF(CD1089="2+3",IF(ISNUMBER(SEARCH("grosser Artikel",BV1089)),2,IFERROR(VLOOKUP(BY1089,Parameter!$F$35:$G$64,2,0),2)),IF(OR(CD1089="Nein",CD1089=""),"-",CD1089)))))</f>
        <v>3</v>
      </c>
      <c r="AB1089" s="67"/>
      <c r="AC1089" s="68"/>
      <c r="AD1089" s="62" t="n">
        <f aca="false">AW1089</f>
        <v>26</v>
      </c>
      <c r="AE1089" s="62" t="n">
        <f aca="false">MAX(AW1089,H1089)</f>
        <v>26</v>
      </c>
      <c r="AF1089" s="69"/>
      <c r="AG1089" s="62" t="n">
        <f aca="false">IF(LEFT(Cockpit!$C$5,1)="A",H1089,IF(Parameter!$E$30="MAX-Bestand",IF(CI1089=1,CJ1089,IF(LEFT(Cockpit!$C$5,1)="B",AM1089,MAX(AM1089,H1089))),ROUNDUP(AK1089,0)))</f>
        <v>21</v>
      </c>
      <c r="AH1089" s="62" t="n">
        <f aca="false">IF(CA1089=1,0,ROUNDUP(AG1089/BZ1089,0))</f>
        <v>1</v>
      </c>
      <c r="AI1089" s="64" t="n">
        <f aca="false">IF(CR1089&gt;0,CR1089*MAX(1,AG1089/X1089),IF(CA1089=1,IF(AG1089&lt;=0,0,CE1089*MAX(1,IF(H1089&gt;0,AG1089/H1089,1))),IF(R1089&gt;0,AH1089/R1089,0))/MAX(0.1,N(Parameter!$M$21)))</f>
        <v>0.0384615384615385</v>
      </c>
      <c r="AJ1089" s="62" t="n">
        <f aca="false">AI1089*CC1089</f>
        <v>9.42307692307692</v>
      </c>
      <c r="AK1089" s="63" t="n">
        <f aca="false">IF(LEFT(Cockpit!$C$5,1)="A",H1089,IF(CI1089=1,(CL1089+CJ1089)/2,IF(LEFT(Cockpit!$C$5,1)="B",(CL1089+AM1089)/2,MAX((CL1089+AM1089)/2,H1089))))</f>
        <v>21</v>
      </c>
      <c r="AL1089" s="62" t="n">
        <f aca="false">AK1089*G1089</f>
        <v>843.36</v>
      </c>
      <c r="AM1089" s="62" t="n">
        <f aca="false">ROUNDUP(CL1089+MAX(CM1089,2*(J1089/IF(CH1089&gt;0,CH1089,MAX(0.1,N(Cockpit!$C$6)))-CL1089)),0)</f>
        <v>26</v>
      </c>
      <c r="AN1089" s="63" t="n">
        <f aca="false">IF(AJ1089&gt;0,J1089/AJ1089,-1)</f>
        <v>2.44081632653061</v>
      </c>
      <c r="AO1089" s="63" t="n">
        <f aca="false">IF(AND(OR(CG1089="L1",CG1089="L23",CG1089="LIFT"),AJ1089&gt;0),SUMIFS($AJ$7:$AJ$1843,$CG$7:$CG$1843,CG1089,$AN$7:$AN$1843,"&gt;"&amp;AN1089)+SUMIFS($AJ$7:$AJ$1843,$CG$7:$CG$1843,CG1089,$AN$7:$AN$1843,AN1089,$BX$7:$BX$1843,"&lt;="&amp;BX1089),"")</f>
        <v>5471.26236263736</v>
      </c>
      <c r="AP1089" s="70" t="n">
        <f aca="false">IF(AO1089="",0,MAX(0,MIN(1,(IF(CG1089="L1",Parameter!$H$5,IF(CG1089="L23",Parameter!$H$6+Parameter!$H$7,Parameter!$H$5+Parameter!$H$6+Parameter!$H$7))-(AO1089-AJ1089))/AJ1089)))</f>
        <v>1</v>
      </c>
      <c r="AQ1089" s="62" t="n">
        <f aca="false">IF(LEFT(Cockpit!$I$5,1)="A",H1089,IF(Parameter!$E$30="MAX-Bestand",IF(CI1089=1,CJ1089,IF(LEFT(Cockpit!$I$5,1)="B",AW1089,MAX(AW1089,H1089))),ROUNDUP(AU1089,0)))</f>
        <v>21</v>
      </c>
      <c r="AR1089" s="62" t="n">
        <f aca="false">IF(CA1089=1,0,ROUNDUP(AQ1089/BZ1089,0))</f>
        <v>1</v>
      </c>
      <c r="AS1089" s="64" t="n">
        <f aca="false">IF(CR1089&gt;0,CR1089*MAX(1,AQ1089/X1089),IF(CA1089=1,IF(AQ1089&lt;=0,0,CE1089*MAX(1,IF(H1089&gt;0,AQ1089/H1089,1))),IF(R1089&gt;0,AR1089/R1089,0))/MAX(0.1,N(Parameter!$M$21)))</f>
        <v>0.0384615384615385</v>
      </c>
      <c r="AT1089" s="62" t="n">
        <f aca="false">AS1089*CC1089</f>
        <v>9.42307692307692</v>
      </c>
      <c r="AU1089" s="63" t="n">
        <f aca="false">IF(LEFT(Cockpit!$I$5,1)="A",H1089,IF(CI1089=1,(CL1089+CJ1089)/2,IF(LEFT(Cockpit!$I$5,1)="B",(CL1089+AW1089)/2,MAX((CL1089+AW1089)/2,H1089))))</f>
        <v>21</v>
      </c>
      <c r="AV1089" s="62" t="n">
        <f aca="false">AU1089*G1089</f>
        <v>843.36</v>
      </c>
      <c r="AW1089" s="62" t="n">
        <f aca="false">ROUNDUP(CL1089+MAX(CM1089,2*(J1089/IF(CH1089&gt;0,CH1089,MAX(0.1,N(Cockpit!$I$6)))-CL1089)),0)</f>
        <v>26</v>
      </c>
      <c r="AX1089" s="63" t="n">
        <f aca="false">IF(AT1089&gt;0,J1089/AT1089,-1)</f>
        <v>2.44081632653061</v>
      </c>
      <c r="AY1089" s="63" t="n">
        <f aca="false">IF(AND(OR(CG1089="L1",CG1089="L23",CG1089="LIFT"),AT1089&gt;0),SUMIFS($AT$7:$AT$1843,$CG$7:$CG$1843,CG1089,$AX$7:$AX$1843,"&gt;"&amp;AX1089)+SUMIFS($AT$7:$AT$1843,$CG$7:$CG$1843,CG1089,$AX$7:$AX$1843,AX1089,$BX$7:$BX$1843,"&lt;="&amp;BX1089),"")</f>
        <v>6244.49038461539</v>
      </c>
      <c r="AZ1089" s="70" t="n">
        <f aca="false">IF(AY1089="",0,MAX(0,MIN(1,(IF(CG1089="L1",Parameter!$H$5,IF(CG1089="L23",Parameter!$H$6+Parameter!$H$7,Parameter!$H$5+Parameter!$H$6+Parameter!$H$7))-(AY1089-AT1089))/AT1089)))</f>
        <v>1</v>
      </c>
      <c r="BA1089" s="62" t="n">
        <f aca="false">IF(LEFT(Cockpit!$O$5,1)="A",H1089,IF(Parameter!$E$30="MAX-Bestand",IF(CI1089=1,CJ1089,IF(LEFT(Cockpit!$O$5,1)="B",BG1089,MAX(BG1089,H1089))),ROUNDUP(BE1089,0)))</f>
        <v>14</v>
      </c>
      <c r="BB1089" s="62" t="n">
        <f aca="false">IF(CA1089=1,0,ROUNDUP(BA1089/BZ1089,0))</f>
        <v>1</v>
      </c>
      <c r="BC1089" s="64" t="n">
        <f aca="false">IF(CR1089&gt;0,CR1089*MAX(1,BA1089/X1089),IF(CA1089=1,IF(BA1089&lt;=0,0,CE1089*MAX(1,IF(H1089&gt;0,BA1089/H1089,1))),IF(R1089&gt;0,BB1089/R1089,0))/MAX(0.1,N(Parameter!$M$21)))</f>
        <v>0.0384615384615385</v>
      </c>
      <c r="BD1089" s="62" t="n">
        <f aca="false">BC1089*CC1089</f>
        <v>9.42307692307692</v>
      </c>
      <c r="BE1089" s="63" t="n">
        <f aca="false">IF(LEFT(Cockpit!$O$5,1)="A",H1089,IF(CI1089=1,(CL1089+CJ1089)/2,IF(LEFT(Cockpit!$O$5,1)="B",(CL1089+BG1089)/2,MAX((CL1089+BG1089)/2,H1089))))</f>
        <v>13.5</v>
      </c>
      <c r="BF1089" s="62" t="n">
        <f aca="false">BE1089*G1089</f>
        <v>542.16</v>
      </c>
      <c r="BG1089" s="62" t="n">
        <f aca="false">ROUNDUP(CL1089+MAX(CM1089,2*(J1089/IF(CH1089&gt;0,CH1089,MAX(0.1,N(Cockpit!$O$6)))-CL1089)),0)</f>
        <v>26</v>
      </c>
      <c r="BH1089" s="63" t="n">
        <f aca="false">IF(BD1089&gt;0,J1089/BD1089,-1)</f>
        <v>2.44081632653061</v>
      </c>
      <c r="BI1089" s="63" t="n">
        <f aca="false">IF(AND(OR(CG1089="L1",CG1089="L23",CG1089="LIFT"),BD1089&gt;0),SUMIFS($BD$7:$BD$1843,$CG$7:$CG$1843,CG1089,$BH$7:$BH$1843,"&gt;"&amp;BH1089)+SUMIFS($BD$7:$BD$1843,$CG$7:$CG$1843,CG1089,$BH$7:$BH$1843,BH1089,$BX$7:$BX$1843,"&lt;="&amp;BX1089),"")</f>
        <v>5401.67948717949</v>
      </c>
      <c r="BJ1089" s="70" t="n">
        <f aca="false">IF(BI1089="",0,MAX(0,MIN(1,(IF(CG1089="L1",Parameter!$H$5,IF(CG1089="L23",Parameter!$H$6+Parameter!$H$7,Parameter!$H$5+Parameter!$H$6+Parameter!$H$7))-(BI1089-BD1089))/BD1089)))</f>
        <v>1</v>
      </c>
      <c r="BK1089" s="60" t="str">
        <f aca="false">IF(AJ1089&lt;=0,"",IF(CG1089="Aussen","Aussenlager",IF(CG1089="-","Nicht im Lift",IF(AP1089&gt;=1,"Lift",IF(AP1089&lt;=0,"Aussenlager","teilweise")))))</f>
        <v>Lift</v>
      </c>
      <c r="BL1089" s="60" t="str">
        <f aca="false">IF(AT1089&lt;=0,"",IF(CG1089="Aussen","Aussenlager",IF(CG1089="-","Nicht im Lift",IF(AZ1089&gt;=1,"Lift",IF(AZ1089&lt;=0,"Aussenlager","teilweise")))))</f>
        <v>Lift</v>
      </c>
      <c r="BM1089" s="60" t="str">
        <f aca="false">IF(BD1089&lt;=0,"",IF(CG1089="Aussen","Aussenlager",IF(CG1089="-","Nicht im Lift",IF(BJ1089&gt;=1,"Lift",IF(BJ1089&lt;=0,"Aussenlager","teilweise")))))</f>
        <v>Lift</v>
      </c>
      <c r="BN1089" s="60" t="str">
        <f aca="false">IF(A1089="","",IF(BW1089=1,"Neu; ","")&amp;IF(AND(BW1089=0,BR1089&lt;0),"negativer Bestand (Export "&amp;BR1089&amp;"); ","")&amp;IF(J1089&lt;=0,"Kein Verbrauch; ","")&amp;IF(CR1089&gt;0,"Lift "&amp;W1089&amp;" lt. Liftbericht (Fach "&amp;X1089&amp;" Stk); ",IF(CB1089=1,"Gebinde geschätzt ("&amp;T1089&amp;"); ",IF(CA1089=1,"Lose – Tablare geschätzt; ","")))&amp;IF(H1089&gt;AW1089,"Überbestand "&amp;ROUND(H1089-AW1089,0)&amp;" Stk / CHF "&amp;ROUND((H1089-AW1089)*G1089,0)&amp;"; ","")&amp;IF(AND(CI1089=1,CJ1089&lt;CK1089),"MAX &lt; MB+LG; ","")&amp;IF(AND(CQ1089&gt;0,CP1089*10&gt;CQ1089),"zu hoch für Tablar; ","")&amp;IF(AND(BW1089=0,OR(CI1089=1,AB1089&lt;&gt;"",U1089&lt;&gt;"",V1089&lt;&gt;"",AC1089&lt;&gt;"")),"manuell übersteuert; ","")&amp;IF(AND(CA1089=0,R1089=0),"Gebinde unbekannt / Stellmass fehlt; ","")&amp;IF(AND(CA1089=0,N(V1089)&lt;=0,N(Q1089)&lt;=0),"Menge pro Gebinde fehlt (Ist = 1 Gebinde); ","")&amp;BV1089)</f>
        <v>negativer Bestand (Export -5); SPGr</v>
      </c>
      <c r="BO1089" s="60"/>
      <c r="BP1089" s="60"/>
      <c r="BQ1089" s="67"/>
      <c r="BR1089" s="62" t="n">
        <v>-5</v>
      </c>
      <c r="BS1089" s="62" t="n">
        <v>26</v>
      </c>
      <c r="BT1089" s="61" t="n">
        <v>-193.54</v>
      </c>
      <c r="BU1089" s="62" t="n">
        <v>23</v>
      </c>
      <c r="BV1089" s="60" t="s">
        <v>2025</v>
      </c>
      <c r="BW1089" s="65" t="n">
        <v>0</v>
      </c>
      <c r="BX1089" s="65" t="n">
        <v>1089</v>
      </c>
      <c r="BY1089" s="60" t="str">
        <f aca="false">IF(U1089&lt;&gt;"",UPPER(TRIM(U1089)),IF(CB1089=1,UPPER(VLOOKUP(T1089,Parameter!$I$27:$K$29,2,0)),IF(P1089="","LOSE",P1089)))</f>
        <v>S52</v>
      </c>
      <c r="BZ1089" s="62" t="n">
        <f aca="false">IF(BY1089="LOSE",1,IF(N(V1089)&gt;0,V1089,IF(CB1089=1,MAX(1,N(VLOOKUP(T1089,Parameter!$I$27:$K$29,3,0)),H1089,N(N1089)),IF(N(Q1089)&gt;0,Q1089,MAX(1,H1089)))))</f>
        <v>48</v>
      </c>
      <c r="CA1089" s="65" t="n">
        <f aca="false">IF(BY1089="LOSE",1,0)</f>
        <v>0</v>
      </c>
      <c r="CB1089" s="65" t="n">
        <f aca="false">IF(AND(U1089="",OR(P1089="",P1089="LOSE"),T1089&lt;&gt;"",N(S1089)&lt;=0,ISNUMBER(MATCH(T1089,Parameter!$I$27:$I$29,0))),1,0)</f>
        <v>0</v>
      </c>
      <c r="CC1089" s="65" t="n">
        <f aca="false">IF(CR1089&gt;0,INDEX(Parameter!$H$5:$H$7,W1089)/INDEX(Parameter!$E$5:$E$7,W1089),IF(AND(CA1089=0,N(IFERROR(VLOOKUP(BY1089,'Gebinde-Kategorie'!$A$5:$N$45,14,0),0))&gt;0),VLOOKUP(BY1089,'Gebinde-Kategorie'!$A$5:$N$45,14,0)*10+Parameter!$M$23,Parameter!$M$24))</f>
        <v>245</v>
      </c>
      <c r="CD1089" s="60" t="str">
        <f aca="false">IF(AND(Parameter!$B$19="Ja",E1089&lt;&gt;"",ISNUMBER(MATCH(E1089,Parameter!$I$35:$I$52,0))),VLOOKUP(E1089,Parameter!$I$35:$J$52,2,0),IFERROR(VLOOKUP(D1089,Parameter!$A$35:$C$64,2,0),"Nein"))</f>
        <v>2+3</v>
      </c>
      <c r="CE1089" s="64" t="n">
        <f aca="false">IF(CA1089=0,0,IF(N(S1089)&gt;0,S1089,IFERROR(VLOOKUP(D1089,Parameter!$A$35:$C$64,3,0)+0,0)))</f>
        <v>0</v>
      </c>
      <c r="CF1089" s="60" t="n">
        <f aca="false">IF(AB1089&lt;&gt;"",AB1089,AA1089)</f>
        <v>3</v>
      </c>
      <c r="CG1089" s="60" t="str">
        <f aca="false">IF(OR(CF1089=1,CF1089=2,CF1089=3),IF(Parameter!$E$27="Ja","LIFT",IF(CF1089=1,"L1","L23")),IF(CF1089="Aussen","Aussen","-"))</f>
        <v>LIFT</v>
      </c>
      <c r="CH1089" s="71" t="n">
        <f aca="false">IF(N(AC1089)&gt;0,AC1089,0)</f>
        <v>0</v>
      </c>
      <c r="CI1089" s="65" t="n">
        <f aca="false">IF(ISNUMBER(AF1089),1,0)</f>
        <v>0</v>
      </c>
      <c r="CJ1089" s="62" t="n">
        <f aca="false">N(AF1089)</f>
        <v>0</v>
      </c>
      <c r="CK1089" s="62" t="n">
        <f aca="false">N(M1089)+N(N1089)</f>
        <v>26</v>
      </c>
      <c r="CL1089" s="62" t="n">
        <f aca="false">N(M1089)</f>
        <v>1</v>
      </c>
      <c r="CM1089" s="62" t="n">
        <f aca="false">N(N1089)</f>
        <v>25</v>
      </c>
      <c r="CN1089" s="62" t="n">
        <f aca="false">ROUNDUP(H1089/BZ1089,0)</f>
        <v>1</v>
      </c>
      <c r="CO1089" s="62" t="n">
        <f aca="false">ROUNDUP(CJ1089/BZ1089,0)</f>
        <v>0</v>
      </c>
      <c r="CP1089" s="65" t="n">
        <f aca="false">IF(CA1089=1,0,IFERROR(VLOOKUP(BY1089,'Gebinde-Kategorie'!$A$5:$N$45,5,0)+0,0))</f>
        <v>21</v>
      </c>
      <c r="CQ1089" s="65" t="n">
        <f aca="false">IFERROR(IF(OR(CF1089=1,CF1089=2,CF1089=3),N(INDEX(Parameter!$I$5:$I$7,CF1089)),0),0)</f>
        <v>0</v>
      </c>
      <c r="CR1089" s="64" t="n">
        <f aca="false">IF(AND(Parameter!$B$21="Ja",ISNUMBER(W1089),N(X1089)&gt;0),IFERROR(N(INDEX(Parameter!$L$5:$L$7,W1089))*INDEX(Parameter!$E$5:$E$7,W1089)*X1089/SUMIFS($X$7:$X$1843,$W$7:$W$1843,W1089),0),0)</f>
        <v>0</v>
      </c>
      <c r="CS1089" s="62" t="n">
        <f aca="false">IF(AND(OR(CG1089="L1",CG1089="L23",CG1089="LIFT"),H1089&gt;0),CC1089*IF(CR1089&gt;0,CR1089*MAX(1,H1089/X1089),IF(CA1089=1,CE1089,IF(R1089&gt;0,CN1089/R1089,0))/MAX(0.1,N(Parameter!$M$21))),"")</f>
        <v>9.42307692307692</v>
      </c>
      <c r="CT1089" s="64" t="n">
        <f aca="false">IF(CS1089="","",J1089/H1089)</f>
        <v>1.0952380952381</v>
      </c>
      <c r="CU1089" s="62" t="n">
        <f aca="false">IF(CS1089="","",H1089*G1089)</f>
        <v>843.36</v>
      </c>
      <c r="CV1089" s="63" t="n">
        <f aca="false">IF(CS1089="","",(CL1089+ROUNDUP(CL1089+MAX(CM1089,2*(J1089/MAX(0.1,N(Einkauf!$C$6))-CL1089)),0))/2)</f>
        <v>13.5</v>
      </c>
      <c r="CW1089" s="62" t="n">
        <f aca="false">IF(CS1089="","",MAX(0,H1089-CV1089)*G1089)</f>
        <v>301.2</v>
      </c>
      <c r="CX1089" s="62" t="n">
        <f aca="false">IF(CS1089="","",CS1089*MAX(0,1-CV1089/H1089))</f>
        <v>3.36538461538462</v>
      </c>
      <c r="CY1089" s="64" t="n">
        <f aca="false">IF(CS1089="","",PERCENTRANK($CS$7:$CS$1843,CS1089)+PERCENTRANK($CU$7:$CU$1843,CU1089)+1-PERCENTRANK($CT$7:$CT$1843,CT1089))</f>
        <v>1.508</v>
      </c>
      <c r="CZ1089" s="72" t="n">
        <f aca="false">IF(CS1089="","",CHOOSE(MATCH(Einkauf!$C$5,Parameter!$G$23:$G$27,0),CY1089,CS1089,CU1089,-CT1089,CW1089)+ROW()/1000000000)</f>
        <v>1.508001089</v>
      </c>
    </row>
    <row r="1090" customFormat="false" ht="15" hidden="false" customHeight="false" outlineLevel="0" collapsed="false">
      <c r="A1090" s="60" t="s">
        <v>2026</v>
      </c>
      <c r="B1090" s="60" t="s">
        <v>1785</v>
      </c>
      <c r="C1090" s="60" t="s">
        <v>206</v>
      </c>
      <c r="D1090" s="60" t="s">
        <v>226</v>
      </c>
      <c r="E1090" s="60"/>
      <c r="F1090" s="60" t="s">
        <v>260</v>
      </c>
      <c r="G1090" s="61" t="n">
        <v>6.33</v>
      </c>
      <c r="H1090" s="62" t="n">
        <f aca="false">MAX(0,IF(AND(Parameter!$B$21="Ja",ISNUMBER(Y1090)),Y1090,IF(Parameter!$B$20="Jahresanfang 2025 + Export",BS1090+BR1090,BR1090)))</f>
        <v>48</v>
      </c>
      <c r="I1090" s="62" t="n">
        <f aca="false">H1090*G1090</f>
        <v>303.84</v>
      </c>
      <c r="J1090" s="62" t="n">
        <f aca="false">BU1090*Parameter!$B$18</f>
        <v>26</v>
      </c>
      <c r="K1090" s="63" t="n">
        <v>66</v>
      </c>
      <c r="L1090" s="64" t="n">
        <v>0.393939393939394</v>
      </c>
      <c r="M1090" s="62" t="n">
        <v>1</v>
      </c>
      <c r="N1090" s="62" t="n">
        <v>25</v>
      </c>
      <c r="O1090" s="65" t="n">
        <v>14</v>
      </c>
      <c r="P1090" s="60" t="s">
        <v>443</v>
      </c>
      <c r="Q1090" s="62" t="n">
        <v>46</v>
      </c>
      <c r="R1090" s="65" t="n">
        <f aca="false">IF(CA1090=1,0,IFERROR(VLOOKUP(BY1090,'Gebinde-Kategorie'!$A$5:$N$45,13,0)+0,0))</f>
        <v>280</v>
      </c>
      <c r="S1090" s="66"/>
      <c r="T1090" s="67"/>
      <c r="U1090" s="67"/>
      <c r="V1090" s="67"/>
      <c r="W1090" s="60"/>
      <c r="X1090" s="62"/>
      <c r="Y1090" s="62"/>
      <c r="Z1090" s="60" t="n">
        <v>3</v>
      </c>
      <c r="AA1090" s="60" t="n">
        <f aca="false">IF(A1090="","",IF(AND(Parameter!$B$21="Ja",ISNUMBER(W1090)),W1090,IF(AND(Parameter!$E$27="Ja",ISNUMBER(Z1090),CD1090&lt;&gt;"Nein"),Z1090,IF(CD1090="2+3",IF(ISNUMBER(SEARCH("grosser Artikel",BV1090)),2,IFERROR(VLOOKUP(BY1090,Parameter!$F$35:$G$64,2,0),2)),IF(OR(CD1090="Nein",CD1090=""),"-",CD1090)))))</f>
        <v>3</v>
      </c>
      <c r="AB1090" s="67"/>
      <c r="AC1090" s="68"/>
      <c r="AD1090" s="62" t="n">
        <f aca="false">AW1090</f>
        <v>26</v>
      </c>
      <c r="AE1090" s="62" t="n">
        <f aca="false">MAX(AW1090,H1090)</f>
        <v>48</v>
      </c>
      <c r="AF1090" s="69"/>
      <c r="AG1090" s="62" t="n">
        <f aca="false">IF(LEFT(Cockpit!$C$5,1)="A",H1090,IF(Parameter!$E$30="MAX-Bestand",IF(CI1090=1,CJ1090,IF(LEFT(Cockpit!$C$5,1)="B",AM1090,MAX(AM1090,H1090))),ROUNDUP(AK1090,0)))</f>
        <v>48</v>
      </c>
      <c r="AH1090" s="62" t="n">
        <f aca="false">IF(CA1090=1,0,ROUNDUP(AG1090/BZ1090,0))</f>
        <v>2</v>
      </c>
      <c r="AI1090" s="64" t="n">
        <f aca="false">IF(CR1090&gt;0,CR1090*MAX(1,AG1090/X1090),IF(CA1090=1,IF(AG1090&lt;=0,0,CE1090*MAX(1,IF(H1090&gt;0,AG1090/H1090,1))),IF(R1090&gt;0,AH1090/R1090,0))/MAX(0.1,N(Parameter!$M$21)))</f>
        <v>0.00714285714285714</v>
      </c>
      <c r="AJ1090" s="62" t="n">
        <f aca="false">AI1090*CC1090</f>
        <v>1.10714285714286</v>
      </c>
      <c r="AK1090" s="63" t="n">
        <f aca="false">IF(LEFT(Cockpit!$C$5,1)="A",H1090,IF(CI1090=1,(CL1090+CJ1090)/2,IF(LEFT(Cockpit!$C$5,1)="B",(CL1090+AM1090)/2,MAX((CL1090+AM1090)/2,H1090))))</f>
        <v>48</v>
      </c>
      <c r="AL1090" s="62" t="n">
        <f aca="false">AK1090*G1090</f>
        <v>303.84</v>
      </c>
      <c r="AM1090" s="62" t="n">
        <f aca="false">ROUNDUP(CL1090+MAX(CM1090,2*(J1090/IF(CH1090&gt;0,CH1090,MAX(0.1,N(Cockpit!$C$6)))-CL1090)),0)</f>
        <v>26</v>
      </c>
      <c r="AN1090" s="63" t="n">
        <f aca="false">IF(AJ1090&gt;0,J1090/AJ1090,-1)</f>
        <v>23.4838709677419</v>
      </c>
      <c r="AO1090" s="63" t="n">
        <f aca="false">IF(AND(OR(CG1090="L1",CG1090="L23",CG1090="LIFT"),AJ1090&gt;0),SUMIFS($AJ$7:$AJ$1843,$CG$7:$CG$1843,CG1090,$AN$7:$AN$1843,"&gt;"&amp;AN1090)+SUMIFS($AJ$7:$AJ$1843,$CG$7:$CG$1843,CG1090,$AN$7:$AN$1843,AN1090,$BX$7:$BX$1843,"&lt;="&amp;BX1090),"")</f>
        <v>1577.00366300366</v>
      </c>
      <c r="AP1090" s="70" t="n">
        <f aca="false">IF(AO1090="",0,MAX(0,MIN(1,(IF(CG1090="L1",Parameter!$H$5,IF(CG1090="L23",Parameter!$H$6+Parameter!$H$7,Parameter!$H$5+Parameter!$H$6+Parameter!$H$7))-(AO1090-AJ1090))/AJ1090)))</f>
        <v>1</v>
      </c>
      <c r="AQ1090" s="62" t="n">
        <f aca="false">IF(LEFT(Cockpit!$I$5,1)="A",H1090,IF(Parameter!$E$30="MAX-Bestand",IF(CI1090=1,CJ1090,IF(LEFT(Cockpit!$I$5,1)="B",AW1090,MAX(AW1090,H1090))),ROUNDUP(AU1090,0)))</f>
        <v>48</v>
      </c>
      <c r="AR1090" s="62" t="n">
        <f aca="false">IF(CA1090=1,0,ROUNDUP(AQ1090/BZ1090,0))</f>
        <v>2</v>
      </c>
      <c r="AS1090" s="64" t="n">
        <f aca="false">IF(CR1090&gt;0,CR1090*MAX(1,AQ1090/X1090),IF(CA1090=1,IF(AQ1090&lt;=0,0,CE1090*MAX(1,IF(H1090&gt;0,AQ1090/H1090,1))),IF(R1090&gt;0,AR1090/R1090,0))/MAX(0.1,N(Parameter!$M$21)))</f>
        <v>0.00714285714285714</v>
      </c>
      <c r="AT1090" s="62" t="n">
        <f aca="false">AS1090*CC1090</f>
        <v>1.10714285714286</v>
      </c>
      <c r="AU1090" s="63" t="n">
        <f aca="false">IF(LEFT(Cockpit!$I$5,1)="A",H1090,IF(CI1090=1,(CL1090+CJ1090)/2,IF(LEFT(Cockpit!$I$5,1)="B",(CL1090+AW1090)/2,MAX((CL1090+AW1090)/2,H1090))))</f>
        <v>48</v>
      </c>
      <c r="AV1090" s="62" t="n">
        <f aca="false">AU1090*G1090</f>
        <v>303.84</v>
      </c>
      <c r="AW1090" s="62" t="n">
        <f aca="false">ROUNDUP(CL1090+MAX(CM1090,2*(J1090/IF(CH1090&gt;0,CH1090,MAX(0.1,N(Cockpit!$I$6)))-CL1090)),0)</f>
        <v>26</v>
      </c>
      <c r="AX1090" s="63" t="n">
        <f aca="false">IF(AT1090&gt;0,J1090/AT1090,-1)</f>
        <v>23.4838709677419</v>
      </c>
      <c r="AY1090" s="63" t="n">
        <f aca="false">IF(AND(OR(CG1090="L1",CG1090="L23",CG1090="LIFT"),AT1090&gt;0),SUMIFS($AT$7:$AT$1843,$CG$7:$CG$1843,CG1090,$AX$7:$AX$1843,"&gt;"&amp;AX1090)+SUMIFS($AT$7:$AT$1843,$CG$7:$CG$1843,CG1090,$AX$7:$AX$1843,AX1090,$BX$7:$BX$1843,"&lt;="&amp;BX1090),"")</f>
        <v>2202.84249084249</v>
      </c>
      <c r="AZ1090" s="70" t="n">
        <f aca="false">IF(AY1090="",0,MAX(0,MIN(1,(IF(CG1090="L1",Parameter!$H$5,IF(CG1090="L23",Parameter!$H$6+Parameter!$H$7,Parameter!$H$5+Parameter!$H$6+Parameter!$H$7))-(AY1090-AT1090))/AT1090)))</f>
        <v>1</v>
      </c>
      <c r="BA1090" s="62" t="n">
        <f aca="false">IF(LEFT(Cockpit!$O$5,1)="A",H1090,IF(Parameter!$E$30="MAX-Bestand",IF(CI1090=1,CJ1090,IF(LEFT(Cockpit!$O$5,1)="B",BG1090,MAX(BG1090,H1090))),ROUNDUP(BE1090,0)))</f>
        <v>14</v>
      </c>
      <c r="BB1090" s="62" t="n">
        <f aca="false">IF(CA1090=1,0,ROUNDUP(BA1090/BZ1090,0))</f>
        <v>1</v>
      </c>
      <c r="BC1090" s="64" t="n">
        <f aca="false">IF(CR1090&gt;0,CR1090*MAX(1,BA1090/X1090),IF(CA1090=1,IF(BA1090&lt;=0,0,CE1090*MAX(1,IF(H1090&gt;0,BA1090/H1090,1))),IF(R1090&gt;0,BB1090/R1090,0))/MAX(0.1,N(Parameter!$M$21)))</f>
        <v>0.00357142857142857</v>
      </c>
      <c r="BD1090" s="62" t="n">
        <f aca="false">BC1090*CC1090</f>
        <v>0.553571428571429</v>
      </c>
      <c r="BE1090" s="63" t="n">
        <f aca="false">IF(LEFT(Cockpit!$O$5,1)="A",H1090,IF(CI1090=1,(CL1090+CJ1090)/2,IF(LEFT(Cockpit!$O$5,1)="B",(CL1090+BG1090)/2,MAX((CL1090+BG1090)/2,H1090))))</f>
        <v>13.5</v>
      </c>
      <c r="BF1090" s="62" t="n">
        <f aca="false">BE1090*G1090</f>
        <v>85.455</v>
      </c>
      <c r="BG1090" s="62" t="n">
        <f aca="false">ROUNDUP(CL1090+MAX(CM1090,2*(J1090/IF(CH1090&gt;0,CH1090,MAX(0.1,N(Cockpit!$O$6)))-CL1090)),0)</f>
        <v>26</v>
      </c>
      <c r="BH1090" s="63" t="n">
        <f aca="false">IF(BD1090&gt;0,J1090/BD1090,-1)</f>
        <v>46.9677419354839</v>
      </c>
      <c r="BI1090" s="63" t="n">
        <f aca="false">IF(AND(OR(CG1090="L1",CG1090="L23",CG1090="LIFT"),BD1090&gt;0),SUMIFS($BD$7:$BD$1843,$CG$7:$CG$1843,CG1090,$BH$7:$BH$1843,"&gt;"&amp;BH1090)+SUMIFS($BD$7:$BD$1843,$CG$7:$CG$1843,CG1090,$BH$7:$BH$1843,BH1090,$BX$7:$BX$1843,"&lt;="&amp;BX1090),"")</f>
        <v>1220.59203296703</v>
      </c>
      <c r="BJ1090" s="70" t="n">
        <f aca="false">IF(BI1090="",0,MAX(0,MIN(1,(IF(CG1090="L1",Parameter!$H$5,IF(CG1090="L23",Parameter!$H$6+Parameter!$H$7,Parameter!$H$5+Parameter!$H$6+Parameter!$H$7))-(BI1090-BD1090))/BD1090)))</f>
        <v>1</v>
      </c>
      <c r="BK1090" s="60" t="str">
        <f aca="false">IF(AJ1090&lt;=0,"",IF(CG1090="Aussen","Aussenlager",IF(CG1090="-","Nicht im Lift",IF(AP1090&gt;=1,"Lift",IF(AP1090&lt;=0,"Aussenlager","teilweise")))))</f>
        <v>Lift</v>
      </c>
      <c r="BL1090" s="60" t="str">
        <f aca="false">IF(AT1090&lt;=0,"",IF(CG1090="Aussen","Aussenlager",IF(CG1090="-","Nicht im Lift",IF(AZ1090&gt;=1,"Lift",IF(AZ1090&lt;=0,"Aussenlager","teilweise")))))</f>
        <v>Lift</v>
      </c>
      <c r="BM1090" s="60" t="str">
        <f aca="false">IF(BD1090&lt;=0,"",IF(CG1090="Aussen","Aussenlager",IF(CG1090="-","Nicht im Lift",IF(BJ1090&gt;=1,"Lift",IF(BJ1090&lt;=0,"Aussenlager","teilweise")))))</f>
        <v>Lift</v>
      </c>
      <c r="BN1090" s="60" t="str">
        <f aca="false">IF(A1090="","",IF(BW1090=1,"Neu; ","")&amp;IF(AND(BW1090=0,BR1090&lt;0),"negativer Bestand (Export "&amp;BR1090&amp;"); ","")&amp;IF(J1090&lt;=0,"Kein Verbrauch; ","")&amp;IF(CR1090&gt;0,"Lift "&amp;W1090&amp;" lt. Liftbericht (Fach "&amp;X1090&amp;" Stk); ",IF(CB1090=1,"Gebinde geschätzt ("&amp;T1090&amp;"); ",IF(CA1090=1,"Lose – Tablare geschätzt; ","")))&amp;IF(H1090&gt;AW1090,"Überbestand "&amp;ROUND(H1090-AW1090,0)&amp;" Stk / CHF "&amp;ROUND((H1090-AW1090)*G1090,0)&amp;"; ","")&amp;IF(AND(CI1090=1,CJ1090&lt;CK1090),"MAX &lt; MB+LG; ","")&amp;IF(AND(CQ1090&gt;0,CP1090*10&gt;CQ1090),"zu hoch für Tablar; ","")&amp;IF(AND(BW1090=0,OR(CI1090=1,AB1090&lt;&gt;"",U1090&lt;&gt;"",V1090&lt;&gt;"",AC1090&lt;&gt;"")),"manuell übersteuert; ","")&amp;IF(AND(CA1090=0,R1090=0),"Gebinde unbekannt / Stellmass fehlt; ","")&amp;IF(AND(CA1090=0,N(V1090)&lt;=0,N(Q1090)&lt;=0),"Menge pro Gebinde fehlt (Ist = 1 Gebinde); ","")&amp;BV1090)</f>
        <v>negativer Bestand (Export -31); Überbestand 22 Stk / CHF 139; </v>
      </c>
      <c r="BO1090" s="60"/>
      <c r="BP1090" s="60"/>
      <c r="BQ1090" s="67"/>
      <c r="BR1090" s="62" t="n">
        <v>-31</v>
      </c>
      <c r="BS1090" s="62" t="n">
        <v>79</v>
      </c>
      <c r="BT1090" s="61" t="n">
        <v>-196.23</v>
      </c>
      <c r="BU1090" s="62" t="n">
        <v>26</v>
      </c>
      <c r="BV1090" s="60"/>
      <c r="BW1090" s="65" t="n">
        <v>0</v>
      </c>
      <c r="BX1090" s="65" t="n">
        <v>1090</v>
      </c>
      <c r="BY1090" s="60" t="str">
        <f aca="false">IF(U1090&lt;&gt;"",UPPER(TRIM(U1090)),IF(CB1090=1,UPPER(VLOOKUP(T1090,Parameter!$I$27:$K$29,2,0)),IF(P1090="","LOSE",P1090)))</f>
        <v>S21</v>
      </c>
      <c r="BZ1090" s="62" t="n">
        <f aca="false">IF(BY1090="LOSE",1,IF(N(V1090)&gt;0,V1090,IF(CB1090=1,MAX(1,N(VLOOKUP(T1090,Parameter!$I$27:$K$29,3,0)),H1090,N(N1090)),IF(N(Q1090)&gt;0,Q1090,MAX(1,H1090)))))</f>
        <v>46</v>
      </c>
      <c r="CA1090" s="65" t="n">
        <f aca="false">IF(BY1090="LOSE",1,0)</f>
        <v>0</v>
      </c>
      <c r="CB1090" s="65" t="n">
        <f aca="false">IF(AND(U1090="",OR(P1090="",P1090="LOSE"),T1090&lt;&gt;"",N(S1090)&lt;=0,ISNUMBER(MATCH(T1090,Parameter!$I$27:$I$29,0))),1,0)</f>
        <v>0</v>
      </c>
      <c r="CC1090" s="65" t="n">
        <f aca="false">IF(CR1090&gt;0,INDEX(Parameter!$H$5:$H$7,W1090)/INDEX(Parameter!$E$5:$E$7,W1090),IF(AND(CA1090=0,N(IFERROR(VLOOKUP(BY1090,'Gebinde-Kategorie'!$A$5:$N$45,14,0),0))&gt;0),VLOOKUP(BY1090,'Gebinde-Kategorie'!$A$5:$N$45,14,0)*10+Parameter!$M$23,Parameter!$M$24))</f>
        <v>155</v>
      </c>
      <c r="CD1090" s="60" t="str">
        <f aca="false">IF(AND(Parameter!$B$19="Ja",E1090&lt;&gt;"",ISNUMBER(MATCH(E1090,Parameter!$I$35:$I$52,0))),VLOOKUP(E1090,Parameter!$I$35:$J$52,2,0),IFERROR(VLOOKUP(D1090,Parameter!$A$35:$C$64,2,0),"Nein"))</f>
        <v>2+3</v>
      </c>
      <c r="CE1090" s="64" t="n">
        <f aca="false">IF(CA1090=0,0,IF(N(S1090)&gt;0,S1090,IFERROR(VLOOKUP(D1090,Parameter!$A$35:$C$64,3,0)+0,0)))</f>
        <v>0</v>
      </c>
      <c r="CF1090" s="60" t="n">
        <f aca="false">IF(AB1090&lt;&gt;"",AB1090,AA1090)</f>
        <v>3</v>
      </c>
      <c r="CG1090" s="60" t="str">
        <f aca="false">IF(OR(CF1090=1,CF1090=2,CF1090=3),IF(Parameter!$E$27="Ja","LIFT",IF(CF1090=1,"L1","L23")),IF(CF1090="Aussen","Aussen","-"))</f>
        <v>LIFT</v>
      </c>
      <c r="CH1090" s="71" t="n">
        <f aca="false">IF(N(AC1090)&gt;0,AC1090,0)</f>
        <v>0</v>
      </c>
      <c r="CI1090" s="65" t="n">
        <f aca="false">IF(ISNUMBER(AF1090),1,0)</f>
        <v>0</v>
      </c>
      <c r="CJ1090" s="62" t="n">
        <f aca="false">N(AF1090)</f>
        <v>0</v>
      </c>
      <c r="CK1090" s="62" t="n">
        <f aca="false">N(M1090)+N(N1090)</f>
        <v>26</v>
      </c>
      <c r="CL1090" s="62" t="n">
        <f aca="false">N(M1090)</f>
        <v>1</v>
      </c>
      <c r="CM1090" s="62" t="n">
        <f aca="false">N(N1090)</f>
        <v>25</v>
      </c>
      <c r="CN1090" s="62" t="n">
        <f aca="false">ROUNDUP(H1090/BZ1090,0)</f>
        <v>2</v>
      </c>
      <c r="CO1090" s="62" t="n">
        <f aca="false">ROUNDUP(CJ1090/BZ1090,0)</f>
        <v>0</v>
      </c>
      <c r="CP1090" s="65" t="n">
        <f aca="false">IF(CA1090=1,0,IFERROR(VLOOKUP(BY1090,'Gebinde-Kategorie'!$A$5:$N$45,5,0)+0,0))</f>
        <v>8</v>
      </c>
      <c r="CQ1090" s="65" t="n">
        <f aca="false">IFERROR(IF(OR(CF1090=1,CF1090=2,CF1090=3),N(INDEX(Parameter!$I$5:$I$7,CF1090)),0),0)</f>
        <v>0</v>
      </c>
      <c r="CR1090" s="64" t="n">
        <f aca="false">IF(AND(Parameter!$B$21="Ja",ISNUMBER(W1090),N(X1090)&gt;0),IFERROR(N(INDEX(Parameter!$L$5:$L$7,W1090))*INDEX(Parameter!$E$5:$E$7,W1090)*X1090/SUMIFS($X$7:$X$1843,$W$7:$W$1843,W1090),0),0)</f>
        <v>0</v>
      </c>
      <c r="CS1090" s="62" t="n">
        <f aca="false">IF(AND(OR(CG1090="L1",CG1090="L23",CG1090="LIFT"),H1090&gt;0),CC1090*IF(CR1090&gt;0,CR1090*MAX(1,H1090/X1090),IF(CA1090=1,CE1090,IF(R1090&gt;0,CN1090/R1090,0))/MAX(0.1,N(Parameter!$M$21))),"")</f>
        <v>1.10714285714286</v>
      </c>
      <c r="CT1090" s="64" t="n">
        <f aca="false">IF(CS1090="","",J1090/H1090)</f>
        <v>0.541666666666667</v>
      </c>
      <c r="CU1090" s="62" t="n">
        <f aca="false">IF(CS1090="","",H1090*G1090)</f>
        <v>303.84</v>
      </c>
      <c r="CV1090" s="63" t="n">
        <f aca="false">IF(CS1090="","",(CL1090+ROUNDUP(CL1090+MAX(CM1090,2*(J1090/MAX(0.1,N(Einkauf!$C$6))-CL1090)),0))/2)</f>
        <v>13.5</v>
      </c>
      <c r="CW1090" s="62" t="n">
        <f aca="false">IF(CS1090="","",MAX(0,H1090-CV1090)*G1090)</f>
        <v>218.385</v>
      </c>
      <c r="CX1090" s="62" t="n">
        <f aca="false">IF(CS1090="","",CS1090*MAX(0,1-CV1090/H1090))</f>
        <v>0.795758928571429</v>
      </c>
      <c r="CY1090" s="64" t="n">
        <f aca="false">IF(CS1090="","",PERCENTRANK($CS$7:$CS$1843,CS1090)+PERCENTRANK($CU$7:$CU$1843,CU1090)+1-PERCENTRANK($CT$7:$CT$1843,CT1090))</f>
        <v>0.9184</v>
      </c>
      <c r="CZ1090" s="72" t="n">
        <f aca="false">IF(CS1090="","",CHOOSE(MATCH(Einkauf!$C$5,Parameter!$G$23:$G$27,0),CY1090,CS1090,CU1090,-CT1090,CW1090)+ROW()/1000000000)</f>
        <v>0.91840109</v>
      </c>
    </row>
    <row r="1091" customFormat="false" ht="15" hidden="false" customHeight="false" outlineLevel="0" collapsed="false">
      <c r="A1091" s="60" t="s">
        <v>2027</v>
      </c>
      <c r="B1091" s="60" t="s">
        <v>2028</v>
      </c>
      <c r="C1091" s="60" t="s">
        <v>206</v>
      </c>
      <c r="D1091" s="60" t="s">
        <v>226</v>
      </c>
      <c r="E1091" s="60"/>
      <c r="F1091" s="60" t="s">
        <v>260</v>
      </c>
      <c r="G1091" s="61" t="n">
        <v>6.34</v>
      </c>
      <c r="H1091" s="62" t="n">
        <f aca="false">MAX(0,IF(AND(Parameter!$B$21="Ja",ISNUMBER(Y1091)),Y1091,IF(Parameter!$B$20="Jahresanfang 2025 + Export",BS1091+BR1091,BR1091)))</f>
        <v>86</v>
      </c>
      <c r="I1091" s="62" t="n">
        <f aca="false">H1091*G1091</f>
        <v>545.24</v>
      </c>
      <c r="J1091" s="62" t="n">
        <f aca="false">BU1091*Parameter!$B$18</f>
        <v>12</v>
      </c>
      <c r="K1091" s="63" t="n">
        <v>108</v>
      </c>
      <c r="L1091" s="64" t="n">
        <v>0.111111111111111</v>
      </c>
      <c r="M1091" s="62" t="n">
        <v>0</v>
      </c>
      <c r="N1091" s="62" t="n">
        <v>10</v>
      </c>
      <c r="O1091" s="65" t="n">
        <v>21</v>
      </c>
      <c r="P1091" s="60" t="s">
        <v>210</v>
      </c>
      <c r="Q1091" s="62"/>
      <c r="R1091" s="65" t="n">
        <f aca="false">IF(CA1091=1,0,IFERROR(VLOOKUP(BY1091,'Gebinde-Kategorie'!$A$5:$N$45,13,0)+0,0))</f>
        <v>26</v>
      </c>
      <c r="S1091" s="66"/>
      <c r="T1091" s="67" t="s">
        <v>317</v>
      </c>
      <c r="U1091" s="67"/>
      <c r="V1091" s="67"/>
      <c r="W1091" s="60"/>
      <c r="X1091" s="62"/>
      <c r="Y1091" s="62"/>
      <c r="Z1091" s="60" t="n">
        <v>3</v>
      </c>
      <c r="AA1091" s="60" t="n">
        <f aca="false">IF(A1091="","",IF(AND(Parameter!$B$21="Ja",ISNUMBER(W1091)),W1091,IF(AND(Parameter!$E$27="Ja",ISNUMBER(Z1091),CD1091&lt;&gt;"Nein"),Z1091,IF(CD1091="2+3",IF(ISNUMBER(SEARCH("grosser Artikel",BV1091)),2,IFERROR(VLOOKUP(BY1091,Parameter!$F$35:$G$64,2,0),2)),IF(OR(CD1091="Nein",CD1091=""),"-",CD1091)))))</f>
        <v>3</v>
      </c>
      <c r="AB1091" s="67"/>
      <c r="AC1091" s="68"/>
      <c r="AD1091" s="62" t="n">
        <f aca="false">AW1091</f>
        <v>10</v>
      </c>
      <c r="AE1091" s="62" t="n">
        <f aca="false">MAX(AW1091,H1091)</f>
        <v>86</v>
      </c>
      <c r="AF1091" s="69"/>
      <c r="AG1091" s="62" t="n">
        <f aca="false">IF(LEFT(Cockpit!$C$5,1)="A",H1091,IF(Parameter!$E$30="MAX-Bestand",IF(CI1091=1,CJ1091,IF(LEFT(Cockpit!$C$5,1)="B",AM1091,MAX(AM1091,H1091))),ROUNDUP(AK1091,0)))</f>
        <v>86</v>
      </c>
      <c r="AH1091" s="62" t="n">
        <f aca="false">IF(CA1091=1,0,ROUNDUP(AG1091/BZ1091,0))</f>
        <v>1</v>
      </c>
      <c r="AI1091" s="64" t="n">
        <f aca="false">IF(CR1091&gt;0,CR1091*MAX(1,AG1091/X1091),IF(CA1091=1,IF(AG1091&lt;=0,0,CE1091*MAX(1,IF(H1091&gt;0,AG1091/H1091,1))),IF(R1091&gt;0,AH1091/R1091,0))/MAX(0.1,N(Parameter!$M$21)))</f>
        <v>0.0384615384615385</v>
      </c>
      <c r="AJ1091" s="62" t="n">
        <f aca="false">AI1091*CC1091</f>
        <v>5.96153846153846</v>
      </c>
      <c r="AK1091" s="63" t="n">
        <f aca="false">IF(LEFT(Cockpit!$C$5,1)="A",H1091,IF(CI1091=1,(CL1091+CJ1091)/2,IF(LEFT(Cockpit!$C$5,1)="B",(CL1091+AM1091)/2,MAX((CL1091+AM1091)/2,H1091))))</f>
        <v>86</v>
      </c>
      <c r="AL1091" s="62" t="n">
        <f aca="false">AK1091*G1091</f>
        <v>545.24</v>
      </c>
      <c r="AM1091" s="62" t="n">
        <f aca="false">ROUNDUP(CL1091+MAX(CM1091,2*(J1091/IF(CH1091&gt;0,CH1091,MAX(0.1,N(Cockpit!$C$6)))-CL1091)),0)</f>
        <v>10</v>
      </c>
      <c r="AN1091" s="63" t="n">
        <f aca="false">IF(AJ1091&gt;0,J1091/AJ1091,-1)</f>
        <v>2.01290322580645</v>
      </c>
      <c r="AO1091" s="63" t="n">
        <f aca="false">IF(AND(OR(CG1091="L1",CG1091="L23",CG1091="LIFT"),AJ1091&gt;0),SUMIFS($AJ$7:$AJ$1843,$CG$7:$CG$1843,CG1091,$AN$7:$AN$1843,"&gt;"&amp;AN1091)+SUMIFS($AJ$7:$AJ$1843,$CG$7:$CG$1843,CG1091,$AN$7:$AN$1843,AN1091,$BX$7:$BX$1843,"&lt;="&amp;BX1091),"")</f>
        <v>5822.14789377289</v>
      </c>
      <c r="AP1091" s="70" t="n">
        <f aca="false">IF(AO1091="",0,MAX(0,MIN(1,(IF(CG1091="L1",Parameter!$H$5,IF(CG1091="L23",Parameter!$H$6+Parameter!$H$7,Parameter!$H$5+Parameter!$H$6+Parameter!$H$7))-(AO1091-AJ1091))/AJ1091)))</f>
        <v>1</v>
      </c>
      <c r="AQ1091" s="62" t="n">
        <f aca="false">IF(LEFT(Cockpit!$I$5,1)="A",H1091,IF(Parameter!$E$30="MAX-Bestand",IF(CI1091=1,CJ1091,IF(LEFT(Cockpit!$I$5,1)="B",AW1091,MAX(AW1091,H1091))),ROUNDUP(AU1091,0)))</f>
        <v>86</v>
      </c>
      <c r="AR1091" s="62" t="n">
        <f aca="false">IF(CA1091=1,0,ROUNDUP(AQ1091/BZ1091,0))</f>
        <v>1</v>
      </c>
      <c r="AS1091" s="64" t="n">
        <f aca="false">IF(CR1091&gt;0,CR1091*MAX(1,AQ1091/X1091),IF(CA1091=1,IF(AQ1091&lt;=0,0,CE1091*MAX(1,IF(H1091&gt;0,AQ1091/H1091,1))),IF(R1091&gt;0,AR1091/R1091,0))/MAX(0.1,N(Parameter!$M$21)))</f>
        <v>0.0384615384615385</v>
      </c>
      <c r="AT1091" s="62" t="n">
        <f aca="false">AS1091*CC1091</f>
        <v>5.96153846153846</v>
      </c>
      <c r="AU1091" s="63" t="n">
        <f aca="false">IF(LEFT(Cockpit!$I$5,1)="A",H1091,IF(CI1091=1,(CL1091+CJ1091)/2,IF(LEFT(Cockpit!$I$5,1)="B",(CL1091+AW1091)/2,MAX((CL1091+AW1091)/2,H1091))))</f>
        <v>86</v>
      </c>
      <c r="AV1091" s="62" t="n">
        <f aca="false">AU1091*G1091</f>
        <v>545.24</v>
      </c>
      <c r="AW1091" s="62" t="n">
        <f aca="false">ROUNDUP(CL1091+MAX(CM1091,2*(J1091/IF(CH1091&gt;0,CH1091,MAX(0.1,N(Cockpit!$I$6)))-CL1091)),0)</f>
        <v>10</v>
      </c>
      <c r="AX1091" s="63" t="n">
        <f aca="false">IF(AT1091&gt;0,J1091/AT1091,-1)</f>
        <v>2.01290322580645</v>
      </c>
      <c r="AY1091" s="63" t="n">
        <f aca="false">IF(AND(OR(CG1091="L1",CG1091="L23",CG1091="LIFT"),AT1091&gt;0),SUMIFS($AT$7:$AT$1843,$CG$7:$CG$1843,CG1091,$AX$7:$AX$1843,"&gt;"&amp;AX1091)+SUMIFS($AT$7:$AT$1843,$CG$7:$CG$1843,CG1091,$AX$7:$AX$1843,AX1091,$BX$7:$BX$1843,"&lt;="&amp;BX1091),"")</f>
        <v>7190.08745421246</v>
      </c>
      <c r="AZ1091" s="70" t="n">
        <f aca="false">IF(AY1091="",0,MAX(0,MIN(1,(IF(CG1091="L1",Parameter!$H$5,IF(CG1091="L23",Parameter!$H$6+Parameter!$H$7,Parameter!$H$5+Parameter!$H$6+Parameter!$H$7))-(AY1091-AT1091))/AT1091)))</f>
        <v>1</v>
      </c>
      <c r="BA1091" s="62" t="n">
        <f aca="false">IF(LEFT(Cockpit!$O$5,1)="A",H1091,IF(Parameter!$E$30="MAX-Bestand",IF(CI1091=1,CJ1091,IF(LEFT(Cockpit!$O$5,1)="B",BG1091,MAX(BG1091,H1091))),ROUNDUP(BE1091,0)))</f>
        <v>5</v>
      </c>
      <c r="BB1091" s="62" t="n">
        <f aca="false">IF(CA1091=1,0,ROUNDUP(BA1091/BZ1091,0))</f>
        <v>1</v>
      </c>
      <c r="BC1091" s="64" t="n">
        <f aca="false">IF(CR1091&gt;0,CR1091*MAX(1,BA1091/X1091),IF(CA1091=1,IF(BA1091&lt;=0,0,CE1091*MAX(1,IF(H1091&gt;0,BA1091/H1091,1))),IF(R1091&gt;0,BB1091/R1091,0))/MAX(0.1,N(Parameter!$M$21)))</f>
        <v>0.0384615384615385</v>
      </c>
      <c r="BD1091" s="62" t="n">
        <f aca="false">BC1091*CC1091</f>
        <v>5.96153846153846</v>
      </c>
      <c r="BE1091" s="63" t="n">
        <f aca="false">IF(LEFT(Cockpit!$O$5,1)="A",H1091,IF(CI1091=1,(CL1091+CJ1091)/2,IF(LEFT(Cockpit!$O$5,1)="B",(CL1091+BG1091)/2,MAX((CL1091+BG1091)/2,H1091))))</f>
        <v>5</v>
      </c>
      <c r="BF1091" s="62" t="n">
        <f aca="false">BE1091*G1091</f>
        <v>31.7</v>
      </c>
      <c r="BG1091" s="62" t="n">
        <f aca="false">ROUNDUP(CL1091+MAX(CM1091,2*(J1091/IF(CH1091&gt;0,CH1091,MAX(0.1,N(Cockpit!$O$6)))-CL1091)),0)</f>
        <v>10</v>
      </c>
      <c r="BH1091" s="63" t="n">
        <f aca="false">IF(BD1091&gt;0,J1091/BD1091,-1)</f>
        <v>2.01290322580645</v>
      </c>
      <c r="BI1091" s="63" t="n">
        <f aca="false">IF(AND(OR(CG1091="L1",CG1091="L23",CG1091="LIFT"),BD1091&gt;0),SUMIFS($BD$7:$BD$1843,$CG$7:$CG$1843,CG1091,$BH$7:$BH$1843,"&gt;"&amp;BH1091)+SUMIFS($BD$7:$BD$1843,$CG$7:$CG$1843,CG1091,$BH$7:$BH$1843,BH1091,$BX$7:$BX$1843,"&lt;="&amp;BX1091),"")</f>
        <v>5891.91987179487</v>
      </c>
      <c r="BJ1091" s="70" t="n">
        <f aca="false">IF(BI1091="",0,MAX(0,MIN(1,(IF(CG1091="L1",Parameter!$H$5,IF(CG1091="L23",Parameter!$H$6+Parameter!$H$7,Parameter!$H$5+Parameter!$H$6+Parameter!$H$7))-(BI1091-BD1091))/BD1091)))</f>
        <v>1</v>
      </c>
      <c r="BK1091" s="60" t="str">
        <f aca="false">IF(AJ1091&lt;=0,"",IF(CG1091="Aussen","Aussenlager",IF(CG1091="-","Nicht im Lift",IF(AP1091&gt;=1,"Lift",IF(AP1091&lt;=0,"Aussenlager","teilweise")))))</f>
        <v>Lift</v>
      </c>
      <c r="BL1091" s="60" t="str">
        <f aca="false">IF(AT1091&lt;=0,"",IF(CG1091="Aussen","Aussenlager",IF(CG1091="-","Nicht im Lift",IF(AZ1091&gt;=1,"Lift",IF(AZ1091&lt;=0,"Aussenlager","teilweise")))))</f>
        <v>Lift</v>
      </c>
      <c r="BM1091" s="60" t="str">
        <f aca="false">IF(BD1091&lt;=0,"",IF(CG1091="Aussen","Aussenlager",IF(CG1091="-","Nicht im Lift",IF(BJ1091&gt;=1,"Lift",IF(BJ1091&lt;=0,"Aussenlager","teilweise")))))</f>
        <v>Lift</v>
      </c>
      <c r="BN1091" s="60" t="str">
        <f aca="false">IF(A1091="","",IF(BW1091=1,"Neu; ","")&amp;IF(AND(BW1091=0,BR1091&lt;0),"negativer Bestand (Export "&amp;BR1091&amp;"); ","")&amp;IF(J1091&lt;=0,"Kein Verbrauch; ","")&amp;IF(CR1091&gt;0,"Lift "&amp;W1091&amp;" lt. Liftbericht (Fach "&amp;X1091&amp;" Stk); ",IF(CB1091=1,"Gebinde geschätzt ("&amp;T1091&amp;"); ",IF(CA1091=1,"Lose – Tablare geschätzt; ","")))&amp;IF(H1091&gt;AW1091,"Überbestand "&amp;ROUND(H1091-AW1091,0)&amp;" Stk / CHF "&amp;ROUND((H1091-AW1091)*G1091,0)&amp;"; ","")&amp;IF(AND(CI1091=1,CJ1091&lt;CK1091),"MAX &lt; MB+LG; ","")&amp;IF(AND(CQ1091&gt;0,CP1091*10&gt;CQ1091),"zu hoch für Tablar; ","")&amp;IF(AND(BW1091=0,OR(CI1091=1,AB1091&lt;&gt;"",U1091&lt;&gt;"",V1091&lt;&gt;"",AC1091&lt;&gt;"")),"manuell übersteuert; ","")&amp;IF(AND(CA1091=0,R1091=0),"Gebinde unbekannt / Stellmass fehlt; ","")&amp;IF(AND(CA1091=0,N(V1091)&lt;=0,N(Q1091)&lt;=0),"Menge pro Gebinde fehlt (Ist = 1 Gebinde); ","")&amp;BV1091)</f>
        <v>negativer Bestand (Export -31); Gebinde geschätzt (Klein); Überbestand 76 Stk / CHF 482; Menge pro Gebinde fehlt (Ist = 1 Gebinde); </v>
      </c>
      <c r="BO1091" s="60"/>
      <c r="BP1091" s="60"/>
      <c r="BQ1091" s="67"/>
      <c r="BR1091" s="62" t="n">
        <v>-31</v>
      </c>
      <c r="BS1091" s="62" t="n">
        <v>117</v>
      </c>
      <c r="BT1091" s="61" t="n">
        <v>-196.54</v>
      </c>
      <c r="BU1091" s="62" t="n">
        <v>12</v>
      </c>
      <c r="BV1091" s="60"/>
      <c r="BW1091" s="65" t="n">
        <v>0</v>
      </c>
      <c r="BX1091" s="65" t="n">
        <v>1091</v>
      </c>
      <c r="BY1091" s="60" t="str">
        <f aca="false">IF(U1091&lt;&gt;"",UPPER(TRIM(U1091)),IF(CB1091=1,UPPER(VLOOKUP(T1091,Parameter!$I$27:$K$29,2,0)),IF(P1091="","LOSE",P1091)))</f>
        <v>S51</v>
      </c>
      <c r="BZ1091" s="62" t="n">
        <f aca="false">IF(BY1091="LOSE",1,IF(N(V1091)&gt;0,V1091,IF(CB1091=1,MAX(1,N(VLOOKUP(T1091,Parameter!$I$27:$K$29,3,0)),H1091,N(N1091)),IF(N(Q1091)&gt;0,Q1091,MAX(1,H1091)))))</f>
        <v>86</v>
      </c>
      <c r="CA1091" s="65" t="n">
        <f aca="false">IF(BY1091="LOSE",1,0)</f>
        <v>0</v>
      </c>
      <c r="CB1091" s="65" t="n">
        <f aca="false">IF(AND(U1091="",OR(P1091="",P1091="LOSE"),T1091&lt;&gt;"",N(S1091)&lt;=0,ISNUMBER(MATCH(T1091,Parameter!$I$27:$I$29,0))),1,0)</f>
        <v>1</v>
      </c>
      <c r="CC1091" s="65" t="n">
        <f aca="false">IF(CR1091&gt;0,INDEX(Parameter!$H$5:$H$7,W1091)/INDEX(Parameter!$E$5:$E$7,W1091),IF(AND(CA1091=0,N(IFERROR(VLOOKUP(BY1091,'Gebinde-Kategorie'!$A$5:$N$45,14,0),0))&gt;0),VLOOKUP(BY1091,'Gebinde-Kategorie'!$A$5:$N$45,14,0)*10+Parameter!$M$23,Parameter!$M$24))</f>
        <v>155</v>
      </c>
      <c r="CD1091" s="60" t="str">
        <f aca="false">IF(AND(Parameter!$B$19="Ja",E1091&lt;&gt;"",ISNUMBER(MATCH(E1091,Parameter!$I$35:$I$52,0))),VLOOKUP(E1091,Parameter!$I$35:$J$52,2,0),IFERROR(VLOOKUP(D1091,Parameter!$A$35:$C$64,2,0),"Nein"))</f>
        <v>2+3</v>
      </c>
      <c r="CE1091" s="64" t="n">
        <f aca="false">IF(CA1091=0,0,IF(N(S1091)&gt;0,S1091,IFERROR(VLOOKUP(D1091,Parameter!$A$35:$C$64,3,0)+0,0)))</f>
        <v>0</v>
      </c>
      <c r="CF1091" s="60" t="n">
        <f aca="false">IF(AB1091&lt;&gt;"",AB1091,AA1091)</f>
        <v>3</v>
      </c>
      <c r="CG1091" s="60" t="str">
        <f aca="false">IF(OR(CF1091=1,CF1091=2,CF1091=3),IF(Parameter!$E$27="Ja","LIFT",IF(CF1091=1,"L1","L23")),IF(CF1091="Aussen","Aussen","-"))</f>
        <v>LIFT</v>
      </c>
      <c r="CH1091" s="71" t="n">
        <f aca="false">IF(N(AC1091)&gt;0,AC1091,0)</f>
        <v>0</v>
      </c>
      <c r="CI1091" s="65" t="n">
        <f aca="false">IF(ISNUMBER(AF1091),1,0)</f>
        <v>0</v>
      </c>
      <c r="CJ1091" s="62" t="n">
        <f aca="false">N(AF1091)</f>
        <v>0</v>
      </c>
      <c r="CK1091" s="62" t="n">
        <f aca="false">N(M1091)+N(N1091)</f>
        <v>10</v>
      </c>
      <c r="CL1091" s="62" t="n">
        <f aca="false">N(M1091)</f>
        <v>0</v>
      </c>
      <c r="CM1091" s="62" t="n">
        <f aca="false">N(N1091)</f>
        <v>10</v>
      </c>
      <c r="CN1091" s="62" t="n">
        <f aca="false">ROUNDUP(H1091/BZ1091,0)</f>
        <v>1</v>
      </c>
      <c r="CO1091" s="62" t="n">
        <f aca="false">ROUNDUP(CJ1091/BZ1091,0)</f>
        <v>0</v>
      </c>
      <c r="CP1091" s="65" t="n">
        <f aca="false">IF(CA1091=1,0,IFERROR(VLOOKUP(BY1091,'Gebinde-Kategorie'!$A$5:$N$45,5,0)+0,0))</f>
        <v>11</v>
      </c>
      <c r="CQ1091" s="65" t="n">
        <f aca="false">IFERROR(IF(OR(CF1091=1,CF1091=2,CF1091=3),N(INDEX(Parameter!$I$5:$I$7,CF1091)),0),0)</f>
        <v>0</v>
      </c>
      <c r="CR1091" s="64" t="n">
        <f aca="false">IF(AND(Parameter!$B$21="Ja",ISNUMBER(W1091),N(X1091)&gt;0),IFERROR(N(INDEX(Parameter!$L$5:$L$7,W1091))*INDEX(Parameter!$E$5:$E$7,W1091)*X1091/SUMIFS($X$7:$X$1843,$W$7:$W$1843,W1091),0),0)</f>
        <v>0</v>
      </c>
      <c r="CS1091" s="62" t="n">
        <f aca="false">IF(AND(OR(CG1091="L1",CG1091="L23",CG1091="LIFT"),H1091&gt;0),CC1091*IF(CR1091&gt;0,CR1091*MAX(1,H1091/X1091),IF(CA1091=1,CE1091,IF(R1091&gt;0,CN1091/R1091,0))/MAX(0.1,N(Parameter!$M$21))),"")</f>
        <v>5.96153846153846</v>
      </c>
      <c r="CT1091" s="64" t="n">
        <f aca="false">IF(CS1091="","",J1091/H1091)</f>
        <v>0.13953488372093</v>
      </c>
      <c r="CU1091" s="62" t="n">
        <f aca="false">IF(CS1091="","",H1091*G1091)</f>
        <v>545.24</v>
      </c>
      <c r="CV1091" s="63" t="n">
        <f aca="false">IF(CS1091="","",(CL1091+ROUNDUP(CL1091+MAX(CM1091,2*(J1091/MAX(0.1,N(Einkauf!$C$6))-CL1091)),0))/2)</f>
        <v>5</v>
      </c>
      <c r="CW1091" s="62" t="n">
        <f aca="false">IF(CS1091="","",MAX(0,H1091-CV1091)*G1091)</f>
        <v>513.54</v>
      </c>
      <c r="CX1091" s="62" t="n">
        <f aca="false">IF(CS1091="","",CS1091*MAX(0,1-CV1091/H1091))</f>
        <v>5.6149373881932</v>
      </c>
      <c r="CY1091" s="64" t="n">
        <f aca="false">IF(CS1091="","",PERCENTRANK($CS$7:$CS$1843,CS1091)+PERCENTRANK($CU$7:$CU$1843,CU1091)+1-PERCENTRANK($CT$7:$CT$1843,CT1091))</f>
        <v>1.441</v>
      </c>
      <c r="CZ1091" s="72" t="n">
        <f aca="false">IF(CS1091="","",CHOOSE(MATCH(Einkauf!$C$5,Parameter!$G$23:$G$27,0),CY1091,CS1091,CU1091,-CT1091,CW1091)+ROW()/1000000000)</f>
        <v>1.441001091</v>
      </c>
    </row>
    <row r="1092" customFormat="false" ht="15" hidden="false" customHeight="false" outlineLevel="0" collapsed="false">
      <c r="A1092" s="60" t="s">
        <v>2029</v>
      </c>
      <c r="B1092" s="60" t="s">
        <v>897</v>
      </c>
      <c r="C1092" s="60" t="s">
        <v>206</v>
      </c>
      <c r="D1092" s="60" t="s">
        <v>226</v>
      </c>
      <c r="E1092" s="60"/>
      <c r="F1092" s="60" t="s">
        <v>260</v>
      </c>
      <c r="G1092" s="61" t="n">
        <v>0.27</v>
      </c>
      <c r="H1092" s="62" t="n">
        <f aca="false">MAX(0,IF(AND(Parameter!$B$21="Ja",ISNUMBER(Y1092)),Y1092,IF(Parameter!$B$20="Jahresanfang 2025 + Export",BS1092+BR1092,BR1092)))</f>
        <v>0</v>
      </c>
      <c r="I1092" s="62" t="n">
        <f aca="false">H1092*G1092</f>
        <v>0</v>
      </c>
      <c r="J1092" s="62" t="n">
        <f aca="false">BU1092*Parameter!$B$18</f>
        <v>735</v>
      </c>
      <c r="K1092" s="63" t="n">
        <v>367.5</v>
      </c>
      <c r="L1092" s="64" t="n">
        <v>2</v>
      </c>
      <c r="M1092" s="62" t="n">
        <v>0</v>
      </c>
      <c r="N1092" s="62" t="n">
        <v>100</v>
      </c>
      <c r="O1092" s="65" t="n">
        <v>14</v>
      </c>
      <c r="P1092" s="60" t="s">
        <v>210</v>
      </c>
      <c r="Q1092" s="62"/>
      <c r="R1092" s="65" t="n">
        <f aca="false">IF(CA1092=1,0,IFERROR(VLOOKUP(BY1092,'Gebinde-Kategorie'!$A$5:$N$45,13,0)+0,0))</f>
        <v>26</v>
      </c>
      <c r="S1092" s="66"/>
      <c r="T1092" s="67" t="s">
        <v>317</v>
      </c>
      <c r="U1092" s="67"/>
      <c r="V1092" s="67"/>
      <c r="W1092" s="60"/>
      <c r="X1092" s="62"/>
      <c r="Y1092" s="62"/>
      <c r="Z1092" s="60" t="n">
        <v>3</v>
      </c>
      <c r="AA1092" s="60" t="n">
        <f aca="false">IF(A1092="","",IF(AND(Parameter!$B$21="Ja",ISNUMBER(W1092)),W1092,IF(AND(Parameter!$E$27="Ja",ISNUMBER(Z1092),CD1092&lt;&gt;"Nein"),Z1092,IF(CD1092="2+3",IF(ISNUMBER(SEARCH("grosser Artikel",BV1092)),2,IFERROR(VLOOKUP(BY1092,Parameter!$F$35:$G$64,2,0),2)),IF(OR(CD1092="Nein",CD1092=""),"-",CD1092)))))</f>
        <v>3</v>
      </c>
      <c r="AB1092" s="67"/>
      <c r="AC1092" s="68"/>
      <c r="AD1092" s="62" t="n">
        <f aca="false">AW1092</f>
        <v>490</v>
      </c>
      <c r="AE1092" s="62" t="n">
        <f aca="false">MAX(AW1092,H1092)</f>
        <v>490</v>
      </c>
      <c r="AF1092" s="69"/>
      <c r="AG1092" s="62" t="n">
        <f aca="false">IF(LEFT(Cockpit!$C$5,1)="A",H1092,IF(Parameter!$E$30="MAX-Bestand",IF(CI1092=1,CJ1092,IF(LEFT(Cockpit!$C$5,1)="B",AM1092,MAX(AM1092,H1092))),ROUNDUP(AK1092,0)))</f>
        <v>0</v>
      </c>
      <c r="AH1092" s="62" t="n">
        <f aca="false">IF(CA1092=1,0,ROUNDUP(AG1092/BZ1092,0))</f>
        <v>0</v>
      </c>
      <c r="AI1092" s="64" t="n">
        <f aca="false">IF(CR1092&gt;0,CR1092*MAX(1,AG1092/X1092),IF(CA1092=1,IF(AG1092&lt;=0,0,CE1092*MAX(1,IF(H1092&gt;0,AG1092/H1092,1))),IF(R1092&gt;0,AH1092/R1092,0))/MAX(0.1,N(Parameter!$M$21)))</f>
        <v>0</v>
      </c>
      <c r="AJ1092" s="62" t="n">
        <f aca="false">AI1092*CC1092</f>
        <v>0</v>
      </c>
      <c r="AK1092" s="63" t="n">
        <f aca="false">IF(LEFT(Cockpit!$C$5,1)="A",H1092,IF(CI1092=1,(CL1092+CJ1092)/2,IF(LEFT(Cockpit!$C$5,1)="B",(CL1092+AM1092)/2,MAX((CL1092+AM1092)/2,H1092))))</f>
        <v>0</v>
      </c>
      <c r="AL1092" s="62" t="n">
        <f aca="false">AK1092*G1092</f>
        <v>0</v>
      </c>
      <c r="AM1092" s="62" t="n">
        <f aca="false">ROUNDUP(CL1092+MAX(CM1092,2*(J1092/IF(CH1092&gt;0,CH1092,MAX(0.1,N(Cockpit!$C$6)))-CL1092)),0)</f>
        <v>490</v>
      </c>
      <c r="AN1092" s="63" t="n">
        <f aca="false">IF(AJ1092&gt;0,J1092/AJ1092,-1)</f>
        <v>-1</v>
      </c>
      <c r="AO1092" s="63" t="str">
        <f aca="false">IF(AND(OR(CG1092="L1",CG1092="L23",CG1092="LIFT"),AJ1092&gt;0),SUMIFS($AJ$7:$AJ$1843,$CG$7:$CG$1843,CG1092,$AN$7:$AN$1843,"&gt;"&amp;AN1092)+SUMIFS($AJ$7:$AJ$1843,$CG$7:$CG$1843,CG1092,$AN$7:$AN$1843,AN1092,$BX$7:$BX$1843,"&lt;="&amp;BX1092),"")</f>
        <v/>
      </c>
      <c r="AP1092" s="70" t="n">
        <f aca="false">IF(AO1092="",0,MAX(0,MIN(1,(IF(CG1092="L1",Parameter!$H$5,IF(CG1092="L23",Parameter!$H$6+Parameter!$H$7,Parameter!$H$5+Parameter!$H$6+Parameter!$H$7))-(AO1092-AJ1092))/AJ1092)))</f>
        <v>0</v>
      </c>
      <c r="AQ1092" s="62" t="n">
        <f aca="false">IF(LEFT(Cockpit!$I$5,1)="A",H1092,IF(Parameter!$E$30="MAX-Bestand",IF(CI1092=1,CJ1092,IF(LEFT(Cockpit!$I$5,1)="B",AW1092,MAX(AW1092,H1092))),ROUNDUP(AU1092,0)))</f>
        <v>245</v>
      </c>
      <c r="AR1092" s="62" t="n">
        <f aca="false">IF(CA1092=1,0,ROUNDUP(AQ1092/BZ1092,0))</f>
        <v>3</v>
      </c>
      <c r="AS1092" s="64" t="n">
        <f aca="false">IF(CR1092&gt;0,CR1092*MAX(1,AQ1092/X1092),IF(CA1092=1,IF(AQ1092&lt;=0,0,CE1092*MAX(1,IF(H1092&gt;0,AQ1092/H1092,1))),IF(R1092&gt;0,AR1092/R1092,0))/MAX(0.1,N(Parameter!$M$21)))</f>
        <v>0.115384615384615</v>
      </c>
      <c r="AT1092" s="62" t="n">
        <f aca="false">AS1092*CC1092</f>
        <v>17.8846153846154</v>
      </c>
      <c r="AU1092" s="63" t="n">
        <f aca="false">IF(LEFT(Cockpit!$I$5,1)="A",H1092,IF(CI1092=1,(CL1092+CJ1092)/2,IF(LEFT(Cockpit!$I$5,1)="B",(CL1092+AW1092)/2,MAX((CL1092+AW1092)/2,H1092))))</f>
        <v>245</v>
      </c>
      <c r="AV1092" s="62" t="n">
        <f aca="false">AU1092*G1092</f>
        <v>66.15</v>
      </c>
      <c r="AW1092" s="62" t="n">
        <f aca="false">ROUNDUP(CL1092+MAX(CM1092,2*(J1092/IF(CH1092&gt;0,CH1092,MAX(0.1,N(Cockpit!$I$6)))-CL1092)),0)</f>
        <v>490</v>
      </c>
      <c r="AX1092" s="63" t="n">
        <f aca="false">IF(AT1092&gt;0,J1092/AT1092,-1)</f>
        <v>41.0967741935484</v>
      </c>
      <c r="AY1092" s="63" t="n">
        <f aca="false">IF(AND(OR(CG1092="L1",CG1092="L23",CG1092="LIFT"),AT1092&gt;0),SUMIFS($AT$7:$AT$1843,$CG$7:$CG$1843,CG1092,$AX$7:$AX$1843,"&gt;"&amp;AX1092)+SUMIFS($AT$7:$AT$1843,$CG$7:$CG$1843,CG1092,$AX$7:$AX$1843,AX1092,$BX$7:$BX$1843,"&lt;="&amp;BX1092),"")</f>
        <v>1503.05173992674</v>
      </c>
      <c r="AZ1092" s="70" t="n">
        <f aca="false">IF(AY1092="",0,MAX(0,MIN(1,(IF(CG1092="L1",Parameter!$H$5,IF(CG1092="L23",Parameter!$H$6+Parameter!$H$7,Parameter!$H$5+Parameter!$H$6+Parameter!$H$7))-(AY1092-AT1092))/AT1092)))</f>
        <v>1</v>
      </c>
      <c r="BA1092" s="62" t="n">
        <f aca="false">IF(LEFT(Cockpit!$O$5,1)="A",H1092,IF(Parameter!$E$30="MAX-Bestand",IF(CI1092=1,CJ1092,IF(LEFT(Cockpit!$O$5,1)="B",BG1092,MAX(BG1092,H1092))),ROUNDUP(BE1092,0)))</f>
        <v>184</v>
      </c>
      <c r="BB1092" s="62" t="n">
        <f aca="false">IF(CA1092=1,0,ROUNDUP(BA1092/BZ1092,0))</f>
        <v>2</v>
      </c>
      <c r="BC1092" s="64" t="n">
        <f aca="false">IF(CR1092&gt;0,CR1092*MAX(1,BA1092/X1092),IF(CA1092=1,IF(BA1092&lt;=0,0,CE1092*MAX(1,IF(H1092&gt;0,BA1092/H1092,1))),IF(R1092&gt;0,BB1092/R1092,0))/MAX(0.1,N(Parameter!$M$21)))</f>
        <v>0.0769230769230769</v>
      </c>
      <c r="BD1092" s="62" t="n">
        <f aca="false">BC1092*CC1092</f>
        <v>11.9230769230769</v>
      </c>
      <c r="BE1092" s="63" t="n">
        <f aca="false">IF(LEFT(Cockpit!$O$5,1)="A",H1092,IF(CI1092=1,(CL1092+CJ1092)/2,IF(LEFT(Cockpit!$O$5,1)="B",(CL1092+BG1092)/2,MAX((CL1092+BG1092)/2,H1092))))</f>
        <v>184</v>
      </c>
      <c r="BF1092" s="62" t="n">
        <f aca="false">BE1092*G1092</f>
        <v>49.68</v>
      </c>
      <c r="BG1092" s="62" t="n">
        <f aca="false">ROUNDUP(CL1092+MAX(CM1092,2*(J1092/IF(CH1092&gt;0,CH1092,MAX(0.1,N(Cockpit!$O$6)))-CL1092)),0)</f>
        <v>368</v>
      </c>
      <c r="BH1092" s="63" t="n">
        <f aca="false">IF(BD1092&gt;0,J1092/BD1092,-1)</f>
        <v>61.6451612903226</v>
      </c>
      <c r="BI1092" s="63" t="n">
        <f aca="false">IF(AND(OR(CG1092="L1",CG1092="L23",CG1092="LIFT"),BD1092&gt;0),SUMIFS($BD$7:$BD$1843,$CG$7:$CG$1843,CG1092,$BH$7:$BH$1843,"&gt;"&amp;BH1092)+SUMIFS($BD$7:$BD$1843,$CG$7:$CG$1843,CG1092,$BH$7:$BH$1843,BH1092,$BX$7:$BX$1843,"&lt;="&amp;BX1092),"")</f>
        <v>1099.08882783883</v>
      </c>
      <c r="BJ1092" s="70" t="n">
        <f aca="false">IF(BI1092="",0,MAX(0,MIN(1,(IF(CG1092="L1",Parameter!$H$5,IF(CG1092="L23",Parameter!$H$6+Parameter!$H$7,Parameter!$H$5+Parameter!$H$6+Parameter!$H$7))-(BI1092-BD1092))/BD1092)))</f>
        <v>1</v>
      </c>
      <c r="BK1092" s="60" t="str">
        <f aca="false">IF(AJ1092&lt;=0,"",IF(CG1092="Aussen","Aussenlager",IF(CG1092="-","Nicht im Lift",IF(AP1092&gt;=1,"Lift",IF(AP1092&lt;=0,"Aussenlager","teilweise")))))</f>
        <v/>
      </c>
      <c r="BL1092" s="60" t="str">
        <f aca="false">IF(AT1092&lt;=0,"",IF(CG1092="Aussen","Aussenlager",IF(CG1092="-","Nicht im Lift",IF(AZ1092&gt;=1,"Lift",IF(AZ1092&lt;=0,"Aussenlager","teilweise")))))</f>
        <v>Lift</v>
      </c>
      <c r="BM1092" s="60" t="str">
        <f aca="false">IF(BD1092&lt;=0,"",IF(CG1092="Aussen","Aussenlager",IF(CG1092="-","Nicht im Lift",IF(BJ1092&gt;=1,"Lift",IF(BJ1092&lt;=0,"Aussenlager","teilweise")))))</f>
        <v>Lift</v>
      </c>
      <c r="BN1092" s="60" t="str">
        <f aca="false">IF(A1092="","",IF(BW1092=1,"Neu; ","")&amp;IF(AND(BW1092=0,BR1092&lt;0),"negativer Bestand (Export "&amp;BR1092&amp;"); ","")&amp;IF(J1092&lt;=0,"Kein Verbrauch; ","")&amp;IF(CR1092&gt;0,"Lift "&amp;W1092&amp;" lt. Liftbericht (Fach "&amp;X1092&amp;" Stk); ",IF(CB1092=1,"Gebinde geschätzt ("&amp;T1092&amp;"); ",IF(CA1092=1,"Lose – Tablare geschätzt; ","")))&amp;IF(H1092&gt;AW1092,"Überbestand "&amp;ROUND(H1092-AW1092,0)&amp;" Stk / CHF "&amp;ROUND((H1092-AW1092)*G1092,0)&amp;"; ","")&amp;IF(AND(CI1092=1,CJ1092&lt;CK1092),"MAX &lt; MB+LG; ","")&amp;IF(AND(CQ1092&gt;0,CP1092*10&gt;CQ1092),"zu hoch für Tablar; ","")&amp;IF(AND(BW1092=0,OR(CI1092=1,AB1092&lt;&gt;"",U1092&lt;&gt;"",V1092&lt;&gt;"",AC1092&lt;&gt;"")),"manuell übersteuert; ","")&amp;IF(AND(CA1092=0,R1092=0),"Gebinde unbekannt / Stellmass fehlt; ","")&amp;IF(AND(CA1092=0,N(V1092)&lt;=0,N(Q1092)&lt;=0),"Menge pro Gebinde fehlt (Ist = 1 Gebinde); ","")&amp;BV1092)</f>
        <v>negativer Bestand (Export -735); Gebinde geschätzt (Klein); Menge pro Gebinde fehlt (Ist = 1 Gebinde); </v>
      </c>
      <c r="BO1092" s="60"/>
      <c r="BP1092" s="60"/>
      <c r="BQ1092" s="67"/>
      <c r="BR1092" s="62" t="n">
        <v>-735</v>
      </c>
      <c r="BS1092" s="62" t="n">
        <v>735</v>
      </c>
      <c r="BT1092" s="61" t="n">
        <v>-198.45</v>
      </c>
      <c r="BU1092" s="62" t="n">
        <v>735</v>
      </c>
      <c r="BV1092" s="60"/>
      <c r="BW1092" s="65" t="n">
        <v>0</v>
      </c>
      <c r="BX1092" s="65" t="n">
        <v>1092</v>
      </c>
      <c r="BY1092" s="60" t="str">
        <f aca="false">IF(U1092&lt;&gt;"",UPPER(TRIM(U1092)),IF(CB1092=1,UPPER(VLOOKUP(T1092,Parameter!$I$27:$K$29,2,0)),IF(P1092="","LOSE",P1092)))</f>
        <v>S51</v>
      </c>
      <c r="BZ1092" s="62" t="n">
        <f aca="false">IF(BY1092="LOSE",1,IF(N(V1092)&gt;0,V1092,IF(CB1092=1,MAX(1,N(VLOOKUP(T1092,Parameter!$I$27:$K$29,3,0)),H1092,N(N1092)),IF(N(Q1092)&gt;0,Q1092,MAX(1,H1092)))))</f>
        <v>100</v>
      </c>
      <c r="CA1092" s="65" t="n">
        <f aca="false">IF(BY1092="LOSE",1,0)</f>
        <v>0</v>
      </c>
      <c r="CB1092" s="65" t="n">
        <f aca="false">IF(AND(U1092="",OR(P1092="",P1092="LOSE"),T1092&lt;&gt;"",N(S1092)&lt;=0,ISNUMBER(MATCH(T1092,Parameter!$I$27:$I$29,0))),1,0)</f>
        <v>1</v>
      </c>
      <c r="CC1092" s="65" t="n">
        <f aca="false">IF(CR1092&gt;0,INDEX(Parameter!$H$5:$H$7,W1092)/INDEX(Parameter!$E$5:$E$7,W1092),IF(AND(CA1092=0,N(IFERROR(VLOOKUP(BY1092,'Gebinde-Kategorie'!$A$5:$N$45,14,0),0))&gt;0),VLOOKUP(BY1092,'Gebinde-Kategorie'!$A$5:$N$45,14,0)*10+Parameter!$M$23,Parameter!$M$24))</f>
        <v>155</v>
      </c>
      <c r="CD1092" s="60" t="str">
        <f aca="false">IF(AND(Parameter!$B$19="Ja",E1092&lt;&gt;"",ISNUMBER(MATCH(E1092,Parameter!$I$35:$I$52,0))),VLOOKUP(E1092,Parameter!$I$35:$J$52,2,0),IFERROR(VLOOKUP(D1092,Parameter!$A$35:$C$64,2,0),"Nein"))</f>
        <v>2+3</v>
      </c>
      <c r="CE1092" s="64" t="n">
        <f aca="false">IF(CA1092=0,0,IF(N(S1092)&gt;0,S1092,IFERROR(VLOOKUP(D1092,Parameter!$A$35:$C$64,3,0)+0,0)))</f>
        <v>0</v>
      </c>
      <c r="CF1092" s="60" t="n">
        <f aca="false">IF(AB1092&lt;&gt;"",AB1092,AA1092)</f>
        <v>3</v>
      </c>
      <c r="CG1092" s="60" t="str">
        <f aca="false">IF(OR(CF1092=1,CF1092=2,CF1092=3),IF(Parameter!$E$27="Ja","LIFT",IF(CF1092=1,"L1","L23")),IF(CF1092="Aussen","Aussen","-"))</f>
        <v>LIFT</v>
      </c>
      <c r="CH1092" s="71" t="n">
        <f aca="false">IF(N(AC1092)&gt;0,AC1092,0)</f>
        <v>0</v>
      </c>
      <c r="CI1092" s="65" t="n">
        <f aca="false">IF(ISNUMBER(AF1092),1,0)</f>
        <v>0</v>
      </c>
      <c r="CJ1092" s="62" t="n">
        <f aca="false">N(AF1092)</f>
        <v>0</v>
      </c>
      <c r="CK1092" s="62" t="n">
        <f aca="false">N(M1092)+N(N1092)</f>
        <v>100</v>
      </c>
      <c r="CL1092" s="62" t="n">
        <f aca="false">N(M1092)</f>
        <v>0</v>
      </c>
      <c r="CM1092" s="62" t="n">
        <f aca="false">N(N1092)</f>
        <v>100</v>
      </c>
      <c r="CN1092" s="62" t="n">
        <f aca="false">ROUNDUP(H1092/BZ1092,0)</f>
        <v>0</v>
      </c>
      <c r="CO1092" s="62" t="n">
        <f aca="false">ROUNDUP(CJ1092/BZ1092,0)</f>
        <v>0</v>
      </c>
      <c r="CP1092" s="65" t="n">
        <f aca="false">IF(CA1092=1,0,IFERROR(VLOOKUP(BY1092,'Gebinde-Kategorie'!$A$5:$N$45,5,0)+0,0))</f>
        <v>11</v>
      </c>
      <c r="CQ1092" s="65" t="n">
        <f aca="false">IFERROR(IF(OR(CF1092=1,CF1092=2,CF1092=3),N(INDEX(Parameter!$I$5:$I$7,CF1092)),0),0)</f>
        <v>0</v>
      </c>
      <c r="CR1092" s="64" t="n">
        <f aca="false">IF(AND(Parameter!$B$21="Ja",ISNUMBER(W1092),N(X1092)&gt;0),IFERROR(N(INDEX(Parameter!$L$5:$L$7,W1092))*INDEX(Parameter!$E$5:$E$7,W1092)*X1092/SUMIFS($X$7:$X$1843,$W$7:$W$1843,W1092),0),0)</f>
        <v>0</v>
      </c>
      <c r="CS1092" s="62" t="str">
        <f aca="false">IF(AND(OR(CG1092="L1",CG1092="L23",CG1092="LIFT"),H1092&gt;0),CC1092*IF(CR1092&gt;0,CR1092*MAX(1,H1092/X1092),IF(CA1092=1,CE1092,IF(R1092&gt;0,CN1092/R1092,0))/MAX(0.1,N(Parameter!$M$21))),"")</f>
        <v/>
      </c>
      <c r="CT1092" s="64" t="str">
        <f aca="false">IF(CS1092="","",J1092/H1092)</f>
        <v/>
      </c>
      <c r="CU1092" s="62" t="str">
        <f aca="false">IF(CS1092="","",H1092*G1092)</f>
        <v/>
      </c>
      <c r="CV1092" s="63" t="str">
        <f aca="false">IF(CS1092="","",(CL1092+ROUNDUP(CL1092+MAX(CM1092,2*(J1092/MAX(0.1,N(Einkauf!$C$6))-CL1092)),0))/2)</f>
        <v/>
      </c>
      <c r="CW1092" s="62" t="str">
        <f aca="false">IF(CS1092="","",MAX(0,H1092-CV1092)*G1092)</f>
        <v/>
      </c>
      <c r="CX1092" s="62" t="str">
        <f aca="false">IF(CS1092="","",CS1092*MAX(0,1-CV1092/H1092))</f>
        <v/>
      </c>
      <c r="CY1092" s="64" t="str">
        <f aca="false">IF(CS1092="","",PERCENTRANK($CS$7:$CS$1843,CS1092)+PERCENTRANK($CU$7:$CU$1843,CU1092)+1-PERCENTRANK($CT$7:$CT$1843,CT1092))</f>
        <v/>
      </c>
      <c r="CZ1092" s="72" t="str">
        <f aca="false">IF(CS1092="","",CHOOSE(MATCH(Einkauf!$C$5,Parameter!$G$23:$G$27,0),CY1092,CS1092,CU1092,-CT1092,CW1092)+ROW()/1000000000)</f>
        <v/>
      </c>
    </row>
    <row r="1093" customFormat="false" ht="15" hidden="false" customHeight="false" outlineLevel="0" collapsed="false">
      <c r="A1093" s="60" t="s">
        <v>2030</v>
      </c>
      <c r="B1093" s="60" t="s">
        <v>2031</v>
      </c>
      <c r="C1093" s="60" t="s">
        <v>206</v>
      </c>
      <c r="D1093" s="60" t="s">
        <v>226</v>
      </c>
      <c r="E1093" s="60" t="s">
        <v>227</v>
      </c>
      <c r="F1093" s="60" t="s">
        <v>260</v>
      </c>
      <c r="G1093" s="61" t="n">
        <v>74.34</v>
      </c>
      <c r="H1093" s="62" t="n">
        <f aca="false">MAX(0,IF(AND(Parameter!$B$21="Ja",ISNUMBER(Y1093)),Y1093,IF(Parameter!$B$20="Jahresanfang 2025 + Export",BS1093+BR1093,BR1093)))</f>
        <v>4</v>
      </c>
      <c r="I1093" s="62" t="n">
        <f aca="false">H1093*G1093</f>
        <v>297.36</v>
      </c>
      <c r="J1093" s="62" t="n">
        <f aca="false">BU1093*Parameter!$B$18</f>
        <v>4</v>
      </c>
      <c r="K1093" s="63" t="n">
        <v>5</v>
      </c>
      <c r="L1093" s="64" t="n">
        <v>0.8</v>
      </c>
      <c r="M1093" s="62" t="n">
        <v>0</v>
      </c>
      <c r="N1093" s="62" t="n">
        <v>5</v>
      </c>
      <c r="O1093" s="65" t="n">
        <v>21</v>
      </c>
      <c r="P1093" s="60" t="s">
        <v>463</v>
      </c>
      <c r="Q1093" s="62" t="n">
        <v>4</v>
      </c>
      <c r="R1093" s="65" t="n">
        <f aca="false">IF(CA1093=1,0,IFERROR(VLOOKUP(BY1093,'Gebinde-Kategorie'!$A$5:$N$45,13,0)+0,0))</f>
        <v>104</v>
      </c>
      <c r="S1093" s="66"/>
      <c r="T1093" s="67"/>
      <c r="U1093" s="67"/>
      <c r="V1093" s="67"/>
      <c r="W1093" s="60"/>
      <c r="X1093" s="62"/>
      <c r="Y1093" s="62"/>
      <c r="Z1093" s="60" t="n">
        <v>1</v>
      </c>
      <c r="AA1093" s="60" t="n">
        <f aca="false">IF(A1093="","",IF(AND(Parameter!$B$21="Ja",ISNUMBER(W1093)),W1093,IF(AND(Parameter!$E$27="Ja",ISNUMBER(Z1093),CD1093&lt;&gt;"Nein"),Z1093,IF(CD1093="2+3",IF(ISNUMBER(SEARCH("grosser Artikel",BV1093)),2,IFERROR(VLOOKUP(BY1093,Parameter!$F$35:$G$64,2,0),2)),IF(OR(CD1093="Nein",CD1093=""),"-",CD1093)))))</f>
        <v>1</v>
      </c>
      <c r="AB1093" s="67"/>
      <c r="AC1093" s="68"/>
      <c r="AD1093" s="62" t="n">
        <f aca="false">AW1093</f>
        <v>5</v>
      </c>
      <c r="AE1093" s="62" t="n">
        <f aca="false">MAX(AW1093,H1093)</f>
        <v>5</v>
      </c>
      <c r="AF1093" s="69"/>
      <c r="AG1093" s="62" t="n">
        <f aca="false">IF(LEFT(Cockpit!$C$5,1)="A",H1093,IF(Parameter!$E$30="MAX-Bestand",IF(CI1093=1,CJ1093,IF(LEFT(Cockpit!$C$5,1)="B",AM1093,MAX(AM1093,H1093))),ROUNDUP(AK1093,0)))</f>
        <v>4</v>
      </c>
      <c r="AH1093" s="62" t="n">
        <f aca="false">IF(CA1093=1,0,ROUNDUP(AG1093/BZ1093,0))</f>
        <v>1</v>
      </c>
      <c r="AI1093" s="64" t="n">
        <f aca="false">IF(CR1093&gt;0,CR1093*MAX(1,AG1093/X1093),IF(CA1093=1,IF(AG1093&lt;=0,0,CE1093*MAX(1,IF(H1093&gt;0,AG1093/H1093,1))),IF(R1093&gt;0,AH1093/R1093,0))/MAX(0.1,N(Parameter!$M$21)))</f>
        <v>0.00961538461538462</v>
      </c>
      <c r="AJ1093" s="62" t="n">
        <f aca="false">AI1093*CC1093</f>
        <v>1.49038461538462</v>
      </c>
      <c r="AK1093" s="63" t="n">
        <f aca="false">IF(LEFT(Cockpit!$C$5,1)="A",H1093,IF(CI1093=1,(CL1093+CJ1093)/2,IF(LEFT(Cockpit!$C$5,1)="B",(CL1093+AM1093)/2,MAX((CL1093+AM1093)/2,H1093))))</f>
        <v>4</v>
      </c>
      <c r="AL1093" s="62" t="n">
        <f aca="false">AK1093*G1093</f>
        <v>297.36</v>
      </c>
      <c r="AM1093" s="62" t="n">
        <f aca="false">ROUNDUP(CL1093+MAX(CM1093,2*(J1093/IF(CH1093&gt;0,CH1093,MAX(0.1,N(Cockpit!$C$6)))-CL1093)),0)</f>
        <v>5</v>
      </c>
      <c r="AN1093" s="63" t="n">
        <f aca="false">IF(AJ1093&gt;0,J1093/AJ1093,-1)</f>
        <v>2.68387096774194</v>
      </c>
      <c r="AO1093" s="63" t="n">
        <f aca="false">IF(AND(OR(CG1093="L1",CG1093="L23",CG1093="LIFT"),AJ1093&gt;0),SUMIFS($AJ$7:$AJ$1843,$CG$7:$CG$1843,CG1093,$AN$7:$AN$1843,"&gt;"&amp;AN1093)+SUMIFS($AJ$7:$AJ$1843,$CG$7:$CG$1843,CG1093,$AN$7:$AN$1843,AN1093,$BX$7:$BX$1843,"&lt;="&amp;BX1093),"")</f>
        <v>5342.83287545788</v>
      </c>
      <c r="AP1093" s="70" t="n">
        <f aca="false">IF(AO1093="",0,MAX(0,MIN(1,(IF(CG1093="L1",Parameter!$H$5,IF(CG1093="L23",Parameter!$H$6+Parameter!$H$7,Parameter!$H$5+Parameter!$H$6+Parameter!$H$7))-(AO1093-AJ1093))/AJ1093)))</f>
        <v>1</v>
      </c>
      <c r="AQ1093" s="62" t="n">
        <f aca="false">IF(LEFT(Cockpit!$I$5,1)="A",H1093,IF(Parameter!$E$30="MAX-Bestand",IF(CI1093=1,CJ1093,IF(LEFT(Cockpit!$I$5,1)="B",AW1093,MAX(AW1093,H1093))),ROUNDUP(AU1093,0)))</f>
        <v>4</v>
      </c>
      <c r="AR1093" s="62" t="n">
        <f aca="false">IF(CA1093=1,0,ROUNDUP(AQ1093/BZ1093,0))</f>
        <v>1</v>
      </c>
      <c r="AS1093" s="64" t="n">
        <f aca="false">IF(CR1093&gt;0,CR1093*MAX(1,AQ1093/X1093),IF(CA1093=1,IF(AQ1093&lt;=0,0,CE1093*MAX(1,IF(H1093&gt;0,AQ1093/H1093,1))),IF(R1093&gt;0,AR1093/R1093,0))/MAX(0.1,N(Parameter!$M$21)))</f>
        <v>0.00961538461538462</v>
      </c>
      <c r="AT1093" s="62" t="n">
        <f aca="false">AS1093*CC1093</f>
        <v>1.49038461538462</v>
      </c>
      <c r="AU1093" s="63" t="n">
        <f aca="false">IF(LEFT(Cockpit!$I$5,1)="A",H1093,IF(CI1093=1,(CL1093+CJ1093)/2,IF(LEFT(Cockpit!$I$5,1)="B",(CL1093+AW1093)/2,MAX((CL1093+AW1093)/2,H1093))))</f>
        <v>4</v>
      </c>
      <c r="AV1093" s="62" t="n">
        <f aca="false">AU1093*G1093</f>
        <v>297.36</v>
      </c>
      <c r="AW1093" s="62" t="n">
        <f aca="false">ROUNDUP(CL1093+MAX(CM1093,2*(J1093/IF(CH1093&gt;0,CH1093,MAX(0.1,N(Cockpit!$I$6)))-CL1093)),0)</f>
        <v>5</v>
      </c>
      <c r="AX1093" s="63" t="n">
        <f aca="false">IF(AT1093&gt;0,J1093/AT1093,-1)</f>
        <v>2.68387096774194</v>
      </c>
      <c r="AY1093" s="63" t="n">
        <f aca="false">IF(AND(OR(CG1093="L1",CG1093="L23",CG1093="LIFT"),AT1093&gt;0),SUMIFS($AT$7:$AT$1843,$CG$7:$CG$1843,CG1093,$AX$7:$AX$1843,"&gt;"&amp;AX1093)+SUMIFS($AT$7:$AT$1843,$CG$7:$CG$1843,CG1093,$AX$7:$AX$1843,AX1093,$BX$7:$BX$1843,"&lt;="&amp;BX1093),"")</f>
        <v>6177.3108974359</v>
      </c>
      <c r="AZ1093" s="70" t="n">
        <f aca="false">IF(AY1093="",0,MAX(0,MIN(1,(IF(CG1093="L1",Parameter!$H$5,IF(CG1093="L23",Parameter!$H$6+Parameter!$H$7,Parameter!$H$5+Parameter!$H$6+Parameter!$H$7))-(AY1093-AT1093))/AT1093)))</f>
        <v>1</v>
      </c>
      <c r="BA1093" s="62" t="n">
        <f aca="false">IF(LEFT(Cockpit!$O$5,1)="A",H1093,IF(Parameter!$E$30="MAX-Bestand",IF(CI1093=1,CJ1093,IF(LEFT(Cockpit!$O$5,1)="B",BG1093,MAX(BG1093,H1093))),ROUNDUP(BE1093,0)))</f>
        <v>3</v>
      </c>
      <c r="BB1093" s="62" t="n">
        <f aca="false">IF(CA1093=1,0,ROUNDUP(BA1093/BZ1093,0))</f>
        <v>1</v>
      </c>
      <c r="BC1093" s="64" t="n">
        <f aca="false">IF(CR1093&gt;0,CR1093*MAX(1,BA1093/X1093),IF(CA1093=1,IF(BA1093&lt;=0,0,CE1093*MAX(1,IF(H1093&gt;0,BA1093/H1093,1))),IF(R1093&gt;0,BB1093/R1093,0))/MAX(0.1,N(Parameter!$M$21)))</f>
        <v>0.00961538461538462</v>
      </c>
      <c r="BD1093" s="62" t="n">
        <f aca="false">BC1093*CC1093</f>
        <v>1.49038461538462</v>
      </c>
      <c r="BE1093" s="63" t="n">
        <f aca="false">IF(LEFT(Cockpit!$O$5,1)="A",H1093,IF(CI1093=1,(CL1093+CJ1093)/2,IF(LEFT(Cockpit!$O$5,1)="B",(CL1093+BG1093)/2,MAX((CL1093+BG1093)/2,H1093))))</f>
        <v>2.5</v>
      </c>
      <c r="BF1093" s="62" t="n">
        <f aca="false">BE1093*G1093</f>
        <v>185.85</v>
      </c>
      <c r="BG1093" s="62" t="n">
        <f aca="false">ROUNDUP(CL1093+MAX(CM1093,2*(J1093/IF(CH1093&gt;0,CH1093,MAX(0.1,N(Cockpit!$O$6)))-CL1093)),0)</f>
        <v>5</v>
      </c>
      <c r="BH1093" s="63" t="n">
        <f aca="false">IF(BD1093&gt;0,J1093/BD1093,-1)</f>
        <v>2.68387096774194</v>
      </c>
      <c r="BI1093" s="63" t="n">
        <f aca="false">IF(AND(OR(CG1093="L1",CG1093="L23",CG1093="LIFT"),BD1093&gt;0),SUMIFS($BD$7:$BD$1843,$CG$7:$CG$1843,CG1093,$BH$7:$BH$1843,"&gt;"&amp;BH1093)+SUMIFS($BD$7:$BD$1843,$CG$7:$CG$1843,CG1093,$BH$7:$BH$1843,BH1093,$BX$7:$BX$1843,"&lt;="&amp;BX1093),"")</f>
        <v>5355.36538461538</v>
      </c>
      <c r="BJ1093" s="70" t="n">
        <f aca="false">IF(BI1093="",0,MAX(0,MIN(1,(IF(CG1093="L1",Parameter!$H$5,IF(CG1093="L23",Parameter!$H$6+Parameter!$H$7,Parameter!$H$5+Parameter!$H$6+Parameter!$H$7))-(BI1093-BD1093))/BD1093)))</f>
        <v>1</v>
      </c>
      <c r="BK1093" s="60" t="str">
        <f aca="false">IF(AJ1093&lt;=0,"",IF(CG1093="Aussen","Aussenlager",IF(CG1093="-","Nicht im Lift",IF(AP1093&gt;=1,"Lift",IF(AP1093&lt;=0,"Aussenlager","teilweise")))))</f>
        <v>Lift</v>
      </c>
      <c r="BL1093" s="60" t="str">
        <f aca="false">IF(AT1093&lt;=0,"",IF(CG1093="Aussen","Aussenlager",IF(CG1093="-","Nicht im Lift",IF(AZ1093&gt;=1,"Lift",IF(AZ1093&lt;=0,"Aussenlager","teilweise")))))</f>
        <v>Lift</v>
      </c>
      <c r="BM1093" s="60" t="str">
        <f aca="false">IF(BD1093&lt;=0,"",IF(CG1093="Aussen","Aussenlager",IF(CG1093="-","Nicht im Lift",IF(BJ1093&gt;=1,"Lift",IF(BJ1093&lt;=0,"Aussenlager","teilweise")))))</f>
        <v>Lift</v>
      </c>
      <c r="BN1093" s="60" t="str">
        <f aca="false">IF(A1093="","",IF(BW1093=1,"Neu; ","")&amp;IF(AND(BW1093=0,BR1093&lt;0),"negativer Bestand (Export "&amp;BR1093&amp;"); ","")&amp;IF(J1093&lt;=0,"Kein Verbrauch; ","")&amp;IF(CR1093&gt;0,"Lift "&amp;W1093&amp;" lt. Liftbericht (Fach "&amp;X1093&amp;" Stk); ",IF(CB1093=1,"Gebinde geschätzt ("&amp;T1093&amp;"); ",IF(CA1093=1,"Lose – Tablare geschätzt; ","")))&amp;IF(H1093&gt;AW1093,"Überbestand "&amp;ROUND(H1093-AW1093,0)&amp;" Stk / CHF "&amp;ROUND((H1093-AW1093)*G1093,0)&amp;"; ","")&amp;IF(AND(CI1093=1,CJ1093&lt;CK1093),"MAX &lt; MB+LG; ","")&amp;IF(AND(CQ1093&gt;0,CP1093*10&gt;CQ1093),"zu hoch für Tablar; ","")&amp;IF(AND(BW1093=0,OR(CI1093=1,AB1093&lt;&gt;"",U1093&lt;&gt;"",V1093&lt;&gt;"",AC1093&lt;&gt;"")),"manuell übersteuert; ","")&amp;IF(AND(CA1093=0,R1093=0),"Gebinde unbekannt / Stellmass fehlt; ","")&amp;IF(AND(CA1093=0,N(V1093)&lt;=0,N(Q1093)&lt;=0),"Menge pro Gebinde fehlt (Ist = 1 Gebinde); ","")&amp;BV1093)</f>
        <v>negativer Bestand (Export -3); Neu</v>
      </c>
      <c r="BO1093" s="60"/>
      <c r="BP1093" s="60"/>
      <c r="BQ1093" s="67"/>
      <c r="BR1093" s="62" t="n">
        <v>-3</v>
      </c>
      <c r="BS1093" s="62" t="n">
        <v>7</v>
      </c>
      <c r="BT1093" s="61" t="n">
        <v>-199.43</v>
      </c>
      <c r="BU1093" s="62" t="n">
        <v>4</v>
      </c>
      <c r="BV1093" s="60" t="s">
        <v>668</v>
      </c>
      <c r="BW1093" s="65" t="n">
        <v>0</v>
      </c>
      <c r="BX1093" s="65" t="n">
        <v>1093</v>
      </c>
      <c r="BY1093" s="60" t="str">
        <f aca="false">IF(U1093&lt;&gt;"",UPPER(TRIM(U1093)),IF(CB1093=1,UPPER(VLOOKUP(T1093,Parameter!$I$27:$K$29,2,0)),IF(P1093="","LOSE",P1093)))</f>
        <v>S32</v>
      </c>
      <c r="BZ1093" s="62" t="n">
        <f aca="false">IF(BY1093="LOSE",1,IF(N(V1093)&gt;0,V1093,IF(CB1093=1,MAX(1,N(VLOOKUP(T1093,Parameter!$I$27:$K$29,3,0)),H1093,N(N1093)),IF(N(Q1093)&gt;0,Q1093,MAX(1,H1093)))))</f>
        <v>4</v>
      </c>
      <c r="CA1093" s="65" t="n">
        <f aca="false">IF(BY1093="LOSE",1,0)</f>
        <v>0</v>
      </c>
      <c r="CB1093" s="65" t="n">
        <f aca="false">IF(AND(U1093="",OR(P1093="",P1093="LOSE"),T1093&lt;&gt;"",N(S1093)&lt;=0,ISNUMBER(MATCH(T1093,Parameter!$I$27:$I$29,0))),1,0)</f>
        <v>0</v>
      </c>
      <c r="CC1093" s="65" t="n">
        <f aca="false">IF(CR1093&gt;0,INDEX(Parameter!$H$5:$H$7,W1093)/INDEX(Parameter!$E$5:$E$7,W1093),IF(AND(CA1093=0,N(IFERROR(VLOOKUP(BY1093,'Gebinde-Kategorie'!$A$5:$N$45,14,0),0))&gt;0),VLOOKUP(BY1093,'Gebinde-Kategorie'!$A$5:$N$45,14,0)*10+Parameter!$M$23,Parameter!$M$24))</f>
        <v>155</v>
      </c>
      <c r="CD1093" s="60" t="str">
        <f aca="false">IF(AND(Parameter!$B$19="Ja",E1093&lt;&gt;"",ISNUMBER(MATCH(E1093,Parameter!$I$35:$I$52,0))),VLOOKUP(E1093,Parameter!$I$35:$J$52,2,0),IFERROR(VLOOKUP(D1093,Parameter!$A$35:$C$64,2,0),"Nein"))</f>
        <v>2+3</v>
      </c>
      <c r="CE1093" s="64" t="n">
        <f aca="false">IF(CA1093=0,0,IF(N(S1093)&gt;0,S1093,IFERROR(VLOOKUP(D1093,Parameter!$A$35:$C$64,3,0)+0,0)))</f>
        <v>0</v>
      </c>
      <c r="CF1093" s="60" t="n">
        <f aca="false">IF(AB1093&lt;&gt;"",AB1093,AA1093)</f>
        <v>1</v>
      </c>
      <c r="CG1093" s="60" t="str">
        <f aca="false">IF(OR(CF1093=1,CF1093=2,CF1093=3),IF(Parameter!$E$27="Ja","LIFT",IF(CF1093=1,"L1","L23")),IF(CF1093="Aussen","Aussen","-"))</f>
        <v>LIFT</v>
      </c>
      <c r="CH1093" s="71" t="n">
        <f aca="false">IF(N(AC1093)&gt;0,AC1093,0)</f>
        <v>0</v>
      </c>
      <c r="CI1093" s="65" t="n">
        <f aca="false">IF(ISNUMBER(AF1093),1,0)</f>
        <v>0</v>
      </c>
      <c r="CJ1093" s="62" t="n">
        <f aca="false">N(AF1093)</f>
        <v>0</v>
      </c>
      <c r="CK1093" s="62" t="n">
        <f aca="false">N(M1093)+N(N1093)</f>
        <v>5</v>
      </c>
      <c r="CL1093" s="62" t="n">
        <f aca="false">N(M1093)</f>
        <v>0</v>
      </c>
      <c r="CM1093" s="62" t="n">
        <f aca="false">N(N1093)</f>
        <v>5</v>
      </c>
      <c r="CN1093" s="62" t="n">
        <f aca="false">ROUNDUP(H1093/BZ1093,0)</f>
        <v>1</v>
      </c>
      <c r="CO1093" s="62" t="n">
        <f aca="false">ROUNDUP(CJ1093/BZ1093,0)</f>
        <v>0</v>
      </c>
      <c r="CP1093" s="65" t="n">
        <f aca="false">IF(CA1093=1,0,IFERROR(VLOOKUP(BY1093,'Gebinde-Kategorie'!$A$5:$N$45,5,0)+0,0))</f>
        <v>8</v>
      </c>
      <c r="CQ1093" s="65" t="n">
        <f aca="false">IFERROR(IF(OR(CF1093=1,CF1093=2,CF1093=3),N(INDEX(Parameter!$I$5:$I$7,CF1093)),0),0)</f>
        <v>0</v>
      </c>
      <c r="CR1093" s="64" t="n">
        <f aca="false">IF(AND(Parameter!$B$21="Ja",ISNUMBER(W1093),N(X1093)&gt;0),IFERROR(N(INDEX(Parameter!$L$5:$L$7,W1093))*INDEX(Parameter!$E$5:$E$7,W1093)*X1093/SUMIFS($X$7:$X$1843,$W$7:$W$1843,W1093),0),0)</f>
        <v>0</v>
      </c>
      <c r="CS1093" s="62" t="n">
        <f aca="false">IF(AND(OR(CG1093="L1",CG1093="L23",CG1093="LIFT"),H1093&gt;0),CC1093*IF(CR1093&gt;0,CR1093*MAX(1,H1093/X1093),IF(CA1093=1,CE1093,IF(R1093&gt;0,CN1093/R1093,0))/MAX(0.1,N(Parameter!$M$21))),"")</f>
        <v>1.49038461538462</v>
      </c>
      <c r="CT1093" s="64" t="n">
        <f aca="false">IF(CS1093="","",J1093/H1093)</f>
        <v>1</v>
      </c>
      <c r="CU1093" s="62" t="n">
        <f aca="false">IF(CS1093="","",H1093*G1093)</f>
        <v>297.36</v>
      </c>
      <c r="CV1093" s="63" t="n">
        <f aca="false">IF(CS1093="","",(CL1093+ROUNDUP(CL1093+MAX(CM1093,2*(J1093/MAX(0.1,N(Einkauf!$C$6))-CL1093)),0))/2)</f>
        <v>2.5</v>
      </c>
      <c r="CW1093" s="62" t="n">
        <f aca="false">IF(CS1093="","",MAX(0,H1093-CV1093)*G1093)</f>
        <v>111.51</v>
      </c>
      <c r="CX1093" s="62" t="n">
        <f aca="false">IF(CS1093="","",CS1093*MAX(0,1-CV1093/H1093))</f>
        <v>0.558894230769231</v>
      </c>
      <c r="CY1093" s="64" t="n">
        <f aca="false">IF(CS1093="","",PERCENTRANK($CS$7:$CS$1843,CS1093)+PERCENTRANK($CU$7:$CU$1843,CU1093)+1-PERCENTRANK($CT$7:$CT$1843,CT1093))</f>
        <v>0.899</v>
      </c>
      <c r="CZ1093" s="72" t="n">
        <f aca="false">IF(CS1093="","",CHOOSE(MATCH(Einkauf!$C$5,Parameter!$G$23:$G$27,0),CY1093,CS1093,CU1093,-CT1093,CW1093)+ROW()/1000000000)</f>
        <v>0.899001093</v>
      </c>
    </row>
    <row r="1094" customFormat="false" ht="15" hidden="false" customHeight="false" outlineLevel="0" collapsed="false">
      <c r="A1094" s="60" t="s">
        <v>2032</v>
      </c>
      <c r="B1094" s="60" t="s">
        <v>2033</v>
      </c>
      <c r="C1094" s="60" t="s">
        <v>206</v>
      </c>
      <c r="D1094" s="60" t="s">
        <v>226</v>
      </c>
      <c r="E1094" s="60" t="s">
        <v>227</v>
      </c>
      <c r="F1094" s="60" t="s">
        <v>260</v>
      </c>
      <c r="G1094" s="61" t="n">
        <v>17.26</v>
      </c>
      <c r="H1094" s="62" t="n">
        <f aca="false">MAX(0,IF(AND(Parameter!$B$21="Ja",ISNUMBER(Y1094)),Y1094,IF(Parameter!$B$20="Jahresanfang 2025 + Export",BS1094+BR1094,BR1094)))</f>
        <v>12</v>
      </c>
      <c r="I1094" s="62" t="n">
        <f aca="false">H1094*G1094</f>
        <v>207.12</v>
      </c>
      <c r="J1094" s="62" t="n">
        <f aca="false">BU1094*Parameter!$B$18</f>
        <v>33</v>
      </c>
      <c r="K1094" s="63" t="n">
        <v>33</v>
      </c>
      <c r="L1094" s="64" t="n">
        <v>1</v>
      </c>
      <c r="M1094" s="62" t="n">
        <v>2</v>
      </c>
      <c r="N1094" s="62" t="n">
        <v>35</v>
      </c>
      <c r="O1094" s="65" t="n">
        <v>21</v>
      </c>
      <c r="P1094" s="60" t="s">
        <v>344</v>
      </c>
      <c r="Q1094" s="62" t="n">
        <v>48</v>
      </c>
      <c r="R1094" s="65" t="n">
        <f aca="false">IF(CA1094=1,0,IFERROR(VLOOKUP(BY1094,'Gebinde-Kategorie'!$A$5:$N$45,13,0)+0,0))</f>
        <v>26</v>
      </c>
      <c r="S1094" s="66"/>
      <c r="T1094" s="67"/>
      <c r="U1094" s="67"/>
      <c r="V1094" s="67"/>
      <c r="W1094" s="60"/>
      <c r="X1094" s="62"/>
      <c r="Y1094" s="62"/>
      <c r="Z1094" s="60" t="n">
        <v>3</v>
      </c>
      <c r="AA1094" s="60" t="n">
        <f aca="false">IF(A1094="","",IF(AND(Parameter!$B$21="Ja",ISNUMBER(W1094)),W1094,IF(AND(Parameter!$E$27="Ja",ISNUMBER(Z1094),CD1094&lt;&gt;"Nein"),Z1094,IF(CD1094="2+3",IF(ISNUMBER(SEARCH("grosser Artikel",BV1094)),2,IFERROR(VLOOKUP(BY1094,Parameter!$F$35:$G$64,2,0),2)),IF(OR(CD1094="Nein",CD1094=""),"-",CD1094)))))</f>
        <v>3</v>
      </c>
      <c r="AB1094" s="67"/>
      <c r="AC1094" s="68"/>
      <c r="AD1094" s="62" t="n">
        <f aca="false">AW1094</f>
        <v>37</v>
      </c>
      <c r="AE1094" s="62" t="n">
        <f aca="false">MAX(AW1094,H1094)</f>
        <v>37</v>
      </c>
      <c r="AF1094" s="69"/>
      <c r="AG1094" s="62" t="n">
        <f aca="false">IF(LEFT(Cockpit!$C$5,1)="A",H1094,IF(Parameter!$E$30="MAX-Bestand",IF(CI1094=1,CJ1094,IF(LEFT(Cockpit!$C$5,1)="B",AM1094,MAX(AM1094,H1094))),ROUNDUP(AK1094,0)))</f>
        <v>12</v>
      </c>
      <c r="AH1094" s="62" t="n">
        <f aca="false">IF(CA1094=1,0,ROUNDUP(AG1094/BZ1094,0))</f>
        <v>1</v>
      </c>
      <c r="AI1094" s="64" t="n">
        <f aca="false">IF(CR1094&gt;0,CR1094*MAX(1,AG1094/X1094),IF(CA1094=1,IF(AG1094&lt;=0,0,CE1094*MAX(1,IF(H1094&gt;0,AG1094/H1094,1))),IF(R1094&gt;0,AH1094/R1094,0))/MAX(0.1,N(Parameter!$M$21)))</f>
        <v>0.0384615384615385</v>
      </c>
      <c r="AJ1094" s="62" t="n">
        <f aca="false">AI1094*CC1094</f>
        <v>5.96153846153846</v>
      </c>
      <c r="AK1094" s="63" t="n">
        <f aca="false">IF(LEFT(Cockpit!$C$5,1)="A",H1094,IF(CI1094=1,(CL1094+CJ1094)/2,IF(LEFT(Cockpit!$C$5,1)="B",(CL1094+AM1094)/2,MAX((CL1094+AM1094)/2,H1094))))</f>
        <v>12</v>
      </c>
      <c r="AL1094" s="62" t="n">
        <f aca="false">AK1094*G1094</f>
        <v>207.12</v>
      </c>
      <c r="AM1094" s="62" t="n">
        <f aca="false">ROUNDUP(CL1094+MAX(CM1094,2*(J1094/IF(CH1094&gt;0,CH1094,MAX(0.1,N(Cockpit!$C$6)))-CL1094)),0)</f>
        <v>37</v>
      </c>
      <c r="AN1094" s="63" t="n">
        <f aca="false">IF(AJ1094&gt;0,J1094/AJ1094,-1)</f>
        <v>5.53548387096774</v>
      </c>
      <c r="AO1094" s="63" t="n">
        <f aca="false">IF(AND(OR(CG1094="L1",CG1094="L23",CG1094="LIFT"),AJ1094&gt;0),SUMIFS($AJ$7:$AJ$1843,$CG$7:$CG$1843,CG1094,$AN$7:$AN$1843,"&gt;"&amp;AN1094)+SUMIFS($AJ$7:$AJ$1843,$CG$7:$CG$1843,CG1094,$AN$7:$AN$1843,AN1094,$BX$7:$BX$1843,"&lt;="&amp;BX1094),"")</f>
        <v>3714.48122710623</v>
      </c>
      <c r="AP1094" s="70" t="n">
        <f aca="false">IF(AO1094="",0,MAX(0,MIN(1,(IF(CG1094="L1",Parameter!$H$5,IF(CG1094="L23",Parameter!$H$6+Parameter!$H$7,Parameter!$H$5+Parameter!$H$6+Parameter!$H$7))-(AO1094-AJ1094))/AJ1094)))</f>
        <v>1</v>
      </c>
      <c r="AQ1094" s="62" t="n">
        <f aca="false">IF(LEFT(Cockpit!$I$5,1)="A",H1094,IF(Parameter!$E$30="MAX-Bestand",IF(CI1094=1,CJ1094,IF(LEFT(Cockpit!$I$5,1)="B",AW1094,MAX(AW1094,H1094))),ROUNDUP(AU1094,0)))</f>
        <v>20</v>
      </c>
      <c r="AR1094" s="62" t="n">
        <f aca="false">IF(CA1094=1,0,ROUNDUP(AQ1094/BZ1094,0))</f>
        <v>1</v>
      </c>
      <c r="AS1094" s="64" t="n">
        <f aca="false">IF(CR1094&gt;0,CR1094*MAX(1,AQ1094/X1094),IF(CA1094=1,IF(AQ1094&lt;=0,0,CE1094*MAX(1,IF(H1094&gt;0,AQ1094/H1094,1))),IF(R1094&gt;0,AR1094/R1094,0))/MAX(0.1,N(Parameter!$M$21)))</f>
        <v>0.0384615384615385</v>
      </c>
      <c r="AT1094" s="62" t="n">
        <f aca="false">AS1094*CC1094</f>
        <v>5.96153846153846</v>
      </c>
      <c r="AU1094" s="63" t="n">
        <f aca="false">IF(LEFT(Cockpit!$I$5,1)="A",H1094,IF(CI1094=1,(CL1094+CJ1094)/2,IF(LEFT(Cockpit!$I$5,1)="B",(CL1094+AW1094)/2,MAX((CL1094+AW1094)/2,H1094))))</f>
        <v>19.5</v>
      </c>
      <c r="AV1094" s="62" t="n">
        <f aca="false">AU1094*G1094</f>
        <v>336.57</v>
      </c>
      <c r="AW1094" s="62" t="n">
        <f aca="false">ROUNDUP(CL1094+MAX(CM1094,2*(J1094/IF(CH1094&gt;0,CH1094,MAX(0.1,N(Cockpit!$I$6)))-CL1094)),0)</f>
        <v>37</v>
      </c>
      <c r="AX1094" s="63" t="n">
        <f aca="false">IF(AT1094&gt;0,J1094/AT1094,-1)</f>
        <v>5.53548387096774</v>
      </c>
      <c r="AY1094" s="63" t="n">
        <f aca="false">IF(AND(OR(CG1094="L1",CG1094="L23",CG1094="LIFT"),AT1094&gt;0),SUMIFS($AT$7:$AT$1843,$CG$7:$CG$1843,CG1094,$AX$7:$AX$1843,"&gt;"&amp;AX1094)+SUMIFS($AT$7:$AT$1843,$CG$7:$CG$1843,CG1094,$AX$7:$AX$1843,AX1094,$BX$7:$BX$1843,"&lt;="&amp;BX1094),"")</f>
        <v>4368.22206959707</v>
      </c>
      <c r="AZ1094" s="70" t="n">
        <f aca="false">IF(AY1094="",0,MAX(0,MIN(1,(IF(CG1094="L1",Parameter!$H$5,IF(CG1094="L23",Parameter!$H$6+Parameter!$H$7,Parameter!$H$5+Parameter!$H$6+Parameter!$H$7))-(AY1094-AT1094))/AT1094)))</f>
        <v>1</v>
      </c>
      <c r="BA1094" s="62" t="n">
        <f aca="false">IF(LEFT(Cockpit!$O$5,1)="A",H1094,IF(Parameter!$E$30="MAX-Bestand",IF(CI1094=1,CJ1094,IF(LEFT(Cockpit!$O$5,1)="B",BG1094,MAX(BG1094,H1094))),ROUNDUP(BE1094,0)))</f>
        <v>20</v>
      </c>
      <c r="BB1094" s="62" t="n">
        <f aca="false">IF(CA1094=1,0,ROUNDUP(BA1094/BZ1094,0))</f>
        <v>1</v>
      </c>
      <c r="BC1094" s="64" t="n">
        <f aca="false">IF(CR1094&gt;0,CR1094*MAX(1,BA1094/X1094),IF(CA1094=1,IF(BA1094&lt;=0,0,CE1094*MAX(1,IF(H1094&gt;0,BA1094/H1094,1))),IF(R1094&gt;0,BB1094/R1094,0))/MAX(0.1,N(Parameter!$M$21)))</f>
        <v>0.0384615384615385</v>
      </c>
      <c r="BD1094" s="62" t="n">
        <f aca="false">BC1094*CC1094</f>
        <v>5.96153846153846</v>
      </c>
      <c r="BE1094" s="63" t="n">
        <f aca="false">IF(LEFT(Cockpit!$O$5,1)="A",H1094,IF(CI1094=1,(CL1094+CJ1094)/2,IF(LEFT(Cockpit!$O$5,1)="B",(CL1094+BG1094)/2,MAX((CL1094+BG1094)/2,H1094))))</f>
        <v>19.5</v>
      </c>
      <c r="BF1094" s="62" t="n">
        <f aca="false">BE1094*G1094</f>
        <v>336.57</v>
      </c>
      <c r="BG1094" s="62" t="n">
        <f aca="false">ROUNDUP(CL1094+MAX(CM1094,2*(J1094/IF(CH1094&gt;0,CH1094,MAX(0.1,N(Cockpit!$O$6)))-CL1094)),0)</f>
        <v>37</v>
      </c>
      <c r="BH1094" s="63" t="n">
        <f aca="false">IF(BD1094&gt;0,J1094/BD1094,-1)</f>
        <v>5.53548387096774</v>
      </c>
      <c r="BI1094" s="63" t="n">
        <f aca="false">IF(AND(OR(CG1094="L1",CG1094="L23",CG1094="LIFT"),BD1094&gt;0),SUMIFS($BD$7:$BD$1843,$CG$7:$CG$1843,CG1094,$BH$7:$BH$1843,"&gt;"&amp;BH1094)+SUMIFS($BD$7:$BD$1843,$CG$7:$CG$1843,CG1094,$BH$7:$BH$1843,BH1094,$BX$7:$BX$1843,"&lt;="&amp;BX1094),"")</f>
        <v>3682.74404761905</v>
      </c>
      <c r="BJ1094" s="70" t="n">
        <f aca="false">IF(BI1094="",0,MAX(0,MIN(1,(IF(CG1094="L1",Parameter!$H$5,IF(CG1094="L23",Parameter!$H$6+Parameter!$H$7,Parameter!$H$5+Parameter!$H$6+Parameter!$H$7))-(BI1094-BD1094))/BD1094)))</f>
        <v>1</v>
      </c>
      <c r="BK1094" s="60" t="str">
        <f aca="false">IF(AJ1094&lt;=0,"",IF(CG1094="Aussen","Aussenlager",IF(CG1094="-","Nicht im Lift",IF(AP1094&gt;=1,"Lift",IF(AP1094&lt;=0,"Aussenlager","teilweise")))))</f>
        <v>Lift</v>
      </c>
      <c r="BL1094" s="60" t="str">
        <f aca="false">IF(AT1094&lt;=0,"",IF(CG1094="Aussen","Aussenlager",IF(CG1094="-","Nicht im Lift",IF(AZ1094&gt;=1,"Lift",IF(AZ1094&lt;=0,"Aussenlager","teilweise")))))</f>
        <v>Lift</v>
      </c>
      <c r="BM1094" s="60" t="str">
        <f aca="false">IF(BD1094&lt;=0,"",IF(CG1094="Aussen","Aussenlager",IF(CG1094="-","Nicht im Lift",IF(BJ1094&gt;=1,"Lift",IF(BJ1094&lt;=0,"Aussenlager","teilweise")))))</f>
        <v>Lift</v>
      </c>
      <c r="BN1094" s="60" t="str">
        <f aca="false">IF(A1094="","",IF(BW1094=1,"Neu; ","")&amp;IF(AND(BW1094=0,BR1094&lt;0),"negativer Bestand (Export "&amp;BR1094&amp;"); ","")&amp;IF(J1094&lt;=0,"Kein Verbrauch; ","")&amp;IF(CR1094&gt;0,"Lift "&amp;W1094&amp;" lt. Liftbericht (Fach "&amp;X1094&amp;" Stk); ",IF(CB1094=1,"Gebinde geschätzt ("&amp;T1094&amp;"); ",IF(CA1094=1,"Lose – Tablare geschätzt; ","")))&amp;IF(H1094&gt;AW1094,"Überbestand "&amp;ROUND(H1094-AW1094,0)&amp;" Stk / CHF "&amp;ROUND((H1094-AW1094)*G1094,0)&amp;"; ","")&amp;IF(AND(CI1094=1,CJ1094&lt;CK1094),"MAX &lt; MB+LG; ","")&amp;IF(AND(CQ1094&gt;0,CP1094*10&gt;CQ1094),"zu hoch für Tablar; ","")&amp;IF(AND(BW1094=0,OR(CI1094=1,AB1094&lt;&gt;"",U1094&lt;&gt;"",V1094&lt;&gt;"",AC1094&lt;&gt;"")),"manuell übersteuert; ","")&amp;IF(AND(CA1094=0,R1094=0),"Gebinde unbekannt / Stellmass fehlt; ","")&amp;IF(AND(CA1094=0,N(V1094)&lt;=0,N(Q1094)&lt;=0),"Menge pro Gebinde fehlt (Ist = 1 Gebinde); ","")&amp;BV1094)</f>
        <v>negativer Bestand (Export -8); </v>
      </c>
      <c r="BO1094" s="60"/>
      <c r="BP1094" s="60"/>
      <c r="BQ1094" s="67"/>
      <c r="BR1094" s="62" t="n">
        <v>-8</v>
      </c>
      <c r="BS1094" s="62" t="n">
        <v>20</v>
      </c>
      <c r="BT1094" s="61" t="n">
        <v>-202.08</v>
      </c>
      <c r="BU1094" s="62" t="n">
        <v>33</v>
      </c>
      <c r="BV1094" s="60"/>
      <c r="BW1094" s="65" t="n">
        <v>0</v>
      </c>
      <c r="BX1094" s="65" t="n">
        <v>1094</v>
      </c>
      <c r="BY1094" s="60" t="str">
        <f aca="false">IF(U1094&lt;&gt;"",UPPER(TRIM(U1094)),IF(CB1094=1,UPPER(VLOOKUP(T1094,Parameter!$I$27:$K$29,2,0)),IF(P1094="","LOSE",P1094)))</f>
        <v>S51</v>
      </c>
      <c r="BZ1094" s="62" t="n">
        <f aca="false">IF(BY1094="LOSE",1,IF(N(V1094)&gt;0,V1094,IF(CB1094=1,MAX(1,N(VLOOKUP(T1094,Parameter!$I$27:$K$29,3,0)),H1094,N(N1094)),IF(N(Q1094)&gt;0,Q1094,MAX(1,H1094)))))</f>
        <v>48</v>
      </c>
      <c r="CA1094" s="65" t="n">
        <f aca="false">IF(BY1094="LOSE",1,0)</f>
        <v>0</v>
      </c>
      <c r="CB1094" s="65" t="n">
        <f aca="false">IF(AND(U1094="",OR(P1094="",P1094="LOSE"),T1094&lt;&gt;"",N(S1094)&lt;=0,ISNUMBER(MATCH(T1094,Parameter!$I$27:$I$29,0))),1,0)</f>
        <v>0</v>
      </c>
      <c r="CC1094" s="65" t="n">
        <f aca="false">IF(CR1094&gt;0,INDEX(Parameter!$H$5:$H$7,W1094)/INDEX(Parameter!$E$5:$E$7,W1094),IF(AND(CA1094=0,N(IFERROR(VLOOKUP(BY1094,'Gebinde-Kategorie'!$A$5:$N$45,14,0),0))&gt;0),VLOOKUP(BY1094,'Gebinde-Kategorie'!$A$5:$N$45,14,0)*10+Parameter!$M$23,Parameter!$M$24))</f>
        <v>155</v>
      </c>
      <c r="CD1094" s="60" t="str">
        <f aca="false">IF(AND(Parameter!$B$19="Ja",E1094&lt;&gt;"",ISNUMBER(MATCH(E1094,Parameter!$I$35:$I$52,0))),VLOOKUP(E1094,Parameter!$I$35:$J$52,2,0),IFERROR(VLOOKUP(D1094,Parameter!$A$35:$C$64,2,0),"Nein"))</f>
        <v>2+3</v>
      </c>
      <c r="CE1094" s="64" t="n">
        <f aca="false">IF(CA1094=0,0,IF(N(S1094)&gt;0,S1094,IFERROR(VLOOKUP(D1094,Parameter!$A$35:$C$64,3,0)+0,0)))</f>
        <v>0</v>
      </c>
      <c r="CF1094" s="60" t="n">
        <f aca="false">IF(AB1094&lt;&gt;"",AB1094,AA1094)</f>
        <v>3</v>
      </c>
      <c r="CG1094" s="60" t="str">
        <f aca="false">IF(OR(CF1094=1,CF1094=2,CF1094=3),IF(Parameter!$E$27="Ja","LIFT",IF(CF1094=1,"L1","L23")),IF(CF1094="Aussen","Aussen","-"))</f>
        <v>LIFT</v>
      </c>
      <c r="CH1094" s="71" t="n">
        <f aca="false">IF(N(AC1094)&gt;0,AC1094,0)</f>
        <v>0</v>
      </c>
      <c r="CI1094" s="65" t="n">
        <f aca="false">IF(ISNUMBER(AF1094),1,0)</f>
        <v>0</v>
      </c>
      <c r="CJ1094" s="62" t="n">
        <f aca="false">N(AF1094)</f>
        <v>0</v>
      </c>
      <c r="CK1094" s="62" t="n">
        <f aca="false">N(M1094)+N(N1094)</f>
        <v>37</v>
      </c>
      <c r="CL1094" s="62" t="n">
        <f aca="false">N(M1094)</f>
        <v>2</v>
      </c>
      <c r="CM1094" s="62" t="n">
        <f aca="false">N(N1094)</f>
        <v>35</v>
      </c>
      <c r="CN1094" s="62" t="n">
        <f aca="false">ROUNDUP(H1094/BZ1094,0)</f>
        <v>1</v>
      </c>
      <c r="CO1094" s="62" t="n">
        <f aca="false">ROUNDUP(CJ1094/BZ1094,0)</f>
        <v>0</v>
      </c>
      <c r="CP1094" s="65" t="n">
        <f aca="false">IF(CA1094=1,0,IFERROR(VLOOKUP(BY1094,'Gebinde-Kategorie'!$A$5:$N$45,5,0)+0,0))</f>
        <v>11</v>
      </c>
      <c r="CQ1094" s="65" t="n">
        <f aca="false">IFERROR(IF(OR(CF1094=1,CF1094=2,CF1094=3),N(INDEX(Parameter!$I$5:$I$7,CF1094)),0),0)</f>
        <v>0</v>
      </c>
      <c r="CR1094" s="64" t="n">
        <f aca="false">IF(AND(Parameter!$B$21="Ja",ISNUMBER(W1094),N(X1094)&gt;0),IFERROR(N(INDEX(Parameter!$L$5:$L$7,W1094))*INDEX(Parameter!$E$5:$E$7,W1094)*X1094/SUMIFS($X$7:$X$1843,$W$7:$W$1843,W1094),0),0)</f>
        <v>0</v>
      </c>
      <c r="CS1094" s="62" t="n">
        <f aca="false">IF(AND(OR(CG1094="L1",CG1094="L23",CG1094="LIFT"),H1094&gt;0),CC1094*IF(CR1094&gt;0,CR1094*MAX(1,H1094/X1094),IF(CA1094=1,CE1094,IF(R1094&gt;0,CN1094/R1094,0))/MAX(0.1,N(Parameter!$M$21))),"")</f>
        <v>5.96153846153846</v>
      </c>
      <c r="CT1094" s="64" t="n">
        <f aca="false">IF(CS1094="","",J1094/H1094)</f>
        <v>2.75</v>
      </c>
      <c r="CU1094" s="62" t="n">
        <f aca="false">IF(CS1094="","",H1094*G1094)</f>
        <v>207.12</v>
      </c>
      <c r="CV1094" s="63" t="n">
        <f aca="false">IF(CS1094="","",(CL1094+ROUNDUP(CL1094+MAX(CM1094,2*(J1094/MAX(0.1,N(Einkauf!$C$6))-CL1094)),0))/2)</f>
        <v>19.5</v>
      </c>
      <c r="CW1094" s="62" t="n">
        <f aca="false">IF(CS1094="","",MAX(0,H1094-CV1094)*G1094)</f>
        <v>0</v>
      </c>
      <c r="CX1094" s="62" t="n">
        <f aca="false">IF(CS1094="","",CS1094*MAX(0,1-CV1094/H1094))</f>
        <v>0</v>
      </c>
      <c r="CY1094" s="64" t="n">
        <f aca="false">IF(CS1094="","",PERCENTRANK($CS$7:$CS$1843,CS1094)+PERCENTRANK($CU$7:$CU$1843,CU1094)+1-PERCENTRANK($CT$7:$CT$1843,CT1094))</f>
        <v>0.823</v>
      </c>
      <c r="CZ1094" s="72" t="n">
        <f aca="false">IF(CS1094="","",CHOOSE(MATCH(Einkauf!$C$5,Parameter!$G$23:$G$27,0),CY1094,CS1094,CU1094,-CT1094,CW1094)+ROW()/1000000000)</f>
        <v>0.823001094</v>
      </c>
    </row>
    <row r="1095" customFormat="false" ht="15" hidden="false" customHeight="false" outlineLevel="0" collapsed="false">
      <c r="A1095" s="60" t="s">
        <v>2034</v>
      </c>
      <c r="B1095" s="60" t="s">
        <v>2035</v>
      </c>
      <c r="C1095" s="60" t="s">
        <v>206</v>
      </c>
      <c r="D1095" s="60" t="s">
        <v>215</v>
      </c>
      <c r="E1095" s="60" t="s">
        <v>215</v>
      </c>
      <c r="F1095" s="60" t="s">
        <v>260</v>
      </c>
      <c r="G1095" s="61" t="n">
        <v>17.05</v>
      </c>
      <c r="H1095" s="62" t="n">
        <f aca="false">MAX(0,IF(AND(Parameter!$B$21="Ja",ISNUMBER(Y1095)),Y1095,IF(Parameter!$B$20="Jahresanfang 2025 + Export",BS1095+BR1095,BR1095)))</f>
        <v>32.1240000000002</v>
      </c>
      <c r="I1095" s="62" t="n">
        <f aca="false">H1095*G1095</f>
        <v>547.714200000003</v>
      </c>
      <c r="J1095" s="62" t="n">
        <f aca="false">BU1095*Parameter!$B$18</f>
        <v>139.027</v>
      </c>
      <c r="K1095" s="63" t="n">
        <v>51.8520000000001</v>
      </c>
      <c r="L1095" s="64" t="n">
        <v>2.68122733935045</v>
      </c>
      <c r="M1095" s="62" t="n">
        <v>8</v>
      </c>
      <c r="N1095" s="62" t="n">
        <v>50</v>
      </c>
      <c r="O1095" s="65" t="n">
        <v>21</v>
      </c>
      <c r="P1095" s="60" t="s">
        <v>210</v>
      </c>
      <c r="Q1095" s="62"/>
      <c r="R1095" s="65" t="n">
        <f aca="false">IF(CA1095=1,0,IFERROR(VLOOKUP(BY1095,'Gebinde-Kategorie'!$A$5:$N$45,13,0)+0,0))</f>
        <v>12</v>
      </c>
      <c r="S1095" s="66"/>
      <c r="T1095" s="67" t="s">
        <v>221</v>
      </c>
      <c r="U1095" s="67"/>
      <c r="V1095" s="67"/>
      <c r="W1095" s="60"/>
      <c r="X1095" s="62"/>
      <c r="Y1095" s="62"/>
      <c r="Z1095" s="60"/>
      <c r="AA1095" s="60" t="str">
        <f aca="false">IF(A1095="","",IF(AND(Parameter!$B$21="Ja",ISNUMBER(W1095)),W1095,IF(AND(Parameter!$E$27="Ja",ISNUMBER(Z1095),CD1095&lt;&gt;"Nein"),Z1095,IF(CD1095="2+3",IF(ISNUMBER(SEARCH("grosser Artikel",BV1095)),2,IFERROR(VLOOKUP(BY1095,Parameter!$F$35:$G$64,2,0),2)),IF(OR(CD1095="Nein",CD1095=""),"-",CD1095)))))</f>
        <v>-</v>
      </c>
      <c r="AB1095" s="67"/>
      <c r="AC1095" s="68"/>
      <c r="AD1095" s="62" t="n">
        <f aca="false">AW1095</f>
        <v>85</v>
      </c>
      <c r="AE1095" s="62" t="n">
        <f aca="false">MAX(AW1095,H1095)</f>
        <v>85</v>
      </c>
      <c r="AF1095" s="69"/>
      <c r="AG1095" s="62" t="n">
        <f aca="false">IF(LEFT(Cockpit!$C$5,1)="A",H1095,IF(Parameter!$E$30="MAX-Bestand",IF(CI1095=1,CJ1095,IF(LEFT(Cockpit!$C$5,1)="B",AM1095,MAX(AM1095,H1095))),ROUNDUP(AK1095,0)))</f>
        <v>32.1240000000002</v>
      </c>
      <c r="AH1095" s="62" t="n">
        <f aca="false">IF(CA1095=1,0,ROUNDUP(AG1095/BZ1095,0))</f>
        <v>1</v>
      </c>
      <c r="AI1095" s="64" t="n">
        <f aca="false">IF(CR1095&gt;0,CR1095*MAX(1,AG1095/X1095),IF(CA1095=1,IF(AG1095&lt;=0,0,CE1095*MAX(1,IF(H1095&gt;0,AG1095/H1095,1))),IF(R1095&gt;0,AH1095/R1095,0))/MAX(0.1,N(Parameter!$M$21)))</f>
        <v>0.0833333333333333</v>
      </c>
      <c r="AJ1095" s="62" t="n">
        <f aca="false">AI1095*CC1095</f>
        <v>12.0833333333333</v>
      </c>
      <c r="AK1095" s="63" t="n">
        <f aca="false">IF(LEFT(Cockpit!$C$5,1)="A",H1095,IF(CI1095=1,(CL1095+CJ1095)/2,IF(LEFT(Cockpit!$C$5,1)="B",(CL1095+AM1095)/2,MAX((CL1095+AM1095)/2,H1095))))</f>
        <v>32.1240000000002</v>
      </c>
      <c r="AL1095" s="62" t="n">
        <f aca="false">AK1095*G1095</f>
        <v>547.714200000003</v>
      </c>
      <c r="AM1095" s="62" t="n">
        <f aca="false">ROUNDUP(CL1095+MAX(CM1095,2*(J1095/IF(CH1095&gt;0,CH1095,MAX(0.1,N(Cockpit!$C$6)))-CL1095)),0)</f>
        <v>85</v>
      </c>
      <c r="AN1095" s="63" t="n">
        <f aca="false">IF(AJ1095&gt;0,J1095/AJ1095,-1)</f>
        <v>11.5056827586207</v>
      </c>
      <c r="AO1095" s="63" t="str">
        <f aca="false">IF(AND(OR(CG1095="L1",CG1095="L23",CG1095="LIFT"),AJ1095&gt;0),SUMIFS($AJ$7:$AJ$1843,$CG$7:$CG$1843,CG1095,$AN$7:$AN$1843,"&gt;"&amp;AN1095)+SUMIFS($AJ$7:$AJ$1843,$CG$7:$CG$1843,CG1095,$AN$7:$AN$1843,AN1095,$BX$7:$BX$1843,"&lt;="&amp;BX1095),"")</f>
        <v/>
      </c>
      <c r="AP1095" s="70" t="n">
        <f aca="false">IF(AO1095="",0,MAX(0,MIN(1,(IF(CG1095="L1",Parameter!$H$5,IF(CG1095="L23",Parameter!$H$6+Parameter!$H$7,Parameter!$H$5+Parameter!$H$6+Parameter!$H$7))-(AO1095-AJ1095))/AJ1095)))</f>
        <v>0</v>
      </c>
      <c r="AQ1095" s="62" t="n">
        <f aca="false">IF(LEFT(Cockpit!$I$5,1)="A",H1095,IF(Parameter!$E$30="MAX-Bestand",IF(CI1095=1,CJ1095,IF(LEFT(Cockpit!$I$5,1)="B",AW1095,MAX(AW1095,H1095))),ROUNDUP(AU1095,0)))</f>
        <v>47</v>
      </c>
      <c r="AR1095" s="62" t="n">
        <f aca="false">IF(CA1095=1,0,ROUNDUP(AQ1095/BZ1095,0))</f>
        <v>1</v>
      </c>
      <c r="AS1095" s="64" t="n">
        <f aca="false">IF(CR1095&gt;0,CR1095*MAX(1,AQ1095/X1095),IF(CA1095=1,IF(AQ1095&lt;=0,0,CE1095*MAX(1,IF(H1095&gt;0,AQ1095/H1095,1))),IF(R1095&gt;0,AR1095/R1095,0))/MAX(0.1,N(Parameter!$M$21)))</f>
        <v>0.0833333333333333</v>
      </c>
      <c r="AT1095" s="62" t="n">
        <f aca="false">AS1095*CC1095</f>
        <v>12.0833333333333</v>
      </c>
      <c r="AU1095" s="63" t="n">
        <f aca="false">IF(LEFT(Cockpit!$I$5,1)="A",H1095,IF(CI1095=1,(CL1095+CJ1095)/2,IF(LEFT(Cockpit!$I$5,1)="B",(CL1095+AW1095)/2,MAX((CL1095+AW1095)/2,H1095))))</f>
        <v>46.5</v>
      </c>
      <c r="AV1095" s="62" t="n">
        <f aca="false">AU1095*G1095</f>
        <v>792.825</v>
      </c>
      <c r="AW1095" s="62" t="n">
        <f aca="false">ROUNDUP(CL1095+MAX(CM1095,2*(J1095/IF(CH1095&gt;0,CH1095,MAX(0.1,N(Cockpit!$I$6)))-CL1095)),0)</f>
        <v>85</v>
      </c>
      <c r="AX1095" s="63" t="n">
        <f aca="false">IF(AT1095&gt;0,J1095/AT1095,-1)</f>
        <v>11.5056827586207</v>
      </c>
      <c r="AY1095" s="63" t="str">
        <f aca="false">IF(AND(OR(CG1095="L1",CG1095="L23",CG1095="LIFT"),AT1095&gt;0),SUMIFS($AT$7:$AT$1843,$CG$7:$CG$1843,CG1095,$AX$7:$AX$1843,"&gt;"&amp;AX1095)+SUMIFS($AT$7:$AT$1843,$CG$7:$CG$1843,CG1095,$AX$7:$AX$1843,AX1095,$BX$7:$BX$1843,"&lt;="&amp;BX1095),"")</f>
        <v/>
      </c>
      <c r="AZ1095" s="70" t="n">
        <f aca="false">IF(AY1095="",0,MAX(0,MIN(1,(IF(CG1095="L1",Parameter!$H$5,IF(CG1095="L23",Parameter!$H$6+Parameter!$H$7,Parameter!$H$5+Parameter!$H$6+Parameter!$H$7))-(AY1095-AT1095))/AT1095)))</f>
        <v>0</v>
      </c>
      <c r="BA1095" s="62" t="n">
        <f aca="false">IF(LEFT(Cockpit!$O$5,1)="A",H1095,IF(Parameter!$E$30="MAX-Bestand",IF(CI1095=1,CJ1095,IF(LEFT(Cockpit!$O$5,1)="B",BG1095,MAX(BG1095,H1095))),ROUNDUP(BE1095,0)))</f>
        <v>35</v>
      </c>
      <c r="BB1095" s="62" t="n">
        <f aca="false">IF(CA1095=1,0,ROUNDUP(BA1095/BZ1095,0))</f>
        <v>1</v>
      </c>
      <c r="BC1095" s="64" t="n">
        <f aca="false">IF(CR1095&gt;0,CR1095*MAX(1,BA1095/X1095),IF(CA1095=1,IF(BA1095&lt;=0,0,CE1095*MAX(1,IF(H1095&gt;0,BA1095/H1095,1))),IF(R1095&gt;0,BB1095/R1095,0))/MAX(0.1,N(Parameter!$M$21)))</f>
        <v>0.0833333333333333</v>
      </c>
      <c r="BD1095" s="62" t="n">
        <f aca="false">BC1095*CC1095</f>
        <v>12.0833333333333</v>
      </c>
      <c r="BE1095" s="63" t="n">
        <f aca="false">IF(LEFT(Cockpit!$O$5,1)="A",H1095,IF(CI1095=1,(CL1095+CJ1095)/2,IF(LEFT(Cockpit!$O$5,1)="B",(CL1095+BG1095)/2,MAX((CL1095+BG1095)/2,H1095))))</f>
        <v>35</v>
      </c>
      <c r="BF1095" s="62" t="n">
        <f aca="false">BE1095*G1095</f>
        <v>596.75</v>
      </c>
      <c r="BG1095" s="62" t="n">
        <f aca="false">ROUNDUP(CL1095+MAX(CM1095,2*(J1095/IF(CH1095&gt;0,CH1095,MAX(0.1,N(Cockpit!$O$6)))-CL1095)),0)</f>
        <v>62</v>
      </c>
      <c r="BH1095" s="63" t="n">
        <f aca="false">IF(BD1095&gt;0,J1095/BD1095,-1)</f>
        <v>11.5056827586207</v>
      </c>
      <c r="BI1095" s="63" t="str">
        <f aca="false">IF(AND(OR(CG1095="L1",CG1095="L23",CG1095="LIFT"),BD1095&gt;0),SUMIFS($BD$7:$BD$1843,$CG$7:$CG$1843,CG1095,$BH$7:$BH$1843,"&gt;"&amp;BH1095)+SUMIFS($BD$7:$BD$1843,$CG$7:$CG$1843,CG1095,$BH$7:$BH$1843,BH1095,$BX$7:$BX$1843,"&lt;="&amp;BX1095),"")</f>
        <v/>
      </c>
      <c r="BJ1095" s="70" t="n">
        <f aca="false">IF(BI1095="",0,MAX(0,MIN(1,(IF(CG1095="L1",Parameter!$H$5,IF(CG1095="L23",Parameter!$H$6+Parameter!$H$7,Parameter!$H$5+Parameter!$H$6+Parameter!$H$7))-(BI1095-BD1095))/BD1095)))</f>
        <v>0</v>
      </c>
      <c r="BK1095" s="60" t="str">
        <f aca="false">IF(AJ1095&lt;=0,"",IF(CG1095="Aussen","Aussenlager",IF(CG1095="-","Nicht im Lift",IF(AP1095&gt;=1,"Lift",IF(AP1095&lt;=0,"Aussenlager","teilweise")))))</f>
        <v>Nicht im Lift</v>
      </c>
      <c r="BL1095" s="60" t="str">
        <f aca="false">IF(AT1095&lt;=0,"",IF(CG1095="Aussen","Aussenlager",IF(CG1095="-","Nicht im Lift",IF(AZ1095&gt;=1,"Lift",IF(AZ1095&lt;=0,"Aussenlager","teilweise")))))</f>
        <v>Nicht im Lift</v>
      </c>
      <c r="BM1095" s="60" t="str">
        <f aca="false">IF(BD1095&lt;=0,"",IF(CG1095="Aussen","Aussenlager",IF(CG1095="-","Nicht im Lift",IF(BJ1095&gt;=1,"Lift",IF(BJ1095&lt;=0,"Aussenlager","teilweise")))))</f>
        <v>Nicht im Lift</v>
      </c>
      <c r="BN1095" s="60" t="str">
        <f aca="false">IF(A1095="","",IF(BW1095=1,"Neu; ","")&amp;IF(AND(BW1095=0,BR1095&lt;0),"negativer Bestand (Export "&amp;BR1095&amp;"); ","")&amp;IF(J1095&lt;=0,"Kein Verbrauch; ","")&amp;IF(CR1095&gt;0,"Lift "&amp;W1095&amp;" lt. Liftbericht (Fach "&amp;X1095&amp;" Stk); ",IF(CB1095=1,"Gebinde geschätzt ("&amp;T1095&amp;"); ",IF(CA1095=1,"Lose – Tablare geschätzt; ","")))&amp;IF(H1095&gt;AW1095,"Überbestand "&amp;ROUND(H1095-AW1095,0)&amp;" Stk / CHF "&amp;ROUND((H1095-AW1095)*G1095,0)&amp;"; ","")&amp;IF(AND(CI1095=1,CJ1095&lt;CK1095),"MAX &lt; MB+LG; ","")&amp;IF(AND(CQ1095&gt;0,CP1095*10&gt;CQ1095),"zu hoch für Tablar; ","")&amp;IF(AND(BW1095=0,OR(CI1095=1,AB1095&lt;&gt;"",U1095&lt;&gt;"",V1095&lt;&gt;"",AC1095&lt;&gt;"")),"manuell übersteuert; ","")&amp;IF(AND(CA1095=0,R1095=0),"Gebinde unbekannt / Stellmass fehlt; ","")&amp;IF(AND(CA1095=0,N(V1095)&lt;=0,N(Q1095)&lt;=0),"Menge pro Gebinde fehlt (Ist = 1 Gebinde); ","")&amp;BV1095)</f>
        <v>negativer Bestand (Export -9.07999999999997); Gebinde geschätzt (Mittel); Menge pro Gebinde fehlt (Ist = 1 Gebinde); </v>
      </c>
      <c r="BO1095" s="60"/>
      <c r="BP1095" s="60"/>
      <c r="BQ1095" s="67"/>
      <c r="BR1095" s="62" t="n">
        <v>-9.07999999999997</v>
      </c>
      <c r="BS1095" s="62" t="n">
        <v>41.2040000000001</v>
      </c>
      <c r="BT1095" s="61" t="n">
        <v>-202.62</v>
      </c>
      <c r="BU1095" s="62" t="n">
        <v>139.027</v>
      </c>
      <c r="BV1095" s="60"/>
      <c r="BW1095" s="65" t="n">
        <v>0</v>
      </c>
      <c r="BX1095" s="65" t="n">
        <v>1095</v>
      </c>
      <c r="BY1095" s="60" t="str">
        <f aca="false">IF(U1095&lt;&gt;"",UPPER(TRIM(U1095)),IF(CB1095=1,UPPER(VLOOKUP(T1095,Parameter!$I$27:$K$29,2,0)),IF(P1095="","LOSE",P1095)))</f>
        <v>S61</v>
      </c>
      <c r="BZ1095" s="62" t="n">
        <f aca="false">IF(BY1095="LOSE",1,IF(N(V1095)&gt;0,V1095,IF(CB1095=1,MAX(1,N(VLOOKUP(T1095,Parameter!$I$27:$K$29,3,0)),H1095,N(N1095)),IF(N(Q1095)&gt;0,Q1095,MAX(1,H1095)))))</f>
        <v>50</v>
      </c>
      <c r="CA1095" s="65" t="n">
        <f aca="false">IF(BY1095="LOSE",1,0)</f>
        <v>0</v>
      </c>
      <c r="CB1095" s="65" t="n">
        <f aca="false">IF(AND(U1095="",OR(P1095="",P1095="LOSE"),T1095&lt;&gt;"",N(S1095)&lt;=0,ISNUMBER(MATCH(T1095,Parameter!$I$27:$I$29,0))),1,0)</f>
        <v>1</v>
      </c>
      <c r="CC1095" s="65" t="n">
        <f aca="false">IF(CR1095&gt;0,INDEX(Parameter!$H$5:$H$7,W1095)/INDEX(Parameter!$E$5:$E$7,W1095),IF(AND(CA1095=0,N(IFERROR(VLOOKUP(BY1095,'Gebinde-Kategorie'!$A$5:$N$45,14,0),0))&gt;0),VLOOKUP(BY1095,'Gebinde-Kategorie'!$A$5:$N$45,14,0)*10+Parameter!$M$23,Parameter!$M$24))</f>
        <v>145</v>
      </c>
      <c r="CD1095" s="60" t="str">
        <f aca="false">IF(AND(Parameter!$B$19="Ja",E1095&lt;&gt;"",ISNUMBER(MATCH(E1095,Parameter!$I$35:$I$52,0))),VLOOKUP(E1095,Parameter!$I$35:$J$52,2,0),IFERROR(VLOOKUP(D1095,Parameter!$A$35:$C$64,2,0),"Nein"))</f>
        <v>Nein</v>
      </c>
      <c r="CE1095" s="64" t="n">
        <f aca="false">IF(CA1095=0,0,IF(N(S1095)&gt;0,S1095,IFERROR(VLOOKUP(D1095,Parameter!$A$35:$C$64,3,0)+0,0)))</f>
        <v>0</v>
      </c>
      <c r="CF1095" s="60" t="str">
        <f aca="false">IF(AB1095&lt;&gt;"",AB1095,AA1095)</f>
        <v>-</v>
      </c>
      <c r="CG1095" s="60" t="str">
        <f aca="false">IF(OR(CF1095=1,CF1095=2,CF1095=3),IF(Parameter!$E$27="Ja","LIFT",IF(CF1095=1,"L1","L23")),IF(CF1095="Aussen","Aussen","-"))</f>
        <v>-</v>
      </c>
      <c r="CH1095" s="71" t="n">
        <f aca="false">IF(N(AC1095)&gt;0,AC1095,0)</f>
        <v>0</v>
      </c>
      <c r="CI1095" s="65" t="n">
        <f aca="false">IF(ISNUMBER(AF1095),1,0)</f>
        <v>0</v>
      </c>
      <c r="CJ1095" s="62" t="n">
        <f aca="false">N(AF1095)</f>
        <v>0</v>
      </c>
      <c r="CK1095" s="62" t="n">
        <f aca="false">N(M1095)+N(N1095)</f>
        <v>58</v>
      </c>
      <c r="CL1095" s="62" t="n">
        <f aca="false">N(M1095)</f>
        <v>8</v>
      </c>
      <c r="CM1095" s="62" t="n">
        <f aca="false">N(N1095)</f>
        <v>50</v>
      </c>
      <c r="CN1095" s="62" t="n">
        <f aca="false">ROUNDUP(H1095/BZ1095,0)</f>
        <v>1</v>
      </c>
      <c r="CO1095" s="62" t="n">
        <f aca="false">ROUNDUP(CJ1095/BZ1095,0)</f>
        <v>0</v>
      </c>
      <c r="CP1095" s="65" t="n">
        <f aca="false">IF(CA1095=1,0,IFERROR(VLOOKUP(BY1095,'Gebinde-Kategorie'!$A$5:$N$45,5,0)+0,0))</f>
        <v>11</v>
      </c>
      <c r="CQ1095" s="65" t="n">
        <f aca="false">IFERROR(IF(OR(CF1095=1,CF1095=2,CF1095=3),N(INDEX(Parameter!$I$5:$I$7,CF1095)),0),0)</f>
        <v>0</v>
      </c>
      <c r="CR1095" s="64" t="n">
        <f aca="false">IF(AND(Parameter!$B$21="Ja",ISNUMBER(W1095),N(X1095)&gt;0),IFERROR(N(INDEX(Parameter!$L$5:$L$7,W1095))*INDEX(Parameter!$E$5:$E$7,W1095)*X1095/SUMIFS($X$7:$X$1843,$W$7:$W$1843,W1095),0),0)</f>
        <v>0</v>
      </c>
      <c r="CS1095" s="62" t="str">
        <f aca="false">IF(AND(OR(CG1095="L1",CG1095="L23",CG1095="LIFT"),H1095&gt;0),CC1095*IF(CR1095&gt;0,CR1095*MAX(1,H1095/X1095),IF(CA1095=1,CE1095,IF(R1095&gt;0,CN1095/R1095,0))/MAX(0.1,N(Parameter!$M$21))),"")</f>
        <v/>
      </c>
      <c r="CT1095" s="64" t="str">
        <f aca="false">IF(CS1095="","",J1095/H1095)</f>
        <v/>
      </c>
      <c r="CU1095" s="62" t="str">
        <f aca="false">IF(CS1095="","",H1095*G1095)</f>
        <v/>
      </c>
      <c r="CV1095" s="63" t="str">
        <f aca="false">IF(CS1095="","",(CL1095+ROUNDUP(CL1095+MAX(CM1095,2*(J1095/MAX(0.1,N(Einkauf!$C$6))-CL1095)),0))/2)</f>
        <v/>
      </c>
      <c r="CW1095" s="62" t="str">
        <f aca="false">IF(CS1095="","",MAX(0,H1095-CV1095)*G1095)</f>
        <v/>
      </c>
      <c r="CX1095" s="62" t="str">
        <f aca="false">IF(CS1095="","",CS1095*MAX(0,1-CV1095/H1095))</f>
        <v/>
      </c>
      <c r="CY1095" s="64" t="str">
        <f aca="false">IF(CS1095="","",PERCENTRANK($CS$7:$CS$1843,CS1095)+PERCENTRANK($CU$7:$CU$1843,CU1095)+1-PERCENTRANK($CT$7:$CT$1843,CT1095))</f>
        <v/>
      </c>
      <c r="CZ1095" s="72" t="str">
        <f aca="false">IF(CS1095="","",CHOOSE(MATCH(Einkauf!$C$5,Parameter!$G$23:$G$27,0),CY1095,CS1095,CU1095,-CT1095,CW1095)+ROW()/1000000000)</f>
        <v/>
      </c>
    </row>
    <row r="1096" customFormat="false" ht="15" hidden="false" customHeight="false" outlineLevel="0" collapsed="false">
      <c r="A1096" s="60" t="s">
        <v>2036</v>
      </c>
      <c r="B1096" s="60" t="s">
        <v>2037</v>
      </c>
      <c r="C1096" s="60" t="s">
        <v>206</v>
      </c>
      <c r="D1096" s="60" t="s">
        <v>226</v>
      </c>
      <c r="E1096" s="60" t="s">
        <v>227</v>
      </c>
      <c r="F1096" s="60" t="s">
        <v>260</v>
      </c>
      <c r="G1096" s="61" t="n">
        <v>101.62</v>
      </c>
      <c r="H1096" s="62" t="n">
        <f aca="false">MAX(0,IF(AND(Parameter!$B$21="Ja",ISNUMBER(Y1096)),Y1096,IF(Parameter!$B$20="Jahresanfang 2025 + Export",BS1096+BR1096,BR1096)))</f>
        <v>9</v>
      </c>
      <c r="I1096" s="62" t="n">
        <f aca="false">H1096*G1096</f>
        <v>914.58</v>
      </c>
      <c r="J1096" s="62" t="n">
        <f aca="false">BU1096*Parameter!$B$18</f>
        <v>2</v>
      </c>
      <c r="K1096" s="63" t="n">
        <v>10</v>
      </c>
      <c r="L1096" s="64" t="n">
        <v>0.2</v>
      </c>
      <c r="M1096" s="62" t="n">
        <v>0</v>
      </c>
      <c r="N1096" s="62" t="n">
        <v>1</v>
      </c>
      <c r="O1096" s="65" t="n">
        <v>21</v>
      </c>
      <c r="P1096" s="60" t="s">
        <v>370</v>
      </c>
      <c r="Q1096" s="62" t="n">
        <v>16</v>
      </c>
      <c r="R1096" s="65" t="n">
        <f aca="false">IF(CA1096=1,0,IFERROR(VLOOKUP(BY1096,'Gebinde-Kategorie'!$A$5:$N$45,13,0)+0,0))</f>
        <v>52</v>
      </c>
      <c r="S1096" s="66"/>
      <c r="T1096" s="67"/>
      <c r="U1096" s="67"/>
      <c r="V1096" s="67"/>
      <c r="W1096" s="60"/>
      <c r="X1096" s="62"/>
      <c r="Y1096" s="62"/>
      <c r="Z1096" s="60" t="n">
        <v>2</v>
      </c>
      <c r="AA1096" s="60" t="n">
        <f aca="false">IF(A1096="","",IF(AND(Parameter!$B$21="Ja",ISNUMBER(W1096)),W1096,IF(AND(Parameter!$E$27="Ja",ISNUMBER(Z1096),CD1096&lt;&gt;"Nein"),Z1096,IF(CD1096="2+3",IF(ISNUMBER(SEARCH("grosser Artikel",BV1096)),2,IFERROR(VLOOKUP(BY1096,Parameter!$F$35:$G$64,2,0),2)),IF(OR(CD1096="Nein",CD1096=""),"-",CD1096)))))</f>
        <v>2</v>
      </c>
      <c r="AB1096" s="67"/>
      <c r="AC1096" s="68"/>
      <c r="AD1096" s="62" t="n">
        <f aca="false">AW1096</f>
        <v>2</v>
      </c>
      <c r="AE1096" s="62" t="n">
        <f aca="false">MAX(AW1096,H1096)</f>
        <v>9</v>
      </c>
      <c r="AF1096" s="69"/>
      <c r="AG1096" s="62" t="n">
        <f aca="false">IF(LEFT(Cockpit!$C$5,1)="A",H1096,IF(Parameter!$E$30="MAX-Bestand",IF(CI1096=1,CJ1096,IF(LEFT(Cockpit!$C$5,1)="B",AM1096,MAX(AM1096,H1096))),ROUNDUP(AK1096,0)))</f>
        <v>9</v>
      </c>
      <c r="AH1096" s="62" t="n">
        <f aca="false">IF(CA1096=1,0,ROUNDUP(AG1096/BZ1096,0))</f>
        <v>1</v>
      </c>
      <c r="AI1096" s="64" t="n">
        <f aca="false">IF(CR1096&gt;0,CR1096*MAX(1,AG1096/X1096),IF(CA1096=1,IF(AG1096&lt;=0,0,CE1096*MAX(1,IF(H1096&gt;0,AG1096/H1096,1))),IF(R1096&gt;0,AH1096/R1096,0))/MAX(0.1,N(Parameter!$M$21)))</f>
        <v>0.0192307692307692</v>
      </c>
      <c r="AJ1096" s="62" t="n">
        <f aca="false">AI1096*CC1096</f>
        <v>2.98076923076923</v>
      </c>
      <c r="AK1096" s="63" t="n">
        <f aca="false">IF(LEFT(Cockpit!$C$5,1)="A",H1096,IF(CI1096=1,(CL1096+CJ1096)/2,IF(LEFT(Cockpit!$C$5,1)="B",(CL1096+AM1096)/2,MAX((CL1096+AM1096)/2,H1096))))</f>
        <v>9</v>
      </c>
      <c r="AL1096" s="62" t="n">
        <f aca="false">AK1096*G1096</f>
        <v>914.58</v>
      </c>
      <c r="AM1096" s="62" t="n">
        <f aca="false">ROUNDUP(CL1096+MAX(CM1096,2*(J1096/IF(CH1096&gt;0,CH1096,MAX(0.1,N(Cockpit!$C$6)))-CL1096)),0)</f>
        <v>2</v>
      </c>
      <c r="AN1096" s="63" t="n">
        <f aca="false">IF(AJ1096&gt;0,J1096/AJ1096,-1)</f>
        <v>0.670967741935484</v>
      </c>
      <c r="AO1096" s="63" t="n">
        <f aca="false">IF(AND(OR(CG1096="L1",CG1096="L23",CG1096="LIFT"),AJ1096&gt;0),SUMIFS($AJ$7:$AJ$1843,$CG$7:$CG$1843,CG1096,$AN$7:$AN$1843,"&gt;"&amp;AN1096)+SUMIFS($AJ$7:$AJ$1843,$CG$7:$CG$1843,CG1096,$AN$7:$AN$1843,AN1096,$BX$7:$BX$1843,"&lt;="&amp;BX1096),"")</f>
        <v>8633.9967948718</v>
      </c>
      <c r="AP1096" s="70" t="n">
        <f aca="false">IF(AO1096="",0,MAX(0,MIN(1,(IF(CG1096="L1",Parameter!$H$5,IF(CG1096="L23",Parameter!$H$6+Parameter!$H$7,Parameter!$H$5+Parameter!$H$6+Parameter!$H$7))-(AO1096-AJ1096))/AJ1096)))</f>
        <v>1</v>
      </c>
      <c r="AQ1096" s="62" t="n">
        <f aca="false">IF(LEFT(Cockpit!$I$5,1)="A",H1096,IF(Parameter!$E$30="MAX-Bestand",IF(CI1096=1,CJ1096,IF(LEFT(Cockpit!$I$5,1)="B",AW1096,MAX(AW1096,H1096))),ROUNDUP(AU1096,0)))</f>
        <v>9</v>
      </c>
      <c r="AR1096" s="62" t="n">
        <f aca="false">IF(CA1096=1,0,ROUNDUP(AQ1096/BZ1096,0))</f>
        <v>1</v>
      </c>
      <c r="AS1096" s="64" t="n">
        <f aca="false">IF(CR1096&gt;0,CR1096*MAX(1,AQ1096/X1096),IF(CA1096=1,IF(AQ1096&lt;=0,0,CE1096*MAX(1,IF(H1096&gt;0,AQ1096/H1096,1))),IF(R1096&gt;0,AR1096/R1096,0))/MAX(0.1,N(Parameter!$M$21)))</f>
        <v>0.0192307692307692</v>
      </c>
      <c r="AT1096" s="62" t="n">
        <f aca="false">AS1096*CC1096</f>
        <v>2.98076923076923</v>
      </c>
      <c r="AU1096" s="63" t="n">
        <f aca="false">IF(LEFT(Cockpit!$I$5,1)="A",H1096,IF(CI1096=1,(CL1096+CJ1096)/2,IF(LEFT(Cockpit!$I$5,1)="B",(CL1096+AW1096)/2,MAX((CL1096+AW1096)/2,H1096))))</f>
        <v>9</v>
      </c>
      <c r="AV1096" s="62" t="n">
        <f aca="false">AU1096*G1096</f>
        <v>914.58</v>
      </c>
      <c r="AW1096" s="62" t="n">
        <f aca="false">ROUNDUP(CL1096+MAX(CM1096,2*(J1096/IF(CH1096&gt;0,CH1096,MAX(0.1,N(Cockpit!$I$6)))-CL1096)),0)</f>
        <v>2</v>
      </c>
      <c r="AX1096" s="63" t="n">
        <f aca="false">IF(AT1096&gt;0,J1096/AT1096,-1)</f>
        <v>0.670967741935484</v>
      </c>
      <c r="AY1096" s="63" t="n">
        <f aca="false">IF(AND(OR(CG1096="L1",CG1096="L23",CG1096="LIFT"),AT1096&gt;0),SUMIFS($AT$7:$AT$1843,$CG$7:$CG$1843,CG1096,$AX$7:$AX$1843,"&gt;"&amp;AX1096)+SUMIFS($AT$7:$AT$1843,$CG$7:$CG$1843,CG1096,$AX$7:$AX$1843,AX1096,$BX$7:$BX$1843,"&lt;="&amp;BX1096),"")</f>
        <v>10928.1643772894</v>
      </c>
      <c r="AZ1096" s="70" t="n">
        <f aca="false">IF(AY1096="",0,MAX(0,MIN(1,(IF(CG1096="L1",Parameter!$H$5,IF(CG1096="L23",Parameter!$H$6+Parameter!$H$7,Parameter!$H$5+Parameter!$H$6+Parameter!$H$7))-(AY1096-AT1096))/AT1096)))</f>
        <v>1</v>
      </c>
      <c r="BA1096" s="62" t="n">
        <f aca="false">IF(LEFT(Cockpit!$O$5,1)="A",H1096,IF(Parameter!$E$30="MAX-Bestand",IF(CI1096=1,CJ1096,IF(LEFT(Cockpit!$O$5,1)="B",BG1096,MAX(BG1096,H1096))),ROUNDUP(BE1096,0)))</f>
        <v>1</v>
      </c>
      <c r="BB1096" s="62" t="n">
        <f aca="false">IF(CA1096=1,0,ROUNDUP(BA1096/BZ1096,0))</f>
        <v>1</v>
      </c>
      <c r="BC1096" s="64" t="n">
        <f aca="false">IF(CR1096&gt;0,CR1096*MAX(1,BA1096/X1096),IF(CA1096=1,IF(BA1096&lt;=0,0,CE1096*MAX(1,IF(H1096&gt;0,BA1096/H1096,1))),IF(R1096&gt;0,BB1096/R1096,0))/MAX(0.1,N(Parameter!$M$21)))</f>
        <v>0.0192307692307692</v>
      </c>
      <c r="BD1096" s="62" t="n">
        <f aca="false">BC1096*CC1096</f>
        <v>2.98076923076923</v>
      </c>
      <c r="BE1096" s="63" t="n">
        <f aca="false">IF(LEFT(Cockpit!$O$5,1)="A",H1096,IF(CI1096=1,(CL1096+CJ1096)/2,IF(LEFT(Cockpit!$O$5,1)="B",(CL1096+BG1096)/2,MAX((CL1096+BG1096)/2,H1096))))</f>
        <v>0.5</v>
      </c>
      <c r="BF1096" s="62" t="n">
        <f aca="false">BE1096*G1096</f>
        <v>50.81</v>
      </c>
      <c r="BG1096" s="62" t="n">
        <f aca="false">ROUNDUP(CL1096+MAX(CM1096,2*(J1096/IF(CH1096&gt;0,CH1096,MAX(0.1,N(Cockpit!$O$6)))-CL1096)),0)</f>
        <v>1</v>
      </c>
      <c r="BH1096" s="63" t="n">
        <f aca="false">IF(BD1096&gt;0,J1096/BD1096,-1)</f>
        <v>0.670967741935484</v>
      </c>
      <c r="BI1096" s="63" t="n">
        <f aca="false">IF(AND(OR(CG1096="L1",CG1096="L23",CG1096="LIFT"),BD1096&gt;0),SUMIFS($BD$7:$BD$1843,$CG$7:$CG$1843,CG1096,$BH$7:$BH$1843,"&gt;"&amp;BH1096)+SUMIFS($BD$7:$BD$1843,$CG$7:$CG$1843,CG1096,$BH$7:$BH$1843,BH1096,$BX$7:$BX$1843,"&lt;="&amp;BX1096),"")</f>
        <v>9537.79853479853</v>
      </c>
      <c r="BJ1096" s="70" t="n">
        <f aca="false">IF(BI1096="",0,MAX(0,MIN(1,(IF(CG1096="L1",Parameter!$H$5,IF(CG1096="L23",Parameter!$H$6+Parameter!$H$7,Parameter!$H$5+Parameter!$H$6+Parameter!$H$7))-(BI1096-BD1096))/BD1096)))</f>
        <v>1</v>
      </c>
      <c r="BK1096" s="60" t="str">
        <f aca="false">IF(AJ1096&lt;=0,"",IF(CG1096="Aussen","Aussenlager",IF(CG1096="-","Nicht im Lift",IF(AP1096&gt;=1,"Lift",IF(AP1096&lt;=0,"Aussenlager","teilweise")))))</f>
        <v>Lift</v>
      </c>
      <c r="BL1096" s="60" t="str">
        <f aca="false">IF(AT1096&lt;=0,"",IF(CG1096="Aussen","Aussenlager",IF(CG1096="-","Nicht im Lift",IF(AZ1096&gt;=1,"Lift",IF(AZ1096&lt;=0,"Aussenlager","teilweise")))))</f>
        <v>Lift</v>
      </c>
      <c r="BM1096" s="60" t="str">
        <f aca="false">IF(BD1096&lt;=0,"",IF(CG1096="Aussen","Aussenlager",IF(CG1096="-","Nicht im Lift",IF(BJ1096&gt;=1,"Lift",IF(BJ1096&lt;=0,"Aussenlager","teilweise")))))</f>
        <v>Lift</v>
      </c>
      <c r="BN1096" s="60" t="str">
        <f aca="false">IF(A1096="","",IF(BW1096=1,"Neu; ","")&amp;IF(AND(BW1096=0,BR1096&lt;0),"negativer Bestand (Export "&amp;BR1096&amp;"); ","")&amp;IF(J1096&lt;=0,"Kein Verbrauch; ","")&amp;IF(CR1096&gt;0,"Lift "&amp;W1096&amp;" lt. Liftbericht (Fach "&amp;X1096&amp;" Stk); ",IF(CB1096=1,"Gebinde geschätzt ("&amp;T1096&amp;"); ",IF(CA1096=1,"Lose – Tablare geschätzt; ","")))&amp;IF(H1096&gt;AW1096,"Überbestand "&amp;ROUND(H1096-AW1096,0)&amp;" Stk / CHF "&amp;ROUND((H1096-AW1096)*G1096,0)&amp;"; ","")&amp;IF(AND(CI1096=1,CJ1096&lt;CK1096),"MAX &lt; MB+LG; ","")&amp;IF(AND(CQ1096&gt;0,CP1096*10&gt;CQ1096),"zu hoch für Tablar; ","")&amp;IF(AND(BW1096=0,OR(CI1096=1,AB1096&lt;&gt;"",U1096&lt;&gt;"",V1096&lt;&gt;"",AC1096&lt;&gt;"")),"manuell übersteuert; ","")&amp;IF(AND(CA1096=0,R1096=0),"Gebinde unbekannt / Stellmass fehlt; ","")&amp;IF(AND(CA1096=0,N(V1096)&lt;=0,N(Q1096)&lt;=0),"Menge pro Gebinde fehlt (Ist = 1 Gebinde); ","")&amp;BV1096)</f>
        <v>negativer Bestand (Export -2); Überbestand 7 Stk / CHF 711; </v>
      </c>
      <c r="BO1096" s="60"/>
      <c r="BP1096" s="60"/>
      <c r="BQ1096" s="67"/>
      <c r="BR1096" s="62" t="n">
        <v>-2</v>
      </c>
      <c r="BS1096" s="62" t="n">
        <v>11</v>
      </c>
      <c r="BT1096" s="61" t="n">
        <v>-203.24</v>
      </c>
      <c r="BU1096" s="62" t="n">
        <v>2</v>
      </c>
      <c r="BV1096" s="60"/>
      <c r="BW1096" s="65" t="n">
        <v>0</v>
      </c>
      <c r="BX1096" s="65" t="n">
        <v>1096</v>
      </c>
      <c r="BY1096" s="60" t="str">
        <f aca="false">IF(U1096&lt;&gt;"",UPPER(TRIM(U1096)),IF(CB1096=1,UPPER(VLOOKUP(T1096,Parameter!$I$27:$K$29,2,0)),IF(P1096="","LOSE",P1096)))</f>
        <v>S41</v>
      </c>
      <c r="BZ1096" s="62" t="n">
        <f aca="false">IF(BY1096="LOSE",1,IF(N(V1096)&gt;0,V1096,IF(CB1096=1,MAX(1,N(VLOOKUP(T1096,Parameter!$I$27:$K$29,3,0)),H1096,N(N1096)),IF(N(Q1096)&gt;0,Q1096,MAX(1,H1096)))))</f>
        <v>16</v>
      </c>
      <c r="CA1096" s="65" t="n">
        <f aca="false">IF(BY1096="LOSE",1,0)</f>
        <v>0</v>
      </c>
      <c r="CB1096" s="65" t="n">
        <f aca="false">IF(AND(U1096="",OR(P1096="",P1096="LOSE"),T1096&lt;&gt;"",N(S1096)&lt;=0,ISNUMBER(MATCH(T1096,Parameter!$I$27:$I$29,0))),1,0)</f>
        <v>0</v>
      </c>
      <c r="CC1096" s="65" t="n">
        <f aca="false">IF(CR1096&gt;0,INDEX(Parameter!$H$5:$H$7,W1096)/INDEX(Parameter!$E$5:$E$7,W1096),IF(AND(CA1096=0,N(IFERROR(VLOOKUP(BY1096,'Gebinde-Kategorie'!$A$5:$N$45,14,0),0))&gt;0),VLOOKUP(BY1096,'Gebinde-Kategorie'!$A$5:$N$45,14,0)*10+Parameter!$M$23,Parameter!$M$24))</f>
        <v>155</v>
      </c>
      <c r="CD1096" s="60" t="str">
        <f aca="false">IF(AND(Parameter!$B$19="Ja",E1096&lt;&gt;"",ISNUMBER(MATCH(E1096,Parameter!$I$35:$I$52,0))),VLOOKUP(E1096,Parameter!$I$35:$J$52,2,0),IFERROR(VLOOKUP(D1096,Parameter!$A$35:$C$64,2,0),"Nein"))</f>
        <v>2+3</v>
      </c>
      <c r="CE1096" s="64" t="n">
        <f aca="false">IF(CA1096=0,0,IF(N(S1096)&gt;0,S1096,IFERROR(VLOOKUP(D1096,Parameter!$A$35:$C$64,3,0)+0,0)))</f>
        <v>0</v>
      </c>
      <c r="CF1096" s="60" t="n">
        <f aca="false">IF(AB1096&lt;&gt;"",AB1096,AA1096)</f>
        <v>2</v>
      </c>
      <c r="CG1096" s="60" t="str">
        <f aca="false">IF(OR(CF1096=1,CF1096=2,CF1096=3),IF(Parameter!$E$27="Ja","LIFT",IF(CF1096=1,"L1","L23")),IF(CF1096="Aussen","Aussen","-"))</f>
        <v>LIFT</v>
      </c>
      <c r="CH1096" s="71" t="n">
        <f aca="false">IF(N(AC1096)&gt;0,AC1096,0)</f>
        <v>0</v>
      </c>
      <c r="CI1096" s="65" t="n">
        <f aca="false">IF(ISNUMBER(AF1096),1,0)</f>
        <v>0</v>
      </c>
      <c r="CJ1096" s="62" t="n">
        <f aca="false">N(AF1096)</f>
        <v>0</v>
      </c>
      <c r="CK1096" s="62" t="n">
        <f aca="false">N(M1096)+N(N1096)</f>
        <v>1</v>
      </c>
      <c r="CL1096" s="62" t="n">
        <f aca="false">N(M1096)</f>
        <v>0</v>
      </c>
      <c r="CM1096" s="62" t="n">
        <f aca="false">N(N1096)</f>
        <v>1</v>
      </c>
      <c r="CN1096" s="62" t="n">
        <f aca="false">ROUNDUP(H1096/BZ1096,0)</f>
        <v>1</v>
      </c>
      <c r="CO1096" s="62" t="n">
        <f aca="false">ROUNDUP(CJ1096/BZ1096,0)</f>
        <v>0</v>
      </c>
      <c r="CP1096" s="65" t="n">
        <f aca="false">IF(CA1096=1,0,IFERROR(VLOOKUP(BY1096,'Gebinde-Kategorie'!$A$5:$N$45,5,0)+0,0))</f>
        <v>11</v>
      </c>
      <c r="CQ1096" s="65" t="n">
        <f aca="false">IFERROR(IF(OR(CF1096=1,CF1096=2,CF1096=3),N(INDEX(Parameter!$I$5:$I$7,CF1096)),0),0)</f>
        <v>0</v>
      </c>
      <c r="CR1096" s="64" t="n">
        <f aca="false">IF(AND(Parameter!$B$21="Ja",ISNUMBER(W1096),N(X1096)&gt;0),IFERROR(N(INDEX(Parameter!$L$5:$L$7,W1096))*INDEX(Parameter!$E$5:$E$7,W1096)*X1096/SUMIFS($X$7:$X$1843,$W$7:$W$1843,W1096),0),0)</f>
        <v>0</v>
      </c>
      <c r="CS1096" s="62" t="n">
        <f aca="false">IF(AND(OR(CG1096="L1",CG1096="L23",CG1096="LIFT"),H1096&gt;0),CC1096*IF(CR1096&gt;0,CR1096*MAX(1,H1096/X1096),IF(CA1096=1,CE1096,IF(R1096&gt;0,CN1096/R1096,0))/MAX(0.1,N(Parameter!$M$21))),"")</f>
        <v>2.98076923076923</v>
      </c>
      <c r="CT1096" s="64" t="n">
        <f aca="false">IF(CS1096="","",J1096/H1096)</f>
        <v>0.222222222222222</v>
      </c>
      <c r="CU1096" s="62" t="n">
        <f aca="false">IF(CS1096="","",H1096*G1096)</f>
        <v>914.58</v>
      </c>
      <c r="CV1096" s="63" t="n">
        <f aca="false">IF(CS1096="","",(CL1096+ROUNDUP(CL1096+MAX(CM1096,2*(J1096/MAX(0.1,N(Einkauf!$C$6))-CL1096)),0))/2)</f>
        <v>0.5</v>
      </c>
      <c r="CW1096" s="62" t="n">
        <f aca="false">IF(CS1096="","",MAX(0,H1096-CV1096)*G1096)</f>
        <v>863.77</v>
      </c>
      <c r="CX1096" s="62" t="n">
        <f aca="false">IF(CS1096="","",CS1096*MAX(0,1-CV1096/H1096))</f>
        <v>2.81517094017094</v>
      </c>
      <c r="CY1096" s="64" t="n">
        <f aca="false">IF(CS1096="","",PERCENTRANK($CS$7:$CS$1843,CS1096)+PERCENTRANK($CU$7:$CU$1843,CU1096)+1-PERCENTRANK($CT$7:$CT$1843,CT1096))</f>
        <v>1.363</v>
      </c>
      <c r="CZ1096" s="72" t="n">
        <f aca="false">IF(CS1096="","",CHOOSE(MATCH(Einkauf!$C$5,Parameter!$G$23:$G$27,0),CY1096,CS1096,CU1096,-CT1096,CW1096)+ROW()/1000000000)</f>
        <v>1.363001096</v>
      </c>
    </row>
    <row r="1097" customFormat="false" ht="15" hidden="false" customHeight="false" outlineLevel="0" collapsed="false">
      <c r="A1097" s="60" t="s">
        <v>2038</v>
      </c>
      <c r="B1097" s="60" t="s">
        <v>2039</v>
      </c>
      <c r="C1097" s="60" t="s">
        <v>206</v>
      </c>
      <c r="D1097" s="60" t="s">
        <v>215</v>
      </c>
      <c r="E1097" s="60"/>
      <c r="F1097" s="60" t="s">
        <v>260</v>
      </c>
      <c r="G1097" s="61" t="n">
        <v>205.4</v>
      </c>
      <c r="H1097" s="62" t="n">
        <f aca="false">MAX(0,IF(AND(Parameter!$B$21="Ja",ISNUMBER(Y1097)),Y1097,IF(Parameter!$B$20="Jahresanfang 2025 + Export",BS1097+BR1097,BR1097)))</f>
        <v>22</v>
      </c>
      <c r="I1097" s="62" t="n">
        <f aca="false">H1097*G1097</f>
        <v>4518.8</v>
      </c>
      <c r="J1097" s="62" t="n">
        <f aca="false">BU1097*Parameter!$B$18</f>
        <v>0</v>
      </c>
      <c r="K1097" s="63" t="n">
        <v>22.5</v>
      </c>
      <c r="L1097" s="64" t="n">
        <v>0</v>
      </c>
      <c r="M1097" s="62" t="n">
        <v>0</v>
      </c>
      <c r="N1097" s="62" t="n">
        <v>1</v>
      </c>
      <c r="O1097" s="65" t="n">
        <v>28</v>
      </c>
      <c r="P1097" s="60" t="s">
        <v>216</v>
      </c>
      <c r="Q1097" s="62" t="n">
        <v>24</v>
      </c>
      <c r="R1097" s="65" t="n">
        <f aca="false">IF(CA1097=1,0,IFERROR(VLOOKUP(BY1097,'Gebinde-Kategorie'!$A$5:$N$45,13,0)+0,0))</f>
        <v>6</v>
      </c>
      <c r="S1097" s="66"/>
      <c r="T1097" s="67"/>
      <c r="U1097" s="67"/>
      <c r="V1097" s="67"/>
      <c r="W1097" s="60"/>
      <c r="X1097" s="62"/>
      <c r="Y1097" s="62"/>
      <c r="Z1097" s="60" t="n">
        <v>2</v>
      </c>
      <c r="AA1097" s="60" t="n">
        <f aca="false">IF(A1097="","",IF(AND(Parameter!$B$21="Ja",ISNUMBER(W1097)),W1097,IF(AND(Parameter!$E$27="Ja",ISNUMBER(Z1097),CD1097&lt;&gt;"Nein"),Z1097,IF(CD1097="2+3",IF(ISNUMBER(SEARCH("grosser Artikel",BV1097)),2,IFERROR(VLOOKUP(BY1097,Parameter!$F$35:$G$64,2,0),2)),IF(OR(CD1097="Nein",CD1097=""),"-",CD1097)))))</f>
        <v>2</v>
      </c>
      <c r="AB1097" s="67"/>
      <c r="AC1097" s="68"/>
      <c r="AD1097" s="62" t="n">
        <f aca="false">AW1097</f>
        <v>1</v>
      </c>
      <c r="AE1097" s="62" t="n">
        <f aca="false">MAX(AW1097,H1097)</f>
        <v>22</v>
      </c>
      <c r="AF1097" s="69"/>
      <c r="AG1097" s="62" t="n">
        <f aca="false">IF(LEFT(Cockpit!$C$5,1)="A",H1097,IF(Parameter!$E$30="MAX-Bestand",IF(CI1097=1,CJ1097,IF(LEFT(Cockpit!$C$5,1)="B",AM1097,MAX(AM1097,H1097))),ROUNDUP(AK1097,0)))</f>
        <v>22</v>
      </c>
      <c r="AH1097" s="62" t="n">
        <f aca="false">IF(CA1097=1,0,ROUNDUP(AG1097/BZ1097,0))</f>
        <v>1</v>
      </c>
      <c r="AI1097" s="64" t="n">
        <f aca="false">IF(CR1097&gt;0,CR1097*MAX(1,AG1097/X1097),IF(CA1097=1,IF(AG1097&lt;=0,0,CE1097*MAX(1,IF(H1097&gt;0,AG1097/H1097,1))),IF(R1097&gt;0,AH1097/R1097,0))/MAX(0.1,N(Parameter!$M$21)))</f>
        <v>0.166666666666667</v>
      </c>
      <c r="AJ1097" s="62" t="n">
        <f aca="false">AI1097*CC1097</f>
        <v>39.1666666666667</v>
      </c>
      <c r="AK1097" s="63" t="n">
        <f aca="false">IF(LEFT(Cockpit!$C$5,1)="A",H1097,IF(CI1097=1,(CL1097+CJ1097)/2,IF(LEFT(Cockpit!$C$5,1)="B",(CL1097+AM1097)/2,MAX((CL1097+AM1097)/2,H1097))))</f>
        <v>22</v>
      </c>
      <c r="AL1097" s="62" t="n">
        <f aca="false">AK1097*G1097</f>
        <v>4518.8</v>
      </c>
      <c r="AM1097" s="62" t="n">
        <f aca="false">ROUNDUP(CL1097+MAX(CM1097,2*(J1097/IF(CH1097&gt;0,CH1097,MAX(0.1,N(Cockpit!$C$6)))-CL1097)),0)</f>
        <v>1</v>
      </c>
      <c r="AN1097" s="63" t="n">
        <f aca="false">IF(AJ1097&gt;0,J1097/AJ1097,-1)</f>
        <v>0</v>
      </c>
      <c r="AO1097" s="63" t="n">
        <f aca="false">IF(AND(OR(CG1097="L1",CG1097="L23",CG1097="LIFT"),AJ1097&gt;0),SUMIFS($AJ$7:$AJ$1843,$CG$7:$CG$1843,CG1097,$AN$7:$AN$1843,"&gt;"&amp;AN1097)+SUMIFS($AJ$7:$AJ$1843,$CG$7:$CG$1843,CG1097,$AN$7:$AN$1843,AN1097,$BX$7:$BX$1843,"&lt;="&amp;BX1097),"")</f>
        <v>29133.3884465346</v>
      </c>
      <c r="AP1097" s="70" t="n">
        <f aca="false">IF(AO1097="",0,MAX(0,MIN(1,(IF(CG1097="L1",Parameter!$H$5,IF(CG1097="L23",Parameter!$H$6+Parameter!$H$7,Parameter!$H$5+Parameter!$H$6+Parameter!$H$7))-(AO1097-AJ1097))/AJ1097)))</f>
        <v>1</v>
      </c>
      <c r="AQ1097" s="62" t="n">
        <f aca="false">IF(LEFT(Cockpit!$I$5,1)="A",H1097,IF(Parameter!$E$30="MAX-Bestand",IF(CI1097=1,CJ1097,IF(LEFT(Cockpit!$I$5,1)="B",AW1097,MAX(AW1097,H1097))),ROUNDUP(AU1097,0)))</f>
        <v>22</v>
      </c>
      <c r="AR1097" s="62" t="n">
        <f aca="false">IF(CA1097=1,0,ROUNDUP(AQ1097/BZ1097,0))</f>
        <v>1</v>
      </c>
      <c r="AS1097" s="64" t="n">
        <f aca="false">IF(CR1097&gt;0,CR1097*MAX(1,AQ1097/X1097),IF(CA1097=1,IF(AQ1097&lt;=0,0,CE1097*MAX(1,IF(H1097&gt;0,AQ1097/H1097,1))),IF(R1097&gt;0,AR1097/R1097,0))/MAX(0.1,N(Parameter!$M$21)))</f>
        <v>0.166666666666667</v>
      </c>
      <c r="AT1097" s="62" t="n">
        <f aca="false">AS1097*CC1097</f>
        <v>39.1666666666667</v>
      </c>
      <c r="AU1097" s="63" t="n">
        <f aca="false">IF(LEFT(Cockpit!$I$5,1)="A",H1097,IF(CI1097=1,(CL1097+CJ1097)/2,IF(LEFT(Cockpit!$I$5,1)="B",(CL1097+AW1097)/2,MAX((CL1097+AW1097)/2,H1097))))</f>
        <v>22</v>
      </c>
      <c r="AV1097" s="62" t="n">
        <f aca="false">AU1097*G1097</f>
        <v>4518.8</v>
      </c>
      <c r="AW1097" s="62" t="n">
        <f aca="false">ROUNDUP(CL1097+MAX(CM1097,2*(J1097/IF(CH1097&gt;0,CH1097,MAX(0.1,N(Cockpit!$I$6)))-CL1097)),0)</f>
        <v>1</v>
      </c>
      <c r="AX1097" s="63" t="n">
        <f aca="false">IF(AT1097&gt;0,J1097/AT1097,-1)</f>
        <v>0</v>
      </c>
      <c r="AY1097" s="63" t="n">
        <f aca="false">IF(AND(OR(CG1097="L1",CG1097="L23",CG1097="LIFT"),AT1097&gt;0),SUMIFS($AT$7:$AT$1843,$CG$7:$CG$1843,CG1097,$AX$7:$AX$1843,"&gt;"&amp;AX1097)+SUMIFS($AT$7:$AT$1843,$CG$7:$CG$1843,CG1097,$AX$7:$AX$1843,AX1097,$BX$7:$BX$1843,"&lt;="&amp;BX1097),"")</f>
        <v>34847.6836080586</v>
      </c>
      <c r="AZ1097" s="70" t="n">
        <f aca="false">IF(AY1097="",0,MAX(0,MIN(1,(IF(CG1097="L1",Parameter!$H$5,IF(CG1097="L23",Parameter!$H$6+Parameter!$H$7,Parameter!$H$5+Parameter!$H$6+Parameter!$H$7))-(AY1097-AT1097))/AT1097)))</f>
        <v>1</v>
      </c>
      <c r="BA1097" s="62" t="n">
        <f aca="false">IF(LEFT(Cockpit!$O$5,1)="A",H1097,IF(Parameter!$E$30="MAX-Bestand",IF(CI1097=1,CJ1097,IF(LEFT(Cockpit!$O$5,1)="B",BG1097,MAX(BG1097,H1097))),ROUNDUP(BE1097,0)))</f>
        <v>1</v>
      </c>
      <c r="BB1097" s="62" t="n">
        <f aca="false">IF(CA1097=1,0,ROUNDUP(BA1097/BZ1097,0))</f>
        <v>1</v>
      </c>
      <c r="BC1097" s="64" t="n">
        <f aca="false">IF(CR1097&gt;0,CR1097*MAX(1,BA1097/X1097),IF(CA1097=1,IF(BA1097&lt;=0,0,CE1097*MAX(1,IF(H1097&gt;0,BA1097/H1097,1))),IF(R1097&gt;0,BB1097/R1097,0))/MAX(0.1,N(Parameter!$M$21)))</f>
        <v>0.166666666666667</v>
      </c>
      <c r="BD1097" s="62" t="n">
        <f aca="false">BC1097*CC1097</f>
        <v>39.1666666666667</v>
      </c>
      <c r="BE1097" s="63" t="n">
        <f aca="false">IF(LEFT(Cockpit!$O$5,1)="A",H1097,IF(CI1097=1,(CL1097+CJ1097)/2,IF(LEFT(Cockpit!$O$5,1)="B",(CL1097+BG1097)/2,MAX((CL1097+BG1097)/2,H1097))))</f>
        <v>0.5</v>
      </c>
      <c r="BF1097" s="62" t="n">
        <f aca="false">BE1097*G1097</f>
        <v>102.7</v>
      </c>
      <c r="BG1097" s="62" t="n">
        <f aca="false">ROUNDUP(CL1097+MAX(CM1097,2*(J1097/IF(CH1097&gt;0,CH1097,MAX(0.1,N(Cockpit!$O$6)))-CL1097)),0)</f>
        <v>1</v>
      </c>
      <c r="BH1097" s="63" t="n">
        <f aca="false">IF(BD1097&gt;0,J1097/BD1097,-1)</f>
        <v>0</v>
      </c>
      <c r="BI1097" s="63" t="n">
        <f aca="false">IF(AND(OR(CG1097="L1",CG1097="L23",CG1097="LIFT"),BD1097&gt;0),SUMIFS($BD$7:$BD$1843,$CG$7:$CG$1843,CG1097,$BH$7:$BH$1843,"&gt;"&amp;BH1097)+SUMIFS($BD$7:$BD$1843,$CG$7:$CG$1843,CG1097,$BH$7:$BH$1843,BH1097,$BX$7:$BX$1843,"&lt;="&amp;BX1097),"")</f>
        <v>28832.9902682064</v>
      </c>
      <c r="BJ1097" s="70" t="n">
        <f aca="false">IF(BI1097="",0,MAX(0,MIN(1,(IF(CG1097="L1",Parameter!$H$5,IF(CG1097="L23",Parameter!$H$6+Parameter!$H$7,Parameter!$H$5+Parameter!$H$6+Parameter!$H$7))-(BI1097-BD1097))/BD1097)))</f>
        <v>1</v>
      </c>
      <c r="BK1097" s="60" t="str">
        <f aca="false">IF(AJ1097&lt;=0,"",IF(CG1097="Aussen","Aussenlager",IF(CG1097="-","Nicht im Lift",IF(AP1097&gt;=1,"Lift",IF(AP1097&lt;=0,"Aussenlager","teilweise")))))</f>
        <v>Lift</v>
      </c>
      <c r="BL1097" s="60" t="str">
        <f aca="false">IF(AT1097&lt;=0,"",IF(CG1097="Aussen","Aussenlager",IF(CG1097="-","Nicht im Lift",IF(AZ1097&gt;=1,"Lift",IF(AZ1097&lt;=0,"Aussenlager","teilweise")))))</f>
        <v>Lift</v>
      </c>
      <c r="BM1097" s="60" t="str">
        <f aca="false">IF(BD1097&lt;=0,"",IF(CG1097="Aussen","Aussenlager",IF(CG1097="-","Nicht im Lift",IF(BJ1097&gt;=1,"Lift",IF(BJ1097&lt;=0,"Aussenlager","teilweise")))))</f>
        <v>Lift</v>
      </c>
      <c r="BN1097" s="60" t="str">
        <f aca="false">IF(A1097="","",IF(BW1097=1,"Neu; ","")&amp;IF(AND(BW1097=0,BR1097&lt;0),"negativer Bestand (Export "&amp;BR1097&amp;"); ","")&amp;IF(J1097&lt;=0,"Kein Verbrauch; ","")&amp;IF(CR1097&gt;0,"Lift "&amp;W1097&amp;" lt. Liftbericht (Fach "&amp;X1097&amp;" Stk); ",IF(CB1097=1,"Gebinde geschätzt ("&amp;T1097&amp;"); ",IF(CA1097=1,"Lose – Tablare geschätzt; ","")))&amp;IF(H1097&gt;AW1097,"Überbestand "&amp;ROUND(H1097-AW1097,0)&amp;" Stk / CHF "&amp;ROUND((H1097-AW1097)*G1097,0)&amp;"; ","")&amp;IF(AND(CI1097=1,CJ1097&lt;CK1097),"MAX &lt; MB+LG; ","")&amp;IF(AND(CQ1097&gt;0,CP1097*10&gt;CQ1097),"zu hoch für Tablar; ","")&amp;IF(AND(BW1097=0,OR(CI1097=1,AB1097&lt;&gt;"",U1097&lt;&gt;"",V1097&lt;&gt;"",AC1097&lt;&gt;"")),"manuell übersteuert; ","")&amp;IF(AND(CA1097=0,R1097=0),"Gebinde unbekannt / Stellmass fehlt; ","")&amp;IF(AND(CA1097=0,N(V1097)&lt;=0,N(Q1097)&lt;=0),"Menge pro Gebinde fehlt (Ist = 1 Gebinde); ","")&amp;BV1097)</f>
        <v>negativer Bestand (Export -1); Kein Verbrauch; Überbestand 21 Stk / CHF 4313; </v>
      </c>
      <c r="BO1097" s="60"/>
      <c r="BP1097" s="60"/>
      <c r="BQ1097" s="67"/>
      <c r="BR1097" s="62" t="n">
        <v>-1</v>
      </c>
      <c r="BS1097" s="62" t="n">
        <v>23</v>
      </c>
      <c r="BT1097" s="61" t="n">
        <v>-205.4</v>
      </c>
      <c r="BU1097" s="62" t="n">
        <v>0</v>
      </c>
      <c r="BV1097" s="60"/>
      <c r="BW1097" s="65" t="n">
        <v>0</v>
      </c>
      <c r="BX1097" s="65" t="n">
        <v>1097</v>
      </c>
      <c r="BY1097" s="60" t="str">
        <f aca="false">IF(U1097&lt;&gt;"",UPPER(TRIM(U1097)),IF(CB1097=1,UPPER(VLOOKUP(T1097,Parameter!$I$27:$K$29,2,0)),IF(P1097="","LOSE",P1097)))</f>
        <v>S71</v>
      </c>
      <c r="BZ1097" s="62" t="n">
        <f aca="false">IF(BY1097="LOSE",1,IF(N(V1097)&gt;0,V1097,IF(CB1097=1,MAX(1,N(VLOOKUP(T1097,Parameter!$I$27:$K$29,3,0)),H1097,N(N1097)),IF(N(Q1097)&gt;0,Q1097,MAX(1,H1097)))))</f>
        <v>24</v>
      </c>
      <c r="CA1097" s="65" t="n">
        <f aca="false">IF(BY1097="LOSE",1,0)</f>
        <v>0</v>
      </c>
      <c r="CB1097" s="65" t="n">
        <f aca="false">IF(AND(U1097="",OR(P1097="",P1097="LOSE"),T1097&lt;&gt;"",N(S1097)&lt;=0,ISNUMBER(MATCH(T1097,Parameter!$I$27:$I$29,0))),1,0)</f>
        <v>0</v>
      </c>
      <c r="CC1097" s="65" t="n">
        <f aca="false">IF(CR1097&gt;0,INDEX(Parameter!$H$5:$H$7,W1097)/INDEX(Parameter!$E$5:$E$7,W1097),IF(AND(CA1097=0,N(IFERROR(VLOOKUP(BY1097,'Gebinde-Kategorie'!$A$5:$N$45,14,0),0))&gt;0),VLOOKUP(BY1097,'Gebinde-Kategorie'!$A$5:$N$45,14,0)*10+Parameter!$M$23,Parameter!$M$24))</f>
        <v>235</v>
      </c>
      <c r="CD1097" s="60" t="str">
        <f aca="false">IF(AND(Parameter!$B$19="Ja",E1097&lt;&gt;"",ISNUMBER(MATCH(E1097,Parameter!$I$35:$I$52,0))),VLOOKUP(E1097,Parameter!$I$35:$J$52,2,0),IFERROR(VLOOKUP(D1097,Parameter!$A$35:$C$64,2,0),"Nein"))</f>
        <v>2+3</v>
      </c>
      <c r="CE1097" s="64" t="n">
        <f aca="false">IF(CA1097=0,0,IF(N(S1097)&gt;0,S1097,IFERROR(VLOOKUP(D1097,Parameter!$A$35:$C$64,3,0)+0,0)))</f>
        <v>0</v>
      </c>
      <c r="CF1097" s="60" t="n">
        <f aca="false">IF(AB1097&lt;&gt;"",AB1097,AA1097)</f>
        <v>2</v>
      </c>
      <c r="CG1097" s="60" t="str">
        <f aca="false">IF(OR(CF1097=1,CF1097=2,CF1097=3),IF(Parameter!$E$27="Ja","LIFT",IF(CF1097=1,"L1","L23")),IF(CF1097="Aussen","Aussen","-"))</f>
        <v>LIFT</v>
      </c>
      <c r="CH1097" s="71" t="n">
        <f aca="false">IF(N(AC1097)&gt;0,AC1097,0)</f>
        <v>0</v>
      </c>
      <c r="CI1097" s="65" t="n">
        <f aca="false">IF(ISNUMBER(AF1097),1,0)</f>
        <v>0</v>
      </c>
      <c r="CJ1097" s="62" t="n">
        <f aca="false">N(AF1097)</f>
        <v>0</v>
      </c>
      <c r="CK1097" s="62" t="n">
        <f aca="false">N(M1097)+N(N1097)</f>
        <v>1</v>
      </c>
      <c r="CL1097" s="62" t="n">
        <f aca="false">N(M1097)</f>
        <v>0</v>
      </c>
      <c r="CM1097" s="62" t="n">
        <f aca="false">N(N1097)</f>
        <v>1</v>
      </c>
      <c r="CN1097" s="62" t="n">
        <f aca="false">ROUNDUP(H1097/BZ1097,0)</f>
        <v>1</v>
      </c>
      <c r="CO1097" s="62" t="n">
        <f aca="false">ROUNDUP(CJ1097/BZ1097,0)</f>
        <v>0</v>
      </c>
      <c r="CP1097" s="65" t="n">
        <f aca="false">IF(CA1097=1,0,IFERROR(VLOOKUP(BY1097,'Gebinde-Kategorie'!$A$5:$N$45,5,0)+0,0))</f>
        <v>20</v>
      </c>
      <c r="CQ1097" s="65" t="n">
        <f aca="false">IFERROR(IF(OR(CF1097=1,CF1097=2,CF1097=3),N(INDEX(Parameter!$I$5:$I$7,CF1097)),0),0)</f>
        <v>0</v>
      </c>
      <c r="CR1097" s="64" t="n">
        <f aca="false">IF(AND(Parameter!$B$21="Ja",ISNUMBER(W1097),N(X1097)&gt;0),IFERROR(N(INDEX(Parameter!$L$5:$L$7,W1097))*INDEX(Parameter!$E$5:$E$7,W1097)*X1097/SUMIFS($X$7:$X$1843,$W$7:$W$1843,W1097),0),0)</f>
        <v>0</v>
      </c>
      <c r="CS1097" s="62" t="n">
        <f aca="false">IF(AND(OR(CG1097="L1",CG1097="L23",CG1097="LIFT"),H1097&gt;0),CC1097*IF(CR1097&gt;0,CR1097*MAX(1,H1097/X1097),IF(CA1097=1,CE1097,IF(R1097&gt;0,CN1097/R1097,0))/MAX(0.1,N(Parameter!$M$21))),"")</f>
        <v>39.1666666666667</v>
      </c>
      <c r="CT1097" s="64" t="n">
        <f aca="false">IF(CS1097="","",J1097/H1097)</f>
        <v>0</v>
      </c>
      <c r="CU1097" s="62" t="n">
        <f aca="false">IF(CS1097="","",H1097*G1097)</f>
        <v>4518.8</v>
      </c>
      <c r="CV1097" s="63" t="n">
        <f aca="false">IF(CS1097="","",(CL1097+ROUNDUP(CL1097+MAX(CM1097,2*(J1097/MAX(0.1,N(Einkauf!$C$6))-CL1097)),0))/2)</f>
        <v>0.5</v>
      </c>
      <c r="CW1097" s="62" t="n">
        <f aca="false">IF(CS1097="","",MAX(0,H1097-CV1097)*G1097)</f>
        <v>4416.1</v>
      </c>
      <c r="CX1097" s="62" t="n">
        <f aca="false">IF(CS1097="","",CS1097*MAX(0,1-CV1097/H1097))</f>
        <v>38.2765151515152</v>
      </c>
      <c r="CY1097" s="64" t="n">
        <f aca="false">IF(CS1097="","",PERCENTRANK($CS$7:$CS$1843,CS1097)+PERCENTRANK($CU$7:$CU$1843,CU1097)+1-PERCENTRANK($CT$7:$CT$1843,CT1097))</f>
        <v>2.751</v>
      </c>
      <c r="CZ1097" s="72" t="n">
        <f aca="false">IF(CS1097="","",CHOOSE(MATCH(Einkauf!$C$5,Parameter!$G$23:$G$27,0),CY1097,CS1097,CU1097,-CT1097,CW1097)+ROW()/1000000000)</f>
        <v>2.751001097</v>
      </c>
    </row>
    <row r="1098" customFormat="false" ht="15" hidden="false" customHeight="false" outlineLevel="0" collapsed="false">
      <c r="A1098" s="60" t="s">
        <v>2040</v>
      </c>
      <c r="B1098" s="60" t="s">
        <v>549</v>
      </c>
      <c r="C1098" s="60" t="s">
        <v>206</v>
      </c>
      <c r="D1098" s="60" t="s">
        <v>226</v>
      </c>
      <c r="E1098" s="60" t="s">
        <v>227</v>
      </c>
      <c r="F1098" s="60" t="s">
        <v>260</v>
      </c>
      <c r="G1098" s="61" t="n">
        <v>1.85</v>
      </c>
      <c r="H1098" s="62" t="n">
        <f aca="false">MAX(0,IF(AND(Parameter!$B$21="Ja",ISNUMBER(Y1098)),Y1098,IF(Parameter!$B$20="Jahresanfang 2025 + Export",BS1098+BR1098,BR1098)))</f>
        <v>322</v>
      </c>
      <c r="I1098" s="62" t="n">
        <f aca="false">H1098*G1098</f>
        <v>595.7</v>
      </c>
      <c r="J1098" s="62" t="n">
        <f aca="false">BU1098*Parameter!$B$18</f>
        <v>260</v>
      </c>
      <c r="K1098" s="63" t="n">
        <v>409.5</v>
      </c>
      <c r="L1098" s="64" t="n">
        <v>0.634920634920635</v>
      </c>
      <c r="M1098" s="62" t="n">
        <v>15</v>
      </c>
      <c r="N1098" s="62" t="n">
        <v>260</v>
      </c>
      <c r="O1098" s="65" t="n">
        <v>21</v>
      </c>
      <c r="P1098" s="60" t="s">
        <v>275</v>
      </c>
      <c r="Q1098" s="62" t="n">
        <v>832</v>
      </c>
      <c r="R1098" s="65" t="n">
        <f aca="false">IF(CA1098=1,0,IFERROR(VLOOKUP(BY1098,'Gebinde-Kategorie'!$A$5:$N$45,13,0)+0,0))</f>
        <v>26</v>
      </c>
      <c r="S1098" s="66"/>
      <c r="T1098" s="67"/>
      <c r="U1098" s="67"/>
      <c r="V1098" s="67"/>
      <c r="W1098" s="60"/>
      <c r="X1098" s="62"/>
      <c r="Y1098" s="62"/>
      <c r="Z1098" s="60" t="n">
        <v>3</v>
      </c>
      <c r="AA1098" s="60" t="n">
        <f aca="false">IF(A1098="","",IF(AND(Parameter!$B$21="Ja",ISNUMBER(W1098)),W1098,IF(AND(Parameter!$E$27="Ja",ISNUMBER(Z1098),CD1098&lt;&gt;"Nein"),Z1098,IF(CD1098="2+3",IF(ISNUMBER(SEARCH("grosser Artikel",BV1098)),2,IFERROR(VLOOKUP(BY1098,Parameter!$F$35:$G$64,2,0),2)),IF(OR(CD1098="Nein",CD1098=""),"-",CD1098)))))</f>
        <v>3</v>
      </c>
      <c r="AB1098" s="67"/>
      <c r="AC1098" s="68"/>
      <c r="AD1098" s="62" t="n">
        <f aca="false">AW1098</f>
        <v>275</v>
      </c>
      <c r="AE1098" s="62" t="n">
        <f aca="false">MAX(AW1098,H1098)</f>
        <v>322</v>
      </c>
      <c r="AF1098" s="69"/>
      <c r="AG1098" s="62" t="n">
        <f aca="false">IF(LEFT(Cockpit!$C$5,1)="A",H1098,IF(Parameter!$E$30="MAX-Bestand",IF(CI1098=1,CJ1098,IF(LEFT(Cockpit!$C$5,1)="B",AM1098,MAX(AM1098,H1098))),ROUNDUP(AK1098,0)))</f>
        <v>322</v>
      </c>
      <c r="AH1098" s="62" t="n">
        <f aca="false">IF(CA1098=1,0,ROUNDUP(AG1098/BZ1098,0))</f>
        <v>1</v>
      </c>
      <c r="AI1098" s="64" t="n">
        <f aca="false">IF(CR1098&gt;0,CR1098*MAX(1,AG1098/X1098),IF(CA1098=1,IF(AG1098&lt;=0,0,CE1098*MAX(1,IF(H1098&gt;0,AG1098/H1098,1))),IF(R1098&gt;0,AH1098/R1098,0))/MAX(0.1,N(Parameter!$M$21)))</f>
        <v>0.0384615384615385</v>
      </c>
      <c r="AJ1098" s="62" t="n">
        <f aca="false">AI1098*CC1098</f>
        <v>9.42307692307692</v>
      </c>
      <c r="AK1098" s="63" t="n">
        <f aca="false">IF(LEFT(Cockpit!$C$5,1)="A",H1098,IF(CI1098=1,(CL1098+CJ1098)/2,IF(LEFT(Cockpit!$C$5,1)="B",(CL1098+AM1098)/2,MAX((CL1098+AM1098)/2,H1098))))</f>
        <v>322</v>
      </c>
      <c r="AL1098" s="62" t="n">
        <f aca="false">AK1098*G1098</f>
        <v>595.7</v>
      </c>
      <c r="AM1098" s="62" t="n">
        <f aca="false">ROUNDUP(CL1098+MAX(CM1098,2*(J1098/IF(CH1098&gt;0,CH1098,MAX(0.1,N(Cockpit!$C$6)))-CL1098)),0)</f>
        <v>275</v>
      </c>
      <c r="AN1098" s="63" t="n">
        <f aca="false">IF(AJ1098&gt;0,J1098/AJ1098,-1)</f>
        <v>27.5918367346939</v>
      </c>
      <c r="AO1098" s="63" t="n">
        <f aca="false">IF(AND(OR(CG1098="L1",CG1098="L23",CG1098="LIFT"),AJ1098&gt;0),SUMIFS($AJ$7:$AJ$1843,$CG$7:$CG$1843,CG1098,$AN$7:$AN$1843,"&gt;"&amp;AN1098)+SUMIFS($AJ$7:$AJ$1843,$CG$7:$CG$1843,CG1098,$AN$7:$AN$1843,AN1098,$BX$7:$BX$1843,"&lt;="&amp;BX1098),"")</f>
        <v>1501.54075091575</v>
      </c>
      <c r="AP1098" s="70" t="n">
        <f aca="false">IF(AO1098="",0,MAX(0,MIN(1,(IF(CG1098="L1",Parameter!$H$5,IF(CG1098="L23",Parameter!$H$6+Parameter!$H$7,Parameter!$H$5+Parameter!$H$6+Parameter!$H$7))-(AO1098-AJ1098))/AJ1098)))</f>
        <v>1</v>
      </c>
      <c r="AQ1098" s="62" t="n">
        <f aca="false">IF(LEFT(Cockpit!$I$5,1)="A",H1098,IF(Parameter!$E$30="MAX-Bestand",IF(CI1098=1,CJ1098,IF(LEFT(Cockpit!$I$5,1)="B",AW1098,MAX(AW1098,H1098))),ROUNDUP(AU1098,0)))</f>
        <v>322</v>
      </c>
      <c r="AR1098" s="62" t="n">
        <f aca="false">IF(CA1098=1,0,ROUNDUP(AQ1098/BZ1098,0))</f>
        <v>1</v>
      </c>
      <c r="AS1098" s="64" t="n">
        <f aca="false">IF(CR1098&gt;0,CR1098*MAX(1,AQ1098/X1098),IF(CA1098=1,IF(AQ1098&lt;=0,0,CE1098*MAX(1,IF(H1098&gt;0,AQ1098/H1098,1))),IF(R1098&gt;0,AR1098/R1098,0))/MAX(0.1,N(Parameter!$M$21)))</f>
        <v>0.0384615384615385</v>
      </c>
      <c r="AT1098" s="62" t="n">
        <f aca="false">AS1098*CC1098</f>
        <v>9.42307692307692</v>
      </c>
      <c r="AU1098" s="63" t="n">
        <f aca="false">IF(LEFT(Cockpit!$I$5,1)="A",H1098,IF(CI1098=1,(CL1098+CJ1098)/2,IF(LEFT(Cockpit!$I$5,1)="B",(CL1098+AW1098)/2,MAX((CL1098+AW1098)/2,H1098))))</f>
        <v>322</v>
      </c>
      <c r="AV1098" s="62" t="n">
        <f aca="false">AU1098*G1098</f>
        <v>595.7</v>
      </c>
      <c r="AW1098" s="62" t="n">
        <f aca="false">ROUNDUP(CL1098+MAX(CM1098,2*(J1098/IF(CH1098&gt;0,CH1098,MAX(0.1,N(Cockpit!$I$6)))-CL1098)),0)</f>
        <v>275</v>
      </c>
      <c r="AX1098" s="63" t="n">
        <f aca="false">IF(AT1098&gt;0,J1098/AT1098,-1)</f>
        <v>27.5918367346939</v>
      </c>
      <c r="AY1098" s="63" t="n">
        <f aca="false">IF(AND(OR(CG1098="L1",CG1098="L23",CG1098="LIFT"),AT1098&gt;0),SUMIFS($AT$7:$AT$1843,$CG$7:$CG$1843,CG1098,$AX$7:$AX$1843,"&gt;"&amp;AX1098)+SUMIFS($AT$7:$AT$1843,$CG$7:$CG$1843,CG1098,$AX$7:$AX$1843,AX1098,$BX$7:$BX$1843,"&lt;="&amp;BX1098),"")</f>
        <v>1920.16804029304</v>
      </c>
      <c r="AZ1098" s="70" t="n">
        <f aca="false">IF(AY1098="",0,MAX(0,MIN(1,(IF(CG1098="L1",Parameter!$H$5,IF(CG1098="L23",Parameter!$H$6+Parameter!$H$7,Parameter!$H$5+Parameter!$H$6+Parameter!$H$7))-(AY1098-AT1098))/AT1098)))</f>
        <v>1</v>
      </c>
      <c r="BA1098" s="62" t="n">
        <f aca="false">IF(LEFT(Cockpit!$O$5,1)="A",H1098,IF(Parameter!$E$30="MAX-Bestand",IF(CI1098=1,CJ1098,IF(LEFT(Cockpit!$O$5,1)="B",BG1098,MAX(BG1098,H1098))),ROUNDUP(BE1098,0)))</f>
        <v>145</v>
      </c>
      <c r="BB1098" s="62" t="n">
        <f aca="false">IF(CA1098=1,0,ROUNDUP(BA1098/BZ1098,0))</f>
        <v>1</v>
      </c>
      <c r="BC1098" s="64" t="n">
        <f aca="false">IF(CR1098&gt;0,CR1098*MAX(1,BA1098/X1098),IF(CA1098=1,IF(BA1098&lt;=0,0,CE1098*MAX(1,IF(H1098&gt;0,BA1098/H1098,1))),IF(R1098&gt;0,BB1098/R1098,0))/MAX(0.1,N(Parameter!$M$21)))</f>
        <v>0.0384615384615385</v>
      </c>
      <c r="BD1098" s="62" t="n">
        <f aca="false">BC1098*CC1098</f>
        <v>9.42307692307692</v>
      </c>
      <c r="BE1098" s="63" t="n">
        <f aca="false">IF(LEFT(Cockpit!$O$5,1)="A",H1098,IF(CI1098=1,(CL1098+CJ1098)/2,IF(LEFT(Cockpit!$O$5,1)="B",(CL1098+BG1098)/2,MAX((CL1098+BG1098)/2,H1098))))</f>
        <v>145</v>
      </c>
      <c r="BF1098" s="62" t="n">
        <f aca="false">BE1098*G1098</f>
        <v>268.25</v>
      </c>
      <c r="BG1098" s="62" t="n">
        <f aca="false">ROUNDUP(CL1098+MAX(CM1098,2*(J1098/IF(CH1098&gt;0,CH1098,MAX(0.1,N(Cockpit!$O$6)))-CL1098)),0)</f>
        <v>275</v>
      </c>
      <c r="BH1098" s="63" t="n">
        <f aca="false">IF(BD1098&gt;0,J1098/BD1098,-1)</f>
        <v>27.5918367346939</v>
      </c>
      <c r="BI1098" s="63" t="n">
        <f aca="false">IF(AND(OR(CG1098="L1",CG1098="L23",CG1098="LIFT"),BD1098&gt;0),SUMIFS($BD$7:$BD$1843,$CG$7:$CG$1843,CG1098,$BH$7:$BH$1843,"&gt;"&amp;BH1098)+SUMIFS($BD$7:$BD$1843,$CG$7:$CG$1843,CG1098,$BH$7:$BH$1843,BH1098,$BX$7:$BX$1843,"&lt;="&amp;BX1098),"")</f>
        <v>1918.31868131868</v>
      </c>
      <c r="BJ1098" s="70" t="n">
        <f aca="false">IF(BI1098="",0,MAX(0,MIN(1,(IF(CG1098="L1",Parameter!$H$5,IF(CG1098="L23",Parameter!$H$6+Parameter!$H$7,Parameter!$H$5+Parameter!$H$6+Parameter!$H$7))-(BI1098-BD1098))/BD1098)))</f>
        <v>1</v>
      </c>
      <c r="BK1098" s="60" t="str">
        <f aca="false">IF(AJ1098&lt;=0,"",IF(CG1098="Aussen","Aussenlager",IF(CG1098="-","Nicht im Lift",IF(AP1098&gt;=1,"Lift",IF(AP1098&lt;=0,"Aussenlager","teilweise")))))</f>
        <v>Lift</v>
      </c>
      <c r="BL1098" s="60" t="str">
        <f aca="false">IF(AT1098&lt;=0,"",IF(CG1098="Aussen","Aussenlager",IF(CG1098="-","Nicht im Lift",IF(AZ1098&gt;=1,"Lift",IF(AZ1098&lt;=0,"Aussenlager","teilweise")))))</f>
        <v>Lift</v>
      </c>
      <c r="BM1098" s="60" t="str">
        <f aca="false">IF(BD1098&lt;=0,"",IF(CG1098="Aussen","Aussenlager",IF(CG1098="-","Nicht im Lift",IF(BJ1098&gt;=1,"Lift",IF(BJ1098&lt;=0,"Aussenlager","teilweise")))))</f>
        <v>Lift</v>
      </c>
      <c r="BN1098" s="60" t="str">
        <f aca="false">IF(A1098="","",IF(BW1098=1,"Neu; ","")&amp;IF(AND(BW1098=0,BR1098&lt;0),"negativer Bestand (Export "&amp;BR1098&amp;"); ","")&amp;IF(J1098&lt;=0,"Kein Verbrauch; ","")&amp;IF(CR1098&gt;0,"Lift "&amp;W1098&amp;" lt. Liftbericht (Fach "&amp;X1098&amp;" Stk); ",IF(CB1098=1,"Gebinde geschätzt ("&amp;T1098&amp;"); ",IF(CA1098=1,"Lose – Tablare geschätzt; ","")))&amp;IF(H1098&gt;AW1098,"Überbestand "&amp;ROUND(H1098-AW1098,0)&amp;" Stk / CHF "&amp;ROUND((H1098-AW1098)*G1098,0)&amp;"; ","")&amp;IF(AND(CI1098=1,CJ1098&lt;CK1098),"MAX &lt; MB+LG; ","")&amp;IF(AND(CQ1098&gt;0,CP1098*10&gt;CQ1098),"zu hoch für Tablar; ","")&amp;IF(AND(BW1098=0,OR(CI1098=1,AB1098&lt;&gt;"",U1098&lt;&gt;"",V1098&lt;&gt;"",AC1098&lt;&gt;"")),"manuell übersteuert; ","")&amp;IF(AND(CA1098=0,R1098=0),"Gebinde unbekannt / Stellmass fehlt; ","")&amp;IF(AND(CA1098=0,N(V1098)&lt;=0,N(Q1098)&lt;=0),"Menge pro Gebinde fehlt (Ist = 1 Gebinde); ","")&amp;BV1098)</f>
        <v>negativer Bestand (Export -30); Überbestand 47 Stk / CHF 87; </v>
      </c>
      <c r="BO1098" s="60"/>
      <c r="BP1098" s="60"/>
      <c r="BQ1098" s="67"/>
      <c r="BR1098" s="62" t="n">
        <v>-30</v>
      </c>
      <c r="BS1098" s="62" t="n">
        <v>352</v>
      </c>
      <c r="BT1098" s="61" t="n">
        <v>-207.150000000001</v>
      </c>
      <c r="BU1098" s="62" t="n">
        <v>260</v>
      </c>
      <c r="BV1098" s="60"/>
      <c r="BW1098" s="65" t="n">
        <v>0</v>
      </c>
      <c r="BX1098" s="65" t="n">
        <v>1098</v>
      </c>
      <c r="BY1098" s="60" t="str">
        <f aca="false">IF(U1098&lt;&gt;"",UPPER(TRIM(U1098)),IF(CB1098=1,UPPER(VLOOKUP(T1098,Parameter!$I$27:$K$29,2,0)),IF(P1098="","LOSE",P1098)))</f>
        <v>S52</v>
      </c>
      <c r="BZ1098" s="62" t="n">
        <f aca="false">IF(BY1098="LOSE",1,IF(N(V1098)&gt;0,V1098,IF(CB1098=1,MAX(1,N(VLOOKUP(T1098,Parameter!$I$27:$K$29,3,0)),H1098,N(N1098)),IF(N(Q1098)&gt;0,Q1098,MAX(1,H1098)))))</f>
        <v>832</v>
      </c>
      <c r="CA1098" s="65" t="n">
        <f aca="false">IF(BY1098="LOSE",1,0)</f>
        <v>0</v>
      </c>
      <c r="CB1098" s="65" t="n">
        <f aca="false">IF(AND(U1098="",OR(P1098="",P1098="LOSE"),T1098&lt;&gt;"",N(S1098)&lt;=0,ISNUMBER(MATCH(T1098,Parameter!$I$27:$I$29,0))),1,0)</f>
        <v>0</v>
      </c>
      <c r="CC1098" s="65" t="n">
        <f aca="false">IF(CR1098&gt;0,INDEX(Parameter!$H$5:$H$7,W1098)/INDEX(Parameter!$E$5:$E$7,W1098),IF(AND(CA1098=0,N(IFERROR(VLOOKUP(BY1098,'Gebinde-Kategorie'!$A$5:$N$45,14,0),0))&gt;0),VLOOKUP(BY1098,'Gebinde-Kategorie'!$A$5:$N$45,14,0)*10+Parameter!$M$23,Parameter!$M$24))</f>
        <v>245</v>
      </c>
      <c r="CD1098" s="60" t="str">
        <f aca="false">IF(AND(Parameter!$B$19="Ja",E1098&lt;&gt;"",ISNUMBER(MATCH(E1098,Parameter!$I$35:$I$52,0))),VLOOKUP(E1098,Parameter!$I$35:$J$52,2,0),IFERROR(VLOOKUP(D1098,Parameter!$A$35:$C$64,2,0),"Nein"))</f>
        <v>2+3</v>
      </c>
      <c r="CE1098" s="64" t="n">
        <f aca="false">IF(CA1098=0,0,IF(N(S1098)&gt;0,S1098,IFERROR(VLOOKUP(D1098,Parameter!$A$35:$C$64,3,0)+0,0)))</f>
        <v>0</v>
      </c>
      <c r="CF1098" s="60" t="n">
        <f aca="false">IF(AB1098&lt;&gt;"",AB1098,AA1098)</f>
        <v>3</v>
      </c>
      <c r="CG1098" s="60" t="str">
        <f aca="false">IF(OR(CF1098=1,CF1098=2,CF1098=3),IF(Parameter!$E$27="Ja","LIFT",IF(CF1098=1,"L1","L23")),IF(CF1098="Aussen","Aussen","-"))</f>
        <v>LIFT</v>
      </c>
      <c r="CH1098" s="71" t="n">
        <f aca="false">IF(N(AC1098)&gt;0,AC1098,0)</f>
        <v>0</v>
      </c>
      <c r="CI1098" s="65" t="n">
        <f aca="false">IF(ISNUMBER(AF1098),1,0)</f>
        <v>0</v>
      </c>
      <c r="CJ1098" s="62" t="n">
        <f aca="false">N(AF1098)</f>
        <v>0</v>
      </c>
      <c r="CK1098" s="62" t="n">
        <f aca="false">N(M1098)+N(N1098)</f>
        <v>275</v>
      </c>
      <c r="CL1098" s="62" t="n">
        <f aca="false">N(M1098)</f>
        <v>15</v>
      </c>
      <c r="CM1098" s="62" t="n">
        <f aca="false">N(N1098)</f>
        <v>260</v>
      </c>
      <c r="CN1098" s="62" t="n">
        <f aca="false">ROUNDUP(H1098/BZ1098,0)</f>
        <v>1</v>
      </c>
      <c r="CO1098" s="62" t="n">
        <f aca="false">ROUNDUP(CJ1098/BZ1098,0)</f>
        <v>0</v>
      </c>
      <c r="CP1098" s="65" t="n">
        <f aca="false">IF(CA1098=1,0,IFERROR(VLOOKUP(BY1098,'Gebinde-Kategorie'!$A$5:$N$45,5,0)+0,0))</f>
        <v>21</v>
      </c>
      <c r="CQ1098" s="65" t="n">
        <f aca="false">IFERROR(IF(OR(CF1098=1,CF1098=2,CF1098=3),N(INDEX(Parameter!$I$5:$I$7,CF1098)),0),0)</f>
        <v>0</v>
      </c>
      <c r="CR1098" s="64" t="n">
        <f aca="false">IF(AND(Parameter!$B$21="Ja",ISNUMBER(W1098),N(X1098)&gt;0),IFERROR(N(INDEX(Parameter!$L$5:$L$7,W1098))*INDEX(Parameter!$E$5:$E$7,W1098)*X1098/SUMIFS($X$7:$X$1843,$W$7:$W$1843,W1098),0),0)</f>
        <v>0</v>
      </c>
      <c r="CS1098" s="62" t="n">
        <f aca="false">IF(AND(OR(CG1098="L1",CG1098="L23",CG1098="LIFT"),H1098&gt;0),CC1098*IF(CR1098&gt;0,CR1098*MAX(1,H1098/X1098),IF(CA1098=1,CE1098,IF(R1098&gt;0,CN1098/R1098,0))/MAX(0.1,N(Parameter!$M$21))),"")</f>
        <v>9.42307692307692</v>
      </c>
      <c r="CT1098" s="64" t="n">
        <f aca="false">IF(CS1098="","",J1098/H1098)</f>
        <v>0.807453416149068</v>
      </c>
      <c r="CU1098" s="62" t="n">
        <f aca="false">IF(CS1098="","",H1098*G1098)</f>
        <v>595.7</v>
      </c>
      <c r="CV1098" s="63" t="n">
        <f aca="false">IF(CS1098="","",(CL1098+ROUNDUP(CL1098+MAX(CM1098,2*(J1098/MAX(0.1,N(Einkauf!$C$6))-CL1098)),0))/2)</f>
        <v>145</v>
      </c>
      <c r="CW1098" s="62" t="n">
        <f aca="false">IF(CS1098="","",MAX(0,H1098-CV1098)*G1098)</f>
        <v>327.45</v>
      </c>
      <c r="CX1098" s="62" t="n">
        <f aca="false">IF(CS1098="","",CS1098*MAX(0,1-CV1098/H1098))</f>
        <v>5.17976588628763</v>
      </c>
      <c r="CY1098" s="64" t="n">
        <f aca="false">IF(CS1098="","",PERCENTRANK($CS$7:$CS$1843,CS1098)+PERCENTRANK($CU$7:$CU$1843,CU1098)+1-PERCENTRANK($CT$7:$CT$1843,CT1098))</f>
        <v>1.522</v>
      </c>
      <c r="CZ1098" s="72" t="n">
        <f aca="false">IF(CS1098="","",CHOOSE(MATCH(Einkauf!$C$5,Parameter!$G$23:$G$27,0),CY1098,CS1098,CU1098,-CT1098,CW1098)+ROW()/1000000000)</f>
        <v>1.522001098</v>
      </c>
    </row>
    <row r="1099" customFormat="false" ht="15" hidden="false" customHeight="false" outlineLevel="0" collapsed="false">
      <c r="A1099" s="60" t="s">
        <v>2041</v>
      </c>
      <c r="B1099" s="60" t="s">
        <v>2042</v>
      </c>
      <c r="C1099" s="60" t="s">
        <v>206</v>
      </c>
      <c r="D1099" s="60" t="s">
        <v>215</v>
      </c>
      <c r="E1099" s="60"/>
      <c r="F1099" s="60" t="s">
        <v>260</v>
      </c>
      <c r="G1099" s="61" t="n">
        <v>166.37</v>
      </c>
      <c r="H1099" s="62" t="n">
        <f aca="false">MAX(0,IF(AND(Parameter!$B$21="Ja",ISNUMBER(Y1099)),Y1099,IF(Parameter!$B$20="Jahresanfang 2025 + Export",BS1099+BR1099,BR1099)))</f>
        <v>9</v>
      </c>
      <c r="I1099" s="62" t="n">
        <f aca="false">H1099*G1099</f>
        <v>1497.33</v>
      </c>
      <c r="J1099" s="62" t="n">
        <f aca="false">BU1099*Parameter!$B$18</f>
        <v>16</v>
      </c>
      <c r="K1099" s="63" t="n">
        <v>10.5</v>
      </c>
      <c r="L1099" s="64" t="n">
        <v>1.52380952380952</v>
      </c>
      <c r="M1099" s="62" t="n">
        <v>1</v>
      </c>
      <c r="N1099" s="62" t="n">
        <v>15</v>
      </c>
      <c r="O1099" s="65" t="n">
        <v>35</v>
      </c>
      <c r="P1099" s="60" t="s">
        <v>216</v>
      </c>
      <c r="Q1099" s="62" t="n">
        <v>20</v>
      </c>
      <c r="R1099" s="65" t="n">
        <f aca="false">IF(CA1099=1,0,IFERROR(VLOOKUP(BY1099,'Gebinde-Kategorie'!$A$5:$N$45,13,0)+0,0))</f>
        <v>6</v>
      </c>
      <c r="S1099" s="66"/>
      <c r="T1099" s="67"/>
      <c r="U1099" s="67"/>
      <c r="V1099" s="67"/>
      <c r="W1099" s="60"/>
      <c r="X1099" s="62"/>
      <c r="Y1099" s="62"/>
      <c r="Z1099" s="60" t="n">
        <v>1</v>
      </c>
      <c r="AA1099" s="60" t="n">
        <f aca="false">IF(A1099="","",IF(AND(Parameter!$B$21="Ja",ISNUMBER(W1099)),W1099,IF(AND(Parameter!$E$27="Ja",ISNUMBER(Z1099),CD1099&lt;&gt;"Nein"),Z1099,IF(CD1099="2+3",IF(ISNUMBER(SEARCH("grosser Artikel",BV1099)),2,IFERROR(VLOOKUP(BY1099,Parameter!$F$35:$G$64,2,0),2)),IF(OR(CD1099="Nein",CD1099=""),"-",CD1099)))))</f>
        <v>1</v>
      </c>
      <c r="AB1099" s="67"/>
      <c r="AC1099" s="68"/>
      <c r="AD1099" s="62" t="n">
        <f aca="false">AW1099</f>
        <v>16</v>
      </c>
      <c r="AE1099" s="62" t="n">
        <f aca="false">MAX(AW1099,H1099)</f>
        <v>16</v>
      </c>
      <c r="AF1099" s="69"/>
      <c r="AG1099" s="62" t="n">
        <f aca="false">IF(LEFT(Cockpit!$C$5,1)="A",H1099,IF(Parameter!$E$30="MAX-Bestand",IF(CI1099=1,CJ1099,IF(LEFT(Cockpit!$C$5,1)="B",AM1099,MAX(AM1099,H1099))),ROUNDUP(AK1099,0)))</f>
        <v>9</v>
      </c>
      <c r="AH1099" s="62" t="n">
        <f aca="false">IF(CA1099=1,0,ROUNDUP(AG1099/BZ1099,0))</f>
        <v>1</v>
      </c>
      <c r="AI1099" s="64" t="n">
        <f aca="false">IF(CR1099&gt;0,CR1099*MAX(1,AG1099/X1099),IF(CA1099=1,IF(AG1099&lt;=0,0,CE1099*MAX(1,IF(H1099&gt;0,AG1099/H1099,1))),IF(R1099&gt;0,AH1099/R1099,0))/MAX(0.1,N(Parameter!$M$21)))</f>
        <v>0.166666666666667</v>
      </c>
      <c r="AJ1099" s="62" t="n">
        <f aca="false">AI1099*CC1099</f>
        <v>39.1666666666667</v>
      </c>
      <c r="AK1099" s="63" t="n">
        <f aca="false">IF(LEFT(Cockpit!$C$5,1)="A",H1099,IF(CI1099=1,(CL1099+CJ1099)/2,IF(LEFT(Cockpit!$C$5,1)="B",(CL1099+AM1099)/2,MAX((CL1099+AM1099)/2,H1099))))</f>
        <v>9</v>
      </c>
      <c r="AL1099" s="62" t="n">
        <f aca="false">AK1099*G1099</f>
        <v>1497.33</v>
      </c>
      <c r="AM1099" s="62" t="n">
        <f aca="false">ROUNDUP(CL1099+MAX(CM1099,2*(J1099/IF(CH1099&gt;0,CH1099,MAX(0.1,N(Cockpit!$C$6)))-CL1099)),0)</f>
        <v>16</v>
      </c>
      <c r="AN1099" s="63" t="n">
        <f aca="false">IF(AJ1099&gt;0,J1099/AJ1099,-1)</f>
        <v>0.408510638297872</v>
      </c>
      <c r="AO1099" s="63" t="n">
        <f aca="false">IF(AND(OR(CG1099="L1",CG1099="L23",CG1099="LIFT"),AJ1099&gt;0),SUMIFS($AJ$7:$AJ$1843,$CG$7:$CG$1843,CG1099,$AN$7:$AN$1843,"&gt;"&amp;AN1099)+SUMIFS($AJ$7:$AJ$1843,$CG$7:$CG$1843,CG1099,$AN$7:$AN$1843,AN1099,$BX$7:$BX$1843,"&lt;="&amp;BX1099),"")</f>
        <v>10142.7627920573</v>
      </c>
      <c r="AP1099" s="70" t="n">
        <f aca="false">IF(AO1099="",0,MAX(0,MIN(1,(IF(CG1099="L1",Parameter!$H$5,IF(CG1099="L23",Parameter!$H$6+Parameter!$H$7,Parameter!$H$5+Parameter!$H$6+Parameter!$H$7))-(AO1099-AJ1099))/AJ1099)))</f>
        <v>1</v>
      </c>
      <c r="AQ1099" s="62" t="n">
        <f aca="false">IF(LEFT(Cockpit!$I$5,1)="A",H1099,IF(Parameter!$E$30="MAX-Bestand",IF(CI1099=1,CJ1099,IF(LEFT(Cockpit!$I$5,1)="B",AW1099,MAX(AW1099,H1099))),ROUNDUP(AU1099,0)))</f>
        <v>9</v>
      </c>
      <c r="AR1099" s="62" t="n">
        <f aca="false">IF(CA1099=1,0,ROUNDUP(AQ1099/BZ1099,0))</f>
        <v>1</v>
      </c>
      <c r="AS1099" s="64" t="n">
        <f aca="false">IF(CR1099&gt;0,CR1099*MAX(1,AQ1099/X1099),IF(CA1099=1,IF(AQ1099&lt;=0,0,CE1099*MAX(1,IF(H1099&gt;0,AQ1099/H1099,1))),IF(R1099&gt;0,AR1099/R1099,0))/MAX(0.1,N(Parameter!$M$21)))</f>
        <v>0.166666666666667</v>
      </c>
      <c r="AT1099" s="62" t="n">
        <f aca="false">AS1099*CC1099</f>
        <v>39.1666666666667</v>
      </c>
      <c r="AU1099" s="63" t="n">
        <f aca="false">IF(LEFT(Cockpit!$I$5,1)="A",H1099,IF(CI1099=1,(CL1099+CJ1099)/2,IF(LEFT(Cockpit!$I$5,1)="B",(CL1099+AW1099)/2,MAX((CL1099+AW1099)/2,H1099))))</f>
        <v>9</v>
      </c>
      <c r="AV1099" s="62" t="n">
        <f aca="false">AU1099*G1099</f>
        <v>1497.33</v>
      </c>
      <c r="AW1099" s="62" t="n">
        <f aca="false">ROUNDUP(CL1099+MAX(CM1099,2*(J1099/IF(CH1099&gt;0,CH1099,MAX(0.1,N(Cockpit!$I$6)))-CL1099)),0)</f>
        <v>16</v>
      </c>
      <c r="AX1099" s="63" t="n">
        <f aca="false">IF(AT1099&gt;0,J1099/AT1099,-1)</f>
        <v>0.408510638297872</v>
      </c>
      <c r="AY1099" s="63" t="n">
        <f aca="false">IF(AND(OR(CG1099="L1",CG1099="L23",CG1099="LIFT"),AT1099&gt;0),SUMIFS($AT$7:$AT$1843,$CG$7:$CG$1843,CG1099,$AX$7:$AX$1843,"&gt;"&amp;AX1099)+SUMIFS($AT$7:$AT$1843,$CG$7:$CG$1843,CG1099,$AX$7:$AX$1843,AX1099,$BX$7:$BX$1843,"&lt;="&amp;BX1099),"")</f>
        <v>12874.516025641</v>
      </c>
      <c r="AZ1099" s="70" t="n">
        <f aca="false">IF(AY1099="",0,MAX(0,MIN(1,(IF(CG1099="L1",Parameter!$H$5,IF(CG1099="L23",Parameter!$H$6+Parameter!$H$7,Parameter!$H$5+Parameter!$H$6+Parameter!$H$7))-(AY1099-AT1099))/AT1099)))</f>
        <v>1</v>
      </c>
      <c r="BA1099" s="62" t="n">
        <f aca="false">IF(LEFT(Cockpit!$O$5,1)="A",H1099,IF(Parameter!$E$30="MAX-Bestand",IF(CI1099=1,CJ1099,IF(LEFT(Cockpit!$O$5,1)="B",BG1099,MAX(BG1099,H1099))),ROUNDUP(BE1099,0)))</f>
        <v>9</v>
      </c>
      <c r="BB1099" s="62" t="n">
        <f aca="false">IF(CA1099=1,0,ROUNDUP(BA1099/BZ1099,0))</f>
        <v>1</v>
      </c>
      <c r="BC1099" s="64" t="n">
        <f aca="false">IF(CR1099&gt;0,CR1099*MAX(1,BA1099/X1099),IF(CA1099=1,IF(BA1099&lt;=0,0,CE1099*MAX(1,IF(H1099&gt;0,BA1099/H1099,1))),IF(R1099&gt;0,BB1099/R1099,0))/MAX(0.1,N(Parameter!$M$21)))</f>
        <v>0.166666666666667</v>
      </c>
      <c r="BD1099" s="62" t="n">
        <f aca="false">BC1099*CC1099</f>
        <v>39.1666666666667</v>
      </c>
      <c r="BE1099" s="63" t="n">
        <f aca="false">IF(LEFT(Cockpit!$O$5,1)="A",H1099,IF(CI1099=1,(CL1099+CJ1099)/2,IF(LEFT(Cockpit!$O$5,1)="B",(CL1099+BG1099)/2,MAX((CL1099+BG1099)/2,H1099))))</f>
        <v>8.5</v>
      </c>
      <c r="BF1099" s="62" t="n">
        <f aca="false">BE1099*G1099</f>
        <v>1414.145</v>
      </c>
      <c r="BG1099" s="62" t="n">
        <f aca="false">ROUNDUP(CL1099+MAX(CM1099,2*(J1099/IF(CH1099&gt;0,CH1099,MAX(0.1,N(Cockpit!$O$6)))-CL1099)),0)</f>
        <v>16</v>
      </c>
      <c r="BH1099" s="63" t="n">
        <f aca="false">IF(BD1099&gt;0,J1099/BD1099,-1)</f>
        <v>0.408510638297872</v>
      </c>
      <c r="BI1099" s="63" t="n">
        <f aca="false">IF(AND(OR(CG1099="L1",CG1099="L23",CG1099="LIFT"),BD1099&gt;0),SUMIFS($BD$7:$BD$1843,$CG$7:$CG$1843,CG1099,$BH$7:$BH$1843,"&gt;"&amp;BH1099)+SUMIFS($BD$7:$BD$1843,$CG$7:$CG$1843,CG1099,$BH$7:$BH$1843,BH1099,$BX$7:$BX$1843,"&lt;="&amp;BX1099),"")</f>
        <v>10918.5196886447</v>
      </c>
      <c r="BJ1099" s="70" t="n">
        <f aca="false">IF(BI1099="",0,MAX(0,MIN(1,(IF(CG1099="L1",Parameter!$H$5,IF(CG1099="L23",Parameter!$H$6+Parameter!$H$7,Parameter!$H$5+Parameter!$H$6+Parameter!$H$7))-(BI1099-BD1099))/BD1099)))</f>
        <v>1</v>
      </c>
      <c r="BK1099" s="60" t="str">
        <f aca="false">IF(AJ1099&lt;=0,"",IF(CG1099="Aussen","Aussenlager",IF(CG1099="-","Nicht im Lift",IF(AP1099&gt;=1,"Lift",IF(AP1099&lt;=0,"Aussenlager","teilweise")))))</f>
        <v>Lift</v>
      </c>
      <c r="BL1099" s="60" t="str">
        <f aca="false">IF(AT1099&lt;=0,"",IF(CG1099="Aussen","Aussenlager",IF(CG1099="-","Nicht im Lift",IF(AZ1099&gt;=1,"Lift",IF(AZ1099&lt;=0,"Aussenlager","teilweise")))))</f>
        <v>Lift</v>
      </c>
      <c r="BM1099" s="60" t="str">
        <f aca="false">IF(BD1099&lt;=0,"",IF(CG1099="Aussen","Aussenlager",IF(CG1099="-","Nicht im Lift",IF(BJ1099&gt;=1,"Lift",IF(BJ1099&lt;=0,"Aussenlager","teilweise")))))</f>
        <v>Lift</v>
      </c>
      <c r="BN1099" s="60" t="str">
        <f aca="false">IF(A1099="","",IF(BW1099=1,"Neu; ","")&amp;IF(AND(BW1099=0,BR1099&lt;0),"negativer Bestand (Export "&amp;BR1099&amp;"); ","")&amp;IF(J1099&lt;=0,"Kein Verbrauch; ","")&amp;IF(CR1099&gt;0,"Lift "&amp;W1099&amp;" lt. Liftbericht (Fach "&amp;X1099&amp;" Stk); ",IF(CB1099=1,"Gebinde geschätzt ("&amp;T1099&amp;"); ",IF(CA1099=1,"Lose – Tablare geschätzt; ","")))&amp;IF(H1099&gt;AW1099,"Überbestand "&amp;ROUND(H1099-AW1099,0)&amp;" Stk / CHF "&amp;ROUND((H1099-AW1099)*G1099,0)&amp;"; ","")&amp;IF(AND(CI1099=1,CJ1099&lt;CK1099),"MAX &lt; MB+LG; ","")&amp;IF(AND(CQ1099&gt;0,CP1099*10&gt;CQ1099),"zu hoch für Tablar; ","")&amp;IF(AND(BW1099=0,OR(CI1099=1,AB1099&lt;&gt;"",U1099&lt;&gt;"",V1099&lt;&gt;"",AC1099&lt;&gt;"")),"manuell übersteuert; ","")&amp;IF(AND(CA1099=0,R1099=0),"Gebinde unbekannt / Stellmass fehlt; ","")&amp;IF(AND(CA1099=0,N(V1099)&lt;=0,N(Q1099)&lt;=0),"Menge pro Gebinde fehlt (Ist = 1 Gebinde); ","")&amp;BV1099)</f>
        <v>negativer Bestand (Export -2); </v>
      </c>
      <c r="BO1099" s="60"/>
      <c r="BP1099" s="60"/>
      <c r="BQ1099" s="67"/>
      <c r="BR1099" s="62" t="n">
        <v>-2</v>
      </c>
      <c r="BS1099" s="62" t="n">
        <v>11</v>
      </c>
      <c r="BT1099" s="61" t="n">
        <v>-212.29</v>
      </c>
      <c r="BU1099" s="62" t="n">
        <v>16</v>
      </c>
      <c r="BV1099" s="60"/>
      <c r="BW1099" s="65" t="n">
        <v>0</v>
      </c>
      <c r="BX1099" s="65" t="n">
        <v>1099</v>
      </c>
      <c r="BY1099" s="60" t="str">
        <f aca="false">IF(U1099&lt;&gt;"",UPPER(TRIM(U1099)),IF(CB1099=1,UPPER(VLOOKUP(T1099,Parameter!$I$27:$K$29,2,0)),IF(P1099="","LOSE",P1099)))</f>
        <v>S71</v>
      </c>
      <c r="BZ1099" s="62" t="n">
        <f aca="false">IF(BY1099="LOSE",1,IF(N(V1099)&gt;0,V1099,IF(CB1099=1,MAX(1,N(VLOOKUP(T1099,Parameter!$I$27:$K$29,3,0)),H1099,N(N1099)),IF(N(Q1099)&gt;0,Q1099,MAX(1,H1099)))))</f>
        <v>20</v>
      </c>
      <c r="CA1099" s="65" t="n">
        <f aca="false">IF(BY1099="LOSE",1,0)</f>
        <v>0</v>
      </c>
      <c r="CB1099" s="65" t="n">
        <f aca="false">IF(AND(U1099="",OR(P1099="",P1099="LOSE"),T1099&lt;&gt;"",N(S1099)&lt;=0,ISNUMBER(MATCH(T1099,Parameter!$I$27:$I$29,0))),1,0)</f>
        <v>0</v>
      </c>
      <c r="CC1099" s="65" t="n">
        <f aca="false">IF(CR1099&gt;0,INDEX(Parameter!$H$5:$H$7,W1099)/INDEX(Parameter!$E$5:$E$7,W1099),IF(AND(CA1099=0,N(IFERROR(VLOOKUP(BY1099,'Gebinde-Kategorie'!$A$5:$N$45,14,0),0))&gt;0),VLOOKUP(BY1099,'Gebinde-Kategorie'!$A$5:$N$45,14,0)*10+Parameter!$M$23,Parameter!$M$24))</f>
        <v>235</v>
      </c>
      <c r="CD1099" s="60" t="str">
        <f aca="false">IF(AND(Parameter!$B$19="Ja",E1099&lt;&gt;"",ISNUMBER(MATCH(E1099,Parameter!$I$35:$I$52,0))),VLOOKUP(E1099,Parameter!$I$35:$J$52,2,0),IFERROR(VLOOKUP(D1099,Parameter!$A$35:$C$64,2,0),"Nein"))</f>
        <v>2+3</v>
      </c>
      <c r="CE1099" s="64" t="n">
        <f aca="false">IF(CA1099=0,0,IF(N(S1099)&gt;0,S1099,IFERROR(VLOOKUP(D1099,Parameter!$A$35:$C$64,3,0)+0,0)))</f>
        <v>0</v>
      </c>
      <c r="CF1099" s="60" t="n">
        <f aca="false">IF(AB1099&lt;&gt;"",AB1099,AA1099)</f>
        <v>1</v>
      </c>
      <c r="CG1099" s="60" t="str">
        <f aca="false">IF(OR(CF1099=1,CF1099=2,CF1099=3),IF(Parameter!$E$27="Ja","LIFT",IF(CF1099=1,"L1","L23")),IF(CF1099="Aussen","Aussen","-"))</f>
        <v>LIFT</v>
      </c>
      <c r="CH1099" s="71" t="n">
        <f aca="false">IF(N(AC1099)&gt;0,AC1099,0)</f>
        <v>0</v>
      </c>
      <c r="CI1099" s="65" t="n">
        <f aca="false">IF(ISNUMBER(AF1099),1,0)</f>
        <v>0</v>
      </c>
      <c r="CJ1099" s="62" t="n">
        <f aca="false">N(AF1099)</f>
        <v>0</v>
      </c>
      <c r="CK1099" s="62" t="n">
        <f aca="false">N(M1099)+N(N1099)</f>
        <v>16</v>
      </c>
      <c r="CL1099" s="62" t="n">
        <f aca="false">N(M1099)</f>
        <v>1</v>
      </c>
      <c r="CM1099" s="62" t="n">
        <f aca="false">N(N1099)</f>
        <v>15</v>
      </c>
      <c r="CN1099" s="62" t="n">
        <f aca="false">ROUNDUP(H1099/BZ1099,0)</f>
        <v>1</v>
      </c>
      <c r="CO1099" s="62" t="n">
        <f aca="false">ROUNDUP(CJ1099/BZ1099,0)</f>
        <v>0</v>
      </c>
      <c r="CP1099" s="65" t="n">
        <f aca="false">IF(CA1099=1,0,IFERROR(VLOOKUP(BY1099,'Gebinde-Kategorie'!$A$5:$N$45,5,0)+0,0))</f>
        <v>20</v>
      </c>
      <c r="CQ1099" s="65" t="n">
        <f aca="false">IFERROR(IF(OR(CF1099=1,CF1099=2,CF1099=3),N(INDEX(Parameter!$I$5:$I$7,CF1099)),0),0)</f>
        <v>0</v>
      </c>
      <c r="CR1099" s="64" t="n">
        <f aca="false">IF(AND(Parameter!$B$21="Ja",ISNUMBER(W1099),N(X1099)&gt;0),IFERROR(N(INDEX(Parameter!$L$5:$L$7,W1099))*INDEX(Parameter!$E$5:$E$7,W1099)*X1099/SUMIFS($X$7:$X$1843,$W$7:$W$1843,W1099),0),0)</f>
        <v>0</v>
      </c>
      <c r="CS1099" s="62" t="n">
        <f aca="false">IF(AND(OR(CG1099="L1",CG1099="L23",CG1099="LIFT"),H1099&gt;0),CC1099*IF(CR1099&gt;0,CR1099*MAX(1,H1099/X1099),IF(CA1099=1,CE1099,IF(R1099&gt;0,CN1099/R1099,0))/MAX(0.1,N(Parameter!$M$21))),"")</f>
        <v>39.1666666666667</v>
      </c>
      <c r="CT1099" s="64" t="n">
        <f aca="false">IF(CS1099="","",J1099/H1099)</f>
        <v>1.77777777777778</v>
      </c>
      <c r="CU1099" s="62" t="n">
        <f aca="false">IF(CS1099="","",H1099*G1099)</f>
        <v>1497.33</v>
      </c>
      <c r="CV1099" s="63" t="n">
        <f aca="false">IF(CS1099="","",(CL1099+ROUNDUP(CL1099+MAX(CM1099,2*(J1099/MAX(0.1,N(Einkauf!$C$6))-CL1099)),0))/2)</f>
        <v>8.5</v>
      </c>
      <c r="CW1099" s="62" t="n">
        <f aca="false">IF(CS1099="","",MAX(0,H1099-CV1099)*G1099)</f>
        <v>83.185</v>
      </c>
      <c r="CX1099" s="62" t="n">
        <f aca="false">IF(CS1099="","",CS1099*MAX(0,1-CV1099/H1099))</f>
        <v>2.17592592592593</v>
      </c>
      <c r="CY1099" s="64" t="n">
        <f aca="false">IF(CS1099="","",PERCENTRANK($CS$7:$CS$1843,CS1099)+PERCENTRANK($CU$7:$CU$1843,CU1099)+1-PERCENTRANK($CT$7:$CT$1843,CT1099))</f>
        <v>1.784</v>
      </c>
      <c r="CZ1099" s="72" t="n">
        <f aca="false">IF(CS1099="","",CHOOSE(MATCH(Einkauf!$C$5,Parameter!$G$23:$G$27,0),CY1099,CS1099,CU1099,-CT1099,CW1099)+ROW()/1000000000)</f>
        <v>1.784001099</v>
      </c>
    </row>
    <row r="1100" customFormat="false" ht="15" hidden="false" customHeight="false" outlineLevel="0" collapsed="false">
      <c r="A1100" s="60" t="s">
        <v>2043</v>
      </c>
      <c r="B1100" s="60" t="s">
        <v>2044</v>
      </c>
      <c r="C1100" s="60" t="s">
        <v>206</v>
      </c>
      <c r="D1100" s="60" t="s">
        <v>226</v>
      </c>
      <c r="E1100" s="60" t="s">
        <v>227</v>
      </c>
      <c r="F1100" s="60" t="s">
        <v>260</v>
      </c>
      <c r="G1100" s="61" t="n">
        <v>106.83</v>
      </c>
      <c r="H1100" s="62" t="n">
        <f aca="false">MAX(0,IF(AND(Parameter!$B$21="Ja",ISNUMBER(Y1100)),Y1100,IF(Parameter!$B$20="Jahresanfang 2025 + Export",BS1100+BR1100,BR1100)))</f>
        <v>1</v>
      </c>
      <c r="I1100" s="62" t="n">
        <f aca="false">H1100*G1100</f>
        <v>106.83</v>
      </c>
      <c r="J1100" s="62" t="n">
        <f aca="false">BU1100*Parameter!$B$18</f>
        <v>0</v>
      </c>
      <c r="K1100" s="63" t="n">
        <v>2</v>
      </c>
      <c r="L1100" s="64" t="n">
        <v>0</v>
      </c>
      <c r="M1100" s="62" t="n">
        <v>0</v>
      </c>
      <c r="N1100" s="62" t="n">
        <v>1</v>
      </c>
      <c r="O1100" s="65" t="n">
        <v>21</v>
      </c>
      <c r="P1100" s="60" t="s">
        <v>468</v>
      </c>
      <c r="Q1100" s="62" t="n">
        <v>5</v>
      </c>
      <c r="R1100" s="65" t="n">
        <f aca="false">IF(CA1100=1,0,IFERROR(VLOOKUP(BY1100,'Gebinde-Kategorie'!$A$5:$N$45,13,0)+0,0))</f>
        <v>140</v>
      </c>
      <c r="S1100" s="66"/>
      <c r="T1100" s="67"/>
      <c r="U1100" s="67"/>
      <c r="V1100" s="67"/>
      <c r="W1100" s="60"/>
      <c r="X1100" s="62"/>
      <c r="Y1100" s="62"/>
      <c r="Z1100" s="60" t="n">
        <v>3</v>
      </c>
      <c r="AA1100" s="60" t="n">
        <f aca="false">IF(A1100="","",IF(AND(Parameter!$B$21="Ja",ISNUMBER(W1100)),W1100,IF(AND(Parameter!$E$27="Ja",ISNUMBER(Z1100),CD1100&lt;&gt;"Nein"),Z1100,IF(CD1100="2+3",IF(ISNUMBER(SEARCH("grosser Artikel",BV1100)),2,IFERROR(VLOOKUP(BY1100,Parameter!$F$35:$G$64,2,0),2)),IF(OR(CD1100="Nein",CD1100=""),"-",CD1100)))))</f>
        <v>3</v>
      </c>
      <c r="AB1100" s="67"/>
      <c r="AC1100" s="68"/>
      <c r="AD1100" s="62" t="n">
        <f aca="false">AW1100</f>
        <v>1</v>
      </c>
      <c r="AE1100" s="62" t="n">
        <f aca="false">MAX(AW1100,H1100)</f>
        <v>1</v>
      </c>
      <c r="AF1100" s="69"/>
      <c r="AG1100" s="62" t="n">
        <f aca="false">IF(LEFT(Cockpit!$C$5,1)="A",H1100,IF(Parameter!$E$30="MAX-Bestand",IF(CI1100=1,CJ1100,IF(LEFT(Cockpit!$C$5,1)="B",AM1100,MAX(AM1100,H1100))),ROUNDUP(AK1100,0)))</f>
        <v>1</v>
      </c>
      <c r="AH1100" s="62" t="n">
        <f aca="false">IF(CA1100=1,0,ROUNDUP(AG1100/BZ1100,0))</f>
        <v>1</v>
      </c>
      <c r="AI1100" s="64" t="n">
        <f aca="false">IF(CR1100&gt;0,CR1100*MAX(1,AG1100/X1100),IF(CA1100=1,IF(AG1100&lt;=0,0,CE1100*MAX(1,IF(H1100&gt;0,AG1100/H1100,1))),IF(R1100&gt;0,AH1100/R1100,0))/MAX(0.1,N(Parameter!$M$21)))</f>
        <v>0.00714285714285714</v>
      </c>
      <c r="AJ1100" s="62" t="n">
        <f aca="false">AI1100*CC1100</f>
        <v>1.10714285714286</v>
      </c>
      <c r="AK1100" s="63" t="n">
        <f aca="false">IF(LEFT(Cockpit!$C$5,1)="A",H1100,IF(CI1100=1,(CL1100+CJ1100)/2,IF(LEFT(Cockpit!$C$5,1)="B",(CL1100+AM1100)/2,MAX((CL1100+AM1100)/2,H1100))))</f>
        <v>1</v>
      </c>
      <c r="AL1100" s="62" t="n">
        <f aca="false">AK1100*G1100</f>
        <v>106.83</v>
      </c>
      <c r="AM1100" s="62" t="n">
        <f aca="false">ROUNDUP(CL1100+MAX(CM1100,2*(J1100/IF(CH1100&gt;0,CH1100,MAX(0.1,N(Cockpit!$C$6)))-CL1100)),0)</f>
        <v>1</v>
      </c>
      <c r="AN1100" s="63" t="n">
        <f aca="false">IF(AJ1100&gt;0,J1100/AJ1100,-1)</f>
        <v>0</v>
      </c>
      <c r="AO1100" s="63" t="n">
        <f aca="false">IF(AND(OR(CG1100="L1",CG1100="L23",CG1100="LIFT"),AJ1100&gt;0),SUMIFS($AJ$7:$AJ$1843,$CG$7:$CG$1843,CG1100,$AN$7:$AN$1843,"&gt;"&amp;AN1100)+SUMIFS($AJ$7:$AJ$1843,$CG$7:$CG$1843,CG1100,$AN$7:$AN$1843,AN1100,$BX$7:$BX$1843,"&lt;="&amp;BX1100),"")</f>
        <v>29134.4955893918</v>
      </c>
      <c r="AP1100" s="70" t="n">
        <f aca="false">IF(AO1100="",0,MAX(0,MIN(1,(IF(CG1100="L1",Parameter!$H$5,IF(CG1100="L23",Parameter!$H$6+Parameter!$H$7,Parameter!$H$5+Parameter!$H$6+Parameter!$H$7))-(AO1100-AJ1100))/AJ1100)))</f>
        <v>1</v>
      </c>
      <c r="AQ1100" s="62" t="n">
        <f aca="false">IF(LEFT(Cockpit!$I$5,1)="A",H1100,IF(Parameter!$E$30="MAX-Bestand",IF(CI1100=1,CJ1100,IF(LEFT(Cockpit!$I$5,1)="B",AW1100,MAX(AW1100,H1100))),ROUNDUP(AU1100,0)))</f>
        <v>1</v>
      </c>
      <c r="AR1100" s="62" t="n">
        <f aca="false">IF(CA1100=1,0,ROUNDUP(AQ1100/BZ1100,0))</f>
        <v>1</v>
      </c>
      <c r="AS1100" s="64" t="n">
        <f aca="false">IF(CR1100&gt;0,CR1100*MAX(1,AQ1100/X1100),IF(CA1100=1,IF(AQ1100&lt;=0,0,CE1100*MAX(1,IF(H1100&gt;0,AQ1100/H1100,1))),IF(R1100&gt;0,AR1100/R1100,0))/MAX(0.1,N(Parameter!$M$21)))</f>
        <v>0.00714285714285714</v>
      </c>
      <c r="AT1100" s="62" t="n">
        <f aca="false">AS1100*CC1100</f>
        <v>1.10714285714286</v>
      </c>
      <c r="AU1100" s="63" t="n">
        <f aca="false">IF(LEFT(Cockpit!$I$5,1)="A",H1100,IF(CI1100=1,(CL1100+CJ1100)/2,IF(LEFT(Cockpit!$I$5,1)="B",(CL1100+AW1100)/2,MAX((CL1100+AW1100)/2,H1100))))</f>
        <v>1</v>
      </c>
      <c r="AV1100" s="62" t="n">
        <f aca="false">AU1100*G1100</f>
        <v>106.83</v>
      </c>
      <c r="AW1100" s="62" t="n">
        <f aca="false">ROUNDUP(CL1100+MAX(CM1100,2*(J1100/IF(CH1100&gt;0,CH1100,MAX(0.1,N(Cockpit!$I$6)))-CL1100)),0)</f>
        <v>1</v>
      </c>
      <c r="AX1100" s="63" t="n">
        <f aca="false">IF(AT1100&gt;0,J1100/AT1100,-1)</f>
        <v>0</v>
      </c>
      <c r="AY1100" s="63" t="n">
        <f aca="false">IF(AND(OR(CG1100="L1",CG1100="L23",CG1100="LIFT"),AT1100&gt;0),SUMIFS($AT$7:$AT$1843,$CG$7:$CG$1843,CG1100,$AX$7:$AX$1843,"&gt;"&amp;AX1100)+SUMIFS($AT$7:$AT$1843,$CG$7:$CG$1843,CG1100,$AX$7:$AX$1843,AX1100,$BX$7:$BX$1843,"&lt;="&amp;BX1100),"")</f>
        <v>34848.7907509158</v>
      </c>
      <c r="AZ1100" s="70" t="n">
        <f aca="false">IF(AY1100="",0,MAX(0,MIN(1,(IF(CG1100="L1",Parameter!$H$5,IF(CG1100="L23",Parameter!$H$6+Parameter!$H$7,Parameter!$H$5+Parameter!$H$6+Parameter!$H$7))-(AY1100-AT1100))/AT1100)))</f>
        <v>1</v>
      </c>
      <c r="BA1100" s="62" t="n">
        <f aca="false">IF(LEFT(Cockpit!$O$5,1)="A",H1100,IF(Parameter!$E$30="MAX-Bestand",IF(CI1100=1,CJ1100,IF(LEFT(Cockpit!$O$5,1)="B",BG1100,MAX(BG1100,H1100))),ROUNDUP(BE1100,0)))</f>
        <v>1</v>
      </c>
      <c r="BB1100" s="62" t="n">
        <f aca="false">IF(CA1100=1,0,ROUNDUP(BA1100/BZ1100,0))</f>
        <v>1</v>
      </c>
      <c r="BC1100" s="64" t="n">
        <f aca="false">IF(CR1100&gt;0,CR1100*MAX(1,BA1100/X1100),IF(CA1100=1,IF(BA1100&lt;=0,0,CE1100*MAX(1,IF(H1100&gt;0,BA1100/H1100,1))),IF(R1100&gt;0,BB1100/R1100,0))/MAX(0.1,N(Parameter!$M$21)))</f>
        <v>0.00714285714285714</v>
      </c>
      <c r="BD1100" s="62" t="n">
        <f aca="false">BC1100*CC1100</f>
        <v>1.10714285714286</v>
      </c>
      <c r="BE1100" s="63" t="n">
        <f aca="false">IF(LEFT(Cockpit!$O$5,1)="A",H1100,IF(CI1100=1,(CL1100+CJ1100)/2,IF(LEFT(Cockpit!$O$5,1)="B",(CL1100+BG1100)/2,MAX((CL1100+BG1100)/2,H1100))))</f>
        <v>0.5</v>
      </c>
      <c r="BF1100" s="62" t="n">
        <f aca="false">BE1100*G1100</f>
        <v>53.415</v>
      </c>
      <c r="BG1100" s="62" t="n">
        <f aca="false">ROUNDUP(CL1100+MAX(CM1100,2*(J1100/IF(CH1100&gt;0,CH1100,MAX(0.1,N(Cockpit!$O$6)))-CL1100)),0)</f>
        <v>1</v>
      </c>
      <c r="BH1100" s="63" t="n">
        <f aca="false">IF(BD1100&gt;0,J1100/BD1100,-1)</f>
        <v>0</v>
      </c>
      <c r="BI1100" s="63" t="n">
        <f aca="false">IF(AND(OR(CG1100="L1",CG1100="L23",CG1100="LIFT"),BD1100&gt;0),SUMIFS($BD$7:$BD$1843,$CG$7:$CG$1843,CG1100,$BH$7:$BH$1843,"&gt;"&amp;BH1100)+SUMIFS($BD$7:$BD$1843,$CG$7:$CG$1843,CG1100,$BH$7:$BH$1843,BH1100,$BX$7:$BX$1843,"&lt;="&amp;BX1100),"")</f>
        <v>28834.0974110635</v>
      </c>
      <c r="BJ1100" s="70" t="n">
        <f aca="false">IF(BI1100="",0,MAX(0,MIN(1,(IF(CG1100="L1",Parameter!$H$5,IF(CG1100="L23",Parameter!$H$6+Parameter!$H$7,Parameter!$H$5+Parameter!$H$6+Parameter!$H$7))-(BI1100-BD1100))/BD1100)))</f>
        <v>1</v>
      </c>
      <c r="BK1100" s="60" t="str">
        <f aca="false">IF(AJ1100&lt;=0,"",IF(CG1100="Aussen","Aussenlager",IF(CG1100="-","Nicht im Lift",IF(AP1100&gt;=1,"Lift",IF(AP1100&lt;=0,"Aussenlager","teilweise")))))</f>
        <v>Lift</v>
      </c>
      <c r="BL1100" s="60" t="str">
        <f aca="false">IF(AT1100&lt;=0,"",IF(CG1100="Aussen","Aussenlager",IF(CG1100="-","Nicht im Lift",IF(AZ1100&gt;=1,"Lift",IF(AZ1100&lt;=0,"Aussenlager","teilweise")))))</f>
        <v>Lift</v>
      </c>
      <c r="BM1100" s="60" t="str">
        <f aca="false">IF(BD1100&lt;=0,"",IF(CG1100="Aussen","Aussenlager",IF(CG1100="-","Nicht im Lift",IF(BJ1100&gt;=1,"Lift",IF(BJ1100&lt;=0,"Aussenlager","teilweise")))))</f>
        <v>Lift</v>
      </c>
      <c r="BN1100" s="60" t="str">
        <f aca="false">IF(A1100="","",IF(BW1100=1,"Neu; ","")&amp;IF(AND(BW1100=0,BR1100&lt;0),"negativer Bestand (Export "&amp;BR1100&amp;"); ","")&amp;IF(J1100&lt;=0,"Kein Verbrauch; ","")&amp;IF(CR1100&gt;0,"Lift "&amp;W1100&amp;" lt. Liftbericht (Fach "&amp;X1100&amp;" Stk); ",IF(CB1100=1,"Gebinde geschätzt ("&amp;T1100&amp;"); ",IF(CA1100=1,"Lose – Tablare geschätzt; ","")))&amp;IF(H1100&gt;AW1100,"Überbestand "&amp;ROUND(H1100-AW1100,0)&amp;" Stk / CHF "&amp;ROUND((H1100-AW1100)*G1100,0)&amp;"; ","")&amp;IF(AND(CI1100=1,CJ1100&lt;CK1100),"MAX &lt; MB+LG; ","")&amp;IF(AND(CQ1100&gt;0,CP1100*10&gt;CQ1100),"zu hoch für Tablar; ","")&amp;IF(AND(BW1100=0,OR(CI1100=1,AB1100&lt;&gt;"",U1100&lt;&gt;"",V1100&lt;&gt;"",AC1100&lt;&gt;"")),"manuell übersteuert; ","")&amp;IF(AND(CA1100=0,R1100=0),"Gebinde unbekannt / Stellmass fehlt; ","")&amp;IF(AND(CA1100=0,N(V1100)&lt;=0,N(Q1100)&lt;=0),"Menge pro Gebinde fehlt (Ist = 1 Gebinde); ","")&amp;BV1100)</f>
        <v>negativer Bestand (Export -2); Kein Verbrauch; </v>
      </c>
      <c r="BO1100" s="60"/>
      <c r="BP1100" s="60"/>
      <c r="BQ1100" s="67"/>
      <c r="BR1100" s="62" t="n">
        <v>-2</v>
      </c>
      <c r="BS1100" s="62" t="n">
        <v>3</v>
      </c>
      <c r="BT1100" s="61" t="n">
        <v>-213.66</v>
      </c>
      <c r="BU1100" s="62" t="n">
        <v>0</v>
      </c>
      <c r="BV1100" s="60"/>
      <c r="BW1100" s="65" t="n">
        <v>0</v>
      </c>
      <c r="BX1100" s="65" t="n">
        <v>1100</v>
      </c>
      <c r="BY1100" s="60" t="str">
        <f aca="false">IF(U1100&lt;&gt;"",UPPER(TRIM(U1100)),IF(CB1100=1,UPPER(VLOOKUP(T1100,Parameter!$I$27:$K$29,2,0)),IF(P1100="","LOSE",P1100)))</f>
        <v>S22</v>
      </c>
      <c r="BZ1100" s="62" t="n">
        <f aca="false">IF(BY1100="LOSE",1,IF(N(V1100)&gt;0,V1100,IF(CB1100=1,MAX(1,N(VLOOKUP(T1100,Parameter!$I$27:$K$29,3,0)),H1100,N(N1100)),IF(N(Q1100)&gt;0,Q1100,MAX(1,H1100)))))</f>
        <v>5</v>
      </c>
      <c r="CA1100" s="65" t="n">
        <f aca="false">IF(BY1100="LOSE",1,0)</f>
        <v>0</v>
      </c>
      <c r="CB1100" s="65" t="n">
        <f aca="false">IF(AND(U1100="",OR(P1100="",P1100="LOSE"),T1100&lt;&gt;"",N(S1100)&lt;=0,ISNUMBER(MATCH(T1100,Parameter!$I$27:$I$29,0))),1,0)</f>
        <v>0</v>
      </c>
      <c r="CC1100" s="65" t="n">
        <f aca="false">IF(CR1100&gt;0,INDEX(Parameter!$H$5:$H$7,W1100)/INDEX(Parameter!$E$5:$E$7,W1100),IF(AND(CA1100=0,N(IFERROR(VLOOKUP(BY1100,'Gebinde-Kategorie'!$A$5:$N$45,14,0),0))&gt;0),VLOOKUP(BY1100,'Gebinde-Kategorie'!$A$5:$N$45,14,0)*10+Parameter!$M$23,Parameter!$M$24))</f>
        <v>155</v>
      </c>
      <c r="CD1100" s="60" t="str">
        <f aca="false">IF(AND(Parameter!$B$19="Ja",E1100&lt;&gt;"",ISNUMBER(MATCH(E1100,Parameter!$I$35:$I$52,0))),VLOOKUP(E1100,Parameter!$I$35:$J$52,2,0),IFERROR(VLOOKUP(D1100,Parameter!$A$35:$C$64,2,0),"Nein"))</f>
        <v>2+3</v>
      </c>
      <c r="CE1100" s="64" t="n">
        <f aca="false">IF(CA1100=0,0,IF(N(S1100)&gt;0,S1100,IFERROR(VLOOKUP(D1100,Parameter!$A$35:$C$64,3,0)+0,0)))</f>
        <v>0</v>
      </c>
      <c r="CF1100" s="60" t="n">
        <f aca="false">IF(AB1100&lt;&gt;"",AB1100,AA1100)</f>
        <v>3</v>
      </c>
      <c r="CG1100" s="60" t="str">
        <f aca="false">IF(OR(CF1100=1,CF1100=2,CF1100=3),IF(Parameter!$E$27="Ja","LIFT",IF(CF1100=1,"L1","L23")),IF(CF1100="Aussen","Aussen","-"))</f>
        <v>LIFT</v>
      </c>
      <c r="CH1100" s="71" t="n">
        <f aca="false">IF(N(AC1100)&gt;0,AC1100,0)</f>
        <v>0</v>
      </c>
      <c r="CI1100" s="65" t="n">
        <f aca="false">IF(ISNUMBER(AF1100),1,0)</f>
        <v>0</v>
      </c>
      <c r="CJ1100" s="62" t="n">
        <f aca="false">N(AF1100)</f>
        <v>0</v>
      </c>
      <c r="CK1100" s="62" t="n">
        <f aca="false">N(M1100)+N(N1100)</f>
        <v>1</v>
      </c>
      <c r="CL1100" s="62" t="n">
        <f aca="false">N(M1100)</f>
        <v>0</v>
      </c>
      <c r="CM1100" s="62" t="n">
        <f aca="false">N(N1100)</f>
        <v>1</v>
      </c>
      <c r="CN1100" s="62" t="n">
        <f aca="false">ROUNDUP(H1100/BZ1100,0)</f>
        <v>1</v>
      </c>
      <c r="CO1100" s="62" t="n">
        <f aca="false">ROUNDUP(CJ1100/BZ1100,0)</f>
        <v>0</v>
      </c>
      <c r="CP1100" s="65" t="n">
        <f aca="false">IF(CA1100=1,0,IFERROR(VLOOKUP(BY1100,'Gebinde-Kategorie'!$A$5:$N$45,5,0)+0,0))</f>
        <v>8</v>
      </c>
      <c r="CQ1100" s="65" t="n">
        <f aca="false">IFERROR(IF(OR(CF1100=1,CF1100=2,CF1100=3),N(INDEX(Parameter!$I$5:$I$7,CF1100)),0),0)</f>
        <v>0</v>
      </c>
      <c r="CR1100" s="64" t="n">
        <f aca="false">IF(AND(Parameter!$B$21="Ja",ISNUMBER(W1100),N(X1100)&gt;0),IFERROR(N(INDEX(Parameter!$L$5:$L$7,W1100))*INDEX(Parameter!$E$5:$E$7,W1100)*X1100/SUMIFS($X$7:$X$1843,$W$7:$W$1843,W1100),0),0)</f>
        <v>0</v>
      </c>
      <c r="CS1100" s="62" t="n">
        <f aca="false">IF(AND(OR(CG1100="L1",CG1100="L23",CG1100="LIFT"),H1100&gt;0),CC1100*IF(CR1100&gt;0,CR1100*MAX(1,H1100/X1100),IF(CA1100=1,CE1100,IF(R1100&gt;0,CN1100/R1100,0))/MAX(0.1,N(Parameter!$M$21))),"")</f>
        <v>1.10714285714286</v>
      </c>
      <c r="CT1100" s="64" t="n">
        <f aca="false">IF(CS1100="","",J1100/H1100)</f>
        <v>0</v>
      </c>
      <c r="CU1100" s="62" t="n">
        <f aca="false">IF(CS1100="","",H1100*G1100)</f>
        <v>106.83</v>
      </c>
      <c r="CV1100" s="63" t="n">
        <f aca="false">IF(CS1100="","",(CL1100+ROUNDUP(CL1100+MAX(CM1100,2*(J1100/MAX(0.1,N(Einkauf!$C$6))-CL1100)),0))/2)</f>
        <v>0.5</v>
      </c>
      <c r="CW1100" s="62" t="n">
        <f aca="false">IF(CS1100="","",MAX(0,H1100-CV1100)*G1100)</f>
        <v>53.415</v>
      </c>
      <c r="CX1100" s="62" t="n">
        <f aca="false">IF(CS1100="","",CS1100*MAX(0,1-CV1100/H1100))</f>
        <v>0.553571428571429</v>
      </c>
      <c r="CY1100" s="64" t="n">
        <f aca="false">IF(CS1100="","",PERCENTRANK($CS$7:$CS$1843,CS1100)+PERCENTRANK($CU$7:$CU$1843,CU1100)+1-PERCENTRANK($CT$7:$CT$1843,CT1100))</f>
        <v>1.2974</v>
      </c>
      <c r="CZ1100" s="72" t="n">
        <f aca="false">IF(CS1100="","",CHOOSE(MATCH(Einkauf!$C$5,Parameter!$G$23:$G$27,0),CY1100,CS1100,CU1100,-CT1100,CW1100)+ROW()/1000000000)</f>
        <v>1.2974011</v>
      </c>
    </row>
    <row r="1101" customFormat="false" ht="15" hidden="false" customHeight="false" outlineLevel="0" collapsed="false">
      <c r="A1101" s="60" t="s">
        <v>2045</v>
      </c>
      <c r="B1101" s="60" t="s">
        <v>447</v>
      </c>
      <c r="C1101" s="60" t="s">
        <v>206</v>
      </c>
      <c r="D1101" s="60" t="s">
        <v>226</v>
      </c>
      <c r="E1101" s="60" t="s">
        <v>227</v>
      </c>
      <c r="F1101" s="60" t="s">
        <v>260</v>
      </c>
      <c r="G1101" s="61" t="n">
        <v>2.3</v>
      </c>
      <c r="H1101" s="62" t="n">
        <f aca="false">MAX(0,IF(AND(Parameter!$B$21="Ja",ISNUMBER(Y1101)),Y1101,IF(Parameter!$B$20="Jahresanfang 2025 + Export",BS1101+BR1101,BR1101)))</f>
        <v>2307</v>
      </c>
      <c r="I1101" s="62" t="n">
        <f aca="false">H1101*G1101</f>
        <v>5306.1</v>
      </c>
      <c r="J1101" s="62" t="n">
        <f aca="false">BU1101*Parameter!$B$18</f>
        <v>48</v>
      </c>
      <c r="K1101" s="63" t="n">
        <v>2381.5</v>
      </c>
      <c r="L1101" s="64" t="n">
        <v>0.0201553642662188</v>
      </c>
      <c r="M1101" s="62" t="n">
        <v>2</v>
      </c>
      <c r="N1101" s="62" t="n">
        <v>50</v>
      </c>
      <c r="O1101" s="65" t="n">
        <v>21</v>
      </c>
      <c r="P1101" s="60" t="s">
        <v>268</v>
      </c>
      <c r="Q1101" s="62" t="n">
        <v>400</v>
      </c>
      <c r="R1101" s="65" t="n">
        <f aca="false">IF(CA1101=1,0,IFERROR(VLOOKUP(BY1101,'Gebinde-Kategorie'!$A$5:$N$45,13,0)+0,0))</f>
        <v>12</v>
      </c>
      <c r="S1101" s="66"/>
      <c r="T1101" s="67"/>
      <c r="U1101" s="67"/>
      <c r="V1101" s="67"/>
      <c r="W1101" s="60"/>
      <c r="X1101" s="62"/>
      <c r="Y1101" s="62"/>
      <c r="Z1101" s="60" t="n">
        <v>3</v>
      </c>
      <c r="AA1101" s="60" t="n">
        <f aca="false">IF(A1101="","",IF(AND(Parameter!$B$21="Ja",ISNUMBER(W1101)),W1101,IF(AND(Parameter!$E$27="Ja",ISNUMBER(Z1101),CD1101&lt;&gt;"Nein"),Z1101,IF(CD1101="2+3",IF(ISNUMBER(SEARCH("grosser Artikel",BV1101)),2,IFERROR(VLOOKUP(BY1101,Parameter!$F$35:$G$64,2,0),2)),IF(OR(CD1101="Nein",CD1101=""),"-",CD1101)))))</f>
        <v>3</v>
      </c>
      <c r="AB1101" s="67"/>
      <c r="AC1101" s="68"/>
      <c r="AD1101" s="62" t="n">
        <f aca="false">AW1101</f>
        <v>52</v>
      </c>
      <c r="AE1101" s="62" t="n">
        <f aca="false">MAX(AW1101,H1101)</f>
        <v>2307</v>
      </c>
      <c r="AF1101" s="69"/>
      <c r="AG1101" s="62" t="n">
        <f aca="false">IF(LEFT(Cockpit!$C$5,1)="A",H1101,IF(Parameter!$E$30="MAX-Bestand",IF(CI1101=1,CJ1101,IF(LEFT(Cockpit!$C$5,1)="B",AM1101,MAX(AM1101,H1101))),ROUNDUP(AK1101,0)))</f>
        <v>2307</v>
      </c>
      <c r="AH1101" s="62" t="n">
        <f aca="false">IF(CA1101=1,0,ROUNDUP(AG1101/BZ1101,0))</f>
        <v>6</v>
      </c>
      <c r="AI1101" s="64" t="n">
        <f aca="false">IF(CR1101&gt;0,CR1101*MAX(1,AG1101/X1101),IF(CA1101=1,IF(AG1101&lt;=0,0,CE1101*MAX(1,IF(H1101&gt;0,AG1101/H1101,1))),IF(R1101&gt;0,AH1101/R1101,0))/MAX(0.1,N(Parameter!$M$21)))</f>
        <v>0.5</v>
      </c>
      <c r="AJ1101" s="62" t="n">
        <f aca="false">AI1101*CC1101</f>
        <v>172.5</v>
      </c>
      <c r="AK1101" s="63" t="n">
        <f aca="false">IF(LEFT(Cockpit!$C$5,1)="A",H1101,IF(CI1101=1,(CL1101+CJ1101)/2,IF(LEFT(Cockpit!$C$5,1)="B",(CL1101+AM1101)/2,MAX((CL1101+AM1101)/2,H1101))))</f>
        <v>2307</v>
      </c>
      <c r="AL1101" s="62" t="n">
        <f aca="false">AK1101*G1101</f>
        <v>5306.1</v>
      </c>
      <c r="AM1101" s="62" t="n">
        <f aca="false">ROUNDUP(CL1101+MAX(CM1101,2*(J1101/IF(CH1101&gt;0,CH1101,MAX(0.1,N(Cockpit!$C$6)))-CL1101)),0)</f>
        <v>52</v>
      </c>
      <c r="AN1101" s="63" t="n">
        <f aca="false">IF(AJ1101&gt;0,J1101/AJ1101,-1)</f>
        <v>0.278260869565217</v>
      </c>
      <c r="AO1101" s="63" t="n">
        <f aca="false">IF(AND(OR(CG1101="L1",CG1101="L23",CG1101="LIFT"),AJ1101&gt;0),SUMIFS($AJ$7:$AJ$1843,$CG$7:$CG$1843,CG1101,$AN$7:$AN$1843,"&gt;"&amp;AN1101)+SUMIFS($AJ$7:$AJ$1843,$CG$7:$CG$1843,CG1101,$AN$7:$AN$1843,AN1101,$BX$7:$BX$1843,"&lt;="&amp;BX1101),"")</f>
        <v>11620.2702629292</v>
      </c>
      <c r="AP1101" s="70" t="n">
        <f aca="false">IF(AO1101="",0,MAX(0,MIN(1,(IF(CG1101="L1",Parameter!$H$5,IF(CG1101="L23",Parameter!$H$6+Parameter!$H$7,Parameter!$H$5+Parameter!$H$6+Parameter!$H$7))-(AO1101-AJ1101))/AJ1101)))</f>
        <v>1</v>
      </c>
      <c r="AQ1101" s="62" t="n">
        <f aca="false">IF(LEFT(Cockpit!$I$5,1)="A",H1101,IF(Parameter!$E$30="MAX-Bestand",IF(CI1101=1,CJ1101,IF(LEFT(Cockpit!$I$5,1)="B",AW1101,MAX(AW1101,H1101))),ROUNDUP(AU1101,0)))</f>
        <v>2307</v>
      </c>
      <c r="AR1101" s="62" t="n">
        <f aca="false">IF(CA1101=1,0,ROUNDUP(AQ1101/BZ1101,0))</f>
        <v>6</v>
      </c>
      <c r="AS1101" s="64" t="n">
        <f aca="false">IF(CR1101&gt;0,CR1101*MAX(1,AQ1101/X1101),IF(CA1101=1,IF(AQ1101&lt;=0,0,CE1101*MAX(1,IF(H1101&gt;0,AQ1101/H1101,1))),IF(R1101&gt;0,AR1101/R1101,0))/MAX(0.1,N(Parameter!$M$21)))</f>
        <v>0.5</v>
      </c>
      <c r="AT1101" s="62" t="n">
        <f aca="false">AS1101*CC1101</f>
        <v>172.5</v>
      </c>
      <c r="AU1101" s="63" t="n">
        <f aca="false">IF(LEFT(Cockpit!$I$5,1)="A",H1101,IF(CI1101=1,(CL1101+CJ1101)/2,IF(LEFT(Cockpit!$I$5,1)="B",(CL1101+AW1101)/2,MAX((CL1101+AW1101)/2,H1101))))</f>
        <v>2307</v>
      </c>
      <c r="AV1101" s="62" t="n">
        <f aca="false">AU1101*G1101</f>
        <v>5306.1</v>
      </c>
      <c r="AW1101" s="62" t="n">
        <f aca="false">ROUNDUP(CL1101+MAX(CM1101,2*(J1101/IF(CH1101&gt;0,CH1101,MAX(0.1,N(Cockpit!$I$6)))-CL1101)),0)</f>
        <v>52</v>
      </c>
      <c r="AX1101" s="63" t="n">
        <f aca="false">IF(AT1101&gt;0,J1101/AT1101,-1)</f>
        <v>0.278260869565217</v>
      </c>
      <c r="AY1101" s="63" t="n">
        <f aca="false">IF(AND(OR(CG1101="L1",CG1101="L23",CG1101="LIFT"),AT1101&gt;0),SUMIFS($AT$7:$AT$1843,$CG$7:$CG$1843,CG1101,$AX$7:$AX$1843,"&gt;"&amp;AX1101)+SUMIFS($AT$7:$AT$1843,$CG$7:$CG$1843,CG1101,$AX$7:$AX$1843,AX1101,$BX$7:$BX$1843,"&lt;="&amp;BX1101),"")</f>
        <v>14697.1643772894</v>
      </c>
      <c r="AZ1101" s="70" t="n">
        <f aca="false">IF(AY1101="",0,MAX(0,MIN(1,(IF(CG1101="L1",Parameter!$H$5,IF(CG1101="L23",Parameter!$H$6+Parameter!$H$7,Parameter!$H$5+Parameter!$H$6+Parameter!$H$7))-(AY1101-AT1101))/AT1101)))</f>
        <v>1</v>
      </c>
      <c r="BA1101" s="62" t="n">
        <f aca="false">IF(LEFT(Cockpit!$O$5,1)="A",H1101,IF(Parameter!$E$30="MAX-Bestand",IF(CI1101=1,CJ1101,IF(LEFT(Cockpit!$O$5,1)="B",BG1101,MAX(BG1101,H1101))),ROUNDUP(BE1101,0)))</f>
        <v>27</v>
      </c>
      <c r="BB1101" s="62" t="n">
        <f aca="false">IF(CA1101=1,0,ROUNDUP(BA1101/BZ1101,0))</f>
        <v>1</v>
      </c>
      <c r="BC1101" s="64" t="n">
        <f aca="false">IF(CR1101&gt;0,CR1101*MAX(1,BA1101/X1101),IF(CA1101=1,IF(BA1101&lt;=0,0,CE1101*MAX(1,IF(H1101&gt;0,BA1101/H1101,1))),IF(R1101&gt;0,BB1101/R1101,0))/MAX(0.1,N(Parameter!$M$21)))</f>
        <v>0.0833333333333333</v>
      </c>
      <c r="BD1101" s="62" t="n">
        <f aca="false">BC1101*CC1101</f>
        <v>28.75</v>
      </c>
      <c r="BE1101" s="63" t="n">
        <f aca="false">IF(LEFT(Cockpit!$O$5,1)="A",H1101,IF(CI1101=1,(CL1101+CJ1101)/2,IF(LEFT(Cockpit!$O$5,1)="B",(CL1101+BG1101)/2,MAX((CL1101+BG1101)/2,H1101))))</f>
        <v>27</v>
      </c>
      <c r="BF1101" s="62" t="n">
        <f aca="false">BE1101*G1101</f>
        <v>62.1</v>
      </c>
      <c r="BG1101" s="62" t="n">
        <f aca="false">ROUNDUP(CL1101+MAX(CM1101,2*(J1101/IF(CH1101&gt;0,CH1101,MAX(0.1,N(Cockpit!$O$6)))-CL1101)),0)</f>
        <v>52</v>
      </c>
      <c r="BH1101" s="63" t="n">
        <f aca="false">IF(BD1101&gt;0,J1101/BD1101,-1)</f>
        <v>1.6695652173913</v>
      </c>
      <c r="BI1101" s="63" t="n">
        <f aca="false">IF(AND(OR(CG1101="L1",CG1101="L23",CG1101="LIFT"),BD1101&gt;0),SUMIFS($BD$7:$BD$1843,$CG$7:$CG$1843,CG1101,$BH$7:$BH$1843,"&gt;"&amp;BH1101)+SUMIFS($BD$7:$BD$1843,$CG$7:$CG$1843,CG1101,$BH$7:$BH$1843,BH1101,$BX$7:$BX$1843,"&lt;="&amp;BX1101),"")</f>
        <v>6376.0086996337</v>
      </c>
      <c r="BJ1101" s="70" t="n">
        <f aca="false">IF(BI1101="",0,MAX(0,MIN(1,(IF(CG1101="L1",Parameter!$H$5,IF(CG1101="L23",Parameter!$H$6+Parameter!$H$7,Parameter!$H$5+Parameter!$H$6+Parameter!$H$7))-(BI1101-BD1101))/BD1101)))</f>
        <v>1</v>
      </c>
      <c r="BK1101" s="60" t="str">
        <f aca="false">IF(AJ1101&lt;=0,"",IF(CG1101="Aussen","Aussenlager",IF(CG1101="-","Nicht im Lift",IF(AP1101&gt;=1,"Lift",IF(AP1101&lt;=0,"Aussenlager","teilweise")))))</f>
        <v>Lift</v>
      </c>
      <c r="BL1101" s="60" t="str">
        <f aca="false">IF(AT1101&lt;=0,"",IF(CG1101="Aussen","Aussenlager",IF(CG1101="-","Nicht im Lift",IF(AZ1101&gt;=1,"Lift",IF(AZ1101&lt;=0,"Aussenlager","teilweise")))))</f>
        <v>Lift</v>
      </c>
      <c r="BM1101" s="60" t="str">
        <f aca="false">IF(BD1101&lt;=0,"",IF(CG1101="Aussen","Aussenlager",IF(CG1101="-","Nicht im Lift",IF(BJ1101&gt;=1,"Lift",IF(BJ1101&lt;=0,"Aussenlager","teilweise")))))</f>
        <v>Lift</v>
      </c>
      <c r="BN1101" s="60" t="str">
        <f aca="false">IF(A1101="","",IF(BW1101=1,"Neu; ","")&amp;IF(AND(BW1101=0,BR1101&lt;0),"negativer Bestand (Export "&amp;BR1101&amp;"); ","")&amp;IF(J1101&lt;=0,"Kein Verbrauch; ","")&amp;IF(CR1101&gt;0,"Lift "&amp;W1101&amp;" lt. Liftbericht (Fach "&amp;X1101&amp;" Stk); ",IF(CB1101=1,"Gebinde geschätzt ("&amp;T1101&amp;"); ",IF(CA1101=1,"Lose – Tablare geschätzt; ","")))&amp;IF(H1101&gt;AW1101,"Überbestand "&amp;ROUND(H1101-AW1101,0)&amp;" Stk / CHF "&amp;ROUND((H1101-AW1101)*G1101,0)&amp;"; ","")&amp;IF(AND(CI1101=1,CJ1101&lt;CK1101),"MAX &lt; MB+LG; ","")&amp;IF(AND(CQ1101&gt;0,CP1101*10&gt;CQ1101),"zu hoch für Tablar; ","")&amp;IF(AND(BW1101=0,OR(CI1101=1,AB1101&lt;&gt;"",U1101&lt;&gt;"",V1101&lt;&gt;"",AC1101&lt;&gt;"")),"manuell übersteuert; ","")&amp;IF(AND(CA1101=0,R1101=0),"Gebinde unbekannt / Stellmass fehlt; ","")&amp;IF(AND(CA1101=0,N(V1101)&lt;=0,N(Q1101)&lt;=0),"Menge pro Gebinde fehlt (Ist = 1 Gebinde); ","")&amp;BV1101)</f>
        <v>negativer Bestand (Export -93); Überbestand 2255 Stk / CHF 5187; </v>
      </c>
      <c r="BO1101" s="60"/>
      <c r="BP1101" s="60"/>
      <c r="BQ1101" s="67"/>
      <c r="BR1101" s="62" t="n">
        <v>-93</v>
      </c>
      <c r="BS1101" s="62" t="n">
        <v>2400</v>
      </c>
      <c r="BT1101" s="61" t="n">
        <v>-213.9</v>
      </c>
      <c r="BU1101" s="62" t="n">
        <v>48</v>
      </c>
      <c r="BV1101" s="60"/>
      <c r="BW1101" s="65" t="n">
        <v>0</v>
      </c>
      <c r="BX1101" s="65" t="n">
        <v>1101</v>
      </c>
      <c r="BY1101" s="60" t="str">
        <f aca="false">IF(U1101&lt;&gt;"",UPPER(TRIM(U1101)),IF(CB1101=1,UPPER(VLOOKUP(T1101,Parameter!$I$27:$K$29,2,0)),IF(P1101="","LOSE",P1101)))</f>
        <v>S63</v>
      </c>
      <c r="BZ1101" s="62" t="n">
        <f aca="false">IF(BY1101="LOSE",1,IF(N(V1101)&gt;0,V1101,IF(CB1101=1,MAX(1,N(VLOOKUP(T1101,Parameter!$I$27:$K$29,3,0)),H1101,N(N1101)),IF(N(Q1101)&gt;0,Q1101,MAX(1,H1101)))))</f>
        <v>400</v>
      </c>
      <c r="CA1101" s="65" t="n">
        <f aca="false">IF(BY1101="LOSE",1,0)</f>
        <v>0</v>
      </c>
      <c r="CB1101" s="65" t="n">
        <f aca="false">IF(AND(U1101="",OR(P1101="",P1101="LOSE"),T1101&lt;&gt;"",N(S1101)&lt;=0,ISNUMBER(MATCH(T1101,Parameter!$I$27:$I$29,0))),1,0)</f>
        <v>0</v>
      </c>
      <c r="CC1101" s="65" t="n">
        <f aca="false">IF(CR1101&gt;0,INDEX(Parameter!$H$5:$H$7,W1101)/INDEX(Parameter!$E$5:$E$7,W1101),IF(AND(CA1101=0,N(IFERROR(VLOOKUP(BY1101,'Gebinde-Kategorie'!$A$5:$N$45,14,0),0))&gt;0),VLOOKUP(BY1101,'Gebinde-Kategorie'!$A$5:$N$45,14,0)*10+Parameter!$M$23,Parameter!$M$24))</f>
        <v>345</v>
      </c>
      <c r="CD1101" s="60" t="str">
        <f aca="false">IF(AND(Parameter!$B$19="Ja",E1101&lt;&gt;"",ISNUMBER(MATCH(E1101,Parameter!$I$35:$I$52,0))),VLOOKUP(E1101,Parameter!$I$35:$J$52,2,0),IFERROR(VLOOKUP(D1101,Parameter!$A$35:$C$64,2,0),"Nein"))</f>
        <v>2+3</v>
      </c>
      <c r="CE1101" s="64" t="n">
        <f aca="false">IF(CA1101=0,0,IF(N(S1101)&gt;0,S1101,IFERROR(VLOOKUP(D1101,Parameter!$A$35:$C$64,3,0)+0,0)))</f>
        <v>0</v>
      </c>
      <c r="CF1101" s="60" t="n">
        <f aca="false">IF(AB1101&lt;&gt;"",AB1101,AA1101)</f>
        <v>3</v>
      </c>
      <c r="CG1101" s="60" t="str">
        <f aca="false">IF(OR(CF1101=1,CF1101=2,CF1101=3),IF(Parameter!$E$27="Ja","LIFT",IF(CF1101=1,"L1","L23")),IF(CF1101="Aussen","Aussen","-"))</f>
        <v>LIFT</v>
      </c>
      <c r="CH1101" s="71" t="n">
        <f aca="false">IF(N(AC1101)&gt;0,AC1101,0)</f>
        <v>0</v>
      </c>
      <c r="CI1101" s="65" t="n">
        <f aca="false">IF(ISNUMBER(AF1101),1,0)</f>
        <v>0</v>
      </c>
      <c r="CJ1101" s="62" t="n">
        <f aca="false">N(AF1101)</f>
        <v>0</v>
      </c>
      <c r="CK1101" s="62" t="n">
        <f aca="false">N(M1101)+N(N1101)</f>
        <v>52</v>
      </c>
      <c r="CL1101" s="62" t="n">
        <f aca="false">N(M1101)</f>
        <v>2</v>
      </c>
      <c r="CM1101" s="62" t="n">
        <f aca="false">N(N1101)</f>
        <v>50</v>
      </c>
      <c r="CN1101" s="62" t="n">
        <f aca="false">ROUNDUP(H1101/BZ1101,0)</f>
        <v>6</v>
      </c>
      <c r="CO1101" s="62" t="n">
        <f aca="false">ROUNDUP(CJ1101/BZ1101,0)</f>
        <v>0</v>
      </c>
      <c r="CP1101" s="65" t="n">
        <f aca="false">IF(CA1101=1,0,IFERROR(VLOOKUP(BY1101,'Gebinde-Kategorie'!$A$5:$N$45,5,0)+0,0))</f>
        <v>31</v>
      </c>
      <c r="CQ1101" s="65" t="n">
        <f aca="false">IFERROR(IF(OR(CF1101=1,CF1101=2,CF1101=3),N(INDEX(Parameter!$I$5:$I$7,CF1101)),0),0)</f>
        <v>0</v>
      </c>
      <c r="CR1101" s="64" t="n">
        <f aca="false">IF(AND(Parameter!$B$21="Ja",ISNUMBER(W1101),N(X1101)&gt;0),IFERROR(N(INDEX(Parameter!$L$5:$L$7,W1101))*INDEX(Parameter!$E$5:$E$7,W1101)*X1101/SUMIFS($X$7:$X$1843,$W$7:$W$1843,W1101),0),0)</f>
        <v>0</v>
      </c>
      <c r="CS1101" s="62" t="n">
        <f aca="false">IF(AND(OR(CG1101="L1",CG1101="L23",CG1101="LIFT"),H1101&gt;0),CC1101*IF(CR1101&gt;0,CR1101*MAX(1,H1101/X1101),IF(CA1101=1,CE1101,IF(R1101&gt;0,CN1101/R1101,0))/MAX(0.1,N(Parameter!$M$21))),"")</f>
        <v>172.5</v>
      </c>
      <c r="CT1101" s="64" t="n">
        <f aca="false">IF(CS1101="","",J1101/H1101)</f>
        <v>0.0208062418725618</v>
      </c>
      <c r="CU1101" s="62" t="n">
        <f aca="false">IF(CS1101="","",H1101*G1101)</f>
        <v>5306.1</v>
      </c>
      <c r="CV1101" s="63" t="n">
        <f aca="false">IF(CS1101="","",(CL1101+ROUNDUP(CL1101+MAX(CM1101,2*(J1101/MAX(0.1,N(Einkauf!$C$6))-CL1101)),0))/2)</f>
        <v>27</v>
      </c>
      <c r="CW1101" s="62" t="n">
        <f aca="false">IF(CS1101="","",MAX(0,H1101-CV1101)*G1101)</f>
        <v>5244</v>
      </c>
      <c r="CX1101" s="62" t="n">
        <f aca="false">IF(CS1101="","",CS1101*MAX(0,1-CV1101/H1101))</f>
        <v>170.481144343303</v>
      </c>
      <c r="CY1101" s="64" t="n">
        <f aca="false">IF(CS1101="","",PERCENTRANK($CS$7:$CS$1843,CS1101)+PERCENTRANK($CU$7:$CU$1843,CU1101)+1-PERCENTRANK($CT$7:$CT$1843,CT1101))</f>
        <v>2.506</v>
      </c>
      <c r="CZ1101" s="72" t="n">
        <f aca="false">IF(CS1101="","",CHOOSE(MATCH(Einkauf!$C$5,Parameter!$G$23:$G$27,0),CY1101,CS1101,CU1101,-CT1101,CW1101)+ROW()/1000000000)</f>
        <v>2.506001101</v>
      </c>
    </row>
    <row r="1102" customFormat="false" ht="15" hidden="false" customHeight="false" outlineLevel="0" collapsed="false">
      <c r="A1102" s="60" t="s">
        <v>2046</v>
      </c>
      <c r="B1102" s="60" t="s">
        <v>2047</v>
      </c>
      <c r="C1102" s="60" t="s">
        <v>206</v>
      </c>
      <c r="D1102" s="60" t="s">
        <v>226</v>
      </c>
      <c r="E1102" s="60"/>
      <c r="F1102" s="60" t="s">
        <v>260</v>
      </c>
      <c r="G1102" s="61" t="n">
        <v>71.61</v>
      </c>
      <c r="H1102" s="62" t="n">
        <f aca="false">MAX(0,IF(AND(Parameter!$B$21="Ja",ISNUMBER(Y1102)),Y1102,IF(Parameter!$B$20="Jahresanfang 2025 + Export",BS1102+BR1102,BR1102)))</f>
        <v>58</v>
      </c>
      <c r="I1102" s="62" t="n">
        <f aca="false">H1102*G1102</f>
        <v>4153.38</v>
      </c>
      <c r="J1102" s="62" t="n">
        <f aca="false">BU1102*Parameter!$B$18</f>
        <v>2</v>
      </c>
      <c r="K1102" s="63" t="n">
        <v>60</v>
      </c>
      <c r="L1102" s="64" t="n">
        <v>0.0333333333333333</v>
      </c>
      <c r="M1102" s="62" t="n">
        <v>0</v>
      </c>
      <c r="N1102" s="62" t="n">
        <v>1</v>
      </c>
      <c r="O1102" s="65" t="n">
        <v>63</v>
      </c>
      <c r="P1102" s="60" t="s">
        <v>275</v>
      </c>
      <c r="Q1102" s="62" t="n">
        <v>60</v>
      </c>
      <c r="R1102" s="65" t="n">
        <f aca="false">IF(CA1102=1,0,IFERROR(VLOOKUP(BY1102,'Gebinde-Kategorie'!$A$5:$N$45,13,0)+0,0))</f>
        <v>26</v>
      </c>
      <c r="S1102" s="66"/>
      <c r="T1102" s="67"/>
      <c r="U1102" s="67"/>
      <c r="V1102" s="67"/>
      <c r="W1102" s="60"/>
      <c r="X1102" s="62"/>
      <c r="Y1102" s="62"/>
      <c r="Z1102" s="60" t="n">
        <v>3</v>
      </c>
      <c r="AA1102" s="60" t="n">
        <f aca="false">IF(A1102="","",IF(AND(Parameter!$B$21="Ja",ISNUMBER(W1102)),W1102,IF(AND(Parameter!$E$27="Ja",ISNUMBER(Z1102),CD1102&lt;&gt;"Nein"),Z1102,IF(CD1102="2+3",IF(ISNUMBER(SEARCH("grosser Artikel",BV1102)),2,IFERROR(VLOOKUP(BY1102,Parameter!$F$35:$G$64,2,0),2)),IF(OR(CD1102="Nein",CD1102=""),"-",CD1102)))))</f>
        <v>3</v>
      </c>
      <c r="AB1102" s="67"/>
      <c r="AC1102" s="68"/>
      <c r="AD1102" s="62" t="n">
        <f aca="false">AW1102</f>
        <v>2</v>
      </c>
      <c r="AE1102" s="62" t="n">
        <f aca="false">MAX(AW1102,H1102)</f>
        <v>58</v>
      </c>
      <c r="AF1102" s="69"/>
      <c r="AG1102" s="62" t="n">
        <f aca="false">IF(LEFT(Cockpit!$C$5,1)="A",H1102,IF(Parameter!$E$30="MAX-Bestand",IF(CI1102=1,CJ1102,IF(LEFT(Cockpit!$C$5,1)="B",AM1102,MAX(AM1102,H1102))),ROUNDUP(AK1102,0)))</f>
        <v>58</v>
      </c>
      <c r="AH1102" s="62" t="n">
        <f aca="false">IF(CA1102=1,0,ROUNDUP(AG1102/BZ1102,0))</f>
        <v>1</v>
      </c>
      <c r="AI1102" s="64" t="n">
        <f aca="false">IF(CR1102&gt;0,CR1102*MAX(1,AG1102/X1102),IF(CA1102=1,IF(AG1102&lt;=0,0,CE1102*MAX(1,IF(H1102&gt;0,AG1102/H1102,1))),IF(R1102&gt;0,AH1102/R1102,0))/MAX(0.1,N(Parameter!$M$21)))</f>
        <v>0.0384615384615385</v>
      </c>
      <c r="AJ1102" s="62" t="n">
        <f aca="false">AI1102*CC1102</f>
        <v>9.42307692307692</v>
      </c>
      <c r="AK1102" s="63" t="n">
        <f aca="false">IF(LEFT(Cockpit!$C$5,1)="A",H1102,IF(CI1102=1,(CL1102+CJ1102)/2,IF(LEFT(Cockpit!$C$5,1)="B",(CL1102+AM1102)/2,MAX((CL1102+AM1102)/2,H1102))))</f>
        <v>58</v>
      </c>
      <c r="AL1102" s="62" t="n">
        <f aca="false">AK1102*G1102</f>
        <v>4153.38</v>
      </c>
      <c r="AM1102" s="62" t="n">
        <f aca="false">ROUNDUP(CL1102+MAX(CM1102,2*(J1102/IF(CH1102&gt;0,CH1102,MAX(0.1,N(Cockpit!$C$6)))-CL1102)),0)</f>
        <v>2</v>
      </c>
      <c r="AN1102" s="63" t="n">
        <f aca="false">IF(AJ1102&gt;0,J1102/AJ1102,-1)</f>
        <v>0.212244897959184</v>
      </c>
      <c r="AO1102" s="63" t="n">
        <f aca="false">IF(AND(OR(CG1102="L1",CG1102="L23",CG1102="LIFT"),AJ1102&gt;0),SUMIFS($AJ$7:$AJ$1843,$CG$7:$CG$1843,CG1102,$AN$7:$AN$1843,"&gt;"&amp;AN1102)+SUMIFS($AJ$7:$AJ$1843,$CG$7:$CG$1843,CG1102,$AN$7:$AN$1843,AN1102,$BX$7:$BX$1843,"&lt;="&amp;BX1102),"")</f>
        <v>12382.9709003332</v>
      </c>
      <c r="AP1102" s="70" t="n">
        <f aca="false">IF(AO1102="",0,MAX(0,MIN(1,(IF(CG1102="L1",Parameter!$H$5,IF(CG1102="L23",Parameter!$H$6+Parameter!$H$7,Parameter!$H$5+Parameter!$H$6+Parameter!$H$7))-(AO1102-AJ1102))/AJ1102)))</f>
        <v>1</v>
      </c>
      <c r="AQ1102" s="62" t="n">
        <f aca="false">IF(LEFT(Cockpit!$I$5,1)="A",H1102,IF(Parameter!$E$30="MAX-Bestand",IF(CI1102=1,CJ1102,IF(LEFT(Cockpit!$I$5,1)="B",AW1102,MAX(AW1102,H1102))),ROUNDUP(AU1102,0)))</f>
        <v>58</v>
      </c>
      <c r="AR1102" s="62" t="n">
        <f aca="false">IF(CA1102=1,0,ROUNDUP(AQ1102/BZ1102,0))</f>
        <v>1</v>
      </c>
      <c r="AS1102" s="64" t="n">
        <f aca="false">IF(CR1102&gt;0,CR1102*MAX(1,AQ1102/X1102),IF(CA1102=1,IF(AQ1102&lt;=0,0,CE1102*MAX(1,IF(H1102&gt;0,AQ1102/H1102,1))),IF(R1102&gt;0,AR1102/R1102,0))/MAX(0.1,N(Parameter!$M$21)))</f>
        <v>0.0384615384615385</v>
      </c>
      <c r="AT1102" s="62" t="n">
        <f aca="false">AS1102*CC1102</f>
        <v>9.42307692307692</v>
      </c>
      <c r="AU1102" s="63" t="n">
        <f aca="false">IF(LEFT(Cockpit!$I$5,1)="A",H1102,IF(CI1102=1,(CL1102+CJ1102)/2,IF(LEFT(Cockpit!$I$5,1)="B",(CL1102+AW1102)/2,MAX((CL1102+AW1102)/2,H1102))))</f>
        <v>58</v>
      </c>
      <c r="AV1102" s="62" t="n">
        <f aca="false">AU1102*G1102</f>
        <v>4153.38</v>
      </c>
      <c r="AW1102" s="62" t="n">
        <f aca="false">ROUNDUP(CL1102+MAX(CM1102,2*(J1102/IF(CH1102&gt;0,CH1102,MAX(0.1,N(Cockpit!$I$6)))-CL1102)),0)</f>
        <v>2</v>
      </c>
      <c r="AX1102" s="63" t="n">
        <f aca="false">IF(AT1102&gt;0,J1102/AT1102,-1)</f>
        <v>0.212244897959184</v>
      </c>
      <c r="AY1102" s="63" t="n">
        <f aca="false">IF(AND(OR(CG1102="L1",CG1102="L23",CG1102="LIFT"),AT1102&gt;0),SUMIFS($AT$7:$AT$1843,$CG$7:$CG$1843,CG1102,$AX$7:$AX$1843,"&gt;"&amp;AX1102)+SUMIFS($AT$7:$AT$1843,$CG$7:$CG$1843,CG1102,$AX$7:$AX$1843,AX1102,$BX$7:$BX$1843,"&lt;="&amp;BX1102),"")</f>
        <v>15212.2284798535</v>
      </c>
      <c r="AZ1102" s="70" t="n">
        <f aca="false">IF(AY1102="",0,MAX(0,MIN(1,(IF(CG1102="L1",Parameter!$H$5,IF(CG1102="L23",Parameter!$H$6+Parameter!$H$7,Parameter!$H$5+Parameter!$H$6+Parameter!$H$7))-(AY1102-AT1102))/AT1102)))</f>
        <v>1</v>
      </c>
      <c r="BA1102" s="62" t="n">
        <f aca="false">IF(LEFT(Cockpit!$O$5,1)="A",H1102,IF(Parameter!$E$30="MAX-Bestand",IF(CI1102=1,CJ1102,IF(LEFT(Cockpit!$O$5,1)="B",BG1102,MAX(BG1102,H1102))),ROUNDUP(BE1102,0)))</f>
        <v>1</v>
      </c>
      <c r="BB1102" s="62" t="n">
        <f aca="false">IF(CA1102=1,0,ROUNDUP(BA1102/BZ1102,0))</f>
        <v>1</v>
      </c>
      <c r="BC1102" s="64" t="n">
        <f aca="false">IF(CR1102&gt;0,CR1102*MAX(1,BA1102/X1102),IF(CA1102=1,IF(BA1102&lt;=0,0,CE1102*MAX(1,IF(H1102&gt;0,BA1102/H1102,1))),IF(R1102&gt;0,BB1102/R1102,0))/MAX(0.1,N(Parameter!$M$21)))</f>
        <v>0.0384615384615385</v>
      </c>
      <c r="BD1102" s="62" t="n">
        <f aca="false">BC1102*CC1102</f>
        <v>9.42307692307692</v>
      </c>
      <c r="BE1102" s="63" t="n">
        <f aca="false">IF(LEFT(Cockpit!$O$5,1)="A",H1102,IF(CI1102=1,(CL1102+CJ1102)/2,IF(LEFT(Cockpit!$O$5,1)="B",(CL1102+BG1102)/2,MAX((CL1102+BG1102)/2,H1102))))</f>
        <v>0.5</v>
      </c>
      <c r="BF1102" s="62" t="n">
        <f aca="false">BE1102*G1102</f>
        <v>35.805</v>
      </c>
      <c r="BG1102" s="62" t="n">
        <f aca="false">ROUNDUP(CL1102+MAX(CM1102,2*(J1102/IF(CH1102&gt;0,CH1102,MAX(0.1,N(Cockpit!$O$6)))-CL1102)),0)</f>
        <v>1</v>
      </c>
      <c r="BH1102" s="63" t="n">
        <f aca="false">IF(BD1102&gt;0,J1102/BD1102,-1)</f>
        <v>0.212244897959184</v>
      </c>
      <c r="BI1102" s="63" t="n">
        <f aca="false">IF(AND(OR(CG1102="L1",CG1102="L23",CG1102="LIFT"),BD1102&gt;0),SUMIFS($BD$7:$BD$1843,$CG$7:$CG$1843,CG1102,$BH$7:$BH$1843,"&gt;"&amp;BH1102)+SUMIFS($BD$7:$BD$1843,$CG$7:$CG$1843,CG1102,$BH$7:$BH$1843,BH1102,$BX$7:$BX$1843,"&lt;="&amp;BX1102),"")</f>
        <v>12354.5132783883</v>
      </c>
      <c r="BJ1102" s="70" t="n">
        <f aca="false">IF(BI1102="",0,MAX(0,MIN(1,(IF(CG1102="L1",Parameter!$H$5,IF(CG1102="L23",Parameter!$H$6+Parameter!$H$7,Parameter!$H$5+Parameter!$H$6+Parameter!$H$7))-(BI1102-BD1102))/BD1102)))</f>
        <v>1</v>
      </c>
      <c r="BK1102" s="60" t="str">
        <f aca="false">IF(AJ1102&lt;=0,"",IF(CG1102="Aussen","Aussenlager",IF(CG1102="-","Nicht im Lift",IF(AP1102&gt;=1,"Lift",IF(AP1102&lt;=0,"Aussenlager","teilweise")))))</f>
        <v>Lift</v>
      </c>
      <c r="BL1102" s="60" t="str">
        <f aca="false">IF(AT1102&lt;=0,"",IF(CG1102="Aussen","Aussenlager",IF(CG1102="-","Nicht im Lift",IF(AZ1102&gt;=1,"Lift",IF(AZ1102&lt;=0,"Aussenlager","teilweise")))))</f>
        <v>Lift</v>
      </c>
      <c r="BM1102" s="60" t="str">
        <f aca="false">IF(BD1102&lt;=0,"",IF(CG1102="Aussen","Aussenlager",IF(CG1102="-","Nicht im Lift",IF(BJ1102&gt;=1,"Lift",IF(BJ1102&lt;=0,"Aussenlager","teilweise")))))</f>
        <v>Lift</v>
      </c>
      <c r="BN1102" s="60" t="str">
        <f aca="false">IF(A1102="","",IF(BW1102=1,"Neu; ","")&amp;IF(AND(BW1102=0,BR1102&lt;0),"negativer Bestand (Export "&amp;BR1102&amp;"); ","")&amp;IF(J1102&lt;=0,"Kein Verbrauch; ","")&amp;IF(CR1102&gt;0,"Lift "&amp;W1102&amp;" lt. Liftbericht (Fach "&amp;X1102&amp;" Stk); ",IF(CB1102=1,"Gebinde geschätzt ("&amp;T1102&amp;"); ",IF(CA1102=1,"Lose – Tablare geschätzt; ","")))&amp;IF(H1102&gt;AW1102,"Überbestand "&amp;ROUND(H1102-AW1102,0)&amp;" Stk / CHF "&amp;ROUND((H1102-AW1102)*G1102,0)&amp;"; ","")&amp;IF(AND(CI1102=1,CJ1102&lt;CK1102),"MAX &lt; MB+LG; ","")&amp;IF(AND(CQ1102&gt;0,CP1102*10&gt;CQ1102),"zu hoch für Tablar; ","")&amp;IF(AND(BW1102=0,OR(CI1102=1,AB1102&lt;&gt;"",U1102&lt;&gt;"",V1102&lt;&gt;"",AC1102&lt;&gt;"")),"manuell übersteuert; ","")&amp;IF(AND(CA1102=0,R1102=0),"Gebinde unbekannt / Stellmass fehlt; ","")&amp;IF(AND(CA1102=0,N(V1102)&lt;=0,N(Q1102)&lt;=0),"Menge pro Gebinde fehlt (Ist = 1 Gebinde); ","")&amp;BV1102)</f>
        <v>negativer Bestand (Export -3); Überbestand 56 Stk / CHF 4010; i.o</v>
      </c>
      <c r="BO1102" s="60"/>
      <c r="BP1102" s="60"/>
      <c r="BQ1102" s="67"/>
      <c r="BR1102" s="62" t="n">
        <v>-3</v>
      </c>
      <c r="BS1102" s="62" t="n">
        <v>61</v>
      </c>
      <c r="BT1102" s="61" t="n">
        <v>-214.83</v>
      </c>
      <c r="BU1102" s="62" t="n">
        <v>2</v>
      </c>
      <c r="BV1102" s="60" t="s">
        <v>578</v>
      </c>
      <c r="BW1102" s="65" t="n">
        <v>0</v>
      </c>
      <c r="BX1102" s="65" t="n">
        <v>1102</v>
      </c>
      <c r="BY1102" s="60" t="str">
        <f aca="false">IF(U1102&lt;&gt;"",UPPER(TRIM(U1102)),IF(CB1102=1,UPPER(VLOOKUP(T1102,Parameter!$I$27:$K$29,2,0)),IF(P1102="","LOSE",P1102)))</f>
        <v>S52</v>
      </c>
      <c r="BZ1102" s="62" t="n">
        <f aca="false">IF(BY1102="LOSE",1,IF(N(V1102)&gt;0,V1102,IF(CB1102=1,MAX(1,N(VLOOKUP(T1102,Parameter!$I$27:$K$29,3,0)),H1102,N(N1102)),IF(N(Q1102)&gt;0,Q1102,MAX(1,H1102)))))</f>
        <v>60</v>
      </c>
      <c r="CA1102" s="65" t="n">
        <f aca="false">IF(BY1102="LOSE",1,0)</f>
        <v>0</v>
      </c>
      <c r="CB1102" s="65" t="n">
        <f aca="false">IF(AND(U1102="",OR(P1102="",P1102="LOSE"),T1102&lt;&gt;"",N(S1102)&lt;=0,ISNUMBER(MATCH(T1102,Parameter!$I$27:$I$29,0))),1,0)</f>
        <v>0</v>
      </c>
      <c r="CC1102" s="65" t="n">
        <f aca="false">IF(CR1102&gt;0,INDEX(Parameter!$H$5:$H$7,W1102)/INDEX(Parameter!$E$5:$E$7,W1102),IF(AND(CA1102=0,N(IFERROR(VLOOKUP(BY1102,'Gebinde-Kategorie'!$A$5:$N$45,14,0),0))&gt;0),VLOOKUP(BY1102,'Gebinde-Kategorie'!$A$5:$N$45,14,0)*10+Parameter!$M$23,Parameter!$M$24))</f>
        <v>245</v>
      </c>
      <c r="CD1102" s="60" t="str">
        <f aca="false">IF(AND(Parameter!$B$19="Ja",E1102&lt;&gt;"",ISNUMBER(MATCH(E1102,Parameter!$I$35:$I$52,0))),VLOOKUP(E1102,Parameter!$I$35:$J$52,2,0),IFERROR(VLOOKUP(D1102,Parameter!$A$35:$C$64,2,0),"Nein"))</f>
        <v>2+3</v>
      </c>
      <c r="CE1102" s="64" t="n">
        <f aca="false">IF(CA1102=0,0,IF(N(S1102)&gt;0,S1102,IFERROR(VLOOKUP(D1102,Parameter!$A$35:$C$64,3,0)+0,0)))</f>
        <v>0</v>
      </c>
      <c r="CF1102" s="60" t="n">
        <f aca="false">IF(AB1102&lt;&gt;"",AB1102,AA1102)</f>
        <v>3</v>
      </c>
      <c r="CG1102" s="60" t="str">
        <f aca="false">IF(OR(CF1102=1,CF1102=2,CF1102=3),IF(Parameter!$E$27="Ja","LIFT",IF(CF1102=1,"L1","L23")),IF(CF1102="Aussen","Aussen","-"))</f>
        <v>LIFT</v>
      </c>
      <c r="CH1102" s="71" t="n">
        <f aca="false">IF(N(AC1102)&gt;0,AC1102,0)</f>
        <v>0</v>
      </c>
      <c r="CI1102" s="65" t="n">
        <f aca="false">IF(ISNUMBER(AF1102),1,0)</f>
        <v>0</v>
      </c>
      <c r="CJ1102" s="62" t="n">
        <f aca="false">N(AF1102)</f>
        <v>0</v>
      </c>
      <c r="CK1102" s="62" t="n">
        <f aca="false">N(M1102)+N(N1102)</f>
        <v>1</v>
      </c>
      <c r="CL1102" s="62" t="n">
        <f aca="false">N(M1102)</f>
        <v>0</v>
      </c>
      <c r="CM1102" s="62" t="n">
        <f aca="false">N(N1102)</f>
        <v>1</v>
      </c>
      <c r="CN1102" s="62" t="n">
        <f aca="false">ROUNDUP(H1102/BZ1102,0)</f>
        <v>1</v>
      </c>
      <c r="CO1102" s="62" t="n">
        <f aca="false">ROUNDUP(CJ1102/BZ1102,0)</f>
        <v>0</v>
      </c>
      <c r="CP1102" s="65" t="n">
        <f aca="false">IF(CA1102=1,0,IFERROR(VLOOKUP(BY1102,'Gebinde-Kategorie'!$A$5:$N$45,5,0)+0,0))</f>
        <v>21</v>
      </c>
      <c r="CQ1102" s="65" t="n">
        <f aca="false">IFERROR(IF(OR(CF1102=1,CF1102=2,CF1102=3),N(INDEX(Parameter!$I$5:$I$7,CF1102)),0),0)</f>
        <v>0</v>
      </c>
      <c r="CR1102" s="64" t="n">
        <f aca="false">IF(AND(Parameter!$B$21="Ja",ISNUMBER(W1102),N(X1102)&gt;0),IFERROR(N(INDEX(Parameter!$L$5:$L$7,W1102))*INDEX(Parameter!$E$5:$E$7,W1102)*X1102/SUMIFS($X$7:$X$1843,$W$7:$W$1843,W1102),0),0)</f>
        <v>0</v>
      </c>
      <c r="CS1102" s="62" t="n">
        <f aca="false">IF(AND(OR(CG1102="L1",CG1102="L23",CG1102="LIFT"),H1102&gt;0),CC1102*IF(CR1102&gt;0,CR1102*MAX(1,H1102/X1102),IF(CA1102=1,CE1102,IF(R1102&gt;0,CN1102/R1102,0))/MAX(0.1,N(Parameter!$M$21))),"")</f>
        <v>9.42307692307692</v>
      </c>
      <c r="CT1102" s="64" t="n">
        <f aca="false">IF(CS1102="","",J1102/H1102)</f>
        <v>0.0344827586206897</v>
      </c>
      <c r="CU1102" s="62" t="n">
        <f aca="false">IF(CS1102="","",H1102*G1102)</f>
        <v>4153.38</v>
      </c>
      <c r="CV1102" s="63" t="n">
        <f aca="false">IF(CS1102="","",(CL1102+ROUNDUP(CL1102+MAX(CM1102,2*(J1102/MAX(0.1,N(Einkauf!$C$6))-CL1102)),0))/2)</f>
        <v>0.5</v>
      </c>
      <c r="CW1102" s="62" t="n">
        <f aca="false">IF(CS1102="","",MAX(0,H1102-CV1102)*G1102)</f>
        <v>4117.575</v>
      </c>
      <c r="CX1102" s="62" t="n">
        <f aca="false">IF(CS1102="","",CS1102*MAX(0,1-CV1102/H1102))</f>
        <v>9.34184350132626</v>
      </c>
      <c r="CY1102" s="64" t="n">
        <f aca="false">IF(CS1102="","",PERCENTRANK($CS$7:$CS$1843,CS1102)+PERCENTRANK($CU$7:$CU$1843,CU1102)+1-PERCENTRANK($CT$7:$CT$1843,CT1102))</f>
        <v>2.067</v>
      </c>
      <c r="CZ1102" s="72" t="n">
        <f aca="false">IF(CS1102="","",CHOOSE(MATCH(Einkauf!$C$5,Parameter!$G$23:$G$27,0),CY1102,CS1102,CU1102,-CT1102,CW1102)+ROW()/1000000000)</f>
        <v>2.067001102</v>
      </c>
    </row>
    <row r="1103" customFormat="false" ht="15" hidden="false" customHeight="false" outlineLevel="0" collapsed="false">
      <c r="A1103" s="60" t="s">
        <v>2048</v>
      </c>
      <c r="B1103" s="60" t="s">
        <v>791</v>
      </c>
      <c r="C1103" s="60" t="s">
        <v>206</v>
      </c>
      <c r="D1103" s="60" t="s">
        <v>226</v>
      </c>
      <c r="E1103" s="60"/>
      <c r="F1103" s="60" t="s">
        <v>260</v>
      </c>
      <c r="G1103" s="61" t="n">
        <v>83.58</v>
      </c>
      <c r="H1103" s="62" t="n">
        <f aca="false">MAX(0,IF(AND(Parameter!$B$21="Ja",ISNUMBER(Y1103)),Y1103,IF(Parameter!$B$20="Jahresanfang 2025 + Export",BS1103+BR1103,BR1103)))</f>
        <v>2</v>
      </c>
      <c r="I1103" s="62" t="n">
        <f aca="false">H1103*G1103</f>
        <v>167.16</v>
      </c>
      <c r="J1103" s="62" t="n">
        <f aca="false">BU1103*Parameter!$B$18</f>
        <v>1</v>
      </c>
      <c r="K1103" s="63" t="n">
        <v>4.5</v>
      </c>
      <c r="L1103" s="64" t="n">
        <v>0.222222222222222</v>
      </c>
      <c r="M1103" s="62" t="n">
        <v>0</v>
      </c>
      <c r="N1103" s="62" t="n">
        <v>1</v>
      </c>
      <c r="O1103" s="65" t="n">
        <v>35</v>
      </c>
      <c r="P1103" s="60" t="s">
        <v>210</v>
      </c>
      <c r="Q1103" s="62"/>
      <c r="R1103" s="65" t="n">
        <f aca="false">IF(CA1103=1,0,IFERROR(VLOOKUP(BY1103,'Gebinde-Kategorie'!$A$5:$N$45,13,0)+0,0))</f>
        <v>26</v>
      </c>
      <c r="S1103" s="66"/>
      <c r="T1103" s="67" t="s">
        <v>317</v>
      </c>
      <c r="U1103" s="67"/>
      <c r="V1103" s="67"/>
      <c r="W1103" s="60"/>
      <c r="X1103" s="62"/>
      <c r="Y1103" s="62"/>
      <c r="Z1103" s="60" t="n">
        <v>3</v>
      </c>
      <c r="AA1103" s="60" t="n">
        <f aca="false">IF(A1103="","",IF(AND(Parameter!$B$21="Ja",ISNUMBER(W1103)),W1103,IF(AND(Parameter!$E$27="Ja",ISNUMBER(Z1103),CD1103&lt;&gt;"Nein"),Z1103,IF(CD1103="2+3",IF(ISNUMBER(SEARCH("grosser Artikel",BV1103)),2,IFERROR(VLOOKUP(BY1103,Parameter!$F$35:$G$64,2,0),2)),IF(OR(CD1103="Nein",CD1103=""),"-",CD1103)))))</f>
        <v>3</v>
      </c>
      <c r="AB1103" s="67"/>
      <c r="AC1103" s="68"/>
      <c r="AD1103" s="62" t="n">
        <f aca="false">AW1103</f>
        <v>1</v>
      </c>
      <c r="AE1103" s="62" t="n">
        <f aca="false">MAX(AW1103,H1103)</f>
        <v>2</v>
      </c>
      <c r="AF1103" s="69"/>
      <c r="AG1103" s="62" t="n">
        <f aca="false">IF(LEFT(Cockpit!$C$5,1)="A",H1103,IF(Parameter!$E$30="MAX-Bestand",IF(CI1103=1,CJ1103,IF(LEFT(Cockpit!$C$5,1)="B",AM1103,MAX(AM1103,H1103))),ROUNDUP(AK1103,0)))</f>
        <v>2</v>
      </c>
      <c r="AH1103" s="62" t="n">
        <f aca="false">IF(CA1103=1,0,ROUNDUP(AG1103/BZ1103,0))</f>
        <v>1</v>
      </c>
      <c r="AI1103" s="64" t="n">
        <f aca="false">IF(CR1103&gt;0,CR1103*MAX(1,AG1103/X1103),IF(CA1103=1,IF(AG1103&lt;=0,0,CE1103*MAX(1,IF(H1103&gt;0,AG1103/H1103,1))),IF(R1103&gt;0,AH1103/R1103,0))/MAX(0.1,N(Parameter!$M$21)))</f>
        <v>0.0384615384615385</v>
      </c>
      <c r="AJ1103" s="62" t="n">
        <f aca="false">AI1103*CC1103</f>
        <v>5.96153846153846</v>
      </c>
      <c r="AK1103" s="63" t="n">
        <f aca="false">IF(LEFT(Cockpit!$C$5,1)="A",H1103,IF(CI1103=1,(CL1103+CJ1103)/2,IF(LEFT(Cockpit!$C$5,1)="B",(CL1103+AM1103)/2,MAX((CL1103+AM1103)/2,H1103))))</f>
        <v>2</v>
      </c>
      <c r="AL1103" s="62" t="n">
        <f aca="false">AK1103*G1103</f>
        <v>167.16</v>
      </c>
      <c r="AM1103" s="62" t="n">
        <f aca="false">ROUNDUP(CL1103+MAX(CM1103,2*(J1103/IF(CH1103&gt;0,CH1103,MAX(0.1,N(Cockpit!$C$6)))-CL1103)),0)</f>
        <v>1</v>
      </c>
      <c r="AN1103" s="63" t="n">
        <f aca="false">IF(AJ1103&gt;0,J1103/AJ1103,-1)</f>
        <v>0.167741935483871</v>
      </c>
      <c r="AO1103" s="63" t="n">
        <f aca="false">IF(AND(OR(CG1103="L1",CG1103="L23",CG1103="LIFT"),AJ1103&gt;0),SUMIFS($AJ$7:$AJ$1843,$CG$7:$CG$1843,CG1103,$AN$7:$AN$1843,"&gt;"&amp;AN1103)+SUMIFS($AJ$7:$AJ$1843,$CG$7:$CG$1843,CG1103,$AN$7:$AN$1843,AN1103,$BX$7:$BX$1843,"&lt;="&amp;BX1103),"")</f>
        <v>12745.3106439229</v>
      </c>
      <c r="AP1103" s="70" t="n">
        <f aca="false">IF(AO1103="",0,MAX(0,MIN(1,(IF(CG1103="L1",Parameter!$H$5,IF(CG1103="L23",Parameter!$H$6+Parameter!$H$7,Parameter!$H$5+Parameter!$H$6+Parameter!$H$7))-(AO1103-AJ1103))/AJ1103)))</f>
        <v>1</v>
      </c>
      <c r="AQ1103" s="62" t="n">
        <f aca="false">IF(LEFT(Cockpit!$I$5,1)="A",H1103,IF(Parameter!$E$30="MAX-Bestand",IF(CI1103=1,CJ1103,IF(LEFT(Cockpit!$I$5,1)="B",AW1103,MAX(AW1103,H1103))),ROUNDUP(AU1103,0)))</f>
        <v>2</v>
      </c>
      <c r="AR1103" s="62" t="n">
        <f aca="false">IF(CA1103=1,0,ROUNDUP(AQ1103/BZ1103,0))</f>
        <v>1</v>
      </c>
      <c r="AS1103" s="64" t="n">
        <f aca="false">IF(CR1103&gt;0,CR1103*MAX(1,AQ1103/X1103),IF(CA1103=1,IF(AQ1103&lt;=0,0,CE1103*MAX(1,IF(H1103&gt;0,AQ1103/H1103,1))),IF(R1103&gt;0,AR1103/R1103,0))/MAX(0.1,N(Parameter!$M$21)))</f>
        <v>0.0384615384615385</v>
      </c>
      <c r="AT1103" s="62" t="n">
        <f aca="false">AS1103*CC1103</f>
        <v>5.96153846153846</v>
      </c>
      <c r="AU1103" s="63" t="n">
        <f aca="false">IF(LEFT(Cockpit!$I$5,1)="A",H1103,IF(CI1103=1,(CL1103+CJ1103)/2,IF(LEFT(Cockpit!$I$5,1)="B",(CL1103+AW1103)/2,MAX((CL1103+AW1103)/2,H1103))))</f>
        <v>2</v>
      </c>
      <c r="AV1103" s="62" t="n">
        <f aca="false">AU1103*G1103</f>
        <v>167.16</v>
      </c>
      <c r="AW1103" s="62" t="n">
        <f aca="false">ROUNDUP(CL1103+MAX(CM1103,2*(J1103/IF(CH1103&gt;0,CH1103,MAX(0.1,N(Cockpit!$I$6)))-CL1103)),0)</f>
        <v>1</v>
      </c>
      <c r="AX1103" s="63" t="n">
        <f aca="false">IF(AT1103&gt;0,J1103/AT1103,-1)</f>
        <v>0.167741935483871</v>
      </c>
      <c r="AY1103" s="63" t="n">
        <f aca="false">IF(AND(OR(CG1103="L1",CG1103="L23",CG1103="LIFT"),AT1103&gt;0),SUMIFS($AT$7:$AT$1843,$CG$7:$CG$1843,CG1103,$AX$7:$AX$1843,"&gt;"&amp;AX1103)+SUMIFS($AT$7:$AT$1843,$CG$7:$CG$1843,CG1103,$AX$7:$AX$1843,AX1103,$BX$7:$BX$1843,"&lt;="&amp;BX1103),"")</f>
        <v>15673.9913003663</v>
      </c>
      <c r="AZ1103" s="70" t="n">
        <f aca="false">IF(AY1103="",0,MAX(0,MIN(1,(IF(CG1103="L1",Parameter!$H$5,IF(CG1103="L23",Parameter!$H$6+Parameter!$H$7,Parameter!$H$5+Parameter!$H$6+Parameter!$H$7))-(AY1103-AT1103))/AT1103)))</f>
        <v>1</v>
      </c>
      <c r="BA1103" s="62" t="n">
        <f aca="false">IF(LEFT(Cockpit!$O$5,1)="A",H1103,IF(Parameter!$E$30="MAX-Bestand",IF(CI1103=1,CJ1103,IF(LEFT(Cockpit!$O$5,1)="B",BG1103,MAX(BG1103,H1103))),ROUNDUP(BE1103,0)))</f>
        <v>1</v>
      </c>
      <c r="BB1103" s="62" t="n">
        <f aca="false">IF(CA1103=1,0,ROUNDUP(BA1103/BZ1103,0))</f>
        <v>1</v>
      </c>
      <c r="BC1103" s="64" t="n">
        <f aca="false">IF(CR1103&gt;0,CR1103*MAX(1,BA1103/X1103),IF(CA1103=1,IF(BA1103&lt;=0,0,CE1103*MAX(1,IF(H1103&gt;0,BA1103/H1103,1))),IF(R1103&gt;0,BB1103/R1103,0))/MAX(0.1,N(Parameter!$M$21)))</f>
        <v>0.0384615384615385</v>
      </c>
      <c r="BD1103" s="62" t="n">
        <f aca="false">BC1103*CC1103</f>
        <v>5.96153846153846</v>
      </c>
      <c r="BE1103" s="63" t="n">
        <f aca="false">IF(LEFT(Cockpit!$O$5,1)="A",H1103,IF(CI1103=1,(CL1103+CJ1103)/2,IF(LEFT(Cockpit!$O$5,1)="B",(CL1103+BG1103)/2,MAX((CL1103+BG1103)/2,H1103))))</f>
        <v>0.5</v>
      </c>
      <c r="BF1103" s="62" t="n">
        <f aca="false">BE1103*G1103</f>
        <v>41.79</v>
      </c>
      <c r="BG1103" s="62" t="n">
        <f aca="false">ROUNDUP(CL1103+MAX(CM1103,2*(J1103/IF(CH1103&gt;0,CH1103,MAX(0.1,N(Cockpit!$O$6)))-CL1103)),0)</f>
        <v>1</v>
      </c>
      <c r="BH1103" s="63" t="n">
        <f aca="false">IF(BD1103&gt;0,J1103/BD1103,-1)</f>
        <v>0.167741935483871</v>
      </c>
      <c r="BI1103" s="63" t="n">
        <f aca="false">IF(AND(OR(CG1103="L1",CG1103="L23",CG1103="LIFT"),BD1103&gt;0),SUMIFS($BD$7:$BD$1843,$CG$7:$CG$1843,CG1103,$BH$7:$BH$1843,"&gt;"&amp;BH1103)+SUMIFS($BD$7:$BD$1843,$CG$7:$CG$1843,CG1103,$BH$7:$BH$1843,BH1103,$BX$7:$BX$1843,"&lt;="&amp;BX1103),"")</f>
        <v>13476.2911285983</v>
      </c>
      <c r="BJ1103" s="70" t="n">
        <f aca="false">IF(BI1103="",0,MAX(0,MIN(1,(IF(CG1103="L1",Parameter!$H$5,IF(CG1103="L23",Parameter!$H$6+Parameter!$H$7,Parameter!$H$5+Parameter!$H$6+Parameter!$H$7))-(BI1103-BD1103))/BD1103)))</f>
        <v>1</v>
      </c>
      <c r="BK1103" s="60" t="str">
        <f aca="false">IF(AJ1103&lt;=0,"",IF(CG1103="Aussen","Aussenlager",IF(CG1103="-","Nicht im Lift",IF(AP1103&gt;=1,"Lift",IF(AP1103&lt;=0,"Aussenlager","teilweise")))))</f>
        <v>Lift</v>
      </c>
      <c r="BL1103" s="60" t="str">
        <f aca="false">IF(AT1103&lt;=0,"",IF(CG1103="Aussen","Aussenlager",IF(CG1103="-","Nicht im Lift",IF(AZ1103&gt;=1,"Lift",IF(AZ1103&lt;=0,"Aussenlager","teilweise")))))</f>
        <v>Lift</v>
      </c>
      <c r="BM1103" s="60" t="str">
        <f aca="false">IF(BD1103&lt;=0,"",IF(CG1103="Aussen","Aussenlager",IF(CG1103="-","Nicht im Lift",IF(BJ1103&gt;=1,"Lift",IF(BJ1103&lt;=0,"Aussenlager","teilweise")))))</f>
        <v>Lift</v>
      </c>
      <c r="BN1103" s="60" t="str">
        <f aca="false">IF(A1103="","",IF(BW1103=1,"Neu; ","")&amp;IF(AND(BW1103=0,BR1103&lt;0),"negativer Bestand (Export "&amp;BR1103&amp;"); ","")&amp;IF(J1103&lt;=0,"Kein Verbrauch; ","")&amp;IF(CR1103&gt;0,"Lift "&amp;W1103&amp;" lt. Liftbericht (Fach "&amp;X1103&amp;" Stk); ",IF(CB1103=1,"Gebinde geschätzt ("&amp;T1103&amp;"); ",IF(CA1103=1,"Lose – Tablare geschätzt; ","")))&amp;IF(H1103&gt;AW1103,"Überbestand "&amp;ROUND(H1103-AW1103,0)&amp;" Stk / CHF "&amp;ROUND((H1103-AW1103)*G1103,0)&amp;"; ","")&amp;IF(AND(CI1103=1,CJ1103&lt;CK1103),"MAX &lt; MB+LG; ","")&amp;IF(AND(CQ1103&gt;0,CP1103*10&gt;CQ1103),"zu hoch für Tablar; ","")&amp;IF(AND(BW1103=0,OR(CI1103=1,AB1103&lt;&gt;"",U1103&lt;&gt;"",V1103&lt;&gt;"",AC1103&lt;&gt;"")),"manuell übersteuert; ","")&amp;IF(AND(CA1103=0,R1103=0),"Gebinde unbekannt / Stellmass fehlt; ","")&amp;IF(AND(CA1103=0,N(V1103)&lt;=0,N(Q1103)&lt;=0),"Menge pro Gebinde fehlt (Ist = 1 Gebinde); ","")&amp;BV1103)</f>
        <v>negativer Bestand (Export -3); Gebinde geschätzt (Klein); Überbestand 1 Stk / CHF 84; Menge pro Gebinde fehlt (Ist = 1 Gebinde); </v>
      </c>
      <c r="BO1103" s="60"/>
      <c r="BP1103" s="60"/>
      <c r="BQ1103" s="67"/>
      <c r="BR1103" s="62" t="n">
        <v>-3</v>
      </c>
      <c r="BS1103" s="62" t="n">
        <v>5</v>
      </c>
      <c r="BT1103" s="61" t="n">
        <v>-216.39</v>
      </c>
      <c r="BU1103" s="62" t="n">
        <v>1</v>
      </c>
      <c r="BV1103" s="60"/>
      <c r="BW1103" s="65" t="n">
        <v>0</v>
      </c>
      <c r="BX1103" s="65" t="n">
        <v>1103</v>
      </c>
      <c r="BY1103" s="60" t="str">
        <f aca="false">IF(U1103&lt;&gt;"",UPPER(TRIM(U1103)),IF(CB1103=1,UPPER(VLOOKUP(T1103,Parameter!$I$27:$K$29,2,0)),IF(P1103="","LOSE",P1103)))</f>
        <v>S51</v>
      </c>
      <c r="BZ1103" s="62" t="n">
        <f aca="false">IF(BY1103="LOSE",1,IF(N(V1103)&gt;0,V1103,IF(CB1103=1,MAX(1,N(VLOOKUP(T1103,Parameter!$I$27:$K$29,3,0)),H1103,N(N1103)),IF(N(Q1103)&gt;0,Q1103,MAX(1,H1103)))))</f>
        <v>20</v>
      </c>
      <c r="CA1103" s="65" t="n">
        <f aca="false">IF(BY1103="LOSE",1,0)</f>
        <v>0</v>
      </c>
      <c r="CB1103" s="65" t="n">
        <f aca="false">IF(AND(U1103="",OR(P1103="",P1103="LOSE"),T1103&lt;&gt;"",N(S1103)&lt;=0,ISNUMBER(MATCH(T1103,Parameter!$I$27:$I$29,0))),1,0)</f>
        <v>1</v>
      </c>
      <c r="CC1103" s="65" t="n">
        <f aca="false">IF(CR1103&gt;0,INDEX(Parameter!$H$5:$H$7,W1103)/INDEX(Parameter!$E$5:$E$7,W1103),IF(AND(CA1103=0,N(IFERROR(VLOOKUP(BY1103,'Gebinde-Kategorie'!$A$5:$N$45,14,0),0))&gt;0),VLOOKUP(BY1103,'Gebinde-Kategorie'!$A$5:$N$45,14,0)*10+Parameter!$M$23,Parameter!$M$24))</f>
        <v>155</v>
      </c>
      <c r="CD1103" s="60" t="str">
        <f aca="false">IF(AND(Parameter!$B$19="Ja",E1103&lt;&gt;"",ISNUMBER(MATCH(E1103,Parameter!$I$35:$I$52,0))),VLOOKUP(E1103,Parameter!$I$35:$J$52,2,0),IFERROR(VLOOKUP(D1103,Parameter!$A$35:$C$64,2,0),"Nein"))</f>
        <v>2+3</v>
      </c>
      <c r="CE1103" s="64" t="n">
        <f aca="false">IF(CA1103=0,0,IF(N(S1103)&gt;0,S1103,IFERROR(VLOOKUP(D1103,Parameter!$A$35:$C$64,3,0)+0,0)))</f>
        <v>0</v>
      </c>
      <c r="CF1103" s="60" t="n">
        <f aca="false">IF(AB1103&lt;&gt;"",AB1103,AA1103)</f>
        <v>3</v>
      </c>
      <c r="CG1103" s="60" t="str">
        <f aca="false">IF(OR(CF1103=1,CF1103=2,CF1103=3),IF(Parameter!$E$27="Ja","LIFT",IF(CF1103=1,"L1","L23")),IF(CF1103="Aussen","Aussen","-"))</f>
        <v>LIFT</v>
      </c>
      <c r="CH1103" s="71" t="n">
        <f aca="false">IF(N(AC1103)&gt;0,AC1103,0)</f>
        <v>0</v>
      </c>
      <c r="CI1103" s="65" t="n">
        <f aca="false">IF(ISNUMBER(AF1103),1,0)</f>
        <v>0</v>
      </c>
      <c r="CJ1103" s="62" t="n">
        <f aca="false">N(AF1103)</f>
        <v>0</v>
      </c>
      <c r="CK1103" s="62" t="n">
        <f aca="false">N(M1103)+N(N1103)</f>
        <v>1</v>
      </c>
      <c r="CL1103" s="62" t="n">
        <f aca="false">N(M1103)</f>
        <v>0</v>
      </c>
      <c r="CM1103" s="62" t="n">
        <f aca="false">N(N1103)</f>
        <v>1</v>
      </c>
      <c r="CN1103" s="62" t="n">
        <f aca="false">ROUNDUP(H1103/BZ1103,0)</f>
        <v>1</v>
      </c>
      <c r="CO1103" s="62" t="n">
        <f aca="false">ROUNDUP(CJ1103/BZ1103,0)</f>
        <v>0</v>
      </c>
      <c r="CP1103" s="65" t="n">
        <f aca="false">IF(CA1103=1,0,IFERROR(VLOOKUP(BY1103,'Gebinde-Kategorie'!$A$5:$N$45,5,0)+0,0))</f>
        <v>11</v>
      </c>
      <c r="CQ1103" s="65" t="n">
        <f aca="false">IFERROR(IF(OR(CF1103=1,CF1103=2,CF1103=3),N(INDEX(Parameter!$I$5:$I$7,CF1103)),0),0)</f>
        <v>0</v>
      </c>
      <c r="CR1103" s="64" t="n">
        <f aca="false">IF(AND(Parameter!$B$21="Ja",ISNUMBER(W1103),N(X1103)&gt;0),IFERROR(N(INDEX(Parameter!$L$5:$L$7,W1103))*INDEX(Parameter!$E$5:$E$7,W1103)*X1103/SUMIFS($X$7:$X$1843,$W$7:$W$1843,W1103),0),0)</f>
        <v>0</v>
      </c>
      <c r="CS1103" s="62" t="n">
        <f aca="false">IF(AND(OR(CG1103="L1",CG1103="L23",CG1103="LIFT"),H1103&gt;0),CC1103*IF(CR1103&gt;0,CR1103*MAX(1,H1103/X1103),IF(CA1103=1,CE1103,IF(R1103&gt;0,CN1103/R1103,0))/MAX(0.1,N(Parameter!$M$21))),"")</f>
        <v>5.96153846153846</v>
      </c>
      <c r="CT1103" s="64" t="n">
        <f aca="false">IF(CS1103="","",J1103/H1103)</f>
        <v>0.5</v>
      </c>
      <c r="CU1103" s="62" t="n">
        <f aca="false">IF(CS1103="","",H1103*G1103)</f>
        <v>167.16</v>
      </c>
      <c r="CV1103" s="63" t="n">
        <f aca="false">IF(CS1103="","",(CL1103+ROUNDUP(CL1103+MAX(CM1103,2*(J1103/MAX(0.1,N(Einkauf!$C$6))-CL1103)),0))/2)</f>
        <v>0.5</v>
      </c>
      <c r="CW1103" s="62" t="n">
        <f aca="false">IF(CS1103="","",MAX(0,H1103-CV1103)*G1103)</f>
        <v>125.37</v>
      </c>
      <c r="CX1103" s="62" t="n">
        <f aca="false">IF(CS1103="","",CS1103*MAX(0,1-CV1103/H1103))</f>
        <v>4.47115384615385</v>
      </c>
      <c r="CY1103" s="64" t="n">
        <f aca="false">IF(CS1103="","",PERCENTRANK($CS$7:$CS$1843,CS1103)+PERCENTRANK($CU$7:$CU$1843,CU1103)+1-PERCENTRANK($CT$7:$CT$1843,CT1103))</f>
        <v>1.116</v>
      </c>
      <c r="CZ1103" s="72" t="n">
        <f aca="false">IF(CS1103="","",CHOOSE(MATCH(Einkauf!$C$5,Parameter!$G$23:$G$27,0),CY1103,CS1103,CU1103,-CT1103,CW1103)+ROW()/1000000000)</f>
        <v>1.116001103</v>
      </c>
    </row>
    <row r="1104" customFormat="false" ht="15" hidden="false" customHeight="false" outlineLevel="0" collapsed="false">
      <c r="A1104" s="60" t="s">
        <v>2049</v>
      </c>
      <c r="B1104" s="60" t="s">
        <v>1788</v>
      </c>
      <c r="C1104" s="60" t="s">
        <v>206</v>
      </c>
      <c r="D1104" s="60" t="s">
        <v>226</v>
      </c>
      <c r="E1104" s="60"/>
      <c r="F1104" s="60" t="s">
        <v>260</v>
      </c>
      <c r="G1104" s="61" t="n">
        <v>18.24</v>
      </c>
      <c r="H1104" s="62" t="n">
        <f aca="false">MAX(0,IF(AND(Parameter!$B$21="Ja",ISNUMBER(Y1104)),Y1104,IF(Parameter!$B$20="Jahresanfang 2025 + Export",BS1104+BR1104,BR1104)))</f>
        <v>22</v>
      </c>
      <c r="I1104" s="62" t="n">
        <f aca="false">H1104*G1104</f>
        <v>401.28</v>
      </c>
      <c r="J1104" s="62" t="n">
        <f aca="false">BU1104*Parameter!$B$18</f>
        <v>20</v>
      </c>
      <c r="K1104" s="63" t="n">
        <v>25</v>
      </c>
      <c r="L1104" s="64" t="n">
        <v>0.8</v>
      </c>
      <c r="M1104" s="62" t="n">
        <v>2</v>
      </c>
      <c r="N1104" s="62" t="n">
        <v>20</v>
      </c>
      <c r="O1104" s="65" t="n">
        <v>49</v>
      </c>
      <c r="P1104" s="60" t="s">
        <v>463</v>
      </c>
      <c r="Q1104" s="62" t="n">
        <v>30</v>
      </c>
      <c r="R1104" s="65" t="n">
        <f aca="false">IF(CA1104=1,0,IFERROR(VLOOKUP(BY1104,'Gebinde-Kategorie'!$A$5:$N$45,13,0)+0,0))</f>
        <v>104</v>
      </c>
      <c r="S1104" s="66"/>
      <c r="T1104" s="67"/>
      <c r="U1104" s="67"/>
      <c r="V1104" s="67"/>
      <c r="W1104" s="60"/>
      <c r="X1104" s="62"/>
      <c r="Y1104" s="62"/>
      <c r="Z1104" s="60" t="n">
        <v>3</v>
      </c>
      <c r="AA1104" s="60" t="n">
        <f aca="false">IF(A1104="","",IF(AND(Parameter!$B$21="Ja",ISNUMBER(W1104)),W1104,IF(AND(Parameter!$E$27="Ja",ISNUMBER(Z1104),CD1104&lt;&gt;"Nein"),Z1104,IF(CD1104="2+3",IF(ISNUMBER(SEARCH("grosser Artikel",BV1104)),2,IFERROR(VLOOKUP(BY1104,Parameter!$F$35:$G$64,2,0),2)),IF(OR(CD1104="Nein",CD1104=""),"-",CD1104)))))</f>
        <v>3</v>
      </c>
      <c r="AB1104" s="67"/>
      <c r="AC1104" s="68"/>
      <c r="AD1104" s="62" t="n">
        <f aca="false">AW1104</f>
        <v>22</v>
      </c>
      <c r="AE1104" s="62" t="n">
        <f aca="false">MAX(AW1104,H1104)</f>
        <v>22</v>
      </c>
      <c r="AF1104" s="69"/>
      <c r="AG1104" s="62" t="n">
        <f aca="false">IF(LEFT(Cockpit!$C$5,1)="A",H1104,IF(Parameter!$E$30="MAX-Bestand",IF(CI1104=1,CJ1104,IF(LEFT(Cockpit!$C$5,1)="B",AM1104,MAX(AM1104,H1104))),ROUNDUP(AK1104,0)))</f>
        <v>22</v>
      </c>
      <c r="AH1104" s="62" t="n">
        <f aca="false">IF(CA1104=1,0,ROUNDUP(AG1104/BZ1104,0))</f>
        <v>1</v>
      </c>
      <c r="AI1104" s="64" t="n">
        <f aca="false">IF(CR1104&gt;0,CR1104*MAX(1,AG1104/X1104),IF(CA1104=1,IF(AG1104&lt;=0,0,CE1104*MAX(1,IF(H1104&gt;0,AG1104/H1104,1))),IF(R1104&gt;0,AH1104/R1104,0))/MAX(0.1,N(Parameter!$M$21)))</f>
        <v>0.00961538461538462</v>
      </c>
      <c r="AJ1104" s="62" t="n">
        <f aca="false">AI1104*CC1104</f>
        <v>1.49038461538462</v>
      </c>
      <c r="AK1104" s="63" t="n">
        <f aca="false">IF(LEFT(Cockpit!$C$5,1)="A",H1104,IF(CI1104=1,(CL1104+CJ1104)/2,IF(LEFT(Cockpit!$C$5,1)="B",(CL1104+AM1104)/2,MAX((CL1104+AM1104)/2,H1104))))</f>
        <v>22</v>
      </c>
      <c r="AL1104" s="62" t="n">
        <f aca="false">AK1104*G1104</f>
        <v>401.28</v>
      </c>
      <c r="AM1104" s="62" t="n">
        <f aca="false">ROUNDUP(CL1104+MAX(CM1104,2*(J1104/IF(CH1104&gt;0,CH1104,MAX(0.1,N(Cockpit!$C$6)))-CL1104)),0)</f>
        <v>22</v>
      </c>
      <c r="AN1104" s="63" t="n">
        <f aca="false">IF(AJ1104&gt;0,J1104/AJ1104,-1)</f>
        <v>13.4193548387097</v>
      </c>
      <c r="AO1104" s="63" t="n">
        <f aca="false">IF(AND(OR(CG1104="L1",CG1104="L23",CG1104="LIFT"),AJ1104&gt;0),SUMIFS($AJ$7:$AJ$1843,$CG$7:$CG$1843,CG1104,$AN$7:$AN$1843,"&gt;"&amp;AN1104)+SUMIFS($AJ$7:$AJ$1843,$CG$7:$CG$1843,CG1104,$AN$7:$AN$1843,AN1104,$BX$7:$BX$1843,"&lt;="&amp;BX1104),"")</f>
        <v>2344.32646520147</v>
      </c>
      <c r="AP1104" s="70" t="n">
        <f aca="false">IF(AO1104="",0,MAX(0,MIN(1,(IF(CG1104="L1",Parameter!$H$5,IF(CG1104="L23",Parameter!$H$6+Parameter!$H$7,Parameter!$H$5+Parameter!$H$6+Parameter!$H$7))-(AO1104-AJ1104))/AJ1104)))</f>
        <v>1</v>
      </c>
      <c r="AQ1104" s="62" t="n">
        <f aca="false">IF(LEFT(Cockpit!$I$5,1)="A",H1104,IF(Parameter!$E$30="MAX-Bestand",IF(CI1104=1,CJ1104,IF(LEFT(Cockpit!$I$5,1)="B",AW1104,MAX(AW1104,H1104))),ROUNDUP(AU1104,0)))</f>
        <v>22</v>
      </c>
      <c r="AR1104" s="62" t="n">
        <f aca="false">IF(CA1104=1,0,ROUNDUP(AQ1104/BZ1104,0))</f>
        <v>1</v>
      </c>
      <c r="AS1104" s="64" t="n">
        <f aca="false">IF(CR1104&gt;0,CR1104*MAX(1,AQ1104/X1104),IF(CA1104=1,IF(AQ1104&lt;=0,0,CE1104*MAX(1,IF(H1104&gt;0,AQ1104/H1104,1))),IF(R1104&gt;0,AR1104/R1104,0))/MAX(0.1,N(Parameter!$M$21)))</f>
        <v>0.00961538461538462</v>
      </c>
      <c r="AT1104" s="62" t="n">
        <f aca="false">AS1104*CC1104</f>
        <v>1.49038461538462</v>
      </c>
      <c r="AU1104" s="63" t="n">
        <f aca="false">IF(LEFT(Cockpit!$I$5,1)="A",H1104,IF(CI1104=1,(CL1104+CJ1104)/2,IF(LEFT(Cockpit!$I$5,1)="B",(CL1104+AW1104)/2,MAX((CL1104+AW1104)/2,H1104))))</f>
        <v>22</v>
      </c>
      <c r="AV1104" s="62" t="n">
        <f aca="false">AU1104*G1104</f>
        <v>401.28</v>
      </c>
      <c r="AW1104" s="62" t="n">
        <f aca="false">ROUNDUP(CL1104+MAX(CM1104,2*(J1104/IF(CH1104&gt;0,CH1104,MAX(0.1,N(Cockpit!$I$6)))-CL1104)),0)</f>
        <v>22</v>
      </c>
      <c r="AX1104" s="63" t="n">
        <f aca="false">IF(AT1104&gt;0,J1104/AT1104,-1)</f>
        <v>13.4193548387097</v>
      </c>
      <c r="AY1104" s="63" t="n">
        <f aca="false">IF(AND(OR(CG1104="L1",CG1104="L23",CG1104="LIFT"),AT1104&gt;0),SUMIFS($AT$7:$AT$1843,$CG$7:$CG$1843,CG1104,$AX$7:$AX$1843,"&gt;"&amp;AX1104)+SUMIFS($AT$7:$AT$1843,$CG$7:$CG$1843,CG1104,$AX$7:$AX$1843,AX1104,$BX$7:$BX$1843,"&lt;="&amp;BX1104),"")</f>
        <v>2963.51327838828</v>
      </c>
      <c r="AZ1104" s="70" t="n">
        <f aca="false">IF(AY1104="",0,MAX(0,MIN(1,(IF(CG1104="L1",Parameter!$H$5,IF(CG1104="L23",Parameter!$H$6+Parameter!$H$7,Parameter!$H$5+Parameter!$H$6+Parameter!$H$7))-(AY1104-AT1104))/AT1104)))</f>
        <v>1</v>
      </c>
      <c r="BA1104" s="62" t="n">
        <f aca="false">IF(LEFT(Cockpit!$O$5,1)="A",H1104,IF(Parameter!$E$30="MAX-Bestand",IF(CI1104=1,CJ1104,IF(LEFT(Cockpit!$O$5,1)="B",BG1104,MAX(BG1104,H1104))),ROUNDUP(BE1104,0)))</f>
        <v>12</v>
      </c>
      <c r="BB1104" s="62" t="n">
        <f aca="false">IF(CA1104=1,0,ROUNDUP(BA1104/BZ1104,0))</f>
        <v>1</v>
      </c>
      <c r="BC1104" s="64" t="n">
        <f aca="false">IF(CR1104&gt;0,CR1104*MAX(1,BA1104/X1104),IF(CA1104=1,IF(BA1104&lt;=0,0,CE1104*MAX(1,IF(H1104&gt;0,BA1104/H1104,1))),IF(R1104&gt;0,BB1104/R1104,0))/MAX(0.1,N(Parameter!$M$21)))</f>
        <v>0.00961538461538462</v>
      </c>
      <c r="BD1104" s="62" t="n">
        <f aca="false">BC1104*CC1104</f>
        <v>1.49038461538462</v>
      </c>
      <c r="BE1104" s="63" t="n">
        <f aca="false">IF(LEFT(Cockpit!$O$5,1)="A",H1104,IF(CI1104=1,(CL1104+CJ1104)/2,IF(LEFT(Cockpit!$O$5,1)="B",(CL1104+BG1104)/2,MAX((CL1104+BG1104)/2,H1104))))</f>
        <v>12</v>
      </c>
      <c r="BF1104" s="62" t="n">
        <f aca="false">BE1104*G1104</f>
        <v>218.88</v>
      </c>
      <c r="BG1104" s="62" t="n">
        <f aca="false">ROUNDUP(CL1104+MAX(CM1104,2*(J1104/IF(CH1104&gt;0,CH1104,MAX(0.1,N(Cockpit!$O$6)))-CL1104)),0)</f>
        <v>22</v>
      </c>
      <c r="BH1104" s="63" t="n">
        <f aca="false">IF(BD1104&gt;0,J1104/BD1104,-1)</f>
        <v>13.4193548387097</v>
      </c>
      <c r="BI1104" s="63" t="n">
        <f aca="false">IF(AND(OR(CG1104="L1",CG1104="L23",CG1104="LIFT"),BD1104&gt;0),SUMIFS($BD$7:$BD$1843,$CG$7:$CG$1843,CG1104,$BH$7:$BH$1843,"&gt;"&amp;BH1104)+SUMIFS($BD$7:$BD$1843,$CG$7:$CG$1843,CG1104,$BH$7:$BH$1843,BH1104,$BX$7:$BX$1843,"&lt;="&amp;BX1104),"")</f>
        <v>2504.34478021978</v>
      </c>
      <c r="BJ1104" s="70" t="n">
        <f aca="false">IF(BI1104="",0,MAX(0,MIN(1,(IF(CG1104="L1",Parameter!$H$5,IF(CG1104="L23",Parameter!$H$6+Parameter!$H$7,Parameter!$H$5+Parameter!$H$6+Parameter!$H$7))-(BI1104-BD1104))/BD1104)))</f>
        <v>1</v>
      </c>
      <c r="BK1104" s="60" t="str">
        <f aca="false">IF(AJ1104&lt;=0,"",IF(CG1104="Aussen","Aussenlager",IF(CG1104="-","Nicht im Lift",IF(AP1104&gt;=1,"Lift",IF(AP1104&lt;=0,"Aussenlager","teilweise")))))</f>
        <v>Lift</v>
      </c>
      <c r="BL1104" s="60" t="str">
        <f aca="false">IF(AT1104&lt;=0,"",IF(CG1104="Aussen","Aussenlager",IF(CG1104="-","Nicht im Lift",IF(AZ1104&gt;=1,"Lift",IF(AZ1104&lt;=0,"Aussenlager","teilweise")))))</f>
        <v>Lift</v>
      </c>
      <c r="BM1104" s="60" t="str">
        <f aca="false">IF(BD1104&lt;=0,"",IF(CG1104="Aussen","Aussenlager",IF(CG1104="-","Nicht im Lift",IF(BJ1104&gt;=1,"Lift",IF(BJ1104&lt;=0,"Aussenlager","teilweise")))))</f>
        <v>Lift</v>
      </c>
      <c r="BN1104" s="60" t="str">
        <f aca="false">IF(A1104="","",IF(BW1104=1,"Neu; ","")&amp;IF(AND(BW1104=0,BR1104&lt;0),"negativer Bestand (Export "&amp;BR1104&amp;"); ","")&amp;IF(J1104&lt;=0,"Kein Verbrauch; ","")&amp;IF(CR1104&gt;0,"Lift "&amp;W1104&amp;" lt. Liftbericht (Fach "&amp;X1104&amp;" Stk); ",IF(CB1104=1,"Gebinde geschätzt ("&amp;T1104&amp;"); ",IF(CA1104=1,"Lose – Tablare geschätzt; ","")))&amp;IF(H1104&gt;AW1104,"Überbestand "&amp;ROUND(H1104-AW1104,0)&amp;" Stk / CHF "&amp;ROUND((H1104-AW1104)*G1104,0)&amp;"; ","")&amp;IF(AND(CI1104=1,CJ1104&lt;CK1104),"MAX &lt; MB+LG; ","")&amp;IF(AND(CQ1104&gt;0,CP1104*10&gt;CQ1104),"zu hoch für Tablar; ","")&amp;IF(AND(BW1104=0,OR(CI1104=1,AB1104&lt;&gt;"",U1104&lt;&gt;"",V1104&lt;&gt;"",AC1104&lt;&gt;"")),"manuell übersteuert; ","")&amp;IF(AND(CA1104=0,R1104=0),"Gebinde unbekannt / Stellmass fehlt; ","")&amp;IF(AND(CA1104=0,N(V1104)&lt;=0,N(Q1104)&lt;=0),"Menge pro Gebinde fehlt (Ist = 1 Gebinde); ","")&amp;BV1104)</f>
        <v>negativer Bestand (Export -12); </v>
      </c>
      <c r="BO1104" s="60"/>
      <c r="BP1104" s="60"/>
      <c r="BQ1104" s="67"/>
      <c r="BR1104" s="62" t="n">
        <v>-12</v>
      </c>
      <c r="BS1104" s="62" t="n">
        <v>34</v>
      </c>
      <c r="BT1104" s="61" t="n">
        <v>-218.54</v>
      </c>
      <c r="BU1104" s="62" t="n">
        <v>20</v>
      </c>
      <c r="BV1104" s="60"/>
      <c r="BW1104" s="65" t="n">
        <v>0</v>
      </c>
      <c r="BX1104" s="65" t="n">
        <v>1104</v>
      </c>
      <c r="BY1104" s="60" t="str">
        <f aca="false">IF(U1104&lt;&gt;"",UPPER(TRIM(U1104)),IF(CB1104=1,UPPER(VLOOKUP(T1104,Parameter!$I$27:$K$29,2,0)),IF(P1104="","LOSE",P1104)))</f>
        <v>S32</v>
      </c>
      <c r="BZ1104" s="62" t="n">
        <f aca="false">IF(BY1104="LOSE",1,IF(N(V1104)&gt;0,V1104,IF(CB1104=1,MAX(1,N(VLOOKUP(T1104,Parameter!$I$27:$K$29,3,0)),H1104,N(N1104)),IF(N(Q1104)&gt;0,Q1104,MAX(1,H1104)))))</f>
        <v>30</v>
      </c>
      <c r="CA1104" s="65" t="n">
        <f aca="false">IF(BY1104="LOSE",1,0)</f>
        <v>0</v>
      </c>
      <c r="CB1104" s="65" t="n">
        <f aca="false">IF(AND(U1104="",OR(P1104="",P1104="LOSE"),T1104&lt;&gt;"",N(S1104)&lt;=0,ISNUMBER(MATCH(T1104,Parameter!$I$27:$I$29,0))),1,0)</f>
        <v>0</v>
      </c>
      <c r="CC1104" s="65" t="n">
        <f aca="false">IF(CR1104&gt;0,INDEX(Parameter!$H$5:$H$7,W1104)/INDEX(Parameter!$E$5:$E$7,W1104),IF(AND(CA1104=0,N(IFERROR(VLOOKUP(BY1104,'Gebinde-Kategorie'!$A$5:$N$45,14,0),0))&gt;0),VLOOKUP(BY1104,'Gebinde-Kategorie'!$A$5:$N$45,14,0)*10+Parameter!$M$23,Parameter!$M$24))</f>
        <v>155</v>
      </c>
      <c r="CD1104" s="60" t="str">
        <f aca="false">IF(AND(Parameter!$B$19="Ja",E1104&lt;&gt;"",ISNUMBER(MATCH(E1104,Parameter!$I$35:$I$52,0))),VLOOKUP(E1104,Parameter!$I$35:$J$52,2,0),IFERROR(VLOOKUP(D1104,Parameter!$A$35:$C$64,2,0),"Nein"))</f>
        <v>2+3</v>
      </c>
      <c r="CE1104" s="64" t="n">
        <f aca="false">IF(CA1104=0,0,IF(N(S1104)&gt;0,S1104,IFERROR(VLOOKUP(D1104,Parameter!$A$35:$C$64,3,0)+0,0)))</f>
        <v>0</v>
      </c>
      <c r="CF1104" s="60" t="n">
        <f aca="false">IF(AB1104&lt;&gt;"",AB1104,AA1104)</f>
        <v>3</v>
      </c>
      <c r="CG1104" s="60" t="str">
        <f aca="false">IF(OR(CF1104=1,CF1104=2,CF1104=3),IF(Parameter!$E$27="Ja","LIFT",IF(CF1104=1,"L1","L23")),IF(CF1104="Aussen","Aussen","-"))</f>
        <v>LIFT</v>
      </c>
      <c r="CH1104" s="71" t="n">
        <f aca="false">IF(N(AC1104)&gt;0,AC1104,0)</f>
        <v>0</v>
      </c>
      <c r="CI1104" s="65" t="n">
        <f aca="false">IF(ISNUMBER(AF1104),1,0)</f>
        <v>0</v>
      </c>
      <c r="CJ1104" s="62" t="n">
        <f aca="false">N(AF1104)</f>
        <v>0</v>
      </c>
      <c r="CK1104" s="62" t="n">
        <f aca="false">N(M1104)+N(N1104)</f>
        <v>22</v>
      </c>
      <c r="CL1104" s="62" t="n">
        <f aca="false">N(M1104)</f>
        <v>2</v>
      </c>
      <c r="CM1104" s="62" t="n">
        <f aca="false">N(N1104)</f>
        <v>20</v>
      </c>
      <c r="CN1104" s="62" t="n">
        <f aca="false">ROUNDUP(H1104/BZ1104,0)</f>
        <v>1</v>
      </c>
      <c r="CO1104" s="62" t="n">
        <f aca="false">ROUNDUP(CJ1104/BZ1104,0)</f>
        <v>0</v>
      </c>
      <c r="CP1104" s="65" t="n">
        <f aca="false">IF(CA1104=1,0,IFERROR(VLOOKUP(BY1104,'Gebinde-Kategorie'!$A$5:$N$45,5,0)+0,0))</f>
        <v>8</v>
      </c>
      <c r="CQ1104" s="65" t="n">
        <f aca="false">IFERROR(IF(OR(CF1104=1,CF1104=2,CF1104=3),N(INDEX(Parameter!$I$5:$I$7,CF1104)),0),0)</f>
        <v>0</v>
      </c>
      <c r="CR1104" s="64" t="n">
        <f aca="false">IF(AND(Parameter!$B$21="Ja",ISNUMBER(W1104),N(X1104)&gt;0),IFERROR(N(INDEX(Parameter!$L$5:$L$7,W1104))*INDEX(Parameter!$E$5:$E$7,W1104)*X1104/SUMIFS($X$7:$X$1843,$W$7:$W$1843,W1104),0),0)</f>
        <v>0</v>
      </c>
      <c r="CS1104" s="62" t="n">
        <f aca="false">IF(AND(OR(CG1104="L1",CG1104="L23",CG1104="LIFT"),H1104&gt;0),CC1104*IF(CR1104&gt;0,CR1104*MAX(1,H1104/X1104),IF(CA1104=1,CE1104,IF(R1104&gt;0,CN1104/R1104,0))/MAX(0.1,N(Parameter!$M$21))),"")</f>
        <v>1.49038461538462</v>
      </c>
      <c r="CT1104" s="64" t="n">
        <f aca="false">IF(CS1104="","",J1104/H1104)</f>
        <v>0.909090909090909</v>
      </c>
      <c r="CU1104" s="62" t="n">
        <f aca="false">IF(CS1104="","",H1104*G1104)</f>
        <v>401.28</v>
      </c>
      <c r="CV1104" s="63" t="n">
        <f aca="false">IF(CS1104="","",(CL1104+ROUNDUP(CL1104+MAX(CM1104,2*(J1104/MAX(0.1,N(Einkauf!$C$6))-CL1104)),0))/2)</f>
        <v>12</v>
      </c>
      <c r="CW1104" s="62" t="n">
        <f aca="false">IF(CS1104="","",MAX(0,H1104-CV1104)*G1104)</f>
        <v>182.4</v>
      </c>
      <c r="CX1104" s="62" t="n">
        <f aca="false">IF(CS1104="","",CS1104*MAX(0,1-CV1104/H1104))</f>
        <v>0.677447552447553</v>
      </c>
      <c r="CY1104" s="64" t="n">
        <f aca="false">IF(CS1104="","",PERCENTRANK($CS$7:$CS$1843,CS1104)+PERCENTRANK($CU$7:$CU$1843,CU1104)+1-PERCENTRANK($CT$7:$CT$1843,CT1104))</f>
        <v>0.975</v>
      </c>
      <c r="CZ1104" s="72" t="n">
        <f aca="false">IF(CS1104="","",CHOOSE(MATCH(Einkauf!$C$5,Parameter!$G$23:$G$27,0),CY1104,CS1104,CU1104,-CT1104,CW1104)+ROW()/1000000000)</f>
        <v>0.975001104</v>
      </c>
    </row>
    <row r="1105" customFormat="false" ht="15" hidden="false" customHeight="false" outlineLevel="0" collapsed="false">
      <c r="A1105" s="60" t="s">
        <v>2050</v>
      </c>
      <c r="B1105" s="60" t="s">
        <v>539</v>
      </c>
      <c r="C1105" s="60" t="s">
        <v>206</v>
      </c>
      <c r="D1105" s="60" t="s">
        <v>226</v>
      </c>
      <c r="E1105" s="60" t="s">
        <v>227</v>
      </c>
      <c r="F1105" s="60" t="s">
        <v>260</v>
      </c>
      <c r="G1105" s="61" t="n">
        <v>37</v>
      </c>
      <c r="H1105" s="62" t="n">
        <f aca="false">MAX(0,IF(AND(Parameter!$B$21="Ja",ISNUMBER(Y1105)),Y1105,IF(Parameter!$B$20="Jahresanfang 2025 + Export",BS1105+BR1105,BR1105)))</f>
        <v>8</v>
      </c>
      <c r="I1105" s="62" t="n">
        <f aca="false">H1105*G1105</f>
        <v>296</v>
      </c>
      <c r="J1105" s="62" t="n">
        <f aca="false">BU1105*Parameter!$B$18</f>
        <v>20</v>
      </c>
      <c r="K1105" s="63" t="n">
        <v>14</v>
      </c>
      <c r="L1105" s="64" t="n">
        <v>1.42857142857143</v>
      </c>
      <c r="M1105" s="62" t="n">
        <v>1</v>
      </c>
      <c r="N1105" s="62" t="n">
        <v>20</v>
      </c>
      <c r="O1105" s="65" t="n">
        <v>35</v>
      </c>
      <c r="P1105" s="60" t="s">
        <v>463</v>
      </c>
      <c r="Q1105" s="62" t="n">
        <v>19</v>
      </c>
      <c r="R1105" s="65" t="n">
        <f aca="false">IF(CA1105=1,0,IFERROR(VLOOKUP(BY1105,'Gebinde-Kategorie'!$A$5:$N$45,13,0)+0,0))</f>
        <v>104</v>
      </c>
      <c r="S1105" s="66"/>
      <c r="T1105" s="67"/>
      <c r="U1105" s="67"/>
      <c r="V1105" s="67"/>
      <c r="W1105" s="60"/>
      <c r="X1105" s="62"/>
      <c r="Y1105" s="62"/>
      <c r="Z1105" s="60" t="n">
        <v>3</v>
      </c>
      <c r="AA1105" s="60" t="n">
        <f aca="false">IF(A1105="","",IF(AND(Parameter!$B$21="Ja",ISNUMBER(W1105)),W1105,IF(AND(Parameter!$E$27="Ja",ISNUMBER(Z1105),CD1105&lt;&gt;"Nein"),Z1105,IF(CD1105="2+3",IF(ISNUMBER(SEARCH("grosser Artikel",BV1105)),2,IFERROR(VLOOKUP(BY1105,Parameter!$F$35:$G$64,2,0),2)),IF(OR(CD1105="Nein",CD1105=""),"-",CD1105)))))</f>
        <v>3</v>
      </c>
      <c r="AB1105" s="67"/>
      <c r="AC1105" s="68"/>
      <c r="AD1105" s="62" t="n">
        <f aca="false">AW1105</f>
        <v>21</v>
      </c>
      <c r="AE1105" s="62" t="n">
        <f aca="false">MAX(AW1105,H1105)</f>
        <v>21</v>
      </c>
      <c r="AF1105" s="69"/>
      <c r="AG1105" s="62" t="n">
        <f aca="false">IF(LEFT(Cockpit!$C$5,1)="A",H1105,IF(Parameter!$E$30="MAX-Bestand",IF(CI1105=1,CJ1105,IF(LEFT(Cockpit!$C$5,1)="B",AM1105,MAX(AM1105,H1105))),ROUNDUP(AK1105,0)))</f>
        <v>8</v>
      </c>
      <c r="AH1105" s="62" t="n">
        <f aca="false">IF(CA1105=1,0,ROUNDUP(AG1105/BZ1105,0))</f>
        <v>1</v>
      </c>
      <c r="AI1105" s="64" t="n">
        <f aca="false">IF(CR1105&gt;0,CR1105*MAX(1,AG1105/X1105),IF(CA1105=1,IF(AG1105&lt;=0,0,CE1105*MAX(1,IF(H1105&gt;0,AG1105/H1105,1))),IF(R1105&gt;0,AH1105/R1105,0))/MAX(0.1,N(Parameter!$M$21)))</f>
        <v>0.00961538461538462</v>
      </c>
      <c r="AJ1105" s="62" t="n">
        <f aca="false">AI1105*CC1105</f>
        <v>1.49038461538462</v>
      </c>
      <c r="AK1105" s="63" t="n">
        <f aca="false">IF(LEFT(Cockpit!$C$5,1)="A",H1105,IF(CI1105=1,(CL1105+CJ1105)/2,IF(LEFT(Cockpit!$C$5,1)="B",(CL1105+AM1105)/2,MAX((CL1105+AM1105)/2,H1105))))</f>
        <v>8</v>
      </c>
      <c r="AL1105" s="62" t="n">
        <f aca="false">AK1105*G1105</f>
        <v>296</v>
      </c>
      <c r="AM1105" s="62" t="n">
        <f aca="false">ROUNDUP(CL1105+MAX(CM1105,2*(J1105/IF(CH1105&gt;0,CH1105,MAX(0.1,N(Cockpit!$C$6)))-CL1105)),0)</f>
        <v>21</v>
      </c>
      <c r="AN1105" s="63" t="n">
        <f aca="false">IF(AJ1105&gt;0,J1105/AJ1105,-1)</f>
        <v>13.4193548387097</v>
      </c>
      <c r="AO1105" s="63" t="n">
        <f aca="false">IF(AND(OR(CG1105="L1",CG1105="L23",CG1105="LIFT"),AJ1105&gt;0),SUMIFS($AJ$7:$AJ$1843,$CG$7:$CG$1843,CG1105,$AN$7:$AN$1843,"&gt;"&amp;AN1105)+SUMIFS($AJ$7:$AJ$1843,$CG$7:$CG$1843,CG1105,$AN$7:$AN$1843,AN1105,$BX$7:$BX$1843,"&lt;="&amp;BX1105),"")</f>
        <v>2345.81684981685</v>
      </c>
      <c r="AP1105" s="70" t="n">
        <f aca="false">IF(AO1105="",0,MAX(0,MIN(1,(IF(CG1105="L1",Parameter!$H$5,IF(CG1105="L23",Parameter!$H$6+Parameter!$H$7,Parameter!$H$5+Parameter!$H$6+Parameter!$H$7))-(AO1105-AJ1105))/AJ1105)))</f>
        <v>1</v>
      </c>
      <c r="AQ1105" s="62" t="n">
        <f aca="false">IF(LEFT(Cockpit!$I$5,1)="A",H1105,IF(Parameter!$E$30="MAX-Bestand",IF(CI1105=1,CJ1105,IF(LEFT(Cockpit!$I$5,1)="B",AW1105,MAX(AW1105,H1105))),ROUNDUP(AU1105,0)))</f>
        <v>11</v>
      </c>
      <c r="AR1105" s="62" t="n">
        <f aca="false">IF(CA1105=1,0,ROUNDUP(AQ1105/BZ1105,0))</f>
        <v>1</v>
      </c>
      <c r="AS1105" s="64" t="n">
        <f aca="false">IF(CR1105&gt;0,CR1105*MAX(1,AQ1105/X1105),IF(CA1105=1,IF(AQ1105&lt;=0,0,CE1105*MAX(1,IF(H1105&gt;0,AQ1105/H1105,1))),IF(R1105&gt;0,AR1105/R1105,0))/MAX(0.1,N(Parameter!$M$21)))</f>
        <v>0.00961538461538462</v>
      </c>
      <c r="AT1105" s="62" t="n">
        <f aca="false">AS1105*CC1105</f>
        <v>1.49038461538462</v>
      </c>
      <c r="AU1105" s="63" t="n">
        <f aca="false">IF(LEFT(Cockpit!$I$5,1)="A",H1105,IF(CI1105=1,(CL1105+CJ1105)/2,IF(LEFT(Cockpit!$I$5,1)="B",(CL1105+AW1105)/2,MAX((CL1105+AW1105)/2,H1105))))</f>
        <v>11</v>
      </c>
      <c r="AV1105" s="62" t="n">
        <f aca="false">AU1105*G1105</f>
        <v>407</v>
      </c>
      <c r="AW1105" s="62" t="n">
        <f aca="false">ROUNDUP(CL1105+MAX(CM1105,2*(J1105/IF(CH1105&gt;0,CH1105,MAX(0.1,N(Cockpit!$I$6)))-CL1105)),0)</f>
        <v>21</v>
      </c>
      <c r="AX1105" s="63" t="n">
        <f aca="false">IF(AT1105&gt;0,J1105/AT1105,-1)</f>
        <v>13.4193548387097</v>
      </c>
      <c r="AY1105" s="63" t="n">
        <f aca="false">IF(AND(OR(CG1105="L1",CG1105="L23",CG1105="LIFT"),AT1105&gt;0),SUMIFS($AT$7:$AT$1843,$CG$7:$CG$1843,CG1105,$AX$7:$AX$1843,"&gt;"&amp;AX1105)+SUMIFS($AT$7:$AT$1843,$CG$7:$CG$1843,CG1105,$AX$7:$AX$1843,AX1105,$BX$7:$BX$1843,"&lt;="&amp;BX1105),"")</f>
        <v>2965.00366300366</v>
      </c>
      <c r="AZ1105" s="70" t="n">
        <f aca="false">IF(AY1105="",0,MAX(0,MIN(1,(IF(CG1105="L1",Parameter!$H$5,IF(CG1105="L23",Parameter!$H$6+Parameter!$H$7,Parameter!$H$5+Parameter!$H$6+Parameter!$H$7))-(AY1105-AT1105))/AT1105)))</f>
        <v>1</v>
      </c>
      <c r="BA1105" s="62" t="n">
        <f aca="false">IF(LEFT(Cockpit!$O$5,1)="A",H1105,IF(Parameter!$E$30="MAX-Bestand",IF(CI1105=1,CJ1105,IF(LEFT(Cockpit!$O$5,1)="B",BG1105,MAX(BG1105,H1105))),ROUNDUP(BE1105,0)))</f>
        <v>11</v>
      </c>
      <c r="BB1105" s="62" t="n">
        <f aca="false">IF(CA1105=1,0,ROUNDUP(BA1105/BZ1105,0))</f>
        <v>1</v>
      </c>
      <c r="BC1105" s="64" t="n">
        <f aca="false">IF(CR1105&gt;0,CR1105*MAX(1,BA1105/X1105),IF(CA1105=1,IF(BA1105&lt;=0,0,CE1105*MAX(1,IF(H1105&gt;0,BA1105/H1105,1))),IF(R1105&gt;0,BB1105/R1105,0))/MAX(0.1,N(Parameter!$M$21)))</f>
        <v>0.00961538461538462</v>
      </c>
      <c r="BD1105" s="62" t="n">
        <f aca="false">BC1105*CC1105</f>
        <v>1.49038461538462</v>
      </c>
      <c r="BE1105" s="63" t="n">
        <f aca="false">IF(LEFT(Cockpit!$O$5,1)="A",H1105,IF(CI1105=1,(CL1105+CJ1105)/2,IF(LEFT(Cockpit!$O$5,1)="B",(CL1105+BG1105)/2,MAX((CL1105+BG1105)/2,H1105))))</f>
        <v>11</v>
      </c>
      <c r="BF1105" s="62" t="n">
        <f aca="false">BE1105*G1105</f>
        <v>407</v>
      </c>
      <c r="BG1105" s="62" t="n">
        <f aca="false">ROUNDUP(CL1105+MAX(CM1105,2*(J1105/IF(CH1105&gt;0,CH1105,MAX(0.1,N(Cockpit!$O$6)))-CL1105)),0)</f>
        <v>21</v>
      </c>
      <c r="BH1105" s="63" t="n">
        <f aca="false">IF(BD1105&gt;0,J1105/BD1105,-1)</f>
        <v>13.4193548387097</v>
      </c>
      <c r="BI1105" s="63" t="n">
        <f aca="false">IF(AND(OR(CG1105="L1",CG1105="L23",CG1105="LIFT"),BD1105&gt;0),SUMIFS($BD$7:$BD$1843,$CG$7:$CG$1843,CG1105,$BH$7:$BH$1843,"&gt;"&amp;BH1105)+SUMIFS($BD$7:$BD$1843,$CG$7:$CG$1843,CG1105,$BH$7:$BH$1843,BH1105,$BX$7:$BX$1843,"&lt;="&amp;BX1105),"")</f>
        <v>2505.83516483516</v>
      </c>
      <c r="BJ1105" s="70" t="n">
        <f aca="false">IF(BI1105="",0,MAX(0,MIN(1,(IF(CG1105="L1",Parameter!$H$5,IF(CG1105="L23",Parameter!$H$6+Parameter!$H$7,Parameter!$H$5+Parameter!$H$6+Parameter!$H$7))-(BI1105-BD1105))/BD1105)))</f>
        <v>1</v>
      </c>
      <c r="BK1105" s="60" t="str">
        <f aca="false">IF(AJ1105&lt;=0,"",IF(CG1105="Aussen","Aussenlager",IF(CG1105="-","Nicht im Lift",IF(AP1105&gt;=1,"Lift",IF(AP1105&lt;=0,"Aussenlager","teilweise")))))</f>
        <v>Lift</v>
      </c>
      <c r="BL1105" s="60" t="str">
        <f aca="false">IF(AT1105&lt;=0,"",IF(CG1105="Aussen","Aussenlager",IF(CG1105="-","Nicht im Lift",IF(AZ1105&gt;=1,"Lift",IF(AZ1105&lt;=0,"Aussenlager","teilweise")))))</f>
        <v>Lift</v>
      </c>
      <c r="BM1105" s="60" t="str">
        <f aca="false">IF(BD1105&lt;=0,"",IF(CG1105="Aussen","Aussenlager",IF(CG1105="-","Nicht im Lift",IF(BJ1105&gt;=1,"Lift",IF(BJ1105&lt;=0,"Aussenlager","teilweise")))))</f>
        <v>Lift</v>
      </c>
      <c r="BN1105" s="60" t="str">
        <f aca="false">IF(A1105="","",IF(BW1105=1,"Neu; ","")&amp;IF(AND(BW1105=0,BR1105&lt;0),"negativer Bestand (Export "&amp;BR1105&amp;"); ","")&amp;IF(J1105&lt;=0,"Kein Verbrauch; ","")&amp;IF(CR1105&gt;0,"Lift "&amp;W1105&amp;" lt. Liftbericht (Fach "&amp;X1105&amp;" Stk); ",IF(CB1105=1,"Gebinde geschätzt ("&amp;T1105&amp;"); ",IF(CA1105=1,"Lose – Tablare geschätzt; ","")))&amp;IF(H1105&gt;AW1105,"Überbestand "&amp;ROUND(H1105-AW1105,0)&amp;" Stk / CHF "&amp;ROUND((H1105-AW1105)*G1105,0)&amp;"; ","")&amp;IF(AND(CI1105=1,CJ1105&lt;CK1105),"MAX &lt; MB+LG; ","")&amp;IF(AND(CQ1105&gt;0,CP1105*10&gt;CQ1105),"zu hoch für Tablar; ","")&amp;IF(AND(BW1105=0,OR(CI1105=1,AB1105&lt;&gt;"",U1105&lt;&gt;"",V1105&lt;&gt;"",AC1105&lt;&gt;"")),"manuell übersteuert; ","")&amp;IF(AND(CA1105=0,R1105=0),"Gebinde unbekannt / Stellmass fehlt; ","")&amp;IF(AND(CA1105=0,N(V1105)&lt;=0,N(Q1105)&lt;=0),"Menge pro Gebinde fehlt (Ist = 1 Gebinde); ","")&amp;BV1105)</f>
        <v>negativer Bestand (Export -6); </v>
      </c>
      <c r="BO1105" s="60"/>
      <c r="BP1105" s="60"/>
      <c r="BQ1105" s="67"/>
      <c r="BR1105" s="62" t="n">
        <v>-6</v>
      </c>
      <c r="BS1105" s="62" t="n">
        <v>14</v>
      </c>
      <c r="BT1105" s="61" t="n">
        <v>-222</v>
      </c>
      <c r="BU1105" s="62" t="n">
        <v>20</v>
      </c>
      <c r="BV1105" s="60"/>
      <c r="BW1105" s="65" t="n">
        <v>0</v>
      </c>
      <c r="BX1105" s="65" t="n">
        <v>1105</v>
      </c>
      <c r="BY1105" s="60" t="str">
        <f aca="false">IF(U1105&lt;&gt;"",UPPER(TRIM(U1105)),IF(CB1105=1,UPPER(VLOOKUP(T1105,Parameter!$I$27:$K$29,2,0)),IF(P1105="","LOSE",P1105)))</f>
        <v>S32</v>
      </c>
      <c r="BZ1105" s="62" t="n">
        <f aca="false">IF(BY1105="LOSE",1,IF(N(V1105)&gt;0,V1105,IF(CB1105=1,MAX(1,N(VLOOKUP(T1105,Parameter!$I$27:$K$29,3,0)),H1105,N(N1105)),IF(N(Q1105)&gt;0,Q1105,MAX(1,H1105)))))</f>
        <v>19</v>
      </c>
      <c r="CA1105" s="65" t="n">
        <f aca="false">IF(BY1105="LOSE",1,0)</f>
        <v>0</v>
      </c>
      <c r="CB1105" s="65" t="n">
        <f aca="false">IF(AND(U1105="",OR(P1105="",P1105="LOSE"),T1105&lt;&gt;"",N(S1105)&lt;=0,ISNUMBER(MATCH(T1105,Parameter!$I$27:$I$29,0))),1,0)</f>
        <v>0</v>
      </c>
      <c r="CC1105" s="65" t="n">
        <f aca="false">IF(CR1105&gt;0,INDEX(Parameter!$H$5:$H$7,W1105)/INDEX(Parameter!$E$5:$E$7,W1105),IF(AND(CA1105=0,N(IFERROR(VLOOKUP(BY1105,'Gebinde-Kategorie'!$A$5:$N$45,14,0),0))&gt;0),VLOOKUP(BY1105,'Gebinde-Kategorie'!$A$5:$N$45,14,0)*10+Parameter!$M$23,Parameter!$M$24))</f>
        <v>155</v>
      </c>
      <c r="CD1105" s="60" t="str">
        <f aca="false">IF(AND(Parameter!$B$19="Ja",E1105&lt;&gt;"",ISNUMBER(MATCH(E1105,Parameter!$I$35:$I$52,0))),VLOOKUP(E1105,Parameter!$I$35:$J$52,2,0),IFERROR(VLOOKUP(D1105,Parameter!$A$35:$C$64,2,0),"Nein"))</f>
        <v>2+3</v>
      </c>
      <c r="CE1105" s="64" t="n">
        <f aca="false">IF(CA1105=0,0,IF(N(S1105)&gt;0,S1105,IFERROR(VLOOKUP(D1105,Parameter!$A$35:$C$64,3,0)+0,0)))</f>
        <v>0</v>
      </c>
      <c r="CF1105" s="60" t="n">
        <f aca="false">IF(AB1105&lt;&gt;"",AB1105,AA1105)</f>
        <v>3</v>
      </c>
      <c r="CG1105" s="60" t="str">
        <f aca="false">IF(OR(CF1105=1,CF1105=2,CF1105=3),IF(Parameter!$E$27="Ja","LIFT",IF(CF1105=1,"L1","L23")),IF(CF1105="Aussen","Aussen","-"))</f>
        <v>LIFT</v>
      </c>
      <c r="CH1105" s="71" t="n">
        <f aca="false">IF(N(AC1105)&gt;0,AC1105,0)</f>
        <v>0</v>
      </c>
      <c r="CI1105" s="65" t="n">
        <f aca="false">IF(ISNUMBER(AF1105),1,0)</f>
        <v>0</v>
      </c>
      <c r="CJ1105" s="62" t="n">
        <f aca="false">N(AF1105)</f>
        <v>0</v>
      </c>
      <c r="CK1105" s="62" t="n">
        <f aca="false">N(M1105)+N(N1105)</f>
        <v>21</v>
      </c>
      <c r="CL1105" s="62" t="n">
        <f aca="false">N(M1105)</f>
        <v>1</v>
      </c>
      <c r="CM1105" s="62" t="n">
        <f aca="false">N(N1105)</f>
        <v>20</v>
      </c>
      <c r="CN1105" s="62" t="n">
        <f aca="false">ROUNDUP(H1105/BZ1105,0)</f>
        <v>1</v>
      </c>
      <c r="CO1105" s="62" t="n">
        <f aca="false">ROUNDUP(CJ1105/BZ1105,0)</f>
        <v>0</v>
      </c>
      <c r="CP1105" s="65" t="n">
        <f aca="false">IF(CA1105=1,0,IFERROR(VLOOKUP(BY1105,'Gebinde-Kategorie'!$A$5:$N$45,5,0)+0,0))</f>
        <v>8</v>
      </c>
      <c r="CQ1105" s="65" t="n">
        <f aca="false">IFERROR(IF(OR(CF1105=1,CF1105=2,CF1105=3),N(INDEX(Parameter!$I$5:$I$7,CF1105)),0),0)</f>
        <v>0</v>
      </c>
      <c r="CR1105" s="64" t="n">
        <f aca="false">IF(AND(Parameter!$B$21="Ja",ISNUMBER(W1105),N(X1105)&gt;0),IFERROR(N(INDEX(Parameter!$L$5:$L$7,W1105))*INDEX(Parameter!$E$5:$E$7,W1105)*X1105/SUMIFS($X$7:$X$1843,$W$7:$W$1843,W1105),0),0)</f>
        <v>0</v>
      </c>
      <c r="CS1105" s="62" t="n">
        <f aca="false">IF(AND(OR(CG1105="L1",CG1105="L23",CG1105="LIFT"),H1105&gt;0),CC1105*IF(CR1105&gt;0,CR1105*MAX(1,H1105/X1105),IF(CA1105=1,CE1105,IF(R1105&gt;0,CN1105/R1105,0))/MAX(0.1,N(Parameter!$M$21))),"")</f>
        <v>1.49038461538462</v>
      </c>
      <c r="CT1105" s="64" t="n">
        <f aca="false">IF(CS1105="","",J1105/H1105)</f>
        <v>2.5</v>
      </c>
      <c r="CU1105" s="62" t="n">
        <f aca="false">IF(CS1105="","",H1105*G1105)</f>
        <v>296</v>
      </c>
      <c r="CV1105" s="63" t="n">
        <f aca="false">IF(CS1105="","",(CL1105+ROUNDUP(CL1105+MAX(CM1105,2*(J1105/MAX(0.1,N(Einkauf!$C$6))-CL1105)),0))/2)</f>
        <v>11</v>
      </c>
      <c r="CW1105" s="62" t="n">
        <f aca="false">IF(CS1105="","",MAX(0,H1105-CV1105)*G1105)</f>
        <v>0</v>
      </c>
      <c r="CX1105" s="62" t="n">
        <f aca="false">IF(CS1105="","",CS1105*MAX(0,1-CV1105/H1105))</f>
        <v>0</v>
      </c>
      <c r="CY1105" s="64" t="n">
        <f aca="false">IF(CS1105="","",PERCENTRANK($CS$7:$CS$1843,CS1105)+PERCENTRANK($CU$7:$CU$1843,CU1105)+1-PERCENTRANK($CT$7:$CT$1843,CT1105))</f>
        <v>0.68</v>
      </c>
      <c r="CZ1105" s="72" t="n">
        <f aca="false">IF(CS1105="","",CHOOSE(MATCH(Einkauf!$C$5,Parameter!$G$23:$G$27,0),CY1105,CS1105,CU1105,-CT1105,CW1105)+ROW()/1000000000)</f>
        <v>0.680001105</v>
      </c>
    </row>
    <row r="1106" customFormat="false" ht="15" hidden="false" customHeight="false" outlineLevel="0" collapsed="false">
      <c r="A1106" s="60" t="s">
        <v>2051</v>
      </c>
      <c r="B1106" s="60" t="s">
        <v>586</v>
      </c>
      <c r="C1106" s="60" t="s">
        <v>206</v>
      </c>
      <c r="D1106" s="60" t="s">
        <v>226</v>
      </c>
      <c r="E1106" s="60" t="s">
        <v>227</v>
      </c>
      <c r="F1106" s="60" t="s">
        <v>260</v>
      </c>
      <c r="G1106" s="61" t="n">
        <v>16.05</v>
      </c>
      <c r="H1106" s="62" t="n">
        <f aca="false">MAX(0,IF(AND(Parameter!$B$21="Ja",ISNUMBER(Y1106)),Y1106,IF(Parameter!$B$20="Jahresanfang 2025 + Export",BS1106+BR1106,BR1106)))</f>
        <v>25</v>
      </c>
      <c r="I1106" s="62" t="n">
        <f aca="false">H1106*G1106</f>
        <v>401.25</v>
      </c>
      <c r="J1106" s="62" t="n">
        <f aca="false">BU1106*Parameter!$B$18</f>
        <v>0</v>
      </c>
      <c r="K1106" s="63" t="n">
        <v>32</v>
      </c>
      <c r="L1106" s="64" t="n">
        <v>0</v>
      </c>
      <c r="M1106" s="62" t="n">
        <v>2</v>
      </c>
      <c r="N1106" s="62" t="n">
        <v>1</v>
      </c>
      <c r="O1106" s="65" t="n">
        <v>28</v>
      </c>
      <c r="P1106" s="60" t="s">
        <v>463</v>
      </c>
      <c r="Q1106" s="62" t="n">
        <v>39</v>
      </c>
      <c r="R1106" s="65" t="n">
        <f aca="false">IF(CA1106=1,0,IFERROR(VLOOKUP(BY1106,'Gebinde-Kategorie'!$A$5:$N$45,13,0)+0,0))</f>
        <v>104</v>
      </c>
      <c r="S1106" s="66"/>
      <c r="T1106" s="67"/>
      <c r="U1106" s="67"/>
      <c r="V1106" s="67"/>
      <c r="W1106" s="60"/>
      <c r="X1106" s="62"/>
      <c r="Y1106" s="62"/>
      <c r="Z1106" s="60" t="n">
        <v>3</v>
      </c>
      <c r="AA1106" s="60" t="n">
        <f aca="false">IF(A1106="","",IF(AND(Parameter!$B$21="Ja",ISNUMBER(W1106)),W1106,IF(AND(Parameter!$E$27="Ja",ISNUMBER(Z1106),CD1106&lt;&gt;"Nein"),Z1106,IF(CD1106="2+3",IF(ISNUMBER(SEARCH("grosser Artikel",BV1106)),2,IFERROR(VLOOKUP(BY1106,Parameter!$F$35:$G$64,2,0),2)),IF(OR(CD1106="Nein",CD1106=""),"-",CD1106)))))</f>
        <v>3</v>
      </c>
      <c r="AB1106" s="67"/>
      <c r="AC1106" s="68"/>
      <c r="AD1106" s="62" t="n">
        <f aca="false">AW1106</f>
        <v>3</v>
      </c>
      <c r="AE1106" s="62" t="n">
        <f aca="false">MAX(AW1106,H1106)</f>
        <v>25</v>
      </c>
      <c r="AF1106" s="69"/>
      <c r="AG1106" s="62" t="n">
        <f aca="false">IF(LEFT(Cockpit!$C$5,1)="A",H1106,IF(Parameter!$E$30="MAX-Bestand",IF(CI1106=1,CJ1106,IF(LEFT(Cockpit!$C$5,1)="B",AM1106,MAX(AM1106,H1106))),ROUNDUP(AK1106,0)))</f>
        <v>25</v>
      </c>
      <c r="AH1106" s="62" t="n">
        <f aca="false">IF(CA1106=1,0,ROUNDUP(AG1106/BZ1106,0))</f>
        <v>1</v>
      </c>
      <c r="AI1106" s="64" t="n">
        <f aca="false">IF(CR1106&gt;0,CR1106*MAX(1,AG1106/X1106),IF(CA1106=1,IF(AG1106&lt;=0,0,CE1106*MAX(1,IF(H1106&gt;0,AG1106/H1106,1))),IF(R1106&gt;0,AH1106/R1106,0))/MAX(0.1,N(Parameter!$M$21)))</f>
        <v>0.00961538461538462</v>
      </c>
      <c r="AJ1106" s="62" t="n">
        <f aca="false">AI1106*CC1106</f>
        <v>1.49038461538462</v>
      </c>
      <c r="AK1106" s="63" t="n">
        <f aca="false">IF(LEFT(Cockpit!$C$5,1)="A",H1106,IF(CI1106=1,(CL1106+CJ1106)/2,IF(LEFT(Cockpit!$C$5,1)="B",(CL1106+AM1106)/2,MAX((CL1106+AM1106)/2,H1106))))</f>
        <v>25</v>
      </c>
      <c r="AL1106" s="62" t="n">
        <f aca="false">AK1106*G1106</f>
        <v>401.25</v>
      </c>
      <c r="AM1106" s="62" t="n">
        <f aca="false">ROUNDUP(CL1106+MAX(CM1106,2*(J1106/IF(CH1106&gt;0,CH1106,MAX(0.1,N(Cockpit!$C$6)))-CL1106)),0)</f>
        <v>3</v>
      </c>
      <c r="AN1106" s="63" t="n">
        <f aca="false">IF(AJ1106&gt;0,J1106/AJ1106,-1)</f>
        <v>0</v>
      </c>
      <c r="AO1106" s="63" t="n">
        <f aca="false">IF(AND(OR(CG1106="L1",CG1106="L23",CG1106="LIFT"),AJ1106&gt;0),SUMIFS($AJ$7:$AJ$1843,$CG$7:$CG$1843,CG1106,$AN$7:$AN$1843,"&gt;"&amp;AN1106)+SUMIFS($AJ$7:$AJ$1843,$CG$7:$CG$1843,CG1106,$AN$7:$AN$1843,AN1106,$BX$7:$BX$1843,"&lt;="&amp;BX1106),"")</f>
        <v>29135.9859740072</v>
      </c>
      <c r="AP1106" s="70" t="n">
        <f aca="false">IF(AO1106="",0,MAX(0,MIN(1,(IF(CG1106="L1",Parameter!$H$5,IF(CG1106="L23",Parameter!$H$6+Parameter!$H$7,Parameter!$H$5+Parameter!$H$6+Parameter!$H$7))-(AO1106-AJ1106))/AJ1106)))</f>
        <v>1</v>
      </c>
      <c r="AQ1106" s="62" t="n">
        <f aca="false">IF(LEFT(Cockpit!$I$5,1)="A",H1106,IF(Parameter!$E$30="MAX-Bestand",IF(CI1106=1,CJ1106,IF(LEFT(Cockpit!$I$5,1)="B",AW1106,MAX(AW1106,H1106))),ROUNDUP(AU1106,0)))</f>
        <v>25</v>
      </c>
      <c r="AR1106" s="62" t="n">
        <f aca="false">IF(CA1106=1,0,ROUNDUP(AQ1106/BZ1106,0))</f>
        <v>1</v>
      </c>
      <c r="AS1106" s="64" t="n">
        <f aca="false">IF(CR1106&gt;0,CR1106*MAX(1,AQ1106/X1106),IF(CA1106=1,IF(AQ1106&lt;=0,0,CE1106*MAX(1,IF(H1106&gt;0,AQ1106/H1106,1))),IF(R1106&gt;0,AR1106/R1106,0))/MAX(0.1,N(Parameter!$M$21)))</f>
        <v>0.00961538461538462</v>
      </c>
      <c r="AT1106" s="62" t="n">
        <f aca="false">AS1106*CC1106</f>
        <v>1.49038461538462</v>
      </c>
      <c r="AU1106" s="63" t="n">
        <f aca="false">IF(LEFT(Cockpit!$I$5,1)="A",H1106,IF(CI1106=1,(CL1106+CJ1106)/2,IF(LEFT(Cockpit!$I$5,1)="B",(CL1106+AW1106)/2,MAX((CL1106+AW1106)/2,H1106))))</f>
        <v>25</v>
      </c>
      <c r="AV1106" s="62" t="n">
        <f aca="false">AU1106*G1106</f>
        <v>401.25</v>
      </c>
      <c r="AW1106" s="62" t="n">
        <f aca="false">ROUNDUP(CL1106+MAX(CM1106,2*(J1106/IF(CH1106&gt;0,CH1106,MAX(0.1,N(Cockpit!$I$6)))-CL1106)),0)</f>
        <v>3</v>
      </c>
      <c r="AX1106" s="63" t="n">
        <f aca="false">IF(AT1106&gt;0,J1106/AT1106,-1)</f>
        <v>0</v>
      </c>
      <c r="AY1106" s="63" t="n">
        <f aca="false">IF(AND(OR(CG1106="L1",CG1106="L23",CG1106="LIFT"),AT1106&gt;0),SUMIFS($AT$7:$AT$1843,$CG$7:$CG$1843,CG1106,$AX$7:$AX$1843,"&gt;"&amp;AX1106)+SUMIFS($AT$7:$AT$1843,$CG$7:$CG$1843,CG1106,$AX$7:$AX$1843,AX1106,$BX$7:$BX$1843,"&lt;="&amp;BX1106),"")</f>
        <v>34850.2811355311</v>
      </c>
      <c r="AZ1106" s="70" t="n">
        <f aca="false">IF(AY1106="",0,MAX(0,MIN(1,(IF(CG1106="L1",Parameter!$H$5,IF(CG1106="L23",Parameter!$H$6+Parameter!$H$7,Parameter!$H$5+Parameter!$H$6+Parameter!$H$7))-(AY1106-AT1106))/AT1106)))</f>
        <v>1</v>
      </c>
      <c r="BA1106" s="62" t="n">
        <f aca="false">IF(LEFT(Cockpit!$O$5,1)="A",H1106,IF(Parameter!$E$30="MAX-Bestand",IF(CI1106=1,CJ1106,IF(LEFT(Cockpit!$O$5,1)="B",BG1106,MAX(BG1106,H1106))),ROUNDUP(BE1106,0)))</f>
        <v>3</v>
      </c>
      <c r="BB1106" s="62" t="n">
        <f aca="false">IF(CA1106=1,0,ROUNDUP(BA1106/BZ1106,0))</f>
        <v>1</v>
      </c>
      <c r="BC1106" s="64" t="n">
        <f aca="false">IF(CR1106&gt;0,CR1106*MAX(1,BA1106/X1106),IF(CA1106=1,IF(BA1106&lt;=0,0,CE1106*MAX(1,IF(H1106&gt;0,BA1106/H1106,1))),IF(R1106&gt;0,BB1106/R1106,0))/MAX(0.1,N(Parameter!$M$21)))</f>
        <v>0.00961538461538462</v>
      </c>
      <c r="BD1106" s="62" t="n">
        <f aca="false">BC1106*CC1106</f>
        <v>1.49038461538462</v>
      </c>
      <c r="BE1106" s="63" t="n">
        <f aca="false">IF(LEFT(Cockpit!$O$5,1)="A",H1106,IF(CI1106=1,(CL1106+CJ1106)/2,IF(LEFT(Cockpit!$O$5,1)="B",(CL1106+BG1106)/2,MAX((CL1106+BG1106)/2,H1106))))</f>
        <v>2.5</v>
      </c>
      <c r="BF1106" s="62" t="n">
        <f aca="false">BE1106*G1106</f>
        <v>40.125</v>
      </c>
      <c r="BG1106" s="62" t="n">
        <f aca="false">ROUNDUP(CL1106+MAX(CM1106,2*(J1106/IF(CH1106&gt;0,CH1106,MAX(0.1,N(Cockpit!$O$6)))-CL1106)),0)</f>
        <v>3</v>
      </c>
      <c r="BH1106" s="63" t="n">
        <f aca="false">IF(BD1106&gt;0,J1106/BD1106,-1)</f>
        <v>0</v>
      </c>
      <c r="BI1106" s="63" t="n">
        <f aca="false">IF(AND(OR(CG1106="L1",CG1106="L23",CG1106="LIFT"),BD1106&gt;0),SUMIFS($BD$7:$BD$1843,$CG$7:$CG$1843,CG1106,$BH$7:$BH$1843,"&gt;"&amp;BH1106)+SUMIFS($BD$7:$BD$1843,$CG$7:$CG$1843,CG1106,$BH$7:$BH$1843,BH1106,$BX$7:$BX$1843,"&lt;="&amp;BX1106),"")</f>
        <v>28835.5877956789</v>
      </c>
      <c r="BJ1106" s="70" t="n">
        <f aca="false">IF(BI1106="",0,MAX(0,MIN(1,(IF(CG1106="L1",Parameter!$H$5,IF(CG1106="L23",Parameter!$H$6+Parameter!$H$7,Parameter!$H$5+Parameter!$H$6+Parameter!$H$7))-(BI1106-BD1106))/BD1106)))</f>
        <v>1</v>
      </c>
      <c r="BK1106" s="60" t="str">
        <f aca="false">IF(AJ1106&lt;=0,"",IF(CG1106="Aussen","Aussenlager",IF(CG1106="-","Nicht im Lift",IF(AP1106&gt;=1,"Lift",IF(AP1106&lt;=0,"Aussenlager","teilweise")))))</f>
        <v>Lift</v>
      </c>
      <c r="BL1106" s="60" t="str">
        <f aca="false">IF(AT1106&lt;=0,"",IF(CG1106="Aussen","Aussenlager",IF(CG1106="-","Nicht im Lift",IF(AZ1106&gt;=1,"Lift",IF(AZ1106&lt;=0,"Aussenlager","teilweise")))))</f>
        <v>Lift</v>
      </c>
      <c r="BM1106" s="60" t="str">
        <f aca="false">IF(BD1106&lt;=0,"",IF(CG1106="Aussen","Aussenlager",IF(CG1106="-","Nicht im Lift",IF(BJ1106&gt;=1,"Lift",IF(BJ1106&lt;=0,"Aussenlager","teilweise")))))</f>
        <v>Lift</v>
      </c>
      <c r="BN1106" s="60" t="str">
        <f aca="false">IF(A1106="","",IF(BW1106=1,"Neu; ","")&amp;IF(AND(BW1106=0,BR1106&lt;0),"negativer Bestand (Export "&amp;BR1106&amp;"); ","")&amp;IF(J1106&lt;=0,"Kein Verbrauch; ","")&amp;IF(CR1106&gt;0,"Lift "&amp;W1106&amp;" lt. Liftbericht (Fach "&amp;X1106&amp;" Stk); ",IF(CB1106=1,"Gebinde geschätzt ("&amp;T1106&amp;"); ",IF(CA1106=1,"Lose – Tablare geschätzt; ","")))&amp;IF(H1106&gt;AW1106,"Überbestand "&amp;ROUND(H1106-AW1106,0)&amp;" Stk / CHF "&amp;ROUND((H1106-AW1106)*G1106,0)&amp;"; ","")&amp;IF(AND(CI1106=1,CJ1106&lt;CK1106),"MAX &lt; MB+LG; ","")&amp;IF(AND(CQ1106&gt;0,CP1106*10&gt;CQ1106),"zu hoch für Tablar; ","")&amp;IF(AND(BW1106=0,OR(CI1106=1,AB1106&lt;&gt;"",U1106&lt;&gt;"",V1106&lt;&gt;"",AC1106&lt;&gt;"")),"manuell übersteuert; ","")&amp;IF(AND(CA1106=0,R1106=0),"Gebinde unbekannt / Stellmass fehlt; ","")&amp;IF(AND(CA1106=0,N(V1106)&lt;=0,N(Q1106)&lt;=0),"Menge pro Gebinde fehlt (Ist = 1 Gebinde); ","")&amp;BV1106)</f>
        <v>negativer Bestand (Export -14); Kein Verbrauch; Überbestand 22 Stk / CHF 353; Neu</v>
      </c>
      <c r="BO1106" s="60"/>
      <c r="BP1106" s="60"/>
      <c r="BQ1106" s="67"/>
      <c r="BR1106" s="62" t="n">
        <v>-14</v>
      </c>
      <c r="BS1106" s="62" t="n">
        <v>39</v>
      </c>
      <c r="BT1106" s="61" t="n">
        <v>-224.7</v>
      </c>
      <c r="BU1106" s="62" t="n">
        <v>0</v>
      </c>
      <c r="BV1106" s="60" t="s">
        <v>668</v>
      </c>
      <c r="BW1106" s="65" t="n">
        <v>0</v>
      </c>
      <c r="BX1106" s="65" t="n">
        <v>1106</v>
      </c>
      <c r="BY1106" s="60" t="str">
        <f aca="false">IF(U1106&lt;&gt;"",UPPER(TRIM(U1106)),IF(CB1106=1,UPPER(VLOOKUP(T1106,Parameter!$I$27:$K$29,2,0)),IF(P1106="","LOSE",P1106)))</f>
        <v>S32</v>
      </c>
      <c r="BZ1106" s="62" t="n">
        <f aca="false">IF(BY1106="LOSE",1,IF(N(V1106)&gt;0,V1106,IF(CB1106=1,MAX(1,N(VLOOKUP(T1106,Parameter!$I$27:$K$29,3,0)),H1106,N(N1106)),IF(N(Q1106)&gt;0,Q1106,MAX(1,H1106)))))</f>
        <v>39</v>
      </c>
      <c r="CA1106" s="65" t="n">
        <f aca="false">IF(BY1106="LOSE",1,0)</f>
        <v>0</v>
      </c>
      <c r="CB1106" s="65" t="n">
        <f aca="false">IF(AND(U1106="",OR(P1106="",P1106="LOSE"),T1106&lt;&gt;"",N(S1106)&lt;=0,ISNUMBER(MATCH(T1106,Parameter!$I$27:$I$29,0))),1,0)</f>
        <v>0</v>
      </c>
      <c r="CC1106" s="65" t="n">
        <f aca="false">IF(CR1106&gt;0,INDEX(Parameter!$H$5:$H$7,W1106)/INDEX(Parameter!$E$5:$E$7,W1106),IF(AND(CA1106=0,N(IFERROR(VLOOKUP(BY1106,'Gebinde-Kategorie'!$A$5:$N$45,14,0),0))&gt;0),VLOOKUP(BY1106,'Gebinde-Kategorie'!$A$5:$N$45,14,0)*10+Parameter!$M$23,Parameter!$M$24))</f>
        <v>155</v>
      </c>
      <c r="CD1106" s="60" t="str">
        <f aca="false">IF(AND(Parameter!$B$19="Ja",E1106&lt;&gt;"",ISNUMBER(MATCH(E1106,Parameter!$I$35:$I$52,0))),VLOOKUP(E1106,Parameter!$I$35:$J$52,2,0),IFERROR(VLOOKUP(D1106,Parameter!$A$35:$C$64,2,0),"Nein"))</f>
        <v>2+3</v>
      </c>
      <c r="CE1106" s="64" t="n">
        <f aca="false">IF(CA1106=0,0,IF(N(S1106)&gt;0,S1106,IFERROR(VLOOKUP(D1106,Parameter!$A$35:$C$64,3,0)+0,0)))</f>
        <v>0</v>
      </c>
      <c r="CF1106" s="60" t="n">
        <f aca="false">IF(AB1106&lt;&gt;"",AB1106,AA1106)</f>
        <v>3</v>
      </c>
      <c r="CG1106" s="60" t="str">
        <f aca="false">IF(OR(CF1106=1,CF1106=2,CF1106=3),IF(Parameter!$E$27="Ja","LIFT",IF(CF1106=1,"L1","L23")),IF(CF1106="Aussen","Aussen","-"))</f>
        <v>LIFT</v>
      </c>
      <c r="CH1106" s="71" t="n">
        <f aca="false">IF(N(AC1106)&gt;0,AC1106,0)</f>
        <v>0</v>
      </c>
      <c r="CI1106" s="65" t="n">
        <f aca="false">IF(ISNUMBER(AF1106),1,0)</f>
        <v>0</v>
      </c>
      <c r="CJ1106" s="62" t="n">
        <f aca="false">N(AF1106)</f>
        <v>0</v>
      </c>
      <c r="CK1106" s="62" t="n">
        <f aca="false">N(M1106)+N(N1106)</f>
        <v>3</v>
      </c>
      <c r="CL1106" s="62" t="n">
        <f aca="false">N(M1106)</f>
        <v>2</v>
      </c>
      <c r="CM1106" s="62" t="n">
        <f aca="false">N(N1106)</f>
        <v>1</v>
      </c>
      <c r="CN1106" s="62" t="n">
        <f aca="false">ROUNDUP(H1106/BZ1106,0)</f>
        <v>1</v>
      </c>
      <c r="CO1106" s="62" t="n">
        <f aca="false">ROUNDUP(CJ1106/BZ1106,0)</f>
        <v>0</v>
      </c>
      <c r="CP1106" s="65" t="n">
        <f aca="false">IF(CA1106=1,0,IFERROR(VLOOKUP(BY1106,'Gebinde-Kategorie'!$A$5:$N$45,5,0)+0,0))</f>
        <v>8</v>
      </c>
      <c r="CQ1106" s="65" t="n">
        <f aca="false">IFERROR(IF(OR(CF1106=1,CF1106=2,CF1106=3),N(INDEX(Parameter!$I$5:$I$7,CF1106)),0),0)</f>
        <v>0</v>
      </c>
      <c r="CR1106" s="64" t="n">
        <f aca="false">IF(AND(Parameter!$B$21="Ja",ISNUMBER(W1106),N(X1106)&gt;0),IFERROR(N(INDEX(Parameter!$L$5:$L$7,W1106))*INDEX(Parameter!$E$5:$E$7,W1106)*X1106/SUMIFS($X$7:$X$1843,$W$7:$W$1843,W1106),0),0)</f>
        <v>0</v>
      </c>
      <c r="CS1106" s="62" t="n">
        <f aca="false">IF(AND(OR(CG1106="L1",CG1106="L23",CG1106="LIFT"),H1106&gt;0),CC1106*IF(CR1106&gt;0,CR1106*MAX(1,H1106/X1106),IF(CA1106=1,CE1106,IF(R1106&gt;0,CN1106/R1106,0))/MAX(0.1,N(Parameter!$M$21))),"")</f>
        <v>1.49038461538462</v>
      </c>
      <c r="CT1106" s="64" t="n">
        <f aca="false">IF(CS1106="","",J1106/H1106)</f>
        <v>0</v>
      </c>
      <c r="CU1106" s="62" t="n">
        <f aca="false">IF(CS1106="","",H1106*G1106)</f>
        <v>401.25</v>
      </c>
      <c r="CV1106" s="63" t="n">
        <f aca="false">IF(CS1106="","",(CL1106+ROUNDUP(CL1106+MAX(CM1106,2*(J1106/MAX(0.1,N(Einkauf!$C$6))-CL1106)),0))/2)</f>
        <v>2.5</v>
      </c>
      <c r="CW1106" s="62" t="n">
        <f aca="false">IF(CS1106="","",MAX(0,H1106-CV1106)*G1106)</f>
        <v>361.125</v>
      </c>
      <c r="CX1106" s="62" t="n">
        <f aca="false">IF(CS1106="","",CS1106*MAX(0,1-CV1106/H1106))</f>
        <v>1.34134615384615</v>
      </c>
      <c r="CY1106" s="64" t="n">
        <f aca="false">IF(CS1106="","",PERCENTRANK($CS$7:$CS$1843,CS1106)+PERCENTRANK($CU$7:$CU$1843,CU1106)+1-PERCENTRANK($CT$7:$CT$1843,CT1106))</f>
        <v>1.596</v>
      </c>
      <c r="CZ1106" s="72" t="n">
        <f aca="false">IF(CS1106="","",CHOOSE(MATCH(Einkauf!$C$5,Parameter!$G$23:$G$27,0),CY1106,CS1106,CU1106,-CT1106,CW1106)+ROW()/1000000000)</f>
        <v>1.596001106</v>
      </c>
    </row>
    <row r="1107" customFormat="false" ht="15" hidden="false" customHeight="false" outlineLevel="0" collapsed="false">
      <c r="A1107" s="60" t="s">
        <v>2052</v>
      </c>
      <c r="B1107" s="60" t="s">
        <v>2053</v>
      </c>
      <c r="C1107" s="60" t="s">
        <v>206</v>
      </c>
      <c r="D1107" s="60" t="s">
        <v>226</v>
      </c>
      <c r="E1107" s="60" t="s">
        <v>227</v>
      </c>
      <c r="F1107" s="60" t="s">
        <v>260</v>
      </c>
      <c r="G1107" s="61" t="n">
        <v>225.71</v>
      </c>
      <c r="H1107" s="62" t="n">
        <f aca="false">MAX(0,IF(AND(Parameter!$B$21="Ja",ISNUMBER(Y1107)),Y1107,IF(Parameter!$B$20="Jahresanfang 2025 + Export",BS1107+BR1107,BR1107)))</f>
        <v>6</v>
      </c>
      <c r="I1107" s="62" t="n">
        <f aca="false">H1107*G1107</f>
        <v>1354.26</v>
      </c>
      <c r="J1107" s="62" t="n">
        <f aca="false">BU1107*Parameter!$B$18</f>
        <v>1</v>
      </c>
      <c r="K1107" s="63" t="n">
        <v>6.5</v>
      </c>
      <c r="L1107" s="64" t="n">
        <v>0.153846153846154</v>
      </c>
      <c r="M1107" s="62" t="n">
        <v>0</v>
      </c>
      <c r="N1107" s="62" t="n">
        <v>1</v>
      </c>
      <c r="O1107" s="65" t="n">
        <v>28</v>
      </c>
      <c r="P1107" s="60" t="s">
        <v>370</v>
      </c>
      <c r="Q1107" s="62" t="n">
        <v>7</v>
      </c>
      <c r="R1107" s="65" t="n">
        <f aca="false">IF(CA1107=1,0,IFERROR(VLOOKUP(BY1107,'Gebinde-Kategorie'!$A$5:$N$45,13,0)+0,0))</f>
        <v>52</v>
      </c>
      <c r="S1107" s="66"/>
      <c r="T1107" s="67"/>
      <c r="U1107" s="67"/>
      <c r="V1107" s="67"/>
      <c r="W1107" s="60"/>
      <c r="X1107" s="62"/>
      <c r="Y1107" s="62"/>
      <c r="Z1107" s="60" t="n">
        <v>2</v>
      </c>
      <c r="AA1107" s="60" t="n">
        <f aca="false">IF(A1107="","",IF(AND(Parameter!$B$21="Ja",ISNUMBER(W1107)),W1107,IF(AND(Parameter!$E$27="Ja",ISNUMBER(Z1107),CD1107&lt;&gt;"Nein"),Z1107,IF(CD1107="2+3",IF(ISNUMBER(SEARCH("grosser Artikel",BV1107)),2,IFERROR(VLOOKUP(BY1107,Parameter!$F$35:$G$64,2,0),2)),IF(OR(CD1107="Nein",CD1107=""),"-",CD1107)))))</f>
        <v>2</v>
      </c>
      <c r="AB1107" s="67"/>
      <c r="AC1107" s="68"/>
      <c r="AD1107" s="62" t="n">
        <f aca="false">AW1107</f>
        <v>1</v>
      </c>
      <c r="AE1107" s="62" t="n">
        <f aca="false">MAX(AW1107,H1107)</f>
        <v>6</v>
      </c>
      <c r="AF1107" s="69"/>
      <c r="AG1107" s="62" t="n">
        <f aca="false">IF(LEFT(Cockpit!$C$5,1)="A",H1107,IF(Parameter!$E$30="MAX-Bestand",IF(CI1107=1,CJ1107,IF(LEFT(Cockpit!$C$5,1)="B",AM1107,MAX(AM1107,H1107))),ROUNDUP(AK1107,0)))</f>
        <v>6</v>
      </c>
      <c r="AH1107" s="62" t="n">
        <f aca="false">IF(CA1107=1,0,ROUNDUP(AG1107/BZ1107,0))</f>
        <v>1</v>
      </c>
      <c r="AI1107" s="64" t="n">
        <f aca="false">IF(CR1107&gt;0,CR1107*MAX(1,AG1107/X1107),IF(CA1107=1,IF(AG1107&lt;=0,0,CE1107*MAX(1,IF(H1107&gt;0,AG1107/H1107,1))),IF(R1107&gt;0,AH1107/R1107,0))/MAX(0.1,N(Parameter!$M$21)))</f>
        <v>0.0192307692307692</v>
      </c>
      <c r="AJ1107" s="62" t="n">
        <f aca="false">AI1107*CC1107</f>
        <v>2.98076923076923</v>
      </c>
      <c r="AK1107" s="63" t="n">
        <f aca="false">IF(LEFT(Cockpit!$C$5,1)="A",H1107,IF(CI1107=1,(CL1107+CJ1107)/2,IF(LEFT(Cockpit!$C$5,1)="B",(CL1107+AM1107)/2,MAX((CL1107+AM1107)/2,H1107))))</f>
        <v>6</v>
      </c>
      <c r="AL1107" s="62" t="n">
        <f aca="false">AK1107*G1107</f>
        <v>1354.26</v>
      </c>
      <c r="AM1107" s="62" t="n">
        <f aca="false">ROUNDUP(CL1107+MAX(CM1107,2*(J1107/IF(CH1107&gt;0,CH1107,MAX(0.1,N(Cockpit!$C$6)))-CL1107)),0)</f>
        <v>1</v>
      </c>
      <c r="AN1107" s="63" t="n">
        <f aca="false">IF(AJ1107&gt;0,J1107/AJ1107,-1)</f>
        <v>0.335483870967742</v>
      </c>
      <c r="AO1107" s="63" t="n">
        <f aca="false">IF(AND(OR(CG1107="L1",CG1107="L23",CG1107="LIFT"),AJ1107&gt;0),SUMIFS($AJ$7:$AJ$1843,$CG$7:$CG$1843,CG1107,$AN$7:$AN$1843,"&gt;"&amp;AN1107)+SUMIFS($AJ$7:$AJ$1843,$CG$7:$CG$1843,CG1107,$AN$7:$AN$1843,AN1107,$BX$7:$BX$1843,"&lt;="&amp;BX1107),"")</f>
        <v>11224.7693471782</v>
      </c>
      <c r="AP1107" s="70" t="n">
        <f aca="false">IF(AO1107="",0,MAX(0,MIN(1,(IF(CG1107="L1",Parameter!$H$5,IF(CG1107="L23",Parameter!$H$6+Parameter!$H$7,Parameter!$H$5+Parameter!$H$6+Parameter!$H$7))-(AO1107-AJ1107))/AJ1107)))</f>
        <v>1</v>
      </c>
      <c r="AQ1107" s="62" t="n">
        <f aca="false">IF(LEFT(Cockpit!$I$5,1)="A",H1107,IF(Parameter!$E$30="MAX-Bestand",IF(CI1107=1,CJ1107,IF(LEFT(Cockpit!$I$5,1)="B",AW1107,MAX(AW1107,H1107))),ROUNDUP(AU1107,0)))</f>
        <v>6</v>
      </c>
      <c r="AR1107" s="62" t="n">
        <f aca="false">IF(CA1107=1,0,ROUNDUP(AQ1107/BZ1107,0))</f>
        <v>1</v>
      </c>
      <c r="AS1107" s="64" t="n">
        <f aca="false">IF(CR1107&gt;0,CR1107*MAX(1,AQ1107/X1107),IF(CA1107=1,IF(AQ1107&lt;=0,0,CE1107*MAX(1,IF(H1107&gt;0,AQ1107/H1107,1))),IF(R1107&gt;0,AR1107/R1107,0))/MAX(0.1,N(Parameter!$M$21)))</f>
        <v>0.0192307692307692</v>
      </c>
      <c r="AT1107" s="62" t="n">
        <f aca="false">AS1107*CC1107</f>
        <v>2.98076923076923</v>
      </c>
      <c r="AU1107" s="63" t="n">
        <f aca="false">IF(LEFT(Cockpit!$I$5,1)="A",H1107,IF(CI1107=1,(CL1107+CJ1107)/2,IF(LEFT(Cockpit!$I$5,1)="B",(CL1107+AW1107)/2,MAX((CL1107+AW1107)/2,H1107))))</f>
        <v>6</v>
      </c>
      <c r="AV1107" s="62" t="n">
        <f aca="false">AU1107*G1107</f>
        <v>1354.26</v>
      </c>
      <c r="AW1107" s="62" t="n">
        <f aca="false">ROUNDUP(CL1107+MAX(CM1107,2*(J1107/IF(CH1107&gt;0,CH1107,MAX(0.1,N(Cockpit!$I$6)))-CL1107)),0)</f>
        <v>1</v>
      </c>
      <c r="AX1107" s="63" t="n">
        <f aca="false">IF(AT1107&gt;0,J1107/AT1107,-1)</f>
        <v>0.335483870967742</v>
      </c>
      <c r="AY1107" s="63" t="n">
        <f aca="false">IF(AND(OR(CG1107="L1",CG1107="L23",CG1107="LIFT"),AT1107&gt;0),SUMIFS($AT$7:$AT$1843,$CG$7:$CG$1843,CG1107,$AX$7:$AX$1843,"&gt;"&amp;AX1107)+SUMIFS($AT$7:$AT$1843,$CG$7:$CG$1843,CG1107,$AX$7:$AX$1843,AX1107,$BX$7:$BX$1843,"&lt;="&amp;BX1107),"")</f>
        <v>13758.9070512821</v>
      </c>
      <c r="AZ1107" s="70" t="n">
        <f aca="false">IF(AY1107="",0,MAX(0,MIN(1,(IF(CG1107="L1",Parameter!$H$5,IF(CG1107="L23",Parameter!$H$6+Parameter!$H$7,Parameter!$H$5+Parameter!$H$6+Parameter!$H$7))-(AY1107-AT1107))/AT1107)))</f>
        <v>1</v>
      </c>
      <c r="BA1107" s="62" t="n">
        <f aca="false">IF(LEFT(Cockpit!$O$5,1)="A",H1107,IF(Parameter!$E$30="MAX-Bestand",IF(CI1107=1,CJ1107,IF(LEFT(Cockpit!$O$5,1)="B",BG1107,MAX(BG1107,H1107))),ROUNDUP(BE1107,0)))</f>
        <v>1</v>
      </c>
      <c r="BB1107" s="62" t="n">
        <f aca="false">IF(CA1107=1,0,ROUNDUP(BA1107/BZ1107,0))</f>
        <v>1</v>
      </c>
      <c r="BC1107" s="64" t="n">
        <f aca="false">IF(CR1107&gt;0,CR1107*MAX(1,BA1107/X1107),IF(CA1107=1,IF(BA1107&lt;=0,0,CE1107*MAX(1,IF(H1107&gt;0,BA1107/H1107,1))),IF(R1107&gt;0,BB1107/R1107,0))/MAX(0.1,N(Parameter!$M$21)))</f>
        <v>0.0192307692307692</v>
      </c>
      <c r="BD1107" s="62" t="n">
        <f aca="false">BC1107*CC1107</f>
        <v>2.98076923076923</v>
      </c>
      <c r="BE1107" s="63" t="n">
        <f aca="false">IF(LEFT(Cockpit!$O$5,1)="A",H1107,IF(CI1107=1,(CL1107+CJ1107)/2,IF(LEFT(Cockpit!$O$5,1)="B",(CL1107+BG1107)/2,MAX((CL1107+BG1107)/2,H1107))))</f>
        <v>0.5</v>
      </c>
      <c r="BF1107" s="62" t="n">
        <f aca="false">BE1107*G1107</f>
        <v>112.855</v>
      </c>
      <c r="BG1107" s="62" t="n">
        <f aca="false">ROUNDUP(CL1107+MAX(CM1107,2*(J1107/IF(CH1107&gt;0,CH1107,MAX(0.1,N(Cockpit!$O$6)))-CL1107)),0)</f>
        <v>1</v>
      </c>
      <c r="BH1107" s="63" t="n">
        <f aca="false">IF(BD1107&gt;0,J1107/BD1107,-1)</f>
        <v>0.335483870967742</v>
      </c>
      <c r="BI1107" s="63" t="n">
        <f aca="false">IF(AND(OR(CG1107="L1",CG1107="L23",CG1107="LIFT"),BD1107&gt;0),SUMIFS($BD$7:$BD$1843,$CG$7:$CG$1843,CG1107,$BH$7:$BH$1843,"&gt;"&amp;BH1107)+SUMIFS($BD$7:$BD$1843,$CG$7:$CG$1843,CG1107,$BH$7:$BH$1843,BH1107,$BX$7:$BX$1843,"&lt;="&amp;BX1107),"")</f>
        <v>11609.8658424908</v>
      </c>
      <c r="BJ1107" s="70" t="n">
        <f aca="false">IF(BI1107="",0,MAX(0,MIN(1,(IF(CG1107="L1",Parameter!$H$5,IF(CG1107="L23",Parameter!$H$6+Parameter!$H$7,Parameter!$H$5+Parameter!$H$6+Parameter!$H$7))-(BI1107-BD1107))/BD1107)))</f>
        <v>1</v>
      </c>
      <c r="BK1107" s="60" t="str">
        <f aca="false">IF(AJ1107&lt;=0,"",IF(CG1107="Aussen","Aussenlager",IF(CG1107="-","Nicht im Lift",IF(AP1107&gt;=1,"Lift",IF(AP1107&lt;=0,"Aussenlager","teilweise")))))</f>
        <v>Lift</v>
      </c>
      <c r="BL1107" s="60" t="str">
        <f aca="false">IF(AT1107&lt;=0,"",IF(CG1107="Aussen","Aussenlager",IF(CG1107="-","Nicht im Lift",IF(AZ1107&gt;=1,"Lift",IF(AZ1107&lt;=0,"Aussenlager","teilweise")))))</f>
        <v>Lift</v>
      </c>
      <c r="BM1107" s="60" t="str">
        <f aca="false">IF(BD1107&lt;=0,"",IF(CG1107="Aussen","Aussenlager",IF(CG1107="-","Nicht im Lift",IF(BJ1107&gt;=1,"Lift",IF(BJ1107&lt;=0,"Aussenlager","teilweise")))))</f>
        <v>Lift</v>
      </c>
      <c r="BN1107" s="60" t="str">
        <f aca="false">IF(A1107="","",IF(BW1107=1,"Neu; ","")&amp;IF(AND(BW1107=0,BR1107&lt;0),"negativer Bestand (Export "&amp;BR1107&amp;"); ","")&amp;IF(J1107&lt;=0,"Kein Verbrauch; ","")&amp;IF(CR1107&gt;0,"Lift "&amp;W1107&amp;" lt. Liftbericht (Fach "&amp;X1107&amp;" Stk); ",IF(CB1107=1,"Gebinde geschätzt ("&amp;T1107&amp;"); ",IF(CA1107=1,"Lose – Tablare geschätzt; ","")))&amp;IF(H1107&gt;AW1107,"Überbestand "&amp;ROUND(H1107-AW1107,0)&amp;" Stk / CHF "&amp;ROUND((H1107-AW1107)*G1107,0)&amp;"; ","")&amp;IF(AND(CI1107=1,CJ1107&lt;CK1107),"MAX &lt; MB+LG; ","")&amp;IF(AND(CQ1107&gt;0,CP1107*10&gt;CQ1107),"zu hoch für Tablar; ","")&amp;IF(AND(BW1107=0,OR(CI1107=1,AB1107&lt;&gt;"",U1107&lt;&gt;"",V1107&lt;&gt;"",AC1107&lt;&gt;"")),"manuell übersteuert; ","")&amp;IF(AND(CA1107=0,R1107=0),"Gebinde unbekannt / Stellmass fehlt; ","")&amp;IF(AND(CA1107=0,N(V1107)&lt;=0,N(Q1107)&lt;=0),"Menge pro Gebinde fehlt (Ist = 1 Gebinde); ","")&amp;BV1107)</f>
        <v>negativer Bestand (Export -1); Überbestand 5 Stk / CHF 1129; Überbestand</v>
      </c>
      <c r="BO1107" s="60"/>
      <c r="BP1107" s="60"/>
      <c r="BQ1107" s="67"/>
      <c r="BR1107" s="62" t="n">
        <v>-1</v>
      </c>
      <c r="BS1107" s="62" t="n">
        <v>7</v>
      </c>
      <c r="BT1107" s="61" t="n">
        <v>-225.71</v>
      </c>
      <c r="BU1107" s="62" t="n">
        <v>1</v>
      </c>
      <c r="BV1107" s="60" t="s">
        <v>434</v>
      </c>
      <c r="BW1107" s="65" t="n">
        <v>0</v>
      </c>
      <c r="BX1107" s="65" t="n">
        <v>1107</v>
      </c>
      <c r="BY1107" s="60" t="str">
        <f aca="false">IF(U1107&lt;&gt;"",UPPER(TRIM(U1107)),IF(CB1107=1,UPPER(VLOOKUP(T1107,Parameter!$I$27:$K$29,2,0)),IF(P1107="","LOSE",P1107)))</f>
        <v>S41</v>
      </c>
      <c r="BZ1107" s="62" t="n">
        <f aca="false">IF(BY1107="LOSE",1,IF(N(V1107)&gt;0,V1107,IF(CB1107=1,MAX(1,N(VLOOKUP(T1107,Parameter!$I$27:$K$29,3,0)),H1107,N(N1107)),IF(N(Q1107)&gt;0,Q1107,MAX(1,H1107)))))</f>
        <v>7</v>
      </c>
      <c r="CA1107" s="65" t="n">
        <f aca="false">IF(BY1107="LOSE",1,0)</f>
        <v>0</v>
      </c>
      <c r="CB1107" s="65" t="n">
        <f aca="false">IF(AND(U1107="",OR(P1107="",P1107="LOSE"),T1107&lt;&gt;"",N(S1107)&lt;=0,ISNUMBER(MATCH(T1107,Parameter!$I$27:$I$29,0))),1,0)</f>
        <v>0</v>
      </c>
      <c r="CC1107" s="65" t="n">
        <f aca="false">IF(CR1107&gt;0,INDEX(Parameter!$H$5:$H$7,W1107)/INDEX(Parameter!$E$5:$E$7,W1107),IF(AND(CA1107=0,N(IFERROR(VLOOKUP(BY1107,'Gebinde-Kategorie'!$A$5:$N$45,14,0),0))&gt;0),VLOOKUP(BY1107,'Gebinde-Kategorie'!$A$5:$N$45,14,0)*10+Parameter!$M$23,Parameter!$M$24))</f>
        <v>155</v>
      </c>
      <c r="CD1107" s="60" t="str">
        <f aca="false">IF(AND(Parameter!$B$19="Ja",E1107&lt;&gt;"",ISNUMBER(MATCH(E1107,Parameter!$I$35:$I$52,0))),VLOOKUP(E1107,Parameter!$I$35:$J$52,2,0),IFERROR(VLOOKUP(D1107,Parameter!$A$35:$C$64,2,0),"Nein"))</f>
        <v>2+3</v>
      </c>
      <c r="CE1107" s="64" t="n">
        <f aca="false">IF(CA1107=0,0,IF(N(S1107)&gt;0,S1107,IFERROR(VLOOKUP(D1107,Parameter!$A$35:$C$64,3,0)+0,0)))</f>
        <v>0</v>
      </c>
      <c r="CF1107" s="60" t="n">
        <f aca="false">IF(AB1107&lt;&gt;"",AB1107,AA1107)</f>
        <v>2</v>
      </c>
      <c r="CG1107" s="60" t="str">
        <f aca="false">IF(OR(CF1107=1,CF1107=2,CF1107=3),IF(Parameter!$E$27="Ja","LIFT",IF(CF1107=1,"L1","L23")),IF(CF1107="Aussen","Aussen","-"))</f>
        <v>LIFT</v>
      </c>
      <c r="CH1107" s="71" t="n">
        <f aca="false">IF(N(AC1107)&gt;0,AC1107,0)</f>
        <v>0</v>
      </c>
      <c r="CI1107" s="65" t="n">
        <f aca="false">IF(ISNUMBER(AF1107),1,0)</f>
        <v>0</v>
      </c>
      <c r="CJ1107" s="62" t="n">
        <f aca="false">N(AF1107)</f>
        <v>0</v>
      </c>
      <c r="CK1107" s="62" t="n">
        <f aca="false">N(M1107)+N(N1107)</f>
        <v>1</v>
      </c>
      <c r="CL1107" s="62" t="n">
        <f aca="false">N(M1107)</f>
        <v>0</v>
      </c>
      <c r="CM1107" s="62" t="n">
        <f aca="false">N(N1107)</f>
        <v>1</v>
      </c>
      <c r="CN1107" s="62" t="n">
        <f aca="false">ROUNDUP(H1107/BZ1107,0)</f>
        <v>1</v>
      </c>
      <c r="CO1107" s="62" t="n">
        <f aca="false">ROUNDUP(CJ1107/BZ1107,0)</f>
        <v>0</v>
      </c>
      <c r="CP1107" s="65" t="n">
        <f aca="false">IF(CA1107=1,0,IFERROR(VLOOKUP(BY1107,'Gebinde-Kategorie'!$A$5:$N$45,5,0)+0,0))</f>
        <v>11</v>
      </c>
      <c r="CQ1107" s="65" t="n">
        <f aca="false">IFERROR(IF(OR(CF1107=1,CF1107=2,CF1107=3),N(INDEX(Parameter!$I$5:$I$7,CF1107)),0),0)</f>
        <v>0</v>
      </c>
      <c r="CR1107" s="64" t="n">
        <f aca="false">IF(AND(Parameter!$B$21="Ja",ISNUMBER(W1107),N(X1107)&gt;0),IFERROR(N(INDEX(Parameter!$L$5:$L$7,W1107))*INDEX(Parameter!$E$5:$E$7,W1107)*X1107/SUMIFS($X$7:$X$1843,$W$7:$W$1843,W1107),0),0)</f>
        <v>0</v>
      </c>
      <c r="CS1107" s="62" t="n">
        <f aca="false">IF(AND(OR(CG1107="L1",CG1107="L23",CG1107="LIFT"),H1107&gt;0),CC1107*IF(CR1107&gt;0,CR1107*MAX(1,H1107/X1107),IF(CA1107=1,CE1107,IF(R1107&gt;0,CN1107/R1107,0))/MAX(0.1,N(Parameter!$M$21))),"")</f>
        <v>2.98076923076923</v>
      </c>
      <c r="CT1107" s="64" t="n">
        <f aca="false">IF(CS1107="","",J1107/H1107)</f>
        <v>0.166666666666667</v>
      </c>
      <c r="CU1107" s="62" t="n">
        <f aca="false">IF(CS1107="","",H1107*G1107)</f>
        <v>1354.26</v>
      </c>
      <c r="CV1107" s="63" t="n">
        <f aca="false">IF(CS1107="","",(CL1107+ROUNDUP(CL1107+MAX(CM1107,2*(J1107/MAX(0.1,N(Einkauf!$C$6))-CL1107)),0))/2)</f>
        <v>0.5</v>
      </c>
      <c r="CW1107" s="62" t="n">
        <f aca="false">IF(CS1107="","",MAX(0,H1107-CV1107)*G1107)</f>
        <v>1241.405</v>
      </c>
      <c r="CX1107" s="62" t="n">
        <f aca="false">IF(CS1107="","",CS1107*MAX(0,1-CV1107/H1107))</f>
        <v>2.73237179487179</v>
      </c>
      <c r="CY1107" s="64" t="n">
        <f aca="false">IF(CS1107="","",PERCENTRANK($CS$7:$CS$1843,CS1107)+PERCENTRANK($CU$7:$CU$1843,CU1107)+1-PERCENTRANK($CT$7:$CT$1843,CT1107))</f>
        <v>1.448</v>
      </c>
      <c r="CZ1107" s="72" t="n">
        <f aca="false">IF(CS1107="","",CHOOSE(MATCH(Einkauf!$C$5,Parameter!$G$23:$G$27,0),CY1107,CS1107,CU1107,-CT1107,CW1107)+ROW()/1000000000)</f>
        <v>1.448001107</v>
      </c>
    </row>
    <row r="1108" customFormat="false" ht="15" hidden="false" customHeight="false" outlineLevel="0" collapsed="false">
      <c r="A1108" s="60" t="s">
        <v>2054</v>
      </c>
      <c r="B1108" s="60" t="s">
        <v>2055</v>
      </c>
      <c r="C1108" s="60" t="s">
        <v>206</v>
      </c>
      <c r="D1108" s="60" t="s">
        <v>215</v>
      </c>
      <c r="E1108" s="60" t="s">
        <v>227</v>
      </c>
      <c r="F1108" s="60" t="s">
        <v>260</v>
      </c>
      <c r="G1108" s="61" t="n">
        <v>225.73</v>
      </c>
      <c r="H1108" s="62" t="n">
        <f aca="false">MAX(0,IF(AND(Parameter!$B$21="Ja",ISNUMBER(Y1108)),Y1108,IF(Parameter!$B$20="Jahresanfang 2025 + Export",BS1108+BR1108,BR1108)))</f>
        <v>14</v>
      </c>
      <c r="I1108" s="62" t="n">
        <f aca="false">H1108*G1108</f>
        <v>3160.22</v>
      </c>
      <c r="J1108" s="62" t="n">
        <f aca="false">BU1108*Parameter!$B$18</f>
        <v>1</v>
      </c>
      <c r="K1108" s="63" t="n">
        <v>14.5</v>
      </c>
      <c r="L1108" s="64" t="n">
        <v>0.0689655172413793</v>
      </c>
      <c r="M1108" s="62" t="n">
        <v>0</v>
      </c>
      <c r="N1108" s="62" t="n">
        <v>1</v>
      </c>
      <c r="O1108" s="65" t="n">
        <v>21</v>
      </c>
      <c r="P1108" s="60" t="s">
        <v>216</v>
      </c>
      <c r="Q1108" s="62" t="n">
        <v>24</v>
      </c>
      <c r="R1108" s="65" t="n">
        <f aca="false">IF(CA1108=1,0,IFERROR(VLOOKUP(BY1108,'Gebinde-Kategorie'!$A$5:$N$45,13,0)+0,0))</f>
        <v>6</v>
      </c>
      <c r="S1108" s="66"/>
      <c r="T1108" s="67"/>
      <c r="U1108" s="67"/>
      <c r="V1108" s="67"/>
      <c r="W1108" s="60"/>
      <c r="X1108" s="62"/>
      <c r="Y1108" s="62"/>
      <c r="Z1108" s="60" t="n">
        <v>2</v>
      </c>
      <c r="AA1108" s="60" t="n">
        <f aca="false">IF(A1108="","",IF(AND(Parameter!$B$21="Ja",ISNUMBER(W1108)),W1108,IF(AND(Parameter!$E$27="Ja",ISNUMBER(Z1108),CD1108&lt;&gt;"Nein"),Z1108,IF(CD1108="2+3",IF(ISNUMBER(SEARCH("grosser Artikel",BV1108)),2,IFERROR(VLOOKUP(BY1108,Parameter!$F$35:$G$64,2,0),2)),IF(OR(CD1108="Nein",CD1108=""),"-",CD1108)))))</f>
        <v>2</v>
      </c>
      <c r="AB1108" s="67"/>
      <c r="AC1108" s="68"/>
      <c r="AD1108" s="62" t="n">
        <f aca="false">AW1108</f>
        <v>1</v>
      </c>
      <c r="AE1108" s="62" t="n">
        <f aca="false">MAX(AW1108,H1108)</f>
        <v>14</v>
      </c>
      <c r="AF1108" s="69"/>
      <c r="AG1108" s="62" t="n">
        <f aca="false">IF(LEFT(Cockpit!$C$5,1)="A",H1108,IF(Parameter!$E$30="MAX-Bestand",IF(CI1108=1,CJ1108,IF(LEFT(Cockpit!$C$5,1)="B",AM1108,MAX(AM1108,H1108))),ROUNDUP(AK1108,0)))</f>
        <v>14</v>
      </c>
      <c r="AH1108" s="62" t="n">
        <f aca="false">IF(CA1108=1,0,ROUNDUP(AG1108/BZ1108,0))</f>
        <v>1</v>
      </c>
      <c r="AI1108" s="64" t="n">
        <f aca="false">IF(CR1108&gt;0,CR1108*MAX(1,AG1108/X1108),IF(CA1108=1,IF(AG1108&lt;=0,0,CE1108*MAX(1,IF(H1108&gt;0,AG1108/H1108,1))),IF(R1108&gt;0,AH1108/R1108,0))/MAX(0.1,N(Parameter!$M$21)))</f>
        <v>0.166666666666667</v>
      </c>
      <c r="AJ1108" s="62" t="n">
        <f aca="false">AI1108*CC1108</f>
        <v>39.1666666666667</v>
      </c>
      <c r="AK1108" s="63" t="n">
        <f aca="false">IF(LEFT(Cockpit!$C$5,1)="A",H1108,IF(CI1108=1,(CL1108+CJ1108)/2,IF(LEFT(Cockpit!$C$5,1)="B",(CL1108+AM1108)/2,MAX((CL1108+AM1108)/2,H1108))))</f>
        <v>14</v>
      </c>
      <c r="AL1108" s="62" t="n">
        <f aca="false">AK1108*G1108</f>
        <v>3160.22</v>
      </c>
      <c r="AM1108" s="62" t="n">
        <f aca="false">ROUNDUP(CL1108+MAX(CM1108,2*(J1108/IF(CH1108&gt;0,CH1108,MAX(0.1,N(Cockpit!$C$6)))-CL1108)),0)</f>
        <v>1</v>
      </c>
      <c r="AN1108" s="63" t="n">
        <f aca="false">IF(AJ1108&gt;0,J1108/AJ1108,-1)</f>
        <v>0.025531914893617</v>
      </c>
      <c r="AO1108" s="63" t="n">
        <f aca="false">IF(AND(OR(CG1108="L1",CG1108="L23",CG1108="LIFT"),AJ1108&gt;0),SUMIFS($AJ$7:$AJ$1843,$CG$7:$CG$1843,CG1108,$AN$7:$AN$1843,"&gt;"&amp;AN1108)+SUMIFS($AJ$7:$AJ$1843,$CG$7:$CG$1843,CG1108,$AN$7:$AN$1843,AN1108,$BX$7:$BX$1843,"&lt;="&amp;BX1108),"")</f>
        <v>21807.9437382298</v>
      </c>
      <c r="AP1108" s="70" t="n">
        <f aca="false">IF(AO1108="",0,MAX(0,MIN(1,(IF(CG1108="L1",Parameter!$H$5,IF(CG1108="L23",Parameter!$H$6+Parameter!$H$7,Parameter!$H$5+Parameter!$H$6+Parameter!$H$7))-(AO1108-AJ1108))/AJ1108)))</f>
        <v>1</v>
      </c>
      <c r="AQ1108" s="62" t="n">
        <f aca="false">IF(LEFT(Cockpit!$I$5,1)="A",H1108,IF(Parameter!$E$30="MAX-Bestand",IF(CI1108=1,CJ1108,IF(LEFT(Cockpit!$I$5,1)="B",AW1108,MAX(AW1108,H1108))),ROUNDUP(AU1108,0)))</f>
        <v>14</v>
      </c>
      <c r="AR1108" s="62" t="n">
        <f aca="false">IF(CA1108=1,0,ROUNDUP(AQ1108/BZ1108,0))</f>
        <v>1</v>
      </c>
      <c r="AS1108" s="64" t="n">
        <f aca="false">IF(CR1108&gt;0,CR1108*MAX(1,AQ1108/X1108),IF(CA1108=1,IF(AQ1108&lt;=0,0,CE1108*MAX(1,IF(H1108&gt;0,AQ1108/H1108,1))),IF(R1108&gt;0,AR1108/R1108,0))/MAX(0.1,N(Parameter!$M$21)))</f>
        <v>0.166666666666667</v>
      </c>
      <c r="AT1108" s="62" t="n">
        <f aca="false">AS1108*CC1108</f>
        <v>39.1666666666667</v>
      </c>
      <c r="AU1108" s="63" t="n">
        <f aca="false">IF(LEFT(Cockpit!$I$5,1)="A",H1108,IF(CI1108=1,(CL1108+CJ1108)/2,IF(LEFT(Cockpit!$I$5,1)="B",(CL1108+AW1108)/2,MAX((CL1108+AW1108)/2,H1108))))</f>
        <v>14</v>
      </c>
      <c r="AV1108" s="62" t="n">
        <f aca="false">AU1108*G1108</f>
        <v>3160.22</v>
      </c>
      <c r="AW1108" s="62" t="n">
        <f aca="false">ROUNDUP(CL1108+MAX(CM1108,2*(J1108/IF(CH1108&gt;0,CH1108,MAX(0.1,N(Cockpit!$I$6)))-CL1108)),0)</f>
        <v>1</v>
      </c>
      <c r="AX1108" s="63" t="n">
        <f aca="false">IF(AT1108&gt;0,J1108/AT1108,-1)</f>
        <v>0.025531914893617</v>
      </c>
      <c r="AY1108" s="63" t="n">
        <f aca="false">IF(AND(OR(CG1108="L1",CG1108="L23",CG1108="LIFT"),AT1108&gt;0),SUMIFS($AT$7:$AT$1843,$CG$7:$CG$1843,CG1108,$AX$7:$AX$1843,"&gt;"&amp;AX1108)+SUMIFS($AT$7:$AT$1843,$CG$7:$CG$1843,CG1108,$AX$7:$AX$1843,AX1108,$BX$7:$BX$1843,"&lt;="&amp;BX1108),"")</f>
        <v>26926.0923796072</v>
      </c>
      <c r="AZ1108" s="70" t="n">
        <f aca="false">IF(AY1108="",0,MAX(0,MIN(1,(IF(CG1108="L1",Parameter!$H$5,IF(CG1108="L23",Parameter!$H$6+Parameter!$H$7,Parameter!$H$5+Parameter!$H$6+Parameter!$H$7))-(AY1108-AT1108))/AT1108)))</f>
        <v>1</v>
      </c>
      <c r="BA1108" s="62" t="n">
        <f aca="false">IF(LEFT(Cockpit!$O$5,1)="A",H1108,IF(Parameter!$E$30="MAX-Bestand",IF(CI1108=1,CJ1108,IF(LEFT(Cockpit!$O$5,1)="B",BG1108,MAX(BG1108,H1108))),ROUNDUP(BE1108,0)))</f>
        <v>1</v>
      </c>
      <c r="BB1108" s="62" t="n">
        <f aca="false">IF(CA1108=1,0,ROUNDUP(BA1108/BZ1108,0))</f>
        <v>1</v>
      </c>
      <c r="BC1108" s="64" t="n">
        <f aca="false">IF(CR1108&gt;0,CR1108*MAX(1,BA1108/X1108),IF(CA1108=1,IF(BA1108&lt;=0,0,CE1108*MAX(1,IF(H1108&gt;0,BA1108/H1108,1))),IF(R1108&gt;0,BB1108/R1108,0))/MAX(0.1,N(Parameter!$M$21)))</f>
        <v>0.166666666666667</v>
      </c>
      <c r="BD1108" s="62" t="n">
        <f aca="false">BC1108*CC1108</f>
        <v>39.1666666666667</v>
      </c>
      <c r="BE1108" s="63" t="n">
        <f aca="false">IF(LEFT(Cockpit!$O$5,1)="A",H1108,IF(CI1108=1,(CL1108+CJ1108)/2,IF(LEFT(Cockpit!$O$5,1)="B",(CL1108+BG1108)/2,MAX((CL1108+BG1108)/2,H1108))))</f>
        <v>0.5</v>
      </c>
      <c r="BF1108" s="62" t="n">
        <f aca="false">BE1108*G1108</f>
        <v>112.865</v>
      </c>
      <c r="BG1108" s="62" t="n">
        <f aca="false">ROUNDUP(CL1108+MAX(CM1108,2*(J1108/IF(CH1108&gt;0,CH1108,MAX(0.1,N(Cockpit!$O$6)))-CL1108)),0)</f>
        <v>1</v>
      </c>
      <c r="BH1108" s="63" t="n">
        <f aca="false">IF(BD1108&gt;0,J1108/BD1108,-1)</f>
        <v>0.025531914893617</v>
      </c>
      <c r="BI1108" s="63" t="n">
        <f aca="false">IF(AND(OR(CG1108="L1",CG1108="L23",CG1108="LIFT"),BD1108&gt;0),SUMIFS($BD$7:$BD$1843,$CG$7:$CG$1843,CG1108,$BH$7:$BH$1843,"&gt;"&amp;BH1108)+SUMIFS($BD$7:$BD$1843,$CG$7:$CG$1843,CG1108,$BH$7:$BH$1843,BH1108,$BX$7:$BX$1843,"&lt;="&amp;BX1108),"")</f>
        <v>22628.6998639308</v>
      </c>
      <c r="BJ1108" s="70" t="n">
        <f aca="false">IF(BI1108="",0,MAX(0,MIN(1,(IF(CG1108="L1",Parameter!$H$5,IF(CG1108="L23",Parameter!$H$6+Parameter!$H$7,Parameter!$H$5+Parameter!$H$6+Parameter!$H$7))-(BI1108-BD1108))/BD1108)))</f>
        <v>1</v>
      </c>
      <c r="BK1108" s="60" t="str">
        <f aca="false">IF(AJ1108&lt;=0,"",IF(CG1108="Aussen","Aussenlager",IF(CG1108="-","Nicht im Lift",IF(AP1108&gt;=1,"Lift",IF(AP1108&lt;=0,"Aussenlager","teilweise")))))</f>
        <v>Lift</v>
      </c>
      <c r="BL1108" s="60" t="str">
        <f aca="false">IF(AT1108&lt;=0,"",IF(CG1108="Aussen","Aussenlager",IF(CG1108="-","Nicht im Lift",IF(AZ1108&gt;=1,"Lift",IF(AZ1108&lt;=0,"Aussenlager","teilweise")))))</f>
        <v>Lift</v>
      </c>
      <c r="BM1108" s="60" t="str">
        <f aca="false">IF(BD1108&lt;=0,"",IF(CG1108="Aussen","Aussenlager",IF(CG1108="-","Nicht im Lift",IF(BJ1108&gt;=1,"Lift",IF(BJ1108&lt;=0,"Aussenlager","teilweise")))))</f>
        <v>Lift</v>
      </c>
      <c r="BN1108" s="60" t="str">
        <f aca="false">IF(A1108="","",IF(BW1108=1,"Neu; ","")&amp;IF(AND(BW1108=0,BR1108&lt;0),"negativer Bestand (Export "&amp;BR1108&amp;"); ","")&amp;IF(J1108&lt;=0,"Kein Verbrauch; ","")&amp;IF(CR1108&gt;0,"Lift "&amp;W1108&amp;" lt. Liftbericht (Fach "&amp;X1108&amp;" Stk); ",IF(CB1108=1,"Gebinde geschätzt ("&amp;T1108&amp;"); ",IF(CA1108=1,"Lose – Tablare geschätzt; ","")))&amp;IF(H1108&gt;AW1108,"Überbestand "&amp;ROUND(H1108-AW1108,0)&amp;" Stk / CHF "&amp;ROUND((H1108-AW1108)*G1108,0)&amp;"; ","")&amp;IF(AND(CI1108=1,CJ1108&lt;CK1108),"MAX &lt; MB+LG; ","")&amp;IF(AND(CQ1108&gt;0,CP1108*10&gt;CQ1108),"zu hoch für Tablar; ","")&amp;IF(AND(BW1108=0,OR(CI1108=1,AB1108&lt;&gt;"",U1108&lt;&gt;"",V1108&lt;&gt;"",AC1108&lt;&gt;"")),"manuell übersteuert; ","")&amp;IF(AND(CA1108=0,R1108=0),"Gebinde unbekannt / Stellmass fehlt; ","")&amp;IF(AND(CA1108=0,N(V1108)&lt;=0,N(Q1108)&lt;=0),"Menge pro Gebinde fehlt (Ist = 1 Gebinde); ","")&amp;BV1108)</f>
        <v>negativer Bestand (Export -1); Überbestand 13 Stk / CHF 2934; nicht im KTL vorhanden</v>
      </c>
      <c r="BO1108" s="60"/>
      <c r="BP1108" s="60"/>
      <c r="BQ1108" s="67"/>
      <c r="BR1108" s="62" t="n">
        <v>-1</v>
      </c>
      <c r="BS1108" s="62" t="n">
        <v>15</v>
      </c>
      <c r="BT1108" s="61" t="n">
        <v>-225.73</v>
      </c>
      <c r="BU1108" s="62" t="n">
        <v>1</v>
      </c>
      <c r="BV1108" s="60" t="s">
        <v>272</v>
      </c>
      <c r="BW1108" s="65" t="n">
        <v>0</v>
      </c>
      <c r="BX1108" s="65" t="n">
        <v>1108</v>
      </c>
      <c r="BY1108" s="60" t="str">
        <f aca="false">IF(U1108&lt;&gt;"",UPPER(TRIM(U1108)),IF(CB1108=1,UPPER(VLOOKUP(T1108,Parameter!$I$27:$K$29,2,0)),IF(P1108="","LOSE",P1108)))</f>
        <v>S71</v>
      </c>
      <c r="BZ1108" s="62" t="n">
        <f aca="false">IF(BY1108="LOSE",1,IF(N(V1108)&gt;0,V1108,IF(CB1108=1,MAX(1,N(VLOOKUP(T1108,Parameter!$I$27:$K$29,3,0)),H1108,N(N1108)),IF(N(Q1108)&gt;0,Q1108,MAX(1,H1108)))))</f>
        <v>24</v>
      </c>
      <c r="CA1108" s="65" t="n">
        <f aca="false">IF(BY1108="LOSE",1,0)</f>
        <v>0</v>
      </c>
      <c r="CB1108" s="65" t="n">
        <f aca="false">IF(AND(U1108="",OR(P1108="",P1108="LOSE"),T1108&lt;&gt;"",N(S1108)&lt;=0,ISNUMBER(MATCH(T1108,Parameter!$I$27:$I$29,0))),1,0)</f>
        <v>0</v>
      </c>
      <c r="CC1108" s="65" t="n">
        <f aca="false">IF(CR1108&gt;0,INDEX(Parameter!$H$5:$H$7,W1108)/INDEX(Parameter!$E$5:$E$7,W1108),IF(AND(CA1108=0,N(IFERROR(VLOOKUP(BY1108,'Gebinde-Kategorie'!$A$5:$N$45,14,0),0))&gt;0),VLOOKUP(BY1108,'Gebinde-Kategorie'!$A$5:$N$45,14,0)*10+Parameter!$M$23,Parameter!$M$24))</f>
        <v>235</v>
      </c>
      <c r="CD1108" s="60" t="str">
        <f aca="false">IF(AND(Parameter!$B$19="Ja",E1108&lt;&gt;"",ISNUMBER(MATCH(E1108,Parameter!$I$35:$I$52,0))),VLOOKUP(E1108,Parameter!$I$35:$J$52,2,0),IFERROR(VLOOKUP(D1108,Parameter!$A$35:$C$64,2,0),"Nein"))</f>
        <v>2+3</v>
      </c>
      <c r="CE1108" s="64" t="n">
        <f aca="false">IF(CA1108=0,0,IF(N(S1108)&gt;0,S1108,IFERROR(VLOOKUP(D1108,Parameter!$A$35:$C$64,3,0)+0,0)))</f>
        <v>0</v>
      </c>
      <c r="CF1108" s="60" t="n">
        <f aca="false">IF(AB1108&lt;&gt;"",AB1108,AA1108)</f>
        <v>2</v>
      </c>
      <c r="CG1108" s="60" t="str">
        <f aca="false">IF(OR(CF1108=1,CF1108=2,CF1108=3),IF(Parameter!$E$27="Ja","LIFT",IF(CF1108=1,"L1","L23")),IF(CF1108="Aussen","Aussen","-"))</f>
        <v>LIFT</v>
      </c>
      <c r="CH1108" s="71" t="n">
        <f aca="false">IF(N(AC1108)&gt;0,AC1108,0)</f>
        <v>0</v>
      </c>
      <c r="CI1108" s="65" t="n">
        <f aca="false">IF(ISNUMBER(AF1108),1,0)</f>
        <v>0</v>
      </c>
      <c r="CJ1108" s="62" t="n">
        <f aca="false">N(AF1108)</f>
        <v>0</v>
      </c>
      <c r="CK1108" s="62" t="n">
        <f aca="false">N(M1108)+N(N1108)</f>
        <v>1</v>
      </c>
      <c r="CL1108" s="62" t="n">
        <f aca="false">N(M1108)</f>
        <v>0</v>
      </c>
      <c r="CM1108" s="62" t="n">
        <f aca="false">N(N1108)</f>
        <v>1</v>
      </c>
      <c r="CN1108" s="62" t="n">
        <f aca="false">ROUNDUP(H1108/BZ1108,0)</f>
        <v>1</v>
      </c>
      <c r="CO1108" s="62" t="n">
        <f aca="false">ROUNDUP(CJ1108/BZ1108,0)</f>
        <v>0</v>
      </c>
      <c r="CP1108" s="65" t="n">
        <f aca="false">IF(CA1108=1,0,IFERROR(VLOOKUP(BY1108,'Gebinde-Kategorie'!$A$5:$N$45,5,0)+0,0))</f>
        <v>20</v>
      </c>
      <c r="CQ1108" s="65" t="n">
        <f aca="false">IFERROR(IF(OR(CF1108=1,CF1108=2,CF1108=3),N(INDEX(Parameter!$I$5:$I$7,CF1108)),0),0)</f>
        <v>0</v>
      </c>
      <c r="CR1108" s="64" t="n">
        <f aca="false">IF(AND(Parameter!$B$21="Ja",ISNUMBER(W1108),N(X1108)&gt;0),IFERROR(N(INDEX(Parameter!$L$5:$L$7,W1108))*INDEX(Parameter!$E$5:$E$7,W1108)*X1108/SUMIFS($X$7:$X$1843,$W$7:$W$1843,W1108),0),0)</f>
        <v>0</v>
      </c>
      <c r="CS1108" s="62" t="n">
        <f aca="false">IF(AND(OR(CG1108="L1",CG1108="L23",CG1108="LIFT"),H1108&gt;0),CC1108*IF(CR1108&gt;0,CR1108*MAX(1,H1108/X1108),IF(CA1108=1,CE1108,IF(R1108&gt;0,CN1108/R1108,0))/MAX(0.1,N(Parameter!$M$21))),"")</f>
        <v>39.1666666666667</v>
      </c>
      <c r="CT1108" s="64" t="n">
        <f aca="false">IF(CS1108="","",J1108/H1108)</f>
        <v>0.0714285714285714</v>
      </c>
      <c r="CU1108" s="62" t="n">
        <f aca="false">IF(CS1108="","",H1108*G1108)</f>
        <v>3160.22</v>
      </c>
      <c r="CV1108" s="63" t="n">
        <f aca="false">IF(CS1108="","",(CL1108+ROUNDUP(CL1108+MAX(CM1108,2*(J1108/MAX(0.1,N(Einkauf!$C$6))-CL1108)),0))/2)</f>
        <v>0.5</v>
      </c>
      <c r="CW1108" s="62" t="n">
        <f aca="false">IF(CS1108="","",MAX(0,H1108-CV1108)*G1108)</f>
        <v>3047.355</v>
      </c>
      <c r="CX1108" s="62" t="n">
        <f aca="false">IF(CS1108="","",CS1108*MAX(0,1-CV1108/H1108))</f>
        <v>37.7678571428571</v>
      </c>
      <c r="CY1108" s="64" t="n">
        <f aca="false">IF(CS1108="","",PERCENTRANK($CS$7:$CS$1843,CS1108)+PERCENTRANK($CU$7:$CU$1843,CU1108)+1-PERCENTRANK($CT$7:$CT$1843,CT1108))</f>
        <v>2.284</v>
      </c>
      <c r="CZ1108" s="72" t="n">
        <f aca="false">IF(CS1108="","",CHOOSE(MATCH(Einkauf!$C$5,Parameter!$G$23:$G$27,0),CY1108,CS1108,CU1108,-CT1108,CW1108)+ROW()/1000000000)</f>
        <v>2.284001108</v>
      </c>
    </row>
    <row r="1109" customFormat="false" ht="15" hidden="false" customHeight="false" outlineLevel="0" collapsed="false">
      <c r="A1109" s="60" t="s">
        <v>2056</v>
      </c>
      <c r="B1109" s="60" t="s">
        <v>826</v>
      </c>
      <c r="C1109" s="60" t="s">
        <v>206</v>
      </c>
      <c r="D1109" s="60" t="s">
        <v>215</v>
      </c>
      <c r="E1109" s="60"/>
      <c r="F1109" s="60" t="s">
        <v>260</v>
      </c>
      <c r="G1109" s="61" t="n">
        <v>256.99</v>
      </c>
      <c r="H1109" s="62" t="n">
        <f aca="false">MAX(0,IF(AND(Parameter!$B$21="Ja",ISNUMBER(Y1109)),Y1109,IF(Parameter!$B$20="Jahresanfang 2025 + Export",BS1109+BR1109,BR1109)))</f>
        <v>0</v>
      </c>
      <c r="I1109" s="62" t="n">
        <f aca="false">H1109*G1109</f>
        <v>0</v>
      </c>
      <c r="J1109" s="62" t="n">
        <f aca="false">BU1109*Parameter!$B$18</f>
        <v>3</v>
      </c>
      <c r="K1109" s="63" t="n">
        <v>6</v>
      </c>
      <c r="L1109" s="64" t="n">
        <v>0.5</v>
      </c>
      <c r="M1109" s="62" t="n">
        <v>0</v>
      </c>
      <c r="N1109" s="62" t="n">
        <v>5</v>
      </c>
      <c r="O1109" s="65" t="n">
        <v>103</v>
      </c>
      <c r="P1109" s="60" t="s">
        <v>275</v>
      </c>
      <c r="Q1109" s="62" t="n">
        <v>4</v>
      </c>
      <c r="R1109" s="65" t="n">
        <f aca="false">IF(CA1109=1,0,IFERROR(VLOOKUP(BY1109,'Gebinde-Kategorie'!$A$5:$N$45,13,0)+0,0))</f>
        <v>26</v>
      </c>
      <c r="S1109" s="66"/>
      <c r="T1109" s="67"/>
      <c r="U1109" s="67"/>
      <c r="V1109" s="67"/>
      <c r="W1109" s="60"/>
      <c r="X1109" s="62"/>
      <c r="Y1109" s="62"/>
      <c r="Z1109" s="60" t="n">
        <v>3</v>
      </c>
      <c r="AA1109" s="60" t="n">
        <f aca="false">IF(A1109="","",IF(AND(Parameter!$B$21="Ja",ISNUMBER(W1109)),W1109,IF(AND(Parameter!$E$27="Ja",ISNUMBER(Z1109),CD1109&lt;&gt;"Nein"),Z1109,IF(CD1109="2+3",IF(ISNUMBER(SEARCH("grosser Artikel",BV1109)),2,IFERROR(VLOOKUP(BY1109,Parameter!$F$35:$G$64,2,0),2)),IF(OR(CD1109="Nein",CD1109=""),"-",CD1109)))))</f>
        <v>3</v>
      </c>
      <c r="AB1109" s="67"/>
      <c r="AC1109" s="68"/>
      <c r="AD1109" s="62" t="n">
        <f aca="false">AW1109</f>
        <v>5</v>
      </c>
      <c r="AE1109" s="62" t="n">
        <f aca="false">MAX(AW1109,H1109)</f>
        <v>5</v>
      </c>
      <c r="AF1109" s="69"/>
      <c r="AG1109" s="62" t="n">
        <f aca="false">IF(LEFT(Cockpit!$C$5,1)="A",H1109,IF(Parameter!$E$30="MAX-Bestand",IF(CI1109=1,CJ1109,IF(LEFT(Cockpit!$C$5,1)="B",AM1109,MAX(AM1109,H1109))),ROUNDUP(AK1109,0)))</f>
        <v>0</v>
      </c>
      <c r="AH1109" s="62" t="n">
        <f aca="false">IF(CA1109=1,0,ROUNDUP(AG1109/BZ1109,0))</f>
        <v>0</v>
      </c>
      <c r="AI1109" s="64" t="n">
        <f aca="false">IF(CR1109&gt;0,CR1109*MAX(1,AG1109/X1109),IF(CA1109=1,IF(AG1109&lt;=0,0,CE1109*MAX(1,IF(H1109&gt;0,AG1109/H1109,1))),IF(R1109&gt;0,AH1109/R1109,0))/MAX(0.1,N(Parameter!$M$21)))</f>
        <v>0</v>
      </c>
      <c r="AJ1109" s="62" t="n">
        <f aca="false">AI1109*CC1109</f>
        <v>0</v>
      </c>
      <c r="AK1109" s="63" t="n">
        <f aca="false">IF(LEFT(Cockpit!$C$5,1)="A",H1109,IF(CI1109=1,(CL1109+CJ1109)/2,IF(LEFT(Cockpit!$C$5,1)="B",(CL1109+AM1109)/2,MAX((CL1109+AM1109)/2,H1109))))</f>
        <v>0</v>
      </c>
      <c r="AL1109" s="62" t="n">
        <f aca="false">AK1109*G1109</f>
        <v>0</v>
      </c>
      <c r="AM1109" s="62" t="n">
        <f aca="false">ROUNDUP(CL1109+MAX(CM1109,2*(J1109/IF(CH1109&gt;0,CH1109,MAX(0.1,N(Cockpit!$C$6)))-CL1109)),0)</f>
        <v>5</v>
      </c>
      <c r="AN1109" s="63" t="n">
        <f aca="false">IF(AJ1109&gt;0,J1109/AJ1109,-1)</f>
        <v>-1</v>
      </c>
      <c r="AO1109" s="63" t="str">
        <f aca="false">IF(AND(OR(CG1109="L1",CG1109="L23",CG1109="LIFT"),AJ1109&gt;0),SUMIFS($AJ$7:$AJ$1843,$CG$7:$CG$1843,CG1109,$AN$7:$AN$1843,"&gt;"&amp;AN1109)+SUMIFS($AJ$7:$AJ$1843,$CG$7:$CG$1843,CG1109,$AN$7:$AN$1843,AN1109,$BX$7:$BX$1843,"&lt;="&amp;BX1109),"")</f>
        <v/>
      </c>
      <c r="AP1109" s="70" t="n">
        <f aca="false">IF(AO1109="",0,MAX(0,MIN(1,(IF(CG1109="L1",Parameter!$H$5,IF(CG1109="L23",Parameter!$H$6+Parameter!$H$7,Parameter!$H$5+Parameter!$H$6+Parameter!$H$7))-(AO1109-AJ1109))/AJ1109)))</f>
        <v>0</v>
      </c>
      <c r="AQ1109" s="62" t="n">
        <f aca="false">IF(LEFT(Cockpit!$I$5,1)="A",H1109,IF(Parameter!$E$30="MAX-Bestand",IF(CI1109=1,CJ1109,IF(LEFT(Cockpit!$I$5,1)="B",AW1109,MAX(AW1109,H1109))),ROUNDUP(AU1109,0)))</f>
        <v>3</v>
      </c>
      <c r="AR1109" s="62" t="n">
        <f aca="false">IF(CA1109=1,0,ROUNDUP(AQ1109/BZ1109,0))</f>
        <v>1</v>
      </c>
      <c r="AS1109" s="64" t="n">
        <f aca="false">IF(CR1109&gt;0,CR1109*MAX(1,AQ1109/X1109),IF(CA1109=1,IF(AQ1109&lt;=0,0,CE1109*MAX(1,IF(H1109&gt;0,AQ1109/H1109,1))),IF(R1109&gt;0,AR1109/R1109,0))/MAX(0.1,N(Parameter!$M$21)))</f>
        <v>0.0384615384615385</v>
      </c>
      <c r="AT1109" s="62" t="n">
        <f aca="false">AS1109*CC1109</f>
        <v>9.42307692307692</v>
      </c>
      <c r="AU1109" s="63" t="n">
        <f aca="false">IF(LEFT(Cockpit!$I$5,1)="A",H1109,IF(CI1109=1,(CL1109+CJ1109)/2,IF(LEFT(Cockpit!$I$5,1)="B",(CL1109+AW1109)/2,MAX((CL1109+AW1109)/2,H1109))))</f>
        <v>2.5</v>
      </c>
      <c r="AV1109" s="62" t="n">
        <f aca="false">AU1109*G1109</f>
        <v>642.475</v>
      </c>
      <c r="AW1109" s="62" t="n">
        <f aca="false">ROUNDUP(CL1109+MAX(CM1109,2*(J1109/IF(CH1109&gt;0,CH1109,MAX(0.1,N(Cockpit!$I$6)))-CL1109)),0)</f>
        <v>5</v>
      </c>
      <c r="AX1109" s="63" t="n">
        <f aca="false">IF(AT1109&gt;0,J1109/AT1109,-1)</f>
        <v>0.318367346938776</v>
      </c>
      <c r="AY1109" s="63" t="n">
        <f aca="false">IF(AND(OR(CG1109="L1",CG1109="L23",CG1109="LIFT"),AT1109&gt;0),SUMIFS($AT$7:$AT$1843,$CG$7:$CG$1843,CG1109,$AX$7:$AX$1843,"&gt;"&amp;AX1109)+SUMIFS($AT$7:$AT$1843,$CG$7:$CG$1843,CG1109,$AX$7:$AX$1843,AX1109,$BX$7:$BX$1843,"&lt;="&amp;BX1109),"")</f>
        <v>13816.3429487179</v>
      </c>
      <c r="AZ1109" s="70" t="n">
        <f aca="false">IF(AY1109="",0,MAX(0,MIN(1,(IF(CG1109="L1",Parameter!$H$5,IF(CG1109="L23",Parameter!$H$6+Parameter!$H$7,Parameter!$H$5+Parameter!$H$6+Parameter!$H$7))-(AY1109-AT1109))/AT1109)))</f>
        <v>1</v>
      </c>
      <c r="BA1109" s="62" t="n">
        <f aca="false">IF(LEFT(Cockpit!$O$5,1)="A",H1109,IF(Parameter!$E$30="MAX-Bestand",IF(CI1109=1,CJ1109,IF(LEFT(Cockpit!$O$5,1)="B",BG1109,MAX(BG1109,H1109))),ROUNDUP(BE1109,0)))</f>
        <v>3</v>
      </c>
      <c r="BB1109" s="62" t="n">
        <f aca="false">IF(CA1109=1,0,ROUNDUP(BA1109/BZ1109,0))</f>
        <v>1</v>
      </c>
      <c r="BC1109" s="64" t="n">
        <f aca="false">IF(CR1109&gt;0,CR1109*MAX(1,BA1109/X1109),IF(CA1109=1,IF(BA1109&lt;=0,0,CE1109*MAX(1,IF(H1109&gt;0,BA1109/H1109,1))),IF(R1109&gt;0,BB1109/R1109,0))/MAX(0.1,N(Parameter!$M$21)))</f>
        <v>0.0384615384615385</v>
      </c>
      <c r="BD1109" s="62" t="n">
        <f aca="false">BC1109*CC1109</f>
        <v>9.42307692307692</v>
      </c>
      <c r="BE1109" s="63" t="n">
        <f aca="false">IF(LEFT(Cockpit!$O$5,1)="A",H1109,IF(CI1109=1,(CL1109+CJ1109)/2,IF(LEFT(Cockpit!$O$5,1)="B",(CL1109+BG1109)/2,MAX((CL1109+BG1109)/2,H1109))))</f>
        <v>2.5</v>
      </c>
      <c r="BF1109" s="62" t="n">
        <f aca="false">BE1109*G1109</f>
        <v>642.475</v>
      </c>
      <c r="BG1109" s="62" t="n">
        <f aca="false">ROUNDUP(CL1109+MAX(CM1109,2*(J1109/IF(CH1109&gt;0,CH1109,MAX(0.1,N(Cockpit!$O$6)))-CL1109)),0)</f>
        <v>5</v>
      </c>
      <c r="BH1109" s="63" t="n">
        <f aca="false">IF(BD1109&gt;0,J1109/BD1109,-1)</f>
        <v>0.318367346938776</v>
      </c>
      <c r="BI1109" s="63" t="n">
        <f aca="false">IF(AND(OR(CG1109="L1",CG1109="L23",CG1109="LIFT"),BD1109&gt;0),SUMIFS($BD$7:$BD$1843,$CG$7:$CG$1843,CG1109,$BH$7:$BH$1843,"&gt;"&amp;BH1109)+SUMIFS($BD$7:$BD$1843,$CG$7:$CG$1843,CG1109,$BH$7:$BH$1843,BH1109,$BX$7:$BX$1843,"&lt;="&amp;BX1109),"")</f>
        <v>11745.6350732601</v>
      </c>
      <c r="BJ1109" s="70" t="n">
        <f aca="false">IF(BI1109="",0,MAX(0,MIN(1,(IF(CG1109="L1",Parameter!$H$5,IF(CG1109="L23",Parameter!$H$6+Parameter!$H$7,Parameter!$H$5+Parameter!$H$6+Parameter!$H$7))-(BI1109-BD1109))/BD1109)))</f>
        <v>1</v>
      </c>
      <c r="BK1109" s="60" t="str">
        <f aca="false">IF(AJ1109&lt;=0,"",IF(CG1109="Aussen","Aussenlager",IF(CG1109="-","Nicht im Lift",IF(AP1109&gt;=1,"Lift",IF(AP1109&lt;=0,"Aussenlager","teilweise")))))</f>
        <v/>
      </c>
      <c r="BL1109" s="60" t="str">
        <f aca="false">IF(AT1109&lt;=0,"",IF(CG1109="Aussen","Aussenlager",IF(CG1109="-","Nicht im Lift",IF(AZ1109&gt;=1,"Lift",IF(AZ1109&lt;=0,"Aussenlager","teilweise")))))</f>
        <v>Lift</v>
      </c>
      <c r="BM1109" s="60" t="str">
        <f aca="false">IF(BD1109&lt;=0,"",IF(CG1109="Aussen","Aussenlager",IF(CG1109="-","Nicht im Lift",IF(BJ1109&gt;=1,"Lift",IF(BJ1109&lt;=0,"Aussenlager","teilweise")))))</f>
        <v>Lift</v>
      </c>
      <c r="BN1109" s="60" t="str">
        <f aca="false">IF(A1109="","",IF(BW1109=1,"Neu; ","")&amp;IF(AND(BW1109=0,BR1109&lt;0),"negativer Bestand (Export "&amp;BR1109&amp;"); ","")&amp;IF(J1109&lt;=0,"Kein Verbrauch; ","")&amp;IF(CR1109&gt;0,"Lift "&amp;W1109&amp;" lt. Liftbericht (Fach "&amp;X1109&amp;" Stk); ",IF(CB1109=1,"Gebinde geschätzt ("&amp;T1109&amp;"); ",IF(CA1109=1,"Lose – Tablare geschätzt; ","")))&amp;IF(H1109&gt;AW1109,"Überbestand "&amp;ROUND(H1109-AW1109,0)&amp;" Stk / CHF "&amp;ROUND((H1109-AW1109)*G1109,0)&amp;"; ","")&amp;IF(AND(CI1109=1,CJ1109&lt;CK1109),"MAX &lt; MB+LG; ","")&amp;IF(AND(CQ1109&gt;0,CP1109*10&gt;CQ1109),"zu hoch für Tablar; ","")&amp;IF(AND(BW1109=0,OR(CI1109=1,AB1109&lt;&gt;"",U1109&lt;&gt;"",V1109&lt;&gt;"",AC1109&lt;&gt;"")),"manuell übersteuert; ","")&amp;IF(AND(CA1109=0,R1109=0),"Gebinde unbekannt / Stellmass fehlt; ","")&amp;IF(AND(CA1109=0,N(V1109)&lt;=0,N(Q1109)&lt;=0),"Menge pro Gebinde fehlt (Ist = 1 Gebinde); ","")&amp;BV1109)</f>
        <v>negativer Bestand (Export -1); </v>
      </c>
      <c r="BO1109" s="60"/>
      <c r="BP1109" s="60"/>
      <c r="BQ1109" s="67"/>
      <c r="BR1109" s="62" t="n">
        <v>-1</v>
      </c>
      <c r="BS1109" s="62" t="n">
        <v>1</v>
      </c>
      <c r="BT1109" s="61" t="n">
        <v>-227.999999999999</v>
      </c>
      <c r="BU1109" s="62" t="n">
        <v>3</v>
      </c>
      <c r="BV1109" s="60"/>
      <c r="BW1109" s="65" t="n">
        <v>0</v>
      </c>
      <c r="BX1109" s="65" t="n">
        <v>1109</v>
      </c>
      <c r="BY1109" s="60" t="str">
        <f aca="false">IF(U1109&lt;&gt;"",UPPER(TRIM(U1109)),IF(CB1109=1,UPPER(VLOOKUP(T1109,Parameter!$I$27:$K$29,2,0)),IF(P1109="","LOSE",P1109)))</f>
        <v>S52</v>
      </c>
      <c r="BZ1109" s="62" t="n">
        <f aca="false">IF(BY1109="LOSE",1,IF(N(V1109)&gt;0,V1109,IF(CB1109=1,MAX(1,N(VLOOKUP(T1109,Parameter!$I$27:$K$29,3,0)),H1109,N(N1109)),IF(N(Q1109)&gt;0,Q1109,MAX(1,H1109)))))</f>
        <v>4</v>
      </c>
      <c r="CA1109" s="65" t="n">
        <f aca="false">IF(BY1109="LOSE",1,0)</f>
        <v>0</v>
      </c>
      <c r="CB1109" s="65" t="n">
        <f aca="false">IF(AND(U1109="",OR(P1109="",P1109="LOSE"),T1109&lt;&gt;"",N(S1109)&lt;=0,ISNUMBER(MATCH(T1109,Parameter!$I$27:$I$29,0))),1,0)</f>
        <v>0</v>
      </c>
      <c r="CC1109" s="65" t="n">
        <f aca="false">IF(CR1109&gt;0,INDEX(Parameter!$H$5:$H$7,W1109)/INDEX(Parameter!$E$5:$E$7,W1109),IF(AND(CA1109=0,N(IFERROR(VLOOKUP(BY1109,'Gebinde-Kategorie'!$A$5:$N$45,14,0),0))&gt;0),VLOOKUP(BY1109,'Gebinde-Kategorie'!$A$5:$N$45,14,0)*10+Parameter!$M$23,Parameter!$M$24))</f>
        <v>245</v>
      </c>
      <c r="CD1109" s="60" t="str">
        <f aca="false">IF(AND(Parameter!$B$19="Ja",E1109&lt;&gt;"",ISNUMBER(MATCH(E1109,Parameter!$I$35:$I$52,0))),VLOOKUP(E1109,Parameter!$I$35:$J$52,2,0),IFERROR(VLOOKUP(D1109,Parameter!$A$35:$C$64,2,0),"Nein"))</f>
        <v>2+3</v>
      </c>
      <c r="CE1109" s="64" t="n">
        <f aca="false">IF(CA1109=0,0,IF(N(S1109)&gt;0,S1109,IFERROR(VLOOKUP(D1109,Parameter!$A$35:$C$64,3,0)+0,0)))</f>
        <v>0</v>
      </c>
      <c r="CF1109" s="60" t="n">
        <f aca="false">IF(AB1109&lt;&gt;"",AB1109,AA1109)</f>
        <v>3</v>
      </c>
      <c r="CG1109" s="60" t="str">
        <f aca="false">IF(OR(CF1109=1,CF1109=2,CF1109=3),IF(Parameter!$E$27="Ja","LIFT",IF(CF1109=1,"L1","L23")),IF(CF1109="Aussen","Aussen","-"))</f>
        <v>LIFT</v>
      </c>
      <c r="CH1109" s="71" t="n">
        <f aca="false">IF(N(AC1109)&gt;0,AC1109,0)</f>
        <v>0</v>
      </c>
      <c r="CI1109" s="65" t="n">
        <f aca="false">IF(ISNUMBER(AF1109),1,0)</f>
        <v>0</v>
      </c>
      <c r="CJ1109" s="62" t="n">
        <f aca="false">N(AF1109)</f>
        <v>0</v>
      </c>
      <c r="CK1109" s="62" t="n">
        <f aca="false">N(M1109)+N(N1109)</f>
        <v>5</v>
      </c>
      <c r="CL1109" s="62" t="n">
        <f aca="false">N(M1109)</f>
        <v>0</v>
      </c>
      <c r="CM1109" s="62" t="n">
        <f aca="false">N(N1109)</f>
        <v>5</v>
      </c>
      <c r="CN1109" s="62" t="n">
        <f aca="false">ROUNDUP(H1109/BZ1109,0)</f>
        <v>0</v>
      </c>
      <c r="CO1109" s="62" t="n">
        <f aca="false">ROUNDUP(CJ1109/BZ1109,0)</f>
        <v>0</v>
      </c>
      <c r="CP1109" s="65" t="n">
        <f aca="false">IF(CA1109=1,0,IFERROR(VLOOKUP(BY1109,'Gebinde-Kategorie'!$A$5:$N$45,5,0)+0,0))</f>
        <v>21</v>
      </c>
      <c r="CQ1109" s="65" t="n">
        <f aca="false">IFERROR(IF(OR(CF1109=1,CF1109=2,CF1109=3),N(INDEX(Parameter!$I$5:$I$7,CF1109)),0),0)</f>
        <v>0</v>
      </c>
      <c r="CR1109" s="64" t="n">
        <f aca="false">IF(AND(Parameter!$B$21="Ja",ISNUMBER(W1109),N(X1109)&gt;0),IFERROR(N(INDEX(Parameter!$L$5:$L$7,W1109))*INDEX(Parameter!$E$5:$E$7,W1109)*X1109/SUMIFS($X$7:$X$1843,$W$7:$W$1843,W1109),0),0)</f>
        <v>0</v>
      </c>
      <c r="CS1109" s="62" t="str">
        <f aca="false">IF(AND(OR(CG1109="L1",CG1109="L23",CG1109="LIFT"),H1109&gt;0),CC1109*IF(CR1109&gt;0,CR1109*MAX(1,H1109/X1109),IF(CA1109=1,CE1109,IF(R1109&gt;0,CN1109/R1109,0))/MAX(0.1,N(Parameter!$M$21))),"")</f>
        <v/>
      </c>
      <c r="CT1109" s="64" t="str">
        <f aca="false">IF(CS1109="","",J1109/H1109)</f>
        <v/>
      </c>
      <c r="CU1109" s="62" t="str">
        <f aca="false">IF(CS1109="","",H1109*G1109)</f>
        <v/>
      </c>
      <c r="CV1109" s="63" t="str">
        <f aca="false">IF(CS1109="","",(CL1109+ROUNDUP(CL1109+MAX(CM1109,2*(J1109/MAX(0.1,N(Einkauf!$C$6))-CL1109)),0))/2)</f>
        <v/>
      </c>
      <c r="CW1109" s="62" t="str">
        <f aca="false">IF(CS1109="","",MAX(0,H1109-CV1109)*G1109)</f>
        <v/>
      </c>
      <c r="CX1109" s="62" t="str">
        <f aca="false">IF(CS1109="","",CS1109*MAX(0,1-CV1109/H1109))</f>
        <v/>
      </c>
      <c r="CY1109" s="64" t="str">
        <f aca="false">IF(CS1109="","",PERCENTRANK($CS$7:$CS$1843,CS1109)+PERCENTRANK($CU$7:$CU$1843,CU1109)+1-PERCENTRANK($CT$7:$CT$1843,CT1109))</f>
        <v/>
      </c>
      <c r="CZ1109" s="72" t="str">
        <f aca="false">IF(CS1109="","",CHOOSE(MATCH(Einkauf!$C$5,Parameter!$G$23:$G$27,0),CY1109,CS1109,CU1109,-CT1109,CW1109)+ROW()/1000000000)</f>
        <v/>
      </c>
    </row>
    <row r="1110" customFormat="false" ht="15" hidden="false" customHeight="false" outlineLevel="0" collapsed="false">
      <c r="A1110" s="60" t="s">
        <v>2057</v>
      </c>
      <c r="B1110" s="60" t="s">
        <v>2058</v>
      </c>
      <c r="C1110" s="60" t="s">
        <v>206</v>
      </c>
      <c r="D1110" s="60" t="s">
        <v>226</v>
      </c>
      <c r="E1110" s="60"/>
      <c r="F1110" s="60" t="s">
        <v>260</v>
      </c>
      <c r="G1110" s="61" t="n">
        <v>45.6</v>
      </c>
      <c r="H1110" s="62" t="n">
        <f aca="false">MAX(0,IF(AND(Parameter!$B$21="Ja",ISNUMBER(Y1110)),Y1110,IF(Parameter!$B$20="Jahresanfang 2025 + Export",BS1110+BR1110,BR1110)))</f>
        <v>0</v>
      </c>
      <c r="I1110" s="62" t="n">
        <f aca="false">H1110*G1110</f>
        <v>0</v>
      </c>
      <c r="J1110" s="62" t="n">
        <f aca="false">BU1110*Parameter!$B$18</f>
        <v>0</v>
      </c>
      <c r="K1110" s="63" t="n">
        <v>2.5</v>
      </c>
      <c r="L1110" s="64" t="n">
        <v>0</v>
      </c>
      <c r="M1110" s="62" t="n">
        <v>0</v>
      </c>
      <c r="N1110" s="62" t="n">
        <v>1</v>
      </c>
      <c r="O1110" s="65" t="n">
        <v>21</v>
      </c>
      <c r="P1110" s="60" t="s">
        <v>210</v>
      </c>
      <c r="Q1110" s="62"/>
      <c r="R1110" s="65" t="n">
        <f aca="false">IF(CA1110=1,0,IFERROR(VLOOKUP(BY1110,'Gebinde-Kategorie'!$A$5:$N$45,13,0)+0,0))</f>
        <v>26</v>
      </c>
      <c r="S1110" s="66"/>
      <c r="T1110" s="67" t="s">
        <v>317</v>
      </c>
      <c r="U1110" s="67"/>
      <c r="V1110" s="67"/>
      <c r="W1110" s="60"/>
      <c r="X1110" s="62"/>
      <c r="Y1110" s="62"/>
      <c r="Z1110" s="60" t="n">
        <v>3</v>
      </c>
      <c r="AA1110" s="60" t="n">
        <f aca="false">IF(A1110="","",IF(AND(Parameter!$B$21="Ja",ISNUMBER(W1110)),W1110,IF(AND(Parameter!$E$27="Ja",ISNUMBER(Z1110),CD1110&lt;&gt;"Nein"),Z1110,IF(CD1110="2+3",IF(ISNUMBER(SEARCH("grosser Artikel",BV1110)),2,IFERROR(VLOOKUP(BY1110,Parameter!$F$35:$G$64,2,0),2)),IF(OR(CD1110="Nein",CD1110=""),"-",CD1110)))))</f>
        <v>3</v>
      </c>
      <c r="AB1110" s="67"/>
      <c r="AC1110" s="68"/>
      <c r="AD1110" s="62" t="n">
        <f aca="false">AW1110</f>
        <v>1</v>
      </c>
      <c r="AE1110" s="62" t="n">
        <f aca="false">MAX(AW1110,H1110)</f>
        <v>1</v>
      </c>
      <c r="AF1110" s="69"/>
      <c r="AG1110" s="62" t="n">
        <f aca="false">IF(LEFT(Cockpit!$C$5,1)="A",H1110,IF(Parameter!$E$30="MAX-Bestand",IF(CI1110=1,CJ1110,IF(LEFT(Cockpit!$C$5,1)="B",AM1110,MAX(AM1110,H1110))),ROUNDUP(AK1110,0)))</f>
        <v>0</v>
      </c>
      <c r="AH1110" s="62" t="n">
        <f aca="false">IF(CA1110=1,0,ROUNDUP(AG1110/BZ1110,0))</f>
        <v>0</v>
      </c>
      <c r="AI1110" s="64" t="n">
        <f aca="false">IF(CR1110&gt;0,CR1110*MAX(1,AG1110/X1110),IF(CA1110=1,IF(AG1110&lt;=0,0,CE1110*MAX(1,IF(H1110&gt;0,AG1110/H1110,1))),IF(R1110&gt;0,AH1110/R1110,0))/MAX(0.1,N(Parameter!$M$21)))</f>
        <v>0</v>
      </c>
      <c r="AJ1110" s="62" t="n">
        <f aca="false">AI1110*CC1110</f>
        <v>0</v>
      </c>
      <c r="AK1110" s="63" t="n">
        <f aca="false">IF(LEFT(Cockpit!$C$5,1)="A",H1110,IF(CI1110=1,(CL1110+CJ1110)/2,IF(LEFT(Cockpit!$C$5,1)="B",(CL1110+AM1110)/2,MAX((CL1110+AM1110)/2,H1110))))</f>
        <v>0</v>
      </c>
      <c r="AL1110" s="62" t="n">
        <f aca="false">AK1110*G1110</f>
        <v>0</v>
      </c>
      <c r="AM1110" s="62" t="n">
        <f aca="false">ROUNDUP(CL1110+MAX(CM1110,2*(J1110/IF(CH1110&gt;0,CH1110,MAX(0.1,N(Cockpit!$C$6)))-CL1110)),0)</f>
        <v>1</v>
      </c>
      <c r="AN1110" s="63" t="n">
        <f aca="false">IF(AJ1110&gt;0,J1110/AJ1110,-1)</f>
        <v>-1</v>
      </c>
      <c r="AO1110" s="63" t="str">
        <f aca="false">IF(AND(OR(CG1110="L1",CG1110="L23",CG1110="LIFT"),AJ1110&gt;0),SUMIFS($AJ$7:$AJ$1843,$CG$7:$CG$1843,CG1110,$AN$7:$AN$1843,"&gt;"&amp;AN1110)+SUMIFS($AJ$7:$AJ$1843,$CG$7:$CG$1843,CG1110,$AN$7:$AN$1843,AN1110,$BX$7:$BX$1843,"&lt;="&amp;BX1110),"")</f>
        <v/>
      </c>
      <c r="AP1110" s="70" t="n">
        <f aca="false">IF(AO1110="",0,MAX(0,MIN(1,(IF(CG1110="L1",Parameter!$H$5,IF(CG1110="L23",Parameter!$H$6+Parameter!$H$7,Parameter!$H$5+Parameter!$H$6+Parameter!$H$7))-(AO1110-AJ1110))/AJ1110)))</f>
        <v>0</v>
      </c>
      <c r="AQ1110" s="62" t="n">
        <f aca="false">IF(LEFT(Cockpit!$I$5,1)="A",H1110,IF(Parameter!$E$30="MAX-Bestand",IF(CI1110=1,CJ1110,IF(LEFT(Cockpit!$I$5,1)="B",AW1110,MAX(AW1110,H1110))),ROUNDUP(AU1110,0)))</f>
        <v>1</v>
      </c>
      <c r="AR1110" s="62" t="n">
        <f aca="false">IF(CA1110=1,0,ROUNDUP(AQ1110/BZ1110,0))</f>
        <v>1</v>
      </c>
      <c r="AS1110" s="64" t="n">
        <f aca="false">IF(CR1110&gt;0,CR1110*MAX(1,AQ1110/X1110),IF(CA1110=1,IF(AQ1110&lt;=0,0,CE1110*MAX(1,IF(H1110&gt;0,AQ1110/H1110,1))),IF(R1110&gt;0,AR1110/R1110,0))/MAX(0.1,N(Parameter!$M$21)))</f>
        <v>0.0384615384615385</v>
      </c>
      <c r="AT1110" s="62" t="n">
        <f aca="false">AS1110*CC1110</f>
        <v>5.96153846153846</v>
      </c>
      <c r="AU1110" s="63" t="n">
        <f aca="false">IF(LEFT(Cockpit!$I$5,1)="A",H1110,IF(CI1110=1,(CL1110+CJ1110)/2,IF(LEFT(Cockpit!$I$5,1)="B",(CL1110+AW1110)/2,MAX((CL1110+AW1110)/2,H1110))))</f>
        <v>0.5</v>
      </c>
      <c r="AV1110" s="62" t="n">
        <f aca="false">AU1110*G1110</f>
        <v>22.8</v>
      </c>
      <c r="AW1110" s="62" t="n">
        <f aca="false">ROUNDUP(CL1110+MAX(CM1110,2*(J1110/IF(CH1110&gt;0,CH1110,MAX(0.1,N(Cockpit!$I$6)))-CL1110)),0)</f>
        <v>1</v>
      </c>
      <c r="AX1110" s="63" t="n">
        <f aca="false">IF(AT1110&gt;0,J1110/AT1110,-1)</f>
        <v>0</v>
      </c>
      <c r="AY1110" s="63" t="n">
        <f aca="false">IF(AND(OR(CG1110="L1",CG1110="L23",CG1110="LIFT"),AT1110&gt;0),SUMIFS($AT$7:$AT$1843,$CG$7:$CG$1843,CG1110,$AX$7:$AX$1843,"&gt;"&amp;AX1110)+SUMIFS($AT$7:$AT$1843,$CG$7:$CG$1843,CG1110,$AX$7:$AX$1843,AX1110,$BX$7:$BX$1843,"&lt;="&amp;BX1110),"")</f>
        <v>34856.2426739927</v>
      </c>
      <c r="AZ1110" s="70" t="n">
        <f aca="false">IF(AY1110="",0,MAX(0,MIN(1,(IF(CG1110="L1",Parameter!$H$5,IF(CG1110="L23",Parameter!$H$6+Parameter!$H$7,Parameter!$H$5+Parameter!$H$6+Parameter!$H$7))-(AY1110-AT1110))/AT1110)))</f>
        <v>1</v>
      </c>
      <c r="BA1110" s="62" t="n">
        <f aca="false">IF(LEFT(Cockpit!$O$5,1)="A",H1110,IF(Parameter!$E$30="MAX-Bestand",IF(CI1110=1,CJ1110,IF(LEFT(Cockpit!$O$5,1)="B",BG1110,MAX(BG1110,H1110))),ROUNDUP(BE1110,0)))</f>
        <v>1</v>
      </c>
      <c r="BB1110" s="62" t="n">
        <f aca="false">IF(CA1110=1,0,ROUNDUP(BA1110/BZ1110,0))</f>
        <v>1</v>
      </c>
      <c r="BC1110" s="64" t="n">
        <f aca="false">IF(CR1110&gt;0,CR1110*MAX(1,BA1110/X1110),IF(CA1110=1,IF(BA1110&lt;=0,0,CE1110*MAX(1,IF(H1110&gt;0,BA1110/H1110,1))),IF(R1110&gt;0,BB1110/R1110,0))/MAX(0.1,N(Parameter!$M$21)))</f>
        <v>0.0384615384615385</v>
      </c>
      <c r="BD1110" s="62" t="n">
        <f aca="false">BC1110*CC1110</f>
        <v>5.96153846153846</v>
      </c>
      <c r="BE1110" s="63" t="n">
        <f aca="false">IF(LEFT(Cockpit!$O$5,1)="A",H1110,IF(CI1110=1,(CL1110+CJ1110)/2,IF(LEFT(Cockpit!$O$5,1)="B",(CL1110+BG1110)/2,MAX((CL1110+BG1110)/2,H1110))))</f>
        <v>0.5</v>
      </c>
      <c r="BF1110" s="62" t="n">
        <f aca="false">BE1110*G1110</f>
        <v>22.8</v>
      </c>
      <c r="BG1110" s="62" t="n">
        <f aca="false">ROUNDUP(CL1110+MAX(CM1110,2*(J1110/IF(CH1110&gt;0,CH1110,MAX(0.1,N(Cockpit!$O$6)))-CL1110)),0)</f>
        <v>1</v>
      </c>
      <c r="BH1110" s="63" t="n">
        <f aca="false">IF(BD1110&gt;0,J1110/BD1110,-1)</f>
        <v>0</v>
      </c>
      <c r="BI1110" s="63" t="n">
        <f aca="false">IF(AND(OR(CG1110="L1",CG1110="L23",CG1110="LIFT"),BD1110&gt;0),SUMIFS($BD$7:$BD$1843,$CG$7:$CG$1843,CG1110,$BH$7:$BH$1843,"&gt;"&amp;BH1110)+SUMIFS($BD$7:$BD$1843,$CG$7:$CG$1843,CG1110,$BH$7:$BH$1843,BH1110,$BX$7:$BX$1843,"&lt;="&amp;BX1110),"")</f>
        <v>28841.5493341404</v>
      </c>
      <c r="BJ1110" s="70" t="n">
        <f aca="false">IF(BI1110="",0,MAX(0,MIN(1,(IF(CG1110="L1",Parameter!$H$5,IF(CG1110="L23",Parameter!$H$6+Parameter!$H$7,Parameter!$H$5+Parameter!$H$6+Parameter!$H$7))-(BI1110-BD1110))/BD1110)))</f>
        <v>1</v>
      </c>
      <c r="BK1110" s="60" t="str">
        <f aca="false">IF(AJ1110&lt;=0,"",IF(CG1110="Aussen","Aussenlager",IF(CG1110="-","Nicht im Lift",IF(AP1110&gt;=1,"Lift",IF(AP1110&lt;=0,"Aussenlager","teilweise")))))</f>
        <v/>
      </c>
      <c r="BL1110" s="60" t="str">
        <f aca="false">IF(AT1110&lt;=0,"",IF(CG1110="Aussen","Aussenlager",IF(CG1110="-","Nicht im Lift",IF(AZ1110&gt;=1,"Lift",IF(AZ1110&lt;=0,"Aussenlager","teilweise")))))</f>
        <v>Lift</v>
      </c>
      <c r="BM1110" s="60" t="str">
        <f aca="false">IF(BD1110&lt;=0,"",IF(CG1110="Aussen","Aussenlager",IF(CG1110="-","Nicht im Lift",IF(BJ1110&gt;=1,"Lift",IF(BJ1110&lt;=0,"Aussenlager","teilweise")))))</f>
        <v>Lift</v>
      </c>
      <c r="BN1110" s="60" t="str">
        <f aca="false">IF(A1110="","",IF(BW1110=1,"Neu; ","")&amp;IF(AND(BW1110=0,BR1110&lt;0),"negativer Bestand (Export "&amp;BR1110&amp;"); ","")&amp;IF(J1110&lt;=0,"Kein Verbrauch; ","")&amp;IF(CR1110&gt;0,"Lift "&amp;W1110&amp;" lt. Liftbericht (Fach "&amp;X1110&amp;" Stk); ",IF(CB1110=1,"Gebinde geschätzt ("&amp;T1110&amp;"); ",IF(CA1110=1,"Lose – Tablare geschätzt; ","")))&amp;IF(H1110&gt;AW1110,"Überbestand "&amp;ROUND(H1110-AW1110,0)&amp;" Stk / CHF "&amp;ROUND((H1110-AW1110)*G1110,0)&amp;"; ","")&amp;IF(AND(CI1110=1,CJ1110&lt;CK1110),"MAX &lt; MB+LG; ","")&amp;IF(AND(CQ1110&gt;0,CP1110*10&gt;CQ1110),"zu hoch für Tablar; ","")&amp;IF(AND(BW1110=0,OR(CI1110=1,AB1110&lt;&gt;"",U1110&lt;&gt;"",V1110&lt;&gt;"",AC1110&lt;&gt;"")),"manuell übersteuert; ","")&amp;IF(AND(CA1110=0,R1110=0),"Gebinde unbekannt / Stellmass fehlt; ","")&amp;IF(AND(CA1110=0,N(V1110)&lt;=0,N(Q1110)&lt;=0),"Menge pro Gebinde fehlt (Ist = 1 Gebinde); ","")&amp;BV1110)</f>
        <v>negativer Bestand (Export -5); Kein Verbrauch; Gebinde geschätzt (Klein); Menge pro Gebinde fehlt (Ist = 1 Gebinde); </v>
      </c>
      <c r="BO1110" s="60"/>
      <c r="BP1110" s="60"/>
      <c r="BQ1110" s="67"/>
      <c r="BR1110" s="62" t="n">
        <v>-5</v>
      </c>
      <c r="BS1110" s="62" t="n">
        <v>5</v>
      </c>
      <c r="BT1110" s="61" t="n">
        <v>-228</v>
      </c>
      <c r="BU1110" s="62" t="n">
        <v>0</v>
      </c>
      <c r="BV1110" s="60"/>
      <c r="BW1110" s="65" t="n">
        <v>0</v>
      </c>
      <c r="BX1110" s="65" t="n">
        <v>1110</v>
      </c>
      <c r="BY1110" s="60" t="str">
        <f aca="false">IF(U1110&lt;&gt;"",UPPER(TRIM(U1110)),IF(CB1110=1,UPPER(VLOOKUP(T1110,Parameter!$I$27:$K$29,2,0)),IF(P1110="","LOSE",P1110)))</f>
        <v>S51</v>
      </c>
      <c r="BZ1110" s="62" t="n">
        <f aca="false">IF(BY1110="LOSE",1,IF(N(V1110)&gt;0,V1110,IF(CB1110=1,MAX(1,N(VLOOKUP(T1110,Parameter!$I$27:$K$29,3,0)),H1110,N(N1110)),IF(N(Q1110)&gt;0,Q1110,MAX(1,H1110)))))</f>
        <v>20</v>
      </c>
      <c r="CA1110" s="65" t="n">
        <f aca="false">IF(BY1110="LOSE",1,0)</f>
        <v>0</v>
      </c>
      <c r="CB1110" s="65" t="n">
        <f aca="false">IF(AND(U1110="",OR(P1110="",P1110="LOSE"),T1110&lt;&gt;"",N(S1110)&lt;=0,ISNUMBER(MATCH(T1110,Parameter!$I$27:$I$29,0))),1,0)</f>
        <v>1</v>
      </c>
      <c r="CC1110" s="65" t="n">
        <f aca="false">IF(CR1110&gt;0,INDEX(Parameter!$H$5:$H$7,W1110)/INDEX(Parameter!$E$5:$E$7,W1110),IF(AND(CA1110=0,N(IFERROR(VLOOKUP(BY1110,'Gebinde-Kategorie'!$A$5:$N$45,14,0),0))&gt;0),VLOOKUP(BY1110,'Gebinde-Kategorie'!$A$5:$N$45,14,0)*10+Parameter!$M$23,Parameter!$M$24))</f>
        <v>155</v>
      </c>
      <c r="CD1110" s="60" t="str">
        <f aca="false">IF(AND(Parameter!$B$19="Ja",E1110&lt;&gt;"",ISNUMBER(MATCH(E1110,Parameter!$I$35:$I$52,0))),VLOOKUP(E1110,Parameter!$I$35:$J$52,2,0),IFERROR(VLOOKUP(D1110,Parameter!$A$35:$C$64,2,0),"Nein"))</f>
        <v>2+3</v>
      </c>
      <c r="CE1110" s="64" t="n">
        <f aca="false">IF(CA1110=0,0,IF(N(S1110)&gt;0,S1110,IFERROR(VLOOKUP(D1110,Parameter!$A$35:$C$64,3,0)+0,0)))</f>
        <v>0</v>
      </c>
      <c r="CF1110" s="60" t="n">
        <f aca="false">IF(AB1110&lt;&gt;"",AB1110,AA1110)</f>
        <v>3</v>
      </c>
      <c r="CG1110" s="60" t="str">
        <f aca="false">IF(OR(CF1110=1,CF1110=2,CF1110=3),IF(Parameter!$E$27="Ja","LIFT",IF(CF1110=1,"L1","L23")),IF(CF1110="Aussen","Aussen","-"))</f>
        <v>LIFT</v>
      </c>
      <c r="CH1110" s="71" t="n">
        <f aca="false">IF(N(AC1110)&gt;0,AC1110,0)</f>
        <v>0</v>
      </c>
      <c r="CI1110" s="65" t="n">
        <f aca="false">IF(ISNUMBER(AF1110),1,0)</f>
        <v>0</v>
      </c>
      <c r="CJ1110" s="62" t="n">
        <f aca="false">N(AF1110)</f>
        <v>0</v>
      </c>
      <c r="CK1110" s="62" t="n">
        <f aca="false">N(M1110)+N(N1110)</f>
        <v>1</v>
      </c>
      <c r="CL1110" s="62" t="n">
        <f aca="false">N(M1110)</f>
        <v>0</v>
      </c>
      <c r="CM1110" s="62" t="n">
        <f aca="false">N(N1110)</f>
        <v>1</v>
      </c>
      <c r="CN1110" s="62" t="n">
        <f aca="false">ROUNDUP(H1110/BZ1110,0)</f>
        <v>0</v>
      </c>
      <c r="CO1110" s="62" t="n">
        <f aca="false">ROUNDUP(CJ1110/BZ1110,0)</f>
        <v>0</v>
      </c>
      <c r="CP1110" s="65" t="n">
        <f aca="false">IF(CA1110=1,0,IFERROR(VLOOKUP(BY1110,'Gebinde-Kategorie'!$A$5:$N$45,5,0)+0,0))</f>
        <v>11</v>
      </c>
      <c r="CQ1110" s="65" t="n">
        <f aca="false">IFERROR(IF(OR(CF1110=1,CF1110=2,CF1110=3),N(INDEX(Parameter!$I$5:$I$7,CF1110)),0),0)</f>
        <v>0</v>
      </c>
      <c r="CR1110" s="64" t="n">
        <f aca="false">IF(AND(Parameter!$B$21="Ja",ISNUMBER(W1110),N(X1110)&gt;0),IFERROR(N(INDEX(Parameter!$L$5:$L$7,W1110))*INDEX(Parameter!$E$5:$E$7,W1110)*X1110/SUMIFS($X$7:$X$1843,$W$7:$W$1843,W1110),0),0)</f>
        <v>0</v>
      </c>
      <c r="CS1110" s="62" t="str">
        <f aca="false">IF(AND(OR(CG1110="L1",CG1110="L23",CG1110="LIFT"),H1110&gt;0),CC1110*IF(CR1110&gt;0,CR1110*MAX(1,H1110/X1110),IF(CA1110=1,CE1110,IF(R1110&gt;0,CN1110/R1110,0))/MAX(0.1,N(Parameter!$M$21))),"")</f>
        <v/>
      </c>
      <c r="CT1110" s="64" t="str">
        <f aca="false">IF(CS1110="","",J1110/H1110)</f>
        <v/>
      </c>
      <c r="CU1110" s="62" t="str">
        <f aca="false">IF(CS1110="","",H1110*G1110)</f>
        <v/>
      </c>
      <c r="CV1110" s="63" t="str">
        <f aca="false">IF(CS1110="","",(CL1110+ROUNDUP(CL1110+MAX(CM1110,2*(J1110/MAX(0.1,N(Einkauf!$C$6))-CL1110)),0))/2)</f>
        <v/>
      </c>
      <c r="CW1110" s="62" t="str">
        <f aca="false">IF(CS1110="","",MAX(0,H1110-CV1110)*G1110)</f>
        <v/>
      </c>
      <c r="CX1110" s="62" t="str">
        <f aca="false">IF(CS1110="","",CS1110*MAX(0,1-CV1110/H1110))</f>
        <v/>
      </c>
      <c r="CY1110" s="64" t="str">
        <f aca="false">IF(CS1110="","",PERCENTRANK($CS$7:$CS$1843,CS1110)+PERCENTRANK($CU$7:$CU$1843,CU1110)+1-PERCENTRANK($CT$7:$CT$1843,CT1110))</f>
        <v/>
      </c>
      <c r="CZ1110" s="72" t="str">
        <f aca="false">IF(CS1110="","",CHOOSE(MATCH(Einkauf!$C$5,Parameter!$G$23:$G$27,0),CY1110,CS1110,CU1110,-CT1110,CW1110)+ROW()/1000000000)</f>
        <v/>
      </c>
    </row>
    <row r="1111" customFormat="false" ht="15" hidden="false" customHeight="false" outlineLevel="0" collapsed="false">
      <c r="A1111" s="60" t="s">
        <v>2059</v>
      </c>
      <c r="B1111" s="60" t="s">
        <v>797</v>
      </c>
      <c r="C1111" s="60" t="s">
        <v>206</v>
      </c>
      <c r="D1111" s="60" t="s">
        <v>226</v>
      </c>
      <c r="E1111" s="60"/>
      <c r="F1111" s="60" t="s">
        <v>260</v>
      </c>
      <c r="G1111" s="61" t="n">
        <v>114.73</v>
      </c>
      <c r="H1111" s="62" t="n">
        <f aca="false">MAX(0,IF(AND(Parameter!$B$21="Ja",ISNUMBER(Y1111)),Y1111,IF(Parameter!$B$20="Jahresanfang 2025 + Export",BS1111+BR1111,BR1111)))</f>
        <v>4</v>
      </c>
      <c r="I1111" s="62" t="n">
        <f aca="false">H1111*G1111</f>
        <v>458.92</v>
      </c>
      <c r="J1111" s="62" t="n">
        <f aca="false">BU1111*Parameter!$B$18</f>
        <v>1</v>
      </c>
      <c r="K1111" s="63" t="n">
        <v>5.5</v>
      </c>
      <c r="L1111" s="64" t="n">
        <v>0.181818181818182</v>
      </c>
      <c r="M1111" s="62" t="n">
        <v>0</v>
      </c>
      <c r="N1111" s="62" t="n">
        <v>1</v>
      </c>
      <c r="O1111" s="65" t="n">
        <v>35</v>
      </c>
      <c r="P1111" s="60" t="s">
        <v>468</v>
      </c>
      <c r="Q1111" s="62" t="n">
        <v>5</v>
      </c>
      <c r="R1111" s="65" t="n">
        <f aca="false">IF(CA1111=1,0,IFERROR(VLOOKUP(BY1111,'Gebinde-Kategorie'!$A$5:$N$45,13,0)+0,0))</f>
        <v>140</v>
      </c>
      <c r="S1111" s="66"/>
      <c r="T1111" s="67"/>
      <c r="U1111" s="67"/>
      <c r="V1111" s="67"/>
      <c r="W1111" s="60"/>
      <c r="X1111" s="62"/>
      <c r="Y1111" s="62"/>
      <c r="Z1111" s="60" t="n">
        <v>3</v>
      </c>
      <c r="AA1111" s="60" t="n">
        <f aca="false">IF(A1111="","",IF(AND(Parameter!$B$21="Ja",ISNUMBER(W1111)),W1111,IF(AND(Parameter!$E$27="Ja",ISNUMBER(Z1111),CD1111&lt;&gt;"Nein"),Z1111,IF(CD1111="2+3",IF(ISNUMBER(SEARCH("grosser Artikel",BV1111)),2,IFERROR(VLOOKUP(BY1111,Parameter!$F$35:$G$64,2,0),2)),IF(OR(CD1111="Nein",CD1111=""),"-",CD1111)))))</f>
        <v>3</v>
      </c>
      <c r="AB1111" s="67"/>
      <c r="AC1111" s="68"/>
      <c r="AD1111" s="62" t="n">
        <f aca="false">AW1111</f>
        <v>1</v>
      </c>
      <c r="AE1111" s="62" t="n">
        <f aca="false">MAX(AW1111,H1111)</f>
        <v>4</v>
      </c>
      <c r="AF1111" s="69"/>
      <c r="AG1111" s="62" t="n">
        <f aca="false">IF(LEFT(Cockpit!$C$5,1)="A",H1111,IF(Parameter!$E$30="MAX-Bestand",IF(CI1111=1,CJ1111,IF(LEFT(Cockpit!$C$5,1)="B",AM1111,MAX(AM1111,H1111))),ROUNDUP(AK1111,0)))</f>
        <v>4</v>
      </c>
      <c r="AH1111" s="62" t="n">
        <f aca="false">IF(CA1111=1,0,ROUNDUP(AG1111/BZ1111,0))</f>
        <v>1</v>
      </c>
      <c r="AI1111" s="64" t="n">
        <f aca="false">IF(CR1111&gt;0,CR1111*MAX(1,AG1111/X1111),IF(CA1111=1,IF(AG1111&lt;=0,0,CE1111*MAX(1,IF(H1111&gt;0,AG1111/H1111,1))),IF(R1111&gt;0,AH1111/R1111,0))/MAX(0.1,N(Parameter!$M$21)))</f>
        <v>0.00714285714285714</v>
      </c>
      <c r="AJ1111" s="62" t="n">
        <f aca="false">AI1111*CC1111</f>
        <v>1.10714285714286</v>
      </c>
      <c r="AK1111" s="63" t="n">
        <f aca="false">IF(LEFT(Cockpit!$C$5,1)="A",H1111,IF(CI1111=1,(CL1111+CJ1111)/2,IF(LEFT(Cockpit!$C$5,1)="B",(CL1111+AM1111)/2,MAX((CL1111+AM1111)/2,H1111))))</f>
        <v>4</v>
      </c>
      <c r="AL1111" s="62" t="n">
        <f aca="false">AK1111*G1111</f>
        <v>458.92</v>
      </c>
      <c r="AM1111" s="62" t="n">
        <f aca="false">ROUNDUP(CL1111+MAX(CM1111,2*(J1111/IF(CH1111&gt;0,CH1111,MAX(0.1,N(Cockpit!$C$6)))-CL1111)),0)</f>
        <v>1</v>
      </c>
      <c r="AN1111" s="63" t="n">
        <f aca="false">IF(AJ1111&gt;0,J1111/AJ1111,-1)</f>
        <v>0.903225806451613</v>
      </c>
      <c r="AO1111" s="63" t="n">
        <f aca="false">IF(AND(OR(CG1111="L1",CG1111="L23",CG1111="LIFT"),AJ1111&gt;0),SUMIFS($AJ$7:$AJ$1843,$CG$7:$CG$1843,CG1111,$AN$7:$AN$1843,"&gt;"&amp;AN1111)+SUMIFS($AJ$7:$AJ$1843,$CG$7:$CG$1843,CG1111,$AN$7:$AN$1843,AN1111,$BX$7:$BX$1843,"&lt;="&amp;BX1111),"")</f>
        <v>7622.16987179487</v>
      </c>
      <c r="AP1111" s="70" t="n">
        <f aca="false">IF(AO1111="",0,MAX(0,MIN(1,(IF(CG1111="L1",Parameter!$H$5,IF(CG1111="L23",Parameter!$H$6+Parameter!$H$7,Parameter!$H$5+Parameter!$H$6+Parameter!$H$7))-(AO1111-AJ1111))/AJ1111)))</f>
        <v>1</v>
      </c>
      <c r="AQ1111" s="62" t="n">
        <f aca="false">IF(LEFT(Cockpit!$I$5,1)="A",H1111,IF(Parameter!$E$30="MAX-Bestand",IF(CI1111=1,CJ1111,IF(LEFT(Cockpit!$I$5,1)="B",AW1111,MAX(AW1111,H1111))),ROUNDUP(AU1111,0)))</f>
        <v>4</v>
      </c>
      <c r="AR1111" s="62" t="n">
        <f aca="false">IF(CA1111=1,0,ROUNDUP(AQ1111/BZ1111,0))</f>
        <v>1</v>
      </c>
      <c r="AS1111" s="64" t="n">
        <f aca="false">IF(CR1111&gt;0,CR1111*MAX(1,AQ1111/X1111),IF(CA1111=1,IF(AQ1111&lt;=0,0,CE1111*MAX(1,IF(H1111&gt;0,AQ1111/H1111,1))),IF(R1111&gt;0,AR1111/R1111,0))/MAX(0.1,N(Parameter!$M$21)))</f>
        <v>0.00714285714285714</v>
      </c>
      <c r="AT1111" s="62" t="n">
        <f aca="false">AS1111*CC1111</f>
        <v>1.10714285714286</v>
      </c>
      <c r="AU1111" s="63" t="n">
        <f aca="false">IF(LEFT(Cockpit!$I$5,1)="A",H1111,IF(CI1111=1,(CL1111+CJ1111)/2,IF(LEFT(Cockpit!$I$5,1)="B",(CL1111+AW1111)/2,MAX((CL1111+AW1111)/2,H1111))))</f>
        <v>4</v>
      </c>
      <c r="AV1111" s="62" t="n">
        <f aca="false">AU1111*G1111</f>
        <v>458.92</v>
      </c>
      <c r="AW1111" s="62" t="n">
        <f aca="false">ROUNDUP(CL1111+MAX(CM1111,2*(J1111/IF(CH1111&gt;0,CH1111,MAX(0.1,N(Cockpit!$I$6)))-CL1111)),0)</f>
        <v>1</v>
      </c>
      <c r="AX1111" s="63" t="n">
        <f aca="false">IF(AT1111&gt;0,J1111/AT1111,-1)</f>
        <v>0.903225806451613</v>
      </c>
      <c r="AY1111" s="63" t="n">
        <f aca="false">IF(AND(OR(CG1111="L1",CG1111="L23",CG1111="LIFT"),AT1111&gt;0),SUMIFS($AT$7:$AT$1843,$CG$7:$CG$1843,CG1111,$AX$7:$AX$1843,"&gt;"&amp;AX1111)+SUMIFS($AT$7:$AT$1843,$CG$7:$CG$1843,CG1111,$AX$7:$AX$1843,AX1111,$BX$7:$BX$1843,"&lt;="&amp;BX1111),"")</f>
        <v>9196.60989010989</v>
      </c>
      <c r="AZ1111" s="70" t="n">
        <f aca="false">IF(AY1111="",0,MAX(0,MIN(1,(IF(CG1111="L1",Parameter!$H$5,IF(CG1111="L23",Parameter!$H$6+Parameter!$H$7,Parameter!$H$5+Parameter!$H$6+Parameter!$H$7))-(AY1111-AT1111))/AT1111)))</f>
        <v>1</v>
      </c>
      <c r="BA1111" s="62" t="n">
        <f aca="false">IF(LEFT(Cockpit!$O$5,1)="A",H1111,IF(Parameter!$E$30="MAX-Bestand",IF(CI1111=1,CJ1111,IF(LEFT(Cockpit!$O$5,1)="B",BG1111,MAX(BG1111,H1111))),ROUNDUP(BE1111,0)))</f>
        <v>1</v>
      </c>
      <c r="BB1111" s="62" t="n">
        <f aca="false">IF(CA1111=1,0,ROUNDUP(BA1111/BZ1111,0))</f>
        <v>1</v>
      </c>
      <c r="BC1111" s="64" t="n">
        <f aca="false">IF(CR1111&gt;0,CR1111*MAX(1,BA1111/X1111),IF(CA1111=1,IF(BA1111&lt;=0,0,CE1111*MAX(1,IF(H1111&gt;0,BA1111/H1111,1))),IF(R1111&gt;0,BB1111/R1111,0))/MAX(0.1,N(Parameter!$M$21)))</f>
        <v>0.00714285714285714</v>
      </c>
      <c r="BD1111" s="62" t="n">
        <f aca="false">BC1111*CC1111</f>
        <v>1.10714285714286</v>
      </c>
      <c r="BE1111" s="63" t="n">
        <f aca="false">IF(LEFT(Cockpit!$O$5,1)="A",H1111,IF(CI1111=1,(CL1111+CJ1111)/2,IF(LEFT(Cockpit!$O$5,1)="B",(CL1111+BG1111)/2,MAX((CL1111+BG1111)/2,H1111))))</f>
        <v>0.5</v>
      </c>
      <c r="BF1111" s="62" t="n">
        <f aca="false">BE1111*G1111</f>
        <v>57.365</v>
      </c>
      <c r="BG1111" s="62" t="n">
        <f aca="false">ROUNDUP(CL1111+MAX(CM1111,2*(J1111/IF(CH1111&gt;0,CH1111,MAX(0.1,N(Cockpit!$O$6)))-CL1111)),0)</f>
        <v>1</v>
      </c>
      <c r="BH1111" s="63" t="n">
        <f aca="false">IF(BD1111&gt;0,J1111/BD1111,-1)</f>
        <v>0.903225806451613</v>
      </c>
      <c r="BI1111" s="63" t="n">
        <f aca="false">IF(AND(OR(CG1111="L1",CG1111="L23",CG1111="LIFT"),BD1111&gt;0),SUMIFS($BD$7:$BD$1843,$CG$7:$CG$1843,CG1111,$BH$7:$BH$1843,"&gt;"&amp;BH1111)+SUMIFS($BD$7:$BD$1843,$CG$7:$CG$1843,CG1111,$BH$7:$BH$1843,BH1111,$BX$7:$BX$1843,"&lt;="&amp;BX1111),"")</f>
        <v>8248.93635531136</v>
      </c>
      <c r="BJ1111" s="70" t="n">
        <f aca="false">IF(BI1111="",0,MAX(0,MIN(1,(IF(CG1111="L1",Parameter!$H$5,IF(CG1111="L23",Parameter!$H$6+Parameter!$H$7,Parameter!$H$5+Parameter!$H$6+Parameter!$H$7))-(BI1111-BD1111))/BD1111)))</f>
        <v>1</v>
      </c>
      <c r="BK1111" s="60" t="str">
        <f aca="false">IF(AJ1111&lt;=0,"",IF(CG1111="Aussen","Aussenlager",IF(CG1111="-","Nicht im Lift",IF(AP1111&gt;=1,"Lift",IF(AP1111&lt;=0,"Aussenlager","teilweise")))))</f>
        <v>Lift</v>
      </c>
      <c r="BL1111" s="60" t="str">
        <f aca="false">IF(AT1111&lt;=0,"",IF(CG1111="Aussen","Aussenlager",IF(CG1111="-","Nicht im Lift",IF(AZ1111&gt;=1,"Lift",IF(AZ1111&lt;=0,"Aussenlager","teilweise")))))</f>
        <v>Lift</v>
      </c>
      <c r="BM1111" s="60" t="str">
        <f aca="false">IF(BD1111&lt;=0,"",IF(CG1111="Aussen","Aussenlager",IF(CG1111="-","Nicht im Lift",IF(BJ1111&gt;=1,"Lift",IF(BJ1111&lt;=0,"Aussenlager","teilweise")))))</f>
        <v>Lift</v>
      </c>
      <c r="BN1111" s="60" t="str">
        <f aca="false">IF(A1111="","",IF(BW1111=1,"Neu; ","")&amp;IF(AND(BW1111=0,BR1111&lt;0),"negativer Bestand (Export "&amp;BR1111&amp;"); ","")&amp;IF(J1111&lt;=0,"Kein Verbrauch; ","")&amp;IF(CR1111&gt;0,"Lift "&amp;W1111&amp;" lt. Liftbericht (Fach "&amp;X1111&amp;" Stk); ",IF(CB1111=1,"Gebinde geschätzt ("&amp;T1111&amp;"); ",IF(CA1111=1,"Lose – Tablare geschätzt; ","")))&amp;IF(H1111&gt;AW1111,"Überbestand "&amp;ROUND(H1111-AW1111,0)&amp;" Stk / CHF "&amp;ROUND((H1111-AW1111)*G1111,0)&amp;"; ","")&amp;IF(AND(CI1111=1,CJ1111&lt;CK1111),"MAX &lt; MB+LG; ","")&amp;IF(AND(CQ1111&gt;0,CP1111*10&gt;CQ1111),"zu hoch für Tablar; ","")&amp;IF(AND(BW1111=0,OR(CI1111=1,AB1111&lt;&gt;"",U1111&lt;&gt;"",V1111&lt;&gt;"",AC1111&lt;&gt;"")),"manuell übersteuert; ","")&amp;IF(AND(CA1111=0,R1111=0),"Gebinde unbekannt / Stellmass fehlt; ","")&amp;IF(AND(CA1111=0,N(V1111)&lt;=0,N(Q1111)&lt;=0),"Menge pro Gebinde fehlt (Ist = 1 Gebinde); ","")&amp;BV1111)</f>
        <v>negativer Bestand (Export -2); Überbestand 3 Stk / CHF 344; </v>
      </c>
      <c r="BO1111" s="60"/>
      <c r="BP1111" s="60"/>
      <c r="BQ1111" s="67"/>
      <c r="BR1111" s="62" t="n">
        <v>-2</v>
      </c>
      <c r="BS1111" s="62" t="n">
        <v>6</v>
      </c>
      <c r="BT1111" s="61" t="n">
        <v>-229.46</v>
      </c>
      <c r="BU1111" s="62" t="n">
        <v>1</v>
      </c>
      <c r="BV1111" s="60"/>
      <c r="BW1111" s="65" t="n">
        <v>0</v>
      </c>
      <c r="BX1111" s="65" t="n">
        <v>1111</v>
      </c>
      <c r="BY1111" s="60" t="str">
        <f aca="false">IF(U1111&lt;&gt;"",UPPER(TRIM(U1111)),IF(CB1111=1,UPPER(VLOOKUP(T1111,Parameter!$I$27:$K$29,2,0)),IF(P1111="","LOSE",P1111)))</f>
        <v>S22</v>
      </c>
      <c r="BZ1111" s="62" t="n">
        <f aca="false">IF(BY1111="LOSE",1,IF(N(V1111)&gt;0,V1111,IF(CB1111=1,MAX(1,N(VLOOKUP(T1111,Parameter!$I$27:$K$29,3,0)),H1111,N(N1111)),IF(N(Q1111)&gt;0,Q1111,MAX(1,H1111)))))</f>
        <v>5</v>
      </c>
      <c r="CA1111" s="65" t="n">
        <f aca="false">IF(BY1111="LOSE",1,0)</f>
        <v>0</v>
      </c>
      <c r="CB1111" s="65" t="n">
        <f aca="false">IF(AND(U1111="",OR(P1111="",P1111="LOSE"),T1111&lt;&gt;"",N(S1111)&lt;=0,ISNUMBER(MATCH(T1111,Parameter!$I$27:$I$29,0))),1,0)</f>
        <v>0</v>
      </c>
      <c r="CC1111" s="65" t="n">
        <f aca="false">IF(CR1111&gt;0,INDEX(Parameter!$H$5:$H$7,W1111)/INDEX(Parameter!$E$5:$E$7,W1111),IF(AND(CA1111=0,N(IFERROR(VLOOKUP(BY1111,'Gebinde-Kategorie'!$A$5:$N$45,14,0),0))&gt;0),VLOOKUP(BY1111,'Gebinde-Kategorie'!$A$5:$N$45,14,0)*10+Parameter!$M$23,Parameter!$M$24))</f>
        <v>155</v>
      </c>
      <c r="CD1111" s="60" t="str">
        <f aca="false">IF(AND(Parameter!$B$19="Ja",E1111&lt;&gt;"",ISNUMBER(MATCH(E1111,Parameter!$I$35:$I$52,0))),VLOOKUP(E1111,Parameter!$I$35:$J$52,2,0),IFERROR(VLOOKUP(D1111,Parameter!$A$35:$C$64,2,0),"Nein"))</f>
        <v>2+3</v>
      </c>
      <c r="CE1111" s="64" t="n">
        <f aca="false">IF(CA1111=0,0,IF(N(S1111)&gt;0,S1111,IFERROR(VLOOKUP(D1111,Parameter!$A$35:$C$64,3,0)+0,0)))</f>
        <v>0</v>
      </c>
      <c r="CF1111" s="60" t="n">
        <f aca="false">IF(AB1111&lt;&gt;"",AB1111,AA1111)</f>
        <v>3</v>
      </c>
      <c r="CG1111" s="60" t="str">
        <f aca="false">IF(OR(CF1111=1,CF1111=2,CF1111=3),IF(Parameter!$E$27="Ja","LIFT",IF(CF1111=1,"L1","L23")),IF(CF1111="Aussen","Aussen","-"))</f>
        <v>LIFT</v>
      </c>
      <c r="CH1111" s="71" t="n">
        <f aca="false">IF(N(AC1111)&gt;0,AC1111,0)</f>
        <v>0</v>
      </c>
      <c r="CI1111" s="65" t="n">
        <f aca="false">IF(ISNUMBER(AF1111),1,0)</f>
        <v>0</v>
      </c>
      <c r="CJ1111" s="62" t="n">
        <f aca="false">N(AF1111)</f>
        <v>0</v>
      </c>
      <c r="CK1111" s="62" t="n">
        <f aca="false">N(M1111)+N(N1111)</f>
        <v>1</v>
      </c>
      <c r="CL1111" s="62" t="n">
        <f aca="false">N(M1111)</f>
        <v>0</v>
      </c>
      <c r="CM1111" s="62" t="n">
        <f aca="false">N(N1111)</f>
        <v>1</v>
      </c>
      <c r="CN1111" s="62" t="n">
        <f aca="false">ROUNDUP(H1111/BZ1111,0)</f>
        <v>1</v>
      </c>
      <c r="CO1111" s="62" t="n">
        <f aca="false">ROUNDUP(CJ1111/BZ1111,0)</f>
        <v>0</v>
      </c>
      <c r="CP1111" s="65" t="n">
        <f aca="false">IF(CA1111=1,0,IFERROR(VLOOKUP(BY1111,'Gebinde-Kategorie'!$A$5:$N$45,5,0)+0,0))</f>
        <v>8</v>
      </c>
      <c r="CQ1111" s="65" t="n">
        <f aca="false">IFERROR(IF(OR(CF1111=1,CF1111=2,CF1111=3),N(INDEX(Parameter!$I$5:$I$7,CF1111)),0),0)</f>
        <v>0</v>
      </c>
      <c r="CR1111" s="64" t="n">
        <f aca="false">IF(AND(Parameter!$B$21="Ja",ISNUMBER(W1111),N(X1111)&gt;0),IFERROR(N(INDEX(Parameter!$L$5:$L$7,W1111))*INDEX(Parameter!$E$5:$E$7,W1111)*X1111/SUMIFS($X$7:$X$1843,$W$7:$W$1843,W1111),0),0)</f>
        <v>0</v>
      </c>
      <c r="CS1111" s="62" t="n">
        <f aca="false">IF(AND(OR(CG1111="L1",CG1111="L23",CG1111="LIFT"),H1111&gt;0),CC1111*IF(CR1111&gt;0,CR1111*MAX(1,H1111/X1111),IF(CA1111=1,CE1111,IF(R1111&gt;0,CN1111/R1111,0))/MAX(0.1,N(Parameter!$M$21))),"")</f>
        <v>1.10714285714286</v>
      </c>
      <c r="CT1111" s="64" t="n">
        <f aca="false">IF(CS1111="","",J1111/H1111)</f>
        <v>0.25</v>
      </c>
      <c r="CU1111" s="62" t="n">
        <f aca="false">IF(CS1111="","",H1111*G1111)</f>
        <v>458.92</v>
      </c>
      <c r="CV1111" s="63" t="n">
        <f aca="false">IF(CS1111="","",(CL1111+ROUNDUP(CL1111+MAX(CM1111,2*(J1111/MAX(0.1,N(Einkauf!$C$6))-CL1111)),0))/2)</f>
        <v>0.5</v>
      </c>
      <c r="CW1111" s="62" t="n">
        <f aca="false">IF(CS1111="","",MAX(0,H1111-CV1111)*G1111)</f>
        <v>401.555</v>
      </c>
      <c r="CX1111" s="62" t="n">
        <f aca="false">IF(CS1111="","",CS1111*MAX(0,1-CV1111/H1111))</f>
        <v>0.96875</v>
      </c>
      <c r="CY1111" s="64" t="n">
        <f aca="false">IF(CS1111="","",PERCENTRANK($CS$7:$CS$1843,CS1111)+PERCENTRANK($CU$7:$CU$1843,CU1111)+1-PERCENTRANK($CT$7:$CT$1843,CT1111))</f>
        <v>1.0684</v>
      </c>
      <c r="CZ1111" s="72" t="n">
        <f aca="false">IF(CS1111="","",CHOOSE(MATCH(Einkauf!$C$5,Parameter!$G$23:$G$27,0),CY1111,CS1111,CU1111,-CT1111,CW1111)+ROW()/1000000000)</f>
        <v>1.068401111</v>
      </c>
    </row>
    <row r="1112" customFormat="false" ht="15" hidden="false" customHeight="false" outlineLevel="0" collapsed="false">
      <c r="A1112" s="60" t="s">
        <v>2060</v>
      </c>
      <c r="B1112" s="60" t="s">
        <v>2061</v>
      </c>
      <c r="C1112" s="60" t="s">
        <v>206</v>
      </c>
      <c r="D1112" s="60" t="s">
        <v>226</v>
      </c>
      <c r="E1112" s="60"/>
      <c r="F1112" s="60" t="s">
        <v>260</v>
      </c>
      <c r="G1112" s="61" t="n">
        <v>21.01</v>
      </c>
      <c r="H1112" s="62" t="n">
        <f aca="false">MAX(0,IF(AND(Parameter!$B$21="Ja",ISNUMBER(Y1112)),Y1112,IF(Parameter!$B$20="Jahresanfang 2025 + Export",BS1112+BR1112,BR1112)))</f>
        <v>17</v>
      </c>
      <c r="I1112" s="62" t="n">
        <f aca="false">H1112*G1112</f>
        <v>357.17</v>
      </c>
      <c r="J1112" s="62" t="n">
        <f aca="false">BU1112*Parameter!$B$18</f>
        <v>6</v>
      </c>
      <c r="K1112" s="63" t="n">
        <v>25</v>
      </c>
      <c r="L1112" s="64" t="n">
        <v>0.24</v>
      </c>
      <c r="M1112" s="62" t="n">
        <v>0</v>
      </c>
      <c r="N1112" s="62" t="n">
        <v>5</v>
      </c>
      <c r="O1112" s="65" t="n">
        <v>14</v>
      </c>
      <c r="P1112" s="60" t="s">
        <v>463</v>
      </c>
      <c r="Q1112" s="62" t="n">
        <v>20</v>
      </c>
      <c r="R1112" s="65" t="n">
        <f aca="false">IF(CA1112=1,0,IFERROR(VLOOKUP(BY1112,'Gebinde-Kategorie'!$A$5:$N$45,13,0)+0,0))</f>
        <v>104</v>
      </c>
      <c r="S1112" s="66"/>
      <c r="T1112" s="67"/>
      <c r="U1112" s="67"/>
      <c r="V1112" s="67"/>
      <c r="W1112" s="60"/>
      <c r="X1112" s="62"/>
      <c r="Y1112" s="62"/>
      <c r="Z1112" s="60" t="n">
        <v>3</v>
      </c>
      <c r="AA1112" s="60" t="n">
        <f aca="false">IF(A1112="","",IF(AND(Parameter!$B$21="Ja",ISNUMBER(W1112)),W1112,IF(AND(Parameter!$E$27="Ja",ISNUMBER(Z1112),CD1112&lt;&gt;"Nein"),Z1112,IF(CD1112="2+3",IF(ISNUMBER(SEARCH("grosser Artikel",BV1112)),2,IFERROR(VLOOKUP(BY1112,Parameter!$F$35:$G$64,2,0),2)),IF(OR(CD1112="Nein",CD1112=""),"-",CD1112)))))</f>
        <v>3</v>
      </c>
      <c r="AB1112" s="67"/>
      <c r="AC1112" s="68"/>
      <c r="AD1112" s="62" t="n">
        <f aca="false">AW1112</f>
        <v>5</v>
      </c>
      <c r="AE1112" s="62" t="n">
        <f aca="false">MAX(AW1112,H1112)</f>
        <v>17</v>
      </c>
      <c r="AF1112" s="69"/>
      <c r="AG1112" s="62" t="n">
        <f aca="false">IF(LEFT(Cockpit!$C$5,1)="A",H1112,IF(Parameter!$E$30="MAX-Bestand",IF(CI1112=1,CJ1112,IF(LEFT(Cockpit!$C$5,1)="B",AM1112,MAX(AM1112,H1112))),ROUNDUP(AK1112,0)))</f>
        <v>17</v>
      </c>
      <c r="AH1112" s="62" t="n">
        <f aca="false">IF(CA1112=1,0,ROUNDUP(AG1112/BZ1112,0))</f>
        <v>1</v>
      </c>
      <c r="AI1112" s="64" t="n">
        <f aca="false">IF(CR1112&gt;0,CR1112*MAX(1,AG1112/X1112),IF(CA1112=1,IF(AG1112&lt;=0,0,CE1112*MAX(1,IF(H1112&gt;0,AG1112/H1112,1))),IF(R1112&gt;0,AH1112/R1112,0))/MAX(0.1,N(Parameter!$M$21)))</f>
        <v>0.00961538461538462</v>
      </c>
      <c r="AJ1112" s="62" t="n">
        <f aca="false">AI1112*CC1112</f>
        <v>1.49038461538462</v>
      </c>
      <c r="AK1112" s="63" t="n">
        <f aca="false">IF(LEFT(Cockpit!$C$5,1)="A",H1112,IF(CI1112=1,(CL1112+CJ1112)/2,IF(LEFT(Cockpit!$C$5,1)="B",(CL1112+AM1112)/2,MAX((CL1112+AM1112)/2,H1112))))</f>
        <v>17</v>
      </c>
      <c r="AL1112" s="62" t="n">
        <f aca="false">AK1112*G1112</f>
        <v>357.17</v>
      </c>
      <c r="AM1112" s="62" t="n">
        <f aca="false">ROUNDUP(CL1112+MAX(CM1112,2*(J1112/IF(CH1112&gt;0,CH1112,MAX(0.1,N(Cockpit!$C$6)))-CL1112)),0)</f>
        <v>5</v>
      </c>
      <c r="AN1112" s="63" t="n">
        <f aca="false">IF(AJ1112&gt;0,J1112/AJ1112,-1)</f>
        <v>4.0258064516129</v>
      </c>
      <c r="AO1112" s="63" t="n">
        <f aca="false">IF(AND(OR(CG1112="L1",CG1112="L23",CG1112="LIFT"),AJ1112&gt;0),SUMIFS($AJ$7:$AJ$1843,$CG$7:$CG$1843,CG1112,$AN$7:$AN$1843,"&gt;"&amp;AN1112)+SUMIFS($AJ$7:$AJ$1843,$CG$7:$CG$1843,CG1112,$AN$7:$AN$1843,AN1112,$BX$7:$BX$1843,"&lt;="&amp;BX1112),"")</f>
        <v>4361.66987179487</v>
      </c>
      <c r="AP1112" s="70" t="n">
        <f aca="false">IF(AO1112="",0,MAX(0,MIN(1,(IF(CG1112="L1",Parameter!$H$5,IF(CG1112="L23",Parameter!$H$6+Parameter!$H$7,Parameter!$H$5+Parameter!$H$6+Parameter!$H$7))-(AO1112-AJ1112))/AJ1112)))</f>
        <v>1</v>
      </c>
      <c r="AQ1112" s="62" t="n">
        <f aca="false">IF(LEFT(Cockpit!$I$5,1)="A",H1112,IF(Parameter!$E$30="MAX-Bestand",IF(CI1112=1,CJ1112,IF(LEFT(Cockpit!$I$5,1)="B",AW1112,MAX(AW1112,H1112))),ROUNDUP(AU1112,0)))</f>
        <v>17</v>
      </c>
      <c r="AR1112" s="62" t="n">
        <f aca="false">IF(CA1112=1,0,ROUNDUP(AQ1112/BZ1112,0))</f>
        <v>1</v>
      </c>
      <c r="AS1112" s="64" t="n">
        <f aca="false">IF(CR1112&gt;0,CR1112*MAX(1,AQ1112/X1112),IF(CA1112=1,IF(AQ1112&lt;=0,0,CE1112*MAX(1,IF(H1112&gt;0,AQ1112/H1112,1))),IF(R1112&gt;0,AR1112/R1112,0))/MAX(0.1,N(Parameter!$M$21)))</f>
        <v>0.00961538461538462</v>
      </c>
      <c r="AT1112" s="62" t="n">
        <f aca="false">AS1112*CC1112</f>
        <v>1.49038461538462</v>
      </c>
      <c r="AU1112" s="63" t="n">
        <f aca="false">IF(LEFT(Cockpit!$I$5,1)="A",H1112,IF(CI1112=1,(CL1112+CJ1112)/2,IF(LEFT(Cockpit!$I$5,1)="B",(CL1112+AW1112)/2,MAX((CL1112+AW1112)/2,H1112))))</f>
        <v>17</v>
      </c>
      <c r="AV1112" s="62" t="n">
        <f aca="false">AU1112*G1112</f>
        <v>357.17</v>
      </c>
      <c r="AW1112" s="62" t="n">
        <f aca="false">ROUNDUP(CL1112+MAX(CM1112,2*(J1112/IF(CH1112&gt;0,CH1112,MAX(0.1,N(Cockpit!$I$6)))-CL1112)),0)</f>
        <v>5</v>
      </c>
      <c r="AX1112" s="63" t="n">
        <f aca="false">IF(AT1112&gt;0,J1112/AT1112,-1)</f>
        <v>4.0258064516129</v>
      </c>
      <c r="AY1112" s="63" t="n">
        <f aca="false">IF(AND(OR(CG1112="L1",CG1112="L23",CG1112="LIFT"),AT1112&gt;0),SUMIFS($AT$7:$AT$1843,$CG$7:$CG$1843,CG1112,$AX$7:$AX$1843,"&gt;"&amp;AX1112)+SUMIFS($AT$7:$AT$1843,$CG$7:$CG$1843,CG1112,$AX$7:$AX$1843,AX1112,$BX$7:$BX$1843,"&lt;="&amp;BX1112),"")</f>
        <v>4970.66712454213</v>
      </c>
      <c r="AZ1112" s="70" t="n">
        <f aca="false">IF(AY1112="",0,MAX(0,MIN(1,(IF(CG1112="L1",Parameter!$H$5,IF(CG1112="L23",Parameter!$H$6+Parameter!$H$7,Parameter!$H$5+Parameter!$H$6+Parameter!$H$7))-(AY1112-AT1112))/AT1112)))</f>
        <v>1</v>
      </c>
      <c r="BA1112" s="62" t="n">
        <f aca="false">IF(LEFT(Cockpit!$O$5,1)="A",H1112,IF(Parameter!$E$30="MAX-Bestand",IF(CI1112=1,CJ1112,IF(LEFT(Cockpit!$O$5,1)="B",BG1112,MAX(BG1112,H1112))),ROUNDUP(BE1112,0)))</f>
        <v>3</v>
      </c>
      <c r="BB1112" s="62" t="n">
        <f aca="false">IF(CA1112=1,0,ROUNDUP(BA1112/BZ1112,0))</f>
        <v>1</v>
      </c>
      <c r="BC1112" s="64" t="n">
        <f aca="false">IF(CR1112&gt;0,CR1112*MAX(1,BA1112/X1112),IF(CA1112=1,IF(BA1112&lt;=0,0,CE1112*MAX(1,IF(H1112&gt;0,BA1112/H1112,1))),IF(R1112&gt;0,BB1112/R1112,0))/MAX(0.1,N(Parameter!$M$21)))</f>
        <v>0.00961538461538462</v>
      </c>
      <c r="BD1112" s="62" t="n">
        <f aca="false">BC1112*CC1112</f>
        <v>1.49038461538462</v>
      </c>
      <c r="BE1112" s="63" t="n">
        <f aca="false">IF(LEFT(Cockpit!$O$5,1)="A",H1112,IF(CI1112=1,(CL1112+CJ1112)/2,IF(LEFT(Cockpit!$O$5,1)="B",(CL1112+BG1112)/2,MAX((CL1112+BG1112)/2,H1112))))</f>
        <v>2.5</v>
      </c>
      <c r="BF1112" s="62" t="n">
        <f aca="false">BE1112*G1112</f>
        <v>52.525</v>
      </c>
      <c r="BG1112" s="62" t="n">
        <f aca="false">ROUNDUP(CL1112+MAX(CM1112,2*(J1112/IF(CH1112&gt;0,CH1112,MAX(0.1,N(Cockpit!$O$6)))-CL1112)),0)</f>
        <v>5</v>
      </c>
      <c r="BH1112" s="63" t="n">
        <f aca="false">IF(BD1112&gt;0,J1112/BD1112,-1)</f>
        <v>4.0258064516129</v>
      </c>
      <c r="BI1112" s="63" t="n">
        <f aca="false">IF(AND(OR(CG1112="L1",CG1112="L23",CG1112="LIFT"),BD1112&gt;0),SUMIFS($BD$7:$BD$1843,$CG$7:$CG$1843,CG1112,$BH$7:$BH$1843,"&gt;"&amp;BH1112)+SUMIFS($BD$7:$BD$1843,$CG$7:$CG$1843,CG1112,$BH$7:$BH$1843,BH1112,$BX$7:$BX$1843,"&lt;="&amp;BX1112),"")</f>
        <v>4088.23763736264</v>
      </c>
      <c r="BJ1112" s="70" t="n">
        <f aca="false">IF(BI1112="",0,MAX(0,MIN(1,(IF(CG1112="L1",Parameter!$H$5,IF(CG1112="L23",Parameter!$H$6+Parameter!$H$7,Parameter!$H$5+Parameter!$H$6+Parameter!$H$7))-(BI1112-BD1112))/BD1112)))</f>
        <v>1</v>
      </c>
      <c r="BK1112" s="60" t="str">
        <f aca="false">IF(AJ1112&lt;=0,"",IF(CG1112="Aussen","Aussenlager",IF(CG1112="-","Nicht im Lift",IF(AP1112&gt;=1,"Lift",IF(AP1112&lt;=0,"Aussenlager","teilweise")))))</f>
        <v>Lift</v>
      </c>
      <c r="BL1112" s="60" t="str">
        <f aca="false">IF(AT1112&lt;=0,"",IF(CG1112="Aussen","Aussenlager",IF(CG1112="-","Nicht im Lift",IF(AZ1112&gt;=1,"Lift",IF(AZ1112&lt;=0,"Aussenlager","teilweise")))))</f>
        <v>Lift</v>
      </c>
      <c r="BM1112" s="60" t="str">
        <f aca="false">IF(BD1112&lt;=0,"",IF(CG1112="Aussen","Aussenlager",IF(CG1112="-","Nicht im Lift",IF(BJ1112&gt;=1,"Lift",IF(BJ1112&lt;=0,"Aussenlager","teilweise")))))</f>
        <v>Lift</v>
      </c>
      <c r="BN1112" s="60" t="str">
        <f aca="false">IF(A1112="","",IF(BW1112=1,"Neu; ","")&amp;IF(AND(BW1112=0,BR1112&lt;0),"negativer Bestand (Export "&amp;BR1112&amp;"); ","")&amp;IF(J1112&lt;=0,"Kein Verbrauch; ","")&amp;IF(CR1112&gt;0,"Lift "&amp;W1112&amp;" lt. Liftbericht (Fach "&amp;X1112&amp;" Stk); ",IF(CB1112=1,"Gebinde geschätzt ("&amp;T1112&amp;"); ",IF(CA1112=1,"Lose – Tablare geschätzt; ","")))&amp;IF(H1112&gt;AW1112,"Überbestand "&amp;ROUND(H1112-AW1112,0)&amp;" Stk / CHF "&amp;ROUND((H1112-AW1112)*G1112,0)&amp;"; ","")&amp;IF(AND(CI1112=1,CJ1112&lt;CK1112),"MAX &lt; MB+LG; ","")&amp;IF(AND(CQ1112&gt;0,CP1112*10&gt;CQ1112),"zu hoch für Tablar; ","")&amp;IF(AND(BW1112=0,OR(CI1112=1,AB1112&lt;&gt;"",U1112&lt;&gt;"",V1112&lt;&gt;"",AC1112&lt;&gt;"")),"manuell übersteuert; ","")&amp;IF(AND(CA1112=0,R1112=0),"Gebinde unbekannt / Stellmass fehlt; ","")&amp;IF(AND(CA1112=0,N(V1112)&lt;=0,N(Q1112)&lt;=0),"Menge pro Gebinde fehlt (Ist = 1 Gebinde); ","")&amp;BV1112)</f>
        <v>negativer Bestand (Export -11); Überbestand 12 Stk / CHF 252; </v>
      </c>
      <c r="BO1112" s="60"/>
      <c r="BP1112" s="60"/>
      <c r="BQ1112" s="67"/>
      <c r="BR1112" s="62" t="n">
        <v>-11</v>
      </c>
      <c r="BS1112" s="62" t="n">
        <v>28</v>
      </c>
      <c r="BT1112" s="61" t="n">
        <v>-231.11</v>
      </c>
      <c r="BU1112" s="62" t="n">
        <v>6</v>
      </c>
      <c r="BV1112" s="60"/>
      <c r="BW1112" s="65" t="n">
        <v>0</v>
      </c>
      <c r="BX1112" s="65" t="n">
        <v>1112</v>
      </c>
      <c r="BY1112" s="60" t="str">
        <f aca="false">IF(U1112&lt;&gt;"",UPPER(TRIM(U1112)),IF(CB1112=1,UPPER(VLOOKUP(T1112,Parameter!$I$27:$K$29,2,0)),IF(P1112="","LOSE",P1112)))</f>
        <v>S32</v>
      </c>
      <c r="BZ1112" s="62" t="n">
        <f aca="false">IF(BY1112="LOSE",1,IF(N(V1112)&gt;0,V1112,IF(CB1112=1,MAX(1,N(VLOOKUP(T1112,Parameter!$I$27:$K$29,3,0)),H1112,N(N1112)),IF(N(Q1112)&gt;0,Q1112,MAX(1,H1112)))))</f>
        <v>20</v>
      </c>
      <c r="CA1112" s="65" t="n">
        <f aca="false">IF(BY1112="LOSE",1,0)</f>
        <v>0</v>
      </c>
      <c r="CB1112" s="65" t="n">
        <f aca="false">IF(AND(U1112="",OR(P1112="",P1112="LOSE"),T1112&lt;&gt;"",N(S1112)&lt;=0,ISNUMBER(MATCH(T1112,Parameter!$I$27:$I$29,0))),1,0)</f>
        <v>0</v>
      </c>
      <c r="CC1112" s="65" t="n">
        <f aca="false">IF(CR1112&gt;0,INDEX(Parameter!$H$5:$H$7,W1112)/INDEX(Parameter!$E$5:$E$7,W1112),IF(AND(CA1112=0,N(IFERROR(VLOOKUP(BY1112,'Gebinde-Kategorie'!$A$5:$N$45,14,0),0))&gt;0),VLOOKUP(BY1112,'Gebinde-Kategorie'!$A$5:$N$45,14,0)*10+Parameter!$M$23,Parameter!$M$24))</f>
        <v>155</v>
      </c>
      <c r="CD1112" s="60" t="str">
        <f aca="false">IF(AND(Parameter!$B$19="Ja",E1112&lt;&gt;"",ISNUMBER(MATCH(E1112,Parameter!$I$35:$I$52,0))),VLOOKUP(E1112,Parameter!$I$35:$J$52,2,0),IFERROR(VLOOKUP(D1112,Parameter!$A$35:$C$64,2,0),"Nein"))</f>
        <v>2+3</v>
      </c>
      <c r="CE1112" s="64" t="n">
        <f aca="false">IF(CA1112=0,0,IF(N(S1112)&gt;0,S1112,IFERROR(VLOOKUP(D1112,Parameter!$A$35:$C$64,3,0)+0,0)))</f>
        <v>0</v>
      </c>
      <c r="CF1112" s="60" t="n">
        <f aca="false">IF(AB1112&lt;&gt;"",AB1112,AA1112)</f>
        <v>3</v>
      </c>
      <c r="CG1112" s="60" t="str">
        <f aca="false">IF(OR(CF1112=1,CF1112=2,CF1112=3),IF(Parameter!$E$27="Ja","LIFT",IF(CF1112=1,"L1","L23")),IF(CF1112="Aussen","Aussen","-"))</f>
        <v>LIFT</v>
      </c>
      <c r="CH1112" s="71" t="n">
        <f aca="false">IF(N(AC1112)&gt;0,AC1112,0)</f>
        <v>0</v>
      </c>
      <c r="CI1112" s="65" t="n">
        <f aca="false">IF(ISNUMBER(AF1112),1,0)</f>
        <v>0</v>
      </c>
      <c r="CJ1112" s="62" t="n">
        <f aca="false">N(AF1112)</f>
        <v>0</v>
      </c>
      <c r="CK1112" s="62" t="n">
        <f aca="false">N(M1112)+N(N1112)</f>
        <v>5</v>
      </c>
      <c r="CL1112" s="62" t="n">
        <f aca="false">N(M1112)</f>
        <v>0</v>
      </c>
      <c r="CM1112" s="62" t="n">
        <f aca="false">N(N1112)</f>
        <v>5</v>
      </c>
      <c r="CN1112" s="62" t="n">
        <f aca="false">ROUNDUP(H1112/BZ1112,0)</f>
        <v>1</v>
      </c>
      <c r="CO1112" s="62" t="n">
        <f aca="false">ROUNDUP(CJ1112/BZ1112,0)</f>
        <v>0</v>
      </c>
      <c r="CP1112" s="65" t="n">
        <f aca="false">IF(CA1112=1,0,IFERROR(VLOOKUP(BY1112,'Gebinde-Kategorie'!$A$5:$N$45,5,0)+0,0))</f>
        <v>8</v>
      </c>
      <c r="CQ1112" s="65" t="n">
        <f aca="false">IFERROR(IF(OR(CF1112=1,CF1112=2,CF1112=3),N(INDEX(Parameter!$I$5:$I$7,CF1112)),0),0)</f>
        <v>0</v>
      </c>
      <c r="CR1112" s="64" t="n">
        <f aca="false">IF(AND(Parameter!$B$21="Ja",ISNUMBER(W1112),N(X1112)&gt;0),IFERROR(N(INDEX(Parameter!$L$5:$L$7,W1112))*INDEX(Parameter!$E$5:$E$7,W1112)*X1112/SUMIFS($X$7:$X$1843,$W$7:$W$1843,W1112),0),0)</f>
        <v>0</v>
      </c>
      <c r="CS1112" s="62" t="n">
        <f aca="false">IF(AND(OR(CG1112="L1",CG1112="L23",CG1112="LIFT"),H1112&gt;0),CC1112*IF(CR1112&gt;0,CR1112*MAX(1,H1112/X1112),IF(CA1112=1,CE1112,IF(R1112&gt;0,CN1112/R1112,0))/MAX(0.1,N(Parameter!$M$21))),"")</f>
        <v>1.49038461538462</v>
      </c>
      <c r="CT1112" s="64" t="n">
        <f aca="false">IF(CS1112="","",J1112/H1112)</f>
        <v>0.352941176470588</v>
      </c>
      <c r="CU1112" s="62" t="n">
        <f aca="false">IF(CS1112="","",H1112*G1112)</f>
        <v>357.17</v>
      </c>
      <c r="CV1112" s="63" t="n">
        <f aca="false">IF(CS1112="","",(CL1112+ROUNDUP(CL1112+MAX(CM1112,2*(J1112/MAX(0.1,N(Einkauf!$C$6))-CL1112)),0))/2)</f>
        <v>2.5</v>
      </c>
      <c r="CW1112" s="62" t="n">
        <f aca="false">IF(CS1112="","",MAX(0,H1112-CV1112)*G1112)</f>
        <v>304.645</v>
      </c>
      <c r="CX1112" s="62" t="n">
        <f aca="false">IF(CS1112="","",CS1112*MAX(0,1-CV1112/H1112))</f>
        <v>1.27121040723982</v>
      </c>
      <c r="CY1112" s="64" t="n">
        <f aca="false">IF(CS1112="","",PERCENTRANK($CS$7:$CS$1843,CS1112)+PERCENTRANK($CU$7:$CU$1843,CU1112)+1-PERCENTRANK($CT$7:$CT$1843,CT1112))</f>
        <v>1.058</v>
      </c>
      <c r="CZ1112" s="72" t="n">
        <f aca="false">IF(CS1112="","",CHOOSE(MATCH(Einkauf!$C$5,Parameter!$G$23:$G$27,0),CY1112,CS1112,CU1112,-CT1112,CW1112)+ROW()/1000000000)</f>
        <v>1.058001112</v>
      </c>
    </row>
    <row r="1113" customFormat="false" ht="15" hidden="false" customHeight="false" outlineLevel="0" collapsed="false">
      <c r="A1113" s="60" t="s">
        <v>2062</v>
      </c>
      <c r="B1113" s="60" t="s">
        <v>631</v>
      </c>
      <c r="C1113" s="60" t="s">
        <v>206</v>
      </c>
      <c r="D1113" s="60" t="s">
        <v>226</v>
      </c>
      <c r="E1113" s="60"/>
      <c r="F1113" s="60" t="s">
        <v>260</v>
      </c>
      <c r="G1113" s="61" t="n">
        <v>21.05</v>
      </c>
      <c r="H1113" s="62" t="n">
        <f aca="false">MAX(0,IF(AND(Parameter!$B$21="Ja",ISNUMBER(Y1113)),Y1113,IF(Parameter!$B$20="Jahresanfang 2025 + Export",BS1113+BR1113,BR1113)))</f>
        <v>67</v>
      </c>
      <c r="I1113" s="62" t="n">
        <f aca="false">H1113*G1113</f>
        <v>1410.35</v>
      </c>
      <c r="J1113" s="62" t="n">
        <f aca="false">BU1113*Parameter!$B$18</f>
        <v>3</v>
      </c>
      <c r="K1113" s="63" t="n">
        <v>76</v>
      </c>
      <c r="L1113" s="64" t="n">
        <v>0.0394736842105263</v>
      </c>
      <c r="M1113" s="62" t="n">
        <v>0</v>
      </c>
      <c r="N1113" s="62" t="n">
        <v>5</v>
      </c>
      <c r="O1113" s="65" t="n">
        <v>35</v>
      </c>
      <c r="P1113" s="60" t="s">
        <v>443</v>
      </c>
      <c r="Q1113" s="62" t="n">
        <v>100</v>
      </c>
      <c r="R1113" s="65" t="n">
        <f aca="false">IF(CA1113=1,0,IFERROR(VLOOKUP(BY1113,'Gebinde-Kategorie'!$A$5:$N$45,13,0)+0,0))</f>
        <v>280</v>
      </c>
      <c r="S1113" s="66"/>
      <c r="T1113" s="67"/>
      <c r="U1113" s="67"/>
      <c r="V1113" s="67"/>
      <c r="W1113" s="60"/>
      <c r="X1113" s="62"/>
      <c r="Y1113" s="62"/>
      <c r="Z1113" s="60" t="n">
        <v>1</v>
      </c>
      <c r="AA1113" s="60" t="n">
        <f aca="false">IF(A1113="","",IF(AND(Parameter!$B$21="Ja",ISNUMBER(W1113)),W1113,IF(AND(Parameter!$E$27="Ja",ISNUMBER(Z1113),CD1113&lt;&gt;"Nein"),Z1113,IF(CD1113="2+3",IF(ISNUMBER(SEARCH("grosser Artikel",BV1113)),2,IFERROR(VLOOKUP(BY1113,Parameter!$F$35:$G$64,2,0),2)),IF(OR(CD1113="Nein",CD1113=""),"-",CD1113)))))</f>
        <v>1</v>
      </c>
      <c r="AB1113" s="67"/>
      <c r="AC1113" s="68"/>
      <c r="AD1113" s="62" t="n">
        <f aca="false">AW1113</f>
        <v>5</v>
      </c>
      <c r="AE1113" s="62" t="n">
        <f aca="false">MAX(AW1113,H1113)</f>
        <v>67</v>
      </c>
      <c r="AF1113" s="69"/>
      <c r="AG1113" s="62" t="n">
        <f aca="false">IF(LEFT(Cockpit!$C$5,1)="A",H1113,IF(Parameter!$E$30="MAX-Bestand",IF(CI1113=1,CJ1113,IF(LEFT(Cockpit!$C$5,1)="B",AM1113,MAX(AM1113,H1113))),ROUNDUP(AK1113,0)))</f>
        <v>67</v>
      </c>
      <c r="AH1113" s="62" t="n">
        <f aca="false">IF(CA1113=1,0,ROUNDUP(AG1113/BZ1113,0))</f>
        <v>1</v>
      </c>
      <c r="AI1113" s="64" t="n">
        <f aca="false">IF(CR1113&gt;0,CR1113*MAX(1,AG1113/X1113),IF(CA1113=1,IF(AG1113&lt;=0,0,CE1113*MAX(1,IF(H1113&gt;0,AG1113/H1113,1))),IF(R1113&gt;0,AH1113/R1113,0))/MAX(0.1,N(Parameter!$M$21)))</f>
        <v>0.00357142857142857</v>
      </c>
      <c r="AJ1113" s="62" t="n">
        <f aca="false">AI1113*CC1113</f>
        <v>0.553571428571429</v>
      </c>
      <c r="AK1113" s="63" t="n">
        <f aca="false">IF(LEFT(Cockpit!$C$5,1)="A",H1113,IF(CI1113=1,(CL1113+CJ1113)/2,IF(LEFT(Cockpit!$C$5,1)="B",(CL1113+AM1113)/2,MAX((CL1113+AM1113)/2,H1113))))</f>
        <v>67</v>
      </c>
      <c r="AL1113" s="62" t="n">
        <f aca="false">AK1113*G1113</f>
        <v>1410.35</v>
      </c>
      <c r="AM1113" s="62" t="n">
        <f aca="false">ROUNDUP(CL1113+MAX(CM1113,2*(J1113/IF(CH1113&gt;0,CH1113,MAX(0.1,N(Cockpit!$C$6)))-CL1113)),0)</f>
        <v>5</v>
      </c>
      <c r="AN1113" s="63" t="n">
        <f aca="false">IF(AJ1113&gt;0,J1113/AJ1113,-1)</f>
        <v>5.41935483870968</v>
      </c>
      <c r="AO1113" s="63" t="n">
        <f aca="false">IF(AND(OR(CG1113="L1",CG1113="L23",CG1113="LIFT"),AJ1113&gt;0),SUMIFS($AJ$7:$AJ$1843,$CG$7:$CG$1843,CG1113,$AN$7:$AN$1843,"&gt;"&amp;AN1113)+SUMIFS($AJ$7:$AJ$1843,$CG$7:$CG$1843,CG1113,$AN$7:$AN$1843,AN1113,$BX$7:$BX$1843,"&lt;="&amp;BX1113),"")</f>
        <v>3717.24908424908</v>
      </c>
      <c r="AP1113" s="70" t="n">
        <f aca="false">IF(AO1113="",0,MAX(0,MIN(1,(IF(CG1113="L1",Parameter!$H$5,IF(CG1113="L23",Parameter!$H$6+Parameter!$H$7,Parameter!$H$5+Parameter!$H$6+Parameter!$H$7))-(AO1113-AJ1113))/AJ1113)))</f>
        <v>1</v>
      </c>
      <c r="AQ1113" s="62" t="n">
        <f aca="false">IF(LEFT(Cockpit!$I$5,1)="A",H1113,IF(Parameter!$E$30="MAX-Bestand",IF(CI1113=1,CJ1113,IF(LEFT(Cockpit!$I$5,1)="B",AW1113,MAX(AW1113,H1113))),ROUNDUP(AU1113,0)))</f>
        <v>67</v>
      </c>
      <c r="AR1113" s="62" t="n">
        <f aca="false">IF(CA1113=1,0,ROUNDUP(AQ1113/BZ1113,0))</f>
        <v>1</v>
      </c>
      <c r="AS1113" s="64" t="n">
        <f aca="false">IF(CR1113&gt;0,CR1113*MAX(1,AQ1113/X1113),IF(CA1113=1,IF(AQ1113&lt;=0,0,CE1113*MAX(1,IF(H1113&gt;0,AQ1113/H1113,1))),IF(R1113&gt;0,AR1113/R1113,0))/MAX(0.1,N(Parameter!$M$21)))</f>
        <v>0.00357142857142857</v>
      </c>
      <c r="AT1113" s="62" t="n">
        <f aca="false">AS1113*CC1113</f>
        <v>0.553571428571429</v>
      </c>
      <c r="AU1113" s="63" t="n">
        <f aca="false">IF(LEFT(Cockpit!$I$5,1)="A",H1113,IF(CI1113=1,(CL1113+CJ1113)/2,IF(LEFT(Cockpit!$I$5,1)="B",(CL1113+AW1113)/2,MAX((CL1113+AW1113)/2,H1113))))</f>
        <v>67</v>
      </c>
      <c r="AV1113" s="62" t="n">
        <f aca="false">AU1113*G1113</f>
        <v>1410.35</v>
      </c>
      <c r="AW1113" s="62" t="n">
        <f aca="false">ROUNDUP(CL1113+MAX(CM1113,2*(J1113/IF(CH1113&gt;0,CH1113,MAX(0.1,N(Cockpit!$I$6)))-CL1113)),0)</f>
        <v>5</v>
      </c>
      <c r="AX1113" s="63" t="n">
        <f aca="false">IF(AT1113&gt;0,J1113/AT1113,-1)</f>
        <v>5.41935483870968</v>
      </c>
      <c r="AY1113" s="63" t="n">
        <f aca="false">IF(AND(OR(CG1113="L1",CG1113="L23",CG1113="LIFT"),AT1113&gt;0),SUMIFS($AT$7:$AT$1843,$CG$7:$CG$1843,CG1113,$AX$7:$AX$1843,"&gt;"&amp;AX1113)+SUMIFS($AT$7:$AT$1843,$CG$7:$CG$1843,CG1113,$AX$7:$AX$1843,AX1113,$BX$7:$BX$1843,"&lt;="&amp;BX1113),"")</f>
        <v>4370.98992673993</v>
      </c>
      <c r="AZ1113" s="70" t="n">
        <f aca="false">IF(AY1113="",0,MAX(0,MIN(1,(IF(CG1113="L1",Parameter!$H$5,IF(CG1113="L23",Parameter!$H$6+Parameter!$H$7,Parameter!$H$5+Parameter!$H$6+Parameter!$H$7))-(AY1113-AT1113))/AT1113)))</f>
        <v>1</v>
      </c>
      <c r="BA1113" s="62" t="n">
        <f aca="false">IF(LEFT(Cockpit!$O$5,1)="A",H1113,IF(Parameter!$E$30="MAX-Bestand",IF(CI1113=1,CJ1113,IF(LEFT(Cockpit!$O$5,1)="B",BG1113,MAX(BG1113,H1113))),ROUNDUP(BE1113,0)))</f>
        <v>3</v>
      </c>
      <c r="BB1113" s="62" t="n">
        <f aca="false">IF(CA1113=1,0,ROUNDUP(BA1113/BZ1113,0))</f>
        <v>1</v>
      </c>
      <c r="BC1113" s="64" t="n">
        <f aca="false">IF(CR1113&gt;0,CR1113*MAX(1,BA1113/X1113),IF(CA1113=1,IF(BA1113&lt;=0,0,CE1113*MAX(1,IF(H1113&gt;0,BA1113/H1113,1))),IF(R1113&gt;0,BB1113/R1113,0))/MAX(0.1,N(Parameter!$M$21)))</f>
        <v>0.00357142857142857</v>
      </c>
      <c r="BD1113" s="62" t="n">
        <f aca="false">BC1113*CC1113</f>
        <v>0.553571428571429</v>
      </c>
      <c r="BE1113" s="63" t="n">
        <f aca="false">IF(LEFT(Cockpit!$O$5,1)="A",H1113,IF(CI1113=1,(CL1113+CJ1113)/2,IF(LEFT(Cockpit!$O$5,1)="B",(CL1113+BG1113)/2,MAX((CL1113+BG1113)/2,H1113))))</f>
        <v>2.5</v>
      </c>
      <c r="BF1113" s="62" t="n">
        <f aca="false">BE1113*G1113</f>
        <v>52.625</v>
      </c>
      <c r="BG1113" s="62" t="n">
        <f aca="false">ROUNDUP(CL1113+MAX(CM1113,2*(J1113/IF(CH1113&gt;0,CH1113,MAX(0.1,N(Cockpit!$O$6)))-CL1113)),0)</f>
        <v>5</v>
      </c>
      <c r="BH1113" s="63" t="n">
        <f aca="false">IF(BD1113&gt;0,J1113/BD1113,-1)</f>
        <v>5.41935483870968</v>
      </c>
      <c r="BI1113" s="63" t="n">
        <f aca="false">IF(AND(OR(CG1113="L1",CG1113="L23",CG1113="LIFT"),BD1113&gt;0),SUMIFS($BD$7:$BD$1843,$CG$7:$CG$1843,CG1113,$BH$7:$BH$1843,"&gt;"&amp;BH1113)+SUMIFS($BD$7:$BD$1843,$CG$7:$CG$1843,CG1113,$BH$7:$BH$1843,BH1113,$BX$7:$BX$1843,"&lt;="&amp;BX1113),"")</f>
        <v>3685.51190476191</v>
      </c>
      <c r="BJ1113" s="70" t="n">
        <f aca="false">IF(BI1113="",0,MAX(0,MIN(1,(IF(CG1113="L1",Parameter!$H$5,IF(CG1113="L23",Parameter!$H$6+Parameter!$H$7,Parameter!$H$5+Parameter!$H$6+Parameter!$H$7))-(BI1113-BD1113))/BD1113)))</f>
        <v>1</v>
      </c>
      <c r="BK1113" s="60" t="str">
        <f aca="false">IF(AJ1113&lt;=0,"",IF(CG1113="Aussen","Aussenlager",IF(CG1113="-","Nicht im Lift",IF(AP1113&gt;=1,"Lift",IF(AP1113&lt;=0,"Aussenlager","teilweise")))))</f>
        <v>Lift</v>
      </c>
      <c r="BL1113" s="60" t="str">
        <f aca="false">IF(AT1113&lt;=0,"",IF(CG1113="Aussen","Aussenlager",IF(CG1113="-","Nicht im Lift",IF(AZ1113&gt;=1,"Lift",IF(AZ1113&lt;=0,"Aussenlager","teilweise")))))</f>
        <v>Lift</v>
      </c>
      <c r="BM1113" s="60" t="str">
        <f aca="false">IF(BD1113&lt;=0,"",IF(CG1113="Aussen","Aussenlager",IF(CG1113="-","Nicht im Lift",IF(BJ1113&gt;=1,"Lift",IF(BJ1113&lt;=0,"Aussenlager","teilweise")))))</f>
        <v>Lift</v>
      </c>
      <c r="BN1113" s="60" t="str">
        <f aca="false">IF(A1113="","",IF(BW1113=1,"Neu; ","")&amp;IF(AND(BW1113=0,BR1113&lt;0),"negativer Bestand (Export "&amp;BR1113&amp;"); ","")&amp;IF(J1113&lt;=0,"Kein Verbrauch; ","")&amp;IF(CR1113&gt;0,"Lift "&amp;W1113&amp;" lt. Liftbericht (Fach "&amp;X1113&amp;" Stk); ",IF(CB1113=1,"Gebinde geschätzt ("&amp;T1113&amp;"); ",IF(CA1113=1,"Lose – Tablare geschätzt; ","")))&amp;IF(H1113&gt;AW1113,"Überbestand "&amp;ROUND(H1113-AW1113,0)&amp;" Stk / CHF "&amp;ROUND((H1113-AW1113)*G1113,0)&amp;"; ","")&amp;IF(AND(CI1113=1,CJ1113&lt;CK1113),"MAX &lt; MB+LG; ","")&amp;IF(AND(CQ1113&gt;0,CP1113*10&gt;CQ1113),"zu hoch für Tablar; ","")&amp;IF(AND(BW1113=0,OR(CI1113=1,AB1113&lt;&gt;"",U1113&lt;&gt;"",V1113&lt;&gt;"",AC1113&lt;&gt;"")),"manuell übersteuert; ","")&amp;IF(AND(CA1113=0,R1113=0),"Gebinde unbekannt / Stellmass fehlt; ","")&amp;IF(AND(CA1113=0,N(V1113)&lt;=0,N(Q1113)&lt;=0),"Menge pro Gebinde fehlt (Ist = 1 Gebinde); ","")&amp;BV1113)</f>
        <v>negativer Bestand (Export -11); Überbestand 62 Stk / CHF 1305; Überbestand</v>
      </c>
      <c r="BO1113" s="60"/>
      <c r="BP1113" s="60"/>
      <c r="BQ1113" s="67"/>
      <c r="BR1113" s="62" t="n">
        <v>-11</v>
      </c>
      <c r="BS1113" s="62" t="n">
        <v>78</v>
      </c>
      <c r="BT1113" s="61" t="n">
        <v>-231.55</v>
      </c>
      <c r="BU1113" s="62" t="n">
        <v>3</v>
      </c>
      <c r="BV1113" s="60" t="s">
        <v>434</v>
      </c>
      <c r="BW1113" s="65" t="n">
        <v>0</v>
      </c>
      <c r="BX1113" s="65" t="n">
        <v>1113</v>
      </c>
      <c r="BY1113" s="60" t="str">
        <f aca="false">IF(U1113&lt;&gt;"",UPPER(TRIM(U1113)),IF(CB1113=1,UPPER(VLOOKUP(T1113,Parameter!$I$27:$K$29,2,0)),IF(P1113="","LOSE",P1113)))</f>
        <v>S21</v>
      </c>
      <c r="BZ1113" s="62" t="n">
        <f aca="false">IF(BY1113="LOSE",1,IF(N(V1113)&gt;0,V1113,IF(CB1113=1,MAX(1,N(VLOOKUP(T1113,Parameter!$I$27:$K$29,3,0)),H1113,N(N1113)),IF(N(Q1113)&gt;0,Q1113,MAX(1,H1113)))))</f>
        <v>100</v>
      </c>
      <c r="CA1113" s="65" t="n">
        <f aca="false">IF(BY1113="LOSE",1,0)</f>
        <v>0</v>
      </c>
      <c r="CB1113" s="65" t="n">
        <f aca="false">IF(AND(U1113="",OR(P1113="",P1113="LOSE"),T1113&lt;&gt;"",N(S1113)&lt;=0,ISNUMBER(MATCH(T1113,Parameter!$I$27:$I$29,0))),1,0)</f>
        <v>0</v>
      </c>
      <c r="CC1113" s="65" t="n">
        <f aca="false">IF(CR1113&gt;0,INDEX(Parameter!$H$5:$H$7,W1113)/INDEX(Parameter!$E$5:$E$7,W1113),IF(AND(CA1113=0,N(IFERROR(VLOOKUP(BY1113,'Gebinde-Kategorie'!$A$5:$N$45,14,0),0))&gt;0),VLOOKUP(BY1113,'Gebinde-Kategorie'!$A$5:$N$45,14,0)*10+Parameter!$M$23,Parameter!$M$24))</f>
        <v>155</v>
      </c>
      <c r="CD1113" s="60" t="str">
        <f aca="false">IF(AND(Parameter!$B$19="Ja",E1113&lt;&gt;"",ISNUMBER(MATCH(E1113,Parameter!$I$35:$I$52,0))),VLOOKUP(E1113,Parameter!$I$35:$J$52,2,0),IFERROR(VLOOKUP(D1113,Parameter!$A$35:$C$64,2,0),"Nein"))</f>
        <v>2+3</v>
      </c>
      <c r="CE1113" s="64" t="n">
        <f aca="false">IF(CA1113=0,0,IF(N(S1113)&gt;0,S1113,IFERROR(VLOOKUP(D1113,Parameter!$A$35:$C$64,3,0)+0,0)))</f>
        <v>0</v>
      </c>
      <c r="CF1113" s="60" t="n">
        <f aca="false">IF(AB1113&lt;&gt;"",AB1113,AA1113)</f>
        <v>1</v>
      </c>
      <c r="CG1113" s="60" t="str">
        <f aca="false">IF(OR(CF1113=1,CF1113=2,CF1113=3),IF(Parameter!$E$27="Ja","LIFT",IF(CF1113=1,"L1","L23")),IF(CF1113="Aussen","Aussen","-"))</f>
        <v>LIFT</v>
      </c>
      <c r="CH1113" s="71" t="n">
        <f aca="false">IF(N(AC1113)&gt;0,AC1113,0)</f>
        <v>0</v>
      </c>
      <c r="CI1113" s="65" t="n">
        <f aca="false">IF(ISNUMBER(AF1113),1,0)</f>
        <v>0</v>
      </c>
      <c r="CJ1113" s="62" t="n">
        <f aca="false">N(AF1113)</f>
        <v>0</v>
      </c>
      <c r="CK1113" s="62" t="n">
        <f aca="false">N(M1113)+N(N1113)</f>
        <v>5</v>
      </c>
      <c r="CL1113" s="62" t="n">
        <f aca="false">N(M1113)</f>
        <v>0</v>
      </c>
      <c r="CM1113" s="62" t="n">
        <f aca="false">N(N1113)</f>
        <v>5</v>
      </c>
      <c r="CN1113" s="62" t="n">
        <f aca="false">ROUNDUP(H1113/BZ1113,0)</f>
        <v>1</v>
      </c>
      <c r="CO1113" s="62" t="n">
        <f aca="false">ROUNDUP(CJ1113/BZ1113,0)</f>
        <v>0</v>
      </c>
      <c r="CP1113" s="65" t="n">
        <f aca="false">IF(CA1113=1,0,IFERROR(VLOOKUP(BY1113,'Gebinde-Kategorie'!$A$5:$N$45,5,0)+0,0))</f>
        <v>8</v>
      </c>
      <c r="CQ1113" s="65" t="n">
        <f aca="false">IFERROR(IF(OR(CF1113=1,CF1113=2,CF1113=3),N(INDEX(Parameter!$I$5:$I$7,CF1113)),0),0)</f>
        <v>0</v>
      </c>
      <c r="CR1113" s="64" t="n">
        <f aca="false">IF(AND(Parameter!$B$21="Ja",ISNUMBER(W1113),N(X1113)&gt;0),IFERROR(N(INDEX(Parameter!$L$5:$L$7,W1113))*INDEX(Parameter!$E$5:$E$7,W1113)*X1113/SUMIFS($X$7:$X$1843,$W$7:$W$1843,W1113),0),0)</f>
        <v>0</v>
      </c>
      <c r="CS1113" s="62" t="n">
        <f aca="false">IF(AND(OR(CG1113="L1",CG1113="L23",CG1113="LIFT"),H1113&gt;0),CC1113*IF(CR1113&gt;0,CR1113*MAX(1,H1113/X1113),IF(CA1113=1,CE1113,IF(R1113&gt;0,CN1113/R1113,0))/MAX(0.1,N(Parameter!$M$21))),"")</f>
        <v>0.553571428571429</v>
      </c>
      <c r="CT1113" s="64" t="n">
        <f aca="false">IF(CS1113="","",J1113/H1113)</f>
        <v>0.0447761194029851</v>
      </c>
      <c r="CU1113" s="62" t="n">
        <f aca="false">IF(CS1113="","",H1113*G1113)</f>
        <v>1410.35</v>
      </c>
      <c r="CV1113" s="63" t="n">
        <f aca="false">IF(CS1113="","",(CL1113+ROUNDUP(CL1113+MAX(CM1113,2*(J1113/MAX(0.1,N(Einkauf!$C$6))-CL1113)),0))/2)</f>
        <v>2.5</v>
      </c>
      <c r="CW1113" s="62" t="n">
        <f aca="false">IF(CS1113="","",MAX(0,H1113-CV1113)*G1113)</f>
        <v>1357.725</v>
      </c>
      <c r="CX1113" s="62" t="n">
        <f aca="false">IF(CS1113="","",CS1113*MAX(0,1-CV1113/H1113))</f>
        <v>0.532915778251599</v>
      </c>
      <c r="CY1113" s="64" t="n">
        <f aca="false">IF(CS1113="","",PERCENTRANK($CS$7:$CS$1843,CS1113)+PERCENTRANK($CU$7:$CU$1843,CU1113)+1-PERCENTRANK($CT$7:$CT$1843,CT1113))</f>
        <v>1.306</v>
      </c>
      <c r="CZ1113" s="72" t="n">
        <f aca="false">IF(CS1113="","",CHOOSE(MATCH(Einkauf!$C$5,Parameter!$G$23:$G$27,0),CY1113,CS1113,CU1113,-CT1113,CW1113)+ROW()/1000000000)</f>
        <v>1.306001113</v>
      </c>
    </row>
    <row r="1114" customFormat="false" ht="15" hidden="false" customHeight="false" outlineLevel="0" collapsed="false">
      <c r="A1114" s="60" t="s">
        <v>2063</v>
      </c>
      <c r="B1114" s="60" t="s">
        <v>2064</v>
      </c>
      <c r="C1114" s="60" t="s">
        <v>206</v>
      </c>
      <c r="D1114" s="60" t="s">
        <v>226</v>
      </c>
      <c r="E1114" s="60"/>
      <c r="F1114" s="60" t="s">
        <v>260</v>
      </c>
      <c r="G1114" s="61" t="n">
        <v>116.54</v>
      </c>
      <c r="H1114" s="62" t="n">
        <f aca="false">MAX(0,IF(AND(Parameter!$B$21="Ja",ISNUMBER(Y1114)),Y1114,IF(Parameter!$B$20="Jahresanfang 2025 + Export",BS1114+BR1114,BR1114)))</f>
        <v>8</v>
      </c>
      <c r="I1114" s="62" t="n">
        <f aca="false">H1114*G1114</f>
        <v>932.32</v>
      </c>
      <c r="J1114" s="62" t="n">
        <f aca="false">BU1114*Parameter!$B$18</f>
        <v>0</v>
      </c>
      <c r="K1114" s="63" t="n">
        <v>10</v>
      </c>
      <c r="L1114" s="64" t="n">
        <v>0</v>
      </c>
      <c r="M1114" s="62" t="n">
        <v>0</v>
      </c>
      <c r="N1114" s="62" t="n">
        <v>1</v>
      </c>
      <c r="O1114" s="65" t="n">
        <v>28</v>
      </c>
      <c r="P1114" s="60" t="s">
        <v>344</v>
      </c>
      <c r="Q1114" s="62" t="n">
        <v>8</v>
      </c>
      <c r="R1114" s="65" t="n">
        <f aca="false">IF(CA1114=1,0,IFERROR(VLOOKUP(BY1114,'Gebinde-Kategorie'!$A$5:$N$45,13,0)+0,0))</f>
        <v>26</v>
      </c>
      <c r="S1114" s="66"/>
      <c r="T1114" s="67"/>
      <c r="U1114" s="67"/>
      <c r="V1114" s="67"/>
      <c r="W1114" s="60"/>
      <c r="X1114" s="62"/>
      <c r="Y1114" s="62"/>
      <c r="Z1114" s="60" t="n">
        <v>3</v>
      </c>
      <c r="AA1114" s="60" t="n">
        <f aca="false">IF(A1114="","",IF(AND(Parameter!$B$21="Ja",ISNUMBER(W1114)),W1114,IF(AND(Parameter!$E$27="Ja",ISNUMBER(Z1114),CD1114&lt;&gt;"Nein"),Z1114,IF(CD1114="2+3",IF(ISNUMBER(SEARCH("grosser Artikel",BV1114)),2,IFERROR(VLOOKUP(BY1114,Parameter!$F$35:$G$64,2,0),2)),IF(OR(CD1114="Nein",CD1114=""),"-",CD1114)))))</f>
        <v>3</v>
      </c>
      <c r="AB1114" s="67"/>
      <c r="AC1114" s="68"/>
      <c r="AD1114" s="62" t="n">
        <f aca="false">AW1114</f>
        <v>1</v>
      </c>
      <c r="AE1114" s="62" t="n">
        <f aca="false">MAX(AW1114,H1114)</f>
        <v>8</v>
      </c>
      <c r="AF1114" s="69"/>
      <c r="AG1114" s="62" t="n">
        <f aca="false">IF(LEFT(Cockpit!$C$5,1)="A",H1114,IF(Parameter!$E$30="MAX-Bestand",IF(CI1114=1,CJ1114,IF(LEFT(Cockpit!$C$5,1)="B",AM1114,MAX(AM1114,H1114))),ROUNDUP(AK1114,0)))</f>
        <v>8</v>
      </c>
      <c r="AH1114" s="62" t="n">
        <f aca="false">IF(CA1114=1,0,ROUNDUP(AG1114/BZ1114,0))</f>
        <v>1</v>
      </c>
      <c r="AI1114" s="64" t="n">
        <f aca="false">IF(CR1114&gt;0,CR1114*MAX(1,AG1114/X1114),IF(CA1114=1,IF(AG1114&lt;=0,0,CE1114*MAX(1,IF(H1114&gt;0,AG1114/H1114,1))),IF(R1114&gt;0,AH1114/R1114,0))/MAX(0.1,N(Parameter!$M$21)))</f>
        <v>0.0384615384615385</v>
      </c>
      <c r="AJ1114" s="62" t="n">
        <f aca="false">AI1114*CC1114</f>
        <v>5.96153846153846</v>
      </c>
      <c r="AK1114" s="63" t="n">
        <f aca="false">IF(LEFT(Cockpit!$C$5,1)="A",H1114,IF(CI1114=1,(CL1114+CJ1114)/2,IF(LEFT(Cockpit!$C$5,1)="B",(CL1114+AM1114)/2,MAX((CL1114+AM1114)/2,H1114))))</f>
        <v>8</v>
      </c>
      <c r="AL1114" s="62" t="n">
        <f aca="false">AK1114*G1114</f>
        <v>932.32</v>
      </c>
      <c r="AM1114" s="62" t="n">
        <f aca="false">ROUNDUP(CL1114+MAX(CM1114,2*(J1114/IF(CH1114&gt;0,CH1114,MAX(0.1,N(Cockpit!$C$6)))-CL1114)),0)</f>
        <v>1</v>
      </c>
      <c r="AN1114" s="63" t="n">
        <f aca="false">IF(AJ1114&gt;0,J1114/AJ1114,-1)</f>
        <v>0</v>
      </c>
      <c r="AO1114" s="63" t="n">
        <f aca="false">IF(AND(OR(CG1114="L1",CG1114="L23",CG1114="LIFT"),AJ1114&gt;0),SUMIFS($AJ$7:$AJ$1843,$CG$7:$CG$1843,CG1114,$AN$7:$AN$1843,"&gt;"&amp;AN1114)+SUMIFS($AJ$7:$AJ$1843,$CG$7:$CG$1843,CG1114,$AN$7:$AN$1843,AN1114,$BX$7:$BX$1843,"&lt;="&amp;BX1114),"")</f>
        <v>29141.9475124687</v>
      </c>
      <c r="AP1114" s="70" t="n">
        <f aca="false">IF(AO1114="",0,MAX(0,MIN(1,(IF(CG1114="L1",Parameter!$H$5,IF(CG1114="L23",Parameter!$H$6+Parameter!$H$7,Parameter!$H$5+Parameter!$H$6+Parameter!$H$7))-(AO1114-AJ1114))/AJ1114)))</f>
        <v>1</v>
      </c>
      <c r="AQ1114" s="62" t="n">
        <f aca="false">IF(LEFT(Cockpit!$I$5,1)="A",H1114,IF(Parameter!$E$30="MAX-Bestand",IF(CI1114=1,CJ1114,IF(LEFT(Cockpit!$I$5,1)="B",AW1114,MAX(AW1114,H1114))),ROUNDUP(AU1114,0)))</f>
        <v>8</v>
      </c>
      <c r="AR1114" s="62" t="n">
        <f aca="false">IF(CA1114=1,0,ROUNDUP(AQ1114/BZ1114,0))</f>
        <v>1</v>
      </c>
      <c r="AS1114" s="64" t="n">
        <f aca="false">IF(CR1114&gt;0,CR1114*MAX(1,AQ1114/X1114),IF(CA1114=1,IF(AQ1114&lt;=0,0,CE1114*MAX(1,IF(H1114&gt;0,AQ1114/H1114,1))),IF(R1114&gt;0,AR1114/R1114,0))/MAX(0.1,N(Parameter!$M$21)))</f>
        <v>0.0384615384615385</v>
      </c>
      <c r="AT1114" s="62" t="n">
        <f aca="false">AS1114*CC1114</f>
        <v>5.96153846153846</v>
      </c>
      <c r="AU1114" s="63" t="n">
        <f aca="false">IF(LEFT(Cockpit!$I$5,1)="A",H1114,IF(CI1114=1,(CL1114+CJ1114)/2,IF(LEFT(Cockpit!$I$5,1)="B",(CL1114+AW1114)/2,MAX((CL1114+AW1114)/2,H1114))))</f>
        <v>8</v>
      </c>
      <c r="AV1114" s="62" t="n">
        <f aca="false">AU1114*G1114</f>
        <v>932.32</v>
      </c>
      <c r="AW1114" s="62" t="n">
        <f aca="false">ROUNDUP(CL1114+MAX(CM1114,2*(J1114/IF(CH1114&gt;0,CH1114,MAX(0.1,N(Cockpit!$I$6)))-CL1114)),0)</f>
        <v>1</v>
      </c>
      <c r="AX1114" s="63" t="n">
        <f aca="false">IF(AT1114&gt;0,J1114/AT1114,-1)</f>
        <v>0</v>
      </c>
      <c r="AY1114" s="63" t="n">
        <f aca="false">IF(AND(OR(CG1114="L1",CG1114="L23",CG1114="LIFT"),AT1114&gt;0),SUMIFS($AT$7:$AT$1843,$CG$7:$CG$1843,CG1114,$AX$7:$AX$1843,"&gt;"&amp;AX1114)+SUMIFS($AT$7:$AT$1843,$CG$7:$CG$1843,CG1114,$AX$7:$AX$1843,AX1114,$BX$7:$BX$1843,"&lt;="&amp;BX1114),"")</f>
        <v>34862.2042124542</v>
      </c>
      <c r="AZ1114" s="70" t="n">
        <f aca="false">IF(AY1114="",0,MAX(0,MIN(1,(IF(CG1114="L1",Parameter!$H$5,IF(CG1114="L23",Parameter!$H$6+Parameter!$H$7,Parameter!$H$5+Parameter!$H$6+Parameter!$H$7))-(AY1114-AT1114))/AT1114)))</f>
        <v>1</v>
      </c>
      <c r="BA1114" s="62" t="n">
        <f aca="false">IF(LEFT(Cockpit!$O$5,1)="A",H1114,IF(Parameter!$E$30="MAX-Bestand",IF(CI1114=1,CJ1114,IF(LEFT(Cockpit!$O$5,1)="B",BG1114,MAX(BG1114,H1114))),ROUNDUP(BE1114,0)))</f>
        <v>1</v>
      </c>
      <c r="BB1114" s="62" t="n">
        <f aca="false">IF(CA1114=1,0,ROUNDUP(BA1114/BZ1114,0))</f>
        <v>1</v>
      </c>
      <c r="BC1114" s="64" t="n">
        <f aca="false">IF(CR1114&gt;0,CR1114*MAX(1,BA1114/X1114),IF(CA1114=1,IF(BA1114&lt;=0,0,CE1114*MAX(1,IF(H1114&gt;0,BA1114/H1114,1))),IF(R1114&gt;0,BB1114/R1114,0))/MAX(0.1,N(Parameter!$M$21)))</f>
        <v>0.0384615384615385</v>
      </c>
      <c r="BD1114" s="62" t="n">
        <f aca="false">BC1114*CC1114</f>
        <v>5.96153846153846</v>
      </c>
      <c r="BE1114" s="63" t="n">
        <f aca="false">IF(LEFT(Cockpit!$O$5,1)="A",H1114,IF(CI1114=1,(CL1114+CJ1114)/2,IF(LEFT(Cockpit!$O$5,1)="B",(CL1114+BG1114)/2,MAX((CL1114+BG1114)/2,H1114))))</f>
        <v>0.5</v>
      </c>
      <c r="BF1114" s="62" t="n">
        <f aca="false">BE1114*G1114</f>
        <v>58.27</v>
      </c>
      <c r="BG1114" s="62" t="n">
        <f aca="false">ROUNDUP(CL1114+MAX(CM1114,2*(J1114/IF(CH1114&gt;0,CH1114,MAX(0.1,N(Cockpit!$O$6)))-CL1114)),0)</f>
        <v>1</v>
      </c>
      <c r="BH1114" s="63" t="n">
        <f aca="false">IF(BD1114&gt;0,J1114/BD1114,-1)</f>
        <v>0</v>
      </c>
      <c r="BI1114" s="63" t="n">
        <f aca="false">IF(AND(OR(CG1114="L1",CG1114="L23",CG1114="LIFT"),BD1114&gt;0),SUMIFS($BD$7:$BD$1843,$CG$7:$CG$1843,CG1114,$BH$7:$BH$1843,"&gt;"&amp;BH1114)+SUMIFS($BD$7:$BD$1843,$CG$7:$CG$1843,CG1114,$BH$7:$BH$1843,BH1114,$BX$7:$BX$1843,"&lt;="&amp;BX1114),"")</f>
        <v>28847.510872602</v>
      </c>
      <c r="BJ1114" s="70" t="n">
        <f aca="false">IF(BI1114="",0,MAX(0,MIN(1,(IF(CG1114="L1",Parameter!$H$5,IF(CG1114="L23",Parameter!$H$6+Parameter!$H$7,Parameter!$H$5+Parameter!$H$6+Parameter!$H$7))-(BI1114-BD1114))/BD1114)))</f>
        <v>1</v>
      </c>
      <c r="BK1114" s="60" t="str">
        <f aca="false">IF(AJ1114&lt;=0,"",IF(CG1114="Aussen","Aussenlager",IF(CG1114="-","Nicht im Lift",IF(AP1114&gt;=1,"Lift",IF(AP1114&lt;=0,"Aussenlager","teilweise")))))</f>
        <v>Lift</v>
      </c>
      <c r="BL1114" s="60" t="str">
        <f aca="false">IF(AT1114&lt;=0,"",IF(CG1114="Aussen","Aussenlager",IF(CG1114="-","Nicht im Lift",IF(AZ1114&gt;=1,"Lift",IF(AZ1114&lt;=0,"Aussenlager","teilweise")))))</f>
        <v>Lift</v>
      </c>
      <c r="BM1114" s="60" t="str">
        <f aca="false">IF(BD1114&lt;=0,"",IF(CG1114="Aussen","Aussenlager",IF(CG1114="-","Nicht im Lift",IF(BJ1114&gt;=1,"Lift",IF(BJ1114&lt;=0,"Aussenlager","teilweise")))))</f>
        <v>Lift</v>
      </c>
      <c r="BN1114" s="60" t="str">
        <f aca="false">IF(A1114="","",IF(BW1114=1,"Neu; ","")&amp;IF(AND(BW1114=0,BR1114&lt;0),"negativer Bestand (Export "&amp;BR1114&amp;"); ","")&amp;IF(J1114&lt;=0,"Kein Verbrauch; ","")&amp;IF(CR1114&gt;0,"Lift "&amp;W1114&amp;" lt. Liftbericht (Fach "&amp;X1114&amp;" Stk); ",IF(CB1114=1,"Gebinde geschätzt ("&amp;T1114&amp;"); ",IF(CA1114=1,"Lose – Tablare geschätzt; ","")))&amp;IF(H1114&gt;AW1114,"Überbestand "&amp;ROUND(H1114-AW1114,0)&amp;" Stk / CHF "&amp;ROUND((H1114-AW1114)*G1114,0)&amp;"; ","")&amp;IF(AND(CI1114=1,CJ1114&lt;CK1114),"MAX &lt; MB+LG; ","")&amp;IF(AND(CQ1114&gt;0,CP1114*10&gt;CQ1114),"zu hoch für Tablar; ","")&amp;IF(AND(BW1114=0,OR(CI1114=1,AB1114&lt;&gt;"",U1114&lt;&gt;"",V1114&lt;&gt;"",AC1114&lt;&gt;"")),"manuell übersteuert; ","")&amp;IF(AND(CA1114=0,R1114=0),"Gebinde unbekannt / Stellmass fehlt; ","")&amp;IF(AND(CA1114=0,N(V1114)&lt;=0,N(Q1114)&lt;=0),"Menge pro Gebinde fehlt (Ist = 1 Gebinde); ","")&amp;BV1114)</f>
        <v>negativer Bestand (Export -2); Kein Verbrauch; Überbestand 7 Stk / CHF 816; Verb.Lager</v>
      </c>
      <c r="BO1114" s="60"/>
      <c r="BP1114" s="60"/>
      <c r="BQ1114" s="67"/>
      <c r="BR1114" s="62" t="n">
        <v>-2</v>
      </c>
      <c r="BS1114" s="62" t="n">
        <v>10</v>
      </c>
      <c r="BT1114" s="61" t="n">
        <v>-233.08</v>
      </c>
      <c r="BU1114" s="62" t="n">
        <v>0</v>
      </c>
      <c r="BV1114" s="60" t="s">
        <v>1072</v>
      </c>
      <c r="BW1114" s="65" t="n">
        <v>0</v>
      </c>
      <c r="BX1114" s="65" t="n">
        <v>1114</v>
      </c>
      <c r="BY1114" s="60" t="str">
        <f aca="false">IF(U1114&lt;&gt;"",UPPER(TRIM(U1114)),IF(CB1114=1,UPPER(VLOOKUP(T1114,Parameter!$I$27:$K$29,2,0)),IF(P1114="","LOSE",P1114)))</f>
        <v>S51</v>
      </c>
      <c r="BZ1114" s="62" t="n">
        <f aca="false">IF(BY1114="LOSE",1,IF(N(V1114)&gt;0,V1114,IF(CB1114=1,MAX(1,N(VLOOKUP(T1114,Parameter!$I$27:$K$29,3,0)),H1114,N(N1114)),IF(N(Q1114)&gt;0,Q1114,MAX(1,H1114)))))</f>
        <v>8</v>
      </c>
      <c r="CA1114" s="65" t="n">
        <f aca="false">IF(BY1114="LOSE",1,0)</f>
        <v>0</v>
      </c>
      <c r="CB1114" s="65" t="n">
        <f aca="false">IF(AND(U1114="",OR(P1114="",P1114="LOSE"),T1114&lt;&gt;"",N(S1114)&lt;=0,ISNUMBER(MATCH(T1114,Parameter!$I$27:$I$29,0))),1,0)</f>
        <v>0</v>
      </c>
      <c r="CC1114" s="65" t="n">
        <f aca="false">IF(CR1114&gt;0,INDEX(Parameter!$H$5:$H$7,W1114)/INDEX(Parameter!$E$5:$E$7,W1114),IF(AND(CA1114=0,N(IFERROR(VLOOKUP(BY1114,'Gebinde-Kategorie'!$A$5:$N$45,14,0),0))&gt;0),VLOOKUP(BY1114,'Gebinde-Kategorie'!$A$5:$N$45,14,0)*10+Parameter!$M$23,Parameter!$M$24))</f>
        <v>155</v>
      </c>
      <c r="CD1114" s="60" t="str">
        <f aca="false">IF(AND(Parameter!$B$19="Ja",E1114&lt;&gt;"",ISNUMBER(MATCH(E1114,Parameter!$I$35:$I$52,0))),VLOOKUP(E1114,Parameter!$I$35:$J$52,2,0),IFERROR(VLOOKUP(D1114,Parameter!$A$35:$C$64,2,0),"Nein"))</f>
        <v>2+3</v>
      </c>
      <c r="CE1114" s="64" t="n">
        <f aca="false">IF(CA1114=0,0,IF(N(S1114)&gt;0,S1114,IFERROR(VLOOKUP(D1114,Parameter!$A$35:$C$64,3,0)+0,0)))</f>
        <v>0</v>
      </c>
      <c r="CF1114" s="60" t="n">
        <f aca="false">IF(AB1114&lt;&gt;"",AB1114,AA1114)</f>
        <v>3</v>
      </c>
      <c r="CG1114" s="60" t="str">
        <f aca="false">IF(OR(CF1114=1,CF1114=2,CF1114=3),IF(Parameter!$E$27="Ja","LIFT",IF(CF1114=1,"L1","L23")),IF(CF1114="Aussen","Aussen","-"))</f>
        <v>LIFT</v>
      </c>
      <c r="CH1114" s="71" t="n">
        <f aca="false">IF(N(AC1114)&gt;0,AC1114,0)</f>
        <v>0</v>
      </c>
      <c r="CI1114" s="65" t="n">
        <f aca="false">IF(ISNUMBER(AF1114),1,0)</f>
        <v>0</v>
      </c>
      <c r="CJ1114" s="62" t="n">
        <f aca="false">N(AF1114)</f>
        <v>0</v>
      </c>
      <c r="CK1114" s="62" t="n">
        <f aca="false">N(M1114)+N(N1114)</f>
        <v>1</v>
      </c>
      <c r="CL1114" s="62" t="n">
        <f aca="false">N(M1114)</f>
        <v>0</v>
      </c>
      <c r="CM1114" s="62" t="n">
        <f aca="false">N(N1114)</f>
        <v>1</v>
      </c>
      <c r="CN1114" s="62" t="n">
        <f aca="false">ROUNDUP(H1114/BZ1114,0)</f>
        <v>1</v>
      </c>
      <c r="CO1114" s="62" t="n">
        <f aca="false">ROUNDUP(CJ1114/BZ1114,0)</f>
        <v>0</v>
      </c>
      <c r="CP1114" s="65" t="n">
        <f aca="false">IF(CA1114=1,0,IFERROR(VLOOKUP(BY1114,'Gebinde-Kategorie'!$A$5:$N$45,5,0)+0,0))</f>
        <v>11</v>
      </c>
      <c r="CQ1114" s="65" t="n">
        <f aca="false">IFERROR(IF(OR(CF1114=1,CF1114=2,CF1114=3),N(INDEX(Parameter!$I$5:$I$7,CF1114)),0),0)</f>
        <v>0</v>
      </c>
      <c r="CR1114" s="64" t="n">
        <f aca="false">IF(AND(Parameter!$B$21="Ja",ISNUMBER(W1114),N(X1114)&gt;0),IFERROR(N(INDEX(Parameter!$L$5:$L$7,W1114))*INDEX(Parameter!$E$5:$E$7,W1114)*X1114/SUMIFS($X$7:$X$1843,$W$7:$W$1843,W1114),0),0)</f>
        <v>0</v>
      </c>
      <c r="CS1114" s="62" t="n">
        <f aca="false">IF(AND(OR(CG1114="L1",CG1114="L23",CG1114="LIFT"),H1114&gt;0),CC1114*IF(CR1114&gt;0,CR1114*MAX(1,H1114/X1114),IF(CA1114=1,CE1114,IF(R1114&gt;0,CN1114/R1114,0))/MAX(0.1,N(Parameter!$M$21))),"")</f>
        <v>5.96153846153846</v>
      </c>
      <c r="CT1114" s="64" t="n">
        <f aca="false">IF(CS1114="","",J1114/H1114)</f>
        <v>0</v>
      </c>
      <c r="CU1114" s="62" t="n">
        <f aca="false">IF(CS1114="","",H1114*G1114)</f>
        <v>932.32</v>
      </c>
      <c r="CV1114" s="63" t="n">
        <f aca="false">IF(CS1114="","",(CL1114+ROUNDUP(CL1114+MAX(CM1114,2*(J1114/MAX(0.1,N(Einkauf!$C$6))-CL1114)),0))/2)</f>
        <v>0.5</v>
      </c>
      <c r="CW1114" s="62" t="n">
        <f aca="false">IF(CS1114="","",MAX(0,H1114-CV1114)*G1114)</f>
        <v>874.05</v>
      </c>
      <c r="CX1114" s="62" t="n">
        <f aca="false">IF(CS1114="","",CS1114*MAX(0,1-CV1114/H1114))</f>
        <v>5.58894230769231</v>
      </c>
      <c r="CY1114" s="64" t="n">
        <f aca="false">IF(CS1114="","",PERCENTRANK($CS$7:$CS$1843,CS1114)+PERCENTRANK($CU$7:$CU$1843,CU1114)+1-PERCENTRANK($CT$7:$CT$1843,CT1114))</f>
        <v>1.993</v>
      </c>
      <c r="CZ1114" s="72" t="n">
        <f aca="false">IF(CS1114="","",CHOOSE(MATCH(Einkauf!$C$5,Parameter!$G$23:$G$27,0),CY1114,CS1114,CU1114,-CT1114,CW1114)+ROW()/1000000000)</f>
        <v>1.993001114</v>
      </c>
    </row>
    <row r="1115" customFormat="false" ht="15" hidden="false" customHeight="false" outlineLevel="0" collapsed="false">
      <c r="A1115" s="60" t="s">
        <v>2065</v>
      </c>
      <c r="B1115" s="60" t="s">
        <v>2066</v>
      </c>
      <c r="C1115" s="60" t="s">
        <v>206</v>
      </c>
      <c r="D1115" s="60" t="s">
        <v>215</v>
      </c>
      <c r="E1115" s="60"/>
      <c r="F1115" s="60" t="s">
        <v>260</v>
      </c>
      <c r="G1115" s="61" t="n">
        <v>12.3</v>
      </c>
      <c r="H1115" s="62" t="n">
        <f aca="false">MAX(0,IF(AND(Parameter!$B$21="Ja",ISNUMBER(Y1115)),Y1115,IF(Parameter!$B$20="Jahresanfang 2025 + Export",BS1115+BR1115,BR1115)))</f>
        <v>0</v>
      </c>
      <c r="I1115" s="62" t="n">
        <f aca="false">H1115*G1115</f>
        <v>0</v>
      </c>
      <c r="J1115" s="62" t="n">
        <f aca="false">BU1115*Parameter!$B$18</f>
        <v>0</v>
      </c>
      <c r="K1115" s="63" t="n">
        <v>9.5</v>
      </c>
      <c r="L1115" s="64" t="n">
        <v>0</v>
      </c>
      <c r="M1115" s="62" t="n">
        <v>0</v>
      </c>
      <c r="N1115" s="62" t="n">
        <v>1</v>
      </c>
      <c r="O1115" s="65" t="n">
        <v>42</v>
      </c>
      <c r="P1115" s="60" t="s">
        <v>210</v>
      </c>
      <c r="Q1115" s="62"/>
      <c r="R1115" s="65" t="n">
        <f aca="false">IF(CA1115=1,0,IFERROR(VLOOKUP(BY1115,'Gebinde-Kategorie'!$A$5:$N$45,13,0)+0,0))</f>
        <v>4</v>
      </c>
      <c r="S1115" s="66"/>
      <c r="T1115" s="67" t="s">
        <v>231</v>
      </c>
      <c r="U1115" s="67"/>
      <c r="V1115" s="67"/>
      <c r="W1115" s="60"/>
      <c r="X1115" s="62"/>
      <c r="Y1115" s="62"/>
      <c r="Z1115" s="60" t="n">
        <v>2</v>
      </c>
      <c r="AA1115" s="60" t="n">
        <f aca="false">IF(A1115="","",IF(AND(Parameter!$B$21="Ja",ISNUMBER(W1115)),W1115,IF(AND(Parameter!$E$27="Ja",ISNUMBER(Z1115),CD1115&lt;&gt;"Nein"),Z1115,IF(CD1115="2+3",IF(ISNUMBER(SEARCH("grosser Artikel",BV1115)),2,IFERROR(VLOOKUP(BY1115,Parameter!$F$35:$G$64,2,0),2)),IF(OR(CD1115="Nein",CD1115=""),"-",CD1115)))))</f>
        <v>2</v>
      </c>
      <c r="AB1115" s="67"/>
      <c r="AC1115" s="68"/>
      <c r="AD1115" s="62" t="n">
        <f aca="false">AW1115</f>
        <v>1</v>
      </c>
      <c r="AE1115" s="62" t="n">
        <f aca="false">MAX(AW1115,H1115)</f>
        <v>1</v>
      </c>
      <c r="AF1115" s="69"/>
      <c r="AG1115" s="62" t="n">
        <f aca="false">IF(LEFT(Cockpit!$C$5,1)="A",H1115,IF(Parameter!$E$30="MAX-Bestand",IF(CI1115=1,CJ1115,IF(LEFT(Cockpit!$C$5,1)="B",AM1115,MAX(AM1115,H1115))),ROUNDUP(AK1115,0)))</f>
        <v>0</v>
      </c>
      <c r="AH1115" s="62" t="n">
        <f aca="false">IF(CA1115=1,0,ROUNDUP(AG1115/BZ1115,0))</f>
        <v>0</v>
      </c>
      <c r="AI1115" s="64" t="n">
        <f aca="false">IF(CR1115&gt;0,CR1115*MAX(1,AG1115/X1115),IF(CA1115=1,IF(AG1115&lt;=0,0,CE1115*MAX(1,IF(H1115&gt;0,AG1115/H1115,1))),IF(R1115&gt;0,AH1115/R1115,0))/MAX(0.1,N(Parameter!$M$21)))</f>
        <v>0</v>
      </c>
      <c r="AJ1115" s="62" t="n">
        <f aca="false">AI1115*CC1115</f>
        <v>0</v>
      </c>
      <c r="AK1115" s="63" t="n">
        <f aca="false">IF(LEFT(Cockpit!$C$5,1)="A",H1115,IF(CI1115=1,(CL1115+CJ1115)/2,IF(LEFT(Cockpit!$C$5,1)="B",(CL1115+AM1115)/2,MAX((CL1115+AM1115)/2,H1115))))</f>
        <v>0</v>
      </c>
      <c r="AL1115" s="62" t="n">
        <f aca="false">AK1115*G1115</f>
        <v>0</v>
      </c>
      <c r="AM1115" s="62" t="n">
        <f aca="false">ROUNDUP(CL1115+MAX(CM1115,2*(J1115/IF(CH1115&gt;0,CH1115,MAX(0.1,N(Cockpit!$C$6)))-CL1115)),0)</f>
        <v>1</v>
      </c>
      <c r="AN1115" s="63" t="n">
        <f aca="false">IF(AJ1115&gt;0,J1115/AJ1115,-1)</f>
        <v>-1</v>
      </c>
      <c r="AO1115" s="63" t="str">
        <f aca="false">IF(AND(OR(CG1115="L1",CG1115="L23",CG1115="LIFT"),AJ1115&gt;0),SUMIFS($AJ$7:$AJ$1843,$CG$7:$CG$1843,CG1115,$AN$7:$AN$1843,"&gt;"&amp;AN1115)+SUMIFS($AJ$7:$AJ$1843,$CG$7:$CG$1843,CG1115,$AN$7:$AN$1843,AN1115,$BX$7:$BX$1843,"&lt;="&amp;BX1115),"")</f>
        <v/>
      </c>
      <c r="AP1115" s="70" t="n">
        <f aca="false">IF(AO1115="",0,MAX(0,MIN(1,(IF(CG1115="L1",Parameter!$H$5,IF(CG1115="L23",Parameter!$H$6+Parameter!$H$7,Parameter!$H$5+Parameter!$H$6+Parameter!$H$7))-(AO1115-AJ1115))/AJ1115)))</f>
        <v>0</v>
      </c>
      <c r="AQ1115" s="62" t="n">
        <f aca="false">IF(LEFT(Cockpit!$I$5,1)="A",H1115,IF(Parameter!$E$30="MAX-Bestand",IF(CI1115=1,CJ1115,IF(LEFT(Cockpit!$I$5,1)="B",AW1115,MAX(AW1115,H1115))),ROUNDUP(AU1115,0)))</f>
        <v>1</v>
      </c>
      <c r="AR1115" s="62" t="n">
        <f aca="false">IF(CA1115=1,0,ROUNDUP(AQ1115/BZ1115,0))</f>
        <v>1</v>
      </c>
      <c r="AS1115" s="64" t="n">
        <f aca="false">IF(CR1115&gt;0,CR1115*MAX(1,AQ1115/X1115),IF(CA1115=1,IF(AQ1115&lt;=0,0,CE1115*MAX(1,IF(H1115&gt;0,AQ1115/H1115,1))),IF(R1115&gt;0,AR1115/R1115,0))/MAX(0.1,N(Parameter!$M$21)))</f>
        <v>0.25</v>
      </c>
      <c r="AT1115" s="62" t="n">
        <f aca="false">AS1115*CC1115</f>
        <v>58.75</v>
      </c>
      <c r="AU1115" s="63" t="n">
        <f aca="false">IF(LEFT(Cockpit!$I$5,1)="A",H1115,IF(CI1115=1,(CL1115+CJ1115)/2,IF(LEFT(Cockpit!$I$5,1)="B",(CL1115+AW1115)/2,MAX((CL1115+AW1115)/2,H1115))))</f>
        <v>0.5</v>
      </c>
      <c r="AV1115" s="62" t="n">
        <f aca="false">AU1115*G1115</f>
        <v>6.15</v>
      </c>
      <c r="AW1115" s="62" t="n">
        <f aca="false">ROUNDUP(CL1115+MAX(CM1115,2*(J1115/IF(CH1115&gt;0,CH1115,MAX(0.1,N(Cockpit!$I$6)))-CL1115)),0)</f>
        <v>1</v>
      </c>
      <c r="AX1115" s="63" t="n">
        <f aca="false">IF(AT1115&gt;0,J1115/AT1115,-1)</f>
        <v>0</v>
      </c>
      <c r="AY1115" s="63" t="n">
        <f aca="false">IF(AND(OR(CG1115="L1",CG1115="L23",CG1115="LIFT"),AT1115&gt;0),SUMIFS($AT$7:$AT$1843,$CG$7:$CG$1843,CG1115,$AX$7:$AX$1843,"&gt;"&amp;AX1115)+SUMIFS($AT$7:$AT$1843,$CG$7:$CG$1843,CG1115,$AX$7:$AX$1843,AX1115,$BX$7:$BX$1843,"&lt;="&amp;BX1115),"")</f>
        <v>34920.9542124542</v>
      </c>
      <c r="AZ1115" s="70" t="n">
        <f aca="false">IF(AY1115="",0,MAX(0,MIN(1,(IF(CG1115="L1",Parameter!$H$5,IF(CG1115="L23",Parameter!$H$6+Parameter!$H$7,Parameter!$H$5+Parameter!$H$6+Parameter!$H$7))-(AY1115-AT1115))/AT1115)))</f>
        <v>1</v>
      </c>
      <c r="BA1115" s="62" t="n">
        <f aca="false">IF(LEFT(Cockpit!$O$5,1)="A",H1115,IF(Parameter!$E$30="MAX-Bestand",IF(CI1115=1,CJ1115,IF(LEFT(Cockpit!$O$5,1)="B",BG1115,MAX(BG1115,H1115))),ROUNDUP(BE1115,0)))</f>
        <v>1</v>
      </c>
      <c r="BB1115" s="62" t="n">
        <f aca="false">IF(CA1115=1,0,ROUNDUP(BA1115/BZ1115,0))</f>
        <v>1</v>
      </c>
      <c r="BC1115" s="64" t="n">
        <f aca="false">IF(CR1115&gt;0,CR1115*MAX(1,BA1115/X1115),IF(CA1115=1,IF(BA1115&lt;=0,0,CE1115*MAX(1,IF(H1115&gt;0,BA1115/H1115,1))),IF(R1115&gt;0,BB1115/R1115,0))/MAX(0.1,N(Parameter!$M$21)))</f>
        <v>0.25</v>
      </c>
      <c r="BD1115" s="62" t="n">
        <f aca="false">BC1115*CC1115</f>
        <v>58.75</v>
      </c>
      <c r="BE1115" s="63" t="n">
        <f aca="false">IF(LEFT(Cockpit!$O$5,1)="A",H1115,IF(CI1115=1,(CL1115+CJ1115)/2,IF(LEFT(Cockpit!$O$5,1)="B",(CL1115+BG1115)/2,MAX((CL1115+BG1115)/2,H1115))))</f>
        <v>0.5</v>
      </c>
      <c r="BF1115" s="62" t="n">
        <f aca="false">BE1115*G1115</f>
        <v>6.15</v>
      </c>
      <c r="BG1115" s="62" t="n">
        <f aca="false">ROUNDUP(CL1115+MAX(CM1115,2*(J1115/IF(CH1115&gt;0,CH1115,MAX(0.1,N(Cockpit!$O$6)))-CL1115)),0)</f>
        <v>1</v>
      </c>
      <c r="BH1115" s="63" t="n">
        <f aca="false">IF(BD1115&gt;0,J1115/BD1115,-1)</f>
        <v>0</v>
      </c>
      <c r="BI1115" s="63" t="n">
        <f aca="false">IF(AND(OR(CG1115="L1",CG1115="L23",CG1115="LIFT"),BD1115&gt;0),SUMIFS($BD$7:$BD$1843,$CG$7:$CG$1843,CG1115,$BH$7:$BH$1843,"&gt;"&amp;BH1115)+SUMIFS($BD$7:$BD$1843,$CG$7:$CG$1843,CG1115,$BH$7:$BH$1843,BH1115,$BX$7:$BX$1843,"&lt;="&amp;BX1115),"")</f>
        <v>28906.260872602</v>
      </c>
      <c r="BJ1115" s="70" t="n">
        <f aca="false">IF(BI1115="",0,MAX(0,MIN(1,(IF(CG1115="L1",Parameter!$H$5,IF(CG1115="L23",Parameter!$H$6+Parameter!$H$7,Parameter!$H$5+Parameter!$H$6+Parameter!$H$7))-(BI1115-BD1115))/BD1115)))</f>
        <v>1</v>
      </c>
      <c r="BK1115" s="60" t="str">
        <f aca="false">IF(AJ1115&lt;=0,"",IF(CG1115="Aussen","Aussenlager",IF(CG1115="-","Nicht im Lift",IF(AP1115&gt;=1,"Lift",IF(AP1115&lt;=0,"Aussenlager","teilweise")))))</f>
        <v/>
      </c>
      <c r="BL1115" s="60" t="str">
        <f aca="false">IF(AT1115&lt;=0,"",IF(CG1115="Aussen","Aussenlager",IF(CG1115="-","Nicht im Lift",IF(AZ1115&gt;=1,"Lift",IF(AZ1115&lt;=0,"Aussenlager","teilweise")))))</f>
        <v>Lift</v>
      </c>
      <c r="BM1115" s="60" t="str">
        <f aca="false">IF(BD1115&lt;=0,"",IF(CG1115="Aussen","Aussenlager",IF(CG1115="-","Nicht im Lift",IF(BJ1115&gt;=1,"Lift",IF(BJ1115&lt;=0,"Aussenlager","teilweise")))))</f>
        <v>Lift</v>
      </c>
      <c r="BN1115" s="60" t="str">
        <f aca="false">IF(A1115="","",IF(BW1115=1,"Neu; ","")&amp;IF(AND(BW1115=0,BR1115&lt;0),"negativer Bestand (Export "&amp;BR1115&amp;"); ","")&amp;IF(J1115&lt;=0,"Kein Verbrauch; ","")&amp;IF(CR1115&gt;0,"Lift "&amp;W1115&amp;" lt. Liftbericht (Fach "&amp;X1115&amp;" Stk); ",IF(CB1115=1,"Gebinde geschätzt ("&amp;T1115&amp;"); ",IF(CA1115=1,"Lose – Tablare geschätzt; ","")))&amp;IF(H1115&gt;AW1115,"Überbestand "&amp;ROUND(H1115-AW1115,0)&amp;" Stk / CHF "&amp;ROUND((H1115-AW1115)*G1115,0)&amp;"; ","")&amp;IF(AND(CI1115=1,CJ1115&lt;CK1115),"MAX &lt; MB+LG; ","")&amp;IF(AND(CQ1115&gt;0,CP1115*10&gt;CQ1115),"zu hoch für Tablar; ","")&amp;IF(AND(BW1115=0,OR(CI1115=1,AB1115&lt;&gt;"",U1115&lt;&gt;"",V1115&lt;&gt;"",AC1115&lt;&gt;"")),"manuell übersteuert; ","")&amp;IF(AND(CA1115=0,R1115=0),"Gebinde unbekannt / Stellmass fehlt; ","")&amp;IF(AND(CA1115=0,N(V1115)&lt;=0,N(Q1115)&lt;=0),"Menge pro Gebinde fehlt (Ist = 1 Gebinde); ","")&amp;BV1115)</f>
        <v>negativer Bestand (Export -19); Kein Verbrauch; Gebinde geschätzt (Gross); Menge pro Gebinde fehlt (Ist = 1 Gebinde); </v>
      </c>
      <c r="BO1115" s="60"/>
      <c r="BP1115" s="60"/>
      <c r="BQ1115" s="67"/>
      <c r="BR1115" s="62" t="n">
        <v>-19</v>
      </c>
      <c r="BS1115" s="62" t="n">
        <v>19</v>
      </c>
      <c r="BT1115" s="61" t="n">
        <v>-233.7</v>
      </c>
      <c r="BU1115" s="62" t="n">
        <v>0</v>
      </c>
      <c r="BV1115" s="60"/>
      <c r="BW1115" s="65" t="n">
        <v>0</v>
      </c>
      <c r="BX1115" s="65" t="n">
        <v>1115</v>
      </c>
      <c r="BY1115" s="60" t="str">
        <f aca="false">IF(U1115&lt;&gt;"",UPPER(TRIM(U1115)),IF(CB1115=1,UPPER(VLOOKUP(T1115,Parameter!$I$27:$K$29,2,0)),IF(P1115="","LOSE",P1115)))</f>
        <v>S81</v>
      </c>
      <c r="BZ1115" s="62" t="n">
        <f aca="false">IF(BY1115="LOSE",1,IF(N(V1115)&gt;0,V1115,IF(CB1115=1,MAX(1,N(VLOOKUP(T1115,Parameter!$I$27:$K$29,3,0)),H1115,N(N1115)),IF(N(Q1115)&gt;0,Q1115,MAX(1,H1115)))))</f>
        <v>2</v>
      </c>
      <c r="CA1115" s="65" t="n">
        <f aca="false">IF(BY1115="LOSE",1,0)</f>
        <v>0</v>
      </c>
      <c r="CB1115" s="65" t="n">
        <f aca="false">IF(AND(U1115="",OR(P1115="",P1115="LOSE"),T1115&lt;&gt;"",N(S1115)&lt;=0,ISNUMBER(MATCH(T1115,Parameter!$I$27:$I$29,0))),1,0)</f>
        <v>1</v>
      </c>
      <c r="CC1115" s="65" t="n">
        <f aca="false">IF(CR1115&gt;0,INDEX(Parameter!$H$5:$H$7,W1115)/INDEX(Parameter!$E$5:$E$7,W1115),IF(AND(CA1115=0,N(IFERROR(VLOOKUP(BY1115,'Gebinde-Kategorie'!$A$5:$N$45,14,0),0))&gt;0),VLOOKUP(BY1115,'Gebinde-Kategorie'!$A$5:$N$45,14,0)*10+Parameter!$M$23,Parameter!$M$24))</f>
        <v>235</v>
      </c>
      <c r="CD1115" s="60" t="str">
        <f aca="false">IF(AND(Parameter!$B$19="Ja",E1115&lt;&gt;"",ISNUMBER(MATCH(E1115,Parameter!$I$35:$I$52,0))),VLOOKUP(E1115,Parameter!$I$35:$J$52,2,0),IFERROR(VLOOKUP(D1115,Parameter!$A$35:$C$64,2,0),"Nein"))</f>
        <v>2+3</v>
      </c>
      <c r="CE1115" s="64" t="n">
        <f aca="false">IF(CA1115=0,0,IF(N(S1115)&gt;0,S1115,IFERROR(VLOOKUP(D1115,Parameter!$A$35:$C$64,3,0)+0,0)))</f>
        <v>0</v>
      </c>
      <c r="CF1115" s="60" t="n">
        <f aca="false">IF(AB1115&lt;&gt;"",AB1115,AA1115)</f>
        <v>2</v>
      </c>
      <c r="CG1115" s="60" t="str">
        <f aca="false">IF(OR(CF1115=1,CF1115=2,CF1115=3),IF(Parameter!$E$27="Ja","LIFT",IF(CF1115=1,"L1","L23")),IF(CF1115="Aussen","Aussen","-"))</f>
        <v>LIFT</v>
      </c>
      <c r="CH1115" s="71" t="n">
        <f aca="false">IF(N(AC1115)&gt;0,AC1115,0)</f>
        <v>0</v>
      </c>
      <c r="CI1115" s="65" t="n">
        <f aca="false">IF(ISNUMBER(AF1115),1,0)</f>
        <v>0</v>
      </c>
      <c r="CJ1115" s="62" t="n">
        <f aca="false">N(AF1115)</f>
        <v>0</v>
      </c>
      <c r="CK1115" s="62" t="n">
        <f aca="false">N(M1115)+N(N1115)</f>
        <v>1</v>
      </c>
      <c r="CL1115" s="62" t="n">
        <f aca="false">N(M1115)</f>
        <v>0</v>
      </c>
      <c r="CM1115" s="62" t="n">
        <f aca="false">N(N1115)</f>
        <v>1</v>
      </c>
      <c r="CN1115" s="62" t="n">
        <f aca="false">ROUNDUP(H1115/BZ1115,0)</f>
        <v>0</v>
      </c>
      <c r="CO1115" s="62" t="n">
        <f aca="false">ROUNDUP(CJ1115/BZ1115,0)</f>
        <v>0</v>
      </c>
      <c r="CP1115" s="65" t="n">
        <f aca="false">IF(CA1115=1,0,IFERROR(VLOOKUP(BY1115,'Gebinde-Kategorie'!$A$5:$N$45,5,0)+0,0))</f>
        <v>20</v>
      </c>
      <c r="CQ1115" s="65" t="n">
        <f aca="false">IFERROR(IF(OR(CF1115=1,CF1115=2,CF1115=3),N(INDEX(Parameter!$I$5:$I$7,CF1115)),0),0)</f>
        <v>0</v>
      </c>
      <c r="CR1115" s="64" t="n">
        <f aca="false">IF(AND(Parameter!$B$21="Ja",ISNUMBER(W1115),N(X1115)&gt;0),IFERROR(N(INDEX(Parameter!$L$5:$L$7,W1115))*INDEX(Parameter!$E$5:$E$7,W1115)*X1115/SUMIFS($X$7:$X$1843,$W$7:$W$1843,W1115),0),0)</f>
        <v>0</v>
      </c>
      <c r="CS1115" s="62" t="str">
        <f aca="false">IF(AND(OR(CG1115="L1",CG1115="L23",CG1115="LIFT"),H1115&gt;0),CC1115*IF(CR1115&gt;0,CR1115*MAX(1,H1115/X1115),IF(CA1115=1,CE1115,IF(R1115&gt;0,CN1115/R1115,0))/MAX(0.1,N(Parameter!$M$21))),"")</f>
        <v/>
      </c>
      <c r="CT1115" s="64" t="str">
        <f aca="false">IF(CS1115="","",J1115/H1115)</f>
        <v/>
      </c>
      <c r="CU1115" s="62" t="str">
        <f aca="false">IF(CS1115="","",H1115*G1115)</f>
        <v/>
      </c>
      <c r="CV1115" s="63" t="str">
        <f aca="false">IF(CS1115="","",(CL1115+ROUNDUP(CL1115+MAX(CM1115,2*(J1115/MAX(0.1,N(Einkauf!$C$6))-CL1115)),0))/2)</f>
        <v/>
      </c>
      <c r="CW1115" s="62" t="str">
        <f aca="false">IF(CS1115="","",MAX(0,H1115-CV1115)*G1115)</f>
        <v/>
      </c>
      <c r="CX1115" s="62" t="str">
        <f aca="false">IF(CS1115="","",CS1115*MAX(0,1-CV1115/H1115))</f>
        <v/>
      </c>
      <c r="CY1115" s="64" t="str">
        <f aca="false">IF(CS1115="","",PERCENTRANK($CS$7:$CS$1843,CS1115)+PERCENTRANK($CU$7:$CU$1843,CU1115)+1-PERCENTRANK($CT$7:$CT$1843,CT1115))</f>
        <v/>
      </c>
      <c r="CZ1115" s="72" t="str">
        <f aca="false">IF(CS1115="","",CHOOSE(MATCH(Einkauf!$C$5,Parameter!$G$23:$G$27,0),CY1115,CS1115,CU1115,-CT1115,CW1115)+ROW()/1000000000)</f>
        <v/>
      </c>
    </row>
    <row r="1116" customFormat="false" ht="15" hidden="false" customHeight="false" outlineLevel="0" collapsed="false">
      <c r="A1116" s="60" t="s">
        <v>2067</v>
      </c>
      <c r="B1116" s="60" t="s">
        <v>2068</v>
      </c>
      <c r="C1116" s="60" t="s">
        <v>206</v>
      </c>
      <c r="D1116" s="60" t="s">
        <v>215</v>
      </c>
      <c r="E1116" s="60" t="s">
        <v>507</v>
      </c>
      <c r="F1116" s="60" t="s">
        <v>260</v>
      </c>
      <c r="G1116" s="61" t="n">
        <v>46.91</v>
      </c>
      <c r="H1116" s="62" t="n">
        <f aca="false">MAX(0,IF(AND(Parameter!$B$21="Ja",ISNUMBER(Y1116)),Y1116,IF(Parameter!$B$20="Jahresanfang 2025 + Export",BS1116+BR1116,BR1116)))</f>
        <v>38</v>
      </c>
      <c r="I1116" s="62" t="n">
        <f aca="false">H1116*G1116</f>
        <v>1782.58</v>
      </c>
      <c r="J1116" s="62" t="n">
        <f aca="false">BU1116*Parameter!$B$18</f>
        <v>4</v>
      </c>
      <c r="K1116" s="63" t="n">
        <v>40.5</v>
      </c>
      <c r="L1116" s="64" t="n">
        <v>0.0987654320987654</v>
      </c>
      <c r="M1116" s="62" t="n">
        <v>0</v>
      </c>
      <c r="N1116" s="62" t="n">
        <v>5</v>
      </c>
      <c r="O1116" s="65" t="n">
        <v>21</v>
      </c>
      <c r="P1116" s="60" t="s">
        <v>210</v>
      </c>
      <c r="Q1116" s="62"/>
      <c r="R1116" s="65" t="n">
        <f aca="false">IF(CA1116=1,0,IFERROR(VLOOKUP(BY1116,'Gebinde-Kategorie'!$A$5:$N$45,13,0)+0,0))</f>
        <v>12</v>
      </c>
      <c r="S1116" s="66"/>
      <c r="T1116" s="67" t="s">
        <v>221</v>
      </c>
      <c r="U1116" s="67"/>
      <c r="V1116" s="67"/>
      <c r="W1116" s="60"/>
      <c r="X1116" s="62"/>
      <c r="Y1116" s="62"/>
      <c r="Z1116" s="60"/>
      <c r="AA1116" s="60" t="str">
        <f aca="false">IF(A1116="","",IF(AND(Parameter!$B$21="Ja",ISNUMBER(W1116)),W1116,IF(AND(Parameter!$E$27="Ja",ISNUMBER(Z1116),CD1116&lt;&gt;"Nein"),Z1116,IF(CD1116="2+3",IF(ISNUMBER(SEARCH("grosser Artikel",BV1116)),2,IFERROR(VLOOKUP(BY1116,Parameter!$F$35:$G$64,2,0),2)),IF(OR(CD1116="Nein",CD1116=""),"-",CD1116)))))</f>
        <v>-</v>
      </c>
      <c r="AB1116" s="67"/>
      <c r="AC1116" s="68"/>
      <c r="AD1116" s="62" t="n">
        <f aca="false">AW1116</f>
        <v>5</v>
      </c>
      <c r="AE1116" s="62" t="n">
        <f aca="false">MAX(AW1116,H1116)</f>
        <v>38</v>
      </c>
      <c r="AF1116" s="69"/>
      <c r="AG1116" s="62" t="n">
        <f aca="false">IF(LEFT(Cockpit!$C$5,1)="A",H1116,IF(Parameter!$E$30="MAX-Bestand",IF(CI1116=1,CJ1116,IF(LEFT(Cockpit!$C$5,1)="B",AM1116,MAX(AM1116,H1116))),ROUNDUP(AK1116,0)))</f>
        <v>38</v>
      </c>
      <c r="AH1116" s="62" t="n">
        <f aca="false">IF(CA1116=1,0,ROUNDUP(AG1116/BZ1116,0))</f>
        <v>1</v>
      </c>
      <c r="AI1116" s="64" t="n">
        <f aca="false">IF(CR1116&gt;0,CR1116*MAX(1,AG1116/X1116),IF(CA1116=1,IF(AG1116&lt;=0,0,CE1116*MAX(1,IF(H1116&gt;0,AG1116/H1116,1))),IF(R1116&gt;0,AH1116/R1116,0))/MAX(0.1,N(Parameter!$M$21)))</f>
        <v>0.0833333333333333</v>
      </c>
      <c r="AJ1116" s="62" t="n">
        <f aca="false">AI1116*CC1116</f>
        <v>12.0833333333333</v>
      </c>
      <c r="AK1116" s="63" t="n">
        <f aca="false">IF(LEFT(Cockpit!$C$5,1)="A",H1116,IF(CI1116=1,(CL1116+CJ1116)/2,IF(LEFT(Cockpit!$C$5,1)="B",(CL1116+AM1116)/2,MAX((CL1116+AM1116)/2,H1116))))</f>
        <v>38</v>
      </c>
      <c r="AL1116" s="62" t="n">
        <f aca="false">AK1116*G1116</f>
        <v>1782.58</v>
      </c>
      <c r="AM1116" s="62" t="n">
        <f aca="false">ROUNDUP(CL1116+MAX(CM1116,2*(J1116/IF(CH1116&gt;0,CH1116,MAX(0.1,N(Cockpit!$C$6)))-CL1116)),0)</f>
        <v>5</v>
      </c>
      <c r="AN1116" s="63" t="n">
        <f aca="false">IF(AJ1116&gt;0,J1116/AJ1116,-1)</f>
        <v>0.331034482758621</v>
      </c>
      <c r="AO1116" s="63" t="str">
        <f aca="false">IF(AND(OR(CG1116="L1",CG1116="L23",CG1116="LIFT"),AJ1116&gt;0),SUMIFS($AJ$7:$AJ$1843,$CG$7:$CG$1843,CG1116,$AN$7:$AN$1843,"&gt;"&amp;AN1116)+SUMIFS($AJ$7:$AJ$1843,$CG$7:$CG$1843,CG1116,$AN$7:$AN$1843,AN1116,$BX$7:$BX$1843,"&lt;="&amp;BX1116),"")</f>
        <v/>
      </c>
      <c r="AP1116" s="70" t="n">
        <f aca="false">IF(AO1116="",0,MAX(0,MIN(1,(IF(CG1116="L1",Parameter!$H$5,IF(CG1116="L23",Parameter!$H$6+Parameter!$H$7,Parameter!$H$5+Parameter!$H$6+Parameter!$H$7))-(AO1116-AJ1116))/AJ1116)))</f>
        <v>0</v>
      </c>
      <c r="AQ1116" s="62" t="n">
        <f aca="false">IF(LEFT(Cockpit!$I$5,1)="A",H1116,IF(Parameter!$E$30="MAX-Bestand",IF(CI1116=1,CJ1116,IF(LEFT(Cockpit!$I$5,1)="B",AW1116,MAX(AW1116,H1116))),ROUNDUP(AU1116,0)))</f>
        <v>38</v>
      </c>
      <c r="AR1116" s="62" t="n">
        <f aca="false">IF(CA1116=1,0,ROUNDUP(AQ1116/BZ1116,0))</f>
        <v>1</v>
      </c>
      <c r="AS1116" s="64" t="n">
        <f aca="false">IF(CR1116&gt;0,CR1116*MAX(1,AQ1116/X1116),IF(CA1116=1,IF(AQ1116&lt;=0,0,CE1116*MAX(1,IF(H1116&gt;0,AQ1116/H1116,1))),IF(R1116&gt;0,AR1116/R1116,0))/MAX(0.1,N(Parameter!$M$21)))</f>
        <v>0.0833333333333333</v>
      </c>
      <c r="AT1116" s="62" t="n">
        <f aca="false">AS1116*CC1116</f>
        <v>12.0833333333333</v>
      </c>
      <c r="AU1116" s="63" t="n">
        <f aca="false">IF(LEFT(Cockpit!$I$5,1)="A",H1116,IF(CI1116=1,(CL1116+CJ1116)/2,IF(LEFT(Cockpit!$I$5,1)="B",(CL1116+AW1116)/2,MAX((CL1116+AW1116)/2,H1116))))</f>
        <v>38</v>
      </c>
      <c r="AV1116" s="62" t="n">
        <f aca="false">AU1116*G1116</f>
        <v>1782.58</v>
      </c>
      <c r="AW1116" s="62" t="n">
        <f aca="false">ROUNDUP(CL1116+MAX(CM1116,2*(J1116/IF(CH1116&gt;0,CH1116,MAX(0.1,N(Cockpit!$I$6)))-CL1116)),0)</f>
        <v>5</v>
      </c>
      <c r="AX1116" s="63" t="n">
        <f aca="false">IF(AT1116&gt;0,J1116/AT1116,-1)</f>
        <v>0.331034482758621</v>
      </c>
      <c r="AY1116" s="63" t="str">
        <f aca="false">IF(AND(OR(CG1116="L1",CG1116="L23",CG1116="LIFT"),AT1116&gt;0),SUMIFS($AT$7:$AT$1843,$CG$7:$CG$1843,CG1116,$AX$7:$AX$1843,"&gt;"&amp;AX1116)+SUMIFS($AT$7:$AT$1843,$CG$7:$CG$1843,CG1116,$AX$7:$AX$1843,AX1116,$BX$7:$BX$1843,"&lt;="&amp;BX1116),"")</f>
        <v/>
      </c>
      <c r="AZ1116" s="70" t="n">
        <f aca="false">IF(AY1116="",0,MAX(0,MIN(1,(IF(CG1116="L1",Parameter!$H$5,IF(CG1116="L23",Parameter!$H$6+Parameter!$H$7,Parameter!$H$5+Parameter!$H$6+Parameter!$H$7))-(AY1116-AT1116))/AT1116)))</f>
        <v>0</v>
      </c>
      <c r="BA1116" s="62" t="n">
        <f aca="false">IF(LEFT(Cockpit!$O$5,1)="A",H1116,IF(Parameter!$E$30="MAX-Bestand",IF(CI1116=1,CJ1116,IF(LEFT(Cockpit!$O$5,1)="B",BG1116,MAX(BG1116,H1116))),ROUNDUP(BE1116,0)))</f>
        <v>3</v>
      </c>
      <c r="BB1116" s="62" t="n">
        <f aca="false">IF(CA1116=1,0,ROUNDUP(BA1116/BZ1116,0))</f>
        <v>1</v>
      </c>
      <c r="BC1116" s="64" t="n">
        <f aca="false">IF(CR1116&gt;0,CR1116*MAX(1,BA1116/X1116),IF(CA1116=1,IF(BA1116&lt;=0,0,CE1116*MAX(1,IF(H1116&gt;0,BA1116/H1116,1))),IF(R1116&gt;0,BB1116/R1116,0))/MAX(0.1,N(Parameter!$M$21)))</f>
        <v>0.0833333333333333</v>
      </c>
      <c r="BD1116" s="62" t="n">
        <f aca="false">BC1116*CC1116</f>
        <v>12.0833333333333</v>
      </c>
      <c r="BE1116" s="63" t="n">
        <f aca="false">IF(LEFT(Cockpit!$O$5,1)="A",H1116,IF(CI1116=1,(CL1116+CJ1116)/2,IF(LEFT(Cockpit!$O$5,1)="B",(CL1116+BG1116)/2,MAX((CL1116+BG1116)/2,H1116))))</f>
        <v>2.5</v>
      </c>
      <c r="BF1116" s="62" t="n">
        <f aca="false">BE1116*G1116</f>
        <v>117.275</v>
      </c>
      <c r="BG1116" s="62" t="n">
        <f aca="false">ROUNDUP(CL1116+MAX(CM1116,2*(J1116/IF(CH1116&gt;0,CH1116,MAX(0.1,N(Cockpit!$O$6)))-CL1116)),0)</f>
        <v>5</v>
      </c>
      <c r="BH1116" s="63" t="n">
        <f aca="false">IF(BD1116&gt;0,J1116/BD1116,-1)</f>
        <v>0.331034482758621</v>
      </c>
      <c r="BI1116" s="63" t="str">
        <f aca="false">IF(AND(OR(CG1116="L1",CG1116="L23",CG1116="LIFT"),BD1116&gt;0),SUMIFS($BD$7:$BD$1843,$CG$7:$CG$1843,CG1116,$BH$7:$BH$1843,"&gt;"&amp;BH1116)+SUMIFS($BD$7:$BD$1843,$CG$7:$CG$1843,CG1116,$BH$7:$BH$1843,BH1116,$BX$7:$BX$1843,"&lt;="&amp;BX1116),"")</f>
        <v/>
      </c>
      <c r="BJ1116" s="70" t="n">
        <f aca="false">IF(BI1116="",0,MAX(0,MIN(1,(IF(CG1116="L1",Parameter!$H$5,IF(CG1116="L23",Parameter!$H$6+Parameter!$H$7,Parameter!$H$5+Parameter!$H$6+Parameter!$H$7))-(BI1116-BD1116))/BD1116)))</f>
        <v>0</v>
      </c>
      <c r="BK1116" s="60" t="str">
        <f aca="false">IF(AJ1116&lt;=0,"",IF(CG1116="Aussen","Aussenlager",IF(CG1116="-","Nicht im Lift",IF(AP1116&gt;=1,"Lift",IF(AP1116&lt;=0,"Aussenlager","teilweise")))))</f>
        <v>Nicht im Lift</v>
      </c>
      <c r="BL1116" s="60" t="str">
        <f aca="false">IF(AT1116&lt;=0,"",IF(CG1116="Aussen","Aussenlager",IF(CG1116="-","Nicht im Lift",IF(AZ1116&gt;=1,"Lift",IF(AZ1116&lt;=0,"Aussenlager","teilweise")))))</f>
        <v>Nicht im Lift</v>
      </c>
      <c r="BM1116" s="60" t="str">
        <f aca="false">IF(BD1116&lt;=0,"",IF(CG1116="Aussen","Aussenlager",IF(CG1116="-","Nicht im Lift",IF(BJ1116&gt;=1,"Lift",IF(BJ1116&lt;=0,"Aussenlager","teilweise")))))</f>
        <v>Nicht im Lift</v>
      </c>
      <c r="BN1116" s="60" t="str">
        <f aca="false">IF(A1116="","",IF(BW1116=1,"Neu; ","")&amp;IF(AND(BW1116=0,BR1116&lt;0),"negativer Bestand (Export "&amp;BR1116&amp;"); ","")&amp;IF(J1116&lt;=0,"Kein Verbrauch; ","")&amp;IF(CR1116&gt;0,"Lift "&amp;W1116&amp;" lt. Liftbericht (Fach "&amp;X1116&amp;" Stk); ",IF(CB1116=1,"Gebinde geschätzt ("&amp;T1116&amp;"); ",IF(CA1116=1,"Lose – Tablare geschätzt; ","")))&amp;IF(H1116&gt;AW1116,"Überbestand "&amp;ROUND(H1116-AW1116,0)&amp;" Stk / CHF "&amp;ROUND((H1116-AW1116)*G1116,0)&amp;"; ","")&amp;IF(AND(CI1116=1,CJ1116&lt;CK1116),"MAX &lt; MB+LG; ","")&amp;IF(AND(CQ1116&gt;0,CP1116*10&gt;CQ1116),"zu hoch für Tablar; ","")&amp;IF(AND(BW1116=0,OR(CI1116=1,AB1116&lt;&gt;"",U1116&lt;&gt;"",V1116&lt;&gt;"",AC1116&lt;&gt;"")),"manuell übersteuert; ","")&amp;IF(AND(CA1116=0,R1116=0),"Gebinde unbekannt / Stellmass fehlt; ","")&amp;IF(AND(CA1116=0,N(V1116)&lt;=0,N(Q1116)&lt;=0),"Menge pro Gebinde fehlt (Ist = 1 Gebinde); ","")&amp;BV1116)</f>
        <v>negativer Bestand (Export -5); Gebinde geschätzt (Mittel); Überbestand 33 Stk / CHF 1548; Menge pro Gebinde fehlt (Ist = 1 Gebinde); </v>
      </c>
      <c r="BO1116" s="60"/>
      <c r="BP1116" s="60"/>
      <c r="BQ1116" s="67"/>
      <c r="BR1116" s="62" t="n">
        <v>-5</v>
      </c>
      <c r="BS1116" s="62" t="n">
        <v>43</v>
      </c>
      <c r="BT1116" s="61" t="n">
        <v>-234.55</v>
      </c>
      <c r="BU1116" s="62" t="n">
        <v>4</v>
      </c>
      <c r="BV1116" s="60"/>
      <c r="BW1116" s="65" t="n">
        <v>0</v>
      </c>
      <c r="BX1116" s="65" t="n">
        <v>1116</v>
      </c>
      <c r="BY1116" s="60" t="str">
        <f aca="false">IF(U1116&lt;&gt;"",UPPER(TRIM(U1116)),IF(CB1116=1,UPPER(VLOOKUP(T1116,Parameter!$I$27:$K$29,2,0)),IF(P1116="","LOSE",P1116)))</f>
        <v>S61</v>
      </c>
      <c r="BZ1116" s="62" t="n">
        <f aca="false">IF(BY1116="LOSE",1,IF(N(V1116)&gt;0,V1116,IF(CB1116=1,MAX(1,N(VLOOKUP(T1116,Parameter!$I$27:$K$29,3,0)),H1116,N(N1116)),IF(N(Q1116)&gt;0,Q1116,MAX(1,H1116)))))</f>
        <v>38</v>
      </c>
      <c r="CA1116" s="65" t="n">
        <f aca="false">IF(BY1116="LOSE",1,0)</f>
        <v>0</v>
      </c>
      <c r="CB1116" s="65" t="n">
        <f aca="false">IF(AND(U1116="",OR(P1116="",P1116="LOSE"),T1116&lt;&gt;"",N(S1116)&lt;=0,ISNUMBER(MATCH(T1116,Parameter!$I$27:$I$29,0))),1,0)</f>
        <v>1</v>
      </c>
      <c r="CC1116" s="65" t="n">
        <f aca="false">IF(CR1116&gt;0,INDEX(Parameter!$H$5:$H$7,W1116)/INDEX(Parameter!$E$5:$E$7,W1116),IF(AND(CA1116=0,N(IFERROR(VLOOKUP(BY1116,'Gebinde-Kategorie'!$A$5:$N$45,14,0),0))&gt;0),VLOOKUP(BY1116,'Gebinde-Kategorie'!$A$5:$N$45,14,0)*10+Parameter!$M$23,Parameter!$M$24))</f>
        <v>145</v>
      </c>
      <c r="CD1116" s="60" t="str">
        <f aca="false">IF(AND(Parameter!$B$19="Ja",E1116&lt;&gt;"",ISNUMBER(MATCH(E1116,Parameter!$I$35:$I$52,0))),VLOOKUP(E1116,Parameter!$I$35:$J$52,2,0),IFERROR(VLOOKUP(D1116,Parameter!$A$35:$C$64,2,0),"Nein"))</f>
        <v>Nein</v>
      </c>
      <c r="CE1116" s="64" t="n">
        <f aca="false">IF(CA1116=0,0,IF(N(S1116)&gt;0,S1116,IFERROR(VLOOKUP(D1116,Parameter!$A$35:$C$64,3,0)+0,0)))</f>
        <v>0</v>
      </c>
      <c r="CF1116" s="60" t="str">
        <f aca="false">IF(AB1116&lt;&gt;"",AB1116,AA1116)</f>
        <v>-</v>
      </c>
      <c r="CG1116" s="60" t="str">
        <f aca="false">IF(OR(CF1116=1,CF1116=2,CF1116=3),IF(Parameter!$E$27="Ja","LIFT",IF(CF1116=1,"L1","L23")),IF(CF1116="Aussen","Aussen","-"))</f>
        <v>-</v>
      </c>
      <c r="CH1116" s="71" t="n">
        <f aca="false">IF(N(AC1116)&gt;0,AC1116,0)</f>
        <v>0</v>
      </c>
      <c r="CI1116" s="65" t="n">
        <f aca="false">IF(ISNUMBER(AF1116),1,0)</f>
        <v>0</v>
      </c>
      <c r="CJ1116" s="62" t="n">
        <f aca="false">N(AF1116)</f>
        <v>0</v>
      </c>
      <c r="CK1116" s="62" t="n">
        <f aca="false">N(M1116)+N(N1116)</f>
        <v>5</v>
      </c>
      <c r="CL1116" s="62" t="n">
        <f aca="false">N(M1116)</f>
        <v>0</v>
      </c>
      <c r="CM1116" s="62" t="n">
        <f aca="false">N(N1116)</f>
        <v>5</v>
      </c>
      <c r="CN1116" s="62" t="n">
        <f aca="false">ROUNDUP(H1116/BZ1116,0)</f>
        <v>1</v>
      </c>
      <c r="CO1116" s="62" t="n">
        <f aca="false">ROUNDUP(CJ1116/BZ1116,0)</f>
        <v>0</v>
      </c>
      <c r="CP1116" s="65" t="n">
        <f aca="false">IF(CA1116=1,0,IFERROR(VLOOKUP(BY1116,'Gebinde-Kategorie'!$A$5:$N$45,5,0)+0,0))</f>
        <v>11</v>
      </c>
      <c r="CQ1116" s="65" t="n">
        <f aca="false">IFERROR(IF(OR(CF1116=1,CF1116=2,CF1116=3),N(INDEX(Parameter!$I$5:$I$7,CF1116)),0),0)</f>
        <v>0</v>
      </c>
      <c r="CR1116" s="64" t="n">
        <f aca="false">IF(AND(Parameter!$B$21="Ja",ISNUMBER(W1116),N(X1116)&gt;0),IFERROR(N(INDEX(Parameter!$L$5:$L$7,W1116))*INDEX(Parameter!$E$5:$E$7,W1116)*X1116/SUMIFS($X$7:$X$1843,$W$7:$W$1843,W1116),0),0)</f>
        <v>0</v>
      </c>
      <c r="CS1116" s="62" t="str">
        <f aca="false">IF(AND(OR(CG1116="L1",CG1116="L23",CG1116="LIFT"),H1116&gt;0),CC1116*IF(CR1116&gt;0,CR1116*MAX(1,H1116/X1116),IF(CA1116=1,CE1116,IF(R1116&gt;0,CN1116/R1116,0))/MAX(0.1,N(Parameter!$M$21))),"")</f>
        <v/>
      </c>
      <c r="CT1116" s="64" t="str">
        <f aca="false">IF(CS1116="","",J1116/H1116)</f>
        <v/>
      </c>
      <c r="CU1116" s="62" t="str">
        <f aca="false">IF(CS1116="","",H1116*G1116)</f>
        <v/>
      </c>
      <c r="CV1116" s="63" t="str">
        <f aca="false">IF(CS1116="","",(CL1116+ROUNDUP(CL1116+MAX(CM1116,2*(J1116/MAX(0.1,N(Einkauf!$C$6))-CL1116)),0))/2)</f>
        <v/>
      </c>
      <c r="CW1116" s="62" t="str">
        <f aca="false">IF(CS1116="","",MAX(0,H1116-CV1116)*G1116)</f>
        <v/>
      </c>
      <c r="CX1116" s="62" t="str">
        <f aca="false">IF(CS1116="","",CS1116*MAX(0,1-CV1116/H1116))</f>
        <v/>
      </c>
      <c r="CY1116" s="64" t="str">
        <f aca="false">IF(CS1116="","",PERCENTRANK($CS$7:$CS$1843,CS1116)+PERCENTRANK($CU$7:$CU$1843,CU1116)+1-PERCENTRANK($CT$7:$CT$1843,CT1116))</f>
        <v/>
      </c>
      <c r="CZ1116" s="72" t="str">
        <f aca="false">IF(CS1116="","",CHOOSE(MATCH(Einkauf!$C$5,Parameter!$G$23:$G$27,0),CY1116,CS1116,CU1116,-CT1116,CW1116)+ROW()/1000000000)</f>
        <v/>
      </c>
    </row>
    <row r="1117" customFormat="false" ht="15" hidden="false" customHeight="false" outlineLevel="0" collapsed="false">
      <c r="A1117" s="60" t="s">
        <v>2069</v>
      </c>
      <c r="B1117" s="60" t="s">
        <v>1066</v>
      </c>
      <c r="C1117" s="60" t="s">
        <v>206</v>
      </c>
      <c r="D1117" s="60" t="s">
        <v>215</v>
      </c>
      <c r="E1117" s="60" t="s">
        <v>507</v>
      </c>
      <c r="F1117" s="60" t="s">
        <v>260</v>
      </c>
      <c r="G1117" s="61" t="n">
        <v>11.8</v>
      </c>
      <c r="H1117" s="62" t="n">
        <f aca="false">MAX(0,IF(AND(Parameter!$B$21="Ja",ISNUMBER(Y1117)),Y1117,IF(Parameter!$B$20="Jahresanfang 2025 + Export",BS1117+BR1117,BR1117)))</f>
        <v>3</v>
      </c>
      <c r="I1117" s="62" t="n">
        <f aca="false">H1117*G1117</f>
        <v>35.4</v>
      </c>
      <c r="J1117" s="62" t="n">
        <f aca="false">BU1117*Parameter!$B$18</f>
        <v>141</v>
      </c>
      <c r="K1117" s="63" t="n">
        <v>15.5</v>
      </c>
      <c r="L1117" s="64" t="n">
        <v>9.09677419354839</v>
      </c>
      <c r="M1117" s="62" t="n">
        <v>10</v>
      </c>
      <c r="N1117" s="62" t="n">
        <v>15</v>
      </c>
      <c r="O1117" s="65" t="n">
        <v>21</v>
      </c>
      <c r="P1117" s="60" t="s">
        <v>210</v>
      </c>
      <c r="Q1117" s="62"/>
      <c r="R1117" s="65" t="n">
        <f aca="false">IF(CA1117=1,0,IFERROR(VLOOKUP(BY1117,'Gebinde-Kategorie'!$A$5:$N$45,13,0)+0,0))</f>
        <v>4</v>
      </c>
      <c r="S1117" s="66"/>
      <c r="T1117" s="67" t="s">
        <v>231</v>
      </c>
      <c r="U1117" s="67"/>
      <c r="V1117" s="67"/>
      <c r="W1117" s="60"/>
      <c r="X1117" s="62"/>
      <c r="Y1117" s="62"/>
      <c r="Z1117" s="60"/>
      <c r="AA1117" s="60" t="str">
        <f aca="false">IF(A1117="","",IF(AND(Parameter!$B$21="Ja",ISNUMBER(W1117)),W1117,IF(AND(Parameter!$E$27="Ja",ISNUMBER(Z1117),CD1117&lt;&gt;"Nein"),Z1117,IF(CD1117="2+3",IF(ISNUMBER(SEARCH("grosser Artikel",BV1117)),2,IFERROR(VLOOKUP(BY1117,Parameter!$F$35:$G$64,2,0),2)),IF(OR(CD1117="Nein",CD1117=""),"-",CD1117)))))</f>
        <v>-</v>
      </c>
      <c r="AB1117" s="67"/>
      <c r="AC1117" s="68"/>
      <c r="AD1117" s="62" t="n">
        <f aca="false">AW1117</f>
        <v>84</v>
      </c>
      <c r="AE1117" s="62" t="n">
        <f aca="false">MAX(AW1117,H1117)</f>
        <v>84</v>
      </c>
      <c r="AF1117" s="69"/>
      <c r="AG1117" s="62" t="n">
        <f aca="false">IF(LEFT(Cockpit!$C$5,1)="A",H1117,IF(Parameter!$E$30="MAX-Bestand",IF(CI1117=1,CJ1117,IF(LEFT(Cockpit!$C$5,1)="B",AM1117,MAX(AM1117,H1117))),ROUNDUP(AK1117,0)))</f>
        <v>3</v>
      </c>
      <c r="AH1117" s="62" t="n">
        <f aca="false">IF(CA1117=1,0,ROUNDUP(AG1117/BZ1117,0))</f>
        <v>1</v>
      </c>
      <c r="AI1117" s="64" t="n">
        <f aca="false">IF(CR1117&gt;0,CR1117*MAX(1,AG1117/X1117),IF(CA1117=1,IF(AG1117&lt;=0,0,CE1117*MAX(1,IF(H1117&gt;0,AG1117/H1117,1))),IF(R1117&gt;0,AH1117/R1117,0))/MAX(0.1,N(Parameter!$M$21)))</f>
        <v>0.25</v>
      </c>
      <c r="AJ1117" s="62" t="n">
        <f aca="false">AI1117*CC1117</f>
        <v>58.75</v>
      </c>
      <c r="AK1117" s="63" t="n">
        <f aca="false">IF(LEFT(Cockpit!$C$5,1)="A",H1117,IF(CI1117=1,(CL1117+CJ1117)/2,IF(LEFT(Cockpit!$C$5,1)="B",(CL1117+AM1117)/2,MAX((CL1117+AM1117)/2,H1117))))</f>
        <v>3</v>
      </c>
      <c r="AL1117" s="62" t="n">
        <f aca="false">AK1117*G1117</f>
        <v>35.4</v>
      </c>
      <c r="AM1117" s="62" t="n">
        <f aca="false">ROUNDUP(CL1117+MAX(CM1117,2*(J1117/IF(CH1117&gt;0,CH1117,MAX(0.1,N(Cockpit!$C$6)))-CL1117)),0)</f>
        <v>84</v>
      </c>
      <c r="AN1117" s="63" t="n">
        <f aca="false">IF(AJ1117&gt;0,J1117/AJ1117,-1)</f>
        <v>2.4</v>
      </c>
      <c r="AO1117" s="63" t="str">
        <f aca="false">IF(AND(OR(CG1117="L1",CG1117="L23",CG1117="LIFT"),AJ1117&gt;0),SUMIFS($AJ$7:$AJ$1843,$CG$7:$CG$1843,CG1117,$AN$7:$AN$1843,"&gt;"&amp;AN1117)+SUMIFS($AJ$7:$AJ$1843,$CG$7:$CG$1843,CG1117,$AN$7:$AN$1843,AN1117,$BX$7:$BX$1843,"&lt;="&amp;BX1117),"")</f>
        <v/>
      </c>
      <c r="AP1117" s="70" t="n">
        <f aca="false">IF(AO1117="",0,MAX(0,MIN(1,(IF(CG1117="L1",Parameter!$H$5,IF(CG1117="L23",Parameter!$H$6+Parameter!$H$7,Parameter!$H$5+Parameter!$H$6+Parameter!$H$7))-(AO1117-AJ1117))/AJ1117)))</f>
        <v>0</v>
      </c>
      <c r="AQ1117" s="62" t="n">
        <f aca="false">IF(LEFT(Cockpit!$I$5,1)="A",H1117,IF(Parameter!$E$30="MAX-Bestand",IF(CI1117=1,CJ1117,IF(LEFT(Cockpit!$I$5,1)="B",AW1117,MAX(AW1117,H1117))),ROUNDUP(AU1117,0)))</f>
        <v>47</v>
      </c>
      <c r="AR1117" s="62" t="n">
        <f aca="false">IF(CA1117=1,0,ROUNDUP(AQ1117/BZ1117,0))</f>
        <v>4</v>
      </c>
      <c r="AS1117" s="64" t="n">
        <f aca="false">IF(CR1117&gt;0,CR1117*MAX(1,AQ1117/X1117),IF(CA1117=1,IF(AQ1117&lt;=0,0,CE1117*MAX(1,IF(H1117&gt;0,AQ1117/H1117,1))),IF(R1117&gt;0,AR1117/R1117,0))/MAX(0.1,N(Parameter!$M$21)))</f>
        <v>1</v>
      </c>
      <c r="AT1117" s="62" t="n">
        <f aca="false">AS1117*CC1117</f>
        <v>235</v>
      </c>
      <c r="AU1117" s="63" t="n">
        <f aca="false">IF(LEFT(Cockpit!$I$5,1)="A",H1117,IF(CI1117=1,(CL1117+CJ1117)/2,IF(LEFT(Cockpit!$I$5,1)="B",(CL1117+AW1117)/2,MAX((CL1117+AW1117)/2,H1117))))</f>
        <v>47</v>
      </c>
      <c r="AV1117" s="62" t="n">
        <f aca="false">AU1117*G1117</f>
        <v>554.6</v>
      </c>
      <c r="AW1117" s="62" t="n">
        <f aca="false">ROUNDUP(CL1117+MAX(CM1117,2*(J1117/IF(CH1117&gt;0,CH1117,MAX(0.1,N(Cockpit!$I$6)))-CL1117)),0)</f>
        <v>84</v>
      </c>
      <c r="AX1117" s="63" t="n">
        <f aca="false">IF(AT1117&gt;0,J1117/AT1117,-1)</f>
        <v>0.6</v>
      </c>
      <c r="AY1117" s="63" t="str">
        <f aca="false">IF(AND(OR(CG1117="L1",CG1117="L23",CG1117="LIFT"),AT1117&gt;0),SUMIFS($AT$7:$AT$1843,$CG$7:$CG$1843,CG1117,$AX$7:$AX$1843,"&gt;"&amp;AX1117)+SUMIFS($AT$7:$AT$1843,$CG$7:$CG$1843,CG1117,$AX$7:$AX$1843,AX1117,$BX$7:$BX$1843,"&lt;="&amp;BX1117),"")</f>
        <v/>
      </c>
      <c r="AZ1117" s="70" t="n">
        <f aca="false">IF(AY1117="",0,MAX(0,MIN(1,(IF(CG1117="L1",Parameter!$H$5,IF(CG1117="L23",Parameter!$H$6+Parameter!$H$7,Parameter!$H$5+Parameter!$H$6+Parameter!$H$7))-(AY1117-AT1117))/AT1117)))</f>
        <v>0</v>
      </c>
      <c r="BA1117" s="62" t="n">
        <f aca="false">IF(LEFT(Cockpit!$O$5,1)="A",H1117,IF(Parameter!$E$30="MAX-Bestand",IF(CI1117=1,CJ1117,IF(LEFT(Cockpit!$O$5,1)="B",BG1117,MAX(BG1117,H1117))),ROUNDUP(BE1117,0)))</f>
        <v>36</v>
      </c>
      <c r="BB1117" s="62" t="n">
        <f aca="false">IF(CA1117=1,0,ROUNDUP(BA1117/BZ1117,0))</f>
        <v>3</v>
      </c>
      <c r="BC1117" s="64" t="n">
        <f aca="false">IF(CR1117&gt;0,CR1117*MAX(1,BA1117/X1117),IF(CA1117=1,IF(BA1117&lt;=0,0,CE1117*MAX(1,IF(H1117&gt;0,BA1117/H1117,1))),IF(R1117&gt;0,BB1117/R1117,0))/MAX(0.1,N(Parameter!$M$21)))</f>
        <v>0.75</v>
      </c>
      <c r="BD1117" s="62" t="n">
        <f aca="false">BC1117*CC1117</f>
        <v>176.25</v>
      </c>
      <c r="BE1117" s="63" t="n">
        <f aca="false">IF(LEFT(Cockpit!$O$5,1)="A",H1117,IF(CI1117=1,(CL1117+CJ1117)/2,IF(LEFT(Cockpit!$O$5,1)="B",(CL1117+BG1117)/2,MAX((CL1117+BG1117)/2,H1117))))</f>
        <v>35.5</v>
      </c>
      <c r="BF1117" s="62" t="n">
        <f aca="false">BE1117*G1117</f>
        <v>418.9</v>
      </c>
      <c r="BG1117" s="62" t="n">
        <f aca="false">ROUNDUP(CL1117+MAX(CM1117,2*(J1117/IF(CH1117&gt;0,CH1117,MAX(0.1,N(Cockpit!$O$6)))-CL1117)),0)</f>
        <v>61</v>
      </c>
      <c r="BH1117" s="63" t="n">
        <f aca="false">IF(BD1117&gt;0,J1117/BD1117,-1)</f>
        <v>0.8</v>
      </c>
      <c r="BI1117" s="63" t="str">
        <f aca="false">IF(AND(OR(CG1117="L1",CG1117="L23",CG1117="LIFT"),BD1117&gt;0),SUMIFS($BD$7:$BD$1843,$CG$7:$CG$1843,CG1117,$BH$7:$BH$1843,"&gt;"&amp;BH1117)+SUMIFS($BD$7:$BD$1843,$CG$7:$CG$1843,CG1117,$BH$7:$BH$1843,BH1117,$BX$7:$BX$1843,"&lt;="&amp;BX1117),"")</f>
        <v/>
      </c>
      <c r="BJ1117" s="70" t="n">
        <f aca="false">IF(BI1117="",0,MAX(0,MIN(1,(IF(CG1117="L1",Parameter!$H$5,IF(CG1117="L23",Parameter!$H$6+Parameter!$H$7,Parameter!$H$5+Parameter!$H$6+Parameter!$H$7))-(BI1117-BD1117))/BD1117)))</f>
        <v>0</v>
      </c>
      <c r="BK1117" s="60" t="str">
        <f aca="false">IF(AJ1117&lt;=0,"",IF(CG1117="Aussen","Aussenlager",IF(CG1117="-","Nicht im Lift",IF(AP1117&gt;=1,"Lift",IF(AP1117&lt;=0,"Aussenlager","teilweise")))))</f>
        <v>Nicht im Lift</v>
      </c>
      <c r="BL1117" s="60" t="str">
        <f aca="false">IF(AT1117&lt;=0,"",IF(CG1117="Aussen","Aussenlager",IF(CG1117="-","Nicht im Lift",IF(AZ1117&gt;=1,"Lift",IF(AZ1117&lt;=0,"Aussenlager","teilweise")))))</f>
        <v>Nicht im Lift</v>
      </c>
      <c r="BM1117" s="60" t="str">
        <f aca="false">IF(BD1117&lt;=0,"",IF(CG1117="Aussen","Aussenlager",IF(CG1117="-","Nicht im Lift",IF(BJ1117&gt;=1,"Lift",IF(BJ1117&lt;=0,"Aussenlager","teilweise")))))</f>
        <v>Nicht im Lift</v>
      </c>
      <c r="BN1117" s="60" t="str">
        <f aca="false">IF(A1117="","",IF(BW1117=1,"Neu; ","")&amp;IF(AND(BW1117=0,BR1117&lt;0),"negativer Bestand (Export "&amp;BR1117&amp;"); ","")&amp;IF(J1117&lt;=0,"Kein Verbrauch; ","")&amp;IF(CR1117&gt;0,"Lift "&amp;W1117&amp;" lt. Liftbericht (Fach "&amp;X1117&amp;" Stk); ",IF(CB1117=1,"Gebinde geschätzt ("&amp;T1117&amp;"); ",IF(CA1117=1,"Lose – Tablare geschätzt; ","")))&amp;IF(H1117&gt;AW1117,"Überbestand "&amp;ROUND(H1117-AW1117,0)&amp;" Stk / CHF "&amp;ROUND((H1117-AW1117)*G1117,0)&amp;"; ","")&amp;IF(AND(CI1117=1,CJ1117&lt;CK1117),"MAX &lt; MB+LG; ","")&amp;IF(AND(CQ1117&gt;0,CP1117*10&gt;CQ1117),"zu hoch für Tablar; ","")&amp;IF(AND(BW1117=0,OR(CI1117=1,AB1117&lt;&gt;"",U1117&lt;&gt;"",V1117&lt;&gt;"",AC1117&lt;&gt;"")),"manuell übersteuert; ","")&amp;IF(AND(CA1117=0,R1117=0),"Gebinde unbekannt / Stellmass fehlt; ","")&amp;IF(AND(CA1117=0,N(V1117)&lt;=0,N(Q1117)&lt;=0),"Menge pro Gebinde fehlt (Ist = 1 Gebinde); ","")&amp;BV1117)</f>
        <v>negativer Bestand (Export -22); Gebinde geschätzt (Gross); Menge pro Gebinde fehlt (Ist = 1 Gebinde); </v>
      </c>
      <c r="BO1117" s="60"/>
      <c r="BP1117" s="60"/>
      <c r="BQ1117" s="67"/>
      <c r="BR1117" s="62" t="n">
        <v>-22</v>
      </c>
      <c r="BS1117" s="62" t="n">
        <v>25</v>
      </c>
      <c r="BT1117" s="61" t="n">
        <v>-235.35</v>
      </c>
      <c r="BU1117" s="62" t="n">
        <v>141</v>
      </c>
      <c r="BV1117" s="60"/>
      <c r="BW1117" s="65" t="n">
        <v>0</v>
      </c>
      <c r="BX1117" s="65" t="n">
        <v>1117</v>
      </c>
      <c r="BY1117" s="60" t="str">
        <f aca="false">IF(U1117&lt;&gt;"",UPPER(TRIM(U1117)),IF(CB1117=1,UPPER(VLOOKUP(T1117,Parameter!$I$27:$K$29,2,0)),IF(P1117="","LOSE",P1117)))</f>
        <v>S81</v>
      </c>
      <c r="BZ1117" s="62" t="n">
        <f aca="false">IF(BY1117="LOSE",1,IF(N(V1117)&gt;0,V1117,IF(CB1117=1,MAX(1,N(VLOOKUP(T1117,Parameter!$I$27:$K$29,3,0)),H1117,N(N1117)),IF(N(Q1117)&gt;0,Q1117,MAX(1,H1117)))))</f>
        <v>15</v>
      </c>
      <c r="CA1117" s="65" t="n">
        <f aca="false">IF(BY1117="LOSE",1,0)</f>
        <v>0</v>
      </c>
      <c r="CB1117" s="65" t="n">
        <f aca="false">IF(AND(U1117="",OR(P1117="",P1117="LOSE"),T1117&lt;&gt;"",N(S1117)&lt;=0,ISNUMBER(MATCH(T1117,Parameter!$I$27:$I$29,0))),1,0)</f>
        <v>1</v>
      </c>
      <c r="CC1117" s="65" t="n">
        <f aca="false">IF(CR1117&gt;0,INDEX(Parameter!$H$5:$H$7,W1117)/INDEX(Parameter!$E$5:$E$7,W1117),IF(AND(CA1117=0,N(IFERROR(VLOOKUP(BY1117,'Gebinde-Kategorie'!$A$5:$N$45,14,0),0))&gt;0),VLOOKUP(BY1117,'Gebinde-Kategorie'!$A$5:$N$45,14,0)*10+Parameter!$M$23,Parameter!$M$24))</f>
        <v>235</v>
      </c>
      <c r="CD1117" s="60" t="str">
        <f aca="false">IF(AND(Parameter!$B$19="Ja",E1117&lt;&gt;"",ISNUMBER(MATCH(E1117,Parameter!$I$35:$I$52,0))),VLOOKUP(E1117,Parameter!$I$35:$J$52,2,0),IFERROR(VLOOKUP(D1117,Parameter!$A$35:$C$64,2,0),"Nein"))</f>
        <v>Nein</v>
      </c>
      <c r="CE1117" s="64" t="n">
        <f aca="false">IF(CA1117=0,0,IF(N(S1117)&gt;0,S1117,IFERROR(VLOOKUP(D1117,Parameter!$A$35:$C$64,3,0)+0,0)))</f>
        <v>0</v>
      </c>
      <c r="CF1117" s="60" t="str">
        <f aca="false">IF(AB1117&lt;&gt;"",AB1117,AA1117)</f>
        <v>-</v>
      </c>
      <c r="CG1117" s="60" t="str">
        <f aca="false">IF(OR(CF1117=1,CF1117=2,CF1117=3),IF(Parameter!$E$27="Ja","LIFT",IF(CF1117=1,"L1","L23")),IF(CF1117="Aussen","Aussen","-"))</f>
        <v>-</v>
      </c>
      <c r="CH1117" s="71" t="n">
        <f aca="false">IF(N(AC1117)&gt;0,AC1117,0)</f>
        <v>0</v>
      </c>
      <c r="CI1117" s="65" t="n">
        <f aca="false">IF(ISNUMBER(AF1117),1,0)</f>
        <v>0</v>
      </c>
      <c r="CJ1117" s="62" t="n">
        <f aca="false">N(AF1117)</f>
        <v>0</v>
      </c>
      <c r="CK1117" s="62" t="n">
        <f aca="false">N(M1117)+N(N1117)</f>
        <v>25</v>
      </c>
      <c r="CL1117" s="62" t="n">
        <f aca="false">N(M1117)</f>
        <v>10</v>
      </c>
      <c r="CM1117" s="62" t="n">
        <f aca="false">N(N1117)</f>
        <v>15</v>
      </c>
      <c r="CN1117" s="62" t="n">
        <f aca="false">ROUNDUP(H1117/BZ1117,0)</f>
        <v>1</v>
      </c>
      <c r="CO1117" s="62" t="n">
        <f aca="false">ROUNDUP(CJ1117/BZ1117,0)</f>
        <v>0</v>
      </c>
      <c r="CP1117" s="65" t="n">
        <f aca="false">IF(CA1117=1,0,IFERROR(VLOOKUP(BY1117,'Gebinde-Kategorie'!$A$5:$N$45,5,0)+0,0))</f>
        <v>20</v>
      </c>
      <c r="CQ1117" s="65" t="n">
        <f aca="false">IFERROR(IF(OR(CF1117=1,CF1117=2,CF1117=3),N(INDEX(Parameter!$I$5:$I$7,CF1117)),0),0)</f>
        <v>0</v>
      </c>
      <c r="CR1117" s="64" t="n">
        <f aca="false">IF(AND(Parameter!$B$21="Ja",ISNUMBER(W1117),N(X1117)&gt;0),IFERROR(N(INDEX(Parameter!$L$5:$L$7,W1117))*INDEX(Parameter!$E$5:$E$7,W1117)*X1117/SUMIFS($X$7:$X$1843,$W$7:$W$1843,W1117),0),0)</f>
        <v>0</v>
      </c>
      <c r="CS1117" s="62" t="str">
        <f aca="false">IF(AND(OR(CG1117="L1",CG1117="L23",CG1117="LIFT"),H1117&gt;0),CC1117*IF(CR1117&gt;0,CR1117*MAX(1,H1117/X1117),IF(CA1117=1,CE1117,IF(R1117&gt;0,CN1117/R1117,0))/MAX(0.1,N(Parameter!$M$21))),"")</f>
        <v/>
      </c>
      <c r="CT1117" s="64" t="str">
        <f aca="false">IF(CS1117="","",J1117/H1117)</f>
        <v/>
      </c>
      <c r="CU1117" s="62" t="str">
        <f aca="false">IF(CS1117="","",H1117*G1117)</f>
        <v/>
      </c>
      <c r="CV1117" s="63" t="str">
        <f aca="false">IF(CS1117="","",(CL1117+ROUNDUP(CL1117+MAX(CM1117,2*(J1117/MAX(0.1,N(Einkauf!$C$6))-CL1117)),0))/2)</f>
        <v/>
      </c>
      <c r="CW1117" s="62" t="str">
        <f aca="false">IF(CS1117="","",MAX(0,H1117-CV1117)*G1117)</f>
        <v/>
      </c>
      <c r="CX1117" s="62" t="str">
        <f aca="false">IF(CS1117="","",CS1117*MAX(0,1-CV1117/H1117))</f>
        <v/>
      </c>
      <c r="CY1117" s="64" t="str">
        <f aca="false">IF(CS1117="","",PERCENTRANK($CS$7:$CS$1843,CS1117)+PERCENTRANK($CU$7:$CU$1843,CU1117)+1-PERCENTRANK($CT$7:$CT$1843,CT1117))</f>
        <v/>
      </c>
      <c r="CZ1117" s="72" t="str">
        <f aca="false">IF(CS1117="","",CHOOSE(MATCH(Einkauf!$C$5,Parameter!$G$23:$G$27,0),CY1117,CS1117,CU1117,-CT1117,CW1117)+ROW()/1000000000)</f>
        <v/>
      </c>
    </row>
    <row r="1118" customFormat="false" ht="15" hidden="false" customHeight="false" outlineLevel="0" collapsed="false">
      <c r="A1118" s="60" t="s">
        <v>2070</v>
      </c>
      <c r="B1118" s="60" t="s">
        <v>2053</v>
      </c>
      <c r="C1118" s="60" t="s">
        <v>206</v>
      </c>
      <c r="D1118" s="60" t="s">
        <v>226</v>
      </c>
      <c r="E1118" s="60" t="s">
        <v>227</v>
      </c>
      <c r="F1118" s="60" t="s">
        <v>260</v>
      </c>
      <c r="G1118" s="61" t="n">
        <v>237.52</v>
      </c>
      <c r="H1118" s="62" t="n">
        <f aca="false">MAX(0,IF(AND(Parameter!$B$21="Ja",ISNUMBER(Y1118)),Y1118,IF(Parameter!$B$20="Jahresanfang 2025 + Export",BS1118+BR1118,BR1118)))</f>
        <v>6</v>
      </c>
      <c r="I1118" s="62" t="n">
        <f aca="false">H1118*G1118</f>
        <v>1425.12</v>
      </c>
      <c r="J1118" s="62" t="n">
        <f aca="false">BU1118*Parameter!$B$18</f>
        <v>1</v>
      </c>
      <c r="K1118" s="63" t="n">
        <v>6.5</v>
      </c>
      <c r="L1118" s="64" t="n">
        <v>0.153846153846154</v>
      </c>
      <c r="M1118" s="62" t="n">
        <v>0</v>
      </c>
      <c r="N1118" s="62" t="n">
        <v>1</v>
      </c>
      <c r="O1118" s="65" t="n">
        <v>28</v>
      </c>
      <c r="P1118" s="60" t="s">
        <v>518</v>
      </c>
      <c r="Q1118" s="62" t="n">
        <v>7</v>
      </c>
      <c r="R1118" s="65" t="n">
        <f aca="false">IF(CA1118=1,0,IFERROR(VLOOKUP(BY1118,'Gebinde-Kategorie'!$A$5:$N$45,13,0)+0,0))</f>
        <v>52</v>
      </c>
      <c r="S1118" s="66"/>
      <c r="T1118" s="67"/>
      <c r="U1118" s="67"/>
      <c r="V1118" s="67"/>
      <c r="W1118" s="60"/>
      <c r="X1118" s="62"/>
      <c r="Y1118" s="62"/>
      <c r="Z1118" s="60" t="n">
        <v>2</v>
      </c>
      <c r="AA1118" s="60" t="n">
        <f aca="false">IF(A1118="","",IF(AND(Parameter!$B$21="Ja",ISNUMBER(W1118)),W1118,IF(AND(Parameter!$E$27="Ja",ISNUMBER(Z1118),CD1118&lt;&gt;"Nein"),Z1118,IF(CD1118="2+3",IF(ISNUMBER(SEARCH("grosser Artikel",BV1118)),2,IFERROR(VLOOKUP(BY1118,Parameter!$F$35:$G$64,2,0),2)),IF(OR(CD1118="Nein",CD1118=""),"-",CD1118)))))</f>
        <v>2</v>
      </c>
      <c r="AB1118" s="67"/>
      <c r="AC1118" s="68"/>
      <c r="AD1118" s="62" t="n">
        <f aca="false">AW1118</f>
        <v>1</v>
      </c>
      <c r="AE1118" s="62" t="n">
        <f aca="false">MAX(AW1118,H1118)</f>
        <v>6</v>
      </c>
      <c r="AF1118" s="69"/>
      <c r="AG1118" s="62" t="n">
        <f aca="false">IF(LEFT(Cockpit!$C$5,1)="A",H1118,IF(Parameter!$E$30="MAX-Bestand",IF(CI1118=1,CJ1118,IF(LEFT(Cockpit!$C$5,1)="B",AM1118,MAX(AM1118,H1118))),ROUNDUP(AK1118,0)))</f>
        <v>6</v>
      </c>
      <c r="AH1118" s="62" t="n">
        <f aca="false">IF(CA1118=1,0,ROUNDUP(AG1118/BZ1118,0))</f>
        <v>1</v>
      </c>
      <c r="AI1118" s="64" t="n">
        <f aca="false">IF(CR1118&gt;0,CR1118*MAX(1,AG1118/X1118),IF(CA1118=1,IF(AG1118&lt;=0,0,CE1118*MAX(1,IF(H1118&gt;0,AG1118/H1118,1))),IF(R1118&gt;0,AH1118/R1118,0))/MAX(0.1,N(Parameter!$M$21)))</f>
        <v>0.0192307692307692</v>
      </c>
      <c r="AJ1118" s="62" t="n">
        <f aca="false">AI1118*CC1118</f>
        <v>2.98076923076923</v>
      </c>
      <c r="AK1118" s="63" t="n">
        <f aca="false">IF(LEFT(Cockpit!$C$5,1)="A",H1118,IF(CI1118=1,(CL1118+CJ1118)/2,IF(LEFT(Cockpit!$C$5,1)="B",(CL1118+AM1118)/2,MAX((CL1118+AM1118)/2,H1118))))</f>
        <v>6</v>
      </c>
      <c r="AL1118" s="62" t="n">
        <f aca="false">AK1118*G1118</f>
        <v>1425.12</v>
      </c>
      <c r="AM1118" s="62" t="n">
        <f aca="false">ROUNDUP(CL1118+MAX(CM1118,2*(J1118/IF(CH1118&gt;0,CH1118,MAX(0.1,N(Cockpit!$C$6)))-CL1118)),0)</f>
        <v>1</v>
      </c>
      <c r="AN1118" s="63" t="n">
        <f aca="false">IF(AJ1118&gt;0,J1118/AJ1118,-1)</f>
        <v>0.335483870967742</v>
      </c>
      <c r="AO1118" s="63" t="n">
        <f aca="false">IF(AND(OR(CG1118="L1",CG1118="L23",CG1118="LIFT"),AJ1118&gt;0),SUMIFS($AJ$7:$AJ$1843,$CG$7:$CG$1843,CG1118,$AN$7:$AN$1843,"&gt;"&amp;AN1118)+SUMIFS($AJ$7:$AJ$1843,$CG$7:$CG$1843,CG1118,$AN$7:$AN$1843,AN1118,$BX$7:$BX$1843,"&lt;="&amp;BX1118),"")</f>
        <v>11227.750116409</v>
      </c>
      <c r="AP1118" s="70" t="n">
        <f aca="false">IF(AO1118="",0,MAX(0,MIN(1,(IF(CG1118="L1",Parameter!$H$5,IF(CG1118="L23",Parameter!$H$6+Parameter!$H$7,Parameter!$H$5+Parameter!$H$6+Parameter!$H$7))-(AO1118-AJ1118))/AJ1118)))</f>
        <v>1</v>
      </c>
      <c r="AQ1118" s="62" t="n">
        <f aca="false">IF(LEFT(Cockpit!$I$5,1)="A",H1118,IF(Parameter!$E$30="MAX-Bestand",IF(CI1118=1,CJ1118,IF(LEFT(Cockpit!$I$5,1)="B",AW1118,MAX(AW1118,H1118))),ROUNDUP(AU1118,0)))</f>
        <v>6</v>
      </c>
      <c r="AR1118" s="62" t="n">
        <f aca="false">IF(CA1118=1,0,ROUNDUP(AQ1118/BZ1118,0))</f>
        <v>1</v>
      </c>
      <c r="AS1118" s="64" t="n">
        <f aca="false">IF(CR1118&gt;0,CR1118*MAX(1,AQ1118/X1118),IF(CA1118=1,IF(AQ1118&lt;=0,0,CE1118*MAX(1,IF(H1118&gt;0,AQ1118/H1118,1))),IF(R1118&gt;0,AR1118/R1118,0))/MAX(0.1,N(Parameter!$M$21)))</f>
        <v>0.0192307692307692</v>
      </c>
      <c r="AT1118" s="62" t="n">
        <f aca="false">AS1118*CC1118</f>
        <v>2.98076923076923</v>
      </c>
      <c r="AU1118" s="63" t="n">
        <f aca="false">IF(LEFT(Cockpit!$I$5,1)="A",H1118,IF(CI1118=1,(CL1118+CJ1118)/2,IF(LEFT(Cockpit!$I$5,1)="B",(CL1118+AW1118)/2,MAX((CL1118+AW1118)/2,H1118))))</f>
        <v>6</v>
      </c>
      <c r="AV1118" s="62" t="n">
        <f aca="false">AU1118*G1118</f>
        <v>1425.12</v>
      </c>
      <c r="AW1118" s="62" t="n">
        <f aca="false">ROUNDUP(CL1118+MAX(CM1118,2*(J1118/IF(CH1118&gt;0,CH1118,MAX(0.1,N(Cockpit!$I$6)))-CL1118)),0)</f>
        <v>1</v>
      </c>
      <c r="AX1118" s="63" t="n">
        <f aca="false">IF(AT1118&gt;0,J1118/AT1118,-1)</f>
        <v>0.335483870967742</v>
      </c>
      <c r="AY1118" s="63" t="n">
        <f aca="false">IF(AND(OR(CG1118="L1",CG1118="L23",CG1118="LIFT"),AT1118&gt;0),SUMIFS($AT$7:$AT$1843,$CG$7:$CG$1843,CG1118,$AX$7:$AX$1843,"&gt;"&amp;AX1118)+SUMIFS($AT$7:$AT$1843,$CG$7:$CG$1843,CG1118,$AX$7:$AX$1843,AX1118,$BX$7:$BX$1843,"&lt;="&amp;BX1118),"")</f>
        <v>13761.8878205128</v>
      </c>
      <c r="AZ1118" s="70" t="n">
        <f aca="false">IF(AY1118="",0,MAX(0,MIN(1,(IF(CG1118="L1",Parameter!$H$5,IF(CG1118="L23",Parameter!$H$6+Parameter!$H$7,Parameter!$H$5+Parameter!$H$6+Parameter!$H$7))-(AY1118-AT1118))/AT1118)))</f>
        <v>1</v>
      </c>
      <c r="BA1118" s="62" t="n">
        <f aca="false">IF(LEFT(Cockpit!$O$5,1)="A",H1118,IF(Parameter!$E$30="MAX-Bestand",IF(CI1118=1,CJ1118,IF(LEFT(Cockpit!$O$5,1)="B",BG1118,MAX(BG1118,H1118))),ROUNDUP(BE1118,0)))</f>
        <v>1</v>
      </c>
      <c r="BB1118" s="62" t="n">
        <f aca="false">IF(CA1118=1,0,ROUNDUP(BA1118/BZ1118,0))</f>
        <v>1</v>
      </c>
      <c r="BC1118" s="64" t="n">
        <f aca="false">IF(CR1118&gt;0,CR1118*MAX(1,BA1118/X1118),IF(CA1118=1,IF(BA1118&lt;=0,0,CE1118*MAX(1,IF(H1118&gt;0,BA1118/H1118,1))),IF(R1118&gt;0,BB1118/R1118,0))/MAX(0.1,N(Parameter!$M$21)))</f>
        <v>0.0192307692307692</v>
      </c>
      <c r="BD1118" s="62" t="n">
        <f aca="false">BC1118*CC1118</f>
        <v>2.98076923076923</v>
      </c>
      <c r="BE1118" s="63" t="n">
        <f aca="false">IF(LEFT(Cockpit!$O$5,1)="A",H1118,IF(CI1118=1,(CL1118+CJ1118)/2,IF(LEFT(Cockpit!$O$5,1)="B",(CL1118+BG1118)/2,MAX((CL1118+BG1118)/2,H1118))))</f>
        <v>0.5</v>
      </c>
      <c r="BF1118" s="62" t="n">
        <f aca="false">BE1118*G1118</f>
        <v>118.76</v>
      </c>
      <c r="BG1118" s="62" t="n">
        <f aca="false">ROUNDUP(CL1118+MAX(CM1118,2*(J1118/IF(CH1118&gt;0,CH1118,MAX(0.1,N(Cockpit!$O$6)))-CL1118)),0)</f>
        <v>1</v>
      </c>
      <c r="BH1118" s="63" t="n">
        <f aca="false">IF(BD1118&gt;0,J1118/BD1118,-1)</f>
        <v>0.335483870967742</v>
      </c>
      <c r="BI1118" s="63" t="n">
        <f aca="false">IF(AND(OR(CG1118="L1",CG1118="L23",CG1118="LIFT"),BD1118&gt;0),SUMIFS($BD$7:$BD$1843,$CG$7:$CG$1843,CG1118,$BH$7:$BH$1843,"&gt;"&amp;BH1118)+SUMIFS($BD$7:$BD$1843,$CG$7:$CG$1843,CG1118,$BH$7:$BH$1843,BH1118,$BX$7:$BX$1843,"&lt;="&amp;BX1118),"")</f>
        <v>11612.8466117216</v>
      </c>
      <c r="BJ1118" s="70" t="n">
        <f aca="false">IF(BI1118="",0,MAX(0,MIN(1,(IF(CG1118="L1",Parameter!$H$5,IF(CG1118="L23",Parameter!$H$6+Parameter!$H$7,Parameter!$H$5+Parameter!$H$6+Parameter!$H$7))-(BI1118-BD1118))/BD1118)))</f>
        <v>1</v>
      </c>
      <c r="BK1118" s="60" t="str">
        <f aca="false">IF(AJ1118&lt;=0,"",IF(CG1118="Aussen","Aussenlager",IF(CG1118="-","Nicht im Lift",IF(AP1118&gt;=1,"Lift",IF(AP1118&lt;=0,"Aussenlager","teilweise")))))</f>
        <v>Lift</v>
      </c>
      <c r="BL1118" s="60" t="str">
        <f aca="false">IF(AT1118&lt;=0,"",IF(CG1118="Aussen","Aussenlager",IF(CG1118="-","Nicht im Lift",IF(AZ1118&gt;=1,"Lift",IF(AZ1118&lt;=0,"Aussenlager","teilweise")))))</f>
        <v>Lift</v>
      </c>
      <c r="BM1118" s="60" t="str">
        <f aca="false">IF(BD1118&lt;=0,"",IF(CG1118="Aussen","Aussenlager",IF(CG1118="-","Nicht im Lift",IF(BJ1118&gt;=1,"Lift",IF(BJ1118&lt;=0,"Aussenlager","teilweise")))))</f>
        <v>Lift</v>
      </c>
      <c r="BN1118" s="60" t="str">
        <f aca="false">IF(A1118="","",IF(BW1118=1,"Neu; ","")&amp;IF(AND(BW1118=0,BR1118&lt;0),"negativer Bestand (Export "&amp;BR1118&amp;"); ","")&amp;IF(J1118&lt;=0,"Kein Verbrauch; ","")&amp;IF(CR1118&gt;0,"Lift "&amp;W1118&amp;" lt. Liftbericht (Fach "&amp;X1118&amp;" Stk); ",IF(CB1118=1,"Gebinde geschätzt ("&amp;T1118&amp;"); ",IF(CA1118=1,"Lose – Tablare geschätzt; ","")))&amp;IF(H1118&gt;AW1118,"Überbestand "&amp;ROUND(H1118-AW1118,0)&amp;" Stk / CHF "&amp;ROUND((H1118-AW1118)*G1118,0)&amp;"; ","")&amp;IF(AND(CI1118=1,CJ1118&lt;CK1118),"MAX &lt; MB+LG; ","")&amp;IF(AND(CQ1118&gt;0,CP1118*10&gt;CQ1118),"zu hoch für Tablar; ","")&amp;IF(AND(BW1118=0,OR(CI1118=1,AB1118&lt;&gt;"",U1118&lt;&gt;"",V1118&lt;&gt;"",AC1118&lt;&gt;"")),"manuell übersteuert; ","")&amp;IF(AND(CA1118=0,R1118=0),"Gebinde unbekannt / Stellmass fehlt; ","")&amp;IF(AND(CA1118=0,N(V1118)&lt;=0,N(Q1118)&lt;=0),"Menge pro Gebinde fehlt (Ist = 1 Gebinde); ","")&amp;BV1118)</f>
        <v>negativer Bestand (Export -1); Überbestand 5 Stk / CHF 1188; Überbestand</v>
      </c>
      <c r="BO1118" s="60"/>
      <c r="BP1118" s="60"/>
      <c r="BQ1118" s="67"/>
      <c r="BR1118" s="62" t="n">
        <v>-1</v>
      </c>
      <c r="BS1118" s="62" t="n">
        <v>7</v>
      </c>
      <c r="BT1118" s="61" t="n">
        <v>-237.52</v>
      </c>
      <c r="BU1118" s="62" t="n">
        <v>1</v>
      </c>
      <c r="BV1118" s="60" t="s">
        <v>434</v>
      </c>
      <c r="BW1118" s="65" t="n">
        <v>0</v>
      </c>
      <c r="BX1118" s="65" t="n">
        <v>1118</v>
      </c>
      <c r="BY1118" s="60" t="str">
        <f aca="false">IF(U1118&lt;&gt;"",UPPER(TRIM(U1118)),IF(CB1118=1,UPPER(VLOOKUP(T1118,Parameter!$I$27:$K$29,2,0)),IF(P1118="","LOSE",P1118)))</f>
        <v>S33</v>
      </c>
      <c r="BZ1118" s="62" t="n">
        <f aca="false">IF(BY1118="LOSE",1,IF(N(V1118)&gt;0,V1118,IF(CB1118=1,MAX(1,N(VLOOKUP(T1118,Parameter!$I$27:$K$29,3,0)),H1118,N(N1118)),IF(N(Q1118)&gt;0,Q1118,MAX(1,H1118)))))</f>
        <v>7</v>
      </c>
      <c r="CA1118" s="65" t="n">
        <f aca="false">IF(BY1118="LOSE",1,0)</f>
        <v>0</v>
      </c>
      <c r="CB1118" s="65" t="n">
        <f aca="false">IF(AND(U1118="",OR(P1118="",P1118="LOSE"),T1118&lt;&gt;"",N(S1118)&lt;=0,ISNUMBER(MATCH(T1118,Parameter!$I$27:$I$29,0))),1,0)</f>
        <v>0</v>
      </c>
      <c r="CC1118" s="65" t="n">
        <f aca="false">IF(CR1118&gt;0,INDEX(Parameter!$H$5:$H$7,W1118)/INDEX(Parameter!$E$5:$E$7,W1118),IF(AND(CA1118=0,N(IFERROR(VLOOKUP(BY1118,'Gebinde-Kategorie'!$A$5:$N$45,14,0),0))&gt;0),VLOOKUP(BY1118,'Gebinde-Kategorie'!$A$5:$N$45,14,0)*10+Parameter!$M$23,Parameter!$M$24))</f>
        <v>155</v>
      </c>
      <c r="CD1118" s="60" t="str">
        <f aca="false">IF(AND(Parameter!$B$19="Ja",E1118&lt;&gt;"",ISNUMBER(MATCH(E1118,Parameter!$I$35:$I$52,0))),VLOOKUP(E1118,Parameter!$I$35:$J$52,2,0),IFERROR(VLOOKUP(D1118,Parameter!$A$35:$C$64,2,0),"Nein"))</f>
        <v>2+3</v>
      </c>
      <c r="CE1118" s="64" t="n">
        <f aca="false">IF(CA1118=0,0,IF(N(S1118)&gt;0,S1118,IFERROR(VLOOKUP(D1118,Parameter!$A$35:$C$64,3,0)+0,0)))</f>
        <v>0</v>
      </c>
      <c r="CF1118" s="60" t="n">
        <f aca="false">IF(AB1118&lt;&gt;"",AB1118,AA1118)</f>
        <v>2</v>
      </c>
      <c r="CG1118" s="60" t="str">
        <f aca="false">IF(OR(CF1118=1,CF1118=2,CF1118=3),IF(Parameter!$E$27="Ja","LIFT",IF(CF1118=1,"L1","L23")),IF(CF1118="Aussen","Aussen","-"))</f>
        <v>LIFT</v>
      </c>
      <c r="CH1118" s="71" t="n">
        <f aca="false">IF(N(AC1118)&gt;0,AC1118,0)</f>
        <v>0</v>
      </c>
      <c r="CI1118" s="65" t="n">
        <f aca="false">IF(ISNUMBER(AF1118),1,0)</f>
        <v>0</v>
      </c>
      <c r="CJ1118" s="62" t="n">
        <f aca="false">N(AF1118)</f>
        <v>0</v>
      </c>
      <c r="CK1118" s="62" t="n">
        <f aca="false">N(M1118)+N(N1118)</f>
        <v>1</v>
      </c>
      <c r="CL1118" s="62" t="n">
        <f aca="false">N(M1118)</f>
        <v>0</v>
      </c>
      <c r="CM1118" s="62" t="n">
        <f aca="false">N(N1118)</f>
        <v>1</v>
      </c>
      <c r="CN1118" s="62" t="n">
        <f aca="false">ROUNDUP(H1118/BZ1118,0)</f>
        <v>1</v>
      </c>
      <c r="CO1118" s="62" t="n">
        <f aca="false">ROUNDUP(CJ1118/BZ1118,0)</f>
        <v>0</v>
      </c>
      <c r="CP1118" s="65" t="n">
        <f aca="false">IF(CA1118=1,0,IFERROR(VLOOKUP(BY1118,'Gebinde-Kategorie'!$A$5:$N$45,5,0)+0,0))</f>
        <v>8</v>
      </c>
      <c r="CQ1118" s="65" t="n">
        <f aca="false">IFERROR(IF(OR(CF1118=1,CF1118=2,CF1118=3),N(INDEX(Parameter!$I$5:$I$7,CF1118)),0),0)</f>
        <v>0</v>
      </c>
      <c r="CR1118" s="64" t="n">
        <f aca="false">IF(AND(Parameter!$B$21="Ja",ISNUMBER(W1118),N(X1118)&gt;0),IFERROR(N(INDEX(Parameter!$L$5:$L$7,W1118))*INDEX(Parameter!$E$5:$E$7,W1118)*X1118/SUMIFS($X$7:$X$1843,$W$7:$W$1843,W1118),0),0)</f>
        <v>0</v>
      </c>
      <c r="CS1118" s="62" t="n">
        <f aca="false">IF(AND(OR(CG1118="L1",CG1118="L23",CG1118="LIFT"),H1118&gt;0),CC1118*IF(CR1118&gt;0,CR1118*MAX(1,H1118/X1118),IF(CA1118=1,CE1118,IF(R1118&gt;0,CN1118/R1118,0))/MAX(0.1,N(Parameter!$M$21))),"")</f>
        <v>2.98076923076923</v>
      </c>
      <c r="CT1118" s="64" t="n">
        <f aca="false">IF(CS1118="","",J1118/H1118)</f>
        <v>0.166666666666667</v>
      </c>
      <c r="CU1118" s="62" t="n">
        <f aca="false">IF(CS1118="","",H1118*G1118)</f>
        <v>1425.12</v>
      </c>
      <c r="CV1118" s="63" t="n">
        <f aca="false">IF(CS1118="","",(CL1118+ROUNDUP(CL1118+MAX(CM1118,2*(J1118/MAX(0.1,N(Einkauf!$C$6))-CL1118)),0))/2)</f>
        <v>0.5</v>
      </c>
      <c r="CW1118" s="62" t="n">
        <f aca="false">IF(CS1118="","",MAX(0,H1118-CV1118)*G1118)</f>
        <v>1306.36</v>
      </c>
      <c r="CX1118" s="62" t="n">
        <f aca="false">IF(CS1118="","",CS1118*MAX(0,1-CV1118/H1118))</f>
        <v>2.73237179487179</v>
      </c>
      <c r="CY1118" s="64" t="n">
        <f aca="false">IF(CS1118="","",PERCENTRANK($CS$7:$CS$1843,CS1118)+PERCENTRANK($CU$7:$CU$1843,CU1118)+1-PERCENTRANK($CT$7:$CT$1843,CT1118))</f>
        <v>1.46</v>
      </c>
      <c r="CZ1118" s="72" t="n">
        <f aca="false">IF(CS1118="","",CHOOSE(MATCH(Einkauf!$C$5,Parameter!$G$23:$G$27,0),CY1118,CS1118,CU1118,-CT1118,CW1118)+ROW()/1000000000)</f>
        <v>1.460001118</v>
      </c>
    </row>
    <row r="1119" customFormat="false" ht="15" hidden="false" customHeight="false" outlineLevel="0" collapsed="false">
      <c r="A1119" s="60" t="s">
        <v>2071</v>
      </c>
      <c r="B1119" s="60" t="s">
        <v>525</v>
      </c>
      <c r="C1119" s="60" t="s">
        <v>206</v>
      </c>
      <c r="D1119" s="60" t="s">
        <v>226</v>
      </c>
      <c r="E1119" s="60" t="s">
        <v>227</v>
      </c>
      <c r="F1119" s="60" t="s">
        <v>260</v>
      </c>
      <c r="G1119" s="61" t="n">
        <v>71.63</v>
      </c>
      <c r="H1119" s="62" t="n">
        <f aca="false">MAX(0,IF(AND(Parameter!$B$21="Ja",ISNUMBER(Y1119)),Y1119,IF(Parameter!$B$20="Jahresanfang 2025 + Export",BS1119+BR1119,BR1119)))</f>
        <v>5</v>
      </c>
      <c r="I1119" s="62" t="n">
        <f aca="false">H1119*G1119</f>
        <v>358.15</v>
      </c>
      <c r="J1119" s="62" t="n">
        <f aca="false">BU1119*Parameter!$B$18</f>
        <v>13</v>
      </c>
      <c r="K1119" s="63" t="n">
        <v>7.5</v>
      </c>
      <c r="L1119" s="64" t="n">
        <v>1.73333333333333</v>
      </c>
      <c r="M1119" s="62" t="n">
        <v>0</v>
      </c>
      <c r="N1119" s="62" t="n">
        <v>15</v>
      </c>
      <c r="O1119" s="65" t="n">
        <v>14</v>
      </c>
      <c r="P1119" s="60" t="s">
        <v>344</v>
      </c>
      <c r="Q1119" s="62" t="n">
        <v>37</v>
      </c>
      <c r="R1119" s="65" t="n">
        <f aca="false">IF(CA1119=1,0,IFERROR(VLOOKUP(BY1119,'Gebinde-Kategorie'!$A$5:$N$45,13,0)+0,0))</f>
        <v>26</v>
      </c>
      <c r="S1119" s="66"/>
      <c r="T1119" s="67"/>
      <c r="U1119" s="67"/>
      <c r="V1119" s="67"/>
      <c r="W1119" s="60"/>
      <c r="X1119" s="62"/>
      <c r="Y1119" s="62"/>
      <c r="Z1119" s="60" t="n">
        <v>3</v>
      </c>
      <c r="AA1119" s="60" t="n">
        <f aca="false">IF(A1119="","",IF(AND(Parameter!$B$21="Ja",ISNUMBER(W1119)),W1119,IF(AND(Parameter!$E$27="Ja",ISNUMBER(Z1119),CD1119&lt;&gt;"Nein"),Z1119,IF(CD1119="2+3",IF(ISNUMBER(SEARCH("grosser Artikel",BV1119)),2,IFERROR(VLOOKUP(BY1119,Parameter!$F$35:$G$64,2,0),2)),IF(OR(CD1119="Nein",CD1119=""),"-",CD1119)))))</f>
        <v>3</v>
      </c>
      <c r="AB1119" s="67"/>
      <c r="AC1119" s="68"/>
      <c r="AD1119" s="62" t="n">
        <f aca="false">AW1119</f>
        <v>15</v>
      </c>
      <c r="AE1119" s="62" t="n">
        <f aca="false">MAX(AW1119,H1119)</f>
        <v>15</v>
      </c>
      <c r="AF1119" s="69"/>
      <c r="AG1119" s="62" t="n">
        <f aca="false">IF(LEFT(Cockpit!$C$5,1)="A",H1119,IF(Parameter!$E$30="MAX-Bestand",IF(CI1119=1,CJ1119,IF(LEFT(Cockpit!$C$5,1)="B",AM1119,MAX(AM1119,H1119))),ROUNDUP(AK1119,0)))</f>
        <v>5</v>
      </c>
      <c r="AH1119" s="62" t="n">
        <f aca="false">IF(CA1119=1,0,ROUNDUP(AG1119/BZ1119,0))</f>
        <v>1</v>
      </c>
      <c r="AI1119" s="64" t="n">
        <f aca="false">IF(CR1119&gt;0,CR1119*MAX(1,AG1119/X1119),IF(CA1119=1,IF(AG1119&lt;=0,0,CE1119*MAX(1,IF(H1119&gt;0,AG1119/H1119,1))),IF(R1119&gt;0,AH1119/R1119,0))/MAX(0.1,N(Parameter!$M$21)))</f>
        <v>0.0384615384615385</v>
      </c>
      <c r="AJ1119" s="62" t="n">
        <f aca="false">AI1119*CC1119</f>
        <v>5.96153846153846</v>
      </c>
      <c r="AK1119" s="63" t="n">
        <f aca="false">IF(LEFT(Cockpit!$C$5,1)="A",H1119,IF(CI1119=1,(CL1119+CJ1119)/2,IF(LEFT(Cockpit!$C$5,1)="B",(CL1119+AM1119)/2,MAX((CL1119+AM1119)/2,H1119))))</f>
        <v>5</v>
      </c>
      <c r="AL1119" s="62" t="n">
        <f aca="false">AK1119*G1119</f>
        <v>358.15</v>
      </c>
      <c r="AM1119" s="62" t="n">
        <f aca="false">ROUNDUP(CL1119+MAX(CM1119,2*(J1119/IF(CH1119&gt;0,CH1119,MAX(0.1,N(Cockpit!$C$6)))-CL1119)),0)</f>
        <v>15</v>
      </c>
      <c r="AN1119" s="63" t="n">
        <f aca="false">IF(AJ1119&gt;0,J1119/AJ1119,-1)</f>
        <v>2.18064516129032</v>
      </c>
      <c r="AO1119" s="63" t="n">
        <f aca="false">IF(AND(OR(CG1119="L1",CG1119="L23",CG1119="LIFT"),AJ1119&gt;0),SUMIFS($AJ$7:$AJ$1843,$CG$7:$CG$1843,CG1119,$AN$7:$AN$1843,"&gt;"&amp;AN1119)+SUMIFS($AJ$7:$AJ$1843,$CG$7:$CG$1843,CG1119,$AN$7:$AN$1843,AN1119,$BX$7:$BX$1843,"&lt;="&amp;BX1119),"")</f>
        <v>5729.10302197802</v>
      </c>
      <c r="AP1119" s="70" t="n">
        <f aca="false">IF(AO1119="",0,MAX(0,MIN(1,(IF(CG1119="L1",Parameter!$H$5,IF(CG1119="L23",Parameter!$H$6+Parameter!$H$7,Parameter!$H$5+Parameter!$H$6+Parameter!$H$7))-(AO1119-AJ1119))/AJ1119)))</f>
        <v>1</v>
      </c>
      <c r="AQ1119" s="62" t="n">
        <f aca="false">IF(LEFT(Cockpit!$I$5,1)="A",H1119,IF(Parameter!$E$30="MAX-Bestand",IF(CI1119=1,CJ1119,IF(LEFT(Cockpit!$I$5,1)="B",AW1119,MAX(AW1119,H1119))),ROUNDUP(AU1119,0)))</f>
        <v>8</v>
      </c>
      <c r="AR1119" s="62" t="n">
        <f aca="false">IF(CA1119=1,0,ROUNDUP(AQ1119/BZ1119,0))</f>
        <v>1</v>
      </c>
      <c r="AS1119" s="64" t="n">
        <f aca="false">IF(CR1119&gt;0,CR1119*MAX(1,AQ1119/X1119),IF(CA1119=1,IF(AQ1119&lt;=0,0,CE1119*MAX(1,IF(H1119&gt;0,AQ1119/H1119,1))),IF(R1119&gt;0,AR1119/R1119,0))/MAX(0.1,N(Parameter!$M$21)))</f>
        <v>0.0384615384615385</v>
      </c>
      <c r="AT1119" s="62" t="n">
        <f aca="false">AS1119*CC1119</f>
        <v>5.96153846153846</v>
      </c>
      <c r="AU1119" s="63" t="n">
        <f aca="false">IF(LEFT(Cockpit!$I$5,1)="A",H1119,IF(CI1119=1,(CL1119+CJ1119)/2,IF(LEFT(Cockpit!$I$5,1)="B",(CL1119+AW1119)/2,MAX((CL1119+AW1119)/2,H1119))))</f>
        <v>7.5</v>
      </c>
      <c r="AV1119" s="62" t="n">
        <f aca="false">AU1119*G1119</f>
        <v>537.225</v>
      </c>
      <c r="AW1119" s="62" t="n">
        <f aca="false">ROUNDUP(CL1119+MAX(CM1119,2*(J1119/IF(CH1119&gt;0,CH1119,MAX(0.1,N(Cockpit!$I$6)))-CL1119)),0)</f>
        <v>15</v>
      </c>
      <c r="AX1119" s="63" t="n">
        <f aca="false">IF(AT1119&gt;0,J1119/AT1119,-1)</f>
        <v>2.18064516129032</v>
      </c>
      <c r="AY1119" s="63" t="n">
        <f aca="false">IF(AND(OR(CG1119="L1",CG1119="L23",CG1119="LIFT"),AT1119&gt;0),SUMIFS($AT$7:$AT$1843,$CG$7:$CG$1843,CG1119,$AX$7:$AX$1843,"&gt;"&amp;AX1119)+SUMIFS($AT$7:$AT$1843,$CG$7:$CG$1843,CG1119,$AX$7:$AX$1843,AX1119,$BX$7:$BX$1843,"&lt;="&amp;BX1119),"")</f>
        <v>6633.16437728938</v>
      </c>
      <c r="AZ1119" s="70" t="n">
        <f aca="false">IF(AY1119="",0,MAX(0,MIN(1,(IF(CG1119="L1",Parameter!$H$5,IF(CG1119="L23",Parameter!$H$6+Parameter!$H$7,Parameter!$H$5+Parameter!$H$6+Parameter!$H$7))-(AY1119-AT1119))/AT1119)))</f>
        <v>1</v>
      </c>
      <c r="BA1119" s="62" t="n">
        <f aca="false">IF(LEFT(Cockpit!$O$5,1)="A",H1119,IF(Parameter!$E$30="MAX-Bestand",IF(CI1119=1,CJ1119,IF(LEFT(Cockpit!$O$5,1)="B",BG1119,MAX(BG1119,H1119))),ROUNDUP(BE1119,0)))</f>
        <v>8</v>
      </c>
      <c r="BB1119" s="62" t="n">
        <f aca="false">IF(CA1119=1,0,ROUNDUP(BA1119/BZ1119,0))</f>
        <v>1</v>
      </c>
      <c r="BC1119" s="64" t="n">
        <f aca="false">IF(CR1119&gt;0,CR1119*MAX(1,BA1119/X1119),IF(CA1119=1,IF(BA1119&lt;=0,0,CE1119*MAX(1,IF(H1119&gt;0,BA1119/H1119,1))),IF(R1119&gt;0,BB1119/R1119,0))/MAX(0.1,N(Parameter!$M$21)))</f>
        <v>0.0384615384615385</v>
      </c>
      <c r="BD1119" s="62" t="n">
        <f aca="false">BC1119*CC1119</f>
        <v>5.96153846153846</v>
      </c>
      <c r="BE1119" s="63" t="n">
        <f aca="false">IF(LEFT(Cockpit!$O$5,1)="A",H1119,IF(CI1119=1,(CL1119+CJ1119)/2,IF(LEFT(Cockpit!$O$5,1)="B",(CL1119+BG1119)/2,MAX((CL1119+BG1119)/2,H1119))))</f>
        <v>7.5</v>
      </c>
      <c r="BF1119" s="62" t="n">
        <f aca="false">BE1119*G1119</f>
        <v>537.225</v>
      </c>
      <c r="BG1119" s="62" t="n">
        <f aca="false">ROUNDUP(CL1119+MAX(CM1119,2*(J1119/IF(CH1119&gt;0,CH1119,MAX(0.1,N(Cockpit!$O$6)))-CL1119)),0)</f>
        <v>15</v>
      </c>
      <c r="BH1119" s="63" t="n">
        <f aca="false">IF(BD1119&gt;0,J1119/BD1119,-1)</f>
        <v>2.18064516129032</v>
      </c>
      <c r="BI1119" s="63" t="n">
        <f aca="false">IF(AND(OR(CG1119="L1",CG1119="L23",CG1119="LIFT"),BD1119&gt;0),SUMIFS($BD$7:$BD$1843,$CG$7:$CG$1843,CG1119,$BH$7:$BH$1843,"&gt;"&amp;BH1119)+SUMIFS($BD$7:$BD$1843,$CG$7:$CG$1843,CG1119,$BH$7:$BH$1843,BH1119,$BX$7:$BX$1843,"&lt;="&amp;BX1119),"")</f>
        <v>5711.32692307692</v>
      </c>
      <c r="BJ1119" s="70" t="n">
        <f aca="false">IF(BI1119="",0,MAX(0,MIN(1,(IF(CG1119="L1",Parameter!$H$5,IF(CG1119="L23",Parameter!$H$6+Parameter!$H$7,Parameter!$H$5+Parameter!$H$6+Parameter!$H$7))-(BI1119-BD1119))/BD1119)))</f>
        <v>1</v>
      </c>
      <c r="BK1119" s="60" t="str">
        <f aca="false">IF(AJ1119&lt;=0,"",IF(CG1119="Aussen","Aussenlager",IF(CG1119="-","Nicht im Lift",IF(AP1119&gt;=1,"Lift",IF(AP1119&lt;=0,"Aussenlager","teilweise")))))</f>
        <v>Lift</v>
      </c>
      <c r="BL1119" s="60" t="str">
        <f aca="false">IF(AT1119&lt;=0,"",IF(CG1119="Aussen","Aussenlager",IF(CG1119="-","Nicht im Lift",IF(AZ1119&gt;=1,"Lift",IF(AZ1119&lt;=0,"Aussenlager","teilweise")))))</f>
        <v>Lift</v>
      </c>
      <c r="BM1119" s="60" t="str">
        <f aca="false">IF(BD1119&lt;=0,"",IF(CG1119="Aussen","Aussenlager",IF(CG1119="-","Nicht im Lift",IF(BJ1119&gt;=1,"Lift",IF(BJ1119&lt;=0,"Aussenlager","teilweise")))))</f>
        <v>Lift</v>
      </c>
      <c r="BN1119" s="60" t="str">
        <f aca="false">IF(A1119="","",IF(BW1119=1,"Neu; ","")&amp;IF(AND(BW1119=0,BR1119&lt;0),"negativer Bestand (Export "&amp;BR1119&amp;"); ","")&amp;IF(J1119&lt;=0,"Kein Verbrauch; ","")&amp;IF(CR1119&gt;0,"Lift "&amp;W1119&amp;" lt. Liftbericht (Fach "&amp;X1119&amp;" Stk); ",IF(CB1119=1,"Gebinde geschätzt ("&amp;T1119&amp;"); ",IF(CA1119=1,"Lose – Tablare geschätzt; ","")))&amp;IF(H1119&gt;AW1119,"Überbestand "&amp;ROUND(H1119-AW1119,0)&amp;" Stk / CHF "&amp;ROUND((H1119-AW1119)*G1119,0)&amp;"; ","")&amp;IF(AND(CI1119=1,CJ1119&lt;CK1119),"MAX &lt; MB+LG; ","")&amp;IF(AND(CQ1119&gt;0,CP1119*10&gt;CQ1119),"zu hoch für Tablar; ","")&amp;IF(AND(BW1119=0,OR(CI1119=1,AB1119&lt;&gt;"",U1119&lt;&gt;"",V1119&lt;&gt;"",AC1119&lt;&gt;"")),"manuell übersteuert; ","")&amp;IF(AND(CA1119=0,R1119=0),"Gebinde unbekannt / Stellmass fehlt; ","")&amp;IF(AND(CA1119=0,N(V1119)&lt;=0,N(Q1119)&lt;=0),"Menge pro Gebinde fehlt (Ist = 1 Gebinde); ","")&amp;BV1119)</f>
        <v>negativer Bestand (Export -4); Überbestand</v>
      </c>
      <c r="BO1119" s="60"/>
      <c r="BP1119" s="60"/>
      <c r="BQ1119" s="67"/>
      <c r="BR1119" s="62" t="n">
        <v>-4</v>
      </c>
      <c r="BS1119" s="62" t="n">
        <v>9</v>
      </c>
      <c r="BT1119" s="61" t="n">
        <v>-239.45</v>
      </c>
      <c r="BU1119" s="62" t="n">
        <v>13</v>
      </c>
      <c r="BV1119" s="60" t="s">
        <v>434</v>
      </c>
      <c r="BW1119" s="65" t="n">
        <v>0</v>
      </c>
      <c r="BX1119" s="65" t="n">
        <v>1119</v>
      </c>
      <c r="BY1119" s="60" t="str">
        <f aca="false">IF(U1119&lt;&gt;"",UPPER(TRIM(U1119)),IF(CB1119=1,UPPER(VLOOKUP(T1119,Parameter!$I$27:$K$29,2,0)),IF(P1119="","LOSE",P1119)))</f>
        <v>S51</v>
      </c>
      <c r="BZ1119" s="62" t="n">
        <f aca="false">IF(BY1119="LOSE",1,IF(N(V1119)&gt;0,V1119,IF(CB1119=1,MAX(1,N(VLOOKUP(T1119,Parameter!$I$27:$K$29,3,0)),H1119,N(N1119)),IF(N(Q1119)&gt;0,Q1119,MAX(1,H1119)))))</f>
        <v>37</v>
      </c>
      <c r="CA1119" s="65" t="n">
        <f aca="false">IF(BY1119="LOSE",1,0)</f>
        <v>0</v>
      </c>
      <c r="CB1119" s="65" t="n">
        <f aca="false">IF(AND(U1119="",OR(P1119="",P1119="LOSE"),T1119&lt;&gt;"",N(S1119)&lt;=0,ISNUMBER(MATCH(T1119,Parameter!$I$27:$I$29,0))),1,0)</f>
        <v>0</v>
      </c>
      <c r="CC1119" s="65" t="n">
        <f aca="false">IF(CR1119&gt;0,INDEX(Parameter!$H$5:$H$7,W1119)/INDEX(Parameter!$E$5:$E$7,W1119),IF(AND(CA1119=0,N(IFERROR(VLOOKUP(BY1119,'Gebinde-Kategorie'!$A$5:$N$45,14,0),0))&gt;0),VLOOKUP(BY1119,'Gebinde-Kategorie'!$A$5:$N$45,14,0)*10+Parameter!$M$23,Parameter!$M$24))</f>
        <v>155</v>
      </c>
      <c r="CD1119" s="60" t="str">
        <f aca="false">IF(AND(Parameter!$B$19="Ja",E1119&lt;&gt;"",ISNUMBER(MATCH(E1119,Parameter!$I$35:$I$52,0))),VLOOKUP(E1119,Parameter!$I$35:$J$52,2,0),IFERROR(VLOOKUP(D1119,Parameter!$A$35:$C$64,2,0),"Nein"))</f>
        <v>2+3</v>
      </c>
      <c r="CE1119" s="64" t="n">
        <f aca="false">IF(CA1119=0,0,IF(N(S1119)&gt;0,S1119,IFERROR(VLOOKUP(D1119,Parameter!$A$35:$C$64,3,0)+0,0)))</f>
        <v>0</v>
      </c>
      <c r="CF1119" s="60" t="n">
        <f aca="false">IF(AB1119&lt;&gt;"",AB1119,AA1119)</f>
        <v>3</v>
      </c>
      <c r="CG1119" s="60" t="str">
        <f aca="false">IF(OR(CF1119=1,CF1119=2,CF1119=3),IF(Parameter!$E$27="Ja","LIFT",IF(CF1119=1,"L1","L23")),IF(CF1119="Aussen","Aussen","-"))</f>
        <v>LIFT</v>
      </c>
      <c r="CH1119" s="71" t="n">
        <f aca="false">IF(N(AC1119)&gt;0,AC1119,0)</f>
        <v>0</v>
      </c>
      <c r="CI1119" s="65" t="n">
        <f aca="false">IF(ISNUMBER(AF1119),1,0)</f>
        <v>0</v>
      </c>
      <c r="CJ1119" s="62" t="n">
        <f aca="false">N(AF1119)</f>
        <v>0</v>
      </c>
      <c r="CK1119" s="62" t="n">
        <f aca="false">N(M1119)+N(N1119)</f>
        <v>15</v>
      </c>
      <c r="CL1119" s="62" t="n">
        <f aca="false">N(M1119)</f>
        <v>0</v>
      </c>
      <c r="CM1119" s="62" t="n">
        <f aca="false">N(N1119)</f>
        <v>15</v>
      </c>
      <c r="CN1119" s="62" t="n">
        <f aca="false">ROUNDUP(H1119/BZ1119,0)</f>
        <v>1</v>
      </c>
      <c r="CO1119" s="62" t="n">
        <f aca="false">ROUNDUP(CJ1119/BZ1119,0)</f>
        <v>0</v>
      </c>
      <c r="CP1119" s="65" t="n">
        <f aca="false">IF(CA1119=1,0,IFERROR(VLOOKUP(BY1119,'Gebinde-Kategorie'!$A$5:$N$45,5,0)+0,0))</f>
        <v>11</v>
      </c>
      <c r="CQ1119" s="65" t="n">
        <f aca="false">IFERROR(IF(OR(CF1119=1,CF1119=2,CF1119=3),N(INDEX(Parameter!$I$5:$I$7,CF1119)),0),0)</f>
        <v>0</v>
      </c>
      <c r="CR1119" s="64" t="n">
        <f aca="false">IF(AND(Parameter!$B$21="Ja",ISNUMBER(W1119),N(X1119)&gt;0),IFERROR(N(INDEX(Parameter!$L$5:$L$7,W1119))*INDEX(Parameter!$E$5:$E$7,W1119)*X1119/SUMIFS($X$7:$X$1843,$W$7:$W$1843,W1119),0),0)</f>
        <v>0</v>
      </c>
      <c r="CS1119" s="62" t="n">
        <f aca="false">IF(AND(OR(CG1119="L1",CG1119="L23",CG1119="LIFT"),H1119&gt;0),CC1119*IF(CR1119&gt;0,CR1119*MAX(1,H1119/X1119),IF(CA1119=1,CE1119,IF(R1119&gt;0,CN1119/R1119,0))/MAX(0.1,N(Parameter!$M$21))),"")</f>
        <v>5.96153846153846</v>
      </c>
      <c r="CT1119" s="64" t="n">
        <f aca="false">IF(CS1119="","",J1119/H1119)</f>
        <v>2.6</v>
      </c>
      <c r="CU1119" s="62" t="n">
        <f aca="false">IF(CS1119="","",H1119*G1119)</f>
        <v>358.15</v>
      </c>
      <c r="CV1119" s="63" t="n">
        <f aca="false">IF(CS1119="","",(CL1119+ROUNDUP(CL1119+MAX(CM1119,2*(J1119/MAX(0.1,N(Einkauf!$C$6))-CL1119)),0))/2)</f>
        <v>7.5</v>
      </c>
      <c r="CW1119" s="62" t="n">
        <f aca="false">IF(CS1119="","",MAX(0,H1119-CV1119)*G1119)</f>
        <v>0</v>
      </c>
      <c r="CX1119" s="62" t="n">
        <f aca="false">IF(CS1119="","",CS1119*MAX(0,1-CV1119/H1119))</f>
        <v>0</v>
      </c>
      <c r="CY1119" s="64" t="n">
        <f aca="false">IF(CS1119="","",PERCENTRANK($CS$7:$CS$1843,CS1119)+PERCENTRANK($CU$7:$CU$1843,CU1119)+1-PERCENTRANK($CT$7:$CT$1843,CT1119))</f>
        <v>0.951</v>
      </c>
      <c r="CZ1119" s="72" t="n">
        <f aca="false">IF(CS1119="","",CHOOSE(MATCH(Einkauf!$C$5,Parameter!$G$23:$G$27,0),CY1119,CS1119,CU1119,-CT1119,CW1119)+ROW()/1000000000)</f>
        <v>0.951001119</v>
      </c>
    </row>
    <row r="1120" customFormat="false" ht="15" hidden="false" customHeight="false" outlineLevel="0" collapsed="false">
      <c r="A1120" s="60" t="s">
        <v>2072</v>
      </c>
      <c r="B1120" s="60" t="s">
        <v>2073</v>
      </c>
      <c r="C1120" s="60" t="s">
        <v>206</v>
      </c>
      <c r="D1120" s="60" t="s">
        <v>226</v>
      </c>
      <c r="E1120" s="60" t="s">
        <v>227</v>
      </c>
      <c r="F1120" s="60" t="s">
        <v>260</v>
      </c>
      <c r="G1120" s="61" t="n">
        <v>58.79</v>
      </c>
      <c r="H1120" s="62" t="n">
        <f aca="false">MAX(0,IF(AND(Parameter!$B$21="Ja",ISNUMBER(Y1120)),Y1120,IF(Parameter!$B$20="Jahresanfang 2025 + Export",BS1120+BR1120,BR1120)))</f>
        <v>6</v>
      </c>
      <c r="I1120" s="62" t="n">
        <f aca="false">H1120*G1120</f>
        <v>352.74</v>
      </c>
      <c r="J1120" s="62" t="n">
        <f aca="false">BU1120*Parameter!$B$18</f>
        <v>7</v>
      </c>
      <c r="K1120" s="63" t="n">
        <v>10.5</v>
      </c>
      <c r="L1120" s="64" t="n">
        <v>0.666666666666667</v>
      </c>
      <c r="M1120" s="62" t="n">
        <v>0</v>
      </c>
      <c r="N1120" s="62" t="n">
        <v>5</v>
      </c>
      <c r="O1120" s="65" t="n">
        <v>28</v>
      </c>
      <c r="P1120" s="60" t="s">
        <v>275</v>
      </c>
      <c r="Q1120" s="62" t="n">
        <v>18</v>
      </c>
      <c r="R1120" s="65" t="n">
        <f aca="false">IF(CA1120=1,0,IFERROR(VLOOKUP(BY1120,'Gebinde-Kategorie'!$A$5:$N$45,13,0)+0,0))</f>
        <v>26</v>
      </c>
      <c r="S1120" s="66"/>
      <c r="T1120" s="67"/>
      <c r="U1120" s="67"/>
      <c r="V1120" s="67"/>
      <c r="W1120" s="60"/>
      <c r="X1120" s="62"/>
      <c r="Y1120" s="62"/>
      <c r="Z1120" s="60" t="n">
        <v>3</v>
      </c>
      <c r="AA1120" s="60" t="n">
        <f aca="false">IF(A1120="","",IF(AND(Parameter!$B$21="Ja",ISNUMBER(W1120)),W1120,IF(AND(Parameter!$E$27="Ja",ISNUMBER(Z1120),CD1120&lt;&gt;"Nein"),Z1120,IF(CD1120="2+3",IF(ISNUMBER(SEARCH("grosser Artikel",BV1120)),2,IFERROR(VLOOKUP(BY1120,Parameter!$F$35:$G$64,2,0),2)),IF(OR(CD1120="Nein",CD1120=""),"-",CD1120)))))</f>
        <v>3</v>
      </c>
      <c r="AB1120" s="67"/>
      <c r="AC1120" s="68"/>
      <c r="AD1120" s="62" t="n">
        <f aca="false">AW1120</f>
        <v>5</v>
      </c>
      <c r="AE1120" s="62" t="n">
        <f aca="false">MAX(AW1120,H1120)</f>
        <v>6</v>
      </c>
      <c r="AF1120" s="69"/>
      <c r="AG1120" s="62" t="n">
        <f aca="false">IF(LEFT(Cockpit!$C$5,1)="A",H1120,IF(Parameter!$E$30="MAX-Bestand",IF(CI1120=1,CJ1120,IF(LEFT(Cockpit!$C$5,1)="B",AM1120,MAX(AM1120,H1120))),ROUNDUP(AK1120,0)))</f>
        <v>6</v>
      </c>
      <c r="AH1120" s="62" t="n">
        <f aca="false">IF(CA1120=1,0,ROUNDUP(AG1120/BZ1120,0))</f>
        <v>1</v>
      </c>
      <c r="AI1120" s="64" t="n">
        <f aca="false">IF(CR1120&gt;0,CR1120*MAX(1,AG1120/X1120),IF(CA1120=1,IF(AG1120&lt;=0,0,CE1120*MAX(1,IF(H1120&gt;0,AG1120/H1120,1))),IF(R1120&gt;0,AH1120/R1120,0))/MAX(0.1,N(Parameter!$M$21)))</f>
        <v>0.0384615384615385</v>
      </c>
      <c r="AJ1120" s="62" t="n">
        <f aca="false">AI1120*CC1120</f>
        <v>9.42307692307692</v>
      </c>
      <c r="AK1120" s="63" t="n">
        <f aca="false">IF(LEFT(Cockpit!$C$5,1)="A",H1120,IF(CI1120=1,(CL1120+CJ1120)/2,IF(LEFT(Cockpit!$C$5,1)="B",(CL1120+AM1120)/2,MAX((CL1120+AM1120)/2,H1120))))</f>
        <v>6</v>
      </c>
      <c r="AL1120" s="62" t="n">
        <f aca="false">AK1120*G1120</f>
        <v>352.74</v>
      </c>
      <c r="AM1120" s="62" t="n">
        <f aca="false">ROUNDUP(CL1120+MAX(CM1120,2*(J1120/IF(CH1120&gt;0,CH1120,MAX(0.1,N(Cockpit!$C$6)))-CL1120)),0)</f>
        <v>5</v>
      </c>
      <c r="AN1120" s="63" t="n">
        <f aca="false">IF(AJ1120&gt;0,J1120/AJ1120,-1)</f>
        <v>0.742857142857143</v>
      </c>
      <c r="AO1120" s="63" t="n">
        <f aca="false">IF(AND(OR(CG1120="L1",CG1120="L23",CG1120="LIFT"),AJ1120&gt;0),SUMIFS($AJ$7:$AJ$1843,$CG$7:$CG$1843,CG1120,$AN$7:$AN$1843,"&gt;"&amp;AN1120)+SUMIFS($AJ$7:$AJ$1843,$CG$7:$CG$1843,CG1120,$AN$7:$AN$1843,AN1120,$BX$7:$BX$1843,"&lt;="&amp;BX1120),"")</f>
        <v>8398.41987179487</v>
      </c>
      <c r="AP1120" s="70" t="n">
        <f aca="false">IF(AO1120="",0,MAX(0,MIN(1,(IF(CG1120="L1",Parameter!$H$5,IF(CG1120="L23",Parameter!$H$6+Parameter!$H$7,Parameter!$H$5+Parameter!$H$6+Parameter!$H$7))-(AO1120-AJ1120))/AJ1120)))</f>
        <v>1</v>
      </c>
      <c r="AQ1120" s="62" t="n">
        <f aca="false">IF(LEFT(Cockpit!$I$5,1)="A",H1120,IF(Parameter!$E$30="MAX-Bestand",IF(CI1120=1,CJ1120,IF(LEFT(Cockpit!$I$5,1)="B",AW1120,MAX(AW1120,H1120))),ROUNDUP(AU1120,0)))</f>
        <v>6</v>
      </c>
      <c r="AR1120" s="62" t="n">
        <f aca="false">IF(CA1120=1,0,ROUNDUP(AQ1120/BZ1120,0))</f>
        <v>1</v>
      </c>
      <c r="AS1120" s="64" t="n">
        <f aca="false">IF(CR1120&gt;0,CR1120*MAX(1,AQ1120/X1120),IF(CA1120=1,IF(AQ1120&lt;=0,0,CE1120*MAX(1,IF(H1120&gt;0,AQ1120/H1120,1))),IF(R1120&gt;0,AR1120/R1120,0))/MAX(0.1,N(Parameter!$M$21)))</f>
        <v>0.0384615384615385</v>
      </c>
      <c r="AT1120" s="62" t="n">
        <f aca="false">AS1120*CC1120</f>
        <v>9.42307692307692</v>
      </c>
      <c r="AU1120" s="63" t="n">
        <f aca="false">IF(LEFT(Cockpit!$I$5,1)="A",H1120,IF(CI1120=1,(CL1120+CJ1120)/2,IF(LEFT(Cockpit!$I$5,1)="B",(CL1120+AW1120)/2,MAX((CL1120+AW1120)/2,H1120))))</f>
        <v>6</v>
      </c>
      <c r="AV1120" s="62" t="n">
        <f aca="false">AU1120*G1120</f>
        <v>352.74</v>
      </c>
      <c r="AW1120" s="62" t="n">
        <f aca="false">ROUNDUP(CL1120+MAX(CM1120,2*(J1120/IF(CH1120&gt;0,CH1120,MAX(0.1,N(Cockpit!$I$6)))-CL1120)),0)</f>
        <v>5</v>
      </c>
      <c r="AX1120" s="63" t="n">
        <f aca="false">IF(AT1120&gt;0,J1120/AT1120,-1)</f>
        <v>0.742857142857143</v>
      </c>
      <c r="AY1120" s="63" t="n">
        <f aca="false">IF(AND(OR(CG1120="L1",CG1120="L23",CG1120="LIFT"),AT1120&gt;0),SUMIFS($AT$7:$AT$1843,$CG$7:$CG$1843,CG1120,$AX$7:$AX$1843,"&gt;"&amp;AX1120)+SUMIFS($AT$7:$AT$1843,$CG$7:$CG$1843,CG1120,$AX$7:$AX$1843,AX1120,$BX$7:$BX$1843,"&lt;="&amp;BX1120),"")</f>
        <v>10657.9880952381</v>
      </c>
      <c r="AZ1120" s="70" t="n">
        <f aca="false">IF(AY1120="",0,MAX(0,MIN(1,(IF(CG1120="L1",Parameter!$H$5,IF(CG1120="L23",Parameter!$H$6+Parameter!$H$7,Parameter!$H$5+Parameter!$H$6+Parameter!$H$7))-(AY1120-AT1120))/AT1120)))</f>
        <v>1</v>
      </c>
      <c r="BA1120" s="62" t="n">
        <f aca="false">IF(LEFT(Cockpit!$O$5,1)="A",H1120,IF(Parameter!$E$30="MAX-Bestand",IF(CI1120=1,CJ1120,IF(LEFT(Cockpit!$O$5,1)="B",BG1120,MAX(BG1120,H1120))),ROUNDUP(BE1120,0)))</f>
        <v>3</v>
      </c>
      <c r="BB1120" s="62" t="n">
        <f aca="false">IF(CA1120=1,0,ROUNDUP(BA1120/BZ1120,0))</f>
        <v>1</v>
      </c>
      <c r="BC1120" s="64" t="n">
        <f aca="false">IF(CR1120&gt;0,CR1120*MAX(1,BA1120/X1120),IF(CA1120=1,IF(BA1120&lt;=0,0,CE1120*MAX(1,IF(H1120&gt;0,BA1120/H1120,1))),IF(R1120&gt;0,BB1120/R1120,0))/MAX(0.1,N(Parameter!$M$21)))</f>
        <v>0.0384615384615385</v>
      </c>
      <c r="BD1120" s="62" t="n">
        <f aca="false">BC1120*CC1120</f>
        <v>9.42307692307692</v>
      </c>
      <c r="BE1120" s="63" t="n">
        <f aca="false">IF(LEFT(Cockpit!$O$5,1)="A",H1120,IF(CI1120=1,(CL1120+CJ1120)/2,IF(LEFT(Cockpit!$O$5,1)="B",(CL1120+BG1120)/2,MAX((CL1120+BG1120)/2,H1120))))</f>
        <v>2.5</v>
      </c>
      <c r="BF1120" s="62" t="n">
        <f aca="false">BE1120*G1120</f>
        <v>146.975</v>
      </c>
      <c r="BG1120" s="62" t="n">
        <f aca="false">ROUNDUP(CL1120+MAX(CM1120,2*(J1120/IF(CH1120&gt;0,CH1120,MAX(0.1,N(Cockpit!$O$6)))-CL1120)),0)</f>
        <v>5</v>
      </c>
      <c r="BH1120" s="63" t="n">
        <f aca="false">IF(BD1120&gt;0,J1120/BD1120,-1)</f>
        <v>0.742857142857143</v>
      </c>
      <c r="BI1120" s="63" t="n">
        <f aca="false">IF(AND(OR(CG1120="L1",CG1120="L23",CG1120="LIFT"),BD1120&gt;0),SUMIFS($BD$7:$BD$1843,$CG$7:$CG$1843,CG1120,$BH$7:$BH$1843,"&gt;"&amp;BH1120)+SUMIFS($BD$7:$BD$1843,$CG$7:$CG$1843,CG1120,$BH$7:$BH$1843,BH1120,$BX$7:$BX$1843,"&lt;="&amp;BX1120),"")</f>
        <v>9121.37225274725</v>
      </c>
      <c r="BJ1120" s="70" t="n">
        <f aca="false">IF(BI1120="",0,MAX(0,MIN(1,(IF(CG1120="L1",Parameter!$H$5,IF(CG1120="L23",Parameter!$H$6+Parameter!$H$7,Parameter!$H$5+Parameter!$H$6+Parameter!$H$7))-(BI1120-BD1120))/BD1120)))</f>
        <v>1</v>
      </c>
      <c r="BK1120" s="60" t="str">
        <f aca="false">IF(AJ1120&lt;=0,"",IF(CG1120="Aussen","Aussenlager",IF(CG1120="-","Nicht im Lift",IF(AP1120&gt;=1,"Lift",IF(AP1120&lt;=0,"Aussenlager","teilweise")))))</f>
        <v>Lift</v>
      </c>
      <c r="BL1120" s="60" t="str">
        <f aca="false">IF(AT1120&lt;=0,"",IF(CG1120="Aussen","Aussenlager",IF(CG1120="-","Nicht im Lift",IF(AZ1120&gt;=1,"Lift",IF(AZ1120&lt;=0,"Aussenlager","teilweise")))))</f>
        <v>Lift</v>
      </c>
      <c r="BM1120" s="60" t="str">
        <f aca="false">IF(BD1120&lt;=0,"",IF(CG1120="Aussen","Aussenlager",IF(CG1120="-","Nicht im Lift",IF(BJ1120&gt;=1,"Lift",IF(BJ1120&lt;=0,"Aussenlager","teilweise")))))</f>
        <v>Lift</v>
      </c>
      <c r="BN1120" s="60" t="str">
        <f aca="false">IF(A1120="","",IF(BW1120=1,"Neu; ","")&amp;IF(AND(BW1120=0,BR1120&lt;0),"negativer Bestand (Export "&amp;BR1120&amp;"); ","")&amp;IF(J1120&lt;=0,"Kein Verbrauch; ","")&amp;IF(CR1120&gt;0,"Lift "&amp;W1120&amp;" lt. Liftbericht (Fach "&amp;X1120&amp;" Stk); ",IF(CB1120=1,"Gebinde geschätzt ("&amp;T1120&amp;"); ",IF(CA1120=1,"Lose – Tablare geschätzt; ","")))&amp;IF(H1120&gt;AW1120,"Überbestand "&amp;ROUND(H1120-AW1120,0)&amp;" Stk / CHF "&amp;ROUND((H1120-AW1120)*G1120,0)&amp;"; ","")&amp;IF(AND(CI1120=1,CJ1120&lt;CK1120),"MAX &lt; MB+LG; ","")&amp;IF(AND(CQ1120&gt;0,CP1120*10&gt;CQ1120),"zu hoch für Tablar; ","")&amp;IF(AND(BW1120=0,OR(CI1120=1,AB1120&lt;&gt;"",U1120&lt;&gt;"",V1120&lt;&gt;"",AC1120&lt;&gt;"")),"manuell übersteuert; ","")&amp;IF(AND(CA1120=0,R1120=0),"Gebinde unbekannt / Stellmass fehlt; ","")&amp;IF(AND(CA1120=0,N(V1120)&lt;=0,N(Q1120)&lt;=0),"Menge pro Gebinde fehlt (Ist = 1 Gebinde); ","")&amp;BV1120)</f>
        <v>negativer Bestand (Export -4); Überbestand 1 Stk / CHF 59; Neu</v>
      </c>
      <c r="BO1120" s="60"/>
      <c r="BP1120" s="60"/>
      <c r="BQ1120" s="67"/>
      <c r="BR1120" s="62" t="n">
        <v>-4</v>
      </c>
      <c r="BS1120" s="62" t="n">
        <v>10</v>
      </c>
      <c r="BT1120" s="61" t="n">
        <v>-241.06</v>
      </c>
      <c r="BU1120" s="62" t="n">
        <v>7</v>
      </c>
      <c r="BV1120" s="60" t="s">
        <v>668</v>
      </c>
      <c r="BW1120" s="65" t="n">
        <v>0</v>
      </c>
      <c r="BX1120" s="65" t="n">
        <v>1120</v>
      </c>
      <c r="BY1120" s="60" t="str">
        <f aca="false">IF(U1120&lt;&gt;"",UPPER(TRIM(U1120)),IF(CB1120=1,UPPER(VLOOKUP(T1120,Parameter!$I$27:$K$29,2,0)),IF(P1120="","LOSE",P1120)))</f>
        <v>S52</v>
      </c>
      <c r="BZ1120" s="62" t="n">
        <f aca="false">IF(BY1120="LOSE",1,IF(N(V1120)&gt;0,V1120,IF(CB1120=1,MAX(1,N(VLOOKUP(T1120,Parameter!$I$27:$K$29,3,0)),H1120,N(N1120)),IF(N(Q1120)&gt;0,Q1120,MAX(1,H1120)))))</f>
        <v>18</v>
      </c>
      <c r="CA1120" s="65" t="n">
        <f aca="false">IF(BY1120="LOSE",1,0)</f>
        <v>0</v>
      </c>
      <c r="CB1120" s="65" t="n">
        <f aca="false">IF(AND(U1120="",OR(P1120="",P1120="LOSE"),T1120&lt;&gt;"",N(S1120)&lt;=0,ISNUMBER(MATCH(T1120,Parameter!$I$27:$I$29,0))),1,0)</f>
        <v>0</v>
      </c>
      <c r="CC1120" s="65" t="n">
        <f aca="false">IF(CR1120&gt;0,INDEX(Parameter!$H$5:$H$7,W1120)/INDEX(Parameter!$E$5:$E$7,W1120),IF(AND(CA1120=0,N(IFERROR(VLOOKUP(BY1120,'Gebinde-Kategorie'!$A$5:$N$45,14,0),0))&gt;0),VLOOKUP(BY1120,'Gebinde-Kategorie'!$A$5:$N$45,14,0)*10+Parameter!$M$23,Parameter!$M$24))</f>
        <v>245</v>
      </c>
      <c r="CD1120" s="60" t="str">
        <f aca="false">IF(AND(Parameter!$B$19="Ja",E1120&lt;&gt;"",ISNUMBER(MATCH(E1120,Parameter!$I$35:$I$52,0))),VLOOKUP(E1120,Parameter!$I$35:$J$52,2,0),IFERROR(VLOOKUP(D1120,Parameter!$A$35:$C$64,2,0),"Nein"))</f>
        <v>2+3</v>
      </c>
      <c r="CE1120" s="64" t="n">
        <f aca="false">IF(CA1120=0,0,IF(N(S1120)&gt;0,S1120,IFERROR(VLOOKUP(D1120,Parameter!$A$35:$C$64,3,0)+0,0)))</f>
        <v>0</v>
      </c>
      <c r="CF1120" s="60" t="n">
        <f aca="false">IF(AB1120&lt;&gt;"",AB1120,AA1120)</f>
        <v>3</v>
      </c>
      <c r="CG1120" s="60" t="str">
        <f aca="false">IF(OR(CF1120=1,CF1120=2,CF1120=3),IF(Parameter!$E$27="Ja","LIFT",IF(CF1120=1,"L1","L23")),IF(CF1120="Aussen","Aussen","-"))</f>
        <v>LIFT</v>
      </c>
      <c r="CH1120" s="71" t="n">
        <f aca="false">IF(N(AC1120)&gt;0,AC1120,0)</f>
        <v>0</v>
      </c>
      <c r="CI1120" s="65" t="n">
        <f aca="false">IF(ISNUMBER(AF1120),1,0)</f>
        <v>0</v>
      </c>
      <c r="CJ1120" s="62" t="n">
        <f aca="false">N(AF1120)</f>
        <v>0</v>
      </c>
      <c r="CK1120" s="62" t="n">
        <f aca="false">N(M1120)+N(N1120)</f>
        <v>5</v>
      </c>
      <c r="CL1120" s="62" t="n">
        <f aca="false">N(M1120)</f>
        <v>0</v>
      </c>
      <c r="CM1120" s="62" t="n">
        <f aca="false">N(N1120)</f>
        <v>5</v>
      </c>
      <c r="CN1120" s="62" t="n">
        <f aca="false">ROUNDUP(H1120/BZ1120,0)</f>
        <v>1</v>
      </c>
      <c r="CO1120" s="62" t="n">
        <f aca="false">ROUNDUP(CJ1120/BZ1120,0)</f>
        <v>0</v>
      </c>
      <c r="CP1120" s="65" t="n">
        <f aca="false">IF(CA1120=1,0,IFERROR(VLOOKUP(BY1120,'Gebinde-Kategorie'!$A$5:$N$45,5,0)+0,0))</f>
        <v>21</v>
      </c>
      <c r="CQ1120" s="65" t="n">
        <f aca="false">IFERROR(IF(OR(CF1120=1,CF1120=2,CF1120=3),N(INDEX(Parameter!$I$5:$I$7,CF1120)),0),0)</f>
        <v>0</v>
      </c>
      <c r="CR1120" s="64" t="n">
        <f aca="false">IF(AND(Parameter!$B$21="Ja",ISNUMBER(W1120),N(X1120)&gt;0),IFERROR(N(INDEX(Parameter!$L$5:$L$7,W1120))*INDEX(Parameter!$E$5:$E$7,W1120)*X1120/SUMIFS($X$7:$X$1843,$W$7:$W$1843,W1120),0),0)</f>
        <v>0</v>
      </c>
      <c r="CS1120" s="62" t="n">
        <f aca="false">IF(AND(OR(CG1120="L1",CG1120="L23",CG1120="LIFT"),H1120&gt;0),CC1120*IF(CR1120&gt;0,CR1120*MAX(1,H1120/X1120),IF(CA1120=1,CE1120,IF(R1120&gt;0,CN1120/R1120,0))/MAX(0.1,N(Parameter!$M$21))),"")</f>
        <v>9.42307692307692</v>
      </c>
      <c r="CT1120" s="64" t="n">
        <f aca="false">IF(CS1120="","",J1120/H1120)</f>
        <v>1.16666666666667</v>
      </c>
      <c r="CU1120" s="62" t="n">
        <f aca="false">IF(CS1120="","",H1120*G1120)</f>
        <v>352.74</v>
      </c>
      <c r="CV1120" s="63" t="n">
        <f aca="false">IF(CS1120="","",(CL1120+ROUNDUP(CL1120+MAX(CM1120,2*(J1120/MAX(0.1,N(Einkauf!$C$6))-CL1120)),0))/2)</f>
        <v>2.5</v>
      </c>
      <c r="CW1120" s="62" t="n">
        <f aca="false">IF(CS1120="","",MAX(0,H1120-CV1120)*G1120)</f>
        <v>205.765</v>
      </c>
      <c r="CX1120" s="62" t="n">
        <f aca="false">IF(CS1120="","",CS1120*MAX(0,1-CV1120/H1120))</f>
        <v>5.49679487179487</v>
      </c>
      <c r="CY1120" s="64" t="n">
        <f aca="false">IF(CS1120="","",PERCENTRANK($CS$7:$CS$1843,CS1120)+PERCENTRANK($CU$7:$CU$1843,CU1120)+1-PERCENTRANK($CT$7:$CT$1843,CT1120))</f>
        <v>1.327</v>
      </c>
      <c r="CZ1120" s="72" t="n">
        <f aca="false">IF(CS1120="","",CHOOSE(MATCH(Einkauf!$C$5,Parameter!$G$23:$G$27,0),CY1120,CS1120,CU1120,-CT1120,CW1120)+ROW()/1000000000)</f>
        <v>1.32700112</v>
      </c>
    </row>
    <row r="1121" customFormat="false" ht="15" hidden="false" customHeight="false" outlineLevel="0" collapsed="false">
      <c r="A1121" s="60" t="s">
        <v>2074</v>
      </c>
      <c r="B1121" s="60" t="s">
        <v>447</v>
      </c>
      <c r="C1121" s="60" t="s">
        <v>206</v>
      </c>
      <c r="D1121" s="60" t="s">
        <v>215</v>
      </c>
      <c r="E1121" s="60" t="s">
        <v>227</v>
      </c>
      <c r="F1121" s="60" t="s">
        <v>260</v>
      </c>
      <c r="G1121" s="61" t="n">
        <v>0.32</v>
      </c>
      <c r="H1121" s="62" t="n">
        <f aca="false">MAX(0,IF(AND(Parameter!$B$21="Ja",ISNUMBER(Y1121)),Y1121,IF(Parameter!$B$20="Jahresanfang 2025 + Export",BS1121+BR1121,BR1121)))</f>
        <v>984</v>
      </c>
      <c r="I1121" s="62" t="n">
        <f aca="false">H1121*G1121</f>
        <v>314.88</v>
      </c>
      <c r="J1121" s="62" t="n">
        <f aca="false">BU1121*Parameter!$B$18</f>
        <v>3771</v>
      </c>
      <c r="K1121" s="63" t="n">
        <v>2367</v>
      </c>
      <c r="L1121" s="64" t="n">
        <v>1.59315589353612</v>
      </c>
      <c r="M1121" s="62" t="n">
        <v>219</v>
      </c>
      <c r="N1121" s="62" t="n">
        <v>500</v>
      </c>
      <c r="O1121" s="65" t="n">
        <v>21</v>
      </c>
      <c r="P1121" s="60" t="s">
        <v>216</v>
      </c>
      <c r="Q1121" s="62" t="n">
        <v>1000</v>
      </c>
      <c r="R1121" s="65" t="n">
        <f aca="false">IF(CA1121=1,0,IFERROR(VLOOKUP(BY1121,'Gebinde-Kategorie'!$A$5:$N$45,13,0)+0,0))</f>
        <v>6</v>
      </c>
      <c r="S1121" s="66"/>
      <c r="T1121" s="67"/>
      <c r="U1121" s="67"/>
      <c r="V1121" s="67"/>
      <c r="W1121" s="60"/>
      <c r="X1121" s="62"/>
      <c r="Y1121" s="62"/>
      <c r="Z1121" s="60" t="n">
        <v>2</v>
      </c>
      <c r="AA1121" s="60" t="n">
        <f aca="false">IF(A1121="","",IF(AND(Parameter!$B$21="Ja",ISNUMBER(W1121)),W1121,IF(AND(Parameter!$E$27="Ja",ISNUMBER(Z1121),CD1121&lt;&gt;"Nein"),Z1121,IF(CD1121="2+3",IF(ISNUMBER(SEARCH("grosser Artikel",BV1121)),2,IFERROR(VLOOKUP(BY1121,Parameter!$F$35:$G$64,2,0),2)),IF(OR(CD1121="Nein",CD1121=""),"-",CD1121)))))</f>
        <v>2</v>
      </c>
      <c r="AB1121" s="67"/>
      <c r="AC1121" s="68"/>
      <c r="AD1121" s="62" t="n">
        <f aca="false">AW1121</f>
        <v>2295</v>
      </c>
      <c r="AE1121" s="62" t="n">
        <f aca="false">MAX(AW1121,H1121)</f>
        <v>2295</v>
      </c>
      <c r="AF1121" s="69"/>
      <c r="AG1121" s="62" t="n">
        <f aca="false">IF(LEFT(Cockpit!$C$5,1)="A",H1121,IF(Parameter!$E$30="MAX-Bestand",IF(CI1121=1,CJ1121,IF(LEFT(Cockpit!$C$5,1)="B",AM1121,MAX(AM1121,H1121))),ROUNDUP(AK1121,0)))</f>
        <v>984</v>
      </c>
      <c r="AH1121" s="62" t="n">
        <f aca="false">IF(CA1121=1,0,ROUNDUP(AG1121/BZ1121,0))</f>
        <v>1</v>
      </c>
      <c r="AI1121" s="64" t="n">
        <f aca="false">IF(CR1121&gt;0,CR1121*MAX(1,AG1121/X1121),IF(CA1121=1,IF(AG1121&lt;=0,0,CE1121*MAX(1,IF(H1121&gt;0,AG1121/H1121,1))),IF(R1121&gt;0,AH1121/R1121,0))/MAX(0.1,N(Parameter!$M$21)))</f>
        <v>0.166666666666667</v>
      </c>
      <c r="AJ1121" s="62" t="n">
        <f aca="false">AI1121*CC1121</f>
        <v>39.1666666666667</v>
      </c>
      <c r="AK1121" s="63" t="n">
        <f aca="false">IF(LEFT(Cockpit!$C$5,1)="A",H1121,IF(CI1121=1,(CL1121+CJ1121)/2,IF(LEFT(Cockpit!$C$5,1)="B",(CL1121+AM1121)/2,MAX((CL1121+AM1121)/2,H1121))))</f>
        <v>984</v>
      </c>
      <c r="AL1121" s="62" t="n">
        <f aca="false">AK1121*G1121</f>
        <v>314.88</v>
      </c>
      <c r="AM1121" s="62" t="n">
        <f aca="false">ROUNDUP(CL1121+MAX(CM1121,2*(J1121/IF(CH1121&gt;0,CH1121,MAX(0.1,N(Cockpit!$C$6)))-CL1121)),0)</f>
        <v>2295</v>
      </c>
      <c r="AN1121" s="63" t="n">
        <f aca="false">IF(AJ1121&gt;0,J1121/AJ1121,-1)</f>
        <v>96.2808510638298</v>
      </c>
      <c r="AO1121" s="63" t="n">
        <f aca="false">IF(AND(OR(CG1121="L1",CG1121="L23",CG1121="LIFT"),AJ1121&gt;0),SUMIFS($AJ$7:$AJ$1843,$CG$7:$CG$1843,CG1121,$AN$7:$AN$1843,"&gt;"&amp;AN1121)+SUMIFS($AJ$7:$AJ$1843,$CG$7:$CG$1843,CG1121,$AN$7:$AN$1843,AN1121,$BX$7:$BX$1843,"&lt;="&amp;BX1121),"")</f>
        <v>808.07967032967</v>
      </c>
      <c r="AP1121" s="70" t="n">
        <f aca="false">IF(AO1121="",0,MAX(0,MIN(1,(IF(CG1121="L1",Parameter!$H$5,IF(CG1121="L23",Parameter!$H$6+Parameter!$H$7,Parameter!$H$5+Parameter!$H$6+Parameter!$H$7))-(AO1121-AJ1121))/AJ1121)))</f>
        <v>1</v>
      </c>
      <c r="AQ1121" s="62" t="n">
        <f aca="false">IF(LEFT(Cockpit!$I$5,1)="A",H1121,IF(Parameter!$E$30="MAX-Bestand",IF(CI1121=1,CJ1121,IF(LEFT(Cockpit!$I$5,1)="B",AW1121,MAX(AW1121,H1121))),ROUNDUP(AU1121,0)))</f>
        <v>1257</v>
      </c>
      <c r="AR1121" s="62" t="n">
        <f aca="false">IF(CA1121=1,0,ROUNDUP(AQ1121/BZ1121,0))</f>
        <v>2</v>
      </c>
      <c r="AS1121" s="64" t="n">
        <f aca="false">IF(CR1121&gt;0,CR1121*MAX(1,AQ1121/X1121),IF(CA1121=1,IF(AQ1121&lt;=0,0,CE1121*MAX(1,IF(H1121&gt;0,AQ1121/H1121,1))),IF(R1121&gt;0,AR1121/R1121,0))/MAX(0.1,N(Parameter!$M$21)))</f>
        <v>0.333333333333333</v>
      </c>
      <c r="AT1121" s="62" t="n">
        <f aca="false">AS1121*CC1121</f>
        <v>78.3333333333333</v>
      </c>
      <c r="AU1121" s="63" t="n">
        <f aca="false">IF(LEFT(Cockpit!$I$5,1)="A",H1121,IF(CI1121=1,(CL1121+CJ1121)/2,IF(LEFT(Cockpit!$I$5,1)="B",(CL1121+AW1121)/2,MAX((CL1121+AW1121)/2,H1121))))</f>
        <v>1257</v>
      </c>
      <c r="AV1121" s="62" t="n">
        <f aca="false">AU1121*G1121</f>
        <v>402.24</v>
      </c>
      <c r="AW1121" s="62" t="n">
        <f aca="false">ROUNDUP(CL1121+MAX(CM1121,2*(J1121/IF(CH1121&gt;0,CH1121,MAX(0.1,N(Cockpit!$I$6)))-CL1121)),0)</f>
        <v>2295</v>
      </c>
      <c r="AX1121" s="63" t="n">
        <f aca="false">IF(AT1121&gt;0,J1121/AT1121,-1)</f>
        <v>48.1404255319149</v>
      </c>
      <c r="AY1121" s="63" t="n">
        <f aca="false">IF(AND(OR(CG1121="L1",CG1121="L23",CG1121="LIFT"),AT1121&gt;0),SUMIFS($AT$7:$AT$1843,$CG$7:$CG$1843,CG1121,$AX$7:$AX$1843,"&gt;"&amp;AX1121)+SUMIFS($AT$7:$AT$1843,$CG$7:$CG$1843,CG1121,$AX$7:$AX$1843,AX1121,$BX$7:$BX$1843,"&lt;="&amp;BX1121),"")</f>
        <v>1390.01144688645</v>
      </c>
      <c r="AZ1121" s="70" t="n">
        <f aca="false">IF(AY1121="",0,MAX(0,MIN(1,(IF(CG1121="L1",Parameter!$H$5,IF(CG1121="L23",Parameter!$H$6+Parameter!$H$7,Parameter!$H$5+Parameter!$H$6+Parameter!$H$7))-(AY1121-AT1121))/AT1121)))</f>
        <v>1</v>
      </c>
      <c r="BA1121" s="62" t="n">
        <f aca="false">IF(LEFT(Cockpit!$O$5,1)="A",H1121,IF(Parameter!$E$30="MAX-Bestand",IF(CI1121=1,CJ1121,IF(LEFT(Cockpit!$O$5,1)="B",BG1121,MAX(BG1121,H1121))),ROUNDUP(BE1121,0)))</f>
        <v>943</v>
      </c>
      <c r="BB1121" s="62" t="n">
        <f aca="false">IF(CA1121=1,0,ROUNDUP(BA1121/BZ1121,0))</f>
        <v>1</v>
      </c>
      <c r="BC1121" s="64" t="n">
        <f aca="false">IF(CR1121&gt;0,CR1121*MAX(1,BA1121/X1121),IF(CA1121=1,IF(BA1121&lt;=0,0,CE1121*MAX(1,IF(H1121&gt;0,BA1121/H1121,1))),IF(R1121&gt;0,BB1121/R1121,0))/MAX(0.1,N(Parameter!$M$21)))</f>
        <v>0.166666666666667</v>
      </c>
      <c r="BD1121" s="62" t="n">
        <f aca="false">BC1121*CC1121</f>
        <v>39.1666666666667</v>
      </c>
      <c r="BE1121" s="63" t="n">
        <f aca="false">IF(LEFT(Cockpit!$O$5,1)="A",H1121,IF(CI1121=1,(CL1121+CJ1121)/2,IF(LEFT(Cockpit!$O$5,1)="B",(CL1121+BG1121)/2,MAX((CL1121+BG1121)/2,H1121))))</f>
        <v>943</v>
      </c>
      <c r="BF1121" s="62" t="n">
        <f aca="false">BE1121*G1121</f>
        <v>301.76</v>
      </c>
      <c r="BG1121" s="62" t="n">
        <f aca="false">ROUNDUP(CL1121+MAX(CM1121,2*(J1121/IF(CH1121&gt;0,CH1121,MAX(0.1,N(Cockpit!$O$6)))-CL1121)),0)</f>
        <v>1667</v>
      </c>
      <c r="BH1121" s="63" t="n">
        <f aca="false">IF(BD1121&gt;0,J1121/BD1121,-1)</f>
        <v>96.2808510638298</v>
      </c>
      <c r="BI1121" s="63" t="n">
        <f aca="false">IF(AND(OR(CG1121="L1",CG1121="L23",CG1121="LIFT"),BD1121&gt;0),SUMIFS($BD$7:$BD$1843,$CG$7:$CG$1843,CG1121,$BH$7:$BH$1843,"&gt;"&amp;BH1121)+SUMIFS($BD$7:$BD$1843,$CG$7:$CG$1843,CG1121,$BH$7:$BH$1843,BH1121,$BX$7:$BX$1843,"&lt;="&amp;BX1121),"")</f>
        <v>955.524267399267</v>
      </c>
      <c r="BJ1121" s="70" t="n">
        <f aca="false">IF(BI1121="",0,MAX(0,MIN(1,(IF(CG1121="L1",Parameter!$H$5,IF(CG1121="L23",Parameter!$H$6+Parameter!$H$7,Parameter!$H$5+Parameter!$H$6+Parameter!$H$7))-(BI1121-BD1121))/BD1121)))</f>
        <v>1</v>
      </c>
      <c r="BK1121" s="60" t="str">
        <f aca="false">IF(AJ1121&lt;=0,"",IF(CG1121="Aussen","Aussenlager",IF(CG1121="-","Nicht im Lift",IF(AP1121&gt;=1,"Lift",IF(AP1121&lt;=0,"Aussenlager","teilweise")))))</f>
        <v>Lift</v>
      </c>
      <c r="BL1121" s="60" t="str">
        <f aca="false">IF(AT1121&lt;=0,"",IF(CG1121="Aussen","Aussenlager",IF(CG1121="-","Nicht im Lift",IF(AZ1121&gt;=1,"Lift",IF(AZ1121&lt;=0,"Aussenlager","teilweise")))))</f>
        <v>Lift</v>
      </c>
      <c r="BM1121" s="60" t="str">
        <f aca="false">IF(BD1121&lt;=0,"",IF(CG1121="Aussen","Aussenlager",IF(CG1121="-","Nicht im Lift",IF(BJ1121&gt;=1,"Lift",IF(BJ1121&lt;=0,"Aussenlager","teilweise")))))</f>
        <v>Lift</v>
      </c>
      <c r="BN1121" s="60" t="str">
        <f aca="false">IF(A1121="","",IF(BW1121=1,"Neu; ","")&amp;IF(AND(BW1121=0,BR1121&lt;0),"negativer Bestand (Export "&amp;BR1121&amp;"); ","")&amp;IF(J1121&lt;=0,"Kein Verbrauch; ","")&amp;IF(CR1121&gt;0,"Lift "&amp;W1121&amp;" lt. Liftbericht (Fach "&amp;X1121&amp;" Stk); ",IF(CB1121=1,"Gebinde geschätzt ("&amp;T1121&amp;"); ",IF(CA1121=1,"Lose – Tablare geschätzt; ","")))&amp;IF(H1121&gt;AW1121,"Überbestand "&amp;ROUND(H1121-AW1121,0)&amp;" Stk / CHF "&amp;ROUND((H1121-AW1121)*G1121,0)&amp;"; ","")&amp;IF(AND(CI1121=1,CJ1121&lt;CK1121),"MAX &lt; MB+LG; ","")&amp;IF(AND(CQ1121&gt;0,CP1121*10&gt;CQ1121),"zu hoch für Tablar; ","")&amp;IF(AND(BW1121=0,OR(CI1121=1,AB1121&lt;&gt;"",U1121&lt;&gt;"",V1121&lt;&gt;"",AC1121&lt;&gt;"")),"manuell übersteuert; ","")&amp;IF(AND(CA1121=0,R1121=0),"Gebinde unbekannt / Stellmass fehlt; ","")&amp;IF(AND(CA1121=0,N(V1121)&lt;=0,N(Q1121)&lt;=0),"Menge pro Gebinde fehlt (Ist = 1 Gebinde); ","")&amp;BV1121)</f>
        <v>negativer Bestand (Export -809); </v>
      </c>
      <c r="BO1121" s="60"/>
      <c r="BP1121" s="60"/>
      <c r="BQ1121" s="67"/>
      <c r="BR1121" s="62" t="n">
        <v>-809</v>
      </c>
      <c r="BS1121" s="62" t="n">
        <v>1793</v>
      </c>
      <c r="BT1121" s="61" t="n">
        <v>-241.2</v>
      </c>
      <c r="BU1121" s="62" t="n">
        <v>3771</v>
      </c>
      <c r="BV1121" s="60"/>
      <c r="BW1121" s="65" t="n">
        <v>0</v>
      </c>
      <c r="BX1121" s="65" t="n">
        <v>1121</v>
      </c>
      <c r="BY1121" s="60" t="str">
        <f aca="false">IF(U1121&lt;&gt;"",UPPER(TRIM(U1121)),IF(CB1121=1,UPPER(VLOOKUP(T1121,Parameter!$I$27:$K$29,2,0)),IF(P1121="","LOSE",P1121)))</f>
        <v>S71</v>
      </c>
      <c r="BZ1121" s="62" t="n">
        <f aca="false">IF(BY1121="LOSE",1,IF(N(V1121)&gt;0,V1121,IF(CB1121=1,MAX(1,N(VLOOKUP(T1121,Parameter!$I$27:$K$29,3,0)),H1121,N(N1121)),IF(N(Q1121)&gt;0,Q1121,MAX(1,H1121)))))</f>
        <v>1000</v>
      </c>
      <c r="CA1121" s="65" t="n">
        <f aca="false">IF(BY1121="LOSE",1,0)</f>
        <v>0</v>
      </c>
      <c r="CB1121" s="65" t="n">
        <f aca="false">IF(AND(U1121="",OR(P1121="",P1121="LOSE"),T1121&lt;&gt;"",N(S1121)&lt;=0,ISNUMBER(MATCH(T1121,Parameter!$I$27:$I$29,0))),1,0)</f>
        <v>0</v>
      </c>
      <c r="CC1121" s="65" t="n">
        <f aca="false">IF(CR1121&gt;0,INDEX(Parameter!$H$5:$H$7,W1121)/INDEX(Parameter!$E$5:$E$7,W1121),IF(AND(CA1121=0,N(IFERROR(VLOOKUP(BY1121,'Gebinde-Kategorie'!$A$5:$N$45,14,0),0))&gt;0),VLOOKUP(BY1121,'Gebinde-Kategorie'!$A$5:$N$45,14,0)*10+Parameter!$M$23,Parameter!$M$24))</f>
        <v>235</v>
      </c>
      <c r="CD1121" s="60" t="str">
        <f aca="false">IF(AND(Parameter!$B$19="Ja",E1121&lt;&gt;"",ISNUMBER(MATCH(E1121,Parameter!$I$35:$I$52,0))),VLOOKUP(E1121,Parameter!$I$35:$J$52,2,0),IFERROR(VLOOKUP(D1121,Parameter!$A$35:$C$64,2,0),"Nein"))</f>
        <v>2+3</v>
      </c>
      <c r="CE1121" s="64" t="n">
        <f aca="false">IF(CA1121=0,0,IF(N(S1121)&gt;0,S1121,IFERROR(VLOOKUP(D1121,Parameter!$A$35:$C$64,3,0)+0,0)))</f>
        <v>0</v>
      </c>
      <c r="CF1121" s="60" t="n">
        <f aca="false">IF(AB1121&lt;&gt;"",AB1121,AA1121)</f>
        <v>2</v>
      </c>
      <c r="CG1121" s="60" t="str">
        <f aca="false">IF(OR(CF1121=1,CF1121=2,CF1121=3),IF(Parameter!$E$27="Ja","LIFT",IF(CF1121=1,"L1","L23")),IF(CF1121="Aussen","Aussen","-"))</f>
        <v>LIFT</v>
      </c>
      <c r="CH1121" s="71" t="n">
        <f aca="false">IF(N(AC1121)&gt;0,AC1121,0)</f>
        <v>0</v>
      </c>
      <c r="CI1121" s="65" t="n">
        <f aca="false">IF(ISNUMBER(AF1121),1,0)</f>
        <v>0</v>
      </c>
      <c r="CJ1121" s="62" t="n">
        <f aca="false">N(AF1121)</f>
        <v>0</v>
      </c>
      <c r="CK1121" s="62" t="n">
        <f aca="false">N(M1121)+N(N1121)</f>
        <v>719</v>
      </c>
      <c r="CL1121" s="62" t="n">
        <f aca="false">N(M1121)</f>
        <v>219</v>
      </c>
      <c r="CM1121" s="62" t="n">
        <f aca="false">N(N1121)</f>
        <v>500</v>
      </c>
      <c r="CN1121" s="62" t="n">
        <f aca="false">ROUNDUP(H1121/BZ1121,0)</f>
        <v>1</v>
      </c>
      <c r="CO1121" s="62" t="n">
        <f aca="false">ROUNDUP(CJ1121/BZ1121,0)</f>
        <v>0</v>
      </c>
      <c r="CP1121" s="65" t="n">
        <f aca="false">IF(CA1121=1,0,IFERROR(VLOOKUP(BY1121,'Gebinde-Kategorie'!$A$5:$N$45,5,0)+0,0))</f>
        <v>20</v>
      </c>
      <c r="CQ1121" s="65" t="n">
        <f aca="false">IFERROR(IF(OR(CF1121=1,CF1121=2,CF1121=3),N(INDEX(Parameter!$I$5:$I$7,CF1121)),0),0)</f>
        <v>0</v>
      </c>
      <c r="CR1121" s="64" t="n">
        <f aca="false">IF(AND(Parameter!$B$21="Ja",ISNUMBER(W1121),N(X1121)&gt;0),IFERROR(N(INDEX(Parameter!$L$5:$L$7,W1121))*INDEX(Parameter!$E$5:$E$7,W1121)*X1121/SUMIFS($X$7:$X$1843,$W$7:$W$1843,W1121),0),0)</f>
        <v>0</v>
      </c>
      <c r="CS1121" s="62" t="n">
        <f aca="false">IF(AND(OR(CG1121="L1",CG1121="L23",CG1121="LIFT"),H1121&gt;0),CC1121*IF(CR1121&gt;0,CR1121*MAX(1,H1121/X1121),IF(CA1121=1,CE1121,IF(R1121&gt;0,CN1121/R1121,0))/MAX(0.1,N(Parameter!$M$21))),"")</f>
        <v>39.1666666666667</v>
      </c>
      <c r="CT1121" s="64" t="n">
        <f aca="false">IF(CS1121="","",J1121/H1121)</f>
        <v>3.83231707317073</v>
      </c>
      <c r="CU1121" s="62" t="n">
        <f aca="false">IF(CS1121="","",H1121*G1121)</f>
        <v>314.88</v>
      </c>
      <c r="CV1121" s="63" t="n">
        <f aca="false">IF(CS1121="","",(CL1121+ROUNDUP(CL1121+MAX(CM1121,2*(J1121/MAX(0.1,N(Einkauf!$C$6))-CL1121)),0))/2)</f>
        <v>943</v>
      </c>
      <c r="CW1121" s="62" t="n">
        <f aca="false">IF(CS1121="","",MAX(0,H1121-CV1121)*G1121)</f>
        <v>13.12</v>
      </c>
      <c r="CX1121" s="62" t="n">
        <f aca="false">IF(CS1121="","",CS1121*MAX(0,1-CV1121/H1121))</f>
        <v>1.63194444444444</v>
      </c>
      <c r="CY1121" s="64" t="n">
        <f aca="false">IF(CS1121="","",PERCENTRANK($CS$7:$CS$1843,CS1121)+PERCENTRANK($CU$7:$CU$1843,CU1121)+1-PERCENTRANK($CT$7:$CT$1843,CT1121))</f>
        <v>1.359</v>
      </c>
      <c r="CZ1121" s="72" t="n">
        <f aca="false">IF(CS1121="","",CHOOSE(MATCH(Einkauf!$C$5,Parameter!$G$23:$G$27,0),CY1121,CS1121,CU1121,-CT1121,CW1121)+ROW()/1000000000)</f>
        <v>1.359001121</v>
      </c>
    </row>
    <row r="1122" customFormat="false" ht="15" hidden="false" customHeight="false" outlineLevel="0" collapsed="false">
      <c r="A1122" s="60" t="s">
        <v>2075</v>
      </c>
      <c r="B1122" s="60" t="s">
        <v>2076</v>
      </c>
      <c r="C1122" s="60" t="s">
        <v>206</v>
      </c>
      <c r="D1122" s="60" t="s">
        <v>226</v>
      </c>
      <c r="E1122" s="60" t="s">
        <v>227</v>
      </c>
      <c r="F1122" s="60" t="s">
        <v>260</v>
      </c>
      <c r="G1122" s="61" t="n">
        <v>20.38</v>
      </c>
      <c r="H1122" s="62" t="n">
        <f aca="false">MAX(0,IF(AND(Parameter!$B$21="Ja",ISNUMBER(Y1122)),Y1122,IF(Parameter!$B$20="Jahresanfang 2025 + Export",BS1122+BR1122,BR1122)))</f>
        <v>74</v>
      </c>
      <c r="I1122" s="62" t="n">
        <f aca="false">H1122*G1122</f>
        <v>1508.12</v>
      </c>
      <c r="J1122" s="62" t="n">
        <f aca="false">BU1122*Parameter!$B$18</f>
        <v>8</v>
      </c>
      <c r="K1122" s="63" t="n">
        <v>82</v>
      </c>
      <c r="L1122" s="64" t="n">
        <v>0.0975609756097561</v>
      </c>
      <c r="M1122" s="62" t="n">
        <v>0</v>
      </c>
      <c r="N1122" s="62" t="n">
        <v>10</v>
      </c>
      <c r="O1122" s="65" t="n">
        <v>28</v>
      </c>
      <c r="P1122" s="60" t="s">
        <v>370</v>
      </c>
      <c r="Q1122" s="62" t="n">
        <v>94</v>
      </c>
      <c r="R1122" s="65" t="n">
        <f aca="false">IF(CA1122=1,0,IFERROR(VLOOKUP(BY1122,'Gebinde-Kategorie'!$A$5:$N$45,13,0)+0,0))</f>
        <v>52</v>
      </c>
      <c r="S1122" s="66"/>
      <c r="T1122" s="67"/>
      <c r="U1122" s="67"/>
      <c r="V1122" s="67"/>
      <c r="W1122" s="60"/>
      <c r="X1122" s="62"/>
      <c r="Y1122" s="62"/>
      <c r="Z1122" s="60" t="n">
        <v>1</v>
      </c>
      <c r="AA1122" s="60" t="n">
        <f aca="false">IF(A1122="","",IF(AND(Parameter!$B$21="Ja",ISNUMBER(W1122)),W1122,IF(AND(Parameter!$E$27="Ja",ISNUMBER(Z1122),CD1122&lt;&gt;"Nein"),Z1122,IF(CD1122="2+3",IF(ISNUMBER(SEARCH("grosser Artikel",BV1122)),2,IFERROR(VLOOKUP(BY1122,Parameter!$F$35:$G$64,2,0),2)),IF(OR(CD1122="Nein",CD1122=""),"-",CD1122)))))</f>
        <v>1</v>
      </c>
      <c r="AB1122" s="67"/>
      <c r="AC1122" s="68"/>
      <c r="AD1122" s="62" t="n">
        <f aca="false">AW1122</f>
        <v>10</v>
      </c>
      <c r="AE1122" s="62" t="n">
        <f aca="false">MAX(AW1122,H1122)</f>
        <v>74</v>
      </c>
      <c r="AF1122" s="69"/>
      <c r="AG1122" s="62" t="n">
        <f aca="false">IF(LEFT(Cockpit!$C$5,1)="A",H1122,IF(Parameter!$E$30="MAX-Bestand",IF(CI1122=1,CJ1122,IF(LEFT(Cockpit!$C$5,1)="B",AM1122,MAX(AM1122,H1122))),ROUNDUP(AK1122,0)))</f>
        <v>74</v>
      </c>
      <c r="AH1122" s="62" t="n">
        <f aca="false">IF(CA1122=1,0,ROUNDUP(AG1122/BZ1122,0))</f>
        <v>1</v>
      </c>
      <c r="AI1122" s="64" t="n">
        <f aca="false">IF(CR1122&gt;0,CR1122*MAX(1,AG1122/X1122),IF(CA1122=1,IF(AG1122&lt;=0,0,CE1122*MAX(1,IF(H1122&gt;0,AG1122/H1122,1))),IF(R1122&gt;0,AH1122/R1122,0))/MAX(0.1,N(Parameter!$M$21)))</f>
        <v>0.0192307692307692</v>
      </c>
      <c r="AJ1122" s="62" t="n">
        <f aca="false">AI1122*CC1122</f>
        <v>2.98076923076923</v>
      </c>
      <c r="AK1122" s="63" t="n">
        <f aca="false">IF(LEFT(Cockpit!$C$5,1)="A",H1122,IF(CI1122=1,(CL1122+CJ1122)/2,IF(LEFT(Cockpit!$C$5,1)="B",(CL1122+AM1122)/2,MAX((CL1122+AM1122)/2,H1122))))</f>
        <v>74</v>
      </c>
      <c r="AL1122" s="62" t="n">
        <f aca="false">AK1122*G1122</f>
        <v>1508.12</v>
      </c>
      <c r="AM1122" s="62" t="n">
        <f aca="false">ROUNDUP(CL1122+MAX(CM1122,2*(J1122/IF(CH1122&gt;0,CH1122,MAX(0.1,N(Cockpit!$C$6)))-CL1122)),0)</f>
        <v>10</v>
      </c>
      <c r="AN1122" s="63" t="n">
        <f aca="false">IF(AJ1122&gt;0,J1122/AJ1122,-1)</f>
        <v>2.68387096774194</v>
      </c>
      <c r="AO1122" s="63" t="n">
        <f aca="false">IF(AND(OR(CG1122="L1",CG1122="L23",CG1122="LIFT"),AJ1122&gt;0),SUMIFS($AJ$7:$AJ$1843,$CG$7:$CG$1843,CG1122,$AN$7:$AN$1843,"&gt;"&amp;AN1122)+SUMIFS($AJ$7:$AJ$1843,$CG$7:$CG$1843,CG1122,$AN$7:$AN$1843,AN1122,$BX$7:$BX$1843,"&lt;="&amp;BX1122),"")</f>
        <v>5345.81364468865</v>
      </c>
      <c r="AP1122" s="70" t="n">
        <f aca="false">IF(AO1122="",0,MAX(0,MIN(1,(IF(CG1122="L1",Parameter!$H$5,IF(CG1122="L23",Parameter!$H$6+Parameter!$H$7,Parameter!$H$5+Parameter!$H$6+Parameter!$H$7))-(AO1122-AJ1122))/AJ1122)))</f>
        <v>1</v>
      </c>
      <c r="AQ1122" s="62" t="n">
        <f aca="false">IF(LEFT(Cockpit!$I$5,1)="A",H1122,IF(Parameter!$E$30="MAX-Bestand",IF(CI1122=1,CJ1122,IF(LEFT(Cockpit!$I$5,1)="B",AW1122,MAX(AW1122,H1122))),ROUNDUP(AU1122,0)))</f>
        <v>74</v>
      </c>
      <c r="AR1122" s="62" t="n">
        <f aca="false">IF(CA1122=1,0,ROUNDUP(AQ1122/BZ1122,0))</f>
        <v>1</v>
      </c>
      <c r="AS1122" s="64" t="n">
        <f aca="false">IF(CR1122&gt;0,CR1122*MAX(1,AQ1122/X1122),IF(CA1122=1,IF(AQ1122&lt;=0,0,CE1122*MAX(1,IF(H1122&gt;0,AQ1122/H1122,1))),IF(R1122&gt;0,AR1122/R1122,0))/MAX(0.1,N(Parameter!$M$21)))</f>
        <v>0.0192307692307692</v>
      </c>
      <c r="AT1122" s="62" t="n">
        <f aca="false">AS1122*CC1122</f>
        <v>2.98076923076923</v>
      </c>
      <c r="AU1122" s="63" t="n">
        <f aca="false">IF(LEFT(Cockpit!$I$5,1)="A",H1122,IF(CI1122=1,(CL1122+CJ1122)/2,IF(LEFT(Cockpit!$I$5,1)="B",(CL1122+AW1122)/2,MAX((CL1122+AW1122)/2,H1122))))</f>
        <v>74</v>
      </c>
      <c r="AV1122" s="62" t="n">
        <f aca="false">AU1122*G1122</f>
        <v>1508.12</v>
      </c>
      <c r="AW1122" s="62" t="n">
        <f aca="false">ROUNDUP(CL1122+MAX(CM1122,2*(J1122/IF(CH1122&gt;0,CH1122,MAX(0.1,N(Cockpit!$I$6)))-CL1122)),0)</f>
        <v>10</v>
      </c>
      <c r="AX1122" s="63" t="n">
        <f aca="false">IF(AT1122&gt;0,J1122/AT1122,-1)</f>
        <v>2.68387096774194</v>
      </c>
      <c r="AY1122" s="63" t="n">
        <f aca="false">IF(AND(OR(CG1122="L1",CG1122="L23",CG1122="LIFT"),AT1122&gt;0),SUMIFS($AT$7:$AT$1843,$CG$7:$CG$1843,CG1122,$AX$7:$AX$1843,"&gt;"&amp;AX1122)+SUMIFS($AT$7:$AT$1843,$CG$7:$CG$1843,CG1122,$AX$7:$AX$1843,AX1122,$BX$7:$BX$1843,"&lt;="&amp;BX1122),"")</f>
        <v>6180.29166666667</v>
      </c>
      <c r="AZ1122" s="70" t="n">
        <f aca="false">IF(AY1122="",0,MAX(0,MIN(1,(IF(CG1122="L1",Parameter!$H$5,IF(CG1122="L23",Parameter!$H$6+Parameter!$H$7,Parameter!$H$5+Parameter!$H$6+Parameter!$H$7))-(AY1122-AT1122))/AT1122)))</f>
        <v>1</v>
      </c>
      <c r="BA1122" s="62" t="n">
        <f aca="false">IF(LEFT(Cockpit!$O$5,1)="A",H1122,IF(Parameter!$E$30="MAX-Bestand",IF(CI1122=1,CJ1122,IF(LEFT(Cockpit!$O$5,1)="B",BG1122,MAX(BG1122,H1122))),ROUNDUP(BE1122,0)))</f>
        <v>5</v>
      </c>
      <c r="BB1122" s="62" t="n">
        <f aca="false">IF(CA1122=1,0,ROUNDUP(BA1122/BZ1122,0))</f>
        <v>1</v>
      </c>
      <c r="BC1122" s="64" t="n">
        <f aca="false">IF(CR1122&gt;0,CR1122*MAX(1,BA1122/X1122),IF(CA1122=1,IF(BA1122&lt;=0,0,CE1122*MAX(1,IF(H1122&gt;0,BA1122/H1122,1))),IF(R1122&gt;0,BB1122/R1122,0))/MAX(0.1,N(Parameter!$M$21)))</f>
        <v>0.0192307692307692</v>
      </c>
      <c r="BD1122" s="62" t="n">
        <f aca="false">BC1122*CC1122</f>
        <v>2.98076923076923</v>
      </c>
      <c r="BE1122" s="63" t="n">
        <f aca="false">IF(LEFT(Cockpit!$O$5,1)="A",H1122,IF(CI1122=1,(CL1122+CJ1122)/2,IF(LEFT(Cockpit!$O$5,1)="B",(CL1122+BG1122)/2,MAX((CL1122+BG1122)/2,H1122))))</f>
        <v>5</v>
      </c>
      <c r="BF1122" s="62" t="n">
        <f aca="false">BE1122*G1122</f>
        <v>101.9</v>
      </c>
      <c r="BG1122" s="62" t="n">
        <f aca="false">ROUNDUP(CL1122+MAX(CM1122,2*(J1122/IF(CH1122&gt;0,CH1122,MAX(0.1,N(Cockpit!$O$6)))-CL1122)),0)</f>
        <v>10</v>
      </c>
      <c r="BH1122" s="63" t="n">
        <f aca="false">IF(BD1122&gt;0,J1122/BD1122,-1)</f>
        <v>2.68387096774194</v>
      </c>
      <c r="BI1122" s="63" t="n">
        <f aca="false">IF(AND(OR(CG1122="L1",CG1122="L23",CG1122="LIFT"),BD1122&gt;0),SUMIFS($BD$7:$BD$1843,$CG$7:$CG$1843,CG1122,$BH$7:$BH$1843,"&gt;"&amp;BH1122)+SUMIFS($BD$7:$BD$1843,$CG$7:$CG$1843,CG1122,$BH$7:$BH$1843,BH1122,$BX$7:$BX$1843,"&lt;="&amp;BX1122),"")</f>
        <v>5358.34615384615</v>
      </c>
      <c r="BJ1122" s="70" t="n">
        <f aca="false">IF(BI1122="",0,MAX(0,MIN(1,(IF(CG1122="L1",Parameter!$H$5,IF(CG1122="L23",Parameter!$H$6+Parameter!$H$7,Parameter!$H$5+Parameter!$H$6+Parameter!$H$7))-(BI1122-BD1122))/BD1122)))</f>
        <v>1</v>
      </c>
      <c r="BK1122" s="60" t="str">
        <f aca="false">IF(AJ1122&lt;=0,"",IF(CG1122="Aussen","Aussenlager",IF(CG1122="-","Nicht im Lift",IF(AP1122&gt;=1,"Lift",IF(AP1122&lt;=0,"Aussenlager","teilweise")))))</f>
        <v>Lift</v>
      </c>
      <c r="BL1122" s="60" t="str">
        <f aca="false">IF(AT1122&lt;=0,"",IF(CG1122="Aussen","Aussenlager",IF(CG1122="-","Nicht im Lift",IF(AZ1122&gt;=1,"Lift",IF(AZ1122&lt;=0,"Aussenlager","teilweise")))))</f>
        <v>Lift</v>
      </c>
      <c r="BM1122" s="60" t="str">
        <f aca="false">IF(BD1122&lt;=0,"",IF(CG1122="Aussen","Aussenlager",IF(CG1122="-","Nicht im Lift",IF(BJ1122&gt;=1,"Lift",IF(BJ1122&lt;=0,"Aussenlager","teilweise")))))</f>
        <v>Lift</v>
      </c>
      <c r="BN1122" s="60" t="str">
        <f aca="false">IF(A1122="","",IF(BW1122=1,"Neu; ","")&amp;IF(AND(BW1122=0,BR1122&lt;0),"negativer Bestand (Export "&amp;BR1122&amp;"); ","")&amp;IF(J1122&lt;=0,"Kein Verbrauch; ","")&amp;IF(CR1122&gt;0,"Lift "&amp;W1122&amp;" lt. Liftbericht (Fach "&amp;X1122&amp;" Stk); ",IF(CB1122=1,"Gebinde geschätzt ("&amp;T1122&amp;"); ",IF(CA1122=1,"Lose – Tablare geschätzt; ","")))&amp;IF(H1122&gt;AW1122,"Überbestand "&amp;ROUND(H1122-AW1122,0)&amp;" Stk / CHF "&amp;ROUND((H1122-AW1122)*G1122,0)&amp;"; ","")&amp;IF(AND(CI1122=1,CJ1122&lt;CK1122),"MAX &lt; MB+LG; ","")&amp;IF(AND(CQ1122&gt;0,CP1122*10&gt;CQ1122),"zu hoch für Tablar; ","")&amp;IF(AND(BW1122=0,OR(CI1122=1,AB1122&lt;&gt;"",U1122&lt;&gt;"",V1122&lt;&gt;"",AC1122&lt;&gt;"")),"manuell übersteuert; ","")&amp;IF(AND(CA1122=0,R1122=0),"Gebinde unbekannt / Stellmass fehlt; ","")&amp;IF(AND(CA1122=0,N(V1122)&lt;=0,N(Q1122)&lt;=0),"Menge pro Gebinde fehlt (Ist = 1 Gebinde); ","")&amp;BV1122)</f>
        <v>negativer Bestand (Export -12); Überbestand 64 Stk / CHF 1304; </v>
      </c>
      <c r="BO1122" s="60"/>
      <c r="BP1122" s="60"/>
      <c r="BQ1122" s="67"/>
      <c r="BR1122" s="62" t="n">
        <v>-12</v>
      </c>
      <c r="BS1122" s="62" t="n">
        <v>86</v>
      </c>
      <c r="BT1122" s="61" t="n">
        <v>-244.56</v>
      </c>
      <c r="BU1122" s="62" t="n">
        <v>8</v>
      </c>
      <c r="BV1122" s="60"/>
      <c r="BW1122" s="65" t="n">
        <v>0</v>
      </c>
      <c r="BX1122" s="65" t="n">
        <v>1122</v>
      </c>
      <c r="BY1122" s="60" t="str">
        <f aca="false">IF(U1122&lt;&gt;"",UPPER(TRIM(U1122)),IF(CB1122=1,UPPER(VLOOKUP(T1122,Parameter!$I$27:$K$29,2,0)),IF(P1122="","LOSE",P1122)))</f>
        <v>S41</v>
      </c>
      <c r="BZ1122" s="62" t="n">
        <f aca="false">IF(BY1122="LOSE",1,IF(N(V1122)&gt;0,V1122,IF(CB1122=1,MAX(1,N(VLOOKUP(T1122,Parameter!$I$27:$K$29,3,0)),H1122,N(N1122)),IF(N(Q1122)&gt;0,Q1122,MAX(1,H1122)))))</f>
        <v>94</v>
      </c>
      <c r="CA1122" s="65" t="n">
        <f aca="false">IF(BY1122="LOSE",1,0)</f>
        <v>0</v>
      </c>
      <c r="CB1122" s="65" t="n">
        <f aca="false">IF(AND(U1122="",OR(P1122="",P1122="LOSE"),T1122&lt;&gt;"",N(S1122)&lt;=0,ISNUMBER(MATCH(T1122,Parameter!$I$27:$I$29,0))),1,0)</f>
        <v>0</v>
      </c>
      <c r="CC1122" s="65" t="n">
        <f aca="false">IF(CR1122&gt;0,INDEX(Parameter!$H$5:$H$7,W1122)/INDEX(Parameter!$E$5:$E$7,W1122),IF(AND(CA1122=0,N(IFERROR(VLOOKUP(BY1122,'Gebinde-Kategorie'!$A$5:$N$45,14,0),0))&gt;0),VLOOKUP(BY1122,'Gebinde-Kategorie'!$A$5:$N$45,14,0)*10+Parameter!$M$23,Parameter!$M$24))</f>
        <v>155</v>
      </c>
      <c r="CD1122" s="60" t="str">
        <f aca="false">IF(AND(Parameter!$B$19="Ja",E1122&lt;&gt;"",ISNUMBER(MATCH(E1122,Parameter!$I$35:$I$52,0))),VLOOKUP(E1122,Parameter!$I$35:$J$52,2,0),IFERROR(VLOOKUP(D1122,Parameter!$A$35:$C$64,2,0),"Nein"))</f>
        <v>2+3</v>
      </c>
      <c r="CE1122" s="64" t="n">
        <f aca="false">IF(CA1122=0,0,IF(N(S1122)&gt;0,S1122,IFERROR(VLOOKUP(D1122,Parameter!$A$35:$C$64,3,0)+0,0)))</f>
        <v>0</v>
      </c>
      <c r="CF1122" s="60" t="n">
        <f aca="false">IF(AB1122&lt;&gt;"",AB1122,AA1122)</f>
        <v>1</v>
      </c>
      <c r="CG1122" s="60" t="str">
        <f aca="false">IF(OR(CF1122=1,CF1122=2,CF1122=3),IF(Parameter!$E$27="Ja","LIFT",IF(CF1122=1,"L1","L23")),IF(CF1122="Aussen","Aussen","-"))</f>
        <v>LIFT</v>
      </c>
      <c r="CH1122" s="71" t="n">
        <f aca="false">IF(N(AC1122)&gt;0,AC1122,0)</f>
        <v>0</v>
      </c>
      <c r="CI1122" s="65" t="n">
        <f aca="false">IF(ISNUMBER(AF1122),1,0)</f>
        <v>0</v>
      </c>
      <c r="CJ1122" s="62" t="n">
        <f aca="false">N(AF1122)</f>
        <v>0</v>
      </c>
      <c r="CK1122" s="62" t="n">
        <f aca="false">N(M1122)+N(N1122)</f>
        <v>10</v>
      </c>
      <c r="CL1122" s="62" t="n">
        <f aca="false">N(M1122)</f>
        <v>0</v>
      </c>
      <c r="CM1122" s="62" t="n">
        <f aca="false">N(N1122)</f>
        <v>10</v>
      </c>
      <c r="CN1122" s="62" t="n">
        <f aca="false">ROUNDUP(H1122/BZ1122,0)</f>
        <v>1</v>
      </c>
      <c r="CO1122" s="62" t="n">
        <f aca="false">ROUNDUP(CJ1122/BZ1122,0)</f>
        <v>0</v>
      </c>
      <c r="CP1122" s="65" t="n">
        <f aca="false">IF(CA1122=1,0,IFERROR(VLOOKUP(BY1122,'Gebinde-Kategorie'!$A$5:$N$45,5,0)+0,0))</f>
        <v>11</v>
      </c>
      <c r="CQ1122" s="65" t="n">
        <f aca="false">IFERROR(IF(OR(CF1122=1,CF1122=2,CF1122=3),N(INDEX(Parameter!$I$5:$I$7,CF1122)),0),0)</f>
        <v>0</v>
      </c>
      <c r="CR1122" s="64" t="n">
        <f aca="false">IF(AND(Parameter!$B$21="Ja",ISNUMBER(W1122),N(X1122)&gt;0),IFERROR(N(INDEX(Parameter!$L$5:$L$7,W1122))*INDEX(Parameter!$E$5:$E$7,W1122)*X1122/SUMIFS($X$7:$X$1843,$W$7:$W$1843,W1122),0),0)</f>
        <v>0</v>
      </c>
      <c r="CS1122" s="62" t="n">
        <f aca="false">IF(AND(OR(CG1122="L1",CG1122="L23",CG1122="LIFT"),H1122&gt;0),CC1122*IF(CR1122&gt;0,CR1122*MAX(1,H1122/X1122),IF(CA1122=1,CE1122,IF(R1122&gt;0,CN1122/R1122,0))/MAX(0.1,N(Parameter!$M$21))),"")</f>
        <v>2.98076923076923</v>
      </c>
      <c r="CT1122" s="64" t="n">
        <f aca="false">IF(CS1122="","",J1122/H1122)</f>
        <v>0.108108108108108</v>
      </c>
      <c r="CU1122" s="62" t="n">
        <f aca="false">IF(CS1122="","",H1122*G1122)</f>
        <v>1508.12</v>
      </c>
      <c r="CV1122" s="63" t="n">
        <f aca="false">IF(CS1122="","",(CL1122+ROUNDUP(CL1122+MAX(CM1122,2*(J1122/MAX(0.1,N(Einkauf!$C$6))-CL1122)),0))/2)</f>
        <v>5</v>
      </c>
      <c r="CW1122" s="62" t="n">
        <f aca="false">IF(CS1122="","",MAX(0,H1122-CV1122)*G1122)</f>
        <v>1406.22</v>
      </c>
      <c r="CX1122" s="62" t="n">
        <f aca="false">IF(CS1122="","",CS1122*MAX(0,1-CV1122/H1122))</f>
        <v>2.7793659043659</v>
      </c>
      <c r="CY1122" s="64" t="n">
        <f aca="false">IF(CS1122="","",PERCENTRANK($CS$7:$CS$1843,CS1122)+PERCENTRANK($CU$7:$CU$1843,CU1122)+1-PERCENTRANK($CT$7:$CT$1843,CT1122))</f>
        <v>1.502</v>
      </c>
      <c r="CZ1122" s="72" t="n">
        <f aca="false">IF(CS1122="","",CHOOSE(MATCH(Einkauf!$C$5,Parameter!$G$23:$G$27,0),CY1122,CS1122,CU1122,-CT1122,CW1122)+ROW()/1000000000)</f>
        <v>1.502001122</v>
      </c>
    </row>
    <row r="1123" customFormat="false" ht="15" hidden="false" customHeight="false" outlineLevel="0" collapsed="false">
      <c r="A1123" s="60" t="s">
        <v>2077</v>
      </c>
      <c r="B1123" s="60" t="s">
        <v>2078</v>
      </c>
      <c r="C1123" s="60" t="s">
        <v>206</v>
      </c>
      <c r="D1123" s="60" t="s">
        <v>226</v>
      </c>
      <c r="E1123" s="60" t="s">
        <v>227</v>
      </c>
      <c r="F1123" s="60" t="s">
        <v>260</v>
      </c>
      <c r="G1123" s="61" t="n">
        <v>35.15</v>
      </c>
      <c r="H1123" s="62" t="n">
        <f aca="false">MAX(0,IF(AND(Parameter!$B$21="Ja",ISNUMBER(Y1123)),Y1123,IF(Parameter!$B$20="Jahresanfang 2025 + Export",BS1123+BR1123,BR1123)))</f>
        <v>145</v>
      </c>
      <c r="I1123" s="62" t="n">
        <f aca="false">H1123*G1123</f>
        <v>5096.75</v>
      </c>
      <c r="J1123" s="62" t="n">
        <f aca="false">BU1123*Parameter!$B$18</f>
        <v>3</v>
      </c>
      <c r="K1123" s="63" t="n">
        <v>150</v>
      </c>
      <c r="L1123" s="64" t="n">
        <v>0.02</v>
      </c>
      <c r="M1123" s="62" t="n">
        <v>0</v>
      </c>
      <c r="N1123" s="62" t="n">
        <v>5</v>
      </c>
      <c r="O1123" s="65" t="n">
        <v>28</v>
      </c>
      <c r="P1123" s="60" t="s">
        <v>275</v>
      </c>
      <c r="Q1123" s="62" t="n">
        <v>30</v>
      </c>
      <c r="R1123" s="65" t="n">
        <f aca="false">IF(CA1123=1,0,IFERROR(VLOOKUP(BY1123,'Gebinde-Kategorie'!$A$5:$N$45,13,0)+0,0))</f>
        <v>26</v>
      </c>
      <c r="S1123" s="66"/>
      <c r="T1123" s="67"/>
      <c r="U1123" s="67"/>
      <c r="V1123" s="67"/>
      <c r="W1123" s="60"/>
      <c r="X1123" s="62"/>
      <c r="Y1123" s="62"/>
      <c r="Z1123" s="60" t="n">
        <v>3</v>
      </c>
      <c r="AA1123" s="60" t="n">
        <f aca="false">IF(A1123="","",IF(AND(Parameter!$B$21="Ja",ISNUMBER(W1123)),W1123,IF(AND(Parameter!$E$27="Ja",ISNUMBER(Z1123),CD1123&lt;&gt;"Nein"),Z1123,IF(CD1123="2+3",IF(ISNUMBER(SEARCH("grosser Artikel",BV1123)),2,IFERROR(VLOOKUP(BY1123,Parameter!$F$35:$G$64,2,0),2)),IF(OR(CD1123="Nein",CD1123=""),"-",CD1123)))))</f>
        <v>3</v>
      </c>
      <c r="AB1123" s="67"/>
      <c r="AC1123" s="68"/>
      <c r="AD1123" s="62" t="n">
        <f aca="false">AW1123</f>
        <v>5</v>
      </c>
      <c r="AE1123" s="62" t="n">
        <f aca="false">MAX(AW1123,H1123)</f>
        <v>145</v>
      </c>
      <c r="AF1123" s="69"/>
      <c r="AG1123" s="62" t="n">
        <f aca="false">IF(LEFT(Cockpit!$C$5,1)="A",H1123,IF(Parameter!$E$30="MAX-Bestand",IF(CI1123=1,CJ1123,IF(LEFT(Cockpit!$C$5,1)="B",AM1123,MAX(AM1123,H1123))),ROUNDUP(AK1123,0)))</f>
        <v>145</v>
      </c>
      <c r="AH1123" s="62" t="n">
        <f aca="false">IF(CA1123=1,0,ROUNDUP(AG1123/BZ1123,0))</f>
        <v>5</v>
      </c>
      <c r="AI1123" s="64" t="n">
        <f aca="false">IF(CR1123&gt;0,CR1123*MAX(1,AG1123/X1123),IF(CA1123=1,IF(AG1123&lt;=0,0,CE1123*MAX(1,IF(H1123&gt;0,AG1123/H1123,1))),IF(R1123&gt;0,AH1123/R1123,0))/MAX(0.1,N(Parameter!$M$21)))</f>
        <v>0.192307692307692</v>
      </c>
      <c r="AJ1123" s="62" t="n">
        <f aca="false">AI1123*CC1123</f>
        <v>47.1153846153846</v>
      </c>
      <c r="AK1123" s="63" t="n">
        <f aca="false">IF(LEFT(Cockpit!$C$5,1)="A",H1123,IF(CI1123=1,(CL1123+CJ1123)/2,IF(LEFT(Cockpit!$C$5,1)="B",(CL1123+AM1123)/2,MAX((CL1123+AM1123)/2,H1123))))</f>
        <v>145</v>
      </c>
      <c r="AL1123" s="62" t="n">
        <f aca="false">AK1123*G1123</f>
        <v>5096.75</v>
      </c>
      <c r="AM1123" s="62" t="n">
        <f aca="false">ROUNDUP(CL1123+MAX(CM1123,2*(J1123/IF(CH1123&gt;0,CH1123,MAX(0.1,N(Cockpit!$C$6)))-CL1123)),0)</f>
        <v>5</v>
      </c>
      <c r="AN1123" s="63" t="n">
        <f aca="false">IF(AJ1123&gt;0,J1123/AJ1123,-1)</f>
        <v>0.0636734693877551</v>
      </c>
      <c r="AO1123" s="63" t="n">
        <f aca="false">IF(AND(OR(CG1123="L1",CG1123="L23",CG1123="LIFT"),AJ1123&gt;0),SUMIFS($AJ$7:$AJ$1843,$CG$7:$CG$1843,CG1123,$AN$7:$AN$1843,"&gt;"&amp;AN1123)+SUMIFS($AJ$7:$AJ$1843,$CG$7:$CG$1843,CG1123,$AN$7:$AN$1843,AN1123,$BX$7:$BX$1843,"&lt;="&amp;BX1123),"")</f>
        <v>18989.2232543822</v>
      </c>
      <c r="AP1123" s="70" t="n">
        <f aca="false">IF(AO1123="",0,MAX(0,MIN(1,(IF(CG1123="L1",Parameter!$H$5,IF(CG1123="L23",Parameter!$H$6+Parameter!$H$7,Parameter!$H$5+Parameter!$H$6+Parameter!$H$7))-(AO1123-AJ1123))/AJ1123)))</f>
        <v>1</v>
      </c>
      <c r="AQ1123" s="62" t="n">
        <f aca="false">IF(LEFT(Cockpit!$I$5,1)="A",H1123,IF(Parameter!$E$30="MAX-Bestand",IF(CI1123=1,CJ1123,IF(LEFT(Cockpit!$I$5,1)="B",AW1123,MAX(AW1123,H1123))),ROUNDUP(AU1123,0)))</f>
        <v>145</v>
      </c>
      <c r="AR1123" s="62" t="n">
        <f aca="false">IF(CA1123=1,0,ROUNDUP(AQ1123/BZ1123,0))</f>
        <v>5</v>
      </c>
      <c r="AS1123" s="64" t="n">
        <f aca="false">IF(CR1123&gt;0,CR1123*MAX(1,AQ1123/X1123),IF(CA1123=1,IF(AQ1123&lt;=0,0,CE1123*MAX(1,IF(H1123&gt;0,AQ1123/H1123,1))),IF(R1123&gt;0,AR1123/R1123,0))/MAX(0.1,N(Parameter!$M$21)))</f>
        <v>0.192307692307692</v>
      </c>
      <c r="AT1123" s="62" t="n">
        <f aca="false">AS1123*CC1123</f>
        <v>47.1153846153846</v>
      </c>
      <c r="AU1123" s="63" t="n">
        <f aca="false">IF(LEFT(Cockpit!$I$5,1)="A",H1123,IF(CI1123=1,(CL1123+CJ1123)/2,IF(LEFT(Cockpit!$I$5,1)="B",(CL1123+AW1123)/2,MAX((CL1123+AW1123)/2,H1123))))</f>
        <v>145</v>
      </c>
      <c r="AV1123" s="62" t="n">
        <f aca="false">AU1123*G1123</f>
        <v>5096.75</v>
      </c>
      <c r="AW1123" s="62" t="n">
        <f aca="false">ROUNDUP(CL1123+MAX(CM1123,2*(J1123/IF(CH1123&gt;0,CH1123,MAX(0.1,N(Cockpit!$I$6)))-CL1123)),0)</f>
        <v>5</v>
      </c>
      <c r="AX1123" s="63" t="n">
        <f aca="false">IF(AT1123&gt;0,J1123/AT1123,-1)</f>
        <v>0.0636734693877551</v>
      </c>
      <c r="AY1123" s="63" t="n">
        <f aca="false">IF(AND(OR(CG1123="L1",CG1123="L23",CG1123="LIFT"),AT1123&gt;0),SUMIFS($AT$7:$AT$1843,$CG$7:$CG$1843,CG1123,$AX$7:$AX$1843,"&gt;"&amp;AX1123)+SUMIFS($AT$7:$AT$1843,$CG$7:$CG$1843,CG1123,$AX$7:$AX$1843,AX1123,$BX$7:$BX$1843,"&lt;="&amp;BX1123),"")</f>
        <v>24107.3718957596</v>
      </c>
      <c r="AZ1123" s="70" t="n">
        <f aca="false">IF(AY1123="",0,MAX(0,MIN(1,(IF(CG1123="L1",Parameter!$H$5,IF(CG1123="L23",Parameter!$H$6+Parameter!$H$7,Parameter!$H$5+Parameter!$H$6+Parameter!$H$7))-(AY1123-AT1123))/AT1123)))</f>
        <v>1</v>
      </c>
      <c r="BA1123" s="62" t="n">
        <f aca="false">IF(LEFT(Cockpit!$O$5,1)="A",H1123,IF(Parameter!$E$30="MAX-Bestand",IF(CI1123=1,CJ1123,IF(LEFT(Cockpit!$O$5,1)="B",BG1123,MAX(BG1123,H1123))),ROUNDUP(BE1123,0)))</f>
        <v>3</v>
      </c>
      <c r="BB1123" s="62" t="n">
        <f aca="false">IF(CA1123=1,0,ROUNDUP(BA1123/BZ1123,0))</f>
        <v>1</v>
      </c>
      <c r="BC1123" s="64" t="n">
        <f aca="false">IF(CR1123&gt;0,CR1123*MAX(1,BA1123/X1123),IF(CA1123=1,IF(BA1123&lt;=0,0,CE1123*MAX(1,IF(H1123&gt;0,BA1123/H1123,1))),IF(R1123&gt;0,BB1123/R1123,0))/MAX(0.1,N(Parameter!$M$21)))</f>
        <v>0.0384615384615385</v>
      </c>
      <c r="BD1123" s="62" t="n">
        <f aca="false">BC1123*CC1123</f>
        <v>9.42307692307692</v>
      </c>
      <c r="BE1123" s="63" t="n">
        <f aca="false">IF(LEFT(Cockpit!$O$5,1)="A",H1123,IF(CI1123=1,(CL1123+CJ1123)/2,IF(LEFT(Cockpit!$O$5,1)="B",(CL1123+BG1123)/2,MAX((CL1123+BG1123)/2,H1123))))</f>
        <v>2.5</v>
      </c>
      <c r="BF1123" s="62" t="n">
        <f aca="false">BE1123*G1123</f>
        <v>87.875</v>
      </c>
      <c r="BG1123" s="62" t="n">
        <f aca="false">ROUNDUP(CL1123+MAX(CM1123,2*(J1123/IF(CH1123&gt;0,CH1123,MAX(0.1,N(Cockpit!$O$6)))-CL1123)),0)</f>
        <v>5</v>
      </c>
      <c r="BH1123" s="63" t="n">
        <f aca="false">IF(BD1123&gt;0,J1123/BD1123,-1)</f>
        <v>0.318367346938776</v>
      </c>
      <c r="BI1123" s="63" t="n">
        <f aca="false">IF(AND(OR(CG1123="L1",CG1123="L23",CG1123="LIFT"),BD1123&gt;0),SUMIFS($BD$7:$BD$1843,$CG$7:$CG$1843,CG1123,$BH$7:$BH$1843,"&gt;"&amp;BH1123)+SUMIFS($BD$7:$BD$1843,$CG$7:$CG$1843,CG1123,$BH$7:$BH$1843,BH1123,$BX$7:$BX$1843,"&lt;="&amp;BX1123),"")</f>
        <v>11755.0581501832</v>
      </c>
      <c r="BJ1123" s="70" t="n">
        <f aca="false">IF(BI1123="",0,MAX(0,MIN(1,(IF(CG1123="L1",Parameter!$H$5,IF(CG1123="L23",Parameter!$H$6+Parameter!$H$7,Parameter!$H$5+Parameter!$H$6+Parameter!$H$7))-(BI1123-BD1123))/BD1123)))</f>
        <v>1</v>
      </c>
      <c r="BK1123" s="60" t="str">
        <f aca="false">IF(AJ1123&lt;=0,"",IF(CG1123="Aussen","Aussenlager",IF(CG1123="-","Nicht im Lift",IF(AP1123&gt;=1,"Lift",IF(AP1123&lt;=0,"Aussenlager","teilweise")))))</f>
        <v>Lift</v>
      </c>
      <c r="BL1123" s="60" t="str">
        <f aca="false">IF(AT1123&lt;=0,"",IF(CG1123="Aussen","Aussenlager",IF(CG1123="-","Nicht im Lift",IF(AZ1123&gt;=1,"Lift",IF(AZ1123&lt;=0,"Aussenlager","teilweise")))))</f>
        <v>Lift</v>
      </c>
      <c r="BM1123" s="60" t="str">
        <f aca="false">IF(BD1123&lt;=0,"",IF(CG1123="Aussen","Aussenlager",IF(CG1123="-","Nicht im Lift",IF(BJ1123&gt;=1,"Lift",IF(BJ1123&lt;=0,"Aussenlager","teilweise")))))</f>
        <v>Lift</v>
      </c>
      <c r="BN1123" s="60" t="str">
        <f aca="false">IF(A1123="","",IF(BW1123=1,"Neu; ","")&amp;IF(AND(BW1123=0,BR1123&lt;0),"negativer Bestand (Export "&amp;BR1123&amp;"); ","")&amp;IF(J1123&lt;=0,"Kein Verbrauch; ","")&amp;IF(CR1123&gt;0,"Lift "&amp;W1123&amp;" lt. Liftbericht (Fach "&amp;X1123&amp;" Stk); ",IF(CB1123=1,"Gebinde geschätzt ("&amp;T1123&amp;"); ",IF(CA1123=1,"Lose – Tablare geschätzt; ","")))&amp;IF(H1123&gt;AW1123,"Überbestand "&amp;ROUND(H1123-AW1123,0)&amp;" Stk / CHF "&amp;ROUND((H1123-AW1123)*G1123,0)&amp;"; ","")&amp;IF(AND(CI1123=1,CJ1123&lt;CK1123),"MAX &lt; MB+LG; ","")&amp;IF(AND(CQ1123&gt;0,CP1123*10&gt;CQ1123),"zu hoch für Tablar; ","")&amp;IF(AND(BW1123=0,OR(CI1123=1,AB1123&lt;&gt;"",U1123&lt;&gt;"",V1123&lt;&gt;"",AC1123&lt;&gt;"")),"manuell übersteuert; ","")&amp;IF(AND(CA1123=0,R1123=0),"Gebinde unbekannt / Stellmass fehlt; ","")&amp;IF(AND(CA1123=0,N(V1123)&lt;=0,N(Q1123)&lt;=0),"Menge pro Gebinde fehlt (Ist = 1 Gebinde); ","")&amp;BV1123)</f>
        <v>negativer Bestand (Export -7); Überbestand 140 Stk / CHF 4921; Überbestand</v>
      </c>
      <c r="BO1123" s="60"/>
      <c r="BP1123" s="60"/>
      <c r="BQ1123" s="67"/>
      <c r="BR1123" s="62" t="n">
        <v>-7</v>
      </c>
      <c r="BS1123" s="62" t="n">
        <v>152</v>
      </c>
      <c r="BT1123" s="61" t="n">
        <v>-246.05</v>
      </c>
      <c r="BU1123" s="62" t="n">
        <v>3</v>
      </c>
      <c r="BV1123" s="60" t="s">
        <v>434</v>
      </c>
      <c r="BW1123" s="65" t="n">
        <v>0</v>
      </c>
      <c r="BX1123" s="65" t="n">
        <v>1123</v>
      </c>
      <c r="BY1123" s="60" t="str">
        <f aca="false">IF(U1123&lt;&gt;"",UPPER(TRIM(U1123)),IF(CB1123=1,UPPER(VLOOKUP(T1123,Parameter!$I$27:$K$29,2,0)),IF(P1123="","LOSE",P1123)))</f>
        <v>S52</v>
      </c>
      <c r="BZ1123" s="62" t="n">
        <f aca="false">IF(BY1123="LOSE",1,IF(N(V1123)&gt;0,V1123,IF(CB1123=1,MAX(1,N(VLOOKUP(T1123,Parameter!$I$27:$K$29,3,0)),H1123,N(N1123)),IF(N(Q1123)&gt;0,Q1123,MAX(1,H1123)))))</f>
        <v>30</v>
      </c>
      <c r="CA1123" s="65" t="n">
        <f aca="false">IF(BY1123="LOSE",1,0)</f>
        <v>0</v>
      </c>
      <c r="CB1123" s="65" t="n">
        <f aca="false">IF(AND(U1123="",OR(P1123="",P1123="LOSE"),T1123&lt;&gt;"",N(S1123)&lt;=0,ISNUMBER(MATCH(T1123,Parameter!$I$27:$I$29,0))),1,0)</f>
        <v>0</v>
      </c>
      <c r="CC1123" s="65" t="n">
        <f aca="false">IF(CR1123&gt;0,INDEX(Parameter!$H$5:$H$7,W1123)/INDEX(Parameter!$E$5:$E$7,W1123),IF(AND(CA1123=0,N(IFERROR(VLOOKUP(BY1123,'Gebinde-Kategorie'!$A$5:$N$45,14,0),0))&gt;0),VLOOKUP(BY1123,'Gebinde-Kategorie'!$A$5:$N$45,14,0)*10+Parameter!$M$23,Parameter!$M$24))</f>
        <v>245</v>
      </c>
      <c r="CD1123" s="60" t="str">
        <f aca="false">IF(AND(Parameter!$B$19="Ja",E1123&lt;&gt;"",ISNUMBER(MATCH(E1123,Parameter!$I$35:$I$52,0))),VLOOKUP(E1123,Parameter!$I$35:$J$52,2,0),IFERROR(VLOOKUP(D1123,Parameter!$A$35:$C$64,2,0),"Nein"))</f>
        <v>2+3</v>
      </c>
      <c r="CE1123" s="64" t="n">
        <f aca="false">IF(CA1123=0,0,IF(N(S1123)&gt;0,S1123,IFERROR(VLOOKUP(D1123,Parameter!$A$35:$C$64,3,0)+0,0)))</f>
        <v>0</v>
      </c>
      <c r="CF1123" s="60" t="n">
        <f aca="false">IF(AB1123&lt;&gt;"",AB1123,AA1123)</f>
        <v>3</v>
      </c>
      <c r="CG1123" s="60" t="str">
        <f aca="false">IF(OR(CF1123=1,CF1123=2,CF1123=3),IF(Parameter!$E$27="Ja","LIFT",IF(CF1123=1,"L1","L23")),IF(CF1123="Aussen","Aussen","-"))</f>
        <v>LIFT</v>
      </c>
      <c r="CH1123" s="71" t="n">
        <f aca="false">IF(N(AC1123)&gt;0,AC1123,0)</f>
        <v>0</v>
      </c>
      <c r="CI1123" s="65" t="n">
        <f aca="false">IF(ISNUMBER(AF1123),1,0)</f>
        <v>0</v>
      </c>
      <c r="CJ1123" s="62" t="n">
        <f aca="false">N(AF1123)</f>
        <v>0</v>
      </c>
      <c r="CK1123" s="62" t="n">
        <f aca="false">N(M1123)+N(N1123)</f>
        <v>5</v>
      </c>
      <c r="CL1123" s="62" t="n">
        <f aca="false">N(M1123)</f>
        <v>0</v>
      </c>
      <c r="CM1123" s="62" t="n">
        <f aca="false">N(N1123)</f>
        <v>5</v>
      </c>
      <c r="CN1123" s="62" t="n">
        <f aca="false">ROUNDUP(H1123/BZ1123,0)</f>
        <v>5</v>
      </c>
      <c r="CO1123" s="62" t="n">
        <f aca="false">ROUNDUP(CJ1123/BZ1123,0)</f>
        <v>0</v>
      </c>
      <c r="CP1123" s="65" t="n">
        <f aca="false">IF(CA1123=1,0,IFERROR(VLOOKUP(BY1123,'Gebinde-Kategorie'!$A$5:$N$45,5,0)+0,0))</f>
        <v>21</v>
      </c>
      <c r="CQ1123" s="65" t="n">
        <f aca="false">IFERROR(IF(OR(CF1123=1,CF1123=2,CF1123=3),N(INDEX(Parameter!$I$5:$I$7,CF1123)),0),0)</f>
        <v>0</v>
      </c>
      <c r="CR1123" s="64" t="n">
        <f aca="false">IF(AND(Parameter!$B$21="Ja",ISNUMBER(W1123),N(X1123)&gt;0),IFERROR(N(INDEX(Parameter!$L$5:$L$7,W1123))*INDEX(Parameter!$E$5:$E$7,W1123)*X1123/SUMIFS($X$7:$X$1843,$W$7:$W$1843,W1123),0),0)</f>
        <v>0</v>
      </c>
      <c r="CS1123" s="62" t="n">
        <f aca="false">IF(AND(OR(CG1123="L1",CG1123="L23",CG1123="LIFT"),H1123&gt;0),CC1123*IF(CR1123&gt;0,CR1123*MAX(1,H1123/X1123),IF(CA1123=1,CE1123,IF(R1123&gt;0,CN1123/R1123,0))/MAX(0.1,N(Parameter!$M$21))),"")</f>
        <v>47.1153846153846</v>
      </c>
      <c r="CT1123" s="64" t="n">
        <f aca="false">IF(CS1123="","",J1123/H1123)</f>
        <v>0.0206896551724138</v>
      </c>
      <c r="CU1123" s="62" t="n">
        <f aca="false">IF(CS1123="","",H1123*G1123)</f>
        <v>5096.75</v>
      </c>
      <c r="CV1123" s="63" t="n">
        <f aca="false">IF(CS1123="","",(CL1123+ROUNDUP(CL1123+MAX(CM1123,2*(J1123/MAX(0.1,N(Einkauf!$C$6))-CL1123)),0))/2)</f>
        <v>2.5</v>
      </c>
      <c r="CW1123" s="62" t="n">
        <f aca="false">IF(CS1123="","",MAX(0,H1123-CV1123)*G1123)</f>
        <v>5008.875</v>
      </c>
      <c r="CX1123" s="62" t="n">
        <f aca="false">IF(CS1123="","",CS1123*MAX(0,1-CV1123/H1123))</f>
        <v>46.303050397878</v>
      </c>
      <c r="CY1123" s="64" t="n">
        <f aca="false">IF(CS1123="","",PERCENTRANK($CS$7:$CS$1843,CS1123)+PERCENTRANK($CU$7:$CU$1843,CU1123)+1-PERCENTRANK($CT$7:$CT$1843,CT1123))</f>
        <v>2.429</v>
      </c>
      <c r="CZ1123" s="72" t="n">
        <f aca="false">IF(CS1123="","",CHOOSE(MATCH(Einkauf!$C$5,Parameter!$G$23:$G$27,0),CY1123,CS1123,CU1123,-CT1123,CW1123)+ROW()/1000000000)</f>
        <v>2.429001123</v>
      </c>
    </row>
    <row r="1124" customFormat="false" ht="15" hidden="false" customHeight="false" outlineLevel="0" collapsed="false">
      <c r="A1124" s="60" t="s">
        <v>2079</v>
      </c>
      <c r="B1124" s="60" t="s">
        <v>2080</v>
      </c>
      <c r="C1124" s="60" t="s">
        <v>206</v>
      </c>
      <c r="D1124" s="60" t="s">
        <v>226</v>
      </c>
      <c r="E1124" s="60" t="s">
        <v>227</v>
      </c>
      <c r="F1124" s="60" t="s">
        <v>260</v>
      </c>
      <c r="G1124" s="61" t="n">
        <v>90.32</v>
      </c>
      <c r="H1124" s="62" t="n">
        <f aca="false">MAX(0,IF(AND(Parameter!$B$21="Ja",ISNUMBER(Y1124)),Y1124,IF(Parameter!$B$20="Jahresanfang 2025 + Export",BS1124+BR1124,BR1124)))</f>
        <v>36</v>
      </c>
      <c r="I1124" s="62" t="n">
        <f aca="false">H1124*G1124</f>
        <v>3251.52</v>
      </c>
      <c r="J1124" s="62" t="n">
        <f aca="false">BU1124*Parameter!$B$18</f>
        <v>58</v>
      </c>
      <c r="K1124" s="63" t="n">
        <v>30.5</v>
      </c>
      <c r="L1124" s="64" t="n">
        <v>1.9016393442623</v>
      </c>
      <c r="M1124" s="62" t="n">
        <v>5</v>
      </c>
      <c r="N1124" s="62" t="n">
        <v>40</v>
      </c>
      <c r="O1124" s="65" t="n">
        <v>28</v>
      </c>
      <c r="P1124" s="60" t="s">
        <v>275</v>
      </c>
      <c r="Q1124" s="62" t="n">
        <v>30</v>
      </c>
      <c r="R1124" s="65" t="n">
        <f aca="false">IF(CA1124=1,0,IFERROR(VLOOKUP(BY1124,'Gebinde-Kategorie'!$A$5:$N$45,13,0)+0,0))</f>
        <v>26</v>
      </c>
      <c r="S1124" s="66"/>
      <c r="T1124" s="67"/>
      <c r="U1124" s="67"/>
      <c r="V1124" s="67"/>
      <c r="W1124" s="60"/>
      <c r="X1124" s="62"/>
      <c r="Y1124" s="62"/>
      <c r="Z1124" s="60" t="n">
        <v>3</v>
      </c>
      <c r="AA1124" s="60" t="n">
        <f aca="false">IF(A1124="","",IF(AND(Parameter!$B$21="Ja",ISNUMBER(W1124)),W1124,IF(AND(Parameter!$E$27="Ja",ISNUMBER(Z1124),CD1124&lt;&gt;"Nein"),Z1124,IF(CD1124="2+3",IF(ISNUMBER(SEARCH("grosser Artikel",BV1124)),2,IFERROR(VLOOKUP(BY1124,Parameter!$F$35:$G$64,2,0),2)),IF(OR(CD1124="Nein",CD1124=""),"-",CD1124)))))</f>
        <v>3</v>
      </c>
      <c r="AB1124" s="67"/>
      <c r="AC1124" s="68"/>
      <c r="AD1124" s="62" t="n">
        <f aca="false">AW1124</f>
        <v>45</v>
      </c>
      <c r="AE1124" s="62" t="n">
        <f aca="false">MAX(AW1124,H1124)</f>
        <v>45</v>
      </c>
      <c r="AF1124" s="69"/>
      <c r="AG1124" s="62" t="n">
        <f aca="false">IF(LEFT(Cockpit!$C$5,1)="A",H1124,IF(Parameter!$E$30="MAX-Bestand",IF(CI1124=1,CJ1124,IF(LEFT(Cockpit!$C$5,1)="B",AM1124,MAX(AM1124,H1124))),ROUNDUP(AK1124,0)))</f>
        <v>36</v>
      </c>
      <c r="AH1124" s="62" t="n">
        <f aca="false">IF(CA1124=1,0,ROUNDUP(AG1124/BZ1124,0))</f>
        <v>2</v>
      </c>
      <c r="AI1124" s="64" t="n">
        <f aca="false">IF(CR1124&gt;0,CR1124*MAX(1,AG1124/X1124),IF(CA1124=1,IF(AG1124&lt;=0,0,CE1124*MAX(1,IF(H1124&gt;0,AG1124/H1124,1))),IF(R1124&gt;0,AH1124/R1124,0))/MAX(0.1,N(Parameter!$M$21)))</f>
        <v>0.0769230769230769</v>
      </c>
      <c r="AJ1124" s="62" t="n">
        <f aca="false">AI1124*CC1124</f>
        <v>18.8461538461538</v>
      </c>
      <c r="AK1124" s="63" t="n">
        <f aca="false">IF(LEFT(Cockpit!$C$5,1)="A",H1124,IF(CI1124=1,(CL1124+CJ1124)/2,IF(LEFT(Cockpit!$C$5,1)="B",(CL1124+AM1124)/2,MAX((CL1124+AM1124)/2,H1124))))</f>
        <v>36</v>
      </c>
      <c r="AL1124" s="62" t="n">
        <f aca="false">AK1124*G1124</f>
        <v>3251.52</v>
      </c>
      <c r="AM1124" s="62" t="n">
        <f aca="false">ROUNDUP(CL1124+MAX(CM1124,2*(J1124/IF(CH1124&gt;0,CH1124,MAX(0.1,N(Cockpit!$C$6)))-CL1124)),0)</f>
        <v>45</v>
      </c>
      <c r="AN1124" s="63" t="n">
        <f aca="false">IF(AJ1124&gt;0,J1124/AJ1124,-1)</f>
        <v>3.07755102040816</v>
      </c>
      <c r="AO1124" s="63" t="n">
        <f aca="false">IF(AND(OR(CG1124="L1",CG1124="L23",CG1124="LIFT"),AJ1124&gt;0),SUMIFS($AJ$7:$AJ$1843,$CG$7:$CG$1843,CG1124,$AN$7:$AN$1843,"&gt;"&amp;AN1124)+SUMIFS($AJ$7:$AJ$1843,$CG$7:$CG$1843,CG1124,$AN$7:$AN$1843,AN1124,$BX$7:$BX$1843,"&lt;="&amp;BX1124),"")</f>
        <v>5031.66163003663</v>
      </c>
      <c r="AP1124" s="70" t="n">
        <f aca="false">IF(AO1124="",0,MAX(0,MIN(1,(IF(CG1124="L1",Parameter!$H$5,IF(CG1124="L23",Parameter!$H$6+Parameter!$H$7,Parameter!$H$5+Parameter!$H$6+Parameter!$H$7))-(AO1124-AJ1124))/AJ1124)))</f>
        <v>1</v>
      </c>
      <c r="AQ1124" s="62" t="n">
        <f aca="false">IF(LEFT(Cockpit!$I$5,1)="A",H1124,IF(Parameter!$E$30="MAX-Bestand",IF(CI1124=1,CJ1124,IF(LEFT(Cockpit!$I$5,1)="B",AW1124,MAX(AW1124,H1124))),ROUNDUP(AU1124,0)))</f>
        <v>36</v>
      </c>
      <c r="AR1124" s="62" t="n">
        <f aca="false">IF(CA1124=1,0,ROUNDUP(AQ1124/BZ1124,0))</f>
        <v>2</v>
      </c>
      <c r="AS1124" s="64" t="n">
        <f aca="false">IF(CR1124&gt;0,CR1124*MAX(1,AQ1124/X1124),IF(CA1124=1,IF(AQ1124&lt;=0,0,CE1124*MAX(1,IF(H1124&gt;0,AQ1124/H1124,1))),IF(R1124&gt;0,AR1124/R1124,0))/MAX(0.1,N(Parameter!$M$21)))</f>
        <v>0.0769230769230769</v>
      </c>
      <c r="AT1124" s="62" t="n">
        <f aca="false">AS1124*CC1124</f>
        <v>18.8461538461538</v>
      </c>
      <c r="AU1124" s="63" t="n">
        <f aca="false">IF(LEFT(Cockpit!$I$5,1)="A",H1124,IF(CI1124=1,(CL1124+CJ1124)/2,IF(LEFT(Cockpit!$I$5,1)="B",(CL1124+AW1124)/2,MAX((CL1124+AW1124)/2,H1124))))</f>
        <v>36</v>
      </c>
      <c r="AV1124" s="62" t="n">
        <f aca="false">AU1124*G1124</f>
        <v>3251.52</v>
      </c>
      <c r="AW1124" s="62" t="n">
        <f aca="false">ROUNDUP(CL1124+MAX(CM1124,2*(J1124/IF(CH1124&gt;0,CH1124,MAX(0.1,N(Cockpit!$I$6)))-CL1124)),0)</f>
        <v>45</v>
      </c>
      <c r="AX1124" s="63" t="n">
        <f aca="false">IF(AT1124&gt;0,J1124/AT1124,-1)</f>
        <v>3.07755102040816</v>
      </c>
      <c r="AY1124" s="63" t="n">
        <f aca="false">IF(AND(OR(CG1124="L1",CG1124="L23",CG1124="LIFT"),AT1124&gt;0),SUMIFS($AT$7:$AT$1843,$CG$7:$CG$1843,CG1124,$AX$7:$AX$1843,"&gt;"&amp;AX1124)+SUMIFS($AT$7:$AT$1843,$CG$7:$CG$1843,CG1124,$AX$7:$AX$1843,AX1124,$BX$7:$BX$1843,"&lt;="&amp;BX1124),"")</f>
        <v>5787.71016483516</v>
      </c>
      <c r="AZ1124" s="70" t="n">
        <f aca="false">IF(AY1124="",0,MAX(0,MIN(1,(IF(CG1124="L1",Parameter!$H$5,IF(CG1124="L23",Parameter!$H$6+Parameter!$H$7,Parameter!$H$5+Parameter!$H$6+Parameter!$H$7))-(AY1124-AT1124))/AT1124)))</f>
        <v>1</v>
      </c>
      <c r="BA1124" s="62" t="n">
        <f aca="false">IF(LEFT(Cockpit!$O$5,1)="A",H1124,IF(Parameter!$E$30="MAX-Bestand",IF(CI1124=1,CJ1124,IF(LEFT(Cockpit!$O$5,1)="B",BG1124,MAX(BG1124,H1124))),ROUNDUP(BE1124,0)))</f>
        <v>25</v>
      </c>
      <c r="BB1124" s="62" t="n">
        <f aca="false">IF(CA1124=1,0,ROUNDUP(BA1124/BZ1124,0))</f>
        <v>1</v>
      </c>
      <c r="BC1124" s="64" t="n">
        <f aca="false">IF(CR1124&gt;0,CR1124*MAX(1,BA1124/X1124),IF(CA1124=1,IF(BA1124&lt;=0,0,CE1124*MAX(1,IF(H1124&gt;0,BA1124/H1124,1))),IF(R1124&gt;0,BB1124/R1124,0))/MAX(0.1,N(Parameter!$M$21)))</f>
        <v>0.0384615384615385</v>
      </c>
      <c r="BD1124" s="62" t="n">
        <f aca="false">BC1124*CC1124</f>
        <v>9.42307692307692</v>
      </c>
      <c r="BE1124" s="63" t="n">
        <f aca="false">IF(LEFT(Cockpit!$O$5,1)="A",H1124,IF(CI1124=1,(CL1124+CJ1124)/2,IF(LEFT(Cockpit!$O$5,1)="B",(CL1124+BG1124)/2,MAX((CL1124+BG1124)/2,H1124))))</f>
        <v>25</v>
      </c>
      <c r="BF1124" s="62" t="n">
        <f aca="false">BE1124*G1124</f>
        <v>2258</v>
      </c>
      <c r="BG1124" s="62" t="n">
        <f aca="false">ROUNDUP(CL1124+MAX(CM1124,2*(J1124/IF(CH1124&gt;0,CH1124,MAX(0.1,N(Cockpit!$O$6)))-CL1124)),0)</f>
        <v>45</v>
      </c>
      <c r="BH1124" s="63" t="n">
        <f aca="false">IF(BD1124&gt;0,J1124/BD1124,-1)</f>
        <v>6.15510204081633</v>
      </c>
      <c r="BI1124" s="63" t="n">
        <f aca="false">IF(AND(OR(CG1124="L1",CG1124="L23",CG1124="LIFT"),BD1124&gt;0),SUMIFS($BD$7:$BD$1843,$CG$7:$CG$1843,CG1124,$BH$7:$BH$1843,"&gt;"&amp;BH1124)+SUMIFS($BD$7:$BD$1843,$CG$7:$CG$1843,CG1124,$BH$7:$BH$1843,BH1124,$BX$7:$BX$1843,"&lt;="&amp;BX1124),"")</f>
        <v>3440.75686813187</v>
      </c>
      <c r="BJ1124" s="70" t="n">
        <f aca="false">IF(BI1124="",0,MAX(0,MIN(1,(IF(CG1124="L1",Parameter!$H$5,IF(CG1124="L23",Parameter!$H$6+Parameter!$H$7,Parameter!$H$5+Parameter!$H$6+Parameter!$H$7))-(BI1124-BD1124))/BD1124)))</f>
        <v>1</v>
      </c>
      <c r="BK1124" s="60" t="str">
        <f aca="false">IF(AJ1124&lt;=0,"",IF(CG1124="Aussen","Aussenlager",IF(CG1124="-","Nicht im Lift",IF(AP1124&gt;=1,"Lift",IF(AP1124&lt;=0,"Aussenlager","teilweise")))))</f>
        <v>Lift</v>
      </c>
      <c r="BL1124" s="60" t="str">
        <f aca="false">IF(AT1124&lt;=0,"",IF(CG1124="Aussen","Aussenlager",IF(CG1124="-","Nicht im Lift",IF(AZ1124&gt;=1,"Lift",IF(AZ1124&lt;=0,"Aussenlager","teilweise")))))</f>
        <v>Lift</v>
      </c>
      <c r="BM1124" s="60" t="str">
        <f aca="false">IF(BD1124&lt;=0,"",IF(CG1124="Aussen","Aussenlager",IF(CG1124="-","Nicht im Lift",IF(BJ1124&gt;=1,"Lift",IF(BJ1124&lt;=0,"Aussenlager","teilweise")))))</f>
        <v>Lift</v>
      </c>
      <c r="BN1124" s="60" t="str">
        <f aca="false">IF(A1124="","",IF(BW1124=1,"Neu; ","")&amp;IF(AND(BW1124=0,BR1124&lt;0),"negativer Bestand (Export "&amp;BR1124&amp;"); ","")&amp;IF(J1124&lt;=0,"Kein Verbrauch; ","")&amp;IF(CR1124&gt;0,"Lift "&amp;W1124&amp;" lt. Liftbericht (Fach "&amp;X1124&amp;" Stk); ",IF(CB1124=1,"Gebinde geschätzt ("&amp;T1124&amp;"); ",IF(CA1124=1,"Lose – Tablare geschätzt; ","")))&amp;IF(H1124&gt;AW1124,"Überbestand "&amp;ROUND(H1124-AW1124,0)&amp;" Stk / CHF "&amp;ROUND((H1124-AW1124)*G1124,0)&amp;"; ","")&amp;IF(AND(CI1124=1,CJ1124&lt;CK1124),"MAX &lt; MB+LG; ","")&amp;IF(AND(CQ1124&gt;0,CP1124*10&gt;CQ1124),"zu hoch für Tablar; ","")&amp;IF(AND(BW1124=0,OR(CI1124=1,AB1124&lt;&gt;"",U1124&lt;&gt;"",V1124&lt;&gt;"",AC1124&lt;&gt;"")),"manuell übersteuert; ","")&amp;IF(AND(CA1124=0,R1124=0),"Gebinde unbekannt / Stellmass fehlt; ","")&amp;IF(AND(CA1124=0,N(V1124)&lt;=0,N(Q1124)&lt;=0),"Menge pro Gebinde fehlt (Ist = 1 Gebinde); ","")&amp;BV1124)</f>
        <v>negativer Bestand (Export -2); </v>
      </c>
      <c r="BO1124" s="60"/>
      <c r="BP1124" s="60"/>
      <c r="BQ1124" s="67"/>
      <c r="BR1124" s="62" t="n">
        <v>-2</v>
      </c>
      <c r="BS1124" s="62" t="n">
        <v>38</v>
      </c>
      <c r="BT1124" s="61" t="n">
        <v>-246.380000000003</v>
      </c>
      <c r="BU1124" s="62" t="n">
        <v>58</v>
      </c>
      <c r="BV1124" s="60"/>
      <c r="BW1124" s="65" t="n">
        <v>0</v>
      </c>
      <c r="BX1124" s="65" t="n">
        <v>1124</v>
      </c>
      <c r="BY1124" s="60" t="str">
        <f aca="false">IF(U1124&lt;&gt;"",UPPER(TRIM(U1124)),IF(CB1124=1,UPPER(VLOOKUP(T1124,Parameter!$I$27:$K$29,2,0)),IF(P1124="","LOSE",P1124)))</f>
        <v>S52</v>
      </c>
      <c r="BZ1124" s="62" t="n">
        <f aca="false">IF(BY1124="LOSE",1,IF(N(V1124)&gt;0,V1124,IF(CB1124=1,MAX(1,N(VLOOKUP(T1124,Parameter!$I$27:$K$29,3,0)),H1124,N(N1124)),IF(N(Q1124)&gt;0,Q1124,MAX(1,H1124)))))</f>
        <v>30</v>
      </c>
      <c r="CA1124" s="65" t="n">
        <f aca="false">IF(BY1124="LOSE",1,0)</f>
        <v>0</v>
      </c>
      <c r="CB1124" s="65" t="n">
        <f aca="false">IF(AND(U1124="",OR(P1124="",P1124="LOSE"),T1124&lt;&gt;"",N(S1124)&lt;=0,ISNUMBER(MATCH(T1124,Parameter!$I$27:$I$29,0))),1,0)</f>
        <v>0</v>
      </c>
      <c r="CC1124" s="65" t="n">
        <f aca="false">IF(CR1124&gt;0,INDEX(Parameter!$H$5:$H$7,W1124)/INDEX(Parameter!$E$5:$E$7,W1124),IF(AND(CA1124=0,N(IFERROR(VLOOKUP(BY1124,'Gebinde-Kategorie'!$A$5:$N$45,14,0),0))&gt;0),VLOOKUP(BY1124,'Gebinde-Kategorie'!$A$5:$N$45,14,0)*10+Parameter!$M$23,Parameter!$M$24))</f>
        <v>245</v>
      </c>
      <c r="CD1124" s="60" t="str">
        <f aca="false">IF(AND(Parameter!$B$19="Ja",E1124&lt;&gt;"",ISNUMBER(MATCH(E1124,Parameter!$I$35:$I$52,0))),VLOOKUP(E1124,Parameter!$I$35:$J$52,2,0),IFERROR(VLOOKUP(D1124,Parameter!$A$35:$C$64,2,0),"Nein"))</f>
        <v>2+3</v>
      </c>
      <c r="CE1124" s="64" t="n">
        <f aca="false">IF(CA1124=0,0,IF(N(S1124)&gt;0,S1124,IFERROR(VLOOKUP(D1124,Parameter!$A$35:$C$64,3,0)+0,0)))</f>
        <v>0</v>
      </c>
      <c r="CF1124" s="60" t="n">
        <f aca="false">IF(AB1124&lt;&gt;"",AB1124,AA1124)</f>
        <v>3</v>
      </c>
      <c r="CG1124" s="60" t="str">
        <f aca="false">IF(OR(CF1124=1,CF1124=2,CF1124=3),IF(Parameter!$E$27="Ja","LIFT",IF(CF1124=1,"L1","L23")),IF(CF1124="Aussen","Aussen","-"))</f>
        <v>LIFT</v>
      </c>
      <c r="CH1124" s="71" t="n">
        <f aca="false">IF(N(AC1124)&gt;0,AC1124,0)</f>
        <v>0</v>
      </c>
      <c r="CI1124" s="65" t="n">
        <f aca="false">IF(ISNUMBER(AF1124),1,0)</f>
        <v>0</v>
      </c>
      <c r="CJ1124" s="62" t="n">
        <f aca="false">N(AF1124)</f>
        <v>0</v>
      </c>
      <c r="CK1124" s="62" t="n">
        <f aca="false">N(M1124)+N(N1124)</f>
        <v>45</v>
      </c>
      <c r="CL1124" s="62" t="n">
        <f aca="false">N(M1124)</f>
        <v>5</v>
      </c>
      <c r="CM1124" s="62" t="n">
        <f aca="false">N(N1124)</f>
        <v>40</v>
      </c>
      <c r="CN1124" s="62" t="n">
        <f aca="false">ROUNDUP(H1124/BZ1124,0)</f>
        <v>2</v>
      </c>
      <c r="CO1124" s="62" t="n">
        <f aca="false">ROUNDUP(CJ1124/BZ1124,0)</f>
        <v>0</v>
      </c>
      <c r="CP1124" s="65" t="n">
        <f aca="false">IF(CA1124=1,0,IFERROR(VLOOKUP(BY1124,'Gebinde-Kategorie'!$A$5:$N$45,5,0)+0,0))</f>
        <v>21</v>
      </c>
      <c r="CQ1124" s="65" t="n">
        <f aca="false">IFERROR(IF(OR(CF1124=1,CF1124=2,CF1124=3),N(INDEX(Parameter!$I$5:$I$7,CF1124)),0),0)</f>
        <v>0</v>
      </c>
      <c r="CR1124" s="64" t="n">
        <f aca="false">IF(AND(Parameter!$B$21="Ja",ISNUMBER(W1124),N(X1124)&gt;0),IFERROR(N(INDEX(Parameter!$L$5:$L$7,W1124))*INDEX(Parameter!$E$5:$E$7,W1124)*X1124/SUMIFS($X$7:$X$1843,$W$7:$W$1843,W1124),0),0)</f>
        <v>0</v>
      </c>
      <c r="CS1124" s="62" t="n">
        <f aca="false">IF(AND(OR(CG1124="L1",CG1124="L23",CG1124="LIFT"),H1124&gt;0),CC1124*IF(CR1124&gt;0,CR1124*MAX(1,H1124/X1124),IF(CA1124=1,CE1124,IF(R1124&gt;0,CN1124/R1124,0))/MAX(0.1,N(Parameter!$M$21))),"")</f>
        <v>18.8461538461538</v>
      </c>
      <c r="CT1124" s="64" t="n">
        <f aca="false">IF(CS1124="","",J1124/H1124)</f>
        <v>1.61111111111111</v>
      </c>
      <c r="CU1124" s="62" t="n">
        <f aca="false">IF(CS1124="","",H1124*G1124)</f>
        <v>3251.52</v>
      </c>
      <c r="CV1124" s="63" t="n">
        <f aca="false">IF(CS1124="","",(CL1124+ROUNDUP(CL1124+MAX(CM1124,2*(J1124/MAX(0.1,N(Einkauf!$C$6))-CL1124)),0))/2)</f>
        <v>25</v>
      </c>
      <c r="CW1124" s="62" t="n">
        <f aca="false">IF(CS1124="","",MAX(0,H1124-CV1124)*G1124)</f>
        <v>993.52</v>
      </c>
      <c r="CX1124" s="62" t="n">
        <f aca="false">IF(CS1124="","",CS1124*MAX(0,1-CV1124/H1124))</f>
        <v>5.75854700854701</v>
      </c>
      <c r="CY1124" s="64" t="n">
        <f aca="false">IF(CS1124="","",PERCENTRANK($CS$7:$CS$1843,CS1124)+PERCENTRANK($CU$7:$CU$1843,CU1124)+1-PERCENTRANK($CT$7:$CT$1843,CT1124))</f>
        <v>1.83</v>
      </c>
      <c r="CZ1124" s="72" t="n">
        <f aca="false">IF(CS1124="","",CHOOSE(MATCH(Einkauf!$C$5,Parameter!$G$23:$G$27,0),CY1124,CS1124,CU1124,-CT1124,CW1124)+ROW()/1000000000)</f>
        <v>1.830001124</v>
      </c>
    </row>
    <row r="1125" customFormat="false" ht="15" hidden="false" customHeight="false" outlineLevel="0" collapsed="false">
      <c r="A1125" s="60" t="s">
        <v>2081</v>
      </c>
      <c r="B1125" s="60" t="s">
        <v>791</v>
      </c>
      <c r="C1125" s="60" t="s">
        <v>206</v>
      </c>
      <c r="D1125" s="60" t="s">
        <v>226</v>
      </c>
      <c r="E1125" s="60"/>
      <c r="F1125" s="60" t="s">
        <v>260</v>
      </c>
      <c r="G1125" s="61" t="n">
        <v>123.42</v>
      </c>
      <c r="H1125" s="62" t="n">
        <f aca="false">MAX(0,IF(AND(Parameter!$B$21="Ja",ISNUMBER(Y1125)),Y1125,IF(Parameter!$B$20="Jahresanfang 2025 + Export",BS1125+BR1125,BR1125)))</f>
        <v>2</v>
      </c>
      <c r="I1125" s="62" t="n">
        <f aca="false">H1125*G1125</f>
        <v>246.84</v>
      </c>
      <c r="J1125" s="62" t="n">
        <f aca="false">BU1125*Parameter!$B$18</f>
        <v>2</v>
      </c>
      <c r="K1125" s="63" t="n">
        <v>3</v>
      </c>
      <c r="L1125" s="64" t="n">
        <v>0.666666666666667</v>
      </c>
      <c r="M1125" s="62" t="n">
        <v>0</v>
      </c>
      <c r="N1125" s="62" t="n">
        <v>1</v>
      </c>
      <c r="O1125" s="65" t="n">
        <v>28</v>
      </c>
      <c r="P1125" s="60" t="s">
        <v>463</v>
      </c>
      <c r="Q1125" s="62" t="n">
        <v>5</v>
      </c>
      <c r="R1125" s="65" t="n">
        <f aca="false">IF(CA1125=1,0,IFERROR(VLOOKUP(BY1125,'Gebinde-Kategorie'!$A$5:$N$45,13,0)+0,0))</f>
        <v>104</v>
      </c>
      <c r="S1125" s="66"/>
      <c r="T1125" s="67"/>
      <c r="U1125" s="67"/>
      <c r="V1125" s="67"/>
      <c r="W1125" s="60"/>
      <c r="X1125" s="62"/>
      <c r="Y1125" s="62"/>
      <c r="Z1125" s="60" t="n">
        <v>3</v>
      </c>
      <c r="AA1125" s="60" t="n">
        <f aca="false">IF(A1125="","",IF(AND(Parameter!$B$21="Ja",ISNUMBER(W1125)),W1125,IF(AND(Parameter!$E$27="Ja",ISNUMBER(Z1125),CD1125&lt;&gt;"Nein"),Z1125,IF(CD1125="2+3",IF(ISNUMBER(SEARCH("grosser Artikel",BV1125)),2,IFERROR(VLOOKUP(BY1125,Parameter!$F$35:$G$64,2,0),2)),IF(OR(CD1125="Nein",CD1125=""),"-",CD1125)))))</f>
        <v>3</v>
      </c>
      <c r="AB1125" s="67"/>
      <c r="AC1125" s="68"/>
      <c r="AD1125" s="62" t="n">
        <f aca="false">AW1125</f>
        <v>2</v>
      </c>
      <c r="AE1125" s="62" t="n">
        <f aca="false">MAX(AW1125,H1125)</f>
        <v>2</v>
      </c>
      <c r="AF1125" s="69"/>
      <c r="AG1125" s="62" t="n">
        <f aca="false">IF(LEFT(Cockpit!$C$5,1)="A",H1125,IF(Parameter!$E$30="MAX-Bestand",IF(CI1125=1,CJ1125,IF(LEFT(Cockpit!$C$5,1)="B",AM1125,MAX(AM1125,H1125))),ROUNDUP(AK1125,0)))</f>
        <v>2</v>
      </c>
      <c r="AH1125" s="62" t="n">
        <f aca="false">IF(CA1125=1,0,ROUNDUP(AG1125/BZ1125,0))</f>
        <v>1</v>
      </c>
      <c r="AI1125" s="64" t="n">
        <f aca="false">IF(CR1125&gt;0,CR1125*MAX(1,AG1125/X1125),IF(CA1125=1,IF(AG1125&lt;=0,0,CE1125*MAX(1,IF(H1125&gt;0,AG1125/H1125,1))),IF(R1125&gt;0,AH1125/R1125,0))/MAX(0.1,N(Parameter!$M$21)))</f>
        <v>0.00961538461538462</v>
      </c>
      <c r="AJ1125" s="62" t="n">
        <f aca="false">AI1125*CC1125</f>
        <v>1.49038461538462</v>
      </c>
      <c r="AK1125" s="63" t="n">
        <f aca="false">IF(LEFT(Cockpit!$C$5,1)="A",H1125,IF(CI1125=1,(CL1125+CJ1125)/2,IF(LEFT(Cockpit!$C$5,1)="B",(CL1125+AM1125)/2,MAX((CL1125+AM1125)/2,H1125))))</f>
        <v>2</v>
      </c>
      <c r="AL1125" s="62" t="n">
        <f aca="false">AK1125*G1125</f>
        <v>246.84</v>
      </c>
      <c r="AM1125" s="62" t="n">
        <f aca="false">ROUNDUP(CL1125+MAX(CM1125,2*(J1125/IF(CH1125&gt;0,CH1125,MAX(0.1,N(Cockpit!$C$6)))-CL1125)),0)</f>
        <v>2</v>
      </c>
      <c r="AN1125" s="63" t="n">
        <f aca="false">IF(AJ1125&gt;0,J1125/AJ1125,-1)</f>
        <v>1.34193548387097</v>
      </c>
      <c r="AO1125" s="63" t="n">
        <f aca="false">IF(AND(OR(CG1125="L1",CG1125="L23",CG1125="LIFT"),AJ1125&gt;0),SUMIFS($AJ$7:$AJ$1843,$CG$7:$CG$1843,CG1125,$AN$7:$AN$1843,"&gt;"&amp;AN1125)+SUMIFS($AJ$7:$AJ$1843,$CG$7:$CG$1843,CG1125,$AN$7:$AN$1843,AN1125,$BX$7:$BX$1843,"&lt;="&amp;BX1125),"")</f>
        <v>6350.52289377289</v>
      </c>
      <c r="AP1125" s="70" t="n">
        <f aca="false">IF(AO1125="",0,MAX(0,MIN(1,(IF(CG1125="L1",Parameter!$H$5,IF(CG1125="L23",Parameter!$H$6+Parameter!$H$7,Parameter!$H$5+Parameter!$H$6+Parameter!$H$7))-(AO1125-AJ1125))/AJ1125)))</f>
        <v>1</v>
      </c>
      <c r="AQ1125" s="62" t="n">
        <f aca="false">IF(LEFT(Cockpit!$I$5,1)="A",H1125,IF(Parameter!$E$30="MAX-Bestand",IF(CI1125=1,CJ1125,IF(LEFT(Cockpit!$I$5,1)="B",AW1125,MAX(AW1125,H1125))),ROUNDUP(AU1125,0)))</f>
        <v>2</v>
      </c>
      <c r="AR1125" s="62" t="n">
        <f aca="false">IF(CA1125=1,0,ROUNDUP(AQ1125/BZ1125,0))</f>
        <v>1</v>
      </c>
      <c r="AS1125" s="64" t="n">
        <f aca="false">IF(CR1125&gt;0,CR1125*MAX(1,AQ1125/X1125),IF(CA1125=1,IF(AQ1125&lt;=0,0,CE1125*MAX(1,IF(H1125&gt;0,AQ1125/H1125,1))),IF(R1125&gt;0,AR1125/R1125,0))/MAX(0.1,N(Parameter!$M$21)))</f>
        <v>0.00961538461538462</v>
      </c>
      <c r="AT1125" s="62" t="n">
        <f aca="false">AS1125*CC1125</f>
        <v>1.49038461538462</v>
      </c>
      <c r="AU1125" s="63" t="n">
        <f aca="false">IF(LEFT(Cockpit!$I$5,1)="A",H1125,IF(CI1125=1,(CL1125+CJ1125)/2,IF(LEFT(Cockpit!$I$5,1)="B",(CL1125+AW1125)/2,MAX((CL1125+AW1125)/2,H1125))))</f>
        <v>2</v>
      </c>
      <c r="AV1125" s="62" t="n">
        <f aca="false">AU1125*G1125</f>
        <v>246.84</v>
      </c>
      <c r="AW1125" s="62" t="n">
        <f aca="false">ROUNDUP(CL1125+MAX(CM1125,2*(J1125/IF(CH1125&gt;0,CH1125,MAX(0.1,N(Cockpit!$I$6)))-CL1125)),0)</f>
        <v>2</v>
      </c>
      <c r="AX1125" s="63" t="n">
        <f aca="false">IF(AT1125&gt;0,J1125/AT1125,-1)</f>
        <v>1.34193548387097</v>
      </c>
      <c r="AY1125" s="63" t="n">
        <f aca="false">IF(AND(OR(CG1125="L1",CG1125="L23",CG1125="LIFT"),AT1125&gt;0),SUMIFS($AT$7:$AT$1843,$CG$7:$CG$1843,CG1125,$AX$7:$AX$1843,"&gt;"&amp;AX1125)+SUMIFS($AT$7:$AT$1843,$CG$7:$CG$1843,CG1125,$AX$7:$AX$1843,AX1125,$BX$7:$BX$1843,"&lt;="&amp;BX1125),"")</f>
        <v>7877.68727106227</v>
      </c>
      <c r="AZ1125" s="70" t="n">
        <f aca="false">IF(AY1125="",0,MAX(0,MIN(1,(IF(CG1125="L1",Parameter!$H$5,IF(CG1125="L23",Parameter!$H$6+Parameter!$H$7,Parameter!$H$5+Parameter!$H$6+Parameter!$H$7))-(AY1125-AT1125))/AT1125)))</f>
        <v>1</v>
      </c>
      <c r="BA1125" s="62" t="n">
        <f aca="false">IF(LEFT(Cockpit!$O$5,1)="A",H1125,IF(Parameter!$E$30="MAX-Bestand",IF(CI1125=1,CJ1125,IF(LEFT(Cockpit!$O$5,1)="B",BG1125,MAX(BG1125,H1125))),ROUNDUP(BE1125,0)))</f>
        <v>1</v>
      </c>
      <c r="BB1125" s="62" t="n">
        <f aca="false">IF(CA1125=1,0,ROUNDUP(BA1125/BZ1125,0))</f>
        <v>1</v>
      </c>
      <c r="BC1125" s="64" t="n">
        <f aca="false">IF(CR1125&gt;0,CR1125*MAX(1,BA1125/X1125),IF(CA1125=1,IF(BA1125&lt;=0,0,CE1125*MAX(1,IF(H1125&gt;0,BA1125/H1125,1))),IF(R1125&gt;0,BB1125/R1125,0))/MAX(0.1,N(Parameter!$M$21)))</f>
        <v>0.00961538461538462</v>
      </c>
      <c r="BD1125" s="62" t="n">
        <f aca="false">BC1125*CC1125</f>
        <v>1.49038461538462</v>
      </c>
      <c r="BE1125" s="63" t="n">
        <f aca="false">IF(LEFT(Cockpit!$O$5,1)="A",H1125,IF(CI1125=1,(CL1125+CJ1125)/2,IF(LEFT(Cockpit!$O$5,1)="B",(CL1125+BG1125)/2,MAX((CL1125+BG1125)/2,H1125))))</f>
        <v>0.5</v>
      </c>
      <c r="BF1125" s="62" t="n">
        <f aca="false">BE1125*G1125</f>
        <v>61.71</v>
      </c>
      <c r="BG1125" s="62" t="n">
        <f aca="false">ROUNDUP(CL1125+MAX(CM1125,2*(J1125/IF(CH1125&gt;0,CH1125,MAX(0.1,N(Cockpit!$O$6)))-CL1125)),0)</f>
        <v>1</v>
      </c>
      <c r="BH1125" s="63" t="n">
        <f aca="false">IF(BD1125&gt;0,J1125/BD1125,-1)</f>
        <v>1.34193548387097</v>
      </c>
      <c r="BI1125" s="63" t="n">
        <f aca="false">IF(AND(OR(CG1125="L1",CG1125="L23",CG1125="LIFT"),BD1125&gt;0),SUMIFS($BD$7:$BD$1843,$CG$7:$CG$1843,CG1125,$BH$7:$BH$1843,"&gt;"&amp;BH1125)+SUMIFS($BD$7:$BD$1843,$CG$7:$CG$1843,CG1125,$BH$7:$BH$1843,BH1125,$BX$7:$BX$1843,"&lt;="&amp;BX1125),"")</f>
        <v>6814.90293040293</v>
      </c>
      <c r="BJ1125" s="70" t="n">
        <f aca="false">IF(BI1125="",0,MAX(0,MIN(1,(IF(CG1125="L1",Parameter!$H$5,IF(CG1125="L23",Parameter!$H$6+Parameter!$H$7,Parameter!$H$5+Parameter!$H$6+Parameter!$H$7))-(BI1125-BD1125))/BD1125)))</f>
        <v>1</v>
      </c>
      <c r="BK1125" s="60" t="str">
        <f aca="false">IF(AJ1125&lt;=0,"",IF(CG1125="Aussen","Aussenlager",IF(CG1125="-","Nicht im Lift",IF(AP1125&gt;=1,"Lift",IF(AP1125&lt;=0,"Aussenlager","teilweise")))))</f>
        <v>Lift</v>
      </c>
      <c r="BL1125" s="60" t="str">
        <f aca="false">IF(AT1125&lt;=0,"",IF(CG1125="Aussen","Aussenlager",IF(CG1125="-","Nicht im Lift",IF(AZ1125&gt;=1,"Lift",IF(AZ1125&lt;=0,"Aussenlager","teilweise")))))</f>
        <v>Lift</v>
      </c>
      <c r="BM1125" s="60" t="str">
        <f aca="false">IF(BD1125&lt;=0,"",IF(CG1125="Aussen","Aussenlager",IF(CG1125="-","Nicht im Lift",IF(BJ1125&gt;=1,"Lift",IF(BJ1125&lt;=0,"Aussenlager","teilweise")))))</f>
        <v>Lift</v>
      </c>
      <c r="BN1125" s="60" t="str">
        <f aca="false">IF(A1125="","",IF(BW1125=1,"Neu; ","")&amp;IF(AND(BW1125=0,BR1125&lt;0),"negativer Bestand (Export "&amp;BR1125&amp;"); ","")&amp;IF(J1125&lt;=0,"Kein Verbrauch; ","")&amp;IF(CR1125&gt;0,"Lift "&amp;W1125&amp;" lt. Liftbericht (Fach "&amp;X1125&amp;" Stk); ",IF(CB1125=1,"Gebinde geschätzt ("&amp;T1125&amp;"); ",IF(CA1125=1,"Lose – Tablare geschätzt; ","")))&amp;IF(H1125&gt;AW1125,"Überbestand "&amp;ROUND(H1125-AW1125,0)&amp;" Stk / CHF "&amp;ROUND((H1125-AW1125)*G1125,0)&amp;"; ","")&amp;IF(AND(CI1125=1,CJ1125&lt;CK1125),"MAX &lt; MB+LG; ","")&amp;IF(AND(CQ1125&gt;0,CP1125*10&gt;CQ1125),"zu hoch für Tablar; ","")&amp;IF(AND(BW1125=0,OR(CI1125=1,AB1125&lt;&gt;"",U1125&lt;&gt;"",V1125&lt;&gt;"",AC1125&lt;&gt;"")),"manuell übersteuert; ","")&amp;IF(AND(CA1125=0,R1125=0),"Gebinde unbekannt / Stellmass fehlt; ","")&amp;IF(AND(CA1125=0,N(V1125)&lt;=0,N(Q1125)&lt;=0),"Menge pro Gebinde fehlt (Ist = 1 Gebinde); ","")&amp;BV1125)</f>
        <v>negativer Bestand (Export -2); </v>
      </c>
      <c r="BO1125" s="60"/>
      <c r="BP1125" s="60"/>
      <c r="BQ1125" s="67"/>
      <c r="BR1125" s="62" t="n">
        <v>-2</v>
      </c>
      <c r="BS1125" s="62" t="n">
        <v>4</v>
      </c>
      <c r="BT1125" s="61" t="n">
        <v>-246.84</v>
      </c>
      <c r="BU1125" s="62" t="n">
        <v>2</v>
      </c>
      <c r="BV1125" s="60"/>
      <c r="BW1125" s="65" t="n">
        <v>0</v>
      </c>
      <c r="BX1125" s="65" t="n">
        <v>1125</v>
      </c>
      <c r="BY1125" s="60" t="str">
        <f aca="false">IF(U1125&lt;&gt;"",UPPER(TRIM(U1125)),IF(CB1125=1,UPPER(VLOOKUP(T1125,Parameter!$I$27:$K$29,2,0)),IF(P1125="","LOSE",P1125)))</f>
        <v>S32</v>
      </c>
      <c r="BZ1125" s="62" t="n">
        <f aca="false">IF(BY1125="LOSE",1,IF(N(V1125)&gt;0,V1125,IF(CB1125=1,MAX(1,N(VLOOKUP(T1125,Parameter!$I$27:$K$29,3,0)),H1125,N(N1125)),IF(N(Q1125)&gt;0,Q1125,MAX(1,H1125)))))</f>
        <v>5</v>
      </c>
      <c r="CA1125" s="65" t="n">
        <f aca="false">IF(BY1125="LOSE",1,0)</f>
        <v>0</v>
      </c>
      <c r="CB1125" s="65" t="n">
        <f aca="false">IF(AND(U1125="",OR(P1125="",P1125="LOSE"),T1125&lt;&gt;"",N(S1125)&lt;=0,ISNUMBER(MATCH(T1125,Parameter!$I$27:$I$29,0))),1,0)</f>
        <v>0</v>
      </c>
      <c r="CC1125" s="65" t="n">
        <f aca="false">IF(CR1125&gt;0,INDEX(Parameter!$H$5:$H$7,W1125)/INDEX(Parameter!$E$5:$E$7,W1125),IF(AND(CA1125=0,N(IFERROR(VLOOKUP(BY1125,'Gebinde-Kategorie'!$A$5:$N$45,14,0),0))&gt;0),VLOOKUP(BY1125,'Gebinde-Kategorie'!$A$5:$N$45,14,0)*10+Parameter!$M$23,Parameter!$M$24))</f>
        <v>155</v>
      </c>
      <c r="CD1125" s="60" t="str">
        <f aca="false">IF(AND(Parameter!$B$19="Ja",E1125&lt;&gt;"",ISNUMBER(MATCH(E1125,Parameter!$I$35:$I$52,0))),VLOOKUP(E1125,Parameter!$I$35:$J$52,2,0),IFERROR(VLOOKUP(D1125,Parameter!$A$35:$C$64,2,0),"Nein"))</f>
        <v>2+3</v>
      </c>
      <c r="CE1125" s="64" t="n">
        <f aca="false">IF(CA1125=0,0,IF(N(S1125)&gt;0,S1125,IFERROR(VLOOKUP(D1125,Parameter!$A$35:$C$64,3,0)+0,0)))</f>
        <v>0</v>
      </c>
      <c r="CF1125" s="60" t="n">
        <f aca="false">IF(AB1125&lt;&gt;"",AB1125,AA1125)</f>
        <v>3</v>
      </c>
      <c r="CG1125" s="60" t="str">
        <f aca="false">IF(OR(CF1125=1,CF1125=2,CF1125=3),IF(Parameter!$E$27="Ja","LIFT",IF(CF1125=1,"L1","L23")),IF(CF1125="Aussen","Aussen","-"))</f>
        <v>LIFT</v>
      </c>
      <c r="CH1125" s="71" t="n">
        <f aca="false">IF(N(AC1125)&gt;0,AC1125,0)</f>
        <v>0</v>
      </c>
      <c r="CI1125" s="65" t="n">
        <f aca="false">IF(ISNUMBER(AF1125),1,0)</f>
        <v>0</v>
      </c>
      <c r="CJ1125" s="62" t="n">
        <f aca="false">N(AF1125)</f>
        <v>0</v>
      </c>
      <c r="CK1125" s="62" t="n">
        <f aca="false">N(M1125)+N(N1125)</f>
        <v>1</v>
      </c>
      <c r="CL1125" s="62" t="n">
        <f aca="false">N(M1125)</f>
        <v>0</v>
      </c>
      <c r="CM1125" s="62" t="n">
        <f aca="false">N(N1125)</f>
        <v>1</v>
      </c>
      <c r="CN1125" s="62" t="n">
        <f aca="false">ROUNDUP(H1125/BZ1125,0)</f>
        <v>1</v>
      </c>
      <c r="CO1125" s="62" t="n">
        <f aca="false">ROUNDUP(CJ1125/BZ1125,0)</f>
        <v>0</v>
      </c>
      <c r="CP1125" s="65" t="n">
        <f aca="false">IF(CA1125=1,0,IFERROR(VLOOKUP(BY1125,'Gebinde-Kategorie'!$A$5:$N$45,5,0)+0,0))</f>
        <v>8</v>
      </c>
      <c r="CQ1125" s="65" t="n">
        <f aca="false">IFERROR(IF(OR(CF1125=1,CF1125=2,CF1125=3),N(INDEX(Parameter!$I$5:$I$7,CF1125)),0),0)</f>
        <v>0</v>
      </c>
      <c r="CR1125" s="64" t="n">
        <f aca="false">IF(AND(Parameter!$B$21="Ja",ISNUMBER(W1125),N(X1125)&gt;0),IFERROR(N(INDEX(Parameter!$L$5:$L$7,W1125))*INDEX(Parameter!$E$5:$E$7,W1125)*X1125/SUMIFS($X$7:$X$1843,$W$7:$W$1843,W1125),0),0)</f>
        <v>0</v>
      </c>
      <c r="CS1125" s="62" t="n">
        <f aca="false">IF(AND(OR(CG1125="L1",CG1125="L23",CG1125="LIFT"),H1125&gt;0),CC1125*IF(CR1125&gt;0,CR1125*MAX(1,H1125/X1125),IF(CA1125=1,CE1125,IF(R1125&gt;0,CN1125/R1125,0))/MAX(0.1,N(Parameter!$M$21))),"")</f>
        <v>1.49038461538462</v>
      </c>
      <c r="CT1125" s="64" t="n">
        <f aca="false">IF(CS1125="","",J1125/H1125)</f>
        <v>1</v>
      </c>
      <c r="CU1125" s="62" t="n">
        <f aca="false">IF(CS1125="","",H1125*G1125)</f>
        <v>246.84</v>
      </c>
      <c r="CV1125" s="63" t="n">
        <f aca="false">IF(CS1125="","",(CL1125+ROUNDUP(CL1125+MAX(CM1125,2*(J1125/MAX(0.1,N(Einkauf!$C$6))-CL1125)),0))/2)</f>
        <v>0.5</v>
      </c>
      <c r="CW1125" s="62" t="n">
        <f aca="false">IF(CS1125="","",MAX(0,H1125-CV1125)*G1125)</f>
        <v>185.13</v>
      </c>
      <c r="CX1125" s="62" t="n">
        <f aca="false">IF(CS1125="","",CS1125*MAX(0,1-CV1125/H1125))</f>
        <v>1.11778846153846</v>
      </c>
      <c r="CY1125" s="64" t="n">
        <f aca="false">IF(CS1125="","",PERCENTRANK($CS$7:$CS$1843,CS1125)+PERCENTRANK($CU$7:$CU$1843,CU1125)+1-PERCENTRANK($CT$7:$CT$1843,CT1125))</f>
        <v>0.858</v>
      </c>
      <c r="CZ1125" s="72" t="n">
        <f aca="false">IF(CS1125="","",CHOOSE(MATCH(Einkauf!$C$5,Parameter!$G$23:$G$27,0),CY1125,CS1125,CU1125,-CT1125,CW1125)+ROW()/1000000000)</f>
        <v>0.858001125</v>
      </c>
    </row>
    <row r="1126" customFormat="false" ht="15" hidden="false" customHeight="false" outlineLevel="0" collapsed="false">
      <c r="A1126" s="60" t="s">
        <v>2082</v>
      </c>
      <c r="B1126" s="60" t="s">
        <v>2083</v>
      </c>
      <c r="C1126" s="60" t="s">
        <v>206</v>
      </c>
      <c r="D1126" s="60" t="s">
        <v>226</v>
      </c>
      <c r="E1126" s="60" t="s">
        <v>227</v>
      </c>
      <c r="F1126" s="60" t="s">
        <v>260</v>
      </c>
      <c r="G1126" s="61" t="n">
        <v>82.88</v>
      </c>
      <c r="H1126" s="62" t="n">
        <f aca="false">MAX(0,IF(AND(Parameter!$B$21="Ja",ISNUMBER(Y1126)),Y1126,IF(Parameter!$B$20="Jahresanfang 2025 + Export",BS1126+BR1126,BR1126)))</f>
        <v>14</v>
      </c>
      <c r="I1126" s="62" t="n">
        <f aca="false">H1126*G1126</f>
        <v>1160.32</v>
      </c>
      <c r="J1126" s="62" t="n">
        <f aca="false">BU1126*Parameter!$B$18</f>
        <v>0</v>
      </c>
      <c r="K1126" s="63" t="n">
        <v>17</v>
      </c>
      <c r="L1126" s="64" t="n">
        <v>0</v>
      </c>
      <c r="M1126" s="62" t="n">
        <v>0</v>
      </c>
      <c r="N1126" s="62" t="n">
        <v>1</v>
      </c>
      <c r="O1126" s="65" t="n">
        <v>28</v>
      </c>
      <c r="P1126" s="60" t="s">
        <v>463</v>
      </c>
      <c r="Q1126" s="62" t="n">
        <v>18</v>
      </c>
      <c r="R1126" s="65" t="n">
        <f aca="false">IF(CA1126=1,0,IFERROR(VLOOKUP(BY1126,'Gebinde-Kategorie'!$A$5:$N$45,13,0)+0,0))</f>
        <v>104</v>
      </c>
      <c r="S1126" s="66"/>
      <c r="T1126" s="67"/>
      <c r="U1126" s="67"/>
      <c r="V1126" s="67"/>
      <c r="W1126" s="60"/>
      <c r="X1126" s="62"/>
      <c r="Y1126" s="62"/>
      <c r="Z1126" s="60" t="n">
        <v>3</v>
      </c>
      <c r="AA1126" s="60" t="n">
        <f aca="false">IF(A1126="","",IF(AND(Parameter!$B$21="Ja",ISNUMBER(W1126)),W1126,IF(AND(Parameter!$E$27="Ja",ISNUMBER(Z1126),CD1126&lt;&gt;"Nein"),Z1126,IF(CD1126="2+3",IF(ISNUMBER(SEARCH("grosser Artikel",BV1126)),2,IFERROR(VLOOKUP(BY1126,Parameter!$F$35:$G$64,2,0),2)),IF(OR(CD1126="Nein",CD1126=""),"-",CD1126)))))</f>
        <v>3</v>
      </c>
      <c r="AB1126" s="67"/>
      <c r="AC1126" s="68"/>
      <c r="AD1126" s="62" t="n">
        <f aca="false">AW1126</f>
        <v>1</v>
      </c>
      <c r="AE1126" s="62" t="n">
        <f aca="false">MAX(AW1126,H1126)</f>
        <v>14</v>
      </c>
      <c r="AF1126" s="69"/>
      <c r="AG1126" s="62" t="n">
        <f aca="false">IF(LEFT(Cockpit!$C$5,1)="A",H1126,IF(Parameter!$E$30="MAX-Bestand",IF(CI1126=1,CJ1126,IF(LEFT(Cockpit!$C$5,1)="B",AM1126,MAX(AM1126,H1126))),ROUNDUP(AK1126,0)))</f>
        <v>14</v>
      </c>
      <c r="AH1126" s="62" t="n">
        <f aca="false">IF(CA1126=1,0,ROUNDUP(AG1126/BZ1126,0))</f>
        <v>1</v>
      </c>
      <c r="AI1126" s="64" t="n">
        <f aca="false">IF(CR1126&gt;0,CR1126*MAX(1,AG1126/X1126),IF(CA1126=1,IF(AG1126&lt;=0,0,CE1126*MAX(1,IF(H1126&gt;0,AG1126/H1126,1))),IF(R1126&gt;0,AH1126/R1126,0))/MAX(0.1,N(Parameter!$M$21)))</f>
        <v>0.00961538461538462</v>
      </c>
      <c r="AJ1126" s="62" t="n">
        <f aca="false">AI1126*CC1126</f>
        <v>1.49038461538462</v>
      </c>
      <c r="AK1126" s="63" t="n">
        <f aca="false">IF(LEFT(Cockpit!$C$5,1)="A",H1126,IF(CI1126=1,(CL1126+CJ1126)/2,IF(LEFT(Cockpit!$C$5,1)="B",(CL1126+AM1126)/2,MAX((CL1126+AM1126)/2,H1126))))</f>
        <v>14</v>
      </c>
      <c r="AL1126" s="62" t="n">
        <f aca="false">AK1126*G1126</f>
        <v>1160.32</v>
      </c>
      <c r="AM1126" s="62" t="n">
        <f aca="false">ROUNDUP(CL1126+MAX(CM1126,2*(J1126/IF(CH1126&gt;0,CH1126,MAX(0.1,N(Cockpit!$C$6)))-CL1126)),0)</f>
        <v>1</v>
      </c>
      <c r="AN1126" s="63" t="n">
        <f aca="false">IF(AJ1126&gt;0,J1126/AJ1126,-1)</f>
        <v>0</v>
      </c>
      <c r="AO1126" s="63" t="n">
        <f aca="false">IF(AND(OR(CG1126="L1",CG1126="L23",CG1126="LIFT"),AJ1126&gt;0),SUMIFS($AJ$7:$AJ$1843,$CG$7:$CG$1843,CG1126,$AN$7:$AN$1843,"&gt;"&amp;AN1126)+SUMIFS($AJ$7:$AJ$1843,$CG$7:$CG$1843,CG1126,$AN$7:$AN$1843,AN1126,$BX$7:$BX$1843,"&lt;="&amp;BX1126),"")</f>
        <v>29143.4378970841</v>
      </c>
      <c r="AP1126" s="70" t="n">
        <f aca="false">IF(AO1126="",0,MAX(0,MIN(1,(IF(CG1126="L1",Parameter!$H$5,IF(CG1126="L23",Parameter!$H$6+Parameter!$H$7,Parameter!$H$5+Parameter!$H$6+Parameter!$H$7))-(AO1126-AJ1126))/AJ1126)))</f>
        <v>1</v>
      </c>
      <c r="AQ1126" s="62" t="n">
        <f aca="false">IF(LEFT(Cockpit!$I$5,1)="A",H1126,IF(Parameter!$E$30="MAX-Bestand",IF(CI1126=1,CJ1126,IF(LEFT(Cockpit!$I$5,1)="B",AW1126,MAX(AW1126,H1126))),ROUNDUP(AU1126,0)))</f>
        <v>14</v>
      </c>
      <c r="AR1126" s="62" t="n">
        <f aca="false">IF(CA1126=1,0,ROUNDUP(AQ1126/BZ1126,0))</f>
        <v>1</v>
      </c>
      <c r="AS1126" s="64" t="n">
        <f aca="false">IF(CR1126&gt;0,CR1126*MAX(1,AQ1126/X1126),IF(CA1126=1,IF(AQ1126&lt;=0,0,CE1126*MAX(1,IF(H1126&gt;0,AQ1126/H1126,1))),IF(R1126&gt;0,AR1126/R1126,0))/MAX(0.1,N(Parameter!$M$21)))</f>
        <v>0.00961538461538462</v>
      </c>
      <c r="AT1126" s="62" t="n">
        <f aca="false">AS1126*CC1126</f>
        <v>1.49038461538462</v>
      </c>
      <c r="AU1126" s="63" t="n">
        <f aca="false">IF(LEFT(Cockpit!$I$5,1)="A",H1126,IF(CI1126=1,(CL1126+CJ1126)/2,IF(LEFT(Cockpit!$I$5,1)="B",(CL1126+AW1126)/2,MAX((CL1126+AW1126)/2,H1126))))</f>
        <v>14</v>
      </c>
      <c r="AV1126" s="62" t="n">
        <f aca="false">AU1126*G1126</f>
        <v>1160.32</v>
      </c>
      <c r="AW1126" s="62" t="n">
        <f aca="false">ROUNDUP(CL1126+MAX(CM1126,2*(J1126/IF(CH1126&gt;0,CH1126,MAX(0.1,N(Cockpit!$I$6)))-CL1126)),0)</f>
        <v>1</v>
      </c>
      <c r="AX1126" s="63" t="n">
        <f aca="false">IF(AT1126&gt;0,J1126/AT1126,-1)</f>
        <v>0</v>
      </c>
      <c r="AY1126" s="63" t="n">
        <f aca="false">IF(AND(OR(CG1126="L1",CG1126="L23",CG1126="LIFT"),AT1126&gt;0),SUMIFS($AT$7:$AT$1843,$CG$7:$CG$1843,CG1126,$AX$7:$AX$1843,"&gt;"&amp;AX1126)+SUMIFS($AT$7:$AT$1843,$CG$7:$CG$1843,CG1126,$AX$7:$AX$1843,AX1126,$BX$7:$BX$1843,"&lt;="&amp;BX1126),"")</f>
        <v>34922.4445970696</v>
      </c>
      <c r="AZ1126" s="70" t="n">
        <f aca="false">IF(AY1126="",0,MAX(0,MIN(1,(IF(CG1126="L1",Parameter!$H$5,IF(CG1126="L23",Parameter!$H$6+Parameter!$H$7,Parameter!$H$5+Parameter!$H$6+Parameter!$H$7))-(AY1126-AT1126))/AT1126)))</f>
        <v>1</v>
      </c>
      <c r="BA1126" s="62" t="n">
        <f aca="false">IF(LEFT(Cockpit!$O$5,1)="A",H1126,IF(Parameter!$E$30="MAX-Bestand",IF(CI1126=1,CJ1126,IF(LEFT(Cockpit!$O$5,1)="B",BG1126,MAX(BG1126,H1126))),ROUNDUP(BE1126,0)))</f>
        <v>1</v>
      </c>
      <c r="BB1126" s="62" t="n">
        <f aca="false">IF(CA1126=1,0,ROUNDUP(BA1126/BZ1126,0))</f>
        <v>1</v>
      </c>
      <c r="BC1126" s="64" t="n">
        <f aca="false">IF(CR1126&gt;0,CR1126*MAX(1,BA1126/X1126),IF(CA1126=1,IF(BA1126&lt;=0,0,CE1126*MAX(1,IF(H1126&gt;0,BA1126/H1126,1))),IF(R1126&gt;0,BB1126/R1126,0))/MAX(0.1,N(Parameter!$M$21)))</f>
        <v>0.00961538461538462</v>
      </c>
      <c r="BD1126" s="62" t="n">
        <f aca="false">BC1126*CC1126</f>
        <v>1.49038461538462</v>
      </c>
      <c r="BE1126" s="63" t="n">
        <f aca="false">IF(LEFT(Cockpit!$O$5,1)="A",H1126,IF(CI1126=1,(CL1126+CJ1126)/2,IF(LEFT(Cockpit!$O$5,1)="B",(CL1126+BG1126)/2,MAX((CL1126+BG1126)/2,H1126))))</f>
        <v>0.5</v>
      </c>
      <c r="BF1126" s="62" t="n">
        <f aca="false">BE1126*G1126</f>
        <v>41.44</v>
      </c>
      <c r="BG1126" s="62" t="n">
        <f aca="false">ROUNDUP(CL1126+MAX(CM1126,2*(J1126/IF(CH1126&gt;0,CH1126,MAX(0.1,N(Cockpit!$O$6)))-CL1126)),0)</f>
        <v>1</v>
      </c>
      <c r="BH1126" s="63" t="n">
        <f aca="false">IF(BD1126&gt;0,J1126/BD1126,-1)</f>
        <v>0</v>
      </c>
      <c r="BI1126" s="63" t="n">
        <f aca="false">IF(AND(OR(CG1126="L1",CG1126="L23",CG1126="LIFT"),BD1126&gt;0),SUMIFS($BD$7:$BD$1843,$CG$7:$CG$1843,CG1126,$BH$7:$BH$1843,"&gt;"&amp;BH1126)+SUMIFS($BD$7:$BD$1843,$CG$7:$CG$1843,CG1126,$BH$7:$BH$1843,BH1126,$BX$7:$BX$1843,"&lt;="&amp;BX1126),"")</f>
        <v>28907.7512572174</v>
      </c>
      <c r="BJ1126" s="70" t="n">
        <f aca="false">IF(BI1126="",0,MAX(0,MIN(1,(IF(CG1126="L1",Parameter!$H$5,IF(CG1126="L23",Parameter!$H$6+Parameter!$H$7,Parameter!$H$5+Parameter!$H$6+Parameter!$H$7))-(BI1126-BD1126))/BD1126)))</f>
        <v>1</v>
      </c>
      <c r="BK1126" s="60" t="str">
        <f aca="false">IF(AJ1126&lt;=0,"",IF(CG1126="Aussen","Aussenlager",IF(CG1126="-","Nicht im Lift",IF(AP1126&gt;=1,"Lift",IF(AP1126&lt;=0,"Aussenlager","teilweise")))))</f>
        <v>Lift</v>
      </c>
      <c r="BL1126" s="60" t="str">
        <f aca="false">IF(AT1126&lt;=0,"",IF(CG1126="Aussen","Aussenlager",IF(CG1126="-","Nicht im Lift",IF(AZ1126&gt;=1,"Lift",IF(AZ1126&lt;=0,"Aussenlager","teilweise")))))</f>
        <v>Lift</v>
      </c>
      <c r="BM1126" s="60" t="str">
        <f aca="false">IF(BD1126&lt;=0,"",IF(CG1126="Aussen","Aussenlager",IF(CG1126="-","Nicht im Lift",IF(BJ1126&gt;=1,"Lift",IF(BJ1126&lt;=0,"Aussenlager","teilweise")))))</f>
        <v>Lift</v>
      </c>
      <c r="BN1126" s="60" t="str">
        <f aca="false">IF(A1126="","",IF(BW1126=1,"Neu; ","")&amp;IF(AND(BW1126=0,BR1126&lt;0),"negativer Bestand (Export "&amp;BR1126&amp;"); ","")&amp;IF(J1126&lt;=0,"Kein Verbrauch; ","")&amp;IF(CR1126&gt;0,"Lift "&amp;W1126&amp;" lt. Liftbericht (Fach "&amp;X1126&amp;" Stk); ",IF(CB1126=1,"Gebinde geschätzt ("&amp;T1126&amp;"); ",IF(CA1126=1,"Lose – Tablare geschätzt; ","")))&amp;IF(H1126&gt;AW1126,"Überbestand "&amp;ROUND(H1126-AW1126,0)&amp;" Stk / CHF "&amp;ROUND((H1126-AW1126)*G1126,0)&amp;"; ","")&amp;IF(AND(CI1126=1,CJ1126&lt;CK1126),"MAX &lt; MB+LG; ","")&amp;IF(AND(CQ1126&gt;0,CP1126*10&gt;CQ1126),"zu hoch für Tablar; ","")&amp;IF(AND(BW1126=0,OR(CI1126=1,AB1126&lt;&gt;"",U1126&lt;&gt;"",V1126&lt;&gt;"",AC1126&lt;&gt;"")),"manuell übersteuert; ","")&amp;IF(AND(CA1126=0,R1126=0),"Gebinde unbekannt / Stellmass fehlt; ","")&amp;IF(AND(CA1126=0,N(V1126)&lt;=0,N(Q1126)&lt;=0),"Menge pro Gebinde fehlt (Ist = 1 Gebinde); ","")&amp;BV1126)</f>
        <v>negativer Bestand (Export -3); Kein Verbrauch; Überbestand 13 Stk / CHF 1077; </v>
      </c>
      <c r="BO1126" s="60"/>
      <c r="BP1126" s="60"/>
      <c r="BQ1126" s="67"/>
      <c r="BR1126" s="62" t="n">
        <v>-3</v>
      </c>
      <c r="BS1126" s="62" t="n">
        <v>17</v>
      </c>
      <c r="BT1126" s="61" t="n">
        <v>-248.64</v>
      </c>
      <c r="BU1126" s="62" t="n">
        <v>0</v>
      </c>
      <c r="BV1126" s="60"/>
      <c r="BW1126" s="65" t="n">
        <v>0</v>
      </c>
      <c r="BX1126" s="65" t="n">
        <v>1126</v>
      </c>
      <c r="BY1126" s="60" t="str">
        <f aca="false">IF(U1126&lt;&gt;"",UPPER(TRIM(U1126)),IF(CB1126=1,UPPER(VLOOKUP(T1126,Parameter!$I$27:$K$29,2,0)),IF(P1126="","LOSE",P1126)))</f>
        <v>S32</v>
      </c>
      <c r="BZ1126" s="62" t="n">
        <f aca="false">IF(BY1126="LOSE",1,IF(N(V1126)&gt;0,V1126,IF(CB1126=1,MAX(1,N(VLOOKUP(T1126,Parameter!$I$27:$K$29,3,0)),H1126,N(N1126)),IF(N(Q1126)&gt;0,Q1126,MAX(1,H1126)))))</f>
        <v>18</v>
      </c>
      <c r="CA1126" s="65" t="n">
        <f aca="false">IF(BY1126="LOSE",1,0)</f>
        <v>0</v>
      </c>
      <c r="CB1126" s="65" t="n">
        <f aca="false">IF(AND(U1126="",OR(P1126="",P1126="LOSE"),T1126&lt;&gt;"",N(S1126)&lt;=0,ISNUMBER(MATCH(T1126,Parameter!$I$27:$I$29,0))),1,0)</f>
        <v>0</v>
      </c>
      <c r="CC1126" s="65" t="n">
        <f aca="false">IF(CR1126&gt;0,INDEX(Parameter!$H$5:$H$7,W1126)/INDEX(Parameter!$E$5:$E$7,W1126),IF(AND(CA1126=0,N(IFERROR(VLOOKUP(BY1126,'Gebinde-Kategorie'!$A$5:$N$45,14,0),0))&gt;0),VLOOKUP(BY1126,'Gebinde-Kategorie'!$A$5:$N$45,14,0)*10+Parameter!$M$23,Parameter!$M$24))</f>
        <v>155</v>
      </c>
      <c r="CD1126" s="60" t="str">
        <f aca="false">IF(AND(Parameter!$B$19="Ja",E1126&lt;&gt;"",ISNUMBER(MATCH(E1126,Parameter!$I$35:$I$52,0))),VLOOKUP(E1126,Parameter!$I$35:$J$52,2,0),IFERROR(VLOOKUP(D1126,Parameter!$A$35:$C$64,2,0),"Nein"))</f>
        <v>2+3</v>
      </c>
      <c r="CE1126" s="64" t="n">
        <f aca="false">IF(CA1126=0,0,IF(N(S1126)&gt;0,S1126,IFERROR(VLOOKUP(D1126,Parameter!$A$35:$C$64,3,0)+0,0)))</f>
        <v>0</v>
      </c>
      <c r="CF1126" s="60" t="n">
        <f aca="false">IF(AB1126&lt;&gt;"",AB1126,AA1126)</f>
        <v>3</v>
      </c>
      <c r="CG1126" s="60" t="str">
        <f aca="false">IF(OR(CF1126=1,CF1126=2,CF1126=3),IF(Parameter!$E$27="Ja","LIFT",IF(CF1126=1,"L1","L23")),IF(CF1126="Aussen","Aussen","-"))</f>
        <v>LIFT</v>
      </c>
      <c r="CH1126" s="71" t="n">
        <f aca="false">IF(N(AC1126)&gt;0,AC1126,0)</f>
        <v>0</v>
      </c>
      <c r="CI1126" s="65" t="n">
        <f aca="false">IF(ISNUMBER(AF1126),1,0)</f>
        <v>0</v>
      </c>
      <c r="CJ1126" s="62" t="n">
        <f aca="false">N(AF1126)</f>
        <v>0</v>
      </c>
      <c r="CK1126" s="62" t="n">
        <f aca="false">N(M1126)+N(N1126)</f>
        <v>1</v>
      </c>
      <c r="CL1126" s="62" t="n">
        <f aca="false">N(M1126)</f>
        <v>0</v>
      </c>
      <c r="CM1126" s="62" t="n">
        <f aca="false">N(N1126)</f>
        <v>1</v>
      </c>
      <c r="CN1126" s="62" t="n">
        <f aca="false">ROUNDUP(H1126/BZ1126,0)</f>
        <v>1</v>
      </c>
      <c r="CO1126" s="62" t="n">
        <f aca="false">ROUNDUP(CJ1126/BZ1126,0)</f>
        <v>0</v>
      </c>
      <c r="CP1126" s="65" t="n">
        <f aca="false">IF(CA1126=1,0,IFERROR(VLOOKUP(BY1126,'Gebinde-Kategorie'!$A$5:$N$45,5,0)+0,0))</f>
        <v>8</v>
      </c>
      <c r="CQ1126" s="65" t="n">
        <f aca="false">IFERROR(IF(OR(CF1126=1,CF1126=2,CF1126=3),N(INDEX(Parameter!$I$5:$I$7,CF1126)),0),0)</f>
        <v>0</v>
      </c>
      <c r="CR1126" s="64" t="n">
        <f aca="false">IF(AND(Parameter!$B$21="Ja",ISNUMBER(W1126),N(X1126)&gt;0),IFERROR(N(INDEX(Parameter!$L$5:$L$7,W1126))*INDEX(Parameter!$E$5:$E$7,W1126)*X1126/SUMIFS($X$7:$X$1843,$W$7:$W$1843,W1126),0),0)</f>
        <v>0</v>
      </c>
      <c r="CS1126" s="62" t="n">
        <f aca="false">IF(AND(OR(CG1126="L1",CG1126="L23",CG1126="LIFT"),H1126&gt;0),CC1126*IF(CR1126&gt;0,CR1126*MAX(1,H1126/X1126),IF(CA1126=1,CE1126,IF(R1126&gt;0,CN1126/R1126,0))/MAX(0.1,N(Parameter!$M$21))),"")</f>
        <v>1.49038461538462</v>
      </c>
      <c r="CT1126" s="64" t="n">
        <f aca="false">IF(CS1126="","",J1126/H1126)</f>
        <v>0</v>
      </c>
      <c r="CU1126" s="62" t="n">
        <f aca="false">IF(CS1126="","",H1126*G1126)</f>
        <v>1160.32</v>
      </c>
      <c r="CV1126" s="63" t="n">
        <f aca="false">IF(CS1126="","",(CL1126+ROUNDUP(CL1126+MAX(CM1126,2*(J1126/MAX(0.1,N(Einkauf!$C$6))-CL1126)),0))/2)</f>
        <v>0.5</v>
      </c>
      <c r="CW1126" s="62" t="n">
        <f aca="false">IF(CS1126="","",MAX(0,H1126-CV1126)*G1126)</f>
        <v>1118.88</v>
      </c>
      <c r="CX1126" s="62" t="n">
        <f aca="false">IF(CS1126="","",CS1126*MAX(0,1-CV1126/H1126))</f>
        <v>1.43715659340659</v>
      </c>
      <c r="CY1126" s="64" t="n">
        <f aca="false">IF(CS1126="","",PERCENTRANK($CS$7:$CS$1843,CS1126)+PERCENTRANK($CU$7:$CU$1843,CU1126)+1-PERCENTRANK($CT$7:$CT$1843,CT1126))</f>
        <v>1.794</v>
      </c>
      <c r="CZ1126" s="72" t="n">
        <f aca="false">IF(CS1126="","",CHOOSE(MATCH(Einkauf!$C$5,Parameter!$G$23:$G$27,0),CY1126,CS1126,CU1126,-CT1126,CW1126)+ROW()/1000000000)</f>
        <v>1.794001126</v>
      </c>
    </row>
    <row r="1127" customFormat="false" ht="15" hidden="false" customHeight="false" outlineLevel="0" collapsed="false">
      <c r="A1127" s="60" t="s">
        <v>2084</v>
      </c>
      <c r="B1127" s="60" t="s">
        <v>791</v>
      </c>
      <c r="C1127" s="60" t="s">
        <v>206</v>
      </c>
      <c r="D1127" s="60" t="s">
        <v>226</v>
      </c>
      <c r="E1127" s="60"/>
      <c r="F1127" s="60" t="s">
        <v>260</v>
      </c>
      <c r="G1127" s="61" t="n">
        <v>64.13</v>
      </c>
      <c r="H1127" s="62" t="n">
        <f aca="false">MAX(0,IF(AND(Parameter!$B$21="Ja",ISNUMBER(Y1127)),Y1127,IF(Parameter!$B$20="Jahresanfang 2025 + Export",BS1127+BR1127,BR1127)))</f>
        <v>6</v>
      </c>
      <c r="I1127" s="62" t="n">
        <f aca="false">H1127*G1127</f>
        <v>384.78</v>
      </c>
      <c r="J1127" s="62" t="n">
        <f aca="false">BU1127*Parameter!$B$18</f>
        <v>7</v>
      </c>
      <c r="K1127" s="63" t="n">
        <v>11.5</v>
      </c>
      <c r="L1127" s="64" t="n">
        <v>0.608695652173913</v>
      </c>
      <c r="M1127" s="62" t="n">
        <v>0</v>
      </c>
      <c r="N1127" s="62" t="n">
        <v>5</v>
      </c>
      <c r="O1127" s="65" t="n">
        <v>35</v>
      </c>
      <c r="P1127" s="60" t="s">
        <v>463</v>
      </c>
      <c r="Q1127" s="62" t="n">
        <v>12</v>
      </c>
      <c r="R1127" s="65" t="n">
        <f aca="false">IF(CA1127=1,0,IFERROR(VLOOKUP(BY1127,'Gebinde-Kategorie'!$A$5:$N$45,13,0)+0,0))</f>
        <v>104</v>
      </c>
      <c r="S1127" s="66"/>
      <c r="T1127" s="67"/>
      <c r="U1127" s="67"/>
      <c r="V1127" s="67"/>
      <c r="W1127" s="60"/>
      <c r="X1127" s="62"/>
      <c r="Y1127" s="62"/>
      <c r="Z1127" s="60" t="n">
        <v>3</v>
      </c>
      <c r="AA1127" s="60" t="n">
        <f aca="false">IF(A1127="","",IF(AND(Parameter!$B$21="Ja",ISNUMBER(W1127)),W1127,IF(AND(Parameter!$E$27="Ja",ISNUMBER(Z1127),CD1127&lt;&gt;"Nein"),Z1127,IF(CD1127="2+3",IF(ISNUMBER(SEARCH("grosser Artikel",BV1127)),2,IFERROR(VLOOKUP(BY1127,Parameter!$F$35:$G$64,2,0),2)),IF(OR(CD1127="Nein",CD1127=""),"-",CD1127)))))</f>
        <v>3</v>
      </c>
      <c r="AB1127" s="67"/>
      <c r="AC1127" s="68"/>
      <c r="AD1127" s="62" t="n">
        <f aca="false">AW1127</f>
        <v>5</v>
      </c>
      <c r="AE1127" s="62" t="n">
        <f aca="false">MAX(AW1127,H1127)</f>
        <v>6</v>
      </c>
      <c r="AF1127" s="69"/>
      <c r="AG1127" s="62" t="n">
        <f aca="false">IF(LEFT(Cockpit!$C$5,1)="A",H1127,IF(Parameter!$E$30="MAX-Bestand",IF(CI1127=1,CJ1127,IF(LEFT(Cockpit!$C$5,1)="B",AM1127,MAX(AM1127,H1127))),ROUNDUP(AK1127,0)))</f>
        <v>6</v>
      </c>
      <c r="AH1127" s="62" t="n">
        <f aca="false">IF(CA1127=1,0,ROUNDUP(AG1127/BZ1127,0))</f>
        <v>1</v>
      </c>
      <c r="AI1127" s="64" t="n">
        <f aca="false">IF(CR1127&gt;0,CR1127*MAX(1,AG1127/X1127),IF(CA1127=1,IF(AG1127&lt;=0,0,CE1127*MAX(1,IF(H1127&gt;0,AG1127/H1127,1))),IF(R1127&gt;0,AH1127/R1127,0))/MAX(0.1,N(Parameter!$M$21)))</f>
        <v>0.00961538461538462</v>
      </c>
      <c r="AJ1127" s="62" t="n">
        <f aca="false">AI1127*CC1127</f>
        <v>1.49038461538462</v>
      </c>
      <c r="AK1127" s="63" t="n">
        <f aca="false">IF(LEFT(Cockpit!$C$5,1)="A",H1127,IF(CI1127=1,(CL1127+CJ1127)/2,IF(LEFT(Cockpit!$C$5,1)="B",(CL1127+AM1127)/2,MAX((CL1127+AM1127)/2,H1127))))</f>
        <v>6</v>
      </c>
      <c r="AL1127" s="62" t="n">
        <f aca="false">AK1127*G1127</f>
        <v>384.78</v>
      </c>
      <c r="AM1127" s="62" t="n">
        <f aca="false">ROUNDUP(CL1127+MAX(CM1127,2*(J1127/IF(CH1127&gt;0,CH1127,MAX(0.1,N(Cockpit!$C$6)))-CL1127)),0)</f>
        <v>5</v>
      </c>
      <c r="AN1127" s="63" t="n">
        <f aca="false">IF(AJ1127&gt;0,J1127/AJ1127,-1)</f>
        <v>4.69677419354839</v>
      </c>
      <c r="AO1127" s="63" t="n">
        <f aca="false">IF(AND(OR(CG1127="L1",CG1127="L23",CG1127="LIFT"),AJ1127&gt;0),SUMIFS($AJ$7:$AJ$1843,$CG$7:$CG$1843,CG1127,$AN$7:$AN$1843,"&gt;"&amp;AN1127)+SUMIFS($AJ$7:$AJ$1843,$CG$7:$CG$1843,CG1127,$AN$7:$AN$1843,AN1127,$BX$7:$BX$1843,"&lt;="&amp;BX1127),"")</f>
        <v>4120.46657509158</v>
      </c>
      <c r="AP1127" s="70" t="n">
        <f aca="false">IF(AO1127="",0,MAX(0,MIN(1,(IF(CG1127="L1",Parameter!$H$5,IF(CG1127="L23",Parameter!$H$6+Parameter!$H$7,Parameter!$H$5+Parameter!$H$6+Parameter!$H$7))-(AO1127-AJ1127))/AJ1127)))</f>
        <v>1</v>
      </c>
      <c r="AQ1127" s="62" t="n">
        <f aca="false">IF(LEFT(Cockpit!$I$5,1)="A",H1127,IF(Parameter!$E$30="MAX-Bestand",IF(CI1127=1,CJ1127,IF(LEFT(Cockpit!$I$5,1)="B",AW1127,MAX(AW1127,H1127))),ROUNDUP(AU1127,0)))</f>
        <v>6</v>
      </c>
      <c r="AR1127" s="62" t="n">
        <f aca="false">IF(CA1127=1,0,ROUNDUP(AQ1127/BZ1127,0))</f>
        <v>1</v>
      </c>
      <c r="AS1127" s="64" t="n">
        <f aca="false">IF(CR1127&gt;0,CR1127*MAX(1,AQ1127/X1127),IF(CA1127=1,IF(AQ1127&lt;=0,0,CE1127*MAX(1,IF(H1127&gt;0,AQ1127/H1127,1))),IF(R1127&gt;0,AR1127/R1127,0))/MAX(0.1,N(Parameter!$M$21)))</f>
        <v>0.00961538461538462</v>
      </c>
      <c r="AT1127" s="62" t="n">
        <f aca="false">AS1127*CC1127</f>
        <v>1.49038461538462</v>
      </c>
      <c r="AU1127" s="63" t="n">
        <f aca="false">IF(LEFT(Cockpit!$I$5,1)="A",H1127,IF(CI1127=1,(CL1127+CJ1127)/2,IF(LEFT(Cockpit!$I$5,1)="B",(CL1127+AW1127)/2,MAX((CL1127+AW1127)/2,H1127))))</f>
        <v>6</v>
      </c>
      <c r="AV1127" s="62" t="n">
        <f aca="false">AU1127*G1127</f>
        <v>384.78</v>
      </c>
      <c r="AW1127" s="62" t="n">
        <f aca="false">ROUNDUP(CL1127+MAX(CM1127,2*(J1127/IF(CH1127&gt;0,CH1127,MAX(0.1,N(Cockpit!$I$6)))-CL1127)),0)</f>
        <v>5</v>
      </c>
      <c r="AX1127" s="63" t="n">
        <f aca="false">IF(AT1127&gt;0,J1127/AT1127,-1)</f>
        <v>4.69677419354839</v>
      </c>
      <c r="AY1127" s="63" t="n">
        <f aca="false">IF(AND(OR(CG1127="L1",CG1127="L23",CG1127="LIFT"),AT1127&gt;0),SUMIFS($AT$7:$AT$1843,$CG$7:$CG$1843,CG1127,$AX$7:$AX$1843,"&gt;"&amp;AX1127)+SUMIFS($AT$7:$AT$1843,$CG$7:$CG$1843,CG1127,$AX$7:$AX$1843,AX1127,$BX$7:$BX$1843,"&lt;="&amp;BX1127),"")</f>
        <v>4716.70741758242</v>
      </c>
      <c r="AZ1127" s="70" t="n">
        <f aca="false">IF(AY1127="",0,MAX(0,MIN(1,(IF(CG1127="L1",Parameter!$H$5,IF(CG1127="L23",Parameter!$H$6+Parameter!$H$7,Parameter!$H$5+Parameter!$H$6+Parameter!$H$7))-(AY1127-AT1127))/AT1127)))</f>
        <v>1</v>
      </c>
      <c r="BA1127" s="62" t="n">
        <f aca="false">IF(LEFT(Cockpit!$O$5,1)="A",H1127,IF(Parameter!$E$30="MAX-Bestand",IF(CI1127=1,CJ1127,IF(LEFT(Cockpit!$O$5,1)="B",BG1127,MAX(BG1127,H1127))),ROUNDUP(BE1127,0)))</f>
        <v>3</v>
      </c>
      <c r="BB1127" s="62" t="n">
        <f aca="false">IF(CA1127=1,0,ROUNDUP(BA1127/BZ1127,0))</f>
        <v>1</v>
      </c>
      <c r="BC1127" s="64" t="n">
        <f aca="false">IF(CR1127&gt;0,CR1127*MAX(1,BA1127/X1127),IF(CA1127=1,IF(BA1127&lt;=0,0,CE1127*MAX(1,IF(H1127&gt;0,BA1127/H1127,1))),IF(R1127&gt;0,BB1127/R1127,0))/MAX(0.1,N(Parameter!$M$21)))</f>
        <v>0.00961538461538462</v>
      </c>
      <c r="BD1127" s="62" t="n">
        <f aca="false">BC1127*CC1127</f>
        <v>1.49038461538462</v>
      </c>
      <c r="BE1127" s="63" t="n">
        <f aca="false">IF(LEFT(Cockpit!$O$5,1)="A",H1127,IF(CI1127=1,(CL1127+CJ1127)/2,IF(LEFT(Cockpit!$O$5,1)="B",(CL1127+BG1127)/2,MAX((CL1127+BG1127)/2,H1127))))</f>
        <v>2.5</v>
      </c>
      <c r="BF1127" s="62" t="n">
        <f aca="false">BE1127*G1127</f>
        <v>160.325</v>
      </c>
      <c r="BG1127" s="62" t="n">
        <f aca="false">ROUNDUP(CL1127+MAX(CM1127,2*(J1127/IF(CH1127&gt;0,CH1127,MAX(0.1,N(Cockpit!$O$6)))-CL1127)),0)</f>
        <v>5</v>
      </c>
      <c r="BH1127" s="63" t="n">
        <f aca="false">IF(BD1127&gt;0,J1127/BD1127,-1)</f>
        <v>4.69677419354839</v>
      </c>
      <c r="BI1127" s="63" t="n">
        <f aca="false">IF(AND(OR(CG1127="L1",CG1127="L23",CG1127="LIFT"),BD1127&gt;0),SUMIFS($BD$7:$BD$1843,$CG$7:$CG$1843,CG1127,$BH$7:$BH$1843,"&gt;"&amp;BH1127)+SUMIFS($BD$7:$BD$1843,$CG$7:$CG$1843,CG1127,$BH$7:$BH$1843,BH1127,$BX$7:$BX$1843,"&lt;="&amp;BX1127),"")</f>
        <v>3884.39010989011</v>
      </c>
      <c r="BJ1127" s="70" t="n">
        <f aca="false">IF(BI1127="",0,MAX(0,MIN(1,(IF(CG1127="L1",Parameter!$H$5,IF(CG1127="L23",Parameter!$H$6+Parameter!$H$7,Parameter!$H$5+Parameter!$H$6+Parameter!$H$7))-(BI1127-BD1127))/BD1127)))</f>
        <v>1</v>
      </c>
      <c r="BK1127" s="60" t="str">
        <f aca="false">IF(AJ1127&lt;=0,"",IF(CG1127="Aussen","Aussenlager",IF(CG1127="-","Nicht im Lift",IF(AP1127&gt;=1,"Lift",IF(AP1127&lt;=0,"Aussenlager","teilweise")))))</f>
        <v>Lift</v>
      </c>
      <c r="BL1127" s="60" t="str">
        <f aca="false">IF(AT1127&lt;=0,"",IF(CG1127="Aussen","Aussenlager",IF(CG1127="-","Nicht im Lift",IF(AZ1127&gt;=1,"Lift",IF(AZ1127&lt;=0,"Aussenlager","teilweise")))))</f>
        <v>Lift</v>
      </c>
      <c r="BM1127" s="60" t="str">
        <f aca="false">IF(BD1127&lt;=0,"",IF(CG1127="Aussen","Aussenlager",IF(CG1127="-","Nicht im Lift",IF(BJ1127&gt;=1,"Lift",IF(BJ1127&lt;=0,"Aussenlager","teilweise")))))</f>
        <v>Lift</v>
      </c>
      <c r="BN1127" s="60" t="str">
        <f aca="false">IF(A1127="","",IF(BW1127=1,"Neu; ","")&amp;IF(AND(BW1127=0,BR1127&lt;0),"negativer Bestand (Export "&amp;BR1127&amp;"); ","")&amp;IF(J1127&lt;=0,"Kein Verbrauch; ","")&amp;IF(CR1127&gt;0,"Lift "&amp;W1127&amp;" lt. Liftbericht (Fach "&amp;X1127&amp;" Stk); ",IF(CB1127=1,"Gebinde geschätzt ("&amp;T1127&amp;"); ",IF(CA1127=1,"Lose – Tablare geschätzt; ","")))&amp;IF(H1127&gt;AW1127,"Überbestand "&amp;ROUND(H1127-AW1127,0)&amp;" Stk / CHF "&amp;ROUND((H1127-AW1127)*G1127,0)&amp;"; ","")&amp;IF(AND(CI1127=1,CJ1127&lt;CK1127),"MAX &lt; MB+LG; ","")&amp;IF(AND(CQ1127&gt;0,CP1127*10&gt;CQ1127),"zu hoch für Tablar; ","")&amp;IF(AND(BW1127=0,OR(CI1127=1,AB1127&lt;&gt;"",U1127&lt;&gt;"",V1127&lt;&gt;"",AC1127&lt;&gt;"")),"manuell übersteuert; ","")&amp;IF(AND(CA1127=0,R1127=0),"Gebinde unbekannt / Stellmass fehlt; ","")&amp;IF(AND(CA1127=0,N(V1127)&lt;=0,N(Q1127)&lt;=0),"Menge pro Gebinde fehlt (Ist = 1 Gebinde); ","")&amp;BV1127)</f>
        <v>negativer Bestand (Export -4); Überbestand 1 Stk / CHF 64; </v>
      </c>
      <c r="BO1127" s="60"/>
      <c r="BP1127" s="60"/>
      <c r="BQ1127" s="67"/>
      <c r="BR1127" s="62" t="n">
        <v>-4</v>
      </c>
      <c r="BS1127" s="62" t="n">
        <v>10</v>
      </c>
      <c r="BT1127" s="61" t="n">
        <v>-249.82</v>
      </c>
      <c r="BU1127" s="62" t="n">
        <v>7</v>
      </c>
      <c r="BV1127" s="60"/>
      <c r="BW1127" s="65" t="n">
        <v>0</v>
      </c>
      <c r="BX1127" s="65" t="n">
        <v>1127</v>
      </c>
      <c r="BY1127" s="60" t="str">
        <f aca="false">IF(U1127&lt;&gt;"",UPPER(TRIM(U1127)),IF(CB1127=1,UPPER(VLOOKUP(T1127,Parameter!$I$27:$K$29,2,0)),IF(P1127="","LOSE",P1127)))</f>
        <v>S32</v>
      </c>
      <c r="BZ1127" s="62" t="n">
        <f aca="false">IF(BY1127="LOSE",1,IF(N(V1127)&gt;0,V1127,IF(CB1127=1,MAX(1,N(VLOOKUP(T1127,Parameter!$I$27:$K$29,3,0)),H1127,N(N1127)),IF(N(Q1127)&gt;0,Q1127,MAX(1,H1127)))))</f>
        <v>12</v>
      </c>
      <c r="CA1127" s="65" t="n">
        <f aca="false">IF(BY1127="LOSE",1,0)</f>
        <v>0</v>
      </c>
      <c r="CB1127" s="65" t="n">
        <f aca="false">IF(AND(U1127="",OR(P1127="",P1127="LOSE"),T1127&lt;&gt;"",N(S1127)&lt;=0,ISNUMBER(MATCH(T1127,Parameter!$I$27:$I$29,0))),1,0)</f>
        <v>0</v>
      </c>
      <c r="CC1127" s="65" t="n">
        <f aca="false">IF(CR1127&gt;0,INDEX(Parameter!$H$5:$H$7,W1127)/INDEX(Parameter!$E$5:$E$7,W1127),IF(AND(CA1127=0,N(IFERROR(VLOOKUP(BY1127,'Gebinde-Kategorie'!$A$5:$N$45,14,0),0))&gt;0),VLOOKUP(BY1127,'Gebinde-Kategorie'!$A$5:$N$45,14,0)*10+Parameter!$M$23,Parameter!$M$24))</f>
        <v>155</v>
      </c>
      <c r="CD1127" s="60" t="str">
        <f aca="false">IF(AND(Parameter!$B$19="Ja",E1127&lt;&gt;"",ISNUMBER(MATCH(E1127,Parameter!$I$35:$I$52,0))),VLOOKUP(E1127,Parameter!$I$35:$J$52,2,0),IFERROR(VLOOKUP(D1127,Parameter!$A$35:$C$64,2,0),"Nein"))</f>
        <v>2+3</v>
      </c>
      <c r="CE1127" s="64" t="n">
        <f aca="false">IF(CA1127=0,0,IF(N(S1127)&gt;0,S1127,IFERROR(VLOOKUP(D1127,Parameter!$A$35:$C$64,3,0)+0,0)))</f>
        <v>0</v>
      </c>
      <c r="CF1127" s="60" t="n">
        <f aca="false">IF(AB1127&lt;&gt;"",AB1127,AA1127)</f>
        <v>3</v>
      </c>
      <c r="CG1127" s="60" t="str">
        <f aca="false">IF(OR(CF1127=1,CF1127=2,CF1127=3),IF(Parameter!$E$27="Ja","LIFT",IF(CF1127=1,"L1","L23")),IF(CF1127="Aussen","Aussen","-"))</f>
        <v>LIFT</v>
      </c>
      <c r="CH1127" s="71" t="n">
        <f aca="false">IF(N(AC1127)&gt;0,AC1127,0)</f>
        <v>0</v>
      </c>
      <c r="CI1127" s="65" t="n">
        <f aca="false">IF(ISNUMBER(AF1127),1,0)</f>
        <v>0</v>
      </c>
      <c r="CJ1127" s="62" t="n">
        <f aca="false">N(AF1127)</f>
        <v>0</v>
      </c>
      <c r="CK1127" s="62" t="n">
        <f aca="false">N(M1127)+N(N1127)</f>
        <v>5</v>
      </c>
      <c r="CL1127" s="62" t="n">
        <f aca="false">N(M1127)</f>
        <v>0</v>
      </c>
      <c r="CM1127" s="62" t="n">
        <f aca="false">N(N1127)</f>
        <v>5</v>
      </c>
      <c r="CN1127" s="62" t="n">
        <f aca="false">ROUNDUP(H1127/BZ1127,0)</f>
        <v>1</v>
      </c>
      <c r="CO1127" s="62" t="n">
        <f aca="false">ROUNDUP(CJ1127/BZ1127,0)</f>
        <v>0</v>
      </c>
      <c r="CP1127" s="65" t="n">
        <f aca="false">IF(CA1127=1,0,IFERROR(VLOOKUP(BY1127,'Gebinde-Kategorie'!$A$5:$N$45,5,0)+0,0))</f>
        <v>8</v>
      </c>
      <c r="CQ1127" s="65" t="n">
        <f aca="false">IFERROR(IF(OR(CF1127=1,CF1127=2,CF1127=3),N(INDEX(Parameter!$I$5:$I$7,CF1127)),0),0)</f>
        <v>0</v>
      </c>
      <c r="CR1127" s="64" t="n">
        <f aca="false">IF(AND(Parameter!$B$21="Ja",ISNUMBER(W1127),N(X1127)&gt;0),IFERROR(N(INDEX(Parameter!$L$5:$L$7,W1127))*INDEX(Parameter!$E$5:$E$7,W1127)*X1127/SUMIFS($X$7:$X$1843,$W$7:$W$1843,W1127),0),0)</f>
        <v>0</v>
      </c>
      <c r="CS1127" s="62" t="n">
        <f aca="false">IF(AND(OR(CG1127="L1",CG1127="L23",CG1127="LIFT"),H1127&gt;0),CC1127*IF(CR1127&gt;0,CR1127*MAX(1,H1127/X1127),IF(CA1127=1,CE1127,IF(R1127&gt;0,CN1127/R1127,0))/MAX(0.1,N(Parameter!$M$21))),"")</f>
        <v>1.49038461538462</v>
      </c>
      <c r="CT1127" s="64" t="n">
        <f aca="false">IF(CS1127="","",J1127/H1127)</f>
        <v>1.16666666666667</v>
      </c>
      <c r="CU1127" s="62" t="n">
        <f aca="false">IF(CS1127="","",H1127*G1127)</f>
        <v>384.78</v>
      </c>
      <c r="CV1127" s="63" t="n">
        <f aca="false">IF(CS1127="","",(CL1127+ROUNDUP(CL1127+MAX(CM1127,2*(J1127/MAX(0.1,N(Einkauf!$C$6))-CL1127)),0))/2)</f>
        <v>2.5</v>
      </c>
      <c r="CW1127" s="62" t="n">
        <f aca="false">IF(CS1127="","",MAX(0,H1127-CV1127)*G1127)</f>
        <v>224.455</v>
      </c>
      <c r="CX1127" s="62" t="n">
        <f aca="false">IF(CS1127="","",CS1127*MAX(0,1-CV1127/H1127))</f>
        <v>0.869391025641026</v>
      </c>
      <c r="CY1127" s="64" t="n">
        <f aca="false">IF(CS1127="","",PERCENTRANK($CS$7:$CS$1843,CS1127)+PERCENTRANK($CU$7:$CU$1843,CU1127)+1-PERCENTRANK($CT$7:$CT$1843,CT1127))</f>
        <v>0.881</v>
      </c>
      <c r="CZ1127" s="72" t="n">
        <f aca="false">IF(CS1127="","",CHOOSE(MATCH(Einkauf!$C$5,Parameter!$G$23:$G$27,0),CY1127,CS1127,CU1127,-CT1127,CW1127)+ROW()/1000000000)</f>
        <v>0.881001127</v>
      </c>
    </row>
    <row r="1128" customFormat="false" ht="15" hidden="false" customHeight="false" outlineLevel="0" collapsed="false">
      <c r="A1128" s="60" t="s">
        <v>2085</v>
      </c>
      <c r="B1128" s="60" t="s">
        <v>473</v>
      </c>
      <c r="C1128" s="60" t="s">
        <v>206</v>
      </c>
      <c r="D1128" s="60" t="s">
        <v>226</v>
      </c>
      <c r="E1128" s="60" t="s">
        <v>227</v>
      </c>
      <c r="F1128" s="60" t="s">
        <v>260</v>
      </c>
      <c r="G1128" s="61" t="n">
        <v>63.5</v>
      </c>
      <c r="H1128" s="62" t="n">
        <f aca="false">MAX(0,IF(AND(Parameter!$B$21="Ja",ISNUMBER(Y1128)),Y1128,IF(Parameter!$B$20="Jahresanfang 2025 + Export",BS1128+BR1128,BR1128)))</f>
        <v>42</v>
      </c>
      <c r="I1128" s="62" t="n">
        <f aca="false">H1128*G1128</f>
        <v>2667</v>
      </c>
      <c r="J1128" s="62" t="n">
        <f aca="false">BU1128*Parameter!$B$18</f>
        <v>0</v>
      </c>
      <c r="K1128" s="63" t="n">
        <v>46</v>
      </c>
      <c r="L1128" s="64" t="n">
        <v>0</v>
      </c>
      <c r="M1128" s="62" t="n">
        <v>0</v>
      </c>
      <c r="N1128" s="62" t="n">
        <v>1</v>
      </c>
      <c r="O1128" s="65" t="n">
        <v>70</v>
      </c>
      <c r="P1128" s="60" t="s">
        <v>275</v>
      </c>
      <c r="Q1128" s="62" t="n">
        <v>45</v>
      </c>
      <c r="R1128" s="65" t="n">
        <f aca="false">IF(CA1128=1,0,IFERROR(VLOOKUP(BY1128,'Gebinde-Kategorie'!$A$5:$N$45,13,0)+0,0))</f>
        <v>26</v>
      </c>
      <c r="S1128" s="66"/>
      <c r="T1128" s="67"/>
      <c r="U1128" s="67"/>
      <c r="V1128" s="67"/>
      <c r="W1128" s="60"/>
      <c r="X1128" s="62"/>
      <c r="Y1128" s="62"/>
      <c r="Z1128" s="60" t="n">
        <v>3</v>
      </c>
      <c r="AA1128" s="60" t="n">
        <f aca="false">IF(A1128="","",IF(AND(Parameter!$B$21="Ja",ISNUMBER(W1128)),W1128,IF(AND(Parameter!$E$27="Ja",ISNUMBER(Z1128),CD1128&lt;&gt;"Nein"),Z1128,IF(CD1128="2+3",IF(ISNUMBER(SEARCH("grosser Artikel",BV1128)),2,IFERROR(VLOOKUP(BY1128,Parameter!$F$35:$G$64,2,0),2)),IF(OR(CD1128="Nein",CD1128=""),"-",CD1128)))))</f>
        <v>3</v>
      </c>
      <c r="AB1128" s="67"/>
      <c r="AC1128" s="68"/>
      <c r="AD1128" s="62" t="n">
        <f aca="false">AW1128</f>
        <v>1</v>
      </c>
      <c r="AE1128" s="62" t="n">
        <f aca="false">MAX(AW1128,H1128)</f>
        <v>42</v>
      </c>
      <c r="AF1128" s="69"/>
      <c r="AG1128" s="62" t="n">
        <f aca="false">IF(LEFT(Cockpit!$C$5,1)="A",H1128,IF(Parameter!$E$30="MAX-Bestand",IF(CI1128=1,CJ1128,IF(LEFT(Cockpit!$C$5,1)="B",AM1128,MAX(AM1128,H1128))),ROUNDUP(AK1128,0)))</f>
        <v>42</v>
      </c>
      <c r="AH1128" s="62" t="n">
        <f aca="false">IF(CA1128=1,0,ROUNDUP(AG1128/BZ1128,0))</f>
        <v>1</v>
      </c>
      <c r="AI1128" s="64" t="n">
        <f aca="false">IF(CR1128&gt;0,CR1128*MAX(1,AG1128/X1128),IF(CA1128=1,IF(AG1128&lt;=0,0,CE1128*MAX(1,IF(H1128&gt;0,AG1128/H1128,1))),IF(R1128&gt;0,AH1128/R1128,0))/MAX(0.1,N(Parameter!$M$21)))</f>
        <v>0.0384615384615385</v>
      </c>
      <c r="AJ1128" s="62" t="n">
        <f aca="false">AI1128*CC1128</f>
        <v>9.42307692307692</v>
      </c>
      <c r="AK1128" s="63" t="n">
        <f aca="false">IF(LEFT(Cockpit!$C$5,1)="A",H1128,IF(CI1128=1,(CL1128+CJ1128)/2,IF(LEFT(Cockpit!$C$5,1)="B",(CL1128+AM1128)/2,MAX((CL1128+AM1128)/2,H1128))))</f>
        <v>42</v>
      </c>
      <c r="AL1128" s="62" t="n">
        <f aca="false">AK1128*G1128</f>
        <v>2667</v>
      </c>
      <c r="AM1128" s="62" t="n">
        <f aca="false">ROUNDUP(CL1128+MAX(CM1128,2*(J1128/IF(CH1128&gt;0,CH1128,MAX(0.1,N(Cockpit!$C$6)))-CL1128)),0)</f>
        <v>1</v>
      </c>
      <c r="AN1128" s="63" t="n">
        <f aca="false">IF(AJ1128&gt;0,J1128/AJ1128,-1)</f>
        <v>0</v>
      </c>
      <c r="AO1128" s="63" t="n">
        <f aca="false">IF(AND(OR(CG1128="L1",CG1128="L23",CG1128="LIFT"),AJ1128&gt;0),SUMIFS($AJ$7:$AJ$1843,$CG$7:$CG$1843,CG1128,$AN$7:$AN$1843,"&gt;"&amp;AN1128)+SUMIFS($AJ$7:$AJ$1843,$CG$7:$CG$1843,CG1128,$AN$7:$AN$1843,AN1128,$BX$7:$BX$1843,"&lt;="&amp;BX1128),"")</f>
        <v>29152.8609740072</v>
      </c>
      <c r="AP1128" s="70" t="n">
        <f aca="false">IF(AO1128="",0,MAX(0,MIN(1,(IF(CG1128="L1",Parameter!$H$5,IF(CG1128="L23",Parameter!$H$6+Parameter!$H$7,Parameter!$H$5+Parameter!$H$6+Parameter!$H$7))-(AO1128-AJ1128))/AJ1128)))</f>
        <v>1</v>
      </c>
      <c r="AQ1128" s="62" t="n">
        <f aca="false">IF(LEFT(Cockpit!$I$5,1)="A",H1128,IF(Parameter!$E$30="MAX-Bestand",IF(CI1128=1,CJ1128,IF(LEFT(Cockpit!$I$5,1)="B",AW1128,MAX(AW1128,H1128))),ROUNDUP(AU1128,0)))</f>
        <v>42</v>
      </c>
      <c r="AR1128" s="62" t="n">
        <f aca="false">IF(CA1128=1,0,ROUNDUP(AQ1128/BZ1128,0))</f>
        <v>1</v>
      </c>
      <c r="AS1128" s="64" t="n">
        <f aca="false">IF(CR1128&gt;0,CR1128*MAX(1,AQ1128/X1128),IF(CA1128=1,IF(AQ1128&lt;=0,0,CE1128*MAX(1,IF(H1128&gt;0,AQ1128/H1128,1))),IF(R1128&gt;0,AR1128/R1128,0))/MAX(0.1,N(Parameter!$M$21)))</f>
        <v>0.0384615384615385</v>
      </c>
      <c r="AT1128" s="62" t="n">
        <f aca="false">AS1128*CC1128</f>
        <v>9.42307692307692</v>
      </c>
      <c r="AU1128" s="63" t="n">
        <f aca="false">IF(LEFT(Cockpit!$I$5,1)="A",H1128,IF(CI1128=1,(CL1128+CJ1128)/2,IF(LEFT(Cockpit!$I$5,1)="B",(CL1128+AW1128)/2,MAX((CL1128+AW1128)/2,H1128))))</f>
        <v>42</v>
      </c>
      <c r="AV1128" s="62" t="n">
        <f aca="false">AU1128*G1128</f>
        <v>2667</v>
      </c>
      <c r="AW1128" s="62" t="n">
        <f aca="false">ROUNDUP(CL1128+MAX(CM1128,2*(J1128/IF(CH1128&gt;0,CH1128,MAX(0.1,N(Cockpit!$I$6)))-CL1128)),0)</f>
        <v>1</v>
      </c>
      <c r="AX1128" s="63" t="n">
        <f aca="false">IF(AT1128&gt;0,J1128/AT1128,-1)</f>
        <v>0</v>
      </c>
      <c r="AY1128" s="63" t="n">
        <f aca="false">IF(AND(OR(CG1128="L1",CG1128="L23",CG1128="LIFT"),AT1128&gt;0),SUMIFS($AT$7:$AT$1843,$CG$7:$CG$1843,CG1128,$AX$7:$AX$1843,"&gt;"&amp;AX1128)+SUMIFS($AT$7:$AT$1843,$CG$7:$CG$1843,CG1128,$AX$7:$AX$1843,AX1128,$BX$7:$BX$1843,"&lt;="&amp;BX1128),"")</f>
        <v>34931.8676739927</v>
      </c>
      <c r="AZ1128" s="70" t="n">
        <f aca="false">IF(AY1128="",0,MAX(0,MIN(1,(IF(CG1128="L1",Parameter!$H$5,IF(CG1128="L23",Parameter!$H$6+Parameter!$H$7,Parameter!$H$5+Parameter!$H$6+Parameter!$H$7))-(AY1128-AT1128))/AT1128)))</f>
        <v>1</v>
      </c>
      <c r="BA1128" s="62" t="n">
        <f aca="false">IF(LEFT(Cockpit!$O$5,1)="A",H1128,IF(Parameter!$E$30="MAX-Bestand",IF(CI1128=1,CJ1128,IF(LEFT(Cockpit!$O$5,1)="B",BG1128,MAX(BG1128,H1128))),ROUNDUP(BE1128,0)))</f>
        <v>1</v>
      </c>
      <c r="BB1128" s="62" t="n">
        <f aca="false">IF(CA1128=1,0,ROUNDUP(BA1128/BZ1128,0))</f>
        <v>1</v>
      </c>
      <c r="BC1128" s="64" t="n">
        <f aca="false">IF(CR1128&gt;0,CR1128*MAX(1,BA1128/X1128),IF(CA1128=1,IF(BA1128&lt;=0,0,CE1128*MAX(1,IF(H1128&gt;0,BA1128/H1128,1))),IF(R1128&gt;0,BB1128/R1128,0))/MAX(0.1,N(Parameter!$M$21)))</f>
        <v>0.0384615384615385</v>
      </c>
      <c r="BD1128" s="62" t="n">
        <f aca="false">BC1128*CC1128</f>
        <v>9.42307692307692</v>
      </c>
      <c r="BE1128" s="63" t="n">
        <f aca="false">IF(LEFT(Cockpit!$O$5,1)="A",H1128,IF(CI1128=1,(CL1128+CJ1128)/2,IF(LEFT(Cockpit!$O$5,1)="B",(CL1128+BG1128)/2,MAX((CL1128+BG1128)/2,H1128))))</f>
        <v>0.5</v>
      </c>
      <c r="BF1128" s="62" t="n">
        <f aca="false">BE1128*G1128</f>
        <v>31.75</v>
      </c>
      <c r="BG1128" s="62" t="n">
        <f aca="false">ROUNDUP(CL1128+MAX(CM1128,2*(J1128/IF(CH1128&gt;0,CH1128,MAX(0.1,N(Cockpit!$O$6)))-CL1128)),0)</f>
        <v>1</v>
      </c>
      <c r="BH1128" s="63" t="n">
        <f aca="false">IF(BD1128&gt;0,J1128/BD1128,-1)</f>
        <v>0</v>
      </c>
      <c r="BI1128" s="63" t="n">
        <f aca="false">IF(AND(OR(CG1128="L1",CG1128="L23",CG1128="LIFT"),BD1128&gt;0),SUMIFS($BD$7:$BD$1843,$CG$7:$CG$1843,CG1128,$BH$7:$BH$1843,"&gt;"&amp;BH1128)+SUMIFS($BD$7:$BD$1843,$CG$7:$CG$1843,CG1128,$BH$7:$BH$1843,BH1128,$BX$7:$BX$1843,"&lt;="&amp;BX1128),"")</f>
        <v>28917.1743341404</v>
      </c>
      <c r="BJ1128" s="70" t="n">
        <f aca="false">IF(BI1128="",0,MAX(0,MIN(1,(IF(CG1128="L1",Parameter!$H$5,IF(CG1128="L23",Parameter!$H$6+Parameter!$H$7,Parameter!$H$5+Parameter!$H$6+Parameter!$H$7))-(BI1128-BD1128))/BD1128)))</f>
        <v>1</v>
      </c>
      <c r="BK1128" s="60" t="str">
        <f aca="false">IF(AJ1128&lt;=0,"",IF(CG1128="Aussen","Aussenlager",IF(CG1128="-","Nicht im Lift",IF(AP1128&gt;=1,"Lift",IF(AP1128&lt;=0,"Aussenlager","teilweise")))))</f>
        <v>Lift</v>
      </c>
      <c r="BL1128" s="60" t="str">
        <f aca="false">IF(AT1128&lt;=0,"",IF(CG1128="Aussen","Aussenlager",IF(CG1128="-","Nicht im Lift",IF(AZ1128&gt;=1,"Lift",IF(AZ1128&lt;=0,"Aussenlager","teilweise")))))</f>
        <v>Lift</v>
      </c>
      <c r="BM1128" s="60" t="str">
        <f aca="false">IF(BD1128&lt;=0,"",IF(CG1128="Aussen","Aussenlager",IF(CG1128="-","Nicht im Lift",IF(BJ1128&gt;=1,"Lift",IF(BJ1128&lt;=0,"Aussenlager","teilweise")))))</f>
        <v>Lift</v>
      </c>
      <c r="BN1128" s="60" t="str">
        <f aca="false">IF(A1128="","",IF(BW1128=1,"Neu; ","")&amp;IF(AND(BW1128=0,BR1128&lt;0),"negativer Bestand (Export "&amp;BR1128&amp;"); ","")&amp;IF(J1128&lt;=0,"Kein Verbrauch; ","")&amp;IF(CR1128&gt;0,"Lift "&amp;W1128&amp;" lt. Liftbericht (Fach "&amp;X1128&amp;" Stk); ",IF(CB1128=1,"Gebinde geschätzt ("&amp;T1128&amp;"); ",IF(CA1128=1,"Lose – Tablare geschätzt; ","")))&amp;IF(H1128&gt;AW1128,"Überbestand "&amp;ROUND(H1128-AW1128,0)&amp;" Stk / CHF "&amp;ROUND((H1128-AW1128)*G1128,0)&amp;"; ","")&amp;IF(AND(CI1128=1,CJ1128&lt;CK1128),"MAX &lt; MB+LG; ","")&amp;IF(AND(CQ1128&gt;0,CP1128*10&gt;CQ1128),"zu hoch für Tablar; ","")&amp;IF(AND(BW1128=0,OR(CI1128=1,AB1128&lt;&gt;"",U1128&lt;&gt;"",V1128&lt;&gt;"",AC1128&lt;&gt;"")),"manuell übersteuert; ","")&amp;IF(AND(CA1128=0,R1128=0),"Gebinde unbekannt / Stellmass fehlt; ","")&amp;IF(AND(CA1128=0,N(V1128)&lt;=0,N(Q1128)&lt;=0),"Menge pro Gebinde fehlt (Ist = 1 Gebinde); ","")&amp;BV1128)</f>
        <v>negativer Bestand (Export -4); Kein Verbrauch; Überbestand 41 Stk / CHF 2604; </v>
      </c>
      <c r="BO1128" s="60"/>
      <c r="BP1128" s="60"/>
      <c r="BQ1128" s="67"/>
      <c r="BR1128" s="62" t="n">
        <v>-4</v>
      </c>
      <c r="BS1128" s="62" t="n">
        <v>46</v>
      </c>
      <c r="BT1128" s="61" t="n">
        <v>-254</v>
      </c>
      <c r="BU1128" s="62" t="n">
        <v>0</v>
      </c>
      <c r="BV1128" s="60"/>
      <c r="BW1128" s="65" t="n">
        <v>0</v>
      </c>
      <c r="BX1128" s="65" t="n">
        <v>1128</v>
      </c>
      <c r="BY1128" s="60" t="str">
        <f aca="false">IF(U1128&lt;&gt;"",UPPER(TRIM(U1128)),IF(CB1128=1,UPPER(VLOOKUP(T1128,Parameter!$I$27:$K$29,2,0)),IF(P1128="","LOSE",P1128)))</f>
        <v>S52</v>
      </c>
      <c r="BZ1128" s="62" t="n">
        <f aca="false">IF(BY1128="LOSE",1,IF(N(V1128)&gt;0,V1128,IF(CB1128=1,MAX(1,N(VLOOKUP(T1128,Parameter!$I$27:$K$29,3,0)),H1128,N(N1128)),IF(N(Q1128)&gt;0,Q1128,MAX(1,H1128)))))</f>
        <v>45</v>
      </c>
      <c r="CA1128" s="65" t="n">
        <f aca="false">IF(BY1128="LOSE",1,0)</f>
        <v>0</v>
      </c>
      <c r="CB1128" s="65" t="n">
        <f aca="false">IF(AND(U1128="",OR(P1128="",P1128="LOSE"),T1128&lt;&gt;"",N(S1128)&lt;=0,ISNUMBER(MATCH(T1128,Parameter!$I$27:$I$29,0))),1,0)</f>
        <v>0</v>
      </c>
      <c r="CC1128" s="65" t="n">
        <f aca="false">IF(CR1128&gt;0,INDEX(Parameter!$H$5:$H$7,W1128)/INDEX(Parameter!$E$5:$E$7,W1128),IF(AND(CA1128=0,N(IFERROR(VLOOKUP(BY1128,'Gebinde-Kategorie'!$A$5:$N$45,14,0),0))&gt;0),VLOOKUP(BY1128,'Gebinde-Kategorie'!$A$5:$N$45,14,0)*10+Parameter!$M$23,Parameter!$M$24))</f>
        <v>245</v>
      </c>
      <c r="CD1128" s="60" t="str">
        <f aca="false">IF(AND(Parameter!$B$19="Ja",E1128&lt;&gt;"",ISNUMBER(MATCH(E1128,Parameter!$I$35:$I$52,0))),VLOOKUP(E1128,Parameter!$I$35:$J$52,2,0),IFERROR(VLOOKUP(D1128,Parameter!$A$35:$C$64,2,0),"Nein"))</f>
        <v>2+3</v>
      </c>
      <c r="CE1128" s="64" t="n">
        <f aca="false">IF(CA1128=0,0,IF(N(S1128)&gt;0,S1128,IFERROR(VLOOKUP(D1128,Parameter!$A$35:$C$64,3,0)+0,0)))</f>
        <v>0</v>
      </c>
      <c r="CF1128" s="60" t="n">
        <f aca="false">IF(AB1128&lt;&gt;"",AB1128,AA1128)</f>
        <v>3</v>
      </c>
      <c r="CG1128" s="60" t="str">
        <f aca="false">IF(OR(CF1128=1,CF1128=2,CF1128=3),IF(Parameter!$E$27="Ja","LIFT",IF(CF1128=1,"L1","L23")),IF(CF1128="Aussen","Aussen","-"))</f>
        <v>LIFT</v>
      </c>
      <c r="CH1128" s="71" t="n">
        <f aca="false">IF(N(AC1128)&gt;0,AC1128,0)</f>
        <v>0</v>
      </c>
      <c r="CI1128" s="65" t="n">
        <f aca="false">IF(ISNUMBER(AF1128),1,0)</f>
        <v>0</v>
      </c>
      <c r="CJ1128" s="62" t="n">
        <f aca="false">N(AF1128)</f>
        <v>0</v>
      </c>
      <c r="CK1128" s="62" t="n">
        <f aca="false">N(M1128)+N(N1128)</f>
        <v>1</v>
      </c>
      <c r="CL1128" s="62" t="n">
        <f aca="false">N(M1128)</f>
        <v>0</v>
      </c>
      <c r="CM1128" s="62" t="n">
        <f aca="false">N(N1128)</f>
        <v>1</v>
      </c>
      <c r="CN1128" s="62" t="n">
        <f aca="false">ROUNDUP(H1128/BZ1128,0)</f>
        <v>1</v>
      </c>
      <c r="CO1128" s="62" t="n">
        <f aca="false">ROUNDUP(CJ1128/BZ1128,0)</f>
        <v>0</v>
      </c>
      <c r="CP1128" s="65" t="n">
        <f aca="false">IF(CA1128=1,0,IFERROR(VLOOKUP(BY1128,'Gebinde-Kategorie'!$A$5:$N$45,5,0)+0,0))</f>
        <v>21</v>
      </c>
      <c r="CQ1128" s="65" t="n">
        <f aca="false">IFERROR(IF(OR(CF1128=1,CF1128=2,CF1128=3),N(INDEX(Parameter!$I$5:$I$7,CF1128)),0),0)</f>
        <v>0</v>
      </c>
      <c r="CR1128" s="64" t="n">
        <f aca="false">IF(AND(Parameter!$B$21="Ja",ISNUMBER(W1128),N(X1128)&gt;0),IFERROR(N(INDEX(Parameter!$L$5:$L$7,W1128))*INDEX(Parameter!$E$5:$E$7,W1128)*X1128/SUMIFS($X$7:$X$1843,$W$7:$W$1843,W1128),0),0)</f>
        <v>0</v>
      </c>
      <c r="CS1128" s="62" t="n">
        <f aca="false">IF(AND(OR(CG1128="L1",CG1128="L23",CG1128="LIFT"),H1128&gt;0),CC1128*IF(CR1128&gt;0,CR1128*MAX(1,H1128/X1128),IF(CA1128=1,CE1128,IF(R1128&gt;0,CN1128/R1128,0))/MAX(0.1,N(Parameter!$M$21))),"")</f>
        <v>9.42307692307692</v>
      </c>
      <c r="CT1128" s="64" t="n">
        <f aca="false">IF(CS1128="","",J1128/H1128)</f>
        <v>0</v>
      </c>
      <c r="CU1128" s="62" t="n">
        <f aca="false">IF(CS1128="","",H1128*G1128)</f>
        <v>2667</v>
      </c>
      <c r="CV1128" s="63" t="n">
        <f aca="false">IF(CS1128="","",(CL1128+ROUNDUP(CL1128+MAX(CM1128,2*(J1128/MAX(0.1,N(Einkauf!$C$6))-CL1128)),0))/2)</f>
        <v>0.5</v>
      </c>
      <c r="CW1128" s="62" t="n">
        <f aca="false">IF(CS1128="","",MAX(0,H1128-CV1128)*G1128)</f>
        <v>2635.25</v>
      </c>
      <c r="CX1128" s="62" t="n">
        <f aca="false">IF(CS1128="","",CS1128*MAX(0,1-CV1128/H1128))</f>
        <v>9.31089743589744</v>
      </c>
      <c r="CY1128" s="64" t="n">
        <f aca="false">IF(CS1128="","",PERCENTRANK($CS$7:$CS$1843,CS1128)+PERCENTRANK($CU$7:$CU$1843,CU1128)+1-PERCENTRANK($CT$7:$CT$1843,CT1128))</f>
        <v>2.389</v>
      </c>
      <c r="CZ1128" s="72" t="n">
        <f aca="false">IF(CS1128="","",CHOOSE(MATCH(Einkauf!$C$5,Parameter!$G$23:$G$27,0),CY1128,CS1128,CU1128,-CT1128,CW1128)+ROW()/1000000000)</f>
        <v>2.389001128</v>
      </c>
    </row>
    <row r="1129" customFormat="false" ht="15" hidden="false" customHeight="false" outlineLevel="0" collapsed="false">
      <c r="A1129" s="60" t="s">
        <v>2086</v>
      </c>
      <c r="B1129" s="60" t="s">
        <v>2087</v>
      </c>
      <c r="C1129" s="60" t="s">
        <v>498</v>
      </c>
      <c r="D1129" s="60" t="s">
        <v>226</v>
      </c>
      <c r="E1129" s="60"/>
      <c r="F1129" s="60" t="s">
        <v>260</v>
      </c>
      <c r="G1129" s="61" t="n">
        <v>14.14</v>
      </c>
      <c r="H1129" s="62" t="n">
        <f aca="false">MAX(0,IF(AND(Parameter!$B$21="Ja",ISNUMBER(Y1129)),Y1129,IF(Parameter!$B$20="Jahresanfang 2025 + Export",BS1129+BR1129,BR1129)))</f>
        <v>18</v>
      </c>
      <c r="I1129" s="62" t="n">
        <f aca="false">H1129*G1129</f>
        <v>254.52</v>
      </c>
      <c r="J1129" s="62" t="n">
        <f aca="false">BU1129*Parameter!$B$18</f>
        <v>18</v>
      </c>
      <c r="K1129" s="63" t="n">
        <v>18</v>
      </c>
      <c r="L1129" s="64" t="n">
        <v>1</v>
      </c>
      <c r="M1129" s="62" t="n">
        <v>2</v>
      </c>
      <c r="N1129" s="62" t="n">
        <v>20</v>
      </c>
      <c r="O1129" s="65" t="n">
        <v>56</v>
      </c>
      <c r="P1129" s="60" t="s">
        <v>210</v>
      </c>
      <c r="Q1129" s="62"/>
      <c r="R1129" s="65" t="n">
        <f aca="false">IF(CA1129=1,0,IFERROR(VLOOKUP(BY1129,'Gebinde-Kategorie'!$A$5:$N$45,13,0)+0,0))</f>
        <v>26</v>
      </c>
      <c r="S1129" s="66"/>
      <c r="T1129" s="67" t="s">
        <v>317</v>
      </c>
      <c r="U1129" s="67"/>
      <c r="V1129" s="67"/>
      <c r="W1129" s="60"/>
      <c r="X1129" s="62"/>
      <c r="Y1129" s="62"/>
      <c r="Z1129" s="60" t="n">
        <v>3</v>
      </c>
      <c r="AA1129" s="60" t="n">
        <f aca="false">IF(A1129="","",IF(AND(Parameter!$B$21="Ja",ISNUMBER(W1129)),W1129,IF(AND(Parameter!$E$27="Ja",ISNUMBER(Z1129),CD1129&lt;&gt;"Nein"),Z1129,IF(CD1129="2+3",IF(ISNUMBER(SEARCH("grosser Artikel",BV1129)),2,IFERROR(VLOOKUP(BY1129,Parameter!$F$35:$G$64,2,0),2)),IF(OR(CD1129="Nein",CD1129=""),"-",CD1129)))))</f>
        <v>3</v>
      </c>
      <c r="AB1129" s="67"/>
      <c r="AC1129" s="68"/>
      <c r="AD1129" s="62" t="n">
        <f aca="false">AW1129</f>
        <v>22</v>
      </c>
      <c r="AE1129" s="62" t="n">
        <f aca="false">MAX(AW1129,H1129)</f>
        <v>22</v>
      </c>
      <c r="AF1129" s="69"/>
      <c r="AG1129" s="62" t="n">
        <f aca="false">IF(LEFT(Cockpit!$C$5,1)="A",H1129,IF(Parameter!$E$30="MAX-Bestand",IF(CI1129=1,CJ1129,IF(LEFT(Cockpit!$C$5,1)="B",AM1129,MAX(AM1129,H1129))),ROUNDUP(AK1129,0)))</f>
        <v>18</v>
      </c>
      <c r="AH1129" s="62" t="n">
        <f aca="false">IF(CA1129=1,0,ROUNDUP(AG1129/BZ1129,0))</f>
        <v>1</v>
      </c>
      <c r="AI1129" s="64" t="n">
        <f aca="false">IF(CR1129&gt;0,CR1129*MAX(1,AG1129/X1129),IF(CA1129=1,IF(AG1129&lt;=0,0,CE1129*MAX(1,IF(H1129&gt;0,AG1129/H1129,1))),IF(R1129&gt;0,AH1129/R1129,0))/MAX(0.1,N(Parameter!$M$21)))</f>
        <v>0.0384615384615385</v>
      </c>
      <c r="AJ1129" s="62" t="n">
        <f aca="false">AI1129*CC1129</f>
        <v>5.96153846153846</v>
      </c>
      <c r="AK1129" s="63" t="n">
        <f aca="false">IF(LEFT(Cockpit!$C$5,1)="A",H1129,IF(CI1129=1,(CL1129+CJ1129)/2,IF(LEFT(Cockpit!$C$5,1)="B",(CL1129+AM1129)/2,MAX((CL1129+AM1129)/2,H1129))))</f>
        <v>18</v>
      </c>
      <c r="AL1129" s="62" t="n">
        <f aca="false">AK1129*G1129</f>
        <v>254.52</v>
      </c>
      <c r="AM1129" s="62" t="n">
        <f aca="false">ROUNDUP(CL1129+MAX(CM1129,2*(J1129/IF(CH1129&gt;0,CH1129,MAX(0.1,N(Cockpit!$C$6)))-CL1129)),0)</f>
        <v>22</v>
      </c>
      <c r="AN1129" s="63" t="n">
        <f aca="false">IF(AJ1129&gt;0,J1129/AJ1129,-1)</f>
        <v>3.01935483870968</v>
      </c>
      <c r="AO1129" s="63" t="n">
        <f aca="false">IF(AND(OR(CG1129="L1",CG1129="L23",CG1129="LIFT"),AJ1129&gt;0),SUMIFS($AJ$7:$AJ$1843,$CG$7:$CG$1843,CG1129,$AN$7:$AN$1843,"&gt;"&amp;AN1129)+SUMIFS($AJ$7:$AJ$1843,$CG$7:$CG$1843,CG1129,$AN$7:$AN$1843,AN1129,$BX$7:$BX$1843,"&lt;="&amp;BX1129),"")</f>
        <v>5081.75778388278</v>
      </c>
      <c r="AP1129" s="70" t="n">
        <f aca="false">IF(AO1129="",0,MAX(0,MIN(1,(IF(CG1129="L1",Parameter!$H$5,IF(CG1129="L23",Parameter!$H$6+Parameter!$H$7,Parameter!$H$5+Parameter!$H$6+Parameter!$H$7))-(AO1129-AJ1129))/AJ1129)))</f>
        <v>1</v>
      </c>
      <c r="AQ1129" s="62" t="n">
        <f aca="false">IF(LEFT(Cockpit!$I$5,1)="A",H1129,IF(Parameter!$E$30="MAX-Bestand",IF(CI1129=1,CJ1129,IF(LEFT(Cockpit!$I$5,1)="B",AW1129,MAX(AW1129,H1129))),ROUNDUP(AU1129,0)))</f>
        <v>18</v>
      </c>
      <c r="AR1129" s="62" t="n">
        <f aca="false">IF(CA1129=1,0,ROUNDUP(AQ1129/BZ1129,0))</f>
        <v>1</v>
      </c>
      <c r="AS1129" s="64" t="n">
        <f aca="false">IF(CR1129&gt;0,CR1129*MAX(1,AQ1129/X1129),IF(CA1129=1,IF(AQ1129&lt;=0,0,CE1129*MAX(1,IF(H1129&gt;0,AQ1129/H1129,1))),IF(R1129&gt;0,AR1129/R1129,0))/MAX(0.1,N(Parameter!$M$21)))</f>
        <v>0.0384615384615385</v>
      </c>
      <c r="AT1129" s="62" t="n">
        <f aca="false">AS1129*CC1129</f>
        <v>5.96153846153846</v>
      </c>
      <c r="AU1129" s="63" t="n">
        <f aca="false">IF(LEFT(Cockpit!$I$5,1)="A",H1129,IF(CI1129=1,(CL1129+CJ1129)/2,IF(LEFT(Cockpit!$I$5,1)="B",(CL1129+AW1129)/2,MAX((CL1129+AW1129)/2,H1129))))</f>
        <v>18</v>
      </c>
      <c r="AV1129" s="62" t="n">
        <f aca="false">AU1129*G1129</f>
        <v>254.52</v>
      </c>
      <c r="AW1129" s="62" t="n">
        <f aca="false">ROUNDUP(CL1129+MAX(CM1129,2*(J1129/IF(CH1129&gt;0,CH1129,MAX(0.1,N(Cockpit!$I$6)))-CL1129)),0)</f>
        <v>22</v>
      </c>
      <c r="AX1129" s="63" t="n">
        <f aca="false">IF(AT1129&gt;0,J1129/AT1129,-1)</f>
        <v>3.01935483870968</v>
      </c>
      <c r="AY1129" s="63" t="n">
        <f aca="false">IF(AND(OR(CG1129="L1",CG1129="L23",CG1129="LIFT"),AT1129&gt;0),SUMIFS($AT$7:$AT$1843,$CG$7:$CG$1843,CG1129,$AX$7:$AX$1843,"&gt;"&amp;AX1129)+SUMIFS($AT$7:$AT$1843,$CG$7:$CG$1843,CG1129,$AX$7:$AX$1843,AX1129,$BX$7:$BX$1843,"&lt;="&amp;BX1129),"")</f>
        <v>5919.47298534799</v>
      </c>
      <c r="AZ1129" s="70" t="n">
        <f aca="false">IF(AY1129="",0,MAX(0,MIN(1,(IF(CG1129="L1",Parameter!$H$5,IF(CG1129="L23",Parameter!$H$6+Parameter!$H$7,Parameter!$H$5+Parameter!$H$6+Parameter!$H$7))-(AY1129-AT1129))/AT1129)))</f>
        <v>1</v>
      </c>
      <c r="BA1129" s="62" t="n">
        <f aca="false">IF(LEFT(Cockpit!$O$5,1)="A",H1129,IF(Parameter!$E$30="MAX-Bestand",IF(CI1129=1,CJ1129,IF(LEFT(Cockpit!$O$5,1)="B",BG1129,MAX(BG1129,H1129))),ROUNDUP(BE1129,0)))</f>
        <v>12</v>
      </c>
      <c r="BB1129" s="62" t="n">
        <f aca="false">IF(CA1129=1,0,ROUNDUP(BA1129/BZ1129,0))</f>
        <v>1</v>
      </c>
      <c r="BC1129" s="64" t="n">
        <f aca="false">IF(CR1129&gt;0,CR1129*MAX(1,BA1129/X1129),IF(CA1129=1,IF(BA1129&lt;=0,0,CE1129*MAX(1,IF(H1129&gt;0,BA1129/H1129,1))),IF(R1129&gt;0,BB1129/R1129,0))/MAX(0.1,N(Parameter!$M$21)))</f>
        <v>0.0384615384615385</v>
      </c>
      <c r="BD1129" s="62" t="n">
        <f aca="false">BC1129*CC1129</f>
        <v>5.96153846153846</v>
      </c>
      <c r="BE1129" s="63" t="n">
        <f aca="false">IF(LEFT(Cockpit!$O$5,1)="A",H1129,IF(CI1129=1,(CL1129+CJ1129)/2,IF(LEFT(Cockpit!$O$5,1)="B",(CL1129+BG1129)/2,MAX((CL1129+BG1129)/2,H1129))))</f>
        <v>12</v>
      </c>
      <c r="BF1129" s="62" t="n">
        <f aca="false">BE1129*G1129</f>
        <v>169.68</v>
      </c>
      <c r="BG1129" s="62" t="n">
        <f aca="false">ROUNDUP(CL1129+MAX(CM1129,2*(J1129/IF(CH1129&gt;0,CH1129,MAX(0.1,N(Cockpit!$O$6)))-CL1129)),0)</f>
        <v>22</v>
      </c>
      <c r="BH1129" s="63" t="n">
        <f aca="false">IF(BD1129&gt;0,J1129/BD1129,-1)</f>
        <v>3.01935483870968</v>
      </c>
      <c r="BI1129" s="63" t="n">
        <f aca="false">IF(AND(OR(CG1129="L1",CG1129="L23",CG1129="LIFT"),BD1129&gt;0),SUMIFS($BD$7:$BD$1843,$CG$7:$CG$1843,CG1129,$BH$7:$BH$1843,"&gt;"&amp;BH1129)+SUMIFS($BD$7:$BD$1843,$CG$7:$CG$1843,CG1129,$BH$7:$BH$1843,BH1129,$BX$7:$BX$1843,"&lt;="&amp;BX1129),"")</f>
        <v>4782.22298534799</v>
      </c>
      <c r="BJ1129" s="70" t="n">
        <f aca="false">IF(BI1129="",0,MAX(0,MIN(1,(IF(CG1129="L1",Parameter!$H$5,IF(CG1129="L23",Parameter!$H$6+Parameter!$H$7,Parameter!$H$5+Parameter!$H$6+Parameter!$H$7))-(BI1129-BD1129))/BD1129)))</f>
        <v>1</v>
      </c>
      <c r="BK1129" s="60" t="str">
        <f aca="false">IF(AJ1129&lt;=0,"",IF(CG1129="Aussen","Aussenlager",IF(CG1129="-","Nicht im Lift",IF(AP1129&gt;=1,"Lift",IF(AP1129&lt;=0,"Aussenlager","teilweise")))))</f>
        <v>Lift</v>
      </c>
      <c r="BL1129" s="60" t="str">
        <f aca="false">IF(AT1129&lt;=0,"",IF(CG1129="Aussen","Aussenlager",IF(CG1129="-","Nicht im Lift",IF(AZ1129&gt;=1,"Lift",IF(AZ1129&lt;=0,"Aussenlager","teilweise")))))</f>
        <v>Lift</v>
      </c>
      <c r="BM1129" s="60" t="str">
        <f aca="false">IF(BD1129&lt;=0,"",IF(CG1129="Aussen","Aussenlager",IF(CG1129="-","Nicht im Lift",IF(BJ1129&gt;=1,"Lift",IF(BJ1129&lt;=0,"Aussenlager","teilweise")))))</f>
        <v>Lift</v>
      </c>
      <c r="BN1129" s="60" t="str">
        <f aca="false">IF(A1129="","",IF(BW1129=1,"Neu; ","")&amp;IF(AND(BW1129=0,BR1129&lt;0),"negativer Bestand (Export "&amp;BR1129&amp;"); ","")&amp;IF(J1129&lt;=0,"Kein Verbrauch; ","")&amp;IF(CR1129&gt;0,"Lift "&amp;W1129&amp;" lt. Liftbericht (Fach "&amp;X1129&amp;" Stk); ",IF(CB1129=1,"Gebinde geschätzt ("&amp;T1129&amp;"); ",IF(CA1129=1,"Lose – Tablare geschätzt; ","")))&amp;IF(H1129&gt;AW1129,"Überbestand "&amp;ROUND(H1129-AW1129,0)&amp;" Stk / CHF "&amp;ROUND((H1129-AW1129)*G1129,0)&amp;"; ","")&amp;IF(AND(CI1129=1,CJ1129&lt;CK1129),"MAX &lt; MB+LG; ","")&amp;IF(AND(CQ1129&gt;0,CP1129*10&gt;CQ1129),"zu hoch für Tablar; ","")&amp;IF(AND(BW1129=0,OR(CI1129=1,AB1129&lt;&gt;"",U1129&lt;&gt;"",V1129&lt;&gt;"",AC1129&lt;&gt;"")),"manuell übersteuert; ","")&amp;IF(AND(CA1129=0,R1129=0),"Gebinde unbekannt / Stellmass fehlt; ","")&amp;IF(AND(CA1129=0,N(V1129)&lt;=0,N(Q1129)&lt;=0),"Menge pro Gebinde fehlt (Ist = 1 Gebinde); ","")&amp;BV1129)</f>
        <v>negativer Bestand (Export -18); Gebinde geschätzt (Klein); Menge pro Gebinde fehlt (Ist = 1 Gebinde); </v>
      </c>
      <c r="BO1129" s="60"/>
      <c r="BP1129" s="60"/>
      <c r="BQ1129" s="67"/>
      <c r="BR1129" s="62" t="n">
        <v>-18</v>
      </c>
      <c r="BS1129" s="62" t="n">
        <v>36</v>
      </c>
      <c r="BT1129" s="61" t="n">
        <v>-254.52</v>
      </c>
      <c r="BU1129" s="62" t="n">
        <v>18</v>
      </c>
      <c r="BV1129" s="60"/>
      <c r="BW1129" s="65" t="n">
        <v>0</v>
      </c>
      <c r="BX1129" s="65" t="n">
        <v>1129</v>
      </c>
      <c r="BY1129" s="60" t="str">
        <f aca="false">IF(U1129&lt;&gt;"",UPPER(TRIM(U1129)),IF(CB1129=1,UPPER(VLOOKUP(T1129,Parameter!$I$27:$K$29,2,0)),IF(P1129="","LOSE",P1129)))</f>
        <v>S51</v>
      </c>
      <c r="BZ1129" s="62" t="n">
        <f aca="false">IF(BY1129="LOSE",1,IF(N(V1129)&gt;0,V1129,IF(CB1129=1,MAX(1,N(VLOOKUP(T1129,Parameter!$I$27:$K$29,3,0)),H1129,N(N1129)),IF(N(Q1129)&gt;0,Q1129,MAX(1,H1129)))))</f>
        <v>20</v>
      </c>
      <c r="CA1129" s="65" t="n">
        <f aca="false">IF(BY1129="LOSE",1,0)</f>
        <v>0</v>
      </c>
      <c r="CB1129" s="65" t="n">
        <f aca="false">IF(AND(U1129="",OR(P1129="",P1129="LOSE"),T1129&lt;&gt;"",N(S1129)&lt;=0,ISNUMBER(MATCH(T1129,Parameter!$I$27:$I$29,0))),1,0)</f>
        <v>1</v>
      </c>
      <c r="CC1129" s="65" t="n">
        <f aca="false">IF(CR1129&gt;0,INDEX(Parameter!$H$5:$H$7,W1129)/INDEX(Parameter!$E$5:$E$7,W1129),IF(AND(CA1129=0,N(IFERROR(VLOOKUP(BY1129,'Gebinde-Kategorie'!$A$5:$N$45,14,0),0))&gt;0),VLOOKUP(BY1129,'Gebinde-Kategorie'!$A$5:$N$45,14,0)*10+Parameter!$M$23,Parameter!$M$24))</f>
        <v>155</v>
      </c>
      <c r="CD1129" s="60" t="str">
        <f aca="false">IF(AND(Parameter!$B$19="Ja",E1129&lt;&gt;"",ISNUMBER(MATCH(E1129,Parameter!$I$35:$I$52,0))),VLOOKUP(E1129,Parameter!$I$35:$J$52,2,0),IFERROR(VLOOKUP(D1129,Parameter!$A$35:$C$64,2,0),"Nein"))</f>
        <v>2+3</v>
      </c>
      <c r="CE1129" s="64" t="n">
        <f aca="false">IF(CA1129=0,0,IF(N(S1129)&gt;0,S1129,IFERROR(VLOOKUP(D1129,Parameter!$A$35:$C$64,3,0)+0,0)))</f>
        <v>0</v>
      </c>
      <c r="CF1129" s="60" t="n">
        <f aca="false">IF(AB1129&lt;&gt;"",AB1129,AA1129)</f>
        <v>3</v>
      </c>
      <c r="CG1129" s="60" t="str">
        <f aca="false">IF(OR(CF1129=1,CF1129=2,CF1129=3),IF(Parameter!$E$27="Ja","LIFT",IF(CF1129=1,"L1","L23")),IF(CF1129="Aussen","Aussen","-"))</f>
        <v>LIFT</v>
      </c>
      <c r="CH1129" s="71" t="n">
        <f aca="false">IF(N(AC1129)&gt;0,AC1129,0)</f>
        <v>0</v>
      </c>
      <c r="CI1129" s="65" t="n">
        <f aca="false">IF(ISNUMBER(AF1129),1,0)</f>
        <v>0</v>
      </c>
      <c r="CJ1129" s="62" t="n">
        <f aca="false">N(AF1129)</f>
        <v>0</v>
      </c>
      <c r="CK1129" s="62" t="n">
        <f aca="false">N(M1129)+N(N1129)</f>
        <v>22</v>
      </c>
      <c r="CL1129" s="62" t="n">
        <f aca="false">N(M1129)</f>
        <v>2</v>
      </c>
      <c r="CM1129" s="62" t="n">
        <f aca="false">N(N1129)</f>
        <v>20</v>
      </c>
      <c r="CN1129" s="62" t="n">
        <f aca="false">ROUNDUP(H1129/BZ1129,0)</f>
        <v>1</v>
      </c>
      <c r="CO1129" s="62" t="n">
        <f aca="false">ROUNDUP(CJ1129/BZ1129,0)</f>
        <v>0</v>
      </c>
      <c r="CP1129" s="65" t="n">
        <f aca="false">IF(CA1129=1,0,IFERROR(VLOOKUP(BY1129,'Gebinde-Kategorie'!$A$5:$N$45,5,0)+0,0))</f>
        <v>11</v>
      </c>
      <c r="CQ1129" s="65" t="n">
        <f aca="false">IFERROR(IF(OR(CF1129=1,CF1129=2,CF1129=3),N(INDEX(Parameter!$I$5:$I$7,CF1129)),0),0)</f>
        <v>0</v>
      </c>
      <c r="CR1129" s="64" t="n">
        <f aca="false">IF(AND(Parameter!$B$21="Ja",ISNUMBER(W1129),N(X1129)&gt;0),IFERROR(N(INDEX(Parameter!$L$5:$L$7,W1129))*INDEX(Parameter!$E$5:$E$7,W1129)*X1129/SUMIFS($X$7:$X$1843,$W$7:$W$1843,W1129),0),0)</f>
        <v>0</v>
      </c>
      <c r="CS1129" s="62" t="n">
        <f aca="false">IF(AND(OR(CG1129="L1",CG1129="L23",CG1129="LIFT"),H1129&gt;0),CC1129*IF(CR1129&gt;0,CR1129*MAX(1,H1129/X1129),IF(CA1129=1,CE1129,IF(R1129&gt;0,CN1129/R1129,0))/MAX(0.1,N(Parameter!$M$21))),"")</f>
        <v>5.96153846153846</v>
      </c>
      <c r="CT1129" s="64" t="n">
        <f aca="false">IF(CS1129="","",J1129/H1129)</f>
        <v>1</v>
      </c>
      <c r="CU1129" s="62" t="n">
        <f aca="false">IF(CS1129="","",H1129*G1129)</f>
        <v>254.52</v>
      </c>
      <c r="CV1129" s="63" t="n">
        <f aca="false">IF(CS1129="","",(CL1129+ROUNDUP(CL1129+MAX(CM1129,2*(J1129/MAX(0.1,N(Einkauf!$C$6))-CL1129)),0))/2)</f>
        <v>12</v>
      </c>
      <c r="CW1129" s="62" t="n">
        <f aca="false">IF(CS1129="","",MAX(0,H1129-CV1129)*G1129)</f>
        <v>84.84</v>
      </c>
      <c r="CX1129" s="62" t="n">
        <f aca="false">IF(CS1129="","",CS1129*MAX(0,1-CV1129/H1129))</f>
        <v>1.98717948717949</v>
      </c>
      <c r="CY1129" s="64" t="n">
        <f aca="false">IF(CS1129="","",PERCENTRANK($CS$7:$CS$1843,CS1129)+PERCENTRANK($CU$7:$CU$1843,CU1129)+1-PERCENTRANK($CT$7:$CT$1843,CT1129))</f>
        <v>1.105</v>
      </c>
      <c r="CZ1129" s="72" t="n">
        <f aca="false">IF(CS1129="","",CHOOSE(MATCH(Einkauf!$C$5,Parameter!$G$23:$G$27,0),CY1129,CS1129,CU1129,-CT1129,CW1129)+ROW()/1000000000)</f>
        <v>1.105001129</v>
      </c>
    </row>
    <row r="1130" customFormat="false" ht="15" hidden="false" customHeight="false" outlineLevel="0" collapsed="false">
      <c r="A1130" s="60" t="s">
        <v>2088</v>
      </c>
      <c r="B1130" s="60" t="s">
        <v>2089</v>
      </c>
      <c r="C1130" s="60" t="s">
        <v>498</v>
      </c>
      <c r="D1130" s="60" t="s">
        <v>226</v>
      </c>
      <c r="E1130" s="60"/>
      <c r="F1130" s="60" t="s">
        <v>260</v>
      </c>
      <c r="G1130" s="61" t="n">
        <v>31.9</v>
      </c>
      <c r="H1130" s="62" t="n">
        <f aca="false">MAX(0,IF(AND(Parameter!$B$21="Ja",ISNUMBER(Y1130)),Y1130,IF(Parameter!$B$20="Jahresanfang 2025 + Export",BS1130+BR1130,BR1130)))</f>
        <v>8</v>
      </c>
      <c r="I1130" s="62" t="n">
        <f aca="false">H1130*G1130</f>
        <v>255.2</v>
      </c>
      <c r="J1130" s="62" t="n">
        <f aca="false">BU1130*Parameter!$B$18</f>
        <v>8</v>
      </c>
      <c r="K1130" s="63" t="n">
        <v>8</v>
      </c>
      <c r="L1130" s="64" t="n">
        <v>1</v>
      </c>
      <c r="M1130" s="62" t="n">
        <v>0</v>
      </c>
      <c r="N1130" s="62" t="n">
        <v>10</v>
      </c>
      <c r="O1130" s="65" t="n">
        <v>21</v>
      </c>
      <c r="P1130" s="60" t="s">
        <v>210</v>
      </c>
      <c r="Q1130" s="62"/>
      <c r="R1130" s="65" t="n">
        <f aca="false">IF(CA1130=1,0,IFERROR(VLOOKUP(BY1130,'Gebinde-Kategorie'!$A$5:$N$45,13,0)+0,0))</f>
        <v>26</v>
      </c>
      <c r="S1130" s="66"/>
      <c r="T1130" s="67" t="s">
        <v>317</v>
      </c>
      <c r="U1130" s="67"/>
      <c r="V1130" s="67"/>
      <c r="W1130" s="60"/>
      <c r="X1130" s="62"/>
      <c r="Y1130" s="62"/>
      <c r="Z1130" s="60" t="n">
        <v>3</v>
      </c>
      <c r="AA1130" s="60" t="n">
        <f aca="false">IF(A1130="","",IF(AND(Parameter!$B$21="Ja",ISNUMBER(W1130)),W1130,IF(AND(Parameter!$E$27="Ja",ISNUMBER(Z1130),CD1130&lt;&gt;"Nein"),Z1130,IF(CD1130="2+3",IF(ISNUMBER(SEARCH("grosser Artikel",BV1130)),2,IFERROR(VLOOKUP(BY1130,Parameter!$F$35:$G$64,2,0),2)),IF(OR(CD1130="Nein",CD1130=""),"-",CD1130)))))</f>
        <v>3</v>
      </c>
      <c r="AB1130" s="67"/>
      <c r="AC1130" s="68"/>
      <c r="AD1130" s="62" t="n">
        <f aca="false">AW1130</f>
        <v>10</v>
      </c>
      <c r="AE1130" s="62" t="n">
        <f aca="false">MAX(AW1130,H1130)</f>
        <v>10</v>
      </c>
      <c r="AF1130" s="69"/>
      <c r="AG1130" s="62" t="n">
        <f aca="false">IF(LEFT(Cockpit!$C$5,1)="A",H1130,IF(Parameter!$E$30="MAX-Bestand",IF(CI1130=1,CJ1130,IF(LEFT(Cockpit!$C$5,1)="B",AM1130,MAX(AM1130,H1130))),ROUNDUP(AK1130,0)))</f>
        <v>8</v>
      </c>
      <c r="AH1130" s="62" t="n">
        <f aca="false">IF(CA1130=1,0,ROUNDUP(AG1130/BZ1130,0))</f>
        <v>1</v>
      </c>
      <c r="AI1130" s="64" t="n">
        <f aca="false">IF(CR1130&gt;0,CR1130*MAX(1,AG1130/X1130),IF(CA1130=1,IF(AG1130&lt;=0,0,CE1130*MAX(1,IF(H1130&gt;0,AG1130/H1130,1))),IF(R1130&gt;0,AH1130/R1130,0))/MAX(0.1,N(Parameter!$M$21)))</f>
        <v>0.0384615384615385</v>
      </c>
      <c r="AJ1130" s="62" t="n">
        <f aca="false">AI1130*CC1130</f>
        <v>5.96153846153846</v>
      </c>
      <c r="AK1130" s="63" t="n">
        <f aca="false">IF(LEFT(Cockpit!$C$5,1)="A",H1130,IF(CI1130=1,(CL1130+CJ1130)/2,IF(LEFT(Cockpit!$C$5,1)="B",(CL1130+AM1130)/2,MAX((CL1130+AM1130)/2,H1130))))</f>
        <v>8</v>
      </c>
      <c r="AL1130" s="62" t="n">
        <f aca="false">AK1130*G1130</f>
        <v>255.2</v>
      </c>
      <c r="AM1130" s="62" t="n">
        <f aca="false">ROUNDUP(CL1130+MAX(CM1130,2*(J1130/IF(CH1130&gt;0,CH1130,MAX(0.1,N(Cockpit!$C$6)))-CL1130)),0)</f>
        <v>10</v>
      </c>
      <c r="AN1130" s="63" t="n">
        <f aca="false">IF(AJ1130&gt;0,J1130/AJ1130,-1)</f>
        <v>1.34193548387097</v>
      </c>
      <c r="AO1130" s="63" t="n">
        <f aca="false">IF(AND(OR(CG1130="L1",CG1130="L23",CG1130="LIFT"),AJ1130&gt;0),SUMIFS($AJ$7:$AJ$1843,$CG$7:$CG$1843,CG1130,$AN$7:$AN$1843,"&gt;"&amp;AN1130)+SUMIFS($AJ$7:$AJ$1843,$CG$7:$CG$1843,CG1130,$AN$7:$AN$1843,AN1130,$BX$7:$BX$1843,"&lt;="&amp;BX1130),"")</f>
        <v>6356.48443223443</v>
      </c>
      <c r="AP1130" s="70" t="n">
        <f aca="false">IF(AO1130="",0,MAX(0,MIN(1,(IF(CG1130="L1",Parameter!$H$5,IF(CG1130="L23",Parameter!$H$6+Parameter!$H$7,Parameter!$H$5+Parameter!$H$6+Parameter!$H$7))-(AO1130-AJ1130))/AJ1130)))</f>
        <v>1</v>
      </c>
      <c r="AQ1130" s="62" t="n">
        <f aca="false">IF(LEFT(Cockpit!$I$5,1)="A",H1130,IF(Parameter!$E$30="MAX-Bestand",IF(CI1130=1,CJ1130,IF(LEFT(Cockpit!$I$5,1)="B",AW1130,MAX(AW1130,H1130))),ROUNDUP(AU1130,0)))</f>
        <v>8</v>
      </c>
      <c r="AR1130" s="62" t="n">
        <f aca="false">IF(CA1130=1,0,ROUNDUP(AQ1130/BZ1130,0))</f>
        <v>1</v>
      </c>
      <c r="AS1130" s="64" t="n">
        <f aca="false">IF(CR1130&gt;0,CR1130*MAX(1,AQ1130/X1130),IF(CA1130=1,IF(AQ1130&lt;=0,0,CE1130*MAX(1,IF(H1130&gt;0,AQ1130/H1130,1))),IF(R1130&gt;0,AR1130/R1130,0))/MAX(0.1,N(Parameter!$M$21)))</f>
        <v>0.0384615384615385</v>
      </c>
      <c r="AT1130" s="62" t="n">
        <f aca="false">AS1130*CC1130</f>
        <v>5.96153846153846</v>
      </c>
      <c r="AU1130" s="63" t="n">
        <f aca="false">IF(LEFT(Cockpit!$I$5,1)="A",H1130,IF(CI1130=1,(CL1130+CJ1130)/2,IF(LEFT(Cockpit!$I$5,1)="B",(CL1130+AW1130)/2,MAX((CL1130+AW1130)/2,H1130))))</f>
        <v>8</v>
      </c>
      <c r="AV1130" s="62" t="n">
        <f aca="false">AU1130*G1130</f>
        <v>255.2</v>
      </c>
      <c r="AW1130" s="62" t="n">
        <f aca="false">ROUNDUP(CL1130+MAX(CM1130,2*(J1130/IF(CH1130&gt;0,CH1130,MAX(0.1,N(Cockpit!$I$6)))-CL1130)),0)</f>
        <v>10</v>
      </c>
      <c r="AX1130" s="63" t="n">
        <f aca="false">IF(AT1130&gt;0,J1130/AT1130,-1)</f>
        <v>1.34193548387097</v>
      </c>
      <c r="AY1130" s="63" t="n">
        <f aca="false">IF(AND(OR(CG1130="L1",CG1130="L23",CG1130="LIFT"),AT1130&gt;0),SUMIFS($AT$7:$AT$1843,$CG$7:$CG$1843,CG1130,$AX$7:$AX$1843,"&gt;"&amp;AX1130)+SUMIFS($AT$7:$AT$1843,$CG$7:$CG$1843,CG1130,$AX$7:$AX$1843,AX1130,$BX$7:$BX$1843,"&lt;="&amp;BX1130),"")</f>
        <v>7883.64880952381</v>
      </c>
      <c r="AZ1130" s="70" t="n">
        <f aca="false">IF(AY1130="",0,MAX(0,MIN(1,(IF(CG1130="L1",Parameter!$H$5,IF(CG1130="L23",Parameter!$H$6+Parameter!$H$7,Parameter!$H$5+Parameter!$H$6+Parameter!$H$7))-(AY1130-AT1130))/AT1130)))</f>
        <v>1</v>
      </c>
      <c r="BA1130" s="62" t="n">
        <f aca="false">IF(LEFT(Cockpit!$O$5,1)="A",H1130,IF(Parameter!$E$30="MAX-Bestand",IF(CI1130=1,CJ1130,IF(LEFT(Cockpit!$O$5,1)="B",BG1130,MAX(BG1130,H1130))),ROUNDUP(BE1130,0)))</f>
        <v>5</v>
      </c>
      <c r="BB1130" s="62" t="n">
        <f aca="false">IF(CA1130=1,0,ROUNDUP(BA1130/BZ1130,0))</f>
        <v>1</v>
      </c>
      <c r="BC1130" s="64" t="n">
        <f aca="false">IF(CR1130&gt;0,CR1130*MAX(1,BA1130/X1130),IF(CA1130=1,IF(BA1130&lt;=0,0,CE1130*MAX(1,IF(H1130&gt;0,BA1130/H1130,1))),IF(R1130&gt;0,BB1130/R1130,0))/MAX(0.1,N(Parameter!$M$21)))</f>
        <v>0.0384615384615385</v>
      </c>
      <c r="BD1130" s="62" t="n">
        <f aca="false">BC1130*CC1130</f>
        <v>5.96153846153846</v>
      </c>
      <c r="BE1130" s="63" t="n">
        <f aca="false">IF(LEFT(Cockpit!$O$5,1)="A",H1130,IF(CI1130=1,(CL1130+CJ1130)/2,IF(LEFT(Cockpit!$O$5,1)="B",(CL1130+BG1130)/2,MAX((CL1130+BG1130)/2,H1130))))</f>
        <v>5</v>
      </c>
      <c r="BF1130" s="62" t="n">
        <f aca="false">BE1130*G1130</f>
        <v>159.5</v>
      </c>
      <c r="BG1130" s="62" t="n">
        <f aca="false">ROUNDUP(CL1130+MAX(CM1130,2*(J1130/IF(CH1130&gt;0,CH1130,MAX(0.1,N(Cockpit!$O$6)))-CL1130)),0)</f>
        <v>10</v>
      </c>
      <c r="BH1130" s="63" t="n">
        <f aca="false">IF(BD1130&gt;0,J1130/BD1130,-1)</f>
        <v>1.34193548387097</v>
      </c>
      <c r="BI1130" s="63" t="n">
        <f aca="false">IF(AND(OR(CG1130="L1",CG1130="L23",CG1130="LIFT"),BD1130&gt;0),SUMIFS($BD$7:$BD$1843,$CG$7:$CG$1843,CG1130,$BH$7:$BH$1843,"&gt;"&amp;BH1130)+SUMIFS($BD$7:$BD$1843,$CG$7:$CG$1843,CG1130,$BH$7:$BH$1843,BH1130,$BX$7:$BX$1843,"&lt;="&amp;BX1130),"")</f>
        <v>6820.86446886447</v>
      </c>
      <c r="BJ1130" s="70" t="n">
        <f aca="false">IF(BI1130="",0,MAX(0,MIN(1,(IF(CG1130="L1",Parameter!$H$5,IF(CG1130="L23",Parameter!$H$6+Parameter!$H$7,Parameter!$H$5+Parameter!$H$6+Parameter!$H$7))-(BI1130-BD1130))/BD1130)))</f>
        <v>1</v>
      </c>
      <c r="BK1130" s="60" t="str">
        <f aca="false">IF(AJ1130&lt;=0,"",IF(CG1130="Aussen","Aussenlager",IF(CG1130="-","Nicht im Lift",IF(AP1130&gt;=1,"Lift",IF(AP1130&lt;=0,"Aussenlager","teilweise")))))</f>
        <v>Lift</v>
      </c>
      <c r="BL1130" s="60" t="str">
        <f aca="false">IF(AT1130&lt;=0,"",IF(CG1130="Aussen","Aussenlager",IF(CG1130="-","Nicht im Lift",IF(AZ1130&gt;=1,"Lift",IF(AZ1130&lt;=0,"Aussenlager","teilweise")))))</f>
        <v>Lift</v>
      </c>
      <c r="BM1130" s="60" t="str">
        <f aca="false">IF(BD1130&lt;=0,"",IF(CG1130="Aussen","Aussenlager",IF(CG1130="-","Nicht im Lift",IF(BJ1130&gt;=1,"Lift",IF(BJ1130&lt;=0,"Aussenlager","teilweise")))))</f>
        <v>Lift</v>
      </c>
      <c r="BN1130" s="60" t="str">
        <f aca="false">IF(A1130="","",IF(BW1130=1,"Neu; ","")&amp;IF(AND(BW1130=0,BR1130&lt;0),"negativer Bestand (Export "&amp;BR1130&amp;"); ","")&amp;IF(J1130&lt;=0,"Kein Verbrauch; ","")&amp;IF(CR1130&gt;0,"Lift "&amp;W1130&amp;" lt. Liftbericht (Fach "&amp;X1130&amp;" Stk); ",IF(CB1130=1,"Gebinde geschätzt ("&amp;T1130&amp;"); ",IF(CA1130=1,"Lose – Tablare geschätzt; ","")))&amp;IF(H1130&gt;AW1130,"Überbestand "&amp;ROUND(H1130-AW1130,0)&amp;" Stk / CHF "&amp;ROUND((H1130-AW1130)*G1130,0)&amp;"; ","")&amp;IF(AND(CI1130=1,CJ1130&lt;CK1130),"MAX &lt; MB+LG; ","")&amp;IF(AND(CQ1130&gt;0,CP1130*10&gt;CQ1130),"zu hoch für Tablar; ","")&amp;IF(AND(BW1130=0,OR(CI1130=1,AB1130&lt;&gt;"",U1130&lt;&gt;"",V1130&lt;&gt;"",AC1130&lt;&gt;"")),"manuell übersteuert; ","")&amp;IF(AND(CA1130=0,R1130=0),"Gebinde unbekannt / Stellmass fehlt; ","")&amp;IF(AND(CA1130=0,N(V1130)&lt;=0,N(Q1130)&lt;=0),"Menge pro Gebinde fehlt (Ist = 1 Gebinde); ","")&amp;BV1130)</f>
        <v>negativer Bestand (Export -8); Gebinde geschätzt (Klein); Menge pro Gebinde fehlt (Ist = 1 Gebinde); </v>
      </c>
      <c r="BO1130" s="60"/>
      <c r="BP1130" s="60"/>
      <c r="BQ1130" s="67"/>
      <c r="BR1130" s="62" t="n">
        <v>-8</v>
      </c>
      <c r="BS1130" s="62" t="n">
        <v>16</v>
      </c>
      <c r="BT1130" s="61" t="n">
        <v>-255.2</v>
      </c>
      <c r="BU1130" s="62" t="n">
        <v>8</v>
      </c>
      <c r="BV1130" s="60"/>
      <c r="BW1130" s="65" t="n">
        <v>0</v>
      </c>
      <c r="BX1130" s="65" t="n">
        <v>1130</v>
      </c>
      <c r="BY1130" s="60" t="str">
        <f aca="false">IF(U1130&lt;&gt;"",UPPER(TRIM(U1130)),IF(CB1130=1,UPPER(VLOOKUP(T1130,Parameter!$I$27:$K$29,2,0)),IF(P1130="","LOSE",P1130)))</f>
        <v>S51</v>
      </c>
      <c r="BZ1130" s="62" t="n">
        <f aca="false">IF(BY1130="LOSE",1,IF(N(V1130)&gt;0,V1130,IF(CB1130=1,MAX(1,N(VLOOKUP(T1130,Parameter!$I$27:$K$29,3,0)),H1130,N(N1130)),IF(N(Q1130)&gt;0,Q1130,MAX(1,H1130)))))</f>
        <v>20</v>
      </c>
      <c r="CA1130" s="65" t="n">
        <f aca="false">IF(BY1130="LOSE",1,0)</f>
        <v>0</v>
      </c>
      <c r="CB1130" s="65" t="n">
        <f aca="false">IF(AND(U1130="",OR(P1130="",P1130="LOSE"),T1130&lt;&gt;"",N(S1130)&lt;=0,ISNUMBER(MATCH(T1130,Parameter!$I$27:$I$29,0))),1,0)</f>
        <v>1</v>
      </c>
      <c r="CC1130" s="65" t="n">
        <f aca="false">IF(CR1130&gt;0,INDEX(Parameter!$H$5:$H$7,W1130)/INDEX(Parameter!$E$5:$E$7,W1130),IF(AND(CA1130=0,N(IFERROR(VLOOKUP(BY1130,'Gebinde-Kategorie'!$A$5:$N$45,14,0),0))&gt;0),VLOOKUP(BY1130,'Gebinde-Kategorie'!$A$5:$N$45,14,0)*10+Parameter!$M$23,Parameter!$M$24))</f>
        <v>155</v>
      </c>
      <c r="CD1130" s="60" t="str">
        <f aca="false">IF(AND(Parameter!$B$19="Ja",E1130&lt;&gt;"",ISNUMBER(MATCH(E1130,Parameter!$I$35:$I$52,0))),VLOOKUP(E1130,Parameter!$I$35:$J$52,2,0),IFERROR(VLOOKUP(D1130,Parameter!$A$35:$C$64,2,0),"Nein"))</f>
        <v>2+3</v>
      </c>
      <c r="CE1130" s="64" t="n">
        <f aca="false">IF(CA1130=0,0,IF(N(S1130)&gt;0,S1130,IFERROR(VLOOKUP(D1130,Parameter!$A$35:$C$64,3,0)+0,0)))</f>
        <v>0</v>
      </c>
      <c r="CF1130" s="60" t="n">
        <f aca="false">IF(AB1130&lt;&gt;"",AB1130,AA1130)</f>
        <v>3</v>
      </c>
      <c r="CG1130" s="60" t="str">
        <f aca="false">IF(OR(CF1130=1,CF1130=2,CF1130=3),IF(Parameter!$E$27="Ja","LIFT",IF(CF1130=1,"L1","L23")),IF(CF1130="Aussen","Aussen","-"))</f>
        <v>LIFT</v>
      </c>
      <c r="CH1130" s="71" t="n">
        <f aca="false">IF(N(AC1130)&gt;0,AC1130,0)</f>
        <v>0</v>
      </c>
      <c r="CI1130" s="65" t="n">
        <f aca="false">IF(ISNUMBER(AF1130),1,0)</f>
        <v>0</v>
      </c>
      <c r="CJ1130" s="62" t="n">
        <f aca="false">N(AF1130)</f>
        <v>0</v>
      </c>
      <c r="CK1130" s="62" t="n">
        <f aca="false">N(M1130)+N(N1130)</f>
        <v>10</v>
      </c>
      <c r="CL1130" s="62" t="n">
        <f aca="false">N(M1130)</f>
        <v>0</v>
      </c>
      <c r="CM1130" s="62" t="n">
        <f aca="false">N(N1130)</f>
        <v>10</v>
      </c>
      <c r="CN1130" s="62" t="n">
        <f aca="false">ROUNDUP(H1130/BZ1130,0)</f>
        <v>1</v>
      </c>
      <c r="CO1130" s="62" t="n">
        <f aca="false">ROUNDUP(CJ1130/BZ1130,0)</f>
        <v>0</v>
      </c>
      <c r="CP1130" s="65" t="n">
        <f aca="false">IF(CA1130=1,0,IFERROR(VLOOKUP(BY1130,'Gebinde-Kategorie'!$A$5:$N$45,5,0)+0,0))</f>
        <v>11</v>
      </c>
      <c r="CQ1130" s="65" t="n">
        <f aca="false">IFERROR(IF(OR(CF1130=1,CF1130=2,CF1130=3),N(INDEX(Parameter!$I$5:$I$7,CF1130)),0),0)</f>
        <v>0</v>
      </c>
      <c r="CR1130" s="64" t="n">
        <f aca="false">IF(AND(Parameter!$B$21="Ja",ISNUMBER(W1130),N(X1130)&gt;0),IFERROR(N(INDEX(Parameter!$L$5:$L$7,W1130))*INDEX(Parameter!$E$5:$E$7,W1130)*X1130/SUMIFS($X$7:$X$1843,$W$7:$W$1843,W1130),0),0)</f>
        <v>0</v>
      </c>
      <c r="CS1130" s="62" t="n">
        <f aca="false">IF(AND(OR(CG1130="L1",CG1130="L23",CG1130="LIFT"),H1130&gt;0),CC1130*IF(CR1130&gt;0,CR1130*MAX(1,H1130/X1130),IF(CA1130=1,CE1130,IF(R1130&gt;0,CN1130/R1130,0))/MAX(0.1,N(Parameter!$M$21))),"")</f>
        <v>5.96153846153846</v>
      </c>
      <c r="CT1130" s="64" t="n">
        <f aca="false">IF(CS1130="","",J1130/H1130)</f>
        <v>1</v>
      </c>
      <c r="CU1130" s="62" t="n">
        <f aca="false">IF(CS1130="","",H1130*G1130)</f>
        <v>255.2</v>
      </c>
      <c r="CV1130" s="63" t="n">
        <f aca="false">IF(CS1130="","",(CL1130+ROUNDUP(CL1130+MAX(CM1130,2*(J1130/MAX(0.1,N(Einkauf!$C$6))-CL1130)),0))/2)</f>
        <v>5</v>
      </c>
      <c r="CW1130" s="62" t="n">
        <f aca="false">IF(CS1130="","",MAX(0,H1130-CV1130)*G1130)</f>
        <v>95.7</v>
      </c>
      <c r="CX1130" s="62" t="n">
        <f aca="false">IF(CS1130="","",CS1130*MAX(0,1-CV1130/H1130))</f>
        <v>2.23557692307692</v>
      </c>
      <c r="CY1130" s="64" t="n">
        <f aca="false">IF(CS1130="","",PERCENTRANK($CS$7:$CS$1843,CS1130)+PERCENTRANK($CU$7:$CU$1843,CU1130)+1-PERCENTRANK($CT$7:$CT$1843,CT1130))</f>
        <v>1.106</v>
      </c>
      <c r="CZ1130" s="72" t="n">
        <f aca="false">IF(CS1130="","",CHOOSE(MATCH(Einkauf!$C$5,Parameter!$G$23:$G$27,0),CY1130,CS1130,CU1130,-CT1130,CW1130)+ROW()/1000000000)</f>
        <v>1.10600113</v>
      </c>
    </row>
    <row r="1131" customFormat="false" ht="15" hidden="false" customHeight="false" outlineLevel="0" collapsed="false">
      <c r="A1131" s="60" t="s">
        <v>2090</v>
      </c>
      <c r="B1131" s="60" t="s">
        <v>339</v>
      </c>
      <c r="C1131" s="60" t="s">
        <v>206</v>
      </c>
      <c r="D1131" s="60" t="s">
        <v>215</v>
      </c>
      <c r="E1131" s="60"/>
      <c r="F1131" s="60" t="s">
        <v>260</v>
      </c>
      <c r="G1131" s="61" t="n">
        <v>257.72</v>
      </c>
      <c r="H1131" s="62" t="n">
        <f aca="false">MAX(0,IF(AND(Parameter!$B$21="Ja",ISNUMBER(Y1131)),Y1131,IF(Parameter!$B$20="Jahresanfang 2025 + Export",BS1131+BR1131,BR1131)))</f>
        <v>0</v>
      </c>
      <c r="I1131" s="62" t="n">
        <f aca="false">H1131*G1131</f>
        <v>0</v>
      </c>
      <c r="J1131" s="62" t="n">
        <f aca="false">BU1131*Parameter!$B$18</f>
        <v>0</v>
      </c>
      <c r="K1131" s="63" t="n">
        <v>0.5</v>
      </c>
      <c r="L1131" s="64" t="n">
        <v>0</v>
      </c>
      <c r="M1131" s="62" t="n">
        <v>0</v>
      </c>
      <c r="N1131" s="62" t="n">
        <v>1</v>
      </c>
      <c r="O1131" s="65" t="n">
        <v>70</v>
      </c>
      <c r="P1131" s="60" t="s">
        <v>210</v>
      </c>
      <c r="Q1131" s="62"/>
      <c r="R1131" s="65" t="n">
        <f aca="false">IF(CA1131=1,0,IFERROR(VLOOKUP(BY1131,'Gebinde-Kategorie'!$A$5:$N$45,13,0)+0,0))</f>
        <v>26</v>
      </c>
      <c r="S1131" s="66"/>
      <c r="T1131" s="67" t="s">
        <v>317</v>
      </c>
      <c r="U1131" s="67"/>
      <c r="V1131" s="67"/>
      <c r="W1131" s="60"/>
      <c r="X1131" s="62"/>
      <c r="Y1131" s="62"/>
      <c r="Z1131" s="60" t="n">
        <v>3</v>
      </c>
      <c r="AA1131" s="60" t="n">
        <f aca="false">IF(A1131="","",IF(AND(Parameter!$B$21="Ja",ISNUMBER(W1131)),W1131,IF(AND(Parameter!$E$27="Ja",ISNUMBER(Z1131),CD1131&lt;&gt;"Nein"),Z1131,IF(CD1131="2+3",IF(ISNUMBER(SEARCH("grosser Artikel",BV1131)),2,IFERROR(VLOOKUP(BY1131,Parameter!$F$35:$G$64,2,0),2)),IF(OR(CD1131="Nein",CD1131=""),"-",CD1131)))))</f>
        <v>3</v>
      </c>
      <c r="AB1131" s="67"/>
      <c r="AC1131" s="68"/>
      <c r="AD1131" s="62" t="n">
        <f aca="false">AW1131</f>
        <v>1</v>
      </c>
      <c r="AE1131" s="62" t="n">
        <f aca="false">MAX(AW1131,H1131)</f>
        <v>1</v>
      </c>
      <c r="AF1131" s="69"/>
      <c r="AG1131" s="62" t="n">
        <f aca="false">IF(LEFT(Cockpit!$C$5,1)="A",H1131,IF(Parameter!$E$30="MAX-Bestand",IF(CI1131=1,CJ1131,IF(LEFT(Cockpit!$C$5,1)="B",AM1131,MAX(AM1131,H1131))),ROUNDUP(AK1131,0)))</f>
        <v>0</v>
      </c>
      <c r="AH1131" s="62" t="n">
        <f aca="false">IF(CA1131=1,0,ROUNDUP(AG1131/BZ1131,0))</f>
        <v>0</v>
      </c>
      <c r="AI1131" s="64" t="n">
        <f aca="false">IF(CR1131&gt;0,CR1131*MAX(1,AG1131/X1131),IF(CA1131=1,IF(AG1131&lt;=0,0,CE1131*MAX(1,IF(H1131&gt;0,AG1131/H1131,1))),IF(R1131&gt;0,AH1131/R1131,0))/MAX(0.1,N(Parameter!$M$21)))</f>
        <v>0</v>
      </c>
      <c r="AJ1131" s="62" t="n">
        <f aca="false">AI1131*CC1131</f>
        <v>0</v>
      </c>
      <c r="AK1131" s="63" t="n">
        <f aca="false">IF(LEFT(Cockpit!$C$5,1)="A",H1131,IF(CI1131=1,(CL1131+CJ1131)/2,IF(LEFT(Cockpit!$C$5,1)="B",(CL1131+AM1131)/2,MAX((CL1131+AM1131)/2,H1131))))</f>
        <v>0</v>
      </c>
      <c r="AL1131" s="62" t="n">
        <f aca="false">AK1131*G1131</f>
        <v>0</v>
      </c>
      <c r="AM1131" s="62" t="n">
        <f aca="false">ROUNDUP(CL1131+MAX(CM1131,2*(J1131/IF(CH1131&gt;0,CH1131,MAX(0.1,N(Cockpit!$C$6)))-CL1131)),0)</f>
        <v>1</v>
      </c>
      <c r="AN1131" s="63" t="n">
        <f aca="false">IF(AJ1131&gt;0,J1131/AJ1131,-1)</f>
        <v>-1</v>
      </c>
      <c r="AO1131" s="63" t="str">
        <f aca="false">IF(AND(OR(CG1131="L1",CG1131="L23",CG1131="LIFT"),AJ1131&gt;0),SUMIFS($AJ$7:$AJ$1843,$CG$7:$CG$1843,CG1131,$AN$7:$AN$1843,"&gt;"&amp;AN1131)+SUMIFS($AJ$7:$AJ$1843,$CG$7:$CG$1843,CG1131,$AN$7:$AN$1843,AN1131,$BX$7:$BX$1843,"&lt;="&amp;BX1131),"")</f>
        <v/>
      </c>
      <c r="AP1131" s="70" t="n">
        <f aca="false">IF(AO1131="",0,MAX(0,MIN(1,(IF(CG1131="L1",Parameter!$H$5,IF(CG1131="L23",Parameter!$H$6+Parameter!$H$7,Parameter!$H$5+Parameter!$H$6+Parameter!$H$7))-(AO1131-AJ1131))/AJ1131)))</f>
        <v>0</v>
      </c>
      <c r="AQ1131" s="62" t="n">
        <f aca="false">IF(LEFT(Cockpit!$I$5,1)="A",H1131,IF(Parameter!$E$30="MAX-Bestand",IF(CI1131=1,CJ1131,IF(LEFT(Cockpit!$I$5,1)="B",AW1131,MAX(AW1131,H1131))),ROUNDUP(AU1131,0)))</f>
        <v>1</v>
      </c>
      <c r="AR1131" s="62" t="n">
        <f aca="false">IF(CA1131=1,0,ROUNDUP(AQ1131/BZ1131,0))</f>
        <v>1</v>
      </c>
      <c r="AS1131" s="64" t="n">
        <f aca="false">IF(CR1131&gt;0,CR1131*MAX(1,AQ1131/X1131),IF(CA1131=1,IF(AQ1131&lt;=0,0,CE1131*MAX(1,IF(H1131&gt;0,AQ1131/H1131,1))),IF(R1131&gt;0,AR1131/R1131,0))/MAX(0.1,N(Parameter!$M$21)))</f>
        <v>0.0384615384615385</v>
      </c>
      <c r="AT1131" s="62" t="n">
        <f aca="false">AS1131*CC1131</f>
        <v>5.96153846153846</v>
      </c>
      <c r="AU1131" s="63" t="n">
        <f aca="false">IF(LEFT(Cockpit!$I$5,1)="A",H1131,IF(CI1131=1,(CL1131+CJ1131)/2,IF(LEFT(Cockpit!$I$5,1)="B",(CL1131+AW1131)/2,MAX((CL1131+AW1131)/2,H1131))))</f>
        <v>0.5</v>
      </c>
      <c r="AV1131" s="62" t="n">
        <f aca="false">AU1131*G1131</f>
        <v>128.86</v>
      </c>
      <c r="AW1131" s="62" t="n">
        <f aca="false">ROUNDUP(CL1131+MAX(CM1131,2*(J1131/IF(CH1131&gt;0,CH1131,MAX(0.1,N(Cockpit!$I$6)))-CL1131)),0)</f>
        <v>1</v>
      </c>
      <c r="AX1131" s="63" t="n">
        <f aca="false">IF(AT1131&gt;0,J1131/AT1131,-1)</f>
        <v>0</v>
      </c>
      <c r="AY1131" s="63" t="n">
        <f aca="false">IF(AND(OR(CG1131="L1",CG1131="L23",CG1131="LIFT"),AT1131&gt;0),SUMIFS($AT$7:$AT$1843,$CG$7:$CG$1843,CG1131,$AX$7:$AX$1843,"&gt;"&amp;AX1131)+SUMIFS($AT$7:$AT$1843,$CG$7:$CG$1843,CG1131,$AX$7:$AX$1843,AX1131,$BX$7:$BX$1843,"&lt;="&amp;BX1131),"")</f>
        <v>34937.8292124542</v>
      </c>
      <c r="AZ1131" s="70" t="n">
        <f aca="false">IF(AY1131="",0,MAX(0,MIN(1,(IF(CG1131="L1",Parameter!$H$5,IF(CG1131="L23",Parameter!$H$6+Parameter!$H$7,Parameter!$H$5+Parameter!$H$6+Parameter!$H$7))-(AY1131-AT1131))/AT1131)))</f>
        <v>1</v>
      </c>
      <c r="BA1131" s="62" t="n">
        <f aca="false">IF(LEFT(Cockpit!$O$5,1)="A",H1131,IF(Parameter!$E$30="MAX-Bestand",IF(CI1131=1,CJ1131,IF(LEFT(Cockpit!$O$5,1)="B",BG1131,MAX(BG1131,H1131))),ROUNDUP(BE1131,0)))</f>
        <v>1</v>
      </c>
      <c r="BB1131" s="62" t="n">
        <f aca="false">IF(CA1131=1,0,ROUNDUP(BA1131/BZ1131,0))</f>
        <v>1</v>
      </c>
      <c r="BC1131" s="64" t="n">
        <f aca="false">IF(CR1131&gt;0,CR1131*MAX(1,BA1131/X1131),IF(CA1131=1,IF(BA1131&lt;=0,0,CE1131*MAX(1,IF(H1131&gt;0,BA1131/H1131,1))),IF(R1131&gt;0,BB1131/R1131,0))/MAX(0.1,N(Parameter!$M$21)))</f>
        <v>0.0384615384615385</v>
      </c>
      <c r="BD1131" s="62" t="n">
        <f aca="false">BC1131*CC1131</f>
        <v>5.96153846153846</v>
      </c>
      <c r="BE1131" s="63" t="n">
        <f aca="false">IF(LEFT(Cockpit!$O$5,1)="A",H1131,IF(CI1131=1,(CL1131+CJ1131)/2,IF(LEFT(Cockpit!$O$5,1)="B",(CL1131+BG1131)/2,MAX((CL1131+BG1131)/2,H1131))))</f>
        <v>0.5</v>
      </c>
      <c r="BF1131" s="62" t="n">
        <f aca="false">BE1131*G1131</f>
        <v>128.86</v>
      </c>
      <c r="BG1131" s="62" t="n">
        <f aca="false">ROUNDUP(CL1131+MAX(CM1131,2*(J1131/IF(CH1131&gt;0,CH1131,MAX(0.1,N(Cockpit!$O$6)))-CL1131)),0)</f>
        <v>1</v>
      </c>
      <c r="BH1131" s="63" t="n">
        <f aca="false">IF(BD1131&gt;0,J1131/BD1131,-1)</f>
        <v>0</v>
      </c>
      <c r="BI1131" s="63" t="n">
        <f aca="false">IF(AND(OR(CG1131="L1",CG1131="L23",CG1131="LIFT"),BD1131&gt;0),SUMIFS($BD$7:$BD$1843,$CG$7:$CG$1843,CG1131,$BH$7:$BH$1843,"&gt;"&amp;BH1131)+SUMIFS($BD$7:$BD$1843,$CG$7:$CG$1843,CG1131,$BH$7:$BH$1843,BH1131,$BX$7:$BX$1843,"&lt;="&amp;BX1131),"")</f>
        <v>28923.135872602</v>
      </c>
      <c r="BJ1131" s="70" t="n">
        <f aca="false">IF(BI1131="",0,MAX(0,MIN(1,(IF(CG1131="L1",Parameter!$H$5,IF(CG1131="L23",Parameter!$H$6+Parameter!$H$7,Parameter!$H$5+Parameter!$H$6+Parameter!$H$7))-(BI1131-BD1131))/BD1131)))</f>
        <v>1</v>
      </c>
      <c r="BK1131" s="60" t="str">
        <f aca="false">IF(AJ1131&lt;=0,"",IF(CG1131="Aussen","Aussenlager",IF(CG1131="-","Nicht im Lift",IF(AP1131&gt;=1,"Lift",IF(AP1131&lt;=0,"Aussenlager","teilweise")))))</f>
        <v/>
      </c>
      <c r="BL1131" s="60" t="str">
        <f aca="false">IF(AT1131&lt;=0,"",IF(CG1131="Aussen","Aussenlager",IF(CG1131="-","Nicht im Lift",IF(AZ1131&gt;=1,"Lift",IF(AZ1131&lt;=0,"Aussenlager","teilweise")))))</f>
        <v>Lift</v>
      </c>
      <c r="BM1131" s="60" t="str">
        <f aca="false">IF(BD1131&lt;=0,"",IF(CG1131="Aussen","Aussenlager",IF(CG1131="-","Nicht im Lift",IF(BJ1131&gt;=1,"Lift",IF(BJ1131&lt;=0,"Aussenlager","teilweise")))))</f>
        <v>Lift</v>
      </c>
      <c r="BN1131" s="60" t="str">
        <f aca="false">IF(A1131="","",IF(BW1131=1,"Neu; ","")&amp;IF(AND(BW1131=0,BR1131&lt;0),"negativer Bestand (Export "&amp;BR1131&amp;"); ","")&amp;IF(J1131&lt;=0,"Kein Verbrauch; ","")&amp;IF(CR1131&gt;0,"Lift "&amp;W1131&amp;" lt. Liftbericht (Fach "&amp;X1131&amp;" Stk); ",IF(CB1131=1,"Gebinde geschätzt ("&amp;T1131&amp;"); ",IF(CA1131=1,"Lose – Tablare geschätzt; ","")))&amp;IF(H1131&gt;AW1131,"Überbestand "&amp;ROUND(H1131-AW1131,0)&amp;" Stk / CHF "&amp;ROUND((H1131-AW1131)*G1131,0)&amp;"; ","")&amp;IF(AND(CI1131=1,CJ1131&lt;CK1131),"MAX &lt; MB+LG; ","")&amp;IF(AND(CQ1131&gt;0,CP1131*10&gt;CQ1131),"zu hoch für Tablar; ","")&amp;IF(AND(BW1131=0,OR(CI1131=1,AB1131&lt;&gt;"",U1131&lt;&gt;"",V1131&lt;&gt;"",AC1131&lt;&gt;"")),"manuell übersteuert; ","")&amp;IF(AND(CA1131=0,R1131=0),"Gebinde unbekannt / Stellmass fehlt; ","")&amp;IF(AND(CA1131=0,N(V1131)&lt;=0,N(Q1131)&lt;=0),"Menge pro Gebinde fehlt (Ist = 1 Gebinde); ","")&amp;BV1131)</f>
        <v>negativer Bestand (Export -1); Kein Verbrauch; Gebinde geschätzt (Klein); Menge pro Gebinde fehlt (Ist = 1 Gebinde); </v>
      </c>
      <c r="BO1131" s="60"/>
      <c r="BP1131" s="60"/>
      <c r="BQ1131" s="67"/>
      <c r="BR1131" s="62" t="n">
        <v>-1</v>
      </c>
      <c r="BS1131" s="62" t="n">
        <v>1</v>
      </c>
      <c r="BT1131" s="61" t="n">
        <v>-257.72</v>
      </c>
      <c r="BU1131" s="62" t="n">
        <v>0</v>
      </c>
      <c r="BV1131" s="60"/>
      <c r="BW1131" s="65" t="n">
        <v>0</v>
      </c>
      <c r="BX1131" s="65" t="n">
        <v>1131</v>
      </c>
      <c r="BY1131" s="60" t="str">
        <f aca="false">IF(U1131&lt;&gt;"",UPPER(TRIM(U1131)),IF(CB1131=1,UPPER(VLOOKUP(T1131,Parameter!$I$27:$K$29,2,0)),IF(P1131="","LOSE",P1131)))</f>
        <v>S51</v>
      </c>
      <c r="BZ1131" s="62" t="n">
        <f aca="false">IF(BY1131="LOSE",1,IF(N(V1131)&gt;0,V1131,IF(CB1131=1,MAX(1,N(VLOOKUP(T1131,Parameter!$I$27:$K$29,3,0)),H1131,N(N1131)),IF(N(Q1131)&gt;0,Q1131,MAX(1,H1131)))))</f>
        <v>20</v>
      </c>
      <c r="CA1131" s="65" t="n">
        <f aca="false">IF(BY1131="LOSE",1,0)</f>
        <v>0</v>
      </c>
      <c r="CB1131" s="65" t="n">
        <f aca="false">IF(AND(U1131="",OR(P1131="",P1131="LOSE"),T1131&lt;&gt;"",N(S1131)&lt;=0,ISNUMBER(MATCH(T1131,Parameter!$I$27:$I$29,0))),1,0)</f>
        <v>1</v>
      </c>
      <c r="CC1131" s="65" t="n">
        <f aca="false">IF(CR1131&gt;0,INDEX(Parameter!$H$5:$H$7,W1131)/INDEX(Parameter!$E$5:$E$7,W1131),IF(AND(CA1131=0,N(IFERROR(VLOOKUP(BY1131,'Gebinde-Kategorie'!$A$5:$N$45,14,0),0))&gt;0),VLOOKUP(BY1131,'Gebinde-Kategorie'!$A$5:$N$45,14,0)*10+Parameter!$M$23,Parameter!$M$24))</f>
        <v>155</v>
      </c>
      <c r="CD1131" s="60" t="str">
        <f aca="false">IF(AND(Parameter!$B$19="Ja",E1131&lt;&gt;"",ISNUMBER(MATCH(E1131,Parameter!$I$35:$I$52,0))),VLOOKUP(E1131,Parameter!$I$35:$J$52,2,0),IFERROR(VLOOKUP(D1131,Parameter!$A$35:$C$64,2,0),"Nein"))</f>
        <v>2+3</v>
      </c>
      <c r="CE1131" s="64" t="n">
        <f aca="false">IF(CA1131=0,0,IF(N(S1131)&gt;0,S1131,IFERROR(VLOOKUP(D1131,Parameter!$A$35:$C$64,3,0)+0,0)))</f>
        <v>0</v>
      </c>
      <c r="CF1131" s="60" t="n">
        <f aca="false">IF(AB1131&lt;&gt;"",AB1131,AA1131)</f>
        <v>3</v>
      </c>
      <c r="CG1131" s="60" t="str">
        <f aca="false">IF(OR(CF1131=1,CF1131=2,CF1131=3),IF(Parameter!$E$27="Ja","LIFT",IF(CF1131=1,"L1","L23")),IF(CF1131="Aussen","Aussen","-"))</f>
        <v>LIFT</v>
      </c>
      <c r="CH1131" s="71" t="n">
        <f aca="false">IF(N(AC1131)&gt;0,AC1131,0)</f>
        <v>0</v>
      </c>
      <c r="CI1131" s="65" t="n">
        <f aca="false">IF(ISNUMBER(AF1131),1,0)</f>
        <v>0</v>
      </c>
      <c r="CJ1131" s="62" t="n">
        <f aca="false">N(AF1131)</f>
        <v>0</v>
      </c>
      <c r="CK1131" s="62" t="n">
        <f aca="false">N(M1131)+N(N1131)</f>
        <v>1</v>
      </c>
      <c r="CL1131" s="62" t="n">
        <f aca="false">N(M1131)</f>
        <v>0</v>
      </c>
      <c r="CM1131" s="62" t="n">
        <f aca="false">N(N1131)</f>
        <v>1</v>
      </c>
      <c r="CN1131" s="62" t="n">
        <f aca="false">ROUNDUP(H1131/BZ1131,0)</f>
        <v>0</v>
      </c>
      <c r="CO1131" s="62" t="n">
        <f aca="false">ROUNDUP(CJ1131/BZ1131,0)</f>
        <v>0</v>
      </c>
      <c r="CP1131" s="65" t="n">
        <f aca="false">IF(CA1131=1,0,IFERROR(VLOOKUP(BY1131,'Gebinde-Kategorie'!$A$5:$N$45,5,0)+0,0))</f>
        <v>11</v>
      </c>
      <c r="CQ1131" s="65" t="n">
        <f aca="false">IFERROR(IF(OR(CF1131=1,CF1131=2,CF1131=3),N(INDEX(Parameter!$I$5:$I$7,CF1131)),0),0)</f>
        <v>0</v>
      </c>
      <c r="CR1131" s="64" t="n">
        <f aca="false">IF(AND(Parameter!$B$21="Ja",ISNUMBER(W1131),N(X1131)&gt;0),IFERROR(N(INDEX(Parameter!$L$5:$L$7,W1131))*INDEX(Parameter!$E$5:$E$7,W1131)*X1131/SUMIFS($X$7:$X$1843,$W$7:$W$1843,W1131),0),0)</f>
        <v>0</v>
      </c>
      <c r="CS1131" s="62" t="str">
        <f aca="false">IF(AND(OR(CG1131="L1",CG1131="L23",CG1131="LIFT"),H1131&gt;0),CC1131*IF(CR1131&gt;0,CR1131*MAX(1,H1131/X1131),IF(CA1131=1,CE1131,IF(R1131&gt;0,CN1131/R1131,0))/MAX(0.1,N(Parameter!$M$21))),"")</f>
        <v/>
      </c>
      <c r="CT1131" s="64" t="str">
        <f aca="false">IF(CS1131="","",J1131/H1131)</f>
        <v/>
      </c>
      <c r="CU1131" s="62" t="str">
        <f aca="false">IF(CS1131="","",H1131*G1131)</f>
        <v/>
      </c>
      <c r="CV1131" s="63" t="str">
        <f aca="false">IF(CS1131="","",(CL1131+ROUNDUP(CL1131+MAX(CM1131,2*(J1131/MAX(0.1,N(Einkauf!$C$6))-CL1131)),0))/2)</f>
        <v/>
      </c>
      <c r="CW1131" s="62" t="str">
        <f aca="false">IF(CS1131="","",MAX(0,H1131-CV1131)*G1131)</f>
        <v/>
      </c>
      <c r="CX1131" s="62" t="str">
        <f aca="false">IF(CS1131="","",CS1131*MAX(0,1-CV1131/H1131))</f>
        <v/>
      </c>
      <c r="CY1131" s="64" t="str">
        <f aca="false">IF(CS1131="","",PERCENTRANK($CS$7:$CS$1843,CS1131)+PERCENTRANK($CU$7:$CU$1843,CU1131)+1-PERCENTRANK($CT$7:$CT$1843,CT1131))</f>
        <v/>
      </c>
      <c r="CZ1131" s="72" t="str">
        <f aca="false">IF(CS1131="","",CHOOSE(MATCH(Einkauf!$C$5,Parameter!$G$23:$G$27,0),CY1131,CS1131,CU1131,-CT1131,CW1131)+ROW()/1000000000)</f>
        <v/>
      </c>
    </row>
    <row r="1132" customFormat="false" ht="15" hidden="false" customHeight="false" outlineLevel="0" collapsed="false">
      <c r="A1132" s="60" t="s">
        <v>2091</v>
      </c>
      <c r="B1132" s="60" t="s">
        <v>2092</v>
      </c>
      <c r="C1132" s="60" t="s">
        <v>206</v>
      </c>
      <c r="D1132" s="60" t="s">
        <v>226</v>
      </c>
      <c r="E1132" s="60" t="s">
        <v>227</v>
      </c>
      <c r="F1132" s="60" t="s">
        <v>260</v>
      </c>
      <c r="G1132" s="61" t="n">
        <v>259.12</v>
      </c>
      <c r="H1132" s="62" t="n">
        <f aca="false">MAX(0,IF(AND(Parameter!$B$21="Ja",ISNUMBER(Y1132)),Y1132,IF(Parameter!$B$20="Jahresanfang 2025 + Export",BS1132+BR1132,BR1132)))</f>
        <v>6</v>
      </c>
      <c r="I1132" s="62" t="n">
        <f aca="false">H1132*G1132</f>
        <v>1554.72</v>
      </c>
      <c r="J1132" s="62" t="n">
        <f aca="false">BU1132*Parameter!$B$18</f>
        <v>1</v>
      </c>
      <c r="K1132" s="63" t="n">
        <v>6.5</v>
      </c>
      <c r="L1132" s="64" t="n">
        <v>0.153846153846154</v>
      </c>
      <c r="M1132" s="62" t="n">
        <v>0</v>
      </c>
      <c r="N1132" s="62" t="n">
        <v>1</v>
      </c>
      <c r="O1132" s="65" t="n">
        <v>28</v>
      </c>
      <c r="P1132" s="60" t="s">
        <v>344</v>
      </c>
      <c r="Q1132" s="62" t="n">
        <v>7</v>
      </c>
      <c r="R1132" s="65" t="n">
        <f aca="false">IF(CA1132=1,0,IFERROR(VLOOKUP(BY1132,'Gebinde-Kategorie'!$A$5:$N$45,13,0)+0,0))</f>
        <v>26</v>
      </c>
      <c r="S1132" s="66"/>
      <c r="T1132" s="67"/>
      <c r="U1132" s="67"/>
      <c r="V1132" s="67"/>
      <c r="W1132" s="60"/>
      <c r="X1132" s="62"/>
      <c r="Y1132" s="62"/>
      <c r="Z1132" s="60" t="n">
        <v>3</v>
      </c>
      <c r="AA1132" s="60" t="n">
        <f aca="false">IF(A1132="","",IF(AND(Parameter!$B$21="Ja",ISNUMBER(W1132)),W1132,IF(AND(Parameter!$E$27="Ja",ISNUMBER(Z1132),CD1132&lt;&gt;"Nein"),Z1132,IF(CD1132="2+3",IF(ISNUMBER(SEARCH("grosser Artikel",BV1132)),2,IFERROR(VLOOKUP(BY1132,Parameter!$F$35:$G$64,2,0),2)),IF(OR(CD1132="Nein",CD1132=""),"-",CD1132)))))</f>
        <v>3</v>
      </c>
      <c r="AB1132" s="67"/>
      <c r="AC1132" s="68"/>
      <c r="AD1132" s="62" t="n">
        <f aca="false">AW1132</f>
        <v>1</v>
      </c>
      <c r="AE1132" s="62" t="n">
        <f aca="false">MAX(AW1132,H1132)</f>
        <v>6</v>
      </c>
      <c r="AF1132" s="69"/>
      <c r="AG1132" s="62" t="n">
        <f aca="false">IF(LEFT(Cockpit!$C$5,1)="A",H1132,IF(Parameter!$E$30="MAX-Bestand",IF(CI1132=1,CJ1132,IF(LEFT(Cockpit!$C$5,1)="B",AM1132,MAX(AM1132,H1132))),ROUNDUP(AK1132,0)))</f>
        <v>6</v>
      </c>
      <c r="AH1132" s="62" t="n">
        <f aca="false">IF(CA1132=1,0,ROUNDUP(AG1132/BZ1132,0))</f>
        <v>1</v>
      </c>
      <c r="AI1132" s="64" t="n">
        <f aca="false">IF(CR1132&gt;0,CR1132*MAX(1,AG1132/X1132),IF(CA1132=1,IF(AG1132&lt;=0,0,CE1132*MAX(1,IF(H1132&gt;0,AG1132/H1132,1))),IF(R1132&gt;0,AH1132/R1132,0))/MAX(0.1,N(Parameter!$M$21)))</f>
        <v>0.0384615384615385</v>
      </c>
      <c r="AJ1132" s="62" t="n">
        <f aca="false">AI1132*CC1132</f>
        <v>5.96153846153846</v>
      </c>
      <c r="AK1132" s="63" t="n">
        <f aca="false">IF(LEFT(Cockpit!$C$5,1)="A",H1132,IF(CI1132=1,(CL1132+CJ1132)/2,IF(LEFT(Cockpit!$C$5,1)="B",(CL1132+AM1132)/2,MAX((CL1132+AM1132)/2,H1132))))</f>
        <v>6</v>
      </c>
      <c r="AL1132" s="62" t="n">
        <f aca="false">AK1132*G1132</f>
        <v>1554.72</v>
      </c>
      <c r="AM1132" s="62" t="n">
        <f aca="false">ROUNDUP(CL1132+MAX(CM1132,2*(J1132/IF(CH1132&gt;0,CH1132,MAX(0.1,N(Cockpit!$C$6)))-CL1132)),0)</f>
        <v>1</v>
      </c>
      <c r="AN1132" s="63" t="n">
        <f aca="false">IF(AJ1132&gt;0,J1132/AJ1132,-1)</f>
        <v>0.167741935483871</v>
      </c>
      <c r="AO1132" s="63" t="n">
        <f aca="false">IF(AND(OR(CG1132="L1",CG1132="L23",CG1132="LIFT"),AJ1132&gt;0),SUMIFS($AJ$7:$AJ$1843,$CG$7:$CG$1843,CG1132,$AN$7:$AN$1843,"&gt;"&amp;AN1132)+SUMIFS($AJ$7:$AJ$1843,$CG$7:$CG$1843,CG1132,$AN$7:$AN$1843,AN1132,$BX$7:$BX$1843,"&lt;="&amp;BX1132),"")</f>
        <v>12751.2721823845</v>
      </c>
      <c r="AP1132" s="70" t="n">
        <f aca="false">IF(AO1132="",0,MAX(0,MIN(1,(IF(CG1132="L1",Parameter!$H$5,IF(CG1132="L23",Parameter!$H$6+Parameter!$H$7,Parameter!$H$5+Parameter!$H$6+Parameter!$H$7))-(AO1132-AJ1132))/AJ1132)))</f>
        <v>1</v>
      </c>
      <c r="AQ1132" s="62" t="n">
        <f aca="false">IF(LEFT(Cockpit!$I$5,1)="A",H1132,IF(Parameter!$E$30="MAX-Bestand",IF(CI1132=1,CJ1132,IF(LEFT(Cockpit!$I$5,1)="B",AW1132,MAX(AW1132,H1132))),ROUNDUP(AU1132,0)))</f>
        <v>6</v>
      </c>
      <c r="AR1132" s="62" t="n">
        <f aca="false">IF(CA1132=1,0,ROUNDUP(AQ1132/BZ1132,0))</f>
        <v>1</v>
      </c>
      <c r="AS1132" s="64" t="n">
        <f aca="false">IF(CR1132&gt;0,CR1132*MAX(1,AQ1132/X1132),IF(CA1132=1,IF(AQ1132&lt;=0,0,CE1132*MAX(1,IF(H1132&gt;0,AQ1132/H1132,1))),IF(R1132&gt;0,AR1132/R1132,0))/MAX(0.1,N(Parameter!$M$21)))</f>
        <v>0.0384615384615385</v>
      </c>
      <c r="AT1132" s="62" t="n">
        <f aca="false">AS1132*CC1132</f>
        <v>5.96153846153846</v>
      </c>
      <c r="AU1132" s="63" t="n">
        <f aca="false">IF(LEFT(Cockpit!$I$5,1)="A",H1132,IF(CI1132=1,(CL1132+CJ1132)/2,IF(LEFT(Cockpit!$I$5,1)="B",(CL1132+AW1132)/2,MAX((CL1132+AW1132)/2,H1132))))</f>
        <v>6</v>
      </c>
      <c r="AV1132" s="62" t="n">
        <f aca="false">AU1132*G1132</f>
        <v>1554.72</v>
      </c>
      <c r="AW1132" s="62" t="n">
        <f aca="false">ROUNDUP(CL1132+MAX(CM1132,2*(J1132/IF(CH1132&gt;0,CH1132,MAX(0.1,N(Cockpit!$I$6)))-CL1132)),0)</f>
        <v>1</v>
      </c>
      <c r="AX1132" s="63" t="n">
        <f aca="false">IF(AT1132&gt;0,J1132/AT1132,-1)</f>
        <v>0.167741935483871</v>
      </c>
      <c r="AY1132" s="63" t="n">
        <f aca="false">IF(AND(OR(CG1132="L1",CG1132="L23",CG1132="LIFT"),AT1132&gt;0),SUMIFS($AT$7:$AT$1843,$CG$7:$CG$1843,CG1132,$AX$7:$AX$1843,"&gt;"&amp;AX1132)+SUMIFS($AT$7:$AT$1843,$CG$7:$CG$1843,CG1132,$AX$7:$AX$1843,AX1132,$BX$7:$BX$1843,"&lt;="&amp;BX1132),"")</f>
        <v>15679.9528388278</v>
      </c>
      <c r="AZ1132" s="70" t="n">
        <f aca="false">IF(AY1132="",0,MAX(0,MIN(1,(IF(CG1132="L1",Parameter!$H$5,IF(CG1132="L23",Parameter!$H$6+Parameter!$H$7,Parameter!$H$5+Parameter!$H$6+Parameter!$H$7))-(AY1132-AT1132))/AT1132)))</f>
        <v>1</v>
      </c>
      <c r="BA1132" s="62" t="n">
        <f aca="false">IF(LEFT(Cockpit!$O$5,1)="A",H1132,IF(Parameter!$E$30="MAX-Bestand",IF(CI1132=1,CJ1132,IF(LEFT(Cockpit!$O$5,1)="B",BG1132,MAX(BG1132,H1132))),ROUNDUP(BE1132,0)))</f>
        <v>1</v>
      </c>
      <c r="BB1132" s="62" t="n">
        <f aca="false">IF(CA1132=1,0,ROUNDUP(BA1132/BZ1132,0))</f>
        <v>1</v>
      </c>
      <c r="BC1132" s="64" t="n">
        <f aca="false">IF(CR1132&gt;0,CR1132*MAX(1,BA1132/X1132),IF(CA1132=1,IF(BA1132&lt;=0,0,CE1132*MAX(1,IF(H1132&gt;0,BA1132/H1132,1))),IF(R1132&gt;0,BB1132/R1132,0))/MAX(0.1,N(Parameter!$M$21)))</f>
        <v>0.0384615384615385</v>
      </c>
      <c r="BD1132" s="62" t="n">
        <f aca="false">BC1132*CC1132</f>
        <v>5.96153846153846</v>
      </c>
      <c r="BE1132" s="63" t="n">
        <f aca="false">IF(LEFT(Cockpit!$O$5,1)="A",H1132,IF(CI1132=1,(CL1132+CJ1132)/2,IF(LEFT(Cockpit!$O$5,1)="B",(CL1132+BG1132)/2,MAX((CL1132+BG1132)/2,H1132))))</f>
        <v>0.5</v>
      </c>
      <c r="BF1132" s="62" t="n">
        <f aca="false">BE1132*G1132</f>
        <v>129.56</v>
      </c>
      <c r="BG1132" s="62" t="n">
        <f aca="false">ROUNDUP(CL1132+MAX(CM1132,2*(J1132/IF(CH1132&gt;0,CH1132,MAX(0.1,N(Cockpit!$O$6)))-CL1132)),0)</f>
        <v>1</v>
      </c>
      <c r="BH1132" s="63" t="n">
        <f aca="false">IF(BD1132&gt;0,J1132/BD1132,-1)</f>
        <v>0.167741935483871</v>
      </c>
      <c r="BI1132" s="63" t="n">
        <f aca="false">IF(AND(OR(CG1132="L1",CG1132="L23",CG1132="LIFT"),BD1132&gt;0),SUMIFS($BD$7:$BD$1843,$CG$7:$CG$1843,CG1132,$BH$7:$BH$1843,"&gt;"&amp;BH1132)+SUMIFS($BD$7:$BD$1843,$CG$7:$CG$1843,CG1132,$BH$7:$BH$1843,BH1132,$BX$7:$BX$1843,"&lt;="&amp;BX1132),"")</f>
        <v>13482.2526670599</v>
      </c>
      <c r="BJ1132" s="70" t="n">
        <f aca="false">IF(BI1132="",0,MAX(0,MIN(1,(IF(CG1132="L1",Parameter!$H$5,IF(CG1132="L23",Parameter!$H$6+Parameter!$H$7,Parameter!$H$5+Parameter!$H$6+Parameter!$H$7))-(BI1132-BD1132))/BD1132)))</f>
        <v>1</v>
      </c>
      <c r="BK1132" s="60" t="str">
        <f aca="false">IF(AJ1132&lt;=0,"",IF(CG1132="Aussen","Aussenlager",IF(CG1132="-","Nicht im Lift",IF(AP1132&gt;=1,"Lift",IF(AP1132&lt;=0,"Aussenlager","teilweise")))))</f>
        <v>Lift</v>
      </c>
      <c r="BL1132" s="60" t="str">
        <f aca="false">IF(AT1132&lt;=0,"",IF(CG1132="Aussen","Aussenlager",IF(CG1132="-","Nicht im Lift",IF(AZ1132&gt;=1,"Lift",IF(AZ1132&lt;=0,"Aussenlager","teilweise")))))</f>
        <v>Lift</v>
      </c>
      <c r="BM1132" s="60" t="str">
        <f aca="false">IF(BD1132&lt;=0,"",IF(CG1132="Aussen","Aussenlager",IF(CG1132="-","Nicht im Lift",IF(BJ1132&gt;=1,"Lift",IF(BJ1132&lt;=0,"Aussenlager","teilweise")))))</f>
        <v>Lift</v>
      </c>
      <c r="BN1132" s="60" t="str">
        <f aca="false">IF(A1132="","",IF(BW1132=1,"Neu; ","")&amp;IF(AND(BW1132=0,BR1132&lt;0),"negativer Bestand (Export "&amp;BR1132&amp;"); ","")&amp;IF(J1132&lt;=0,"Kein Verbrauch; ","")&amp;IF(CR1132&gt;0,"Lift "&amp;W1132&amp;" lt. Liftbericht (Fach "&amp;X1132&amp;" Stk); ",IF(CB1132=1,"Gebinde geschätzt ("&amp;T1132&amp;"); ",IF(CA1132=1,"Lose – Tablare geschätzt; ","")))&amp;IF(H1132&gt;AW1132,"Überbestand "&amp;ROUND(H1132-AW1132,0)&amp;" Stk / CHF "&amp;ROUND((H1132-AW1132)*G1132,0)&amp;"; ","")&amp;IF(AND(CI1132=1,CJ1132&lt;CK1132),"MAX &lt; MB+LG; ","")&amp;IF(AND(CQ1132&gt;0,CP1132*10&gt;CQ1132),"zu hoch für Tablar; ","")&amp;IF(AND(BW1132=0,OR(CI1132=1,AB1132&lt;&gt;"",U1132&lt;&gt;"",V1132&lt;&gt;"",AC1132&lt;&gt;"")),"manuell übersteuert; ","")&amp;IF(AND(CA1132=0,R1132=0),"Gebinde unbekannt / Stellmass fehlt; ","")&amp;IF(AND(CA1132=0,N(V1132)&lt;=0,N(Q1132)&lt;=0),"Menge pro Gebinde fehlt (Ist = 1 Gebinde); ","")&amp;BV1132)</f>
        <v>negativer Bestand (Export -1); Überbestand 5 Stk / CHF 1296; Überbestand</v>
      </c>
      <c r="BO1132" s="60"/>
      <c r="BP1132" s="60"/>
      <c r="BQ1132" s="67"/>
      <c r="BR1132" s="62" t="n">
        <v>-1</v>
      </c>
      <c r="BS1132" s="62" t="n">
        <v>7</v>
      </c>
      <c r="BT1132" s="61" t="n">
        <v>-259.12</v>
      </c>
      <c r="BU1132" s="62" t="n">
        <v>1</v>
      </c>
      <c r="BV1132" s="60" t="s">
        <v>434</v>
      </c>
      <c r="BW1132" s="65" t="n">
        <v>0</v>
      </c>
      <c r="BX1132" s="65" t="n">
        <v>1132</v>
      </c>
      <c r="BY1132" s="60" t="str">
        <f aca="false">IF(U1132&lt;&gt;"",UPPER(TRIM(U1132)),IF(CB1132=1,UPPER(VLOOKUP(T1132,Parameter!$I$27:$K$29,2,0)),IF(P1132="","LOSE",P1132)))</f>
        <v>S51</v>
      </c>
      <c r="BZ1132" s="62" t="n">
        <f aca="false">IF(BY1132="LOSE",1,IF(N(V1132)&gt;0,V1132,IF(CB1132=1,MAX(1,N(VLOOKUP(T1132,Parameter!$I$27:$K$29,3,0)),H1132,N(N1132)),IF(N(Q1132)&gt;0,Q1132,MAX(1,H1132)))))</f>
        <v>7</v>
      </c>
      <c r="CA1132" s="65" t="n">
        <f aca="false">IF(BY1132="LOSE",1,0)</f>
        <v>0</v>
      </c>
      <c r="CB1132" s="65" t="n">
        <f aca="false">IF(AND(U1132="",OR(P1132="",P1132="LOSE"),T1132&lt;&gt;"",N(S1132)&lt;=0,ISNUMBER(MATCH(T1132,Parameter!$I$27:$I$29,0))),1,0)</f>
        <v>0</v>
      </c>
      <c r="CC1132" s="65" t="n">
        <f aca="false">IF(CR1132&gt;0,INDEX(Parameter!$H$5:$H$7,W1132)/INDEX(Parameter!$E$5:$E$7,W1132),IF(AND(CA1132=0,N(IFERROR(VLOOKUP(BY1132,'Gebinde-Kategorie'!$A$5:$N$45,14,0),0))&gt;0),VLOOKUP(BY1132,'Gebinde-Kategorie'!$A$5:$N$45,14,0)*10+Parameter!$M$23,Parameter!$M$24))</f>
        <v>155</v>
      </c>
      <c r="CD1132" s="60" t="str">
        <f aca="false">IF(AND(Parameter!$B$19="Ja",E1132&lt;&gt;"",ISNUMBER(MATCH(E1132,Parameter!$I$35:$I$52,0))),VLOOKUP(E1132,Parameter!$I$35:$J$52,2,0),IFERROR(VLOOKUP(D1132,Parameter!$A$35:$C$64,2,0),"Nein"))</f>
        <v>2+3</v>
      </c>
      <c r="CE1132" s="64" t="n">
        <f aca="false">IF(CA1132=0,0,IF(N(S1132)&gt;0,S1132,IFERROR(VLOOKUP(D1132,Parameter!$A$35:$C$64,3,0)+0,0)))</f>
        <v>0</v>
      </c>
      <c r="CF1132" s="60" t="n">
        <f aca="false">IF(AB1132&lt;&gt;"",AB1132,AA1132)</f>
        <v>3</v>
      </c>
      <c r="CG1132" s="60" t="str">
        <f aca="false">IF(OR(CF1132=1,CF1132=2,CF1132=3),IF(Parameter!$E$27="Ja","LIFT",IF(CF1132=1,"L1","L23")),IF(CF1132="Aussen","Aussen","-"))</f>
        <v>LIFT</v>
      </c>
      <c r="CH1132" s="71" t="n">
        <f aca="false">IF(N(AC1132)&gt;0,AC1132,0)</f>
        <v>0</v>
      </c>
      <c r="CI1132" s="65" t="n">
        <f aca="false">IF(ISNUMBER(AF1132),1,0)</f>
        <v>0</v>
      </c>
      <c r="CJ1132" s="62" t="n">
        <f aca="false">N(AF1132)</f>
        <v>0</v>
      </c>
      <c r="CK1132" s="62" t="n">
        <f aca="false">N(M1132)+N(N1132)</f>
        <v>1</v>
      </c>
      <c r="CL1132" s="62" t="n">
        <f aca="false">N(M1132)</f>
        <v>0</v>
      </c>
      <c r="CM1132" s="62" t="n">
        <f aca="false">N(N1132)</f>
        <v>1</v>
      </c>
      <c r="CN1132" s="62" t="n">
        <f aca="false">ROUNDUP(H1132/BZ1132,0)</f>
        <v>1</v>
      </c>
      <c r="CO1132" s="62" t="n">
        <f aca="false">ROUNDUP(CJ1132/BZ1132,0)</f>
        <v>0</v>
      </c>
      <c r="CP1132" s="65" t="n">
        <f aca="false">IF(CA1132=1,0,IFERROR(VLOOKUP(BY1132,'Gebinde-Kategorie'!$A$5:$N$45,5,0)+0,0))</f>
        <v>11</v>
      </c>
      <c r="CQ1132" s="65" t="n">
        <f aca="false">IFERROR(IF(OR(CF1132=1,CF1132=2,CF1132=3),N(INDEX(Parameter!$I$5:$I$7,CF1132)),0),0)</f>
        <v>0</v>
      </c>
      <c r="CR1132" s="64" t="n">
        <f aca="false">IF(AND(Parameter!$B$21="Ja",ISNUMBER(W1132),N(X1132)&gt;0),IFERROR(N(INDEX(Parameter!$L$5:$L$7,W1132))*INDEX(Parameter!$E$5:$E$7,W1132)*X1132/SUMIFS($X$7:$X$1843,$W$7:$W$1843,W1132),0),0)</f>
        <v>0</v>
      </c>
      <c r="CS1132" s="62" t="n">
        <f aca="false">IF(AND(OR(CG1132="L1",CG1132="L23",CG1132="LIFT"),H1132&gt;0),CC1132*IF(CR1132&gt;0,CR1132*MAX(1,H1132/X1132),IF(CA1132=1,CE1132,IF(R1132&gt;0,CN1132/R1132,0))/MAX(0.1,N(Parameter!$M$21))),"")</f>
        <v>5.96153846153846</v>
      </c>
      <c r="CT1132" s="64" t="n">
        <f aca="false">IF(CS1132="","",J1132/H1132)</f>
        <v>0.166666666666667</v>
      </c>
      <c r="CU1132" s="62" t="n">
        <f aca="false">IF(CS1132="","",H1132*G1132)</f>
        <v>1554.72</v>
      </c>
      <c r="CV1132" s="63" t="n">
        <f aca="false">IF(CS1132="","",(CL1132+ROUNDUP(CL1132+MAX(CM1132,2*(J1132/MAX(0.1,N(Einkauf!$C$6))-CL1132)),0))/2)</f>
        <v>0.5</v>
      </c>
      <c r="CW1132" s="62" t="n">
        <f aca="false">IF(CS1132="","",MAX(0,H1132-CV1132)*G1132)</f>
        <v>1425.16</v>
      </c>
      <c r="CX1132" s="62" t="n">
        <f aca="false">IF(CS1132="","",CS1132*MAX(0,1-CV1132/H1132))</f>
        <v>5.46474358974359</v>
      </c>
      <c r="CY1132" s="64" t="n">
        <f aca="false">IF(CS1132="","",PERCENTRANK($CS$7:$CS$1843,CS1132)+PERCENTRANK($CU$7:$CU$1843,CU1132)+1-PERCENTRANK($CT$7:$CT$1843,CT1132))</f>
        <v>1.619</v>
      </c>
      <c r="CZ1132" s="72" t="n">
        <f aca="false">IF(CS1132="","",CHOOSE(MATCH(Einkauf!$C$5,Parameter!$G$23:$G$27,0),CY1132,CS1132,CU1132,-CT1132,CW1132)+ROW()/1000000000)</f>
        <v>1.619001132</v>
      </c>
    </row>
    <row r="1133" customFormat="false" ht="15" hidden="false" customHeight="false" outlineLevel="0" collapsed="false">
      <c r="A1133" s="60" t="s">
        <v>2093</v>
      </c>
      <c r="B1133" s="60" t="s">
        <v>2094</v>
      </c>
      <c r="C1133" s="60" t="s">
        <v>498</v>
      </c>
      <c r="D1133" s="60" t="s">
        <v>215</v>
      </c>
      <c r="E1133" s="60" t="s">
        <v>1521</v>
      </c>
      <c r="F1133" s="60" t="s">
        <v>260</v>
      </c>
      <c r="G1133" s="61" t="n">
        <v>65.07</v>
      </c>
      <c r="H1133" s="62" t="n">
        <f aca="false">MAX(0,IF(AND(Parameter!$B$21="Ja",ISNUMBER(Y1133)),Y1133,IF(Parameter!$B$20="Jahresanfang 2025 + Export",BS1133+BR1133,BR1133)))</f>
        <v>0</v>
      </c>
      <c r="I1133" s="62" t="n">
        <f aca="false">H1133*G1133</f>
        <v>0</v>
      </c>
      <c r="J1133" s="62" t="n">
        <f aca="false">BU1133*Parameter!$B$18</f>
        <v>0</v>
      </c>
      <c r="K1133" s="63" t="n">
        <v>2</v>
      </c>
      <c r="L1133" s="64" t="n">
        <v>0</v>
      </c>
      <c r="M1133" s="62" t="n">
        <v>0</v>
      </c>
      <c r="N1133" s="62" t="n">
        <v>1</v>
      </c>
      <c r="O1133" s="65" t="n">
        <v>56</v>
      </c>
      <c r="P1133" s="60" t="s">
        <v>210</v>
      </c>
      <c r="Q1133" s="62"/>
      <c r="R1133" s="65" t="n">
        <f aca="false">IF(CA1133=1,0,IFERROR(VLOOKUP(BY1133,'Gebinde-Kategorie'!$A$5:$N$45,13,0)+0,0))</f>
        <v>4</v>
      </c>
      <c r="S1133" s="66"/>
      <c r="T1133" s="67" t="s">
        <v>231</v>
      </c>
      <c r="U1133" s="67"/>
      <c r="V1133" s="67"/>
      <c r="W1133" s="60"/>
      <c r="X1133" s="62"/>
      <c r="Y1133" s="62"/>
      <c r="Z1133" s="60"/>
      <c r="AA1133" s="60" t="str">
        <f aca="false">IF(A1133="","",IF(AND(Parameter!$B$21="Ja",ISNUMBER(W1133)),W1133,IF(AND(Parameter!$E$27="Ja",ISNUMBER(Z1133),CD1133&lt;&gt;"Nein"),Z1133,IF(CD1133="2+3",IF(ISNUMBER(SEARCH("grosser Artikel",BV1133)),2,IFERROR(VLOOKUP(BY1133,Parameter!$F$35:$G$64,2,0),2)),IF(OR(CD1133="Nein",CD1133=""),"-",CD1133)))))</f>
        <v>-</v>
      </c>
      <c r="AB1133" s="67"/>
      <c r="AC1133" s="68"/>
      <c r="AD1133" s="62" t="n">
        <f aca="false">AW1133</f>
        <v>1</v>
      </c>
      <c r="AE1133" s="62" t="n">
        <f aca="false">MAX(AW1133,H1133)</f>
        <v>1</v>
      </c>
      <c r="AF1133" s="69"/>
      <c r="AG1133" s="62" t="n">
        <f aca="false">IF(LEFT(Cockpit!$C$5,1)="A",H1133,IF(Parameter!$E$30="MAX-Bestand",IF(CI1133=1,CJ1133,IF(LEFT(Cockpit!$C$5,1)="B",AM1133,MAX(AM1133,H1133))),ROUNDUP(AK1133,0)))</f>
        <v>0</v>
      </c>
      <c r="AH1133" s="62" t="n">
        <f aca="false">IF(CA1133=1,0,ROUNDUP(AG1133/BZ1133,0))</f>
        <v>0</v>
      </c>
      <c r="AI1133" s="64" t="n">
        <f aca="false">IF(CR1133&gt;0,CR1133*MAX(1,AG1133/X1133),IF(CA1133=1,IF(AG1133&lt;=0,0,CE1133*MAX(1,IF(H1133&gt;0,AG1133/H1133,1))),IF(R1133&gt;0,AH1133/R1133,0))/MAX(0.1,N(Parameter!$M$21)))</f>
        <v>0</v>
      </c>
      <c r="AJ1133" s="62" t="n">
        <f aca="false">AI1133*CC1133</f>
        <v>0</v>
      </c>
      <c r="AK1133" s="63" t="n">
        <f aca="false">IF(LEFT(Cockpit!$C$5,1)="A",H1133,IF(CI1133=1,(CL1133+CJ1133)/2,IF(LEFT(Cockpit!$C$5,1)="B",(CL1133+AM1133)/2,MAX((CL1133+AM1133)/2,H1133))))</f>
        <v>0</v>
      </c>
      <c r="AL1133" s="62" t="n">
        <f aca="false">AK1133*G1133</f>
        <v>0</v>
      </c>
      <c r="AM1133" s="62" t="n">
        <f aca="false">ROUNDUP(CL1133+MAX(CM1133,2*(J1133/IF(CH1133&gt;0,CH1133,MAX(0.1,N(Cockpit!$C$6)))-CL1133)),0)</f>
        <v>1</v>
      </c>
      <c r="AN1133" s="63" t="n">
        <f aca="false">IF(AJ1133&gt;0,J1133/AJ1133,-1)</f>
        <v>-1</v>
      </c>
      <c r="AO1133" s="63" t="str">
        <f aca="false">IF(AND(OR(CG1133="L1",CG1133="L23",CG1133="LIFT"),AJ1133&gt;0),SUMIFS($AJ$7:$AJ$1843,$CG$7:$CG$1843,CG1133,$AN$7:$AN$1843,"&gt;"&amp;AN1133)+SUMIFS($AJ$7:$AJ$1843,$CG$7:$CG$1843,CG1133,$AN$7:$AN$1843,AN1133,$BX$7:$BX$1843,"&lt;="&amp;BX1133),"")</f>
        <v/>
      </c>
      <c r="AP1133" s="70" t="n">
        <f aca="false">IF(AO1133="",0,MAX(0,MIN(1,(IF(CG1133="L1",Parameter!$H$5,IF(CG1133="L23",Parameter!$H$6+Parameter!$H$7,Parameter!$H$5+Parameter!$H$6+Parameter!$H$7))-(AO1133-AJ1133))/AJ1133)))</f>
        <v>0</v>
      </c>
      <c r="AQ1133" s="62" t="n">
        <f aca="false">IF(LEFT(Cockpit!$I$5,1)="A",H1133,IF(Parameter!$E$30="MAX-Bestand",IF(CI1133=1,CJ1133,IF(LEFT(Cockpit!$I$5,1)="B",AW1133,MAX(AW1133,H1133))),ROUNDUP(AU1133,0)))</f>
        <v>1</v>
      </c>
      <c r="AR1133" s="62" t="n">
        <f aca="false">IF(CA1133=1,0,ROUNDUP(AQ1133/BZ1133,0))</f>
        <v>1</v>
      </c>
      <c r="AS1133" s="64" t="n">
        <f aca="false">IF(CR1133&gt;0,CR1133*MAX(1,AQ1133/X1133),IF(CA1133=1,IF(AQ1133&lt;=0,0,CE1133*MAX(1,IF(H1133&gt;0,AQ1133/H1133,1))),IF(R1133&gt;0,AR1133/R1133,0))/MAX(0.1,N(Parameter!$M$21)))</f>
        <v>0.25</v>
      </c>
      <c r="AT1133" s="62" t="n">
        <f aca="false">AS1133*CC1133</f>
        <v>58.75</v>
      </c>
      <c r="AU1133" s="63" t="n">
        <f aca="false">IF(LEFT(Cockpit!$I$5,1)="A",H1133,IF(CI1133=1,(CL1133+CJ1133)/2,IF(LEFT(Cockpit!$I$5,1)="B",(CL1133+AW1133)/2,MAX((CL1133+AW1133)/2,H1133))))</f>
        <v>0.5</v>
      </c>
      <c r="AV1133" s="62" t="n">
        <f aca="false">AU1133*G1133</f>
        <v>32.535</v>
      </c>
      <c r="AW1133" s="62" t="n">
        <f aca="false">ROUNDUP(CL1133+MAX(CM1133,2*(J1133/IF(CH1133&gt;0,CH1133,MAX(0.1,N(Cockpit!$I$6)))-CL1133)),0)</f>
        <v>1</v>
      </c>
      <c r="AX1133" s="63" t="n">
        <f aca="false">IF(AT1133&gt;0,J1133/AT1133,-1)</f>
        <v>0</v>
      </c>
      <c r="AY1133" s="63" t="str">
        <f aca="false">IF(AND(OR(CG1133="L1",CG1133="L23",CG1133="LIFT"),AT1133&gt;0),SUMIFS($AT$7:$AT$1843,$CG$7:$CG$1843,CG1133,$AX$7:$AX$1843,"&gt;"&amp;AX1133)+SUMIFS($AT$7:$AT$1843,$CG$7:$CG$1843,CG1133,$AX$7:$AX$1843,AX1133,$BX$7:$BX$1843,"&lt;="&amp;BX1133),"")</f>
        <v/>
      </c>
      <c r="AZ1133" s="70" t="n">
        <f aca="false">IF(AY1133="",0,MAX(0,MIN(1,(IF(CG1133="L1",Parameter!$H$5,IF(CG1133="L23",Parameter!$H$6+Parameter!$H$7,Parameter!$H$5+Parameter!$H$6+Parameter!$H$7))-(AY1133-AT1133))/AT1133)))</f>
        <v>0</v>
      </c>
      <c r="BA1133" s="62" t="n">
        <f aca="false">IF(LEFT(Cockpit!$O$5,1)="A",H1133,IF(Parameter!$E$30="MAX-Bestand",IF(CI1133=1,CJ1133,IF(LEFT(Cockpit!$O$5,1)="B",BG1133,MAX(BG1133,H1133))),ROUNDUP(BE1133,0)))</f>
        <v>1</v>
      </c>
      <c r="BB1133" s="62" t="n">
        <f aca="false">IF(CA1133=1,0,ROUNDUP(BA1133/BZ1133,0))</f>
        <v>1</v>
      </c>
      <c r="BC1133" s="64" t="n">
        <f aca="false">IF(CR1133&gt;0,CR1133*MAX(1,BA1133/X1133),IF(CA1133=1,IF(BA1133&lt;=0,0,CE1133*MAX(1,IF(H1133&gt;0,BA1133/H1133,1))),IF(R1133&gt;0,BB1133/R1133,0))/MAX(0.1,N(Parameter!$M$21)))</f>
        <v>0.25</v>
      </c>
      <c r="BD1133" s="62" t="n">
        <f aca="false">BC1133*CC1133</f>
        <v>58.75</v>
      </c>
      <c r="BE1133" s="63" t="n">
        <f aca="false">IF(LEFT(Cockpit!$O$5,1)="A",H1133,IF(CI1133=1,(CL1133+CJ1133)/2,IF(LEFT(Cockpit!$O$5,1)="B",(CL1133+BG1133)/2,MAX((CL1133+BG1133)/2,H1133))))</f>
        <v>0.5</v>
      </c>
      <c r="BF1133" s="62" t="n">
        <f aca="false">BE1133*G1133</f>
        <v>32.535</v>
      </c>
      <c r="BG1133" s="62" t="n">
        <f aca="false">ROUNDUP(CL1133+MAX(CM1133,2*(J1133/IF(CH1133&gt;0,CH1133,MAX(0.1,N(Cockpit!$O$6)))-CL1133)),0)</f>
        <v>1</v>
      </c>
      <c r="BH1133" s="63" t="n">
        <f aca="false">IF(BD1133&gt;0,J1133/BD1133,-1)</f>
        <v>0</v>
      </c>
      <c r="BI1133" s="63" t="str">
        <f aca="false">IF(AND(OR(CG1133="L1",CG1133="L23",CG1133="LIFT"),BD1133&gt;0),SUMIFS($BD$7:$BD$1843,$CG$7:$CG$1843,CG1133,$BH$7:$BH$1843,"&gt;"&amp;BH1133)+SUMIFS($BD$7:$BD$1843,$CG$7:$CG$1843,CG1133,$BH$7:$BH$1843,BH1133,$BX$7:$BX$1843,"&lt;="&amp;BX1133),"")</f>
        <v/>
      </c>
      <c r="BJ1133" s="70" t="n">
        <f aca="false">IF(BI1133="",0,MAX(0,MIN(1,(IF(CG1133="L1",Parameter!$H$5,IF(CG1133="L23",Parameter!$H$6+Parameter!$H$7,Parameter!$H$5+Parameter!$H$6+Parameter!$H$7))-(BI1133-BD1133))/BD1133)))</f>
        <v>0</v>
      </c>
      <c r="BK1133" s="60" t="str">
        <f aca="false">IF(AJ1133&lt;=0,"",IF(CG1133="Aussen","Aussenlager",IF(CG1133="-","Nicht im Lift",IF(AP1133&gt;=1,"Lift",IF(AP1133&lt;=0,"Aussenlager","teilweise")))))</f>
        <v/>
      </c>
      <c r="BL1133" s="60" t="str">
        <f aca="false">IF(AT1133&lt;=0,"",IF(CG1133="Aussen","Aussenlager",IF(CG1133="-","Nicht im Lift",IF(AZ1133&gt;=1,"Lift",IF(AZ1133&lt;=0,"Aussenlager","teilweise")))))</f>
        <v>Nicht im Lift</v>
      </c>
      <c r="BM1133" s="60" t="str">
        <f aca="false">IF(BD1133&lt;=0,"",IF(CG1133="Aussen","Aussenlager",IF(CG1133="-","Nicht im Lift",IF(BJ1133&gt;=1,"Lift",IF(BJ1133&lt;=0,"Aussenlager","teilweise")))))</f>
        <v>Nicht im Lift</v>
      </c>
      <c r="BN1133" s="60" t="str">
        <f aca="false">IF(A1133="","",IF(BW1133=1,"Neu; ","")&amp;IF(AND(BW1133=0,BR1133&lt;0),"negativer Bestand (Export "&amp;BR1133&amp;"); ","")&amp;IF(J1133&lt;=0,"Kein Verbrauch; ","")&amp;IF(CR1133&gt;0,"Lift "&amp;W1133&amp;" lt. Liftbericht (Fach "&amp;X1133&amp;" Stk); ",IF(CB1133=1,"Gebinde geschätzt ("&amp;T1133&amp;"); ",IF(CA1133=1,"Lose – Tablare geschätzt; ","")))&amp;IF(H1133&gt;AW1133,"Überbestand "&amp;ROUND(H1133-AW1133,0)&amp;" Stk / CHF "&amp;ROUND((H1133-AW1133)*G1133,0)&amp;"; ","")&amp;IF(AND(CI1133=1,CJ1133&lt;CK1133),"MAX &lt; MB+LG; ","")&amp;IF(AND(CQ1133&gt;0,CP1133*10&gt;CQ1133),"zu hoch für Tablar; ","")&amp;IF(AND(BW1133=0,OR(CI1133=1,AB1133&lt;&gt;"",U1133&lt;&gt;"",V1133&lt;&gt;"",AC1133&lt;&gt;"")),"manuell übersteuert; ","")&amp;IF(AND(CA1133=0,R1133=0),"Gebinde unbekannt / Stellmass fehlt; ","")&amp;IF(AND(CA1133=0,N(V1133)&lt;=0,N(Q1133)&lt;=0),"Menge pro Gebinde fehlt (Ist = 1 Gebinde); ","")&amp;BV1133)</f>
        <v>negativer Bestand (Export -4); Kein Verbrauch; Gebinde geschätzt (Gross); Menge pro Gebinde fehlt (Ist = 1 Gebinde); </v>
      </c>
      <c r="BO1133" s="60"/>
      <c r="BP1133" s="60"/>
      <c r="BQ1133" s="67"/>
      <c r="BR1133" s="62" t="n">
        <v>-4</v>
      </c>
      <c r="BS1133" s="62" t="n">
        <v>4</v>
      </c>
      <c r="BT1133" s="61" t="n">
        <v>-260.28</v>
      </c>
      <c r="BU1133" s="62" t="n">
        <v>0</v>
      </c>
      <c r="BV1133" s="60"/>
      <c r="BW1133" s="65" t="n">
        <v>0</v>
      </c>
      <c r="BX1133" s="65" t="n">
        <v>1133</v>
      </c>
      <c r="BY1133" s="60" t="str">
        <f aca="false">IF(U1133&lt;&gt;"",UPPER(TRIM(U1133)),IF(CB1133=1,UPPER(VLOOKUP(T1133,Parameter!$I$27:$K$29,2,0)),IF(P1133="","LOSE",P1133)))</f>
        <v>S81</v>
      </c>
      <c r="BZ1133" s="62" t="n">
        <f aca="false">IF(BY1133="LOSE",1,IF(N(V1133)&gt;0,V1133,IF(CB1133=1,MAX(1,N(VLOOKUP(T1133,Parameter!$I$27:$K$29,3,0)),H1133,N(N1133)),IF(N(Q1133)&gt;0,Q1133,MAX(1,H1133)))))</f>
        <v>2</v>
      </c>
      <c r="CA1133" s="65" t="n">
        <f aca="false">IF(BY1133="LOSE",1,0)</f>
        <v>0</v>
      </c>
      <c r="CB1133" s="65" t="n">
        <f aca="false">IF(AND(U1133="",OR(P1133="",P1133="LOSE"),T1133&lt;&gt;"",N(S1133)&lt;=0,ISNUMBER(MATCH(T1133,Parameter!$I$27:$I$29,0))),1,0)</f>
        <v>1</v>
      </c>
      <c r="CC1133" s="65" t="n">
        <f aca="false">IF(CR1133&gt;0,INDEX(Parameter!$H$5:$H$7,W1133)/INDEX(Parameter!$E$5:$E$7,W1133),IF(AND(CA1133=0,N(IFERROR(VLOOKUP(BY1133,'Gebinde-Kategorie'!$A$5:$N$45,14,0),0))&gt;0),VLOOKUP(BY1133,'Gebinde-Kategorie'!$A$5:$N$45,14,0)*10+Parameter!$M$23,Parameter!$M$24))</f>
        <v>235</v>
      </c>
      <c r="CD1133" s="60" t="str">
        <f aca="false">IF(AND(Parameter!$B$19="Ja",E1133&lt;&gt;"",ISNUMBER(MATCH(E1133,Parameter!$I$35:$I$52,0))),VLOOKUP(E1133,Parameter!$I$35:$J$52,2,0),IFERROR(VLOOKUP(D1133,Parameter!$A$35:$C$64,2,0),"Nein"))</f>
        <v>Nein</v>
      </c>
      <c r="CE1133" s="64" t="n">
        <f aca="false">IF(CA1133=0,0,IF(N(S1133)&gt;0,S1133,IFERROR(VLOOKUP(D1133,Parameter!$A$35:$C$64,3,0)+0,0)))</f>
        <v>0</v>
      </c>
      <c r="CF1133" s="60" t="str">
        <f aca="false">IF(AB1133&lt;&gt;"",AB1133,AA1133)</f>
        <v>-</v>
      </c>
      <c r="CG1133" s="60" t="str">
        <f aca="false">IF(OR(CF1133=1,CF1133=2,CF1133=3),IF(Parameter!$E$27="Ja","LIFT",IF(CF1133=1,"L1","L23")),IF(CF1133="Aussen","Aussen","-"))</f>
        <v>-</v>
      </c>
      <c r="CH1133" s="71" t="n">
        <f aca="false">IF(N(AC1133)&gt;0,AC1133,0)</f>
        <v>0</v>
      </c>
      <c r="CI1133" s="65" t="n">
        <f aca="false">IF(ISNUMBER(AF1133),1,0)</f>
        <v>0</v>
      </c>
      <c r="CJ1133" s="62" t="n">
        <f aca="false">N(AF1133)</f>
        <v>0</v>
      </c>
      <c r="CK1133" s="62" t="n">
        <f aca="false">N(M1133)+N(N1133)</f>
        <v>1</v>
      </c>
      <c r="CL1133" s="62" t="n">
        <f aca="false">N(M1133)</f>
        <v>0</v>
      </c>
      <c r="CM1133" s="62" t="n">
        <f aca="false">N(N1133)</f>
        <v>1</v>
      </c>
      <c r="CN1133" s="62" t="n">
        <f aca="false">ROUNDUP(H1133/BZ1133,0)</f>
        <v>0</v>
      </c>
      <c r="CO1133" s="62" t="n">
        <f aca="false">ROUNDUP(CJ1133/BZ1133,0)</f>
        <v>0</v>
      </c>
      <c r="CP1133" s="65" t="n">
        <f aca="false">IF(CA1133=1,0,IFERROR(VLOOKUP(BY1133,'Gebinde-Kategorie'!$A$5:$N$45,5,0)+0,0))</f>
        <v>20</v>
      </c>
      <c r="CQ1133" s="65" t="n">
        <f aca="false">IFERROR(IF(OR(CF1133=1,CF1133=2,CF1133=3),N(INDEX(Parameter!$I$5:$I$7,CF1133)),0),0)</f>
        <v>0</v>
      </c>
      <c r="CR1133" s="64" t="n">
        <f aca="false">IF(AND(Parameter!$B$21="Ja",ISNUMBER(W1133),N(X1133)&gt;0),IFERROR(N(INDEX(Parameter!$L$5:$L$7,W1133))*INDEX(Parameter!$E$5:$E$7,W1133)*X1133/SUMIFS($X$7:$X$1843,$W$7:$W$1843,W1133),0),0)</f>
        <v>0</v>
      </c>
      <c r="CS1133" s="62" t="str">
        <f aca="false">IF(AND(OR(CG1133="L1",CG1133="L23",CG1133="LIFT"),H1133&gt;0),CC1133*IF(CR1133&gt;0,CR1133*MAX(1,H1133/X1133),IF(CA1133=1,CE1133,IF(R1133&gt;0,CN1133/R1133,0))/MAX(0.1,N(Parameter!$M$21))),"")</f>
        <v/>
      </c>
      <c r="CT1133" s="64" t="str">
        <f aca="false">IF(CS1133="","",J1133/H1133)</f>
        <v/>
      </c>
      <c r="CU1133" s="62" t="str">
        <f aca="false">IF(CS1133="","",H1133*G1133)</f>
        <v/>
      </c>
      <c r="CV1133" s="63" t="str">
        <f aca="false">IF(CS1133="","",(CL1133+ROUNDUP(CL1133+MAX(CM1133,2*(J1133/MAX(0.1,N(Einkauf!$C$6))-CL1133)),0))/2)</f>
        <v/>
      </c>
      <c r="CW1133" s="62" t="str">
        <f aca="false">IF(CS1133="","",MAX(0,H1133-CV1133)*G1133)</f>
        <v/>
      </c>
      <c r="CX1133" s="62" t="str">
        <f aca="false">IF(CS1133="","",CS1133*MAX(0,1-CV1133/H1133))</f>
        <v/>
      </c>
      <c r="CY1133" s="64" t="str">
        <f aca="false">IF(CS1133="","",PERCENTRANK($CS$7:$CS$1843,CS1133)+PERCENTRANK($CU$7:$CU$1843,CU1133)+1-PERCENTRANK($CT$7:$CT$1843,CT1133))</f>
        <v/>
      </c>
      <c r="CZ1133" s="72" t="str">
        <f aca="false">IF(CS1133="","",CHOOSE(MATCH(Einkauf!$C$5,Parameter!$G$23:$G$27,0),CY1133,CS1133,CU1133,-CT1133,CW1133)+ROW()/1000000000)</f>
        <v/>
      </c>
    </row>
    <row r="1134" customFormat="false" ht="15" hidden="false" customHeight="false" outlineLevel="0" collapsed="false">
      <c r="A1134" s="60" t="s">
        <v>2095</v>
      </c>
      <c r="B1134" s="60" t="s">
        <v>1176</v>
      </c>
      <c r="C1134" s="60" t="s">
        <v>206</v>
      </c>
      <c r="D1134" s="60" t="s">
        <v>226</v>
      </c>
      <c r="E1134" s="60" t="s">
        <v>227</v>
      </c>
      <c r="F1134" s="60" t="s">
        <v>260</v>
      </c>
      <c r="G1134" s="61" t="n">
        <v>87.23</v>
      </c>
      <c r="H1134" s="62" t="n">
        <f aca="false">MAX(0,IF(AND(Parameter!$B$21="Ja",ISNUMBER(Y1134)),Y1134,IF(Parameter!$B$20="Jahresanfang 2025 + Export",BS1134+BR1134,BR1134)))</f>
        <v>30</v>
      </c>
      <c r="I1134" s="62" t="n">
        <f aca="false">H1134*G1134</f>
        <v>2616.9</v>
      </c>
      <c r="J1134" s="62" t="n">
        <f aca="false">BU1134*Parameter!$B$18</f>
        <v>2</v>
      </c>
      <c r="K1134" s="63" t="n">
        <v>31.5</v>
      </c>
      <c r="L1134" s="64" t="n">
        <v>0.0634920634920635</v>
      </c>
      <c r="M1134" s="62" t="n">
        <v>0</v>
      </c>
      <c r="N1134" s="62" t="n">
        <v>1</v>
      </c>
      <c r="O1134" s="65" t="n">
        <v>42</v>
      </c>
      <c r="P1134" s="60" t="s">
        <v>228</v>
      </c>
      <c r="Q1134" s="62" t="n">
        <v>8</v>
      </c>
      <c r="R1134" s="65" t="n">
        <f aca="false">IF(CA1134=1,0,IFERROR(VLOOKUP(BY1134,'Gebinde-Kategorie'!$A$5:$N$45,13,0)+0,0))</f>
        <v>12</v>
      </c>
      <c r="S1134" s="66"/>
      <c r="T1134" s="67"/>
      <c r="U1134" s="67"/>
      <c r="V1134" s="67"/>
      <c r="W1134" s="60"/>
      <c r="X1134" s="62"/>
      <c r="Y1134" s="62"/>
      <c r="Z1134" s="60" t="n">
        <v>3</v>
      </c>
      <c r="AA1134" s="60" t="n">
        <f aca="false">IF(A1134="","",IF(AND(Parameter!$B$21="Ja",ISNUMBER(W1134)),W1134,IF(AND(Parameter!$E$27="Ja",ISNUMBER(Z1134),CD1134&lt;&gt;"Nein"),Z1134,IF(CD1134="2+3",IF(ISNUMBER(SEARCH("grosser Artikel",BV1134)),2,IFERROR(VLOOKUP(BY1134,Parameter!$F$35:$G$64,2,0),2)),IF(OR(CD1134="Nein",CD1134=""),"-",CD1134)))))</f>
        <v>3</v>
      </c>
      <c r="AB1134" s="67"/>
      <c r="AC1134" s="68"/>
      <c r="AD1134" s="62" t="n">
        <f aca="false">AW1134</f>
        <v>2</v>
      </c>
      <c r="AE1134" s="62" t="n">
        <f aca="false">MAX(AW1134,H1134)</f>
        <v>30</v>
      </c>
      <c r="AF1134" s="69"/>
      <c r="AG1134" s="62" t="n">
        <f aca="false">IF(LEFT(Cockpit!$C$5,1)="A",H1134,IF(Parameter!$E$30="MAX-Bestand",IF(CI1134=1,CJ1134,IF(LEFT(Cockpit!$C$5,1)="B",AM1134,MAX(AM1134,H1134))),ROUNDUP(AK1134,0)))</f>
        <v>30</v>
      </c>
      <c r="AH1134" s="62" t="n">
        <f aca="false">IF(CA1134=1,0,ROUNDUP(AG1134/BZ1134,0))</f>
        <v>4</v>
      </c>
      <c r="AI1134" s="64" t="n">
        <f aca="false">IF(CR1134&gt;0,CR1134*MAX(1,AG1134/X1134),IF(CA1134=1,IF(AG1134&lt;=0,0,CE1134*MAX(1,IF(H1134&gt;0,AG1134/H1134,1))),IF(R1134&gt;0,AH1134/R1134,0))/MAX(0.1,N(Parameter!$M$21)))</f>
        <v>0.333333333333333</v>
      </c>
      <c r="AJ1134" s="62" t="n">
        <f aca="false">AI1134*CC1134</f>
        <v>48.3333333333333</v>
      </c>
      <c r="AK1134" s="63" t="n">
        <f aca="false">IF(LEFT(Cockpit!$C$5,1)="A",H1134,IF(CI1134=1,(CL1134+CJ1134)/2,IF(LEFT(Cockpit!$C$5,1)="B",(CL1134+AM1134)/2,MAX((CL1134+AM1134)/2,H1134))))</f>
        <v>30</v>
      </c>
      <c r="AL1134" s="62" t="n">
        <f aca="false">AK1134*G1134</f>
        <v>2616.9</v>
      </c>
      <c r="AM1134" s="62" t="n">
        <f aca="false">ROUNDUP(CL1134+MAX(CM1134,2*(J1134/IF(CH1134&gt;0,CH1134,MAX(0.1,N(Cockpit!$C$6)))-CL1134)),0)</f>
        <v>2</v>
      </c>
      <c r="AN1134" s="63" t="n">
        <f aca="false">IF(AJ1134&gt;0,J1134/AJ1134,-1)</f>
        <v>0.0413793103448276</v>
      </c>
      <c r="AO1134" s="63" t="n">
        <f aca="false">IF(AND(OR(CG1134="L1",CG1134="L23",CG1134="LIFT"),AJ1134&gt;0),SUMIFS($AJ$7:$AJ$1843,$CG$7:$CG$1843,CG1134,$AN$7:$AN$1843,"&gt;"&amp;AN1134)+SUMIFS($AJ$7:$AJ$1843,$CG$7:$CG$1843,CG1134,$AN$7:$AN$1843,AN1134,$BX$7:$BX$1843,"&lt;="&amp;BX1134),"")</f>
        <v>19721.4740873533</v>
      </c>
      <c r="AP1134" s="70" t="n">
        <f aca="false">IF(AO1134="",0,MAX(0,MIN(1,(IF(CG1134="L1",Parameter!$H$5,IF(CG1134="L23",Parameter!$H$6+Parameter!$H$7,Parameter!$H$5+Parameter!$H$6+Parameter!$H$7))-(AO1134-AJ1134))/AJ1134)))</f>
        <v>1</v>
      </c>
      <c r="AQ1134" s="62" t="n">
        <f aca="false">IF(LEFT(Cockpit!$I$5,1)="A",H1134,IF(Parameter!$E$30="MAX-Bestand",IF(CI1134=1,CJ1134,IF(LEFT(Cockpit!$I$5,1)="B",AW1134,MAX(AW1134,H1134))),ROUNDUP(AU1134,0)))</f>
        <v>30</v>
      </c>
      <c r="AR1134" s="62" t="n">
        <f aca="false">IF(CA1134=1,0,ROUNDUP(AQ1134/BZ1134,0))</f>
        <v>4</v>
      </c>
      <c r="AS1134" s="64" t="n">
        <f aca="false">IF(CR1134&gt;0,CR1134*MAX(1,AQ1134/X1134),IF(CA1134=1,IF(AQ1134&lt;=0,0,CE1134*MAX(1,IF(H1134&gt;0,AQ1134/H1134,1))),IF(R1134&gt;0,AR1134/R1134,0))/MAX(0.1,N(Parameter!$M$21)))</f>
        <v>0.333333333333333</v>
      </c>
      <c r="AT1134" s="62" t="n">
        <f aca="false">AS1134*CC1134</f>
        <v>48.3333333333333</v>
      </c>
      <c r="AU1134" s="63" t="n">
        <f aca="false">IF(LEFT(Cockpit!$I$5,1)="A",H1134,IF(CI1134=1,(CL1134+CJ1134)/2,IF(LEFT(Cockpit!$I$5,1)="B",(CL1134+AW1134)/2,MAX((CL1134+AW1134)/2,H1134))))</f>
        <v>30</v>
      </c>
      <c r="AV1134" s="62" t="n">
        <f aca="false">AU1134*G1134</f>
        <v>2616.9</v>
      </c>
      <c r="AW1134" s="62" t="n">
        <f aca="false">ROUNDUP(CL1134+MAX(CM1134,2*(J1134/IF(CH1134&gt;0,CH1134,MAX(0.1,N(Cockpit!$I$6)))-CL1134)),0)</f>
        <v>2</v>
      </c>
      <c r="AX1134" s="63" t="n">
        <f aca="false">IF(AT1134&gt;0,J1134/AT1134,-1)</f>
        <v>0.0413793103448276</v>
      </c>
      <c r="AY1134" s="63" t="n">
        <f aca="false">IF(AND(OR(CG1134="L1",CG1134="L23",CG1134="LIFT"),AT1134&gt;0),SUMIFS($AT$7:$AT$1843,$CG$7:$CG$1843,CG1134,$AX$7:$AX$1843,"&gt;"&amp;AX1134)+SUMIFS($AT$7:$AT$1843,$CG$7:$CG$1843,CG1134,$AX$7:$AX$1843,AX1134,$BX$7:$BX$1843,"&lt;="&amp;BX1134),"")</f>
        <v>24780.8727287308</v>
      </c>
      <c r="AZ1134" s="70" t="n">
        <f aca="false">IF(AY1134="",0,MAX(0,MIN(1,(IF(CG1134="L1",Parameter!$H$5,IF(CG1134="L23",Parameter!$H$6+Parameter!$H$7,Parameter!$H$5+Parameter!$H$6+Parameter!$H$7))-(AY1134-AT1134))/AT1134)))</f>
        <v>1</v>
      </c>
      <c r="BA1134" s="62" t="n">
        <f aca="false">IF(LEFT(Cockpit!$O$5,1)="A",H1134,IF(Parameter!$E$30="MAX-Bestand",IF(CI1134=1,CJ1134,IF(LEFT(Cockpit!$O$5,1)="B",BG1134,MAX(BG1134,H1134))),ROUNDUP(BE1134,0)))</f>
        <v>1</v>
      </c>
      <c r="BB1134" s="62" t="n">
        <f aca="false">IF(CA1134=1,0,ROUNDUP(BA1134/BZ1134,0))</f>
        <v>1</v>
      </c>
      <c r="BC1134" s="64" t="n">
        <f aca="false">IF(CR1134&gt;0,CR1134*MAX(1,BA1134/X1134),IF(CA1134=1,IF(BA1134&lt;=0,0,CE1134*MAX(1,IF(H1134&gt;0,BA1134/H1134,1))),IF(R1134&gt;0,BB1134/R1134,0))/MAX(0.1,N(Parameter!$M$21)))</f>
        <v>0.0833333333333333</v>
      </c>
      <c r="BD1134" s="62" t="n">
        <f aca="false">BC1134*CC1134</f>
        <v>12.0833333333333</v>
      </c>
      <c r="BE1134" s="63" t="n">
        <f aca="false">IF(LEFT(Cockpit!$O$5,1)="A",H1134,IF(CI1134=1,(CL1134+CJ1134)/2,IF(LEFT(Cockpit!$O$5,1)="B",(CL1134+BG1134)/2,MAX((CL1134+BG1134)/2,H1134))))</f>
        <v>0.5</v>
      </c>
      <c r="BF1134" s="62" t="n">
        <f aca="false">BE1134*G1134</f>
        <v>43.615</v>
      </c>
      <c r="BG1134" s="62" t="n">
        <f aca="false">ROUNDUP(CL1134+MAX(CM1134,2*(J1134/IF(CH1134&gt;0,CH1134,MAX(0.1,N(Cockpit!$O$6)))-CL1134)),0)</f>
        <v>1</v>
      </c>
      <c r="BH1134" s="63" t="n">
        <f aca="false">IF(BD1134&gt;0,J1134/BD1134,-1)</f>
        <v>0.16551724137931</v>
      </c>
      <c r="BI1134" s="63" t="n">
        <f aca="false">IF(AND(OR(CG1134="L1",CG1134="L23",CG1134="LIFT"),BD1134&gt;0),SUMIFS($BD$7:$BD$1843,$CG$7:$CG$1843,CG1134,$BH$7:$BH$1843,"&gt;"&amp;BH1134)+SUMIFS($BD$7:$BD$1843,$CG$7:$CG$1843,CG1134,$BH$7:$BH$1843,BH1134,$BX$7:$BX$1843,"&lt;="&amp;BX1134),"")</f>
        <v>13584.7206157778</v>
      </c>
      <c r="BJ1134" s="70" t="n">
        <f aca="false">IF(BI1134="",0,MAX(0,MIN(1,(IF(CG1134="L1",Parameter!$H$5,IF(CG1134="L23",Parameter!$H$6+Parameter!$H$7,Parameter!$H$5+Parameter!$H$6+Parameter!$H$7))-(BI1134-BD1134))/BD1134)))</f>
        <v>1</v>
      </c>
      <c r="BK1134" s="60" t="str">
        <f aca="false">IF(AJ1134&lt;=0,"",IF(CG1134="Aussen","Aussenlager",IF(CG1134="-","Nicht im Lift",IF(AP1134&gt;=1,"Lift",IF(AP1134&lt;=0,"Aussenlager","teilweise")))))</f>
        <v>Lift</v>
      </c>
      <c r="BL1134" s="60" t="str">
        <f aca="false">IF(AT1134&lt;=0,"",IF(CG1134="Aussen","Aussenlager",IF(CG1134="-","Nicht im Lift",IF(AZ1134&gt;=1,"Lift",IF(AZ1134&lt;=0,"Aussenlager","teilweise")))))</f>
        <v>Lift</v>
      </c>
      <c r="BM1134" s="60" t="str">
        <f aca="false">IF(BD1134&lt;=0,"",IF(CG1134="Aussen","Aussenlager",IF(CG1134="-","Nicht im Lift",IF(BJ1134&gt;=1,"Lift",IF(BJ1134&lt;=0,"Aussenlager","teilweise")))))</f>
        <v>Lift</v>
      </c>
      <c r="BN1134" s="60" t="str">
        <f aca="false">IF(A1134="","",IF(BW1134=1,"Neu; ","")&amp;IF(AND(BW1134=0,BR1134&lt;0),"negativer Bestand (Export "&amp;BR1134&amp;"); ","")&amp;IF(J1134&lt;=0,"Kein Verbrauch; ","")&amp;IF(CR1134&gt;0,"Lift "&amp;W1134&amp;" lt. Liftbericht (Fach "&amp;X1134&amp;" Stk); ",IF(CB1134=1,"Gebinde geschätzt ("&amp;T1134&amp;"); ",IF(CA1134=1,"Lose – Tablare geschätzt; ","")))&amp;IF(H1134&gt;AW1134,"Überbestand "&amp;ROUND(H1134-AW1134,0)&amp;" Stk / CHF "&amp;ROUND((H1134-AW1134)*G1134,0)&amp;"; ","")&amp;IF(AND(CI1134=1,CJ1134&lt;CK1134),"MAX &lt; MB+LG; ","")&amp;IF(AND(CQ1134&gt;0,CP1134*10&gt;CQ1134),"zu hoch für Tablar; ","")&amp;IF(AND(BW1134=0,OR(CI1134=1,AB1134&lt;&gt;"",U1134&lt;&gt;"",V1134&lt;&gt;"",AC1134&lt;&gt;"")),"manuell übersteuert; ","")&amp;IF(AND(CA1134=0,R1134=0),"Gebinde unbekannt / Stellmass fehlt; ","")&amp;IF(AND(CA1134=0,N(V1134)&lt;=0,N(Q1134)&lt;=0),"Menge pro Gebinde fehlt (Ist = 1 Gebinde); ","")&amp;BV1134)</f>
        <v>negativer Bestand (Export -3); Überbestand 28 Stk / CHF 2442; Neu</v>
      </c>
      <c r="BO1134" s="60"/>
      <c r="BP1134" s="60"/>
      <c r="BQ1134" s="67"/>
      <c r="BR1134" s="62" t="n">
        <v>-3</v>
      </c>
      <c r="BS1134" s="62" t="n">
        <v>33</v>
      </c>
      <c r="BT1134" s="61" t="n">
        <v>-261.69</v>
      </c>
      <c r="BU1134" s="62" t="n">
        <v>2</v>
      </c>
      <c r="BV1134" s="60" t="s">
        <v>668</v>
      </c>
      <c r="BW1134" s="65" t="n">
        <v>0</v>
      </c>
      <c r="BX1134" s="65" t="n">
        <v>1134</v>
      </c>
      <c r="BY1134" s="60" t="str">
        <f aca="false">IF(U1134&lt;&gt;"",UPPER(TRIM(U1134)),IF(CB1134=1,UPPER(VLOOKUP(T1134,Parameter!$I$27:$K$29,2,0)),IF(P1134="","LOSE",P1134)))</f>
        <v>S61</v>
      </c>
      <c r="BZ1134" s="62" t="n">
        <f aca="false">IF(BY1134="LOSE",1,IF(N(V1134)&gt;0,V1134,IF(CB1134=1,MAX(1,N(VLOOKUP(T1134,Parameter!$I$27:$K$29,3,0)),H1134,N(N1134)),IF(N(Q1134)&gt;0,Q1134,MAX(1,H1134)))))</f>
        <v>8</v>
      </c>
      <c r="CA1134" s="65" t="n">
        <f aca="false">IF(BY1134="LOSE",1,0)</f>
        <v>0</v>
      </c>
      <c r="CB1134" s="65" t="n">
        <f aca="false">IF(AND(U1134="",OR(P1134="",P1134="LOSE"),T1134&lt;&gt;"",N(S1134)&lt;=0,ISNUMBER(MATCH(T1134,Parameter!$I$27:$I$29,0))),1,0)</f>
        <v>0</v>
      </c>
      <c r="CC1134" s="65" t="n">
        <f aca="false">IF(CR1134&gt;0,INDEX(Parameter!$H$5:$H$7,W1134)/INDEX(Parameter!$E$5:$E$7,W1134),IF(AND(CA1134=0,N(IFERROR(VLOOKUP(BY1134,'Gebinde-Kategorie'!$A$5:$N$45,14,0),0))&gt;0),VLOOKUP(BY1134,'Gebinde-Kategorie'!$A$5:$N$45,14,0)*10+Parameter!$M$23,Parameter!$M$24))</f>
        <v>145</v>
      </c>
      <c r="CD1134" s="60" t="str">
        <f aca="false">IF(AND(Parameter!$B$19="Ja",E1134&lt;&gt;"",ISNUMBER(MATCH(E1134,Parameter!$I$35:$I$52,0))),VLOOKUP(E1134,Parameter!$I$35:$J$52,2,0),IFERROR(VLOOKUP(D1134,Parameter!$A$35:$C$64,2,0),"Nein"))</f>
        <v>2+3</v>
      </c>
      <c r="CE1134" s="64" t="n">
        <f aca="false">IF(CA1134=0,0,IF(N(S1134)&gt;0,S1134,IFERROR(VLOOKUP(D1134,Parameter!$A$35:$C$64,3,0)+0,0)))</f>
        <v>0</v>
      </c>
      <c r="CF1134" s="60" t="n">
        <f aca="false">IF(AB1134&lt;&gt;"",AB1134,AA1134)</f>
        <v>3</v>
      </c>
      <c r="CG1134" s="60" t="str">
        <f aca="false">IF(OR(CF1134=1,CF1134=2,CF1134=3),IF(Parameter!$E$27="Ja","LIFT",IF(CF1134=1,"L1","L23")),IF(CF1134="Aussen","Aussen","-"))</f>
        <v>LIFT</v>
      </c>
      <c r="CH1134" s="71" t="n">
        <f aca="false">IF(N(AC1134)&gt;0,AC1134,0)</f>
        <v>0</v>
      </c>
      <c r="CI1134" s="65" t="n">
        <f aca="false">IF(ISNUMBER(AF1134),1,0)</f>
        <v>0</v>
      </c>
      <c r="CJ1134" s="62" t="n">
        <f aca="false">N(AF1134)</f>
        <v>0</v>
      </c>
      <c r="CK1134" s="62" t="n">
        <f aca="false">N(M1134)+N(N1134)</f>
        <v>1</v>
      </c>
      <c r="CL1134" s="62" t="n">
        <f aca="false">N(M1134)</f>
        <v>0</v>
      </c>
      <c r="CM1134" s="62" t="n">
        <f aca="false">N(N1134)</f>
        <v>1</v>
      </c>
      <c r="CN1134" s="62" t="n">
        <f aca="false">ROUNDUP(H1134/BZ1134,0)</f>
        <v>4</v>
      </c>
      <c r="CO1134" s="62" t="n">
        <f aca="false">ROUNDUP(CJ1134/BZ1134,0)</f>
        <v>0</v>
      </c>
      <c r="CP1134" s="65" t="n">
        <f aca="false">IF(CA1134=1,0,IFERROR(VLOOKUP(BY1134,'Gebinde-Kategorie'!$A$5:$N$45,5,0)+0,0))</f>
        <v>11</v>
      </c>
      <c r="CQ1134" s="65" t="n">
        <f aca="false">IFERROR(IF(OR(CF1134=1,CF1134=2,CF1134=3),N(INDEX(Parameter!$I$5:$I$7,CF1134)),0),0)</f>
        <v>0</v>
      </c>
      <c r="CR1134" s="64" t="n">
        <f aca="false">IF(AND(Parameter!$B$21="Ja",ISNUMBER(W1134),N(X1134)&gt;0),IFERROR(N(INDEX(Parameter!$L$5:$L$7,W1134))*INDEX(Parameter!$E$5:$E$7,W1134)*X1134/SUMIFS($X$7:$X$1843,$W$7:$W$1843,W1134),0),0)</f>
        <v>0</v>
      </c>
      <c r="CS1134" s="62" t="n">
        <f aca="false">IF(AND(OR(CG1134="L1",CG1134="L23",CG1134="LIFT"),H1134&gt;0),CC1134*IF(CR1134&gt;0,CR1134*MAX(1,H1134/X1134),IF(CA1134=1,CE1134,IF(R1134&gt;0,CN1134/R1134,0))/MAX(0.1,N(Parameter!$M$21))),"")</f>
        <v>48.3333333333333</v>
      </c>
      <c r="CT1134" s="64" t="n">
        <f aca="false">IF(CS1134="","",J1134/H1134)</f>
        <v>0.0666666666666667</v>
      </c>
      <c r="CU1134" s="62" t="n">
        <f aca="false">IF(CS1134="","",H1134*G1134)</f>
        <v>2616.9</v>
      </c>
      <c r="CV1134" s="63" t="n">
        <f aca="false">IF(CS1134="","",(CL1134+ROUNDUP(CL1134+MAX(CM1134,2*(J1134/MAX(0.1,N(Einkauf!$C$6))-CL1134)),0))/2)</f>
        <v>0.5</v>
      </c>
      <c r="CW1134" s="62" t="n">
        <f aca="false">IF(CS1134="","",MAX(0,H1134-CV1134)*G1134)</f>
        <v>2573.285</v>
      </c>
      <c r="CX1134" s="62" t="n">
        <f aca="false">IF(CS1134="","",CS1134*MAX(0,1-CV1134/H1134))</f>
        <v>47.5277777777778</v>
      </c>
      <c r="CY1134" s="64" t="n">
        <f aca="false">IF(CS1134="","",PERCENTRANK($CS$7:$CS$1843,CS1134)+PERCENTRANK($CU$7:$CU$1843,CU1134)+1-PERCENTRANK($CT$7:$CT$1843,CT1134))</f>
        <v>2.303</v>
      </c>
      <c r="CZ1134" s="72" t="n">
        <f aca="false">IF(CS1134="","",CHOOSE(MATCH(Einkauf!$C$5,Parameter!$G$23:$G$27,0),CY1134,CS1134,CU1134,-CT1134,CW1134)+ROW()/1000000000)</f>
        <v>2.303001134</v>
      </c>
    </row>
    <row r="1135" customFormat="false" ht="15" hidden="false" customHeight="false" outlineLevel="0" collapsed="false">
      <c r="A1135" s="60" t="s">
        <v>2096</v>
      </c>
      <c r="B1135" s="60" t="s">
        <v>606</v>
      </c>
      <c r="C1135" s="60" t="s">
        <v>206</v>
      </c>
      <c r="D1135" s="60" t="s">
        <v>226</v>
      </c>
      <c r="E1135" s="60" t="s">
        <v>227</v>
      </c>
      <c r="F1135" s="60" t="s">
        <v>260</v>
      </c>
      <c r="G1135" s="61" t="n">
        <v>20.24</v>
      </c>
      <c r="H1135" s="62" t="n">
        <f aca="false">MAX(0,IF(AND(Parameter!$B$21="Ja",ISNUMBER(Y1135)),Y1135,IF(Parameter!$B$20="Jahresanfang 2025 + Export",BS1135+BR1135,BR1135)))</f>
        <v>6</v>
      </c>
      <c r="I1135" s="62" t="n">
        <f aca="false">H1135*G1135</f>
        <v>121.44</v>
      </c>
      <c r="J1135" s="62" t="n">
        <f aca="false">BU1135*Parameter!$B$18</f>
        <v>10</v>
      </c>
      <c r="K1135" s="63" t="n">
        <v>14</v>
      </c>
      <c r="L1135" s="64" t="n">
        <v>0.714285714285714</v>
      </c>
      <c r="M1135" s="62" t="n">
        <v>0</v>
      </c>
      <c r="N1135" s="62" t="n">
        <v>10</v>
      </c>
      <c r="O1135" s="65" t="n">
        <v>28</v>
      </c>
      <c r="P1135" s="60" t="s">
        <v>518</v>
      </c>
      <c r="Q1135" s="62" t="n">
        <v>7</v>
      </c>
      <c r="R1135" s="65" t="n">
        <f aca="false">IF(CA1135=1,0,IFERROR(VLOOKUP(BY1135,'Gebinde-Kategorie'!$A$5:$N$45,13,0)+0,0))</f>
        <v>52</v>
      </c>
      <c r="S1135" s="66"/>
      <c r="T1135" s="67"/>
      <c r="U1135" s="67"/>
      <c r="V1135" s="67"/>
      <c r="W1135" s="60"/>
      <c r="X1135" s="62"/>
      <c r="Y1135" s="62"/>
      <c r="Z1135" s="60" t="n">
        <v>1</v>
      </c>
      <c r="AA1135" s="60" t="n">
        <f aca="false">IF(A1135="","",IF(AND(Parameter!$B$21="Ja",ISNUMBER(W1135)),W1135,IF(AND(Parameter!$E$27="Ja",ISNUMBER(Z1135),CD1135&lt;&gt;"Nein"),Z1135,IF(CD1135="2+3",IF(ISNUMBER(SEARCH("grosser Artikel",BV1135)),2,IFERROR(VLOOKUP(BY1135,Parameter!$F$35:$G$64,2,0),2)),IF(OR(CD1135="Nein",CD1135=""),"-",CD1135)))))</f>
        <v>1</v>
      </c>
      <c r="AB1135" s="67"/>
      <c r="AC1135" s="68"/>
      <c r="AD1135" s="62" t="n">
        <f aca="false">AW1135</f>
        <v>10</v>
      </c>
      <c r="AE1135" s="62" t="n">
        <f aca="false">MAX(AW1135,H1135)</f>
        <v>10</v>
      </c>
      <c r="AF1135" s="69"/>
      <c r="AG1135" s="62" t="n">
        <f aca="false">IF(LEFT(Cockpit!$C$5,1)="A",H1135,IF(Parameter!$E$30="MAX-Bestand",IF(CI1135=1,CJ1135,IF(LEFT(Cockpit!$C$5,1)="B",AM1135,MAX(AM1135,H1135))),ROUNDUP(AK1135,0)))</f>
        <v>6</v>
      </c>
      <c r="AH1135" s="62" t="n">
        <f aca="false">IF(CA1135=1,0,ROUNDUP(AG1135/BZ1135,0))</f>
        <v>1</v>
      </c>
      <c r="AI1135" s="64" t="n">
        <f aca="false">IF(CR1135&gt;0,CR1135*MAX(1,AG1135/X1135),IF(CA1135=1,IF(AG1135&lt;=0,0,CE1135*MAX(1,IF(H1135&gt;0,AG1135/H1135,1))),IF(R1135&gt;0,AH1135/R1135,0))/MAX(0.1,N(Parameter!$M$21)))</f>
        <v>0.0192307692307692</v>
      </c>
      <c r="AJ1135" s="62" t="n">
        <f aca="false">AI1135*CC1135</f>
        <v>2.98076923076923</v>
      </c>
      <c r="AK1135" s="63" t="n">
        <f aca="false">IF(LEFT(Cockpit!$C$5,1)="A",H1135,IF(CI1135=1,(CL1135+CJ1135)/2,IF(LEFT(Cockpit!$C$5,1)="B",(CL1135+AM1135)/2,MAX((CL1135+AM1135)/2,H1135))))</f>
        <v>6</v>
      </c>
      <c r="AL1135" s="62" t="n">
        <f aca="false">AK1135*G1135</f>
        <v>121.44</v>
      </c>
      <c r="AM1135" s="62" t="n">
        <f aca="false">ROUNDUP(CL1135+MAX(CM1135,2*(J1135/IF(CH1135&gt;0,CH1135,MAX(0.1,N(Cockpit!$C$6)))-CL1135)),0)</f>
        <v>10</v>
      </c>
      <c r="AN1135" s="63" t="n">
        <f aca="false">IF(AJ1135&gt;0,J1135/AJ1135,-1)</f>
        <v>3.35483870967742</v>
      </c>
      <c r="AO1135" s="63" t="n">
        <f aca="false">IF(AND(OR(CG1135="L1",CG1135="L23",CG1135="LIFT"),AJ1135&gt;0),SUMIFS($AJ$7:$AJ$1843,$CG$7:$CG$1843,CG1135,$AN$7:$AN$1843,"&gt;"&amp;AN1135)+SUMIFS($AJ$7:$AJ$1843,$CG$7:$CG$1843,CG1135,$AN$7:$AN$1843,AN1135,$BX$7:$BX$1843,"&lt;="&amp;BX1135),"")</f>
        <v>4955.58791208791</v>
      </c>
      <c r="AP1135" s="70" t="n">
        <f aca="false">IF(AO1135="",0,MAX(0,MIN(1,(IF(CG1135="L1",Parameter!$H$5,IF(CG1135="L23",Parameter!$H$6+Parameter!$H$7,Parameter!$H$5+Parameter!$H$6+Parameter!$H$7))-(AO1135-AJ1135))/AJ1135)))</f>
        <v>1</v>
      </c>
      <c r="AQ1135" s="62" t="n">
        <f aca="false">IF(LEFT(Cockpit!$I$5,1)="A",H1135,IF(Parameter!$E$30="MAX-Bestand",IF(CI1135=1,CJ1135,IF(LEFT(Cockpit!$I$5,1)="B",AW1135,MAX(AW1135,H1135))),ROUNDUP(AU1135,0)))</f>
        <v>6</v>
      </c>
      <c r="AR1135" s="62" t="n">
        <f aca="false">IF(CA1135=1,0,ROUNDUP(AQ1135/BZ1135,0))</f>
        <v>1</v>
      </c>
      <c r="AS1135" s="64" t="n">
        <f aca="false">IF(CR1135&gt;0,CR1135*MAX(1,AQ1135/X1135),IF(CA1135=1,IF(AQ1135&lt;=0,0,CE1135*MAX(1,IF(H1135&gt;0,AQ1135/H1135,1))),IF(R1135&gt;0,AR1135/R1135,0))/MAX(0.1,N(Parameter!$M$21)))</f>
        <v>0.0192307692307692</v>
      </c>
      <c r="AT1135" s="62" t="n">
        <f aca="false">AS1135*CC1135</f>
        <v>2.98076923076923</v>
      </c>
      <c r="AU1135" s="63" t="n">
        <f aca="false">IF(LEFT(Cockpit!$I$5,1)="A",H1135,IF(CI1135=1,(CL1135+CJ1135)/2,IF(LEFT(Cockpit!$I$5,1)="B",(CL1135+AW1135)/2,MAX((CL1135+AW1135)/2,H1135))))</f>
        <v>6</v>
      </c>
      <c r="AV1135" s="62" t="n">
        <f aca="false">AU1135*G1135</f>
        <v>121.44</v>
      </c>
      <c r="AW1135" s="62" t="n">
        <f aca="false">ROUNDUP(CL1135+MAX(CM1135,2*(J1135/IF(CH1135&gt;0,CH1135,MAX(0.1,N(Cockpit!$I$6)))-CL1135)),0)</f>
        <v>10</v>
      </c>
      <c r="AX1135" s="63" t="n">
        <f aca="false">IF(AT1135&gt;0,J1135/AT1135,-1)</f>
        <v>3.35483870967742</v>
      </c>
      <c r="AY1135" s="63" t="n">
        <f aca="false">IF(AND(OR(CG1135="L1",CG1135="L23",CG1135="LIFT"),AT1135&gt;0),SUMIFS($AT$7:$AT$1843,$CG$7:$CG$1843,CG1135,$AX$7:$AX$1843,"&gt;"&amp;AX1135)+SUMIFS($AT$7:$AT$1843,$CG$7:$CG$1843,CG1135,$AX$7:$AX$1843,AX1135,$BX$7:$BX$1843,"&lt;="&amp;BX1135),"")</f>
        <v>5619.42490842491</v>
      </c>
      <c r="AZ1135" s="70" t="n">
        <f aca="false">IF(AY1135="",0,MAX(0,MIN(1,(IF(CG1135="L1",Parameter!$H$5,IF(CG1135="L23",Parameter!$H$6+Parameter!$H$7,Parameter!$H$5+Parameter!$H$6+Parameter!$H$7))-(AY1135-AT1135))/AT1135)))</f>
        <v>1</v>
      </c>
      <c r="BA1135" s="62" t="n">
        <f aca="false">IF(LEFT(Cockpit!$O$5,1)="A",H1135,IF(Parameter!$E$30="MAX-Bestand",IF(CI1135=1,CJ1135,IF(LEFT(Cockpit!$O$5,1)="B",BG1135,MAX(BG1135,H1135))),ROUNDUP(BE1135,0)))</f>
        <v>5</v>
      </c>
      <c r="BB1135" s="62" t="n">
        <f aca="false">IF(CA1135=1,0,ROUNDUP(BA1135/BZ1135,0))</f>
        <v>1</v>
      </c>
      <c r="BC1135" s="64" t="n">
        <f aca="false">IF(CR1135&gt;0,CR1135*MAX(1,BA1135/X1135),IF(CA1135=1,IF(BA1135&lt;=0,0,CE1135*MAX(1,IF(H1135&gt;0,BA1135/H1135,1))),IF(R1135&gt;0,BB1135/R1135,0))/MAX(0.1,N(Parameter!$M$21)))</f>
        <v>0.0192307692307692</v>
      </c>
      <c r="BD1135" s="62" t="n">
        <f aca="false">BC1135*CC1135</f>
        <v>2.98076923076923</v>
      </c>
      <c r="BE1135" s="63" t="n">
        <f aca="false">IF(LEFT(Cockpit!$O$5,1)="A",H1135,IF(CI1135=1,(CL1135+CJ1135)/2,IF(LEFT(Cockpit!$O$5,1)="B",(CL1135+BG1135)/2,MAX((CL1135+BG1135)/2,H1135))))</f>
        <v>5</v>
      </c>
      <c r="BF1135" s="62" t="n">
        <f aca="false">BE1135*G1135</f>
        <v>101.2</v>
      </c>
      <c r="BG1135" s="62" t="n">
        <f aca="false">ROUNDUP(CL1135+MAX(CM1135,2*(J1135/IF(CH1135&gt;0,CH1135,MAX(0.1,N(Cockpit!$O$6)))-CL1135)),0)</f>
        <v>10</v>
      </c>
      <c r="BH1135" s="63" t="n">
        <f aca="false">IF(BD1135&gt;0,J1135/BD1135,-1)</f>
        <v>3.35483870967742</v>
      </c>
      <c r="BI1135" s="63" t="n">
        <f aca="false">IF(AND(OR(CG1135="L1",CG1135="L23",CG1135="LIFT"),BD1135&gt;0),SUMIFS($BD$7:$BD$1843,$CG$7:$CG$1843,CG1135,$BH$7:$BH$1843,"&gt;"&amp;BH1135)+SUMIFS($BD$7:$BD$1843,$CG$7:$CG$1843,CG1135,$BH$7:$BH$1843,BH1135,$BX$7:$BX$1843,"&lt;="&amp;BX1135),"")</f>
        <v>4599.64285714286</v>
      </c>
      <c r="BJ1135" s="70" t="n">
        <f aca="false">IF(BI1135="",0,MAX(0,MIN(1,(IF(CG1135="L1",Parameter!$H$5,IF(CG1135="L23",Parameter!$H$6+Parameter!$H$7,Parameter!$H$5+Parameter!$H$6+Parameter!$H$7))-(BI1135-BD1135))/BD1135)))</f>
        <v>1</v>
      </c>
      <c r="BK1135" s="60" t="str">
        <f aca="false">IF(AJ1135&lt;=0,"",IF(CG1135="Aussen","Aussenlager",IF(CG1135="-","Nicht im Lift",IF(AP1135&gt;=1,"Lift",IF(AP1135&lt;=0,"Aussenlager","teilweise")))))</f>
        <v>Lift</v>
      </c>
      <c r="BL1135" s="60" t="str">
        <f aca="false">IF(AT1135&lt;=0,"",IF(CG1135="Aussen","Aussenlager",IF(CG1135="-","Nicht im Lift",IF(AZ1135&gt;=1,"Lift",IF(AZ1135&lt;=0,"Aussenlager","teilweise")))))</f>
        <v>Lift</v>
      </c>
      <c r="BM1135" s="60" t="str">
        <f aca="false">IF(BD1135&lt;=0,"",IF(CG1135="Aussen","Aussenlager",IF(CG1135="-","Nicht im Lift",IF(BJ1135&gt;=1,"Lift",IF(BJ1135&lt;=0,"Aussenlager","teilweise")))))</f>
        <v>Lift</v>
      </c>
      <c r="BN1135" s="60" t="str">
        <f aca="false">IF(A1135="","",IF(BW1135=1,"Neu; ","")&amp;IF(AND(BW1135=0,BR1135&lt;0),"negativer Bestand (Export "&amp;BR1135&amp;"); ","")&amp;IF(J1135&lt;=0,"Kein Verbrauch; ","")&amp;IF(CR1135&gt;0,"Lift "&amp;W1135&amp;" lt. Liftbericht (Fach "&amp;X1135&amp;" Stk); ",IF(CB1135=1,"Gebinde geschätzt ("&amp;T1135&amp;"); ",IF(CA1135=1,"Lose – Tablare geschätzt; ","")))&amp;IF(H1135&gt;AW1135,"Überbestand "&amp;ROUND(H1135-AW1135,0)&amp;" Stk / CHF "&amp;ROUND((H1135-AW1135)*G1135,0)&amp;"; ","")&amp;IF(AND(CI1135=1,CJ1135&lt;CK1135),"MAX &lt; MB+LG; ","")&amp;IF(AND(CQ1135&gt;0,CP1135*10&gt;CQ1135),"zu hoch für Tablar; ","")&amp;IF(AND(BW1135=0,OR(CI1135=1,AB1135&lt;&gt;"",U1135&lt;&gt;"",V1135&lt;&gt;"",AC1135&lt;&gt;"")),"manuell übersteuert; ","")&amp;IF(AND(CA1135=0,R1135=0),"Gebinde unbekannt / Stellmass fehlt; ","")&amp;IF(AND(CA1135=0,N(V1135)&lt;=0,N(Q1135)&lt;=0),"Menge pro Gebinde fehlt (Ist = 1 Gebinde); ","")&amp;BV1135)</f>
        <v>negativer Bestand (Export -13); </v>
      </c>
      <c r="BO1135" s="60"/>
      <c r="BP1135" s="60"/>
      <c r="BQ1135" s="67"/>
      <c r="BR1135" s="62" t="n">
        <v>-13</v>
      </c>
      <c r="BS1135" s="62" t="n">
        <v>19</v>
      </c>
      <c r="BT1135" s="61" t="n">
        <v>-263.12</v>
      </c>
      <c r="BU1135" s="62" t="n">
        <v>10</v>
      </c>
      <c r="BV1135" s="60"/>
      <c r="BW1135" s="65" t="n">
        <v>0</v>
      </c>
      <c r="BX1135" s="65" t="n">
        <v>1135</v>
      </c>
      <c r="BY1135" s="60" t="str">
        <f aca="false">IF(U1135&lt;&gt;"",UPPER(TRIM(U1135)),IF(CB1135=1,UPPER(VLOOKUP(T1135,Parameter!$I$27:$K$29,2,0)),IF(P1135="","LOSE",P1135)))</f>
        <v>S33</v>
      </c>
      <c r="BZ1135" s="62" t="n">
        <f aca="false">IF(BY1135="LOSE",1,IF(N(V1135)&gt;0,V1135,IF(CB1135=1,MAX(1,N(VLOOKUP(T1135,Parameter!$I$27:$K$29,3,0)),H1135,N(N1135)),IF(N(Q1135)&gt;0,Q1135,MAX(1,H1135)))))</f>
        <v>7</v>
      </c>
      <c r="CA1135" s="65" t="n">
        <f aca="false">IF(BY1135="LOSE",1,0)</f>
        <v>0</v>
      </c>
      <c r="CB1135" s="65" t="n">
        <f aca="false">IF(AND(U1135="",OR(P1135="",P1135="LOSE"),T1135&lt;&gt;"",N(S1135)&lt;=0,ISNUMBER(MATCH(T1135,Parameter!$I$27:$I$29,0))),1,0)</f>
        <v>0</v>
      </c>
      <c r="CC1135" s="65" t="n">
        <f aca="false">IF(CR1135&gt;0,INDEX(Parameter!$H$5:$H$7,W1135)/INDEX(Parameter!$E$5:$E$7,W1135),IF(AND(CA1135=0,N(IFERROR(VLOOKUP(BY1135,'Gebinde-Kategorie'!$A$5:$N$45,14,0),0))&gt;0),VLOOKUP(BY1135,'Gebinde-Kategorie'!$A$5:$N$45,14,0)*10+Parameter!$M$23,Parameter!$M$24))</f>
        <v>155</v>
      </c>
      <c r="CD1135" s="60" t="str">
        <f aca="false">IF(AND(Parameter!$B$19="Ja",E1135&lt;&gt;"",ISNUMBER(MATCH(E1135,Parameter!$I$35:$I$52,0))),VLOOKUP(E1135,Parameter!$I$35:$J$52,2,0),IFERROR(VLOOKUP(D1135,Parameter!$A$35:$C$64,2,0),"Nein"))</f>
        <v>2+3</v>
      </c>
      <c r="CE1135" s="64" t="n">
        <f aca="false">IF(CA1135=0,0,IF(N(S1135)&gt;0,S1135,IFERROR(VLOOKUP(D1135,Parameter!$A$35:$C$64,3,0)+0,0)))</f>
        <v>0</v>
      </c>
      <c r="CF1135" s="60" t="n">
        <f aca="false">IF(AB1135&lt;&gt;"",AB1135,AA1135)</f>
        <v>1</v>
      </c>
      <c r="CG1135" s="60" t="str">
        <f aca="false">IF(OR(CF1135=1,CF1135=2,CF1135=3),IF(Parameter!$E$27="Ja","LIFT",IF(CF1135=1,"L1","L23")),IF(CF1135="Aussen","Aussen","-"))</f>
        <v>LIFT</v>
      </c>
      <c r="CH1135" s="71" t="n">
        <f aca="false">IF(N(AC1135)&gt;0,AC1135,0)</f>
        <v>0</v>
      </c>
      <c r="CI1135" s="65" t="n">
        <f aca="false">IF(ISNUMBER(AF1135),1,0)</f>
        <v>0</v>
      </c>
      <c r="CJ1135" s="62" t="n">
        <f aca="false">N(AF1135)</f>
        <v>0</v>
      </c>
      <c r="CK1135" s="62" t="n">
        <f aca="false">N(M1135)+N(N1135)</f>
        <v>10</v>
      </c>
      <c r="CL1135" s="62" t="n">
        <f aca="false">N(M1135)</f>
        <v>0</v>
      </c>
      <c r="CM1135" s="62" t="n">
        <f aca="false">N(N1135)</f>
        <v>10</v>
      </c>
      <c r="CN1135" s="62" t="n">
        <f aca="false">ROUNDUP(H1135/BZ1135,0)</f>
        <v>1</v>
      </c>
      <c r="CO1135" s="62" t="n">
        <f aca="false">ROUNDUP(CJ1135/BZ1135,0)</f>
        <v>0</v>
      </c>
      <c r="CP1135" s="65" t="n">
        <f aca="false">IF(CA1135=1,0,IFERROR(VLOOKUP(BY1135,'Gebinde-Kategorie'!$A$5:$N$45,5,0)+0,0))</f>
        <v>8</v>
      </c>
      <c r="CQ1135" s="65" t="n">
        <f aca="false">IFERROR(IF(OR(CF1135=1,CF1135=2,CF1135=3),N(INDEX(Parameter!$I$5:$I$7,CF1135)),0),0)</f>
        <v>0</v>
      </c>
      <c r="CR1135" s="64" t="n">
        <f aca="false">IF(AND(Parameter!$B$21="Ja",ISNUMBER(W1135),N(X1135)&gt;0),IFERROR(N(INDEX(Parameter!$L$5:$L$7,W1135))*INDEX(Parameter!$E$5:$E$7,W1135)*X1135/SUMIFS($X$7:$X$1843,$W$7:$W$1843,W1135),0),0)</f>
        <v>0</v>
      </c>
      <c r="CS1135" s="62" t="n">
        <f aca="false">IF(AND(OR(CG1135="L1",CG1135="L23",CG1135="LIFT"),H1135&gt;0),CC1135*IF(CR1135&gt;0,CR1135*MAX(1,H1135/X1135),IF(CA1135=1,CE1135,IF(R1135&gt;0,CN1135/R1135,0))/MAX(0.1,N(Parameter!$M$21))),"")</f>
        <v>2.98076923076923</v>
      </c>
      <c r="CT1135" s="64" t="n">
        <f aca="false">IF(CS1135="","",J1135/H1135)</f>
        <v>1.66666666666667</v>
      </c>
      <c r="CU1135" s="62" t="n">
        <f aca="false">IF(CS1135="","",H1135*G1135)</f>
        <v>121.44</v>
      </c>
      <c r="CV1135" s="63" t="n">
        <f aca="false">IF(CS1135="","",(CL1135+ROUNDUP(CL1135+MAX(CM1135,2*(J1135/MAX(0.1,N(Einkauf!$C$6))-CL1135)),0))/2)</f>
        <v>5</v>
      </c>
      <c r="CW1135" s="62" t="n">
        <f aca="false">IF(CS1135="","",MAX(0,H1135-CV1135)*G1135)</f>
        <v>20.24</v>
      </c>
      <c r="CX1135" s="62" t="n">
        <f aca="false">IF(CS1135="","",CS1135*MAX(0,1-CV1135/H1135))</f>
        <v>0.496794871794872</v>
      </c>
      <c r="CY1135" s="64" t="n">
        <f aca="false">IF(CS1135="","",PERCENTRANK($CS$7:$CS$1843,CS1135)+PERCENTRANK($CU$7:$CU$1843,CU1135)+1-PERCENTRANK($CT$7:$CT$1843,CT1135))</f>
        <v>0.686</v>
      </c>
      <c r="CZ1135" s="72" t="n">
        <f aca="false">IF(CS1135="","",CHOOSE(MATCH(Einkauf!$C$5,Parameter!$G$23:$G$27,0),CY1135,CS1135,CU1135,-CT1135,CW1135)+ROW()/1000000000)</f>
        <v>0.686001135</v>
      </c>
    </row>
    <row r="1136" customFormat="false" ht="15" hidden="false" customHeight="false" outlineLevel="0" collapsed="false">
      <c r="A1136" s="60" t="s">
        <v>2097</v>
      </c>
      <c r="B1136" s="60" t="s">
        <v>2078</v>
      </c>
      <c r="C1136" s="60" t="s">
        <v>206</v>
      </c>
      <c r="D1136" s="60" t="s">
        <v>226</v>
      </c>
      <c r="E1136" s="60"/>
      <c r="F1136" s="60" t="s">
        <v>260</v>
      </c>
      <c r="G1136" s="61" t="n">
        <v>66.83</v>
      </c>
      <c r="H1136" s="62" t="n">
        <f aca="false">MAX(0,IF(AND(Parameter!$B$21="Ja",ISNUMBER(Y1136)),Y1136,IF(Parameter!$B$20="Jahresanfang 2025 + Export",BS1136+BR1136,BR1136)))</f>
        <v>4</v>
      </c>
      <c r="I1136" s="62" t="n">
        <f aca="false">H1136*G1136</f>
        <v>267.32</v>
      </c>
      <c r="J1136" s="62" t="n">
        <f aca="false">BU1136*Parameter!$B$18</f>
        <v>0</v>
      </c>
      <c r="K1136" s="63" t="n">
        <v>8.5</v>
      </c>
      <c r="L1136" s="64" t="n">
        <v>0</v>
      </c>
      <c r="M1136" s="62" t="n">
        <v>0</v>
      </c>
      <c r="N1136" s="62" t="n">
        <v>1</v>
      </c>
      <c r="O1136" s="65" t="n">
        <v>28</v>
      </c>
      <c r="P1136" s="60" t="s">
        <v>344</v>
      </c>
      <c r="Q1136" s="62" t="n">
        <v>6</v>
      </c>
      <c r="R1136" s="65" t="n">
        <f aca="false">IF(CA1136=1,0,IFERROR(VLOOKUP(BY1136,'Gebinde-Kategorie'!$A$5:$N$45,13,0)+0,0))</f>
        <v>26</v>
      </c>
      <c r="S1136" s="66"/>
      <c r="T1136" s="67"/>
      <c r="U1136" s="67"/>
      <c r="V1136" s="67"/>
      <c r="W1136" s="60"/>
      <c r="X1136" s="62"/>
      <c r="Y1136" s="62"/>
      <c r="Z1136" s="60" t="n">
        <v>3</v>
      </c>
      <c r="AA1136" s="60" t="n">
        <f aca="false">IF(A1136="","",IF(AND(Parameter!$B$21="Ja",ISNUMBER(W1136)),W1136,IF(AND(Parameter!$E$27="Ja",ISNUMBER(Z1136),CD1136&lt;&gt;"Nein"),Z1136,IF(CD1136="2+3",IF(ISNUMBER(SEARCH("grosser Artikel",BV1136)),2,IFERROR(VLOOKUP(BY1136,Parameter!$F$35:$G$64,2,0),2)),IF(OR(CD1136="Nein",CD1136=""),"-",CD1136)))))</f>
        <v>3</v>
      </c>
      <c r="AB1136" s="67"/>
      <c r="AC1136" s="68"/>
      <c r="AD1136" s="62" t="n">
        <f aca="false">AW1136</f>
        <v>1</v>
      </c>
      <c r="AE1136" s="62" t="n">
        <f aca="false">MAX(AW1136,H1136)</f>
        <v>4</v>
      </c>
      <c r="AF1136" s="69"/>
      <c r="AG1136" s="62" t="n">
        <f aca="false">IF(LEFT(Cockpit!$C$5,1)="A",H1136,IF(Parameter!$E$30="MAX-Bestand",IF(CI1136=1,CJ1136,IF(LEFT(Cockpit!$C$5,1)="B",AM1136,MAX(AM1136,H1136))),ROUNDUP(AK1136,0)))</f>
        <v>4</v>
      </c>
      <c r="AH1136" s="62" t="n">
        <f aca="false">IF(CA1136=1,0,ROUNDUP(AG1136/BZ1136,0))</f>
        <v>1</v>
      </c>
      <c r="AI1136" s="64" t="n">
        <f aca="false">IF(CR1136&gt;0,CR1136*MAX(1,AG1136/X1136),IF(CA1136=1,IF(AG1136&lt;=0,0,CE1136*MAX(1,IF(H1136&gt;0,AG1136/H1136,1))),IF(R1136&gt;0,AH1136/R1136,0))/MAX(0.1,N(Parameter!$M$21)))</f>
        <v>0.0384615384615385</v>
      </c>
      <c r="AJ1136" s="62" t="n">
        <f aca="false">AI1136*CC1136</f>
        <v>5.96153846153846</v>
      </c>
      <c r="AK1136" s="63" t="n">
        <f aca="false">IF(LEFT(Cockpit!$C$5,1)="A",H1136,IF(CI1136=1,(CL1136+CJ1136)/2,IF(LEFT(Cockpit!$C$5,1)="B",(CL1136+AM1136)/2,MAX((CL1136+AM1136)/2,H1136))))</f>
        <v>4</v>
      </c>
      <c r="AL1136" s="62" t="n">
        <f aca="false">AK1136*G1136</f>
        <v>267.32</v>
      </c>
      <c r="AM1136" s="62" t="n">
        <f aca="false">ROUNDUP(CL1136+MAX(CM1136,2*(J1136/IF(CH1136&gt;0,CH1136,MAX(0.1,N(Cockpit!$C$6)))-CL1136)),0)</f>
        <v>1</v>
      </c>
      <c r="AN1136" s="63" t="n">
        <f aca="false">IF(AJ1136&gt;0,J1136/AJ1136,-1)</f>
        <v>0</v>
      </c>
      <c r="AO1136" s="63" t="n">
        <f aca="false">IF(AND(OR(CG1136="L1",CG1136="L23",CG1136="LIFT"),AJ1136&gt;0),SUMIFS($AJ$7:$AJ$1843,$CG$7:$CG$1843,CG1136,$AN$7:$AN$1843,"&gt;"&amp;AN1136)+SUMIFS($AJ$7:$AJ$1843,$CG$7:$CG$1843,CG1136,$AN$7:$AN$1843,AN1136,$BX$7:$BX$1843,"&lt;="&amp;BX1136),"")</f>
        <v>29158.8225124687</v>
      </c>
      <c r="AP1136" s="70" t="n">
        <f aca="false">IF(AO1136="",0,MAX(0,MIN(1,(IF(CG1136="L1",Parameter!$H$5,IF(CG1136="L23",Parameter!$H$6+Parameter!$H$7,Parameter!$H$5+Parameter!$H$6+Parameter!$H$7))-(AO1136-AJ1136))/AJ1136)))</f>
        <v>1</v>
      </c>
      <c r="AQ1136" s="62" t="n">
        <f aca="false">IF(LEFT(Cockpit!$I$5,1)="A",H1136,IF(Parameter!$E$30="MAX-Bestand",IF(CI1136=1,CJ1136,IF(LEFT(Cockpit!$I$5,1)="B",AW1136,MAX(AW1136,H1136))),ROUNDUP(AU1136,0)))</f>
        <v>4</v>
      </c>
      <c r="AR1136" s="62" t="n">
        <f aca="false">IF(CA1136=1,0,ROUNDUP(AQ1136/BZ1136,0))</f>
        <v>1</v>
      </c>
      <c r="AS1136" s="64" t="n">
        <f aca="false">IF(CR1136&gt;0,CR1136*MAX(1,AQ1136/X1136),IF(CA1136=1,IF(AQ1136&lt;=0,0,CE1136*MAX(1,IF(H1136&gt;0,AQ1136/H1136,1))),IF(R1136&gt;0,AR1136/R1136,0))/MAX(0.1,N(Parameter!$M$21)))</f>
        <v>0.0384615384615385</v>
      </c>
      <c r="AT1136" s="62" t="n">
        <f aca="false">AS1136*CC1136</f>
        <v>5.96153846153846</v>
      </c>
      <c r="AU1136" s="63" t="n">
        <f aca="false">IF(LEFT(Cockpit!$I$5,1)="A",H1136,IF(CI1136=1,(CL1136+CJ1136)/2,IF(LEFT(Cockpit!$I$5,1)="B",(CL1136+AW1136)/2,MAX((CL1136+AW1136)/2,H1136))))</f>
        <v>4</v>
      </c>
      <c r="AV1136" s="62" t="n">
        <f aca="false">AU1136*G1136</f>
        <v>267.32</v>
      </c>
      <c r="AW1136" s="62" t="n">
        <f aca="false">ROUNDUP(CL1136+MAX(CM1136,2*(J1136/IF(CH1136&gt;0,CH1136,MAX(0.1,N(Cockpit!$I$6)))-CL1136)),0)</f>
        <v>1</v>
      </c>
      <c r="AX1136" s="63" t="n">
        <f aca="false">IF(AT1136&gt;0,J1136/AT1136,-1)</f>
        <v>0</v>
      </c>
      <c r="AY1136" s="63" t="n">
        <f aca="false">IF(AND(OR(CG1136="L1",CG1136="L23",CG1136="LIFT"),AT1136&gt;0),SUMIFS($AT$7:$AT$1843,$CG$7:$CG$1843,CG1136,$AX$7:$AX$1843,"&gt;"&amp;AX1136)+SUMIFS($AT$7:$AT$1843,$CG$7:$CG$1843,CG1136,$AX$7:$AX$1843,AX1136,$BX$7:$BX$1843,"&lt;="&amp;BX1136),"")</f>
        <v>34943.7907509158</v>
      </c>
      <c r="AZ1136" s="70" t="n">
        <f aca="false">IF(AY1136="",0,MAX(0,MIN(1,(IF(CG1136="L1",Parameter!$H$5,IF(CG1136="L23",Parameter!$H$6+Parameter!$H$7,Parameter!$H$5+Parameter!$H$6+Parameter!$H$7))-(AY1136-AT1136))/AT1136)))</f>
        <v>1</v>
      </c>
      <c r="BA1136" s="62" t="n">
        <f aca="false">IF(LEFT(Cockpit!$O$5,1)="A",H1136,IF(Parameter!$E$30="MAX-Bestand",IF(CI1136=1,CJ1136,IF(LEFT(Cockpit!$O$5,1)="B",BG1136,MAX(BG1136,H1136))),ROUNDUP(BE1136,0)))</f>
        <v>1</v>
      </c>
      <c r="BB1136" s="62" t="n">
        <f aca="false">IF(CA1136=1,0,ROUNDUP(BA1136/BZ1136,0))</f>
        <v>1</v>
      </c>
      <c r="BC1136" s="64" t="n">
        <f aca="false">IF(CR1136&gt;0,CR1136*MAX(1,BA1136/X1136),IF(CA1136=1,IF(BA1136&lt;=0,0,CE1136*MAX(1,IF(H1136&gt;0,BA1136/H1136,1))),IF(R1136&gt;0,BB1136/R1136,0))/MAX(0.1,N(Parameter!$M$21)))</f>
        <v>0.0384615384615385</v>
      </c>
      <c r="BD1136" s="62" t="n">
        <f aca="false">BC1136*CC1136</f>
        <v>5.96153846153846</v>
      </c>
      <c r="BE1136" s="63" t="n">
        <f aca="false">IF(LEFT(Cockpit!$O$5,1)="A",H1136,IF(CI1136=1,(CL1136+CJ1136)/2,IF(LEFT(Cockpit!$O$5,1)="B",(CL1136+BG1136)/2,MAX((CL1136+BG1136)/2,H1136))))</f>
        <v>0.5</v>
      </c>
      <c r="BF1136" s="62" t="n">
        <f aca="false">BE1136*G1136</f>
        <v>33.415</v>
      </c>
      <c r="BG1136" s="62" t="n">
        <f aca="false">ROUNDUP(CL1136+MAX(CM1136,2*(J1136/IF(CH1136&gt;0,CH1136,MAX(0.1,N(Cockpit!$O$6)))-CL1136)),0)</f>
        <v>1</v>
      </c>
      <c r="BH1136" s="63" t="n">
        <f aca="false">IF(BD1136&gt;0,J1136/BD1136,-1)</f>
        <v>0</v>
      </c>
      <c r="BI1136" s="63" t="n">
        <f aca="false">IF(AND(OR(CG1136="L1",CG1136="L23",CG1136="LIFT"),BD1136&gt;0),SUMIFS($BD$7:$BD$1843,$CG$7:$CG$1843,CG1136,$BH$7:$BH$1843,"&gt;"&amp;BH1136)+SUMIFS($BD$7:$BD$1843,$CG$7:$CG$1843,CG1136,$BH$7:$BH$1843,BH1136,$BX$7:$BX$1843,"&lt;="&amp;BX1136),"")</f>
        <v>28929.0974110635</v>
      </c>
      <c r="BJ1136" s="70" t="n">
        <f aca="false">IF(BI1136="",0,MAX(0,MIN(1,(IF(CG1136="L1",Parameter!$H$5,IF(CG1136="L23",Parameter!$H$6+Parameter!$H$7,Parameter!$H$5+Parameter!$H$6+Parameter!$H$7))-(BI1136-BD1136))/BD1136)))</f>
        <v>1</v>
      </c>
      <c r="BK1136" s="60" t="str">
        <f aca="false">IF(AJ1136&lt;=0,"",IF(CG1136="Aussen","Aussenlager",IF(CG1136="-","Nicht im Lift",IF(AP1136&gt;=1,"Lift",IF(AP1136&lt;=0,"Aussenlager","teilweise")))))</f>
        <v>Lift</v>
      </c>
      <c r="BL1136" s="60" t="str">
        <f aca="false">IF(AT1136&lt;=0,"",IF(CG1136="Aussen","Aussenlager",IF(CG1136="-","Nicht im Lift",IF(AZ1136&gt;=1,"Lift",IF(AZ1136&lt;=0,"Aussenlager","teilweise")))))</f>
        <v>Lift</v>
      </c>
      <c r="BM1136" s="60" t="str">
        <f aca="false">IF(BD1136&lt;=0,"",IF(CG1136="Aussen","Aussenlager",IF(CG1136="-","Nicht im Lift",IF(BJ1136&gt;=1,"Lift",IF(BJ1136&lt;=0,"Aussenlager","teilweise")))))</f>
        <v>Lift</v>
      </c>
      <c r="BN1136" s="60" t="str">
        <f aca="false">IF(A1136="","",IF(BW1136=1,"Neu; ","")&amp;IF(AND(BW1136=0,BR1136&lt;0),"negativer Bestand (Export "&amp;BR1136&amp;"); ","")&amp;IF(J1136&lt;=0,"Kein Verbrauch; ","")&amp;IF(CR1136&gt;0,"Lift "&amp;W1136&amp;" lt. Liftbericht (Fach "&amp;X1136&amp;" Stk); ",IF(CB1136=1,"Gebinde geschätzt ("&amp;T1136&amp;"); ",IF(CA1136=1,"Lose – Tablare geschätzt; ","")))&amp;IF(H1136&gt;AW1136,"Überbestand "&amp;ROUND(H1136-AW1136,0)&amp;" Stk / CHF "&amp;ROUND((H1136-AW1136)*G1136,0)&amp;"; ","")&amp;IF(AND(CI1136=1,CJ1136&lt;CK1136),"MAX &lt; MB+LG; ","")&amp;IF(AND(CQ1136&gt;0,CP1136*10&gt;CQ1136),"zu hoch für Tablar; ","")&amp;IF(AND(BW1136=0,OR(CI1136=1,AB1136&lt;&gt;"",U1136&lt;&gt;"",V1136&lt;&gt;"",AC1136&lt;&gt;"")),"manuell übersteuert; ","")&amp;IF(AND(CA1136=0,R1136=0),"Gebinde unbekannt / Stellmass fehlt; ","")&amp;IF(AND(CA1136=0,N(V1136)&lt;=0,N(Q1136)&lt;=0),"Menge pro Gebinde fehlt (Ist = 1 Gebinde); ","")&amp;BV1136)</f>
        <v>negativer Bestand (Export -4); Kein Verbrauch; Überbestand 3 Stk / CHF 200; </v>
      </c>
      <c r="BO1136" s="60"/>
      <c r="BP1136" s="60"/>
      <c r="BQ1136" s="67"/>
      <c r="BR1136" s="62" t="n">
        <v>-4</v>
      </c>
      <c r="BS1136" s="62" t="n">
        <v>8</v>
      </c>
      <c r="BT1136" s="61" t="n">
        <v>-267.32</v>
      </c>
      <c r="BU1136" s="62" t="n">
        <v>0</v>
      </c>
      <c r="BV1136" s="60"/>
      <c r="BW1136" s="65" t="n">
        <v>0</v>
      </c>
      <c r="BX1136" s="65" t="n">
        <v>1136</v>
      </c>
      <c r="BY1136" s="60" t="str">
        <f aca="false">IF(U1136&lt;&gt;"",UPPER(TRIM(U1136)),IF(CB1136=1,UPPER(VLOOKUP(T1136,Parameter!$I$27:$K$29,2,0)),IF(P1136="","LOSE",P1136)))</f>
        <v>S51</v>
      </c>
      <c r="BZ1136" s="62" t="n">
        <f aca="false">IF(BY1136="LOSE",1,IF(N(V1136)&gt;0,V1136,IF(CB1136=1,MAX(1,N(VLOOKUP(T1136,Parameter!$I$27:$K$29,3,0)),H1136,N(N1136)),IF(N(Q1136)&gt;0,Q1136,MAX(1,H1136)))))</f>
        <v>6</v>
      </c>
      <c r="CA1136" s="65" t="n">
        <f aca="false">IF(BY1136="LOSE",1,0)</f>
        <v>0</v>
      </c>
      <c r="CB1136" s="65" t="n">
        <f aca="false">IF(AND(U1136="",OR(P1136="",P1136="LOSE"),T1136&lt;&gt;"",N(S1136)&lt;=0,ISNUMBER(MATCH(T1136,Parameter!$I$27:$I$29,0))),1,0)</f>
        <v>0</v>
      </c>
      <c r="CC1136" s="65" t="n">
        <f aca="false">IF(CR1136&gt;0,INDEX(Parameter!$H$5:$H$7,W1136)/INDEX(Parameter!$E$5:$E$7,W1136),IF(AND(CA1136=0,N(IFERROR(VLOOKUP(BY1136,'Gebinde-Kategorie'!$A$5:$N$45,14,0),0))&gt;0),VLOOKUP(BY1136,'Gebinde-Kategorie'!$A$5:$N$45,14,0)*10+Parameter!$M$23,Parameter!$M$24))</f>
        <v>155</v>
      </c>
      <c r="CD1136" s="60" t="str">
        <f aca="false">IF(AND(Parameter!$B$19="Ja",E1136&lt;&gt;"",ISNUMBER(MATCH(E1136,Parameter!$I$35:$I$52,0))),VLOOKUP(E1136,Parameter!$I$35:$J$52,2,0),IFERROR(VLOOKUP(D1136,Parameter!$A$35:$C$64,2,0),"Nein"))</f>
        <v>2+3</v>
      </c>
      <c r="CE1136" s="64" t="n">
        <f aca="false">IF(CA1136=0,0,IF(N(S1136)&gt;0,S1136,IFERROR(VLOOKUP(D1136,Parameter!$A$35:$C$64,3,0)+0,0)))</f>
        <v>0</v>
      </c>
      <c r="CF1136" s="60" t="n">
        <f aca="false">IF(AB1136&lt;&gt;"",AB1136,AA1136)</f>
        <v>3</v>
      </c>
      <c r="CG1136" s="60" t="str">
        <f aca="false">IF(OR(CF1136=1,CF1136=2,CF1136=3),IF(Parameter!$E$27="Ja","LIFT",IF(CF1136=1,"L1","L23")),IF(CF1136="Aussen","Aussen","-"))</f>
        <v>LIFT</v>
      </c>
      <c r="CH1136" s="71" t="n">
        <f aca="false">IF(N(AC1136)&gt;0,AC1136,0)</f>
        <v>0</v>
      </c>
      <c r="CI1136" s="65" t="n">
        <f aca="false">IF(ISNUMBER(AF1136),1,0)</f>
        <v>0</v>
      </c>
      <c r="CJ1136" s="62" t="n">
        <f aca="false">N(AF1136)</f>
        <v>0</v>
      </c>
      <c r="CK1136" s="62" t="n">
        <f aca="false">N(M1136)+N(N1136)</f>
        <v>1</v>
      </c>
      <c r="CL1136" s="62" t="n">
        <f aca="false">N(M1136)</f>
        <v>0</v>
      </c>
      <c r="CM1136" s="62" t="n">
        <f aca="false">N(N1136)</f>
        <v>1</v>
      </c>
      <c r="CN1136" s="62" t="n">
        <f aca="false">ROUNDUP(H1136/BZ1136,0)</f>
        <v>1</v>
      </c>
      <c r="CO1136" s="62" t="n">
        <f aca="false">ROUNDUP(CJ1136/BZ1136,0)</f>
        <v>0</v>
      </c>
      <c r="CP1136" s="65" t="n">
        <f aca="false">IF(CA1136=1,0,IFERROR(VLOOKUP(BY1136,'Gebinde-Kategorie'!$A$5:$N$45,5,0)+0,0))</f>
        <v>11</v>
      </c>
      <c r="CQ1136" s="65" t="n">
        <f aca="false">IFERROR(IF(OR(CF1136=1,CF1136=2,CF1136=3),N(INDEX(Parameter!$I$5:$I$7,CF1136)),0),0)</f>
        <v>0</v>
      </c>
      <c r="CR1136" s="64" t="n">
        <f aca="false">IF(AND(Parameter!$B$21="Ja",ISNUMBER(W1136),N(X1136)&gt;0),IFERROR(N(INDEX(Parameter!$L$5:$L$7,W1136))*INDEX(Parameter!$E$5:$E$7,W1136)*X1136/SUMIFS($X$7:$X$1843,$W$7:$W$1843,W1136),0),0)</f>
        <v>0</v>
      </c>
      <c r="CS1136" s="62" t="n">
        <f aca="false">IF(AND(OR(CG1136="L1",CG1136="L23",CG1136="LIFT"),H1136&gt;0),CC1136*IF(CR1136&gt;0,CR1136*MAX(1,H1136/X1136),IF(CA1136=1,CE1136,IF(R1136&gt;0,CN1136/R1136,0))/MAX(0.1,N(Parameter!$M$21))),"")</f>
        <v>5.96153846153846</v>
      </c>
      <c r="CT1136" s="64" t="n">
        <f aca="false">IF(CS1136="","",J1136/H1136)</f>
        <v>0</v>
      </c>
      <c r="CU1136" s="62" t="n">
        <f aca="false">IF(CS1136="","",H1136*G1136)</f>
        <v>267.32</v>
      </c>
      <c r="CV1136" s="63" t="n">
        <f aca="false">IF(CS1136="","",(CL1136+ROUNDUP(CL1136+MAX(CM1136,2*(J1136/MAX(0.1,N(Einkauf!$C$6))-CL1136)),0))/2)</f>
        <v>0.5</v>
      </c>
      <c r="CW1136" s="62" t="n">
        <f aca="false">IF(CS1136="","",MAX(0,H1136-CV1136)*G1136)</f>
        <v>233.905</v>
      </c>
      <c r="CX1136" s="62" t="n">
        <f aca="false">IF(CS1136="","",CS1136*MAX(0,1-CV1136/H1136))</f>
        <v>5.21634615384615</v>
      </c>
      <c r="CY1136" s="64" t="n">
        <f aca="false">IF(CS1136="","",PERCENTRANK($CS$7:$CS$1843,CS1136)+PERCENTRANK($CU$7:$CU$1843,CU1136)+1-PERCENTRANK($CT$7:$CT$1843,CT1136))</f>
        <v>1.747</v>
      </c>
      <c r="CZ1136" s="72" t="n">
        <f aca="false">IF(CS1136="","",CHOOSE(MATCH(Einkauf!$C$5,Parameter!$G$23:$G$27,0),CY1136,CS1136,CU1136,-CT1136,CW1136)+ROW()/1000000000)</f>
        <v>1.747001136</v>
      </c>
    </row>
    <row r="1137" customFormat="false" ht="15" hidden="false" customHeight="false" outlineLevel="0" collapsed="false">
      <c r="A1137" s="60" t="s">
        <v>2098</v>
      </c>
      <c r="B1137" s="60" t="s">
        <v>2099</v>
      </c>
      <c r="C1137" s="60" t="s">
        <v>206</v>
      </c>
      <c r="D1137" s="60" t="s">
        <v>226</v>
      </c>
      <c r="E1137" s="60"/>
      <c r="F1137" s="60" t="s">
        <v>260</v>
      </c>
      <c r="G1137" s="61" t="n">
        <v>275.65</v>
      </c>
      <c r="H1137" s="62" t="n">
        <f aca="false">MAX(0,IF(AND(Parameter!$B$21="Ja",ISNUMBER(Y1137)),Y1137,IF(Parameter!$B$20="Jahresanfang 2025 + Export",BS1137+BR1137,BR1137)))</f>
        <v>1</v>
      </c>
      <c r="I1137" s="62" t="n">
        <f aca="false">H1137*G1137</f>
        <v>275.65</v>
      </c>
      <c r="J1137" s="62" t="n">
        <f aca="false">BU1137*Parameter!$B$18</f>
        <v>0</v>
      </c>
      <c r="K1137" s="63" t="n">
        <v>2</v>
      </c>
      <c r="L1137" s="64" t="n">
        <v>0</v>
      </c>
      <c r="M1137" s="62" t="n">
        <v>0</v>
      </c>
      <c r="N1137" s="62" t="n">
        <v>2</v>
      </c>
      <c r="O1137" s="65" t="n">
        <v>70</v>
      </c>
      <c r="P1137" s="60" t="s">
        <v>268</v>
      </c>
      <c r="Q1137" s="62" t="n">
        <v>2</v>
      </c>
      <c r="R1137" s="65" t="n">
        <f aca="false">IF(CA1137=1,0,IFERROR(VLOOKUP(BY1137,'Gebinde-Kategorie'!$A$5:$N$45,13,0)+0,0))</f>
        <v>12</v>
      </c>
      <c r="S1137" s="66"/>
      <c r="T1137" s="67"/>
      <c r="U1137" s="67"/>
      <c r="V1137" s="67"/>
      <c r="W1137" s="60"/>
      <c r="X1137" s="62"/>
      <c r="Y1137" s="62"/>
      <c r="Z1137" s="60" t="n">
        <v>3</v>
      </c>
      <c r="AA1137" s="60" t="n">
        <f aca="false">IF(A1137="","",IF(AND(Parameter!$B$21="Ja",ISNUMBER(W1137)),W1137,IF(AND(Parameter!$E$27="Ja",ISNUMBER(Z1137),CD1137&lt;&gt;"Nein"),Z1137,IF(CD1137="2+3",IF(ISNUMBER(SEARCH("grosser Artikel",BV1137)),2,IFERROR(VLOOKUP(BY1137,Parameter!$F$35:$G$64,2,0),2)),IF(OR(CD1137="Nein",CD1137=""),"-",CD1137)))))</f>
        <v>3</v>
      </c>
      <c r="AB1137" s="67"/>
      <c r="AC1137" s="68"/>
      <c r="AD1137" s="62" t="n">
        <f aca="false">AW1137</f>
        <v>2</v>
      </c>
      <c r="AE1137" s="62" t="n">
        <f aca="false">MAX(AW1137,H1137)</f>
        <v>2</v>
      </c>
      <c r="AF1137" s="69"/>
      <c r="AG1137" s="62" t="n">
        <f aca="false">IF(LEFT(Cockpit!$C$5,1)="A",H1137,IF(Parameter!$E$30="MAX-Bestand",IF(CI1137=1,CJ1137,IF(LEFT(Cockpit!$C$5,1)="B",AM1137,MAX(AM1137,H1137))),ROUNDUP(AK1137,0)))</f>
        <v>1</v>
      </c>
      <c r="AH1137" s="62" t="n">
        <f aca="false">IF(CA1137=1,0,ROUNDUP(AG1137/BZ1137,0))</f>
        <v>1</v>
      </c>
      <c r="AI1137" s="64" t="n">
        <f aca="false">IF(CR1137&gt;0,CR1137*MAX(1,AG1137/X1137),IF(CA1137=1,IF(AG1137&lt;=0,0,CE1137*MAX(1,IF(H1137&gt;0,AG1137/H1137,1))),IF(R1137&gt;0,AH1137/R1137,0))/MAX(0.1,N(Parameter!$M$21)))</f>
        <v>0.0833333333333333</v>
      </c>
      <c r="AJ1137" s="62" t="n">
        <f aca="false">AI1137*CC1137</f>
        <v>28.75</v>
      </c>
      <c r="AK1137" s="63" t="n">
        <f aca="false">IF(LEFT(Cockpit!$C$5,1)="A",H1137,IF(CI1137=1,(CL1137+CJ1137)/2,IF(LEFT(Cockpit!$C$5,1)="B",(CL1137+AM1137)/2,MAX((CL1137+AM1137)/2,H1137))))</f>
        <v>1</v>
      </c>
      <c r="AL1137" s="62" t="n">
        <f aca="false">AK1137*G1137</f>
        <v>275.65</v>
      </c>
      <c r="AM1137" s="62" t="n">
        <f aca="false">ROUNDUP(CL1137+MAX(CM1137,2*(J1137/IF(CH1137&gt;0,CH1137,MAX(0.1,N(Cockpit!$C$6)))-CL1137)),0)</f>
        <v>2</v>
      </c>
      <c r="AN1137" s="63" t="n">
        <f aca="false">IF(AJ1137&gt;0,J1137/AJ1137,-1)</f>
        <v>0</v>
      </c>
      <c r="AO1137" s="63" t="n">
        <f aca="false">IF(AND(OR(CG1137="L1",CG1137="L23",CG1137="LIFT"),AJ1137&gt;0),SUMIFS($AJ$7:$AJ$1843,$CG$7:$CG$1843,CG1137,$AN$7:$AN$1843,"&gt;"&amp;AN1137)+SUMIFS($AJ$7:$AJ$1843,$CG$7:$CG$1843,CG1137,$AN$7:$AN$1843,AN1137,$BX$7:$BX$1843,"&lt;="&amp;BX1137),"")</f>
        <v>29187.5725124687</v>
      </c>
      <c r="AP1137" s="70" t="n">
        <f aca="false">IF(AO1137="",0,MAX(0,MIN(1,(IF(CG1137="L1",Parameter!$H$5,IF(CG1137="L23",Parameter!$H$6+Parameter!$H$7,Parameter!$H$5+Parameter!$H$6+Parameter!$H$7))-(AO1137-AJ1137))/AJ1137)))</f>
        <v>1</v>
      </c>
      <c r="AQ1137" s="62" t="n">
        <f aca="false">IF(LEFT(Cockpit!$I$5,1)="A",H1137,IF(Parameter!$E$30="MAX-Bestand",IF(CI1137=1,CJ1137,IF(LEFT(Cockpit!$I$5,1)="B",AW1137,MAX(AW1137,H1137))),ROUNDUP(AU1137,0)))</f>
        <v>1</v>
      </c>
      <c r="AR1137" s="62" t="n">
        <f aca="false">IF(CA1137=1,0,ROUNDUP(AQ1137/BZ1137,0))</f>
        <v>1</v>
      </c>
      <c r="AS1137" s="64" t="n">
        <f aca="false">IF(CR1137&gt;0,CR1137*MAX(1,AQ1137/X1137),IF(CA1137=1,IF(AQ1137&lt;=0,0,CE1137*MAX(1,IF(H1137&gt;0,AQ1137/H1137,1))),IF(R1137&gt;0,AR1137/R1137,0))/MAX(0.1,N(Parameter!$M$21)))</f>
        <v>0.0833333333333333</v>
      </c>
      <c r="AT1137" s="62" t="n">
        <f aca="false">AS1137*CC1137</f>
        <v>28.75</v>
      </c>
      <c r="AU1137" s="63" t="n">
        <f aca="false">IF(LEFT(Cockpit!$I$5,1)="A",H1137,IF(CI1137=1,(CL1137+CJ1137)/2,IF(LEFT(Cockpit!$I$5,1)="B",(CL1137+AW1137)/2,MAX((CL1137+AW1137)/2,H1137))))</f>
        <v>1</v>
      </c>
      <c r="AV1137" s="62" t="n">
        <f aca="false">AU1137*G1137</f>
        <v>275.65</v>
      </c>
      <c r="AW1137" s="62" t="n">
        <f aca="false">ROUNDUP(CL1137+MAX(CM1137,2*(J1137/IF(CH1137&gt;0,CH1137,MAX(0.1,N(Cockpit!$I$6)))-CL1137)),0)</f>
        <v>2</v>
      </c>
      <c r="AX1137" s="63" t="n">
        <f aca="false">IF(AT1137&gt;0,J1137/AT1137,-1)</f>
        <v>0</v>
      </c>
      <c r="AY1137" s="63" t="n">
        <f aca="false">IF(AND(OR(CG1137="L1",CG1137="L23",CG1137="LIFT"),AT1137&gt;0),SUMIFS($AT$7:$AT$1843,$CG$7:$CG$1843,CG1137,$AX$7:$AX$1843,"&gt;"&amp;AX1137)+SUMIFS($AT$7:$AT$1843,$CG$7:$CG$1843,CG1137,$AX$7:$AX$1843,AX1137,$BX$7:$BX$1843,"&lt;="&amp;BX1137),"")</f>
        <v>34972.5407509158</v>
      </c>
      <c r="AZ1137" s="70" t="n">
        <f aca="false">IF(AY1137="",0,MAX(0,MIN(1,(IF(CG1137="L1",Parameter!$H$5,IF(CG1137="L23",Parameter!$H$6+Parameter!$H$7,Parameter!$H$5+Parameter!$H$6+Parameter!$H$7))-(AY1137-AT1137))/AT1137)))</f>
        <v>1</v>
      </c>
      <c r="BA1137" s="62" t="n">
        <f aca="false">IF(LEFT(Cockpit!$O$5,1)="A",H1137,IF(Parameter!$E$30="MAX-Bestand",IF(CI1137=1,CJ1137,IF(LEFT(Cockpit!$O$5,1)="B",BG1137,MAX(BG1137,H1137))),ROUNDUP(BE1137,0)))</f>
        <v>1</v>
      </c>
      <c r="BB1137" s="62" t="n">
        <f aca="false">IF(CA1137=1,0,ROUNDUP(BA1137/BZ1137,0))</f>
        <v>1</v>
      </c>
      <c r="BC1137" s="64" t="n">
        <f aca="false">IF(CR1137&gt;0,CR1137*MAX(1,BA1137/X1137),IF(CA1137=1,IF(BA1137&lt;=0,0,CE1137*MAX(1,IF(H1137&gt;0,BA1137/H1137,1))),IF(R1137&gt;0,BB1137/R1137,0))/MAX(0.1,N(Parameter!$M$21)))</f>
        <v>0.0833333333333333</v>
      </c>
      <c r="BD1137" s="62" t="n">
        <f aca="false">BC1137*CC1137</f>
        <v>28.75</v>
      </c>
      <c r="BE1137" s="63" t="n">
        <f aca="false">IF(LEFT(Cockpit!$O$5,1)="A",H1137,IF(CI1137=1,(CL1137+CJ1137)/2,IF(LEFT(Cockpit!$O$5,1)="B",(CL1137+BG1137)/2,MAX((CL1137+BG1137)/2,H1137))))</f>
        <v>1</v>
      </c>
      <c r="BF1137" s="62" t="n">
        <f aca="false">BE1137*G1137</f>
        <v>275.65</v>
      </c>
      <c r="BG1137" s="62" t="n">
        <f aca="false">ROUNDUP(CL1137+MAX(CM1137,2*(J1137/IF(CH1137&gt;0,CH1137,MAX(0.1,N(Cockpit!$O$6)))-CL1137)),0)</f>
        <v>2</v>
      </c>
      <c r="BH1137" s="63" t="n">
        <f aca="false">IF(BD1137&gt;0,J1137/BD1137,-1)</f>
        <v>0</v>
      </c>
      <c r="BI1137" s="63" t="n">
        <f aca="false">IF(AND(OR(CG1137="L1",CG1137="L23",CG1137="LIFT"),BD1137&gt;0),SUMIFS($BD$7:$BD$1843,$CG$7:$CG$1843,CG1137,$BH$7:$BH$1843,"&gt;"&amp;BH1137)+SUMIFS($BD$7:$BD$1843,$CG$7:$CG$1843,CG1137,$BH$7:$BH$1843,BH1137,$BX$7:$BX$1843,"&lt;="&amp;BX1137),"")</f>
        <v>28957.8474110635</v>
      </c>
      <c r="BJ1137" s="70" t="n">
        <f aca="false">IF(BI1137="",0,MAX(0,MIN(1,(IF(CG1137="L1",Parameter!$H$5,IF(CG1137="L23",Parameter!$H$6+Parameter!$H$7,Parameter!$H$5+Parameter!$H$6+Parameter!$H$7))-(BI1137-BD1137))/BD1137)))</f>
        <v>1</v>
      </c>
      <c r="BK1137" s="60" t="str">
        <f aca="false">IF(AJ1137&lt;=0,"",IF(CG1137="Aussen","Aussenlager",IF(CG1137="-","Nicht im Lift",IF(AP1137&gt;=1,"Lift",IF(AP1137&lt;=0,"Aussenlager","teilweise")))))</f>
        <v>Lift</v>
      </c>
      <c r="BL1137" s="60" t="str">
        <f aca="false">IF(AT1137&lt;=0,"",IF(CG1137="Aussen","Aussenlager",IF(CG1137="-","Nicht im Lift",IF(AZ1137&gt;=1,"Lift",IF(AZ1137&lt;=0,"Aussenlager","teilweise")))))</f>
        <v>Lift</v>
      </c>
      <c r="BM1137" s="60" t="str">
        <f aca="false">IF(BD1137&lt;=0,"",IF(CG1137="Aussen","Aussenlager",IF(CG1137="-","Nicht im Lift",IF(BJ1137&gt;=1,"Lift",IF(BJ1137&lt;=0,"Aussenlager","teilweise")))))</f>
        <v>Lift</v>
      </c>
      <c r="BN1137" s="60" t="str">
        <f aca="false">IF(A1137="","",IF(BW1137=1,"Neu; ","")&amp;IF(AND(BW1137=0,BR1137&lt;0),"negativer Bestand (Export "&amp;BR1137&amp;"); ","")&amp;IF(J1137&lt;=0,"Kein Verbrauch; ","")&amp;IF(CR1137&gt;0,"Lift "&amp;W1137&amp;" lt. Liftbericht (Fach "&amp;X1137&amp;" Stk); ",IF(CB1137=1,"Gebinde geschätzt ("&amp;T1137&amp;"); ",IF(CA1137=1,"Lose – Tablare geschätzt; ","")))&amp;IF(H1137&gt;AW1137,"Überbestand "&amp;ROUND(H1137-AW1137,0)&amp;" Stk / CHF "&amp;ROUND((H1137-AW1137)*G1137,0)&amp;"; ","")&amp;IF(AND(CI1137=1,CJ1137&lt;CK1137),"MAX &lt; MB+LG; ","")&amp;IF(AND(CQ1137&gt;0,CP1137*10&gt;CQ1137),"zu hoch für Tablar; ","")&amp;IF(AND(BW1137=0,OR(CI1137=1,AB1137&lt;&gt;"",U1137&lt;&gt;"",V1137&lt;&gt;"",AC1137&lt;&gt;"")),"manuell übersteuert; ","")&amp;IF(AND(CA1137=0,R1137=0),"Gebinde unbekannt / Stellmass fehlt; ","")&amp;IF(AND(CA1137=0,N(V1137)&lt;=0,N(Q1137)&lt;=0),"Menge pro Gebinde fehlt (Ist = 1 Gebinde); ","")&amp;BV1137)</f>
        <v>negativer Bestand (Export -1); Kein Verbrauch; </v>
      </c>
      <c r="BO1137" s="60"/>
      <c r="BP1137" s="60"/>
      <c r="BQ1137" s="67"/>
      <c r="BR1137" s="62" t="n">
        <v>-1</v>
      </c>
      <c r="BS1137" s="62" t="n">
        <v>2</v>
      </c>
      <c r="BT1137" s="61" t="n">
        <v>-275.65</v>
      </c>
      <c r="BU1137" s="62" t="n">
        <v>0</v>
      </c>
      <c r="BV1137" s="60"/>
      <c r="BW1137" s="65" t="n">
        <v>0</v>
      </c>
      <c r="BX1137" s="65" t="n">
        <v>1137</v>
      </c>
      <c r="BY1137" s="60" t="str">
        <f aca="false">IF(U1137&lt;&gt;"",UPPER(TRIM(U1137)),IF(CB1137=1,UPPER(VLOOKUP(T1137,Parameter!$I$27:$K$29,2,0)),IF(P1137="","LOSE",P1137)))</f>
        <v>S63</v>
      </c>
      <c r="BZ1137" s="62" t="n">
        <f aca="false">IF(BY1137="LOSE",1,IF(N(V1137)&gt;0,V1137,IF(CB1137=1,MAX(1,N(VLOOKUP(T1137,Parameter!$I$27:$K$29,3,0)),H1137,N(N1137)),IF(N(Q1137)&gt;0,Q1137,MAX(1,H1137)))))</f>
        <v>2</v>
      </c>
      <c r="CA1137" s="65" t="n">
        <f aca="false">IF(BY1137="LOSE",1,0)</f>
        <v>0</v>
      </c>
      <c r="CB1137" s="65" t="n">
        <f aca="false">IF(AND(U1137="",OR(P1137="",P1137="LOSE"),T1137&lt;&gt;"",N(S1137)&lt;=0,ISNUMBER(MATCH(T1137,Parameter!$I$27:$I$29,0))),1,0)</f>
        <v>0</v>
      </c>
      <c r="CC1137" s="65" t="n">
        <f aca="false">IF(CR1137&gt;0,INDEX(Parameter!$H$5:$H$7,W1137)/INDEX(Parameter!$E$5:$E$7,W1137),IF(AND(CA1137=0,N(IFERROR(VLOOKUP(BY1137,'Gebinde-Kategorie'!$A$5:$N$45,14,0),0))&gt;0),VLOOKUP(BY1137,'Gebinde-Kategorie'!$A$5:$N$45,14,0)*10+Parameter!$M$23,Parameter!$M$24))</f>
        <v>345</v>
      </c>
      <c r="CD1137" s="60" t="str">
        <f aca="false">IF(AND(Parameter!$B$19="Ja",E1137&lt;&gt;"",ISNUMBER(MATCH(E1137,Parameter!$I$35:$I$52,0))),VLOOKUP(E1137,Parameter!$I$35:$J$52,2,0),IFERROR(VLOOKUP(D1137,Parameter!$A$35:$C$64,2,0),"Nein"))</f>
        <v>2+3</v>
      </c>
      <c r="CE1137" s="64" t="n">
        <f aca="false">IF(CA1137=0,0,IF(N(S1137)&gt;0,S1137,IFERROR(VLOOKUP(D1137,Parameter!$A$35:$C$64,3,0)+0,0)))</f>
        <v>0</v>
      </c>
      <c r="CF1137" s="60" t="n">
        <f aca="false">IF(AB1137&lt;&gt;"",AB1137,AA1137)</f>
        <v>3</v>
      </c>
      <c r="CG1137" s="60" t="str">
        <f aca="false">IF(OR(CF1137=1,CF1137=2,CF1137=3),IF(Parameter!$E$27="Ja","LIFT",IF(CF1137=1,"L1","L23")),IF(CF1137="Aussen","Aussen","-"))</f>
        <v>LIFT</v>
      </c>
      <c r="CH1137" s="71" t="n">
        <f aca="false">IF(N(AC1137)&gt;0,AC1137,0)</f>
        <v>0</v>
      </c>
      <c r="CI1137" s="65" t="n">
        <f aca="false">IF(ISNUMBER(AF1137),1,0)</f>
        <v>0</v>
      </c>
      <c r="CJ1137" s="62" t="n">
        <f aca="false">N(AF1137)</f>
        <v>0</v>
      </c>
      <c r="CK1137" s="62" t="n">
        <f aca="false">N(M1137)+N(N1137)</f>
        <v>2</v>
      </c>
      <c r="CL1137" s="62" t="n">
        <f aca="false">N(M1137)</f>
        <v>0</v>
      </c>
      <c r="CM1137" s="62" t="n">
        <f aca="false">N(N1137)</f>
        <v>2</v>
      </c>
      <c r="CN1137" s="62" t="n">
        <f aca="false">ROUNDUP(H1137/BZ1137,0)</f>
        <v>1</v>
      </c>
      <c r="CO1137" s="62" t="n">
        <f aca="false">ROUNDUP(CJ1137/BZ1137,0)</f>
        <v>0</v>
      </c>
      <c r="CP1137" s="65" t="n">
        <f aca="false">IF(CA1137=1,0,IFERROR(VLOOKUP(BY1137,'Gebinde-Kategorie'!$A$5:$N$45,5,0)+0,0))</f>
        <v>31</v>
      </c>
      <c r="CQ1137" s="65" t="n">
        <f aca="false">IFERROR(IF(OR(CF1137=1,CF1137=2,CF1137=3),N(INDEX(Parameter!$I$5:$I$7,CF1137)),0),0)</f>
        <v>0</v>
      </c>
      <c r="CR1137" s="64" t="n">
        <f aca="false">IF(AND(Parameter!$B$21="Ja",ISNUMBER(W1137),N(X1137)&gt;0),IFERROR(N(INDEX(Parameter!$L$5:$L$7,W1137))*INDEX(Parameter!$E$5:$E$7,W1137)*X1137/SUMIFS($X$7:$X$1843,$W$7:$W$1843,W1137),0),0)</f>
        <v>0</v>
      </c>
      <c r="CS1137" s="62" t="n">
        <f aca="false">IF(AND(OR(CG1137="L1",CG1137="L23",CG1137="LIFT"),H1137&gt;0),CC1137*IF(CR1137&gt;0,CR1137*MAX(1,H1137/X1137),IF(CA1137=1,CE1137,IF(R1137&gt;0,CN1137/R1137,0))/MAX(0.1,N(Parameter!$M$21))),"")</f>
        <v>28.75</v>
      </c>
      <c r="CT1137" s="64" t="n">
        <f aca="false">IF(CS1137="","",J1137/H1137)</f>
        <v>0</v>
      </c>
      <c r="CU1137" s="62" t="n">
        <f aca="false">IF(CS1137="","",H1137*G1137)</f>
        <v>275.65</v>
      </c>
      <c r="CV1137" s="63" t="n">
        <f aca="false">IF(CS1137="","",(CL1137+ROUNDUP(CL1137+MAX(CM1137,2*(J1137/MAX(0.1,N(Einkauf!$C$6))-CL1137)),0))/2)</f>
        <v>1</v>
      </c>
      <c r="CW1137" s="62" t="n">
        <f aca="false">IF(CS1137="","",MAX(0,H1137-CV1137)*G1137)</f>
        <v>0</v>
      </c>
      <c r="CX1137" s="62" t="n">
        <f aca="false">IF(CS1137="","",CS1137*MAX(0,1-CV1137/H1137))</f>
        <v>0</v>
      </c>
      <c r="CY1137" s="64" t="n">
        <f aca="false">IF(CS1137="","",PERCENTRANK($CS$7:$CS$1843,CS1137)+PERCENTRANK($CU$7:$CU$1843,CU1137)+1-PERCENTRANK($CT$7:$CT$1843,CT1137))</f>
        <v>2.221</v>
      </c>
      <c r="CZ1137" s="72" t="n">
        <f aca="false">IF(CS1137="","",CHOOSE(MATCH(Einkauf!$C$5,Parameter!$G$23:$G$27,0),CY1137,CS1137,CU1137,-CT1137,CW1137)+ROW()/1000000000)</f>
        <v>2.221001137</v>
      </c>
    </row>
    <row r="1138" customFormat="false" ht="15" hidden="false" customHeight="false" outlineLevel="0" collapsed="false">
      <c r="A1138" s="60" t="s">
        <v>2100</v>
      </c>
      <c r="B1138" s="60" t="s">
        <v>1990</v>
      </c>
      <c r="C1138" s="60" t="s">
        <v>498</v>
      </c>
      <c r="D1138" s="60" t="s">
        <v>226</v>
      </c>
      <c r="E1138" s="60"/>
      <c r="F1138" s="60" t="s">
        <v>260</v>
      </c>
      <c r="G1138" s="61" t="n">
        <v>34.5</v>
      </c>
      <c r="H1138" s="62" t="n">
        <f aca="false">MAX(0,IF(AND(Parameter!$B$21="Ja",ISNUMBER(Y1138)),Y1138,IF(Parameter!$B$20="Jahresanfang 2025 + Export",BS1138+BR1138,BR1138)))</f>
        <v>8</v>
      </c>
      <c r="I1138" s="62" t="n">
        <f aca="false">H1138*G1138</f>
        <v>276</v>
      </c>
      <c r="J1138" s="62" t="n">
        <f aca="false">BU1138*Parameter!$B$18</f>
        <v>0</v>
      </c>
      <c r="K1138" s="63" t="n">
        <v>8</v>
      </c>
      <c r="L1138" s="64" t="n">
        <v>0</v>
      </c>
      <c r="M1138" s="62" t="n">
        <v>0</v>
      </c>
      <c r="N1138" s="62" t="n">
        <v>1</v>
      </c>
      <c r="O1138" s="65" t="n">
        <v>21</v>
      </c>
      <c r="P1138" s="60" t="s">
        <v>210</v>
      </c>
      <c r="Q1138" s="62"/>
      <c r="R1138" s="65" t="n">
        <f aca="false">IF(CA1138=1,0,IFERROR(VLOOKUP(BY1138,'Gebinde-Kategorie'!$A$5:$N$45,13,0)+0,0))</f>
        <v>4</v>
      </c>
      <c r="S1138" s="66"/>
      <c r="T1138" s="67" t="s">
        <v>231</v>
      </c>
      <c r="U1138" s="67"/>
      <c r="V1138" s="67"/>
      <c r="W1138" s="60"/>
      <c r="X1138" s="62"/>
      <c r="Y1138" s="62"/>
      <c r="Z1138" s="60" t="n">
        <v>2</v>
      </c>
      <c r="AA1138" s="60" t="n">
        <f aca="false">IF(A1138="","",IF(AND(Parameter!$B$21="Ja",ISNUMBER(W1138)),W1138,IF(AND(Parameter!$E$27="Ja",ISNUMBER(Z1138),CD1138&lt;&gt;"Nein"),Z1138,IF(CD1138="2+3",IF(ISNUMBER(SEARCH("grosser Artikel",BV1138)),2,IFERROR(VLOOKUP(BY1138,Parameter!$F$35:$G$64,2,0),2)),IF(OR(CD1138="Nein",CD1138=""),"-",CD1138)))))</f>
        <v>2</v>
      </c>
      <c r="AB1138" s="67"/>
      <c r="AC1138" s="68"/>
      <c r="AD1138" s="62" t="n">
        <f aca="false">AW1138</f>
        <v>1</v>
      </c>
      <c r="AE1138" s="62" t="n">
        <f aca="false">MAX(AW1138,H1138)</f>
        <v>8</v>
      </c>
      <c r="AF1138" s="69"/>
      <c r="AG1138" s="62" t="n">
        <f aca="false">IF(LEFT(Cockpit!$C$5,1)="A",H1138,IF(Parameter!$E$30="MAX-Bestand",IF(CI1138=1,CJ1138,IF(LEFT(Cockpit!$C$5,1)="B",AM1138,MAX(AM1138,H1138))),ROUNDUP(AK1138,0)))</f>
        <v>8</v>
      </c>
      <c r="AH1138" s="62" t="n">
        <f aca="false">IF(CA1138=1,0,ROUNDUP(AG1138/BZ1138,0))</f>
        <v>1</v>
      </c>
      <c r="AI1138" s="64" t="n">
        <f aca="false">IF(CR1138&gt;0,CR1138*MAX(1,AG1138/X1138),IF(CA1138=1,IF(AG1138&lt;=0,0,CE1138*MAX(1,IF(H1138&gt;0,AG1138/H1138,1))),IF(R1138&gt;0,AH1138/R1138,0))/MAX(0.1,N(Parameter!$M$21)))</f>
        <v>0.25</v>
      </c>
      <c r="AJ1138" s="62" t="n">
        <f aca="false">AI1138*CC1138</f>
        <v>58.75</v>
      </c>
      <c r="AK1138" s="63" t="n">
        <f aca="false">IF(LEFT(Cockpit!$C$5,1)="A",H1138,IF(CI1138=1,(CL1138+CJ1138)/2,IF(LEFT(Cockpit!$C$5,1)="B",(CL1138+AM1138)/2,MAX((CL1138+AM1138)/2,H1138))))</f>
        <v>8</v>
      </c>
      <c r="AL1138" s="62" t="n">
        <f aca="false">AK1138*G1138</f>
        <v>276</v>
      </c>
      <c r="AM1138" s="62" t="n">
        <f aca="false">ROUNDUP(CL1138+MAX(CM1138,2*(J1138/IF(CH1138&gt;0,CH1138,MAX(0.1,N(Cockpit!$C$6)))-CL1138)),0)</f>
        <v>1</v>
      </c>
      <c r="AN1138" s="63" t="n">
        <f aca="false">IF(AJ1138&gt;0,J1138/AJ1138,-1)</f>
        <v>0</v>
      </c>
      <c r="AO1138" s="63" t="n">
        <f aca="false">IF(AND(OR(CG1138="L1",CG1138="L23",CG1138="LIFT"),AJ1138&gt;0),SUMIFS($AJ$7:$AJ$1843,$CG$7:$CG$1843,CG1138,$AN$7:$AN$1843,"&gt;"&amp;AN1138)+SUMIFS($AJ$7:$AJ$1843,$CG$7:$CG$1843,CG1138,$AN$7:$AN$1843,AN1138,$BX$7:$BX$1843,"&lt;="&amp;BX1138),"")</f>
        <v>29246.3225124687</v>
      </c>
      <c r="AP1138" s="70" t="n">
        <f aca="false">IF(AO1138="",0,MAX(0,MIN(1,(IF(CG1138="L1",Parameter!$H$5,IF(CG1138="L23",Parameter!$H$6+Parameter!$H$7,Parameter!$H$5+Parameter!$H$6+Parameter!$H$7))-(AO1138-AJ1138))/AJ1138)))</f>
        <v>1</v>
      </c>
      <c r="AQ1138" s="62" t="n">
        <f aca="false">IF(LEFT(Cockpit!$I$5,1)="A",H1138,IF(Parameter!$E$30="MAX-Bestand",IF(CI1138=1,CJ1138,IF(LEFT(Cockpit!$I$5,1)="B",AW1138,MAX(AW1138,H1138))),ROUNDUP(AU1138,0)))</f>
        <v>8</v>
      </c>
      <c r="AR1138" s="62" t="n">
        <f aca="false">IF(CA1138=1,0,ROUNDUP(AQ1138/BZ1138,0))</f>
        <v>1</v>
      </c>
      <c r="AS1138" s="64" t="n">
        <f aca="false">IF(CR1138&gt;0,CR1138*MAX(1,AQ1138/X1138),IF(CA1138=1,IF(AQ1138&lt;=0,0,CE1138*MAX(1,IF(H1138&gt;0,AQ1138/H1138,1))),IF(R1138&gt;0,AR1138/R1138,0))/MAX(0.1,N(Parameter!$M$21)))</f>
        <v>0.25</v>
      </c>
      <c r="AT1138" s="62" t="n">
        <f aca="false">AS1138*CC1138</f>
        <v>58.75</v>
      </c>
      <c r="AU1138" s="63" t="n">
        <f aca="false">IF(LEFT(Cockpit!$I$5,1)="A",H1138,IF(CI1138=1,(CL1138+CJ1138)/2,IF(LEFT(Cockpit!$I$5,1)="B",(CL1138+AW1138)/2,MAX((CL1138+AW1138)/2,H1138))))</f>
        <v>8</v>
      </c>
      <c r="AV1138" s="62" t="n">
        <f aca="false">AU1138*G1138</f>
        <v>276</v>
      </c>
      <c r="AW1138" s="62" t="n">
        <f aca="false">ROUNDUP(CL1138+MAX(CM1138,2*(J1138/IF(CH1138&gt;0,CH1138,MAX(0.1,N(Cockpit!$I$6)))-CL1138)),0)</f>
        <v>1</v>
      </c>
      <c r="AX1138" s="63" t="n">
        <f aca="false">IF(AT1138&gt;0,J1138/AT1138,-1)</f>
        <v>0</v>
      </c>
      <c r="AY1138" s="63" t="n">
        <f aca="false">IF(AND(OR(CG1138="L1",CG1138="L23",CG1138="LIFT"),AT1138&gt;0),SUMIFS($AT$7:$AT$1843,$CG$7:$CG$1843,CG1138,$AX$7:$AX$1843,"&gt;"&amp;AX1138)+SUMIFS($AT$7:$AT$1843,$CG$7:$CG$1843,CG1138,$AX$7:$AX$1843,AX1138,$BX$7:$BX$1843,"&lt;="&amp;BX1138),"")</f>
        <v>35031.2907509158</v>
      </c>
      <c r="AZ1138" s="70" t="n">
        <f aca="false">IF(AY1138="",0,MAX(0,MIN(1,(IF(CG1138="L1",Parameter!$H$5,IF(CG1138="L23",Parameter!$H$6+Parameter!$H$7,Parameter!$H$5+Parameter!$H$6+Parameter!$H$7))-(AY1138-AT1138))/AT1138)))</f>
        <v>1</v>
      </c>
      <c r="BA1138" s="62" t="n">
        <f aca="false">IF(LEFT(Cockpit!$O$5,1)="A",H1138,IF(Parameter!$E$30="MAX-Bestand",IF(CI1138=1,CJ1138,IF(LEFT(Cockpit!$O$5,1)="B",BG1138,MAX(BG1138,H1138))),ROUNDUP(BE1138,0)))</f>
        <v>1</v>
      </c>
      <c r="BB1138" s="62" t="n">
        <f aca="false">IF(CA1138=1,0,ROUNDUP(BA1138/BZ1138,0))</f>
        <v>1</v>
      </c>
      <c r="BC1138" s="64" t="n">
        <f aca="false">IF(CR1138&gt;0,CR1138*MAX(1,BA1138/X1138),IF(CA1138=1,IF(BA1138&lt;=0,0,CE1138*MAX(1,IF(H1138&gt;0,BA1138/H1138,1))),IF(R1138&gt;0,BB1138/R1138,0))/MAX(0.1,N(Parameter!$M$21)))</f>
        <v>0.25</v>
      </c>
      <c r="BD1138" s="62" t="n">
        <f aca="false">BC1138*CC1138</f>
        <v>58.75</v>
      </c>
      <c r="BE1138" s="63" t="n">
        <f aca="false">IF(LEFT(Cockpit!$O$5,1)="A",H1138,IF(CI1138=1,(CL1138+CJ1138)/2,IF(LEFT(Cockpit!$O$5,1)="B",(CL1138+BG1138)/2,MAX((CL1138+BG1138)/2,H1138))))</f>
        <v>0.5</v>
      </c>
      <c r="BF1138" s="62" t="n">
        <f aca="false">BE1138*G1138</f>
        <v>17.25</v>
      </c>
      <c r="BG1138" s="62" t="n">
        <f aca="false">ROUNDUP(CL1138+MAX(CM1138,2*(J1138/IF(CH1138&gt;0,CH1138,MAX(0.1,N(Cockpit!$O$6)))-CL1138)),0)</f>
        <v>1</v>
      </c>
      <c r="BH1138" s="63" t="n">
        <f aca="false">IF(BD1138&gt;0,J1138/BD1138,-1)</f>
        <v>0</v>
      </c>
      <c r="BI1138" s="63" t="n">
        <f aca="false">IF(AND(OR(CG1138="L1",CG1138="L23",CG1138="LIFT"),BD1138&gt;0),SUMIFS($BD$7:$BD$1843,$CG$7:$CG$1843,CG1138,$BH$7:$BH$1843,"&gt;"&amp;BH1138)+SUMIFS($BD$7:$BD$1843,$CG$7:$CG$1843,CG1138,$BH$7:$BH$1843,BH1138,$BX$7:$BX$1843,"&lt;="&amp;BX1138),"")</f>
        <v>29016.5974110635</v>
      </c>
      <c r="BJ1138" s="70" t="n">
        <f aca="false">IF(BI1138="",0,MAX(0,MIN(1,(IF(CG1138="L1",Parameter!$H$5,IF(CG1138="L23",Parameter!$H$6+Parameter!$H$7,Parameter!$H$5+Parameter!$H$6+Parameter!$H$7))-(BI1138-BD1138))/BD1138)))</f>
        <v>1</v>
      </c>
      <c r="BK1138" s="60" t="str">
        <f aca="false">IF(AJ1138&lt;=0,"",IF(CG1138="Aussen","Aussenlager",IF(CG1138="-","Nicht im Lift",IF(AP1138&gt;=1,"Lift",IF(AP1138&lt;=0,"Aussenlager","teilweise")))))</f>
        <v>Lift</v>
      </c>
      <c r="BL1138" s="60" t="str">
        <f aca="false">IF(AT1138&lt;=0,"",IF(CG1138="Aussen","Aussenlager",IF(CG1138="-","Nicht im Lift",IF(AZ1138&gt;=1,"Lift",IF(AZ1138&lt;=0,"Aussenlager","teilweise")))))</f>
        <v>Lift</v>
      </c>
      <c r="BM1138" s="60" t="str">
        <f aca="false">IF(BD1138&lt;=0,"",IF(CG1138="Aussen","Aussenlager",IF(CG1138="-","Nicht im Lift",IF(BJ1138&gt;=1,"Lift",IF(BJ1138&lt;=0,"Aussenlager","teilweise")))))</f>
        <v>Lift</v>
      </c>
      <c r="BN1138" s="60" t="str">
        <f aca="false">IF(A1138="","",IF(BW1138=1,"Neu; ","")&amp;IF(AND(BW1138=0,BR1138&lt;0),"negativer Bestand (Export "&amp;BR1138&amp;"); ","")&amp;IF(J1138&lt;=0,"Kein Verbrauch; ","")&amp;IF(CR1138&gt;0,"Lift "&amp;W1138&amp;" lt. Liftbericht (Fach "&amp;X1138&amp;" Stk); ",IF(CB1138=1,"Gebinde geschätzt ("&amp;T1138&amp;"); ",IF(CA1138=1,"Lose – Tablare geschätzt; ","")))&amp;IF(H1138&gt;AW1138,"Überbestand "&amp;ROUND(H1138-AW1138,0)&amp;" Stk / CHF "&amp;ROUND((H1138-AW1138)*G1138,0)&amp;"; ","")&amp;IF(AND(CI1138=1,CJ1138&lt;CK1138),"MAX &lt; MB+LG; ","")&amp;IF(AND(CQ1138&gt;0,CP1138*10&gt;CQ1138),"zu hoch für Tablar; ","")&amp;IF(AND(BW1138=0,OR(CI1138=1,AB1138&lt;&gt;"",U1138&lt;&gt;"",V1138&lt;&gt;"",AC1138&lt;&gt;"")),"manuell übersteuert; ","")&amp;IF(AND(CA1138=0,R1138=0),"Gebinde unbekannt / Stellmass fehlt; ","")&amp;IF(AND(CA1138=0,N(V1138)&lt;=0,N(Q1138)&lt;=0),"Menge pro Gebinde fehlt (Ist = 1 Gebinde); ","")&amp;BV1138)</f>
        <v>negativer Bestand (Export -8); Kein Verbrauch; Gebinde geschätzt (Gross); Überbestand 7 Stk / CHF 242; Menge pro Gebinde fehlt (Ist = 1 Gebinde); </v>
      </c>
      <c r="BO1138" s="60"/>
      <c r="BP1138" s="60"/>
      <c r="BQ1138" s="67"/>
      <c r="BR1138" s="62" t="n">
        <v>-8</v>
      </c>
      <c r="BS1138" s="62" t="n">
        <v>16</v>
      </c>
      <c r="BT1138" s="61" t="n">
        <v>-276</v>
      </c>
      <c r="BU1138" s="62" t="n">
        <v>0</v>
      </c>
      <c r="BV1138" s="60"/>
      <c r="BW1138" s="65" t="n">
        <v>0</v>
      </c>
      <c r="BX1138" s="65" t="n">
        <v>1138</v>
      </c>
      <c r="BY1138" s="60" t="str">
        <f aca="false">IF(U1138&lt;&gt;"",UPPER(TRIM(U1138)),IF(CB1138=1,UPPER(VLOOKUP(T1138,Parameter!$I$27:$K$29,2,0)),IF(P1138="","LOSE",P1138)))</f>
        <v>S81</v>
      </c>
      <c r="BZ1138" s="62" t="n">
        <f aca="false">IF(BY1138="LOSE",1,IF(N(V1138)&gt;0,V1138,IF(CB1138=1,MAX(1,N(VLOOKUP(T1138,Parameter!$I$27:$K$29,3,0)),H1138,N(N1138)),IF(N(Q1138)&gt;0,Q1138,MAX(1,H1138)))))</f>
        <v>8</v>
      </c>
      <c r="CA1138" s="65" t="n">
        <f aca="false">IF(BY1138="LOSE",1,0)</f>
        <v>0</v>
      </c>
      <c r="CB1138" s="65" t="n">
        <f aca="false">IF(AND(U1138="",OR(P1138="",P1138="LOSE"),T1138&lt;&gt;"",N(S1138)&lt;=0,ISNUMBER(MATCH(T1138,Parameter!$I$27:$I$29,0))),1,0)</f>
        <v>1</v>
      </c>
      <c r="CC1138" s="65" t="n">
        <f aca="false">IF(CR1138&gt;0,INDEX(Parameter!$H$5:$H$7,W1138)/INDEX(Parameter!$E$5:$E$7,W1138),IF(AND(CA1138=0,N(IFERROR(VLOOKUP(BY1138,'Gebinde-Kategorie'!$A$5:$N$45,14,0),0))&gt;0),VLOOKUP(BY1138,'Gebinde-Kategorie'!$A$5:$N$45,14,0)*10+Parameter!$M$23,Parameter!$M$24))</f>
        <v>235</v>
      </c>
      <c r="CD1138" s="60" t="str">
        <f aca="false">IF(AND(Parameter!$B$19="Ja",E1138&lt;&gt;"",ISNUMBER(MATCH(E1138,Parameter!$I$35:$I$52,0))),VLOOKUP(E1138,Parameter!$I$35:$J$52,2,0),IFERROR(VLOOKUP(D1138,Parameter!$A$35:$C$64,2,0),"Nein"))</f>
        <v>2+3</v>
      </c>
      <c r="CE1138" s="64" t="n">
        <f aca="false">IF(CA1138=0,0,IF(N(S1138)&gt;0,S1138,IFERROR(VLOOKUP(D1138,Parameter!$A$35:$C$64,3,0)+0,0)))</f>
        <v>0</v>
      </c>
      <c r="CF1138" s="60" t="n">
        <f aca="false">IF(AB1138&lt;&gt;"",AB1138,AA1138)</f>
        <v>2</v>
      </c>
      <c r="CG1138" s="60" t="str">
        <f aca="false">IF(OR(CF1138=1,CF1138=2,CF1138=3),IF(Parameter!$E$27="Ja","LIFT",IF(CF1138=1,"L1","L23")),IF(CF1138="Aussen","Aussen","-"))</f>
        <v>LIFT</v>
      </c>
      <c r="CH1138" s="71" t="n">
        <f aca="false">IF(N(AC1138)&gt;0,AC1138,0)</f>
        <v>0</v>
      </c>
      <c r="CI1138" s="65" t="n">
        <f aca="false">IF(ISNUMBER(AF1138),1,0)</f>
        <v>0</v>
      </c>
      <c r="CJ1138" s="62" t="n">
        <f aca="false">N(AF1138)</f>
        <v>0</v>
      </c>
      <c r="CK1138" s="62" t="n">
        <f aca="false">N(M1138)+N(N1138)</f>
        <v>1</v>
      </c>
      <c r="CL1138" s="62" t="n">
        <f aca="false">N(M1138)</f>
        <v>0</v>
      </c>
      <c r="CM1138" s="62" t="n">
        <f aca="false">N(N1138)</f>
        <v>1</v>
      </c>
      <c r="CN1138" s="62" t="n">
        <f aca="false">ROUNDUP(H1138/BZ1138,0)</f>
        <v>1</v>
      </c>
      <c r="CO1138" s="62" t="n">
        <f aca="false">ROUNDUP(CJ1138/BZ1138,0)</f>
        <v>0</v>
      </c>
      <c r="CP1138" s="65" t="n">
        <f aca="false">IF(CA1138=1,0,IFERROR(VLOOKUP(BY1138,'Gebinde-Kategorie'!$A$5:$N$45,5,0)+0,0))</f>
        <v>20</v>
      </c>
      <c r="CQ1138" s="65" t="n">
        <f aca="false">IFERROR(IF(OR(CF1138=1,CF1138=2,CF1138=3),N(INDEX(Parameter!$I$5:$I$7,CF1138)),0),0)</f>
        <v>0</v>
      </c>
      <c r="CR1138" s="64" t="n">
        <f aca="false">IF(AND(Parameter!$B$21="Ja",ISNUMBER(W1138),N(X1138)&gt;0),IFERROR(N(INDEX(Parameter!$L$5:$L$7,W1138))*INDEX(Parameter!$E$5:$E$7,W1138)*X1138/SUMIFS($X$7:$X$1843,$W$7:$W$1843,W1138),0),0)</f>
        <v>0</v>
      </c>
      <c r="CS1138" s="62" t="n">
        <f aca="false">IF(AND(OR(CG1138="L1",CG1138="L23",CG1138="LIFT"),H1138&gt;0),CC1138*IF(CR1138&gt;0,CR1138*MAX(1,H1138/X1138),IF(CA1138=1,CE1138,IF(R1138&gt;0,CN1138/R1138,0))/MAX(0.1,N(Parameter!$M$21))),"")</f>
        <v>58.75</v>
      </c>
      <c r="CT1138" s="64" t="n">
        <f aca="false">IF(CS1138="","",J1138/H1138)</f>
        <v>0</v>
      </c>
      <c r="CU1138" s="62" t="n">
        <f aca="false">IF(CS1138="","",H1138*G1138)</f>
        <v>276</v>
      </c>
      <c r="CV1138" s="63" t="n">
        <f aca="false">IF(CS1138="","",(CL1138+ROUNDUP(CL1138+MAX(CM1138,2*(J1138/MAX(0.1,N(Einkauf!$C$6))-CL1138)),0))/2)</f>
        <v>0.5</v>
      </c>
      <c r="CW1138" s="62" t="n">
        <f aca="false">IF(CS1138="","",MAX(0,H1138-CV1138)*G1138)</f>
        <v>258.75</v>
      </c>
      <c r="CX1138" s="62" t="n">
        <f aca="false">IF(CS1138="","",CS1138*MAX(0,1-CV1138/H1138))</f>
        <v>55.078125</v>
      </c>
      <c r="CY1138" s="64" t="n">
        <f aca="false">IF(CS1138="","",PERCENTRANK($CS$7:$CS$1843,CS1138)+PERCENTRANK($CU$7:$CU$1843,CU1138)+1-PERCENTRANK($CT$7:$CT$1843,CT1138))</f>
        <v>2.314</v>
      </c>
      <c r="CZ1138" s="72" t="n">
        <f aca="false">IF(CS1138="","",CHOOSE(MATCH(Einkauf!$C$5,Parameter!$G$23:$G$27,0),CY1138,CS1138,CU1138,-CT1138,CW1138)+ROW()/1000000000)</f>
        <v>2.314001138</v>
      </c>
    </row>
    <row r="1139" customFormat="false" ht="15" hidden="false" customHeight="false" outlineLevel="0" collapsed="false">
      <c r="A1139" s="60" t="s">
        <v>2101</v>
      </c>
      <c r="B1139" s="60" t="s">
        <v>2102</v>
      </c>
      <c r="C1139" s="60" t="s">
        <v>206</v>
      </c>
      <c r="D1139" s="60" t="s">
        <v>226</v>
      </c>
      <c r="E1139" s="60" t="s">
        <v>227</v>
      </c>
      <c r="F1139" s="60" t="s">
        <v>260</v>
      </c>
      <c r="G1139" s="61" t="n">
        <v>279.01</v>
      </c>
      <c r="H1139" s="62" t="n">
        <f aca="false">MAX(0,IF(AND(Parameter!$B$21="Ja",ISNUMBER(Y1139)),Y1139,IF(Parameter!$B$20="Jahresanfang 2025 + Export",BS1139+BR1139,BR1139)))</f>
        <v>3</v>
      </c>
      <c r="I1139" s="62" t="n">
        <f aca="false">H1139*G1139</f>
        <v>837.03</v>
      </c>
      <c r="J1139" s="62" t="n">
        <f aca="false">BU1139*Parameter!$B$18</f>
        <v>1</v>
      </c>
      <c r="K1139" s="63" t="n">
        <v>3.5</v>
      </c>
      <c r="L1139" s="64" t="n">
        <v>0.285714285714286</v>
      </c>
      <c r="M1139" s="62" t="n">
        <v>0</v>
      </c>
      <c r="N1139" s="62" t="n">
        <v>1</v>
      </c>
      <c r="O1139" s="65" t="n">
        <v>14</v>
      </c>
      <c r="P1139" s="60" t="s">
        <v>370</v>
      </c>
      <c r="Q1139" s="62" t="n">
        <v>6</v>
      </c>
      <c r="R1139" s="65" t="n">
        <f aca="false">IF(CA1139=1,0,IFERROR(VLOOKUP(BY1139,'Gebinde-Kategorie'!$A$5:$N$45,13,0)+0,0))</f>
        <v>52</v>
      </c>
      <c r="S1139" s="66"/>
      <c r="T1139" s="67"/>
      <c r="U1139" s="67"/>
      <c r="V1139" s="67"/>
      <c r="W1139" s="60"/>
      <c r="X1139" s="62"/>
      <c r="Y1139" s="62"/>
      <c r="Z1139" s="60" t="n">
        <v>1</v>
      </c>
      <c r="AA1139" s="60" t="n">
        <f aca="false">IF(A1139="","",IF(AND(Parameter!$B$21="Ja",ISNUMBER(W1139)),W1139,IF(AND(Parameter!$E$27="Ja",ISNUMBER(Z1139),CD1139&lt;&gt;"Nein"),Z1139,IF(CD1139="2+3",IF(ISNUMBER(SEARCH("grosser Artikel",BV1139)),2,IFERROR(VLOOKUP(BY1139,Parameter!$F$35:$G$64,2,0),2)),IF(OR(CD1139="Nein",CD1139=""),"-",CD1139)))))</f>
        <v>1</v>
      </c>
      <c r="AB1139" s="67"/>
      <c r="AC1139" s="68"/>
      <c r="AD1139" s="62" t="n">
        <f aca="false">AW1139</f>
        <v>1</v>
      </c>
      <c r="AE1139" s="62" t="n">
        <f aca="false">MAX(AW1139,H1139)</f>
        <v>3</v>
      </c>
      <c r="AF1139" s="69"/>
      <c r="AG1139" s="62" t="n">
        <f aca="false">IF(LEFT(Cockpit!$C$5,1)="A",H1139,IF(Parameter!$E$30="MAX-Bestand",IF(CI1139=1,CJ1139,IF(LEFT(Cockpit!$C$5,1)="B",AM1139,MAX(AM1139,H1139))),ROUNDUP(AK1139,0)))</f>
        <v>3</v>
      </c>
      <c r="AH1139" s="62" t="n">
        <f aca="false">IF(CA1139=1,0,ROUNDUP(AG1139/BZ1139,0))</f>
        <v>1</v>
      </c>
      <c r="AI1139" s="64" t="n">
        <f aca="false">IF(CR1139&gt;0,CR1139*MAX(1,AG1139/X1139),IF(CA1139=1,IF(AG1139&lt;=0,0,CE1139*MAX(1,IF(H1139&gt;0,AG1139/H1139,1))),IF(R1139&gt;0,AH1139/R1139,0))/MAX(0.1,N(Parameter!$M$21)))</f>
        <v>0.0192307692307692</v>
      </c>
      <c r="AJ1139" s="62" t="n">
        <f aca="false">AI1139*CC1139</f>
        <v>2.98076923076923</v>
      </c>
      <c r="AK1139" s="63" t="n">
        <f aca="false">IF(LEFT(Cockpit!$C$5,1)="A",H1139,IF(CI1139=1,(CL1139+CJ1139)/2,IF(LEFT(Cockpit!$C$5,1)="B",(CL1139+AM1139)/2,MAX((CL1139+AM1139)/2,H1139))))</f>
        <v>3</v>
      </c>
      <c r="AL1139" s="62" t="n">
        <f aca="false">AK1139*G1139</f>
        <v>837.03</v>
      </c>
      <c r="AM1139" s="62" t="n">
        <f aca="false">ROUNDUP(CL1139+MAX(CM1139,2*(J1139/IF(CH1139&gt;0,CH1139,MAX(0.1,N(Cockpit!$C$6)))-CL1139)),0)</f>
        <v>1</v>
      </c>
      <c r="AN1139" s="63" t="n">
        <f aca="false">IF(AJ1139&gt;0,J1139/AJ1139,-1)</f>
        <v>0.335483870967742</v>
      </c>
      <c r="AO1139" s="63" t="n">
        <f aca="false">IF(AND(OR(CG1139="L1",CG1139="L23",CG1139="LIFT"),AJ1139&gt;0),SUMIFS($AJ$7:$AJ$1843,$CG$7:$CG$1843,CG1139,$AN$7:$AN$1843,"&gt;"&amp;AN1139)+SUMIFS($AJ$7:$AJ$1843,$CG$7:$CG$1843,CG1139,$AN$7:$AN$1843,AN1139,$BX$7:$BX$1843,"&lt;="&amp;BX1139),"")</f>
        <v>11230.7308856398</v>
      </c>
      <c r="AP1139" s="70" t="n">
        <f aca="false">IF(AO1139="",0,MAX(0,MIN(1,(IF(CG1139="L1",Parameter!$H$5,IF(CG1139="L23",Parameter!$H$6+Parameter!$H$7,Parameter!$H$5+Parameter!$H$6+Parameter!$H$7))-(AO1139-AJ1139))/AJ1139)))</f>
        <v>1</v>
      </c>
      <c r="AQ1139" s="62" t="n">
        <f aca="false">IF(LEFT(Cockpit!$I$5,1)="A",H1139,IF(Parameter!$E$30="MAX-Bestand",IF(CI1139=1,CJ1139,IF(LEFT(Cockpit!$I$5,1)="B",AW1139,MAX(AW1139,H1139))),ROUNDUP(AU1139,0)))</f>
        <v>3</v>
      </c>
      <c r="AR1139" s="62" t="n">
        <f aca="false">IF(CA1139=1,0,ROUNDUP(AQ1139/BZ1139,0))</f>
        <v>1</v>
      </c>
      <c r="AS1139" s="64" t="n">
        <f aca="false">IF(CR1139&gt;0,CR1139*MAX(1,AQ1139/X1139),IF(CA1139=1,IF(AQ1139&lt;=0,0,CE1139*MAX(1,IF(H1139&gt;0,AQ1139/H1139,1))),IF(R1139&gt;0,AR1139/R1139,0))/MAX(0.1,N(Parameter!$M$21)))</f>
        <v>0.0192307692307692</v>
      </c>
      <c r="AT1139" s="62" t="n">
        <f aca="false">AS1139*CC1139</f>
        <v>2.98076923076923</v>
      </c>
      <c r="AU1139" s="63" t="n">
        <f aca="false">IF(LEFT(Cockpit!$I$5,1)="A",H1139,IF(CI1139=1,(CL1139+CJ1139)/2,IF(LEFT(Cockpit!$I$5,1)="B",(CL1139+AW1139)/2,MAX((CL1139+AW1139)/2,H1139))))</f>
        <v>3</v>
      </c>
      <c r="AV1139" s="62" t="n">
        <f aca="false">AU1139*G1139</f>
        <v>837.03</v>
      </c>
      <c r="AW1139" s="62" t="n">
        <f aca="false">ROUNDUP(CL1139+MAX(CM1139,2*(J1139/IF(CH1139&gt;0,CH1139,MAX(0.1,N(Cockpit!$I$6)))-CL1139)),0)</f>
        <v>1</v>
      </c>
      <c r="AX1139" s="63" t="n">
        <f aca="false">IF(AT1139&gt;0,J1139/AT1139,-1)</f>
        <v>0.335483870967742</v>
      </c>
      <c r="AY1139" s="63" t="n">
        <f aca="false">IF(AND(OR(CG1139="L1",CG1139="L23",CG1139="LIFT"),AT1139&gt;0),SUMIFS($AT$7:$AT$1843,$CG$7:$CG$1843,CG1139,$AX$7:$AX$1843,"&gt;"&amp;AX1139)+SUMIFS($AT$7:$AT$1843,$CG$7:$CG$1843,CG1139,$AX$7:$AX$1843,AX1139,$BX$7:$BX$1843,"&lt;="&amp;BX1139),"")</f>
        <v>13764.8685897436</v>
      </c>
      <c r="AZ1139" s="70" t="n">
        <f aca="false">IF(AY1139="",0,MAX(0,MIN(1,(IF(CG1139="L1",Parameter!$H$5,IF(CG1139="L23",Parameter!$H$6+Parameter!$H$7,Parameter!$H$5+Parameter!$H$6+Parameter!$H$7))-(AY1139-AT1139))/AT1139)))</f>
        <v>1</v>
      </c>
      <c r="BA1139" s="62" t="n">
        <f aca="false">IF(LEFT(Cockpit!$O$5,1)="A",H1139,IF(Parameter!$E$30="MAX-Bestand",IF(CI1139=1,CJ1139,IF(LEFT(Cockpit!$O$5,1)="B",BG1139,MAX(BG1139,H1139))),ROUNDUP(BE1139,0)))</f>
        <v>1</v>
      </c>
      <c r="BB1139" s="62" t="n">
        <f aca="false">IF(CA1139=1,0,ROUNDUP(BA1139/BZ1139,0))</f>
        <v>1</v>
      </c>
      <c r="BC1139" s="64" t="n">
        <f aca="false">IF(CR1139&gt;0,CR1139*MAX(1,BA1139/X1139),IF(CA1139=1,IF(BA1139&lt;=0,0,CE1139*MAX(1,IF(H1139&gt;0,BA1139/H1139,1))),IF(R1139&gt;0,BB1139/R1139,0))/MAX(0.1,N(Parameter!$M$21)))</f>
        <v>0.0192307692307692</v>
      </c>
      <c r="BD1139" s="62" t="n">
        <f aca="false">BC1139*CC1139</f>
        <v>2.98076923076923</v>
      </c>
      <c r="BE1139" s="63" t="n">
        <f aca="false">IF(LEFT(Cockpit!$O$5,1)="A",H1139,IF(CI1139=1,(CL1139+CJ1139)/2,IF(LEFT(Cockpit!$O$5,1)="B",(CL1139+BG1139)/2,MAX((CL1139+BG1139)/2,H1139))))</f>
        <v>0.5</v>
      </c>
      <c r="BF1139" s="62" t="n">
        <f aca="false">BE1139*G1139</f>
        <v>139.505</v>
      </c>
      <c r="BG1139" s="62" t="n">
        <f aca="false">ROUNDUP(CL1139+MAX(CM1139,2*(J1139/IF(CH1139&gt;0,CH1139,MAX(0.1,N(Cockpit!$O$6)))-CL1139)),0)</f>
        <v>1</v>
      </c>
      <c r="BH1139" s="63" t="n">
        <f aca="false">IF(BD1139&gt;0,J1139/BD1139,-1)</f>
        <v>0.335483870967742</v>
      </c>
      <c r="BI1139" s="63" t="n">
        <f aca="false">IF(AND(OR(CG1139="L1",CG1139="L23",CG1139="LIFT"),BD1139&gt;0),SUMIFS($BD$7:$BD$1843,$CG$7:$CG$1843,CG1139,$BH$7:$BH$1843,"&gt;"&amp;BH1139)+SUMIFS($BD$7:$BD$1843,$CG$7:$CG$1843,CG1139,$BH$7:$BH$1843,BH1139,$BX$7:$BX$1843,"&lt;="&amp;BX1139),"")</f>
        <v>11615.8273809524</v>
      </c>
      <c r="BJ1139" s="70" t="n">
        <f aca="false">IF(BI1139="",0,MAX(0,MIN(1,(IF(CG1139="L1",Parameter!$H$5,IF(CG1139="L23",Parameter!$H$6+Parameter!$H$7,Parameter!$H$5+Parameter!$H$6+Parameter!$H$7))-(BI1139-BD1139))/BD1139)))</f>
        <v>1</v>
      </c>
      <c r="BK1139" s="60" t="str">
        <f aca="false">IF(AJ1139&lt;=0,"",IF(CG1139="Aussen","Aussenlager",IF(CG1139="-","Nicht im Lift",IF(AP1139&gt;=1,"Lift",IF(AP1139&lt;=0,"Aussenlager","teilweise")))))</f>
        <v>Lift</v>
      </c>
      <c r="BL1139" s="60" t="str">
        <f aca="false">IF(AT1139&lt;=0,"",IF(CG1139="Aussen","Aussenlager",IF(CG1139="-","Nicht im Lift",IF(AZ1139&gt;=1,"Lift",IF(AZ1139&lt;=0,"Aussenlager","teilweise")))))</f>
        <v>Lift</v>
      </c>
      <c r="BM1139" s="60" t="str">
        <f aca="false">IF(BD1139&lt;=0,"",IF(CG1139="Aussen","Aussenlager",IF(CG1139="-","Nicht im Lift",IF(BJ1139&gt;=1,"Lift",IF(BJ1139&lt;=0,"Aussenlager","teilweise")))))</f>
        <v>Lift</v>
      </c>
      <c r="BN1139" s="60" t="str">
        <f aca="false">IF(A1139="","",IF(BW1139=1,"Neu; ","")&amp;IF(AND(BW1139=0,BR1139&lt;0),"negativer Bestand (Export "&amp;BR1139&amp;"); ","")&amp;IF(J1139&lt;=0,"Kein Verbrauch; ","")&amp;IF(CR1139&gt;0,"Lift "&amp;W1139&amp;" lt. Liftbericht (Fach "&amp;X1139&amp;" Stk); ",IF(CB1139=1,"Gebinde geschätzt ("&amp;T1139&amp;"); ",IF(CA1139=1,"Lose – Tablare geschätzt; ","")))&amp;IF(H1139&gt;AW1139,"Überbestand "&amp;ROUND(H1139-AW1139,0)&amp;" Stk / CHF "&amp;ROUND((H1139-AW1139)*G1139,0)&amp;"; ","")&amp;IF(AND(CI1139=1,CJ1139&lt;CK1139),"MAX &lt; MB+LG; ","")&amp;IF(AND(CQ1139&gt;0,CP1139*10&gt;CQ1139),"zu hoch für Tablar; ","")&amp;IF(AND(BW1139=0,OR(CI1139=1,AB1139&lt;&gt;"",U1139&lt;&gt;"",V1139&lt;&gt;"",AC1139&lt;&gt;"")),"manuell übersteuert; ","")&amp;IF(AND(CA1139=0,R1139=0),"Gebinde unbekannt / Stellmass fehlt; ","")&amp;IF(AND(CA1139=0,N(V1139)&lt;=0,N(Q1139)&lt;=0),"Menge pro Gebinde fehlt (Ist = 1 Gebinde); ","")&amp;BV1139)</f>
        <v>negativer Bestand (Export -1); Überbestand 2 Stk / CHF 558; </v>
      </c>
      <c r="BO1139" s="60"/>
      <c r="BP1139" s="60"/>
      <c r="BQ1139" s="67"/>
      <c r="BR1139" s="62" t="n">
        <v>-1</v>
      </c>
      <c r="BS1139" s="62" t="n">
        <v>4</v>
      </c>
      <c r="BT1139" s="61" t="n">
        <v>-279.01</v>
      </c>
      <c r="BU1139" s="62" t="n">
        <v>1</v>
      </c>
      <c r="BV1139" s="60"/>
      <c r="BW1139" s="65" t="n">
        <v>0</v>
      </c>
      <c r="BX1139" s="65" t="n">
        <v>1139</v>
      </c>
      <c r="BY1139" s="60" t="str">
        <f aca="false">IF(U1139&lt;&gt;"",UPPER(TRIM(U1139)),IF(CB1139=1,UPPER(VLOOKUP(T1139,Parameter!$I$27:$K$29,2,0)),IF(P1139="","LOSE",P1139)))</f>
        <v>S41</v>
      </c>
      <c r="BZ1139" s="62" t="n">
        <f aca="false">IF(BY1139="LOSE",1,IF(N(V1139)&gt;0,V1139,IF(CB1139=1,MAX(1,N(VLOOKUP(T1139,Parameter!$I$27:$K$29,3,0)),H1139,N(N1139)),IF(N(Q1139)&gt;0,Q1139,MAX(1,H1139)))))</f>
        <v>6</v>
      </c>
      <c r="CA1139" s="65" t="n">
        <f aca="false">IF(BY1139="LOSE",1,0)</f>
        <v>0</v>
      </c>
      <c r="CB1139" s="65" t="n">
        <f aca="false">IF(AND(U1139="",OR(P1139="",P1139="LOSE"),T1139&lt;&gt;"",N(S1139)&lt;=0,ISNUMBER(MATCH(T1139,Parameter!$I$27:$I$29,0))),1,0)</f>
        <v>0</v>
      </c>
      <c r="CC1139" s="65" t="n">
        <f aca="false">IF(CR1139&gt;0,INDEX(Parameter!$H$5:$H$7,W1139)/INDEX(Parameter!$E$5:$E$7,W1139),IF(AND(CA1139=0,N(IFERROR(VLOOKUP(BY1139,'Gebinde-Kategorie'!$A$5:$N$45,14,0),0))&gt;0),VLOOKUP(BY1139,'Gebinde-Kategorie'!$A$5:$N$45,14,0)*10+Parameter!$M$23,Parameter!$M$24))</f>
        <v>155</v>
      </c>
      <c r="CD1139" s="60" t="str">
        <f aca="false">IF(AND(Parameter!$B$19="Ja",E1139&lt;&gt;"",ISNUMBER(MATCH(E1139,Parameter!$I$35:$I$52,0))),VLOOKUP(E1139,Parameter!$I$35:$J$52,2,0),IFERROR(VLOOKUP(D1139,Parameter!$A$35:$C$64,2,0),"Nein"))</f>
        <v>2+3</v>
      </c>
      <c r="CE1139" s="64" t="n">
        <f aca="false">IF(CA1139=0,0,IF(N(S1139)&gt;0,S1139,IFERROR(VLOOKUP(D1139,Parameter!$A$35:$C$64,3,0)+0,0)))</f>
        <v>0</v>
      </c>
      <c r="CF1139" s="60" t="n">
        <f aca="false">IF(AB1139&lt;&gt;"",AB1139,AA1139)</f>
        <v>1</v>
      </c>
      <c r="CG1139" s="60" t="str">
        <f aca="false">IF(OR(CF1139=1,CF1139=2,CF1139=3),IF(Parameter!$E$27="Ja","LIFT",IF(CF1139=1,"L1","L23")),IF(CF1139="Aussen","Aussen","-"))</f>
        <v>LIFT</v>
      </c>
      <c r="CH1139" s="71" t="n">
        <f aca="false">IF(N(AC1139)&gt;0,AC1139,0)</f>
        <v>0</v>
      </c>
      <c r="CI1139" s="65" t="n">
        <f aca="false">IF(ISNUMBER(AF1139),1,0)</f>
        <v>0</v>
      </c>
      <c r="CJ1139" s="62" t="n">
        <f aca="false">N(AF1139)</f>
        <v>0</v>
      </c>
      <c r="CK1139" s="62" t="n">
        <f aca="false">N(M1139)+N(N1139)</f>
        <v>1</v>
      </c>
      <c r="CL1139" s="62" t="n">
        <f aca="false">N(M1139)</f>
        <v>0</v>
      </c>
      <c r="CM1139" s="62" t="n">
        <f aca="false">N(N1139)</f>
        <v>1</v>
      </c>
      <c r="CN1139" s="62" t="n">
        <f aca="false">ROUNDUP(H1139/BZ1139,0)</f>
        <v>1</v>
      </c>
      <c r="CO1139" s="62" t="n">
        <f aca="false">ROUNDUP(CJ1139/BZ1139,0)</f>
        <v>0</v>
      </c>
      <c r="CP1139" s="65" t="n">
        <f aca="false">IF(CA1139=1,0,IFERROR(VLOOKUP(BY1139,'Gebinde-Kategorie'!$A$5:$N$45,5,0)+0,0))</f>
        <v>11</v>
      </c>
      <c r="CQ1139" s="65" t="n">
        <f aca="false">IFERROR(IF(OR(CF1139=1,CF1139=2,CF1139=3),N(INDEX(Parameter!$I$5:$I$7,CF1139)),0),0)</f>
        <v>0</v>
      </c>
      <c r="CR1139" s="64" t="n">
        <f aca="false">IF(AND(Parameter!$B$21="Ja",ISNUMBER(W1139),N(X1139)&gt;0),IFERROR(N(INDEX(Parameter!$L$5:$L$7,W1139))*INDEX(Parameter!$E$5:$E$7,W1139)*X1139/SUMIFS($X$7:$X$1843,$W$7:$W$1843,W1139),0),0)</f>
        <v>0</v>
      </c>
      <c r="CS1139" s="62" t="n">
        <f aca="false">IF(AND(OR(CG1139="L1",CG1139="L23",CG1139="LIFT"),H1139&gt;0),CC1139*IF(CR1139&gt;0,CR1139*MAX(1,H1139/X1139),IF(CA1139=1,CE1139,IF(R1139&gt;0,CN1139/R1139,0))/MAX(0.1,N(Parameter!$M$21))),"")</f>
        <v>2.98076923076923</v>
      </c>
      <c r="CT1139" s="64" t="n">
        <f aca="false">IF(CS1139="","",J1139/H1139)</f>
        <v>0.333333333333333</v>
      </c>
      <c r="CU1139" s="62" t="n">
        <f aca="false">IF(CS1139="","",H1139*G1139)</f>
        <v>837.03</v>
      </c>
      <c r="CV1139" s="63" t="n">
        <f aca="false">IF(CS1139="","",(CL1139+ROUNDUP(CL1139+MAX(CM1139,2*(J1139/MAX(0.1,N(Einkauf!$C$6))-CL1139)),0))/2)</f>
        <v>0.5</v>
      </c>
      <c r="CW1139" s="62" t="n">
        <f aca="false">IF(CS1139="","",MAX(0,H1139-CV1139)*G1139)</f>
        <v>697.525</v>
      </c>
      <c r="CX1139" s="62" t="n">
        <f aca="false">IF(CS1139="","",CS1139*MAX(0,1-CV1139/H1139))</f>
        <v>2.48397435897436</v>
      </c>
      <c r="CY1139" s="64" t="n">
        <f aca="false">IF(CS1139="","",PERCENTRANK($CS$7:$CS$1843,CS1139)+PERCENTRANK($CU$7:$CU$1843,CU1139)+1-PERCENTRANK($CT$7:$CT$1843,CT1139))</f>
        <v>1.321</v>
      </c>
      <c r="CZ1139" s="72" t="n">
        <f aca="false">IF(CS1139="","",CHOOSE(MATCH(Einkauf!$C$5,Parameter!$G$23:$G$27,0),CY1139,CS1139,CU1139,-CT1139,CW1139)+ROW()/1000000000)</f>
        <v>1.321001139</v>
      </c>
    </row>
    <row r="1140" customFormat="false" ht="15" hidden="false" customHeight="false" outlineLevel="0" collapsed="false">
      <c r="A1140" s="60" t="s">
        <v>2103</v>
      </c>
      <c r="B1140" s="60" t="s">
        <v>2104</v>
      </c>
      <c r="C1140" s="60" t="s">
        <v>206</v>
      </c>
      <c r="D1140" s="60" t="s">
        <v>226</v>
      </c>
      <c r="E1140" s="60" t="s">
        <v>215</v>
      </c>
      <c r="F1140" s="60" t="s">
        <v>260</v>
      </c>
      <c r="G1140" s="61" t="n">
        <v>111.1</v>
      </c>
      <c r="H1140" s="62" t="n">
        <f aca="false">MAX(0,IF(AND(Parameter!$B$21="Ja",ISNUMBER(Y1140)),Y1140,IF(Parameter!$B$20="Jahresanfang 2025 + Export",BS1140+BR1140,BR1140)))</f>
        <v>1</v>
      </c>
      <c r="I1140" s="62" t="n">
        <f aca="false">H1140*G1140</f>
        <v>111.1</v>
      </c>
      <c r="J1140" s="62" t="n">
        <f aca="false">BU1140*Parameter!$B$18</f>
        <v>2</v>
      </c>
      <c r="K1140" s="63" t="n">
        <v>3</v>
      </c>
      <c r="L1140" s="64" t="n">
        <v>0.666666666666667</v>
      </c>
      <c r="M1140" s="62" t="n">
        <v>0</v>
      </c>
      <c r="N1140" s="62" t="n">
        <v>1</v>
      </c>
      <c r="O1140" s="65" t="n">
        <v>28</v>
      </c>
      <c r="P1140" s="60" t="s">
        <v>463</v>
      </c>
      <c r="Q1140" s="62" t="n">
        <v>3</v>
      </c>
      <c r="R1140" s="65" t="n">
        <f aca="false">IF(CA1140=1,0,IFERROR(VLOOKUP(BY1140,'Gebinde-Kategorie'!$A$5:$N$45,13,0)+0,0))</f>
        <v>104</v>
      </c>
      <c r="S1140" s="66"/>
      <c r="T1140" s="67"/>
      <c r="U1140" s="67"/>
      <c r="V1140" s="67"/>
      <c r="W1140" s="60"/>
      <c r="X1140" s="62"/>
      <c r="Y1140" s="62"/>
      <c r="Z1140" s="60"/>
      <c r="AA1140" s="60" t="str">
        <f aca="false">IF(A1140="","",IF(AND(Parameter!$B$21="Ja",ISNUMBER(W1140)),W1140,IF(AND(Parameter!$E$27="Ja",ISNUMBER(Z1140),CD1140&lt;&gt;"Nein"),Z1140,IF(CD1140="2+3",IF(ISNUMBER(SEARCH("grosser Artikel",BV1140)),2,IFERROR(VLOOKUP(BY1140,Parameter!$F$35:$G$64,2,0),2)),IF(OR(CD1140="Nein",CD1140=""),"-",CD1140)))))</f>
        <v>-</v>
      </c>
      <c r="AB1140" s="67"/>
      <c r="AC1140" s="68"/>
      <c r="AD1140" s="62" t="n">
        <f aca="false">AW1140</f>
        <v>2</v>
      </c>
      <c r="AE1140" s="62" t="n">
        <f aca="false">MAX(AW1140,H1140)</f>
        <v>2</v>
      </c>
      <c r="AF1140" s="69"/>
      <c r="AG1140" s="62" t="n">
        <f aca="false">IF(LEFT(Cockpit!$C$5,1)="A",H1140,IF(Parameter!$E$30="MAX-Bestand",IF(CI1140=1,CJ1140,IF(LEFT(Cockpit!$C$5,1)="B",AM1140,MAX(AM1140,H1140))),ROUNDUP(AK1140,0)))</f>
        <v>1</v>
      </c>
      <c r="AH1140" s="62" t="n">
        <f aca="false">IF(CA1140=1,0,ROUNDUP(AG1140/BZ1140,0))</f>
        <v>1</v>
      </c>
      <c r="AI1140" s="64" t="n">
        <f aca="false">IF(CR1140&gt;0,CR1140*MAX(1,AG1140/X1140),IF(CA1140=1,IF(AG1140&lt;=0,0,CE1140*MAX(1,IF(H1140&gt;0,AG1140/H1140,1))),IF(R1140&gt;0,AH1140/R1140,0))/MAX(0.1,N(Parameter!$M$21)))</f>
        <v>0.00961538461538462</v>
      </c>
      <c r="AJ1140" s="62" t="n">
        <f aca="false">AI1140*CC1140</f>
        <v>1.49038461538462</v>
      </c>
      <c r="AK1140" s="63" t="n">
        <f aca="false">IF(LEFT(Cockpit!$C$5,1)="A",H1140,IF(CI1140=1,(CL1140+CJ1140)/2,IF(LEFT(Cockpit!$C$5,1)="B",(CL1140+AM1140)/2,MAX((CL1140+AM1140)/2,H1140))))</f>
        <v>1</v>
      </c>
      <c r="AL1140" s="62" t="n">
        <f aca="false">AK1140*G1140</f>
        <v>111.1</v>
      </c>
      <c r="AM1140" s="62" t="n">
        <f aca="false">ROUNDUP(CL1140+MAX(CM1140,2*(J1140/IF(CH1140&gt;0,CH1140,MAX(0.1,N(Cockpit!$C$6)))-CL1140)),0)</f>
        <v>2</v>
      </c>
      <c r="AN1140" s="63" t="n">
        <f aca="false">IF(AJ1140&gt;0,J1140/AJ1140,-1)</f>
        <v>1.34193548387097</v>
      </c>
      <c r="AO1140" s="63" t="str">
        <f aca="false">IF(AND(OR(CG1140="L1",CG1140="L23",CG1140="LIFT"),AJ1140&gt;0),SUMIFS($AJ$7:$AJ$1843,$CG$7:$CG$1843,CG1140,$AN$7:$AN$1843,"&gt;"&amp;AN1140)+SUMIFS($AJ$7:$AJ$1843,$CG$7:$CG$1843,CG1140,$AN$7:$AN$1843,AN1140,$BX$7:$BX$1843,"&lt;="&amp;BX1140),"")</f>
        <v/>
      </c>
      <c r="AP1140" s="70" t="n">
        <f aca="false">IF(AO1140="",0,MAX(0,MIN(1,(IF(CG1140="L1",Parameter!$H$5,IF(CG1140="L23",Parameter!$H$6+Parameter!$H$7,Parameter!$H$5+Parameter!$H$6+Parameter!$H$7))-(AO1140-AJ1140))/AJ1140)))</f>
        <v>0</v>
      </c>
      <c r="AQ1140" s="62" t="n">
        <f aca="false">IF(LEFT(Cockpit!$I$5,1)="A",H1140,IF(Parameter!$E$30="MAX-Bestand",IF(CI1140=1,CJ1140,IF(LEFT(Cockpit!$I$5,1)="B",AW1140,MAX(AW1140,H1140))),ROUNDUP(AU1140,0)))</f>
        <v>1</v>
      </c>
      <c r="AR1140" s="62" t="n">
        <f aca="false">IF(CA1140=1,0,ROUNDUP(AQ1140/BZ1140,0))</f>
        <v>1</v>
      </c>
      <c r="AS1140" s="64" t="n">
        <f aca="false">IF(CR1140&gt;0,CR1140*MAX(1,AQ1140/X1140),IF(CA1140=1,IF(AQ1140&lt;=0,0,CE1140*MAX(1,IF(H1140&gt;0,AQ1140/H1140,1))),IF(R1140&gt;0,AR1140/R1140,0))/MAX(0.1,N(Parameter!$M$21)))</f>
        <v>0.00961538461538462</v>
      </c>
      <c r="AT1140" s="62" t="n">
        <f aca="false">AS1140*CC1140</f>
        <v>1.49038461538462</v>
      </c>
      <c r="AU1140" s="63" t="n">
        <f aca="false">IF(LEFT(Cockpit!$I$5,1)="A",H1140,IF(CI1140=1,(CL1140+CJ1140)/2,IF(LEFT(Cockpit!$I$5,1)="B",(CL1140+AW1140)/2,MAX((CL1140+AW1140)/2,H1140))))</f>
        <v>1</v>
      </c>
      <c r="AV1140" s="62" t="n">
        <f aca="false">AU1140*G1140</f>
        <v>111.1</v>
      </c>
      <c r="AW1140" s="62" t="n">
        <f aca="false">ROUNDUP(CL1140+MAX(CM1140,2*(J1140/IF(CH1140&gt;0,CH1140,MAX(0.1,N(Cockpit!$I$6)))-CL1140)),0)</f>
        <v>2</v>
      </c>
      <c r="AX1140" s="63" t="n">
        <f aca="false">IF(AT1140&gt;0,J1140/AT1140,-1)</f>
        <v>1.34193548387097</v>
      </c>
      <c r="AY1140" s="63" t="str">
        <f aca="false">IF(AND(OR(CG1140="L1",CG1140="L23",CG1140="LIFT"),AT1140&gt;0),SUMIFS($AT$7:$AT$1843,$CG$7:$CG$1843,CG1140,$AX$7:$AX$1843,"&gt;"&amp;AX1140)+SUMIFS($AT$7:$AT$1843,$CG$7:$CG$1843,CG1140,$AX$7:$AX$1843,AX1140,$BX$7:$BX$1843,"&lt;="&amp;BX1140),"")</f>
        <v/>
      </c>
      <c r="AZ1140" s="70" t="n">
        <f aca="false">IF(AY1140="",0,MAX(0,MIN(1,(IF(CG1140="L1",Parameter!$H$5,IF(CG1140="L23",Parameter!$H$6+Parameter!$H$7,Parameter!$H$5+Parameter!$H$6+Parameter!$H$7))-(AY1140-AT1140))/AT1140)))</f>
        <v>0</v>
      </c>
      <c r="BA1140" s="62" t="n">
        <f aca="false">IF(LEFT(Cockpit!$O$5,1)="A",H1140,IF(Parameter!$E$30="MAX-Bestand",IF(CI1140=1,CJ1140,IF(LEFT(Cockpit!$O$5,1)="B",BG1140,MAX(BG1140,H1140))),ROUNDUP(BE1140,0)))</f>
        <v>1</v>
      </c>
      <c r="BB1140" s="62" t="n">
        <f aca="false">IF(CA1140=1,0,ROUNDUP(BA1140/BZ1140,0))</f>
        <v>1</v>
      </c>
      <c r="BC1140" s="64" t="n">
        <f aca="false">IF(CR1140&gt;0,CR1140*MAX(1,BA1140/X1140),IF(CA1140=1,IF(BA1140&lt;=0,0,CE1140*MAX(1,IF(H1140&gt;0,BA1140/H1140,1))),IF(R1140&gt;0,BB1140/R1140,0))/MAX(0.1,N(Parameter!$M$21)))</f>
        <v>0.00961538461538462</v>
      </c>
      <c r="BD1140" s="62" t="n">
        <f aca="false">BC1140*CC1140</f>
        <v>1.49038461538462</v>
      </c>
      <c r="BE1140" s="63" t="n">
        <f aca="false">IF(LEFT(Cockpit!$O$5,1)="A",H1140,IF(CI1140=1,(CL1140+CJ1140)/2,IF(LEFT(Cockpit!$O$5,1)="B",(CL1140+BG1140)/2,MAX((CL1140+BG1140)/2,H1140))))</f>
        <v>0.5</v>
      </c>
      <c r="BF1140" s="62" t="n">
        <f aca="false">BE1140*G1140</f>
        <v>55.55</v>
      </c>
      <c r="BG1140" s="62" t="n">
        <f aca="false">ROUNDUP(CL1140+MAX(CM1140,2*(J1140/IF(CH1140&gt;0,CH1140,MAX(0.1,N(Cockpit!$O$6)))-CL1140)),0)</f>
        <v>1</v>
      </c>
      <c r="BH1140" s="63" t="n">
        <f aca="false">IF(BD1140&gt;0,J1140/BD1140,-1)</f>
        <v>1.34193548387097</v>
      </c>
      <c r="BI1140" s="63" t="str">
        <f aca="false">IF(AND(OR(CG1140="L1",CG1140="L23",CG1140="LIFT"),BD1140&gt;0),SUMIFS($BD$7:$BD$1843,$CG$7:$CG$1843,CG1140,$BH$7:$BH$1843,"&gt;"&amp;BH1140)+SUMIFS($BD$7:$BD$1843,$CG$7:$CG$1843,CG1140,$BH$7:$BH$1843,BH1140,$BX$7:$BX$1843,"&lt;="&amp;BX1140),"")</f>
        <v/>
      </c>
      <c r="BJ1140" s="70" t="n">
        <f aca="false">IF(BI1140="",0,MAX(0,MIN(1,(IF(CG1140="L1",Parameter!$H$5,IF(CG1140="L23",Parameter!$H$6+Parameter!$H$7,Parameter!$H$5+Parameter!$H$6+Parameter!$H$7))-(BI1140-BD1140))/BD1140)))</f>
        <v>0</v>
      </c>
      <c r="BK1140" s="60" t="str">
        <f aca="false">IF(AJ1140&lt;=0,"",IF(CG1140="Aussen","Aussenlager",IF(CG1140="-","Nicht im Lift",IF(AP1140&gt;=1,"Lift",IF(AP1140&lt;=0,"Aussenlager","teilweise")))))</f>
        <v>Nicht im Lift</v>
      </c>
      <c r="BL1140" s="60" t="str">
        <f aca="false">IF(AT1140&lt;=0,"",IF(CG1140="Aussen","Aussenlager",IF(CG1140="-","Nicht im Lift",IF(AZ1140&gt;=1,"Lift",IF(AZ1140&lt;=0,"Aussenlager","teilweise")))))</f>
        <v>Nicht im Lift</v>
      </c>
      <c r="BM1140" s="60" t="str">
        <f aca="false">IF(BD1140&lt;=0,"",IF(CG1140="Aussen","Aussenlager",IF(CG1140="-","Nicht im Lift",IF(BJ1140&gt;=1,"Lift",IF(BJ1140&lt;=0,"Aussenlager","teilweise")))))</f>
        <v>Nicht im Lift</v>
      </c>
      <c r="BN1140" s="60" t="str">
        <f aca="false">IF(A1140="","",IF(BW1140=1,"Neu; ","")&amp;IF(AND(BW1140=0,BR1140&lt;0),"negativer Bestand (Export "&amp;BR1140&amp;"); ","")&amp;IF(J1140&lt;=0,"Kein Verbrauch; ","")&amp;IF(CR1140&gt;0,"Lift "&amp;W1140&amp;" lt. Liftbericht (Fach "&amp;X1140&amp;" Stk); ",IF(CB1140=1,"Gebinde geschätzt ("&amp;T1140&amp;"); ",IF(CA1140=1,"Lose – Tablare geschätzt; ","")))&amp;IF(H1140&gt;AW1140,"Überbestand "&amp;ROUND(H1140-AW1140,0)&amp;" Stk / CHF "&amp;ROUND((H1140-AW1140)*G1140,0)&amp;"; ","")&amp;IF(AND(CI1140=1,CJ1140&lt;CK1140),"MAX &lt; MB+LG; ","")&amp;IF(AND(CQ1140&gt;0,CP1140*10&gt;CQ1140),"zu hoch für Tablar; ","")&amp;IF(AND(BW1140=0,OR(CI1140=1,AB1140&lt;&gt;"",U1140&lt;&gt;"",V1140&lt;&gt;"",AC1140&lt;&gt;"")),"manuell übersteuert; ","")&amp;IF(AND(CA1140=0,R1140=0),"Gebinde unbekannt / Stellmass fehlt; ","")&amp;IF(AND(CA1140=0,N(V1140)&lt;=0,N(Q1140)&lt;=0),"Menge pro Gebinde fehlt (Ist = 1 Gebinde); ","")&amp;BV1140)</f>
        <v>negativer Bestand (Export -3); Neu</v>
      </c>
      <c r="BO1140" s="60"/>
      <c r="BP1140" s="60"/>
      <c r="BQ1140" s="67"/>
      <c r="BR1140" s="62" t="n">
        <v>-3</v>
      </c>
      <c r="BS1140" s="62" t="n">
        <v>4</v>
      </c>
      <c r="BT1140" s="61" t="n">
        <v>-286.62</v>
      </c>
      <c r="BU1140" s="62" t="n">
        <v>2</v>
      </c>
      <c r="BV1140" s="60" t="s">
        <v>668</v>
      </c>
      <c r="BW1140" s="65" t="n">
        <v>0</v>
      </c>
      <c r="BX1140" s="65" t="n">
        <v>1140</v>
      </c>
      <c r="BY1140" s="60" t="str">
        <f aca="false">IF(U1140&lt;&gt;"",UPPER(TRIM(U1140)),IF(CB1140=1,UPPER(VLOOKUP(T1140,Parameter!$I$27:$K$29,2,0)),IF(P1140="","LOSE",P1140)))</f>
        <v>S32</v>
      </c>
      <c r="BZ1140" s="62" t="n">
        <f aca="false">IF(BY1140="LOSE",1,IF(N(V1140)&gt;0,V1140,IF(CB1140=1,MAX(1,N(VLOOKUP(T1140,Parameter!$I$27:$K$29,3,0)),H1140,N(N1140)),IF(N(Q1140)&gt;0,Q1140,MAX(1,H1140)))))</f>
        <v>3</v>
      </c>
      <c r="CA1140" s="65" t="n">
        <f aca="false">IF(BY1140="LOSE",1,0)</f>
        <v>0</v>
      </c>
      <c r="CB1140" s="65" t="n">
        <f aca="false">IF(AND(U1140="",OR(P1140="",P1140="LOSE"),T1140&lt;&gt;"",N(S1140)&lt;=0,ISNUMBER(MATCH(T1140,Parameter!$I$27:$I$29,0))),1,0)</f>
        <v>0</v>
      </c>
      <c r="CC1140" s="65" t="n">
        <f aca="false">IF(CR1140&gt;0,INDEX(Parameter!$H$5:$H$7,W1140)/INDEX(Parameter!$E$5:$E$7,W1140),IF(AND(CA1140=0,N(IFERROR(VLOOKUP(BY1140,'Gebinde-Kategorie'!$A$5:$N$45,14,0),0))&gt;0),VLOOKUP(BY1140,'Gebinde-Kategorie'!$A$5:$N$45,14,0)*10+Parameter!$M$23,Parameter!$M$24))</f>
        <v>155</v>
      </c>
      <c r="CD1140" s="60" t="str">
        <f aca="false">IF(AND(Parameter!$B$19="Ja",E1140&lt;&gt;"",ISNUMBER(MATCH(E1140,Parameter!$I$35:$I$52,0))),VLOOKUP(E1140,Parameter!$I$35:$J$52,2,0),IFERROR(VLOOKUP(D1140,Parameter!$A$35:$C$64,2,0),"Nein"))</f>
        <v>Nein</v>
      </c>
      <c r="CE1140" s="64" t="n">
        <f aca="false">IF(CA1140=0,0,IF(N(S1140)&gt;0,S1140,IFERROR(VLOOKUP(D1140,Parameter!$A$35:$C$64,3,0)+0,0)))</f>
        <v>0</v>
      </c>
      <c r="CF1140" s="60" t="str">
        <f aca="false">IF(AB1140&lt;&gt;"",AB1140,AA1140)</f>
        <v>-</v>
      </c>
      <c r="CG1140" s="60" t="str">
        <f aca="false">IF(OR(CF1140=1,CF1140=2,CF1140=3),IF(Parameter!$E$27="Ja","LIFT",IF(CF1140=1,"L1","L23")),IF(CF1140="Aussen","Aussen","-"))</f>
        <v>-</v>
      </c>
      <c r="CH1140" s="71" t="n">
        <f aca="false">IF(N(AC1140)&gt;0,AC1140,0)</f>
        <v>0</v>
      </c>
      <c r="CI1140" s="65" t="n">
        <f aca="false">IF(ISNUMBER(AF1140),1,0)</f>
        <v>0</v>
      </c>
      <c r="CJ1140" s="62" t="n">
        <f aca="false">N(AF1140)</f>
        <v>0</v>
      </c>
      <c r="CK1140" s="62" t="n">
        <f aca="false">N(M1140)+N(N1140)</f>
        <v>1</v>
      </c>
      <c r="CL1140" s="62" t="n">
        <f aca="false">N(M1140)</f>
        <v>0</v>
      </c>
      <c r="CM1140" s="62" t="n">
        <f aca="false">N(N1140)</f>
        <v>1</v>
      </c>
      <c r="CN1140" s="62" t="n">
        <f aca="false">ROUNDUP(H1140/BZ1140,0)</f>
        <v>1</v>
      </c>
      <c r="CO1140" s="62" t="n">
        <f aca="false">ROUNDUP(CJ1140/BZ1140,0)</f>
        <v>0</v>
      </c>
      <c r="CP1140" s="65" t="n">
        <f aca="false">IF(CA1140=1,0,IFERROR(VLOOKUP(BY1140,'Gebinde-Kategorie'!$A$5:$N$45,5,0)+0,0))</f>
        <v>8</v>
      </c>
      <c r="CQ1140" s="65" t="n">
        <f aca="false">IFERROR(IF(OR(CF1140=1,CF1140=2,CF1140=3),N(INDEX(Parameter!$I$5:$I$7,CF1140)),0),0)</f>
        <v>0</v>
      </c>
      <c r="CR1140" s="64" t="n">
        <f aca="false">IF(AND(Parameter!$B$21="Ja",ISNUMBER(W1140),N(X1140)&gt;0),IFERROR(N(INDEX(Parameter!$L$5:$L$7,W1140))*INDEX(Parameter!$E$5:$E$7,W1140)*X1140/SUMIFS($X$7:$X$1843,$W$7:$W$1843,W1140),0),0)</f>
        <v>0</v>
      </c>
      <c r="CS1140" s="62" t="str">
        <f aca="false">IF(AND(OR(CG1140="L1",CG1140="L23",CG1140="LIFT"),H1140&gt;0),CC1140*IF(CR1140&gt;0,CR1140*MAX(1,H1140/X1140),IF(CA1140=1,CE1140,IF(R1140&gt;0,CN1140/R1140,0))/MAX(0.1,N(Parameter!$M$21))),"")</f>
        <v/>
      </c>
      <c r="CT1140" s="64" t="str">
        <f aca="false">IF(CS1140="","",J1140/H1140)</f>
        <v/>
      </c>
      <c r="CU1140" s="62" t="str">
        <f aca="false">IF(CS1140="","",H1140*G1140)</f>
        <v/>
      </c>
      <c r="CV1140" s="63" t="str">
        <f aca="false">IF(CS1140="","",(CL1140+ROUNDUP(CL1140+MAX(CM1140,2*(J1140/MAX(0.1,N(Einkauf!$C$6))-CL1140)),0))/2)</f>
        <v/>
      </c>
      <c r="CW1140" s="62" t="str">
        <f aca="false">IF(CS1140="","",MAX(0,H1140-CV1140)*G1140)</f>
        <v/>
      </c>
      <c r="CX1140" s="62" t="str">
        <f aca="false">IF(CS1140="","",CS1140*MAX(0,1-CV1140/H1140))</f>
        <v/>
      </c>
      <c r="CY1140" s="64" t="str">
        <f aca="false">IF(CS1140="","",PERCENTRANK($CS$7:$CS$1843,CS1140)+PERCENTRANK($CU$7:$CU$1843,CU1140)+1-PERCENTRANK($CT$7:$CT$1843,CT1140))</f>
        <v/>
      </c>
      <c r="CZ1140" s="72" t="str">
        <f aca="false">IF(CS1140="","",CHOOSE(MATCH(Einkauf!$C$5,Parameter!$G$23:$G$27,0),CY1140,CS1140,CU1140,-CT1140,CW1140)+ROW()/1000000000)</f>
        <v/>
      </c>
    </row>
    <row r="1141" customFormat="false" ht="15" hidden="false" customHeight="false" outlineLevel="0" collapsed="false">
      <c r="A1141" s="60" t="s">
        <v>2105</v>
      </c>
      <c r="B1141" s="60" t="s">
        <v>2106</v>
      </c>
      <c r="C1141" s="60" t="s">
        <v>206</v>
      </c>
      <c r="D1141" s="60" t="s">
        <v>226</v>
      </c>
      <c r="E1141" s="60"/>
      <c r="F1141" s="60" t="s">
        <v>260</v>
      </c>
      <c r="G1141" s="61" t="n">
        <v>101.35</v>
      </c>
      <c r="H1141" s="62" t="n">
        <f aca="false">MAX(0,IF(AND(Parameter!$B$21="Ja",ISNUMBER(Y1141)),Y1141,IF(Parameter!$B$20="Jahresanfang 2025 + Export",BS1141+BR1141,BR1141)))</f>
        <v>1</v>
      </c>
      <c r="I1141" s="62" t="n">
        <f aca="false">H1141*G1141</f>
        <v>101.35</v>
      </c>
      <c r="J1141" s="62" t="n">
        <f aca="false">BU1141*Parameter!$B$18</f>
        <v>6</v>
      </c>
      <c r="K1141" s="63" t="n">
        <v>3.5</v>
      </c>
      <c r="L1141" s="64" t="n">
        <v>1.71428571428571</v>
      </c>
      <c r="M1141" s="62" t="n">
        <v>0</v>
      </c>
      <c r="N1141" s="62" t="n">
        <v>5</v>
      </c>
      <c r="O1141" s="65" t="n">
        <v>35</v>
      </c>
      <c r="P1141" s="60" t="s">
        <v>210</v>
      </c>
      <c r="Q1141" s="62"/>
      <c r="R1141" s="65" t="n">
        <f aca="false">IF(CA1141=1,0,IFERROR(VLOOKUP(BY1141,'Gebinde-Kategorie'!$A$5:$N$45,13,0)+0,0))</f>
        <v>26</v>
      </c>
      <c r="S1141" s="66"/>
      <c r="T1141" s="67" t="s">
        <v>317</v>
      </c>
      <c r="U1141" s="67"/>
      <c r="V1141" s="67"/>
      <c r="W1141" s="60"/>
      <c r="X1141" s="62"/>
      <c r="Y1141" s="62"/>
      <c r="Z1141" s="60" t="n">
        <v>3</v>
      </c>
      <c r="AA1141" s="60" t="n">
        <f aca="false">IF(A1141="","",IF(AND(Parameter!$B$21="Ja",ISNUMBER(W1141)),W1141,IF(AND(Parameter!$E$27="Ja",ISNUMBER(Z1141),CD1141&lt;&gt;"Nein"),Z1141,IF(CD1141="2+3",IF(ISNUMBER(SEARCH("grosser Artikel",BV1141)),2,IFERROR(VLOOKUP(BY1141,Parameter!$F$35:$G$64,2,0),2)),IF(OR(CD1141="Nein",CD1141=""),"-",CD1141)))))</f>
        <v>3</v>
      </c>
      <c r="AB1141" s="67"/>
      <c r="AC1141" s="68"/>
      <c r="AD1141" s="62" t="n">
        <f aca="false">AW1141</f>
        <v>5</v>
      </c>
      <c r="AE1141" s="62" t="n">
        <f aca="false">MAX(AW1141,H1141)</f>
        <v>5</v>
      </c>
      <c r="AF1141" s="69"/>
      <c r="AG1141" s="62" t="n">
        <f aca="false">IF(LEFT(Cockpit!$C$5,1)="A",H1141,IF(Parameter!$E$30="MAX-Bestand",IF(CI1141=1,CJ1141,IF(LEFT(Cockpit!$C$5,1)="B",AM1141,MAX(AM1141,H1141))),ROUNDUP(AK1141,0)))</f>
        <v>1</v>
      </c>
      <c r="AH1141" s="62" t="n">
        <f aca="false">IF(CA1141=1,0,ROUNDUP(AG1141/BZ1141,0))</f>
        <v>1</v>
      </c>
      <c r="AI1141" s="64" t="n">
        <f aca="false">IF(CR1141&gt;0,CR1141*MAX(1,AG1141/X1141),IF(CA1141=1,IF(AG1141&lt;=0,0,CE1141*MAX(1,IF(H1141&gt;0,AG1141/H1141,1))),IF(R1141&gt;0,AH1141/R1141,0))/MAX(0.1,N(Parameter!$M$21)))</f>
        <v>0.0384615384615385</v>
      </c>
      <c r="AJ1141" s="62" t="n">
        <f aca="false">AI1141*CC1141</f>
        <v>5.96153846153846</v>
      </c>
      <c r="AK1141" s="63" t="n">
        <f aca="false">IF(LEFT(Cockpit!$C$5,1)="A",H1141,IF(CI1141=1,(CL1141+CJ1141)/2,IF(LEFT(Cockpit!$C$5,1)="B",(CL1141+AM1141)/2,MAX((CL1141+AM1141)/2,H1141))))</f>
        <v>1</v>
      </c>
      <c r="AL1141" s="62" t="n">
        <f aca="false">AK1141*G1141</f>
        <v>101.35</v>
      </c>
      <c r="AM1141" s="62" t="n">
        <f aca="false">ROUNDUP(CL1141+MAX(CM1141,2*(J1141/IF(CH1141&gt;0,CH1141,MAX(0.1,N(Cockpit!$C$6)))-CL1141)),0)</f>
        <v>5</v>
      </c>
      <c r="AN1141" s="63" t="n">
        <f aca="false">IF(AJ1141&gt;0,J1141/AJ1141,-1)</f>
        <v>1.00645161290323</v>
      </c>
      <c r="AO1141" s="63" t="n">
        <f aca="false">IF(AND(OR(CG1141="L1",CG1141="L23",CG1141="LIFT"),AJ1141&gt;0),SUMIFS($AJ$7:$AJ$1843,$CG$7:$CG$1843,CG1141,$AN$7:$AN$1843,"&gt;"&amp;AN1141)+SUMIFS($AJ$7:$AJ$1843,$CG$7:$CG$1843,CG1141,$AN$7:$AN$1843,AN1141,$BX$7:$BX$1843,"&lt;="&amp;BX1141),"")</f>
        <v>7047.461996337</v>
      </c>
      <c r="AP1141" s="70" t="n">
        <f aca="false">IF(AO1141="",0,MAX(0,MIN(1,(IF(CG1141="L1",Parameter!$H$5,IF(CG1141="L23",Parameter!$H$6+Parameter!$H$7,Parameter!$H$5+Parameter!$H$6+Parameter!$H$7))-(AO1141-AJ1141))/AJ1141)))</f>
        <v>1</v>
      </c>
      <c r="AQ1141" s="62" t="n">
        <f aca="false">IF(LEFT(Cockpit!$I$5,1)="A",H1141,IF(Parameter!$E$30="MAX-Bestand",IF(CI1141=1,CJ1141,IF(LEFT(Cockpit!$I$5,1)="B",AW1141,MAX(AW1141,H1141))),ROUNDUP(AU1141,0)))</f>
        <v>3</v>
      </c>
      <c r="AR1141" s="62" t="n">
        <f aca="false">IF(CA1141=1,0,ROUNDUP(AQ1141/BZ1141,0))</f>
        <v>1</v>
      </c>
      <c r="AS1141" s="64" t="n">
        <f aca="false">IF(CR1141&gt;0,CR1141*MAX(1,AQ1141/X1141),IF(CA1141=1,IF(AQ1141&lt;=0,0,CE1141*MAX(1,IF(H1141&gt;0,AQ1141/H1141,1))),IF(R1141&gt;0,AR1141/R1141,0))/MAX(0.1,N(Parameter!$M$21)))</f>
        <v>0.0384615384615385</v>
      </c>
      <c r="AT1141" s="62" t="n">
        <f aca="false">AS1141*CC1141</f>
        <v>5.96153846153846</v>
      </c>
      <c r="AU1141" s="63" t="n">
        <f aca="false">IF(LEFT(Cockpit!$I$5,1)="A",H1141,IF(CI1141=1,(CL1141+CJ1141)/2,IF(LEFT(Cockpit!$I$5,1)="B",(CL1141+AW1141)/2,MAX((CL1141+AW1141)/2,H1141))))</f>
        <v>2.5</v>
      </c>
      <c r="AV1141" s="62" t="n">
        <f aca="false">AU1141*G1141</f>
        <v>253.375</v>
      </c>
      <c r="AW1141" s="62" t="n">
        <f aca="false">ROUNDUP(CL1141+MAX(CM1141,2*(J1141/IF(CH1141&gt;0,CH1141,MAX(0.1,N(Cockpit!$I$6)))-CL1141)),0)</f>
        <v>5</v>
      </c>
      <c r="AX1141" s="63" t="n">
        <f aca="false">IF(AT1141&gt;0,J1141/AT1141,-1)</f>
        <v>1.00645161290323</v>
      </c>
      <c r="AY1141" s="63" t="n">
        <f aca="false">IF(AND(OR(CG1141="L1",CG1141="L23",CG1141="LIFT"),AT1141&gt;0),SUMIFS($AT$7:$AT$1843,$CG$7:$CG$1843,CG1141,$AX$7:$AX$1843,"&gt;"&amp;AX1141)+SUMIFS($AT$7:$AT$1843,$CG$7:$CG$1843,CG1141,$AX$7:$AX$1843,AX1141,$BX$7:$BX$1843,"&lt;="&amp;BX1141),"")</f>
        <v>8419.14560439561</v>
      </c>
      <c r="AZ1141" s="70" t="n">
        <f aca="false">IF(AY1141="",0,MAX(0,MIN(1,(IF(CG1141="L1",Parameter!$H$5,IF(CG1141="L23",Parameter!$H$6+Parameter!$H$7,Parameter!$H$5+Parameter!$H$6+Parameter!$H$7))-(AY1141-AT1141))/AT1141)))</f>
        <v>1</v>
      </c>
      <c r="BA1141" s="62" t="n">
        <f aca="false">IF(LEFT(Cockpit!$O$5,1)="A",H1141,IF(Parameter!$E$30="MAX-Bestand",IF(CI1141=1,CJ1141,IF(LEFT(Cockpit!$O$5,1)="B",BG1141,MAX(BG1141,H1141))),ROUNDUP(BE1141,0)))</f>
        <v>3</v>
      </c>
      <c r="BB1141" s="62" t="n">
        <f aca="false">IF(CA1141=1,0,ROUNDUP(BA1141/BZ1141,0))</f>
        <v>1</v>
      </c>
      <c r="BC1141" s="64" t="n">
        <f aca="false">IF(CR1141&gt;0,CR1141*MAX(1,BA1141/X1141),IF(CA1141=1,IF(BA1141&lt;=0,0,CE1141*MAX(1,IF(H1141&gt;0,BA1141/H1141,1))),IF(R1141&gt;0,BB1141/R1141,0))/MAX(0.1,N(Parameter!$M$21)))</f>
        <v>0.0384615384615385</v>
      </c>
      <c r="BD1141" s="62" t="n">
        <f aca="false">BC1141*CC1141</f>
        <v>5.96153846153846</v>
      </c>
      <c r="BE1141" s="63" t="n">
        <f aca="false">IF(LEFT(Cockpit!$O$5,1)="A",H1141,IF(CI1141=1,(CL1141+CJ1141)/2,IF(LEFT(Cockpit!$O$5,1)="B",(CL1141+BG1141)/2,MAX((CL1141+BG1141)/2,H1141))))</f>
        <v>2.5</v>
      </c>
      <c r="BF1141" s="62" t="n">
        <f aca="false">BE1141*G1141</f>
        <v>253.375</v>
      </c>
      <c r="BG1141" s="62" t="n">
        <f aca="false">ROUNDUP(CL1141+MAX(CM1141,2*(J1141/IF(CH1141&gt;0,CH1141,MAX(0.1,N(Cockpit!$O$6)))-CL1141)),0)</f>
        <v>5</v>
      </c>
      <c r="BH1141" s="63" t="n">
        <f aca="false">IF(BD1141&gt;0,J1141/BD1141,-1)</f>
        <v>1.00645161290323</v>
      </c>
      <c r="BI1141" s="63" t="n">
        <f aca="false">IF(AND(OR(CG1141="L1",CG1141="L23",CG1141="LIFT"),BD1141&gt;0),SUMIFS($BD$7:$BD$1843,$CG$7:$CG$1843,CG1141,$BH$7:$BH$1843,"&gt;"&amp;BH1141)+SUMIFS($BD$7:$BD$1843,$CG$7:$CG$1843,CG1141,$BH$7:$BH$1843,BH1141,$BX$7:$BX$1843,"&lt;="&amp;BX1141),"")</f>
        <v>7657.2586996337</v>
      </c>
      <c r="BJ1141" s="70" t="n">
        <f aca="false">IF(BI1141="",0,MAX(0,MIN(1,(IF(CG1141="L1",Parameter!$H$5,IF(CG1141="L23",Parameter!$H$6+Parameter!$H$7,Parameter!$H$5+Parameter!$H$6+Parameter!$H$7))-(BI1141-BD1141))/BD1141)))</f>
        <v>1</v>
      </c>
      <c r="BK1141" s="60" t="str">
        <f aca="false">IF(AJ1141&lt;=0,"",IF(CG1141="Aussen","Aussenlager",IF(CG1141="-","Nicht im Lift",IF(AP1141&gt;=1,"Lift",IF(AP1141&lt;=0,"Aussenlager","teilweise")))))</f>
        <v>Lift</v>
      </c>
      <c r="BL1141" s="60" t="str">
        <f aca="false">IF(AT1141&lt;=0,"",IF(CG1141="Aussen","Aussenlager",IF(CG1141="-","Nicht im Lift",IF(AZ1141&gt;=1,"Lift",IF(AZ1141&lt;=0,"Aussenlager","teilweise")))))</f>
        <v>Lift</v>
      </c>
      <c r="BM1141" s="60" t="str">
        <f aca="false">IF(BD1141&lt;=0,"",IF(CG1141="Aussen","Aussenlager",IF(CG1141="-","Nicht im Lift",IF(BJ1141&gt;=1,"Lift",IF(BJ1141&lt;=0,"Aussenlager","teilweise")))))</f>
        <v>Lift</v>
      </c>
      <c r="BN1141" s="60" t="str">
        <f aca="false">IF(A1141="","",IF(BW1141=1,"Neu; ","")&amp;IF(AND(BW1141=0,BR1141&lt;0),"negativer Bestand (Export "&amp;BR1141&amp;"); ","")&amp;IF(J1141&lt;=0,"Kein Verbrauch; ","")&amp;IF(CR1141&gt;0,"Lift "&amp;W1141&amp;" lt. Liftbericht (Fach "&amp;X1141&amp;" Stk); ",IF(CB1141=1,"Gebinde geschätzt ("&amp;T1141&amp;"); ",IF(CA1141=1,"Lose – Tablare geschätzt; ","")))&amp;IF(H1141&gt;AW1141,"Überbestand "&amp;ROUND(H1141-AW1141,0)&amp;" Stk / CHF "&amp;ROUND((H1141-AW1141)*G1141,0)&amp;"; ","")&amp;IF(AND(CI1141=1,CJ1141&lt;CK1141),"MAX &lt; MB+LG; ","")&amp;IF(AND(CQ1141&gt;0,CP1141*10&gt;CQ1141),"zu hoch für Tablar; ","")&amp;IF(AND(BW1141=0,OR(CI1141=1,AB1141&lt;&gt;"",U1141&lt;&gt;"",V1141&lt;&gt;"",AC1141&lt;&gt;"")),"manuell übersteuert; ","")&amp;IF(AND(CA1141=0,R1141=0),"Gebinde unbekannt / Stellmass fehlt; ","")&amp;IF(AND(CA1141=0,N(V1141)&lt;=0,N(Q1141)&lt;=0),"Menge pro Gebinde fehlt (Ist = 1 Gebinde); ","")&amp;BV1141)</f>
        <v>negativer Bestand (Export -3); Gebinde geschätzt (Klein); Menge pro Gebinde fehlt (Ist = 1 Gebinde); </v>
      </c>
      <c r="BO1141" s="60"/>
      <c r="BP1141" s="60"/>
      <c r="BQ1141" s="67"/>
      <c r="BR1141" s="62" t="n">
        <v>-3</v>
      </c>
      <c r="BS1141" s="62" t="n">
        <v>4</v>
      </c>
      <c r="BT1141" s="61" t="n">
        <v>-287.21</v>
      </c>
      <c r="BU1141" s="62" t="n">
        <v>6</v>
      </c>
      <c r="BV1141" s="60"/>
      <c r="BW1141" s="65" t="n">
        <v>0</v>
      </c>
      <c r="BX1141" s="65" t="n">
        <v>1141</v>
      </c>
      <c r="BY1141" s="60" t="str">
        <f aca="false">IF(U1141&lt;&gt;"",UPPER(TRIM(U1141)),IF(CB1141=1,UPPER(VLOOKUP(T1141,Parameter!$I$27:$K$29,2,0)),IF(P1141="","LOSE",P1141)))</f>
        <v>S51</v>
      </c>
      <c r="BZ1141" s="62" t="n">
        <f aca="false">IF(BY1141="LOSE",1,IF(N(V1141)&gt;0,V1141,IF(CB1141=1,MAX(1,N(VLOOKUP(T1141,Parameter!$I$27:$K$29,3,0)),H1141,N(N1141)),IF(N(Q1141)&gt;0,Q1141,MAX(1,H1141)))))</f>
        <v>20</v>
      </c>
      <c r="CA1141" s="65" t="n">
        <f aca="false">IF(BY1141="LOSE",1,0)</f>
        <v>0</v>
      </c>
      <c r="CB1141" s="65" t="n">
        <f aca="false">IF(AND(U1141="",OR(P1141="",P1141="LOSE"),T1141&lt;&gt;"",N(S1141)&lt;=0,ISNUMBER(MATCH(T1141,Parameter!$I$27:$I$29,0))),1,0)</f>
        <v>1</v>
      </c>
      <c r="CC1141" s="65" t="n">
        <f aca="false">IF(CR1141&gt;0,INDEX(Parameter!$H$5:$H$7,W1141)/INDEX(Parameter!$E$5:$E$7,W1141),IF(AND(CA1141=0,N(IFERROR(VLOOKUP(BY1141,'Gebinde-Kategorie'!$A$5:$N$45,14,0),0))&gt;0),VLOOKUP(BY1141,'Gebinde-Kategorie'!$A$5:$N$45,14,0)*10+Parameter!$M$23,Parameter!$M$24))</f>
        <v>155</v>
      </c>
      <c r="CD1141" s="60" t="str">
        <f aca="false">IF(AND(Parameter!$B$19="Ja",E1141&lt;&gt;"",ISNUMBER(MATCH(E1141,Parameter!$I$35:$I$52,0))),VLOOKUP(E1141,Parameter!$I$35:$J$52,2,0),IFERROR(VLOOKUP(D1141,Parameter!$A$35:$C$64,2,0),"Nein"))</f>
        <v>2+3</v>
      </c>
      <c r="CE1141" s="64" t="n">
        <f aca="false">IF(CA1141=0,0,IF(N(S1141)&gt;0,S1141,IFERROR(VLOOKUP(D1141,Parameter!$A$35:$C$64,3,0)+0,0)))</f>
        <v>0</v>
      </c>
      <c r="CF1141" s="60" t="n">
        <f aca="false">IF(AB1141&lt;&gt;"",AB1141,AA1141)</f>
        <v>3</v>
      </c>
      <c r="CG1141" s="60" t="str">
        <f aca="false">IF(OR(CF1141=1,CF1141=2,CF1141=3),IF(Parameter!$E$27="Ja","LIFT",IF(CF1141=1,"L1","L23")),IF(CF1141="Aussen","Aussen","-"))</f>
        <v>LIFT</v>
      </c>
      <c r="CH1141" s="71" t="n">
        <f aca="false">IF(N(AC1141)&gt;0,AC1141,0)</f>
        <v>0</v>
      </c>
      <c r="CI1141" s="65" t="n">
        <f aca="false">IF(ISNUMBER(AF1141),1,0)</f>
        <v>0</v>
      </c>
      <c r="CJ1141" s="62" t="n">
        <f aca="false">N(AF1141)</f>
        <v>0</v>
      </c>
      <c r="CK1141" s="62" t="n">
        <f aca="false">N(M1141)+N(N1141)</f>
        <v>5</v>
      </c>
      <c r="CL1141" s="62" t="n">
        <f aca="false">N(M1141)</f>
        <v>0</v>
      </c>
      <c r="CM1141" s="62" t="n">
        <f aca="false">N(N1141)</f>
        <v>5</v>
      </c>
      <c r="CN1141" s="62" t="n">
        <f aca="false">ROUNDUP(H1141/BZ1141,0)</f>
        <v>1</v>
      </c>
      <c r="CO1141" s="62" t="n">
        <f aca="false">ROUNDUP(CJ1141/BZ1141,0)</f>
        <v>0</v>
      </c>
      <c r="CP1141" s="65" t="n">
        <f aca="false">IF(CA1141=1,0,IFERROR(VLOOKUP(BY1141,'Gebinde-Kategorie'!$A$5:$N$45,5,0)+0,0))</f>
        <v>11</v>
      </c>
      <c r="CQ1141" s="65" t="n">
        <f aca="false">IFERROR(IF(OR(CF1141=1,CF1141=2,CF1141=3),N(INDEX(Parameter!$I$5:$I$7,CF1141)),0),0)</f>
        <v>0</v>
      </c>
      <c r="CR1141" s="64" t="n">
        <f aca="false">IF(AND(Parameter!$B$21="Ja",ISNUMBER(W1141),N(X1141)&gt;0),IFERROR(N(INDEX(Parameter!$L$5:$L$7,W1141))*INDEX(Parameter!$E$5:$E$7,W1141)*X1141/SUMIFS($X$7:$X$1843,$W$7:$W$1843,W1141),0),0)</f>
        <v>0</v>
      </c>
      <c r="CS1141" s="62" t="n">
        <f aca="false">IF(AND(OR(CG1141="L1",CG1141="L23",CG1141="LIFT"),H1141&gt;0),CC1141*IF(CR1141&gt;0,CR1141*MAX(1,H1141/X1141),IF(CA1141=1,CE1141,IF(R1141&gt;0,CN1141/R1141,0))/MAX(0.1,N(Parameter!$M$21))),"")</f>
        <v>5.96153846153846</v>
      </c>
      <c r="CT1141" s="64" t="n">
        <f aca="false">IF(CS1141="","",J1141/H1141)</f>
        <v>6</v>
      </c>
      <c r="CU1141" s="62" t="n">
        <f aca="false">IF(CS1141="","",H1141*G1141)</f>
        <v>101.35</v>
      </c>
      <c r="CV1141" s="63" t="n">
        <f aca="false">IF(CS1141="","",(CL1141+ROUNDUP(CL1141+MAX(CM1141,2*(J1141/MAX(0.1,N(Einkauf!$C$6))-CL1141)),0))/2)</f>
        <v>2.5</v>
      </c>
      <c r="CW1141" s="62" t="n">
        <f aca="false">IF(CS1141="","",MAX(0,H1141-CV1141)*G1141)</f>
        <v>0</v>
      </c>
      <c r="CX1141" s="62" t="n">
        <f aca="false">IF(CS1141="","",CS1141*MAX(0,1-CV1141/H1141))</f>
        <v>0</v>
      </c>
      <c r="CY1141" s="64" t="n">
        <f aca="false">IF(CS1141="","",PERCENTRANK($CS$7:$CS$1843,CS1141)+PERCENTRANK($CU$7:$CU$1843,CU1141)+1-PERCENTRANK($CT$7:$CT$1843,CT1141))</f>
        <v>0.622</v>
      </c>
      <c r="CZ1141" s="72" t="n">
        <f aca="false">IF(CS1141="","",CHOOSE(MATCH(Einkauf!$C$5,Parameter!$G$23:$G$27,0),CY1141,CS1141,CU1141,-CT1141,CW1141)+ROW()/1000000000)</f>
        <v>0.622001141</v>
      </c>
    </row>
    <row r="1142" customFormat="false" ht="15" hidden="false" customHeight="false" outlineLevel="0" collapsed="false">
      <c r="A1142" s="60" t="s">
        <v>2107</v>
      </c>
      <c r="B1142" s="60" t="s">
        <v>2108</v>
      </c>
      <c r="C1142" s="60" t="s">
        <v>206</v>
      </c>
      <c r="D1142" s="60" t="s">
        <v>226</v>
      </c>
      <c r="E1142" s="60" t="s">
        <v>227</v>
      </c>
      <c r="F1142" s="60" t="s">
        <v>260</v>
      </c>
      <c r="G1142" s="61" t="n">
        <v>0.65</v>
      </c>
      <c r="H1142" s="62" t="n">
        <f aca="false">MAX(0,IF(AND(Parameter!$B$21="Ja",ISNUMBER(Y1142)),Y1142,IF(Parameter!$B$20="Jahresanfang 2025 + Export",BS1142+BR1142,BR1142)))</f>
        <v>118</v>
      </c>
      <c r="I1142" s="62" t="n">
        <f aca="false">H1142*G1142</f>
        <v>76.7</v>
      </c>
      <c r="J1142" s="62" t="n">
        <f aca="false">BU1142*Parameter!$B$18</f>
        <v>595</v>
      </c>
      <c r="K1142" s="63" t="n">
        <v>564</v>
      </c>
      <c r="L1142" s="64" t="n">
        <v>1.05496453900709</v>
      </c>
      <c r="M1142" s="62" t="n">
        <v>34</v>
      </c>
      <c r="N1142" s="62" t="n">
        <v>600</v>
      </c>
      <c r="O1142" s="65" t="n">
        <v>21</v>
      </c>
      <c r="P1142" s="60" t="s">
        <v>275</v>
      </c>
      <c r="Q1142" s="62" t="n">
        <v>197</v>
      </c>
      <c r="R1142" s="65" t="n">
        <f aca="false">IF(CA1142=1,0,IFERROR(VLOOKUP(BY1142,'Gebinde-Kategorie'!$A$5:$N$45,13,0)+0,0))</f>
        <v>26</v>
      </c>
      <c r="S1142" s="66"/>
      <c r="T1142" s="67"/>
      <c r="U1142" s="67"/>
      <c r="V1142" s="67"/>
      <c r="W1142" s="60"/>
      <c r="X1142" s="62"/>
      <c r="Y1142" s="62"/>
      <c r="Z1142" s="60" t="n">
        <v>3</v>
      </c>
      <c r="AA1142" s="60" t="n">
        <f aca="false">IF(A1142="","",IF(AND(Parameter!$B$21="Ja",ISNUMBER(W1142)),W1142,IF(AND(Parameter!$E$27="Ja",ISNUMBER(Z1142),CD1142&lt;&gt;"Nein"),Z1142,IF(CD1142="2+3",IF(ISNUMBER(SEARCH("grosser Artikel",BV1142)),2,IFERROR(VLOOKUP(BY1142,Parameter!$F$35:$G$64,2,0),2)),IF(OR(CD1142="Nein",CD1142=""),"-",CD1142)))))</f>
        <v>3</v>
      </c>
      <c r="AB1142" s="67"/>
      <c r="AC1142" s="68"/>
      <c r="AD1142" s="62" t="n">
        <f aca="false">AW1142</f>
        <v>634</v>
      </c>
      <c r="AE1142" s="62" t="n">
        <f aca="false">MAX(AW1142,H1142)</f>
        <v>634</v>
      </c>
      <c r="AF1142" s="69"/>
      <c r="AG1142" s="62" t="n">
        <f aca="false">IF(LEFT(Cockpit!$C$5,1)="A",H1142,IF(Parameter!$E$30="MAX-Bestand",IF(CI1142=1,CJ1142,IF(LEFT(Cockpit!$C$5,1)="B",AM1142,MAX(AM1142,H1142))),ROUNDUP(AK1142,0)))</f>
        <v>118</v>
      </c>
      <c r="AH1142" s="62" t="n">
        <f aca="false">IF(CA1142=1,0,ROUNDUP(AG1142/BZ1142,0))</f>
        <v>1</v>
      </c>
      <c r="AI1142" s="64" t="n">
        <f aca="false">IF(CR1142&gt;0,CR1142*MAX(1,AG1142/X1142),IF(CA1142=1,IF(AG1142&lt;=0,0,CE1142*MAX(1,IF(H1142&gt;0,AG1142/H1142,1))),IF(R1142&gt;0,AH1142/R1142,0))/MAX(0.1,N(Parameter!$M$21)))</f>
        <v>0.0384615384615385</v>
      </c>
      <c r="AJ1142" s="62" t="n">
        <f aca="false">AI1142*CC1142</f>
        <v>9.42307692307692</v>
      </c>
      <c r="AK1142" s="63" t="n">
        <f aca="false">IF(LEFT(Cockpit!$C$5,1)="A",H1142,IF(CI1142=1,(CL1142+CJ1142)/2,IF(LEFT(Cockpit!$C$5,1)="B",(CL1142+AM1142)/2,MAX((CL1142+AM1142)/2,H1142))))</f>
        <v>118</v>
      </c>
      <c r="AL1142" s="62" t="n">
        <f aca="false">AK1142*G1142</f>
        <v>76.7</v>
      </c>
      <c r="AM1142" s="62" t="n">
        <f aca="false">ROUNDUP(CL1142+MAX(CM1142,2*(J1142/IF(CH1142&gt;0,CH1142,MAX(0.1,N(Cockpit!$C$6)))-CL1142)),0)</f>
        <v>634</v>
      </c>
      <c r="AN1142" s="63" t="n">
        <f aca="false">IF(AJ1142&gt;0,J1142/AJ1142,-1)</f>
        <v>63.1428571428571</v>
      </c>
      <c r="AO1142" s="63" t="n">
        <f aca="false">IF(AND(OR(CG1142="L1",CG1142="L23",CG1142="LIFT"),AJ1142&gt;0),SUMIFS($AJ$7:$AJ$1843,$CG$7:$CG$1843,CG1142,$AN$7:$AN$1843,"&gt;"&amp;AN1142)+SUMIFS($AJ$7:$AJ$1843,$CG$7:$CG$1843,CG1142,$AN$7:$AN$1843,AN1142,$BX$7:$BX$1843,"&lt;="&amp;BX1142),"")</f>
        <v>961.583791208791</v>
      </c>
      <c r="AP1142" s="70" t="n">
        <f aca="false">IF(AO1142="",0,MAX(0,MIN(1,(IF(CG1142="L1",Parameter!$H$5,IF(CG1142="L23",Parameter!$H$6+Parameter!$H$7,Parameter!$H$5+Parameter!$H$6+Parameter!$H$7))-(AO1142-AJ1142))/AJ1142)))</f>
        <v>1</v>
      </c>
      <c r="AQ1142" s="62" t="n">
        <f aca="false">IF(LEFT(Cockpit!$I$5,1)="A",H1142,IF(Parameter!$E$30="MAX-Bestand",IF(CI1142=1,CJ1142,IF(LEFT(Cockpit!$I$5,1)="B",AW1142,MAX(AW1142,H1142))),ROUNDUP(AU1142,0)))</f>
        <v>334</v>
      </c>
      <c r="AR1142" s="62" t="n">
        <f aca="false">IF(CA1142=1,0,ROUNDUP(AQ1142/BZ1142,0))</f>
        <v>2</v>
      </c>
      <c r="AS1142" s="64" t="n">
        <f aca="false">IF(CR1142&gt;0,CR1142*MAX(1,AQ1142/X1142),IF(CA1142=1,IF(AQ1142&lt;=0,0,CE1142*MAX(1,IF(H1142&gt;0,AQ1142/H1142,1))),IF(R1142&gt;0,AR1142/R1142,0))/MAX(0.1,N(Parameter!$M$21)))</f>
        <v>0.0769230769230769</v>
      </c>
      <c r="AT1142" s="62" t="n">
        <f aca="false">AS1142*CC1142</f>
        <v>18.8461538461538</v>
      </c>
      <c r="AU1142" s="63" t="n">
        <f aca="false">IF(LEFT(Cockpit!$I$5,1)="A",H1142,IF(CI1142=1,(CL1142+CJ1142)/2,IF(LEFT(Cockpit!$I$5,1)="B",(CL1142+AW1142)/2,MAX((CL1142+AW1142)/2,H1142))))</f>
        <v>334</v>
      </c>
      <c r="AV1142" s="62" t="n">
        <f aca="false">AU1142*G1142</f>
        <v>217.1</v>
      </c>
      <c r="AW1142" s="62" t="n">
        <f aca="false">ROUNDUP(CL1142+MAX(CM1142,2*(J1142/IF(CH1142&gt;0,CH1142,MAX(0.1,N(Cockpit!$I$6)))-CL1142)),0)</f>
        <v>634</v>
      </c>
      <c r="AX1142" s="63" t="n">
        <f aca="false">IF(AT1142&gt;0,J1142/AT1142,-1)</f>
        <v>31.5714285714286</v>
      </c>
      <c r="AY1142" s="63" t="n">
        <f aca="false">IF(AND(OR(CG1142="L1",CG1142="L23",CG1142="LIFT"),AT1142&gt;0),SUMIFS($AT$7:$AT$1843,$CG$7:$CG$1843,CG1142,$AX$7:$AX$1843,"&gt;"&amp;AX1142)+SUMIFS($AT$7:$AT$1843,$CG$7:$CG$1843,CG1142,$AX$7:$AX$1843,AX1142,$BX$7:$BX$1843,"&lt;="&amp;BX1142),"")</f>
        <v>1791.1369047619</v>
      </c>
      <c r="AZ1142" s="70" t="n">
        <f aca="false">IF(AY1142="",0,MAX(0,MIN(1,(IF(CG1142="L1",Parameter!$H$5,IF(CG1142="L23",Parameter!$H$6+Parameter!$H$7,Parameter!$H$5+Parameter!$H$6+Parameter!$H$7))-(AY1142-AT1142))/AT1142)))</f>
        <v>1</v>
      </c>
      <c r="BA1142" s="62" t="n">
        <f aca="false">IF(LEFT(Cockpit!$O$5,1)="A",H1142,IF(Parameter!$E$30="MAX-Bestand",IF(CI1142=1,CJ1142,IF(LEFT(Cockpit!$O$5,1)="B",BG1142,MAX(BG1142,H1142))),ROUNDUP(BE1142,0)))</f>
        <v>334</v>
      </c>
      <c r="BB1142" s="62" t="n">
        <f aca="false">IF(CA1142=1,0,ROUNDUP(BA1142/BZ1142,0))</f>
        <v>2</v>
      </c>
      <c r="BC1142" s="64" t="n">
        <f aca="false">IF(CR1142&gt;0,CR1142*MAX(1,BA1142/X1142),IF(CA1142=1,IF(BA1142&lt;=0,0,CE1142*MAX(1,IF(H1142&gt;0,BA1142/H1142,1))),IF(R1142&gt;0,BB1142/R1142,0))/MAX(0.1,N(Parameter!$M$21)))</f>
        <v>0.0769230769230769</v>
      </c>
      <c r="BD1142" s="62" t="n">
        <f aca="false">BC1142*CC1142</f>
        <v>18.8461538461538</v>
      </c>
      <c r="BE1142" s="63" t="n">
        <f aca="false">IF(LEFT(Cockpit!$O$5,1)="A",H1142,IF(CI1142=1,(CL1142+CJ1142)/2,IF(LEFT(Cockpit!$O$5,1)="B",(CL1142+BG1142)/2,MAX((CL1142+BG1142)/2,H1142))))</f>
        <v>334</v>
      </c>
      <c r="BF1142" s="62" t="n">
        <f aca="false">BE1142*G1142</f>
        <v>217.1</v>
      </c>
      <c r="BG1142" s="62" t="n">
        <f aca="false">ROUNDUP(CL1142+MAX(CM1142,2*(J1142/IF(CH1142&gt;0,CH1142,MAX(0.1,N(Cockpit!$O$6)))-CL1142)),0)</f>
        <v>634</v>
      </c>
      <c r="BH1142" s="63" t="n">
        <f aca="false">IF(BD1142&gt;0,J1142/BD1142,-1)</f>
        <v>31.5714285714286</v>
      </c>
      <c r="BI1142" s="63" t="n">
        <f aca="false">IF(AND(OR(CG1142="L1",CG1142="L23",CG1142="LIFT"),BD1142&gt;0),SUMIFS($BD$7:$BD$1843,$CG$7:$CG$1843,CG1142,$BH$7:$BH$1843,"&gt;"&amp;BH1142)+SUMIFS($BD$7:$BD$1843,$CG$7:$CG$1843,CG1142,$BH$7:$BH$1843,BH1142,$BX$7:$BX$1843,"&lt;="&amp;BX1142),"")</f>
        <v>1728.59844322344</v>
      </c>
      <c r="BJ1142" s="70" t="n">
        <f aca="false">IF(BI1142="",0,MAX(0,MIN(1,(IF(CG1142="L1",Parameter!$H$5,IF(CG1142="L23",Parameter!$H$6+Parameter!$H$7,Parameter!$H$5+Parameter!$H$6+Parameter!$H$7))-(BI1142-BD1142))/BD1142)))</f>
        <v>1</v>
      </c>
      <c r="BK1142" s="60" t="str">
        <f aca="false">IF(AJ1142&lt;=0,"",IF(CG1142="Aussen","Aussenlager",IF(CG1142="-","Nicht im Lift",IF(AP1142&gt;=1,"Lift",IF(AP1142&lt;=0,"Aussenlager","teilweise")))))</f>
        <v>Lift</v>
      </c>
      <c r="BL1142" s="60" t="str">
        <f aca="false">IF(AT1142&lt;=0,"",IF(CG1142="Aussen","Aussenlager",IF(CG1142="-","Nicht im Lift",IF(AZ1142&gt;=1,"Lift",IF(AZ1142&lt;=0,"Aussenlager","teilweise")))))</f>
        <v>Lift</v>
      </c>
      <c r="BM1142" s="60" t="str">
        <f aca="false">IF(BD1142&lt;=0,"",IF(CG1142="Aussen","Aussenlager",IF(CG1142="-","Nicht im Lift",IF(BJ1142&gt;=1,"Lift",IF(BJ1142&lt;=0,"Aussenlager","teilweise")))))</f>
        <v>Lift</v>
      </c>
      <c r="BN1142" s="60" t="str">
        <f aca="false">IF(A1142="","",IF(BW1142=1,"Neu; ","")&amp;IF(AND(BW1142=0,BR1142&lt;0),"negativer Bestand (Export "&amp;BR1142&amp;"); ","")&amp;IF(J1142&lt;=0,"Kein Verbrauch; ","")&amp;IF(CR1142&gt;0,"Lift "&amp;W1142&amp;" lt. Liftbericht (Fach "&amp;X1142&amp;" Stk); ",IF(CB1142=1,"Gebinde geschätzt ("&amp;T1142&amp;"); ",IF(CA1142=1,"Lose – Tablare geschätzt; ","")))&amp;IF(H1142&gt;AW1142,"Überbestand "&amp;ROUND(H1142-AW1142,0)&amp;" Stk / CHF "&amp;ROUND((H1142-AW1142)*G1142,0)&amp;"; ","")&amp;IF(AND(CI1142=1,CJ1142&lt;CK1142),"MAX &lt; MB+LG; ","")&amp;IF(AND(CQ1142&gt;0,CP1142*10&gt;CQ1142),"zu hoch für Tablar; ","")&amp;IF(AND(BW1142=0,OR(CI1142=1,AB1142&lt;&gt;"",U1142&lt;&gt;"",V1142&lt;&gt;"",AC1142&lt;&gt;"")),"manuell übersteuert; ","")&amp;IF(AND(CA1142=0,R1142=0),"Gebinde unbekannt / Stellmass fehlt; ","")&amp;IF(AND(CA1142=0,N(V1142)&lt;=0,N(Q1142)&lt;=0),"Menge pro Gebinde fehlt (Ist = 1 Gebinde); ","")&amp;BV1142)</f>
        <v>negativer Bestand (Export -453); </v>
      </c>
      <c r="BO1142" s="60"/>
      <c r="BP1142" s="60"/>
      <c r="BQ1142" s="67"/>
      <c r="BR1142" s="62" t="n">
        <v>-453</v>
      </c>
      <c r="BS1142" s="62" t="n">
        <v>571</v>
      </c>
      <c r="BT1142" s="61" t="n">
        <v>-288.819999999999</v>
      </c>
      <c r="BU1142" s="62" t="n">
        <v>595</v>
      </c>
      <c r="BV1142" s="60"/>
      <c r="BW1142" s="65" t="n">
        <v>0</v>
      </c>
      <c r="BX1142" s="65" t="n">
        <v>1142</v>
      </c>
      <c r="BY1142" s="60" t="str">
        <f aca="false">IF(U1142&lt;&gt;"",UPPER(TRIM(U1142)),IF(CB1142=1,UPPER(VLOOKUP(T1142,Parameter!$I$27:$K$29,2,0)),IF(P1142="","LOSE",P1142)))</f>
        <v>S52</v>
      </c>
      <c r="BZ1142" s="62" t="n">
        <f aca="false">IF(BY1142="LOSE",1,IF(N(V1142)&gt;0,V1142,IF(CB1142=1,MAX(1,N(VLOOKUP(T1142,Parameter!$I$27:$K$29,3,0)),H1142,N(N1142)),IF(N(Q1142)&gt;0,Q1142,MAX(1,H1142)))))</f>
        <v>197</v>
      </c>
      <c r="CA1142" s="65" t="n">
        <f aca="false">IF(BY1142="LOSE",1,0)</f>
        <v>0</v>
      </c>
      <c r="CB1142" s="65" t="n">
        <f aca="false">IF(AND(U1142="",OR(P1142="",P1142="LOSE"),T1142&lt;&gt;"",N(S1142)&lt;=0,ISNUMBER(MATCH(T1142,Parameter!$I$27:$I$29,0))),1,0)</f>
        <v>0</v>
      </c>
      <c r="CC1142" s="65" t="n">
        <f aca="false">IF(CR1142&gt;0,INDEX(Parameter!$H$5:$H$7,W1142)/INDEX(Parameter!$E$5:$E$7,W1142),IF(AND(CA1142=0,N(IFERROR(VLOOKUP(BY1142,'Gebinde-Kategorie'!$A$5:$N$45,14,0),0))&gt;0),VLOOKUP(BY1142,'Gebinde-Kategorie'!$A$5:$N$45,14,0)*10+Parameter!$M$23,Parameter!$M$24))</f>
        <v>245</v>
      </c>
      <c r="CD1142" s="60" t="str">
        <f aca="false">IF(AND(Parameter!$B$19="Ja",E1142&lt;&gt;"",ISNUMBER(MATCH(E1142,Parameter!$I$35:$I$52,0))),VLOOKUP(E1142,Parameter!$I$35:$J$52,2,0),IFERROR(VLOOKUP(D1142,Parameter!$A$35:$C$64,2,0),"Nein"))</f>
        <v>2+3</v>
      </c>
      <c r="CE1142" s="64" t="n">
        <f aca="false">IF(CA1142=0,0,IF(N(S1142)&gt;0,S1142,IFERROR(VLOOKUP(D1142,Parameter!$A$35:$C$64,3,0)+0,0)))</f>
        <v>0</v>
      </c>
      <c r="CF1142" s="60" t="n">
        <f aca="false">IF(AB1142&lt;&gt;"",AB1142,AA1142)</f>
        <v>3</v>
      </c>
      <c r="CG1142" s="60" t="str">
        <f aca="false">IF(OR(CF1142=1,CF1142=2,CF1142=3),IF(Parameter!$E$27="Ja","LIFT",IF(CF1142=1,"L1","L23")),IF(CF1142="Aussen","Aussen","-"))</f>
        <v>LIFT</v>
      </c>
      <c r="CH1142" s="71" t="n">
        <f aca="false">IF(N(AC1142)&gt;0,AC1142,0)</f>
        <v>0</v>
      </c>
      <c r="CI1142" s="65" t="n">
        <f aca="false">IF(ISNUMBER(AF1142),1,0)</f>
        <v>0</v>
      </c>
      <c r="CJ1142" s="62" t="n">
        <f aca="false">N(AF1142)</f>
        <v>0</v>
      </c>
      <c r="CK1142" s="62" t="n">
        <f aca="false">N(M1142)+N(N1142)</f>
        <v>634</v>
      </c>
      <c r="CL1142" s="62" t="n">
        <f aca="false">N(M1142)</f>
        <v>34</v>
      </c>
      <c r="CM1142" s="62" t="n">
        <f aca="false">N(N1142)</f>
        <v>600</v>
      </c>
      <c r="CN1142" s="62" t="n">
        <f aca="false">ROUNDUP(H1142/BZ1142,0)</f>
        <v>1</v>
      </c>
      <c r="CO1142" s="62" t="n">
        <f aca="false">ROUNDUP(CJ1142/BZ1142,0)</f>
        <v>0</v>
      </c>
      <c r="CP1142" s="65" t="n">
        <f aca="false">IF(CA1142=1,0,IFERROR(VLOOKUP(BY1142,'Gebinde-Kategorie'!$A$5:$N$45,5,0)+0,0))</f>
        <v>21</v>
      </c>
      <c r="CQ1142" s="65" t="n">
        <f aca="false">IFERROR(IF(OR(CF1142=1,CF1142=2,CF1142=3),N(INDEX(Parameter!$I$5:$I$7,CF1142)),0),0)</f>
        <v>0</v>
      </c>
      <c r="CR1142" s="64" t="n">
        <f aca="false">IF(AND(Parameter!$B$21="Ja",ISNUMBER(W1142),N(X1142)&gt;0),IFERROR(N(INDEX(Parameter!$L$5:$L$7,W1142))*INDEX(Parameter!$E$5:$E$7,W1142)*X1142/SUMIFS($X$7:$X$1843,$W$7:$W$1843,W1142),0),0)</f>
        <v>0</v>
      </c>
      <c r="CS1142" s="62" t="n">
        <f aca="false">IF(AND(OR(CG1142="L1",CG1142="L23",CG1142="LIFT"),H1142&gt;0),CC1142*IF(CR1142&gt;0,CR1142*MAX(1,H1142/X1142),IF(CA1142=1,CE1142,IF(R1142&gt;0,CN1142/R1142,0))/MAX(0.1,N(Parameter!$M$21))),"")</f>
        <v>9.42307692307692</v>
      </c>
      <c r="CT1142" s="64" t="n">
        <f aca="false">IF(CS1142="","",J1142/H1142)</f>
        <v>5.04237288135593</v>
      </c>
      <c r="CU1142" s="62" t="n">
        <f aca="false">IF(CS1142="","",H1142*G1142)</f>
        <v>76.7</v>
      </c>
      <c r="CV1142" s="63" t="n">
        <f aca="false">IF(CS1142="","",(CL1142+ROUNDUP(CL1142+MAX(CM1142,2*(J1142/MAX(0.1,N(Einkauf!$C$6))-CL1142)),0))/2)</f>
        <v>334</v>
      </c>
      <c r="CW1142" s="62" t="n">
        <f aca="false">IF(CS1142="","",MAX(0,H1142-CV1142)*G1142)</f>
        <v>0</v>
      </c>
      <c r="CX1142" s="62" t="n">
        <f aca="false">IF(CS1142="","",CS1142*MAX(0,1-CV1142/H1142))</f>
        <v>0</v>
      </c>
      <c r="CY1142" s="64" t="n">
        <f aca="false">IF(CS1142="","",PERCENTRANK($CS$7:$CS$1843,CS1142)+PERCENTRANK($CU$7:$CU$1843,CU1142)+1-PERCENTRANK($CT$7:$CT$1843,CT1142))</f>
        <v>0.81</v>
      </c>
      <c r="CZ1142" s="72" t="n">
        <f aca="false">IF(CS1142="","",CHOOSE(MATCH(Einkauf!$C$5,Parameter!$G$23:$G$27,0),CY1142,CS1142,CU1142,-CT1142,CW1142)+ROW()/1000000000)</f>
        <v>0.810001142</v>
      </c>
    </row>
    <row r="1143" customFormat="false" ht="15" hidden="false" customHeight="false" outlineLevel="0" collapsed="false">
      <c r="A1143" s="60" t="s">
        <v>2109</v>
      </c>
      <c r="B1143" s="60" t="s">
        <v>2001</v>
      </c>
      <c r="C1143" s="60" t="s">
        <v>206</v>
      </c>
      <c r="D1143" s="60" t="s">
        <v>215</v>
      </c>
      <c r="E1143" s="60"/>
      <c r="F1143" s="60" t="s">
        <v>260</v>
      </c>
      <c r="G1143" s="61" t="n">
        <v>288.93</v>
      </c>
      <c r="H1143" s="62" t="n">
        <f aca="false">MAX(0,IF(AND(Parameter!$B$21="Ja",ISNUMBER(Y1143)),Y1143,IF(Parameter!$B$20="Jahresanfang 2025 + Export",BS1143+BR1143,BR1143)))</f>
        <v>13</v>
      </c>
      <c r="I1143" s="62" t="n">
        <f aca="false">H1143*G1143</f>
        <v>3756.09</v>
      </c>
      <c r="J1143" s="62" t="n">
        <f aca="false">BU1143*Parameter!$B$18</f>
        <v>0</v>
      </c>
      <c r="K1143" s="63" t="n">
        <v>13.5</v>
      </c>
      <c r="L1143" s="64" t="n">
        <v>0</v>
      </c>
      <c r="M1143" s="62" t="n">
        <v>0</v>
      </c>
      <c r="N1143" s="62" t="n">
        <v>1</v>
      </c>
      <c r="O1143" s="65" t="n">
        <v>84</v>
      </c>
      <c r="P1143" s="60" t="s">
        <v>216</v>
      </c>
      <c r="Q1143" s="62" t="n">
        <v>15</v>
      </c>
      <c r="R1143" s="65" t="n">
        <f aca="false">IF(CA1143=1,0,IFERROR(VLOOKUP(BY1143,'Gebinde-Kategorie'!$A$5:$N$45,13,0)+0,0))</f>
        <v>6</v>
      </c>
      <c r="S1143" s="66"/>
      <c r="T1143" s="67"/>
      <c r="U1143" s="67"/>
      <c r="V1143" s="67"/>
      <c r="W1143" s="60"/>
      <c r="X1143" s="62"/>
      <c r="Y1143" s="62"/>
      <c r="Z1143" s="60" t="n">
        <v>1</v>
      </c>
      <c r="AA1143" s="60" t="n">
        <f aca="false">IF(A1143="","",IF(AND(Parameter!$B$21="Ja",ISNUMBER(W1143)),W1143,IF(AND(Parameter!$E$27="Ja",ISNUMBER(Z1143),CD1143&lt;&gt;"Nein"),Z1143,IF(CD1143="2+3",IF(ISNUMBER(SEARCH("grosser Artikel",BV1143)),2,IFERROR(VLOOKUP(BY1143,Parameter!$F$35:$G$64,2,0),2)),IF(OR(CD1143="Nein",CD1143=""),"-",CD1143)))))</f>
        <v>1</v>
      </c>
      <c r="AB1143" s="67"/>
      <c r="AC1143" s="68"/>
      <c r="AD1143" s="62" t="n">
        <f aca="false">AW1143</f>
        <v>1</v>
      </c>
      <c r="AE1143" s="62" t="n">
        <f aca="false">MAX(AW1143,H1143)</f>
        <v>13</v>
      </c>
      <c r="AF1143" s="69"/>
      <c r="AG1143" s="62" t="n">
        <f aca="false">IF(LEFT(Cockpit!$C$5,1)="A",H1143,IF(Parameter!$E$30="MAX-Bestand",IF(CI1143=1,CJ1143,IF(LEFT(Cockpit!$C$5,1)="B",AM1143,MAX(AM1143,H1143))),ROUNDUP(AK1143,0)))</f>
        <v>13</v>
      </c>
      <c r="AH1143" s="62" t="n">
        <f aca="false">IF(CA1143=1,0,ROUNDUP(AG1143/BZ1143,0))</f>
        <v>1</v>
      </c>
      <c r="AI1143" s="64" t="n">
        <f aca="false">IF(CR1143&gt;0,CR1143*MAX(1,AG1143/X1143),IF(CA1143=1,IF(AG1143&lt;=0,0,CE1143*MAX(1,IF(H1143&gt;0,AG1143/H1143,1))),IF(R1143&gt;0,AH1143/R1143,0))/MAX(0.1,N(Parameter!$M$21)))</f>
        <v>0.166666666666667</v>
      </c>
      <c r="AJ1143" s="62" t="n">
        <f aca="false">AI1143*CC1143</f>
        <v>39.1666666666667</v>
      </c>
      <c r="AK1143" s="63" t="n">
        <f aca="false">IF(LEFT(Cockpit!$C$5,1)="A",H1143,IF(CI1143=1,(CL1143+CJ1143)/2,IF(LEFT(Cockpit!$C$5,1)="B",(CL1143+AM1143)/2,MAX((CL1143+AM1143)/2,H1143))))</f>
        <v>13</v>
      </c>
      <c r="AL1143" s="62" t="n">
        <f aca="false">AK1143*G1143</f>
        <v>3756.09</v>
      </c>
      <c r="AM1143" s="62" t="n">
        <f aca="false">ROUNDUP(CL1143+MAX(CM1143,2*(J1143/IF(CH1143&gt;0,CH1143,MAX(0.1,N(Cockpit!$C$6)))-CL1143)),0)</f>
        <v>1</v>
      </c>
      <c r="AN1143" s="63" t="n">
        <f aca="false">IF(AJ1143&gt;0,J1143/AJ1143,-1)</f>
        <v>0</v>
      </c>
      <c r="AO1143" s="63" t="n">
        <f aca="false">IF(AND(OR(CG1143="L1",CG1143="L23",CG1143="LIFT"),AJ1143&gt;0),SUMIFS($AJ$7:$AJ$1843,$CG$7:$CG$1843,CG1143,$AN$7:$AN$1843,"&gt;"&amp;AN1143)+SUMIFS($AJ$7:$AJ$1843,$CG$7:$CG$1843,CG1143,$AN$7:$AN$1843,AN1143,$BX$7:$BX$1843,"&lt;="&amp;BX1143),"")</f>
        <v>29285.4891791354</v>
      </c>
      <c r="AP1143" s="70" t="n">
        <f aca="false">IF(AO1143="",0,MAX(0,MIN(1,(IF(CG1143="L1",Parameter!$H$5,IF(CG1143="L23",Parameter!$H$6+Parameter!$H$7,Parameter!$H$5+Parameter!$H$6+Parameter!$H$7))-(AO1143-AJ1143))/AJ1143)))</f>
        <v>1</v>
      </c>
      <c r="AQ1143" s="62" t="n">
        <f aca="false">IF(LEFT(Cockpit!$I$5,1)="A",H1143,IF(Parameter!$E$30="MAX-Bestand",IF(CI1143=1,CJ1143,IF(LEFT(Cockpit!$I$5,1)="B",AW1143,MAX(AW1143,H1143))),ROUNDUP(AU1143,0)))</f>
        <v>13</v>
      </c>
      <c r="AR1143" s="62" t="n">
        <f aca="false">IF(CA1143=1,0,ROUNDUP(AQ1143/BZ1143,0))</f>
        <v>1</v>
      </c>
      <c r="AS1143" s="64" t="n">
        <f aca="false">IF(CR1143&gt;0,CR1143*MAX(1,AQ1143/X1143),IF(CA1143=1,IF(AQ1143&lt;=0,0,CE1143*MAX(1,IF(H1143&gt;0,AQ1143/H1143,1))),IF(R1143&gt;0,AR1143/R1143,0))/MAX(0.1,N(Parameter!$M$21)))</f>
        <v>0.166666666666667</v>
      </c>
      <c r="AT1143" s="62" t="n">
        <f aca="false">AS1143*CC1143</f>
        <v>39.1666666666667</v>
      </c>
      <c r="AU1143" s="63" t="n">
        <f aca="false">IF(LEFT(Cockpit!$I$5,1)="A",H1143,IF(CI1143=1,(CL1143+CJ1143)/2,IF(LEFT(Cockpit!$I$5,1)="B",(CL1143+AW1143)/2,MAX((CL1143+AW1143)/2,H1143))))</f>
        <v>13</v>
      </c>
      <c r="AV1143" s="62" t="n">
        <f aca="false">AU1143*G1143</f>
        <v>3756.09</v>
      </c>
      <c r="AW1143" s="62" t="n">
        <f aca="false">ROUNDUP(CL1143+MAX(CM1143,2*(J1143/IF(CH1143&gt;0,CH1143,MAX(0.1,N(Cockpit!$I$6)))-CL1143)),0)</f>
        <v>1</v>
      </c>
      <c r="AX1143" s="63" t="n">
        <f aca="false">IF(AT1143&gt;0,J1143/AT1143,-1)</f>
        <v>0</v>
      </c>
      <c r="AY1143" s="63" t="n">
        <f aca="false">IF(AND(OR(CG1143="L1",CG1143="L23",CG1143="LIFT"),AT1143&gt;0),SUMIFS($AT$7:$AT$1843,$CG$7:$CG$1843,CG1143,$AX$7:$AX$1843,"&gt;"&amp;AX1143)+SUMIFS($AT$7:$AT$1843,$CG$7:$CG$1843,CG1143,$AX$7:$AX$1843,AX1143,$BX$7:$BX$1843,"&lt;="&amp;BX1143),"")</f>
        <v>35070.4574175824</v>
      </c>
      <c r="AZ1143" s="70" t="n">
        <f aca="false">IF(AY1143="",0,MAX(0,MIN(1,(IF(CG1143="L1",Parameter!$H$5,IF(CG1143="L23",Parameter!$H$6+Parameter!$H$7,Parameter!$H$5+Parameter!$H$6+Parameter!$H$7))-(AY1143-AT1143))/AT1143)))</f>
        <v>1</v>
      </c>
      <c r="BA1143" s="62" t="n">
        <f aca="false">IF(LEFT(Cockpit!$O$5,1)="A",H1143,IF(Parameter!$E$30="MAX-Bestand",IF(CI1143=1,CJ1143,IF(LEFT(Cockpit!$O$5,1)="B",BG1143,MAX(BG1143,H1143))),ROUNDUP(BE1143,0)))</f>
        <v>1</v>
      </c>
      <c r="BB1143" s="62" t="n">
        <f aca="false">IF(CA1143=1,0,ROUNDUP(BA1143/BZ1143,0))</f>
        <v>1</v>
      </c>
      <c r="BC1143" s="64" t="n">
        <f aca="false">IF(CR1143&gt;0,CR1143*MAX(1,BA1143/X1143),IF(CA1143=1,IF(BA1143&lt;=0,0,CE1143*MAX(1,IF(H1143&gt;0,BA1143/H1143,1))),IF(R1143&gt;0,BB1143/R1143,0))/MAX(0.1,N(Parameter!$M$21)))</f>
        <v>0.166666666666667</v>
      </c>
      <c r="BD1143" s="62" t="n">
        <f aca="false">BC1143*CC1143</f>
        <v>39.1666666666667</v>
      </c>
      <c r="BE1143" s="63" t="n">
        <f aca="false">IF(LEFT(Cockpit!$O$5,1)="A",H1143,IF(CI1143=1,(CL1143+CJ1143)/2,IF(LEFT(Cockpit!$O$5,1)="B",(CL1143+BG1143)/2,MAX((CL1143+BG1143)/2,H1143))))</f>
        <v>0.5</v>
      </c>
      <c r="BF1143" s="62" t="n">
        <f aca="false">BE1143*G1143</f>
        <v>144.465</v>
      </c>
      <c r="BG1143" s="62" t="n">
        <f aca="false">ROUNDUP(CL1143+MAX(CM1143,2*(J1143/IF(CH1143&gt;0,CH1143,MAX(0.1,N(Cockpit!$O$6)))-CL1143)),0)</f>
        <v>1</v>
      </c>
      <c r="BH1143" s="63" t="n">
        <f aca="false">IF(BD1143&gt;0,J1143/BD1143,-1)</f>
        <v>0</v>
      </c>
      <c r="BI1143" s="63" t="n">
        <f aca="false">IF(AND(OR(CG1143="L1",CG1143="L23",CG1143="LIFT"),BD1143&gt;0),SUMIFS($BD$7:$BD$1843,$CG$7:$CG$1843,CG1143,$BH$7:$BH$1843,"&gt;"&amp;BH1143)+SUMIFS($BD$7:$BD$1843,$CG$7:$CG$1843,CG1143,$BH$7:$BH$1843,BH1143,$BX$7:$BX$1843,"&lt;="&amp;BX1143),"")</f>
        <v>29055.7640777302</v>
      </c>
      <c r="BJ1143" s="70" t="n">
        <f aca="false">IF(BI1143="",0,MAX(0,MIN(1,(IF(CG1143="L1",Parameter!$H$5,IF(CG1143="L23",Parameter!$H$6+Parameter!$H$7,Parameter!$H$5+Parameter!$H$6+Parameter!$H$7))-(BI1143-BD1143))/BD1143)))</f>
        <v>1</v>
      </c>
      <c r="BK1143" s="60" t="str">
        <f aca="false">IF(AJ1143&lt;=0,"",IF(CG1143="Aussen","Aussenlager",IF(CG1143="-","Nicht im Lift",IF(AP1143&gt;=1,"Lift",IF(AP1143&lt;=0,"Aussenlager","teilweise")))))</f>
        <v>Lift</v>
      </c>
      <c r="BL1143" s="60" t="str">
        <f aca="false">IF(AT1143&lt;=0,"",IF(CG1143="Aussen","Aussenlager",IF(CG1143="-","Nicht im Lift",IF(AZ1143&gt;=1,"Lift",IF(AZ1143&lt;=0,"Aussenlager","teilweise")))))</f>
        <v>Lift</v>
      </c>
      <c r="BM1143" s="60" t="str">
        <f aca="false">IF(BD1143&lt;=0,"",IF(CG1143="Aussen","Aussenlager",IF(CG1143="-","Nicht im Lift",IF(BJ1143&gt;=1,"Lift",IF(BJ1143&lt;=0,"Aussenlager","teilweise")))))</f>
        <v>Lift</v>
      </c>
      <c r="BN1143" s="60" t="str">
        <f aca="false">IF(A1143="","",IF(BW1143=1,"Neu; ","")&amp;IF(AND(BW1143=0,BR1143&lt;0),"negativer Bestand (Export "&amp;BR1143&amp;"); ","")&amp;IF(J1143&lt;=0,"Kein Verbrauch; ","")&amp;IF(CR1143&gt;0,"Lift "&amp;W1143&amp;" lt. Liftbericht (Fach "&amp;X1143&amp;" Stk); ",IF(CB1143=1,"Gebinde geschätzt ("&amp;T1143&amp;"); ",IF(CA1143=1,"Lose – Tablare geschätzt; ","")))&amp;IF(H1143&gt;AW1143,"Überbestand "&amp;ROUND(H1143-AW1143,0)&amp;" Stk / CHF "&amp;ROUND((H1143-AW1143)*G1143,0)&amp;"; ","")&amp;IF(AND(CI1143=1,CJ1143&lt;CK1143),"MAX &lt; MB+LG; ","")&amp;IF(AND(CQ1143&gt;0,CP1143*10&gt;CQ1143),"zu hoch für Tablar; ","")&amp;IF(AND(BW1143=0,OR(CI1143=1,AB1143&lt;&gt;"",U1143&lt;&gt;"",V1143&lt;&gt;"",AC1143&lt;&gt;"")),"manuell übersteuert; ","")&amp;IF(AND(CA1143=0,R1143=0),"Gebinde unbekannt / Stellmass fehlt; ","")&amp;IF(AND(CA1143=0,N(V1143)&lt;=0,N(Q1143)&lt;=0),"Menge pro Gebinde fehlt (Ist = 1 Gebinde); ","")&amp;BV1143)</f>
        <v>negativer Bestand (Export -1); Kein Verbrauch; Überbestand 12 Stk / CHF 3467; Überbestand</v>
      </c>
      <c r="BO1143" s="60"/>
      <c r="BP1143" s="60"/>
      <c r="BQ1143" s="67"/>
      <c r="BR1143" s="62" t="n">
        <v>-1</v>
      </c>
      <c r="BS1143" s="62" t="n">
        <v>14</v>
      </c>
      <c r="BT1143" s="61" t="n">
        <v>-288.93</v>
      </c>
      <c r="BU1143" s="62" t="n">
        <v>0</v>
      </c>
      <c r="BV1143" s="60" t="s">
        <v>434</v>
      </c>
      <c r="BW1143" s="65" t="n">
        <v>0</v>
      </c>
      <c r="BX1143" s="65" t="n">
        <v>1143</v>
      </c>
      <c r="BY1143" s="60" t="str">
        <f aca="false">IF(U1143&lt;&gt;"",UPPER(TRIM(U1143)),IF(CB1143=1,UPPER(VLOOKUP(T1143,Parameter!$I$27:$K$29,2,0)),IF(P1143="","LOSE",P1143)))</f>
        <v>S71</v>
      </c>
      <c r="BZ1143" s="62" t="n">
        <f aca="false">IF(BY1143="LOSE",1,IF(N(V1143)&gt;0,V1143,IF(CB1143=1,MAX(1,N(VLOOKUP(T1143,Parameter!$I$27:$K$29,3,0)),H1143,N(N1143)),IF(N(Q1143)&gt;0,Q1143,MAX(1,H1143)))))</f>
        <v>15</v>
      </c>
      <c r="CA1143" s="65" t="n">
        <f aca="false">IF(BY1143="LOSE",1,0)</f>
        <v>0</v>
      </c>
      <c r="CB1143" s="65" t="n">
        <f aca="false">IF(AND(U1143="",OR(P1143="",P1143="LOSE"),T1143&lt;&gt;"",N(S1143)&lt;=0,ISNUMBER(MATCH(T1143,Parameter!$I$27:$I$29,0))),1,0)</f>
        <v>0</v>
      </c>
      <c r="CC1143" s="65" t="n">
        <f aca="false">IF(CR1143&gt;0,INDEX(Parameter!$H$5:$H$7,W1143)/INDEX(Parameter!$E$5:$E$7,W1143),IF(AND(CA1143=0,N(IFERROR(VLOOKUP(BY1143,'Gebinde-Kategorie'!$A$5:$N$45,14,0),0))&gt;0),VLOOKUP(BY1143,'Gebinde-Kategorie'!$A$5:$N$45,14,0)*10+Parameter!$M$23,Parameter!$M$24))</f>
        <v>235</v>
      </c>
      <c r="CD1143" s="60" t="str">
        <f aca="false">IF(AND(Parameter!$B$19="Ja",E1143&lt;&gt;"",ISNUMBER(MATCH(E1143,Parameter!$I$35:$I$52,0))),VLOOKUP(E1143,Parameter!$I$35:$J$52,2,0),IFERROR(VLOOKUP(D1143,Parameter!$A$35:$C$64,2,0),"Nein"))</f>
        <v>2+3</v>
      </c>
      <c r="CE1143" s="64" t="n">
        <f aca="false">IF(CA1143=0,0,IF(N(S1143)&gt;0,S1143,IFERROR(VLOOKUP(D1143,Parameter!$A$35:$C$64,3,0)+0,0)))</f>
        <v>0</v>
      </c>
      <c r="CF1143" s="60" t="n">
        <f aca="false">IF(AB1143&lt;&gt;"",AB1143,AA1143)</f>
        <v>1</v>
      </c>
      <c r="CG1143" s="60" t="str">
        <f aca="false">IF(OR(CF1143=1,CF1143=2,CF1143=3),IF(Parameter!$E$27="Ja","LIFT",IF(CF1143=1,"L1","L23")),IF(CF1143="Aussen","Aussen","-"))</f>
        <v>LIFT</v>
      </c>
      <c r="CH1143" s="71" t="n">
        <f aca="false">IF(N(AC1143)&gt;0,AC1143,0)</f>
        <v>0</v>
      </c>
      <c r="CI1143" s="65" t="n">
        <f aca="false">IF(ISNUMBER(AF1143),1,0)</f>
        <v>0</v>
      </c>
      <c r="CJ1143" s="62" t="n">
        <f aca="false">N(AF1143)</f>
        <v>0</v>
      </c>
      <c r="CK1143" s="62" t="n">
        <f aca="false">N(M1143)+N(N1143)</f>
        <v>1</v>
      </c>
      <c r="CL1143" s="62" t="n">
        <f aca="false">N(M1143)</f>
        <v>0</v>
      </c>
      <c r="CM1143" s="62" t="n">
        <f aca="false">N(N1143)</f>
        <v>1</v>
      </c>
      <c r="CN1143" s="62" t="n">
        <f aca="false">ROUNDUP(H1143/BZ1143,0)</f>
        <v>1</v>
      </c>
      <c r="CO1143" s="62" t="n">
        <f aca="false">ROUNDUP(CJ1143/BZ1143,0)</f>
        <v>0</v>
      </c>
      <c r="CP1143" s="65" t="n">
        <f aca="false">IF(CA1143=1,0,IFERROR(VLOOKUP(BY1143,'Gebinde-Kategorie'!$A$5:$N$45,5,0)+0,0))</f>
        <v>20</v>
      </c>
      <c r="CQ1143" s="65" t="n">
        <f aca="false">IFERROR(IF(OR(CF1143=1,CF1143=2,CF1143=3),N(INDEX(Parameter!$I$5:$I$7,CF1143)),0),0)</f>
        <v>0</v>
      </c>
      <c r="CR1143" s="64" t="n">
        <f aca="false">IF(AND(Parameter!$B$21="Ja",ISNUMBER(W1143),N(X1143)&gt;0),IFERROR(N(INDEX(Parameter!$L$5:$L$7,W1143))*INDEX(Parameter!$E$5:$E$7,W1143)*X1143/SUMIFS($X$7:$X$1843,$W$7:$W$1843,W1143),0),0)</f>
        <v>0</v>
      </c>
      <c r="CS1143" s="62" t="n">
        <f aca="false">IF(AND(OR(CG1143="L1",CG1143="L23",CG1143="LIFT"),H1143&gt;0),CC1143*IF(CR1143&gt;0,CR1143*MAX(1,H1143/X1143),IF(CA1143=1,CE1143,IF(R1143&gt;0,CN1143/R1143,0))/MAX(0.1,N(Parameter!$M$21))),"")</f>
        <v>39.1666666666667</v>
      </c>
      <c r="CT1143" s="64" t="n">
        <f aca="false">IF(CS1143="","",J1143/H1143)</f>
        <v>0</v>
      </c>
      <c r="CU1143" s="62" t="n">
        <f aca="false">IF(CS1143="","",H1143*G1143)</f>
        <v>3756.09</v>
      </c>
      <c r="CV1143" s="63" t="n">
        <f aca="false">IF(CS1143="","",(CL1143+ROUNDUP(CL1143+MAX(CM1143,2*(J1143/MAX(0.1,N(Einkauf!$C$6))-CL1143)),0))/2)</f>
        <v>0.5</v>
      </c>
      <c r="CW1143" s="62" t="n">
        <f aca="false">IF(CS1143="","",MAX(0,H1143-CV1143)*G1143)</f>
        <v>3611.625</v>
      </c>
      <c r="CX1143" s="62" t="n">
        <f aca="false">IF(CS1143="","",CS1143*MAX(0,1-CV1143/H1143))</f>
        <v>37.6602564102564</v>
      </c>
      <c r="CY1143" s="64" t="n">
        <f aca="false">IF(CS1143="","",PERCENTRANK($CS$7:$CS$1843,CS1143)+PERCENTRANK($CU$7:$CU$1843,CU1143)+1-PERCENTRANK($CT$7:$CT$1843,CT1143))</f>
        <v>2.728</v>
      </c>
      <c r="CZ1143" s="72" t="n">
        <f aca="false">IF(CS1143="","",CHOOSE(MATCH(Einkauf!$C$5,Parameter!$G$23:$G$27,0),CY1143,CS1143,CU1143,-CT1143,CW1143)+ROW()/1000000000)</f>
        <v>2.728001143</v>
      </c>
    </row>
    <row r="1144" customFormat="false" ht="15" hidden="false" customHeight="false" outlineLevel="0" collapsed="false">
      <c r="A1144" s="60" t="s">
        <v>2110</v>
      </c>
      <c r="B1144" s="60" t="s">
        <v>601</v>
      </c>
      <c r="C1144" s="60" t="s">
        <v>206</v>
      </c>
      <c r="D1144" s="60" t="s">
        <v>226</v>
      </c>
      <c r="E1144" s="60" t="s">
        <v>227</v>
      </c>
      <c r="F1144" s="60" t="s">
        <v>260</v>
      </c>
      <c r="G1144" s="61" t="n">
        <v>11.3</v>
      </c>
      <c r="H1144" s="62" t="n">
        <f aca="false">MAX(0,IF(AND(Parameter!$B$21="Ja",ISNUMBER(Y1144)),Y1144,IF(Parameter!$B$20="Jahresanfang 2025 + Export",BS1144+BR1144,BR1144)))</f>
        <v>119</v>
      </c>
      <c r="I1144" s="62" t="n">
        <f aca="false">H1144*G1144</f>
        <v>1344.7</v>
      </c>
      <c r="J1144" s="62" t="n">
        <f aca="false">BU1144*Parameter!$B$18</f>
        <v>12</v>
      </c>
      <c r="K1144" s="63" t="n">
        <v>136.5</v>
      </c>
      <c r="L1144" s="64" t="n">
        <v>0.0879120879120879</v>
      </c>
      <c r="M1144" s="62" t="n">
        <v>1</v>
      </c>
      <c r="N1144" s="62" t="n">
        <v>20</v>
      </c>
      <c r="O1144" s="65" t="n">
        <v>28</v>
      </c>
      <c r="P1144" s="60" t="s">
        <v>275</v>
      </c>
      <c r="Q1144" s="62" t="n">
        <v>41</v>
      </c>
      <c r="R1144" s="65" t="n">
        <f aca="false">IF(CA1144=1,0,IFERROR(VLOOKUP(BY1144,'Gebinde-Kategorie'!$A$5:$N$45,13,0)+0,0))</f>
        <v>26</v>
      </c>
      <c r="S1144" s="66"/>
      <c r="T1144" s="67"/>
      <c r="U1144" s="67"/>
      <c r="V1144" s="67"/>
      <c r="W1144" s="60"/>
      <c r="X1144" s="62"/>
      <c r="Y1144" s="62"/>
      <c r="Z1144" s="60" t="n">
        <v>3</v>
      </c>
      <c r="AA1144" s="60" t="n">
        <f aca="false">IF(A1144="","",IF(AND(Parameter!$B$21="Ja",ISNUMBER(W1144)),W1144,IF(AND(Parameter!$E$27="Ja",ISNUMBER(Z1144),CD1144&lt;&gt;"Nein"),Z1144,IF(CD1144="2+3",IF(ISNUMBER(SEARCH("grosser Artikel",BV1144)),2,IFERROR(VLOOKUP(BY1144,Parameter!$F$35:$G$64,2,0),2)),IF(OR(CD1144="Nein",CD1144=""),"-",CD1144)))))</f>
        <v>3</v>
      </c>
      <c r="AB1144" s="67"/>
      <c r="AC1144" s="68"/>
      <c r="AD1144" s="62" t="n">
        <f aca="false">AW1144</f>
        <v>21</v>
      </c>
      <c r="AE1144" s="62" t="n">
        <f aca="false">MAX(AW1144,H1144)</f>
        <v>119</v>
      </c>
      <c r="AF1144" s="69"/>
      <c r="AG1144" s="62" t="n">
        <f aca="false">IF(LEFT(Cockpit!$C$5,1)="A",H1144,IF(Parameter!$E$30="MAX-Bestand",IF(CI1144=1,CJ1144,IF(LEFT(Cockpit!$C$5,1)="B",AM1144,MAX(AM1144,H1144))),ROUNDUP(AK1144,0)))</f>
        <v>119</v>
      </c>
      <c r="AH1144" s="62" t="n">
        <f aca="false">IF(CA1144=1,0,ROUNDUP(AG1144/BZ1144,0))</f>
        <v>3</v>
      </c>
      <c r="AI1144" s="64" t="n">
        <f aca="false">IF(CR1144&gt;0,CR1144*MAX(1,AG1144/X1144),IF(CA1144=1,IF(AG1144&lt;=0,0,CE1144*MAX(1,IF(H1144&gt;0,AG1144/H1144,1))),IF(R1144&gt;0,AH1144/R1144,0))/MAX(0.1,N(Parameter!$M$21)))</f>
        <v>0.115384615384615</v>
      </c>
      <c r="AJ1144" s="62" t="n">
        <f aca="false">AI1144*CC1144</f>
        <v>28.2692307692308</v>
      </c>
      <c r="AK1144" s="63" t="n">
        <f aca="false">IF(LEFT(Cockpit!$C$5,1)="A",H1144,IF(CI1144=1,(CL1144+CJ1144)/2,IF(LEFT(Cockpit!$C$5,1)="B",(CL1144+AM1144)/2,MAX((CL1144+AM1144)/2,H1144))))</f>
        <v>119</v>
      </c>
      <c r="AL1144" s="62" t="n">
        <f aca="false">AK1144*G1144</f>
        <v>1344.7</v>
      </c>
      <c r="AM1144" s="62" t="n">
        <f aca="false">ROUNDUP(CL1144+MAX(CM1144,2*(J1144/IF(CH1144&gt;0,CH1144,MAX(0.1,N(Cockpit!$C$6)))-CL1144)),0)</f>
        <v>21</v>
      </c>
      <c r="AN1144" s="63" t="n">
        <f aca="false">IF(AJ1144&gt;0,J1144/AJ1144,-1)</f>
        <v>0.424489795918367</v>
      </c>
      <c r="AO1144" s="63" t="n">
        <f aca="false">IF(AND(OR(CG1144="L1",CG1144="L23",CG1144="LIFT"),AJ1144&gt;0),SUMIFS($AJ$7:$AJ$1843,$CG$7:$CG$1843,CG1144,$AN$7:$AN$1843,"&gt;"&amp;AN1144)+SUMIFS($AJ$7:$AJ$1843,$CG$7:$CG$1843,CG1144,$AN$7:$AN$1843,AN1144,$BX$7:$BX$1843,"&lt;="&amp;BX1144),"")</f>
        <v>10031.0961253906</v>
      </c>
      <c r="AP1144" s="70" t="n">
        <f aca="false">IF(AO1144="",0,MAX(0,MIN(1,(IF(CG1144="L1",Parameter!$H$5,IF(CG1144="L23",Parameter!$H$6+Parameter!$H$7,Parameter!$H$5+Parameter!$H$6+Parameter!$H$7))-(AO1144-AJ1144))/AJ1144)))</f>
        <v>1</v>
      </c>
      <c r="AQ1144" s="62" t="n">
        <f aca="false">IF(LEFT(Cockpit!$I$5,1)="A",H1144,IF(Parameter!$E$30="MAX-Bestand",IF(CI1144=1,CJ1144,IF(LEFT(Cockpit!$I$5,1)="B",AW1144,MAX(AW1144,H1144))),ROUNDUP(AU1144,0)))</f>
        <v>119</v>
      </c>
      <c r="AR1144" s="62" t="n">
        <f aca="false">IF(CA1144=1,0,ROUNDUP(AQ1144/BZ1144,0))</f>
        <v>3</v>
      </c>
      <c r="AS1144" s="64" t="n">
        <f aca="false">IF(CR1144&gt;0,CR1144*MAX(1,AQ1144/X1144),IF(CA1144=1,IF(AQ1144&lt;=0,0,CE1144*MAX(1,IF(H1144&gt;0,AQ1144/H1144,1))),IF(R1144&gt;0,AR1144/R1144,0))/MAX(0.1,N(Parameter!$M$21)))</f>
        <v>0.115384615384615</v>
      </c>
      <c r="AT1144" s="62" t="n">
        <f aca="false">AS1144*CC1144</f>
        <v>28.2692307692308</v>
      </c>
      <c r="AU1144" s="63" t="n">
        <f aca="false">IF(LEFT(Cockpit!$I$5,1)="A",H1144,IF(CI1144=1,(CL1144+CJ1144)/2,IF(LEFT(Cockpit!$I$5,1)="B",(CL1144+AW1144)/2,MAX((CL1144+AW1144)/2,H1144))))</f>
        <v>119</v>
      </c>
      <c r="AV1144" s="62" t="n">
        <f aca="false">AU1144*G1144</f>
        <v>1344.7</v>
      </c>
      <c r="AW1144" s="62" t="n">
        <f aca="false">ROUNDUP(CL1144+MAX(CM1144,2*(J1144/IF(CH1144&gt;0,CH1144,MAX(0.1,N(Cockpit!$I$6)))-CL1144)),0)</f>
        <v>21</v>
      </c>
      <c r="AX1144" s="63" t="n">
        <f aca="false">IF(AT1144&gt;0,J1144/AT1144,-1)</f>
        <v>0.424489795918367</v>
      </c>
      <c r="AY1144" s="63" t="n">
        <f aca="false">IF(AND(OR(CG1144="L1",CG1144="L23",CG1144="LIFT"),AT1144&gt;0),SUMIFS($AT$7:$AT$1843,$CG$7:$CG$1843,CG1144,$AX$7:$AX$1843,"&gt;"&amp;AX1144)+SUMIFS($AT$7:$AT$1843,$CG$7:$CG$1843,CG1144,$AX$7:$AX$1843,AX1144,$BX$7:$BX$1843,"&lt;="&amp;BX1144),"")</f>
        <v>12386.1826923077</v>
      </c>
      <c r="AZ1144" s="70" t="n">
        <f aca="false">IF(AY1144="",0,MAX(0,MIN(1,(IF(CG1144="L1",Parameter!$H$5,IF(CG1144="L23",Parameter!$H$6+Parameter!$H$7,Parameter!$H$5+Parameter!$H$6+Parameter!$H$7))-(AY1144-AT1144))/AT1144)))</f>
        <v>1</v>
      </c>
      <c r="BA1144" s="62" t="n">
        <f aca="false">IF(LEFT(Cockpit!$O$5,1)="A",H1144,IF(Parameter!$E$30="MAX-Bestand",IF(CI1144=1,CJ1144,IF(LEFT(Cockpit!$O$5,1)="B",BG1144,MAX(BG1144,H1144))),ROUNDUP(BE1144,0)))</f>
        <v>11</v>
      </c>
      <c r="BB1144" s="62" t="n">
        <f aca="false">IF(CA1144=1,0,ROUNDUP(BA1144/BZ1144,0))</f>
        <v>1</v>
      </c>
      <c r="BC1144" s="64" t="n">
        <f aca="false">IF(CR1144&gt;0,CR1144*MAX(1,BA1144/X1144),IF(CA1144=1,IF(BA1144&lt;=0,0,CE1144*MAX(1,IF(H1144&gt;0,BA1144/H1144,1))),IF(R1144&gt;0,BB1144/R1144,0))/MAX(0.1,N(Parameter!$M$21)))</f>
        <v>0.0384615384615385</v>
      </c>
      <c r="BD1144" s="62" t="n">
        <f aca="false">BC1144*CC1144</f>
        <v>9.42307692307692</v>
      </c>
      <c r="BE1144" s="63" t="n">
        <f aca="false">IF(LEFT(Cockpit!$O$5,1)="A",H1144,IF(CI1144=1,(CL1144+CJ1144)/2,IF(LEFT(Cockpit!$O$5,1)="B",(CL1144+BG1144)/2,MAX((CL1144+BG1144)/2,H1144))))</f>
        <v>11</v>
      </c>
      <c r="BF1144" s="62" t="n">
        <f aca="false">BE1144*G1144</f>
        <v>124.3</v>
      </c>
      <c r="BG1144" s="62" t="n">
        <f aca="false">ROUNDUP(CL1144+MAX(CM1144,2*(J1144/IF(CH1144&gt;0,CH1144,MAX(0.1,N(Cockpit!$O$6)))-CL1144)),0)</f>
        <v>21</v>
      </c>
      <c r="BH1144" s="63" t="n">
        <f aca="false">IF(BD1144&gt;0,J1144/BD1144,-1)</f>
        <v>1.2734693877551</v>
      </c>
      <c r="BI1144" s="63" t="n">
        <f aca="false">IF(AND(OR(CG1144="L1",CG1144="L23",CG1144="LIFT"),BD1144&gt;0),SUMIFS($BD$7:$BD$1843,$CG$7:$CG$1843,CG1144,$BH$7:$BH$1843,"&gt;"&amp;BH1144)+SUMIFS($BD$7:$BD$1843,$CG$7:$CG$1843,CG1144,$BH$7:$BH$1843,BH1144,$BX$7:$BX$1843,"&lt;="&amp;BX1144),"")</f>
        <v>6880.75228937729</v>
      </c>
      <c r="BJ1144" s="70" t="n">
        <f aca="false">IF(BI1144="",0,MAX(0,MIN(1,(IF(CG1144="L1",Parameter!$H$5,IF(CG1144="L23",Parameter!$H$6+Parameter!$H$7,Parameter!$H$5+Parameter!$H$6+Parameter!$H$7))-(BI1144-BD1144))/BD1144)))</f>
        <v>1</v>
      </c>
      <c r="BK1144" s="60" t="str">
        <f aca="false">IF(AJ1144&lt;=0,"",IF(CG1144="Aussen","Aussenlager",IF(CG1144="-","Nicht im Lift",IF(AP1144&gt;=1,"Lift",IF(AP1144&lt;=0,"Aussenlager","teilweise")))))</f>
        <v>Lift</v>
      </c>
      <c r="BL1144" s="60" t="str">
        <f aca="false">IF(AT1144&lt;=0,"",IF(CG1144="Aussen","Aussenlager",IF(CG1144="-","Nicht im Lift",IF(AZ1144&gt;=1,"Lift",IF(AZ1144&lt;=0,"Aussenlager","teilweise")))))</f>
        <v>Lift</v>
      </c>
      <c r="BM1144" s="60" t="str">
        <f aca="false">IF(BD1144&lt;=0,"",IF(CG1144="Aussen","Aussenlager",IF(CG1144="-","Nicht im Lift",IF(BJ1144&gt;=1,"Lift",IF(BJ1144&lt;=0,"Aussenlager","teilweise")))))</f>
        <v>Lift</v>
      </c>
      <c r="BN1144" s="60" t="str">
        <f aca="false">IF(A1144="","",IF(BW1144=1,"Neu; ","")&amp;IF(AND(BW1144=0,BR1144&lt;0),"negativer Bestand (Export "&amp;BR1144&amp;"); ","")&amp;IF(J1144&lt;=0,"Kein Verbrauch; ","")&amp;IF(CR1144&gt;0,"Lift "&amp;W1144&amp;" lt. Liftbericht (Fach "&amp;X1144&amp;" Stk); ",IF(CB1144=1,"Gebinde geschätzt ("&amp;T1144&amp;"); ",IF(CA1144=1,"Lose – Tablare geschätzt; ","")))&amp;IF(H1144&gt;AW1144,"Überbestand "&amp;ROUND(H1144-AW1144,0)&amp;" Stk / CHF "&amp;ROUND((H1144-AW1144)*G1144,0)&amp;"; ","")&amp;IF(AND(CI1144=1,CJ1144&lt;CK1144),"MAX &lt; MB+LG; ","")&amp;IF(AND(CQ1144&gt;0,CP1144*10&gt;CQ1144),"zu hoch für Tablar; ","")&amp;IF(AND(BW1144=0,OR(CI1144=1,AB1144&lt;&gt;"",U1144&lt;&gt;"",V1144&lt;&gt;"",AC1144&lt;&gt;"")),"manuell übersteuert; ","")&amp;IF(AND(CA1144=0,R1144=0),"Gebinde unbekannt / Stellmass fehlt; ","")&amp;IF(AND(CA1144=0,N(V1144)&lt;=0,N(Q1144)&lt;=0),"Menge pro Gebinde fehlt (Ist = 1 Gebinde); ","")&amp;BV1144)</f>
        <v>negativer Bestand (Export -26); Überbestand 98 Stk / CHF 1107; </v>
      </c>
      <c r="BO1144" s="60"/>
      <c r="BP1144" s="60"/>
      <c r="BQ1144" s="67"/>
      <c r="BR1144" s="62" t="n">
        <v>-26</v>
      </c>
      <c r="BS1144" s="62" t="n">
        <v>145</v>
      </c>
      <c r="BT1144" s="61" t="n">
        <v>-293.8</v>
      </c>
      <c r="BU1144" s="62" t="n">
        <v>12</v>
      </c>
      <c r="BV1144" s="60"/>
      <c r="BW1144" s="65" t="n">
        <v>0</v>
      </c>
      <c r="BX1144" s="65" t="n">
        <v>1144</v>
      </c>
      <c r="BY1144" s="60" t="str">
        <f aca="false">IF(U1144&lt;&gt;"",UPPER(TRIM(U1144)),IF(CB1144=1,UPPER(VLOOKUP(T1144,Parameter!$I$27:$K$29,2,0)),IF(P1144="","LOSE",P1144)))</f>
        <v>S52</v>
      </c>
      <c r="BZ1144" s="62" t="n">
        <f aca="false">IF(BY1144="LOSE",1,IF(N(V1144)&gt;0,V1144,IF(CB1144=1,MAX(1,N(VLOOKUP(T1144,Parameter!$I$27:$K$29,3,0)),H1144,N(N1144)),IF(N(Q1144)&gt;0,Q1144,MAX(1,H1144)))))</f>
        <v>41</v>
      </c>
      <c r="CA1144" s="65" t="n">
        <f aca="false">IF(BY1144="LOSE",1,0)</f>
        <v>0</v>
      </c>
      <c r="CB1144" s="65" t="n">
        <f aca="false">IF(AND(U1144="",OR(P1144="",P1144="LOSE"),T1144&lt;&gt;"",N(S1144)&lt;=0,ISNUMBER(MATCH(T1144,Parameter!$I$27:$I$29,0))),1,0)</f>
        <v>0</v>
      </c>
      <c r="CC1144" s="65" t="n">
        <f aca="false">IF(CR1144&gt;0,INDEX(Parameter!$H$5:$H$7,W1144)/INDEX(Parameter!$E$5:$E$7,W1144),IF(AND(CA1144=0,N(IFERROR(VLOOKUP(BY1144,'Gebinde-Kategorie'!$A$5:$N$45,14,0),0))&gt;0),VLOOKUP(BY1144,'Gebinde-Kategorie'!$A$5:$N$45,14,0)*10+Parameter!$M$23,Parameter!$M$24))</f>
        <v>245</v>
      </c>
      <c r="CD1144" s="60" t="str">
        <f aca="false">IF(AND(Parameter!$B$19="Ja",E1144&lt;&gt;"",ISNUMBER(MATCH(E1144,Parameter!$I$35:$I$52,0))),VLOOKUP(E1144,Parameter!$I$35:$J$52,2,0),IFERROR(VLOOKUP(D1144,Parameter!$A$35:$C$64,2,0),"Nein"))</f>
        <v>2+3</v>
      </c>
      <c r="CE1144" s="64" t="n">
        <f aca="false">IF(CA1144=0,0,IF(N(S1144)&gt;0,S1144,IFERROR(VLOOKUP(D1144,Parameter!$A$35:$C$64,3,0)+0,0)))</f>
        <v>0</v>
      </c>
      <c r="CF1144" s="60" t="n">
        <f aca="false">IF(AB1144&lt;&gt;"",AB1144,AA1144)</f>
        <v>3</v>
      </c>
      <c r="CG1144" s="60" t="str">
        <f aca="false">IF(OR(CF1144=1,CF1144=2,CF1144=3),IF(Parameter!$E$27="Ja","LIFT",IF(CF1144=1,"L1","L23")),IF(CF1144="Aussen","Aussen","-"))</f>
        <v>LIFT</v>
      </c>
      <c r="CH1144" s="71" t="n">
        <f aca="false">IF(N(AC1144)&gt;0,AC1144,0)</f>
        <v>0</v>
      </c>
      <c r="CI1144" s="65" t="n">
        <f aca="false">IF(ISNUMBER(AF1144),1,0)</f>
        <v>0</v>
      </c>
      <c r="CJ1144" s="62" t="n">
        <f aca="false">N(AF1144)</f>
        <v>0</v>
      </c>
      <c r="CK1144" s="62" t="n">
        <f aca="false">N(M1144)+N(N1144)</f>
        <v>21</v>
      </c>
      <c r="CL1144" s="62" t="n">
        <f aca="false">N(M1144)</f>
        <v>1</v>
      </c>
      <c r="CM1144" s="62" t="n">
        <f aca="false">N(N1144)</f>
        <v>20</v>
      </c>
      <c r="CN1144" s="62" t="n">
        <f aca="false">ROUNDUP(H1144/BZ1144,0)</f>
        <v>3</v>
      </c>
      <c r="CO1144" s="62" t="n">
        <f aca="false">ROUNDUP(CJ1144/BZ1144,0)</f>
        <v>0</v>
      </c>
      <c r="CP1144" s="65" t="n">
        <f aca="false">IF(CA1144=1,0,IFERROR(VLOOKUP(BY1144,'Gebinde-Kategorie'!$A$5:$N$45,5,0)+0,0))</f>
        <v>21</v>
      </c>
      <c r="CQ1144" s="65" t="n">
        <f aca="false">IFERROR(IF(OR(CF1144=1,CF1144=2,CF1144=3),N(INDEX(Parameter!$I$5:$I$7,CF1144)),0),0)</f>
        <v>0</v>
      </c>
      <c r="CR1144" s="64" t="n">
        <f aca="false">IF(AND(Parameter!$B$21="Ja",ISNUMBER(W1144),N(X1144)&gt;0),IFERROR(N(INDEX(Parameter!$L$5:$L$7,W1144))*INDEX(Parameter!$E$5:$E$7,W1144)*X1144/SUMIFS($X$7:$X$1843,$W$7:$W$1843,W1144),0),0)</f>
        <v>0</v>
      </c>
      <c r="CS1144" s="62" t="n">
        <f aca="false">IF(AND(OR(CG1144="L1",CG1144="L23",CG1144="LIFT"),H1144&gt;0),CC1144*IF(CR1144&gt;0,CR1144*MAX(1,H1144/X1144),IF(CA1144=1,CE1144,IF(R1144&gt;0,CN1144/R1144,0))/MAX(0.1,N(Parameter!$M$21))),"")</f>
        <v>28.2692307692308</v>
      </c>
      <c r="CT1144" s="64" t="n">
        <f aca="false">IF(CS1144="","",J1144/H1144)</f>
        <v>0.100840336134454</v>
      </c>
      <c r="CU1144" s="62" t="n">
        <f aca="false">IF(CS1144="","",H1144*G1144)</f>
        <v>1344.7</v>
      </c>
      <c r="CV1144" s="63" t="n">
        <f aca="false">IF(CS1144="","",(CL1144+ROUNDUP(CL1144+MAX(CM1144,2*(J1144/MAX(0.1,N(Einkauf!$C$6))-CL1144)),0))/2)</f>
        <v>11</v>
      </c>
      <c r="CW1144" s="62" t="n">
        <f aca="false">IF(CS1144="","",MAX(0,H1144-CV1144)*G1144)</f>
        <v>1220.4</v>
      </c>
      <c r="CX1144" s="62" t="n">
        <f aca="false">IF(CS1144="","",CS1144*MAX(0,1-CV1144/H1144))</f>
        <v>25.6561085972851</v>
      </c>
      <c r="CY1144" s="64" t="n">
        <f aca="false">IF(CS1144="","",PERCENTRANK($CS$7:$CS$1843,CS1144)+PERCENTRANK($CU$7:$CU$1843,CU1144)+1-PERCENTRANK($CT$7:$CT$1843,CT1144))</f>
        <v>2.085</v>
      </c>
      <c r="CZ1144" s="72" t="n">
        <f aca="false">IF(CS1144="","",CHOOSE(MATCH(Einkauf!$C$5,Parameter!$G$23:$G$27,0),CY1144,CS1144,CU1144,-CT1144,CW1144)+ROW()/1000000000)</f>
        <v>2.085001144</v>
      </c>
    </row>
    <row r="1145" customFormat="false" ht="15" hidden="false" customHeight="false" outlineLevel="0" collapsed="false">
      <c r="A1145" s="60" t="s">
        <v>2111</v>
      </c>
      <c r="B1145" s="60" t="s">
        <v>2001</v>
      </c>
      <c r="C1145" s="60" t="s">
        <v>206</v>
      </c>
      <c r="D1145" s="60" t="s">
        <v>215</v>
      </c>
      <c r="E1145" s="60" t="s">
        <v>227</v>
      </c>
      <c r="F1145" s="60" t="s">
        <v>260</v>
      </c>
      <c r="G1145" s="61" t="n">
        <v>296</v>
      </c>
      <c r="H1145" s="62" t="n">
        <f aca="false">MAX(0,IF(AND(Parameter!$B$21="Ja",ISNUMBER(Y1145)),Y1145,IF(Parameter!$B$20="Jahresanfang 2025 + Export",BS1145+BR1145,BR1145)))</f>
        <v>5</v>
      </c>
      <c r="I1145" s="62" t="n">
        <f aca="false">H1145*G1145</f>
        <v>1480</v>
      </c>
      <c r="J1145" s="62" t="n">
        <f aca="false">BU1145*Parameter!$B$18</f>
        <v>0</v>
      </c>
      <c r="K1145" s="63" t="n">
        <v>6</v>
      </c>
      <c r="L1145" s="64" t="n">
        <v>0</v>
      </c>
      <c r="M1145" s="62" t="n">
        <v>0</v>
      </c>
      <c r="N1145" s="62" t="n">
        <v>1</v>
      </c>
      <c r="O1145" s="65" t="n">
        <v>44</v>
      </c>
      <c r="P1145" s="60" t="s">
        <v>216</v>
      </c>
      <c r="Q1145" s="62" t="n">
        <v>15</v>
      </c>
      <c r="R1145" s="65" t="n">
        <f aca="false">IF(CA1145=1,0,IFERROR(VLOOKUP(BY1145,'Gebinde-Kategorie'!$A$5:$N$45,13,0)+0,0))</f>
        <v>6</v>
      </c>
      <c r="S1145" s="66"/>
      <c r="T1145" s="67"/>
      <c r="U1145" s="67"/>
      <c r="V1145" s="67"/>
      <c r="W1145" s="60"/>
      <c r="X1145" s="62"/>
      <c r="Y1145" s="62"/>
      <c r="Z1145" s="60" t="n">
        <v>2</v>
      </c>
      <c r="AA1145" s="60" t="n">
        <f aca="false">IF(A1145="","",IF(AND(Parameter!$B$21="Ja",ISNUMBER(W1145)),W1145,IF(AND(Parameter!$E$27="Ja",ISNUMBER(Z1145),CD1145&lt;&gt;"Nein"),Z1145,IF(CD1145="2+3",IF(ISNUMBER(SEARCH("grosser Artikel",BV1145)),2,IFERROR(VLOOKUP(BY1145,Parameter!$F$35:$G$64,2,0),2)),IF(OR(CD1145="Nein",CD1145=""),"-",CD1145)))))</f>
        <v>2</v>
      </c>
      <c r="AB1145" s="67"/>
      <c r="AC1145" s="68"/>
      <c r="AD1145" s="62" t="n">
        <f aca="false">AW1145</f>
        <v>1</v>
      </c>
      <c r="AE1145" s="62" t="n">
        <f aca="false">MAX(AW1145,H1145)</f>
        <v>5</v>
      </c>
      <c r="AF1145" s="69"/>
      <c r="AG1145" s="62" t="n">
        <f aca="false">IF(LEFT(Cockpit!$C$5,1)="A",H1145,IF(Parameter!$E$30="MAX-Bestand",IF(CI1145=1,CJ1145,IF(LEFT(Cockpit!$C$5,1)="B",AM1145,MAX(AM1145,H1145))),ROUNDUP(AK1145,0)))</f>
        <v>5</v>
      </c>
      <c r="AH1145" s="62" t="n">
        <f aca="false">IF(CA1145=1,0,ROUNDUP(AG1145/BZ1145,0))</f>
        <v>1</v>
      </c>
      <c r="AI1145" s="64" t="n">
        <f aca="false">IF(CR1145&gt;0,CR1145*MAX(1,AG1145/X1145),IF(CA1145=1,IF(AG1145&lt;=0,0,CE1145*MAX(1,IF(H1145&gt;0,AG1145/H1145,1))),IF(R1145&gt;0,AH1145/R1145,0))/MAX(0.1,N(Parameter!$M$21)))</f>
        <v>0.166666666666667</v>
      </c>
      <c r="AJ1145" s="62" t="n">
        <f aca="false">AI1145*CC1145</f>
        <v>39.1666666666667</v>
      </c>
      <c r="AK1145" s="63" t="n">
        <f aca="false">IF(LEFT(Cockpit!$C$5,1)="A",H1145,IF(CI1145=1,(CL1145+CJ1145)/2,IF(LEFT(Cockpit!$C$5,1)="B",(CL1145+AM1145)/2,MAX((CL1145+AM1145)/2,H1145))))</f>
        <v>5</v>
      </c>
      <c r="AL1145" s="62" t="n">
        <f aca="false">AK1145*G1145</f>
        <v>1480</v>
      </c>
      <c r="AM1145" s="62" t="n">
        <f aca="false">ROUNDUP(CL1145+MAX(CM1145,2*(J1145/IF(CH1145&gt;0,CH1145,MAX(0.1,N(Cockpit!$C$6)))-CL1145)),0)</f>
        <v>1</v>
      </c>
      <c r="AN1145" s="63" t="n">
        <f aca="false">IF(AJ1145&gt;0,J1145/AJ1145,-1)</f>
        <v>0</v>
      </c>
      <c r="AO1145" s="63" t="n">
        <f aca="false">IF(AND(OR(CG1145="L1",CG1145="L23",CG1145="LIFT"),AJ1145&gt;0),SUMIFS($AJ$7:$AJ$1843,$CG$7:$CG$1843,CG1145,$AN$7:$AN$1843,"&gt;"&amp;AN1145)+SUMIFS($AJ$7:$AJ$1843,$CG$7:$CG$1843,CG1145,$AN$7:$AN$1843,AN1145,$BX$7:$BX$1843,"&lt;="&amp;BX1145),"")</f>
        <v>29324.655845802</v>
      </c>
      <c r="AP1145" s="70" t="n">
        <f aca="false">IF(AO1145="",0,MAX(0,MIN(1,(IF(CG1145="L1",Parameter!$H$5,IF(CG1145="L23",Parameter!$H$6+Parameter!$H$7,Parameter!$H$5+Parameter!$H$6+Parameter!$H$7))-(AO1145-AJ1145))/AJ1145)))</f>
        <v>1</v>
      </c>
      <c r="AQ1145" s="62" t="n">
        <f aca="false">IF(LEFT(Cockpit!$I$5,1)="A",H1145,IF(Parameter!$E$30="MAX-Bestand",IF(CI1145=1,CJ1145,IF(LEFT(Cockpit!$I$5,1)="B",AW1145,MAX(AW1145,H1145))),ROUNDUP(AU1145,0)))</f>
        <v>5</v>
      </c>
      <c r="AR1145" s="62" t="n">
        <f aca="false">IF(CA1145=1,0,ROUNDUP(AQ1145/BZ1145,0))</f>
        <v>1</v>
      </c>
      <c r="AS1145" s="64" t="n">
        <f aca="false">IF(CR1145&gt;0,CR1145*MAX(1,AQ1145/X1145),IF(CA1145=1,IF(AQ1145&lt;=0,0,CE1145*MAX(1,IF(H1145&gt;0,AQ1145/H1145,1))),IF(R1145&gt;0,AR1145/R1145,0))/MAX(0.1,N(Parameter!$M$21)))</f>
        <v>0.166666666666667</v>
      </c>
      <c r="AT1145" s="62" t="n">
        <f aca="false">AS1145*CC1145</f>
        <v>39.1666666666667</v>
      </c>
      <c r="AU1145" s="63" t="n">
        <f aca="false">IF(LEFT(Cockpit!$I$5,1)="A",H1145,IF(CI1145=1,(CL1145+CJ1145)/2,IF(LEFT(Cockpit!$I$5,1)="B",(CL1145+AW1145)/2,MAX((CL1145+AW1145)/2,H1145))))</f>
        <v>5</v>
      </c>
      <c r="AV1145" s="62" t="n">
        <f aca="false">AU1145*G1145</f>
        <v>1480</v>
      </c>
      <c r="AW1145" s="62" t="n">
        <f aca="false">ROUNDUP(CL1145+MAX(CM1145,2*(J1145/IF(CH1145&gt;0,CH1145,MAX(0.1,N(Cockpit!$I$6)))-CL1145)),0)</f>
        <v>1</v>
      </c>
      <c r="AX1145" s="63" t="n">
        <f aca="false">IF(AT1145&gt;0,J1145/AT1145,-1)</f>
        <v>0</v>
      </c>
      <c r="AY1145" s="63" t="n">
        <f aca="false">IF(AND(OR(CG1145="L1",CG1145="L23",CG1145="LIFT"),AT1145&gt;0),SUMIFS($AT$7:$AT$1843,$CG$7:$CG$1843,CG1145,$AX$7:$AX$1843,"&gt;"&amp;AX1145)+SUMIFS($AT$7:$AT$1843,$CG$7:$CG$1843,CG1145,$AX$7:$AX$1843,AX1145,$BX$7:$BX$1843,"&lt;="&amp;BX1145),"")</f>
        <v>35109.6240842491</v>
      </c>
      <c r="AZ1145" s="70" t="n">
        <f aca="false">IF(AY1145="",0,MAX(0,MIN(1,(IF(CG1145="L1",Parameter!$H$5,IF(CG1145="L23",Parameter!$H$6+Parameter!$H$7,Parameter!$H$5+Parameter!$H$6+Parameter!$H$7))-(AY1145-AT1145))/AT1145)))</f>
        <v>1</v>
      </c>
      <c r="BA1145" s="62" t="n">
        <f aca="false">IF(LEFT(Cockpit!$O$5,1)="A",H1145,IF(Parameter!$E$30="MAX-Bestand",IF(CI1145=1,CJ1145,IF(LEFT(Cockpit!$O$5,1)="B",BG1145,MAX(BG1145,H1145))),ROUNDUP(BE1145,0)))</f>
        <v>1</v>
      </c>
      <c r="BB1145" s="62" t="n">
        <f aca="false">IF(CA1145=1,0,ROUNDUP(BA1145/BZ1145,0))</f>
        <v>1</v>
      </c>
      <c r="BC1145" s="64" t="n">
        <f aca="false">IF(CR1145&gt;0,CR1145*MAX(1,BA1145/X1145),IF(CA1145=1,IF(BA1145&lt;=0,0,CE1145*MAX(1,IF(H1145&gt;0,BA1145/H1145,1))),IF(R1145&gt;0,BB1145/R1145,0))/MAX(0.1,N(Parameter!$M$21)))</f>
        <v>0.166666666666667</v>
      </c>
      <c r="BD1145" s="62" t="n">
        <f aca="false">BC1145*CC1145</f>
        <v>39.1666666666667</v>
      </c>
      <c r="BE1145" s="63" t="n">
        <f aca="false">IF(LEFT(Cockpit!$O$5,1)="A",H1145,IF(CI1145=1,(CL1145+CJ1145)/2,IF(LEFT(Cockpit!$O$5,1)="B",(CL1145+BG1145)/2,MAX((CL1145+BG1145)/2,H1145))))</f>
        <v>0.5</v>
      </c>
      <c r="BF1145" s="62" t="n">
        <f aca="false">BE1145*G1145</f>
        <v>148</v>
      </c>
      <c r="BG1145" s="62" t="n">
        <f aca="false">ROUNDUP(CL1145+MAX(CM1145,2*(J1145/IF(CH1145&gt;0,CH1145,MAX(0.1,N(Cockpit!$O$6)))-CL1145)),0)</f>
        <v>1</v>
      </c>
      <c r="BH1145" s="63" t="n">
        <f aca="false">IF(BD1145&gt;0,J1145/BD1145,-1)</f>
        <v>0</v>
      </c>
      <c r="BI1145" s="63" t="n">
        <f aca="false">IF(AND(OR(CG1145="L1",CG1145="L23",CG1145="LIFT"),BD1145&gt;0),SUMIFS($BD$7:$BD$1843,$CG$7:$CG$1843,CG1145,$BH$7:$BH$1843,"&gt;"&amp;BH1145)+SUMIFS($BD$7:$BD$1843,$CG$7:$CG$1843,CG1145,$BH$7:$BH$1843,BH1145,$BX$7:$BX$1843,"&lt;="&amp;BX1145),"")</f>
        <v>29094.9307443968</v>
      </c>
      <c r="BJ1145" s="70" t="n">
        <f aca="false">IF(BI1145="",0,MAX(0,MIN(1,(IF(CG1145="L1",Parameter!$H$5,IF(CG1145="L23",Parameter!$H$6+Parameter!$H$7,Parameter!$H$5+Parameter!$H$6+Parameter!$H$7))-(BI1145-BD1145))/BD1145)))</f>
        <v>1</v>
      </c>
      <c r="BK1145" s="60" t="str">
        <f aca="false">IF(AJ1145&lt;=0,"",IF(CG1145="Aussen","Aussenlager",IF(CG1145="-","Nicht im Lift",IF(AP1145&gt;=1,"Lift",IF(AP1145&lt;=0,"Aussenlager","teilweise")))))</f>
        <v>Lift</v>
      </c>
      <c r="BL1145" s="60" t="str">
        <f aca="false">IF(AT1145&lt;=0,"",IF(CG1145="Aussen","Aussenlager",IF(CG1145="-","Nicht im Lift",IF(AZ1145&gt;=1,"Lift",IF(AZ1145&lt;=0,"Aussenlager","teilweise")))))</f>
        <v>Lift</v>
      </c>
      <c r="BM1145" s="60" t="str">
        <f aca="false">IF(BD1145&lt;=0,"",IF(CG1145="Aussen","Aussenlager",IF(CG1145="-","Nicht im Lift",IF(BJ1145&gt;=1,"Lift",IF(BJ1145&lt;=0,"Aussenlager","teilweise")))))</f>
        <v>Lift</v>
      </c>
      <c r="BN1145" s="60" t="str">
        <f aca="false">IF(A1145="","",IF(BW1145=1,"Neu; ","")&amp;IF(AND(BW1145=0,BR1145&lt;0),"negativer Bestand (Export "&amp;BR1145&amp;"); ","")&amp;IF(J1145&lt;=0,"Kein Verbrauch; ","")&amp;IF(CR1145&gt;0,"Lift "&amp;W1145&amp;" lt. Liftbericht (Fach "&amp;X1145&amp;" Stk); ",IF(CB1145=1,"Gebinde geschätzt ("&amp;T1145&amp;"); ",IF(CA1145=1,"Lose – Tablare geschätzt; ","")))&amp;IF(H1145&gt;AW1145,"Überbestand "&amp;ROUND(H1145-AW1145,0)&amp;" Stk / CHF "&amp;ROUND((H1145-AW1145)*G1145,0)&amp;"; ","")&amp;IF(AND(CI1145=1,CJ1145&lt;CK1145),"MAX &lt; MB+LG; ","")&amp;IF(AND(CQ1145&gt;0,CP1145*10&gt;CQ1145),"zu hoch für Tablar; ","")&amp;IF(AND(BW1145=0,OR(CI1145=1,AB1145&lt;&gt;"",U1145&lt;&gt;"",V1145&lt;&gt;"",AC1145&lt;&gt;"")),"manuell übersteuert; ","")&amp;IF(AND(CA1145=0,R1145=0),"Gebinde unbekannt / Stellmass fehlt; ","")&amp;IF(AND(CA1145=0,N(V1145)&lt;=0,N(Q1145)&lt;=0),"Menge pro Gebinde fehlt (Ist = 1 Gebinde); ","")&amp;BV1145)</f>
        <v>negativer Bestand (Export -1); Kein Verbrauch; Überbestand 4 Stk / CHF 1184; Neu; grosser Artikel &amp; nicht im KTL</v>
      </c>
      <c r="BO1145" s="60"/>
      <c r="BP1145" s="60"/>
      <c r="BQ1145" s="67"/>
      <c r="BR1145" s="62" t="n">
        <v>-1</v>
      </c>
      <c r="BS1145" s="62" t="n">
        <v>6</v>
      </c>
      <c r="BT1145" s="61" t="n">
        <v>-296</v>
      </c>
      <c r="BU1145" s="62" t="n">
        <v>0</v>
      </c>
      <c r="BV1145" s="60" t="s">
        <v>2112</v>
      </c>
      <c r="BW1145" s="65" t="n">
        <v>0</v>
      </c>
      <c r="BX1145" s="65" t="n">
        <v>1145</v>
      </c>
      <c r="BY1145" s="60" t="str">
        <f aca="false">IF(U1145&lt;&gt;"",UPPER(TRIM(U1145)),IF(CB1145=1,UPPER(VLOOKUP(T1145,Parameter!$I$27:$K$29,2,0)),IF(P1145="","LOSE",P1145)))</f>
        <v>S71</v>
      </c>
      <c r="BZ1145" s="62" t="n">
        <f aca="false">IF(BY1145="LOSE",1,IF(N(V1145)&gt;0,V1145,IF(CB1145=1,MAX(1,N(VLOOKUP(T1145,Parameter!$I$27:$K$29,3,0)),H1145,N(N1145)),IF(N(Q1145)&gt;0,Q1145,MAX(1,H1145)))))</f>
        <v>15</v>
      </c>
      <c r="CA1145" s="65" t="n">
        <f aca="false">IF(BY1145="LOSE",1,0)</f>
        <v>0</v>
      </c>
      <c r="CB1145" s="65" t="n">
        <f aca="false">IF(AND(U1145="",OR(P1145="",P1145="LOSE"),T1145&lt;&gt;"",N(S1145)&lt;=0,ISNUMBER(MATCH(T1145,Parameter!$I$27:$I$29,0))),1,0)</f>
        <v>0</v>
      </c>
      <c r="CC1145" s="65" t="n">
        <f aca="false">IF(CR1145&gt;0,INDEX(Parameter!$H$5:$H$7,W1145)/INDEX(Parameter!$E$5:$E$7,W1145),IF(AND(CA1145=0,N(IFERROR(VLOOKUP(BY1145,'Gebinde-Kategorie'!$A$5:$N$45,14,0),0))&gt;0),VLOOKUP(BY1145,'Gebinde-Kategorie'!$A$5:$N$45,14,0)*10+Parameter!$M$23,Parameter!$M$24))</f>
        <v>235</v>
      </c>
      <c r="CD1145" s="60" t="str">
        <f aca="false">IF(AND(Parameter!$B$19="Ja",E1145&lt;&gt;"",ISNUMBER(MATCH(E1145,Parameter!$I$35:$I$52,0))),VLOOKUP(E1145,Parameter!$I$35:$J$52,2,0),IFERROR(VLOOKUP(D1145,Parameter!$A$35:$C$64,2,0),"Nein"))</f>
        <v>2+3</v>
      </c>
      <c r="CE1145" s="64" t="n">
        <f aca="false">IF(CA1145=0,0,IF(N(S1145)&gt;0,S1145,IFERROR(VLOOKUP(D1145,Parameter!$A$35:$C$64,3,0)+0,0)))</f>
        <v>0</v>
      </c>
      <c r="CF1145" s="60" t="n">
        <f aca="false">IF(AB1145&lt;&gt;"",AB1145,AA1145)</f>
        <v>2</v>
      </c>
      <c r="CG1145" s="60" t="str">
        <f aca="false">IF(OR(CF1145=1,CF1145=2,CF1145=3),IF(Parameter!$E$27="Ja","LIFT",IF(CF1145=1,"L1","L23")),IF(CF1145="Aussen","Aussen","-"))</f>
        <v>LIFT</v>
      </c>
      <c r="CH1145" s="71" t="n">
        <f aca="false">IF(N(AC1145)&gt;0,AC1145,0)</f>
        <v>0</v>
      </c>
      <c r="CI1145" s="65" t="n">
        <f aca="false">IF(ISNUMBER(AF1145),1,0)</f>
        <v>0</v>
      </c>
      <c r="CJ1145" s="62" t="n">
        <f aca="false">N(AF1145)</f>
        <v>0</v>
      </c>
      <c r="CK1145" s="62" t="n">
        <f aca="false">N(M1145)+N(N1145)</f>
        <v>1</v>
      </c>
      <c r="CL1145" s="62" t="n">
        <f aca="false">N(M1145)</f>
        <v>0</v>
      </c>
      <c r="CM1145" s="62" t="n">
        <f aca="false">N(N1145)</f>
        <v>1</v>
      </c>
      <c r="CN1145" s="62" t="n">
        <f aca="false">ROUNDUP(H1145/BZ1145,0)</f>
        <v>1</v>
      </c>
      <c r="CO1145" s="62" t="n">
        <f aca="false">ROUNDUP(CJ1145/BZ1145,0)</f>
        <v>0</v>
      </c>
      <c r="CP1145" s="65" t="n">
        <f aca="false">IF(CA1145=1,0,IFERROR(VLOOKUP(BY1145,'Gebinde-Kategorie'!$A$5:$N$45,5,0)+0,0))</f>
        <v>20</v>
      </c>
      <c r="CQ1145" s="65" t="n">
        <f aca="false">IFERROR(IF(OR(CF1145=1,CF1145=2,CF1145=3),N(INDEX(Parameter!$I$5:$I$7,CF1145)),0),0)</f>
        <v>0</v>
      </c>
      <c r="CR1145" s="64" t="n">
        <f aca="false">IF(AND(Parameter!$B$21="Ja",ISNUMBER(W1145),N(X1145)&gt;0),IFERROR(N(INDEX(Parameter!$L$5:$L$7,W1145))*INDEX(Parameter!$E$5:$E$7,W1145)*X1145/SUMIFS($X$7:$X$1843,$W$7:$W$1843,W1145),0),0)</f>
        <v>0</v>
      </c>
      <c r="CS1145" s="62" t="n">
        <f aca="false">IF(AND(OR(CG1145="L1",CG1145="L23",CG1145="LIFT"),H1145&gt;0),CC1145*IF(CR1145&gt;0,CR1145*MAX(1,H1145/X1145),IF(CA1145=1,CE1145,IF(R1145&gt;0,CN1145/R1145,0))/MAX(0.1,N(Parameter!$M$21))),"")</f>
        <v>39.1666666666667</v>
      </c>
      <c r="CT1145" s="64" t="n">
        <f aca="false">IF(CS1145="","",J1145/H1145)</f>
        <v>0</v>
      </c>
      <c r="CU1145" s="62" t="n">
        <f aca="false">IF(CS1145="","",H1145*G1145)</f>
        <v>1480</v>
      </c>
      <c r="CV1145" s="63" t="n">
        <f aca="false">IF(CS1145="","",(CL1145+ROUNDUP(CL1145+MAX(CM1145,2*(J1145/MAX(0.1,N(Einkauf!$C$6))-CL1145)),0))/2)</f>
        <v>0.5</v>
      </c>
      <c r="CW1145" s="62" t="n">
        <f aca="false">IF(CS1145="","",MAX(0,H1145-CV1145)*G1145)</f>
        <v>1332</v>
      </c>
      <c r="CX1145" s="62" t="n">
        <f aca="false">IF(CS1145="","",CS1145*MAX(0,1-CV1145/H1145))</f>
        <v>35.25</v>
      </c>
      <c r="CY1145" s="64" t="n">
        <f aca="false">IF(CS1145="","",PERCENTRANK($CS$7:$CS$1843,CS1145)+PERCENTRANK($CU$7:$CU$1843,CU1145)+1-PERCENTRANK($CT$7:$CT$1843,CT1145))</f>
        <v>2.576</v>
      </c>
      <c r="CZ1145" s="72" t="n">
        <f aca="false">IF(CS1145="","",CHOOSE(MATCH(Einkauf!$C$5,Parameter!$G$23:$G$27,0),CY1145,CS1145,CU1145,-CT1145,CW1145)+ROW()/1000000000)</f>
        <v>2.576001145</v>
      </c>
    </row>
    <row r="1146" customFormat="false" ht="15" hidden="false" customHeight="false" outlineLevel="0" collapsed="false">
      <c r="A1146" s="60" t="s">
        <v>2113</v>
      </c>
      <c r="B1146" s="60" t="s">
        <v>414</v>
      </c>
      <c r="C1146" s="60" t="s">
        <v>206</v>
      </c>
      <c r="D1146" s="60" t="s">
        <v>215</v>
      </c>
      <c r="E1146" s="60" t="s">
        <v>227</v>
      </c>
      <c r="F1146" s="60" t="s">
        <v>260</v>
      </c>
      <c r="G1146" s="61" t="n">
        <v>296</v>
      </c>
      <c r="H1146" s="62" t="n">
        <f aca="false">MAX(0,IF(AND(Parameter!$B$21="Ja",ISNUMBER(Y1146)),Y1146,IF(Parameter!$B$20="Jahresanfang 2025 + Export",BS1146+BR1146,BR1146)))</f>
        <v>5</v>
      </c>
      <c r="I1146" s="62" t="n">
        <f aca="false">H1146*G1146</f>
        <v>1480</v>
      </c>
      <c r="J1146" s="62" t="n">
        <f aca="false">BU1146*Parameter!$B$18</f>
        <v>0</v>
      </c>
      <c r="K1146" s="63" t="n">
        <v>6</v>
      </c>
      <c r="L1146" s="64" t="n">
        <v>0</v>
      </c>
      <c r="M1146" s="62" t="n">
        <v>0</v>
      </c>
      <c r="N1146" s="62" t="n">
        <v>1</v>
      </c>
      <c r="O1146" s="65" t="n">
        <v>44</v>
      </c>
      <c r="P1146" s="60" t="s">
        <v>216</v>
      </c>
      <c r="Q1146" s="62" t="n">
        <v>15</v>
      </c>
      <c r="R1146" s="65" t="n">
        <f aca="false">IF(CA1146=1,0,IFERROR(VLOOKUP(BY1146,'Gebinde-Kategorie'!$A$5:$N$45,13,0)+0,0))</f>
        <v>6</v>
      </c>
      <c r="S1146" s="66"/>
      <c r="T1146" s="67"/>
      <c r="U1146" s="67"/>
      <c r="V1146" s="67"/>
      <c r="W1146" s="60"/>
      <c r="X1146" s="62"/>
      <c r="Y1146" s="62"/>
      <c r="Z1146" s="60" t="n">
        <v>1</v>
      </c>
      <c r="AA1146" s="60" t="n">
        <f aca="false">IF(A1146="","",IF(AND(Parameter!$B$21="Ja",ISNUMBER(W1146)),W1146,IF(AND(Parameter!$E$27="Ja",ISNUMBER(Z1146),CD1146&lt;&gt;"Nein"),Z1146,IF(CD1146="2+3",IF(ISNUMBER(SEARCH("grosser Artikel",BV1146)),2,IFERROR(VLOOKUP(BY1146,Parameter!$F$35:$G$64,2,0),2)),IF(OR(CD1146="Nein",CD1146=""),"-",CD1146)))))</f>
        <v>1</v>
      </c>
      <c r="AB1146" s="67"/>
      <c r="AC1146" s="68"/>
      <c r="AD1146" s="62" t="n">
        <f aca="false">AW1146</f>
        <v>1</v>
      </c>
      <c r="AE1146" s="62" t="n">
        <f aca="false">MAX(AW1146,H1146)</f>
        <v>5</v>
      </c>
      <c r="AF1146" s="69"/>
      <c r="AG1146" s="62" t="n">
        <f aca="false">IF(LEFT(Cockpit!$C$5,1)="A",H1146,IF(Parameter!$E$30="MAX-Bestand",IF(CI1146=1,CJ1146,IF(LEFT(Cockpit!$C$5,1)="B",AM1146,MAX(AM1146,H1146))),ROUNDUP(AK1146,0)))</f>
        <v>5</v>
      </c>
      <c r="AH1146" s="62" t="n">
        <f aca="false">IF(CA1146=1,0,ROUNDUP(AG1146/BZ1146,0))</f>
        <v>1</v>
      </c>
      <c r="AI1146" s="64" t="n">
        <f aca="false">IF(CR1146&gt;0,CR1146*MAX(1,AG1146/X1146),IF(CA1146=1,IF(AG1146&lt;=0,0,CE1146*MAX(1,IF(H1146&gt;0,AG1146/H1146,1))),IF(R1146&gt;0,AH1146/R1146,0))/MAX(0.1,N(Parameter!$M$21)))</f>
        <v>0.166666666666667</v>
      </c>
      <c r="AJ1146" s="62" t="n">
        <f aca="false">AI1146*CC1146</f>
        <v>39.1666666666667</v>
      </c>
      <c r="AK1146" s="63" t="n">
        <f aca="false">IF(LEFT(Cockpit!$C$5,1)="A",H1146,IF(CI1146=1,(CL1146+CJ1146)/2,IF(LEFT(Cockpit!$C$5,1)="B",(CL1146+AM1146)/2,MAX((CL1146+AM1146)/2,H1146))))</f>
        <v>5</v>
      </c>
      <c r="AL1146" s="62" t="n">
        <f aca="false">AK1146*G1146</f>
        <v>1480</v>
      </c>
      <c r="AM1146" s="62" t="n">
        <f aca="false">ROUNDUP(CL1146+MAX(CM1146,2*(J1146/IF(CH1146&gt;0,CH1146,MAX(0.1,N(Cockpit!$C$6)))-CL1146)),0)</f>
        <v>1</v>
      </c>
      <c r="AN1146" s="63" t="n">
        <f aca="false">IF(AJ1146&gt;0,J1146/AJ1146,-1)</f>
        <v>0</v>
      </c>
      <c r="AO1146" s="63" t="n">
        <f aca="false">IF(AND(OR(CG1146="L1",CG1146="L23",CG1146="LIFT"),AJ1146&gt;0),SUMIFS($AJ$7:$AJ$1843,$CG$7:$CG$1843,CG1146,$AN$7:$AN$1843,"&gt;"&amp;AN1146)+SUMIFS($AJ$7:$AJ$1843,$CG$7:$CG$1843,CG1146,$AN$7:$AN$1843,AN1146,$BX$7:$BX$1843,"&lt;="&amp;BX1146),"")</f>
        <v>29363.8225124687</v>
      </c>
      <c r="AP1146" s="70" t="n">
        <f aca="false">IF(AO1146="",0,MAX(0,MIN(1,(IF(CG1146="L1",Parameter!$H$5,IF(CG1146="L23",Parameter!$H$6+Parameter!$H$7,Parameter!$H$5+Parameter!$H$6+Parameter!$H$7))-(AO1146-AJ1146))/AJ1146)))</f>
        <v>1</v>
      </c>
      <c r="AQ1146" s="62" t="n">
        <f aca="false">IF(LEFT(Cockpit!$I$5,1)="A",H1146,IF(Parameter!$E$30="MAX-Bestand",IF(CI1146=1,CJ1146,IF(LEFT(Cockpit!$I$5,1)="B",AW1146,MAX(AW1146,H1146))),ROUNDUP(AU1146,0)))</f>
        <v>5</v>
      </c>
      <c r="AR1146" s="62" t="n">
        <f aca="false">IF(CA1146=1,0,ROUNDUP(AQ1146/BZ1146,0))</f>
        <v>1</v>
      </c>
      <c r="AS1146" s="64" t="n">
        <f aca="false">IF(CR1146&gt;0,CR1146*MAX(1,AQ1146/X1146),IF(CA1146=1,IF(AQ1146&lt;=0,0,CE1146*MAX(1,IF(H1146&gt;0,AQ1146/H1146,1))),IF(R1146&gt;0,AR1146/R1146,0))/MAX(0.1,N(Parameter!$M$21)))</f>
        <v>0.166666666666667</v>
      </c>
      <c r="AT1146" s="62" t="n">
        <f aca="false">AS1146*CC1146</f>
        <v>39.1666666666667</v>
      </c>
      <c r="AU1146" s="63" t="n">
        <f aca="false">IF(LEFT(Cockpit!$I$5,1)="A",H1146,IF(CI1146=1,(CL1146+CJ1146)/2,IF(LEFT(Cockpit!$I$5,1)="B",(CL1146+AW1146)/2,MAX((CL1146+AW1146)/2,H1146))))</f>
        <v>5</v>
      </c>
      <c r="AV1146" s="62" t="n">
        <f aca="false">AU1146*G1146</f>
        <v>1480</v>
      </c>
      <c r="AW1146" s="62" t="n">
        <f aca="false">ROUNDUP(CL1146+MAX(CM1146,2*(J1146/IF(CH1146&gt;0,CH1146,MAX(0.1,N(Cockpit!$I$6)))-CL1146)),0)</f>
        <v>1</v>
      </c>
      <c r="AX1146" s="63" t="n">
        <f aca="false">IF(AT1146&gt;0,J1146/AT1146,-1)</f>
        <v>0</v>
      </c>
      <c r="AY1146" s="63" t="n">
        <f aca="false">IF(AND(OR(CG1146="L1",CG1146="L23",CG1146="LIFT"),AT1146&gt;0),SUMIFS($AT$7:$AT$1843,$CG$7:$CG$1843,CG1146,$AX$7:$AX$1843,"&gt;"&amp;AX1146)+SUMIFS($AT$7:$AT$1843,$CG$7:$CG$1843,CG1146,$AX$7:$AX$1843,AX1146,$BX$7:$BX$1843,"&lt;="&amp;BX1146),"")</f>
        <v>35148.7907509158</v>
      </c>
      <c r="AZ1146" s="70" t="n">
        <f aca="false">IF(AY1146="",0,MAX(0,MIN(1,(IF(CG1146="L1",Parameter!$H$5,IF(CG1146="L23",Parameter!$H$6+Parameter!$H$7,Parameter!$H$5+Parameter!$H$6+Parameter!$H$7))-(AY1146-AT1146))/AT1146)))</f>
        <v>1</v>
      </c>
      <c r="BA1146" s="62" t="n">
        <f aca="false">IF(LEFT(Cockpit!$O$5,1)="A",H1146,IF(Parameter!$E$30="MAX-Bestand",IF(CI1146=1,CJ1146,IF(LEFT(Cockpit!$O$5,1)="B",BG1146,MAX(BG1146,H1146))),ROUNDUP(BE1146,0)))</f>
        <v>1</v>
      </c>
      <c r="BB1146" s="62" t="n">
        <f aca="false">IF(CA1146=1,0,ROUNDUP(BA1146/BZ1146,0))</f>
        <v>1</v>
      </c>
      <c r="BC1146" s="64" t="n">
        <f aca="false">IF(CR1146&gt;0,CR1146*MAX(1,BA1146/X1146),IF(CA1146=1,IF(BA1146&lt;=0,0,CE1146*MAX(1,IF(H1146&gt;0,BA1146/H1146,1))),IF(R1146&gt;0,BB1146/R1146,0))/MAX(0.1,N(Parameter!$M$21)))</f>
        <v>0.166666666666667</v>
      </c>
      <c r="BD1146" s="62" t="n">
        <f aca="false">BC1146*CC1146</f>
        <v>39.1666666666667</v>
      </c>
      <c r="BE1146" s="63" t="n">
        <f aca="false">IF(LEFT(Cockpit!$O$5,1)="A",H1146,IF(CI1146=1,(CL1146+CJ1146)/2,IF(LEFT(Cockpit!$O$5,1)="B",(CL1146+BG1146)/2,MAX((CL1146+BG1146)/2,H1146))))</f>
        <v>0.5</v>
      </c>
      <c r="BF1146" s="62" t="n">
        <f aca="false">BE1146*G1146</f>
        <v>148</v>
      </c>
      <c r="BG1146" s="62" t="n">
        <f aca="false">ROUNDUP(CL1146+MAX(CM1146,2*(J1146/IF(CH1146&gt;0,CH1146,MAX(0.1,N(Cockpit!$O$6)))-CL1146)),0)</f>
        <v>1</v>
      </c>
      <c r="BH1146" s="63" t="n">
        <f aca="false">IF(BD1146&gt;0,J1146/BD1146,-1)</f>
        <v>0</v>
      </c>
      <c r="BI1146" s="63" t="n">
        <f aca="false">IF(AND(OR(CG1146="L1",CG1146="L23",CG1146="LIFT"),BD1146&gt;0),SUMIFS($BD$7:$BD$1843,$CG$7:$CG$1843,CG1146,$BH$7:$BH$1843,"&gt;"&amp;BH1146)+SUMIFS($BD$7:$BD$1843,$CG$7:$CG$1843,CG1146,$BH$7:$BH$1843,BH1146,$BX$7:$BX$1843,"&lt;="&amp;BX1146),"")</f>
        <v>29134.0974110635</v>
      </c>
      <c r="BJ1146" s="70" t="n">
        <f aca="false">IF(BI1146="",0,MAX(0,MIN(1,(IF(CG1146="L1",Parameter!$H$5,IF(CG1146="L23",Parameter!$H$6+Parameter!$H$7,Parameter!$H$5+Parameter!$H$6+Parameter!$H$7))-(BI1146-BD1146))/BD1146)))</f>
        <v>1</v>
      </c>
      <c r="BK1146" s="60" t="str">
        <f aca="false">IF(AJ1146&lt;=0,"",IF(CG1146="Aussen","Aussenlager",IF(CG1146="-","Nicht im Lift",IF(AP1146&gt;=1,"Lift",IF(AP1146&lt;=0,"Aussenlager","teilweise")))))</f>
        <v>Lift</v>
      </c>
      <c r="BL1146" s="60" t="str">
        <f aca="false">IF(AT1146&lt;=0,"",IF(CG1146="Aussen","Aussenlager",IF(CG1146="-","Nicht im Lift",IF(AZ1146&gt;=1,"Lift",IF(AZ1146&lt;=0,"Aussenlager","teilweise")))))</f>
        <v>Lift</v>
      </c>
      <c r="BM1146" s="60" t="str">
        <f aca="false">IF(BD1146&lt;=0,"",IF(CG1146="Aussen","Aussenlager",IF(CG1146="-","Nicht im Lift",IF(BJ1146&gt;=1,"Lift",IF(BJ1146&lt;=0,"Aussenlager","teilweise")))))</f>
        <v>Lift</v>
      </c>
      <c r="BN1146" s="60" t="str">
        <f aca="false">IF(A1146="","",IF(BW1146=1,"Neu; ","")&amp;IF(AND(BW1146=0,BR1146&lt;0),"negativer Bestand (Export "&amp;BR1146&amp;"); ","")&amp;IF(J1146&lt;=0,"Kein Verbrauch; ","")&amp;IF(CR1146&gt;0,"Lift "&amp;W1146&amp;" lt. Liftbericht (Fach "&amp;X1146&amp;" Stk); ",IF(CB1146=1,"Gebinde geschätzt ("&amp;T1146&amp;"); ",IF(CA1146=1,"Lose – Tablare geschätzt; ","")))&amp;IF(H1146&gt;AW1146,"Überbestand "&amp;ROUND(H1146-AW1146,0)&amp;" Stk / CHF "&amp;ROUND((H1146-AW1146)*G1146,0)&amp;"; ","")&amp;IF(AND(CI1146=1,CJ1146&lt;CK1146),"MAX &lt; MB+LG; ","")&amp;IF(AND(CQ1146&gt;0,CP1146*10&gt;CQ1146),"zu hoch für Tablar; ","")&amp;IF(AND(BW1146=0,OR(CI1146=1,AB1146&lt;&gt;"",U1146&lt;&gt;"",V1146&lt;&gt;"",AC1146&lt;&gt;"")),"manuell übersteuert; ","")&amp;IF(AND(CA1146=0,R1146=0),"Gebinde unbekannt / Stellmass fehlt; ","")&amp;IF(AND(CA1146=0,N(V1146)&lt;=0,N(Q1146)&lt;=0),"Menge pro Gebinde fehlt (Ist = 1 Gebinde); ","")&amp;BV1146)</f>
        <v>negativer Bestand (Export -1); Kein Verbrauch; Überbestand 4 Stk / CHF 1184; Neu; grosser Artikel &amp; nicht im KTL</v>
      </c>
      <c r="BO1146" s="60"/>
      <c r="BP1146" s="60"/>
      <c r="BQ1146" s="67"/>
      <c r="BR1146" s="62" t="n">
        <v>-1</v>
      </c>
      <c r="BS1146" s="62" t="n">
        <v>6</v>
      </c>
      <c r="BT1146" s="61" t="n">
        <v>-296</v>
      </c>
      <c r="BU1146" s="62" t="n">
        <v>0</v>
      </c>
      <c r="BV1146" s="60" t="s">
        <v>2112</v>
      </c>
      <c r="BW1146" s="65" t="n">
        <v>0</v>
      </c>
      <c r="BX1146" s="65" t="n">
        <v>1146</v>
      </c>
      <c r="BY1146" s="60" t="str">
        <f aca="false">IF(U1146&lt;&gt;"",UPPER(TRIM(U1146)),IF(CB1146=1,UPPER(VLOOKUP(T1146,Parameter!$I$27:$K$29,2,0)),IF(P1146="","LOSE",P1146)))</f>
        <v>S71</v>
      </c>
      <c r="BZ1146" s="62" t="n">
        <f aca="false">IF(BY1146="LOSE",1,IF(N(V1146)&gt;0,V1146,IF(CB1146=1,MAX(1,N(VLOOKUP(T1146,Parameter!$I$27:$K$29,3,0)),H1146,N(N1146)),IF(N(Q1146)&gt;0,Q1146,MAX(1,H1146)))))</f>
        <v>15</v>
      </c>
      <c r="CA1146" s="65" t="n">
        <f aca="false">IF(BY1146="LOSE",1,0)</f>
        <v>0</v>
      </c>
      <c r="CB1146" s="65" t="n">
        <f aca="false">IF(AND(U1146="",OR(P1146="",P1146="LOSE"),T1146&lt;&gt;"",N(S1146)&lt;=0,ISNUMBER(MATCH(T1146,Parameter!$I$27:$I$29,0))),1,0)</f>
        <v>0</v>
      </c>
      <c r="CC1146" s="65" t="n">
        <f aca="false">IF(CR1146&gt;0,INDEX(Parameter!$H$5:$H$7,W1146)/INDEX(Parameter!$E$5:$E$7,W1146),IF(AND(CA1146=0,N(IFERROR(VLOOKUP(BY1146,'Gebinde-Kategorie'!$A$5:$N$45,14,0),0))&gt;0),VLOOKUP(BY1146,'Gebinde-Kategorie'!$A$5:$N$45,14,0)*10+Parameter!$M$23,Parameter!$M$24))</f>
        <v>235</v>
      </c>
      <c r="CD1146" s="60" t="str">
        <f aca="false">IF(AND(Parameter!$B$19="Ja",E1146&lt;&gt;"",ISNUMBER(MATCH(E1146,Parameter!$I$35:$I$52,0))),VLOOKUP(E1146,Parameter!$I$35:$J$52,2,0),IFERROR(VLOOKUP(D1146,Parameter!$A$35:$C$64,2,0),"Nein"))</f>
        <v>2+3</v>
      </c>
      <c r="CE1146" s="64" t="n">
        <f aca="false">IF(CA1146=0,0,IF(N(S1146)&gt;0,S1146,IFERROR(VLOOKUP(D1146,Parameter!$A$35:$C$64,3,0)+0,0)))</f>
        <v>0</v>
      </c>
      <c r="CF1146" s="60" t="n">
        <f aca="false">IF(AB1146&lt;&gt;"",AB1146,AA1146)</f>
        <v>1</v>
      </c>
      <c r="CG1146" s="60" t="str">
        <f aca="false">IF(OR(CF1146=1,CF1146=2,CF1146=3),IF(Parameter!$E$27="Ja","LIFT",IF(CF1146=1,"L1","L23")),IF(CF1146="Aussen","Aussen","-"))</f>
        <v>LIFT</v>
      </c>
      <c r="CH1146" s="71" t="n">
        <f aca="false">IF(N(AC1146)&gt;0,AC1146,0)</f>
        <v>0</v>
      </c>
      <c r="CI1146" s="65" t="n">
        <f aca="false">IF(ISNUMBER(AF1146),1,0)</f>
        <v>0</v>
      </c>
      <c r="CJ1146" s="62" t="n">
        <f aca="false">N(AF1146)</f>
        <v>0</v>
      </c>
      <c r="CK1146" s="62" t="n">
        <f aca="false">N(M1146)+N(N1146)</f>
        <v>1</v>
      </c>
      <c r="CL1146" s="62" t="n">
        <f aca="false">N(M1146)</f>
        <v>0</v>
      </c>
      <c r="CM1146" s="62" t="n">
        <f aca="false">N(N1146)</f>
        <v>1</v>
      </c>
      <c r="CN1146" s="62" t="n">
        <f aca="false">ROUNDUP(H1146/BZ1146,0)</f>
        <v>1</v>
      </c>
      <c r="CO1146" s="62" t="n">
        <f aca="false">ROUNDUP(CJ1146/BZ1146,0)</f>
        <v>0</v>
      </c>
      <c r="CP1146" s="65" t="n">
        <f aca="false">IF(CA1146=1,0,IFERROR(VLOOKUP(BY1146,'Gebinde-Kategorie'!$A$5:$N$45,5,0)+0,0))</f>
        <v>20</v>
      </c>
      <c r="CQ1146" s="65" t="n">
        <f aca="false">IFERROR(IF(OR(CF1146=1,CF1146=2,CF1146=3),N(INDEX(Parameter!$I$5:$I$7,CF1146)),0),0)</f>
        <v>0</v>
      </c>
      <c r="CR1146" s="64" t="n">
        <f aca="false">IF(AND(Parameter!$B$21="Ja",ISNUMBER(W1146),N(X1146)&gt;0),IFERROR(N(INDEX(Parameter!$L$5:$L$7,W1146))*INDEX(Parameter!$E$5:$E$7,W1146)*X1146/SUMIFS($X$7:$X$1843,$W$7:$W$1843,W1146),0),0)</f>
        <v>0</v>
      </c>
      <c r="CS1146" s="62" t="n">
        <f aca="false">IF(AND(OR(CG1146="L1",CG1146="L23",CG1146="LIFT"),H1146&gt;0),CC1146*IF(CR1146&gt;0,CR1146*MAX(1,H1146/X1146),IF(CA1146=1,CE1146,IF(R1146&gt;0,CN1146/R1146,0))/MAX(0.1,N(Parameter!$M$21))),"")</f>
        <v>39.1666666666667</v>
      </c>
      <c r="CT1146" s="64" t="n">
        <f aca="false">IF(CS1146="","",J1146/H1146)</f>
        <v>0</v>
      </c>
      <c r="CU1146" s="62" t="n">
        <f aca="false">IF(CS1146="","",H1146*G1146)</f>
        <v>1480</v>
      </c>
      <c r="CV1146" s="63" t="n">
        <f aca="false">IF(CS1146="","",(CL1146+ROUNDUP(CL1146+MAX(CM1146,2*(J1146/MAX(0.1,N(Einkauf!$C$6))-CL1146)),0))/2)</f>
        <v>0.5</v>
      </c>
      <c r="CW1146" s="62" t="n">
        <f aca="false">IF(CS1146="","",MAX(0,H1146-CV1146)*G1146)</f>
        <v>1332</v>
      </c>
      <c r="CX1146" s="62" t="n">
        <f aca="false">IF(CS1146="","",CS1146*MAX(0,1-CV1146/H1146))</f>
        <v>35.25</v>
      </c>
      <c r="CY1146" s="64" t="n">
        <f aca="false">IF(CS1146="","",PERCENTRANK($CS$7:$CS$1843,CS1146)+PERCENTRANK($CU$7:$CU$1843,CU1146)+1-PERCENTRANK($CT$7:$CT$1843,CT1146))</f>
        <v>2.576</v>
      </c>
      <c r="CZ1146" s="72" t="n">
        <f aca="false">IF(CS1146="","",CHOOSE(MATCH(Einkauf!$C$5,Parameter!$G$23:$G$27,0),CY1146,CS1146,CU1146,-CT1146,CW1146)+ROW()/1000000000)</f>
        <v>2.576001146</v>
      </c>
    </row>
    <row r="1147" customFormat="false" ht="15" hidden="false" customHeight="false" outlineLevel="0" collapsed="false">
      <c r="A1147" s="60" t="s">
        <v>2114</v>
      </c>
      <c r="B1147" s="60" t="s">
        <v>255</v>
      </c>
      <c r="C1147" s="60" t="s">
        <v>206</v>
      </c>
      <c r="D1147" s="60" t="s">
        <v>215</v>
      </c>
      <c r="E1147" s="60"/>
      <c r="F1147" s="60" t="s">
        <v>260</v>
      </c>
      <c r="G1147" s="61" t="n">
        <v>66.38</v>
      </c>
      <c r="H1147" s="62" t="n">
        <f aca="false">MAX(0,IF(AND(Parameter!$B$21="Ja",ISNUMBER(Y1147)),Y1147,IF(Parameter!$B$20="Jahresanfang 2025 + Export",BS1147+BR1147,BR1147)))</f>
        <v>9</v>
      </c>
      <c r="I1147" s="62" t="n">
        <f aca="false">H1147*G1147</f>
        <v>597.42</v>
      </c>
      <c r="J1147" s="62" t="n">
        <f aca="false">BU1147*Parameter!$B$18</f>
        <v>29</v>
      </c>
      <c r="K1147" s="63" t="n">
        <v>6</v>
      </c>
      <c r="L1147" s="64" t="n">
        <v>4.83333333333333</v>
      </c>
      <c r="M1147" s="62" t="n">
        <v>7</v>
      </c>
      <c r="N1147" s="62" t="n">
        <v>30</v>
      </c>
      <c r="O1147" s="65" t="n">
        <v>90</v>
      </c>
      <c r="P1147" s="60" t="s">
        <v>228</v>
      </c>
      <c r="Q1147" s="62" t="n">
        <v>20</v>
      </c>
      <c r="R1147" s="65" t="n">
        <f aca="false">IF(CA1147=1,0,IFERROR(VLOOKUP(BY1147,'Gebinde-Kategorie'!$A$5:$N$45,13,0)+0,0))</f>
        <v>12</v>
      </c>
      <c r="S1147" s="66"/>
      <c r="T1147" s="67"/>
      <c r="U1147" s="67"/>
      <c r="V1147" s="67"/>
      <c r="W1147" s="60"/>
      <c r="X1147" s="62"/>
      <c r="Y1147" s="62"/>
      <c r="Z1147" s="60" t="n">
        <v>3</v>
      </c>
      <c r="AA1147" s="60" t="n">
        <f aca="false">IF(A1147="","",IF(AND(Parameter!$B$21="Ja",ISNUMBER(W1147)),W1147,IF(AND(Parameter!$E$27="Ja",ISNUMBER(Z1147),CD1147&lt;&gt;"Nein"),Z1147,IF(CD1147="2+3",IF(ISNUMBER(SEARCH("grosser Artikel",BV1147)),2,IFERROR(VLOOKUP(BY1147,Parameter!$F$35:$G$64,2,0),2)),IF(OR(CD1147="Nein",CD1147=""),"-",CD1147)))))</f>
        <v>3</v>
      </c>
      <c r="AB1147" s="67"/>
      <c r="AC1147" s="68"/>
      <c r="AD1147" s="62" t="n">
        <f aca="false">AW1147</f>
        <v>37</v>
      </c>
      <c r="AE1147" s="62" t="n">
        <f aca="false">MAX(AW1147,H1147)</f>
        <v>37</v>
      </c>
      <c r="AF1147" s="69"/>
      <c r="AG1147" s="62" t="n">
        <f aca="false">IF(LEFT(Cockpit!$C$5,1)="A",H1147,IF(Parameter!$E$30="MAX-Bestand",IF(CI1147=1,CJ1147,IF(LEFT(Cockpit!$C$5,1)="B",AM1147,MAX(AM1147,H1147))),ROUNDUP(AK1147,0)))</f>
        <v>9</v>
      </c>
      <c r="AH1147" s="62" t="n">
        <f aca="false">IF(CA1147=1,0,ROUNDUP(AG1147/BZ1147,0))</f>
        <v>1</v>
      </c>
      <c r="AI1147" s="64" t="n">
        <f aca="false">IF(CR1147&gt;0,CR1147*MAX(1,AG1147/X1147),IF(CA1147=1,IF(AG1147&lt;=0,0,CE1147*MAX(1,IF(H1147&gt;0,AG1147/H1147,1))),IF(R1147&gt;0,AH1147/R1147,0))/MAX(0.1,N(Parameter!$M$21)))</f>
        <v>0.0833333333333333</v>
      </c>
      <c r="AJ1147" s="62" t="n">
        <f aca="false">AI1147*CC1147</f>
        <v>12.0833333333333</v>
      </c>
      <c r="AK1147" s="63" t="n">
        <f aca="false">IF(LEFT(Cockpit!$C$5,1)="A",H1147,IF(CI1147=1,(CL1147+CJ1147)/2,IF(LEFT(Cockpit!$C$5,1)="B",(CL1147+AM1147)/2,MAX((CL1147+AM1147)/2,H1147))))</f>
        <v>9</v>
      </c>
      <c r="AL1147" s="62" t="n">
        <f aca="false">AK1147*G1147</f>
        <v>597.42</v>
      </c>
      <c r="AM1147" s="62" t="n">
        <f aca="false">ROUNDUP(CL1147+MAX(CM1147,2*(J1147/IF(CH1147&gt;0,CH1147,MAX(0.1,N(Cockpit!$C$6)))-CL1147)),0)</f>
        <v>37</v>
      </c>
      <c r="AN1147" s="63" t="n">
        <f aca="false">IF(AJ1147&gt;0,J1147/AJ1147,-1)</f>
        <v>2.4</v>
      </c>
      <c r="AO1147" s="63" t="n">
        <f aca="false">IF(AND(OR(CG1147="L1",CG1147="L23",CG1147="LIFT"),AJ1147&gt;0),SUMIFS($AJ$7:$AJ$1843,$CG$7:$CG$1843,CG1147,$AN$7:$AN$1843,"&gt;"&amp;AN1147)+SUMIFS($AJ$7:$AJ$1843,$CG$7:$CG$1843,CG1147,$AN$7:$AN$1843,AN1147,$BX$7:$BX$1843,"&lt;="&amp;BX1147),"")</f>
        <v>5613.33379120879</v>
      </c>
      <c r="AP1147" s="70" t="n">
        <f aca="false">IF(AO1147="",0,MAX(0,MIN(1,(IF(CG1147="L1",Parameter!$H$5,IF(CG1147="L23",Parameter!$H$6+Parameter!$H$7,Parameter!$H$5+Parameter!$H$6+Parameter!$H$7))-(AO1147-AJ1147))/AJ1147)))</f>
        <v>1</v>
      </c>
      <c r="AQ1147" s="62" t="n">
        <f aca="false">IF(LEFT(Cockpit!$I$5,1)="A",H1147,IF(Parameter!$E$30="MAX-Bestand",IF(CI1147=1,CJ1147,IF(LEFT(Cockpit!$I$5,1)="B",AW1147,MAX(AW1147,H1147))),ROUNDUP(AU1147,0)))</f>
        <v>22</v>
      </c>
      <c r="AR1147" s="62" t="n">
        <f aca="false">IF(CA1147=1,0,ROUNDUP(AQ1147/BZ1147,0))</f>
        <v>2</v>
      </c>
      <c r="AS1147" s="64" t="n">
        <f aca="false">IF(CR1147&gt;0,CR1147*MAX(1,AQ1147/X1147),IF(CA1147=1,IF(AQ1147&lt;=0,0,CE1147*MAX(1,IF(H1147&gt;0,AQ1147/H1147,1))),IF(R1147&gt;0,AR1147/R1147,0))/MAX(0.1,N(Parameter!$M$21)))</f>
        <v>0.166666666666667</v>
      </c>
      <c r="AT1147" s="62" t="n">
        <f aca="false">AS1147*CC1147</f>
        <v>24.1666666666667</v>
      </c>
      <c r="AU1147" s="63" t="n">
        <f aca="false">IF(LEFT(Cockpit!$I$5,1)="A",H1147,IF(CI1147=1,(CL1147+CJ1147)/2,IF(LEFT(Cockpit!$I$5,1)="B",(CL1147+AW1147)/2,MAX((CL1147+AW1147)/2,H1147))))</f>
        <v>22</v>
      </c>
      <c r="AV1147" s="62" t="n">
        <f aca="false">AU1147*G1147</f>
        <v>1460.36</v>
      </c>
      <c r="AW1147" s="62" t="n">
        <f aca="false">ROUNDUP(CL1147+MAX(CM1147,2*(J1147/IF(CH1147&gt;0,CH1147,MAX(0.1,N(Cockpit!$I$6)))-CL1147)),0)</f>
        <v>37</v>
      </c>
      <c r="AX1147" s="63" t="n">
        <f aca="false">IF(AT1147&gt;0,J1147/AT1147,-1)</f>
        <v>1.2</v>
      </c>
      <c r="AY1147" s="63" t="n">
        <f aca="false">IF(AND(OR(CG1147="L1",CG1147="L23",CG1147="LIFT"),AT1147&gt;0),SUMIFS($AT$7:$AT$1843,$CG$7:$CG$1843,CG1147,$AX$7:$AX$1843,"&gt;"&amp;AX1147)+SUMIFS($AT$7:$AT$1843,$CG$7:$CG$1843,CG1147,$AX$7:$AX$1843,AX1147,$BX$7:$BX$1843,"&lt;="&amp;BX1147),"")</f>
        <v>8131.13278388278</v>
      </c>
      <c r="AZ1147" s="70" t="n">
        <f aca="false">IF(AY1147="",0,MAX(0,MIN(1,(IF(CG1147="L1",Parameter!$H$5,IF(CG1147="L23",Parameter!$H$6+Parameter!$H$7,Parameter!$H$5+Parameter!$H$6+Parameter!$H$7))-(AY1147-AT1147))/AT1147)))</f>
        <v>1</v>
      </c>
      <c r="BA1147" s="62" t="n">
        <f aca="false">IF(LEFT(Cockpit!$O$5,1)="A",H1147,IF(Parameter!$E$30="MAX-Bestand",IF(CI1147=1,CJ1147,IF(LEFT(Cockpit!$O$5,1)="B",BG1147,MAX(BG1147,H1147))),ROUNDUP(BE1147,0)))</f>
        <v>22</v>
      </c>
      <c r="BB1147" s="62" t="n">
        <f aca="false">IF(CA1147=1,0,ROUNDUP(BA1147/BZ1147,0))</f>
        <v>2</v>
      </c>
      <c r="BC1147" s="64" t="n">
        <f aca="false">IF(CR1147&gt;0,CR1147*MAX(1,BA1147/X1147),IF(CA1147=1,IF(BA1147&lt;=0,0,CE1147*MAX(1,IF(H1147&gt;0,BA1147/H1147,1))),IF(R1147&gt;0,BB1147/R1147,0))/MAX(0.1,N(Parameter!$M$21)))</f>
        <v>0.166666666666667</v>
      </c>
      <c r="BD1147" s="62" t="n">
        <f aca="false">BC1147*CC1147</f>
        <v>24.1666666666667</v>
      </c>
      <c r="BE1147" s="63" t="n">
        <f aca="false">IF(LEFT(Cockpit!$O$5,1)="A",H1147,IF(CI1147=1,(CL1147+CJ1147)/2,IF(LEFT(Cockpit!$O$5,1)="B",(CL1147+BG1147)/2,MAX((CL1147+BG1147)/2,H1147))))</f>
        <v>22</v>
      </c>
      <c r="BF1147" s="62" t="n">
        <f aca="false">BE1147*G1147</f>
        <v>1460.36</v>
      </c>
      <c r="BG1147" s="62" t="n">
        <f aca="false">ROUNDUP(CL1147+MAX(CM1147,2*(J1147/IF(CH1147&gt;0,CH1147,MAX(0.1,N(Cockpit!$O$6)))-CL1147)),0)</f>
        <v>37</v>
      </c>
      <c r="BH1147" s="63" t="n">
        <f aca="false">IF(BD1147&gt;0,J1147/BD1147,-1)</f>
        <v>1.2</v>
      </c>
      <c r="BI1147" s="63" t="n">
        <f aca="false">IF(AND(OR(CG1147="L1",CG1147="L23",CG1147="LIFT"),BD1147&gt;0),SUMIFS($BD$7:$BD$1843,$CG$7:$CG$1843,CG1147,$BH$7:$BH$1843,"&gt;"&amp;BH1147)+SUMIFS($BD$7:$BD$1843,$CG$7:$CG$1843,CG1147,$BH$7:$BH$1843,BH1147,$BX$7:$BX$1843,"&lt;="&amp;BX1147),"")</f>
        <v>7143.25228937729</v>
      </c>
      <c r="BJ1147" s="70" t="n">
        <f aca="false">IF(BI1147="",0,MAX(0,MIN(1,(IF(CG1147="L1",Parameter!$H$5,IF(CG1147="L23",Parameter!$H$6+Parameter!$H$7,Parameter!$H$5+Parameter!$H$6+Parameter!$H$7))-(BI1147-BD1147))/BD1147)))</f>
        <v>1</v>
      </c>
      <c r="BK1147" s="60" t="str">
        <f aca="false">IF(AJ1147&lt;=0,"",IF(CG1147="Aussen","Aussenlager",IF(CG1147="-","Nicht im Lift",IF(AP1147&gt;=1,"Lift",IF(AP1147&lt;=0,"Aussenlager","teilweise")))))</f>
        <v>Lift</v>
      </c>
      <c r="BL1147" s="60" t="str">
        <f aca="false">IF(AT1147&lt;=0,"",IF(CG1147="Aussen","Aussenlager",IF(CG1147="-","Nicht im Lift",IF(AZ1147&gt;=1,"Lift",IF(AZ1147&lt;=0,"Aussenlager","teilweise")))))</f>
        <v>Lift</v>
      </c>
      <c r="BM1147" s="60" t="str">
        <f aca="false">IF(BD1147&lt;=0,"",IF(CG1147="Aussen","Aussenlager",IF(CG1147="-","Nicht im Lift",IF(BJ1147&gt;=1,"Lift",IF(BJ1147&lt;=0,"Aussenlager","teilweise")))))</f>
        <v>Lift</v>
      </c>
      <c r="BN1147" s="60" t="str">
        <f aca="false">IF(A1147="","",IF(BW1147=1,"Neu; ","")&amp;IF(AND(BW1147=0,BR1147&lt;0),"negativer Bestand (Export "&amp;BR1147&amp;"); ","")&amp;IF(J1147&lt;=0,"Kein Verbrauch; ","")&amp;IF(CR1147&gt;0,"Lift "&amp;W1147&amp;" lt. Liftbericht (Fach "&amp;X1147&amp;" Stk); ",IF(CB1147=1,"Gebinde geschätzt ("&amp;T1147&amp;"); ",IF(CA1147=1,"Lose – Tablare geschätzt; ","")))&amp;IF(H1147&gt;AW1147,"Überbestand "&amp;ROUND(H1147-AW1147,0)&amp;" Stk / CHF "&amp;ROUND((H1147-AW1147)*G1147,0)&amp;"; ","")&amp;IF(AND(CI1147=1,CJ1147&lt;CK1147),"MAX &lt; MB+LG; ","")&amp;IF(AND(CQ1147&gt;0,CP1147*10&gt;CQ1147),"zu hoch für Tablar; ","")&amp;IF(AND(BW1147=0,OR(CI1147=1,AB1147&lt;&gt;"",U1147&lt;&gt;"",V1147&lt;&gt;"",AC1147&lt;&gt;"")),"manuell übersteuert; ","")&amp;IF(AND(CA1147=0,R1147=0),"Gebinde unbekannt / Stellmass fehlt; ","")&amp;IF(AND(CA1147=0,N(V1147)&lt;=0,N(Q1147)&lt;=0),"Menge pro Gebinde fehlt (Ist = 1 Gebinde); ","")&amp;BV1147)</f>
        <v>negativer Bestand (Export -1); </v>
      </c>
      <c r="BO1147" s="60"/>
      <c r="BP1147" s="60"/>
      <c r="BQ1147" s="67"/>
      <c r="BR1147" s="62" t="n">
        <v>-1</v>
      </c>
      <c r="BS1147" s="62" t="n">
        <v>10</v>
      </c>
      <c r="BT1147" s="61" t="n">
        <v>-299.28</v>
      </c>
      <c r="BU1147" s="62" t="n">
        <v>29</v>
      </c>
      <c r="BV1147" s="60"/>
      <c r="BW1147" s="65" t="n">
        <v>0</v>
      </c>
      <c r="BX1147" s="65" t="n">
        <v>1147</v>
      </c>
      <c r="BY1147" s="60" t="str">
        <f aca="false">IF(U1147&lt;&gt;"",UPPER(TRIM(U1147)),IF(CB1147=1,UPPER(VLOOKUP(T1147,Parameter!$I$27:$K$29,2,0)),IF(P1147="","LOSE",P1147)))</f>
        <v>S61</v>
      </c>
      <c r="BZ1147" s="62" t="n">
        <f aca="false">IF(BY1147="LOSE",1,IF(N(V1147)&gt;0,V1147,IF(CB1147=1,MAX(1,N(VLOOKUP(T1147,Parameter!$I$27:$K$29,3,0)),H1147,N(N1147)),IF(N(Q1147)&gt;0,Q1147,MAX(1,H1147)))))</f>
        <v>20</v>
      </c>
      <c r="CA1147" s="65" t="n">
        <f aca="false">IF(BY1147="LOSE",1,0)</f>
        <v>0</v>
      </c>
      <c r="CB1147" s="65" t="n">
        <f aca="false">IF(AND(U1147="",OR(P1147="",P1147="LOSE"),T1147&lt;&gt;"",N(S1147)&lt;=0,ISNUMBER(MATCH(T1147,Parameter!$I$27:$I$29,0))),1,0)</f>
        <v>0</v>
      </c>
      <c r="CC1147" s="65" t="n">
        <f aca="false">IF(CR1147&gt;0,INDEX(Parameter!$H$5:$H$7,W1147)/INDEX(Parameter!$E$5:$E$7,W1147),IF(AND(CA1147=0,N(IFERROR(VLOOKUP(BY1147,'Gebinde-Kategorie'!$A$5:$N$45,14,0),0))&gt;0),VLOOKUP(BY1147,'Gebinde-Kategorie'!$A$5:$N$45,14,0)*10+Parameter!$M$23,Parameter!$M$24))</f>
        <v>145</v>
      </c>
      <c r="CD1147" s="60" t="str">
        <f aca="false">IF(AND(Parameter!$B$19="Ja",E1147&lt;&gt;"",ISNUMBER(MATCH(E1147,Parameter!$I$35:$I$52,0))),VLOOKUP(E1147,Parameter!$I$35:$J$52,2,0),IFERROR(VLOOKUP(D1147,Parameter!$A$35:$C$64,2,0),"Nein"))</f>
        <v>2+3</v>
      </c>
      <c r="CE1147" s="64" t="n">
        <f aca="false">IF(CA1147=0,0,IF(N(S1147)&gt;0,S1147,IFERROR(VLOOKUP(D1147,Parameter!$A$35:$C$64,3,0)+0,0)))</f>
        <v>0</v>
      </c>
      <c r="CF1147" s="60" t="n">
        <f aca="false">IF(AB1147&lt;&gt;"",AB1147,AA1147)</f>
        <v>3</v>
      </c>
      <c r="CG1147" s="60" t="str">
        <f aca="false">IF(OR(CF1147=1,CF1147=2,CF1147=3),IF(Parameter!$E$27="Ja","LIFT",IF(CF1147=1,"L1","L23")),IF(CF1147="Aussen","Aussen","-"))</f>
        <v>LIFT</v>
      </c>
      <c r="CH1147" s="71" t="n">
        <f aca="false">IF(N(AC1147)&gt;0,AC1147,0)</f>
        <v>0</v>
      </c>
      <c r="CI1147" s="65" t="n">
        <f aca="false">IF(ISNUMBER(AF1147),1,0)</f>
        <v>0</v>
      </c>
      <c r="CJ1147" s="62" t="n">
        <f aca="false">N(AF1147)</f>
        <v>0</v>
      </c>
      <c r="CK1147" s="62" t="n">
        <f aca="false">N(M1147)+N(N1147)</f>
        <v>37</v>
      </c>
      <c r="CL1147" s="62" t="n">
        <f aca="false">N(M1147)</f>
        <v>7</v>
      </c>
      <c r="CM1147" s="62" t="n">
        <f aca="false">N(N1147)</f>
        <v>30</v>
      </c>
      <c r="CN1147" s="62" t="n">
        <f aca="false">ROUNDUP(H1147/BZ1147,0)</f>
        <v>1</v>
      </c>
      <c r="CO1147" s="62" t="n">
        <f aca="false">ROUNDUP(CJ1147/BZ1147,0)</f>
        <v>0</v>
      </c>
      <c r="CP1147" s="65" t="n">
        <f aca="false">IF(CA1147=1,0,IFERROR(VLOOKUP(BY1147,'Gebinde-Kategorie'!$A$5:$N$45,5,0)+0,0))</f>
        <v>11</v>
      </c>
      <c r="CQ1147" s="65" t="n">
        <f aca="false">IFERROR(IF(OR(CF1147=1,CF1147=2,CF1147=3),N(INDEX(Parameter!$I$5:$I$7,CF1147)),0),0)</f>
        <v>0</v>
      </c>
      <c r="CR1147" s="64" t="n">
        <f aca="false">IF(AND(Parameter!$B$21="Ja",ISNUMBER(W1147),N(X1147)&gt;0),IFERROR(N(INDEX(Parameter!$L$5:$L$7,W1147))*INDEX(Parameter!$E$5:$E$7,W1147)*X1147/SUMIFS($X$7:$X$1843,$W$7:$W$1843,W1147),0),0)</f>
        <v>0</v>
      </c>
      <c r="CS1147" s="62" t="n">
        <f aca="false">IF(AND(OR(CG1147="L1",CG1147="L23",CG1147="LIFT"),H1147&gt;0),CC1147*IF(CR1147&gt;0,CR1147*MAX(1,H1147/X1147),IF(CA1147=1,CE1147,IF(R1147&gt;0,CN1147/R1147,0))/MAX(0.1,N(Parameter!$M$21))),"")</f>
        <v>12.0833333333333</v>
      </c>
      <c r="CT1147" s="64" t="n">
        <f aca="false">IF(CS1147="","",J1147/H1147)</f>
        <v>3.22222222222222</v>
      </c>
      <c r="CU1147" s="62" t="n">
        <f aca="false">IF(CS1147="","",H1147*G1147)</f>
        <v>597.42</v>
      </c>
      <c r="CV1147" s="63" t="n">
        <f aca="false">IF(CS1147="","",(CL1147+ROUNDUP(CL1147+MAX(CM1147,2*(J1147/MAX(0.1,N(Einkauf!$C$6))-CL1147)),0))/2)</f>
        <v>22</v>
      </c>
      <c r="CW1147" s="62" t="n">
        <f aca="false">IF(CS1147="","",MAX(0,H1147-CV1147)*G1147)</f>
        <v>0</v>
      </c>
      <c r="CX1147" s="62" t="n">
        <f aca="false">IF(CS1147="","",CS1147*MAX(0,1-CV1147/H1147))</f>
        <v>0</v>
      </c>
      <c r="CY1147" s="64" t="n">
        <f aca="false">IF(CS1147="","",PERCENTRANK($CS$7:$CS$1843,CS1147)+PERCENTRANK($CU$7:$CU$1843,CU1147)+1-PERCENTRANK($CT$7:$CT$1843,CT1147))</f>
        <v>1.307</v>
      </c>
      <c r="CZ1147" s="72" t="n">
        <f aca="false">IF(CS1147="","",CHOOSE(MATCH(Einkauf!$C$5,Parameter!$G$23:$G$27,0),CY1147,CS1147,CU1147,-CT1147,CW1147)+ROW()/1000000000)</f>
        <v>1.307001147</v>
      </c>
    </row>
    <row r="1148" customFormat="false" ht="15" hidden="false" customHeight="false" outlineLevel="0" collapsed="false">
      <c r="A1148" s="60" t="s">
        <v>2115</v>
      </c>
      <c r="B1148" s="60" t="s">
        <v>2116</v>
      </c>
      <c r="C1148" s="60" t="s">
        <v>206</v>
      </c>
      <c r="D1148" s="60" t="s">
        <v>226</v>
      </c>
      <c r="E1148" s="60"/>
      <c r="F1148" s="60" t="s">
        <v>260</v>
      </c>
      <c r="G1148" s="61" t="n">
        <v>151.25</v>
      </c>
      <c r="H1148" s="62" t="n">
        <f aca="false">MAX(0,IF(AND(Parameter!$B$21="Ja",ISNUMBER(Y1148)),Y1148,IF(Parameter!$B$20="Jahresanfang 2025 + Export",BS1148+BR1148,BR1148)))</f>
        <v>0</v>
      </c>
      <c r="I1148" s="62" t="n">
        <f aca="false">H1148*G1148</f>
        <v>0</v>
      </c>
      <c r="J1148" s="62" t="n">
        <f aca="false">BU1148*Parameter!$B$18</f>
        <v>0</v>
      </c>
      <c r="K1148" s="63" t="n">
        <v>1</v>
      </c>
      <c r="L1148" s="64" t="n">
        <v>0</v>
      </c>
      <c r="M1148" s="62" t="n">
        <v>0</v>
      </c>
      <c r="N1148" s="62" t="n">
        <v>1</v>
      </c>
      <c r="O1148" s="65" t="n">
        <v>42</v>
      </c>
      <c r="P1148" s="60" t="s">
        <v>210</v>
      </c>
      <c r="Q1148" s="62"/>
      <c r="R1148" s="65" t="n">
        <f aca="false">IF(CA1148=1,0,IFERROR(VLOOKUP(BY1148,'Gebinde-Kategorie'!$A$5:$N$45,13,0)+0,0))</f>
        <v>26</v>
      </c>
      <c r="S1148" s="66"/>
      <c r="T1148" s="67" t="s">
        <v>317</v>
      </c>
      <c r="U1148" s="67"/>
      <c r="V1148" s="67"/>
      <c r="W1148" s="60"/>
      <c r="X1148" s="62"/>
      <c r="Y1148" s="62"/>
      <c r="Z1148" s="60" t="n">
        <v>3</v>
      </c>
      <c r="AA1148" s="60" t="n">
        <f aca="false">IF(A1148="","",IF(AND(Parameter!$B$21="Ja",ISNUMBER(W1148)),W1148,IF(AND(Parameter!$E$27="Ja",ISNUMBER(Z1148),CD1148&lt;&gt;"Nein"),Z1148,IF(CD1148="2+3",IF(ISNUMBER(SEARCH("grosser Artikel",BV1148)),2,IFERROR(VLOOKUP(BY1148,Parameter!$F$35:$G$64,2,0),2)),IF(OR(CD1148="Nein",CD1148=""),"-",CD1148)))))</f>
        <v>3</v>
      </c>
      <c r="AB1148" s="67"/>
      <c r="AC1148" s="68"/>
      <c r="AD1148" s="62" t="n">
        <f aca="false">AW1148</f>
        <v>1</v>
      </c>
      <c r="AE1148" s="62" t="n">
        <f aca="false">MAX(AW1148,H1148)</f>
        <v>1</v>
      </c>
      <c r="AF1148" s="69"/>
      <c r="AG1148" s="62" t="n">
        <f aca="false">IF(LEFT(Cockpit!$C$5,1)="A",H1148,IF(Parameter!$E$30="MAX-Bestand",IF(CI1148=1,CJ1148,IF(LEFT(Cockpit!$C$5,1)="B",AM1148,MAX(AM1148,H1148))),ROUNDUP(AK1148,0)))</f>
        <v>0</v>
      </c>
      <c r="AH1148" s="62" t="n">
        <f aca="false">IF(CA1148=1,0,ROUNDUP(AG1148/BZ1148,0))</f>
        <v>0</v>
      </c>
      <c r="AI1148" s="64" t="n">
        <f aca="false">IF(CR1148&gt;0,CR1148*MAX(1,AG1148/X1148),IF(CA1148=1,IF(AG1148&lt;=0,0,CE1148*MAX(1,IF(H1148&gt;0,AG1148/H1148,1))),IF(R1148&gt;0,AH1148/R1148,0))/MAX(0.1,N(Parameter!$M$21)))</f>
        <v>0</v>
      </c>
      <c r="AJ1148" s="62" t="n">
        <f aca="false">AI1148*CC1148</f>
        <v>0</v>
      </c>
      <c r="AK1148" s="63" t="n">
        <f aca="false">IF(LEFT(Cockpit!$C$5,1)="A",H1148,IF(CI1148=1,(CL1148+CJ1148)/2,IF(LEFT(Cockpit!$C$5,1)="B",(CL1148+AM1148)/2,MAX((CL1148+AM1148)/2,H1148))))</f>
        <v>0</v>
      </c>
      <c r="AL1148" s="62" t="n">
        <f aca="false">AK1148*G1148</f>
        <v>0</v>
      </c>
      <c r="AM1148" s="62" t="n">
        <f aca="false">ROUNDUP(CL1148+MAX(CM1148,2*(J1148/IF(CH1148&gt;0,CH1148,MAX(0.1,N(Cockpit!$C$6)))-CL1148)),0)</f>
        <v>1</v>
      </c>
      <c r="AN1148" s="63" t="n">
        <f aca="false">IF(AJ1148&gt;0,J1148/AJ1148,-1)</f>
        <v>-1</v>
      </c>
      <c r="AO1148" s="63" t="str">
        <f aca="false">IF(AND(OR(CG1148="L1",CG1148="L23",CG1148="LIFT"),AJ1148&gt;0),SUMIFS($AJ$7:$AJ$1843,$CG$7:$CG$1843,CG1148,$AN$7:$AN$1843,"&gt;"&amp;AN1148)+SUMIFS($AJ$7:$AJ$1843,$CG$7:$CG$1843,CG1148,$AN$7:$AN$1843,AN1148,$BX$7:$BX$1843,"&lt;="&amp;BX1148),"")</f>
        <v/>
      </c>
      <c r="AP1148" s="70" t="n">
        <f aca="false">IF(AO1148="",0,MAX(0,MIN(1,(IF(CG1148="L1",Parameter!$H$5,IF(CG1148="L23",Parameter!$H$6+Parameter!$H$7,Parameter!$H$5+Parameter!$H$6+Parameter!$H$7))-(AO1148-AJ1148))/AJ1148)))</f>
        <v>0</v>
      </c>
      <c r="AQ1148" s="62" t="n">
        <f aca="false">IF(LEFT(Cockpit!$I$5,1)="A",H1148,IF(Parameter!$E$30="MAX-Bestand",IF(CI1148=1,CJ1148,IF(LEFT(Cockpit!$I$5,1)="B",AW1148,MAX(AW1148,H1148))),ROUNDUP(AU1148,0)))</f>
        <v>1</v>
      </c>
      <c r="AR1148" s="62" t="n">
        <f aca="false">IF(CA1148=1,0,ROUNDUP(AQ1148/BZ1148,0))</f>
        <v>1</v>
      </c>
      <c r="AS1148" s="64" t="n">
        <f aca="false">IF(CR1148&gt;0,CR1148*MAX(1,AQ1148/X1148),IF(CA1148=1,IF(AQ1148&lt;=0,0,CE1148*MAX(1,IF(H1148&gt;0,AQ1148/H1148,1))),IF(R1148&gt;0,AR1148/R1148,0))/MAX(0.1,N(Parameter!$M$21)))</f>
        <v>0.0384615384615385</v>
      </c>
      <c r="AT1148" s="62" t="n">
        <f aca="false">AS1148*CC1148</f>
        <v>5.96153846153846</v>
      </c>
      <c r="AU1148" s="63" t="n">
        <f aca="false">IF(LEFT(Cockpit!$I$5,1)="A",H1148,IF(CI1148=1,(CL1148+CJ1148)/2,IF(LEFT(Cockpit!$I$5,1)="B",(CL1148+AW1148)/2,MAX((CL1148+AW1148)/2,H1148))))</f>
        <v>0.5</v>
      </c>
      <c r="AV1148" s="62" t="n">
        <f aca="false">AU1148*G1148</f>
        <v>75.625</v>
      </c>
      <c r="AW1148" s="62" t="n">
        <f aca="false">ROUNDUP(CL1148+MAX(CM1148,2*(J1148/IF(CH1148&gt;0,CH1148,MAX(0.1,N(Cockpit!$I$6)))-CL1148)),0)</f>
        <v>1</v>
      </c>
      <c r="AX1148" s="63" t="n">
        <f aca="false">IF(AT1148&gt;0,J1148/AT1148,-1)</f>
        <v>0</v>
      </c>
      <c r="AY1148" s="63" t="n">
        <f aca="false">IF(AND(OR(CG1148="L1",CG1148="L23",CG1148="LIFT"),AT1148&gt;0),SUMIFS($AT$7:$AT$1843,$CG$7:$CG$1843,CG1148,$AX$7:$AX$1843,"&gt;"&amp;AX1148)+SUMIFS($AT$7:$AT$1843,$CG$7:$CG$1843,CG1148,$AX$7:$AX$1843,AX1148,$BX$7:$BX$1843,"&lt;="&amp;BX1148),"")</f>
        <v>35154.7522893773</v>
      </c>
      <c r="AZ1148" s="70" t="n">
        <f aca="false">IF(AY1148="",0,MAX(0,MIN(1,(IF(CG1148="L1",Parameter!$H$5,IF(CG1148="L23",Parameter!$H$6+Parameter!$H$7,Parameter!$H$5+Parameter!$H$6+Parameter!$H$7))-(AY1148-AT1148))/AT1148)))</f>
        <v>1</v>
      </c>
      <c r="BA1148" s="62" t="n">
        <f aca="false">IF(LEFT(Cockpit!$O$5,1)="A",H1148,IF(Parameter!$E$30="MAX-Bestand",IF(CI1148=1,CJ1148,IF(LEFT(Cockpit!$O$5,1)="B",BG1148,MAX(BG1148,H1148))),ROUNDUP(BE1148,0)))</f>
        <v>1</v>
      </c>
      <c r="BB1148" s="62" t="n">
        <f aca="false">IF(CA1148=1,0,ROUNDUP(BA1148/BZ1148,0))</f>
        <v>1</v>
      </c>
      <c r="BC1148" s="64" t="n">
        <f aca="false">IF(CR1148&gt;0,CR1148*MAX(1,BA1148/X1148),IF(CA1148=1,IF(BA1148&lt;=0,0,CE1148*MAX(1,IF(H1148&gt;0,BA1148/H1148,1))),IF(R1148&gt;0,BB1148/R1148,0))/MAX(0.1,N(Parameter!$M$21)))</f>
        <v>0.0384615384615385</v>
      </c>
      <c r="BD1148" s="62" t="n">
        <f aca="false">BC1148*CC1148</f>
        <v>5.96153846153846</v>
      </c>
      <c r="BE1148" s="63" t="n">
        <f aca="false">IF(LEFT(Cockpit!$O$5,1)="A",H1148,IF(CI1148=1,(CL1148+CJ1148)/2,IF(LEFT(Cockpit!$O$5,1)="B",(CL1148+BG1148)/2,MAX((CL1148+BG1148)/2,H1148))))</f>
        <v>0.5</v>
      </c>
      <c r="BF1148" s="62" t="n">
        <f aca="false">BE1148*G1148</f>
        <v>75.625</v>
      </c>
      <c r="BG1148" s="62" t="n">
        <f aca="false">ROUNDUP(CL1148+MAX(CM1148,2*(J1148/IF(CH1148&gt;0,CH1148,MAX(0.1,N(Cockpit!$O$6)))-CL1148)),0)</f>
        <v>1</v>
      </c>
      <c r="BH1148" s="63" t="n">
        <f aca="false">IF(BD1148&gt;0,J1148/BD1148,-1)</f>
        <v>0</v>
      </c>
      <c r="BI1148" s="63" t="n">
        <f aca="false">IF(AND(OR(CG1148="L1",CG1148="L23",CG1148="LIFT"),BD1148&gt;0),SUMIFS($BD$7:$BD$1843,$CG$7:$CG$1843,CG1148,$BH$7:$BH$1843,"&gt;"&amp;BH1148)+SUMIFS($BD$7:$BD$1843,$CG$7:$CG$1843,CG1148,$BH$7:$BH$1843,BH1148,$BX$7:$BX$1843,"&lt;="&amp;BX1148),"")</f>
        <v>29140.0589495251</v>
      </c>
      <c r="BJ1148" s="70" t="n">
        <f aca="false">IF(BI1148="",0,MAX(0,MIN(1,(IF(CG1148="L1",Parameter!$H$5,IF(CG1148="L23",Parameter!$H$6+Parameter!$H$7,Parameter!$H$5+Parameter!$H$6+Parameter!$H$7))-(BI1148-BD1148))/BD1148)))</f>
        <v>1</v>
      </c>
      <c r="BK1148" s="60" t="str">
        <f aca="false">IF(AJ1148&lt;=0,"",IF(CG1148="Aussen","Aussenlager",IF(CG1148="-","Nicht im Lift",IF(AP1148&gt;=1,"Lift",IF(AP1148&lt;=0,"Aussenlager","teilweise")))))</f>
        <v/>
      </c>
      <c r="BL1148" s="60" t="str">
        <f aca="false">IF(AT1148&lt;=0,"",IF(CG1148="Aussen","Aussenlager",IF(CG1148="-","Nicht im Lift",IF(AZ1148&gt;=1,"Lift",IF(AZ1148&lt;=0,"Aussenlager","teilweise")))))</f>
        <v>Lift</v>
      </c>
      <c r="BM1148" s="60" t="str">
        <f aca="false">IF(BD1148&lt;=0,"",IF(CG1148="Aussen","Aussenlager",IF(CG1148="-","Nicht im Lift",IF(BJ1148&gt;=1,"Lift",IF(BJ1148&lt;=0,"Aussenlager","teilweise")))))</f>
        <v>Lift</v>
      </c>
      <c r="BN1148" s="60" t="str">
        <f aca="false">IF(A1148="","",IF(BW1148=1,"Neu; ","")&amp;IF(AND(BW1148=0,BR1148&lt;0),"negativer Bestand (Export "&amp;BR1148&amp;"); ","")&amp;IF(J1148&lt;=0,"Kein Verbrauch; ","")&amp;IF(CR1148&gt;0,"Lift "&amp;W1148&amp;" lt. Liftbericht (Fach "&amp;X1148&amp;" Stk); ",IF(CB1148=1,"Gebinde geschätzt ("&amp;T1148&amp;"); ",IF(CA1148=1,"Lose – Tablare geschätzt; ","")))&amp;IF(H1148&gt;AW1148,"Überbestand "&amp;ROUND(H1148-AW1148,0)&amp;" Stk / CHF "&amp;ROUND((H1148-AW1148)*G1148,0)&amp;"; ","")&amp;IF(AND(CI1148=1,CJ1148&lt;CK1148),"MAX &lt; MB+LG; ","")&amp;IF(AND(CQ1148&gt;0,CP1148*10&gt;CQ1148),"zu hoch für Tablar; ","")&amp;IF(AND(BW1148=0,OR(CI1148=1,AB1148&lt;&gt;"",U1148&lt;&gt;"",V1148&lt;&gt;"",AC1148&lt;&gt;"")),"manuell übersteuert; ","")&amp;IF(AND(CA1148=0,R1148=0),"Gebinde unbekannt / Stellmass fehlt; ","")&amp;IF(AND(CA1148=0,N(V1148)&lt;=0,N(Q1148)&lt;=0),"Menge pro Gebinde fehlt (Ist = 1 Gebinde); ","")&amp;BV1148)</f>
        <v>negativer Bestand (Export -2); Kein Verbrauch; Gebinde geschätzt (Klein); Menge pro Gebinde fehlt (Ist = 1 Gebinde); </v>
      </c>
      <c r="BO1148" s="60"/>
      <c r="BP1148" s="60"/>
      <c r="BQ1148" s="67"/>
      <c r="BR1148" s="62" t="n">
        <v>-2</v>
      </c>
      <c r="BS1148" s="62" t="n">
        <v>2</v>
      </c>
      <c r="BT1148" s="61" t="n">
        <v>-302.5</v>
      </c>
      <c r="BU1148" s="62" t="n">
        <v>0</v>
      </c>
      <c r="BV1148" s="60"/>
      <c r="BW1148" s="65" t="n">
        <v>0</v>
      </c>
      <c r="BX1148" s="65" t="n">
        <v>1148</v>
      </c>
      <c r="BY1148" s="60" t="str">
        <f aca="false">IF(U1148&lt;&gt;"",UPPER(TRIM(U1148)),IF(CB1148=1,UPPER(VLOOKUP(T1148,Parameter!$I$27:$K$29,2,0)),IF(P1148="","LOSE",P1148)))</f>
        <v>S51</v>
      </c>
      <c r="BZ1148" s="62" t="n">
        <f aca="false">IF(BY1148="LOSE",1,IF(N(V1148)&gt;0,V1148,IF(CB1148=1,MAX(1,N(VLOOKUP(T1148,Parameter!$I$27:$K$29,3,0)),H1148,N(N1148)),IF(N(Q1148)&gt;0,Q1148,MAX(1,H1148)))))</f>
        <v>20</v>
      </c>
      <c r="CA1148" s="65" t="n">
        <f aca="false">IF(BY1148="LOSE",1,0)</f>
        <v>0</v>
      </c>
      <c r="CB1148" s="65" t="n">
        <f aca="false">IF(AND(U1148="",OR(P1148="",P1148="LOSE"),T1148&lt;&gt;"",N(S1148)&lt;=0,ISNUMBER(MATCH(T1148,Parameter!$I$27:$I$29,0))),1,0)</f>
        <v>1</v>
      </c>
      <c r="CC1148" s="65" t="n">
        <f aca="false">IF(CR1148&gt;0,INDEX(Parameter!$H$5:$H$7,W1148)/INDEX(Parameter!$E$5:$E$7,W1148),IF(AND(CA1148=0,N(IFERROR(VLOOKUP(BY1148,'Gebinde-Kategorie'!$A$5:$N$45,14,0),0))&gt;0),VLOOKUP(BY1148,'Gebinde-Kategorie'!$A$5:$N$45,14,0)*10+Parameter!$M$23,Parameter!$M$24))</f>
        <v>155</v>
      </c>
      <c r="CD1148" s="60" t="str">
        <f aca="false">IF(AND(Parameter!$B$19="Ja",E1148&lt;&gt;"",ISNUMBER(MATCH(E1148,Parameter!$I$35:$I$52,0))),VLOOKUP(E1148,Parameter!$I$35:$J$52,2,0),IFERROR(VLOOKUP(D1148,Parameter!$A$35:$C$64,2,0),"Nein"))</f>
        <v>2+3</v>
      </c>
      <c r="CE1148" s="64" t="n">
        <f aca="false">IF(CA1148=0,0,IF(N(S1148)&gt;0,S1148,IFERROR(VLOOKUP(D1148,Parameter!$A$35:$C$64,3,0)+0,0)))</f>
        <v>0</v>
      </c>
      <c r="CF1148" s="60" t="n">
        <f aca="false">IF(AB1148&lt;&gt;"",AB1148,AA1148)</f>
        <v>3</v>
      </c>
      <c r="CG1148" s="60" t="str">
        <f aca="false">IF(OR(CF1148=1,CF1148=2,CF1148=3),IF(Parameter!$E$27="Ja","LIFT",IF(CF1148=1,"L1","L23")),IF(CF1148="Aussen","Aussen","-"))</f>
        <v>LIFT</v>
      </c>
      <c r="CH1148" s="71" t="n">
        <f aca="false">IF(N(AC1148)&gt;0,AC1148,0)</f>
        <v>0</v>
      </c>
      <c r="CI1148" s="65" t="n">
        <f aca="false">IF(ISNUMBER(AF1148),1,0)</f>
        <v>0</v>
      </c>
      <c r="CJ1148" s="62" t="n">
        <f aca="false">N(AF1148)</f>
        <v>0</v>
      </c>
      <c r="CK1148" s="62" t="n">
        <f aca="false">N(M1148)+N(N1148)</f>
        <v>1</v>
      </c>
      <c r="CL1148" s="62" t="n">
        <f aca="false">N(M1148)</f>
        <v>0</v>
      </c>
      <c r="CM1148" s="62" t="n">
        <f aca="false">N(N1148)</f>
        <v>1</v>
      </c>
      <c r="CN1148" s="62" t="n">
        <f aca="false">ROUNDUP(H1148/BZ1148,0)</f>
        <v>0</v>
      </c>
      <c r="CO1148" s="62" t="n">
        <f aca="false">ROUNDUP(CJ1148/BZ1148,0)</f>
        <v>0</v>
      </c>
      <c r="CP1148" s="65" t="n">
        <f aca="false">IF(CA1148=1,0,IFERROR(VLOOKUP(BY1148,'Gebinde-Kategorie'!$A$5:$N$45,5,0)+0,0))</f>
        <v>11</v>
      </c>
      <c r="CQ1148" s="65" t="n">
        <f aca="false">IFERROR(IF(OR(CF1148=1,CF1148=2,CF1148=3),N(INDEX(Parameter!$I$5:$I$7,CF1148)),0),0)</f>
        <v>0</v>
      </c>
      <c r="CR1148" s="64" t="n">
        <f aca="false">IF(AND(Parameter!$B$21="Ja",ISNUMBER(W1148),N(X1148)&gt;0),IFERROR(N(INDEX(Parameter!$L$5:$L$7,W1148))*INDEX(Parameter!$E$5:$E$7,W1148)*X1148/SUMIFS($X$7:$X$1843,$W$7:$W$1843,W1148),0),0)</f>
        <v>0</v>
      </c>
      <c r="CS1148" s="62" t="str">
        <f aca="false">IF(AND(OR(CG1148="L1",CG1148="L23",CG1148="LIFT"),H1148&gt;0),CC1148*IF(CR1148&gt;0,CR1148*MAX(1,H1148/X1148),IF(CA1148=1,CE1148,IF(R1148&gt;0,CN1148/R1148,0))/MAX(0.1,N(Parameter!$M$21))),"")</f>
        <v/>
      </c>
      <c r="CT1148" s="64" t="str">
        <f aca="false">IF(CS1148="","",J1148/H1148)</f>
        <v/>
      </c>
      <c r="CU1148" s="62" t="str">
        <f aca="false">IF(CS1148="","",H1148*G1148)</f>
        <v/>
      </c>
      <c r="CV1148" s="63" t="str">
        <f aca="false">IF(CS1148="","",(CL1148+ROUNDUP(CL1148+MAX(CM1148,2*(J1148/MAX(0.1,N(Einkauf!$C$6))-CL1148)),0))/2)</f>
        <v/>
      </c>
      <c r="CW1148" s="62" t="str">
        <f aca="false">IF(CS1148="","",MAX(0,H1148-CV1148)*G1148)</f>
        <v/>
      </c>
      <c r="CX1148" s="62" t="str">
        <f aca="false">IF(CS1148="","",CS1148*MAX(0,1-CV1148/H1148))</f>
        <v/>
      </c>
      <c r="CY1148" s="64" t="str">
        <f aca="false">IF(CS1148="","",PERCENTRANK($CS$7:$CS$1843,CS1148)+PERCENTRANK($CU$7:$CU$1843,CU1148)+1-PERCENTRANK($CT$7:$CT$1843,CT1148))</f>
        <v/>
      </c>
      <c r="CZ1148" s="72" t="str">
        <f aca="false">IF(CS1148="","",CHOOSE(MATCH(Einkauf!$C$5,Parameter!$G$23:$G$27,0),CY1148,CS1148,CU1148,-CT1148,CW1148)+ROW()/1000000000)</f>
        <v/>
      </c>
    </row>
    <row r="1149" customFormat="false" ht="15" hidden="false" customHeight="false" outlineLevel="0" collapsed="false">
      <c r="A1149" s="60" t="s">
        <v>2117</v>
      </c>
      <c r="B1149" s="60" t="s">
        <v>2118</v>
      </c>
      <c r="C1149" s="60" t="s">
        <v>206</v>
      </c>
      <c r="D1149" s="60" t="s">
        <v>226</v>
      </c>
      <c r="E1149" s="60"/>
      <c r="F1149" s="60" t="s">
        <v>260</v>
      </c>
      <c r="G1149" s="61" t="n">
        <v>151.82</v>
      </c>
      <c r="H1149" s="62" t="n">
        <f aca="false">MAX(0,IF(AND(Parameter!$B$21="Ja",ISNUMBER(Y1149)),Y1149,IF(Parameter!$B$20="Jahresanfang 2025 + Export",BS1149+BR1149,BR1149)))</f>
        <v>2</v>
      </c>
      <c r="I1149" s="62" t="n">
        <f aca="false">H1149*G1149</f>
        <v>303.64</v>
      </c>
      <c r="J1149" s="62" t="n">
        <f aca="false">BU1149*Parameter!$B$18</f>
        <v>2</v>
      </c>
      <c r="K1149" s="63" t="n">
        <v>3</v>
      </c>
      <c r="L1149" s="64" t="n">
        <v>0.666666666666667</v>
      </c>
      <c r="M1149" s="62" t="n">
        <v>0</v>
      </c>
      <c r="N1149" s="62" t="n">
        <v>1</v>
      </c>
      <c r="O1149" s="65" t="n">
        <v>35</v>
      </c>
      <c r="P1149" s="60" t="s">
        <v>210</v>
      </c>
      <c r="Q1149" s="62"/>
      <c r="R1149" s="65" t="n">
        <f aca="false">IF(CA1149=1,0,IFERROR(VLOOKUP(BY1149,'Gebinde-Kategorie'!$A$5:$N$45,13,0)+0,0))</f>
        <v>26</v>
      </c>
      <c r="S1149" s="66"/>
      <c r="T1149" s="67" t="s">
        <v>317</v>
      </c>
      <c r="U1149" s="67"/>
      <c r="V1149" s="67"/>
      <c r="W1149" s="60"/>
      <c r="X1149" s="62"/>
      <c r="Y1149" s="62"/>
      <c r="Z1149" s="60" t="n">
        <v>3</v>
      </c>
      <c r="AA1149" s="60" t="n">
        <f aca="false">IF(A1149="","",IF(AND(Parameter!$B$21="Ja",ISNUMBER(W1149)),W1149,IF(AND(Parameter!$E$27="Ja",ISNUMBER(Z1149),CD1149&lt;&gt;"Nein"),Z1149,IF(CD1149="2+3",IF(ISNUMBER(SEARCH("grosser Artikel",BV1149)),2,IFERROR(VLOOKUP(BY1149,Parameter!$F$35:$G$64,2,0),2)),IF(OR(CD1149="Nein",CD1149=""),"-",CD1149)))))</f>
        <v>3</v>
      </c>
      <c r="AB1149" s="67"/>
      <c r="AC1149" s="68"/>
      <c r="AD1149" s="62" t="n">
        <f aca="false">AW1149</f>
        <v>2</v>
      </c>
      <c r="AE1149" s="62" t="n">
        <f aca="false">MAX(AW1149,H1149)</f>
        <v>2</v>
      </c>
      <c r="AF1149" s="69"/>
      <c r="AG1149" s="62" t="n">
        <f aca="false">IF(LEFT(Cockpit!$C$5,1)="A",H1149,IF(Parameter!$E$30="MAX-Bestand",IF(CI1149=1,CJ1149,IF(LEFT(Cockpit!$C$5,1)="B",AM1149,MAX(AM1149,H1149))),ROUNDUP(AK1149,0)))</f>
        <v>2</v>
      </c>
      <c r="AH1149" s="62" t="n">
        <f aca="false">IF(CA1149=1,0,ROUNDUP(AG1149/BZ1149,0))</f>
        <v>1</v>
      </c>
      <c r="AI1149" s="64" t="n">
        <f aca="false">IF(CR1149&gt;0,CR1149*MAX(1,AG1149/X1149),IF(CA1149=1,IF(AG1149&lt;=0,0,CE1149*MAX(1,IF(H1149&gt;0,AG1149/H1149,1))),IF(R1149&gt;0,AH1149/R1149,0))/MAX(0.1,N(Parameter!$M$21)))</f>
        <v>0.0384615384615385</v>
      </c>
      <c r="AJ1149" s="62" t="n">
        <f aca="false">AI1149*CC1149</f>
        <v>5.96153846153846</v>
      </c>
      <c r="AK1149" s="63" t="n">
        <f aca="false">IF(LEFT(Cockpit!$C$5,1)="A",H1149,IF(CI1149=1,(CL1149+CJ1149)/2,IF(LEFT(Cockpit!$C$5,1)="B",(CL1149+AM1149)/2,MAX((CL1149+AM1149)/2,H1149))))</f>
        <v>2</v>
      </c>
      <c r="AL1149" s="62" t="n">
        <f aca="false">AK1149*G1149</f>
        <v>303.64</v>
      </c>
      <c r="AM1149" s="62" t="n">
        <f aca="false">ROUNDUP(CL1149+MAX(CM1149,2*(J1149/IF(CH1149&gt;0,CH1149,MAX(0.1,N(Cockpit!$C$6)))-CL1149)),0)</f>
        <v>2</v>
      </c>
      <c r="AN1149" s="63" t="n">
        <f aca="false">IF(AJ1149&gt;0,J1149/AJ1149,-1)</f>
        <v>0.335483870967742</v>
      </c>
      <c r="AO1149" s="63" t="n">
        <f aca="false">IF(AND(OR(CG1149="L1",CG1149="L23",CG1149="LIFT"),AJ1149&gt;0),SUMIFS($AJ$7:$AJ$1843,$CG$7:$CG$1843,CG1149,$AN$7:$AN$1843,"&gt;"&amp;AN1149)+SUMIFS($AJ$7:$AJ$1843,$CG$7:$CG$1843,CG1149,$AN$7:$AN$1843,AN1149,$BX$7:$BX$1843,"&lt;="&amp;BX1149),"")</f>
        <v>11236.6924241013</v>
      </c>
      <c r="AP1149" s="70" t="n">
        <f aca="false">IF(AO1149="",0,MAX(0,MIN(1,(IF(CG1149="L1",Parameter!$H$5,IF(CG1149="L23",Parameter!$H$6+Parameter!$H$7,Parameter!$H$5+Parameter!$H$6+Parameter!$H$7))-(AO1149-AJ1149))/AJ1149)))</f>
        <v>1</v>
      </c>
      <c r="AQ1149" s="62" t="n">
        <f aca="false">IF(LEFT(Cockpit!$I$5,1)="A",H1149,IF(Parameter!$E$30="MAX-Bestand",IF(CI1149=1,CJ1149,IF(LEFT(Cockpit!$I$5,1)="B",AW1149,MAX(AW1149,H1149))),ROUNDUP(AU1149,0)))</f>
        <v>2</v>
      </c>
      <c r="AR1149" s="62" t="n">
        <f aca="false">IF(CA1149=1,0,ROUNDUP(AQ1149/BZ1149,0))</f>
        <v>1</v>
      </c>
      <c r="AS1149" s="64" t="n">
        <f aca="false">IF(CR1149&gt;0,CR1149*MAX(1,AQ1149/X1149),IF(CA1149=1,IF(AQ1149&lt;=0,0,CE1149*MAX(1,IF(H1149&gt;0,AQ1149/H1149,1))),IF(R1149&gt;0,AR1149/R1149,0))/MAX(0.1,N(Parameter!$M$21)))</f>
        <v>0.0384615384615385</v>
      </c>
      <c r="AT1149" s="62" t="n">
        <f aca="false">AS1149*CC1149</f>
        <v>5.96153846153846</v>
      </c>
      <c r="AU1149" s="63" t="n">
        <f aca="false">IF(LEFT(Cockpit!$I$5,1)="A",H1149,IF(CI1149=1,(CL1149+CJ1149)/2,IF(LEFT(Cockpit!$I$5,1)="B",(CL1149+AW1149)/2,MAX((CL1149+AW1149)/2,H1149))))</f>
        <v>2</v>
      </c>
      <c r="AV1149" s="62" t="n">
        <f aca="false">AU1149*G1149</f>
        <v>303.64</v>
      </c>
      <c r="AW1149" s="62" t="n">
        <f aca="false">ROUNDUP(CL1149+MAX(CM1149,2*(J1149/IF(CH1149&gt;0,CH1149,MAX(0.1,N(Cockpit!$I$6)))-CL1149)),0)</f>
        <v>2</v>
      </c>
      <c r="AX1149" s="63" t="n">
        <f aca="false">IF(AT1149&gt;0,J1149/AT1149,-1)</f>
        <v>0.335483870967742</v>
      </c>
      <c r="AY1149" s="63" t="n">
        <f aca="false">IF(AND(OR(CG1149="L1",CG1149="L23",CG1149="LIFT"),AT1149&gt;0),SUMIFS($AT$7:$AT$1843,$CG$7:$CG$1843,CG1149,$AX$7:$AX$1843,"&gt;"&amp;AX1149)+SUMIFS($AT$7:$AT$1843,$CG$7:$CG$1843,CG1149,$AX$7:$AX$1843,AX1149,$BX$7:$BX$1843,"&lt;="&amp;BX1149),"")</f>
        <v>13770.8301282051</v>
      </c>
      <c r="AZ1149" s="70" t="n">
        <f aca="false">IF(AY1149="",0,MAX(0,MIN(1,(IF(CG1149="L1",Parameter!$H$5,IF(CG1149="L23",Parameter!$H$6+Parameter!$H$7,Parameter!$H$5+Parameter!$H$6+Parameter!$H$7))-(AY1149-AT1149))/AT1149)))</f>
        <v>1</v>
      </c>
      <c r="BA1149" s="62" t="n">
        <f aca="false">IF(LEFT(Cockpit!$O$5,1)="A",H1149,IF(Parameter!$E$30="MAX-Bestand",IF(CI1149=1,CJ1149,IF(LEFT(Cockpit!$O$5,1)="B",BG1149,MAX(BG1149,H1149))),ROUNDUP(BE1149,0)))</f>
        <v>1</v>
      </c>
      <c r="BB1149" s="62" t="n">
        <f aca="false">IF(CA1149=1,0,ROUNDUP(BA1149/BZ1149,0))</f>
        <v>1</v>
      </c>
      <c r="BC1149" s="64" t="n">
        <f aca="false">IF(CR1149&gt;0,CR1149*MAX(1,BA1149/X1149),IF(CA1149=1,IF(BA1149&lt;=0,0,CE1149*MAX(1,IF(H1149&gt;0,BA1149/H1149,1))),IF(R1149&gt;0,BB1149/R1149,0))/MAX(0.1,N(Parameter!$M$21)))</f>
        <v>0.0384615384615385</v>
      </c>
      <c r="BD1149" s="62" t="n">
        <f aca="false">BC1149*CC1149</f>
        <v>5.96153846153846</v>
      </c>
      <c r="BE1149" s="63" t="n">
        <f aca="false">IF(LEFT(Cockpit!$O$5,1)="A",H1149,IF(CI1149=1,(CL1149+CJ1149)/2,IF(LEFT(Cockpit!$O$5,1)="B",(CL1149+BG1149)/2,MAX((CL1149+BG1149)/2,H1149))))</f>
        <v>0.5</v>
      </c>
      <c r="BF1149" s="62" t="n">
        <f aca="false">BE1149*G1149</f>
        <v>75.91</v>
      </c>
      <c r="BG1149" s="62" t="n">
        <f aca="false">ROUNDUP(CL1149+MAX(CM1149,2*(J1149/IF(CH1149&gt;0,CH1149,MAX(0.1,N(Cockpit!$O$6)))-CL1149)),0)</f>
        <v>1</v>
      </c>
      <c r="BH1149" s="63" t="n">
        <f aca="false">IF(BD1149&gt;0,J1149/BD1149,-1)</f>
        <v>0.335483870967742</v>
      </c>
      <c r="BI1149" s="63" t="n">
        <f aca="false">IF(AND(OR(CG1149="L1",CG1149="L23",CG1149="LIFT"),BD1149&gt;0),SUMIFS($BD$7:$BD$1843,$CG$7:$CG$1843,CG1149,$BH$7:$BH$1843,"&gt;"&amp;BH1149)+SUMIFS($BD$7:$BD$1843,$CG$7:$CG$1843,CG1149,$BH$7:$BH$1843,BH1149,$BX$7:$BX$1843,"&lt;="&amp;BX1149),"")</f>
        <v>11621.7889194139</v>
      </c>
      <c r="BJ1149" s="70" t="n">
        <f aca="false">IF(BI1149="",0,MAX(0,MIN(1,(IF(CG1149="L1",Parameter!$H$5,IF(CG1149="L23",Parameter!$H$6+Parameter!$H$7,Parameter!$H$5+Parameter!$H$6+Parameter!$H$7))-(BI1149-BD1149))/BD1149)))</f>
        <v>1</v>
      </c>
      <c r="BK1149" s="60" t="str">
        <f aca="false">IF(AJ1149&lt;=0,"",IF(CG1149="Aussen","Aussenlager",IF(CG1149="-","Nicht im Lift",IF(AP1149&gt;=1,"Lift",IF(AP1149&lt;=0,"Aussenlager","teilweise")))))</f>
        <v>Lift</v>
      </c>
      <c r="BL1149" s="60" t="str">
        <f aca="false">IF(AT1149&lt;=0,"",IF(CG1149="Aussen","Aussenlager",IF(CG1149="-","Nicht im Lift",IF(AZ1149&gt;=1,"Lift",IF(AZ1149&lt;=0,"Aussenlager","teilweise")))))</f>
        <v>Lift</v>
      </c>
      <c r="BM1149" s="60" t="str">
        <f aca="false">IF(BD1149&lt;=0,"",IF(CG1149="Aussen","Aussenlager",IF(CG1149="-","Nicht im Lift",IF(BJ1149&gt;=1,"Lift",IF(BJ1149&lt;=0,"Aussenlager","teilweise")))))</f>
        <v>Lift</v>
      </c>
      <c r="BN1149" s="60" t="str">
        <f aca="false">IF(A1149="","",IF(BW1149=1,"Neu; ","")&amp;IF(AND(BW1149=0,BR1149&lt;0),"negativer Bestand (Export "&amp;BR1149&amp;"); ","")&amp;IF(J1149&lt;=0,"Kein Verbrauch; ","")&amp;IF(CR1149&gt;0,"Lift "&amp;W1149&amp;" lt. Liftbericht (Fach "&amp;X1149&amp;" Stk); ",IF(CB1149=1,"Gebinde geschätzt ("&amp;T1149&amp;"); ",IF(CA1149=1,"Lose – Tablare geschätzt; ","")))&amp;IF(H1149&gt;AW1149,"Überbestand "&amp;ROUND(H1149-AW1149,0)&amp;" Stk / CHF "&amp;ROUND((H1149-AW1149)*G1149,0)&amp;"; ","")&amp;IF(AND(CI1149=1,CJ1149&lt;CK1149),"MAX &lt; MB+LG; ","")&amp;IF(AND(CQ1149&gt;0,CP1149*10&gt;CQ1149),"zu hoch für Tablar; ","")&amp;IF(AND(BW1149=0,OR(CI1149=1,AB1149&lt;&gt;"",U1149&lt;&gt;"",V1149&lt;&gt;"",AC1149&lt;&gt;"")),"manuell übersteuert; ","")&amp;IF(AND(CA1149=0,R1149=0),"Gebinde unbekannt / Stellmass fehlt; ","")&amp;IF(AND(CA1149=0,N(V1149)&lt;=0,N(Q1149)&lt;=0),"Menge pro Gebinde fehlt (Ist = 1 Gebinde); ","")&amp;BV1149)</f>
        <v>negativer Bestand (Export -2); Gebinde geschätzt (Klein); Menge pro Gebinde fehlt (Ist = 1 Gebinde); </v>
      </c>
      <c r="BO1149" s="60"/>
      <c r="BP1149" s="60"/>
      <c r="BQ1149" s="67"/>
      <c r="BR1149" s="62" t="n">
        <v>-2</v>
      </c>
      <c r="BS1149" s="62" t="n">
        <v>4</v>
      </c>
      <c r="BT1149" s="61" t="n">
        <v>-303.64</v>
      </c>
      <c r="BU1149" s="62" t="n">
        <v>2</v>
      </c>
      <c r="BV1149" s="60"/>
      <c r="BW1149" s="65" t="n">
        <v>0</v>
      </c>
      <c r="BX1149" s="65" t="n">
        <v>1149</v>
      </c>
      <c r="BY1149" s="60" t="str">
        <f aca="false">IF(U1149&lt;&gt;"",UPPER(TRIM(U1149)),IF(CB1149=1,UPPER(VLOOKUP(T1149,Parameter!$I$27:$K$29,2,0)),IF(P1149="","LOSE",P1149)))</f>
        <v>S51</v>
      </c>
      <c r="BZ1149" s="62" t="n">
        <f aca="false">IF(BY1149="LOSE",1,IF(N(V1149)&gt;0,V1149,IF(CB1149=1,MAX(1,N(VLOOKUP(T1149,Parameter!$I$27:$K$29,3,0)),H1149,N(N1149)),IF(N(Q1149)&gt;0,Q1149,MAX(1,H1149)))))</f>
        <v>20</v>
      </c>
      <c r="CA1149" s="65" t="n">
        <f aca="false">IF(BY1149="LOSE",1,0)</f>
        <v>0</v>
      </c>
      <c r="CB1149" s="65" t="n">
        <f aca="false">IF(AND(U1149="",OR(P1149="",P1149="LOSE"),T1149&lt;&gt;"",N(S1149)&lt;=0,ISNUMBER(MATCH(T1149,Parameter!$I$27:$I$29,0))),1,0)</f>
        <v>1</v>
      </c>
      <c r="CC1149" s="65" t="n">
        <f aca="false">IF(CR1149&gt;0,INDEX(Parameter!$H$5:$H$7,W1149)/INDEX(Parameter!$E$5:$E$7,W1149),IF(AND(CA1149=0,N(IFERROR(VLOOKUP(BY1149,'Gebinde-Kategorie'!$A$5:$N$45,14,0),0))&gt;0),VLOOKUP(BY1149,'Gebinde-Kategorie'!$A$5:$N$45,14,0)*10+Parameter!$M$23,Parameter!$M$24))</f>
        <v>155</v>
      </c>
      <c r="CD1149" s="60" t="str">
        <f aca="false">IF(AND(Parameter!$B$19="Ja",E1149&lt;&gt;"",ISNUMBER(MATCH(E1149,Parameter!$I$35:$I$52,0))),VLOOKUP(E1149,Parameter!$I$35:$J$52,2,0),IFERROR(VLOOKUP(D1149,Parameter!$A$35:$C$64,2,0),"Nein"))</f>
        <v>2+3</v>
      </c>
      <c r="CE1149" s="64" t="n">
        <f aca="false">IF(CA1149=0,0,IF(N(S1149)&gt;0,S1149,IFERROR(VLOOKUP(D1149,Parameter!$A$35:$C$64,3,0)+0,0)))</f>
        <v>0</v>
      </c>
      <c r="CF1149" s="60" t="n">
        <f aca="false">IF(AB1149&lt;&gt;"",AB1149,AA1149)</f>
        <v>3</v>
      </c>
      <c r="CG1149" s="60" t="str">
        <f aca="false">IF(OR(CF1149=1,CF1149=2,CF1149=3),IF(Parameter!$E$27="Ja","LIFT",IF(CF1149=1,"L1","L23")),IF(CF1149="Aussen","Aussen","-"))</f>
        <v>LIFT</v>
      </c>
      <c r="CH1149" s="71" t="n">
        <f aca="false">IF(N(AC1149)&gt;0,AC1149,0)</f>
        <v>0</v>
      </c>
      <c r="CI1149" s="65" t="n">
        <f aca="false">IF(ISNUMBER(AF1149),1,0)</f>
        <v>0</v>
      </c>
      <c r="CJ1149" s="62" t="n">
        <f aca="false">N(AF1149)</f>
        <v>0</v>
      </c>
      <c r="CK1149" s="62" t="n">
        <f aca="false">N(M1149)+N(N1149)</f>
        <v>1</v>
      </c>
      <c r="CL1149" s="62" t="n">
        <f aca="false">N(M1149)</f>
        <v>0</v>
      </c>
      <c r="CM1149" s="62" t="n">
        <f aca="false">N(N1149)</f>
        <v>1</v>
      </c>
      <c r="CN1149" s="62" t="n">
        <f aca="false">ROUNDUP(H1149/BZ1149,0)</f>
        <v>1</v>
      </c>
      <c r="CO1149" s="62" t="n">
        <f aca="false">ROUNDUP(CJ1149/BZ1149,0)</f>
        <v>0</v>
      </c>
      <c r="CP1149" s="65" t="n">
        <f aca="false">IF(CA1149=1,0,IFERROR(VLOOKUP(BY1149,'Gebinde-Kategorie'!$A$5:$N$45,5,0)+0,0))</f>
        <v>11</v>
      </c>
      <c r="CQ1149" s="65" t="n">
        <f aca="false">IFERROR(IF(OR(CF1149=1,CF1149=2,CF1149=3),N(INDEX(Parameter!$I$5:$I$7,CF1149)),0),0)</f>
        <v>0</v>
      </c>
      <c r="CR1149" s="64" t="n">
        <f aca="false">IF(AND(Parameter!$B$21="Ja",ISNUMBER(W1149),N(X1149)&gt;0),IFERROR(N(INDEX(Parameter!$L$5:$L$7,W1149))*INDEX(Parameter!$E$5:$E$7,W1149)*X1149/SUMIFS($X$7:$X$1843,$W$7:$W$1843,W1149),0),0)</f>
        <v>0</v>
      </c>
      <c r="CS1149" s="62" t="n">
        <f aca="false">IF(AND(OR(CG1149="L1",CG1149="L23",CG1149="LIFT"),H1149&gt;0),CC1149*IF(CR1149&gt;0,CR1149*MAX(1,H1149/X1149),IF(CA1149=1,CE1149,IF(R1149&gt;0,CN1149/R1149,0))/MAX(0.1,N(Parameter!$M$21))),"")</f>
        <v>5.96153846153846</v>
      </c>
      <c r="CT1149" s="64" t="n">
        <f aca="false">IF(CS1149="","",J1149/H1149)</f>
        <v>1</v>
      </c>
      <c r="CU1149" s="62" t="n">
        <f aca="false">IF(CS1149="","",H1149*G1149)</f>
        <v>303.64</v>
      </c>
      <c r="CV1149" s="63" t="n">
        <f aca="false">IF(CS1149="","",(CL1149+ROUNDUP(CL1149+MAX(CM1149,2*(J1149/MAX(0.1,N(Einkauf!$C$6))-CL1149)),0))/2)</f>
        <v>0.5</v>
      </c>
      <c r="CW1149" s="62" t="n">
        <f aca="false">IF(CS1149="","",MAX(0,H1149-CV1149)*G1149)</f>
        <v>227.73</v>
      </c>
      <c r="CX1149" s="62" t="n">
        <f aca="false">IF(CS1149="","",CS1149*MAX(0,1-CV1149/H1149))</f>
        <v>4.47115384615385</v>
      </c>
      <c r="CY1149" s="64" t="n">
        <f aca="false">IF(CS1149="","",PERCENTRANK($CS$7:$CS$1843,CS1149)+PERCENTRANK($CU$7:$CU$1843,CU1149)+1-PERCENTRANK($CT$7:$CT$1843,CT1149))</f>
        <v>1.147</v>
      </c>
      <c r="CZ1149" s="72" t="n">
        <f aca="false">IF(CS1149="","",CHOOSE(MATCH(Einkauf!$C$5,Parameter!$G$23:$G$27,0),CY1149,CS1149,CU1149,-CT1149,CW1149)+ROW()/1000000000)</f>
        <v>1.147001149</v>
      </c>
    </row>
    <row r="1150" customFormat="false" ht="15" hidden="false" customHeight="false" outlineLevel="0" collapsed="false">
      <c r="A1150" s="60" t="s">
        <v>2119</v>
      </c>
      <c r="B1150" s="60" t="s">
        <v>2076</v>
      </c>
      <c r="C1150" s="60" t="s">
        <v>206</v>
      </c>
      <c r="D1150" s="60" t="s">
        <v>226</v>
      </c>
      <c r="E1150" s="60" t="s">
        <v>227</v>
      </c>
      <c r="F1150" s="60" t="s">
        <v>260</v>
      </c>
      <c r="G1150" s="61" t="n">
        <v>29.34</v>
      </c>
      <c r="H1150" s="62" t="n">
        <f aca="false">MAX(0,IF(AND(Parameter!$B$21="Ja",ISNUMBER(Y1150)),Y1150,IF(Parameter!$B$20="Jahresanfang 2025 + Export",BS1150+BR1150,BR1150)))</f>
        <v>9</v>
      </c>
      <c r="I1150" s="62" t="n">
        <f aca="false">H1150*G1150</f>
        <v>264.06</v>
      </c>
      <c r="J1150" s="62" t="n">
        <f aca="false">BU1150*Parameter!$B$18</f>
        <v>20</v>
      </c>
      <c r="K1150" s="63" t="n">
        <v>15</v>
      </c>
      <c r="L1150" s="64" t="n">
        <v>1.33333333333333</v>
      </c>
      <c r="M1150" s="62" t="n">
        <v>2</v>
      </c>
      <c r="N1150" s="62" t="n">
        <v>20</v>
      </c>
      <c r="O1150" s="65" t="n">
        <v>42</v>
      </c>
      <c r="P1150" s="60" t="s">
        <v>518</v>
      </c>
      <c r="Q1150" s="62" t="n">
        <v>26</v>
      </c>
      <c r="R1150" s="65" t="n">
        <f aca="false">IF(CA1150=1,0,IFERROR(VLOOKUP(BY1150,'Gebinde-Kategorie'!$A$5:$N$45,13,0)+0,0))</f>
        <v>52</v>
      </c>
      <c r="S1150" s="66"/>
      <c r="T1150" s="67"/>
      <c r="U1150" s="67"/>
      <c r="V1150" s="67"/>
      <c r="W1150" s="60"/>
      <c r="X1150" s="62"/>
      <c r="Y1150" s="62"/>
      <c r="Z1150" s="60" t="n">
        <v>1</v>
      </c>
      <c r="AA1150" s="60" t="n">
        <f aca="false">IF(A1150="","",IF(AND(Parameter!$B$21="Ja",ISNUMBER(W1150)),W1150,IF(AND(Parameter!$E$27="Ja",ISNUMBER(Z1150),CD1150&lt;&gt;"Nein"),Z1150,IF(CD1150="2+3",IF(ISNUMBER(SEARCH("grosser Artikel",BV1150)),2,IFERROR(VLOOKUP(BY1150,Parameter!$F$35:$G$64,2,0),2)),IF(OR(CD1150="Nein",CD1150=""),"-",CD1150)))))</f>
        <v>1</v>
      </c>
      <c r="AB1150" s="67"/>
      <c r="AC1150" s="68"/>
      <c r="AD1150" s="62" t="n">
        <f aca="false">AW1150</f>
        <v>22</v>
      </c>
      <c r="AE1150" s="62" t="n">
        <f aca="false">MAX(AW1150,H1150)</f>
        <v>22</v>
      </c>
      <c r="AF1150" s="69"/>
      <c r="AG1150" s="62" t="n">
        <f aca="false">IF(LEFT(Cockpit!$C$5,1)="A",H1150,IF(Parameter!$E$30="MAX-Bestand",IF(CI1150=1,CJ1150,IF(LEFT(Cockpit!$C$5,1)="B",AM1150,MAX(AM1150,H1150))),ROUNDUP(AK1150,0)))</f>
        <v>9</v>
      </c>
      <c r="AH1150" s="62" t="n">
        <f aca="false">IF(CA1150=1,0,ROUNDUP(AG1150/BZ1150,0))</f>
        <v>1</v>
      </c>
      <c r="AI1150" s="64" t="n">
        <f aca="false">IF(CR1150&gt;0,CR1150*MAX(1,AG1150/X1150),IF(CA1150=1,IF(AG1150&lt;=0,0,CE1150*MAX(1,IF(H1150&gt;0,AG1150/H1150,1))),IF(R1150&gt;0,AH1150/R1150,0))/MAX(0.1,N(Parameter!$M$21)))</f>
        <v>0.0192307692307692</v>
      </c>
      <c r="AJ1150" s="62" t="n">
        <f aca="false">AI1150*CC1150</f>
        <v>2.98076923076923</v>
      </c>
      <c r="AK1150" s="63" t="n">
        <f aca="false">IF(LEFT(Cockpit!$C$5,1)="A",H1150,IF(CI1150=1,(CL1150+CJ1150)/2,IF(LEFT(Cockpit!$C$5,1)="B",(CL1150+AM1150)/2,MAX((CL1150+AM1150)/2,H1150))))</f>
        <v>9</v>
      </c>
      <c r="AL1150" s="62" t="n">
        <f aca="false">AK1150*G1150</f>
        <v>264.06</v>
      </c>
      <c r="AM1150" s="62" t="n">
        <f aca="false">ROUNDUP(CL1150+MAX(CM1150,2*(J1150/IF(CH1150&gt;0,CH1150,MAX(0.1,N(Cockpit!$C$6)))-CL1150)),0)</f>
        <v>22</v>
      </c>
      <c r="AN1150" s="63" t="n">
        <f aca="false">IF(AJ1150&gt;0,J1150/AJ1150,-1)</f>
        <v>6.70967741935484</v>
      </c>
      <c r="AO1150" s="63" t="n">
        <f aca="false">IF(AND(OR(CG1150="L1",CG1150="L23",CG1150="LIFT"),AJ1150&gt;0),SUMIFS($AJ$7:$AJ$1843,$CG$7:$CG$1843,CG1150,$AN$7:$AN$1843,"&gt;"&amp;AN1150)+SUMIFS($AJ$7:$AJ$1843,$CG$7:$CG$1843,CG1150,$AN$7:$AN$1843,AN1150,$BX$7:$BX$1843,"&lt;="&amp;BX1150),"")</f>
        <v>3397.12408424908</v>
      </c>
      <c r="AP1150" s="70" t="n">
        <f aca="false">IF(AO1150="",0,MAX(0,MIN(1,(IF(CG1150="L1",Parameter!$H$5,IF(CG1150="L23",Parameter!$H$6+Parameter!$H$7,Parameter!$H$5+Parameter!$H$6+Parameter!$H$7))-(AO1150-AJ1150))/AJ1150)))</f>
        <v>1</v>
      </c>
      <c r="AQ1150" s="62" t="n">
        <f aca="false">IF(LEFT(Cockpit!$I$5,1)="A",H1150,IF(Parameter!$E$30="MAX-Bestand",IF(CI1150=1,CJ1150,IF(LEFT(Cockpit!$I$5,1)="B",AW1150,MAX(AW1150,H1150))),ROUNDUP(AU1150,0)))</f>
        <v>12</v>
      </c>
      <c r="AR1150" s="62" t="n">
        <f aca="false">IF(CA1150=1,0,ROUNDUP(AQ1150/BZ1150,0))</f>
        <v>1</v>
      </c>
      <c r="AS1150" s="64" t="n">
        <f aca="false">IF(CR1150&gt;0,CR1150*MAX(1,AQ1150/X1150),IF(CA1150=1,IF(AQ1150&lt;=0,0,CE1150*MAX(1,IF(H1150&gt;0,AQ1150/H1150,1))),IF(R1150&gt;0,AR1150/R1150,0))/MAX(0.1,N(Parameter!$M$21)))</f>
        <v>0.0192307692307692</v>
      </c>
      <c r="AT1150" s="62" t="n">
        <f aca="false">AS1150*CC1150</f>
        <v>2.98076923076923</v>
      </c>
      <c r="AU1150" s="63" t="n">
        <f aca="false">IF(LEFT(Cockpit!$I$5,1)="A",H1150,IF(CI1150=1,(CL1150+CJ1150)/2,IF(LEFT(Cockpit!$I$5,1)="B",(CL1150+AW1150)/2,MAX((CL1150+AW1150)/2,H1150))))</f>
        <v>12</v>
      </c>
      <c r="AV1150" s="62" t="n">
        <f aca="false">AU1150*G1150</f>
        <v>352.08</v>
      </c>
      <c r="AW1150" s="62" t="n">
        <f aca="false">ROUNDUP(CL1150+MAX(CM1150,2*(J1150/IF(CH1150&gt;0,CH1150,MAX(0.1,N(Cockpit!$I$6)))-CL1150)),0)</f>
        <v>22</v>
      </c>
      <c r="AX1150" s="63" t="n">
        <f aca="false">IF(AT1150&gt;0,J1150/AT1150,-1)</f>
        <v>6.70967741935484</v>
      </c>
      <c r="AY1150" s="63" t="n">
        <f aca="false">IF(AND(OR(CG1150="L1",CG1150="L23",CG1150="LIFT"),AT1150&gt;0),SUMIFS($AT$7:$AT$1843,$CG$7:$CG$1843,CG1150,$AX$7:$AX$1843,"&gt;"&amp;AX1150)+SUMIFS($AT$7:$AT$1843,$CG$7:$CG$1843,CG1150,$AX$7:$AX$1843,AX1150,$BX$7:$BX$1843,"&lt;="&amp;BX1150),"")</f>
        <v>4114.93543956044</v>
      </c>
      <c r="AZ1150" s="70" t="n">
        <f aca="false">IF(AY1150="",0,MAX(0,MIN(1,(IF(CG1150="L1",Parameter!$H$5,IF(CG1150="L23",Parameter!$H$6+Parameter!$H$7,Parameter!$H$5+Parameter!$H$6+Parameter!$H$7))-(AY1150-AT1150))/AT1150)))</f>
        <v>1</v>
      </c>
      <c r="BA1150" s="62" t="n">
        <f aca="false">IF(LEFT(Cockpit!$O$5,1)="A",H1150,IF(Parameter!$E$30="MAX-Bestand",IF(CI1150=1,CJ1150,IF(LEFT(Cockpit!$O$5,1)="B",BG1150,MAX(BG1150,H1150))),ROUNDUP(BE1150,0)))</f>
        <v>12</v>
      </c>
      <c r="BB1150" s="62" t="n">
        <f aca="false">IF(CA1150=1,0,ROUNDUP(BA1150/BZ1150,0))</f>
        <v>1</v>
      </c>
      <c r="BC1150" s="64" t="n">
        <f aca="false">IF(CR1150&gt;0,CR1150*MAX(1,BA1150/X1150),IF(CA1150=1,IF(BA1150&lt;=0,0,CE1150*MAX(1,IF(H1150&gt;0,BA1150/H1150,1))),IF(R1150&gt;0,BB1150/R1150,0))/MAX(0.1,N(Parameter!$M$21)))</f>
        <v>0.0192307692307692</v>
      </c>
      <c r="BD1150" s="62" t="n">
        <f aca="false">BC1150*CC1150</f>
        <v>2.98076923076923</v>
      </c>
      <c r="BE1150" s="63" t="n">
        <f aca="false">IF(LEFT(Cockpit!$O$5,1)="A",H1150,IF(CI1150=1,(CL1150+CJ1150)/2,IF(LEFT(Cockpit!$O$5,1)="B",(CL1150+BG1150)/2,MAX((CL1150+BG1150)/2,H1150))))</f>
        <v>12</v>
      </c>
      <c r="BF1150" s="62" t="n">
        <f aca="false">BE1150*G1150</f>
        <v>352.08</v>
      </c>
      <c r="BG1150" s="62" t="n">
        <f aca="false">ROUNDUP(CL1150+MAX(CM1150,2*(J1150/IF(CH1150&gt;0,CH1150,MAX(0.1,N(Cockpit!$O$6)))-CL1150)),0)</f>
        <v>22</v>
      </c>
      <c r="BH1150" s="63" t="n">
        <f aca="false">IF(BD1150&gt;0,J1150/BD1150,-1)</f>
        <v>6.70967741935484</v>
      </c>
      <c r="BI1150" s="63" t="n">
        <f aca="false">IF(AND(OR(CG1150="L1",CG1150="L23",CG1150="LIFT"),BD1150&gt;0),SUMIFS($BD$7:$BD$1843,$CG$7:$CG$1843,CG1150,$BH$7:$BH$1843,"&gt;"&amp;BH1150)+SUMIFS($BD$7:$BD$1843,$CG$7:$CG$1843,CG1150,$BH$7:$BH$1843,BH1150,$BX$7:$BX$1843,"&lt;="&amp;BX1150),"")</f>
        <v>3385.00228937729</v>
      </c>
      <c r="BJ1150" s="70" t="n">
        <f aca="false">IF(BI1150="",0,MAX(0,MIN(1,(IF(CG1150="L1",Parameter!$H$5,IF(CG1150="L23",Parameter!$H$6+Parameter!$H$7,Parameter!$H$5+Parameter!$H$6+Parameter!$H$7))-(BI1150-BD1150))/BD1150)))</f>
        <v>1</v>
      </c>
      <c r="BK1150" s="60" t="str">
        <f aca="false">IF(AJ1150&lt;=0,"",IF(CG1150="Aussen","Aussenlager",IF(CG1150="-","Nicht im Lift",IF(AP1150&gt;=1,"Lift",IF(AP1150&lt;=0,"Aussenlager","teilweise")))))</f>
        <v>Lift</v>
      </c>
      <c r="BL1150" s="60" t="str">
        <f aca="false">IF(AT1150&lt;=0,"",IF(CG1150="Aussen","Aussenlager",IF(CG1150="-","Nicht im Lift",IF(AZ1150&gt;=1,"Lift",IF(AZ1150&lt;=0,"Aussenlager","teilweise")))))</f>
        <v>Lift</v>
      </c>
      <c r="BM1150" s="60" t="str">
        <f aca="false">IF(BD1150&lt;=0,"",IF(CG1150="Aussen","Aussenlager",IF(CG1150="-","Nicht im Lift",IF(BJ1150&gt;=1,"Lift",IF(BJ1150&lt;=0,"Aussenlager","teilweise")))))</f>
        <v>Lift</v>
      </c>
      <c r="BN1150" s="60" t="str">
        <f aca="false">IF(A1150="","",IF(BW1150=1,"Neu; ","")&amp;IF(AND(BW1150=0,BR1150&lt;0),"negativer Bestand (Export "&amp;BR1150&amp;"); ","")&amp;IF(J1150&lt;=0,"Kein Verbrauch; ","")&amp;IF(CR1150&gt;0,"Lift "&amp;W1150&amp;" lt. Liftbericht (Fach "&amp;X1150&amp;" Stk); ",IF(CB1150=1,"Gebinde geschätzt ("&amp;T1150&amp;"); ",IF(CA1150=1,"Lose – Tablare geschätzt; ","")))&amp;IF(H1150&gt;AW1150,"Überbestand "&amp;ROUND(H1150-AW1150,0)&amp;" Stk / CHF "&amp;ROUND((H1150-AW1150)*G1150,0)&amp;"; ","")&amp;IF(AND(CI1150=1,CJ1150&lt;CK1150),"MAX &lt; MB+LG; ","")&amp;IF(AND(CQ1150&gt;0,CP1150*10&gt;CQ1150),"zu hoch für Tablar; ","")&amp;IF(AND(BW1150=0,OR(CI1150=1,AB1150&lt;&gt;"",U1150&lt;&gt;"",V1150&lt;&gt;"",AC1150&lt;&gt;"")),"manuell übersteuert; ","")&amp;IF(AND(CA1150=0,R1150=0),"Gebinde unbekannt / Stellmass fehlt; ","")&amp;IF(AND(CA1150=0,N(V1150)&lt;=0,N(Q1150)&lt;=0),"Menge pro Gebinde fehlt (Ist = 1 Gebinde); ","")&amp;BV1150)</f>
        <v>negativer Bestand (Export -6); </v>
      </c>
      <c r="BO1150" s="60"/>
      <c r="BP1150" s="60"/>
      <c r="BQ1150" s="67"/>
      <c r="BR1150" s="62" t="n">
        <v>-6</v>
      </c>
      <c r="BS1150" s="62" t="n">
        <v>15</v>
      </c>
      <c r="BT1150" s="61" t="n">
        <v>-309.54</v>
      </c>
      <c r="BU1150" s="62" t="n">
        <v>20</v>
      </c>
      <c r="BV1150" s="60"/>
      <c r="BW1150" s="65" t="n">
        <v>0</v>
      </c>
      <c r="BX1150" s="65" t="n">
        <v>1150</v>
      </c>
      <c r="BY1150" s="60" t="str">
        <f aca="false">IF(U1150&lt;&gt;"",UPPER(TRIM(U1150)),IF(CB1150=1,UPPER(VLOOKUP(T1150,Parameter!$I$27:$K$29,2,0)),IF(P1150="","LOSE",P1150)))</f>
        <v>S33</v>
      </c>
      <c r="BZ1150" s="62" t="n">
        <f aca="false">IF(BY1150="LOSE",1,IF(N(V1150)&gt;0,V1150,IF(CB1150=1,MAX(1,N(VLOOKUP(T1150,Parameter!$I$27:$K$29,3,0)),H1150,N(N1150)),IF(N(Q1150)&gt;0,Q1150,MAX(1,H1150)))))</f>
        <v>26</v>
      </c>
      <c r="CA1150" s="65" t="n">
        <f aca="false">IF(BY1150="LOSE",1,0)</f>
        <v>0</v>
      </c>
      <c r="CB1150" s="65" t="n">
        <f aca="false">IF(AND(U1150="",OR(P1150="",P1150="LOSE"),T1150&lt;&gt;"",N(S1150)&lt;=0,ISNUMBER(MATCH(T1150,Parameter!$I$27:$I$29,0))),1,0)</f>
        <v>0</v>
      </c>
      <c r="CC1150" s="65" t="n">
        <f aca="false">IF(CR1150&gt;0,INDEX(Parameter!$H$5:$H$7,W1150)/INDEX(Parameter!$E$5:$E$7,W1150),IF(AND(CA1150=0,N(IFERROR(VLOOKUP(BY1150,'Gebinde-Kategorie'!$A$5:$N$45,14,0),0))&gt;0),VLOOKUP(BY1150,'Gebinde-Kategorie'!$A$5:$N$45,14,0)*10+Parameter!$M$23,Parameter!$M$24))</f>
        <v>155</v>
      </c>
      <c r="CD1150" s="60" t="str">
        <f aca="false">IF(AND(Parameter!$B$19="Ja",E1150&lt;&gt;"",ISNUMBER(MATCH(E1150,Parameter!$I$35:$I$52,0))),VLOOKUP(E1150,Parameter!$I$35:$J$52,2,0),IFERROR(VLOOKUP(D1150,Parameter!$A$35:$C$64,2,0),"Nein"))</f>
        <v>2+3</v>
      </c>
      <c r="CE1150" s="64" t="n">
        <f aca="false">IF(CA1150=0,0,IF(N(S1150)&gt;0,S1150,IFERROR(VLOOKUP(D1150,Parameter!$A$35:$C$64,3,0)+0,0)))</f>
        <v>0</v>
      </c>
      <c r="CF1150" s="60" t="n">
        <f aca="false">IF(AB1150&lt;&gt;"",AB1150,AA1150)</f>
        <v>1</v>
      </c>
      <c r="CG1150" s="60" t="str">
        <f aca="false">IF(OR(CF1150=1,CF1150=2,CF1150=3),IF(Parameter!$E$27="Ja","LIFT",IF(CF1150=1,"L1","L23")),IF(CF1150="Aussen","Aussen","-"))</f>
        <v>LIFT</v>
      </c>
      <c r="CH1150" s="71" t="n">
        <f aca="false">IF(N(AC1150)&gt;0,AC1150,0)</f>
        <v>0</v>
      </c>
      <c r="CI1150" s="65" t="n">
        <f aca="false">IF(ISNUMBER(AF1150),1,0)</f>
        <v>0</v>
      </c>
      <c r="CJ1150" s="62" t="n">
        <f aca="false">N(AF1150)</f>
        <v>0</v>
      </c>
      <c r="CK1150" s="62" t="n">
        <f aca="false">N(M1150)+N(N1150)</f>
        <v>22</v>
      </c>
      <c r="CL1150" s="62" t="n">
        <f aca="false">N(M1150)</f>
        <v>2</v>
      </c>
      <c r="CM1150" s="62" t="n">
        <f aca="false">N(N1150)</f>
        <v>20</v>
      </c>
      <c r="CN1150" s="62" t="n">
        <f aca="false">ROUNDUP(H1150/BZ1150,0)</f>
        <v>1</v>
      </c>
      <c r="CO1150" s="62" t="n">
        <f aca="false">ROUNDUP(CJ1150/BZ1150,0)</f>
        <v>0</v>
      </c>
      <c r="CP1150" s="65" t="n">
        <f aca="false">IF(CA1150=1,0,IFERROR(VLOOKUP(BY1150,'Gebinde-Kategorie'!$A$5:$N$45,5,0)+0,0))</f>
        <v>8</v>
      </c>
      <c r="CQ1150" s="65" t="n">
        <f aca="false">IFERROR(IF(OR(CF1150=1,CF1150=2,CF1150=3),N(INDEX(Parameter!$I$5:$I$7,CF1150)),0),0)</f>
        <v>0</v>
      </c>
      <c r="CR1150" s="64" t="n">
        <f aca="false">IF(AND(Parameter!$B$21="Ja",ISNUMBER(W1150),N(X1150)&gt;0),IFERROR(N(INDEX(Parameter!$L$5:$L$7,W1150))*INDEX(Parameter!$E$5:$E$7,W1150)*X1150/SUMIFS($X$7:$X$1843,$W$7:$W$1843,W1150),0),0)</f>
        <v>0</v>
      </c>
      <c r="CS1150" s="62" t="n">
        <f aca="false">IF(AND(OR(CG1150="L1",CG1150="L23",CG1150="LIFT"),H1150&gt;0),CC1150*IF(CR1150&gt;0,CR1150*MAX(1,H1150/X1150),IF(CA1150=1,CE1150,IF(R1150&gt;0,CN1150/R1150,0))/MAX(0.1,N(Parameter!$M$21))),"")</f>
        <v>2.98076923076923</v>
      </c>
      <c r="CT1150" s="64" t="n">
        <f aca="false">IF(CS1150="","",J1150/H1150)</f>
        <v>2.22222222222222</v>
      </c>
      <c r="CU1150" s="62" t="n">
        <f aca="false">IF(CS1150="","",H1150*G1150)</f>
        <v>264.06</v>
      </c>
      <c r="CV1150" s="63" t="n">
        <f aca="false">IF(CS1150="","",(CL1150+ROUNDUP(CL1150+MAX(CM1150,2*(J1150/MAX(0.1,N(Einkauf!$C$6))-CL1150)),0))/2)</f>
        <v>12</v>
      </c>
      <c r="CW1150" s="62" t="n">
        <f aca="false">IF(CS1150="","",MAX(0,H1150-CV1150)*G1150)</f>
        <v>0</v>
      </c>
      <c r="CX1150" s="62" t="n">
        <f aca="false">IF(CS1150="","",CS1150*MAX(0,1-CV1150/H1150))</f>
        <v>0</v>
      </c>
      <c r="CY1150" s="64" t="n">
        <f aca="false">IF(CS1150="","",PERCENTRANK($CS$7:$CS$1843,CS1150)+PERCENTRANK($CU$7:$CU$1843,CU1150)+1-PERCENTRANK($CT$7:$CT$1843,CT1150))</f>
        <v>0.774</v>
      </c>
      <c r="CZ1150" s="72" t="n">
        <f aca="false">IF(CS1150="","",CHOOSE(MATCH(Einkauf!$C$5,Parameter!$G$23:$G$27,0),CY1150,CS1150,CU1150,-CT1150,CW1150)+ROW()/1000000000)</f>
        <v>0.77400115</v>
      </c>
    </row>
    <row r="1151" customFormat="false" ht="15" hidden="false" customHeight="false" outlineLevel="0" collapsed="false">
      <c r="A1151" s="60" t="s">
        <v>2120</v>
      </c>
      <c r="B1151" s="60" t="s">
        <v>2121</v>
      </c>
      <c r="C1151" s="60" t="s">
        <v>206</v>
      </c>
      <c r="D1151" s="60" t="s">
        <v>226</v>
      </c>
      <c r="E1151" s="60" t="s">
        <v>227</v>
      </c>
      <c r="F1151" s="60" t="s">
        <v>260</v>
      </c>
      <c r="G1151" s="61" t="n">
        <v>130.65</v>
      </c>
      <c r="H1151" s="62" t="n">
        <f aca="false">MAX(0,IF(AND(Parameter!$B$21="Ja",ISNUMBER(Y1151)),Y1151,IF(Parameter!$B$20="Jahresanfang 2025 + Export",BS1151+BR1151,BR1151)))</f>
        <v>1</v>
      </c>
      <c r="I1151" s="62" t="n">
        <f aca="false">H1151*G1151</f>
        <v>130.65</v>
      </c>
      <c r="J1151" s="62" t="n">
        <f aca="false">BU1151*Parameter!$B$18</f>
        <v>2</v>
      </c>
      <c r="K1151" s="63" t="n">
        <v>3</v>
      </c>
      <c r="L1151" s="64" t="n">
        <v>0.666666666666667</v>
      </c>
      <c r="M1151" s="62" t="n">
        <v>0</v>
      </c>
      <c r="N1151" s="62" t="n">
        <v>1</v>
      </c>
      <c r="O1151" s="65" t="n">
        <v>28</v>
      </c>
      <c r="P1151" s="60" t="s">
        <v>463</v>
      </c>
      <c r="Q1151" s="62" t="n">
        <v>3</v>
      </c>
      <c r="R1151" s="65" t="n">
        <f aca="false">IF(CA1151=1,0,IFERROR(VLOOKUP(BY1151,'Gebinde-Kategorie'!$A$5:$N$45,13,0)+0,0))</f>
        <v>104</v>
      </c>
      <c r="S1151" s="66"/>
      <c r="T1151" s="67"/>
      <c r="U1151" s="67"/>
      <c r="V1151" s="67"/>
      <c r="W1151" s="60"/>
      <c r="X1151" s="62"/>
      <c r="Y1151" s="62"/>
      <c r="Z1151" s="60" t="n">
        <v>3</v>
      </c>
      <c r="AA1151" s="60" t="n">
        <f aca="false">IF(A1151="","",IF(AND(Parameter!$B$21="Ja",ISNUMBER(W1151)),W1151,IF(AND(Parameter!$E$27="Ja",ISNUMBER(Z1151),CD1151&lt;&gt;"Nein"),Z1151,IF(CD1151="2+3",IF(ISNUMBER(SEARCH("grosser Artikel",BV1151)),2,IFERROR(VLOOKUP(BY1151,Parameter!$F$35:$G$64,2,0),2)),IF(OR(CD1151="Nein",CD1151=""),"-",CD1151)))))</f>
        <v>3</v>
      </c>
      <c r="AB1151" s="67"/>
      <c r="AC1151" s="68"/>
      <c r="AD1151" s="62" t="n">
        <f aca="false">AW1151</f>
        <v>2</v>
      </c>
      <c r="AE1151" s="62" t="n">
        <f aca="false">MAX(AW1151,H1151)</f>
        <v>2</v>
      </c>
      <c r="AF1151" s="69"/>
      <c r="AG1151" s="62" t="n">
        <f aca="false">IF(LEFT(Cockpit!$C$5,1)="A",H1151,IF(Parameter!$E$30="MAX-Bestand",IF(CI1151=1,CJ1151,IF(LEFT(Cockpit!$C$5,1)="B",AM1151,MAX(AM1151,H1151))),ROUNDUP(AK1151,0)))</f>
        <v>1</v>
      </c>
      <c r="AH1151" s="62" t="n">
        <f aca="false">IF(CA1151=1,0,ROUNDUP(AG1151/BZ1151,0))</f>
        <v>1</v>
      </c>
      <c r="AI1151" s="64" t="n">
        <f aca="false">IF(CR1151&gt;0,CR1151*MAX(1,AG1151/X1151),IF(CA1151=1,IF(AG1151&lt;=0,0,CE1151*MAX(1,IF(H1151&gt;0,AG1151/H1151,1))),IF(R1151&gt;0,AH1151/R1151,0))/MAX(0.1,N(Parameter!$M$21)))</f>
        <v>0.00961538461538462</v>
      </c>
      <c r="AJ1151" s="62" t="n">
        <f aca="false">AI1151*CC1151</f>
        <v>1.49038461538462</v>
      </c>
      <c r="AK1151" s="63" t="n">
        <f aca="false">IF(LEFT(Cockpit!$C$5,1)="A",H1151,IF(CI1151=1,(CL1151+CJ1151)/2,IF(LEFT(Cockpit!$C$5,1)="B",(CL1151+AM1151)/2,MAX((CL1151+AM1151)/2,H1151))))</f>
        <v>1</v>
      </c>
      <c r="AL1151" s="62" t="n">
        <f aca="false">AK1151*G1151</f>
        <v>130.65</v>
      </c>
      <c r="AM1151" s="62" t="n">
        <f aca="false">ROUNDUP(CL1151+MAX(CM1151,2*(J1151/IF(CH1151&gt;0,CH1151,MAX(0.1,N(Cockpit!$C$6)))-CL1151)),0)</f>
        <v>2</v>
      </c>
      <c r="AN1151" s="63" t="n">
        <f aca="false">IF(AJ1151&gt;0,J1151/AJ1151,-1)</f>
        <v>1.34193548387097</v>
      </c>
      <c r="AO1151" s="63" t="n">
        <f aca="false">IF(AND(OR(CG1151="L1",CG1151="L23",CG1151="LIFT"),AJ1151&gt;0),SUMIFS($AJ$7:$AJ$1843,$CG$7:$CG$1843,CG1151,$AN$7:$AN$1843,"&gt;"&amp;AN1151)+SUMIFS($AJ$7:$AJ$1843,$CG$7:$CG$1843,CG1151,$AN$7:$AN$1843,AN1151,$BX$7:$BX$1843,"&lt;="&amp;BX1151),"")</f>
        <v>6357.97481684982</v>
      </c>
      <c r="AP1151" s="70" t="n">
        <f aca="false">IF(AO1151="",0,MAX(0,MIN(1,(IF(CG1151="L1",Parameter!$H$5,IF(CG1151="L23",Parameter!$H$6+Parameter!$H$7,Parameter!$H$5+Parameter!$H$6+Parameter!$H$7))-(AO1151-AJ1151))/AJ1151)))</f>
        <v>1</v>
      </c>
      <c r="AQ1151" s="62" t="n">
        <f aca="false">IF(LEFT(Cockpit!$I$5,1)="A",H1151,IF(Parameter!$E$30="MAX-Bestand",IF(CI1151=1,CJ1151,IF(LEFT(Cockpit!$I$5,1)="B",AW1151,MAX(AW1151,H1151))),ROUNDUP(AU1151,0)))</f>
        <v>1</v>
      </c>
      <c r="AR1151" s="62" t="n">
        <f aca="false">IF(CA1151=1,0,ROUNDUP(AQ1151/BZ1151,0))</f>
        <v>1</v>
      </c>
      <c r="AS1151" s="64" t="n">
        <f aca="false">IF(CR1151&gt;0,CR1151*MAX(1,AQ1151/X1151),IF(CA1151=1,IF(AQ1151&lt;=0,0,CE1151*MAX(1,IF(H1151&gt;0,AQ1151/H1151,1))),IF(R1151&gt;0,AR1151/R1151,0))/MAX(0.1,N(Parameter!$M$21)))</f>
        <v>0.00961538461538462</v>
      </c>
      <c r="AT1151" s="62" t="n">
        <f aca="false">AS1151*CC1151</f>
        <v>1.49038461538462</v>
      </c>
      <c r="AU1151" s="63" t="n">
        <f aca="false">IF(LEFT(Cockpit!$I$5,1)="A",H1151,IF(CI1151=1,(CL1151+CJ1151)/2,IF(LEFT(Cockpit!$I$5,1)="B",(CL1151+AW1151)/2,MAX((CL1151+AW1151)/2,H1151))))</f>
        <v>1</v>
      </c>
      <c r="AV1151" s="62" t="n">
        <f aca="false">AU1151*G1151</f>
        <v>130.65</v>
      </c>
      <c r="AW1151" s="62" t="n">
        <f aca="false">ROUNDUP(CL1151+MAX(CM1151,2*(J1151/IF(CH1151&gt;0,CH1151,MAX(0.1,N(Cockpit!$I$6)))-CL1151)),0)</f>
        <v>2</v>
      </c>
      <c r="AX1151" s="63" t="n">
        <f aca="false">IF(AT1151&gt;0,J1151/AT1151,-1)</f>
        <v>1.34193548387097</v>
      </c>
      <c r="AY1151" s="63" t="n">
        <f aca="false">IF(AND(OR(CG1151="L1",CG1151="L23",CG1151="LIFT"),AT1151&gt;0),SUMIFS($AT$7:$AT$1843,$CG$7:$CG$1843,CG1151,$AX$7:$AX$1843,"&gt;"&amp;AX1151)+SUMIFS($AT$7:$AT$1843,$CG$7:$CG$1843,CG1151,$AX$7:$AX$1843,AX1151,$BX$7:$BX$1843,"&lt;="&amp;BX1151),"")</f>
        <v>7885.13919413919</v>
      </c>
      <c r="AZ1151" s="70" t="n">
        <f aca="false">IF(AY1151="",0,MAX(0,MIN(1,(IF(CG1151="L1",Parameter!$H$5,IF(CG1151="L23",Parameter!$H$6+Parameter!$H$7,Parameter!$H$5+Parameter!$H$6+Parameter!$H$7))-(AY1151-AT1151))/AT1151)))</f>
        <v>1</v>
      </c>
      <c r="BA1151" s="62" t="n">
        <f aca="false">IF(LEFT(Cockpit!$O$5,1)="A",H1151,IF(Parameter!$E$30="MAX-Bestand",IF(CI1151=1,CJ1151,IF(LEFT(Cockpit!$O$5,1)="B",BG1151,MAX(BG1151,H1151))),ROUNDUP(BE1151,0)))</f>
        <v>1</v>
      </c>
      <c r="BB1151" s="62" t="n">
        <f aca="false">IF(CA1151=1,0,ROUNDUP(BA1151/BZ1151,0))</f>
        <v>1</v>
      </c>
      <c r="BC1151" s="64" t="n">
        <f aca="false">IF(CR1151&gt;0,CR1151*MAX(1,BA1151/X1151),IF(CA1151=1,IF(BA1151&lt;=0,0,CE1151*MAX(1,IF(H1151&gt;0,BA1151/H1151,1))),IF(R1151&gt;0,BB1151/R1151,0))/MAX(0.1,N(Parameter!$M$21)))</f>
        <v>0.00961538461538462</v>
      </c>
      <c r="BD1151" s="62" t="n">
        <f aca="false">BC1151*CC1151</f>
        <v>1.49038461538462</v>
      </c>
      <c r="BE1151" s="63" t="n">
        <f aca="false">IF(LEFT(Cockpit!$O$5,1)="A",H1151,IF(CI1151=1,(CL1151+CJ1151)/2,IF(LEFT(Cockpit!$O$5,1)="B",(CL1151+BG1151)/2,MAX((CL1151+BG1151)/2,H1151))))</f>
        <v>0.5</v>
      </c>
      <c r="BF1151" s="62" t="n">
        <f aca="false">BE1151*G1151</f>
        <v>65.325</v>
      </c>
      <c r="BG1151" s="62" t="n">
        <f aca="false">ROUNDUP(CL1151+MAX(CM1151,2*(J1151/IF(CH1151&gt;0,CH1151,MAX(0.1,N(Cockpit!$O$6)))-CL1151)),0)</f>
        <v>1</v>
      </c>
      <c r="BH1151" s="63" t="n">
        <f aca="false">IF(BD1151&gt;0,J1151/BD1151,-1)</f>
        <v>1.34193548387097</v>
      </c>
      <c r="BI1151" s="63" t="n">
        <f aca="false">IF(AND(OR(CG1151="L1",CG1151="L23",CG1151="LIFT"),BD1151&gt;0),SUMIFS($BD$7:$BD$1843,$CG$7:$CG$1843,CG1151,$BH$7:$BH$1843,"&gt;"&amp;BH1151)+SUMIFS($BD$7:$BD$1843,$CG$7:$CG$1843,CG1151,$BH$7:$BH$1843,BH1151,$BX$7:$BX$1843,"&lt;="&amp;BX1151),"")</f>
        <v>6822.35485347985</v>
      </c>
      <c r="BJ1151" s="70" t="n">
        <f aca="false">IF(BI1151="",0,MAX(0,MIN(1,(IF(CG1151="L1",Parameter!$H$5,IF(CG1151="L23",Parameter!$H$6+Parameter!$H$7,Parameter!$H$5+Parameter!$H$6+Parameter!$H$7))-(BI1151-BD1151))/BD1151)))</f>
        <v>1</v>
      </c>
      <c r="BK1151" s="60" t="str">
        <f aca="false">IF(AJ1151&lt;=0,"",IF(CG1151="Aussen","Aussenlager",IF(CG1151="-","Nicht im Lift",IF(AP1151&gt;=1,"Lift",IF(AP1151&lt;=0,"Aussenlager","teilweise")))))</f>
        <v>Lift</v>
      </c>
      <c r="BL1151" s="60" t="str">
        <f aca="false">IF(AT1151&lt;=0,"",IF(CG1151="Aussen","Aussenlager",IF(CG1151="-","Nicht im Lift",IF(AZ1151&gt;=1,"Lift",IF(AZ1151&lt;=0,"Aussenlager","teilweise")))))</f>
        <v>Lift</v>
      </c>
      <c r="BM1151" s="60" t="str">
        <f aca="false">IF(BD1151&lt;=0,"",IF(CG1151="Aussen","Aussenlager",IF(CG1151="-","Nicht im Lift",IF(BJ1151&gt;=1,"Lift",IF(BJ1151&lt;=0,"Aussenlager","teilweise")))))</f>
        <v>Lift</v>
      </c>
      <c r="BN1151" s="60" t="str">
        <f aca="false">IF(A1151="","",IF(BW1151=1,"Neu; ","")&amp;IF(AND(BW1151=0,BR1151&lt;0),"negativer Bestand (Export "&amp;BR1151&amp;"); ","")&amp;IF(J1151&lt;=0,"Kein Verbrauch; ","")&amp;IF(CR1151&gt;0,"Lift "&amp;W1151&amp;" lt. Liftbericht (Fach "&amp;X1151&amp;" Stk); ",IF(CB1151=1,"Gebinde geschätzt ("&amp;T1151&amp;"); ",IF(CA1151=1,"Lose – Tablare geschätzt; ","")))&amp;IF(H1151&gt;AW1151,"Überbestand "&amp;ROUND(H1151-AW1151,0)&amp;" Stk / CHF "&amp;ROUND((H1151-AW1151)*G1151,0)&amp;"; ","")&amp;IF(AND(CI1151=1,CJ1151&lt;CK1151),"MAX &lt; MB+LG; ","")&amp;IF(AND(CQ1151&gt;0,CP1151*10&gt;CQ1151),"zu hoch für Tablar; ","")&amp;IF(AND(BW1151=0,OR(CI1151=1,AB1151&lt;&gt;"",U1151&lt;&gt;"",V1151&lt;&gt;"",AC1151&lt;&gt;"")),"manuell übersteuert; ","")&amp;IF(AND(CA1151=0,R1151=0),"Gebinde unbekannt / Stellmass fehlt; ","")&amp;IF(AND(CA1151=0,N(V1151)&lt;=0,N(Q1151)&lt;=0),"Menge pro Gebinde fehlt (Ist = 1 Gebinde); ","")&amp;BV1151)</f>
        <v>negativer Bestand (Export -3); Neu; grosser Artikel &amp; nicht im KTL</v>
      </c>
      <c r="BO1151" s="60"/>
      <c r="BP1151" s="60"/>
      <c r="BQ1151" s="67"/>
      <c r="BR1151" s="62" t="n">
        <v>-3</v>
      </c>
      <c r="BS1151" s="62" t="n">
        <v>4</v>
      </c>
      <c r="BT1151" s="61" t="n">
        <v>-310.03</v>
      </c>
      <c r="BU1151" s="62" t="n">
        <v>2</v>
      </c>
      <c r="BV1151" s="60" t="s">
        <v>2112</v>
      </c>
      <c r="BW1151" s="65" t="n">
        <v>0</v>
      </c>
      <c r="BX1151" s="65" t="n">
        <v>1151</v>
      </c>
      <c r="BY1151" s="60" t="str">
        <f aca="false">IF(U1151&lt;&gt;"",UPPER(TRIM(U1151)),IF(CB1151=1,UPPER(VLOOKUP(T1151,Parameter!$I$27:$K$29,2,0)),IF(P1151="","LOSE",P1151)))</f>
        <v>S32</v>
      </c>
      <c r="BZ1151" s="62" t="n">
        <f aca="false">IF(BY1151="LOSE",1,IF(N(V1151)&gt;0,V1151,IF(CB1151=1,MAX(1,N(VLOOKUP(T1151,Parameter!$I$27:$K$29,3,0)),H1151,N(N1151)),IF(N(Q1151)&gt;0,Q1151,MAX(1,H1151)))))</f>
        <v>3</v>
      </c>
      <c r="CA1151" s="65" t="n">
        <f aca="false">IF(BY1151="LOSE",1,0)</f>
        <v>0</v>
      </c>
      <c r="CB1151" s="65" t="n">
        <f aca="false">IF(AND(U1151="",OR(P1151="",P1151="LOSE"),T1151&lt;&gt;"",N(S1151)&lt;=0,ISNUMBER(MATCH(T1151,Parameter!$I$27:$I$29,0))),1,0)</f>
        <v>0</v>
      </c>
      <c r="CC1151" s="65" t="n">
        <f aca="false">IF(CR1151&gt;0,INDEX(Parameter!$H$5:$H$7,W1151)/INDEX(Parameter!$E$5:$E$7,W1151),IF(AND(CA1151=0,N(IFERROR(VLOOKUP(BY1151,'Gebinde-Kategorie'!$A$5:$N$45,14,0),0))&gt;0),VLOOKUP(BY1151,'Gebinde-Kategorie'!$A$5:$N$45,14,0)*10+Parameter!$M$23,Parameter!$M$24))</f>
        <v>155</v>
      </c>
      <c r="CD1151" s="60" t="str">
        <f aca="false">IF(AND(Parameter!$B$19="Ja",E1151&lt;&gt;"",ISNUMBER(MATCH(E1151,Parameter!$I$35:$I$52,0))),VLOOKUP(E1151,Parameter!$I$35:$J$52,2,0),IFERROR(VLOOKUP(D1151,Parameter!$A$35:$C$64,2,0),"Nein"))</f>
        <v>2+3</v>
      </c>
      <c r="CE1151" s="64" t="n">
        <f aca="false">IF(CA1151=0,0,IF(N(S1151)&gt;0,S1151,IFERROR(VLOOKUP(D1151,Parameter!$A$35:$C$64,3,0)+0,0)))</f>
        <v>0</v>
      </c>
      <c r="CF1151" s="60" t="n">
        <f aca="false">IF(AB1151&lt;&gt;"",AB1151,AA1151)</f>
        <v>3</v>
      </c>
      <c r="CG1151" s="60" t="str">
        <f aca="false">IF(OR(CF1151=1,CF1151=2,CF1151=3),IF(Parameter!$E$27="Ja","LIFT",IF(CF1151=1,"L1","L23")),IF(CF1151="Aussen","Aussen","-"))</f>
        <v>LIFT</v>
      </c>
      <c r="CH1151" s="71" t="n">
        <f aca="false">IF(N(AC1151)&gt;0,AC1151,0)</f>
        <v>0</v>
      </c>
      <c r="CI1151" s="65" t="n">
        <f aca="false">IF(ISNUMBER(AF1151),1,0)</f>
        <v>0</v>
      </c>
      <c r="CJ1151" s="62" t="n">
        <f aca="false">N(AF1151)</f>
        <v>0</v>
      </c>
      <c r="CK1151" s="62" t="n">
        <f aca="false">N(M1151)+N(N1151)</f>
        <v>1</v>
      </c>
      <c r="CL1151" s="62" t="n">
        <f aca="false">N(M1151)</f>
        <v>0</v>
      </c>
      <c r="CM1151" s="62" t="n">
        <f aca="false">N(N1151)</f>
        <v>1</v>
      </c>
      <c r="CN1151" s="62" t="n">
        <f aca="false">ROUNDUP(H1151/BZ1151,0)</f>
        <v>1</v>
      </c>
      <c r="CO1151" s="62" t="n">
        <f aca="false">ROUNDUP(CJ1151/BZ1151,0)</f>
        <v>0</v>
      </c>
      <c r="CP1151" s="65" t="n">
        <f aca="false">IF(CA1151=1,0,IFERROR(VLOOKUP(BY1151,'Gebinde-Kategorie'!$A$5:$N$45,5,0)+0,0))</f>
        <v>8</v>
      </c>
      <c r="CQ1151" s="65" t="n">
        <f aca="false">IFERROR(IF(OR(CF1151=1,CF1151=2,CF1151=3),N(INDEX(Parameter!$I$5:$I$7,CF1151)),0),0)</f>
        <v>0</v>
      </c>
      <c r="CR1151" s="64" t="n">
        <f aca="false">IF(AND(Parameter!$B$21="Ja",ISNUMBER(W1151),N(X1151)&gt;0),IFERROR(N(INDEX(Parameter!$L$5:$L$7,W1151))*INDEX(Parameter!$E$5:$E$7,W1151)*X1151/SUMIFS($X$7:$X$1843,$W$7:$W$1843,W1151),0),0)</f>
        <v>0</v>
      </c>
      <c r="CS1151" s="62" t="n">
        <f aca="false">IF(AND(OR(CG1151="L1",CG1151="L23",CG1151="LIFT"),H1151&gt;0),CC1151*IF(CR1151&gt;0,CR1151*MAX(1,H1151/X1151),IF(CA1151=1,CE1151,IF(R1151&gt;0,CN1151/R1151,0))/MAX(0.1,N(Parameter!$M$21))),"")</f>
        <v>1.49038461538462</v>
      </c>
      <c r="CT1151" s="64" t="n">
        <f aca="false">IF(CS1151="","",J1151/H1151)</f>
        <v>2</v>
      </c>
      <c r="CU1151" s="62" t="n">
        <f aca="false">IF(CS1151="","",H1151*G1151)</f>
        <v>130.65</v>
      </c>
      <c r="CV1151" s="63" t="n">
        <f aca="false">IF(CS1151="","",(CL1151+ROUNDUP(CL1151+MAX(CM1151,2*(J1151/MAX(0.1,N(Einkauf!$C$6))-CL1151)),0))/2)</f>
        <v>0.5</v>
      </c>
      <c r="CW1151" s="62" t="n">
        <f aca="false">IF(CS1151="","",MAX(0,H1151-CV1151)*G1151)</f>
        <v>65.325</v>
      </c>
      <c r="CX1151" s="62" t="n">
        <f aca="false">IF(CS1151="","",CS1151*MAX(0,1-CV1151/H1151))</f>
        <v>0.745192307692308</v>
      </c>
      <c r="CY1151" s="64" t="n">
        <f aca="false">IF(CS1151="","",PERCENTRANK($CS$7:$CS$1843,CS1151)+PERCENTRANK($CU$7:$CU$1843,CU1151)+1-PERCENTRANK($CT$7:$CT$1843,CT1151))</f>
        <v>0.581</v>
      </c>
      <c r="CZ1151" s="72" t="n">
        <f aca="false">IF(CS1151="","",CHOOSE(MATCH(Einkauf!$C$5,Parameter!$G$23:$G$27,0),CY1151,CS1151,CU1151,-CT1151,CW1151)+ROW()/1000000000)</f>
        <v>0.581001151</v>
      </c>
    </row>
    <row r="1152" customFormat="false" ht="15" hidden="false" customHeight="false" outlineLevel="0" collapsed="false">
      <c r="A1152" s="60" t="s">
        <v>2122</v>
      </c>
      <c r="B1152" s="60" t="s">
        <v>1129</v>
      </c>
      <c r="C1152" s="60" t="s">
        <v>206</v>
      </c>
      <c r="D1152" s="60" t="s">
        <v>226</v>
      </c>
      <c r="E1152" s="60" t="s">
        <v>227</v>
      </c>
      <c r="F1152" s="60" t="s">
        <v>260</v>
      </c>
      <c r="G1152" s="61" t="n">
        <v>25.19</v>
      </c>
      <c r="H1152" s="62" t="n">
        <f aca="false">MAX(0,IF(AND(Parameter!$B$21="Ja",ISNUMBER(Y1152)),Y1152,IF(Parameter!$B$20="Jahresanfang 2025 + Export",BS1152+BR1152,BR1152)))</f>
        <v>6</v>
      </c>
      <c r="I1152" s="62" t="n">
        <f aca="false">H1152*G1152</f>
        <v>151.14</v>
      </c>
      <c r="J1152" s="62" t="n">
        <f aca="false">BU1152*Parameter!$B$18</f>
        <v>10</v>
      </c>
      <c r="K1152" s="63" t="n">
        <v>12</v>
      </c>
      <c r="L1152" s="64" t="n">
        <v>0.833333333333333</v>
      </c>
      <c r="M1152" s="62" t="n">
        <v>0</v>
      </c>
      <c r="N1152" s="62" t="n">
        <v>10</v>
      </c>
      <c r="O1152" s="65" t="n">
        <v>28</v>
      </c>
      <c r="P1152" s="60" t="s">
        <v>275</v>
      </c>
      <c r="Q1152" s="62" t="n">
        <v>34</v>
      </c>
      <c r="R1152" s="65" t="n">
        <f aca="false">IF(CA1152=1,0,IFERROR(VLOOKUP(BY1152,'Gebinde-Kategorie'!$A$5:$N$45,13,0)+0,0))</f>
        <v>26</v>
      </c>
      <c r="S1152" s="66"/>
      <c r="T1152" s="67"/>
      <c r="U1152" s="67"/>
      <c r="V1152" s="67"/>
      <c r="W1152" s="60"/>
      <c r="X1152" s="62"/>
      <c r="Y1152" s="62"/>
      <c r="Z1152" s="60" t="n">
        <v>3</v>
      </c>
      <c r="AA1152" s="60" t="n">
        <f aca="false">IF(A1152="","",IF(AND(Parameter!$B$21="Ja",ISNUMBER(W1152)),W1152,IF(AND(Parameter!$E$27="Ja",ISNUMBER(Z1152),CD1152&lt;&gt;"Nein"),Z1152,IF(CD1152="2+3",IF(ISNUMBER(SEARCH("grosser Artikel",BV1152)),2,IFERROR(VLOOKUP(BY1152,Parameter!$F$35:$G$64,2,0),2)),IF(OR(CD1152="Nein",CD1152=""),"-",CD1152)))))</f>
        <v>3</v>
      </c>
      <c r="AB1152" s="67"/>
      <c r="AC1152" s="68"/>
      <c r="AD1152" s="62" t="n">
        <f aca="false">AW1152</f>
        <v>10</v>
      </c>
      <c r="AE1152" s="62" t="n">
        <f aca="false">MAX(AW1152,H1152)</f>
        <v>10</v>
      </c>
      <c r="AF1152" s="69"/>
      <c r="AG1152" s="62" t="n">
        <f aca="false">IF(LEFT(Cockpit!$C$5,1)="A",H1152,IF(Parameter!$E$30="MAX-Bestand",IF(CI1152=1,CJ1152,IF(LEFT(Cockpit!$C$5,1)="B",AM1152,MAX(AM1152,H1152))),ROUNDUP(AK1152,0)))</f>
        <v>6</v>
      </c>
      <c r="AH1152" s="62" t="n">
        <f aca="false">IF(CA1152=1,0,ROUNDUP(AG1152/BZ1152,0))</f>
        <v>1</v>
      </c>
      <c r="AI1152" s="64" t="n">
        <f aca="false">IF(CR1152&gt;0,CR1152*MAX(1,AG1152/X1152),IF(CA1152=1,IF(AG1152&lt;=0,0,CE1152*MAX(1,IF(H1152&gt;0,AG1152/H1152,1))),IF(R1152&gt;0,AH1152/R1152,0))/MAX(0.1,N(Parameter!$M$21)))</f>
        <v>0.0384615384615385</v>
      </c>
      <c r="AJ1152" s="62" t="n">
        <f aca="false">AI1152*CC1152</f>
        <v>9.42307692307692</v>
      </c>
      <c r="AK1152" s="63" t="n">
        <f aca="false">IF(LEFT(Cockpit!$C$5,1)="A",H1152,IF(CI1152=1,(CL1152+CJ1152)/2,IF(LEFT(Cockpit!$C$5,1)="B",(CL1152+AM1152)/2,MAX((CL1152+AM1152)/2,H1152))))</f>
        <v>6</v>
      </c>
      <c r="AL1152" s="62" t="n">
        <f aca="false">AK1152*G1152</f>
        <v>151.14</v>
      </c>
      <c r="AM1152" s="62" t="n">
        <f aca="false">ROUNDUP(CL1152+MAX(CM1152,2*(J1152/IF(CH1152&gt;0,CH1152,MAX(0.1,N(Cockpit!$C$6)))-CL1152)),0)</f>
        <v>10</v>
      </c>
      <c r="AN1152" s="63" t="n">
        <f aca="false">IF(AJ1152&gt;0,J1152/AJ1152,-1)</f>
        <v>1.06122448979592</v>
      </c>
      <c r="AO1152" s="63" t="n">
        <f aca="false">IF(AND(OR(CG1152="L1",CG1152="L23",CG1152="LIFT"),AJ1152&gt;0),SUMIFS($AJ$7:$AJ$1843,$CG$7:$CG$1843,CG1152,$AN$7:$AN$1843,"&gt;"&amp;AN1152)+SUMIFS($AJ$7:$AJ$1843,$CG$7:$CG$1843,CG1152,$AN$7:$AN$1843,AN1152,$BX$7:$BX$1843,"&lt;="&amp;BX1152),"")</f>
        <v>6912.55815018315</v>
      </c>
      <c r="AP1152" s="70" t="n">
        <f aca="false">IF(AO1152="",0,MAX(0,MIN(1,(IF(CG1152="L1",Parameter!$H$5,IF(CG1152="L23",Parameter!$H$6+Parameter!$H$7,Parameter!$H$5+Parameter!$H$6+Parameter!$H$7))-(AO1152-AJ1152))/AJ1152)))</f>
        <v>1</v>
      </c>
      <c r="AQ1152" s="62" t="n">
        <f aca="false">IF(LEFT(Cockpit!$I$5,1)="A",H1152,IF(Parameter!$E$30="MAX-Bestand",IF(CI1152=1,CJ1152,IF(LEFT(Cockpit!$I$5,1)="B",AW1152,MAX(AW1152,H1152))),ROUNDUP(AU1152,0)))</f>
        <v>6</v>
      </c>
      <c r="AR1152" s="62" t="n">
        <f aca="false">IF(CA1152=1,0,ROUNDUP(AQ1152/BZ1152,0))</f>
        <v>1</v>
      </c>
      <c r="AS1152" s="64" t="n">
        <f aca="false">IF(CR1152&gt;0,CR1152*MAX(1,AQ1152/X1152),IF(CA1152=1,IF(AQ1152&lt;=0,0,CE1152*MAX(1,IF(H1152&gt;0,AQ1152/H1152,1))),IF(R1152&gt;0,AR1152/R1152,0))/MAX(0.1,N(Parameter!$M$21)))</f>
        <v>0.0384615384615385</v>
      </c>
      <c r="AT1152" s="62" t="n">
        <f aca="false">AS1152*CC1152</f>
        <v>9.42307692307692</v>
      </c>
      <c r="AU1152" s="63" t="n">
        <f aca="false">IF(LEFT(Cockpit!$I$5,1)="A",H1152,IF(CI1152=1,(CL1152+CJ1152)/2,IF(LEFT(Cockpit!$I$5,1)="B",(CL1152+AW1152)/2,MAX((CL1152+AW1152)/2,H1152))))</f>
        <v>6</v>
      </c>
      <c r="AV1152" s="62" t="n">
        <f aca="false">AU1152*G1152</f>
        <v>151.14</v>
      </c>
      <c r="AW1152" s="62" t="n">
        <f aca="false">ROUNDUP(CL1152+MAX(CM1152,2*(J1152/IF(CH1152&gt;0,CH1152,MAX(0.1,N(Cockpit!$I$6)))-CL1152)),0)</f>
        <v>10</v>
      </c>
      <c r="AX1152" s="63" t="n">
        <f aca="false">IF(AT1152&gt;0,J1152/AT1152,-1)</f>
        <v>1.06122448979592</v>
      </c>
      <c r="AY1152" s="63" t="n">
        <f aca="false">IF(AND(OR(CG1152="L1",CG1152="L23",CG1152="LIFT"),AT1152&gt;0),SUMIFS($AT$7:$AT$1843,$CG$7:$CG$1843,CG1152,$AX$7:$AX$1843,"&gt;"&amp;AX1152)+SUMIFS($AT$7:$AT$1843,$CG$7:$CG$1843,CG1152,$AX$7:$AX$1843,AX1152,$BX$7:$BX$1843,"&lt;="&amp;BX1152),"")</f>
        <v>8263.05586080586</v>
      </c>
      <c r="AZ1152" s="70" t="n">
        <f aca="false">IF(AY1152="",0,MAX(0,MIN(1,(IF(CG1152="L1",Parameter!$H$5,IF(CG1152="L23",Parameter!$H$6+Parameter!$H$7,Parameter!$H$5+Parameter!$H$6+Parameter!$H$7))-(AY1152-AT1152))/AT1152)))</f>
        <v>1</v>
      </c>
      <c r="BA1152" s="62" t="n">
        <f aca="false">IF(LEFT(Cockpit!$O$5,1)="A",H1152,IF(Parameter!$E$30="MAX-Bestand",IF(CI1152=1,CJ1152,IF(LEFT(Cockpit!$O$5,1)="B",BG1152,MAX(BG1152,H1152))),ROUNDUP(BE1152,0)))</f>
        <v>5</v>
      </c>
      <c r="BB1152" s="62" t="n">
        <f aca="false">IF(CA1152=1,0,ROUNDUP(BA1152/BZ1152,0))</f>
        <v>1</v>
      </c>
      <c r="BC1152" s="64" t="n">
        <f aca="false">IF(CR1152&gt;0,CR1152*MAX(1,BA1152/X1152),IF(CA1152=1,IF(BA1152&lt;=0,0,CE1152*MAX(1,IF(H1152&gt;0,BA1152/H1152,1))),IF(R1152&gt;0,BB1152/R1152,0))/MAX(0.1,N(Parameter!$M$21)))</f>
        <v>0.0384615384615385</v>
      </c>
      <c r="BD1152" s="62" t="n">
        <f aca="false">BC1152*CC1152</f>
        <v>9.42307692307692</v>
      </c>
      <c r="BE1152" s="63" t="n">
        <f aca="false">IF(LEFT(Cockpit!$O$5,1)="A",H1152,IF(CI1152=1,(CL1152+CJ1152)/2,IF(LEFT(Cockpit!$O$5,1)="B",(CL1152+BG1152)/2,MAX((CL1152+BG1152)/2,H1152))))</f>
        <v>5</v>
      </c>
      <c r="BF1152" s="62" t="n">
        <f aca="false">BE1152*G1152</f>
        <v>125.95</v>
      </c>
      <c r="BG1152" s="62" t="n">
        <f aca="false">ROUNDUP(CL1152+MAX(CM1152,2*(J1152/IF(CH1152&gt;0,CH1152,MAX(0.1,N(Cockpit!$O$6)))-CL1152)),0)</f>
        <v>10</v>
      </c>
      <c r="BH1152" s="63" t="n">
        <f aca="false">IF(BD1152&gt;0,J1152/BD1152,-1)</f>
        <v>1.06122448979592</v>
      </c>
      <c r="BI1152" s="63" t="n">
        <f aca="false">IF(AND(OR(CG1152="L1",CG1152="L23",CG1152="LIFT"),BD1152&gt;0),SUMIFS($BD$7:$BD$1843,$CG$7:$CG$1843,CG1152,$BH$7:$BH$1843,"&gt;"&amp;BH1152)+SUMIFS($BD$7:$BD$1843,$CG$7:$CG$1843,CG1152,$BH$7:$BH$1843,BH1152,$BX$7:$BX$1843,"&lt;="&amp;BX1152),"")</f>
        <v>7429.30998168498</v>
      </c>
      <c r="BJ1152" s="70" t="n">
        <f aca="false">IF(BI1152="",0,MAX(0,MIN(1,(IF(CG1152="L1",Parameter!$H$5,IF(CG1152="L23",Parameter!$H$6+Parameter!$H$7,Parameter!$H$5+Parameter!$H$6+Parameter!$H$7))-(BI1152-BD1152))/BD1152)))</f>
        <v>1</v>
      </c>
      <c r="BK1152" s="60" t="str">
        <f aca="false">IF(AJ1152&lt;=0,"",IF(CG1152="Aussen","Aussenlager",IF(CG1152="-","Nicht im Lift",IF(AP1152&gt;=1,"Lift",IF(AP1152&lt;=0,"Aussenlager","teilweise")))))</f>
        <v>Lift</v>
      </c>
      <c r="BL1152" s="60" t="str">
        <f aca="false">IF(AT1152&lt;=0,"",IF(CG1152="Aussen","Aussenlager",IF(CG1152="-","Nicht im Lift",IF(AZ1152&gt;=1,"Lift",IF(AZ1152&lt;=0,"Aussenlager","teilweise")))))</f>
        <v>Lift</v>
      </c>
      <c r="BM1152" s="60" t="str">
        <f aca="false">IF(BD1152&lt;=0,"",IF(CG1152="Aussen","Aussenlager",IF(CG1152="-","Nicht im Lift",IF(BJ1152&gt;=1,"Lift",IF(BJ1152&lt;=0,"Aussenlager","teilweise")))))</f>
        <v>Lift</v>
      </c>
      <c r="BN1152" s="60" t="str">
        <f aca="false">IF(A1152="","",IF(BW1152=1,"Neu; ","")&amp;IF(AND(BW1152=0,BR1152&lt;0),"negativer Bestand (Export "&amp;BR1152&amp;"); ","")&amp;IF(J1152&lt;=0,"Kein Verbrauch; ","")&amp;IF(CR1152&gt;0,"Lift "&amp;W1152&amp;" lt. Liftbericht (Fach "&amp;X1152&amp;" Stk); ",IF(CB1152=1,"Gebinde geschätzt ("&amp;T1152&amp;"); ",IF(CA1152=1,"Lose – Tablare geschätzt; ","")))&amp;IF(H1152&gt;AW1152,"Überbestand "&amp;ROUND(H1152-AW1152,0)&amp;" Stk / CHF "&amp;ROUND((H1152-AW1152)*G1152,0)&amp;"; ","")&amp;IF(AND(CI1152=1,CJ1152&lt;CK1152),"MAX &lt; MB+LG; ","")&amp;IF(AND(CQ1152&gt;0,CP1152*10&gt;CQ1152),"zu hoch für Tablar; ","")&amp;IF(AND(BW1152=0,OR(CI1152=1,AB1152&lt;&gt;"",U1152&lt;&gt;"",V1152&lt;&gt;"",AC1152&lt;&gt;"")),"manuell übersteuert; ","")&amp;IF(AND(CA1152=0,R1152=0),"Gebinde unbekannt / Stellmass fehlt; ","")&amp;IF(AND(CA1152=0,N(V1152)&lt;=0,N(Q1152)&lt;=0),"Menge pro Gebinde fehlt (Ist = 1 Gebinde); ","")&amp;BV1152)</f>
        <v>negativer Bestand (Export -10); Neu</v>
      </c>
      <c r="BO1152" s="60"/>
      <c r="BP1152" s="60"/>
      <c r="BQ1152" s="67"/>
      <c r="BR1152" s="62" t="n">
        <v>-10</v>
      </c>
      <c r="BS1152" s="62" t="n">
        <v>16</v>
      </c>
      <c r="BT1152" s="61" t="n">
        <v>-310.46</v>
      </c>
      <c r="BU1152" s="62" t="n">
        <v>10</v>
      </c>
      <c r="BV1152" s="60" t="s">
        <v>668</v>
      </c>
      <c r="BW1152" s="65" t="n">
        <v>0</v>
      </c>
      <c r="BX1152" s="65" t="n">
        <v>1152</v>
      </c>
      <c r="BY1152" s="60" t="str">
        <f aca="false">IF(U1152&lt;&gt;"",UPPER(TRIM(U1152)),IF(CB1152=1,UPPER(VLOOKUP(T1152,Parameter!$I$27:$K$29,2,0)),IF(P1152="","LOSE",P1152)))</f>
        <v>S52</v>
      </c>
      <c r="BZ1152" s="62" t="n">
        <f aca="false">IF(BY1152="LOSE",1,IF(N(V1152)&gt;0,V1152,IF(CB1152=1,MAX(1,N(VLOOKUP(T1152,Parameter!$I$27:$K$29,3,0)),H1152,N(N1152)),IF(N(Q1152)&gt;0,Q1152,MAX(1,H1152)))))</f>
        <v>34</v>
      </c>
      <c r="CA1152" s="65" t="n">
        <f aca="false">IF(BY1152="LOSE",1,0)</f>
        <v>0</v>
      </c>
      <c r="CB1152" s="65" t="n">
        <f aca="false">IF(AND(U1152="",OR(P1152="",P1152="LOSE"),T1152&lt;&gt;"",N(S1152)&lt;=0,ISNUMBER(MATCH(T1152,Parameter!$I$27:$I$29,0))),1,0)</f>
        <v>0</v>
      </c>
      <c r="CC1152" s="65" t="n">
        <f aca="false">IF(CR1152&gt;0,INDEX(Parameter!$H$5:$H$7,W1152)/INDEX(Parameter!$E$5:$E$7,W1152),IF(AND(CA1152=0,N(IFERROR(VLOOKUP(BY1152,'Gebinde-Kategorie'!$A$5:$N$45,14,0),0))&gt;0),VLOOKUP(BY1152,'Gebinde-Kategorie'!$A$5:$N$45,14,0)*10+Parameter!$M$23,Parameter!$M$24))</f>
        <v>245</v>
      </c>
      <c r="CD1152" s="60" t="str">
        <f aca="false">IF(AND(Parameter!$B$19="Ja",E1152&lt;&gt;"",ISNUMBER(MATCH(E1152,Parameter!$I$35:$I$52,0))),VLOOKUP(E1152,Parameter!$I$35:$J$52,2,0),IFERROR(VLOOKUP(D1152,Parameter!$A$35:$C$64,2,0),"Nein"))</f>
        <v>2+3</v>
      </c>
      <c r="CE1152" s="64" t="n">
        <f aca="false">IF(CA1152=0,0,IF(N(S1152)&gt;0,S1152,IFERROR(VLOOKUP(D1152,Parameter!$A$35:$C$64,3,0)+0,0)))</f>
        <v>0</v>
      </c>
      <c r="CF1152" s="60" t="n">
        <f aca="false">IF(AB1152&lt;&gt;"",AB1152,AA1152)</f>
        <v>3</v>
      </c>
      <c r="CG1152" s="60" t="str">
        <f aca="false">IF(OR(CF1152=1,CF1152=2,CF1152=3),IF(Parameter!$E$27="Ja","LIFT",IF(CF1152=1,"L1","L23")),IF(CF1152="Aussen","Aussen","-"))</f>
        <v>LIFT</v>
      </c>
      <c r="CH1152" s="71" t="n">
        <f aca="false">IF(N(AC1152)&gt;0,AC1152,0)</f>
        <v>0</v>
      </c>
      <c r="CI1152" s="65" t="n">
        <f aca="false">IF(ISNUMBER(AF1152),1,0)</f>
        <v>0</v>
      </c>
      <c r="CJ1152" s="62" t="n">
        <f aca="false">N(AF1152)</f>
        <v>0</v>
      </c>
      <c r="CK1152" s="62" t="n">
        <f aca="false">N(M1152)+N(N1152)</f>
        <v>10</v>
      </c>
      <c r="CL1152" s="62" t="n">
        <f aca="false">N(M1152)</f>
        <v>0</v>
      </c>
      <c r="CM1152" s="62" t="n">
        <f aca="false">N(N1152)</f>
        <v>10</v>
      </c>
      <c r="CN1152" s="62" t="n">
        <f aca="false">ROUNDUP(H1152/BZ1152,0)</f>
        <v>1</v>
      </c>
      <c r="CO1152" s="62" t="n">
        <f aca="false">ROUNDUP(CJ1152/BZ1152,0)</f>
        <v>0</v>
      </c>
      <c r="CP1152" s="65" t="n">
        <f aca="false">IF(CA1152=1,0,IFERROR(VLOOKUP(BY1152,'Gebinde-Kategorie'!$A$5:$N$45,5,0)+0,0))</f>
        <v>21</v>
      </c>
      <c r="CQ1152" s="65" t="n">
        <f aca="false">IFERROR(IF(OR(CF1152=1,CF1152=2,CF1152=3),N(INDEX(Parameter!$I$5:$I$7,CF1152)),0),0)</f>
        <v>0</v>
      </c>
      <c r="CR1152" s="64" t="n">
        <f aca="false">IF(AND(Parameter!$B$21="Ja",ISNUMBER(W1152),N(X1152)&gt;0),IFERROR(N(INDEX(Parameter!$L$5:$L$7,W1152))*INDEX(Parameter!$E$5:$E$7,W1152)*X1152/SUMIFS($X$7:$X$1843,$W$7:$W$1843,W1152),0),0)</f>
        <v>0</v>
      </c>
      <c r="CS1152" s="62" t="n">
        <f aca="false">IF(AND(OR(CG1152="L1",CG1152="L23",CG1152="LIFT"),H1152&gt;0),CC1152*IF(CR1152&gt;0,CR1152*MAX(1,H1152/X1152),IF(CA1152=1,CE1152,IF(R1152&gt;0,CN1152/R1152,0))/MAX(0.1,N(Parameter!$M$21))),"")</f>
        <v>9.42307692307692</v>
      </c>
      <c r="CT1152" s="64" t="n">
        <f aca="false">IF(CS1152="","",J1152/H1152)</f>
        <v>1.66666666666667</v>
      </c>
      <c r="CU1152" s="62" t="n">
        <f aca="false">IF(CS1152="","",H1152*G1152)</f>
        <v>151.14</v>
      </c>
      <c r="CV1152" s="63" t="n">
        <f aca="false">IF(CS1152="","",(CL1152+ROUNDUP(CL1152+MAX(CM1152,2*(J1152/MAX(0.1,N(Einkauf!$C$6))-CL1152)),0))/2)</f>
        <v>5</v>
      </c>
      <c r="CW1152" s="62" t="n">
        <f aca="false">IF(CS1152="","",MAX(0,H1152-CV1152)*G1152)</f>
        <v>25.19</v>
      </c>
      <c r="CX1152" s="62" t="n">
        <f aca="false">IF(CS1152="","",CS1152*MAX(0,1-CV1152/H1152))</f>
        <v>1.57051282051282</v>
      </c>
      <c r="CY1152" s="64" t="n">
        <f aca="false">IF(CS1152="","",PERCENTRANK($CS$7:$CS$1843,CS1152)+PERCENTRANK($CU$7:$CU$1843,CU1152)+1-PERCENTRANK($CT$7:$CT$1843,CT1152))</f>
        <v>1.09</v>
      </c>
      <c r="CZ1152" s="72" t="n">
        <f aca="false">IF(CS1152="","",CHOOSE(MATCH(Einkauf!$C$5,Parameter!$G$23:$G$27,0),CY1152,CS1152,CU1152,-CT1152,CW1152)+ROW()/1000000000)</f>
        <v>1.090001152</v>
      </c>
    </row>
    <row r="1153" customFormat="false" ht="15" hidden="false" customHeight="false" outlineLevel="0" collapsed="false">
      <c r="A1153" s="60" t="s">
        <v>2123</v>
      </c>
      <c r="B1153" s="60" t="s">
        <v>2124</v>
      </c>
      <c r="C1153" s="60" t="s">
        <v>206</v>
      </c>
      <c r="D1153" s="60" t="s">
        <v>226</v>
      </c>
      <c r="E1153" s="60" t="s">
        <v>227</v>
      </c>
      <c r="F1153" s="60" t="s">
        <v>260</v>
      </c>
      <c r="G1153" s="61" t="n">
        <v>62.19</v>
      </c>
      <c r="H1153" s="62" t="n">
        <f aca="false">MAX(0,IF(AND(Parameter!$B$21="Ja",ISNUMBER(Y1153)),Y1153,IF(Parameter!$B$20="Jahresanfang 2025 + Export",BS1153+BR1153,BR1153)))</f>
        <v>5</v>
      </c>
      <c r="I1153" s="62" t="n">
        <f aca="false">H1153*G1153</f>
        <v>310.95</v>
      </c>
      <c r="J1153" s="62" t="n">
        <f aca="false">BU1153*Parameter!$B$18</f>
        <v>2</v>
      </c>
      <c r="K1153" s="63" t="n">
        <v>9</v>
      </c>
      <c r="L1153" s="64" t="n">
        <v>0.222222222222222</v>
      </c>
      <c r="M1153" s="62" t="n">
        <v>0</v>
      </c>
      <c r="N1153" s="62" t="n">
        <v>1</v>
      </c>
      <c r="O1153" s="65" t="n">
        <v>21</v>
      </c>
      <c r="P1153" s="60" t="s">
        <v>518</v>
      </c>
      <c r="Q1153" s="62" t="n">
        <v>8</v>
      </c>
      <c r="R1153" s="65" t="n">
        <f aca="false">IF(CA1153=1,0,IFERROR(VLOOKUP(BY1153,'Gebinde-Kategorie'!$A$5:$N$45,13,0)+0,0))</f>
        <v>52</v>
      </c>
      <c r="S1153" s="66"/>
      <c r="T1153" s="67"/>
      <c r="U1153" s="67"/>
      <c r="V1153" s="67"/>
      <c r="W1153" s="60"/>
      <c r="X1153" s="62"/>
      <c r="Y1153" s="62"/>
      <c r="Z1153" s="60" t="n">
        <v>3</v>
      </c>
      <c r="AA1153" s="60" t="n">
        <f aca="false">IF(A1153="","",IF(AND(Parameter!$B$21="Ja",ISNUMBER(W1153)),W1153,IF(AND(Parameter!$E$27="Ja",ISNUMBER(Z1153),CD1153&lt;&gt;"Nein"),Z1153,IF(CD1153="2+3",IF(ISNUMBER(SEARCH("grosser Artikel",BV1153)),2,IFERROR(VLOOKUP(BY1153,Parameter!$F$35:$G$64,2,0),2)),IF(OR(CD1153="Nein",CD1153=""),"-",CD1153)))))</f>
        <v>3</v>
      </c>
      <c r="AB1153" s="67"/>
      <c r="AC1153" s="68"/>
      <c r="AD1153" s="62" t="n">
        <f aca="false">AW1153</f>
        <v>2</v>
      </c>
      <c r="AE1153" s="62" t="n">
        <f aca="false">MAX(AW1153,H1153)</f>
        <v>5</v>
      </c>
      <c r="AF1153" s="69"/>
      <c r="AG1153" s="62" t="n">
        <f aca="false">IF(LEFT(Cockpit!$C$5,1)="A",H1153,IF(Parameter!$E$30="MAX-Bestand",IF(CI1153=1,CJ1153,IF(LEFT(Cockpit!$C$5,1)="B",AM1153,MAX(AM1153,H1153))),ROUNDUP(AK1153,0)))</f>
        <v>5</v>
      </c>
      <c r="AH1153" s="62" t="n">
        <f aca="false">IF(CA1153=1,0,ROUNDUP(AG1153/BZ1153,0))</f>
        <v>1</v>
      </c>
      <c r="AI1153" s="64" t="n">
        <f aca="false">IF(CR1153&gt;0,CR1153*MAX(1,AG1153/X1153),IF(CA1153=1,IF(AG1153&lt;=0,0,CE1153*MAX(1,IF(H1153&gt;0,AG1153/H1153,1))),IF(R1153&gt;0,AH1153/R1153,0))/MAX(0.1,N(Parameter!$M$21)))</f>
        <v>0.0192307692307692</v>
      </c>
      <c r="AJ1153" s="62" t="n">
        <f aca="false">AI1153*CC1153</f>
        <v>2.98076923076923</v>
      </c>
      <c r="AK1153" s="63" t="n">
        <f aca="false">IF(LEFT(Cockpit!$C$5,1)="A",H1153,IF(CI1153=1,(CL1153+CJ1153)/2,IF(LEFT(Cockpit!$C$5,1)="B",(CL1153+AM1153)/2,MAX((CL1153+AM1153)/2,H1153))))</f>
        <v>5</v>
      </c>
      <c r="AL1153" s="62" t="n">
        <f aca="false">AK1153*G1153</f>
        <v>310.95</v>
      </c>
      <c r="AM1153" s="62" t="n">
        <f aca="false">ROUNDUP(CL1153+MAX(CM1153,2*(J1153/IF(CH1153&gt;0,CH1153,MAX(0.1,N(Cockpit!$C$6)))-CL1153)),0)</f>
        <v>2</v>
      </c>
      <c r="AN1153" s="63" t="n">
        <f aca="false">IF(AJ1153&gt;0,J1153/AJ1153,-1)</f>
        <v>0.670967741935484</v>
      </c>
      <c r="AO1153" s="63" t="n">
        <f aca="false">IF(AND(OR(CG1153="L1",CG1153="L23",CG1153="LIFT"),AJ1153&gt;0),SUMIFS($AJ$7:$AJ$1843,$CG$7:$CG$1843,CG1153,$AN$7:$AN$1843,"&gt;"&amp;AN1153)+SUMIFS($AJ$7:$AJ$1843,$CG$7:$CG$1843,CG1153,$AN$7:$AN$1843,AN1153,$BX$7:$BX$1843,"&lt;="&amp;BX1153),"")</f>
        <v>8636.97756410256</v>
      </c>
      <c r="AP1153" s="70" t="n">
        <f aca="false">IF(AO1153="",0,MAX(0,MIN(1,(IF(CG1153="L1",Parameter!$H$5,IF(CG1153="L23",Parameter!$H$6+Parameter!$H$7,Parameter!$H$5+Parameter!$H$6+Parameter!$H$7))-(AO1153-AJ1153))/AJ1153)))</f>
        <v>1</v>
      </c>
      <c r="AQ1153" s="62" t="n">
        <f aca="false">IF(LEFT(Cockpit!$I$5,1)="A",H1153,IF(Parameter!$E$30="MAX-Bestand",IF(CI1153=1,CJ1153,IF(LEFT(Cockpit!$I$5,1)="B",AW1153,MAX(AW1153,H1153))),ROUNDUP(AU1153,0)))</f>
        <v>5</v>
      </c>
      <c r="AR1153" s="62" t="n">
        <f aca="false">IF(CA1153=1,0,ROUNDUP(AQ1153/BZ1153,0))</f>
        <v>1</v>
      </c>
      <c r="AS1153" s="64" t="n">
        <f aca="false">IF(CR1153&gt;0,CR1153*MAX(1,AQ1153/X1153),IF(CA1153=1,IF(AQ1153&lt;=0,0,CE1153*MAX(1,IF(H1153&gt;0,AQ1153/H1153,1))),IF(R1153&gt;0,AR1153/R1153,0))/MAX(0.1,N(Parameter!$M$21)))</f>
        <v>0.0192307692307692</v>
      </c>
      <c r="AT1153" s="62" t="n">
        <f aca="false">AS1153*CC1153</f>
        <v>2.98076923076923</v>
      </c>
      <c r="AU1153" s="63" t="n">
        <f aca="false">IF(LEFT(Cockpit!$I$5,1)="A",H1153,IF(CI1153=1,(CL1153+CJ1153)/2,IF(LEFT(Cockpit!$I$5,1)="B",(CL1153+AW1153)/2,MAX((CL1153+AW1153)/2,H1153))))</f>
        <v>5</v>
      </c>
      <c r="AV1153" s="62" t="n">
        <f aca="false">AU1153*G1153</f>
        <v>310.95</v>
      </c>
      <c r="AW1153" s="62" t="n">
        <f aca="false">ROUNDUP(CL1153+MAX(CM1153,2*(J1153/IF(CH1153&gt;0,CH1153,MAX(0.1,N(Cockpit!$I$6)))-CL1153)),0)</f>
        <v>2</v>
      </c>
      <c r="AX1153" s="63" t="n">
        <f aca="false">IF(AT1153&gt;0,J1153/AT1153,-1)</f>
        <v>0.670967741935484</v>
      </c>
      <c r="AY1153" s="63" t="n">
        <f aca="false">IF(AND(OR(CG1153="L1",CG1153="L23",CG1153="LIFT"),AT1153&gt;0),SUMIFS($AT$7:$AT$1843,$CG$7:$CG$1843,CG1153,$AX$7:$AX$1843,"&gt;"&amp;AX1153)+SUMIFS($AT$7:$AT$1843,$CG$7:$CG$1843,CG1153,$AX$7:$AX$1843,AX1153,$BX$7:$BX$1843,"&lt;="&amp;BX1153),"")</f>
        <v>10931.1451465201</v>
      </c>
      <c r="AZ1153" s="70" t="n">
        <f aca="false">IF(AY1153="",0,MAX(0,MIN(1,(IF(CG1153="L1",Parameter!$H$5,IF(CG1153="L23",Parameter!$H$6+Parameter!$H$7,Parameter!$H$5+Parameter!$H$6+Parameter!$H$7))-(AY1153-AT1153))/AT1153)))</f>
        <v>1</v>
      </c>
      <c r="BA1153" s="62" t="n">
        <f aca="false">IF(LEFT(Cockpit!$O$5,1)="A",H1153,IF(Parameter!$E$30="MAX-Bestand",IF(CI1153=1,CJ1153,IF(LEFT(Cockpit!$O$5,1)="B",BG1153,MAX(BG1153,H1153))),ROUNDUP(BE1153,0)))</f>
        <v>1</v>
      </c>
      <c r="BB1153" s="62" t="n">
        <f aca="false">IF(CA1153=1,0,ROUNDUP(BA1153/BZ1153,0))</f>
        <v>1</v>
      </c>
      <c r="BC1153" s="64" t="n">
        <f aca="false">IF(CR1153&gt;0,CR1153*MAX(1,BA1153/X1153),IF(CA1153=1,IF(BA1153&lt;=0,0,CE1153*MAX(1,IF(H1153&gt;0,BA1153/H1153,1))),IF(R1153&gt;0,BB1153/R1153,0))/MAX(0.1,N(Parameter!$M$21)))</f>
        <v>0.0192307692307692</v>
      </c>
      <c r="BD1153" s="62" t="n">
        <f aca="false">BC1153*CC1153</f>
        <v>2.98076923076923</v>
      </c>
      <c r="BE1153" s="63" t="n">
        <f aca="false">IF(LEFT(Cockpit!$O$5,1)="A",H1153,IF(CI1153=1,(CL1153+CJ1153)/2,IF(LEFT(Cockpit!$O$5,1)="B",(CL1153+BG1153)/2,MAX((CL1153+BG1153)/2,H1153))))</f>
        <v>0.5</v>
      </c>
      <c r="BF1153" s="62" t="n">
        <f aca="false">BE1153*G1153</f>
        <v>31.095</v>
      </c>
      <c r="BG1153" s="62" t="n">
        <f aca="false">ROUNDUP(CL1153+MAX(CM1153,2*(J1153/IF(CH1153&gt;0,CH1153,MAX(0.1,N(Cockpit!$O$6)))-CL1153)),0)</f>
        <v>1</v>
      </c>
      <c r="BH1153" s="63" t="n">
        <f aca="false">IF(BD1153&gt;0,J1153/BD1153,-1)</f>
        <v>0.670967741935484</v>
      </c>
      <c r="BI1153" s="63" t="n">
        <f aca="false">IF(AND(OR(CG1153="L1",CG1153="L23",CG1153="LIFT"),BD1153&gt;0),SUMIFS($BD$7:$BD$1843,$CG$7:$CG$1843,CG1153,$BH$7:$BH$1843,"&gt;"&amp;BH1153)+SUMIFS($BD$7:$BD$1843,$CG$7:$CG$1843,CG1153,$BH$7:$BH$1843,BH1153,$BX$7:$BX$1843,"&lt;="&amp;BX1153),"")</f>
        <v>9540.7793040293</v>
      </c>
      <c r="BJ1153" s="70" t="n">
        <f aca="false">IF(BI1153="",0,MAX(0,MIN(1,(IF(CG1153="L1",Parameter!$H$5,IF(CG1153="L23",Parameter!$H$6+Parameter!$H$7,Parameter!$H$5+Parameter!$H$6+Parameter!$H$7))-(BI1153-BD1153))/BD1153)))</f>
        <v>1</v>
      </c>
      <c r="BK1153" s="60" t="str">
        <f aca="false">IF(AJ1153&lt;=0,"",IF(CG1153="Aussen","Aussenlager",IF(CG1153="-","Nicht im Lift",IF(AP1153&gt;=1,"Lift",IF(AP1153&lt;=0,"Aussenlager","teilweise")))))</f>
        <v>Lift</v>
      </c>
      <c r="BL1153" s="60" t="str">
        <f aca="false">IF(AT1153&lt;=0,"",IF(CG1153="Aussen","Aussenlager",IF(CG1153="-","Nicht im Lift",IF(AZ1153&gt;=1,"Lift",IF(AZ1153&lt;=0,"Aussenlager","teilweise")))))</f>
        <v>Lift</v>
      </c>
      <c r="BM1153" s="60" t="str">
        <f aca="false">IF(BD1153&lt;=0,"",IF(CG1153="Aussen","Aussenlager",IF(CG1153="-","Nicht im Lift",IF(BJ1153&gt;=1,"Lift",IF(BJ1153&lt;=0,"Aussenlager","teilweise")))))</f>
        <v>Lift</v>
      </c>
      <c r="BN1153" s="60" t="str">
        <f aca="false">IF(A1153="","",IF(BW1153=1,"Neu; ","")&amp;IF(AND(BW1153=0,BR1153&lt;0),"negativer Bestand (Export "&amp;BR1153&amp;"); ","")&amp;IF(J1153&lt;=0,"Kein Verbrauch; ","")&amp;IF(CR1153&gt;0,"Lift "&amp;W1153&amp;" lt. Liftbericht (Fach "&amp;X1153&amp;" Stk); ",IF(CB1153=1,"Gebinde geschätzt ("&amp;T1153&amp;"); ",IF(CA1153=1,"Lose – Tablare geschätzt; ","")))&amp;IF(H1153&gt;AW1153,"Überbestand "&amp;ROUND(H1153-AW1153,0)&amp;" Stk / CHF "&amp;ROUND((H1153-AW1153)*G1153,0)&amp;"; ","")&amp;IF(AND(CI1153=1,CJ1153&lt;CK1153),"MAX &lt; MB+LG; ","")&amp;IF(AND(CQ1153&gt;0,CP1153*10&gt;CQ1153),"zu hoch für Tablar; ","")&amp;IF(AND(BW1153=0,OR(CI1153=1,AB1153&lt;&gt;"",U1153&lt;&gt;"",V1153&lt;&gt;"",AC1153&lt;&gt;"")),"manuell übersteuert; ","")&amp;IF(AND(CA1153=0,R1153=0),"Gebinde unbekannt / Stellmass fehlt; ","")&amp;IF(AND(CA1153=0,N(V1153)&lt;=0,N(Q1153)&lt;=0),"Menge pro Gebinde fehlt (Ist = 1 Gebinde); ","")&amp;BV1153)</f>
        <v>negativer Bestand (Export -5); Überbestand 3 Stk / CHF 187; Neu</v>
      </c>
      <c r="BO1153" s="60"/>
      <c r="BP1153" s="60"/>
      <c r="BQ1153" s="67"/>
      <c r="BR1153" s="62" t="n">
        <v>-5</v>
      </c>
      <c r="BS1153" s="62" t="n">
        <v>10</v>
      </c>
      <c r="BT1153" s="61" t="n">
        <v>-310.95</v>
      </c>
      <c r="BU1153" s="62" t="n">
        <v>2</v>
      </c>
      <c r="BV1153" s="60" t="s">
        <v>668</v>
      </c>
      <c r="BW1153" s="65" t="n">
        <v>0</v>
      </c>
      <c r="BX1153" s="65" t="n">
        <v>1153</v>
      </c>
      <c r="BY1153" s="60" t="str">
        <f aca="false">IF(U1153&lt;&gt;"",UPPER(TRIM(U1153)),IF(CB1153=1,UPPER(VLOOKUP(T1153,Parameter!$I$27:$K$29,2,0)),IF(P1153="","LOSE",P1153)))</f>
        <v>S33</v>
      </c>
      <c r="BZ1153" s="62" t="n">
        <f aca="false">IF(BY1153="LOSE",1,IF(N(V1153)&gt;0,V1153,IF(CB1153=1,MAX(1,N(VLOOKUP(T1153,Parameter!$I$27:$K$29,3,0)),H1153,N(N1153)),IF(N(Q1153)&gt;0,Q1153,MAX(1,H1153)))))</f>
        <v>8</v>
      </c>
      <c r="CA1153" s="65" t="n">
        <f aca="false">IF(BY1153="LOSE",1,0)</f>
        <v>0</v>
      </c>
      <c r="CB1153" s="65" t="n">
        <f aca="false">IF(AND(U1153="",OR(P1153="",P1153="LOSE"),T1153&lt;&gt;"",N(S1153)&lt;=0,ISNUMBER(MATCH(T1153,Parameter!$I$27:$I$29,0))),1,0)</f>
        <v>0</v>
      </c>
      <c r="CC1153" s="65" t="n">
        <f aca="false">IF(CR1153&gt;0,INDEX(Parameter!$H$5:$H$7,W1153)/INDEX(Parameter!$E$5:$E$7,W1153),IF(AND(CA1153=0,N(IFERROR(VLOOKUP(BY1153,'Gebinde-Kategorie'!$A$5:$N$45,14,0),0))&gt;0),VLOOKUP(BY1153,'Gebinde-Kategorie'!$A$5:$N$45,14,0)*10+Parameter!$M$23,Parameter!$M$24))</f>
        <v>155</v>
      </c>
      <c r="CD1153" s="60" t="str">
        <f aca="false">IF(AND(Parameter!$B$19="Ja",E1153&lt;&gt;"",ISNUMBER(MATCH(E1153,Parameter!$I$35:$I$52,0))),VLOOKUP(E1153,Parameter!$I$35:$J$52,2,0),IFERROR(VLOOKUP(D1153,Parameter!$A$35:$C$64,2,0),"Nein"))</f>
        <v>2+3</v>
      </c>
      <c r="CE1153" s="64" t="n">
        <f aca="false">IF(CA1153=0,0,IF(N(S1153)&gt;0,S1153,IFERROR(VLOOKUP(D1153,Parameter!$A$35:$C$64,3,0)+0,0)))</f>
        <v>0</v>
      </c>
      <c r="CF1153" s="60" t="n">
        <f aca="false">IF(AB1153&lt;&gt;"",AB1153,AA1153)</f>
        <v>3</v>
      </c>
      <c r="CG1153" s="60" t="str">
        <f aca="false">IF(OR(CF1153=1,CF1153=2,CF1153=3),IF(Parameter!$E$27="Ja","LIFT",IF(CF1153=1,"L1","L23")),IF(CF1153="Aussen","Aussen","-"))</f>
        <v>LIFT</v>
      </c>
      <c r="CH1153" s="71" t="n">
        <f aca="false">IF(N(AC1153)&gt;0,AC1153,0)</f>
        <v>0</v>
      </c>
      <c r="CI1153" s="65" t="n">
        <f aca="false">IF(ISNUMBER(AF1153),1,0)</f>
        <v>0</v>
      </c>
      <c r="CJ1153" s="62" t="n">
        <f aca="false">N(AF1153)</f>
        <v>0</v>
      </c>
      <c r="CK1153" s="62" t="n">
        <f aca="false">N(M1153)+N(N1153)</f>
        <v>1</v>
      </c>
      <c r="CL1153" s="62" t="n">
        <f aca="false">N(M1153)</f>
        <v>0</v>
      </c>
      <c r="CM1153" s="62" t="n">
        <f aca="false">N(N1153)</f>
        <v>1</v>
      </c>
      <c r="CN1153" s="62" t="n">
        <f aca="false">ROUNDUP(H1153/BZ1153,0)</f>
        <v>1</v>
      </c>
      <c r="CO1153" s="62" t="n">
        <f aca="false">ROUNDUP(CJ1153/BZ1153,0)</f>
        <v>0</v>
      </c>
      <c r="CP1153" s="65" t="n">
        <f aca="false">IF(CA1153=1,0,IFERROR(VLOOKUP(BY1153,'Gebinde-Kategorie'!$A$5:$N$45,5,0)+0,0))</f>
        <v>8</v>
      </c>
      <c r="CQ1153" s="65" t="n">
        <f aca="false">IFERROR(IF(OR(CF1153=1,CF1153=2,CF1153=3),N(INDEX(Parameter!$I$5:$I$7,CF1153)),0),0)</f>
        <v>0</v>
      </c>
      <c r="CR1153" s="64" t="n">
        <f aca="false">IF(AND(Parameter!$B$21="Ja",ISNUMBER(W1153),N(X1153)&gt;0),IFERROR(N(INDEX(Parameter!$L$5:$L$7,W1153))*INDEX(Parameter!$E$5:$E$7,W1153)*X1153/SUMIFS($X$7:$X$1843,$W$7:$W$1843,W1153),0),0)</f>
        <v>0</v>
      </c>
      <c r="CS1153" s="62" t="n">
        <f aca="false">IF(AND(OR(CG1153="L1",CG1153="L23",CG1153="LIFT"),H1153&gt;0),CC1153*IF(CR1153&gt;0,CR1153*MAX(1,H1153/X1153),IF(CA1153=1,CE1153,IF(R1153&gt;0,CN1153/R1153,0))/MAX(0.1,N(Parameter!$M$21))),"")</f>
        <v>2.98076923076923</v>
      </c>
      <c r="CT1153" s="64" t="n">
        <f aca="false">IF(CS1153="","",J1153/H1153)</f>
        <v>0.4</v>
      </c>
      <c r="CU1153" s="62" t="n">
        <f aca="false">IF(CS1153="","",H1153*G1153)</f>
        <v>310.95</v>
      </c>
      <c r="CV1153" s="63" t="n">
        <f aca="false">IF(CS1153="","",(CL1153+ROUNDUP(CL1153+MAX(CM1153,2*(J1153/MAX(0.1,N(Einkauf!$C$6))-CL1153)),0))/2)</f>
        <v>0.5</v>
      </c>
      <c r="CW1153" s="62" t="n">
        <f aca="false">IF(CS1153="","",MAX(0,H1153-CV1153)*G1153)</f>
        <v>279.855</v>
      </c>
      <c r="CX1153" s="62" t="n">
        <f aca="false">IF(CS1153="","",CS1153*MAX(0,1-CV1153/H1153))</f>
        <v>2.68269230769231</v>
      </c>
      <c r="CY1153" s="64" t="n">
        <f aca="false">IF(CS1153="","",PERCENTRANK($CS$7:$CS$1843,CS1153)+PERCENTRANK($CU$7:$CU$1843,CU1153)+1-PERCENTRANK($CT$7:$CT$1843,CT1153))</f>
        <v>1.114</v>
      </c>
      <c r="CZ1153" s="72" t="n">
        <f aca="false">IF(CS1153="","",CHOOSE(MATCH(Einkauf!$C$5,Parameter!$G$23:$G$27,0),CY1153,CS1153,CU1153,-CT1153,CW1153)+ROW()/1000000000)</f>
        <v>1.114001153</v>
      </c>
    </row>
    <row r="1154" customFormat="false" ht="15" hidden="false" customHeight="false" outlineLevel="0" collapsed="false">
      <c r="A1154" s="60" t="s">
        <v>2125</v>
      </c>
      <c r="B1154" s="60" t="s">
        <v>2126</v>
      </c>
      <c r="C1154" s="60" t="s">
        <v>206</v>
      </c>
      <c r="D1154" s="60" t="s">
        <v>226</v>
      </c>
      <c r="E1154" s="60" t="s">
        <v>227</v>
      </c>
      <c r="F1154" s="60" t="s">
        <v>260</v>
      </c>
      <c r="G1154" s="61" t="n">
        <v>166.8</v>
      </c>
      <c r="H1154" s="62" t="n">
        <f aca="false">MAX(0,IF(AND(Parameter!$B$21="Ja",ISNUMBER(Y1154)),Y1154,IF(Parameter!$B$20="Jahresanfang 2025 + Export",BS1154+BR1154,BR1154)))</f>
        <v>2</v>
      </c>
      <c r="I1154" s="62" t="n">
        <f aca="false">H1154*G1154</f>
        <v>333.6</v>
      </c>
      <c r="J1154" s="62" t="n">
        <f aca="false">BU1154*Parameter!$B$18</f>
        <v>3</v>
      </c>
      <c r="K1154" s="63" t="n">
        <v>3</v>
      </c>
      <c r="L1154" s="64" t="n">
        <v>1</v>
      </c>
      <c r="M1154" s="62" t="n">
        <v>0</v>
      </c>
      <c r="N1154" s="62" t="n">
        <v>5</v>
      </c>
      <c r="O1154" s="65" t="n">
        <v>28</v>
      </c>
      <c r="P1154" s="60" t="s">
        <v>463</v>
      </c>
      <c r="Q1154" s="62" t="n">
        <v>5</v>
      </c>
      <c r="R1154" s="65" t="n">
        <f aca="false">IF(CA1154=1,0,IFERROR(VLOOKUP(BY1154,'Gebinde-Kategorie'!$A$5:$N$45,13,0)+0,0))</f>
        <v>104</v>
      </c>
      <c r="S1154" s="66"/>
      <c r="T1154" s="67"/>
      <c r="U1154" s="67"/>
      <c r="V1154" s="67"/>
      <c r="W1154" s="60"/>
      <c r="X1154" s="62"/>
      <c r="Y1154" s="62"/>
      <c r="Z1154" s="60" t="n">
        <v>2</v>
      </c>
      <c r="AA1154" s="60" t="n">
        <f aca="false">IF(A1154="","",IF(AND(Parameter!$B$21="Ja",ISNUMBER(W1154)),W1154,IF(AND(Parameter!$E$27="Ja",ISNUMBER(Z1154),CD1154&lt;&gt;"Nein"),Z1154,IF(CD1154="2+3",IF(ISNUMBER(SEARCH("grosser Artikel",BV1154)),2,IFERROR(VLOOKUP(BY1154,Parameter!$F$35:$G$64,2,0),2)),IF(OR(CD1154="Nein",CD1154=""),"-",CD1154)))))</f>
        <v>2</v>
      </c>
      <c r="AB1154" s="67"/>
      <c r="AC1154" s="68"/>
      <c r="AD1154" s="62" t="n">
        <f aca="false">AW1154</f>
        <v>5</v>
      </c>
      <c r="AE1154" s="62" t="n">
        <f aca="false">MAX(AW1154,H1154)</f>
        <v>5</v>
      </c>
      <c r="AF1154" s="69"/>
      <c r="AG1154" s="62" t="n">
        <f aca="false">IF(LEFT(Cockpit!$C$5,1)="A",H1154,IF(Parameter!$E$30="MAX-Bestand",IF(CI1154=1,CJ1154,IF(LEFT(Cockpit!$C$5,1)="B",AM1154,MAX(AM1154,H1154))),ROUNDUP(AK1154,0)))</f>
        <v>2</v>
      </c>
      <c r="AH1154" s="62" t="n">
        <f aca="false">IF(CA1154=1,0,ROUNDUP(AG1154/BZ1154,0))</f>
        <v>1</v>
      </c>
      <c r="AI1154" s="64" t="n">
        <f aca="false">IF(CR1154&gt;0,CR1154*MAX(1,AG1154/X1154),IF(CA1154=1,IF(AG1154&lt;=0,0,CE1154*MAX(1,IF(H1154&gt;0,AG1154/H1154,1))),IF(R1154&gt;0,AH1154/R1154,0))/MAX(0.1,N(Parameter!$M$21)))</f>
        <v>0.00961538461538462</v>
      </c>
      <c r="AJ1154" s="62" t="n">
        <f aca="false">AI1154*CC1154</f>
        <v>1.49038461538462</v>
      </c>
      <c r="AK1154" s="63" t="n">
        <f aca="false">IF(LEFT(Cockpit!$C$5,1)="A",H1154,IF(CI1154=1,(CL1154+CJ1154)/2,IF(LEFT(Cockpit!$C$5,1)="B",(CL1154+AM1154)/2,MAX((CL1154+AM1154)/2,H1154))))</f>
        <v>2</v>
      </c>
      <c r="AL1154" s="62" t="n">
        <f aca="false">AK1154*G1154</f>
        <v>333.6</v>
      </c>
      <c r="AM1154" s="62" t="n">
        <f aca="false">ROUNDUP(CL1154+MAX(CM1154,2*(J1154/IF(CH1154&gt;0,CH1154,MAX(0.1,N(Cockpit!$C$6)))-CL1154)),0)</f>
        <v>5</v>
      </c>
      <c r="AN1154" s="63" t="n">
        <f aca="false">IF(AJ1154&gt;0,J1154/AJ1154,-1)</f>
        <v>2.01290322580645</v>
      </c>
      <c r="AO1154" s="63" t="n">
        <f aca="false">IF(AND(OR(CG1154="L1",CG1154="L23",CG1154="LIFT"),AJ1154&gt;0),SUMIFS($AJ$7:$AJ$1843,$CG$7:$CG$1843,CG1154,$AN$7:$AN$1843,"&gt;"&amp;AN1154)+SUMIFS($AJ$7:$AJ$1843,$CG$7:$CG$1843,CG1154,$AN$7:$AN$1843,AN1154,$BX$7:$BX$1843,"&lt;="&amp;BX1154),"")</f>
        <v>5823.63827838828</v>
      </c>
      <c r="AP1154" s="70" t="n">
        <f aca="false">IF(AO1154="",0,MAX(0,MIN(1,(IF(CG1154="L1",Parameter!$H$5,IF(CG1154="L23",Parameter!$H$6+Parameter!$H$7,Parameter!$H$5+Parameter!$H$6+Parameter!$H$7))-(AO1154-AJ1154))/AJ1154)))</f>
        <v>1</v>
      </c>
      <c r="AQ1154" s="62" t="n">
        <f aca="false">IF(LEFT(Cockpit!$I$5,1)="A",H1154,IF(Parameter!$E$30="MAX-Bestand",IF(CI1154=1,CJ1154,IF(LEFT(Cockpit!$I$5,1)="B",AW1154,MAX(AW1154,H1154))),ROUNDUP(AU1154,0)))</f>
        <v>3</v>
      </c>
      <c r="AR1154" s="62" t="n">
        <f aca="false">IF(CA1154=1,0,ROUNDUP(AQ1154/BZ1154,0))</f>
        <v>1</v>
      </c>
      <c r="AS1154" s="64" t="n">
        <f aca="false">IF(CR1154&gt;0,CR1154*MAX(1,AQ1154/X1154),IF(CA1154=1,IF(AQ1154&lt;=0,0,CE1154*MAX(1,IF(H1154&gt;0,AQ1154/H1154,1))),IF(R1154&gt;0,AR1154/R1154,0))/MAX(0.1,N(Parameter!$M$21)))</f>
        <v>0.00961538461538462</v>
      </c>
      <c r="AT1154" s="62" t="n">
        <f aca="false">AS1154*CC1154</f>
        <v>1.49038461538462</v>
      </c>
      <c r="AU1154" s="63" t="n">
        <f aca="false">IF(LEFT(Cockpit!$I$5,1)="A",H1154,IF(CI1154=1,(CL1154+CJ1154)/2,IF(LEFT(Cockpit!$I$5,1)="B",(CL1154+AW1154)/2,MAX((CL1154+AW1154)/2,H1154))))</f>
        <v>2.5</v>
      </c>
      <c r="AV1154" s="62" t="n">
        <f aca="false">AU1154*G1154</f>
        <v>417</v>
      </c>
      <c r="AW1154" s="62" t="n">
        <f aca="false">ROUNDUP(CL1154+MAX(CM1154,2*(J1154/IF(CH1154&gt;0,CH1154,MAX(0.1,N(Cockpit!$I$6)))-CL1154)),0)</f>
        <v>5</v>
      </c>
      <c r="AX1154" s="63" t="n">
        <f aca="false">IF(AT1154&gt;0,J1154/AT1154,-1)</f>
        <v>2.01290322580645</v>
      </c>
      <c r="AY1154" s="63" t="n">
        <f aca="false">IF(AND(OR(CG1154="L1",CG1154="L23",CG1154="LIFT"),AT1154&gt;0),SUMIFS($AT$7:$AT$1843,$CG$7:$CG$1843,CG1154,$AX$7:$AX$1843,"&gt;"&amp;AX1154)+SUMIFS($AT$7:$AT$1843,$CG$7:$CG$1843,CG1154,$AX$7:$AX$1843,AX1154,$BX$7:$BX$1843,"&lt;="&amp;BX1154),"")</f>
        <v>7191.57783882784</v>
      </c>
      <c r="AZ1154" s="70" t="n">
        <f aca="false">IF(AY1154="",0,MAX(0,MIN(1,(IF(CG1154="L1",Parameter!$H$5,IF(CG1154="L23",Parameter!$H$6+Parameter!$H$7,Parameter!$H$5+Parameter!$H$6+Parameter!$H$7))-(AY1154-AT1154))/AT1154)))</f>
        <v>1</v>
      </c>
      <c r="BA1154" s="62" t="n">
        <f aca="false">IF(LEFT(Cockpit!$O$5,1)="A",H1154,IF(Parameter!$E$30="MAX-Bestand",IF(CI1154=1,CJ1154,IF(LEFT(Cockpit!$O$5,1)="B",BG1154,MAX(BG1154,H1154))),ROUNDUP(BE1154,0)))</f>
        <v>3</v>
      </c>
      <c r="BB1154" s="62" t="n">
        <f aca="false">IF(CA1154=1,0,ROUNDUP(BA1154/BZ1154,0))</f>
        <v>1</v>
      </c>
      <c r="BC1154" s="64" t="n">
        <f aca="false">IF(CR1154&gt;0,CR1154*MAX(1,BA1154/X1154),IF(CA1154=1,IF(BA1154&lt;=0,0,CE1154*MAX(1,IF(H1154&gt;0,BA1154/H1154,1))),IF(R1154&gt;0,BB1154/R1154,0))/MAX(0.1,N(Parameter!$M$21)))</f>
        <v>0.00961538461538462</v>
      </c>
      <c r="BD1154" s="62" t="n">
        <f aca="false">BC1154*CC1154</f>
        <v>1.49038461538462</v>
      </c>
      <c r="BE1154" s="63" t="n">
        <f aca="false">IF(LEFT(Cockpit!$O$5,1)="A",H1154,IF(CI1154=1,(CL1154+CJ1154)/2,IF(LEFT(Cockpit!$O$5,1)="B",(CL1154+BG1154)/2,MAX((CL1154+BG1154)/2,H1154))))</f>
        <v>2.5</v>
      </c>
      <c r="BF1154" s="62" t="n">
        <f aca="false">BE1154*G1154</f>
        <v>417</v>
      </c>
      <c r="BG1154" s="62" t="n">
        <f aca="false">ROUNDUP(CL1154+MAX(CM1154,2*(J1154/IF(CH1154&gt;0,CH1154,MAX(0.1,N(Cockpit!$O$6)))-CL1154)),0)</f>
        <v>5</v>
      </c>
      <c r="BH1154" s="63" t="n">
        <f aca="false">IF(BD1154&gt;0,J1154/BD1154,-1)</f>
        <v>2.01290322580645</v>
      </c>
      <c r="BI1154" s="63" t="n">
        <f aca="false">IF(AND(OR(CG1154="L1",CG1154="L23",CG1154="LIFT"),BD1154&gt;0),SUMIFS($BD$7:$BD$1843,$CG$7:$CG$1843,CG1154,$BH$7:$BH$1843,"&gt;"&amp;BH1154)+SUMIFS($BD$7:$BD$1843,$CG$7:$CG$1843,CG1154,$BH$7:$BH$1843,BH1154,$BX$7:$BX$1843,"&lt;="&amp;BX1154),"")</f>
        <v>5893.41025641026</v>
      </c>
      <c r="BJ1154" s="70" t="n">
        <f aca="false">IF(BI1154="",0,MAX(0,MIN(1,(IF(CG1154="L1",Parameter!$H$5,IF(CG1154="L23",Parameter!$H$6+Parameter!$H$7,Parameter!$H$5+Parameter!$H$6+Parameter!$H$7))-(BI1154-BD1154))/BD1154)))</f>
        <v>1</v>
      </c>
      <c r="BK1154" s="60" t="str">
        <f aca="false">IF(AJ1154&lt;=0,"",IF(CG1154="Aussen","Aussenlager",IF(CG1154="-","Nicht im Lift",IF(AP1154&gt;=1,"Lift",IF(AP1154&lt;=0,"Aussenlager","teilweise")))))</f>
        <v>Lift</v>
      </c>
      <c r="BL1154" s="60" t="str">
        <f aca="false">IF(AT1154&lt;=0,"",IF(CG1154="Aussen","Aussenlager",IF(CG1154="-","Nicht im Lift",IF(AZ1154&gt;=1,"Lift",IF(AZ1154&lt;=0,"Aussenlager","teilweise")))))</f>
        <v>Lift</v>
      </c>
      <c r="BM1154" s="60" t="str">
        <f aca="false">IF(BD1154&lt;=0,"",IF(CG1154="Aussen","Aussenlager",IF(CG1154="-","Nicht im Lift",IF(BJ1154&gt;=1,"Lift",IF(BJ1154&lt;=0,"Aussenlager","teilweise")))))</f>
        <v>Lift</v>
      </c>
      <c r="BN1154" s="60" t="str">
        <f aca="false">IF(A1154="","",IF(BW1154=1,"Neu; ","")&amp;IF(AND(BW1154=0,BR1154&lt;0),"negativer Bestand (Export "&amp;BR1154&amp;"); ","")&amp;IF(J1154&lt;=0,"Kein Verbrauch; ","")&amp;IF(CR1154&gt;0,"Lift "&amp;W1154&amp;" lt. Liftbericht (Fach "&amp;X1154&amp;" Stk); ",IF(CB1154=1,"Gebinde geschätzt ("&amp;T1154&amp;"); ",IF(CA1154=1,"Lose – Tablare geschätzt; ","")))&amp;IF(H1154&gt;AW1154,"Überbestand "&amp;ROUND(H1154-AW1154,0)&amp;" Stk / CHF "&amp;ROUND((H1154-AW1154)*G1154,0)&amp;"; ","")&amp;IF(AND(CI1154=1,CJ1154&lt;CK1154),"MAX &lt; MB+LG; ","")&amp;IF(AND(CQ1154&gt;0,CP1154*10&gt;CQ1154),"zu hoch für Tablar; ","")&amp;IF(AND(BW1154=0,OR(CI1154=1,AB1154&lt;&gt;"",U1154&lt;&gt;"",V1154&lt;&gt;"",AC1154&lt;&gt;"")),"manuell übersteuert; ","")&amp;IF(AND(CA1154=0,R1154=0),"Gebinde unbekannt / Stellmass fehlt; ","")&amp;IF(AND(CA1154=0,N(V1154)&lt;=0,N(Q1154)&lt;=0),"Menge pro Gebinde fehlt (Ist = 1 Gebinde); ","")&amp;BV1154)</f>
        <v>negativer Bestand (Export -2); Überbestand</v>
      </c>
      <c r="BO1154" s="60"/>
      <c r="BP1154" s="60"/>
      <c r="BQ1154" s="67"/>
      <c r="BR1154" s="62" t="n">
        <v>-2</v>
      </c>
      <c r="BS1154" s="62" t="n">
        <v>4</v>
      </c>
      <c r="BT1154" s="61" t="n">
        <v>-314.4</v>
      </c>
      <c r="BU1154" s="62" t="n">
        <v>3</v>
      </c>
      <c r="BV1154" s="60" t="s">
        <v>434</v>
      </c>
      <c r="BW1154" s="65" t="n">
        <v>0</v>
      </c>
      <c r="BX1154" s="65" t="n">
        <v>1154</v>
      </c>
      <c r="BY1154" s="60" t="str">
        <f aca="false">IF(U1154&lt;&gt;"",UPPER(TRIM(U1154)),IF(CB1154=1,UPPER(VLOOKUP(T1154,Parameter!$I$27:$K$29,2,0)),IF(P1154="","LOSE",P1154)))</f>
        <v>S32</v>
      </c>
      <c r="BZ1154" s="62" t="n">
        <f aca="false">IF(BY1154="LOSE",1,IF(N(V1154)&gt;0,V1154,IF(CB1154=1,MAX(1,N(VLOOKUP(T1154,Parameter!$I$27:$K$29,3,0)),H1154,N(N1154)),IF(N(Q1154)&gt;0,Q1154,MAX(1,H1154)))))</f>
        <v>5</v>
      </c>
      <c r="CA1154" s="65" t="n">
        <f aca="false">IF(BY1154="LOSE",1,0)</f>
        <v>0</v>
      </c>
      <c r="CB1154" s="65" t="n">
        <f aca="false">IF(AND(U1154="",OR(P1154="",P1154="LOSE"),T1154&lt;&gt;"",N(S1154)&lt;=0,ISNUMBER(MATCH(T1154,Parameter!$I$27:$I$29,0))),1,0)</f>
        <v>0</v>
      </c>
      <c r="CC1154" s="65" t="n">
        <f aca="false">IF(CR1154&gt;0,INDEX(Parameter!$H$5:$H$7,W1154)/INDEX(Parameter!$E$5:$E$7,W1154),IF(AND(CA1154=0,N(IFERROR(VLOOKUP(BY1154,'Gebinde-Kategorie'!$A$5:$N$45,14,0),0))&gt;0),VLOOKUP(BY1154,'Gebinde-Kategorie'!$A$5:$N$45,14,0)*10+Parameter!$M$23,Parameter!$M$24))</f>
        <v>155</v>
      </c>
      <c r="CD1154" s="60" t="str">
        <f aca="false">IF(AND(Parameter!$B$19="Ja",E1154&lt;&gt;"",ISNUMBER(MATCH(E1154,Parameter!$I$35:$I$52,0))),VLOOKUP(E1154,Parameter!$I$35:$J$52,2,0),IFERROR(VLOOKUP(D1154,Parameter!$A$35:$C$64,2,0),"Nein"))</f>
        <v>2+3</v>
      </c>
      <c r="CE1154" s="64" t="n">
        <f aca="false">IF(CA1154=0,0,IF(N(S1154)&gt;0,S1154,IFERROR(VLOOKUP(D1154,Parameter!$A$35:$C$64,3,0)+0,0)))</f>
        <v>0</v>
      </c>
      <c r="CF1154" s="60" t="n">
        <f aca="false">IF(AB1154&lt;&gt;"",AB1154,AA1154)</f>
        <v>2</v>
      </c>
      <c r="CG1154" s="60" t="str">
        <f aca="false">IF(OR(CF1154=1,CF1154=2,CF1154=3),IF(Parameter!$E$27="Ja","LIFT",IF(CF1154=1,"L1","L23")),IF(CF1154="Aussen","Aussen","-"))</f>
        <v>LIFT</v>
      </c>
      <c r="CH1154" s="71" t="n">
        <f aca="false">IF(N(AC1154)&gt;0,AC1154,0)</f>
        <v>0</v>
      </c>
      <c r="CI1154" s="65" t="n">
        <f aca="false">IF(ISNUMBER(AF1154),1,0)</f>
        <v>0</v>
      </c>
      <c r="CJ1154" s="62" t="n">
        <f aca="false">N(AF1154)</f>
        <v>0</v>
      </c>
      <c r="CK1154" s="62" t="n">
        <f aca="false">N(M1154)+N(N1154)</f>
        <v>5</v>
      </c>
      <c r="CL1154" s="62" t="n">
        <f aca="false">N(M1154)</f>
        <v>0</v>
      </c>
      <c r="CM1154" s="62" t="n">
        <f aca="false">N(N1154)</f>
        <v>5</v>
      </c>
      <c r="CN1154" s="62" t="n">
        <f aca="false">ROUNDUP(H1154/BZ1154,0)</f>
        <v>1</v>
      </c>
      <c r="CO1154" s="62" t="n">
        <f aca="false">ROUNDUP(CJ1154/BZ1154,0)</f>
        <v>0</v>
      </c>
      <c r="CP1154" s="65" t="n">
        <f aca="false">IF(CA1154=1,0,IFERROR(VLOOKUP(BY1154,'Gebinde-Kategorie'!$A$5:$N$45,5,0)+0,0))</f>
        <v>8</v>
      </c>
      <c r="CQ1154" s="65" t="n">
        <f aca="false">IFERROR(IF(OR(CF1154=1,CF1154=2,CF1154=3),N(INDEX(Parameter!$I$5:$I$7,CF1154)),0),0)</f>
        <v>0</v>
      </c>
      <c r="CR1154" s="64" t="n">
        <f aca="false">IF(AND(Parameter!$B$21="Ja",ISNUMBER(W1154),N(X1154)&gt;0),IFERROR(N(INDEX(Parameter!$L$5:$L$7,W1154))*INDEX(Parameter!$E$5:$E$7,W1154)*X1154/SUMIFS($X$7:$X$1843,$W$7:$W$1843,W1154),0),0)</f>
        <v>0</v>
      </c>
      <c r="CS1154" s="62" t="n">
        <f aca="false">IF(AND(OR(CG1154="L1",CG1154="L23",CG1154="LIFT"),H1154&gt;0),CC1154*IF(CR1154&gt;0,CR1154*MAX(1,H1154/X1154),IF(CA1154=1,CE1154,IF(R1154&gt;0,CN1154/R1154,0))/MAX(0.1,N(Parameter!$M$21))),"")</f>
        <v>1.49038461538462</v>
      </c>
      <c r="CT1154" s="64" t="n">
        <f aca="false">IF(CS1154="","",J1154/H1154)</f>
        <v>1.5</v>
      </c>
      <c r="CU1154" s="62" t="n">
        <f aca="false">IF(CS1154="","",H1154*G1154)</f>
        <v>333.6</v>
      </c>
      <c r="CV1154" s="63" t="n">
        <f aca="false">IF(CS1154="","",(CL1154+ROUNDUP(CL1154+MAX(CM1154,2*(J1154/MAX(0.1,N(Einkauf!$C$6))-CL1154)),0))/2)</f>
        <v>2.5</v>
      </c>
      <c r="CW1154" s="62" t="n">
        <f aca="false">IF(CS1154="","",MAX(0,H1154-CV1154)*G1154)</f>
        <v>0</v>
      </c>
      <c r="CX1154" s="62" t="n">
        <f aca="false">IF(CS1154="","",CS1154*MAX(0,1-CV1154/H1154))</f>
        <v>0</v>
      </c>
      <c r="CY1154" s="64" t="n">
        <f aca="false">IF(CS1154="","",PERCENTRANK($CS$7:$CS$1843,CS1154)+PERCENTRANK($CU$7:$CU$1843,CU1154)+1-PERCENTRANK($CT$7:$CT$1843,CT1154))</f>
        <v>0.803</v>
      </c>
      <c r="CZ1154" s="72" t="n">
        <f aca="false">IF(CS1154="","",CHOOSE(MATCH(Einkauf!$C$5,Parameter!$G$23:$G$27,0),CY1154,CS1154,CU1154,-CT1154,CW1154)+ROW()/1000000000)</f>
        <v>0.803001154</v>
      </c>
    </row>
    <row r="1155" customFormat="false" ht="15" hidden="false" customHeight="false" outlineLevel="0" collapsed="false">
      <c r="A1155" s="60" t="s">
        <v>2127</v>
      </c>
      <c r="B1155" s="60" t="s">
        <v>2128</v>
      </c>
      <c r="C1155" s="60" t="s">
        <v>206</v>
      </c>
      <c r="D1155" s="60" t="s">
        <v>226</v>
      </c>
      <c r="E1155" s="60" t="s">
        <v>227</v>
      </c>
      <c r="F1155" s="60" t="s">
        <v>260</v>
      </c>
      <c r="G1155" s="61" t="n">
        <v>28.61</v>
      </c>
      <c r="H1155" s="62" t="n">
        <f aca="false">MAX(0,IF(AND(Parameter!$B$21="Ja",ISNUMBER(Y1155)),Y1155,IF(Parameter!$B$20="Jahresanfang 2025 + Export",BS1155+BR1155,BR1155)))</f>
        <v>31</v>
      </c>
      <c r="I1155" s="62" t="n">
        <f aca="false">H1155*G1155</f>
        <v>886.91</v>
      </c>
      <c r="J1155" s="62" t="n">
        <f aca="false">BU1155*Parameter!$B$18</f>
        <v>0</v>
      </c>
      <c r="K1155" s="63" t="n">
        <v>36.5</v>
      </c>
      <c r="L1155" s="64" t="n">
        <v>0</v>
      </c>
      <c r="M1155" s="62" t="n">
        <v>0</v>
      </c>
      <c r="N1155" s="62" t="n">
        <v>1</v>
      </c>
      <c r="O1155" s="65" t="n">
        <v>42</v>
      </c>
      <c r="P1155" s="60" t="s">
        <v>370</v>
      </c>
      <c r="Q1155" s="62" t="n">
        <v>52</v>
      </c>
      <c r="R1155" s="65" t="n">
        <f aca="false">IF(CA1155=1,0,IFERROR(VLOOKUP(BY1155,'Gebinde-Kategorie'!$A$5:$N$45,13,0)+0,0))</f>
        <v>52</v>
      </c>
      <c r="S1155" s="66"/>
      <c r="T1155" s="67"/>
      <c r="U1155" s="67"/>
      <c r="V1155" s="67"/>
      <c r="W1155" s="60"/>
      <c r="X1155" s="62"/>
      <c r="Y1155" s="62"/>
      <c r="Z1155" s="60" t="n">
        <v>3</v>
      </c>
      <c r="AA1155" s="60" t="n">
        <f aca="false">IF(A1155="","",IF(AND(Parameter!$B$21="Ja",ISNUMBER(W1155)),W1155,IF(AND(Parameter!$E$27="Ja",ISNUMBER(Z1155),CD1155&lt;&gt;"Nein"),Z1155,IF(CD1155="2+3",IF(ISNUMBER(SEARCH("grosser Artikel",BV1155)),2,IFERROR(VLOOKUP(BY1155,Parameter!$F$35:$G$64,2,0),2)),IF(OR(CD1155="Nein",CD1155=""),"-",CD1155)))))</f>
        <v>3</v>
      </c>
      <c r="AB1155" s="67"/>
      <c r="AC1155" s="68"/>
      <c r="AD1155" s="62" t="n">
        <f aca="false">AW1155</f>
        <v>1</v>
      </c>
      <c r="AE1155" s="62" t="n">
        <f aca="false">MAX(AW1155,H1155)</f>
        <v>31</v>
      </c>
      <c r="AF1155" s="69"/>
      <c r="AG1155" s="62" t="n">
        <f aca="false">IF(LEFT(Cockpit!$C$5,1)="A",H1155,IF(Parameter!$E$30="MAX-Bestand",IF(CI1155=1,CJ1155,IF(LEFT(Cockpit!$C$5,1)="B",AM1155,MAX(AM1155,H1155))),ROUNDUP(AK1155,0)))</f>
        <v>31</v>
      </c>
      <c r="AH1155" s="62" t="n">
        <f aca="false">IF(CA1155=1,0,ROUNDUP(AG1155/BZ1155,0))</f>
        <v>1</v>
      </c>
      <c r="AI1155" s="64" t="n">
        <f aca="false">IF(CR1155&gt;0,CR1155*MAX(1,AG1155/X1155),IF(CA1155=1,IF(AG1155&lt;=0,0,CE1155*MAX(1,IF(H1155&gt;0,AG1155/H1155,1))),IF(R1155&gt;0,AH1155/R1155,0))/MAX(0.1,N(Parameter!$M$21)))</f>
        <v>0.0192307692307692</v>
      </c>
      <c r="AJ1155" s="62" t="n">
        <f aca="false">AI1155*CC1155</f>
        <v>2.98076923076923</v>
      </c>
      <c r="AK1155" s="63" t="n">
        <f aca="false">IF(LEFT(Cockpit!$C$5,1)="A",H1155,IF(CI1155=1,(CL1155+CJ1155)/2,IF(LEFT(Cockpit!$C$5,1)="B",(CL1155+AM1155)/2,MAX((CL1155+AM1155)/2,H1155))))</f>
        <v>31</v>
      </c>
      <c r="AL1155" s="62" t="n">
        <f aca="false">AK1155*G1155</f>
        <v>886.91</v>
      </c>
      <c r="AM1155" s="62" t="n">
        <f aca="false">ROUNDUP(CL1155+MAX(CM1155,2*(J1155/IF(CH1155&gt;0,CH1155,MAX(0.1,N(Cockpit!$C$6)))-CL1155)),0)</f>
        <v>1</v>
      </c>
      <c r="AN1155" s="63" t="n">
        <f aca="false">IF(AJ1155&gt;0,J1155/AJ1155,-1)</f>
        <v>0</v>
      </c>
      <c r="AO1155" s="63" t="n">
        <f aca="false">IF(AND(OR(CG1155="L1",CG1155="L23",CG1155="LIFT"),AJ1155&gt;0),SUMIFS($AJ$7:$AJ$1843,$CG$7:$CG$1843,CG1155,$AN$7:$AN$1843,"&gt;"&amp;AN1155)+SUMIFS($AJ$7:$AJ$1843,$CG$7:$CG$1843,CG1155,$AN$7:$AN$1843,AN1155,$BX$7:$BX$1843,"&lt;="&amp;BX1155),"")</f>
        <v>29366.8032816995</v>
      </c>
      <c r="AP1155" s="70" t="n">
        <f aca="false">IF(AO1155="",0,MAX(0,MIN(1,(IF(CG1155="L1",Parameter!$H$5,IF(CG1155="L23",Parameter!$H$6+Parameter!$H$7,Parameter!$H$5+Parameter!$H$6+Parameter!$H$7))-(AO1155-AJ1155))/AJ1155)))</f>
        <v>1</v>
      </c>
      <c r="AQ1155" s="62" t="n">
        <f aca="false">IF(LEFT(Cockpit!$I$5,1)="A",H1155,IF(Parameter!$E$30="MAX-Bestand",IF(CI1155=1,CJ1155,IF(LEFT(Cockpit!$I$5,1)="B",AW1155,MAX(AW1155,H1155))),ROUNDUP(AU1155,0)))</f>
        <v>31</v>
      </c>
      <c r="AR1155" s="62" t="n">
        <f aca="false">IF(CA1155=1,0,ROUNDUP(AQ1155/BZ1155,0))</f>
        <v>1</v>
      </c>
      <c r="AS1155" s="64" t="n">
        <f aca="false">IF(CR1155&gt;0,CR1155*MAX(1,AQ1155/X1155),IF(CA1155=1,IF(AQ1155&lt;=0,0,CE1155*MAX(1,IF(H1155&gt;0,AQ1155/H1155,1))),IF(R1155&gt;0,AR1155/R1155,0))/MAX(0.1,N(Parameter!$M$21)))</f>
        <v>0.0192307692307692</v>
      </c>
      <c r="AT1155" s="62" t="n">
        <f aca="false">AS1155*CC1155</f>
        <v>2.98076923076923</v>
      </c>
      <c r="AU1155" s="63" t="n">
        <f aca="false">IF(LEFT(Cockpit!$I$5,1)="A",H1155,IF(CI1155=1,(CL1155+CJ1155)/2,IF(LEFT(Cockpit!$I$5,1)="B",(CL1155+AW1155)/2,MAX((CL1155+AW1155)/2,H1155))))</f>
        <v>31</v>
      </c>
      <c r="AV1155" s="62" t="n">
        <f aca="false">AU1155*G1155</f>
        <v>886.91</v>
      </c>
      <c r="AW1155" s="62" t="n">
        <f aca="false">ROUNDUP(CL1155+MAX(CM1155,2*(J1155/IF(CH1155&gt;0,CH1155,MAX(0.1,N(Cockpit!$I$6)))-CL1155)),0)</f>
        <v>1</v>
      </c>
      <c r="AX1155" s="63" t="n">
        <f aca="false">IF(AT1155&gt;0,J1155/AT1155,-1)</f>
        <v>0</v>
      </c>
      <c r="AY1155" s="63" t="n">
        <f aca="false">IF(AND(OR(CG1155="L1",CG1155="L23",CG1155="LIFT"),AT1155&gt;0),SUMIFS($AT$7:$AT$1843,$CG$7:$CG$1843,CG1155,$AX$7:$AX$1843,"&gt;"&amp;AX1155)+SUMIFS($AT$7:$AT$1843,$CG$7:$CG$1843,CG1155,$AX$7:$AX$1843,AX1155,$BX$7:$BX$1843,"&lt;="&amp;BX1155),"")</f>
        <v>35157.7330586081</v>
      </c>
      <c r="AZ1155" s="70" t="n">
        <f aca="false">IF(AY1155="",0,MAX(0,MIN(1,(IF(CG1155="L1",Parameter!$H$5,IF(CG1155="L23",Parameter!$H$6+Parameter!$H$7,Parameter!$H$5+Parameter!$H$6+Parameter!$H$7))-(AY1155-AT1155))/AT1155)))</f>
        <v>1</v>
      </c>
      <c r="BA1155" s="62" t="n">
        <f aca="false">IF(LEFT(Cockpit!$O$5,1)="A",H1155,IF(Parameter!$E$30="MAX-Bestand",IF(CI1155=1,CJ1155,IF(LEFT(Cockpit!$O$5,1)="B",BG1155,MAX(BG1155,H1155))),ROUNDUP(BE1155,0)))</f>
        <v>1</v>
      </c>
      <c r="BB1155" s="62" t="n">
        <f aca="false">IF(CA1155=1,0,ROUNDUP(BA1155/BZ1155,0))</f>
        <v>1</v>
      </c>
      <c r="BC1155" s="64" t="n">
        <f aca="false">IF(CR1155&gt;0,CR1155*MAX(1,BA1155/X1155),IF(CA1155=1,IF(BA1155&lt;=0,0,CE1155*MAX(1,IF(H1155&gt;0,BA1155/H1155,1))),IF(R1155&gt;0,BB1155/R1155,0))/MAX(0.1,N(Parameter!$M$21)))</f>
        <v>0.0192307692307692</v>
      </c>
      <c r="BD1155" s="62" t="n">
        <f aca="false">BC1155*CC1155</f>
        <v>2.98076923076923</v>
      </c>
      <c r="BE1155" s="63" t="n">
        <f aca="false">IF(LEFT(Cockpit!$O$5,1)="A",H1155,IF(CI1155=1,(CL1155+CJ1155)/2,IF(LEFT(Cockpit!$O$5,1)="B",(CL1155+BG1155)/2,MAX((CL1155+BG1155)/2,H1155))))</f>
        <v>0.5</v>
      </c>
      <c r="BF1155" s="62" t="n">
        <f aca="false">BE1155*G1155</f>
        <v>14.305</v>
      </c>
      <c r="BG1155" s="62" t="n">
        <f aca="false">ROUNDUP(CL1155+MAX(CM1155,2*(J1155/IF(CH1155&gt;0,CH1155,MAX(0.1,N(Cockpit!$O$6)))-CL1155)),0)</f>
        <v>1</v>
      </c>
      <c r="BH1155" s="63" t="n">
        <f aca="false">IF(BD1155&gt;0,J1155/BD1155,-1)</f>
        <v>0</v>
      </c>
      <c r="BI1155" s="63" t="n">
        <f aca="false">IF(AND(OR(CG1155="L1",CG1155="L23",CG1155="LIFT"),BD1155&gt;0),SUMIFS($BD$7:$BD$1843,$CG$7:$CG$1843,CG1155,$BH$7:$BH$1843,"&gt;"&amp;BH1155)+SUMIFS($BD$7:$BD$1843,$CG$7:$CG$1843,CG1155,$BH$7:$BH$1843,BH1155,$BX$7:$BX$1843,"&lt;="&amp;BX1155),"")</f>
        <v>29143.0397187558</v>
      </c>
      <c r="BJ1155" s="70" t="n">
        <f aca="false">IF(BI1155="",0,MAX(0,MIN(1,(IF(CG1155="L1",Parameter!$H$5,IF(CG1155="L23",Parameter!$H$6+Parameter!$H$7,Parameter!$H$5+Parameter!$H$6+Parameter!$H$7))-(BI1155-BD1155))/BD1155)))</f>
        <v>1</v>
      </c>
      <c r="BK1155" s="60" t="str">
        <f aca="false">IF(AJ1155&lt;=0,"",IF(CG1155="Aussen","Aussenlager",IF(CG1155="-","Nicht im Lift",IF(AP1155&gt;=1,"Lift",IF(AP1155&lt;=0,"Aussenlager","teilweise")))))</f>
        <v>Lift</v>
      </c>
      <c r="BL1155" s="60" t="str">
        <f aca="false">IF(AT1155&lt;=0,"",IF(CG1155="Aussen","Aussenlager",IF(CG1155="-","Nicht im Lift",IF(AZ1155&gt;=1,"Lift",IF(AZ1155&lt;=0,"Aussenlager","teilweise")))))</f>
        <v>Lift</v>
      </c>
      <c r="BM1155" s="60" t="str">
        <f aca="false">IF(BD1155&lt;=0,"",IF(CG1155="Aussen","Aussenlager",IF(CG1155="-","Nicht im Lift",IF(BJ1155&gt;=1,"Lift",IF(BJ1155&lt;=0,"Aussenlager","teilweise")))))</f>
        <v>Lift</v>
      </c>
      <c r="BN1155" s="60" t="str">
        <f aca="false">IF(A1155="","",IF(BW1155=1,"Neu; ","")&amp;IF(AND(BW1155=0,BR1155&lt;0),"negativer Bestand (Export "&amp;BR1155&amp;"); ","")&amp;IF(J1155&lt;=0,"Kein Verbrauch; ","")&amp;IF(CR1155&gt;0,"Lift "&amp;W1155&amp;" lt. Liftbericht (Fach "&amp;X1155&amp;" Stk); ",IF(CB1155=1,"Gebinde geschätzt ("&amp;T1155&amp;"); ",IF(CA1155=1,"Lose – Tablare geschätzt; ","")))&amp;IF(H1155&gt;AW1155,"Überbestand "&amp;ROUND(H1155-AW1155,0)&amp;" Stk / CHF "&amp;ROUND((H1155-AW1155)*G1155,0)&amp;"; ","")&amp;IF(AND(CI1155=1,CJ1155&lt;CK1155),"MAX &lt; MB+LG; ","")&amp;IF(AND(CQ1155&gt;0,CP1155*10&gt;CQ1155),"zu hoch für Tablar; ","")&amp;IF(AND(BW1155=0,OR(CI1155=1,AB1155&lt;&gt;"",U1155&lt;&gt;"",V1155&lt;&gt;"",AC1155&lt;&gt;"")),"manuell übersteuert; ","")&amp;IF(AND(CA1155=0,R1155=0),"Gebinde unbekannt / Stellmass fehlt; ","")&amp;IF(AND(CA1155=0,N(V1155)&lt;=0,N(Q1155)&lt;=0),"Menge pro Gebinde fehlt (Ist = 1 Gebinde); ","")&amp;BV1155)</f>
        <v>negativer Bestand (Export -11); Kein Verbrauch; Überbestand 30 Stk / CHF 858; Überbestand</v>
      </c>
      <c r="BO1155" s="60"/>
      <c r="BP1155" s="60"/>
      <c r="BQ1155" s="67"/>
      <c r="BR1155" s="62" t="n">
        <v>-11</v>
      </c>
      <c r="BS1155" s="62" t="n">
        <v>42</v>
      </c>
      <c r="BT1155" s="61" t="n">
        <v>-314.71</v>
      </c>
      <c r="BU1155" s="62" t="n">
        <v>0</v>
      </c>
      <c r="BV1155" s="60" t="s">
        <v>434</v>
      </c>
      <c r="BW1155" s="65" t="n">
        <v>0</v>
      </c>
      <c r="BX1155" s="65" t="n">
        <v>1155</v>
      </c>
      <c r="BY1155" s="60" t="str">
        <f aca="false">IF(U1155&lt;&gt;"",UPPER(TRIM(U1155)),IF(CB1155=1,UPPER(VLOOKUP(T1155,Parameter!$I$27:$K$29,2,0)),IF(P1155="","LOSE",P1155)))</f>
        <v>S41</v>
      </c>
      <c r="BZ1155" s="62" t="n">
        <f aca="false">IF(BY1155="LOSE",1,IF(N(V1155)&gt;0,V1155,IF(CB1155=1,MAX(1,N(VLOOKUP(T1155,Parameter!$I$27:$K$29,3,0)),H1155,N(N1155)),IF(N(Q1155)&gt;0,Q1155,MAX(1,H1155)))))</f>
        <v>52</v>
      </c>
      <c r="CA1155" s="65" t="n">
        <f aca="false">IF(BY1155="LOSE",1,0)</f>
        <v>0</v>
      </c>
      <c r="CB1155" s="65" t="n">
        <f aca="false">IF(AND(U1155="",OR(P1155="",P1155="LOSE"),T1155&lt;&gt;"",N(S1155)&lt;=0,ISNUMBER(MATCH(T1155,Parameter!$I$27:$I$29,0))),1,0)</f>
        <v>0</v>
      </c>
      <c r="CC1155" s="65" t="n">
        <f aca="false">IF(CR1155&gt;0,INDEX(Parameter!$H$5:$H$7,W1155)/INDEX(Parameter!$E$5:$E$7,W1155),IF(AND(CA1155=0,N(IFERROR(VLOOKUP(BY1155,'Gebinde-Kategorie'!$A$5:$N$45,14,0),0))&gt;0),VLOOKUP(BY1155,'Gebinde-Kategorie'!$A$5:$N$45,14,0)*10+Parameter!$M$23,Parameter!$M$24))</f>
        <v>155</v>
      </c>
      <c r="CD1155" s="60" t="str">
        <f aca="false">IF(AND(Parameter!$B$19="Ja",E1155&lt;&gt;"",ISNUMBER(MATCH(E1155,Parameter!$I$35:$I$52,0))),VLOOKUP(E1155,Parameter!$I$35:$J$52,2,0),IFERROR(VLOOKUP(D1155,Parameter!$A$35:$C$64,2,0),"Nein"))</f>
        <v>2+3</v>
      </c>
      <c r="CE1155" s="64" t="n">
        <f aca="false">IF(CA1155=0,0,IF(N(S1155)&gt;0,S1155,IFERROR(VLOOKUP(D1155,Parameter!$A$35:$C$64,3,0)+0,0)))</f>
        <v>0</v>
      </c>
      <c r="CF1155" s="60" t="n">
        <f aca="false">IF(AB1155&lt;&gt;"",AB1155,AA1155)</f>
        <v>3</v>
      </c>
      <c r="CG1155" s="60" t="str">
        <f aca="false">IF(OR(CF1155=1,CF1155=2,CF1155=3),IF(Parameter!$E$27="Ja","LIFT",IF(CF1155=1,"L1","L23")),IF(CF1155="Aussen","Aussen","-"))</f>
        <v>LIFT</v>
      </c>
      <c r="CH1155" s="71" t="n">
        <f aca="false">IF(N(AC1155)&gt;0,AC1155,0)</f>
        <v>0</v>
      </c>
      <c r="CI1155" s="65" t="n">
        <f aca="false">IF(ISNUMBER(AF1155),1,0)</f>
        <v>0</v>
      </c>
      <c r="CJ1155" s="62" t="n">
        <f aca="false">N(AF1155)</f>
        <v>0</v>
      </c>
      <c r="CK1155" s="62" t="n">
        <f aca="false">N(M1155)+N(N1155)</f>
        <v>1</v>
      </c>
      <c r="CL1155" s="62" t="n">
        <f aca="false">N(M1155)</f>
        <v>0</v>
      </c>
      <c r="CM1155" s="62" t="n">
        <f aca="false">N(N1155)</f>
        <v>1</v>
      </c>
      <c r="CN1155" s="62" t="n">
        <f aca="false">ROUNDUP(H1155/BZ1155,0)</f>
        <v>1</v>
      </c>
      <c r="CO1155" s="62" t="n">
        <f aca="false">ROUNDUP(CJ1155/BZ1155,0)</f>
        <v>0</v>
      </c>
      <c r="CP1155" s="65" t="n">
        <f aca="false">IF(CA1155=1,0,IFERROR(VLOOKUP(BY1155,'Gebinde-Kategorie'!$A$5:$N$45,5,0)+0,0))</f>
        <v>11</v>
      </c>
      <c r="CQ1155" s="65" t="n">
        <f aca="false">IFERROR(IF(OR(CF1155=1,CF1155=2,CF1155=3),N(INDEX(Parameter!$I$5:$I$7,CF1155)),0),0)</f>
        <v>0</v>
      </c>
      <c r="CR1155" s="64" t="n">
        <f aca="false">IF(AND(Parameter!$B$21="Ja",ISNUMBER(W1155),N(X1155)&gt;0),IFERROR(N(INDEX(Parameter!$L$5:$L$7,W1155))*INDEX(Parameter!$E$5:$E$7,W1155)*X1155/SUMIFS($X$7:$X$1843,$W$7:$W$1843,W1155),0),0)</f>
        <v>0</v>
      </c>
      <c r="CS1155" s="62" t="n">
        <f aca="false">IF(AND(OR(CG1155="L1",CG1155="L23",CG1155="LIFT"),H1155&gt;0),CC1155*IF(CR1155&gt;0,CR1155*MAX(1,H1155/X1155),IF(CA1155=1,CE1155,IF(R1155&gt;0,CN1155/R1155,0))/MAX(0.1,N(Parameter!$M$21))),"")</f>
        <v>2.98076923076923</v>
      </c>
      <c r="CT1155" s="64" t="n">
        <f aca="false">IF(CS1155="","",J1155/H1155)</f>
        <v>0</v>
      </c>
      <c r="CU1155" s="62" t="n">
        <f aca="false">IF(CS1155="","",H1155*G1155)</f>
        <v>886.91</v>
      </c>
      <c r="CV1155" s="63" t="n">
        <f aca="false">IF(CS1155="","",(CL1155+ROUNDUP(CL1155+MAX(CM1155,2*(J1155/MAX(0.1,N(Einkauf!$C$6))-CL1155)),0))/2)</f>
        <v>0.5</v>
      </c>
      <c r="CW1155" s="62" t="n">
        <f aca="false">IF(CS1155="","",MAX(0,H1155-CV1155)*G1155)</f>
        <v>872.605</v>
      </c>
      <c r="CX1155" s="62" t="n">
        <f aca="false">IF(CS1155="","",CS1155*MAX(0,1-CV1155/H1155))</f>
        <v>2.93269230769231</v>
      </c>
      <c r="CY1155" s="64" t="n">
        <f aca="false">IF(CS1155="","",PERCENTRANK($CS$7:$CS$1843,CS1155)+PERCENTRANK($CU$7:$CU$1843,CU1155)+1-PERCENTRANK($CT$7:$CT$1843,CT1155))</f>
        <v>1.837</v>
      </c>
      <c r="CZ1155" s="72" t="n">
        <f aca="false">IF(CS1155="","",CHOOSE(MATCH(Einkauf!$C$5,Parameter!$G$23:$G$27,0),CY1155,CS1155,CU1155,-CT1155,CW1155)+ROW()/1000000000)</f>
        <v>1.837001155</v>
      </c>
    </row>
    <row r="1156" customFormat="false" ht="15" hidden="false" customHeight="false" outlineLevel="0" collapsed="false">
      <c r="A1156" s="60" t="s">
        <v>2129</v>
      </c>
      <c r="B1156" s="60" t="s">
        <v>1990</v>
      </c>
      <c r="C1156" s="60" t="s">
        <v>498</v>
      </c>
      <c r="D1156" s="60" t="s">
        <v>226</v>
      </c>
      <c r="E1156" s="60"/>
      <c r="F1156" s="60" t="s">
        <v>260</v>
      </c>
      <c r="G1156" s="61" t="n">
        <v>45.5</v>
      </c>
      <c r="H1156" s="62" t="n">
        <f aca="false">MAX(0,IF(AND(Parameter!$B$21="Ja",ISNUMBER(Y1156)),Y1156,IF(Parameter!$B$20="Jahresanfang 2025 + Export",BS1156+BR1156,BR1156)))</f>
        <v>7</v>
      </c>
      <c r="I1156" s="62" t="n">
        <f aca="false">H1156*G1156</f>
        <v>318.5</v>
      </c>
      <c r="J1156" s="62" t="n">
        <f aca="false">BU1156*Parameter!$B$18</f>
        <v>7</v>
      </c>
      <c r="K1156" s="63" t="n">
        <v>7</v>
      </c>
      <c r="L1156" s="64" t="n">
        <v>1</v>
      </c>
      <c r="M1156" s="62" t="n">
        <v>0</v>
      </c>
      <c r="N1156" s="62" t="n">
        <v>5</v>
      </c>
      <c r="O1156" s="65" t="n">
        <v>21</v>
      </c>
      <c r="P1156" s="60" t="s">
        <v>210</v>
      </c>
      <c r="Q1156" s="62"/>
      <c r="R1156" s="65" t="n">
        <f aca="false">IF(CA1156=1,0,IFERROR(VLOOKUP(BY1156,'Gebinde-Kategorie'!$A$5:$N$45,13,0)+0,0))</f>
        <v>4</v>
      </c>
      <c r="S1156" s="66"/>
      <c r="T1156" s="67" t="s">
        <v>231</v>
      </c>
      <c r="U1156" s="67"/>
      <c r="V1156" s="67"/>
      <c r="W1156" s="60"/>
      <c r="X1156" s="62"/>
      <c r="Y1156" s="62"/>
      <c r="Z1156" s="60" t="n">
        <v>2</v>
      </c>
      <c r="AA1156" s="60" t="n">
        <f aca="false">IF(A1156="","",IF(AND(Parameter!$B$21="Ja",ISNUMBER(W1156)),W1156,IF(AND(Parameter!$E$27="Ja",ISNUMBER(Z1156),CD1156&lt;&gt;"Nein"),Z1156,IF(CD1156="2+3",IF(ISNUMBER(SEARCH("grosser Artikel",BV1156)),2,IFERROR(VLOOKUP(BY1156,Parameter!$F$35:$G$64,2,0),2)),IF(OR(CD1156="Nein",CD1156=""),"-",CD1156)))))</f>
        <v>2</v>
      </c>
      <c r="AB1156" s="67"/>
      <c r="AC1156" s="68"/>
      <c r="AD1156" s="62" t="n">
        <f aca="false">AW1156</f>
        <v>5</v>
      </c>
      <c r="AE1156" s="62" t="n">
        <f aca="false">MAX(AW1156,H1156)</f>
        <v>7</v>
      </c>
      <c r="AF1156" s="69"/>
      <c r="AG1156" s="62" t="n">
        <f aca="false">IF(LEFT(Cockpit!$C$5,1)="A",H1156,IF(Parameter!$E$30="MAX-Bestand",IF(CI1156=1,CJ1156,IF(LEFT(Cockpit!$C$5,1)="B",AM1156,MAX(AM1156,H1156))),ROUNDUP(AK1156,0)))</f>
        <v>7</v>
      </c>
      <c r="AH1156" s="62" t="n">
        <f aca="false">IF(CA1156=1,0,ROUNDUP(AG1156/BZ1156,0))</f>
        <v>1</v>
      </c>
      <c r="AI1156" s="64" t="n">
        <f aca="false">IF(CR1156&gt;0,CR1156*MAX(1,AG1156/X1156),IF(CA1156=1,IF(AG1156&lt;=0,0,CE1156*MAX(1,IF(H1156&gt;0,AG1156/H1156,1))),IF(R1156&gt;0,AH1156/R1156,0))/MAX(0.1,N(Parameter!$M$21)))</f>
        <v>0.25</v>
      </c>
      <c r="AJ1156" s="62" t="n">
        <f aca="false">AI1156*CC1156</f>
        <v>58.75</v>
      </c>
      <c r="AK1156" s="63" t="n">
        <f aca="false">IF(LEFT(Cockpit!$C$5,1)="A",H1156,IF(CI1156=1,(CL1156+CJ1156)/2,IF(LEFT(Cockpit!$C$5,1)="B",(CL1156+AM1156)/2,MAX((CL1156+AM1156)/2,H1156))))</f>
        <v>7</v>
      </c>
      <c r="AL1156" s="62" t="n">
        <f aca="false">AK1156*G1156</f>
        <v>318.5</v>
      </c>
      <c r="AM1156" s="62" t="n">
        <f aca="false">ROUNDUP(CL1156+MAX(CM1156,2*(J1156/IF(CH1156&gt;0,CH1156,MAX(0.1,N(Cockpit!$C$6)))-CL1156)),0)</f>
        <v>5</v>
      </c>
      <c r="AN1156" s="63" t="n">
        <f aca="false">IF(AJ1156&gt;0,J1156/AJ1156,-1)</f>
        <v>0.119148936170213</v>
      </c>
      <c r="AO1156" s="63" t="n">
        <f aca="false">IF(AND(OR(CG1156="L1",CG1156="L23",CG1156="LIFT"),AJ1156&gt;0),SUMIFS($AJ$7:$AJ$1843,$CG$7:$CG$1843,CG1156,$AN$7:$AN$1843,"&gt;"&amp;AN1156)+SUMIFS($AJ$7:$AJ$1843,$CG$7:$CG$1843,CG1156,$AN$7:$AN$1843,AN1156,$BX$7:$BX$1843,"&lt;="&amp;BX1156),"")</f>
        <v>14422.6732036796</v>
      </c>
      <c r="AP1156" s="70" t="n">
        <f aca="false">IF(AO1156="",0,MAX(0,MIN(1,(IF(CG1156="L1",Parameter!$H$5,IF(CG1156="L23",Parameter!$H$6+Parameter!$H$7,Parameter!$H$5+Parameter!$H$6+Parameter!$H$7))-(AO1156-AJ1156))/AJ1156)))</f>
        <v>1</v>
      </c>
      <c r="AQ1156" s="62" t="n">
        <f aca="false">IF(LEFT(Cockpit!$I$5,1)="A",H1156,IF(Parameter!$E$30="MAX-Bestand",IF(CI1156=1,CJ1156,IF(LEFT(Cockpit!$I$5,1)="B",AW1156,MAX(AW1156,H1156))),ROUNDUP(AU1156,0)))</f>
        <v>7</v>
      </c>
      <c r="AR1156" s="62" t="n">
        <f aca="false">IF(CA1156=1,0,ROUNDUP(AQ1156/BZ1156,0))</f>
        <v>1</v>
      </c>
      <c r="AS1156" s="64" t="n">
        <f aca="false">IF(CR1156&gt;0,CR1156*MAX(1,AQ1156/X1156),IF(CA1156=1,IF(AQ1156&lt;=0,0,CE1156*MAX(1,IF(H1156&gt;0,AQ1156/H1156,1))),IF(R1156&gt;0,AR1156/R1156,0))/MAX(0.1,N(Parameter!$M$21)))</f>
        <v>0.25</v>
      </c>
      <c r="AT1156" s="62" t="n">
        <f aca="false">AS1156*CC1156</f>
        <v>58.75</v>
      </c>
      <c r="AU1156" s="63" t="n">
        <f aca="false">IF(LEFT(Cockpit!$I$5,1)="A",H1156,IF(CI1156=1,(CL1156+CJ1156)/2,IF(LEFT(Cockpit!$I$5,1)="B",(CL1156+AW1156)/2,MAX((CL1156+AW1156)/2,H1156))))</f>
        <v>7</v>
      </c>
      <c r="AV1156" s="62" t="n">
        <f aca="false">AU1156*G1156</f>
        <v>318.5</v>
      </c>
      <c r="AW1156" s="62" t="n">
        <f aca="false">ROUNDUP(CL1156+MAX(CM1156,2*(J1156/IF(CH1156&gt;0,CH1156,MAX(0.1,N(Cockpit!$I$6)))-CL1156)),0)</f>
        <v>5</v>
      </c>
      <c r="AX1156" s="63" t="n">
        <f aca="false">IF(AT1156&gt;0,J1156/AT1156,-1)</f>
        <v>0.119148936170213</v>
      </c>
      <c r="AY1156" s="63" t="n">
        <f aca="false">IF(AND(OR(CG1156="L1",CG1156="L23",CG1156="LIFT"),AT1156&gt;0),SUMIFS($AT$7:$AT$1843,$CG$7:$CG$1843,CG1156,$AX$7:$AX$1843,"&gt;"&amp;AX1156)+SUMIFS($AT$7:$AT$1843,$CG$7:$CG$1843,CG1156,$AX$7:$AX$1843,AX1156,$BX$7:$BX$1843,"&lt;="&amp;BX1156),"")</f>
        <v>18447.071845057</v>
      </c>
      <c r="AZ1156" s="70" t="n">
        <f aca="false">IF(AY1156="",0,MAX(0,MIN(1,(IF(CG1156="L1",Parameter!$H$5,IF(CG1156="L23",Parameter!$H$6+Parameter!$H$7,Parameter!$H$5+Parameter!$H$6+Parameter!$H$7))-(AY1156-AT1156))/AT1156)))</f>
        <v>1</v>
      </c>
      <c r="BA1156" s="62" t="n">
        <f aca="false">IF(LEFT(Cockpit!$O$5,1)="A",H1156,IF(Parameter!$E$30="MAX-Bestand",IF(CI1156=1,CJ1156,IF(LEFT(Cockpit!$O$5,1)="B",BG1156,MAX(BG1156,H1156))),ROUNDUP(BE1156,0)))</f>
        <v>3</v>
      </c>
      <c r="BB1156" s="62" t="n">
        <f aca="false">IF(CA1156=1,0,ROUNDUP(BA1156/BZ1156,0))</f>
        <v>1</v>
      </c>
      <c r="BC1156" s="64" t="n">
        <f aca="false">IF(CR1156&gt;0,CR1156*MAX(1,BA1156/X1156),IF(CA1156=1,IF(BA1156&lt;=0,0,CE1156*MAX(1,IF(H1156&gt;0,BA1156/H1156,1))),IF(R1156&gt;0,BB1156/R1156,0))/MAX(0.1,N(Parameter!$M$21)))</f>
        <v>0.25</v>
      </c>
      <c r="BD1156" s="62" t="n">
        <f aca="false">BC1156*CC1156</f>
        <v>58.75</v>
      </c>
      <c r="BE1156" s="63" t="n">
        <f aca="false">IF(LEFT(Cockpit!$O$5,1)="A",H1156,IF(CI1156=1,(CL1156+CJ1156)/2,IF(LEFT(Cockpit!$O$5,1)="B",(CL1156+BG1156)/2,MAX((CL1156+BG1156)/2,H1156))))</f>
        <v>2.5</v>
      </c>
      <c r="BF1156" s="62" t="n">
        <f aca="false">BE1156*G1156</f>
        <v>113.75</v>
      </c>
      <c r="BG1156" s="62" t="n">
        <f aca="false">ROUNDUP(CL1156+MAX(CM1156,2*(J1156/IF(CH1156&gt;0,CH1156,MAX(0.1,N(Cockpit!$O$6)))-CL1156)),0)</f>
        <v>5</v>
      </c>
      <c r="BH1156" s="63" t="n">
        <f aca="false">IF(BD1156&gt;0,J1156/BD1156,-1)</f>
        <v>0.119148936170213</v>
      </c>
      <c r="BI1156" s="63" t="n">
        <f aca="false">IF(AND(OR(CG1156="L1",CG1156="L23",CG1156="LIFT"),BD1156&gt;0),SUMIFS($BD$7:$BD$1843,$CG$7:$CG$1843,CG1156,$BH$7:$BH$1843,"&gt;"&amp;BH1156)+SUMIFS($BD$7:$BD$1843,$CG$7:$CG$1843,CG1156,$BH$7:$BH$1843,BH1156,$BX$7:$BX$1843,"&lt;="&amp;BX1156),"")</f>
        <v>16047.8844575857</v>
      </c>
      <c r="BJ1156" s="70" t="n">
        <f aca="false">IF(BI1156="",0,MAX(0,MIN(1,(IF(CG1156="L1",Parameter!$H$5,IF(CG1156="L23",Parameter!$H$6+Parameter!$H$7,Parameter!$H$5+Parameter!$H$6+Parameter!$H$7))-(BI1156-BD1156))/BD1156)))</f>
        <v>1</v>
      </c>
      <c r="BK1156" s="60" t="str">
        <f aca="false">IF(AJ1156&lt;=0,"",IF(CG1156="Aussen","Aussenlager",IF(CG1156="-","Nicht im Lift",IF(AP1156&gt;=1,"Lift",IF(AP1156&lt;=0,"Aussenlager","teilweise")))))</f>
        <v>Lift</v>
      </c>
      <c r="BL1156" s="60" t="str">
        <f aca="false">IF(AT1156&lt;=0,"",IF(CG1156="Aussen","Aussenlager",IF(CG1156="-","Nicht im Lift",IF(AZ1156&gt;=1,"Lift",IF(AZ1156&lt;=0,"Aussenlager","teilweise")))))</f>
        <v>Lift</v>
      </c>
      <c r="BM1156" s="60" t="str">
        <f aca="false">IF(BD1156&lt;=0,"",IF(CG1156="Aussen","Aussenlager",IF(CG1156="-","Nicht im Lift",IF(BJ1156&gt;=1,"Lift",IF(BJ1156&lt;=0,"Aussenlager","teilweise")))))</f>
        <v>Lift</v>
      </c>
      <c r="BN1156" s="60" t="str">
        <f aca="false">IF(A1156="","",IF(BW1156=1,"Neu; ","")&amp;IF(AND(BW1156=0,BR1156&lt;0),"negativer Bestand (Export "&amp;BR1156&amp;"); ","")&amp;IF(J1156&lt;=0,"Kein Verbrauch; ","")&amp;IF(CR1156&gt;0,"Lift "&amp;W1156&amp;" lt. Liftbericht (Fach "&amp;X1156&amp;" Stk); ",IF(CB1156=1,"Gebinde geschätzt ("&amp;T1156&amp;"); ",IF(CA1156=1,"Lose – Tablare geschätzt; ","")))&amp;IF(H1156&gt;AW1156,"Überbestand "&amp;ROUND(H1156-AW1156,0)&amp;" Stk / CHF "&amp;ROUND((H1156-AW1156)*G1156,0)&amp;"; ","")&amp;IF(AND(CI1156=1,CJ1156&lt;CK1156),"MAX &lt; MB+LG; ","")&amp;IF(AND(CQ1156&gt;0,CP1156*10&gt;CQ1156),"zu hoch für Tablar; ","")&amp;IF(AND(BW1156=0,OR(CI1156=1,AB1156&lt;&gt;"",U1156&lt;&gt;"",V1156&lt;&gt;"",AC1156&lt;&gt;"")),"manuell übersteuert; ","")&amp;IF(AND(CA1156=0,R1156=0),"Gebinde unbekannt / Stellmass fehlt; ","")&amp;IF(AND(CA1156=0,N(V1156)&lt;=0,N(Q1156)&lt;=0),"Menge pro Gebinde fehlt (Ist = 1 Gebinde); ","")&amp;BV1156)</f>
        <v>negativer Bestand (Export -7); Gebinde geschätzt (Gross); Überbestand 2 Stk / CHF 91; Menge pro Gebinde fehlt (Ist = 1 Gebinde); </v>
      </c>
      <c r="BO1156" s="60"/>
      <c r="BP1156" s="60"/>
      <c r="BQ1156" s="67"/>
      <c r="BR1156" s="62" t="n">
        <v>-7</v>
      </c>
      <c r="BS1156" s="62" t="n">
        <v>14</v>
      </c>
      <c r="BT1156" s="61" t="n">
        <v>-318.5</v>
      </c>
      <c r="BU1156" s="62" t="n">
        <v>7</v>
      </c>
      <c r="BV1156" s="60"/>
      <c r="BW1156" s="65" t="n">
        <v>0</v>
      </c>
      <c r="BX1156" s="65" t="n">
        <v>1156</v>
      </c>
      <c r="BY1156" s="60" t="str">
        <f aca="false">IF(U1156&lt;&gt;"",UPPER(TRIM(U1156)),IF(CB1156=1,UPPER(VLOOKUP(T1156,Parameter!$I$27:$K$29,2,0)),IF(P1156="","LOSE",P1156)))</f>
        <v>S81</v>
      </c>
      <c r="BZ1156" s="62" t="n">
        <f aca="false">IF(BY1156="LOSE",1,IF(N(V1156)&gt;0,V1156,IF(CB1156=1,MAX(1,N(VLOOKUP(T1156,Parameter!$I$27:$K$29,3,0)),H1156,N(N1156)),IF(N(Q1156)&gt;0,Q1156,MAX(1,H1156)))))</f>
        <v>7</v>
      </c>
      <c r="CA1156" s="65" t="n">
        <f aca="false">IF(BY1156="LOSE",1,0)</f>
        <v>0</v>
      </c>
      <c r="CB1156" s="65" t="n">
        <f aca="false">IF(AND(U1156="",OR(P1156="",P1156="LOSE"),T1156&lt;&gt;"",N(S1156)&lt;=0,ISNUMBER(MATCH(T1156,Parameter!$I$27:$I$29,0))),1,0)</f>
        <v>1</v>
      </c>
      <c r="CC1156" s="65" t="n">
        <f aca="false">IF(CR1156&gt;0,INDEX(Parameter!$H$5:$H$7,W1156)/INDEX(Parameter!$E$5:$E$7,W1156),IF(AND(CA1156=0,N(IFERROR(VLOOKUP(BY1156,'Gebinde-Kategorie'!$A$5:$N$45,14,0),0))&gt;0),VLOOKUP(BY1156,'Gebinde-Kategorie'!$A$5:$N$45,14,0)*10+Parameter!$M$23,Parameter!$M$24))</f>
        <v>235</v>
      </c>
      <c r="CD1156" s="60" t="str">
        <f aca="false">IF(AND(Parameter!$B$19="Ja",E1156&lt;&gt;"",ISNUMBER(MATCH(E1156,Parameter!$I$35:$I$52,0))),VLOOKUP(E1156,Parameter!$I$35:$J$52,2,0),IFERROR(VLOOKUP(D1156,Parameter!$A$35:$C$64,2,0),"Nein"))</f>
        <v>2+3</v>
      </c>
      <c r="CE1156" s="64" t="n">
        <f aca="false">IF(CA1156=0,0,IF(N(S1156)&gt;0,S1156,IFERROR(VLOOKUP(D1156,Parameter!$A$35:$C$64,3,0)+0,0)))</f>
        <v>0</v>
      </c>
      <c r="CF1156" s="60" t="n">
        <f aca="false">IF(AB1156&lt;&gt;"",AB1156,AA1156)</f>
        <v>2</v>
      </c>
      <c r="CG1156" s="60" t="str">
        <f aca="false">IF(OR(CF1156=1,CF1156=2,CF1156=3),IF(Parameter!$E$27="Ja","LIFT",IF(CF1156=1,"L1","L23")),IF(CF1156="Aussen","Aussen","-"))</f>
        <v>LIFT</v>
      </c>
      <c r="CH1156" s="71" t="n">
        <f aca="false">IF(N(AC1156)&gt;0,AC1156,0)</f>
        <v>0</v>
      </c>
      <c r="CI1156" s="65" t="n">
        <f aca="false">IF(ISNUMBER(AF1156),1,0)</f>
        <v>0</v>
      </c>
      <c r="CJ1156" s="62" t="n">
        <f aca="false">N(AF1156)</f>
        <v>0</v>
      </c>
      <c r="CK1156" s="62" t="n">
        <f aca="false">N(M1156)+N(N1156)</f>
        <v>5</v>
      </c>
      <c r="CL1156" s="62" t="n">
        <f aca="false">N(M1156)</f>
        <v>0</v>
      </c>
      <c r="CM1156" s="62" t="n">
        <f aca="false">N(N1156)</f>
        <v>5</v>
      </c>
      <c r="CN1156" s="62" t="n">
        <f aca="false">ROUNDUP(H1156/BZ1156,0)</f>
        <v>1</v>
      </c>
      <c r="CO1156" s="62" t="n">
        <f aca="false">ROUNDUP(CJ1156/BZ1156,0)</f>
        <v>0</v>
      </c>
      <c r="CP1156" s="65" t="n">
        <f aca="false">IF(CA1156=1,0,IFERROR(VLOOKUP(BY1156,'Gebinde-Kategorie'!$A$5:$N$45,5,0)+0,0))</f>
        <v>20</v>
      </c>
      <c r="CQ1156" s="65" t="n">
        <f aca="false">IFERROR(IF(OR(CF1156=1,CF1156=2,CF1156=3),N(INDEX(Parameter!$I$5:$I$7,CF1156)),0),0)</f>
        <v>0</v>
      </c>
      <c r="CR1156" s="64" t="n">
        <f aca="false">IF(AND(Parameter!$B$21="Ja",ISNUMBER(W1156),N(X1156)&gt;0),IFERROR(N(INDEX(Parameter!$L$5:$L$7,W1156))*INDEX(Parameter!$E$5:$E$7,W1156)*X1156/SUMIFS($X$7:$X$1843,$W$7:$W$1843,W1156),0),0)</f>
        <v>0</v>
      </c>
      <c r="CS1156" s="62" t="n">
        <f aca="false">IF(AND(OR(CG1156="L1",CG1156="L23",CG1156="LIFT"),H1156&gt;0),CC1156*IF(CR1156&gt;0,CR1156*MAX(1,H1156/X1156),IF(CA1156=1,CE1156,IF(R1156&gt;0,CN1156/R1156,0))/MAX(0.1,N(Parameter!$M$21))),"")</f>
        <v>58.75</v>
      </c>
      <c r="CT1156" s="64" t="n">
        <f aca="false">IF(CS1156="","",J1156/H1156)</f>
        <v>1</v>
      </c>
      <c r="CU1156" s="62" t="n">
        <f aca="false">IF(CS1156="","",H1156*G1156)</f>
        <v>318.5</v>
      </c>
      <c r="CV1156" s="63" t="n">
        <f aca="false">IF(CS1156="","",(CL1156+ROUNDUP(CL1156+MAX(CM1156,2*(J1156/MAX(0.1,N(Einkauf!$C$6))-CL1156)),0))/2)</f>
        <v>2.5</v>
      </c>
      <c r="CW1156" s="62" t="n">
        <f aca="false">IF(CS1156="","",MAX(0,H1156-CV1156)*G1156)</f>
        <v>204.75</v>
      </c>
      <c r="CX1156" s="62" t="n">
        <f aca="false">IF(CS1156="","",CS1156*MAX(0,1-CV1156/H1156))</f>
        <v>37.7678571428571</v>
      </c>
      <c r="CY1156" s="64" t="n">
        <f aca="false">IF(CS1156="","",PERCENTRANK($CS$7:$CS$1843,CS1156)+PERCENTRANK($CU$7:$CU$1843,CU1156)+1-PERCENTRANK($CT$7:$CT$1843,CT1156))</f>
        <v>1.714</v>
      </c>
      <c r="CZ1156" s="72" t="n">
        <f aca="false">IF(CS1156="","",CHOOSE(MATCH(Einkauf!$C$5,Parameter!$G$23:$G$27,0),CY1156,CS1156,CU1156,-CT1156,CW1156)+ROW()/1000000000)</f>
        <v>1.714001156</v>
      </c>
    </row>
    <row r="1157" customFormat="false" ht="15" hidden="false" customHeight="false" outlineLevel="0" collapsed="false">
      <c r="A1157" s="60" t="s">
        <v>2130</v>
      </c>
      <c r="B1157" s="60" t="s">
        <v>2131</v>
      </c>
      <c r="C1157" s="60" t="s">
        <v>206</v>
      </c>
      <c r="D1157" s="60" t="s">
        <v>226</v>
      </c>
      <c r="E1157" s="60" t="s">
        <v>227</v>
      </c>
      <c r="F1157" s="60" t="s">
        <v>260</v>
      </c>
      <c r="G1157" s="61" t="n">
        <v>113.77</v>
      </c>
      <c r="H1157" s="62" t="n">
        <f aca="false">MAX(0,IF(AND(Parameter!$B$21="Ja",ISNUMBER(Y1157)),Y1157,IF(Parameter!$B$20="Jahresanfang 2025 + Export",BS1157+BR1157,BR1157)))</f>
        <v>11</v>
      </c>
      <c r="I1157" s="62" t="n">
        <f aca="false">H1157*G1157</f>
        <v>1251.47</v>
      </c>
      <c r="J1157" s="62" t="n">
        <f aca="false">BU1157*Parameter!$B$18</f>
        <v>4</v>
      </c>
      <c r="K1157" s="63" t="n">
        <v>15</v>
      </c>
      <c r="L1157" s="64" t="n">
        <v>0.266666666666667</v>
      </c>
      <c r="M1157" s="62" t="n">
        <v>0</v>
      </c>
      <c r="N1157" s="62" t="n">
        <v>5</v>
      </c>
      <c r="O1157" s="65" t="n">
        <v>56</v>
      </c>
      <c r="P1157" s="60" t="s">
        <v>370</v>
      </c>
      <c r="Q1157" s="62" t="n">
        <v>16</v>
      </c>
      <c r="R1157" s="65" t="n">
        <f aca="false">IF(CA1157=1,0,IFERROR(VLOOKUP(BY1157,'Gebinde-Kategorie'!$A$5:$N$45,13,0)+0,0))</f>
        <v>52</v>
      </c>
      <c r="S1157" s="66"/>
      <c r="T1157" s="67"/>
      <c r="U1157" s="67"/>
      <c r="V1157" s="67"/>
      <c r="W1157" s="60"/>
      <c r="X1157" s="62"/>
      <c r="Y1157" s="62"/>
      <c r="Z1157" s="60" t="n">
        <v>3</v>
      </c>
      <c r="AA1157" s="60" t="n">
        <f aca="false">IF(A1157="","",IF(AND(Parameter!$B$21="Ja",ISNUMBER(W1157)),W1157,IF(AND(Parameter!$E$27="Ja",ISNUMBER(Z1157),CD1157&lt;&gt;"Nein"),Z1157,IF(CD1157="2+3",IF(ISNUMBER(SEARCH("grosser Artikel",BV1157)),2,IFERROR(VLOOKUP(BY1157,Parameter!$F$35:$G$64,2,0),2)),IF(OR(CD1157="Nein",CD1157=""),"-",CD1157)))))</f>
        <v>3</v>
      </c>
      <c r="AB1157" s="67"/>
      <c r="AC1157" s="68"/>
      <c r="AD1157" s="62" t="n">
        <f aca="false">AW1157</f>
        <v>5</v>
      </c>
      <c r="AE1157" s="62" t="n">
        <f aca="false">MAX(AW1157,H1157)</f>
        <v>11</v>
      </c>
      <c r="AF1157" s="69"/>
      <c r="AG1157" s="62" t="n">
        <f aca="false">IF(LEFT(Cockpit!$C$5,1)="A",H1157,IF(Parameter!$E$30="MAX-Bestand",IF(CI1157=1,CJ1157,IF(LEFT(Cockpit!$C$5,1)="B",AM1157,MAX(AM1157,H1157))),ROUNDUP(AK1157,0)))</f>
        <v>11</v>
      </c>
      <c r="AH1157" s="62" t="n">
        <f aca="false">IF(CA1157=1,0,ROUNDUP(AG1157/BZ1157,0))</f>
        <v>1</v>
      </c>
      <c r="AI1157" s="64" t="n">
        <f aca="false">IF(CR1157&gt;0,CR1157*MAX(1,AG1157/X1157),IF(CA1157=1,IF(AG1157&lt;=0,0,CE1157*MAX(1,IF(H1157&gt;0,AG1157/H1157,1))),IF(R1157&gt;0,AH1157/R1157,0))/MAX(0.1,N(Parameter!$M$21)))</f>
        <v>0.0192307692307692</v>
      </c>
      <c r="AJ1157" s="62" t="n">
        <f aca="false">AI1157*CC1157</f>
        <v>2.98076923076923</v>
      </c>
      <c r="AK1157" s="63" t="n">
        <f aca="false">IF(LEFT(Cockpit!$C$5,1)="A",H1157,IF(CI1157=1,(CL1157+CJ1157)/2,IF(LEFT(Cockpit!$C$5,1)="B",(CL1157+AM1157)/2,MAX((CL1157+AM1157)/2,H1157))))</f>
        <v>11</v>
      </c>
      <c r="AL1157" s="62" t="n">
        <f aca="false">AK1157*G1157</f>
        <v>1251.47</v>
      </c>
      <c r="AM1157" s="62" t="n">
        <f aca="false">ROUNDUP(CL1157+MAX(CM1157,2*(J1157/IF(CH1157&gt;0,CH1157,MAX(0.1,N(Cockpit!$C$6)))-CL1157)),0)</f>
        <v>5</v>
      </c>
      <c r="AN1157" s="63" t="n">
        <f aca="false">IF(AJ1157&gt;0,J1157/AJ1157,-1)</f>
        <v>1.34193548387097</v>
      </c>
      <c r="AO1157" s="63" t="n">
        <f aca="false">IF(AND(OR(CG1157="L1",CG1157="L23",CG1157="LIFT"),AJ1157&gt;0),SUMIFS($AJ$7:$AJ$1843,$CG$7:$CG$1843,CG1157,$AN$7:$AN$1843,"&gt;"&amp;AN1157)+SUMIFS($AJ$7:$AJ$1843,$CG$7:$CG$1843,CG1157,$AN$7:$AN$1843,AN1157,$BX$7:$BX$1843,"&lt;="&amp;BX1157),"")</f>
        <v>6360.95558608059</v>
      </c>
      <c r="AP1157" s="70" t="n">
        <f aca="false">IF(AO1157="",0,MAX(0,MIN(1,(IF(CG1157="L1",Parameter!$H$5,IF(CG1157="L23",Parameter!$H$6+Parameter!$H$7,Parameter!$H$5+Parameter!$H$6+Parameter!$H$7))-(AO1157-AJ1157))/AJ1157)))</f>
        <v>1</v>
      </c>
      <c r="AQ1157" s="62" t="n">
        <f aca="false">IF(LEFT(Cockpit!$I$5,1)="A",H1157,IF(Parameter!$E$30="MAX-Bestand",IF(CI1157=1,CJ1157,IF(LEFT(Cockpit!$I$5,1)="B",AW1157,MAX(AW1157,H1157))),ROUNDUP(AU1157,0)))</f>
        <v>11</v>
      </c>
      <c r="AR1157" s="62" t="n">
        <f aca="false">IF(CA1157=1,0,ROUNDUP(AQ1157/BZ1157,0))</f>
        <v>1</v>
      </c>
      <c r="AS1157" s="64" t="n">
        <f aca="false">IF(CR1157&gt;0,CR1157*MAX(1,AQ1157/X1157),IF(CA1157=1,IF(AQ1157&lt;=0,0,CE1157*MAX(1,IF(H1157&gt;0,AQ1157/H1157,1))),IF(R1157&gt;0,AR1157/R1157,0))/MAX(0.1,N(Parameter!$M$21)))</f>
        <v>0.0192307692307692</v>
      </c>
      <c r="AT1157" s="62" t="n">
        <f aca="false">AS1157*CC1157</f>
        <v>2.98076923076923</v>
      </c>
      <c r="AU1157" s="63" t="n">
        <f aca="false">IF(LEFT(Cockpit!$I$5,1)="A",H1157,IF(CI1157=1,(CL1157+CJ1157)/2,IF(LEFT(Cockpit!$I$5,1)="B",(CL1157+AW1157)/2,MAX((CL1157+AW1157)/2,H1157))))</f>
        <v>11</v>
      </c>
      <c r="AV1157" s="62" t="n">
        <f aca="false">AU1157*G1157</f>
        <v>1251.47</v>
      </c>
      <c r="AW1157" s="62" t="n">
        <f aca="false">ROUNDUP(CL1157+MAX(CM1157,2*(J1157/IF(CH1157&gt;0,CH1157,MAX(0.1,N(Cockpit!$I$6)))-CL1157)),0)</f>
        <v>5</v>
      </c>
      <c r="AX1157" s="63" t="n">
        <f aca="false">IF(AT1157&gt;0,J1157/AT1157,-1)</f>
        <v>1.34193548387097</v>
      </c>
      <c r="AY1157" s="63" t="n">
        <f aca="false">IF(AND(OR(CG1157="L1",CG1157="L23",CG1157="LIFT"),AT1157&gt;0),SUMIFS($AT$7:$AT$1843,$CG$7:$CG$1843,CG1157,$AX$7:$AX$1843,"&gt;"&amp;AX1157)+SUMIFS($AT$7:$AT$1843,$CG$7:$CG$1843,CG1157,$AX$7:$AX$1843,AX1157,$BX$7:$BX$1843,"&lt;="&amp;BX1157),"")</f>
        <v>7888.11996336996</v>
      </c>
      <c r="AZ1157" s="70" t="n">
        <f aca="false">IF(AY1157="",0,MAX(0,MIN(1,(IF(CG1157="L1",Parameter!$H$5,IF(CG1157="L23",Parameter!$H$6+Parameter!$H$7,Parameter!$H$5+Parameter!$H$6+Parameter!$H$7))-(AY1157-AT1157))/AT1157)))</f>
        <v>1</v>
      </c>
      <c r="BA1157" s="62" t="n">
        <f aca="false">IF(LEFT(Cockpit!$O$5,1)="A",H1157,IF(Parameter!$E$30="MAX-Bestand",IF(CI1157=1,CJ1157,IF(LEFT(Cockpit!$O$5,1)="B",BG1157,MAX(BG1157,H1157))),ROUNDUP(BE1157,0)))</f>
        <v>3</v>
      </c>
      <c r="BB1157" s="62" t="n">
        <f aca="false">IF(CA1157=1,0,ROUNDUP(BA1157/BZ1157,0))</f>
        <v>1</v>
      </c>
      <c r="BC1157" s="64" t="n">
        <f aca="false">IF(CR1157&gt;0,CR1157*MAX(1,BA1157/X1157),IF(CA1157=1,IF(BA1157&lt;=0,0,CE1157*MAX(1,IF(H1157&gt;0,BA1157/H1157,1))),IF(R1157&gt;0,BB1157/R1157,0))/MAX(0.1,N(Parameter!$M$21)))</f>
        <v>0.0192307692307692</v>
      </c>
      <c r="BD1157" s="62" t="n">
        <f aca="false">BC1157*CC1157</f>
        <v>2.98076923076923</v>
      </c>
      <c r="BE1157" s="63" t="n">
        <f aca="false">IF(LEFT(Cockpit!$O$5,1)="A",H1157,IF(CI1157=1,(CL1157+CJ1157)/2,IF(LEFT(Cockpit!$O$5,1)="B",(CL1157+BG1157)/2,MAX((CL1157+BG1157)/2,H1157))))</f>
        <v>2.5</v>
      </c>
      <c r="BF1157" s="62" t="n">
        <f aca="false">BE1157*G1157</f>
        <v>284.425</v>
      </c>
      <c r="BG1157" s="62" t="n">
        <f aca="false">ROUNDUP(CL1157+MAX(CM1157,2*(J1157/IF(CH1157&gt;0,CH1157,MAX(0.1,N(Cockpit!$O$6)))-CL1157)),0)</f>
        <v>5</v>
      </c>
      <c r="BH1157" s="63" t="n">
        <f aca="false">IF(BD1157&gt;0,J1157/BD1157,-1)</f>
        <v>1.34193548387097</v>
      </c>
      <c r="BI1157" s="63" t="n">
        <f aca="false">IF(AND(OR(CG1157="L1",CG1157="L23",CG1157="LIFT"),BD1157&gt;0),SUMIFS($BD$7:$BD$1843,$CG$7:$CG$1843,CG1157,$BH$7:$BH$1843,"&gt;"&amp;BH1157)+SUMIFS($BD$7:$BD$1843,$CG$7:$CG$1843,CG1157,$BH$7:$BH$1843,BH1157,$BX$7:$BX$1843,"&lt;="&amp;BX1157),"")</f>
        <v>6825.33562271062</v>
      </c>
      <c r="BJ1157" s="70" t="n">
        <f aca="false">IF(BI1157="",0,MAX(0,MIN(1,(IF(CG1157="L1",Parameter!$H$5,IF(CG1157="L23",Parameter!$H$6+Parameter!$H$7,Parameter!$H$5+Parameter!$H$6+Parameter!$H$7))-(BI1157-BD1157))/BD1157)))</f>
        <v>1</v>
      </c>
      <c r="BK1157" s="60" t="str">
        <f aca="false">IF(AJ1157&lt;=0,"",IF(CG1157="Aussen","Aussenlager",IF(CG1157="-","Nicht im Lift",IF(AP1157&gt;=1,"Lift",IF(AP1157&lt;=0,"Aussenlager","teilweise")))))</f>
        <v>Lift</v>
      </c>
      <c r="BL1157" s="60" t="str">
        <f aca="false">IF(AT1157&lt;=0,"",IF(CG1157="Aussen","Aussenlager",IF(CG1157="-","Nicht im Lift",IF(AZ1157&gt;=1,"Lift",IF(AZ1157&lt;=0,"Aussenlager","teilweise")))))</f>
        <v>Lift</v>
      </c>
      <c r="BM1157" s="60" t="str">
        <f aca="false">IF(BD1157&lt;=0,"",IF(CG1157="Aussen","Aussenlager",IF(CG1157="-","Nicht im Lift",IF(BJ1157&gt;=1,"Lift",IF(BJ1157&lt;=0,"Aussenlager","teilweise")))))</f>
        <v>Lift</v>
      </c>
      <c r="BN1157" s="60" t="str">
        <f aca="false">IF(A1157="","",IF(BW1157=1,"Neu; ","")&amp;IF(AND(BW1157=0,BR1157&lt;0),"negativer Bestand (Export "&amp;BR1157&amp;"); ","")&amp;IF(J1157&lt;=0,"Kein Verbrauch; ","")&amp;IF(CR1157&gt;0,"Lift "&amp;W1157&amp;" lt. Liftbericht (Fach "&amp;X1157&amp;" Stk); ",IF(CB1157=1,"Gebinde geschätzt ("&amp;T1157&amp;"); ",IF(CA1157=1,"Lose – Tablare geschätzt; ","")))&amp;IF(H1157&gt;AW1157,"Überbestand "&amp;ROUND(H1157-AW1157,0)&amp;" Stk / CHF "&amp;ROUND((H1157-AW1157)*G1157,0)&amp;"; ","")&amp;IF(AND(CI1157=1,CJ1157&lt;CK1157),"MAX &lt; MB+LG; ","")&amp;IF(AND(CQ1157&gt;0,CP1157*10&gt;CQ1157),"zu hoch für Tablar; ","")&amp;IF(AND(BW1157=0,OR(CI1157=1,AB1157&lt;&gt;"",U1157&lt;&gt;"",V1157&lt;&gt;"",AC1157&lt;&gt;"")),"manuell übersteuert; ","")&amp;IF(AND(CA1157=0,R1157=0),"Gebinde unbekannt / Stellmass fehlt; ","")&amp;IF(AND(CA1157=0,N(V1157)&lt;=0,N(Q1157)&lt;=0),"Menge pro Gebinde fehlt (Ist = 1 Gebinde); ","")&amp;BV1157)</f>
        <v>negativer Bestand (Export -3); Überbestand 6 Stk / CHF 683; </v>
      </c>
      <c r="BO1157" s="60"/>
      <c r="BP1157" s="60"/>
      <c r="BQ1157" s="67"/>
      <c r="BR1157" s="62" t="n">
        <v>-3</v>
      </c>
      <c r="BS1157" s="62" t="n">
        <v>14</v>
      </c>
      <c r="BT1157" s="61" t="n">
        <v>-319.95</v>
      </c>
      <c r="BU1157" s="62" t="n">
        <v>4</v>
      </c>
      <c r="BV1157" s="60"/>
      <c r="BW1157" s="65" t="n">
        <v>0</v>
      </c>
      <c r="BX1157" s="65" t="n">
        <v>1157</v>
      </c>
      <c r="BY1157" s="60" t="str">
        <f aca="false">IF(U1157&lt;&gt;"",UPPER(TRIM(U1157)),IF(CB1157=1,UPPER(VLOOKUP(T1157,Parameter!$I$27:$K$29,2,0)),IF(P1157="","LOSE",P1157)))</f>
        <v>S41</v>
      </c>
      <c r="BZ1157" s="62" t="n">
        <f aca="false">IF(BY1157="LOSE",1,IF(N(V1157)&gt;0,V1157,IF(CB1157=1,MAX(1,N(VLOOKUP(T1157,Parameter!$I$27:$K$29,3,0)),H1157,N(N1157)),IF(N(Q1157)&gt;0,Q1157,MAX(1,H1157)))))</f>
        <v>16</v>
      </c>
      <c r="CA1157" s="65" t="n">
        <f aca="false">IF(BY1157="LOSE",1,0)</f>
        <v>0</v>
      </c>
      <c r="CB1157" s="65" t="n">
        <f aca="false">IF(AND(U1157="",OR(P1157="",P1157="LOSE"),T1157&lt;&gt;"",N(S1157)&lt;=0,ISNUMBER(MATCH(T1157,Parameter!$I$27:$I$29,0))),1,0)</f>
        <v>0</v>
      </c>
      <c r="CC1157" s="65" t="n">
        <f aca="false">IF(CR1157&gt;0,INDEX(Parameter!$H$5:$H$7,W1157)/INDEX(Parameter!$E$5:$E$7,W1157),IF(AND(CA1157=0,N(IFERROR(VLOOKUP(BY1157,'Gebinde-Kategorie'!$A$5:$N$45,14,0),0))&gt;0),VLOOKUP(BY1157,'Gebinde-Kategorie'!$A$5:$N$45,14,0)*10+Parameter!$M$23,Parameter!$M$24))</f>
        <v>155</v>
      </c>
      <c r="CD1157" s="60" t="str">
        <f aca="false">IF(AND(Parameter!$B$19="Ja",E1157&lt;&gt;"",ISNUMBER(MATCH(E1157,Parameter!$I$35:$I$52,0))),VLOOKUP(E1157,Parameter!$I$35:$J$52,2,0),IFERROR(VLOOKUP(D1157,Parameter!$A$35:$C$64,2,0),"Nein"))</f>
        <v>2+3</v>
      </c>
      <c r="CE1157" s="64" t="n">
        <f aca="false">IF(CA1157=0,0,IF(N(S1157)&gt;0,S1157,IFERROR(VLOOKUP(D1157,Parameter!$A$35:$C$64,3,0)+0,0)))</f>
        <v>0</v>
      </c>
      <c r="CF1157" s="60" t="n">
        <f aca="false">IF(AB1157&lt;&gt;"",AB1157,AA1157)</f>
        <v>3</v>
      </c>
      <c r="CG1157" s="60" t="str">
        <f aca="false">IF(OR(CF1157=1,CF1157=2,CF1157=3),IF(Parameter!$E$27="Ja","LIFT",IF(CF1157=1,"L1","L23")),IF(CF1157="Aussen","Aussen","-"))</f>
        <v>LIFT</v>
      </c>
      <c r="CH1157" s="71" t="n">
        <f aca="false">IF(N(AC1157)&gt;0,AC1157,0)</f>
        <v>0</v>
      </c>
      <c r="CI1157" s="65" t="n">
        <f aca="false">IF(ISNUMBER(AF1157),1,0)</f>
        <v>0</v>
      </c>
      <c r="CJ1157" s="62" t="n">
        <f aca="false">N(AF1157)</f>
        <v>0</v>
      </c>
      <c r="CK1157" s="62" t="n">
        <f aca="false">N(M1157)+N(N1157)</f>
        <v>5</v>
      </c>
      <c r="CL1157" s="62" t="n">
        <f aca="false">N(M1157)</f>
        <v>0</v>
      </c>
      <c r="CM1157" s="62" t="n">
        <f aca="false">N(N1157)</f>
        <v>5</v>
      </c>
      <c r="CN1157" s="62" t="n">
        <f aca="false">ROUNDUP(H1157/BZ1157,0)</f>
        <v>1</v>
      </c>
      <c r="CO1157" s="62" t="n">
        <f aca="false">ROUNDUP(CJ1157/BZ1157,0)</f>
        <v>0</v>
      </c>
      <c r="CP1157" s="65" t="n">
        <f aca="false">IF(CA1157=1,0,IFERROR(VLOOKUP(BY1157,'Gebinde-Kategorie'!$A$5:$N$45,5,0)+0,0))</f>
        <v>11</v>
      </c>
      <c r="CQ1157" s="65" t="n">
        <f aca="false">IFERROR(IF(OR(CF1157=1,CF1157=2,CF1157=3),N(INDEX(Parameter!$I$5:$I$7,CF1157)),0),0)</f>
        <v>0</v>
      </c>
      <c r="CR1157" s="64" t="n">
        <f aca="false">IF(AND(Parameter!$B$21="Ja",ISNUMBER(W1157),N(X1157)&gt;0),IFERROR(N(INDEX(Parameter!$L$5:$L$7,W1157))*INDEX(Parameter!$E$5:$E$7,W1157)*X1157/SUMIFS($X$7:$X$1843,$W$7:$W$1843,W1157),0),0)</f>
        <v>0</v>
      </c>
      <c r="CS1157" s="62" t="n">
        <f aca="false">IF(AND(OR(CG1157="L1",CG1157="L23",CG1157="LIFT"),H1157&gt;0),CC1157*IF(CR1157&gt;0,CR1157*MAX(1,H1157/X1157),IF(CA1157=1,CE1157,IF(R1157&gt;0,CN1157/R1157,0))/MAX(0.1,N(Parameter!$M$21))),"")</f>
        <v>2.98076923076923</v>
      </c>
      <c r="CT1157" s="64" t="n">
        <f aca="false">IF(CS1157="","",J1157/H1157)</f>
        <v>0.363636363636364</v>
      </c>
      <c r="CU1157" s="62" t="n">
        <f aca="false">IF(CS1157="","",H1157*G1157)</f>
        <v>1251.47</v>
      </c>
      <c r="CV1157" s="63" t="n">
        <f aca="false">IF(CS1157="","",(CL1157+ROUNDUP(CL1157+MAX(CM1157,2*(J1157/MAX(0.1,N(Einkauf!$C$6))-CL1157)),0))/2)</f>
        <v>2.5</v>
      </c>
      <c r="CW1157" s="62" t="n">
        <f aca="false">IF(CS1157="","",MAX(0,H1157-CV1157)*G1157)</f>
        <v>967.045</v>
      </c>
      <c r="CX1157" s="62" t="n">
        <f aca="false">IF(CS1157="","",CS1157*MAX(0,1-CV1157/H1157))</f>
        <v>2.30332167832168</v>
      </c>
      <c r="CY1157" s="64" t="n">
        <f aca="false">IF(CS1157="","",PERCENTRANK($CS$7:$CS$1843,CS1157)+PERCENTRANK($CU$7:$CU$1843,CU1157)+1-PERCENTRANK($CT$7:$CT$1843,CT1157))</f>
        <v>1.378</v>
      </c>
      <c r="CZ1157" s="72" t="n">
        <f aca="false">IF(CS1157="","",CHOOSE(MATCH(Einkauf!$C$5,Parameter!$G$23:$G$27,0),CY1157,CS1157,CU1157,-CT1157,CW1157)+ROW()/1000000000)</f>
        <v>1.378001157</v>
      </c>
    </row>
    <row r="1158" customFormat="false" ht="15" hidden="false" customHeight="false" outlineLevel="0" collapsed="false">
      <c r="A1158" s="60" t="s">
        <v>2132</v>
      </c>
      <c r="B1158" s="60" t="s">
        <v>1685</v>
      </c>
      <c r="C1158" s="60" t="s">
        <v>206</v>
      </c>
      <c r="D1158" s="60" t="s">
        <v>226</v>
      </c>
      <c r="E1158" s="60"/>
      <c r="F1158" s="60" t="s">
        <v>260</v>
      </c>
      <c r="G1158" s="61" t="n">
        <v>20</v>
      </c>
      <c r="H1158" s="62" t="n">
        <f aca="false">MAX(0,IF(AND(Parameter!$B$21="Ja",ISNUMBER(Y1158)),Y1158,IF(Parameter!$B$20="Jahresanfang 2025 + Export",BS1158+BR1158,BR1158)))</f>
        <v>0</v>
      </c>
      <c r="I1158" s="62" t="n">
        <f aca="false">H1158*G1158</f>
        <v>0</v>
      </c>
      <c r="J1158" s="62" t="n">
        <f aca="false">BU1158*Parameter!$B$18</f>
        <v>0</v>
      </c>
      <c r="K1158" s="63" t="n">
        <v>16</v>
      </c>
      <c r="L1158" s="64" t="n">
        <v>0</v>
      </c>
      <c r="M1158" s="62" t="n">
        <v>0</v>
      </c>
      <c r="N1158" s="62" t="n">
        <v>1</v>
      </c>
      <c r="O1158" s="65" t="n">
        <v>35</v>
      </c>
      <c r="P1158" s="60" t="s">
        <v>210</v>
      </c>
      <c r="Q1158" s="62"/>
      <c r="R1158" s="65" t="n">
        <f aca="false">IF(CA1158=1,0,IFERROR(VLOOKUP(BY1158,'Gebinde-Kategorie'!$A$5:$N$45,13,0)+0,0))</f>
        <v>26</v>
      </c>
      <c r="S1158" s="66"/>
      <c r="T1158" s="67" t="s">
        <v>317</v>
      </c>
      <c r="U1158" s="67"/>
      <c r="V1158" s="67"/>
      <c r="W1158" s="60"/>
      <c r="X1158" s="62"/>
      <c r="Y1158" s="62"/>
      <c r="Z1158" s="60" t="n">
        <v>3</v>
      </c>
      <c r="AA1158" s="60" t="n">
        <f aca="false">IF(A1158="","",IF(AND(Parameter!$B$21="Ja",ISNUMBER(W1158)),W1158,IF(AND(Parameter!$E$27="Ja",ISNUMBER(Z1158),CD1158&lt;&gt;"Nein"),Z1158,IF(CD1158="2+3",IF(ISNUMBER(SEARCH("grosser Artikel",BV1158)),2,IFERROR(VLOOKUP(BY1158,Parameter!$F$35:$G$64,2,0),2)),IF(OR(CD1158="Nein",CD1158=""),"-",CD1158)))))</f>
        <v>3</v>
      </c>
      <c r="AB1158" s="67"/>
      <c r="AC1158" s="68"/>
      <c r="AD1158" s="62" t="n">
        <f aca="false">AW1158</f>
        <v>1</v>
      </c>
      <c r="AE1158" s="62" t="n">
        <f aca="false">MAX(AW1158,H1158)</f>
        <v>1</v>
      </c>
      <c r="AF1158" s="69"/>
      <c r="AG1158" s="62" t="n">
        <f aca="false">IF(LEFT(Cockpit!$C$5,1)="A",H1158,IF(Parameter!$E$30="MAX-Bestand",IF(CI1158=1,CJ1158,IF(LEFT(Cockpit!$C$5,1)="B",AM1158,MAX(AM1158,H1158))),ROUNDUP(AK1158,0)))</f>
        <v>0</v>
      </c>
      <c r="AH1158" s="62" t="n">
        <f aca="false">IF(CA1158=1,0,ROUNDUP(AG1158/BZ1158,0))</f>
        <v>0</v>
      </c>
      <c r="AI1158" s="64" t="n">
        <f aca="false">IF(CR1158&gt;0,CR1158*MAX(1,AG1158/X1158),IF(CA1158=1,IF(AG1158&lt;=0,0,CE1158*MAX(1,IF(H1158&gt;0,AG1158/H1158,1))),IF(R1158&gt;0,AH1158/R1158,0))/MAX(0.1,N(Parameter!$M$21)))</f>
        <v>0</v>
      </c>
      <c r="AJ1158" s="62" t="n">
        <f aca="false">AI1158*CC1158</f>
        <v>0</v>
      </c>
      <c r="AK1158" s="63" t="n">
        <f aca="false">IF(LEFT(Cockpit!$C$5,1)="A",H1158,IF(CI1158=1,(CL1158+CJ1158)/2,IF(LEFT(Cockpit!$C$5,1)="B",(CL1158+AM1158)/2,MAX((CL1158+AM1158)/2,H1158))))</f>
        <v>0</v>
      </c>
      <c r="AL1158" s="62" t="n">
        <f aca="false">AK1158*G1158</f>
        <v>0</v>
      </c>
      <c r="AM1158" s="62" t="n">
        <f aca="false">ROUNDUP(CL1158+MAX(CM1158,2*(J1158/IF(CH1158&gt;0,CH1158,MAX(0.1,N(Cockpit!$C$6)))-CL1158)),0)</f>
        <v>1</v>
      </c>
      <c r="AN1158" s="63" t="n">
        <f aca="false">IF(AJ1158&gt;0,J1158/AJ1158,-1)</f>
        <v>-1</v>
      </c>
      <c r="AO1158" s="63" t="str">
        <f aca="false">IF(AND(OR(CG1158="L1",CG1158="L23",CG1158="LIFT"),AJ1158&gt;0),SUMIFS($AJ$7:$AJ$1843,$CG$7:$CG$1843,CG1158,$AN$7:$AN$1843,"&gt;"&amp;AN1158)+SUMIFS($AJ$7:$AJ$1843,$CG$7:$CG$1843,CG1158,$AN$7:$AN$1843,AN1158,$BX$7:$BX$1843,"&lt;="&amp;BX1158),"")</f>
        <v/>
      </c>
      <c r="AP1158" s="70" t="n">
        <f aca="false">IF(AO1158="",0,MAX(0,MIN(1,(IF(CG1158="L1",Parameter!$H$5,IF(CG1158="L23",Parameter!$H$6+Parameter!$H$7,Parameter!$H$5+Parameter!$H$6+Parameter!$H$7))-(AO1158-AJ1158))/AJ1158)))</f>
        <v>0</v>
      </c>
      <c r="AQ1158" s="62" t="n">
        <f aca="false">IF(LEFT(Cockpit!$I$5,1)="A",H1158,IF(Parameter!$E$30="MAX-Bestand",IF(CI1158=1,CJ1158,IF(LEFT(Cockpit!$I$5,1)="B",AW1158,MAX(AW1158,H1158))),ROUNDUP(AU1158,0)))</f>
        <v>1</v>
      </c>
      <c r="AR1158" s="62" t="n">
        <f aca="false">IF(CA1158=1,0,ROUNDUP(AQ1158/BZ1158,0))</f>
        <v>1</v>
      </c>
      <c r="AS1158" s="64" t="n">
        <f aca="false">IF(CR1158&gt;0,CR1158*MAX(1,AQ1158/X1158),IF(CA1158=1,IF(AQ1158&lt;=0,0,CE1158*MAX(1,IF(H1158&gt;0,AQ1158/H1158,1))),IF(R1158&gt;0,AR1158/R1158,0))/MAX(0.1,N(Parameter!$M$21)))</f>
        <v>0.0384615384615385</v>
      </c>
      <c r="AT1158" s="62" t="n">
        <f aca="false">AS1158*CC1158</f>
        <v>5.96153846153846</v>
      </c>
      <c r="AU1158" s="63" t="n">
        <f aca="false">IF(LEFT(Cockpit!$I$5,1)="A",H1158,IF(CI1158=1,(CL1158+CJ1158)/2,IF(LEFT(Cockpit!$I$5,1)="B",(CL1158+AW1158)/2,MAX((CL1158+AW1158)/2,H1158))))</f>
        <v>0.5</v>
      </c>
      <c r="AV1158" s="62" t="n">
        <f aca="false">AU1158*G1158</f>
        <v>10</v>
      </c>
      <c r="AW1158" s="62" t="n">
        <f aca="false">ROUNDUP(CL1158+MAX(CM1158,2*(J1158/IF(CH1158&gt;0,CH1158,MAX(0.1,N(Cockpit!$I$6)))-CL1158)),0)</f>
        <v>1</v>
      </c>
      <c r="AX1158" s="63" t="n">
        <f aca="false">IF(AT1158&gt;0,J1158/AT1158,-1)</f>
        <v>0</v>
      </c>
      <c r="AY1158" s="63" t="n">
        <f aca="false">IF(AND(OR(CG1158="L1",CG1158="L23",CG1158="LIFT"),AT1158&gt;0),SUMIFS($AT$7:$AT$1843,$CG$7:$CG$1843,CG1158,$AX$7:$AX$1843,"&gt;"&amp;AX1158)+SUMIFS($AT$7:$AT$1843,$CG$7:$CG$1843,CG1158,$AX$7:$AX$1843,AX1158,$BX$7:$BX$1843,"&lt;="&amp;BX1158),"")</f>
        <v>35163.6945970696</v>
      </c>
      <c r="AZ1158" s="70" t="n">
        <f aca="false">IF(AY1158="",0,MAX(0,MIN(1,(IF(CG1158="L1",Parameter!$H$5,IF(CG1158="L23",Parameter!$H$6+Parameter!$H$7,Parameter!$H$5+Parameter!$H$6+Parameter!$H$7))-(AY1158-AT1158))/AT1158)))</f>
        <v>1</v>
      </c>
      <c r="BA1158" s="62" t="n">
        <f aca="false">IF(LEFT(Cockpit!$O$5,1)="A",H1158,IF(Parameter!$E$30="MAX-Bestand",IF(CI1158=1,CJ1158,IF(LEFT(Cockpit!$O$5,1)="B",BG1158,MAX(BG1158,H1158))),ROUNDUP(BE1158,0)))</f>
        <v>1</v>
      </c>
      <c r="BB1158" s="62" t="n">
        <f aca="false">IF(CA1158=1,0,ROUNDUP(BA1158/BZ1158,0))</f>
        <v>1</v>
      </c>
      <c r="BC1158" s="64" t="n">
        <f aca="false">IF(CR1158&gt;0,CR1158*MAX(1,BA1158/X1158),IF(CA1158=1,IF(BA1158&lt;=0,0,CE1158*MAX(1,IF(H1158&gt;0,BA1158/H1158,1))),IF(R1158&gt;0,BB1158/R1158,0))/MAX(0.1,N(Parameter!$M$21)))</f>
        <v>0.0384615384615385</v>
      </c>
      <c r="BD1158" s="62" t="n">
        <f aca="false">BC1158*CC1158</f>
        <v>5.96153846153846</v>
      </c>
      <c r="BE1158" s="63" t="n">
        <f aca="false">IF(LEFT(Cockpit!$O$5,1)="A",H1158,IF(CI1158=1,(CL1158+CJ1158)/2,IF(LEFT(Cockpit!$O$5,1)="B",(CL1158+BG1158)/2,MAX((CL1158+BG1158)/2,H1158))))</f>
        <v>0.5</v>
      </c>
      <c r="BF1158" s="62" t="n">
        <f aca="false">BE1158*G1158</f>
        <v>10</v>
      </c>
      <c r="BG1158" s="62" t="n">
        <f aca="false">ROUNDUP(CL1158+MAX(CM1158,2*(J1158/IF(CH1158&gt;0,CH1158,MAX(0.1,N(Cockpit!$O$6)))-CL1158)),0)</f>
        <v>1</v>
      </c>
      <c r="BH1158" s="63" t="n">
        <f aca="false">IF(BD1158&gt;0,J1158/BD1158,-1)</f>
        <v>0</v>
      </c>
      <c r="BI1158" s="63" t="n">
        <f aca="false">IF(AND(OR(CG1158="L1",CG1158="L23",CG1158="LIFT"),BD1158&gt;0),SUMIFS($BD$7:$BD$1843,$CG$7:$CG$1843,CG1158,$BH$7:$BH$1843,"&gt;"&amp;BH1158)+SUMIFS($BD$7:$BD$1843,$CG$7:$CG$1843,CG1158,$BH$7:$BH$1843,BH1158,$BX$7:$BX$1843,"&lt;="&amp;BX1158),"")</f>
        <v>29149.0012572174</v>
      </c>
      <c r="BJ1158" s="70" t="n">
        <f aca="false">IF(BI1158="",0,MAX(0,MIN(1,(IF(CG1158="L1",Parameter!$H$5,IF(CG1158="L23",Parameter!$H$6+Parameter!$H$7,Parameter!$H$5+Parameter!$H$6+Parameter!$H$7))-(BI1158-BD1158))/BD1158)))</f>
        <v>1</v>
      </c>
      <c r="BK1158" s="60" t="str">
        <f aca="false">IF(AJ1158&lt;=0,"",IF(CG1158="Aussen","Aussenlager",IF(CG1158="-","Nicht im Lift",IF(AP1158&gt;=1,"Lift",IF(AP1158&lt;=0,"Aussenlager","teilweise")))))</f>
        <v/>
      </c>
      <c r="BL1158" s="60" t="str">
        <f aca="false">IF(AT1158&lt;=0,"",IF(CG1158="Aussen","Aussenlager",IF(CG1158="-","Nicht im Lift",IF(AZ1158&gt;=1,"Lift",IF(AZ1158&lt;=0,"Aussenlager","teilweise")))))</f>
        <v>Lift</v>
      </c>
      <c r="BM1158" s="60" t="str">
        <f aca="false">IF(BD1158&lt;=0,"",IF(CG1158="Aussen","Aussenlager",IF(CG1158="-","Nicht im Lift",IF(BJ1158&gt;=1,"Lift",IF(BJ1158&lt;=0,"Aussenlager","teilweise")))))</f>
        <v>Lift</v>
      </c>
      <c r="BN1158" s="60" t="str">
        <f aca="false">IF(A1158="","",IF(BW1158=1,"Neu; ","")&amp;IF(AND(BW1158=0,BR1158&lt;0),"negativer Bestand (Export "&amp;BR1158&amp;"); ","")&amp;IF(J1158&lt;=0,"Kein Verbrauch; ","")&amp;IF(CR1158&gt;0,"Lift "&amp;W1158&amp;" lt. Liftbericht (Fach "&amp;X1158&amp;" Stk); ",IF(CB1158=1,"Gebinde geschätzt ("&amp;T1158&amp;"); ",IF(CA1158=1,"Lose – Tablare geschätzt; ","")))&amp;IF(H1158&gt;AW1158,"Überbestand "&amp;ROUND(H1158-AW1158,0)&amp;" Stk / CHF "&amp;ROUND((H1158-AW1158)*G1158,0)&amp;"; ","")&amp;IF(AND(CI1158=1,CJ1158&lt;CK1158),"MAX &lt; MB+LG; ","")&amp;IF(AND(CQ1158&gt;0,CP1158*10&gt;CQ1158),"zu hoch für Tablar; ","")&amp;IF(AND(BW1158=0,OR(CI1158=1,AB1158&lt;&gt;"",U1158&lt;&gt;"",V1158&lt;&gt;"",AC1158&lt;&gt;"")),"manuell übersteuert; ","")&amp;IF(AND(CA1158=0,R1158=0),"Gebinde unbekannt / Stellmass fehlt; ","")&amp;IF(AND(CA1158=0,N(V1158)&lt;=0,N(Q1158)&lt;=0),"Menge pro Gebinde fehlt (Ist = 1 Gebinde); ","")&amp;BV1158)</f>
        <v>negativer Bestand (Export -16); Kein Verbrauch; Gebinde geschätzt (Klein); Menge pro Gebinde fehlt (Ist = 1 Gebinde); </v>
      </c>
      <c r="BO1158" s="60"/>
      <c r="BP1158" s="60"/>
      <c r="BQ1158" s="67"/>
      <c r="BR1158" s="62" t="n">
        <v>-16</v>
      </c>
      <c r="BS1158" s="62" t="n">
        <v>16</v>
      </c>
      <c r="BT1158" s="61" t="n">
        <v>-320</v>
      </c>
      <c r="BU1158" s="62" t="n">
        <v>0</v>
      </c>
      <c r="BV1158" s="60"/>
      <c r="BW1158" s="65" t="n">
        <v>0</v>
      </c>
      <c r="BX1158" s="65" t="n">
        <v>1158</v>
      </c>
      <c r="BY1158" s="60" t="str">
        <f aca="false">IF(U1158&lt;&gt;"",UPPER(TRIM(U1158)),IF(CB1158=1,UPPER(VLOOKUP(T1158,Parameter!$I$27:$K$29,2,0)),IF(P1158="","LOSE",P1158)))</f>
        <v>S51</v>
      </c>
      <c r="BZ1158" s="62" t="n">
        <f aca="false">IF(BY1158="LOSE",1,IF(N(V1158)&gt;0,V1158,IF(CB1158=1,MAX(1,N(VLOOKUP(T1158,Parameter!$I$27:$K$29,3,0)),H1158,N(N1158)),IF(N(Q1158)&gt;0,Q1158,MAX(1,H1158)))))</f>
        <v>20</v>
      </c>
      <c r="CA1158" s="65" t="n">
        <f aca="false">IF(BY1158="LOSE",1,0)</f>
        <v>0</v>
      </c>
      <c r="CB1158" s="65" t="n">
        <f aca="false">IF(AND(U1158="",OR(P1158="",P1158="LOSE"),T1158&lt;&gt;"",N(S1158)&lt;=0,ISNUMBER(MATCH(T1158,Parameter!$I$27:$I$29,0))),1,0)</f>
        <v>1</v>
      </c>
      <c r="CC1158" s="65" t="n">
        <f aca="false">IF(CR1158&gt;0,INDEX(Parameter!$H$5:$H$7,W1158)/INDEX(Parameter!$E$5:$E$7,W1158),IF(AND(CA1158=0,N(IFERROR(VLOOKUP(BY1158,'Gebinde-Kategorie'!$A$5:$N$45,14,0),0))&gt;0),VLOOKUP(BY1158,'Gebinde-Kategorie'!$A$5:$N$45,14,0)*10+Parameter!$M$23,Parameter!$M$24))</f>
        <v>155</v>
      </c>
      <c r="CD1158" s="60" t="str">
        <f aca="false">IF(AND(Parameter!$B$19="Ja",E1158&lt;&gt;"",ISNUMBER(MATCH(E1158,Parameter!$I$35:$I$52,0))),VLOOKUP(E1158,Parameter!$I$35:$J$52,2,0),IFERROR(VLOOKUP(D1158,Parameter!$A$35:$C$64,2,0),"Nein"))</f>
        <v>2+3</v>
      </c>
      <c r="CE1158" s="64" t="n">
        <f aca="false">IF(CA1158=0,0,IF(N(S1158)&gt;0,S1158,IFERROR(VLOOKUP(D1158,Parameter!$A$35:$C$64,3,0)+0,0)))</f>
        <v>0</v>
      </c>
      <c r="CF1158" s="60" t="n">
        <f aca="false">IF(AB1158&lt;&gt;"",AB1158,AA1158)</f>
        <v>3</v>
      </c>
      <c r="CG1158" s="60" t="str">
        <f aca="false">IF(OR(CF1158=1,CF1158=2,CF1158=3),IF(Parameter!$E$27="Ja","LIFT",IF(CF1158=1,"L1","L23")),IF(CF1158="Aussen","Aussen","-"))</f>
        <v>LIFT</v>
      </c>
      <c r="CH1158" s="71" t="n">
        <f aca="false">IF(N(AC1158)&gt;0,AC1158,0)</f>
        <v>0</v>
      </c>
      <c r="CI1158" s="65" t="n">
        <f aca="false">IF(ISNUMBER(AF1158),1,0)</f>
        <v>0</v>
      </c>
      <c r="CJ1158" s="62" t="n">
        <f aca="false">N(AF1158)</f>
        <v>0</v>
      </c>
      <c r="CK1158" s="62" t="n">
        <f aca="false">N(M1158)+N(N1158)</f>
        <v>1</v>
      </c>
      <c r="CL1158" s="62" t="n">
        <f aca="false">N(M1158)</f>
        <v>0</v>
      </c>
      <c r="CM1158" s="62" t="n">
        <f aca="false">N(N1158)</f>
        <v>1</v>
      </c>
      <c r="CN1158" s="62" t="n">
        <f aca="false">ROUNDUP(H1158/BZ1158,0)</f>
        <v>0</v>
      </c>
      <c r="CO1158" s="62" t="n">
        <f aca="false">ROUNDUP(CJ1158/BZ1158,0)</f>
        <v>0</v>
      </c>
      <c r="CP1158" s="65" t="n">
        <f aca="false">IF(CA1158=1,0,IFERROR(VLOOKUP(BY1158,'Gebinde-Kategorie'!$A$5:$N$45,5,0)+0,0))</f>
        <v>11</v>
      </c>
      <c r="CQ1158" s="65" t="n">
        <f aca="false">IFERROR(IF(OR(CF1158=1,CF1158=2,CF1158=3),N(INDEX(Parameter!$I$5:$I$7,CF1158)),0),0)</f>
        <v>0</v>
      </c>
      <c r="CR1158" s="64" t="n">
        <f aca="false">IF(AND(Parameter!$B$21="Ja",ISNUMBER(W1158),N(X1158)&gt;0),IFERROR(N(INDEX(Parameter!$L$5:$L$7,W1158))*INDEX(Parameter!$E$5:$E$7,W1158)*X1158/SUMIFS($X$7:$X$1843,$W$7:$W$1843,W1158),0),0)</f>
        <v>0</v>
      </c>
      <c r="CS1158" s="62" t="str">
        <f aca="false">IF(AND(OR(CG1158="L1",CG1158="L23",CG1158="LIFT"),H1158&gt;0),CC1158*IF(CR1158&gt;0,CR1158*MAX(1,H1158/X1158),IF(CA1158=1,CE1158,IF(R1158&gt;0,CN1158/R1158,0))/MAX(0.1,N(Parameter!$M$21))),"")</f>
        <v/>
      </c>
      <c r="CT1158" s="64" t="str">
        <f aca="false">IF(CS1158="","",J1158/H1158)</f>
        <v/>
      </c>
      <c r="CU1158" s="62" t="str">
        <f aca="false">IF(CS1158="","",H1158*G1158)</f>
        <v/>
      </c>
      <c r="CV1158" s="63" t="str">
        <f aca="false">IF(CS1158="","",(CL1158+ROUNDUP(CL1158+MAX(CM1158,2*(J1158/MAX(0.1,N(Einkauf!$C$6))-CL1158)),0))/2)</f>
        <v/>
      </c>
      <c r="CW1158" s="62" t="str">
        <f aca="false">IF(CS1158="","",MAX(0,H1158-CV1158)*G1158)</f>
        <v/>
      </c>
      <c r="CX1158" s="62" t="str">
        <f aca="false">IF(CS1158="","",CS1158*MAX(0,1-CV1158/H1158))</f>
        <v/>
      </c>
      <c r="CY1158" s="64" t="str">
        <f aca="false">IF(CS1158="","",PERCENTRANK($CS$7:$CS$1843,CS1158)+PERCENTRANK($CU$7:$CU$1843,CU1158)+1-PERCENTRANK($CT$7:$CT$1843,CT1158))</f>
        <v/>
      </c>
      <c r="CZ1158" s="72" t="str">
        <f aca="false">IF(CS1158="","",CHOOSE(MATCH(Einkauf!$C$5,Parameter!$G$23:$G$27,0),CY1158,CS1158,CU1158,-CT1158,CW1158)+ROW()/1000000000)</f>
        <v/>
      </c>
    </row>
    <row r="1159" customFormat="false" ht="15" hidden="false" customHeight="false" outlineLevel="0" collapsed="false">
      <c r="A1159" s="60" t="s">
        <v>2133</v>
      </c>
      <c r="B1159" s="60" t="s">
        <v>482</v>
      </c>
      <c r="C1159" s="60" t="s">
        <v>206</v>
      </c>
      <c r="D1159" s="60" t="s">
        <v>226</v>
      </c>
      <c r="E1159" s="60" t="s">
        <v>227</v>
      </c>
      <c r="F1159" s="60" t="s">
        <v>260</v>
      </c>
      <c r="G1159" s="61" t="n">
        <v>107</v>
      </c>
      <c r="H1159" s="62" t="n">
        <f aca="false">MAX(0,IF(AND(Parameter!$B$21="Ja",ISNUMBER(Y1159)),Y1159,IF(Parameter!$B$20="Jahresanfang 2025 + Export",BS1159+BR1159,BR1159)))</f>
        <v>16</v>
      </c>
      <c r="I1159" s="62" t="n">
        <f aca="false">H1159*G1159</f>
        <v>1712</v>
      </c>
      <c r="J1159" s="62" t="n">
        <f aca="false">BU1159*Parameter!$B$18</f>
        <v>8</v>
      </c>
      <c r="K1159" s="63" t="n">
        <v>17</v>
      </c>
      <c r="L1159" s="64" t="n">
        <v>0.470588235294118</v>
      </c>
      <c r="M1159" s="62" t="n">
        <v>1</v>
      </c>
      <c r="N1159" s="62" t="n">
        <v>10</v>
      </c>
      <c r="O1159" s="65" t="n">
        <v>84</v>
      </c>
      <c r="P1159" s="60" t="s">
        <v>275</v>
      </c>
      <c r="Q1159" s="62" t="n">
        <v>50</v>
      </c>
      <c r="R1159" s="65" t="n">
        <f aca="false">IF(CA1159=1,0,IFERROR(VLOOKUP(BY1159,'Gebinde-Kategorie'!$A$5:$N$45,13,0)+0,0))</f>
        <v>26</v>
      </c>
      <c r="S1159" s="66"/>
      <c r="T1159" s="67"/>
      <c r="U1159" s="67"/>
      <c r="V1159" s="67"/>
      <c r="W1159" s="60"/>
      <c r="X1159" s="62"/>
      <c r="Y1159" s="62"/>
      <c r="Z1159" s="60" t="n">
        <v>3</v>
      </c>
      <c r="AA1159" s="60" t="n">
        <f aca="false">IF(A1159="","",IF(AND(Parameter!$B$21="Ja",ISNUMBER(W1159)),W1159,IF(AND(Parameter!$E$27="Ja",ISNUMBER(Z1159),CD1159&lt;&gt;"Nein"),Z1159,IF(CD1159="2+3",IF(ISNUMBER(SEARCH("grosser Artikel",BV1159)),2,IFERROR(VLOOKUP(BY1159,Parameter!$F$35:$G$64,2,0),2)),IF(OR(CD1159="Nein",CD1159=""),"-",CD1159)))))</f>
        <v>3</v>
      </c>
      <c r="AB1159" s="67"/>
      <c r="AC1159" s="68"/>
      <c r="AD1159" s="62" t="n">
        <f aca="false">AW1159</f>
        <v>11</v>
      </c>
      <c r="AE1159" s="62" t="n">
        <f aca="false">MAX(AW1159,H1159)</f>
        <v>16</v>
      </c>
      <c r="AF1159" s="69"/>
      <c r="AG1159" s="62" t="n">
        <f aca="false">IF(LEFT(Cockpit!$C$5,1)="A",H1159,IF(Parameter!$E$30="MAX-Bestand",IF(CI1159=1,CJ1159,IF(LEFT(Cockpit!$C$5,1)="B",AM1159,MAX(AM1159,H1159))),ROUNDUP(AK1159,0)))</f>
        <v>16</v>
      </c>
      <c r="AH1159" s="62" t="n">
        <f aca="false">IF(CA1159=1,0,ROUNDUP(AG1159/BZ1159,0))</f>
        <v>1</v>
      </c>
      <c r="AI1159" s="64" t="n">
        <f aca="false">IF(CR1159&gt;0,CR1159*MAX(1,AG1159/X1159),IF(CA1159=1,IF(AG1159&lt;=0,0,CE1159*MAX(1,IF(H1159&gt;0,AG1159/H1159,1))),IF(R1159&gt;0,AH1159/R1159,0))/MAX(0.1,N(Parameter!$M$21)))</f>
        <v>0.0384615384615385</v>
      </c>
      <c r="AJ1159" s="62" t="n">
        <f aca="false">AI1159*CC1159</f>
        <v>9.42307692307692</v>
      </c>
      <c r="AK1159" s="63" t="n">
        <f aca="false">IF(LEFT(Cockpit!$C$5,1)="A",H1159,IF(CI1159=1,(CL1159+CJ1159)/2,IF(LEFT(Cockpit!$C$5,1)="B",(CL1159+AM1159)/2,MAX((CL1159+AM1159)/2,H1159))))</f>
        <v>16</v>
      </c>
      <c r="AL1159" s="62" t="n">
        <f aca="false">AK1159*G1159</f>
        <v>1712</v>
      </c>
      <c r="AM1159" s="62" t="n">
        <f aca="false">ROUNDUP(CL1159+MAX(CM1159,2*(J1159/IF(CH1159&gt;0,CH1159,MAX(0.1,N(Cockpit!$C$6)))-CL1159)),0)</f>
        <v>11</v>
      </c>
      <c r="AN1159" s="63" t="n">
        <f aca="false">IF(AJ1159&gt;0,J1159/AJ1159,-1)</f>
        <v>0.848979591836735</v>
      </c>
      <c r="AO1159" s="63" t="n">
        <f aca="false">IF(AND(OR(CG1159="L1",CG1159="L23",CG1159="LIFT"),AJ1159&gt;0),SUMIFS($AJ$7:$AJ$1843,$CG$7:$CG$1843,CG1159,$AN$7:$AN$1843,"&gt;"&amp;AN1159)+SUMIFS($AJ$7:$AJ$1843,$CG$7:$CG$1843,CG1159,$AN$7:$AN$1843,AN1159,$BX$7:$BX$1843,"&lt;="&amp;BX1159),"")</f>
        <v>7833.61217948718</v>
      </c>
      <c r="AP1159" s="70" t="n">
        <f aca="false">IF(AO1159="",0,MAX(0,MIN(1,(IF(CG1159="L1",Parameter!$H$5,IF(CG1159="L23",Parameter!$H$6+Parameter!$H$7,Parameter!$H$5+Parameter!$H$6+Parameter!$H$7))-(AO1159-AJ1159))/AJ1159)))</f>
        <v>1</v>
      </c>
      <c r="AQ1159" s="62" t="n">
        <f aca="false">IF(LEFT(Cockpit!$I$5,1)="A",H1159,IF(Parameter!$E$30="MAX-Bestand",IF(CI1159=1,CJ1159,IF(LEFT(Cockpit!$I$5,1)="B",AW1159,MAX(AW1159,H1159))),ROUNDUP(AU1159,0)))</f>
        <v>16</v>
      </c>
      <c r="AR1159" s="62" t="n">
        <f aca="false">IF(CA1159=1,0,ROUNDUP(AQ1159/BZ1159,0))</f>
        <v>1</v>
      </c>
      <c r="AS1159" s="64" t="n">
        <f aca="false">IF(CR1159&gt;0,CR1159*MAX(1,AQ1159/X1159),IF(CA1159=1,IF(AQ1159&lt;=0,0,CE1159*MAX(1,IF(H1159&gt;0,AQ1159/H1159,1))),IF(R1159&gt;0,AR1159/R1159,0))/MAX(0.1,N(Parameter!$M$21)))</f>
        <v>0.0384615384615385</v>
      </c>
      <c r="AT1159" s="62" t="n">
        <f aca="false">AS1159*CC1159</f>
        <v>9.42307692307692</v>
      </c>
      <c r="AU1159" s="63" t="n">
        <f aca="false">IF(LEFT(Cockpit!$I$5,1)="A",H1159,IF(CI1159=1,(CL1159+CJ1159)/2,IF(LEFT(Cockpit!$I$5,1)="B",(CL1159+AW1159)/2,MAX((CL1159+AW1159)/2,H1159))))</f>
        <v>16</v>
      </c>
      <c r="AV1159" s="62" t="n">
        <f aca="false">AU1159*G1159</f>
        <v>1712</v>
      </c>
      <c r="AW1159" s="62" t="n">
        <f aca="false">ROUNDUP(CL1159+MAX(CM1159,2*(J1159/IF(CH1159&gt;0,CH1159,MAX(0.1,N(Cockpit!$I$6)))-CL1159)),0)</f>
        <v>11</v>
      </c>
      <c r="AX1159" s="63" t="n">
        <f aca="false">IF(AT1159&gt;0,J1159/AT1159,-1)</f>
        <v>0.848979591836735</v>
      </c>
      <c r="AY1159" s="63" t="n">
        <f aca="false">IF(AND(OR(CG1159="L1",CG1159="L23",CG1159="LIFT"),AT1159&gt;0),SUMIFS($AT$7:$AT$1843,$CG$7:$CG$1843,CG1159,$AX$7:$AX$1843,"&gt;"&amp;AX1159)+SUMIFS($AT$7:$AT$1843,$CG$7:$CG$1843,CG1159,$AX$7:$AX$1843,AX1159,$BX$7:$BX$1843,"&lt;="&amp;BX1159),"")</f>
        <v>9583.0521978022</v>
      </c>
      <c r="AZ1159" s="70" t="n">
        <f aca="false">IF(AY1159="",0,MAX(0,MIN(1,(IF(CG1159="L1",Parameter!$H$5,IF(CG1159="L23",Parameter!$H$6+Parameter!$H$7,Parameter!$H$5+Parameter!$H$6+Parameter!$H$7))-(AY1159-AT1159))/AT1159)))</f>
        <v>1</v>
      </c>
      <c r="BA1159" s="62" t="n">
        <f aca="false">IF(LEFT(Cockpit!$O$5,1)="A",H1159,IF(Parameter!$E$30="MAX-Bestand",IF(CI1159=1,CJ1159,IF(LEFT(Cockpit!$O$5,1)="B",BG1159,MAX(BG1159,H1159))),ROUNDUP(BE1159,0)))</f>
        <v>6</v>
      </c>
      <c r="BB1159" s="62" t="n">
        <f aca="false">IF(CA1159=1,0,ROUNDUP(BA1159/BZ1159,0))</f>
        <v>1</v>
      </c>
      <c r="BC1159" s="64" t="n">
        <f aca="false">IF(CR1159&gt;0,CR1159*MAX(1,BA1159/X1159),IF(CA1159=1,IF(BA1159&lt;=0,0,CE1159*MAX(1,IF(H1159&gt;0,BA1159/H1159,1))),IF(R1159&gt;0,BB1159/R1159,0))/MAX(0.1,N(Parameter!$M$21)))</f>
        <v>0.0384615384615385</v>
      </c>
      <c r="BD1159" s="62" t="n">
        <f aca="false">BC1159*CC1159</f>
        <v>9.42307692307692</v>
      </c>
      <c r="BE1159" s="63" t="n">
        <f aca="false">IF(LEFT(Cockpit!$O$5,1)="A",H1159,IF(CI1159=1,(CL1159+CJ1159)/2,IF(LEFT(Cockpit!$O$5,1)="B",(CL1159+BG1159)/2,MAX((CL1159+BG1159)/2,H1159))))</f>
        <v>6</v>
      </c>
      <c r="BF1159" s="62" t="n">
        <f aca="false">BE1159*G1159</f>
        <v>642</v>
      </c>
      <c r="BG1159" s="62" t="n">
        <f aca="false">ROUNDUP(CL1159+MAX(CM1159,2*(J1159/IF(CH1159&gt;0,CH1159,MAX(0.1,N(Cockpit!$O$6)))-CL1159)),0)</f>
        <v>11</v>
      </c>
      <c r="BH1159" s="63" t="n">
        <f aca="false">IF(BD1159&gt;0,J1159/BD1159,-1)</f>
        <v>0.848979591836735</v>
      </c>
      <c r="BI1159" s="63" t="n">
        <f aca="false">IF(AND(OR(CG1159="L1",CG1159="L23",CG1159="LIFT"),BD1159&gt;0),SUMIFS($BD$7:$BD$1843,$CG$7:$CG$1843,CG1159,$BH$7:$BH$1843,"&gt;"&amp;BH1159)+SUMIFS($BD$7:$BD$1843,$CG$7:$CG$1843,CG1159,$BH$7:$BH$1843,BH1159,$BX$7:$BX$1843,"&lt;="&amp;BX1159),"")</f>
        <v>8550.0902014652</v>
      </c>
      <c r="BJ1159" s="70" t="n">
        <f aca="false">IF(BI1159="",0,MAX(0,MIN(1,(IF(CG1159="L1",Parameter!$H$5,IF(CG1159="L23",Parameter!$H$6+Parameter!$H$7,Parameter!$H$5+Parameter!$H$6+Parameter!$H$7))-(BI1159-BD1159))/BD1159)))</f>
        <v>1</v>
      </c>
      <c r="BK1159" s="60" t="str">
        <f aca="false">IF(AJ1159&lt;=0,"",IF(CG1159="Aussen","Aussenlager",IF(CG1159="-","Nicht im Lift",IF(AP1159&gt;=1,"Lift",IF(AP1159&lt;=0,"Aussenlager","teilweise")))))</f>
        <v>Lift</v>
      </c>
      <c r="BL1159" s="60" t="str">
        <f aca="false">IF(AT1159&lt;=0,"",IF(CG1159="Aussen","Aussenlager",IF(CG1159="-","Nicht im Lift",IF(AZ1159&gt;=1,"Lift",IF(AZ1159&lt;=0,"Aussenlager","teilweise")))))</f>
        <v>Lift</v>
      </c>
      <c r="BM1159" s="60" t="str">
        <f aca="false">IF(BD1159&lt;=0,"",IF(CG1159="Aussen","Aussenlager",IF(CG1159="-","Nicht im Lift",IF(BJ1159&gt;=1,"Lift",IF(BJ1159&lt;=0,"Aussenlager","teilweise")))))</f>
        <v>Lift</v>
      </c>
      <c r="BN1159" s="60" t="str">
        <f aca="false">IF(A1159="","",IF(BW1159=1,"Neu; ","")&amp;IF(AND(BW1159=0,BR1159&lt;0),"negativer Bestand (Export "&amp;BR1159&amp;"); ","")&amp;IF(J1159&lt;=0,"Kein Verbrauch; ","")&amp;IF(CR1159&gt;0,"Lift "&amp;W1159&amp;" lt. Liftbericht (Fach "&amp;X1159&amp;" Stk); ",IF(CB1159=1,"Gebinde geschätzt ("&amp;T1159&amp;"); ",IF(CA1159=1,"Lose – Tablare geschätzt; ","")))&amp;IF(H1159&gt;AW1159,"Überbestand "&amp;ROUND(H1159-AW1159,0)&amp;" Stk / CHF "&amp;ROUND((H1159-AW1159)*G1159,0)&amp;"; ","")&amp;IF(AND(CI1159=1,CJ1159&lt;CK1159),"MAX &lt; MB+LG; ","")&amp;IF(AND(CQ1159&gt;0,CP1159*10&gt;CQ1159),"zu hoch für Tablar; ","")&amp;IF(AND(BW1159=0,OR(CI1159=1,AB1159&lt;&gt;"",U1159&lt;&gt;"",V1159&lt;&gt;"",AC1159&lt;&gt;"")),"manuell übersteuert; ","")&amp;IF(AND(CA1159=0,R1159=0),"Gebinde unbekannt / Stellmass fehlt; ","")&amp;IF(AND(CA1159=0,N(V1159)&lt;=0,N(Q1159)&lt;=0),"Menge pro Gebinde fehlt (Ist = 1 Gebinde); ","")&amp;BV1159)</f>
        <v>negativer Bestand (Export -3); Überbestand 5 Stk / CHF 535; </v>
      </c>
      <c r="BO1159" s="60"/>
      <c r="BP1159" s="60"/>
      <c r="BQ1159" s="67"/>
      <c r="BR1159" s="62" t="n">
        <v>-3</v>
      </c>
      <c r="BS1159" s="62" t="n">
        <v>19</v>
      </c>
      <c r="BT1159" s="61" t="n">
        <v>-321</v>
      </c>
      <c r="BU1159" s="62" t="n">
        <v>8</v>
      </c>
      <c r="BV1159" s="60"/>
      <c r="BW1159" s="65" t="n">
        <v>0</v>
      </c>
      <c r="BX1159" s="65" t="n">
        <v>1159</v>
      </c>
      <c r="BY1159" s="60" t="str">
        <f aca="false">IF(U1159&lt;&gt;"",UPPER(TRIM(U1159)),IF(CB1159=1,UPPER(VLOOKUP(T1159,Parameter!$I$27:$K$29,2,0)),IF(P1159="","LOSE",P1159)))</f>
        <v>S52</v>
      </c>
      <c r="BZ1159" s="62" t="n">
        <f aca="false">IF(BY1159="LOSE",1,IF(N(V1159)&gt;0,V1159,IF(CB1159=1,MAX(1,N(VLOOKUP(T1159,Parameter!$I$27:$K$29,3,0)),H1159,N(N1159)),IF(N(Q1159)&gt;0,Q1159,MAX(1,H1159)))))</f>
        <v>50</v>
      </c>
      <c r="CA1159" s="65" t="n">
        <f aca="false">IF(BY1159="LOSE",1,0)</f>
        <v>0</v>
      </c>
      <c r="CB1159" s="65" t="n">
        <f aca="false">IF(AND(U1159="",OR(P1159="",P1159="LOSE"),T1159&lt;&gt;"",N(S1159)&lt;=0,ISNUMBER(MATCH(T1159,Parameter!$I$27:$I$29,0))),1,0)</f>
        <v>0</v>
      </c>
      <c r="CC1159" s="65" t="n">
        <f aca="false">IF(CR1159&gt;0,INDEX(Parameter!$H$5:$H$7,W1159)/INDEX(Parameter!$E$5:$E$7,W1159),IF(AND(CA1159=0,N(IFERROR(VLOOKUP(BY1159,'Gebinde-Kategorie'!$A$5:$N$45,14,0),0))&gt;0),VLOOKUP(BY1159,'Gebinde-Kategorie'!$A$5:$N$45,14,0)*10+Parameter!$M$23,Parameter!$M$24))</f>
        <v>245</v>
      </c>
      <c r="CD1159" s="60" t="str">
        <f aca="false">IF(AND(Parameter!$B$19="Ja",E1159&lt;&gt;"",ISNUMBER(MATCH(E1159,Parameter!$I$35:$I$52,0))),VLOOKUP(E1159,Parameter!$I$35:$J$52,2,0),IFERROR(VLOOKUP(D1159,Parameter!$A$35:$C$64,2,0),"Nein"))</f>
        <v>2+3</v>
      </c>
      <c r="CE1159" s="64" t="n">
        <f aca="false">IF(CA1159=0,0,IF(N(S1159)&gt;0,S1159,IFERROR(VLOOKUP(D1159,Parameter!$A$35:$C$64,3,0)+0,0)))</f>
        <v>0</v>
      </c>
      <c r="CF1159" s="60" t="n">
        <f aca="false">IF(AB1159&lt;&gt;"",AB1159,AA1159)</f>
        <v>3</v>
      </c>
      <c r="CG1159" s="60" t="str">
        <f aca="false">IF(OR(CF1159=1,CF1159=2,CF1159=3),IF(Parameter!$E$27="Ja","LIFT",IF(CF1159=1,"L1","L23")),IF(CF1159="Aussen","Aussen","-"))</f>
        <v>LIFT</v>
      </c>
      <c r="CH1159" s="71" t="n">
        <f aca="false">IF(N(AC1159)&gt;0,AC1159,0)</f>
        <v>0</v>
      </c>
      <c r="CI1159" s="65" t="n">
        <f aca="false">IF(ISNUMBER(AF1159),1,0)</f>
        <v>0</v>
      </c>
      <c r="CJ1159" s="62" t="n">
        <f aca="false">N(AF1159)</f>
        <v>0</v>
      </c>
      <c r="CK1159" s="62" t="n">
        <f aca="false">N(M1159)+N(N1159)</f>
        <v>11</v>
      </c>
      <c r="CL1159" s="62" t="n">
        <f aca="false">N(M1159)</f>
        <v>1</v>
      </c>
      <c r="CM1159" s="62" t="n">
        <f aca="false">N(N1159)</f>
        <v>10</v>
      </c>
      <c r="CN1159" s="62" t="n">
        <f aca="false">ROUNDUP(H1159/BZ1159,0)</f>
        <v>1</v>
      </c>
      <c r="CO1159" s="62" t="n">
        <f aca="false">ROUNDUP(CJ1159/BZ1159,0)</f>
        <v>0</v>
      </c>
      <c r="CP1159" s="65" t="n">
        <f aca="false">IF(CA1159=1,0,IFERROR(VLOOKUP(BY1159,'Gebinde-Kategorie'!$A$5:$N$45,5,0)+0,0))</f>
        <v>21</v>
      </c>
      <c r="CQ1159" s="65" t="n">
        <f aca="false">IFERROR(IF(OR(CF1159=1,CF1159=2,CF1159=3),N(INDEX(Parameter!$I$5:$I$7,CF1159)),0),0)</f>
        <v>0</v>
      </c>
      <c r="CR1159" s="64" t="n">
        <f aca="false">IF(AND(Parameter!$B$21="Ja",ISNUMBER(W1159),N(X1159)&gt;0),IFERROR(N(INDEX(Parameter!$L$5:$L$7,W1159))*INDEX(Parameter!$E$5:$E$7,W1159)*X1159/SUMIFS($X$7:$X$1843,$W$7:$W$1843,W1159),0),0)</f>
        <v>0</v>
      </c>
      <c r="CS1159" s="62" t="n">
        <f aca="false">IF(AND(OR(CG1159="L1",CG1159="L23",CG1159="LIFT"),H1159&gt;0),CC1159*IF(CR1159&gt;0,CR1159*MAX(1,H1159/X1159),IF(CA1159=1,CE1159,IF(R1159&gt;0,CN1159/R1159,0))/MAX(0.1,N(Parameter!$M$21))),"")</f>
        <v>9.42307692307692</v>
      </c>
      <c r="CT1159" s="64" t="n">
        <f aca="false">IF(CS1159="","",J1159/H1159)</f>
        <v>0.5</v>
      </c>
      <c r="CU1159" s="62" t="n">
        <f aca="false">IF(CS1159="","",H1159*G1159)</f>
        <v>1712</v>
      </c>
      <c r="CV1159" s="63" t="n">
        <f aca="false">IF(CS1159="","",(CL1159+ROUNDUP(CL1159+MAX(CM1159,2*(J1159/MAX(0.1,N(Einkauf!$C$6))-CL1159)),0))/2)</f>
        <v>6</v>
      </c>
      <c r="CW1159" s="62" t="n">
        <f aca="false">IF(CS1159="","",MAX(0,H1159-CV1159)*G1159)</f>
        <v>1070</v>
      </c>
      <c r="CX1159" s="62" t="n">
        <f aca="false">IF(CS1159="","",CS1159*MAX(0,1-CV1159/H1159))</f>
        <v>5.88942307692308</v>
      </c>
      <c r="CY1159" s="64" t="n">
        <f aca="false">IF(CS1159="","",PERCENTRANK($CS$7:$CS$1843,CS1159)+PERCENTRANK($CU$7:$CU$1843,CU1159)+1-PERCENTRANK($CT$7:$CT$1843,CT1159))</f>
        <v>1.768</v>
      </c>
      <c r="CZ1159" s="72" t="n">
        <f aca="false">IF(CS1159="","",CHOOSE(MATCH(Einkauf!$C$5,Parameter!$G$23:$G$27,0),CY1159,CS1159,CU1159,-CT1159,CW1159)+ROW()/1000000000)</f>
        <v>1.768001159</v>
      </c>
    </row>
    <row r="1160" customFormat="false" ht="15" hidden="false" customHeight="false" outlineLevel="0" collapsed="false">
      <c r="A1160" s="60" t="s">
        <v>2134</v>
      </c>
      <c r="B1160" s="60" t="s">
        <v>2135</v>
      </c>
      <c r="C1160" s="60" t="s">
        <v>206</v>
      </c>
      <c r="D1160" s="60" t="s">
        <v>215</v>
      </c>
      <c r="E1160" s="60"/>
      <c r="F1160" s="60" t="s">
        <v>260</v>
      </c>
      <c r="G1160" s="61" t="n">
        <v>4.95</v>
      </c>
      <c r="H1160" s="62" t="n">
        <f aca="false">MAX(0,IF(AND(Parameter!$B$21="Ja",ISNUMBER(Y1160)),Y1160,IF(Parameter!$B$20="Jahresanfang 2025 + Export",BS1160+BR1160,BR1160)))</f>
        <v>50</v>
      </c>
      <c r="I1160" s="62" t="n">
        <f aca="false">H1160*G1160</f>
        <v>247.5</v>
      </c>
      <c r="J1160" s="62" t="n">
        <f aca="false">BU1160*Parameter!$B$18</f>
        <v>143</v>
      </c>
      <c r="K1160" s="63" t="n">
        <v>100</v>
      </c>
      <c r="L1160" s="64" t="n">
        <v>1.43</v>
      </c>
      <c r="M1160" s="62" t="n">
        <v>25</v>
      </c>
      <c r="N1160" s="62" t="n">
        <v>10</v>
      </c>
      <c r="O1160" s="65" t="n">
        <v>28</v>
      </c>
      <c r="P1160" s="60" t="s">
        <v>210</v>
      </c>
      <c r="Q1160" s="62"/>
      <c r="R1160" s="65" t="n">
        <f aca="false">IF(CA1160=1,0,IFERROR(VLOOKUP(BY1160,'Gebinde-Kategorie'!$A$5:$N$45,13,0)+0,0))</f>
        <v>4</v>
      </c>
      <c r="S1160" s="66"/>
      <c r="T1160" s="67" t="s">
        <v>231</v>
      </c>
      <c r="U1160" s="67"/>
      <c r="V1160" s="67"/>
      <c r="W1160" s="60"/>
      <c r="X1160" s="62"/>
      <c r="Y1160" s="62"/>
      <c r="Z1160" s="60" t="n">
        <v>2</v>
      </c>
      <c r="AA1160" s="60" t="n">
        <f aca="false">IF(A1160="","",IF(AND(Parameter!$B$21="Ja",ISNUMBER(W1160)),W1160,IF(AND(Parameter!$E$27="Ja",ISNUMBER(Z1160),CD1160&lt;&gt;"Nein"),Z1160,IF(CD1160="2+3",IF(ISNUMBER(SEARCH("grosser Artikel",BV1160)),2,IFERROR(VLOOKUP(BY1160,Parameter!$F$35:$G$64,2,0),2)),IF(OR(CD1160="Nein",CD1160=""),"-",CD1160)))))</f>
        <v>2</v>
      </c>
      <c r="AB1160" s="67"/>
      <c r="AC1160" s="68"/>
      <c r="AD1160" s="62" t="n">
        <f aca="false">AW1160</f>
        <v>71</v>
      </c>
      <c r="AE1160" s="62" t="n">
        <f aca="false">MAX(AW1160,H1160)</f>
        <v>71</v>
      </c>
      <c r="AF1160" s="69"/>
      <c r="AG1160" s="62" t="n">
        <f aca="false">IF(LEFT(Cockpit!$C$5,1)="A",H1160,IF(Parameter!$E$30="MAX-Bestand",IF(CI1160=1,CJ1160,IF(LEFT(Cockpit!$C$5,1)="B",AM1160,MAX(AM1160,H1160))),ROUNDUP(AK1160,0)))</f>
        <v>50</v>
      </c>
      <c r="AH1160" s="62" t="n">
        <f aca="false">IF(CA1160=1,0,ROUNDUP(AG1160/BZ1160,0))</f>
        <v>1</v>
      </c>
      <c r="AI1160" s="64" t="n">
        <f aca="false">IF(CR1160&gt;0,CR1160*MAX(1,AG1160/X1160),IF(CA1160=1,IF(AG1160&lt;=0,0,CE1160*MAX(1,IF(H1160&gt;0,AG1160/H1160,1))),IF(R1160&gt;0,AH1160/R1160,0))/MAX(0.1,N(Parameter!$M$21)))</f>
        <v>0.25</v>
      </c>
      <c r="AJ1160" s="62" t="n">
        <f aca="false">AI1160*CC1160</f>
        <v>58.75</v>
      </c>
      <c r="AK1160" s="63" t="n">
        <f aca="false">IF(LEFT(Cockpit!$C$5,1)="A",H1160,IF(CI1160=1,(CL1160+CJ1160)/2,IF(LEFT(Cockpit!$C$5,1)="B",(CL1160+AM1160)/2,MAX((CL1160+AM1160)/2,H1160))))</f>
        <v>50</v>
      </c>
      <c r="AL1160" s="62" t="n">
        <f aca="false">AK1160*G1160</f>
        <v>247.5</v>
      </c>
      <c r="AM1160" s="62" t="n">
        <f aca="false">ROUNDUP(CL1160+MAX(CM1160,2*(J1160/IF(CH1160&gt;0,CH1160,MAX(0.1,N(Cockpit!$C$6)))-CL1160)),0)</f>
        <v>71</v>
      </c>
      <c r="AN1160" s="63" t="n">
        <f aca="false">IF(AJ1160&gt;0,J1160/AJ1160,-1)</f>
        <v>2.43404255319149</v>
      </c>
      <c r="AO1160" s="63" t="n">
        <f aca="false">IF(AND(OR(CG1160="L1",CG1160="L23",CG1160="LIFT"),AJ1160&gt;0),SUMIFS($AJ$7:$AJ$1843,$CG$7:$CG$1843,CG1160,$AN$7:$AN$1843,"&gt;"&amp;AN1160)+SUMIFS($AJ$7:$AJ$1843,$CG$7:$CG$1843,CG1160,$AN$7:$AN$1843,AN1160,$BX$7:$BX$1843,"&lt;="&amp;BX1160),"")</f>
        <v>5530.01236263736</v>
      </c>
      <c r="AP1160" s="70" t="n">
        <f aca="false">IF(AO1160="",0,MAX(0,MIN(1,(IF(CG1160="L1",Parameter!$H$5,IF(CG1160="L23",Parameter!$H$6+Parameter!$H$7,Parameter!$H$5+Parameter!$H$6+Parameter!$H$7))-(AO1160-AJ1160))/AJ1160)))</f>
        <v>1</v>
      </c>
      <c r="AQ1160" s="62" t="n">
        <f aca="false">IF(LEFT(Cockpit!$I$5,1)="A",H1160,IF(Parameter!$E$30="MAX-Bestand",IF(CI1160=1,CJ1160,IF(LEFT(Cockpit!$I$5,1)="B",AW1160,MAX(AW1160,H1160))),ROUNDUP(AU1160,0)))</f>
        <v>50</v>
      </c>
      <c r="AR1160" s="62" t="n">
        <f aca="false">IF(CA1160=1,0,ROUNDUP(AQ1160/BZ1160,0))</f>
        <v>1</v>
      </c>
      <c r="AS1160" s="64" t="n">
        <f aca="false">IF(CR1160&gt;0,CR1160*MAX(1,AQ1160/X1160),IF(CA1160=1,IF(AQ1160&lt;=0,0,CE1160*MAX(1,IF(H1160&gt;0,AQ1160/H1160,1))),IF(R1160&gt;0,AR1160/R1160,0))/MAX(0.1,N(Parameter!$M$21)))</f>
        <v>0.25</v>
      </c>
      <c r="AT1160" s="62" t="n">
        <f aca="false">AS1160*CC1160</f>
        <v>58.75</v>
      </c>
      <c r="AU1160" s="63" t="n">
        <f aca="false">IF(LEFT(Cockpit!$I$5,1)="A",H1160,IF(CI1160=1,(CL1160+CJ1160)/2,IF(LEFT(Cockpit!$I$5,1)="B",(CL1160+AW1160)/2,MAX((CL1160+AW1160)/2,H1160))))</f>
        <v>50</v>
      </c>
      <c r="AV1160" s="62" t="n">
        <f aca="false">AU1160*G1160</f>
        <v>247.5</v>
      </c>
      <c r="AW1160" s="62" t="n">
        <f aca="false">ROUNDUP(CL1160+MAX(CM1160,2*(J1160/IF(CH1160&gt;0,CH1160,MAX(0.1,N(Cockpit!$I$6)))-CL1160)),0)</f>
        <v>71</v>
      </c>
      <c r="AX1160" s="63" t="n">
        <f aca="false">IF(AT1160&gt;0,J1160/AT1160,-1)</f>
        <v>2.43404255319149</v>
      </c>
      <c r="AY1160" s="63" t="n">
        <f aca="false">IF(AND(OR(CG1160="L1",CG1160="L23",CG1160="LIFT"),AT1160&gt;0),SUMIFS($AT$7:$AT$1843,$CG$7:$CG$1843,CG1160,$AX$7:$AX$1843,"&gt;"&amp;AX1160)+SUMIFS($AT$7:$AT$1843,$CG$7:$CG$1843,CG1160,$AX$7:$AX$1843,AX1160,$BX$7:$BX$1843,"&lt;="&amp;BX1160),"")</f>
        <v>6303.24038461539</v>
      </c>
      <c r="AZ1160" s="70" t="n">
        <f aca="false">IF(AY1160="",0,MAX(0,MIN(1,(IF(CG1160="L1",Parameter!$H$5,IF(CG1160="L23",Parameter!$H$6+Parameter!$H$7,Parameter!$H$5+Parameter!$H$6+Parameter!$H$7))-(AY1160-AT1160))/AT1160)))</f>
        <v>1</v>
      </c>
      <c r="BA1160" s="62" t="n">
        <f aca="false">IF(LEFT(Cockpit!$O$5,1)="A",H1160,IF(Parameter!$E$30="MAX-Bestand",IF(CI1160=1,CJ1160,IF(LEFT(Cockpit!$O$5,1)="B",BG1160,MAX(BG1160,H1160))),ROUNDUP(BE1160,0)))</f>
        <v>36</v>
      </c>
      <c r="BB1160" s="62" t="n">
        <f aca="false">IF(CA1160=1,0,ROUNDUP(BA1160/BZ1160,0))</f>
        <v>1</v>
      </c>
      <c r="BC1160" s="64" t="n">
        <f aca="false">IF(CR1160&gt;0,CR1160*MAX(1,BA1160/X1160),IF(CA1160=1,IF(BA1160&lt;=0,0,CE1160*MAX(1,IF(H1160&gt;0,BA1160/H1160,1))),IF(R1160&gt;0,BB1160/R1160,0))/MAX(0.1,N(Parameter!$M$21)))</f>
        <v>0.25</v>
      </c>
      <c r="BD1160" s="62" t="n">
        <f aca="false">BC1160*CC1160</f>
        <v>58.75</v>
      </c>
      <c r="BE1160" s="63" t="n">
        <f aca="false">IF(LEFT(Cockpit!$O$5,1)="A",H1160,IF(CI1160=1,(CL1160+CJ1160)/2,IF(LEFT(Cockpit!$O$5,1)="B",(CL1160+BG1160)/2,MAX((CL1160+BG1160)/2,H1160))))</f>
        <v>36</v>
      </c>
      <c r="BF1160" s="62" t="n">
        <f aca="false">BE1160*G1160</f>
        <v>178.2</v>
      </c>
      <c r="BG1160" s="62" t="n">
        <f aca="false">ROUNDUP(CL1160+MAX(CM1160,2*(J1160/IF(CH1160&gt;0,CH1160,MAX(0.1,N(Cockpit!$O$6)))-CL1160)),0)</f>
        <v>47</v>
      </c>
      <c r="BH1160" s="63" t="n">
        <f aca="false">IF(BD1160&gt;0,J1160/BD1160,-1)</f>
        <v>2.43404255319149</v>
      </c>
      <c r="BI1160" s="63" t="n">
        <f aca="false">IF(AND(OR(CG1160="L1",CG1160="L23",CG1160="LIFT"),BD1160&gt;0),SUMIFS($BD$7:$BD$1843,$CG$7:$CG$1843,CG1160,$BH$7:$BH$1843,"&gt;"&amp;BH1160)+SUMIFS($BD$7:$BD$1843,$CG$7:$CG$1843,CG1160,$BH$7:$BH$1843,BH1160,$BX$7:$BX$1843,"&lt;="&amp;BX1160),"")</f>
        <v>5460.42948717949</v>
      </c>
      <c r="BJ1160" s="70" t="n">
        <f aca="false">IF(BI1160="",0,MAX(0,MIN(1,(IF(CG1160="L1",Parameter!$H$5,IF(CG1160="L23",Parameter!$H$6+Parameter!$H$7,Parameter!$H$5+Parameter!$H$6+Parameter!$H$7))-(BI1160-BD1160))/BD1160)))</f>
        <v>1</v>
      </c>
      <c r="BK1160" s="60" t="str">
        <f aca="false">IF(AJ1160&lt;=0,"",IF(CG1160="Aussen","Aussenlager",IF(CG1160="-","Nicht im Lift",IF(AP1160&gt;=1,"Lift",IF(AP1160&lt;=0,"Aussenlager","teilweise")))))</f>
        <v>Lift</v>
      </c>
      <c r="BL1160" s="60" t="str">
        <f aca="false">IF(AT1160&lt;=0,"",IF(CG1160="Aussen","Aussenlager",IF(CG1160="-","Nicht im Lift",IF(AZ1160&gt;=1,"Lift",IF(AZ1160&lt;=0,"Aussenlager","teilweise")))))</f>
        <v>Lift</v>
      </c>
      <c r="BM1160" s="60" t="str">
        <f aca="false">IF(BD1160&lt;=0,"",IF(CG1160="Aussen","Aussenlager",IF(CG1160="-","Nicht im Lift",IF(BJ1160&gt;=1,"Lift",IF(BJ1160&lt;=0,"Aussenlager","teilweise")))))</f>
        <v>Lift</v>
      </c>
      <c r="BN1160" s="60" t="str">
        <f aca="false">IF(A1160="","",IF(BW1160=1,"Neu; ","")&amp;IF(AND(BW1160=0,BR1160&lt;0),"negativer Bestand (Export "&amp;BR1160&amp;"); ","")&amp;IF(J1160&lt;=0,"Kein Verbrauch; ","")&amp;IF(CR1160&gt;0,"Lift "&amp;W1160&amp;" lt. Liftbericht (Fach "&amp;X1160&amp;" Stk); ",IF(CB1160=1,"Gebinde geschätzt ("&amp;T1160&amp;"); ",IF(CA1160=1,"Lose – Tablare geschätzt; ","")))&amp;IF(H1160&gt;AW1160,"Überbestand "&amp;ROUND(H1160-AW1160,0)&amp;" Stk / CHF "&amp;ROUND((H1160-AW1160)*G1160,0)&amp;"; ","")&amp;IF(AND(CI1160=1,CJ1160&lt;CK1160),"MAX &lt; MB+LG; ","")&amp;IF(AND(CQ1160&gt;0,CP1160*10&gt;CQ1160),"zu hoch für Tablar; ","")&amp;IF(AND(BW1160=0,OR(CI1160=1,AB1160&lt;&gt;"",U1160&lt;&gt;"",V1160&lt;&gt;"",AC1160&lt;&gt;"")),"manuell übersteuert; ","")&amp;IF(AND(CA1160=0,R1160=0),"Gebinde unbekannt / Stellmass fehlt; ","")&amp;IF(AND(CA1160=0,N(V1160)&lt;=0,N(Q1160)&lt;=0),"Menge pro Gebinde fehlt (Ist = 1 Gebinde); ","")&amp;BV1160)</f>
        <v>negativer Bestand (Export -50); Gebinde geschätzt (Gross); Menge pro Gebinde fehlt (Ist = 1 Gebinde); </v>
      </c>
      <c r="BO1160" s="60"/>
      <c r="BP1160" s="60"/>
      <c r="BQ1160" s="67"/>
      <c r="BR1160" s="62" t="n">
        <v>-50</v>
      </c>
      <c r="BS1160" s="62" t="n">
        <v>100</v>
      </c>
      <c r="BT1160" s="61" t="n">
        <v>-322.5</v>
      </c>
      <c r="BU1160" s="62" t="n">
        <v>143</v>
      </c>
      <c r="BV1160" s="60"/>
      <c r="BW1160" s="65" t="n">
        <v>0</v>
      </c>
      <c r="BX1160" s="65" t="n">
        <v>1160</v>
      </c>
      <c r="BY1160" s="60" t="str">
        <f aca="false">IF(U1160&lt;&gt;"",UPPER(TRIM(U1160)),IF(CB1160=1,UPPER(VLOOKUP(T1160,Parameter!$I$27:$K$29,2,0)),IF(P1160="","LOSE",P1160)))</f>
        <v>S81</v>
      </c>
      <c r="BZ1160" s="62" t="n">
        <f aca="false">IF(BY1160="LOSE",1,IF(N(V1160)&gt;0,V1160,IF(CB1160=1,MAX(1,N(VLOOKUP(T1160,Parameter!$I$27:$K$29,3,0)),H1160,N(N1160)),IF(N(Q1160)&gt;0,Q1160,MAX(1,H1160)))))</f>
        <v>50</v>
      </c>
      <c r="CA1160" s="65" t="n">
        <f aca="false">IF(BY1160="LOSE",1,0)</f>
        <v>0</v>
      </c>
      <c r="CB1160" s="65" t="n">
        <f aca="false">IF(AND(U1160="",OR(P1160="",P1160="LOSE"),T1160&lt;&gt;"",N(S1160)&lt;=0,ISNUMBER(MATCH(T1160,Parameter!$I$27:$I$29,0))),1,0)</f>
        <v>1</v>
      </c>
      <c r="CC1160" s="65" t="n">
        <f aca="false">IF(CR1160&gt;0,INDEX(Parameter!$H$5:$H$7,W1160)/INDEX(Parameter!$E$5:$E$7,W1160),IF(AND(CA1160=0,N(IFERROR(VLOOKUP(BY1160,'Gebinde-Kategorie'!$A$5:$N$45,14,0),0))&gt;0),VLOOKUP(BY1160,'Gebinde-Kategorie'!$A$5:$N$45,14,0)*10+Parameter!$M$23,Parameter!$M$24))</f>
        <v>235</v>
      </c>
      <c r="CD1160" s="60" t="str">
        <f aca="false">IF(AND(Parameter!$B$19="Ja",E1160&lt;&gt;"",ISNUMBER(MATCH(E1160,Parameter!$I$35:$I$52,0))),VLOOKUP(E1160,Parameter!$I$35:$J$52,2,0),IFERROR(VLOOKUP(D1160,Parameter!$A$35:$C$64,2,0),"Nein"))</f>
        <v>2+3</v>
      </c>
      <c r="CE1160" s="64" t="n">
        <f aca="false">IF(CA1160=0,0,IF(N(S1160)&gt;0,S1160,IFERROR(VLOOKUP(D1160,Parameter!$A$35:$C$64,3,0)+0,0)))</f>
        <v>0</v>
      </c>
      <c r="CF1160" s="60" t="n">
        <f aca="false">IF(AB1160&lt;&gt;"",AB1160,AA1160)</f>
        <v>2</v>
      </c>
      <c r="CG1160" s="60" t="str">
        <f aca="false">IF(OR(CF1160=1,CF1160=2,CF1160=3),IF(Parameter!$E$27="Ja","LIFT",IF(CF1160=1,"L1","L23")),IF(CF1160="Aussen","Aussen","-"))</f>
        <v>LIFT</v>
      </c>
      <c r="CH1160" s="71" t="n">
        <f aca="false">IF(N(AC1160)&gt;0,AC1160,0)</f>
        <v>0</v>
      </c>
      <c r="CI1160" s="65" t="n">
        <f aca="false">IF(ISNUMBER(AF1160),1,0)</f>
        <v>0</v>
      </c>
      <c r="CJ1160" s="62" t="n">
        <f aca="false">N(AF1160)</f>
        <v>0</v>
      </c>
      <c r="CK1160" s="62" t="n">
        <f aca="false">N(M1160)+N(N1160)</f>
        <v>35</v>
      </c>
      <c r="CL1160" s="62" t="n">
        <f aca="false">N(M1160)</f>
        <v>25</v>
      </c>
      <c r="CM1160" s="62" t="n">
        <f aca="false">N(N1160)</f>
        <v>10</v>
      </c>
      <c r="CN1160" s="62" t="n">
        <f aca="false">ROUNDUP(H1160/BZ1160,0)</f>
        <v>1</v>
      </c>
      <c r="CO1160" s="62" t="n">
        <f aca="false">ROUNDUP(CJ1160/BZ1160,0)</f>
        <v>0</v>
      </c>
      <c r="CP1160" s="65" t="n">
        <f aca="false">IF(CA1160=1,0,IFERROR(VLOOKUP(BY1160,'Gebinde-Kategorie'!$A$5:$N$45,5,0)+0,0))</f>
        <v>20</v>
      </c>
      <c r="CQ1160" s="65" t="n">
        <f aca="false">IFERROR(IF(OR(CF1160=1,CF1160=2,CF1160=3),N(INDEX(Parameter!$I$5:$I$7,CF1160)),0),0)</f>
        <v>0</v>
      </c>
      <c r="CR1160" s="64" t="n">
        <f aca="false">IF(AND(Parameter!$B$21="Ja",ISNUMBER(W1160),N(X1160)&gt;0),IFERROR(N(INDEX(Parameter!$L$5:$L$7,W1160))*INDEX(Parameter!$E$5:$E$7,W1160)*X1160/SUMIFS($X$7:$X$1843,$W$7:$W$1843,W1160),0),0)</f>
        <v>0</v>
      </c>
      <c r="CS1160" s="62" t="n">
        <f aca="false">IF(AND(OR(CG1160="L1",CG1160="L23",CG1160="LIFT"),H1160&gt;0),CC1160*IF(CR1160&gt;0,CR1160*MAX(1,H1160/X1160),IF(CA1160=1,CE1160,IF(R1160&gt;0,CN1160/R1160,0))/MAX(0.1,N(Parameter!$M$21))),"")</f>
        <v>58.75</v>
      </c>
      <c r="CT1160" s="64" t="n">
        <f aca="false">IF(CS1160="","",J1160/H1160)</f>
        <v>2.86</v>
      </c>
      <c r="CU1160" s="62" t="n">
        <f aca="false">IF(CS1160="","",H1160*G1160)</f>
        <v>247.5</v>
      </c>
      <c r="CV1160" s="63" t="n">
        <f aca="false">IF(CS1160="","",(CL1160+ROUNDUP(CL1160+MAX(CM1160,2*(J1160/MAX(0.1,N(Einkauf!$C$6))-CL1160)),0))/2)</f>
        <v>36</v>
      </c>
      <c r="CW1160" s="62" t="n">
        <f aca="false">IF(CS1160="","",MAX(0,H1160-CV1160)*G1160)</f>
        <v>69.3</v>
      </c>
      <c r="CX1160" s="62" t="n">
        <f aca="false">IF(CS1160="","",CS1160*MAX(0,1-CV1160/H1160))</f>
        <v>16.45</v>
      </c>
      <c r="CY1160" s="64" t="n">
        <f aca="false">IF(CS1160="","",PERCENTRANK($CS$7:$CS$1843,CS1160)+PERCENTRANK($CU$7:$CU$1843,CU1160)+1-PERCENTRANK($CT$7:$CT$1843,CT1160))</f>
        <v>1.41</v>
      </c>
      <c r="CZ1160" s="72" t="n">
        <f aca="false">IF(CS1160="","",CHOOSE(MATCH(Einkauf!$C$5,Parameter!$G$23:$G$27,0),CY1160,CS1160,CU1160,-CT1160,CW1160)+ROW()/1000000000)</f>
        <v>1.41000116</v>
      </c>
    </row>
    <row r="1161" customFormat="false" ht="15" hidden="false" customHeight="false" outlineLevel="0" collapsed="false">
      <c r="A1161" s="60" t="s">
        <v>2136</v>
      </c>
      <c r="B1161" s="60" t="s">
        <v>447</v>
      </c>
      <c r="C1161" s="60" t="s">
        <v>498</v>
      </c>
      <c r="D1161" s="60" t="s">
        <v>226</v>
      </c>
      <c r="E1161" s="60" t="s">
        <v>227</v>
      </c>
      <c r="F1161" s="60" t="s">
        <v>260</v>
      </c>
      <c r="G1161" s="61" t="n">
        <v>7.18</v>
      </c>
      <c r="H1161" s="62" t="n">
        <f aca="false">MAX(0,IF(AND(Parameter!$B$21="Ja",ISNUMBER(Y1161)),Y1161,IF(Parameter!$B$20="Jahresanfang 2025 + Export",BS1161+BR1161,BR1161)))</f>
        <v>375</v>
      </c>
      <c r="I1161" s="62" t="n">
        <f aca="false">H1161*G1161</f>
        <v>2692.5</v>
      </c>
      <c r="J1161" s="62" t="n">
        <f aca="false">BU1161*Parameter!$B$18</f>
        <v>42</v>
      </c>
      <c r="K1161" s="63" t="n">
        <v>393.5</v>
      </c>
      <c r="L1161" s="64" t="n">
        <v>0.106734434561626</v>
      </c>
      <c r="M1161" s="62" t="n">
        <v>1</v>
      </c>
      <c r="N1161" s="62" t="n">
        <v>40</v>
      </c>
      <c r="O1161" s="65" t="n">
        <v>14</v>
      </c>
      <c r="P1161" s="60" t="s">
        <v>268</v>
      </c>
      <c r="Q1161" s="62" t="n">
        <v>320</v>
      </c>
      <c r="R1161" s="65" t="n">
        <f aca="false">IF(CA1161=1,0,IFERROR(VLOOKUP(BY1161,'Gebinde-Kategorie'!$A$5:$N$45,13,0)+0,0))</f>
        <v>12</v>
      </c>
      <c r="S1161" s="66"/>
      <c r="T1161" s="67"/>
      <c r="U1161" s="67"/>
      <c r="V1161" s="67"/>
      <c r="W1161" s="60"/>
      <c r="X1161" s="62"/>
      <c r="Y1161" s="62"/>
      <c r="Z1161" s="60" t="n">
        <v>3</v>
      </c>
      <c r="AA1161" s="60" t="n">
        <f aca="false">IF(A1161="","",IF(AND(Parameter!$B$21="Ja",ISNUMBER(W1161)),W1161,IF(AND(Parameter!$E$27="Ja",ISNUMBER(Z1161),CD1161&lt;&gt;"Nein"),Z1161,IF(CD1161="2+3",IF(ISNUMBER(SEARCH("grosser Artikel",BV1161)),2,IFERROR(VLOOKUP(BY1161,Parameter!$F$35:$G$64,2,0),2)),IF(OR(CD1161="Nein",CD1161=""),"-",CD1161)))))</f>
        <v>3</v>
      </c>
      <c r="AB1161" s="67"/>
      <c r="AC1161" s="68"/>
      <c r="AD1161" s="62" t="n">
        <f aca="false">AW1161</f>
        <v>41</v>
      </c>
      <c r="AE1161" s="62" t="n">
        <f aca="false">MAX(AW1161,H1161)</f>
        <v>375</v>
      </c>
      <c r="AF1161" s="69"/>
      <c r="AG1161" s="62" t="n">
        <f aca="false">IF(LEFT(Cockpit!$C$5,1)="A",H1161,IF(Parameter!$E$30="MAX-Bestand",IF(CI1161=1,CJ1161,IF(LEFT(Cockpit!$C$5,1)="B",AM1161,MAX(AM1161,H1161))),ROUNDUP(AK1161,0)))</f>
        <v>375</v>
      </c>
      <c r="AH1161" s="62" t="n">
        <f aca="false">IF(CA1161=1,0,ROUNDUP(AG1161/BZ1161,0))</f>
        <v>2</v>
      </c>
      <c r="AI1161" s="64" t="n">
        <f aca="false">IF(CR1161&gt;0,CR1161*MAX(1,AG1161/X1161),IF(CA1161=1,IF(AG1161&lt;=0,0,CE1161*MAX(1,IF(H1161&gt;0,AG1161/H1161,1))),IF(R1161&gt;0,AH1161/R1161,0))/MAX(0.1,N(Parameter!$M$21)))</f>
        <v>0.166666666666667</v>
      </c>
      <c r="AJ1161" s="62" t="n">
        <f aca="false">AI1161*CC1161</f>
        <v>57.5</v>
      </c>
      <c r="AK1161" s="63" t="n">
        <f aca="false">IF(LEFT(Cockpit!$C$5,1)="A",H1161,IF(CI1161=1,(CL1161+CJ1161)/2,IF(LEFT(Cockpit!$C$5,1)="B",(CL1161+AM1161)/2,MAX((CL1161+AM1161)/2,H1161))))</f>
        <v>375</v>
      </c>
      <c r="AL1161" s="62" t="n">
        <f aca="false">AK1161*G1161</f>
        <v>2692.5</v>
      </c>
      <c r="AM1161" s="62" t="n">
        <f aca="false">ROUNDUP(CL1161+MAX(CM1161,2*(J1161/IF(CH1161&gt;0,CH1161,MAX(0.1,N(Cockpit!$C$6)))-CL1161)),0)</f>
        <v>41</v>
      </c>
      <c r="AN1161" s="63" t="n">
        <f aca="false">IF(AJ1161&gt;0,J1161/AJ1161,-1)</f>
        <v>0.730434782608696</v>
      </c>
      <c r="AO1161" s="63" t="n">
        <f aca="false">IF(AND(OR(CG1161="L1",CG1161="L23",CG1161="LIFT"),AJ1161&gt;0),SUMIFS($AJ$7:$AJ$1843,$CG$7:$CG$1843,CG1161,$AN$7:$AN$1843,"&gt;"&amp;AN1161)+SUMIFS($AJ$7:$AJ$1843,$CG$7:$CG$1843,CG1161,$AN$7:$AN$1843,AN1161,$BX$7:$BX$1843,"&lt;="&amp;BX1161),"")</f>
        <v>8455.91987179487</v>
      </c>
      <c r="AP1161" s="70" t="n">
        <f aca="false">IF(AO1161="",0,MAX(0,MIN(1,(IF(CG1161="L1",Parameter!$H$5,IF(CG1161="L23",Parameter!$H$6+Parameter!$H$7,Parameter!$H$5+Parameter!$H$6+Parameter!$H$7))-(AO1161-AJ1161))/AJ1161)))</f>
        <v>1</v>
      </c>
      <c r="AQ1161" s="62" t="n">
        <f aca="false">IF(LEFT(Cockpit!$I$5,1)="A",H1161,IF(Parameter!$E$30="MAX-Bestand",IF(CI1161=1,CJ1161,IF(LEFT(Cockpit!$I$5,1)="B",AW1161,MAX(AW1161,H1161))),ROUNDUP(AU1161,0)))</f>
        <v>375</v>
      </c>
      <c r="AR1161" s="62" t="n">
        <f aca="false">IF(CA1161=1,0,ROUNDUP(AQ1161/BZ1161,0))</f>
        <v>2</v>
      </c>
      <c r="AS1161" s="64" t="n">
        <f aca="false">IF(CR1161&gt;0,CR1161*MAX(1,AQ1161/X1161),IF(CA1161=1,IF(AQ1161&lt;=0,0,CE1161*MAX(1,IF(H1161&gt;0,AQ1161/H1161,1))),IF(R1161&gt;0,AR1161/R1161,0))/MAX(0.1,N(Parameter!$M$21)))</f>
        <v>0.166666666666667</v>
      </c>
      <c r="AT1161" s="62" t="n">
        <f aca="false">AS1161*CC1161</f>
        <v>57.5</v>
      </c>
      <c r="AU1161" s="63" t="n">
        <f aca="false">IF(LEFT(Cockpit!$I$5,1)="A",H1161,IF(CI1161=1,(CL1161+CJ1161)/2,IF(LEFT(Cockpit!$I$5,1)="B",(CL1161+AW1161)/2,MAX((CL1161+AW1161)/2,H1161))))</f>
        <v>375</v>
      </c>
      <c r="AV1161" s="62" t="n">
        <f aca="false">AU1161*G1161</f>
        <v>2692.5</v>
      </c>
      <c r="AW1161" s="62" t="n">
        <f aca="false">ROUNDUP(CL1161+MAX(CM1161,2*(J1161/IF(CH1161&gt;0,CH1161,MAX(0.1,N(Cockpit!$I$6)))-CL1161)),0)</f>
        <v>41</v>
      </c>
      <c r="AX1161" s="63" t="n">
        <f aca="false">IF(AT1161&gt;0,J1161/AT1161,-1)</f>
        <v>0.730434782608696</v>
      </c>
      <c r="AY1161" s="63" t="n">
        <f aca="false">IF(AND(OR(CG1161="L1",CG1161="L23",CG1161="LIFT"),AT1161&gt;0),SUMIFS($AT$7:$AT$1843,$CG$7:$CG$1843,CG1161,$AX$7:$AX$1843,"&gt;"&amp;AX1161)+SUMIFS($AT$7:$AT$1843,$CG$7:$CG$1843,CG1161,$AX$7:$AX$1843,AX1161,$BX$7:$BX$1843,"&lt;="&amp;BX1161),"")</f>
        <v>10715.4880952381</v>
      </c>
      <c r="AZ1161" s="70" t="n">
        <f aca="false">IF(AY1161="",0,MAX(0,MIN(1,(IF(CG1161="L1",Parameter!$H$5,IF(CG1161="L23",Parameter!$H$6+Parameter!$H$7,Parameter!$H$5+Parameter!$H$6+Parameter!$H$7))-(AY1161-AT1161))/AT1161)))</f>
        <v>1</v>
      </c>
      <c r="BA1161" s="62" t="n">
        <f aca="false">IF(LEFT(Cockpit!$O$5,1)="A",H1161,IF(Parameter!$E$30="MAX-Bestand",IF(CI1161=1,CJ1161,IF(LEFT(Cockpit!$O$5,1)="B",BG1161,MAX(BG1161,H1161))),ROUNDUP(BE1161,0)))</f>
        <v>21</v>
      </c>
      <c r="BB1161" s="62" t="n">
        <f aca="false">IF(CA1161=1,0,ROUNDUP(BA1161/BZ1161,0))</f>
        <v>1</v>
      </c>
      <c r="BC1161" s="64" t="n">
        <f aca="false">IF(CR1161&gt;0,CR1161*MAX(1,BA1161/X1161),IF(CA1161=1,IF(BA1161&lt;=0,0,CE1161*MAX(1,IF(H1161&gt;0,BA1161/H1161,1))),IF(R1161&gt;0,BB1161/R1161,0))/MAX(0.1,N(Parameter!$M$21)))</f>
        <v>0.0833333333333333</v>
      </c>
      <c r="BD1161" s="62" t="n">
        <f aca="false">BC1161*CC1161</f>
        <v>28.75</v>
      </c>
      <c r="BE1161" s="63" t="n">
        <f aca="false">IF(LEFT(Cockpit!$O$5,1)="A",H1161,IF(CI1161=1,(CL1161+CJ1161)/2,IF(LEFT(Cockpit!$O$5,1)="B",(CL1161+BG1161)/2,MAX((CL1161+BG1161)/2,H1161))))</f>
        <v>21</v>
      </c>
      <c r="BF1161" s="62" t="n">
        <f aca="false">BE1161*G1161</f>
        <v>150.78</v>
      </c>
      <c r="BG1161" s="62" t="n">
        <f aca="false">ROUNDUP(CL1161+MAX(CM1161,2*(J1161/IF(CH1161&gt;0,CH1161,MAX(0.1,N(Cockpit!$O$6)))-CL1161)),0)</f>
        <v>41</v>
      </c>
      <c r="BH1161" s="63" t="n">
        <f aca="false">IF(BD1161&gt;0,J1161/BD1161,-1)</f>
        <v>1.46086956521739</v>
      </c>
      <c r="BI1161" s="63" t="n">
        <f aca="false">IF(AND(OR(CG1161="L1",CG1161="L23",CG1161="LIFT"),BD1161&gt;0),SUMIFS($BD$7:$BD$1843,$CG$7:$CG$1843,CG1161,$BH$7:$BH$1843,"&gt;"&amp;BH1161)+SUMIFS($BD$7:$BD$1843,$CG$7:$CG$1843,CG1161,$BH$7:$BH$1843,BH1161,$BX$7:$BX$1843,"&lt;="&amp;BX1161),"")</f>
        <v>6609.7586996337</v>
      </c>
      <c r="BJ1161" s="70" t="n">
        <f aca="false">IF(BI1161="",0,MAX(0,MIN(1,(IF(CG1161="L1",Parameter!$H$5,IF(CG1161="L23",Parameter!$H$6+Parameter!$H$7,Parameter!$H$5+Parameter!$H$6+Parameter!$H$7))-(BI1161-BD1161))/BD1161)))</f>
        <v>1</v>
      </c>
      <c r="BK1161" s="60" t="str">
        <f aca="false">IF(AJ1161&lt;=0,"",IF(CG1161="Aussen","Aussenlager",IF(CG1161="-","Nicht im Lift",IF(AP1161&gt;=1,"Lift",IF(AP1161&lt;=0,"Aussenlager","teilweise")))))</f>
        <v>Lift</v>
      </c>
      <c r="BL1161" s="60" t="str">
        <f aca="false">IF(AT1161&lt;=0,"",IF(CG1161="Aussen","Aussenlager",IF(CG1161="-","Nicht im Lift",IF(AZ1161&gt;=1,"Lift",IF(AZ1161&lt;=0,"Aussenlager","teilweise")))))</f>
        <v>Lift</v>
      </c>
      <c r="BM1161" s="60" t="str">
        <f aca="false">IF(BD1161&lt;=0,"",IF(CG1161="Aussen","Aussenlager",IF(CG1161="-","Nicht im Lift",IF(BJ1161&gt;=1,"Lift",IF(BJ1161&lt;=0,"Aussenlager","teilweise")))))</f>
        <v>Lift</v>
      </c>
      <c r="BN1161" s="60" t="str">
        <f aca="false">IF(A1161="","",IF(BW1161=1,"Neu; ","")&amp;IF(AND(BW1161=0,BR1161&lt;0),"negativer Bestand (Export "&amp;BR1161&amp;"); ","")&amp;IF(J1161&lt;=0,"Kein Verbrauch; ","")&amp;IF(CR1161&gt;0,"Lift "&amp;W1161&amp;" lt. Liftbericht (Fach "&amp;X1161&amp;" Stk); ",IF(CB1161=1,"Gebinde geschätzt ("&amp;T1161&amp;"); ",IF(CA1161=1,"Lose – Tablare geschätzt; ","")))&amp;IF(H1161&gt;AW1161,"Überbestand "&amp;ROUND(H1161-AW1161,0)&amp;" Stk / CHF "&amp;ROUND((H1161-AW1161)*G1161,0)&amp;"; ","")&amp;IF(AND(CI1161=1,CJ1161&lt;CK1161),"MAX &lt; MB+LG; ","")&amp;IF(AND(CQ1161&gt;0,CP1161*10&gt;CQ1161),"zu hoch für Tablar; ","")&amp;IF(AND(BW1161=0,OR(CI1161=1,AB1161&lt;&gt;"",U1161&lt;&gt;"",V1161&lt;&gt;"",AC1161&lt;&gt;"")),"manuell übersteuert; ","")&amp;IF(AND(CA1161=0,R1161=0),"Gebinde unbekannt / Stellmass fehlt; ","")&amp;IF(AND(CA1161=0,N(V1161)&lt;=0,N(Q1161)&lt;=0),"Menge pro Gebinde fehlt (Ist = 1 Gebinde); ","")&amp;BV1161)</f>
        <v>negativer Bestand (Export -45); Überbestand 334 Stk / CHF 2398; </v>
      </c>
      <c r="BO1161" s="60"/>
      <c r="BP1161" s="60"/>
      <c r="BQ1161" s="67"/>
      <c r="BR1161" s="62" t="n">
        <v>-45</v>
      </c>
      <c r="BS1161" s="62" t="n">
        <v>420</v>
      </c>
      <c r="BT1161" s="61" t="n">
        <v>-323.1</v>
      </c>
      <c r="BU1161" s="62" t="n">
        <v>42</v>
      </c>
      <c r="BV1161" s="60"/>
      <c r="BW1161" s="65" t="n">
        <v>0</v>
      </c>
      <c r="BX1161" s="65" t="n">
        <v>1161</v>
      </c>
      <c r="BY1161" s="60" t="str">
        <f aca="false">IF(U1161&lt;&gt;"",UPPER(TRIM(U1161)),IF(CB1161=1,UPPER(VLOOKUP(T1161,Parameter!$I$27:$K$29,2,0)),IF(P1161="","LOSE",P1161)))</f>
        <v>S63</v>
      </c>
      <c r="BZ1161" s="62" t="n">
        <f aca="false">IF(BY1161="LOSE",1,IF(N(V1161)&gt;0,V1161,IF(CB1161=1,MAX(1,N(VLOOKUP(T1161,Parameter!$I$27:$K$29,3,0)),H1161,N(N1161)),IF(N(Q1161)&gt;0,Q1161,MAX(1,H1161)))))</f>
        <v>320</v>
      </c>
      <c r="CA1161" s="65" t="n">
        <f aca="false">IF(BY1161="LOSE",1,0)</f>
        <v>0</v>
      </c>
      <c r="CB1161" s="65" t="n">
        <f aca="false">IF(AND(U1161="",OR(P1161="",P1161="LOSE"),T1161&lt;&gt;"",N(S1161)&lt;=0,ISNUMBER(MATCH(T1161,Parameter!$I$27:$I$29,0))),1,0)</f>
        <v>0</v>
      </c>
      <c r="CC1161" s="65" t="n">
        <f aca="false">IF(CR1161&gt;0,INDEX(Parameter!$H$5:$H$7,W1161)/INDEX(Parameter!$E$5:$E$7,W1161),IF(AND(CA1161=0,N(IFERROR(VLOOKUP(BY1161,'Gebinde-Kategorie'!$A$5:$N$45,14,0),0))&gt;0),VLOOKUP(BY1161,'Gebinde-Kategorie'!$A$5:$N$45,14,0)*10+Parameter!$M$23,Parameter!$M$24))</f>
        <v>345</v>
      </c>
      <c r="CD1161" s="60" t="str">
        <f aca="false">IF(AND(Parameter!$B$19="Ja",E1161&lt;&gt;"",ISNUMBER(MATCH(E1161,Parameter!$I$35:$I$52,0))),VLOOKUP(E1161,Parameter!$I$35:$J$52,2,0),IFERROR(VLOOKUP(D1161,Parameter!$A$35:$C$64,2,0),"Nein"))</f>
        <v>2+3</v>
      </c>
      <c r="CE1161" s="64" t="n">
        <f aca="false">IF(CA1161=0,0,IF(N(S1161)&gt;0,S1161,IFERROR(VLOOKUP(D1161,Parameter!$A$35:$C$64,3,0)+0,0)))</f>
        <v>0</v>
      </c>
      <c r="CF1161" s="60" t="n">
        <f aca="false">IF(AB1161&lt;&gt;"",AB1161,AA1161)</f>
        <v>3</v>
      </c>
      <c r="CG1161" s="60" t="str">
        <f aca="false">IF(OR(CF1161=1,CF1161=2,CF1161=3),IF(Parameter!$E$27="Ja","LIFT",IF(CF1161=1,"L1","L23")),IF(CF1161="Aussen","Aussen","-"))</f>
        <v>LIFT</v>
      </c>
      <c r="CH1161" s="71" t="n">
        <f aca="false">IF(N(AC1161)&gt;0,AC1161,0)</f>
        <v>0</v>
      </c>
      <c r="CI1161" s="65" t="n">
        <f aca="false">IF(ISNUMBER(AF1161),1,0)</f>
        <v>0</v>
      </c>
      <c r="CJ1161" s="62" t="n">
        <f aca="false">N(AF1161)</f>
        <v>0</v>
      </c>
      <c r="CK1161" s="62" t="n">
        <f aca="false">N(M1161)+N(N1161)</f>
        <v>41</v>
      </c>
      <c r="CL1161" s="62" t="n">
        <f aca="false">N(M1161)</f>
        <v>1</v>
      </c>
      <c r="CM1161" s="62" t="n">
        <f aca="false">N(N1161)</f>
        <v>40</v>
      </c>
      <c r="CN1161" s="62" t="n">
        <f aca="false">ROUNDUP(H1161/BZ1161,0)</f>
        <v>2</v>
      </c>
      <c r="CO1161" s="62" t="n">
        <f aca="false">ROUNDUP(CJ1161/BZ1161,0)</f>
        <v>0</v>
      </c>
      <c r="CP1161" s="65" t="n">
        <f aca="false">IF(CA1161=1,0,IFERROR(VLOOKUP(BY1161,'Gebinde-Kategorie'!$A$5:$N$45,5,0)+0,0))</f>
        <v>31</v>
      </c>
      <c r="CQ1161" s="65" t="n">
        <f aca="false">IFERROR(IF(OR(CF1161=1,CF1161=2,CF1161=3),N(INDEX(Parameter!$I$5:$I$7,CF1161)),0),0)</f>
        <v>0</v>
      </c>
      <c r="CR1161" s="64" t="n">
        <f aca="false">IF(AND(Parameter!$B$21="Ja",ISNUMBER(W1161),N(X1161)&gt;0),IFERROR(N(INDEX(Parameter!$L$5:$L$7,W1161))*INDEX(Parameter!$E$5:$E$7,W1161)*X1161/SUMIFS($X$7:$X$1843,$W$7:$W$1843,W1161),0),0)</f>
        <v>0</v>
      </c>
      <c r="CS1161" s="62" t="n">
        <f aca="false">IF(AND(OR(CG1161="L1",CG1161="L23",CG1161="LIFT"),H1161&gt;0),CC1161*IF(CR1161&gt;0,CR1161*MAX(1,H1161/X1161),IF(CA1161=1,CE1161,IF(R1161&gt;0,CN1161/R1161,0))/MAX(0.1,N(Parameter!$M$21))),"")</f>
        <v>57.5</v>
      </c>
      <c r="CT1161" s="64" t="n">
        <f aca="false">IF(CS1161="","",J1161/H1161)</f>
        <v>0.112</v>
      </c>
      <c r="CU1161" s="62" t="n">
        <f aca="false">IF(CS1161="","",H1161*G1161)</f>
        <v>2692.5</v>
      </c>
      <c r="CV1161" s="63" t="n">
        <f aca="false">IF(CS1161="","",(CL1161+ROUNDUP(CL1161+MAX(CM1161,2*(J1161/MAX(0.1,N(Einkauf!$C$6))-CL1161)),0))/2)</f>
        <v>21</v>
      </c>
      <c r="CW1161" s="62" t="n">
        <f aca="false">IF(CS1161="","",MAX(0,H1161-CV1161)*G1161)</f>
        <v>2541.72</v>
      </c>
      <c r="CX1161" s="62" t="n">
        <f aca="false">IF(CS1161="","",CS1161*MAX(0,1-CV1161/H1161))</f>
        <v>54.28</v>
      </c>
      <c r="CY1161" s="64" t="n">
        <f aca="false">IF(CS1161="","",PERCENTRANK($CS$7:$CS$1843,CS1161)+PERCENTRANK($CU$7:$CU$1843,CU1161)+1-PERCENTRANK($CT$7:$CT$1843,CT1161))</f>
        <v>2.289</v>
      </c>
      <c r="CZ1161" s="72" t="n">
        <f aca="false">IF(CS1161="","",CHOOSE(MATCH(Einkauf!$C$5,Parameter!$G$23:$G$27,0),CY1161,CS1161,CU1161,-CT1161,CW1161)+ROW()/1000000000)</f>
        <v>2.289001161</v>
      </c>
    </row>
    <row r="1162" customFormat="false" ht="15" hidden="false" customHeight="false" outlineLevel="0" collapsed="false">
      <c r="A1162" s="60" t="s">
        <v>2137</v>
      </c>
      <c r="B1162" s="60" t="s">
        <v>2138</v>
      </c>
      <c r="C1162" s="60" t="s">
        <v>498</v>
      </c>
      <c r="D1162" s="60" t="s">
        <v>215</v>
      </c>
      <c r="E1162" s="60" t="s">
        <v>1521</v>
      </c>
      <c r="F1162" s="60" t="s">
        <v>260</v>
      </c>
      <c r="G1162" s="61" t="n">
        <v>82.58</v>
      </c>
      <c r="H1162" s="62" t="n">
        <f aca="false">MAX(0,IF(AND(Parameter!$B$21="Ja",ISNUMBER(Y1162)),Y1162,IF(Parameter!$B$20="Jahresanfang 2025 + Export",BS1162+BR1162,BR1162)))</f>
        <v>0</v>
      </c>
      <c r="I1162" s="62" t="n">
        <f aca="false">H1162*G1162</f>
        <v>0</v>
      </c>
      <c r="J1162" s="62" t="n">
        <f aca="false">BU1162*Parameter!$B$18</f>
        <v>0</v>
      </c>
      <c r="K1162" s="63" t="n">
        <v>2</v>
      </c>
      <c r="L1162" s="64" t="n">
        <v>0</v>
      </c>
      <c r="M1162" s="62" t="n">
        <v>0</v>
      </c>
      <c r="N1162" s="62" t="n">
        <v>1</v>
      </c>
      <c r="O1162" s="65" t="n">
        <v>56</v>
      </c>
      <c r="P1162" s="60" t="s">
        <v>210</v>
      </c>
      <c r="Q1162" s="62"/>
      <c r="R1162" s="65" t="n">
        <f aca="false">IF(CA1162=1,0,IFERROR(VLOOKUP(BY1162,'Gebinde-Kategorie'!$A$5:$N$45,13,0)+0,0))</f>
        <v>4</v>
      </c>
      <c r="S1162" s="66"/>
      <c r="T1162" s="67" t="s">
        <v>231</v>
      </c>
      <c r="U1162" s="67"/>
      <c r="V1162" s="67"/>
      <c r="W1162" s="60"/>
      <c r="X1162" s="62"/>
      <c r="Y1162" s="62"/>
      <c r="Z1162" s="60"/>
      <c r="AA1162" s="60" t="str">
        <f aca="false">IF(A1162="","",IF(AND(Parameter!$B$21="Ja",ISNUMBER(W1162)),W1162,IF(AND(Parameter!$E$27="Ja",ISNUMBER(Z1162),CD1162&lt;&gt;"Nein"),Z1162,IF(CD1162="2+3",IF(ISNUMBER(SEARCH("grosser Artikel",BV1162)),2,IFERROR(VLOOKUP(BY1162,Parameter!$F$35:$G$64,2,0),2)),IF(OR(CD1162="Nein",CD1162=""),"-",CD1162)))))</f>
        <v>-</v>
      </c>
      <c r="AB1162" s="67"/>
      <c r="AC1162" s="68"/>
      <c r="AD1162" s="62" t="n">
        <f aca="false">AW1162</f>
        <v>1</v>
      </c>
      <c r="AE1162" s="62" t="n">
        <f aca="false">MAX(AW1162,H1162)</f>
        <v>1</v>
      </c>
      <c r="AF1162" s="69"/>
      <c r="AG1162" s="62" t="n">
        <f aca="false">IF(LEFT(Cockpit!$C$5,1)="A",H1162,IF(Parameter!$E$30="MAX-Bestand",IF(CI1162=1,CJ1162,IF(LEFT(Cockpit!$C$5,1)="B",AM1162,MAX(AM1162,H1162))),ROUNDUP(AK1162,0)))</f>
        <v>0</v>
      </c>
      <c r="AH1162" s="62" t="n">
        <f aca="false">IF(CA1162=1,0,ROUNDUP(AG1162/BZ1162,0))</f>
        <v>0</v>
      </c>
      <c r="AI1162" s="64" t="n">
        <f aca="false">IF(CR1162&gt;0,CR1162*MAX(1,AG1162/X1162),IF(CA1162=1,IF(AG1162&lt;=0,0,CE1162*MAX(1,IF(H1162&gt;0,AG1162/H1162,1))),IF(R1162&gt;0,AH1162/R1162,0))/MAX(0.1,N(Parameter!$M$21)))</f>
        <v>0</v>
      </c>
      <c r="AJ1162" s="62" t="n">
        <f aca="false">AI1162*CC1162</f>
        <v>0</v>
      </c>
      <c r="AK1162" s="63" t="n">
        <f aca="false">IF(LEFT(Cockpit!$C$5,1)="A",H1162,IF(CI1162=1,(CL1162+CJ1162)/2,IF(LEFT(Cockpit!$C$5,1)="B",(CL1162+AM1162)/2,MAX((CL1162+AM1162)/2,H1162))))</f>
        <v>0</v>
      </c>
      <c r="AL1162" s="62" t="n">
        <f aca="false">AK1162*G1162</f>
        <v>0</v>
      </c>
      <c r="AM1162" s="62" t="n">
        <f aca="false">ROUNDUP(CL1162+MAX(CM1162,2*(J1162/IF(CH1162&gt;0,CH1162,MAX(0.1,N(Cockpit!$C$6)))-CL1162)),0)</f>
        <v>1</v>
      </c>
      <c r="AN1162" s="63" t="n">
        <f aca="false">IF(AJ1162&gt;0,J1162/AJ1162,-1)</f>
        <v>-1</v>
      </c>
      <c r="AO1162" s="63" t="str">
        <f aca="false">IF(AND(OR(CG1162="L1",CG1162="L23",CG1162="LIFT"),AJ1162&gt;0),SUMIFS($AJ$7:$AJ$1843,$CG$7:$CG$1843,CG1162,$AN$7:$AN$1843,"&gt;"&amp;AN1162)+SUMIFS($AJ$7:$AJ$1843,$CG$7:$CG$1843,CG1162,$AN$7:$AN$1843,AN1162,$BX$7:$BX$1843,"&lt;="&amp;BX1162),"")</f>
        <v/>
      </c>
      <c r="AP1162" s="70" t="n">
        <f aca="false">IF(AO1162="",0,MAX(0,MIN(1,(IF(CG1162="L1",Parameter!$H$5,IF(CG1162="L23",Parameter!$H$6+Parameter!$H$7,Parameter!$H$5+Parameter!$H$6+Parameter!$H$7))-(AO1162-AJ1162))/AJ1162)))</f>
        <v>0</v>
      </c>
      <c r="AQ1162" s="62" t="n">
        <f aca="false">IF(LEFT(Cockpit!$I$5,1)="A",H1162,IF(Parameter!$E$30="MAX-Bestand",IF(CI1162=1,CJ1162,IF(LEFT(Cockpit!$I$5,1)="B",AW1162,MAX(AW1162,H1162))),ROUNDUP(AU1162,0)))</f>
        <v>1</v>
      </c>
      <c r="AR1162" s="62" t="n">
        <f aca="false">IF(CA1162=1,0,ROUNDUP(AQ1162/BZ1162,0))</f>
        <v>1</v>
      </c>
      <c r="AS1162" s="64" t="n">
        <f aca="false">IF(CR1162&gt;0,CR1162*MAX(1,AQ1162/X1162),IF(CA1162=1,IF(AQ1162&lt;=0,0,CE1162*MAX(1,IF(H1162&gt;0,AQ1162/H1162,1))),IF(R1162&gt;0,AR1162/R1162,0))/MAX(0.1,N(Parameter!$M$21)))</f>
        <v>0.25</v>
      </c>
      <c r="AT1162" s="62" t="n">
        <f aca="false">AS1162*CC1162</f>
        <v>58.75</v>
      </c>
      <c r="AU1162" s="63" t="n">
        <f aca="false">IF(LEFT(Cockpit!$I$5,1)="A",H1162,IF(CI1162=1,(CL1162+CJ1162)/2,IF(LEFT(Cockpit!$I$5,1)="B",(CL1162+AW1162)/2,MAX((CL1162+AW1162)/2,H1162))))</f>
        <v>0.5</v>
      </c>
      <c r="AV1162" s="62" t="n">
        <f aca="false">AU1162*G1162</f>
        <v>41.29</v>
      </c>
      <c r="AW1162" s="62" t="n">
        <f aca="false">ROUNDUP(CL1162+MAX(CM1162,2*(J1162/IF(CH1162&gt;0,CH1162,MAX(0.1,N(Cockpit!$I$6)))-CL1162)),0)</f>
        <v>1</v>
      </c>
      <c r="AX1162" s="63" t="n">
        <f aca="false">IF(AT1162&gt;0,J1162/AT1162,-1)</f>
        <v>0</v>
      </c>
      <c r="AY1162" s="63" t="str">
        <f aca="false">IF(AND(OR(CG1162="L1",CG1162="L23",CG1162="LIFT"),AT1162&gt;0),SUMIFS($AT$7:$AT$1843,$CG$7:$CG$1843,CG1162,$AX$7:$AX$1843,"&gt;"&amp;AX1162)+SUMIFS($AT$7:$AT$1843,$CG$7:$CG$1843,CG1162,$AX$7:$AX$1843,AX1162,$BX$7:$BX$1843,"&lt;="&amp;BX1162),"")</f>
        <v/>
      </c>
      <c r="AZ1162" s="70" t="n">
        <f aca="false">IF(AY1162="",0,MAX(0,MIN(1,(IF(CG1162="L1",Parameter!$H$5,IF(CG1162="L23",Parameter!$H$6+Parameter!$H$7,Parameter!$H$5+Parameter!$H$6+Parameter!$H$7))-(AY1162-AT1162))/AT1162)))</f>
        <v>0</v>
      </c>
      <c r="BA1162" s="62" t="n">
        <f aca="false">IF(LEFT(Cockpit!$O$5,1)="A",H1162,IF(Parameter!$E$30="MAX-Bestand",IF(CI1162=1,CJ1162,IF(LEFT(Cockpit!$O$5,1)="B",BG1162,MAX(BG1162,H1162))),ROUNDUP(BE1162,0)))</f>
        <v>1</v>
      </c>
      <c r="BB1162" s="62" t="n">
        <f aca="false">IF(CA1162=1,0,ROUNDUP(BA1162/BZ1162,0))</f>
        <v>1</v>
      </c>
      <c r="BC1162" s="64" t="n">
        <f aca="false">IF(CR1162&gt;0,CR1162*MAX(1,BA1162/X1162),IF(CA1162=1,IF(BA1162&lt;=0,0,CE1162*MAX(1,IF(H1162&gt;0,BA1162/H1162,1))),IF(R1162&gt;0,BB1162/R1162,0))/MAX(0.1,N(Parameter!$M$21)))</f>
        <v>0.25</v>
      </c>
      <c r="BD1162" s="62" t="n">
        <f aca="false">BC1162*CC1162</f>
        <v>58.75</v>
      </c>
      <c r="BE1162" s="63" t="n">
        <f aca="false">IF(LEFT(Cockpit!$O$5,1)="A",H1162,IF(CI1162=1,(CL1162+CJ1162)/2,IF(LEFT(Cockpit!$O$5,1)="B",(CL1162+BG1162)/2,MAX((CL1162+BG1162)/2,H1162))))</f>
        <v>0.5</v>
      </c>
      <c r="BF1162" s="62" t="n">
        <f aca="false">BE1162*G1162</f>
        <v>41.29</v>
      </c>
      <c r="BG1162" s="62" t="n">
        <f aca="false">ROUNDUP(CL1162+MAX(CM1162,2*(J1162/IF(CH1162&gt;0,CH1162,MAX(0.1,N(Cockpit!$O$6)))-CL1162)),0)</f>
        <v>1</v>
      </c>
      <c r="BH1162" s="63" t="n">
        <f aca="false">IF(BD1162&gt;0,J1162/BD1162,-1)</f>
        <v>0</v>
      </c>
      <c r="BI1162" s="63" t="str">
        <f aca="false">IF(AND(OR(CG1162="L1",CG1162="L23",CG1162="LIFT"),BD1162&gt;0),SUMIFS($BD$7:$BD$1843,$CG$7:$CG$1843,CG1162,$BH$7:$BH$1843,"&gt;"&amp;BH1162)+SUMIFS($BD$7:$BD$1843,$CG$7:$CG$1843,CG1162,$BH$7:$BH$1843,BH1162,$BX$7:$BX$1843,"&lt;="&amp;BX1162),"")</f>
        <v/>
      </c>
      <c r="BJ1162" s="70" t="n">
        <f aca="false">IF(BI1162="",0,MAX(0,MIN(1,(IF(CG1162="L1",Parameter!$H$5,IF(CG1162="L23",Parameter!$H$6+Parameter!$H$7,Parameter!$H$5+Parameter!$H$6+Parameter!$H$7))-(BI1162-BD1162))/BD1162)))</f>
        <v>0</v>
      </c>
      <c r="BK1162" s="60" t="str">
        <f aca="false">IF(AJ1162&lt;=0,"",IF(CG1162="Aussen","Aussenlager",IF(CG1162="-","Nicht im Lift",IF(AP1162&gt;=1,"Lift",IF(AP1162&lt;=0,"Aussenlager","teilweise")))))</f>
        <v/>
      </c>
      <c r="BL1162" s="60" t="str">
        <f aca="false">IF(AT1162&lt;=0,"",IF(CG1162="Aussen","Aussenlager",IF(CG1162="-","Nicht im Lift",IF(AZ1162&gt;=1,"Lift",IF(AZ1162&lt;=0,"Aussenlager","teilweise")))))</f>
        <v>Nicht im Lift</v>
      </c>
      <c r="BM1162" s="60" t="str">
        <f aca="false">IF(BD1162&lt;=0,"",IF(CG1162="Aussen","Aussenlager",IF(CG1162="-","Nicht im Lift",IF(BJ1162&gt;=1,"Lift",IF(BJ1162&lt;=0,"Aussenlager","teilweise")))))</f>
        <v>Nicht im Lift</v>
      </c>
      <c r="BN1162" s="60" t="str">
        <f aca="false">IF(A1162="","",IF(BW1162=1,"Neu; ","")&amp;IF(AND(BW1162=0,BR1162&lt;0),"negativer Bestand (Export "&amp;BR1162&amp;"); ","")&amp;IF(J1162&lt;=0,"Kein Verbrauch; ","")&amp;IF(CR1162&gt;0,"Lift "&amp;W1162&amp;" lt. Liftbericht (Fach "&amp;X1162&amp;" Stk); ",IF(CB1162=1,"Gebinde geschätzt ("&amp;T1162&amp;"); ",IF(CA1162=1,"Lose – Tablare geschätzt; ","")))&amp;IF(H1162&gt;AW1162,"Überbestand "&amp;ROUND(H1162-AW1162,0)&amp;" Stk / CHF "&amp;ROUND((H1162-AW1162)*G1162,0)&amp;"; ","")&amp;IF(AND(CI1162=1,CJ1162&lt;CK1162),"MAX &lt; MB+LG; ","")&amp;IF(AND(CQ1162&gt;0,CP1162*10&gt;CQ1162),"zu hoch für Tablar; ","")&amp;IF(AND(BW1162=0,OR(CI1162=1,AB1162&lt;&gt;"",U1162&lt;&gt;"",V1162&lt;&gt;"",AC1162&lt;&gt;"")),"manuell übersteuert; ","")&amp;IF(AND(CA1162=0,R1162=0),"Gebinde unbekannt / Stellmass fehlt; ","")&amp;IF(AND(CA1162=0,N(V1162)&lt;=0,N(Q1162)&lt;=0),"Menge pro Gebinde fehlt (Ist = 1 Gebinde); ","")&amp;BV1162)</f>
        <v>negativer Bestand (Export -4); Kein Verbrauch; Gebinde geschätzt (Gross); Menge pro Gebinde fehlt (Ist = 1 Gebinde); </v>
      </c>
      <c r="BO1162" s="60"/>
      <c r="BP1162" s="60"/>
      <c r="BQ1162" s="67"/>
      <c r="BR1162" s="62" t="n">
        <v>-4</v>
      </c>
      <c r="BS1162" s="62" t="n">
        <v>4</v>
      </c>
      <c r="BT1162" s="61" t="n">
        <v>-330.32</v>
      </c>
      <c r="BU1162" s="62" t="n">
        <v>0</v>
      </c>
      <c r="BV1162" s="60"/>
      <c r="BW1162" s="65" t="n">
        <v>0</v>
      </c>
      <c r="BX1162" s="65" t="n">
        <v>1162</v>
      </c>
      <c r="BY1162" s="60" t="str">
        <f aca="false">IF(U1162&lt;&gt;"",UPPER(TRIM(U1162)),IF(CB1162=1,UPPER(VLOOKUP(T1162,Parameter!$I$27:$K$29,2,0)),IF(P1162="","LOSE",P1162)))</f>
        <v>S81</v>
      </c>
      <c r="BZ1162" s="62" t="n">
        <f aca="false">IF(BY1162="LOSE",1,IF(N(V1162)&gt;0,V1162,IF(CB1162=1,MAX(1,N(VLOOKUP(T1162,Parameter!$I$27:$K$29,3,0)),H1162,N(N1162)),IF(N(Q1162)&gt;0,Q1162,MAX(1,H1162)))))</f>
        <v>2</v>
      </c>
      <c r="CA1162" s="65" t="n">
        <f aca="false">IF(BY1162="LOSE",1,0)</f>
        <v>0</v>
      </c>
      <c r="CB1162" s="65" t="n">
        <f aca="false">IF(AND(U1162="",OR(P1162="",P1162="LOSE"),T1162&lt;&gt;"",N(S1162)&lt;=0,ISNUMBER(MATCH(T1162,Parameter!$I$27:$I$29,0))),1,0)</f>
        <v>1</v>
      </c>
      <c r="CC1162" s="65" t="n">
        <f aca="false">IF(CR1162&gt;0,INDEX(Parameter!$H$5:$H$7,W1162)/INDEX(Parameter!$E$5:$E$7,W1162),IF(AND(CA1162=0,N(IFERROR(VLOOKUP(BY1162,'Gebinde-Kategorie'!$A$5:$N$45,14,0),0))&gt;0),VLOOKUP(BY1162,'Gebinde-Kategorie'!$A$5:$N$45,14,0)*10+Parameter!$M$23,Parameter!$M$24))</f>
        <v>235</v>
      </c>
      <c r="CD1162" s="60" t="str">
        <f aca="false">IF(AND(Parameter!$B$19="Ja",E1162&lt;&gt;"",ISNUMBER(MATCH(E1162,Parameter!$I$35:$I$52,0))),VLOOKUP(E1162,Parameter!$I$35:$J$52,2,0),IFERROR(VLOOKUP(D1162,Parameter!$A$35:$C$64,2,0),"Nein"))</f>
        <v>Nein</v>
      </c>
      <c r="CE1162" s="64" t="n">
        <f aca="false">IF(CA1162=0,0,IF(N(S1162)&gt;0,S1162,IFERROR(VLOOKUP(D1162,Parameter!$A$35:$C$64,3,0)+0,0)))</f>
        <v>0</v>
      </c>
      <c r="CF1162" s="60" t="str">
        <f aca="false">IF(AB1162&lt;&gt;"",AB1162,AA1162)</f>
        <v>-</v>
      </c>
      <c r="CG1162" s="60" t="str">
        <f aca="false">IF(OR(CF1162=1,CF1162=2,CF1162=3),IF(Parameter!$E$27="Ja","LIFT",IF(CF1162=1,"L1","L23")),IF(CF1162="Aussen","Aussen","-"))</f>
        <v>-</v>
      </c>
      <c r="CH1162" s="71" t="n">
        <f aca="false">IF(N(AC1162)&gt;0,AC1162,0)</f>
        <v>0</v>
      </c>
      <c r="CI1162" s="65" t="n">
        <f aca="false">IF(ISNUMBER(AF1162),1,0)</f>
        <v>0</v>
      </c>
      <c r="CJ1162" s="62" t="n">
        <f aca="false">N(AF1162)</f>
        <v>0</v>
      </c>
      <c r="CK1162" s="62" t="n">
        <f aca="false">N(M1162)+N(N1162)</f>
        <v>1</v>
      </c>
      <c r="CL1162" s="62" t="n">
        <f aca="false">N(M1162)</f>
        <v>0</v>
      </c>
      <c r="CM1162" s="62" t="n">
        <f aca="false">N(N1162)</f>
        <v>1</v>
      </c>
      <c r="CN1162" s="62" t="n">
        <f aca="false">ROUNDUP(H1162/BZ1162,0)</f>
        <v>0</v>
      </c>
      <c r="CO1162" s="62" t="n">
        <f aca="false">ROUNDUP(CJ1162/BZ1162,0)</f>
        <v>0</v>
      </c>
      <c r="CP1162" s="65" t="n">
        <f aca="false">IF(CA1162=1,0,IFERROR(VLOOKUP(BY1162,'Gebinde-Kategorie'!$A$5:$N$45,5,0)+0,0))</f>
        <v>20</v>
      </c>
      <c r="CQ1162" s="65" t="n">
        <f aca="false">IFERROR(IF(OR(CF1162=1,CF1162=2,CF1162=3),N(INDEX(Parameter!$I$5:$I$7,CF1162)),0),0)</f>
        <v>0</v>
      </c>
      <c r="CR1162" s="64" t="n">
        <f aca="false">IF(AND(Parameter!$B$21="Ja",ISNUMBER(W1162),N(X1162)&gt;0),IFERROR(N(INDEX(Parameter!$L$5:$L$7,W1162))*INDEX(Parameter!$E$5:$E$7,W1162)*X1162/SUMIFS($X$7:$X$1843,$W$7:$W$1843,W1162),0),0)</f>
        <v>0</v>
      </c>
      <c r="CS1162" s="62" t="str">
        <f aca="false">IF(AND(OR(CG1162="L1",CG1162="L23",CG1162="LIFT"),H1162&gt;0),CC1162*IF(CR1162&gt;0,CR1162*MAX(1,H1162/X1162),IF(CA1162=1,CE1162,IF(R1162&gt;0,CN1162/R1162,0))/MAX(0.1,N(Parameter!$M$21))),"")</f>
        <v/>
      </c>
      <c r="CT1162" s="64" t="str">
        <f aca="false">IF(CS1162="","",J1162/H1162)</f>
        <v/>
      </c>
      <c r="CU1162" s="62" t="str">
        <f aca="false">IF(CS1162="","",H1162*G1162)</f>
        <v/>
      </c>
      <c r="CV1162" s="63" t="str">
        <f aca="false">IF(CS1162="","",(CL1162+ROUNDUP(CL1162+MAX(CM1162,2*(J1162/MAX(0.1,N(Einkauf!$C$6))-CL1162)),0))/2)</f>
        <v/>
      </c>
      <c r="CW1162" s="62" t="str">
        <f aca="false">IF(CS1162="","",MAX(0,H1162-CV1162)*G1162)</f>
        <v/>
      </c>
      <c r="CX1162" s="62" t="str">
        <f aca="false">IF(CS1162="","",CS1162*MAX(0,1-CV1162/H1162))</f>
        <v/>
      </c>
      <c r="CY1162" s="64" t="str">
        <f aca="false">IF(CS1162="","",PERCENTRANK($CS$7:$CS$1843,CS1162)+PERCENTRANK($CU$7:$CU$1843,CU1162)+1-PERCENTRANK($CT$7:$CT$1843,CT1162))</f>
        <v/>
      </c>
      <c r="CZ1162" s="72" t="str">
        <f aca="false">IF(CS1162="","",CHOOSE(MATCH(Einkauf!$C$5,Parameter!$G$23:$G$27,0),CY1162,CS1162,CU1162,-CT1162,CW1162)+ROW()/1000000000)</f>
        <v/>
      </c>
    </row>
    <row r="1163" customFormat="false" ht="15" hidden="false" customHeight="false" outlineLevel="0" collapsed="false">
      <c r="A1163" s="60" t="s">
        <v>2139</v>
      </c>
      <c r="B1163" s="60" t="s">
        <v>2140</v>
      </c>
      <c r="C1163" s="60" t="s">
        <v>206</v>
      </c>
      <c r="D1163" s="60" t="s">
        <v>226</v>
      </c>
      <c r="E1163" s="60" t="s">
        <v>227</v>
      </c>
      <c r="F1163" s="60" t="s">
        <v>260</v>
      </c>
      <c r="G1163" s="61" t="n">
        <v>28.48</v>
      </c>
      <c r="H1163" s="62" t="n">
        <f aca="false">MAX(0,IF(AND(Parameter!$B$21="Ja",ISNUMBER(Y1163)),Y1163,IF(Parameter!$B$20="Jahresanfang 2025 + Export",BS1163+BR1163,BR1163)))</f>
        <v>53</v>
      </c>
      <c r="I1163" s="62" t="n">
        <f aca="false">H1163*G1163</f>
        <v>1509.44</v>
      </c>
      <c r="J1163" s="62" t="n">
        <f aca="false">BU1163*Parameter!$B$18</f>
        <v>292</v>
      </c>
      <c r="K1163" s="63" t="n">
        <v>108.5</v>
      </c>
      <c r="L1163" s="64" t="n">
        <v>2.69124423963134</v>
      </c>
      <c r="M1163" s="62" t="n">
        <v>17</v>
      </c>
      <c r="N1163" s="62" t="n">
        <v>100</v>
      </c>
      <c r="O1163" s="65" t="n">
        <v>21</v>
      </c>
      <c r="P1163" s="60" t="s">
        <v>370</v>
      </c>
      <c r="Q1163" s="62" t="n">
        <v>249</v>
      </c>
      <c r="R1163" s="65" t="n">
        <f aca="false">IF(CA1163=1,0,IFERROR(VLOOKUP(BY1163,'Gebinde-Kategorie'!$A$5:$N$45,13,0)+0,0))</f>
        <v>52</v>
      </c>
      <c r="S1163" s="66"/>
      <c r="T1163" s="67"/>
      <c r="U1163" s="67"/>
      <c r="V1163" s="67"/>
      <c r="W1163" s="60"/>
      <c r="X1163" s="62"/>
      <c r="Y1163" s="62"/>
      <c r="Z1163" s="60" t="n">
        <v>3</v>
      </c>
      <c r="AA1163" s="60" t="n">
        <f aca="false">IF(A1163="","",IF(AND(Parameter!$B$21="Ja",ISNUMBER(W1163)),W1163,IF(AND(Parameter!$E$27="Ja",ISNUMBER(Z1163),CD1163&lt;&gt;"Nein"),Z1163,IF(CD1163="2+3",IF(ISNUMBER(SEARCH("grosser Artikel",BV1163)),2,IFERROR(VLOOKUP(BY1163,Parameter!$F$35:$G$64,2,0),2)),IF(OR(CD1163="Nein",CD1163=""),"-",CD1163)))))</f>
        <v>3</v>
      </c>
      <c r="AB1163" s="67"/>
      <c r="AC1163" s="68"/>
      <c r="AD1163" s="62" t="n">
        <f aca="false">AW1163</f>
        <v>178</v>
      </c>
      <c r="AE1163" s="62" t="n">
        <f aca="false">MAX(AW1163,H1163)</f>
        <v>178</v>
      </c>
      <c r="AF1163" s="69"/>
      <c r="AG1163" s="62" t="n">
        <f aca="false">IF(LEFT(Cockpit!$C$5,1)="A",H1163,IF(Parameter!$E$30="MAX-Bestand",IF(CI1163=1,CJ1163,IF(LEFT(Cockpit!$C$5,1)="B",AM1163,MAX(AM1163,H1163))),ROUNDUP(AK1163,0)))</f>
        <v>53</v>
      </c>
      <c r="AH1163" s="62" t="n">
        <f aca="false">IF(CA1163=1,0,ROUNDUP(AG1163/BZ1163,0))</f>
        <v>1</v>
      </c>
      <c r="AI1163" s="64" t="n">
        <f aca="false">IF(CR1163&gt;0,CR1163*MAX(1,AG1163/X1163),IF(CA1163=1,IF(AG1163&lt;=0,0,CE1163*MAX(1,IF(H1163&gt;0,AG1163/H1163,1))),IF(R1163&gt;0,AH1163/R1163,0))/MAX(0.1,N(Parameter!$M$21)))</f>
        <v>0.0192307692307692</v>
      </c>
      <c r="AJ1163" s="62" t="n">
        <f aca="false">AI1163*CC1163</f>
        <v>2.98076923076923</v>
      </c>
      <c r="AK1163" s="63" t="n">
        <f aca="false">IF(LEFT(Cockpit!$C$5,1)="A",H1163,IF(CI1163=1,(CL1163+CJ1163)/2,IF(LEFT(Cockpit!$C$5,1)="B",(CL1163+AM1163)/2,MAX((CL1163+AM1163)/2,H1163))))</f>
        <v>53</v>
      </c>
      <c r="AL1163" s="62" t="n">
        <f aca="false">AK1163*G1163</f>
        <v>1509.44</v>
      </c>
      <c r="AM1163" s="62" t="n">
        <f aca="false">ROUNDUP(CL1163+MAX(CM1163,2*(J1163/IF(CH1163&gt;0,CH1163,MAX(0.1,N(Cockpit!$C$6)))-CL1163)),0)</f>
        <v>178</v>
      </c>
      <c r="AN1163" s="63" t="n">
        <f aca="false">IF(AJ1163&gt;0,J1163/AJ1163,-1)</f>
        <v>97.9612903225806</v>
      </c>
      <c r="AO1163" s="63" t="n">
        <f aca="false">IF(AND(OR(CG1163="L1",CG1163="L23",CG1163="LIFT"),AJ1163&gt;0),SUMIFS($AJ$7:$AJ$1843,$CG$7:$CG$1843,CG1163,$AN$7:$AN$1843,"&gt;"&amp;AN1163)+SUMIFS($AJ$7:$AJ$1843,$CG$7:$CG$1843,CG1163,$AN$7:$AN$1843,AN1163,$BX$7:$BX$1843,"&lt;="&amp;BX1163),"")</f>
        <v>767.422619047619</v>
      </c>
      <c r="AP1163" s="70" t="n">
        <f aca="false">IF(AO1163="",0,MAX(0,MIN(1,(IF(CG1163="L1",Parameter!$H$5,IF(CG1163="L23",Parameter!$H$6+Parameter!$H$7,Parameter!$H$5+Parameter!$H$6+Parameter!$H$7))-(AO1163-AJ1163))/AJ1163)))</f>
        <v>1</v>
      </c>
      <c r="AQ1163" s="62" t="n">
        <f aca="false">IF(LEFT(Cockpit!$I$5,1)="A",H1163,IF(Parameter!$E$30="MAX-Bestand",IF(CI1163=1,CJ1163,IF(LEFT(Cockpit!$I$5,1)="B",AW1163,MAX(AW1163,H1163))),ROUNDUP(AU1163,0)))</f>
        <v>98</v>
      </c>
      <c r="AR1163" s="62" t="n">
        <f aca="false">IF(CA1163=1,0,ROUNDUP(AQ1163/BZ1163,0))</f>
        <v>1</v>
      </c>
      <c r="AS1163" s="64" t="n">
        <f aca="false">IF(CR1163&gt;0,CR1163*MAX(1,AQ1163/X1163),IF(CA1163=1,IF(AQ1163&lt;=0,0,CE1163*MAX(1,IF(H1163&gt;0,AQ1163/H1163,1))),IF(R1163&gt;0,AR1163/R1163,0))/MAX(0.1,N(Parameter!$M$21)))</f>
        <v>0.0192307692307692</v>
      </c>
      <c r="AT1163" s="62" t="n">
        <f aca="false">AS1163*CC1163</f>
        <v>2.98076923076923</v>
      </c>
      <c r="AU1163" s="63" t="n">
        <f aca="false">IF(LEFT(Cockpit!$I$5,1)="A",H1163,IF(CI1163=1,(CL1163+CJ1163)/2,IF(LEFT(Cockpit!$I$5,1)="B",(CL1163+AW1163)/2,MAX((CL1163+AW1163)/2,H1163))))</f>
        <v>97.5</v>
      </c>
      <c r="AV1163" s="62" t="n">
        <f aca="false">AU1163*G1163</f>
        <v>2776.8</v>
      </c>
      <c r="AW1163" s="62" t="n">
        <f aca="false">ROUNDUP(CL1163+MAX(CM1163,2*(J1163/IF(CH1163&gt;0,CH1163,MAX(0.1,N(Cockpit!$I$6)))-CL1163)),0)</f>
        <v>178</v>
      </c>
      <c r="AX1163" s="63" t="n">
        <f aca="false">IF(AT1163&gt;0,J1163/AT1163,-1)</f>
        <v>97.9612903225806</v>
      </c>
      <c r="AY1163" s="63" t="n">
        <f aca="false">IF(AND(OR(CG1163="L1",CG1163="L23",CG1163="LIFT"),AT1163&gt;0),SUMIFS($AT$7:$AT$1843,$CG$7:$CG$1843,CG1163,$AX$7:$AX$1843,"&gt;"&amp;AX1163)+SUMIFS($AT$7:$AT$1843,$CG$7:$CG$1843,CG1163,$AX$7:$AX$1843,AX1163,$BX$7:$BX$1843,"&lt;="&amp;BX1163),"")</f>
        <v>1020.99175824176</v>
      </c>
      <c r="AZ1163" s="70" t="n">
        <f aca="false">IF(AY1163="",0,MAX(0,MIN(1,(IF(CG1163="L1",Parameter!$H$5,IF(CG1163="L23",Parameter!$H$6+Parameter!$H$7,Parameter!$H$5+Parameter!$H$6+Parameter!$H$7))-(AY1163-AT1163))/AT1163)))</f>
        <v>1</v>
      </c>
      <c r="BA1163" s="62" t="n">
        <f aca="false">IF(LEFT(Cockpit!$O$5,1)="A",H1163,IF(Parameter!$E$30="MAX-Bestand",IF(CI1163=1,CJ1163,IF(LEFT(Cockpit!$O$5,1)="B",BG1163,MAX(BG1163,H1163))),ROUNDUP(BE1163,0)))</f>
        <v>73</v>
      </c>
      <c r="BB1163" s="62" t="n">
        <f aca="false">IF(CA1163=1,0,ROUNDUP(BA1163/BZ1163,0))</f>
        <v>1</v>
      </c>
      <c r="BC1163" s="64" t="n">
        <f aca="false">IF(CR1163&gt;0,CR1163*MAX(1,BA1163/X1163),IF(CA1163=1,IF(BA1163&lt;=0,0,CE1163*MAX(1,IF(H1163&gt;0,BA1163/H1163,1))),IF(R1163&gt;0,BB1163/R1163,0))/MAX(0.1,N(Parameter!$M$21)))</f>
        <v>0.0192307692307692</v>
      </c>
      <c r="BD1163" s="62" t="n">
        <f aca="false">BC1163*CC1163</f>
        <v>2.98076923076923</v>
      </c>
      <c r="BE1163" s="63" t="n">
        <f aca="false">IF(LEFT(Cockpit!$O$5,1)="A",H1163,IF(CI1163=1,(CL1163+CJ1163)/2,IF(LEFT(Cockpit!$O$5,1)="B",(CL1163+BG1163)/2,MAX((CL1163+BG1163)/2,H1163))))</f>
        <v>73</v>
      </c>
      <c r="BF1163" s="62" t="n">
        <f aca="false">BE1163*G1163</f>
        <v>2079.04</v>
      </c>
      <c r="BG1163" s="62" t="n">
        <f aca="false">ROUNDUP(CL1163+MAX(CM1163,2*(J1163/IF(CH1163&gt;0,CH1163,MAX(0.1,N(Cockpit!$O$6)))-CL1163)),0)</f>
        <v>129</v>
      </c>
      <c r="BH1163" s="63" t="n">
        <f aca="false">IF(BD1163&gt;0,J1163/BD1163,-1)</f>
        <v>97.9612903225806</v>
      </c>
      <c r="BI1163" s="63" t="n">
        <f aca="false">IF(AND(OR(CG1163="L1",CG1163="L23",CG1163="LIFT"),BD1163&gt;0),SUMIFS($BD$7:$BD$1843,$CG$7:$CG$1843,CG1163,$BH$7:$BH$1843,"&gt;"&amp;BH1163)+SUMIFS($BD$7:$BD$1843,$CG$7:$CG$1843,CG1163,$BH$7:$BH$1843,BH1163,$BX$7:$BX$1843,"&lt;="&amp;BX1163),"")</f>
        <v>914.867216117216</v>
      </c>
      <c r="BJ1163" s="70" t="n">
        <f aca="false">IF(BI1163="",0,MAX(0,MIN(1,(IF(CG1163="L1",Parameter!$H$5,IF(CG1163="L23",Parameter!$H$6+Parameter!$H$7,Parameter!$H$5+Parameter!$H$6+Parameter!$H$7))-(BI1163-BD1163))/BD1163)))</f>
        <v>1</v>
      </c>
      <c r="BK1163" s="60" t="str">
        <f aca="false">IF(AJ1163&lt;=0,"",IF(CG1163="Aussen","Aussenlager",IF(CG1163="-","Nicht im Lift",IF(AP1163&gt;=1,"Lift",IF(AP1163&lt;=0,"Aussenlager","teilweise")))))</f>
        <v>Lift</v>
      </c>
      <c r="BL1163" s="60" t="str">
        <f aca="false">IF(AT1163&lt;=0,"",IF(CG1163="Aussen","Aussenlager",IF(CG1163="-","Nicht im Lift",IF(AZ1163&gt;=1,"Lift",IF(AZ1163&lt;=0,"Aussenlager","teilweise")))))</f>
        <v>Lift</v>
      </c>
      <c r="BM1163" s="60" t="str">
        <f aca="false">IF(BD1163&lt;=0,"",IF(CG1163="Aussen","Aussenlager",IF(CG1163="-","Nicht im Lift",IF(BJ1163&gt;=1,"Lift",IF(BJ1163&lt;=0,"Aussenlager","teilweise")))))</f>
        <v>Lift</v>
      </c>
      <c r="BN1163" s="60" t="str">
        <f aca="false">IF(A1163="","",IF(BW1163=1,"Neu; ","")&amp;IF(AND(BW1163=0,BR1163&lt;0),"negativer Bestand (Export "&amp;BR1163&amp;"); ","")&amp;IF(J1163&lt;=0,"Kein Verbrauch; ","")&amp;IF(CR1163&gt;0,"Lift "&amp;W1163&amp;" lt. Liftbericht (Fach "&amp;X1163&amp;" Stk); ",IF(CB1163=1,"Gebinde geschätzt ("&amp;T1163&amp;"); ",IF(CA1163=1,"Lose – Tablare geschätzt; ","")))&amp;IF(H1163&gt;AW1163,"Überbestand "&amp;ROUND(H1163-AW1163,0)&amp;" Stk / CHF "&amp;ROUND((H1163-AW1163)*G1163,0)&amp;"; ","")&amp;IF(AND(CI1163=1,CJ1163&lt;CK1163),"MAX &lt; MB+LG; ","")&amp;IF(AND(CQ1163&gt;0,CP1163*10&gt;CQ1163),"zu hoch für Tablar; ","")&amp;IF(AND(BW1163=0,OR(CI1163=1,AB1163&lt;&gt;"",U1163&lt;&gt;"",V1163&lt;&gt;"",AC1163&lt;&gt;"")),"manuell übersteuert; ","")&amp;IF(AND(CA1163=0,R1163=0),"Gebinde unbekannt / Stellmass fehlt; ","")&amp;IF(AND(CA1163=0,N(V1163)&lt;=0,N(Q1163)&lt;=0),"Menge pro Gebinde fehlt (Ist = 1 Gebinde); ","")&amp;BV1163)</f>
        <v>negativer Bestand (Export -12); </v>
      </c>
      <c r="BO1163" s="60"/>
      <c r="BP1163" s="60"/>
      <c r="BQ1163" s="67"/>
      <c r="BR1163" s="62" t="n">
        <v>-12</v>
      </c>
      <c r="BS1163" s="62" t="n">
        <v>65</v>
      </c>
      <c r="BT1163" s="61" t="n">
        <v>-337.52</v>
      </c>
      <c r="BU1163" s="62" t="n">
        <v>292</v>
      </c>
      <c r="BV1163" s="60"/>
      <c r="BW1163" s="65" t="n">
        <v>0</v>
      </c>
      <c r="BX1163" s="65" t="n">
        <v>1163</v>
      </c>
      <c r="BY1163" s="60" t="str">
        <f aca="false">IF(U1163&lt;&gt;"",UPPER(TRIM(U1163)),IF(CB1163=1,UPPER(VLOOKUP(T1163,Parameter!$I$27:$K$29,2,0)),IF(P1163="","LOSE",P1163)))</f>
        <v>S41</v>
      </c>
      <c r="BZ1163" s="62" t="n">
        <f aca="false">IF(BY1163="LOSE",1,IF(N(V1163)&gt;0,V1163,IF(CB1163=1,MAX(1,N(VLOOKUP(T1163,Parameter!$I$27:$K$29,3,0)),H1163,N(N1163)),IF(N(Q1163)&gt;0,Q1163,MAX(1,H1163)))))</f>
        <v>249</v>
      </c>
      <c r="CA1163" s="65" t="n">
        <f aca="false">IF(BY1163="LOSE",1,0)</f>
        <v>0</v>
      </c>
      <c r="CB1163" s="65" t="n">
        <f aca="false">IF(AND(U1163="",OR(P1163="",P1163="LOSE"),T1163&lt;&gt;"",N(S1163)&lt;=0,ISNUMBER(MATCH(T1163,Parameter!$I$27:$I$29,0))),1,0)</f>
        <v>0</v>
      </c>
      <c r="CC1163" s="65" t="n">
        <f aca="false">IF(CR1163&gt;0,INDEX(Parameter!$H$5:$H$7,W1163)/INDEX(Parameter!$E$5:$E$7,W1163),IF(AND(CA1163=0,N(IFERROR(VLOOKUP(BY1163,'Gebinde-Kategorie'!$A$5:$N$45,14,0),0))&gt;0),VLOOKUP(BY1163,'Gebinde-Kategorie'!$A$5:$N$45,14,0)*10+Parameter!$M$23,Parameter!$M$24))</f>
        <v>155</v>
      </c>
      <c r="CD1163" s="60" t="str">
        <f aca="false">IF(AND(Parameter!$B$19="Ja",E1163&lt;&gt;"",ISNUMBER(MATCH(E1163,Parameter!$I$35:$I$52,0))),VLOOKUP(E1163,Parameter!$I$35:$J$52,2,0),IFERROR(VLOOKUP(D1163,Parameter!$A$35:$C$64,2,0),"Nein"))</f>
        <v>2+3</v>
      </c>
      <c r="CE1163" s="64" t="n">
        <f aca="false">IF(CA1163=0,0,IF(N(S1163)&gt;0,S1163,IFERROR(VLOOKUP(D1163,Parameter!$A$35:$C$64,3,0)+0,0)))</f>
        <v>0</v>
      </c>
      <c r="CF1163" s="60" t="n">
        <f aca="false">IF(AB1163&lt;&gt;"",AB1163,AA1163)</f>
        <v>3</v>
      </c>
      <c r="CG1163" s="60" t="str">
        <f aca="false">IF(OR(CF1163=1,CF1163=2,CF1163=3),IF(Parameter!$E$27="Ja","LIFT",IF(CF1163=1,"L1","L23")),IF(CF1163="Aussen","Aussen","-"))</f>
        <v>LIFT</v>
      </c>
      <c r="CH1163" s="71" t="n">
        <f aca="false">IF(N(AC1163)&gt;0,AC1163,0)</f>
        <v>0</v>
      </c>
      <c r="CI1163" s="65" t="n">
        <f aca="false">IF(ISNUMBER(AF1163),1,0)</f>
        <v>0</v>
      </c>
      <c r="CJ1163" s="62" t="n">
        <f aca="false">N(AF1163)</f>
        <v>0</v>
      </c>
      <c r="CK1163" s="62" t="n">
        <f aca="false">N(M1163)+N(N1163)</f>
        <v>117</v>
      </c>
      <c r="CL1163" s="62" t="n">
        <f aca="false">N(M1163)</f>
        <v>17</v>
      </c>
      <c r="CM1163" s="62" t="n">
        <f aca="false">N(N1163)</f>
        <v>100</v>
      </c>
      <c r="CN1163" s="62" t="n">
        <f aca="false">ROUNDUP(H1163/BZ1163,0)</f>
        <v>1</v>
      </c>
      <c r="CO1163" s="62" t="n">
        <f aca="false">ROUNDUP(CJ1163/BZ1163,0)</f>
        <v>0</v>
      </c>
      <c r="CP1163" s="65" t="n">
        <f aca="false">IF(CA1163=1,0,IFERROR(VLOOKUP(BY1163,'Gebinde-Kategorie'!$A$5:$N$45,5,0)+0,0))</f>
        <v>11</v>
      </c>
      <c r="CQ1163" s="65" t="n">
        <f aca="false">IFERROR(IF(OR(CF1163=1,CF1163=2,CF1163=3),N(INDEX(Parameter!$I$5:$I$7,CF1163)),0),0)</f>
        <v>0</v>
      </c>
      <c r="CR1163" s="64" t="n">
        <f aca="false">IF(AND(Parameter!$B$21="Ja",ISNUMBER(W1163),N(X1163)&gt;0),IFERROR(N(INDEX(Parameter!$L$5:$L$7,W1163))*INDEX(Parameter!$E$5:$E$7,W1163)*X1163/SUMIFS($X$7:$X$1843,$W$7:$W$1843,W1163),0),0)</f>
        <v>0</v>
      </c>
      <c r="CS1163" s="62" t="n">
        <f aca="false">IF(AND(OR(CG1163="L1",CG1163="L23",CG1163="LIFT"),H1163&gt;0),CC1163*IF(CR1163&gt;0,CR1163*MAX(1,H1163/X1163),IF(CA1163=1,CE1163,IF(R1163&gt;0,CN1163/R1163,0))/MAX(0.1,N(Parameter!$M$21))),"")</f>
        <v>2.98076923076923</v>
      </c>
      <c r="CT1163" s="64" t="n">
        <f aca="false">IF(CS1163="","",J1163/H1163)</f>
        <v>5.50943396226415</v>
      </c>
      <c r="CU1163" s="62" t="n">
        <f aca="false">IF(CS1163="","",H1163*G1163)</f>
        <v>1509.44</v>
      </c>
      <c r="CV1163" s="63" t="n">
        <f aca="false">IF(CS1163="","",(CL1163+ROUNDUP(CL1163+MAX(CM1163,2*(J1163/MAX(0.1,N(Einkauf!$C$6))-CL1163)),0))/2)</f>
        <v>73</v>
      </c>
      <c r="CW1163" s="62" t="n">
        <f aca="false">IF(CS1163="","",MAX(0,H1163-CV1163)*G1163)</f>
        <v>0</v>
      </c>
      <c r="CX1163" s="62" t="n">
        <f aca="false">IF(CS1163="","",CS1163*MAX(0,1-CV1163/H1163))</f>
        <v>0</v>
      </c>
      <c r="CY1163" s="64" t="n">
        <f aca="false">IF(CS1163="","",PERCENTRANK($CS$7:$CS$1843,CS1163)+PERCENTRANK($CU$7:$CU$1843,CU1163)+1-PERCENTRANK($CT$7:$CT$1843,CT1163))</f>
        <v>0.967</v>
      </c>
      <c r="CZ1163" s="72" t="n">
        <f aca="false">IF(CS1163="","",CHOOSE(MATCH(Einkauf!$C$5,Parameter!$G$23:$G$27,0),CY1163,CS1163,CU1163,-CT1163,CW1163)+ROW()/1000000000)</f>
        <v>0.967001163</v>
      </c>
    </row>
    <row r="1164" customFormat="false" ht="15" hidden="false" customHeight="false" outlineLevel="0" collapsed="false">
      <c r="A1164" s="60" t="s">
        <v>2141</v>
      </c>
      <c r="B1164" s="60" t="s">
        <v>1934</v>
      </c>
      <c r="C1164" s="60" t="s">
        <v>206</v>
      </c>
      <c r="D1164" s="60" t="s">
        <v>226</v>
      </c>
      <c r="E1164" s="60" t="s">
        <v>227</v>
      </c>
      <c r="F1164" s="60" t="s">
        <v>260</v>
      </c>
      <c r="G1164" s="61" t="n">
        <v>26.09</v>
      </c>
      <c r="H1164" s="62" t="n">
        <f aca="false">MAX(0,IF(AND(Parameter!$B$21="Ja",ISNUMBER(Y1164)),Y1164,IF(Parameter!$B$20="Jahresanfang 2025 + Export",BS1164+BR1164,BR1164)))</f>
        <v>77</v>
      </c>
      <c r="I1164" s="62" t="n">
        <f aca="false">H1164*G1164</f>
        <v>2008.93</v>
      </c>
      <c r="J1164" s="62" t="n">
        <f aca="false">BU1164*Parameter!$B$18</f>
        <v>12</v>
      </c>
      <c r="K1164" s="63" t="n">
        <v>84</v>
      </c>
      <c r="L1164" s="64" t="n">
        <v>0.142857142857143</v>
      </c>
      <c r="M1164" s="62" t="n">
        <v>1</v>
      </c>
      <c r="N1164" s="62" t="n">
        <v>10</v>
      </c>
      <c r="O1164" s="65" t="n">
        <v>35</v>
      </c>
      <c r="P1164" s="60" t="s">
        <v>370</v>
      </c>
      <c r="Q1164" s="62" t="n">
        <v>113</v>
      </c>
      <c r="R1164" s="65" t="n">
        <f aca="false">IF(CA1164=1,0,IFERROR(VLOOKUP(BY1164,'Gebinde-Kategorie'!$A$5:$N$45,13,0)+0,0))</f>
        <v>52</v>
      </c>
      <c r="S1164" s="66"/>
      <c r="T1164" s="67"/>
      <c r="U1164" s="67"/>
      <c r="V1164" s="67"/>
      <c r="W1164" s="60"/>
      <c r="X1164" s="62"/>
      <c r="Y1164" s="62"/>
      <c r="Z1164" s="60" t="n">
        <v>2</v>
      </c>
      <c r="AA1164" s="60" t="n">
        <f aca="false">IF(A1164="","",IF(AND(Parameter!$B$21="Ja",ISNUMBER(W1164)),W1164,IF(AND(Parameter!$E$27="Ja",ISNUMBER(Z1164),CD1164&lt;&gt;"Nein"),Z1164,IF(CD1164="2+3",IF(ISNUMBER(SEARCH("grosser Artikel",BV1164)),2,IFERROR(VLOOKUP(BY1164,Parameter!$F$35:$G$64,2,0),2)),IF(OR(CD1164="Nein",CD1164=""),"-",CD1164)))))</f>
        <v>2</v>
      </c>
      <c r="AB1164" s="67"/>
      <c r="AC1164" s="68"/>
      <c r="AD1164" s="62" t="n">
        <f aca="false">AW1164</f>
        <v>11</v>
      </c>
      <c r="AE1164" s="62" t="n">
        <f aca="false">MAX(AW1164,H1164)</f>
        <v>77</v>
      </c>
      <c r="AF1164" s="69"/>
      <c r="AG1164" s="62" t="n">
        <f aca="false">IF(LEFT(Cockpit!$C$5,1)="A",H1164,IF(Parameter!$E$30="MAX-Bestand",IF(CI1164=1,CJ1164,IF(LEFT(Cockpit!$C$5,1)="B",AM1164,MAX(AM1164,H1164))),ROUNDUP(AK1164,0)))</f>
        <v>77</v>
      </c>
      <c r="AH1164" s="62" t="n">
        <f aca="false">IF(CA1164=1,0,ROUNDUP(AG1164/BZ1164,0))</f>
        <v>1</v>
      </c>
      <c r="AI1164" s="64" t="n">
        <f aca="false">IF(CR1164&gt;0,CR1164*MAX(1,AG1164/X1164),IF(CA1164=1,IF(AG1164&lt;=0,0,CE1164*MAX(1,IF(H1164&gt;0,AG1164/H1164,1))),IF(R1164&gt;0,AH1164/R1164,0))/MAX(0.1,N(Parameter!$M$21)))</f>
        <v>0.0192307692307692</v>
      </c>
      <c r="AJ1164" s="62" t="n">
        <f aca="false">AI1164*CC1164</f>
        <v>2.98076923076923</v>
      </c>
      <c r="AK1164" s="63" t="n">
        <f aca="false">IF(LEFT(Cockpit!$C$5,1)="A",H1164,IF(CI1164=1,(CL1164+CJ1164)/2,IF(LEFT(Cockpit!$C$5,1)="B",(CL1164+AM1164)/2,MAX((CL1164+AM1164)/2,H1164))))</f>
        <v>77</v>
      </c>
      <c r="AL1164" s="62" t="n">
        <f aca="false">AK1164*G1164</f>
        <v>2008.93</v>
      </c>
      <c r="AM1164" s="62" t="n">
        <f aca="false">ROUNDUP(CL1164+MAX(CM1164,2*(J1164/IF(CH1164&gt;0,CH1164,MAX(0.1,N(Cockpit!$C$6)))-CL1164)),0)</f>
        <v>11</v>
      </c>
      <c r="AN1164" s="63" t="n">
        <f aca="false">IF(AJ1164&gt;0,J1164/AJ1164,-1)</f>
        <v>4.0258064516129</v>
      </c>
      <c r="AO1164" s="63" t="n">
        <f aca="false">IF(AND(OR(CG1164="L1",CG1164="L23",CG1164="LIFT"),AJ1164&gt;0),SUMIFS($AJ$7:$AJ$1843,$CG$7:$CG$1843,CG1164,$AN$7:$AN$1843,"&gt;"&amp;AN1164)+SUMIFS($AJ$7:$AJ$1843,$CG$7:$CG$1843,CG1164,$AN$7:$AN$1843,AN1164,$BX$7:$BX$1843,"&lt;="&amp;BX1164),"")</f>
        <v>4364.65064102564</v>
      </c>
      <c r="AP1164" s="70" t="n">
        <f aca="false">IF(AO1164="",0,MAX(0,MIN(1,(IF(CG1164="L1",Parameter!$H$5,IF(CG1164="L23",Parameter!$H$6+Parameter!$H$7,Parameter!$H$5+Parameter!$H$6+Parameter!$H$7))-(AO1164-AJ1164))/AJ1164)))</f>
        <v>1</v>
      </c>
      <c r="AQ1164" s="62" t="n">
        <f aca="false">IF(LEFT(Cockpit!$I$5,1)="A",H1164,IF(Parameter!$E$30="MAX-Bestand",IF(CI1164=1,CJ1164,IF(LEFT(Cockpit!$I$5,1)="B",AW1164,MAX(AW1164,H1164))),ROUNDUP(AU1164,0)))</f>
        <v>77</v>
      </c>
      <c r="AR1164" s="62" t="n">
        <f aca="false">IF(CA1164=1,0,ROUNDUP(AQ1164/BZ1164,0))</f>
        <v>1</v>
      </c>
      <c r="AS1164" s="64" t="n">
        <f aca="false">IF(CR1164&gt;0,CR1164*MAX(1,AQ1164/X1164),IF(CA1164=1,IF(AQ1164&lt;=0,0,CE1164*MAX(1,IF(H1164&gt;0,AQ1164/H1164,1))),IF(R1164&gt;0,AR1164/R1164,0))/MAX(0.1,N(Parameter!$M$21)))</f>
        <v>0.0192307692307692</v>
      </c>
      <c r="AT1164" s="62" t="n">
        <f aca="false">AS1164*CC1164</f>
        <v>2.98076923076923</v>
      </c>
      <c r="AU1164" s="63" t="n">
        <f aca="false">IF(LEFT(Cockpit!$I$5,1)="A",H1164,IF(CI1164=1,(CL1164+CJ1164)/2,IF(LEFT(Cockpit!$I$5,1)="B",(CL1164+AW1164)/2,MAX((CL1164+AW1164)/2,H1164))))</f>
        <v>77</v>
      </c>
      <c r="AV1164" s="62" t="n">
        <f aca="false">AU1164*G1164</f>
        <v>2008.93</v>
      </c>
      <c r="AW1164" s="62" t="n">
        <f aca="false">ROUNDUP(CL1164+MAX(CM1164,2*(J1164/IF(CH1164&gt;0,CH1164,MAX(0.1,N(Cockpit!$I$6)))-CL1164)),0)</f>
        <v>11</v>
      </c>
      <c r="AX1164" s="63" t="n">
        <f aca="false">IF(AT1164&gt;0,J1164/AT1164,-1)</f>
        <v>4.0258064516129</v>
      </c>
      <c r="AY1164" s="63" t="n">
        <f aca="false">IF(AND(OR(CG1164="L1",CG1164="L23",CG1164="LIFT"),AT1164&gt;0),SUMIFS($AT$7:$AT$1843,$CG$7:$CG$1843,CG1164,$AX$7:$AX$1843,"&gt;"&amp;AX1164)+SUMIFS($AT$7:$AT$1843,$CG$7:$CG$1843,CG1164,$AX$7:$AX$1843,AX1164,$BX$7:$BX$1843,"&lt;="&amp;BX1164),"")</f>
        <v>4973.64789377289</v>
      </c>
      <c r="AZ1164" s="70" t="n">
        <f aca="false">IF(AY1164="",0,MAX(0,MIN(1,(IF(CG1164="L1",Parameter!$H$5,IF(CG1164="L23",Parameter!$H$6+Parameter!$H$7,Parameter!$H$5+Parameter!$H$6+Parameter!$H$7))-(AY1164-AT1164))/AT1164)))</f>
        <v>1</v>
      </c>
      <c r="BA1164" s="62" t="n">
        <f aca="false">IF(LEFT(Cockpit!$O$5,1)="A",H1164,IF(Parameter!$E$30="MAX-Bestand",IF(CI1164=1,CJ1164,IF(LEFT(Cockpit!$O$5,1)="B",BG1164,MAX(BG1164,H1164))),ROUNDUP(BE1164,0)))</f>
        <v>6</v>
      </c>
      <c r="BB1164" s="62" t="n">
        <f aca="false">IF(CA1164=1,0,ROUNDUP(BA1164/BZ1164,0))</f>
        <v>1</v>
      </c>
      <c r="BC1164" s="64" t="n">
        <f aca="false">IF(CR1164&gt;0,CR1164*MAX(1,BA1164/X1164),IF(CA1164=1,IF(BA1164&lt;=0,0,CE1164*MAX(1,IF(H1164&gt;0,BA1164/H1164,1))),IF(R1164&gt;0,BB1164/R1164,0))/MAX(0.1,N(Parameter!$M$21)))</f>
        <v>0.0192307692307692</v>
      </c>
      <c r="BD1164" s="62" t="n">
        <f aca="false">BC1164*CC1164</f>
        <v>2.98076923076923</v>
      </c>
      <c r="BE1164" s="63" t="n">
        <f aca="false">IF(LEFT(Cockpit!$O$5,1)="A",H1164,IF(CI1164=1,(CL1164+CJ1164)/2,IF(LEFT(Cockpit!$O$5,1)="B",(CL1164+BG1164)/2,MAX((CL1164+BG1164)/2,H1164))))</f>
        <v>6</v>
      </c>
      <c r="BF1164" s="62" t="n">
        <f aca="false">BE1164*G1164</f>
        <v>156.54</v>
      </c>
      <c r="BG1164" s="62" t="n">
        <f aca="false">ROUNDUP(CL1164+MAX(CM1164,2*(J1164/IF(CH1164&gt;0,CH1164,MAX(0.1,N(Cockpit!$O$6)))-CL1164)),0)</f>
        <v>11</v>
      </c>
      <c r="BH1164" s="63" t="n">
        <f aca="false">IF(BD1164&gt;0,J1164/BD1164,-1)</f>
        <v>4.0258064516129</v>
      </c>
      <c r="BI1164" s="63" t="n">
        <f aca="false">IF(AND(OR(CG1164="L1",CG1164="L23",CG1164="LIFT"),BD1164&gt;0),SUMIFS($BD$7:$BD$1843,$CG$7:$CG$1843,CG1164,$BH$7:$BH$1843,"&gt;"&amp;BH1164)+SUMIFS($BD$7:$BD$1843,$CG$7:$CG$1843,CG1164,$BH$7:$BH$1843,BH1164,$BX$7:$BX$1843,"&lt;="&amp;BX1164),"")</f>
        <v>4091.21840659341</v>
      </c>
      <c r="BJ1164" s="70" t="n">
        <f aca="false">IF(BI1164="",0,MAX(0,MIN(1,(IF(CG1164="L1",Parameter!$H$5,IF(CG1164="L23",Parameter!$H$6+Parameter!$H$7,Parameter!$H$5+Parameter!$H$6+Parameter!$H$7))-(BI1164-BD1164))/BD1164)))</f>
        <v>1</v>
      </c>
      <c r="BK1164" s="60" t="str">
        <f aca="false">IF(AJ1164&lt;=0,"",IF(CG1164="Aussen","Aussenlager",IF(CG1164="-","Nicht im Lift",IF(AP1164&gt;=1,"Lift",IF(AP1164&lt;=0,"Aussenlager","teilweise")))))</f>
        <v>Lift</v>
      </c>
      <c r="BL1164" s="60" t="str">
        <f aca="false">IF(AT1164&lt;=0,"",IF(CG1164="Aussen","Aussenlager",IF(CG1164="-","Nicht im Lift",IF(AZ1164&gt;=1,"Lift",IF(AZ1164&lt;=0,"Aussenlager","teilweise")))))</f>
        <v>Lift</v>
      </c>
      <c r="BM1164" s="60" t="str">
        <f aca="false">IF(BD1164&lt;=0,"",IF(CG1164="Aussen","Aussenlager",IF(CG1164="-","Nicht im Lift",IF(BJ1164&gt;=1,"Lift",IF(BJ1164&lt;=0,"Aussenlager","teilweise")))))</f>
        <v>Lift</v>
      </c>
      <c r="BN1164" s="60" t="str">
        <f aca="false">IF(A1164="","",IF(BW1164=1,"Neu; ","")&amp;IF(AND(BW1164=0,BR1164&lt;0),"negativer Bestand (Export "&amp;BR1164&amp;"); ","")&amp;IF(J1164&lt;=0,"Kein Verbrauch; ","")&amp;IF(CR1164&gt;0,"Lift "&amp;W1164&amp;" lt. Liftbericht (Fach "&amp;X1164&amp;" Stk); ",IF(CB1164=1,"Gebinde geschätzt ("&amp;T1164&amp;"); ",IF(CA1164=1,"Lose – Tablare geschätzt; ","")))&amp;IF(H1164&gt;AW1164,"Überbestand "&amp;ROUND(H1164-AW1164,0)&amp;" Stk / CHF "&amp;ROUND((H1164-AW1164)*G1164,0)&amp;"; ","")&amp;IF(AND(CI1164=1,CJ1164&lt;CK1164),"MAX &lt; MB+LG; ","")&amp;IF(AND(CQ1164&gt;0,CP1164*10&gt;CQ1164),"zu hoch für Tablar; ","")&amp;IF(AND(BW1164=0,OR(CI1164=1,AB1164&lt;&gt;"",U1164&lt;&gt;"",V1164&lt;&gt;"",AC1164&lt;&gt;"")),"manuell übersteuert; ","")&amp;IF(AND(CA1164=0,R1164=0),"Gebinde unbekannt / Stellmass fehlt; ","")&amp;IF(AND(CA1164=0,N(V1164)&lt;=0,N(Q1164)&lt;=0),"Menge pro Gebinde fehlt (Ist = 1 Gebinde); ","")&amp;BV1164)</f>
        <v>negativer Bestand (Export -13); Überbestand 66 Stk / CHF 1722; Twin</v>
      </c>
      <c r="BO1164" s="60"/>
      <c r="BP1164" s="60"/>
      <c r="BQ1164" s="67"/>
      <c r="BR1164" s="62" t="n">
        <v>-13</v>
      </c>
      <c r="BS1164" s="62" t="n">
        <v>90</v>
      </c>
      <c r="BT1164" s="61" t="n">
        <v>-339.17</v>
      </c>
      <c r="BU1164" s="62" t="n">
        <v>12</v>
      </c>
      <c r="BV1164" s="60" t="s">
        <v>256</v>
      </c>
      <c r="BW1164" s="65" t="n">
        <v>0</v>
      </c>
      <c r="BX1164" s="65" t="n">
        <v>1164</v>
      </c>
      <c r="BY1164" s="60" t="str">
        <f aca="false">IF(U1164&lt;&gt;"",UPPER(TRIM(U1164)),IF(CB1164=1,UPPER(VLOOKUP(T1164,Parameter!$I$27:$K$29,2,0)),IF(P1164="","LOSE",P1164)))</f>
        <v>S41</v>
      </c>
      <c r="BZ1164" s="62" t="n">
        <f aca="false">IF(BY1164="LOSE",1,IF(N(V1164)&gt;0,V1164,IF(CB1164=1,MAX(1,N(VLOOKUP(T1164,Parameter!$I$27:$K$29,3,0)),H1164,N(N1164)),IF(N(Q1164)&gt;0,Q1164,MAX(1,H1164)))))</f>
        <v>113</v>
      </c>
      <c r="CA1164" s="65" t="n">
        <f aca="false">IF(BY1164="LOSE",1,0)</f>
        <v>0</v>
      </c>
      <c r="CB1164" s="65" t="n">
        <f aca="false">IF(AND(U1164="",OR(P1164="",P1164="LOSE"),T1164&lt;&gt;"",N(S1164)&lt;=0,ISNUMBER(MATCH(T1164,Parameter!$I$27:$I$29,0))),1,0)</f>
        <v>0</v>
      </c>
      <c r="CC1164" s="65" t="n">
        <f aca="false">IF(CR1164&gt;0,INDEX(Parameter!$H$5:$H$7,W1164)/INDEX(Parameter!$E$5:$E$7,W1164),IF(AND(CA1164=0,N(IFERROR(VLOOKUP(BY1164,'Gebinde-Kategorie'!$A$5:$N$45,14,0),0))&gt;0),VLOOKUP(BY1164,'Gebinde-Kategorie'!$A$5:$N$45,14,0)*10+Parameter!$M$23,Parameter!$M$24))</f>
        <v>155</v>
      </c>
      <c r="CD1164" s="60" t="str">
        <f aca="false">IF(AND(Parameter!$B$19="Ja",E1164&lt;&gt;"",ISNUMBER(MATCH(E1164,Parameter!$I$35:$I$52,0))),VLOOKUP(E1164,Parameter!$I$35:$J$52,2,0),IFERROR(VLOOKUP(D1164,Parameter!$A$35:$C$64,2,0),"Nein"))</f>
        <v>2+3</v>
      </c>
      <c r="CE1164" s="64" t="n">
        <f aca="false">IF(CA1164=0,0,IF(N(S1164)&gt;0,S1164,IFERROR(VLOOKUP(D1164,Parameter!$A$35:$C$64,3,0)+0,0)))</f>
        <v>0</v>
      </c>
      <c r="CF1164" s="60" t="n">
        <f aca="false">IF(AB1164&lt;&gt;"",AB1164,AA1164)</f>
        <v>2</v>
      </c>
      <c r="CG1164" s="60" t="str">
        <f aca="false">IF(OR(CF1164=1,CF1164=2,CF1164=3),IF(Parameter!$E$27="Ja","LIFT",IF(CF1164=1,"L1","L23")),IF(CF1164="Aussen","Aussen","-"))</f>
        <v>LIFT</v>
      </c>
      <c r="CH1164" s="71" t="n">
        <f aca="false">IF(N(AC1164)&gt;0,AC1164,0)</f>
        <v>0</v>
      </c>
      <c r="CI1164" s="65" t="n">
        <f aca="false">IF(ISNUMBER(AF1164),1,0)</f>
        <v>0</v>
      </c>
      <c r="CJ1164" s="62" t="n">
        <f aca="false">N(AF1164)</f>
        <v>0</v>
      </c>
      <c r="CK1164" s="62" t="n">
        <f aca="false">N(M1164)+N(N1164)</f>
        <v>11</v>
      </c>
      <c r="CL1164" s="62" t="n">
        <f aca="false">N(M1164)</f>
        <v>1</v>
      </c>
      <c r="CM1164" s="62" t="n">
        <f aca="false">N(N1164)</f>
        <v>10</v>
      </c>
      <c r="CN1164" s="62" t="n">
        <f aca="false">ROUNDUP(H1164/BZ1164,0)</f>
        <v>1</v>
      </c>
      <c r="CO1164" s="62" t="n">
        <f aca="false">ROUNDUP(CJ1164/BZ1164,0)</f>
        <v>0</v>
      </c>
      <c r="CP1164" s="65" t="n">
        <f aca="false">IF(CA1164=1,0,IFERROR(VLOOKUP(BY1164,'Gebinde-Kategorie'!$A$5:$N$45,5,0)+0,0))</f>
        <v>11</v>
      </c>
      <c r="CQ1164" s="65" t="n">
        <f aca="false">IFERROR(IF(OR(CF1164=1,CF1164=2,CF1164=3),N(INDEX(Parameter!$I$5:$I$7,CF1164)),0),0)</f>
        <v>0</v>
      </c>
      <c r="CR1164" s="64" t="n">
        <f aca="false">IF(AND(Parameter!$B$21="Ja",ISNUMBER(W1164),N(X1164)&gt;0),IFERROR(N(INDEX(Parameter!$L$5:$L$7,W1164))*INDEX(Parameter!$E$5:$E$7,W1164)*X1164/SUMIFS($X$7:$X$1843,$W$7:$W$1843,W1164),0),0)</f>
        <v>0</v>
      </c>
      <c r="CS1164" s="62" t="n">
        <f aca="false">IF(AND(OR(CG1164="L1",CG1164="L23",CG1164="LIFT"),H1164&gt;0),CC1164*IF(CR1164&gt;0,CR1164*MAX(1,H1164/X1164),IF(CA1164=1,CE1164,IF(R1164&gt;0,CN1164/R1164,0))/MAX(0.1,N(Parameter!$M$21))),"")</f>
        <v>2.98076923076923</v>
      </c>
      <c r="CT1164" s="64" t="n">
        <f aca="false">IF(CS1164="","",J1164/H1164)</f>
        <v>0.155844155844156</v>
      </c>
      <c r="CU1164" s="62" t="n">
        <f aca="false">IF(CS1164="","",H1164*G1164)</f>
        <v>2008.93</v>
      </c>
      <c r="CV1164" s="63" t="n">
        <f aca="false">IF(CS1164="","",(CL1164+ROUNDUP(CL1164+MAX(CM1164,2*(J1164/MAX(0.1,N(Einkauf!$C$6))-CL1164)),0))/2)</f>
        <v>6</v>
      </c>
      <c r="CW1164" s="62" t="n">
        <f aca="false">IF(CS1164="","",MAX(0,H1164-CV1164)*G1164)</f>
        <v>1852.39</v>
      </c>
      <c r="CX1164" s="62" t="n">
        <f aca="false">IF(CS1164="","",CS1164*MAX(0,1-CV1164/H1164))</f>
        <v>2.7485014985015</v>
      </c>
      <c r="CY1164" s="64" t="n">
        <f aca="false">IF(CS1164="","",PERCENTRANK($CS$7:$CS$1843,CS1164)+PERCENTRANK($CU$7:$CU$1843,CU1164)+1-PERCENTRANK($CT$7:$CT$1843,CT1164))</f>
        <v>1.529</v>
      </c>
      <c r="CZ1164" s="72" t="n">
        <f aca="false">IF(CS1164="","",CHOOSE(MATCH(Einkauf!$C$5,Parameter!$G$23:$G$27,0),CY1164,CS1164,CU1164,-CT1164,CW1164)+ROW()/1000000000)</f>
        <v>1.529001164</v>
      </c>
    </row>
    <row r="1165" customFormat="false" ht="15" hidden="false" customHeight="false" outlineLevel="0" collapsed="false">
      <c r="A1165" s="60" t="s">
        <v>2142</v>
      </c>
      <c r="B1165" s="60" t="s">
        <v>1990</v>
      </c>
      <c r="C1165" s="60" t="s">
        <v>498</v>
      </c>
      <c r="D1165" s="60" t="s">
        <v>226</v>
      </c>
      <c r="E1165" s="60"/>
      <c r="F1165" s="60" t="s">
        <v>260</v>
      </c>
      <c r="G1165" s="61" t="n">
        <v>42.75</v>
      </c>
      <c r="H1165" s="62" t="n">
        <f aca="false">MAX(0,IF(AND(Parameter!$B$21="Ja",ISNUMBER(Y1165)),Y1165,IF(Parameter!$B$20="Jahresanfang 2025 + Export",BS1165+BR1165,BR1165)))</f>
        <v>8</v>
      </c>
      <c r="I1165" s="62" t="n">
        <f aca="false">H1165*G1165</f>
        <v>342</v>
      </c>
      <c r="J1165" s="62" t="n">
        <f aca="false">BU1165*Parameter!$B$18</f>
        <v>8</v>
      </c>
      <c r="K1165" s="63" t="n">
        <v>8</v>
      </c>
      <c r="L1165" s="64" t="n">
        <v>1</v>
      </c>
      <c r="M1165" s="62" t="n">
        <v>0</v>
      </c>
      <c r="N1165" s="62" t="n">
        <v>10</v>
      </c>
      <c r="O1165" s="65" t="n">
        <v>21</v>
      </c>
      <c r="P1165" s="60" t="s">
        <v>210</v>
      </c>
      <c r="Q1165" s="62"/>
      <c r="R1165" s="65" t="n">
        <f aca="false">IF(CA1165=1,0,IFERROR(VLOOKUP(BY1165,'Gebinde-Kategorie'!$A$5:$N$45,13,0)+0,0))</f>
        <v>4</v>
      </c>
      <c r="S1165" s="66"/>
      <c r="T1165" s="67" t="s">
        <v>231</v>
      </c>
      <c r="U1165" s="67"/>
      <c r="V1165" s="67"/>
      <c r="W1165" s="60"/>
      <c r="X1165" s="62"/>
      <c r="Y1165" s="62"/>
      <c r="Z1165" s="60" t="n">
        <v>2</v>
      </c>
      <c r="AA1165" s="60" t="n">
        <f aca="false">IF(A1165="","",IF(AND(Parameter!$B$21="Ja",ISNUMBER(W1165)),W1165,IF(AND(Parameter!$E$27="Ja",ISNUMBER(Z1165),CD1165&lt;&gt;"Nein"),Z1165,IF(CD1165="2+3",IF(ISNUMBER(SEARCH("grosser Artikel",BV1165)),2,IFERROR(VLOOKUP(BY1165,Parameter!$F$35:$G$64,2,0),2)),IF(OR(CD1165="Nein",CD1165=""),"-",CD1165)))))</f>
        <v>2</v>
      </c>
      <c r="AB1165" s="67"/>
      <c r="AC1165" s="68"/>
      <c r="AD1165" s="62" t="n">
        <f aca="false">AW1165</f>
        <v>10</v>
      </c>
      <c r="AE1165" s="62" t="n">
        <f aca="false">MAX(AW1165,H1165)</f>
        <v>10</v>
      </c>
      <c r="AF1165" s="69"/>
      <c r="AG1165" s="62" t="n">
        <f aca="false">IF(LEFT(Cockpit!$C$5,1)="A",H1165,IF(Parameter!$E$30="MAX-Bestand",IF(CI1165=1,CJ1165,IF(LEFT(Cockpit!$C$5,1)="B",AM1165,MAX(AM1165,H1165))),ROUNDUP(AK1165,0)))</f>
        <v>8</v>
      </c>
      <c r="AH1165" s="62" t="n">
        <f aca="false">IF(CA1165=1,0,ROUNDUP(AG1165/BZ1165,0))</f>
        <v>1</v>
      </c>
      <c r="AI1165" s="64" t="n">
        <f aca="false">IF(CR1165&gt;0,CR1165*MAX(1,AG1165/X1165),IF(CA1165=1,IF(AG1165&lt;=0,0,CE1165*MAX(1,IF(H1165&gt;0,AG1165/H1165,1))),IF(R1165&gt;0,AH1165/R1165,0))/MAX(0.1,N(Parameter!$M$21)))</f>
        <v>0.25</v>
      </c>
      <c r="AJ1165" s="62" t="n">
        <f aca="false">AI1165*CC1165</f>
        <v>58.75</v>
      </c>
      <c r="AK1165" s="63" t="n">
        <f aca="false">IF(LEFT(Cockpit!$C$5,1)="A",H1165,IF(CI1165=1,(CL1165+CJ1165)/2,IF(LEFT(Cockpit!$C$5,1)="B",(CL1165+AM1165)/2,MAX((CL1165+AM1165)/2,H1165))))</f>
        <v>8</v>
      </c>
      <c r="AL1165" s="62" t="n">
        <f aca="false">AK1165*G1165</f>
        <v>342</v>
      </c>
      <c r="AM1165" s="62" t="n">
        <f aca="false">ROUNDUP(CL1165+MAX(CM1165,2*(J1165/IF(CH1165&gt;0,CH1165,MAX(0.1,N(Cockpit!$C$6)))-CL1165)),0)</f>
        <v>10</v>
      </c>
      <c r="AN1165" s="63" t="n">
        <f aca="false">IF(AJ1165&gt;0,J1165/AJ1165,-1)</f>
        <v>0.136170212765957</v>
      </c>
      <c r="AO1165" s="63" t="n">
        <f aca="false">IF(AND(OR(CG1165="L1",CG1165="L23",CG1165="LIFT"),AJ1165&gt;0),SUMIFS($AJ$7:$AJ$1843,$CG$7:$CG$1843,CG1165,$AN$7:$AN$1843,"&gt;"&amp;AN1165)+SUMIFS($AJ$7:$AJ$1843,$CG$7:$CG$1843,CG1165,$AN$7:$AN$1843,AN1165,$BX$7:$BX$1843,"&lt;="&amp;BX1165),"")</f>
        <v>13329.092695205</v>
      </c>
      <c r="AP1165" s="70" t="n">
        <f aca="false">IF(AO1165="",0,MAX(0,MIN(1,(IF(CG1165="L1",Parameter!$H$5,IF(CG1165="L23",Parameter!$H$6+Parameter!$H$7,Parameter!$H$5+Parameter!$H$6+Parameter!$H$7))-(AO1165-AJ1165))/AJ1165)))</f>
        <v>1</v>
      </c>
      <c r="AQ1165" s="62" t="n">
        <f aca="false">IF(LEFT(Cockpit!$I$5,1)="A",H1165,IF(Parameter!$E$30="MAX-Bestand",IF(CI1165=1,CJ1165,IF(LEFT(Cockpit!$I$5,1)="B",AW1165,MAX(AW1165,H1165))),ROUNDUP(AU1165,0)))</f>
        <v>8</v>
      </c>
      <c r="AR1165" s="62" t="n">
        <f aca="false">IF(CA1165=1,0,ROUNDUP(AQ1165/BZ1165,0))</f>
        <v>1</v>
      </c>
      <c r="AS1165" s="64" t="n">
        <f aca="false">IF(CR1165&gt;0,CR1165*MAX(1,AQ1165/X1165),IF(CA1165=1,IF(AQ1165&lt;=0,0,CE1165*MAX(1,IF(H1165&gt;0,AQ1165/H1165,1))),IF(R1165&gt;0,AR1165/R1165,0))/MAX(0.1,N(Parameter!$M$21)))</f>
        <v>0.25</v>
      </c>
      <c r="AT1165" s="62" t="n">
        <f aca="false">AS1165*CC1165</f>
        <v>58.75</v>
      </c>
      <c r="AU1165" s="63" t="n">
        <f aca="false">IF(LEFT(Cockpit!$I$5,1)="A",H1165,IF(CI1165=1,(CL1165+CJ1165)/2,IF(LEFT(Cockpit!$I$5,1)="B",(CL1165+AW1165)/2,MAX((CL1165+AW1165)/2,H1165))))</f>
        <v>8</v>
      </c>
      <c r="AV1165" s="62" t="n">
        <f aca="false">AU1165*G1165</f>
        <v>342</v>
      </c>
      <c r="AW1165" s="62" t="n">
        <f aca="false">ROUNDUP(CL1165+MAX(CM1165,2*(J1165/IF(CH1165&gt;0,CH1165,MAX(0.1,N(Cockpit!$I$6)))-CL1165)),0)</f>
        <v>10</v>
      </c>
      <c r="AX1165" s="63" t="n">
        <f aca="false">IF(AT1165&gt;0,J1165/AT1165,-1)</f>
        <v>0.136170212765957</v>
      </c>
      <c r="AY1165" s="63" t="n">
        <f aca="false">IF(AND(OR(CG1165="L1",CG1165="L23",CG1165="LIFT"),AT1165&gt;0),SUMIFS($AT$7:$AT$1843,$CG$7:$CG$1843,CG1165,$AX$7:$AX$1843,"&gt;"&amp;AX1165)+SUMIFS($AT$7:$AT$1843,$CG$7:$CG$1843,CG1165,$AX$7:$AX$1843,AX1165,$BX$7:$BX$1843,"&lt;="&amp;BX1165),"")</f>
        <v>17353.4913365824</v>
      </c>
      <c r="AZ1165" s="70" t="n">
        <f aca="false">IF(AY1165="",0,MAX(0,MIN(1,(IF(CG1165="L1",Parameter!$H$5,IF(CG1165="L23",Parameter!$H$6+Parameter!$H$7,Parameter!$H$5+Parameter!$H$6+Parameter!$H$7))-(AY1165-AT1165))/AT1165)))</f>
        <v>1</v>
      </c>
      <c r="BA1165" s="62" t="n">
        <f aca="false">IF(LEFT(Cockpit!$O$5,1)="A",H1165,IF(Parameter!$E$30="MAX-Bestand",IF(CI1165=1,CJ1165,IF(LEFT(Cockpit!$O$5,1)="B",BG1165,MAX(BG1165,H1165))),ROUNDUP(BE1165,0)))</f>
        <v>5</v>
      </c>
      <c r="BB1165" s="62" t="n">
        <f aca="false">IF(CA1165=1,0,ROUNDUP(BA1165/BZ1165,0))</f>
        <v>1</v>
      </c>
      <c r="BC1165" s="64" t="n">
        <f aca="false">IF(CR1165&gt;0,CR1165*MAX(1,BA1165/X1165),IF(CA1165=1,IF(BA1165&lt;=0,0,CE1165*MAX(1,IF(H1165&gt;0,BA1165/H1165,1))),IF(R1165&gt;0,BB1165/R1165,0))/MAX(0.1,N(Parameter!$M$21)))</f>
        <v>0.25</v>
      </c>
      <c r="BD1165" s="62" t="n">
        <f aca="false">BC1165*CC1165</f>
        <v>58.75</v>
      </c>
      <c r="BE1165" s="63" t="n">
        <f aca="false">IF(LEFT(Cockpit!$O$5,1)="A",H1165,IF(CI1165=1,(CL1165+CJ1165)/2,IF(LEFT(Cockpit!$O$5,1)="B",(CL1165+BG1165)/2,MAX((CL1165+BG1165)/2,H1165))))</f>
        <v>5</v>
      </c>
      <c r="BF1165" s="62" t="n">
        <f aca="false">BE1165*G1165</f>
        <v>213.75</v>
      </c>
      <c r="BG1165" s="62" t="n">
        <f aca="false">ROUNDUP(CL1165+MAX(CM1165,2*(J1165/IF(CH1165&gt;0,CH1165,MAX(0.1,N(Cockpit!$O$6)))-CL1165)),0)</f>
        <v>10</v>
      </c>
      <c r="BH1165" s="63" t="n">
        <f aca="false">IF(BD1165&gt;0,J1165/BD1165,-1)</f>
        <v>0.136170212765957</v>
      </c>
      <c r="BI1165" s="63" t="n">
        <f aca="false">IF(AND(OR(CG1165="L1",CG1165="L23",CG1165="LIFT"),BD1165&gt;0),SUMIFS($BD$7:$BD$1843,$CG$7:$CG$1843,CG1165,$BH$7:$BH$1843,"&gt;"&amp;BH1165)+SUMIFS($BD$7:$BD$1843,$CG$7:$CG$1843,CG1165,$BH$7:$BH$1843,BH1165,$BX$7:$BX$1843,"&lt;="&amp;BX1165),"")</f>
        <v>14567.2206157778</v>
      </c>
      <c r="BJ1165" s="70" t="n">
        <f aca="false">IF(BI1165="",0,MAX(0,MIN(1,(IF(CG1165="L1",Parameter!$H$5,IF(CG1165="L23",Parameter!$H$6+Parameter!$H$7,Parameter!$H$5+Parameter!$H$6+Parameter!$H$7))-(BI1165-BD1165))/BD1165)))</f>
        <v>1</v>
      </c>
      <c r="BK1165" s="60" t="str">
        <f aca="false">IF(AJ1165&lt;=0,"",IF(CG1165="Aussen","Aussenlager",IF(CG1165="-","Nicht im Lift",IF(AP1165&gt;=1,"Lift",IF(AP1165&lt;=0,"Aussenlager","teilweise")))))</f>
        <v>Lift</v>
      </c>
      <c r="BL1165" s="60" t="str">
        <f aca="false">IF(AT1165&lt;=0,"",IF(CG1165="Aussen","Aussenlager",IF(CG1165="-","Nicht im Lift",IF(AZ1165&gt;=1,"Lift",IF(AZ1165&lt;=0,"Aussenlager","teilweise")))))</f>
        <v>Lift</v>
      </c>
      <c r="BM1165" s="60" t="str">
        <f aca="false">IF(BD1165&lt;=0,"",IF(CG1165="Aussen","Aussenlager",IF(CG1165="-","Nicht im Lift",IF(BJ1165&gt;=1,"Lift",IF(BJ1165&lt;=0,"Aussenlager","teilweise")))))</f>
        <v>Lift</v>
      </c>
      <c r="BN1165" s="60" t="str">
        <f aca="false">IF(A1165="","",IF(BW1165=1,"Neu; ","")&amp;IF(AND(BW1165=0,BR1165&lt;0),"negativer Bestand (Export "&amp;BR1165&amp;"); ","")&amp;IF(J1165&lt;=0,"Kein Verbrauch; ","")&amp;IF(CR1165&gt;0,"Lift "&amp;W1165&amp;" lt. Liftbericht (Fach "&amp;X1165&amp;" Stk); ",IF(CB1165=1,"Gebinde geschätzt ("&amp;T1165&amp;"); ",IF(CA1165=1,"Lose – Tablare geschätzt; ","")))&amp;IF(H1165&gt;AW1165,"Überbestand "&amp;ROUND(H1165-AW1165,0)&amp;" Stk / CHF "&amp;ROUND((H1165-AW1165)*G1165,0)&amp;"; ","")&amp;IF(AND(CI1165=1,CJ1165&lt;CK1165),"MAX &lt; MB+LG; ","")&amp;IF(AND(CQ1165&gt;0,CP1165*10&gt;CQ1165),"zu hoch für Tablar; ","")&amp;IF(AND(BW1165=0,OR(CI1165=1,AB1165&lt;&gt;"",U1165&lt;&gt;"",V1165&lt;&gt;"",AC1165&lt;&gt;"")),"manuell übersteuert; ","")&amp;IF(AND(CA1165=0,R1165=0),"Gebinde unbekannt / Stellmass fehlt; ","")&amp;IF(AND(CA1165=0,N(V1165)&lt;=0,N(Q1165)&lt;=0),"Menge pro Gebinde fehlt (Ist = 1 Gebinde); ","")&amp;BV1165)</f>
        <v>negativer Bestand (Export -8); Gebinde geschätzt (Gross); Menge pro Gebinde fehlt (Ist = 1 Gebinde); </v>
      </c>
      <c r="BO1165" s="60"/>
      <c r="BP1165" s="60"/>
      <c r="BQ1165" s="67"/>
      <c r="BR1165" s="62" t="n">
        <v>-8</v>
      </c>
      <c r="BS1165" s="62" t="n">
        <v>16</v>
      </c>
      <c r="BT1165" s="61" t="n">
        <v>-342</v>
      </c>
      <c r="BU1165" s="62" t="n">
        <v>8</v>
      </c>
      <c r="BV1165" s="60"/>
      <c r="BW1165" s="65" t="n">
        <v>0</v>
      </c>
      <c r="BX1165" s="65" t="n">
        <v>1165</v>
      </c>
      <c r="BY1165" s="60" t="str">
        <f aca="false">IF(U1165&lt;&gt;"",UPPER(TRIM(U1165)),IF(CB1165=1,UPPER(VLOOKUP(T1165,Parameter!$I$27:$K$29,2,0)),IF(P1165="","LOSE",P1165)))</f>
        <v>S81</v>
      </c>
      <c r="BZ1165" s="62" t="n">
        <f aca="false">IF(BY1165="LOSE",1,IF(N(V1165)&gt;0,V1165,IF(CB1165=1,MAX(1,N(VLOOKUP(T1165,Parameter!$I$27:$K$29,3,0)),H1165,N(N1165)),IF(N(Q1165)&gt;0,Q1165,MAX(1,H1165)))))</f>
        <v>10</v>
      </c>
      <c r="CA1165" s="65" t="n">
        <f aca="false">IF(BY1165="LOSE",1,0)</f>
        <v>0</v>
      </c>
      <c r="CB1165" s="65" t="n">
        <f aca="false">IF(AND(U1165="",OR(P1165="",P1165="LOSE"),T1165&lt;&gt;"",N(S1165)&lt;=0,ISNUMBER(MATCH(T1165,Parameter!$I$27:$I$29,0))),1,0)</f>
        <v>1</v>
      </c>
      <c r="CC1165" s="65" t="n">
        <f aca="false">IF(CR1165&gt;0,INDEX(Parameter!$H$5:$H$7,W1165)/INDEX(Parameter!$E$5:$E$7,W1165),IF(AND(CA1165=0,N(IFERROR(VLOOKUP(BY1165,'Gebinde-Kategorie'!$A$5:$N$45,14,0),0))&gt;0),VLOOKUP(BY1165,'Gebinde-Kategorie'!$A$5:$N$45,14,0)*10+Parameter!$M$23,Parameter!$M$24))</f>
        <v>235</v>
      </c>
      <c r="CD1165" s="60" t="str">
        <f aca="false">IF(AND(Parameter!$B$19="Ja",E1165&lt;&gt;"",ISNUMBER(MATCH(E1165,Parameter!$I$35:$I$52,0))),VLOOKUP(E1165,Parameter!$I$35:$J$52,2,0),IFERROR(VLOOKUP(D1165,Parameter!$A$35:$C$64,2,0),"Nein"))</f>
        <v>2+3</v>
      </c>
      <c r="CE1165" s="64" t="n">
        <f aca="false">IF(CA1165=0,0,IF(N(S1165)&gt;0,S1165,IFERROR(VLOOKUP(D1165,Parameter!$A$35:$C$64,3,0)+0,0)))</f>
        <v>0</v>
      </c>
      <c r="CF1165" s="60" t="n">
        <f aca="false">IF(AB1165&lt;&gt;"",AB1165,AA1165)</f>
        <v>2</v>
      </c>
      <c r="CG1165" s="60" t="str">
        <f aca="false">IF(OR(CF1165=1,CF1165=2,CF1165=3),IF(Parameter!$E$27="Ja","LIFT",IF(CF1165=1,"L1","L23")),IF(CF1165="Aussen","Aussen","-"))</f>
        <v>LIFT</v>
      </c>
      <c r="CH1165" s="71" t="n">
        <f aca="false">IF(N(AC1165)&gt;0,AC1165,0)</f>
        <v>0</v>
      </c>
      <c r="CI1165" s="65" t="n">
        <f aca="false">IF(ISNUMBER(AF1165),1,0)</f>
        <v>0</v>
      </c>
      <c r="CJ1165" s="62" t="n">
        <f aca="false">N(AF1165)</f>
        <v>0</v>
      </c>
      <c r="CK1165" s="62" t="n">
        <f aca="false">N(M1165)+N(N1165)</f>
        <v>10</v>
      </c>
      <c r="CL1165" s="62" t="n">
        <f aca="false">N(M1165)</f>
        <v>0</v>
      </c>
      <c r="CM1165" s="62" t="n">
        <f aca="false">N(N1165)</f>
        <v>10</v>
      </c>
      <c r="CN1165" s="62" t="n">
        <f aca="false">ROUNDUP(H1165/BZ1165,0)</f>
        <v>1</v>
      </c>
      <c r="CO1165" s="62" t="n">
        <f aca="false">ROUNDUP(CJ1165/BZ1165,0)</f>
        <v>0</v>
      </c>
      <c r="CP1165" s="65" t="n">
        <f aca="false">IF(CA1165=1,0,IFERROR(VLOOKUP(BY1165,'Gebinde-Kategorie'!$A$5:$N$45,5,0)+0,0))</f>
        <v>20</v>
      </c>
      <c r="CQ1165" s="65" t="n">
        <f aca="false">IFERROR(IF(OR(CF1165=1,CF1165=2,CF1165=3),N(INDEX(Parameter!$I$5:$I$7,CF1165)),0),0)</f>
        <v>0</v>
      </c>
      <c r="CR1165" s="64" t="n">
        <f aca="false">IF(AND(Parameter!$B$21="Ja",ISNUMBER(W1165),N(X1165)&gt;0),IFERROR(N(INDEX(Parameter!$L$5:$L$7,W1165))*INDEX(Parameter!$E$5:$E$7,W1165)*X1165/SUMIFS($X$7:$X$1843,$W$7:$W$1843,W1165),0),0)</f>
        <v>0</v>
      </c>
      <c r="CS1165" s="62" t="n">
        <f aca="false">IF(AND(OR(CG1165="L1",CG1165="L23",CG1165="LIFT"),H1165&gt;0),CC1165*IF(CR1165&gt;0,CR1165*MAX(1,H1165/X1165),IF(CA1165=1,CE1165,IF(R1165&gt;0,CN1165/R1165,0))/MAX(0.1,N(Parameter!$M$21))),"")</f>
        <v>58.75</v>
      </c>
      <c r="CT1165" s="64" t="n">
        <f aca="false">IF(CS1165="","",J1165/H1165)</f>
        <v>1</v>
      </c>
      <c r="CU1165" s="62" t="n">
        <f aca="false">IF(CS1165="","",H1165*G1165)</f>
        <v>342</v>
      </c>
      <c r="CV1165" s="63" t="n">
        <f aca="false">IF(CS1165="","",(CL1165+ROUNDUP(CL1165+MAX(CM1165,2*(J1165/MAX(0.1,N(Einkauf!$C$6))-CL1165)),0))/2)</f>
        <v>5</v>
      </c>
      <c r="CW1165" s="62" t="n">
        <f aca="false">IF(CS1165="","",MAX(0,H1165-CV1165)*G1165)</f>
        <v>128.25</v>
      </c>
      <c r="CX1165" s="62" t="n">
        <f aca="false">IF(CS1165="","",CS1165*MAX(0,1-CV1165/H1165))</f>
        <v>22.03125</v>
      </c>
      <c r="CY1165" s="64" t="n">
        <f aca="false">IF(CS1165="","",PERCENTRANK($CS$7:$CS$1843,CS1165)+PERCENTRANK($CU$7:$CU$1843,CU1165)+1-PERCENTRANK($CT$7:$CT$1843,CT1165))</f>
        <v>1.732</v>
      </c>
      <c r="CZ1165" s="72" t="n">
        <f aca="false">IF(CS1165="","",CHOOSE(MATCH(Einkauf!$C$5,Parameter!$G$23:$G$27,0),CY1165,CS1165,CU1165,-CT1165,CW1165)+ROW()/1000000000)</f>
        <v>1.732001165</v>
      </c>
    </row>
    <row r="1166" customFormat="false" ht="15" hidden="false" customHeight="false" outlineLevel="0" collapsed="false">
      <c r="A1166" s="60" t="s">
        <v>2143</v>
      </c>
      <c r="B1166" s="60" t="s">
        <v>504</v>
      </c>
      <c r="C1166" s="60" t="s">
        <v>206</v>
      </c>
      <c r="D1166" s="60" t="s">
        <v>215</v>
      </c>
      <c r="E1166" s="60" t="s">
        <v>208</v>
      </c>
      <c r="F1166" s="60" t="s">
        <v>260</v>
      </c>
      <c r="G1166" s="61" t="n">
        <v>148.21</v>
      </c>
      <c r="H1166" s="62" t="n">
        <f aca="false">MAX(0,IF(AND(Parameter!$B$21="Ja",ISNUMBER(Y1166)),Y1166,IF(Parameter!$B$20="Jahresanfang 2025 + Export",BS1166+BR1166,BR1166)))</f>
        <v>5</v>
      </c>
      <c r="I1166" s="62" t="n">
        <f aca="false">H1166*G1166</f>
        <v>741.05</v>
      </c>
      <c r="J1166" s="62" t="n">
        <f aca="false">BU1166*Parameter!$B$18</f>
        <v>29</v>
      </c>
      <c r="K1166" s="63" t="n">
        <v>14.5</v>
      </c>
      <c r="L1166" s="64" t="n">
        <v>2</v>
      </c>
      <c r="M1166" s="62" t="n">
        <v>2</v>
      </c>
      <c r="N1166" s="62" t="n">
        <v>20</v>
      </c>
      <c r="O1166" s="65" t="n">
        <v>28</v>
      </c>
      <c r="P1166" s="60" t="s">
        <v>210</v>
      </c>
      <c r="Q1166" s="62"/>
      <c r="R1166" s="65" t="n">
        <f aca="false">IF(CA1166=1,0,IFERROR(VLOOKUP(BY1166,'Gebinde-Kategorie'!$A$5:$N$45,13,0)+0,0))</f>
        <v>0</v>
      </c>
      <c r="S1166" s="66"/>
      <c r="T1166" s="67"/>
      <c r="U1166" s="67"/>
      <c r="V1166" s="67"/>
      <c r="W1166" s="60" t="n">
        <v>1</v>
      </c>
      <c r="X1166" s="62" t="n">
        <v>14</v>
      </c>
      <c r="Y1166" s="62" t="n">
        <v>5</v>
      </c>
      <c r="Z1166" s="60" t="n">
        <v>1</v>
      </c>
      <c r="AA1166" s="60" t="n">
        <f aca="false">IF(A1166="","",IF(AND(Parameter!$B$21="Ja",ISNUMBER(W1166)),W1166,IF(AND(Parameter!$E$27="Ja",ISNUMBER(Z1166),CD1166&lt;&gt;"Nein"),Z1166,IF(CD1166="2+3",IF(ISNUMBER(SEARCH("grosser Artikel",BV1166)),2,IFERROR(VLOOKUP(BY1166,Parameter!$F$35:$G$64,2,0),2)),IF(OR(CD1166="Nein",CD1166=""),"-",CD1166)))))</f>
        <v>1</v>
      </c>
      <c r="AB1166" s="67"/>
      <c r="AC1166" s="68"/>
      <c r="AD1166" s="62" t="n">
        <f aca="false">AW1166</f>
        <v>22</v>
      </c>
      <c r="AE1166" s="62" t="n">
        <f aca="false">MAX(AW1166,H1166)</f>
        <v>22</v>
      </c>
      <c r="AF1166" s="69"/>
      <c r="AG1166" s="62" t="n">
        <f aca="false">IF(LEFT(Cockpit!$C$5,1)="A",H1166,IF(Parameter!$E$30="MAX-Bestand",IF(CI1166=1,CJ1166,IF(LEFT(Cockpit!$C$5,1)="B",AM1166,MAX(AM1166,H1166))),ROUNDUP(AK1166,0)))</f>
        <v>5</v>
      </c>
      <c r="AH1166" s="62" t="n">
        <f aca="false">IF(CA1166=1,0,ROUNDUP(AG1166/BZ1166,0))</f>
        <v>0</v>
      </c>
      <c r="AI1166" s="64" t="n">
        <f aca="false">IF(CR1166&gt;0,CR1166*MAX(1,AG1166/X1166),IF(CA1166=1,IF(AG1166&lt;=0,0,CE1166*MAX(1,IF(H1166&gt;0,AG1166/H1166,1))),IF(R1166&gt;0,AH1166/R1166,0))/MAX(0.1,N(Parameter!$M$21)))</f>
        <v>1.12052730696798</v>
      </c>
      <c r="AJ1166" s="62" t="n">
        <f aca="false">AI1166*CC1166</f>
        <v>266.68549905838</v>
      </c>
      <c r="AK1166" s="63" t="n">
        <f aca="false">IF(LEFT(Cockpit!$C$5,1)="A",H1166,IF(CI1166=1,(CL1166+CJ1166)/2,IF(LEFT(Cockpit!$C$5,1)="B",(CL1166+AM1166)/2,MAX((CL1166+AM1166)/2,H1166))))</f>
        <v>5</v>
      </c>
      <c r="AL1166" s="62" t="n">
        <f aca="false">AK1166*G1166</f>
        <v>741.05</v>
      </c>
      <c r="AM1166" s="62" t="n">
        <f aca="false">ROUNDUP(CL1166+MAX(CM1166,2*(J1166/IF(CH1166&gt;0,CH1166,MAX(0.1,N(Cockpit!$C$6)))-CL1166)),0)</f>
        <v>22</v>
      </c>
      <c r="AN1166" s="63" t="n">
        <f aca="false">IF(AJ1166&gt;0,J1166/AJ1166,-1)</f>
        <v>0.108742320457595</v>
      </c>
      <c r="AO1166" s="63" t="n">
        <f aca="false">IF(AND(OR(CG1166="L1",CG1166="L23",CG1166="LIFT"),AJ1166&gt;0),SUMIFS($AJ$7:$AJ$1843,$CG$7:$CG$1843,CG1166,$AN$7:$AN$1843,"&gt;"&amp;AN1166)+SUMIFS($AJ$7:$AJ$1843,$CG$7:$CG$1843,CG1166,$AN$7:$AN$1843,AN1166,$BX$7:$BX$1843,"&lt;="&amp;BX1166),"")</f>
        <v>15295.2297008547</v>
      </c>
      <c r="AP1166" s="70" t="n">
        <f aca="false">IF(AO1166="",0,MAX(0,MIN(1,(IF(CG1166="L1",Parameter!$H$5,IF(CG1166="L23",Parameter!$H$6+Parameter!$H$7,Parameter!$H$5+Parameter!$H$6+Parameter!$H$7))-(AO1166-AJ1166))/AJ1166)))</f>
        <v>1</v>
      </c>
      <c r="AQ1166" s="62" t="n">
        <f aca="false">IF(LEFT(Cockpit!$I$5,1)="A",H1166,IF(Parameter!$E$30="MAX-Bestand",IF(CI1166=1,CJ1166,IF(LEFT(Cockpit!$I$5,1)="B",AW1166,MAX(AW1166,H1166))),ROUNDUP(AU1166,0)))</f>
        <v>12</v>
      </c>
      <c r="AR1166" s="62" t="n">
        <f aca="false">IF(CA1166=1,0,ROUNDUP(AQ1166/BZ1166,0))</f>
        <v>0</v>
      </c>
      <c r="AS1166" s="64" t="n">
        <f aca="false">IF(CR1166&gt;0,CR1166*MAX(1,AQ1166/X1166),IF(CA1166=1,IF(AQ1166&lt;=0,0,CE1166*MAX(1,IF(H1166&gt;0,AQ1166/H1166,1))),IF(R1166&gt;0,AR1166/R1166,0))/MAX(0.1,N(Parameter!$M$21)))</f>
        <v>1.12052730696798</v>
      </c>
      <c r="AT1166" s="62" t="n">
        <f aca="false">AS1166*CC1166</f>
        <v>266.68549905838</v>
      </c>
      <c r="AU1166" s="63" t="n">
        <f aca="false">IF(LEFT(Cockpit!$I$5,1)="A",H1166,IF(CI1166=1,(CL1166+CJ1166)/2,IF(LEFT(Cockpit!$I$5,1)="B",(CL1166+AW1166)/2,MAX((CL1166+AW1166)/2,H1166))))</f>
        <v>12</v>
      </c>
      <c r="AV1166" s="62" t="n">
        <f aca="false">AU1166*G1166</f>
        <v>1778.52</v>
      </c>
      <c r="AW1166" s="62" t="n">
        <f aca="false">ROUNDUP(CL1166+MAX(CM1166,2*(J1166/IF(CH1166&gt;0,CH1166,MAX(0.1,N(Cockpit!$I$6)))-CL1166)),0)</f>
        <v>22</v>
      </c>
      <c r="AX1166" s="63" t="n">
        <f aca="false">IF(AT1166&gt;0,J1166/AT1166,-1)</f>
        <v>0.108742320457595</v>
      </c>
      <c r="AY1166" s="63" t="n">
        <f aca="false">IF(AND(OR(CG1166="L1",CG1166="L23",CG1166="LIFT"),AT1166&gt;0),SUMIFS($AT$7:$AT$1843,$CG$7:$CG$1843,CG1166,$AX$7:$AX$1843,"&gt;"&amp;AX1166)+SUMIFS($AT$7:$AT$1843,$CG$7:$CG$1843,CG1166,$AX$7:$AX$1843,AX1166,$BX$7:$BX$1843,"&lt;="&amp;BX1166),"")</f>
        <v>19319.6283422322</v>
      </c>
      <c r="AZ1166" s="70" t="n">
        <f aca="false">IF(AY1166="",0,MAX(0,MIN(1,(IF(CG1166="L1",Parameter!$H$5,IF(CG1166="L23",Parameter!$H$6+Parameter!$H$7,Parameter!$H$5+Parameter!$H$6+Parameter!$H$7))-(AY1166-AT1166))/AT1166)))</f>
        <v>1</v>
      </c>
      <c r="BA1166" s="62" t="n">
        <f aca="false">IF(LEFT(Cockpit!$O$5,1)="A",H1166,IF(Parameter!$E$30="MAX-Bestand",IF(CI1166=1,CJ1166,IF(LEFT(Cockpit!$O$5,1)="B",BG1166,MAX(BG1166,H1166))),ROUNDUP(BE1166,0)))</f>
        <v>12</v>
      </c>
      <c r="BB1166" s="62" t="n">
        <f aca="false">IF(CA1166=1,0,ROUNDUP(BA1166/BZ1166,0))</f>
        <v>0</v>
      </c>
      <c r="BC1166" s="64" t="n">
        <f aca="false">IF(CR1166&gt;0,CR1166*MAX(1,BA1166/X1166),IF(CA1166=1,IF(BA1166&lt;=0,0,CE1166*MAX(1,IF(H1166&gt;0,BA1166/H1166,1))),IF(R1166&gt;0,BB1166/R1166,0))/MAX(0.1,N(Parameter!$M$21)))</f>
        <v>1.12052730696798</v>
      </c>
      <c r="BD1166" s="62" t="n">
        <f aca="false">BC1166*CC1166</f>
        <v>266.68549905838</v>
      </c>
      <c r="BE1166" s="63" t="n">
        <f aca="false">IF(LEFT(Cockpit!$O$5,1)="A",H1166,IF(CI1166=1,(CL1166+CJ1166)/2,IF(LEFT(Cockpit!$O$5,1)="B",(CL1166+BG1166)/2,MAX((CL1166+BG1166)/2,H1166))))</f>
        <v>12</v>
      </c>
      <c r="BF1166" s="62" t="n">
        <f aca="false">BE1166*G1166</f>
        <v>1778.52</v>
      </c>
      <c r="BG1166" s="62" t="n">
        <f aca="false">ROUNDUP(CL1166+MAX(CM1166,2*(J1166/IF(CH1166&gt;0,CH1166,MAX(0.1,N(Cockpit!$O$6)))-CL1166)),0)</f>
        <v>22</v>
      </c>
      <c r="BH1166" s="63" t="n">
        <f aca="false">IF(BD1166&gt;0,J1166/BD1166,-1)</f>
        <v>0.108742320457595</v>
      </c>
      <c r="BI1166" s="63" t="n">
        <f aca="false">IF(AND(OR(CG1166="L1",CG1166="L23",CG1166="LIFT"),BD1166&gt;0),SUMIFS($BD$7:$BD$1843,$CG$7:$CG$1843,CG1166,$BH$7:$BH$1843,"&gt;"&amp;BH1166)+SUMIFS($BD$7:$BD$1843,$CG$7:$CG$1843,CG1166,$BH$7:$BH$1843,BH1166,$BX$7:$BX$1843,"&lt;="&amp;BX1166),"")</f>
        <v>16920.4409547609</v>
      </c>
      <c r="BJ1166" s="70" t="n">
        <f aca="false">IF(BI1166="",0,MAX(0,MIN(1,(IF(CG1166="L1",Parameter!$H$5,IF(CG1166="L23",Parameter!$H$6+Parameter!$H$7,Parameter!$H$5+Parameter!$H$6+Parameter!$H$7))-(BI1166-BD1166))/BD1166)))</f>
        <v>1</v>
      </c>
      <c r="BK1166" s="60" t="str">
        <f aca="false">IF(AJ1166&lt;=0,"",IF(CG1166="Aussen","Aussenlager",IF(CG1166="-","Nicht im Lift",IF(AP1166&gt;=1,"Lift",IF(AP1166&lt;=0,"Aussenlager","teilweise")))))</f>
        <v>Lift</v>
      </c>
      <c r="BL1166" s="60" t="str">
        <f aca="false">IF(AT1166&lt;=0,"",IF(CG1166="Aussen","Aussenlager",IF(CG1166="-","Nicht im Lift",IF(AZ1166&gt;=1,"Lift",IF(AZ1166&lt;=0,"Aussenlager","teilweise")))))</f>
        <v>Lift</v>
      </c>
      <c r="BM1166" s="60" t="str">
        <f aca="false">IF(BD1166&lt;=0,"",IF(CG1166="Aussen","Aussenlager",IF(CG1166="-","Nicht im Lift",IF(BJ1166&gt;=1,"Lift",IF(BJ1166&lt;=0,"Aussenlager","teilweise")))))</f>
        <v>Lift</v>
      </c>
      <c r="BN1166" s="60" t="str">
        <f aca="false">IF(A1166="","",IF(BW1166=1,"Neu; ","")&amp;IF(AND(BW1166=0,BR1166&lt;0),"negativer Bestand (Export "&amp;BR1166&amp;"); ","")&amp;IF(J1166&lt;=0,"Kein Verbrauch; ","")&amp;IF(CR1166&gt;0,"Lift "&amp;W1166&amp;" lt. Liftbericht (Fach "&amp;X1166&amp;" Stk); ",IF(CB1166=1,"Gebinde geschätzt ("&amp;T1166&amp;"); ",IF(CA1166=1,"Lose – Tablare geschätzt; ","")))&amp;IF(H1166&gt;AW1166,"Überbestand "&amp;ROUND(H1166-AW1166,0)&amp;" Stk / CHF "&amp;ROUND((H1166-AW1166)*G1166,0)&amp;"; ","")&amp;IF(AND(CI1166=1,CJ1166&lt;CK1166),"MAX &lt; MB+LG; ","")&amp;IF(AND(CQ1166&gt;0,CP1166*10&gt;CQ1166),"zu hoch für Tablar; ","")&amp;IF(AND(BW1166=0,OR(CI1166=1,AB1166&lt;&gt;"",U1166&lt;&gt;"",V1166&lt;&gt;"",AC1166&lt;&gt;"")),"manuell übersteuert; ","")&amp;IF(AND(CA1166=0,R1166=0),"Gebinde unbekannt / Stellmass fehlt; ","")&amp;IF(AND(CA1166=0,N(V1166)&lt;=0,N(Q1166)&lt;=0),"Menge pro Gebinde fehlt (Ist = 1 Gebinde); ","")&amp;BV1166)</f>
        <v>negativer Bestand (Export -2); Lift 1 lt. Liftbericht (Fach 14 Stk); </v>
      </c>
      <c r="BO1166" s="60"/>
      <c r="BP1166" s="60"/>
      <c r="BQ1166" s="67"/>
      <c r="BR1166" s="62" t="n">
        <v>-2</v>
      </c>
      <c r="BS1166" s="62" t="n">
        <v>9</v>
      </c>
      <c r="BT1166" s="61" t="n">
        <v>-343.76</v>
      </c>
      <c r="BU1166" s="62" t="n">
        <v>29</v>
      </c>
      <c r="BV1166" s="60"/>
      <c r="BW1166" s="65" t="n">
        <v>0</v>
      </c>
      <c r="BX1166" s="65" t="n">
        <v>1166</v>
      </c>
      <c r="BY1166" s="60" t="str">
        <f aca="false">IF(U1166&lt;&gt;"",UPPER(TRIM(U1166)),IF(CB1166=1,UPPER(VLOOKUP(T1166,Parameter!$I$27:$K$29,2,0)),IF(P1166="","LOSE",P1166)))</f>
        <v>LOSE</v>
      </c>
      <c r="BZ1166" s="62" t="n">
        <f aca="false">IF(BY1166="LOSE",1,IF(N(V1166)&gt;0,V1166,IF(CB1166=1,MAX(1,N(VLOOKUP(T1166,Parameter!$I$27:$K$29,3,0)),H1166,N(N1166)),IF(N(Q1166)&gt;0,Q1166,MAX(1,H1166)))))</f>
        <v>1</v>
      </c>
      <c r="CA1166" s="65" t="n">
        <f aca="false">IF(BY1166="LOSE",1,0)</f>
        <v>1</v>
      </c>
      <c r="CB1166" s="65" t="n">
        <f aca="false">IF(AND(U1166="",OR(P1166="",P1166="LOSE"),T1166&lt;&gt;"",N(S1166)&lt;=0,ISNUMBER(MATCH(T1166,Parameter!$I$27:$I$29,0))),1,0)</f>
        <v>0</v>
      </c>
      <c r="CC1166" s="65" t="n">
        <f aca="false">IF(CR1166&gt;0,INDEX(Parameter!$H$5:$H$7,W1166)/INDEX(Parameter!$E$5:$E$7,W1166),IF(AND(CA1166=0,N(IFERROR(VLOOKUP(BY1166,'Gebinde-Kategorie'!$A$5:$N$45,14,0),0))&gt;0),VLOOKUP(BY1166,'Gebinde-Kategorie'!$A$5:$N$45,14,0)*10+Parameter!$M$23,Parameter!$M$24))</f>
        <v>238</v>
      </c>
      <c r="CD1166" s="60" t="n">
        <f aca="false">IF(AND(Parameter!$B$19="Ja",E1166&lt;&gt;"",ISNUMBER(MATCH(E1166,Parameter!$I$35:$I$52,0))),VLOOKUP(E1166,Parameter!$I$35:$J$52,2,0),IFERROR(VLOOKUP(D1166,Parameter!$A$35:$C$64,2,0),"Nein"))</f>
        <v>1</v>
      </c>
      <c r="CE1166" s="64" t="n">
        <f aca="false">IF(CA1166=0,0,IF(N(S1166)&gt;0,S1166,IFERROR(VLOOKUP(D1166,Parameter!$A$35:$C$64,3,0)+0,0)))</f>
        <v>0.15</v>
      </c>
      <c r="CF1166" s="60" t="n">
        <f aca="false">IF(AB1166&lt;&gt;"",AB1166,AA1166)</f>
        <v>1</v>
      </c>
      <c r="CG1166" s="60" t="str">
        <f aca="false">IF(OR(CF1166=1,CF1166=2,CF1166=3),IF(Parameter!$E$27="Ja","LIFT",IF(CF1166=1,"L1","L23")),IF(CF1166="Aussen","Aussen","-"))</f>
        <v>LIFT</v>
      </c>
      <c r="CH1166" s="71" t="n">
        <f aca="false">IF(N(AC1166)&gt;0,AC1166,0)</f>
        <v>0</v>
      </c>
      <c r="CI1166" s="65" t="n">
        <f aca="false">IF(ISNUMBER(AF1166),1,0)</f>
        <v>0</v>
      </c>
      <c r="CJ1166" s="62" t="n">
        <f aca="false">N(AF1166)</f>
        <v>0</v>
      </c>
      <c r="CK1166" s="62" t="n">
        <f aca="false">N(M1166)+N(N1166)</f>
        <v>22</v>
      </c>
      <c r="CL1166" s="62" t="n">
        <f aca="false">N(M1166)</f>
        <v>2</v>
      </c>
      <c r="CM1166" s="62" t="n">
        <f aca="false">N(N1166)</f>
        <v>20</v>
      </c>
      <c r="CN1166" s="62" t="n">
        <f aca="false">ROUNDUP(H1166/BZ1166,0)</f>
        <v>5</v>
      </c>
      <c r="CO1166" s="62" t="n">
        <f aca="false">ROUNDUP(CJ1166/BZ1166,0)</f>
        <v>0</v>
      </c>
      <c r="CP1166" s="65" t="n">
        <f aca="false">IF(CA1166=1,0,IFERROR(VLOOKUP(BY1166,'Gebinde-Kategorie'!$A$5:$N$45,5,0)+0,0))</f>
        <v>0</v>
      </c>
      <c r="CQ1166" s="65" t="n">
        <f aca="false">IFERROR(IF(OR(CF1166=1,CF1166=2,CF1166=3),N(INDEX(Parameter!$I$5:$I$7,CF1166)),0),0)</f>
        <v>0</v>
      </c>
      <c r="CR1166" s="64" t="n">
        <f aca="false">IF(AND(Parameter!$B$21="Ja",ISNUMBER(W1166),N(X1166)&gt;0),IFERROR(N(INDEX(Parameter!$L$5:$L$7,W1166))*INDEX(Parameter!$E$5:$E$7,W1166)*X1166/SUMIFS($X$7:$X$1843,$W$7:$W$1843,W1166),0),0)</f>
        <v>1.12052730696798</v>
      </c>
      <c r="CS1166" s="62" t="n">
        <f aca="false">IF(AND(OR(CG1166="L1",CG1166="L23",CG1166="LIFT"),H1166&gt;0),CC1166*IF(CR1166&gt;0,CR1166*MAX(1,H1166/X1166),IF(CA1166=1,CE1166,IF(R1166&gt;0,CN1166/R1166,0))/MAX(0.1,N(Parameter!$M$21))),"")</f>
        <v>266.68549905838</v>
      </c>
      <c r="CT1166" s="64" t="n">
        <f aca="false">IF(CS1166="","",J1166/H1166)</f>
        <v>5.8</v>
      </c>
      <c r="CU1166" s="62" t="n">
        <f aca="false">IF(CS1166="","",H1166*G1166)</f>
        <v>741.05</v>
      </c>
      <c r="CV1166" s="63" t="n">
        <f aca="false">IF(CS1166="","",(CL1166+ROUNDUP(CL1166+MAX(CM1166,2*(J1166/MAX(0.1,N(Einkauf!$C$6))-CL1166)),0))/2)</f>
        <v>12</v>
      </c>
      <c r="CW1166" s="62" t="n">
        <f aca="false">IF(CS1166="","",MAX(0,H1166-CV1166)*G1166)</f>
        <v>0</v>
      </c>
      <c r="CX1166" s="62" t="n">
        <f aca="false">IF(CS1166="","",CS1166*MAX(0,1-CV1166/H1166))</f>
        <v>0</v>
      </c>
      <c r="CY1166" s="64" t="n">
        <f aca="false">IF(CS1166="","",PERCENTRANK($CS$7:$CS$1843,CS1166)+PERCENTRANK($CU$7:$CU$1843,CU1166)+1-PERCENTRANK($CT$7:$CT$1843,CT1166))</f>
        <v>1.607</v>
      </c>
      <c r="CZ1166" s="72" t="n">
        <f aca="false">IF(CS1166="","",CHOOSE(MATCH(Einkauf!$C$5,Parameter!$G$23:$G$27,0),CY1166,CS1166,CU1166,-CT1166,CW1166)+ROW()/1000000000)</f>
        <v>1.607001166</v>
      </c>
    </row>
    <row r="1167" customFormat="false" ht="15" hidden="false" customHeight="false" outlineLevel="0" collapsed="false">
      <c r="A1167" s="60" t="s">
        <v>2144</v>
      </c>
      <c r="B1167" s="60" t="s">
        <v>477</v>
      </c>
      <c r="C1167" s="60" t="s">
        <v>206</v>
      </c>
      <c r="D1167" s="60" t="s">
        <v>226</v>
      </c>
      <c r="E1167" s="60" t="s">
        <v>227</v>
      </c>
      <c r="F1167" s="60" t="s">
        <v>260</v>
      </c>
      <c r="G1167" s="61" t="n">
        <v>43.31</v>
      </c>
      <c r="H1167" s="62" t="n">
        <f aca="false">MAX(0,IF(AND(Parameter!$B$21="Ja",ISNUMBER(Y1167)),Y1167,IF(Parameter!$B$20="Jahresanfang 2025 + Export",BS1167+BR1167,BR1167)))</f>
        <v>23</v>
      </c>
      <c r="I1167" s="62" t="n">
        <f aca="false">H1167*G1167</f>
        <v>996.13</v>
      </c>
      <c r="J1167" s="62" t="n">
        <f aca="false">BU1167*Parameter!$B$18</f>
        <v>8</v>
      </c>
      <c r="K1167" s="63" t="n">
        <v>27</v>
      </c>
      <c r="L1167" s="64" t="n">
        <v>0.296296296296296</v>
      </c>
      <c r="M1167" s="62" t="n">
        <v>0</v>
      </c>
      <c r="N1167" s="62" t="n">
        <v>10</v>
      </c>
      <c r="O1167" s="65" t="n">
        <v>14</v>
      </c>
      <c r="P1167" s="60" t="s">
        <v>370</v>
      </c>
      <c r="Q1167" s="62" t="n">
        <v>25</v>
      </c>
      <c r="R1167" s="65" t="n">
        <f aca="false">IF(CA1167=1,0,IFERROR(VLOOKUP(BY1167,'Gebinde-Kategorie'!$A$5:$N$45,13,0)+0,0))</f>
        <v>52</v>
      </c>
      <c r="S1167" s="66"/>
      <c r="T1167" s="67"/>
      <c r="U1167" s="67"/>
      <c r="V1167" s="67"/>
      <c r="W1167" s="60"/>
      <c r="X1167" s="62"/>
      <c r="Y1167" s="62"/>
      <c r="Z1167" s="60" t="n">
        <v>2</v>
      </c>
      <c r="AA1167" s="60" t="n">
        <f aca="false">IF(A1167="","",IF(AND(Parameter!$B$21="Ja",ISNUMBER(W1167)),W1167,IF(AND(Parameter!$E$27="Ja",ISNUMBER(Z1167),CD1167&lt;&gt;"Nein"),Z1167,IF(CD1167="2+3",IF(ISNUMBER(SEARCH("grosser Artikel",BV1167)),2,IFERROR(VLOOKUP(BY1167,Parameter!$F$35:$G$64,2,0),2)),IF(OR(CD1167="Nein",CD1167=""),"-",CD1167)))))</f>
        <v>2</v>
      </c>
      <c r="AB1167" s="67"/>
      <c r="AC1167" s="68"/>
      <c r="AD1167" s="62" t="n">
        <f aca="false">AW1167</f>
        <v>10</v>
      </c>
      <c r="AE1167" s="62" t="n">
        <f aca="false">MAX(AW1167,H1167)</f>
        <v>23</v>
      </c>
      <c r="AF1167" s="69"/>
      <c r="AG1167" s="62" t="n">
        <f aca="false">IF(LEFT(Cockpit!$C$5,1)="A",H1167,IF(Parameter!$E$30="MAX-Bestand",IF(CI1167=1,CJ1167,IF(LEFT(Cockpit!$C$5,1)="B",AM1167,MAX(AM1167,H1167))),ROUNDUP(AK1167,0)))</f>
        <v>23</v>
      </c>
      <c r="AH1167" s="62" t="n">
        <f aca="false">IF(CA1167=1,0,ROUNDUP(AG1167/BZ1167,0))</f>
        <v>1</v>
      </c>
      <c r="AI1167" s="64" t="n">
        <f aca="false">IF(CR1167&gt;0,CR1167*MAX(1,AG1167/X1167),IF(CA1167=1,IF(AG1167&lt;=0,0,CE1167*MAX(1,IF(H1167&gt;0,AG1167/H1167,1))),IF(R1167&gt;0,AH1167/R1167,0))/MAX(0.1,N(Parameter!$M$21)))</f>
        <v>0.0192307692307692</v>
      </c>
      <c r="AJ1167" s="62" t="n">
        <f aca="false">AI1167*CC1167</f>
        <v>2.98076923076923</v>
      </c>
      <c r="AK1167" s="63" t="n">
        <f aca="false">IF(LEFT(Cockpit!$C$5,1)="A",H1167,IF(CI1167=1,(CL1167+CJ1167)/2,IF(LEFT(Cockpit!$C$5,1)="B",(CL1167+AM1167)/2,MAX((CL1167+AM1167)/2,H1167))))</f>
        <v>23</v>
      </c>
      <c r="AL1167" s="62" t="n">
        <f aca="false">AK1167*G1167</f>
        <v>996.13</v>
      </c>
      <c r="AM1167" s="62" t="n">
        <f aca="false">ROUNDUP(CL1167+MAX(CM1167,2*(J1167/IF(CH1167&gt;0,CH1167,MAX(0.1,N(Cockpit!$C$6)))-CL1167)),0)</f>
        <v>10</v>
      </c>
      <c r="AN1167" s="63" t="n">
        <f aca="false">IF(AJ1167&gt;0,J1167/AJ1167,-1)</f>
        <v>2.68387096774194</v>
      </c>
      <c r="AO1167" s="63" t="n">
        <f aca="false">IF(AND(OR(CG1167="L1",CG1167="L23",CG1167="LIFT"),AJ1167&gt;0),SUMIFS($AJ$7:$AJ$1843,$CG$7:$CG$1843,CG1167,$AN$7:$AN$1843,"&gt;"&amp;AN1167)+SUMIFS($AJ$7:$AJ$1843,$CG$7:$CG$1843,CG1167,$AN$7:$AN$1843,AN1167,$BX$7:$BX$1843,"&lt;="&amp;BX1167),"")</f>
        <v>5348.79441391941</v>
      </c>
      <c r="AP1167" s="70" t="n">
        <f aca="false">IF(AO1167="",0,MAX(0,MIN(1,(IF(CG1167="L1",Parameter!$H$5,IF(CG1167="L23",Parameter!$H$6+Parameter!$H$7,Parameter!$H$5+Parameter!$H$6+Parameter!$H$7))-(AO1167-AJ1167))/AJ1167)))</f>
        <v>1</v>
      </c>
      <c r="AQ1167" s="62" t="n">
        <f aca="false">IF(LEFT(Cockpit!$I$5,1)="A",H1167,IF(Parameter!$E$30="MAX-Bestand",IF(CI1167=1,CJ1167,IF(LEFT(Cockpit!$I$5,1)="B",AW1167,MAX(AW1167,H1167))),ROUNDUP(AU1167,0)))</f>
        <v>23</v>
      </c>
      <c r="AR1167" s="62" t="n">
        <f aca="false">IF(CA1167=1,0,ROUNDUP(AQ1167/BZ1167,0))</f>
        <v>1</v>
      </c>
      <c r="AS1167" s="64" t="n">
        <f aca="false">IF(CR1167&gt;0,CR1167*MAX(1,AQ1167/X1167),IF(CA1167=1,IF(AQ1167&lt;=0,0,CE1167*MAX(1,IF(H1167&gt;0,AQ1167/H1167,1))),IF(R1167&gt;0,AR1167/R1167,0))/MAX(0.1,N(Parameter!$M$21)))</f>
        <v>0.0192307692307692</v>
      </c>
      <c r="AT1167" s="62" t="n">
        <f aca="false">AS1167*CC1167</f>
        <v>2.98076923076923</v>
      </c>
      <c r="AU1167" s="63" t="n">
        <f aca="false">IF(LEFT(Cockpit!$I$5,1)="A",H1167,IF(CI1167=1,(CL1167+CJ1167)/2,IF(LEFT(Cockpit!$I$5,1)="B",(CL1167+AW1167)/2,MAX((CL1167+AW1167)/2,H1167))))</f>
        <v>23</v>
      </c>
      <c r="AV1167" s="62" t="n">
        <f aca="false">AU1167*G1167</f>
        <v>996.13</v>
      </c>
      <c r="AW1167" s="62" t="n">
        <f aca="false">ROUNDUP(CL1167+MAX(CM1167,2*(J1167/IF(CH1167&gt;0,CH1167,MAX(0.1,N(Cockpit!$I$6)))-CL1167)),0)</f>
        <v>10</v>
      </c>
      <c r="AX1167" s="63" t="n">
        <f aca="false">IF(AT1167&gt;0,J1167/AT1167,-1)</f>
        <v>2.68387096774194</v>
      </c>
      <c r="AY1167" s="63" t="n">
        <f aca="false">IF(AND(OR(CG1167="L1",CG1167="L23",CG1167="LIFT"),AT1167&gt;0),SUMIFS($AT$7:$AT$1843,$CG$7:$CG$1843,CG1167,$AX$7:$AX$1843,"&gt;"&amp;AX1167)+SUMIFS($AT$7:$AT$1843,$CG$7:$CG$1843,CG1167,$AX$7:$AX$1843,AX1167,$BX$7:$BX$1843,"&lt;="&amp;BX1167),"")</f>
        <v>6183.27243589744</v>
      </c>
      <c r="AZ1167" s="70" t="n">
        <f aca="false">IF(AY1167="",0,MAX(0,MIN(1,(IF(CG1167="L1",Parameter!$H$5,IF(CG1167="L23",Parameter!$H$6+Parameter!$H$7,Parameter!$H$5+Parameter!$H$6+Parameter!$H$7))-(AY1167-AT1167))/AT1167)))</f>
        <v>1</v>
      </c>
      <c r="BA1167" s="62" t="n">
        <f aca="false">IF(LEFT(Cockpit!$O$5,1)="A",H1167,IF(Parameter!$E$30="MAX-Bestand",IF(CI1167=1,CJ1167,IF(LEFT(Cockpit!$O$5,1)="B",BG1167,MAX(BG1167,H1167))),ROUNDUP(BE1167,0)))</f>
        <v>5</v>
      </c>
      <c r="BB1167" s="62" t="n">
        <f aca="false">IF(CA1167=1,0,ROUNDUP(BA1167/BZ1167,0))</f>
        <v>1</v>
      </c>
      <c r="BC1167" s="64" t="n">
        <f aca="false">IF(CR1167&gt;0,CR1167*MAX(1,BA1167/X1167),IF(CA1167=1,IF(BA1167&lt;=0,0,CE1167*MAX(1,IF(H1167&gt;0,BA1167/H1167,1))),IF(R1167&gt;0,BB1167/R1167,0))/MAX(0.1,N(Parameter!$M$21)))</f>
        <v>0.0192307692307692</v>
      </c>
      <c r="BD1167" s="62" t="n">
        <f aca="false">BC1167*CC1167</f>
        <v>2.98076923076923</v>
      </c>
      <c r="BE1167" s="63" t="n">
        <f aca="false">IF(LEFT(Cockpit!$O$5,1)="A",H1167,IF(CI1167=1,(CL1167+CJ1167)/2,IF(LEFT(Cockpit!$O$5,1)="B",(CL1167+BG1167)/2,MAX((CL1167+BG1167)/2,H1167))))</f>
        <v>5</v>
      </c>
      <c r="BF1167" s="62" t="n">
        <f aca="false">BE1167*G1167</f>
        <v>216.55</v>
      </c>
      <c r="BG1167" s="62" t="n">
        <f aca="false">ROUNDUP(CL1167+MAX(CM1167,2*(J1167/IF(CH1167&gt;0,CH1167,MAX(0.1,N(Cockpit!$O$6)))-CL1167)),0)</f>
        <v>10</v>
      </c>
      <c r="BH1167" s="63" t="n">
        <f aca="false">IF(BD1167&gt;0,J1167/BD1167,-1)</f>
        <v>2.68387096774194</v>
      </c>
      <c r="BI1167" s="63" t="n">
        <f aca="false">IF(AND(OR(CG1167="L1",CG1167="L23",CG1167="LIFT"),BD1167&gt;0),SUMIFS($BD$7:$BD$1843,$CG$7:$CG$1843,CG1167,$BH$7:$BH$1843,"&gt;"&amp;BH1167)+SUMIFS($BD$7:$BD$1843,$CG$7:$CG$1843,CG1167,$BH$7:$BH$1843,BH1167,$BX$7:$BX$1843,"&lt;="&amp;BX1167),"")</f>
        <v>5361.32692307692</v>
      </c>
      <c r="BJ1167" s="70" t="n">
        <f aca="false">IF(BI1167="",0,MAX(0,MIN(1,(IF(CG1167="L1",Parameter!$H$5,IF(CG1167="L23",Parameter!$H$6+Parameter!$H$7,Parameter!$H$5+Parameter!$H$6+Parameter!$H$7))-(BI1167-BD1167))/BD1167)))</f>
        <v>1</v>
      </c>
      <c r="BK1167" s="60" t="str">
        <f aca="false">IF(AJ1167&lt;=0,"",IF(CG1167="Aussen","Aussenlager",IF(CG1167="-","Nicht im Lift",IF(AP1167&gt;=1,"Lift",IF(AP1167&lt;=0,"Aussenlager","teilweise")))))</f>
        <v>Lift</v>
      </c>
      <c r="BL1167" s="60" t="str">
        <f aca="false">IF(AT1167&lt;=0,"",IF(CG1167="Aussen","Aussenlager",IF(CG1167="-","Nicht im Lift",IF(AZ1167&gt;=1,"Lift",IF(AZ1167&lt;=0,"Aussenlager","teilweise")))))</f>
        <v>Lift</v>
      </c>
      <c r="BM1167" s="60" t="str">
        <f aca="false">IF(BD1167&lt;=0,"",IF(CG1167="Aussen","Aussenlager",IF(CG1167="-","Nicht im Lift",IF(BJ1167&gt;=1,"Lift",IF(BJ1167&lt;=0,"Aussenlager","teilweise")))))</f>
        <v>Lift</v>
      </c>
      <c r="BN1167" s="60" t="str">
        <f aca="false">IF(A1167="","",IF(BW1167=1,"Neu; ","")&amp;IF(AND(BW1167=0,BR1167&lt;0),"negativer Bestand (Export "&amp;BR1167&amp;"); ","")&amp;IF(J1167&lt;=0,"Kein Verbrauch; ","")&amp;IF(CR1167&gt;0,"Lift "&amp;W1167&amp;" lt. Liftbericht (Fach "&amp;X1167&amp;" Stk); ",IF(CB1167=1,"Gebinde geschätzt ("&amp;T1167&amp;"); ",IF(CA1167=1,"Lose – Tablare geschätzt; ","")))&amp;IF(H1167&gt;AW1167,"Überbestand "&amp;ROUND(H1167-AW1167,0)&amp;" Stk / CHF "&amp;ROUND((H1167-AW1167)*G1167,0)&amp;"; ","")&amp;IF(AND(CI1167=1,CJ1167&lt;CK1167),"MAX &lt; MB+LG; ","")&amp;IF(AND(CQ1167&gt;0,CP1167*10&gt;CQ1167),"zu hoch für Tablar; ","")&amp;IF(AND(BW1167=0,OR(CI1167=1,AB1167&lt;&gt;"",U1167&lt;&gt;"",V1167&lt;&gt;"",AC1167&lt;&gt;"")),"manuell übersteuert; ","")&amp;IF(AND(CA1167=0,R1167=0),"Gebinde unbekannt / Stellmass fehlt; ","")&amp;IF(AND(CA1167=0,N(V1167)&lt;=0,N(Q1167)&lt;=0),"Menge pro Gebinde fehlt (Ist = 1 Gebinde); ","")&amp;BV1167)</f>
        <v>negativer Bestand (Export -8); Überbestand 13 Stk / CHF 563; </v>
      </c>
      <c r="BO1167" s="60"/>
      <c r="BP1167" s="60"/>
      <c r="BQ1167" s="67"/>
      <c r="BR1167" s="62" t="n">
        <v>-8</v>
      </c>
      <c r="BS1167" s="62" t="n">
        <v>31</v>
      </c>
      <c r="BT1167" s="61" t="n">
        <v>-346.48</v>
      </c>
      <c r="BU1167" s="62" t="n">
        <v>8</v>
      </c>
      <c r="BV1167" s="60"/>
      <c r="BW1167" s="65" t="n">
        <v>0</v>
      </c>
      <c r="BX1167" s="65" t="n">
        <v>1167</v>
      </c>
      <c r="BY1167" s="60" t="str">
        <f aca="false">IF(U1167&lt;&gt;"",UPPER(TRIM(U1167)),IF(CB1167=1,UPPER(VLOOKUP(T1167,Parameter!$I$27:$K$29,2,0)),IF(P1167="","LOSE",P1167)))</f>
        <v>S41</v>
      </c>
      <c r="BZ1167" s="62" t="n">
        <f aca="false">IF(BY1167="LOSE",1,IF(N(V1167)&gt;0,V1167,IF(CB1167=1,MAX(1,N(VLOOKUP(T1167,Parameter!$I$27:$K$29,3,0)),H1167,N(N1167)),IF(N(Q1167)&gt;0,Q1167,MAX(1,H1167)))))</f>
        <v>25</v>
      </c>
      <c r="CA1167" s="65" t="n">
        <f aca="false">IF(BY1167="LOSE",1,0)</f>
        <v>0</v>
      </c>
      <c r="CB1167" s="65" t="n">
        <f aca="false">IF(AND(U1167="",OR(P1167="",P1167="LOSE"),T1167&lt;&gt;"",N(S1167)&lt;=0,ISNUMBER(MATCH(T1167,Parameter!$I$27:$I$29,0))),1,0)</f>
        <v>0</v>
      </c>
      <c r="CC1167" s="65" t="n">
        <f aca="false">IF(CR1167&gt;0,INDEX(Parameter!$H$5:$H$7,W1167)/INDEX(Parameter!$E$5:$E$7,W1167),IF(AND(CA1167=0,N(IFERROR(VLOOKUP(BY1167,'Gebinde-Kategorie'!$A$5:$N$45,14,0),0))&gt;0),VLOOKUP(BY1167,'Gebinde-Kategorie'!$A$5:$N$45,14,0)*10+Parameter!$M$23,Parameter!$M$24))</f>
        <v>155</v>
      </c>
      <c r="CD1167" s="60" t="str">
        <f aca="false">IF(AND(Parameter!$B$19="Ja",E1167&lt;&gt;"",ISNUMBER(MATCH(E1167,Parameter!$I$35:$I$52,0))),VLOOKUP(E1167,Parameter!$I$35:$J$52,2,0),IFERROR(VLOOKUP(D1167,Parameter!$A$35:$C$64,2,0),"Nein"))</f>
        <v>2+3</v>
      </c>
      <c r="CE1167" s="64" t="n">
        <f aca="false">IF(CA1167=0,0,IF(N(S1167)&gt;0,S1167,IFERROR(VLOOKUP(D1167,Parameter!$A$35:$C$64,3,0)+0,0)))</f>
        <v>0</v>
      </c>
      <c r="CF1167" s="60" t="n">
        <f aca="false">IF(AB1167&lt;&gt;"",AB1167,AA1167)</f>
        <v>2</v>
      </c>
      <c r="CG1167" s="60" t="str">
        <f aca="false">IF(OR(CF1167=1,CF1167=2,CF1167=3),IF(Parameter!$E$27="Ja","LIFT",IF(CF1167=1,"L1","L23")),IF(CF1167="Aussen","Aussen","-"))</f>
        <v>LIFT</v>
      </c>
      <c r="CH1167" s="71" t="n">
        <f aca="false">IF(N(AC1167)&gt;0,AC1167,0)</f>
        <v>0</v>
      </c>
      <c r="CI1167" s="65" t="n">
        <f aca="false">IF(ISNUMBER(AF1167),1,0)</f>
        <v>0</v>
      </c>
      <c r="CJ1167" s="62" t="n">
        <f aca="false">N(AF1167)</f>
        <v>0</v>
      </c>
      <c r="CK1167" s="62" t="n">
        <f aca="false">N(M1167)+N(N1167)</f>
        <v>10</v>
      </c>
      <c r="CL1167" s="62" t="n">
        <f aca="false">N(M1167)</f>
        <v>0</v>
      </c>
      <c r="CM1167" s="62" t="n">
        <f aca="false">N(N1167)</f>
        <v>10</v>
      </c>
      <c r="CN1167" s="62" t="n">
        <f aca="false">ROUNDUP(H1167/BZ1167,0)</f>
        <v>1</v>
      </c>
      <c r="CO1167" s="62" t="n">
        <f aca="false">ROUNDUP(CJ1167/BZ1167,0)</f>
        <v>0</v>
      </c>
      <c r="CP1167" s="65" t="n">
        <f aca="false">IF(CA1167=1,0,IFERROR(VLOOKUP(BY1167,'Gebinde-Kategorie'!$A$5:$N$45,5,0)+0,0))</f>
        <v>11</v>
      </c>
      <c r="CQ1167" s="65" t="n">
        <f aca="false">IFERROR(IF(OR(CF1167=1,CF1167=2,CF1167=3),N(INDEX(Parameter!$I$5:$I$7,CF1167)),0),0)</f>
        <v>0</v>
      </c>
      <c r="CR1167" s="64" t="n">
        <f aca="false">IF(AND(Parameter!$B$21="Ja",ISNUMBER(W1167),N(X1167)&gt;0),IFERROR(N(INDEX(Parameter!$L$5:$L$7,W1167))*INDEX(Parameter!$E$5:$E$7,W1167)*X1167/SUMIFS($X$7:$X$1843,$W$7:$W$1843,W1167),0),0)</f>
        <v>0</v>
      </c>
      <c r="CS1167" s="62" t="n">
        <f aca="false">IF(AND(OR(CG1167="L1",CG1167="L23",CG1167="LIFT"),H1167&gt;0),CC1167*IF(CR1167&gt;0,CR1167*MAX(1,H1167/X1167),IF(CA1167=1,CE1167,IF(R1167&gt;0,CN1167/R1167,0))/MAX(0.1,N(Parameter!$M$21))),"")</f>
        <v>2.98076923076923</v>
      </c>
      <c r="CT1167" s="64" t="n">
        <f aca="false">IF(CS1167="","",J1167/H1167)</f>
        <v>0.347826086956522</v>
      </c>
      <c r="CU1167" s="62" t="n">
        <f aca="false">IF(CS1167="","",H1167*G1167)</f>
        <v>996.13</v>
      </c>
      <c r="CV1167" s="63" t="n">
        <f aca="false">IF(CS1167="","",(CL1167+ROUNDUP(CL1167+MAX(CM1167,2*(J1167/MAX(0.1,N(Einkauf!$C$6))-CL1167)),0))/2)</f>
        <v>5</v>
      </c>
      <c r="CW1167" s="62" t="n">
        <f aca="false">IF(CS1167="","",MAX(0,H1167-CV1167)*G1167)</f>
        <v>779.58</v>
      </c>
      <c r="CX1167" s="62" t="n">
        <f aca="false">IF(CS1167="","",CS1167*MAX(0,1-CV1167/H1167))</f>
        <v>2.33277591973244</v>
      </c>
      <c r="CY1167" s="64" t="n">
        <f aca="false">IF(CS1167="","",PERCENTRANK($CS$7:$CS$1843,CS1167)+PERCENTRANK($CU$7:$CU$1843,CU1167)+1-PERCENTRANK($CT$7:$CT$1843,CT1167))</f>
        <v>1.343</v>
      </c>
      <c r="CZ1167" s="72" t="n">
        <f aca="false">IF(CS1167="","",CHOOSE(MATCH(Einkauf!$C$5,Parameter!$G$23:$G$27,0),CY1167,CS1167,CU1167,-CT1167,CW1167)+ROW()/1000000000)</f>
        <v>1.343001167</v>
      </c>
    </row>
    <row r="1168" customFormat="false" ht="15" hidden="false" customHeight="false" outlineLevel="0" collapsed="false">
      <c r="A1168" s="60" t="s">
        <v>2145</v>
      </c>
      <c r="B1168" s="60" t="s">
        <v>2146</v>
      </c>
      <c r="C1168" s="60" t="s">
        <v>206</v>
      </c>
      <c r="D1168" s="60" t="s">
        <v>226</v>
      </c>
      <c r="E1168" s="60" t="s">
        <v>227</v>
      </c>
      <c r="F1168" s="60" t="s">
        <v>260</v>
      </c>
      <c r="G1168" s="61" t="n">
        <v>116.46</v>
      </c>
      <c r="H1168" s="62" t="n">
        <f aca="false">MAX(0,IF(AND(Parameter!$B$21="Ja",ISNUMBER(Y1168)),Y1168,IF(Parameter!$B$20="Jahresanfang 2025 + Export",BS1168+BR1168,BR1168)))</f>
        <v>46</v>
      </c>
      <c r="I1168" s="62" t="n">
        <f aca="false">H1168*G1168</f>
        <v>5357.16</v>
      </c>
      <c r="J1168" s="62" t="n">
        <f aca="false">BU1168*Parameter!$B$18</f>
        <v>3</v>
      </c>
      <c r="K1168" s="63" t="n">
        <v>48.5</v>
      </c>
      <c r="L1168" s="64" t="n">
        <v>0.0618556701030928</v>
      </c>
      <c r="M1168" s="62" t="n">
        <v>0</v>
      </c>
      <c r="N1168" s="62" t="n">
        <v>5</v>
      </c>
      <c r="O1168" s="65" t="n">
        <v>28</v>
      </c>
      <c r="P1168" s="60" t="s">
        <v>268</v>
      </c>
      <c r="Q1168" s="62" t="n">
        <v>50</v>
      </c>
      <c r="R1168" s="65" t="n">
        <f aca="false">IF(CA1168=1,0,IFERROR(VLOOKUP(BY1168,'Gebinde-Kategorie'!$A$5:$N$45,13,0)+0,0))</f>
        <v>12</v>
      </c>
      <c r="S1168" s="66"/>
      <c r="T1168" s="67"/>
      <c r="U1168" s="67"/>
      <c r="V1168" s="67"/>
      <c r="W1168" s="60"/>
      <c r="X1168" s="62"/>
      <c r="Y1168" s="62"/>
      <c r="Z1168" s="60" t="n">
        <v>3</v>
      </c>
      <c r="AA1168" s="60" t="n">
        <f aca="false">IF(A1168="","",IF(AND(Parameter!$B$21="Ja",ISNUMBER(W1168)),W1168,IF(AND(Parameter!$E$27="Ja",ISNUMBER(Z1168),CD1168&lt;&gt;"Nein"),Z1168,IF(CD1168="2+3",IF(ISNUMBER(SEARCH("grosser Artikel",BV1168)),2,IFERROR(VLOOKUP(BY1168,Parameter!$F$35:$G$64,2,0),2)),IF(OR(CD1168="Nein",CD1168=""),"-",CD1168)))))</f>
        <v>3</v>
      </c>
      <c r="AB1168" s="67"/>
      <c r="AC1168" s="68"/>
      <c r="AD1168" s="62" t="n">
        <f aca="false">AW1168</f>
        <v>5</v>
      </c>
      <c r="AE1168" s="62" t="n">
        <f aca="false">MAX(AW1168,H1168)</f>
        <v>46</v>
      </c>
      <c r="AF1168" s="69"/>
      <c r="AG1168" s="62" t="n">
        <f aca="false">IF(LEFT(Cockpit!$C$5,1)="A",H1168,IF(Parameter!$E$30="MAX-Bestand",IF(CI1168=1,CJ1168,IF(LEFT(Cockpit!$C$5,1)="B",AM1168,MAX(AM1168,H1168))),ROUNDUP(AK1168,0)))</f>
        <v>46</v>
      </c>
      <c r="AH1168" s="62" t="n">
        <f aca="false">IF(CA1168=1,0,ROUNDUP(AG1168/BZ1168,0))</f>
        <v>1</v>
      </c>
      <c r="AI1168" s="64" t="n">
        <f aca="false">IF(CR1168&gt;0,CR1168*MAX(1,AG1168/X1168),IF(CA1168=1,IF(AG1168&lt;=0,0,CE1168*MAX(1,IF(H1168&gt;0,AG1168/H1168,1))),IF(R1168&gt;0,AH1168/R1168,0))/MAX(0.1,N(Parameter!$M$21)))</f>
        <v>0.0833333333333333</v>
      </c>
      <c r="AJ1168" s="62" t="n">
        <f aca="false">AI1168*CC1168</f>
        <v>28.75</v>
      </c>
      <c r="AK1168" s="63" t="n">
        <f aca="false">IF(LEFT(Cockpit!$C$5,1)="A",H1168,IF(CI1168=1,(CL1168+CJ1168)/2,IF(LEFT(Cockpit!$C$5,1)="B",(CL1168+AM1168)/2,MAX((CL1168+AM1168)/2,H1168))))</f>
        <v>46</v>
      </c>
      <c r="AL1168" s="62" t="n">
        <f aca="false">AK1168*G1168</f>
        <v>5357.16</v>
      </c>
      <c r="AM1168" s="62" t="n">
        <f aca="false">ROUNDUP(CL1168+MAX(CM1168,2*(J1168/IF(CH1168&gt;0,CH1168,MAX(0.1,N(Cockpit!$C$6)))-CL1168)),0)</f>
        <v>5</v>
      </c>
      <c r="AN1168" s="63" t="n">
        <f aca="false">IF(AJ1168&gt;0,J1168/AJ1168,-1)</f>
        <v>0.104347826086957</v>
      </c>
      <c r="AO1168" s="63" t="n">
        <f aca="false">IF(AND(OR(CG1168="L1",CG1168="L23",CG1168="LIFT"),AJ1168&gt;0),SUMIFS($AJ$7:$AJ$1843,$CG$7:$CG$1843,CG1168,$AN$7:$AN$1843,"&gt;"&amp;AN1168)+SUMIFS($AJ$7:$AJ$1843,$CG$7:$CG$1843,CG1168,$AN$7:$AN$1843,AN1168,$BX$7:$BX$1843,"&lt;="&amp;BX1168),"")</f>
        <v>15618.9344306823</v>
      </c>
      <c r="AP1168" s="70" t="n">
        <f aca="false">IF(AO1168="",0,MAX(0,MIN(1,(IF(CG1168="L1",Parameter!$H$5,IF(CG1168="L23",Parameter!$H$6+Parameter!$H$7,Parameter!$H$5+Parameter!$H$6+Parameter!$H$7))-(AO1168-AJ1168))/AJ1168)))</f>
        <v>1</v>
      </c>
      <c r="AQ1168" s="62" t="n">
        <f aca="false">IF(LEFT(Cockpit!$I$5,1)="A",H1168,IF(Parameter!$E$30="MAX-Bestand",IF(CI1168=1,CJ1168,IF(LEFT(Cockpit!$I$5,1)="B",AW1168,MAX(AW1168,H1168))),ROUNDUP(AU1168,0)))</f>
        <v>46</v>
      </c>
      <c r="AR1168" s="62" t="n">
        <f aca="false">IF(CA1168=1,0,ROUNDUP(AQ1168/BZ1168,0))</f>
        <v>1</v>
      </c>
      <c r="AS1168" s="64" t="n">
        <f aca="false">IF(CR1168&gt;0,CR1168*MAX(1,AQ1168/X1168),IF(CA1168=1,IF(AQ1168&lt;=0,0,CE1168*MAX(1,IF(H1168&gt;0,AQ1168/H1168,1))),IF(R1168&gt;0,AR1168/R1168,0))/MAX(0.1,N(Parameter!$M$21)))</f>
        <v>0.0833333333333333</v>
      </c>
      <c r="AT1168" s="62" t="n">
        <f aca="false">AS1168*CC1168</f>
        <v>28.75</v>
      </c>
      <c r="AU1168" s="63" t="n">
        <f aca="false">IF(LEFT(Cockpit!$I$5,1)="A",H1168,IF(CI1168=1,(CL1168+CJ1168)/2,IF(LEFT(Cockpit!$I$5,1)="B",(CL1168+AW1168)/2,MAX((CL1168+AW1168)/2,H1168))))</f>
        <v>46</v>
      </c>
      <c r="AV1168" s="62" t="n">
        <f aca="false">AU1168*G1168</f>
        <v>5357.16</v>
      </c>
      <c r="AW1168" s="62" t="n">
        <f aca="false">ROUNDUP(CL1168+MAX(CM1168,2*(J1168/IF(CH1168&gt;0,CH1168,MAX(0.1,N(Cockpit!$I$6)))-CL1168)),0)</f>
        <v>5</v>
      </c>
      <c r="AX1168" s="63" t="n">
        <f aca="false">IF(AT1168&gt;0,J1168/AT1168,-1)</f>
        <v>0.104347826086957</v>
      </c>
      <c r="AY1168" s="63" t="n">
        <f aca="false">IF(AND(OR(CG1168="L1",CG1168="L23",CG1168="LIFT"),AT1168&gt;0),SUMIFS($AT$7:$AT$1843,$CG$7:$CG$1843,CG1168,$AX$7:$AX$1843,"&gt;"&amp;AX1168)+SUMIFS($AT$7:$AT$1843,$CG$7:$CG$1843,CG1168,$AX$7:$AX$1843,AX1168,$BX$7:$BX$1843,"&lt;="&amp;BX1168),"")</f>
        <v>19643.3330720598</v>
      </c>
      <c r="AZ1168" s="70" t="n">
        <f aca="false">IF(AY1168="",0,MAX(0,MIN(1,(IF(CG1168="L1",Parameter!$H$5,IF(CG1168="L23",Parameter!$H$6+Parameter!$H$7,Parameter!$H$5+Parameter!$H$6+Parameter!$H$7))-(AY1168-AT1168))/AT1168)))</f>
        <v>1</v>
      </c>
      <c r="BA1168" s="62" t="n">
        <f aca="false">IF(LEFT(Cockpit!$O$5,1)="A",H1168,IF(Parameter!$E$30="MAX-Bestand",IF(CI1168=1,CJ1168,IF(LEFT(Cockpit!$O$5,1)="B",BG1168,MAX(BG1168,H1168))),ROUNDUP(BE1168,0)))</f>
        <v>3</v>
      </c>
      <c r="BB1168" s="62" t="n">
        <f aca="false">IF(CA1168=1,0,ROUNDUP(BA1168/BZ1168,0))</f>
        <v>1</v>
      </c>
      <c r="BC1168" s="64" t="n">
        <f aca="false">IF(CR1168&gt;0,CR1168*MAX(1,BA1168/X1168),IF(CA1168=1,IF(BA1168&lt;=0,0,CE1168*MAX(1,IF(H1168&gt;0,BA1168/H1168,1))),IF(R1168&gt;0,BB1168/R1168,0))/MAX(0.1,N(Parameter!$M$21)))</f>
        <v>0.0833333333333333</v>
      </c>
      <c r="BD1168" s="62" t="n">
        <f aca="false">BC1168*CC1168</f>
        <v>28.75</v>
      </c>
      <c r="BE1168" s="63" t="n">
        <f aca="false">IF(LEFT(Cockpit!$O$5,1)="A",H1168,IF(CI1168=1,(CL1168+CJ1168)/2,IF(LEFT(Cockpit!$O$5,1)="B",(CL1168+BG1168)/2,MAX((CL1168+BG1168)/2,H1168))))</f>
        <v>2.5</v>
      </c>
      <c r="BF1168" s="62" t="n">
        <f aca="false">BE1168*G1168</f>
        <v>291.15</v>
      </c>
      <c r="BG1168" s="62" t="n">
        <f aca="false">ROUNDUP(CL1168+MAX(CM1168,2*(J1168/IF(CH1168&gt;0,CH1168,MAX(0.1,N(Cockpit!$O$6)))-CL1168)),0)</f>
        <v>5</v>
      </c>
      <c r="BH1168" s="63" t="n">
        <f aca="false">IF(BD1168&gt;0,J1168/BD1168,-1)</f>
        <v>0.104347826086957</v>
      </c>
      <c r="BI1168" s="63" t="n">
        <f aca="false">IF(AND(OR(CG1168="L1",CG1168="L23",CG1168="LIFT"),BD1168&gt;0),SUMIFS($BD$7:$BD$1843,$CG$7:$CG$1843,CG1168,$BH$7:$BH$1843,"&gt;"&amp;BH1168)+SUMIFS($BD$7:$BD$1843,$CG$7:$CG$1843,CG1168,$BH$7:$BH$1843,BH1168,$BX$7:$BX$1843,"&lt;="&amp;BX1168),"")</f>
        <v>17244.1456845885</v>
      </c>
      <c r="BJ1168" s="70" t="n">
        <f aca="false">IF(BI1168="",0,MAX(0,MIN(1,(IF(CG1168="L1",Parameter!$H$5,IF(CG1168="L23",Parameter!$H$6+Parameter!$H$7,Parameter!$H$5+Parameter!$H$6+Parameter!$H$7))-(BI1168-BD1168))/BD1168)))</f>
        <v>1</v>
      </c>
      <c r="BK1168" s="60" t="str">
        <f aca="false">IF(AJ1168&lt;=0,"",IF(CG1168="Aussen","Aussenlager",IF(CG1168="-","Nicht im Lift",IF(AP1168&gt;=1,"Lift",IF(AP1168&lt;=0,"Aussenlager","teilweise")))))</f>
        <v>Lift</v>
      </c>
      <c r="BL1168" s="60" t="str">
        <f aca="false">IF(AT1168&lt;=0,"",IF(CG1168="Aussen","Aussenlager",IF(CG1168="-","Nicht im Lift",IF(AZ1168&gt;=1,"Lift",IF(AZ1168&lt;=0,"Aussenlager","teilweise")))))</f>
        <v>Lift</v>
      </c>
      <c r="BM1168" s="60" t="str">
        <f aca="false">IF(BD1168&lt;=0,"",IF(CG1168="Aussen","Aussenlager",IF(CG1168="-","Nicht im Lift",IF(BJ1168&gt;=1,"Lift",IF(BJ1168&lt;=0,"Aussenlager","teilweise")))))</f>
        <v>Lift</v>
      </c>
      <c r="BN1168" s="60" t="str">
        <f aca="false">IF(A1168="","",IF(BW1168=1,"Neu; ","")&amp;IF(AND(BW1168=0,BR1168&lt;0),"negativer Bestand (Export "&amp;BR1168&amp;"); ","")&amp;IF(J1168&lt;=0,"Kein Verbrauch; ","")&amp;IF(CR1168&gt;0,"Lift "&amp;W1168&amp;" lt. Liftbericht (Fach "&amp;X1168&amp;" Stk); ",IF(CB1168=1,"Gebinde geschätzt ("&amp;T1168&amp;"); ",IF(CA1168=1,"Lose – Tablare geschätzt; ","")))&amp;IF(H1168&gt;AW1168,"Überbestand "&amp;ROUND(H1168-AW1168,0)&amp;" Stk / CHF "&amp;ROUND((H1168-AW1168)*G1168,0)&amp;"; ","")&amp;IF(AND(CI1168=1,CJ1168&lt;CK1168),"MAX &lt; MB+LG; ","")&amp;IF(AND(CQ1168&gt;0,CP1168*10&gt;CQ1168),"zu hoch für Tablar; ","")&amp;IF(AND(BW1168=0,OR(CI1168=1,AB1168&lt;&gt;"",U1168&lt;&gt;"",V1168&lt;&gt;"",AC1168&lt;&gt;"")),"manuell übersteuert; ","")&amp;IF(AND(CA1168=0,R1168=0),"Gebinde unbekannt / Stellmass fehlt; ","")&amp;IF(AND(CA1168=0,N(V1168)&lt;=0,N(Q1168)&lt;=0),"Menge pro Gebinde fehlt (Ist = 1 Gebinde); ","")&amp;BV1168)</f>
        <v>negativer Bestand (Export -3); Überbestand 41 Stk / CHF 4775; </v>
      </c>
      <c r="BO1168" s="60"/>
      <c r="BP1168" s="60"/>
      <c r="BQ1168" s="67"/>
      <c r="BR1168" s="62" t="n">
        <v>-3</v>
      </c>
      <c r="BS1168" s="62" t="n">
        <v>49</v>
      </c>
      <c r="BT1168" s="61" t="n">
        <v>-349.38</v>
      </c>
      <c r="BU1168" s="62" t="n">
        <v>3</v>
      </c>
      <c r="BV1168" s="60"/>
      <c r="BW1168" s="65" t="n">
        <v>0</v>
      </c>
      <c r="BX1168" s="65" t="n">
        <v>1168</v>
      </c>
      <c r="BY1168" s="60" t="str">
        <f aca="false">IF(U1168&lt;&gt;"",UPPER(TRIM(U1168)),IF(CB1168=1,UPPER(VLOOKUP(T1168,Parameter!$I$27:$K$29,2,0)),IF(P1168="","LOSE",P1168)))</f>
        <v>S63</v>
      </c>
      <c r="BZ1168" s="62" t="n">
        <f aca="false">IF(BY1168="LOSE",1,IF(N(V1168)&gt;0,V1168,IF(CB1168=1,MAX(1,N(VLOOKUP(T1168,Parameter!$I$27:$K$29,3,0)),H1168,N(N1168)),IF(N(Q1168)&gt;0,Q1168,MAX(1,H1168)))))</f>
        <v>50</v>
      </c>
      <c r="CA1168" s="65" t="n">
        <f aca="false">IF(BY1168="LOSE",1,0)</f>
        <v>0</v>
      </c>
      <c r="CB1168" s="65" t="n">
        <f aca="false">IF(AND(U1168="",OR(P1168="",P1168="LOSE"),T1168&lt;&gt;"",N(S1168)&lt;=0,ISNUMBER(MATCH(T1168,Parameter!$I$27:$I$29,0))),1,0)</f>
        <v>0</v>
      </c>
      <c r="CC1168" s="65" t="n">
        <f aca="false">IF(CR1168&gt;0,INDEX(Parameter!$H$5:$H$7,W1168)/INDEX(Parameter!$E$5:$E$7,W1168),IF(AND(CA1168=0,N(IFERROR(VLOOKUP(BY1168,'Gebinde-Kategorie'!$A$5:$N$45,14,0),0))&gt;0),VLOOKUP(BY1168,'Gebinde-Kategorie'!$A$5:$N$45,14,0)*10+Parameter!$M$23,Parameter!$M$24))</f>
        <v>345</v>
      </c>
      <c r="CD1168" s="60" t="str">
        <f aca="false">IF(AND(Parameter!$B$19="Ja",E1168&lt;&gt;"",ISNUMBER(MATCH(E1168,Parameter!$I$35:$I$52,0))),VLOOKUP(E1168,Parameter!$I$35:$J$52,2,0),IFERROR(VLOOKUP(D1168,Parameter!$A$35:$C$64,2,0),"Nein"))</f>
        <v>2+3</v>
      </c>
      <c r="CE1168" s="64" t="n">
        <f aca="false">IF(CA1168=0,0,IF(N(S1168)&gt;0,S1168,IFERROR(VLOOKUP(D1168,Parameter!$A$35:$C$64,3,0)+0,0)))</f>
        <v>0</v>
      </c>
      <c r="CF1168" s="60" t="n">
        <f aca="false">IF(AB1168&lt;&gt;"",AB1168,AA1168)</f>
        <v>3</v>
      </c>
      <c r="CG1168" s="60" t="str">
        <f aca="false">IF(OR(CF1168=1,CF1168=2,CF1168=3),IF(Parameter!$E$27="Ja","LIFT",IF(CF1168=1,"L1","L23")),IF(CF1168="Aussen","Aussen","-"))</f>
        <v>LIFT</v>
      </c>
      <c r="CH1168" s="71" t="n">
        <f aca="false">IF(N(AC1168)&gt;0,AC1168,0)</f>
        <v>0</v>
      </c>
      <c r="CI1168" s="65" t="n">
        <f aca="false">IF(ISNUMBER(AF1168),1,0)</f>
        <v>0</v>
      </c>
      <c r="CJ1168" s="62" t="n">
        <f aca="false">N(AF1168)</f>
        <v>0</v>
      </c>
      <c r="CK1168" s="62" t="n">
        <f aca="false">N(M1168)+N(N1168)</f>
        <v>5</v>
      </c>
      <c r="CL1168" s="62" t="n">
        <f aca="false">N(M1168)</f>
        <v>0</v>
      </c>
      <c r="CM1168" s="62" t="n">
        <f aca="false">N(N1168)</f>
        <v>5</v>
      </c>
      <c r="CN1168" s="62" t="n">
        <f aca="false">ROUNDUP(H1168/BZ1168,0)</f>
        <v>1</v>
      </c>
      <c r="CO1168" s="62" t="n">
        <f aca="false">ROUNDUP(CJ1168/BZ1168,0)</f>
        <v>0</v>
      </c>
      <c r="CP1168" s="65" t="n">
        <f aca="false">IF(CA1168=1,0,IFERROR(VLOOKUP(BY1168,'Gebinde-Kategorie'!$A$5:$N$45,5,0)+0,0))</f>
        <v>31</v>
      </c>
      <c r="CQ1168" s="65" t="n">
        <f aca="false">IFERROR(IF(OR(CF1168=1,CF1168=2,CF1168=3),N(INDEX(Parameter!$I$5:$I$7,CF1168)),0),0)</f>
        <v>0</v>
      </c>
      <c r="CR1168" s="64" t="n">
        <f aca="false">IF(AND(Parameter!$B$21="Ja",ISNUMBER(W1168),N(X1168)&gt;0),IFERROR(N(INDEX(Parameter!$L$5:$L$7,W1168))*INDEX(Parameter!$E$5:$E$7,W1168)*X1168/SUMIFS($X$7:$X$1843,$W$7:$W$1843,W1168),0),0)</f>
        <v>0</v>
      </c>
      <c r="CS1168" s="62" t="n">
        <f aca="false">IF(AND(OR(CG1168="L1",CG1168="L23",CG1168="LIFT"),H1168&gt;0),CC1168*IF(CR1168&gt;0,CR1168*MAX(1,H1168/X1168),IF(CA1168=1,CE1168,IF(R1168&gt;0,CN1168/R1168,0))/MAX(0.1,N(Parameter!$M$21))),"")</f>
        <v>28.75</v>
      </c>
      <c r="CT1168" s="64" t="n">
        <f aca="false">IF(CS1168="","",J1168/H1168)</f>
        <v>0.0652173913043478</v>
      </c>
      <c r="CU1168" s="62" t="n">
        <f aca="false">IF(CS1168="","",H1168*G1168)</f>
        <v>5357.16</v>
      </c>
      <c r="CV1168" s="63" t="n">
        <f aca="false">IF(CS1168="","",(CL1168+ROUNDUP(CL1168+MAX(CM1168,2*(J1168/MAX(0.1,N(Einkauf!$C$6))-CL1168)),0))/2)</f>
        <v>2.5</v>
      </c>
      <c r="CW1168" s="62" t="n">
        <f aca="false">IF(CS1168="","",MAX(0,H1168-CV1168)*G1168)</f>
        <v>5066.01</v>
      </c>
      <c r="CX1168" s="62" t="n">
        <f aca="false">IF(CS1168="","",CS1168*MAX(0,1-CV1168/H1168))</f>
        <v>27.1875</v>
      </c>
      <c r="CY1168" s="64" t="n">
        <f aca="false">IF(CS1168="","",PERCENTRANK($CS$7:$CS$1843,CS1168)+PERCENTRANK($CU$7:$CU$1843,CU1168)+1-PERCENTRANK($CT$7:$CT$1843,CT1168))</f>
        <v>2.323</v>
      </c>
      <c r="CZ1168" s="72" t="n">
        <f aca="false">IF(CS1168="","",CHOOSE(MATCH(Einkauf!$C$5,Parameter!$G$23:$G$27,0),CY1168,CS1168,CU1168,-CT1168,CW1168)+ROW()/1000000000)</f>
        <v>2.323001168</v>
      </c>
    </row>
    <row r="1169" customFormat="false" ht="15" hidden="false" customHeight="false" outlineLevel="0" collapsed="false">
      <c r="A1169" s="60" t="s">
        <v>2147</v>
      </c>
      <c r="B1169" s="60" t="s">
        <v>1046</v>
      </c>
      <c r="C1169" s="60" t="s">
        <v>206</v>
      </c>
      <c r="D1169" s="60" t="s">
        <v>226</v>
      </c>
      <c r="E1169" s="60"/>
      <c r="F1169" s="60" t="s">
        <v>260</v>
      </c>
      <c r="G1169" s="61" t="n">
        <v>58.46</v>
      </c>
      <c r="H1169" s="62" t="n">
        <f aca="false">MAX(0,IF(AND(Parameter!$B$21="Ja",ISNUMBER(Y1169)),Y1169,IF(Parameter!$B$20="Jahresanfang 2025 + Export",BS1169+BR1169,BR1169)))</f>
        <v>57</v>
      </c>
      <c r="I1169" s="62" t="n">
        <f aca="false">H1169*G1169</f>
        <v>3332.22</v>
      </c>
      <c r="J1169" s="62" t="n">
        <f aca="false">BU1169*Parameter!$B$18</f>
        <v>5</v>
      </c>
      <c r="K1169" s="63" t="n">
        <v>60</v>
      </c>
      <c r="L1169" s="64" t="n">
        <v>0.0833333333333333</v>
      </c>
      <c r="M1169" s="62" t="n">
        <v>0</v>
      </c>
      <c r="N1169" s="62" t="n">
        <v>5</v>
      </c>
      <c r="O1169" s="65" t="n">
        <v>28</v>
      </c>
      <c r="P1169" s="60" t="s">
        <v>344</v>
      </c>
      <c r="Q1169" s="62" t="n">
        <v>60</v>
      </c>
      <c r="R1169" s="65" t="n">
        <f aca="false">IF(CA1169=1,0,IFERROR(VLOOKUP(BY1169,'Gebinde-Kategorie'!$A$5:$N$45,13,0)+0,0))</f>
        <v>26</v>
      </c>
      <c r="S1169" s="66"/>
      <c r="T1169" s="67"/>
      <c r="U1169" s="67"/>
      <c r="V1169" s="67"/>
      <c r="W1169" s="60"/>
      <c r="X1169" s="62"/>
      <c r="Y1169" s="62"/>
      <c r="Z1169" s="60" t="n">
        <v>3</v>
      </c>
      <c r="AA1169" s="60" t="n">
        <f aca="false">IF(A1169="","",IF(AND(Parameter!$B$21="Ja",ISNUMBER(W1169)),W1169,IF(AND(Parameter!$E$27="Ja",ISNUMBER(Z1169),CD1169&lt;&gt;"Nein"),Z1169,IF(CD1169="2+3",IF(ISNUMBER(SEARCH("grosser Artikel",BV1169)),2,IFERROR(VLOOKUP(BY1169,Parameter!$F$35:$G$64,2,0),2)),IF(OR(CD1169="Nein",CD1169=""),"-",CD1169)))))</f>
        <v>3</v>
      </c>
      <c r="AB1169" s="67"/>
      <c r="AC1169" s="68"/>
      <c r="AD1169" s="62" t="n">
        <f aca="false">AW1169</f>
        <v>5</v>
      </c>
      <c r="AE1169" s="62" t="n">
        <f aca="false">MAX(AW1169,H1169)</f>
        <v>57</v>
      </c>
      <c r="AF1169" s="69"/>
      <c r="AG1169" s="62" t="n">
        <f aca="false">IF(LEFT(Cockpit!$C$5,1)="A",H1169,IF(Parameter!$E$30="MAX-Bestand",IF(CI1169=1,CJ1169,IF(LEFT(Cockpit!$C$5,1)="B",AM1169,MAX(AM1169,H1169))),ROUNDUP(AK1169,0)))</f>
        <v>57</v>
      </c>
      <c r="AH1169" s="62" t="n">
        <f aca="false">IF(CA1169=1,0,ROUNDUP(AG1169/BZ1169,0))</f>
        <v>1</v>
      </c>
      <c r="AI1169" s="64" t="n">
        <f aca="false">IF(CR1169&gt;0,CR1169*MAX(1,AG1169/X1169),IF(CA1169=1,IF(AG1169&lt;=0,0,CE1169*MAX(1,IF(H1169&gt;0,AG1169/H1169,1))),IF(R1169&gt;0,AH1169/R1169,0))/MAX(0.1,N(Parameter!$M$21)))</f>
        <v>0.0384615384615385</v>
      </c>
      <c r="AJ1169" s="62" t="n">
        <f aca="false">AI1169*CC1169</f>
        <v>5.96153846153846</v>
      </c>
      <c r="AK1169" s="63" t="n">
        <f aca="false">IF(LEFT(Cockpit!$C$5,1)="A",H1169,IF(CI1169=1,(CL1169+CJ1169)/2,IF(LEFT(Cockpit!$C$5,1)="B",(CL1169+AM1169)/2,MAX((CL1169+AM1169)/2,H1169))))</f>
        <v>57</v>
      </c>
      <c r="AL1169" s="62" t="n">
        <f aca="false">AK1169*G1169</f>
        <v>3332.22</v>
      </c>
      <c r="AM1169" s="62" t="n">
        <f aca="false">ROUNDUP(CL1169+MAX(CM1169,2*(J1169/IF(CH1169&gt;0,CH1169,MAX(0.1,N(Cockpit!$C$6)))-CL1169)),0)</f>
        <v>5</v>
      </c>
      <c r="AN1169" s="63" t="n">
        <f aca="false">IF(AJ1169&gt;0,J1169/AJ1169,-1)</f>
        <v>0.838709677419355</v>
      </c>
      <c r="AO1169" s="63" t="n">
        <f aca="false">IF(AND(OR(CG1169="L1",CG1169="L23",CG1169="LIFT"),AJ1169&gt;0),SUMIFS($AJ$7:$AJ$1843,$CG$7:$CG$1843,CG1169,$AN$7:$AN$1843,"&gt;"&amp;AN1169)+SUMIFS($AJ$7:$AJ$1843,$CG$7:$CG$1843,CG1169,$AN$7:$AN$1843,AN1169,$BX$7:$BX$1843,"&lt;="&amp;BX1169),"")</f>
        <v>7896.625</v>
      </c>
      <c r="AP1169" s="70" t="n">
        <f aca="false">IF(AO1169="",0,MAX(0,MIN(1,(IF(CG1169="L1",Parameter!$H$5,IF(CG1169="L23",Parameter!$H$6+Parameter!$H$7,Parameter!$H$5+Parameter!$H$6+Parameter!$H$7))-(AO1169-AJ1169))/AJ1169)))</f>
        <v>1</v>
      </c>
      <c r="AQ1169" s="62" t="n">
        <f aca="false">IF(LEFT(Cockpit!$I$5,1)="A",H1169,IF(Parameter!$E$30="MAX-Bestand",IF(CI1169=1,CJ1169,IF(LEFT(Cockpit!$I$5,1)="B",AW1169,MAX(AW1169,H1169))),ROUNDUP(AU1169,0)))</f>
        <v>57</v>
      </c>
      <c r="AR1169" s="62" t="n">
        <f aca="false">IF(CA1169=1,0,ROUNDUP(AQ1169/BZ1169,0))</f>
        <v>1</v>
      </c>
      <c r="AS1169" s="64" t="n">
        <f aca="false">IF(CR1169&gt;0,CR1169*MAX(1,AQ1169/X1169),IF(CA1169=1,IF(AQ1169&lt;=0,0,CE1169*MAX(1,IF(H1169&gt;0,AQ1169/H1169,1))),IF(R1169&gt;0,AR1169/R1169,0))/MAX(0.1,N(Parameter!$M$21)))</f>
        <v>0.0384615384615385</v>
      </c>
      <c r="AT1169" s="62" t="n">
        <f aca="false">AS1169*CC1169</f>
        <v>5.96153846153846</v>
      </c>
      <c r="AU1169" s="63" t="n">
        <f aca="false">IF(LEFT(Cockpit!$I$5,1)="A",H1169,IF(CI1169=1,(CL1169+CJ1169)/2,IF(LEFT(Cockpit!$I$5,1)="B",(CL1169+AW1169)/2,MAX((CL1169+AW1169)/2,H1169))))</f>
        <v>57</v>
      </c>
      <c r="AV1169" s="62" t="n">
        <f aca="false">AU1169*G1169</f>
        <v>3332.22</v>
      </c>
      <c r="AW1169" s="62" t="n">
        <f aca="false">ROUNDUP(CL1169+MAX(CM1169,2*(J1169/IF(CH1169&gt;0,CH1169,MAX(0.1,N(Cockpit!$I$6)))-CL1169)),0)</f>
        <v>5</v>
      </c>
      <c r="AX1169" s="63" t="n">
        <f aca="false">IF(AT1169&gt;0,J1169/AT1169,-1)</f>
        <v>0.838709677419355</v>
      </c>
      <c r="AY1169" s="63" t="n">
        <f aca="false">IF(AND(OR(CG1169="L1",CG1169="L23",CG1169="LIFT"),AT1169&gt;0),SUMIFS($AT$7:$AT$1843,$CG$7:$CG$1843,CG1169,$AX$7:$AX$1843,"&gt;"&amp;AX1169)+SUMIFS($AT$7:$AT$1843,$CG$7:$CG$1843,CG1169,$AX$7:$AX$1843,AX1169,$BX$7:$BX$1843,"&lt;="&amp;BX1169),"")</f>
        <v>9652.02655677656</v>
      </c>
      <c r="AZ1169" s="70" t="n">
        <f aca="false">IF(AY1169="",0,MAX(0,MIN(1,(IF(CG1169="L1",Parameter!$H$5,IF(CG1169="L23",Parameter!$H$6+Parameter!$H$7,Parameter!$H$5+Parameter!$H$6+Parameter!$H$7))-(AY1169-AT1169))/AT1169)))</f>
        <v>1</v>
      </c>
      <c r="BA1169" s="62" t="n">
        <f aca="false">IF(LEFT(Cockpit!$O$5,1)="A",H1169,IF(Parameter!$E$30="MAX-Bestand",IF(CI1169=1,CJ1169,IF(LEFT(Cockpit!$O$5,1)="B",BG1169,MAX(BG1169,H1169))),ROUNDUP(BE1169,0)))</f>
        <v>3</v>
      </c>
      <c r="BB1169" s="62" t="n">
        <f aca="false">IF(CA1169=1,0,ROUNDUP(BA1169/BZ1169,0))</f>
        <v>1</v>
      </c>
      <c r="BC1169" s="64" t="n">
        <f aca="false">IF(CR1169&gt;0,CR1169*MAX(1,BA1169/X1169),IF(CA1169=1,IF(BA1169&lt;=0,0,CE1169*MAX(1,IF(H1169&gt;0,BA1169/H1169,1))),IF(R1169&gt;0,BB1169/R1169,0))/MAX(0.1,N(Parameter!$M$21)))</f>
        <v>0.0384615384615385</v>
      </c>
      <c r="BD1169" s="62" t="n">
        <f aca="false">BC1169*CC1169</f>
        <v>5.96153846153846</v>
      </c>
      <c r="BE1169" s="63" t="n">
        <f aca="false">IF(LEFT(Cockpit!$O$5,1)="A",H1169,IF(CI1169=1,(CL1169+CJ1169)/2,IF(LEFT(Cockpit!$O$5,1)="B",(CL1169+BG1169)/2,MAX((CL1169+BG1169)/2,H1169))))</f>
        <v>2.5</v>
      </c>
      <c r="BF1169" s="62" t="n">
        <f aca="false">BE1169*G1169</f>
        <v>146.15</v>
      </c>
      <c r="BG1169" s="62" t="n">
        <f aca="false">ROUNDUP(CL1169+MAX(CM1169,2*(J1169/IF(CH1169&gt;0,CH1169,MAX(0.1,N(Cockpit!$O$6)))-CL1169)),0)</f>
        <v>5</v>
      </c>
      <c r="BH1169" s="63" t="n">
        <f aca="false">IF(BD1169&gt;0,J1169/BD1169,-1)</f>
        <v>0.838709677419355</v>
      </c>
      <c r="BI1169" s="63" t="n">
        <f aca="false">IF(AND(OR(CG1169="L1",CG1169="L23",CG1169="LIFT"),BD1169&gt;0),SUMIFS($BD$7:$BD$1843,$CG$7:$CG$1843,CG1169,$BH$7:$BH$1843,"&gt;"&amp;BH1169)+SUMIFS($BD$7:$BD$1843,$CG$7:$CG$1843,CG1169,$BH$7:$BH$1843,BH1169,$BX$7:$BX$1843,"&lt;="&amp;BX1169),"")</f>
        <v>8613.10302197802</v>
      </c>
      <c r="BJ1169" s="70" t="n">
        <f aca="false">IF(BI1169="",0,MAX(0,MIN(1,(IF(CG1169="L1",Parameter!$H$5,IF(CG1169="L23",Parameter!$H$6+Parameter!$H$7,Parameter!$H$5+Parameter!$H$6+Parameter!$H$7))-(BI1169-BD1169))/BD1169)))</f>
        <v>1</v>
      </c>
      <c r="BK1169" s="60" t="str">
        <f aca="false">IF(AJ1169&lt;=0,"",IF(CG1169="Aussen","Aussenlager",IF(CG1169="-","Nicht im Lift",IF(AP1169&gt;=1,"Lift",IF(AP1169&lt;=0,"Aussenlager","teilweise")))))</f>
        <v>Lift</v>
      </c>
      <c r="BL1169" s="60" t="str">
        <f aca="false">IF(AT1169&lt;=0,"",IF(CG1169="Aussen","Aussenlager",IF(CG1169="-","Nicht im Lift",IF(AZ1169&gt;=1,"Lift",IF(AZ1169&lt;=0,"Aussenlager","teilweise")))))</f>
        <v>Lift</v>
      </c>
      <c r="BM1169" s="60" t="str">
        <f aca="false">IF(BD1169&lt;=0,"",IF(CG1169="Aussen","Aussenlager",IF(CG1169="-","Nicht im Lift",IF(BJ1169&gt;=1,"Lift",IF(BJ1169&lt;=0,"Aussenlager","teilweise")))))</f>
        <v>Lift</v>
      </c>
      <c r="BN1169" s="60" t="str">
        <f aca="false">IF(A1169="","",IF(BW1169=1,"Neu; ","")&amp;IF(AND(BW1169=0,BR1169&lt;0),"negativer Bestand (Export "&amp;BR1169&amp;"); ","")&amp;IF(J1169&lt;=0,"Kein Verbrauch; ","")&amp;IF(CR1169&gt;0,"Lift "&amp;W1169&amp;" lt. Liftbericht (Fach "&amp;X1169&amp;" Stk); ",IF(CB1169=1,"Gebinde geschätzt ("&amp;T1169&amp;"); ",IF(CA1169=1,"Lose – Tablare geschätzt; ","")))&amp;IF(H1169&gt;AW1169,"Überbestand "&amp;ROUND(H1169-AW1169,0)&amp;" Stk / CHF "&amp;ROUND((H1169-AW1169)*G1169,0)&amp;"; ","")&amp;IF(AND(CI1169=1,CJ1169&lt;CK1169),"MAX &lt; MB+LG; ","")&amp;IF(AND(CQ1169&gt;0,CP1169*10&gt;CQ1169),"zu hoch für Tablar; ","")&amp;IF(AND(BW1169=0,OR(CI1169=1,AB1169&lt;&gt;"",U1169&lt;&gt;"",V1169&lt;&gt;"",AC1169&lt;&gt;"")),"manuell übersteuert; ","")&amp;IF(AND(CA1169=0,R1169=0),"Gebinde unbekannt / Stellmass fehlt; ","")&amp;IF(AND(CA1169=0,N(V1169)&lt;=0,N(Q1169)&lt;=0),"Menge pro Gebinde fehlt (Ist = 1 Gebinde); ","")&amp;BV1169)</f>
        <v>negativer Bestand (Export -6); Überbestand 52 Stk / CHF 3040; </v>
      </c>
      <c r="BO1169" s="60"/>
      <c r="BP1169" s="60"/>
      <c r="BQ1169" s="67"/>
      <c r="BR1169" s="62" t="n">
        <v>-6</v>
      </c>
      <c r="BS1169" s="62" t="n">
        <v>63</v>
      </c>
      <c r="BT1169" s="61" t="n">
        <v>-350.76</v>
      </c>
      <c r="BU1169" s="62" t="n">
        <v>5</v>
      </c>
      <c r="BV1169" s="60"/>
      <c r="BW1169" s="65" t="n">
        <v>0</v>
      </c>
      <c r="BX1169" s="65" t="n">
        <v>1169</v>
      </c>
      <c r="BY1169" s="60" t="str">
        <f aca="false">IF(U1169&lt;&gt;"",UPPER(TRIM(U1169)),IF(CB1169=1,UPPER(VLOOKUP(T1169,Parameter!$I$27:$K$29,2,0)),IF(P1169="","LOSE",P1169)))</f>
        <v>S51</v>
      </c>
      <c r="BZ1169" s="62" t="n">
        <f aca="false">IF(BY1169="LOSE",1,IF(N(V1169)&gt;0,V1169,IF(CB1169=1,MAX(1,N(VLOOKUP(T1169,Parameter!$I$27:$K$29,3,0)),H1169,N(N1169)),IF(N(Q1169)&gt;0,Q1169,MAX(1,H1169)))))</f>
        <v>60</v>
      </c>
      <c r="CA1169" s="65" t="n">
        <f aca="false">IF(BY1169="LOSE",1,0)</f>
        <v>0</v>
      </c>
      <c r="CB1169" s="65" t="n">
        <f aca="false">IF(AND(U1169="",OR(P1169="",P1169="LOSE"),T1169&lt;&gt;"",N(S1169)&lt;=0,ISNUMBER(MATCH(T1169,Parameter!$I$27:$I$29,0))),1,0)</f>
        <v>0</v>
      </c>
      <c r="CC1169" s="65" t="n">
        <f aca="false">IF(CR1169&gt;0,INDEX(Parameter!$H$5:$H$7,W1169)/INDEX(Parameter!$E$5:$E$7,W1169),IF(AND(CA1169=0,N(IFERROR(VLOOKUP(BY1169,'Gebinde-Kategorie'!$A$5:$N$45,14,0),0))&gt;0),VLOOKUP(BY1169,'Gebinde-Kategorie'!$A$5:$N$45,14,0)*10+Parameter!$M$23,Parameter!$M$24))</f>
        <v>155</v>
      </c>
      <c r="CD1169" s="60" t="str">
        <f aca="false">IF(AND(Parameter!$B$19="Ja",E1169&lt;&gt;"",ISNUMBER(MATCH(E1169,Parameter!$I$35:$I$52,0))),VLOOKUP(E1169,Parameter!$I$35:$J$52,2,0),IFERROR(VLOOKUP(D1169,Parameter!$A$35:$C$64,2,0),"Nein"))</f>
        <v>2+3</v>
      </c>
      <c r="CE1169" s="64" t="n">
        <f aca="false">IF(CA1169=0,0,IF(N(S1169)&gt;0,S1169,IFERROR(VLOOKUP(D1169,Parameter!$A$35:$C$64,3,0)+0,0)))</f>
        <v>0</v>
      </c>
      <c r="CF1169" s="60" t="n">
        <f aca="false">IF(AB1169&lt;&gt;"",AB1169,AA1169)</f>
        <v>3</v>
      </c>
      <c r="CG1169" s="60" t="str">
        <f aca="false">IF(OR(CF1169=1,CF1169=2,CF1169=3),IF(Parameter!$E$27="Ja","LIFT",IF(CF1169=1,"L1","L23")),IF(CF1169="Aussen","Aussen","-"))</f>
        <v>LIFT</v>
      </c>
      <c r="CH1169" s="71" t="n">
        <f aca="false">IF(N(AC1169)&gt;0,AC1169,0)</f>
        <v>0</v>
      </c>
      <c r="CI1169" s="65" t="n">
        <f aca="false">IF(ISNUMBER(AF1169),1,0)</f>
        <v>0</v>
      </c>
      <c r="CJ1169" s="62" t="n">
        <f aca="false">N(AF1169)</f>
        <v>0</v>
      </c>
      <c r="CK1169" s="62" t="n">
        <f aca="false">N(M1169)+N(N1169)</f>
        <v>5</v>
      </c>
      <c r="CL1169" s="62" t="n">
        <f aca="false">N(M1169)</f>
        <v>0</v>
      </c>
      <c r="CM1169" s="62" t="n">
        <f aca="false">N(N1169)</f>
        <v>5</v>
      </c>
      <c r="CN1169" s="62" t="n">
        <f aca="false">ROUNDUP(H1169/BZ1169,0)</f>
        <v>1</v>
      </c>
      <c r="CO1169" s="62" t="n">
        <f aca="false">ROUNDUP(CJ1169/BZ1169,0)</f>
        <v>0</v>
      </c>
      <c r="CP1169" s="65" t="n">
        <f aca="false">IF(CA1169=1,0,IFERROR(VLOOKUP(BY1169,'Gebinde-Kategorie'!$A$5:$N$45,5,0)+0,0))</f>
        <v>11</v>
      </c>
      <c r="CQ1169" s="65" t="n">
        <f aca="false">IFERROR(IF(OR(CF1169=1,CF1169=2,CF1169=3),N(INDEX(Parameter!$I$5:$I$7,CF1169)),0),0)</f>
        <v>0</v>
      </c>
      <c r="CR1169" s="64" t="n">
        <f aca="false">IF(AND(Parameter!$B$21="Ja",ISNUMBER(W1169),N(X1169)&gt;0),IFERROR(N(INDEX(Parameter!$L$5:$L$7,W1169))*INDEX(Parameter!$E$5:$E$7,W1169)*X1169/SUMIFS($X$7:$X$1843,$W$7:$W$1843,W1169),0),0)</f>
        <v>0</v>
      </c>
      <c r="CS1169" s="62" t="n">
        <f aca="false">IF(AND(OR(CG1169="L1",CG1169="L23",CG1169="LIFT"),H1169&gt;0),CC1169*IF(CR1169&gt;0,CR1169*MAX(1,H1169/X1169),IF(CA1169=1,CE1169,IF(R1169&gt;0,CN1169/R1169,0))/MAX(0.1,N(Parameter!$M$21))),"")</f>
        <v>5.96153846153846</v>
      </c>
      <c r="CT1169" s="64" t="n">
        <f aca="false">IF(CS1169="","",J1169/H1169)</f>
        <v>0.087719298245614</v>
      </c>
      <c r="CU1169" s="62" t="n">
        <f aca="false">IF(CS1169="","",H1169*G1169)</f>
        <v>3332.22</v>
      </c>
      <c r="CV1169" s="63" t="n">
        <f aca="false">IF(CS1169="","",(CL1169+ROUNDUP(CL1169+MAX(CM1169,2*(J1169/MAX(0.1,N(Einkauf!$C$6))-CL1169)),0))/2)</f>
        <v>2.5</v>
      </c>
      <c r="CW1169" s="62" t="n">
        <f aca="false">IF(CS1169="","",MAX(0,H1169-CV1169)*G1169)</f>
        <v>3186.07</v>
      </c>
      <c r="CX1169" s="62" t="n">
        <f aca="false">IF(CS1169="","",CS1169*MAX(0,1-CV1169/H1169))</f>
        <v>5.70006747638327</v>
      </c>
      <c r="CY1169" s="64" t="n">
        <f aca="false">IF(CS1169="","",PERCENTRANK($CS$7:$CS$1843,CS1169)+PERCENTRANK($CU$7:$CU$1843,CU1169)+1-PERCENTRANK($CT$7:$CT$1843,CT1169))</f>
        <v>1.784</v>
      </c>
      <c r="CZ1169" s="72" t="n">
        <f aca="false">IF(CS1169="","",CHOOSE(MATCH(Einkauf!$C$5,Parameter!$G$23:$G$27,0),CY1169,CS1169,CU1169,-CT1169,CW1169)+ROW()/1000000000)</f>
        <v>1.784001169</v>
      </c>
    </row>
    <row r="1170" customFormat="false" ht="15" hidden="false" customHeight="false" outlineLevel="0" collapsed="false">
      <c r="A1170" s="60" t="s">
        <v>2148</v>
      </c>
      <c r="B1170" s="60" t="s">
        <v>2149</v>
      </c>
      <c r="C1170" s="60" t="s">
        <v>206</v>
      </c>
      <c r="D1170" s="60" t="s">
        <v>226</v>
      </c>
      <c r="E1170" s="60" t="s">
        <v>227</v>
      </c>
      <c r="F1170" s="60" t="s">
        <v>260</v>
      </c>
      <c r="G1170" s="61" t="n">
        <v>8.97</v>
      </c>
      <c r="H1170" s="62" t="n">
        <f aca="false">MAX(0,IF(AND(Parameter!$B$21="Ja",ISNUMBER(Y1170)),Y1170,IF(Parameter!$B$20="Jahresanfang 2025 + Export",BS1170+BR1170,BR1170)))</f>
        <v>12</v>
      </c>
      <c r="I1170" s="62" t="n">
        <f aca="false">H1170*G1170</f>
        <v>107.64</v>
      </c>
      <c r="J1170" s="62" t="n">
        <f aca="false">BU1170*Parameter!$B$18</f>
        <v>80</v>
      </c>
      <c r="K1170" s="63" t="n">
        <v>55</v>
      </c>
      <c r="L1170" s="64" t="n">
        <v>1.45454545454546</v>
      </c>
      <c r="M1170" s="62" t="n">
        <v>6</v>
      </c>
      <c r="N1170" s="62" t="n">
        <v>80</v>
      </c>
      <c r="O1170" s="65" t="n">
        <v>28</v>
      </c>
      <c r="P1170" s="60" t="s">
        <v>468</v>
      </c>
      <c r="Q1170" s="62" t="n">
        <v>38</v>
      </c>
      <c r="R1170" s="65" t="n">
        <f aca="false">IF(CA1170=1,0,IFERROR(VLOOKUP(BY1170,'Gebinde-Kategorie'!$A$5:$N$45,13,0)+0,0))</f>
        <v>140</v>
      </c>
      <c r="S1170" s="66"/>
      <c r="T1170" s="67"/>
      <c r="U1170" s="67"/>
      <c r="V1170" s="67"/>
      <c r="W1170" s="60"/>
      <c r="X1170" s="62"/>
      <c r="Y1170" s="62"/>
      <c r="Z1170" s="60" t="n">
        <v>2</v>
      </c>
      <c r="AA1170" s="60" t="n">
        <f aca="false">IF(A1170="","",IF(AND(Parameter!$B$21="Ja",ISNUMBER(W1170)),W1170,IF(AND(Parameter!$E$27="Ja",ISNUMBER(Z1170),CD1170&lt;&gt;"Nein"),Z1170,IF(CD1170="2+3",IF(ISNUMBER(SEARCH("grosser Artikel",BV1170)),2,IFERROR(VLOOKUP(BY1170,Parameter!$F$35:$G$64,2,0),2)),IF(OR(CD1170="Nein",CD1170=""),"-",CD1170)))))</f>
        <v>2</v>
      </c>
      <c r="AB1170" s="67"/>
      <c r="AC1170" s="68"/>
      <c r="AD1170" s="62" t="n">
        <f aca="false">AW1170</f>
        <v>86</v>
      </c>
      <c r="AE1170" s="62" t="n">
        <f aca="false">MAX(AW1170,H1170)</f>
        <v>86</v>
      </c>
      <c r="AF1170" s="69"/>
      <c r="AG1170" s="62" t="n">
        <f aca="false">IF(LEFT(Cockpit!$C$5,1)="A",H1170,IF(Parameter!$E$30="MAX-Bestand",IF(CI1170=1,CJ1170,IF(LEFT(Cockpit!$C$5,1)="B",AM1170,MAX(AM1170,H1170))),ROUNDUP(AK1170,0)))</f>
        <v>12</v>
      </c>
      <c r="AH1170" s="62" t="n">
        <f aca="false">IF(CA1170=1,0,ROUNDUP(AG1170/BZ1170,0))</f>
        <v>1</v>
      </c>
      <c r="AI1170" s="64" t="n">
        <f aca="false">IF(CR1170&gt;0,CR1170*MAX(1,AG1170/X1170),IF(CA1170=1,IF(AG1170&lt;=0,0,CE1170*MAX(1,IF(H1170&gt;0,AG1170/H1170,1))),IF(R1170&gt;0,AH1170/R1170,0))/MAX(0.1,N(Parameter!$M$21)))</f>
        <v>0.00714285714285714</v>
      </c>
      <c r="AJ1170" s="62" t="n">
        <f aca="false">AI1170*CC1170</f>
        <v>1.10714285714286</v>
      </c>
      <c r="AK1170" s="63" t="n">
        <f aca="false">IF(LEFT(Cockpit!$C$5,1)="A",H1170,IF(CI1170=1,(CL1170+CJ1170)/2,IF(LEFT(Cockpit!$C$5,1)="B",(CL1170+AM1170)/2,MAX((CL1170+AM1170)/2,H1170))))</f>
        <v>12</v>
      </c>
      <c r="AL1170" s="62" t="n">
        <f aca="false">AK1170*G1170</f>
        <v>107.64</v>
      </c>
      <c r="AM1170" s="62" t="n">
        <f aca="false">ROUNDUP(CL1170+MAX(CM1170,2*(J1170/IF(CH1170&gt;0,CH1170,MAX(0.1,N(Cockpit!$C$6)))-CL1170)),0)</f>
        <v>86</v>
      </c>
      <c r="AN1170" s="63" t="n">
        <f aca="false">IF(AJ1170&gt;0,J1170/AJ1170,-1)</f>
        <v>72.258064516129</v>
      </c>
      <c r="AO1170" s="63" t="n">
        <f aca="false">IF(AND(OR(CG1170="L1",CG1170="L23",CG1170="LIFT"),AJ1170&gt;0),SUMIFS($AJ$7:$AJ$1843,$CG$7:$CG$1843,CG1170,$AN$7:$AN$1843,"&gt;"&amp;AN1170)+SUMIFS($AJ$7:$AJ$1843,$CG$7:$CG$1843,CG1170,$AN$7:$AN$1843,AN1170,$BX$7:$BX$1843,"&lt;="&amp;BX1170),"")</f>
        <v>880.537087912088</v>
      </c>
      <c r="AP1170" s="70" t="n">
        <f aca="false">IF(AO1170="",0,MAX(0,MIN(1,(IF(CG1170="L1",Parameter!$H$5,IF(CG1170="L23",Parameter!$H$6+Parameter!$H$7,Parameter!$H$5+Parameter!$H$6+Parameter!$H$7))-(AO1170-AJ1170))/AJ1170)))</f>
        <v>1</v>
      </c>
      <c r="AQ1170" s="62" t="n">
        <f aca="false">IF(LEFT(Cockpit!$I$5,1)="A",H1170,IF(Parameter!$E$30="MAX-Bestand",IF(CI1170=1,CJ1170,IF(LEFT(Cockpit!$I$5,1)="B",AW1170,MAX(AW1170,H1170))),ROUNDUP(AU1170,0)))</f>
        <v>46</v>
      </c>
      <c r="AR1170" s="62" t="n">
        <f aca="false">IF(CA1170=1,0,ROUNDUP(AQ1170/BZ1170,0))</f>
        <v>2</v>
      </c>
      <c r="AS1170" s="64" t="n">
        <f aca="false">IF(CR1170&gt;0,CR1170*MAX(1,AQ1170/X1170),IF(CA1170=1,IF(AQ1170&lt;=0,0,CE1170*MAX(1,IF(H1170&gt;0,AQ1170/H1170,1))),IF(R1170&gt;0,AR1170/R1170,0))/MAX(0.1,N(Parameter!$M$21)))</f>
        <v>0.0142857142857143</v>
      </c>
      <c r="AT1170" s="62" t="n">
        <f aca="false">AS1170*CC1170</f>
        <v>2.21428571428571</v>
      </c>
      <c r="AU1170" s="63" t="n">
        <f aca="false">IF(LEFT(Cockpit!$I$5,1)="A",H1170,IF(CI1170=1,(CL1170+CJ1170)/2,IF(LEFT(Cockpit!$I$5,1)="B",(CL1170+AW1170)/2,MAX((CL1170+AW1170)/2,H1170))))</f>
        <v>46</v>
      </c>
      <c r="AV1170" s="62" t="n">
        <f aca="false">AU1170*G1170</f>
        <v>412.62</v>
      </c>
      <c r="AW1170" s="62" t="n">
        <f aca="false">ROUNDUP(CL1170+MAX(CM1170,2*(J1170/IF(CH1170&gt;0,CH1170,MAX(0.1,N(Cockpit!$I$6)))-CL1170)),0)</f>
        <v>86</v>
      </c>
      <c r="AX1170" s="63" t="n">
        <f aca="false">IF(AT1170&gt;0,J1170/AT1170,-1)</f>
        <v>36.1290322580645</v>
      </c>
      <c r="AY1170" s="63" t="n">
        <f aca="false">IF(AND(OR(CG1170="L1",CG1170="L23",CG1170="LIFT"),AT1170&gt;0),SUMIFS($AT$7:$AT$1843,$CG$7:$CG$1843,CG1170,$AX$7:$AX$1843,"&gt;"&amp;AX1170)+SUMIFS($AT$7:$AT$1843,$CG$7:$CG$1843,CG1170,$AX$7:$AX$1843,AX1170,$BX$7:$BX$1843,"&lt;="&amp;BX1170),"")</f>
        <v>1604.61904761905</v>
      </c>
      <c r="AZ1170" s="70" t="n">
        <f aca="false">IF(AY1170="",0,MAX(0,MIN(1,(IF(CG1170="L1",Parameter!$H$5,IF(CG1170="L23",Parameter!$H$6+Parameter!$H$7,Parameter!$H$5+Parameter!$H$6+Parameter!$H$7))-(AY1170-AT1170))/AT1170)))</f>
        <v>1</v>
      </c>
      <c r="BA1170" s="62" t="n">
        <f aca="false">IF(LEFT(Cockpit!$O$5,1)="A",H1170,IF(Parameter!$E$30="MAX-Bestand",IF(CI1170=1,CJ1170,IF(LEFT(Cockpit!$O$5,1)="B",BG1170,MAX(BG1170,H1170))),ROUNDUP(BE1170,0)))</f>
        <v>46</v>
      </c>
      <c r="BB1170" s="62" t="n">
        <f aca="false">IF(CA1170=1,0,ROUNDUP(BA1170/BZ1170,0))</f>
        <v>2</v>
      </c>
      <c r="BC1170" s="64" t="n">
        <f aca="false">IF(CR1170&gt;0,CR1170*MAX(1,BA1170/X1170),IF(CA1170=1,IF(BA1170&lt;=0,0,CE1170*MAX(1,IF(H1170&gt;0,BA1170/H1170,1))),IF(R1170&gt;0,BB1170/R1170,0))/MAX(0.1,N(Parameter!$M$21)))</f>
        <v>0.0142857142857143</v>
      </c>
      <c r="BD1170" s="62" t="n">
        <f aca="false">BC1170*CC1170</f>
        <v>2.21428571428571</v>
      </c>
      <c r="BE1170" s="63" t="n">
        <f aca="false">IF(LEFT(Cockpit!$O$5,1)="A",H1170,IF(CI1170=1,(CL1170+CJ1170)/2,IF(LEFT(Cockpit!$O$5,1)="B",(CL1170+BG1170)/2,MAX((CL1170+BG1170)/2,H1170))))</f>
        <v>46</v>
      </c>
      <c r="BF1170" s="62" t="n">
        <f aca="false">BE1170*G1170</f>
        <v>412.62</v>
      </c>
      <c r="BG1170" s="62" t="n">
        <f aca="false">ROUNDUP(CL1170+MAX(CM1170,2*(J1170/IF(CH1170&gt;0,CH1170,MAX(0.1,N(Cockpit!$O$6)))-CL1170)),0)</f>
        <v>86</v>
      </c>
      <c r="BH1170" s="63" t="n">
        <f aca="false">IF(BD1170&gt;0,J1170/BD1170,-1)</f>
        <v>36.1290322580645</v>
      </c>
      <c r="BI1170" s="63" t="n">
        <f aca="false">IF(AND(OR(CG1170="L1",CG1170="L23",CG1170="LIFT"),BD1170&gt;0),SUMIFS($BD$7:$BD$1843,$CG$7:$CG$1843,CG1170,$BH$7:$BH$1843,"&gt;"&amp;BH1170)+SUMIFS($BD$7:$BD$1843,$CG$7:$CG$1843,CG1170,$BH$7:$BH$1843,BH1170,$BX$7:$BX$1843,"&lt;="&amp;BX1170),"")</f>
        <v>1532.82051282051</v>
      </c>
      <c r="BJ1170" s="70" t="n">
        <f aca="false">IF(BI1170="",0,MAX(0,MIN(1,(IF(CG1170="L1",Parameter!$H$5,IF(CG1170="L23",Parameter!$H$6+Parameter!$H$7,Parameter!$H$5+Parameter!$H$6+Parameter!$H$7))-(BI1170-BD1170))/BD1170)))</f>
        <v>1</v>
      </c>
      <c r="BK1170" s="60" t="str">
        <f aca="false">IF(AJ1170&lt;=0,"",IF(CG1170="Aussen","Aussenlager",IF(CG1170="-","Nicht im Lift",IF(AP1170&gt;=1,"Lift",IF(AP1170&lt;=0,"Aussenlager","teilweise")))))</f>
        <v>Lift</v>
      </c>
      <c r="BL1170" s="60" t="str">
        <f aca="false">IF(AT1170&lt;=0,"",IF(CG1170="Aussen","Aussenlager",IF(CG1170="-","Nicht im Lift",IF(AZ1170&gt;=1,"Lift",IF(AZ1170&lt;=0,"Aussenlager","teilweise")))))</f>
        <v>Lift</v>
      </c>
      <c r="BM1170" s="60" t="str">
        <f aca="false">IF(BD1170&lt;=0,"",IF(CG1170="Aussen","Aussenlager",IF(CG1170="-","Nicht im Lift",IF(BJ1170&gt;=1,"Lift",IF(BJ1170&lt;=0,"Aussenlager","teilweise")))))</f>
        <v>Lift</v>
      </c>
      <c r="BN1170" s="60" t="str">
        <f aca="false">IF(A1170="","",IF(BW1170=1,"Neu; ","")&amp;IF(AND(BW1170=0,BR1170&lt;0),"negativer Bestand (Export "&amp;BR1170&amp;"); ","")&amp;IF(J1170&lt;=0,"Kein Verbrauch; ","")&amp;IF(CR1170&gt;0,"Lift "&amp;W1170&amp;" lt. Liftbericht (Fach "&amp;X1170&amp;" Stk); ",IF(CB1170=1,"Gebinde geschätzt ("&amp;T1170&amp;"); ",IF(CA1170=1,"Lose – Tablare geschätzt; ","")))&amp;IF(H1170&gt;AW1170,"Überbestand "&amp;ROUND(H1170-AW1170,0)&amp;" Stk / CHF "&amp;ROUND((H1170-AW1170)*G1170,0)&amp;"; ","")&amp;IF(AND(CI1170=1,CJ1170&lt;CK1170),"MAX &lt; MB+LG; ","")&amp;IF(AND(CQ1170&gt;0,CP1170*10&gt;CQ1170),"zu hoch für Tablar; ","")&amp;IF(AND(BW1170=0,OR(CI1170=1,AB1170&lt;&gt;"",U1170&lt;&gt;"",V1170&lt;&gt;"",AC1170&lt;&gt;"")),"manuell übersteuert; ","")&amp;IF(AND(CA1170=0,R1170=0),"Gebinde unbekannt / Stellmass fehlt; ","")&amp;IF(AND(CA1170=0,N(V1170)&lt;=0,N(Q1170)&lt;=0),"Menge pro Gebinde fehlt (Ist = 1 Gebinde); ","")&amp;BV1170)</f>
        <v>negativer Bestand (Export -48); Überbestand</v>
      </c>
      <c r="BO1170" s="60"/>
      <c r="BP1170" s="60"/>
      <c r="BQ1170" s="67"/>
      <c r="BR1170" s="62" t="n">
        <v>-48</v>
      </c>
      <c r="BS1170" s="62" t="n">
        <v>60</v>
      </c>
      <c r="BT1170" s="61" t="n">
        <v>-353.16</v>
      </c>
      <c r="BU1170" s="62" t="n">
        <v>80</v>
      </c>
      <c r="BV1170" s="60" t="s">
        <v>434</v>
      </c>
      <c r="BW1170" s="65" t="n">
        <v>0</v>
      </c>
      <c r="BX1170" s="65" t="n">
        <v>1170</v>
      </c>
      <c r="BY1170" s="60" t="str">
        <f aca="false">IF(U1170&lt;&gt;"",UPPER(TRIM(U1170)),IF(CB1170=1,UPPER(VLOOKUP(T1170,Parameter!$I$27:$K$29,2,0)),IF(P1170="","LOSE",P1170)))</f>
        <v>S22</v>
      </c>
      <c r="BZ1170" s="62" t="n">
        <f aca="false">IF(BY1170="LOSE",1,IF(N(V1170)&gt;0,V1170,IF(CB1170=1,MAX(1,N(VLOOKUP(T1170,Parameter!$I$27:$K$29,3,0)),H1170,N(N1170)),IF(N(Q1170)&gt;0,Q1170,MAX(1,H1170)))))</f>
        <v>38</v>
      </c>
      <c r="CA1170" s="65" t="n">
        <f aca="false">IF(BY1170="LOSE",1,0)</f>
        <v>0</v>
      </c>
      <c r="CB1170" s="65" t="n">
        <f aca="false">IF(AND(U1170="",OR(P1170="",P1170="LOSE"),T1170&lt;&gt;"",N(S1170)&lt;=0,ISNUMBER(MATCH(T1170,Parameter!$I$27:$I$29,0))),1,0)</f>
        <v>0</v>
      </c>
      <c r="CC1170" s="65" t="n">
        <f aca="false">IF(CR1170&gt;0,INDEX(Parameter!$H$5:$H$7,W1170)/INDEX(Parameter!$E$5:$E$7,W1170),IF(AND(CA1170=0,N(IFERROR(VLOOKUP(BY1170,'Gebinde-Kategorie'!$A$5:$N$45,14,0),0))&gt;0),VLOOKUP(BY1170,'Gebinde-Kategorie'!$A$5:$N$45,14,0)*10+Parameter!$M$23,Parameter!$M$24))</f>
        <v>155</v>
      </c>
      <c r="CD1170" s="60" t="str">
        <f aca="false">IF(AND(Parameter!$B$19="Ja",E1170&lt;&gt;"",ISNUMBER(MATCH(E1170,Parameter!$I$35:$I$52,0))),VLOOKUP(E1170,Parameter!$I$35:$J$52,2,0),IFERROR(VLOOKUP(D1170,Parameter!$A$35:$C$64,2,0),"Nein"))</f>
        <v>2+3</v>
      </c>
      <c r="CE1170" s="64" t="n">
        <f aca="false">IF(CA1170=0,0,IF(N(S1170)&gt;0,S1170,IFERROR(VLOOKUP(D1170,Parameter!$A$35:$C$64,3,0)+0,0)))</f>
        <v>0</v>
      </c>
      <c r="CF1170" s="60" t="n">
        <f aca="false">IF(AB1170&lt;&gt;"",AB1170,AA1170)</f>
        <v>2</v>
      </c>
      <c r="CG1170" s="60" t="str">
        <f aca="false">IF(OR(CF1170=1,CF1170=2,CF1170=3),IF(Parameter!$E$27="Ja","LIFT",IF(CF1170=1,"L1","L23")),IF(CF1170="Aussen","Aussen","-"))</f>
        <v>LIFT</v>
      </c>
      <c r="CH1170" s="71" t="n">
        <f aca="false">IF(N(AC1170)&gt;0,AC1170,0)</f>
        <v>0</v>
      </c>
      <c r="CI1170" s="65" t="n">
        <f aca="false">IF(ISNUMBER(AF1170),1,0)</f>
        <v>0</v>
      </c>
      <c r="CJ1170" s="62" t="n">
        <f aca="false">N(AF1170)</f>
        <v>0</v>
      </c>
      <c r="CK1170" s="62" t="n">
        <f aca="false">N(M1170)+N(N1170)</f>
        <v>86</v>
      </c>
      <c r="CL1170" s="62" t="n">
        <f aca="false">N(M1170)</f>
        <v>6</v>
      </c>
      <c r="CM1170" s="62" t="n">
        <f aca="false">N(N1170)</f>
        <v>80</v>
      </c>
      <c r="CN1170" s="62" t="n">
        <f aca="false">ROUNDUP(H1170/BZ1170,0)</f>
        <v>1</v>
      </c>
      <c r="CO1170" s="62" t="n">
        <f aca="false">ROUNDUP(CJ1170/BZ1170,0)</f>
        <v>0</v>
      </c>
      <c r="CP1170" s="65" t="n">
        <f aca="false">IF(CA1170=1,0,IFERROR(VLOOKUP(BY1170,'Gebinde-Kategorie'!$A$5:$N$45,5,0)+0,0))</f>
        <v>8</v>
      </c>
      <c r="CQ1170" s="65" t="n">
        <f aca="false">IFERROR(IF(OR(CF1170=1,CF1170=2,CF1170=3),N(INDEX(Parameter!$I$5:$I$7,CF1170)),0),0)</f>
        <v>0</v>
      </c>
      <c r="CR1170" s="64" t="n">
        <f aca="false">IF(AND(Parameter!$B$21="Ja",ISNUMBER(W1170),N(X1170)&gt;0),IFERROR(N(INDEX(Parameter!$L$5:$L$7,W1170))*INDEX(Parameter!$E$5:$E$7,W1170)*X1170/SUMIFS($X$7:$X$1843,$W$7:$W$1843,W1170),0),0)</f>
        <v>0</v>
      </c>
      <c r="CS1170" s="62" t="n">
        <f aca="false">IF(AND(OR(CG1170="L1",CG1170="L23",CG1170="LIFT"),H1170&gt;0),CC1170*IF(CR1170&gt;0,CR1170*MAX(1,H1170/X1170),IF(CA1170=1,CE1170,IF(R1170&gt;0,CN1170/R1170,0))/MAX(0.1,N(Parameter!$M$21))),"")</f>
        <v>1.10714285714286</v>
      </c>
      <c r="CT1170" s="64" t="n">
        <f aca="false">IF(CS1170="","",J1170/H1170)</f>
        <v>6.66666666666667</v>
      </c>
      <c r="CU1170" s="62" t="n">
        <f aca="false">IF(CS1170="","",H1170*G1170)</f>
        <v>107.64</v>
      </c>
      <c r="CV1170" s="63" t="n">
        <f aca="false">IF(CS1170="","",(CL1170+ROUNDUP(CL1170+MAX(CM1170,2*(J1170/MAX(0.1,N(Einkauf!$C$6))-CL1170)),0))/2)</f>
        <v>46</v>
      </c>
      <c r="CW1170" s="62" t="n">
        <f aca="false">IF(CS1170="","",MAX(0,H1170-CV1170)*G1170)</f>
        <v>0</v>
      </c>
      <c r="CX1170" s="62" t="n">
        <f aca="false">IF(CS1170="","",CS1170*MAX(0,1-CV1170/H1170))</f>
        <v>0</v>
      </c>
      <c r="CY1170" s="64" t="n">
        <f aca="false">IF(CS1170="","",PERCENTRANK($CS$7:$CS$1843,CS1170)+PERCENTRANK($CU$7:$CU$1843,CU1170)+1-PERCENTRANK($CT$7:$CT$1843,CT1170))</f>
        <v>0.3234</v>
      </c>
      <c r="CZ1170" s="72" t="n">
        <f aca="false">IF(CS1170="","",CHOOSE(MATCH(Einkauf!$C$5,Parameter!$G$23:$G$27,0),CY1170,CS1170,CU1170,-CT1170,CW1170)+ROW()/1000000000)</f>
        <v>0.32340117</v>
      </c>
    </row>
    <row r="1171" customFormat="false" ht="15" hidden="false" customHeight="false" outlineLevel="0" collapsed="false">
      <c r="A1171" s="60" t="s">
        <v>2150</v>
      </c>
      <c r="B1171" s="60" t="s">
        <v>2151</v>
      </c>
      <c r="C1171" s="60" t="s">
        <v>206</v>
      </c>
      <c r="D1171" s="60" t="s">
        <v>226</v>
      </c>
      <c r="E1171" s="60" t="s">
        <v>227</v>
      </c>
      <c r="F1171" s="60" t="s">
        <v>260</v>
      </c>
      <c r="G1171" s="61" t="n">
        <v>248.96</v>
      </c>
      <c r="H1171" s="62" t="n">
        <f aca="false">MAX(0,IF(AND(Parameter!$B$21="Ja",ISNUMBER(Y1171)),Y1171,IF(Parameter!$B$20="Jahresanfang 2025 + Export",BS1171+BR1171,BR1171)))</f>
        <v>24</v>
      </c>
      <c r="I1171" s="62" t="n">
        <f aca="false">H1171*G1171</f>
        <v>5975.04</v>
      </c>
      <c r="J1171" s="62" t="n">
        <f aca="false">BU1171*Parameter!$B$18</f>
        <v>216</v>
      </c>
      <c r="K1171" s="63" t="n">
        <v>20</v>
      </c>
      <c r="L1171" s="64" t="n">
        <v>10.8</v>
      </c>
      <c r="M1171" s="62" t="n">
        <v>12</v>
      </c>
      <c r="N1171" s="62" t="n">
        <v>25</v>
      </c>
      <c r="O1171" s="65" t="n">
        <v>21</v>
      </c>
      <c r="P1171" s="60" t="s">
        <v>275</v>
      </c>
      <c r="Q1171" s="62" t="n">
        <v>70</v>
      </c>
      <c r="R1171" s="65" t="n">
        <f aca="false">IF(CA1171=1,0,IFERROR(VLOOKUP(BY1171,'Gebinde-Kategorie'!$A$5:$N$45,13,0)+0,0))</f>
        <v>26</v>
      </c>
      <c r="S1171" s="66"/>
      <c r="T1171" s="67"/>
      <c r="U1171" s="67"/>
      <c r="V1171" s="67"/>
      <c r="W1171" s="60"/>
      <c r="X1171" s="62"/>
      <c r="Y1171" s="62"/>
      <c r="Z1171" s="60" t="n">
        <v>3</v>
      </c>
      <c r="AA1171" s="60" t="n">
        <f aca="false">IF(A1171="","",IF(AND(Parameter!$B$21="Ja",ISNUMBER(W1171)),W1171,IF(AND(Parameter!$E$27="Ja",ISNUMBER(Z1171),CD1171&lt;&gt;"Nein"),Z1171,IF(CD1171="2+3",IF(ISNUMBER(SEARCH("grosser Artikel",BV1171)),2,IFERROR(VLOOKUP(BY1171,Parameter!$F$35:$G$64,2,0),2)),IF(OR(CD1171="Nein",CD1171=""),"-",CD1171)))))</f>
        <v>3</v>
      </c>
      <c r="AB1171" s="67"/>
      <c r="AC1171" s="68"/>
      <c r="AD1171" s="62" t="n">
        <f aca="false">AW1171</f>
        <v>132</v>
      </c>
      <c r="AE1171" s="62" t="n">
        <f aca="false">MAX(AW1171,H1171)</f>
        <v>132</v>
      </c>
      <c r="AF1171" s="69"/>
      <c r="AG1171" s="62" t="n">
        <f aca="false">IF(LEFT(Cockpit!$C$5,1)="A",H1171,IF(Parameter!$E$30="MAX-Bestand",IF(CI1171=1,CJ1171,IF(LEFT(Cockpit!$C$5,1)="B",AM1171,MAX(AM1171,H1171))),ROUNDUP(AK1171,0)))</f>
        <v>24</v>
      </c>
      <c r="AH1171" s="62" t="n">
        <f aca="false">IF(CA1171=1,0,ROUNDUP(AG1171/BZ1171,0))</f>
        <v>1</v>
      </c>
      <c r="AI1171" s="64" t="n">
        <f aca="false">IF(CR1171&gt;0,CR1171*MAX(1,AG1171/X1171),IF(CA1171=1,IF(AG1171&lt;=0,0,CE1171*MAX(1,IF(H1171&gt;0,AG1171/H1171,1))),IF(R1171&gt;0,AH1171/R1171,0))/MAX(0.1,N(Parameter!$M$21)))</f>
        <v>0.0384615384615385</v>
      </c>
      <c r="AJ1171" s="62" t="n">
        <f aca="false">AI1171*CC1171</f>
        <v>9.42307692307692</v>
      </c>
      <c r="AK1171" s="63" t="n">
        <f aca="false">IF(LEFT(Cockpit!$C$5,1)="A",H1171,IF(CI1171=1,(CL1171+CJ1171)/2,IF(LEFT(Cockpit!$C$5,1)="B",(CL1171+AM1171)/2,MAX((CL1171+AM1171)/2,H1171))))</f>
        <v>24</v>
      </c>
      <c r="AL1171" s="62" t="n">
        <f aca="false">AK1171*G1171</f>
        <v>5975.04</v>
      </c>
      <c r="AM1171" s="62" t="n">
        <f aca="false">ROUNDUP(CL1171+MAX(CM1171,2*(J1171/IF(CH1171&gt;0,CH1171,MAX(0.1,N(Cockpit!$C$6)))-CL1171)),0)</f>
        <v>132</v>
      </c>
      <c r="AN1171" s="63" t="n">
        <f aca="false">IF(AJ1171&gt;0,J1171/AJ1171,-1)</f>
        <v>22.9224489795918</v>
      </c>
      <c r="AO1171" s="63" t="n">
        <f aca="false">IF(AND(OR(CG1171="L1",CG1171="L23",CG1171="LIFT"),AJ1171&gt;0),SUMIFS($AJ$7:$AJ$1843,$CG$7:$CG$1843,CG1171,$AN$7:$AN$1843,"&gt;"&amp;AN1171)+SUMIFS($AJ$7:$AJ$1843,$CG$7:$CG$1843,CG1171,$AN$7:$AN$1843,AN1171,$BX$7:$BX$1843,"&lt;="&amp;BX1171),"")</f>
        <v>1589.40750915751</v>
      </c>
      <c r="AP1171" s="70" t="n">
        <f aca="false">IF(AO1171="",0,MAX(0,MIN(1,(IF(CG1171="L1",Parameter!$H$5,IF(CG1171="L23",Parameter!$H$6+Parameter!$H$7,Parameter!$H$5+Parameter!$H$6+Parameter!$H$7))-(AO1171-AJ1171))/AJ1171)))</f>
        <v>1</v>
      </c>
      <c r="AQ1171" s="62" t="n">
        <f aca="false">IF(LEFT(Cockpit!$I$5,1)="A",H1171,IF(Parameter!$E$30="MAX-Bestand",IF(CI1171=1,CJ1171,IF(LEFT(Cockpit!$I$5,1)="B",AW1171,MAX(AW1171,H1171))),ROUNDUP(AU1171,0)))</f>
        <v>72</v>
      </c>
      <c r="AR1171" s="62" t="n">
        <f aca="false">IF(CA1171=1,0,ROUNDUP(AQ1171/BZ1171,0))</f>
        <v>2</v>
      </c>
      <c r="AS1171" s="64" t="n">
        <f aca="false">IF(CR1171&gt;0,CR1171*MAX(1,AQ1171/X1171),IF(CA1171=1,IF(AQ1171&lt;=0,0,CE1171*MAX(1,IF(H1171&gt;0,AQ1171/H1171,1))),IF(R1171&gt;0,AR1171/R1171,0))/MAX(0.1,N(Parameter!$M$21)))</f>
        <v>0.0769230769230769</v>
      </c>
      <c r="AT1171" s="62" t="n">
        <f aca="false">AS1171*CC1171</f>
        <v>18.8461538461538</v>
      </c>
      <c r="AU1171" s="63" t="n">
        <f aca="false">IF(LEFT(Cockpit!$I$5,1)="A",H1171,IF(CI1171=1,(CL1171+CJ1171)/2,IF(LEFT(Cockpit!$I$5,1)="B",(CL1171+AW1171)/2,MAX((CL1171+AW1171)/2,H1171))))</f>
        <v>72</v>
      </c>
      <c r="AV1171" s="62" t="n">
        <f aca="false">AU1171*G1171</f>
        <v>17925.12</v>
      </c>
      <c r="AW1171" s="62" t="n">
        <f aca="false">ROUNDUP(CL1171+MAX(CM1171,2*(J1171/IF(CH1171&gt;0,CH1171,MAX(0.1,N(Cockpit!$I$6)))-CL1171)),0)</f>
        <v>132</v>
      </c>
      <c r="AX1171" s="63" t="n">
        <f aca="false">IF(AT1171&gt;0,J1171/AT1171,-1)</f>
        <v>11.4612244897959</v>
      </c>
      <c r="AY1171" s="63" t="n">
        <f aca="false">IF(AND(OR(CG1171="L1",CG1171="L23",CG1171="LIFT"),AT1171&gt;0),SUMIFS($AT$7:$AT$1843,$CG$7:$CG$1843,CG1171,$AX$7:$AX$1843,"&gt;"&amp;AX1171)+SUMIFS($AT$7:$AT$1843,$CG$7:$CG$1843,CG1171,$AX$7:$AX$1843,AX1171,$BX$7:$BX$1843,"&lt;="&amp;BX1171),"")</f>
        <v>3143.57875457875</v>
      </c>
      <c r="AZ1171" s="70" t="n">
        <f aca="false">IF(AY1171="",0,MAX(0,MIN(1,(IF(CG1171="L1",Parameter!$H$5,IF(CG1171="L23",Parameter!$H$6+Parameter!$H$7,Parameter!$H$5+Parameter!$H$6+Parameter!$H$7))-(AY1171-AT1171))/AT1171)))</f>
        <v>1</v>
      </c>
      <c r="BA1171" s="62" t="n">
        <f aca="false">IF(LEFT(Cockpit!$O$5,1)="A",H1171,IF(Parameter!$E$30="MAX-Bestand",IF(CI1171=1,CJ1171,IF(LEFT(Cockpit!$O$5,1)="B",BG1171,MAX(BG1171,H1171))),ROUNDUP(BE1171,0)))</f>
        <v>54</v>
      </c>
      <c r="BB1171" s="62" t="n">
        <f aca="false">IF(CA1171=1,0,ROUNDUP(BA1171/BZ1171,0))</f>
        <v>1</v>
      </c>
      <c r="BC1171" s="64" t="n">
        <f aca="false">IF(CR1171&gt;0,CR1171*MAX(1,BA1171/X1171),IF(CA1171=1,IF(BA1171&lt;=0,0,CE1171*MAX(1,IF(H1171&gt;0,BA1171/H1171,1))),IF(R1171&gt;0,BB1171/R1171,0))/MAX(0.1,N(Parameter!$M$21)))</f>
        <v>0.0384615384615385</v>
      </c>
      <c r="BD1171" s="62" t="n">
        <f aca="false">BC1171*CC1171</f>
        <v>9.42307692307692</v>
      </c>
      <c r="BE1171" s="63" t="n">
        <f aca="false">IF(LEFT(Cockpit!$O$5,1)="A",H1171,IF(CI1171=1,(CL1171+CJ1171)/2,IF(LEFT(Cockpit!$O$5,1)="B",(CL1171+BG1171)/2,MAX((CL1171+BG1171)/2,H1171))))</f>
        <v>54</v>
      </c>
      <c r="BF1171" s="62" t="n">
        <f aca="false">BE1171*G1171</f>
        <v>13443.84</v>
      </c>
      <c r="BG1171" s="62" t="n">
        <f aca="false">ROUNDUP(CL1171+MAX(CM1171,2*(J1171/IF(CH1171&gt;0,CH1171,MAX(0.1,N(Cockpit!$O$6)))-CL1171)),0)</f>
        <v>96</v>
      </c>
      <c r="BH1171" s="63" t="n">
        <f aca="false">IF(BD1171&gt;0,J1171/BD1171,-1)</f>
        <v>22.9224489795918</v>
      </c>
      <c r="BI1171" s="63" t="n">
        <f aca="false">IF(AND(OR(CG1171="L1",CG1171="L23",CG1171="LIFT"),BD1171&gt;0),SUMIFS($BD$7:$BD$1843,$CG$7:$CG$1843,CG1171,$BH$7:$BH$1843,"&gt;"&amp;BH1171)+SUMIFS($BD$7:$BD$1843,$CG$7:$CG$1843,CG1171,$BH$7:$BH$1843,BH1171,$BX$7:$BX$1843,"&lt;="&amp;BX1171),"")</f>
        <v>2152.02335164835</v>
      </c>
      <c r="BJ1171" s="70" t="n">
        <f aca="false">IF(BI1171="",0,MAX(0,MIN(1,(IF(CG1171="L1",Parameter!$H$5,IF(CG1171="L23",Parameter!$H$6+Parameter!$H$7,Parameter!$H$5+Parameter!$H$6+Parameter!$H$7))-(BI1171-BD1171))/BD1171)))</f>
        <v>1</v>
      </c>
      <c r="BK1171" s="60" t="str">
        <f aca="false">IF(AJ1171&lt;=0,"",IF(CG1171="Aussen","Aussenlager",IF(CG1171="-","Nicht im Lift",IF(AP1171&gt;=1,"Lift",IF(AP1171&lt;=0,"Aussenlager","teilweise")))))</f>
        <v>Lift</v>
      </c>
      <c r="BL1171" s="60" t="str">
        <f aca="false">IF(AT1171&lt;=0,"",IF(CG1171="Aussen","Aussenlager",IF(CG1171="-","Nicht im Lift",IF(AZ1171&gt;=1,"Lift",IF(AZ1171&lt;=0,"Aussenlager","teilweise")))))</f>
        <v>Lift</v>
      </c>
      <c r="BM1171" s="60" t="str">
        <f aca="false">IF(BD1171&lt;=0,"",IF(CG1171="Aussen","Aussenlager",IF(CG1171="-","Nicht im Lift",IF(BJ1171&gt;=1,"Lift",IF(BJ1171&lt;=0,"Aussenlager","teilweise")))))</f>
        <v>Lift</v>
      </c>
      <c r="BN1171" s="60" t="str">
        <f aca="false">IF(A1171="","",IF(BW1171=1,"Neu; ","")&amp;IF(AND(BW1171=0,BR1171&lt;0),"negativer Bestand (Export "&amp;BR1171&amp;"); ","")&amp;IF(J1171&lt;=0,"Kein Verbrauch; ","")&amp;IF(CR1171&gt;0,"Lift "&amp;W1171&amp;" lt. Liftbericht (Fach "&amp;X1171&amp;" Stk); ",IF(CB1171=1,"Gebinde geschätzt ("&amp;T1171&amp;"); ",IF(CA1171=1,"Lose – Tablare geschätzt; ","")))&amp;IF(H1171&gt;AW1171,"Überbestand "&amp;ROUND(H1171-AW1171,0)&amp;" Stk / CHF "&amp;ROUND((H1171-AW1171)*G1171,0)&amp;"; ","")&amp;IF(AND(CI1171=1,CJ1171&lt;CK1171),"MAX &lt; MB+LG; ","")&amp;IF(AND(CQ1171&gt;0,CP1171*10&gt;CQ1171),"zu hoch für Tablar; ","")&amp;IF(AND(BW1171=0,OR(CI1171=1,AB1171&lt;&gt;"",U1171&lt;&gt;"",V1171&lt;&gt;"",AC1171&lt;&gt;"")),"manuell übersteuert; ","")&amp;IF(AND(CA1171=0,R1171=0),"Gebinde unbekannt / Stellmass fehlt; ","")&amp;IF(AND(CA1171=0,N(V1171)&lt;=0,N(Q1171)&lt;=0),"Menge pro Gebinde fehlt (Ist = 1 Gebinde); ","")&amp;BV1171)</f>
        <v>negativer Bestand (Export -3); </v>
      </c>
      <c r="BO1171" s="60"/>
      <c r="BP1171" s="60"/>
      <c r="BQ1171" s="67"/>
      <c r="BR1171" s="62" t="n">
        <v>-3</v>
      </c>
      <c r="BS1171" s="62" t="n">
        <v>27</v>
      </c>
      <c r="BT1171" s="61" t="n">
        <v>-357.91999999998</v>
      </c>
      <c r="BU1171" s="62" t="n">
        <v>216</v>
      </c>
      <c r="BV1171" s="60"/>
      <c r="BW1171" s="65" t="n">
        <v>0</v>
      </c>
      <c r="BX1171" s="65" t="n">
        <v>1171</v>
      </c>
      <c r="BY1171" s="60" t="str">
        <f aca="false">IF(U1171&lt;&gt;"",UPPER(TRIM(U1171)),IF(CB1171=1,UPPER(VLOOKUP(T1171,Parameter!$I$27:$K$29,2,0)),IF(P1171="","LOSE",P1171)))</f>
        <v>S52</v>
      </c>
      <c r="BZ1171" s="62" t="n">
        <f aca="false">IF(BY1171="LOSE",1,IF(N(V1171)&gt;0,V1171,IF(CB1171=1,MAX(1,N(VLOOKUP(T1171,Parameter!$I$27:$K$29,3,0)),H1171,N(N1171)),IF(N(Q1171)&gt;0,Q1171,MAX(1,H1171)))))</f>
        <v>70</v>
      </c>
      <c r="CA1171" s="65" t="n">
        <f aca="false">IF(BY1171="LOSE",1,0)</f>
        <v>0</v>
      </c>
      <c r="CB1171" s="65" t="n">
        <f aca="false">IF(AND(U1171="",OR(P1171="",P1171="LOSE"),T1171&lt;&gt;"",N(S1171)&lt;=0,ISNUMBER(MATCH(T1171,Parameter!$I$27:$I$29,0))),1,0)</f>
        <v>0</v>
      </c>
      <c r="CC1171" s="65" t="n">
        <f aca="false">IF(CR1171&gt;0,INDEX(Parameter!$H$5:$H$7,W1171)/INDEX(Parameter!$E$5:$E$7,W1171),IF(AND(CA1171=0,N(IFERROR(VLOOKUP(BY1171,'Gebinde-Kategorie'!$A$5:$N$45,14,0),0))&gt;0),VLOOKUP(BY1171,'Gebinde-Kategorie'!$A$5:$N$45,14,0)*10+Parameter!$M$23,Parameter!$M$24))</f>
        <v>245</v>
      </c>
      <c r="CD1171" s="60" t="str">
        <f aca="false">IF(AND(Parameter!$B$19="Ja",E1171&lt;&gt;"",ISNUMBER(MATCH(E1171,Parameter!$I$35:$I$52,0))),VLOOKUP(E1171,Parameter!$I$35:$J$52,2,0),IFERROR(VLOOKUP(D1171,Parameter!$A$35:$C$64,2,0),"Nein"))</f>
        <v>2+3</v>
      </c>
      <c r="CE1171" s="64" t="n">
        <f aca="false">IF(CA1171=0,0,IF(N(S1171)&gt;0,S1171,IFERROR(VLOOKUP(D1171,Parameter!$A$35:$C$64,3,0)+0,0)))</f>
        <v>0</v>
      </c>
      <c r="CF1171" s="60" t="n">
        <f aca="false">IF(AB1171&lt;&gt;"",AB1171,AA1171)</f>
        <v>3</v>
      </c>
      <c r="CG1171" s="60" t="str">
        <f aca="false">IF(OR(CF1171=1,CF1171=2,CF1171=3),IF(Parameter!$E$27="Ja","LIFT",IF(CF1171=1,"L1","L23")),IF(CF1171="Aussen","Aussen","-"))</f>
        <v>LIFT</v>
      </c>
      <c r="CH1171" s="71" t="n">
        <f aca="false">IF(N(AC1171)&gt;0,AC1171,0)</f>
        <v>0</v>
      </c>
      <c r="CI1171" s="65" t="n">
        <f aca="false">IF(ISNUMBER(AF1171),1,0)</f>
        <v>0</v>
      </c>
      <c r="CJ1171" s="62" t="n">
        <f aca="false">N(AF1171)</f>
        <v>0</v>
      </c>
      <c r="CK1171" s="62" t="n">
        <f aca="false">N(M1171)+N(N1171)</f>
        <v>37</v>
      </c>
      <c r="CL1171" s="62" t="n">
        <f aca="false">N(M1171)</f>
        <v>12</v>
      </c>
      <c r="CM1171" s="62" t="n">
        <f aca="false">N(N1171)</f>
        <v>25</v>
      </c>
      <c r="CN1171" s="62" t="n">
        <f aca="false">ROUNDUP(H1171/BZ1171,0)</f>
        <v>1</v>
      </c>
      <c r="CO1171" s="62" t="n">
        <f aca="false">ROUNDUP(CJ1171/BZ1171,0)</f>
        <v>0</v>
      </c>
      <c r="CP1171" s="65" t="n">
        <f aca="false">IF(CA1171=1,0,IFERROR(VLOOKUP(BY1171,'Gebinde-Kategorie'!$A$5:$N$45,5,0)+0,0))</f>
        <v>21</v>
      </c>
      <c r="CQ1171" s="65" t="n">
        <f aca="false">IFERROR(IF(OR(CF1171=1,CF1171=2,CF1171=3),N(INDEX(Parameter!$I$5:$I$7,CF1171)),0),0)</f>
        <v>0</v>
      </c>
      <c r="CR1171" s="64" t="n">
        <f aca="false">IF(AND(Parameter!$B$21="Ja",ISNUMBER(W1171),N(X1171)&gt;0),IFERROR(N(INDEX(Parameter!$L$5:$L$7,W1171))*INDEX(Parameter!$E$5:$E$7,W1171)*X1171/SUMIFS($X$7:$X$1843,$W$7:$W$1843,W1171),0),0)</f>
        <v>0</v>
      </c>
      <c r="CS1171" s="62" t="n">
        <f aca="false">IF(AND(OR(CG1171="L1",CG1171="L23",CG1171="LIFT"),H1171&gt;0),CC1171*IF(CR1171&gt;0,CR1171*MAX(1,H1171/X1171),IF(CA1171=1,CE1171,IF(R1171&gt;0,CN1171/R1171,0))/MAX(0.1,N(Parameter!$M$21))),"")</f>
        <v>9.42307692307692</v>
      </c>
      <c r="CT1171" s="64" t="n">
        <f aca="false">IF(CS1171="","",J1171/H1171)</f>
        <v>9</v>
      </c>
      <c r="CU1171" s="62" t="n">
        <f aca="false">IF(CS1171="","",H1171*G1171)</f>
        <v>5975.04</v>
      </c>
      <c r="CV1171" s="63" t="n">
        <f aca="false">IF(CS1171="","",(CL1171+ROUNDUP(CL1171+MAX(CM1171,2*(J1171/MAX(0.1,N(Einkauf!$C$6))-CL1171)),0))/2)</f>
        <v>54</v>
      </c>
      <c r="CW1171" s="62" t="n">
        <f aca="false">IF(CS1171="","",MAX(0,H1171-CV1171)*G1171)</f>
        <v>0</v>
      </c>
      <c r="CX1171" s="62" t="n">
        <f aca="false">IF(CS1171="","",CS1171*MAX(0,1-CV1171/H1171))</f>
        <v>0</v>
      </c>
      <c r="CY1171" s="64" t="n">
        <f aca="false">IF(CS1171="","",PERCENTRANK($CS$7:$CS$1843,CS1171)+PERCENTRANK($CU$7:$CU$1843,CU1171)+1-PERCENTRANK($CT$7:$CT$1843,CT1171))</f>
        <v>1.513</v>
      </c>
      <c r="CZ1171" s="72" t="n">
        <f aca="false">IF(CS1171="","",CHOOSE(MATCH(Einkauf!$C$5,Parameter!$G$23:$G$27,0),CY1171,CS1171,CU1171,-CT1171,CW1171)+ROW()/1000000000)</f>
        <v>1.513001171</v>
      </c>
    </row>
    <row r="1172" customFormat="false" ht="15" hidden="false" customHeight="false" outlineLevel="0" collapsed="false">
      <c r="A1172" s="60" t="s">
        <v>2152</v>
      </c>
      <c r="B1172" s="60" t="s">
        <v>2153</v>
      </c>
      <c r="C1172" s="60" t="s">
        <v>206</v>
      </c>
      <c r="D1172" s="60" t="s">
        <v>215</v>
      </c>
      <c r="E1172" s="60" t="s">
        <v>208</v>
      </c>
      <c r="F1172" s="60" t="s">
        <v>260</v>
      </c>
      <c r="G1172" s="61" t="n">
        <v>360</v>
      </c>
      <c r="H1172" s="62" t="n">
        <f aca="false">MAX(0,IF(AND(Parameter!$B$21="Ja",ISNUMBER(Y1172)),Y1172,IF(Parameter!$B$20="Jahresanfang 2025 + Export",BS1172+BR1172,BR1172)))</f>
        <v>13</v>
      </c>
      <c r="I1172" s="62" t="n">
        <f aca="false">H1172*G1172</f>
        <v>4680</v>
      </c>
      <c r="J1172" s="62" t="n">
        <f aca="false">BU1172*Parameter!$B$18</f>
        <v>0</v>
      </c>
      <c r="K1172" s="63" t="n">
        <v>14</v>
      </c>
      <c r="L1172" s="64" t="n">
        <v>0</v>
      </c>
      <c r="M1172" s="62" t="n">
        <v>0</v>
      </c>
      <c r="N1172" s="62" t="n">
        <v>1</v>
      </c>
      <c r="O1172" s="65" t="n">
        <v>28</v>
      </c>
      <c r="P1172" s="60" t="s">
        <v>268</v>
      </c>
      <c r="Q1172" s="62" t="n">
        <v>15</v>
      </c>
      <c r="R1172" s="65" t="n">
        <f aca="false">IF(CA1172=1,0,IFERROR(VLOOKUP(BY1172,'Gebinde-Kategorie'!$A$5:$N$45,13,0)+0,0))</f>
        <v>12</v>
      </c>
      <c r="S1172" s="66"/>
      <c r="T1172" s="67"/>
      <c r="U1172" s="67"/>
      <c r="V1172" s="67"/>
      <c r="W1172" s="60"/>
      <c r="X1172" s="62"/>
      <c r="Y1172" s="62"/>
      <c r="Z1172" s="60" t="n">
        <v>3</v>
      </c>
      <c r="AA1172" s="60" t="n">
        <f aca="false">IF(A1172="","",IF(AND(Parameter!$B$21="Ja",ISNUMBER(W1172)),W1172,IF(AND(Parameter!$E$27="Ja",ISNUMBER(Z1172),CD1172&lt;&gt;"Nein"),Z1172,IF(CD1172="2+3",IF(ISNUMBER(SEARCH("grosser Artikel",BV1172)),2,IFERROR(VLOOKUP(BY1172,Parameter!$F$35:$G$64,2,0),2)),IF(OR(CD1172="Nein",CD1172=""),"-",CD1172)))))</f>
        <v>3</v>
      </c>
      <c r="AB1172" s="67"/>
      <c r="AC1172" s="68"/>
      <c r="AD1172" s="62" t="n">
        <f aca="false">AW1172</f>
        <v>1</v>
      </c>
      <c r="AE1172" s="62" t="n">
        <f aca="false">MAX(AW1172,H1172)</f>
        <v>13</v>
      </c>
      <c r="AF1172" s="69"/>
      <c r="AG1172" s="62" t="n">
        <f aca="false">IF(LEFT(Cockpit!$C$5,1)="A",H1172,IF(Parameter!$E$30="MAX-Bestand",IF(CI1172=1,CJ1172,IF(LEFT(Cockpit!$C$5,1)="B",AM1172,MAX(AM1172,H1172))),ROUNDUP(AK1172,0)))</f>
        <v>13</v>
      </c>
      <c r="AH1172" s="62" t="n">
        <f aca="false">IF(CA1172=1,0,ROUNDUP(AG1172/BZ1172,0))</f>
        <v>1</v>
      </c>
      <c r="AI1172" s="64" t="n">
        <f aca="false">IF(CR1172&gt;0,CR1172*MAX(1,AG1172/X1172),IF(CA1172=1,IF(AG1172&lt;=0,0,CE1172*MAX(1,IF(H1172&gt;0,AG1172/H1172,1))),IF(R1172&gt;0,AH1172/R1172,0))/MAX(0.1,N(Parameter!$M$21)))</f>
        <v>0.0833333333333333</v>
      </c>
      <c r="AJ1172" s="62" t="n">
        <f aca="false">AI1172*CC1172</f>
        <v>28.75</v>
      </c>
      <c r="AK1172" s="63" t="n">
        <f aca="false">IF(LEFT(Cockpit!$C$5,1)="A",H1172,IF(CI1172=1,(CL1172+CJ1172)/2,IF(LEFT(Cockpit!$C$5,1)="B",(CL1172+AM1172)/2,MAX((CL1172+AM1172)/2,H1172))))</f>
        <v>13</v>
      </c>
      <c r="AL1172" s="62" t="n">
        <f aca="false">AK1172*G1172</f>
        <v>4680</v>
      </c>
      <c r="AM1172" s="62" t="n">
        <f aca="false">ROUNDUP(CL1172+MAX(CM1172,2*(J1172/IF(CH1172&gt;0,CH1172,MAX(0.1,N(Cockpit!$C$6)))-CL1172)),0)</f>
        <v>1</v>
      </c>
      <c r="AN1172" s="63" t="n">
        <f aca="false">IF(AJ1172&gt;0,J1172/AJ1172,-1)</f>
        <v>0</v>
      </c>
      <c r="AO1172" s="63" t="n">
        <f aca="false">IF(AND(OR(CG1172="L1",CG1172="L23",CG1172="LIFT"),AJ1172&gt;0),SUMIFS($AJ$7:$AJ$1843,$CG$7:$CG$1843,CG1172,$AN$7:$AN$1843,"&gt;"&amp;AN1172)+SUMIFS($AJ$7:$AJ$1843,$CG$7:$CG$1843,CG1172,$AN$7:$AN$1843,AN1172,$BX$7:$BX$1843,"&lt;="&amp;BX1172),"")</f>
        <v>29395.5532816995</v>
      </c>
      <c r="AP1172" s="70" t="n">
        <f aca="false">IF(AO1172="",0,MAX(0,MIN(1,(IF(CG1172="L1",Parameter!$H$5,IF(CG1172="L23",Parameter!$H$6+Parameter!$H$7,Parameter!$H$5+Parameter!$H$6+Parameter!$H$7))-(AO1172-AJ1172))/AJ1172)))</f>
        <v>1</v>
      </c>
      <c r="AQ1172" s="62" t="n">
        <f aca="false">IF(LEFT(Cockpit!$I$5,1)="A",H1172,IF(Parameter!$E$30="MAX-Bestand",IF(CI1172=1,CJ1172,IF(LEFT(Cockpit!$I$5,1)="B",AW1172,MAX(AW1172,H1172))),ROUNDUP(AU1172,0)))</f>
        <v>13</v>
      </c>
      <c r="AR1172" s="62" t="n">
        <f aca="false">IF(CA1172=1,0,ROUNDUP(AQ1172/BZ1172,0))</f>
        <v>1</v>
      </c>
      <c r="AS1172" s="64" t="n">
        <f aca="false">IF(CR1172&gt;0,CR1172*MAX(1,AQ1172/X1172),IF(CA1172=1,IF(AQ1172&lt;=0,0,CE1172*MAX(1,IF(H1172&gt;0,AQ1172/H1172,1))),IF(R1172&gt;0,AR1172/R1172,0))/MAX(0.1,N(Parameter!$M$21)))</f>
        <v>0.0833333333333333</v>
      </c>
      <c r="AT1172" s="62" t="n">
        <f aca="false">AS1172*CC1172</f>
        <v>28.75</v>
      </c>
      <c r="AU1172" s="63" t="n">
        <f aca="false">IF(LEFT(Cockpit!$I$5,1)="A",H1172,IF(CI1172=1,(CL1172+CJ1172)/2,IF(LEFT(Cockpit!$I$5,1)="B",(CL1172+AW1172)/2,MAX((CL1172+AW1172)/2,H1172))))</f>
        <v>13</v>
      </c>
      <c r="AV1172" s="62" t="n">
        <f aca="false">AU1172*G1172</f>
        <v>4680</v>
      </c>
      <c r="AW1172" s="62" t="n">
        <f aca="false">ROUNDUP(CL1172+MAX(CM1172,2*(J1172/IF(CH1172&gt;0,CH1172,MAX(0.1,N(Cockpit!$I$6)))-CL1172)),0)</f>
        <v>1</v>
      </c>
      <c r="AX1172" s="63" t="n">
        <f aca="false">IF(AT1172&gt;0,J1172/AT1172,-1)</f>
        <v>0</v>
      </c>
      <c r="AY1172" s="63" t="n">
        <f aca="false">IF(AND(OR(CG1172="L1",CG1172="L23",CG1172="LIFT"),AT1172&gt;0),SUMIFS($AT$7:$AT$1843,$CG$7:$CG$1843,CG1172,$AX$7:$AX$1843,"&gt;"&amp;AX1172)+SUMIFS($AT$7:$AT$1843,$CG$7:$CG$1843,CG1172,$AX$7:$AX$1843,AX1172,$BX$7:$BX$1843,"&lt;="&amp;BX1172),"")</f>
        <v>35192.4445970696</v>
      </c>
      <c r="AZ1172" s="70" t="n">
        <f aca="false">IF(AY1172="",0,MAX(0,MIN(1,(IF(CG1172="L1",Parameter!$H$5,IF(CG1172="L23",Parameter!$H$6+Parameter!$H$7,Parameter!$H$5+Parameter!$H$6+Parameter!$H$7))-(AY1172-AT1172))/AT1172)))</f>
        <v>1</v>
      </c>
      <c r="BA1172" s="62" t="n">
        <f aca="false">IF(LEFT(Cockpit!$O$5,1)="A",H1172,IF(Parameter!$E$30="MAX-Bestand",IF(CI1172=1,CJ1172,IF(LEFT(Cockpit!$O$5,1)="B",BG1172,MAX(BG1172,H1172))),ROUNDUP(BE1172,0)))</f>
        <v>1</v>
      </c>
      <c r="BB1172" s="62" t="n">
        <f aca="false">IF(CA1172=1,0,ROUNDUP(BA1172/BZ1172,0))</f>
        <v>1</v>
      </c>
      <c r="BC1172" s="64" t="n">
        <f aca="false">IF(CR1172&gt;0,CR1172*MAX(1,BA1172/X1172),IF(CA1172=1,IF(BA1172&lt;=0,0,CE1172*MAX(1,IF(H1172&gt;0,BA1172/H1172,1))),IF(R1172&gt;0,BB1172/R1172,0))/MAX(0.1,N(Parameter!$M$21)))</f>
        <v>0.0833333333333333</v>
      </c>
      <c r="BD1172" s="62" t="n">
        <f aca="false">BC1172*CC1172</f>
        <v>28.75</v>
      </c>
      <c r="BE1172" s="63" t="n">
        <f aca="false">IF(LEFT(Cockpit!$O$5,1)="A",H1172,IF(CI1172=1,(CL1172+CJ1172)/2,IF(LEFT(Cockpit!$O$5,1)="B",(CL1172+BG1172)/2,MAX((CL1172+BG1172)/2,H1172))))</f>
        <v>0.5</v>
      </c>
      <c r="BF1172" s="62" t="n">
        <f aca="false">BE1172*G1172</f>
        <v>180</v>
      </c>
      <c r="BG1172" s="62" t="n">
        <f aca="false">ROUNDUP(CL1172+MAX(CM1172,2*(J1172/IF(CH1172&gt;0,CH1172,MAX(0.1,N(Cockpit!$O$6)))-CL1172)),0)</f>
        <v>1</v>
      </c>
      <c r="BH1172" s="63" t="n">
        <f aca="false">IF(BD1172&gt;0,J1172/BD1172,-1)</f>
        <v>0</v>
      </c>
      <c r="BI1172" s="63" t="n">
        <f aca="false">IF(AND(OR(CG1172="L1",CG1172="L23",CG1172="LIFT"),BD1172&gt;0),SUMIFS($BD$7:$BD$1843,$CG$7:$CG$1843,CG1172,$BH$7:$BH$1843,"&gt;"&amp;BH1172)+SUMIFS($BD$7:$BD$1843,$CG$7:$CG$1843,CG1172,$BH$7:$BH$1843,BH1172,$BX$7:$BX$1843,"&lt;="&amp;BX1172),"")</f>
        <v>29177.7512572174</v>
      </c>
      <c r="BJ1172" s="70" t="n">
        <f aca="false">IF(BI1172="",0,MAX(0,MIN(1,(IF(CG1172="L1",Parameter!$H$5,IF(CG1172="L23",Parameter!$H$6+Parameter!$H$7,Parameter!$H$5+Parameter!$H$6+Parameter!$H$7))-(BI1172-BD1172))/BD1172)))</f>
        <v>1</v>
      </c>
      <c r="BK1172" s="60" t="str">
        <f aca="false">IF(AJ1172&lt;=0,"",IF(CG1172="Aussen","Aussenlager",IF(CG1172="-","Nicht im Lift",IF(AP1172&gt;=1,"Lift",IF(AP1172&lt;=0,"Aussenlager","teilweise")))))</f>
        <v>Lift</v>
      </c>
      <c r="BL1172" s="60" t="str">
        <f aca="false">IF(AT1172&lt;=0,"",IF(CG1172="Aussen","Aussenlager",IF(CG1172="-","Nicht im Lift",IF(AZ1172&gt;=1,"Lift",IF(AZ1172&lt;=0,"Aussenlager","teilweise")))))</f>
        <v>Lift</v>
      </c>
      <c r="BM1172" s="60" t="str">
        <f aca="false">IF(BD1172&lt;=0,"",IF(CG1172="Aussen","Aussenlager",IF(CG1172="-","Nicht im Lift",IF(BJ1172&gt;=1,"Lift",IF(BJ1172&lt;=0,"Aussenlager","teilweise")))))</f>
        <v>Lift</v>
      </c>
      <c r="BN1172" s="60" t="str">
        <f aca="false">IF(A1172="","",IF(BW1172=1,"Neu; ","")&amp;IF(AND(BW1172=0,BR1172&lt;0),"negativer Bestand (Export "&amp;BR1172&amp;"); ","")&amp;IF(J1172&lt;=0,"Kein Verbrauch; ","")&amp;IF(CR1172&gt;0,"Lift "&amp;W1172&amp;" lt. Liftbericht (Fach "&amp;X1172&amp;" Stk); ",IF(CB1172=1,"Gebinde geschätzt ("&amp;T1172&amp;"); ",IF(CA1172=1,"Lose – Tablare geschätzt; ","")))&amp;IF(H1172&gt;AW1172,"Überbestand "&amp;ROUND(H1172-AW1172,0)&amp;" Stk / CHF "&amp;ROUND((H1172-AW1172)*G1172,0)&amp;"; ","")&amp;IF(AND(CI1172=1,CJ1172&lt;CK1172),"MAX &lt; MB+LG; ","")&amp;IF(AND(CQ1172&gt;0,CP1172*10&gt;CQ1172),"zu hoch für Tablar; ","")&amp;IF(AND(BW1172=0,OR(CI1172=1,AB1172&lt;&gt;"",U1172&lt;&gt;"",V1172&lt;&gt;"",AC1172&lt;&gt;"")),"manuell übersteuert; ","")&amp;IF(AND(CA1172=0,R1172=0),"Gebinde unbekannt / Stellmass fehlt; ","")&amp;IF(AND(CA1172=0,N(V1172)&lt;=0,N(Q1172)&lt;=0),"Menge pro Gebinde fehlt (Ist = 1 Gebinde); ","")&amp;BV1172)</f>
        <v>negativer Bestand (Export -1); Kein Verbrauch; Überbestand 12 Stk / CHF 4320; </v>
      </c>
      <c r="BO1172" s="60"/>
      <c r="BP1172" s="60"/>
      <c r="BQ1172" s="67"/>
      <c r="BR1172" s="62" t="n">
        <v>-1</v>
      </c>
      <c r="BS1172" s="62" t="n">
        <v>14</v>
      </c>
      <c r="BT1172" s="61" t="n">
        <v>-360</v>
      </c>
      <c r="BU1172" s="62" t="n">
        <v>0</v>
      </c>
      <c r="BV1172" s="60"/>
      <c r="BW1172" s="65" t="n">
        <v>0</v>
      </c>
      <c r="BX1172" s="65" t="n">
        <v>1172</v>
      </c>
      <c r="BY1172" s="60" t="str">
        <f aca="false">IF(U1172&lt;&gt;"",UPPER(TRIM(U1172)),IF(CB1172=1,UPPER(VLOOKUP(T1172,Parameter!$I$27:$K$29,2,0)),IF(P1172="","LOSE",P1172)))</f>
        <v>S63</v>
      </c>
      <c r="BZ1172" s="62" t="n">
        <f aca="false">IF(BY1172="LOSE",1,IF(N(V1172)&gt;0,V1172,IF(CB1172=1,MAX(1,N(VLOOKUP(T1172,Parameter!$I$27:$K$29,3,0)),H1172,N(N1172)),IF(N(Q1172)&gt;0,Q1172,MAX(1,H1172)))))</f>
        <v>15</v>
      </c>
      <c r="CA1172" s="65" t="n">
        <f aca="false">IF(BY1172="LOSE",1,0)</f>
        <v>0</v>
      </c>
      <c r="CB1172" s="65" t="n">
        <f aca="false">IF(AND(U1172="",OR(P1172="",P1172="LOSE"),T1172&lt;&gt;"",N(S1172)&lt;=0,ISNUMBER(MATCH(T1172,Parameter!$I$27:$I$29,0))),1,0)</f>
        <v>0</v>
      </c>
      <c r="CC1172" s="65" t="n">
        <f aca="false">IF(CR1172&gt;0,INDEX(Parameter!$H$5:$H$7,W1172)/INDEX(Parameter!$E$5:$E$7,W1172),IF(AND(CA1172=0,N(IFERROR(VLOOKUP(BY1172,'Gebinde-Kategorie'!$A$5:$N$45,14,0),0))&gt;0),VLOOKUP(BY1172,'Gebinde-Kategorie'!$A$5:$N$45,14,0)*10+Parameter!$M$23,Parameter!$M$24))</f>
        <v>345</v>
      </c>
      <c r="CD1172" s="60" t="n">
        <f aca="false">IF(AND(Parameter!$B$19="Ja",E1172&lt;&gt;"",ISNUMBER(MATCH(E1172,Parameter!$I$35:$I$52,0))),VLOOKUP(E1172,Parameter!$I$35:$J$52,2,0),IFERROR(VLOOKUP(D1172,Parameter!$A$35:$C$64,2,0),"Nein"))</f>
        <v>1</v>
      </c>
      <c r="CE1172" s="64" t="n">
        <f aca="false">IF(CA1172=0,0,IF(N(S1172)&gt;0,S1172,IFERROR(VLOOKUP(D1172,Parameter!$A$35:$C$64,3,0)+0,0)))</f>
        <v>0</v>
      </c>
      <c r="CF1172" s="60" t="n">
        <f aca="false">IF(AB1172&lt;&gt;"",AB1172,AA1172)</f>
        <v>3</v>
      </c>
      <c r="CG1172" s="60" t="str">
        <f aca="false">IF(OR(CF1172=1,CF1172=2,CF1172=3),IF(Parameter!$E$27="Ja","LIFT",IF(CF1172=1,"L1","L23")),IF(CF1172="Aussen","Aussen","-"))</f>
        <v>LIFT</v>
      </c>
      <c r="CH1172" s="71" t="n">
        <f aca="false">IF(N(AC1172)&gt;0,AC1172,0)</f>
        <v>0</v>
      </c>
      <c r="CI1172" s="65" t="n">
        <f aca="false">IF(ISNUMBER(AF1172),1,0)</f>
        <v>0</v>
      </c>
      <c r="CJ1172" s="62" t="n">
        <f aca="false">N(AF1172)</f>
        <v>0</v>
      </c>
      <c r="CK1172" s="62" t="n">
        <f aca="false">N(M1172)+N(N1172)</f>
        <v>1</v>
      </c>
      <c r="CL1172" s="62" t="n">
        <f aca="false">N(M1172)</f>
        <v>0</v>
      </c>
      <c r="CM1172" s="62" t="n">
        <f aca="false">N(N1172)</f>
        <v>1</v>
      </c>
      <c r="CN1172" s="62" t="n">
        <f aca="false">ROUNDUP(H1172/BZ1172,0)</f>
        <v>1</v>
      </c>
      <c r="CO1172" s="62" t="n">
        <f aca="false">ROUNDUP(CJ1172/BZ1172,0)</f>
        <v>0</v>
      </c>
      <c r="CP1172" s="65" t="n">
        <f aca="false">IF(CA1172=1,0,IFERROR(VLOOKUP(BY1172,'Gebinde-Kategorie'!$A$5:$N$45,5,0)+0,0))</f>
        <v>31</v>
      </c>
      <c r="CQ1172" s="65" t="n">
        <f aca="false">IFERROR(IF(OR(CF1172=1,CF1172=2,CF1172=3),N(INDEX(Parameter!$I$5:$I$7,CF1172)),0),0)</f>
        <v>0</v>
      </c>
      <c r="CR1172" s="64" t="n">
        <f aca="false">IF(AND(Parameter!$B$21="Ja",ISNUMBER(W1172),N(X1172)&gt;0),IFERROR(N(INDEX(Parameter!$L$5:$L$7,W1172))*INDEX(Parameter!$E$5:$E$7,W1172)*X1172/SUMIFS($X$7:$X$1843,$W$7:$W$1843,W1172),0),0)</f>
        <v>0</v>
      </c>
      <c r="CS1172" s="62" t="n">
        <f aca="false">IF(AND(OR(CG1172="L1",CG1172="L23",CG1172="LIFT"),H1172&gt;0),CC1172*IF(CR1172&gt;0,CR1172*MAX(1,H1172/X1172),IF(CA1172=1,CE1172,IF(R1172&gt;0,CN1172/R1172,0))/MAX(0.1,N(Parameter!$M$21))),"")</f>
        <v>28.75</v>
      </c>
      <c r="CT1172" s="64" t="n">
        <f aca="false">IF(CS1172="","",J1172/H1172)</f>
        <v>0</v>
      </c>
      <c r="CU1172" s="62" t="n">
        <f aca="false">IF(CS1172="","",H1172*G1172)</f>
        <v>4680</v>
      </c>
      <c r="CV1172" s="63" t="n">
        <f aca="false">IF(CS1172="","",(CL1172+ROUNDUP(CL1172+MAX(CM1172,2*(J1172/MAX(0.1,N(Einkauf!$C$6))-CL1172)),0))/2)</f>
        <v>0.5</v>
      </c>
      <c r="CW1172" s="62" t="n">
        <f aca="false">IF(CS1172="","",MAX(0,H1172-CV1172)*G1172)</f>
        <v>4500</v>
      </c>
      <c r="CX1172" s="62" t="n">
        <f aca="false">IF(CS1172="","",CS1172*MAX(0,1-CV1172/H1172))</f>
        <v>27.6442307692308</v>
      </c>
      <c r="CY1172" s="64" t="n">
        <f aca="false">IF(CS1172="","",PERCENTRANK($CS$7:$CS$1843,CS1172)+PERCENTRANK($CU$7:$CU$1843,CU1172)+1-PERCENTRANK($CT$7:$CT$1843,CT1172))</f>
        <v>2.72</v>
      </c>
      <c r="CZ1172" s="72" t="n">
        <f aca="false">IF(CS1172="","",CHOOSE(MATCH(Einkauf!$C$5,Parameter!$G$23:$G$27,0),CY1172,CS1172,CU1172,-CT1172,CW1172)+ROW()/1000000000)</f>
        <v>2.720001172</v>
      </c>
    </row>
    <row r="1173" customFormat="false" ht="15" hidden="false" customHeight="false" outlineLevel="0" collapsed="false">
      <c r="A1173" s="60" t="s">
        <v>2154</v>
      </c>
      <c r="B1173" s="60" t="s">
        <v>881</v>
      </c>
      <c r="C1173" s="60" t="s">
        <v>498</v>
      </c>
      <c r="D1173" s="60" t="s">
        <v>226</v>
      </c>
      <c r="E1173" s="60" t="s">
        <v>227</v>
      </c>
      <c r="F1173" s="60" t="s">
        <v>260</v>
      </c>
      <c r="G1173" s="61" t="n">
        <v>32.8</v>
      </c>
      <c r="H1173" s="62" t="n">
        <f aca="false">MAX(0,IF(AND(Parameter!$B$21="Ja",ISNUMBER(Y1173)),Y1173,IF(Parameter!$B$20="Jahresanfang 2025 + Export",BS1173+BR1173,BR1173)))</f>
        <v>0</v>
      </c>
      <c r="I1173" s="62" t="n">
        <f aca="false">H1173*G1173</f>
        <v>0</v>
      </c>
      <c r="J1173" s="62" t="n">
        <f aca="false">BU1173*Parameter!$B$18</f>
        <v>0</v>
      </c>
      <c r="K1173" s="63" t="n">
        <v>9.5</v>
      </c>
      <c r="L1173" s="64" t="n">
        <v>0</v>
      </c>
      <c r="M1173" s="62" t="n">
        <v>0</v>
      </c>
      <c r="N1173" s="62" t="n">
        <v>1</v>
      </c>
      <c r="O1173" s="65" t="n">
        <v>28</v>
      </c>
      <c r="P1173" s="60" t="s">
        <v>344</v>
      </c>
      <c r="Q1173" s="62" t="n">
        <v>11</v>
      </c>
      <c r="R1173" s="65" t="n">
        <f aca="false">IF(CA1173=1,0,IFERROR(VLOOKUP(BY1173,'Gebinde-Kategorie'!$A$5:$N$45,13,0)+0,0))</f>
        <v>26</v>
      </c>
      <c r="S1173" s="66"/>
      <c r="T1173" s="67"/>
      <c r="U1173" s="67"/>
      <c r="V1173" s="67"/>
      <c r="W1173" s="60"/>
      <c r="X1173" s="62"/>
      <c r="Y1173" s="62"/>
      <c r="Z1173" s="60" t="n">
        <v>3</v>
      </c>
      <c r="AA1173" s="60" t="n">
        <f aca="false">IF(A1173="","",IF(AND(Parameter!$B$21="Ja",ISNUMBER(W1173)),W1173,IF(AND(Parameter!$E$27="Ja",ISNUMBER(Z1173),CD1173&lt;&gt;"Nein"),Z1173,IF(CD1173="2+3",IF(ISNUMBER(SEARCH("grosser Artikel",BV1173)),2,IFERROR(VLOOKUP(BY1173,Parameter!$F$35:$G$64,2,0),2)),IF(OR(CD1173="Nein",CD1173=""),"-",CD1173)))))</f>
        <v>3</v>
      </c>
      <c r="AB1173" s="67"/>
      <c r="AC1173" s="68"/>
      <c r="AD1173" s="62" t="n">
        <f aca="false">AW1173</f>
        <v>1</v>
      </c>
      <c r="AE1173" s="62" t="n">
        <f aca="false">MAX(AW1173,H1173)</f>
        <v>1</v>
      </c>
      <c r="AF1173" s="69"/>
      <c r="AG1173" s="62" t="n">
        <f aca="false">IF(LEFT(Cockpit!$C$5,1)="A",H1173,IF(Parameter!$E$30="MAX-Bestand",IF(CI1173=1,CJ1173,IF(LEFT(Cockpit!$C$5,1)="B",AM1173,MAX(AM1173,H1173))),ROUNDUP(AK1173,0)))</f>
        <v>0</v>
      </c>
      <c r="AH1173" s="62" t="n">
        <f aca="false">IF(CA1173=1,0,ROUNDUP(AG1173/BZ1173,0))</f>
        <v>0</v>
      </c>
      <c r="AI1173" s="64" t="n">
        <f aca="false">IF(CR1173&gt;0,CR1173*MAX(1,AG1173/X1173),IF(CA1173=1,IF(AG1173&lt;=0,0,CE1173*MAX(1,IF(H1173&gt;0,AG1173/H1173,1))),IF(R1173&gt;0,AH1173/R1173,0))/MAX(0.1,N(Parameter!$M$21)))</f>
        <v>0</v>
      </c>
      <c r="AJ1173" s="62" t="n">
        <f aca="false">AI1173*CC1173</f>
        <v>0</v>
      </c>
      <c r="AK1173" s="63" t="n">
        <f aca="false">IF(LEFT(Cockpit!$C$5,1)="A",H1173,IF(CI1173=1,(CL1173+CJ1173)/2,IF(LEFT(Cockpit!$C$5,1)="B",(CL1173+AM1173)/2,MAX((CL1173+AM1173)/2,H1173))))</f>
        <v>0</v>
      </c>
      <c r="AL1173" s="62" t="n">
        <f aca="false">AK1173*G1173</f>
        <v>0</v>
      </c>
      <c r="AM1173" s="62" t="n">
        <f aca="false">ROUNDUP(CL1173+MAX(CM1173,2*(J1173/IF(CH1173&gt;0,CH1173,MAX(0.1,N(Cockpit!$C$6)))-CL1173)),0)</f>
        <v>1</v>
      </c>
      <c r="AN1173" s="63" t="n">
        <f aca="false">IF(AJ1173&gt;0,J1173/AJ1173,-1)</f>
        <v>-1</v>
      </c>
      <c r="AO1173" s="63" t="str">
        <f aca="false">IF(AND(OR(CG1173="L1",CG1173="L23",CG1173="LIFT"),AJ1173&gt;0),SUMIFS($AJ$7:$AJ$1843,$CG$7:$CG$1843,CG1173,$AN$7:$AN$1843,"&gt;"&amp;AN1173)+SUMIFS($AJ$7:$AJ$1843,$CG$7:$CG$1843,CG1173,$AN$7:$AN$1843,AN1173,$BX$7:$BX$1843,"&lt;="&amp;BX1173),"")</f>
        <v/>
      </c>
      <c r="AP1173" s="70" t="n">
        <f aca="false">IF(AO1173="",0,MAX(0,MIN(1,(IF(CG1173="L1",Parameter!$H$5,IF(CG1173="L23",Parameter!$H$6+Parameter!$H$7,Parameter!$H$5+Parameter!$H$6+Parameter!$H$7))-(AO1173-AJ1173))/AJ1173)))</f>
        <v>0</v>
      </c>
      <c r="AQ1173" s="62" t="n">
        <f aca="false">IF(LEFT(Cockpit!$I$5,1)="A",H1173,IF(Parameter!$E$30="MAX-Bestand",IF(CI1173=1,CJ1173,IF(LEFT(Cockpit!$I$5,1)="B",AW1173,MAX(AW1173,H1173))),ROUNDUP(AU1173,0)))</f>
        <v>1</v>
      </c>
      <c r="AR1173" s="62" t="n">
        <f aca="false">IF(CA1173=1,0,ROUNDUP(AQ1173/BZ1173,0))</f>
        <v>1</v>
      </c>
      <c r="AS1173" s="64" t="n">
        <f aca="false">IF(CR1173&gt;0,CR1173*MAX(1,AQ1173/X1173),IF(CA1173=1,IF(AQ1173&lt;=0,0,CE1173*MAX(1,IF(H1173&gt;0,AQ1173/H1173,1))),IF(R1173&gt;0,AR1173/R1173,0))/MAX(0.1,N(Parameter!$M$21)))</f>
        <v>0.0384615384615385</v>
      </c>
      <c r="AT1173" s="62" t="n">
        <f aca="false">AS1173*CC1173</f>
        <v>5.96153846153846</v>
      </c>
      <c r="AU1173" s="63" t="n">
        <f aca="false">IF(LEFT(Cockpit!$I$5,1)="A",H1173,IF(CI1173=1,(CL1173+CJ1173)/2,IF(LEFT(Cockpit!$I$5,1)="B",(CL1173+AW1173)/2,MAX((CL1173+AW1173)/2,H1173))))</f>
        <v>0.5</v>
      </c>
      <c r="AV1173" s="62" t="n">
        <f aca="false">AU1173*G1173</f>
        <v>16.4</v>
      </c>
      <c r="AW1173" s="62" t="n">
        <f aca="false">ROUNDUP(CL1173+MAX(CM1173,2*(J1173/IF(CH1173&gt;0,CH1173,MAX(0.1,N(Cockpit!$I$6)))-CL1173)),0)</f>
        <v>1</v>
      </c>
      <c r="AX1173" s="63" t="n">
        <f aca="false">IF(AT1173&gt;0,J1173/AT1173,-1)</f>
        <v>0</v>
      </c>
      <c r="AY1173" s="63" t="n">
        <f aca="false">IF(AND(OR(CG1173="L1",CG1173="L23",CG1173="LIFT"),AT1173&gt;0),SUMIFS($AT$7:$AT$1843,$CG$7:$CG$1843,CG1173,$AX$7:$AX$1843,"&gt;"&amp;AX1173)+SUMIFS($AT$7:$AT$1843,$CG$7:$CG$1843,CG1173,$AX$7:$AX$1843,AX1173,$BX$7:$BX$1843,"&lt;="&amp;BX1173),"")</f>
        <v>35198.4061355311</v>
      </c>
      <c r="AZ1173" s="70" t="n">
        <f aca="false">IF(AY1173="",0,MAX(0,MIN(1,(IF(CG1173="L1",Parameter!$H$5,IF(CG1173="L23",Parameter!$H$6+Parameter!$H$7,Parameter!$H$5+Parameter!$H$6+Parameter!$H$7))-(AY1173-AT1173))/AT1173)))</f>
        <v>1</v>
      </c>
      <c r="BA1173" s="62" t="n">
        <f aca="false">IF(LEFT(Cockpit!$O$5,1)="A",H1173,IF(Parameter!$E$30="MAX-Bestand",IF(CI1173=1,CJ1173,IF(LEFT(Cockpit!$O$5,1)="B",BG1173,MAX(BG1173,H1173))),ROUNDUP(BE1173,0)))</f>
        <v>1</v>
      </c>
      <c r="BB1173" s="62" t="n">
        <f aca="false">IF(CA1173=1,0,ROUNDUP(BA1173/BZ1173,0))</f>
        <v>1</v>
      </c>
      <c r="BC1173" s="64" t="n">
        <f aca="false">IF(CR1173&gt;0,CR1173*MAX(1,BA1173/X1173),IF(CA1173=1,IF(BA1173&lt;=0,0,CE1173*MAX(1,IF(H1173&gt;0,BA1173/H1173,1))),IF(R1173&gt;0,BB1173/R1173,0))/MAX(0.1,N(Parameter!$M$21)))</f>
        <v>0.0384615384615385</v>
      </c>
      <c r="BD1173" s="62" t="n">
        <f aca="false">BC1173*CC1173</f>
        <v>5.96153846153846</v>
      </c>
      <c r="BE1173" s="63" t="n">
        <f aca="false">IF(LEFT(Cockpit!$O$5,1)="A",H1173,IF(CI1173=1,(CL1173+CJ1173)/2,IF(LEFT(Cockpit!$O$5,1)="B",(CL1173+BG1173)/2,MAX((CL1173+BG1173)/2,H1173))))</f>
        <v>0.5</v>
      </c>
      <c r="BF1173" s="62" t="n">
        <f aca="false">BE1173*G1173</f>
        <v>16.4</v>
      </c>
      <c r="BG1173" s="62" t="n">
        <f aca="false">ROUNDUP(CL1173+MAX(CM1173,2*(J1173/IF(CH1173&gt;0,CH1173,MAX(0.1,N(Cockpit!$O$6)))-CL1173)),0)</f>
        <v>1</v>
      </c>
      <c r="BH1173" s="63" t="n">
        <f aca="false">IF(BD1173&gt;0,J1173/BD1173,-1)</f>
        <v>0</v>
      </c>
      <c r="BI1173" s="63" t="n">
        <f aca="false">IF(AND(OR(CG1173="L1",CG1173="L23",CG1173="LIFT"),BD1173&gt;0),SUMIFS($BD$7:$BD$1843,$CG$7:$CG$1843,CG1173,$BH$7:$BH$1843,"&gt;"&amp;BH1173)+SUMIFS($BD$7:$BD$1843,$CG$7:$CG$1843,CG1173,$BH$7:$BH$1843,BH1173,$BX$7:$BX$1843,"&lt;="&amp;BX1173),"")</f>
        <v>29183.7127956789</v>
      </c>
      <c r="BJ1173" s="70" t="n">
        <f aca="false">IF(BI1173="",0,MAX(0,MIN(1,(IF(CG1173="L1",Parameter!$H$5,IF(CG1173="L23",Parameter!$H$6+Parameter!$H$7,Parameter!$H$5+Parameter!$H$6+Parameter!$H$7))-(BI1173-BD1173))/BD1173)))</f>
        <v>1</v>
      </c>
      <c r="BK1173" s="60" t="str">
        <f aca="false">IF(AJ1173&lt;=0,"",IF(CG1173="Aussen","Aussenlager",IF(CG1173="-","Nicht im Lift",IF(AP1173&gt;=1,"Lift",IF(AP1173&lt;=0,"Aussenlager","teilweise")))))</f>
        <v/>
      </c>
      <c r="BL1173" s="60" t="str">
        <f aca="false">IF(AT1173&lt;=0,"",IF(CG1173="Aussen","Aussenlager",IF(CG1173="-","Nicht im Lift",IF(AZ1173&gt;=1,"Lift",IF(AZ1173&lt;=0,"Aussenlager","teilweise")))))</f>
        <v>Lift</v>
      </c>
      <c r="BM1173" s="60" t="str">
        <f aca="false">IF(BD1173&lt;=0,"",IF(CG1173="Aussen","Aussenlager",IF(CG1173="-","Nicht im Lift",IF(BJ1173&gt;=1,"Lift",IF(BJ1173&lt;=0,"Aussenlager","teilweise")))))</f>
        <v>Lift</v>
      </c>
      <c r="BN1173" s="60" t="str">
        <f aca="false">IF(A1173="","",IF(BW1173=1,"Neu; ","")&amp;IF(AND(BW1173=0,BR1173&lt;0),"negativer Bestand (Export "&amp;BR1173&amp;"); ","")&amp;IF(J1173&lt;=0,"Kein Verbrauch; ","")&amp;IF(CR1173&gt;0,"Lift "&amp;W1173&amp;" lt. Liftbericht (Fach "&amp;X1173&amp;" Stk); ",IF(CB1173=1,"Gebinde geschätzt ("&amp;T1173&amp;"); ",IF(CA1173=1,"Lose – Tablare geschätzt; ","")))&amp;IF(H1173&gt;AW1173,"Überbestand "&amp;ROUND(H1173-AW1173,0)&amp;" Stk / CHF "&amp;ROUND((H1173-AW1173)*G1173,0)&amp;"; ","")&amp;IF(AND(CI1173=1,CJ1173&lt;CK1173),"MAX &lt; MB+LG; ","")&amp;IF(AND(CQ1173&gt;0,CP1173*10&gt;CQ1173),"zu hoch für Tablar; ","")&amp;IF(AND(BW1173=0,OR(CI1173=1,AB1173&lt;&gt;"",U1173&lt;&gt;"",V1173&lt;&gt;"",AC1173&lt;&gt;"")),"manuell übersteuert; ","")&amp;IF(AND(CA1173=0,R1173=0),"Gebinde unbekannt / Stellmass fehlt; ","")&amp;IF(AND(CA1173=0,N(V1173)&lt;=0,N(Q1173)&lt;=0),"Menge pro Gebinde fehlt (Ist = 1 Gebinde); ","")&amp;BV1173)</f>
        <v>negativer Bestand (Export -11); Kein Verbrauch; </v>
      </c>
      <c r="BO1173" s="60"/>
      <c r="BP1173" s="60"/>
      <c r="BQ1173" s="67"/>
      <c r="BR1173" s="62" t="n">
        <v>-11</v>
      </c>
      <c r="BS1173" s="62" t="n">
        <v>11</v>
      </c>
      <c r="BT1173" s="61" t="n">
        <v>-360.8</v>
      </c>
      <c r="BU1173" s="62" t="n">
        <v>0</v>
      </c>
      <c r="BV1173" s="60"/>
      <c r="BW1173" s="65" t="n">
        <v>0</v>
      </c>
      <c r="BX1173" s="65" t="n">
        <v>1173</v>
      </c>
      <c r="BY1173" s="60" t="str">
        <f aca="false">IF(U1173&lt;&gt;"",UPPER(TRIM(U1173)),IF(CB1173=1,UPPER(VLOOKUP(T1173,Parameter!$I$27:$K$29,2,0)),IF(P1173="","LOSE",P1173)))</f>
        <v>S51</v>
      </c>
      <c r="BZ1173" s="62" t="n">
        <f aca="false">IF(BY1173="LOSE",1,IF(N(V1173)&gt;0,V1173,IF(CB1173=1,MAX(1,N(VLOOKUP(T1173,Parameter!$I$27:$K$29,3,0)),H1173,N(N1173)),IF(N(Q1173)&gt;0,Q1173,MAX(1,H1173)))))</f>
        <v>11</v>
      </c>
      <c r="CA1173" s="65" t="n">
        <f aca="false">IF(BY1173="LOSE",1,0)</f>
        <v>0</v>
      </c>
      <c r="CB1173" s="65" t="n">
        <f aca="false">IF(AND(U1173="",OR(P1173="",P1173="LOSE"),T1173&lt;&gt;"",N(S1173)&lt;=0,ISNUMBER(MATCH(T1173,Parameter!$I$27:$I$29,0))),1,0)</f>
        <v>0</v>
      </c>
      <c r="CC1173" s="65" t="n">
        <f aca="false">IF(CR1173&gt;0,INDEX(Parameter!$H$5:$H$7,W1173)/INDEX(Parameter!$E$5:$E$7,W1173),IF(AND(CA1173=0,N(IFERROR(VLOOKUP(BY1173,'Gebinde-Kategorie'!$A$5:$N$45,14,0),0))&gt;0),VLOOKUP(BY1173,'Gebinde-Kategorie'!$A$5:$N$45,14,0)*10+Parameter!$M$23,Parameter!$M$24))</f>
        <v>155</v>
      </c>
      <c r="CD1173" s="60" t="str">
        <f aca="false">IF(AND(Parameter!$B$19="Ja",E1173&lt;&gt;"",ISNUMBER(MATCH(E1173,Parameter!$I$35:$I$52,0))),VLOOKUP(E1173,Parameter!$I$35:$J$52,2,0),IFERROR(VLOOKUP(D1173,Parameter!$A$35:$C$64,2,0),"Nein"))</f>
        <v>2+3</v>
      </c>
      <c r="CE1173" s="64" t="n">
        <f aca="false">IF(CA1173=0,0,IF(N(S1173)&gt;0,S1173,IFERROR(VLOOKUP(D1173,Parameter!$A$35:$C$64,3,0)+0,0)))</f>
        <v>0</v>
      </c>
      <c r="CF1173" s="60" t="n">
        <f aca="false">IF(AB1173&lt;&gt;"",AB1173,AA1173)</f>
        <v>3</v>
      </c>
      <c r="CG1173" s="60" t="str">
        <f aca="false">IF(OR(CF1173=1,CF1173=2,CF1173=3),IF(Parameter!$E$27="Ja","LIFT",IF(CF1173=1,"L1","L23")),IF(CF1173="Aussen","Aussen","-"))</f>
        <v>LIFT</v>
      </c>
      <c r="CH1173" s="71" t="n">
        <f aca="false">IF(N(AC1173)&gt;0,AC1173,0)</f>
        <v>0</v>
      </c>
      <c r="CI1173" s="65" t="n">
        <f aca="false">IF(ISNUMBER(AF1173),1,0)</f>
        <v>0</v>
      </c>
      <c r="CJ1173" s="62" t="n">
        <f aca="false">N(AF1173)</f>
        <v>0</v>
      </c>
      <c r="CK1173" s="62" t="n">
        <f aca="false">N(M1173)+N(N1173)</f>
        <v>1</v>
      </c>
      <c r="CL1173" s="62" t="n">
        <f aca="false">N(M1173)</f>
        <v>0</v>
      </c>
      <c r="CM1173" s="62" t="n">
        <f aca="false">N(N1173)</f>
        <v>1</v>
      </c>
      <c r="CN1173" s="62" t="n">
        <f aca="false">ROUNDUP(H1173/BZ1173,0)</f>
        <v>0</v>
      </c>
      <c r="CO1173" s="62" t="n">
        <f aca="false">ROUNDUP(CJ1173/BZ1173,0)</f>
        <v>0</v>
      </c>
      <c r="CP1173" s="65" t="n">
        <f aca="false">IF(CA1173=1,0,IFERROR(VLOOKUP(BY1173,'Gebinde-Kategorie'!$A$5:$N$45,5,0)+0,0))</f>
        <v>11</v>
      </c>
      <c r="CQ1173" s="65" t="n">
        <f aca="false">IFERROR(IF(OR(CF1173=1,CF1173=2,CF1173=3),N(INDEX(Parameter!$I$5:$I$7,CF1173)),0),0)</f>
        <v>0</v>
      </c>
      <c r="CR1173" s="64" t="n">
        <f aca="false">IF(AND(Parameter!$B$21="Ja",ISNUMBER(W1173),N(X1173)&gt;0),IFERROR(N(INDEX(Parameter!$L$5:$L$7,W1173))*INDEX(Parameter!$E$5:$E$7,W1173)*X1173/SUMIFS($X$7:$X$1843,$W$7:$W$1843,W1173),0),0)</f>
        <v>0</v>
      </c>
      <c r="CS1173" s="62" t="str">
        <f aca="false">IF(AND(OR(CG1173="L1",CG1173="L23",CG1173="LIFT"),H1173&gt;0),CC1173*IF(CR1173&gt;0,CR1173*MAX(1,H1173/X1173),IF(CA1173=1,CE1173,IF(R1173&gt;0,CN1173/R1173,0))/MAX(0.1,N(Parameter!$M$21))),"")</f>
        <v/>
      </c>
      <c r="CT1173" s="64" t="str">
        <f aca="false">IF(CS1173="","",J1173/H1173)</f>
        <v/>
      </c>
      <c r="CU1173" s="62" t="str">
        <f aca="false">IF(CS1173="","",H1173*G1173)</f>
        <v/>
      </c>
      <c r="CV1173" s="63" t="str">
        <f aca="false">IF(CS1173="","",(CL1173+ROUNDUP(CL1173+MAX(CM1173,2*(J1173/MAX(0.1,N(Einkauf!$C$6))-CL1173)),0))/2)</f>
        <v/>
      </c>
      <c r="CW1173" s="62" t="str">
        <f aca="false">IF(CS1173="","",MAX(0,H1173-CV1173)*G1173)</f>
        <v/>
      </c>
      <c r="CX1173" s="62" t="str">
        <f aca="false">IF(CS1173="","",CS1173*MAX(0,1-CV1173/H1173))</f>
        <v/>
      </c>
      <c r="CY1173" s="64" t="str">
        <f aca="false">IF(CS1173="","",PERCENTRANK($CS$7:$CS$1843,CS1173)+PERCENTRANK($CU$7:$CU$1843,CU1173)+1-PERCENTRANK($CT$7:$CT$1843,CT1173))</f>
        <v/>
      </c>
      <c r="CZ1173" s="72" t="str">
        <f aca="false">IF(CS1173="","",CHOOSE(MATCH(Einkauf!$C$5,Parameter!$G$23:$G$27,0),CY1173,CS1173,CU1173,-CT1173,CW1173)+ROW()/1000000000)</f>
        <v/>
      </c>
    </row>
    <row r="1174" customFormat="false" ht="15" hidden="false" customHeight="false" outlineLevel="0" collapsed="false">
      <c r="A1174" s="60" t="s">
        <v>2155</v>
      </c>
      <c r="B1174" s="60" t="s">
        <v>2156</v>
      </c>
      <c r="C1174" s="60" t="s">
        <v>206</v>
      </c>
      <c r="D1174" s="60" t="s">
        <v>226</v>
      </c>
      <c r="E1174" s="60" t="s">
        <v>227</v>
      </c>
      <c r="F1174" s="60" t="s">
        <v>260</v>
      </c>
      <c r="G1174" s="61" t="n">
        <v>369.23</v>
      </c>
      <c r="H1174" s="62" t="n">
        <f aca="false">MAX(0,IF(AND(Parameter!$B$21="Ja",ISNUMBER(Y1174)),Y1174,IF(Parameter!$B$20="Jahresanfang 2025 + Export",BS1174+BR1174,BR1174)))</f>
        <v>5</v>
      </c>
      <c r="I1174" s="62" t="n">
        <f aca="false">H1174*G1174</f>
        <v>1846.15</v>
      </c>
      <c r="J1174" s="62" t="n">
        <f aca="false">BU1174*Parameter!$B$18</f>
        <v>3</v>
      </c>
      <c r="K1174" s="63" t="n">
        <v>6.5</v>
      </c>
      <c r="L1174" s="64" t="n">
        <v>0.461538461538462</v>
      </c>
      <c r="M1174" s="62" t="n">
        <v>0</v>
      </c>
      <c r="N1174" s="62" t="n">
        <v>5</v>
      </c>
      <c r="O1174" s="65" t="n">
        <v>28</v>
      </c>
      <c r="P1174" s="60" t="s">
        <v>268</v>
      </c>
      <c r="Q1174" s="62" t="n">
        <v>4</v>
      </c>
      <c r="R1174" s="65" t="n">
        <f aca="false">IF(CA1174=1,0,IFERROR(VLOOKUP(BY1174,'Gebinde-Kategorie'!$A$5:$N$45,13,0)+0,0))</f>
        <v>12</v>
      </c>
      <c r="S1174" s="66"/>
      <c r="T1174" s="67"/>
      <c r="U1174" s="67"/>
      <c r="V1174" s="67"/>
      <c r="W1174" s="60"/>
      <c r="X1174" s="62"/>
      <c r="Y1174" s="62"/>
      <c r="Z1174" s="60" t="n">
        <v>3</v>
      </c>
      <c r="AA1174" s="60" t="n">
        <f aca="false">IF(A1174="","",IF(AND(Parameter!$B$21="Ja",ISNUMBER(W1174)),W1174,IF(AND(Parameter!$E$27="Ja",ISNUMBER(Z1174),CD1174&lt;&gt;"Nein"),Z1174,IF(CD1174="2+3",IF(ISNUMBER(SEARCH("grosser Artikel",BV1174)),2,IFERROR(VLOOKUP(BY1174,Parameter!$F$35:$G$64,2,0),2)),IF(OR(CD1174="Nein",CD1174=""),"-",CD1174)))))</f>
        <v>3</v>
      </c>
      <c r="AB1174" s="67"/>
      <c r="AC1174" s="68"/>
      <c r="AD1174" s="62" t="n">
        <f aca="false">AW1174</f>
        <v>5</v>
      </c>
      <c r="AE1174" s="62" t="n">
        <f aca="false">MAX(AW1174,H1174)</f>
        <v>5</v>
      </c>
      <c r="AF1174" s="69"/>
      <c r="AG1174" s="62" t="n">
        <f aca="false">IF(LEFT(Cockpit!$C$5,1)="A",H1174,IF(Parameter!$E$30="MAX-Bestand",IF(CI1174=1,CJ1174,IF(LEFT(Cockpit!$C$5,1)="B",AM1174,MAX(AM1174,H1174))),ROUNDUP(AK1174,0)))</f>
        <v>5</v>
      </c>
      <c r="AH1174" s="62" t="n">
        <f aca="false">IF(CA1174=1,0,ROUNDUP(AG1174/BZ1174,0))</f>
        <v>2</v>
      </c>
      <c r="AI1174" s="64" t="n">
        <f aca="false">IF(CR1174&gt;0,CR1174*MAX(1,AG1174/X1174),IF(CA1174=1,IF(AG1174&lt;=0,0,CE1174*MAX(1,IF(H1174&gt;0,AG1174/H1174,1))),IF(R1174&gt;0,AH1174/R1174,0))/MAX(0.1,N(Parameter!$M$21)))</f>
        <v>0.166666666666667</v>
      </c>
      <c r="AJ1174" s="62" t="n">
        <f aca="false">AI1174*CC1174</f>
        <v>57.5</v>
      </c>
      <c r="AK1174" s="63" t="n">
        <f aca="false">IF(LEFT(Cockpit!$C$5,1)="A",H1174,IF(CI1174=1,(CL1174+CJ1174)/2,IF(LEFT(Cockpit!$C$5,1)="B",(CL1174+AM1174)/2,MAX((CL1174+AM1174)/2,H1174))))</f>
        <v>5</v>
      </c>
      <c r="AL1174" s="62" t="n">
        <f aca="false">AK1174*G1174</f>
        <v>1846.15</v>
      </c>
      <c r="AM1174" s="62" t="n">
        <f aca="false">ROUNDUP(CL1174+MAX(CM1174,2*(J1174/IF(CH1174&gt;0,CH1174,MAX(0.1,N(Cockpit!$C$6)))-CL1174)),0)</f>
        <v>5</v>
      </c>
      <c r="AN1174" s="63" t="n">
        <f aca="false">IF(AJ1174&gt;0,J1174/AJ1174,-1)</f>
        <v>0.0521739130434783</v>
      </c>
      <c r="AO1174" s="63" t="n">
        <f aca="false">IF(AND(OR(CG1174="L1",CG1174="L23",CG1174="LIFT"),AJ1174&gt;0),SUMIFS($AJ$7:$AJ$1843,$CG$7:$CG$1843,CG1174,$AN$7:$AN$1843,"&gt;"&amp;AN1174)+SUMIFS($AJ$7:$AJ$1843,$CG$7:$CG$1843,CG1174,$AN$7:$AN$1843,AN1174,$BX$7:$BX$1843,"&lt;="&amp;BX1174),"")</f>
        <v>19141.5624547298</v>
      </c>
      <c r="AP1174" s="70" t="n">
        <f aca="false">IF(AO1174="",0,MAX(0,MIN(1,(IF(CG1174="L1",Parameter!$H$5,IF(CG1174="L23",Parameter!$H$6+Parameter!$H$7,Parameter!$H$5+Parameter!$H$6+Parameter!$H$7))-(AO1174-AJ1174))/AJ1174)))</f>
        <v>1</v>
      </c>
      <c r="AQ1174" s="62" t="n">
        <f aca="false">IF(LEFT(Cockpit!$I$5,1)="A",H1174,IF(Parameter!$E$30="MAX-Bestand",IF(CI1174=1,CJ1174,IF(LEFT(Cockpit!$I$5,1)="B",AW1174,MAX(AW1174,H1174))),ROUNDUP(AU1174,0)))</f>
        <v>5</v>
      </c>
      <c r="AR1174" s="62" t="n">
        <f aca="false">IF(CA1174=1,0,ROUNDUP(AQ1174/BZ1174,0))</f>
        <v>2</v>
      </c>
      <c r="AS1174" s="64" t="n">
        <f aca="false">IF(CR1174&gt;0,CR1174*MAX(1,AQ1174/X1174),IF(CA1174=1,IF(AQ1174&lt;=0,0,CE1174*MAX(1,IF(H1174&gt;0,AQ1174/H1174,1))),IF(R1174&gt;0,AR1174/R1174,0))/MAX(0.1,N(Parameter!$M$21)))</f>
        <v>0.166666666666667</v>
      </c>
      <c r="AT1174" s="62" t="n">
        <f aca="false">AS1174*CC1174</f>
        <v>57.5</v>
      </c>
      <c r="AU1174" s="63" t="n">
        <f aca="false">IF(LEFT(Cockpit!$I$5,1)="A",H1174,IF(CI1174=1,(CL1174+CJ1174)/2,IF(LEFT(Cockpit!$I$5,1)="B",(CL1174+AW1174)/2,MAX((CL1174+AW1174)/2,H1174))))</f>
        <v>5</v>
      </c>
      <c r="AV1174" s="62" t="n">
        <f aca="false">AU1174*G1174</f>
        <v>1846.15</v>
      </c>
      <c r="AW1174" s="62" t="n">
        <f aca="false">ROUNDUP(CL1174+MAX(CM1174,2*(J1174/IF(CH1174&gt;0,CH1174,MAX(0.1,N(Cockpit!$I$6)))-CL1174)),0)</f>
        <v>5</v>
      </c>
      <c r="AX1174" s="63" t="n">
        <f aca="false">IF(AT1174&gt;0,J1174/AT1174,-1)</f>
        <v>0.0521739130434783</v>
      </c>
      <c r="AY1174" s="63" t="n">
        <f aca="false">IF(AND(OR(CG1174="L1",CG1174="L23",CG1174="LIFT"),AT1174&gt;0),SUMIFS($AT$7:$AT$1843,$CG$7:$CG$1843,CG1174,$AX$7:$AX$1843,"&gt;"&amp;AX1174)+SUMIFS($AT$7:$AT$1843,$CG$7:$CG$1843,CG1174,$AX$7:$AX$1843,AX1174,$BX$7:$BX$1843,"&lt;="&amp;BX1174),"")</f>
        <v>24259.7110961073</v>
      </c>
      <c r="AZ1174" s="70" t="n">
        <f aca="false">IF(AY1174="",0,MAX(0,MIN(1,(IF(CG1174="L1",Parameter!$H$5,IF(CG1174="L23",Parameter!$H$6+Parameter!$H$7,Parameter!$H$5+Parameter!$H$6+Parameter!$H$7))-(AY1174-AT1174))/AT1174)))</f>
        <v>1</v>
      </c>
      <c r="BA1174" s="62" t="n">
        <f aca="false">IF(LEFT(Cockpit!$O$5,1)="A",H1174,IF(Parameter!$E$30="MAX-Bestand",IF(CI1174=1,CJ1174,IF(LEFT(Cockpit!$O$5,1)="B",BG1174,MAX(BG1174,H1174))),ROUNDUP(BE1174,0)))</f>
        <v>3</v>
      </c>
      <c r="BB1174" s="62" t="n">
        <f aca="false">IF(CA1174=1,0,ROUNDUP(BA1174/BZ1174,0))</f>
        <v>1</v>
      </c>
      <c r="BC1174" s="64" t="n">
        <f aca="false">IF(CR1174&gt;0,CR1174*MAX(1,BA1174/X1174),IF(CA1174=1,IF(BA1174&lt;=0,0,CE1174*MAX(1,IF(H1174&gt;0,BA1174/H1174,1))),IF(R1174&gt;0,BB1174/R1174,0))/MAX(0.1,N(Parameter!$M$21)))</f>
        <v>0.0833333333333333</v>
      </c>
      <c r="BD1174" s="62" t="n">
        <f aca="false">BC1174*CC1174</f>
        <v>28.75</v>
      </c>
      <c r="BE1174" s="63" t="n">
        <f aca="false">IF(LEFT(Cockpit!$O$5,1)="A",H1174,IF(CI1174=1,(CL1174+CJ1174)/2,IF(LEFT(Cockpit!$O$5,1)="B",(CL1174+BG1174)/2,MAX((CL1174+BG1174)/2,H1174))))</f>
        <v>2.5</v>
      </c>
      <c r="BF1174" s="62" t="n">
        <f aca="false">BE1174*G1174</f>
        <v>923.075</v>
      </c>
      <c r="BG1174" s="62" t="n">
        <f aca="false">ROUNDUP(CL1174+MAX(CM1174,2*(J1174/IF(CH1174&gt;0,CH1174,MAX(0.1,N(Cockpit!$O$6)))-CL1174)),0)</f>
        <v>5</v>
      </c>
      <c r="BH1174" s="63" t="n">
        <f aca="false">IF(BD1174&gt;0,J1174/BD1174,-1)</f>
        <v>0.104347826086957</v>
      </c>
      <c r="BI1174" s="63" t="n">
        <f aca="false">IF(AND(OR(CG1174="L1",CG1174="L23",CG1174="LIFT"),BD1174&gt;0),SUMIFS($BD$7:$BD$1843,$CG$7:$CG$1843,CG1174,$BH$7:$BH$1843,"&gt;"&amp;BH1174)+SUMIFS($BD$7:$BD$1843,$CG$7:$CG$1843,CG1174,$BH$7:$BH$1843,BH1174,$BX$7:$BX$1843,"&lt;="&amp;BX1174),"")</f>
        <v>17272.8956845885</v>
      </c>
      <c r="BJ1174" s="70" t="n">
        <f aca="false">IF(BI1174="",0,MAX(0,MIN(1,(IF(CG1174="L1",Parameter!$H$5,IF(CG1174="L23",Parameter!$H$6+Parameter!$H$7,Parameter!$H$5+Parameter!$H$6+Parameter!$H$7))-(BI1174-BD1174))/BD1174)))</f>
        <v>1</v>
      </c>
      <c r="BK1174" s="60" t="str">
        <f aca="false">IF(AJ1174&lt;=0,"",IF(CG1174="Aussen","Aussenlager",IF(CG1174="-","Nicht im Lift",IF(AP1174&gt;=1,"Lift",IF(AP1174&lt;=0,"Aussenlager","teilweise")))))</f>
        <v>Lift</v>
      </c>
      <c r="BL1174" s="60" t="str">
        <f aca="false">IF(AT1174&lt;=0,"",IF(CG1174="Aussen","Aussenlager",IF(CG1174="-","Nicht im Lift",IF(AZ1174&gt;=1,"Lift",IF(AZ1174&lt;=0,"Aussenlager","teilweise")))))</f>
        <v>Lift</v>
      </c>
      <c r="BM1174" s="60" t="str">
        <f aca="false">IF(BD1174&lt;=0,"",IF(CG1174="Aussen","Aussenlager",IF(CG1174="-","Nicht im Lift",IF(BJ1174&gt;=1,"Lift",IF(BJ1174&lt;=0,"Aussenlager","teilweise")))))</f>
        <v>Lift</v>
      </c>
      <c r="BN1174" s="60" t="str">
        <f aca="false">IF(A1174="","",IF(BW1174=1,"Neu; ","")&amp;IF(AND(BW1174=0,BR1174&lt;0),"negativer Bestand (Export "&amp;BR1174&amp;"); ","")&amp;IF(J1174&lt;=0,"Kein Verbrauch; ","")&amp;IF(CR1174&gt;0,"Lift "&amp;W1174&amp;" lt. Liftbericht (Fach "&amp;X1174&amp;" Stk); ",IF(CB1174=1,"Gebinde geschätzt ("&amp;T1174&amp;"); ",IF(CA1174=1,"Lose – Tablare geschätzt; ","")))&amp;IF(H1174&gt;AW1174,"Überbestand "&amp;ROUND(H1174-AW1174,0)&amp;" Stk / CHF "&amp;ROUND((H1174-AW1174)*G1174,0)&amp;"; ","")&amp;IF(AND(CI1174=1,CJ1174&lt;CK1174),"MAX &lt; MB+LG; ","")&amp;IF(AND(CQ1174&gt;0,CP1174*10&gt;CQ1174),"zu hoch für Tablar; ","")&amp;IF(AND(BW1174=0,OR(CI1174=1,AB1174&lt;&gt;"",U1174&lt;&gt;"",V1174&lt;&gt;"",AC1174&lt;&gt;"")),"manuell übersteuert; ","")&amp;IF(AND(CA1174=0,R1174=0),"Gebinde unbekannt / Stellmass fehlt; ","")&amp;IF(AND(CA1174=0,N(V1174)&lt;=0,N(Q1174)&lt;=0),"Menge pro Gebinde fehlt (Ist = 1 Gebinde); ","")&amp;BV1174)</f>
        <v>negativer Bestand (Export -1); nicht im KTL vorhanden</v>
      </c>
      <c r="BO1174" s="60"/>
      <c r="BP1174" s="60"/>
      <c r="BQ1174" s="67"/>
      <c r="BR1174" s="62" t="n">
        <v>-1</v>
      </c>
      <c r="BS1174" s="62" t="n">
        <v>6</v>
      </c>
      <c r="BT1174" s="61" t="n">
        <v>-363.89</v>
      </c>
      <c r="BU1174" s="62" t="n">
        <v>3</v>
      </c>
      <c r="BV1174" s="60" t="s">
        <v>272</v>
      </c>
      <c r="BW1174" s="65" t="n">
        <v>0</v>
      </c>
      <c r="BX1174" s="65" t="n">
        <v>1174</v>
      </c>
      <c r="BY1174" s="60" t="str">
        <f aca="false">IF(U1174&lt;&gt;"",UPPER(TRIM(U1174)),IF(CB1174=1,UPPER(VLOOKUP(T1174,Parameter!$I$27:$K$29,2,0)),IF(P1174="","LOSE",P1174)))</f>
        <v>S63</v>
      </c>
      <c r="BZ1174" s="62" t="n">
        <f aca="false">IF(BY1174="LOSE",1,IF(N(V1174)&gt;0,V1174,IF(CB1174=1,MAX(1,N(VLOOKUP(T1174,Parameter!$I$27:$K$29,3,0)),H1174,N(N1174)),IF(N(Q1174)&gt;0,Q1174,MAX(1,H1174)))))</f>
        <v>4</v>
      </c>
      <c r="CA1174" s="65" t="n">
        <f aca="false">IF(BY1174="LOSE",1,0)</f>
        <v>0</v>
      </c>
      <c r="CB1174" s="65" t="n">
        <f aca="false">IF(AND(U1174="",OR(P1174="",P1174="LOSE"),T1174&lt;&gt;"",N(S1174)&lt;=0,ISNUMBER(MATCH(T1174,Parameter!$I$27:$I$29,0))),1,0)</f>
        <v>0</v>
      </c>
      <c r="CC1174" s="65" t="n">
        <f aca="false">IF(CR1174&gt;0,INDEX(Parameter!$H$5:$H$7,W1174)/INDEX(Parameter!$E$5:$E$7,W1174),IF(AND(CA1174=0,N(IFERROR(VLOOKUP(BY1174,'Gebinde-Kategorie'!$A$5:$N$45,14,0),0))&gt;0),VLOOKUP(BY1174,'Gebinde-Kategorie'!$A$5:$N$45,14,0)*10+Parameter!$M$23,Parameter!$M$24))</f>
        <v>345</v>
      </c>
      <c r="CD1174" s="60" t="str">
        <f aca="false">IF(AND(Parameter!$B$19="Ja",E1174&lt;&gt;"",ISNUMBER(MATCH(E1174,Parameter!$I$35:$I$52,0))),VLOOKUP(E1174,Parameter!$I$35:$J$52,2,0),IFERROR(VLOOKUP(D1174,Parameter!$A$35:$C$64,2,0),"Nein"))</f>
        <v>2+3</v>
      </c>
      <c r="CE1174" s="64" t="n">
        <f aca="false">IF(CA1174=0,0,IF(N(S1174)&gt;0,S1174,IFERROR(VLOOKUP(D1174,Parameter!$A$35:$C$64,3,0)+0,0)))</f>
        <v>0</v>
      </c>
      <c r="CF1174" s="60" t="n">
        <f aca="false">IF(AB1174&lt;&gt;"",AB1174,AA1174)</f>
        <v>3</v>
      </c>
      <c r="CG1174" s="60" t="str">
        <f aca="false">IF(OR(CF1174=1,CF1174=2,CF1174=3),IF(Parameter!$E$27="Ja","LIFT",IF(CF1174=1,"L1","L23")),IF(CF1174="Aussen","Aussen","-"))</f>
        <v>LIFT</v>
      </c>
      <c r="CH1174" s="71" t="n">
        <f aca="false">IF(N(AC1174)&gt;0,AC1174,0)</f>
        <v>0</v>
      </c>
      <c r="CI1174" s="65" t="n">
        <f aca="false">IF(ISNUMBER(AF1174),1,0)</f>
        <v>0</v>
      </c>
      <c r="CJ1174" s="62" t="n">
        <f aca="false">N(AF1174)</f>
        <v>0</v>
      </c>
      <c r="CK1174" s="62" t="n">
        <f aca="false">N(M1174)+N(N1174)</f>
        <v>5</v>
      </c>
      <c r="CL1174" s="62" t="n">
        <f aca="false">N(M1174)</f>
        <v>0</v>
      </c>
      <c r="CM1174" s="62" t="n">
        <f aca="false">N(N1174)</f>
        <v>5</v>
      </c>
      <c r="CN1174" s="62" t="n">
        <f aca="false">ROUNDUP(H1174/BZ1174,0)</f>
        <v>2</v>
      </c>
      <c r="CO1174" s="62" t="n">
        <f aca="false">ROUNDUP(CJ1174/BZ1174,0)</f>
        <v>0</v>
      </c>
      <c r="CP1174" s="65" t="n">
        <f aca="false">IF(CA1174=1,0,IFERROR(VLOOKUP(BY1174,'Gebinde-Kategorie'!$A$5:$N$45,5,0)+0,0))</f>
        <v>31</v>
      </c>
      <c r="CQ1174" s="65" t="n">
        <f aca="false">IFERROR(IF(OR(CF1174=1,CF1174=2,CF1174=3),N(INDEX(Parameter!$I$5:$I$7,CF1174)),0),0)</f>
        <v>0</v>
      </c>
      <c r="CR1174" s="64" t="n">
        <f aca="false">IF(AND(Parameter!$B$21="Ja",ISNUMBER(W1174),N(X1174)&gt;0),IFERROR(N(INDEX(Parameter!$L$5:$L$7,W1174))*INDEX(Parameter!$E$5:$E$7,W1174)*X1174/SUMIFS($X$7:$X$1843,$W$7:$W$1843,W1174),0),0)</f>
        <v>0</v>
      </c>
      <c r="CS1174" s="62" t="n">
        <f aca="false">IF(AND(OR(CG1174="L1",CG1174="L23",CG1174="LIFT"),H1174&gt;0),CC1174*IF(CR1174&gt;0,CR1174*MAX(1,H1174/X1174),IF(CA1174=1,CE1174,IF(R1174&gt;0,CN1174/R1174,0))/MAX(0.1,N(Parameter!$M$21))),"")</f>
        <v>57.5</v>
      </c>
      <c r="CT1174" s="64" t="n">
        <f aca="false">IF(CS1174="","",J1174/H1174)</f>
        <v>0.6</v>
      </c>
      <c r="CU1174" s="62" t="n">
        <f aca="false">IF(CS1174="","",H1174*G1174)</f>
        <v>1846.15</v>
      </c>
      <c r="CV1174" s="63" t="n">
        <f aca="false">IF(CS1174="","",(CL1174+ROUNDUP(CL1174+MAX(CM1174,2*(J1174/MAX(0.1,N(Einkauf!$C$6))-CL1174)),0))/2)</f>
        <v>2.5</v>
      </c>
      <c r="CW1174" s="62" t="n">
        <f aca="false">IF(CS1174="","",MAX(0,H1174-CV1174)*G1174)</f>
        <v>923.075</v>
      </c>
      <c r="CX1174" s="62" t="n">
        <f aca="false">IF(CS1174="","",CS1174*MAX(0,1-CV1174/H1174))</f>
        <v>28.75</v>
      </c>
      <c r="CY1174" s="64" t="n">
        <f aca="false">IF(CS1174="","",PERCENTRANK($CS$7:$CS$1843,CS1174)+PERCENTRANK($CU$7:$CU$1843,CU1174)+1-PERCENTRANK($CT$7:$CT$1843,CT1174))</f>
        <v>2.098</v>
      </c>
      <c r="CZ1174" s="72" t="n">
        <f aca="false">IF(CS1174="","",CHOOSE(MATCH(Einkauf!$C$5,Parameter!$G$23:$G$27,0),CY1174,CS1174,CU1174,-CT1174,CW1174)+ROW()/1000000000)</f>
        <v>2.098001174</v>
      </c>
    </row>
    <row r="1175" customFormat="false" ht="15" hidden="false" customHeight="false" outlineLevel="0" collapsed="false">
      <c r="A1175" s="60" t="s">
        <v>2157</v>
      </c>
      <c r="B1175" s="60" t="s">
        <v>2158</v>
      </c>
      <c r="C1175" s="60" t="s">
        <v>206</v>
      </c>
      <c r="D1175" s="60" t="s">
        <v>226</v>
      </c>
      <c r="E1175" s="60"/>
      <c r="F1175" s="60" t="s">
        <v>260</v>
      </c>
      <c r="G1175" s="61" t="n">
        <v>31.84</v>
      </c>
      <c r="H1175" s="62" t="n">
        <f aca="false">MAX(0,IF(AND(Parameter!$B$21="Ja",ISNUMBER(Y1175)),Y1175,IF(Parameter!$B$20="Jahresanfang 2025 + Export",BS1175+BR1175,BR1175)))</f>
        <v>0</v>
      </c>
      <c r="I1175" s="62" t="n">
        <f aca="false">H1175*G1175</f>
        <v>0</v>
      </c>
      <c r="J1175" s="62" t="n">
        <f aca="false">BU1175*Parameter!$B$18</f>
        <v>10</v>
      </c>
      <c r="K1175" s="63" t="n">
        <v>6</v>
      </c>
      <c r="L1175" s="64" t="n">
        <v>1.66666666666667</v>
      </c>
      <c r="M1175" s="62" t="n">
        <v>0</v>
      </c>
      <c r="N1175" s="62" t="n">
        <v>10</v>
      </c>
      <c r="O1175" s="65" t="n">
        <v>14</v>
      </c>
      <c r="P1175" s="60" t="s">
        <v>210</v>
      </c>
      <c r="Q1175" s="62"/>
      <c r="R1175" s="65" t="n">
        <f aca="false">IF(CA1175=1,0,IFERROR(VLOOKUP(BY1175,'Gebinde-Kategorie'!$A$5:$N$45,13,0)+0,0))</f>
        <v>26</v>
      </c>
      <c r="S1175" s="66"/>
      <c r="T1175" s="67" t="s">
        <v>317</v>
      </c>
      <c r="U1175" s="67"/>
      <c r="V1175" s="67"/>
      <c r="W1175" s="60"/>
      <c r="X1175" s="62"/>
      <c r="Y1175" s="62"/>
      <c r="Z1175" s="60" t="n">
        <v>3</v>
      </c>
      <c r="AA1175" s="60" t="n">
        <f aca="false">IF(A1175="","",IF(AND(Parameter!$B$21="Ja",ISNUMBER(W1175)),W1175,IF(AND(Parameter!$E$27="Ja",ISNUMBER(Z1175),CD1175&lt;&gt;"Nein"),Z1175,IF(CD1175="2+3",IF(ISNUMBER(SEARCH("grosser Artikel",BV1175)),2,IFERROR(VLOOKUP(BY1175,Parameter!$F$35:$G$64,2,0),2)),IF(OR(CD1175="Nein",CD1175=""),"-",CD1175)))))</f>
        <v>3</v>
      </c>
      <c r="AB1175" s="67"/>
      <c r="AC1175" s="68"/>
      <c r="AD1175" s="62" t="n">
        <f aca="false">AW1175</f>
        <v>10</v>
      </c>
      <c r="AE1175" s="62" t="n">
        <f aca="false">MAX(AW1175,H1175)</f>
        <v>10</v>
      </c>
      <c r="AF1175" s="69"/>
      <c r="AG1175" s="62" t="n">
        <f aca="false">IF(LEFT(Cockpit!$C$5,1)="A",H1175,IF(Parameter!$E$30="MAX-Bestand",IF(CI1175=1,CJ1175,IF(LEFT(Cockpit!$C$5,1)="B",AM1175,MAX(AM1175,H1175))),ROUNDUP(AK1175,0)))</f>
        <v>0</v>
      </c>
      <c r="AH1175" s="62" t="n">
        <f aca="false">IF(CA1175=1,0,ROUNDUP(AG1175/BZ1175,0))</f>
        <v>0</v>
      </c>
      <c r="AI1175" s="64" t="n">
        <f aca="false">IF(CR1175&gt;0,CR1175*MAX(1,AG1175/X1175),IF(CA1175=1,IF(AG1175&lt;=0,0,CE1175*MAX(1,IF(H1175&gt;0,AG1175/H1175,1))),IF(R1175&gt;0,AH1175/R1175,0))/MAX(0.1,N(Parameter!$M$21)))</f>
        <v>0</v>
      </c>
      <c r="AJ1175" s="62" t="n">
        <f aca="false">AI1175*CC1175</f>
        <v>0</v>
      </c>
      <c r="AK1175" s="63" t="n">
        <f aca="false">IF(LEFT(Cockpit!$C$5,1)="A",H1175,IF(CI1175=1,(CL1175+CJ1175)/2,IF(LEFT(Cockpit!$C$5,1)="B",(CL1175+AM1175)/2,MAX((CL1175+AM1175)/2,H1175))))</f>
        <v>0</v>
      </c>
      <c r="AL1175" s="62" t="n">
        <f aca="false">AK1175*G1175</f>
        <v>0</v>
      </c>
      <c r="AM1175" s="62" t="n">
        <f aca="false">ROUNDUP(CL1175+MAX(CM1175,2*(J1175/IF(CH1175&gt;0,CH1175,MAX(0.1,N(Cockpit!$C$6)))-CL1175)),0)</f>
        <v>10</v>
      </c>
      <c r="AN1175" s="63" t="n">
        <f aca="false">IF(AJ1175&gt;0,J1175/AJ1175,-1)</f>
        <v>-1</v>
      </c>
      <c r="AO1175" s="63" t="str">
        <f aca="false">IF(AND(OR(CG1175="L1",CG1175="L23",CG1175="LIFT"),AJ1175&gt;0),SUMIFS($AJ$7:$AJ$1843,$CG$7:$CG$1843,CG1175,$AN$7:$AN$1843,"&gt;"&amp;AN1175)+SUMIFS($AJ$7:$AJ$1843,$CG$7:$CG$1843,CG1175,$AN$7:$AN$1843,AN1175,$BX$7:$BX$1843,"&lt;="&amp;BX1175),"")</f>
        <v/>
      </c>
      <c r="AP1175" s="70" t="n">
        <f aca="false">IF(AO1175="",0,MAX(0,MIN(1,(IF(CG1175="L1",Parameter!$H$5,IF(CG1175="L23",Parameter!$H$6+Parameter!$H$7,Parameter!$H$5+Parameter!$H$6+Parameter!$H$7))-(AO1175-AJ1175))/AJ1175)))</f>
        <v>0</v>
      </c>
      <c r="AQ1175" s="62" t="n">
        <f aca="false">IF(LEFT(Cockpit!$I$5,1)="A",H1175,IF(Parameter!$E$30="MAX-Bestand",IF(CI1175=1,CJ1175,IF(LEFT(Cockpit!$I$5,1)="B",AW1175,MAX(AW1175,H1175))),ROUNDUP(AU1175,0)))</f>
        <v>5</v>
      </c>
      <c r="AR1175" s="62" t="n">
        <f aca="false">IF(CA1175=1,0,ROUNDUP(AQ1175/BZ1175,0))</f>
        <v>1</v>
      </c>
      <c r="AS1175" s="64" t="n">
        <f aca="false">IF(CR1175&gt;0,CR1175*MAX(1,AQ1175/X1175),IF(CA1175=1,IF(AQ1175&lt;=0,0,CE1175*MAX(1,IF(H1175&gt;0,AQ1175/H1175,1))),IF(R1175&gt;0,AR1175/R1175,0))/MAX(0.1,N(Parameter!$M$21)))</f>
        <v>0.0384615384615385</v>
      </c>
      <c r="AT1175" s="62" t="n">
        <f aca="false">AS1175*CC1175</f>
        <v>5.96153846153846</v>
      </c>
      <c r="AU1175" s="63" t="n">
        <f aca="false">IF(LEFT(Cockpit!$I$5,1)="A",H1175,IF(CI1175=1,(CL1175+CJ1175)/2,IF(LEFT(Cockpit!$I$5,1)="B",(CL1175+AW1175)/2,MAX((CL1175+AW1175)/2,H1175))))</f>
        <v>5</v>
      </c>
      <c r="AV1175" s="62" t="n">
        <f aca="false">AU1175*G1175</f>
        <v>159.2</v>
      </c>
      <c r="AW1175" s="62" t="n">
        <f aca="false">ROUNDUP(CL1175+MAX(CM1175,2*(J1175/IF(CH1175&gt;0,CH1175,MAX(0.1,N(Cockpit!$I$6)))-CL1175)),0)</f>
        <v>10</v>
      </c>
      <c r="AX1175" s="63" t="n">
        <f aca="false">IF(AT1175&gt;0,J1175/AT1175,-1)</f>
        <v>1.67741935483871</v>
      </c>
      <c r="AY1175" s="63" t="n">
        <f aca="false">IF(AND(OR(CG1175="L1",CG1175="L23",CG1175="LIFT"),AT1175&gt;0),SUMIFS($AT$7:$AT$1843,$CG$7:$CG$1843,CG1175,$AX$7:$AX$1843,"&gt;"&amp;AX1175)+SUMIFS($AT$7:$AT$1843,$CG$7:$CG$1843,CG1175,$AX$7:$AX$1843,AX1175,$BX$7:$BX$1843,"&lt;="&amp;BX1175),"")</f>
        <v>7497.7032967033</v>
      </c>
      <c r="AZ1175" s="70" t="n">
        <f aca="false">IF(AY1175="",0,MAX(0,MIN(1,(IF(CG1175="L1",Parameter!$H$5,IF(CG1175="L23",Parameter!$H$6+Parameter!$H$7,Parameter!$H$5+Parameter!$H$6+Parameter!$H$7))-(AY1175-AT1175))/AT1175)))</f>
        <v>1</v>
      </c>
      <c r="BA1175" s="62" t="n">
        <f aca="false">IF(LEFT(Cockpit!$O$5,1)="A",H1175,IF(Parameter!$E$30="MAX-Bestand",IF(CI1175=1,CJ1175,IF(LEFT(Cockpit!$O$5,1)="B",BG1175,MAX(BG1175,H1175))),ROUNDUP(BE1175,0)))</f>
        <v>5</v>
      </c>
      <c r="BB1175" s="62" t="n">
        <f aca="false">IF(CA1175=1,0,ROUNDUP(BA1175/BZ1175,0))</f>
        <v>1</v>
      </c>
      <c r="BC1175" s="64" t="n">
        <f aca="false">IF(CR1175&gt;0,CR1175*MAX(1,BA1175/X1175),IF(CA1175=1,IF(BA1175&lt;=0,0,CE1175*MAX(1,IF(H1175&gt;0,BA1175/H1175,1))),IF(R1175&gt;0,BB1175/R1175,0))/MAX(0.1,N(Parameter!$M$21)))</f>
        <v>0.0384615384615385</v>
      </c>
      <c r="BD1175" s="62" t="n">
        <f aca="false">BC1175*CC1175</f>
        <v>5.96153846153846</v>
      </c>
      <c r="BE1175" s="63" t="n">
        <f aca="false">IF(LEFT(Cockpit!$O$5,1)="A",H1175,IF(CI1175=1,(CL1175+CJ1175)/2,IF(LEFT(Cockpit!$O$5,1)="B",(CL1175+BG1175)/2,MAX((CL1175+BG1175)/2,H1175))))</f>
        <v>5</v>
      </c>
      <c r="BF1175" s="62" t="n">
        <f aca="false">BE1175*G1175</f>
        <v>159.2</v>
      </c>
      <c r="BG1175" s="62" t="n">
        <f aca="false">ROUNDUP(CL1175+MAX(CM1175,2*(J1175/IF(CH1175&gt;0,CH1175,MAX(0.1,N(Cockpit!$O$6)))-CL1175)),0)</f>
        <v>10</v>
      </c>
      <c r="BH1175" s="63" t="n">
        <f aca="false">IF(BD1175&gt;0,J1175/BD1175,-1)</f>
        <v>1.67741935483871</v>
      </c>
      <c r="BI1175" s="63" t="n">
        <f aca="false">IF(AND(OR(CG1175="L1",CG1175="L23",CG1175="LIFT"),BD1175&gt;0),SUMIFS($BD$7:$BD$1843,$CG$7:$CG$1843,CG1175,$BH$7:$BH$1843,"&gt;"&amp;BH1175)+SUMIFS($BD$7:$BD$1843,$CG$7:$CG$1843,CG1175,$BH$7:$BH$1843,BH1175,$BX$7:$BX$1843,"&lt;="&amp;BX1175),"")</f>
        <v>6312.54716117216</v>
      </c>
      <c r="BJ1175" s="70" t="n">
        <f aca="false">IF(BI1175="",0,MAX(0,MIN(1,(IF(CG1175="L1",Parameter!$H$5,IF(CG1175="L23",Parameter!$H$6+Parameter!$H$7,Parameter!$H$5+Parameter!$H$6+Parameter!$H$7))-(BI1175-BD1175))/BD1175)))</f>
        <v>1</v>
      </c>
      <c r="BK1175" s="60" t="str">
        <f aca="false">IF(AJ1175&lt;=0,"",IF(CG1175="Aussen","Aussenlager",IF(CG1175="-","Nicht im Lift",IF(AP1175&gt;=1,"Lift",IF(AP1175&lt;=0,"Aussenlager","teilweise")))))</f>
        <v/>
      </c>
      <c r="BL1175" s="60" t="str">
        <f aca="false">IF(AT1175&lt;=0,"",IF(CG1175="Aussen","Aussenlager",IF(CG1175="-","Nicht im Lift",IF(AZ1175&gt;=1,"Lift",IF(AZ1175&lt;=0,"Aussenlager","teilweise")))))</f>
        <v>Lift</v>
      </c>
      <c r="BM1175" s="60" t="str">
        <f aca="false">IF(BD1175&lt;=0,"",IF(CG1175="Aussen","Aussenlager",IF(CG1175="-","Nicht im Lift",IF(BJ1175&gt;=1,"Lift",IF(BJ1175&lt;=0,"Aussenlager","teilweise")))))</f>
        <v>Lift</v>
      </c>
      <c r="BN1175" s="60" t="str">
        <f aca="false">IF(A1175="","",IF(BW1175=1,"Neu; ","")&amp;IF(AND(BW1175=0,BR1175&lt;0),"negativer Bestand (Export "&amp;BR1175&amp;"); ","")&amp;IF(J1175&lt;=0,"Kein Verbrauch; ","")&amp;IF(CR1175&gt;0,"Lift "&amp;W1175&amp;" lt. Liftbericht (Fach "&amp;X1175&amp;" Stk); ",IF(CB1175=1,"Gebinde geschätzt ("&amp;T1175&amp;"); ",IF(CA1175=1,"Lose – Tablare geschätzt; ","")))&amp;IF(H1175&gt;AW1175,"Überbestand "&amp;ROUND(H1175-AW1175,0)&amp;" Stk / CHF "&amp;ROUND((H1175-AW1175)*G1175,0)&amp;"; ","")&amp;IF(AND(CI1175=1,CJ1175&lt;CK1175),"MAX &lt; MB+LG; ","")&amp;IF(AND(CQ1175&gt;0,CP1175*10&gt;CQ1175),"zu hoch für Tablar; ","")&amp;IF(AND(BW1175=0,OR(CI1175=1,AB1175&lt;&gt;"",U1175&lt;&gt;"",V1175&lt;&gt;"",AC1175&lt;&gt;"")),"manuell übersteuert; ","")&amp;IF(AND(CA1175=0,R1175=0),"Gebinde unbekannt / Stellmass fehlt; ","")&amp;IF(AND(CA1175=0,N(V1175)&lt;=0,N(Q1175)&lt;=0),"Menge pro Gebinde fehlt (Ist = 1 Gebinde); ","")&amp;BV1175)</f>
        <v>negativer Bestand (Export -8); Gebinde geschätzt (Klein); Menge pro Gebinde fehlt (Ist = 1 Gebinde); </v>
      </c>
      <c r="BO1175" s="60"/>
      <c r="BP1175" s="60"/>
      <c r="BQ1175" s="67"/>
      <c r="BR1175" s="62" t="n">
        <v>-8</v>
      </c>
      <c r="BS1175" s="62" t="n">
        <v>8</v>
      </c>
      <c r="BT1175" s="61" t="n">
        <v>-369.36</v>
      </c>
      <c r="BU1175" s="62" t="n">
        <v>10</v>
      </c>
      <c r="BV1175" s="60"/>
      <c r="BW1175" s="65" t="n">
        <v>0</v>
      </c>
      <c r="BX1175" s="65" t="n">
        <v>1175</v>
      </c>
      <c r="BY1175" s="60" t="str">
        <f aca="false">IF(U1175&lt;&gt;"",UPPER(TRIM(U1175)),IF(CB1175=1,UPPER(VLOOKUP(T1175,Parameter!$I$27:$K$29,2,0)),IF(P1175="","LOSE",P1175)))</f>
        <v>S51</v>
      </c>
      <c r="BZ1175" s="62" t="n">
        <f aca="false">IF(BY1175="LOSE",1,IF(N(V1175)&gt;0,V1175,IF(CB1175=1,MAX(1,N(VLOOKUP(T1175,Parameter!$I$27:$K$29,3,0)),H1175,N(N1175)),IF(N(Q1175)&gt;0,Q1175,MAX(1,H1175)))))</f>
        <v>20</v>
      </c>
      <c r="CA1175" s="65" t="n">
        <f aca="false">IF(BY1175="LOSE",1,0)</f>
        <v>0</v>
      </c>
      <c r="CB1175" s="65" t="n">
        <f aca="false">IF(AND(U1175="",OR(P1175="",P1175="LOSE"),T1175&lt;&gt;"",N(S1175)&lt;=0,ISNUMBER(MATCH(T1175,Parameter!$I$27:$I$29,0))),1,0)</f>
        <v>1</v>
      </c>
      <c r="CC1175" s="65" t="n">
        <f aca="false">IF(CR1175&gt;0,INDEX(Parameter!$H$5:$H$7,W1175)/INDEX(Parameter!$E$5:$E$7,W1175),IF(AND(CA1175=0,N(IFERROR(VLOOKUP(BY1175,'Gebinde-Kategorie'!$A$5:$N$45,14,0),0))&gt;0),VLOOKUP(BY1175,'Gebinde-Kategorie'!$A$5:$N$45,14,0)*10+Parameter!$M$23,Parameter!$M$24))</f>
        <v>155</v>
      </c>
      <c r="CD1175" s="60" t="str">
        <f aca="false">IF(AND(Parameter!$B$19="Ja",E1175&lt;&gt;"",ISNUMBER(MATCH(E1175,Parameter!$I$35:$I$52,0))),VLOOKUP(E1175,Parameter!$I$35:$J$52,2,0),IFERROR(VLOOKUP(D1175,Parameter!$A$35:$C$64,2,0),"Nein"))</f>
        <v>2+3</v>
      </c>
      <c r="CE1175" s="64" t="n">
        <f aca="false">IF(CA1175=0,0,IF(N(S1175)&gt;0,S1175,IFERROR(VLOOKUP(D1175,Parameter!$A$35:$C$64,3,0)+0,0)))</f>
        <v>0</v>
      </c>
      <c r="CF1175" s="60" t="n">
        <f aca="false">IF(AB1175&lt;&gt;"",AB1175,AA1175)</f>
        <v>3</v>
      </c>
      <c r="CG1175" s="60" t="str">
        <f aca="false">IF(OR(CF1175=1,CF1175=2,CF1175=3),IF(Parameter!$E$27="Ja","LIFT",IF(CF1175=1,"L1","L23")),IF(CF1175="Aussen","Aussen","-"))</f>
        <v>LIFT</v>
      </c>
      <c r="CH1175" s="71" t="n">
        <f aca="false">IF(N(AC1175)&gt;0,AC1175,0)</f>
        <v>0</v>
      </c>
      <c r="CI1175" s="65" t="n">
        <f aca="false">IF(ISNUMBER(AF1175),1,0)</f>
        <v>0</v>
      </c>
      <c r="CJ1175" s="62" t="n">
        <f aca="false">N(AF1175)</f>
        <v>0</v>
      </c>
      <c r="CK1175" s="62" t="n">
        <f aca="false">N(M1175)+N(N1175)</f>
        <v>10</v>
      </c>
      <c r="CL1175" s="62" t="n">
        <f aca="false">N(M1175)</f>
        <v>0</v>
      </c>
      <c r="CM1175" s="62" t="n">
        <f aca="false">N(N1175)</f>
        <v>10</v>
      </c>
      <c r="CN1175" s="62" t="n">
        <f aca="false">ROUNDUP(H1175/BZ1175,0)</f>
        <v>0</v>
      </c>
      <c r="CO1175" s="62" t="n">
        <f aca="false">ROUNDUP(CJ1175/BZ1175,0)</f>
        <v>0</v>
      </c>
      <c r="CP1175" s="65" t="n">
        <f aca="false">IF(CA1175=1,0,IFERROR(VLOOKUP(BY1175,'Gebinde-Kategorie'!$A$5:$N$45,5,0)+0,0))</f>
        <v>11</v>
      </c>
      <c r="CQ1175" s="65" t="n">
        <f aca="false">IFERROR(IF(OR(CF1175=1,CF1175=2,CF1175=3),N(INDEX(Parameter!$I$5:$I$7,CF1175)),0),0)</f>
        <v>0</v>
      </c>
      <c r="CR1175" s="64" t="n">
        <f aca="false">IF(AND(Parameter!$B$21="Ja",ISNUMBER(W1175),N(X1175)&gt;0),IFERROR(N(INDEX(Parameter!$L$5:$L$7,W1175))*INDEX(Parameter!$E$5:$E$7,W1175)*X1175/SUMIFS($X$7:$X$1843,$W$7:$W$1843,W1175),0),0)</f>
        <v>0</v>
      </c>
      <c r="CS1175" s="62" t="str">
        <f aca="false">IF(AND(OR(CG1175="L1",CG1175="L23",CG1175="LIFT"),H1175&gt;0),CC1175*IF(CR1175&gt;0,CR1175*MAX(1,H1175/X1175),IF(CA1175=1,CE1175,IF(R1175&gt;0,CN1175/R1175,0))/MAX(0.1,N(Parameter!$M$21))),"")</f>
        <v/>
      </c>
      <c r="CT1175" s="64" t="str">
        <f aca="false">IF(CS1175="","",J1175/H1175)</f>
        <v/>
      </c>
      <c r="CU1175" s="62" t="str">
        <f aca="false">IF(CS1175="","",H1175*G1175)</f>
        <v/>
      </c>
      <c r="CV1175" s="63" t="str">
        <f aca="false">IF(CS1175="","",(CL1175+ROUNDUP(CL1175+MAX(CM1175,2*(J1175/MAX(0.1,N(Einkauf!$C$6))-CL1175)),0))/2)</f>
        <v/>
      </c>
      <c r="CW1175" s="62" t="str">
        <f aca="false">IF(CS1175="","",MAX(0,H1175-CV1175)*G1175)</f>
        <v/>
      </c>
      <c r="CX1175" s="62" t="str">
        <f aca="false">IF(CS1175="","",CS1175*MAX(0,1-CV1175/H1175))</f>
        <v/>
      </c>
      <c r="CY1175" s="64" t="str">
        <f aca="false">IF(CS1175="","",PERCENTRANK($CS$7:$CS$1843,CS1175)+PERCENTRANK($CU$7:$CU$1843,CU1175)+1-PERCENTRANK($CT$7:$CT$1843,CT1175))</f>
        <v/>
      </c>
      <c r="CZ1175" s="72" t="str">
        <f aca="false">IF(CS1175="","",CHOOSE(MATCH(Einkauf!$C$5,Parameter!$G$23:$G$27,0),CY1175,CS1175,CU1175,-CT1175,CW1175)+ROW()/1000000000)</f>
        <v/>
      </c>
    </row>
    <row r="1176" customFormat="false" ht="15" hidden="false" customHeight="false" outlineLevel="0" collapsed="false">
      <c r="A1176" s="60" t="s">
        <v>2159</v>
      </c>
      <c r="B1176" s="60" t="s">
        <v>2160</v>
      </c>
      <c r="C1176" s="60" t="s">
        <v>498</v>
      </c>
      <c r="D1176" s="60" t="s">
        <v>226</v>
      </c>
      <c r="E1176" s="60"/>
      <c r="F1176" s="60" t="s">
        <v>260</v>
      </c>
      <c r="G1176" s="61" t="n">
        <v>41.2</v>
      </c>
      <c r="H1176" s="62" t="n">
        <f aca="false">MAX(0,IF(AND(Parameter!$B$21="Ja",ISNUMBER(Y1176)),Y1176,IF(Parameter!$B$20="Jahresanfang 2025 + Export",BS1176+BR1176,BR1176)))</f>
        <v>9</v>
      </c>
      <c r="I1176" s="62" t="n">
        <f aca="false">H1176*G1176</f>
        <v>370.8</v>
      </c>
      <c r="J1176" s="62" t="n">
        <f aca="false">BU1176*Parameter!$B$18</f>
        <v>9</v>
      </c>
      <c r="K1176" s="63" t="n">
        <v>9</v>
      </c>
      <c r="L1176" s="64" t="n">
        <v>1</v>
      </c>
      <c r="M1176" s="62" t="n">
        <v>0</v>
      </c>
      <c r="N1176" s="62" t="n">
        <v>10</v>
      </c>
      <c r="O1176" s="65" t="n">
        <v>21</v>
      </c>
      <c r="P1176" s="60" t="s">
        <v>210</v>
      </c>
      <c r="Q1176" s="62"/>
      <c r="R1176" s="65" t="n">
        <f aca="false">IF(CA1176=1,0,IFERROR(VLOOKUP(BY1176,'Gebinde-Kategorie'!$A$5:$N$45,13,0)+0,0))</f>
        <v>12</v>
      </c>
      <c r="S1176" s="66"/>
      <c r="T1176" s="67" t="s">
        <v>221</v>
      </c>
      <c r="U1176" s="67"/>
      <c r="V1176" s="67"/>
      <c r="W1176" s="60"/>
      <c r="X1176" s="62"/>
      <c r="Y1176" s="62"/>
      <c r="Z1176" s="60" t="n">
        <v>3</v>
      </c>
      <c r="AA1176" s="60" t="n">
        <f aca="false">IF(A1176="","",IF(AND(Parameter!$B$21="Ja",ISNUMBER(W1176)),W1176,IF(AND(Parameter!$E$27="Ja",ISNUMBER(Z1176),CD1176&lt;&gt;"Nein"),Z1176,IF(CD1176="2+3",IF(ISNUMBER(SEARCH("grosser Artikel",BV1176)),2,IFERROR(VLOOKUP(BY1176,Parameter!$F$35:$G$64,2,0),2)),IF(OR(CD1176="Nein",CD1176=""),"-",CD1176)))))</f>
        <v>3</v>
      </c>
      <c r="AB1176" s="67"/>
      <c r="AC1176" s="68"/>
      <c r="AD1176" s="62" t="n">
        <f aca="false">AW1176</f>
        <v>10</v>
      </c>
      <c r="AE1176" s="62" t="n">
        <f aca="false">MAX(AW1176,H1176)</f>
        <v>10</v>
      </c>
      <c r="AF1176" s="69"/>
      <c r="AG1176" s="62" t="n">
        <f aca="false">IF(LEFT(Cockpit!$C$5,1)="A",H1176,IF(Parameter!$E$30="MAX-Bestand",IF(CI1176=1,CJ1176,IF(LEFT(Cockpit!$C$5,1)="B",AM1176,MAX(AM1176,H1176))),ROUNDUP(AK1176,0)))</f>
        <v>9</v>
      </c>
      <c r="AH1176" s="62" t="n">
        <f aca="false">IF(CA1176=1,0,ROUNDUP(AG1176/BZ1176,0))</f>
        <v>1</v>
      </c>
      <c r="AI1176" s="64" t="n">
        <f aca="false">IF(CR1176&gt;0,CR1176*MAX(1,AG1176/X1176),IF(CA1176=1,IF(AG1176&lt;=0,0,CE1176*MAX(1,IF(H1176&gt;0,AG1176/H1176,1))),IF(R1176&gt;0,AH1176/R1176,0))/MAX(0.1,N(Parameter!$M$21)))</f>
        <v>0.0833333333333333</v>
      </c>
      <c r="AJ1176" s="62" t="n">
        <f aca="false">AI1176*CC1176</f>
        <v>12.0833333333333</v>
      </c>
      <c r="AK1176" s="63" t="n">
        <f aca="false">IF(LEFT(Cockpit!$C$5,1)="A",H1176,IF(CI1176=1,(CL1176+CJ1176)/2,IF(LEFT(Cockpit!$C$5,1)="B",(CL1176+AM1176)/2,MAX((CL1176+AM1176)/2,H1176))))</f>
        <v>9</v>
      </c>
      <c r="AL1176" s="62" t="n">
        <f aca="false">AK1176*G1176</f>
        <v>370.8</v>
      </c>
      <c r="AM1176" s="62" t="n">
        <f aca="false">ROUNDUP(CL1176+MAX(CM1176,2*(J1176/IF(CH1176&gt;0,CH1176,MAX(0.1,N(Cockpit!$C$6)))-CL1176)),0)</f>
        <v>10</v>
      </c>
      <c r="AN1176" s="63" t="n">
        <f aca="false">IF(AJ1176&gt;0,J1176/AJ1176,-1)</f>
        <v>0.744827586206897</v>
      </c>
      <c r="AO1176" s="63" t="n">
        <f aca="false">IF(AND(OR(CG1176="L1",CG1176="L23",CG1176="LIFT"),AJ1176&gt;0),SUMIFS($AJ$7:$AJ$1843,$CG$7:$CG$1843,CG1176,$AN$7:$AN$1843,"&gt;"&amp;AN1176)+SUMIFS($AJ$7:$AJ$1843,$CG$7:$CG$1843,CG1176,$AN$7:$AN$1843,AN1176,$BX$7:$BX$1843,"&lt;="&amp;BX1176),"")</f>
        <v>8370.15064102564</v>
      </c>
      <c r="AP1176" s="70" t="n">
        <f aca="false">IF(AO1176="",0,MAX(0,MIN(1,(IF(CG1176="L1",Parameter!$H$5,IF(CG1176="L23",Parameter!$H$6+Parameter!$H$7,Parameter!$H$5+Parameter!$H$6+Parameter!$H$7))-(AO1176-AJ1176))/AJ1176)))</f>
        <v>1</v>
      </c>
      <c r="AQ1176" s="62" t="n">
        <f aca="false">IF(LEFT(Cockpit!$I$5,1)="A",H1176,IF(Parameter!$E$30="MAX-Bestand",IF(CI1176=1,CJ1176,IF(LEFT(Cockpit!$I$5,1)="B",AW1176,MAX(AW1176,H1176))),ROUNDUP(AU1176,0)))</f>
        <v>9</v>
      </c>
      <c r="AR1176" s="62" t="n">
        <f aca="false">IF(CA1176=1,0,ROUNDUP(AQ1176/BZ1176,0))</f>
        <v>1</v>
      </c>
      <c r="AS1176" s="64" t="n">
        <f aca="false">IF(CR1176&gt;0,CR1176*MAX(1,AQ1176/X1176),IF(CA1176=1,IF(AQ1176&lt;=0,0,CE1176*MAX(1,IF(H1176&gt;0,AQ1176/H1176,1))),IF(R1176&gt;0,AR1176/R1176,0))/MAX(0.1,N(Parameter!$M$21)))</f>
        <v>0.0833333333333333</v>
      </c>
      <c r="AT1176" s="62" t="n">
        <f aca="false">AS1176*CC1176</f>
        <v>12.0833333333333</v>
      </c>
      <c r="AU1176" s="63" t="n">
        <f aca="false">IF(LEFT(Cockpit!$I$5,1)="A",H1176,IF(CI1176=1,(CL1176+CJ1176)/2,IF(LEFT(Cockpit!$I$5,1)="B",(CL1176+AW1176)/2,MAX((CL1176+AW1176)/2,H1176))))</f>
        <v>9</v>
      </c>
      <c r="AV1176" s="62" t="n">
        <f aca="false">AU1176*G1176</f>
        <v>370.8</v>
      </c>
      <c r="AW1176" s="62" t="n">
        <f aca="false">ROUNDUP(CL1176+MAX(CM1176,2*(J1176/IF(CH1176&gt;0,CH1176,MAX(0.1,N(Cockpit!$I$6)))-CL1176)),0)</f>
        <v>10</v>
      </c>
      <c r="AX1176" s="63" t="n">
        <f aca="false">IF(AT1176&gt;0,J1176/AT1176,-1)</f>
        <v>0.744827586206897</v>
      </c>
      <c r="AY1176" s="63" t="n">
        <f aca="false">IF(AND(OR(CG1176="L1",CG1176="L23",CG1176="LIFT"),AT1176&gt;0),SUMIFS($AT$7:$AT$1843,$CG$7:$CG$1843,CG1176,$AX$7:$AX$1843,"&gt;"&amp;AX1176)+SUMIFS($AT$7:$AT$1843,$CG$7:$CG$1843,CG1176,$AX$7:$AX$1843,AX1176,$BX$7:$BX$1843,"&lt;="&amp;BX1176),"")</f>
        <v>10629.7188644689</v>
      </c>
      <c r="AZ1176" s="70" t="n">
        <f aca="false">IF(AY1176="",0,MAX(0,MIN(1,(IF(CG1176="L1",Parameter!$H$5,IF(CG1176="L23",Parameter!$H$6+Parameter!$H$7,Parameter!$H$5+Parameter!$H$6+Parameter!$H$7))-(AY1176-AT1176))/AT1176)))</f>
        <v>1</v>
      </c>
      <c r="BA1176" s="62" t="n">
        <f aca="false">IF(LEFT(Cockpit!$O$5,1)="A",H1176,IF(Parameter!$E$30="MAX-Bestand",IF(CI1176=1,CJ1176,IF(LEFT(Cockpit!$O$5,1)="B",BG1176,MAX(BG1176,H1176))),ROUNDUP(BE1176,0)))</f>
        <v>5</v>
      </c>
      <c r="BB1176" s="62" t="n">
        <f aca="false">IF(CA1176=1,0,ROUNDUP(BA1176/BZ1176,0))</f>
        <v>1</v>
      </c>
      <c r="BC1176" s="64" t="n">
        <f aca="false">IF(CR1176&gt;0,CR1176*MAX(1,BA1176/X1176),IF(CA1176=1,IF(BA1176&lt;=0,0,CE1176*MAX(1,IF(H1176&gt;0,BA1176/H1176,1))),IF(R1176&gt;0,BB1176/R1176,0))/MAX(0.1,N(Parameter!$M$21)))</f>
        <v>0.0833333333333333</v>
      </c>
      <c r="BD1176" s="62" t="n">
        <f aca="false">BC1176*CC1176</f>
        <v>12.0833333333333</v>
      </c>
      <c r="BE1176" s="63" t="n">
        <f aca="false">IF(LEFT(Cockpit!$O$5,1)="A",H1176,IF(CI1176=1,(CL1176+CJ1176)/2,IF(LEFT(Cockpit!$O$5,1)="B",(CL1176+BG1176)/2,MAX((CL1176+BG1176)/2,H1176))))</f>
        <v>5</v>
      </c>
      <c r="BF1176" s="62" t="n">
        <f aca="false">BE1176*G1176</f>
        <v>206</v>
      </c>
      <c r="BG1176" s="62" t="n">
        <f aca="false">ROUNDUP(CL1176+MAX(CM1176,2*(J1176/IF(CH1176&gt;0,CH1176,MAX(0.1,N(Cockpit!$O$6)))-CL1176)),0)</f>
        <v>10</v>
      </c>
      <c r="BH1176" s="63" t="n">
        <f aca="false">IF(BD1176&gt;0,J1176/BD1176,-1)</f>
        <v>0.744827586206897</v>
      </c>
      <c r="BI1176" s="63" t="n">
        <f aca="false">IF(AND(OR(CG1176="L1",CG1176="L23",CG1176="LIFT"),BD1176&gt;0),SUMIFS($BD$7:$BD$1843,$CG$7:$CG$1843,CG1176,$BH$7:$BH$1843,"&gt;"&amp;BH1176)+SUMIFS($BD$7:$BD$1843,$CG$7:$CG$1843,CG1176,$BH$7:$BH$1843,BH1176,$BX$7:$BX$1843,"&lt;="&amp;BX1176),"")</f>
        <v>9081.01968864469</v>
      </c>
      <c r="BJ1176" s="70" t="n">
        <f aca="false">IF(BI1176="",0,MAX(0,MIN(1,(IF(CG1176="L1",Parameter!$H$5,IF(CG1176="L23",Parameter!$H$6+Parameter!$H$7,Parameter!$H$5+Parameter!$H$6+Parameter!$H$7))-(BI1176-BD1176))/BD1176)))</f>
        <v>1</v>
      </c>
      <c r="BK1176" s="60" t="str">
        <f aca="false">IF(AJ1176&lt;=0,"",IF(CG1176="Aussen","Aussenlager",IF(CG1176="-","Nicht im Lift",IF(AP1176&gt;=1,"Lift",IF(AP1176&lt;=0,"Aussenlager","teilweise")))))</f>
        <v>Lift</v>
      </c>
      <c r="BL1176" s="60" t="str">
        <f aca="false">IF(AT1176&lt;=0,"",IF(CG1176="Aussen","Aussenlager",IF(CG1176="-","Nicht im Lift",IF(AZ1176&gt;=1,"Lift",IF(AZ1176&lt;=0,"Aussenlager","teilweise")))))</f>
        <v>Lift</v>
      </c>
      <c r="BM1176" s="60" t="str">
        <f aca="false">IF(BD1176&lt;=0,"",IF(CG1176="Aussen","Aussenlager",IF(CG1176="-","Nicht im Lift",IF(BJ1176&gt;=1,"Lift",IF(BJ1176&lt;=0,"Aussenlager","teilweise")))))</f>
        <v>Lift</v>
      </c>
      <c r="BN1176" s="60" t="str">
        <f aca="false">IF(A1176="","",IF(BW1176=1,"Neu; ","")&amp;IF(AND(BW1176=0,BR1176&lt;0),"negativer Bestand (Export "&amp;BR1176&amp;"); ","")&amp;IF(J1176&lt;=0,"Kein Verbrauch; ","")&amp;IF(CR1176&gt;0,"Lift "&amp;W1176&amp;" lt. Liftbericht (Fach "&amp;X1176&amp;" Stk); ",IF(CB1176=1,"Gebinde geschätzt ("&amp;T1176&amp;"); ",IF(CA1176=1,"Lose – Tablare geschätzt; ","")))&amp;IF(H1176&gt;AW1176,"Überbestand "&amp;ROUND(H1176-AW1176,0)&amp;" Stk / CHF "&amp;ROUND((H1176-AW1176)*G1176,0)&amp;"; ","")&amp;IF(AND(CI1176=1,CJ1176&lt;CK1176),"MAX &lt; MB+LG; ","")&amp;IF(AND(CQ1176&gt;0,CP1176*10&gt;CQ1176),"zu hoch für Tablar; ","")&amp;IF(AND(BW1176=0,OR(CI1176=1,AB1176&lt;&gt;"",U1176&lt;&gt;"",V1176&lt;&gt;"",AC1176&lt;&gt;"")),"manuell übersteuert; ","")&amp;IF(AND(CA1176=0,R1176=0),"Gebinde unbekannt / Stellmass fehlt; ","")&amp;IF(AND(CA1176=0,N(V1176)&lt;=0,N(Q1176)&lt;=0),"Menge pro Gebinde fehlt (Ist = 1 Gebinde); ","")&amp;BV1176)</f>
        <v>negativer Bestand (Export -9); Gebinde geschätzt (Mittel); Menge pro Gebinde fehlt (Ist = 1 Gebinde); </v>
      </c>
      <c r="BO1176" s="60"/>
      <c r="BP1176" s="60"/>
      <c r="BQ1176" s="67"/>
      <c r="BR1176" s="62" t="n">
        <v>-9</v>
      </c>
      <c r="BS1176" s="62" t="n">
        <v>18</v>
      </c>
      <c r="BT1176" s="61" t="n">
        <v>-370.8</v>
      </c>
      <c r="BU1176" s="62" t="n">
        <v>9</v>
      </c>
      <c r="BV1176" s="60"/>
      <c r="BW1176" s="65" t="n">
        <v>0</v>
      </c>
      <c r="BX1176" s="65" t="n">
        <v>1176</v>
      </c>
      <c r="BY1176" s="60" t="str">
        <f aca="false">IF(U1176&lt;&gt;"",UPPER(TRIM(U1176)),IF(CB1176=1,UPPER(VLOOKUP(T1176,Parameter!$I$27:$K$29,2,0)),IF(P1176="","LOSE",P1176)))</f>
        <v>S61</v>
      </c>
      <c r="BZ1176" s="62" t="n">
        <f aca="false">IF(BY1176="LOSE",1,IF(N(V1176)&gt;0,V1176,IF(CB1176=1,MAX(1,N(VLOOKUP(T1176,Parameter!$I$27:$K$29,3,0)),H1176,N(N1176)),IF(N(Q1176)&gt;0,Q1176,MAX(1,H1176)))))</f>
        <v>10</v>
      </c>
      <c r="CA1176" s="65" t="n">
        <f aca="false">IF(BY1176="LOSE",1,0)</f>
        <v>0</v>
      </c>
      <c r="CB1176" s="65" t="n">
        <f aca="false">IF(AND(U1176="",OR(P1176="",P1176="LOSE"),T1176&lt;&gt;"",N(S1176)&lt;=0,ISNUMBER(MATCH(T1176,Parameter!$I$27:$I$29,0))),1,0)</f>
        <v>1</v>
      </c>
      <c r="CC1176" s="65" t="n">
        <f aca="false">IF(CR1176&gt;0,INDEX(Parameter!$H$5:$H$7,W1176)/INDEX(Parameter!$E$5:$E$7,W1176),IF(AND(CA1176=0,N(IFERROR(VLOOKUP(BY1176,'Gebinde-Kategorie'!$A$5:$N$45,14,0),0))&gt;0),VLOOKUP(BY1176,'Gebinde-Kategorie'!$A$5:$N$45,14,0)*10+Parameter!$M$23,Parameter!$M$24))</f>
        <v>145</v>
      </c>
      <c r="CD1176" s="60" t="str">
        <f aca="false">IF(AND(Parameter!$B$19="Ja",E1176&lt;&gt;"",ISNUMBER(MATCH(E1176,Parameter!$I$35:$I$52,0))),VLOOKUP(E1176,Parameter!$I$35:$J$52,2,0),IFERROR(VLOOKUP(D1176,Parameter!$A$35:$C$64,2,0),"Nein"))</f>
        <v>2+3</v>
      </c>
      <c r="CE1176" s="64" t="n">
        <f aca="false">IF(CA1176=0,0,IF(N(S1176)&gt;0,S1176,IFERROR(VLOOKUP(D1176,Parameter!$A$35:$C$64,3,0)+0,0)))</f>
        <v>0</v>
      </c>
      <c r="CF1176" s="60" t="n">
        <f aca="false">IF(AB1176&lt;&gt;"",AB1176,AA1176)</f>
        <v>3</v>
      </c>
      <c r="CG1176" s="60" t="str">
        <f aca="false">IF(OR(CF1176=1,CF1176=2,CF1176=3),IF(Parameter!$E$27="Ja","LIFT",IF(CF1176=1,"L1","L23")),IF(CF1176="Aussen","Aussen","-"))</f>
        <v>LIFT</v>
      </c>
      <c r="CH1176" s="71" t="n">
        <f aca="false">IF(N(AC1176)&gt;0,AC1176,0)</f>
        <v>0</v>
      </c>
      <c r="CI1176" s="65" t="n">
        <f aca="false">IF(ISNUMBER(AF1176),1,0)</f>
        <v>0</v>
      </c>
      <c r="CJ1176" s="62" t="n">
        <f aca="false">N(AF1176)</f>
        <v>0</v>
      </c>
      <c r="CK1176" s="62" t="n">
        <f aca="false">N(M1176)+N(N1176)</f>
        <v>10</v>
      </c>
      <c r="CL1176" s="62" t="n">
        <f aca="false">N(M1176)</f>
        <v>0</v>
      </c>
      <c r="CM1176" s="62" t="n">
        <f aca="false">N(N1176)</f>
        <v>10</v>
      </c>
      <c r="CN1176" s="62" t="n">
        <f aca="false">ROUNDUP(H1176/BZ1176,0)</f>
        <v>1</v>
      </c>
      <c r="CO1176" s="62" t="n">
        <f aca="false">ROUNDUP(CJ1176/BZ1176,0)</f>
        <v>0</v>
      </c>
      <c r="CP1176" s="65" t="n">
        <f aca="false">IF(CA1176=1,0,IFERROR(VLOOKUP(BY1176,'Gebinde-Kategorie'!$A$5:$N$45,5,0)+0,0))</f>
        <v>11</v>
      </c>
      <c r="CQ1176" s="65" t="n">
        <f aca="false">IFERROR(IF(OR(CF1176=1,CF1176=2,CF1176=3),N(INDEX(Parameter!$I$5:$I$7,CF1176)),0),0)</f>
        <v>0</v>
      </c>
      <c r="CR1176" s="64" t="n">
        <f aca="false">IF(AND(Parameter!$B$21="Ja",ISNUMBER(W1176),N(X1176)&gt;0),IFERROR(N(INDEX(Parameter!$L$5:$L$7,W1176))*INDEX(Parameter!$E$5:$E$7,W1176)*X1176/SUMIFS($X$7:$X$1843,$W$7:$W$1843,W1176),0),0)</f>
        <v>0</v>
      </c>
      <c r="CS1176" s="62" t="n">
        <f aca="false">IF(AND(OR(CG1176="L1",CG1176="L23",CG1176="LIFT"),H1176&gt;0),CC1176*IF(CR1176&gt;0,CR1176*MAX(1,H1176/X1176),IF(CA1176=1,CE1176,IF(R1176&gt;0,CN1176/R1176,0))/MAX(0.1,N(Parameter!$M$21))),"")</f>
        <v>12.0833333333333</v>
      </c>
      <c r="CT1176" s="64" t="n">
        <f aca="false">IF(CS1176="","",J1176/H1176)</f>
        <v>1</v>
      </c>
      <c r="CU1176" s="62" t="n">
        <f aca="false">IF(CS1176="","",H1176*G1176)</f>
        <v>370.8</v>
      </c>
      <c r="CV1176" s="63" t="n">
        <f aca="false">IF(CS1176="","",(CL1176+ROUNDUP(CL1176+MAX(CM1176,2*(J1176/MAX(0.1,N(Einkauf!$C$6))-CL1176)),0))/2)</f>
        <v>5</v>
      </c>
      <c r="CW1176" s="62" t="n">
        <f aca="false">IF(CS1176="","",MAX(0,H1176-CV1176)*G1176)</f>
        <v>164.8</v>
      </c>
      <c r="CX1176" s="62" t="n">
        <f aca="false">IF(CS1176="","",CS1176*MAX(0,1-CV1176/H1176))</f>
        <v>5.37037037037037</v>
      </c>
      <c r="CY1176" s="64" t="n">
        <f aca="false">IF(CS1176="","",PERCENTRANK($CS$7:$CS$1843,CS1176)+PERCENTRANK($CU$7:$CU$1843,CU1176)+1-PERCENTRANK($CT$7:$CT$1843,CT1176))</f>
        <v>1.493</v>
      </c>
      <c r="CZ1176" s="72" t="n">
        <f aca="false">IF(CS1176="","",CHOOSE(MATCH(Einkauf!$C$5,Parameter!$G$23:$G$27,0),CY1176,CS1176,CU1176,-CT1176,CW1176)+ROW()/1000000000)</f>
        <v>1.493001176</v>
      </c>
    </row>
    <row r="1177" customFormat="false" ht="15" hidden="false" customHeight="false" outlineLevel="0" collapsed="false">
      <c r="A1177" s="60" t="s">
        <v>2161</v>
      </c>
      <c r="B1177" s="60" t="s">
        <v>2162</v>
      </c>
      <c r="C1177" s="60" t="s">
        <v>206</v>
      </c>
      <c r="D1177" s="60" t="s">
        <v>226</v>
      </c>
      <c r="E1177" s="60" t="s">
        <v>227</v>
      </c>
      <c r="F1177" s="60" t="s">
        <v>260</v>
      </c>
      <c r="G1177" s="61" t="n">
        <v>6.09</v>
      </c>
      <c r="H1177" s="62" t="n">
        <f aca="false">MAX(0,IF(AND(Parameter!$B$21="Ja",ISNUMBER(Y1177)),Y1177,IF(Parameter!$B$20="Jahresanfang 2025 + Export",BS1177+BR1177,BR1177)))</f>
        <v>106</v>
      </c>
      <c r="I1177" s="62" t="n">
        <f aca="false">H1177*G1177</f>
        <v>645.54</v>
      </c>
      <c r="J1177" s="62" t="n">
        <f aca="false">BU1177*Parameter!$B$18</f>
        <v>16</v>
      </c>
      <c r="K1177" s="63" t="n">
        <v>163</v>
      </c>
      <c r="L1177" s="64" t="n">
        <v>0.098159509202454</v>
      </c>
      <c r="M1177" s="62" t="n">
        <v>1</v>
      </c>
      <c r="N1177" s="62" t="n">
        <v>15</v>
      </c>
      <c r="O1177" s="65" t="n">
        <v>28</v>
      </c>
      <c r="P1177" s="60" t="s">
        <v>463</v>
      </c>
      <c r="Q1177" s="62" t="n">
        <v>104</v>
      </c>
      <c r="R1177" s="65" t="n">
        <f aca="false">IF(CA1177=1,0,IFERROR(VLOOKUP(BY1177,'Gebinde-Kategorie'!$A$5:$N$45,13,0)+0,0))</f>
        <v>104</v>
      </c>
      <c r="S1177" s="66"/>
      <c r="T1177" s="67"/>
      <c r="U1177" s="67"/>
      <c r="V1177" s="67"/>
      <c r="W1177" s="60"/>
      <c r="X1177" s="62"/>
      <c r="Y1177" s="62"/>
      <c r="Z1177" s="60" t="n">
        <v>2</v>
      </c>
      <c r="AA1177" s="60" t="n">
        <f aca="false">IF(A1177="","",IF(AND(Parameter!$B$21="Ja",ISNUMBER(W1177)),W1177,IF(AND(Parameter!$E$27="Ja",ISNUMBER(Z1177),CD1177&lt;&gt;"Nein"),Z1177,IF(CD1177="2+3",IF(ISNUMBER(SEARCH("grosser Artikel",BV1177)),2,IFERROR(VLOOKUP(BY1177,Parameter!$F$35:$G$64,2,0),2)),IF(OR(CD1177="Nein",CD1177=""),"-",CD1177)))))</f>
        <v>2</v>
      </c>
      <c r="AB1177" s="67"/>
      <c r="AC1177" s="68"/>
      <c r="AD1177" s="62" t="n">
        <f aca="false">AW1177</f>
        <v>16</v>
      </c>
      <c r="AE1177" s="62" t="n">
        <f aca="false">MAX(AW1177,H1177)</f>
        <v>106</v>
      </c>
      <c r="AF1177" s="69"/>
      <c r="AG1177" s="62" t="n">
        <f aca="false">IF(LEFT(Cockpit!$C$5,1)="A",H1177,IF(Parameter!$E$30="MAX-Bestand",IF(CI1177=1,CJ1177,IF(LEFT(Cockpit!$C$5,1)="B",AM1177,MAX(AM1177,H1177))),ROUNDUP(AK1177,0)))</f>
        <v>106</v>
      </c>
      <c r="AH1177" s="62" t="n">
        <f aca="false">IF(CA1177=1,0,ROUNDUP(AG1177/BZ1177,0))</f>
        <v>2</v>
      </c>
      <c r="AI1177" s="64" t="n">
        <f aca="false">IF(CR1177&gt;0,CR1177*MAX(1,AG1177/X1177),IF(CA1177=1,IF(AG1177&lt;=0,0,CE1177*MAX(1,IF(H1177&gt;0,AG1177/H1177,1))),IF(R1177&gt;0,AH1177/R1177,0))/MAX(0.1,N(Parameter!$M$21)))</f>
        <v>0.0192307692307692</v>
      </c>
      <c r="AJ1177" s="62" t="n">
        <f aca="false">AI1177*CC1177</f>
        <v>2.98076923076923</v>
      </c>
      <c r="AK1177" s="63" t="n">
        <f aca="false">IF(LEFT(Cockpit!$C$5,1)="A",H1177,IF(CI1177=1,(CL1177+CJ1177)/2,IF(LEFT(Cockpit!$C$5,1)="B",(CL1177+AM1177)/2,MAX((CL1177+AM1177)/2,H1177))))</f>
        <v>106</v>
      </c>
      <c r="AL1177" s="62" t="n">
        <f aca="false">AK1177*G1177</f>
        <v>645.54</v>
      </c>
      <c r="AM1177" s="62" t="n">
        <f aca="false">ROUNDUP(CL1177+MAX(CM1177,2*(J1177/IF(CH1177&gt;0,CH1177,MAX(0.1,N(Cockpit!$C$6)))-CL1177)),0)</f>
        <v>16</v>
      </c>
      <c r="AN1177" s="63" t="n">
        <f aca="false">IF(AJ1177&gt;0,J1177/AJ1177,-1)</f>
        <v>5.36774193548387</v>
      </c>
      <c r="AO1177" s="63" t="n">
        <f aca="false">IF(AND(OR(CG1177="L1",CG1177="L23",CG1177="LIFT"),AJ1177&gt;0),SUMIFS($AJ$7:$AJ$1843,$CG$7:$CG$1843,CG1177,$AN$7:$AN$1843,"&gt;"&amp;AN1177)+SUMIFS($AJ$7:$AJ$1843,$CG$7:$CG$1843,CG1177,$AN$7:$AN$1843,AN1177,$BX$7:$BX$1843,"&lt;="&amp;BX1177),"")</f>
        <v>3733.64331501832</v>
      </c>
      <c r="AP1177" s="70" t="n">
        <f aca="false">IF(AO1177="",0,MAX(0,MIN(1,(IF(CG1177="L1",Parameter!$H$5,IF(CG1177="L23",Parameter!$H$6+Parameter!$H$7,Parameter!$H$5+Parameter!$H$6+Parameter!$H$7))-(AO1177-AJ1177))/AJ1177)))</f>
        <v>1</v>
      </c>
      <c r="AQ1177" s="62" t="n">
        <f aca="false">IF(LEFT(Cockpit!$I$5,1)="A",H1177,IF(Parameter!$E$30="MAX-Bestand",IF(CI1177=1,CJ1177,IF(LEFT(Cockpit!$I$5,1)="B",AW1177,MAX(AW1177,H1177))),ROUNDUP(AU1177,0)))</f>
        <v>106</v>
      </c>
      <c r="AR1177" s="62" t="n">
        <f aca="false">IF(CA1177=1,0,ROUNDUP(AQ1177/BZ1177,0))</f>
        <v>2</v>
      </c>
      <c r="AS1177" s="64" t="n">
        <f aca="false">IF(CR1177&gt;0,CR1177*MAX(1,AQ1177/X1177),IF(CA1177=1,IF(AQ1177&lt;=0,0,CE1177*MAX(1,IF(H1177&gt;0,AQ1177/H1177,1))),IF(R1177&gt;0,AR1177/R1177,0))/MAX(0.1,N(Parameter!$M$21)))</f>
        <v>0.0192307692307692</v>
      </c>
      <c r="AT1177" s="62" t="n">
        <f aca="false">AS1177*CC1177</f>
        <v>2.98076923076923</v>
      </c>
      <c r="AU1177" s="63" t="n">
        <f aca="false">IF(LEFT(Cockpit!$I$5,1)="A",H1177,IF(CI1177=1,(CL1177+CJ1177)/2,IF(LEFT(Cockpit!$I$5,1)="B",(CL1177+AW1177)/2,MAX((CL1177+AW1177)/2,H1177))))</f>
        <v>106</v>
      </c>
      <c r="AV1177" s="62" t="n">
        <f aca="false">AU1177*G1177</f>
        <v>645.54</v>
      </c>
      <c r="AW1177" s="62" t="n">
        <f aca="false">ROUNDUP(CL1177+MAX(CM1177,2*(J1177/IF(CH1177&gt;0,CH1177,MAX(0.1,N(Cockpit!$I$6)))-CL1177)),0)</f>
        <v>16</v>
      </c>
      <c r="AX1177" s="63" t="n">
        <f aca="false">IF(AT1177&gt;0,J1177/AT1177,-1)</f>
        <v>5.36774193548387</v>
      </c>
      <c r="AY1177" s="63" t="n">
        <f aca="false">IF(AND(OR(CG1177="L1",CG1177="L23",CG1177="LIFT"),AT1177&gt;0),SUMIFS($AT$7:$AT$1843,$CG$7:$CG$1843,CG1177,$AX$7:$AX$1843,"&gt;"&amp;AX1177)+SUMIFS($AT$7:$AT$1843,$CG$7:$CG$1843,CG1177,$AX$7:$AX$1843,AX1177,$BX$7:$BX$1843,"&lt;="&amp;BX1177),"")</f>
        <v>4387.38415750916</v>
      </c>
      <c r="AZ1177" s="70" t="n">
        <f aca="false">IF(AY1177="",0,MAX(0,MIN(1,(IF(CG1177="L1",Parameter!$H$5,IF(CG1177="L23",Parameter!$H$6+Parameter!$H$7,Parameter!$H$5+Parameter!$H$6+Parameter!$H$7))-(AY1177-AT1177))/AT1177)))</f>
        <v>1</v>
      </c>
      <c r="BA1177" s="62" t="n">
        <f aca="false">IF(LEFT(Cockpit!$O$5,1)="A",H1177,IF(Parameter!$E$30="MAX-Bestand",IF(CI1177=1,CJ1177,IF(LEFT(Cockpit!$O$5,1)="B",BG1177,MAX(BG1177,H1177))),ROUNDUP(BE1177,0)))</f>
        <v>9</v>
      </c>
      <c r="BB1177" s="62" t="n">
        <f aca="false">IF(CA1177=1,0,ROUNDUP(BA1177/BZ1177,0))</f>
        <v>1</v>
      </c>
      <c r="BC1177" s="64" t="n">
        <f aca="false">IF(CR1177&gt;0,CR1177*MAX(1,BA1177/X1177),IF(CA1177=1,IF(BA1177&lt;=0,0,CE1177*MAX(1,IF(H1177&gt;0,BA1177/H1177,1))),IF(R1177&gt;0,BB1177/R1177,0))/MAX(0.1,N(Parameter!$M$21)))</f>
        <v>0.00961538461538462</v>
      </c>
      <c r="BD1177" s="62" t="n">
        <f aca="false">BC1177*CC1177</f>
        <v>1.49038461538462</v>
      </c>
      <c r="BE1177" s="63" t="n">
        <f aca="false">IF(LEFT(Cockpit!$O$5,1)="A",H1177,IF(CI1177=1,(CL1177+CJ1177)/2,IF(LEFT(Cockpit!$O$5,1)="B",(CL1177+BG1177)/2,MAX((CL1177+BG1177)/2,H1177))))</f>
        <v>8.5</v>
      </c>
      <c r="BF1177" s="62" t="n">
        <f aca="false">BE1177*G1177</f>
        <v>51.765</v>
      </c>
      <c r="BG1177" s="62" t="n">
        <f aca="false">ROUNDUP(CL1177+MAX(CM1177,2*(J1177/IF(CH1177&gt;0,CH1177,MAX(0.1,N(Cockpit!$O$6)))-CL1177)),0)</f>
        <v>16</v>
      </c>
      <c r="BH1177" s="63" t="n">
        <f aca="false">IF(BD1177&gt;0,J1177/BD1177,-1)</f>
        <v>10.7354838709677</v>
      </c>
      <c r="BI1177" s="63" t="n">
        <f aca="false">IF(AND(OR(CG1177="L1",CG1177="L23",CG1177="LIFT"),BD1177&gt;0),SUMIFS($BD$7:$BD$1843,$CG$7:$CG$1843,CG1177,$BH$7:$BH$1843,"&gt;"&amp;BH1177)+SUMIFS($BD$7:$BD$1843,$CG$7:$CG$1843,CG1177,$BH$7:$BH$1843,BH1177,$BX$7:$BX$1843,"&lt;="&amp;BX1177),"")</f>
        <v>2669.96978021978</v>
      </c>
      <c r="BJ1177" s="70" t="n">
        <f aca="false">IF(BI1177="",0,MAX(0,MIN(1,(IF(CG1177="L1",Parameter!$H$5,IF(CG1177="L23",Parameter!$H$6+Parameter!$H$7,Parameter!$H$5+Parameter!$H$6+Parameter!$H$7))-(BI1177-BD1177))/BD1177)))</f>
        <v>1</v>
      </c>
      <c r="BK1177" s="60" t="str">
        <f aca="false">IF(AJ1177&lt;=0,"",IF(CG1177="Aussen","Aussenlager",IF(CG1177="-","Nicht im Lift",IF(AP1177&gt;=1,"Lift",IF(AP1177&lt;=0,"Aussenlager","teilweise")))))</f>
        <v>Lift</v>
      </c>
      <c r="BL1177" s="60" t="str">
        <f aca="false">IF(AT1177&lt;=0,"",IF(CG1177="Aussen","Aussenlager",IF(CG1177="-","Nicht im Lift",IF(AZ1177&gt;=1,"Lift",IF(AZ1177&lt;=0,"Aussenlager","teilweise")))))</f>
        <v>Lift</v>
      </c>
      <c r="BM1177" s="60" t="str">
        <f aca="false">IF(BD1177&lt;=0,"",IF(CG1177="Aussen","Aussenlager",IF(CG1177="-","Nicht im Lift",IF(BJ1177&gt;=1,"Lift",IF(BJ1177&lt;=0,"Aussenlager","teilweise")))))</f>
        <v>Lift</v>
      </c>
      <c r="BN1177" s="60" t="str">
        <f aca="false">IF(A1177="","",IF(BW1177=1,"Neu; ","")&amp;IF(AND(BW1177=0,BR1177&lt;0),"negativer Bestand (Export "&amp;BR1177&amp;"); ","")&amp;IF(J1177&lt;=0,"Kein Verbrauch; ","")&amp;IF(CR1177&gt;0,"Lift "&amp;W1177&amp;" lt. Liftbericht (Fach "&amp;X1177&amp;" Stk); ",IF(CB1177=1,"Gebinde geschätzt ("&amp;T1177&amp;"); ",IF(CA1177=1,"Lose – Tablare geschätzt; ","")))&amp;IF(H1177&gt;AW1177,"Überbestand "&amp;ROUND(H1177-AW1177,0)&amp;" Stk / CHF "&amp;ROUND((H1177-AW1177)*G1177,0)&amp;"; ","")&amp;IF(AND(CI1177=1,CJ1177&lt;CK1177),"MAX &lt; MB+LG; ","")&amp;IF(AND(CQ1177&gt;0,CP1177*10&gt;CQ1177),"zu hoch für Tablar; ","")&amp;IF(AND(BW1177=0,OR(CI1177=1,AB1177&lt;&gt;"",U1177&lt;&gt;"",V1177&lt;&gt;"",AC1177&lt;&gt;"")),"manuell übersteuert; ","")&amp;IF(AND(CA1177=0,R1177=0),"Gebinde unbekannt / Stellmass fehlt; ","")&amp;IF(AND(CA1177=0,N(V1177)&lt;=0,N(Q1177)&lt;=0),"Menge pro Gebinde fehlt (Ist = 1 Gebinde); ","")&amp;BV1177)</f>
        <v>negativer Bestand (Export -61); Überbestand 90 Stk / CHF 548; </v>
      </c>
      <c r="BO1177" s="60"/>
      <c r="BP1177" s="60"/>
      <c r="BQ1177" s="67"/>
      <c r="BR1177" s="62" t="n">
        <v>-61</v>
      </c>
      <c r="BS1177" s="62" t="n">
        <v>167</v>
      </c>
      <c r="BT1177" s="61" t="n">
        <v>-371.49</v>
      </c>
      <c r="BU1177" s="62" t="n">
        <v>16</v>
      </c>
      <c r="BV1177" s="60"/>
      <c r="BW1177" s="65" t="n">
        <v>0</v>
      </c>
      <c r="BX1177" s="65" t="n">
        <v>1177</v>
      </c>
      <c r="BY1177" s="60" t="str">
        <f aca="false">IF(U1177&lt;&gt;"",UPPER(TRIM(U1177)),IF(CB1177=1,UPPER(VLOOKUP(T1177,Parameter!$I$27:$K$29,2,0)),IF(P1177="","LOSE",P1177)))</f>
        <v>S32</v>
      </c>
      <c r="BZ1177" s="62" t="n">
        <f aca="false">IF(BY1177="LOSE",1,IF(N(V1177)&gt;0,V1177,IF(CB1177=1,MAX(1,N(VLOOKUP(T1177,Parameter!$I$27:$K$29,3,0)),H1177,N(N1177)),IF(N(Q1177)&gt;0,Q1177,MAX(1,H1177)))))</f>
        <v>104</v>
      </c>
      <c r="CA1177" s="65" t="n">
        <f aca="false">IF(BY1177="LOSE",1,0)</f>
        <v>0</v>
      </c>
      <c r="CB1177" s="65" t="n">
        <f aca="false">IF(AND(U1177="",OR(P1177="",P1177="LOSE"),T1177&lt;&gt;"",N(S1177)&lt;=0,ISNUMBER(MATCH(T1177,Parameter!$I$27:$I$29,0))),1,0)</f>
        <v>0</v>
      </c>
      <c r="CC1177" s="65" t="n">
        <f aca="false">IF(CR1177&gt;0,INDEX(Parameter!$H$5:$H$7,W1177)/INDEX(Parameter!$E$5:$E$7,W1177),IF(AND(CA1177=0,N(IFERROR(VLOOKUP(BY1177,'Gebinde-Kategorie'!$A$5:$N$45,14,0),0))&gt;0),VLOOKUP(BY1177,'Gebinde-Kategorie'!$A$5:$N$45,14,0)*10+Parameter!$M$23,Parameter!$M$24))</f>
        <v>155</v>
      </c>
      <c r="CD1177" s="60" t="str">
        <f aca="false">IF(AND(Parameter!$B$19="Ja",E1177&lt;&gt;"",ISNUMBER(MATCH(E1177,Parameter!$I$35:$I$52,0))),VLOOKUP(E1177,Parameter!$I$35:$J$52,2,0),IFERROR(VLOOKUP(D1177,Parameter!$A$35:$C$64,2,0),"Nein"))</f>
        <v>2+3</v>
      </c>
      <c r="CE1177" s="64" t="n">
        <f aca="false">IF(CA1177=0,0,IF(N(S1177)&gt;0,S1177,IFERROR(VLOOKUP(D1177,Parameter!$A$35:$C$64,3,0)+0,0)))</f>
        <v>0</v>
      </c>
      <c r="CF1177" s="60" t="n">
        <f aca="false">IF(AB1177&lt;&gt;"",AB1177,AA1177)</f>
        <v>2</v>
      </c>
      <c r="CG1177" s="60" t="str">
        <f aca="false">IF(OR(CF1177=1,CF1177=2,CF1177=3),IF(Parameter!$E$27="Ja","LIFT",IF(CF1177=1,"L1","L23")),IF(CF1177="Aussen","Aussen","-"))</f>
        <v>LIFT</v>
      </c>
      <c r="CH1177" s="71" t="n">
        <f aca="false">IF(N(AC1177)&gt;0,AC1177,0)</f>
        <v>0</v>
      </c>
      <c r="CI1177" s="65" t="n">
        <f aca="false">IF(ISNUMBER(AF1177),1,0)</f>
        <v>0</v>
      </c>
      <c r="CJ1177" s="62" t="n">
        <f aca="false">N(AF1177)</f>
        <v>0</v>
      </c>
      <c r="CK1177" s="62" t="n">
        <f aca="false">N(M1177)+N(N1177)</f>
        <v>16</v>
      </c>
      <c r="CL1177" s="62" t="n">
        <f aca="false">N(M1177)</f>
        <v>1</v>
      </c>
      <c r="CM1177" s="62" t="n">
        <f aca="false">N(N1177)</f>
        <v>15</v>
      </c>
      <c r="CN1177" s="62" t="n">
        <f aca="false">ROUNDUP(H1177/BZ1177,0)</f>
        <v>2</v>
      </c>
      <c r="CO1177" s="62" t="n">
        <f aca="false">ROUNDUP(CJ1177/BZ1177,0)</f>
        <v>0</v>
      </c>
      <c r="CP1177" s="65" t="n">
        <f aca="false">IF(CA1177=1,0,IFERROR(VLOOKUP(BY1177,'Gebinde-Kategorie'!$A$5:$N$45,5,0)+0,0))</f>
        <v>8</v>
      </c>
      <c r="CQ1177" s="65" t="n">
        <f aca="false">IFERROR(IF(OR(CF1177=1,CF1177=2,CF1177=3),N(INDEX(Parameter!$I$5:$I$7,CF1177)),0),0)</f>
        <v>0</v>
      </c>
      <c r="CR1177" s="64" t="n">
        <f aca="false">IF(AND(Parameter!$B$21="Ja",ISNUMBER(W1177),N(X1177)&gt;0),IFERROR(N(INDEX(Parameter!$L$5:$L$7,W1177))*INDEX(Parameter!$E$5:$E$7,W1177)*X1177/SUMIFS($X$7:$X$1843,$W$7:$W$1843,W1177),0),0)</f>
        <v>0</v>
      </c>
      <c r="CS1177" s="62" t="n">
        <f aca="false">IF(AND(OR(CG1177="L1",CG1177="L23",CG1177="LIFT"),H1177&gt;0),CC1177*IF(CR1177&gt;0,CR1177*MAX(1,H1177/X1177),IF(CA1177=1,CE1177,IF(R1177&gt;0,CN1177/R1177,0))/MAX(0.1,N(Parameter!$M$21))),"")</f>
        <v>2.98076923076923</v>
      </c>
      <c r="CT1177" s="64" t="n">
        <f aca="false">IF(CS1177="","",J1177/H1177)</f>
        <v>0.150943396226415</v>
      </c>
      <c r="CU1177" s="62" t="n">
        <f aca="false">IF(CS1177="","",H1177*G1177)</f>
        <v>645.54</v>
      </c>
      <c r="CV1177" s="63" t="n">
        <f aca="false">IF(CS1177="","",(CL1177+ROUNDUP(CL1177+MAX(CM1177,2*(J1177/MAX(0.1,N(Einkauf!$C$6))-CL1177)),0))/2)</f>
        <v>8.5</v>
      </c>
      <c r="CW1177" s="62" t="n">
        <f aca="false">IF(CS1177="","",MAX(0,H1177-CV1177)*G1177)</f>
        <v>593.775</v>
      </c>
      <c r="CX1177" s="62" t="n">
        <f aca="false">IF(CS1177="","",CS1177*MAX(0,1-CV1177/H1177))</f>
        <v>2.74174528301887</v>
      </c>
      <c r="CY1177" s="64" t="n">
        <f aca="false">IF(CS1177="","",PERCENTRANK($CS$7:$CS$1843,CS1177)+PERCENTRANK($CU$7:$CU$1843,CU1177)+1-PERCENTRANK($CT$7:$CT$1843,CT1177))</f>
        <v>1.321</v>
      </c>
      <c r="CZ1177" s="72" t="n">
        <f aca="false">IF(CS1177="","",CHOOSE(MATCH(Einkauf!$C$5,Parameter!$G$23:$G$27,0),CY1177,CS1177,CU1177,-CT1177,CW1177)+ROW()/1000000000)</f>
        <v>1.321001177</v>
      </c>
    </row>
    <row r="1178" customFormat="false" ht="15" hidden="false" customHeight="false" outlineLevel="0" collapsed="false">
      <c r="A1178" s="60" t="s">
        <v>2163</v>
      </c>
      <c r="B1178" s="60" t="s">
        <v>2164</v>
      </c>
      <c r="C1178" s="60" t="s">
        <v>206</v>
      </c>
      <c r="D1178" s="60" t="s">
        <v>226</v>
      </c>
      <c r="E1178" s="60"/>
      <c r="F1178" s="60" t="s">
        <v>260</v>
      </c>
      <c r="G1178" s="61" t="n">
        <v>371.82</v>
      </c>
      <c r="H1178" s="62" t="n">
        <f aca="false">MAX(0,IF(AND(Parameter!$B$21="Ja",ISNUMBER(Y1178)),Y1178,IF(Parameter!$B$20="Jahresanfang 2025 + Export",BS1178+BR1178,BR1178)))</f>
        <v>1</v>
      </c>
      <c r="I1178" s="62" t="n">
        <f aca="false">H1178*G1178</f>
        <v>371.82</v>
      </c>
      <c r="J1178" s="62" t="n">
        <f aca="false">BU1178*Parameter!$B$18</f>
        <v>1</v>
      </c>
      <c r="K1178" s="63" t="n">
        <v>1.5</v>
      </c>
      <c r="L1178" s="64" t="n">
        <v>0.666666666666667</v>
      </c>
      <c r="M1178" s="62" t="n">
        <v>0</v>
      </c>
      <c r="N1178" s="62" t="n">
        <v>1</v>
      </c>
      <c r="O1178" s="65" t="n">
        <v>21</v>
      </c>
      <c r="P1178" s="60" t="s">
        <v>463</v>
      </c>
      <c r="Q1178" s="62" t="n">
        <v>1</v>
      </c>
      <c r="R1178" s="65" t="n">
        <f aca="false">IF(CA1178=1,0,IFERROR(VLOOKUP(BY1178,'Gebinde-Kategorie'!$A$5:$N$45,13,0)+0,0))</f>
        <v>104</v>
      </c>
      <c r="S1178" s="66"/>
      <c r="T1178" s="67"/>
      <c r="U1178" s="67"/>
      <c r="V1178" s="67"/>
      <c r="W1178" s="60"/>
      <c r="X1178" s="62"/>
      <c r="Y1178" s="62"/>
      <c r="Z1178" s="60" t="n">
        <v>2</v>
      </c>
      <c r="AA1178" s="60" t="n">
        <f aca="false">IF(A1178="","",IF(AND(Parameter!$B$21="Ja",ISNUMBER(W1178)),W1178,IF(AND(Parameter!$E$27="Ja",ISNUMBER(Z1178),CD1178&lt;&gt;"Nein"),Z1178,IF(CD1178="2+3",IF(ISNUMBER(SEARCH("grosser Artikel",BV1178)),2,IFERROR(VLOOKUP(BY1178,Parameter!$F$35:$G$64,2,0),2)),IF(OR(CD1178="Nein",CD1178=""),"-",CD1178)))))</f>
        <v>2</v>
      </c>
      <c r="AB1178" s="67"/>
      <c r="AC1178" s="68"/>
      <c r="AD1178" s="62" t="n">
        <f aca="false">AW1178</f>
        <v>1</v>
      </c>
      <c r="AE1178" s="62" t="n">
        <f aca="false">MAX(AW1178,H1178)</f>
        <v>1</v>
      </c>
      <c r="AF1178" s="69"/>
      <c r="AG1178" s="62" t="n">
        <f aca="false">IF(LEFT(Cockpit!$C$5,1)="A",H1178,IF(Parameter!$E$30="MAX-Bestand",IF(CI1178=1,CJ1178,IF(LEFT(Cockpit!$C$5,1)="B",AM1178,MAX(AM1178,H1178))),ROUNDUP(AK1178,0)))</f>
        <v>1</v>
      </c>
      <c r="AH1178" s="62" t="n">
        <f aca="false">IF(CA1178=1,0,ROUNDUP(AG1178/BZ1178,0))</f>
        <v>1</v>
      </c>
      <c r="AI1178" s="64" t="n">
        <f aca="false">IF(CR1178&gt;0,CR1178*MAX(1,AG1178/X1178),IF(CA1178=1,IF(AG1178&lt;=0,0,CE1178*MAX(1,IF(H1178&gt;0,AG1178/H1178,1))),IF(R1178&gt;0,AH1178/R1178,0))/MAX(0.1,N(Parameter!$M$21)))</f>
        <v>0.00961538461538462</v>
      </c>
      <c r="AJ1178" s="62" t="n">
        <f aca="false">AI1178*CC1178</f>
        <v>1.49038461538462</v>
      </c>
      <c r="AK1178" s="63" t="n">
        <f aca="false">IF(LEFT(Cockpit!$C$5,1)="A",H1178,IF(CI1178=1,(CL1178+CJ1178)/2,IF(LEFT(Cockpit!$C$5,1)="B",(CL1178+AM1178)/2,MAX((CL1178+AM1178)/2,H1178))))</f>
        <v>1</v>
      </c>
      <c r="AL1178" s="62" t="n">
        <f aca="false">AK1178*G1178</f>
        <v>371.82</v>
      </c>
      <c r="AM1178" s="62" t="n">
        <f aca="false">ROUNDUP(CL1178+MAX(CM1178,2*(J1178/IF(CH1178&gt;0,CH1178,MAX(0.1,N(Cockpit!$C$6)))-CL1178)),0)</f>
        <v>1</v>
      </c>
      <c r="AN1178" s="63" t="n">
        <f aca="false">IF(AJ1178&gt;0,J1178/AJ1178,-1)</f>
        <v>0.670967741935484</v>
      </c>
      <c r="AO1178" s="63" t="n">
        <f aca="false">IF(AND(OR(CG1178="L1",CG1178="L23",CG1178="LIFT"),AJ1178&gt;0),SUMIFS($AJ$7:$AJ$1843,$CG$7:$CG$1843,CG1178,$AN$7:$AN$1843,"&gt;"&amp;AN1178)+SUMIFS($AJ$7:$AJ$1843,$CG$7:$CG$1843,CG1178,$AN$7:$AN$1843,AN1178,$BX$7:$BX$1843,"&lt;="&amp;BX1178),"")</f>
        <v>8638.46794871795</v>
      </c>
      <c r="AP1178" s="70" t="n">
        <f aca="false">IF(AO1178="",0,MAX(0,MIN(1,(IF(CG1178="L1",Parameter!$H$5,IF(CG1178="L23",Parameter!$H$6+Parameter!$H$7,Parameter!$H$5+Parameter!$H$6+Parameter!$H$7))-(AO1178-AJ1178))/AJ1178)))</f>
        <v>1</v>
      </c>
      <c r="AQ1178" s="62" t="n">
        <f aca="false">IF(LEFT(Cockpit!$I$5,1)="A",H1178,IF(Parameter!$E$30="MAX-Bestand",IF(CI1178=1,CJ1178,IF(LEFT(Cockpit!$I$5,1)="B",AW1178,MAX(AW1178,H1178))),ROUNDUP(AU1178,0)))</f>
        <v>1</v>
      </c>
      <c r="AR1178" s="62" t="n">
        <f aca="false">IF(CA1178=1,0,ROUNDUP(AQ1178/BZ1178,0))</f>
        <v>1</v>
      </c>
      <c r="AS1178" s="64" t="n">
        <f aca="false">IF(CR1178&gt;0,CR1178*MAX(1,AQ1178/X1178),IF(CA1178=1,IF(AQ1178&lt;=0,0,CE1178*MAX(1,IF(H1178&gt;0,AQ1178/H1178,1))),IF(R1178&gt;0,AR1178/R1178,0))/MAX(0.1,N(Parameter!$M$21)))</f>
        <v>0.00961538461538462</v>
      </c>
      <c r="AT1178" s="62" t="n">
        <f aca="false">AS1178*CC1178</f>
        <v>1.49038461538462</v>
      </c>
      <c r="AU1178" s="63" t="n">
        <f aca="false">IF(LEFT(Cockpit!$I$5,1)="A",H1178,IF(CI1178=1,(CL1178+CJ1178)/2,IF(LEFT(Cockpit!$I$5,1)="B",(CL1178+AW1178)/2,MAX((CL1178+AW1178)/2,H1178))))</f>
        <v>1</v>
      </c>
      <c r="AV1178" s="62" t="n">
        <f aca="false">AU1178*G1178</f>
        <v>371.82</v>
      </c>
      <c r="AW1178" s="62" t="n">
        <f aca="false">ROUNDUP(CL1178+MAX(CM1178,2*(J1178/IF(CH1178&gt;0,CH1178,MAX(0.1,N(Cockpit!$I$6)))-CL1178)),0)</f>
        <v>1</v>
      </c>
      <c r="AX1178" s="63" t="n">
        <f aca="false">IF(AT1178&gt;0,J1178/AT1178,-1)</f>
        <v>0.670967741935484</v>
      </c>
      <c r="AY1178" s="63" t="n">
        <f aca="false">IF(AND(OR(CG1178="L1",CG1178="L23",CG1178="LIFT"),AT1178&gt;0),SUMIFS($AT$7:$AT$1843,$CG$7:$CG$1843,CG1178,$AX$7:$AX$1843,"&gt;"&amp;AX1178)+SUMIFS($AT$7:$AT$1843,$CG$7:$CG$1843,CG1178,$AX$7:$AX$1843,AX1178,$BX$7:$BX$1843,"&lt;="&amp;BX1178),"")</f>
        <v>10932.6355311355</v>
      </c>
      <c r="AZ1178" s="70" t="n">
        <f aca="false">IF(AY1178="",0,MAX(0,MIN(1,(IF(CG1178="L1",Parameter!$H$5,IF(CG1178="L23",Parameter!$H$6+Parameter!$H$7,Parameter!$H$5+Parameter!$H$6+Parameter!$H$7))-(AY1178-AT1178))/AT1178)))</f>
        <v>1</v>
      </c>
      <c r="BA1178" s="62" t="n">
        <f aca="false">IF(LEFT(Cockpit!$O$5,1)="A",H1178,IF(Parameter!$E$30="MAX-Bestand",IF(CI1178=1,CJ1178,IF(LEFT(Cockpit!$O$5,1)="B",BG1178,MAX(BG1178,H1178))),ROUNDUP(BE1178,0)))</f>
        <v>1</v>
      </c>
      <c r="BB1178" s="62" t="n">
        <f aca="false">IF(CA1178=1,0,ROUNDUP(BA1178/BZ1178,0))</f>
        <v>1</v>
      </c>
      <c r="BC1178" s="64" t="n">
        <f aca="false">IF(CR1178&gt;0,CR1178*MAX(1,BA1178/X1178),IF(CA1178=1,IF(BA1178&lt;=0,0,CE1178*MAX(1,IF(H1178&gt;0,BA1178/H1178,1))),IF(R1178&gt;0,BB1178/R1178,0))/MAX(0.1,N(Parameter!$M$21)))</f>
        <v>0.00961538461538462</v>
      </c>
      <c r="BD1178" s="62" t="n">
        <f aca="false">BC1178*CC1178</f>
        <v>1.49038461538462</v>
      </c>
      <c r="BE1178" s="63" t="n">
        <f aca="false">IF(LEFT(Cockpit!$O$5,1)="A",H1178,IF(CI1178=1,(CL1178+CJ1178)/2,IF(LEFT(Cockpit!$O$5,1)="B",(CL1178+BG1178)/2,MAX((CL1178+BG1178)/2,H1178))))</f>
        <v>0.5</v>
      </c>
      <c r="BF1178" s="62" t="n">
        <f aca="false">BE1178*G1178</f>
        <v>185.91</v>
      </c>
      <c r="BG1178" s="62" t="n">
        <f aca="false">ROUNDUP(CL1178+MAX(CM1178,2*(J1178/IF(CH1178&gt;0,CH1178,MAX(0.1,N(Cockpit!$O$6)))-CL1178)),0)</f>
        <v>1</v>
      </c>
      <c r="BH1178" s="63" t="n">
        <f aca="false">IF(BD1178&gt;0,J1178/BD1178,-1)</f>
        <v>0.670967741935484</v>
      </c>
      <c r="BI1178" s="63" t="n">
        <f aca="false">IF(AND(OR(CG1178="L1",CG1178="L23",CG1178="LIFT"),BD1178&gt;0),SUMIFS($BD$7:$BD$1843,$CG$7:$CG$1843,CG1178,$BH$7:$BH$1843,"&gt;"&amp;BH1178)+SUMIFS($BD$7:$BD$1843,$CG$7:$CG$1843,CG1178,$BH$7:$BH$1843,BH1178,$BX$7:$BX$1843,"&lt;="&amp;BX1178),"")</f>
        <v>9542.26968864469</v>
      </c>
      <c r="BJ1178" s="70" t="n">
        <f aca="false">IF(BI1178="",0,MAX(0,MIN(1,(IF(CG1178="L1",Parameter!$H$5,IF(CG1178="L23",Parameter!$H$6+Parameter!$H$7,Parameter!$H$5+Parameter!$H$6+Parameter!$H$7))-(BI1178-BD1178))/BD1178)))</f>
        <v>1</v>
      </c>
      <c r="BK1178" s="60" t="str">
        <f aca="false">IF(AJ1178&lt;=0,"",IF(CG1178="Aussen","Aussenlager",IF(CG1178="-","Nicht im Lift",IF(AP1178&gt;=1,"Lift",IF(AP1178&lt;=0,"Aussenlager","teilweise")))))</f>
        <v>Lift</v>
      </c>
      <c r="BL1178" s="60" t="str">
        <f aca="false">IF(AT1178&lt;=0,"",IF(CG1178="Aussen","Aussenlager",IF(CG1178="-","Nicht im Lift",IF(AZ1178&gt;=1,"Lift",IF(AZ1178&lt;=0,"Aussenlager","teilweise")))))</f>
        <v>Lift</v>
      </c>
      <c r="BM1178" s="60" t="str">
        <f aca="false">IF(BD1178&lt;=0,"",IF(CG1178="Aussen","Aussenlager",IF(CG1178="-","Nicht im Lift",IF(BJ1178&gt;=1,"Lift",IF(BJ1178&lt;=0,"Aussenlager","teilweise")))))</f>
        <v>Lift</v>
      </c>
      <c r="BN1178" s="60" t="str">
        <f aca="false">IF(A1178="","",IF(BW1178=1,"Neu; ","")&amp;IF(AND(BW1178=0,BR1178&lt;0),"negativer Bestand (Export "&amp;BR1178&amp;"); ","")&amp;IF(J1178&lt;=0,"Kein Verbrauch; ","")&amp;IF(CR1178&gt;0,"Lift "&amp;W1178&amp;" lt. Liftbericht (Fach "&amp;X1178&amp;" Stk); ",IF(CB1178=1,"Gebinde geschätzt ("&amp;T1178&amp;"); ",IF(CA1178=1,"Lose – Tablare geschätzt; ","")))&amp;IF(H1178&gt;AW1178,"Überbestand "&amp;ROUND(H1178-AW1178,0)&amp;" Stk / CHF "&amp;ROUND((H1178-AW1178)*G1178,0)&amp;"; ","")&amp;IF(AND(CI1178=1,CJ1178&lt;CK1178),"MAX &lt; MB+LG; ","")&amp;IF(AND(CQ1178&gt;0,CP1178*10&gt;CQ1178),"zu hoch für Tablar; ","")&amp;IF(AND(BW1178=0,OR(CI1178=1,AB1178&lt;&gt;"",U1178&lt;&gt;"",V1178&lt;&gt;"",AC1178&lt;&gt;"")),"manuell übersteuert; ","")&amp;IF(AND(CA1178=0,R1178=0),"Gebinde unbekannt / Stellmass fehlt; ","")&amp;IF(AND(CA1178=0,N(V1178)&lt;=0,N(Q1178)&lt;=0),"Menge pro Gebinde fehlt (Ist = 1 Gebinde); ","")&amp;BV1178)</f>
        <v>negativer Bestand (Export -1); </v>
      </c>
      <c r="BO1178" s="60"/>
      <c r="BP1178" s="60"/>
      <c r="BQ1178" s="67"/>
      <c r="BR1178" s="62" t="n">
        <v>-1</v>
      </c>
      <c r="BS1178" s="62" t="n">
        <v>2</v>
      </c>
      <c r="BT1178" s="61" t="n">
        <v>-371.82</v>
      </c>
      <c r="BU1178" s="62" t="n">
        <v>1</v>
      </c>
      <c r="BV1178" s="60"/>
      <c r="BW1178" s="65" t="n">
        <v>0</v>
      </c>
      <c r="BX1178" s="65" t="n">
        <v>1178</v>
      </c>
      <c r="BY1178" s="60" t="str">
        <f aca="false">IF(U1178&lt;&gt;"",UPPER(TRIM(U1178)),IF(CB1178=1,UPPER(VLOOKUP(T1178,Parameter!$I$27:$K$29,2,0)),IF(P1178="","LOSE",P1178)))</f>
        <v>S32</v>
      </c>
      <c r="BZ1178" s="62" t="n">
        <f aca="false">IF(BY1178="LOSE",1,IF(N(V1178)&gt;0,V1178,IF(CB1178=1,MAX(1,N(VLOOKUP(T1178,Parameter!$I$27:$K$29,3,0)),H1178,N(N1178)),IF(N(Q1178)&gt;0,Q1178,MAX(1,H1178)))))</f>
        <v>1</v>
      </c>
      <c r="CA1178" s="65" t="n">
        <f aca="false">IF(BY1178="LOSE",1,0)</f>
        <v>0</v>
      </c>
      <c r="CB1178" s="65" t="n">
        <f aca="false">IF(AND(U1178="",OR(P1178="",P1178="LOSE"),T1178&lt;&gt;"",N(S1178)&lt;=0,ISNUMBER(MATCH(T1178,Parameter!$I$27:$I$29,0))),1,0)</f>
        <v>0</v>
      </c>
      <c r="CC1178" s="65" t="n">
        <f aca="false">IF(CR1178&gt;0,INDEX(Parameter!$H$5:$H$7,W1178)/INDEX(Parameter!$E$5:$E$7,W1178),IF(AND(CA1178=0,N(IFERROR(VLOOKUP(BY1178,'Gebinde-Kategorie'!$A$5:$N$45,14,0),0))&gt;0),VLOOKUP(BY1178,'Gebinde-Kategorie'!$A$5:$N$45,14,0)*10+Parameter!$M$23,Parameter!$M$24))</f>
        <v>155</v>
      </c>
      <c r="CD1178" s="60" t="str">
        <f aca="false">IF(AND(Parameter!$B$19="Ja",E1178&lt;&gt;"",ISNUMBER(MATCH(E1178,Parameter!$I$35:$I$52,0))),VLOOKUP(E1178,Parameter!$I$35:$J$52,2,0),IFERROR(VLOOKUP(D1178,Parameter!$A$35:$C$64,2,0),"Nein"))</f>
        <v>2+3</v>
      </c>
      <c r="CE1178" s="64" t="n">
        <f aca="false">IF(CA1178=0,0,IF(N(S1178)&gt;0,S1178,IFERROR(VLOOKUP(D1178,Parameter!$A$35:$C$64,3,0)+0,0)))</f>
        <v>0</v>
      </c>
      <c r="CF1178" s="60" t="n">
        <f aca="false">IF(AB1178&lt;&gt;"",AB1178,AA1178)</f>
        <v>2</v>
      </c>
      <c r="CG1178" s="60" t="str">
        <f aca="false">IF(OR(CF1178=1,CF1178=2,CF1178=3),IF(Parameter!$E$27="Ja","LIFT",IF(CF1178=1,"L1","L23")),IF(CF1178="Aussen","Aussen","-"))</f>
        <v>LIFT</v>
      </c>
      <c r="CH1178" s="71" t="n">
        <f aca="false">IF(N(AC1178)&gt;0,AC1178,0)</f>
        <v>0</v>
      </c>
      <c r="CI1178" s="65" t="n">
        <f aca="false">IF(ISNUMBER(AF1178),1,0)</f>
        <v>0</v>
      </c>
      <c r="CJ1178" s="62" t="n">
        <f aca="false">N(AF1178)</f>
        <v>0</v>
      </c>
      <c r="CK1178" s="62" t="n">
        <f aca="false">N(M1178)+N(N1178)</f>
        <v>1</v>
      </c>
      <c r="CL1178" s="62" t="n">
        <f aca="false">N(M1178)</f>
        <v>0</v>
      </c>
      <c r="CM1178" s="62" t="n">
        <f aca="false">N(N1178)</f>
        <v>1</v>
      </c>
      <c r="CN1178" s="62" t="n">
        <f aca="false">ROUNDUP(H1178/BZ1178,0)</f>
        <v>1</v>
      </c>
      <c r="CO1178" s="62" t="n">
        <f aca="false">ROUNDUP(CJ1178/BZ1178,0)</f>
        <v>0</v>
      </c>
      <c r="CP1178" s="65" t="n">
        <f aca="false">IF(CA1178=1,0,IFERROR(VLOOKUP(BY1178,'Gebinde-Kategorie'!$A$5:$N$45,5,0)+0,0))</f>
        <v>8</v>
      </c>
      <c r="CQ1178" s="65" t="n">
        <f aca="false">IFERROR(IF(OR(CF1178=1,CF1178=2,CF1178=3),N(INDEX(Parameter!$I$5:$I$7,CF1178)),0),0)</f>
        <v>0</v>
      </c>
      <c r="CR1178" s="64" t="n">
        <f aca="false">IF(AND(Parameter!$B$21="Ja",ISNUMBER(W1178),N(X1178)&gt;0),IFERROR(N(INDEX(Parameter!$L$5:$L$7,W1178))*INDEX(Parameter!$E$5:$E$7,W1178)*X1178/SUMIFS($X$7:$X$1843,$W$7:$W$1843,W1178),0),0)</f>
        <v>0</v>
      </c>
      <c r="CS1178" s="62" t="n">
        <f aca="false">IF(AND(OR(CG1178="L1",CG1178="L23",CG1178="LIFT"),H1178&gt;0),CC1178*IF(CR1178&gt;0,CR1178*MAX(1,H1178/X1178),IF(CA1178=1,CE1178,IF(R1178&gt;0,CN1178/R1178,0))/MAX(0.1,N(Parameter!$M$21))),"")</f>
        <v>1.49038461538462</v>
      </c>
      <c r="CT1178" s="64" t="n">
        <f aca="false">IF(CS1178="","",J1178/H1178)</f>
        <v>1</v>
      </c>
      <c r="CU1178" s="62" t="n">
        <f aca="false">IF(CS1178="","",H1178*G1178)</f>
        <v>371.82</v>
      </c>
      <c r="CV1178" s="63" t="n">
        <f aca="false">IF(CS1178="","",(CL1178+ROUNDUP(CL1178+MAX(CM1178,2*(J1178/MAX(0.1,N(Einkauf!$C$6))-CL1178)),0))/2)</f>
        <v>0.5</v>
      </c>
      <c r="CW1178" s="62" t="n">
        <f aca="false">IF(CS1178="","",MAX(0,H1178-CV1178)*G1178)</f>
        <v>185.91</v>
      </c>
      <c r="CX1178" s="62" t="n">
        <f aca="false">IF(CS1178="","",CS1178*MAX(0,1-CV1178/H1178))</f>
        <v>0.745192307692308</v>
      </c>
      <c r="CY1178" s="64" t="n">
        <f aca="false">IF(CS1178="","",PERCENTRANK($CS$7:$CS$1843,CS1178)+PERCENTRANK($CU$7:$CU$1843,CU1178)+1-PERCENTRANK($CT$7:$CT$1843,CT1178))</f>
        <v>0.951</v>
      </c>
      <c r="CZ1178" s="72" t="n">
        <f aca="false">IF(CS1178="","",CHOOSE(MATCH(Einkauf!$C$5,Parameter!$G$23:$G$27,0),CY1178,CS1178,CU1178,-CT1178,CW1178)+ROW()/1000000000)</f>
        <v>0.951001178</v>
      </c>
    </row>
    <row r="1179" customFormat="false" ht="15" hidden="false" customHeight="false" outlineLevel="0" collapsed="false">
      <c r="A1179" s="60" t="s">
        <v>2165</v>
      </c>
      <c r="B1179" s="60" t="s">
        <v>449</v>
      </c>
      <c r="C1179" s="60" t="s">
        <v>206</v>
      </c>
      <c r="D1179" s="60" t="s">
        <v>226</v>
      </c>
      <c r="E1179" s="60" t="s">
        <v>227</v>
      </c>
      <c r="F1179" s="60" t="s">
        <v>260</v>
      </c>
      <c r="G1179" s="61" t="n">
        <v>0.59</v>
      </c>
      <c r="H1179" s="62" t="n">
        <f aca="false">MAX(0,IF(AND(Parameter!$B$21="Ja",ISNUMBER(Y1179)),Y1179,IF(Parameter!$B$20="Jahresanfang 2025 + Export",BS1179+BR1179,BR1179)))</f>
        <v>2306</v>
      </c>
      <c r="I1179" s="62" t="n">
        <f aca="false">H1179*G1179</f>
        <v>1360.54</v>
      </c>
      <c r="J1179" s="62" t="n">
        <f aca="false">BU1179*Parameter!$B$18</f>
        <v>15676</v>
      </c>
      <c r="K1179" s="63" t="n">
        <v>3733.5</v>
      </c>
      <c r="L1179" s="64" t="n">
        <v>4.19874112762823</v>
      </c>
      <c r="M1179" s="62" t="n">
        <v>914</v>
      </c>
      <c r="N1179" s="62" t="n">
        <v>1000</v>
      </c>
      <c r="O1179" s="65" t="n">
        <v>21</v>
      </c>
      <c r="P1179" s="60" t="s">
        <v>268</v>
      </c>
      <c r="Q1179" s="62" t="n">
        <v>20503</v>
      </c>
      <c r="R1179" s="65" t="n">
        <f aca="false">IF(CA1179=1,0,IFERROR(VLOOKUP(BY1179,'Gebinde-Kategorie'!$A$5:$N$45,13,0)+0,0))</f>
        <v>12</v>
      </c>
      <c r="S1179" s="66"/>
      <c r="T1179" s="67"/>
      <c r="U1179" s="67"/>
      <c r="V1179" s="67"/>
      <c r="W1179" s="60"/>
      <c r="X1179" s="62"/>
      <c r="Y1179" s="62"/>
      <c r="Z1179" s="60" t="n">
        <v>3</v>
      </c>
      <c r="AA1179" s="60" t="n">
        <f aca="false">IF(A1179="","",IF(AND(Parameter!$B$21="Ja",ISNUMBER(W1179)),W1179,IF(AND(Parameter!$E$27="Ja",ISNUMBER(Z1179),CD1179&lt;&gt;"Nein"),Z1179,IF(CD1179="2+3",IF(ISNUMBER(SEARCH("grosser Artikel",BV1179)),2,IFERROR(VLOOKUP(BY1179,Parameter!$F$35:$G$64,2,0),2)),IF(OR(CD1179="Nein",CD1179=""),"-",CD1179)))))</f>
        <v>3</v>
      </c>
      <c r="AB1179" s="67"/>
      <c r="AC1179" s="68"/>
      <c r="AD1179" s="62" t="n">
        <f aca="false">AW1179</f>
        <v>9537</v>
      </c>
      <c r="AE1179" s="62" t="n">
        <f aca="false">MAX(AW1179,H1179)</f>
        <v>9537</v>
      </c>
      <c r="AF1179" s="69"/>
      <c r="AG1179" s="62" t="n">
        <f aca="false">IF(LEFT(Cockpit!$C$5,1)="A",H1179,IF(Parameter!$E$30="MAX-Bestand",IF(CI1179=1,CJ1179,IF(LEFT(Cockpit!$C$5,1)="B",AM1179,MAX(AM1179,H1179))),ROUNDUP(AK1179,0)))</f>
        <v>2306</v>
      </c>
      <c r="AH1179" s="62" t="n">
        <f aca="false">IF(CA1179=1,0,ROUNDUP(AG1179/BZ1179,0))</f>
        <v>1</v>
      </c>
      <c r="AI1179" s="64" t="n">
        <f aca="false">IF(CR1179&gt;0,CR1179*MAX(1,AG1179/X1179),IF(CA1179=1,IF(AG1179&lt;=0,0,CE1179*MAX(1,IF(H1179&gt;0,AG1179/H1179,1))),IF(R1179&gt;0,AH1179/R1179,0))/MAX(0.1,N(Parameter!$M$21)))</f>
        <v>0.0833333333333333</v>
      </c>
      <c r="AJ1179" s="62" t="n">
        <f aca="false">AI1179*CC1179</f>
        <v>28.75</v>
      </c>
      <c r="AK1179" s="63" t="n">
        <f aca="false">IF(LEFT(Cockpit!$C$5,1)="A",H1179,IF(CI1179=1,(CL1179+CJ1179)/2,IF(LEFT(Cockpit!$C$5,1)="B",(CL1179+AM1179)/2,MAX((CL1179+AM1179)/2,H1179))))</f>
        <v>2306</v>
      </c>
      <c r="AL1179" s="62" t="n">
        <f aca="false">AK1179*G1179</f>
        <v>1360.54</v>
      </c>
      <c r="AM1179" s="62" t="n">
        <f aca="false">ROUNDUP(CL1179+MAX(CM1179,2*(J1179/IF(CH1179&gt;0,CH1179,MAX(0.1,N(Cockpit!$C$6)))-CL1179)),0)</f>
        <v>9537</v>
      </c>
      <c r="AN1179" s="63" t="n">
        <f aca="false">IF(AJ1179&gt;0,J1179/AJ1179,-1)</f>
        <v>545.252173913044</v>
      </c>
      <c r="AO1179" s="63" t="n">
        <f aca="false">IF(AND(OR(CG1179="L1",CG1179="L23",CG1179="LIFT"),AJ1179&gt;0),SUMIFS($AJ$7:$AJ$1843,$CG$7:$CG$1843,CG1179,$AN$7:$AN$1843,"&gt;"&amp;AN1179)+SUMIFS($AJ$7:$AJ$1843,$CG$7:$CG$1843,CG1179,$AN$7:$AN$1843,AN1179,$BX$7:$BX$1843,"&lt;="&amp;BX1179),"")</f>
        <v>80.9684065934066</v>
      </c>
      <c r="AP1179" s="70" t="n">
        <f aca="false">IF(AO1179="",0,MAX(0,MIN(1,(IF(CG1179="L1",Parameter!$H$5,IF(CG1179="L23",Parameter!$H$6+Parameter!$H$7,Parameter!$H$5+Parameter!$H$6+Parameter!$H$7))-(AO1179-AJ1179))/AJ1179)))</f>
        <v>1</v>
      </c>
      <c r="AQ1179" s="62" t="n">
        <f aca="false">IF(LEFT(Cockpit!$I$5,1)="A",H1179,IF(Parameter!$E$30="MAX-Bestand",IF(CI1179=1,CJ1179,IF(LEFT(Cockpit!$I$5,1)="B",AW1179,MAX(AW1179,H1179))),ROUNDUP(AU1179,0)))</f>
        <v>5226</v>
      </c>
      <c r="AR1179" s="62" t="n">
        <f aca="false">IF(CA1179=1,0,ROUNDUP(AQ1179/BZ1179,0))</f>
        <v>1</v>
      </c>
      <c r="AS1179" s="64" t="n">
        <f aca="false">IF(CR1179&gt;0,CR1179*MAX(1,AQ1179/X1179),IF(CA1179=1,IF(AQ1179&lt;=0,0,CE1179*MAX(1,IF(H1179&gt;0,AQ1179/H1179,1))),IF(R1179&gt;0,AR1179/R1179,0))/MAX(0.1,N(Parameter!$M$21)))</f>
        <v>0.0833333333333333</v>
      </c>
      <c r="AT1179" s="62" t="n">
        <f aca="false">AS1179*CC1179</f>
        <v>28.75</v>
      </c>
      <c r="AU1179" s="63" t="n">
        <f aca="false">IF(LEFT(Cockpit!$I$5,1)="A",H1179,IF(CI1179=1,(CL1179+CJ1179)/2,IF(LEFT(Cockpit!$I$5,1)="B",(CL1179+AW1179)/2,MAX((CL1179+AW1179)/2,H1179))))</f>
        <v>5225.5</v>
      </c>
      <c r="AV1179" s="62" t="n">
        <f aca="false">AU1179*G1179</f>
        <v>3083.045</v>
      </c>
      <c r="AW1179" s="62" t="n">
        <f aca="false">ROUNDUP(CL1179+MAX(CM1179,2*(J1179/IF(CH1179&gt;0,CH1179,MAX(0.1,N(Cockpit!$I$6)))-CL1179)),0)</f>
        <v>9537</v>
      </c>
      <c r="AX1179" s="63" t="n">
        <f aca="false">IF(AT1179&gt;0,J1179/AT1179,-1)</f>
        <v>545.252173913044</v>
      </c>
      <c r="AY1179" s="63" t="n">
        <f aca="false">IF(AND(OR(CG1179="L1",CG1179="L23",CG1179="LIFT"),AT1179&gt;0),SUMIFS($AT$7:$AT$1843,$CG$7:$CG$1843,CG1179,$AX$7:$AX$1843,"&gt;"&amp;AX1179)+SUMIFS($AT$7:$AT$1843,$CG$7:$CG$1843,CG1179,$AX$7:$AX$1843,AX1179,$BX$7:$BX$1843,"&lt;="&amp;BX1179),"")</f>
        <v>73.9725274725275</v>
      </c>
      <c r="AZ1179" s="70" t="n">
        <f aca="false">IF(AY1179="",0,MAX(0,MIN(1,(IF(CG1179="L1",Parameter!$H$5,IF(CG1179="L23",Parameter!$H$6+Parameter!$H$7,Parameter!$H$5+Parameter!$H$6+Parameter!$H$7))-(AY1179-AT1179))/AT1179)))</f>
        <v>1</v>
      </c>
      <c r="BA1179" s="62" t="n">
        <f aca="false">IF(LEFT(Cockpit!$O$5,1)="A",H1179,IF(Parameter!$E$30="MAX-Bestand",IF(CI1179=1,CJ1179,IF(LEFT(Cockpit!$O$5,1)="B",BG1179,MAX(BG1179,H1179))),ROUNDUP(BE1179,0)))</f>
        <v>3919</v>
      </c>
      <c r="BB1179" s="62" t="n">
        <f aca="false">IF(CA1179=1,0,ROUNDUP(BA1179/BZ1179,0))</f>
        <v>1</v>
      </c>
      <c r="BC1179" s="64" t="n">
        <f aca="false">IF(CR1179&gt;0,CR1179*MAX(1,BA1179/X1179),IF(CA1179=1,IF(BA1179&lt;=0,0,CE1179*MAX(1,IF(H1179&gt;0,BA1179/H1179,1))),IF(R1179&gt;0,BB1179/R1179,0))/MAX(0.1,N(Parameter!$M$21)))</f>
        <v>0.0833333333333333</v>
      </c>
      <c r="BD1179" s="62" t="n">
        <f aca="false">BC1179*CC1179</f>
        <v>28.75</v>
      </c>
      <c r="BE1179" s="63" t="n">
        <f aca="false">IF(LEFT(Cockpit!$O$5,1)="A",H1179,IF(CI1179=1,(CL1179+CJ1179)/2,IF(LEFT(Cockpit!$O$5,1)="B",(CL1179+BG1179)/2,MAX((CL1179+BG1179)/2,H1179))))</f>
        <v>3919</v>
      </c>
      <c r="BF1179" s="62" t="n">
        <f aca="false">BE1179*G1179</f>
        <v>2312.21</v>
      </c>
      <c r="BG1179" s="62" t="n">
        <f aca="false">ROUNDUP(CL1179+MAX(CM1179,2*(J1179/IF(CH1179&gt;0,CH1179,MAX(0.1,N(Cockpit!$O$6)))-CL1179)),0)</f>
        <v>6924</v>
      </c>
      <c r="BH1179" s="63" t="n">
        <f aca="false">IF(BD1179&gt;0,J1179/BD1179,-1)</f>
        <v>545.252173913044</v>
      </c>
      <c r="BI1179" s="63" t="n">
        <f aca="false">IF(AND(OR(CG1179="L1",CG1179="L23",CG1179="LIFT"),BD1179&gt;0),SUMIFS($BD$7:$BD$1843,$CG$7:$CG$1843,CG1179,$BH$7:$BH$1843,"&gt;"&amp;BH1179)+SUMIFS($BD$7:$BD$1843,$CG$7:$CG$1843,CG1179,$BH$7:$BH$1843,BH1179,$BX$7:$BX$1843,"&lt;="&amp;BX1179),"")</f>
        <v>94.6149267399267</v>
      </c>
      <c r="BJ1179" s="70" t="n">
        <f aca="false">IF(BI1179="",0,MAX(0,MIN(1,(IF(CG1179="L1",Parameter!$H$5,IF(CG1179="L23",Parameter!$H$6+Parameter!$H$7,Parameter!$H$5+Parameter!$H$6+Parameter!$H$7))-(BI1179-BD1179))/BD1179)))</f>
        <v>1</v>
      </c>
      <c r="BK1179" s="60" t="str">
        <f aca="false">IF(AJ1179&lt;=0,"",IF(CG1179="Aussen","Aussenlager",IF(CG1179="-","Nicht im Lift",IF(AP1179&gt;=1,"Lift",IF(AP1179&lt;=0,"Aussenlager","teilweise")))))</f>
        <v>Lift</v>
      </c>
      <c r="BL1179" s="60" t="str">
        <f aca="false">IF(AT1179&lt;=0,"",IF(CG1179="Aussen","Aussenlager",IF(CG1179="-","Nicht im Lift",IF(AZ1179&gt;=1,"Lift",IF(AZ1179&lt;=0,"Aussenlager","teilweise")))))</f>
        <v>Lift</v>
      </c>
      <c r="BM1179" s="60" t="str">
        <f aca="false">IF(BD1179&lt;=0,"",IF(CG1179="Aussen","Aussenlager",IF(CG1179="-","Nicht im Lift",IF(BJ1179&gt;=1,"Lift",IF(BJ1179&lt;=0,"Aussenlager","teilweise")))))</f>
        <v>Lift</v>
      </c>
      <c r="BN1179" s="60" t="str">
        <f aca="false">IF(A1179="","",IF(BW1179=1,"Neu; ","")&amp;IF(AND(BW1179=0,BR1179&lt;0),"negativer Bestand (Export "&amp;BR1179&amp;"); ","")&amp;IF(J1179&lt;=0,"Kein Verbrauch; ","")&amp;IF(CR1179&gt;0,"Lift "&amp;W1179&amp;" lt. Liftbericht (Fach "&amp;X1179&amp;" Stk); ",IF(CB1179=1,"Gebinde geschätzt ("&amp;T1179&amp;"); ",IF(CA1179=1,"Lose – Tablare geschätzt; ","")))&amp;IF(H1179&gt;AW1179,"Überbestand "&amp;ROUND(H1179-AW1179,0)&amp;" Stk / CHF "&amp;ROUND((H1179-AW1179)*G1179,0)&amp;"; ","")&amp;IF(AND(CI1179=1,CJ1179&lt;CK1179),"MAX &lt; MB+LG; ","")&amp;IF(AND(CQ1179&gt;0,CP1179*10&gt;CQ1179),"zu hoch für Tablar; ","")&amp;IF(AND(BW1179=0,OR(CI1179=1,AB1179&lt;&gt;"",U1179&lt;&gt;"",V1179&lt;&gt;"",AC1179&lt;&gt;"")),"manuell übersteuert; ","")&amp;IF(AND(CA1179=0,R1179=0),"Gebinde unbekannt / Stellmass fehlt; ","")&amp;IF(AND(CA1179=0,N(V1179)&lt;=0,N(Q1179)&lt;=0),"Menge pro Gebinde fehlt (Ist = 1 Gebinde); ","")&amp;BV1179)</f>
        <v>negativer Bestand (Export -1436); </v>
      </c>
      <c r="BO1179" s="60"/>
      <c r="BP1179" s="60"/>
      <c r="BQ1179" s="67"/>
      <c r="BR1179" s="62" t="n">
        <v>-1436</v>
      </c>
      <c r="BS1179" s="62" t="n">
        <v>3742</v>
      </c>
      <c r="BT1179" s="61" t="n">
        <v>-371.960000000004</v>
      </c>
      <c r="BU1179" s="62" t="n">
        <v>15676</v>
      </c>
      <c r="BV1179" s="60"/>
      <c r="BW1179" s="65" t="n">
        <v>0</v>
      </c>
      <c r="BX1179" s="65" t="n">
        <v>1179</v>
      </c>
      <c r="BY1179" s="60" t="str">
        <f aca="false">IF(U1179&lt;&gt;"",UPPER(TRIM(U1179)),IF(CB1179=1,UPPER(VLOOKUP(T1179,Parameter!$I$27:$K$29,2,0)),IF(P1179="","LOSE",P1179)))</f>
        <v>S63</v>
      </c>
      <c r="BZ1179" s="62" t="n">
        <f aca="false">IF(BY1179="LOSE",1,IF(N(V1179)&gt;0,V1179,IF(CB1179=1,MAX(1,N(VLOOKUP(T1179,Parameter!$I$27:$K$29,3,0)),H1179,N(N1179)),IF(N(Q1179)&gt;0,Q1179,MAX(1,H1179)))))</f>
        <v>20503</v>
      </c>
      <c r="CA1179" s="65" t="n">
        <f aca="false">IF(BY1179="LOSE",1,0)</f>
        <v>0</v>
      </c>
      <c r="CB1179" s="65" t="n">
        <f aca="false">IF(AND(U1179="",OR(P1179="",P1179="LOSE"),T1179&lt;&gt;"",N(S1179)&lt;=0,ISNUMBER(MATCH(T1179,Parameter!$I$27:$I$29,0))),1,0)</f>
        <v>0</v>
      </c>
      <c r="CC1179" s="65" t="n">
        <f aca="false">IF(CR1179&gt;0,INDEX(Parameter!$H$5:$H$7,W1179)/INDEX(Parameter!$E$5:$E$7,W1179),IF(AND(CA1179=0,N(IFERROR(VLOOKUP(BY1179,'Gebinde-Kategorie'!$A$5:$N$45,14,0),0))&gt;0),VLOOKUP(BY1179,'Gebinde-Kategorie'!$A$5:$N$45,14,0)*10+Parameter!$M$23,Parameter!$M$24))</f>
        <v>345</v>
      </c>
      <c r="CD1179" s="60" t="str">
        <f aca="false">IF(AND(Parameter!$B$19="Ja",E1179&lt;&gt;"",ISNUMBER(MATCH(E1179,Parameter!$I$35:$I$52,0))),VLOOKUP(E1179,Parameter!$I$35:$J$52,2,0),IFERROR(VLOOKUP(D1179,Parameter!$A$35:$C$64,2,0),"Nein"))</f>
        <v>2+3</v>
      </c>
      <c r="CE1179" s="64" t="n">
        <f aca="false">IF(CA1179=0,0,IF(N(S1179)&gt;0,S1179,IFERROR(VLOOKUP(D1179,Parameter!$A$35:$C$64,3,0)+0,0)))</f>
        <v>0</v>
      </c>
      <c r="CF1179" s="60" t="n">
        <f aca="false">IF(AB1179&lt;&gt;"",AB1179,AA1179)</f>
        <v>3</v>
      </c>
      <c r="CG1179" s="60" t="str">
        <f aca="false">IF(OR(CF1179=1,CF1179=2,CF1179=3),IF(Parameter!$E$27="Ja","LIFT",IF(CF1179=1,"L1","L23")),IF(CF1179="Aussen","Aussen","-"))</f>
        <v>LIFT</v>
      </c>
      <c r="CH1179" s="71" t="n">
        <f aca="false">IF(N(AC1179)&gt;0,AC1179,0)</f>
        <v>0</v>
      </c>
      <c r="CI1179" s="65" t="n">
        <f aca="false">IF(ISNUMBER(AF1179),1,0)</f>
        <v>0</v>
      </c>
      <c r="CJ1179" s="62" t="n">
        <f aca="false">N(AF1179)</f>
        <v>0</v>
      </c>
      <c r="CK1179" s="62" t="n">
        <f aca="false">N(M1179)+N(N1179)</f>
        <v>1914</v>
      </c>
      <c r="CL1179" s="62" t="n">
        <f aca="false">N(M1179)</f>
        <v>914</v>
      </c>
      <c r="CM1179" s="62" t="n">
        <f aca="false">N(N1179)</f>
        <v>1000</v>
      </c>
      <c r="CN1179" s="62" t="n">
        <f aca="false">ROUNDUP(H1179/BZ1179,0)</f>
        <v>1</v>
      </c>
      <c r="CO1179" s="62" t="n">
        <f aca="false">ROUNDUP(CJ1179/BZ1179,0)</f>
        <v>0</v>
      </c>
      <c r="CP1179" s="65" t="n">
        <f aca="false">IF(CA1179=1,0,IFERROR(VLOOKUP(BY1179,'Gebinde-Kategorie'!$A$5:$N$45,5,0)+0,0))</f>
        <v>31</v>
      </c>
      <c r="CQ1179" s="65" t="n">
        <f aca="false">IFERROR(IF(OR(CF1179=1,CF1179=2,CF1179=3),N(INDEX(Parameter!$I$5:$I$7,CF1179)),0),0)</f>
        <v>0</v>
      </c>
      <c r="CR1179" s="64" t="n">
        <f aca="false">IF(AND(Parameter!$B$21="Ja",ISNUMBER(W1179),N(X1179)&gt;0),IFERROR(N(INDEX(Parameter!$L$5:$L$7,W1179))*INDEX(Parameter!$E$5:$E$7,W1179)*X1179/SUMIFS($X$7:$X$1843,$W$7:$W$1843,W1179),0),0)</f>
        <v>0</v>
      </c>
      <c r="CS1179" s="62" t="n">
        <f aca="false">IF(AND(OR(CG1179="L1",CG1179="L23",CG1179="LIFT"),H1179&gt;0),CC1179*IF(CR1179&gt;0,CR1179*MAX(1,H1179/X1179),IF(CA1179=1,CE1179,IF(R1179&gt;0,CN1179/R1179,0))/MAX(0.1,N(Parameter!$M$21))),"")</f>
        <v>28.75</v>
      </c>
      <c r="CT1179" s="64" t="n">
        <f aca="false">IF(CS1179="","",J1179/H1179)</f>
        <v>6.79791847354727</v>
      </c>
      <c r="CU1179" s="62" t="n">
        <f aca="false">IF(CS1179="","",H1179*G1179)</f>
        <v>1360.54</v>
      </c>
      <c r="CV1179" s="63" t="n">
        <f aca="false">IF(CS1179="","",(CL1179+ROUNDUP(CL1179+MAX(CM1179,2*(J1179/MAX(0.1,N(Einkauf!$C$6))-CL1179)),0))/2)</f>
        <v>3919</v>
      </c>
      <c r="CW1179" s="62" t="n">
        <f aca="false">IF(CS1179="","",MAX(0,H1179-CV1179)*G1179)</f>
        <v>0</v>
      </c>
      <c r="CX1179" s="62" t="n">
        <f aca="false">IF(CS1179="","",CS1179*MAX(0,1-CV1179/H1179))</f>
        <v>0</v>
      </c>
      <c r="CY1179" s="64" t="n">
        <f aca="false">IF(CS1179="","",PERCENTRANK($CS$7:$CS$1843,CS1179)+PERCENTRANK($CU$7:$CU$1843,CU1179)+1-PERCENTRANK($CT$7:$CT$1843,CT1179))</f>
        <v>1.543</v>
      </c>
      <c r="CZ1179" s="72" t="n">
        <f aca="false">IF(CS1179="","",CHOOSE(MATCH(Einkauf!$C$5,Parameter!$G$23:$G$27,0),CY1179,CS1179,CU1179,-CT1179,CW1179)+ROW()/1000000000)</f>
        <v>1.543001179</v>
      </c>
    </row>
    <row r="1180" customFormat="false" ht="15" hidden="false" customHeight="false" outlineLevel="0" collapsed="false">
      <c r="A1180" s="60" t="s">
        <v>2166</v>
      </c>
      <c r="B1180" s="60" t="s">
        <v>1176</v>
      </c>
      <c r="C1180" s="60" t="s">
        <v>206</v>
      </c>
      <c r="D1180" s="60" t="s">
        <v>226</v>
      </c>
      <c r="E1180" s="60" t="s">
        <v>227</v>
      </c>
      <c r="F1180" s="60" t="s">
        <v>260</v>
      </c>
      <c r="G1180" s="61" t="n">
        <v>93.6</v>
      </c>
      <c r="H1180" s="62" t="n">
        <f aca="false">MAX(0,IF(AND(Parameter!$B$21="Ja",ISNUMBER(Y1180)),Y1180,IF(Parameter!$B$20="Jahresanfang 2025 + Export",BS1180+BR1180,BR1180)))</f>
        <v>3</v>
      </c>
      <c r="I1180" s="62" t="n">
        <f aca="false">H1180*G1180</f>
        <v>280.8</v>
      </c>
      <c r="J1180" s="62" t="n">
        <f aca="false">BU1180*Parameter!$B$18</f>
        <v>0</v>
      </c>
      <c r="K1180" s="63" t="n">
        <v>5</v>
      </c>
      <c r="L1180" s="64" t="n">
        <v>0</v>
      </c>
      <c r="M1180" s="62" t="n">
        <v>0</v>
      </c>
      <c r="N1180" s="62" t="n">
        <v>1</v>
      </c>
      <c r="O1180" s="65" t="n">
        <v>56</v>
      </c>
      <c r="P1180" s="60" t="s">
        <v>344</v>
      </c>
      <c r="Q1180" s="62" t="n">
        <v>3</v>
      </c>
      <c r="R1180" s="65" t="n">
        <f aca="false">IF(CA1180=1,0,IFERROR(VLOOKUP(BY1180,'Gebinde-Kategorie'!$A$5:$N$45,13,0)+0,0))</f>
        <v>26</v>
      </c>
      <c r="S1180" s="66"/>
      <c r="T1180" s="67"/>
      <c r="U1180" s="67"/>
      <c r="V1180" s="67"/>
      <c r="W1180" s="60"/>
      <c r="X1180" s="62"/>
      <c r="Y1180" s="62"/>
      <c r="Z1180" s="60" t="n">
        <v>3</v>
      </c>
      <c r="AA1180" s="60" t="n">
        <f aca="false">IF(A1180="","",IF(AND(Parameter!$B$21="Ja",ISNUMBER(W1180)),W1180,IF(AND(Parameter!$E$27="Ja",ISNUMBER(Z1180),CD1180&lt;&gt;"Nein"),Z1180,IF(CD1180="2+3",IF(ISNUMBER(SEARCH("grosser Artikel",BV1180)),2,IFERROR(VLOOKUP(BY1180,Parameter!$F$35:$G$64,2,0),2)),IF(OR(CD1180="Nein",CD1180=""),"-",CD1180)))))</f>
        <v>3</v>
      </c>
      <c r="AB1180" s="67"/>
      <c r="AC1180" s="68"/>
      <c r="AD1180" s="62" t="n">
        <f aca="false">AW1180</f>
        <v>1</v>
      </c>
      <c r="AE1180" s="62" t="n">
        <f aca="false">MAX(AW1180,H1180)</f>
        <v>3</v>
      </c>
      <c r="AF1180" s="69"/>
      <c r="AG1180" s="62" t="n">
        <f aca="false">IF(LEFT(Cockpit!$C$5,1)="A",H1180,IF(Parameter!$E$30="MAX-Bestand",IF(CI1180=1,CJ1180,IF(LEFT(Cockpit!$C$5,1)="B",AM1180,MAX(AM1180,H1180))),ROUNDUP(AK1180,0)))</f>
        <v>3</v>
      </c>
      <c r="AH1180" s="62" t="n">
        <f aca="false">IF(CA1180=1,0,ROUNDUP(AG1180/BZ1180,0))</f>
        <v>1</v>
      </c>
      <c r="AI1180" s="64" t="n">
        <f aca="false">IF(CR1180&gt;0,CR1180*MAX(1,AG1180/X1180),IF(CA1180=1,IF(AG1180&lt;=0,0,CE1180*MAX(1,IF(H1180&gt;0,AG1180/H1180,1))),IF(R1180&gt;0,AH1180/R1180,0))/MAX(0.1,N(Parameter!$M$21)))</f>
        <v>0.0384615384615385</v>
      </c>
      <c r="AJ1180" s="62" t="n">
        <f aca="false">AI1180*CC1180</f>
        <v>5.96153846153846</v>
      </c>
      <c r="AK1180" s="63" t="n">
        <f aca="false">IF(LEFT(Cockpit!$C$5,1)="A",H1180,IF(CI1180=1,(CL1180+CJ1180)/2,IF(LEFT(Cockpit!$C$5,1)="B",(CL1180+AM1180)/2,MAX((CL1180+AM1180)/2,H1180))))</f>
        <v>3</v>
      </c>
      <c r="AL1180" s="62" t="n">
        <f aca="false">AK1180*G1180</f>
        <v>280.8</v>
      </c>
      <c r="AM1180" s="62" t="n">
        <f aca="false">ROUNDUP(CL1180+MAX(CM1180,2*(J1180/IF(CH1180&gt;0,CH1180,MAX(0.1,N(Cockpit!$C$6)))-CL1180)),0)</f>
        <v>1</v>
      </c>
      <c r="AN1180" s="63" t="n">
        <f aca="false">IF(AJ1180&gt;0,J1180/AJ1180,-1)</f>
        <v>0</v>
      </c>
      <c r="AO1180" s="63" t="n">
        <f aca="false">IF(AND(OR(CG1180="L1",CG1180="L23",CG1180="LIFT"),AJ1180&gt;0),SUMIFS($AJ$7:$AJ$1843,$CG$7:$CG$1843,CG1180,$AN$7:$AN$1843,"&gt;"&amp;AN1180)+SUMIFS($AJ$7:$AJ$1843,$CG$7:$CG$1843,CG1180,$AN$7:$AN$1843,AN1180,$BX$7:$BX$1843,"&lt;="&amp;BX1180),"")</f>
        <v>29401.514820161</v>
      </c>
      <c r="AP1180" s="70" t="n">
        <f aca="false">IF(AO1180="",0,MAX(0,MIN(1,(IF(CG1180="L1",Parameter!$H$5,IF(CG1180="L23",Parameter!$H$6+Parameter!$H$7,Parameter!$H$5+Parameter!$H$6+Parameter!$H$7))-(AO1180-AJ1180))/AJ1180)))</f>
        <v>1</v>
      </c>
      <c r="AQ1180" s="62" t="n">
        <f aca="false">IF(LEFT(Cockpit!$I$5,1)="A",H1180,IF(Parameter!$E$30="MAX-Bestand",IF(CI1180=1,CJ1180,IF(LEFT(Cockpit!$I$5,1)="B",AW1180,MAX(AW1180,H1180))),ROUNDUP(AU1180,0)))</f>
        <v>3</v>
      </c>
      <c r="AR1180" s="62" t="n">
        <f aca="false">IF(CA1180=1,0,ROUNDUP(AQ1180/BZ1180,0))</f>
        <v>1</v>
      </c>
      <c r="AS1180" s="64" t="n">
        <f aca="false">IF(CR1180&gt;0,CR1180*MAX(1,AQ1180/X1180),IF(CA1180=1,IF(AQ1180&lt;=0,0,CE1180*MAX(1,IF(H1180&gt;0,AQ1180/H1180,1))),IF(R1180&gt;0,AR1180/R1180,0))/MAX(0.1,N(Parameter!$M$21)))</f>
        <v>0.0384615384615385</v>
      </c>
      <c r="AT1180" s="62" t="n">
        <f aca="false">AS1180*CC1180</f>
        <v>5.96153846153846</v>
      </c>
      <c r="AU1180" s="63" t="n">
        <f aca="false">IF(LEFT(Cockpit!$I$5,1)="A",H1180,IF(CI1180=1,(CL1180+CJ1180)/2,IF(LEFT(Cockpit!$I$5,1)="B",(CL1180+AW1180)/2,MAX((CL1180+AW1180)/2,H1180))))</f>
        <v>3</v>
      </c>
      <c r="AV1180" s="62" t="n">
        <f aca="false">AU1180*G1180</f>
        <v>280.8</v>
      </c>
      <c r="AW1180" s="62" t="n">
        <f aca="false">ROUNDUP(CL1180+MAX(CM1180,2*(J1180/IF(CH1180&gt;0,CH1180,MAX(0.1,N(Cockpit!$I$6)))-CL1180)),0)</f>
        <v>1</v>
      </c>
      <c r="AX1180" s="63" t="n">
        <f aca="false">IF(AT1180&gt;0,J1180/AT1180,-1)</f>
        <v>0</v>
      </c>
      <c r="AY1180" s="63" t="n">
        <f aca="false">IF(AND(OR(CG1180="L1",CG1180="L23",CG1180="LIFT"),AT1180&gt;0),SUMIFS($AT$7:$AT$1843,$CG$7:$CG$1843,CG1180,$AX$7:$AX$1843,"&gt;"&amp;AX1180)+SUMIFS($AT$7:$AT$1843,$CG$7:$CG$1843,CG1180,$AX$7:$AX$1843,AX1180,$BX$7:$BX$1843,"&lt;="&amp;BX1180),"")</f>
        <v>35204.3676739927</v>
      </c>
      <c r="AZ1180" s="70" t="n">
        <f aca="false">IF(AY1180="",0,MAX(0,MIN(1,(IF(CG1180="L1",Parameter!$H$5,IF(CG1180="L23",Parameter!$H$6+Parameter!$H$7,Parameter!$H$5+Parameter!$H$6+Parameter!$H$7))-(AY1180-AT1180))/AT1180)))</f>
        <v>1</v>
      </c>
      <c r="BA1180" s="62" t="n">
        <f aca="false">IF(LEFT(Cockpit!$O$5,1)="A",H1180,IF(Parameter!$E$30="MAX-Bestand",IF(CI1180=1,CJ1180,IF(LEFT(Cockpit!$O$5,1)="B",BG1180,MAX(BG1180,H1180))),ROUNDUP(BE1180,0)))</f>
        <v>1</v>
      </c>
      <c r="BB1180" s="62" t="n">
        <f aca="false">IF(CA1180=1,0,ROUNDUP(BA1180/BZ1180,0))</f>
        <v>1</v>
      </c>
      <c r="BC1180" s="64" t="n">
        <f aca="false">IF(CR1180&gt;0,CR1180*MAX(1,BA1180/X1180),IF(CA1180=1,IF(BA1180&lt;=0,0,CE1180*MAX(1,IF(H1180&gt;0,BA1180/H1180,1))),IF(R1180&gt;0,BB1180/R1180,0))/MAX(0.1,N(Parameter!$M$21)))</f>
        <v>0.0384615384615385</v>
      </c>
      <c r="BD1180" s="62" t="n">
        <f aca="false">BC1180*CC1180</f>
        <v>5.96153846153846</v>
      </c>
      <c r="BE1180" s="63" t="n">
        <f aca="false">IF(LEFT(Cockpit!$O$5,1)="A",H1180,IF(CI1180=1,(CL1180+CJ1180)/2,IF(LEFT(Cockpit!$O$5,1)="B",(CL1180+BG1180)/2,MAX((CL1180+BG1180)/2,H1180))))</f>
        <v>0.5</v>
      </c>
      <c r="BF1180" s="62" t="n">
        <f aca="false">BE1180*G1180</f>
        <v>46.8</v>
      </c>
      <c r="BG1180" s="62" t="n">
        <f aca="false">ROUNDUP(CL1180+MAX(CM1180,2*(J1180/IF(CH1180&gt;0,CH1180,MAX(0.1,N(Cockpit!$O$6)))-CL1180)),0)</f>
        <v>1</v>
      </c>
      <c r="BH1180" s="63" t="n">
        <f aca="false">IF(BD1180&gt;0,J1180/BD1180,-1)</f>
        <v>0</v>
      </c>
      <c r="BI1180" s="63" t="n">
        <f aca="false">IF(AND(OR(CG1180="L1",CG1180="L23",CG1180="LIFT"),BD1180&gt;0),SUMIFS($BD$7:$BD$1843,$CG$7:$CG$1843,CG1180,$BH$7:$BH$1843,"&gt;"&amp;BH1180)+SUMIFS($BD$7:$BD$1843,$CG$7:$CG$1843,CG1180,$BH$7:$BH$1843,BH1180,$BX$7:$BX$1843,"&lt;="&amp;BX1180),"")</f>
        <v>29189.6743341404</v>
      </c>
      <c r="BJ1180" s="70" t="n">
        <f aca="false">IF(BI1180="",0,MAX(0,MIN(1,(IF(CG1180="L1",Parameter!$H$5,IF(CG1180="L23",Parameter!$H$6+Parameter!$H$7,Parameter!$H$5+Parameter!$H$6+Parameter!$H$7))-(BI1180-BD1180))/BD1180)))</f>
        <v>1</v>
      </c>
      <c r="BK1180" s="60" t="str">
        <f aca="false">IF(AJ1180&lt;=0,"",IF(CG1180="Aussen","Aussenlager",IF(CG1180="-","Nicht im Lift",IF(AP1180&gt;=1,"Lift",IF(AP1180&lt;=0,"Aussenlager","teilweise")))))</f>
        <v>Lift</v>
      </c>
      <c r="BL1180" s="60" t="str">
        <f aca="false">IF(AT1180&lt;=0,"",IF(CG1180="Aussen","Aussenlager",IF(CG1180="-","Nicht im Lift",IF(AZ1180&gt;=1,"Lift",IF(AZ1180&lt;=0,"Aussenlager","teilweise")))))</f>
        <v>Lift</v>
      </c>
      <c r="BM1180" s="60" t="str">
        <f aca="false">IF(BD1180&lt;=0,"",IF(CG1180="Aussen","Aussenlager",IF(CG1180="-","Nicht im Lift",IF(BJ1180&gt;=1,"Lift",IF(BJ1180&lt;=0,"Aussenlager","teilweise")))))</f>
        <v>Lift</v>
      </c>
      <c r="BN1180" s="60" t="str">
        <f aca="false">IF(A1180="","",IF(BW1180=1,"Neu; ","")&amp;IF(AND(BW1180=0,BR1180&lt;0),"negativer Bestand (Export "&amp;BR1180&amp;"); ","")&amp;IF(J1180&lt;=0,"Kein Verbrauch; ","")&amp;IF(CR1180&gt;0,"Lift "&amp;W1180&amp;" lt. Liftbericht (Fach "&amp;X1180&amp;" Stk); ",IF(CB1180=1,"Gebinde geschätzt ("&amp;T1180&amp;"); ",IF(CA1180=1,"Lose – Tablare geschätzt; ","")))&amp;IF(H1180&gt;AW1180,"Überbestand "&amp;ROUND(H1180-AW1180,0)&amp;" Stk / CHF "&amp;ROUND((H1180-AW1180)*G1180,0)&amp;"; ","")&amp;IF(AND(CI1180=1,CJ1180&lt;CK1180),"MAX &lt; MB+LG; ","")&amp;IF(AND(CQ1180&gt;0,CP1180*10&gt;CQ1180),"zu hoch für Tablar; ","")&amp;IF(AND(BW1180=0,OR(CI1180=1,AB1180&lt;&gt;"",U1180&lt;&gt;"",V1180&lt;&gt;"",AC1180&lt;&gt;"")),"manuell übersteuert; ","")&amp;IF(AND(CA1180=0,R1180=0),"Gebinde unbekannt / Stellmass fehlt; ","")&amp;IF(AND(CA1180=0,N(V1180)&lt;=0,N(Q1180)&lt;=0),"Menge pro Gebinde fehlt (Ist = 1 Gebinde); ","")&amp;BV1180)</f>
        <v>negativer Bestand (Export -4); Kein Verbrauch; Überbestand 2 Stk / CHF 187; </v>
      </c>
      <c r="BO1180" s="60"/>
      <c r="BP1180" s="60"/>
      <c r="BQ1180" s="67"/>
      <c r="BR1180" s="62" t="n">
        <v>-4</v>
      </c>
      <c r="BS1180" s="62" t="n">
        <v>7</v>
      </c>
      <c r="BT1180" s="61" t="n">
        <v>-374.4</v>
      </c>
      <c r="BU1180" s="62" t="n">
        <v>0</v>
      </c>
      <c r="BV1180" s="60"/>
      <c r="BW1180" s="65" t="n">
        <v>0</v>
      </c>
      <c r="BX1180" s="65" t="n">
        <v>1180</v>
      </c>
      <c r="BY1180" s="60" t="str">
        <f aca="false">IF(U1180&lt;&gt;"",UPPER(TRIM(U1180)),IF(CB1180=1,UPPER(VLOOKUP(T1180,Parameter!$I$27:$K$29,2,0)),IF(P1180="","LOSE",P1180)))</f>
        <v>S51</v>
      </c>
      <c r="BZ1180" s="62" t="n">
        <f aca="false">IF(BY1180="LOSE",1,IF(N(V1180)&gt;0,V1180,IF(CB1180=1,MAX(1,N(VLOOKUP(T1180,Parameter!$I$27:$K$29,3,0)),H1180,N(N1180)),IF(N(Q1180)&gt;0,Q1180,MAX(1,H1180)))))</f>
        <v>3</v>
      </c>
      <c r="CA1180" s="65" t="n">
        <f aca="false">IF(BY1180="LOSE",1,0)</f>
        <v>0</v>
      </c>
      <c r="CB1180" s="65" t="n">
        <f aca="false">IF(AND(U1180="",OR(P1180="",P1180="LOSE"),T1180&lt;&gt;"",N(S1180)&lt;=0,ISNUMBER(MATCH(T1180,Parameter!$I$27:$I$29,0))),1,0)</f>
        <v>0</v>
      </c>
      <c r="CC1180" s="65" t="n">
        <f aca="false">IF(CR1180&gt;0,INDEX(Parameter!$H$5:$H$7,W1180)/INDEX(Parameter!$E$5:$E$7,W1180),IF(AND(CA1180=0,N(IFERROR(VLOOKUP(BY1180,'Gebinde-Kategorie'!$A$5:$N$45,14,0),0))&gt;0),VLOOKUP(BY1180,'Gebinde-Kategorie'!$A$5:$N$45,14,0)*10+Parameter!$M$23,Parameter!$M$24))</f>
        <v>155</v>
      </c>
      <c r="CD1180" s="60" t="str">
        <f aca="false">IF(AND(Parameter!$B$19="Ja",E1180&lt;&gt;"",ISNUMBER(MATCH(E1180,Parameter!$I$35:$I$52,0))),VLOOKUP(E1180,Parameter!$I$35:$J$52,2,0),IFERROR(VLOOKUP(D1180,Parameter!$A$35:$C$64,2,0),"Nein"))</f>
        <v>2+3</v>
      </c>
      <c r="CE1180" s="64" t="n">
        <f aca="false">IF(CA1180=0,0,IF(N(S1180)&gt;0,S1180,IFERROR(VLOOKUP(D1180,Parameter!$A$35:$C$64,3,0)+0,0)))</f>
        <v>0</v>
      </c>
      <c r="CF1180" s="60" t="n">
        <f aca="false">IF(AB1180&lt;&gt;"",AB1180,AA1180)</f>
        <v>3</v>
      </c>
      <c r="CG1180" s="60" t="str">
        <f aca="false">IF(OR(CF1180=1,CF1180=2,CF1180=3),IF(Parameter!$E$27="Ja","LIFT",IF(CF1180=1,"L1","L23")),IF(CF1180="Aussen","Aussen","-"))</f>
        <v>LIFT</v>
      </c>
      <c r="CH1180" s="71" t="n">
        <f aca="false">IF(N(AC1180)&gt;0,AC1180,0)</f>
        <v>0</v>
      </c>
      <c r="CI1180" s="65" t="n">
        <f aca="false">IF(ISNUMBER(AF1180),1,0)</f>
        <v>0</v>
      </c>
      <c r="CJ1180" s="62" t="n">
        <f aca="false">N(AF1180)</f>
        <v>0</v>
      </c>
      <c r="CK1180" s="62" t="n">
        <f aca="false">N(M1180)+N(N1180)</f>
        <v>1</v>
      </c>
      <c r="CL1180" s="62" t="n">
        <f aca="false">N(M1180)</f>
        <v>0</v>
      </c>
      <c r="CM1180" s="62" t="n">
        <f aca="false">N(N1180)</f>
        <v>1</v>
      </c>
      <c r="CN1180" s="62" t="n">
        <f aca="false">ROUNDUP(H1180/BZ1180,0)</f>
        <v>1</v>
      </c>
      <c r="CO1180" s="62" t="n">
        <f aca="false">ROUNDUP(CJ1180/BZ1180,0)</f>
        <v>0</v>
      </c>
      <c r="CP1180" s="65" t="n">
        <f aca="false">IF(CA1180=1,0,IFERROR(VLOOKUP(BY1180,'Gebinde-Kategorie'!$A$5:$N$45,5,0)+0,0))</f>
        <v>11</v>
      </c>
      <c r="CQ1180" s="65" t="n">
        <f aca="false">IFERROR(IF(OR(CF1180=1,CF1180=2,CF1180=3),N(INDEX(Parameter!$I$5:$I$7,CF1180)),0),0)</f>
        <v>0</v>
      </c>
      <c r="CR1180" s="64" t="n">
        <f aca="false">IF(AND(Parameter!$B$21="Ja",ISNUMBER(W1180),N(X1180)&gt;0),IFERROR(N(INDEX(Parameter!$L$5:$L$7,W1180))*INDEX(Parameter!$E$5:$E$7,W1180)*X1180/SUMIFS($X$7:$X$1843,$W$7:$W$1843,W1180),0),0)</f>
        <v>0</v>
      </c>
      <c r="CS1180" s="62" t="n">
        <f aca="false">IF(AND(OR(CG1180="L1",CG1180="L23",CG1180="LIFT"),H1180&gt;0),CC1180*IF(CR1180&gt;0,CR1180*MAX(1,H1180/X1180),IF(CA1180=1,CE1180,IF(R1180&gt;0,CN1180/R1180,0))/MAX(0.1,N(Parameter!$M$21))),"")</f>
        <v>5.96153846153846</v>
      </c>
      <c r="CT1180" s="64" t="n">
        <f aca="false">IF(CS1180="","",J1180/H1180)</f>
        <v>0</v>
      </c>
      <c r="CU1180" s="62" t="n">
        <f aca="false">IF(CS1180="","",H1180*G1180)</f>
        <v>280.8</v>
      </c>
      <c r="CV1180" s="63" t="n">
        <f aca="false">IF(CS1180="","",(CL1180+ROUNDUP(CL1180+MAX(CM1180,2*(J1180/MAX(0.1,N(Einkauf!$C$6))-CL1180)),0))/2)</f>
        <v>0.5</v>
      </c>
      <c r="CW1180" s="62" t="n">
        <f aca="false">IF(CS1180="","",MAX(0,H1180-CV1180)*G1180)</f>
        <v>234</v>
      </c>
      <c r="CX1180" s="62" t="n">
        <f aca="false">IF(CS1180="","",CS1180*MAX(0,1-CV1180/H1180))</f>
        <v>4.96794871794872</v>
      </c>
      <c r="CY1180" s="64" t="n">
        <f aca="false">IF(CS1180="","",PERCENTRANK($CS$7:$CS$1843,CS1180)+PERCENTRANK($CU$7:$CU$1843,CU1180)+1-PERCENTRANK($CT$7:$CT$1843,CT1180))</f>
        <v>1.758</v>
      </c>
      <c r="CZ1180" s="72" t="n">
        <f aca="false">IF(CS1180="","",CHOOSE(MATCH(Einkauf!$C$5,Parameter!$G$23:$G$27,0),CY1180,CS1180,CU1180,-CT1180,CW1180)+ROW()/1000000000)</f>
        <v>1.75800118</v>
      </c>
    </row>
    <row r="1181" customFormat="false" ht="15" hidden="false" customHeight="false" outlineLevel="0" collapsed="false">
      <c r="A1181" s="60" t="s">
        <v>2167</v>
      </c>
      <c r="B1181" s="60" t="s">
        <v>510</v>
      </c>
      <c r="C1181" s="60" t="s">
        <v>206</v>
      </c>
      <c r="D1181" s="60" t="s">
        <v>226</v>
      </c>
      <c r="E1181" s="60" t="s">
        <v>227</v>
      </c>
      <c r="F1181" s="60" t="s">
        <v>260</v>
      </c>
      <c r="G1181" s="61" t="n">
        <v>7.34</v>
      </c>
      <c r="H1181" s="62" t="n">
        <f aca="false">MAX(0,IF(AND(Parameter!$B$21="Ja",ISNUMBER(Y1181)),Y1181,IF(Parameter!$B$20="Jahresanfang 2025 + Export",BS1181+BR1181,BR1181)))</f>
        <v>23</v>
      </c>
      <c r="I1181" s="62" t="n">
        <f aca="false">H1181*G1181</f>
        <v>168.82</v>
      </c>
      <c r="J1181" s="62" t="n">
        <f aca="false">BU1181*Parameter!$B$18</f>
        <v>24</v>
      </c>
      <c r="K1181" s="63" t="n">
        <v>57.5</v>
      </c>
      <c r="L1181" s="64" t="n">
        <v>0.417391304347826</v>
      </c>
      <c r="M1181" s="62" t="n">
        <v>0</v>
      </c>
      <c r="N1181" s="62" t="n">
        <v>25</v>
      </c>
      <c r="O1181" s="65" t="n">
        <v>14</v>
      </c>
      <c r="P1181" s="60" t="s">
        <v>344</v>
      </c>
      <c r="Q1181" s="62" t="n">
        <v>35</v>
      </c>
      <c r="R1181" s="65" t="n">
        <f aca="false">IF(CA1181=1,0,IFERROR(VLOOKUP(BY1181,'Gebinde-Kategorie'!$A$5:$N$45,13,0)+0,0))</f>
        <v>26</v>
      </c>
      <c r="S1181" s="66"/>
      <c r="T1181" s="67"/>
      <c r="U1181" s="67"/>
      <c r="V1181" s="67"/>
      <c r="W1181" s="60"/>
      <c r="X1181" s="62"/>
      <c r="Y1181" s="62"/>
      <c r="Z1181" s="60" t="n">
        <v>3</v>
      </c>
      <c r="AA1181" s="60" t="n">
        <f aca="false">IF(A1181="","",IF(AND(Parameter!$B$21="Ja",ISNUMBER(W1181)),W1181,IF(AND(Parameter!$E$27="Ja",ISNUMBER(Z1181),CD1181&lt;&gt;"Nein"),Z1181,IF(CD1181="2+3",IF(ISNUMBER(SEARCH("grosser Artikel",BV1181)),2,IFERROR(VLOOKUP(BY1181,Parameter!$F$35:$G$64,2,0),2)),IF(OR(CD1181="Nein",CD1181=""),"-",CD1181)))))</f>
        <v>3</v>
      </c>
      <c r="AB1181" s="67"/>
      <c r="AC1181" s="68"/>
      <c r="AD1181" s="62" t="n">
        <f aca="false">AW1181</f>
        <v>25</v>
      </c>
      <c r="AE1181" s="62" t="n">
        <f aca="false">MAX(AW1181,H1181)</f>
        <v>25</v>
      </c>
      <c r="AF1181" s="69"/>
      <c r="AG1181" s="62" t="n">
        <f aca="false">IF(LEFT(Cockpit!$C$5,1)="A",H1181,IF(Parameter!$E$30="MAX-Bestand",IF(CI1181=1,CJ1181,IF(LEFT(Cockpit!$C$5,1)="B",AM1181,MAX(AM1181,H1181))),ROUNDUP(AK1181,0)))</f>
        <v>23</v>
      </c>
      <c r="AH1181" s="62" t="n">
        <f aca="false">IF(CA1181=1,0,ROUNDUP(AG1181/BZ1181,0))</f>
        <v>1</v>
      </c>
      <c r="AI1181" s="64" t="n">
        <f aca="false">IF(CR1181&gt;0,CR1181*MAX(1,AG1181/X1181),IF(CA1181=1,IF(AG1181&lt;=0,0,CE1181*MAX(1,IF(H1181&gt;0,AG1181/H1181,1))),IF(R1181&gt;0,AH1181/R1181,0))/MAX(0.1,N(Parameter!$M$21)))</f>
        <v>0.0384615384615385</v>
      </c>
      <c r="AJ1181" s="62" t="n">
        <f aca="false">AI1181*CC1181</f>
        <v>5.96153846153846</v>
      </c>
      <c r="AK1181" s="63" t="n">
        <f aca="false">IF(LEFT(Cockpit!$C$5,1)="A",H1181,IF(CI1181=1,(CL1181+CJ1181)/2,IF(LEFT(Cockpit!$C$5,1)="B",(CL1181+AM1181)/2,MAX((CL1181+AM1181)/2,H1181))))</f>
        <v>23</v>
      </c>
      <c r="AL1181" s="62" t="n">
        <f aca="false">AK1181*G1181</f>
        <v>168.82</v>
      </c>
      <c r="AM1181" s="62" t="n">
        <f aca="false">ROUNDUP(CL1181+MAX(CM1181,2*(J1181/IF(CH1181&gt;0,CH1181,MAX(0.1,N(Cockpit!$C$6)))-CL1181)),0)</f>
        <v>25</v>
      </c>
      <c r="AN1181" s="63" t="n">
        <f aca="false">IF(AJ1181&gt;0,J1181/AJ1181,-1)</f>
        <v>4.0258064516129</v>
      </c>
      <c r="AO1181" s="63" t="n">
        <f aca="false">IF(AND(OR(CG1181="L1",CG1181="L23",CG1181="LIFT"),AJ1181&gt;0),SUMIFS($AJ$7:$AJ$1843,$CG$7:$CG$1843,CG1181,$AN$7:$AN$1843,"&gt;"&amp;AN1181)+SUMIFS($AJ$7:$AJ$1843,$CG$7:$CG$1843,CG1181,$AN$7:$AN$1843,AN1181,$BX$7:$BX$1843,"&lt;="&amp;BX1181),"")</f>
        <v>4370.61217948718</v>
      </c>
      <c r="AP1181" s="70" t="n">
        <f aca="false">IF(AO1181="",0,MAX(0,MIN(1,(IF(CG1181="L1",Parameter!$H$5,IF(CG1181="L23",Parameter!$H$6+Parameter!$H$7,Parameter!$H$5+Parameter!$H$6+Parameter!$H$7))-(AO1181-AJ1181))/AJ1181)))</f>
        <v>1</v>
      </c>
      <c r="AQ1181" s="62" t="n">
        <f aca="false">IF(LEFT(Cockpit!$I$5,1)="A",H1181,IF(Parameter!$E$30="MAX-Bestand",IF(CI1181=1,CJ1181,IF(LEFT(Cockpit!$I$5,1)="B",AW1181,MAX(AW1181,H1181))),ROUNDUP(AU1181,0)))</f>
        <v>23</v>
      </c>
      <c r="AR1181" s="62" t="n">
        <f aca="false">IF(CA1181=1,0,ROUNDUP(AQ1181/BZ1181,0))</f>
        <v>1</v>
      </c>
      <c r="AS1181" s="64" t="n">
        <f aca="false">IF(CR1181&gt;0,CR1181*MAX(1,AQ1181/X1181),IF(CA1181=1,IF(AQ1181&lt;=0,0,CE1181*MAX(1,IF(H1181&gt;0,AQ1181/H1181,1))),IF(R1181&gt;0,AR1181/R1181,0))/MAX(0.1,N(Parameter!$M$21)))</f>
        <v>0.0384615384615385</v>
      </c>
      <c r="AT1181" s="62" t="n">
        <f aca="false">AS1181*CC1181</f>
        <v>5.96153846153846</v>
      </c>
      <c r="AU1181" s="63" t="n">
        <f aca="false">IF(LEFT(Cockpit!$I$5,1)="A",H1181,IF(CI1181=1,(CL1181+CJ1181)/2,IF(LEFT(Cockpit!$I$5,1)="B",(CL1181+AW1181)/2,MAX((CL1181+AW1181)/2,H1181))))</f>
        <v>23</v>
      </c>
      <c r="AV1181" s="62" t="n">
        <f aca="false">AU1181*G1181</f>
        <v>168.82</v>
      </c>
      <c r="AW1181" s="62" t="n">
        <f aca="false">ROUNDUP(CL1181+MAX(CM1181,2*(J1181/IF(CH1181&gt;0,CH1181,MAX(0.1,N(Cockpit!$I$6)))-CL1181)),0)</f>
        <v>25</v>
      </c>
      <c r="AX1181" s="63" t="n">
        <f aca="false">IF(AT1181&gt;0,J1181/AT1181,-1)</f>
        <v>4.0258064516129</v>
      </c>
      <c r="AY1181" s="63" t="n">
        <f aca="false">IF(AND(OR(CG1181="L1",CG1181="L23",CG1181="LIFT"),AT1181&gt;0),SUMIFS($AT$7:$AT$1843,$CG$7:$CG$1843,CG1181,$AX$7:$AX$1843,"&gt;"&amp;AX1181)+SUMIFS($AT$7:$AT$1843,$CG$7:$CG$1843,CG1181,$AX$7:$AX$1843,AX1181,$BX$7:$BX$1843,"&lt;="&amp;BX1181),"")</f>
        <v>4979.60943223443</v>
      </c>
      <c r="AZ1181" s="70" t="n">
        <f aca="false">IF(AY1181="",0,MAX(0,MIN(1,(IF(CG1181="L1",Parameter!$H$5,IF(CG1181="L23",Parameter!$H$6+Parameter!$H$7,Parameter!$H$5+Parameter!$H$6+Parameter!$H$7))-(AY1181-AT1181))/AT1181)))</f>
        <v>1</v>
      </c>
      <c r="BA1181" s="62" t="n">
        <f aca="false">IF(LEFT(Cockpit!$O$5,1)="A",H1181,IF(Parameter!$E$30="MAX-Bestand",IF(CI1181=1,CJ1181,IF(LEFT(Cockpit!$O$5,1)="B",BG1181,MAX(BG1181,H1181))),ROUNDUP(BE1181,0)))</f>
        <v>13</v>
      </c>
      <c r="BB1181" s="62" t="n">
        <f aca="false">IF(CA1181=1,0,ROUNDUP(BA1181/BZ1181,0))</f>
        <v>1</v>
      </c>
      <c r="BC1181" s="64" t="n">
        <f aca="false">IF(CR1181&gt;0,CR1181*MAX(1,BA1181/X1181),IF(CA1181=1,IF(BA1181&lt;=0,0,CE1181*MAX(1,IF(H1181&gt;0,BA1181/H1181,1))),IF(R1181&gt;0,BB1181/R1181,0))/MAX(0.1,N(Parameter!$M$21)))</f>
        <v>0.0384615384615385</v>
      </c>
      <c r="BD1181" s="62" t="n">
        <f aca="false">BC1181*CC1181</f>
        <v>5.96153846153846</v>
      </c>
      <c r="BE1181" s="63" t="n">
        <f aca="false">IF(LEFT(Cockpit!$O$5,1)="A",H1181,IF(CI1181=1,(CL1181+CJ1181)/2,IF(LEFT(Cockpit!$O$5,1)="B",(CL1181+BG1181)/2,MAX((CL1181+BG1181)/2,H1181))))</f>
        <v>12.5</v>
      </c>
      <c r="BF1181" s="62" t="n">
        <f aca="false">BE1181*G1181</f>
        <v>91.75</v>
      </c>
      <c r="BG1181" s="62" t="n">
        <f aca="false">ROUNDUP(CL1181+MAX(CM1181,2*(J1181/IF(CH1181&gt;0,CH1181,MAX(0.1,N(Cockpit!$O$6)))-CL1181)),0)</f>
        <v>25</v>
      </c>
      <c r="BH1181" s="63" t="n">
        <f aca="false">IF(BD1181&gt;0,J1181/BD1181,-1)</f>
        <v>4.0258064516129</v>
      </c>
      <c r="BI1181" s="63" t="n">
        <f aca="false">IF(AND(OR(CG1181="L1",CG1181="L23",CG1181="LIFT"),BD1181&gt;0),SUMIFS($BD$7:$BD$1843,$CG$7:$CG$1843,CG1181,$BH$7:$BH$1843,"&gt;"&amp;BH1181)+SUMIFS($BD$7:$BD$1843,$CG$7:$CG$1843,CG1181,$BH$7:$BH$1843,BH1181,$BX$7:$BX$1843,"&lt;="&amp;BX1181),"")</f>
        <v>4097.17994505495</v>
      </c>
      <c r="BJ1181" s="70" t="n">
        <f aca="false">IF(BI1181="",0,MAX(0,MIN(1,(IF(CG1181="L1",Parameter!$H$5,IF(CG1181="L23",Parameter!$H$6+Parameter!$H$7,Parameter!$H$5+Parameter!$H$6+Parameter!$H$7))-(BI1181-BD1181))/BD1181)))</f>
        <v>1</v>
      </c>
      <c r="BK1181" s="60" t="str">
        <f aca="false">IF(AJ1181&lt;=0,"",IF(CG1181="Aussen","Aussenlager",IF(CG1181="-","Nicht im Lift",IF(AP1181&gt;=1,"Lift",IF(AP1181&lt;=0,"Aussenlager","teilweise")))))</f>
        <v>Lift</v>
      </c>
      <c r="BL1181" s="60" t="str">
        <f aca="false">IF(AT1181&lt;=0,"",IF(CG1181="Aussen","Aussenlager",IF(CG1181="-","Nicht im Lift",IF(AZ1181&gt;=1,"Lift",IF(AZ1181&lt;=0,"Aussenlager","teilweise")))))</f>
        <v>Lift</v>
      </c>
      <c r="BM1181" s="60" t="str">
        <f aca="false">IF(BD1181&lt;=0,"",IF(CG1181="Aussen","Aussenlager",IF(CG1181="-","Nicht im Lift",IF(BJ1181&gt;=1,"Lift",IF(BJ1181&lt;=0,"Aussenlager","teilweise")))))</f>
        <v>Lift</v>
      </c>
      <c r="BN1181" s="60" t="str">
        <f aca="false">IF(A1181="","",IF(BW1181=1,"Neu; ","")&amp;IF(AND(BW1181=0,BR1181&lt;0),"negativer Bestand (Export "&amp;BR1181&amp;"); ","")&amp;IF(J1181&lt;=0,"Kein Verbrauch; ","")&amp;IF(CR1181&gt;0,"Lift "&amp;W1181&amp;" lt. Liftbericht (Fach "&amp;X1181&amp;" Stk); ",IF(CB1181=1,"Gebinde geschätzt ("&amp;T1181&amp;"); ",IF(CA1181=1,"Lose – Tablare geschätzt; ","")))&amp;IF(H1181&gt;AW1181,"Überbestand "&amp;ROUND(H1181-AW1181,0)&amp;" Stk / CHF "&amp;ROUND((H1181-AW1181)*G1181,0)&amp;"; ","")&amp;IF(AND(CI1181=1,CJ1181&lt;CK1181),"MAX &lt; MB+LG; ","")&amp;IF(AND(CQ1181&gt;0,CP1181*10&gt;CQ1181),"zu hoch für Tablar; ","")&amp;IF(AND(BW1181=0,OR(CI1181=1,AB1181&lt;&gt;"",U1181&lt;&gt;"",V1181&lt;&gt;"",AC1181&lt;&gt;"")),"manuell übersteuert; ","")&amp;IF(AND(CA1181=0,R1181=0),"Gebinde unbekannt / Stellmass fehlt; ","")&amp;IF(AND(CA1181=0,N(V1181)&lt;=0,N(Q1181)&lt;=0),"Menge pro Gebinde fehlt (Ist = 1 Gebinde); ","")&amp;BV1181)</f>
        <v>negativer Bestand (Export -52); </v>
      </c>
      <c r="BO1181" s="60"/>
      <c r="BP1181" s="60"/>
      <c r="BQ1181" s="67"/>
      <c r="BR1181" s="62" t="n">
        <v>-52</v>
      </c>
      <c r="BS1181" s="62" t="n">
        <v>75</v>
      </c>
      <c r="BT1181" s="61" t="n">
        <v>-381.68</v>
      </c>
      <c r="BU1181" s="62" t="n">
        <v>24</v>
      </c>
      <c r="BV1181" s="60"/>
      <c r="BW1181" s="65" t="n">
        <v>0</v>
      </c>
      <c r="BX1181" s="65" t="n">
        <v>1181</v>
      </c>
      <c r="BY1181" s="60" t="str">
        <f aca="false">IF(U1181&lt;&gt;"",UPPER(TRIM(U1181)),IF(CB1181=1,UPPER(VLOOKUP(T1181,Parameter!$I$27:$K$29,2,0)),IF(P1181="","LOSE",P1181)))</f>
        <v>S51</v>
      </c>
      <c r="BZ1181" s="62" t="n">
        <f aca="false">IF(BY1181="LOSE",1,IF(N(V1181)&gt;0,V1181,IF(CB1181=1,MAX(1,N(VLOOKUP(T1181,Parameter!$I$27:$K$29,3,0)),H1181,N(N1181)),IF(N(Q1181)&gt;0,Q1181,MAX(1,H1181)))))</f>
        <v>35</v>
      </c>
      <c r="CA1181" s="65" t="n">
        <f aca="false">IF(BY1181="LOSE",1,0)</f>
        <v>0</v>
      </c>
      <c r="CB1181" s="65" t="n">
        <f aca="false">IF(AND(U1181="",OR(P1181="",P1181="LOSE"),T1181&lt;&gt;"",N(S1181)&lt;=0,ISNUMBER(MATCH(T1181,Parameter!$I$27:$I$29,0))),1,0)</f>
        <v>0</v>
      </c>
      <c r="CC1181" s="65" t="n">
        <f aca="false">IF(CR1181&gt;0,INDEX(Parameter!$H$5:$H$7,W1181)/INDEX(Parameter!$E$5:$E$7,W1181),IF(AND(CA1181=0,N(IFERROR(VLOOKUP(BY1181,'Gebinde-Kategorie'!$A$5:$N$45,14,0),0))&gt;0),VLOOKUP(BY1181,'Gebinde-Kategorie'!$A$5:$N$45,14,0)*10+Parameter!$M$23,Parameter!$M$24))</f>
        <v>155</v>
      </c>
      <c r="CD1181" s="60" t="str">
        <f aca="false">IF(AND(Parameter!$B$19="Ja",E1181&lt;&gt;"",ISNUMBER(MATCH(E1181,Parameter!$I$35:$I$52,0))),VLOOKUP(E1181,Parameter!$I$35:$J$52,2,0),IFERROR(VLOOKUP(D1181,Parameter!$A$35:$C$64,2,0),"Nein"))</f>
        <v>2+3</v>
      </c>
      <c r="CE1181" s="64" t="n">
        <f aca="false">IF(CA1181=0,0,IF(N(S1181)&gt;0,S1181,IFERROR(VLOOKUP(D1181,Parameter!$A$35:$C$64,3,0)+0,0)))</f>
        <v>0</v>
      </c>
      <c r="CF1181" s="60" t="n">
        <f aca="false">IF(AB1181&lt;&gt;"",AB1181,AA1181)</f>
        <v>3</v>
      </c>
      <c r="CG1181" s="60" t="str">
        <f aca="false">IF(OR(CF1181=1,CF1181=2,CF1181=3),IF(Parameter!$E$27="Ja","LIFT",IF(CF1181=1,"L1","L23")),IF(CF1181="Aussen","Aussen","-"))</f>
        <v>LIFT</v>
      </c>
      <c r="CH1181" s="71" t="n">
        <f aca="false">IF(N(AC1181)&gt;0,AC1181,0)</f>
        <v>0</v>
      </c>
      <c r="CI1181" s="65" t="n">
        <f aca="false">IF(ISNUMBER(AF1181),1,0)</f>
        <v>0</v>
      </c>
      <c r="CJ1181" s="62" t="n">
        <f aca="false">N(AF1181)</f>
        <v>0</v>
      </c>
      <c r="CK1181" s="62" t="n">
        <f aca="false">N(M1181)+N(N1181)</f>
        <v>25</v>
      </c>
      <c r="CL1181" s="62" t="n">
        <f aca="false">N(M1181)</f>
        <v>0</v>
      </c>
      <c r="CM1181" s="62" t="n">
        <f aca="false">N(N1181)</f>
        <v>25</v>
      </c>
      <c r="CN1181" s="62" t="n">
        <f aca="false">ROUNDUP(H1181/BZ1181,0)</f>
        <v>1</v>
      </c>
      <c r="CO1181" s="62" t="n">
        <f aca="false">ROUNDUP(CJ1181/BZ1181,0)</f>
        <v>0</v>
      </c>
      <c r="CP1181" s="65" t="n">
        <f aca="false">IF(CA1181=1,0,IFERROR(VLOOKUP(BY1181,'Gebinde-Kategorie'!$A$5:$N$45,5,0)+0,0))</f>
        <v>11</v>
      </c>
      <c r="CQ1181" s="65" t="n">
        <f aca="false">IFERROR(IF(OR(CF1181=1,CF1181=2,CF1181=3),N(INDEX(Parameter!$I$5:$I$7,CF1181)),0),0)</f>
        <v>0</v>
      </c>
      <c r="CR1181" s="64" t="n">
        <f aca="false">IF(AND(Parameter!$B$21="Ja",ISNUMBER(W1181),N(X1181)&gt;0),IFERROR(N(INDEX(Parameter!$L$5:$L$7,W1181))*INDEX(Parameter!$E$5:$E$7,W1181)*X1181/SUMIFS($X$7:$X$1843,$W$7:$W$1843,W1181),0),0)</f>
        <v>0</v>
      </c>
      <c r="CS1181" s="62" t="n">
        <f aca="false">IF(AND(OR(CG1181="L1",CG1181="L23",CG1181="LIFT"),H1181&gt;0),CC1181*IF(CR1181&gt;0,CR1181*MAX(1,H1181/X1181),IF(CA1181=1,CE1181,IF(R1181&gt;0,CN1181/R1181,0))/MAX(0.1,N(Parameter!$M$21))),"")</f>
        <v>5.96153846153846</v>
      </c>
      <c r="CT1181" s="64" t="n">
        <f aca="false">IF(CS1181="","",J1181/H1181)</f>
        <v>1.04347826086957</v>
      </c>
      <c r="CU1181" s="62" t="n">
        <f aca="false">IF(CS1181="","",H1181*G1181)</f>
        <v>168.82</v>
      </c>
      <c r="CV1181" s="63" t="n">
        <f aca="false">IF(CS1181="","",(CL1181+ROUNDUP(CL1181+MAX(CM1181,2*(J1181/MAX(0.1,N(Einkauf!$C$6))-CL1181)),0))/2)</f>
        <v>12.5</v>
      </c>
      <c r="CW1181" s="62" t="n">
        <f aca="false">IF(CS1181="","",MAX(0,H1181-CV1181)*G1181)</f>
        <v>77.07</v>
      </c>
      <c r="CX1181" s="62" t="n">
        <f aca="false">IF(CS1181="","",CS1181*MAX(0,1-CV1181/H1181))</f>
        <v>2.72157190635452</v>
      </c>
      <c r="CY1181" s="64" t="n">
        <f aca="false">IF(CS1181="","",PERCENTRANK($CS$7:$CS$1843,CS1181)+PERCENTRANK($CU$7:$CU$1843,CU1181)+1-PERCENTRANK($CT$7:$CT$1843,CT1181))</f>
        <v>0.995</v>
      </c>
      <c r="CZ1181" s="72" t="n">
        <f aca="false">IF(CS1181="","",CHOOSE(MATCH(Einkauf!$C$5,Parameter!$G$23:$G$27,0),CY1181,CS1181,CU1181,-CT1181,CW1181)+ROW()/1000000000)</f>
        <v>0.995001181</v>
      </c>
    </row>
    <row r="1182" customFormat="false" ht="15" hidden="false" customHeight="false" outlineLevel="0" collapsed="false">
      <c r="A1182" s="60" t="s">
        <v>2168</v>
      </c>
      <c r="B1182" s="60" t="s">
        <v>2169</v>
      </c>
      <c r="C1182" s="60" t="s">
        <v>206</v>
      </c>
      <c r="D1182" s="60" t="s">
        <v>226</v>
      </c>
      <c r="E1182" s="60" t="s">
        <v>227</v>
      </c>
      <c r="F1182" s="60" t="s">
        <v>260</v>
      </c>
      <c r="G1182" s="61" t="n">
        <v>63.61</v>
      </c>
      <c r="H1182" s="62" t="n">
        <f aca="false">MAX(0,IF(AND(Parameter!$B$21="Ja",ISNUMBER(Y1182)),Y1182,IF(Parameter!$B$20="Jahresanfang 2025 + Export",BS1182+BR1182,BR1182)))</f>
        <v>66</v>
      </c>
      <c r="I1182" s="62" t="n">
        <f aca="false">H1182*G1182</f>
        <v>4198.26</v>
      </c>
      <c r="J1182" s="62" t="n">
        <f aca="false">BU1182*Parameter!$B$18</f>
        <v>248</v>
      </c>
      <c r="K1182" s="63" t="n">
        <v>78</v>
      </c>
      <c r="L1182" s="64" t="n">
        <v>3.17948717948718</v>
      </c>
      <c r="M1182" s="62" t="n">
        <v>14</v>
      </c>
      <c r="N1182" s="62" t="n">
        <v>30</v>
      </c>
      <c r="O1182" s="65" t="n">
        <v>21</v>
      </c>
      <c r="P1182" s="60" t="s">
        <v>335</v>
      </c>
      <c r="Q1182" s="62" t="n">
        <v>27</v>
      </c>
      <c r="R1182" s="65" t="n">
        <f aca="false">IF(CA1182=1,0,IFERROR(VLOOKUP(BY1182,'Gebinde-Kategorie'!$A$5:$N$45,13,0)+0,0))</f>
        <v>12</v>
      </c>
      <c r="S1182" s="66"/>
      <c r="T1182" s="67"/>
      <c r="U1182" s="67"/>
      <c r="V1182" s="67"/>
      <c r="W1182" s="60"/>
      <c r="X1182" s="62"/>
      <c r="Y1182" s="62"/>
      <c r="Z1182" s="60" t="n">
        <v>3</v>
      </c>
      <c r="AA1182" s="60" t="n">
        <f aca="false">IF(A1182="","",IF(AND(Parameter!$B$21="Ja",ISNUMBER(W1182)),W1182,IF(AND(Parameter!$E$27="Ja",ISNUMBER(Z1182),CD1182&lt;&gt;"Nein"),Z1182,IF(CD1182="2+3",IF(ISNUMBER(SEARCH("grosser Artikel",BV1182)),2,IFERROR(VLOOKUP(BY1182,Parameter!$F$35:$G$64,2,0),2)),IF(OR(CD1182="Nein",CD1182=""),"-",CD1182)))))</f>
        <v>3</v>
      </c>
      <c r="AB1182" s="67"/>
      <c r="AC1182" s="68"/>
      <c r="AD1182" s="62" t="n">
        <f aca="false">AW1182</f>
        <v>152</v>
      </c>
      <c r="AE1182" s="62" t="n">
        <f aca="false">MAX(AW1182,H1182)</f>
        <v>152</v>
      </c>
      <c r="AF1182" s="69"/>
      <c r="AG1182" s="62" t="n">
        <f aca="false">IF(LEFT(Cockpit!$C$5,1)="A",H1182,IF(Parameter!$E$30="MAX-Bestand",IF(CI1182=1,CJ1182,IF(LEFT(Cockpit!$C$5,1)="B",AM1182,MAX(AM1182,H1182))),ROUNDUP(AK1182,0)))</f>
        <v>66</v>
      </c>
      <c r="AH1182" s="62" t="n">
        <f aca="false">IF(CA1182=1,0,ROUNDUP(AG1182/BZ1182,0))</f>
        <v>3</v>
      </c>
      <c r="AI1182" s="64" t="n">
        <f aca="false">IF(CR1182&gt;0,CR1182*MAX(1,AG1182/X1182),IF(CA1182=1,IF(AG1182&lt;=0,0,CE1182*MAX(1,IF(H1182&gt;0,AG1182/H1182,1))),IF(R1182&gt;0,AH1182/R1182,0))/MAX(0.1,N(Parameter!$M$21)))</f>
        <v>0.25</v>
      </c>
      <c r="AJ1182" s="62" t="n">
        <f aca="false">AI1182*CC1182</f>
        <v>61.25</v>
      </c>
      <c r="AK1182" s="63" t="n">
        <f aca="false">IF(LEFT(Cockpit!$C$5,1)="A",H1182,IF(CI1182=1,(CL1182+CJ1182)/2,IF(LEFT(Cockpit!$C$5,1)="B",(CL1182+AM1182)/2,MAX((CL1182+AM1182)/2,H1182))))</f>
        <v>66</v>
      </c>
      <c r="AL1182" s="62" t="n">
        <f aca="false">AK1182*G1182</f>
        <v>4198.26</v>
      </c>
      <c r="AM1182" s="62" t="n">
        <f aca="false">ROUNDUP(CL1182+MAX(CM1182,2*(J1182/IF(CH1182&gt;0,CH1182,MAX(0.1,N(Cockpit!$C$6)))-CL1182)),0)</f>
        <v>152</v>
      </c>
      <c r="AN1182" s="63" t="n">
        <f aca="false">IF(AJ1182&gt;0,J1182/AJ1182,-1)</f>
        <v>4.04897959183673</v>
      </c>
      <c r="AO1182" s="63" t="n">
        <f aca="false">IF(AND(OR(CG1182="L1",CG1182="L23",CG1182="LIFT"),AJ1182&gt;0),SUMIFS($AJ$7:$AJ$1843,$CG$7:$CG$1843,CG1182,$AN$7:$AN$1843,"&gt;"&amp;AN1182)+SUMIFS($AJ$7:$AJ$1843,$CG$7:$CG$1843,CG1182,$AN$7:$AN$1843,AN1182,$BX$7:$BX$1843,"&lt;="&amp;BX1182),"")</f>
        <v>4310.9967948718</v>
      </c>
      <c r="AP1182" s="70" t="n">
        <f aca="false">IF(AO1182="",0,MAX(0,MIN(1,(IF(CG1182="L1",Parameter!$H$5,IF(CG1182="L23",Parameter!$H$6+Parameter!$H$7,Parameter!$H$5+Parameter!$H$6+Parameter!$H$7))-(AO1182-AJ1182))/AJ1182)))</f>
        <v>1</v>
      </c>
      <c r="AQ1182" s="62" t="n">
        <f aca="false">IF(LEFT(Cockpit!$I$5,1)="A",H1182,IF(Parameter!$E$30="MAX-Bestand",IF(CI1182=1,CJ1182,IF(LEFT(Cockpit!$I$5,1)="B",AW1182,MAX(AW1182,H1182))),ROUNDUP(AU1182,0)))</f>
        <v>83</v>
      </c>
      <c r="AR1182" s="62" t="n">
        <f aca="false">IF(CA1182=1,0,ROUNDUP(AQ1182/BZ1182,0))</f>
        <v>4</v>
      </c>
      <c r="AS1182" s="64" t="n">
        <f aca="false">IF(CR1182&gt;0,CR1182*MAX(1,AQ1182/X1182),IF(CA1182=1,IF(AQ1182&lt;=0,0,CE1182*MAX(1,IF(H1182&gt;0,AQ1182/H1182,1))),IF(R1182&gt;0,AR1182/R1182,0))/MAX(0.1,N(Parameter!$M$21)))</f>
        <v>0.333333333333333</v>
      </c>
      <c r="AT1182" s="62" t="n">
        <f aca="false">AS1182*CC1182</f>
        <v>81.6666666666667</v>
      </c>
      <c r="AU1182" s="63" t="n">
        <f aca="false">IF(LEFT(Cockpit!$I$5,1)="A",H1182,IF(CI1182=1,(CL1182+CJ1182)/2,IF(LEFT(Cockpit!$I$5,1)="B",(CL1182+AW1182)/2,MAX((CL1182+AW1182)/2,H1182))))</f>
        <v>83</v>
      </c>
      <c r="AV1182" s="62" t="n">
        <f aca="false">AU1182*G1182</f>
        <v>5279.63</v>
      </c>
      <c r="AW1182" s="62" t="n">
        <f aca="false">ROUNDUP(CL1182+MAX(CM1182,2*(J1182/IF(CH1182&gt;0,CH1182,MAX(0.1,N(Cockpit!$I$6)))-CL1182)),0)</f>
        <v>152</v>
      </c>
      <c r="AX1182" s="63" t="n">
        <f aca="false">IF(AT1182&gt;0,J1182/AT1182,-1)</f>
        <v>3.03673469387755</v>
      </c>
      <c r="AY1182" s="63" t="n">
        <f aca="false">IF(AND(OR(CG1182="L1",CG1182="L23",CG1182="LIFT"),AT1182&gt;0),SUMIFS($AT$7:$AT$1843,$CG$7:$CG$1843,CG1182,$AX$7:$AX$1843,"&gt;"&amp;AX1182)+SUMIFS($AT$7:$AT$1843,$CG$7:$CG$1843,CG1182,$AX$7:$AX$1843,AX1182,$BX$7:$BX$1843,"&lt;="&amp;BX1182),"")</f>
        <v>5907.54990842491</v>
      </c>
      <c r="AZ1182" s="70" t="n">
        <f aca="false">IF(AY1182="",0,MAX(0,MIN(1,(IF(CG1182="L1",Parameter!$H$5,IF(CG1182="L23",Parameter!$H$6+Parameter!$H$7,Parameter!$H$5+Parameter!$H$6+Parameter!$H$7))-(AY1182-AT1182))/AT1182)))</f>
        <v>1</v>
      </c>
      <c r="BA1182" s="62" t="n">
        <f aca="false">IF(LEFT(Cockpit!$O$5,1)="A",H1182,IF(Parameter!$E$30="MAX-Bestand",IF(CI1182=1,CJ1182,IF(LEFT(Cockpit!$O$5,1)="B",BG1182,MAX(BG1182,H1182))),ROUNDUP(BE1182,0)))</f>
        <v>62</v>
      </c>
      <c r="BB1182" s="62" t="n">
        <f aca="false">IF(CA1182=1,0,ROUNDUP(BA1182/BZ1182,0))</f>
        <v>3</v>
      </c>
      <c r="BC1182" s="64" t="n">
        <f aca="false">IF(CR1182&gt;0,CR1182*MAX(1,BA1182/X1182),IF(CA1182=1,IF(BA1182&lt;=0,0,CE1182*MAX(1,IF(H1182&gt;0,BA1182/H1182,1))),IF(R1182&gt;0,BB1182/R1182,0))/MAX(0.1,N(Parameter!$M$21)))</f>
        <v>0.25</v>
      </c>
      <c r="BD1182" s="62" t="n">
        <f aca="false">BC1182*CC1182</f>
        <v>61.25</v>
      </c>
      <c r="BE1182" s="63" t="n">
        <f aca="false">IF(LEFT(Cockpit!$O$5,1)="A",H1182,IF(CI1182=1,(CL1182+CJ1182)/2,IF(LEFT(Cockpit!$O$5,1)="B",(CL1182+BG1182)/2,MAX((CL1182+BG1182)/2,H1182))))</f>
        <v>62</v>
      </c>
      <c r="BF1182" s="62" t="n">
        <f aca="false">BE1182*G1182</f>
        <v>3943.82</v>
      </c>
      <c r="BG1182" s="62" t="n">
        <f aca="false">ROUNDUP(CL1182+MAX(CM1182,2*(J1182/IF(CH1182&gt;0,CH1182,MAX(0.1,N(Cockpit!$O$6)))-CL1182)),0)</f>
        <v>110</v>
      </c>
      <c r="BH1182" s="63" t="n">
        <f aca="false">IF(BD1182&gt;0,J1182/BD1182,-1)</f>
        <v>4.04897959183673</v>
      </c>
      <c r="BI1182" s="63" t="n">
        <f aca="false">IF(AND(OR(CG1182="L1",CG1182="L23",CG1182="LIFT"),BD1182&gt;0),SUMIFS($BD$7:$BD$1843,$CG$7:$CG$1843,CG1182,$BH$7:$BH$1843,"&gt;"&amp;BH1182)+SUMIFS($BD$7:$BD$1843,$CG$7:$CG$1843,CG1182,$BH$7:$BH$1843,BH1182,$BX$7:$BX$1843,"&lt;="&amp;BX1182),"")</f>
        <v>4030.11263736264</v>
      </c>
      <c r="BJ1182" s="70" t="n">
        <f aca="false">IF(BI1182="",0,MAX(0,MIN(1,(IF(CG1182="L1",Parameter!$H$5,IF(CG1182="L23",Parameter!$H$6+Parameter!$H$7,Parameter!$H$5+Parameter!$H$6+Parameter!$H$7))-(BI1182-BD1182))/BD1182)))</f>
        <v>1</v>
      </c>
      <c r="BK1182" s="60" t="str">
        <f aca="false">IF(AJ1182&lt;=0,"",IF(CG1182="Aussen","Aussenlager",IF(CG1182="-","Nicht im Lift",IF(AP1182&gt;=1,"Lift",IF(AP1182&lt;=0,"Aussenlager","teilweise")))))</f>
        <v>Lift</v>
      </c>
      <c r="BL1182" s="60" t="str">
        <f aca="false">IF(AT1182&lt;=0,"",IF(CG1182="Aussen","Aussenlager",IF(CG1182="-","Nicht im Lift",IF(AZ1182&gt;=1,"Lift",IF(AZ1182&lt;=0,"Aussenlager","teilweise")))))</f>
        <v>Lift</v>
      </c>
      <c r="BM1182" s="60" t="str">
        <f aca="false">IF(BD1182&lt;=0,"",IF(CG1182="Aussen","Aussenlager",IF(CG1182="-","Nicht im Lift",IF(BJ1182&gt;=1,"Lift",IF(BJ1182&lt;=0,"Aussenlager","teilweise")))))</f>
        <v>Lift</v>
      </c>
      <c r="BN1182" s="60" t="str">
        <f aca="false">IF(A1182="","",IF(BW1182=1,"Neu; ","")&amp;IF(AND(BW1182=0,BR1182&lt;0),"negativer Bestand (Export "&amp;BR1182&amp;"); ","")&amp;IF(J1182&lt;=0,"Kein Verbrauch; ","")&amp;IF(CR1182&gt;0,"Lift "&amp;W1182&amp;" lt. Liftbericht (Fach "&amp;X1182&amp;" Stk); ",IF(CB1182=1,"Gebinde geschätzt ("&amp;T1182&amp;"); ",IF(CA1182=1,"Lose – Tablare geschätzt; ","")))&amp;IF(H1182&gt;AW1182,"Überbestand "&amp;ROUND(H1182-AW1182,0)&amp;" Stk / CHF "&amp;ROUND((H1182-AW1182)*G1182,0)&amp;"; ","")&amp;IF(AND(CI1182=1,CJ1182&lt;CK1182),"MAX &lt; MB+LG; ","")&amp;IF(AND(CQ1182&gt;0,CP1182*10&gt;CQ1182),"zu hoch für Tablar; ","")&amp;IF(AND(BW1182=0,OR(CI1182=1,AB1182&lt;&gt;"",U1182&lt;&gt;"",V1182&lt;&gt;"",AC1182&lt;&gt;"")),"manuell übersteuert; ","")&amp;IF(AND(CA1182=0,R1182=0),"Gebinde unbekannt / Stellmass fehlt; ","")&amp;IF(AND(CA1182=0,N(V1182)&lt;=0,N(Q1182)&lt;=0),"Menge pro Gebinde fehlt (Ist = 1 Gebinde); ","")&amp;BV1182)</f>
        <v/>
      </c>
      <c r="BO1182" s="60"/>
      <c r="BP1182" s="60"/>
      <c r="BQ1182" s="67"/>
      <c r="BR1182" s="62" t="n">
        <v>15</v>
      </c>
      <c r="BS1182" s="62" t="n">
        <v>51</v>
      </c>
      <c r="BT1182" s="61" t="n">
        <v>-384.089999999989</v>
      </c>
      <c r="BU1182" s="62" t="n">
        <v>248</v>
      </c>
      <c r="BV1182" s="60"/>
      <c r="BW1182" s="65" t="n">
        <v>0</v>
      </c>
      <c r="BX1182" s="65" t="n">
        <v>1182</v>
      </c>
      <c r="BY1182" s="60" t="str">
        <f aca="false">IF(U1182&lt;&gt;"",UPPER(TRIM(U1182)),IF(CB1182=1,UPPER(VLOOKUP(T1182,Parameter!$I$27:$K$29,2,0)),IF(P1182="","LOSE",P1182)))</f>
        <v>S62</v>
      </c>
      <c r="BZ1182" s="62" t="n">
        <f aca="false">IF(BY1182="LOSE",1,IF(N(V1182)&gt;0,V1182,IF(CB1182=1,MAX(1,N(VLOOKUP(T1182,Parameter!$I$27:$K$29,3,0)),H1182,N(N1182)),IF(N(Q1182)&gt;0,Q1182,MAX(1,H1182)))))</f>
        <v>27</v>
      </c>
      <c r="CA1182" s="65" t="n">
        <f aca="false">IF(BY1182="LOSE",1,0)</f>
        <v>0</v>
      </c>
      <c r="CB1182" s="65" t="n">
        <f aca="false">IF(AND(U1182="",OR(P1182="",P1182="LOSE"),T1182&lt;&gt;"",N(S1182)&lt;=0,ISNUMBER(MATCH(T1182,Parameter!$I$27:$I$29,0))),1,0)</f>
        <v>0</v>
      </c>
      <c r="CC1182" s="65" t="n">
        <f aca="false">IF(CR1182&gt;0,INDEX(Parameter!$H$5:$H$7,W1182)/INDEX(Parameter!$E$5:$E$7,W1182),IF(AND(CA1182=0,N(IFERROR(VLOOKUP(BY1182,'Gebinde-Kategorie'!$A$5:$N$45,14,0),0))&gt;0),VLOOKUP(BY1182,'Gebinde-Kategorie'!$A$5:$N$45,14,0)*10+Parameter!$M$23,Parameter!$M$24))</f>
        <v>245</v>
      </c>
      <c r="CD1182" s="60" t="str">
        <f aca="false">IF(AND(Parameter!$B$19="Ja",E1182&lt;&gt;"",ISNUMBER(MATCH(E1182,Parameter!$I$35:$I$52,0))),VLOOKUP(E1182,Parameter!$I$35:$J$52,2,0),IFERROR(VLOOKUP(D1182,Parameter!$A$35:$C$64,2,0),"Nein"))</f>
        <v>2+3</v>
      </c>
      <c r="CE1182" s="64" t="n">
        <f aca="false">IF(CA1182=0,0,IF(N(S1182)&gt;0,S1182,IFERROR(VLOOKUP(D1182,Parameter!$A$35:$C$64,3,0)+0,0)))</f>
        <v>0</v>
      </c>
      <c r="CF1182" s="60" t="n">
        <f aca="false">IF(AB1182&lt;&gt;"",AB1182,AA1182)</f>
        <v>3</v>
      </c>
      <c r="CG1182" s="60" t="str">
        <f aca="false">IF(OR(CF1182=1,CF1182=2,CF1182=3),IF(Parameter!$E$27="Ja","LIFT",IF(CF1182=1,"L1","L23")),IF(CF1182="Aussen","Aussen","-"))</f>
        <v>LIFT</v>
      </c>
      <c r="CH1182" s="71" t="n">
        <f aca="false">IF(N(AC1182)&gt;0,AC1182,0)</f>
        <v>0</v>
      </c>
      <c r="CI1182" s="65" t="n">
        <f aca="false">IF(ISNUMBER(AF1182),1,0)</f>
        <v>0</v>
      </c>
      <c r="CJ1182" s="62" t="n">
        <f aca="false">N(AF1182)</f>
        <v>0</v>
      </c>
      <c r="CK1182" s="62" t="n">
        <f aca="false">N(M1182)+N(N1182)</f>
        <v>44</v>
      </c>
      <c r="CL1182" s="62" t="n">
        <f aca="false">N(M1182)</f>
        <v>14</v>
      </c>
      <c r="CM1182" s="62" t="n">
        <f aca="false">N(N1182)</f>
        <v>30</v>
      </c>
      <c r="CN1182" s="62" t="n">
        <f aca="false">ROUNDUP(H1182/BZ1182,0)</f>
        <v>3</v>
      </c>
      <c r="CO1182" s="62" t="n">
        <f aca="false">ROUNDUP(CJ1182/BZ1182,0)</f>
        <v>0</v>
      </c>
      <c r="CP1182" s="65" t="n">
        <f aca="false">IF(CA1182=1,0,IFERROR(VLOOKUP(BY1182,'Gebinde-Kategorie'!$A$5:$N$45,5,0)+0,0))</f>
        <v>21</v>
      </c>
      <c r="CQ1182" s="65" t="n">
        <f aca="false">IFERROR(IF(OR(CF1182=1,CF1182=2,CF1182=3),N(INDEX(Parameter!$I$5:$I$7,CF1182)),0),0)</f>
        <v>0</v>
      </c>
      <c r="CR1182" s="64" t="n">
        <f aca="false">IF(AND(Parameter!$B$21="Ja",ISNUMBER(W1182),N(X1182)&gt;0),IFERROR(N(INDEX(Parameter!$L$5:$L$7,W1182))*INDEX(Parameter!$E$5:$E$7,W1182)*X1182/SUMIFS($X$7:$X$1843,$W$7:$W$1843,W1182),0),0)</f>
        <v>0</v>
      </c>
      <c r="CS1182" s="62" t="n">
        <f aca="false">IF(AND(OR(CG1182="L1",CG1182="L23",CG1182="LIFT"),H1182&gt;0),CC1182*IF(CR1182&gt;0,CR1182*MAX(1,H1182/X1182),IF(CA1182=1,CE1182,IF(R1182&gt;0,CN1182/R1182,0))/MAX(0.1,N(Parameter!$M$21))),"")</f>
        <v>61.25</v>
      </c>
      <c r="CT1182" s="64" t="n">
        <f aca="false">IF(CS1182="","",J1182/H1182)</f>
        <v>3.75757575757576</v>
      </c>
      <c r="CU1182" s="62" t="n">
        <f aca="false">IF(CS1182="","",H1182*G1182)</f>
        <v>4198.26</v>
      </c>
      <c r="CV1182" s="63" t="n">
        <f aca="false">IF(CS1182="","",(CL1182+ROUNDUP(CL1182+MAX(CM1182,2*(J1182/MAX(0.1,N(Einkauf!$C$6))-CL1182)),0))/2)</f>
        <v>62</v>
      </c>
      <c r="CW1182" s="62" t="n">
        <f aca="false">IF(CS1182="","",MAX(0,H1182-CV1182)*G1182)</f>
        <v>254.44</v>
      </c>
      <c r="CX1182" s="62" t="n">
        <f aca="false">IF(CS1182="","",CS1182*MAX(0,1-CV1182/H1182))</f>
        <v>3.71212121212121</v>
      </c>
      <c r="CY1182" s="64" t="n">
        <f aca="false">IF(CS1182="","",PERCENTRANK($CS$7:$CS$1843,CS1182)+PERCENTRANK($CU$7:$CU$1843,CU1182)+1-PERCENTRANK($CT$7:$CT$1843,CT1182))</f>
        <v>1.896</v>
      </c>
      <c r="CZ1182" s="72" t="n">
        <f aca="false">IF(CS1182="","",CHOOSE(MATCH(Einkauf!$C$5,Parameter!$G$23:$G$27,0),CY1182,CS1182,CU1182,-CT1182,CW1182)+ROW()/1000000000)</f>
        <v>1.896001182</v>
      </c>
    </row>
    <row r="1183" customFormat="false" ht="15" hidden="false" customHeight="false" outlineLevel="0" collapsed="false">
      <c r="A1183" s="60" t="s">
        <v>2170</v>
      </c>
      <c r="B1183" s="60" t="s">
        <v>2171</v>
      </c>
      <c r="C1183" s="60" t="s">
        <v>206</v>
      </c>
      <c r="D1183" s="60" t="s">
        <v>226</v>
      </c>
      <c r="E1183" s="60" t="s">
        <v>227</v>
      </c>
      <c r="F1183" s="60" t="s">
        <v>260</v>
      </c>
      <c r="G1183" s="61" t="n">
        <v>181.86</v>
      </c>
      <c r="H1183" s="62" t="n">
        <f aca="false">MAX(0,IF(AND(Parameter!$B$21="Ja",ISNUMBER(Y1183)),Y1183,IF(Parameter!$B$20="Jahresanfang 2025 + Export",BS1183+BR1183,BR1183)))</f>
        <v>8</v>
      </c>
      <c r="I1183" s="62" t="n">
        <f aca="false">H1183*G1183</f>
        <v>1454.88</v>
      </c>
      <c r="J1183" s="62" t="n">
        <f aca="false">BU1183*Parameter!$B$18</f>
        <v>20</v>
      </c>
      <c r="K1183" s="63" t="n">
        <v>8.5</v>
      </c>
      <c r="L1183" s="64" t="n">
        <v>2.35294117647059</v>
      </c>
      <c r="M1183" s="62" t="n">
        <v>1</v>
      </c>
      <c r="N1183" s="62" t="n">
        <v>15</v>
      </c>
      <c r="O1183" s="65" t="n">
        <v>28</v>
      </c>
      <c r="P1183" s="60" t="s">
        <v>275</v>
      </c>
      <c r="Q1183" s="62" t="n">
        <v>30</v>
      </c>
      <c r="R1183" s="65" t="n">
        <f aca="false">IF(CA1183=1,0,IFERROR(VLOOKUP(BY1183,'Gebinde-Kategorie'!$A$5:$N$45,13,0)+0,0))</f>
        <v>26</v>
      </c>
      <c r="S1183" s="66"/>
      <c r="T1183" s="67"/>
      <c r="U1183" s="67"/>
      <c r="V1183" s="67"/>
      <c r="W1183" s="60"/>
      <c r="X1183" s="62"/>
      <c r="Y1183" s="62"/>
      <c r="Z1183" s="60" t="n">
        <v>3</v>
      </c>
      <c r="AA1183" s="60" t="n">
        <f aca="false">IF(A1183="","",IF(AND(Parameter!$B$21="Ja",ISNUMBER(W1183)),W1183,IF(AND(Parameter!$E$27="Ja",ISNUMBER(Z1183),CD1183&lt;&gt;"Nein"),Z1183,IF(CD1183="2+3",IF(ISNUMBER(SEARCH("grosser Artikel",BV1183)),2,IFERROR(VLOOKUP(BY1183,Parameter!$F$35:$G$64,2,0),2)),IF(OR(CD1183="Nein",CD1183=""),"-",CD1183)))))</f>
        <v>3</v>
      </c>
      <c r="AB1183" s="67"/>
      <c r="AC1183" s="68"/>
      <c r="AD1183" s="62" t="n">
        <f aca="false">AW1183</f>
        <v>16</v>
      </c>
      <c r="AE1183" s="62" t="n">
        <f aca="false">MAX(AW1183,H1183)</f>
        <v>16</v>
      </c>
      <c r="AF1183" s="69"/>
      <c r="AG1183" s="62" t="n">
        <f aca="false">IF(LEFT(Cockpit!$C$5,1)="A",H1183,IF(Parameter!$E$30="MAX-Bestand",IF(CI1183=1,CJ1183,IF(LEFT(Cockpit!$C$5,1)="B",AM1183,MAX(AM1183,H1183))),ROUNDUP(AK1183,0)))</f>
        <v>8</v>
      </c>
      <c r="AH1183" s="62" t="n">
        <f aca="false">IF(CA1183=1,0,ROUNDUP(AG1183/BZ1183,0))</f>
        <v>1</v>
      </c>
      <c r="AI1183" s="64" t="n">
        <f aca="false">IF(CR1183&gt;0,CR1183*MAX(1,AG1183/X1183),IF(CA1183=1,IF(AG1183&lt;=0,0,CE1183*MAX(1,IF(H1183&gt;0,AG1183/H1183,1))),IF(R1183&gt;0,AH1183/R1183,0))/MAX(0.1,N(Parameter!$M$21)))</f>
        <v>0.0384615384615385</v>
      </c>
      <c r="AJ1183" s="62" t="n">
        <f aca="false">AI1183*CC1183</f>
        <v>9.42307692307692</v>
      </c>
      <c r="AK1183" s="63" t="n">
        <f aca="false">IF(LEFT(Cockpit!$C$5,1)="A",H1183,IF(CI1183=1,(CL1183+CJ1183)/2,IF(LEFT(Cockpit!$C$5,1)="B",(CL1183+AM1183)/2,MAX((CL1183+AM1183)/2,H1183))))</f>
        <v>8</v>
      </c>
      <c r="AL1183" s="62" t="n">
        <f aca="false">AK1183*G1183</f>
        <v>1454.88</v>
      </c>
      <c r="AM1183" s="62" t="n">
        <f aca="false">ROUNDUP(CL1183+MAX(CM1183,2*(J1183/IF(CH1183&gt;0,CH1183,MAX(0.1,N(Cockpit!$C$6)))-CL1183)),0)</f>
        <v>16</v>
      </c>
      <c r="AN1183" s="63" t="n">
        <f aca="false">IF(AJ1183&gt;0,J1183/AJ1183,-1)</f>
        <v>2.12244897959184</v>
      </c>
      <c r="AO1183" s="63" t="n">
        <f aca="false">IF(AND(OR(CG1183="L1",CG1183="L23",CG1183="LIFT"),AJ1183&gt;0),SUMIFS($AJ$7:$AJ$1843,$CG$7:$CG$1843,CG1183,$AN$7:$AN$1843,"&gt;"&amp;AN1183)+SUMIFS($AJ$7:$AJ$1843,$CG$7:$CG$1843,CG1183,$AN$7:$AN$1843,AN1183,$BX$7:$BX$1843,"&lt;="&amp;BX1183),"")</f>
        <v>5738.5260989011</v>
      </c>
      <c r="AP1183" s="70" t="n">
        <f aca="false">IF(AO1183="",0,MAX(0,MIN(1,(IF(CG1183="L1",Parameter!$H$5,IF(CG1183="L23",Parameter!$H$6+Parameter!$H$7,Parameter!$H$5+Parameter!$H$6+Parameter!$H$7))-(AO1183-AJ1183))/AJ1183)))</f>
        <v>1</v>
      </c>
      <c r="AQ1183" s="62" t="n">
        <f aca="false">IF(LEFT(Cockpit!$I$5,1)="A",H1183,IF(Parameter!$E$30="MAX-Bestand",IF(CI1183=1,CJ1183,IF(LEFT(Cockpit!$I$5,1)="B",AW1183,MAX(AW1183,H1183))),ROUNDUP(AU1183,0)))</f>
        <v>9</v>
      </c>
      <c r="AR1183" s="62" t="n">
        <f aca="false">IF(CA1183=1,0,ROUNDUP(AQ1183/BZ1183,0))</f>
        <v>1</v>
      </c>
      <c r="AS1183" s="64" t="n">
        <f aca="false">IF(CR1183&gt;0,CR1183*MAX(1,AQ1183/X1183),IF(CA1183=1,IF(AQ1183&lt;=0,0,CE1183*MAX(1,IF(H1183&gt;0,AQ1183/H1183,1))),IF(R1183&gt;0,AR1183/R1183,0))/MAX(0.1,N(Parameter!$M$21)))</f>
        <v>0.0384615384615385</v>
      </c>
      <c r="AT1183" s="62" t="n">
        <f aca="false">AS1183*CC1183</f>
        <v>9.42307692307692</v>
      </c>
      <c r="AU1183" s="63" t="n">
        <f aca="false">IF(LEFT(Cockpit!$I$5,1)="A",H1183,IF(CI1183=1,(CL1183+CJ1183)/2,IF(LEFT(Cockpit!$I$5,1)="B",(CL1183+AW1183)/2,MAX((CL1183+AW1183)/2,H1183))))</f>
        <v>8.5</v>
      </c>
      <c r="AV1183" s="62" t="n">
        <f aca="false">AU1183*G1183</f>
        <v>1545.81</v>
      </c>
      <c r="AW1183" s="62" t="n">
        <f aca="false">ROUNDUP(CL1183+MAX(CM1183,2*(J1183/IF(CH1183&gt;0,CH1183,MAX(0.1,N(Cockpit!$I$6)))-CL1183)),0)</f>
        <v>16</v>
      </c>
      <c r="AX1183" s="63" t="n">
        <f aca="false">IF(AT1183&gt;0,J1183/AT1183,-1)</f>
        <v>2.12244897959184</v>
      </c>
      <c r="AY1183" s="63" t="n">
        <f aca="false">IF(AND(OR(CG1183="L1",CG1183="L23",CG1183="LIFT"),AT1183&gt;0),SUMIFS($AT$7:$AT$1843,$CG$7:$CG$1843,CG1183,$AX$7:$AX$1843,"&gt;"&amp;AX1183)+SUMIFS($AT$7:$AT$1843,$CG$7:$CG$1843,CG1183,$AX$7:$AX$1843,AX1183,$BX$7:$BX$1843,"&lt;="&amp;BX1183),"")</f>
        <v>7040.21565934066</v>
      </c>
      <c r="AZ1183" s="70" t="n">
        <f aca="false">IF(AY1183="",0,MAX(0,MIN(1,(IF(CG1183="L1",Parameter!$H$5,IF(CG1183="L23",Parameter!$H$6+Parameter!$H$7,Parameter!$H$5+Parameter!$H$6+Parameter!$H$7))-(AY1183-AT1183))/AT1183)))</f>
        <v>1</v>
      </c>
      <c r="BA1183" s="62" t="n">
        <f aca="false">IF(LEFT(Cockpit!$O$5,1)="A",H1183,IF(Parameter!$E$30="MAX-Bestand",IF(CI1183=1,CJ1183,IF(LEFT(Cockpit!$O$5,1)="B",BG1183,MAX(BG1183,H1183))),ROUNDUP(BE1183,0)))</f>
        <v>9</v>
      </c>
      <c r="BB1183" s="62" t="n">
        <f aca="false">IF(CA1183=1,0,ROUNDUP(BA1183/BZ1183,0))</f>
        <v>1</v>
      </c>
      <c r="BC1183" s="64" t="n">
        <f aca="false">IF(CR1183&gt;0,CR1183*MAX(1,BA1183/X1183),IF(CA1183=1,IF(BA1183&lt;=0,0,CE1183*MAX(1,IF(H1183&gt;0,BA1183/H1183,1))),IF(R1183&gt;0,BB1183/R1183,0))/MAX(0.1,N(Parameter!$M$21)))</f>
        <v>0.0384615384615385</v>
      </c>
      <c r="BD1183" s="62" t="n">
        <f aca="false">BC1183*CC1183</f>
        <v>9.42307692307692</v>
      </c>
      <c r="BE1183" s="63" t="n">
        <f aca="false">IF(LEFT(Cockpit!$O$5,1)="A",H1183,IF(CI1183=1,(CL1183+CJ1183)/2,IF(LEFT(Cockpit!$O$5,1)="B",(CL1183+BG1183)/2,MAX((CL1183+BG1183)/2,H1183))))</f>
        <v>8.5</v>
      </c>
      <c r="BF1183" s="62" t="n">
        <f aca="false">BE1183*G1183</f>
        <v>1545.81</v>
      </c>
      <c r="BG1183" s="62" t="n">
        <f aca="false">ROUNDUP(CL1183+MAX(CM1183,2*(J1183/IF(CH1183&gt;0,CH1183,MAX(0.1,N(Cockpit!$O$6)))-CL1183)),0)</f>
        <v>16</v>
      </c>
      <c r="BH1183" s="63" t="n">
        <f aca="false">IF(BD1183&gt;0,J1183/BD1183,-1)</f>
        <v>2.12244897959184</v>
      </c>
      <c r="BI1183" s="63" t="n">
        <f aca="false">IF(AND(OR(CG1183="L1",CG1183="L23",CG1183="LIFT"),BD1183&gt;0),SUMIFS($BD$7:$BD$1843,$CG$7:$CG$1843,CG1183,$BH$7:$BH$1843,"&gt;"&amp;BH1183)+SUMIFS($BD$7:$BD$1843,$CG$7:$CG$1843,CG1183,$BH$7:$BH$1843,BH1183,$BX$7:$BX$1843,"&lt;="&amp;BX1183),"")</f>
        <v>5726.71153846154</v>
      </c>
      <c r="BJ1183" s="70" t="n">
        <f aca="false">IF(BI1183="",0,MAX(0,MIN(1,(IF(CG1183="L1",Parameter!$H$5,IF(CG1183="L23",Parameter!$H$6+Parameter!$H$7,Parameter!$H$5+Parameter!$H$6+Parameter!$H$7))-(BI1183-BD1183))/BD1183)))</f>
        <v>1</v>
      </c>
      <c r="BK1183" s="60" t="str">
        <f aca="false">IF(AJ1183&lt;=0,"",IF(CG1183="Aussen","Aussenlager",IF(CG1183="-","Nicht im Lift",IF(AP1183&gt;=1,"Lift",IF(AP1183&lt;=0,"Aussenlager","teilweise")))))</f>
        <v>Lift</v>
      </c>
      <c r="BL1183" s="60" t="str">
        <f aca="false">IF(AT1183&lt;=0,"",IF(CG1183="Aussen","Aussenlager",IF(CG1183="-","Nicht im Lift",IF(AZ1183&gt;=1,"Lift",IF(AZ1183&lt;=0,"Aussenlager","teilweise")))))</f>
        <v>Lift</v>
      </c>
      <c r="BM1183" s="60" t="str">
        <f aca="false">IF(BD1183&lt;=0,"",IF(CG1183="Aussen","Aussenlager",IF(CG1183="-","Nicht im Lift",IF(BJ1183&gt;=1,"Lift",IF(BJ1183&lt;=0,"Aussenlager","teilweise")))))</f>
        <v>Lift</v>
      </c>
      <c r="BN1183" s="60" t="str">
        <f aca="false">IF(A1183="","",IF(BW1183=1,"Neu; ","")&amp;IF(AND(BW1183=0,BR1183&lt;0),"negativer Bestand (Export "&amp;BR1183&amp;"); ","")&amp;IF(J1183&lt;=0,"Kein Verbrauch; ","")&amp;IF(CR1183&gt;0,"Lift "&amp;W1183&amp;" lt. Liftbericht (Fach "&amp;X1183&amp;" Stk); ",IF(CB1183=1,"Gebinde geschätzt ("&amp;T1183&amp;"); ",IF(CA1183=1,"Lose – Tablare geschätzt; ","")))&amp;IF(H1183&gt;AW1183,"Überbestand "&amp;ROUND(H1183-AW1183,0)&amp;" Stk / CHF "&amp;ROUND((H1183-AW1183)*G1183,0)&amp;"; ","")&amp;IF(AND(CI1183=1,CJ1183&lt;CK1183),"MAX &lt; MB+LG; ","")&amp;IF(AND(CQ1183&gt;0,CP1183*10&gt;CQ1183),"zu hoch für Tablar; ","")&amp;IF(AND(BW1183=0,OR(CI1183=1,AB1183&lt;&gt;"",U1183&lt;&gt;"",V1183&lt;&gt;"",AC1183&lt;&gt;"")),"manuell übersteuert; ","")&amp;IF(AND(CA1183=0,R1183=0),"Gebinde unbekannt / Stellmass fehlt; ","")&amp;IF(AND(CA1183=0,N(V1183)&lt;=0,N(Q1183)&lt;=0),"Menge pro Gebinde fehlt (Ist = 1 Gebinde); ","")&amp;BV1183)</f>
        <v>negativer Bestand (Export -2); </v>
      </c>
      <c r="BO1183" s="60"/>
      <c r="BP1183" s="60"/>
      <c r="BQ1183" s="67"/>
      <c r="BR1183" s="62" t="n">
        <v>-2</v>
      </c>
      <c r="BS1183" s="62" t="n">
        <v>10</v>
      </c>
      <c r="BT1183" s="61" t="n">
        <v>-385.72</v>
      </c>
      <c r="BU1183" s="62" t="n">
        <v>20</v>
      </c>
      <c r="BV1183" s="60"/>
      <c r="BW1183" s="65" t="n">
        <v>0</v>
      </c>
      <c r="BX1183" s="65" t="n">
        <v>1183</v>
      </c>
      <c r="BY1183" s="60" t="str">
        <f aca="false">IF(U1183&lt;&gt;"",UPPER(TRIM(U1183)),IF(CB1183=1,UPPER(VLOOKUP(T1183,Parameter!$I$27:$K$29,2,0)),IF(P1183="","LOSE",P1183)))</f>
        <v>S52</v>
      </c>
      <c r="BZ1183" s="62" t="n">
        <f aca="false">IF(BY1183="LOSE",1,IF(N(V1183)&gt;0,V1183,IF(CB1183=1,MAX(1,N(VLOOKUP(T1183,Parameter!$I$27:$K$29,3,0)),H1183,N(N1183)),IF(N(Q1183)&gt;0,Q1183,MAX(1,H1183)))))</f>
        <v>30</v>
      </c>
      <c r="CA1183" s="65" t="n">
        <f aca="false">IF(BY1183="LOSE",1,0)</f>
        <v>0</v>
      </c>
      <c r="CB1183" s="65" t="n">
        <f aca="false">IF(AND(U1183="",OR(P1183="",P1183="LOSE"),T1183&lt;&gt;"",N(S1183)&lt;=0,ISNUMBER(MATCH(T1183,Parameter!$I$27:$I$29,0))),1,0)</f>
        <v>0</v>
      </c>
      <c r="CC1183" s="65" t="n">
        <f aca="false">IF(CR1183&gt;0,INDEX(Parameter!$H$5:$H$7,W1183)/INDEX(Parameter!$E$5:$E$7,W1183),IF(AND(CA1183=0,N(IFERROR(VLOOKUP(BY1183,'Gebinde-Kategorie'!$A$5:$N$45,14,0),0))&gt;0),VLOOKUP(BY1183,'Gebinde-Kategorie'!$A$5:$N$45,14,0)*10+Parameter!$M$23,Parameter!$M$24))</f>
        <v>245</v>
      </c>
      <c r="CD1183" s="60" t="str">
        <f aca="false">IF(AND(Parameter!$B$19="Ja",E1183&lt;&gt;"",ISNUMBER(MATCH(E1183,Parameter!$I$35:$I$52,0))),VLOOKUP(E1183,Parameter!$I$35:$J$52,2,0),IFERROR(VLOOKUP(D1183,Parameter!$A$35:$C$64,2,0),"Nein"))</f>
        <v>2+3</v>
      </c>
      <c r="CE1183" s="64" t="n">
        <f aca="false">IF(CA1183=0,0,IF(N(S1183)&gt;0,S1183,IFERROR(VLOOKUP(D1183,Parameter!$A$35:$C$64,3,0)+0,0)))</f>
        <v>0</v>
      </c>
      <c r="CF1183" s="60" t="n">
        <f aca="false">IF(AB1183&lt;&gt;"",AB1183,AA1183)</f>
        <v>3</v>
      </c>
      <c r="CG1183" s="60" t="str">
        <f aca="false">IF(OR(CF1183=1,CF1183=2,CF1183=3),IF(Parameter!$E$27="Ja","LIFT",IF(CF1183=1,"L1","L23")),IF(CF1183="Aussen","Aussen","-"))</f>
        <v>LIFT</v>
      </c>
      <c r="CH1183" s="71" t="n">
        <f aca="false">IF(N(AC1183)&gt;0,AC1183,0)</f>
        <v>0</v>
      </c>
      <c r="CI1183" s="65" t="n">
        <f aca="false">IF(ISNUMBER(AF1183),1,0)</f>
        <v>0</v>
      </c>
      <c r="CJ1183" s="62" t="n">
        <f aca="false">N(AF1183)</f>
        <v>0</v>
      </c>
      <c r="CK1183" s="62" t="n">
        <f aca="false">N(M1183)+N(N1183)</f>
        <v>16</v>
      </c>
      <c r="CL1183" s="62" t="n">
        <f aca="false">N(M1183)</f>
        <v>1</v>
      </c>
      <c r="CM1183" s="62" t="n">
        <f aca="false">N(N1183)</f>
        <v>15</v>
      </c>
      <c r="CN1183" s="62" t="n">
        <f aca="false">ROUNDUP(H1183/BZ1183,0)</f>
        <v>1</v>
      </c>
      <c r="CO1183" s="62" t="n">
        <f aca="false">ROUNDUP(CJ1183/BZ1183,0)</f>
        <v>0</v>
      </c>
      <c r="CP1183" s="65" t="n">
        <f aca="false">IF(CA1183=1,0,IFERROR(VLOOKUP(BY1183,'Gebinde-Kategorie'!$A$5:$N$45,5,0)+0,0))</f>
        <v>21</v>
      </c>
      <c r="CQ1183" s="65" t="n">
        <f aca="false">IFERROR(IF(OR(CF1183=1,CF1183=2,CF1183=3),N(INDEX(Parameter!$I$5:$I$7,CF1183)),0),0)</f>
        <v>0</v>
      </c>
      <c r="CR1183" s="64" t="n">
        <f aca="false">IF(AND(Parameter!$B$21="Ja",ISNUMBER(W1183),N(X1183)&gt;0),IFERROR(N(INDEX(Parameter!$L$5:$L$7,W1183))*INDEX(Parameter!$E$5:$E$7,W1183)*X1183/SUMIFS($X$7:$X$1843,$W$7:$W$1843,W1183),0),0)</f>
        <v>0</v>
      </c>
      <c r="CS1183" s="62" t="n">
        <f aca="false">IF(AND(OR(CG1183="L1",CG1183="L23",CG1183="LIFT"),H1183&gt;0),CC1183*IF(CR1183&gt;0,CR1183*MAX(1,H1183/X1183),IF(CA1183=1,CE1183,IF(R1183&gt;0,CN1183/R1183,0))/MAX(0.1,N(Parameter!$M$21))),"")</f>
        <v>9.42307692307692</v>
      </c>
      <c r="CT1183" s="64" t="n">
        <f aca="false">IF(CS1183="","",J1183/H1183)</f>
        <v>2.5</v>
      </c>
      <c r="CU1183" s="62" t="n">
        <f aca="false">IF(CS1183="","",H1183*G1183)</f>
        <v>1454.88</v>
      </c>
      <c r="CV1183" s="63" t="n">
        <f aca="false">IF(CS1183="","",(CL1183+ROUNDUP(CL1183+MAX(CM1183,2*(J1183/MAX(0.1,N(Einkauf!$C$6))-CL1183)),0))/2)</f>
        <v>8.5</v>
      </c>
      <c r="CW1183" s="62" t="n">
        <f aca="false">IF(CS1183="","",MAX(0,H1183-CV1183)*G1183)</f>
        <v>0</v>
      </c>
      <c r="CX1183" s="62" t="n">
        <f aca="false">IF(CS1183="","",CS1183*MAX(0,1-CV1183/H1183))</f>
        <v>0</v>
      </c>
      <c r="CY1183" s="64" t="n">
        <f aca="false">IF(CS1183="","",PERCENTRANK($CS$7:$CS$1843,CS1183)+PERCENTRANK($CU$7:$CU$1843,CU1183)+1-PERCENTRANK($CT$7:$CT$1843,CT1183))</f>
        <v>1.437</v>
      </c>
      <c r="CZ1183" s="72" t="n">
        <f aca="false">IF(CS1183="","",CHOOSE(MATCH(Einkauf!$C$5,Parameter!$G$23:$G$27,0),CY1183,CS1183,CU1183,-CT1183,CW1183)+ROW()/1000000000)</f>
        <v>1.437001183</v>
      </c>
    </row>
    <row r="1184" customFormat="false" ht="15" hidden="false" customHeight="false" outlineLevel="0" collapsed="false">
      <c r="A1184" s="60" t="s">
        <v>2172</v>
      </c>
      <c r="B1184" s="60" t="s">
        <v>2173</v>
      </c>
      <c r="C1184" s="60" t="s">
        <v>498</v>
      </c>
      <c r="D1184" s="60" t="s">
        <v>226</v>
      </c>
      <c r="E1184" s="60"/>
      <c r="F1184" s="60" t="s">
        <v>260</v>
      </c>
      <c r="G1184" s="61" t="n">
        <v>38.88</v>
      </c>
      <c r="H1184" s="62" t="n">
        <f aca="false">MAX(0,IF(AND(Parameter!$B$21="Ja",ISNUMBER(Y1184)),Y1184,IF(Parameter!$B$20="Jahresanfang 2025 + Export",BS1184+BR1184,BR1184)))</f>
        <v>0</v>
      </c>
      <c r="I1184" s="62" t="n">
        <f aca="false">H1184*G1184</f>
        <v>0</v>
      </c>
      <c r="J1184" s="62" t="n">
        <f aca="false">BU1184*Parameter!$B$18</f>
        <v>10</v>
      </c>
      <c r="K1184" s="63" t="n">
        <v>5</v>
      </c>
      <c r="L1184" s="64" t="n">
        <v>2</v>
      </c>
      <c r="M1184" s="62" t="n">
        <v>0</v>
      </c>
      <c r="N1184" s="62" t="n">
        <v>10</v>
      </c>
      <c r="O1184" s="65" t="n">
        <v>14</v>
      </c>
      <c r="P1184" s="60" t="s">
        <v>210</v>
      </c>
      <c r="Q1184" s="62"/>
      <c r="R1184" s="65" t="n">
        <f aca="false">IF(CA1184=1,0,IFERROR(VLOOKUP(BY1184,'Gebinde-Kategorie'!$A$5:$N$45,13,0)+0,0))</f>
        <v>26</v>
      </c>
      <c r="S1184" s="66"/>
      <c r="T1184" s="67" t="s">
        <v>317</v>
      </c>
      <c r="U1184" s="67"/>
      <c r="V1184" s="67"/>
      <c r="W1184" s="60"/>
      <c r="X1184" s="62"/>
      <c r="Y1184" s="62"/>
      <c r="Z1184" s="60" t="n">
        <v>3</v>
      </c>
      <c r="AA1184" s="60" t="n">
        <f aca="false">IF(A1184="","",IF(AND(Parameter!$B$21="Ja",ISNUMBER(W1184)),W1184,IF(AND(Parameter!$E$27="Ja",ISNUMBER(Z1184),CD1184&lt;&gt;"Nein"),Z1184,IF(CD1184="2+3",IF(ISNUMBER(SEARCH("grosser Artikel",BV1184)),2,IFERROR(VLOOKUP(BY1184,Parameter!$F$35:$G$64,2,0),2)),IF(OR(CD1184="Nein",CD1184=""),"-",CD1184)))))</f>
        <v>3</v>
      </c>
      <c r="AB1184" s="67"/>
      <c r="AC1184" s="68"/>
      <c r="AD1184" s="62" t="n">
        <f aca="false">AW1184</f>
        <v>10</v>
      </c>
      <c r="AE1184" s="62" t="n">
        <f aca="false">MAX(AW1184,H1184)</f>
        <v>10</v>
      </c>
      <c r="AF1184" s="69"/>
      <c r="AG1184" s="62" t="n">
        <f aca="false">IF(LEFT(Cockpit!$C$5,1)="A",H1184,IF(Parameter!$E$30="MAX-Bestand",IF(CI1184=1,CJ1184,IF(LEFT(Cockpit!$C$5,1)="B",AM1184,MAX(AM1184,H1184))),ROUNDUP(AK1184,0)))</f>
        <v>0</v>
      </c>
      <c r="AH1184" s="62" t="n">
        <f aca="false">IF(CA1184=1,0,ROUNDUP(AG1184/BZ1184,0))</f>
        <v>0</v>
      </c>
      <c r="AI1184" s="64" t="n">
        <f aca="false">IF(CR1184&gt;0,CR1184*MAX(1,AG1184/X1184),IF(CA1184=1,IF(AG1184&lt;=0,0,CE1184*MAX(1,IF(H1184&gt;0,AG1184/H1184,1))),IF(R1184&gt;0,AH1184/R1184,0))/MAX(0.1,N(Parameter!$M$21)))</f>
        <v>0</v>
      </c>
      <c r="AJ1184" s="62" t="n">
        <f aca="false">AI1184*CC1184</f>
        <v>0</v>
      </c>
      <c r="AK1184" s="63" t="n">
        <f aca="false">IF(LEFT(Cockpit!$C$5,1)="A",H1184,IF(CI1184=1,(CL1184+CJ1184)/2,IF(LEFT(Cockpit!$C$5,1)="B",(CL1184+AM1184)/2,MAX((CL1184+AM1184)/2,H1184))))</f>
        <v>0</v>
      </c>
      <c r="AL1184" s="62" t="n">
        <f aca="false">AK1184*G1184</f>
        <v>0</v>
      </c>
      <c r="AM1184" s="62" t="n">
        <f aca="false">ROUNDUP(CL1184+MAX(CM1184,2*(J1184/IF(CH1184&gt;0,CH1184,MAX(0.1,N(Cockpit!$C$6)))-CL1184)),0)</f>
        <v>10</v>
      </c>
      <c r="AN1184" s="63" t="n">
        <f aca="false">IF(AJ1184&gt;0,J1184/AJ1184,-1)</f>
        <v>-1</v>
      </c>
      <c r="AO1184" s="63" t="str">
        <f aca="false">IF(AND(OR(CG1184="L1",CG1184="L23",CG1184="LIFT"),AJ1184&gt;0),SUMIFS($AJ$7:$AJ$1843,$CG$7:$CG$1843,CG1184,$AN$7:$AN$1843,"&gt;"&amp;AN1184)+SUMIFS($AJ$7:$AJ$1843,$CG$7:$CG$1843,CG1184,$AN$7:$AN$1843,AN1184,$BX$7:$BX$1843,"&lt;="&amp;BX1184),"")</f>
        <v/>
      </c>
      <c r="AP1184" s="70" t="n">
        <f aca="false">IF(AO1184="",0,MAX(0,MIN(1,(IF(CG1184="L1",Parameter!$H$5,IF(CG1184="L23",Parameter!$H$6+Parameter!$H$7,Parameter!$H$5+Parameter!$H$6+Parameter!$H$7))-(AO1184-AJ1184))/AJ1184)))</f>
        <v>0</v>
      </c>
      <c r="AQ1184" s="62" t="n">
        <f aca="false">IF(LEFT(Cockpit!$I$5,1)="A",H1184,IF(Parameter!$E$30="MAX-Bestand",IF(CI1184=1,CJ1184,IF(LEFT(Cockpit!$I$5,1)="B",AW1184,MAX(AW1184,H1184))),ROUNDUP(AU1184,0)))</f>
        <v>5</v>
      </c>
      <c r="AR1184" s="62" t="n">
        <f aca="false">IF(CA1184=1,0,ROUNDUP(AQ1184/BZ1184,0))</f>
        <v>1</v>
      </c>
      <c r="AS1184" s="64" t="n">
        <f aca="false">IF(CR1184&gt;0,CR1184*MAX(1,AQ1184/X1184),IF(CA1184=1,IF(AQ1184&lt;=0,0,CE1184*MAX(1,IF(H1184&gt;0,AQ1184/H1184,1))),IF(R1184&gt;0,AR1184/R1184,0))/MAX(0.1,N(Parameter!$M$21)))</f>
        <v>0.0384615384615385</v>
      </c>
      <c r="AT1184" s="62" t="n">
        <f aca="false">AS1184*CC1184</f>
        <v>5.96153846153846</v>
      </c>
      <c r="AU1184" s="63" t="n">
        <f aca="false">IF(LEFT(Cockpit!$I$5,1)="A",H1184,IF(CI1184=1,(CL1184+CJ1184)/2,IF(LEFT(Cockpit!$I$5,1)="B",(CL1184+AW1184)/2,MAX((CL1184+AW1184)/2,H1184))))</f>
        <v>5</v>
      </c>
      <c r="AV1184" s="62" t="n">
        <f aca="false">AU1184*G1184</f>
        <v>194.4</v>
      </c>
      <c r="AW1184" s="62" t="n">
        <f aca="false">ROUNDUP(CL1184+MAX(CM1184,2*(J1184/IF(CH1184&gt;0,CH1184,MAX(0.1,N(Cockpit!$I$6)))-CL1184)),0)</f>
        <v>10</v>
      </c>
      <c r="AX1184" s="63" t="n">
        <f aca="false">IF(AT1184&gt;0,J1184/AT1184,-1)</f>
        <v>1.67741935483871</v>
      </c>
      <c r="AY1184" s="63" t="n">
        <f aca="false">IF(AND(OR(CG1184="L1",CG1184="L23",CG1184="LIFT"),AT1184&gt;0),SUMIFS($AT$7:$AT$1843,$CG$7:$CG$1843,CG1184,$AX$7:$AX$1843,"&gt;"&amp;AX1184)+SUMIFS($AT$7:$AT$1843,$CG$7:$CG$1843,CG1184,$AX$7:$AX$1843,AX1184,$BX$7:$BX$1843,"&lt;="&amp;BX1184),"")</f>
        <v>7503.66483516484</v>
      </c>
      <c r="AZ1184" s="70" t="n">
        <f aca="false">IF(AY1184="",0,MAX(0,MIN(1,(IF(CG1184="L1",Parameter!$H$5,IF(CG1184="L23",Parameter!$H$6+Parameter!$H$7,Parameter!$H$5+Parameter!$H$6+Parameter!$H$7))-(AY1184-AT1184))/AT1184)))</f>
        <v>1</v>
      </c>
      <c r="BA1184" s="62" t="n">
        <f aca="false">IF(LEFT(Cockpit!$O$5,1)="A",H1184,IF(Parameter!$E$30="MAX-Bestand",IF(CI1184=1,CJ1184,IF(LEFT(Cockpit!$O$5,1)="B",BG1184,MAX(BG1184,H1184))),ROUNDUP(BE1184,0)))</f>
        <v>5</v>
      </c>
      <c r="BB1184" s="62" t="n">
        <f aca="false">IF(CA1184=1,0,ROUNDUP(BA1184/BZ1184,0))</f>
        <v>1</v>
      </c>
      <c r="BC1184" s="64" t="n">
        <f aca="false">IF(CR1184&gt;0,CR1184*MAX(1,BA1184/X1184),IF(CA1184=1,IF(BA1184&lt;=0,0,CE1184*MAX(1,IF(H1184&gt;0,BA1184/H1184,1))),IF(R1184&gt;0,BB1184/R1184,0))/MAX(0.1,N(Parameter!$M$21)))</f>
        <v>0.0384615384615385</v>
      </c>
      <c r="BD1184" s="62" t="n">
        <f aca="false">BC1184*CC1184</f>
        <v>5.96153846153846</v>
      </c>
      <c r="BE1184" s="63" t="n">
        <f aca="false">IF(LEFT(Cockpit!$O$5,1)="A",H1184,IF(CI1184=1,(CL1184+CJ1184)/2,IF(LEFT(Cockpit!$O$5,1)="B",(CL1184+BG1184)/2,MAX((CL1184+BG1184)/2,H1184))))</f>
        <v>5</v>
      </c>
      <c r="BF1184" s="62" t="n">
        <f aca="false">BE1184*G1184</f>
        <v>194.4</v>
      </c>
      <c r="BG1184" s="62" t="n">
        <f aca="false">ROUNDUP(CL1184+MAX(CM1184,2*(J1184/IF(CH1184&gt;0,CH1184,MAX(0.1,N(Cockpit!$O$6)))-CL1184)),0)</f>
        <v>10</v>
      </c>
      <c r="BH1184" s="63" t="n">
        <f aca="false">IF(BD1184&gt;0,J1184/BD1184,-1)</f>
        <v>1.67741935483871</v>
      </c>
      <c r="BI1184" s="63" t="n">
        <f aca="false">IF(AND(OR(CG1184="L1",CG1184="L23",CG1184="LIFT"),BD1184&gt;0),SUMIFS($BD$7:$BD$1843,$CG$7:$CG$1843,CG1184,$BH$7:$BH$1843,"&gt;"&amp;BH1184)+SUMIFS($BD$7:$BD$1843,$CG$7:$CG$1843,CG1184,$BH$7:$BH$1843,BH1184,$BX$7:$BX$1843,"&lt;="&amp;BX1184),"")</f>
        <v>6318.5086996337</v>
      </c>
      <c r="BJ1184" s="70" t="n">
        <f aca="false">IF(BI1184="",0,MAX(0,MIN(1,(IF(CG1184="L1",Parameter!$H$5,IF(CG1184="L23",Parameter!$H$6+Parameter!$H$7,Parameter!$H$5+Parameter!$H$6+Parameter!$H$7))-(BI1184-BD1184))/BD1184)))</f>
        <v>1</v>
      </c>
      <c r="BK1184" s="60" t="str">
        <f aca="false">IF(AJ1184&lt;=0,"",IF(CG1184="Aussen","Aussenlager",IF(CG1184="-","Nicht im Lift",IF(AP1184&gt;=1,"Lift",IF(AP1184&lt;=0,"Aussenlager","teilweise")))))</f>
        <v/>
      </c>
      <c r="BL1184" s="60" t="str">
        <f aca="false">IF(AT1184&lt;=0,"",IF(CG1184="Aussen","Aussenlager",IF(CG1184="-","Nicht im Lift",IF(AZ1184&gt;=1,"Lift",IF(AZ1184&lt;=0,"Aussenlager","teilweise")))))</f>
        <v>Lift</v>
      </c>
      <c r="BM1184" s="60" t="str">
        <f aca="false">IF(BD1184&lt;=0,"",IF(CG1184="Aussen","Aussenlager",IF(CG1184="-","Nicht im Lift",IF(BJ1184&gt;=1,"Lift",IF(BJ1184&lt;=0,"Aussenlager","teilweise")))))</f>
        <v>Lift</v>
      </c>
      <c r="BN1184" s="60" t="str">
        <f aca="false">IF(A1184="","",IF(BW1184=1,"Neu; ","")&amp;IF(AND(BW1184=0,BR1184&lt;0),"negativer Bestand (Export "&amp;BR1184&amp;"); ","")&amp;IF(J1184&lt;=0,"Kein Verbrauch; ","")&amp;IF(CR1184&gt;0,"Lift "&amp;W1184&amp;" lt. Liftbericht (Fach "&amp;X1184&amp;" Stk); ",IF(CB1184=1,"Gebinde geschätzt ("&amp;T1184&amp;"); ",IF(CA1184=1,"Lose – Tablare geschätzt; ","")))&amp;IF(H1184&gt;AW1184,"Überbestand "&amp;ROUND(H1184-AW1184,0)&amp;" Stk / CHF "&amp;ROUND((H1184-AW1184)*G1184,0)&amp;"; ","")&amp;IF(AND(CI1184=1,CJ1184&lt;CK1184),"MAX &lt; MB+LG; ","")&amp;IF(AND(CQ1184&gt;0,CP1184*10&gt;CQ1184),"zu hoch für Tablar; ","")&amp;IF(AND(BW1184=0,OR(CI1184=1,AB1184&lt;&gt;"",U1184&lt;&gt;"",V1184&lt;&gt;"",AC1184&lt;&gt;"")),"manuell übersteuert; ","")&amp;IF(AND(CA1184=0,R1184=0),"Gebinde unbekannt / Stellmass fehlt; ","")&amp;IF(AND(CA1184=0,N(V1184)&lt;=0,N(Q1184)&lt;=0),"Menge pro Gebinde fehlt (Ist = 1 Gebinde); ","")&amp;BV1184)</f>
        <v>negativer Bestand (Export -10); Gebinde geschätzt (Klein); Menge pro Gebinde fehlt (Ist = 1 Gebinde); </v>
      </c>
      <c r="BO1184" s="60"/>
      <c r="BP1184" s="60"/>
      <c r="BQ1184" s="67"/>
      <c r="BR1184" s="62" t="n">
        <v>-10</v>
      </c>
      <c r="BS1184" s="62" t="n">
        <v>10</v>
      </c>
      <c r="BT1184" s="61" t="n">
        <v>-388.8</v>
      </c>
      <c r="BU1184" s="62" t="n">
        <v>10</v>
      </c>
      <c r="BV1184" s="60"/>
      <c r="BW1184" s="65" t="n">
        <v>0</v>
      </c>
      <c r="BX1184" s="65" t="n">
        <v>1184</v>
      </c>
      <c r="BY1184" s="60" t="str">
        <f aca="false">IF(U1184&lt;&gt;"",UPPER(TRIM(U1184)),IF(CB1184=1,UPPER(VLOOKUP(T1184,Parameter!$I$27:$K$29,2,0)),IF(P1184="","LOSE",P1184)))</f>
        <v>S51</v>
      </c>
      <c r="BZ1184" s="62" t="n">
        <f aca="false">IF(BY1184="LOSE",1,IF(N(V1184)&gt;0,V1184,IF(CB1184=1,MAX(1,N(VLOOKUP(T1184,Parameter!$I$27:$K$29,3,0)),H1184,N(N1184)),IF(N(Q1184)&gt;0,Q1184,MAX(1,H1184)))))</f>
        <v>20</v>
      </c>
      <c r="CA1184" s="65" t="n">
        <f aca="false">IF(BY1184="LOSE",1,0)</f>
        <v>0</v>
      </c>
      <c r="CB1184" s="65" t="n">
        <f aca="false">IF(AND(U1184="",OR(P1184="",P1184="LOSE"),T1184&lt;&gt;"",N(S1184)&lt;=0,ISNUMBER(MATCH(T1184,Parameter!$I$27:$I$29,0))),1,0)</f>
        <v>1</v>
      </c>
      <c r="CC1184" s="65" t="n">
        <f aca="false">IF(CR1184&gt;0,INDEX(Parameter!$H$5:$H$7,W1184)/INDEX(Parameter!$E$5:$E$7,W1184),IF(AND(CA1184=0,N(IFERROR(VLOOKUP(BY1184,'Gebinde-Kategorie'!$A$5:$N$45,14,0),0))&gt;0),VLOOKUP(BY1184,'Gebinde-Kategorie'!$A$5:$N$45,14,0)*10+Parameter!$M$23,Parameter!$M$24))</f>
        <v>155</v>
      </c>
      <c r="CD1184" s="60" t="str">
        <f aca="false">IF(AND(Parameter!$B$19="Ja",E1184&lt;&gt;"",ISNUMBER(MATCH(E1184,Parameter!$I$35:$I$52,0))),VLOOKUP(E1184,Parameter!$I$35:$J$52,2,0),IFERROR(VLOOKUP(D1184,Parameter!$A$35:$C$64,2,0),"Nein"))</f>
        <v>2+3</v>
      </c>
      <c r="CE1184" s="64" t="n">
        <f aca="false">IF(CA1184=0,0,IF(N(S1184)&gt;0,S1184,IFERROR(VLOOKUP(D1184,Parameter!$A$35:$C$64,3,0)+0,0)))</f>
        <v>0</v>
      </c>
      <c r="CF1184" s="60" t="n">
        <f aca="false">IF(AB1184&lt;&gt;"",AB1184,AA1184)</f>
        <v>3</v>
      </c>
      <c r="CG1184" s="60" t="str">
        <f aca="false">IF(OR(CF1184=1,CF1184=2,CF1184=3),IF(Parameter!$E$27="Ja","LIFT",IF(CF1184=1,"L1","L23")),IF(CF1184="Aussen","Aussen","-"))</f>
        <v>LIFT</v>
      </c>
      <c r="CH1184" s="71" t="n">
        <f aca="false">IF(N(AC1184)&gt;0,AC1184,0)</f>
        <v>0</v>
      </c>
      <c r="CI1184" s="65" t="n">
        <f aca="false">IF(ISNUMBER(AF1184),1,0)</f>
        <v>0</v>
      </c>
      <c r="CJ1184" s="62" t="n">
        <f aca="false">N(AF1184)</f>
        <v>0</v>
      </c>
      <c r="CK1184" s="62" t="n">
        <f aca="false">N(M1184)+N(N1184)</f>
        <v>10</v>
      </c>
      <c r="CL1184" s="62" t="n">
        <f aca="false">N(M1184)</f>
        <v>0</v>
      </c>
      <c r="CM1184" s="62" t="n">
        <f aca="false">N(N1184)</f>
        <v>10</v>
      </c>
      <c r="CN1184" s="62" t="n">
        <f aca="false">ROUNDUP(H1184/BZ1184,0)</f>
        <v>0</v>
      </c>
      <c r="CO1184" s="62" t="n">
        <f aca="false">ROUNDUP(CJ1184/BZ1184,0)</f>
        <v>0</v>
      </c>
      <c r="CP1184" s="65" t="n">
        <f aca="false">IF(CA1184=1,0,IFERROR(VLOOKUP(BY1184,'Gebinde-Kategorie'!$A$5:$N$45,5,0)+0,0))</f>
        <v>11</v>
      </c>
      <c r="CQ1184" s="65" t="n">
        <f aca="false">IFERROR(IF(OR(CF1184=1,CF1184=2,CF1184=3),N(INDEX(Parameter!$I$5:$I$7,CF1184)),0),0)</f>
        <v>0</v>
      </c>
      <c r="CR1184" s="64" t="n">
        <f aca="false">IF(AND(Parameter!$B$21="Ja",ISNUMBER(W1184),N(X1184)&gt;0),IFERROR(N(INDEX(Parameter!$L$5:$L$7,W1184))*INDEX(Parameter!$E$5:$E$7,W1184)*X1184/SUMIFS($X$7:$X$1843,$W$7:$W$1843,W1184),0),0)</f>
        <v>0</v>
      </c>
      <c r="CS1184" s="62" t="str">
        <f aca="false">IF(AND(OR(CG1184="L1",CG1184="L23",CG1184="LIFT"),H1184&gt;0),CC1184*IF(CR1184&gt;0,CR1184*MAX(1,H1184/X1184),IF(CA1184=1,CE1184,IF(R1184&gt;0,CN1184/R1184,0))/MAX(0.1,N(Parameter!$M$21))),"")</f>
        <v/>
      </c>
      <c r="CT1184" s="64" t="str">
        <f aca="false">IF(CS1184="","",J1184/H1184)</f>
        <v/>
      </c>
      <c r="CU1184" s="62" t="str">
        <f aca="false">IF(CS1184="","",H1184*G1184)</f>
        <v/>
      </c>
      <c r="CV1184" s="63" t="str">
        <f aca="false">IF(CS1184="","",(CL1184+ROUNDUP(CL1184+MAX(CM1184,2*(J1184/MAX(0.1,N(Einkauf!$C$6))-CL1184)),0))/2)</f>
        <v/>
      </c>
      <c r="CW1184" s="62" t="str">
        <f aca="false">IF(CS1184="","",MAX(0,H1184-CV1184)*G1184)</f>
        <v/>
      </c>
      <c r="CX1184" s="62" t="str">
        <f aca="false">IF(CS1184="","",CS1184*MAX(0,1-CV1184/H1184))</f>
        <v/>
      </c>
      <c r="CY1184" s="64" t="str">
        <f aca="false">IF(CS1184="","",PERCENTRANK($CS$7:$CS$1843,CS1184)+PERCENTRANK($CU$7:$CU$1843,CU1184)+1-PERCENTRANK($CT$7:$CT$1843,CT1184))</f>
        <v/>
      </c>
      <c r="CZ1184" s="72" t="str">
        <f aca="false">IF(CS1184="","",CHOOSE(MATCH(Einkauf!$C$5,Parameter!$G$23:$G$27,0),CY1184,CS1184,CU1184,-CT1184,CW1184)+ROW()/1000000000)</f>
        <v/>
      </c>
    </row>
    <row r="1185" customFormat="false" ht="15" hidden="false" customHeight="false" outlineLevel="0" collapsed="false">
      <c r="A1185" s="60" t="s">
        <v>2174</v>
      </c>
      <c r="B1185" s="60" t="s">
        <v>2175</v>
      </c>
      <c r="C1185" s="60" t="s">
        <v>206</v>
      </c>
      <c r="D1185" s="60" t="s">
        <v>215</v>
      </c>
      <c r="E1185" s="60"/>
      <c r="F1185" s="60" t="s">
        <v>260</v>
      </c>
      <c r="G1185" s="61" t="n">
        <v>393.01</v>
      </c>
      <c r="H1185" s="62" t="n">
        <f aca="false">MAX(0,IF(AND(Parameter!$B$21="Ja",ISNUMBER(Y1185)),Y1185,IF(Parameter!$B$20="Jahresanfang 2025 + Export",BS1185+BR1185,BR1185)))</f>
        <v>8</v>
      </c>
      <c r="I1185" s="62" t="n">
        <f aca="false">H1185*G1185</f>
        <v>3144.08</v>
      </c>
      <c r="J1185" s="62" t="n">
        <f aca="false">BU1185*Parameter!$B$18</f>
        <v>1</v>
      </c>
      <c r="K1185" s="63" t="n">
        <v>8.5</v>
      </c>
      <c r="L1185" s="64" t="n">
        <v>0.117647058823529</v>
      </c>
      <c r="M1185" s="62" t="n">
        <v>0</v>
      </c>
      <c r="N1185" s="62" t="n">
        <v>1</v>
      </c>
      <c r="O1185" s="65" t="n">
        <v>35</v>
      </c>
      <c r="P1185" s="60" t="s">
        <v>216</v>
      </c>
      <c r="Q1185" s="62" t="n">
        <v>10</v>
      </c>
      <c r="R1185" s="65" t="n">
        <f aca="false">IF(CA1185=1,0,IFERROR(VLOOKUP(BY1185,'Gebinde-Kategorie'!$A$5:$N$45,13,0)+0,0))</f>
        <v>6</v>
      </c>
      <c r="S1185" s="66"/>
      <c r="T1185" s="67"/>
      <c r="U1185" s="67"/>
      <c r="V1185" s="67"/>
      <c r="W1185" s="60"/>
      <c r="X1185" s="62"/>
      <c r="Y1185" s="62"/>
      <c r="Z1185" s="60" t="n">
        <v>2</v>
      </c>
      <c r="AA1185" s="60" t="n">
        <f aca="false">IF(A1185="","",IF(AND(Parameter!$B$21="Ja",ISNUMBER(W1185)),W1185,IF(AND(Parameter!$E$27="Ja",ISNUMBER(Z1185),CD1185&lt;&gt;"Nein"),Z1185,IF(CD1185="2+3",IF(ISNUMBER(SEARCH("grosser Artikel",BV1185)),2,IFERROR(VLOOKUP(BY1185,Parameter!$F$35:$G$64,2,0),2)),IF(OR(CD1185="Nein",CD1185=""),"-",CD1185)))))</f>
        <v>2</v>
      </c>
      <c r="AB1185" s="67"/>
      <c r="AC1185" s="68"/>
      <c r="AD1185" s="62" t="n">
        <f aca="false">AW1185</f>
        <v>1</v>
      </c>
      <c r="AE1185" s="62" t="n">
        <f aca="false">MAX(AW1185,H1185)</f>
        <v>8</v>
      </c>
      <c r="AF1185" s="69"/>
      <c r="AG1185" s="62" t="n">
        <f aca="false">IF(LEFT(Cockpit!$C$5,1)="A",H1185,IF(Parameter!$E$30="MAX-Bestand",IF(CI1185=1,CJ1185,IF(LEFT(Cockpit!$C$5,1)="B",AM1185,MAX(AM1185,H1185))),ROUNDUP(AK1185,0)))</f>
        <v>8</v>
      </c>
      <c r="AH1185" s="62" t="n">
        <f aca="false">IF(CA1185=1,0,ROUNDUP(AG1185/BZ1185,0))</f>
        <v>1</v>
      </c>
      <c r="AI1185" s="64" t="n">
        <f aca="false">IF(CR1185&gt;0,CR1185*MAX(1,AG1185/X1185),IF(CA1185=1,IF(AG1185&lt;=0,0,CE1185*MAX(1,IF(H1185&gt;0,AG1185/H1185,1))),IF(R1185&gt;0,AH1185/R1185,0))/MAX(0.1,N(Parameter!$M$21)))</f>
        <v>0.166666666666667</v>
      </c>
      <c r="AJ1185" s="62" t="n">
        <f aca="false">AI1185*CC1185</f>
        <v>39.1666666666667</v>
      </c>
      <c r="AK1185" s="63" t="n">
        <f aca="false">IF(LEFT(Cockpit!$C$5,1)="A",H1185,IF(CI1185=1,(CL1185+CJ1185)/2,IF(LEFT(Cockpit!$C$5,1)="B",(CL1185+AM1185)/2,MAX((CL1185+AM1185)/2,H1185))))</f>
        <v>8</v>
      </c>
      <c r="AL1185" s="62" t="n">
        <f aca="false">AK1185*G1185</f>
        <v>3144.08</v>
      </c>
      <c r="AM1185" s="62" t="n">
        <f aca="false">ROUNDUP(CL1185+MAX(CM1185,2*(J1185/IF(CH1185&gt;0,CH1185,MAX(0.1,N(Cockpit!$C$6)))-CL1185)),0)</f>
        <v>1</v>
      </c>
      <c r="AN1185" s="63" t="n">
        <f aca="false">IF(AJ1185&gt;0,J1185/AJ1185,-1)</f>
        <v>0.025531914893617</v>
      </c>
      <c r="AO1185" s="63" t="n">
        <f aca="false">IF(AND(OR(CG1185="L1",CG1185="L23",CG1185="LIFT"),AJ1185&gt;0),SUMIFS($AJ$7:$AJ$1843,$CG$7:$CG$1843,CG1185,$AN$7:$AN$1843,"&gt;"&amp;AN1185)+SUMIFS($AJ$7:$AJ$1843,$CG$7:$CG$1843,CG1185,$AN$7:$AN$1843,AN1185,$BX$7:$BX$1843,"&lt;="&amp;BX1185),"")</f>
        <v>21847.1104048964</v>
      </c>
      <c r="AP1185" s="70" t="n">
        <f aca="false">IF(AO1185="",0,MAX(0,MIN(1,(IF(CG1185="L1",Parameter!$H$5,IF(CG1185="L23",Parameter!$H$6+Parameter!$H$7,Parameter!$H$5+Parameter!$H$6+Parameter!$H$7))-(AO1185-AJ1185))/AJ1185)))</f>
        <v>1</v>
      </c>
      <c r="AQ1185" s="62" t="n">
        <f aca="false">IF(LEFT(Cockpit!$I$5,1)="A",H1185,IF(Parameter!$E$30="MAX-Bestand",IF(CI1185=1,CJ1185,IF(LEFT(Cockpit!$I$5,1)="B",AW1185,MAX(AW1185,H1185))),ROUNDUP(AU1185,0)))</f>
        <v>8</v>
      </c>
      <c r="AR1185" s="62" t="n">
        <f aca="false">IF(CA1185=1,0,ROUNDUP(AQ1185/BZ1185,0))</f>
        <v>1</v>
      </c>
      <c r="AS1185" s="64" t="n">
        <f aca="false">IF(CR1185&gt;0,CR1185*MAX(1,AQ1185/X1185),IF(CA1185=1,IF(AQ1185&lt;=0,0,CE1185*MAX(1,IF(H1185&gt;0,AQ1185/H1185,1))),IF(R1185&gt;0,AR1185/R1185,0))/MAX(0.1,N(Parameter!$M$21)))</f>
        <v>0.166666666666667</v>
      </c>
      <c r="AT1185" s="62" t="n">
        <f aca="false">AS1185*CC1185</f>
        <v>39.1666666666667</v>
      </c>
      <c r="AU1185" s="63" t="n">
        <f aca="false">IF(LEFT(Cockpit!$I$5,1)="A",H1185,IF(CI1185=1,(CL1185+CJ1185)/2,IF(LEFT(Cockpit!$I$5,1)="B",(CL1185+AW1185)/2,MAX((CL1185+AW1185)/2,H1185))))</f>
        <v>8</v>
      </c>
      <c r="AV1185" s="62" t="n">
        <f aca="false">AU1185*G1185</f>
        <v>3144.08</v>
      </c>
      <c r="AW1185" s="62" t="n">
        <f aca="false">ROUNDUP(CL1185+MAX(CM1185,2*(J1185/IF(CH1185&gt;0,CH1185,MAX(0.1,N(Cockpit!$I$6)))-CL1185)),0)</f>
        <v>1</v>
      </c>
      <c r="AX1185" s="63" t="n">
        <f aca="false">IF(AT1185&gt;0,J1185/AT1185,-1)</f>
        <v>0.025531914893617</v>
      </c>
      <c r="AY1185" s="63" t="n">
        <f aca="false">IF(AND(OR(CG1185="L1",CG1185="L23",CG1185="LIFT"),AT1185&gt;0),SUMIFS($AT$7:$AT$1843,$CG$7:$CG$1843,CG1185,$AX$7:$AX$1843,"&gt;"&amp;AX1185)+SUMIFS($AT$7:$AT$1843,$CG$7:$CG$1843,CG1185,$AX$7:$AX$1843,AX1185,$BX$7:$BX$1843,"&lt;="&amp;BX1185),"")</f>
        <v>26965.2590462739</v>
      </c>
      <c r="AZ1185" s="70" t="n">
        <f aca="false">IF(AY1185="",0,MAX(0,MIN(1,(IF(CG1185="L1",Parameter!$H$5,IF(CG1185="L23",Parameter!$H$6+Parameter!$H$7,Parameter!$H$5+Parameter!$H$6+Parameter!$H$7))-(AY1185-AT1185))/AT1185)))</f>
        <v>1</v>
      </c>
      <c r="BA1185" s="62" t="n">
        <f aca="false">IF(LEFT(Cockpit!$O$5,1)="A",H1185,IF(Parameter!$E$30="MAX-Bestand",IF(CI1185=1,CJ1185,IF(LEFT(Cockpit!$O$5,1)="B",BG1185,MAX(BG1185,H1185))),ROUNDUP(BE1185,0)))</f>
        <v>1</v>
      </c>
      <c r="BB1185" s="62" t="n">
        <f aca="false">IF(CA1185=1,0,ROUNDUP(BA1185/BZ1185,0))</f>
        <v>1</v>
      </c>
      <c r="BC1185" s="64" t="n">
        <f aca="false">IF(CR1185&gt;0,CR1185*MAX(1,BA1185/X1185),IF(CA1185=1,IF(BA1185&lt;=0,0,CE1185*MAX(1,IF(H1185&gt;0,BA1185/H1185,1))),IF(R1185&gt;0,BB1185/R1185,0))/MAX(0.1,N(Parameter!$M$21)))</f>
        <v>0.166666666666667</v>
      </c>
      <c r="BD1185" s="62" t="n">
        <f aca="false">BC1185*CC1185</f>
        <v>39.1666666666667</v>
      </c>
      <c r="BE1185" s="63" t="n">
        <f aca="false">IF(LEFT(Cockpit!$O$5,1)="A",H1185,IF(CI1185=1,(CL1185+CJ1185)/2,IF(LEFT(Cockpit!$O$5,1)="B",(CL1185+BG1185)/2,MAX((CL1185+BG1185)/2,H1185))))</f>
        <v>0.5</v>
      </c>
      <c r="BF1185" s="62" t="n">
        <f aca="false">BE1185*G1185</f>
        <v>196.505</v>
      </c>
      <c r="BG1185" s="62" t="n">
        <f aca="false">ROUNDUP(CL1185+MAX(CM1185,2*(J1185/IF(CH1185&gt;0,CH1185,MAX(0.1,N(Cockpit!$O$6)))-CL1185)),0)</f>
        <v>1</v>
      </c>
      <c r="BH1185" s="63" t="n">
        <f aca="false">IF(BD1185&gt;0,J1185/BD1185,-1)</f>
        <v>0.025531914893617</v>
      </c>
      <c r="BI1185" s="63" t="n">
        <f aca="false">IF(AND(OR(CG1185="L1",CG1185="L23",CG1185="LIFT"),BD1185&gt;0),SUMIFS($BD$7:$BD$1843,$CG$7:$CG$1843,CG1185,$BH$7:$BH$1843,"&gt;"&amp;BH1185)+SUMIFS($BD$7:$BD$1843,$CG$7:$CG$1843,CG1185,$BH$7:$BH$1843,BH1185,$BX$7:$BX$1843,"&lt;="&amp;BX1185),"")</f>
        <v>22667.8665305975</v>
      </c>
      <c r="BJ1185" s="70" t="n">
        <f aca="false">IF(BI1185="",0,MAX(0,MIN(1,(IF(CG1185="L1",Parameter!$H$5,IF(CG1185="L23",Parameter!$H$6+Parameter!$H$7,Parameter!$H$5+Parameter!$H$6+Parameter!$H$7))-(BI1185-BD1185))/BD1185)))</f>
        <v>1</v>
      </c>
      <c r="BK1185" s="60" t="str">
        <f aca="false">IF(AJ1185&lt;=0,"",IF(CG1185="Aussen","Aussenlager",IF(CG1185="-","Nicht im Lift",IF(AP1185&gt;=1,"Lift",IF(AP1185&lt;=0,"Aussenlager","teilweise")))))</f>
        <v>Lift</v>
      </c>
      <c r="BL1185" s="60" t="str">
        <f aca="false">IF(AT1185&lt;=0,"",IF(CG1185="Aussen","Aussenlager",IF(CG1185="-","Nicht im Lift",IF(AZ1185&gt;=1,"Lift",IF(AZ1185&lt;=0,"Aussenlager","teilweise")))))</f>
        <v>Lift</v>
      </c>
      <c r="BM1185" s="60" t="str">
        <f aca="false">IF(BD1185&lt;=0,"",IF(CG1185="Aussen","Aussenlager",IF(CG1185="-","Nicht im Lift",IF(BJ1185&gt;=1,"Lift",IF(BJ1185&lt;=0,"Aussenlager","teilweise")))))</f>
        <v>Lift</v>
      </c>
      <c r="BN1185" s="60" t="str">
        <f aca="false">IF(A1185="","",IF(BW1185=1,"Neu; ","")&amp;IF(AND(BW1185=0,BR1185&lt;0),"negativer Bestand (Export "&amp;BR1185&amp;"); ","")&amp;IF(J1185&lt;=0,"Kein Verbrauch; ","")&amp;IF(CR1185&gt;0,"Lift "&amp;W1185&amp;" lt. Liftbericht (Fach "&amp;X1185&amp;" Stk); ",IF(CB1185=1,"Gebinde geschätzt ("&amp;T1185&amp;"); ",IF(CA1185=1,"Lose – Tablare geschätzt; ","")))&amp;IF(H1185&gt;AW1185,"Überbestand "&amp;ROUND(H1185-AW1185,0)&amp;" Stk / CHF "&amp;ROUND((H1185-AW1185)*G1185,0)&amp;"; ","")&amp;IF(AND(CI1185=1,CJ1185&lt;CK1185),"MAX &lt; MB+LG; ","")&amp;IF(AND(CQ1185&gt;0,CP1185*10&gt;CQ1185),"zu hoch für Tablar; ","")&amp;IF(AND(BW1185=0,OR(CI1185=1,AB1185&lt;&gt;"",U1185&lt;&gt;"",V1185&lt;&gt;"",AC1185&lt;&gt;"")),"manuell übersteuert; ","")&amp;IF(AND(CA1185=0,R1185=0),"Gebinde unbekannt / Stellmass fehlt; ","")&amp;IF(AND(CA1185=0,N(V1185)&lt;=0,N(Q1185)&lt;=0),"Menge pro Gebinde fehlt (Ist = 1 Gebinde); ","")&amp;BV1185)</f>
        <v>negativer Bestand (Export -1); Überbestand 7 Stk / CHF 2751; </v>
      </c>
      <c r="BO1185" s="60"/>
      <c r="BP1185" s="60"/>
      <c r="BQ1185" s="67"/>
      <c r="BR1185" s="62" t="n">
        <v>-1</v>
      </c>
      <c r="BS1185" s="62" t="n">
        <v>9</v>
      </c>
      <c r="BT1185" s="61" t="n">
        <v>-393.01</v>
      </c>
      <c r="BU1185" s="62" t="n">
        <v>1</v>
      </c>
      <c r="BV1185" s="60"/>
      <c r="BW1185" s="65" t="n">
        <v>0</v>
      </c>
      <c r="BX1185" s="65" t="n">
        <v>1185</v>
      </c>
      <c r="BY1185" s="60" t="str">
        <f aca="false">IF(U1185&lt;&gt;"",UPPER(TRIM(U1185)),IF(CB1185=1,UPPER(VLOOKUP(T1185,Parameter!$I$27:$K$29,2,0)),IF(P1185="","LOSE",P1185)))</f>
        <v>S71</v>
      </c>
      <c r="BZ1185" s="62" t="n">
        <f aca="false">IF(BY1185="LOSE",1,IF(N(V1185)&gt;0,V1185,IF(CB1185=1,MAX(1,N(VLOOKUP(T1185,Parameter!$I$27:$K$29,3,0)),H1185,N(N1185)),IF(N(Q1185)&gt;0,Q1185,MAX(1,H1185)))))</f>
        <v>10</v>
      </c>
      <c r="CA1185" s="65" t="n">
        <f aca="false">IF(BY1185="LOSE",1,0)</f>
        <v>0</v>
      </c>
      <c r="CB1185" s="65" t="n">
        <f aca="false">IF(AND(U1185="",OR(P1185="",P1185="LOSE"),T1185&lt;&gt;"",N(S1185)&lt;=0,ISNUMBER(MATCH(T1185,Parameter!$I$27:$I$29,0))),1,0)</f>
        <v>0</v>
      </c>
      <c r="CC1185" s="65" t="n">
        <f aca="false">IF(CR1185&gt;0,INDEX(Parameter!$H$5:$H$7,W1185)/INDEX(Parameter!$E$5:$E$7,W1185),IF(AND(CA1185=0,N(IFERROR(VLOOKUP(BY1185,'Gebinde-Kategorie'!$A$5:$N$45,14,0),0))&gt;0),VLOOKUP(BY1185,'Gebinde-Kategorie'!$A$5:$N$45,14,0)*10+Parameter!$M$23,Parameter!$M$24))</f>
        <v>235</v>
      </c>
      <c r="CD1185" s="60" t="str">
        <f aca="false">IF(AND(Parameter!$B$19="Ja",E1185&lt;&gt;"",ISNUMBER(MATCH(E1185,Parameter!$I$35:$I$52,0))),VLOOKUP(E1185,Parameter!$I$35:$J$52,2,0),IFERROR(VLOOKUP(D1185,Parameter!$A$35:$C$64,2,0),"Nein"))</f>
        <v>2+3</v>
      </c>
      <c r="CE1185" s="64" t="n">
        <f aca="false">IF(CA1185=0,0,IF(N(S1185)&gt;0,S1185,IFERROR(VLOOKUP(D1185,Parameter!$A$35:$C$64,3,0)+0,0)))</f>
        <v>0</v>
      </c>
      <c r="CF1185" s="60" t="n">
        <f aca="false">IF(AB1185&lt;&gt;"",AB1185,AA1185)</f>
        <v>2</v>
      </c>
      <c r="CG1185" s="60" t="str">
        <f aca="false">IF(OR(CF1185=1,CF1185=2,CF1185=3),IF(Parameter!$E$27="Ja","LIFT",IF(CF1185=1,"L1","L23")),IF(CF1185="Aussen","Aussen","-"))</f>
        <v>LIFT</v>
      </c>
      <c r="CH1185" s="71" t="n">
        <f aca="false">IF(N(AC1185)&gt;0,AC1185,0)</f>
        <v>0</v>
      </c>
      <c r="CI1185" s="65" t="n">
        <f aca="false">IF(ISNUMBER(AF1185),1,0)</f>
        <v>0</v>
      </c>
      <c r="CJ1185" s="62" t="n">
        <f aca="false">N(AF1185)</f>
        <v>0</v>
      </c>
      <c r="CK1185" s="62" t="n">
        <f aca="false">N(M1185)+N(N1185)</f>
        <v>1</v>
      </c>
      <c r="CL1185" s="62" t="n">
        <f aca="false">N(M1185)</f>
        <v>0</v>
      </c>
      <c r="CM1185" s="62" t="n">
        <f aca="false">N(N1185)</f>
        <v>1</v>
      </c>
      <c r="CN1185" s="62" t="n">
        <f aca="false">ROUNDUP(H1185/BZ1185,0)</f>
        <v>1</v>
      </c>
      <c r="CO1185" s="62" t="n">
        <f aca="false">ROUNDUP(CJ1185/BZ1185,0)</f>
        <v>0</v>
      </c>
      <c r="CP1185" s="65" t="n">
        <f aca="false">IF(CA1185=1,0,IFERROR(VLOOKUP(BY1185,'Gebinde-Kategorie'!$A$5:$N$45,5,0)+0,0))</f>
        <v>20</v>
      </c>
      <c r="CQ1185" s="65" t="n">
        <f aca="false">IFERROR(IF(OR(CF1185=1,CF1185=2,CF1185=3),N(INDEX(Parameter!$I$5:$I$7,CF1185)),0),0)</f>
        <v>0</v>
      </c>
      <c r="CR1185" s="64" t="n">
        <f aca="false">IF(AND(Parameter!$B$21="Ja",ISNUMBER(W1185),N(X1185)&gt;0),IFERROR(N(INDEX(Parameter!$L$5:$L$7,W1185))*INDEX(Parameter!$E$5:$E$7,W1185)*X1185/SUMIFS($X$7:$X$1843,$W$7:$W$1843,W1185),0),0)</f>
        <v>0</v>
      </c>
      <c r="CS1185" s="62" t="n">
        <f aca="false">IF(AND(OR(CG1185="L1",CG1185="L23",CG1185="LIFT"),H1185&gt;0),CC1185*IF(CR1185&gt;0,CR1185*MAX(1,H1185/X1185),IF(CA1185=1,CE1185,IF(R1185&gt;0,CN1185/R1185,0))/MAX(0.1,N(Parameter!$M$21))),"")</f>
        <v>39.1666666666667</v>
      </c>
      <c r="CT1185" s="64" t="n">
        <f aca="false">IF(CS1185="","",J1185/H1185)</f>
        <v>0.125</v>
      </c>
      <c r="CU1185" s="62" t="n">
        <f aca="false">IF(CS1185="","",H1185*G1185)</f>
        <v>3144.08</v>
      </c>
      <c r="CV1185" s="63" t="n">
        <f aca="false">IF(CS1185="","",(CL1185+ROUNDUP(CL1185+MAX(CM1185,2*(J1185/MAX(0.1,N(Einkauf!$C$6))-CL1185)),0))/2)</f>
        <v>0.5</v>
      </c>
      <c r="CW1185" s="62" t="n">
        <f aca="false">IF(CS1185="","",MAX(0,H1185-CV1185)*G1185)</f>
        <v>2947.575</v>
      </c>
      <c r="CX1185" s="62" t="n">
        <f aca="false">IF(CS1185="","",CS1185*MAX(0,1-CV1185/H1185))</f>
        <v>36.71875</v>
      </c>
      <c r="CY1185" s="64" t="n">
        <f aca="false">IF(CS1185="","",PERCENTRANK($CS$7:$CS$1843,CS1185)+PERCENTRANK($CU$7:$CU$1843,CU1185)+1-PERCENTRANK($CT$7:$CT$1843,CT1185))</f>
        <v>2.256</v>
      </c>
      <c r="CZ1185" s="72" t="n">
        <f aca="false">IF(CS1185="","",CHOOSE(MATCH(Einkauf!$C$5,Parameter!$G$23:$G$27,0),CY1185,CS1185,CU1185,-CT1185,CW1185)+ROW()/1000000000)</f>
        <v>2.256001185</v>
      </c>
    </row>
    <row r="1186" customFormat="false" ht="15" hidden="false" customHeight="false" outlineLevel="0" collapsed="false">
      <c r="A1186" s="60" t="s">
        <v>2176</v>
      </c>
      <c r="B1186" s="60" t="s">
        <v>2177</v>
      </c>
      <c r="C1186" s="60" t="s">
        <v>206</v>
      </c>
      <c r="D1186" s="60" t="s">
        <v>215</v>
      </c>
      <c r="E1186" s="60"/>
      <c r="F1186" s="60" t="s">
        <v>260</v>
      </c>
      <c r="G1186" s="61" t="n">
        <v>393.01</v>
      </c>
      <c r="H1186" s="62" t="n">
        <f aca="false">MAX(0,IF(AND(Parameter!$B$21="Ja",ISNUMBER(Y1186)),Y1186,IF(Parameter!$B$20="Jahresanfang 2025 + Export",BS1186+BR1186,BR1186)))</f>
        <v>8</v>
      </c>
      <c r="I1186" s="62" t="n">
        <f aca="false">H1186*G1186</f>
        <v>3144.08</v>
      </c>
      <c r="J1186" s="62" t="n">
        <f aca="false">BU1186*Parameter!$B$18</f>
        <v>1</v>
      </c>
      <c r="K1186" s="63" t="n">
        <v>8.5</v>
      </c>
      <c r="L1186" s="64" t="n">
        <v>0.117647058823529</v>
      </c>
      <c r="M1186" s="62" t="n">
        <v>0</v>
      </c>
      <c r="N1186" s="62" t="n">
        <v>1</v>
      </c>
      <c r="O1186" s="65" t="n">
        <v>35</v>
      </c>
      <c r="P1186" s="60" t="s">
        <v>210</v>
      </c>
      <c r="Q1186" s="62"/>
      <c r="R1186" s="65" t="n">
        <f aca="false">IF(CA1186=1,0,IFERROR(VLOOKUP(BY1186,'Gebinde-Kategorie'!$A$5:$N$45,13,0)+0,0))</f>
        <v>12</v>
      </c>
      <c r="S1186" s="66"/>
      <c r="T1186" s="67" t="s">
        <v>221</v>
      </c>
      <c r="U1186" s="67"/>
      <c r="V1186" s="67"/>
      <c r="W1186" s="60"/>
      <c r="X1186" s="62"/>
      <c r="Y1186" s="62"/>
      <c r="Z1186" s="60" t="n">
        <v>3</v>
      </c>
      <c r="AA1186" s="60" t="n">
        <f aca="false">IF(A1186="","",IF(AND(Parameter!$B$21="Ja",ISNUMBER(W1186)),W1186,IF(AND(Parameter!$E$27="Ja",ISNUMBER(Z1186),CD1186&lt;&gt;"Nein"),Z1186,IF(CD1186="2+3",IF(ISNUMBER(SEARCH("grosser Artikel",BV1186)),2,IFERROR(VLOOKUP(BY1186,Parameter!$F$35:$G$64,2,0),2)),IF(OR(CD1186="Nein",CD1186=""),"-",CD1186)))))</f>
        <v>3</v>
      </c>
      <c r="AB1186" s="67"/>
      <c r="AC1186" s="68"/>
      <c r="AD1186" s="62" t="n">
        <f aca="false">AW1186</f>
        <v>1</v>
      </c>
      <c r="AE1186" s="62" t="n">
        <f aca="false">MAX(AW1186,H1186)</f>
        <v>8</v>
      </c>
      <c r="AF1186" s="69"/>
      <c r="AG1186" s="62" t="n">
        <f aca="false">IF(LEFT(Cockpit!$C$5,1)="A",H1186,IF(Parameter!$E$30="MAX-Bestand",IF(CI1186=1,CJ1186,IF(LEFT(Cockpit!$C$5,1)="B",AM1186,MAX(AM1186,H1186))),ROUNDUP(AK1186,0)))</f>
        <v>8</v>
      </c>
      <c r="AH1186" s="62" t="n">
        <f aca="false">IF(CA1186=1,0,ROUNDUP(AG1186/BZ1186,0))</f>
        <v>1</v>
      </c>
      <c r="AI1186" s="64" t="n">
        <f aca="false">IF(CR1186&gt;0,CR1186*MAX(1,AG1186/X1186),IF(CA1186=1,IF(AG1186&lt;=0,0,CE1186*MAX(1,IF(H1186&gt;0,AG1186/H1186,1))),IF(R1186&gt;0,AH1186/R1186,0))/MAX(0.1,N(Parameter!$M$21)))</f>
        <v>0.0833333333333333</v>
      </c>
      <c r="AJ1186" s="62" t="n">
        <f aca="false">AI1186*CC1186</f>
        <v>12.0833333333333</v>
      </c>
      <c r="AK1186" s="63" t="n">
        <f aca="false">IF(LEFT(Cockpit!$C$5,1)="A",H1186,IF(CI1186=1,(CL1186+CJ1186)/2,IF(LEFT(Cockpit!$C$5,1)="B",(CL1186+AM1186)/2,MAX((CL1186+AM1186)/2,H1186))))</f>
        <v>8</v>
      </c>
      <c r="AL1186" s="62" t="n">
        <f aca="false">AK1186*G1186</f>
        <v>3144.08</v>
      </c>
      <c r="AM1186" s="62" t="n">
        <f aca="false">ROUNDUP(CL1186+MAX(CM1186,2*(J1186/IF(CH1186&gt;0,CH1186,MAX(0.1,N(Cockpit!$C$6)))-CL1186)),0)</f>
        <v>1</v>
      </c>
      <c r="AN1186" s="63" t="n">
        <f aca="false">IF(AJ1186&gt;0,J1186/AJ1186,-1)</f>
        <v>0.0827586206896552</v>
      </c>
      <c r="AO1186" s="63" t="n">
        <f aca="false">IF(AND(OR(CG1186="L1",CG1186="L23",CG1186="LIFT"),AJ1186&gt;0),SUMIFS($AJ$7:$AJ$1843,$CG$7:$CG$1843,CG1186,$AN$7:$AN$1843,"&gt;"&amp;AN1186)+SUMIFS($AJ$7:$AJ$1843,$CG$7:$CG$1843,CG1186,$AN$7:$AN$1843,AN1186,$BX$7:$BX$1843,"&lt;="&amp;BX1186),"")</f>
        <v>16749.857398957</v>
      </c>
      <c r="AP1186" s="70" t="n">
        <f aca="false">IF(AO1186="",0,MAX(0,MIN(1,(IF(CG1186="L1",Parameter!$H$5,IF(CG1186="L23",Parameter!$H$6+Parameter!$H$7,Parameter!$H$5+Parameter!$H$6+Parameter!$H$7))-(AO1186-AJ1186))/AJ1186)))</f>
        <v>1</v>
      </c>
      <c r="AQ1186" s="62" t="n">
        <f aca="false">IF(LEFT(Cockpit!$I$5,1)="A",H1186,IF(Parameter!$E$30="MAX-Bestand",IF(CI1186=1,CJ1186,IF(LEFT(Cockpit!$I$5,1)="B",AW1186,MAX(AW1186,H1186))),ROUNDUP(AU1186,0)))</f>
        <v>8</v>
      </c>
      <c r="AR1186" s="62" t="n">
        <f aca="false">IF(CA1186=1,0,ROUNDUP(AQ1186/BZ1186,0))</f>
        <v>1</v>
      </c>
      <c r="AS1186" s="64" t="n">
        <f aca="false">IF(CR1186&gt;0,CR1186*MAX(1,AQ1186/X1186),IF(CA1186=1,IF(AQ1186&lt;=0,0,CE1186*MAX(1,IF(H1186&gt;0,AQ1186/H1186,1))),IF(R1186&gt;0,AR1186/R1186,0))/MAX(0.1,N(Parameter!$M$21)))</f>
        <v>0.0833333333333333</v>
      </c>
      <c r="AT1186" s="62" t="n">
        <f aca="false">AS1186*CC1186</f>
        <v>12.0833333333333</v>
      </c>
      <c r="AU1186" s="63" t="n">
        <f aca="false">IF(LEFT(Cockpit!$I$5,1)="A",H1186,IF(CI1186=1,(CL1186+CJ1186)/2,IF(LEFT(Cockpit!$I$5,1)="B",(CL1186+AW1186)/2,MAX((CL1186+AW1186)/2,H1186))))</f>
        <v>8</v>
      </c>
      <c r="AV1186" s="62" t="n">
        <f aca="false">AU1186*G1186</f>
        <v>3144.08</v>
      </c>
      <c r="AW1186" s="62" t="n">
        <f aca="false">ROUNDUP(CL1186+MAX(CM1186,2*(J1186/IF(CH1186&gt;0,CH1186,MAX(0.1,N(Cockpit!$I$6)))-CL1186)),0)</f>
        <v>1</v>
      </c>
      <c r="AX1186" s="63" t="n">
        <f aca="false">IF(AT1186&gt;0,J1186/AT1186,-1)</f>
        <v>0.0827586206896552</v>
      </c>
      <c r="AY1186" s="63" t="n">
        <f aca="false">IF(AND(OR(CG1186="L1",CG1186="L23",CG1186="LIFT"),AT1186&gt;0),SUMIFS($AT$7:$AT$1843,$CG$7:$CG$1843,CG1186,$AX$7:$AX$1843,"&gt;"&amp;AX1186)+SUMIFS($AT$7:$AT$1843,$CG$7:$CG$1843,CG1186,$AX$7:$AX$1843,AX1186,$BX$7:$BX$1843,"&lt;="&amp;BX1186),"")</f>
        <v>21809.2560403344</v>
      </c>
      <c r="AZ1186" s="70" t="n">
        <f aca="false">IF(AY1186="",0,MAX(0,MIN(1,(IF(CG1186="L1",Parameter!$H$5,IF(CG1186="L23",Parameter!$H$6+Parameter!$H$7,Parameter!$H$5+Parameter!$H$6+Parameter!$H$7))-(AY1186-AT1186))/AT1186)))</f>
        <v>1</v>
      </c>
      <c r="BA1186" s="62" t="n">
        <f aca="false">IF(LEFT(Cockpit!$O$5,1)="A",H1186,IF(Parameter!$E$30="MAX-Bestand",IF(CI1186=1,CJ1186,IF(LEFT(Cockpit!$O$5,1)="B",BG1186,MAX(BG1186,H1186))),ROUNDUP(BE1186,0)))</f>
        <v>1</v>
      </c>
      <c r="BB1186" s="62" t="n">
        <f aca="false">IF(CA1186=1,0,ROUNDUP(BA1186/BZ1186,0))</f>
        <v>1</v>
      </c>
      <c r="BC1186" s="64" t="n">
        <f aca="false">IF(CR1186&gt;0,CR1186*MAX(1,BA1186/X1186),IF(CA1186=1,IF(BA1186&lt;=0,0,CE1186*MAX(1,IF(H1186&gt;0,BA1186/H1186,1))),IF(R1186&gt;0,BB1186/R1186,0))/MAX(0.1,N(Parameter!$M$21)))</f>
        <v>0.0833333333333333</v>
      </c>
      <c r="BD1186" s="62" t="n">
        <f aca="false">BC1186*CC1186</f>
        <v>12.0833333333333</v>
      </c>
      <c r="BE1186" s="63" t="n">
        <f aca="false">IF(LEFT(Cockpit!$O$5,1)="A",H1186,IF(CI1186=1,(CL1186+CJ1186)/2,IF(LEFT(Cockpit!$O$5,1)="B",(CL1186+BG1186)/2,MAX((CL1186+BG1186)/2,H1186))))</f>
        <v>0.5</v>
      </c>
      <c r="BF1186" s="62" t="n">
        <f aca="false">BE1186*G1186</f>
        <v>196.505</v>
      </c>
      <c r="BG1186" s="62" t="n">
        <f aca="false">ROUNDUP(CL1186+MAX(CM1186,2*(J1186/IF(CH1186&gt;0,CH1186,MAX(0.1,N(Cockpit!$O$6)))-CL1186)),0)</f>
        <v>1</v>
      </c>
      <c r="BH1186" s="63" t="n">
        <f aca="false">IF(BD1186&gt;0,J1186/BD1186,-1)</f>
        <v>0.0827586206896552</v>
      </c>
      <c r="BI1186" s="63" t="n">
        <f aca="false">IF(AND(OR(CG1186="L1",CG1186="L23",CG1186="LIFT"),BD1186&gt;0),SUMIFS($BD$7:$BD$1843,$CG$7:$CG$1843,CG1186,$BH$7:$BH$1843,"&gt;"&amp;BH1186)+SUMIFS($BD$7:$BD$1843,$CG$7:$CG$1843,CG1186,$BH$7:$BH$1843,BH1186,$BX$7:$BX$1843,"&lt;="&amp;BX1186),"")</f>
        <v>18347.3122426067</v>
      </c>
      <c r="BJ1186" s="70" t="n">
        <f aca="false">IF(BI1186="",0,MAX(0,MIN(1,(IF(CG1186="L1",Parameter!$H$5,IF(CG1186="L23",Parameter!$H$6+Parameter!$H$7,Parameter!$H$5+Parameter!$H$6+Parameter!$H$7))-(BI1186-BD1186))/BD1186)))</f>
        <v>1</v>
      </c>
      <c r="BK1186" s="60" t="str">
        <f aca="false">IF(AJ1186&lt;=0,"",IF(CG1186="Aussen","Aussenlager",IF(CG1186="-","Nicht im Lift",IF(AP1186&gt;=1,"Lift",IF(AP1186&lt;=0,"Aussenlager","teilweise")))))</f>
        <v>Lift</v>
      </c>
      <c r="BL1186" s="60" t="str">
        <f aca="false">IF(AT1186&lt;=0,"",IF(CG1186="Aussen","Aussenlager",IF(CG1186="-","Nicht im Lift",IF(AZ1186&gt;=1,"Lift",IF(AZ1186&lt;=0,"Aussenlager","teilweise")))))</f>
        <v>Lift</v>
      </c>
      <c r="BM1186" s="60" t="str">
        <f aca="false">IF(BD1186&lt;=0,"",IF(CG1186="Aussen","Aussenlager",IF(CG1186="-","Nicht im Lift",IF(BJ1186&gt;=1,"Lift",IF(BJ1186&lt;=0,"Aussenlager","teilweise")))))</f>
        <v>Lift</v>
      </c>
      <c r="BN1186" s="60" t="str">
        <f aca="false">IF(A1186="","",IF(BW1186=1,"Neu; ","")&amp;IF(AND(BW1186=0,BR1186&lt;0),"negativer Bestand (Export "&amp;BR1186&amp;"); ","")&amp;IF(J1186&lt;=0,"Kein Verbrauch; ","")&amp;IF(CR1186&gt;0,"Lift "&amp;W1186&amp;" lt. Liftbericht (Fach "&amp;X1186&amp;" Stk); ",IF(CB1186=1,"Gebinde geschätzt ("&amp;T1186&amp;"); ",IF(CA1186=1,"Lose – Tablare geschätzt; ","")))&amp;IF(H1186&gt;AW1186,"Überbestand "&amp;ROUND(H1186-AW1186,0)&amp;" Stk / CHF "&amp;ROUND((H1186-AW1186)*G1186,0)&amp;"; ","")&amp;IF(AND(CI1186=1,CJ1186&lt;CK1186),"MAX &lt; MB+LG; ","")&amp;IF(AND(CQ1186&gt;0,CP1186*10&gt;CQ1186),"zu hoch für Tablar; ","")&amp;IF(AND(BW1186=0,OR(CI1186=1,AB1186&lt;&gt;"",U1186&lt;&gt;"",V1186&lt;&gt;"",AC1186&lt;&gt;"")),"manuell übersteuert; ","")&amp;IF(AND(CA1186=0,R1186=0),"Gebinde unbekannt / Stellmass fehlt; ","")&amp;IF(AND(CA1186=0,N(V1186)&lt;=0,N(Q1186)&lt;=0),"Menge pro Gebinde fehlt (Ist = 1 Gebinde); ","")&amp;BV1186)</f>
        <v>negativer Bestand (Export -1); Gebinde geschätzt (Mittel); Überbestand 7 Stk / CHF 2751; Menge pro Gebinde fehlt (Ist = 1 Gebinde); </v>
      </c>
      <c r="BO1186" s="60"/>
      <c r="BP1186" s="60"/>
      <c r="BQ1186" s="67"/>
      <c r="BR1186" s="62" t="n">
        <v>-1</v>
      </c>
      <c r="BS1186" s="62" t="n">
        <v>9</v>
      </c>
      <c r="BT1186" s="61" t="n">
        <v>-393.01</v>
      </c>
      <c r="BU1186" s="62" t="n">
        <v>1</v>
      </c>
      <c r="BV1186" s="60"/>
      <c r="BW1186" s="65" t="n">
        <v>0</v>
      </c>
      <c r="BX1186" s="65" t="n">
        <v>1186</v>
      </c>
      <c r="BY1186" s="60" t="str">
        <f aca="false">IF(U1186&lt;&gt;"",UPPER(TRIM(U1186)),IF(CB1186=1,UPPER(VLOOKUP(T1186,Parameter!$I$27:$K$29,2,0)),IF(P1186="","LOSE",P1186)))</f>
        <v>S61</v>
      </c>
      <c r="BZ1186" s="62" t="n">
        <f aca="false">IF(BY1186="LOSE",1,IF(N(V1186)&gt;0,V1186,IF(CB1186=1,MAX(1,N(VLOOKUP(T1186,Parameter!$I$27:$K$29,3,0)),H1186,N(N1186)),IF(N(Q1186)&gt;0,Q1186,MAX(1,H1186)))))</f>
        <v>8</v>
      </c>
      <c r="CA1186" s="65" t="n">
        <f aca="false">IF(BY1186="LOSE",1,0)</f>
        <v>0</v>
      </c>
      <c r="CB1186" s="65" t="n">
        <f aca="false">IF(AND(U1186="",OR(P1186="",P1186="LOSE"),T1186&lt;&gt;"",N(S1186)&lt;=0,ISNUMBER(MATCH(T1186,Parameter!$I$27:$I$29,0))),1,0)</f>
        <v>1</v>
      </c>
      <c r="CC1186" s="65" t="n">
        <f aca="false">IF(CR1186&gt;0,INDEX(Parameter!$H$5:$H$7,W1186)/INDEX(Parameter!$E$5:$E$7,W1186),IF(AND(CA1186=0,N(IFERROR(VLOOKUP(BY1186,'Gebinde-Kategorie'!$A$5:$N$45,14,0),0))&gt;0),VLOOKUP(BY1186,'Gebinde-Kategorie'!$A$5:$N$45,14,0)*10+Parameter!$M$23,Parameter!$M$24))</f>
        <v>145</v>
      </c>
      <c r="CD1186" s="60" t="str">
        <f aca="false">IF(AND(Parameter!$B$19="Ja",E1186&lt;&gt;"",ISNUMBER(MATCH(E1186,Parameter!$I$35:$I$52,0))),VLOOKUP(E1186,Parameter!$I$35:$J$52,2,0),IFERROR(VLOOKUP(D1186,Parameter!$A$35:$C$64,2,0),"Nein"))</f>
        <v>2+3</v>
      </c>
      <c r="CE1186" s="64" t="n">
        <f aca="false">IF(CA1186=0,0,IF(N(S1186)&gt;0,S1186,IFERROR(VLOOKUP(D1186,Parameter!$A$35:$C$64,3,0)+0,0)))</f>
        <v>0</v>
      </c>
      <c r="CF1186" s="60" t="n">
        <f aca="false">IF(AB1186&lt;&gt;"",AB1186,AA1186)</f>
        <v>3</v>
      </c>
      <c r="CG1186" s="60" t="str">
        <f aca="false">IF(OR(CF1186=1,CF1186=2,CF1186=3),IF(Parameter!$E$27="Ja","LIFT",IF(CF1186=1,"L1","L23")),IF(CF1186="Aussen","Aussen","-"))</f>
        <v>LIFT</v>
      </c>
      <c r="CH1186" s="71" t="n">
        <f aca="false">IF(N(AC1186)&gt;0,AC1186,0)</f>
        <v>0</v>
      </c>
      <c r="CI1186" s="65" t="n">
        <f aca="false">IF(ISNUMBER(AF1186),1,0)</f>
        <v>0</v>
      </c>
      <c r="CJ1186" s="62" t="n">
        <f aca="false">N(AF1186)</f>
        <v>0</v>
      </c>
      <c r="CK1186" s="62" t="n">
        <f aca="false">N(M1186)+N(N1186)</f>
        <v>1</v>
      </c>
      <c r="CL1186" s="62" t="n">
        <f aca="false">N(M1186)</f>
        <v>0</v>
      </c>
      <c r="CM1186" s="62" t="n">
        <f aca="false">N(N1186)</f>
        <v>1</v>
      </c>
      <c r="CN1186" s="62" t="n">
        <f aca="false">ROUNDUP(H1186/BZ1186,0)</f>
        <v>1</v>
      </c>
      <c r="CO1186" s="62" t="n">
        <f aca="false">ROUNDUP(CJ1186/BZ1186,0)</f>
        <v>0</v>
      </c>
      <c r="CP1186" s="65" t="n">
        <f aca="false">IF(CA1186=1,0,IFERROR(VLOOKUP(BY1186,'Gebinde-Kategorie'!$A$5:$N$45,5,0)+0,0))</f>
        <v>11</v>
      </c>
      <c r="CQ1186" s="65" t="n">
        <f aca="false">IFERROR(IF(OR(CF1186=1,CF1186=2,CF1186=3),N(INDEX(Parameter!$I$5:$I$7,CF1186)),0),0)</f>
        <v>0</v>
      </c>
      <c r="CR1186" s="64" t="n">
        <f aca="false">IF(AND(Parameter!$B$21="Ja",ISNUMBER(W1186),N(X1186)&gt;0),IFERROR(N(INDEX(Parameter!$L$5:$L$7,W1186))*INDEX(Parameter!$E$5:$E$7,W1186)*X1186/SUMIFS($X$7:$X$1843,$W$7:$W$1843,W1186),0),0)</f>
        <v>0</v>
      </c>
      <c r="CS1186" s="62" t="n">
        <f aca="false">IF(AND(OR(CG1186="L1",CG1186="L23",CG1186="LIFT"),H1186&gt;0),CC1186*IF(CR1186&gt;0,CR1186*MAX(1,H1186/X1186),IF(CA1186=1,CE1186,IF(R1186&gt;0,CN1186/R1186,0))/MAX(0.1,N(Parameter!$M$21))),"")</f>
        <v>12.0833333333333</v>
      </c>
      <c r="CT1186" s="64" t="n">
        <f aca="false">IF(CS1186="","",J1186/H1186)</f>
        <v>0.125</v>
      </c>
      <c r="CU1186" s="62" t="n">
        <f aca="false">IF(CS1186="","",H1186*G1186)</f>
        <v>3144.08</v>
      </c>
      <c r="CV1186" s="63" t="n">
        <f aca="false">IF(CS1186="","",(CL1186+ROUNDUP(CL1186+MAX(CM1186,2*(J1186/MAX(0.1,N(Einkauf!$C$6))-CL1186)),0))/2)</f>
        <v>0.5</v>
      </c>
      <c r="CW1186" s="62" t="n">
        <f aca="false">IF(CS1186="","",MAX(0,H1186-CV1186)*G1186)</f>
        <v>2947.575</v>
      </c>
      <c r="CX1186" s="62" t="n">
        <f aca="false">IF(CS1186="","",CS1186*MAX(0,1-CV1186/H1186))</f>
        <v>11.328125</v>
      </c>
      <c r="CY1186" s="64" t="n">
        <f aca="false">IF(CS1186="","",PERCENTRANK($CS$7:$CS$1843,CS1186)+PERCENTRANK($CU$7:$CU$1843,CU1186)+1-PERCENTRANK($CT$7:$CT$1843,CT1186))</f>
        <v>2.057</v>
      </c>
      <c r="CZ1186" s="72" t="n">
        <f aca="false">IF(CS1186="","",CHOOSE(MATCH(Einkauf!$C$5,Parameter!$G$23:$G$27,0),CY1186,CS1186,CU1186,-CT1186,CW1186)+ROW()/1000000000)</f>
        <v>2.057001186</v>
      </c>
    </row>
    <row r="1187" customFormat="false" ht="15" hidden="false" customHeight="false" outlineLevel="0" collapsed="false">
      <c r="A1187" s="60" t="s">
        <v>2178</v>
      </c>
      <c r="B1187" s="60" t="s">
        <v>2179</v>
      </c>
      <c r="C1187" s="60" t="s">
        <v>206</v>
      </c>
      <c r="D1187" s="60" t="s">
        <v>215</v>
      </c>
      <c r="E1187" s="60"/>
      <c r="F1187" s="60" t="s">
        <v>260</v>
      </c>
      <c r="G1187" s="61" t="n">
        <v>46.89</v>
      </c>
      <c r="H1187" s="62" t="n">
        <f aca="false">MAX(0,IF(AND(Parameter!$B$21="Ja",ISNUMBER(Y1187)),Y1187,IF(Parameter!$B$20="Jahresanfang 2025 + Export",BS1187+BR1187,BR1187)))</f>
        <v>7</v>
      </c>
      <c r="I1187" s="62" t="n">
        <f aca="false">H1187*G1187</f>
        <v>328.23</v>
      </c>
      <c r="J1187" s="62" t="n">
        <f aca="false">BU1187*Parameter!$B$18</f>
        <v>12</v>
      </c>
      <c r="K1187" s="63" t="n">
        <v>11.5</v>
      </c>
      <c r="L1187" s="64" t="n">
        <v>1.04347826086957</v>
      </c>
      <c r="M1187" s="62" t="n">
        <v>1</v>
      </c>
      <c r="N1187" s="62" t="n">
        <v>10</v>
      </c>
      <c r="O1187" s="65" t="n">
        <v>42</v>
      </c>
      <c r="P1187" s="60" t="s">
        <v>210</v>
      </c>
      <c r="Q1187" s="62"/>
      <c r="R1187" s="65" t="n">
        <f aca="false">IF(CA1187=1,0,IFERROR(VLOOKUP(BY1187,'Gebinde-Kategorie'!$A$5:$N$45,13,0)+0,0))</f>
        <v>12</v>
      </c>
      <c r="S1187" s="66"/>
      <c r="T1187" s="67" t="s">
        <v>221</v>
      </c>
      <c r="U1187" s="67"/>
      <c r="V1187" s="67"/>
      <c r="W1187" s="60"/>
      <c r="X1187" s="62"/>
      <c r="Y1187" s="62"/>
      <c r="Z1187" s="60" t="n">
        <v>3</v>
      </c>
      <c r="AA1187" s="60" t="n">
        <f aca="false">IF(A1187="","",IF(AND(Parameter!$B$21="Ja",ISNUMBER(W1187)),W1187,IF(AND(Parameter!$E$27="Ja",ISNUMBER(Z1187),CD1187&lt;&gt;"Nein"),Z1187,IF(CD1187="2+3",IF(ISNUMBER(SEARCH("grosser Artikel",BV1187)),2,IFERROR(VLOOKUP(BY1187,Parameter!$F$35:$G$64,2,0),2)),IF(OR(CD1187="Nein",CD1187=""),"-",CD1187)))))</f>
        <v>3</v>
      </c>
      <c r="AB1187" s="67"/>
      <c r="AC1187" s="68"/>
      <c r="AD1187" s="62" t="n">
        <f aca="false">AW1187</f>
        <v>11</v>
      </c>
      <c r="AE1187" s="62" t="n">
        <f aca="false">MAX(AW1187,H1187)</f>
        <v>11</v>
      </c>
      <c r="AF1187" s="69"/>
      <c r="AG1187" s="62" t="n">
        <f aca="false">IF(LEFT(Cockpit!$C$5,1)="A",H1187,IF(Parameter!$E$30="MAX-Bestand",IF(CI1187=1,CJ1187,IF(LEFT(Cockpit!$C$5,1)="B",AM1187,MAX(AM1187,H1187))),ROUNDUP(AK1187,0)))</f>
        <v>7</v>
      </c>
      <c r="AH1187" s="62" t="n">
        <f aca="false">IF(CA1187=1,0,ROUNDUP(AG1187/BZ1187,0))</f>
        <v>1</v>
      </c>
      <c r="AI1187" s="64" t="n">
        <f aca="false">IF(CR1187&gt;0,CR1187*MAX(1,AG1187/X1187),IF(CA1187=1,IF(AG1187&lt;=0,0,CE1187*MAX(1,IF(H1187&gt;0,AG1187/H1187,1))),IF(R1187&gt;0,AH1187/R1187,0))/MAX(0.1,N(Parameter!$M$21)))</f>
        <v>0.0833333333333333</v>
      </c>
      <c r="AJ1187" s="62" t="n">
        <f aca="false">AI1187*CC1187</f>
        <v>12.0833333333333</v>
      </c>
      <c r="AK1187" s="63" t="n">
        <f aca="false">IF(LEFT(Cockpit!$C$5,1)="A",H1187,IF(CI1187=1,(CL1187+CJ1187)/2,IF(LEFT(Cockpit!$C$5,1)="B",(CL1187+AM1187)/2,MAX((CL1187+AM1187)/2,H1187))))</f>
        <v>7</v>
      </c>
      <c r="AL1187" s="62" t="n">
        <f aca="false">AK1187*G1187</f>
        <v>328.23</v>
      </c>
      <c r="AM1187" s="62" t="n">
        <f aca="false">ROUNDUP(CL1187+MAX(CM1187,2*(J1187/IF(CH1187&gt;0,CH1187,MAX(0.1,N(Cockpit!$C$6)))-CL1187)),0)</f>
        <v>11</v>
      </c>
      <c r="AN1187" s="63" t="n">
        <f aca="false">IF(AJ1187&gt;0,J1187/AJ1187,-1)</f>
        <v>0.993103448275862</v>
      </c>
      <c r="AO1187" s="63" t="n">
        <f aca="false">IF(AND(OR(CG1187="L1",CG1187="L23",CG1187="LIFT"),AJ1187&gt;0),SUMIFS($AJ$7:$AJ$1843,$CG$7:$CG$1843,CG1187,$AN$7:$AN$1843,"&gt;"&amp;AN1187)+SUMIFS($AJ$7:$AJ$1843,$CG$7:$CG$1843,CG1187,$AN$7:$AN$1843,AN1187,$BX$7:$BX$1843,"&lt;="&amp;BX1187),"")</f>
        <v>7074.60943223443</v>
      </c>
      <c r="AP1187" s="70" t="n">
        <f aca="false">IF(AO1187="",0,MAX(0,MIN(1,(IF(CG1187="L1",Parameter!$H$5,IF(CG1187="L23",Parameter!$H$6+Parameter!$H$7,Parameter!$H$5+Parameter!$H$6+Parameter!$H$7))-(AO1187-AJ1187))/AJ1187)))</f>
        <v>1</v>
      </c>
      <c r="AQ1187" s="62" t="n">
        <f aca="false">IF(LEFT(Cockpit!$I$5,1)="A",H1187,IF(Parameter!$E$30="MAX-Bestand",IF(CI1187=1,CJ1187,IF(LEFT(Cockpit!$I$5,1)="B",AW1187,MAX(AW1187,H1187))),ROUNDUP(AU1187,0)))</f>
        <v>7</v>
      </c>
      <c r="AR1187" s="62" t="n">
        <f aca="false">IF(CA1187=1,0,ROUNDUP(AQ1187/BZ1187,0))</f>
        <v>1</v>
      </c>
      <c r="AS1187" s="64" t="n">
        <f aca="false">IF(CR1187&gt;0,CR1187*MAX(1,AQ1187/X1187),IF(CA1187=1,IF(AQ1187&lt;=0,0,CE1187*MAX(1,IF(H1187&gt;0,AQ1187/H1187,1))),IF(R1187&gt;0,AR1187/R1187,0))/MAX(0.1,N(Parameter!$M$21)))</f>
        <v>0.0833333333333333</v>
      </c>
      <c r="AT1187" s="62" t="n">
        <f aca="false">AS1187*CC1187</f>
        <v>12.0833333333333</v>
      </c>
      <c r="AU1187" s="63" t="n">
        <f aca="false">IF(LEFT(Cockpit!$I$5,1)="A",H1187,IF(CI1187=1,(CL1187+CJ1187)/2,IF(LEFT(Cockpit!$I$5,1)="B",(CL1187+AW1187)/2,MAX((CL1187+AW1187)/2,H1187))))</f>
        <v>7</v>
      </c>
      <c r="AV1187" s="62" t="n">
        <f aca="false">AU1187*G1187</f>
        <v>328.23</v>
      </c>
      <c r="AW1187" s="62" t="n">
        <f aca="false">ROUNDUP(CL1187+MAX(CM1187,2*(J1187/IF(CH1187&gt;0,CH1187,MAX(0.1,N(Cockpit!$I$6)))-CL1187)),0)</f>
        <v>11</v>
      </c>
      <c r="AX1187" s="63" t="n">
        <f aca="false">IF(AT1187&gt;0,J1187/AT1187,-1)</f>
        <v>0.993103448275862</v>
      </c>
      <c r="AY1187" s="63" t="n">
        <f aca="false">IF(AND(OR(CG1187="L1",CG1187="L23",CG1187="LIFT"),AT1187&gt;0),SUMIFS($AT$7:$AT$1843,$CG$7:$CG$1843,CG1187,$AX$7:$AX$1843,"&gt;"&amp;AX1187)+SUMIFS($AT$7:$AT$1843,$CG$7:$CG$1843,CG1187,$AX$7:$AX$1843,AX1187,$BX$7:$BX$1843,"&lt;="&amp;BX1187),"")</f>
        <v>8446.29304029304</v>
      </c>
      <c r="AZ1187" s="70" t="n">
        <f aca="false">IF(AY1187="",0,MAX(0,MIN(1,(IF(CG1187="L1",Parameter!$H$5,IF(CG1187="L23",Parameter!$H$6+Parameter!$H$7,Parameter!$H$5+Parameter!$H$6+Parameter!$H$7))-(AY1187-AT1187))/AT1187)))</f>
        <v>1</v>
      </c>
      <c r="BA1187" s="62" t="n">
        <f aca="false">IF(LEFT(Cockpit!$O$5,1)="A",H1187,IF(Parameter!$E$30="MAX-Bestand",IF(CI1187=1,CJ1187,IF(LEFT(Cockpit!$O$5,1)="B",BG1187,MAX(BG1187,H1187))),ROUNDUP(BE1187,0)))</f>
        <v>6</v>
      </c>
      <c r="BB1187" s="62" t="n">
        <f aca="false">IF(CA1187=1,0,ROUNDUP(BA1187/BZ1187,0))</f>
        <v>1</v>
      </c>
      <c r="BC1187" s="64" t="n">
        <f aca="false">IF(CR1187&gt;0,CR1187*MAX(1,BA1187/X1187),IF(CA1187=1,IF(BA1187&lt;=0,0,CE1187*MAX(1,IF(H1187&gt;0,BA1187/H1187,1))),IF(R1187&gt;0,BB1187/R1187,0))/MAX(0.1,N(Parameter!$M$21)))</f>
        <v>0.0833333333333333</v>
      </c>
      <c r="BD1187" s="62" t="n">
        <f aca="false">BC1187*CC1187</f>
        <v>12.0833333333333</v>
      </c>
      <c r="BE1187" s="63" t="n">
        <f aca="false">IF(LEFT(Cockpit!$O$5,1)="A",H1187,IF(CI1187=1,(CL1187+CJ1187)/2,IF(LEFT(Cockpit!$O$5,1)="B",(CL1187+BG1187)/2,MAX((CL1187+BG1187)/2,H1187))))</f>
        <v>6</v>
      </c>
      <c r="BF1187" s="62" t="n">
        <f aca="false">BE1187*G1187</f>
        <v>281.34</v>
      </c>
      <c r="BG1187" s="62" t="n">
        <f aca="false">ROUNDUP(CL1187+MAX(CM1187,2*(J1187/IF(CH1187&gt;0,CH1187,MAX(0.1,N(Cockpit!$O$6)))-CL1187)),0)</f>
        <v>11</v>
      </c>
      <c r="BH1187" s="63" t="n">
        <f aca="false">IF(BD1187&gt;0,J1187/BD1187,-1)</f>
        <v>0.993103448275862</v>
      </c>
      <c r="BI1187" s="63" t="n">
        <f aca="false">IF(AND(OR(CG1187="L1",CG1187="L23",CG1187="LIFT"),BD1187&gt;0),SUMIFS($BD$7:$BD$1843,$CG$7:$CG$1843,CG1187,$BH$7:$BH$1843,"&gt;"&amp;BH1187)+SUMIFS($BD$7:$BD$1843,$CG$7:$CG$1843,CG1187,$BH$7:$BH$1843,BH1187,$BX$7:$BX$1843,"&lt;="&amp;BX1187),"")</f>
        <v>7684.40613553114</v>
      </c>
      <c r="BJ1187" s="70" t="n">
        <f aca="false">IF(BI1187="",0,MAX(0,MIN(1,(IF(CG1187="L1",Parameter!$H$5,IF(CG1187="L23",Parameter!$H$6+Parameter!$H$7,Parameter!$H$5+Parameter!$H$6+Parameter!$H$7))-(BI1187-BD1187))/BD1187)))</f>
        <v>1</v>
      </c>
      <c r="BK1187" s="60" t="str">
        <f aca="false">IF(AJ1187&lt;=0,"",IF(CG1187="Aussen","Aussenlager",IF(CG1187="-","Nicht im Lift",IF(AP1187&gt;=1,"Lift",IF(AP1187&lt;=0,"Aussenlager","teilweise")))))</f>
        <v>Lift</v>
      </c>
      <c r="BL1187" s="60" t="str">
        <f aca="false">IF(AT1187&lt;=0,"",IF(CG1187="Aussen","Aussenlager",IF(CG1187="-","Nicht im Lift",IF(AZ1187&gt;=1,"Lift",IF(AZ1187&lt;=0,"Aussenlager","teilweise")))))</f>
        <v>Lift</v>
      </c>
      <c r="BM1187" s="60" t="str">
        <f aca="false">IF(BD1187&lt;=0,"",IF(CG1187="Aussen","Aussenlager",IF(CG1187="-","Nicht im Lift",IF(BJ1187&gt;=1,"Lift",IF(BJ1187&lt;=0,"Aussenlager","teilweise")))))</f>
        <v>Lift</v>
      </c>
      <c r="BN1187" s="60" t="str">
        <f aca="false">IF(A1187="","",IF(BW1187=1,"Neu; ","")&amp;IF(AND(BW1187=0,BR1187&lt;0),"negativer Bestand (Export "&amp;BR1187&amp;"); ","")&amp;IF(J1187&lt;=0,"Kein Verbrauch; ","")&amp;IF(CR1187&gt;0,"Lift "&amp;W1187&amp;" lt. Liftbericht (Fach "&amp;X1187&amp;" Stk); ",IF(CB1187=1,"Gebinde geschätzt ("&amp;T1187&amp;"); ",IF(CA1187=1,"Lose – Tablare geschätzt; ","")))&amp;IF(H1187&gt;AW1187,"Überbestand "&amp;ROUND(H1187-AW1187,0)&amp;" Stk / CHF "&amp;ROUND((H1187-AW1187)*G1187,0)&amp;"; ","")&amp;IF(AND(CI1187=1,CJ1187&lt;CK1187),"MAX &lt; MB+LG; ","")&amp;IF(AND(CQ1187&gt;0,CP1187*10&gt;CQ1187),"zu hoch für Tablar; ","")&amp;IF(AND(BW1187=0,OR(CI1187=1,AB1187&lt;&gt;"",U1187&lt;&gt;"",V1187&lt;&gt;"",AC1187&lt;&gt;"")),"manuell übersteuert; ","")&amp;IF(AND(CA1187=0,R1187=0),"Gebinde unbekannt / Stellmass fehlt; ","")&amp;IF(AND(CA1187=0,N(V1187)&lt;=0,N(Q1187)&lt;=0),"Menge pro Gebinde fehlt (Ist = 1 Gebinde); ","")&amp;BV1187)</f>
        <v>negativer Bestand (Export -7); Gebinde geschätzt (Mittel); Menge pro Gebinde fehlt (Ist = 1 Gebinde); </v>
      </c>
      <c r="BO1187" s="60"/>
      <c r="BP1187" s="60"/>
      <c r="BQ1187" s="67"/>
      <c r="BR1187" s="62" t="n">
        <v>-7</v>
      </c>
      <c r="BS1187" s="62" t="n">
        <v>14</v>
      </c>
      <c r="BT1187" s="61" t="n">
        <v>-410.27</v>
      </c>
      <c r="BU1187" s="62" t="n">
        <v>12</v>
      </c>
      <c r="BV1187" s="60"/>
      <c r="BW1187" s="65" t="n">
        <v>0</v>
      </c>
      <c r="BX1187" s="65" t="n">
        <v>1187</v>
      </c>
      <c r="BY1187" s="60" t="str">
        <f aca="false">IF(U1187&lt;&gt;"",UPPER(TRIM(U1187)),IF(CB1187=1,UPPER(VLOOKUP(T1187,Parameter!$I$27:$K$29,2,0)),IF(P1187="","LOSE",P1187)))</f>
        <v>S61</v>
      </c>
      <c r="BZ1187" s="62" t="n">
        <f aca="false">IF(BY1187="LOSE",1,IF(N(V1187)&gt;0,V1187,IF(CB1187=1,MAX(1,N(VLOOKUP(T1187,Parameter!$I$27:$K$29,3,0)),H1187,N(N1187)),IF(N(Q1187)&gt;0,Q1187,MAX(1,H1187)))))</f>
        <v>10</v>
      </c>
      <c r="CA1187" s="65" t="n">
        <f aca="false">IF(BY1187="LOSE",1,0)</f>
        <v>0</v>
      </c>
      <c r="CB1187" s="65" t="n">
        <f aca="false">IF(AND(U1187="",OR(P1187="",P1187="LOSE"),T1187&lt;&gt;"",N(S1187)&lt;=0,ISNUMBER(MATCH(T1187,Parameter!$I$27:$I$29,0))),1,0)</f>
        <v>1</v>
      </c>
      <c r="CC1187" s="65" t="n">
        <f aca="false">IF(CR1187&gt;0,INDEX(Parameter!$H$5:$H$7,W1187)/INDEX(Parameter!$E$5:$E$7,W1187),IF(AND(CA1187=0,N(IFERROR(VLOOKUP(BY1187,'Gebinde-Kategorie'!$A$5:$N$45,14,0),0))&gt;0),VLOOKUP(BY1187,'Gebinde-Kategorie'!$A$5:$N$45,14,0)*10+Parameter!$M$23,Parameter!$M$24))</f>
        <v>145</v>
      </c>
      <c r="CD1187" s="60" t="str">
        <f aca="false">IF(AND(Parameter!$B$19="Ja",E1187&lt;&gt;"",ISNUMBER(MATCH(E1187,Parameter!$I$35:$I$52,0))),VLOOKUP(E1187,Parameter!$I$35:$J$52,2,0),IFERROR(VLOOKUP(D1187,Parameter!$A$35:$C$64,2,0),"Nein"))</f>
        <v>2+3</v>
      </c>
      <c r="CE1187" s="64" t="n">
        <f aca="false">IF(CA1187=0,0,IF(N(S1187)&gt;0,S1187,IFERROR(VLOOKUP(D1187,Parameter!$A$35:$C$64,3,0)+0,0)))</f>
        <v>0</v>
      </c>
      <c r="CF1187" s="60" t="n">
        <f aca="false">IF(AB1187&lt;&gt;"",AB1187,AA1187)</f>
        <v>3</v>
      </c>
      <c r="CG1187" s="60" t="str">
        <f aca="false">IF(OR(CF1187=1,CF1187=2,CF1187=3),IF(Parameter!$E$27="Ja","LIFT",IF(CF1187=1,"L1","L23")),IF(CF1187="Aussen","Aussen","-"))</f>
        <v>LIFT</v>
      </c>
      <c r="CH1187" s="71" t="n">
        <f aca="false">IF(N(AC1187)&gt;0,AC1187,0)</f>
        <v>0</v>
      </c>
      <c r="CI1187" s="65" t="n">
        <f aca="false">IF(ISNUMBER(AF1187),1,0)</f>
        <v>0</v>
      </c>
      <c r="CJ1187" s="62" t="n">
        <f aca="false">N(AF1187)</f>
        <v>0</v>
      </c>
      <c r="CK1187" s="62" t="n">
        <f aca="false">N(M1187)+N(N1187)</f>
        <v>11</v>
      </c>
      <c r="CL1187" s="62" t="n">
        <f aca="false">N(M1187)</f>
        <v>1</v>
      </c>
      <c r="CM1187" s="62" t="n">
        <f aca="false">N(N1187)</f>
        <v>10</v>
      </c>
      <c r="CN1187" s="62" t="n">
        <f aca="false">ROUNDUP(H1187/BZ1187,0)</f>
        <v>1</v>
      </c>
      <c r="CO1187" s="62" t="n">
        <f aca="false">ROUNDUP(CJ1187/BZ1187,0)</f>
        <v>0</v>
      </c>
      <c r="CP1187" s="65" t="n">
        <f aca="false">IF(CA1187=1,0,IFERROR(VLOOKUP(BY1187,'Gebinde-Kategorie'!$A$5:$N$45,5,0)+0,0))</f>
        <v>11</v>
      </c>
      <c r="CQ1187" s="65" t="n">
        <f aca="false">IFERROR(IF(OR(CF1187=1,CF1187=2,CF1187=3),N(INDEX(Parameter!$I$5:$I$7,CF1187)),0),0)</f>
        <v>0</v>
      </c>
      <c r="CR1187" s="64" t="n">
        <f aca="false">IF(AND(Parameter!$B$21="Ja",ISNUMBER(W1187),N(X1187)&gt;0),IFERROR(N(INDEX(Parameter!$L$5:$L$7,W1187))*INDEX(Parameter!$E$5:$E$7,W1187)*X1187/SUMIFS($X$7:$X$1843,$W$7:$W$1843,W1187),0),0)</f>
        <v>0</v>
      </c>
      <c r="CS1187" s="62" t="n">
        <f aca="false">IF(AND(OR(CG1187="L1",CG1187="L23",CG1187="LIFT"),H1187&gt;0),CC1187*IF(CR1187&gt;0,CR1187*MAX(1,H1187/X1187),IF(CA1187=1,CE1187,IF(R1187&gt;0,CN1187/R1187,0))/MAX(0.1,N(Parameter!$M$21))),"")</f>
        <v>12.0833333333333</v>
      </c>
      <c r="CT1187" s="64" t="n">
        <f aca="false">IF(CS1187="","",J1187/H1187)</f>
        <v>1.71428571428571</v>
      </c>
      <c r="CU1187" s="62" t="n">
        <f aca="false">IF(CS1187="","",H1187*G1187)</f>
        <v>328.23</v>
      </c>
      <c r="CV1187" s="63" t="n">
        <f aca="false">IF(CS1187="","",(CL1187+ROUNDUP(CL1187+MAX(CM1187,2*(J1187/MAX(0.1,N(Einkauf!$C$6))-CL1187)),0))/2)</f>
        <v>6</v>
      </c>
      <c r="CW1187" s="62" t="n">
        <f aca="false">IF(CS1187="","",MAX(0,H1187-CV1187)*G1187)</f>
        <v>46.89</v>
      </c>
      <c r="CX1187" s="62" t="n">
        <f aca="false">IF(CS1187="","",CS1187*MAX(0,1-CV1187/H1187))</f>
        <v>1.72619047619048</v>
      </c>
      <c r="CY1187" s="64" t="n">
        <f aca="false">IF(CS1187="","",PERCENTRANK($CS$7:$CS$1843,CS1187)+PERCENTRANK($CU$7:$CU$1843,CU1187)+1-PERCENTRANK($CT$7:$CT$1843,CT1187))</f>
        <v>1.31</v>
      </c>
      <c r="CZ1187" s="72" t="n">
        <f aca="false">IF(CS1187="","",CHOOSE(MATCH(Einkauf!$C$5,Parameter!$G$23:$G$27,0),CY1187,CS1187,CU1187,-CT1187,CW1187)+ROW()/1000000000)</f>
        <v>1.310001187</v>
      </c>
    </row>
    <row r="1188" customFormat="false" ht="15" hidden="false" customHeight="false" outlineLevel="0" collapsed="false">
      <c r="A1188" s="60" t="s">
        <v>2180</v>
      </c>
      <c r="B1188" s="60" t="s">
        <v>2181</v>
      </c>
      <c r="C1188" s="60" t="s">
        <v>206</v>
      </c>
      <c r="D1188" s="60" t="s">
        <v>215</v>
      </c>
      <c r="E1188" s="60" t="s">
        <v>507</v>
      </c>
      <c r="F1188" s="60" t="s">
        <v>260</v>
      </c>
      <c r="G1188" s="61" t="n">
        <v>457</v>
      </c>
      <c r="H1188" s="62" t="n">
        <f aca="false">MAX(0,IF(AND(Parameter!$B$21="Ja",ISNUMBER(Y1188)),Y1188,IF(Parameter!$B$20="Jahresanfang 2025 + Export",BS1188+BR1188,BR1188)))</f>
        <v>1</v>
      </c>
      <c r="I1188" s="62" t="n">
        <f aca="false">H1188*G1188</f>
        <v>457</v>
      </c>
      <c r="J1188" s="62" t="n">
        <f aca="false">BU1188*Parameter!$B$18</f>
        <v>3</v>
      </c>
      <c r="K1188" s="63" t="n">
        <v>1.5</v>
      </c>
      <c r="L1188" s="64" t="n">
        <v>2</v>
      </c>
      <c r="M1188" s="62" t="n">
        <v>0</v>
      </c>
      <c r="N1188" s="62" t="n">
        <v>5</v>
      </c>
      <c r="O1188" s="65" t="n">
        <v>21</v>
      </c>
      <c r="P1188" s="60" t="s">
        <v>210</v>
      </c>
      <c r="Q1188" s="62"/>
      <c r="R1188" s="65" t="n">
        <f aca="false">IF(CA1188=1,0,IFERROR(VLOOKUP(BY1188,'Gebinde-Kategorie'!$A$5:$N$45,13,0)+0,0))</f>
        <v>12</v>
      </c>
      <c r="S1188" s="66"/>
      <c r="T1188" s="67" t="s">
        <v>221</v>
      </c>
      <c r="U1188" s="67"/>
      <c r="V1188" s="67"/>
      <c r="W1188" s="60"/>
      <c r="X1188" s="62"/>
      <c r="Y1188" s="62"/>
      <c r="Z1188" s="60"/>
      <c r="AA1188" s="60" t="str">
        <f aca="false">IF(A1188="","",IF(AND(Parameter!$B$21="Ja",ISNUMBER(W1188)),W1188,IF(AND(Parameter!$E$27="Ja",ISNUMBER(Z1188),CD1188&lt;&gt;"Nein"),Z1188,IF(CD1188="2+3",IF(ISNUMBER(SEARCH("grosser Artikel",BV1188)),2,IFERROR(VLOOKUP(BY1188,Parameter!$F$35:$G$64,2,0),2)),IF(OR(CD1188="Nein",CD1188=""),"-",CD1188)))))</f>
        <v>-</v>
      </c>
      <c r="AB1188" s="67"/>
      <c r="AC1188" s="68"/>
      <c r="AD1188" s="62" t="n">
        <f aca="false">AW1188</f>
        <v>5</v>
      </c>
      <c r="AE1188" s="62" t="n">
        <f aca="false">MAX(AW1188,H1188)</f>
        <v>5</v>
      </c>
      <c r="AF1188" s="69"/>
      <c r="AG1188" s="62" t="n">
        <f aca="false">IF(LEFT(Cockpit!$C$5,1)="A",H1188,IF(Parameter!$E$30="MAX-Bestand",IF(CI1188=1,CJ1188,IF(LEFT(Cockpit!$C$5,1)="B",AM1188,MAX(AM1188,H1188))),ROUNDUP(AK1188,0)))</f>
        <v>1</v>
      </c>
      <c r="AH1188" s="62" t="n">
        <f aca="false">IF(CA1188=1,0,ROUNDUP(AG1188/BZ1188,0))</f>
        <v>1</v>
      </c>
      <c r="AI1188" s="64" t="n">
        <f aca="false">IF(CR1188&gt;0,CR1188*MAX(1,AG1188/X1188),IF(CA1188=1,IF(AG1188&lt;=0,0,CE1188*MAX(1,IF(H1188&gt;0,AG1188/H1188,1))),IF(R1188&gt;0,AH1188/R1188,0))/MAX(0.1,N(Parameter!$M$21)))</f>
        <v>0.0833333333333333</v>
      </c>
      <c r="AJ1188" s="62" t="n">
        <f aca="false">AI1188*CC1188</f>
        <v>12.0833333333333</v>
      </c>
      <c r="AK1188" s="63" t="n">
        <f aca="false">IF(LEFT(Cockpit!$C$5,1)="A",H1188,IF(CI1188=1,(CL1188+CJ1188)/2,IF(LEFT(Cockpit!$C$5,1)="B",(CL1188+AM1188)/2,MAX((CL1188+AM1188)/2,H1188))))</f>
        <v>1</v>
      </c>
      <c r="AL1188" s="62" t="n">
        <f aca="false">AK1188*G1188</f>
        <v>457</v>
      </c>
      <c r="AM1188" s="62" t="n">
        <f aca="false">ROUNDUP(CL1188+MAX(CM1188,2*(J1188/IF(CH1188&gt;0,CH1188,MAX(0.1,N(Cockpit!$C$6)))-CL1188)),0)</f>
        <v>5</v>
      </c>
      <c r="AN1188" s="63" t="n">
        <f aca="false">IF(AJ1188&gt;0,J1188/AJ1188,-1)</f>
        <v>0.248275862068966</v>
      </c>
      <c r="AO1188" s="63" t="str">
        <f aca="false">IF(AND(OR(CG1188="L1",CG1188="L23",CG1188="LIFT"),AJ1188&gt;0),SUMIFS($AJ$7:$AJ$1843,$CG$7:$CG$1843,CG1188,$AN$7:$AN$1843,"&gt;"&amp;AN1188)+SUMIFS($AJ$7:$AJ$1843,$CG$7:$CG$1843,CG1188,$AN$7:$AN$1843,AN1188,$BX$7:$BX$1843,"&lt;="&amp;BX1188),"")</f>
        <v/>
      </c>
      <c r="AP1188" s="70" t="n">
        <f aca="false">IF(AO1188="",0,MAX(0,MIN(1,(IF(CG1188="L1",Parameter!$H$5,IF(CG1188="L23",Parameter!$H$6+Parameter!$H$7,Parameter!$H$5+Parameter!$H$6+Parameter!$H$7))-(AO1188-AJ1188))/AJ1188)))</f>
        <v>0</v>
      </c>
      <c r="AQ1188" s="62" t="n">
        <f aca="false">IF(LEFT(Cockpit!$I$5,1)="A",H1188,IF(Parameter!$E$30="MAX-Bestand",IF(CI1188=1,CJ1188,IF(LEFT(Cockpit!$I$5,1)="B",AW1188,MAX(AW1188,H1188))),ROUNDUP(AU1188,0)))</f>
        <v>3</v>
      </c>
      <c r="AR1188" s="62" t="n">
        <f aca="false">IF(CA1188=1,0,ROUNDUP(AQ1188/BZ1188,0))</f>
        <v>1</v>
      </c>
      <c r="AS1188" s="64" t="n">
        <f aca="false">IF(CR1188&gt;0,CR1188*MAX(1,AQ1188/X1188),IF(CA1188=1,IF(AQ1188&lt;=0,0,CE1188*MAX(1,IF(H1188&gt;0,AQ1188/H1188,1))),IF(R1188&gt;0,AR1188/R1188,0))/MAX(0.1,N(Parameter!$M$21)))</f>
        <v>0.0833333333333333</v>
      </c>
      <c r="AT1188" s="62" t="n">
        <f aca="false">AS1188*CC1188</f>
        <v>12.0833333333333</v>
      </c>
      <c r="AU1188" s="63" t="n">
        <f aca="false">IF(LEFT(Cockpit!$I$5,1)="A",H1188,IF(CI1188=1,(CL1188+CJ1188)/2,IF(LEFT(Cockpit!$I$5,1)="B",(CL1188+AW1188)/2,MAX((CL1188+AW1188)/2,H1188))))</f>
        <v>2.5</v>
      </c>
      <c r="AV1188" s="62" t="n">
        <f aca="false">AU1188*G1188</f>
        <v>1142.5</v>
      </c>
      <c r="AW1188" s="62" t="n">
        <f aca="false">ROUNDUP(CL1188+MAX(CM1188,2*(J1188/IF(CH1188&gt;0,CH1188,MAX(0.1,N(Cockpit!$I$6)))-CL1188)),0)</f>
        <v>5</v>
      </c>
      <c r="AX1188" s="63" t="n">
        <f aca="false">IF(AT1188&gt;0,J1188/AT1188,-1)</f>
        <v>0.248275862068966</v>
      </c>
      <c r="AY1188" s="63" t="str">
        <f aca="false">IF(AND(OR(CG1188="L1",CG1188="L23",CG1188="LIFT"),AT1188&gt;0),SUMIFS($AT$7:$AT$1843,$CG$7:$CG$1843,CG1188,$AX$7:$AX$1843,"&gt;"&amp;AX1188)+SUMIFS($AT$7:$AT$1843,$CG$7:$CG$1843,CG1188,$AX$7:$AX$1843,AX1188,$BX$7:$BX$1843,"&lt;="&amp;BX1188),"")</f>
        <v/>
      </c>
      <c r="AZ1188" s="70" t="n">
        <f aca="false">IF(AY1188="",0,MAX(0,MIN(1,(IF(CG1188="L1",Parameter!$H$5,IF(CG1188="L23",Parameter!$H$6+Parameter!$H$7,Parameter!$H$5+Parameter!$H$6+Parameter!$H$7))-(AY1188-AT1188))/AT1188)))</f>
        <v>0</v>
      </c>
      <c r="BA1188" s="62" t="n">
        <f aca="false">IF(LEFT(Cockpit!$O$5,1)="A",H1188,IF(Parameter!$E$30="MAX-Bestand",IF(CI1188=1,CJ1188,IF(LEFT(Cockpit!$O$5,1)="B",BG1188,MAX(BG1188,H1188))),ROUNDUP(BE1188,0)))</f>
        <v>3</v>
      </c>
      <c r="BB1188" s="62" t="n">
        <f aca="false">IF(CA1188=1,0,ROUNDUP(BA1188/BZ1188,0))</f>
        <v>1</v>
      </c>
      <c r="BC1188" s="64" t="n">
        <f aca="false">IF(CR1188&gt;0,CR1188*MAX(1,BA1188/X1188),IF(CA1188=1,IF(BA1188&lt;=0,0,CE1188*MAX(1,IF(H1188&gt;0,BA1188/H1188,1))),IF(R1188&gt;0,BB1188/R1188,0))/MAX(0.1,N(Parameter!$M$21)))</f>
        <v>0.0833333333333333</v>
      </c>
      <c r="BD1188" s="62" t="n">
        <f aca="false">BC1188*CC1188</f>
        <v>12.0833333333333</v>
      </c>
      <c r="BE1188" s="63" t="n">
        <f aca="false">IF(LEFT(Cockpit!$O$5,1)="A",H1188,IF(CI1188=1,(CL1188+CJ1188)/2,IF(LEFT(Cockpit!$O$5,1)="B",(CL1188+BG1188)/2,MAX((CL1188+BG1188)/2,H1188))))</f>
        <v>2.5</v>
      </c>
      <c r="BF1188" s="62" t="n">
        <f aca="false">BE1188*G1188</f>
        <v>1142.5</v>
      </c>
      <c r="BG1188" s="62" t="n">
        <f aca="false">ROUNDUP(CL1188+MAX(CM1188,2*(J1188/IF(CH1188&gt;0,CH1188,MAX(0.1,N(Cockpit!$O$6)))-CL1188)),0)</f>
        <v>5</v>
      </c>
      <c r="BH1188" s="63" t="n">
        <f aca="false">IF(BD1188&gt;0,J1188/BD1188,-1)</f>
        <v>0.248275862068966</v>
      </c>
      <c r="BI1188" s="63" t="str">
        <f aca="false">IF(AND(OR(CG1188="L1",CG1188="L23",CG1188="LIFT"),BD1188&gt;0),SUMIFS($BD$7:$BD$1843,$CG$7:$CG$1843,CG1188,$BH$7:$BH$1843,"&gt;"&amp;BH1188)+SUMIFS($BD$7:$BD$1843,$CG$7:$CG$1843,CG1188,$BH$7:$BH$1843,BH1188,$BX$7:$BX$1843,"&lt;="&amp;BX1188),"")</f>
        <v/>
      </c>
      <c r="BJ1188" s="70" t="n">
        <f aca="false">IF(BI1188="",0,MAX(0,MIN(1,(IF(CG1188="L1",Parameter!$H$5,IF(CG1188="L23",Parameter!$H$6+Parameter!$H$7,Parameter!$H$5+Parameter!$H$6+Parameter!$H$7))-(BI1188-BD1188))/BD1188)))</f>
        <v>0</v>
      </c>
      <c r="BK1188" s="60" t="str">
        <f aca="false">IF(AJ1188&lt;=0,"",IF(CG1188="Aussen","Aussenlager",IF(CG1188="-","Nicht im Lift",IF(AP1188&gt;=1,"Lift",IF(AP1188&lt;=0,"Aussenlager","teilweise")))))</f>
        <v>Nicht im Lift</v>
      </c>
      <c r="BL1188" s="60" t="str">
        <f aca="false">IF(AT1188&lt;=0,"",IF(CG1188="Aussen","Aussenlager",IF(CG1188="-","Nicht im Lift",IF(AZ1188&gt;=1,"Lift",IF(AZ1188&lt;=0,"Aussenlager","teilweise")))))</f>
        <v>Nicht im Lift</v>
      </c>
      <c r="BM1188" s="60" t="str">
        <f aca="false">IF(BD1188&lt;=0,"",IF(CG1188="Aussen","Aussenlager",IF(CG1188="-","Nicht im Lift",IF(BJ1188&gt;=1,"Lift",IF(BJ1188&lt;=0,"Aussenlager","teilweise")))))</f>
        <v>Nicht im Lift</v>
      </c>
      <c r="BN1188" s="60" t="str">
        <f aca="false">IF(A1188="","",IF(BW1188=1,"Neu; ","")&amp;IF(AND(BW1188=0,BR1188&lt;0),"negativer Bestand (Export "&amp;BR1188&amp;"); ","")&amp;IF(J1188&lt;=0,"Kein Verbrauch; ","")&amp;IF(CR1188&gt;0,"Lift "&amp;W1188&amp;" lt. Liftbericht (Fach "&amp;X1188&amp;" Stk); ",IF(CB1188=1,"Gebinde geschätzt ("&amp;T1188&amp;"); ",IF(CA1188=1,"Lose – Tablare geschätzt; ","")))&amp;IF(H1188&gt;AW1188,"Überbestand "&amp;ROUND(H1188-AW1188,0)&amp;" Stk / CHF "&amp;ROUND((H1188-AW1188)*G1188,0)&amp;"; ","")&amp;IF(AND(CI1188=1,CJ1188&lt;CK1188),"MAX &lt; MB+LG; ","")&amp;IF(AND(CQ1188&gt;0,CP1188*10&gt;CQ1188),"zu hoch für Tablar; ","")&amp;IF(AND(BW1188=0,OR(CI1188=1,AB1188&lt;&gt;"",U1188&lt;&gt;"",V1188&lt;&gt;"",AC1188&lt;&gt;"")),"manuell übersteuert; ","")&amp;IF(AND(CA1188=0,R1188=0),"Gebinde unbekannt / Stellmass fehlt; ","")&amp;IF(AND(CA1188=0,N(V1188)&lt;=0,N(Q1188)&lt;=0),"Menge pro Gebinde fehlt (Ist = 1 Gebinde); ","")&amp;BV1188)</f>
        <v>negativer Bestand (Export -1); Gebinde geschätzt (Mittel); Menge pro Gebinde fehlt (Ist = 1 Gebinde); </v>
      </c>
      <c r="BO1188" s="60"/>
      <c r="BP1188" s="60"/>
      <c r="BQ1188" s="67"/>
      <c r="BR1188" s="62" t="n">
        <v>-1</v>
      </c>
      <c r="BS1188" s="62" t="n">
        <v>2</v>
      </c>
      <c r="BT1188" s="61" t="n">
        <v>-412.34</v>
      </c>
      <c r="BU1188" s="62" t="n">
        <v>3</v>
      </c>
      <c r="BV1188" s="60"/>
      <c r="BW1188" s="65" t="n">
        <v>0</v>
      </c>
      <c r="BX1188" s="65" t="n">
        <v>1188</v>
      </c>
      <c r="BY1188" s="60" t="str">
        <f aca="false">IF(U1188&lt;&gt;"",UPPER(TRIM(U1188)),IF(CB1188=1,UPPER(VLOOKUP(T1188,Parameter!$I$27:$K$29,2,0)),IF(P1188="","LOSE",P1188)))</f>
        <v>S61</v>
      </c>
      <c r="BZ1188" s="62" t="n">
        <f aca="false">IF(BY1188="LOSE",1,IF(N(V1188)&gt;0,V1188,IF(CB1188=1,MAX(1,N(VLOOKUP(T1188,Parameter!$I$27:$K$29,3,0)),H1188,N(N1188)),IF(N(Q1188)&gt;0,Q1188,MAX(1,H1188)))))</f>
        <v>5</v>
      </c>
      <c r="CA1188" s="65" t="n">
        <f aca="false">IF(BY1188="LOSE",1,0)</f>
        <v>0</v>
      </c>
      <c r="CB1188" s="65" t="n">
        <f aca="false">IF(AND(U1188="",OR(P1188="",P1188="LOSE"),T1188&lt;&gt;"",N(S1188)&lt;=0,ISNUMBER(MATCH(T1188,Parameter!$I$27:$I$29,0))),1,0)</f>
        <v>1</v>
      </c>
      <c r="CC1188" s="65" t="n">
        <f aca="false">IF(CR1188&gt;0,INDEX(Parameter!$H$5:$H$7,W1188)/INDEX(Parameter!$E$5:$E$7,W1188),IF(AND(CA1188=0,N(IFERROR(VLOOKUP(BY1188,'Gebinde-Kategorie'!$A$5:$N$45,14,0),0))&gt;0),VLOOKUP(BY1188,'Gebinde-Kategorie'!$A$5:$N$45,14,0)*10+Parameter!$M$23,Parameter!$M$24))</f>
        <v>145</v>
      </c>
      <c r="CD1188" s="60" t="str">
        <f aca="false">IF(AND(Parameter!$B$19="Ja",E1188&lt;&gt;"",ISNUMBER(MATCH(E1188,Parameter!$I$35:$I$52,0))),VLOOKUP(E1188,Parameter!$I$35:$J$52,2,0),IFERROR(VLOOKUP(D1188,Parameter!$A$35:$C$64,2,0),"Nein"))</f>
        <v>Nein</v>
      </c>
      <c r="CE1188" s="64" t="n">
        <f aca="false">IF(CA1188=0,0,IF(N(S1188)&gt;0,S1188,IFERROR(VLOOKUP(D1188,Parameter!$A$35:$C$64,3,0)+0,0)))</f>
        <v>0</v>
      </c>
      <c r="CF1188" s="60" t="str">
        <f aca="false">IF(AB1188&lt;&gt;"",AB1188,AA1188)</f>
        <v>-</v>
      </c>
      <c r="CG1188" s="60" t="str">
        <f aca="false">IF(OR(CF1188=1,CF1188=2,CF1188=3),IF(Parameter!$E$27="Ja","LIFT",IF(CF1188=1,"L1","L23")),IF(CF1188="Aussen","Aussen","-"))</f>
        <v>-</v>
      </c>
      <c r="CH1188" s="71" t="n">
        <f aca="false">IF(N(AC1188)&gt;0,AC1188,0)</f>
        <v>0</v>
      </c>
      <c r="CI1188" s="65" t="n">
        <f aca="false">IF(ISNUMBER(AF1188),1,0)</f>
        <v>0</v>
      </c>
      <c r="CJ1188" s="62" t="n">
        <f aca="false">N(AF1188)</f>
        <v>0</v>
      </c>
      <c r="CK1188" s="62" t="n">
        <f aca="false">N(M1188)+N(N1188)</f>
        <v>5</v>
      </c>
      <c r="CL1188" s="62" t="n">
        <f aca="false">N(M1188)</f>
        <v>0</v>
      </c>
      <c r="CM1188" s="62" t="n">
        <f aca="false">N(N1188)</f>
        <v>5</v>
      </c>
      <c r="CN1188" s="62" t="n">
        <f aca="false">ROUNDUP(H1188/BZ1188,0)</f>
        <v>1</v>
      </c>
      <c r="CO1188" s="62" t="n">
        <f aca="false">ROUNDUP(CJ1188/BZ1188,0)</f>
        <v>0</v>
      </c>
      <c r="CP1188" s="65" t="n">
        <f aca="false">IF(CA1188=1,0,IFERROR(VLOOKUP(BY1188,'Gebinde-Kategorie'!$A$5:$N$45,5,0)+0,0))</f>
        <v>11</v>
      </c>
      <c r="CQ1188" s="65" t="n">
        <f aca="false">IFERROR(IF(OR(CF1188=1,CF1188=2,CF1188=3),N(INDEX(Parameter!$I$5:$I$7,CF1188)),0),0)</f>
        <v>0</v>
      </c>
      <c r="CR1188" s="64" t="n">
        <f aca="false">IF(AND(Parameter!$B$21="Ja",ISNUMBER(W1188),N(X1188)&gt;0),IFERROR(N(INDEX(Parameter!$L$5:$L$7,W1188))*INDEX(Parameter!$E$5:$E$7,W1188)*X1188/SUMIFS($X$7:$X$1843,$W$7:$W$1843,W1188),0),0)</f>
        <v>0</v>
      </c>
      <c r="CS1188" s="62" t="str">
        <f aca="false">IF(AND(OR(CG1188="L1",CG1188="L23",CG1188="LIFT"),H1188&gt;0),CC1188*IF(CR1188&gt;0,CR1188*MAX(1,H1188/X1188),IF(CA1188=1,CE1188,IF(R1188&gt;0,CN1188/R1188,0))/MAX(0.1,N(Parameter!$M$21))),"")</f>
        <v/>
      </c>
      <c r="CT1188" s="64" t="str">
        <f aca="false">IF(CS1188="","",J1188/H1188)</f>
        <v/>
      </c>
      <c r="CU1188" s="62" t="str">
        <f aca="false">IF(CS1188="","",H1188*G1188)</f>
        <v/>
      </c>
      <c r="CV1188" s="63" t="str">
        <f aca="false">IF(CS1188="","",(CL1188+ROUNDUP(CL1188+MAX(CM1188,2*(J1188/MAX(0.1,N(Einkauf!$C$6))-CL1188)),0))/2)</f>
        <v/>
      </c>
      <c r="CW1188" s="62" t="str">
        <f aca="false">IF(CS1188="","",MAX(0,H1188-CV1188)*G1188)</f>
        <v/>
      </c>
      <c r="CX1188" s="62" t="str">
        <f aca="false">IF(CS1188="","",CS1188*MAX(0,1-CV1188/H1188))</f>
        <v/>
      </c>
      <c r="CY1188" s="64" t="str">
        <f aca="false">IF(CS1188="","",PERCENTRANK($CS$7:$CS$1843,CS1188)+PERCENTRANK($CU$7:$CU$1843,CU1188)+1-PERCENTRANK($CT$7:$CT$1843,CT1188))</f>
        <v/>
      </c>
      <c r="CZ1188" s="72" t="str">
        <f aca="false">IF(CS1188="","",CHOOSE(MATCH(Einkauf!$C$5,Parameter!$G$23:$G$27,0),CY1188,CS1188,CU1188,-CT1188,CW1188)+ROW()/1000000000)</f>
        <v/>
      </c>
    </row>
    <row r="1189" customFormat="false" ht="15" hidden="false" customHeight="false" outlineLevel="0" collapsed="false">
      <c r="A1189" s="60" t="s">
        <v>2182</v>
      </c>
      <c r="B1189" s="60" t="s">
        <v>1537</v>
      </c>
      <c r="C1189" s="60" t="s">
        <v>206</v>
      </c>
      <c r="D1189" s="60" t="s">
        <v>226</v>
      </c>
      <c r="E1189" s="60"/>
      <c r="F1189" s="60" t="s">
        <v>260</v>
      </c>
      <c r="G1189" s="61" t="n">
        <v>2.2</v>
      </c>
      <c r="H1189" s="62" t="n">
        <f aca="false">MAX(0,IF(AND(Parameter!$B$21="Ja",ISNUMBER(Y1189)),Y1189,IF(Parameter!$B$20="Jahresanfang 2025 + Export",BS1189+BR1189,BR1189)))</f>
        <v>792</v>
      </c>
      <c r="I1189" s="62" t="n">
        <f aca="false">H1189*G1189</f>
        <v>1742.4</v>
      </c>
      <c r="J1189" s="62" t="n">
        <f aca="false">BU1189*Parameter!$B$18</f>
        <v>118</v>
      </c>
      <c r="K1189" s="63" t="n">
        <v>936</v>
      </c>
      <c r="L1189" s="64" t="n">
        <v>0.126068376068376</v>
      </c>
      <c r="M1189" s="62" t="n">
        <v>6</v>
      </c>
      <c r="N1189" s="62" t="n">
        <v>120</v>
      </c>
      <c r="O1189" s="65" t="n">
        <v>21</v>
      </c>
      <c r="P1189" s="60" t="s">
        <v>443</v>
      </c>
      <c r="Q1189" s="62" t="n">
        <v>800</v>
      </c>
      <c r="R1189" s="65" t="n">
        <f aca="false">IF(CA1189=1,0,IFERROR(VLOOKUP(BY1189,'Gebinde-Kategorie'!$A$5:$N$45,13,0)+0,0))</f>
        <v>280</v>
      </c>
      <c r="S1189" s="66"/>
      <c r="T1189" s="67"/>
      <c r="U1189" s="67"/>
      <c r="V1189" s="67"/>
      <c r="W1189" s="60"/>
      <c r="X1189" s="62"/>
      <c r="Y1189" s="62"/>
      <c r="Z1189" s="60" t="n">
        <v>1</v>
      </c>
      <c r="AA1189" s="60" t="n">
        <f aca="false">IF(A1189="","",IF(AND(Parameter!$B$21="Ja",ISNUMBER(W1189)),W1189,IF(AND(Parameter!$E$27="Ja",ISNUMBER(Z1189),CD1189&lt;&gt;"Nein"),Z1189,IF(CD1189="2+3",IF(ISNUMBER(SEARCH("grosser Artikel",BV1189)),2,IFERROR(VLOOKUP(BY1189,Parameter!$F$35:$G$64,2,0),2)),IF(OR(CD1189="Nein",CD1189=""),"-",CD1189)))))</f>
        <v>1</v>
      </c>
      <c r="AB1189" s="67"/>
      <c r="AC1189" s="68"/>
      <c r="AD1189" s="62" t="n">
        <f aca="false">AW1189</f>
        <v>126</v>
      </c>
      <c r="AE1189" s="62" t="n">
        <f aca="false">MAX(AW1189,H1189)</f>
        <v>792</v>
      </c>
      <c r="AF1189" s="69"/>
      <c r="AG1189" s="62" t="n">
        <f aca="false">IF(LEFT(Cockpit!$C$5,1)="A",H1189,IF(Parameter!$E$30="MAX-Bestand",IF(CI1189=1,CJ1189,IF(LEFT(Cockpit!$C$5,1)="B",AM1189,MAX(AM1189,H1189))),ROUNDUP(AK1189,0)))</f>
        <v>792</v>
      </c>
      <c r="AH1189" s="62" t="n">
        <f aca="false">IF(CA1189=1,0,ROUNDUP(AG1189/BZ1189,0))</f>
        <v>1</v>
      </c>
      <c r="AI1189" s="64" t="n">
        <f aca="false">IF(CR1189&gt;0,CR1189*MAX(1,AG1189/X1189),IF(CA1189=1,IF(AG1189&lt;=0,0,CE1189*MAX(1,IF(H1189&gt;0,AG1189/H1189,1))),IF(R1189&gt;0,AH1189/R1189,0))/MAX(0.1,N(Parameter!$M$21)))</f>
        <v>0.00357142857142857</v>
      </c>
      <c r="AJ1189" s="62" t="n">
        <f aca="false">AI1189*CC1189</f>
        <v>0.553571428571429</v>
      </c>
      <c r="AK1189" s="63" t="n">
        <f aca="false">IF(LEFT(Cockpit!$C$5,1)="A",H1189,IF(CI1189=1,(CL1189+CJ1189)/2,IF(LEFT(Cockpit!$C$5,1)="B",(CL1189+AM1189)/2,MAX((CL1189+AM1189)/2,H1189))))</f>
        <v>792</v>
      </c>
      <c r="AL1189" s="62" t="n">
        <f aca="false">AK1189*G1189</f>
        <v>1742.4</v>
      </c>
      <c r="AM1189" s="62" t="n">
        <f aca="false">ROUNDUP(CL1189+MAX(CM1189,2*(J1189/IF(CH1189&gt;0,CH1189,MAX(0.1,N(Cockpit!$C$6)))-CL1189)),0)</f>
        <v>126</v>
      </c>
      <c r="AN1189" s="63" t="n">
        <f aca="false">IF(AJ1189&gt;0,J1189/AJ1189,-1)</f>
        <v>213.161290322581</v>
      </c>
      <c r="AO1189" s="63" t="n">
        <f aca="false">IF(AND(OR(CG1189="L1",CG1189="L23",CG1189="LIFT"),AJ1189&gt;0),SUMIFS($AJ$7:$AJ$1843,$CG$7:$CG$1843,CG1189,$AN$7:$AN$1843,"&gt;"&amp;AN1189)+SUMIFS($AJ$7:$AJ$1843,$CG$7:$CG$1843,CG1189,$AN$7:$AN$1843,AN1189,$BX$7:$BX$1843,"&lt;="&amp;BX1189),"")</f>
        <v>323.012820512821</v>
      </c>
      <c r="AP1189" s="70" t="n">
        <f aca="false">IF(AO1189="",0,MAX(0,MIN(1,(IF(CG1189="L1",Parameter!$H$5,IF(CG1189="L23",Parameter!$H$6+Parameter!$H$7,Parameter!$H$5+Parameter!$H$6+Parameter!$H$7))-(AO1189-AJ1189))/AJ1189)))</f>
        <v>1</v>
      </c>
      <c r="AQ1189" s="62" t="n">
        <f aca="false">IF(LEFT(Cockpit!$I$5,1)="A",H1189,IF(Parameter!$E$30="MAX-Bestand",IF(CI1189=1,CJ1189,IF(LEFT(Cockpit!$I$5,1)="B",AW1189,MAX(AW1189,H1189))),ROUNDUP(AU1189,0)))</f>
        <v>792</v>
      </c>
      <c r="AR1189" s="62" t="n">
        <f aca="false">IF(CA1189=1,0,ROUNDUP(AQ1189/BZ1189,0))</f>
        <v>1</v>
      </c>
      <c r="AS1189" s="64" t="n">
        <f aca="false">IF(CR1189&gt;0,CR1189*MAX(1,AQ1189/X1189),IF(CA1189=1,IF(AQ1189&lt;=0,0,CE1189*MAX(1,IF(H1189&gt;0,AQ1189/H1189,1))),IF(R1189&gt;0,AR1189/R1189,0))/MAX(0.1,N(Parameter!$M$21)))</f>
        <v>0.00357142857142857</v>
      </c>
      <c r="AT1189" s="62" t="n">
        <f aca="false">AS1189*CC1189</f>
        <v>0.553571428571429</v>
      </c>
      <c r="AU1189" s="63" t="n">
        <f aca="false">IF(LEFT(Cockpit!$I$5,1)="A",H1189,IF(CI1189=1,(CL1189+CJ1189)/2,IF(LEFT(Cockpit!$I$5,1)="B",(CL1189+AW1189)/2,MAX((CL1189+AW1189)/2,H1189))))</f>
        <v>792</v>
      </c>
      <c r="AV1189" s="62" t="n">
        <f aca="false">AU1189*G1189</f>
        <v>1742.4</v>
      </c>
      <c r="AW1189" s="62" t="n">
        <f aca="false">ROUNDUP(CL1189+MAX(CM1189,2*(J1189/IF(CH1189&gt;0,CH1189,MAX(0.1,N(Cockpit!$I$6)))-CL1189)),0)</f>
        <v>126</v>
      </c>
      <c r="AX1189" s="63" t="n">
        <f aca="false">IF(AT1189&gt;0,J1189/AT1189,-1)</f>
        <v>213.161290322581</v>
      </c>
      <c r="AY1189" s="63" t="n">
        <f aca="false">IF(AND(OR(CG1189="L1",CG1189="L23",CG1189="LIFT"),AT1189&gt;0),SUMIFS($AT$7:$AT$1843,$CG$7:$CG$1843,CG1189,$AX$7:$AX$1843,"&gt;"&amp;AX1189)+SUMIFS($AT$7:$AT$1843,$CG$7:$CG$1843,CG1189,$AX$7:$AX$1843,AX1189,$BX$7:$BX$1843,"&lt;="&amp;BX1189),"")</f>
        <v>432.188186813187</v>
      </c>
      <c r="AZ1189" s="70" t="n">
        <f aca="false">IF(AY1189="",0,MAX(0,MIN(1,(IF(CG1189="L1",Parameter!$H$5,IF(CG1189="L23",Parameter!$H$6+Parameter!$H$7,Parameter!$H$5+Parameter!$H$6+Parameter!$H$7))-(AY1189-AT1189))/AT1189)))</f>
        <v>1</v>
      </c>
      <c r="BA1189" s="62" t="n">
        <f aca="false">IF(LEFT(Cockpit!$O$5,1)="A",H1189,IF(Parameter!$E$30="MAX-Bestand",IF(CI1189=1,CJ1189,IF(LEFT(Cockpit!$O$5,1)="B",BG1189,MAX(BG1189,H1189))),ROUNDUP(BE1189,0)))</f>
        <v>66</v>
      </c>
      <c r="BB1189" s="62" t="n">
        <f aca="false">IF(CA1189=1,0,ROUNDUP(BA1189/BZ1189,0))</f>
        <v>1</v>
      </c>
      <c r="BC1189" s="64" t="n">
        <f aca="false">IF(CR1189&gt;0,CR1189*MAX(1,BA1189/X1189),IF(CA1189=1,IF(BA1189&lt;=0,0,CE1189*MAX(1,IF(H1189&gt;0,BA1189/H1189,1))),IF(R1189&gt;0,BB1189/R1189,0))/MAX(0.1,N(Parameter!$M$21)))</f>
        <v>0.00357142857142857</v>
      </c>
      <c r="BD1189" s="62" t="n">
        <f aca="false">BC1189*CC1189</f>
        <v>0.553571428571429</v>
      </c>
      <c r="BE1189" s="63" t="n">
        <f aca="false">IF(LEFT(Cockpit!$O$5,1)="A",H1189,IF(CI1189=1,(CL1189+CJ1189)/2,IF(LEFT(Cockpit!$O$5,1)="B",(CL1189+BG1189)/2,MAX((CL1189+BG1189)/2,H1189))))</f>
        <v>66</v>
      </c>
      <c r="BF1189" s="62" t="n">
        <f aca="false">BE1189*G1189</f>
        <v>145.2</v>
      </c>
      <c r="BG1189" s="62" t="n">
        <f aca="false">ROUNDUP(CL1189+MAX(CM1189,2*(J1189/IF(CH1189&gt;0,CH1189,MAX(0.1,N(Cockpit!$O$6)))-CL1189)),0)</f>
        <v>126</v>
      </c>
      <c r="BH1189" s="63" t="n">
        <f aca="false">IF(BD1189&gt;0,J1189/BD1189,-1)</f>
        <v>213.161290322581</v>
      </c>
      <c r="BI1189" s="63" t="n">
        <f aca="false">IF(AND(OR(CG1189="L1",CG1189="L23",CG1189="LIFT"),BD1189&gt;0),SUMIFS($BD$7:$BD$1843,$CG$7:$CG$1843,CG1189,$BH$7:$BH$1843,"&gt;"&amp;BH1189)+SUMIFS($BD$7:$BD$1843,$CG$7:$CG$1843,CG1189,$BH$7:$BH$1843,BH1189,$BX$7:$BX$1843,"&lt;="&amp;BX1189),"")</f>
        <v>408.100274725275</v>
      </c>
      <c r="BJ1189" s="70" t="n">
        <f aca="false">IF(BI1189="",0,MAX(0,MIN(1,(IF(CG1189="L1",Parameter!$H$5,IF(CG1189="L23",Parameter!$H$6+Parameter!$H$7,Parameter!$H$5+Parameter!$H$6+Parameter!$H$7))-(BI1189-BD1189))/BD1189)))</f>
        <v>1</v>
      </c>
      <c r="BK1189" s="60" t="str">
        <f aca="false">IF(AJ1189&lt;=0,"",IF(CG1189="Aussen","Aussenlager",IF(CG1189="-","Nicht im Lift",IF(AP1189&gt;=1,"Lift",IF(AP1189&lt;=0,"Aussenlager","teilweise")))))</f>
        <v>Lift</v>
      </c>
      <c r="BL1189" s="60" t="str">
        <f aca="false">IF(AT1189&lt;=0,"",IF(CG1189="Aussen","Aussenlager",IF(CG1189="-","Nicht im Lift",IF(AZ1189&gt;=1,"Lift",IF(AZ1189&lt;=0,"Aussenlager","teilweise")))))</f>
        <v>Lift</v>
      </c>
      <c r="BM1189" s="60" t="str">
        <f aca="false">IF(BD1189&lt;=0,"",IF(CG1189="Aussen","Aussenlager",IF(CG1189="-","Nicht im Lift",IF(BJ1189&gt;=1,"Lift",IF(BJ1189&lt;=0,"Aussenlager","teilweise")))))</f>
        <v>Lift</v>
      </c>
      <c r="BN1189" s="60" t="str">
        <f aca="false">IF(A1189="","",IF(BW1189=1,"Neu; ","")&amp;IF(AND(BW1189=0,BR1189&lt;0),"negativer Bestand (Export "&amp;BR1189&amp;"); ","")&amp;IF(J1189&lt;=0,"Kein Verbrauch; ","")&amp;IF(CR1189&gt;0,"Lift "&amp;W1189&amp;" lt. Liftbericht (Fach "&amp;X1189&amp;" Stk); ",IF(CB1189=1,"Gebinde geschätzt ("&amp;T1189&amp;"); ",IF(CA1189=1,"Lose – Tablare geschätzt; ","")))&amp;IF(H1189&gt;AW1189,"Überbestand "&amp;ROUND(H1189-AW1189,0)&amp;" Stk / CHF "&amp;ROUND((H1189-AW1189)*G1189,0)&amp;"; ","")&amp;IF(AND(CI1189=1,CJ1189&lt;CK1189),"MAX &lt; MB+LG; ","")&amp;IF(AND(CQ1189&gt;0,CP1189*10&gt;CQ1189),"zu hoch für Tablar; ","")&amp;IF(AND(BW1189=0,OR(CI1189=1,AB1189&lt;&gt;"",U1189&lt;&gt;"",V1189&lt;&gt;"",AC1189&lt;&gt;"")),"manuell übersteuert; ","")&amp;IF(AND(CA1189=0,R1189=0),"Gebinde unbekannt / Stellmass fehlt; ","")&amp;IF(AND(CA1189=0,N(V1189)&lt;=0,N(Q1189)&lt;=0),"Menge pro Gebinde fehlt (Ist = 1 Gebinde); ","")&amp;BV1189)</f>
        <v>negativer Bestand (Export -188); Überbestand 666 Stk / CHF 1465; </v>
      </c>
      <c r="BO1189" s="60"/>
      <c r="BP1189" s="60"/>
      <c r="BQ1189" s="67"/>
      <c r="BR1189" s="62" t="n">
        <v>-188</v>
      </c>
      <c r="BS1189" s="62" t="n">
        <v>980</v>
      </c>
      <c r="BT1189" s="61" t="n">
        <v>-413.6</v>
      </c>
      <c r="BU1189" s="62" t="n">
        <v>118</v>
      </c>
      <c r="BV1189" s="60"/>
      <c r="BW1189" s="65" t="n">
        <v>0</v>
      </c>
      <c r="BX1189" s="65" t="n">
        <v>1189</v>
      </c>
      <c r="BY1189" s="60" t="str">
        <f aca="false">IF(U1189&lt;&gt;"",UPPER(TRIM(U1189)),IF(CB1189=1,UPPER(VLOOKUP(T1189,Parameter!$I$27:$K$29,2,0)),IF(P1189="","LOSE",P1189)))</f>
        <v>S21</v>
      </c>
      <c r="BZ1189" s="62" t="n">
        <f aca="false">IF(BY1189="LOSE",1,IF(N(V1189)&gt;0,V1189,IF(CB1189=1,MAX(1,N(VLOOKUP(T1189,Parameter!$I$27:$K$29,3,0)),H1189,N(N1189)),IF(N(Q1189)&gt;0,Q1189,MAX(1,H1189)))))</f>
        <v>800</v>
      </c>
      <c r="CA1189" s="65" t="n">
        <f aca="false">IF(BY1189="LOSE",1,0)</f>
        <v>0</v>
      </c>
      <c r="CB1189" s="65" t="n">
        <f aca="false">IF(AND(U1189="",OR(P1189="",P1189="LOSE"),T1189&lt;&gt;"",N(S1189)&lt;=0,ISNUMBER(MATCH(T1189,Parameter!$I$27:$I$29,0))),1,0)</f>
        <v>0</v>
      </c>
      <c r="CC1189" s="65" t="n">
        <f aca="false">IF(CR1189&gt;0,INDEX(Parameter!$H$5:$H$7,W1189)/INDEX(Parameter!$E$5:$E$7,W1189),IF(AND(CA1189=0,N(IFERROR(VLOOKUP(BY1189,'Gebinde-Kategorie'!$A$5:$N$45,14,0),0))&gt;0),VLOOKUP(BY1189,'Gebinde-Kategorie'!$A$5:$N$45,14,0)*10+Parameter!$M$23,Parameter!$M$24))</f>
        <v>155</v>
      </c>
      <c r="CD1189" s="60" t="str">
        <f aca="false">IF(AND(Parameter!$B$19="Ja",E1189&lt;&gt;"",ISNUMBER(MATCH(E1189,Parameter!$I$35:$I$52,0))),VLOOKUP(E1189,Parameter!$I$35:$J$52,2,0),IFERROR(VLOOKUP(D1189,Parameter!$A$35:$C$64,2,0),"Nein"))</f>
        <v>2+3</v>
      </c>
      <c r="CE1189" s="64" t="n">
        <f aca="false">IF(CA1189=0,0,IF(N(S1189)&gt;0,S1189,IFERROR(VLOOKUP(D1189,Parameter!$A$35:$C$64,3,0)+0,0)))</f>
        <v>0</v>
      </c>
      <c r="CF1189" s="60" t="n">
        <f aca="false">IF(AB1189&lt;&gt;"",AB1189,AA1189)</f>
        <v>1</v>
      </c>
      <c r="CG1189" s="60" t="str">
        <f aca="false">IF(OR(CF1189=1,CF1189=2,CF1189=3),IF(Parameter!$E$27="Ja","LIFT",IF(CF1189=1,"L1","L23")),IF(CF1189="Aussen","Aussen","-"))</f>
        <v>LIFT</v>
      </c>
      <c r="CH1189" s="71" t="n">
        <f aca="false">IF(N(AC1189)&gt;0,AC1189,0)</f>
        <v>0</v>
      </c>
      <c r="CI1189" s="65" t="n">
        <f aca="false">IF(ISNUMBER(AF1189),1,0)</f>
        <v>0</v>
      </c>
      <c r="CJ1189" s="62" t="n">
        <f aca="false">N(AF1189)</f>
        <v>0</v>
      </c>
      <c r="CK1189" s="62" t="n">
        <f aca="false">N(M1189)+N(N1189)</f>
        <v>126</v>
      </c>
      <c r="CL1189" s="62" t="n">
        <f aca="false">N(M1189)</f>
        <v>6</v>
      </c>
      <c r="CM1189" s="62" t="n">
        <f aca="false">N(N1189)</f>
        <v>120</v>
      </c>
      <c r="CN1189" s="62" t="n">
        <f aca="false">ROUNDUP(H1189/BZ1189,0)</f>
        <v>1</v>
      </c>
      <c r="CO1189" s="62" t="n">
        <f aca="false">ROUNDUP(CJ1189/BZ1189,0)</f>
        <v>0</v>
      </c>
      <c r="CP1189" s="65" t="n">
        <f aca="false">IF(CA1189=1,0,IFERROR(VLOOKUP(BY1189,'Gebinde-Kategorie'!$A$5:$N$45,5,0)+0,0))</f>
        <v>8</v>
      </c>
      <c r="CQ1189" s="65" t="n">
        <f aca="false">IFERROR(IF(OR(CF1189=1,CF1189=2,CF1189=3),N(INDEX(Parameter!$I$5:$I$7,CF1189)),0),0)</f>
        <v>0</v>
      </c>
      <c r="CR1189" s="64" t="n">
        <f aca="false">IF(AND(Parameter!$B$21="Ja",ISNUMBER(W1189),N(X1189)&gt;0),IFERROR(N(INDEX(Parameter!$L$5:$L$7,W1189))*INDEX(Parameter!$E$5:$E$7,W1189)*X1189/SUMIFS($X$7:$X$1843,$W$7:$W$1843,W1189),0),0)</f>
        <v>0</v>
      </c>
      <c r="CS1189" s="62" t="n">
        <f aca="false">IF(AND(OR(CG1189="L1",CG1189="L23",CG1189="LIFT"),H1189&gt;0),CC1189*IF(CR1189&gt;0,CR1189*MAX(1,H1189/X1189),IF(CA1189=1,CE1189,IF(R1189&gt;0,CN1189/R1189,0))/MAX(0.1,N(Parameter!$M$21))),"")</f>
        <v>0.553571428571429</v>
      </c>
      <c r="CT1189" s="64" t="n">
        <f aca="false">IF(CS1189="","",J1189/H1189)</f>
        <v>0.148989898989899</v>
      </c>
      <c r="CU1189" s="62" t="n">
        <f aca="false">IF(CS1189="","",H1189*G1189)</f>
        <v>1742.4</v>
      </c>
      <c r="CV1189" s="63" t="n">
        <f aca="false">IF(CS1189="","",(CL1189+ROUNDUP(CL1189+MAX(CM1189,2*(J1189/MAX(0.1,N(Einkauf!$C$6))-CL1189)),0))/2)</f>
        <v>66</v>
      </c>
      <c r="CW1189" s="62" t="n">
        <f aca="false">IF(CS1189="","",MAX(0,H1189-CV1189)*G1189)</f>
        <v>1597.2</v>
      </c>
      <c r="CX1189" s="62" t="n">
        <f aca="false">IF(CS1189="","",CS1189*MAX(0,1-CV1189/H1189))</f>
        <v>0.507440476190476</v>
      </c>
      <c r="CY1189" s="64" t="n">
        <f aca="false">IF(CS1189="","",PERCENTRANK($CS$7:$CS$1843,CS1189)+PERCENTRANK($CU$7:$CU$1843,CU1189)+1-PERCENTRANK($CT$7:$CT$1843,CT1189))</f>
        <v>1.291</v>
      </c>
      <c r="CZ1189" s="72" t="n">
        <f aca="false">IF(CS1189="","",CHOOSE(MATCH(Einkauf!$C$5,Parameter!$G$23:$G$27,0),CY1189,CS1189,CU1189,-CT1189,CW1189)+ROW()/1000000000)</f>
        <v>1.291001189</v>
      </c>
    </row>
    <row r="1190" customFormat="false" ht="15" hidden="false" customHeight="false" outlineLevel="0" collapsed="false">
      <c r="A1190" s="60" t="s">
        <v>2183</v>
      </c>
      <c r="B1190" s="60" t="s">
        <v>2184</v>
      </c>
      <c r="C1190" s="60" t="s">
        <v>206</v>
      </c>
      <c r="D1190" s="60" t="s">
        <v>226</v>
      </c>
      <c r="E1190" s="60"/>
      <c r="F1190" s="60" t="s">
        <v>260</v>
      </c>
      <c r="G1190" s="61" t="n">
        <v>14.3</v>
      </c>
      <c r="H1190" s="62" t="n">
        <f aca="false">MAX(0,IF(AND(Parameter!$B$21="Ja",ISNUMBER(Y1190)),Y1190,IF(Parameter!$B$20="Jahresanfang 2025 + Export",BS1190+BR1190,BR1190)))</f>
        <v>0</v>
      </c>
      <c r="I1190" s="62" t="n">
        <f aca="false">H1190*G1190</f>
        <v>0</v>
      </c>
      <c r="J1190" s="62" t="n">
        <f aca="false">BU1190*Parameter!$B$18</f>
        <v>29</v>
      </c>
      <c r="K1190" s="63" t="n">
        <v>14.5</v>
      </c>
      <c r="L1190" s="64" t="n">
        <v>2</v>
      </c>
      <c r="M1190" s="62" t="n">
        <v>0</v>
      </c>
      <c r="N1190" s="62" t="n">
        <v>1</v>
      </c>
      <c r="O1190" s="65" t="n">
        <v>21</v>
      </c>
      <c r="P1190" s="60" t="s">
        <v>210</v>
      </c>
      <c r="Q1190" s="62"/>
      <c r="R1190" s="65" t="n">
        <f aca="false">IF(CA1190=1,0,IFERROR(VLOOKUP(BY1190,'Gebinde-Kategorie'!$A$5:$N$45,13,0)+0,0))</f>
        <v>4</v>
      </c>
      <c r="S1190" s="66"/>
      <c r="T1190" s="67" t="s">
        <v>231</v>
      </c>
      <c r="U1190" s="67"/>
      <c r="V1190" s="67"/>
      <c r="W1190" s="60"/>
      <c r="X1190" s="62"/>
      <c r="Y1190" s="62"/>
      <c r="Z1190" s="60" t="n">
        <v>2</v>
      </c>
      <c r="AA1190" s="60" t="n">
        <f aca="false">IF(A1190="","",IF(AND(Parameter!$B$21="Ja",ISNUMBER(W1190)),W1190,IF(AND(Parameter!$E$27="Ja",ISNUMBER(Z1190),CD1190&lt;&gt;"Nein"),Z1190,IF(CD1190="2+3",IF(ISNUMBER(SEARCH("grosser Artikel",BV1190)),2,IFERROR(VLOOKUP(BY1190,Parameter!$F$35:$G$64,2,0),2)),IF(OR(CD1190="Nein",CD1190=""),"-",CD1190)))))</f>
        <v>2</v>
      </c>
      <c r="AB1190" s="67"/>
      <c r="AC1190" s="68"/>
      <c r="AD1190" s="62" t="n">
        <f aca="false">AW1190</f>
        <v>20</v>
      </c>
      <c r="AE1190" s="62" t="n">
        <f aca="false">MAX(AW1190,H1190)</f>
        <v>20</v>
      </c>
      <c r="AF1190" s="69"/>
      <c r="AG1190" s="62" t="n">
        <f aca="false">IF(LEFT(Cockpit!$C$5,1)="A",H1190,IF(Parameter!$E$30="MAX-Bestand",IF(CI1190=1,CJ1190,IF(LEFT(Cockpit!$C$5,1)="B",AM1190,MAX(AM1190,H1190))),ROUNDUP(AK1190,0)))</f>
        <v>0</v>
      </c>
      <c r="AH1190" s="62" t="n">
        <f aca="false">IF(CA1190=1,0,ROUNDUP(AG1190/BZ1190,0))</f>
        <v>0</v>
      </c>
      <c r="AI1190" s="64" t="n">
        <f aca="false">IF(CR1190&gt;0,CR1190*MAX(1,AG1190/X1190),IF(CA1190=1,IF(AG1190&lt;=0,0,CE1190*MAX(1,IF(H1190&gt;0,AG1190/H1190,1))),IF(R1190&gt;0,AH1190/R1190,0))/MAX(0.1,N(Parameter!$M$21)))</f>
        <v>0</v>
      </c>
      <c r="AJ1190" s="62" t="n">
        <f aca="false">AI1190*CC1190</f>
        <v>0</v>
      </c>
      <c r="AK1190" s="63" t="n">
        <f aca="false">IF(LEFT(Cockpit!$C$5,1)="A",H1190,IF(CI1190=1,(CL1190+CJ1190)/2,IF(LEFT(Cockpit!$C$5,1)="B",(CL1190+AM1190)/2,MAX((CL1190+AM1190)/2,H1190))))</f>
        <v>0</v>
      </c>
      <c r="AL1190" s="62" t="n">
        <f aca="false">AK1190*G1190</f>
        <v>0</v>
      </c>
      <c r="AM1190" s="62" t="n">
        <f aca="false">ROUNDUP(CL1190+MAX(CM1190,2*(J1190/IF(CH1190&gt;0,CH1190,MAX(0.1,N(Cockpit!$C$6)))-CL1190)),0)</f>
        <v>20</v>
      </c>
      <c r="AN1190" s="63" t="n">
        <f aca="false">IF(AJ1190&gt;0,J1190/AJ1190,-1)</f>
        <v>-1</v>
      </c>
      <c r="AO1190" s="63" t="str">
        <f aca="false">IF(AND(OR(CG1190="L1",CG1190="L23",CG1190="LIFT"),AJ1190&gt;0),SUMIFS($AJ$7:$AJ$1843,$CG$7:$CG$1843,CG1190,$AN$7:$AN$1843,"&gt;"&amp;AN1190)+SUMIFS($AJ$7:$AJ$1843,$CG$7:$CG$1843,CG1190,$AN$7:$AN$1843,AN1190,$BX$7:$BX$1843,"&lt;="&amp;BX1190),"")</f>
        <v/>
      </c>
      <c r="AP1190" s="70" t="n">
        <f aca="false">IF(AO1190="",0,MAX(0,MIN(1,(IF(CG1190="L1",Parameter!$H$5,IF(CG1190="L23",Parameter!$H$6+Parameter!$H$7,Parameter!$H$5+Parameter!$H$6+Parameter!$H$7))-(AO1190-AJ1190))/AJ1190)))</f>
        <v>0</v>
      </c>
      <c r="AQ1190" s="62" t="n">
        <f aca="false">IF(LEFT(Cockpit!$I$5,1)="A",H1190,IF(Parameter!$E$30="MAX-Bestand",IF(CI1190=1,CJ1190,IF(LEFT(Cockpit!$I$5,1)="B",AW1190,MAX(AW1190,H1190))),ROUNDUP(AU1190,0)))</f>
        <v>10</v>
      </c>
      <c r="AR1190" s="62" t="n">
        <f aca="false">IF(CA1190=1,0,ROUNDUP(AQ1190/BZ1190,0))</f>
        <v>5</v>
      </c>
      <c r="AS1190" s="64" t="n">
        <f aca="false">IF(CR1190&gt;0,CR1190*MAX(1,AQ1190/X1190),IF(CA1190=1,IF(AQ1190&lt;=0,0,CE1190*MAX(1,IF(H1190&gt;0,AQ1190/H1190,1))),IF(R1190&gt;0,AR1190/R1190,0))/MAX(0.1,N(Parameter!$M$21)))</f>
        <v>1.25</v>
      </c>
      <c r="AT1190" s="62" t="n">
        <f aca="false">AS1190*CC1190</f>
        <v>293.75</v>
      </c>
      <c r="AU1190" s="63" t="n">
        <f aca="false">IF(LEFT(Cockpit!$I$5,1)="A",H1190,IF(CI1190=1,(CL1190+CJ1190)/2,IF(LEFT(Cockpit!$I$5,1)="B",(CL1190+AW1190)/2,MAX((CL1190+AW1190)/2,H1190))))</f>
        <v>10</v>
      </c>
      <c r="AV1190" s="62" t="n">
        <f aca="false">AU1190*G1190</f>
        <v>143</v>
      </c>
      <c r="AW1190" s="62" t="n">
        <f aca="false">ROUNDUP(CL1190+MAX(CM1190,2*(J1190/IF(CH1190&gt;0,CH1190,MAX(0.1,N(Cockpit!$I$6)))-CL1190)),0)</f>
        <v>20</v>
      </c>
      <c r="AX1190" s="63" t="n">
        <f aca="false">IF(AT1190&gt;0,J1190/AT1190,-1)</f>
        <v>0.0987234042553192</v>
      </c>
      <c r="AY1190" s="63" t="n">
        <f aca="false">IF(AND(OR(CG1190="L1",CG1190="L23",CG1190="LIFT"),AT1190&gt;0),SUMIFS($AT$7:$AT$1843,$CG$7:$CG$1843,CG1190,$AX$7:$AX$1843,"&gt;"&amp;AX1190)+SUMIFS($AT$7:$AT$1843,$CG$7:$CG$1843,CG1190,$AX$7:$AX$1843,AX1190,$BX$7:$BX$1843,"&lt;="&amp;BX1190),"")</f>
        <v>21182.4008686699</v>
      </c>
      <c r="AZ1190" s="70" t="n">
        <f aca="false">IF(AY1190="",0,MAX(0,MIN(1,(IF(CG1190="L1",Parameter!$H$5,IF(CG1190="L23",Parameter!$H$6+Parameter!$H$7,Parameter!$H$5+Parameter!$H$6+Parameter!$H$7))-(AY1190-AT1190))/AT1190)))</f>
        <v>1</v>
      </c>
      <c r="BA1190" s="62" t="n">
        <f aca="false">IF(LEFT(Cockpit!$O$5,1)="A",H1190,IF(Parameter!$E$30="MAX-Bestand",IF(CI1190=1,CJ1190,IF(LEFT(Cockpit!$O$5,1)="B",BG1190,MAX(BG1190,H1190))),ROUNDUP(BE1190,0)))</f>
        <v>8</v>
      </c>
      <c r="BB1190" s="62" t="n">
        <f aca="false">IF(CA1190=1,0,ROUNDUP(BA1190/BZ1190,0))</f>
        <v>4</v>
      </c>
      <c r="BC1190" s="64" t="n">
        <f aca="false">IF(CR1190&gt;0,CR1190*MAX(1,BA1190/X1190),IF(CA1190=1,IF(BA1190&lt;=0,0,CE1190*MAX(1,IF(H1190&gt;0,BA1190/H1190,1))),IF(R1190&gt;0,BB1190/R1190,0))/MAX(0.1,N(Parameter!$M$21)))</f>
        <v>1</v>
      </c>
      <c r="BD1190" s="62" t="n">
        <f aca="false">BC1190*CC1190</f>
        <v>235</v>
      </c>
      <c r="BE1190" s="63" t="n">
        <f aca="false">IF(LEFT(Cockpit!$O$5,1)="A",H1190,IF(CI1190=1,(CL1190+CJ1190)/2,IF(LEFT(Cockpit!$O$5,1)="B",(CL1190+BG1190)/2,MAX((CL1190+BG1190)/2,H1190))))</f>
        <v>7.5</v>
      </c>
      <c r="BF1190" s="62" t="n">
        <f aca="false">BE1190*G1190</f>
        <v>107.25</v>
      </c>
      <c r="BG1190" s="62" t="n">
        <f aca="false">ROUNDUP(CL1190+MAX(CM1190,2*(J1190/IF(CH1190&gt;0,CH1190,MAX(0.1,N(Cockpit!$O$6)))-CL1190)),0)</f>
        <v>15</v>
      </c>
      <c r="BH1190" s="63" t="n">
        <f aca="false">IF(BD1190&gt;0,J1190/BD1190,-1)</f>
        <v>0.123404255319149</v>
      </c>
      <c r="BI1190" s="63" t="n">
        <f aca="false">IF(AND(OR(CG1190="L1",CG1190="L23",CG1190="LIFT"),BD1190&gt;0),SUMIFS($BD$7:$BD$1843,$CG$7:$CG$1843,CG1190,$BH$7:$BH$1843,"&gt;"&amp;BH1190)+SUMIFS($BD$7:$BD$1843,$CG$7:$CG$1843,CG1190,$BH$7:$BH$1843,BH1190,$BX$7:$BX$1843,"&lt;="&amp;BX1190),"")</f>
        <v>15741.4979227458</v>
      </c>
      <c r="BJ1190" s="70" t="n">
        <f aca="false">IF(BI1190="",0,MAX(0,MIN(1,(IF(CG1190="L1",Parameter!$H$5,IF(CG1190="L23",Parameter!$H$6+Parameter!$H$7,Parameter!$H$5+Parameter!$H$6+Parameter!$H$7))-(BI1190-BD1190))/BD1190)))</f>
        <v>1</v>
      </c>
      <c r="BK1190" s="60" t="str">
        <f aca="false">IF(AJ1190&lt;=0,"",IF(CG1190="Aussen","Aussenlager",IF(CG1190="-","Nicht im Lift",IF(AP1190&gt;=1,"Lift",IF(AP1190&lt;=0,"Aussenlager","teilweise")))))</f>
        <v/>
      </c>
      <c r="BL1190" s="60" t="str">
        <f aca="false">IF(AT1190&lt;=0,"",IF(CG1190="Aussen","Aussenlager",IF(CG1190="-","Nicht im Lift",IF(AZ1190&gt;=1,"Lift",IF(AZ1190&lt;=0,"Aussenlager","teilweise")))))</f>
        <v>Lift</v>
      </c>
      <c r="BM1190" s="60" t="str">
        <f aca="false">IF(BD1190&lt;=0,"",IF(CG1190="Aussen","Aussenlager",IF(CG1190="-","Nicht im Lift",IF(BJ1190&gt;=1,"Lift",IF(BJ1190&lt;=0,"Aussenlager","teilweise")))))</f>
        <v>Lift</v>
      </c>
      <c r="BN1190" s="60" t="str">
        <f aca="false">IF(A1190="","",IF(BW1190=1,"Neu; ","")&amp;IF(AND(BW1190=0,BR1190&lt;0),"negativer Bestand (Export "&amp;BR1190&amp;"); ","")&amp;IF(J1190&lt;=0,"Kein Verbrauch; ","")&amp;IF(CR1190&gt;0,"Lift "&amp;W1190&amp;" lt. Liftbericht (Fach "&amp;X1190&amp;" Stk); ",IF(CB1190=1,"Gebinde geschätzt ("&amp;T1190&amp;"); ",IF(CA1190=1,"Lose – Tablare geschätzt; ","")))&amp;IF(H1190&gt;AW1190,"Überbestand "&amp;ROUND(H1190-AW1190,0)&amp;" Stk / CHF "&amp;ROUND((H1190-AW1190)*G1190,0)&amp;"; ","")&amp;IF(AND(CI1190=1,CJ1190&lt;CK1190),"MAX &lt; MB+LG; ","")&amp;IF(AND(CQ1190&gt;0,CP1190*10&gt;CQ1190),"zu hoch für Tablar; ","")&amp;IF(AND(BW1190=0,OR(CI1190=1,AB1190&lt;&gt;"",U1190&lt;&gt;"",V1190&lt;&gt;"",AC1190&lt;&gt;"")),"manuell übersteuert; ","")&amp;IF(AND(CA1190=0,R1190=0),"Gebinde unbekannt / Stellmass fehlt; ","")&amp;IF(AND(CA1190=0,N(V1190)&lt;=0,N(Q1190)&lt;=0),"Menge pro Gebinde fehlt (Ist = 1 Gebinde); ","")&amp;BV1190)</f>
        <v>negativer Bestand (Export -29); Gebinde geschätzt (Gross); Menge pro Gebinde fehlt (Ist = 1 Gebinde); </v>
      </c>
      <c r="BO1190" s="60"/>
      <c r="BP1190" s="60"/>
      <c r="BQ1190" s="67"/>
      <c r="BR1190" s="62" t="n">
        <v>-29</v>
      </c>
      <c r="BS1190" s="62" t="n">
        <v>29</v>
      </c>
      <c r="BT1190" s="61" t="n">
        <v>-414.7</v>
      </c>
      <c r="BU1190" s="62" t="n">
        <v>29</v>
      </c>
      <c r="BV1190" s="60"/>
      <c r="BW1190" s="65" t="n">
        <v>0</v>
      </c>
      <c r="BX1190" s="65" t="n">
        <v>1190</v>
      </c>
      <c r="BY1190" s="60" t="str">
        <f aca="false">IF(U1190&lt;&gt;"",UPPER(TRIM(U1190)),IF(CB1190=1,UPPER(VLOOKUP(T1190,Parameter!$I$27:$K$29,2,0)),IF(P1190="","LOSE",P1190)))</f>
        <v>S81</v>
      </c>
      <c r="BZ1190" s="62" t="n">
        <f aca="false">IF(BY1190="LOSE",1,IF(N(V1190)&gt;0,V1190,IF(CB1190=1,MAX(1,N(VLOOKUP(T1190,Parameter!$I$27:$K$29,3,0)),H1190,N(N1190)),IF(N(Q1190)&gt;0,Q1190,MAX(1,H1190)))))</f>
        <v>2</v>
      </c>
      <c r="CA1190" s="65" t="n">
        <f aca="false">IF(BY1190="LOSE",1,0)</f>
        <v>0</v>
      </c>
      <c r="CB1190" s="65" t="n">
        <f aca="false">IF(AND(U1190="",OR(P1190="",P1190="LOSE"),T1190&lt;&gt;"",N(S1190)&lt;=0,ISNUMBER(MATCH(T1190,Parameter!$I$27:$I$29,0))),1,0)</f>
        <v>1</v>
      </c>
      <c r="CC1190" s="65" t="n">
        <f aca="false">IF(CR1190&gt;0,INDEX(Parameter!$H$5:$H$7,W1190)/INDEX(Parameter!$E$5:$E$7,W1190),IF(AND(CA1190=0,N(IFERROR(VLOOKUP(BY1190,'Gebinde-Kategorie'!$A$5:$N$45,14,0),0))&gt;0),VLOOKUP(BY1190,'Gebinde-Kategorie'!$A$5:$N$45,14,0)*10+Parameter!$M$23,Parameter!$M$24))</f>
        <v>235</v>
      </c>
      <c r="CD1190" s="60" t="str">
        <f aca="false">IF(AND(Parameter!$B$19="Ja",E1190&lt;&gt;"",ISNUMBER(MATCH(E1190,Parameter!$I$35:$I$52,0))),VLOOKUP(E1190,Parameter!$I$35:$J$52,2,0),IFERROR(VLOOKUP(D1190,Parameter!$A$35:$C$64,2,0),"Nein"))</f>
        <v>2+3</v>
      </c>
      <c r="CE1190" s="64" t="n">
        <f aca="false">IF(CA1190=0,0,IF(N(S1190)&gt;0,S1190,IFERROR(VLOOKUP(D1190,Parameter!$A$35:$C$64,3,0)+0,0)))</f>
        <v>0</v>
      </c>
      <c r="CF1190" s="60" t="n">
        <f aca="false">IF(AB1190&lt;&gt;"",AB1190,AA1190)</f>
        <v>2</v>
      </c>
      <c r="CG1190" s="60" t="str">
        <f aca="false">IF(OR(CF1190=1,CF1190=2,CF1190=3),IF(Parameter!$E$27="Ja","LIFT",IF(CF1190=1,"L1","L23")),IF(CF1190="Aussen","Aussen","-"))</f>
        <v>LIFT</v>
      </c>
      <c r="CH1190" s="71" t="n">
        <f aca="false">IF(N(AC1190)&gt;0,AC1190,0)</f>
        <v>0</v>
      </c>
      <c r="CI1190" s="65" t="n">
        <f aca="false">IF(ISNUMBER(AF1190),1,0)</f>
        <v>0</v>
      </c>
      <c r="CJ1190" s="62" t="n">
        <f aca="false">N(AF1190)</f>
        <v>0</v>
      </c>
      <c r="CK1190" s="62" t="n">
        <f aca="false">N(M1190)+N(N1190)</f>
        <v>1</v>
      </c>
      <c r="CL1190" s="62" t="n">
        <f aca="false">N(M1190)</f>
        <v>0</v>
      </c>
      <c r="CM1190" s="62" t="n">
        <f aca="false">N(N1190)</f>
        <v>1</v>
      </c>
      <c r="CN1190" s="62" t="n">
        <f aca="false">ROUNDUP(H1190/BZ1190,0)</f>
        <v>0</v>
      </c>
      <c r="CO1190" s="62" t="n">
        <f aca="false">ROUNDUP(CJ1190/BZ1190,0)</f>
        <v>0</v>
      </c>
      <c r="CP1190" s="65" t="n">
        <f aca="false">IF(CA1190=1,0,IFERROR(VLOOKUP(BY1190,'Gebinde-Kategorie'!$A$5:$N$45,5,0)+0,0))</f>
        <v>20</v>
      </c>
      <c r="CQ1190" s="65" t="n">
        <f aca="false">IFERROR(IF(OR(CF1190=1,CF1190=2,CF1190=3),N(INDEX(Parameter!$I$5:$I$7,CF1190)),0),0)</f>
        <v>0</v>
      </c>
      <c r="CR1190" s="64" t="n">
        <f aca="false">IF(AND(Parameter!$B$21="Ja",ISNUMBER(W1190),N(X1190)&gt;0),IFERROR(N(INDEX(Parameter!$L$5:$L$7,W1190))*INDEX(Parameter!$E$5:$E$7,W1190)*X1190/SUMIFS($X$7:$X$1843,$W$7:$W$1843,W1190),0),0)</f>
        <v>0</v>
      </c>
      <c r="CS1190" s="62" t="str">
        <f aca="false">IF(AND(OR(CG1190="L1",CG1190="L23",CG1190="LIFT"),H1190&gt;0),CC1190*IF(CR1190&gt;0,CR1190*MAX(1,H1190/X1190),IF(CA1190=1,CE1190,IF(R1190&gt;0,CN1190/R1190,0))/MAX(0.1,N(Parameter!$M$21))),"")</f>
        <v/>
      </c>
      <c r="CT1190" s="64" t="str">
        <f aca="false">IF(CS1190="","",J1190/H1190)</f>
        <v/>
      </c>
      <c r="CU1190" s="62" t="str">
        <f aca="false">IF(CS1190="","",H1190*G1190)</f>
        <v/>
      </c>
      <c r="CV1190" s="63" t="str">
        <f aca="false">IF(CS1190="","",(CL1190+ROUNDUP(CL1190+MAX(CM1190,2*(J1190/MAX(0.1,N(Einkauf!$C$6))-CL1190)),0))/2)</f>
        <v/>
      </c>
      <c r="CW1190" s="62" t="str">
        <f aca="false">IF(CS1190="","",MAX(0,H1190-CV1190)*G1190)</f>
        <v/>
      </c>
      <c r="CX1190" s="62" t="str">
        <f aca="false">IF(CS1190="","",CS1190*MAX(0,1-CV1190/H1190))</f>
        <v/>
      </c>
      <c r="CY1190" s="64" t="str">
        <f aca="false">IF(CS1190="","",PERCENTRANK($CS$7:$CS$1843,CS1190)+PERCENTRANK($CU$7:$CU$1843,CU1190)+1-PERCENTRANK($CT$7:$CT$1843,CT1190))</f>
        <v/>
      </c>
      <c r="CZ1190" s="72" t="str">
        <f aca="false">IF(CS1190="","",CHOOSE(MATCH(Einkauf!$C$5,Parameter!$G$23:$G$27,0),CY1190,CS1190,CU1190,-CT1190,CW1190)+ROW()/1000000000)</f>
        <v/>
      </c>
    </row>
    <row r="1191" customFormat="false" ht="15" hidden="false" customHeight="false" outlineLevel="0" collapsed="false">
      <c r="A1191" s="60" t="s">
        <v>2185</v>
      </c>
      <c r="B1191" s="60" t="s">
        <v>2186</v>
      </c>
      <c r="C1191" s="60" t="s">
        <v>206</v>
      </c>
      <c r="D1191" s="60" t="s">
        <v>226</v>
      </c>
      <c r="E1191" s="60"/>
      <c r="F1191" s="60" t="s">
        <v>260</v>
      </c>
      <c r="G1191" s="61" t="n">
        <v>142.18</v>
      </c>
      <c r="H1191" s="62" t="n">
        <f aca="false">MAX(0,IF(AND(Parameter!$B$21="Ja",ISNUMBER(Y1191)),Y1191,IF(Parameter!$B$20="Jahresanfang 2025 + Export",BS1191+BR1191,BR1191)))</f>
        <v>31</v>
      </c>
      <c r="I1191" s="62" t="n">
        <f aca="false">H1191*G1191</f>
        <v>4407.58</v>
      </c>
      <c r="J1191" s="62" t="n">
        <f aca="false">BU1191*Parameter!$B$18</f>
        <v>0</v>
      </c>
      <c r="K1191" s="63" t="n">
        <v>33.5</v>
      </c>
      <c r="L1191" s="64" t="n">
        <v>0</v>
      </c>
      <c r="M1191" s="62" t="n">
        <v>0</v>
      </c>
      <c r="N1191" s="62" t="n">
        <v>1</v>
      </c>
      <c r="O1191" s="65" t="n">
        <v>28</v>
      </c>
      <c r="P1191" s="60" t="s">
        <v>344</v>
      </c>
      <c r="Q1191" s="62" t="n">
        <v>35</v>
      </c>
      <c r="R1191" s="65" t="n">
        <f aca="false">IF(CA1191=1,0,IFERROR(VLOOKUP(BY1191,'Gebinde-Kategorie'!$A$5:$N$45,13,0)+0,0))</f>
        <v>26</v>
      </c>
      <c r="S1191" s="66"/>
      <c r="T1191" s="67"/>
      <c r="U1191" s="67"/>
      <c r="V1191" s="67"/>
      <c r="W1191" s="60"/>
      <c r="X1191" s="62"/>
      <c r="Y1191" s="62"/>
      <c r="Z1191" s="60" t="n">
        <v>3</v>
      </c>
      <c r="AA1191" s="60" t="n">
        <f aca="false">IF(A1191="","",IF(AND(Parameter!$B$21="Ja",ISNUMBER(W1191)),W1191,IF(AND(Parameter!$E$27="Ja",ISNUMBER(Z1191),CD1191&lt;&gt;"Nein"),Z1191,IF(CD1191="2+3",IF(ISNUMBER(SEARCH("grosser Artikel",BV1191)),2,IFERROR(VLOOKUP(BY1191,Parameter!$F$35:$G$64,2,0),2)),IF(OR(CD1191="Nein",CD1191=""),"-",CD1191)))))</f>
        <v>3</v>
      </c>
      <c r="AB1191" s="67"/>
      <c r="AC1191" s="68"/>
      <c r="AD1191" s="62" t="n">
        <f aca="false">AW1191</f>
        <v>1</v>
      </c>
      <c r="AE1191" s="62" t="n">
        <f aca="false">MAX(AW1191,H1191)</f>
        <v>31</v>
      </c>
      <c r="AF1191" s="69"/>
      <c r="AG1191" s="62" t="n">
        <f aca="false">IF(LEFT(Cockpit!$C$5,1)="A",H1191,IF(Parameter!$E$30="MAX-Bestand",IF(CI1191=1,CJ1191,IF(LEFT(Cockpit!$C$5,1)="B",AM1191,MAX(AM1191,H1191))),ROUNDUP(AK1191,0)))</f>
        <v>31</v>
      </c>
      <c r="AH1191" s="62" t="n">
        <f aca="false">IF(CA1191=1,0,ROUNDUP(AG1191/BZ1191,0))</f>
        <v>1</v>
      </c>
      <c r="AI1191" s="64" t="n">
        <f aca="false">IF(CR1191&gt;0,CR1191*MAX(1,AG1191/X1191),IF(CA1191=1,IF(AG1191&lt;=0,0,CE1191*MAX(1,IF(H1191&gt;0,AG1191/H1191,1))),IF(R1191&gt;0,AH1191/R1191,0))/MAX(0.1,N(Parameter!$M$21)))</f>
        <v>0.0384615384615385</v>
      </c>
      <c r="AJ1191" s="62" t="n">
        <f aca="false">AI1191*CC1191</f>
        <v>5.96153846153846</v>
      </c>
      <c r="AK1191" s="63" t="n">
        <f aca="false">IF(LEFT(Cockpit!$C$5,1)="A",H1191,IF(CI1191=1,(CL1191+CJ1191)/2,IF(LEFT(Cockpit!$C$5,1)="B",(CL1191+AM1191)/2,MAX((CL1191+AM1191)/2,H1191))))</f>
        <v>31</v>
      </c>
      <c r="AL1191" s="62" t="n">
        <f aca="false">AK1191*G1191</f>
        <v>4407.58</v>
      </c>
      <c r="AM1191" s="62" t="n">
        <f aca="false">ROUNDUP(CL1191+MAX(CM1191,2*(J1191/IF(CH1191&gt;0,CH1191,MAX(0.1,N(Cockpit!$C$6)))-CL1191)),0)</f>
        <v>1</v>
      </c>
      <c r="AN1191" s="63" t="n">
        <f aca="false">IF(AJ1191&gt;0,J1191/AJ1191,-1)</f>
        <v>0</v>
      </c>
      <c r="AO1191" s="63" t="n">
        <f aca="false">IF(AND(OR(CG1191="L1",CG1191="L23",CG1191="LIFT"),AJ1191&gt;0),SUMIFS($AJ$7:$AJ$1843,$CG$7:$CG$1843,CG1191,$AN$7:$AN$1843,"&gt;"&amp;AN1191)+SUMIFS($AJ$7:$AJ$1843,$CG$7:$CG$1843,CG1191,$AN$7:$AN$1843,AN1191,$BX$7:$BX$1843,"&lt;="&amp;BX1191),"")</f>
        <v>29407.4763586225</v>
      </c>
      <c r="AP1191" s="70" t="n">
        <f aca="false">IF(AO1191="",0,MAX(0,MIN(1,(IF(CG1191="L1",Parameter!$H$5,IF(CG1191="L23",Parameter!$H$6+Parameter!$H$7,Parameter!$H$5+Parameter!$H$6+Parameter!$H$7))-(AO1191-AJ1191))/AJ1191)))</f>
        <v>1</v>
      </c>
      <c r="AQ1191" s="62" t="n">
        <f aca="false">IF(LEFT(Cockpit!$I$5,1)="A",H1191,IF(Parameter!$E$30="MAX-Bestand",IF(CI1191=1,CJ1191,IF(LEFT(Cockpit!$I$5,1)="B",AW1191,MAX(AW1191,H1191))),ROUNDUP(AU1191,0)))</f>
        <v>31</v>
      </c>
      <c r="AR1191" s="62" t="n">
        <f aca="false">IF(CA1191=1,0,ROUNDUP(AQ1191/BZ1191,0))</f>
        <v>1</v>
      </c>
      <c r="AS1191" s="64" t="n">
        <f aca="false">IF(CR1191&gt;0,CR1191*MAX(1,AQ1191/X1191),IF(CA1191=1,IF(AQ1191&lt;=0,0,CE1191*MAX(1,IF(H1191&gt;0,AQ1191/H1191,1))),IF(R1191&gt;0,AR1191/R1191,0))/MAX(0.1,N(Parameter!$M$21)))</f>
        <v>0.0384615384615385</v>
      </c>
      <c r="AT1191" s="62" t="n">
        <f aca="false">AS1191*CC1191</f>
        <v>5.96153846153846</v>
      </c>
      <c r="AU1191" s="63" t="n">
        <f aca="false">IF(LEFT(Cockpit!$I$5,1)="A",H1191,IF(CI1191=1,(CL1191+CJ1191)/2,IF(LEFT(Cockpit!$I$5,1)="B",(CL1191+AW1191)/2,MAX((CL1191+AW1191)/2,H1191))))</f>
        <v>31</v>
      </c>
      <c r="AV1191" s="62" t="n">
        <f aca="false">AU1191*G1191</f>
        <v>4407.58</v>
      </c>
      <c r="AW1191" s="62" t="n">
        <f aca="false">ROUNDUP(CL1191+MAX(CM1191,2*(J1191/IF(CH1191&gt;0,CH1191,MAX(0.1,N(Cockpit!$I$6)))-CL1191)),0)</f>
        <v>1</v>
      </c>
      <c r="AX1191" s="63" t="n">
        <f aca="false">IF(AT1191&gt;0,J1191/AT1191,-1)</f>
        <v>0</v>
      </c>
      <c r="AY1191" s="63" t="n">
        <f aca="false">IF(AND(OR(CG1191="L1",CG1191="L23",CG1191="LIFT"),AT1191&gt;0),SUMIFS($AT$7:$AT$1843,$CG$7:$CG$1843,CG1191,$AX$7:$AX$1843,"&gt;"&amp;AX1191)+SUMIFS($AT$7:$AT$1843,$CG$7:$CG$1843,CG1191,$AX$7:$AX$1843,AX1191,$BX$7:$BX$1843,"&lt;="&amp;BX1191),"")</f>
        <v>35210.3292124542</v>
      </c>
      <c r="AZ1191" s="70" t="n">
        <f aca="false">IF(AY1191="",0,MAX(0,MIN(1,(IF(CG1191="L1",Parameter!$H$5,IF(CG1191="L23",Parameter!$H$6+Parameter!$H$7,Parameter!$H$5+Parameter!$H$6+Parameter!$H$7))-(AY1191-AT1191))/AT1191)))</f>
        <v>1</v>
      </c>
      <c r="BA1191" s="62" t="n">
        <f aca="false">IF(LEFT(Cockpit!$O$5,1)="A",H1191,IF(Parameter!$E$30="MAX-Bestand",IF(CI1191=1,CJ1191,IF(LEFT(Cockpit!$O$5,1)="B",BG1191,MAX(BG1191,H1191))),ROUNDUP(BE1191,0)))</f>
        <v>1</v>
      </c>
      <c r="BB1191" s="62" t="n">
        <f aca="false">IF(CA1191=1,0,ROUNDUP(BA1191/BZ1191,0))</f>
        <v>1</v>
      </c>
      <c r="BC1191" s="64" t="n">
        <f aca="false">IF(CR1191&gt;0,CR1191*MAX(1,BA1191/X1191),IF(CA1191=1,IF(BA1191&lt;=0,0,CE1191*MAX(1,IF(H1191&gt;0,BA1191/H1191,1))),IF(R1191&gt;0,BB1191/R1191,0))/MAX(0.1,N(Parameter!$M$21)))</f>
        <v>0.0384615384615385</v>
      </c>
      <c r="BD1191" s="62" t="n">
        <f aca="false">BC1191*CC1191</f>
        <v>5.96153846153846</v>
      </c>
      <c r="BE1191" s="63" t="n">
        <f aca="false">IF(LEFT(Cockpit!$O$5,1)="A",H1191,IF(CI1191=1,(CL1191+CJ1191)/2,IF(LEFT(Cockpit!$O$5,1)="B",(CL1191+BG1191)/2,MAX((CL1191+BG1191)/2,H1191))))</f>
        <v>0.5</v>
      </c>
      <c r="BF1191" s="62" t="n">
        <f aca="false">BE1191*G1191</f>
        <v>71.09</v>
      </c>
      <c r="BG1191" s="62" t="n">
        <f aca="false">ROUNDUP(CL1191+MAX(CM1191,2*(J1191/IF(CH1191&gt;0,CH1191,MAX(0.1,N(Cockpit!$O$6)))-CL1191)),0)</f>
        <v>1</v>
      </c>
      <c r="BH1191" s="63" t="n">
        <f aca="false">IF(BD1191&gt;0,J1191/BD1191,-1)</f>
        <v>0</v>
      </c>
      <c r="BI1191" s="63" t="n">
        <f aca="false">IF(AND(OR(CG1191="L1",CG1191="L23",CG1191="LIFT"),BD1191&gt;0),SUMIFS($BD$7:$BD$1843,$CG$7:$CG$1843,CG1191,$BH$7:$BH$1843,"&gt;"&amp;BH1191)+SUMIFS($BD$7:$BD$1843,$CG$7:$CG$1843,CG1191,$BH$7:$BH$1843,BH1191,$BX$7:$BX$1843,"&lt;="&amp;BX1191),"")</f>
        <v>29195.635872602</v>
      </c>
      <c r="BJ1191" s="70" t="n">
        <f aca="false">IF(BI1191="",0,MAX(0,MIN(1,(IF(CG1191="L1",Parameter!$H$5,IF(CG1191="L23",Parameter!$H$6+Parameter!$H$7,Parameter!$H$5+Parameter!$H$6+Parameter!$H$7))-(BI1191-BD1191))/BD1191)))</f>
        <v>1</v>
      </c>
      <c r="BK1191" s="60" t="str">
        <f aca="false">IF(AJ1191&lt;=0,"",IF(CG1191="Aussen","Aussenlager",IF(CG1191="-","Nicht im Lift",IF(AP1191&gt;=1,"Lift",IF(AP1191&lt;=0,"Aussenlager","teilweise")))))</f>
        <v>Lift</v>
      </c>
      <c r="BL1191" s="60" t="str">
        <f aca="false">IF(AT1191&lt;=0,"",IF(CG1191="Aussen","Aussenlager",IF(CG1191="-","Nicht im Lift",IF(AZ1191&gt;=1,"Lift",IF(AZ1191&lt;=0,"Aussenlager","teilweise")))))</f>
        <v>Lift</v>
      </c>
      <c r="BM1191" s="60" t="str">
        <f aca="false">IF(BD1191&lt;=0,"",IF(CG1191="Aussen","Aussenlager",IF(CG1191="-","Nicht im Lift",IF(BJ1191&gt;=1,"Lift",IF(BJ1191&lt;=0,"Aussenlager","teilweise")))))</f>
        <v>Lift</v>
      </c>
      <c r="BN1191" s="60" t="str">
        <f aca="false">IF(A1191="","",IF(BW1191=1,"Neu; ","")&amp;IF(AND(BW1191=0,BR1191&lt;0),"negativer Bestand (Export "&amp;BR1191&amp;"); ","")&amp;IF(J1191&lt;=0,"Kein Verbrauch; ","")&amp;IF(CR1191&gt;0,"Lift "&amp;W1191&amp;" lt. Liftbericht (Fach "&amp;X1191&amp;" Stk); ",IF(CB1191=1,"Gebinde geschätzt ("&amp;T1191&amp;"); ",IF(CA1191=1,"Lose – Tablare geschätzt; ","")))&amp;IF(H1191&gt;AW1191,"Überbestand "&amp;ROUND(H1191-AW1191,0)&amp;" Stk / CHF "&amp;ROUND((H1191-AW1191)*G1191,0)&amp;"; ","")&amp;IF(AND(CI1191=1,CJ1191&lt;CK1191),"MAX &lt; MB+LG; ","")&amp;IF(AND(CQ1191&gt;0,CP1191*10&gt;CQ1191),"zu hoch für Tablar; ","")&amp;IF(AND(BW1191=0,OR(CI1191=1,AB1191&lt;&gt;"",U1191&lt;&gt;"",V1191&lt;&gt;"",AC1191&lt;&gt;"")),"manuell übersteuert; ","")&amp;IF(AND(CA1191=0,R1191=0),"Gebinde unbekannt / Stellmass fehlt; ","")&amp;IF(AND(CA1191=0,N(V1191)&lt;=0,N(Q1191)&lt;=0),"Menge pro Gebinde fehlt (Ist = 1 Gebinde); ","")&amp;BV1191)</f>
        <v>negativer Bestand (Export -3); Kein Verbrauch; Überbestand 30 Stk / CHF 4265; </v>
      </c>
      <c r="BO1191" s="60"/>
      <c r="BP1191" s="60"/>
      <c r="BQ1191" s="67"/>
      <c r="BR1191" s="62" t="n">
        <v>-3</v>
      </c>
      <c r="BS1191" s="62" t="n">
        <v>34</v>
      </c>
      <c r="BT1191" s="61" t="n">
        <v>-426.54</v>
      </c>
      <c r="BU1191" s="62" t="n">
        <v>0</v>
      </c>
      <c r="BV1191" s="60"/>
      <c r="BW1191" s="65" t="n">
        <v>0</v>
      </c>
      <c r="BX1191" s="65" t="n">
        <v>1191</v>
      </c>
      <c r="BY1191" s="60" t="str">
        <f aca="false">IF(U1191&lt;&gt;"",UPPER(TRIM(U1191)),IF(CB1191=1,UPPER(VLOOKUP(T1191,Parameter!$I$27:$K$29,2,0)),IF(P1191="","LOSE",P1191)))</f>
        <v>S51</v>
      </c>
      <c r="BZ1191" s="62" t="n">
        <f aca="false">IF(BY1191="LOSE",1,IF(N(V1191)&gt;0,V1191,IF(CB1191=1,MAX(1,N(VLOOKUP(T1191,Parameter!$I$27:$K$29,3,0)),H1191,N(N1191)),IF(N(Q1191)&gt;0,Q1191,MAX(1,H1191)))))</f>
        <v>35</v>
      </c>
      <c r="CA1191" s="65" t="n">
        <f aca="false">IF(BY1191="LOSE",1,0)</f>
        <v>0</v>
      </c>
      <c r="CB1191" s="65" t="n">
        <f aca="false">IF(AND(U1191="",OR(P1191="",P1191="LOSE"),T1191&lt;&gt;"",N(S1191)&lt;=0,ISNUMBER(MATCH(T1191,Parameter!$I$27:$I$29,0))),1,0)</f>
        <v>0</v>
      </c>
      <c r="CC1191" s="65" t="n">
        <f aca="false">IF(CR1191&gt;0,INDEX(Parameter!$H$5:$H$7,W1191)/INDEX(Parameter!$E$5:$E$7,W1191),IF(AND(CA1191=0,N(IFERROR(VLOOKUP(BY1191,'Gebinde-Kategorie'!$A$5:$N$45,14,0),0))&gt;0),VLOOKUP(BY1191,'Gebinde-Kategorie'!$A$5:$N$45,14,0)*10+Parameter!$M$23,Parameter!$M$24))</f>
        <v>155</v>
      </c>
      <c r="CD1191" s="60" t="str">
        <f aca="false">IF(AND(Parameter!$B$19="Ja",E1191&lt;&gt;"",ISNUMBER(MATCH(E1191,Parameter!$I$35:$I$52,0))),VLOOKUP(E1191,Parameter!$I$35:$J$52,2,0),IFERROR(VLOOKUP(D1191,Parameter!$A$35:$C$64,2,0),"Nein"))</f>
        <v>2+3</v>
      </c>
      <c r="CE1191" s="64" t="n">
        <f aca="false">IF(CA1191=0,0,IF(N(S1191)&gt;0,S1191,IFERROR(VLOOKUP(D1191,Parameter!$A$35:$C$64,3,0)+0,0)))</f>
        <v>0</v>
      </c>
      <c r="CF1191" s="60" t="n">
        <f aca="false">IF(AB1191&lt;&gt;"",AB1191,AA1191)</f>
        <v>3</v>
      </c>
      <c r="CG1191" s="60" t="str">
        <f aca="false">IF(OR(CF1191=1,CF1191=2,CF1191=3),IF(Parameter!$E$27="Ja","LIFT",IF(CF1191=1,"L1","L23")),IF(CF1191="Aussen","Aussen","-"))</f>
        <v>LIFT</v>
      </c>
      <c r="CH1191" s="71" t="n">
        <f aca="false">IF(N(AC1191)&gt;0,AC1191,0)</f>
        <v>0</v>
      </c>
      <c r="CI1191" s="65" t="n">
        <f aca="false">IF(ISNUMBER(AF1191),1,0)</f>
        <v>0</v>
      </c>
      <c r="CJ1191" s="62" t="n">
        <f aca="false">N(AF1191)</f>
        <v>0</v>
      </c>
      <c r="CK1191" s="62" t="n">
        <f aca="false">N(M1191)+N(N1191)</f>
        <v>1</v>
      </c>
      <c r="CL1191" s="62" t="n">
        <f aca="false">N(M1191)</f>
        <v>0</v>
      </c>
      <c r="CM1191" s="62" t="n">
        <f aca="false">N(N1191)</f>
        <v>1</v>
      </c>
      <c r="CN1191" s="62" t="n">
        <f aca="false">ROUNDUP(H1191/BZ1191,0)</f>
        <v>1</v>
      </c>
      <c r="CO1191" s="62" t="n">
        <f aca="false">ROUNDUP(CJ1191/BZ1191,0)</f>
        <v>0</v>
      </c>
      <c r="CP1191" s="65" t="n">
        <f aca="false">IF(CA1191=1,0,IFERROR(VLOOKUP(BY1191,'Gebinde-Kategorie'!$A$5:$N$45,5,0)+0,0))</f>
        <v>11</v>
      </c>
      <c r="CQ1191" s="65" t="n">
        <f aca="false">IFERROR(IF(OR(CF1191=1,CF1191=2,CF1191=3),N(INDEX(Parameter!$I$5:$I$7,CF1191)),0),0)</f>
        <v>0</v>
      </c>
      <c r="CR1191" s="64" t="n">
        <f aca="false">IF(AND(Parameter!$B$21="Ja",ISNUMBER(W1191),N(X1191)&gt;0),IFERROR(N(INDEX(Parameter!$L$5:$L$7,W1191))*INDEX(Parameter!$E$5:$E$7,W1191)*X1191/SUMIFS($X$7:$X$1843,$W$7:$W$1843,W1191),0),0)</f>
        <v>0</v>
      </c>
      <c r="CS1191" s="62" t="n">
        <f aca="false">IF(AND(OR(CG1191="L1",CG1191="L23",CG1191="LIFT"),H1191&gt;0),CC1191*IF(CR1191&gt;0,CR1191*MAX(1,H1191/X1191),IF(CA1191=1,CE1191,IF(R1191&gt;0,CN1191/R1191,0))/MAX(0.1,N(Parameter!$M$21))),"")</f>
        <v>5.96153846153846</v>
      </c>
      <c r="CT1191" s="64" t="n">
        <f aca="false">IF(CS1191="","",J1191/H1191)</f>
        <v>0</v>
      </c>
      <c r="CU1191" s="62" t="n">
        <f aca="false">IF(CS1191="","",H1191*G1191)</f>
        <v>4407.58</v>
      </c>
      <c r="CV1191" s="63" t="n">
        <f aca="false">IF(CS1191="","",(CL1191+ROUNDUP(CL1191+MAX(CM1191,2*(J1191/MAX(0.1,N(Einkauf!$C$6))-CL1191)),0))/2)</f>
        <v>0.5</v>
      </c>
      <c r="CW1191" s="62" t="n">
        <f aca="false">IF(CS1191="","",MAX(0,H1191-CV1191)*G1191)</f>
        <v>4336.49</v>
      </c>
      <c r="CX1191" s="62" t="n">
        <f aca="false">IF(CS1191="","",CS1191*MAX(0,1-CV1191/H1191))</f>
        <v>5.86538461538462</v>
      </c>
      <c r="CY1191" s="64" t="n">
        <f aca="false">IF(CS1191="","",PERCENTRANK($CS$7:$CS$1843,CS1191)+PERCENTRANK($CU$7:$CU$1843,CU1191)+1-PERCENTRANK($CT$7:$CT$1843,CT1191))</f>
        <v>2.247</v>
      </c>
      <c r="CZ1191" s="72" t="n">
        <f aca="false">IF(CS1191="","",CHOOSE(MATCH(Einkauf!$C$5,Parameter!$G$23:$G$27,0),CY1191,CS1191,CU1191,-CT1191,CW1191)+ROW()/1000000000)</f>
        <v>2.247001191</v>
      </c>
    </row>
    <row r="1192" customFormat="false" ht="15" hidden="false" customHeight="false" outlineLevel="0" collapsed="false">
      <c r="A1192" s="60" t="s">
        <v>2187</v>
      </c>
      <c r="B1192" s="60" t="s">
        <v>482</v>
      </c>
      <c r="C1192" s="60" t="s">
        <v>206</v>
      </c>
      <c r="D1192" s="60" t="s">
        <v>226</v>
      </c>
      <c r="E1192" s="60" t="s">
        <v>227</v>
      </c>
      <c r="F1192" s="60" t="s">
        <v>260</v>
      </c>
      <c r="G1192" s="61" t="n">
        <v>107</v>
      </c>
      <c r="H1192" s="62" t="n">
        <f aca="false">MAX(0,IF(AND(Parameter!$B$21="Ja",ISNUMBER(Y1192)),Y1192,IF(Parameter!$B$20="Jahresanfang 2025 + Export",BS1192+BR1192,BR1192)))</f>
        <v>13</v>
      </c>
      <c r="I1192" s="62" t="n">
        <f aca="false">H1192*G1192</f>
        <v>1391</v>
      </c>
      <c r="J1192" s="62" t="n">
        <f aca="false">BU1192*Parameter!$B$18</f>
        <v>4</v>
      </c>
      <c r="K1192" s="63" t="n">
        <v>17</v>
      </c>
      <c r="L1192" s="64" t="n">
        <v>0.235294117647059</v>
      </c>
      <c r="M1192" s="62" t="n">
        <v>0</v>
      </c>
      <c r="N1192" s="62" t="n">
        <v>5</v>
      </c>
      <c r="O1192" s="65" t="n">
        <v>84</v>
      </c>
      <c r="P1192" s="60" t="s">
        <v>335</v>
      </c>
      <c r="Q1192" s="62" t="n">
        <v>32</v>
      </c>
      <c r="R1192" s="65" t="n">
        <f aca="false">IF(CA1192=1,0,IFERROR(VLOOKUP(BY1192,'Gebinde-Kategorie'!$A$5:$N$45,13,0)+0,0))</f>
        <v>12</v>
      </c>
      <c r="S1192" s="66"/>
      <c r="T1192" s="67"/>
      <c r="U1192" s="67"/>
      <c r="V1192" s="67"/>
      <c r="W1192" s="60"/>
      <c r="X1192" s="62"/>
      <c r="Y1192" s="62"/>
      <c r="Z1192" s="60" t="n">
        <v>3</v>
      </c>
      <c r="AA1192" s="60" t="n">
        <f aca="false">IF(A1192="","",IF(AND(Parameter!$B$21="Ja",ISNUMBER(W1192)),W1192,IF(AND(Parameter!$E$27="Ja",ISNUMBER(Z1192),CD1192&lt;&gt;"Nein"),Z1192,IF(CD1192="2+3",IF(ISNUMBER(SEARCH("grosser Artikel",BV1192)),2,IFERROR(VLOOKUP(BY1192,Parameter!$F$35:$G$64,2,0),2)),IF(OR(CD1192="Nein",CD1192=""),"-",CD1192)))))</f>
        <v>3</v>
      </c>
      <c r="AB1192" s="67"/>
      <c r="AC1192" s="68"/>
      <c r="AD1192" s="62" t="n">
        <f aca="false">AW1192</f>
        <v>5</v>
      </c>
      <c r="AE1192" s="62" t="n">
        <f aca="false">MAX(AW1192,H1192)</f>
        <v>13</v>
      </c>
      <c r="AF1192" s="69"/>
      <c r="AG1192" s="62" t="n">
        <f aca="false">IF(LEFT(Cockpit!$C$5,1)="A",H1192,IF(Parameter!$E$30="MAX-Bestand",IF(CI1192=1,CJ1192,IF(LEFT(Cockpit!$C$5,1)="B",AM1192,MAX(AM1192,H1192))),ROUNDUP(AK1192,0)))</f>
        <v>13</v>
      </c>
      <c r="AH1192" s="62" t="n">
        <f aca="false">IF(CA1192=1,0,ROUNDUP(AG1192/BZ1192,0))</f>
        <v>1</v>
      </c>
      <c r="AI1192" s="64" t="n">
        <f aca="false">IF(CR1192&gt;0,CR1192*MAX(1,AG1192/X1192),IF(CA1192=1,IF(AG1192&lt;=0,0,CE1192*MAX(1,IF(H1192&gt;0,AG1192/H1192,1))),IF(R1192&gt;0,AH1192/R1192,0))/MAX(0.1,N(Parameter!$M$21)))</f>
        <v>0.0833333333333333</v>
      </c>
      <c r="AJ1192" s="62" t="n">
        <f aca="false">AI1192*CC1192</f>
        <v>20.4166666666667</v>
      </c>
      <c r="AK1192" s="63" t="n">
        <f aca="false">IF(LEFT(Cockpit!$C$5,1)="A",H1192,IF(CI1192=1,(CL1192+CJ1192)/2,IF(LEFT(Cockpit!$C$5,1)="B",(CL1192+AM1192)/2,MAX((CL1192+AM1192)/2,H1192))))</f>
        <v>13</v>
      </c>
      <c r="AL1192" s="62" t="n">
        <f aca="false">AK1192*G1192</f>
        <v>1391</v>
      </c>
      <c r="AM1192" s="62" t="n">
        <f aca="false">ROUNDUP(CL1192+MAX(CM1192,2*(J1192/IF(CH1192&gt;0,CH1192,MAX(0.1,N(Cockpit!$C$6)))-CL1192)),0)</f>
        <v>5</v>
      </c>
      <c r="AN1192" s="63" t="n">
        <f aca="false">IF(AJ1192&gt;0,J1192/AJ1192,-1)</f>
        <v>0.195918367346939</v>
      </c>
      <c r="AO1192" s="63" t="n">
        <f aca="false">IF(AND(OR(CG1192="L1",CG1192="L23",CG1192="LIFT"),AJ1192&gt;0),SUMIFS($AJ$7:$AJ$1843,$CG$7:$CG$1843,CG1192,$AN$7:$AN$1843,"&gt;"&amp;AN1192)+SUMIFS($AJ$7:$AJ$1843,$CG$7:$CG$1843,CG1192,$AN$7:$AN$1843,AN1192,$BX$7:$BX$1843,"&lt;="&amp;BX1192),"")</f>
        <v>12581.4003875127</v>
      </c>
      <c r="AP1192" s="70" t="n">
        <f aca="false">IF(AO1192="",0,MAX(0,MIN(1,(IF(CG1192="L1",Parameter!$H$5,IF(CG1192="L23",Parameter!$H$6+Parameter!$H$7,Parameter!$H$5+Parameter!$H$6+Parameter!$H$7))-(AO1192-AJ1192))/AJ1192)))</f>
        <v>1</v>
      </c>
      <c r="AQ1192" s="62" t="n">
        <f aca="false">IF(LEFT(Cockpit!$I$5,1)="A",H1192,IF(Parameter!$E$30="MAX-Bestand",IF(CI1192=1,CJ1192,IF(LEFT(Cockpit!$I$5,1)="B",AW1192,MAX(AW1192,H1192))),ROUNDUP(AU1192,0)))</f>
        <v>13</v>
      </c>
      <c r="AR1192" s="62" t="n">
        <f aca="false">IF(CA1192=1,0,ROUNDUP(AQ1192/BZ1192,0))</f>
        <v>1</v>
      </c>
      <c r="AS1192" s="64" t="n">
        <f aca="false">IF(CR1192&gt;0,CR1192*MAX(1,AQ1192/X1192),IF(CA1192=1,IF(AQ1192&lt;=0,0,CE1192*MAX(1,IF(H1192&gt;0,AQ1192/H1192,1))),IF(R1192&gt;0,AR1192/R1192,0))/MAX(0.1,N(Parameter!$M$21)))</f>
        <v>0.0833333333333333</v>
      </c>
      <c r="AT1192" s="62" t="n">
        <f aca="false">AS1192*CC1192</f>
        <v>20.4166666666667</v>
      </c>
      <c r="AU1192" s="63" t="n">
        <f aca="false">IF(LEFT(Cockpit!$I$5,1)="A",H1192,IF(CI1192=1,(CL1192+CJ1192)/2,IF(LEFT(Cockpit!$I$5,1)="B",(CL1192+AW1192)/2,MAX((CL1192+AW1192)/2,H1192))))</f>
        <v>13</v>
      </c>
      <c r="AV1192" s="62" t="n">
        <f aca="false">AU1192*G1192</f>
        <v>1391</v>
      </c>
      <c r="AW1192" s="62" t="n">
        <f aca="false">ROUNDUP(CL1192+MAX(CM1192,2*(J1192/IF(CH1192&gt;0,CH1192,MAX(0.1,N(Cockpit!$I$6)))-CL1192)),0)</f>
        <v>5</v>
      </c>
      <c r="AX1192" s="63" t="n">
        <f aca="false">IF(AT1192&gt;0,J1192/AT1192,-1)</f>
        <v>0.195918367346939</v>
      </c>
      <c r="AY1192" s="63" t="n">
        <f aca="false">IF(AND(OR(CG1192="L1",CG1192="L23",CG1192="LIFT"),AT1192&gt;0),SUMIFS($AT$7:$AT$1843,$CG$7:$CG$1843,CG1192,$AX$7:$AX$1843,"&gt;"&amp;AX1192)+SUMIFS($AT$7:$AT$1843,$CG$7:$CG$1843,CG1192,$AX$7:$AX$1843,AX1192,$BX$7:$BX$1843,"&lt;="&amp;BX1192),"")</f>
        <v>15410.657967033</v>
      </c>
      <c r="AZ1192" s="70" t="n">
        <f aca="false">IF(AY1192="",0,MAX(0,MIN(1,(IF(CG1192="L1",Parameter!$H$5,IF(CG1192="L23",Parameter!$H$6+Parameter!$H$7,Parameter!$H$5+Parameter!$H$6+Parameter!$H$7))-(AY1192-AT1192))/AT1192)))</f>
        <v>1</v>
      </c>
      <c r="BA1192" s="62" t="n">
        <f aca="false">IF(LEFT(Cockpit!$O$5,1)="A",H1192,IF(Parameter!$E$30="MAX-Bestand",IF(CI1192=1,CJ1192,IF(LEFT(Cockpit!$O$5,1)="B",BG1192,MAX(BG1192,H1192))),ROUNDUP(BE1192,0)))</f>
        <v>3</v>
      </c>
      <c r="BB1192" s="62" t="n">
        <f aca="false">IF(CA1192=1,0,ROUNDUP(BA1192/BZ1192,0))</f>
        <v>1</v>
      </c>
      <c r="BC1192" s="64" t="n">
        <f aca="false">IF(CR1192&gt;0,CR1192*MAX(1,BA1192/X1192),IF(CA1192=1,IF(BA1192&lt;=0,0,CE1192*MAX(1,IF(H1192&gt;0,BA1192/H1192,1))),IF(R1192&gt;0,BB1192/R1192,0))/MAX(0.1,N(Parameter!$M$21)))</f>
        <v>0.0833333333333333</v>
      </c>
      <c r="BD1192" s="62" t="n">
        <f aca="false">BC1192*CC1192</f>
        <v>20.4166666666667</v>
      </c>
      <c r="BE1192" s="63" t="n">
        <f aca="false">IF(LEFT(Cockpit!$O$5,1)="A",H1192,IF(CI1192=1,(CL1192+CJ1192)/2,IF(LEFT(Cockpit!$O$5,1)="B",(CL1192+BG1192)/2,MAX((CL1192+BG1192)/2,H1192))))</f>
        <v>2.5</v>
      </c>
      <c r="BF1192" s="62" t="n">
        <f aca="false">BE1192*G1192</f>
        <v>267.5</v>
      </c>
      <c r="BG1192" s="62" t="n">
        <f aca="false">ROUNDUP(CL1192+MAX(CM1192,2*(J1192/IF(CH1192&gt;0,CH1192,MAX(0.1,N(Cockpit!$O$6)))-CL1192)),0)</f>
        <v>5</v>
      </c>
      <c r="BH1192" s="63" t="n">
        <f aca="false">IF(BD1192&gt;0,J1192/BD1192,-1)</f>
        <v>0.195918367346939</v>
      </c>
      <c r="BI1192" s="63" t="n">
        <f aca="false">IF(AND(OR(CG1192="L1",CG1192="L23",CG1192="LIFT"),BD1192&gt;0),SUMIFS($BD$7:$BD$1843,$CG$7:$CG$1843,CG1192,$BH$7:$BH$1843,"&gt;"&amp;BH1192)+SUMIFS($BD$7:$BD$1843,$CG$7:$CG$1843,CG1192,$BH$7:$BH$1843,BH1192,$BX$7:$BX$1843,"&lt;="&amp;BX1192),"")</f>
        <v>13206.9962568035</v>
      </c>
      <c r="BJ1192" s="70" t="n">
        <f aca="false">IF(BI1192="",0,MAX(0,MIN(1,(IF(CG1192="L1",Parameter!$H$5,IF(CG1192="L23",Parameter!$H$6+Parameter!$H$7,Parameter!$H$5+Parameter!$H$6+Parameter!$H$7))-(BI1192-BD1192))/BD1192)))</f>
        <v>1</v>
      </c>
      <c r="BK1192" s="60" t="str">
        <f aca="false">IF(AJ1192&lt;=0,"",IF(CG1192="Aussen","Aussenlager",IF(CG1192="-","Nicht im Lift",IF(AP1192&gt;=1,"Lift",IF(AP1192&lt;=0,"Aussenlager","teilweise")))))</f>
        <v>Lift</v>
      </c>
      <c r="BL1192" s="60" t="str">
        <f aca="false">IF(AT1192&lt;=0,"",IF(CG1192="Aussen","Aussenlager",IF(CG1192="-","Nicht im Lift",IF(AZ1192&gt;=1,"Lift",IF(AZ1192&lt;=0,"Aussenlager","teilweise")))))</f>
        <v>Lift</v>
      </c>
      <c r="BM1192" s="60" t="str">
        <f aca="false">IF(BD1192&lt;=0,"",IF(CG1192="Aussen","Aussenlager",IF(CG1192="-","Nicht im Lift",IF(BJ1192&gt;=1,"Lift",IF(BJ1192&lt;=0,"Aussenlager","teilweise")))))</f>
        <v>Lift</v>
      </c>
      <c r="BN1192" s="60" t="str">
        <f aca="false">IF(A1192="","",IF(BW1192=1,"Neu; ","")&amp;IF(AND(BW1192=0,BR1192&lt;0),"negativer Bestand (Export "&amp;BR1192&amp;"); ","")&amp;IF(J1192&lt;=0,"Kein Verbrauch; ","")&amp;IF(CR1192&gt;0,"Lift "&amp;W1192&amp;" lt. Liftbericht (Fach "&amp;X1192&amp;" Stk); ",IF(CB1192=1,"Gebinde geschätzt ("&amp;T1192&amp;"); ",IF(CA1192=1,"Lose – Tablare geschätzt; ","")))&amp;IF(H1192&gt;AW1192,"Überbestand "&amp;ROUND(H1192-AW1192,0)&amp;" Stk / CHF "&amp;ROUND((H1192-AW1192)*G1192,0)&amp;"; ","")&amp;IF(AND(CI1192=1,CJ1192&lt;CK1192),"MAX &lt; MB+LG; ","")&amp;IF(AND(CQ1192&gt;0,CP1192*10&gt;CQ1192),"zu hoch für Tablar; ","")&amp;IF(AND(BW1192=0,OR(CI1192=1,AB1192&lt;&gt;"",U1192&lt;&gt;"",V1192&lt;&gt;"",AC1192&lt;&gt;"")),"manuell übersteuert; ","")&amp;IF(AND(CA1192=0,R1192=0),"Gebinde unbekannt / Stellmass fehlt; ","")&amp;IF(AND(CA1192=0,N(V1192)&lt;=0,N(Q1192)&lt;=0),"Menge pro Gebinde fehlt (Ist = 1 Gebinde); ","")&amp;BV1192)</f>
        <v>negativer Bestand (Export -4); Überbestand 8 Stk / CHF 856; Überbestand</v>
      </c>
      <c r="BO1192" s="60"/>
      <c r="BP1192" s="60"/>
      <c r="BQ1192" s="67"/>
      <c r="BR1192" s="62" t="n">
        <v>-4</v>
      </c>
      <c r="BS1192" s="62" t="n">
        <v>17</v>
      </c>
      <c r="BT1192" s="61" t="n">
        <v>-428</v>
      </c>
      <c r="BU1192" s="62" t="n">
        <v>4</v>
      </c>
      <c r="BV1192" s="60" t="s">
        <v>434</v>
      </c>
      <c r="BW1192" s="65" t="n">
        <v>0</v>
      </c>
      <c r="BX1192" s="65" t="n">
        <v>1192</v>
      </c>
      <c r="BY1192" s="60" t="str">
        <f aca="false">IF(U1192&lt;&gt;"",UPPER(TRIM(U1192)),IF(CB1192=1,UPPER(VLOOKUP(T1192,Parameter!$I$27:$K$29,2,0)),IF(P1192="","LOSE",P1192)))</f>
        <v>S62</v>
      </c>
      <c r="BZ1192" s="62" t="n">
        <f aca="false">IF(BY1192="LOSE",1,IF(N(V1192)&gt;0,V1192,IF(CB1192=1,MAX(1,N(VLOOKUP(T1192,Parameter!$I$27:$K$29,3,0)),H1192,N(N1192)),IF(N(Q1192)&gt;0,Q1192,MAX(1,H1192)))))</f>
        <v>32</v>
      </c>
      <c r="CA1192" s="65" t="n">
        <f aca="false">IF(BY1192="LOSE",1,0)</f>
        <v>0</v>
      </c>
      <c r="CB1192" s="65" t="n">
        <f aca="false">IF(AND(U1192="",OR(P1192="",P1192="LOSE"),T1192&lt;&gt;"",N(S1192)&lt;=0,ISNUMBER(MATCH(T1192,Parameter!$I$27:$I$29,0))),1,0)</f>
        <v>0</v>
      </c>
      <c r="CC1192" s="65" t="n">
        <f aca="false">IF(CR1192&gt;0,INDEX(Parameter!$H$5:$H$7,W1192)/INDEX(Parameter!$E$5:$E$7,W1192),IF(AND(CA1192=0,N(IFERROR(VLOOKUP(BY1192,'Gebinde-Kategorie'!$A$5:$N$45,14,0),0))&gt;0),VLOOKUP(BY1192,'Gebinde-Kategorie'!$A$5:$N$45,14,0)*10+Parameter!$M$23,Parameter!$M$24))</f>
        <v>245</v>
      </c>
      <c r="CD1192" s="60" t="str">
        <f aca="false">IF(AND(Parameter!$B$19="Ja",E1192&lt;&gt;"",ISNUMBER(MATCH(E1192,Parameter!$I$35:$I$52,0))),VLOOKUP(E1192,Parameter!$I$35:$J$52,2,0),IFERROR(VLOOKUP(D1192,Parameter!$A$35:$C$64,2,0),"Nein"))</f>
        <v>2+3</v>
      </c>
      <c r="CE1192" s="64" t="n">
        <f aca="false">IF(CA1192=0,0,IF(N(S1192)&gt;0,S1192,IFERROR(VLOOKUP(D1192,Parameter!$A$35:$C$64,3,0)+0,0)))</f>
        <v>0</v>
      </c>
      <c r="CF1192" s="60" t="n">
        <f aca="false">IF(AB1192&lt;&gt;"",AB1192,AA1192)</f>
        <v>3</v>
      </c>
      <c r="CG1192" s="60" t="str">
        <f aca="false">IF(OR(CF1192=1,CF1192=2,CF1192=3),IF(Parameter!$E$27="Ja","LIFT",IF(CF1192=1,"L1","L23")),IF(CF1192="Aussen","Aussen","-"))</f>
        <v>LIFT</v>
      </c>
      <c r="CH1192" s="71" t="n">
        <f aca="false">IF(N(AC1192)&gt;0,AC1192,0)</f>
        <v>0</v>
      </c>
      <c r="CI1192" s="65" t="n">
        <f aca="false">IF(ISNUMBER(AF1192),1,0)</f>
        <v>0</v>
      </c>
      <c r="CJ1192" s="62" t="n">
        <f aca="false">N(AF1192)</f>
        <v>0</v>
      </c>
      <c r="CK1192" s="62" t="n">
        <f aca="false">N(M1192)+N(N1192)</f>
        <v>5</v>
      </c>
      <c r="CL1192" s="62" t="n">
        <f aca="false">N(M1192)</f>
        <v>0</v>
      </c>
      <c r="CM1192" s="62" t="n">
        <f aca="false">N(N1192)</f>
        <v>5</v>
      </c>
      <c r="CN1192" s="62" t="n">
        <f aca="false">ROUNDUP(H1192/BZ1192,0)</f>
        <v>1</v>
      </c>
      <c r="CO1192" s="62" t="n">
        <f aca="false">ROUNDUP(CJ1192/BZ1192,0)</f>
        <v>0</v>
      </c>
      <c r="CP1192" s="65" t="n">
        <f aca="false">IF(CA1192=1,0,IFERROR(VLOOKUP(BY1192,'Gebinde-Kategorie'!$A$5:$N$45,5,0)+0,0))</f>
        <v>21</v>
      </c>
      <c r="CQ1192" s="65" t="n">
        <f aca="false">IFERROR(IF(OR(CF1192=1,CF1192=2,CF1192=3),N(INDEX(Parameter!$I$5:$I$7,CF1192)),0),0)</f>
        <v>0</v>
      </c>
      <c r="CR1192" s="64" t="n">
        <f aca="false">IF(AND(Parameter!$B$21="Ja",ISNUMBER(W1192),N(X1192)&gt;0),IFERROR(N(INDEX(Parameter!$L$5:$L$7,W1192))*INDEX(Parameter!$E$5:$E$7,W1192)*X1192/SUMIFS($X$7:$X$1843,$W$7:$W$1843,W1192),0),0)</f>
        <v>0</v>
      </c>
      <c r="CS1192" s="62" t="n">
        <f aca="false">IF(AND(OR(CG1192="L1",CG1192="L23",CG1192="LIFT"),H1192&gt;0),CC1192*IF(CR1192&gt;0,CR1192*MAX(1,H1192/X1192),IF(CA1192=1,CE1192,IF(R1192&gt;0,CN1192/R1192,0))/MAX(0.1,N(Parameter!$M$21))),"")</f>
        <v>20.4166666666667</v>
      </c>
      <c r="CT1192" s="64" t="n">
        <f aca="false">IF(CS1192="","",J1192/H1192)</f>
        <v>0.307692307692308</v>
      </c>
      <c r="CU1192" s="62" t="n">
        <f aca="false">IF(CS1192="","",H1192*G1192)</f>
        <v>1391</v>
      </c>
      <c r="CV1192" s="63" t="n">
        <f aca="false">IF(CS1192="","",(CL1192+ROUNDUP(CL1192+MAX(CM1192,2*(J1192/MAX(0.1,N(Einkauf!$C$6))-CL1192)),0))/2)</f>
        <v>2.5</v>
      </c>
      <c r="CW1192" s="62" t="n">
        <f aca="false">IF(CS1192="","",MAX(0,H1192-CV1192)*G1192)</f>
        <v>1123.5</v>
      </c>
      <c r="CX1192" s="62" t="n">
        <f aca="false">IF(CS1192="","",CS1192*MAX(0,1-CV1192/H1192))</f>
        <v>16.4903846153846</v>
      </c>
      <c r="CY1192" s="64" t="n">
        <f aca="false">IF(CS1192="","",PERCENTRANK($CS$7:$CS$1843,CS1192)+PERCENTRANK($CU$7:$CU$1843,CU1192)+1-PERCENTRANK($CT$7:$CT$1843,CT1192))</f>
        <v>1.988</v>
      </c>
      <c r="CZ1192" s="72" t="n">
        <f aca="false">IF(CS1192="","",CHOOSE(MATCH(Einkauf!$C$5,Parameter!$G$23:$G$27,0),CY1192,CS1192,CU1192,-CT1192,CW1192)+ROW()/1000000000)</f>
        <v>1.988001192</v>
      </c>
    </row>
    <row r="1193" customFormat="false" ht="15" hidden="false" customHeight="false" outlineLevel="0" collapsed="false">
      <c r="A1193" s="60" t="s">
        <v>2188</v>
      </c>
      <c r="B1193" s="60" t="s">
        <v>2189</v>
      </c>
      <c r="C1193" s="60" t="s">
        <v>206</v>
      </c>
      <c r="D1193" s="60" t="s">
        <v>226</v>
      </c>
      <c r="E1193" s="60" t="s">
        <v>227</v>
      </c>
      <c r="F1193" s="60" t="s">
        <v>260</v>
      </c>
      <c r="G1193" s="61" t="n">
        <v>79.87</v>
      </c>
      <c r="H1193" s="62" t="n">
        <f aca="false">MAX(0,IF(AND(Parameter!$B$21="Ja",ISNUMBER(Y1193)),Y1193,IF(Parameter!$B$20="Jahresanfang 2025 + Export",BS1193+BR1193,BR1193)))</f>
        <v>6</v>
      </c>
      <c r="I1193" s="62" t="n">
        <f aca="false">H1193*G1193</f>
        <v>479.22</v>
      </c>
      <c r="J1193" s="62" t="n">
        <f aca="false">BU1193*Parameter!$B$18</f>
        <v>13</v>
      </c>
      <c r="K1193" s="63" t="n">
        <v>10</v>
      </c>
      <c r="L1193" s="64" t="n">
        <v>1.3</v>
      </c>
      <c r="M1193" s="62" t="n">
        <v>0</v>
      </c>
      <c r="N1193" s="62" t="n">
        <v>15</v>
      </c>
      <c r="O1193" s="65" t="n">
        <v>21</v>
      </c>
      <c r="P1193" s="60" t="s">
        <v>275</v>
      </c>
      <c r="Q1193" s="62" t="n">
        <v>4</v>
      </c>
      <c r="R1193" s="65" t="n">
        <f aca="false">IF(CA1193=1,0,IFERROR(VLOOKUP(BY1193,'Gebinde-Kategorie'!$A$5:$N$45,13,0)+0,0))</f>
        <v>26</v>
      </c>
      <c r="S1193" s="66"/>
      <c r="T1193" s="67"/>
      <c r="U1193" s="67"/>
      <c r="V1193" s="67"/>
      <c r="W1193" s="60"/>
      <c r="X1193" s="62"/>
      <c r="Y1193" s="62"/>
      <c r="Z1193" s="60" t="n">
        <v>3</v>
      </c>
      <c r="AA1193" s="60" t="n">
        <f aca="false">IF(A1193="","",IF(AND(Parameter!$B$21="Ja",ISNUMBER(W1193)),W1193,IF(AND(Parameter!$E$27="Ja",ISNUMBER(Z1193),CD1193&lt;&gt;"Nein"),Z1193,IF(CD1193="2+3",IF(ISNUMBER(SEARCH("grosser Artikel",BV1193)),2,IFERROR(VLOOKUP(BY1193,Parameter!$F$35:$G$64,2,0),2)),IF(OR(CD1193="Nein",CD1193=""),"-",CD1193)))))</f>
        <v>3</v>
      </c>
      <c r="AB1193" s="67"/>
      <c r="AC1193" s="68"/>
      <c r="AD1193" s="62" t="n">
        <f aca="false">AW1193</f>
        <v>15</v>
      </c>
      <c r="AE1193" s="62" t="n">
        <f aca="false">MAX(AW1193,H1193)</f>
        <v>15</v>
      </c>
      <c r="AF1193" s="69"/>
      <c r="AG1193" s="62" t="n">
        <f aca="false">IF(LEFT(Cockpit!$C$5,1)="A",H1193,IF(Parameter!$E$30="MAX-Bestand",IF(CI1193=1,CJ1193,IF(LEFT(Cockpit!$C$5,1)="B",AM1193,MAX(AM1193,H1193))),ROUNDUP(AK1193,0)))</f>
        <v>6</v>
      </c>
      <c r="AH1193" s="62" t="n">
        <f aca="false">IF(CA1193=1,0,ROUNDUP(AG1193/BZ1193,0))</f>
        <v>2</v>
      </c>
      <c r="AI1193" s="64" t="n">
        <f aca="false">IF(CR1193&gt;0,CR1193*MAX(1,AG1193/X1193),IF(CA1193=1,IF(AG1193&lt;=0,0,CE1193*MAX(1,IF(H1193&gt;0,AG1193/H1193,1))),IF(R1193&gt;0,AH1193/R1193,0))/MAX(0.1,N(Parameter!$M$21)))</f>
        <v>0.0769230769230769</v>
      </c>
      <c r="AJ1193" s="62" t="n">
        <f aca="false">AI1193*CC1193</f>
        <v>18.8461538461538</v>
      </c>
      <c r="AK1193" s="63" t="n">
        <f aca="false">IF(LEFT(Cockpit!$C$5,1)="A",H1193,IF(CI1193=1,(CL1193+CJ1193)/2,IF(LEFT(Cockpit!$C$5,1)="B",(CL1193+AM1193)/2,MAX((CL1193+AM1193)/2,H1193))))</f>
        <v>6</v>
      </c>
      <c r="AL1193" s="62" t="n">
        <f aca="false">AK1193*G1193</f>
        <v>479.22</v>
      </c>
      <c r="AM1193" s="62" t="n">
        <f aca="false">ROUNDUP(CL1193+MAX(CM1193,2*(J1193/IF(CH1193&gt;0,CH1193,MAX(0.1,N(Cockpit!$C$6)))-CL1193)),0)</f>
        <v>15</v>
      </c>
      <c r="AN1193" s="63" t="n">
        <f aca="false">IF(AJ1193&gt;0,J1193/AJ1193,-1)</f>
        <v>0.689795918367347</v>
      </c>
      <c r="AO1193" s="63" t="n">
        <f aca="false">IF(AND(OR(CG1193="L1",CG1193="L23",CG1193="LIFT"),AJ1193&gt;0),SUMIFS($AJ$7:$AJ$1843,$CG$7:$CG$1843,CG1193,$AN$7:$AN$1843,"&gt;"&amp;AN1193)+SUMIFS($AJ$7:$AJ$1843,$CG$7:$CG$1843,CG1193,$AN$7:$AN$1843,AN1193,$BX$7:$BX$1843,"&lt;="&amp;BX1193),"")</f>
        <v>8474.76602564103</v>
      </c>
      <c r="AP1193" s="70" t="n">
        <f aca="false">IF(AO1193="",0,MAX(0,MIN(1,(IF(CG1193="L1",Parameter!$H$5,IF(CG1193="L23",Parameter!$H$6+Parameter!$H$7,Parameter!$H$5+Parameter!$H$6+Parameter!$H$7))-(AO1193-AJ1193))/AJ1193)))</f>
        <v>1</v>
      </c>
      <c r="AQ1193" s="62" t="n">
        <f aca="false">IF(LEFT(Cockpit!$I$5,1)="A",H1193,IF(Parameter!$E$30="MAX-Bestand",IF(CI1193=1,CJ1193,IF(LEFT(Cockpit!$I$5,1)="B",AW1193,MAX(AW1193,H1193))),ROUNDUP(AU1193,0)))</f>
        <v>8</v>
      </c>
      <c r="AR1193" s="62" t="n">
        <f aca="false">IF(CA1193=1,0,ROUNDUP(AQ1193/BZ1193,0))</f>
        <v>2</v>
      </c>
      <c r="AS1193" s="64" t="n">
        <f aca="false">IF(CR1193&gt;0,CR1193*MAX(1,AQ1193/X1193),IF(CA1193=1,IF(AQ1193&lt;=0,0,CE1193*MAX(1,IF(H1193&gt;0,AQ1193/H1193,1))),IF(R1193&gt;0,AR1193/R1193,0))/MAX(0.1,N(Parameter!$M$21)))</f>
        <v>0.0769230769230769</v>
      </c>
      <c r="AT1193" s="62" t="n">
        <f aca="false">AS1193*CC1193</f>
        <v>18.8461538461538</v>
      </c>
      <c r="AU1193" s="63" t="n">
        <f aca="false">IF(LEFT(Cockpit!$I$5,1)="A",H1193,IF(CI1193=1,(CL1193+CJ1193)/2,IF(LEFT(Cockpit!$I$5,1)="B",(CL1193+AW1193)/2,MAX((CL1193+AW1193)/2,H1193))))</f>
        <v>7.5</v>
      </c>
      <c r="AV1193" s="62" t="n">
        <f aca="false">AU1193*G1193</f>
        <v>599.025</v>
      </c>
      <c r="AW1193" s="62" t="n">
        <f aca="false">ROUNDUP(CL1193+MAX(CM1193,2*(J1193/IF(CH1193&gt;0,CH1193,MAX(0.1,N(Cockpit!$I$6)))-CL1193)),0)</f>
        <v>15</v>
      </c>
      <c r="AX1193" s="63" t="n">
        <f aca="false">IF(AT1193&gt;0,J1193/AT1193,-1)</f>
        <v>0.689795918367347</v>
      </c>
      <c r="AY1193" s="63" t="n">
        <f aca="false">IF(AND(OR(CG1193="L1",CG1193="L23",CG1193="LIFT"),AT1193&gt;0),SUMIFS($AT$7:$AT$1843,$CG$7:$CG$1843,CG1193,$AX$7:$AX$1843,"&gt;"&amp;AX1193)+SUMIFS($AT$7:$AT$1843,$CG$7:$CG$1843,CG1193,$AX$7:$AX$1843,AX1193,$BX$7:$BX$1843,"&lt;="&amp;BX1193),"")</f>
        <v>10758.5009157509</v>
      </c>
      <c r="AZ1193" s="70" t="n">
        <f aca="false">IF(AY1193="",0,MAX(0,MIN(1,(IF(CG1193="L1",Parameter!$H$5,IF(CG1193="L23",Parameter!$H$6+Parameter!$H$7,Parameter!$H$5+Parameter!$H$6+Parameter!$H$7))-(AY1193-AT1193))/AT1193)))</f>
        <v>1</v>
      </c>
      <c r="BA1193" s="62" t="n">
        <f aca="false">IF(LEFT(Cockpit!$O$5,1)="A",H1193,IF(Parameter!$E$30="MAX-Bestand",IF(CI1193=1,CJ1193,IF(LEFT(Cockpit!$O$5,1)="B",BG1193,MAX(BG1193,H1193))),ROUNDUP(BE1193,0)))</f>
        <v>8</v>
      </c>
      <c r="BB1193" s="62" t="n">
        <f aca="false">IF(CA1193=1,0,ROUNDUP(BA1193/BZ1193,0))</f>
        <v>2</v>
      </c>
      <c r="BC1193" s="64" t="n">
        <f aca="false">IF(CR1193&gt;0,CR1193*MAX(1,BA1193/X1193),IF(CA1193=1,IF(BA1193&lt;=0,0,CE1193*MAX(1,IF(H1193&gt;0,BA1193/H1193,1))),IF(R1193&gt;0,BB1193/R1193,0))/MAX(0.1,N(Parameter!$M$21)))</f>
        <v>0.0769230769230769</v>
      </c>
      <c r="BD1193" s="62" t="n">
        <f aca="false">BC1193*CC1193</f>
        <v>18.8461538461538</v>
      </c>
      <c r="BE1193" s="63" t="n">
        <f aca="false">IF(LEFT(Cockpit!$O$5,1)="A",H1193,IF(CI1193=1,(CL1193+CJ1193)/2,IF(LEFT(Cockpit!$O$5,1)="B",(CL1193+BG1193)/2,MAX((CL1193+BG1193)/2,H1193))))</f>
        <v>7.5</v>
      </c>
      <c r="BF1193" s="62" t="n">
        <f aca="false">BE1193*G1193</f>
        <v>599.025</v>
      </c>
      <c r="BG1193" s="62" t="n">
        <f aca="false">ROUNDUP(CL1193+MAX(CM1193,2*(J1193/IF(CH1193&gt;0,CH1193,MAX(0.1,N(Cockpit!$O$6)))-CL1193)),0)</f>
        <v>15</v>
      </c>
      <c r="BH1193" s="63" t="n">
        <f aca="false">IF(BD1193&gt;0,J1193/BD1193,-1)</f>
        <v>0.689795918367347</v>
      </c>
      <c r="BI1193" s="63" t="n">
        <f aca="false">IF(AND(OR(CG1193="L1",CG1193="L23",CG1193="LIFT"),BD1193&gt;0),SUMIFS($BD$7:$BD$1843,$CG$7:$CG$1843,CG1193,$BH$7:$BH$1843,"&gt;"&amp;BH1193)+SUMIFS($BD$7:$BD$1843,$CG$7:$CG$1843,CG1193,$BH$7:$BH$1843,BH1193,$BX$7:$BX$1843,"&lt;="&amp;BX1193),"")</f>
        <v>9376.88507326007</v>
      </c>
      <c r="BJ1193" s="70" t="n">
        <f aca="false">IF(BI1193="",0,MAX(0,MIN(1,(IF(CG1193="L1",Parameter!$H$5,IF(CG1193="L23",Parameter!$H$6+Parameter!$H$7,Parameter!$H$5+Parameter!$H$6+Parameter!$H$7))-(BI1193-BD1193))/BD1193)))</f>
        <v>1</v>
      </c>
      <c r="BK1193" s="60" t="str">
        <f aca="false">IF(AJ1193&lt;=0,"",IF(CG1193="Aussen","Aussenlager",IF(CG1193="-","Nicht im Lift",IF(AP1193&gt;=1,"Lift",IF(AP1193&lt;=0,"Aussenlager","teilweise")))))</f>
        <v>Lift</v>
      </c>
      <c r="BL1193" s="60" t="str">
        <f aca="false">IF(AT1193&lt;=0,"",IF(CG1193="Aussen","Aussenlager",IF(CG1193="-","Nicht im Lift",IF(AZ1193&gt;=1,"Lift",IF(AZ1193&lt;=0,"Aussenlager","teilweise")))))</f>
        <v>Lift</v>
      </c>
      <c r="BM1193" s="60" t="str">
        <f aca="false">IF(BD1193&lt;=0,"",IF(CG1193="Aussen","Aussenlager",IF(CG1193="-","Nicht im Lift",IF(BJ1193&gt;=1,"Lift",IF(BJ1193&lt;=0,"Aussenlager","teilweise")))))</f>
        <v>Lift</v>
      </c>
      <c r="BN1193" s="60" t="str">
        <f aca="false">IF(A1193="","",IF(BW1193=1,"Neu; ","")&amp;IF(AND(BW1193=0,BR1193&lt;0),"negativer Bestand (Export "&amp;BR1193&amp;"); ","")&amp;IF(J1193&lt;=0,"Kein Verbrauch; ","")&amp;IF(CR1193&gt;0,"Lift "&amp;W1193&amp;" lt. Liftbericht (Fach "&amp;X1193&amp;" Stk); ",IF(CB1193=1,"Gebinde geschätzt ("&amp;T1193&amp;"); ",IF(CA1193=1,"Lose – Tablare geschätzt; ","")))&amp;IF(H1193&gt;AW1193,"Überbestand "&amp;ROUND(H1193-AW1193,0)&amp;" Stk / CHF "&amp;ROUND((H1193-AW1193)*G1193,0)&amp;"; ","")&amp;IF(AND(CI1193=1,CJ1193&lt;CK1193),"MAX &lt; MB+LG; ","")&amp;IF(AND(CQ1193&gt;0,CP1193*10&gt;CQ1193),"zu hoch für Tablar; ","")&amp;IF(AND(BW1193=0,OR(CI1193=1,AB1193&lt;&gt;"",U1193&lt;&gt;"",V1193&lt;&gt;"",AC1193&lt;&gt;"")),"manuell übersteuert; ","")&amp;IF(AND(CA1193=0,R1193=0),"Gebinde unbekannt / Stellmass fehlt; ","")&amp;IF(AND(CA1193=0,N(V1193)&lt;=0,N(Q1193)&lt;=0),"Menge pro Gebinde fehlt (Ist = 1 Gebinde); ","")&amp;BV1193)</f>
        <v>negativer Bestand (Export -6); </v>
      </c>
      <c r="BO1193" s="60"/>
      <c r="BP1193" s="60"/>
      <c r="BQ1193" s="67"/>
      <c r="BR1193" s="62" t="n">
        <v>-6</v>
      </c>
      <c r="BS1193" s="62" t="n">
        <v>12</v>
      </c>
      <c r="BT1193" s="61" t="n">
        <v>-435.78</v>
      </c>
      <c r="BU1193" s="62" t="n">
        <v>13</v>
      </c>
      <c r="BV1193" s="60"/>
      <c r="BW1193" s="65" t="n">
        <v>0</v>
      </c>
      <c r="BX1193" s="65" t="n">
        <v>1193</v>
      </c>
      <c r="BY1193" s="60" t="str">
        <f aca="false">IF(U1193&lt;&gt;"",UPPER(TRIM(U1193)),IF(CB1193=1,UPPER(VLOOKUP(T1193,Parameter!$I$27:$K$29,2,0)),IF(P1193="","LOSE",P1193)))</f>
        <v>S52</v>
      </c>
      <c r="BZ1193" s="62" t="n">
        <f aca="false">IF(BY1193="LOSE",1,IF(N(V1193)&gt;0,V1193,IF(CB1193=1,MAX(1,N(VLOOKUP(T1193,Parameter!$I$27:$K$29,3,0)),H1193,N(N1193)),IF(N(Q1193)&gt;0,Q1193,MAX(1,H1193)))))</f>
        <v>4</v>
      </c>
      <c r="CA1193" s="65" t="n">
        <f aca="false">IF(BY1193="LOSE",1,0)</f>
        <v>0</v>
      </c>
      <c r="CB1193" s="65" t="n">
        <f aca="false">IF(AND(U1193="",OR(P1193="",P1193="LOSE"),T1193&lt;&gt;"",N(S1193)&lt;=0,ISNUMBER(MATCH(T1193,Parameter!$I$27:$I$29,0))),1,0)</f>
        <v>0</v>
      </c>
      <c r="CC1193" s="65" t="n">
        <f aca="false">IF(CR1193&gt;0,INDEX(Parameter!$H$5:$H$7,W1193)/INDEX(Parameter!$E$5:$E$7,W1193),IF(AND(CA1193=0,N(IFERROR(VLOOKUP(BY1193,'Gebinde-Kategorie'!$A$5:$N$45,14,0),0))&gt;0),VLOOKUP(BY1193,'Gebinde-Kategorie'!$A$5:$N$45,14,0)*10+Parameter!$M$23,Parameter!$M$24))</f>
        <v>245</v>
      </c>
      <c r="CD1193" s="60" t="str">
        <f aca="false">IF(AND(Parameter!$B$19="Ja",E1193&lt;&gt;"",ISNUMBER(MATCH(E1193,Parameter!$I$35:$I$52,0))),VLOOKUP(E1193,Parameter!$I$35:$J$52,2,0),IFERROR(VLOOKUP(D1193,Parameter!$A$35:$C$64,2,0),"Nein"))</f>
        <v>2+3</v>
      </c>
      <c r="CE1193" s="64" t="n">
        <f aca="false">IF(CA1193=0,0,IF(N(S1193)&gt;0,S1193,IFERROR(VLOOKUP(D1193,Parameter!$A$35:$C$64,3,0)+0,0)))</f>
        <v>0</v>
      </c>
      <c r="CF1193" s="60" t="n">
        <f aca="false">IF(AB1193&lt;&gt;"",AB1193,AA1193)</f>
        <v>3</v>
      </c>
      <c r="CG1193" s="60" t="str">
        <f aca="false">IF(OR(CF1193=1,CF1193=2,CF1193=3),IF(Parameter!$E$27="Ja","LIFT",IF(CF1193=1,"L1","L23")),IF(CF1193="Aussen","Aussen","-"))</f>
        <v>LIFT</v>
      </c>
      <c r="CH1193" s="71" t="n">
        <f aca="false">IF(N(AC1193)&gt;0,AC1193,0)</f>
        <v>0</v>
      </c>
      <c r="CI1193" s="65" t="n">
        <f aca="false">IF(ISNUMBER(AF1193),1,0)</f>
        <v>0</v>
      </c>
      <c r="CJ1193" s="62" t="n">
        <f aca="false">N(AF1193)</f>
        <v>0</v>
      </c>
      <c r="CK1193" s="62" t="n">
        <f aca="false">N(M1193)+N(N1193)</f>
        <v>15</v>
      </c>
      <c r="CL1193" s="62" t="n">
        <f aca="false">N(M1193)</f>
        <v>0</v>
      </c>
      <c r="CM1193" s="62" t="n">
        <f aca="false">N(N1193)</f>
        <v>15</v>
      </c>
      <c r="CN1193" s="62" t="n">
        <f aca="false">ROUNDUP(H1193/BZ1193,0)</f>
        <v>2</v>
      </c>
      <c r="CO1193" s="62" t="n">
        <f aca="false">ROUNDUP(CJ1193/BZ1193,0)</f>
        <v>0</v>
      </c>
      <c r="CP1193" s="65" t="n">
        <f aca="false">IF(CA1193=1,0,IFERROR(VLOOKUP(BY1193,'Gebinde-Kategorie'!$A$5:$N$45,5,0)+0,0))</f>
        <v>21</v>
      </c>
      <c r="CQ1193" s="65" t="n">
        <f aca="false">IFERROR(IF(OR(CF1193=1,CF1193=2,CF1193=3),N(INDEX(Parameter!$I$5:$I$7,CF1193)),0),0)</f>
        <v>0</v>
      </c>
      <c r="CR1193" s="64" t="n">
        <f aca="false">IF(AND(Parameter!$B$21="Ja",ISNUMBER(W1193),N(X1193)&gt;0),IFERROR(N(INDEX(Parameter!$L$5:$L$7,W1193))*INDEX(Parameter!$E$5:$E$7,W1193)*X1193/SUMIFS($X$7:$X$1843,$W$7:$W$1843,W1193),0),0)</f>
        <v>0</v>
      </c>
      <c r="CS1193" s="62" t="n">
        <f aca="false">IF(AND(OR(CG1193="L1",CG1193="L23",CG1193="LIFT"),H1193&gt;0),CC1193*IF(CR1193&gt;0,CR1193*MAX(1,H1193/X1193),IF(CA1193=1,CE1193,IF(R1193&gt;0,CN1193/R1193,0))/MAX(0.1,N(Parameter!$M$21))),"")</f>
        <v>18.8461538461538</v>
      </c>
      <c r="CT1193" s="64" t="n">
        <f aca="false">IF(CS1193="","",J1193/H1193)</f>
        <v>2.16666666666667</v>
      </c>
      <c r="CU1193" s="62" t="n">
        <f aca="false">IF(CS1193="","",H1193*G1193)</f>
        <v>479.22</v>
      </c>
      <c r="CV1193" s="63" t="n">
        <f aca="false">IF(CS1193="","",(CL1193+ROUNDUP(CL1193+MAX(CM1193,2*(J1193/MAX(0.1,N(Einkauf!$C$6))-CL1193)),0))/2)</f>
        <v>7.5</v>
      </c>
      <c r="CW1193" s="62" t="n">
        <f aca="false">IF(CS1193="","",MAX(0,H1193-CV1193)*G1193)</f>
        <v>0</v>
      </c>
      <c r="CX1193" s="62" t="n">
        <f aca="false">IF(CS1193="","",CS1193*MAX(0,1-CV1193/H1193))</f>
        <v>0</v>
      </c>
      <c r="CY1193" s="64" t="n">
        <f aca="false">IF(CS1193="","",PERCENTRANK($CS$7:$CS$1843,CS1193)+PERCENTRANK($CU$7:$CU$1843,CU1193)+1-PERCENTRANK($CT$7:$CT$1843,CT1193))</f>
        <v>1.449</v>
      </c>
      <c r="CZ1193" s="72" t="n">
        <f aca="false">IF(CS1193="","",CHOOSE(MATCH(Einkauf!$C$5,Parameter!$G$23:$G$27,0),CY1193,CS1193,CU1193,-CT1193,CW1193)+ROW()/1000000000)</f>
        <v>1.449001193</v>
      </c>
    </row>
    <row r="1194" customFormat="false" ht="15" hidden="false" customHeight="false" outlineLevel="0" collapsed="false">
      <c r="A1194" s="60" t="s">
        <v>2190</v>
      </c>
      <c r="B1194" s="60" t="s">
        <v>1984</v>
      </c>
      <c r="C1194" s="60" t="s">
        <v>206</v>
      </c>
      <c r="D1194" s="60" t="s">
        <v>226</v>
      </c>
      <c r="E1194" s="60"/>
      <c r="F1194" s="60" t="s">
        <v>260</v>
      </c>
      <c r="G1194" s="61" t="n">
        <v>40.33</v>
      </c>
      <c r="H1194" s="62" t="n">
        <f aca="false">MAX(0,IF(AND(Parameter!$B$21="Ja",ISNUMBER(Y1194)),Y1194,IF(Parameter!$B$20="Jahresanfang 2025 + Export",BS1194+BR1194,BR1194)))</f>
        <v>18</v>
      </c>
      <c r="I1194" s="62" t="n">
        <f aca="false">H1194*G1194</f>
        <v>725.94</v>
      </c>
      <c r="J1194" s="62" t="n">
        <f aca="false">BU1194*Parameter!$B$18</f>
        <v>0</v>
      </c>
      <c r="K1194" s="63" t="n">
        <v>23.5</v>
      </c>
      <c r="L1194" s="64" t="n">
        <v>0</v>
      </c>
      <c r="M1194" s="62" t="n">
        <v>0</v>
      </c>
      <c r="N1194" s="62" t="n">
        <v>1</v>
      </c>
      <c r="O1194" s="65" t="n">
        <v>14</v>
      </c>
      <c r="P1194" s="60" t="s">
        <v>468</v>
      </c>
      <c r="Q1194" s="62" t="n">
        <v>20</v>
      </c>
      <c r="R1194" s="65" t="n">
        <f aca="false">IF(CA1194=1,0,IFERROR(VLOOKUP(BY1194,'Gebinde-Kategorie'!$A$5:$N$45,13,0)+0,0))</f>
        <v>140</v>
      </c>
      <c r="S1194" s="66"/>
      <c r="T1194" s="67"/>
      <c r="U1194" s="67"/>
      <c r="V1194" s="67"/>
      <c r="W1194" s="60"/>
      <c r="X1194" s="62"/>
      <c r="Y1194" s="62"/>
      <c r="Z1194" s="60" t="n">
        <v>3</v>
      </c>
      <c r="AA1194" s="60" t="n">
        <f aca="false">IF(A1194="","",IF(AND(Parameter!$B$21="Ja",ISNUMBER(W1194)),W1194,IF(AND(Parameter!$E$27="Ja",ISNUMBER(Z1194),CD1194&lt;&gt;"Nein"),Z1194,IF(CD1194="2+3",IF(ISNUMBER(SEARCH("grosser Artikel",BV1194)),2,IFERROR(VLOOKUP(BY1194,Parameter!$F$35:$G$64,2,0),2)),IF(OR(CD1194="Nein",CD1194=""),"-",CD1194)))))</f>
        <v>3</v>
      </c>
      <c r="AB1194" s="67"/>
      <c r="AC1194" s="68"/>
      <c r="AD1194" s="62" t="n">
        <f aca="false">AW1194</f>
        <v>1</v>
      </c>
      <c r="AE1194" s="62" t="n">
        <f aca="false">MAX(AW1194,H1194)</f>
        <v>18</v>
      </c>
      <c r="AF1194" s="69"/>
      <c r="AG1194" s="62" t="n">
        <f aca="false">IF(LEFT(Cockpit!$C$5,1)="A",H1194,IF(Parameter!$E$30="MAX-Bestand",IF(CI1194=1,CJ1194,IF(LEFT(Cockpit!$C$5,1)="B",AM1194,MAX(AM1194,H1194))),ROUNDUP(AK1194,0)))</f>
        <v>18</v>
      </c>
      <c r="AH1194" s="62" t="n">
        <f aca="false">IF(CA1194=1,0,ROUNDUP(AG1194/BZ1194,0))</f>
        <v>1</v>
      </c>
      <c r="AI1194" s="64" t="n">
        <f aca="false">IF(CR1194&gt;0,CR1194*MAX(1,AG1194/X1194),IF(CA1194=1,IF(AG1194&lt;=0,0,CE1194*MAX(1,IF(H1194&gt;0,AG1194/H1194,1))),IF(R1194&gt;0,AH1194/R1194,0))/MAX(0.1,N(Parameter!$M$21)))</f>
        <v>0.00714285714285714</v>
      </c>
      <c r="AJ1194" s="62" t="n">
        <f aca="false">AI1194*CC1194</f>
        <v>1.10714285714286</v>
      </c>
      <c r="AK1194" s="63" t="n">
        <f aca="false">IF(LEFT(Cockpit!$C$5,1)="A",H1194,IF(CI1194=1,(CL1194+CJ1194)/2,IF(LEFT(Cockpit!$C$5,1)="B",(CL1194+AM1194)/2,MAX((CL1194+AM1194)/2,H1194))))</f>
        <v>18</v>
      </c>
      <c r="AL1194" s="62" t="n">
        <f aca="false">AK1194*G1194</f>
        <v>725.94</v>
      </c>
      <c r="AM1194" s="62" t="n">
        <f aca="false">ROUNDUP(CL1194+MAX(CM1194,2*(J1194/IF(CH1194&gt;0,CH1194,MAX(0.1,N(Cockpit!$C$6)))-CL1194)),0)</f>
        <v>1</v>
      </c>
      <c r="AN1194" s="63" t="n">
        <f aca="false">IF(AJ1194&gt;0,J1194/AJ1194,-1)</f>
        <v>0</v>
      </c>
      <c r="AO1194" s="63" t="n">
        <f aca="false">IF(AND(OR(CG1194="L1",CG1194="L23",CG1194="LIFT"),AJ1194&gt;0),SUMIFS($AJ$7:$AJ$1843,$CG$7:$CG$1843,CG1194,$AN$7:$AN$1843,"&gt;"&amp;AN1194)+SUMIFS($AJ$7:$AJ$1843,$CG$7:$CG$1843,CG1194,$AN$7:$AN$1843,AN1194,$BX$7:$BX$1843,"&lt;="&amp;BX1194),"")</f>
        <v>29408.5835014797</v>
      </c>
      <c r="AP1194" s="70" t="n">
        <f aca="false">IF(AO1194="",0,MAX(0,MIN(1,(IF(CG1194="L1",Parameter!$H$5,IF(CG1194="L23",Parameter!$H$6+Parameter!$H$7,Parameter!$H$5+Parameter!$H$6+Parameter!$H$7))-(AO1194-AJ1194))/AJ1194)))</f>
        <v>1</v>
      </c>
      <c r="AQ1194" s="62" t="n">
        <f aca="false">IF(LEFT(Cockpit!$I$5,1)="A",H1194,IF(Parameter!$E$30="MAX-Bestand",IF(CI1194=1,CJ1194,IF(LEFT(Cockpit!$I$5,1)="B",AW1194,MAX(AW1194,H1194))),ROUNDUP(AU1194,0)))</f>
        <v>18</v>
      </c>
      <c r="AR1194" s="62" t="n">
        <f aca="false">IF(CA1194=1,0,ROUNDUP(AQ1194/BZ1194,0))</f>
        <v>1</v>
      </c>
      <c r="AS1194" s="64" t="n">
        <f aca="false">IF(CR1194&gt;0,CR1194*MAX(1,AQ1194/X1194),IF(CA1194=1,IF(AQ1194&lt;=0,0,CE1194*MAX(1,IF(H1194&gt;0,AQ1194/H1194,1))),IF(R1194&gt;0,AR1194/R1194,0))/MAX(0.1,N(Parameter!$M$21)))</f>
        <v>0.00714285714285714</v>
      </c>
      <c r="AT1194" s="62" t="n">
        <f aca="false">AS1194*CC1194</f>
        <v>1.10714285714286</v>
      </c>
      <c r="AU1194" s="63" t="n">
        <f aca="false">IF(LEFT(Cockpit!$I$5,1)="A",H1194,IF(CI1194=1,(CL1194+CJ1194)/2,IF(LEFT(Cockpit!$I$5,1)="B",(CL1194+AW1194)/2,MAX((CL1194+AW1194)/2,H1194))))</f>
        <v>18</v>
      </c>
      <c r="AV1194" s="62" t="n">
        <f aca="false">AU1194*G1194</f>
        <v>725.94</v>
      </c>
      <c r="AW1194" s="62" t="n">
        <f aca="false">ROUNDUP(CL1194+MAX(CM1194,2*(J1194/IF(CH1194&gt;0,CH1194,MAX(0.1,N(Cockpit!$I$6)))-CL1194)),0)</f>
        <v>1</v>
      </c>
      <c r="AX1194" s="63" t="n">
        <f aca="false">IF(AT1194&gt;0,J1194/AT1194,-1)</f>
        <v>0</v>
      </c>
      <c r="AY1194" s="63" t="n">
        <f aca="false">IF(AND(OR(CG1194="L1",CG1194="L23",CG1194="LIFT"),AT1194&gt;0),SUMIFS($AT$7:$AT$1843,$CG$7:$CG$1843,CG1194,$AX$7:$AX$1843,"&gt;"&amp;AX1194)+SUMIFS($AT$7:$AT$1843,$CG$7:$CG$1843,CG1194,$AX$7:$AX$1843,AX1194,$BX$7:$BX$1843,"&lt;="&amp;BX1194),"")</f>
        <v>35211.4363553114</v>
      </c>
      <c r="AZ1194" s="70" t="n">
        <f aca="false">IF(AY1194="",0,MAX(0,MIN(1,(IF(CG1194="L1",Parameter!$H$5,IF(CG1194="L23",Parameter!$H$6+Parameter!$H$7,Parameter!$H$5+Parameter!$H$6+Parameter!$H$7))-(AY1194-AT1194))/AT1194)))</f>
        <v>1</v>
      </c>
      <c r="BA1194" s="62" t="n">
        <f aca="false">IF(LEFT(Cockpit!$O$5,1)="A",H1194,IF(Parameter!$E$30="MAX-Bestand",IF(CI1194=1,CJ1194,IF(LEFT(Cockpit!$O$5,1)="B",BG1194,MAX(BG1194,H1194))),ROUNDUP(BE1194,0)))</f>
        <v>1</v>
      </c>
      <c r="BB1194" s="62" t="n">
        <f aca="false">IF(CA1194=1,0,ROUNDUP(BA1194/BZ1194,0))</f>
        <v>1</v>
      </c>
      <c r="BC1194" s="64" t="n">
        <f aca="false">IF(CR1194&gt;0,CR1194*MAX(1,BA1194/X1194),IF(CA1194=1,IF(BA1194&lt;=0,0,CE1194*MAX(1,IF(H1194&gt;0,BA1194/H1194,1))),IF(R1194&gt;0,BB1194/R1194,0))/MAX(0.1,N(Parameter!$M$21)))</f>
        <v>0.00714285714285714</v>
      </c>
      <c r="BD1194" s="62" t="n">
        <f aca="false">BC1194*CC1194</f>
        <v>1.10714285714286</v>
      </c>
      <c r="BE1194" s="63" t="n">
        <f aca="false">IF(LEFT(Cockpit!$O$5,1)="A",H1194,IF(CI1194=1,(CL1194+CJ1194)/2,IF(LEFT(Cockpit!$O$5,1)="B",(CL1194+BG1194)/2,MAX((CL1194+BG1194)/2,H1194))))</f>
        <v>0.5</v>
      </c>
      <c r="BF1194" s="62" t="n">
        <f aca="false">BE1194*G1194</f>
        <v>20.165</v>
      </c>
      <c r="BG1194" s="62" t="n">
        <f aca="false">ROUNDUP(CL1194+MAX(CM1194,2*(J1194/IF(CH1194&gt;0,CH1194,MAX(0.1,N(Cockpit!$O$6)))-CL1194)),0)</f>
        <v>1</v>
      </c>
      <c r="BH1194" s="63" t="n">
        <f aca="false">IF(BD1194&gt;0,J1194/BD1194,-1)</f>
        <v>0</v>
      </c>
      <c r="BI1194" s="63" t="n">
        <f aca="false">IF(AND(OR(CG1194="L1",CG1194="L23",CG1194="LIFT"),BD1194&gt;0),SUMIFS($BD$7:$BD$1843,$CG$7:$CG$1843,CG1194,$BH$7:$BH$1843,"&gt;"&amp;BH1194)+SUMIFS($BD$7:$BD$1843,$CG$7:$CG$1843,CG1194,$BH$7:$BH$1843,BH1194,$BX$7:$BX$1843,"&lt;="&amp;BX1194),"")</f>
        <v>29196.7430154591</v>
      </c>
      <c r="BJ1194" s="70" t="n">
        <f aca="false">IF(BI1194="",0,MAX(0,MIN(1,(IF(CG1194="L1",Parameter!$H$5,IF(CG1194="L23",Parameter!$H$6+Parameter!$H$7,Parameter!$H$5+Parameter!$H$6+Parameter!$H$7))-(BI1194-BD1194))/BD1194)))</f>
        <v>1</v>
      </c>
      <c r="BK1194" s="60" t="str">
        <f aca="false">IF(AJ1194&lt;=0,"",IF(CG1194="Aussen","Aussenlager",IF(CG1194="-","Nicht im Lift",IF(AP1194&gt;=1,"Lift",IF(AP1194&lt;=0,"Aussenlager","teilweise")))))</f>
        <v>Lift</v>
      </c>
      <c r="BL1194" s="60" t="str">
        <f aca="false">IF(AT1194&lt;=0,"",IF(CG1194="Aussen","Aussenlager",IF(CG1194="-","Nicht im Lift",IF(AZ1194&gt;=1,"Lift",IF(AZ1194&lt;=0,"Aussenlager","teilweise")))))</f>
        <v>Lift</v>
      </c>
      <c r="BM1194" s="60" t="str">
        <f aca="false">IF(BD1194&lt;=0,"",IF(CG1194="Aussen","Aussenlager",IF(CG1194="-","Nicht im Lift",IF(BJ1194&gt;=1,"Lift",IF(BJ1194&lt;=0,"Aussenlager","teilweise")))))</f>
        <v>Lift</v>
      </c>
      <c r="BN1194" s="60" t="str">
        <f aca="false">IF(A1194="","",IF(BW1194=1,"Neu; ","")&amp;IF(AND(BW1194=0,BR1194&lt;0),"negativer Bestand (Export "&amp;BR1194&amp;"); ","")&amp;IF(J1194&lt;=0,"Kein Verbrauch; ","")&amp;IF(CR1194&gt;0,"Lift "&amp;W1194&amp;" lt. Liftbericht (Fach "&amp;X1194&amp;" Stk); ",IF(CB1194=1,"Gebinde geschätzt ("&amp;T1194&amp;"); ",IF(CA1194=1,"Lose – Tablare geschätzt; ","")))&amp;IF(H1194&gt;AW1194,"Überbestand "&amp;ROUND(H1194-AW1194,0)&amp;" Stk / CHF "&amp;ROUND((H1194-AW1194)*G1194,0)&amp;"; ","")&amp;IF(AND(CI1194=1,CJ1194&lt;CK1194),"MAX &lt; MB+LG; ","")&amp;IF(AND(CQ1194&gt;0,CP1194*10&gt;CQ1194),"zu hoch für Tablar; ","")&amp;IF(AND(BW1194=0,OR(CI1194=1,AB1194&lt;&gt;"",U1194&lt;&gt;"",V1194&lt;&gt;"",AC1194&lt;&gt;"")),"manuell übersteuert; ","")&amp;IF(AND(CA1194=0,R1194=0),"Gebinde unbekannt / Stellmass fehlt; ","")&amp;IF(AND(CA1194=0,N(V1194)&lt;=0,N(Q1194)&lt;=0),"Menge pro Gebinde fehlt (Ist = 1 Gebinde); ","")&amp;BV1194)</f>
        <v>negativer Bestand (Export -11); Kein Verbrauch; Überbestand 17 Stk / CHF 686; Verb.Lager</v>
      </c>
      <c r="BO1194" s="60"/>
      <c r="BP1194" s="60"/>
      <c r="BQ1194" s="67"/>
      <c r="BR1194" s="62" t="n">
        <v>-11</v>
      </c>
      <c r="BS1194" s="62" t="n">
        <v>29</v>
      </c>
      <c r="BT1194" s="61" t="n">
        <v>-443.63</v>
      </c>
      <c r="BU1194" s="62" t="n">
        <v>0</v>
      </c>
      <c r="BV1194" s="60" t="s">
        <v>1072</v>
      </c>
      <c r="BW1194" s="65" t="n">
        <v>0</v>
      </c>
      <c r="BX1194" s="65" t="n">
        <v>1194</v>
      </c>
      <c r="BY1194" s="60" t="str">
        <f aca="false">IF(U1194&lt;&gt;"",UPPER(TRIM(U1194)),IF(CB1194=1,UPPER(VLOOKUP(T1194,Parameter!$I$27:$K$29,2,0)),IF(P1194="","LOSE",P1194)))</f>
        <v>S22</v>
      </c>
      <c r="BZ1194" s="62" t="n">
        <f aca="false">IF(BY1194="LOSE",1,IF(N(V1194)&gt;0,V1194,IF(CB1194=1,MAX(1,N(VLOOKUP(T1194,Parameter!$I$27:$K$29,3,0)),H1194,N(N1194)),IF(N(Q1194)&gt;0,Q1194,MAX(1,H1194)))))</f>
        <v>20</v>
      </c>
      <c r="CA1194" s="65" t="n">
        <f aca="false">IF(BY1194="LOSE",1,0)</f>
        <v>0</v>
      </c>
      <c r="CB1194" s="65" t="n">
        <f aca="false">IF(AND(U1194="",OR(P1194="",P1194="LOSE"),T1194&lt;&gt;"",N(S1194)&lt;=0,ISNUMBER(MATCH(T1194,Parameter!$I$27:$I$29,0))),1,0)</f>
        <v>0</v>
      </c>
      <c r="CC1194" s="65" t="n">
        <f aca="false">IF(CR1194&gt;0,INDEX(Parameter!$H$5:$H$7,W1194)/INDEX(Parameter!$E$5:$E$7,W1194),IF(AND(CA1194=0,N(IFERROR(VLOOKUP(BY1194,'Gebinde-Kategorie'!$A$5:$N$45,14,0),0))&gt;0),VLOOKUP(BY1194,'Gebinde-Kategorie'!$A$5:$N$45,14,0)*10+Parameter!$M$23,Parameter!$M$24))</f>
        <v>155</v>
      </c>
      <c r="CD1194" s="60" t="str">
        <f aca="false">IF(AND(Parameter!$B$19="Ja",E1194&lt;&gt;"",ISNUMBER(MATCH(E1194,Parameter!$I$35:$I$52,0))),VLOOKUP(E1194,Parameter!$I$35:$J$52,2,0),IFERROR(VLOOKUP(D1194,Parameter!$A$35:$C$64,2,0),"Nein"))</f>
        <v>2+3</v>
      </c>
      <c r="CE1194" s="64" t="n">
        <f aca="false">IF(CA1194=0,0,IF(N(S1194)&gt;0,S1194,IFERROR(VLOOKUP(D1194,Parameter!$A$35:$C$64,3,0)+0,0)))</f>
        <v>0</v>
      </c>
      <c r="CF1194" s="60" t="n">
        <f aca="false">IF(AB1194&lt;&gt;"",AB1194,AA1194)</f>
        <v>3</v>
      </c>
      <c r="CG1194" s="60" t="str">
        <f aca="false">IF(OR(CF1194=1,CF1194=2,CF1194=3),IF(Parameter!$E$27="Ja","LIFT",IF(CF1194=1,"L1","L23")),IF(CF1194="Aussen","Aussen","-"))</f>
        <v>LIFT</v>
      </c>
      <c r="CH1194" s="71" t="n">
        <f aca="false">IF(N(AC1194)&gt;0,AC1194,0)</f>
        <v>0</v>
      </c>
      <c r="CI1194" s="65" t="n">
        <f aca="false">IF(ISNUMBER(AF1194),1,0)</f>
        <v>0</v>
      </c>
      <c r="CJ1194" s="62" t="n">
        <f aca="false">N(AF1194)</f>
        <v>0</v>
      </c>
      <c r="CK1194" s="62" t="n">
        <f aca="false">N(M1194)+N(N1194)</f>
        <v>1</v>
      </c>
      <c r="CL1194" s="62" t="n">
        <f aca="false">N(M1194)</f>
        <v>0</v>
      </c>
      <c r="CM1194" s="62" t="n">
        <f aca="false">N(N1194)</f>
        <v>1</v>
      </c>
      <c r="CN1194" s="62" t="n">
        <f aca="false">ROUNDUP(H1194/BZ1194,0)</f>
        <v>1</v>
      </c>
      <c r="CO1194" s="62" t="n">
        <f aca="false">ROUNDUP(CJ1194/BZ1194,0)</f>
        <v>0</v>
      </c>
      <c r="CP1194" s="65" t="n">
        <f aca="false">IF(CA1194=1,0,IFERROR(VLOOKUP(BY1194,'Gebinde-Kategorie'!$A$5:$N$45,5,0)+0,0))</f>
        <v>8</v>
      </c>
      <c r="CQ1194" s="65" t="n">
        <f aca="false">IFERROR(IF(OR(CF1194=1,CF1194=2,CF1194=3),N(INDEX(Parameter!$I$5:$I$7,CF1194)),0),0)</f>
        <v>0</v>
      </c>
      <c r="CR1194" s="64" t="n">
        <f aca="false">IF(AND(Parameter!$B$21="Ja",ISNUMBER(W1194),N(X1194)&gt;0),IFERROR(N(INDEX(Parameter!$L$5:$L$7,W1194))*INDEX(Parameter!$E$5:$E$7,W1194)*X1194/SUMIFS($X$7:$X$1843,$W$7:$W$1843,W1194),0),0)</f>
        <v>0</v>
      </c>
      <c r="CS1194" s="62" t="n">
        <f aca="false">IF(AND(OR(CG1194="L1",CG1194="L23",CG1194="LIFT"),H1194&gt;0),CC1194*IF(CR1194&gt;0,CR1194*MAX(1,H1194/X1194),IF(CA1194=1,CE1194,IF(R1194&gt;0,CN1194/R1194,0))/MAX(0.1,N(Parameter!$M$21))),"")</f>
        <v>1.10714285714286</v>
      </c>
      <c r="CT1194" s="64" t="n">
        <f aca="false">IF(CS1194="","",J1194/H1194)</f>
        <v>0</v>
      </c>
      <c r="CU1194" s="62" t="n">
        <f aca="false">IF(CS1194="","",H1194*G1194)</f>
        <v>725.94</v>
      </c>
      <c r="CV1194" s="63" t="n">
        <f aca="false">IF(CS1194="","",(CL1194+ROUNDUP(CL1194+MAX(CM1194,2*(J1194/MAX(0.1,N(Einkauf!$C$6))-CL1194)),0))/2)</f>
        <v>0.5</v>
      </c>
      <c r="CW1194" s="62" t="n">
        <f aca="false">IF(CS1194="","",MAX(0,H1194-CV1194)*G1194)</f>
        <v>705.775</v>
      </c>
      <c r="CX1194" s="62" t="n">
        <f aca="false">IF(CS1194="","",CS1194*MAX(0,1-CV1194/H1194))</f>
        <v>1.07638888888889</v>
      </c>
      <c r="CY1194" s="64" t="n">
        <f aca="false">IF(CS1194="","",PERCENTRANK($CS$7:$CS$1843,CS1194)+PERCENTRANK($CU$7:$CU$1843,CU1194)+1-PERCENTRANK($CT$7:$CT$1843,CT1194))</f>
        <v>1.6414</v>
      </c>
      <c r="CZ1194" s="72" t="n">
        <f aca="false">IF(CS1194="","",CHOOSE(MATCH(Einkauf!$C$5,Parameter!$G$23:$G$27,0),CY1194,CS1194,CU1194,-CT1194,CW1194)+ROW()/1000000000)</f>
        <v>1.641401194</v>
      </c>
    </row>
    <row r="1195" customFormat="false" ht="15" hidden="false" customHeight="false" outlineLevel="0" collapsed="false">
      <c r="A1195" s="60" t="s">
        <v>2191</v>
      </c>
      <c r="B1195" s="60" t="s">
        <v>2192</v>
      </c>
      <c r="C1195" s="60" t="s">
        <v>209</v>
      </c>
      <c r="D1195" s="60" t="s">
        <v>215</v>
      </c>
      <c r="E1195" s="60" t="s">
        <v>227</v>
      </c>
      <c r="F1195" s="60" t="s">
        <v>260</v>
      </c>
      <c r="G1195" s="61" t="n">
        <v>225.57</v>
      </c>
      <c r="H1195" s="62" t="n">
        <f aca="false">MAX(0,IF(AND(Parameter!$B$21="Ja",ISNUMBER(Y1195)),Y1195,IF(Parameter!$B$20="Jahresanfang 2025 + Export",BS1195+BR1195,BR1195)))</f>
        <v>13</v>
      </c>
      <c r="I1195" s="62" t="n">
        <f aca="false">H1195*G1195</f>
        <v>2932.41</v>
      </c>
      <c r="J1195" s="62" t="n">
        <f aca="false">BU1195*Parameter!$B$18</f>
        <v>2</v>
      </c>
      <c r="K1195" s="63" t="n">
        <v>14</v>
      </c>
      <c r="L1195" s="64" t="n">
        <v>0.142857142857143</v>
      </c>
      <c r="M1195" s="62" t="n">
        <v>0</v>
      </c>
      <c r="N1195" s="62" t="n">
        <v>1</v>
      </c>
      <c r="O1195" s="65" t="n">
        <v>77</v>
      </c>
      <c r="P1195" s="60" t="s">
        <v>335</v>
      </c>
      <c r="Q1195" s="62" t="n">
        <v>13</v>
      </c>
      <c r="R1195" s="65" t="n">
        <f aca="false">IF(CA1195=1,0,IFERROR(VLOOKUP(BY1195,'Gebinde-Kategorie'!$A$5:$N$45,13,0)+0,0))</f>
        <v>12</v>
      </c>
      <c r="S1195" s="66"/>
      <c r="T1195" s="67"/>
      <c r="U1195" s="67"/>
      <c r="V1195" s="67"/>
      <c r="W1195" s="60"/>
      <c r="X1195" s="62"/>
      <c r="Y1195" s="62"/>
      <c r="Z1195" s="60" t="n">
        <v>3</v>
      </c>
      <c r="AA1195" s="60" t="n">
        <f aca="false">IF(A1195="","",IF(AND(Parameter!$B$21="Ja",ISNUMBER(W1195)),W1195,IF(AND(Parameter!$E$27="Ja",ISNUMBER(Z1195),CD1195&lt;&gt;"Nein"),Z1195,IF(CD1195="2+3",IF(ISNUMBER(SEARCH("grosser Artikel",BV1195)),2,IFERROR(VLOOKUP(BY1195,Parameter!$F$35:$G$64,2,0),2)),IF(OR(CD1195="Nein",CD1195=""),"-",CD1195)))))</f>
        <v>3</v>
      </c>
      <c r="AB1195" s="67"/>
      <c r="AC1195" s="68"/>
      <c r="AD1195" s="62" t="n">
        <f aca="false">AW1195</f>
        <v>2</v>
      </c>
      <c r="AE1195" s="62" t="n">
        <f aca="false">MAX(AW1195,H1195)</f>
        <v>13</v>
      </c>
      <c r="AF1195" s="69"/>
      <c r="AG1195" s="62" t="n">
        <f aca="false">IF(LEFT(Cockpit!$C$5,1)="A",H1195,IF(Parameter!$E$30="MAX-Bestand",IF(CI1195=1,CJ1195,IF(LEFT(Cockpit!$C$5,1)="B",AM1195,MAX(AM1195,H1195))),ROUNDUP(AK1195,0)))</f>
        <v>13</v>
      </c>
      <c r="AH1195" s="62" t="n">
        <f aca="false">IF(CA1195=1,0,ROUNDUP(AG1195/BZ1195,0))</f>
        <v>1</v>
      </c>
      <c r="AI1195" s="64" t="n">
        <f aca="false">IF(CR1195&gt;0,CR1195*MAX(1,AG1195/X1195),IF(CA1195=1,IF(AG1195&lt;=0,0,CE1195*MAX(1,IF(H1195&gt;0,AG1195/H1195,1))),IF(R1195&gt;0,AH1195/R1195,0))/MAX(0.1,N(Parameter!$M$21)))</f>
        <v>0.0833333333333333</v>
      </c>
      <c r="AJ1195" s="62" t="n">
        <f aca="false">AI1195*CC1195</f>
        <v>20.4166666666667</v>
      </c>
      <c r="AK1195" s="63" t="n">
        <f aca="false">IF(LEFT(Cockpit!$C$5,1)="A",H1195,IF(CI1195=1,(CL1195+CJ1195)/2,IF(LEFT(Cockpit!$C$5,1)="B",(CL1195+AM1195)/2,MAX((CL1195+AM1195)/2,H1195))))</f>
        <v>13</v>
      </c>
      <c r="AL1195" s="62" t="n">
        <f aca="false">AK1195*G1195</f>
        <v>2932.41</v>
      </c>
      <c r="AM1195" s="62" t="n">
        <f aca="false">ROUNDUP(CL1195+MAX(CM1195,2*(J1195/IF(CH1195&gt;0,CH1195,MAX(0.1,N(Cockpit!$C$6)))-CL1195)),0)</f>
        <v>2</v>
      </c>
      <c r="AN1195" s="63" t="n">
        <f aca="false">IF(AJ1195&gt;0,J1195/AJ1195,-1)</f>
        <v>0.0979591836734694</v>
      </c>
      <c r="AO1195" s="63" t="n">
        <f aca="false">IF(AND(OR(CG1195="L1",CG1195="L23",CG1195="LIFT"),AJ1195&gt;0),SUMIFS($AJ$7:$AJ$1843,$CG$7:$CG$1843,CG1195,$AN$7:$AN$1843,"&gt;"&amp;AN1195)+SUMIFS($AJ$7:$AJ$1843,$CG$7:$CG$1843,CG1195,$AN$7:$AN$1843,AN1195,$BX$7:$BX$1843,"&lt;="&amp;BX1195),"")</f>
        <v>16179.6688939591</v>
      </c>
      <c r="AP1195" s="70" t="n">
        <f aca="false">IF(AO1195="",0,MAX(0,MIN(1,(IF(CG1195="L1",Parameter!$H$5,IF(CG1195="L23",Parameter!$H$6+Parameter!$H$7,Parameter!$H$5+Parameter!$H$6+Parameter!$H$7))-(AO1195-AJ1195))/AJ1195)))</f>
        <v>1</v>
      </c>
      <c r="AQ1195" s="62" t="n">
        <f aca="false">IF(LEFT(Cockpit!$I$5,1)="A",H1195,IF(Parameter!$E$30="MAX-Bestand",IF(CI1195=1,CJ1195,IF(LEFT(Cockpit!$I$5,1)="B",AW1195,MAX(AW1195,H1195))),ROUNDUP(AU1195,0)))</f>
        <v>13</v>
      </c>
      <c r="AR1195" s="62" t="n">
        <f aca="false">IF(CA1195=1,0,ROUNDUP(AQ1195/BZ1195,0))</f>
        <v>1</v>
      </c>
      <c r="AS1195" s="64" t="n">
        <f aca="false">IF(CR1195&gt;0,CR1195*MAX(1,AQ1195/X1195),IF(CA1195=1,IF(AQ1195&lt;=0,0,CE1195*MAX(1,IF(H1195&gt;0,AQ1195/H1195,1))),IF(R1195&gt;0,AR1195/R1195,0))/MAX(0.1,N(Parameter!$M$21)))</f>
        <v>0.0833333333333333</v>
      </c>
      <c r="AT1195" s="62" t="n">
        <f aca="false">AS1195*CC1195</f>
        <v>20.4166666666667</v>
      </c>
      <c r="AU1195" s="63" t="n">
        <f aca="false">IF(LEFT(Cockpit!$I$5,1)="A",H1195,IF(CI1195=1,(CL1195+CJ1195)/2,IF(LEFT(Cockpit!$I$5,1)="B",(CL1195+AW1195)/2,MAX((CL1195+AW1195)/2,H1195))))</f>
        <v>13</v>
      </c>
      <c r="AV1195" s="62" t="n">
        <f aca="false">AU1195*G1195</f>
        <v>2932.41</v>
      </c>
      <c r="AW1195" s="62" t="n">
        <f aca="false">ROUNDUP(CL1195+MAX(CM1195,2*(J1195/IF(CH1195&gt;0,CH1195,MAX(0.1,N(Cockpit!$I$6)))-CL1195)),0)</f>
        <v>2</v>
      </c>
      <c r="AX1195" s="63" t="n">
        <f aca="false">IF(AT1195&gt;0,J1195/AT1195,-1)</f>
        <v>0.0979591836734694</v>
      </c>
      <c r="AY1195" s="63" t="n">
        <f aca="false">IF(AND(OR(CG1195="L1",CG1195="L23",CG1195="LIFT"),AT1195&gt;0),SUMIFS($AT$7:$AT$1843,$CG$7:$CG$1843,CG1195,$AX$7:$AX$1843,"&gt;"&amp;AX1195)+SUMIFS($AT$7:$AT$1843,$CG$7:$CG$1843,CG1195,$AX$7:$AX$1843,AX1195,$BX$7:$BX$1843,"&lt;="&amp;BX1195),"")</f>
        <v>21202.8175353366</v>
      </c>
      <c r="AZ1195" s="70" t="n">
        <f aca="false">IF(AY1195="",0,MAX(0,MIN(1,(IF(CG1195="L1",Parameter!$H$5,IF(CG1195="L23",Parameter!$H$6+Parameter!$H$7,Parameter!$H$5+Parameter!$H$6+Parameter!$H$7))-(AY1195-AT1195))/AT1195)))</f>
        <v>1</v>
      </c>
      <c r="BA1195" s="62" t="n">
        <f aca="false">IF(LEFT(Cockpit!$O$5,1)="A",H1195,IF(Parameter!$E$30="MAX-Bestand",IF(CI1195=1,CJ1195,IF(LEFT(Cockpit!$O$5,1)="B",BG1195,MAX(BG1195,H1195))),ROUNDUP(BE1195,0)))</f>
        <v>1</v>
      </c>
      <c r="BB1195" s="62" t="n">
        <f aca="false">IF(CA1195=1,0,ROUNDUP(BA1195/BZ1195,0))</f>
        <v>1</v>
      </c>
      <c r="BC1195" s="64" t="n">
        <f aca="false">IF(CR1195&gt;0,CR1195*MAX(1,BA1195/X1195),IF(CA1195=1,IF(BA1195&lt;=0,0,CE1195*MAX(1,IF(H1195&gt;0,BA1195/H1195,1))),IF(R1195&gt;0,BB1195/R1195,0))/MAX(0.1,N(Parameter!$M$21)))</f>
        <v>0.0833333333333333</v>
      </c>
      <c r="BD1195" s="62" t="n">
        <f aca="false">BC1195*CC1195</f>
        <v>20.4166666666667</v>
      </c>
      <c r="BE1195" s="63" t="n">
        <f aca="false">IF(LEFT(Cockpit!$O$5,1)="A",H1195,IF(CI1195=1,(CL1195+CJ1195)/2,IF(LEFT(Cockpit!$O$5,1)="B",(CL1195+BG1195)/2,MAX((CL1195+BG1195)/2,H1195))))</f>
        <v>0.5</v>
      </c>
      <c r="BF1195" s="62" t="n">
        <f aca="false">BE1195*G1195</f>
        <v>112.785</v>
      </c>
      <c r="BG1195" s="62" t="n">
        <f aca="false">ROUNDUP(CL1195+MAX(CM1195,2*(J1195/IF(CH1195&gt;0,CH1195,MAX(0.1,N(Cockpit!$O$6)))-CL1195)),0)</f>
        <v>1</v>
      </c>
      <c r="BH1195" s="63" t="n">
        <f aca="false">IF(BD1195&gt;0,J1195/BD1195,-1)</f>
        <v>0.0979591836734694</v>
      </c>
      <c r="BI1195" s="63" t="n">
        <f aca="false">IF(AND(OR(CG1195="L1",CG1195="L23",CG1195="LIFT"),BD1195&gt;0),SUMIFS($BD$7:$BD$1843,$CG$7:$CG$1843,CG1195,$BH$7:$BH$1843,"&gt;"&amp;BH1195)+SUMIFS($BD$7:$BD$1843,$CG$7:$CG$1843,CG1195,$BH$7:$BH$1843,BH1195,$BX$7:$BX$1843,"&lt;="&amp;BX1195),"")</f>
        <v>17755.296814532</v>
      </c>
      <c r="BJ1195" s="70" t="n">
        <f aca="false">IF(BI1195="",0,MAX(0,MIN(1,(IF(CG1195="L1",Parameter!$H$5,IF(CG1195="L23",Parameter!$H$6+Parameter!$H$7,Parameter!$H$5+Parameter!$H$6+Parameter!$H$7))-(BI1195-BD1195))/BD1195)))</f>
        <v>1</v>
      </c>
      <c r="BK1195" s="60" t="str">
        <f aca="false">IF(AJ1195&lt;=0,"",IF(CG1195="Aussen","Aussenlager",IF(CG1195="-","Nicht im Lift",IF(AP1195&gt;=1,"Lift",IF(AP1195&lt;=0,"Aussenlager","teilweise")))))</f>
        <v>Lift</v>
      </c>
      <c r="BL1195" s="60" t="str">
        <f aca="false">IF(AT1195&lt;=0,"",IF(CG1195="Aussen","Aussenlager",IF(CG1195="-","Nicht im Lift",IF(AZ1195&gt;=1,"Lift",IF(AZ1195&lt;=0,"Aussenlager","teilweise")))))</f>
        <v>Lift</v>
      </c>
      <c r="BM1195" s="60" t="str">
        <f aca="false">IF(BD1195&lt;=0,"",IF(CG1195="Aussen","Aussenlager",IF(CG1195="-","Nicht im Lift",IF(BJ1195&gt;=1,"Lift",IF(BJ1195&lt;=0,"Aussenlager","teilweise")))))</f>
        <v>Lift</v>
      </c>
      <c r="BN1195" s="60" t="str">
        <f aca="false">IF(A1195="","",IF(BW1195=1,"Neu; ","")&amp;IF(AND(BW1195=0,BR1195&lt;0),"negativer Bestand (Export "&amp;BR1195&amp;"); ","")&amp;IF(J1195&lt;=0,"Kein Verbrauch; ","")&amp;IF(CR1195&gt;0,"Lift "&amp;W1195&amp;" lt. Liftbericht (Fach "&amp;X1195&amp;" Stk); ",IF(CB1195=1,"Gebinde geschätzt ("&amp;T1195&amp;"); ",IF(CA1195=1,"Lose – Tablare geschätzt; ","")))&amp;IF(H1195&gt;AW1195,"Überbestand "&amp;ROUND(H1195-AW1195,0)&amp;" Stk / CHF "&amp;ROUND((H1195-AW1195)*G1195,0)&amp;"; ","")&amp;IF(AND(CI1195=1,CJ1195&lt;CK1195),"MAX &lt; MB+LG; ","")&amp;IF(AND(CQ1195&gt;0,CP1195*10&gt;CQ1195),"zu hoch für Tablar; ","")&amp;IF(AND(BW1195=0,OR(CI1195=1,AB1195&lt;&gt;"",U1195&lt;&gt;"",V1195&lt;&gt;"",AC1195&lt;&gt;"")),"manuell übersteuert; ","")&amp;IF(AND(CA1195=0,R1195=0),"Gebinde unbekannt / Stellmass fehlt; ","")&amp;IF(AND(CA1195=0,N(V1195)&lt;=0,N(Q1195)&lt;=0),"Menge pro Gebinde fehlt (Ist = 1 Gebinde); ","")&amp;BV1195)</f>
        <v>negativer Bestand (Export -2); Überbestand 11 Stk / CHF 2481; grosser Artikel &amp; nicht im KTL</v>
      </c>
      <c r="BO1195" s="60"/>
      <c r="BP1195" s="60"/>
      <c r="BQ1195" s="67"/>
      <c r="BR1195" s="62" t="n">
        <v>-2</v>
      </c>
      <c r="BS1195" s="62" t="n">
        <v>15</v>
      </c>
      <c r="BT1195" s="61" t="n">
        <v>-451.14</v>
      </c>
      <c r="BU1195" s="62" t="n">
        <v>2</v>
      </c>
      <c r="BV1195" s="60" t="s">
        <v>303</v>
      </c>
      <c r="BW1195" s="65" t="n">
        <v>0</v>
      </c>
      <c r="BX1195" s="65" t="n">
        <v>1195</v>
      </c>
      <c r="BY1195" s="60" t="str">
        <f aca="false">IF(U1195&lt;&gt;"",UPPER(TRIM(U1195)),IF(CB1195=1,UPPER(VLOOKUP(T1195,Parameter!$I$27:$K$29,2,0)),IF(P1195="","LOSE",P1195)))</f>
        <v>S62</v>
      </c>
      <c r="BZ1195" s="62" t="n">
        <f aca="false">IF(BY1195="LOSE",1,IF(N(V1195)&gt;0,V1195,IF(CB1195=1,MAX(1,N(VLOOKUP(T1195,Parameter!$I$27:$K$29,3,0)),H1195,N(N1195)),IF(N(Q1195)&gt;0,Q1195,MAX(1,H1195)))))</f>
        <v>13</v>
      </c>
      <c r="CA1195" s="65" t="n">
        <f aca="false">IF(BY1195="LOSE",1,0)</f>
        <v>0</v>
      </c>
      <c r="CB1195" s="65" t="n">
        <f aca="false">IF(AND(U1195="",OR(P1195="",P1195="LOSE"),T1195&lt;&gt;"",N(S1195)&lt;=0,ISNUMBER(MATCH(T1195,Parameter!$I$27:$I$29,0))),1,0)</f>
        <v>0</v>
      </c>
      <c r="CC1195" s="65" t="n">
        <f aca="false">IF(CR1195&gt;0,INDEX(Parameter!$H$5:$H$7,W1195)/INDEX(Parameter!$E$5:$E$7,W1195),IF(AND(CA1195=0,N(IFERROR(VLOOKUP(BY1195,'Gebinde-Kategorie'!$A$5:$N$45,14,0),0))&gt;0),VLOOKUP(BY1195,'Gebinde-Kategorie'!$A$5:$N$45,14,0)*10+Parameter!$M$23,Parameter!$M$24))</f>
        <v>245</v>
      </c>
      <c r="CD1195" s="60" t="str">
        <f aca="false">IF(AND(Parameter!$B$19="Ja",E1195&lt;&gt;"",ISNUMBER(MATCH(E1195,Parameter!$I$35:$I$52,0))),VLOOKUP(E1195,Parameter!$I$35:$J$52,2,0),IFERROR(VLOOKUP(D1195,Parameter!$A$35:$C$64,2,0),"Nein"))</f>
        <v>2+3</v>
      </c>
      <c r="CE1195" s="64" t="n">
        <f aca="false">IF(CA1195=0,0,IF(N(S1195)&gt;0,S1195,IFERROR(VLOOKUP(D1195,Parameter!$A$35:$C$64,3,0)+0,0)))</f>
        <v>0</v>
      </c>
      <c r="CF1195" s="60" t="n">
        <f aca="false">IF(AB1195&lt;&gt;"",AB1195,AA1195)</f>
        <v>3</v>
      </c>
      <c r="CG1195" s="60" t="str">
        <f aca="false">IF(OR(CF1195=1,CF1195=2,CF1195=3),IF(Parameter!$E$27="Ja","LIFT",IF(CF1195=1,"L1","L23")),IF(CF1195="Aussen","Aussen","-"))</f>
        <v>LIFT</v>
      </c>
      <c r="CH1195" s="71" t="n">
        <f aca="false">IF(N(AC1195)&gt;0,AC1195,0)</f>
        <v>0</v>
      </c>
      <c r="CI1195" s="65" t="n">
        <f aca="false">IF(ISNUMBER(AF1195),1,0)</f>
        <v>0</v>
      </c>
      <c r="CJ1195" s="62" t="n">
        <f aca="false">N(AF1195)</f>
        <v>0</v>
      </c>
      <c r="CK1195" s="62" t="n">
        <f aca="false">N(M1195)+N(N1195)</f>
        <v>1</v>
      </c>
      <c r="CL1195" s="62" t="n">
        <f aca="false">N(M1195)</f>
        <v>0</v>
      </c>
      <c r="CM1195" s="62" t="n">
        <f aca="false">N(N1195)</f>
        <v>1</v>
      </c>
      <c r="CN1195" s="62" t="n">
        <f aca="false">ROUNDUP(H1195/BZ1195,0)</f>
        <v>1</v>
      </c>
      <c r="CO1195" s="62" t="n">
        <f aca="false">ROUNDUP(CJ1195/BZ1195,0)</f>
        <v>0</v>
      </c>
      <c r="CP1195" s="65" t="n">
        <f aca="false">IF(CA1195=1,0,IFERROR(VLOOKUP(BY1195,'Gebinde-Kategorie'!$A$5:$N$45,5,0)+0,0))</f>
        <v>21</v>
      </c>
      <c r="CQ1195" s="65" t="n">
        <f aca="false">IFERROR(IF(OR(CF1195=1,CF1195=2,CF1195=3),N(INDEX(Parameter!$I$5:$I$7,CF1195)),0),0)</f>
        <v>0</v>
      </c>
      <c r="CR1195" s="64" t="n">
        <f aca="false">IF(AND(Parameter!$B$21="Ja",ISNUMBER(W1195),N(X1195)&gt;0),IFERROR(N(INDEX(Parameter!$L$5:$L$7,W1195))*INDEX(Parameter!$E$5:$E$7,W1195)*X1195/SUMIFS($X$7:$X$1843,$W$7:$W$1843,W1195),0),0)</f>
        <v>0</v>
      </c>
      <c r="CS1195" s="62" t="n">
        <f aca="false">IF(AND(OR(CG1195="L1",CG1195="L23",CG1195="LIFT"),H1195&gt;0),CC1195*IF(CR1195&gt;0,CR1195*MAX(1,H1195/X1195),IF(CA1195=1,CE1195,IF(R1195&gt;0,CN1195/R1195,0))/MAX(0.1,N(Parameter!$M$21))),"")</f>
        <v>20.4166666666667</v>
      </c>
      <c r="CT1195" s="64" t="n">
        <f aca="false">IF(CS1195="","",J1195/H1195)</f>
        <v>0.153846153846154</v>
      </c>
      <c r="CU1195" s="62" t="n">
        <f aca="false">IF(CS1195="","",H1195*G1195)</f>
        <v>2932.41</v>
      </c>
      <c r="CV1195" s="63" t="n">
        <f aca="false">IF(CS1195="","",(CL1195+ROUNDUP(CL1195+MAX(CM1195,2*(J1195/MAX(0.1,N(Einkauf!$C$6))-CL1195)),0))/2)</f>
        <v>0.5</v>
      </c>
      <c r="CW1195" s="62" t="n">
        <f aca="false">IF(CS1195="","",MAX(0,H1195-CV1195)*G1195)</f>
        <v>2819.625</v>
      </c>
      <c r="CX1195" s="62" t="n">
        <f aca="false">IF(CS1195="","",CS1195*MAX(0,1-CV1195/H1195))</f>
        <v>19.6314102564103</v>
      </c>
      <c r="CY1195" s="64" t="n">
        <f aca="false">IF(CS1195="","",PERCENTRANK($CS$7:$CS$1843,CS1195)+PERCENTRANK($CU$7:$CU$1843,CU1195)+1-PERCENTRANK($CT$7:$CT$1843,CT1195))</f>
        <v>2.154</v>
      </c>
      <c r="CZ1195" s="72" t="n">
        <f aca="false">IF(CS1195="","",CHOOSE(MATCH(Einkauf!$C$5,Parameter!$G$23:$G$27,0),CY1195,CS1195,CU1195,-CT1195,CW1195)+ROW()/1000000000)</f>
        <v>2.154001195</v>
      </c>
    </row>
    <row r="1196" customFormat="false" ht="15" hidden="false" customHeight="false" outlineLevel="0" collapsed="false">
      <c r="A1196" s="60" t="s">
        <v>2193</v>
      </c>
      <c r="B1196" s="60" t="s">
        <v>2194</v>
      </c>
      <c r="C1196" s="60" t="s">
        <v>206</v>
      </c>
      <c r="D1196" s="60" t="s">
        <v>215</v>
      </c>
      <c r="E1196" s="60"/>
      <c r="F1196" s="60" t="s">
        <v>260</v>
      </c>
      <c r="G1196" s="61" t="n">
        <v>226</v>
      </c>
      <c r="H1196" s="62" t="n">
        <f aca="false">MAX(0,IF(AND(Parameter!$B$21="Ja",ISNUMBER(Y1196)),Y1196,IF(Parameter!$B$20="Jahresanfang 2025 + Export",BS1196+BR1196,BR1196)))</f>
        <v>0</v>
      </c>
      <c r="I1196" s="62" t="n">
        <f aca="false">H1196*G1196</f>
        <v>0</v>
      </c>
      <c r="J1196" s="62" t="n">
        <f aca="false">BU1196*Parameter!$B$18</f>
        <v>2</v>
      </c>
      <c r="K1196" s="63" t="n">
        <v>1</v>
      </c>
      <c r="L1196" s="64" t="n">
        <v>2</v>
      </c>
      <c r="M1196" s="62" t="n">
        <v>0</v>
      </c>
      <c r="N1196" s="62" t="n">
        <v>1</v>
      </c>
      <c r="O1196" s="65" t="n">
        <v>42</v>
      </c>
      <c r="P1196" s="60" t="s">
        <v>210</v>
      </c>
      <c r="Q1196" s="62"/>
      <c r="R1196" s="65" t="n">
        <f aca="false">IF(CA1196=1,0,IFERROR(VLOOKUP(BY1196,'Gebinde-Kategorie'!$A$5:$N$45,13,0)+0,0))</f>
        <v>12</v>
      </c>
      <c r="S1196" s="66"/>
      <c r="T1196" s="67" t="s">
        <v>221</v>
      </c>
      <c r="U1196" s="67"/>
      <c r="V1196" s="67"/>
      <c r="W1196" s="60"/>
      <c r="X1196" s="62"/>
      <c r="Y1196" s="62"/>
      <c r="Z1196" s="60" t="n">
        <v>3</v>
      </c>
      <c r="AA1196" s="60" t="n">
        <f aca="false">IF(A1196="","",IF(AND(Parameter!$B$21="Ja",ISNUMBER(W1196)),W1196,IF(AND(Parameter!$E$27="Ja",ISNUMBER(Z1196),CD1196&lt;&gt;"Nein"),Z1196,IF(CD1196="2+3",IF(ISNUMBER(SEARCH("grosser Artikel",BV1196)),2,IFERROR(VLOOKUP(BY1196,Parameter!$F$35:$G$64,2,0),2)),IF(OR(CD1196="Nein",CD1196=""),"-",CD1196)))))</f>
        <v>3</v>
      </c>
      <c r="AB1196" s="67"/>
      <c r="AC1196" s="68"/>
      <c r="AD1196" s="62" t="n">
        <f aca="false">AW1196</f>
        <v>2</v>
      </c>
      <c r="AE1196" s="62" t="n">
        <f aca="false">MAX(AW1196,H1196)</f>
        <v>2</v>
      </c>
      <c r="AF1196" s="69"/>
      <c r="AG1196" s="62" t="n">
        <f aca="false">IF(LEFT(Cockpit!$C$5,1)="A",H1196,IF(Parameter!$E$30="MAX-Bestand",IF(CI1196=1,CJ1196,IF(LEFT(Cockpit!$C$5,1)="B",AM1196,MAX(AM1196,H1196))),ROUNDUP(AK1196,0)))</f>
        <v>0</v>
      </c>
      <c r="AH1196" s="62" t="n">
        <f aca="false">IF(CA1196=1,0,ROUNDUP(AG1196/BZ1196,0))</f>
        <v>0</v>
      </c>
      <c r="AI1196" s="64" t="n">
        <f aca="false">IF(CR1196&gt;0,CR1196*MAX(1,AG1196/X1196),IF(CA1196=1,IF(AG1196&lt;=0,0,CE1196*MAX(1,IF(H1196&gt;0,AG1196/H1196,1))),IF(R1196&gt;0,AH1196/R1196,0))/MAX(0.1,N(Parameter!$M$21)))</f>
        <v>0</v>
      </c>
      <c r="AJ1196" s="62" t="n">
        <f aca="false">AI1196*CC1196</f>
        <v>0</v>
      </c>
      <c r="AK1196" s="63" t="n">
        <f aca="false">IF(LEFT(Cockpit!$C$5,1)="A",H1196,IF(CI1196=1,(CL1196+CJ1196)/2,IF(LEFT(Cockpit!$C$5,1)="B",(CL1196+AM1196)/2,MAX((CL1196+AM1196)/2,H1196))))</f>
        <v>0</v>
      </c>
      <c r="AL1196" s="62" t="n">
        <f aca="false">AK1196*G1196</f>
        <v>0</v>
      </c>
      <c r="AM1196" s="62" t="n">
        <f aca="false">ROUNDUP(CL1196+MAX(CM1196,2*(J1196/IF(CH1196&gt;0,CH1196,MAX(0.1,N(Cockpit!$C$6)))-CL1196)),0)</f>
        <v>2</v>
      </c>
      <c r="AN1196" s="63" t="n">
        <f aca="false">IF(AJ1196&gt;0,J1196/AJ1196,-1)</f>
        <v>-1</v>
      </c>
      <c r="AO1196" s="63" t="str">
        <f aca="false">IF(AND(OR(CG1196="L1",CG1196="L23",CG1196="LIFT"),AJ1196&gt;0),SUMIFS($AJ$7:$AJ$1843,$CG$7:$CG$1843,CG1196,$AN$7:$AN$1843,"&gt;"&amp;AN1196)+SUMIFS($AJ$7:$AJ$1843,$CG$7:$CG$1843,CG1196,$AN$7:$AN$1843,AN1196,$BX$7:$BX$1843,"&lt;="&amp;BX1196),"")</f>
        <v/>
      </c>
      <c r="AP1196" s="70" t="n">
        <f aca="false">IF(AO1196="",0,MAX(0,MIN(1,(IF(CG1196="L1",Parameter!$H$5,IF(CG1196="L23",Parameter!$H$6+Parameter!$H$7,Parameter!$H$5+Parameter!$H$6+Parameter!$H$7))-(AO1196-AJ1196))/AJ1196)))</f>
        <v>0</v>
      </c>
      <c r="AQ1196" s="62" t="n">
        <f aca="false">IF(LEFT(Cockpit!$I$5,1)="A",H1196,IF(Parameter!$E$30="MAX-Bestand",IF(CI1196=1,CJ1196,IF(LEFT(Cockpit!$I$5,1)="B",AW1196,MAX(AW1196,H1196))),ROUNDUP(AU1196,0)))</f>
        <v>1</v>
      </c>
      <c r="AR1196" s="62" t="n">
        <f aca="false">IF(CA1196=1,0,ROUNDUP(AQ1196/BZ1196,0))</f>
        <v>1</v>
      </c>
      <c r="AS1196" s="64" t="n">
        <f aca="false">IF(CR1196&gt;0,CR1196*MAX(1,AQ1196/X1196),IF(CA1196=1,IF(AQ1196&lt;=0,0,CE1196*MAX(1,IF(H1196&gt;0,AQ1196/H1196,1))),IF(R1196&gt;0,AR1196/R1196,0))/MAX(0.1,N(Parameter!$M$21)))</f>
        <v>0.0833333333333333</v>
      </c>
      <c r="AT1196" s="62" t="n">
        <f aca="false">AS1196*CC1196</f>
        <v>12.0833333333333</v>
      </c>
      <c r="AU1196" s="63" t="n">
        <f aca="false">IF(LEFT(Cockpit!$I$5,1)="A",H1196,IF(CI1196=1,(CL1196+CJ1196)/2,IF(LEFT(Cockpit!$I$5,1)="B",(CL1196+AW1196)/2,MAX((CL1196+AW1196)/2,H1196))))</f>
        <v>1</v>
      </c>
      <c r="AV1196" s="62" t="n">
        <f aca="false">AU1196*G1196</f>
        <v>226</v>
      </c>
      <c r="AW1196" s="62" t="n">
        <f aca="false">ROUNDUP(CL1196+MAX(CM1196,2*(J1196/IF(CH1196&gt;0,CH1196,MAX(0.1,N(Cockpit!$I$6)))-CL1196)),0)</f>
        <v>2</v>
      </c>
      <c r="AX1196" s="63" t="n">
        <f aca="false">IF(AT1196&gt;0,J1196/AT1196,-1)</f>
        <v>0.16551724137931</v>
      </c>
      <c r="AY1196" s="63" t="n">
        <f aca="false">IF(AND(OR(CG1196="L1",CG1196="L23",CG1196="LIFT"),AT1196&gt;0),SUMIFS($AT$7:$AT$1843,$CG$7:$CG$1843,CG1196,$AX$7:$AX$1843,"&gt;"&amp;AX1196)+SUMIFS($AT$7:$AT$1843,$CG$7:$CG$1843,CG1196,$AX$7:$AX$1843,AX1196,$BX$7:$BX$1843,"&lt;="&amp;BX1196),"")</f>
        <v>15770.3374542125</v>
      </c>
      <c r="AZ1196" s="70" t="n">
        <f aca="false">IF(AY1196="",0,MAX(0,MIN(1,(IF(CG1196="L1",Parameter!$H$5,IF(CG1196="L23",Parameter!$H$6+Parameter!$H$7,Parameter!$H$5+Parameter!$H$6+Parameter!$H$7))-(AY1196-AT1196))/AT1196)))</f>
        <v>1</v>
      </c>
      <c r="BA1196" s="62" t="n">
        <f aca="false">IF(LEFT(Cockpit!$O$5,1)="A",H1196,IF(Parameter!$E$30="MAX-Bestand",IF(CI1196=1,CJ1196,IF(LEFT(Cockpit!$O$5,1)="B",BG1196,MAX(BG1196,H1196))),ROUNDUP(BE1196,0)))</f>
        <v>1</v>
      </c>
      <c r="BB1196" s="62" t="n">
        <f aca="false">IF(CA1196=1,0,ROUNDUP(BA1196/BZ1196,0))</f>
        <v>1</v>
      </c>
      <c r="BC1196" s="64" t="n">
        <f aca="false">IF(CR1196&gt;0,CR1196*MAX(1,BA1196/X1196),IF(CA1196=1,IF(BA1196&lt;=0,0,CE1196*MAX(1,IF(H1196&gt;0,BA1196/H1196,1))),IF(R1196&gt;0,BB1196/R1196,0))/MAX(0.1,N(Parameter!$M$21)))</f>
        <v>0.0833333333333333</v>
      </c>
      <c r="BD1196" s="62" t="n">
        <f aca="false">BC1196*CC1196</f>
        <v>12.0833333333333</v>
      </c>
      <c r="BE1196" s="63" t="n">
        <f aca="false">IF(LEFT(Cockpit!$O$5,1)="A",H1196,IF(CI1196=1,(CL1196+CJ1196)/2,IF(LEFT(Cockpit!$O$5,1)="B",(CL1196+BG1196)/2,MAX((CL1196+BG1196)/2,H1196))))</f>
        <v>0.5</v>
      </c>
      <c r="BF1196" s="62" t="n">
        <f aca="false">BE1196*G1196</f>
        <v>113</v>
      </c>
      <c r="BG1196" s="62" t="n">
        <f aca="false">ROUNDUP(CL1196+MAX(CM1196,2*(J1196/IF(CH1196&gt;0,CH1196,MAX(0.1,N(Cockpit!$O$6)))-CL1196)),0)</f>
        <v>1</v>
      </c>
      <c r="BH1196" s="63" t="n">
        <f aca="false">IF(BD1196&gt;0,J1196/BD1196,-1)</f>
        <v>0.16551724137931</v>
      </c>
      <c r="BI1196" s="63" t="n">
        <f aca="false">IF(AND(OR(CG1196="L1",CG1196="L23",CG1196="LIFT"),BD1196&gt;0),SUMIFS($BD$7:$BD$1843,$CG$7:$CG$1843,CG1196,$BH$7:$BH$1843,"&gt;"&amp;BH1196)+SUMIFS($BD$7:$BD$1843,$CG$7:$CG$1843,CG1196,$BH$7:$BH$1843,BH1196,$BX$7:$BX$1843,"&lt;="&amp;BX1196),"")</f>
        <v>13596.8039491112</v>
      </c>
      <c r="BJ1196" s="70" t="n">
        <f aca="false">IF(BI1196="",0,MAX(0,MIN(1,(IF(CG1196="L1",Parameter!$H$5,IF(CG1196="L23",Parameter!$H$6+Parameter!$H$7,Parameter!$H$5+Parameter!$H$6+Parameter!$H$7))-(BI1196-BD1196))/BD1196)))</f>
        <v>1</v>
      </c>
      <c r="BK1196" s="60" t="str">
        <f aca="false">IF(AJ1196&lt;=0,"",IF(CG1196="Aussen","Aussenlager",IF(CG1196="-","Nicht im Lift",IF(AP1196&gt;=1,"Lift",IF(AP1196&lt;=0,"Aussenlager","teilweise")))))</f>
        <v/>
      </c>
      <c r="BL1196" s="60" t="str">
        <f aca="false">IF(AT1196&lt;=0,"",IF(CG1196="Aussen","Aussenlager",IF(CG1196="-","Nicht im Lift",IF(AZ1196&gt;=1,"Lift",IF(AZ1196&lt;=0,"Aussenlager","teilweise")))))</f>
        <v>Lift</v>
      </c>
      <c r="BM1196" s="60" t="str">
        <f aca="false">IF(BD1196&lt;=0,"",IF(CG1196="Aussen","Aussenlager",IF(CG1196="-","Nicht im Lift",IF(BJ1196&gt;=1,"Lift",IF(BJ1196&lt;=0,"Aussenlager","teilweise")))))</f>
        <v>Lift</v>
      </c>
      <c r="BN1196" s="60" t="str">
        <f aca="false">IF(A1196="","",IF(BW1196=1,"Neu; ","")&amp;IF(AND(BW1196=0,BR1196&lt;0),"negativer Bestand (Export "&amp;BR1196&amp;"); ","")&amp;IF(J1196&lt;=0,"Kein Verbrauch; ","")&amp;IF(CR1196&gt;0,"Lift "&amp;W1196&amp;" lt. Liftbericht (Fach "&amp;X1196&amp;" Stk); ",IF(CB1196=1,"Gebinde geschätzt ("&amp;T1196&amp;"); ",IF(CA1196=1,"Lose – Tablare geschätzt; ","")))&amp;IF(H1196&gt;AW1196,"Überbestand "&amp;ROUND(H1196-AW1196,0)&amp;" Stk / CHF "&amp;ROUND((H1196-AW1196)*G1196,0)&amp;"; ","")&amp;IF(AND(CI1196=1,CJ1196&lt;CK1196),"MAX &lt; MB+LG; ","")&amp;IF(AND(CQ1196&gt;0,CP1196*10&gt;CQ1196),"zu hoch für Tablar; ","")&amp;IF(AND(BW1196=0,OR(CI1196=1,AB1196&lt;&gt;"",U1196&lt;&gt;"",V1196&lt;&gt;"",AC1196&lt;&gt;"")),"manuell übersteuert; ","")&amp;IF(AND(CA1196=0,R1196=0),"Gebinde unbekannt / Stellmass fehlt; ","")&amp;IF(AND(CA1196=0,N(V1196)&lt;=0,N(Q1196)&lt;=0),"Menge pro Gebinde fehlt (Ist = 1 Gebinde); ","")&amp;BV1196)</f>
        <v>negativer Bestand (Export -2); Gebinde geschätzt (Mittel); Menge pro Gebinde fehlt (Ist = 1 Gebinde); </v>
      </c>
      <c r="BO1196" s="60"/>
      <c r="BP1196" s="60"/>
      <c r="BQ1196" s="67"/>
      <c r="BR1196" s="62" t="n">
        <v>-2</v>
      </c>
      <c r="BS1196" s="62" t="n">
        <v>2</v>
      </c>
      <c r="BT1196" s="61" t="n">
        <v>-452</v>
      </c>
      <c r="BU1196" s="62" t="n">
        <v>2</v>
      </c>
      <c r="BV1196" s="60"/>
      <c r="BW1196" s="65" t="n">
        <v>0</v>
      </c>
      <c r="BX1196" s="65" t="n">
        <v>1196</v>
      </c>
      <c r="BY1196" s="60" t="str">
        <f aca="false">IF(U1196&lt;&gt;"",UPPER(TRIM(U1196)),IF(CB1196=1,UPPER(VLOOKUP(T1196,Parameter!$I$27:$K$29,2,0)),IF(P1196="","LOSE",P1196)))</f>
        <v>S61</v>
      </c>
      <c r="BZ1196" s="62" t="n">
        <f aca="false">IF(BY1196="LOSE",1,IF(N(V1196)&gt;0,V1196,IF(CB1196=1,MAX(1,N(VLOOKUP(T1196,Parameter!$I$27:$K$29,3,0)),H1196,N(N1196)),IF(N(Q1196)&gt;0,Q1196,MAX(1,H1196)))))</f>
        <v>4</v>
      </c>
      <c r="CA1196" s="65" t="n">
        <f aca="false">IF(BY1196="LOSE",1,0)</f>
        <v>0</v>
      </c>
      <c r="CB1196" s="65" t="n">
        <f aca="false">IF(AND(U1196="",OR(P1196="",P1196="LOSE"),T1196&lt;&gt;"",N(S1196)&lt;=0,ISNUMBER(MATCH(T1196,Parameter!$I$27:$I$29,0))),1,0)</f>
        <v>1</v>
      </c>
      <c r="CC1196" s="65" t="n">
        <f aca="false">IF(CR1196&gt;0,INDEX(Parameter!$H$5:$H$7,W1196)/INDEX(Parameter!$E$5:$E$7,W1196),IF(AND(CA1196=0,N(IFERROR(VLOOKUP(BY1196,'Gebinde-Kategorie'!$A$5:$N$45,14,0),0))&gt;0),VLOOKUP(BY1196,'Gebinde-Kategorie'!$A$5:$N$45,14,0)*10+Parameter!$M$23,Parameter!$M$24))</f>
        <v>145</v>
      </c>
      <c r="CD1196" s="60" t="str">
        <f aca="false">IF(AND(Parameter!$B$19="Ja",E1196&lt;&gt;"",ISNUMBER(MATCH(E1196,Parameter!$I$35:$I$52,0))),VLOOKUP(E1196,Parameter!$I$35:$J$52,2,0),IFERROR(VLOOKUP(D1196,Parameter!$A$35:$C$64,2,0),"Nein"))</f>
        <v>2+3</v>
      </c>
      <c r="CE1196" s="64" t="n">
        <f aca="false">IF(CA1196=0,0,IF(N(S1196)&gt;0,S1196,IFERROR(VLOOKUP(D1196,Parameter!$A$35:$C$64,3,0)+0,0)))</f>
        <v>0</v>
      </c>
      <c r="CF1196" s="60" t="n">
        <f aca="false">IF(AB1196&lt;&gt;"",AB1196,AA1196)</f>
        <v>3</v>
      </c>
      <c r="CG1196" s="60" t="str">
        <f aca="false">IF(OR(CF1196=1,CF1196=2,CF1196=3),IF(Parameter!$E$27="Ja","LIFT",IF(CF1196=1,"L1","L23")),IF(CF1196="Aussen","Aussen","-"))</f>
        <v>LIFT</v>
      </c>
      <c r="CH1196" s="71" t="n">
        <f aca="false">IF(N(AC1196)&gt;0,AC1196,0)</f>
        <v>0</v>
      </c>
      <c r="CI1196" s="65" t="n">
        <f aca="false">IF(ISNUMBER(AF1196),1,0)</f>
        <v>0</v>
      </c>
      <c r="CJ1196" s="62" t="n">
        <f aca="false">N(AF1196)</f>
        <v>0</v>
      </c>
      <c r="CK1196" s="62" t="n">
        <f aca="false">N(M1196)+N(N1196)</f>
        <v>1</v>
      </c>
      <c r="CL1196" s="62" t="n">
        <f aca="false">N(M1196)</f>
        <v>0</v>
      </c>
      <c r="CM1196" s="62" t="n">
        <f aca="false">N(N1196)</f>
        <v>1</v>
      </c>
      <c r="CN1196" s="62" t="n">
        <f aca="false">ROUNDUP(H1196/BZ1196,0)</f>
        <v>0</v>
      </c>
      <c r="CO1196" s="62" t="n">
        <f aca="false">ROUNDUP(CJ1196/BZ1196,0)</f>
        <v>0</v>
      </c>
      <c r="CP1196" s="65" t="n">
        <f aca="false">IF(CA1196=1,0,IFERROR(VLOOKUP(BY1196,'Gebinde-Kategorie'!$A$5:$N$45,5,0)+0,0))</f>
        <v>11</v>
      </c>
      <c r="CQ1196" s="65" t="n">
        <f aca="false">IFERROR(IF(OR(CF1196=1,CF1196=2,CF1196=3),N(INDEX(Parameter!$I$5:$I$7,CF1196)),0),0)</f>
        <v>0</v>
      </c>
      <c r="CR1196" s="64" t="n">
        <f aca="false">IF(AND(Parameter!$B$21="Ja",ISNUMBER(W1196),N(X1196)&gt;0),IFERROR(N(INDEX(Parameter!$L$5:$L$7,W1196))*INDEX(Parameter!$E$5:$E$7,W1196)*X1196/SUMIFS($X$7:$X$1843,$W$7:$W$1843,W1196),0),0)</f>
        <v>0</v>
      </c>
      <c r="CS1196" s="62" t="str">
        <f aca="false">IF(AND(OR(CG1196="L1",CG1196="L23",CG1196="LIFT"),H1196&gt;0),CC1196*IF(CR1196&gt;0,CR1196*MAX(1,H1196/X1196),IF(CA1196=1,CE1196,IF(R1196&gt;0,CN1196/R1196,0))/MAX(0.1,N(Parameter!$M$21))),"")</f>
        <v/>
      </c>
      <c r="CT1196" s="64" t="str">
        <f aca="false">IF(CS1196="","",J1196/H1196)</f>
        <v/>
      </c>
      <c r="CU1196" s="62" t="str">
        <f aca="false">IF(CS1196="","",H1196*G1196)</f>
        <v/>
      </c>
      <c r="CV1196" s="63" t="str">
        <f aca="false">IF(CS1196="","",(CL1196+ROUNDUP(CL1196+MAX(CM1196,2*(J1196/MAX(0.1,N(Einkauf!$C$6))-CL1196)),0))/2)</f>
        <v/>
      </c>
      <c r="CW1196" s="62" t="str">
        <f aca="false">IF(CS1196="","",MAX(0,H1196-CV1196)*G1196)</f>
        <v/>
      </c>
      <c r="CX1196" s="62" t="str">
        <f aca="false">IF(CS1196="","",CS1196*MAX(0,1-CV1196/H1196))</f>
        <v/>
      </c>
      <c r="CY1196" s="64" t="str">
        <f aca="false">IF(CS1196="","",PERCENTRANK($CS$7:$CS$1843,CS1196)+PERCENTRANK($CU$7:$CU$1843,CU1196)+1-PERCENTRANK($CT$7:$CT$1843,CT1196))</f>
        <v/>
      </c>
      <c r="CZ1196" s="72" t="str">
        <f aca="false">IF(CS1196="","",CHOOSE(MATCH(Einkauf!$C$5,Parameter!$G$23:$G$27,0),CY1196,CS1196,CU1196,-CT1196,CW1196)+ROW()/1000000000)</f>
        <v/>
      </c>
    </row>
    <row r="1197" customFormat="false" ht="15" hidden="false" customHeight="false" outlineLevel="0" collapsed="false">
      <c r="A1197" s="60" t="s">
        <v>2195</v>
      </c>
      <c r="B1197" s="60" t="s">
        <v>1596</v>
      </c>
      <c r="C1197" s="60" t="s">
        <v>206</v>
      </c>
      <c r="D1197" s="60" t="s">
        <v>215</v>
      </c>
      <c r="E1197" s="60" t="s">
        <v>507</v>
      </c>
      <c r="F1197" s="60" t="s">
        <v>260</v>
      </c>
      <c r="G1197" s="61" t="n">
        <v>1.64</v>
      </c>
      <c r="H1197" s="62" t="n">
        <f aca="false">MAX(0,IF(AND(Parameter!$B$21="Ja",ISNUMBER(Y1197)),Y1197,IF(Parameter!$B$20="Jahresanfang 2025 + Export",BS1197+BR1197,BR1197)))</f>
        <v>43</v>
      </c>
      <c r="I1197" s="62" t="n">
        <f aca="false">H1197*G1197</f>
        <v>70.52</v>
      </c>
      <c r="J1197" s="62" t="n">
        <f aca="false">BU1197*Parameter!$B$18</f>
        <v>188</v>
      </c>
      <c r="K1197" s="63" t="n">
        <v>317</v>
      </c>
      <c r="L1197" s="64" t="n">
        <v>0.593059936908517</v>
      </c>
      <c r="M1197" s="62" t="n">
        <v>10</v>
      </c>
      <c r="N1197" s="62" t="n">
        <v>190</v>
      </c>
      <c r="O1197" s="65" t="n">
        <v>21</v>
      </c>
      <c r="P1197" s="60" t="s">
        <v>210</v>
      </c>
      <c r="Q1197" s="62"/>
      <c r="R1197" s="65" t="n">
        <f aca="false">IF(CA1197=1,0,IFERROR(VLOOKUP(BY1197,'Gebinde-Kategorie'!$A$5:$N$45,13,0)+0,0))</f>
        <v>4</v>
      </c>
      <c r="S1197" s="66"/>
      <c r="T1197" s="67" t="s">
        <v>231</v>
      </c>
      <c r="U1197" s="67"/>
      <c r="V1197" s="67"/>
      <c r="W1197" s="60"/>
      <c r="X1197" s="62"/>
      <c r="Y1197" s="62"/>
      <c r="Z1197" s="60"/>
      <c r="AA1197" s="60" t="str">
        <f aca="false">IF(A1197="","",IF(AND(Parameter!$B$21="Ja",ISNUMBER(W1197)),W1197,IF(AND(Parameter!$E$27="Ja",ISNUMBER(Z1197),CD1197&lt;&gt;"Nein"),Z1197,IF(CD1197="2+3",IF(ISNUMBER(SEARCH("grosser Artikel",BV1197)),2,IFERROR(VLOOKUP(BY1197,Parameter!$F$35:$G$64,2,0),2)),IF(OR(CD1197="Nein",CD1197=""),"-",CD1197)))))</f>
        <v>-</v>
      </c>
      <c r="AB1197" s="67"/>
      <c r="AC1197" s="68"/>
      <c r="AD1197" s="62" t="n">
        <f aca="false">AW1197</f>
        <v>200</v>
      </c>
      <c r="AE1197" s="62" t="n">
        <f aca="false">MAX(AW1197,H1197)</f>
        <v>200</v>
      </c>
      <c r="AF1197" s="69"/>
      <c r="AG1197" s="62" t="n">
        <f aca="false">IF(LEFT(Cockpit!$C$5,1)="A",H1197,IF(Parameter!$E$30="MAX-Bestand",IF(CI1197=1,CJ1197,IF(LEFT(Cockpit!$C$5,1)="B",AM1197,MAX(AM1197,H1197))),ROUNDUP(AK1197,0)))</f>
        <v>43</v>
      </c>
      <c r="AH1197" s="62" t="n">
        <f aca="false">IF(CA1197=1,0,ROUNDUP(AG1197/BZ1197,0))</f>
        <v>1</v>
      </c>
      <c r="AI1197" s="64" t="n">
        <f aca="false">IF(CR1197&gt;0,CR1197*MAX(1,AG1197/X1197),IF(CA1197=1,IF(AG1197&lt;=0,0,CE1197*MAX(1,IF(H1197&gt;0,AG1197/H1197,1))),IF(R1197&gt;0,AH1197/R1197,0))/MAX(0.1,N(Parameter!$M$21)))</f>
        <v>0.25</v>
      </c>
      <c r="AJ1197" s="62" t="n">
        <f aca="false">AI1197*CC1197</f>
        <v>58.75</v>
      </c>
      <c r="AK1197" s="63" t="n">
        <f aca="false">IF(LEFT(Cockpit!$C$5,1)="A",H1197,IF(CI1197=1,(CL1197+CJ1197)/2,IF(LEFT(Cockpit!$C$5,1)="B",(CL1197+AM1197)/2,MAX((CL1197+AM1197)/2,H1197))))</f>
        <v>43</v>
      </c>
      <c r="AL1197" s="62" t="n">
        <f aca="false">AK1197*G1197</f>
        <v>70.52</v>
      </c>
      <c r="AM1197" s="62" t="n">
        <f aca="false">ROUNDUP(CL1197+MAX(CM1197,2*(J1197/IF(CH1197&gt;0,CH1197,MAX(0.1,N(Cockpit!$C$6)))-CL1197)),0)</f>
        <v>200</v>
      </c>
      <c r="AN1197" s="63" t="n">
        <f aca="false">IF(AJ1197&gt;0,J1197/AJ1197,-1)</f>
        <v>3.2</v>
      </c>
      <c r="AO1197" s="63" t="str">
        <f aca="false">IF(AND(OR(CG1197="L1",CG1197="L23",CG1197="LIFT"),AJ1197&gt;0),SUMIFS($AJ$7:$AJ$1843,$CG$7:$CG$1843,CG1197,$AN$7:$AN$1843,"&gt;"&amp;AN1197)+SUMIFS($AJ$7:$AJ$1843,$CG$7:$CG$1843,CG1197,$AN$7:$AN$1843,AN1197,$BX$7:$BX$1843,"&lt;="&amp;BX1197),"")</f>
        <v/>
      </c>
      <c r="AP1197" s="70" t="n">
        <f aca="false">IF(AO1197="",0,MAX(0,MIN(1,(IF(CG1197="L1",Parameter!$H$5,IF(CG1197="L23",Parameter!$H$6+Parameter!$H$7,Parameter!$H$5+Parameter!$H$6+Parameter!$H$7))-(AO1197-AJ1197))/AJ1197)))</f>
        <v>0</v>
      </c>
      <c r="AQ1197" s="62" t="n">
        <f aca="false">IF(LEFT(Cockpit!$I$5,1)="A",H1197,IF(Parameter!$E$30="MAX-Bestand",IF(CI1197=1,CJ1197,IF(LEFT(Cockpit!$I$5,1)="B",AW1197,MAX(AW1197,H1197))),ROUNDUP(AU1197,0)))</f>
        <v>105</v>
      </c>
      <c r="AR1197" s="62" t="n">
        <f aca="false">IF(CA1197=1,0,ROUNDUP(AQ1197/BZ1197,0))</f>
        <v>1</v>
      </c>
      <c r="AS1197" s="64" t="n">
        <f aca="false">IF(CR1197&gt;0,CR1197*MAX(1,AQ1197/X1197),IF(CA1197=1,IF(AQ1197&lt;=0,0,CE1197*MAX(1,IF(H1197&gt;0,AQ1197/H1197,1))),IF(R1197&gt;0,AR1197/R1197,0))/MAX(0.1,N(Parameter!$M$21)))</f>
        <v>0.25</v>
      </c>
      <c r="AT1197" s="62" t="n">
        <f aca="false">AS1197*CC1197</f>
        <v>58.75</v>
      </c>
      <c r="AU1197" s="63" t="n">
        <f aca="false">IF(LEFT(Cockpit!$I$5,1)="A",H1197,IF(CI1197=1,(CL1197+CJ1197)/2,IF(LEFT(Cockpit!$I$5,1)="B",(CL1197+AW1197)/2,MAX((CL1197+AW1197)/2,H1197))))</f>
        <v>105</v>
      </c>
      <c r="AV1197" s="62" t="n">
        <f aca="false">AU1197*G1197</f>
        <v>172.2</v>
      </c>
      <c r="AW1197" s="62" t="n">
        <f aca="false">ROUNDUP(CL1197+MAX(CM1197,2*(J1197/IF(CH1197&gt;0,CH1197,MAX(0.1,N(Cockpit!$I$6)))-CL1197)),0)</f>
        <v>200</v>
      </c>
      <c r="AX1197" s="63" t="n">
        <f aca="false">IF(AT1197&gt;0,J1197/AT1197,-1)</f>
        <v>3.2</v>
      </c>
      <c r="AY1197" s="63" t="str">
        <f aca="false">IF(AND(OR(CG1197="L1",CG1197="L23",CG1197="LIFT"),AT1197&gt;0),SUMIFS($AT$7:$AT$1843,$CG$7:$CG$1843,CG1197,$AX$7:$AX$1843,"&gt;"&amp;AX1197)+SUMIFS($AT$7:$AT$1843,$CG$7:$CG$1843,CG1197,$AX$7:$AX$1843,AX1197,$BX$7:$BX$1843,"&lt;="&amp;BX1197),"")</f>
        <v/>
      </c>
      <c r="AZ1197" s="70" t="n">
        <f aca="false">IF(AY1197="",0,MAX(0,MIN(1,(IF(CG1197="L1",Parameter!$H$5,IF(CG1197="L23",Parameter!$H$6+Parameter!$H$7,Parameter!$H$5+Parameter!$H$6+Parameter!$H$7))-(AY1197-AT1197))/AT1197)))</f>
        <v>0</v>
      </c>
      <c r="BA1197" s="62" t="n">
        <f aca="false">IF(LEFT(Cockpit!$O$5,1)="A",H1197,IF(Parameter!$E$30="MAX-Bestand",IF(CI1197=1,CJ1197,IF(LEFT(Cockpit!$O$5,1)="B",BG1197,MAX(BG1197,H1197))),ROUNDUP(BE1197,0)))</f>
        <v>105</v>
      </c>
      <c r="BB1197" s="62" t="n">
        <f aca="false">IF(CA1197=1,0,ROUNDUP(BA1197/BZ1197,0))</f>
        <v>1</v>
      </c>
      <c r="BC1197" s="64" t="n">
        <f aca="false">IF(CR1197&gt;0,CR1197*MAX(1,BA1197/X1197),IF(CA1197=1,IF(BA1197&lt;=0,0,CE1197*MAX(1,IF(H1197&gt;0,BA1197/H1197,1))),IF(R1197&gt;0,BB1197/R1197,0))/MAX(0.1,N(Parameter!$M$21)))</f>
        <v>0.25</v>
      </c>
      <c r="BD1197" s="62" t="n">
        <f aca="false">BC1197*CC1197</f>
        <v>58.75</v>
      </c>
      <c r="BE1197" s="63" t="n">
        <f aca="false">IF(LEFT(Cockpit!$O$5,1)="A",H1197,IF(CI1197=1,(CL1197+CJ1197)/2,IF(LEFT(Cockpit!$O$5,1)="B",(CL1197+BG1197)/2,MAX((CL1197+BG1197)/2,H1197))))</f>
        <v>105</v>
      </c>
      <c r="BF1197" s="62" t="n">
        <f aca="false">BE1197*G1197</f>
        <v>172.2</v>
      </c>
      <c r="BG1197" s="62" t="n">
        <f aca="false">ROUNDUP(CL1197+MAX(CM1197,2*(J1197/IF(CH1197&gt;0,CH1197,MAX(0.1,N(Cockpit!$O$6)))-CL1197)),0)</f>
        <v>200</v>
      </c>
      <c r="BH1197" s="63" t="n">
        <f aca="false">IF(BD1197&gt;0,J1197/BD1197,-1)</f>
        <v>3.2</v>
      </c>
      <c r="BI1197" s="63" t="str">
        <f aca="false">IF(AND(OR(CG1197="L1",CG1197="L23",CG1197="LIFT"),BD1197&gt;0),SUMIFS($BD$7:$BD$1843,$CG$7:$CG$1843,CG1197,$BH$7:$BH$1843,"&gt;"&amp;BH1197)+SUMIFS($BD$7:$BD$1843,$CG$7:$CG$1843,CG1197,$BH$7:$BH$1843,BH1197,$BX$7:$BX$1843,"&lt;="&amp;BX1197),"")</f>
        <v/>
      </c>
      <c r="BJ1197" s="70" t="n">
        <f aca="false">IF(BI1197="",0,MAX(0,MIN(1,(IF(CG1197="L1",Parameter!$H$5,IF(CG1197="L23",Parameter!$H$6+Parameter!$H$7,Parameter!$H$5+Parameter!$H$6+Parameter!$H$7))-(BI1197-BD1197))/BD1197)))</f>
        <v>0</v>
      </c>
      <c r="BK1197" s="60" t="str">
        <f aca="false">IF(AJ1197&lt;=0,"",IF(CG1197="Aussen","Aussenlager",IF(CG1197="-","Nicht im Lift",IF(AP1197&gt;=1,"Lift",IF(AP1197&lt;=0,"Aussenlager","teilweise")))))</f>
        <v>Nicht im Lift</v>
      </c>
      <c r="BL1197" s="60" t="str">
        <f aca="false">IF(AT1197&lt;=0,"",IF(CG1197="Aussen","Aussenlager",IF(CG1197="-","Nicht im Lift",IF(AZ1197&gt;=1,"Lift",IF(AZ1197&lt;=0,"Aussenlager","teilweise")))))</f>
        <v>Nicht im Lift</v>
      </c>
      <c r="BM1197" s="60" t="str">
        <f aca="false">IF(BD1197&lt;=0,"",IF(CG1197="Aussen","Aussenlager",IF(CG1197="-","Nicht im Lift",IF(BJ1197&gt;=1,"Lift",IF(BJ1197&lt;=0,"Aussenlager","teilweise")))))</f>
        <v>Nicht im Lift</v>
      </c>
      <c r="BN1197" s="60" t="str">
        <f aca="false">IF(A1197="","",IF(BW1197=1,"Neu; ","")&amp;IF(AND(BW1197=0,BR1197&lt;0),"negativer Bestand (Export "&amp;BR1197&amp;"); ","")&amp;IF(J1197&lt;=0,"Kein Verbrauch; ","")&amp;IF(CR1197&gt;0,"Lift "&amp;W1197&amp;" lt. Liftbericht (Fach "&amp;X1197&amp;" Stk); ",IF(CB1197=1,"Gebinde geschätzt ("&amp;T1197&amp;"); ",IF(CA1197=1,"Lose – Tablare geschätzt; ","")))&amp;IF(H1197&gt;AW1197,"Überbestand "&amp;ROUND(H1197-AW1197,0)&amp;" Stk / CHF "&amp;ROUND((H1197-AW1197)*G1197,0)&amp;"; ","")&amp;IF(AND(CI1197=1,CJ1197&lt;CK1197),"MAX &lt; MB+LG; ","")&amp;IF(AND(CQ1197&gt;0,CP1197*10&gt;CQ1197),"zu hoch für Tablar; ","")&amp;IF(AND(BW1197=0,OR(CI1197=1,AB1197&lt;&gt;"",U1197&lt;&gt;"",V1197&lt;&gt;"",AC1197&lt;&gt;"")),"manuell übersteuert; ","")&amp;IF(AND(CA1197=0,R1197=0),"Gebinde unbekannt / Stellmass fehlt; ","")&amp;IF(AND(CA1197=0,N(V1197)&lt;=0,N(Q1197)&lt;=0),"Menge pro Gebinde fehlt (Ist = 1 Gebinde); ","")&amp;BV1197)</f>
        <v>negativer Bestand (Export -318); Gebinde geschätzt (Gross); Menge pro Gebinde fehlt (Ist = 1 Gebinde); </v>
      </c>
      <c r="BO1197" s="60"/>
      <c r="BP1197" s="60"/>
      <c r="BQ1197" s="67"/>
      <c r="BR1197" s="62" t="n">
        <v>-318</v>
      </c>
      <c r="BS1197" s="62" t="n">
        <v>361</v>
      </c>
      <c r="BT1197" s="61" t="n">
        <v>-467.37</v>
      </c>
      <c r="BU1197" s="62" t="n">
        <v>188</v>
      </c>
      <c r="BV1197" s="60"/>
      <c r="BW1197" s="65" t="n">
        <v>0</v>
      </c>
      <c r="BX1197" s="65" t="n">
        <v>1197</v>
      </c>
      <c r="BY1197" s="60" t="str">
        <f aca="false">IF(U1197&lt;&gt;"",UPPER(TRIM(U1197)),IF(CB1197=1,UPPER(VLOOKUP(T1197,Parameter!$I$27:$K$29,2,0)),IF(P1197="","LOSE",P1197)))</f>
        <v>S81</v>
      </c>
      <c r="BZ1197" s="62" t="n">
        <f aca="false">IF(BY1197="LOSE",1,IF(N(V1197)&gt;0,V1197,IF(CB1197=1,MAX(1,N(VLOOKUP(T1197,Parameter!$I$27:$K$29,3,0)),H1197,N(N1197)),IF(N(Q1197)&gt;0,Q1197,MAX(1,H1197)))))</f>
        <v>190</v>
      </c>
      <c r="CA1197" s="65" t="n">
        <f aca="false">IF(BY1197="LOSE",1,0)</f>
        <v>0</v>
      </c>
      <c r="CB1197" s="65" t="n">
        <f aca="false">IF(AND(U1197="",OR(P1197="",P1197="LOSE"),T1197&lt;&gt;"",N(S1197)&lt;=0,ISNUMBER(MATCH(T1197,Parameter!$I$27:$I$29,0))),1,0)</f>
        <v>1</v>
      </c>
      <c r="CC1197" s="65" t="n">
        <f aca="false">IF(CR1197&gt;0,INDEX(Parameter!$H$5:$H$7,W1197)/INDEX(Parameter!$E$5:$E$7,W1197),IF(AND(CA1197=0,N(IFERROR(VLOOKUP(BY1197,'Gebinde-Kategorie'!$A$5:$N$45,14,0),0))&gt;0),VLOOKUP(BY1197,'Gebinde-Kategorie'!$A$5:$N$45,14,0)*10+Parameter!$M$23,Parameter!$M$24))</f>
        <v>235</v>
      </c>
      <c r="CD1197" s="60" t="str">
        <f aca="false">IF(AND(Parameter!$B$19="Ja",E1197&lt;&gt;"",ISNUMBER(MATCH(E1197,Parameter!$I$35:$I$52,0))),VLOOKUP(E1197,Parameter!$I$35:$J$52,2,0),IFERROR(VLOOKUP(D1197,Parameter!$A$35:$C$64,2,0),"Nein"))</f>
        <v>Nein</v>
      </c>
      <c r="CE1197" s="64" t="n">
        <f aca="false">IF(CA1197=0,0,IF(N(S1197)&gt;0,S1197,IFERROR(VLOOKUP(D1197,Parameter!$A$35:$C$64,3,0)+0,0)))</f>
        <v>0</v>
      </c>
      <c r="CF1197" s="60" t="str">
        <f aca="false">IF(AB1197&lt;&gt;"",AB1197,AA1197)</f>
        <v>-</v>
      </c>
      <c r="CG1197" s="60" t="str">
        <f aca="false">IF(OR(CF1197=1,CF1197=2,CF1197=3),IF(Parameter!$E$27="Ja","LIFT",IF(CF1197=1,"L1","L23")),IF(CF1197="Aussen","Aussen","-"))</f>
        <v>-</v>
      </c>
      <c r="CH1197" s="71" t="n">
        <f aca="false">IF(N(AC1197)&gt;0,AC1197,0)</f>
        <v>0</v>
      </c>
      <c r="CI1197" s="65" t="n">
        <f aca="false">IF(ISNUMBER(AF1197),1,0)</f>
        <v>0</v>
      </c>
      <c r="CJ1197" s="62" t="n">
        <f aca="false">N(AF1197)</f>
        <v>0</v>
      </c>
      <c r="CK1197" s="62" t="n">
        <f aca="false">N(M1197)+N(N1197)</f>
        <v>200</v>
      </c>
      <c r="CL1197" s="62" t="n">
        <f aca="false">N(M1197)</f>
        <v>10</v>
      </c>
      <c r="CM1197" s="62" t="n">
        <f aca="false">N(N1197)</f>
        <v>190</v>
      </c>
      <c r="CN1197" s="62" t="n">
        <f aca="false">ROUNDUP(H1197/BZ1197,0)</f>
        <v>1</v>
      </c>
      <c r="CO1197" s="62" t="n">
        <f aca="false">ROUNDUP(CJ1197/BZ1197,0)</f>
        <v>0</v>
      </c>
      <c r="CP1197" s="65" t="n">
        <f aca="false">IF(CA1197=1,0,IFERROR(VLOOKUP(BY1197,'Gebinde-Kategorie'!$A$5:$N$45,5,0)+0,0))</f>
        <v>20</v>
      </c>
      <c r="CQ1197" s="65" t="n">
        <f aca="false">IFERROR(IF(OR(CF1197=1,CF1197=2,CF1197=3),N(INDEX(Parameter!$I$5:$I$7,CF1197)),0),0)</f>
        <v>0</v>
      </c>
      <c r="CR1197" s="64" t="n">
        <f aca="false">IF(AND(Parameter!$B$21="Ja",ISNUMBER(W1197),N(X1197)&gt;0),IFERROR(N(INDEX(Parameter!$L$5:$L$7,W1197))*INDEX(Parameter!$E$5:$E$7,W1197)*X1197/SUMIFS($X$7:$X$1843,$W$7:$W$1843,W1197),0),0)</f>
        <v>0</v>
      </c>
      <c r="CS1197" s="62" t="str">
        <f aca="false">IF(AND(OR(CG1197="L1",CG1197="L23",CG1197="LIFT"),H1197&gt;0),CC1197*IF(CR1197&gt;0,CR1197*MAX(1,H1197/X1197),IF(CA1197=1,CE1197,IF(R1197&gt;0,CN1197/R1197,0))/MAX(0.1,N(Parameter!$M$21))),"")</f>
        <v/>
      </c>
      <c r="CT1197" s="64" t="str">
        <f aca="false">IF(CS1197="","",J1197/H1197)</f>
        <v/>
      </c>
      <c r="CU1197" s="62" t="str">
        <f aca="false">IF(CS1197="","",H1197*G1197)</f>
        <v/>
      </c>
      <c r="CV1197" s="63" t="str">
        <f aca="false">IF(CS1197="","",(CL1197+ROUNDUP(CL1197+MAX(CM1197,2*(J1197/MAX(0.1,N(Einkauf!$C$6))-CL1197)),0))/2)</f>
        <v/>
      </c>
      <c r="CW1197" s="62" t="str">
        <f aca="false">IF(CS1197="","",MAX(0,H1197-CV1197)*G1197)</f>
        <v/>
      </c>
      <c r="CX1197" s="62" t="str">
        <f aca="false">IF(CS1197="","",CS1197*MAX(0,1-CV1197/H1197))</f>
        <v/>
      </c>
      <c r="CY1197" s="64" t="str">
        <f aca="false">IF(CS1197="","",PERCENTRANK($CS$7:$CS$1843,CS1197)+PERCENTRANK($CU$7:$CU$1843,CU1197)+1-PERCENTRANK($CT$7:$CT$1843,CT1197))</f>
        <v/>
      </c>
      <c r="CZ1197" s="72" t="str">
        <f aca="false">IF(CS1197="","",CHOOSE(MATCH(Einkauf!$C$5,Parameter!$G$23:$G$27,0),CY1197,CS1197,CU1197,-CT1197,CW1197)+ROW()/1000000000)</f>
        <v/>
      </c>
    </row>
    <row r="1198" customFormat="false" ht="15" hidden="false" customHeight="false" outlineLevel="0" collapsed="false">
      <c r="A1198" s="60" t="s">
        <v>2196</v>
      </c>
      <c r="B1198" s="60" t="s">
        <v>2197</v>
      </c>
      <c r="C1198" s="60" t="s">
        <v>498</v>
      </c>
      <c r="D1198" s="60" t="s">
        <v>215</v>
      </c>
      <c r="E1198" s="60" t="s">
        <v>1521</v>
      </c>
      <c r="F1198" s="60" t="s">
        <v>260</v>
      </c>
      <c r="G1198" s="61" t="n">
        <v>120.58</v>
      </c>
      <c r="H1198" s="62" t="n">
        <f aca="false">MAX(0,IF(AND(Parameter!$B$21="Ja",ISNUMBER(Y1198)),Y1198,IF(Parameter!$B$20="Jahresanfang 2025 + Export",BS1198+BR1198,BR1198)))</f>
        <v>0</v>
      </c>
      <c r="I1198" s="62" t="n">
        <f aca="false">H1198*G1198</f>
        <v>0</v>
      </c>
      <c r="J1198" s="62" t="n">
        <f aca="false">BU1198*Parameter!$B$18</f>
        <v>0</v>
      </c>
      <c r="K1198" s="63" t="n">
        <v>2</v>
      </c>
      <c r="L1198" s="64" t="n">
        <v>0</v>
      </c>
      <c r="M1198" s="62" t="n">
        <v>0</v>
      </c>
      <c r="N1198" s="62" t="n">
        <v>1</v>
      </c>
      <c r="O1198" s="65" t="n">
        <v>56</v>
      </c>
      <c r="P1198" s="60" t="s">
        <v>210</v>
      </c>
      <c r="Q1198" s="62"/>
      <c r="R1198" s="65" t="n">
        <f aca="false">IF(CA1198=1,0,IFERROR(VLOOKUP(BY1198,'Gebinde-Kategorie'!$A$5:$N$45,13,0)+0,0))</f>
        <v>4</v>
      </c>
      <c r="S1198" s="66"/>
      <c r="T1198" s="67" t="s">
        <v>231</v>
      </c>
      <c r="U1198" s="67"/>
      <c r="V1198" s="67"/>
      <c r="W1198" s="60"/>
      <c r="X1198" s="62"/>
      <c r="Y1198" s="62"/>
      <c r="Z1198" s="60"/>
      <c r="AA1198" s="60" t="str">
        <f aca="false">IF(A1198="","",IF(AND(Parameter!$B$21="Ja",ISNUMBER(W1198)),W1198,IF(AND(Parameter!$E$27="Ja",ISNUMBER(Z1198),CD1198&lt;&gt;"Nein"),Z1198,IF(CD1198="2+3",IF(ISNUMBER(SEARCH("grosser Artikel",BV1198)),2,IFERROR(VLOOKUP(BY1198,Parameter!$F$35:$G$64,2,0),2)),IF(OR(CD1198="Nein",CD1198=""),"-",CD1198)))))</f>
        <v>-</v>
      </c>
      <c r="AB1198" s="67"/>
      <c r="AC1198" s="68"/>
      <c r="AD1198" s="62" t="n">
        <f aca="false">AW1198</f>
        <v>1</v>
      </c>
      <c r="AE1198" s="62" t="n">
        <f aca="false">MAX(AW1198,H1198)</f>
        <v>1</v>
      </c>
      <c r="AF1198" s="69"/>
      <c r="AG1198" s="62" t="n">
        <f aca="false">IF(LEFT(Cockpit!$C$5,1)="A",H1198,IF(Parameter!$E$30="MAX-Bestand",IF(CI1198=1,CJ1198,IF(LEFT(Cockpit!$C$5,1)="B",AM1198,MAX(AM1198,H1198))),ROUNDUP(AK1198,0)))</f>
        <v>0</v>
      </c>
      <c r="AH1198" s="62" t="n">
        <f aca="false">IF(CA1198=1,0,ROUNDUP(AG1198/BZ1198,0))</f>
        <v>0</v>
      </c>
      <c r="AI1198" s="64" t="n">
        <f aca="false">IF(CR1198&gt;0,CR1198*MAX(1,AG1198/X1198),IF(CA1198=1,IF(AG1198&lt;=0,0,CE1198*MAX(1,IF(H1198&gt;0,AG1198/H1198,1))),IF(R1198&gt;0,AH1198/R1198,0))/MAX(0.1,N(Parameter!$M$21)))</f>
        <v>0</v>
      </c>
      <c r="AJ1198" s="62" t="n">
        <f aca="false">AI1198*CC1198</f>
        <v>0</v>
      </c>
      <c r="AK1198" s="63" t="n">
        <f aca="false">IF(LEFT(Cockpit!$C$5,1)="A",H1198,IF(CI1198=1,(CL1198+CJ1198)/2,IF(LEFT(Cockpit!$C$5,1)="B",(CL1198+AM1198)/2,MAX((CL1198+AM1198)/2,H1198))))</f>
        <v>0</v>
      </c>
      <c r="AL1198" s="62" t="n">
        <f aca="false">AK1198*G1198</f>
        <v>0</v>
      </c>
      <c r="AM1198" s="62" t="n">
        <f aca="false">ROUNDUP(CL1198+MAX(CM1198,2*(J1198/IF(CH1198&gt;0,CH1198,MAX(0.1,N(Cockpit!$C$6)))-CL1198)),0)</f>
        <v>1</v>
      </c>
      <c r="AN1198" s="63" t="n">
        <f aca="false">IF(AJ1198&gt;0,J1198/AJ1198,-1)</f>
        <v>-1</v>
      </c>
      <c r="AO1198" s="63" t="str">
        <f aca="false">IF(AND(OR(CG1198="L1",CG1198="L23",CG1198="LIFT"),AJ1198&gt;0),SUMIFS($AJ$7:$AJ$1843,$CG$7:$CG$1843,CG1198,$AN$7:$AN$1843,"&gt;"&amp;AN1198)+SUMIFS($AJ$7:$AJ$1843,$CG$7:$CG$1843,CG1198,$AN$7:$AN$1843,AN1198,$BX$7:$BX$1843,"&lt;="&amp;BX1198),"")</f>
        <v/>
      </c>
      <c r="AP1198" s="70" t="n">
        <f aca="false">IF(AO1198="",0,MAX(0,MIN(1,(IF(CG1198="L1",Parameter!$H$5,IF(CG1198="L23",Parameter!$H$6+Parameter!$H$7,Parameter!$H$5+Parameter!$H$6+Parameter!$H$7))-(AO1198-AJ1198))/AJ1198)))</f>
        <v>0</v>
      </c>
      <c r="AQ1198" s="62" t="n">
        <f aca="false">IF(LEFT(Cockpit!$I$5,1)="A",H1198,IF(Parameter!$E$30="MAX-Bestand",IF(CI1198=1,CJ1198,IF(LEFT(Cockpit!$I$5,1)="B",AW1198,MAX(AW1198,H1198))),ROUNDUP(AU1198,0)))</f>
        <v>1</v>
      </c>
      <c r="AR1198" s="62" t="n">
        <f aca="false">IF(CA1198=1,0,ROUNDUP(AQ1198/BZ1198,0))</f>
        <v>1</v>
      </c>
      <c r="AS1198" s="64" t="n">
        <f aca="false">IF(CR1198&gt;0,CR1198*MAX(1,AQ1198/X1198),IF(CA1198=1,IF(AQ1198&lt;=0,0,CE1198*MAX(1,IF(H1198&gt;0,AQ1198/H1198,1))),IF(R1198&gt;0,AR1198/R1198,0))/MAX(0.1,N(Parameter!$M$21)))</f>
        <v>0.25</v>
      </c>
      <c r="AT1198" s="62" t="n">
        <f aca="false">AS1198*CC1198</f>
        <v>58.75</v>
      </c>
      <c r="AU1198" s="63" t="n">
        <f aca="false">IF(LEFT(Cockpit!$I$5,1)="A",H1198,IF(CI1198=1,(CL1198+CJ1198)/2,IF(LEFT(Cockpit!$I$5,1)="B",(CL1198+AW1198)/2,MAX((CL1198+AW1198)/2,H1198))))</f>
        <v>0.5</v>
      </c>
      <c r="AV1198" s="62" t="n">
        <f aca="false">AU1198*G1198</f>
        <v>60.29</v>
      </c>
      <c r="AW1198" s="62" t="n">
        <f aca="false">ROUNDUP(CL1198+MAX(CM1198,2*(J1198/IF(CH1198&gt;0,CH1198,MAX(0.1,N(Cockpit!$I$6)))-CL1198)),0)</f>
        <v>1</v>
      </c>
      <c r="AX1198" s="63" t="n">
        <f aca="false">IF(AT1198&gt;0,J1198/AT1198,-1)</f>
        <v>0</v>
      </c>
      <c r="AY1198" s="63" t="str">
        <f aca="false">IF(AND(OR(CG1198="L1",CG1198="L23",CG1198="LIFT"),AT1198&gt;0),SUMIFS($AT$7:$AT$1843,$CG$7:$CG$1843,CG1198,$AX$7:$AX$1843,"&gt;"&amp;AX1198)+SUMIFS($AT$7:$AT$1843,$CG$7:$CG$1843,CG1198,$AX$7:$AX$1843,AX1198,$BX$7:$BX$1843,"&lt;="&amp;BX1198),"")</f>
        <v/>
      </c>
      <c r="AZ1198" s="70" t="n">
        <f aca="false">IF(AY1198="",0,MAX(0,MIN(1,(IF(CG1198="L1",Parameter!$H$5,IF(CG1198="L23",Parameter!$H$6+Parameter!$H$7,Parameter!$H$5+Parameter!$H$6+Parameter!$H$7))-(AY1198-AT1198))/AT1198)))</f>
        <v>0</v>
      </c>
      <c r="BA1198" s="62" t="n">
        <f aca="false">IF(LEFT(Cockpit!$O$5,1)="A",H1198,IF(Parameter!$E$30="MAX-Bestand",IF(CI1198=1,CJ1198,IF(LEFT(Cockpit!$O$5,1)="B",BG1198,MAX(BG1198,H1198))),ROUNDUP(BE1198,0)))</f>
        <v>1</v>
      </c>
      <c r="BB1198" s="62" t="n">
        <f aca="false">IF(CA1198=1,0,ROUNDUP(BA1198/BZ1198,0))</f>
        <v>1</v>
      </c>
      <c r="BC1198" s="64" t="n">
        <f aca="false">IF(CR1198&gt;0,CR1198*MAX(1,BA1198/X1198),IF(CA1198=1,IF(BA1198&lt;=0,0,CE1198*MAX(1,IF(H1198&gt;0,BA1198/H1198,1))),IF(R1198&gt;0,BB1198/R1198,0))/MAX(0.1,N(Parameter!$M$21)))</f>
        <v>0.25</v>
      </c>
      <c r="BD1198" s="62" t="n">
        <f aca="false">BC1198*CC1198</f>
        <v>58.75</v>
      </c>
      <c r="BE1198" s="63" t="n">
        <f aca="false">IF(LEFT(Cockpit!$O$5,1)="A",H1198,IF(CI1198=1,(CL1198+CJ1198)/2,IF(LEFT(Cockpit!$O$5,1)="B",(CL1198+BG1198)/2,MAX((CL1198+BG1198)/2,H1198))))</f>
        <v>0.5</v>
      </c>
      <c r="BF1198" s="62" t="n">
        <f aca="false">BE1198*G1198</f>
        <v>60.29</v>
      </c>
      <c r="BG1198" s="62" t="n">
        <f aca="false">ROUNDUP(CL1198+MAX(CM1198,2*(J1198/IF(CH1198&gt;0,CH1198,MAX(0.1,N(Cockpit!$O$6)))-CL1198)),0)</f>
        <v>1</v>
      </c>
      <c r="BH1198" s="63" t="n">
        <f aca="false">IF(BD1198&gt;0,J1198/BD1198,-1)</f>
        <v>0</v>
      </c>
      <c r="BI1198" s="63" t="str">
        <f aca="false">IF(AND(OR(CG1198="L1",CG1198="L23",CG1198="LIFT"),BD1198&gt;0),SUMIFS($BD$7:$BD$1843,$CG$7:$CG$1843,CG1198,$BH$7:$BH$1843,"&gt;"&amp;BH1198)+SUMIFS($BD$7:$BD$1843,$CG$7:$CG$1843,CG1198,$BH$7:$BH$1843,BH1198,$BX$7:$BX$1843,"&lt;="&amp;BX1198),"")</f>
        <v/>
      </c>
      <c r="BJ1198" s="70" t="n">
        <f aca="false">IF(BI1198="",0,MAX(0,MIN(1,(IF(CG1198="L1",Parameter!$H$5,IF(CG1198="L23",Parameter!$H$6+Parameter!$H$7,Parameter!$H$5+Parameter!$H$6+Parameter!$H$7))-(BI1198-BD1198))/BD1198)))</f>
        <v>0</v>
      </c>
      <c r="BK1198" s="60" t="str">
        <f aca="false">IF(AJ1198&lt;=0,"",IF(CG1198="Aussen","Aussenlager",IF(CG1198="-","Nicht im Lift",IF(AP1198&gt;=1,"Lift",IF(AP1198&lt;=0,"Aussenlager","teilweise")))))</f>
        <v/>
      </c>
      <c r="BL1198" s="60" t="str">
        <f aca="false">IF(AT1198&lt;=0,"",IF(CG1198="Aussen","Aussenlager",IF(CG1198="-","Nicht im Lift",IF(AZ1198&gt;=1,"Lift",IF(AZ1198&lt;=0,"Aussenlager","teilweise")))))</f>
        <v>Nicht im Lift</v>
      </c>
      <c r="BM1198" s="60" t="str">
        <f aca="false">IF(BD1198&lt;=0,"",IF(CG1198="Aussen","Aussenlager",IF(CG1198="-","Nicht im Lift",IF(BJ1198&gt;=1,"Lift",IF(BJ1198&lt;=0,"Aussenlager","teilweise")))))</f>
        <v>Nicht im Lift</v>
      </c>
      <c r="BN1198" s="60" t="str">
        <f aca="false">IF(A1198="","",IF(BW1198=1,"Neu; ","")&amp;IF(AND(BW1198=0,BR1198&lt;0),"negativer Bestand (Export "&amp;BR1198&amp;"); ","")&amp;IF(J1198&lt;=0,"Kein Verbrauch; ","")&amp;IF(CR1198&gt;0,"Lift "&amp;W1198&amp;" lt. Liftbericht (Fach "&amp;X1198&amp;" Stk); ",IF(CB1198=1,"Gebinde geschätzt ("&amp;T1198&amp;"); ",IF(CA1198=1,"Lose – Tablare geschätzt; ","")))&amp;IF(H1198&gt;AW1198,"Überbestand "&amp;ROUND(H1198-AW1198,0)&amp;" Stk / CHF "&amp;ROUND((H1198-AW1198)*G1198,0)&amp;"; ","")&amp;IF(AND(CI1198=1,CJ1198&lt;CK1198),"MAX &lt; MB+LG; ","")&amp;IF(AND(CQ1198&gt;0,CP1198*10&gt;CQ1198),"zu hoch für Tablar; ","")&amp;IF(AND(BW1198=0,OR(CI1198=1,AB1198&lt;&gt;"",U1198&lt;&gt;"",V1198&lt;&gt;"",AC1198&lt;&gt;"")),"manuell übersteuert; ","")&amp;IF(AND(CA1198=0,R1198=0),"Gebinde unbekannt / Stellmass fehlt; ","")&amp;IF(AND(CA1198=0,N(V1198)&lt;=0,N(Q1198)&lt;=0),"Menge pro Gebinde fehlt (Ist = 1 Gebinde); ","")&amp;BV1198)</f>
        <v>negativer Bestand (Export -4); Kein Verbrauch; Gebinde geschätzt (Gross); Menge pro Gebinde fehlt (Ist = 1 Gebinde); </v>
      </c>
      <c r="BO1198" s="60"/>
      <c r="BP1198" s="60"/>
      <c r="BQ1198" s="67"/>
      <c r="BR1198" s="62" t="n">
        <v>-4</v>
      </c>
      <c r="BS1198" s="62" t="n">
        <v>4</v>
      </c>
      <c r="BT1198" s="61" t="n">
        <v>-482.32</v>
      </c>
      <c r="BU1198" s="62" t="n">
        <v>0</v>
      </c>
      <c r="BV1198" s="60"/>
      <c r="BW1198" s="65" t="n">
        <v>0</v>
      </c>
      <c r="BX1198" s="65" t="n">
        <v>1198</v>
      </c>
      <c r="BY1198" s="60" t="str">
        <f aca="false">IF(U1198&lt;&gt;"",UPPER(TRIM(U1198)),IF(CB1198=1,UPPER(VLOOKUP(T1198,Parameter!$I$27:$K$29,2,0)),IF(P1198="","LOSE",P1198)))</f>
        <v>S81</v>
      </c>
      <c r="BZ1198" s="62" t="n">
        <f aca="false">IF(BY1198="LOSE",1,IF(N(V1198)&gt;0,V1198,IF(CB1198=1,MAX(1,N(VLOOKUP(T1198,Parameter!$I$27:$K$29,3,0)),H1198,N(N1198)),IF(N(Q1198)&gt;0,Q1198,MAX(1,H1198)))))</f>
        <v>2</v>
      </c>
      <c r="CA1198" s="65" t="n">
        <f aca="false">IF(BY1198="LOSE",1,0)</f>
        <v>0</v>
      </c>
      <c r="CB1198" s="65" t="n">
        <f aca="false">IF(AND(U1198="",OR(P1198="",P1198="LOSE"),T1198&lt;&gt;"",N(S1198)&lt;=0,ISNUMBER(MATCH(T1198,Parameter!$I$27:$I$29,0))),1,0)</f>
        <v>1</v>
      </c>
      <c r="CC1198" s="65" t="n">
        <f aca="false">IF(CR1198&gt;0,INDEX(Parameter!$H$5:$H$7,W1198)/INDEX(Parameter!$E$5:$E$7,W1198),IF(AND(CA1198=0,N(IFERROR(VLOOKUP(BY1198,'Gebinde-Kategorie'!$A$5:$N$45,14,0),0))&gt;0),VLOOKUP(BY1198,'Gebinde-Kategorie'!$A$5:$N$45,14,0)*10+Parameter!$M$23,Parameter!$M$24))</f>
        <v>235</v>
      </c>
      <c r="CD1198" s="60" t="str">
        <f aca="false">IF(AND(Parameter!$B$19="Ja",E1198&lt;&gt;"",ISNUMBER(MATCH(E1198,Parameter!$I$35:$I$52,0))),VLOOKUP(E1198,Parameter!$I$35:$J$52,2,0),IFERROR(VLOOKUP(D1198,Parameter!$A$35:$C$64,2,0),"Nein"))</f>
        <v>Nein</v>
      </c>
      <c r="CE1198" s="64" t="n">
        <f aca="false">IF(CA1198=0,0,IF(N(S1198)&gt;0,S1198,IFERROR(VLOOKUP(D1198,Parameter!$A$35:$C$64,3,0)+0,0)))</f>
        <v>0</v>
      </c>
      <c r="CF1198" s="60" t="str">
        <f aca="false">IF(AB1198&lt;&gt;"",AB1198,AA1198)</f>
        <v>-</v>
      </c>
      <c r="CG1198" s="60" t="str">
        <f aca="false">IF(OR(CF1198=1,CF1198=2,CF1198=3),IF(Parameter!$E$27="Ja","LIFT",IF(CF1198=1,"L1","L23")),IF(CF1198="Aussen","Aussen","-"))</f>
        <v>-</v>
      </c>
      <c r="CH1198" s="71" t="n">
        <f aca="false">IF(N(AC1198)&gt;0,AC1198,0)</f>
        <v>0</v>
      </c>
      <c r="CI1198" s="65" t="n">
        <f aca="false">IF(ISNUMBER(AF1198),1,0)</f>
        <v>0</v>
      </c>
      <c r="CJ1198" s="62" t="n">
        <f aca="false">N(AF1198)</f>
        <v>0</v>
      </c>
      <c r="CK1198" s="62" t="n">
        <f aca="false">N(M1198)+N(N1198)</f>
        <v>1</v>
      </c>
      <c r="CL1198" s="62" t="n">
        <f aca="false">N(M1198)</f>
        <v>0</v>
      </c>
      <c r="CM1198" s="62" t="n">
        <f aca="false">N(N1198)</f>
        <v>1</v>
      </c>
      <c r="CN1198" s="62" t="n">
        <f aca="false">ROUNDUP(H1198/BZ1198,0)</f>
        <v>0</v>
      </c>
      <c r="CO1198" s="62" t="n">
        <f aca="false">ROUNDUP(CJ1198/BZ1198,0)</f>
        <v>0</v>
      </c>
      <c r="CP1198" s="65" t="n">
        <f aca="false">IF(CA1198=1,0,IFERROR(VLOOKUP(BY1198,'Gebinde-Kategorie'!$A$5:$N$45,5,0)+0,0))</f>
        <v>20</v>
      </c>
      <c r="CQ1198" s="65" t="n">
        <f aca="false">IFERROR(IF(OR(CF1198=1,CF1198=2,CF1198=3),N(INDEX(Parameter!$I$5:$I$7,CF1198)),0),0)</f>
        <v>0</v>
      </c>
      <c r="CR1198" s="64" t="n">
        <f aca="false">IF(AND(Parameter!$B$21="Ja",ISNUMBER(W1198),N(X1198)&gt;0),IFERROR(N(INDEX(Parameter!$L$5:$L$7,W1198))*INDEX(Parameter!$E$5:$E$7,W1198)*X1198/SUMIFS($X$7:$X$1843,$W$7:$W$1843,W1198),0),0)</f>
        <v>0</v>
      </c>
      <c r="CS1198" s="62" t="str">
        <f aca="false">IF(AND(OR(CG1198="L1",CG1198="L23",CG1198="LIFT"),H1198&gt;0),CC1198*IF(CR1198&gt;0,CR1198*MAX(1,H1198/X1198),IF(CA1198=1,CE1198,IF(R1198&gt;0,CN1198/R1198,0))/MAX(0.1,N(Parameter!$M$21))),"")</f>
        <v/>
      </c>
      <c r="CT1198" s="64" t="str">
        <f aca="false">IF(CS1198="","",J1198/H1198)</f>
        <v/>
      </c>
      <c r="CU1198" s="62" t="str">
        <f aca="false">IF(CS1198="","",H1198*G1198)</f>
        <v/>
      </c>
      <c r="CV1198" s="63" t="str">
        <f aca="false">IF(CS1198="","",(CL1198+ROUNDUP(CL1198+MAX(CM1198,2*(J1198/MAX(0.1,N(Einkauf!$C$6))-CL1198)),0))/2)</f>
        <v/>
      </c>
      <c r="CW1198" s="62" t="str">
        <f aca="false">IF(CS1198="","",MAX(0,H1198-CV1198)*G1198)</f>
        <v/>
      </c>
      <c r="CX1198" s="62" t="str">
        <f aca="false">IF(CS1198="","",CS1198*MAX(0,1-CV1198/H1198))</f>
        <v/>
      </c>
      <c r="CY1198" s="64" t="str">
        <f aca="false">IF(CS1198="","",PERCENTRANK($CS$7:$CS$1843,CS1198)+PERCENTRANK($CU$7:$CU$1843,CU1198)+1-PERCENTRANK($CT$7:$CT$1843,CT1198))</f>
        <v/>
      </c>
      <c r="CZ1198" s="72" t="str">
        <f aca="false">IF(CS1198="","",CHOOSE(MATCH(Einkauf!$C$5,Parameter!$G$23:$G$27,0),CY1198,CS1198,CU1198,-CT1198,CW1198)+ROW()/1000000000)</f>
        <v/>
      </c>
    </row>
    <row r="1199" customFormat="false" ht="15" hidden="false" customHeight="false" outlineLevel="0" collapsed="false">
      <c r="A1199" s="60" t="s">
        <v>2198</v>
      </c>
      <c r="B1199" s="60" t="s">
        <v>549</v>
      </c>
      <c r="C1199" s="60" t="s">
        <v>206</v>
      </c>
      <c r="D1199" s="60" t="s">
        <v>226</v>
      </c>
      <c r="E1199" s="60" t="s">
        <v>227</v>
      </c>
      <c r="F1199" s="60" t="s">
        <v>260</v>
      </c>
      <c r="G1199" s="61" t="n">
        <v>2.22</v>
      </c>
      <c r="H1199" s="62" t="n">
        <f aca="false">MAX(0,IF(AND(Parameter!$B$21="Ja",ISNUMBER(Y1199)),Y1199,IF(Parameter!$B$20="Jahresanfang 2025 + Export",BS1199+BR1199,BR1199)))</f>
        <v>102</v>
      </c>
      <c r="I1199" s="62" t="n">
        <f aca="false">H1199*G1199</f>
        <v>226.44</v>
      </c>
      <c r="J1199" s="62" t="n">
        <f aca="false">BU1199*Parameter!$B$18</f>
        <v>361</v>
      </c>
      <c r="K1199" s="63" t="n">
        <v>284.5</v>
      </c>
      <c r="L1199" s="64" t="n">
        <v>1.2688927943761</v>
      </c>
      <c r="M1199" s="62" t="n">
        <v>21</v>
      </c>
      <c r="N1199" s="62" t="n">
        <v>360</v>
      </c>
      <c r="O1199" s="65" t="n">
        <v>21</v>
      </c>
      <c r="P1199" s="60" t="s">
        <v>344</v>
      </c>
      <c r="Q1199" s="62" t="n">
        <v>215</v>
      </c>
      <c r="R1199" s="65" t="n">
        <f aca="false">IF(CA1199=1,0,IFERROR(VLOOKUP(BY1199,'Gebinde-Kategorie'!$A$5:$N$45,13,0)+0,0))</f>
        <v>26</v>
      </c>
      <c r="S1199" s="66"/>
      <c r="T1199" s="67"/>
      <c r="U1199" s="67"/>
      <c r="V1199" s="67"/>
      <c r="W1199" s="60"/>
      <c r="X1199" s="62"/>
      <c r="Y1199" s="62"/>
      <c r="Z1199" s="60" t="n">
        <v>3</v>
      </c>
      <c r="AA1199" s="60" t="n">
        <f aca="false">IF(A1199="","",IF(AND(Parameter!$B$21="Ja",ISNUMBER(W1199)),W1199,IF(AND(Parameter!$E$27="Ja",ISNUMBER(Z1199),CD1199&lt;&gt;"Nein"),Z1199,IF(CD1199="2+3",IF(ISNUMBER(SEARCH("grosser Artikel",BV1199)),2,IFERROR(VLOOKUP(BY1199,Parameter!$F$35:$G$64,2,0),2)),IF(OR(CD1199="Nein",CD1199=""),"-",CD1199)))))</f>
        <v>3</v>
      </c>
      <c r="AB1199" s="67"/>
      <c r="AC1199" s="68"/>
      <c r="AD1199" s="62" t="n">
        <f aca="false">AW1199</f>
        <v>381</v>
      </c>
      <c r="AE1199" s="62" t="n">
        <f aca="false">MAX(AW1199,H1199)</f>
        <v>381</v>
      </c>
      <c r="AF1199" s="69"/>
      <c r="AG1199" s="62" t="n">
        <f aca="false">IF(LEFT(Cockpit!$C$5,1)="A",H1199,IF(Parameter!$E$30="MAX-Bestand",IF(CI1199=1,CJ1199,IF(LEFT(Cockpit!$C$5,1)="B",AM1199,MAX(AM1199,H1199))),ROUNDUP(AK1199,0)))</f>
        <v>102</v>
      </c>
      <c r="AH1199" s="62" t="n">
        <f aca="false">IF(CA1199=1,0,ROUNDUP(AG1199/BZ1199,0))</f>
        <v>1</v>
      </c>
      <c r="AI1199" s="64" t="n">
        <f aca="false">IF(CR1199&gt;0,CR1199*MAX(1,AG1199/X1199),IF(CA1199=1,IF(AG1199&lt;=0,0,CE1199*MAX(1,IF(H1199&gt;0,AG1199/H1199,1))),IF(R1199&gt;0,AH1199/R1199,0))/MAX(0.1,N(Parameter!$M$21)))</f>
        <v>0.0384615384615385</v>
      </c>
      <c r="AJ1199" s="62" t="n">
        <f aca="false">AI1199*CC1199</f>
        <v>5.96153846153846</v>
      </c>
      <c r="AK1199" s="63" t="n">
        <f aca="false">IF(LEFT(Cockpit!$C$5,1)="A",H1199,IF(CI1199=1,(CL1199+CJ1199)/2,IF(LEFT(Cockpit!$C$5,1)="B",(CL1199+AM1199)/2,MAX((CL1199+AM1199)/2,H1199))))</f>
        <v>102</v>
      </c>
      <c r="AL1199" s="62" t="n">
        <f aca="false">AK1199*G1199</f>
        <v>226.44</v>
      </c>
      <c r="AM1199" s="62" t="n">
        <f aca="false">ROUNDUP(CL1199+MAX(CM1199,2*(J1199/IF(CH1199&gt;0,CH1199,MAX(0.1,N(Cockpit!$C$6)))-CL1199)),0)</f>
        <v>381</v>
      </c>
      <c r="AN1199" s="63" t="n">
        <f aca="false">IF(AJ1199&gt;0,J1199/AJ1199,-1)</f>
        <v>60.5548387096774</v>
      </c>
      <c r="AO1199" s="63" t="n">
        <f aca="false">IF(AND(OR(CG1199="L1",CG1199="L23",CG1199="LIFT"),AJ1199&gt;0),SUMIFS($AJ$7:$AJ$1843,$CG$7:$CG$1843,CG1199,$AN$7:$AN$1843,"&gt;"&amp;AN1199)+SUMIFS($AJ$7:$AJ$1843,$CG$7:$CG$1843,CG1199,$AN$7:$AN$1843,AN1199,$BX$7:$BX$1843,"&lt;="&amp;BX1199),"")</f>
        <v>985.429945054945</v>
      </c>
      <c r="AP1199" s="70" t="n">
        <f aca="false">IF(AO1199="",0,MAX(0,MIN(1,(IF(CG1199="L1",Parameter!$H$5,IF(CG1199="L23",Parameter!$H$6+Parameter!$H$7,Parameter!$H$5+Parameter!$H$6+Parameter!$H$7))-(AO1199-AJ1199))/AJ1199)))</f>
        <v>1</v>
      </c>
      <c r="AQ1199" s="62" t="n">
        <f aca="false">IF(LEFT(Cockpit!$I$5,1)="A",H1199,IF(Parameter!$E$30="MAX-Bestand",IF(CI1199=1,CJ1199,IF(LEFT(Cockpit!$I$5,1)="B",AW1199,MAX(AW1199,H1199))),ROUNDUP(AU1199,0)))</f>
        <v>201</v>
      </c>
      <c r="AR1199" s="62" t="n">
        <f aca="false">IF(CA1199=1,0,ROUNDUP(AQ1199/BZ1199,0))</f>
        <v>1</v>
      </c>
      <c r="AS1199" s="64" t="n">
        <f aca="false">IF(CR1199&gt;0,CR1199*MAX(1,AQ1199/X1199),IF(CA1199=1,IF(AQ1199&lt;=0,0,CE1199*MAX(1,IF(H1199&gt;0,AQ1199/H1199,1))),IF(R1199&gt;0,AR1199/R1199,0))/MAX(0.1,N(Parameter!$M$21)))</f>
        <v>0.0384615384615385</v>
      </c>
      <c r="AT1199" s="62" t="n">
        <f aca="false">AS1199*CC1199</f>
        <v>5.96153846153846</v>
      </c>
      <c r="AU1199" s="63" t="n">
        <f aca="false">IF(LEFT(Cockpit!$I$5,1)="A",H1199,IF(CI1199=1,(CL1199+CJ1199)/2,IF(LEFT(Cockpit!$I$5,1)="B",(CL1199+AW1199)/2,MAX((CL1199+AW1199)/2,H1199))))</f>
        <v>201</v>
      </c>
      <c r="AV1199" s="62" t="n">
        <f aca="false">AU1199*G1199</f>
        <v>446.22</v>
      </c>
      <c r="AW1199" s="62" t="n">
        <f aca="false">ROUNDUP(CL1199+MAX(CM1199,2*(J1199/IF(CH1199&gt;0,CH1199,MAX(0.1,N(Cockpit!$I$6)))-CL1199)),0)</f>
        <v>381</v>
      </c>
      <c r="AX1199" s="63" t="n">
        <f aca="false">IF(AT1199&gt;0,J1199/AT1199,-1)</f>
        <v>60.5548387096774</v>
      </c>
      <c r="AY1199" s="63" t="n">
        <f aca="false">IF(AND(OR(CG1199="L1",CG1199="L23",CG1199="LIFT"),AT1199&gt;0),SUMIFS($AT$7:$AT$1843,$CG$7:$CG$1843,CG1199,$AX$7:$AX$1843,"&gt;"&amp;AX1199)+SUMIFS($AT$7:$AT$1843,$CG$7:$CG$1843,CG1199,$AX$7:$AX$1843,AX1199,$BX$7:$BX$1843,"&lt;="&amp;BX1199),"")</f>
        <v>1187.81181318681</v>
      </c>
      <c r="AZ1199" s="70" t="n">
        <f aca="false">IF(AY1199="",0,MAX(0,MIN(1,(IF(CG1199="L1",Parameter!$H$5,IF(CG1199="L23",Parameter!$H$6+Parameter!$H$7,Parameter!$H$5+Parameter!$H$6+Parameter!$H$7))-(AY1199-AT1199))/AT1199)))</f>
        <v>1</v>
      </c>
      <c r="BA1199" s="62" t="n">
        <f aca="false">IF(LEFT(Cockpit!$O$5,1)="A",H1199,IF(Parameter!$E$30="MAX-Bestand",IF(CI1199=1,CJ1199,IF(LEFT(Cockpit!$O$5,1)="B",BG1199,MAX(BG1199,H1199))),ROUNDUP(BE1199,0)))</f>
        <v>201</v>
      </c>
      <c r="BB1199" s="62" t="n">
        <f aca="false">IF(CA1199=1,0,ROUNDUP(BA1199/BZ1199,0))</f>
        <v>1</v>
      </c>
      <c r="BC1199" s="64" t="n">
        <f aca="false">IF(CR1199&gt;0,CR1199*MAX(1,BA1199/X1199),IF(CA1199=1,IF(BA1199&lt;=0,0,CE1199*MAX(1,IF(H1199&gt;0,BA1199/H1199,1))),IF(R1199&gt;0,BB1199/R1199,0))/MAX(0.1,N(Parameter!$M$21)))</f>
        <v>0.0384615384615385</v>
      </c>
      <c r="BD1199" s="62" t="n">
        <f aca="false">BC1199*CC1199</f>
        <v>5.96153846153846</v>
      </c>
      <c r="BE1199" s="63" t="n">
        <f aca="false">IF(LEFT(Cockpit!$O$5,1)="A",H1199,IF(CI1199=1,(CL1199+CJ1199)/2,IF(LEFT(Cockpit!$O$5,1)="B",(CL1199+BG1199)/2,MAX((CL1199+BG1199)/2,H1199))))</f>
        <v>201</v>
      </c>
      <c r="BF1199" s="62" t="n">
        <f aca="false">BE1199*G1199</f>
        <v>446.22</v>
      </c>
      <c r="BG1199" s="62" t="n">
        <f aca="false">ROUNDUP(CL1199+MAX(CM1199,2*(J1199/IF(CH1199&gt;0,CH1199,MAX(0.1,N(Cockpit!$O$6)))-CL1199)),0)</f>
        <v>381</v>
      </c>
      <c r="BH1199" s="63" t="n">
        <f aca="false">IF(BD1199&gt;0,J1199/BD1199,-1)</f>
        <v>60.5548387096774</v>
      </c>
      <c r="BI1199" s="63" t="n">
        <f aca="false">IF(AND(OR(CG1199="L1",CG1199="L23",CG1199="LIFT"),BD1199&gt;0),SUMIFS($BD$7:$BD$1843,$CG$7:$CG$1843,CG1199,$BH$7:$BH$1843,"&gt;"&amp;BH1199)+SUMIFS($BD$7:$BD$1843,$CG$7:$CG$1843,CG1199,$BH$7:$BH$1843,BH1199,$BX$7:$BX$1843,"&lt;="&amp;BX1199),"")</f>
        <v>1116.97344322344</v>
      </c>
      <c r="BJ1199" s="70" t="n">
        <f aca="false">IF(BI1199="",0,MAX(0,MIN(1,(IF(CG1199="L1",Parameter!$H$5,IF(CG1199="L23",Parameter!$H$6+Parameter!$H$7,Parameter!$H$5+Parameter!$H$6+Parameter!$H$7))-(BI1199-BD1199))/BD1199)))</f>
        <v>1</v>
      </c>
      <c r="BK1199" s="60" t="str">
        <f aca="false">IF(AJ1199&lt;=0,"",IF(CG1199="Aussen","Aussenlager",IF(CG1199="-","Nicht im Lift",IF(AP1199&gt;=1,"Lift",IF(AP1199&lt;=0,"Aussenlager","teilweise")))))</f>
        <v>Lift</v>
      </c>
      <c r="BL1199" s="60" t="str">
        <f aca="false">IF(AT1199&lt;=0,"",IF(CG1199="Aussen","Aussenlager",IF(CG1199="-","Nicht im Lift",IF(AZ1199&gt;=1,"Lift",IF(AZ1199&lt;=0,"Aussenlager","teilweise")))))</f>
        <v>Lift</v>
      </c>
      <c r="BM1199" s="60" t="str">
        <f aca="false">IF(BD1199&lt;=0,"",IF(CG1199="Aussen","Aussenlager",IF(CG1199="-","Nicht im Lift",IF(BJ1199&gt;=1,"Lift",IF(BJ1199&lt;=0,"Aussenlager","teilweise")))))</f>
        <v>Lift</v>
      </c>
      <c r="BN1199" s="60" t="str">
        <f aca="false">IF(A1199="","",IF(BW1199=1,"Neu; ","")&amp;IF(AND(BW1199=0,BR1199&lt;0),"negativer Bestand (Export "&amp;BR1199&amp;"); ","")&amp;IF(J1199&lt;=0,"Kein Verbrauch; ","")&amp;IF(CR1199&gt;0,"Lift "&amp;W1199&amp;" lt. Liftbericht (Fach "&amp;X1199&amp;" Stk); ",IF(CB1199=1,"Gebinde geschätzt ("&amp;T1199&amp;"); ",IF(CA1199=1,"Lose – Tablare geschätzt; ","")))&amp;IF(H1199&gt;AW1199,"Überbestand "&amp;ROUND(H1199-AW1199,0)&amp;" Stk / CHF "&amp;ROUND((H1199-AW1199)*G1199,0)&amp;"; ","")&amp;IF(AND(CI1199=1,CJ1199&lt;CK1199),"MAX &lt; MB+LG; ","")&amp;IF(AND(CQ1199&gt;0,CP1199*10&gt;CQ1199),"zu hoch für Tablar; ","")&amp;IF(AND(BW1199=0,OR(CI1199=1,AB1199&lt;&gt;"",U1199&lt;&gt;"",V1199&lt;&gt;"",AC1199&lt;&gt;"")),"manuell übersteuert; ","")&amp;IF(AND(CA1199=0,R1199=0),"Gebinde unbekannt / Stellmass fehlt; ","")&amp;IF(AND(CA1199=0,N(V1199)&lt;=0,N(Q1199)&lt;=0),"Menge pro Gebinde fehlt (Ist = 1 Gebinde); ","")&amp;BV1199)</f>
        <v>negativer Bestand (Export -209); </v>
      </c>
      <c r="BO1199" s="60"/>
      <c r="BP1199" s="60"/>
      <c r="BQ1199" s="67"/>
      <c r="BR1199" s="62" t="n">
        <v>-209</v>
      </c>
      <c r="BS1199" s="62" t="n">
        <v>311</v>
      </c>
      <c r="BT1199" s="61" t="n">
        <v>-485.539999999999</v>
      </c>
      <c r="BU1199" s="62" t="n">
        <v>361</v>
      </c>
      <c r="BV1199" s="60"/>
      <c r="BW1199" s="65" t="n">
        <v>0</v>
      </c>
      <c r="BX1199" s="65" t="n">
        <v>1199</v>
      </c>
      <c r="BY1199" s="60" t="str">
        <f aca="false">IF(U1199&lt;&gt;"",UPPER(TRIM(U1199)),IF(CB1199=1,UPPER(VLOOKUP(T1199,Parameter!$I$27:$K$29,2,0)),IF(P1199="","LOSE",P1199)))</f>
        <v>S51</v>
      </c>
      <c r="BZ1199" s="62" t="n">
        <f aca="false">IF(BY1199="LOSE",1,IF(N(V1199)&gt;0,V1199,IF(CB1199=1,MAX(1,N(VLOOKUP(T1199,Parameter!$I$27:$K$29,3,0)),H1199,N(N1199)),IF(N(Q1199)&gt;0,Q1199,MAX(1,H1199)))))</f>
        <v>215</v>
      </c>
      <c r="CA1199" s="65" t="n">
        <f aca="false">IF(BY1199="LOSE",1,0)</f>
        <v>0</v>
      </c>
      <c r="CB1199" s="65" t="n">
        <f aca="false">IF(AND(U1199="",OR(P1199="",P1199="LOSE"),T1199&lt;&gt;"",N(S1199)&lt;=0,ISNUMBER(MATCH(T1199,Parameter!$I$27:$I$29,0))),1,0)</f>
        <v>0</v>
      </c>
      <c r="CC1199" s="65" t="n">
        <f aca="false">IF(CR1199&gt;0,INDEX(Parameter!$H$5:$H$7,W1199)/INDEX(Parameter!$E$5:$E$7,W1199),IF(AND(CA1199=0,N(IFERROR(VLOOKUP(BY1199,'Gebinde-Kategorie'!$A$5:$N$45,14,0),0))&gt;0),VLOOKUP(BY1199,'Gebinde-Kategorie'!$A$5:$N$45,14,0)*10+Parameter!$M$23,Parameter!$M$24))</f>
        <v>155</v>
      </c>
      <c r="CD1199" s="60" t="str">
        <f aca="false">IF(AND(Parameter!$B$19="Ja",E1199&lt;&gt;"",ISNUMBER(MATCH(E1199,Parameter!$I$35:$I$52,0))),VLOOKUP(E1199,Parameter!$I$35:$J$52,2,0),IFERROR(VLOOKUP(D1199,Parameter!$A$35:$C$64,2,0),"Nein"))</f>
        <v>2+3</v>
      </c>
      <c r="CE1199" s="64" t="n">
        <f aca="false">IF(CA1199=0,0,IF(N(S1199)&gt;0,S1199,IFERROR(VLOOKUP(D1199,Parameter!$A$35:$C$64,3,0)+0,0)))</f>
        <v>0</v>
      </c>
      <c r="CF1199" s="60" t="n">
        <f aca="false">IF(AB1199&lt;&gt;"",AB1199,AA1199)</f>
        <v>3</v>
      </c>
      <c r="CG1199" s="60" t="str">
        <f aca="false">IF(OR(CF1199=1,CF1199=2,CF1199=3),IF(Parameter!$E$27="Ja","LIFT",IF(CF1199=1,"L1","L23")),IF(CF1199="Aussen","Aussen","-"))</f>
        <v>LIFT</v>
      </c>
      <c r="CH1199" s="71" t="n">
        <f aca="false">IF(N(AC1199)&gt;0,AC1199,0)</f>
        <v>0</v>
      </c>
      <c r="CI1199" s="65" t="n">
        <f aca="false">IF(ISNUMBER(AF1199),1,0)</f>
        <v>0</v>
      </c>
      <c r="CJ1199" s="62" t="n">
        <f aca="false">N(AF1199)</f>
        <v>0</v>
      </c>
      <c r="CK1199" s="62" t="n">
        <f aca="false">N(M1199)+N(N1199)</f>
        <v>381</v>
      </c>
      <c r="CL1199" s="62" t="n">
        <f aca="false">N(M1199)</f>
        <v>21</v>
      </c>
      <c r="CM1199" s="62" t="n">
        <f aca="false">N(N1199)</f>
        <v>360</v>
      </c>
      <c r="CN1199" s="62" t="n">
        <f aca="false">ROUNDUP(H1199/BZ1199,0)</f>
        <v>1</v>
      </c>
      <c r="CO1199" s="62" t="n">
        <f aca="false">ROUNDUP(CJ1199/BZ1199,0)</f>
        <v>0</v>
      </c>
      <c r="CP1199" s="65" t="n">
        <f aca="false">IF(CA1199=1,0,IFERROR(VLOOKUP(BY1199,'Gebinde-Kategorie'!$A$5:$N$45,5,0)+0,0))</f>
        <v>11</v>
      </c>
      <c r="CQ1199" s="65" t="n">
        <f aca="false">IFERROR(IF(OR(CF1199=1,CF1199=2,CF1199=3),N(INDEX(Parameter!$I$5:$I$7,CF1199)),0),0)</f>
        <v>0</v>
      </c>
      <c r="CR1199" s="64" t="n">
        <f aca="false">IF(AND(Parameter!$B$21="Ja",ISNUMBER(W1199),N(X1199)&gt;0),IFERROR(N(INDEX(Parameter!$L$5:$L$7,W1199))*INDEX(Parameter!$E$5:$E$7,W1199)*X1199/SUMIFS($X$7:$X$1843,$W$7:$W$1843,W1199),0),0)</f>
        <v>0</v>
      </c>
      <c r="CS1199" s="62" t="n">
        <f aca="false">IF(AND(OR(CG1199="L1",CG1199="L23",CG1199="LIFT"),H1199&gt;0),CC1199*IF(CR1199&gt;0,CR1199*MAX(1,H1199/X1199),IF(CA1199=1,CE1199,IF(R1199&gt;0,CN1199/R1199,0))/MAX(0.1,N(Parameter!$M$21))),"")</f>
        <v>5.96153846153846</v>
      </c>
      <c r="CT1199" s="64" t="n">
        <f aca="false">IF(CS1199="","",J1199/H1199)</f>
        <v>3.53921568627451</v>
      </c>
      <c r="CU1199" s="62" t="n">
        <f aca="false">IF(CS1199="","",H1199*G1199)</f>
        <v>226.44</v>
      </c>
      <c r="CV1199" s="63" t="n">
        <f aca="false">IF(CS1199="","",(CL1199+ROUNDUP(CL1199+MAX(CM1199,2*(J1199/MAX(0.1,N(Einkauf!$C$6))-CL1199)),0))/2)</f>
        <v>201</v>
      </c>
      <c r="CW1199" s="62" t="n">
        <f aca="false">IF(CS1199="","",MAX(0,H1199-CV1199)*G1199)</f>
        <v>0</v>
      </c>
      <c r="CX1199" s="62" t="n">
        <f aca="false">IF(CS1199="","",CS1199*MAX(0,1-CV1199/H1199))</f>
        <v>0</v>
      </c>
      <c r="CY1199" s="64" t="n">
        <f aca="false">IF(CS1199="","",PERCENTRANK($CS$7:$CS$1843,CS1199)+PERCENTRANK($CU$7:$CU$1843,CU1199)+1-PERCENTRANK($CT$7:$CT$1843,CT1199))</f>
        <v>0.797</v>
      </c>
      <c r="CZ1199" s="72" t="n">
        <f aca="false">IF(CS1199="","",CHOOSE(MATCH(Einkauf!$C$5,Parameter!$G$23:$G$27,0),CY1199,CS1199,CU1199,-CT1199,CW1199)+ROW()/1000000000)</f>
        <v>0.797001199</v>
      </c>
    </row>
    <row r="1200" customFormat="false" ht="15" hidden="false" customHeight="false" outlineLevel="0" collapsed="false">
      <c r="A1200" s="60" t="s">
        <v>2199</v>
      </c>
      <c r="B1200" s="60" t="s">
        <v>416</v>
      </c>
      <c r="C1200" s="60" t="s">
        <v>206</v>
      </c>
      <c r="D1200" s="60" t="s">
        <v>226</v>
      </c>
      <c r="E1200" s="60" t="s">
        <v>227</v>
      </c>
      <c r="F1200" s="60" t="s">
        <v>260</v>
      </c>
      <c r="G1200" s="61" t="n">
        <v>15.83</v>
      </c>
      <c r="H1200" s="62" t="n">
        <f aca="false">MAX(0,IF(AND(Parameter!$B$21="Ja",ISNUMBER(Y1200)),Y1200,IF(Parameter!$B$20="Jahresanfang 2025 + Export",BS1200+BR1200,BR1200)))</f>
        <v>22</v>
      </c>
      <c r="I1200" s="62" t="n">
        <f aca="false">H1200*G1200</f>
        <v>348.26</v>
      </c>
      <c r="J1200" s="62" t="n">
        <f aca="false">BU1200*Parameter!$B$18</f>
        <v>69</v>
      </c>
      <c r="K1200" s="63" t="n">
        <v>45</v>
      </c>
      <c r="L1200" s="64" t="n">
        <v>1.53333333333333</v>
      </c>
      <c r="M1200" s="62" t="n">
        <v>2</v>
      </c>
      <c r="N1200" s="62" t="n">
        <v>70</v>
      </c>
      <c r="O1200" s="65" t="n">
        <v>14</v>
      </c>
      <c r="P1200" s="60" t="s">
        <v>463</v>
      </c>
      <c r="Q1200" s="62" t="n">
        <v>30</v>
      </c>
      <c r="R1200" s="65" t="n">
        <f aca="false">IF(CA1200=1,0,IFERROR(VLOOKUP(BY1200,'Gebinde-Kategorie'!$A$5:$N$45,13,0)+0,0))</f>
        <v>104</v>
      </c>
      <c r="S1200" s="66"/>
      <c r="T1200" s="67"/>
      <c r="U1200" s="67"/>
      <c r="V1200" s="67"/>
      <c r="W1200" s="60"/>
      <c r="X1200" s="62"/>
      <c r="Y1200" s="62"/>
      <c r="Z1200" s="60" t="n">
        <v>2</v>
      </c>
      <c r="AA1200" s="60" t="n">
        <f aca="false">IF(A1200="","",IF(AND(Parameter!$B$21="Ja",ISNUMBER(W1200)),W1200,IF(AND(Parameter!$E$27="Ja",ISNUMBER(Z1200),CD1200&lt;&gt;"Nein"),Z1200,IF(CD1200="2+3",IF(ISNUMBER(SEARCH("grosser Artikel",BV1200)),2,IFERROR(VLOOKUP(BY1200,Parameter!$F$35:$G$64,2,0),2)),IF(OR(CD1200="Nein",CD1200=""),"-",CD1200)))))</f>
        <v>2</v>
      </c>
      <c r="AB1200" s="67"/>
      <c r="AC1200" s="68"/>
      <c r="AD1200" s="62" t="n">
        <f aca="false">AW1200</f>
        <v>72</v>
      </c>
      <c r="AE1200" s="62" t="n">
        <f aca="false">MAX(AW1200,H1200)</f>
        <v>72</v>
      </c>
      <c r="AF1200" s="69"/>
      <c r="AG1200" s="62" t="n">
        <f aca="false">IF(LEFT(Cockpit!$C$5,1)="A",H1200,IF(Parameter!$E$30="MAX-Bestand",IF(CI1200=1,CJ1200,IF(LEFT(Cockpit!$C$5,1)="B",AM1200,MAX(AM1200,H1200))),ROUNDUP(AK1200,0)))</f>
        <v>22</v>
      </c>
      <c r="AH1200" s="62" t="n">
        <f aca="false">IF(CA1200=1,0,ROUNDUP(AG1200/BZ1200,0))</f>
        <v>1</v>
      </c>
      <c r="AI1200" s="64" t="n">
        <f aca="false">IF(CR1200&gt;0,CR1200*MAX(1,AG1200/X1200),IF(CA1200=1,IF(AG1200&lt;=0,0,CE1200*MAX(1,IF(H1200&gt;0,AG1200/H1200,1))),IF(R1200&gt;0,AH1200/R1200,0))/MAX(0.1,N(Parameter!$M$21)))</f>
        <v>0.00961538461538462</v>
      </c>
      <c r="AJ1200" s="62" t="n">
        <f aca="false">AI1200*CC1200</f>
        <v>1.49038461538462</v>
      </c>
      <c r="AK1200" s="63" t="n">
        <f aca="false">IF(LEFT(Cockpit!$C$5,1)="A",H1200,IF(CI1200=1,(CL1200+CJ1200)/2,IF(LEFT(Cockpit!$C$5,1)="B",(CL1200+AM1200)/2,MAX((CL1200+AM1200)/2,H1200))))</f>
        <v>22</v>
      </c>
      <c r="AL1200" s="62" t="n">
        <f aca="false">AK1200*G1200</f>
        <v>348.26</v>
      </c>
      <c r="AM1200" s="62" t="n">
        <f aca="false">ROUNDUP(CL1200+MAX(CM1200,2*(J1200/IF(CH1200&gt;0,CH1200,MAX(0.1,N(Cockpit!$C$6)))-CL1200)),0)</f>
        <v>72</v>
      </c>
      <c r="AN1200" s="63" t="n">
        <f aca="false">IF(AJ1200&gt;0,J1200/AJ1200,-1)</f>
        <v>46.2967741935484</v>
      </c>
      <c r="AO1200" s="63" t="n">
        <f aca="false">IF(AND(OR(CG1200="L1",CG1200="L23",CG1200="LIFT"),AJ1200&gt;0),SUMIFS($AJ$7:$AJ$1843,$CG$7:$CG$1843,CG1200,$AN$7:$AN$1843,"&gt;"&amp;AN1200)+SUMIFS($AJ$7:$AJ$1843,$CG$7:$CG$1843,CG1200,$AN$7:$AN$1843,AN1200,$BX$7:$BX$1843,"&lt;="&amp;BX1200),"")</f>
        <v>1160.86675824176</v>
      </c>
      <c r="AP1200" s="70" t="n">
        <f aca="false">IF(AO1200="",0,MAX(0,MIN(1,(IF(CG1200="L1",Parameter!$H$5,IF(CG1200="L23",Parameter!$H$6+Parameter!$H$7,Parameter!$H$5+Parameter!$H$6+Parameter!$H$7))-(AO1200-AJ1200))/AJ1200)))</f>
        <v>1</v>
      </c>
      <c r="AQ1200" s="62" t="n">
        <f aca="false">IF(LEFT(Cockpit!$I$5,1)="A",H1200,IF(Parameter!$E$30="MAX-Bestand",IF(CI1200=1,CJ1200,IF(LEFT(Cockpit!$I$5,1)="B",AW1200,MAX(AW1200,H1200))),ROUNDUP(AU1200,0)))</f>
        <v>37</v>
      </c>
      <c r="AR1200" s="62" t="n">
        <f aca="false">IF(CA1200=1,0,ROUNDUP(AQ1200/BZ1200,0))</f>
        <v>2</v>
      </c>
      <c r="AS1200" s="64" t="n">
        <f aca="false">IF(CR1200&gt;0,CR1200*MAX(1,AQ1200/X1200),IF(CA1200=1,IF(AQ1200&lt;=0,0,CE1200*MAX(1,IF(H1200&gt;0,AQ1200/H1200,1))),IF(R1200&gt;0,AR1200/R1200,0))/MAX(0.1,N(Parameter!$M$21)))</f>
        <v>0.0192307692307692</v>
      </c>
      <c r="AT1200" s="62" t="n">
        <f aca="false">AS1200*CC1200</f>
        <v>2.98076923076923</v>
      </c>
      <c r="AU1200" s="63" t="n">
        <f aca="false">IF(LEFT(Cockpit!$I$5,1)="A",H1200,IF(CI1200=1,(CL1200+CJ1200)/2,IF(LEFT(Cockpit!$I$5,1)="B",(CL1200+AW1200)/2,MAX((CL1200+AW1200)/2,H1200))))</f>
        <v>37</v>
      </c>
      <c r="AV1200" s="62" t="n">
        <f aca="false">AU1200*G1200</f>
        <v>585.71</v>
      </c>
      <c r="AW1200" s="62" t="n">
        <f aca="false">ROUNDUP(CL1200+MAX(CM1200,2*(J1200/IF(CH1200&gt;0,CH1200,MAX(0.1,N(Cockpit!$I$6)))-CL1200)),0)</f>
        <v>72</v>
      </c>
      <c r="AX1200" s="63" t="n">
        <f aca="false">IF(AT1200&gt;0,J1200/AT1200,-1)</f>
        <v>23.1483870967742</v>
      </c>
      <c r="AY1200" s="63" t="n">
        <f aca="false">IF(AND(OR(CG1200="L1",CG1200="L23",CG1200="LIFT"),AT1200&gt;0),SUMIFS($AT$7:$AT$1843,$CG$7:$CG$1843,CG1200,$AX$7:$AX$1843,"&gt;"&amp;AX1200)+SUMIFS($AT$7:$AT$1843,$CG$7:$CG$1843,CG1200,$AX$7:$AX$1843,AX1200,$BX$7:$BX$1843,"&lt;="&amp;BX1200),"")</f>
        <v>2205.82326007326</v>
      </c>
      <c r="AZ1200" s="70" t="n">
        <f aca="false">IF(AY1200="",0,MAX(0,MIN(1,(IF(CG1200="L1",Parameter!$H$5,IF(CG1200="L23",Parameter!$H$6+Parameter!$H$7,Parameter!$H$5+Parameter!$H$6+Parameter!$H$7))-(AY1200-AT1200))/AT1200)))</f>
        <v>1</v>
      </c>
      <c r="BA1200" s="62" t="n">
        <f aca="false">IF(LEFT(Cockpit!$O$5,1)="A",H1200,IF(Parameter!$E$30="MAX-Bestand",IF(CI1200=1,CJ1200,IF(LEFT(Cockpit!$O$5,1)="B",BG1200,MAX(BG1200,H1200))),ROUNDUP(BE1200,0)))</f>
        <v>37</v>
      </c>
      <c r="BB1200" s="62" t="n">
        <f aca="false">IF(CA1200=1,0,ROUNDUP(BA1200/BZ1200,0))</f>
        <v>2</v>
      </c>
      <c r="BC1200" s="64" t="n">
        <f aca="false">IF(CR1200&gt;0,CR1200*MAX(1,BA1200/X1200),IF(CA1200=1,IF(BA1200&lt;=0,0,CE1200*MAX(1,IF(H1200&gt;0,BA1200/H1200,1))),IF(R1200&gt;0,BB1200/R1200,0))/MAX(0.1,N(Parameter!$M$21)))</f>
        <v>0.0192307692307692</v>
      </c>
      <c r="BD1200" s="62" t="n">
        <f aca="false">BC1200*CC1200</f>
        <v>2.98076923076923</v>
      </c>
      <c r="BE1200" s="63" t="n">
        <f aca="false">IF(LEFT(Cockpit!$O$5,1)="A",H1200,IF(CI1200=1,(CL1200+CJ1200)/2,IF(LEFT(Cockpit!$O$5,1)="B",(CL1200+BG1200)/2,MAX((CL1200+BG1200)/2,H1200))))</f>
        <v>37</v>
      </c>
      <c r="BF1200" s="62" t="n">
        <f aca="false">BE1200*G1200</f>
        <v>585.71</v>
      </c>
      <c r="BG1200" s="62" t="n">
        <f aca="false">ROUNDUP(CL1200+MAX(CM1200,2*(J1200/IF(CH1200&gt;0,CH1200,MAX(0.1,N(Cockpit!$O$6)))-CL1200)),0)</f>
        <v>72</v>
      </c>
      <c r="BH1200" s="63" t="n">
        <f aca="false">IF(BD1200&gt;0,J1200/BD1200,-1)</f>
        <v>23.1483870967742</v>
      </c>
      <c r="BI1200" s="63" t="n">
        <f aca="false">IF(AND(OR(CG1200="L1",CG1200="L23",CG1200="LIFT"),BD1200&gt;0),SUMIFS($BD$7:$BD$1843,$CG$7:$CG$1843,CG1200,$BH$7:$BH$1843,"&gt;"&amp;BH1200)+SUMIFS($BD$7:$BD$1843,$CG$7:$CG$1843,CG1200,$BH$7:$BH$1843,BH1200,$BX$7:$BX$1843,"&lt;="&amp;BX1200),"")</f>
        <v>2139.61950549451</v>
      </c>
      <c r="BJ1200" s="70" t="n">
        <f aca="false">IF(BI1200="",0,MAX(0,MIN(1,(IF(CG1200="L1",Parameter!$H$5,IF(CG1200="L23",Parameter!$H$6+Parameter!$H$7,Parameter!$H$5+Parameter!$H$6+Parameter!$H$7))-(BI1200-BD1200))/BD1200)))</f>
        <v>1</v>
      </c>
      <c r="BK1200" s="60" t="str">
        <f aca="false">IF(AJ1200&lt;=0,"",IF(CG1200="Aussen","Aussenlager",IF(CG1200="-","Nicht im Lift",IF(AP1200&gt;=1,"Lift",IF(AP1200&lt;=0,"Aussenlager","teilweise")))))</f>
        <v>Lift</v>
      </c>
      <c r="BL1200" s="60" t="str">
        <f aca="false">IF(AT1200&lt;=0,"",IF(CG1200="Aussen","Aussenlager",IF(CG1200="-","Nicht im Lift",IF(AZ1200&gt;=1,"Lift",IF(AZ1200&lt;=0,"Aussenlager","teilweise")))))</f>
        <v>Lift</v>
      </c>
      <c r="BM1200" s="60" t="str">
        <f aca="false">IF(BD1200&lt;=0,"",IF(CG1200="Aussen","Aussenlager",IF(CG1200="-","Nicht im Lift",IF(BJ1200&gt;=1,"Lift",IF(BJ1200&lt;=0,"Aussenlager","teilweise")))))</f>
        <v>Lift</v>
      </c>
      <c r="BN1200" s="60" t="str">
        <f aca="false">IF(A1200="","",IF(BW1200=1,"Neu; ","")&amp;IF(AND(BW1200=0,BR1200&lt;0),"negativer Bestand (Export "&amp;BR1200&amp;"); ","")&amp;IF(J1200&lt;=0,"Kein Verbrauch; ","")&amp;IF(CR1200&gt;0,"Lift "&amp;W1200&amp;" lt. Liftbericht (Fach "&amp;X1200&amp;" Stk); ",IF(CB1200=1,"Gebinde geschätzt ("&amp;T1200&amp;"); ",IF(CA1200=1,"Lose – Tablare geschätzt; ","")))&amp;IF(H1200&gt;AW1200,"Überbestand "&amp;ROUND(H1200-AW1200,0)&amp;" Stk / CHF "&amp;ROUND((H1200-AW1200)*G1200,0)&amp;"; ","")&amp;IF(AND(CI1200=1,CJ1200&lt;CK1200),"MAX &lt; MB+LG; ","")&amp;IF(AND(CQ1200&gt;0,CP1200*10&gt;CQ1200),"zu hoch für Tablar; ","")&amp;IF(AND(BW1200=0,OR(CI1200=1,AB1200&lt;&gt;"",U1200&lt;&gt;"",V1200&lt;&gt;"",AC1200&lt;&gt;"")),"manuell übersteuert; ","")&amp;IF(AND(CA1200=0,R1200=0),"Gebinde unbekannt / Stellmass fehlt; ","")&amp;IF(AND(CA1200=0,N(V1200)&lt;=0,N(Q1200)&lt;=0),"Menge pro Gebinde fehlt (Ist = 1 Gebinde); ","")&amp;BV1200)</f>
        <v>negativer Bestand (Export -29); </v>
      </c>
      <c r="BO1200" s="60"/>
      <c r="BP1200" s="60"/>
      <c r="BQ1200" s="67"/>
      <c r="BR1200" s="62" t="n">
        <v>-29</v>
      </c>
      <c r="BS1200" s="62" t="n">
        <v>51</v>
      </c>
      <c r="BT1200" s="61" t="n">
        <v>-487.74</v>
      </c>
      <c r="BU1200" s="62" t="n">
        <v>69</v>
      </c>
      <c r="BV1200" s="60"/>
      <c r="BW1200" s="65" t="n">
        <v>0</v>
      </c>
      <c r="BX1200" s="65" t="n">
        <v>1200</v>
      </c>
      <c r="BY1200" s="60" t="str">
        <f aca="false">IF(U1200&lt;&gt;"",UPPER(TRIM(U1200)),IF(CB1200=1,UPPER(VLOOKUP(T1200,Parameter!$I$27:$K$29,2,0)),IF(P1200="","LOSE",P1200)))</f>
        <v>S32</v>
      </c>
      <c r="BZ1200" s="62" t="n">
        <f aca="false">IF(BY1200="LOSE",1,IF(N(V1200)&gt;0,V1200,IF(CB1200=1,MAX(1,N(VLOOKUP(T1200,Parameter!$I$27:$K$29,3,0)),H1200,N(N1200)),IF(N(Q1200)&gt;0,Q1200,MAX(1,H1200)))))</f>
        <v>30</v>
      </c>
      <c r="CA1200" s="65" t="n">
        <f aca="false">IF(BY1200="LOSE",1,0)</f>
        <v>0</v>
      </c>
      <c r="CB1200" s="65" t="n">
        <f aca="false">IF(AND(U1200="",OR(P1200="",P1200="LOSE"),T1200&lt;&gt;"",N(S1200)&lt;=0,ISNUMBER(MATCH(T1200,Parameter!$I$27:$I$29,0))),1,0)</f>
        <v>0</v>
      </c>
      <c r="CC1200" s="65" t="n">
        <f aca="false">IF(CR1200&gt;0,INDEX(Parameter!$H$5:$H$7,W1200)/INDEX(Parameter!$E$5:$E$7,W1200),IF(AND(CA1200=0,N(IFERROR(VLOOKUP(BY1200,'Gebinde-Kategorie'!$A$5:$N$45,14,0),0))&gt;0),VLOOKUP(BY1200,'Gebinde-Kategorie'!$A$5:$N$45,14,0)*10+Parameter!$M$23,Parameter!$M$24))</f>
        <v>155</v>
      </c>
      <c r="CD1200" s="60" t="str">
        <f aca="false">IF(AND(Parameter!$B$19="Ja",E1200&lt;&gt;"",ISNUMBER(MATCH(E1200,Parameter!$I$35:$I$52,0))),VLOOKUP(E1200,Parameter!$I$35:$J$52,2,0),IFERROR(VLOOKUP(D1200,Parameter!$A$35:$C$64,2,0),"Nein"))</f>
        <v>2+3</v>
      </c>
      <c r="CE1200" s="64" t="n">
        <f aca="false">IF(CA1200=0,0,IF(N(S1200)&gt;0,S1200,IFERROR(VLOOKUP(D1200,Parameter!$A$35:$C$64,3,0)+0,0)))</f>
        <v>0</v>
      </c>
      <c r="CF1200" s="60" t="n">
        <f aca="false">IF(AB1200&lt;&gt;"",AB1200,AA1200)</f>
        <v>2</v>
      </c>
      <c r="CG1200" s="60" t="str">
        <f aca="false">IF(OR(CF1200=1,CF1200=2,CF1200=3),IF(Parameter!$E$27="Ja","LIFT",IF(CF1200=1,"L1","L23")),IF(CF1200="Aussen","Aussen","-"))</f>
        <v>LIFT</v>
      </c>
      <c r="CH1200" s="71" t="n">
        <f aca="false">IF(N(AC1200)&gt;0,AC1200,0)</f>
        <v>0</v>
      </c>
      <c r="CI1200" s="65" t="n">
        <f aca="false">IF(ISNUMBER(AF1200),1,0)</f>
        <v>0</v>
      </c>
      <c r="CJ1200" s="62" t="n">
        <f aca="false">N(AF1200)</f>
        <v>0</v>
      </c>
      <c r="CK1200" s="62" t="n">
        <f aca="false">N(M1200)+N(N1200)</f>
        <v>72</v>
      </c>
      <c r="CL1200" s="62" t="n">
        <f aca="false">N(M1200)</f>
        <v>2</v>
      </c>
      <c r="CM1200" s="62" t="n">
        <f aca="false">N(N1200)</f>
        <v>70</v>
      </c>
      <c r="CN1200" s="62" t="n">
        <f aca="false">ROUNDUP(H1200/BZ1200,0)</f>
        <v>1</v>
      </c>
      <c r="CO1200" s="62" t="n">
        <f aca="false">ROUNDUP(CJ1200/BZ1200,0)</f>
        <v>0</v>
      </c>
      <c r="CP1200" s="65" t="n">
        <f aca="false">IF(CA1200=1,0,IFERROR(VLOOKUP(BY1200,'Gebinde-Kategorie'!$A$5:$N$45,5,0)+0,0))</f>
        <v>8</v>
      </c>
      <c r="CQ1200" s="65" t="n">
        <f aca="false">IFERROR(IF(OR(CF1200=1,CF1200=2,CF1200=3),N(INDEX(Parameter!$I$5:$I$7,CF1200)),0),0)</f>
        <v>0</v>
      </c>
      <c r="CR1200" s="64" t="n">
        <f aca="false">IF(AND(Parameter!$B$21="Ja",ISNUMBER(W1200),N(X1200)&gt;0),IFERROR(N(INDEX(Parameter!$L$5:$L$7,W1200))*INDEX(Parameter!$E$5:$E$7,W1200)*X1200/SUMIFS($X$7:$X$1843,$W$7:$W$1843,W1200),0),0)</f>
        <v>0</v>
      </c>
      <c r="CS1200" s="62" t="n">
        <f aca="false">IF(AND(OR(CG1200="L1",CG1200="L23",CG1200="LIFT"),H1200&gt;0),CC1200*IF(CR1200&gt;0,CR1200*MAX(1,H1200/X1200),IF(CA1200=1,CE1200,IF(R1200&gt;0,CN1200/R1200,0))/MAX(0.1,N(Parameter!$M$21))),"")</f>
        <v>1.49038461538462</v>
      </c>
      <c r="CT1200" s="64" t="n">
        <f aca="false">IF(CS1200="","",J1200/H1200)</f>
        <v>3.13636363636364</v>
      </c>
      <c r="CU1200" s="62" t="n">
        <f aca="false">IF(CS1200="","",H1200*G1200)</f>
        <v>348.26</v>
      </c>
      <c r="CV1200" s="63" t="n">
        <f aca="false">IF(CS1200="","",(CL1200+ROUNDUP(CL1200+MAX(CM1200,2*(J1200/MAX(0.1,N(Einkauf!$C$6))-CL1200)),0))/2)</f>
        <v>37</v>
      </c>
      <c r="CW1200" s="62" t="n">
        <f aca="false">IF(CS1200="","",MAX(0,H1200-CV1200)*G1200)</f>
        <v>0</v>
      </c>
      <c r="CX1200" s="62" t="n">
        <f aca="false">IF(CS1200="","",CS1200*MAX(0,1-CV1200/H1200))</f>
        <v>0</v>
      </c>
      <c r="CY1200" s="64" t="n">
        <f aca="false">IF(CS1200="","",PERCENTRANK($CS$7:$CS$1843,CS1200)+PERCENTRANK($CU$7:$CU$1843,CU1200)+1-PERCENTRANK($CT$7:$CT$1843,CT1200))</f>
        <v>0.675</v>
      </c>
      <c r="CZ1200" s="72" t="n">
        <f aca="false">IF(CS1200="","",CHOOSE(MATCH(Einkauf!$C$5,Parameter!$G$23:$G$27,0),CY1200,CS1200,CU1200,-CT1200,CW1200)+ROW()/1000000000)</f>
        <v>0.6750012</v>
      </c>
    </row>
    <row r="1201" customFormat="false" ht="15" hidden="false" customHeight="false" outlineLevel="0" collapsed="false">
      <c r="A1201" s="60" t="s">
        <v>2200</v>
      </c>
      <c r="B1201" s="60" t="s">
        <v>2201</v>
      </c>
      <c r="C1201" s="60" t="s">
        <v>206</v>
      </c>
      <c r="D1201" s="60" t="s">
        <v>215</v>
      </c>
      <c r="E1201" s="60" t="s">
        <v>215</v>
      </c>
      <c r="F1201" s="60" t="s">
        <v>260</v>
      </c>
      <c r="G1201" s="61" t="n">
        <v>490.5</v>
      </c>
      <c r="H1201" s="62" t="n">
        <f aca="false">MAX(0,IF(AND(Parameter!$B$21="Ja",ISNUMBER(Y1201)),Y1201,IF(Parameter!$B$20="Jahresanfang 2025 + Export",BS1201+BR1201,BR1201)))</f>
        <v>1</v>
      </c>
      <c r="I1201" s="62" t="n">
        <f aca="false">H1201*G1201</f>
        <v>490.5</v>
      </c>
      <c r="J1201" s="62" t="n">
        <f aca="false">BU1201*Parameter!$B$18</f>
        <v>0</v>
      </c>
      <c r="K1201" s="63" t="n">
        <v>1.5</v>
      </c>
      <c r="L1201" s="64" t="n">
        <v>0</v>
      </c>
      <c r="M1201" s="62" t="n">
        <v>0</v>
      </c>
      <c r="N1201" s="62" t="n">
        <v>1</v>
      </c>
      <c r="O1201" s="65" t="n">
        <v>28</v>
      </c>
      <c r="P1201" s="60" t="s">
        <v>210</v>
      </c>
      <c r="Q1201" s="62"/>
      <c r="R1201" s="65" t="n">
        <f aca="false">IF(CA1201=1,0,IFERROR(VLOOKUP(BY1201,'Gebinde-Kategorie'!$A$5:$N$45,13,0)+0,0))</f>
        <v>12</v>
      </c>
      <c r="S1201" s="66"/>
      <c r="T1201" s="67" t="s">
        <v>221</v>
      </c>
      <c r="U1201" s="67"/>
      <c r="V1201" s="67"/>
      <c r="W1201" s="60"/>
      <c r="X1201" s="62"/>
      <c r="Y1201" s="62"/>
      <c r="Z1201" s="60"/>
      <c r="AA1201" s="60" t="str">
        <f aca="false">IF(A1201="","",IF(AND(Parameter!$B$21="Ja",ISNUMBER(W1201)),W1201,IF(AND(Parameter!$E$27="Ja",ISNUMBER(Z1201),CD1201&lt;&gt;"Nein"),Z1201,IF(CD1201="2+3",IF(ISNUMBER(SEARCH("grosser Artikel",BV1201)),2,IFERROR(VLOOKUP(BY1201,Parameter!$F$35:$G$64,2,0),2)),IF(OR(CD1201="Nein",CD1201=""),"-",CD1201)))))</f>
        <v>-</v>
      </c>
      <c r="AB1201" s="67"/>
      <c r="AC1201" s="68"/>
      <c r="AD1201" s="62" t="n">
        <f aca="false">AW1201</f>
        <v>1</v>
      </c>
      <c r="AE1201" s="62" t="n">
        <f aca="false">MAX(AW1201,H1201)</f>
        <v>1</v>
      </c>
      <c r="AF1201" s="69"/>
      <c r="AG1201" s="62" t="n">
        <f aca="false">IF(LEFT(Cockpit!$C$5,1)="A",H1201,IF(Parameter!$E$30="MAX-Bestand",IF(CI1201=1,CJ1201,IF(LEFT(Cockpit!$C$5,1)="B",AM1201,MAX(AM1201,H1201))),ROUNDUP(AK1201,0)))</f>
        <v>1</v>
      </c>
      <c r="AH1201" s="62" t="n">
        <f aca="false">IF(CA1201=1,0,ROUNDUP(AG1201/BZ1201,0))</f>
        <v>1</v>
      </c>
      <c r="AI1201" s="64" t="n">
        <f aca="false">IF(CR1201&gt;0,CR1201*MAX(1,AG1201/X1201),IF(CA1201=1,IF(AG1201&lt;=0,0,CE1201*MAX(1,IF(H1201&gt;0,AG1201/H1201,1))),IF(R1201&gt;0,AH1201/R1201,0))/MAX(0.1,N(Parameter!$M$21)))</f>
        <v>0.0833333333333333</v>
      </c>
      <c r="AJ1201" s="62" t="n">
        <f aca="false">AI1201*CC1201</f>
        <v>12.0833333333333</v>
      </c>
      <c r="AK1201" s="63" t="n">
        <f aca="false">IF(LEFT(Cockpit!$C$5,1)="A",H1201,IF(CI1201=1,(CL1201+CJ1201)/2,IF(LEFT(Cockpit!$C$5,1)="B",(CL1201+AM1201)/2,MAX((CL1201+AM1201)/2,H1201))))</f>
        <v>1</v>
      </c>
      <c r="AL1201" s="62" t="n">
        <f aca="false">AK1201*G1201</f>
        <v>490.5</v>
      </c>
      <c r="AM1201" s="62" t="n">
        <f aca="false">ROUNDUP(CL1201+MAX(CM1201,2*(J1201/IF(CH1201&gt;0,CH1201,MAX(0.1,N(Cockpit!$C$6)))-CL1201)),0)</f>
        <v>1</v>
      </c>
      <c r="AN1201" s="63" t="n">
        <f aca="false">IF(AJ1201&gt;0,J1201/AJ1201,-1)</f>
        <v>0</v>
      </c>
      <c r="AO1201" s="63" t="str">
        <f aca="false">IF(AND(OR(CG1201="L1",CG1201="L23",CG1201="LIFT"),AJ1201&gt;0),SUMIFS($AJ$7:$AJ$1843,$CG$7:$CG$1843,CG1201,$AN$7:$AN$1843,"&gt;"&amp;AN1201)+SUMIFS($AJ$7:$AJ$1843,$CG$7:$CG$1843,CG1201,$AN$7:$AN$1843,AN1201,$BX$7:$BX$1843,"&lt;="&amp;BX1201),"")</f>
        <v/>
      </c>
      <c r="AP1201" s="70" t="n">
        <f aca="false">IF(AO1201="",0,MAX(0,MIN(1,(IF(CG1201="L1",Parameter!$H$5,IF(CG1201="L23",Parameter!$H$6+Parameter!$H$7,Parameter!$H$5+Parameter!$H$6+Parameter!$H$7))-(AO1201-AJ1201))/AJ1201)))</f>
        <v>0</v>
      </c>
      <c r="AQ1201" s="62" t="n">
        <f aca="false">IF(LEFT(Cockpit!$I$5,1)="A",H1201,IF(Parameter!$E$30="MAX-Bestand",IF(CI1201=1,CJ1201,IF(LEFT(Cockpit!$I$5,1)="B",AW1201,MAX(AW1201,H1201))),ROUNDUP(AU1201,0)))</f>
        <v>1</v>
      </c>
      <c r="AR1201" s="62" t="n">
        <f aca="false">IF(CA1201=1,0,ROUNDUP(AQ1201/BZ1201,0))</f>
        <v>1</v>
      </c>
      <c r="AS1201" s="64" t="n">
        <f aca="false">IF(CR1201&gt;0,CR1201*MAX(1,AQ1201/X1201),IF(CA1201=1,IF(AQ1201&lt;=0,0,CE1201*MAX(1,IF(H1201&gt;0,AQ1201/H1201,1))),IF(R1201&gt;0,AR1201/R1201,0))/MAX(0.1,N(Parameter!$M$21)))</f>
        <v>0.0833333333333333</v>
      </c>
      <c r="AT1201" s="62" t="n">
        <f aca="false">AS1201*CC1201</f>
        <v>12.0833333333333</v>
      </c>
      <c r="AU1201" s="63" t="n">
        <f aca="false">IF(LEFT(Cockpit!$I$5,1)="A",H1201,IF(CI1201=1,(CL1201+CJ1201)/2,IF(LEFT(Cockpit!$I$5,1)="B",(CL1201+AW1201)/2,MAX((CL1201+AW1201)/2,H1201))))</f>
        <v>1</v>
      </c>
      <c r="AV1201" s="62" t="n">
        <f aca="false">AU1201*G1201</f>
        <v>490.5</v>
      </c>
      <c r="AW1201" s="62" t="n">
        <f aca="false">ROUNDUP(CL1201+MAX(CM1201,2*(J1201/IF(CH1201&gt;0,CH1201,MAX(0.1,N(Cockpit!$I$6)))-CL1201)),0)</f>
        <v>1</v>
      </c>
      <c r="AX1201" s="63" t="n">
        <f aca="false">IF(AT1201&gt;0,J1201/AT1201,-1)</f>
        <v>0</v>
      </c>
      <c r="AY1201" s="63" t="str">
        <f aca="false">IF(AND(OR(CG1201="L1",CG1201="L23",CG1201="LIFT"),AT1201&gt;0),SUMIFS($AT$7:$AT$1843,$CG$7:$CG$1843,CG1201,$AX$7:$AX$1843,"&gt;"&amp;AX1201)+SUMIFS($AT$7:$AT$1843,$CG$7:$CG$1843,CG1201,$AX$7:$AX$1843,AX1201,$BX$7:$BX$1843,"&lt;="&amp;BX1201),"")</f>
        <v/>
      </c>
      <c r="AZ1201" s="70" t="n">
        <f aca="false">IF(AY1201="",0,MAX(0,MIN(1,(IF(CG1201="L1",Parameter!$H$5,IF(CG1201="L23",Parameter!$H$6+Parameter!$H$7,Parameter!$H$5+Parameter!$H$6+Parameter!$H$7))-(AY1201-AT1201))/AT1201)))</f>
        <v>0</v>
      </c>
      <c r="BA1201" s="62" t="n">
        <f aca="false">IF(LEFT(Cockpit!$O$5,1)="A",H1201,IF(Parameter!$E$30="MAX-Bestand",IF(CI1201=1,CJ1201,IF(LEFT(Cockpit!$O$5,1)="B",BG1201,MAX(BG1201,H1201))),ROUNDUP(BE1201,0)))</f>
        <v>1</v>
      </c>
      <c r="BB1201" s="62" t="n">
        <f aca="false">IF(CA1201=1,0,ROUNDUP(BA1201/BZ1201,0))</f>
        <v>1</v>
      </c>
      <c r="BC1201" s="64" t="n">
        <f aca="false">IF(CR1201&gt;0,CR1201*MAX(1,BA1201/X1201),IF(CA1201=1,IF(BA1201&lt;=0,0,CE1201*MAX(1,IF(H1201&gt;0,BA1201/H1201,1))),IF(R1201&gt;0,BB1201/R1201,0))/MAX(0.1,N(Parameter!$M$21)))</f>
        <v>0.0833333333333333</v>
      </c>
      <c r="BD1201" s="62" t="n">
        <f aca="false">BC1201*CC1201</f>
        <v>12.0833333333333</v>
      </c>
      <c r="BE1201" s="63" t="n">
        <f aca="false">IF(LEFT(Cockpit!$O$5,1)="A",H1201,IF(CI1201=1,(CL1201+CJ1201)/2,IF(LEFT(Cockpit!$O$5,1)="B",(CL1201+BG1201)/2,MAX((CL1201+BG1201)/2,H1201))))</f>
        <v>0.5</v>
      </c>
      <c r="BF1201" s="62" t="n">
        <f aca="false">BE1201*G1201</f>
        <v>245.25</v>
      </c>
      <c r="BG1201" s="62" t="n">
        <f aca="false">ROUNDUP(CL1201+MAX(CM1201,2*(J1201/IF(CH1201&gt;0,CH1201,MAX(0.1,N(Cockpit!$O$6)))-CL1201)),0)</f>
        <v>1</v>
      </c>
      <c r="BH1201" s="63" t="n">
        <f aca="false">IF(BD1201&gt;0,J1201/BD1201,-1)</f>
        <v>0</v>
      </c>
      <c r="BI1201" s="63" t="str">
        <f aca="false">IF(AND(OR(CG1201="L1",CG1201="L23",CG1201="LIFT"),BD1201&gt;0),SUMIFS($BD$7:$BD$1843,$CG$7:$CG$1843,CG1201,$BH$7:$BH$1843,"&gt;"&amp;BH1201)+SUMIFS($BD$7:$BD$1843,$CG$7:$CG$1843,CG1201,$BH$7:$BH$1843,BH1201,$BX$7:$BX$1843,"&lt;="&amp;BX1201),"")</f>
        <v/>
      </c>
      <c r="BJ1201" s="70" t="n">
        <f aca="false">IF(BI1201="",0,MAX(0,MIN(1,(IF(CG1201="L1",Parameter!$H$5,IF(CG1201="L23",Parameter!$H$6+Parameter!$H$7,Parameter!$H$5+Parameter!$H$6+Parameter!$H$7))-(BI1201-BD1201))/BD1201)))</f>
        <v>0</v>
      </c>
      <c r="BK1201" s="60" t="str">
        <f aca="false">IF(AJ1201&lt;=0,"",IF(CG1201="Aussen","Aussenlager",IF(CG1201="-","Nicht im Lift",IF(AP1201&gt;=1,"Lift",IF(AP1201&lt;=0,"Aussenlager","teilweise")))))</f>
        <v>Nicht im Lift</v>
      </c>
      <c r="BL1201" s="60" t="str">
        <f aca="false">IF(AT1201&lt;=0,"",IF(CG1201="Aussen","Aussenlager",IF(CG1201="-","Nicht im Lift",IF(AZ1201&gt;=1,"Lift",IF(AZ1201&lt;=0,"Aussenlager","teilweise")))))</f>
        <v>Nicht im Lift</v>
      </c>
      <c r="BM1201" s="60" t="str">
        <f aca="false">IF(BD1201&lt;=0,"",IF(CG1201="Aussen","Aussenlager",IF(CG1201="-","Nicht im Lift",IF(BJ1201&gt;=1,"Lift",IF(BJ1201&lt;=0,"Aussenlager","teilweise")))))</f>
        <v>Nicht im Lift</v>
      </c>
      <c r="BN1201" s="60" t="str">
        <f aca="false">IF(A1201="","",IF(BW1201=1,"Neu; ","")&amp;IF(AND(BW1201=0,BR1201&lt;0),"negativer Bestand (Export "&amp;BR1201&amp;"); ","")&amp;IF(J1201&lt;=0,"Kein Verbrauch; ","")&amp;IF(CR1201&gt;0,"Lift "&amp;W1201&amp;" lt. Liftbericht (Fach "&amp;X1201&amp;" Stk); ",IF(CB1201=1,"Gebinde geschätzt ("&amp;T1201&amp;"); ",IF(CA1201=1,"Lose – Tablare geschätzt; ","")))&amp;IF(H1201&gt;AW1201,"Überbestand "&amp;ROUND(H1201-AW1201,0)&amp;" Stk / CHF "&amp;ROUND((H1201-AW1201)*G1201,0)&amp;"; ","")&amp;IF(AND(CI1201=1,CJ1201&lt;CK1201),"MAX &lt; MB+LG; ","")&amp;IF(AND(CQ1201&gt;0,CP1201*10&gt;CQ1201),"zu hoch für Tablar; ","")&amp;IF(AND(BW1201=0,OR(CI1201=1,AB1201&lt;&gt;"",U1201&lt;&gt;"",V1201&lt;&gt;"",AC1201&lt;&gt;"")),"manuell übersteuert; ","")&amp;IF(AND(CA1201=0,R1201=0),"Gebinde unbekannt / Stellmass fehlt; ","")&amp;IF(AND(CA1201=0,N(V1201)&lt;=0,N(Q1201)&lt;=0),"Menge pro Gebinde fehlt (Ist = 1 Gebinde); ","")&amp;BV1201)</f>
        <v>negativer Bestand (Export -1); Kein Verbrauch; Gebinde geschätzt (Mittel); Menge pro Gebinde fehlt (Ist = 1 Gebinde); </v>
      </c>
      <c r="BO1201" s="60"/>
      <c r="BP1201" s="60"/>
      <c r="BQ1201" s="67"/>
      <c r="BR1201" s="62" t="n">
        <v>-1</v>
      </c>
      <c r="BS1201" s="62" t="n">
        <v>2</v>
      </c>
      <c r="BT1201" s="61" t="n">
        <v>-490.5</v>
      </c>
      <c r="BU1201" s="62" t="n">
        <v>0</v>
      </c>
      <c r="BV1201" s="60"/>
      <c r="BW1201" s="65" t="n">
        <v>0</v>
      </c>
      <c r="BX1201" s="65" t="n">
        <v>1201</v>
      </c>
      <c r="BY1201" s="60" t="str">
        <f aca="false">IF(U1201&lt;&gt;"",UPPER(TRIM(U1201)),IF(CB1201=1,UPPER(VLOOKUP(T1201,Parameter!$I$27:$K$29,2,0)),IF(P1201="","LOSE",P1201)))</f>
        <v>S61</v>
      </c>
      <c r="BZ1201" s="62" t="n">
        <f aca="false">IF(BY1201="LOSE",1,IF(N(V1201)&gt;0,V1201,IF(CB1201=1,MAX(1,N(VLOOKUP(T1201,Parameter!$I$27:$K$29,3,0)),H1201,N(N1201)),IF(N(Q1201)&gt;0,Q1201,MAX(1,H1201)))))</f>
        <v>4</v>
      </c>
      <c r="CA1201" s="65" t="n">
        <f aca="false">IF(BY1201="LOSE",1,0)</f>
        <v>0</v>
      </c>
      <c r="CB1201" s="65" t="n">
        <f aca="false">IF(AND(U1201="",OR(P1201="",P1201="LOSE"),T1201&lt;&gt;"",N(S1201)&lt;=0,ISNUMBER(MATCH(T1201,Parameter!$I$27:$I$29,0))),1,0)</f>
        <v>1</v>
      </c>
      <c r="CC1201" s="65" t="n">
        <f aca="false">IF(CR1201&gt;0,INDEX(Parameter!$H$5:$H$7,W1201)/INDEX(Parameter!$E$5:$E$7,W1201),IF(AND(CA1201=0,N(IFERROR(VLOOKUP(BY1201,'Gebinde-Kategorie'!$A$5:$N$45,14,0),0))&gt;0),VLOOKUP(BY1201,'Gebinde-Kategorie'!$A$5:$N$45,14,0)*10+Parameter!$M$23,Parameter!$M$24))</f>
        <v>145</v>
      </c>
      <c r="CD1201" s="60" t="str">
        <f aca="false">IF(AND(Parameter!$B$19="Ja",E1201&lt;&gt;"",ISNUMBER(MATCH(E1201,Parameter!$I$35:$I$52,0))),VLOOKUP(E1201,Parameter!$I$35:$J$52,2,0),IFERROR(VLOOKUP(D1201,Parameter!$A$35:$C$64,2,0),"Nein"))</f>
        <v>Nein</v>
      </c>
      <c r="CE1201" s="64" t="n">
        <f aca="false">IF(CA1201=0,0,IF(N(S1201)&gt;0,S1201,IFERROR(VLOOKUP(D1201,Parameter!$A$35:$C$64,3,0)+0,0)))</f>
        <v>0</v>
      </c>
      <c r="CF1201" s="60" t="str">
        <f aca="false">IF(AB1201&lt;&gt;"",AB1201,AA1201)</f>
        <v>-</v>
      </c>
      <c r="CG1201" s="60" t="str">
        <f aca="false">IF(OR(CF1201=1,CF1201=2,CF1201=3),IF(Parameter!$E$27="Ja","LIFT",IF(CF1201=1,"L1","L23")),IF(CF1201="Aussen","Aussen","-"))</f>
        <v>-</v>
      </c>
      <c r="CH1201" s="71" t="n">
        <f aca="false">IF(N(AC1201)&gt;0,AC1201,0)</f>
        <v>0</v>
      </c>
      <c r="CI1201" s="65" t="n">
        <f aca="false">IF(ISNUMBER(AF1201),1,0)</f>
        <v>0</v>
      </c>
      <c r="CJ1201" s="62" t="n">
        <f aca="false">N(AF1201)</f>
        <v>0</v>
      </c>
      <c r="CK1201" s="62" t="n">
        <f aca="false">N(M1201)+N(N1201)</f>
        <v>1</v>
      </c>
      <c r="CL1201" s="62" t="n">
        <f aca="false">N(M1201)</f>
        <v>0</v>
      </c>
      <c r="CM1201" s="62" t="n">
        <f aca="false">N(N1201)</f>
        <v>1</v>
      </c>
      <c r="CN1201" s="62" t="n">
        <f aca="false">ROUNDUP(H1201/BZ1201,0)</f>
        <v>1</v>
      </c>
      <c r="CO1201" s="62" t="n">
        <f aca="false">ROUNDUP(CJ1201/BZ1201,0)</f>
        <v>0</v>
      </c>
      <c r="CP1201" s="65" t="n">
        <f aca="false">IF(CA1201=1,0,IFERROR(VLOOKUP(BY1201,'Gebinde-Kategorie'!$A$5:$N$45,5,0)+0,0))</f>
        <v>11</v>
      </c>
      <c r="CQ1201" s="65" t="n">
        <f aca="false">IFERROR(IF(OR(CF1201=1,CF1201=2,CF1201=3),N(INDEX(Parameter!$I$5:$I$7,CF1201)),0),0)</f>
        <v>0</v>
      </c>
      <c r="CR1201" s="64" t="n">
        <f aca="false">IF(AND(Parameter!$B$21="Ja",ISNUMBER(W1201),N(X1201)&gt;0),IFERROR(N(INDEX(Parameter!$L$5:$L$7,W1201))*INDEX(Parameter!$E$5:$E$7,W1201)*X1201/SUMIFS($X$7:$X$1843,$W$7:$W$1843,W1201),0),0)</f>
        <v>0</v>
      </c>
      <c r="CS1201" s="62" t="str">
        <f aca="false">IF(AND(OR(CG1201="L1",CG1201="L23",CG1201="LIFT"),H1201&gt;0),CC1201*IF(CR1201&gt;0,CR1201*MAX(1,H1201/X1201),IF(CA1201=1,CE1201,IF(R1201&gt;0,CN1201/R1201,0))/MAX(0.1,N(Parameter!$M$21))),"")</f>
        <v/>
      </c>
      <c r="CT1201" s="64" t="str">
        <f aca="false">IF(CS1201="","",J1201/H1201)</f>
        <v/>
      </c>
      <c r="CU1201" s="62" t="str">
        <f aca="false">IF(CS1201="","",H1201*G1201)</f>
        <v/>
      </c>
      <c r="CV1201" s="63" t="str">
        <f aca="false">IF(CS1201="","",(CL1201+ROUNDUP(CL1201+MAX(CM1201,2*(J1201/MAX(0.1,N(Einkauf!$C$6))-CL1201)),0))/2)</f>
        <v/>
      </c>
      <c r="CW1201" s="62" t="str">
        <f aca="false">IF(CS1201="","",MAX(0,H1201-CV1201)*G1201)</f>
        <v/>
      </c>
      <c r="CX1201" s="62" t="str">
        <f aca="false">IF(CS1201="","",CS1201*MAX(0,1-CV1201/H1201))</f>
        <v/>
      </c>
      <c r="CY1201" s="64" t="str">
        <f aca="false">IF(CS1201="","",PERCENTRANK($CS$7:$CS$1843,CS1201)+PERCENTRANK($CU$7:$CU$1843,CU1201)+1-PERCENTRANK($CT$7:$CT$1843,CT1201))</f>
        <v/>
      </c>
      <c r="CZ1201" s="72" t="str">
        <f aca="false">IF(CS1201="","",CHOOSE(MATCH(Einkauf!$C$5,Parameter!$G$23:$G$27,0),CY1201,CS1201,CU1201,-CT1201,CW1201)+ROW()/1000000000)</f>
        <v/>
      </c>
    </row>
    <row r="1202" customFormat="false" ht="15" hidden="false" customHeight="false" outlineLevel="0" collapsed="false">
      <c r="A1202" s="60" t="s">
        <v>2202</v>
      </c>
      <c r="B1202" s="60" t="s">
        <v>449</v>
      </c>
      <c r="C1202" s="60" t="s">
        <v>206</v>
      </c>
      <c r="D1202" s="60" t="s">
        <v>226</v>
      </c>
      <c r="E1202" s="60" t="s">
        <v>227</v>
      </c>
      <c r="F1202" s="60" t="s">
        <v>260</v>
      </c>
      <c r="G1202" s="61" t="n">
        <v>0.34</v>
      </c>
      <c r="H1202" s="62" t="n">
        <f aca="false">MAX(0,IF(AND(Parameter!$B$21="Ja",ISNUMBER(Y1202)),Y1202,IF(Parameter!$B$20="Jahresanfang 2025 + Export",BS1202+BR1202,BR1202)))</f>
        <v>987</v>
      </c>
      <c r="I1202" s="62" t="n">
        <f aca="false">H1202*G1202</f>
        <v>335.58</v>
      </c>
      <c r="J1202" s="62" t="n">
        <f aca="false">BU1202*Parameter!$B$18</f>
        <v>6215</v>
      </c>
      <c r="K1202" s="63" t="n">
        <v>2301.5</v>
      </c>
      <c r="L1202" s="64" t="n">
        <v>2.70041277427765</v>
      </c>
      <c r="M1202" s="62" t="n">
        <v>242</v>
      </c>
      <c r="N1202" s="62" t="n">
        <v>2000</v>
      </c>
      <c r="O1202" s="65" t="n">
        <v>14</v>
      </c>
      <c r="P1202" s="60" t="s">
        <v>275</v>
      </c>
      <c r="Q1202" s="62" t="n">
        <v>1527</v>
      </c>
      <c r="R1202" s="65" t="n">
        <f aca="false">IF(CA1202=1,0,IFERROR(VLOOKUP(BY1202,'Gebinde-Kategorie'!$A$5:$N$45,13,0)+0,0))</f>
        <v>26</v>
      </c>
      <c r="S1202" s="66"/>
      <c r="T1202" s="67"/>
      <c r="U1202" s="67"/>
      <c r="V1202" s="67"/>
      <c r="W1202" s="60"/>
      <c r="X1202" s="62"/>
      <c r="Y1202" s="62"/>
      <c r="Z1202" s="60" t="n">
        <v>3</v>
      </c>
      <c r="AA1202" s="60" t="n">
        <f aca="false">IF(A1202="","",IF(AND(Parameter!$B$21="Ja",ISNUMBER(W1202)),W1202,IF(AND(Parameter!$E$27="Ja",ISNUMBER(Z1202),CD1202&lt;&gt;"Nein"),Z1202,IF(CD1202="2+3",IF(ISNUMBER(SEARCH("grosser Artikel",BV1202)),2,IFERROR(VLOOKUP(BY1202,Parameter!$F$35:$G$64,2,0),2)),IF(OR(CD1202="Nein",CD1202=""),"-",CD1202)))))</f>
        <v>3</v>
      </c>
      <c r="AB1202" s="67"/>
      <c r="AC1202" s="68"/>
      <c r="AD1202" s="62" t="n">
        <f aca="false">AW1202</f>
        <v>3902</v>
      </c>
      <c r="AE1202" s="62" t="n">
        <f aca="false">MAX(AW1202,H1202)</f>
        <v>3902</v>
      </c>
      <c r="AF1202" s="69"/>
      <c r="AG1202" s="62" t="n">
        <f aca="false">IF(LEFT(Cockpit!$C$5,1)="A",H1202,IF(Parameter!$E$30="MAX-Bestand",IF(CI1202=1,CJ1202,IF(LEFT(Cockpit!$C$5,1)="B",AM1202,MAX(AM1202,H1202))),ROUNDUP(AK1202,0)))</f>
        <v>987</v>
      </c>
      <c r="AH1202" s="62" t="n">
        <f aca="false">IF(CA1202=1,0,ROUNDUP(AG1202/BZ1202,0))</f>
        <v>1</v>
      </c>
      <c r="AI1202" s="64" t="n">
        <f aca="false">IF(CR1202&gt;0,CR1202*MAX(1,AG1202/X1202),IF(CA1202=1,IF(AG1202&lt;=0,0,CE1202*MAX(1,IF(H1202&gt;0,AG1202/H1202,1))),IF(R1202&gt;0,AH1202/R1202,0))/MAX(0.1,N(Parameter!$M$21)))</f>
        <v>0.0384615384615385</v>
      </c>
      <c r="AJ1202" s="62" t="n">
        <f aca="false">AI1202*CC1202</f>
        <v>9.42307692307692</v>
      </c>
      <c r="AK1202" s="63" t="n">
        <f aca="false">IF(LEFT(Cockpit!$C$5,1)="A",H1202,IF(CI1202=1,(CL1202+CJ1202)/2,IF(LEFT(Cockpit!$C$5,1)="B",(CL1202+AM1202)/2,MAX((CL1202+AM1202)/2,H1202))))</f>
        <v>987</v>
      </c>
      <c r="AL1202" s="62" t="n">
        <f aca="false">AK1202*G1202</f>
        <v>335.58</v>
      </c>
      <c r="AM1202" s="62" t="n">
        <f aca="false">ROUNDUP(CL1202+MAX(CM1202,2*(J1202/IF(CH1202&gt;0,CH1202,MAX(0.1,N(Cockpit!$C$6)))-CL1202)),0)</f>
        <v>3902</v>
      </c>
      <c r="AN1202" s="63" t="n">
        <f aca="false">IF(AJ1202&gt;0,J1202/AJ1202,-1)</f>
        <v>659.551020408163</v>
      </c>
      <c r="AO1202" s="63" t="n">
        <f aca="false">IF(AND(OR(CG1202="L1",CG1202="L23",CG1202="LIFT"),AJ1202&gt;0),SUMIFS($AJ$7:$AJ$1843,$CG$7:$CG$1843,CG1202,$AN$7:$AN$1843,"&gt;"&amp;AN1202)+SUMIFS($AJ$7:$AJ$1843,$CG$7:$CG$1843,CG1202,$AN$7:$AN$1843,AN1202,$BX$7:$BX$1843,"&lt;="&amp;BX1202),"")</f>
        <v>35.8667582417583</v>
      </c>
      <c r="AP1202" s="70" t="n">
        <f aca="false">IF(AO1202="",0,MAX(0,MIN(1,(IF(CG1202="L1",Parameter!$H$5,IF(CG1202="L23",Parameter!$H$6+Parameter!$H$7,Parameter!$H$5+Parameter!$H$6+Parameter!$H$7))-(AO1202-AJ1202))/AJ1202)))</f>
        <v>1</v>
      </c>
      <c r="AQ1202" s="62" t="n">
        <f aca="false">IF(LEFT(Cockpit!$I$5,1)="A",H1202,IF(Parameter!$E$30="MAX-Bestand",IF(CI1202=1,CJ1202,IF(LEFT(Cockpit!$I$5,1)="B",AW1202,MAX(AW1202,H1202))),ROUNDUP(AU1202,0)))</f>
        <v>2072</v>
      </c>
      <c r="AR1202" s="62" t="n">
        <f aca="false">IF(CA1202=1,0,ROUNDUP(AQ1202/BZ1202,0))</f>
        <v>2</v>
      </c>
      <c r="AS1202" s="64" t="n">
        <f aca="false">IF(CR1202&gt;0,CR1202*MAX(1,AQ1202/X1202),IF(CA1202=1,IF(AQ1202&lt;=0,0,CE1202*MAX(1,IF(H1202&gt;0,AQ1202/H1202,1))),IF(R1202&gt;0,AR1202/R1202,0))/MAX(0.1,N(Parameter!$M$21)))</f>
        <v>0.0769230769230769</v>
      </c>
      <c r="AT1202" s="62" t="n">
        <f aca="false">AS1202*CC1202</f>
        <v>18.8461538461538</v>
      </c>
      <c r="AU1202" s="63" t="n">
        <f aca="false">IF(LEFT(Cockpit!$I$5,1)="A",H1202,IF(CI1202=1,(CL1202+CJ1202)/2,IF(LEFT(Cockpit!$I$5,1)="B",(CL1202+AW1202)/2,MAX((CL1202+AW1202)/2,H1202))))</f>
        <v>2072</v>
      </c>
      <c r="AV1202" s="62" t="n">
        <f aca="false">AU1202*G1202</f>
        <v>704.48</v>
      </c>
      <c r="AW1202" s="62" t="n">
        <f aca="false">ROUNDUP(CL1202+MAX(CM1202,2*(J1202/IF(CH1202&gt;0,CH1202,MAX(0.1,N(Cockpit!$I$6)))-CL1202)),0)</f>
        <v>3902</v>
      </c>
      <c r="AX1202" s="63" t="n">
        <f aca="false">IF(AT1202&gt;0,J1202/AT1202,-1)</f>
        <v>329.775510204082</v>
      </c>
      <c r="AY1202" s="63" t="n">
        <f aca="false">IF(AND(OR(CG1202="L1",CG1202="L23",CG1202="LIFT"),AT1202&gt;0),SUMIFS($AT$7:$AT$1843,$CG$7:$CG$1843,CG1202,$AX$7:$AX$1843,"&gt;"&amp;AX1202)+SUMIFS($AT$7:$AT$1843,$CG$7:$CG$1843,CG1202,$AX$7:$AX$1843,AX1202,$BX$7:$BX$1843,"&lt;="&amp;BX1202),"")</f>
        <v>184.347985347985</v>
      </c>
      <c r="AZ1202" s="70" t="n">
        <f aca="false">IF(AY1202="",0,MAX(0,MIN(1,(IF(CG1202="L1",Parameter!$H$5,IF(CG1202="L23",Parameter!$H$6+Parameter!$H$7,Parameter!$H$5+Parameter!$H$6+Parameter!$H$7))-(AY1202-AT1202))/AT1202)))</f>
        <v>1</v>
      </c>
      <c r="BA1202" s="62" t="n">
        <f aca="false">IF(LEFT(Cockpit!$O$5,1)="A",H1202,IF(Parameter!$E$30="MAX-Bestand",IF(CI1202=1,CJ1202,IF(LEFT(Cockpit!$O$5,1)="B",BG1202,MAX(BG1202,H1202))),ROUNDUP(BE1202,0)))</f>
        <v>1554</v>
      </c>
      <c r="BB1202" s="62" t="n">
        <f aca="false">IF(CA1202=1,0,ROUNDUP(BA1202/BZ1202,0))</f>
        <v>2</v>
      </c>
      <c r="BC1202" s="64" t="n">
        <f aca="false">IF(CR1202&gt;0,CR1202*MAX(1,BA1202/X1202),IF(CA1202=1,IF(BA1202&lt;=0,0,CE1202*MAX(1,IF(H1202&gt;0,BA1202/H1202,1))),IF(R1202&gt;0,BB1202/R1202,0))/MAX(0.1,N(Parameter!$M$21)))</f>
        <v>0.0769230769230769</v>
      </c>
      <c r="BD1202" s="62" t="n">
        <f aca="false">BC1202*CC1202</f>
        <v>18.8461538461538</v>
      </c>
      <c r="BE1202" s="63" t="n">
        <f aca="false">IF(LEFT(Cockpit!$O$5,1)="A",H1202,IF(CI1202=1,(CL1202+CJ1202)/2,IF(LEFT(Cockpit!$O$5,1)="B",(CL1202+BG1202)/2,MAX((CL1202+BG1202)/2,H1202))))</f>
        <v>1554</v>
      </c>
      <c r="BF1202" s="62" t="n">
        <f aca="false">BE1202*G1202</f>
        <v>528.36</v>
      </c>
      <c r="BG1202" s="62" t="n">
        <f aca="false">ROUNDUP(CL1202+MAX(CM1202,2*(J1202/IF(CH1202&gt;0,CH1202,MAX(0.1,N(Cockpit!$O$6)))-CL1202)),0)</f>
        <v>2866</v>
      </c>
      <c r="BH1202" s="63" t="n">
        <f aca="false">IF(BD1202&gt;0,J1202/BD1202,-1)</f>
        <v>329.775510204082</v>
      </c>
      <c r="BI1202" s="63" t="n">
        <f aca="false">IF(AND(OR(CG1202="L1",CG1202="L23",CG1202="LIFT"),BD1202&gt;0),SUMIFS($BD$7:$BD$1843,$CG$7:$CG$1843,CG1202,$BH$7:$BH$1843,"&gt;"&amp;BH1202)+SUMIFS($BD$7:$BD$1843,$CG$7:$CG$1843,CG1202,$BH$7:$BH$1843,BH1202,$BX$7:$BX$1843,"&lt;="&amp;BX1202),"")</f>
        <v>253.580128205128</v>
      </c>
      <c r="BJ1202" s="70" t="n">
        <f aca="false">IF(BI1202="",0,MAX(0,MIN(1,(IF(CG1202="L1",Parameter!$H$5,IF(CG1202="L23",Parameter!$H$6+Parameter!$H$7,Parameter!$H$5+Parameter!$H$6+Parameter!$H$7))-(BI1202-BD1202))/BD1202)))</f>
        <v>1</v>
      </c>
      <c r="BK1202" s="60" t="str">
        <f aca="false">IF(AJ1202&lt;=0,"",IF(CG1202="Aussen","Aussenlager",IF(CG1202="-","Nicht im Lift",IF(AP1202&gt;=1,"Lift",IF(AP1202&lt;=0,"Aussenlager","teilweise")))))</f>
        <v>Lift</v>
      </c>
      <c r="BL1202" s="60" t="str">
        <f aca="false">IF(AT1202&lt;=0,"",IF(CG1202="Aussen","Aussenlager",IF(CG1202="-","Nicht im Lift",IF(AZ1202&gt;=1,"Lift",IF(AZ1202&lt;=0,"Aussenlager","teilweise")))))</f>
        <v>Lift</v>
      </c>
      <c r="BM1202" s="60" t="str">
        <f aca="false">IF(BD1202&lt;=0,"",IF(CG1202="Aussen","Aussenlager",IF(CG1202="-","Nicht im Lift",IF(BJ1202&gt;=1,"Lift",IF(BJ1202&lt;=0,"Aussenlager","teilweise")))))</f>
        <v>Lift</v>
      </c>
      <c r="BN1202" s="60" t="str">
        <f aca="false">IF(A1202="","",IF(BW1202=1,"Neu; ","")&amp;IF(AND(BW1202=0,BR1202&lt;0),"negativer Bestand (Export "&amp;BR1202&amp;"); ","")&amp;IF(J1202&lt;=0,"Kein Verbrauch; ","")&amp;IF(CR1202&gt;0,"Lift "&amp;W1202&amp;" lt. Liftbericht (Fach "&amp;X1202&amp;" Stk); ",IF(CB1202=1,"Gebinde geschätzt ("&amp;T1202&amp;"); ",IF(CA1202=1,"Lose – Tablare geschätzt; ","")))&amp;IF(H1202&gt;AW1202,"Überbestand "&amp;ROUND(H1202-AW1202,0)&amp;" Stk / CHF "&amp;ROUND((H1202-AW1202)*G1202,0)&amp;"; ","")&amp;IF(AND(CI1202=1,CJ1202&lt;CK1202),"MAX &lt; MB+LG; ","")&amp;IF(AND(CQ1202&gt;0,CP1202*10&gt;CQ1202),"zu hoch für Tablar; ","")&amp;IF(AND(BW1202=0,OR(CI1202=1,AB1202&lt;&gt;"",U1202&lt;&gt;"",V1202&lt;&gt;"",AC1202&lt;&gt;"")),"manuell übersteuert; ","")&amp;IF(AND(CA1202=0,R1202=0),"Gebinde unbekannt / Stellmass fehlt; ","")&amp;IF(AND(CA1202=0,N(V1202)&lt;=0,N(Q1202)&lt;=0),"Menge pro Gebinde fehlt (Ist = 1 Gebinde); ","")&amp;BV1202)</f>
        <v>negativer Bestand (Export -1519); </v>
      </c>
      <c r="BO1202" s="60"/>
      <c r="BP1202" s="60"/>
      <c r="BQ1202" s="67"/>
      <c r="BR1202" s="62" t="n">
        <v>-1519</v>
      </c>
      <c r="BS1202" s="62" t="n">
        <v>2506</v>
      </c>
      <c r="BT1202" s="61" t="n">
        <v>-492.019999999998</v>
      </c>
      <c r="BU1202" s="62" t="n">
        <v>6215</v>
      </c>
      <c r="BV1202" s="60"/>
      <c r="BW1202" s="65" t="n">
        <v>0</v>
      </c>
      <c r="BX1202" s="65" t="n">
        <v>1202</v>
      </c>
      <c r="BY1202" s="60" t="str">
        <f aca="false">IF(U1202&lt;&gt;"",UPPER(TRIM(U1202)),IF(CB1202=1,UPPER(VLOOKUP(T1202,Parameter!$I$27:$K$29,2,0)),IF(P1202="","LOSE",P1202)))</f>
        <v>S52</v>
      </c>
      <c r="BZ1202" s="62" t="n">
        <f aca="false">IF(BY1202="LOSE",1,IF(N(V1202)&gt;0,V1202,IF(CB1202=1,MAX(1,N(VLOOKUP(T1202,Parameter!$I$27:$K$29,3,0)),H1202,N(N1202)),IF(N(Q1202)&gt;0,Q1202,MAX(1,H1202)))))</f>
        <v>1527</v>
      </c>
      <c r="CA1202" s="65" t="n">
        <f aca="false">IF(BY1202="LOSE",1,0)</f>
        <v>0</v>
      </c>
      <c r="CB1202" s="65" t="n">
        <f aca="false">IF(AND(U1202="",OR(P1202="",P1202="LOSE"),T1202&lt;&gt;"",N(S1202)&lt;=0,ISNUMBER(MATCH(T1202,Parameter!$I$27:$I$29,0))),1,0)</f>
        <v>0</v>
      </c>
      <c r="CC1202" s="65" t="n">
        <f aca="false">IF(CR1202&gt;0,INDEX(Parameter!$H$5:$H$7,W1202)/INDEX(Parameter!$E$5:$E$7,W1202),IF(AND(CA1202=0,N(IFERROR(VLOOKUP(BY1202,'Gebinde-Kategorie'!$A$5:$N$45,14,0),0))&gt;0),VLOOKUP(BY1202,'Gebinde-Kategorie'!$A$5:$N$45,14,0)*10+Parameter!$M$23,Parameter!$M$24))</f>
        <v>245</v>
      </c>
      <c r="CD1202" s="60" t="str">
        <f aca="false">IF(AND(Parameter!$B$19="Ja",E1202&lt;&gt;"",ISNUMBER(MATCH(E1202,Parameter!$I$35:$I$52,0))),VLOOKUP(E1202,Parameter!$I$35:$J$52,2,0),IFERROR(VLOOKUP(D1202,Parameter!$A$35:$C$64,2,0),"Nein"))</f>
        <v>2+3</v>
      </c>
      <c r="CE1202" s="64" t="n">
        <f aca="false">IF(CA1202=0,0,IF(N(S1202)&gt;0,S1202,IFERROR(VLOOKUP(D1202,Parameter!$A$35:$C$64,3,0)+0,0)))</f>
        <v>0</v>
      </c>
      <c r="CF1202" s="60" t="n">
        <f aca="false">IF(AB1202&lt;&gt;"",AB1202,AA1202)</f>
        <v>3</v>
      </c>
      <c r="CG1202" s="60" t="str">
        <f aca="false">IF(OR(CF1202=1,CF1202=2,CF1202=3),IF(Parameter!$E$27="Ja","LIFT",IF(CF1202=1,"L1","L23")),IF(CF1202="Aussen","Aussen","-"))</f>
        <v>LIFT</v>
      </c>
      <c r="CH1202" s="71" t="n">
        <f aca="false">IF(N(AC1202)&gt;0,AC1202,0)</f>
        <v>0</v>
      </c>
      <c r="CI1202" s="65" t="n">
        <f aca="false">IF(ISNUMBER(AF1202),1,0)</f>
        <v>0</v>
      </c>
      <c r="CJ1202" s="62" t="n">
        <f aca="false">N(AF1202)</f>
        <v>0</v>
      </c>
      <c r="CK1202" s="62" t="n">
        <f aca="false">N(M1202)+N(N1202)</f>
        <v>2242</v>
      </c>
      <c r="CL1202" s="62" t="n">
        <f aca="false">N(M1202)</f>
        <v>242</v>
      </c>
      <c r="CM1202" s="62" t="n">
        <f aca="false">N(N1202)</f>
        <v>2000</v>
      </c>
      <c r="CN1202" s="62" t="n">
        <f aca="false">ROUNDUP(H1202/BZ1202,0)</f>
        <v>1</v>
      </c>
      <c r="CO1202" s="62" t="n">
        <f aca="false">ROUNDUP(CJ1202/BZ1202,0)</f>
        <v>0</v>
      </c>
      <c r="CP1202" s="65" t="n">
        <f aca="false">IF(CA1202=1,0,IFERROR(VLOOKUP(BY1202,'Gebinde-Kategorie'!$A$5:$N$45,5,0)+0,0))</f>
        <v>21</v>
      </c>
      <c r="CQ1202" s="65" t="n">
        <f aca="false">IFERROR(IF(OR(CF1202=1,CF1202=2,CF1202=3),N(INDEX(Parameter!$I$5:$I$7,CF1202)),0),0)</f>
        <v>0</v>
      </c>
      <c r="CR1202" s="64" t="n">
        <f aca="false">IF(AND(Parameter!$B$21="Ja",ISNUMBER(W1202),N(X1202)&gt;0),IFERROR(N(INDEX(Parameter!$L$5:$L$7,W1202))*INDEX(Parameter!$E$5:$E$7,W1202)*X1202/SUMIFS($X$7:$X$1843,$W$7:$W$1843,W1202),0),0)</f>
        <v>0</v>
      </c>
      <c r="CS1202" s="62" t="n">
        <f aca="false">IF(AND(OR(CG1202="L1",CG1202="L23",CG1202="LIFT"),H1202&gt;0),CC1202*IF(CR1202&gt;0,CR1202*MAX(1,H1202/X1202),IF(CA1202=1,CE1202,IF(R1202&gt;0,CN1202/R1202,0))/MAX(0.1,N(Parameter!$M$21))),"")</f>
        <v>9.42307692307692</v>
      </c>
      <c r="CT1202" s="64" t="n">
        <f aca="false">IF(CS1202="","",J1202/H1202)</f>
        <v>6.29685916919959</v>
      </c>
      <c r="CU1202" s="62" t="n">
        <f aca="false">IF(CS1202="","",H1202*G1202)</f>
        <v>335.58</v>
      </c>
      <c r="CV1202" s="63" t="n">
        <f aca="false">IF(CS1202="","",(CL1202+ROUNDUP(CL1202+MAX(CM1202,2*(J1202/MAX(0.1,N(Einkauf!$C$6))-CL1202)),0))/2)</f>
        <v>1554</v>
      </c>
      <c r="CW1202" s="62" t="n">
        <f aca="false">IF(CS1202="","",MAX(0,H1202-CV1202)*G1202)</f>
        <v>0</v>
      </c>
      <c r="CX1202" s="62" t="n">
        <f aca="false">IF(CS1202="","",CS1202*MAX(0,1-CV1202/H1202))</f>
        <v>0</v>
      </c>
      <c r="CY1202" s="64" t="n">
        <f aca="false">IF(CS1202="","",PERCENTRANK($CS$7:$CS$1843,CS1202)+PERCENTRANK($CU$7:$CU$1843,CU1202)+1-PERCENTRANK($CT$7:$CT$1843,CT1202))</f>
        <v>1.051</v>
      </c>
      <c r="CZ1202" s="72" t="n">
        <f aca="false">IF(CS1202="","",CHOOSE(MATCH(Einkauf!$C$5,Parameter!$G$23:$G$27,0),CY1202,CS1202,CU1202,-CT1202,CW1202)+ROW()/1000000000)</f>
        <v>1.051001202</v>
      </c>
    </row>
    <row r="1203" customFormat="false" ht="15" hidden="false" customHeight="false" outlineLevel="0" collapsed="false">
      <c r="A1203" s="60" t="s">
        <v>2203</v>
      </c>
      <c r="B1203" s="60" t="s">
        <v>1960</v>
      </c>
      <c r="C1203" s="60" t="s">
        <v>206</v>
      </c>
      <c r="D1203" s="60" t="s">
        <v>226</v>
      </c>
      <c r="E1203" s="60"/>
      <c r="F1203" s="60" t="s">
        <v>260</v>
      </c>
      <c r="G1203" s="61" t="n">
        <v>16.62</v>
      </c>
      <c r="H1203" s="62" t="n">
        <f aca="false">MAX(0,IF(AND(Parameter!$B$21="Ja",ISNUMBER(Y1203)),Y1203,IF(Parameter!$B$20="Jahresanfang 2025 + Export",BS1203+BR1203,BR1203)))</f>
        <v>0</v>
      </c>
      <c r="I1203" s="62" t="n">
        <f aca="false">H1203*G1203</f>
        <v>0</v>
      </c>
      <c r="J1203" s="62" t="n">
        <f aca="false">BU1203*Parameter!$B$18</f>
        <v>0</v>
      </c>
      <c r="K1203" s="63" t="n">
        <v>30</v>
      </c>
      <c r="L1203" s="64" t="n">
        <v>0</v>
      </c>
      <c r="M1203" s="62" t="n">
        <v>0</v>
      </c>
      <c r="N1203" s="62" t="n">
        <v>1</v>
      </c>
      <c r="O1203" s="65" t="n">
        <v>28</v>
      </c>
      <c r="P1203" s="60" t="s">
        <v>370</v>
      </c>
      <c r="Q1203" s="62" t="n">
        <v>15</v>
      </c>
      <c r="R1203" s="65" t="n">
        <f aca="false">IF(CA1203=1,0,IFERROR(VLOOKUP(BY1203,'Gebinde-Kategorie'!$A$5:$N$45,13,0)+0,0))</f>
        <v>52</v>
      </c>
      <c r="S1203" s="66"/>
      <c r="T1203" s="67"/>
      <c r="U1203" s="67"/>
      <c r="V1203" s="67"/>
      <c r="W1203" s="60"/>
      <c r="X1203" s="62"/>
      <c r="Y1203" s="62"/>
      <c r="Z1203" s="60" t="n">
        <v>3</v>
      </c>
      <c r="AA1203" s="60" t="n">
        <f aca="false">IF(A1203="","",IF(AND(Parameter!$B$21="Ja",ISNUMBER(W1203)),W1203,IF(AND(Parameter!$E$27="Ja",ISNUMBER(Z1203),CD1203&lt;&gt;"Nein"),Z1203,IF(CD1203="2+3",IF(ISNUMBER(SEARCH("grosser Artikel",BV1203)),2,IFERROR(VLOOKUP(BY1203,Parameter!$F$35:$G$64,2,0),2)),IF(OR(CD1203="Nein",CD1203=""),"-",CD1203)))))</f>
        <v>3</v>
      </c>
      <c r="AB1203" s="67"/>
      <c r="AC1203" s="68"/>
      <c r="AD1203" s="62" t="n">
        <f aca="false">AW1203</f>
        <v>1</v>
      </c>
      <c r="AE1203" s="62" t="n">
        <f aca="false">MAX(AW1203,H1203)</f>
        <v>1</v>
      </c>
      <c r="AF1203" s="69"/>
      <c r="AG1203" s="62" t="n">
        <f aca="false">IF(LEFT(Cockpit!$C$5,1)="A",H1203,IF(Parameter!$E$30="MAX-Bestand",IF(CI1203=1,CJ1203,IF(LEFT(Cockpit!$C$5,1)="B",AM1203,MAX(AM1203,H1203))),ROUNDUP(AK1203,0)))</f>
        <v>0</v>
      </c>
      <c r="AH1203" s="62" t="n">
        <f aca="false">IF(CA1203=1,0,ROUNDUP(AG1203/BZ1203,0))</f>
        <v>0</v>
      </c>
      <c r="AI1203" s="64" t="n">
        <f aca="false">IF(CR1203&gt;0,CR1203*MAX(1,AG1203/X1203),IF(CA1203=1,IF(AG1203&lt;=0,0,CE1203*MAX(1,IF(H1203&gt;0,AG1203/H1203,1))),IF(R1203&gt;0,AH1203/R1203,0))/MAX(0.1,N(Parameter!$M$21)))</f>
        <v>0</v>
      </c>
      <c r="AJ1203" s="62" t="n">
        <f aca="false">AI1203*CC1203</f>
        <v>0</v>
      </c>
      <c r="AK1203" s="63" t="n">
        <f aca="false">IF(LEFT(Cockpit!$C$5,1)="A",H1203,IF(CI1203=1,(CL1203+CJ1203)/2,IF(LEFT(Cockpit!$C$5,1)="B",(CL1203+AM1203)/2,MAX((CL1203+AM1203)/2,H1203))))</f>
        <v>0</v>
      </c>
      <c r="AL1203" s="62" t="n">
        <f aca="false">AK1203*G1203</f>
        <v>0</v>
      </c>
      <c r="AM1203" s="62" t="n">
        <f aca="false">ROUNDUP(CL1203+MAX(CM1203,2*(J1203/IF(CH1203&gt;0,CH1203,MAX(0.1,N(Cockpit!$C$6)))-CL1203)),0)</f>
        <v>1</v>
      </c>
      <c r="AN1203" s="63" t="n">
        <f aca="false">IF(AJ1203&gt;0,J1203/AJ1203,-1)</f>
        <v>-1</v>
      </c>
      <c r="AO1203" s="63" t="str">
        <f aca="false">IF(AND(OR(CG1203="L1",CG1203="L23",CG1203="LIFT"),AJ1203&gt;0),SUMIFS($AJ$7:$AJ$1843,$CG$7:$CG$1843,CG1203,$AN$7:$AN$1843,"&gt;"&amp;AN1203)+SUMIFS($AJ$7:$AJ$1843,$CG$7:$CG$1843,CG1203,$AN$7:$AN$1843,AN1203,$BX$7:$BX$1843,"&lt;="&amp;BX1203),"")</f>
        <v/>
      </c>
      <c r="AP1203" s="70" t="n">
        <f aca="false">IF(AO1203="",0,MAX(0,MIN(1,(IF(CG1203="L1",Parameter!$H$5,IF(CG1203="L23",Parameter!$H$6+Parameter!$H$7,Parameter!$H$5+Parameter!$H$6+Parameter!$H$7))-(AO1203-AJ1203))/AJ1203)))</f>
        <v>0</v>
      </c>
      <c r="AQ1203" s="62" t="n">
        <f aca="false">IF(LEFT(Cockpit!$I$5,1)="A",H1203,IF(Parameter!$E$30="MAX-Bestand",IF(CI1203=1,CJ1203,IF(LEFT(Cockpit!$I$5,1)="B",AW1203,MAX(AW1203,H1203))),ROUNDUP(AU1203,0)))</f>
        <v>1</v>
      </c>
      <c r="AR1203" s="62" t="n">
        <f aca="false">IF(CA1203=1,0,ROUNDUP(AQ1203/BZ1203,0))</f>
        <v>1</v>
      </c>
      <c r="AS1203" s="64" t="n">
        <f aca="false">IF(CR1203&gt;0,CR1203*MAX(1,AQ1203/X1203),IF(CA1203=1,IF(AQ1203&lt;=0,0,CE1203*MAX(1,IF(H1203&gt;0,AQ1203/H1203,1))),IF(R1203&gt;0,AR1203/R1203,0))/MAX(0.1,N(Parameter!$M$21)))</f>
        <v>0.0192307692307692</v>
      </c>
      <c r="AT1203" s="62" t="n">
        <f aca="false">AS1203*CC1203</f>
        <v>2.98076923076923</v>
      </c>
      <c r="AU1203" s="63" t="n">
        <f aca="false">IF(LEFT(Cockpit!$I$5,1)="A",H1203,IF(CI1203=1,(CL1203+CJ1203)/2,IF(LEFT(Cockpit!$I$5,1)="B",(CL1203+AW1203)/2,MAX((CL1203+AW1203)/2,H1203))))</f>
        <v>0.5</v>
      </c>
      <c r="AV1203" s="62" t="n">
        <f aca="false">AU1203*G1203</f>
        <v>8.31</v>
      </c>
      <c r="AW1203" s="62" t="n">
        <f aca="false">ROUNDUP(CL1203+MAX(CM1203,2*(J1203/IF(CH1203&gt;0,CH1203,MAX(0.1,N(Cockpit!$I$6)))-CL1203)),0)</f>
        <v>1</v>
      </c>
      <c r="AX1203" s="63" t="n">
        <f aca="false">IF(AT1203&gt;0,J1203/AT1203,-1)</f>
        <v>0</v>
      </c>
      <c r="AY1203" s="63" t="n">
        <f aca="false">IF(AND(OR(CG1203="L1",CG1203="L23",CG1203="LIFT"),AT1203&gt;0),SUMIFS($AT$7:$AT$1843,$CG$7:$CG$1843,CG1203,$AX$7:$AX$1843,"&gt;"&amp;AX1203)+SUMIFS($AT$7:$AT$1843,$CG$7:$CG$1843,CG1203,$AX$7:$AX$1843,AX1203,$BX$7:$BX$1843,"&lt;="&amp;BX1203),"")</f>
        <v>35214.4171245421</v>
      </c>
      <c r="AZ1203" s="70" t="n">
        <f aca="false">IF(AY1203="",0,MAX(0,MIN(1,(IF(CG1203="L1",Parameter!$H$5,IF(CG1203="L23",Parameter!$H$6+Parameter!$H$7,Parameter!$H$5+Parameter!$H$6+Parameter!$H$7))-(AY1203-AT1203))/AT1203)))</f>
        <v>1</v>
      </c>
      <c r="BA1203" s="62" t="n">
        <f aca="false">IF(LEFT(Cockpit!$O$5,1)="A",H1203,IF(Parameter!$E$30="MAX-Bestand",IF(CI1203=1,CJ1203,IF(LEFT(Cockpit!$O$5,1)="B",BG1203,MAX(BG1203,H1203))),ROUNDUP(BE1203,0)))</f>
        <v>1</v>
      </c>
      <c r="BB1203" s="62" t="n">
        <f aca="false">IF(CA1203=1,0,ROUNDUP(BA1203/BZ1203,0))</f>
        <v>1</v>
      </c>
      <c r="BC1203" s="64" t="n">
        <f aca="false">IF(CR1203&gt;0,CR1203*MAX(1,BA1203/X1203),IF(CA1203=1,IF(BA1203&lt;=0,0,CE1203*MAX(1,IF(H1203&gt;0,BA1203/H1203,1))),IF(R1203&gt;0,BB1203/R1203,0))/MAX(0.1,N(Parameter!$M$21)))</f>
        <v>0.0192307692307692</v>
      </c>
      <c r="BD1203" s="62" t="n">
        <f aca="false">BC1203*CC1203</f>
        <v>2.98076923076923</v>
      </c>
      <c r="BE1203" s="63" t="n">
        <f aca="false">IF(LEFT(Cockpit!$O$5,1)="A",H1203,IF(CI1203=1,(CL1203+CJ1203)/2,IF(LEFT(Cockpit!$O$5,1)="B",(CL1203+BG1203)/2,MAX((CL1203+BG1203)/2,H1203))))</f>
        <v>0.5</v>
      </c>
      <c r="BF1203" s="62" t="n">
        <f aca="false">BE1203*G1203</f>
        <v>8.31</v>
      </c>
      <c r="BG1203" s="62" t="n">
        <f aca="false">ROUNDUP(CL1203+MAX(CM1203,2*(J1203/IF(CH1203&gt;0,CH1203,MAX(0.1,N(Cockpit!$O$6)))-CL1203)),0)</f>
        <v>1</v>
      </c>
      <c r="BH1203" s="63" t="n">
        <f aca="false">IF(BD1203&gt;0,J1203/BD1203,-1)</f>
        <v>0</v>
      </c>
      <c r="BI1203" s="63" t="n">
        <f aca="false">IF(AND(OR(CG1203="L1",CG1203="L23",CG1203="LIFT"),BD1203&gt;0),SUMIFS($BD$7:$BD$1843,$CG$7:$CG$1843,CG1203,$BH$7:$BH$1843,"&gt;"&amp;BH1203)+SUMIFS($BD$7:$BD$1843,$CG$7:$CG$1843,CG1203,$BH$7:$BH$1843,BH1203,$BX$7:$BX$1843,"&lt;="&amp;BX1203),"")</f>
        <v>29199.7237846899</v>
      </c>
      <c r="BJ1203" s="70" t="n">
        <f aca="false">IF(BI1203="",0,MAX(0,MIN(1,(IF(CG1203="L1",Parameter!$H$5,IF(CG1203="L23",Parameter!$H$6+Parameter!$H$7,Parameter!$H$5+Parameter!$H$6+Parameter!$H$7))-(BI1203-BD1203))/BD1203)))</f>
        <v>1</v>
      </c>
      <c r="BK1203" s="60" t="str">
        <f aca="false">IF(AJ1203&lt;=0,"",IF(CG1203="Aussen","Aussenlager",IF(CG1203="-","Nicht im Lift",IF(AP1203&gt;=1,"Lift",IF(AP1203&lt;=0,"Aussenlager","teilweise")))))</f>
        <v/>
      </c>
      <c r="BL1203" s="60" t="str">
        <f aca="false">IF(AT1203&lt;=0,"",IF(CG1203="Aussen","Aussenlager",IF(CG1203="-","Nicht im Lift",IF(AZ1203&gt;=1,"Lift",IF(AZ1203&lt;=0,"Aussenlager","teilweise")))))</f>
        <v>Lift</v>
      </c>
      <c r="BM1203" s="60" t="str">
        <f aca="false">IF(BD1203&lt;=0,"",IF(CG1203="Aussen","Aussenlager",IF(CG1203="-","Nicht im Lift",IF(BJ1203&gt;=1,"Lift",IF(BJ1203&lt;=0,"Aussenlager","teilweise")))))</f>
        <v>Lift</v>
      </c>
      <c r="BN1203" s="60" t="str">
        <f aca="false">IF(A1203="","",IF(BW1203=1,"Neu; ","")&amp;IF(AND(BW1203=0,BR1203&lt;0),"negativer Bestand (Export "&amp;BR1203&amp;"); ","")&amp;IF(J1203&lt;=0,"Kein Verbrauch; ","")&amp;IF(CR1203&gt;0,"Lift "&amp;W1203&amp;" lt. Liftbericht (Fach "&amp;X1203&amp;" Stk); ",IF(CB1203=1,"Gebinde geschätzt ("&amp;T1203&amp;"); ",IF(CA1203=1,"Lose – Tablare geschätzt; ","")))&amp;IF(H1203&gt;AW1203,"Überbestand "&amp;ROUND(H1203-AW1203,0)&amp;" Stk / CHF "&amp;ROUND((H1203-AW1203)*G1203,0)&amp;"; ","")&amp;IF(AND(CI1203=1,CJ1203&lt;CK1203),"MAX &lt; MB+LG; ","")&amp;IF(AND(CQ1203&gt;0,CP1203*10&gt;CQ1203),"zu hoch für Tablar; ","")&amp;IF(AND(BW1203=0,OR(CI1203=1,AB1203&lt;&gt;"",U1203&lt;&gt;"",V1203&lt;&gt;"",AC1203&lt;&gt;"")),"manuell übersteuert; ","")&amp;IF(AND(CA1203=0,R1203=0),"Gebinde unbekannt / Stellmass fehlt; ","")&amp;IF(AND(CA1203=0,N(V1203)&lt;=0,N(Q1203)&lt;=0),"Menge pro Gebinde fehlt (Ist = 1 Gebinde); ","")&amp;BV1203)</f>
        <v>negativer Bestand (Export -30); Kein Verbrauch; </v>
      </c>
      <c r="BO1203" s="60"/>
      <c r="BP1203" s="60"/>
      <c r="BQ1203" s="67"/>
      <c r="BR1203" s="62" t="n">
        <v>-30</v>
      </c>
      <c r="BS1203" s="62" t="n">
        <v>30</v>
      </c>
      <c r="BT1203" s="61" t="n">
        <v>-498.6</v>
      </c>
      <c r="BU1203" s="62" t="n">
        <v>0</v>
      </c>
      <c r="BV1203" s="60"/>
      <c r="BW1203" s="65" t="n">
        <v>0</v>
      </c>
      <c r="BX1203" s="65" t="n">
        <v>1203</v>
      </c>
      <c r="BY1203" s="60" t="str">
        <f aca="false">IF(U1203&lt;&gt;"",UPPER(TRIM(U1203)),IF(CB1203=1,UPPER(VLOOKUP(T1203,Parameter!$I$27:$K$29,2,0)),IF(P1203="","LOSE",P1203)))</f>
        <v>S41</v>
      </c>
      <c r="BZ1203" s="62" t="n">
        <f aca="false">IF(BY1203="LOSE",1,IF(N(V1203)&gt;0,V1203,IF(CB1203=1,MAX(1,N(VLOOKUP(T1203,Parameter!$I$27:$K$29,3,0)),H1203,N(N1203)),IF(N(Q1203)&gt;0,Q1203,MAX(1,H1203)))))</f>
        <v>15</v>
      </c>
      <c r="CA1203" s="65" t="n">
        <f aca="false">IF(BY1203="LOSE",1,0)</f>
        <v>0</v>
      </c>
      <c r="CB1203" s="65" t="n">
        <f aca="false">IF(AND(U1203="",OR(P1203="",P1203="LOSE"),T1203&lt;&gt;"",N(S1203)&lt;=0,ISNUMBER(MATCH(T1203,Parameter!$I$27:$I$29,0))),1,0)</f>
        <v>0</v>
      </c>
      <c r="CC1203" s="65" t="n">
        <f aca="false">IF(CR1203&gt;0,INDEX(Parameter!$H$5:$H$7,W1203)/INDEX(Parameter!$E$5:$E$7,W1203),IF(AND(CA1203=0,N(IFERROR(VLOOKUP(BY1203,'Gebinde-Kategorie'!$A$5:$N$45,14,0),0))&gt;0),VLOOKUP(BY1203,'Gebinde-Kategorie'!$A$5:$N$45,14,0)*10+Parameter!$M$23,Parameter!$M$24))</f>
        <v>155</v>
      </c>
      <c r="CD1203" s="60" t="str">
        <f aca="false">IF(AND(Parameter!$B$19="Ja",E1203&lt;&gt;"",ISNUMBER(MATCH(E1203,Parameter!$I$35:$I$52,0))),VLOOKUP(E1203,Parameter!$I$35:$J$52,2,0),IFERROR(VLOOKUP(D1203,Parameter!$A$35:$C$64,2,0),"Nein"))</f>
        <v>2+3</v>
      </c>
      <c r="CE1203" s="64" t="n">
        <f aca="false">IF(CA1203=0,0,IF(N(S1203)&gt;0,S1203,IFERROR(VLOOKUP(D1203,Parameter!$A$35:$C$64,3,0)+0,0)))</f>
        <v>0</v>
      </c>
      <c r="CF1203" s="60" t="n">
        <f aca="false">IF(AB1203&lt;&gt;"",AB1203,AA1203)</f>
        <v>3</v>
      </c>
      <c r="CG1203" s="60" t="str">
        <f aca="false">IF(OR(CF1203=1,CF1203=2,CF1203=3),IF(Parameter!$E$27="Ja","LIFT",IF(CF1203=1,"L1","L23")),IF(CF1203="Aussen","Aussen","-"))</f>
        <v>LIFT</v>
      </c>
      <c r="CH1203" s="71" t="n">
        <f aca="false">IF(N(AC1203)&gt;0,AC1203,0)</f>
        <v>0</v>
      </c>
      <c r="CI1203" s="65" t="n">
        <f aca="false">IF(ISNUMBER(AF1203),1,0)</f>
        <v>0</v>
      </c>
      <c r="CJ1203" s="62" t="n">
        <f aca="false">N(AF1203)</f>
        <v>0</v>
      </c>
      <c r="CK1203" s="62" t="n">
        <f aca="false">N(M1203)+N(N1203)</f>
        <v>1</v>
      </c>
      <c r="CL1203" s="62" t="n">
        <f aca="false">N(M1203)</f>
        <v>0</v>
      </c>
      <c r="CM1203" s="62" t="n">
        <f aca="false">N(N1203)</f>
        <v>1</v>
      </c>
      <c r="CN1203" s="62" t="n">
        <f aca="false">ROUNDUP(H1203/BZ1203,0)</f>
        <v>0</v>
      </c>
      <c r="CO1203" s="62" t="n">
        <f aca="false">ROUNDUP(CJ1203/BZ1203,0)</f>
        <v>0</v>
      </c>
      <c r="CP1203" s="65" t="n">
        <f aca="false">IF(CA1203=1,0,IFERROR(VLOOKUP(BY1203,'Gebinde-Kategorie'!$A$5:$N$45,5,0)+0,0))</f>
        <v>11</v>
      </c>
      <c r="CQ1203" s="65" t="n">
        <f aca="false">IFERROR(IF(OR(CF1203=1,CF1203=2,CF1203=3),N(INDEX(Parameter!$I$5:$I$7,CF1203)),0),0)</f>
        <v>0</v>
      </c>
      <c r="CR1203" s="64" t="n">
        <f aca="false">IF(AND(Parameter!$B$21="Ja",ISNUMBER(W1203),N(X1203)&gt;0),IFERROR(N(INDEX(Parameter!$L$5:$L$7,W1203))*INDEX(Parameter!$E$5:$E$7,W1203)*X1203/SUMIFS($X$7:$X$1843,$W$7:$W$1843,W1203),0),0)</f>
        <v>0</v>
      </c>
      <c r="CS1203" s="62" t="str">
        <f aca="false">IF(AND(OR(CG1203="L1",CG1203="L23",CG1203="LIFT"),H1203&gt;0),CC1203*IF(CR1203&gt;0,CR1203*MAX(1,H1203/X1203),IF(CA1203=1,CE1203,IF(R1203&gt;0,CN1203/R1203,0))/MAX(0.1,N(Parameter!$M$21))),"")</f>
        <v/>
      </c>
      <c r="CT1203" s="64" t="str">
        <f aca="false">IF(CS1203="","",J1203/H1203)</f>
        <v/>
      </c>
      <c r="CU1203" s="62" t="str">
        <f aca="false">IF(CS1203="","",H1203*G1203)</f>
        <v/>
      </c>
      <c r="CV1203" s="63" t="str">
        <f aca="false">IF(CS1203="","",(CL1203+ROUNDUP(CL1203+MAX(CM1203,2*(J1203/MAX(0.1,N(Einkauf!$C$6))-CL1203)),0))/2)</f>
        <v/>
      </c>
      <c r="CW1203" s="62" t="str">
        <f aca="false">IF(CS1203="","",MAX(0,H1203-CV1203)*G1203)</f>
        <v/>
      </c>
      <c r="CX1203" s="62" t="str">
        <f aca="false">IF(CS1203="","",CS1203*MAX(0,1-CV1203/H1203))</f>
        <v/>
      </c>
      <c r="CY1203" s="64" t="str">
        <f aca="false">IF(CS1203="","",PERCENTRANK($CS$7:$CS$1843,CS1203)+PERCENTRANK($CU$7:$CU$1843,CU1203)+1-PERCENTRANK($CT$7:$CT$1843,CT1203))</f>
        <v/>
      </c>
      <c r="CZ1203" s="72" t="str">
        <f aca="false">IF(CS1203="","",CHOOSE(MATCH(Einkauf!$C$5,Parameter!$G$23:$G$27,0),CY1203,CS1203,CU1203,-CT1203,CW1203)+ROW()/1000000000)</f>
        <v/>
      </c>
    </row>
    <row r="1204" customFormat="false" ht="15" hidden="false" customHeight="false" outlineLevel="0" collapsed="false">
      <c r="A1204" s="60" t="s">
        <v>2204</v>
      </c>
      <c r="B1204" s="60" t="s">
        <v>2205</v>
      </c>
      <c r="C1204" s="60" t="s">
        <v>206</v>
      </c>
      <c r="D1204" s="60" t="s">
        <v>215</v>
      </c>
      <c r="E1204" s="60" t="s">
        <v>227</v>
      </c>
      <c r="F1204" s="60" t="s">
        <v>260</v>
      </c>
      <c r="G1204" s="61" t="n">
        <v>380.7</v>
      </c>
      <c r="H1204" s="62" t="n">
        <f aca="false">MAX(0,IF(AND(Parameter!$B$21="Ja",ISNUMBER(Y1204)),Y1204,IF(Parameter!$B$20="Jahresanfang 2025 + Export",BS1204+BR1204,BR1204)))</f>
        <v>2</v>
      </c>
      <c r="I1204" s="62" t="n">
        <f aca="false">H1204*G1204</f>
        <v>761.4</v>
      </c>
      <c r="J1204" s="62" t="n">
        <f aca="false">BU1204*Parameter!$B$18</f>
        <v>0</v>
      </c>
      <c r="K1204" s="63" t="n">
        <v>3.5</v>
      </c>
      <c r="L1204" s="64" t="n">
        <v>0</v>
      </c>
      <c r="M1204" s="62" t="n">
        <v>0</v>
      </c>
      <c r="N1204" s="62" t="n">
        <v>1</v>
      </c>
      <c r="O1204" s="65" t="n">
        <v>28</v>
      </c>
      <c r="P1204" s="60" t="s">
        <v>210</v>
      </c>
      <c r="Q1204" s="62"/>
      <c r="R1204" s="65" t="n">
        <f aca="false">IF(CA1204=1,0,IFERROR(VLOOKUP(BY1204,'Gebinde-Kategorie'!$A$5:$N$45,13,0)+0,0))</f>
        <v>12</v>
      </c>
      <c r="S1204" s="66"/>
      <c r="T1204" s="67" t="s">
        <v>221</v>
      </c>
      <c r="U1204" s="67"/>
      <c r="V1204" s="67"/>
      <c r="W1204" s="60"/>
      <c r="X1204" s="62"/>
      <c r="Y1204" s="62"/>
      <c r="Z1204" s="60" t="n">
        <v>3</v>
      </c>
      <c r="AA1204" s="60" t="n">
        <f aca="false">IF(A1204="","",IF(AND(Parameter!$B$21="Ja",ISNUMBER(W1204)),W1204,IF(AND(Parameter!$E$27="Ja",ISNUMBER(Z1204),CD1204&lt;&gt;"Nein"),Z1204,IF(CD1204="2+3",IF(ISNUMBER(SEARCH("grosser Artikel",BV1204)),2,IFERROR(VLOOKUP(BY1204,Parameter!$F$35:$G$64,2,0),2)),IF(OR(CD1204="Nein",CD1204=""),"-",CD1204)))))</f>
        <v>3</v>
      </c>
      <c r="AB1204" s="67"/>
      <c r="AC1204" s="68"/>
      <c r="AD1204" s="62" t="n">
        <f aca="false">AW1204</f>
        <v>1</v>
      </c>
      <c r="AE1204" s="62" t="n">
        <f aca="false">MAX(AW1204,H1204)</f>
        <v>2</v>
      </c>
      <c r="AF1204" s="69"/>
      <c r="AG1204" s="62" t="n">
        <f aca="false">IF(LEFT(Cockpit!$C$5,1)="A",H1204,IF(Parameter!$E$30="MAX-Bestand",IF(CI1204=1,CJ1204,IF(LEFT(Cockpit!$C$5,1)="B",AM1204,MAX(AM1204,H1204))),ROUNDUP(AK1204,0)))</f>
        <v>2</v>
      </c>
      <c r="AH1204" s="62" t="n">
        <f aca="false">IF(CA1204=1,0,ROUNDUP(AG1204/BZ1204,0))</f>
        <v>1</v>
      </c>
      <c r="AI1204" s="64" t="n">
        <f aca="false">IF(CR1204&gt;0,CR1204*MAX(1,AG1204/X1204),IF(CA1204=1,IF(AG1204&lt;=0,0,CE1204*MAX(1,IF(H1204&gt;0,AG1204/H1204,1))),IF(R1204&gt;0,AH1204/R1204,0))/MAX(0.1,N(Parameter!$M$21)))</f>
        <v>0.0833333333333333</v>
      </c>
      <c r="AJ1204" s="62" t="n">
        <f aca="false">AI1204*CC1204</f>
        <v>12.0833333333333</v>
      </c>
      <c r="AK1204" s="63" t="n">
        <f aca="false">IF(LEFT(Cockpit!$C$5,1)="A",H1204,IF(CI1204=1,(CL1204+CJ1204)/2,IF(LEFT(Cockpit!$C$5,1)="B",(CL1204+AM1204)/2,MAX((CL1204+AM1204)/2,H1204))))</f>
        <v>2</v>
      </c>
      <c r="AL1204" s="62" t="n">
        <f aca="false">AK1204*G1204</f>
        <v>761.4</v>
      </c>
      <c r="AM1204" s="62" t="n">
        <f aca="false">ROUNDUP(CL1204+MAX(CM1204,2*(J1204/IF(CH1204&gt;0,CH1204,MAX(0.1,N(Cockpit!$C$6)))-CL1204)),0)</f>
        <v>1</v>
      </c>
      <c r="AN1204" s="63" t="n">
        <f aca="false">IF(AJ1204&gt;0,J1204/AJ1204,-1)</f>
        <v>0</v>
      </c>
      <c r="AO1204" s="63" t="n">
        <f aca="false">IF(AND(OR(CG1204="L1",CG1204="L23",CG1204="LIFT"),AJ1204&gt;0),SUMIFS($AJ$7:$AJ$1843,$CG$7:$CG$1843,CG1204,$AN$7:$AN$1843,"&gt;"&amp;AN1204)+SUMIFS($AJ$7:$AJ$1843,$CG$7:$CG$1843,CG1204,$AN$7:$AN$1843,AN1204,$BX$7:$BX$1843,"&lt;="&amp;BX1204),"")</f>
        <v>29420.666834813</v>
      </c>
      <c r="AP1204" s="70" t="n">
        <f aca="false">IF(AO1204="",0,MAX(0,MIN(1,(IF(CG1204="L1",Parameter!$H$5,IF(CG1204="L23",Parameter!$H$6+Parameter!$H$7,Parameter!$H$5+Parameter!$H$6+Parameter!$H$7))-(AO1204-AJ1204))/AJ1204)))</f>
        <v>1</v>
      </c>
      <c r="AQ1204" s="62" t="n">
        <f aca="false">IF(LEFT(Cockpit!$I$5,1)="A",H1204,IF(Parameter!$E$30="MAX-Bestand",IF(CI1204=1,CJ1204,IF(LEFT(Cockpit!$I$5,1)="B",AW1204,MAX(AW1204,H1204))),ROUNDUP(AU1204,0)))</f>
        <v>2</v>
      </c>
      <c r="AR1204" s="62" t="n">
        <f aca="false">IF(CA1204=1,0,ROUNDUP(AQ1204/BZ1204,0))</f>
        <v>1</v>
      </c>
      <c r="AS1204" s="64" t="n">
        <f aca="false">IF(CR1204&gt;0,CR1204*MAX(1,AQ1204/X1204),IF(CA1204=1,IF(AQ1204&lt;=0,0,CE1204*MAX(1,IF(H1204&gt;0,AQ1204/H1204,1))),IF(R1204&gt;0,AR1204/R1204,0))/MAX(0.1,N(Parameter!$M$21)))</f>
        <v>0.0833333333333333</v>
      </c>
      <c r="AT1204" s="62" t="n">
        <f aca="false">AS1204*CC1204</f>
        <v>12.0833333333333</v>
      </c>
      <c r="AU1204" s="63" t="n">
        <f aca="false">IF(LEFT(Cockpit!$I$5,1)="A",H1204,IF(CI1204=1,(CL1204+CJ1204)/2,IF(LEFT(Cockpit!$I$5,1)="B",(CL1204+AW1204)/2,MAX((CL1204+AW1204)/2,H1204))))</f>
        <v>2</v>
      </c>
      <c r="AV1204" s="62" t="n">
        <f aca="false">AU1204*G1204</f>
        <v>761.4</v>
      </c>
      <c r="AW1204" s="62" t="n">
        <f aca="false">ROUNDUP(CL1204+MAX(CM1204,2*(J1204/IF(CH1204&gt;0,CH1204,MAX(0.1,N(Cockpit!$I$6)))-CL1204)),0)</f>
        <v>1</v>
      </c>
      <c r="AX1204" s="63" t="n">
        <f aca="false">IF(AT1204&gt;0,J1204/AT1204,-1)</f>
        <v>0</v>
      </c>
      <c r="AY1204" s="63" t="n">
        <f aca="false">IF(AND(OR(CG1204="L1",CG1204="L23",CG1204="LIFT"),AT1204&gt;0),SUMIFS($AT$7:$AT$1843,$CG$7:$CG$1843,CG1204,$AX$7:$AX$1843,"&gt;"&amp;AX1204)+SUMIFS($AT$7:$AT$1843,$CG$7:$CG$1843,CG1204,$AX$7:$AX$1843,AX1204,$BX$7:$BX$1843,"&lt;="&amp;BX1204),"")</f>
        <v>35226.5004578755</v>
      </c>
      <c r="AZ1204" s="70" t="n">
        <f aca="false">IF(AY1204="",0,MAX(0,MIN(1,(IF(CG1204="L1",Parameter!$H$5,IF(CG1204="L23",Parameter!$H$6+Parameter!$H$7,Parameter!$H$5+Parameter!$H$6+Parameter!$H$7))-(AY1204-AT1204))/AT1204)))</f>
        <v>1</v>
      </c>
      <c r="BA1204" s="62" t="n">
        <f aca="false">IF(LEFT(Cockpit!$O$5,1)="A",H1204,IF(Parameter!$E$30="MAX-Bestand",IF(CI1204=1,CJ1204,IF(LEFT(Cockpit!$O$5,1)="B",BG1204,MAX(BG1204,H1204))),ROUNDUP(BE1204,0)))</f>
        <v>1</v>
      </c>
      <c r="BB1204" s="62" t="n">
        <f aca="false">IF(CA1204=1,0,ROUNDUP(BA1204/BZ1204,0))</f>
        <v>1</v>
      </c>
      <c r="BC1204" s="64" t="n">
        <f aca="false">IF(CR1204&gt;0,CR1204*MAX(1,BA1204/X1204),IF(CA1204=1,IF(BA1204&lt;=0,0,CE1204*MAX(1,IF(H1204&gt;0,BA1204/H1204,1))),IF(R1204&gt;0,BB1204/R1204,0))/MAX(0.1,N(Parameter!$M$21)))</f>
        <v>0.0833333333333333</v>
      </c>
      <c r="BD1204" s="62" t="n">
        <f aca="false">BC1204*CC1204</f>
        <v>12.0833333333333</v>
      </c>
      <c r="BE1204" s="63" t="n">
        <f aca="false">IF(LEFT(Cockpit!$O$5,1)="A",H1204,IF(CI1204=1,(CL1204+CJ1204)/2,IF(LEFT(Cockpit!$O$5,1)="B",(CL1204+BG1204)/2,MAX((CL1204+BG1204)/2,H1204))))</f>
        <v>0.5</v>
      </c>
      <c r="BF1204" s="62" t="n">
        <f aca="false">BE1204*G1204</f>
        <v>190.35</v>
      </c>
      <c r="BG1204" s="62" t="n">
        <f aca="false">ROUNDUP(CL1204+MAX(CM1204,2*(J1204/IF(CH1204&gt;0,CH1204,MAX(0.1,N(Cockpit!$O$6)))-CL1204)),0)</f>
        <v>1</v>
      </c>
      <c r="BH1204" s="63" t="n">
        <f aca="false">IF(BD1204&gt;0,J1204/BD1204,-1)</f>
        <v>0</v>
      </c>
      <c r="BI1204" s="63" t="n">
        <f aca="false">IF(AND(OR(CG1204="L1",CG1204="L23",CG1204="LIFT"),BD1204&gt;0),SUMIFS($BD$7:$BD$1843,$CG$7:$CG$1843,CG1204,$BH$7:$BH$1843,"&gt;"&amp;BH1204)+SUMIFS($BD$7:$BD$1843,$CG$7:$CG$1843,CG1204,$BH$7:$BH$1843,BH1204,$BX$7:$BX$1843,"&lt;="&amp;BX1204),"")</f>
        <v>29211.8071180232</v>
      </c>
      <c r="BJ1204" s="70" t="n">
        <f aca="false">IF(BI1204="",0,MAX(0,MIN(1,(IF(CG1204="L1",Parameter!$H$5,IF(CG1204="L23",Parameter!$H$6+Parameter!$H$7,Parameter!$H$5+Parameter!$H$6+Parameter!$H$7))-(BI1204-BD1204))/BD1204)))</f>
        <v>1</v>
      </c>
      <c r="BK1204" s="60" t="str">
        <f aca="false">IF(AJ1204&lt;=0,"",IF(CG1204="Aussen","Aussenlager",IF(CG1204="-","Nicht im Lift",IF(AP1204&gt;=1,"Lift",IF(AP1204&lt;=0,"Aussenlager","teilweise")))))</f>
        <v>Lift</v>
      </c>
      <c r="BL1204" s="60" t="str">
        <f aca="false">IF(AT1204&lt;=0,"",IF(CG1204="Aussen","Aussenlager",IF(CG1204="-","Nicht im Lift",IF(AZ1204&gt;=1,"Lift",IF(AZ1204&lt;=0,"Aussenlager","teilweise")))))</f>
        <v>Lift</v>
      </c>
      <c r="BM1204" s="60" t="str">
        <f aca="false">IF(BD1204&lt;=0,"",IF(CG1204="Aussen","Aussenlager",IF(CG1204="-","Nicht im Lift",IF(BJ1204&gt;=1,"Lift",IF(BJ1204&lt;=0,"Aussenlager","teilweise")))))</f>
        <v>Lift</v>
      </c>
      <c r="BN1204" s="60" t="str">
        <f aca="false">IF(A1204="","",IF(BW1204=1,"Neu; ","")&amp;IF(AND(BW1204=0,BR1204&lt;0),"negativer Bestand (Export "&amp;BR1204&amp;"); ","")&amp;IF(J1204&lt;=0,"Kein Verbrauch; ","")&amp;IF(CR1204&gt;0,"Lift "&amp;W1204&amp;" lt. Liftbericht (Fach "&amp;X1204&amp;" Stk); ",IF(CB1204=1,"Gebinde geschätzt ("&amp;T1204&amp;"); ",IF(CA1204=1,"Lose – Tablare geschätzt; ","")))&amp;IF(H1204&gt;AW1204,"Überbestand "&amp;ROUND(H1204-AW1204,0)&amp;" Stk / CHF "&amp;ROUND((H1204-AW1204)*G1204,0)&amp;"; ","")&amp;IF(AND(CI1204=1,CJ1204&lt;CK1204),"MAX &lt; MB+LG; ","")&amp;IF(AND(CQ1204&gt;0,CP1204*10&gt;CQ1204),"zu hoch für Tablar; ","")&amp;IF(AND(BW1204=0,OR(CI1204=1,AB1204&lt;&gt;"",U1204&lt;&gt;"",V1204&lt;&gt;"",AC1204&lt;&gt;"")),"manuell übersteuert; ","")&amp;IF(AND(CA1204=0,R1204=0),"Gebinde unbekannt / Stellmass fehlt; ","")&amp;IF(AND(CA1204=0,N(V1204)&lt;=0,N(Q1204)&lt;=0),"Menge pro Gebinde fehlt (Ist = 1 Gebinde); ","")&amp;BV1204)</f>
        <v>negativer Bestand (Export -2); Kein Verbrauch; Gebinde geschätzt (Mittel); Überbestand 1 Stk / CHF 381; Menge pro Gebinde fehlt (Ist = 1 Gebinde); grosser Artikel &amp; nicht im KTL</v>
      </c>
      <c r="BO1204" s="60"/>
      <c r="BP1204" s="60"/>
      <c r="BQ1204" s="67"/>
      <c r="BR1204" s="62" t="n">
        <v>-2</v>
      </c>
      <c r="BS1204" s="62" t="n">
        <v>4</v>
      </c>
      <c r="BT1204" s="61" t="n">
        <v>-506.68</v>
      </c>
      <c r="BU1204" s="62" t="n">
        <v>0</v>
      </c>
      <c r="BV1204" s="60" t="s">
        <v>303</v>
      </c>
      <c r="BW1204" s="65" t="n">
        <v>0</v>
      </c>
      <c r="BX1204" s="65" t="n">
        <v>1204</v>
      </c>
      <c r="BY1204" s="60" t="str">
        <f aca="false">IF(U1204&lt;&gt;"",UPPER(TRIM(U1204)),IF(CB1204=1,UPPER(VLOOKUP(T1204,Parameter!$I$27:$K$29,2,0)),IF(P1204="","LOSE",P1204)))</f>
        <v>S61</v>
      </c>
      <c r="BZ1204" s="62" t="n">
        <f aca="false">IF(BY1204="LOSE",1,IF(N(V1204)&gt;0,V1204,IF(CB1204=1,MAX(1,N(VLOOKUP(T1204,Parameter!$I$27:$K$29,3,0)),H1204,N(N1204)),IF(N(Q1204)&gt;0,Q1204,MAX(1,H1204)))))</f>
        <v>4</v>
      </c>
      <c r="CA1204" s="65" t="n">
        <f aca="false">IF(BY1204="LOSE",1,0)</f>
        <v>0</v>
      </c>
      <c r="CB1204" s="65" t="n">
        <f aca="false">IF(AND(U1204="",OR(P1204="",P1204="LOSE"),T1204&lt;&gt;"",N(S1204)&lt;=0,ISNUMBER(MATCH(T1204,Parameter!$I$27:$I$29,0))),1,0)</f>
        <v>1</v>
      </c>
      <c r="CC1204" s="65" t="n">
        <f aca="false">IF(CR1204&gt;0,INDEX(Parameter!$H$5:$H$7,W1204)/INDEX(Parameter!$E$5:$E$7,W1204),IF(AND(CA1204=0,N(IFERROR(VLOOKUP(BY1204,'Gebinde-Kategorie'!$A$5:$N$45,14,0),0))&gt;0),VLOOKUP(BY1204,'Gebinde-Kategorie'!$A$5:$N$45,14,0)*10+Parameter!$M$23,Parameter!$M$24))</f>
        <v>145</v>
      </c>
      <c r="CD1204" s="60" t="str">
        <f aca="false">IF(AND(Parameter!$B$19="Ja",E1204&lt;&gt;"",ISNUMBER(MATCH(E1204,Parameter!$I$35:$I$52,0))),VLOOKUP(E1204,Parameter!$I$35:$J$52,2,0),IFERROR(VLOOKUP(D1204,Parameter!$A$35:$C$64,2,0),"Nein"))</f>
        <v>2+3</v>
      </c>
      <c r="CE1204" s="64" t="n">
        <f aca="false">IF(CA1204=0,0,IF(N(S1204)&gt;0,S1204,IFERROR(VLOOKUP(D1204,Parameter!$A$35:$C$64,3,0)+0,0)))</f>
        <v>0</v>
      </c>
      <c r="CF1204" s="60" t="n">
        <f aca="false">IF(AB1204&lt;&gt;"",AB1204,AA1204)</f>
        <v>3</v>
      </c>
      <c r="CG1204" s="60" t="str">
        <f aca="false">IF(OR(CF1204=1,CF1204=2,CF1204=3),IF(Parameter!$E$27="Ja","LIFT",IF(CF1204=1,"L1","L23")),IF(CF1204="Aussen","Aussen","-"))</f>
        <v>LIFT</v>
      </c>
      <c r="CH1204" s="71" t="n">
        <f aca="false">IF(N(AC1204)&gt;0,AC1204,0)</f>
        <v>0</v>
      </c>
      <c r="CI1204" s="65" t="n">
        <f aca="false">IF(ISNUMBER(AF1204),1,0)</f>
        <v>0</v>
      </c>
      <c r="CJ1204" s="62" t="n">
        <f aca="false">N(AF1204)</f>
        <v>0</v>
      </c>
      <c r="CK1204" s="62" t="n">
        <f aca="false">N(M1204)+N(N1204)</f>
        <v>1</v>
      </c>
      <c r="CL1204" s="62" t="n">
        <f aca="false">N(M1204)</f>
        <v>0</v>
      </c>
      <c r="CM1204" s="62" t="n">
        <f aca="false">N(N1204)</f>
        <v>1</v>
      </c>
      <c r="CN1204" s="62" t="n">
        <f aca="false">ROUNDUP(H1204/BZ1204,0)</f>
        <v>1</v>
      </c>
      <c r="CO1204" s="62" t="n">
        <f aca="false">ROUNDUP(CJ1204/BZ1204,0)</f>
        <v>0</v>
      </c>
      <c r="CP1204" s="65" t="n">
        <f aca="false">IF(CA1204=1,0,IFERROR(VLOOKUP(BY1204,'Gebinde-Kategorie'!$A$5:$N$45,5,0)+0,0))</f>
        <v>11</v>
      </c>
      <c r="CQ1204" s="65" t="n">
        <f aca="false">IFERROR(IF(OR(CF1204=1,CF1204=2,CF1204=3),N(INDEX(Parameter!$I$5:$I$7,CF1204)),0),0)</f>
        <v>0</v>
      </c>
      <c r="CR1204" s="64" t="n">
        <f aca="false">IF(AND(Parameter!$B$21="Ja",ISNUMBER(W1204),N(X1204)&gt;0),IFERROR(N(INDEX(Parameter!$L$5:$L$7,W1204))*INDEX(Parameter!$E$5:$E$7,W1204)*X1204/SUMIFS($X$7:$X$1843,$W$7:$W$1843,W1204),0),0)</f>
        <v>0</v>
      </c>
      <c r="CS1204" s="62" t="n">
        <f aca="false">IF(AND(OR(CG1204="L1",CG1204="L23",CG1204="LIFT"),H1204&gt;0),CC1204*IF(CR1204&gt;0,CR1204*MAX(1,H1204/X1204),IF(CA1204=1,CE1204,IF(R1204&gt;0,CN1204/R1204,0))/MAX(0.1,N(Parameter!$M$21))),"")</f>
        <v>12.0833333333333</v>
      </c>
      <c r="CT1204" s="64" t="n">
        <f aca="false">IF(CS1204="","",J1204/H1204)</f>
        <v>0</v>
      </c>
      <c r="CU1204" s="62" t="n">
        <f aca="false">IF(CS1204="","",H1204*G1204)</f>
        <v>761.4</v>
      </c>
      <c r="CV1204" s="63" t="n">
        <f aca="false">IF(CS1204="","",(CL1204+ROUNDUP(CL1204+MAX(CM1204,2*(J1204/MAX(0.1,N(Einkauf!$C$6))-CL1204)),0))/2)</f>
        <v>0.5</v>
      </c>
      <c r="CW1204" s="62" t="n">
        <f aca="false">IF(CS1204="","",MAX(0,H1204-CV1204)*G1204)</f>
        <v>571.05</v>
      </c>
      <c r="CX1204" s="62" t="n">
        <f aca="false">IF(CS1204="","",CS1204*MAX(0,1-CV1204/H1204))</f>
        <v>9.0625</v>
      </c>
      <c r="CY1204" s="64" t="n">
        <f aca="false">IF(CS1204="","",PERCENTRANK($CS$7:$CS$1843,CS1204)+PERCENTRANK($CU$7:$CU$1843,CU1204)+1-PERCENTRANK($CT$7:$CT$1843,CT1204))</f>
        <v>2.254</v>
      </c>
      <c r="CZ1204" s="72" t="n">
        <f aca="false">IF(CS1204="","",CHOOSE(MATCH(Einkauf!$C$5,Parameter!$G$23:$G$27,0),CY1204,CS1204,CU1204,-CT1204,CW1204)+ROW()/1000000000)</f>
        <v>2.254001204</v>
      </c>
    </row>
    <row r="1205" customFormat="false" ht="15" hidden="false" customHeight="false" outlineLevel="0" collapsed="false">
      <c r="A1205" s="60" t="s">
        <v>2206</v>
      </c>
      <c r="B1205" s="60" t="s">
        <v>2207</v>
      </c>
      <c r="C1205" s="60" t="s">
        <v>206</v>
      </c>
      <c r="D1205" s="60" t="s">
        <v>215</v>
      </c>
      <c r="E1205" s="60" t="s">
        <v>227</v>
      </c>
      <c r="F1205" s="60" t="s">
        <v>260</v>
      </c>
      <c r="G1205" s="61" t="n">
        <v>65.23</v>
      </c>
      <c r="H1205" s="62" t="n">
        <f aca="false">MAX(0,IF(AND(Parameter!$B$21="Ja",ISNUMBER(Y1205)),Y1205,IF(Parameter!$B$20="Jahresanfang 2025 + Export",BS1205+BR1205,BR1205)))</f>
        <v>56</v>
      </c>
      <c r="I1205" s="62" t="n">
        <f aca="false">H1205*G1205</f>
        <v>3652.88</v>
      </c>
      <c r="J1205" s="62" t="n">
        <f aca="false">BU1205*Parameter!$B$18</f>
        <v>194</v>
      </c>
      <c r="K1205" s="63" t="n">
        <v>103</v>
      </c>
      <c r="L1205" s="64" t="n">
        <v>1.88349514563107</v>
      </c>
      <c r="M1205" s="62" t="n">
        <v>11</v>
      </c>
      <c r="N1205" s="62" t="n">
        <v>100</v>
      </c>
      <c r="O1205" s="65" t="n">
        <v>21</v>
      </c>
      <c r="P1205" s="60" t="s">
        <v>216</v>
      </c>
      <c r="Q1205" s="62" t="n">
        <v>140</v>
      </c>
      <c r="R1205" s="65" t="n">
        <f aca="false">IF(CA1205=1,0,IFERROR(VLOOKUP(BY1205,'Gebinde-Kategorie'!$A$5:$N$45,13,0)+0,0))</f>
        <v>6</v>
      </c>
      <c r="S1205" s="66"/>
      <c r="T1205" s="67"/>
      <c r="U1205" s="67"/>
      <c r="V1205" s="67"/>
      <c r="W1205" s="60"/>
      <c r="X1205" s="62"/>
      <c r="Y1205" s="62"/>
      <c r="Z1205" s="60" t="n">
        <v>1</v>
      </c>
      <c r="AA1205" s="60" t="n">
        <f aca="false">IF(A1205="","",IF(AND(Parameter!$B$21="Ja",ISNUMBER(W1205)),W1205,IF(AND(Parameter!$E$27="Ja",ISNUMBER(Z1205),CD1205&lt;&gt;"Nein"),Z1205,IF(CD1205="2+3",IF(ISNUMBER(SEARCH("grosser Artikel",BV1205)),2,IFERROR(VLOOKUP(BY1205,Parameter!$F$35:$G$64,2,0),2)),IF(OR(CD1205="Nein",CD1205=""),"-",CD1205)))))</f>
        <v>1</v>
      </c>
      <c r="AB1205" s="67"/>
      <c r="AC1205" s="68"/>
      <c r="AD1205" s="62" t="n">
        <f aca="false">AW1205</f>
        <v>119</v>
      </c>
      <c r="AE1205" s="62" t="n">
        <f aca="false">MAX(AW1205,H1205)</f>
        <v>119</v>
      </c>
      <c r="AF1205" s="69"/>
      <c r="AG1205" s="62" t="n">
        <f aca="false">IF(LEFT(Cockpit!$C$5,1)="A",H1205,IF(Parameter!$E$30="MAX-Bestand",IF(CI1205=1,CJ1205,IF(LEFT(Cockpit!$C$5,1)="B",AM1205,MAX(AM1205,H1205))),ROUNDUP(AK1205,0)))</f>
        <v>56</v>
      </c>
      <c r="AH1205" s="62" t="n">
        <f aca="false">IF(CA1205=1,0,ROUNDUP(AG1205/BZ1205,0))</f>
        <v>1</v>
      </c>
      <c r="AI1205" s="64" t="n">
        <f aca="false">IF(CR1205&gt;0,CR1205*MAX(1,AG1205/X1205),IF(CA1205=1,IF(AG1205&lt;=0,0,CE1205*MAX(1,IF(H1205&gt;0,AG1205/H1205,1))),IF(R1205&gt;0,AH1205/R1205,0))/MAX(0.1,N(Parameter!$M$21)))</f>
        <v>0.166666666666667</v>
      </c>
      <c r="AJ1205" s="62" t="n">
        <f aca="false">AI1205*CC1205</f>
        <v>39.1666666666667</v>
      </c>
      <c r="AK1205" s="63" t="n">
        <f aca="false">IF(LEFT(Cockpit!$C$5,1)="A",H1205,IF(CI1205=1,(CL1205+CJ1205)/2,IF(LEFT(Cockpit!$C$5,1)="B",(CL1205+AM1205)/2,MAX((CL1205+AM1205)/2,H1205))))</f>
        <v>56</v>
      </c>
      <c r="AL1205" s="62" t="n">
        <f aca="false">AK1205*G1205</f>
        <v>3652.88</v>
      </c>
      <c r="AM1205" s="62" t="n">
        <f aca="false">ROUNDUP(CL1205+MAX(CM1205,2*(J1205/IF(CH1205&gt;0,CH1205,MAX(0.1,N(Cockpit!$C$6)))-CL1205)),0)</f>
        <v>119</v>
      </c>
      <c r="AN1205" s="63" t="n">
        <f aca="false">IF(AJ1205&gt;0,J1205/AJ1205,-1)</f>
        <v>4.9531914893617</v>
      </c>
      <c r="AO1205" s="63" t="n">
        <f aca="false">IF(AND(OR(CG1205="L1",CG1205="L23",CG1205="LIFT"),AJ1205&gt;0),SUMIFS($AJ$7:$AJ$1843,$CG$7:$CG$1843,CG1205,$AN$7:$AN$1843,"&gt;"&amp;AN1205)+SUMIFS($AJ$7:$AJ$1843,$CG$7:$CG$1843,CG1205,$AN$7:$AN$1843,AN1205,$BX$7:$BX$1843,"&lt;="&amp;BX1205),"")</f>
        <v>3964.21657509158</v>
      </c>
      <c r="AP1205" s="70" t="n">
        <f aca="false">IF(AO1205="",0,MAX(0,MIN(1,(IF(CG1205="L1",Parameter!$H$5,IF(CG1205="L23",Parameter!$H$6+Parameter!$H$7,Parameter!$H$5+Parameter!$H$6+Parameter!$H$7))-(AO1205-AJ1205))/AJ1205)))</f>
        <v>1</v>
      </c>
      <c r="AQ1205" s="62" t="n">
        <f aca="false">IF(LEFT(Cockpit!$I$5,1)="A",H1205,IF(Parameter!$E$30="MAX-Bestand",IF(CI1205=1,CJ1205,IF(LEFT(Cockpit!$I$5,1)="B",AW1205,MAX(AW1205,H1205))),ROUNDUP(AU1205,0)))</f>
        <v>65</v>
      </c>
      <c r="AR1205" s="62" t="n">
        <f aca="false">IF(CA1205=1,0,ROUNDUP(AQ1205/BZ1205,0))</f>
        <v>1</v>
      </c>
      <c r="AS1205" s="64" t="n">
        <f aca="false">IF(CR1205&gt;0,CR1205*MAX(1,AQ1205/X1205),IF(CA1205=1,IF(AQ1205&lt;=0,0,CE1205*MAX(1,IF(H1205&gt;0,AQ1205/H1205,1))),IF(R1205&gt;0,AR1205/R1205,0))/MAX(0.1,N(Parameter!$M$21)))</f>
        <v>0.166666666666667</v>
      </c>
      <c r="AT1205" s="62" t="n">
        <f aca="false">AS1205*CC1205</f>
        <v>39.1666666666667</v>
      </c>
      <c r="AU1205" s="63" t="n">
        <f aca="false">IF(LEFT(Cockpit!$I$5,1)="A",H1205,IF(CI1205=1,(CL1205+CJ1205)/2,IF(LEFT(Cockpit!$I$5,1)="B",(CL1205+AW1205)/2,MAX((CL1205+AW1205)/2,H1205))))</f>
        <v>65</v>
      </c>
      <c r="AV1205" s="62" t="n">
        <f aca="false">AU1205*G1205</f>
        <v>4239.95</v>
      </c>
      <c r="AW1205" s="62" t="n">
        <f aca="false">ROUNDUP(CL1205+MAX(CM1205,2*(J1205/IF(CH1205&gt;0,CH1205,MAX(0.1,N(Cockpit!$I$6)))-CL1205)),0)</f>
        <v>119</v>
      </c>
      <c r="AX1205" s="63" t="n">
        <f aca="false">IF(AT1205&gt;0,J1205/AT1205,-1)</f>
        <v>4.9531914893617</v>
      </c>
      <c r="AY1205" s="63" t="n">
        <f aca="false">IF(AND(OR(CG1205="L1",CG1205="L23",CG1205="LIFT"),AT1205&gt;0),SUMIFS($AT$7:$AT$1843,$CG$7:$CG$1843,CG1205,$AX$7:$AX$1843,"&gt;"&amp;AX1205)+SUMIFS($AT$7:$AT$1843,$CG$7:$CG$1843,CG1205,$AX$7:$AX$1843,AX1205,$BX$7:$BX$1843,"&lt;="&amp;BX1205),"")</f>
        <v>4560.45741758242</v>
      </c>
      <c r="AZ1205" s="70" t="n">
        <f aca="false">IF(AY1205="",0,MAX(0,MIN(1,(IF(CG1205="L1",Parameter!$H$5,IF(CG1205="L23",Parameter!$H$6+Parameter!$H$7,Parameter!$H$5+Parameter!$H$6+Parameter!$H$7))-(AY1205-AT1205))/AT1205)))</f>
        <v>1</v>
      </c>
      <c r="BA1205" s="62" t="n">
        <f aca="false">IF(LEFT(Cockpit!$O$5,1)="A",H1205,IF(Parameter!$E$30="MAX-Bestand",IF(CI1205=1,CJ1205,IF(LEFT(Cockpit!$O$5,1)="B",BG1205,MAX(BG1205,H1205))),ROUNDUP(BE1205,0)))</f>
        <v>61</v>
      </c>
      <c r="BB1205" s="62" t="n">
        <f aca="false">IF(CA1205=1,0,ROUNDUP(BA1205/BZ1205,0))</f>
        <v>1</v>
      </c>
      <c r="BC1205" s="64" t="n">
        <f aca="false">IF(CR1205&gt;0,CR1205*MAX(1,BA1205/X1205),IF(CA1205=1,IF(BA1205&lt;=0,0,CE1205*MAX(1,IF(H1205&gt;0,BA1205/H1205,1))),IF(R1205&gt;0,BB1205/R1205,0))/MAX(0.1,N(Parameter!$M$21)))</f>
        <v>0.166666666666667</v>
      </c>
      <c r="BD1205" s="62" t="n">
        <f aca="false">BC1205*CC1205</f>
        <v>39.1666666666667</v>
      </c>
      <c r="BE1205" s="63" t="n">
        <f aca="false">IF(LEFT(Cockpit!$O$5,1)="A",H1205,IF(CI1205=1,(CL1205+CJ1205)/2,IF(LEFT(Cockpit!$O$5,1)="B",(CL1205+BG1205)/2,MAX((CL1205+BG1205)/2,H1205))))</f>
        <v>61</v>
      </c>
      <c r="BF1205" s="62" t="n">
        <f aca="false">BE1205*G1205</f>
        <v>3979.03</v>
      </c>
      <c r="BG1205" s="62" t="n">
        <f aca="false">ROUNDUP(CL1205+MAX(CM1205,2*(J1205/IF(CH1205&gt;0,CH1205,MAX(0.1,N(Cockpit!$O$6)))-CL1205)),0)</f>
        <v>111</v>
      </c>
      <c r="BH1205" s="63" t="n">
        <f aca="false">IF(BD1205&gt;0,J1205/BD1205,-1)</f>
        <v>4.9531914893617</v>
      </c>
      <c r="BI1205" s="63" t="n">
        <f aca="false">IF(AND(OR(CG1205="L1",CG1205="L23",CG1205="LIFT"),BD1205&gt;0),SUMIFS($BD$7:$BD$1843,$CG$7:$CG$1843,CG1205,$BH$7:$BH$1843,"&gt;"&amp;BH1205)+SUMIFS($BD$7:$BD$1843,$CG$7:$CG$1843,CG1205,$BH$7:$BH$1843,BH1205,$BX$7:$BX$1843,"&lt;="&amp;BX1205),"")</f>
        <v>3780.25549450549</v>
      </c>
      <c r="BJ1205" s="70" t="n">
        <f aca="false">IF(BI1205="",0,MAX(0,MIN(1,(IF(CG1205="L1",Parameter!$H$5,IF(CG1205="L23",Parameter!$H$6+Parameter!$H$7,Parameter!$H$5+Parameter!$H$6+Parameter!$H$7))-(BI1205-BD1205))/BD1205)))</f>
        <v>1</v>
      </c>
      <c r="BK1205" s="60" t="str">
        <f aca="false">IF(AJ1205&lt;=0,"",IF(CG1205="Aussen","Aussenlager",IF(CG1205="-","Nicht im Lift",IF(AP1205&gt;=1,"Lift",IF(AP1205&lt;=0,"Aussenlager","teilweise")))))</f>
        <v>Lift</v>
      </c>
      <c r="BL1205" s="60" t="str">
        <f aca="false">IF(AT1205&lt;=0,"",IF(CG1205="Aussen","Aussenlager",IF(CG1205="-","Nicht im Lift",IF(AZ1205&gt;=1,"Lift",IF(AZ1205&lt;=0,"Aussenlager","teilweise")))))</f>
        <v>Lift</v>
      </c>
      <c r="BM1205" s="60" t="str">
        <f aca="false">IF(BD1205&lt;=0,"",IF(CG1205="Aussen","Aussenlager",IF(CG1205="-","Nicht im Lift",IF(BJ1205&gt;=1,"Lift",IF(BJ1205&lt;=0,"Aussenlager","teilweise")))))</f>
        <v>Lift</v>
      </c>
      <c r="BN1205" s="60" t="str">
        <f aca="false">IF(A1205="","",IF(BW1205=1,"Neu; ","")&amp;IF(AND(BW1205=0,BR1205&lt;0),"negativer Bestand (Export "&amp;BR1205&amp;"); ","")&amp;IF(J1205&lt;=0,"Kein Verbrauch; ","")&amp;IF(CR1205&gt;0,"Lift "&amp;W1205&amp;" lt. Liftbericht (Fach "&amp;X1205&amp;" Stk); ",IF(CB1205=1,"Gebinde geschätzt ("&amp;T1205&amp;"); ",IF(CA1205=1,"Lose – Tablare geschätzt; ","")))&amp;IF(H1205&gt;AW1205,"Überbestand "&amp;ROUND(H1205-AW1205,0)&amp;" Stk / CHF "&amp;ROUND((H1205-AW1205)*G1205,0)&amp;"; ","")&amp;IF(AND(CI1205=1,CJ1205&lt;CK1205),"MAX &lt; MB+LG; ","")&amp;IF(AND(CQ1205&gt;0,CP1205*10&gt;CQ1205),"zu hoch für Tablar; ","")&amp;IF(AND(BW1205=0,OR(CI1205=1,AB1205&lt;&gt;"",U1205&lt;&gt;"",V1205&lt;&gt;"",AC1205&lt;&gt;"")),"manuell übersteuert; ","")&amp;IF(AND(CA1205=0,R1205=0),"Gebinde unbekannt / Stellmass fehlt; ","")&amp;IF(AND(CA1205=0,N(V1205)&lt;=0,N(Q1205)&lt;=0),"Menge pro Gebinde fehlt (Ist = 1 Gebinde); ","")&amp;BV1205)</f>
        <v>grosser Artikel &amp; nicht im KTL</v>
      </c>
      <c r="BO1205" s="60"/>
      <c r="BP1205" s="60"/>
      <c r="BQ1205" s="67"/>
      <c r="BR1205" s="62" t="n">
        <v>6</v>
      </c>
      <c r="BS1205" s="62" t="n">
        <v>50</v>
      </c>
      <c r="BT1205" s="61" t="n">
        <v>-513.119999999997</v>
      </c>
      <c r="BU1205" s="62" t="n">
        <v>194</v>
      </c>
      <c r="BV1205" s="60" t="s">
        <v>303</v>
      </c>
      <c r="BW1205" s="65" t="n">
        <v>0</v>
      </c>
      <c r="BX1205" s="65" t="n">
        <v>1205</v>
      </c>
      <c r="BY1205" s="60" t="str">
        <f aca="false">IF(U1205&lt;&gt;"",UPPER(TRIM(U1205)),IF(CB1205=1,UPPER(VLOOKUP(T1205,Parameter!$I$27:$K$29,2,0)),IF(P1205="","LOSE",P1205)))</f>
        <v>S71</v>
      </c>
      <c r="BZ1205" s="62" t="n">
        <f aca="false">IF(BY1205="LOSE",1,IF(N(V1205)&gt;0,V1205,IF(CB1205=1,MAX(1,N(VLOOKUP(T1205,Parameter!$I$27:$K$29,3,0)),H1205,N(N1205)),IF(N(Q1205)&gt;0,Q1205,MAX(1,H1205)))))</f>
        <v>140</v>
      </c>
      <c r="CA1205" s="65" t="n">
        <f aca="false">IF(BY1205="LOSE",1,0)</f>
        <v>0</v>
      </c>
      <c r="CB1205" s="65" t="n">
        <f aca="false">IF(AND(U1205="",OR(P1205="",P1205="LOSE"),T1205&lt;&gt;"",N(S1205)&lt;=0,ISNUMBER(MATCH(T1205,Parameter!$I$27:$I$29,0))),1,0)</f>
        <v>0</v>
      </c>
      <c r="CC1205" s="65" t="n">
        <f aca="false">IF(CR1205&gt;0,INDEX(Parameter!$H$5:$H$7,W1205)/INDEX(Parameter!$E$5:$E$7,W1205),IF(AND(CA1205=0,N(IFERROR(VLOOKUP(BY1205,'Gebinde-Kategorie'!$A$5:$N$45,14,0),0))&gt;0),VLOOKUP(BY1205,'Gebinde-Kategorie'!$A$5:$N$45,14,0)*10+Parameter!$M$23,Parameter!$M$24))</f>
        <v>235</v>
      </c>
      <c r="CD1205" s="60" t="str">
        <f aca="false">IF(AND(Parameter!$B$19="Ja",E1205&lt;&gt;"",ISNUMBER(MATCH(E1205,Parameter!$I$35:$I$52,0))),VLOOKUP(E1205,Parameter!$I$35:$J$52,2,0),IFERROR(VLOOKUP(D1205,Parameter!$A$35:$C$64,2,0),"Nein"))</f>
        <v>2+3</v>
      </c>
      <c r="CE1205" s="64" t="n">
        <f aca="false">IF(CA1205=0,0,IF(N(S1205)&gt;0,S1205,IFERROR(VLOOKUP(D1205,Parameter!$A$35:$C$64,3,0)+0,0)))</f>
        <v>0</v>
      </c>
      <c r="CF1205" s="60" t="n">
        <f aca="false">IF(AB1205&lt;&gt;"",AB1205,AA1205)</f>
        <v>1</v>
      </c>
      <c r="CG1205" s="60" t="str">
        <f aca="false">IF(OR(CF1205=1,CF1205=2,CF1205=3),IF(Parameter!$E$27="Ja","LIFT",IF(CF1205=1,"L1","L23")),IF(CF1205="Aussen","Aussen","-"))</f>
        <v>LIFT</v>
      </c>
      <c r="CH1205" s="71" t="n">
        <f aca="false">IF(N(AC1205)&gt;0,AC1205,0)</f>
        <v>0</v>
      </c>
      <c r="CI1205" s="65" t="n">
        <f aca="false">IF(ISNUMBER(AF1205),1,0)</f>
        <v>0</v>
      </c>
      <c r="CJ1205" s="62" t="n">
        <f aca="false">N(AF1205)</f>
        <v>0</v>
      </c>
      <c r="CK1205" s="62" t="n">
        <f aca="false">N(M1205)+N(N1205)</f>
        <v>111</v>
      </c>
      <c r="CL1205" s="62" t="n">
        <f aca="false">N(M1205)</f>
        <v>11</v>
      </c>
      <c r="CM1205" s="62" t="n">
        <f aca="false">N(N1205)</f>
        <v>100</v>
      </c>
      <c r="CN1205" s="62" t="n">
        <f aca="false">ROUNDUP(H1205/BZ1205,0)</f>
        <v>1</v>
      </c>
      <c r="CO1205" s="62" t="n">
        <f aca="false">ROUNDUP(CJ1205/BZ1205,0)</f>
        <v>0</v>
      </c>
      <c r="CP1205" s="65" t="n">
        <f aca="false">IF(CA1205=1,0,IFERROR(VLOOKUP(BY1205,'Gebinde-Kategorie'!$A$5:$N$45,5,0)+0,0))</f>
        <v>20</v>
      </c>
      <c r="CQ1205" s="65" t="n">
        <f aca="false">IFERROR(IF(OR(CF1205=1,CF1205=2,CF1205=3),N(INDEX(Parameter!$I$5:$I$7,CF1205)),0),0)</f>
        <v>0</v>
      </c>
      <c r="CR1205" s="64" t="n">
        <f aca="false">IF(AND(Parameter!$B$21="Ja",ISNUMBER(W1205),N(X1205)&gt;0),IFERROR(N(INDEX(Parameter!$L$5:$L$7,W1205))*INDEX(Parameter!$E$5:$E$7,W1205)*X1205/SUMIFS($X$7:$X$1843,$W$7:$W$1843,W1205),0),0)</f>
        <v>0</v>
      </c>
      <c r="CS1205" s="62" t="n">
        <f aca="false">IF(AND(OR(CG1205="L1",CG1205="L23",CG1205="LIFT"),H1205&gt;0),CC1205*IF(CR1205&gt;0,CR1205*MAX(1,H1205/X1205),IF(CA1205=1,CE1205,IF(R1205&gt;0,CN1205/R1205,0))/MAX(0.1,N(Parameter!$M$21))),"")</f>
        <v>39.1666666666667</v>
      </c>
      <c r="CT1205" s="64" t="n">
        <f aca="false">IF(CS1205="","",J1205/H1205)</f>
        <v>3.46428571428571</v>
      </c>
      <c r="CU1205" s="62" t="n">
        <f aca="false">IF(CS1205="","",H1205*G1205)</f>
        <v>3652.88</v>
      </c>
      <c r="CV1205" s="63" t="n">
        <f aca="false">IF(CS1205="","",(CL1205+ROUNDUP(CL1205+MAX(CM1205,2*(J1205/MAX(0.1,N(Einkauf!$C$6))-CL1205)),0))/2)</f>
        <v>61</v>
      </c>
      <c r="CW1205" s="62" t="n">
        <f aca="false">IF(CS1205="","",MAX(0,H1205-CV1205)*G1205)</f>
        <v>0</v>
      </c>
      <c r="CX1205" s="62" t="n">
        <f aca="false">IF(CS1205="","",CS1205*MAX(0,1-CV1205/H1205))</f>
        <v>0</v>
      </c>
      <c r="CY1205" s="64" t="n">
        <f aca="false">IF(CS1205="","",PERCENTRANK($CS$7:$CS$1843,CS1205)+PERCENTRANK($CU$7:$CU$1843,CU1205)+1-PERCENTRANK($CT$7:$CT$1843,CT1205))</f>
        <v>1.81</v>
      </c>
      <c r="CZ1205" s="72" t="n">
        <f aca="false">IF(CS1205="","",CHOOSE(MATCH(Einkauf!$C$5,Parameter!$G$23:$G$27,0),CY1205,CS1205,CU1205,-CT1205,CW1205)+ROW()/1000000000)</f>
        <v>1.810001205</v>
      </c>
    </row>
    <row r="1206" customFormat="false" ht="15" hidden="false" customHeight="false" outlineLevel="0" collapsed="false">
      <c r="A1206" s="60" t="s">
        <v>2208</v>
      </c>
      <c r="B1206" s="60" t="s">
        <v>2209</v>
      </c>
      <c r="C1206" s="60" t="s">
        <v>206</v>
      </c>
      <c r="D1206" s="60" t="s">
        <v>226</v>
      </c>
      <c r="E1206" s="60" t="s">
        <v>227</v>
      </c>
      <c r="F1206" s="60" t="s">
        <v>260</v>
      </c>
      <c r="G1206" s="61" t="n">
        <v>508.45</v>
      </c>
      <c r="H1206" s="62" t="n">
        <f aca="false">MAX(0,IF(AND(Parameter!$B$21="Ja",ISNUMBER(Y1206)),Y1206,IF(Parameter!$B$20="Jahresanfang 2025 + Export",BS1206+BR1206,BR1206)))</f>
        <v>4</v>
      </c>
      <c r="I1206" s="62" t="n">
        <f aca="false">H1206*G1206</f>
        <v>2033.8</v>
      </c>
      <c r="J1206" s="62" t="n">
        <f aca="false">BU1206*Parameter!$B$18</f>
        <v>5</v>
      </c>
      <c r="K1206" s="63" t="n">
        <v>4.5</v>
      </c>
      <c r="L1206" s="64" t="n">
        <v>1.11111111111111</v>
      </c>
      <c r="M1206" s="62" t="n">
        <v>0</v>
      </c>
      <c r="N1206" s="62" t="n">
        <v>5</v>
      </c>
      <c r="O1206" s="65" t="n">
        <v>21</v>
      </c>
      <c r="P1206" s="60" t="s">
        <v>268</v>
      </c>
      <c r="Q1206" s="62" t="n">
        <v>8</v>
      </c>
      <c r="R1206" s="65" t="n">
        <f aca="false">IF(CA1206=1,0,IFERROR(VLOOKUP(BY1206,'Gebinde-Kategorie'!$A$5:$N$45,13,0)+0,0))</f>
        <v>12</v>
      </c>
      <c r="S1206" s="66"/>
      <c r="T1206" s="67"/>
      <c r="U1206" s="67"/>
      <c r="V1206" s="67"/>
      <c r="W1206" s="60"/>
      <c r="X1206" s="62"/>
      <c r="Y1206" s="62"/>
      <c r="Z1206" s="60" t="n">
        <v>3</v>
      </c>
      <c r="AA1206" s="60" t="n">
        <f aca="false">IF(A1206="","",IF(AND(Parameter!$B$21="Ja",ISNUMBER(W1206)),W1206,IF(AND(Parameter!$E$27="Ja",ISNUMBER(Z1206),CD1206&lt;&gt;"Nein"),Z1206,IF(CD1206="2+3",IF(ISNUMBER(SEARCH("grosser Artikel",BV1206)),2,IFERROR(VLOOKUP(BY1206,Parameter!$F$35:$G$64,2,0),2)),IF(OR(CD1206="Nein",CD1206=""),"-",CD1206)))))</f>
        <v>3</v>
      </c>
      <c r="AB1206" s="67"/>
      <c r="AC1206" s="68"/>
      <c r="AD1206" s="62" t="n">
        <f aca="false">AW1206</f>
        <v>5</v>
      </c>
      <c r="AE1206" s="62" t="n">
        <f aca="false">MAX(AW1206,H1206)</f>
        <v>5</v>
      </c>
      <c r="AF1206" s="69"/>
      <c r="AG1206" s="62" t="n">
        <f aca="false">IF(LEFT(Cockpit!$C$5,1)="A",H1206,IF(Parameter!$E$30="MAX-Bestand",IF(CI1206=1,CJ1206,IF(LEFT(Cockpit!$C$5,1)="B",AM1206,MAX(AM1206,H1206))),ROUNDUP(AK1206,0)))</f>
        <v>4</v>
      </c>
      <c r="AH1206" s="62" t="n">
        <f aca="false">IF(CA1206=1,0,ROUNDUP(AG1206/BZ1206,0))</f>
        <v>1</v>
      </c>
      <c r="AI1206" s="64" t="n">
        <f aca="false">IF(CR1206&gt;0,CR1206*MAX(1,AG1206/X1206),IF(CA1206=1,IF(AG1206&lt;=0,0,CE1206*MAX(1,IF(H1206&gt;0,AG1206/H1206,1))),IF(R1206&gt;0,AH1206/R1206,0))/MAX(0.1,N(Parameter!$M$21)))</f>
        <v>0.0833333333333333</v>
      </c>
      <c r="AJ1206" s="62" t="n">
        <f aca="false">AI1206*CC1206</f>
        <v>28.75</v>
      </c>
      <c r="AK1206" s="63" t="n">
        <f aca="false">IF(LEFT(Cockpit!$C$5,1)="A",H1206,IF(CI1206=1,(CL1206+CJ1206)/2,IF(LEFT(Cockpit!$C$5,1)="B",(CL1206+AM1206)/2,MAX((CL1206+AM1206)/2,H1206))))</f>
        <v>4</v>
      </c>
      <c r="AL1206" s="62" t="n">
        <f aca="false">AK1206*G1206</f>
        <v>2033.8</v>
      </c>
      <c r="AM1206" s="62" t="n">
        <f aca="false">ROUNDUP(CL1206+MAX(CM1206,2*(J1206/IF(CH1206&gt;0,CH1206,MAX(0.1,N(Cockpit!$C$6)))-CL1206)),0)</f>
        <v>5</v>
      </c>
      <c r="AN1206" s="63" t="n">
        <f aca="false">IF(AJ1206&gt;0,J1206/AJ1206,-1)</f>
        <v>0.173913043478261</v>
      </c>
      <c r="AO1206" s="63" t="n">
        <f aca="false">IF(AND(OR(CG1206="L1",CG1206="L23",CG1206="LIFT"),AJ1206&gt;0),SUMIFS($AJ$7:$AJ$1843,$CG$7:$CG$1843,CG1206,$AN$7:$AN$1843,"&gt;"&amp;AN1206)+SUMIFS($AJ$7:$AJ$1843,$CG$7:$CG$1843,CG1206,$AN$7:$AN$1843,AN1206,$BX$7:$BX$1843,"&lt;="&amp;BX1206),"")</f>
        <v>12650.983720846</v>
      </c>
      <c r="AP1206" s="70" t="n">
        <f aca="false">IF(AO1206="",0,MAX(0,MIN(1,(IF(CG1206="L1",Parameter!$H$5,IF(CG1206="L23",Parameter!$H$6+Parameter!$H$7,Parameter!$H$5+Parameter!$H$6+Parameter!$H$7))-(AO1206-AJ1206))/AJ1206)))</f>
        <v>1</v>
      </c>
      <c r="AQ1206" s="62" t="n">
        <f aca="false">IF(LEFT(Cockpit!$I$5,1)="A",H1206,IF(Parameter!$E$30="MAX-Bestand",IF(CI1206=1,CJ1206,IF(LEFT(Cockpit!$I$5,1)="B",AW1206,MAX(AW1206,H1206))),ROUNDUP(AU1206,0)))</f>
        <v>4</v>
      </c>
      <c r="AR1206" s="62" t="n">
        <f aca="false">IF(CA1206=1,0,ROUNDUP(AQ1206/BZ1206,0))</f>
        <v>1</v>
      </c>
      <c r="AS1206" s="64" t="n">
        <f aca="false">IF(CR1206&gt;0,CR1206*MAX(1,AQ1206/X1206),IF(CA1206=1,IF(AQ1206&lt;=0,0,CE1206*MAX(1,IF(H1206&gt;0,AQ1206/H1206,1))),IF(R1206&gt;0,AR1206/R1206,0))/MAX(0.1,N(Parameter!$M$21)))</f>
        <v>0.0833333333333333</v>
      </c>
      <c r="AT1206" s="62" t="n">
        <f aca="false">AS1206*CC1206</f>
        <v>28.75</v>
      </c>
      <c r="AU1206" s="63" t="n">
        <f aca="false">IF(LEFT(Cockpit!$I$5,1)="A",H1206,IF(CI1206=1,(CL1206+CJ1206)/2,IF(LEFT(Cockpit!$I$5,1)="B",(CL1206+AW1206)/2,MAX((CL1206+AW1206)/2,H1206))))</f>
        <v>4</v>
      </c>
      <c r="AV1206" s="62" t="n">
        <f aca="false">AU1206*G1206</f>
        <v>2033.8</v>
      </c>
      <c r="AW1206" s="62" t="n">
        <f aca="false">ROUNDUP(CL1206+MAX(CM1206,2*(J1206/IF(CH1206&gt;0,CH1206,MAX(0.1,N(Cockpit!$I$6)))-CL1206)),0)</f>
        <v>5</v>
      </c>
      <c r="AX1206" s="63" t="n">
        <f aca="false">IF(AT1206&gt;0,J1206/AT1206,-1)</f>
        <v>0.173913043478261</v>
      </c>
      <c r="AY1206" s="63" t="n">
        <f aca="false">IF(AND(OR(CG1206="L1",CG1206="L23",CG1206="LIFT"),AT1206&gt;0),SUMIFS($AT$7:$AT$1843,$CG$7:$CG$1843,CG1206,$AX$7:$AX$1843,"&gt;"&amp;AX1206)+SUMIFS($AT$7:$AT$1843,$CG$7:$CG$1843,CG1206,$AX$7:$AX$1843,AX1206,$BX$7:$BX$1843,"&lt;="&amp;BX1206),"")</f>
        <v>15480.2413003663</v>
      </c>
      <c r="AZ1206" s="70" t="n">
        <f aca="false">IF(AY1206="",0,MAX(0,MIN(1,(IF(CG1206="L1",Parameter!$H$5,IF(CG1206="L23",Parameter!$H$6+Parameter!$H$7,Parameter!$H$5+Parameter!$H$6+Parameter!$H$7))-(AY1206-AT1206))/AT1206)))</f>
        <v>1</v>
      </c>
      <c r="BA1206" s="62" t="n">
        <f aca="false">IF(LEFT(Cockpit!$O$5,1)="A",H1206,IF(Parameter!$E$30="MAX-Bestand",IF(CI1206=1,CJ1206,IF(LEFT(Cockpit!$O$5,1)="B",BG1206,MAX(BG1206,H1206))),ROUNDUP(BE1206,0)))</f>
        <v>3</v>
      </c>
      <c r="BB1206" s="62" t="n">
        <f aca="false">IF(CA1206=1,0,ROUNDUP(BA1206/BZ1206,0))</f>
        <v>1</v>
      </c>
      <c r="BC1206" s="64" t="n">
        <f aca="false">IF(CR1206&gt;0,CR1206*MAX(1,BA1206/X1206),IF(CA1206=1,IF(BA1206&lt;=0,0,CE1206*MAX(1,IF(H1206&gt;0,BA1206/H1206,1))),IF(R1206&gt;0,BB1206/R1206,0))/MAX(0.1,N(Parameter!$M$21)))</f>
        <v>0.0833333333333333</v>
      </c>
      <c r="BD1206" s="62" t="n">
        <f aca="false">BC1206*CC1206</f>
        <v>28.75</v>
      </c>
      <c r="BE1206" s="63" t="n">
        <f aca="false">IF(LEFT(Cockpit!$O$5,1)="A",H1206,IF(CI1206=1,(CL1206+CJ1206)/2,IF(LEFT(Cockpit!$O$5,1)="B",(CL1206+BG1206)/2,MAX((CL1206+BG1206)/2,H1206))))</f>
        <v>2.5</v>
      </c>
      <c r="BF1206" s="62" t="n">
        <f aca="false">BE1206*G1206</f>
        <v>1271.125</v>
      </c>
      <c r="BG1206" s="62" t="n">
        <f aca="false">ROUNDUP(CL1206+MAX(CM1206,2*(J1206/IF(CH1206&gt;0,CH1206,MAX(0.1,N(Cockpit!$O$6)))-CL1206)),0)</f>
        <v>5</v>
      </c>
      <c r="BH1206" s="63" t="n">
        <f aca="false">IF(BD1206&gt;0,J1206/BD1206,-1)</f>
        <v>0.173913043478261</v>
      </c>
      <c r="BI1206" s="63" t="n">
        <f aca="false">IF(AND(OR(CG1206="L1",CG1206="L23",CG1206="LIFT"),BD1206&gt;0),SUMIFS($BD$7:$BD$1843,$CG$7:$CG$1843,CG1206,$BH$7:$BH$1843,"&gt;"&amp;BH1206)+SUMIFS($BD$7:$BD$1843,$CG$7:$CG$1843,CG1206,$BH$7:$BH$1843,BH1206,$BX$7:$BX$1843,"&lt;="&amp;BX1206),"")</f>
        <v>13276.5795901368</v>
      </c>
      <c r="BJ1206" s="70" t="n">
        <f aca="false">IF(BI1206="",0,MAX(0,MIN(1,(IF(CG1206="L1",Parameter!$H$5,IF(CG1206="L23",Parameter!$H$6+Parameter!$H$7,Parameter!$H$5+Parameter!$H$6+Parameter!$H$7))-(BI1206-BD1206))/BD1206)))</f>
        <v>1</v>
      </c>
      <c r="BK1206" s="60" t="str">
        <f aca="false">IF(AJ1206&lt;=0,"",IF(CG1206="Aussen","Aussenlager",IF(CG1206="-","Nicht im Lift",IF(AP1206&gt;=1,"Lift",IF(AP1206&lt;=0,"Aussenlager","teilweise")))))</f>
        <v>Lift</v>
      </c>
      <c r="BL1206" s="60" t="str">
        <f aca="false">IF(AT1206&lt;=0,"",IF(CG1206="Aussen","Aussenlager",IF(CG1206="-","Nicht im Lift",IF(AZ1206&gt;=1,"Lift",IF(AZ1206&lt;=0,"Aussenlager","teilweise")))))</f>
        <v>Lift</v>
      </c>
      <c r="BM1206" s="60" t="str">
        <f aca="false">IF(BD1206&lt;=0,"",IF(CG1206="Aussen","Aussenlager",IF(CG1206="-","Nicht im Lift",IF(BJ1206&gt;=1,"Lift",IF(BJ1206&lt;=0,"Aussenlager","teilweise")))))</f>
        <v>Lift</v>
      </c>
      <c r="BN1206" s="60" t="str">
        <f aca="false">IF(A1206="","",IF(BW1206=1,"Neu; ","")&amp;IF(AND(BW1206=0,BR1206&lt;0),"negativer Bestand (Export "&amp;BR1206&amp;"); ","")&amp;IF(J1206&lt;=0,"Kein Verbrauch; ","")&amp;IF(CR1206&gt;0,"Lift "&amp;W1206&amp;" lt. Liftbericht (Fach "&amp;X1206&amp;" Stk); ",IF(CB1206=1,"Gebinde geschätzt ("&amp;T1206&amp;"); ",IF(CA1206=1,"Lose – Tablare geschätzt; ","")))&amp;IF(H1206&gt;AW1206,"Überbestand "&amp;ROUND(H1206-AW1206,0)&amp;" Stk / CHF "&amp;ROUND((H1206-AW1206)*G1206,0)&amp;"; ","")&amp;IF(AND(CI1206=1,CJ1206&lt;CK1206),"MAX &lt; MB+LG; ","")&amp;IF(AND(CQ1206&gt;0,CP1206*10&gt;CQ1206),"zu hoch für Tablar; ","")&amp;IF(AND(BW1206=0,OR(CI1206=1,AB1206&lt;&gt;"",U1206&lt;&gt;"",V1206&lt;&gt;"",AC1206&lt;&gt;"")),"manuell übersteuert; ","")&amp;IF(AND(CA1206=0,R1206=0),"Gebinde unbekannt / Stellmass fehlt; ","")&amp;IF(AND(CA1206=0,N(V1206)&lt;=0,N(Q1206)&lt;=0),"Menge pro Gebinde fehlt (Ist = 1 Gebinde); ","")&amp;BV1206)</f>
        <v>negativer Bestand (Export -2); </v>
      </c>
      <c r="BO1206" s="60"/>
      <c r="BP1206" s="60"/>
      <c r="BQ1206" s="67"/>
      <c r="BR1206" s="62" t="n">
        <v>-2</v>
      </c>
      <c r="BS1206" s="62" t="n">
        <v>6</v>
      </c>
      <c r="BT1206" s="61" t="n">
        <v>-514.58</v>
      </c>
      <c r="BU1206" s="62" t="n">
        <v>5</v>
      </c>
      <c r="BV1206" s="60"/>
      <c r="BW1206" s="65" t="n">
        <v>0</v>
      </c>
      <c r="BX1206" s="65" t="n">
        <v>1206</v>
      </c>
      <c r="BY1206" s="60" t="str">
        <f aca="false">IF(U1206&lt;&gt;"",UPPER(TRIM(U1206)),IF(CB1206=1,UPPER(VLOOKUP(T1206,Parameter!$I$27:$K$29,2,0)),IF(P1206="","LOSE",P1206)))</f>
        <v>S63</v>
      </c>
      <c r="BZ1206" s="62" t="n">
        <f aca="false">IF(BY1206="LOSE",1,IF(N(V1206)&gt;0,V1206,IF(CB1206=1,MAX(1,N(VLOOKUP(T1206,Parameter!$I$27:$K$29,3,0)),H1206,N(N1206)),IF(N(Q1206)&gt;0,Q1206,MAX(1,H1206)))))</f>
        <v>8</v>
      </c>
      <c r="CA1206" s="65" t="n">
        <f aca="false">IF(BY1206="LOSE",1,0)</f>
        <v>0</v>
      </c>
      <c r="CB1206" s="65" t="n">
        <f aca="false">IF(AND(U1206="",OR(P1206="",P1206="LOSE"),T1206&lt;&gt;"",N(S1206)&lt;=0,ISNUMBER(MATCH(T1206,Parameter!$I$27:$I$29,0))),1,0)</f>
        <v>0</v>
      </c>
      <c r="CC1206" s="65" t="n">
        <f aca="false">IF(CR1206&gt;0,INDEX(Parameter!$H$5:$H$7,W1206)/INDEX(Parameter!$E$5:$E$7,W1206),IF(AND(CA1206=0,N(IFERROR(VLOOKUP(BY1206,'Gebinde-Kategorie'!$A$5:$N$45,14,0),0))&gt;0),VLOOKUP(BY1206,'Gebinde-Kategorie'!$A$5:$N$45,14,0)*10+Parameter!$M$23,Parameter!$M$24))</f>
        <v>345</v>
      </c>
      <c r="CD1206" s="60" t="str">
        <f aca="false">IF(AND(Parameter!$B$19="Ja",E1206&lt;&gt;"",ISNUMBER(MATCH(E1206,Parameter!$I$35:$I$52,0))),VLOOKUP(E1206,Parameter!$I$35:$J$52,2,0),IFERROR(VLOOKUP(D1206,Parameter!$A$35:$C$64,2,0),"Nein"))</f>
        <v>2+3</v>
      </c>
      <c r="CE1206" s="64" t="n">
        <f aca="false">IF(CA1206=0,0,IF(N(S1206)&gt;0,S1206,IFERROR(VLOOKUP(D1206,Parameter!$A$35:$C$64,3,0)+0,0)))</f>
        <v>0</v>
      </c>
      <c r="CF1206" s="60" t="n">
        <f aca="false">IF(AB1206&lt;&gt;"",AB1206,AA1206)</f>
        <v>3</v>
      </c>
      <c r="CG1206" s="60" t="str">
        <f aca="false">IF(OR(CF1206=1,CF1206=2,CF1206=3),IF(Parameter!$E$27="Ja","LIFT",IF(CF1206=1,"L1","L23")),IF(CF1206="Aussen","Aussen","-"))</f>
        <v>LIFT</v>
      </c>
      <c r="CH1206" s="71" t="n">
        <f aca="false">IF(N(AC1206)&gt;0,AC1206,0)</f>
        <v>0</v>
      </c>
      <c r="CI1206" s="65" t="n">
        <f aca="false">IF(ISNUMBER(AF1206),1,0)</f>
        <v>0</v>
      </c>
      <c r="CJ1206" s="62" t="n">
        <f aca="false">N(AF1206)</f>
        <v>0</v>
      </c>
      <c r="CK1206" s="62" t="n">
        <f aca="false">N(M1206)+N(N1206)</f>
        <v>5</v>
      </c>
      <c r="CL1206" s="62" t="n">
        <f aca="false">N(M1206)</f>
        <v>0</v>
      </c>
      <c r="CM1206" s="62" t="n">
        <f aca="false">N(N1206)</f>
        <v>5</v>
      </c>
      <c r="CN1206" s="62" t="n">
        <f aca="false">ROUNDUP(H1206/BZ1206,0)</f>
        <v>1</v>
      </c>
      <c r="CO1206" s="62" t="n">
        <f aca="false">ROUNDUP(CJ1206/BZ1206,0)</f>
        <v>0</v>
      </c>
      <c r="CP1206" s="65" t="n">
        <f aca="false">IF(CA1206=1,0,IFERROR(VLOOKUP(BY1206,'Gebinde-Kategorie'!$A$5:$N$45,5,0)+0,0))</f>
        <v>31</v>
      </c>
      <c r="CQ1206" s="65" t="n">
        <f aca="false">IFERROR(IF(OR(CF1206=1,CF1206=2,CF1206=3),N(INDEX(Parameter!$I$5:$I$7,CF1206)),0),0)</f>
        <v>0</v>
      </c>
      <c r="CR1206" s="64" t="n">
        <f aca="false">IF(AND(Parameter!$B$21="Ja",ISNUMBER(W1206),N(X1206)&gt;0),IFERROR(N(INDEX(Parameter!$L$5:$L$7,W1206))*INDEX(Parameter!$E$5:$E$7,W1206)*X1206/SUMIFS($X$7:$X$1843,$W$7:$W$1843,W1206),0),0)</f>
        <v>0</v>
      </c>
      <c r="CS1206" s="62" t="n">
        <f aca="false">IF(AND(OR(CG1206="L1",CG1206="L23",CG1206="LIFT"),H1206&gt;0),CC1206*IF(CR1206&gt;0,CR1206*MAX(1,H1206/X1206),IF(CA1206=1,CE1206,IF(R1206&gt;0,CN1206/R1206,0))/MAX(0.1,N(Parameter!$M$21))),"")</f>
        <v>28.75</v>
      </c>
      <c r="CT1206" s="64" t="n">
        <f aca="false">IF(CS1206="","",J1206/H1206)</f>
        <v>1.25</v>
      </c>
      <c r="CU1206" s="62" t="n">
        <f aca="false">IF(CS1206="","",H1206*G1206)</f>
        <v>2033.8</v>
      </c>
      <c r="CV1206" s="63" t="n">
        <f aca="false">IF(CS1206="","",(CL1206+ROUNDUP(CL1206+MAX(CM1206,2*(J1206/MAX(0.1,N(Einkauf!$C$6))-CL1206)),0))/2)</f>
        <v>2.5</v>
      </c>
      <c r="CW1206" s="62" t="n">
        <f aca="false">IF(CS1206="","",MAX(0,H1206-CV1206)*G1206)</f>
        <v>762.675</v>
      </c>
      <c r="CX1206" s="62" t="n">
        <f aca="false">IF(CS1206="","",CS1206*MAX(0,1-CV1206/H1206))</f>
        <v>10.78125</v>
      </c>
      <c r="CY1206" s="64" t="n">
        <f aca="false">IF(CS1206="","",PERCENTRANK($CS$7:$CS$1843,CS1206)+PERCENTRANK($CU$7:$CU$1843,CU1206)+1-PERCENTRANK($CT$7:$CT$1843,CT1206))</f>
        <v>1.872</v>
      </c>
      <c r="CZ1206" s="72" t="n">
        <f aca="false">IF(CS1206="","",CHOOSE(MATCH(Einkauf!$C$5,Parameter!$G$23:$G$27,0),CY1206,CS1206,CU1206,-CT1206,CW1206)+ROW()/1000000000)</f>
        <v>1.872001206</v>
      </c>
    </row>
    <row r="1207" customFormat="false" ht="15" hidden="false" customHeight="false" outlineLevel="0" collapsed="false">
      <c r="A1207" s="60" t="s">
        <v>2210</v>
      </c>
      <c r="B1207" s="60" t="s">
        <v>2211</v>
      </c>
      <c r="C1207" s="60" t="s">
        <v>206</v>
      </c>
      <c r="D1207" s="60" t="s">
        <v>226</v>
      </c>
      <c r="E1207" s="60"/>
      <c r="F1207" s="60" t="s">
        <v>260</v>
      </c>
      <c r="G1207" s="61" t="n">
        <v>103.28</v>
      </c>
      <c r="H1207" s="62" t="n">
        <f aca="false">MAX(0,IF(AND(Parameter!$B$21="Ja",ISNUMBER(Y1207)),Y1207,IF(Parameter!$B$20="Jahresanfang 2025 + Export",BS1207+BR1207,BR1207)))</f>
        <v>18</v>
      </c>
      <c r="I1207" s="62" t="n">
        <f aca="false">H1207*G1207</f>
        <v>1859.04</v>
      </c>
      <c r="J1207" s="62" t="n">
        <f aca="false">BU1207*Parameter!$B$18</f>
        <v>2</v>
      </c>
      <c r="K1207" s="63" t="n">
        <v>22</v>
      </c>
      <c r="L1207" s="64" t="n">
        <v>0.0909090909090909</v>
      </c>
      <c r="M1207" s="62" t="n">
        <v>0</v>
      </c>
      <c r="N1207" s="62" t="n">
        <v>1</v>
      </c>
      <c r="O1207" s="65" t="n">
        <v>21</v>
      </c>
      <c r="P1207" s="60" t="s">
        <v>370</v>
      </c>
      <c r="Q1207" s="62" t="n">
        <v>30</v>
      </c>
      <c r="R1207" s="65" t="n">
        <f aca="false">IF(CA1207=1,0,IFERROR(VLOOKUP(BY1207,'Gebinde-Kategorie'!$A$5:$N$45,13,0)+0,0))</f>
        <v>52</v>
      </c>
      <c r="S1207" s="66"/>
      <c r="T1207" s="67"/>
      <c r="U1207" s="67"/>
      <c r="V1207" s="67"/>
      <c r="W1207" s="60"/>
      <c r="X1207" s="62"/>
      <c r="Y1207" s="62"/>
      <c r="Z1207" s="60" t="n">
        <v>1</v>
      </c>
      <c r="AA1207" s="60" t="n">
        <f aca="false">IF(A1207="","",IF(AND(Parameter!$B$21="Ja",ISNUMBER(W1207)),W1207,IF(AND(Parameter!$E$27="Ja",ISNUMBER(Z1207),CD1207&lt;&gt;"Nein"),Z1207,IF(CD1207="2+3",IF(ISNUMBER(SEARCH("grosser Artikel",BV1207)),2,IFERROR(VLOOKUP(BY1207,Parameter!$F$35:$G$64,2,0),2)),IF(OR(CD1207="Nein",CD1207=""),"-",CD1207)))))</f>
        <v>1</v>
      </c>
      <c r="AB1207" s="67"/>
      <c r="AC1207" s="68"/>
      <c r="AD1207" s="62" t="n">
        <f aca="false">AW1207</f>
        <v>2</v>
      </c>
      <c r="AE1207" s="62" t="n">
        <f aca="false">MAX(AW1207,H1207)</f>
        <v>18</v>
      </c>
      <c r="AF1207" s="69"/>
      <c r="AG1207" s="62" t="n">
        <f aca="false">IF(LEFT(Cockpit!$C$5,1)="A",H1207,IF(Parameter!$E$30="MAX-Bestand",IF(CI1207=1,CJ1207,IF(LEFT(Cockpit!$C$5,1)="B",AM1207,MAX(AM1207,H1207))),ROUNDUP(AK1207,0)))</f>
        <v>18</v>
      </c>
      <c r="AH1207" s="62" t="n">
        <f aca="false">IF(CA1207=1,0,ROUNDUP(AG1207/BZ1207,0))</f>
        <v>1</v>
      </c>
      <c r="AI1207" s="64" t="n">
        <f aca="false">IF(CR1207&gt;0,CR1207*MAX(1,AG1207/X1207),IF(CA1207=1,IF(AG1207&lt;=0,0,CE1207*MAX(1,IF(H1207&gt;0,AG1207/H1207,1))),IF(R1207&gt;0,AH1207/R1207,0))/MAX(0.1,N(Parameter!$M$21)))</f>
        <v>0.0192307692307692</v>
      </c>
      <c r="AJ1207" s="62" t="n">
        <f aca="false">AI1207*CC1207</f>
        <v>2.98076923076923</v>
      </c>
      <c r="AK1207" s="63" t="n">
        <f aca="false">IF(LEFT(Cockpit!$C$5,1)="A",H1207,IF(CI1207=1,(CL1207+CJ1207)/2,IF(LEFT(Cockpit!$C$5,1)="B",(CL1207+AM1207)/2,MAX((CL1207+AM1207)/2,H1207))))</f>
        <v>18</v>
      </c>
      <c r="AL1207" s="62" t="n">
        <f aca="false">AK1207*G1207</f>
        <v>1859.04</v>
      </c>
      <c r="AM1207" s="62" t="n">
        <f aca="false">ROUNDUP(CL1207+MAX(CM1207,2*(J1207/IF(CH1207&gt;0,CH1207,MAX(0.1,N(Cockpit!$C$6)))-CL1207)),0)</f>
        <v>2</v>
      </c>
      <c r="AN1207" s="63" t="n">
        <f aca="false">IF(AJ1207&gt;0,J1207/AJ1207,-1)</f>
        <v>0.670967741935484</v>
      </c>
      <c r="AO1207" s="63" t="n">
        <f aca="false">IF(AND(OR(CG1207="L1",CG1207="L23",CG1207="LIFT"),AJ1207&gt;0),SUMIFS($AJ$7:$AJ$1843,$CG$7:$CG$1843,CG1207,$AN$7:$AN$1843,"&gt;"&amp;AN1207)+SUMIFS($AJ$7:$AJ$1843,$CG$7:$CG$1843,CG1207,$AN$7:$AN$1843,AN1207,$BX$7:$BX$1843,"&lt;="&amp;BX1207),"")</f>
        <v>8641.44871794872</v>
      </c>
      <c r="AP1207" s="70" t="n">
        <f aca="false">IF(AO1207="",0,MAX(0,MIN(1,(IF(CG1207="L1",Parameter!$H$5,IF(CG1207="L23",Parameter!$H$6+Parameter!$H$7,Parameter!$H$5+Parameter!$H$6+Parameter!$H$7))-(AO1207-AJ1207))/AJ1207)))</f>
        <v>1</v>
      </c>
      <c r="AQ1207" s="62" t="n">
        <f aca="false">IF(LEFT(Cockpit!$I$5,1)="A",H1207,IF(Parameter!$E$30="MAX-Bestand",IF(CI1207=1,CJ1207,IF(LEFT(Cockpit!$I$5,1)="B",AW1207,MAX(AW1207,H1207))),ROUNDUP(AU1207,0)))</f>
        <v>18</v>
      </c>
      <c r="AR1207" s="62" t="n">
        <f aca="false">IF(CA1207=1,0,ROUNDUP(AQ1207/BZ1207,0))</f>
        <v>1</v>
      </c>
      <c r="AS1207" s="64" t="n">
        <f aca="false">IF(CR1207&gt;0,CR1207*MAX(1,AQ1207/X1207),IF(CA1207=1,IF(AQ1207&lt;=0,0,CE1207*MAX(1,IF(H1207&gt;0,AQ1207/H1207,1))),IF(R1207&gt;0,AR1207/R1207,0))/MAX(0.1,N(Parameter!$M$21)))</f>
        <v>0.0192307692307692</v>
      </c>
      <c r="AT1207" s="62" t="n">
        <f aca="false">AS1207*CC1207</f>
        <v>2.98076923076923</v>
      </c>
      <c r="AU1207" s="63" t="n">
        <f aca="false">IF(LEFT(Cockpit!$I$5,1)="A",H1207,IF(CI1207=1,(CL1207+CJ1207)/2,IF(LEFT(Cockpit!$I$5,1)="B",(CL1207+AW1207)/2,MAX((CL1207+AW1207)/2,H1207))))</f>
        <v>18</v>
      </c>
      <c r="AV1207" s="62" t="n">
        <f aca="false">AU1207*G1207</f>
        <v>1859.04</v>
      </c>
      <c r="AW1207" s="62" t="n">
        <f aca="false">ROUNDUP(CL1207+MAX(CM1207,2*(J1207/IF(CH1207&gt;0,CH1207,MAX(0.1,N(Cockpit!$I$6)))-CL1207)),0)</f>
        <v>2</v>
      </c>
      <c r="AX1207" s="63" t="n">
        <f aca="false">IF(AT1207&gt;0,J1207/AT1207,-1)</f>
        <v>0.670967741935484</v>
      </c>
      <c r="AY1207" s="63" t="n">
        <f aca="false">IF(AND(OR(CG1207="L1",CG1207="L23",CG1207="LIFT"),AT1207&gt;0),SUMIFS($AT$7:$AT$1843,$CG$7:$CG$1843,CG1207,$AX$7:$AX$1843,"&gt;"&amp;AX1207)+SUMIFS($AT$7:$AT$1843,$CG$7:$CG$1843,CG1207,$AX$7:$AX$1843,AX1207,$BX$7:$BX$1843,"&lt;="&amp;BX1207),"")</f>
        <v>10935.6163003663</v>
      </c>
      <c r="AZ1207" s="70" t="n">
        <f aca="false">IF(AY1207="",0,MAX(0,MIN(1,(IF(CG1207="L1",Parameter!$H$5,IF(CG1207="L23",Parameter!$H$6+Parameter!$H$7,Parameter!$H$5+Parameter!$H$6+Parameter!$H$7))-(AY1207-AT1207))/AT1207)))</f>
        <v>1</v>
      </c>
      <c r="BA1207" s="62" t="n">
        <f aca="false">IF(LEFT(Cockpit!$O$5,1)="A",H1207,IF(Parameter!$E$30="MAX-Bestand",IF(CI1207=1,CJ1207,IF(LEFT(Cockpit!$O$5,1)="B",BG1207,MAX(BG1207,H1207))),ROUNDUP(BE1207,0)))</f>
        <v>1</v>
      </c>
      <c r="BB1207" s="62" t="n">
        <f aca="false">IF(CA1207=1,0,ROUNDUP(BA1207/BZ1207,0))</f>
        <v>1</v>
      </c>
      <c r="BC1207" s="64" t="n">
        <f aca="false">IF(CR1207&gt;0,CR1207*MAX(1,BA1207/X1207),IF(CA1207=1,IF(BA1207&lt;=0,0,CE1207*MAX(1,IF(H1207&gt;0,BA1207/H1207,1))),IF(R1207&gt;0,BB1207/R1207,0))/MAX(0.1,N(Parameter!$M$21)))</f>
        <v>0.0192307692307692</v>
      </c>
      <c r="BD1207" s="62" t="n">
        <f aca="false">BC1207*CC1207</f>
        <v>2.98076923076923</v>
      </c>
      <c r="BE1207" s="63" t="n">
        <f aca="false">IF(LEFT(Cockpit!$O$5,1)="A",H1207,IF(CI1207=1,(CL1207+CJ1207)/2,IF(LEFT(Cockpit!$O$5,1)="B",(CL1207+BG1207)/2,MAX((CL1207+BG1207)/2,H1207))))</f>
        <v>0.5</v>
      </c>
      <c r="BF1207" s="62" t="n">
        <f aca="false">BE1207*G1207</f>
        <v>51.64</v>
      </c>
      <c r="BG1207" s="62" t="n">
        <f aca="false">ROUNDUP(CL1207+MAX(CM1207,2*(J1207/IF(CH1207&gt;0,CH1207,MAX(0.1,N(Cockpit!$O$6)))-CL1207)),0)</f>
        <v>1</v>
      </c>
      <c r="BH1207" s="63" t="n">
        <f aca="false">IF(BD1207&gt;0,J1207/BD1207,-1)</f>
        <v>0.670967741935484</v>
      </c>
      <c r="BI1207" s="63" t="n">
        <f aca="false">IF(AND(OR(CG1207="L1",CG1207="L23",CG1207="LIFT"),BD1207&gt;0),SUMIFS($BD$7:$BD$1843,$CG$7:$CG$1843,CG1207,$BH$7:$BH$1843,"&gt;"&amp;BH1207)+SUMIFS($BD$7:$BD$1843,$CG$7:$CG$1843,CG1207,$BH$7:$BH$1843,BH1207,$BX$7:$BX$1843,"&lt;="&amp;BX1207),"")</f>
        <v>9545.25045787546</v>
      </c>
      <c r="BJ1207" s="70" t="n">
        <f aca="false">IF(BI1207="",0,MAX(0,MIN(1,(IF(CG1207="L1",Parameter!$H$5,IF(CG1207="L23",Parameter!$H$6+Parameter!$H$7,Parameter!$H$5+Parameter!$H$6+Parameter!$H$7))-(BI1207-BD1207))/BD1207)))</f>
        <v>1</v>
      </c>
      <c r="BK1207" s="60" t="str">
        <f aca="false">IF(AJ1207&lt;=0,"",IF(CG1207="Aussen","Aussenlager",IF(CG1207="-","Nicht im Lift",IF(AP1207&gt;=1,"Lift",IF(AP1207&lt;=0,"Aussenlager","teilweise")))))</f>
        <v>Lift</v>
      </c>
      <c r="BL1207" s="60" t="str">
        <f aca="false">IF(AT1207&lt;=0,"",IF(CG1207="Aussen","Aussenlager",IF(CG1207="-","Nicht im Lift",IF(AZ1207&gt;=1,"Lift",IF(AZ1207&lt;=0,"Aussenlager","teilweise")))))</f>
        <v>Lift</v>
      </c>
      <c r="BM1207" s="60" t="str">
        <f aca="false">IF(BD1207&lt;=0,"",IF(CG1207="Aussen","Aussenlager",IF(CG1207="-","Nicht im Lift",IF(BJ1207&gt;=1,"Lift",IF(BJ1207&lt;=0,"Aussenlager","teilweise")))))</f>
        <v>Lift</v>
      </c>
      <c r="BN1207" s="60" t="str">
        <f aca="false">IF(A1207="","",IF(BW1207=1,"Neu; ","")&amp;IF(AND(BW1207=0,BR1207&lt;0),"negativer Bestand (Export "&amp;BR1207&amp;"); ","")&amp;IF(J1207&lt;=0,"Kein Verbrauch; ","")&amp;IF(CR1207&gt;0,"Lift "&amp;W1207&amp;" lt. Liftbericht (Fach "&amp;X1207&amp;" Stk); ",IF(CB1207=1,"Gebinde geschätzt ("&amp;T1207&amp;"); ",IF(CA1207=1,"Lose – Tablare geschätzt; ","")))&amp;IF(H1207&gt;AW1207,"Überbestand "&amp;ROUND(H1207-AW1207,0)&amp;" Stk / CHF "&amp;ROUND((H1207-AW1207)*G1207,0)&amp;"; ","")&amp;IF(AND(CI1207=1,CJ1207&lt;CK1207),"MAX &lt; MB+LG; ","")&amp;IF(AND(CQ1207&gt;0,CP1207*10&gt;CQ1207),"zu hoch für Tablar; ","")&amp;IF(AND(BW1207=0,OR(CI1207=1,AB1207&lt;&gt;"",U1207&lt;&gt;"",V1207&lt;&gt;"",AC1207&lt;&gt;"")),"manuell übersteuert; ","")&amp;IF(AND(CA1207=0,R1207=0),"Gebinde unbekannt / Stellmass fehlt; ","")&amp;IF(AND(CA1207=0,N(V1207)&lt;=0,N(Q1207)&lt;=0),"Menge pro Gebinde fehlt (Ist = 1 Gebinde); ","")&amp;BV1207)</f>
        <v>negativer Bestand (Export -5); Überbestand 16 Stk / CHF 1652; </v>
      </c>
      <c r="BO1207" s="60"/>
      <c r="BP1207" s="60"/>
      <c r="BQ1207" s="67"/>
      <c r="BR1207" s="62" t="n">
        <v>-5</v>
      </c>
      <c r="BS1207" s="62" t="n">
        <v>23</v>
      </c>
      <c r="BT1207" s="61" t="n">
        <v>-516.4</v>
      </c>
      <c r="BU1207" s="62" t="n">
        <v>2</v>
      </c>
      <c r="BV1207" s="60"/>
      <c r="BW1207" s="65" t="n">
        <v>0</v>
      </c>
      <c r="BX1207" s="65" t="n">
        <v>1207</v>
      </c>
      <c r="BY1207" s="60" t="str">
        <f aca="false">IF(U1207&lt;&gt;"",UPPER(TRIM(U1207)),IF(CB1207=1,UPPER(VLOOKUP(T1207,Parameter!$I$27:$K$29,2,0)),IF(P1207="","LOSE",P1207)))</f>
        <v>S41</v>
      </c>
      <c r="BZ1207" s="62" t="n">
        <f aca="false">IF(BY1207="LOSE",1,IF(N(V1207)&gt;0,V1207,IF(CB1207=1,MAX(1,N(VLOOKUP(T1207,Parameter!$I$27:$K$29,3,0)),H1207,N(N1207)),IF(N(Q1207)&gt;0,Q1207,MAX(1,H1207)))))</f>
        <v>30</v>
      </c>
      <c r="CA1207" s="65" t="n">
        <f aca="false">IF(BY1207="LOSE",1,0)</f>
        <v>0</v>
      </c>
      <c r="CB1207" s="65" t="n">
        <f aca="false">IF(AND(U1207="",OR(P1207="",P1207="LOSE"),T1207&lt;&gt;"",N(S1207)&lt;=0,ISNUMBER(MATCH(T1207,Parameter!$I$27:$I$29,0))),1,0)</f>
        <v>0</v>
      </c>
      <c r="CC1207" s="65" t="n">
        <f aca="false">IF(CR1207&gt;0,INDEX(Parameter!$H$5:$H$7,W1207)/INDEX(Parameter!$E$5:$E$7,W1207),IF(AND(CA1207=0,N(IFERROR(VLOOKUP(BY1207,'Gebinde-Kategorie'!$A$5:$N$45,14,0),0))&gt;0),VLOOKUP(BY1207,'Gebinde-Kategorie'!$A$5:$N$45,14,0)*10+Parameter!$M$23,Parameter!$M$24))</f>
        <v>155</v>
      </c>
      <c r="CD1207" s="60" t="str">
        <f aca="false">IF(AND(Parameter!$B$19="Ja",E1207&lt;&gt;"",ISNUMBER(MATCH(E1207,Parameter!$I$35:$I$52,0))),VLOOKUP(E1207,Parameter!$I$35:$J$52,2,0),IFERROR(VLOOKUP(D1207,Parameter!$A$35:$C$64,2,0),"Nein"))</f>
        <v>2+3</v>
      </c>
      <c r="CE1207" s="64" t="n">
        <f aca="false">IF(CA1207=0,0,IF(N(S1207)&gt;0,S1207,IFERROR(VLOOKUP(D1207,Parameter!$A$35:$C$64,3,0)+0,0)))</f>
        <v>0</v>
      </c>
      <c r="CF1207" s="60" t="n">
        <f aca="false">IF(AB1207&lt;&gt;"",AB1207,AA1207)</f>
        <v>1</v>
      </c>
      <c r="CG1207" s="60" t="str">
        <f aca="false">IF(OR(CF1207=1,CF1207=2,CF1207=3),IF(Parameter!$E$27="Ja","LIFT",IF(CF1207=1,"L1","L23")),IF(CF1207="Aussen","Aussen","-"))</f>
        <v>LIFT</v>
      </c>
      <c r="CH1207" s="71" t="n">
        <f aca="false">IF(N(AC1207)&gt;0,AC1207,0)</f>
        <v>0</v>
      </c>
      <c r="CI1207" s="65" t="n">
        <f aca="false">IF(ISNUMBER(AF1207),1,0)</f>
        <v>0</v>
      </c>
      <c r="CJ1207" s="62" t="n">
        <f aca="false">N(AF1207)</f>
        <v>0</v>
      </c>
      <c r="CK1207" s="62" t="n">
        <f aca="false">N(M1207)+N(N1207)</f>
        <v>1</v>
      </c>
      <c r="CL1207" s="62" t="n">
        <f aca="false">N(M1207)</f>
        <v>0</v>
      </c>
      <c r="CM1207" s="62" t="n">
        <f aca="false">N(N1207)</f>
        <v>1</v>
      </c>
      <c r="CN1207" s="62" t="n">
        <f aca="false">ROUNDUP(H1207/BZ1207,0)</f>
        <v>1</v>
      </c>
      <c r="CO1207" s="62" t="n">
        <f aca="false">ROUNDUP(CJ1207/BZ1207,0)</f>
        <v>0</v>
      </c>
      <c r="CP1207" s="65" t="n">
        <f aca="false">IF(CA1207=1,0,IFERROR(VLOOKUP(BY1207,'Gebinde-Kategorie'!$A$5:$N$45,5,0)+0,0))</f>
        <v>11</v>
      </c>
      <c r="CQ1207" s="65" t="n">
        <f aca="false">IFERROR(IF(OR(CF1207=1,CF1207=2,CF1207=3),N(INDEX(Parameter!$I$5:$I$7,CF1207)),0),0)</f>
        <v>0</v>
      </c>
      <c r="CR1207" s="64" t="n">
        <f aca="false">IF(AND(Parameter!$B$21="Ja",ISNUMBER(W1207),N(X1207)&gt;0),IFERROR(N(INDEX(Parameter!$L$5:$L$7,W1207))*INDEX(Parameter!$E$5:$E$7,W1207)*X1207/SUMIFS($X$7:$X$1843,$W$7:$W$1843,W1207),0),0)</f>
        <v>0</v>
      </c>
      <c r="CS1207" s="62" t="n">
        <f aca="false">IF(AND(OR(CG1207="L1",CG1207="L23",CG1207="LIFT"),H1207&gt;0),CC1207*IF(CR1207&gt;0,CR1207*MAX(1,H1207/X1207),IF(CA1207=1,CE1207,IF(R1207&gt;0,CN1207/R1207,0))/MAX(0.1,N(Parameter!$M$21))),"")</f>
        <v>2.98076923076923</v>
      </c>
      <c r="CT1207" s="64" t="n">
        <f aca="false">IF(CS1207="","",J1207/H1207)</f>
        <v>0.111111111111111</v>
      </c>
      <c r="CU1207" s="62" t="n">
        <f aca="false">IF(CS1207="","",H1207*G1207)</f>
        <v>1859.04</v>
      </c>
      <c r="CV1207" s="63" t="n">
        <f aca="false">IF(CS1207="","",(CL1207+ROUNDUP(CL1207+MAX(CM1207,2*(J1207/MAX(0.1,N(Einkauf!$C$6))-CL1207)),0))/2)</f>
        <v>0.5</v>
      </c>
      <c r="CW1207" s="62" t="n">
        <f aca="false">IF(CS1207="","",MAX(0,H1207-CV1207)*G1207)</f>
        <v>1807.4</v>
      </c>
      <c r="CX1207" s="62" t="n">
        <f aca="false">IF(CS1207="","",CS1207*MAX(0,1-CV1207/H1207))</f>
        <v>2.89797008547009</v>
      </c>
      <c r="CY1207" s="64" t="n">
        <f aca="false">IF(CS1207="","",PERCENTRANK($CS$7:$CS$1843,CS1207)+PERCENTRANK($CU$7:$CU$1843,CU1207)+1-PERCENTRANK($CT$7:$CT$1843,CT1207))</f>
        <v>1.539</v>
      </c>
      <c r="CZ1207" s="72" t="n">
        <f aca="false">IF(CS1207="","",CHOOSE(MATCH(Einkauf!$C$5,Parameter!$G$23:$G$27,0),CY1207,CS1207,CU1207,-CT1207,CW1207)+ROW()/1000000000)</f>
        <v>1.539001207</v>
      </c>
    </row>
    <row r="1208" customFormat="false" ht="15" hidden="false" customHeight="false" outlineLevel="0" collapsed="false">
      <c r="A1208" s="60" t="s">
        <v>2212</v>
      </c>
      <c r="B1208" s="60" t="s">
        <v>339</v>
      </c>
      <c r="C1208" s="60" t="s">
        <v>206</v>
      </c>
      <c r="D1208" s="60" t="s">
        <v>207</v>
      </c>
      <c r="E1208" s="60" t="s">
        <v>208</v>
      </c>
      <c r="F1208" s="60" t="s">
        <v>260</v>
      </c>
      <c r="G1208" s="61" t="n">
        <v>257.76</v>
      </c>
      <c r="H1208" s="62" t="n">
        <f aca="false">MAX(0,IF(AND(Parameter!$B$21="Ja",ISNUMBER(Y1208)),Y1208,IF(Parameter!$B$20="Jahresanfang 2025 + Export",BS1208+BR1208,BR1208)))</f>
        <v>16</v>
      </c>
      <c r="I1208" s="62" t="n">
        <f aca="false">H1208*G1208</f>
        <v>4124.16</v>
      </c>
      <c r="J1208" s="62" t="n">
        <f aca="false">BU1208*Parameter!$B$18</f>
        <v>16</v>
      </c>
      <c r="K1208" s="63" t="n">
        <v>25.5</v>
      </c>
      <c r="L1208" s="64" t="n">
        <v>0.627450980392157</v>
      </c>
      <c r="M1208" s="62" t="n">
        <v>3</v>
      </c>
      <c r="N1208" s="62" t="n">
        <v>10</v>
      </c>
      <c r="O1208" s="65" t="n">
        <v>70</v>
      </c>
      <c r="P1208" s="60" t="s">
        <v>210</v>
      </c>
      <c r="Q1208" s="62"/>
      <c r="R1208" s="65" t="n">
        <f aca="false">IF(CA1208=1,0,IFERROR(VLOOKUP(BY1208,'Gebinde-Kategorie'!$A$5:$N$45,13,0)+0,0))</f>
        <v>0</v>
      </c>
      <c r="S1208" s="66"/>
      <c r="T1208" s="67"/>
      <c r="U1208" s="67"/>
      <c r="V1208" s="67"/>
      <c r="W1208" s="60" t="n">
        <v>1</v>
      </c>
      <c r="X1208" s="62" t="n">
        <v>35</v>
      </c>
      <c r="Y1208" s="62" t="n">
        <v>16</v>
      </c>
      <c r="Z1208" s="60" t="n">
        <v>1</v>
      </c>
      <c r="AA1208" s="60" t="n">
        <f aca="false">IF(A1208="","",IF(AND(Parameter!$B$21="Ja",ISNUMBER(W1208)),W1208,IF(AND(Parameter!$E$27="Ja",ISNUMBER(Z1208),CD1208&lt;&gt;"Nein"),Z1208,IF(CD1208="2+3",IF(ISNUMBER(SEARCH("grosser Artikel",BV1208)),2,IFERROR(VLOOKUP(BY1208,Parameter!$F$35:$G$64,2,0),2)),IF(OR(CD1208="Nein",CD1208=""),"-",CD1208)))))</f>
        <v>1</v>
      </c>
      <c r="AB1208" s="67"/>
      <c r="AC1208" s="68"/>
      <c r="AD1208" s="62" t="n">
        <f aca="false">AW1208</f>
        <v>13</v>
      </c>
      <c r="AE1208" s="62" t="n">
        <f aca="false">MAX(AW1208,H1208)</f>
        <v>16</v>
      </c>
      <c r="AF1208" s="69"/>
      <c r="AG1208" s="62" t="n">
        <f aca="false">IF(LEFT(Cockpit!$C$5,1)="A",H1208,IF(Parameter!$E$30="MAX-Bestand",IF(CI1208=1,CJ1208,IF(LEFT(Cockpit!$C$5,1)="B",AM1208,MAX(AM1208,H1208))),ROUNDUP(AK1208,0)))</f>
        <v>16</v>
      </c>
      <c r="AH1208" s="62" t="n">
        <f aca="false">IF(CA1208=1,0,ROUNDUP(AG1208/BZ1208,0))</f>
        <v>0</v>
      </c>
      <c r="AI1208" s="64" t="n">
        <f aca="false">IF(CR1208&gt;0,CR1208*MAX(1,AG1208/X1208),IF(CA1208=1,IF(AG1208&lt;=0,0,CE1208*MAX(1,IF(H1208&gt;0,AG1208/H1208,1))),IF(R1208&gt;0,AH1208/R1208,0))/MAX(0.1,N(Parameter!$M$21)))</f>
        <v>2.80131826741996</v>
      </c>
      <c r="AJ1208" s="62" t="n">
        <f aca="false">AI1208*CC1208</f>
        <v>666.713747645951</v>
      </c>
      <c r="AK1208" s="63" t="n">
        <f aca="false">IF(LEFT(Cockpit!$C$5,1)="A",H1208,IF(CI1208=1,(CL1208+CJ1208)/2,IF(LEFT(Cockpit!$C$5,1)="B",(CL1208+AM1208)/2,MAX((CL1208+AM1208)/2,H1208))))</f>
        <v>16</v>
      </c>
      <c r="AL1208" s="62" t="n">
        <f aca="false">AK1208*G1208</f>
        <v>4124.16</v>
      </c>
      <c r="AM1208" s="62" t="n">
        <f aca="false">ROUNDUP(CL1208+MAX(CM1208,2*(J1208/IF(CH1208&gt;0,CH1208,MAX(0.1,N(Cockpit!$C$6)))-CL1208)),0)</f>
        <v>13</v>
      </c>
      <c r="AN1208" s="63" t="n">
        <f aca="false">IF(AJ1208&gt;0,J1208/AJ1208,-1)</f>
        <v>0.0239983052044347</v>
      </c>
      <c r="AO1208" s="63" t="n">
        <f aca="false">IF(AND(OR(CG1208="L1",CG1208="L23",CG1208="LIFT"),AJ1208&gt;0),SUMIFS($AJ$7:$AJ$1843,$CG$7:$CG$1843,CG1208,$AN$7:$AN$1843,"&gt;"&amp;AN1208)+SUMIFS($AJ$7:$AJ$1843,$CG$7:$CG$1843,CG1208,$AN$7:$AN$1843,AN1208,$BX$7:$BX$1843,"&lt;="&amp;BX1208),"")</f>
        <v>22711.3241525424</v>
      </c>
      <c r="AP1208" s="70" t="n">
        <f aca="false">IF(AO1208="",0,MAX(0,MIN(1,(IF(CG1208="L1",Parameter!$H$5,IF(CG1208="L23",Parameter!$H$6+Parameter!$H$7,Parameter!$H$5+Parameter!$H$6+Parameter!$H$7))-(AO1208-AJ1208))/AJ1208)))</f>
        <v>1</v>
      </c>
      <c r="AQ1208" s="62" t="n">
        <f aca="false">IF(LEFT(Cockpit!$I$5,1)="A",H1208,IF(Parameter!$E$30="MAX-Bestand",IF(CI1208=1,CJ1208,IF(LEFT(Cockpit!$I$5,1)="B",AW1208,MAX(AW1208,H1208))),ROUNDUP(AU1208,0)))</f>
        <v>16</v>
      </c>
      <c r="AR1208" s="62" t="n">
        <f aca="false">IF(CA1208=1,0,ROUNDUP(AQ1208/BZ1208,0))</f>
        <v>0</v>
      </c>
      <c r="AS1208" s="64" t="n">
        <f aca="false">IF(CR1208&gt;0,CR1208*MAX(1,AQ1208/X1208),IF(CA1208=1,IF(AQ1208&lt;=0,0,CE1208*MAX(1,IF(H1208&gt;0,AQ1208/H1208,1))),IF(R1208&gt;0,AR1208/R1208,0))/MAX(0.1,N(Parameter!$M$21)))</f>
        <v>2.80131826741996</v>
      </c>
      <c r="AT1208" s="62" t="n">
        <f aca="false">AS1208*CC1208</f>
        <v>666.713747645951</v>
      </c>
      <c r="AU1208" s="63" t="n">
        <f aca="false">IF(LEFT(Cockpit!$I$5,1)="A",H1208,IF(CI1208=1,(CL1208+CJ1208)/2,IF(LEFT(Cockpit!$I$5,1)="B",(CL1208+AW1208)/2,MAX((CL1208+AW1208)/2,H1208))))</f>
        <v>16</v>
      </c>
      <c r="AV1208" s="62" t="n">
        <f aca="false">AU1208*G1208</f>
        <v>4124.16</v>
      </c>
      <c r="AW1208" s="62" t="n">
        <f aca="false">ROUNDUP(CL1208+MAX(CM1208,2*(J1208/IF(CH1208&gt;0,CH1208,MAX(0.1,N(Cockpit!$I$6)))-CL1208)),0)</f>
        <v>13</v>
      </c>
      <c r="AX1208" s="63" t="n">
        <f aca="false">IF(AT1208&gt;0,J1208/AT1208,-1)</f>
        <v>0.0239983052044347</v>
      </c>
      <c r="AY1208" s="63" t="n">
        <f aca="false">IF(AND(OR(CG1208="L1",CG1208="L23",CG1208="LIFT"),AT1208&gt;0),SUMIFS($AT$7:$AT$1843,$CG$7:$CG$1843,CG1208,$AX$7:$AX$1843,"&gt;"&amp;AX1208)+SUMIFS($AT$7:$AT$1843,$CG$7:$CG$1843,CG1208,$AX$7:$AX$1843,AX1208,$BX$7:$BX$1843,"&lt;="&amp;BX1208),"")</f>
        <v>27946.9727939198</v>
      </c>
      <c r="AZ1208" s="70" t="n">
        <f aca="false">IF(AY1208="",0,MAX(0,MIN(1,(IF(CG1208="L1",Parameter!$H$5,IF(CG1208="L23",Parameter!$H$6+Parameter!$H$7,Parameter!$H$5+Parameter!$H$6+Parameter!$H$7))-(AY1208-AT1208))/AT1208)))</f>
        <v>1</v>
      </c>
      <c r="BA1208" s="62" t="n">
        <f aca="false">IF(LEFT(Cockpit!$O$5,1)="A",H1208,IF(Parameter!$E$30="MAX-Bestand",IF(CI1208=1,CJ1208,IF(LEFT(Cockpit!$O$5,1)="B",BG1208,MAX(BG1208,H1208))),ROUNDUP(BE1208,0)))</f>
        <v>8</v>
      </c>
      <c r="BB1208" s="62" t="n">
        <f aca="false">IF(CA1208=1,0,ROUNDUP(BA1208/BZ1208,0))</f>
        <v>0</v>
      </c>
      <c r="BC1208" s="64" t="n">
        <f aca="false">IF(CR1208&gt;0,CR1208*MAX(1,BA1208/X1208),IF(CA1208=1,IF(BA1208&lt;=0,0,CE1208*MAX(1,IF(H1208&gt;0,BA1208/H1208,1))),IF(R1208&gt;0,BB1208/R1208,0))/MAX(0.1,N(Parameter!$M$21)))</f>
        <v>2.80131826741996</v>
      </c>
      <c r="BD1208" s="62" t="n">
        <f aca="false">BC1208*CC1208</f>
        <v>666.713747645951</v>
      </c>
      <c r="BE1208" s="63" t="n">
        <f aca="false">IF(LEFT(Cockpit!$O$5,1)="A",H1208,IF(CI1208=1,(CL1208+CJ1208)/2,IF(LEFT(Cockpit!$O$5,1)="B",(CL1208+BG1208)/2,MAX((CL1208+BG1208)/2,H1208))))</f>
        <v>8</v>
      </c>
      <c r="BF1208" s="62" t="n">
        <f aca="false">BE1208*G1208</f>
        <v>2062.08</v>
      </c>
      <c r="BG1208" s="62" t="n">
        <f aca="false">ROUNDUP(CL1208+MAX(CM1208,2*(J1208/IF(CH1208&gt;0,CH1208,MAX(0.1,N(Cockpit!$O$6)))-CL1208)),0)</f>
        <v>13</v>
      </c>
      <c r="BH1208" s="63" t="n">
        <f aca="false">IF(BD1208&gt;0,J1208/BD1208,-1)</f>
        <v>0.0239983052044347</v>
      </c>
      <c r="BI1208" s="63" t="n">
        <f aca="false">IF(AND(OR(CG1208="L1",CG1208="L23",CG1208="LIFT"),BD1208&gt;0),SUMIFS($BD$7:$BD$1843,$CG$7:$CG$1843,CG1208,$BH$7:$BH$1843,"&gt;"&amp;BH1208)+SUMIFS($BD$7:$BD$1843,$CG$7:$CG$1843,CG1208,$BH$7:$BH$1843,BH1208,$BX$7:$BX$1843,"&lt;="&amp;BX1208),"")</f>
        <v>23530.4136115767</v>
      </c>
      <c r="BJ1208" s="70" t="n">
        <f aca="false">IF(BI1208="",0,MAX(0,MIN(1,(IF(CG1208="L1",Parameter!$H$5,IF(CG1208="L23",Parameter!$H$6+Parameter!$H$7,Parameter!$H$5+Parameter!$H$6+Parameter!$H$7))-(BI1208-BD1208))/BD1208)))</f>
        <v>1</v>
      </c>
      <c r="BK1208" s="60" t="str">
        <f aca="false">IF(AJ1208&lt;=0,"",IF(CG1208="Aussen","Aussenlager",IF(CG1208="-","Nicht im Lift",IF(AP1208&gt;=1,"Lift",IF(AP1208&lt;=0,"Aussenlager","teilweise")))))</f>
        <v>Lift</v>
      </c>
      <c r="BL1208" s="60" t="str">
        <f aca="false">IF(AT1208&lt;=0,"",IF(CG1208="Aussen","Aussenlager",IF(CG1208="-","Nicht im Lift",IF(AZ1208&gt;=1,"Lift",IF(AZ1208&lt;=0,"Aussenlager","teilweise")))))</f>
        <v>Lift</v>
      </c>
      <c r="BM1208" s="60" t="str">
        <f aca="false">IF(BD1208&lt;=0,"",IF(CG1208="Aussen","Aussenlager",IF(CG1208="-","Nicht im Lift",IF(BJ1208&gt;=1,"Lift",IF(BJ1208&lt;=0,"Aussenlager","teilweise")))))</f>
        <v>Lift</v>
      </c>
      <c r="BN1208" s="60" t="str">
        <f aca="false">IF(A1208="","",IF(BW1208=1,"Neu; ","")&amp;IF(AND(BW1208=0,BR1208&lt;0),"negativer Bestand (Export "&amp;BR1208&amp;"); ","")&amp;IF(J1208&lt;=0,"Kein Verbrauch; ","")&amp;IF(CR1208&gt;0,"Lift "&amp;W1208&amp;" lt. Liftbericht (Fach "&amp;X1208&amp;" Stk); ",IF(CB1208=1,"Gebinde geschätzt ("&amp;T1208&amp;"); ",IF(CA1208=1,"Lose – Tablare geschätzt; ","")))&amp;IF(H1208&gt;AW1208,"Überbestand "&amp;ROUND(H1208-AW1208,0)&amp;" Stk / CHF "&amp;ROUND((H1208-AW1208)*G1208,0)&amp;"; ","")&amp;IF(AND(CI1208=1,CJ1208&lt;CK1208),"MAX &lt; MB+LG; ","")&amp;IF(AND(CQ1208&gt;0,CP1208*10&gt;CQ1208),"zu hoch für Tablar; ","")&amp;IF(AND(BW1208=0,OR(CI1208=1,AB1208&lt;&gt;"",U1208&lt;&gt;"",V1208&lt;&gt;"",AC1208&lt;&gt;"")),"manuell übersteuert; ","")&amp;IF(AND(CA1208=0,R1208=0),"Gebinde unbekannt / Stellmass fehlt; ","")&amp;IF(AND(CA1208=0,N(V1208)&lt;=0,N(Q1208)&lt;=0),"Menge pro Gebinde fehlt (Ist = 1 Gebinde); ","")&amp;BV1208)</f>
        <v>negativer Bestand (Export -3); Lift 1 lt. Liftbericht (Fach 35 Stk); Überbestand 3 Stk / CHF 773; </v>
      </c>
      <c r="BO1208" s="60"/>
      <c r="BP1208" s="60"/>
      <c r="BQ1208" s="67"/>
      <c r="BR1208" s="62" t="n">
        <v>-3</v>
      </c>
      <c r="BS1208" s="62" t="n">
        <v>21</v>
      </c>
      <c r="BT1208" s="61" t="n">
        <v>-516.87</v>
      </c>
      <c r="BU1208" s="62" t="n">
        <v>16</v>
      </c>
      <c r="BV1208" s="60"/>
      <c r="BW1208" s="65" t="n">
        <v>0</v>
      </c>
      <c r="BX1208" s="65" t="n">
        <v>1208</v>
      </c>
      <c r="BY1208" s="60" t="str">
        <f aca="false">IF(U1208&lt;&gt;"",UPPER(TRIM(U1208)),IF(CB1208=1,UPPER(VLOOKUP(T1208,Parameter!$I$27:$K$29,2,0)),IF(P1208="","LOSE",P1208)))</f>
        <v>LOSE</v>
      </c>
      <c r="BZ1208" s="62" t="n">
        <f aca="false">IF(BY1208="LOSE",1,IF(N(V1208)&gt;0,V1208,IF(CB1208=1,MAX(1,N(VLOOKUP(T1208,Parameter!$I$27:$K$29,3,0)),H1208,N(N1208)),IF(N(Q1208)&gt;0,Q1208,MAX(1,H1208)))))</f>
        <v>1</v>
      </c>
      <c r="CA1208" s="65" t="n">
        <f aca="false">IF(BY1208="LOSE",1,0)</f>
        <v>1</v>
      </c>
      <c r="CB1208" s="65" t="n">
        <f aca="false">IF(AND(U1208="",OR(P1208="",P1208="LOSE"),T1208&lt;&gt;"",N(S1208)&lt;=0,ISNUMBER(MATCH(T1208,Parameter!$I$27:$I$29,0))),1,0)</f>
        <v>0</v>
      </c>
      <c r="CC1208" s="65" t="n">
        <f aca="false">IF(CR1208&gt;0,INDEX(Parameter!$H$5:$H$7,W1208)/INDEX(Parameter!$E$5:$E$7,W1208),IF(AND(CA1208=0,N(IFERROR(VLOOKUP(BY1208,'Gebinde-Kategorie'!$A$5:$N$45,14,0),0))&gt;0),VLOOKUP(BY1208,'Gebinde-Kategorie'!$A$5:$N$45,14,0)*10+Parameter!$M$23,Parameter!$M$24))</f>
        <v>238</v>
      </c>
      <c r="CD1208" s="60" t="n">
        <f aca="false">IF(AND(Parameter!$B$19="Ja",E1208&lt;&gt;"",ISNUMBER(MATCH(E1208,Parameter!$I$35:$I$52,0))),VLOOKUP(E1208,Parameter!$I$35:$J$52,2,0),IFERROR(VLOOKUP(D1208,Parameter!$A$35:$C$64,2,0),"Nein"))</f>
        <v>1</v>
      </c>
      <c r="CE1208" s="64" t="n">
        <f aca="false">IF(CA1208=0,0,IF(N(S1208)&gt;0,S1208,IFERROR(VLOOKUP(D1208,Parameter!$A$35:$C$64,3,0)+0,0)))</f>
        <v>1</v>
      </c>
      <c r="CF1208" s="60" t="n">
        <f aca="false">IF(AB1208&lt;&gt;"",AB1208,AA1208)</f>
        <v>1</v>
      </c>
      <c r="CG1208" s="60" t="str">
        <f aca="false">IF(OR(CF1208=1,CF1208=2,CF1208=3),IF(Parameter!$E$27="Ja","LIFT",IF(CF1208=1,"L1","L23")),IF(CF1208="Aussen","Aussen","-"))</f>
        <v>LIFT</v>
      </c>
      <c r="CH1208" s="71" t="n">
        <f aca="false">IF(N(AC1208)&gt;0,AC1208,0)</f>
        <v>0</v>
      </c>
      <c r="CI1208" s="65" t="n">
        <f aca="false">IF(ISNUMBER(AF1208),1,0)</f>
        <v>0</v>
      </c>
      <c r="CJ1208" s="62" t="n">
        <f aca="false">N(AF1208)</f>
        <v>0</v>
      </c>
      <c r="CK1208" s="62" t="n">
        <f aca="false">N(M1208)+N(N1208)</f>
        <v>13</v>
      </c>
      <c r="CL1208" s="62" t="n">
        <f aca="false">N(M1208)</f>
        <v>3</v>
      </c>
      <c r="CM1208" s="62" t="n">
        <f aca="false">N(N1208)</f>
        <v>10</v>
      </c>
      <c r="CN1208" s="62" t="n">
        <f aca="false">ROUNDUP(H1208/BZ1208,0)</f>
        <v>16</v>
      </c>
      <c r="CO1208" s="62" t="n">
        <f aca="false">ROUNDUP(CJ1208/BZ1208,0)</f>
        <v>0</v>
      </c>
      <c r="CP1208" s="65" t="n">
        <f aca="false">IF(CA1208=1,0,IFERROR(VLOOKUP(BY1208,'Gebinde-Kategorie'!$A$5:$N$45,5,0)+0,0))</f>
        <v>0</v>
      </c>
      <c r="CQ1208" s="65" t="n">
        <f aca="false">IFERROR(IF(OR(CF1208=1,CF1208=2,CF1208=3),N(INDEX(Parameter!$I$5:$I$7,CF1208)),0),0)</f>
        <v>0</v>
      </c>
      <c r="CR1208" s="64" t="n">
        <f aca="false">IF(AND(Parameter!$B$21="Ja",ISNUMBER(W1208),N(X1208)&gt;0),IFERROR(N(INDEX(Parameter!$L$5:$L$7,W1208))*INDEX(Parameter!$E$5:$E$7,W1208)*X1208/SUMIFS($X$7:$X$1843,$W$7:$W$1843,W1208),0),0)</f>
        <v>2.80131826741996</v>
      </c>
      <c r="CS1208" s="62" t="n">
        <f aca="false">IF(AND(OR(CG1208="L1",CG1208="L23",CG1208="LIFT"),H1208&gt;0),CC1208*IF(CR1208&gt;0,CR1208*MAX(1,H1208/X1208),IF(CA1208=1,CE1208,IF(R1208&gt;0,CN1208/R1208,0))/MAX(0.1,N(Parameter!$M$21))),"")</f>
        <v>666.713747645951</v>
      </c>
      <c r="CT1208" s="64" t="n">
        <f aca="false">IF(CS1208="","",J1208/H1208)</f>
        <v>1</v>
      </c>
      <c r="CU1208" s="62" t="n">
        <f aca="false">IF(CS1208="","",H1208*G1208)</f>
        <v>4124.16</v>
      </c>
      <c r="CV1208" s="63" t="n">
        <f aca="false">IF(CS1208="","",(CL1208+ROUNDUP(CL1208+MAX(CM1208,2*(J1208/MAX(0.1,N(Einkauf!$C$6))-CL1208)),0))/2)</f>
        <v>8</v>
      </c>
      <c r="CW1208" s="62" t="n">
        <f aca="false">IF(CS1208="","",MAX(0,H1208-CV1208)*G1208)</f>
        <v>2062.08</v>
      </c>
      <c r="CX1208" s="62" t="n">
        <f aca="false">IF(CS1208="","",CS1208*MAX(0,1-CV1208/H1208))</f>
        <v>333.356873822976</v>
      </c>
      <c r="CY1208" s="64" t="n">
        <f aca="false">IF(CS1208="","",PERCENTRANK($CS$7:$CS$1843,CS1208)+PERCENTRANK($CU$7:$CU$1843,CU1208)+1-PERCENTRANK($CT$7:$CT$1843,CT1208))</f>
        <v>2.247</v>
      </c>
      <c r="CZ1208" s="72" t="n">
        <f aca="false">IF(CS1208="","",CHOOSE(MATCH(Einkauf!$C$5,Parameter!$G$23:$G$27,0),CY1208,CS1208,CU1208,-CT1208,CW1208)+ROW()/1000000000)</f>
        <v>2.247001208</v>
      </c>
    </row>
    <row r="1209" customFormat="false" ht="15" hidden="false" customHeight="false" outlineLevel="0" collapsed="false">
      <c r="A1209" s="60" t="s">
        <v>2213</v>
      </c>
      <c r="B1209" s="60" t="s">
        <v>2214</v>
      </c>
      <c r="C1209" s="60" t="s">
        <v>206</v>
      </c>
      <c r="D1209" s="60" t="s">
        <v>226</v>
      </c>
      <c r="E1209" s="60"/>
      <c r="F1209" s="60" t="s">
        <v>260</v>
      </c>
      <c r="G1209" s="61" t="n">
        <v>519.59</v>
      </c>
      <c r="H1209" s="62" t="n">
        <f aca="false">MAX(0,IF(AND(Parameter!$B$21="Ja",ISNUMBER(Y1209)),Y1209,IF(Parameter!$B$20="Jahresanfang 2025 + Export",BS1209+BR1209,BR1209)))</f>
        <v>7</v>
      </c>
      <c r="I1209" s="62" t="n">
        <f aca="false">H1209*G1209</f>
        <v>3637.13</v>
      </c>
      <c r="J1209" s="62" t="n">
        <f aca="false">BU1209*Parameter!$B$18</f>
        <v>0</v>
      </c>
      <c r="K1209" s="63" t="n">
        <v>7.5</v>
      </c>
      <c r="L1209" s="64" t="n">
        <v>0</v>
      </c>
      <c r="M1209" s="62" t="n">
        <v>0</v>
      </c>
      <c r="N1209" s="62" t="n">
        <v>1</v>
      </c>
      <c r="O1209" s="65" t="n">
        <v>70</v>
      </c>
      <c r="P1209" s="60" t="s">
        <v>370</v>
      </c>
      <c r="Q1209" s="62" t="n">
        <v>10</v>
      </c>
      <c r="R1209" s="65" t="n">
        <f aca="false">IF(CA1209=1,0,IFERROR(VLOOKUP(BY1209,'Gebinde-Kategorie'!$A$5:$N$45,13,0)+0,0))</f>
        <v>52</v>
      </c>
      <c r="S1209" s="66"/>
      <c r="T1209" s="67"/>
      <c r="U1209" s="67"/>
      <c r="V1209" s="67"/>
      <c r="W1209" s="60"/>
      <c r="X1209" s="62"/>
      <c r="Y1209" s="62"/>
      <c r="Z1209" s="60" t="n">
        <v>1</v>
      </c>
      <c r="AA1209" s="60" t="n">
        <f aca="false">IF(A1209="","",IF(AND(Parameter!$B$21="Ja",ISNUMBER(W1209)),W1209,IF(AND(Parameter!$E$27="Ja",ISNUMBER(Z1209),CD1209&lt;&gt;"Nein"),Z1209,IF(CD1209="2+3",IF(ISNUMBER(SEARCH("grosser Artikel",BV1209)),2,IFERROR(VLOOKUP(BY1209,Parameter!$F$35:$G$64,2,0),2)),IF(OR(CD1209="Nein",CD1209=""),"-",CD1209)))))</f>
        <v>1</v>
      </c>
      <c r="AB1209" s="67"/>
      <c r="AC1209" s="68"/>
      <c r="AD1209" s="62" t="n">
        <f aca="false">AW1209</f>
        <v>1</v>
      </c>
      <c r="AE1209" s="62" t="n">
        <f aca="false">MAX(AW1209,H1209)</f>
        <v>7</v>
      </c>
      <c r="AF1209" s="69"/>
      <c r="AG1209" s="62" t="n">
        <f aca="false">IF(LEFT(Cockpit!$C$5,1)="A",H1209,IF(Parameter!$E$30="MAX-Bestand",IF(CI1209=1,CJ1209,IF(LEFT(Cockpit!$C$5,1)="B",AM1209,MAX(AM1209,H1209))),ROUNDUP(AK1209,0)))</f>
        <v>7</v>
      </c>
      <c r="AH1209" s="62" t="n">
        <f aca="false">IF(CA1209=1,0,ROUNDUP(AG1209/BZ1209,0))</f>
        <v>1</v>
      </c>
      <c r="AI1209" s="64" t="n">
        <f aca="false">IF(CR1209&gt;0,CR1209*MAX(1,AG1209/X1209),IF(CA1209=1,IF(AG1209&lt;=0,0,CE1209*MAX(1,IF(H1209&gt;0,AG1209/H1209,1))),IF(R1209&gt;0,AH1209/R1209,0))/MAX(0.1,N(Parameter!$M$21)))</f>
        <v>0.0192307692307692</v>
      </c>
      <c r="AJ1209" s="62" t="n">
        <f aca="false">AI1209*CC1209</f>
        <v>2.98076923076923</v>
      </c>
      <c r="AK1209" s="63" t="n">
        <f aca="false">IF(LEFT(Cockpit!$C$5,1)="A",H1209,IF(CI1209=1,(CL1209+CJ1209)/2,IF(LEFT(Cockpit!$C$5,1)="B",(CL1209+AM1209)/2,MAX((CL1209+AM1209)/2,H1209))))</f>
        <v>7</v>
      </c>
      <c r="AL1209" s="62" t="n">
        <f aca="false">AK1209*G1209</f>
        <v>3637.13</v>
      </c>
      <c r="AM1209" s="62" t="n">
        <f aca="false">ROUNDUP(CL1209+MAX(CM1209,2*(J1209/IF(CH1209&gt;0,CH1209,MAX(0.1,N(Cockpit!$C$6)))-CL1209)),0)</f>
        <v>1</v>
      </c>
      <c r="AN1209" s="63" t="n">
        <f aca="false">IF(AJ1209&gt;0,J1209/AJ1209,-1)</f>
        <v>0</v>
      </c>
      <c r="AO1209" s="63" t="n">
        <f aca="false">IF(AND(OR(CG1209="L1",CG1209="L23",CG1209="LIFT"),AJ1209&gt;0),SUMIFS($AJ$7:$AJ$1843,$CG$7:$CG$1843,CG1209,$AN$7:$AN$1843,"&gt;"&amp;AN1209)+SUMIFS($AJ$7:$AJ$1843,$CG$7:$CG$1843,CG1209,$AN$7:$AN$1843,AN1209,$BX$7:$BX$1843,"&lt;="&amp;BX1209),"")</f>
        <v>29423.6476040438</v>
      </c>
      <c r="AP1209" s="70" t="n">
        <f aca="false">IF(AO1209="",0,MAX(0,MIN(1,(IF(CG1209="L1",Parameter!$H$5,IF(CG1209="L23",Parameter!$H$6+Parameter!$H$7,Parameter!$H$5+Parameter!$H$6+Parameter!$H$7))-(AO1209-AJ1209))/AJ1209)))</f>
        <v>1</v>
      </c>
      <c r="AQ1209" s="62" t="n">
        <f aca="false">IF(LEFT(Cockpit!$I$5,1)="A",H1209,IF(Parameter!$E$30="MAX-Bestand",IF(CI1209=1,CJ1209,IF(LEFT(Cockpit!$I$5,1)="B",AW1209,MAX(AW1209,H1209))),ROUNDUP(AU1209,0)))</f>
        <v>7</v>
      </c>
      <c r="AR1209" s="62" t="n">
        <f aca="false">IF(CA1209=1,0,ROUNDUP(AQ1209/BZ1209,0))</f>
        <v>1</v>
      </c>
      <c r="AS1209" s="64" t="n">
        <f aca="false">IF(CR1209&gt;0,CR1209*MAX(1,AQ1209/X1209),IF(CA1209=1,IF(AQ1209&lt;=0,0,CE1209*MAX(1,IF(H1209&gt;0,AQ1209/H1209,1))),IF(R1209&gt;0,AR1209/R1209,0))/MAX(0.1,N(Parameter!$M$21)))</f>
        <v>0.0192307692307692</v>
      </c>
      <c r="AT1209" s="62" t="n">
        <f aca="false">AS1209*CC1209</f>
        <v>2.98076923076923</v>
      </c>
      <c r="AU1209" s="63" t="n">
        <f aca="false">IF(LEFT(Cockpit!$I$5,1)="A",H1209,IF(CI1209=1,(CL1209+CJ1209)/2,IF(LEFT(Cockpit!$I$5,1)="B",(CL1209+AW1209)/2,MAX((CL1209+AW1209)/2,H1209))))</f>
        <v>7</v>
      </c>
      <c r="AV1209" s="62" t="n">
        <f aca="false">AU1209*G1209</f>
        <v>3637.13</v>
      </c>
      <c r="AW1209" s="62" t="n">
        <f aca="false">ROUNDUP(CL1209+MAX(CM1209,2*(J1209/IF(CH1209&gt;0,CH1209,MAX(0.1,N(Cockpit!$I$6)))-CL1209)),0)</f>
        <v>1</v>
      </c>
      <c r="AX1209" s="63" t="n">
        <f aca="false">IF(AT1209&gt;0,J1209/AT1209,-1)</f>
        <v>0</v>
      </c>
      <c r="AY1209" s="63" t="n">
        <f aca="false">IF(AND(OR(CG1209="L1",CG1209="L23",CG1209="LIFT"),AT1209&gt;0),SUMIFS($AT$7:$AT$1843,$CG$7:$CG$1843,CG1209,$AX$7:$AX$1843,"&gt;"&amp;AX1209)+SUMIFS($AT$7:$AT$1843,$CG$7:$CG$1843,CG1209,$AX$7:$AX$1843,AX1209,$BX$7:$BX$1843,"&lt;="&amp;BX1209),"")</f>
        <v>35229.4812271062</v>
      </c>
      <c r="AZ1209" s="70" t="n">
        <f aca="false">IF(AY1209="",0,MAX(0,MIN(1,(IF(CG1209="L1",Parameter!$H$5,IF(CG1209="L23",Parameter!$H$6+Parameter!$H$7,Parameter!$H$5+Parameter!$H$6+Parameter!$H$7))-(AY1209-AT1209))/AT1209)))</f>
        <v>1</v>
      </c>
      <c r="BA1209" s="62" t="n">
        <f aca="false">IF(LEFT(Cockpit!$O$5,1)="A",H1209,IF(Parameter!$E$30="MAX-Bestand",IF(CI1209=1,CJ1209,IF(LEFT(Cockpit!$O$5,1)="B",BG1209,MAX(BG1209,H1209))),ROUNDUP(BE1209,0)))</f>
        <v>1</v>
      </c>
      <c r="BB1209" s="62" t="n">
        <f aca="false">IF(CA1209=1,0,ROUNDUP(BA1209/BZ1209,0))</f>
        <v>1</v>
      </c>
      <c r="BC1209" s="64" t="n">
        <f aca="false">IF(CR1209&gt;0,CR1209*MAX(1,BA1209/X1209),IF(CA1209=1,IF(BA1209&lt;=0,0,CE1209*MAX(1,IF(H1209&gt;0,BA1209/H1209,1))),IF(R1209&gt;0,BB1209/R1209,0))/MAX(0.1,N(Parameter!$M$21)))</f>
        <v>0.0192307692307692</v>
      </c>
      <c r="BD1209" s="62" t="n">
        <f aca="false">BC1209*CC1209</f>
        <v>2.98076923076923</v>
      </c>
      <c r="BE1209" s="63" t="n">
        <f aca="false">IF(LEFT(Cockpit!$O$5,1)="A",H1209,IF(CI1209=1,(CL1209+CJ1209)/2,IF(LEFT(Cockpit!$O$5,1)="B",(CL1209+BG1209)/2,MAX((CL1209+BG1209)/2,H1209))))</f>
        <v>0.5</v>
      </c>
      <c r="BF1209" s="62" t="n">
        <f aca="false">BE1209*G1209</f>
        <v>259.795</v>
      </c>
      <c r="BG1209" s="62" t="n">
        <f aca="false">ROUNDUP(CL1209+MAX(CM1209,2*(J1209/IF(CH1209&gt;0,CH1209,MAX(0.1,N(Cockpit!$O$6)))-CL1209)),0)</f>
        <v>1</v>
      </c>
      <c r="BH1209" s="63" t="n">
        <f aca="false">IF(BD1209&gt;0,J1209/BD1209,-1)</f>
        <v>0</v>
      </c>
      <c r="BI1209" s="63" t="n">
        <f aca="false">IF(AND(OR(CG1209="L1",CG1209="L23",CG1209="LIFT"),BD1209&gt;0),SUMIFS($BD$7:$BD$1843,$CG$7:$CG$1843,CG1209,$BH$7:$BH$1843,"&gt;"&amp;BH1209)+SUMIFS($BD$7:$BD$1843,$CG$7:$CG$1843,CG1209,$BH$7:$BH$1843,BH1209,$BX$7:$BX$1843,"&lt;="&amp;BX1209),"")</f>
        <v>29214.787887254</v>
      </c>
      <c r="BJ1209" s="70" t="n">
        <f aca="false">IF(BI1209="",0,MAX(0,MIN(1,(IF(CG1209="L1",Parameter!$H$5,IF(CG1209="L23",Parameter!$H$6+Parameter!$H$7,Parameter!$H$5+Parameter!$H$6+Parameter!$H$7))-(BI1209-BD1209))/BD1209)))</f>
        <v>1</v>
      </c>
      <c r="BK1209" s="60" t="str">
        <f aca="false">IF(AJ1209&lt;=0,"",IF(CG1209="Aussen","Aussenlager",IF(CG1209="-","Nicht im Lift",IF(AP1209&gt;=1,"Lift",IF(AP1209&lt;=0,"Aussenlager","teilweise")))))</f>
        <v>Lift</v>
      </c>
      <c r="BL1209" s="60" t="str">
        <f aca="false">IF(AT1209&lt;=0,"",IF(CG1209="Aussen","Aussenlager",IF(CG1209="-","Nicht im Lift",IF(AZ1209&gt;=1,"Lift",IF(AZ1209&lt;=0,"Aussenlager","teilweise")))))</f>
        <v>Lift</v>
      </c>
      <c r="BM1209" s="60" t="str">
        <f aca="false">IF(BD1209&lt;=0,"",IF(CG1209="Aussen","Aussenlager",IF(CG1209="-","Nicht im Lift",IF(BJ1209&gt;=1,"Lift",IF(BJ1209&lt;=0,"Aussenlager","teilweise")))))</f>
        <v>Lift</v>
      </c>
      <c r="BN1209" s="60" t="str">
        <f aca="false">IF(A1209="","",IF(BW1209=1,"Neu; ","")&amp;IF(AND(BW1209=0,BR1209&lt;0),"negativer Bestand (Export "&amp;BR1209&amp;"); ","")&amp;IF(J1209&lt;=0,"Kein Verbrauch; ","")&amp;IF(CR1209&gt;0,"Lift "&amp;W1209&amp;" lt. Liftbericht (Fach "&amp;X1209&amp;" Stk); ",IF(CB1209=1,"Gebinde geschätzt ("&amp;T1209&amp;"); ",IF(CA1209=1,"Lose – Tablare geschätzt; ","")))&amp;IF(H1209&gt;AW1209,"Überbestand "&amp;ROUND(H1209-AW1209,0)&amp;" Stk / CHF "&amp;ROUND((H1209-AW1209)*G1209,0)&amp;"; ","")&amp;IF(AND(CI1209=1,CJ1209&lt;CK1209),"MAX &lt; MB+LG; ","")&amp;IF(AND(CQ1209&gt;0,CP1209*10&gt;CQ1209),"zu hoch für Tablar; ","")&amp;IF(AND(BW1209=0,OR(CI1209=1,AB1209&lt;&gt;"",U1209&lt;&gt;"",V1209&lt;&gt;"",AC1209&lt;&gt;"")),"manuell übersteuert; ","")&amp;IF(AND(CA1209=0,R1209=0),"Gebinde unbekannt / Stellmass fehlt; ","")&amp;IF(AND(CA1209=0,N(V1209)&lt;=0,N(Q1209)&lt;=0),"Menge pro Gebinde fehlt (Ist = 1 Gebinde); ","")&amp;BV1209)</f>
        <v>negativer Bestand (Export -1); Kein Verbrauch; Überbestand 6 Stk / CHF 3118; </v>
      </c>
      <c r="BO1209" s="60"/>
      <c r="BP1209" s="60"/>
      <c r="BQ1209" s="67"/>
      <c r="BR1209" s="62" t="n">
        <v>-1</v>
      </c>
      <c r="BS1209" s="62" t="n">
        <v>8</v>
      </c>
      <c r="BT1209" s="61" t="n">
        <v>-519.59</v>
      </c>
      <c r="BU1209" s="62" t="n">
        <v>0</v>
      </c>
      <c r="BV1209" s="60"/>
      <c r="BW1209" s="65" t="n">
        <v>0</v>
      </c>
      <c r="BX1209" s="65" t="n">
        <v>1209</v>
      </c>
      <c r="BY1209" s="60" t="str">
        <f aca="false">IF(U1209&lt;&gt;"",UPPER(TRIM(U1209)),IF(CB1209=1,UPPER(VLOOKUP(T1209,Parameter!$I$27:$K$29,2,0)),IF(P1209="","LOSE",P1209)))</f>
        <v>S41</v>
      </c>
      <c r="BZ1209" s="62" t="n">
        <f aca="false">IF(BY1209="LOSE",1,IF(N(V1209)&gt;0,V1209,IF(CB1209=1,MAX(1,N(VLOOKUP(T1209,Parameter!$I$27:$K$29,3,0)),H1209,N(N1209)),IF(N(Q1209)&gt;0,Q1209,MAX(1,H1209)))))</f>
        <v>10</v>
      </c>
      <c r="CA1209" s="65" t="n">
        <f aca="false">IF(BY1209="LOSE",1,0)</f>
        <v>0</v>
      </c>
      <c r="CB1209" s="65" t="n">
        <f aca="false">IF(AND(U1209="",OR(P1209="",P1209="LOSE"),T1209&lt;&gt;"",N(S1209)&lt;=0,ISNUMBER(MATCH(T1209,Parameter!$I$27:$I$29,0))),1,0)</f>
        <v>0</v>
      </c>
      <c r="CC1209" s="65" t="n">
        <f aca="false">IF(CR1209&gt;0,INDEX(Parameter!$H$5:$H$7,W1209)/INDEX(Parameter!$E$5:$E$7,W1209),IF(AND(CA1209=0,N(IFERROR(VLOOKUP(BY1209,'Gebinde-Kategorie'!$A$5:$N$45,14,0),0))&gt;0),VLOOKUP(BY1209,'Gebinde-Kategorie'!$A$5:$N$45,14,0)*10+Parameter!$M$23,Parameter!$M$24))</f>
        <v>155</v>
      </c>
      <c r="CD1209" s="60" t="str">
        <f aca="false">IF(AND(Parameter!$B$19="Ja",E1209&lt;&gt;"",ISNUMBER(MATCH(E1209,Parameter!$I$35:$I$52,0))),VLOOKUP(E1209,Parameter!$I$35:$J$52,2,0),IFERROR(VLOOKUP(D1209,Parameter!$A$35:$C$64,2,0),"Nein"))</f>
        <v>2+3</v>
      </c>
      <c r="CE1209" s="64" t="n">
        <f aca="false">IF(CA1209=0,0,IF(N(S1209)&gt;0,S1209,IFERROR(VLOOKUP(D1209,Parameter!$A$35:$C$64,3,0)+0,0)))</f>
        <v>0</v>
      </c>
      <c r="CF1209" s="60" t="n">
        <f aca="false">IF(AB1209&lt;&gt;"",AB1209,AA1209)</f>
        <v>1</v>
      </c>
      <c r="CG1209" s="60" t="str">
        <f aca="false">IF(OR(CF1209=1,CF1209=2,CF1209=3),IF(Parameter!$E$27="Ja","LIFT",IF(CF1209=1,"L1","L23")),IF(CF1209="Aussen","Aussen","-"))</f>
        <v>LIFT</v>
      </c>
      <c r="CH1209" s="71" t="n">
        <f aca="false">IF(N(AC1209)&gt;0,AC1209,0)</f>
        <v>0</v>
      </c>
      <c r="CI1209" s="65" t="n">
        <f aca="false">IF(ISNUMBER(AF1209),1,0)</f>
        <v>0</v>
      </c>
      <c r="CJ1209" s="62" t="n">
        <f aca="false">N(AF1209)</f>
        <v>0</v>
      </c>
      <c r="CK1209" s="62" t="n">
        <f aca="false">N(M1209)+N(N1209)</f>
        <v>1</v>
      </c>
      <c r="CL1209" s="62" t="n">
        <f aca="false">N(M1209)</f>
        <v>0</v>
      </c>
      <c r="CM1209" s="62" t="n">
        <f aca="false">N(N1209)</f>
        <v>1</v>
      </c>
      <c r="CN1209" s="62" t="n">
        <f aca="false">ROUNDUP(H1209/BZ1209,0)</f>
        <v>1</v>
      </c>
      <c r="CO1209" s="62" t="n">
        <f aca="false">ROUNDUP(CJ1209/BZ1209,0)</f>
        <v>0</v>
      </c>
      <c r="CP1209" s="65" t="n">
        <f aca="false">IF(CA1209=1,0,IFERROR(VLOOKUP(BY1209,'Gebinde-Kategorie'!$A$5:$N$45,5,0)+0,0))</f>
        <v>11</v>
      </c>
      <c r="CQ1209" s="65" t="n">
        <f aca="false">IFERROR(IF(OR(CF1209=1,CF1209=2,CF1209=3),N(INDEX(Parameter!$I$5:$I$7,CF1209)),0),0)</f>
        <v>0</v>
      </c>
      <c r="CR1209" s="64" t="n">
        <f aca="false">IF(AND(Parameter!$B$21="Ja",ISNUMBER(W1209),N(X1209)&gt;0),IFERROR(N(INDEX(Parameter!$L$5:$L$7,W1209))*INDEX(Parameter!$E$5:$E$7,W1209)*X1209/SUMIFS($X$7:$X$1843,$W$7:$W$1843,W1209),0),0)</f>
        <v>0</v>
      </c>
      <c r="CS1209" s="62" t="n">
        <f aca="false">IF(AND(OR(CG1209="L1",CG1209="L23",CG1209="LIFT"),H1209&gt;0),CC1209*IF(CR1209&gt;0,CR1209*MAX(1,H1209/X1209),IF(CA1209=1,CE1209,IF(R1209&gt;0,CN1209/R1209,0))/MAX(0.1,N(Parameter!$M$21))),"")</f>
        <v>2.98076923076923</v>
      </c>
      <c r="CT1209" s="64" t="n">
        <f aca="false">IF(CS1209="","",J1209/H1209)</f>
        <v>0</v>
      </c>
      <c r="CU1209" s="62" t="n">
        <f aca="false">IF(CS1209="","",H1209*G1209)</f>
        <v>3637.13</v>
      </c>
      <c r="CV1209" s="63" t="n">
        <f aca="false">IF(CS1209="","",(CL1209+ROUNDUP(CL1209+MAX(CM1209,2*(J1209/MAX(0.1,N(Einkauf!$C$6))-CL1209)),0))/2)</f>
        <v>0.5</v>
      </c>
      <c r="CW1209" s="62" t="n">
        <f aca="false">IF(CS1209="","",MAX(0,H1209-CV1209)*G1209)</f>
        <v>3377.335</v>
      </c>
      <c r="CX1209" s="62" t="n">
        <f aca="false">IF(CS1209="","",CS1209*MAX(0,1-CV1209/H1209))</f>
        <v>2.76785714285714</v>
      </c>
      <c r="CY1209" s="64" t="n">
        <f aca="false">IF(CS1209="","",PERCENTRANK($CS$7:$CS$1843,CS1209)+PERCENTRANK($CU$7:$CU$1843,CU1209)+1-PERCENTRANK($CT$7:$CT$1843,CT1209))</f>
        <v>2.076</v>
      </c>
      <c r="CZ1209" s="72" t="n">
        <f aca="false">IF(CS1209="","",CHOOSE(MATCH(Einkauf!$C$5,Parameter!$G$23:$G$27,0),CY1209,CS1209,CU1209,-CT1209,CW1209)+ROW()/1000000000)</f>
        <v>2.076001209</v>
      </c>
    </row>
    <row r="1210" customFormat="false" ht="15" hidden="false" customHeight="false" outlineLevel="0" collapsed="false">
      <c r="A1210" s="60" t="s">
        <v>2215</v>
      </c>
      <c r="B1210" s="60" t="s">
        <v>2042</v>
      </c>
      <c r="C1210" s="60" t="s">
        <v>206</v>
      </c>
      <c r="D1210" s="60" t="s">
        <v>215</v>
      </c>
      <c r="E1210" s="60"/>
      <c r="F1210" s="60" t="s">
        <v>260</v>
      </c>
      <c r="G1210" s="61" t="n">
        <v>206.49</v>
      </c>
      <c r="H1210" s="62" t="n">
        <f aca="false">MAX(0,IF(AND(Parameter!$B$21="Ja",ISNUMBER(Y1210)),Y1210,IF(Parameter!$B$20="Jahresanfang 2025 + Export",BS1210+BR1210,BR1210)))</f>
        <v>5</v>
      </c>
      <c r="I1210" s="62" t="n">
        <f aca="false">H1210*G1210</f>
        <v>1032.45</v>
      </c>
      <c r="J1210" s="62" t="n">
        <f aca="false">BU1210*Parameter!$B$18</f>
        <v>18</v>
      </c>
      <c r="K1210" s="63" t="n">
        <v>14</v>
      </c>
      <c r="L1210" s="64" t="n">
        <v>1.28571428571429</v>
      </c>
      <c r="M1210" s="62" t="n">
        <v>2</v>
      </c>
      <c r="N1210" s="62" t="n">
        <v>15</v>
      </c>
      <c r="O1210" s="65" t="n">
        <v>28</v>
      </c>
      <c r="P1210" s="60" t="s">
        <v>216</v>
      </c>
      <c r="Q1210" s="62" t="n">
        <v>15</v>
      </c>
      <c r="R1210" s="65" t="n">
        <f aca="false">IF(CA1210=1,0,IFERROR(VLOOKUP(BY1210,'Gebinde-Kategorie'!$A$5:$N$45,13,0)+0,0))</f>
        <v>6</v>
      </c>
      <c r="S1210" s="66"/>
      <c r="T1210" s="67"/>
      <c r="U1210" s="67"/>
      <c r="V1210" s="67"/>
      <c r="W1210" s="60"/>
      <c r="X1210" s="62"/>
      <c r="Y1210" s="62"/>
      <c r="Z1210" s="60" t="n">
        <v>2</v>
      </c>
      <c r="AA1210" s="60" t="n">
        <f aca="false">IF(A1210="","",IF(AND(Parameter!$B$21="Ja",ISNUMBER(W1210)),W1210,IF(AND(Parameter!$E$27="Ja",ISNUMBER(Z1210),CD1210&lt;&gt;"Nein"),Z1210,IF(CD1210="2+3",IF(ISNUMBER(SEARCH("grosser Artikel",BV1210)),2,IFERROR(VLOOKUP(BY1210,Parameter!$F$35:$G$64,2,0),2)),IF(OR(CD1210="Nein",CD1210=""),"-",CD1210)))))</f>
        <v>2</v>
      </c>
      <c r="AB1210" s="67"/>
      <c r="AC1210" s="68"/>
      <c r="AD1210" s="62" t="n">
        <f aca="false">AW1210</f>
        <v>17</v>
      </c>
      <c r="AE1210" s="62" t="n">
        <f aca="false">MAX(AW1210,H1210)</f>
        <v>17</v>
      </c>
      <c r="AF1210" s="69"/>
      <c r="AG1210" s="62" t="n">
        <f aca="false">IF(LEFT(Cockpit!$C$5,1)="A",H1210,IF(Parameter!$E$30="MAX-Bestand",IF(CI1210=1,CJ1210,IF(LEFT(Cockpit!$C$5,1)="B",AM1210,MAX(AM1210,H1210))),ROUNDUP(AK1210,0)))</f>
        <v>5</v>
      </c>
      <c r="AH1210" s="62" t="n">
        <f aca="false">IF(CA1210=1,0,ROUNDUP(AG1210/BZ1210,0))</f>
        <v>1</v>
      </c>
      <c r="AI1210" s="64" t="n">
        <f aca="false">IF(CR1210&gt;0,CR1210*MAX(1,AG1210/X1210),IF(CA1210=1,IF(AG1210&lt;=0,0,CE1210*MAX(1,IF(H1210&gt;0,AG1210/H1210,1))),IF(R1210&gt;0,AH1210/R1210,0))/MAX(0.1,N(Parameter!$M$21)))</f>
        <v>0.166666666666667</v>
      </c>
      <c r="AJ1210" s="62" t="n">
        <f aca="false">AI1210*CC1210</f>
        <v>39.1666666666667</v>
      </c>
      <c r="AK1210" s="63" t="n">
        <f aca="false">IF(LEFT(Cockpit!$C$5,1)="A",H1210,IF(CI1210=1,(CL1210+CJ1210)/2,IF(LEFT(Cockpit!$C$5,1)="B",(CL1210+AM1210)/2,MAX((CL1210+AM1210)/2,H1210))))</f>
        <v>5</v>
      </c>
      <c r="AL1210" s="62" t="n">
        <f aca="false">AK1210*G1210</f>
        <v>1032.45</v>
      </c>
      <c r="AM1210" s="62" t="n">
        <f aca="false">ROUNDUP(CL1210+MAX(CM1210,2*(J1210/IF(CH1210&gt;0,CH1210,MAX(0.1,N(Cockpit!$C$6)))-CL1210)),0)</f>
        <v>17</v>
      </c>
      <c r="AN1210" s="63" t="n">
        <f aca="false">IF(AJ1210&gt;0,J1210/AJ1210,-1)</f>
        <v>0.459574468085106</v>
      </c>
      <c r="AO1210" s="63" t="n">
        <f aca="false">IF(AND(OR(CG1210="L1",CG1210="L23",CG1210="LIFT"),AJ1210&gt;0),SUMIFS($AJ$7:$AJ$1843,$CG$7:$CG$1843,CG1210,$AN$7:$AN$1843,"&gt;"&amp;AN1210)+SUMIFS($AJ$7:$AJ$1843,$CG$7:$CG$1843,CG1210,$AN$7:$AN$1843,AN1210,$BX$7:$BX$1843,"&lt;="&amp;BX1210),"")</f>
        <v>9817.67716934666</v>
      </c>
      <c r="AP1210" s="70" t="n">
        <f aca="false">IF(AO1210="",0,MAX(0,MIN(1,(IF(CG1210="L1",Parameter!$H$5,IF(CG1210="L23",Parameter!$H$6+Parameter!$H$7,Parameter!$H$5+Parameter!$H$6+Parameter!$H$7))-(AO1210-AJ1210))/AJ1210)))</f>
        <v>1</v>
      </c>
      <c r="AQ1210" s="62" t="n">
        <f aca="false">IF(LEFT(Cockpit!$I$5,1)="A",H1210,IF(Parameter!$E$30="MAX-Bestand",IF(CI1210=1,CJ1210,IF(LEFT(Cockpit!$I$5,1)="B",AW1210,MAX(AW1210,H1210))),ROUNDUP(AU1210,0)))</f>
        <v>10</v>
      </c>
      <c r="AR1210" s="62" t="n">
        <f aca="false">IF(CA1210=1,0,ROUNDUP(AQ1210/BZ1210,0))</f>
        <v>1</v>
      </c>
      <c r="AS1210" s="64" t="n">
        <f aca="false">IF(CR1210&gt;0,CR1210*MAX(1,AQ1210/X1210),IF(CA1210=1,IF(AQ1210&lt;=0,0,CE1210*MAX(1,IF(H1210&gt;0,AQ1210/H1210,1))),IF(R1210&gt;0,AR1210/R1210,0))/MAX(0.1,N(Parameter!$M$21)))</f>
        <v>0.166666666666667</v>
      </c>
      <c r="AT1210" s="62" t="n">
        <f aca="false">AS1210*CC1210</f>
        <v>39.1666666666667</v>
      </c>
      <c r="AU1210" s="63" t="n">
        <f aca="false">IF(LEFT(Cockpit!$I$5,1)="A",H1210,IF(CI1210=1,(CL1210+CJ1210)/2,IF(LEFT(Cockpit!$I$5,1)="B",(CL1210+AW1210)/2,MAX((CL1210+AW1210)/2,H1210))))</f>
        <v>9.5</v>
      </c>
      <c r="AV1210" s="62" t="n">
        <f aca="false">AU1210*G1210</f>
        <v>1961.655</v>
      </c>
      <c r="AW1210" s="62" t="n">
        <f aca="false">ROUNDUP(CL1210+MAX(CM1210,2*(J1210/IF(CH1210&gt;0,CH1210,MAX(0.1,N(Cockpit!$I$6)))-CL1210)),0)</f>
        <v>17</v>
      </c>
      <c r="AX1210" s="63" t="n">
        <f aca="false">IF(AT1210&gt;0,J1210/AT1210,-1)</f>
        <v>0.459574468085106</v>
      </c>
      <c r="AY1210" s="63" t="n">
        <f aca="false">IF(AND(OR(CG1210="L1",CG1210="L23",CG1210="LIFT"),AT1210&gt;0),SUMIFS($AT$7:$AT$1843,$CG$7:$CG$1843,CG1210,$AX$7:$AX$1843,"&gt;"&amp;AX1210)+SUMIFS($AT$7:$AT$1843,$CG$7:$CG$1843,CG1210,$AX$7:$AX$1843,AX1210,$BX$7:$BX$1843,"&lt;="&amp;BX1210),"")</f>
        <v>12231.5137362637</v>
      </c>
      <c r="AZ1210" s="70" t="n">
        <f aca="false">IF(AY1210="",0,MAX(0,MIN(1,(IF(CG1210="L1",Parameter!$H$5,IF(CG1210="L23",Parameter!$H$6+Parameter!$H$7,Parameter!$H$5+Parameter!$H$6+Parameter!$H$7))-(AY1210-AT1210))/AT1210)))</f>
        <v>1</v>
      </c>
      <c r="BA1210" s="62" t="n">
        <f aca="false">IF(LEFT(Cockpit!$O$5,1)="A",H1210,IF(Parameter!$E$30="MAX-Bestand",IF(CI1210=1,CJ1210,IF(LEFT(Cockpit!$O$5,1)="B",BG1210,MAX(BG1210,H1210))),ROUNDUP(BE1210,0)))</f>
        <v>10</v>
      </c>
      <c r="BB1210" s="62" t="n">
        <f aca="false">IF(CA1210=1,0,ROUNDUP(BA1210/BZ1210,0))</f>
        <v>1</v>
      </c>
      <c r="BC1210" s="64" t="n">
        <f aca="false">IF(CR1210&gt;0,CR1210*MAX(1,BA1210/X1210),IF(CA1210=1,IF(BA1210&lt;=0,0,CE1210*MAX(1,IF(H1210&gt;0,BA1210/H1210,1))),IF(R1210&gt;0,BB1210/R1210,0))/MAX(0.1,N(Parameter!$M$21)))</f>
        <v>0.166666666666667</v>
      </c>
      <c r="BD1210" s="62" t="n">
        <f aca="false">BC1210*CC1210</f>
        <v>39.1666666666667</v>
      </c>
      <c r="BE1210" s="63" t="n">
        <f aca="false">IF(LEFT(Cockpit!$O$5,1)="A",H1210,IF(CI1210=1,(CL1210+CJ1210)/2,IF(LEFT(Cockpit!$O$5,1)="B",(CL1210+BG1210)/2,MAX((CL1210+BG1210)/2,H1210))))</f>
        <v>9.5</v>
      </c>
      <c r="BF1210" s="62" t="n">
        <f aca="false">BE1210*G1210</f>
        <v>1961.655</v>
      </c>
      <c r="BG1210" s="62" t="n">
        <f aca="false">ROUNDUP(CL1210+MAX(CM1210,2*(J1210/IF(CH1210&gt;0,CH1210,MAX(0.1,N(Cockpit!$O$6)))-CL1210)),0)</f>
        <v>17</v>
      </c>
      <c r="BH1210" s="63" t="n">
        <f aca="false">IF(BD1210&gt;0,J1210/BD1210,-1)</f>
        <v>0.459574468085106</v>
      </c>
      <c r="BI1210" s="63" t="n">
        <f aca="false">IF(AND(OR(CG1210="L1",CG1210="L23",CG1210="LIFT"),BD1210&gt;0),SUMIFS($BD$7:$BD$1843,$CG$7:$CG$1843,CG1210,$BH$7:$BH$1843,"&gt;"&amp;BH1210)+SUMIFS($BD$7:$BD$1843,$CG$7:$CG$1843,CG1210,$BH$7:$BH$1843,BH1210,$BX$7:$BX$1843,"&lt;="&amp;BX1210),"")</f>
        <v>10537.4299450549</v>
      </c>
      <c r="BJ1210" s="70" t="n">
        <f aca="false">IF(BI1210="",0,MAX(0,MIN(1,(IF(CG1210="L1",Parameter!$H$5,IF(CG1210="L23",Parameter!$H$6+Parameter!$H$7,Parameter!$H$5+Parameter!$H$6+Parameter!$H$7))-(BI1210-BD1210))/BD1210)))</f>
        <v>1</v>
      </c>
      <c r="BK1210" s="60" t="str">
        <f aca="false">IF(AJ1210&lt;=0,"",IF(CG1210="Aussen","Aussenlager",IF(CG1210="-","Nicht im Lift",IF(AP1210&gt;=1,"Lift",IF(AP1210&lt;=0,"Aussenlager","teilweise")))))</f>
        <v>Lift</v>
      </c>
      <c r="BL1210" s="60" t="str">
        <f aca="false">IF(AT1210&lt;=0,"",IF(CG1210="Aussen","Aussenlager",IF(CG1210="-","Nicht im Lift",IF(AZ1210&gt;=1,"Lift",IF(AZ1210&lt;=0,"Aussenlager","teilweise")))))</f>
        <v>Lift</v>
      </c>
      <c r="BM1210" s="60" t="str">
        <f aca="false">IF(BD1210&lt;=0,"",IF(CG1210="Aussen","Aussenlager",IF(CG1210="-","Nicht im Lift",IF(BJ1210&gt;=1,"Lift",IF(BJ1210&lt;=0,"Aussenlager","teilweise")))))</f>
        <v>Lift</v>
      </c>
      <c r="BN1210" s="60" t="str">
        <f aca="false">IF(A1210="","",IF(BW1210=1,"Neu; ","")&amp;IF(AND(BW1210=0,BR1210&lt;0),"negativer Bestand (Export "&amp;BR1210&amp;"); ","")&amp;IF(J1210&lt;=0,"Kein Verbrauch; ","")&amp;IF(CR1210&gt;0,"Lift "&amp;W1210&amp;" lt. Liftbericht (Fach "&amp;X1210&amp;" Stk); ",IF(CB1210=1,"Gebinde geschätzt ("&amp;T1210&amp;"); ",IF(CA1210=1,"Lose – Tablare geschätzt; ","")))&amp;IF(H1210&gt;AW1210,"Überbestand "&amp;ROUND(H1210-AW1210,0)&amp;" Stk / CHF "&amp;ROUND((H1210-AW1210)*G1210,0)&amp;"; ","")&amp;IF(AND(CI1210=1,CJ1210&lt;CK1210),"MAX &lt; MB+LG; ","")&amp;IF(AND(CQ1210&gt;0,CP1210*10&gt;CQ1210),"zu hoch für Tablar; ","")&amp;IF(AND(BW1210=0,OR(CI1210=1,AB1210&lt;&gt;"",U1210&lt;&gt;"",V1210&lt;&gt;"",AC1210&lt;&gt;"")),"manuell übersteuert; ","")&amp;IF(AND(CA1210=0,R1210=0),"Gebinde unbekannt / Stellmass fehlt; ","")&amp;IF(AND(CA1210=0,N(V1210)&lt;=0,N(Q1210)&lt;=0),"Menge pro Gebinde fehlt (Ist = 1 Gebinde); ","")&amp;BV1210)</f>
        <v>negativer Bestand (Export -3); </v>
      </c>
      <c r="BO1210" s="60"/>
      <c r="BP1210" s="60"/>
      <c r="BQ1210" s="67"/>
      <c r="BR1210" s="62" t="n">
        <v>-3</v>
      </c>
      <c r="BS1210" s="62" t="n">
        <v>8</v>
      </c>
      <c r="BT1210" s="61" t="n">
        <v>-527.629999999999</v>
      </c>
      <c r="BU1210" s="62" t="n">
        <v>18</v>
      </c>
      <c r="BV1210" s="60"/>
      <c r="BW1210" s="65" t="n">
        <v>0</v>
      </c>
      <c r="BX1210" s="65" t="n">
        <v>1210</v>
      </c>
      <c r="BY1210" s="60" t="str">
        <f aca="false">IF(U1210&lt;&gt;"",UPPER(TRIM(U1210)),IF(CB1210=1,UPPER(VLOOKUP(T1210,Parameter!$I$27:$K$29,2,0)),IF(P1210="","LOSE",P1210)))</f>
        <v>S71</v>
      </c>
      <c r="BZ1210" s="62" t="n">
        <f aca="false">IF(BY1210="LOSE",1,IF(N(V1210)&gt;0,V1210,IF(CB1210=1,MAX(1,N(VLOOKUP(T1210,Parameter!$I$27:$K$29,3,0)),H1210,N(N1210)),IF(N(Q1210)&gt;0,Q1210,MAX(1,H1210)))))</f>
        <v>15</v>
      </c>
      <c r="CA1210" s="65" t="n">
        <f aca="false">IF(BY1210="LOSE",1,0)</f>
        <v>0</v>
      </c>
      <c r="CB1210" s="65" t="n">
        <f aca="false">IF(AND(U1210="",OR(P1210="",P1210="LOSE"),T1210&lt;&gt;"",N(S1210)&lt;=0,ISNUMBER(MATCH(T1210,Parameter!$I$27:$I$29,0))),1,0)</f>
        <v>0</v>
      </c>
      <c r="CC1210" s="65" t="n">
        <f aca="false">IF(CR1210&gt;0,INDEX(Parameter!$H$5:$H$7,W1210)/INDEX(Parameter!$E$5:$E$7,W1210),IF(AND(CA1210=0,N(IFERROR(VLOOKUP(BY1210,'Gebinde-Kategorie'!$A$5:$N$45,14,0),0))&gt;0),VLOOKUP(BY1210,'Gebinde-Kategorie'!$A$5:$N$45,14,0)*10+Parameter!$M$23,Parameter!$M$24))</f>
        <v>235</v>
      </c>
      <c r="CD1210" s="60" t="str">
        <f aca="false">IF(AND(Parameter!$B$19="Ja",E1210&lt;&gt;"",ISNUMBER(MATCH(E1210,Parameter!$I$35:$I$52,0))),VLOOKUP(E1210,Parameter!$I$35:$J$52,2,0),IFERROR(VLOOKUP(D1210,Parameter!$A$35:$C$64,2,0),"Nein"))</f>
        <v>2+3</v>
      </c>
      <c r="CE1210" s="64" t="n">
        <f aca="false">IF(CA1210=0,0,IF(N(S1210)&gt;0,S1210,IFERROR(VLOOKUP(D1210,Parameter!$A$35:$C$64,3,0)+0,0)))</f>
        <v>0</v>
      </c>
      <c r="CF1210" s="60" t="n">
        <f aca="false">IF(AB1210&lt;&gt;"",AB1210,AA1210)</f>
        <v>2</v>
      </c>
      <c r="CG1210" s="60" t="str">
        <f aca="false">IF(OR(CF1210=1,CF1210=2,CF1210=3),IF(Parameter!$E$27="Ja","LIFT",IF(CF1210=1,"L1","L23")),IF(CF1210="Aussen","Aussen","-"))</f>
        <v>LIFT</v>
      </c>
      <c r="CH1210" s="71" t="n">
        <f aca="false">IF(N(AC1210)&gt;0,AC1210,0)</f>
        <v>0</v>
      </c>
      <c r="CI1210" s="65" t="n">
        <f aca="false">IF(ISNUMBER(AF1210),1,0)</f>
        <v>0</v>
      </c>
      <c r="CJ1210" s="62" t="n">
        <f aca="false">N(AF1210)</f>
        <v>0</v>
      </c>
      <c r="CK1210" s="62" t="n">
        <f aca="false">N(M1210)+N(N1210)</f>
        <v>17</v>
      </c>
      <c r="CL1210" s="62" t="n">
        <f aca="false">N(M1210)</f>
        <v>2</v>
      </c>
      <c r="CM1210" s="62" t="n">
        <f aca="false">N(N1210)</f>
        <v>15</v>
      </c>
      <c r="CN1210" s="62" t="n">
        <f aca="false">ROUNDUP(H1210/BZ1210,0)</f>
        <v>1</v>
      </c>
      <c r="CO1210" s="62" t="n">
        <f aca="false">ROUNDUP(CJ1210/BZ1210,0)</f>
        <v>0</v>
      </c>
      <c r="CP1210" s="65" t="n">
        <f aca="false">IF(CA1210=1,0,IFERROR(VLOOKUP(BY1210,'Gebinde-Kategorie'!$A$5:$N$45,5,0)+0,0))</f>
        <v>20</v>
      </c>
      <c r="CQ1210" s="65" t="n">
        <f aca="false">IFERROR(IF(OR(CF1210=1,CF1210=2,CF1210=3),N(INDEX(Parameter!$I$5:$I$7,CF1210)),0),0)</f>
        <v>0</v>
      </c>
      <c r="CR1210" s="64" t="n">
        <f aca="false">IF(AND(Parameter!$B$21="Ja",ISNUMBER(W1210),N(X1210)&gt;0),IFERROR(N(INDEX(Parameter!$L$5:$L$7,W1210))*INDEX(Parameter!$E$5:$E$7,W1210)*X1210/SUMIFS($X$7:$X$1843,$W$7:$W$1843,W1210),0),0)</f>
        <v>0</v>
      </c>
      <c r="CS1210" s="62" t="n">
        <f aca="false">IF(AND(OR(CG1210="L1",CG1210="L23",CG1210="LIFT"),H1210&gt;0),CC1210*IF(CR1210&gt;0,CR1210*MAX(1,H1210/X1210),IF(CA1210=1,CE1210,IF(R1210&gt;0,CN1210/R1210,0))/MAX(0.1,N(Parameter!$M$21))),"")</f>
        <v>39.1666666666667</v>
      </c>
      <c r="CT1210" s="64" t="n">
        <f aca="false">IF(CS1210="","",J1210/H1210)</f>
        <v>3.6</v>
      </c>
      <c r="CU1210" s="62" t="n">
        <f aca="false">IF(CS1210="","",H1210*G1210)</f>
        <v>1032.45</v>
      </c>
      <c r="CV1210" s="63" t="n">
        <f aca="false">IF(CS1210="","",(CL1210+ROUNDUP(CL1210+MAX(CM1210,2*(J1210/MAX(0.1,N(Einkauf!$C$6))-CL1210)),0))/2)</f>
        <v>9.5</v>
      </c>
      <c r="CW1210" s="62" t="n">
        <f aca="false">IF(CS1210="","",MAX(0,H1210-CV1210)*G1210)</f>
        <v>0</v>
      </c>
      <c r="CX1210" s="62" t="n">
        <f aca="false">IF(CS1210="","",CS1210*MAX(0,1-CV1210/H1210))</f>
        <v>0</v>
      </c>
      <c r="CY1210" s="64" t="n">
        <f aca="false">IF(CS1210="","",PERCENTRANK($CS$7:$CS$1843,CS1210)+PERCENTRANK($CU$7:$CU$1843,CU1210)+1-PERCENTRANK($CT$7:$CT$1843,CT1210))</f>
        <v>1.594</v>
      </c>
      <c r="CZ1210" s="72" t="n">
        <f aca="false">IF(CS1210="","",CHOOSE(MATCH(Einkauf!$C$5,Parameter!$G$23:$G$27,0),CY1210,CS1210,CU1210,-CT1210,CW1210)+ROW()/1000000000)</f>
        <v>1.59400121</v>
      </c>
    </row>
    <row r="1211" customFormat="false" ht="15" hidden="false" customHeight="false" outlineLevel="0" collapsed="false">
      <c r="A1211" s="60" t="s">
        <v>2216</v>
      </c>
      <c r="B1211" s="60" t="s">
        <v>2217</v>
      </c>
      <c r="C1211" s="60" t="s">
        <v>206</v>
      </c>
      <c r="D1211" s="60" t="s">
        <v>226</v>
      </c>
      <c r="E1211" s="60" t="s">
        <v>227</v>
      </c>
      <c r="F1211" s="60" t="s">
        <v>260</v>
      </c>
      <c r="G1211" s="61" t="n">
        <v>48.12</v>
      </c>
      <c r="H1211" s="62" t="n">
        <f aca="false">MAX(0,IF(AND(Parameter!$B$21="Ja",ISNUMBER(Y1211)),Y1211,IF(Parameter!$B$20="Jahresanfang 2025 + Export",BS1211+BR1211,BR1211)))</f>
        <v>34</v>
      </c>
      <c r="I1211" s="62" t="n">
        <f aca="false">H1211*G1211</f>
        <v>1636.08</v>
      </c>
      <c r="J1211" s="62" t="n">
        <f aca="false">BU1211*Parameter!$B$18</f>
        <v>14</v>
      </c>
      <c r="K1211" s="63" t="n">
        <v>40.5</v>
      </c>
      <c r="L1211" s="64" t="n">
        <v>0.345679012345679</v>
      </c>
      <c r="M1211" s="62" t="n">
        <v>1</v>
      </c>
      <c r="N1211" s="62" t="n">
        <v>15</v>
      </c>
      <c r="O1211" s="65" t="n">
        <v>28</v>
      </c>
      <c r="P1211" s="60" t="s">
        <v>275</v>
      </c>
      <c r="Q1211" s="62" t="n">
        <v>38</v>
      </c>
      <c r="R1211" s="65" t="n">
        <f aca="false">IF(CA1211=1,0,IFERROR(VLOOKUP(BY1211,'Gebinde-Kategorie'!$A$5:$N$45,13,0)+0,0))</f>
        <v>26</v>
      </c>
      <c r="S1211" s="66"/>
      <c r="T1211" s="67"/>
      <c r="U1211" s="67"/>
      <c r="V1211" s="67"/>
      <c r="W1211" s="60"/>
      <c r="X1211" s="62"/>
      <c r="Y1211" s="62"/>
      <c r="Z1211" s="60" t="n">
        <v>3</v>
      </c>
      <c r="AA1211" s="60" t="n">
        <f aca="false">IF(A1211="","",IF(AND(Parameter!$B$21="Ja",ISNUMBER(W1211)),W1211,IF(AND(Parameter!$E$27="Ja",ISNUMBER(Z1211),CD1211&lt;&gt;"Nein"),Z1211,IF(CD1211="2+3",IF(ISNUMBER(SEARCH("grosser Artikel",BV1211)),2,IFERROR(VLOOKUP(BY1211,Parameter!$F$35:$G$64,2,0),2)),IF(OR(CD1211="Nein",CD1211=""),"-",CD1211)))))</f>
        <v>3</v>
      </c>
      <c r="AB1211" s="67"/>
      <c r="AC1211" s="68"/>
      <c r="AD1211" s="62" t="n">
        <f aca="false">AW1211</f>
        <v>16</v>
      </c>
      <c r="AE1211" s="62" t="n">
        <f aca="false">MAX(AW1211,H1211)</f>
        <v>34</v>
      </c>
      <c r="AF1211" s="69"/>
      <c r="AG1211" s="62" t="n">
        <f aca="false">IF(LEFT(Cockpit!$C$5,1)="A",H1211,IF(Parameter!$E$30="MAX-Bestand",IF(CI1211=1,CJ1211,IF(LEFT(Cockpit!$C$5,1)="B",AM1211,MAX(AM1211,H1211))),ROUNDUP(AK1211,0)))</f>
        <v>34</v>
      </c>
      <c r="AH1211" s="62" t="n">
        <f aca="false">IF(CA1211=1,0,ROUNDUP(AG1211/BZ1211,0))</f>
        <v>1</v>
      </c>
      <c r="AI1211" s="64" t="n">
        <f aca="false">IF(CR1211&gt;0,CR1211*MAX(1,AG1211/X1211),IF(CA1211=1,IF(AG1211&lt;=0,0,CE1211*MAX(1,IF(H1211&gt;0,AG1211/H1211,1))),IF(R1211&gt;0,AH1211/R1211,0))/MAX(0.1,N(Parameter!$M$21)))</f>
        <v>0.0384615384615385</v>
      </c>
      <c r="AJ1211" s="62" t="n">
        <f aca="false">AI1211*CC1211</f>
        <v>9.42307692307692</v>
      </c>
      <c r="AK1211" s="63" t="n">
        <f aca="false">IF(LEFT(Cockpit!$C$5,1)="A",H1211,IF(CI1211=1,(CL1211+CJ1211)/2,IF(LEFT(Cockpit!$C$5,1)="B",(CL1211+AM1211)/2,MAX((CL1211+AM1211)/2,H1211))))</f>
        <v>34</v>
      </c>
      <c r="AL1211" s="62" t="n">
        <f aca="false">AK1211*G1211</f>
        <v>1636.08</v>
      </c>
      <c r="AM1211" s="62" t="n">
        <f aca="false">ROUNDUP(CL1211+MAX(CM1211,2*(J1211/IF(CH1211&gt;0,CH1211,MAX(0.1,N(Cockpit!$C$6)))-CL1211)),0)</f>
        <v>16</v>
      </c>
      <c r="AN1211" s="63" t="n">
        <f aca="false">IF(AJ1211&gt;0,J1211/AJ1211,-1)</f>
        <v>1.48571428571429</v>
      </c>
      <c r="AO1211" s="63" t="n">
        <f aca="false">IF(AND(OR(CG1211="L1",CG1211="L23",CG1211="LIFT"),AJ1211&gt;0),SUMIFS($AJ$7:$AJ$1843,$CG$7:$CG$1843,CG1211,$AN$7:$AN$1843,"&gt;"&amp;AN1211)+SUMIFS($AJ$7:$AJ$1843,$CG$7:$CG$1843,CG1211,$AN$7:$AN$1843,AN1211,$BX$7:$BX$1843,"&lt;="&amp;BX1211),"")</f>
        <v>6231.2760989011</v>
      </c>
      <c r="AP1211" s="70" t="n">
        <f aca="false">IF(AO1211="",0,MAX(0,MIN(1,(IF(CG1211="L1",Parameter!$H$5,IF(CG1211="L23",Parameter!$H$6+Parameter!$H$7,Parameter!$H$5+Parameter!$H$6+Parameter!$H$7))-(AO1211-AJ1211))/AJ1211)))</f>
        <v>1</v>
      </c>
      <c r="AQ1211" s="62" t="n">
        <f aca="false">IF(LEFT(Cockpit!$I$5,1)="A",H1211,IF(Parameter!$E$30="MAX-Bestand",IF(CI1211=1,CJ1211,IF(LEFT(Cockpit!$I$5,1)="B",AW1211,MAX(AW1211,H1211))),ROUNDUP(AU1211,0)))</f>
        <v>34</v>
      </c>
      <c r="AR1211" s="62" t="n">
        <f aca="false">IF(CA1211=1,0,ROUNDUP(AQ1211/BZ1211,0))</f>
        <v>1</v>
      </c>
      <c r="AS1211" s="64" t="n">
        <f aca="false">IF(CR1211&gt;0,CR1211*MAX(1,AQ1211/X1211),IF(CA1211=1,IF(AQ1211&lt;=0,0,CE1211*MAX(1,IF(H1211&gt;0,AQ1211/H1211,1))),IF(R1211&gt;0,AR1211/R1211,0))/MAX(0.1,N(Parameter!$M$21)))</f>
        <v>0.0384615384615385</v>
      </c>
      <c r="AT1211" s="62" t="n">
        <f aca="false">AS1211*CC1211</f>
        <v>9.42307692307692</v>
      </c>
      <c r="AU1211" s="63" t="n">
        <f aca="false">IF(LEFT(Cockpit!$I$5,1)="A",H1211,IF(CI1211=1,(CL1211+CJ1211)/2,IF(LEFT(Cockpit!$I$5,1)="B",(CL1211+AW1211)/2,MAX((CL1211+AW1211)/2,H1211))))</f>
        <v>34</v>
      </c>
      <c r="AV1211" s="62" t="n">
        <f aca="false">AU1211*G1211</f>
        <v>1636.08</v>
      </c>
      <c r="AW1211" s="62" t="n">
        <f aca="false">ROUNDUP(CL1211+MAX(CM1211,2*(J1211/IF(CH1211&gt;0,CH1211,MAX(0.1,N(Cockpit!$I$6)))-CL1211)),0)</f>
        <v>16</v>
      </c>
      <c r="AX1211" s="63" t="n">
        <f aca="false">IF(AT1211&gt;0,J1211/AT1211,-1)</f>
        <v>1.48571428571429</v>
      </c>
      <c r="AY1211" s="63" t="n">
        <f aca="false">IF(AND(OR(CG1211="L1",CG1211="L23",CG1211="LIFT"),AT1211&gt;0),SUMIFS($AT$7:$AT$1843,$CG$7:$CG$1843,CG1211,$AX$7:$AX$1843,"&gt;"&amp;AX1211)+SUMIFS($AT$7:$AT$1843,$CG$7:$CG$1843,CG1211,$AX$7:$AX$1843,AX1211,$BX$7:$BX$1843,"&lt;="&amp;BX1211),"")</f>
        <v>7749.49816849817</v>
      </c>
      <c r="AZ1211" s="70" t="n">
        <f aca="false">IF(AY1211="",0,MAX(0,MIN(1,(IF(CG1211="L1",Parameter!$H$5,IF(CG1211="L23",Parameter!$H$6+Parameter!$H$7,Parameter!$H$5+Parameter!$H$6+Parameter!$H$7))-(AY1211-AT1211))/AT1211)))</f>
        <v>1</v>
      </c>
      <c r="BA1211" s="62" t="n">
        <f aca="false">IF(LEFT(Cockpit!$O$5,1)="A",H1211,IF(Parameter!$E$30="MAX-Bestand",IF(CI1211=1,CJ1211,IF(LEFT(Cockpit!$O$5,1)="B",BG1211,MAX(BG1211,H1211))),ROUNDUP(BE1211,0)))</f>
        <v>9</v>
      </c>
      <c r="BB1211" s="62" t="n">
        <f aca="false">IF(CA1211=1,0,ROUNDUP(BA1211/BZ1211,0))</f>
        <v>1</v>
      </c>
      <c r="BC1211" s="64" t="n">
        <f aca="false">IF(CR1211&gt;0,CR1211*MAX(1,BA1211/X1211),IF(CA1211=1,IF(BA1211&lt;=0,0,CE1211*MAX(1,IF(H1211&gt;0,BA1211/H1211,1))),IF(R1211&gt;0,BB1211/R1211,0))/MAX(0.1,N(Parameter!$M$21)))</f>
        <v>0.0384615384615385</v>
      </c>
      <c r="BD1211" s="62" t="n">
        <f aca="false">BC1211*CC1211</f>
        <v>9.42307692307692</v>
      </c>
      <c r="BE1211" s="63" t="n">
        <f aca="false">IF(LEFT(Cockpit!$O$5,1)="A",H1211,IF(CI1211=1,(CL1211+CJ1211)/2,IF(LEFT(Cockpit!$O$5,1)="B",(CL1211+BG1211)/2,MAX((CL1211+BG1211)/2,H1211))))</f>
        <v>8.5</v>
      </c>
      <c r="BF1211" s="62" t="n">
        <f aca="false">BE1211*G1211</f>
        <v>409.02</v>
      </c>
      <c r="BG1211" s="62" t="n">
        <f aca="false">ROUNDUP(CL1211+MAX(CM1211,2*(J1211/IF(CH1211&gt;0,CH1211,MAX(0.1,N(Cockpit!$O$6)))-CL1211)),0)</f>
        <v>16</v>
      </c>
      <c r="BH1211" s="63" t="n">
        <f aca="false">IF(BD1211&gt;0,J1211/BD1211,-1)</f>
        <v>1.48571428571429</v>
      </c>
      <c r="BI1211" s="63" t="n">
        <f aca="false">IF(AND(OR(CG1211="L1",CG1211="L23",CG1211="LIFT"),BD1211&gt;0),SUMIFS($BD$7:$BD$1843,$CG$7:$CG$1843,CG1211,$BH$7:$BH$1843,"&gt;"&amp;BH1211)+SUMIFS($BD$7:$BD$1843,$CG$7:$CG$1843,CG1211,$BH$7:$BH$1843,BH1211,$BX$7:$BX$1843,"&lt;="&amp;BX1211),"")</f>
        <v>6562.16254578755</v>
      </c>
      <c r="BJ1211" s="70" t="n">
        <f aca="false">IF(BI1211="",0,MAX(0,MIN(1,(IF(CG1211="L1",Parameter!$H$5,IF(CG1211="L23",Parameter!$H$6+Parameter!$H$7,Parameter!$H$5+Parameter!$H$6+Parameter!$H$7))-(BI1211-BD1211))/BD1211)))</f>
        <v>1</v>
      </c>
      <c r="BK1211" s="60" t="str">
        <f aca="false">IF(AJ1211&lt;=0,"",IF(CG1211="Aussen","Aussenlager",IF(CG1211="-","Nicht im Lift",IF(AP1211&gt;=1,"Lift",IF(AP1211&lt;=0,"Aussenlager","teilweise")))))</f>
        <v>Lift</v>
      </c>
      <c r="BL1211" s="60" t="str">
        <f aca="false">IF(AT1211&lt;=0,"",IF(CG1211="Aussen","Aussenlager",IF(CG1211="-","Nicht im Lift",IF(AZ1211&gt;=1,"Lift",IF(AZ1211&lt;=0,"Aussenlager","teilweise")))))</f>
        <v>Lift</v>
      </c>
      <c r="BM1211" s="60" t="str">
        <f aca="false">IF(BD1211&lt;=0,"",IF(CG1211="Aussen","Aussenlager",IF(CG1211="-","Nicht im Lift",IF(BJ1211&gt;=1,"Lift",IF(BJ1211&lt;=0,"Aussenlager","teilweise")))))</f>
        <v>Lift</v>
      </c>
      <c r="BN1211" s="60" t="str">
        <f aca="false">IF(A1211="","",IF(BW1211=1,"Neu; ","")&amp;IF(AND(BW1211=0,BR1211&lt;0),"negativer Bestand (Export "&amp;BR1211&amp;"); ","")&amp;IF(J1211&lt;=0,"Kein Verbrauch; ","")&amp;IF(CR1211&gt;0,"Lift "&amp;W1211&amp;" lt. Liftbericht (Fach "&amp;X1211&amp;" Stk); ",IF(CB1211=1,"Gebinde geschätzt ("&amp;T1211&amp;"); ",IF(CA1211=1,"Lose – Tablare geschätzt; ","")))&amp;IF(H1211&gt;AW1211,"Überbestand "&amp;ROUND(H1211-AW1211,0)&amp;" Stk / CHF "&amp;ROUND((H1211-AW1211)*G1211,0)&amp;"; ","")&amp;IF(AND(CI1211=1,CJ1211&lt;CK1211),"MAX &lt; MB+LG; ","")&amp;IF(AND(CQ1211&gt;0,CP1211*10&gt;CQ1211),"zu hoch für Tablar; ","")&amp;IF(AND(BW1211=0,OR(CI1211=1,AB1211&lt;&gt;"",U1211&lt;&gt;"",V1211&lt;&gt;"",AC1211&lt;&gt;"")),"manuell übersteuert; ","")&amp;IF(AND(CA1211=0,R1211=0),"Gebinde unbekannt / Stellmass fehlt; ","")&amp;IF(AND(CA1211=0,N(V1211)&lt;=0,N(Q1211)&lt;=0),"Menge pro Gebinde fehlt (Ist = 1 Gebinde); ","")&amp;BV1211)</f>
        <v>negativer Bestand (Export -11); Überbestand 18 Stk / CHF 866; Neu</v>
      </c>
      <c r="BO1211" s="60"/>
      <c r="BP1211" s="60"/>
      <c r="BQ1211" s="67"/>
      <c r="BR1211" s="62" t="n">
        <v>-11</v>
      </c>
      <c r="BS1211" s="62" t="n">
        <v>45</v>
      </c>
      <c r="BT1211" s="61" t="n">
        <v>-529.32</v>
      </c>
      <c r="BU1211" s="62" t="n">
        <v>14</v>
      </c>
      <c r="BV1211" s="60" t="s">
        <v>668</v>
      </c>
      <c r="BW1211" s="65" t="n">
        <v>0</v>
      </c>
      <c r="BX1211" s="65" t="n">
        <v>1211</v>
      </c>
      <c r="BY1211" s="60" t="str">
        <f aca="false">IF(U1211&lt;&gt;"",UPPER(TRIM(U1211)),IF(CB1211=1,UPPER(VLOOKUP(T1211,Parameter!$I$27:$K$29,2,0)),IF(P1211="","LOSE",P1211)))</f>
        <v>S52</v>
      </c>
      <c r="BZ1211" s="62" t="n">
        <f aca="false">IF(BY1211="LOSE",1,IF(N(V1211)&gt;0,V1211,IF(CB1211=1,MAX(1,N(VLOOKUP(T1211,Parameter!$I$27:$K$29,3,0)),H1211,N(N1211)),IF(N(Q1211)&gt;0,Q1211,MAX(1,H1211)))))</f>
        <v>38</v>
      </c>
      <c r="CA1211" s="65" t="n">
        <f aca="false">IF(BY1211="LOSE",1,0)</f>
        <v>0</v>
      </c>
      <c r="CB1211" s="65" t="n">
        <f aca="false">IF(AND(U1211="",OR(P1211="",P1211="LOSE"),T1211&lt;&gt;"",N(S1211)&lt;=0,ISNUMBER(MATCH(T1211,Parameter!$I$27:$I$29,0))),1,0)</f>
        <v>0</v>
      </c>
      <c r="CC1211" s="65" t="n">
        <f aca="false">IF(CR1211&gt;0,INDEX(Parameter!$H$5:$H$7,W1211)/INDEX(Parameter!$E$5:$E$7,W1211),IF(AND(CA1211=0,N(IFERROR(VLOOKUP(BY1211,'Gebinde-Kategorie'!$A$5:$N$45,14,0),0))&gt;0),VLOOKUP(BY1211,'Gebinde-Kategorie'!$A$5:$N$45,14,0)*10+Parameter!$M$23,Parameter!$M$24))</f>
        <v>245</v>
      </c>
      <c r="CD1211" s="60" t="str">
        <f aca="false">IF(AND(Parameter!$B$19="Ja",E1211&lt;&gt;"",ISNUMBER(MATCH(E1211,Parameter!$I$35:$I$52,0))),VLOOKUP(E1211,Parameter!$I$35:$J$52,2,0),IFERROR(VLOOKUP(D1211,Parameter!$A$35:$C$64,2,0),"Nein"))</f>
        <v>2+3</v>
      </c>
      <c r="CE1211" s="64" t="n">
        <f aca="false">IF(CA1211=0,0,IF(N(S1211)&gt;0,S1211,IFERROR(VLOOKUP(D1211,Parameter!$A$35:$C$64,3,0)+0,0)))</f>
        <v>0</v>
      </c>
      <c r="CF1211" s="60" t="n">
        <f aca="false">IF(AB1211&lt;&gt;"",AB1211,AA1211)</f>
        <v>3</v>
      </c>
      <c r="CG1211" s="60" t="str">
        <f aca="false">IF(OR(CF1211=1,CF1211=2,CF1211=3),IF(Parameter!$E$27="Ja","LIFT",IF(CF1211=1,"L1","L23")),IF(CF1211="Aussen","Aussen","-"))</f>
        <v>LIFT</v>
      </c>
      <c r="CH1211" s="71" t="n">
        <f aca="false">IF(N(AC1211)&gt;0,AC1211,0)</f>
        <v>0</v>
      </c>
      <c r="CI1211" s="65" t="n">
        <f aca="false">IF(ISNUMBER(AF1211),1,0)</f>
        <v>0</v>
      </c>
      <c r="CJ1211" s="62" t="n">
        <f aca="false">N(AF1211)</f>
        <v>0</v>
      </c>
      <c r="CK1211" s="62" t="n">
        <f aca="false">N(M1211)+N(N1211)</f>
        <v>16</v>
      </c>
      <c r="CL1211" s="62" t="n">
        <f aca="false">N(M1211)</f>
        <v>1</v>
      </c>
      <c r="CM1211" s="62" t="n">
        <f aca="false">N(N1211)</f>
        <v>15</v>
      </c>
      <c r="CN1211" s="62" t="n">
        <f aca="false">ROUNDUP(H1211/BZ1211,0)</f>
        <v>1</v>
      </c>
      <c r="CO1211" s="62" t="n">
        <f aca="false">ROUNDUP(CJ1211/BZ1211,0)</f>
        <v>0</v>
      </c>
      <c r="CP1211" s="65" t="n">
        <f aca="false">IF(CA1211=1,0,IFERROR(VLOOKUP(BY1211,'Gebinde-Kategorie'!$A$5:$N$45,5,0)+0,0))</f>
        <v>21</v>
      </c>
      <c r="CQ1211" s="65" t="n">
        <f aca="false">IFERROR(IF(OR(CF1211=1,CF1211=2,CF1211=3),N(INDEX(Parameter!$I$5:$I$7,CF1211)),0),0)</f>
        <v>0</v>
      </c>
      <c r="CR1211" s="64" t="n">
        <f aca="false">IF(AND(Parameter!$B$21="Ja",ISNUMBER(W1211),N(X1211)&gt;0),IFERROR(N(INDEX(Parameter!$L$5:$L$7,W1211))*INDEX(Parameter!$E$5:$E$7,W1211)*X1211/SUMIFS($X$7:$X$1843,$W$7:$W$1843,W1211),0),0)</f>
        <v>0</v>
      </c>
      <c r="CS1211" s="62" t="n">
        <f aca="false">IF(AND(OR(CG1211="L1",CG1211="L23",CG1211="LIFT"),H1211&gt;0),CC1211*IF(CR1211&gt;0,CR1211*MAX(1,H1211/X1211),IF(CA1211=1,CE1211,IF(R1211&gt;0,CN1211/R1211,0))/MAX(0.1,N(Parameter!$M$21))),"")</f>
        <v>9.42307692307692</v>
      </c>
      <c r="CT1211" s="64" t="n">
        <f aca="false">IF(CS1211="","",J1211/H1211)</f>
        <v>0.411764705882353</v>
      </c>
      <c r="CU1211" s="62" t="n">
        <f aca="false">IF(CS1211="","",H1211*G1211)</f>
        <v>1636.08</v>
      </c>
      <c r="CV1211" s="63" t="n">
        <f aca="false">IF(CS1211="","",(CL1211+ROUNDUP(CL1211+MAX(CM1211,2*(J1211/MAX(0.1,N(Einkauf!$C$6))-CL1211)),0))/2)</f>
        <v>8.5</v>
      </c>
      <c r="CW1211" s="62" t="n">
        <f aca="false">IF(CS1211="","",MAX(0,H1211-CV1211)*G1211)</f>
        <v>1227.06</v>
      </c>
      <c r="CX1211" s="62" t="n">
        <f aca="false">IF(CS1211="","",CS1211*MAX(0,1-CV1211/H1211))</f>
        <v>7.06730769230769</v>
      </c>
      <c r="CY1211" s="64" t="n">
        <f aca="false">IF(CS1211="","",PERCENTRANK($CS$7:$CS$1843,CS1211)+PERCENTRANK($CU$7:$CU$1843,CU1211)+1-PERCENTRANK($CT$7:$CT$1843,CT1211))</f>
        <v>1.78</v>
      </c>
      <c r="CZ1211" s="72" t="n">
        <f aca="false">IF(CS1211="","",CHOOSE(MATCH(Einkauf!$C$5,Parameter!$G$23:$G$27,0),CY1211,CS1211,CU1211,-CT1211,CW1211)+ROW()/1000000000)</f>
        <v>1.780001211</v>
      </c>
    </row>
    <row r="1212" customFormat="false" ht="15" hidden="false" customHeight="false" outlineLevel="0" collapsed="false">
      <c r="A1212" s="60" t="s">
        <v>2218</v>
      </c>
      <c r="B1212" s="60" t="s">
        <v>2219</v>
      </c>
      <c r="C1212" s="60" t="s">
        <v>206</v>
      </c>
      <c r="D1212" s="60" t="s">
        <v>226</v>
      </c>
      <c r="E1212" s="60"/>
      <c r="F1212" s="60" t="s">
        <v>260</v>
      </c>
      <c r="G1212" s="61" t="n">
        <v>44.28</v>
      </c>
      <c r="H1212" s="62" t="n">
        <f aca="false">MAX(0,IF(AND(Parameter!$B$21="Ja",ISNUMBER(Y1212)),Y1212,IF(Parameter!$B$20="Jahresanfang 2025 + Export",BS1212+BR1212,BR1212)))</f>
        <v>385</v>
      </c>
      <c r="I1212" s="62" t="n">
        <f aca="false">H1212*G1212</f>
        <v>17047.8</v>
      </c>
      <c r="J1212" s="62" t="n">
        <f aca="false">BU1212*Parameter!$B$18</f>
        <v>9</v>
      </c>
      <c r="K1212" s="63" t="n">
        <v>394.5</v>
      </c>
      <c r="L1212" s="64" t="n">
        <v>0.0228136882129278</v>
      </c>
      <c r="M1212" s="62" t="n">
        <v>0</v>
      </c>
      <c r="N1212" s="62" t="n">
        <v>10</v>
      </c>
      <c r="O1212" s="65" t="n">
        <v>28</v>
      </c>
      <c r="P1212" s="60" t="s">
        <v>228</v>
      </c>
      <c r="Q1212" s="62" t="n">
        <v>150</v>
      </c>
      <c r="R1212" s="65" t="n">
        <f aca="false">IF(CA1212=1,0,IFERROR(VLOOKUP(BY1212,'Gebinde-Kategorie'!$A$5:$N$45,13,0)+0,0))</f>
        <v>12</v>
      </c>
      <c r="S1212" s="66"/>
      <c r="T1212" s="67"/>
      <c r="U1212" s="67"/>
      <c r="V1212" s="67"/>
      <c r="W1212" s="60"/>
      <c r="X1212" s="62"/>
      <c r="Y1212" s="62"/>
      <c r="Z1212" s="60" t="n">
        <v>3</v>
      </c>
      <c r="AA1212" s="60" t="n">
        <f aca="false">IF(A1212="","",IF(AND(Parameter!$B$21="Ja",ISNUMBER(W1212)),W1212,IF(AND(Parameter!$E$27="Ja",ISNUMBER(Z1212),CD1212&lt;&gt;"Nein"),Z1212,IF(CD1212="2+3",IF(ISNUMBER(SEARCH("grosser Artikel",BV1212)),2,IFERROR(VLOOKUP(BY1212,Parameter!$F$35:$G$64,2,0),2)),IF(OR(CD1212="Nein",CD1212=""),"-",CD1212)))))</f>
        <v>3</v>
      </c>
      <c r="AB1212" s="67"/>
      <c r="AC1212" s="68"/>
      <c r="AD1212" s="62" t="n">
        <f aca="false">AW1212</f>
        <v>10</v>
      </c>
      <c r="AE1212" s="62" t="n">
        <f aca="false">MAX(AW1212,H1212)</f>
        <v>385</v>
      </c>
      <c r="AF1212" s="69"/>
      <c r="AG1212" s="62" t="n">
        <f aca="false">IF(LEFT(Cockpit!$C$5,1)="A",H1212,IF(Parameter!$E$30="MAX-Bestand",IF(CI1212=1,CJ1212,IF(LEFT(Cockpit!$C$5,1)="B",AM1212,MAX(AM1212,H1212))),ROUNDUP(AK1212,0)))</f>
        <v>385</v>
      </c>
      <c r="AH1212" s="62" t="n">
        <f aca="false">IF(CA1212=1,0,ROUNDUP(AG1212/BZ1212,0))</f>
        <v>3</v>
      </c>
      <c r="AI1212" s="64" t="n">
        <f aca="false">IF(CR1212&gt;0,CR1212*MAX(1,AG1212/X1212),IF(CA1212=1,IF(AG1212&lt;=0,0,CE1212*MAX(1,IF(H1212&gt;0,AG1212/H1212,1))),IF(R1212&gt;0,AH1212/R1212,0))/MAX(0.1,N(Parameter!$M$21)))</f>
        <v>0.25</v>
      </c>
      <c r="AJ1212" s="62" t="n">
        <f aca="false">AI1212*CC1212</f>
        <v>36.25</v>
      </c>
      <c r="AK1212" s="63" t="n">
        <f aca="false">IF(LEFT(Cockpit!$C$5,1)="A",H1212,IF(CI1212=1,(CL1212+CJ1212)/2,IF(LEFT(Cockpit!$C$5,1)="B",(CL1212+AM1212)/2,MAX((CL1212+AM1212)/2,H1212))))</f>
        <v>385</v>
      </c>
      <c r="AL1212" s="62" t="n">
        <f aca="false">AK1212*G1212</f>
        <v>17047.8</v>
      </c>
      <c r="AM1212" s="62" t="n">
        <f aca="false">ROUNDUP(CL1212+MAX(CM1212,2*(J1212/IF(CH1212&gt;0,CH1212,MAX(0.1,N(Cockpit!$C$6)))-CL1212)),0)</f>
        <v>10</v>
      </c>
      <c r="AN1212" s="63" t="n">
        <f aca="false">IF(AJ1212&gt;0,J1212/AJ1212,-1)</f>
        <v>0.248275862068966</v>
      </c>
      <c r="AO1212" s="63" t="n">
        <f aca="false">IF(AND(OR(CG1212="L1",CG1212="L23",CG1212="LIFT"),AJ1212&gt;0),SUMIFS($AJ$7:$AJ$1843,$CG$7:$CG$1843,CG1212,$AN$7:$AN$1843,"&gt;"&amp;AN1212)+SUMIFS($AJ$7:$AJ$1843,$CG$7:$CG$1843,CG1212,$AN$7:$AN$1843,AN1212,$BX$7:$BX$1843,"&lt;="&amp;BX1212),"")</f>
        <v>11901.1035962625</v>
      </c>
      <c r="AP1212" s="70" t="n">
        <f aca="false">IF(AO1212="",0,MAX(0,MIN(1,(IF(CG1212="L1",Parameter!$H$5,IF(CG1212="L23",Parameter!$H$6+Parameter!$H$7,Parameter!$H$5+Parameter!$H$6+Parameter!$H$7))-(AO1212-AJ1212))/AJ1212)))</f>
        <v>1</v>
      </c>
      <c r="AQ1212" s="62" t="n">
        <f aca="false">IF(LEFT(Cockpit!$I$5,1)="A",H1212,IF(Parameter!$E$30="MAX-Bestand",IF(CI1212=1,CJ1212,IF(LEFT(Cockpit!$I$5,1)="B",AW1212,MAX(AW1212,H1212))),ROUNDUP(AU1212,0)))</f>
        <v>385</v>
      </c>
      <c r="AR1212" s="62" t="n">
        <f aca="false">IF(CA1212=1,0,ROUNDUP(AQ1212/BZ1212,0))</f>
        <v>3</v>
      </c>
      <c r="AS1212" s="64" t="n">
        <f aca="false">IF(CR1212&gt;0,CR1212*MAX(1,AQ1212/X1212),IF(CA1212=1,IF(AQ1212&lt;=0,0,CE1212*MAX(1,IF(H1212&gt;0,AQ1212/H1212,1))),IF(R1212&gt;0,AR1212/R1212,0))/MAX(0.1,N(Parameter!$M$21)))</f>
        <v>0.25</v>
      </c>
      <c r="AT1212" s="62" t="n">
        <f aca="false">AS1212*CC1212</f>
        <v>36.25</v>
      </c>
      <c r="AU1212" s="63" t="n">
        <f aca="false">IF(LEFT(Cockpit!$I$5,1)="A",H1212,IF(CI1212=1,(CL1212+CJ1212)/2,IF(LEFT(Cockpit!$I$5,1)="B",(CL1212+AW1212)/2,MAX((CL1212+AW1212)/2,H1212))))</f>
        <v>385</v>
      </c>
      <c r="AV1212" s="62" t="n">
        <f aca="false">AU1212*G1212</f>
        <v>17047.8</v>
      </c>
      <c r="AW1212" s="62" t="n">
        <f aca="false">ROUNDUP(CL1212+MAX(CM1212,2*(J1212/IF(CH1212&gt;0,CH1212,MAX(0.1,N(Cockpit!$I$6)))-CL1212)),0)</f>
        <v>10</v>
      </c>
      <c r="AX1212" s="63" t="n">
        <f aca="false">IF(AT1212&gt;0,J1212/AT1212,-1)</f>
        <v>0.248275862068966</v>
      </c>
      <c r="AY1212" s="63" t="n">
        <f aca="false">IF(AND(OR(CG1212="L1",CG1212="L23",CG1212="LIFT"),AT1212&gt;0),SUMIFS($AT$7:$AT$1843,$CG$7:$CG$1843,CG1212,$AX$7:$AX$1843,"&gt;"&amp;AX1212)+SUMIFS($AT$7:$AT$1843,$CG$7:$CG$1843,CG1212,$AX$7:$AX$1843,AX1212,$BX$7:$BX$1843,"&lt;="&amp;BX1212),"")</f>
        <v>14977.9977106227</v>
      </c>
      <c r="AZ1212" s="70" t="n">
        <f aca="false">IF(AY1212="",0,MAX(0,MIN(1,(IF(CG1212="L1",Parameter!$H$5,IF(CG1212="L23",Parameter!$H$6+Parameter!$H$7,Parameter!$H$5+Parameter!$H$6+Parameter!$H$7))-(AY1212-AT1212))/AT1212)))</f>
        <v>1</v>
      </c>
      <c r="BA1212" s="62" t="n">
        <f aca="false">IF(LEFT(Cockpit!$O$5,1)="A",H1212,IF(Parameter!$E$30="MAX-Bestand",IF(CI1212=1,CJ1212,IF(LEFT(Cockpit!$O$5,1)="B",BG1212,MAX(BG1212,H1212))),ROUNDUP(BE1212,0)))</f>
        <v>5</v>
      </c>
      <c r="BB1212" s="62" t="n">
        <f aca="false">IF(CA1212=1,0,ROUNDUP(BA1212/BZ1212,0))</f>
        <v>1</v>
      </c>
      <c r="BC1212" s="64" t="n">
        <f aca="false">IF(CR1212&gt;0,CR1212*MAX(1,BA1212/X1212),IF(CA1212=1,IF(BA1212&lt;=0,0,CE1212*MAX(1,IF(H1212&gt;0,BA1212/H1212,1))),IF(R1212&gt;0,BB1212/R1212,0))/MAX(0.1,N(Parameter!$M$21)))</f>
        <v>0.0833333333333333</v>
      </c>
      <c r="BD1212" s="62" t="n">
        <f aca="false">BC1212*CC1212</f>
        <v>12.0833333333333</v>
      </c>
      <c r="BE1212" s="63" t="n">
        <f aca="false">IF(LEFT(Cockpit!$O$5,1)="A",H1212,IF(CI1212=1,(CL1212+CJ1212)/2,IF(LEFT(Cockpit!$O$5,1)="B",(CL1212+BG1212)/2,MAX((CL1212+BG1212)/2,H1212))))</f>
        <v>5</v>
      </c>
      <c r="BF1212" s="62" t="n">
        <f aca="false">BE1212*G1212</f>
        <v>221.4</v>
      </c>
      <c r="BG1212" s="62" t="n">
        <f aca="false">ROUNDUP(CL1212+MAX(CM1212,2*(J1212/IF(CH1212&gt;0,CH1212,MAX(0.1,N(Cockpit!$O$6)))-CL1212)),0)</f>
        <v>10</v>
      </c>
      <c r="BH1212" s="63" t="n">
        <f aca="false">IF(BD1212&gt;0,J1212/BD1212,-1)</f>
        <v>0.744827586206897</v>
      </c>
      <c r="BI1212" s="63" t="n">
        <f aca="false">IF(AND(OR(CG1212="L1",CG1212="L23",CG1212="LIFT"),BD1212&gt;0),SUMIFS($BD$7:$BD$1843,$CG$7:$CG$1843,CG1212,$BH$7:$BH$1843,"&gt;"&amp;BH1212)+SUMIFS($BD$7:$BD$1843,$CG$7:$CG$1843,CG1212,$BH$7:$BH$1843,BH1212,$BX$7:$BX$1843,"&lt;="&amp;BX1212),"")</f>
        <v>9093.10302197802</v>
      </c>
      <c r="BJ1212" s="70" t="n">
        <f aca="false">IF(BI1212="",0,MAX(0,MIN(1,(IF(CG1212="L1",Parameter!$H$5,IF(CG1212="L23",Parameter!$H$6+Parameter!$H$7,Parameter!$H$5+Parameter!$H$6+Parameter!$H$7))-(BI1212-BD1212))/BD1212)))</f>
        <v>1</v>
      </c>
      <c r="BK1212" s="60" t="str">
        <f aca="false">IF(AJ1212&lt;=0,"",IF(CG1212="Aussen","Aussenlager",IF(CG1212="-","Nicht im Lift",IF(AP1212&gt;=1,"Lift",IF(AP1212&lt;=0,"Aussenlager","teilweise")))))</f>
        <v>Lift</v>
      </c>
      <c r="BL1212" s="60" t="str">
        <f aca="false">IF(AT1212&lt;=0,"",IF(CG1212="Aussen","Aussenlager",IF(CG1212="-","Nicht im Lift",IF(AZ1212&gt;=1,"Lift",IF(AZ1212&lt;=0,"Aussenlager","teilweise")))))</f>
        <v>Lift</v>
      </c>
      <c r="BM1212" s="60" t="str">
        <f aca="false">IF(BD1212&lt;=0,"",IF(CG1212="Aussen","Aussenlager",IF(CG1212="-","Nicht im Lift",IF(BJ1212&gt;=1,"Lift",IF(BJ1212&lt;=0,"Aussenlager","teilweise")))))</f>
        <v>Lift</v>
      </c>
      <c r="BN1212" s="60" t="str">
        <f aca="false">IF(A1212="","",IF(BW1212=1,"Neu; ","")&amp;IF(AND(BW1212=0,BR1212&lt;0),"negativer Bestand (Export "&amp;BR1212&amp;"); ","")&amp;IF(J1212&lt;=0,"Kein Verbrauch; ","")&amp;IF(CR1212&gt;0,"Lift "&amp;W1212&amp;" lt. Liftbericht (Fach "&amp;X1212&amp;" Stk); ",IF(CB1212=1,"Gebinde geschätzt ("&amp;T1212&amp;"); ",IF(CA1212=1,"Lose – Tablare geschätzt; ","")))&amp;IF(H1212&gt;AW1212,"Überbestand "&amp;ROUND(H1212-AW1212,0)&amp;" Stk / CHF "&amp;ROUND((H1212-AW1212)*G1212,0)&amp;"; ","")&amp;IF(AND(CI1212=1,CJ1212&lt;CK1212),"MAX &lt; MB+LG; ","")&amp;IF(AND(CQ1212&gt;0,CP1212*10&gt;CQ1212),"zu hoch für Tablar; ","")&amp;IF(AND(BW1212=0,OR(CI1212=1,AB1212&lt;&gt;"",U1212&lt;&gt;"",V1212&lt;&gt;"",AC1212&lt;&gt;"")),"manuell übersteuert; ","")&amp;IF(AND(CA1212=0,R1212=0),"Gebinde unbekannt / Stellmass fehlt; ","")&amp;IF(AND(CA1212=0,N(V1212)&lt;=0,N(Q1212)&lt;=0),"Menge pro Gebinde fehlt (Ist = 1 Gebinde); ","")&amp;BV1212)</f>
        <v>negativer Bestand (Export -12); Überbestand 375 Stk / CHF 16605; i.o</v>
      </c>
      <c r="BO1212" s="60"/>
      <c r="BP1212" s="60"/>
      <c r="BQ1212" s="67"/>
      <c r="BR1212" s="62" t="n">
        <v>-12</v>
      </c>
      <c r="BS1212" s="62" t="n">
        <v>397</v>
      </c>
      <c r="BT1212" s="61" t="n">
        <v>-531.36</v>
      </c>
      <c r="BU1212" s="62" t="n">
        <v>9</v>
      </c>
      <c r="BV1212" s="60" t="s">
        <v>578</v>
      </c>
      <c r="BW1212" s="65" t="n">
        <v>0</v>
      </c>
      <c r="BX1212" s="65" t="n">
        <v>1212</v>
      </c>
      <c r="BY1212" s="60" t="str">
        <f aca="false">IF(U1212&lt;&gt;"",UPPER(TRIM(U1212)),IF(CB1212=1,UPPER(VLOOKUP(T1212,Parameter!$I$27:$K$29,2,0)),IF(P1212="","LOSE",P1212)))</f>
        <v>S61</v>
      </c>
      <c r="BZ1212" s="62" t="n">
        <f aca="false">IF(BY1212="LOSE",1,IF(N(V1212)&gt;0,V1212,IF(CB1212=1,MAX(1,N(VLOOKUP(T1212,Parameter!$I$27:$K$29,3,0)),H1212,N(N1212)),IF(N(Q1212)&gt;0,Q1212,MAX(1,H1212)))))</f>
        <v>150</v>
      </c>
      <c r="CA1212" s="65" t="n">
        <f aca="false">IF(BY1212="LOSE",1,0)</f>
        <v>0</v>
      </c>
      <c r="CB1212" s="65" t="n">
        <f aca="false">IF(AND(U1212="",OR(P1212="",P1212="LOSE"),T1212&lt;&gt;"",N(S1212)&lt;=0,ISNUMBER(MATCH(T1212,Parameter!$I$27:$I$29,0))),1,0)</f>
        <v>0</v>
      </c>
      <c r="CC1212" s="65" t="n">
        <f aca="false">IF(CR1212&gt;0,INDEX(Parameter!$H$5:$H$7,W1212)/INDEX(Parameter!$E$5:$E$7,W1212),IF(AND(CA1212=0,N(IFERROR(VLOOKUP(BY1212,'Gebinde-Kategorie'!$A$5:$N$45,14,0),0))&gt;0),VLOOKUP(BY1212,'Gebinde-Kategorie'!$A$5:$N$45,14,0)*10+Parameter!$M$23,Parameter!$M$24))</f>
        <v>145</v>
      </c>
      <c r="CD1212" s="60" t="str">
        <f aca="false">IF(AND(Parameter!$B$19="Ja",E1212&lt;&gt;"",ISNUMBER(MATCH(E1212,Parameter!$I$35:$I$52,0))),VLOOKUP(E1212,Parameter!$I$35:$J$52,2,0),IFERROR(VLOOKUP(D1212,Parameter!$A$35:$C$64,2,0),"Nein"))</f>
        <v>2+3</v>
      </c>
      <c r="CE1212" s="64" t="n">
        <f aca="false">IF(CA1212=0,0,IF(N(S1212)&gt;0,S1212,IFERROR(VLOOKUP(D1212,Parameter!$A$35:$C$64,3,0)+0,0)))</f>
        <v>0</v>
      </c>
      <c r="CF1212" s="60" t="n">
        <f aca="false">IF(AB1212&lt;&gt;"",AB1212,AA1212)</f>
        <v>3</v>
      </c>
      <c r="CG1212" s="60" t="str">
        <f aca="false">IF(OR(CF1212=1,CF1212=2,CF1212=3),IF(Parameter!$E$27="Ja","LIFT",IF(CF1212=1,"L1","L23")),IF(CF1212="Aussen","Aussen","-"))</f>
        <v>LIFT</v>
      </c>
      <c r="CH1212" s="71" t="n">
        <f aca="false">IF(N(AC1212)&gt;0,AC1212,0)</f>
        <v>0</v>
      </c>
      <c r="CI1212" s="65" t="n">
        <f aca="false">IF(ISNUMBER(AF1212),1,0)</f>
        <v>0</v>
      </c>
      <c r="CJ1212" s="62" t="n">
        <f aca="false">N(AF1212)</f>
        <v>0</v>
      </c>
      <c r="CK1212" s="62" t="n">
        <f aca="false">N(M1212)+N(N1212)</f>
        <v>10</v>
      </c>
      <c r="CL1212" s="62" t="n">
        <f aca="false">N(M1212)</f>
        <v>0</v>
      </c>
      <c r="CM1212" s="62" t="n">
        <f aca="false">N(N1212)</f>
        <v>10</v>
      </c>
      <c r="CN1212" s="62" t="n">
        <f aca="false">ROUNDUP(H1212/BZ1212,0)</f>
        <v>3</v>
      </c>
      <c r="CO1212" s="62" t="n">
        <f aca="false">ROUNDUP(CJ1212/BZ1212,0)</f>
        <v>0</v>
      </c>
      <c r="CP1212" s="65" t="n">
        <f aca="false">IF(CA1212=1,0,IFERROR(VLOOKUP(BY1212,'Gebinde-Kategorie'!$A$5:$N$45,5,0)+0,0))</f>
        <v>11</v>
      </c>
      <c r="CQ1212" s="65" t="n">
        <f aca="false">IFERROR(IF(OR(CF1212=1,CF1212=2,CF1212=3),N(INDEX(Parameter!$I$5:$I$7,CF1212)),0),0)</f>
        <v>0</v>
      </c>
      <c r="CR1212" s="64" t="n">
        <f aca="false">IF(AND(Parameter!$B$21="Ja",ISNUMBER(W1212),N(X1212)&gt;0),IFERROR(N(INDEX(Parameter!$L$5:$L$7,W1212))*INDEX(Parameter!$E$5:$E$7,W1212)*X1212/SUMIFS($X$7:$X$1843,$W$7:$W$1843,W1212),0),0)</f>
        <v>0</v>
      </c>
      <c r="CS1212" s="62" t="n">
        <f aca="false">IF(AND(OR(CG1212="L1",CG1212="L23",CG1212="LIFT"),H1212&gt;0),CC1212*IF(CR1212&gt;0,CR1212*MAX(1,H1212/X1212),IF(CA1212=1,CE1212,IF(R1212&gt;0,CN1212/R1212,0))/MAX(0.1,N(Parameter!$M$21))),"")</f>
        <v>36.25</v>
      </c>
      <c r="CT1212" s="64" t="n">
        <f aca="false">IF(CS1212="","",J1212/H1212)</f>
        <v>0.0233766233766234</v>
      </c>
      <c r="CU1212" s="62" t="n">
        <f aca="false">IF(CS1212="","",H1212*G1212)</f>
        <v>17047.8</v>
      </c>
      <c r="CV1212" s="63" t="n">
        <f aca="false">IF(CS1212="","",(CL1212+ROUNDUP(CL1212+MAX(CM1212,2*(J1212/MAX(0.1,N(Einkauf!$C$6))-CL1212)),0))/2)</f>
        <v>5</v>
      </c>
      <c r="CW1212" s="62" t="n">
        <f aca="false">IF(CS1212="","",MAX(0,H1212-CV1212)*G1212)</f>
        <v>16826.4</v>
      </c>
      <c r="CX1212" s="62" t="n">
        <f aca="false">IF(CS1212="","",CS1212*MAX(0,1-CV1212/H1212))</f>
        <v>35.7792207792208</v>
      </c>
      <c r="CY1212" s="64" t="n">
        <f aca="false">IF(CS1212="","",PERCENTRANK($CS$7:$CS$1843,CS1212)+PERCENTRANK($CU$7:$CU$1843,CU1212)+1-PERCENTRANK($CT$7:$CT$1843,CT1212))</f>
        <v>2.442</v>
      </c>
      <c r="CZ1212" s="72" t="n">
        <f aca="false">IF(CS1212="","",CHOOSE(MATCH(Einkauf!$C$5,Parameter!$G$23:$G$27,0),CY1212,CS1212,CU1212,-CT1212,CW1212)+ROW()/1000000000)</f>
        <v>2.442001212</v>
      </c>
    </row>
    <row r="1213" customFormat="false" ht="15" hidden="false" customHeight="false" outlineLevel="0" collapsed="false">
      <c r="A1213" s="60" t="s">
        <v>2220</v>
      </c>
      <c r="B1213" s="60" t="s">
        <v>1750</v>
      </c>
      <c r="C1213" s="60" t="s">
        <v>206</v>
      </c>
      <c r="D1213" s="60" t="s">
        <v>226</v>
      </c>
      <c r="E1213" s="60" t="s">
        <v>227</v>
      </c>
      <c r="F1213" s="60" t="s">
        <v>260</v>
      </c>
      <c r="G1213" s="61" t="n">
        <v>107</v>
      </c>
      <c r="H1213" s="62" t="n">
        <f aca="false">MAX(0,IF(AND(Parameter!$B$21="Ja",ISNUMBER(Y1213)),Y1213,IF(Parameter!$B$20="Jahresanfang 2025 + Export",BS1213+BR1213,BR1213)))</f>
        <v>16</v>
      </c>
      <c r="I1213" s="62" t="n">
        <f aca="false">H1213*G1213</f>
        <v>1712</v>
      </c>
      <c r="J1213" s="62" t="n">
        <f aca="false">BU1213*Parameter!$B$18</f>
        <v>14</v>
      </c>
      <c r="K1213" s="63" t="n">
        <v>23</v>
      </c>
      <c r="L1213" s="64" t="n">
        <v>0.608695652173913</v>
      </c>
      <c r="M1213" s="62" t="n">
        <v>3</v>
      </c>
      <c r="N1213" s="62" t="n">
        <v>15</v>
      </c>
      <c r="O1213" s="65" t="n">
        <v>84</v>
      </c>
      <c r="P1213" s="60" t="s">
        <v>275</v>
      </c>
      <c r="Q1213" s="62" t="n">
        <v>64</v>
      </c>
      <c r="R1213" s="65" t="n">
        <f aca="false">IF(CA1213=1,0,IFERROR(VLOOKUP(BY1213,'Gebinde-Kategorie'!$A$5:$N$45,13,0)+0,0))</f>
        <v>26</v>
      </c>
      <c r="S1213" s="66"/>
      <c r="T1213" s="67"/>
      <c r="U1213" s="67"/>
      <c r="V1213" s="67"/>
      <c r="W1213" s="60"/>
      <c r="X1213" s="62"/>
      <c r="Y1213" s="62"/>
      <c r="Z1213" s="60" t="n">
        <v>3</v>
      </c>
      <c r="AA1213" s="60" t="n">
        <f aca="false">IF(A1213="","",IF(AND(Parameter!$B$21="Ja",ISNUMBER(W1213)),W1213,IF(AND(Parameter!$E$27="Ja",ISNUMBER(Z1213),CD1213&lt;&gt;"Nein"),Z1213,IF(CD1213="2+3",IF(ISNUMBER(SEARCH("grosser Artikel",BV1213)),2,IFERROR(VLOOKUP(BY1213,Parameter!$F$35:$G$64,2,0),2)),IF(OR(CD1213="Nein",CD1213=""),"-",CD1213)))))</f>
        <v>3</v>
      </c>
      <c r="AB1213" s="67"/>
      <c r="AC1213" s="68"/>
      <c r="AD1213" s="62" t="n">
        <f aca="false">AW1213</f>
        <v>18</v>
      </c>
      <c r="AE1213" s="62" t="n">
        <f aca="false">MAX(AW1213,H1213)</f>
        <v>18</v>
      </c>
      <c r="AF1213" s="69"/>
      <c r="AG1213" s="62" t="n">
        <f aca="false">IF(LEFT(Cockpit!$C$5,1)="A",H1213,IF(Parameter!$E$30="MAX-Bestand",IF(CI1213=1,CJ1213,IF(LEFT(Cockpit!$C$5,1)="B",AM1213,MAX(AM1213,H1213))),ROUNDUP(AK1213,0)))</f>
        <v>16</v>
      </c>
      <c r="AH1213" s="62" t="n">
        <f aca="false">IF(CA1213=1,0,ROUNDUP(AG1213/BZ1213,0))</f>
        <v>1</v>
      </c>
      <c r="AI1213" s="64" t="n">
        <f aca="false">IF(CR1213&gt;0,CR1213*MAX(1,AG1213/X1213),IF(CA1213=1,IF(AG1213&lt;=0,0,CE1213*MAX(1,IF(H1213&gt;0,AG1213/H1213,1))),IF(R1213&gt;0,AH1213/R1213,0))/MAX(0.1,N(Parameter!$M$21)))</f>
        <v>0.0384615384615385</v>
      </c>
      <c r="AJ1213" s="62" t="n">
        <f aca="false">AI1213*CC1213</f>
        <v>9.42307692307692</v>
      </c>
      <c r="AK1213" s="63" t="n">
        <f aca="false">IF(LEFT(Cockpit!$C$5,1)="A",H1213,IF(CI1213=1,(CL1213+CJ1213)/2,IF(LEFT(Cockpit!$C$5,1)="B",(CL1213+AM1213)/2,MAX((CL1213+AM1213)/2,H1213))))</f>
        <v>16</v>
      </c>
      <c r="AL1213" s="62" t="n">
        <f aca="false">AK1213*G1213</f>
        <v>1712</v>
      </c>
      <c r="AM1213" s="62" t="n">
        <f aca="false">ROUNDUP(CL1213+MAX(CM1213,2*(J1213/IF(CH1213&gt;0,CH1213,MAX(0.1,N(Cockpit!$C$6)))-CL1213)),0)</f>
        <v>18</v>
      </c>
      <c r="AN1213" s="63" t="n">
        <f aca="false">IF(AJ1213&gt;0,J1213/AJ1213,-1)</f>
        <v>1.48571428571429</v>
      </c>
      <c r="AO1213" s="63" t="n">
        <f aca="false">IF(AND(OR(CG1213="L1",CG1213="L23",CG1213="LIFT"),AJ1213&gt;0),SUMIFS($AJ$7:$AJ$1843,$CG$7:$CG$1843,CG1213,$AN$7:$AN$1843,"&gt;"&amp;AN1213)+SUMIFS($AJ$7:$AJ$1843,$CG$7:$CG$1843,CG1213,$AN$7:$AN$1843,AN1213,$BX$7:$BX$1843,"&lt;="&amp;BX1213),"")</f>
        <v>6240.69917582418</v>
      </c>
      <c r="AP1213" s="70" t="n">
        <f aca="false">IF(AO1213="",0,MAX(0,MIN(1,(IF(CG1213="L1",Parameter!$H$5,IF(CG1213="L23",Parameter!$H$6+Parameter!$H$7,Parameter!$H$5+Parameter!$H$6+Parameter!$H$7))-(AO1213-AJ1213))/AJ1213)))</f>
        <v>1</v>
      </c>
      <c r="AQ1213" s="62" t="n">
        <f aca="false">IF(LEFT(Cockpit!$I$5,1)="A",H1213,IF(Parameter!$E$30="MAX-Bestand",IF(CI1213=1,CJ1213,IF(LEFT(Cockpit!$I$5,1)="B",AW1213,MAX(AW1213,H1213))),ROUNDUP(AU1213,0)))</f>
        <v>16</v>
      </c>
      <c r="AR1213" s="62" t="n">
        <f aca="false">IF(CA1213=1,0,ROUNDUP(AQ1213/BZ1213,0))</f>
        <v>1</v>
      </c>
      <c r="AS1213" s="64" t="n">
        <f aca="false">IF(CR1213&gt;0,CR1213*MAX(1,AQ1213/X1213),IF(CA1213=1,IF(AQ1213&lt;=0,0,CE1213*MAX(1,IF(H1213&gt;0,AQ1213/H1213,1))),IF(R1213&gt;0,AR1213/R1213,0))/MAX(0.1,N(Parameter!$M$21)))</f>
        <v>0.0384615384615385</v>
      </c>
      <c r="AT1213" s="62" t="n">
        <f aca="false">AS1213*CC1213</f>
        <v>9.42307692307692</v>
      </c>
      <c r="AU1213" s="63" t="n">
        <f aca="false">IF(LEFT(Cockpit!$I$5,1)="A",H1213,IF(CI1213=1,(CL1213+CJ1213)/2,IF(LEFT(Cockpit!$I$5,1)="B",(CL1213+AW1213)/2,MAX((CL1213+AW1213)/2,H1213))))</f>
        <v>16</v>
      </c>
      <c r="AV1213" s="62" t="n">
        <f aca="false">AU1213*G1213</f>
        <v>1712</v>
      </c>
      <c r="AW1213" s="62" t="n">
        <f aca="false">ROUNDUP(CL1213+MAX(CM1213,2*(J1213/IF(CH1213&gt;0,CH1213,MAX(0.1,N(Cockpit!$I$6)))-CL1213)),0)</f>
        <v>18</v>
      </c>
      <c r="AX1213" s="63" t="n">
        <f aca="false">IF(AT1213&gt;0,J1213/AT1213,-1)</f>
        <v>1.48571428571429</v>
      </c>
      <c r="AY1213" s="63" t="n">
        <f aca="false">IF(AND(OR(CG1213="L1",CG1213="L23",CG1213="LIFT"),AT1213&gt;0),SUMIFS($AT$7:$AT$1843,$CG$7:$CG$1843,CG1213,$AX$7:$AX$1843,"&gt;"&amp;AX1213)+SUMIFS($AT$7:$AT$1843,$CG$7:$CG$1843,CG1213,$AX$7:$AX$1843,AX1213,$BX$7:$BX$1843,"&lt;="&amp;BX1213),"")</f>
        <v>7758.92124542125</v>
      </c>
      <c r="AZ1213" s="70" t="n">
        <f aca="false">IF(AY1213="",0,MAX(0,MIN(1,(IF(CG1213="L1",Parameter!$H$5,IF(CG1213="L23",Parameter!$H$6+Parameter!$H$7,Parameter!$H$5+Parameter!$H$6+Parameter!$H$7))-(AY1213-AT1213))/AT1213)))</f>
        <v>1</v>
      </c>
      <c r="BA1213" s="62" t="n">
        <f aca="false">IF(LEFT(Cockpit!$O$5,1)="A",H1213,IF(Parameter!$E$30="MAX-Bestand",IF(CI1213=1,CJ1213,IF(LEFT(Cockpit!$O$5,1)="B",BG1213,MAX(BG1213,H1213))),ROUNDUP(BE1213,0)))</f>
        <v>11</v>
      </c>
      <c r="BB1213" s="62" t="n">
        <f aca="false">IF(CA1213=1,0,ROUNDUP(BA1213/BZ1213,0))</f>
        <v>1</v>
      </c>
      <c r="BC1213" s="64" t="n">
        <f aca="false">IF(CR1213&gt;0,CR1213*MAX(1,BA1213/X1213),IF(CA1213=1,IF(BA1213&lt;=0,0,CE1213*MAX(1,IF(H1213&gt;0,BA1213/H1213,1))),IF(R1213&gt;0,BB1213/R1213,0))/MAX(0.1,N(Parameter!$M$21)))</f>
        <v>0.0384615384615385</v>
      </c>
      <c r="BD1213" s="62" t="n">
        <f aca="false">BC1213*CC1213</f>
        <v>9.42307692307692</v>
      </c>
      <c r="BE1213" s="63" t="n">
        <f aca="false">IF(LEFT(Cockpit!$O$5,1)="A",H1213,IF(CI1213=1,(CL1213+CJ1213)/2,IF(LEFT(Cockpit!$O$5,1)="B",(CL1213+BG1213)/2,MAX((CL1213+BG1213)/2,H1213))))</f>
        <v>10.5</v>
      </c>
      <c r="BF1213" s="62" t="n">
        <f aca="false">BE1213*G1213</f>
        <v>1123.5</v>
      </c>
      <c r="BG1213" s="62" t="n">
        <f aca="false">ROUNDUP(CL1213+MAX(CM1213,2*(J1213/IF(CH1213&gt;0,CH1213,MAX(0.1,N(Cockpit!$O$6)))-CL1213)),0)</f>
        <v>18</v>
      </c>
      <c r="BH1213" s="63" t="n">
        <f aca="false">IF(BD1213&gt;0,J1213/BD1213,-1)</f>
        <v>1.48571428571429</v>
      </c>
      <c r="BI1213" s="63" t="n">
        <f aca="false">IF(AND(OR(CG1213="L1",CG1213="L23",CG1213="LIFT"),BD1213&gt;0),SUMIFS($BD$7:$BD$1843,$CG$7:$CG$1843,CG1213,$BH$7:$BH$1843,"&gt;"&amp;BH1213)+SUMIFS($BD$7:$BD$1843,$CG$7:$CG$1843,CG1213,$BH$7:$BH$1843,BH1213,$BX$7:$BX$1843,"&lt;="&amp;BX1213),"")</f>
        <v>6571.58562271062</v>
      </c>
      <c r="BJ1213" s="70" t="n">
        <f aca="false">IF(BI1213="",0,MAX(0,MIN(1,(IF(CG1213="L1",Parameter!$H$5,IF(CG1213="L23",Parameter!$H$6+Parameter!$H$7,Parameter!$H$5+Parameter!$H$6+Parameter!$H$7))-(BI1213-BD1213))/BD1213)))</f>
        <v>1</v>
      </c>
      <c r="BK1213" s="60" t="str">
        <f aca="false">IF(AJ1213&lt;=0,"",IF(CG1213="Aussen","Aussenlager",IF(CG1213="-","Nicht im Lift",IF(AP1213&gt;=1,"Lift",IF(AP1213&lt;=0,"Aussenlager","teilweise")))))</f>
        <v>Lift</v>
      </c>
      <c r="BL1213" s="60" t="str">
        <f aca="false">IF(AT1213&lt;=0,"",IF(CG1213="Aussen","Aussenlager",IF(CG1213="-","Nicht im Lift",IF(AZ1213&gt;=1,"Lift",IF(AZ1213&lt;=0,"Aussenlager","teilweise")))))</f>
        <v>Lift</v>
      </c>
      <c r="BM1213" s="60" t="str">
        <f aca="false">IF(BD1213&lt;=0,"",IF(CG1213="Aussen","Aussenlager",IF(CG1213="-","Nicht im Lift",IF(BJ1213&gt;=1,"Lift",IF(BJ1213&lt;=0,"Aussenlager","teilweise")))))</f>
        <v>Lift</v>
      </c>
      <c r="BN1213" s="60" t="str">
        <f aca="false">IF(A1213="","",IF(BW1213=1,"Neu; ","")&amp;IF(AND(BW1213=0,BR1213&lt;0),"negativer Bestand (Export "&amp;BR1213&amp;"); ","")&amp;IF(J1213&lt;=0,"Kein Verbrauch; ","")&amp;IF(CR1213&gt;0,"Lift "&amp;W1213&amp;" lt. Liftbericht (Fach "&amp;X1213&amp;" Stk); ",IF(CB1213=1,"Gebinde geschätzt ("&amp;T1213&amp;"); ",IF(CA1213=1,"Lose – Tablare geschätzt; ","")))&amp;IF(H1213&gt;AW1213,"Überbestand "&amp;ROUND(H1213-AW1213,0)&amp;" Stk / CHF "&amp;ROUND((H1213-AW1213)*G1213,0)&amp;"; ","")&amp;IF(AND(CI1213=1,CJ1213&lt;CK1213),"MAX &lt; MB+LG; ","")&amp;IF(AND(CQ1213&gt;0,CP1213*10&gt;CQ1213),"zu hoch für Tablar; ","")&amp;IF(AND(BW1213=0,OR(CI1213=1,AB1213&lt;&gt;"",U1213&lt;&gt;"",V1213&lt;&gt;"",AC1213&lt;&gt;"")),"manuell übersteuert; ","")&amp;IF(AND(CA1213=0,R1213=0),"Gebinde unbekannt / Stellmass fehlt; ","")&amp;IF(AND(CA1213=0,N(V1213)&lt;=0,N(Q1213)&lt;=0),"Menge pro Gebinde fehlt (Ist = 1 Gebinde); ","")&amp;BV1213)</f>
        <v>negativer Bestand (Export -5); </v>
      </c>
      <c r="BO1213" s="60"/>
      <c r="BP1213" s="60"/>
      <c r="BQ1213" s="67"/>
      <c r="BR1213" s="62" t="n">
        <v>-5</v>
      </c>
      <c r="BS1213" s="62" t="n">
        <v>21</v>
      </c>
      <c r="BT1213" s="61" t="n">
        <v>-535</v>
      </c>
      <c r="BU1213" s="62" t="n">
        <v>14</v>
      </c>
      <c r="BV1213" s="60"/>
      <c r="BW1213" s="65" t="n">
        <v>0</v>
      </c>
      <c r="BX1213" s="65" t="n">
        <v>1213</v>
      </c>
      <c r="BY1213" s="60" t="str">
        <f aca="false">IF(U1213&lt;&gt;"",UPPER(TRIM(U1213)),IF(CB1213=1,UPPER(VLOOKUP(T1213,Parameter!$I$27:$K$29,2,0)),IF(P1213="","LOSE",P1213)))</f>
        <v>S52</v>
      </c>
      <c r="BZ1213" s="62" t="n">
        <f aca="false">IF(BY1213="LOSE",1,IF(N(V1213)&gt;0,V1213,IF(CB1213=1,MAX(1,N(VLOOKUP(T1213,Parameter!$I$27:$K$29,3,0)),H1213,N(N1213)),IF(N(Q1213)&gt;0,Q1213,MAX(1,H1213)))))</f>
        <v>64</v>
      </c>
      <c r="CA1213" s="65" t="n">
        <f aca="false">IF(BY1213="LOSE",1,0)</f>
        <v>0</v>
      </c>
      <c r="CB1213" s="65" t="n">
        <f aca="false">IF(AND(U1213="",OR(P1213="",P1213="LOSE"),T1213&lt;&gt;"",N(S1213)&lt;=0,ISNUMBER(MATCH(T1213,Parameter!$I$27:$I$29,0))),1,0)</f>
        <v>0</v>
      </c>
      <c r="CC1213" s="65" t="n">
        <f aca="false">IF(CR1213&gt;0,INDEX(Parameter!$H$5:$H$7,W1213)/INDEX(Parameter!$E$5:$E$7,W1213),IF(AND(CA1213=0,N(IFERROR(VLOOKUP(BY1213,'Gebinde-Kategorie'!$A$5:$N$45,14,0),0))&gt;0),VLOOKUP(BY1213,'Gebinde-Kategorie'!$A$5:$N$45,14,0)*10+Parameter!$M$23,Parameter!$M$24))</f>
        <v>245</v>
      </c>
      <c r="CD1213" s="60" t="str">
        <f aca="false">IF(AND(Parameter!$B$19="Ja",E1213&lt;&gt;"",ISNUMBER(MATCH(E1213,Parameter!$I$35:$I$52,0))),VLOOKUP(E1213,Parameter!$I$35:$J$52,2,0),IFERROR(VLOOKUP(D1213,Parameter!$A$35:$C$64,2,0),"Nein"))</f>
        <v>2+3</v>
      </c>
      <c r="CE1213" s="64" t="n">
        <f aca="false">IF(CA1213=0,0,IF(N(S1213)&gt;0,S1213,IFERROR(VLOOKUP(D1213,Parameter!$A$35:$C$64,3,0)+0,0)))</f>
        <v>0</v>
      </c>
      <c r="CF1213" s="60" t="n">
        <f aca="false">IF(AB1213&lt;&gt;"",AB1213,AA1213)</f>
        <v>3</v>
      </c>
      <c r="CG1213" s="60" t="str">
        <f aca="false">IF(OR(CF1213=1,CF1213=2,CF1213=3),IF(Parameter!$E$27="Ja","LIFT",IF(CF1213=1,"L1","L23")),IF(CF1213="Aussen","Aussen","-"))</f>
        <v>LIFT</v>
      </c>
      <c r="CH1213" s="71" t="n">
        <f aca="false">IF(N(AC1213)&gt;0,AC1213,0)</f>
        <v>0</v>
      </c>
      <c r="CI1213" s="65" t="n">
        <f aca="false">IF(ISNUMBER(AF1213),1,0)</f>
        <v>0</v>
      </c>
      <c r="CJ1213" s="62" t="n">
        <f aca="false">N(AF1213)</f>
        <v>0</v>
      </c>
      <c r="CK1213" s="62" t="n">
        <f aca="false">N(M1213)+N(N1213)</f>
        <v>18</v>
      </c>
      <c r="CL1213" s="62" t="n">
        <f aca="false">N(M1213)</f>
        <v>3</v>
      </c>
      <c r="CM1213" s="62" t="n">
        <f aca="false">N(N1213)</f>
        <v>15</v>
      </c>
      <c r="CN1213" s="62" t="n">
        <f aca="false">ROUNDUP(H1213/BZ1213,0)</f>
        <v>1</v>
      </c>
      <c r="CO1213" s="62" t="n">
        <f aca="false">ROUNDUP(CJ1213/BZ1213,0)</f>
        <v>0</v>
      </c>
      <c r="CP1213" s="65" t="n">
        <f aca="false">IF(CA1213=1,0,IFERROR(VLOOKUP(BY1213,'Gebinde-Kategorie'!$A$5:$N$45,5,0)+0,0))</f>
        <v>21</v>
      </c>
      <c r="CQ1213" s="65" t="n">
        <f aca="false">IFERROR(IF(OR(CF1213=1,CF1213=2,CF1213=3),N(INDEX(Parameter!$I$5:$I$7,CF1213)),0),0)</f>
        <v>0</v>
      </c>
      <c r="CR1213" s="64" t="n">
        <f aca="false">IF(AND(Parameter!$B$21="Ja",ISNUMBER(W1213),N(X1213)&gt;0),IFERROR(N(INDEX(Parameter!$L$5:$L$7,W1213))*INDEX(Parameter!$E$5:$E$7,W1213)*X1213/SUMIFS($X$7:$X$1843,$W$7:$W$1843,W1213),0),0)</f>
        <v>0</v>
      </c>
      <c r="CS1213" s="62" t="n">
        <f aca="false">IF(AND(OR(CG1213="L1",CG1213="L23",CG1213="LIFT"),H1213&gt;0),CC1213*IF(CR1213&gt;0,CR1213*MAX(1,H1213/X1213),IF(CA1213=1,CE1213,IF(R1213&gt;0,CN1213/R1213,0))/MAX(0.1,N(Parameter!$M$21))),"")</f>
        <v>9.42307692307692</v>
      </c>
      <c r="CT1213" s="64" t="n">
        <f aca="false">IF(CS1213="","",J1213/H1213)</f>
        <v>0.875</v>
      </c>
      <c r="CU1213" s="62" t="n">
        <f aca="false">IF(CS1213="","",H1213*G1213)</f>
        <v>1712</v>
      </c>
      <c r="CV1213" s="63" t="n">
        <f aca="false">IF(CS1213="","",(CL1213+ROUNDUP(CL1213+MAX(CM1213,2*(J1213/MAX(0.1,N(Einkauf!$C$6))-CL1213)),0))/2)</f>
        <v>10.5</v>
      </c>
      <c r="CW1213" s="62" t="n">
        <f aca="false">IF(CS1213="","",MAX(0,H1213-CV1213)*G1213)</f>
        <v>588.5</v>
      </c>
      <c r="CX1213" s="62" t="n">
        <f aca="false">IF(CS1213="","",CS1213*MAX(0,1-CV1213/H1213))</f>
        <v>3.23918269230769</v>
      </c>
      <c r="CY1213" s="64" t="n">
        <f aca="false">IF(CS1213="","",PERCENTRANK($CS$7:$CS$1843,CS1213)+PERCENTRANK($CU$7:$CU$1843,CU1213)+1-PERCENTRANK($CT$7:$CT$1843,CT1213))</f>
        <v>1.705</v>
      </c>
      <c r="CZ1213" s="72" t="n">
        <f aca="false">IF(CS1213="","",CHOOSE(MATCH(Einkauf!$C$5,Parameter!$G$23:$G$27,0),CY1213,CS1213,CU1213,-CT1213,CW1213)+ROW()/1000000000)</f>
        <v>1.705001213</v>
      </c>
    </row>
    <row r="1214" customFormat="false" ht="15" hidden="false" customHeight="false" outlineLevel="0" collapsed="false">
      <c r="A1214" s="60" t="s">
        <v>2221</v>
      </c>
      <c r="B1214" s="60" t="s">
        <v>2222</v>
      </c>
      <c r="C1214" s="60" t="s">
        <v>206</v>
      </c>
      <c r="D1214" s="60" t="s">
        <v>215</v>
      </c>
      <c r="E1214" s="60" t="s">
        <v>507</v>
      </c>
      <c r="F1214" s="60" t="s">
        <v>260</v>
      </c>
      <c r="G1214" s="61" t="n">
        <v>86</v>
      </c>
      <c r="H1214" s="62" t="n">
        <f aca="false">MAX(0,IF(AND(Parameter!$B$21="Ja",ISNUMBER(Y1214)),Y1214,IF(Parameter!$B$20="Jahresanfang 2025 + Export",BS1214+BR1214,BR1214)))</f>
        <v>2</v>
      </c>
      <c r="I1214" s="62" t="n">
        <f aca="false">H1214*G1214</f>
        <v>172</v>
      </c>
      <c r="J1214" s="62" t="n">
        <f aca="false">BU1214*Parameter!$B$18</f>
        <v>36</v>
      </c>
      <c r="K1214" s="63" t="n">
        <v>13</v>
      </c>
      <c r="L1214" s="64" t="n">
        <v>2.76923076923077</v>
      </c>
      <c r="M1214" s="62" t="n">
        <v>1</v>
      </c>
      <c r="N1214" s="62" t="n">
        <v>2</v>
      </c>
      <c r="O1214" s="65" t="n">
        <v>14</v>
      </c>
      <c r="P1214" s="60" t="s">
        <v>210</v>
      </c>
      <c r="Q1214" s="62"/>
      <c r="R1214" s="65" t="n">
        <f aca="false">IF(CA1214=1,0,IFERROR(VLOOKUP(BY1214,'Gebinde-Kategorie'!$A$5:$N$45,13,0)+0,0))</f>
        <v>4</v>
      </c>
      <c r="S1214" s="66"/>
      <c r="T1214" s="67" t="s">
        <v>231</v>
      </c>
      <c r="U1214" s="67"/>
      <c r="V1214" s="67"/>
      <c r="W1214" s="60"/>
      <c r="X1214" s="62"/>
      <c r="Y1214" s="62"/>
      <c r="Z1214" s="60"/>
      <c r="AA1214" s="60" t="str">
        <f aca="false">IF(A1214="","",IF(AND(Parameter!$B$21="Ja",ISNUMBER(W1214)),W1214,IF(AND(Parameter!$E$27="Ja",ISNUMBER(Z1214),CD1214&lt;&gt;"Nein"),Z1214,IF(CD1214="2+3",IF(ISNUMBER(SEARCH("grosser Artikel",BV1214)),2,IFERROR(VLOOKUP(BY1214,Parameter!$F$35:$G$64,2,0),2)),IF(OR(CD1214="Nein",CD1214=""),"-",CD1214)))))</f>
        <v>-</v>
      </c>
      <c r="AB1214" s="67"/>
      <c r="AC1214" s="68"/>
      <c r="AD1214" s="62" t="n">
        <f aca="false">AW1214</f>
        <v>23</v>
      </c>
      <c r="AE1214" s="62" t="n">
        <f aca="false">MAX(AW1214,H1214)</f>
        <v>23</v>
      </c>
      <c r="AF1214" s="69"/>
      <c r="AG1214" s="62" t="n">
        <f aca="false">IF(LEFT(Cockpit!$C$5,1)="A",H1214,IF(Parameter!$E$30="MAX-Bestand",IF(CI1214=1,CJ1214,IF(LEFT(Cockpit!$C$5,1)="B",AM1214,MAX(AM1214,H1214))),ROUNDUP(AK1214,0)))</f>
        <v>2</v>
      </c>
      <c r="AH1214" s="62" t="n">
        <f aca="false">IF(CA1214=1,0,ROUNDUP(AG1214/BZ1214,0))</f>
        <v>1</v>
      </c>
      <c r="AI1214" s="64" t="n">
        <f aca="false">IF(CR1214&gt;0,CR1214*MAX(1,AG1214/X1214),IF(CA1214=1,IF(AG1214&lt;=0,0,CE1214*MAX(1,IF(H1214&gt;0,AG1214/H1214,1))),IF(R1214&gt;0,AH1214/R1214,0))/MAX(0.1,N(Parameter!$M$21)))</f>
        <v>0.25</v>
      </c>
      <c r="AJ1214" s="62" t="n">
        <f aca="false">AI1214*CC1214</f>
        <v>58.75</v>
      </c>
      <c r="AK1214" s="63" t="n">
        <f aca="false">IF(LEFT(Cockpit!$C$5,1)="A",H1214,IF(CI1214=1,(CL1214+CJ1214)/2,IF(LEFT(Cockpit!$C$5,1)="B",(CL1214+AM1214)/2,MAX((CL1214+AM1214)/2,H1214))))</f>
        <v>2</v>
      </c>
      <c r="AL1214" s="62" t="n">
        <f aca="false">AK1214*G1214</f>
        <v>172</v>
      </c>
      <c r="AM1214" s="62" t="n">
        <f aca="false">ROUNDUP(CL1214+MAX(CM1214,2*(J1214/IF(CH1214&gt;0,CH1214,MAX(0.1,N(Cockpit!$C$6)))-CL1214)),0)</f>
        <v>23</v>
      </c>
      <c r="AN1214" s="63" t="n">
        <f aca="false">IF(AJ1214&gt;0,J1214/AJ1214,-1)</f>
        <v>0.612765957446809</v>
      </c>
      <c r="AO1214" s="63" t="str">
        <f aca="false">IF(AND(OR(CG1214="L1",CG1214="L23",CG1214="LIFT"),AJ1214&gt;0),SUMIFS($AJ$7:$AJ$1843,$CG$7:$CG$1843,CG1214,$AN$7:$AN$1843,"&gt;"&amp;AN1214)+SUMIFS($AJ$7:$AJ$1843,$CG$7:$CG$1843,CG1214,$AN$7:$AN$1843,AN1214,$BX$7:$BX$1843,"&lt;="&amp;BX1214),"")</f>
        <v/>
      </c>
      <c r="AP1214" s="70" t="n">
        <f aca="false">IF(AO1214="",0,MAX(0,MIN(1,(IF(CG1214="L1",Parameter!$H$5,IF(CG1214="L23",Parameter!$H$6+Parameter!$H$7,Parameter!$H$5+Parameter!$H$6+Parameter!$H$7))-(AO1214-AJ1214))/AJ1214)))</f>
        <v>0</v>
      </c>
      <c r="AQ1214" s="62" t="n">
        <f aca="false">IF(LEFT(Cockpit!$I$5,1)="A",H1214,IF(Parameter!$E$30="MAX-Bestand",IF(CI1214=1,CJ1214,IF(LEFT(Cockpit!$I$5,1)="B",AW1214,MAX(AW1214,H1214))),ROUNDUP(AU1214,0)))</f>
        <v>12</v>
      </c>
      <c r="AR1214" s="62" t="n">
        <f aca="false">IF(CA1214=1,0,ROUNDUP(AQ1214/BZ1214,0))</f>
        <v>6</v>
      </c>
      <c r="AS1214" s="64" t="n">
        <f aca="false">IF(CR1214&gt;0,CR1214*MAX(1,AQ1214/X1214),IF(CA1214=1,IF(AQ1214&lt;=0,0,CE1214*MAX(1,IF(H1214&gt;0,AQ1214/H1214,1))),IF(R1214&gt;0,AR1214/R1214,0))/MAX(0.1,N(Parameter!$M$21)))</f>
        <v>1.5</v>
      </c>
      <c r="AT1214" s="62" t="n">
        <f aca="false">AS1214*CC1214</f>
        <v>352.5</v>
      </c>
      <c r="AU1214" s="63" t="n">
        <f aca="false">IF(LEFT(Cockpit!$I$5,1)="A",H1214,IF(CI1214=1,(CL1214+CJ1214)/2,IF(LEFT(Cockpit!$I$5,1)="B",(CL1214+AW1214)/2,MAX((CL1214+AW1214)/2,H1214))))</f>
        <v>12</v>
      </c>
      <c r="AV1214" s="62" t="n">
        <f aca="false">AU1214*G1214</f>
        <v>1032</v>
      </c>
      <c r="AW1214" s="62" t="n">
        <f aca="false">ROUNDUP(CL1214+MAX(CM1214,2*(J1214/IF(CH1214&gt;0,CH1214,MAX(0.1,N(Cockpit!$I$6)))-CL1214)),0)</f>
        <v>23</v>
      </c>
      <c r="AX1214" s="63" t="n">
        <f aca="false">IF(AT1214&gt;0,J1214/AT1214,-1)</f>
        <v>0.102127659574468</v>
      </c>
      <c r="AY1214" s="63" t="str">
        <f aca="false">IF(AND(OR(CG1214="L1",CG1214="L23",CG1214="LIFT"),AT1214&gt;0),SUMIFS($AT$7:$AT$1843,$CG$7:$CG$1843,CG1214,$AX$7:$AX$1843,"&gt;"&amp;AX1214)+SUMIFS($AT$7:$AT$1843,$CG$7:$CG$1843,CG1214,$AX$7:$AX$1843,AX1214,$BX$7:$BX$1843,"&lt;="&amp;BX1214),"")</f>
        <v/>
      </c>
      <c r="AZ1214" s="70" t="n">
        <f aca="false">IF(AY1214="",0,MAX(0,MIN(1,(IF(CG1214="L1",Parameter!$H$5,IF(CG1214="L23",Parameter!$H$6+Parameter!$H$7,Parameter!$H$5+Parameter!$H$6+Parameter!$H$7))-(AY1214-AT1214))/AT1214)))</f>
        <v>0</v>
      </c>
      <c r="BA1214" s="62" t="n">
        <f aca="false">IF(LEFT(Cockpit!$O$5,1)="A",H1214,IF(Parameter!$E$30="MAX-Bestand",IF(CI1214=1,CJ1214,IF(LEFT(Cockpit!$O$5,1)="B",BG1214,MAX(BG1214,H1214))),ROUNDUP(BE1214,0)))</f>
        <v>9</v>
      </c>
      <c r="BB1214" s="62" t="n">
        <f aca="false">IF(CA1214=1,0,ROUNDUP(BA1214/BZ1214,0))</f>
        <v>5</v>
      </c>
      <c r="BC1214" s="64" t="n">
        <f aca="false">IF(CR1214&gt;0,CR1214*MAX(1,BA1214/X1214),IF(CA1214=1,IF(BA1214&lt;=0,0,CE1214*MAX(1,IF(H1214&gt;0,BA1214/H1214,1))),IF(R1214&gt;0,BB1214/R1214,0))/MAX(0.1,N(Parameter!$M$21)))</f>
        <v>1.25</v>
      </c>
      <c r="BD1214" s="62" t="n">
        <f aca="false">BC1214*CC1214</f>
        <v>293.75</v>
      </c>
      <c r="BE1214" s="63" t="n">
        <f aca="false">IF(LEFT(Cockpit!$O$5,1)="A",H1214,IF(CI1214=1,(CL1214+CJ1214)/2,IF(LEFT(Cockpit!$O$5,1)="B",(CL1214+BG1214)/2,MAX((CL1214+BG1214)/2,H1214))))</f>
        <v>9</v>
      </c>
      <c r="BF1214" s="62" t="n">
        <f aca="false">BE1214*G1214</f>
        <v>774</v>
      </c>
      <c r="BG1214" s="62" t="n">
        <f aca="false">ROUNDUP(CL1214+MAX(CM1214,2*(J1214/IF(CH1214&gt;0,CH1214,MAX(0.1,N(Cockpit!$O$6)))-CL1214)),0)</f>
        <v>17</v>
      </c>
      <c r="BH1214" s="63" t="n">
        <f aca="false">IF(BD1214&gt;0,J1214/BD1214,-1)</f>
        <v>0.122553191489362</v>
      </c>
      <c r="BI1214" s="63" t="str">
        <f aca="false">IF(AND(OR(CG1214="L1",CG1214="L23",CG1214="LIFT"),BD1214&gt;0),SUMIFS($BD$7:$BD$1843,$CG$7:$CG$1843,CG1214,$BH$7:$BH$1843,"&gt;"&amp;BH1214)+SUMIFS($BD$7:$BD$1843,$CG$7:$CG$1843,CG1214,$BH$7:$BH$1843,BH1214,$BX$7:$BX$1843,"&lt;="&amp;BX1214),"")</f>
        <v/>
      </c>
      <c r="BJ1214" s="70" t="n">
        <f aca="false">IF(BI1214="",0,MAX(0,MIN(1,(IF(CG1214="L1",Parameter!$H$5,IF(CG1214="L23",Parameter!$H$6+Parameter!$H$7,Parameter!$H$5+Parameter!$H$6+Parameter!$H$7))-(BI1214-BD1214))/BD1214)))</f>
        <v>0</v>
      </c>
      <c r="BK1214" s="60" t="str">
        <f aca="false">IF(AJ1214&lt;=0,"",IF(CG1214="Aussen","Aussenlager",IF(CG1214="-","Nicht im Lift",IF(AP1214&gt;=1,"Lift",IF(AP1214&lt;=0,"Aussenlager","teilweise")))))</f>
        <v>Nicht im Lift</v>
      </c>
      <c r="BL1214" s="60" t="str">
        <f aca="false">IF(AT1214&lt;=0,"",IF(CG1214="Aussen","Aussenlager",IF(CG1214="-","Nicht im Lift",IF(AZ1214&gt;=1,"Lift",IF(AZ1214&lt;=0,"Aussenlager","teilweise")))))</f>
        <v>Nicht im Lift</v>
      </c>
      <c r="BM1214" s="60" t="str">
        <f aca="false">IF(BD1214&lt;=0,"",IF(CG1214="Aussen","Aussenlager",IF(CG1214="-","Nicht im Lift",IF(BJ1214&gt;=1,"Lift",IF(BJ1214&lt;=0,"Aussenlager","teilweise")))))</f>
        <v>Nicht im Lift</v>
      </c>
      <c r="BN1214" s="60" t="str">
        <f aca="false">IF(A1214="","",IF(BW1214=1,"Neu; ","")&amp;IF(AND(BW1214=0,BR1214&lt;0),"negativer Bestand (Export "&amp;BR1214&amp;"); ","")&amp;IF(J1214&lt;=0,"Kein Verbrauch; ","")&amp;IF(CR1214&gt;0,"Lift "&amp;W1214&amp;" lt. Liftbericht (Fach "&amp;X1214&amp;" Stk); ",IF(CB1214=1,"Gebinde geschätzt ("&amp;T1214&amp;"); ",IF(CA1214=1,"Lose – Tablare geschätzt; ","")))&amp;IF(H1214&gt;AW1214,"Überbestand "&amp;ROUND(H1214-AW1214,0)&amp;" Stk / CHF "&amp;ROUND((H1214-AW1214)*G1214,0)&amp;"; ","")&amp;IF(AND(CI1214=1,CJ1214&lt;CK1214),"MAX &lt; MB+LG; ","")&amp;IF(AND(CQ1214&gt;0,CP1214*10&gt;CQ1214),"zu hoch für Tablar; ","")&amp;IF(AND(BW1214=0,OR(CI1214=1,AB1214&lt;&gt;"",U1214&lt;&gt;"",V1214&lt;&gt;"",AC1214&lt;&gt;"")),"manuell übersteuert; ","")&amp;IF(AND(CA1214=0,R1214=0),"Gebinde unbekannt / Stellmass fehlt; ","")&amp;IF(AND(CA1214=0,N(V1214)&lt;=0,N(Q1214)&lt;=0),"Menge pro Gebinde fehlt (Ist = 1 Gebinde); ","")&amp;BV1214)</f>
        <v>negativer Bestand (Export -7); Gebinde geschätzt (Gross); Menge pro Gebinde fehlt (Ist = 1 Gebinde); </v>
      </c>
      <c r="BO1214" s="60"/>
      <c r="BP1214" s="60"/>
      <c r="BQ1214" s="67"/>
      <c r="BR1214" s="62" t="n">
        <v>-7</v>
      </c>
      <c r="BS1214" s="62" t="n">
        <v>9</v>
      </c>
      <c r="BT1214" s="61" t="n">
        <v>-544.22</v>
      </c>
      <c r="BU1214" s="62" t="n">
        <v>36</v>
      </c>
      <c r="BV1214" s="60"/>
      <c r="BW1214" s="65" t="n">
        <v>0</v>
      </c>
      <c r="BX1214" s="65" t="n">
        <v>1214</v>
      </c>
      <c r="BY1214" s="60" t="str">
        <f aca="false">IF(U1214&lt;&gt;"",UPPER(TRIM(U1214)),IF(CB1214=1,UPPER(VLOOKUP(T1214,Parameter!$I$27:$K$29,2,0)),IF(P1214="","LOSE",P1214)))</f>
        <v>S81</v>
      </c>
      <c r="BZ1214" s="62" t="n">
        <f aca="false">IF(BY1214="LOSE",1,IF(N(V1214)&gt;0,V1214,IF(CB1214=1,MAX(1,N(VLOOKUP(T1214,Parameter!$I$27:$K$29,3,0)),H1214,N(N1214)),IF(N(Q1214)&gt;0,Q1214,MAX(1,H1214)))))</f>
        <v>2</v>
      </c>
      <c r="CA1214" s="65" t="n">
        <f aca="false">IF(BY1214="LOSE",1,0)</f>
        <v>0</v>
      </c>
      <c r="CB1214" s="65" t="n">
        <f aca="false">IF(AND(U1214="",OR(P1214="",P1214="LOSE"),T1214&lt;&gt;"",N(S1214)&lt;=0,ISNUMBER(MATCH(T1214,Parameter!$I$27:$I$29,0))),1,0)</f>
        <v>1</v>
      </c>
      <c r="CC1214" s="65" t="n">
        <f aca="false">IF(CR1214&gt;0,INDEX(Parameter!$H$5:$H$7,W1214)/INDEX(Parameter!$E$5:$E$7,W1214),IF(AND(CA1214=0,N(IFERROR(VLOOKUP(BY1214,'Gebinde-Kategorie'!$A$5:$N$45,14,0),0))&gt;0),VLOOKUP(BY1214,'Gebinde-Kategorie'!$A$5:$N$45,14,0)*10+Parameter!$M$23,Parameter!$M$24))</f>
        <v>235</v>
      </c>
      <c r="CD1214" s="60" t="str">
        <f aca="false">IF(AND(Parameter!$B$19="Ja",E1214&lt;&gt;"",ISNUMBER(MATCH(E1214,Parameter!$I$35:$I$52,0))),VLOOKUP(E1214,Parameter!$I$35:$J$52,2,0),IFERROR(VLOOKUP(D1214,Parameter!$A$35:$C$64,2,0),"Nein"))</f>
        <v>Nein</v>
      </c>
      <c r="CE1214" s="64" t="n">
        <f aca="false">IF(CA1214=0,0,IF(N(S1214)&gt;0,S1214,IFERROR(VLOOKUP(D1214,Parameter!$A$35:$C$64,3,0)+0,0)))</f>
        <v>0</v>
      </c>
      <c r="CF1214" s="60" t="str">
        <f aca="false">IF(AB1214&lt;&gt;"",AB1214,AA1214)</f>
        <v>-</v>
      </c>
      <c r="CG1214" s="60" t="str">
        <f aca="false">IF(OR(CF1214=1,CF1214=2,CF1214=3),IF(Parameter!$E$27="Ja","LIFT",IF(CF1214=1,"L1","L23")),IF(CF1214="Aussen","Aussen","-"))</f>
        <v>-</v>
      </c>
      <c r="CH1214" s="71" t="n">
        <f aca="false">IF(N(AC1214)&gt;0,AC1214,0)</f>
        <v>0</v>
      </c>
      <c r="CI1214" s="65" t="n">
        <f aca="false">IF(ISNUMBER(AF1214),1,0)</f>
        <v>0</v>
      </c>
      <c r="CJ1214" s="62" t="n">
        <f aca="false">N(AF1214)</f>
        <v>0</v>
      </c>
      <c r="CK1214" s="62" t="n">
        <f aca="false">N(M1214)+N(N1214)</f>
        <v>3</v>
      </c>
      <c r="CL1214" s="62" t="n">
        <f aca="false">N(M1214)</f>
        <v>1</v>
      </c>
      <c r="CM1214" s="62" t="n">
        <f aca="false">N(N1214)</f>
        <v>2</v>
      </c>
      <c r="CN1214" s="62" t="n">
        <f aca="false">ROUNDUP(H1214/BZ1214,0)</f>
        <v>1</v>
      </c>
      <c r="CO1214" s="62" t="n">
        <f aca="false">ROUNDUP(CJ1214/BZ1214,0)</f>
        <v>0</v>
      </c>
      <c r="CP1214" s="65" t="n">
        <f aca="false">IF(CA1214=1,0,IFERROR(VLOOKUP(BY1214,'Gebinde-Kategorie'!$A$5:$N$45,5,0)+0,0))</f>
        <v>20</v>
      </c>
      <c r="CQ1214" s="65" t="n">
        <f aca="false">IFERROR(IF(OR(CF1214=1,CF1214=2,CF1214=3),N(INDEX(Parameter!$I$5:$I$7,CF1214)),0),0)</f>
        <v>0</v>
      </c>
      <c r="CR1214" s="64" t="n">
        <f aca="false">IF(AND(Parameter!$B$21="Ja",ISNUMBER(W1214),N(X1214)&gt;0),IFERROR(N(INDEX(Parameter!$L$5:$L$7,W1214))*INDEX(Parameter!$E$5:$E$7,W1214)*X1214/SUMIFS($X$7:$X$1843,$W$7:$W$1843,W1214),0),0)</f>
        <v>0</v>
      </c>
      <c r="CS1214" s="62" t="str">
        <f aca="false">IF(AND(OR(CG1214="L1",CG1214="L23",CG1214="LIFT"),H1214&gt;0),CC1214*IF(CR1214&gt;0,CR1214*MAX(1,H1214/X1214),IF(CA1214=1,CE1214,IF(R1214&gt;0,CN1214/R1214,0))/MAX(0.1,N(Parameter!$M$21))),"")</f>
        <v/>
      </c>
      <c r="CT1214" s="64" t="str">
        <f aca="false">IF(CS1214="","",J1214/H1214)</f>
        <v/>
      </c>
      <c r="CU1214" s="62" t="str">
        <f aca="false">IF(CS1214="","",H1214*G1214)</f>
        <v/>
      </c>
      <c r="CV1214" s="63" t="str">
        <f aca="false">IF(CS1214="","",(CL1214+ROUNDUP(CL1214+MAX(CM1214,2*(J1214/MAX(0.1,N(Einkauf!$C$6))-CL1214)),0))/2)</f>
        <v/>
      </c>
      <c r="CW1214" s="62" t="str">
        <f aca="false">IF(CS1214="","",MAX(0,H1214-CV1214)*G1214)</f>
        <v/>
      </c>
      <c r="CX1214" s="62" t="str">
        <f aca="false">IF(CS1214="","",CS1214*MAX(0,1-CV1214/H1214))</f>
        <v/>
      </c>
      <c r="CY1214" s="64" t="str">
        <f aca="false">IF(CS1214="","",PERCENTRANK($CS$7:$CS$1843,CS1214)+PERCENTRANK($CU$7:$CU$1843,CU1214)+1-PERCENTRANK($CT$7:$CT$1843,CT1214))</f>
        <v/>
      </c>
      <c r="CZ1214" s="72" t="str">
        <f aca="false">IF(CS1214="","",CHOOSE(MATCH(Einkauf!$C$5,Parameter!$G$23:$G$27,0),CY1214,CS1214,CU1214,-CT1214,CW1214)+ROW()/1000000000)</f>
        <v/>
      </c>
    </row>
    <row r="1215" customFormat="false" ht="15" hidden="false" customHeight="false" outlineLevel="0" collapsed="false">
      <c r="A1215" s="60" t="s">
        <v>2223</v>
      </c>
      <c r="B1215" s="60" t="s">
        <v>2224</v>
      </c>
      <c r="C1215" s="60" t="s">
        <v>498</v>
      </c>
      <c r="D1215" s="60" t="s">
        <v>215</v>
      </c>
      <c r="E1215" s="60" t="s">
        <v>1521</v>
      </c>
      <c r="F1215" s="60" t="s">
        <v>260</v>
      </c>
      <c r="G1215" s="61" t="n">
        <v>141.18</v>
      </c>
      <c r="H1215" s="62" t="n">
        <f aca="false">MAX(0,IF(AND(Parameter!$B$21="Ja",ISNUMBER(Y1215)),Y1215,IF(Parameter!$B$20="Jahresanfang 2025 + Export",BS1215+BR1215,BR1215)))</f>
        <v>0</v>
      </c>
      <c r="I1215" s="62" t="n">
        <f aca="false">H1215*G1215</f>
        <v>0</v>
      </c>
      <c r="J1215" s="62" t="n">
        <f aca="false">BU1215*Parameter!$B$18</f>
        <v>0</v>
      </c>
      <c r="K1215" s="63" t="n">
        <v>2</v>
      </c>
      <c r="L1215" s="64" t="n">
        <v>0</v>
      </c>
      <c r="M1215" s="62" t="n">
        <v>0</v>
      </c>
      <c r="N1215" s="62" t="n">
        <v>1</v>
      </c>
      <c r="O1215" s="65" t="n">
        <v>56</v>
      </c>
      <c r="P1215" s="60" t="s">
        <v>210</v>
      </c>
      <c r="Q1215" s="62"/>
      <c r="R1215" s="65" t="n">
        <f aca="false">IF(CA1215=1,0,IFERROR(VLOOKUP(BY1215,'Gebinde-Kategorie'!$A$5:$N$45,13,0)+0,0))</f>
        <v>4</v>
      </c>
      <c r="S1215" s="66"/>
      <c r="T1215" s="67" t="s">
        <v>231</v>
      </c>
      <c r="U1215" s="67"/>
      <c r="V1215" s="67"/>
      <c r="W1215" s="60"/>
      <c r="X1215" s="62"/>
      <c r="Y1215" s="62"/>
      <c r="Z1215" s="60"/>
      <c r="AA1215" s="60" t="str">
        <f aca="false">IF(A1215="","",IF(AND(Parameter!$B$21="Ja",ISNUMBER(W1215)),W1215,IF(AND(Parameter!$E$27="Ja",ISNUMBER(Z1215),CD1215&lt;&gt;"Nein"),Z1215,IF(CD1215="2+3",IF(ISNUMBER(SEARCH("grosser Artikel",BV1215)),2,IFERROR(VLOOKUP(BY1215,Parameter!$F$35:$G$64,2,0),2)),IF(OR(CD1215="Nein",CD1215=""),"-",CD1215)))))</f>
        <v>-</v>
      </c>
      <c r="AB1215" s="67"/>
      <c r="AC1215" s="68"/>
      <c r="AD1215" s="62" t="n">
        <f aca="false">AW1215</f>
        <v>1</v>
      </c>
      <c r="AE1215" s="62" t="n">
        <f aca="false">MAX(AW1215,H1215)</f>
        <v>1</v>
      </c>
      <c r="AF1215" s="69"/>
      <c r="AG1215" s="62" t="n">
        <f aca="false">IF(LEFT(Cockpit!$C$5,1)="A",H1215,IF(Parameter!$E$30="MAX-Bestand",IF(CI1215=1,CJ1215,IF(LEFT(Cockpit!$C$5,1)="B",AM1215,MAX(AM1215,H1215))),ROUNDUP(AK1215,0)))</f>
        <v>0</v>
      </c>
      <c r="AH1215" s="62" t="n">
        <f aca="false">IF(CA1215=1,0,ROUNDUP(AG1215/BZ1215,0))</f>
        <v>0</v>
      </c>
      <c r="AI1215" s="64" t="n">
        <f aca="false">IF(CR1215&gt;0,CR1215*MAX(1,AG1215/X1215),IF(CA1215=1,IF(AG1215&lt;=0,0,CE1215*MAX(1,IF(H1215&gt;0,AG1215/H1215,1))),IF(R1215&gt;0,AH1215/R1215,0))/MAX(0.1,N(Parameter!$M$21)))</f>
        <v>0</v>
      </c>
      <c r="AJ1215" s="62" t="n">
        <f aca="false">AI1215*CC1215</f>
        <v>0</v>
      </c>
      <c r="AK1215" s="63" t="n">
        <f aca="false">IF(LEFT(Cockpit!$C$5,1)="A",H1215,IF(CI1215=1,(CL1215+CJ1215)/2,IF(LEFT(Cockpit!$C$5,1)="B",(CL1215+AM1215)/2,MAX((CL1215+AM1215)/2,H1215))))</f>
        <v>0</v>
      </c>
      <c r="AL1215" s="62" t="n">
        <f aca="false">AK1215*G1215</f>
        <v>0</v>
      </c>
      <c r="AM1215" s="62" t="n">
        <f aca="false">ROUNDUP(CL1215+MAX(CM1215,2*(J1215/IF(CH1215&gt;0,CH1215,MAX(0.1,N(Cockpit!$C$6)))-CL1215)),0)</f>
        <v>1</v>
      </c>
      <c r="AN1215" s="63" t="n">
        <f aca="false">IF(AJ1215&gt;0,J1215/AJ1215,-1)</f>
        <v>-1</v>
      </c>
      <c r="AO1215" s="63" t="str">
        <f aca="false">IF(AND(OR(CG1215="L1",CG1215="L23",CG1215="LIFT"),AJ1215&gt;0),SUMIFS($AJ$7:$AJ$1843,$CG$7:$CG$1843,CG1215,$AN$7:$AN$1843,"&gt;"&amp;AN1215)+SUMIFS($AJ$7:$AJ$1843,$CG$7:$CG$1843,CG1215,$AN$7:$AN$1843,AN1215,$BX$7:$BX$1843,"&lt;="&amp;BX1215),"")</f>
        <v/>
      </c>
      <c r="AP1215" s="70" t="n">
        <f aca="false">IF(AO1215="",0,MAX(0,MIN(1,(IF(CG1215="L1",Parameter!$H$5,IF(CG1215="L23",Parameter!$H$6+Parameter!$H$7,Parameter!$H$5+Parameter!$H$6+Parameter!$H$7))-(AO1215-AJ1215))/AJ1215)))</f>
        <v>0</v>
      </c>
      <c r="AQ1215" s="62" t="n">
        <f aca="false">IF(LEFT(Cockpit!$I$5,1)="A",H1215,IF(Parameter!$E$30="MAX-Bestand",IF(CI1215=1,CJ1215,IF(LEFT(Cockpit!$I$5,1)="B",AW1215,MAX(AW1215,H1215))),ROUNDUP(AU1215,0)))</f>
        <v>1</v>
      </c>
      <c r="AR1215" s="62" t="n">
        <f aca="false">IF(CA1215=1,0,ROUNDUP(AQ1215/BZ1215,0))</f>
        <v>1</v>
      </c>
      <c r="AS1215" s="64" t="n">
        <f aca="false">IF(CR1215&gt;0,CR1215*MAX(1,AQ1215/X1215),IF(CA1215=1,IF(AQ1215&lt;=0,0,CE1215*MAX(1,IF(H1215&gt;0,AQ1215/H1215,1))),IF(R1215&gt;0,AR1215/R1215,0))/MAX(0.1,N(Parameter!$M$21)))</f>
        <v>0.25</v>
      </c>
      <c r="AT1215" s="62" t="n">
        <f aca="false">AS1215*CC1215</f>
        <v>58.75</v>
      </c>
      <c r="AU1215" s="63" t="n">
        <f aca="false">IF(LEFT(Cockpit!$I$5,1)="A",H1215,IF(CI1215=1,(CL1215+CJ1215)/2,IF(LEFT(Cockpit!$I$5,1)="B",(CL1215+AW1215)/2,MAX((CL1215+AW1215)/2,H1215))))</f>
        <v>0.5</v>
      </c>
      <c r="AV1215" s="62" t="n">
        <f aca="false">AU1215*G1215</f>
        <v>70.59</v>
      </c>
      <c r="AW1215" s="62" t="n">
        <f aca="false">ROUNDUP(CL1215+MAX(CM1215,2*(J1215/IF(CH1215&gt;0,CH1215,MAX(0.1,N(Cockpit!$I$6)))-CL1215)),0)</f>
        <v>1</v>
      </c>
      <c r="AX1215" s="63" t="n">
        <f aca="false">IF(AT1215&gt;0,J1215/AT1215,-1)</f>
        <v>0</v>
      </c>
      <c r="AY1215" s="63" t="str">
        <f aca="false">IF(AND(OR(CG1215="L1",CG1215="L23",CG1215="LIFT"),AT1215&gt;0),SUMIFS($AT$7:$AT$1843,$CG$7:$CG$1843,CG1215,$AX$7:$AX$1843,"&gt;"&amp;AX1215)+SUMIFS($AT$7:$AT$1843,$CG$7:$CG$1843,CG1215,$AX$7:$AX$1843,AX1215,$BX$7:$BX$1843,"&lt;="&amp;BX1215),"")</f>
        <v/>
      </c>
      <c r="AZ1215" s="70" t="n">
        <f aca="false">IF(AY1215="",0,MAX(0,MIN(1,(IF(CG1215="L1",Parameter!$H$5,IF(CG1215="L23",Parameter!$H$6+Parameter!$H$7,Parameter!$H$5+Parameter!$H$6+Parameter!$H$7))-(AY1215-AT1215))/AT1215)))</f>
        <v>0</v>
      </c>
      <c r="BA1215" s="62" t="n">
        <f aca="false">IF(LEFT(Cockpit!$O$5,1)="A",H1215,IF(Parameter!$E$30="MAX-Bestand",IF(CI1215=1,CJ1215,IF(LEFT(Cockpit!$O$5,1)="B",BG1215,MAX(BG1215,H1215))),ROUNDUP(BE1215,0)))</f>
        <v>1</v>
      </c>
      <c r="BB1215" s="62" t="n">
        <f aca="false">IF(CA1215=1,0,ROUNDUP(BA1215/BZ1215,0))</f>
        <v>1</v>
      </c>
      <c r="BC1215" s="64" t="n">
        <f aca="false">IF(CR1215&gt;0,CR1215*MAX(1,BA1215/X1215),IF(CA1215=1,IF(BA1215&lt;=0,0,CE1215*MAX(1,IF(H1215&gt;0,BA1215/H1215,1))),IF(R1215&gt;0,BB1215/R1215,0))/MAX(0.1,N(Parameter!$M$21)))</f>
        <v>0.25</v>
      </c>
      <c r="BD1215" s="62" t="n">
        <f aca="false">BC1215*CC1215</f>
        <v>58.75</v>
      </c>
      <c r="BE1215" s="63" t="n">
        <f aca="false">IF(LEFT(Cockpit!$O$5,1)="A",H1215,IF(CI1215=1,(CL1215+CJ1215)/2,IF(LEFT(Cockpit!$O$5,1)="B",(CL1215+BG1215)/2,MAX((CL1215+BG1215)/2,H1215))))</f>
        <v>0.5</v>
      </c>
      <c r="BF1215" s="62" t="n">
        <f aca="false">BE1215*G1215</f>
        <v>70.59</v>
      </c>
      <c r="BG1215" s="62" t="n">
        <f aca="false">ROUNDUP(CL1215+MAX(CM1215,2*(J1215/IF(CH1215&gt;0,CH1215,MAX(0.1,N(Cockpit!$O$6)))-CL1215)),0)</f>
        <v>1</v>
      </c>
      <c r="BH1215" s="63" t="n">
        <f aca="false">IF(BD1215&gt;0,J1215/BD1215,-1)</f>
        <v>0</v>
      </c>
      <c r="BI1215" s="63" t="str">
        <f aca="false">IF(AND(OR(CG1215="L1",CG1215="L23",CG1215="LIFT"),BD1215&gt;0),SUMIFS($BD$7:$BD$1843,$CG$7:$CG$1843,CG1215,$BH$7:$BH$1843,"&gt;"&amp;BH1215)+SUMIFS($BD$7:$BD$1843,$CG$7:$CG$1843,CG1215,$BH$7:$BH$1843,BH1215,$BX$7:$BX$1843,"&lt;="&amp;BX1215),"")</f>
        <v/>
      </c>
      <c r="BJ1215" s="70" t="n">
        <f aca="false">IF(BI1215="",0,MAX(0,MIN(1,(IF(CG1215="L1",Parameter!$H$5,IF(CG1215="L23",Parameter!$H$6+Parameter!$H$7,Parameter!$H$5+Parameter!$H$6+Parameter!$H$7))-(BI1215-BD1215))/BD1215)))</f>
        <v>0</v>
      </c>
      <c r="BK1215" s="60" t="str">
        <f aca="false">IF(AJ1215&lt;=0,"",IF(CG1215="Aussen","Aussenlager",IF(CG1215="-","Nicht im Lift",IF(AP1215&gt;=1,"Lift",IF(AP1215&lt;=0,"Aussenlager","teilweise")))))</f>
        <v/>
      </c>
      <c r="BL1215" s="60" t="str">
        <f aca="false">IF(AT1215&lt;=0,"",IF(CG1215="Aussen","Aussenlager",IF(CG1215="-","Nicht im Lift",IF(AZ1215&gt;=1,"Lift",IF(AZ1215&lt;=0,"Aussenlager","teilweise")))))</f>
        <v>Nicht im Lift</v>
      </c>
      <c r="BM1215" s="60" t="str">
        <f aca="false">IF(BD1215&lt;=0,"",IF(CG1215="Aussen","Aussenlager",IF(CG1215="-","Nicht im Lift",IF(BJ1215&gt;=1,"Lift",IF(BJ1215&lt;=0,"Aussenlager","teilweise")))))</f>
        <v>Nicht im Lift</v>
      </c>
      <c r="BN1215" s="60" t="str">
        <f aca="false">IF(A1215="","",IF(BW1215=1,"Neu; ","")&amp;IF(AND(BW1215=0,BR1215&lt;0),"negativer Bestand (Export "&amp;BR1215&amp;"); ","")&amp;IF(J1215&lt;=0,"Kein Verbrauch; ","")&amp;IF(CR1215&gt;0,"Lift "&amp;W1215&amp;" lt. Liftbericht (Fach "&amp;X1215&amp;" Stk); ",IF(CB1215=1,"Gebinde geschätzt ("&amp;T1215&amp;"); ",IF(CA1215=1,"Lose – Tablare geschätzt; ","")))&amp;IF(H1215&gt;AW1215,"Überbestand "&amp;ROUND(H1215-AW1215,0)&amp;" Stk / CHF "&amp;ROUND((H1215-AW1215)*G1215,0)&amp;"; ","")&amp;IF(AND(CI1215=1,CJ1215&lt;CK1215),"MAX &lt; MB+LG; ","")&amp;IF(AND(CQ1215&gt;0,CP1215*10&gt;CQ1215),"zu hoch für Tablar; ","")&amp;IF(AND(BW1215=0,OR(CI1215=1,AB1215&lt;&gt;"",U1215&lt;&gt;"",V1215&lt;&gt;"",AC1215&lt;&gt;"")),"manuell übersteuert; ","")&amp;IF(AND(CA1215=0,R1215=0),"Gebinde unbekannt / Stellmass fehlt; ","")&amp;IF(AND(CA1215=0,N(V1215)&lt;=0,N(Q1215)&lt;=0),"Menge pro Gebinde fehlt (Ist = 1 Gebinde); ","")&amp;BV1215)</f>
        <v>negativer Bestand (Export -4); Kein Verbrauch; Gebinde geschätzt (Gross); Menge pro Gebinde fehlt (Ist = 1 Gebinde); </v>
      </c>
      <c r="BO1215" s="60"/>
      <c r="BP1215" s="60"/>
      <c r="BQ1215" s="67"/>
      <c r="BR1215" s="62" t="n">
        <v>-4</v>
      </c>
      <c r="BS1215" s="62" t="n">
        <v>4</v>
      </c>
      <c r="BT1215" s="61" t="n">
        <v>-564.72</v>
      </c>
      <c r="BU1215" s="62" t="n">
        <v>0</v>
      </c>
      <c r="BV1215" s="60"/>
      <c r="BW1215" s="65" t="n">
        <v>0</v>
      </c>
      <c r="BX1215" s="65" t="n">
        <v>1215</v>
      </c>
      <c r="BY1215" s="60" t="str">
        <f aca="false">IF(U1215&lt;&gt;"",UPPER(TRIM(U1215)),IF(CB1215=1,UPPER(VLOOKUP(T1215,Parameter!$I$27:$K$29,2,0)),IF(P1215="","LOSE",P1215)))</f>
        <v>S81</v>
      </c>
      <c r="BZ1215" s="62" t="n">
        <f aca="false">IF(BY1215="LOSE",1,IF(N(V1215)&gt;0,V1215,IF(CB1215=1,MAX(1,N(VLOOKUP(T1215,Parameter!$I$27:$K$29,3,0)),H1215,N(N1215)),IF(N(Q1215)&gt;0,Q1215,MAX(1,H1215)))))</f>
        <v>2</v>
      </c>
      <c r="CA1215" s="65" t="n">
        <f aca="false">IF(BY1215="LOSE",1,0)</f>
        <v>0</v>
      </c>
      <c r="CB1215" s="65" t="n">
        <f aca="false">IF(AND(U1215="",OR(P1215="",P1215="LOSE"),T1215&lt;&gt;"",N(S1215)&lt;=0,ISNUMBER(MATCH(T1215,Parameter!$I$27:$I$29,0))),1,0)</f>
        <v>1</v>
      </c>
      <c r="CC1215" s="65" t="n">
        <f aca="false">IF(CR1215&gt;0,INDEX(Parameter!$H$5:$H$7,W1215)/INDEX(Parameter!$E$5:$E$7,W1215),IF(AND(CA1215=0,N(IFERROR(VLOOKUP(BY1215,'Gebinde-Kategorie'!$A$5:$N$45,14,0),0))&gt;0),VLOOKUP(BY1215,'Gebinde-Kategorie'!$A$5:$N$45,14,0)*10+Parameter!$M$23,Parameter!$M$24))</f>
        <v>235</v>
      </c>
      <c r="CD1215" s="60" t="str">
        <f aca="false">IF(AND(Parameter!$B$19="Ja",E1215&lt;&gt;"",ISNUMBER(MATCH(E1215,Parameter!$I$35:$I$52,0))),VLOOKUP(E1215,Parameter!$I$35:$J$52,2,0),IFERROR(VLOOKUP(D1215,Parameter!$A$35:$C$64,2,0),"Nein"))</f>
        <v>Nein</v>
      </c>
      <c r="CE1215" s="64" t="n">
        <f aca="false">IF(CA1215=0,0,IF(N(S1215)&gt;0,S1215,IFERROR(VLOOKUP(D1215,Parameter!$A$35:$C$64,3,0)+0,0)))</f>
        <v>0</v>
      </c>
      <c r="CF1215" s="60" t="str">
        <f aca="false">IF(AB1215&lt;&gt;"",AB1215,AA1215)</f>
        <v>-</v>
      </c>
      <c r="CG1215" s="60" t="str">
        <f aca="false">IF(OR(CF1215=1,CF1215=2,CF1215=3),IF(Parameter!$E$27="Ja","LIFT",IF(CF1215=1,"L1","L23")),IF(CF1215="Aussen","Aussen","-"))</f>
        <v>-</v>
      </c>
      <c r="CH1215" s="71" t="n">
        <f aca="false">IF(N(AC1215)&gt;0,AC1215,0)</f>
        <v>0</v>
      </c>
      <c r="CI1215" s="65" t="n">
        <f aca="false">IF(ISNUMBER(AF1215),1,0)</f>
        <v>0</v>
      </c>
      <c r="CJ1215" s="62" t="n">
        <f aca="false">N(AF1215)</f>
        <v>0</v>
      </c>
      <c r="CK1215" s="62" t="n">
        <f aca="false">N(M1215)+N(N1215)</f>
        <v>1</v>
      </c>
      <c r="CL1215" s="62" t="n">
        <f aca="false">N(M1215)</f>
        <v>0</v>
      </c>
      <c r="CM1215" s="62" t="n">
        <f aca="false">N(N1215)</f>
        <v>1</v>
      </c>
      <c r="CN1215" s="62" t="n">
        <f aca="false">ROUNDUP(H1215/BZ1215,0)</f>
        <v>0</v>
      </c>
      <c r="CO1215" s="62" t="n">
        <f aca="false">ROUNDUP(CJ1215/BZ1215,0)</f>
        <v>0</v>
      </c>
      <c r="CP1215" s="65" t="n">
        <f aca="false">IF(CA1215=1,0,IFERROR(VLOOKUP(BY1215,'Gebinde-Kategorie'!$A$5:$N$45,5,0)+0,0))</f>
        <v>20</v>
      </c>
      <c r="CQ1215" s="65" t="n">
        <f aca="false">IFERROR(IF(OR(CF1215=1,CF1215=2,CF1215=3),N(INDEX(Parameter!$I$5:$I$7,CF1215)),0),0)</f>
        <v>0</v>
      </c>
      <c r="CR1215" s="64" t="n">
        <f aca="false">IF(AND(Parameter!$B$21="Ja",ISNUMBER(W1215),N(X1215)&gt;0),IFERROR(N(INDEX(Parameter!$L$5:$L$7,W1215))*INDEX(Parameter!$E$5:$E$7,W1215)*X1215/SUMIFS($X$7:$X$1843,$W$7:$W$1843,W1215),0),0)</f>
        <v>0</v>
      </c>
      <c r="CS1215" s="62" t="str">
        <f aca="false">IF(AND(OR(CG1215="L1",CG1215="L23",CG1215="LIFT"),H1215&gt;0),CC1215*IF(CR1215&gt;0,CR1215*MAX(1,H1215/X1215),IF(CA1215=1,CE1215,IF(R1215&gt;0,CN1215/R1215,0))/MAX(0.1,N(Parameter!$M$21))),"")</f>
        <v/>
      </c>
      <c r="CT1215" s="64" t="str">
        <f aca="false">IF(CS1215="","",J1215/H1215)</f>
        <v/>
      </c>
      <c r="CU1215" s="62" t="str">
        <f aca="false">IF(CS1215="","",H1215*G1215)</f>
        <v/>
      </c>
      <c r="CV1215" s="63" t="str">
        <f aca="false">IF(CS1215="","",(CL1215+ROUNDUP(CL1215+MAX(CM1215,2*(J1215/MAX(0.1,N(Einkauf!$C$6))-CL1215)),0))/2)</f>
        <v/>
      </c>
      <c r="CW1215" s="62" t="str">
        <f aca="false">IF(CS1215="","",MAX(0,H1215-CV1215)*G1215)</f>
        <v/>
      </c>
      <c r="CX1215" s="62" t="str">
        <f aca="false">IF(CS1215="","",CS1215*MAX(0,1-CV1215/H1215))</f>
        <v/>
      </c>
      <c r="CY1215" s="64" t="str">
        <f aca="false">IF(CS1215="","",PERCENTRANK($CS$7:$CS$1843,CS1215)+PERCENTRANK($CU$7:$CU$1843,CU1215)+1-PERCENTRANK($CT$7:$CT$1843,CT1215))</f>
        <v/>
      </c>
      <c r="CZ1215" s="72" t="str">
        <f aca="false">IF(CS1215="","",CHOOSE(MATCH(Einkauf!$C$5,Parameter!$G$23:$G$27,0),CY1215,CS1215,CU1215,-CT1215,CW1215)+ROW()/1000000000)</f>
        <v/>
      </c>
    </row>
    <row r="1216" customFormat="false" ht="15" hidden="false" customHeight="false" outlineLevel="0" collapsed="false">
      <c r="A1216" s="60" t="s">
        <v>2225</v>
      </c>
      <c r="B1216" s="60" t="s">
        <v>1445</v>
      </c>
      <c r="C1216" s="60" t="s">
        <v>206</v>
      </c>
      <c r="D1216" s="60" t="s">
        <v>226</v>
      </c>
      <c r="E1216" s="60"/>
      <c r="F1216" s="60" t="s">
        <v>260</v>
      </c>
      <c r="G1216" s="61" t="n">
        <v>63.26</v>
      </c>
      <c r="H1216" s="62" t="n">
        <f aca="false">MAX(0,IF(AND(Parameter!$B$21="Ja",ISNUMBER(Y1216)),Y1216,IF(Parameter!$B$20="Jahresanfang 2025 + Export",BS1216+BR1216,BR1216)))</f>
        <v>18</v>
      </c>
      <c r="I1216" s="62" t="n">
        <f aca="false">H1216*G1216</f>
        <v>1138.68</v>
      </c>
      <c r="J1216" s="62" t="n">
        <f aca="false">BU1216*Parameter!$B$18</f>
        <v>2</v>
      </c>
      <c r="K1216" s="63" t="n">
        <v>25</v>
      </c>
      <c r="L1216" s="64" t="n">
        <v>0.08</v>
      </c>
      <c r="M1216" s="62" t="n">
        <v>0</v>
      </c>
      <c r="N1216" s="62" t="n">
        <v>1</v>
      </c>
      <c r="O1216" s="65" t="n">
        <v>35</v>
      </c>
      <c r="P1216" s="60" t="s">
        <v>210</v>
      </c>
      <c r="Q1216" s="62"/>
      <c r="R1216" s="65" t="n">
        <f aca="false">IF(CA1216=1,0,IFERROR(VLOOKUP(BY1216,'Gebinde-Kategorie'!$A$5:$N$45,13,0)+0,0))</f>
        <v>26</v>
      </c>
      <c r="S1216" s="66"/>
      <c r="T1216" s="67" t="s">
        <v>317</v>
      </c>
      <c r="U1216" s="67"/>
      <c r="V1216" s="67"/>
      <c r="W1216" s="60"/>
      <c r="X1216" s="62"/>
      <c r="Y1216" s="62"/>
      <c r="Z1216" s="60" t="n">
        <v>3</v>
      </c>
      <c r="AA1216" s="60" t="n">
        <f aca="false">IF(A1216="","",IF(AND(Parameter!$B$21="Ja",ISNUMBER(W1216)),W1216,IF(AND(Parameter!$E$27="Ja",ISNUMBER(Z1216),CD1216&lt;&gt;"Nein"),Z1216,IF(CD1216="2+3",IF(ISNUMBER(SEARCH("grosser Artikel",BV1216)),2,IFERROR(VLOOKUP(BY1216,Parameter!$F$35:$G$64,2,0),2)),IF(OR(CD1216="Nein",CD1216=""),"-",CD1216)))))</f>
        <v>3</v>
      </c>
      <c r="AB1216" s="67"/>
      <c r="AC1216" s="68"/>
      <c r="AD1216" s="62" t="n">
        <f aca="false">AW1216</f>
        <v>2</v>
      </c>
      <c r="AE1216" s="62" t="n">
        <f aca="false">MAX(AW1216,H1216)</f>
        <v>18</v>
      </c>
      <c r="AF1216" s="69"/>
      <c r="AG1216" s="62" t="n">
        <f aca="false">IF(LEFT(Cockpit!$C$5,1)="A",H1216,IF(Parameter!$E$30="MAX-Bestand",IF(CI1216=1,CJ1216,IF(LEFT(Cockpit!$C$5,1)="B",AM1216,MAX(AM1216,H1216))),ROUNDUP(AK1216,0)))</f>
        <v>18</v>
      </c>
      <c r="AH1216" s="62" t="n">
        <f aca="false">IF(CA1216=1,0,ROUNDUP(AG1216/BZ1216,0))</f>
        <v>1</v>
      </c>
      <c r="AI1216" s="64" t="n">
        <f aca="false">IF(CR1216&gt;0,CR1216*MAX(1,AG1216/X1216),IF(CA1216=1,IF(AG1216&lt;=0,0,CE1216*MAX(1,IF(H1216&gt;0,AG1216/H1216,1))),IF(R1216&gt;0,AH1216/R1216,0))/MAX(0.1,N(Parameter!$M$21)))</f>
        <v>0.0384615384615385</v>
      </c>
      <c r="AJ1216" s="62" t="n">
        <f aca="false">AI1216*CC1216</f>
        <v>5.96153846153846</v>
      </c>
      <c r="AK1216" s="63" t="n">
        <f aca="false">IF(LEFT(Cockpit!$C$5,1)="A",H1216,IF(CI1216=1,(CL1216+CJ1216)/2,IF(LEFT(Cockpit!$C$5,1)="B",(CL1216+AM1216)/2,MAX((CL1216+AM1216)/2,H1216))))</f>
        <v>18</v>
      </c>
      <c r="AL1216" s="62" t="n">
        <f aca="false">AK1216*G1216</f>
        <v>1138.68</v>
      </c>
      <c r="AM1216" s="62" t="n">
        <f aca="false">ROUNDUP(CL1216+MAX(CM1216,2*(J1216/IF(CH1216&gt;0,CH1216,MAX(0.1,N(Cockpit!$C$6)))-CL1216)),0)</f>
        <v>2</v>
      </c>
      <c r="AN1216" s="63" t="n">
        <f aca="false">IF(AJ1216&gt;0,J1216/AJ1216,-1)</f>
        <v>0.335483870967742</v>
      </c>
      <c r="AO1216" s="63" t="n">
        <f aca="false">IF(AND(OR(CG1216="L1",CG1216="L23",CG1216="LIFT"),AJ1216&gt;0),SUMIFS($AJ$7:$AJ$1843,$CG$7:$CG$1843,CG1216,$AN$7:$AN$1843,"&gt;"&amp;AN1216)+SUMIFS($AJ$7:$AJ$1843,$CG$7:$CG$1843,CG1216,$AN$7:$AN$1843,AN1216,$BX$7:$BX$1843,"&lt;="&amp;BX1216),"")</f>
        <v>11242.6539625629</v>
      </c>
      <c r="AP1216" s="70" t="n">
        <f aca="false">IF(AO1216="",0,MAX(0,MIN(1,(IF(CG1216="L1",Parameter!$H$5,IF(CG1216="L23",Parameter!$H$6+Parameter!$H$7,Parameter!$H$5+Parameter!$H$6+Parameter!$H$7))-(AO1216-AJ1216))/AJ1216)))</f>
        <v>1</v>
      </c>
      <c r="AQ1216" s="62" t="n">
        <f aca="false">IF(LEFT(Cockpit!$I$5,1)="A",H1216,IF(Parameter!$E$30="MAX-Bestand",IF(CI1216=1,CJ1216,IF(LEFT(Cockpit!$I$5,1)="B",AW1216,MAX(AW1216,H1216))),ROUNDUP(AU1216,0)))</f>
        <v>18</v>
      </c>
      <c r="AR1216" s="62" t="n">
        <f aca="false">IF(CA1216=1,0,ROUNDUP(AQ1216/BZ1216,0))</f>
        <v>1</v>
      </c>
      <c r="AS1216" s="64" t="n">
        <f aca="false">IF(CR1216&gt;0,CR1216*MAX(1,AQ1216/X1216),IF(CA1216=1,IF(AQ1216&lt;=0,0,CE1216*MAX(1,IF(H1216&gt;0,AQ1216/H1216,1))),IF(R1216&gt;0,AR1216/R1216,0))/MAX(0.1,N(Parameter!$M$21)))</f>
        <v>0.0384615384615385</v>
      </c>
      <c r="AT1216" s="62" t="n">
        <f aca="false">AS1216*CC1216</f>
        <v>5.96153846153846</v>
      </c>
      <c r="AU1216" s="63" t="n">
        <f aca="false">IF(LEFT(Cockpit!$I$5,1)="A",H1216,IF(CI1216=1,(CL1216+CJ1216)/2,IF(LEFT(Cockpit!$I$5,1)="B",(CL1216+AW1216)/2,MAX((CL1216+AW1216)/2,H1216))))</f>
        <v>18</v>
      </c>
      <c r="AV1216" s="62" t="n">
        <f aca="false">AU1216*G1216</f>
        <v>1138.68</v>
      </c>
      <c r="AW1216" s="62" t="n">
        <f aca="false">ROUNDUP(CL1216+MAX(CM1216,2*(J1216/IF(CH1216&gt;0,CH1216,MAX(0.1,N(Cockpit!$I$6)))-CL1216)),0)</f>
        <v>2</v>
      </c>
      <c r="AX1216" s="63" t="n">
        <f aca="false">IF(AT1216&gt;0,J1216/AT1216,-1)</f>
        <v>0.335483870967742</v>
      </c>
      <c r="AY1216" s="63" t="n">
        <f aca="false">IF(AND(OR(CG1216="L1",CG1216="L23",CG1216="LIFT"),AT1216&gt;0),SUMIFS($AT$7:$AT$1843,$CG$7:$CG$1843,CG1216,$AX$7:$AX$1843,"&gt;"&amp;AX1216)+SUMIFS($AT$7:$AT$1843,$CG$7:$CG$1843,CG1216,$AX$7:$AX$1843,AX1216,$BX$7:$BX$1843,"&lt;="&amp;BX1216),"")</f>
        <v>13776.7916666667</v>
      </c>
      <c r="AZ1216" s="70" t="n">
        <f aca="false">IF(AY1216="",0,MAX(0,MIN(1,(IF(CG1216="L1",Parameter!$H$5,IF(CG1216="L23",Parameter!$H$6+Parameter!$H$7,Parameter!$H$5+Parameter!$H$6+Parameter!$H$7))-(AY1216-AT1216))/AT1216)))</f>
        <v>1</v>
      </c>
      <c r="BA1216" s="62" t="n">
        <f aca="false">IF(LEFT(Cockpit!$O$5,1)="A",H1216,IF(Parameter!$E$30="MAX-Bestand",IF(CI1216=1,CJ1216,IF(LEFT(Cockpit!$O$5,1)="B",BG1216,MAX(BG1216,H1216))),ROUNDUP(BE1216,0)))</f>
        <v>1</v>
      </c>
      <c r="BB1216" s="62" t="n">
        <f aca="false">IF(CA1216=1,0,ROUNDUP(BA1216/BZ1216,0))</f>
        <v>1</v>
      </c>
      <c r="BC1216" s="64" t="n">
        <f aca="false">IF(CR1216&gt;0,CR1216*MAX(1,BA1216/X1216),IF(CA1216=1,IF(BA1216&lt;=0,0,CE1216*MAX(1,IF(H1216&gt;0,BA1216/H1216,1))),IF(R1216&gt;0,BB1216/R1216,0))/MAX(0.1,N(Parameter!$M$21)))</f>
        <v>0.0384615384615385</v>
      </c>
      <c r="BD1216" s="62" t="n">
        <f aca="false">BC1216*CC1216</f>
        <v>5.96153846153846</v>
      </c>
      <c r="BE1216" s="63" t="n">
        <f aca="false">IF(LEFT(Cockpit!$O$5,1)="A",H1216,IF(CI1216=1,(CL1216+CJ1216)/2,IF(LEFT(Cockpit!$O$5,1)="B",(CL1216+BG1216)/2,MAX((CL1216+BG1216)/2,H1216))))</f>
        <v>0.5</v>
      </c>
      <c r="BF1216" s="62" t="n">
        <f aca="false">BE1216*G1216</f>
        <v>31.63</v>
      </c>
      <c r="BG1216" s="62" t="n">
        <f aca="false">ROUNDUP(CL1216+MAX(CM1216,2*(J1216/IF(CH1216&gt;0,CH1216,MAX(0.1,N(Cockpit!$O$6)))-CL1216)),0)</f>
        <v>1</v>
      </c>
      <c r="BH1216" s="63" t="n">
        <f aca="false">IF(BD1216&gt;0,J1216/BD1216,-1)</f>
        <v>0.335483870967742</v>
      </c>
      <c r="BI1216" s="63" t="n">
        <f aca="false">IF(AND(OR(CG1216="L1",CG1216="L23",CG1216="LIFT"),BD1216&gt;0),SUMIFS($BD$7:$BD$1843,$CG$7:$CG$1843,CG1216,$BH$7:$BH$1843,"&gt;"&amp;BH1216)+SUMIFS($BD$7:$BD$1843,$CG$7:$CG$1843,CG1216,$BH$7:$BH$1843,BH1216,$BX$7:$BX$1843,"&lt;="&amp;BX1216),"")</f>
        <v>11627.7504578755</v>
      </c>
      <c r="BJ1216" s="70" t="n">
        <f aca="false">IF(BI1216="",0,MAX(0,MIN(1,(IF(CG1216="L1",Parameter!$H$5,IF(CG1216="L23",Parameter!$H$6+Parameter!$H$7,Parameter!$H$5+Parameter!$H$6+Parameter!$H$7))-(BI1216-BD1216))/BD1216)))</f>
        <v>1</v>
      </c>
      <c r="BK1216" s="60" t="str">
        <f aca="false">IF(AJ1216&lt;=0,"",IF(CG1216="Aussen","Aussenlager",IF(CG1216="-","Nicht im Lift",IF(AP1216&gt;=1,"Lift",IF(AP1216&lt;=0,"Aussenlager","teilweise")))))</f>
        <v>Lift</v>
      </c>
      <c r="BL1216" s="60" t="str">
        <f aca="false">IF(AT1216&lt;=0,"",IF(CG1216="Aussen","Aussenlager",IF(CG1216="-","Nicht im Lift",IF(AZ1216&gt;=1,"Lift",IF(AZ1216&lt;=0,"Aussenlager","teilweise")))))</f>
        <v>Lift</v>
      </c>
      <c r="BM1216" s="60" t="str">
        <f aca="false">IF(BD1216&lt;=0,"",IF(CG1216="Aussen","Aussenlager",IF(CG1216="-","Nicht im Lift",IF(BJ1216&gt;=1,"Lift",IF(BJ1216&lt;=0,"Aussenlager","teilweise")))))</f>
        <v>Lift</v>
      </c>
      <c r="BN1216" s="60" t="str">
        <f aca="false">IF(A1216="","",IF(BW1216=1,"Neu; ","")&amp;IF(AND(BW1216=0,BR1216&lt;0),"negativer Bestand (Export "&amp;BR1216&amp;"); ","")&amp;IF(J1216&lt;=0,"Kein Verbrauch; ","")&amp;IF(CR1216&gt;0,"Lift "&amp;W1216&amp;" lt. Liftbericht (Fach "&amp;X1216&amp;" Stk); ",IF(CB1216=1,"Gebinde geschätzt ("&amp;T1216&amp;"); ",IF(CA1216=1,"Lose – Tablare geschätzt; ","")))&amp;IF(H1216&gt;AW1216,"Überbestand "&amp;ROUND(H1216-AW1216,0)&amp;" Stk / CHF "&amp;ROUND((H1216-AW1216)*G1216,0)&amp;"; ","")&amp;IF(AND(CI1216=1,CJ1216&lt;CK1216),"MAX &lt; MB+LG; ","")&amp;IF(AND(CQ1216&gt;0,CP1216*10&gt;CQ1216),"zu hoch für Tablar; ","")&amp;IF(AND(BW1216=0,OR(CI1216=1,AB1216&lt;&gt;"",U1216&lt;&gt;"",V1216&lt;&gt;"",AC1216&lt;&gt;"")),"manuell übersteuert; ","")&amp;IF(AND(CA1216=0,R1216=0),"Gebinde unbekannt / Stellmass fehlt; ","")&amp;IF(AND(CA1216=0,N(V1216)&lt;=0,N(Q1216)&lt;=0),"Menge pro Gebinde fehlt (Ist = 1 Gebinde); ","")&amp;BV1216)</f>
        <v>negativer Bestand (Export -9); Gebinde geschätzt (Klein); Überbestand 16 Stk / CHF 1012; Menge pro Gebinde fehlt (Ist = 1 Gebinde); </v>
      </c>
      <c r="BO1216" s="60"/>
      <c r="BP1216" s="60"/>
      <c r="BQ1216" s="67"/>
      <c r="BR1216" s="62" t="n">
        <v>-9</v>
      </c>
      <c r="BS1216" s="62" t="n">
        <v>27</v>
      </c>
      <c r="BT1216" s="61" t="n">
        <v>-569.34</v>
      </c>
      <c r="BU1216" s="62" t="n">
        <v>2</v>
      </c>
      <c r="BV1216" s="60"/>
      <c r="BW1216" s="65" t="n">
        <v>0</v>
      </c>
      <c r="BX1216" s="65" t="n">
        <v>1216</v>
      </c>
      <c r="BY1216" s="60" t="str">
        <f aca="false">IF(U1216&lt;&gt;"",UPPER(TRIM(U1216)),IF(CB1216=1,UPPER(VLOOKUP(T1216,Parameter!$I$27:$K$29,2,0)),IF(P1216="","LOSE",P1216)))</f>
        <v>S51</v>
      </c>
      <c r="BZ1216" s="62" t="n">
        <f aca="false">IF(BY1216="LOSE",1,IF(N(V1216)&gt;0,V1216,IF(CB1216=1,MAX(1,N(VLOOKUP(T1216,Parameter!$I$27:$K$29,3,0)),H1216,N(N1216)),IF(N(Q1216)&gt;0,Q1216,MAX(1,H1216)))))</f>
        <v>20</v>
      </c>
      <c r="CA1216" s="65" t="n">
        <f aca="false">IF(BY1216="LOSE",1,0)</f>
        <v>0</v>
      </c>
      <c r="CB1216" s="65" t="n">
        <f aca="false">IF(AND(U1216="",OR(P1216="",P1216="LOSE"),T1216&lt;&gt;"",N(S1216)&lt;=0,ISNUMBER(MATCH(T1216,Parameter!$I$27:$I$29,0))),1,0)</f>
        <v>1</v>
      </c>
      <c r="CC1216" s="65" t="n">
        <f aca="false">IF(CR1216&gt;0,INDEX(Parameter!$H$5:$H$7,W1216)/INDEX(Parameter!$E$5:$E$7,W1216),IF(AND(CA1216=0,N(IFERROR(VLOOKUP(BY1216,'Gebinde-Kategorie'!$A$5:$N$45,14,0),0))&gt;0),VLOOKUP(BY1216,'Gebinde-Kategorie'!$A$5:$N$45,14,0)*10+Parameter!$M$23,Parameter!$M$24))</f>
        <v>155</v>
      </c>
      <c r="CD1216" s="60" t="str">
        <f aca="false">IF(AND(Parameter!$B$19="Ja",E1216&lt;&gt;"",ISNUMBER(MATCH(E1216,Parameter!$I$35:$I$52,0))),VLOOKUP(E1216,Parameter!$I$35:$J$52,2,0),IFERROR(VLOOKUP(D1216,Parameter!$A$35:$C$64,2,0),"Nein"))</f>
        <v>2+3</v>
      </c>
      <c r="CE1216" s="64" t="n">
        <f aca="false">IF(CA1216=0,0,IF(N(S1216)&gt;0,S1216,IFERROR(VLOOKUP(D1216,Parameter!$A$35:$C$64,3,0)+0,0)))</f>
        <v>0</v>
      </c>
      <c r="CF1216" s="60" t="n">
        <f aca="false">IF(AB1216&lt;&gt;"",AB1216,AA1216)</f>
        <v>3</v>
      </c>
      <c r="CG1216" s="60" t="str">
        <f aca="false">IF(OR(CF1216=1,CF1216=2,CF1216=3),IF(Parameter!$E$27="Ja","LIFT",IF(CF1216=1,"L1","L23")),IF(CF1216="Aussen","Aussen","-"))</f>
        <v>LIFT</v>
      </c>
      <c r="CH1216" s="71" t="n">
        <f aca="false">IF(N(AC1216)&gt;0,AC1216,0)</f>
        <v>0</v>
      </c>
      <c r="CI1216" s="65" t="n">
        <f aca="false">IF(ISNUMBER(AF1216),1,0)</f>
        <v>0</v>
      </c>
      <c r="CJ1216" s="62" t="n">
        <f aca="false">N(AF1216)</f>
        <v>0</v>
      </c>
      <c r="CK1216" s="62" t="n">
        <f aca="false">N(M1216)+N(N1216)</f>
        <v>1</v>
      </c>
      <c r="CL1216" s="62" t="n">
        <f aca="false">N(M1216)</f>
        <v>0</v>
      </c>
      <c r="CM1216" s="62" t="n">
        <f aca="false">N(N1216)</f>
        <v>1</v>
      </c>
      <c r="CN1216" s="62" t="n">
        <f aca="false">ROUNDUP(H1216/BZ1216,0)</f>
        <v>1</v>
      </c>
      <c r="CO1216" s="62" t="n">
        <f aca="false">ROUNDUP(CJ1216/BZ1216,0)</f>
        <v>0</v>
      </c>
      <c r="CP1216" s="65" t="n">
        <f aca="false">IF(CA1216=1,0,IFERROR(VLOOKUP(BY1216,'Gebinde-Kategorie'!$A$5:$N$45,5,0)+0,0))</f>
        <v>11</v>
      </c>
      <c r="CQ1216" s="65" t="n">
        <f aca="false">IFERROR(IF(OR(CF1216=1,CF1216=2,CF1216=3),N(INDEX(Parameter!$I$5:$I$7,CF1216)),0),0)</f>
        <v>0</v>
      </c>
      <c r="CR1216" s="64" t="n">
        <f aca="false">IF(AND(Parameter!$B$21="Ja",ISNUMBER(W1216),N(X1216)&gt;0),IFERROR(N(INDEX(Parameter!$L$5:$L$7,W1216))*INDEX(Parameter!$E$5:$E$7,W1216)*X1216/SUMIFS($X$7:$X$1843,$W$7:$W$1843,W1216),0),0)</f>
        <v>0</v>
      </c>
      <c r="CS1216" s="62" t="n">
        <f aca="false">IF(AND(OR(CG1216="L1",CG1216="L23",CG1216="LIFT"),H1216&gt;0),CC1216*IF(CR1216&gt;0,CR1216*MAX(1,H1216/X1216),IF(CA1216=1,CE1216,IF(R1216&gt;0,CN1216/R1216,0))/MAX(0.1,N(Parameter!$M$21))),"")</f>
        <v>5.96153846153846</v>
      </c>
      <c r="CT1216" s="64" t="n">
        <f aca="false">IF(CS1216="","",J1216/H1216)</f>
        <v>0.111111111111111</v>
      </c>
      <c r="CU1216" s="62" t="n">
        <f aca="false">IF(CS1216="","",H1216*G1216)</f>
        <v>1138.68</v>
      </c>
      <c r="CV1216" s="63" t="n">
        <f aca="false">IF(CS1216="","",(CL1216+ROUNDUP(CL1216+MAX(CM1216,2*(J1216/MAX(0.1,N(Einkauf!$C$6))-CL1216)),0))/2)</f>
        <v>0.5</v>
      </c>
      <c r="CW1216" s="62" t="n">
        <f aca="false">IF(CS1216="","",MAX(0,H1216-CV1216)*G1216)</f>
        <v>1107.05</v>
      </c>
      <c r="CX1216" s="62" t="n">
        <f aca="false">IF(CS1216="","",CS1216*MAX(0,1-CV1216/H1216))</f>
        <v>5.79594017094017</v>
      </c>
      <c r="CY1216" s="64" t="n">
        <f aca="false">IF(CS1216="","",PERCENTRANK($CS$7:$CS$1843,CS1216)+PERCENTRANK($CU$7:$CU$1843,CU1216)+1-PERCENTRANK($CT$7:$CT$1843,CT1216))</f>
        <v>1.598</v>
      </c>
      <c r="CZ1216" s="72" t="n">
        <f aca="false">IF(CS1216="","",CHOOSE(MATCH(Einkauf!$C$5,Parameter!$G$23:$G$27,0),CY1216,CS1216,CU1216,-CT1216,CW1216)+ROW()/1000000000)</f>
        <v>1.598001216</v>
      </c>
    </row>
    <row r="1217" customFormat="false" ht="15" hidden="false" customHeight="false" outlineLevel="0" collapsed="false">
      <c r="A1217" s="60" t="s">
        <v>2226</v>
      </c>
      <c r="B1217" s="60" t="s">
        <v>513</v>
      </c>
      <c r="C1217" s="60" t="s">
        <v>206</v>
      </c>
      <c r="D1217" s="60" t="s">
        <v>215</v>
      </c>
      <c r="E1217" s="60" t="s">
        <v>227</v>
      </c>
      <c r="F1217" s="60" t="s">
        <v>260</v>
      </c>
      <c r="G1217" s="61" t="n">
        <v>2.9</v>
      </c>
      <c r="H1217" s="62" t="n">
        <f aca="false">MAX(0,IF(AND(Parameter!$B$21="Ja",ISNUMBER(Y1217)),Y1217,IF(Parameter!$B$20="Jahresanfang 2025 + Export",BS1217+BR1217,BR1217)))</f>
        <v>119</v>
      </c>
      <c r="I1217" s="62" t="n">
        <f aca="false">H1217*G1217</f>
        <v>345.1</v>
      </c>
      <c r="J1217" s="62" t="n">
        <f aca="false">BU1217*Parameter!$B$18</f>
        <v>403</v>
      </c>
      <c r="K1217" s="63" t="n">
        <v>227</v>
      </c>
      <c r="L1217" s="64" t="n">
        <v>1.77533039647577</v>
      </c>
      <c r="M1217" s="62" t="n">
        <v>39</v>
      </c>
      <c r="N1217" s="62" t="n">
        <v>405</v>
      </c>
      <c r="O1217" s="65" t="n">
        <v>35</v>
      </c>
      <c r="P1217" s="60" t="s">
        <v>268</v>
      </c>
      <c r="Q1217" s="62" t="n">
        <v>196</v>
      </c>
      <c r="R1217" s="65" t="n">
        <f aca="false">IF(CA1217=1,0,IFERROR(VLOOKUP(BY1217,'Gebinde-Kategorie'!$A$5:$N$45,13,0)+0,0))</f>
        <v>12</v>
      </c>
      <c r="S1217" s="66"/>
      <c r="T1217" s="67"/>
      <c r="U1217" s="67"/>
      <c r="V1217" s="67"/>
      <c r="W1217" s="60"/>
      <c r="X1217" s="62"/>
      <c r="Y1217" s="62"/>
      <c r="Z1217" s="60" t="n">
        <v>3</v>
      </c>
      <c r="AA1217" s="60" t="n">
        <f aca="false">IF(A1217="","",IF(AND(Parameter!$B$21="Ja",ISNUMBER(W1217)),W1217,IF(AND(Parameter!$E$27="Ja",ISNUMBER(Z1217),CD1217&lt;&gt;"Nein"),Z1217,IF(CD1217="2+3",IF(ISNUMBER(SEARCH("grosser Artikel",BV1217)),2,IFERROR(VLOOKUP(BY1217,Parameter!$F$35:$G$64,2,0),2)),IF(OR(CD1217="Nein",CD1217=""),"-",CD1217)))))</f>
        <v>3</v>
      </c>
      <c r="AB1217" s="67"/>
      <c r="AC1217" s="68"/>
      <c r="AD1217" s="62" t="n">
        <f aca="false">AW1217</f>
        <v>444</v>
      </c>
      <c r="AE1217" s="62" t="n">
        <f aca="false">MAX(AW1217,H1217)</f>
        <v>444</v>
      </c>
      <c r="AF1217" s="69"/>
      <c r="AG1217" s="62" t="n">
        <f aca="false">IF(LEFT(Cockpit!$C$5,1)="A",H1217,IF(Parameter!$E$30="MAX-Bestand",IF(CI1217=1,CJ1217,IF(LEFT(Cockpit!$C$5,1)="B",AM1217,MAX(AM1217,H1217))),ROUNDUP(AK1217,0)))</f>
        <v>119</v>
      </c>
      <c r="AH1217" s="62" t="n">
        <f aca="false">IF(CA1217=1,0,ROUNDUP(AG1217/BZ1217,0))</f>
        <v>1</v>
      </c>
      <c r="AI1217" s="64" t="n">
        <f aca="false">IF(CR1217&gt;0,CR1217*MAX(1,AG1217/X1217),IF(CA1217=1,IF(AG1217&lt;=0,0,CE1217*MAX(1,IF(H1217&gt;0,AG1217/H1217,1))),IF(R1217&gt;0,AH1217/R1217,0))/MAX(0.1,N(Parameter!$M$21)))</f>
        <v>0.0833333333333333</v>
      </c>
      <c r="AJ1217" s="62" t="n">
        <f aca="false">AI1217*CC1217</f>
        <v>28.75</v>
      </c>
      <c r="AK1217" s="63" t="n">
        <f aca="false">IF(LEFT(Cockpit!$C$5,1)="A",H1217,IF(CI1217=1,(CL1217+CJ1217)/2,IF(LEFT(Cockpit!$C$5,1)="B",(CL1217+AM1217)/2,MAX((CL1217+AM1217)/2,H1217))))</f>
        <v>119</v>
      </c>
      <c r="AL1217" s="62" t="n">
        <f aca="false">AK1217*G1217</f>
        <v>345.1</v>
      </c>
      <c r="AM1217" s="62" t="n">
        <f aca="false">ROUNDUP(CL1217+MAX(CM1217,2*(J1217/IF(CH1217&gt;0,CH1217,MAX(0.1,N(Cockpit!$C$6)))-CL1217)),0)</f>
        <v>444</v>
      </c>
      <c r="AN1217" s="63" t="n">
        <f aca="false">IF(AJ1217&gt;0,J1217/AJ1217,-1)</f>
        <v>14.0173913043478</v>
      </c>
      <c r="AO1217" s="63" t="n">
        <f aca="false">IF(AND(OR(CG1217="L1",CG1217="L23",CG1217="LIFT"),AJ1217&gt;0),SUMIFS($AJ$7:$AJ$1843,$CG$7:$CG$1843,CG1217,$AN$7:$AN$1843,"&gt;"&amp;AN1217)+SUMIFS($AJ$7:$AJ$1843,$CG$7:$CG$1843,CG1217,$AN$7:$AN$1843,AN1217,$BX$7:$BX$1843,"&lt;="&amp;BX1217),"")</f>
        <v>2143.34340659341</v>
      </c>
      <c r="AP1217" s="70" t="n">
        <f aca="false">IF(AO1217="",0,MAX(0,MIN(1,(IF(CG1217="L1",Parameter!$H$5,IF(CG1217="L23",Parameter!$H$6+Parameter!$H$7,Parameter!$H$5+Parameter!$H$6+Parameter!$H$7))-(AO1217-AJ1217))/AJ1217)))</f>
        <v>1</v>
      </c>
      <c r="AQ1217" s="62" t="n">
        <f aca="false">IF(LEFT(Cockpit!$I$5,1)="A",H1217,IF(Parameter!$E$30="MAX-Bestand",IF(CI1217=1,CJ1217,IF(LEFT(Cockpit!$I$5,1)="B",AW1217,MAX(AW1217,H1217))),ROUNDUP(AU1217,0)))</f>
        <v>242</v>
      </c>
      <c r="AR1217" s="62" t="n">
        <f aca="false">IF(CA1217=1,0,ROUNDUP(AQ1217/BZ1217,0))</f>
        <v>2</v>
      </c>
      <c r="AS1217" s="64" t="n">
        <f aca="false">IF(CR1217&gt;0,CR1217*MAX(1,AQ1217/X1217),IF(CA1217=1,IF(AQ1217&lt;=0,0,CE1217*MAX(1,IF(H1217&gt;0,AQ1217/H1217,1))),IF(R1217&gt;0,AR1217/R1217,0))/MAX(0.1,N(Parameter!$M$21)))</f>
        <v>0.166666666666667</v>
      </c>
      <c r="AT1217" s="62" t="n">
        <f aca="false">AS1217*CC1217</f>
        <v>57.5</v>
      </c>
      <c r="AU1217" s="63" t="n">
        <f aca="false">IF(LEFT(Cockpit!$I$5,1)="A",H1217,IF(CI1217=1,(CL1217+CJ1217)/2,IF(LEFT(Cockpit!$I$5,1)="B",(CL1217+AW1217)/2,MAX((CL1217+AW1217)/2,H1217))))</f>
        <v>241.5</v>
      </c>
      <c r="AV1217" s="62" t="n">
        <f aca="false">AU1217*G1217</f>
        <v>700.35</v>
      </c>
      <c r="AW1217" s="62" t="n">
        <f aca="false">ROUNDUP(CL1217+MAX(CM1217,2*(J1217/IF(CH1217&gt;0,CH1217,MAX(0.1,N(Cockpit!$I$6)))-CL1217)),0)</f>
        <v>444</v>
      </c>
      <c r="AX1217" s="63" t="n">
        <f aca="false">IF(AT1217&gt;0,J1217/AT1217,-1)</f>
        <v>7.00869565217391</v>
      </c>
      <c r="AY1217" s="63" t="n">
        <f aca="false">IF(AND(OR(CG1217="L1",CG1217="L23",CG1217="LIFT"),AT1217&gt;0),SUMIFS($AT$7:$AT$1843,$CG$7:$CG$1843,CG1217,$AX$7:$AX$1843,"&gt;"&amp;AX1217)+SUMIFS($AT$7:$AT$1843,$CG$7:$CG$1843,CG1217,$AX$7:$AX$1843,AX1217,$BX$7:$BX$1843,"&lt;="&amp;BX1217),"")</f>
        <v>3936.69826007326</v>
      </c>
      <c r="AZ1217" s="70" t="n">
        <f aca="false">IF(AY1217="",0,MAX(0,MIN(1,(IF(CG1217="L1",Parameter!$H$5,IF(CG1217="L23",Parameter!$H$6+Parameter!$H$7,Parameter!$H$5+Parameter!$H$6+Parameter!$H$7))-(AY1217-AT1217))/AT1217)))</f>
        <v>1</v>
      </c>
      <c r="BA1217" s="62" t="n">
        <f aca="false">IF(LEFT(Cockpit!$O$5,1)="A",H1217,IF(Parameter!$E$30="MAX-Bestand",IF(CI1217=1,CJ1217,IF(LEFT(Cockpit!$O$5,1)="B",BG1217,MAX(BG1217,H1217))),ROUNDUP(BE1217,0)))</f>
        <v>242</v>
      </c>
      <c r="BB1217" s="62" t="n">
        <f aca="false">IF(CA1217=1,0,ROUNDUP(BA1217/BZ1217,0))</f>
        <v>2</v>
      </c>
      <c r="BC1217" s="64" t="n">
        <f aca="false">IF(CR1217&gt;0,CR1217*MAX(1,BA1217/X1217),IF(CA1217=1,IF(BA1217&lt;=0,0,CE1217*MAX(1,IF(H1217&gt;0,BA1217/H1217,1))),IF(R1217&gt;0,BB1217/R1217,0))/MAX(0.1,N(Parameter!$M$21)))</f>
        <v>0.166666666666667</v>
      </c>
      <c r="BD1217" s="62" t="n">
        <f aca="false">BC1217*CC1217</f>
        <v>57.5</v>
      </c>
      <c r="BE1217" s="63" t="n">
        <f aca="false">IF(LEFT(Cockpit!$O$5,1)="A",H1217,IF(CI1217=1,(CL1217+CJ1217)/2,IF(LEFT(Cockpit!$O$5,1)="B",(CL1217+BG1217)/2,MAX((CL1217+BG1217)/2,H1217))))</f>
        <v>241.5</v>
      </c>
      <c r="BF1217" s="62" t="n">
        <f aca="false">BE1217*G1217</f>
        <v>700.35</v>
      </c>
      <c r="BG1217" s="62" t="n">
        <f aca="false">ROUNDUP(CL1217+MAX(CM1217,2*(J1217/IF(CH1217&gt;0,CH1217,MAX(0.1,N(Cockpit!$O$6)))-CL1217)),0)</f>
        <v>444</v>
      </c>
      <c r="BH1217" s="63" t="n">
        <f aca="false">IF(BD1217&gt;0,J1217/BD1217,-1)</f>
        <v>7.00869565217391</v>
      </c>
      <c r="BI1217" s="63" t="n">
        <f aca="false">IF(AND(OR(CG1217="L1",CG1217="L23",CG1217="LIFT"),BD1217&gt;0),SUMIFS($BD$7:$BD$1843,$CG$7:$CG$1843,CG1217,$BH$7:$BH$1843,"&gt;"&amp;BH1217)+SUMIFS($BD$7:$BD$1843,$CG$7:$CG$1843,CG1217,$BH$7:$BH$1843,BH1217,$BX$7:$BX$1843,"&lt;="&amp;BX1217),"")</f>
        <v>3370.09844322344</v>
      </c>
      <c r="BJ1217" s="70" t="n">
        <f aca="false">IF(BI1217="",0,MAX(0,MIN(1,(IF(CG1217="L1",Parameter!$H$5,IF(CG1217="L23",Parameter!$H$6+Parameter!$H$7,Parameter!$H$5+Parameter!$H$6+Parameter!$H$7))-(BI1217-BD1217))/BD1217)))</f>
        <v>1</v>
      </c>
      <c r="BK1217" s="60" t="str">
        <f aca="false">IF(AJ1217&lt;=0,"",IF(CG1217="Aussen","Aussenlager",IF(CG1217="-","Nicht im Lift",IF(AP1217&gt;=1,"Lift",IF(AP1217&lt;=0,"Aussenlager","teilweise")))))</f>
        <v>Lift</v>
      </c>
      <c r="BL1217" s="60" t="str">
        <f aca="false">IF(AT1217&lt;=0,"",IF(CG1217="Aussen","Aussenlager",IF(CG1217="-","Nicht im Lift",IF(AZ1217&gt;=1,"Lift",IF(AZ1217&lt;=0,"Aussenlager","teilweise")))))</f>
        <v>Lift</v>
      </c>
      <c r="BM1217" s="60" t="str">
        <f aca="false">IF(BD1217&lt;=0,"",IF(CG1217="Aussen","Aussenlager",IF(CG1217="-","Nicht im Lift",IF(BJ1217&gt;=1,"Lift",IF(BJ1217&lt;=0,"Aussenlager","teilweise")))))</f>
        <v>Lift</v>
      </c>
      <c r="BN1217" s="60" t="str">
        <f aca="false">IF(A1217="","",IF(BW1217=1,"Neu; ","")&amp;IF(AND(BW1217=0,BR1217&lt;0),"negativer Bestand (Export "&amp;BR1217&amp;"); ","")&amp;IF(J1217&lt;=0,"Kein Verbrauch; ","")&amp;IF(CR1217&gt;0,"Lift "&amp;W1217&amp;" lt. Liftbericht (Fach "&amp;X1217&amp;" Stk); ",IF(CB1217=1,"Gebinde geschätzt ("&amp;T1217&amp;"); ",IF(CA1217=1,"Lose – Tablare geschätzt; ","")))&amp;IF(H1217&gt;AW1217,"Überbestand "&amp;ROUND(H1217-AW1217,0)&amp;" Stk / CHF "&amp;ROUND((H1217-AW1217)*G1217,0)&amp;"; ","")&amp;IF(AND(CI1217=1,CJ1217&lt;CK1217),"MAX &lt; MB+LG; ","")&amp;IF(AND(CQ1217&gt;0,CP1217*10&gt;CQ1217),"zu hoch für Tablar; ","")&amp;IF(AND(BW1217=0,OR(CI1217=1,AB1217&lt;&gt;"",U1217&lt;&gt;"",V1217&lt;&gt;"",AC1217&lt;&gt;"")),"manuell übersteuert; ","")&amp;IF(AND(CA1217=0,R1217=0),"Gebinde unbekannt / Stellmass fehlt; ","")&amp;IF(AND(CA1217=0,N(V1217)&lt;=0,N(Q1217)&lt;=0),"Menge pro Gebinde fehlt (Ist = 1 Gebinde); ","")&amp;BV1217)</f>
        <v>negativer Bestand (Export -133); gehört dieser Artikel ins KTL ?</v>
      </c>
      <c r="BO1217" s="60"/>
      <c r="BP1217" s="60"/>
      <c r="BQ1217" s="67"/>
      <c r="BR1217" s="62" t="n">
        <v>-133</v>
      </c>
      <c r="BS1217" s="62" t="n">
        <v>252</v>
      </c>
      <c r="BT1217" s="61" t="n">
        <v>-574.46</v>
      </c>
      <c r="BU1217" s="62" t="n">
        <v>403</v>
      </c>
      <c r="BV1217" s="60" t="s">
        <v>514</v>
      </c>
      <c r="BW1217" s="65" t="n">
        <v>0</v>
      </c>
      <c r="BX1217" s="65" t="n">
        <v>1217</v>
      </c>
      <c r="BY1217" s="60" t="str">
        <f aca="false">IF(U1217&lt;&gt;"",UPPER(TRIM(U1217)),IF(CB1217=1,UPPER(VLOOKUP(T1217,Parameter!$I$27:$K$29,2,0)),IF(P1217="","LOSE",P1217)))</f>
        <v>S63</v>
      </c>
      <c r="BZ1217" s="62" t="n">
        <f aca="false">IF(BY1217="LOSE",1,IF(N(V1217)&gt;0,V1217,IF(CB1217=1,MAX(1,N(VLOOKUP(T1217,Parameter!$I$27:$K$29,3,0)),H1217,N(N1217)),IF(N(Q1217)&gt;0,Q1217,MAX(1,H1217)))))</f>
        <v>196</v>
      </c>
      <c r="CA1217" s="65" t="n">
        <f aca="false">IF(BY1217="LOSE",1,0)</f>
        <v>0</v>
      </c>
      <c r="CB1217" s="65" t="n">
        <f aca="false">IF(AND(U1217="",OR(P1217="",P1217="LOSE"),T1217&lt;&gt;"",N(S1217)&lt;=0,ISNUMBER(MATCH(T1217,Parameter!$I$27:$I$29,0))),1,0)</f>
        <v>0</v>
      </c>
      <c r="CC1217" s="65" t="n">
        <f aca="false">IF(CR1217&gt;0,INDEX(Parameter!$H$5:$H$7,W1217)/INDEX(Parameter!$E$5:$E$7,W1217),IF(AND(CA1217=0,N(IFERROR(VLOOKUP(BY1217,'Gebinde-Kategorie'!$A$5:$N$45,14,0),0))&gt;0),VLOOKUP(BY1217,'Gebinde-Kategorie'!$A$5:$N$45,14,0)*10+Parameter!$M$23,Parameter!$M$24))</f>
        <v>345</v>
      </c>
      <c r="CD1217" s="60" t="str">
        <f aca="false">IF(AND(Parameter!$B$19="Ja",E1217&lt;&gt;"",ISNUMBER(MATCH(E1217,Parameter!$I$35:$I$52,0))),VLOOKUP(E1217,Parameter!$I$35:$J$52,2,0),IFERROR(VLOOKUP(D1217,Parameter!$A$35:$C$64,2,0),"Nein"))</f>
        <v>2+3</v>
      </c>
      <c r="CE1217" s="64" t="n">
        <f aca="false">IF(CA1217=0,0,IF(N(S1217)&gt;0,S1217,IFERROR(VLOOKUP(D1217,Parameter!$A$35:$C$64,3,0)+0,0)))</f>
        <v>0</v>
      </c>
      <c r="CF1217" s="60" t="n">
        <f aca="false">IF(AB1217&lt;&gt;"",AB1217,AA1217)</f>
        <v>3</v>
      </c>
      <c r="CG1217" s="60" t="str">
        <f aca="false">IF(OR(CF1217=1,CF1217=2,CF1217=3),IF(Parameter!$E$27="Ja","LIFT",IF(CF1217=1,"L1","L23")),IF(CF1217="Aussen","Aussen","-"))</f>
        <v>LIFT</v>
      </c>
      <c r="CH1217" s="71" t="n">
        <f aca="false">IF(N(AC1217)&gt;0,AC1217,0)</f>
        <v>0</v>
      </c>
      <c r="CI1217" s="65" t="n">
        <f aca="false">IF(ISNUMBER(AF1217),1,0)</f>
        <v>0</v>
      </c>
      <c r="CJ1217" s="62" t="n">
        <f aca="false">N(AF1217)</f>
        <v>0</v>
      </c>
      <c r="CK1217" s="62" t="n">
        <f aca="false">N(M1217)+N(N1217)</f>
        <v>444</v>
      </c>
      <c r="CL1217" s="62" t="n">
        <f aca="false">N(M1217)</f>
        <v>39</v>
      </c>
      <c r="CM1217" s="62" t="n">
        <f aca="false">N(N1217)</f>
        <v>405</v>
      </c>
      <c r="CN1217" s="62" t="n">
        <f aca="false">ROUNDUP(H1217/BZ1217,0)</f>
        <v>1</v>
      </c>
      <c r="CO1217" s="62" t="n">
        <f aca="false">ROUNDUP(CJ1217/BZ1217,0)</f>
        <v>0</v>
      </c>
      <c r="CP1217" s="65" t="n">
        <f aca="false">IF(CA1217=1,0,IFERROR(VLOOKUP(BY1217,'Gebinde-Kategorie'!$A$5:$N$45,5,0)+0,0))</f>
        <v>31</v>
      </c>
      <c r="CQ1217" s="65" t="n">
        <f aca="false">IFERROR(IF(OR(CF1217=1,CF1217=2,CF1217=3),N(INDEX(Parameter!$I$5:$I$7,CF1217)),0),0)</f>
        <v>0</v>
      </c>
      <c r="CR1217" s="64" t="n">
        <f aca="false">IF(AND(Parameter!$B$21="Ja",ISNUMBER(W1217),N(X1217)&gt;0),IFERROR(N(INDEX(Parameter!$L$5:$L$7,W1217))*INDEX(Parameter!$E$5:$E$7,W1217)*X1217/SUMIFS($X$7:$X$1843,$W$7:$W$1843,W1217),0),0)</f>
        <v>0</v>
      </c>
      <c r="CS1217" s="62" t="n">
        <f aca="false">IF(AND(OR(CG1217="L1",CG1217="L23",CG1217="LIFT"),H1217&gt;0),CC1217*IF(CR1217&gt;0,CR1217*MAX(1,H1217/X1217),IF(CA1217=1,CE1217,IF(R1217&gt;0,CN1217/R1217,0))/MAX(0.1,N(Parameter!$M$21))),"")</f>
        <v>28.75</v>
      </c>
      <c r="CT1217" s="64" t="n">
        <f aca="false">IF(CS1217="","",J1217/H1217)</f>
        <v>3.38655462184874</v>
      </c>
      <c r="CU1217" s="62" t="n">
        <f aca="false">IF(CS1217="","",H1217*G1217)</f>
        <v>345.1</v>
      </c>
      <c r="CV1217" s="63" t="n">
        <f aca="false">IF(CS1217="","",(CL1217+ROUNDUP(CL1217+MAX(CM1217,2*(J1217/MAX(0.1,N(Einkauf!$C$6))-CL1217)),0))/2)</f>
        <v>241.5</v>
      </c>
      <c r="CW1217" s="62" t="n">
        <f aca="false">IF(CS1217="","",MAX(0,H1217-CV1217)*G1217)</f>
        <v>0</v>
      </c>
      <c r="CX1217" s="62" t="n">
        <f aca="false">IF(CS1217="","",CS1217*MAX(0,1-CV1217/H1217))</f>
        <v>0</v>
      </c>
      <c r="CY1217" s="64" t="n">
        <f aca="false">IF(CS1217="","",PERCENTRANK($CS$7:$CS$1843,CS1217)+PERCENTRANK($CU$7:$CU$1843,CU1217)+1-PERCENTRANK($CT$7:$CT$1843,CT1217))</f>
        <v>1.368</v>
      </c>
      <c r="CZ1217" s="72" t="n">
        <f aca="false">IF(CS1217="","",CHOOSE(MATCH(Einkauf!$C$5,Parameter!$G$23:$G$27,0),CY1217,CS1217,CU1217,-CT1217,CW1217)+ROW()/1000000000)</f>
        <v>1.368001217</v>
      </c>
    </row>
    <row r="1218" customFormat="false" ht="15" hidden="false" customHeight="false" outlineLevel="0" collapsed="false">
      <c r="A1218" s="60" t="s">
        <v>2227</v>
      </c>
      <c r="B1218" s="60" t="s">
        <v>564</v>
      </c>
      <c r="C1218" s="60" t="s">
        <v>206</v>
      </c>
      <c r="D1218" s="60" t="s">
        <v>215</v>
      </c>
      <c r="E1218" s="60"/>
      <c r="F1218" s="60" t="s">
        <v>260</v>
      </c>
      <c r="G1218" s="61" t="n">
        <v>301.79</v>
      </c>
      <c r="H1218" s="62" t="n">
        <f aca="false">MAX(0,IF(AND(Parameter!$B$21="Ja",ISNUMBER(Y1218)),Y1218,IF(Parameter!$B$20="Jahresanfang 2025 + Export",BS1218+BR1218,BR1218)))</f>
        <v>1</v>
      </c>
      <c r="I1218" s="62" t="n">
        <f aca="false">H1218*G1218</f>
        <v>301.79</v>
      </c>
      <c r="J1218" s="62" t="n">
        <f aca="false">BU1218*Parameter!$B$18</f>
        <v>15</v>
      </c>
      <c r="K1218" s="63" t="n">
        <v>10</v>
      </c>
      <c r="L1218" s="64" t="n">
        <v>1.5</v>
      </c>
      <c r="M1218" s="62" t="n">
        <v>1</v>
      </c>
      <c r="N1218" s="62" t="n">
        <v>10</v>
      </c>
      <c r="O1218" s="65" t="n">
        <v>35</v>
      </c>
      <c r="P1218" s="60" t="s">
        <v>210</v>
      </c>
      <c r="Q1218" s="62"/>
      <c r="R1218" s="65" t="n">
        <f aca="false">IF(CA1218=1,0,IFERROR(VLOOKUP(BY1218,'Gebinde-Kategorie'!$A$5:$N$45,13,0)+0,0))</f>
        <v>12</v>
      </c>
      <c r="S1218" s="66"/>
      <c r="T1218" s="67" t="s">
        <v>221</v>
      </c>
      <c r="U1218" s="67"/>
      <c r="V1218" s="67"/>
      <c r="W1218" s="60"/>
      <c r="X1218" s="62"/>
      <c r="Y1218" s="62"/>
      <c r="Z1218" s="60" t="n">
        <v>3</v>
      </c>
      <c r="AA1218" s="60" t="n">
        <f aca="false">IF(A1218="","",IF(AND(Parameter!$B$21="Ja",ISNUMBER(W1218)),W1218,IF(AND(Parameter!$E$27="Ja",ISNUMBER(Z1218),CD1218&lt;&gt;"Nein"),Z1218,IF(CD1218="2+3",IF(ISNUMBER(SEARCH("grosser Artikel",BV1218)),2,IFERROR(VLOOKUP(BY1218,Parameter!$F$35:$G$64,2,0),2)),IF(OR(CD1218="Nein",CD1218=""),"-",CD1218)))))</f>
        <v>3</v>
      </c>
      <c r="AB1218" s="67"/>
      <c r="AC1218" s="68"/>
      <c r="AD1218" s="62" t="n">
        <f aca="false">AW1218</f>
        <v>11</v>
      </c>
      <c r="AE1218" s="62" t="n">
        <f aca="false">MAX(AW1218,H1218)</f>
        <v>11</v>
      </c>
      <c r="AF1218" s="69"/>
      <c r="AG1218" s="62" t="n">
        <f aca="false">IF(LEFT(Cockpit!$C$5,1)="A",H1218,IF(Parameter!$E$30="MAX-Bestand",IF(CI1218=1,CJ1218,IF(LEFT(Cockpit!$C$5,1)="B",AM1218,MAX(AM1218,H1218))),ROUNDUP(AK1218,0)))</f>
        <v>1</v>
      </c>
      <c r="AH1218" s="62" t="n">
        <f aca="false">IF(CA1218=1,0,ROUNDUP(AG1218/BZ1218,0))</f>
        <v>1</v>
      </c>
      <c r="AI1218" s="64" t="n">
        <f aca="false">IF(CR1218&gt;0,CR1218*MAX(1,AG1218/X1218),IF(CA1218=1,IF(AG1218&lt;=0,0,CE1218*MAX(1,IF(H1218&gt;0,AG1218/H1218,1))),IF(R1218&gt;0,AH1218/R1218,0))/MAX(0.1,N(Parameter!$M$21)))</f>
        <v>0.0833333333333333</v>
      </c>
      <c r="AJ1218" s="62" t="n">
        <f aca="false">AI1218*CC1218</f>
        <v>12.0833333333333</v>
      </c>
      <c r="AK1218" s="63" t="n">
        <f aca="false">IF(LEFT(Cockpit!$C$5,1)="A",H1218,IF(CI1218=1,(CL1218+CJ1218)/2,IF(LEFT(Cockpit!$C$5,1)="B",(CL1218+AM1218)/2,MAX((CL1218+AM1218)/2,H1218))))</f>
        <v>1</v>
      </c>
      <c r="AL1218" s="62" t="n">
        <f aca="false">AK1218*G1218</f>
        <v>301.79</v>
      </c>
      <c r="AM1218" s="62" t="n">
        <f aca="false">ROUNDUP(CL1218+MAX(CM1218,2*(J1218/IF(CH1218&gt;0,CH1218,MAX(0.1,N(Cockpit!$C$6)))-CL1218)),0)</f>
        <v>11</v>
      </c>
      <c r="AN1218" s="63" t="n">
        <f aca="false">IF(AJ1218&gt;0,J1218/AJ1218,-1)</f>
        <v>1.24137931034483</v>
      </c>
      <c r="AO1218" s="63" t="n">
        <f aca="false">IF(AND(OR(CG1218="L1",CG1218="L23",CG1218="LIFT"),AJ1218&gt;0),SUMIFS($AJ$7:$AJ$1843,$CG$7:$CG$1843,CG1218,$AN$7:$AN$1843,"&gt;"&amp;AN1218)+SUMIFS($AJ$7:$AJ$1843,$CG$7:$CG$1843,CG1218,$AN$7:$AN$1843,AN1218,$BX$7:$BX$1843,"&lt;="&amp;BX1218),"")</f>
        <v>6423.13507326007</v>
      </c>
      <c r="AP1218" s="70" t="n">
        <f aca="false">IF(AO1218="",0,MAX(0,MIN(1,(IF(CG1218="L1",Parameter!$H$5,IF(CG1218="L23",Parameter!$H$6+Parameter!$H$7,Parameter!$H$5+Parameter!$H$6+Parameter!$H$7))-(AO1218-AJ1218))/AJ1218)))</f>
        <v>1</v>
      </c>
      <c r="AQ1218" s="62" t="n">
        <f aca="false">IF(LEFT(Cockpit!$I$5,1)="A",H1218,IF(Parameter!$E$30="MAX-Bestand",IF(CI1218=1,CJ1218,IF(LEFT(Cockpit!$I$5,1)="B",AW1218,MAX(AW1218,H1218))),ROUNDUP(AU1218,0)))</f>
        <v>6</v>
      </c>
      <c r="AR1218" s="62" t="n">
        <f aca="false">IF(CA1218=1,0,ROUNDUP(AQ1218/BZ1218,0))</f>
        <v>1</v>
      </c>
      <c r="AS1218" s="64" t="n">
        <f aca="false">IF(CR1218&gt;0,CR1218*MAX(1,AQ1218/X1218),IF(CA1218=1,IF(AQ1218&lt;=0,0,CE1218*MAX(1,IF(H1218&gt;0,AQ1218/H1218,1))),IF(R1218&gt;0,AR1218/R1218,0))/MAX(0.1,N(Parameter!$M$21)))</f>
        <v>0.0833333333333333</v>
      </c>
      <c r="AT1218" s="62" t="n">
        <f aca="false">AS1218*CC1218</f>
        <v>12.0833333333333</v>
      </c>
      <c r="AU1218" s="63" t="n">
        <f aca="false">IF(LEFT(Cockpit!$I$5,1)="A",H1218,IF(CI1218=1,(CL1218+CJ1218)/2,IF(LEFT(Cockpit!$I$5,1)="B",(CL1218+AW1218)/2,MAX((CL1218+AW1218)/2,H1218))))</f>
        <v>6</v>
      </c>
      <c r="AV1218" s="62" t="n">
        <f aca="false">AU1218*G1218</f>
        <v>1810.74</v>
      </c>
      <c r="AW1218" s="62" t="n">
        <f aca="false">ROUNDUP(CL1218+MAX(CM1218,2*(J1218/IF(CH1218&gt;0,CH1218,MAX(0.1,N(Cockpit!$I$6)))-CL1218)),0)</f>
        <v>11</v>
      </c>
      <c r="AX1218" s="63" t="n">
        <f aca="false">IF(AT1218&gt;0,J1218/AT1218,-1)</f>
        <v>1.24137931034483</v>
      </c>
      <c r="AY1218" s="63" t="n">
        <f aca="false">IF(AND(OR(CG1218="L1",CG1218="L23",CG1218="LIFT"),AT1218&gt;0),SUMIFS($AT$7:$AT$1843,$CG$7:$CG$1843,CG1218,$AX$7:$AX$1843,"&gt;"&amp;AX1218)+SUMIFS($AT$7:$AT$1843,$CG$7:$CG$1843,CG1218,$AX$7:$AX$1843,AX1218,$BX$7:$BX$1843,"&lt;="&amp;BX1218),"")</f>
        <v>8106.96611721612</v>
      </c>
      <c r="AZ1218" s="70" t="n">
        <f aca="false">IF(AY1218="",0,MAX(0,MIN(1,(IF(CG1218="L1",Parameter!$H$5,IF(CG1218="L23",Parameter!$H$6+Parameter!$H$7,Parameter!$H$5+Parameter!$H$6+Parameter!$H$7))-(AY1218-AT1218))/AT1218)))</f>
        <v>1</v>
      </c>
      <c r="BA1218" s="62" t="n">
        <f aca="false">IF(LEFT(Cockpit!$O$5,1)="A",H1218,IF(Parameter!$E$30="MAX-Bestand",IF(CI1218=1,CJ1218,IF(LEFT(Cockpit!$O$5,1)="B",BG1218,MAX(BG1218,H1218))),ROUNDUP(BE1218,0)))</f>
        <v>6</v>
      </c>
      <c r="BB1218" s="62" t="n">
        <f aca="false">IF(CA1218=1,0,ROUNDUP(BA1218/BZ1218,0))</f>
        <v>1</v>
      </c>
      <c r="BC1218" s="64" t="n">
        <f aca="false">IF(CR1218&gt;0,CR1218*MAX(1,BA1218/X1218),IF(CA1218=1,IF(BA1218&lt;=0,0,CE1218*MAX(1,IF(H1218&gt;0,BA1218/H1218,1))),IF(R1218&gt;0,BB1218/R1218,0))/MAX(0.1,N(Parameter!$M$21)))</f>
        <v>0.0833333333333333</v>
      </c>
      <c r="BD1218" s="62" t="n">
        <f aca="false">BC1218*CC1218</f>
        <v>12.0833333333333</v>
      </c>
      <c r="BE1218" s="63" t="n">
        <f aca="false">IF(LEFT(Cockpit!$O$5,1)="A",H1218,IF(CI1218=1,(CL1218+CJ1218)/2,IF(LEFT(Cockpit!$O$5,1)="B",(CL1218+BG1218)/2,MAX((CL1218+BG1218)/2,H1218))))</f>
        <v>6</v>
      </c>
      <c r="BF1218" s="62" t="n">
        <f aca="false">BE1218*G1218</f>
        <v>1810.74</v>
      </c>
      <c r="BG1218" s="62" t="n">
        <f aca="false">ROUNDUP(CL1218+MAX(CM1218,2*(J1218/IF(CH1218&gt;0,CH1218,MAX(0.1,N(Cockpit!$O$6)))-CL1218)),0)</f>
        <v>11</v>
      </c>
      <c r="BH1218" s="63" t="n">
        <f aca="false">IF(BD1218&gt;0,J1218/BD1218,-1)</f>
        <v>1.24137931034483</v>
      </c>
      <c r="BI1218" s="63" t="n">
        <f aca="false">IF(AND(OR(CG1218="L1",CG1218="L23",CG1218="LIFT"),BD1218&gt;0),SUMIFS($BD$7:$BD$1843,$CG$7:$CG$1843,CG1218,$BH$7:$BH$1843,"&gt;"&amp;BH1218)+SUMIFS($BD$7:$BD$1843,$CG$7:$CG$1843,CG1218,$BH$7:$BH$1843,BH1218,$BX$7:$BX$1843,"&lt;="&amp;BX1218),"")</f>
        <v>6892.83562271062</v>
      </c>
      <c r="BJ1218" s="70" t="n">
        <f aca="false">IF(BI1218="",0,MAX(0,MIN(1,(IF(CG1218="L1",Parameter!$H$5,IF(CG1218="L23",Parameter!$H$6+Parameter!$H$7,Parameter!$H$5+Parameter!$H$6+Parameter!$H$7))-(BI1218-BD1218))/BD1218)))</f>
        <v>1</v>
      </c>
      <c r="BK1218" s="60" t="str">
        <f aca="false">IF(AJ1218&lt;=0,"",IF(CG1218="Aussen","Aussenlager",IF(CG1218="-","Nicht im Lift",IF(AP1218&gt;=1,"Lift",IF(AP1218&lt;=0,"Aussenlager","teilweise")))))</f>
        <v>Lift</v>
      </c>
      <c r="BL1218" s="60" t="str">
        <f aca="false">IF(AT1218&lt;=0,"",IF(CG1218="Aussen","Aussenlager",IF(CG1218="-","Nicht im Lift",IF(AZ1218&gt;=1,"Lift",IF(AZ1218&lt;=0,"Aussenlager","teilweise")))))</f>
        <v>Lift</v>
      </c>
      <c r="BM1218" s="60" t="str">
        <f aca="false">IF(BD1218&lt;=0,"",IF(CG1218="Aussen","Aussenlager",IF(CG1218="-","Nicht im Lift",IF(BJ1218&gt;=1,"Lift",IF(BJ1218&lt;=0,"Aussenlager","teilweise")))))</f>
        <v>Lift</v>
      </c>
      <c r="BN1218" s="60" t="str">
        <f aca="false">IF(A1218="","",IF(BW1218=1,"Neu; ","")&amp;IF(AND(BW1218=0,BR1218&lt;0),"negativer Bestand (Export "&amp;BR1218&amp;"); ","")&amp;IF(J1218&lt;=0,"Kein Verbrauch; ","")&amp;IF(CR1218&gt;0,"Lift "&amp;W1218&amp;" lt. Liftbericht (Fach "&amp;X1218&amp;" Stk); ",IF(CB1218=1,"Gebinde geschätzt ("&amp;T1218&amp;"); ",IF(CA1218=1,"Lose – Tablare geschätzt; ","")))&amp;IF(H1218&gt;AW1218,"Überbestand "&amp;ROUND(H1218-AW1218,0)&amp;" Stk / CHF "&amp;ROUND((H1218-AW1218)*G1218,0)&amp;"; ","")&amp;IF(AND(CI1218=1,CJ1218&lt;CK1218),"MAX &lt; MB+LG; ","")&amp;IF(AND(CQ1218&gt;0,CP1218*10&gt;CQ1218),"zu hoch für Tablar; ","")&amp;IF(AND(BW1218=0,OR(CI1218=1,AB1218&lt;&gt;"",U1218&lt;&gt;"",V1218&lt;&gt;"",AC1218&lt;&gt;"")),"manuell übersteuert; ","")&amp;IF(AND(CA1218=0,R1218=0),"Gebinde unbekannt / Stellmass fehlt; ","")&amp;IF(AND(CA1218=0,N(V1218)&lt;=0,N(Q1218)&lt;=0),"Menge pro Gebinde fehlt (Ist = 1 Gebinde); ","")&amp;BV1218)</f>
        <v>negativer Bestand (Export -2); Gebinde geschätzt (Mittel); Menge pro Gebinde fehlt (Ist = 1 Gebinde); </v>
      </c>
      <c r="BO1218" s="60"/>
      <c r="BP1218" s="60"/>
      <c r="BQ1218" s="67"/>
      <c r="BR1218" s="62" t="n">
        <v>-2</v>
      </c>
      <c r="BS1218" s="62" t="n">
        <v>3</v>
      </c>
      <c r="BT1218" s="61" t="n">
        <v>-580.570000000002</v>
      </c>
      <c r="BU1218" s="62" t="n">
        <v>15</v>
      </c>
      <c r="BV1218" s="60"/>
      <c r="BW1218" s="65" t="n">
        <v>0</v>
      </c>
      <c r="BX1218" s="65" t="n">
        <v>1218</v>
      </c>
      <c r="BY1218" s="60" t="str">
        <f aca="false">IF(U1218&lt;&gt;"",UPPER(TRIM(U1218)),IF(CB1218=1,UPPER(VLOOKUP(T1218,Parameter!$I$27:$K$29,2,0)),IF(P1218="","LOSE",P1218)))</f>
        <v>S61</v>
      </c>
      <c r="BZ1218" s="62" t="n">
        <f aca="false">IF(BY1218="LOSE",1,IF(N(V1218)&gt;0,V1218,IF(CB1218=1,MAX(1,N(VLOOKUP(T1218,Parameter!$I$27:$K$29,3,0)),H1218,N(N1218)),IF(N(Q1218)&gt;0,Q1218,MAX(1,H1218)))))</f>
        <v>10</v>
      </c>
      <c r="CA1218" s="65" t="n">
        <f aca="false">IF(BY1218="LOSE",1,0)</f>
        <v>0</v>
      </c>
      <c r="CB1218" s="65" t="n">
        <f aca="false">IF(AND(U1218="",OR(P1218="",P1218="LOSE"),T1218&lt;&gt;"",N(S1218)&lt;=0,ISNUMBER(MATCH(T1218,Parameter!$I$27:$I$29,0))),1,0)</f>
        <v>1</v>
      </c>
      <c r="CC1218" s="65" t="n">
        <f aca="false">IF(CR1218&gt;0,INDEX(Parameter!$H$5:$H$7,W1218)/INDEX(Parameter!$E$5:$E$7,W1218),IF(AND(CA1218=0,N(IFERROR(VLOOKUP(BY1218,'Gebinde-Kategorie'!$A$5:$N$45,14,0),0))&gt;0),VLOOKUP(BY1218,'Gebinde-Kategorie'!$A$5:$N$45,14,0)*10+Parameter!$M$23,Parameter!$M$24))</f>
        <v>145</v>
      </c>
      <c r="CD1218" s="60" t="str">
        <f aca="false">IF(AND(Parameter!$B$19="Ja",E1218&lt;&gt;"",ISNUMBER(MATCH(E1218,Parameter!$I$35:$I$52,0))),VLOOKUP(E1218,Parameter!$I$35:$J$52,2,0),IFERROR(VLOOKUP(D1218,Parameter!$A$35:$C$64,2,0),"Nein"))</f>
        <v>2+3</v>
      </c>
      <c r="CE1218" s="64" t="n">
        <f aca="false">IF(CA1218=0,0,IF(N(S1218)&gt;0,S1218,IFERROR(VLOOKUP(D1218,Parameter!$A$35:$C$64,3,0)+0,0)))</f>
        <v>0</v>
      </c>
      <c r="CF1218" s="60" t="n">
        <f aca="false">IF(AB1218&lt;&gt;"",AB1218,AA1218)</f>
        <v>3</v>
      </c>
      <c r="CG1218" s="60" t="str">
        <f aca="false">IF(OR(CF1218=1,CF1218=2,CF1218=3),IF(Parameter!$E$27="Ja","LIFT",IF(CF1218=1,"L1","L23")),IF(CF1218="Aussen","Aussen","-"))</f>
        <v>LIFT</v>
      </c>
      <c r="CH1218" s="71" t="n">
        <f aca="false">IF(N(AC1218)&gt;0,AC1218,0)</f>
        <v>0</v>
      </c>
      <c r="CI1218" s="65" t="n">
        <f aca="false">IF(ISNUMBER(AF1218),1,0)</f>
        <v>0</v>
      </c>
      <c r="CJ1218" s="62" t="n">
        <f aca="false">N(AF1218)</f>
        <v>0</v>
      </c>
      <c r="CK1218" s="62" t="n">
        <f aca="false">N(M1218)+N(N1218)</f>
        <v>11</v>
      </c>
      <c r="CL1218" s="62" t="n">
        <f aca="false">N(M1218)</f>
        <v>1</v>
      </c>
      <c r="CM1218" s="62" t="n">
        <f aca="false">N(N1218)</f>
        <v>10</v>
      </c>
      <c r="CN1218" s="62" t="n">
        <f aca="false">ROUNDUP(H1218/BZ1218,0)</f>
        <v>1</v>
      </c>
      <c r="CO1218" s="62" t="n">
        <f aca="false">ROUNDUP(CJ1218/BZ1218,0)</f>
        <v>0</v>
      </c>
      <c r="CP1218" s="65" t="n">
        <f aca="false">IF(CA1218=1,0,IFERROR(VLOOKUP(BY1218,'Gebinde-Kategorie'!$A$5:$N$45,5,0)+0,0))</f>
        <v>11</v>
      </c>
      <c r="CQ1218" s="65" t="n">
        <f aca="false">IFERROR(IF(OR(CF1218=1,CF1218=2,CF1218=3),N(INDEX(Parameter!$I$5:$I$7,CF1218)),0),0)</f>
        <v>0</v>
      </c>
      <c r="CR1218" s="64" t="n">
        <f aca="false">IF(AND(Parameter!$B$21="Ja",ISNUMBER(W1218),N(X1218)&gt;0),IFERROR(N(INDEX(Parameter!$L$5:$L$7,W1218))*INDEX(Parameter!$E$5:$E$7,W1218)*X1218/SUMIFS($X$7:$X$1843,$W$7:$W$1843,W1218),0),0)</f>
        <v>0</v>
      </c>
      <c r="CS1218" s="62" t="n">
        <f aca="false">IF(AND(OR(CG1218="L1",CG1218="L23",CG1218="LIFT"),H1218&gt;0),CC1218*IF(CR1218&gt;0,CR1218*MAX(1,H1218/X1218),IF(CA1218=1,CE1218,IF(R1218&gt;0,CN1218/R1218,0))/MAX(0.1,N(Parameter!$M$21))),"")</f>
        <v>12.0833333333333</v>
      </c>
      <c r="CT1218" s="64" t="n">
        <f aca="false">IF(CS1218="","",J1218/H1218)</f>
        <v>15</v>
      </c>
      <c r="CU1218" s="62" t="n">
        <f aca="false">IF(CS1218="","",H1218*G1218)</f>
        <v>301.79</v>
      </c>
      <c r="CV1218" s="63" t="n">
        <f aca="false">IF(CS1218="","",(CL1218+ROUNDUP(CL1218+MAX(CM1218,2*(J1218/MAX(0.1,N(Einkauf!$C$6))-CL1218)),0))/2)</f>
        <v>6</v>
      </c>
      <c r="CW1218" s="62" t="n">
        <f aca="false">IF(CS1218="","",MAX(0,H1218-CV1218)*G1218)</f>
        <v>0</v>
      </c>
      <c r="CX1218" s="62" t="n">
        <f aca="false">IF(CS1218="","",CS1218*MAX(0,1-CV1218/H1218))</f>
        <v>0</v>
      </c>
      <c r="CY1218" s="64" t="n">
        <f aca="false">IF(CS1218="","",PERCENTRANK($CS$7:$CS$1843,CS1218)+PERCENTRANK($CU$7:$CU$1843,CU1218)+1-PERCENTRANK($CT$7:$CT$1843,CT1218))</f>
        <v>1.084</v>
      </c>
      <c r="CZ1218" s="72" t="n">
        <f aca="false">IF(CS1218="","",CHOOSE(MATCH(Einkauf!$C$5,Parameter!$G$23:$G$27,0),CY1218,CS1218,CU1218,-CT1218,CW1218)+ROW()/1000000000)</f>
        <v>1.084001218</v>
      </c>
    </row>
    <row r="1219" customFormat="false" ht="15" hidden="false" customHeight="false" outlineLevel="0" collapsed="false">
      <c r="A1219" s="60" t="s">
        <v>2228</v>
      </c>
      <c r="B1219" s="60" t="s">
        <v>1620</v>
      </c>
      <c r="C1219" s="60" t="s">
        <v>206</v>
      </c>
      <c r="D1219" s="60" t="s">
        <v>226</v>
      </c>
      <c r="E1219" s="60" t="s">
        <v>227</v>
      </c>
      <c r="F1219" s="60" t="s">
        <v>260</v>
      </c>
      <c r="G1219" s="61" t="n">
        <v>7.16</v>
      </c>
      <c r="H1219" s="62" t="n">
        <f aca="false">MAX(0,IF(AND(Parameter!$B$21="Ja",ISNUMBER(Y1219)),Y1219,IF(Parameter!$B$20="Jahresanfang 2025 + Export",BS1219+BR1219,BR1219)))</f>
        <v>33</v>
      </c>
      <c r="I1219" s="62" t="n">
        <f aca="false">H1219*G1219</f>
        <v>236.28</v>
      </c>
      <c r="J1219" s="62" t="n">
        <f aca="false">BU1219*Parameter!$B$18</f>
        <v>0</v>
      </c>
      <c r="K1219" s="63" t="n">
        <v>74</v>
      </c>
      <c r="L1219" s="64" t="n">
        <v>0</v>
      </c>
      <c r="M1219" s="62" t="n">
        <v>0</v>
      </c>
      <c r="N1219" s="62" t="n">
        <v>1</v>
      </c>
      <c r="O1219" s="65" t="n">
        <v>63</v>
      </c>
      <c r="P1219" s="60" t="s">
        <v>275</v>
      </c>
      <c r="Q1219" s="62" t="n">
        <v>33</v>
      </c>
      <c r="R1219" s="65" t="n">
        <f aca="false">IF(CA1219=1,0,IFERROR(VLOOKUP(BY1219,'Gebinde-Kategorie'!$A$5:$N$45,13,0)+0,0))</f>
        <v>26</v>
      </c>
      <c r="S1219" s="66"/>
      <c r="T1219" s="67"/>
      <c r="U1219" s="67"/>
      <c r="V1219" s="67"/>
      <c r="W1219" s="60"/>
      <c r="X1219" s="62"/>
      <c r="Y1219" s="62"/>
      <c r="Z1219" s="60" t="n">
        <v>3</v>
      </c>
      <c r="AA1219" s="60" t="n">
        <f aca="false">IF(A1219="","",IF(AND(Parameter!$B$21="Ja",ISNUMBER(W1219)),W1219,IF(AND(Parameter!$E$27="Ja",ISNUMBER(Z1219),CD1219&lt;&gt;"Nein"),Z1219,IF(CD1219="2+3",IF(ISNUMBER(SEARCH("grosser Artikel",BV1219)),2,IFERROR(VLOOKUP(BY1219,Parameter!$F$35:$G$64,2,0),2)),IF(OR(CD1219="Nein",CD1219=""),"-",CD1219)))))</f>
        <v>3</v>
      </c>
      <c r="AB1219" s="67"/>
      <c r="AC1219" s="68"/>
      <c r="AD1219" s="62" t="n">
        <f aca="false">AW1219</f>
        <v>1</v>
      </c>
      <c r="AE1219" s="62" t="n">
        <f aca="false">MAX(AW1219,H1219)</f>
        <v>33</v>
      </c>
      <c r="AF1219" s="69"/>
      <c r="AG1219" s="62" t="n">
        <f aca="false">IF(LEFT(Cockpit!$C$5,1)="A",H1219,IF(Parameter!$E$30="MAX-Bestand",IF(CI1219=1,CJ1219,IF(LEFT(Cockpit!$C$5,1)="B",AM1219,MAX(AM1219,H1219))),ROUNDUP(AK1219,0)))</f>
        <v>33</v>
      </c>
      <c r="AH1219" s="62" t="n">
        <f aca="false">IF(CA1219=1,0,ROUNDUP(AG1219/BZ1219,0))</f>
        <v>1</v>
      </c>
      <c r="AI1219" s="64" t="n">
        <f aca="false">IF(CR1219&gt;0,CR1219*MAX(1,AG1219/X1219),IF(CA1219=1,IF(AG1219&lt;=0,0,CE1219*MAX(1,IF(H1219&gt;0,AG1219/H1219,1))),IF(R1219&gt;0,AH1219/R1219,0))/MAX(0.1,N(Parameter!$M$21)))</f>
        <v>0.0384615384615385</v>
      </c>
      <c r="AJ1219" s="62" t="n">
        <f aca="false">AI1219*CC1219</f>
        <v>9.42307692307692</v>
      </c>
      <c r="AK1219" s="63" t="n">
        <f aca="false">IF(LEFT(Cockpit!$C$5,1)="A",H1219,IF(CI1219=1,(CL1219+CJ1219)/2,IF(LEFT(Cockpit!$C$5,1)="B",(CL1219+AM1219)/2,MAX((CL1219+AM1219)/2,H1219))))</f>
        <v>33</v>
      </c>
      <c r="AL1219" s="62" t="n">
        <f aca="false">AK1219*G1219</f>
        <v>236.28</v>
      </c>
      <c r="AM1219" s="62" t="n">
        <f aca="false">ROUNDUP(CL1219+MAX(CM1219,2*(J1219/IF(CH1219&gt;0,CH1219,MAX(0.1,N(Cockpit!$C$6)))-CL1219)),0)</f>
        <v>1</v>
      </c>
      <c r="AN1219" s="63" t="n">
        <f aca="false">IF(AJ1219&gt;0,J1219/AJ1219,-1)</f>
        <v>0</v>
      </c>
      <c r="AO1219" s="63" t="n">
        <f aca="false">IF(AND(OR(CG1219="L1",CG1219="L23",CG1219="LIFT"),AJ1219&gt;0),SUMIFS($AJ$7:$AJ$1843,$CG$7:$CG$1843,CG1219,$AN$7:$AN$1843,"&gt;"&amp;AN1219)+SUMIFS($AJ$7:$AJ$1843,$CG$7:$CG$1843,CG1219,$AN$7:$AN$1843,AN1219,$BX$7:$BX$1843,"&lt;="&amp;BX1219),"")</f>
        <v>29433.0706809669</v>
      </c>
      <c r="AP1219" s="70" t="n">
        <f aca="false">IF(AO1219="",0,MAX(0,MIN(1,(IF(CG1219="L1",Parameter!$H$5,IF(CG1219="L23",Parameter!$H$6+Parameter!$H$7,Parameter!$H$5+Parameter!$H$6+Parameter!$H$7))-(AO1219-AJ1219))/AJ1219)))</f>
        <v>1</v>
      </c>
      <c r="AQ1219" s="62" t="n">
        <f aca="false">IF(LEFT(Cockpit!$I$5,1)="A",H1219,IF(Parameter!$E$30="MAX-Bestand",IF(CI1219=1,CJ1219,IF(LEFT(Cockpit!$I$5,1)="B",AW1219,MAX(AW1219,H1219))),ROUNDUP(AU1219,0)))</f>
        <v>33</v>
      </c>
      <c r="AR1219" s="62" t="n">
        <f aca="false">IF(CA1219=1,0,ROUNDUP(AQ1219/BZ1219,0))</f>
        <v>1</v>
      </c>
      <c r="AS1219" s="64" t="n">
        <f aca="false">IF(CR1219&gt;0,CR1219*MAX(1,AQ1219/X1219),IF(CA1219=1,IF(AQ1219&lt;=0,0,CE1219*MAX(1,IF(H1219&gt;0,AQ1219/H1219,1))),IF(R1219&gt;0,AR1219/R1219,0))/MAX(0.1,N(Parameter!$M$21)))</f>
        <v>0.0384615384615385</v>
      </c>
      <c r="AT1219" s="62" t="n">
        <f aca="false">AS1219*CC1219</f>
        <v>9.42307692307692</v>
      </c>
      <c r="AU1219" s="63" t="n">
        <f aca="false">IF(LEFT(Cockpit!$I$5,1)="A",H1219,IF(CI1219=1,(CL1219+CJ1219)/2,IF(LEFT(Cockpit!$I$5,1)="B",(CL1219+AW1219)/2,MAX((CL1219+AW1219)/2,H1219))))</f>
        <v>33</v>
      </c>
      <c r="AV1219" s="62" t="n">
        <f aca="false">AU1219*G1219</f>
        <v>236.28</v>
      </c>
      <c r="AW1219" s="62" t="n">
        <f aca="false">ROUNDUP(CL1219+MAX(CM1219,2*(J1219/IF(CH1219&gt;0,CH1219,MAX(0.1,N(Cockpit!$I$6)))-CL1219)),0)</f>
        <v>1</v>
      </c>
      <c r="AX1219" s="63" t="n">
        <f aca="false">IF(AT1219&gt;0,J1219/AT1219,-1)</f>
        <v>0</v>
      </c>
      <c r="AY1219" s="63" t="n">
        <f aca="false">IF(AND(OR(CG1219="L1",CG1219="L23",CG1219="LIFT"),AT1219&gt;0),SUMIFS($AT$7:$AT$1843,$CG$7:$CG$1843,CG1219,$AX$7:$AX$1843,"&gt;"&amp;AX1219)+SUMIFS($AT$7:$AT$1843,$CG$7:$CG$1843,CG1219,$AX$7:$AX$1843,AX1219,$BX$7:$BX$1843,"&lt;="&amp;BX1219),"")</f>
        <v>35238.9043040293</v>
      </c>
      <c r="AZ1219" s="70" t="n">
        <f aca="false">IF(AY1219="",0,MAX(0,MIN(1,(IF(CG1219="L1",Parameter!$H$5,IF(CG1219="L23",Parameter!$H$6+Parameter!$H$7,Parameter!$H$5+Parameter!$H$6+Parameter!$H$7))-(AY1219-AT1219))/AT1219)))</f>
        <v>1</v>
      </c>
      <c r="BA1219" s="62" t="n">
        <f aca="false">IF(LEFT(Cockpit!$O$5,1)="A",H1219,IF(Parameter!$E$30="MAX-Bestand",IF(CI1219=1,CJ1219,IF(LEFT(Cockpit!$O$5,1)="B",BG1219,MAX(BG1219,H1219))),ROUNDUP(BE1219,0)))</f>
        <v>1</v>
      </c>
      <c r="BB1219" s="62" t="n">
        <f aca="false">IF(CA1219=1,0,ROUNDUP(BA1219/BZ1219,0))</f>
        <v>1</v>
      </c>
      <c r="BC1219" s="64" t="n">
        <f aca="false">IF(CR1219&gt;0,CR1219*MAX(1,BA1219/X1219),IF(CA1219=1,IF(BA1219&lt;=0,0,CE1219*MAX(1,IF(H1219&gt;0,BA1219/H1219,1))),IF(R1219&gt;0,BB1219/R1219,0))/MAX(0.1,N(Parameter!$M$21)))</f>
        <v>0.0384615384615385</v>
      </c>
      <c r="BD1219" s="62" t="n">
        <f aca="false">BC1219*CC1219</f>
        <v>9.42307692307692</v>
      </c>
      <c r="BE1219" s="63" t="n">
        <f aca="false">IF(LEFT(Cockpit!$O$5,1)="A",H1219,IF(CI1219=1,(CL1219+CJ1219)/2,IF(LEFT(Cockpit!$O$5,1)="B",(CL1219+BG1219)/2,MAX((CL1219+BG1219)/2,H1219))))</f>
        <v>0.5</v>
      </c>
      <c r="BF1219" s="62" t="n">
        <f aca="false">BE1219*G1219</f>
        <v>3.58</v>
      </c>
      <c r="BG1219" s="62" t="n">
        <f aca="false">ROUNDUP(CL1219+MAX(CM1219,2*(J1219/IF(CH1219&gt;0,CH1219,MAX(0.1,N(Cockpit!$O$6)))-CL1219)),0)</f>
        <v>1</v>
      </c>
      <c r="BH1219" s="63" t="n">
        <f aca="false">IF(BD1219&gt;0,J1219/BD1219,-1)</f>
        <v>0</v>
      </c>
      <c r="BI1219" s="63" t="n">
        <f aca="false">IF(AND(OR(CG1219="L1",CG1219="L23",CG1219="LIFT"),BD1219&gt;0),SUMIFS($BD$7:$BD$1843,$CG$7:$CG$1843,CG1219,$BH$7:$BH$1843,"&gt;"&amp;BH1219)+SUMIFS($BD$7:$BD$1843,$CG$7:$CG$1843,CG1219,$BH$7:$BH$1843,BH1219,$BX$7:$BX$1843,"&lt;="&amp;BX1219),"")</f>
        <v>29224.2109641771</v>
      </c>
      <c r="BJ1219" s="70" t="n">
        <f aca="false">IF(BI1219="",0,MAX(0,MIN(1,(IF(CG1219="L1",Parameter!$H$5,IF(CG1219="L23",Parameter!$H$6+Parameter!$H$7,Parameter!$H$5+Parameter!$H$6+Parameter!$H$7))-(BI1219-BD1219))/BD1219)))</f>
        <v>1</v>
      </c>
      <c r="BK1219" s="60" t="str">
        <f aca="false">IF(AJ1219&lt;=0,"",IF(CG1219="Aussen","Aussenlager",IF(CG1219="-","Nicht im Lift",IF(AP1219&gt;=1,"Lift",IF(AP1219&lt;=0,"Aussenlager","teilweise")))))</f>
        <v>Lift</v>
      </c>
      <c r="BL1219" s="60" t="str">
        <f aca="false">IF(AT1219&lt;=0,"",IF(CG1219="Aussen","Aussenlager",IF(CG1219="-","Nicht im Lift",IF(AZ1219&gt;=1,"Lift",IF(AZ1219&lt;=0,"Aussenlager","teilweise")))))</f>
        <v>Lift</v>
      </c>
      <c r="BM1219" s="60" t="str">
        <f aca="false">IF(BD1219&lt;=0,"",IF(CG1219="Aussen","Aussenlager",IF(CG1219="-","Nicht im Lift",IF(BJ1219&gt;=1,"Lift",IF(BJ1219&lt;=0,"Aussenlager","teilweise")))))</f>
        <v>Lift</v>
      </c>
      <c r="BN1219" s="60" t="str">
        <f aca="false">IF(A1219="","",IF(BW1219=1,"Neu; ","")&amp;IF(AND(BW1219=0,BR1219&lt;0),"negativer Bestand (Export "&amp;BR1219&amp;"); ","")&amp;IF(J1219&lt;=0,"Kein Verbrauch; ","")&amp;IF(CR1219&gt;0,"Lift "&amp;W1219&amp;" lt. Liftbericht (Fach "&amp;X1219&amp;" Stk); ",IF(CB1219=1,"Gebinde geschätzt ("&amp;T1219&amp;"); ",IF(CA1219=1,"Lose – Tablare geschätzt; ","")))&amp;IF(H1219&gt;AW1219,"Überbestand "&amp;ROUND(H1219-AW1219,0)&amp;" Stk / CHF "&amp;ROUND((H1219-AW1219)*G1219,0)&amp;"; ","")&amp;IF(AND(CI1219=1,CJ1219&lt;CK1219),"MAX &lt; MB+LG; ","")&amp;IF(AND(CQ1219&gt;0,CP1219*10&gt;CQ1219),"zu hoch für Tablar; ","")&amp;IF(AND(BW1219=0,OR(CI1219=1,AB1219&lt;&gt;"",U1219&lt;&gt;"",V1219&lt;&gt;"",AC1219&lt;&gt;"")),"manuell übersteuert; ","")&amp;IF(AND(CA1219=0,R1219=0),"Gebinde unbekannt / Stellmass fehlt; ","")&amp;IF(AND(CA1219=0,N(V1219)&lt;=0,N(Q1219)&lt;=0),"Menge pro Gebinde fehlt (Ist = 1 Gebinde); ","")&amp;BV1219)</f>
        <v>negativer Bestand (Export -82); Kein Verbrauch; Überbestand 32 Stk / CHF 229; </v>
      </c>
      <c r="BO1219" s="60"/>
      <c r="BP1219" s="60"/>
      <c r="BQ1219" s="67"/>
      <c r="BR1219" s="62" t="n">
        <v>-82</v>
      </c>
      <c r="BS1219" s="62" t="n">
        <v>115</v>
      </c>
      <c r="BT1219" s="61" t="n">
        <v>-587.12</v>
      </c>
      <c r="BU1219" s="62" t="n">
        <v>0</v>
      </c>
      <c r="BV1219" s="60"/>
      <c r="BW1219" s="65" t="n">
        <v>0</v>
      </c>
      <c r="BX1219" s="65" t="n">
        <v>1219</v>
      </c>
      <c r="BY1219" s="60" t="str">
        <f aca="false">IF(U1219&lt;&gt;"",UPPER(TRIM(U1219)),IF(CB1219=1,UPPER(VLOOKUP(T1219,Parameter!$I$27:$K$29,2,0)),IF(P1219="","LOSE",P1219)))</f>
        <v>S52</v>
      </c>
      <c r="BZ1219" s="62" t="n">
        <f aca="false">IF(BY1219="LOSE",1,IF(N(V1219)&gt;0,V1219,IF(CB1219=1,MAX(1,N(VLOOKUP(T1219,Parameter!$I$27:$K$29,3,0)),H1219,N(N1219)),IF(N(Q1219)&gt;0,Q1219,MAX(1,H1219)))))</f>
        <v>33</v>
      </c>
      <c r="CA1219" s="65" t="n">
        <f aca="false">IF(BY1219="LOSE",1,0)</f>
        <v>0</v>
      </c>
      <c r="CB1219" s="65" t="n">
        <f aca="false">IF(AND(U1219="",OR(P1219="",P1219="LOSE"),T1219&lt;&gt;"",N(S1219)&lt;=0,ISNUMBER(MATCH(T1219,Parameter!$I$27:$I$29,0))),1,0)</f>
        <v>0</v>
      </c>
      <c r="CC1219" s="65" t="n">
        <f aca="false">IF(CR1219&gt;0,INDEX(Parameter!$H$5:$H$7,W1219)/INDEX(Parameter!$E$5:$E$7,W1219),IF(AND(CA1219=0,N(IFERROR(VLOOKUP(BY1219,'Gebinde-Kategorie'!$A$5:$N$45,14,0),0))&gt;0),VLOOKUP(BY1219,'Gebinde-Kategorie'!$A$5:$N$45,14,0)*10+Parameter!$M$23,Parameter!$M$24))</f>
        <v>245</v>
      </c>
      <c r="CD1219" s="60" t="str">
        <f aca="false">IF(AND(Parameter!$B$19="Ja",E1219&lt;&gt;"",ISNUMBER(MATCH(E1219,Parameter!$I$35:$I$52,0))),VLOOKUP(E1219,Parameter!$I$35:$J$52,2,0),IFERROR(VLOOKUP(D1219,Parameter!$A$35:$C$64,2,0),"Nein"))</f>
        <v>2+3</v>
      </c>
      <c r="CE1219" s="64" t="n">
        <f aca="false">IF(CA1219=0,0,IF(N(S1219)&gt;0,S1219,IFERROR(VLOOKUP(D1219,Parameter!$A$35:$C$64,3,0)+0,0)))</f>
        <v>0</v>
      </c>
      <c r="CF1219" s="60" t="n">
        <f aca="false">IF(AB1219&lt;&gt;"",AB1219,AA1219)</f>
        <v>3</v>
      </c>
      <c r="CG1219" s="60" t="str">
        <f aca="false">IF(OR(CF1219=1,CF1219=2,CF1219=3),IF(Parameter!$E$27="Ja","LIFT",IF(CF1219=1,"L1","L23")),IF(CF1219="Aussen","Aussen","-"))</f>
        <v>LIFT</v>
      </c>
      <c r="CH1219" s="71" t="n">
        <f aca="false">IF(N(AC1219)&gt;0,AC1219,0)</f>
        <v>0</v>
      </c>
      <c r="CI1219" s="65" t="n">
        <f aca="false">IF(ISNUMBER(AF1219),1,0)</f>
        <v>0</v>
      </c>
      <c r="CJ1219" s="62" t="n">
        <f aca="false">N(AF1219)</f>
        <v>0</v>
      </c>
      <c r="CK1219" s="62" t="n">
        <f aca="false">N(M1219)+N(N1219)</f>
        <v>1</v>
      </c>
      <c r="CL1219" s="62" t="n">
        <f aca="false">N(M1219)</f>
        <v>0</v>
      </c>
      <c r="CM1219" s="62" t="n">
        <f aca="false">N(N1219)</f>
        <v>1</v>
      </c>
      <c r="CN1219" s="62" t="n">
        <f aca="false">ROUNDUP(H1219/BZ1219,0)</f>
        <v>1</v>
      </c>
      <c r="CO1219" s="62" t="n">
        <f aca="false">ROUNDUP(CJ1219/BZ1219,0)</f>
        <v>0</v>
      </c>
      <c r="CP1219" s="65" t="n">
        <f aca="false">IF(CA1219=1,0,IFERROR(VLOOKUP(BY1219,'Gebinde-Kategorie'!$A$5:$N$45,5,0)+0,0))</f>
        <v>21</v>
      </c>
      <c r="CQ1219" s="65" t="n">
        <f aca="false">IFERROR(IF(OR(CF1219=1,CF1219=2,CF1219=3),N(INDEX(Parameter!$I$5:$I$7,CF1219)),0),0)</f>
        <v>0</v>
      </c>
      <c r="CR1219" s="64" t="n">
        <f aca="false">IF(AND(Parameter!$B$21="Ja",ISNUMBER(W1219),N(X1219)&gt;0),IFERROR(N(INDEX(Parameter!$L$5:$L$7,W1219))*INDEX(Parameter!$E$5:$E$7,W1219)*X1219/SUMIFS($X$7:$X$1843,$W$7:$W$1843,W1219),0),0)</f>
        <v>0</v>
      </c>
      <c r="CS1219" s="62" t="n">
        <f aca="false">IF(AND(OR(CG1219="L1",CG1219="L23",CG1219="LIFT"),H1219&gt;0),CC1219*IF(CR1219&gt;0,CR1219*MAX(1,H1219/X1219),IF(CA1219=1,CE1219,IF(R1219&gt;0,CN1219/R1219,0))/MAX(0.1,N(Parameter!$M$21))),"")</f>
        <v>9.42307692307692</v>
      </c>
      <c r="CT1219" s="64" t="n">
        <f aca="false">IF(CS1219="","",J1219/H1219)</f>
        <v>0</v>
      </c>
      <c r="CU1219" s="62" t="n">
        <f aca="false">IF(CS1219="","",H1219*G1219)</f>
        <v>236.28</v>
      </c>
      <c r="CV1219" s="63" t="n">
        <f aca="false">IF(CS1219="","",(CL1219+ROUNDUP(CL1219+MAX(CM1219,2*(J1219/MAX(0.1,N(Einkauf!$C$6))-CL1219)),0))/2)</f>
        <v>0.5</v>
      </c>
      <c r="CW1219" s="62" t="n">
        <f aca="false">IF(CS1219="","",MAX(0,H1219-CV1219)*G1219)</f>
        <v>232.7</v>
      </c>
      <c r="CX1219" s="62" t="n">
        <f aca="false">IF(CS1219="","",CS1219*MAX(0,1-CV1219/H1219))</f>
        <v>9.28030303030303</v>
      </c>
      <c r="CY1219" s="64" t="n">
        <f aca="false">IF(CS1219="","",PERCENTRANK($CS$7:$CS$1843,CS1219)+PERCENTRANK($CU$7:$CU$1843,CU1219)+1-PERCENTRANK($CT$7:$CT$1843,CT1219))</f>
        <v>1.944</v>
      </c>
      <c r="CZ1219" s="72" t="n">
        <f aca="false">IF(CS1219="","",CHOOSE(MATCH(Einkauf!$C$5,Parameter!$G$23:$G$27,0),CY1219,CS1219,CU1219,-CT1219,CW1219)+ROW()/1000000000)</f>
        <v>1.944001219</v>
      </c>
    </row>
    <row r="1220" customFormat="false" ht="15" hidden="false" customHeight="false" outlineLevel="0" collapsed="false">
      <c r="A1220" s="60" t="s">
        <v>2229</v>
      </c>
      <c r="B1220" s="60" t="s">
        <v>640</v>
      </c>
      <c r="C1220" s="60" t="s">
        <v>206</v>
      </c>
      <c r="D1220" s="60" t="s">
        <v>226</v>
      </c>
      <c r="E1220" s="60" t="s">
        <v>227</v>
      </c>
      <c r="F1220" s="60" t="s">
        <v>260</v>
      </c>
      <c r="G1220" s="61" t="n">
        <v>29.25</v>
      </c>
      <c r="H1220" s="62" t="n">
        <f aca="false">MAX(0,IF(AND(Parameter!$B$21="Ja",ISNUMBER(Y1220)),Y1220,IF(Parameter!$B$20="Jahresanfang 2025 + Export",BS1220+BR1220,BR1220)))</f>
        <v>27</v>
      </c>
      <c r="I1220" s="62" t="n">
        <f aca="false">H1220*G1220</f>
        <v>789.75</v>
      </c>
      <c r="J1220" s="62" t="n">
        <f aca="false">BU1220*Parameter!$B$18</f>
        <v>47</v>
      </c>
      <c r="K1220" s="63" t="n">
        <v>66</v>
      </c>
      <c r="L1220" s="64" t="n">
        <v>0.712121212121212</v>
      </c>
      <c r="M1220" s="62" t="n">
        <v>1</v>
      </c>
      <c r="N1220" s="62" t="n">
        <v>45</v>
      </c>
      <c r="O1220" s="65" t="n">
        <v>14</v>
      </c>
      <c r="P1220" s="60" t="s">
        <v>370</v>
      </c>
      <c r="Q1220" s="62" t="n">
        <v>124</v>
      </c>
      <c r="R1220" s="65" t="n">
        <f aca="false">IF(CA1220=1,0,IFERROR(VLOOKUP(BY1220,'Gebinde-Kategorie'!$A$5:$N$45,13,0)+0,0))</f>
        <v>52</v>
      </c>
      <c r="S1220" s="66"/>
      <c r="T1220" s="67"/>
      <c r="U1220" s="67"/>
      <c r="V1220" s="67"/>
      <c r="W1220" s="60"/>
      <c r="X1220" s="62"/>
      <c r="Y1220" s="62"/>
      <c r="Z1220" s="60" t="n">
        <v>1</v>
      </c>
      <c r="AA1220" s="60" t="n">
        <f aca="false">IF(A1220="","",IF(AND(Parameter!$B$21="Ja",ISNUMBER(W1220)),W1220,IF(AND(Parameter!$E$27="Ja",ISNUMBER(Z1220),CD1220&lt;&gt;"Nein"),Z1220,IF(CD1220="2+3",IF(ISNUMBER(SEARCH("grosser Artikel",BV1220)),2,IFERROR(VLOOKUP(BY1220,Parameter!$F$35:$G$64,2,0),2)),IF(OR(CD1220="Nein",CD1220=""),"-",CD1220)))))</f>
        <v>1</v>
      </c>
      <c r="AB1220" s="67"/>
      <c r="AC1220" s="68"/>
      <c r="AD1220" s="62" t="n">
        <f aca="false">AW1220</f>
        <v>46</v>
      </c>
      <c r="AE1220" s="62" t="n">
        <f aca="false">MAX(AW1220,H1220)</f>
        <v>46</v>
      </c>
      <c r="AF1220" s="69"/>
      <c r="AG1220" s="62" t="n">
        <f aca="false">IF(LEFT(Cockpit!$C$5,1)="A",H1220,IF(Parameter!$E$30="MAX-Bestand",IF(CI1220=1,CJ1220,IF(LEFT(Cockpit!$C$5,1)="B",AM1220,MAX(AM1220,H1220))),ROUNDUP(AK1220,0)))</f>
        <v>27</v>
      </c>
      <c r="AH1220" s="62" t="n">
        <f aca="false">IF(CA1220=1,0,ROUNDUP(AG1220/BZ1220,0))</f>
        <v>1</v>
      </c>
      <c r="AI1220" s="64" t="n">
        <f aca="false">IF(CR1220&gt;0,CR1220*MAX(1,AG1220/X1220),IF(CA1220=1,IF(AG1220&lt;=0,0,CE1220*MAX(1,IF(H1220&gt;0,AG1220/H1220,1))),IF(R1220&gt;0,AH1220/R1220,0))/MAX(0.1,N(Parameter!$M$21)))</f>
        <v>0.0192307692307692</v>
      </c>
      <c r="AJ1220" s="62" t="n">
        <f aca="false">AI1220*CC1220</f>
        <v>2.98076923076923</v>
      </c>
      <c r="AK1220" s="63" t="n">
        <f aca="false">IF(LEFT(Cockpit!$C$5,1)="A",H1220,IF(CI1220=1,(CL1220+CJ1220)/2,IF(LEFT(Cockpit!$C$5,1)="B",(CL1220+AM1220)/2,MAX((CL1220+AM1220)/2,H1220))))</f>
        <v>27</v>
      </c>
      <c r="AL1220" s="62" t="n">
        <f aca="false">AK1220*G1220</f>
        <v>789.75</v>
      </c>
      <c r="AM1220" s="62" t="n">
        <f aca="false">ROUNDUP(CL1220+MAX(CM1220,2*(J1220/IF(CH1220&gt;0,CH1220,MAX(0.1,N(Cockpit!$C$6)))-CL1220)),0)</f>
        <v>46</v>
      </c>
      <c r="AN1220" s="63" t="n">
        <f aca="false">IF(AJ1220&gt;0,J1220/AJ1220,-1)</f>
        <v>15.7677419354839</v>
      </c>
      <c r="AO1220" s="63" t="n">
        <f aca="false">IF(AND(OR(CG1220="L1",CG1220="L23",CG1220="LIFT"),AJ1220&gt;0),SUMIFS($AJ$7:$AJ$1843,$CG$7:$CG$1843,CG1220,$AN$7:$AN$1843,"&gt;"&amp;AN1220)+SUMIFS($AJ$7:$AJ$1843,$CG$7:$CG$1843,CG1220,$AN$7:$AN$1843,AN1220,$BX$7:$BX$1843,"&lt;="&amp;BX1220),"")</f>
        <v>2065.6891025641</v>
      </c>
      <c r="AP1220" s="70" t="n">
        <f aca="false">IF(AO1220="",0,MAX(0,MIN(1,(IF(CG1220="L1",Parameter!$H$5,IF(CG1220="L23",Parameter!$H$6+Parameter!$H$7,Parameter!$H$5+Parameter!$H$6+Parameter!$H$7))-(AO1220-AJ1220))/AJ1220)))</f>
        <v>1</v>
      </c>
      <c r="AQ1220" s="62" t="n">
        <f aca="false">IF(LEFT(Cockpit!$I$5,1)="A",H1220,IF(Parameter!$E$30="MAX-Bestand",IF(CI1220=1,CJ1220,IF(LEFT(Cockpit!$I$5,1)="B",AW1220,MAX(AW1220,H1220))),ROUNDUP(AU1220,0)))</f>
        <v>27</v>
      </c>
      <c r="AR1220" s="62" t="n">
        <f aca="false">IF(CA1220=1,0,ROUNDUP(AQ1220/BZ1220,0))</f>
        <v>1</v>
      </c>
      <c r="AS1220" s="64" t="n">
        <f aca="false">IF(CR1220&gt;0,CR1220*MAX(1,AQ1220/X1220),IF(CA1220=1,IF(AQ1220&lt;=0,0,CE1220*MAX(1,IF(H1220&gt;0,AQ1220/H1220,1))),IF(R1220&gt;0,AR1220/R1220,0))/MAX(0.1,N(Parameter!$M$21)))</f>
        <v>0.0192307692307692</v>
      </c>
      <c r="AT1220" s="62" t="n">
        <f aca="false">AS1220*CC1220</f>
        <v>2.98076923076923</v>
      </c>
      <c r="AU1220" s="63" t="n">
        <f aca="false">IF(LEFT(Cockpit!$I$5,1)="A",H1220,IF(CI1220=1,(CL1220+CJ1220)/2,IF(LEFT(Cockpit!$I$5,1)="B",(CL1220+AW1220)/2,MAX((CL1220+AW1220)/2,H1220))))</f>
        <v>27</v>
      </c>
      <c r="AV1220" s="62" t="n">
        <f aca="false">AU1220*G1220</f>
        <v>789.75</v>
      </c>
      <c r="AW1220" s="62" t="n">
        <f aca="false">ROUNDUP(CL1220+MAX(CM1220,2*(J1220/IF(CH1220&gt;0,CH1220,MAX(0.1,N(Cockpit!$I$6)))-CL1220)),0)</f>
        <v>46</v>
      </c>
      <c r="AX1220" s="63" t="n">
        <f aca="false">IF(AT1220&gt;0,J1220/AT1220,-1)</f>
        <v>15.7677419354839</v>
      </c>
      <c r="AY1220" s="63" t="n">
        <f aca="false">IF(AND(OR(CG1220="L1",CG1220="L23",CG1220="LIFT"),AT1220&gt;0),SUMIFS($AT$7:$AT$1843,$CG$7:$CG$1843,CG1220,$AX$7:$AX$1843,"&gt;"&amp;AX1220)+SUMIFS($AT$7:$AT$1843,$CG$7:$CG$1843,CG1220,$AX$7:$AX$1843,AX1220,$BX$7:$BX$1843,"&lt;="&amp;BX1220),"")</f>
        <v>2701.70283882784</v>
      </c>
      <c r="AZ1220" s="70" t="n">
        <f aca="false">IF(AY1220="",0,MAX(0,MIN(1,(IF(CG1220="L1",Parameter!$H$5,IF(CG1220="L23",Parameter!$H$6+Parameter!$H$7,Parameter!$H$5+Parameter!$H$6+Parameter!$H$7))-(AY1220-AT1220))/AT1220)))</f>
        <v>1</v>
      </c>
      <c r="BA1220" s="62" t="n">
        <f aca="false">IF(LEFT(Cockpit!$O$5,1)="A",H1220,IF(Parameter!$E$30="MAX-Bestand",IF(CI1220=1,CJ1220,IF(LEFT(Cockpit!$O$5,1)="B",BG1220,MAX(BG1220,H1220))),ROUNDUP(BE1220,0)))</f>
        <v>24</v>
      </c>
      <c r="BB1220" s="62" t="n">
        <f aca="false">IF(CA1220=1,0,ROUNDUP(BA1220/BZ1220,0))</f>
        <v>1</v>
      </c>
      <c r="BC1220" s="64" t="n">
        <f aca="false">IF(CR1220&gt;0,CR1220*MAX(1,BA1220/X1220),IF(CA1220=1,IF(BA1220&lt;=0,0,CE1220*MAX(1,IF(H1220&gt;0,BA1220/H1220,1))),IF(R1220&gt;0,BB1220/R1220,0))/MAX(0.1,N(Parameter!$M$21)))</f>
        <v>0.0192307692307692</v>
      </c>
      <c r="BD1220" s="62" t="n">
        <f aca="false">BC1220*CC1220</f>
        <v>2.98076923076923</v>
      </c>
      <c r="BE1220" s="63" t="n">
        <f aca="false">IF(LEFT(Cockpit!$O$5,1)="A",H1220,IF(CI1220=1,(CL1220+CJ1220)/2,IF(LEFT(Cockpit!$O$5,1)="B",(CL1220+BG1220)/2,MAX((CL1220+BG1220)/2,H1220))))</f>
        <v>23.5</v>
      </c>
      <c r="BF1220" s="62" t="n">
        <f aca="false">BE1220*G1220</f>
        <v>687.375</v>
      </c>
      <c r="BG1220" s="62" t="n">
        <f aca="false">ROUNDUP(CL1220+MAX(CM1220,2*(J1220/IF(CH1220&gt;0,CH1220,MAX(0.1,N(Cockpit!$O$6)))-CL1220)),0)</f>
        <v>46</v>
      </c>
      <c r="BH1220" s="63" t="n">
        <f aca="false">IF(BD1220&gt;0,J1220/BD1220,-1)</f>
        <v>15.7677419354839</v>
      </c>
      <c r="BI1220" s="63" t="n">
        <f aca="false">IF(AND(OR(CG1220="L1",CG1220="L23",CG1220="LIFT"),BD1220&gt;0),SUMIFS($BD$7:$BD$1843,$CG$7:$CG$1843,CG1220,$BH$7:$BH$1843,"&gt;"&amp;BH1220)+SUMIFS($BD$7:$BD$1843,$CG$7:$CG$1843,CG1220,$BH$7:$BH$1843,BH1220,$BX$7:$BX$1843,"&lt;="&amp;BX1220),"")</f>
        <v>2396.663003663</v>
      </c>
      <c r="BJ1220" s="70" t="n">
        <f aca="false">IF(BI1220="",0,MAX(0,MIN(1,(IF(CG1220="L1",Parameter!$H$5,IF(CG1220="L23",Parameter!$H$6+Parameter!$H$7,Parameter!$H$5+Parameter!$H$6+Parameter!$H$7))-(BI1220-BD1220))/BD1220)))</f>
        <v>1</v>
      </c>
      <c r="BK1220" s="60" t="str">
        <f aca="false">IF(AJ1220&lt;=0,"",IF(CG1220="Aussen","Aussenlager",IF(CG1220="-","Nicht im Lift",IF(AP1220&gt;=1,"Lift",IF(AP1220&lt;=0,"Aussenlager","teilweise")))))</f>
        <v>Lift</v>
      </c>
      <c r="BL1220" s="60" t="str">
        <f aca="false">IF(AT1220&lt;=0,"",IF(CG1220="Aussen","Aussenlager",IF(CG1220="-","Nicht im Lift",IF(AZ1220&gt;=1,"Lift",IF(AZ1220&lt;=0,"Aussenlager","teilweise")))))</f>
        <v>Lift</v>
      </c>
      <c r="BM1220" s="60" t="str">
        <f aca="false">IF(BD1220&lt;=0,"",IF(CG1220="Aussen","Aussenlager",IF(CG1220="-","Nicht im Lift",IF(BJ1220&gt;=1,"Lift",IF(BJ1220&lt;=0,"Aussenlager","teilweise")))))</f>
        <v>Lift</v>
      </c>
      <c r="BN1220" s="60" t="str">
        <f aca="false">IF(A1220="","",IF(BW1220=1,"Neu; ","")&amp;IF(AND(BW1220=0,BR1220&lt;0),"negativer Bestand (Export "&amp;BR1220&amp;"); ","")&amp;IF(J1220&lt;=0,"Kein Verbrauch; ","")&amp;IF(CR1220&gt;0,"Lift "&amp;W1220&amp;" lt. Liftbericht (Fach "&amp;X1220&amp;" Stk); ",IF(CB1220=1,"Gebinde geschätzt ("&amp;T1220&amp;"); ",IF(CA1220=1,"Lose – Tablare geschätzt; ","")))&amp;IF(H1220&gt;AW1220,"Überbestand "&amp;ROUND(H1220-AW1220,0)&amp;" Stk / CHF "&amp;ROUND((H1220-AW1220)*G1220,0)&amp;"; ","")&amp;IF(AND(CI1220=1,CJ1220&lt;CK1220),"MAX &lt; MB+LG; ","")&amp;IF(AND(CQ1220&gt;0,CP1220*10&gt;CQ1220),"zu hoch für Tablar; ","")&amp;IF(AND(BW1220=0,OR(CI1220=1,AB1220&lt;&gt;"",U1220&lt;&gt;"",V1220&lt;&gt;"",AC1220&lt;&gt;"")),"manuell übersteuert; ","")&amp;IF(AND(CA1220=0,R1220=0),"Gebinde unbekannt / Stellmass fehlt; ","")&amp;IF(AND(CA1220=0,N(V1220)&lt;=0,N(Q1220)&lt;=0),"Menge pro Gebinde fehlt (Ist = 1 Gebinde); ","")&amp;BV1220)</f>
        <v>negativer Bestand (Export -23); </v>
      </c>
      <c r="BO1220" s="60"/>
      <c r="BP1220" s="60"/>
      <c r="BQ1220" s="67"/>
      <c r="BR1220" s="62" t="n">
        <v>-23</v>
      </c>
      <c r="BS1220" s="62" t="n">
        <v>50</v>
      </c>
      <c r="BT1220" s="61" t="n">
        <v>-588.750000000001</v>
      </c>
      <c r="BU1220" s="62" t="n">
        <v>47</v>
      </c>
      <c r="BV1220" s="60"/>
      <c r="BW1220" s="65" t="n">
        <v>0</v>
      </c>
      <c r="BX1220" s="65" t="n">
        <v>1220</v>
      </c>
      <c r="BY1220" s="60" t="str">
        <f aca="false">IF(U1220&lt;&gt;"",UPPER(TRIM(U1220)),IF(CB1220=1,UPPER(VLOOKUP(T1220,Parameter!$I$27:$K$29,2,0)),IF(P1220="","LOSE",P1220)))</f>
        <v>S41</v>
      </c>
      <c r="BZ1220" s="62" t="n">
        <f aca="false">IF(BY1220="LOSE",1,IF(N(V1220)&gt;0,V1220,IF(CB1220=1,MAX(1,N(VLOOKUP(T1220,Parameter!$I$27:$K$29,3,0)),H1220,N(N1220)),IF(N(Q1220)&gt;0,Q1220,MAX(1,H1220)))))</f>
        <v>124</v>
      </c>
      <c r="CA1220" s="65" t="n">
        <f aca="false">IF(BY1220="LOSE",1,0)</f>
        <v>0</v>
      </c>
      <c r="CB1220" s="65" t="n">
        <f aca="false">IF(AND(U1220="",OR(P1220="",P1220="LOSE"),T1220&lt;&gt;"",N(S1220)&lt;=0,ISNUMBER(MATCH(T1220,Parameter!$I$27:$I$29,0))),1,0)</f>
        <v>0</v>
      </c>
      <c r="CC1220" s="65" t="n">
        <f aca="false">IF(CR1220&gt;0,INDEX(Parameter!$H$5:$H$7,W1220)/INDEX(Parameter!$E$5:$E$7,W1220),IF(AND(CA1220=0,N(IFERROR(VLOOKUP(BY1220,'Gebinde-Kategorie'!$A$5:$N$45,14,0),0))&gt;0),VLOOKUP(BY1220,'Gebinde-Kategorie'!$A$5:$N$45,14,0)*10+Parameter!$M$23,Parameter!$M$24))</f>
        <v>155</v>
      </c>
      <c r="CD1220" s="60" t="str">
        <f aca="false">IF(AND(Parameter!$B$19="Ja",E1220&lt;&gt;"",ISNUMBER(MATCH(E1220,Parameter!$I$35:$I$52,0))),VLOOKUP(E1220,Parameter!$I$35:$J$52,2,0),IFERROR(VLOOKUP(D1220,Parameter!$A$35:$C$64,2,0),"Nein"))</f>
        <v>2+3</v>
      </c>
      <c r="CE1220" s="64" t="n">
        <f aca="false">IF(CA1220=0,0,IF(N(S1220)&gt;0,S1220,IFERROR(VLOOKUP(D1220,Parameter!$A$35:$C$64,3,0)+0,0)))</f>
        <v>0</v>
      </c>
      <c r="CF1220" s="60" t="n">
        <f aca="false">IF(AB1220&lt;&gt;"",AB1220,AA1220)</f>
        <v>1</v>
      </c>
      <c r="CG1220" s="60" t="str">
        <f aca="false">IF(OR(CF1220=1,CF1220=2,CF1220=3),IF(Parameter!$E$27="Ja","LIFT",IF(CF1220=1,"L1","L23")),IF(CF1220="Aussen","Aussen","-"))</f>
        <v>LIFT</v>
      </c>
      <c r="CH1220" s="71" t="n">
        <f aca="false">IF(N(AC1220)&gt;0,AC1220,0)</f>
        <v>0</v>
      </c>
      <c r="CI1220" s="65" t="n">
        <f aca="false">IF(ISNUMBER(AF1220),1,0)</f>
        <v>0</v>
      </c>
      <c r="CJ1220" s="62" t="n">
        <f aca="false">N(AF1220)</f>
        <v>0</v>
      </c>
      <c r="CK1220" s="62" t="n">
        <f aca="false">N(M1220)+N(N1220)</f>
        <v>46</v>
      </c>
      <c r="CL1220" s="62" t="n">
        <f aca="false">N(M1220)</f>
        <v>1</v>
      </c>
      <c r="CM1220" s="62" t="n">
        <f aca="false">N(N1220)</f>
        <v>45</v>
      </c>
      <c r="CN1220" s="62" t="n">
        <f aca="false">ROUNDUP(H1220/BZ1220,0)</f>
        <v>1</v>
      </c>
      <c r="CO1220" s="62" t="n">
        <f aca="false">ROUNDUP(CJ1220/BZ1220,0)</f>
        <v>0</v>
      </c>
      <c r="CP1220" s="65" t="n">
        <f aca="false">IF(CA1220=1,0,IFERROR(VLOOKUP(BY1220,'Gebinde-Kategorie'!$A$5:$N$45,5,0)+0,0))</f>
        <v>11</v>
      </c>
      <c r="CQ1220" s="65" t="n">
        <f aca="false">IFERROR(IF(OR(CF1220=1,CF1220=2,CF1220=3),N(INDEX(Parameter!$I$5:$I$7,CF1220)),0),0)</f>
        <v>0</v>
      </c>
      <c r="CR1220" s="64" t="n">
        <f aca="false">IF(AND(Parameter!$B$21="Ja",ISNUMBER(W1220),N(X1220)&gt;0),IFERROR(N(INDEX(Parameter!$L$5:$L$7,W1220))*INDEX(Parameter!$E$5:$E$7,W1220)*X1220/SUMIFS($X$7:$X$1843,$W$7:$W$1843,W1220),0),0)</f>
        <v>0</v>
      </c>
      <c r="CS1220" s="62" t="n">
        <f aca="false">IF(AND(OR(CG1220="L1",CG1220="L23",CG1220="LIFT"),H1220&gt;0),CC1220*IF(CR1220&gt;0,CR1220*MAX(1,H1220/X1220),IF(CA1220=1,CE1220,IF(R1220&gt;0,CN1220/R1220,0))/MAX(0.1,N(Parameter!$M$21))),"")</f>
        <v>2.98076923076923</v>
      </c>
      <c r="CT1220" s="64" t="n">
        <f aca="false">IF(CS1220="","",J1220/H1220)</f>
        <v>1.74074074074074</v>
      </c>
      <c r="CU1220" s="62" t="n">
        <f aca="false">IF(CS1220="","",H1220*G1220)</f>
        <v>789.75</v>
      </c>
      <c r="CV1220" s="63" t="n">
        <f aca="false">IF(CS1220="","",(CL1220+ROUNDUP(CL1220+MAX(CM1220,2*(J1220/MAX(0.1,N(Einkauf!$C$6))-CL1220)),0))/2)</f>
        <v>23.5</v>
      </c>
      <c r="CW1220" s="62" t="n">
        <f aca="false">IF(CS1220="","",MAX(0,H1220-CV1220)*G1220)</f>
        <v>102.375</v>
      </c>
      <c r="CX1220" s="62" t="n">
        <f aca="false">IF(CS1220="","",CS1220*MAX(0,1-CV1220/H1220))</f>
        <v>0.386396011396012</v>
      </c>
      <c r="CY1220" s="64" t="n">
        <f aca="false">IF(CS1220="","",PERCENTRANK($CS$7:$CS$1843,CS1220)+PERCENTRANK($CU$7:$CU$1843,CU1220)+1-PERCENTRANK($CT$7:$CT$1843,CT1220))</f>
        <v>1.023</v>
      </c>
      <c r="CZ1220" s="72" t="n">
        <f aca="false">IF(CS1220="","",CHOOSE(MATCH(Einkauf!$C$5,Parameter!$G$23:$G$27,0),CY1220,CS1220,CU1220,-CT1220,CW1220)+ROW()/1000000000)</f>
        <v>1.02300122</v>
      </c>
    </row>
    <row r="1221" customFormat="false" ht="15" hidden="false" customHeight="false" outlineLevel="0" collapsed="false">
      <c r="A1221" s="60" t="s">
        <v>2230</v>
      </c>
      <c r="B1221" s="60" t="s">
        <v>618</v>
      </c>
      <c r="C1221" s="60" t="s">
        <v>206</v>
      </c>
      <c r="D1221" s="60" t="s">
        <v>215</v>
      </c>
      <c r="E1221" s="60" t="s">
        <v>227</v>
      </c>
      <c r="F1221" s="60" t="s">
        <v>260</v>
      </c>
      <c r="G1221" s="61" t="n">
        <v>800.37</v>
      </c>
      <c r="H1221" s="62" t="n">
        <f aca="false">MAX(0,IF(AND(Parameter!$B$21="Ja",ISNUMBER(Y1221)),Y1221,IF(Parameter!$B$20="Jahresanfang 2025 + Export",BS1221+BR1221,BR1221)))</f>
        <v>7</v>
      </c>
      <c r="I1221" s="62" t="n">
        <f aca="false">H1221*G1221</f>
        <v>5602.59</v>
      </c>
      <c r="J1221" s="62" t="n">
        <f aca="false">BU1221*Parameter!$B$18</f>
        <v>8</v>
      </c>
      <c r="K1221" s="63" t="n">
        <v>9.5</v>
      </c>
      <c r="L1221" s="64" t="n">
        <v>0.842105263157895</v>
      </c>
      <c r="M1221" s="62" t="n">
        <v>0</v>
      </c>
      <c r="N1221" s="62" t="n">
        <v>5</v>
      </c>
      <c r="O1221" s="65" t="n">
        <v>28</v>
      </c>
      <c r="P1221" s="60" t="s">
        <v>216</v>
      </c>
      <c r="Q1221" s="62" t="n">
        <v>4.5</v>
      </c>
      <c r="R1221" s="65" t="n">
        <f aca="false">IF(CA1221=1,0,IFERROR(VLOOKUP(BY1221,'Gebinde-Kategorie'!$A$5:$N$45,13,0)+0,0))</f>
        <v>6</v>
      </c>
      <c r="S1221" s="66"/>
      <c r="T1221" s="67"/>
      <c r="U1221" s="67"/>
      <c r="V1221" s="67"/>
      <c r="W1221" s="60"/>
      <c r="X1221" s="62"/>
      <c r="Y1221" s="62"/>
      <c r="Z1221" s="60" t="n">
        <v>2</v>
      </c>
      <c r="AA1221" s="60" t="n">
        <f aca="false">IF(A1221="","",IF(AND(Parameter!$B$21="Ja",ISNUMBER(W1221)),W1221,IF(AND(Parameter!$E$27="Ja",ISNUMBER(Z1221),CD1221&lt;&gt;"Nein"),Z1221,IF(CD1221="2+3",IF(ISNUMBER(SEARCH("grosser Artikel",BV1221)),2,IFERROR(VLOOKUP(BY1221,Parameter!$F$35:$G$64,2,0),2)),IF(OR(CD1221="Nein",CD1221=""),"-",CD1221)))))</f>
        <v>2</v>
      </c>
      <c r="AB1221" s="67"/>
      <c r="AC1221" s="68"/>
      <c r="AD1221" s="62" t="n">
        <f aca="false">AW1221</f>
        <v>6</v>
      </c>
      <c r="AE1221" s="62" t="n">
        <f aca="false">MAX(AW1221,H1221)</f>
        <v>7</v>
      </c>
      <c r="AF1221" s="69"/>
      <c r="AG1221" s="62" t="n">
        <f aca="false">IF(LEFT(Cockpit!$C$5,1)="A",H1221,IF(Parameter!$E$30="MAX-Bestand",IF(CI1221=1,CJ1221,IF(LEFT(Cockpit!$C$5,1)="B",AM1221,MAX(AM1221,H1221))),ROUNDUP(AK1221,0)))</f>
        <v>7</v>
      </c>
      <c r="AH1221" s="62" t="n">
        <f aca="false">IF(CA1221=1,0,ROUNDUP(AG1221/BZ1221,0))</f>
        <v>2</v>
      </c>
      <c r="AI1221" s="64" t="n">
        <f aca="false">IF(CR1221&gt;0,CR1221*MAX(1,AG1221/X1221),IF(CA1221=1,IF(AG1221&lt;=0,0,CE1221*MAX(1,IF(H1221&gt;0,AG1221/H1221,1))),IF(R1221&gt;0,AH1221/R1221,0))/MAX(0.1,N(Parameter!$M$21)))</f>
        <v>0.333333333333333</v>
      </c>
      <c r="AJ1221" s="62" t="n">
        <f aca="false">AI1221*CC1221</f>
        <v>78.3333333333333</v>
      </c>
      <c r="AK1221" s="63" t="n">
        <f aca="false">IF(LEFT(Cockpit!$C$5,1)="A",H1221,IF(CI1221=1,(CL1221+CJ1221)/2,IF(LEFT(Cockpit!$C$5,1)="B",(CL1221+AM1221)/2,MAX((CL1221+AM1221)/2,H1221))))</f>
        <v>7</v>
      </c>
      <c r="AL1221" s="62" t="n">
        <f aca="false">AK1221*G1221</f>
        <v>5602.59</v>
      </c>
      <c r="AM1221" s="62" t="n">
        <f aca="false">ROUNDUP(CL1221+MAX(CM1221,2*(J1221/IF(CH1221&gt;0,CH1221,MAX(0.1,N(Cockpit!$C$6)))-CL1221)),0)</f>
        <v>6</v>
      </c>
      <c r="AN1221" s="63" t="n">
        <f aca="false">IF(AJ1221&gt;0,J1221/AJ1221,-1)</f>
        <v>0.102127659574468</v>
      </c>
      <c r="AO1221" s="63" t="n">
        <f aca="false">IF(AND(OR(CG1221="L1",CG1221="L23",CG1221="LIFT"),AJ1221&gt;0),SUMIFS($AJ$7:$AJ$1843,$CG$7:$CG$1843,CG1221,$AN$7:$AN$1843,"&gt;"&amp;AN1221)+SUMIFS($AJ$7:$AJ$1843,$CG$7:$CG$1843,CG1221,$AN$7:$AN$1843,AN1221,$BX$7:$BX$1843,"&lt;="&amp;BX1221),"")</f>
        <v>15873.5177640156</v>
      </c>
      <c r="AP1221" s="70" t="n">
        <f aca="false">IF(AO1221="",0,MAX(0,MIN(1,(IF(CG1221="L1",Parameter!$H$5,IF(CG1221="L23",Parameter!$H$6+Parameter!$H$7,Parameter!$H$5+Parameter!$H$6+Parameter!$H$7))-(AO1221-AJ1221))/AJ1221)))</f>
        <v>1</v>
      </c>
      <c r="AQ1221" s="62" t="n">
        <f aca="false">IF(LEFT(Cockpit!$I$5,1)="A",H1221,IF(Parameter!$E$30="MAX-Bestand",IF(CI1221=1,CJ1221,IF(LEFT(Cockpit!$I$5,1)="B",AW1221,MAX(AW1221,H1221))),ROUNDUP(AU1221,0)))</f>
        <v>7</v>
      </c>
      <c r="AR1221" s="62" t="n">
        <f aca="false">IF(CA1221=1,0,ROUNDUP(AQ1221/BZ1221,0))</f>
        <v>2</v>
      </c>
      <c r="AS1221" s="64" t="n">
        <f aca="false">IF(CR1221&gt;0,CR1221*MAX(1,AQ1221/X1221),IF(CA1221=1,IF(AQ1221&lt;=0,0,CE1221*MAX(1,IF(H1221&gt;0,AQ1221/H1221,1))),IF(R1221&gt;0,AR1221/R1221,0))/MAX(0.1,N(Parameter!$M$21)))</f>
        <v>0.333333333333333</v>
      </c>
      <c r="AT1221" s="62" t="n">
        <f aca="false">AS1221*CC1221</f>
        <v>78.3333333333333</v>
      </c>
      <c r="AU1221" s="63" t="n">
        <f aca="false">IF(LEFT(Cockpit!$I$5,1)="A",H1221,IF(CI1221=1,(CL1221+CJ1221)/2,IF(LEFT(Cockpit!$I$5,1)="B",(CL1221+AW1221)/2,MAX((CL1221+AW1221)/2,H1221))))</f>
        <v>7</v>
      </c>
      <c r="AV1221" s="62" t="n">
        <f aca="false">AU1221*G1221</f>
        <v>5602.59</v>
      </c>
      <c r="AW1221" s="62" t="n">
        <f aca="false">ROUNDUP(CL1221+MAX(CM1221,2*(J1221/IF(CH1221&gt;0,CH1221,MAX(0.1,N(Cockpit!$I$6)))-CL1221)),0)</f>
        <v>6</v>
      </c>
      <c r="AX1221" s="63" t="n">
        <f aca="false">IF(AT1221&gt;0,J1221/AT1221,-1)</f>
        <v>0.102127659574468</v>
      </c>
      <c r="AY1221" s="63" t="n">
        <f aca="false">IF(AND(OR(CG1221="L1",CG1221="L23",CG1221="LIFT"),AT1221&gt;0),SUMIFS($AT$7:$AT$1843,$CG$7:$CG$1843,CG1221,$AX$7:$AX$1843,"&gt;"&amp;AX1221)+SUMIFS($AT$7:$AT$1843,$CG$7:$CG$1843,CG1221,$AX$7:$AX$1843,AX1221,$BX$7:$BX$1843,"&lt;="&amp;BX1221),"")</f>
        <v>20602.9164053931</v>
      </c>
      <c r="AZ1221" s="70" t="n">
        <f aca="false">IF(AY1221="",0,MAX(0,MIN(1,(IF(CG1221="L1",Parameter!$H$5,IF(CG1221="L23",Parameter!$H$6+Parameter!$H$7,Parameter!$H$5+Parameter!$H$6+Parameter!$H$7))-(AY1221-AT1221))/AT1221)))</f>
        <v>1</v>
      </c>
      <c r="BA1221" s="62" t="n">
        <f aca="false">IF(LEFT(Cockpit!$O$5,1)="A",H1221,IF(Parameter!$E$30="MAX-Bestand",IF(CI1221=1,CJ1221,IF(LEFT(Cockpit!$O$5,1)="B",BG1221,MAX(BG1221,H1221))),ROUNDUP(BE1221,0)))</f>
        <v>3</v>
      </c>
      <c r="BB1221" s="62" t="n">
        <f aca="false">IF(CA1221=1,0,ROUNDUP(BA1221/BZ1221,0))</f>
        <v>1</v>
      </c>
      <c r="BC1221" s="64" t="n">
        <f aca="false">IF(CR1221&gt;0,CR1221*MAX(1,BA1221/X1221),IF(CA1221=1,IF(BA1221&lt;=0,0,CE1221*MAX(1,IF(H1221&gt;0,BA1221/H1221,1))),IF(R1221&gt;0,BB1221/R1221,0))/MAX(0.1,N(Parameter!$M$21)))</f>
        <v>0.166666666666667</v>
      </c>
      <c r="BD1221" s="62" t="n">
        <f aca="false">BC1221*CC1221</f>
        <v>39.1666666666667</v>
      </c>
      <c r="BE1221" s="63" t="n">
        <f aca="false">IF(LEFT(Cockpit!$O$5,1)="A",H1221,IF(CI1221=1,(CL1221+CJ1221)/2,IF(LEFT(Cockpit!$O$5,1)="B",(CL1221+BG1221)/2,MAX((CL1221+BG1221)/2,H1221))))</f>
        <v>2.5</v>
      </c>
      <c r="BF1221" s="62" t="n">
        <f aca="false">BE1221*G1221</f>
        <v>2000.925</v>
      </c>
      <c r="BG1221" s="62" t="n">
        <f aca="false">ROUNDUP(CL1221+MAX(CM1221,2*(J1221/IF(CH1221&gt;0,CH1221,MAX(0.1,N(Cockpit!$O$6)))-CL1221)),0)</f>
        <v>5</v>
      </c>
      <c r="BH1221" s="63" t="n">
        <f aca="false">IF(BD1221&gt;0,J1221/BD1221,-1)</f>
        <v>0.204255319148936</v>
      </c>
      <c r="BI1221" s="63" t="n">
        <f aca="false">IF(AND(OR(CG1221="L1",CG1221="L23",CG1221="LIFT"),BD1221&gt;0),SUMIFS($BD$7:$BD$1843,$CG$7:$CG$1843,CG1221,$BH$7:$BH$1843,"&gt;"&amp;BH1221)+SUMIFS($BD$7:$BD$1843,$CG$7:$CG$1843,CG1221,$BH$7:$BH$1843,BH1221,$BX$7:$BX$1843,"&lt;="&amp;BX1221),"")</f>
        <v>13186.5795901368</v>
      </c>
      <c r="BJ1221" s="70" t="n">
        <f aca="false">IF(BI1221="",0,MAX(0,MIN(1,(IF(CG1221="L1",Parameter!$H$5,IF(CG1221="L23",Parameter!$H$6+Parameter!$H$7,Parameter!$H$5+Parameter!$H$6+Parameter!$H$7))-(BI1221-BD1221))/BD1221)))</f>
        <v>1</v>
      </c>
      <c r="BK1221" s="60" t="str">
        <f aca="false">IF(AJ1221&lt;=0,"",IF(CG1221="Aussen","Aussenlager",IF(CG1221="-","Nicht im Lift",IF(AP1221&gt;=1,"Lift",IF(AP1221&lt;=0,"Aussenlager","teilweise")))))</f>
        <v>Lift</v>
      </c>
      <c r="BL1221" s="60" t="str">
        <f aca="false">IF(AT1221&lt;=0,"",IF(CG1221="Aussen","Aussenlager",IF(CG1221="-","Nicht im Lift",IF(AZ1221&gt;=1,"Lift",IF(AZ1221&lt;=0,"Aussenlager","teilweise")))))</f>
        <v>Lift</v>
      </c>
      <c r="BM1221" s="60" t="str">
        <f aca="false">IF(BD1221&lt;=0,"",IF(CG1221="Aussen","Aussenlager",IF(CG1221="-","Nicht im Lift",IF(BJ1221&gt;=1,"Lift",IF(BJ1221&lt;=0,"Aussenlager","teilweise")))))</f>
        <v>Lift</v>
      </c>
      <c r="BN1221" s="60" t="str">
        <f aca="false">IF(A1221="","",IF(BW1221=1,"Neu; ","")&amp;IF(AND(BW1221=0,BR1221&lt;0),"negativer Bestand (Export "&amp;BR1221&amp;"); ","")&amp;IF(J1221&lt;=0,"Kein Verbrauch; ","")&amp;IF(CR1221&gt;0,"Lift "&amp;W1221&amp;" lt. Liftbericht (Fach "&amp;X1221&amp;" Stk); ",IF(CB1221=1,"Gebinde geschätzt ("&amp;T1221&amp;"); ",IF(CA1221=1,"Lose – Tablare geschätzt; ","")))&amp;IF(H1221&gt;AW1221,"Überbestand "&amp;ROUND(H1221-AW1221,0)&amp;" Stk / CHF "&amp;ROUND((H1221-AW1221)*G1221,0)&amp;"; ","")&amp;IF(AND(CI1221=1,CJ1221&lt;CK1221),"MAX &lt; MB+LG; ","")&amp;IF(AND(CQ1221&gt;0,CP1221*10&gt;CQ1221),"zu hoch für Tablar; ","")&amp;IF(AND(BW1221=0,OR(CI1221=1,AB1221&lt;&gt;"",U1221&lt;&gt;"",V1221&lt;&gt;"",AC1221&lt;&gt;"")),"manuell übersteuert; ","")&amp;IF(AND(CA1221=0,R1221=0),"Gebinde unbekannt / Stellmass fehlt; ","")&amp;IF(AND(CA1221=0,N(V1221)&lt;=0,N(Q1221)&lt;=0),"Menge pro Gebinde fehlt (Ist = 1 Gebinde); ","")&amp;BV1221)</f>
        <v>negativer Bestand (Export -1); Überbestand 1 Stk / CHF 800; nicht im KTL vorhanden</v>
      </c>
      <c r="BO1221" s="60"/>
      <c r="BP1221" s="60"/>
      <c r="BQ1221" s="67"/>
      <c r="BR1221" s="62" t="n">
        <v>-1</v>
      </c>
      <c r="BS1221" s="62" t="n">
        <v>8</v>
      </c>
      <c r="BT1221" s="61" t="n">
        <v>-591.01</v>
      </c>
      <c r="BU1221" s="62" t="n">
        <v>8</v>
      </c>
      <c r="BV1221" s="60" t="s">
        <v>272</v>
      </c>
      <c r="BW1221" s="65" t="n">
        <v>0</v>
      </c>
      <c r="BX1221" s="65" t="n">
        <v>1221</v>
      </c>
      <c r="BY1221" s="60" t="str">
        <f aca="false">IF(U1221&lt;&gt;"",UPPER(TRIM(U1221)),IF(CB1221=1,UPPER(VLOOKUP(T1221,Parameter!$I$27:$K$29,2,0)),IF(P1221="","LOSE",P1221)))</f>
        <v>S71</v>
      </c>
      <c r="BZ1221" s="62" t="n">
        <f aca="false">IF(BY1221="LOSE",1,IF(N(V1221)&gt;0,V1221,IF(CB1221=1,MAX(1,N(VLOOKUP(T1221,Parameter!$I$27:$K$29,3,0)),H1221,N(N1221)),IF(N(Q1221)&gt;0,Q1221,MAX(1,H1221)))))</f>
        <v>4.5</v>
      </c>
      <c r="CA1221" s="65" t="n">
        <f aca="false">IF(BY1221="LOSE",1,0)</f>
        <v>0</v>
      </c>
      <c r="CB1221" s="65" t="n">
        <f aca="false">IF(AND(U1221="",OR(P1221="",P1221="LOSE"),T1221&lt;&gt;"",N(S1221)&lt;=0,ISNUMBER(MATCH(T1221,Parameter!$I$27:$I$29,0))),1,0)</f>
        <v>0</v>
      </c>
      <c r="CC1221" s="65" t="n">
        <f aca="false">IF(CR1221&gt;0,INDEX(Parameter!$H$5:$H$7,W1221)/INDEX(Parameter!$E$5:$E$7,W1221),IF(AND(CA1221=0,N(IFERROR(VLOOKUP(BY1221,'Gebinde-Kategorie'!$A$5:$N$45,14,0),0))&gt;0),VLOOKUP(BY1221,'Gebinde-Kategorie'!$A$5:$N$45,14,0)*10+Parameter!$M$23,Parameter!$M$24))</f>
        <v>235</v>
      </c>
      <c r="CD1221" s="60" t="str">
        <f aca="false">IF(AND(Parameter!$B$19="Ja",E1221&lt;&gt;"",ISNUMBER(MATCH(E1221,Parameter!$I$35:$I$52,0))),VLOOKUP(E1221,Parameter!$I$35:$J$52,2,0),IFERROR(VLOOKUP(D1221,Parameter!$A$35:$C$64,2,0),"Nein"))</f>
        <v>2+3</v>
      </c>
      <c r="CE1221" s="64" t="n">
        <f aca="false">IF(CA1221=0,0,IF(N(S1221)&gt;0,S1221,IFERROR(VLOOKUP(D1221,Parameter!$A$35:$C$64,3,0)+0,0)))</f>
        <v>0</v>
      </c>
      <c r="CF1221" s="60" t="n">
        <f aca="false">IF(AB1221&lt;&gt;"",AB1221,AA1221)</f>
        <v>2</v>
      </c>
      <c r="CG1221" s="60" t="str">
        <f aca="false">IF(OR(CF1221=1,CF1221=2,CF1221=3),IF(Parameter!$E$27="Ja","LIFT",IF(CF1221=1,"L1","L23")),IF(CF1221="Aussen","Aussen","-"))</f>
        <v>LIFT</v>
      </c>
      <c r="CH1221" s="71" t="n">
        <f aca="false">IF(N(AC1221)&gt;0,AC1221,0)</f>
        <v>0</v>
      </c>
      <c r="CI1221" s="65" t="n">
        <f aca="false">IF(ISNUMBER(AF1221),1,0)</f>
        <v>0</v>
      </c>
      <c r="CJ1221" s="62" t="n">
        <f aca="false">N(AF1221)</f>
        <v>0</v>
      </c>
      <c r="CK1221" s="62" t="n">
        <f aca="false">N(M1221)+N(N1221)</f>
        <v>5</v>
      </c>
      <c r="CL1221" s="62" t="n">
        <f aca="false">N(M1221)</f>
        <v>0</v>
      </c>
      <c r="CM1221" s="62" t="n">
        <f aca="false">N(N1221)</f>
        <v>5</v>
      </c>
      <c r="CN1221" s="62" t="n">
        <f aca="false">ROUNDUP(H1221/BZ1221,0)</f>
        <v>2</v>
      </c>
      <c r="CO1221" s="62" t="n">
        <f aca="false">ROUNDUP(CJ1221/BZ1221,0)</f>
        <v>0</v>
      </c>
      <c r="CP1221" s="65" t="n">
        <f aca="false">IF(CA1221=1,0,IFERROR(VLOOKUP(BY1221,'Gebinde-Kategorie'!$A$5:$N$45,5,0)+0,0))</f>
        <v>20</v>
      </c>
      <c r="CQ1221" s="65" t="n">
        <f aca="false">IFERROR(IF(OR(CF1221=1,CF1221=2,CF1221=3),N(INDEX(Parameter!$I$5:$I$7,CF1221)),0),0)</f>
        <v>0</v>
      </c>
      <c r="CR1221" s="64" t="n">
        <f aca="false">IF(AND(Parameter!$B$21="Ja",ISNUMBER(W1221),N(X1221)&gt;0),IFERROR(N(INDEX(Parameter!$L$5:$L$7,W1221))*INDEX(Parameter!$E$5:$E$7,W1221)*X1221/SUMIFS($X$7:$X$1843,$W$7:$W$1843,W1221),0),0)</f>
        <v>0</v>
      </c>
      <c r="CS1221" s="62" t="n">
        <f aca="false">IF(AND(OR(CG1221="L1",CG1221="L23",CG1221="LIFT"),H1221&gt;0),CC1221*IF(CR1221&gt;0,CR1221*MAX(1,H1221/X1221),IF(CA1221=1,CE1221,IF(R1221&gt;0,CN1221/R1221,0))/MAX(0.1,N(Parameter!$M$21))),"")</f>
        <v>78.3333333333333</v>
      </c>
      <c r="CT1221" s="64" t="n">
        <f aca="false">IF(CS1221="","",J1221/H1221)</f>
        <v>1.14285714285714</v>
      </c>
      <c r="CU1221" s="62" t="n">
        <f aca="false">IF(CS1221="","",H1221*G1221)</f>
        <v>5602.59</v>
      </c>
      <c r="CV1221" s="63" t="n">
        <f aca="false">IF(CS1221="","",(CL1221+ROUNDUP(CL1221+MAX(CM1221,2*(J1221/MAX(0.1,N(Einkauf!$C$6))-CL1221)),0))/2)</f>
        <v>2.5</v>
      </c>
      <c r="CW1221" s="62" t="n">
        <f aca="false">IF(CS1221="","",MAX(0,H1221-CV1221)*G1221)</f>
        <v>3601.665</v>
      </c>
      <c r="CX1221" s="62" t="n">
        <f aca="false">IF(CS1221="","",CS1221*MAX(0,1-CV1221/H1221))</f>
        <v>50.3571428571429</v>
      </c>
      <c r="CY1221" s="64" t="n">
        <f aca="false">IF(CS1221="","",PERCENTRANK($CS$7:$CS$1843,CS1221)+PERCENTRANK($CU$7:$CU$1843,CU1221)+1-PERCENTRANK($CT$7:$CT$1843,CT1221))</f>
        <v>2.164</v>
      </c>
      <c r="CZ1221" s="72" t="n">
        <f aca="false">IF(CS1221="","",CHOOSE(MATCH(Einkauf!$C$5,Parameter!$G$23:$G$27,0),CY1221,CS1221,CU1221,-CT1221,CW1221)+ROW()/1000000000)</f>
        <v>2.164001221</v>
      </c>
    </row>
    <row r="1222" customFormat="false" ht="15" hidden="false" customHeight="false" outlineLevel="0" collapsed="false">
      <c r="A1222" s="60" t="s">
        <v>2231</v>
      </c>
      <c r="B1222" s="60" t="s">
        <v>2232</v>
      </c>
      <c r="C1222" s="60" t="s">
        <v>206</v>
      </c>
      <c r="D1222" s="60" t="s">
        <v>226</v>
      </c>
      <c r="E1222" s="60"/>
      <c r="F1222" s="60" t="s">
        <v>260</v>
      </c>
      <c r="G1222" s="61" t="n">
        <v>296.55</v>
      </c>
      <c r="H1222" s="62" t="n">
        <f aca="false">MAX(0,IF(AND(Parameter!$B$21="Ja",ISNUMBER(Y1222)),Y1222,IF(Parameter!$B$20="Jahresanfang 2025 + Export",BS1222+BR1222,BR1222)))</f>
        <v>32</v>
      </c>
      <c r="I1222" s="62" t="n">
        <f aca="false">H1222*G1222</f>
        <v>9489.6</v>
      </c>
      <c r="J1222" s="62" t="n">
        <f aca="false">BU1222*Parameter!$B$18</f>
        <v>1</v>
      </c>
      <c r="K1222" s="63" t="n">
        <v>33</v>
      </c>
      <c r="L1222" s="64" t="n">
        <v>0.0303030303030303</v>
      </c>
      <c r="M1222" s="62" t="n">
        <v>0</v>
      </c>
      <c r="N1222" s="62" t="n">
        <v>1</v>
      </c>
      <c r="O1222" s="65" t="n">
        <v>63</v>
      </c>
      <c r="P1222" s="60" t="s">
        <v>268</v>
      </c>
      <c r="Q1222" s="62" t="n">
        <v>35</v>
      </c>
      <c r="R1222" s="65" t="n">
        <f aca="false">IF(CA1222=1,0,IFERROR(VLOOKUP(BY1222,'Gebinde-Kategorie'!$A$5:$N$45,13,0)+0,0))</f>
        <v>12</v>
      </c>
      <c r="S1222" s="66"/>
      <c r="T1222" s="67"/>
      <c r="U1222" s="67"/>
      <c r="V1222" s="67"/>
      <c r="W1222" s="60"/>
      <c r="X1222" s="62"/>
      <c r="Y1222" s="62"/>
      <c r="Z1222" s="60" t="n">
        <v>3</v>
      </c>
      <c r="AA1222" s="60" t="n">
        <f aca="false">IF(A1222="","",IF(AND(Parameter!$B$21="Ja",ISNUMBER(W1222)),W1222,IF(AND(Parameter!$E$27="Ja",ISNUMBER(Z1222),CD1222&lt;&gt;"Nein"),Z1222,IF(CD1222="2+3",IF(ISNUMBER(SEARCH("grosser Artikel",BV1222)),2,IFERROR(VLOOKUP(BY1222,Parameter!$F$35:$G$64,2,0),2)),IF(OR(CD1222="Nein",CD1222=""),"-",CD1222)))))</f>
        <v>3</v>
      </c>
      <c r="AB1222" s="67"/>
      <c r="AC1222" s="68"/>
      <c r="AD1222" s="62" t="n">
        <f aca="false">AW1222</f>
        <v>1</v>
      </c>
      <c r="AE1222" s="62" t="n">
        <f aca="false">MAX(AW1222,H1222)</f>
        <v>32</v>
      </c>
      <c r="AF1222" s="69"/>
      <c r="AG1222" s="62" t="n">
        <f aca="false">IF(LEFT(Cockpit!$C$5,1)="A",H1222,IF(Parameter!$E$30="MAX-Bestand",IF(CI1222=1,CJ1222,IF(LEFT(Cockpit!$C$5,1)="B",AM1222,MAX(AM1222,H1222))),ROUNDUP(AK1222,0)))</f>
        <v>32</v>
      </c>
      <c r="AH1222" s="62" t="n">
        <f aca="false">IF(CA1222=1,0,ROUNDUP(AG1222/BZ1222,0))</f>
        <v>1</v>
      </c>
      <c r="AI1222" s="64" t="n">
        <f aca="false">IF(CR1222&gt;0,CR1222*MAX(1,AG1222/X1222),IF(CA1222=1,IF(AG1222&lt;=0,0,CE1222*MAX(1,IF(H1222&gt;0,AG1222/H1222,1))),IF(R1222&gt;0,AH1222/R1222,0))/MAX(0.1,N(Parameter!$M$21)))</f>
        <v>0.0833333333333333</v>
      </c>
      <c r="AJ1222" s="62" t="n">
        <f aca="false">AI1222*CC1222</f>
        <v>28.75</v>
      </c>
      <c r="AK1222" s="63" t="n">
        <f aca="false">IF(LEFT(Cockpit!$C$5,1)="A",H1222,IF(CI1222=1,(CL1222+CJ1222)/2,IF(LEFT(Cockpit!$C$5,1)="B",(CL1222+AM1222)/2,MAX((CL1222+AM1222)/2,H1222))))</f>
        <v>32</v>
      </c>
      <c r="AL1222" s="62" t="n">
        <f aca="false">AK1222*G1222</f>
        <v>9489.6</v>
      </c>
      <c r="AM1222" s="62" t="n">
        <f aca="false">ROUNDUP(CL1222+MAX(CM1222,2*(J1222/IF(CH1222&gt;0,CH1222,MAX(0.1,N(Cockpit!$C$6)))-CL1222)),0)</f>
        <v>1</v>
      </c>
      <c r="AN1222" s="63" t="n">
        <f aca="false">IF(AJ1222&gt;0,J1222/AJ1222,-1)</f>
        <v>0.0347826086956522</v>
      </c>
      <c r="AO1222" s="63" t="n">
        <f aca="false">IF(AND(OR(CG1222="L1",CG1222="L23",CG1222="LIFT"),AJ1222&gt;0),SUMIFS($AJ$7:$AJ$1843,$CG$7:$CG$1843,CG1222,$AN$7:$AN$1843,"&gt;"&amp;AN1222)+SUMIFS($AJ$7:$AJ$1843,$CG$7:$CG$1843,CG1222,$AN$7:$AN$1843,AN1222,$BX$7:$BX$1843,"&lt;="&amp;BX1222),"")</f>
        <v>19952.3709800087</v>
      </c>
      <c r="AP1222" s="70" t="n">
        <f aca="false">IF(AO1222="",0,MAX(0,MIN(1,(IF(CG1222="L1",Parameter!$H$5,IF(CG1222="L23",Parameter!$H$6+Parameter!$H$7,Parameter!$H$5+Parameter!$H$6+Parameter!$H$7))-(AO1222-AJ1222))/AJ1222)))</f>
        <v>1</v>
      </c>
      <c r="AQ1222" s="62" t="n">
        <f aca="false">IF(LEFT(Cockpit!$I$5,1)="A",H1222,IF(Parameter!$E$30="MAX-Bestand",IF(CI1222=1,CJ1222,IF(LEFT(Cockpit!$I$5,1)="B",AW1222,MAX(AW1222,H1222))),ROUNDUP(AU1222,0)))</f>
        <v>32</v>
      </c>
      <c r="AR1222" s="62" t="n">
        <f aca="false">IF(CA1222=1,0,ROUNDUP(AQ1222/BZ1222,0))</f>
        <v>1</v>
      </c>
      <c r="AS1222" s="64" t="n">
        <f aca="false">IF(CR1222&gt;0,CR1222*MAX(1,AQ1222/X1222),IF(CA1222=1,IF(AQ1222&lt;=0,0,CE1222*MAX(1,IF(H1222&gt;0,AQ1222/H1222,1))),IF(R1222&gt;0,AR1222/R1222,0))/MAX(0.1,N(Parameter!$M$21)))</f>
        <v>0.0833333333333333</v>
      </c>
      <c r="AT1222" s="62" t="n">
        <f aca="false">AS1222*CC1222</f>
        <v>28.75</v>
      </c>
      <c r="AU1222" s="63" t="n">
        <f aca="false">IF(LEFT(Cockpit!$I$5,1)="A",H1222,IF(CI1222=1,(CL1222+CJ1222)/2,IF(LEFT(Cockpit!$I$5,1)="B",(CL1222+AW1222)/2,MAX((CL1222+AW1222)/2,H1222))))</f>
        <v>32</v>
      </c>
      <c r="AV1222" s="62" t="n">
        <f aca="false">AU1222*G1222</f>
        <v>9489.6</v>
      </c>
      <c r="AW1222" s="62" t="n">
        <f aca="false">ROUNDUP(CL1222+MAX(CM1222,2*(J1222/IF(CH1222&gt;0,CH1222,MAX(0.1,N(Cockpit!$I$6)))-CL1222)),0)</f>
        <v>1</v>
      </c>
      <c r="AX1222" s="63" t="n">
        <f aca="false">IF(AT1222&gt;0,J1222/AT1222,-1)</f>
        <v>0.0347826086956522</v>
      </c>
      <c r="AY1222" s="63" t="n">
        <f aca="false">IF(AND(OR(CG1222="L1",CG1222="L23",CG1222="LIFT"),AT1222&gt;0),SUMIFS($AT$7:$AT$1843,$CG$7:$CG$1843,CG1222,$AX$7:$AX$1843,"&gt;"&amp;AX1222)+SUMIFS($AT$7:$AT$1843,$CG$7:$CG$1843,CG1222,$AX$7:$AX$1843,AX1222,$BX$7:$BX$1843,"&lt;="&amp;BX1222),"")</f>
        <v>25011.7696213861</v>
      </c>
      <c r="AZ1222" s="70" t="n">
        <f aca="false">IF(AY1222="",0,MAX(0,MIN(1,(IF(CG1222="L1",Parameter!$H$5,IF(CG1222="L23",Parameter!$H$6+Parameter!$H$7,Parameter!$H$5+Parameter!$H$6+Parameter!$H$7))-(AY1222-AT1222))/AT1222)))</f>
        <v>1</v>
      </c>
      <c r="BA1222" s="62" t="n">
        <f aca="false">IF(LEFT(Cockpit!$O$5,1)="A",H1222,IF(Parameter!$E$30="MAX-Bestand",IF(CI1222=1,CJ1222,IF(LEFT(Cockpit!$O$5,1)="B",BG1222,MAX(BG1222,H1222))),ROUNDUP(BE1222,0)))</f>
        <v>1</v>
      </c>
      <c r="BB1222" s="62" t="n">
        <f aca="false">IF(CA1222=1,0,ROUNDUP(BA1222/BZ1222,0))</f>
        <v>1</v>
      </c>
      <c r="BC1222" s="64" t="n">
        <f aca="false">IF(CR1222&gt;0,CR1222*MAX(1,BA1222/X1222),IF(CA1222=1,IF(BA1222&lt;=0,0,CE1222*MAX(1,IF(H1222&gt;0,BA1222/H1222,1))),IF(R1222&gt;0,BB1222/R1222,0))/MAX(0.1,N(Parameter!$M$21)))</f>
        <v>0.0833333333333333</v>
      </c>
      <c r="BD1222" s="62" t="n">
        <f aca="false">BC1222*CC1222</f>
        <v>28.75</v>
      </c>
      <c r="BE1222" s="63" t="n">
        <f aca="false">IF(LEFT(Cockpit!$O$5,1)="A",H1222,IF(CI1222=1,(CL1222+CJ1222)/2,IF(LEFT(Cockpit!$O$5,1)="B",(CL1222+BG1222)/2,MAX((CL1222+BG1222)/2,H1222))))</f>
        <v>0.5</v>
      </c>
      <c r="BF1222" s="62" t="n">
        <f aca="false">BE1222*G1222</f>
        <v>148.275</v>
      </c>
      <c r="BG1222" s="62" t="n">
        <f aca="false">ROUNDUP(CL1222+MAX(CM1222,2*(J1222/IF(CH1222&gt;0,CH1222,MAX(0.1,N(Cockpit!$O$6)))-CL1222)),0)</f>
        <v>1</v>
      </c>
      <c r="BH1222" s="63" t="n">
        <f aca="false">IF(BD1222&gt;0,J1222/BD1222,-1)</f>
        <v>0.0347826086956522</v>
      </c>
      <c r="BI1222" s="63" t="n">
        <f aca="false">IF(AND(OR(CG1222="L1",CG1222="L23",CG1222="LIFT"),BD1222&gt;0),SUMIFS($BD$7:$BD$1843,$CG$7:$CG$1843,CG1222,$BH$7:$BH$1843,"&gt;"&amp;BH1222)+SUMIFS($BD$7:$BD$1843,$CG$7:$CG$1843,CG1222,$BH$7:$BH$1843,BH1222,$BX$7:$BX$1843,"&lt;="&amp;BX1222),"")</f>
        <v>20861.6847980174</v>
      </c>
      <c r="BJ1222" s="70" t="n">
        <f aca="false">IF(BI1222="",0,MAX(0,MIN(1,(IF(CG1222="L1",Parameter!$H$5,IF(CG1222="L23",Parameter!$H$6+Parameter!$H$7,Parameter!$H$5+Parameter!$H$6+Parameter!$H$7))-(BI1222-BD1222))/BD1222)))</f>
        <v>1</v>
      </c>
      <c r="BK1222" s="60" t="str">
        <f aca="false">IF(AJ1222&lt;=0,"",IF(CG1222="Aussen","Aussenlager",IF(CG1222="-","Nicht im Lift",IF(AP1222&gt;=1,"Lift",IF(AP1222&lt;=0,"Aussenlager","teilweise")))))</f>
        <v>Lift</v>
      </c>
      <c r="BL1222" s="60" t="str">
        <f aca="false">IF(AT1222&lt;=0,"",IF(CG1222="Aussen","Aussenlager",IF(CG1222="-","Nicht im Lift",IF(AZ1222&gt;=1,"Lift",IF(AZ1222&lt;=0,"Aussenlager","teilweise")))))</f>
        <v>Lift</v>
      </c>
      <c r="BM1222" s="60" t="str">
        <f aca="false">IF(BD1222&lt;=0,"",IF(CG1222="Aussen","Aussenlager",IF(CG1222="-","Nicht im Lift",IF(BJ1222&gt;=1,"Lift",IF(BJ1222&lt;=0,"Aussenlager","teilweise")))))</f>
        <v>Lift</v>
      </c>
      <c r="BN1222" s="60" t="str">
        <f aca="false">IF(A1222="","",IF(BW1222=1,"Neu; ","")&amp;IF(AND(BW1222=0,BR1222&lt;0),"negativer Bestand (Export "&amp;BR1222&amp;"); ","")&amp;IF(J1222&lt;=0,"Kein Verbrauch; ","")&amp;IF(CR1222&gt;0,"Lift "&amp;W1222&amp;" lt. Liftbericht (Fach "&amp;X1222&amp;" Stk); ",IF(CB1222=1,"Gebinde geschätzt ("&amp;T1222&amp;"); ",IF(CA1222=1,"Lose – Tablare geschätzt; ","")))&amp;IF(H1222&gt;AW1222,"Überbestand "&amp;ROUND(H1222-AW1222,0)&amp;" Stk / CHF "&amp;ROUND((H1222-AW1222)*G1222,0)&amp;"; ","")&amp;IF(AND(CI1222=1,CJ1222&lt;CK1222),"MAX &lt; MB+LG; ","")&amp;IF(AND(CQ1222&gt;0,CP1222*10&gt;CQ1222),"zu hoch für Tablar; ","")&amp;IF(AND(BW1222=0,OR(CI1222=1,AB1222&lt;&gt;"",U1222&lt;&gt;"",V1222&lt;&gt;"",AC1222&lt;&gt;"")),"manuell übersteuert; ","")&amp;IF(AND(CA1222=0,R1222=0),"Gebinde unbekannt / Stellmass fehlt; ","")&amp;IF(AND(CA1222=0,N(V1222)&lt;=0,N(Q1222)&lt;=0),"Menge pro Gebinde fehlt (Ist = 1 Gebinde); ","")&amp;BV1222)</f>
        <v>negativer Bestand (Export -2); Überbestand 31 Stk / CHF 9193; </v>
      </c>
      <c r="BO1222" s="60"/>
      <c r="BP1222" s="60"/>
      <c r="BQ1222" s="67"/>
      <c r="BR1222" s="62" t="n">
        <v>-2</v>
      </c>
      <c r="BS1222" s="62" t="n">
        <v>34</v>
      </c>
      <c r="BT1222" s="61" t="n">
        <v>-593.1</v>
      </c>
      <c r="BU1222" s="62" t="n">
        <v>1</v>
      </c>
      <c r="BV1222" s="60"/>
      <c r="BW1222" s="65" t="n">
        <v>0</v>
      </c>
      <c r="BX1222" s="65" t="n">
        <v>1222</v>
      </c>
      <c r="BY1222" s="60" t="str">
        <f aca="false">IF(U1222&lt;&gt;"",UPPER(TRIM(U1222)),IF(CB1222=1,UPPER(VLOOKUP(T1222,Parameter!$I$27:$K$29,2,0)),IF(P1222="","LOSE",P1222)))</f>
        <v>S63</v>
      </c>
      <c r="BZ1222" s="62" t="n">
        <f aca="false">IF(BY1222="LOSE",1,IF(N(V1222)&gt;0,V1222,IF(CB1222=1,MAX(1,N(VLOOKUP(T1222,Parameter!$I$27:$K$29,3,0)),H1222,N(N1222)),IF(N(Q1222)&gt;0,Q1222,MAX(1,H1222)))))</f>
        <v>35</v>
      </c>
      <c r="CA1222" s="65" t="n">
        <f aca="false">IF(BY1222="LOSE",1,0)</f>
        <v>0</v>
      </c>
      <c r="CB1222" s="65" t="n">
        <f aca="false">IF(AND(U1222="",OR(P1222="",P1222="LOSE"),T1222&lt;&gt;"",N(S1222)&lt;=0,ISNUMBER(MATCH(T1222,Parameter!$I$27:$I$29,0))),1,0)</f>
        <v>0</v>
      </c>
      <c r="CC1222" s="65" t="n">
        <f aca="false">IF(CR1222&gt;0,INDEX(Parameter!$H$5:$H$7,W1222)/INDEX(Parameter!$E$5:$E$7,W1222),IF(AND(CA1222=0,N(IFERROR(VLOOKUP(BY1222,'Gebinde-Kategorie'!$A$5:$N$45,14,0),0))&gt;0),VLOOKUP(BY1222,'Gebinde-Kategorie'!$A$5:$N$45,14,0)*10+Parameter!$M$23,Parameter!$M$24))</f>
        <v>345</v>
      </c>
      <c r="CD1222" s="60" t="str">
        <f aca="false">IF(AND(Parameter!$B$19="Ja",E1222&lt;&gt;"",ISNUMBER(MATCH(E1222,Parameter!$I$35:$I$52,0))),VLOOKUP(E1222,Parameter!$I$35:$J$52,2,0),IFERROR(VLOOKUP(D1222,Parameter!$A$35:$C$64,2,0),"Nein"))</f>
        <v>2+3</v>
      </c>
      <c r="CE1222" s="64" t="n">
        <f aca="false">IF(CA1222=0,0,IF(N(S1222)&gt;0,S1222,IFERROR(VLOOKUP(D1222,Parameter!$A$35:$C$64,3,0)+0,0)))</f>
        <v>0</v>
      </c>
      <c r="CF1222" s="60" t="n">
        <f aca="false">IF(AB1222&lt;&gt;"",AB1222,AA1222)</f>
        <v>3</v>
      </c>
      <c r="CG1222" s="60" t="str">
        <f aca="false">IF(OR(CF1222=1,CF1222=2,CF1222=3),IF(Parameter!$E$27="Ja","LIFT",IF(CF1222=1,"L1","L23")),IF(CF1222="Aussen","Aussen","-"))</f>
        <v>LIFT</v>
      </c>
      <c r="CH1222" s="71" t="n">
        <f aca="false">IF(N(AC1222)&gt;0,AC1222,0)</f>
        <v>0</v>
      </c>
      <c r="CI1222" s="65" t="n">
        <f aca="false">IF(ISNUMBER(AF1222),1,0)</f>
        <v>0</v>
      </c>
      <c r="CJ1222" s="62" t="n">
        <f aca="false">N(AF1222)</f>
        <v>0</v>
      </c>
      <c r="CK1222" s="62" t="n">
        <f aca="false">N(M1222)+N(N1222)</f>
        <v>1</v>
      </c>
      <c r="CL1222" s="62" t="n">
        <f aca="false">N(M1222)</f>
        <v>0</v>
      </c>
      <c r="CM1222" s="62" t="n">
        <f aca="false">N(N1222)</f>
        <v>1</v>
      </c>
      <c r="CN1222" s="62" t="n">
        <f aca="false">ROUNDUP(H1222/BZ1222,0)</f>
        <v>1</v>
      </c>
      <c r="CO1222" s="62" t="n">
        <f aca="false">ROUNDUP(CJ1222/BZ1222,0)</f>
        <v>0</v>
      </c>
      <c r="CP1222" s="65" t="n">
        <f aca="false">IF(CA1222=1,0,IFERROR(VLOOKUP(BY1222,'Gebinde-Kategorie'!$A$5:$N$45,5,0)+0,0))</f>
        <v>31</v>
      </c>
      <c r="CQ1222" s="65" t="n">
        <f aca="false">IFERROR(IF(OR(CF1222=1,CF1222=2,CF1222=3),N(INDEX(Parameter!$I$5:$I$7,CF1222)),0),0)</f>
        <v>0</v>
      </c>
      <c r="CR1222" s="64" t="n">
        <f aca="false">IF(AND(Parameter!$B$21="Ja",ISNUMBER(W1222),N(X1222)&gt;0),IFERROR(N(INDEX(Parameter!$L$5:$L$7,W1222))*INDEX(Parameter!$E$5:$E$7,W1222)*X1222/SUMIFS($X$7:$X$1843,$W$7:$W$1843,W1222),0),0)</f>
        <v>0</v>
      </c>
      <c r="CS1222" s="62" t="n">
        <f aca="false">IF(AND(OR(CG1222="L1",CG1222="L23",CG1222="LIFT"),H1222&gt;0),CC1222*IF(CR1222&gt;0,CR1222*MAX(1,H1222/X1222),IF(CA1222=1,CE1222,IF(R1222&gt;0,CN1222/R1222,0))/MAX(0.1,N(Parameter!$M$21))),"")</f>
        <v>28.75</v>
      </c>
      <c r="CT1222" s="64" t="n">
        <f aca="false">IF(CS1222="","",J1222/H1222)</f>
        <v>0.03125</v>
      </c>
      <c r="CU1222" s="62" t="n">
        <f aca="false">IF(CS1222="","",H1222*G1222)</f>
        <v>9489.6</v>
      </c>
      <c r="CV1222" s="63" t="n">
        <f aca="false">IF(CS1222="","",(CL1222+ROUNDUP(CL1222+MAX(CM1222,2*(J1222/MAX(0.1,N(Einkauf!$C$6))-CL1222)),0))/2)</f>
        <v>0.5</v>
      </c>
      <c r="CW1222" s="62" t="n">
        <f aca="false">IF(CS1222="","",MAX(0,H1222-CV1222)*G1222)</f>
        <v>9341.325</v>
      </c>
      <c r="CX1222" s="62" t="n">
        <f aca="false">IF(CS1222="","",CS1222*MAX(0,1-CV1222/H1222))</f>
        <v>28.30078125</v>
      </c>
      <c r="CY1222" s="64" t="n">
        <f aca="false">IF(CS1222="","",PERCENTRANK($CS$7:$CS$1843,CS1222)+PERCENTRANK($CU$7:$CU$1843,CU1222)+1-PERCENTRANK($CT$7:$CT$1843,CT1222))</f>
        <v>2.378</v>
      </c>
      <c r="CZ1222" s="72" t="n">
        <f aca="false">IF(CS1222="","",CHOOSE(MATCH(Einkauf!$C$5,Parameter!$G$23:$G$27,0),CY1222,CS1222,CU1222,-CT1222,CW1222)+ROW()/1000000000)</f>
        <v>2.378001222</v>
      </c>
    </row>
    <row r="1223" customFormat="false" ht="15" hidden="false" customHeight="false" outlineLevel="0" collapsed="false">
      <c r="A1223" s="60" t="s">
        <v>2233</v>
      </c>
      <c r="B1223" s="60" t="s">
        <v>651</v>
      </c>
      <c r="C1223" s="60" t="s">
        <v>206</v>
      </c>
      <c r="D1223" s="60" t="s">
        <v>215</v>
      </c>
      <c r="E1223" s="60"/>
      <c r="F1223" s="60" t="s">
        <v>260</v>
      </c>
      <c r="G1223" s="61" t="n">
        <v>35.5</v>
      </c>
      <c r="H1223" s="62" t="n">
        <f aca="false">MAX(0,IF(AND(Parameter!$B$21="Ja",ISNUMBER(Y1223)),Y1223,IF(Parameter!$B$20="Jahresanfang 2025 + Export",BS1223+BR1223,BR1223)))</f>
        <v>0</v>
      </c>
      <c r="I1223" s="62" t="n">
        <f aca="false">H1223*G1223</f>
        <v>0</v>
      </c>
      <c r="J1223" s="62" t="n">
        <f aca="false">BU1223*Parameter!$B$18</f>
        <v>0</v>
      </c>
      <c r="K1223" s="63" t="n">
        <v>8.5</v>
      </c>
      <c r="L1223" s="64" t="n">
        <v>0</v>
      </c>
      <c r="M1223" s="62" t="n">
        <v>0</v>
      </c>
      <c r="N1223" s="62" t="n">
        <v>1</v>
      </c>
      <c r="O1223" s="65" t="n">
        <v>42</v>
      </c>
      <c r="P1223" s="60" t="s">
        <v>210</v>
      </c>
      <c r="Q1223" s="62"/>
      <c r="R1223" s="65" t="n">
        <f aca="false">IF(CA1223=1,0,IFERROR(VLOOKUP(BY1223,'Gebinde-Kategorie'!$A$5:$N$45,13,0)+0,0))</f>
        <v>12</v>
      </c>
      <c r="S1223" s="66"/>
      <c r="T1223" s="67" t="s">
        <v>221</v>
      </c>
      <c r="U1223" s="67"/>
      <c r="V1223" s="67"/>
      <c r="W1223" s="60"/>
      <c r="X1223" s="62"/>
      <c r="Y1223" s="62"/>
      <c r="Z1223" s="60" t="n">
        <v>3</v>
      </c>
      <c r="AA1223" s="60" t="n">
        <f aca="false">IF(A1223="","",IF(AND(Parameter!$B$21="Ja",ISNUMBER(W1223)),W1223,IF(AND(Parameter!$E$27="Ja",ISNUMBER(Z1223),CD1223&lt;&gt;"Nein"),Z1223,IF(CD1223="2+3",IF(ISNUMBER(SEARCH("grosser Artikel",BV1223)),2,IFERROR(VLOOKUP(BY1223,Parameter!$F$35:$G$64,2,0),2)),IF(OR(CD1223="Nein",CD1223=""),"-",CD1223)))))</f>
        <v>3</v>
      </c>
      <c r="AB1223" s="67"/>
      <c r="AC1223" s="68"/>
      <c r="AD1223" s="62" t="n">
        <f aca="false">AW1223</f>
        <v>1</v>
      </c>
      <c r="AE1223" s="62" t="n">
        <f aca="false">MAX(AW1223,H1223)</f>
        <v>1</v>
      </c>
      <c r="AF1223" s="69"/>
      <c r="AG1223" s="62" t="n">
        <f aca="false">IF(LEFT(Cockpit!$C$5,1)="A",H1223,IF(Parameter!$E$30="MAX-Bestand",IF(CI1223=1,CJ1223,IF(LEFT(Cockpit!$C$5,1)="B",AM1223,MAX(AM1223,H1223))),ROUNDUP(AK1223,0)))</f>
        <v>0</v>
      </c>
      <c r="AH1223" s="62" t="n">
        <f aca="false">IF(CA1223=1,0,ROUNDUP(AG1223/BZ1223,0))</f>
        <v>0</v>
      </c>
      <c r="AI1223" s="64" t="n">
        <f aca="false">IF(CR1223&gt;0,CR1223*MAX(1,AG1223/X1223),IF(CA1223=1,IF(AG1223&lt;=0,0,CE1223*MAX(1,IF(H1223&gt;0,AG1223/H1223,1))),IF(R1223&gt;0,AH1223/R1223,0))/MAX(0.1,N(Parameter!$M$21)))</f>
        <v>0</v>
      </c>
      <c r="AJ1223" s="62" t="n">
        <f aca="false">AI1223*CC1223</f>
        <v>0</v>
      </c>
      <c r="AK1223" s="63" t="n">
        <f aca="false">IF(LEFT(Cockpit!$C$5,1)="A",H1223,IF(CI1223=1,(CL1223+CJ1223)/2,IF(LEFT(Cockpit!$C$5,1)="B",(CL1223+AM1223)/2,MAX((CL1223+AM1223)/2,H1223))))</f>
        <v>0</v>
      </c>
      <c r="AL1223" s="62" t="n">
        <f aca="false">AK1223*G1223</f>
        <v>0</v>
      </c>
      <c r="AM1223" s="62" t="n">
        <f aca="false">ROUNDUP(CL1223+MAX(CM1223,2*(J1223/IF(CH1223&gt;0,CH1223,MAX(0.1,N(Cockpit!$C$6)))-CL1223)),0)</f>
        <v>1</v>
      </c>
      <c r="AN1223" s="63" t="n">
        <f aca="false">IF(AJ1223&gt;0,J1223/AJ1223,-1)</f>
        <v>-1</v>
      </c>
      <c r="AO1223" s="63" t="str">
        <f aca="false">IF(AND(OR(CG1223="L1",CG1223="L23",CG1223="LIFT"),AJ1223&gt;0),SUMIFS($AJ$7:$AJ$1843,$CG$7:$CG$1843,CG1223,$AN$7:$AN$1843,"&gt;"&amp;AN1223)+SUMIFS($AJ$7:$AJ$1843,$CG$7:$CG$1843,CG1223,$AN$7:$AN$1843,AN1223,$BX$7:$BX$1843,"&lt;="&amp;BX1223),"")</f>
        <v/>
      </c>
      <c r="AP1223" s="70" t="n">
        <f aca="false">IF(AO1223="",0,MAX(0,MIN(1,(IF(CG1223="L1",Parameter!$H$5,IF(CG1223="L23",Parameter!$H$6+Parameter!$H$7,Parameter!$H$5+Parameter!$H$6+Parameter!$H$7))-(AO1223-AJ1223))/AJ1223)))</f>
        <v>0</v>
      </c>
      <c r="AQ1223" s="62" t="n">
        <f aca="false">IF(LEFT(Cockpit!$I$5,1)="A",H1223,IF(Parameter!$E$30="MAX-Bestand",IF(CI1223=1,CJ1223,IF(LEFT(Cockpit!$I$5,1)="B",AW1223,MAX(AW1223,H1223))),ROUNDUP(AU1223,0)))</f>
        <v>1</v>
      </c>
      <c r="AR1223" s="62" t="n">
        <f aca="false">IF(CA1223=1,0,ROUNDUP(AQ1223/BZ1223,0))</f>
        <v>1</v>
      </c>
      <c r="AS1223" s="64" t="n">
        <f aca="false">IF(CR1223&gt;0,CR1223*MAX(1,AQ1223/X1223),IF(CA1223=1,IF(AQ1223&lt;=0,0,CE1223*MAX(1,IF(H1223&gt;0,AQ1223/H1223,1))),IF(R1223&gt;0,AR1223/R1223,0))/MAX(0.1,N(Parameter!$M$21)))</f>
        <v>0.0833333333333333</v>
      </c>
      <c r="AT1223" s="62" t="n">
        <f aca="false">AS1223*CC1223</f>
        <v>12.0833333333333</v>
      </c>
      <c r="AU1223" s="63" t="n">
        <f aca="false">IF(LEFT(Cockpit!$I$5,1)="A",H1223,IF(CI1223=1,(CL1223+CJ1223)/2,IF(LEFT(Cockpit!$I$5,1)="B",(CL1223+AW1223)/2,MAX((CL1223+AW1223)/2,H1223))))</f>
        <v>0.5</v>
      </c>
      <c r="AV1223" s="62" t="n">
        <f aca="false">AU1223*G1223</f>
        <v>17.75</v>
      </c>
      <c r="AW1223" s="62" t="n">
        <f aca="false">ROUNDUP(CL1223+MAX(CM1223,2*(J1223/IF(CH1223&gt;0,CH1223,MAX(0.1,N(Cockpit!$I$6)))-CL1223)),0)</f>
        <v>1</v>
      </c>
      <c r="AX1223" s="63" t="n">
        <f aca="false">IF(AT1223&gt;0,J1223/AT1223,-1)</f>
        <v>0</v>
      </c>
      <c r="AY1223" s="63" t="n">
        <f aca="false">IF(AND(OR(CG1223="L1",CG1223="L23",CG1223="LIFT"),AT1223&gt;0),SUMIFS($AT$7:$AT$1843,$CG$7:$CG$1843,CG1223,$AX$7:$AX$1843,"&gt;"&amp;AX1223)+SUMIFS($AT$7:$AT$1843,$CG$7:$CG$1843,CG1223,$AX$7:$AX$1843,AX1223,$BX$7:$BX$1843,"&lt;="&amp;BX1223),"")</f>
        <v>35250.9876373626</v>
      </c>
      <c r="AZ1223" s="70" t="n">
        <f aca="false">IF(AY1223="",0,MAX(0,MIN(1,(IF(CG1223="L1",Parameter!$H$5,IF(CG1223="L23",Parameter!$H$6+Parameter!$H$7,Parameter!$H$5+Parameter!$H$6+Parameter!$H$7))-(AY1223-AT1223))/AT1223)))</f>
        <v>1</v>
      </c>
      <c r="BA1223" s="62" t="n">
        <f aca="false">IF(LEFT(Cockpit!$O$5,1)="A",H1223,IF(Parameter!$E$30="MAX-Bestand",IF(CI1223=1,CJ1223,IF(LEFT(Cockpit!$O$5,1)="B",BG1223,MAX(BG1223,H1223))),ROUNDUP(BE1223,0)))</f>
        <v>1</v>
      </c>
      <c r="BB1223" s="62" t="n">
        <f aca="false">IF(CA1223=1,0,ROUNDUP(BA1223/BZ1223,0))</f>
        <v>1</v>
      </c>
      <c r="BC1223" s="64" t="n">
        <f aca="false">IF(CR1223&gt;0,CR1223*MAX(1,BA1223/X1223),IF(CA1223=1,IF(BA1223&lt;=0,0,CE1223*MAX(1,IF(H1223&gt;0,BA1223/H1223,1))),IF(R1223&gt;0,BB1223/R1223,0))/MAX(0.1,N(Parameter!$M$21)))</f>
        <v>0.0833333333333333</v>
      </c>
      <c r="BD1223" s="62" t="n">
        <f aca="false">BC1223*CC1223</f>
        <v>12.0833333333333</v>
      </c>
      <c r="BE1223" s="63" t="n">
        <f aca="false">IF(LEFT(Cockpit!$O$5,1)="A",H1223,IF(CI1223=1,(CL1223+CJ1223)/2,IF(LEFT(Cockpit!$O$5,1)="B",(CL1223+BG1223)/2,MAX((CL1223+BG1223)/2,H1223))))</f>
        <v>0.5</v>
      </c>
      <c r="BF1223" s="62" t="n">
        <f aca="false">BE1223*G1223</f>
        <v>17.75</v>
      </c>
      <c r="BG1223" s="62" t="n">
        <f aca="false">ROUNDUP(CL1223+MAX(CM1223,2*(J1223/IF(CH1223&gt;0,CH1223,MAX(0.1,N(Cockpit!$O$6)))-CL1223)),0)</f>
        <v>1</v>
      </c>
      <c r="BH1223" s="63" t="n">
        <f aca="false">IF(BD1223&gt;0,J1223/BD1223,-1)</f>
        <v>0</v>
      </c>
      <c r="BI1223" s="63" t="n">
        <f aca="false">IF(AND(OR(CG1223="L1",CG1223="L23",CG1223="LIFT"),BD1223&gt;0),SUMIFS($BD$7:$BD$1843,$CG$7:$CG$1843,CG1223,$BH$7:$BH$1843,"&gt;"&amp;BH1223)+SUMIFS($BD$7:$BD$1843,$CG$7:$CG$1843,CG1223,$BH$7:$BH$1843,BH1223,$BX$7:$BX$1843,"&lt;="&amp;BX1223),"")</f>
        <v>29236.2942975104</v>
      </c>
      <c r="BJ1223" s="70" t="n">
        <f aca="false">IF(BI1223="",0,MAX(0,MIN(1,(IF(CG1223="L1",Parameter!$H$5,IF(CG1223="L23",Parameter!$H$6+Parameter!$H$7,Parameter!$H$5+Parameter!$H$6+Parameter!$H$7))-(BI1223-BD1223))/BD1223)))</f>
        <v>1</v>
      </c>
      <c r="BK1223" s="60" t="str">
        <f aca="false">IF(AJ1223&lt;=0,"",IF(CG1223="Aussen","Aussenlager",IF(CG1223="-","Nicht im Lift",IF(AP1223&gt;=1,"Lift",IF(AP1223&lt;=0,"Aussenlager","teilweise")))))</f>
        <v/>
      </c>
      <c r="BL1223" s="60" t="str">
        <f aca="false">IF(AT1223&lt;=0,"",IF(CG1223="Aussen","Aussenlager",IF(CG1223="-","Nicht im Lift",IF(AZ1223&gt;=1,"Lift",IF(AZ1223&lt;=0,"Aussenlager","teilweise")))))</f>
        <v>Lift</v>
      </c>
      <c r="BM1223" s="60" t="str">
        <f aca="false">IF(BD1223&lt;=0,"",IF(CG1223="Aussen","Aussenlager",IF(CG1223="-","Nicht im Lift",IF(BJ1223&gt;=1,"Lift",IF(BJ1223&lt;=0,"Aussenlager","teilweise")))))</f>
        <v>Lift</v>
      </c>
      <c r="BN1223" s="60" t="str">
        <f aca="false">IF(A1223="","",IF(BW1223=1,"Neu; ","")&amp;IF(AND(BW1223=0,BR1223&lt;0),"negativer Bestand (Export "&amp;BR1223&amp;"); ","")&amp;IF(J1223&lt;=0,"Kein Verbrauch; ","")&amp;IF(CR1223&gt;0,"Lift "&amp;W1223&amp;" lt. Liftbericht (Fach "&amp;X1223&amp;" Stk); ",IF(CB1223=1,"Gebinde geschätzt ("&amp;T1223&amp;"); ",IF(CA1223=1,"Lose – Tablare geschätzt; ","")))&amp;IF(H1223&gt;AW1223,"Überbestand "&amp;ROUND(H1223-AW1223,0)&amp;" Stk / CHF "&amp;ROUND((H1223-AW1223)*G1223,0)&amp;"; ","")&amp;IF(AND(CI1223=1,CJ1223&lt;CK1223),"MAX &lt; MB+LG; ","")&amp;IF(AND(CQ1223&gt;0,CP1223*10&gt;CQ1223),"zu hoch für Tablar; ","")&amp;IF(AND(BW1223=0,OR(CI1223=1,AB1223&lt;&gt;"",U1223&lt;&gt;"",V1223&lt;&gt;"",AC1223&lt;&gt;"")),"manuell übersteuert; ","")&amp;IF(AND(CA1223=0,R1223=0),"Gebinde unbekannt / Stellmass fehlt; ","")&amp;IF(AND(CA1223=0,N(V1223)&lt;=0,N(Q1223)&lt;=0),"Menge pro Gebinde fehlt (Ist = 1 Gebinde); ","")&amp;BV1223)</f>
        <v>negativer Bestand (Export -17); Kein Verbrauch; Gebinde geschätzt (Mittel); Menge pro Gebinde fehlt (Ist = 1 Gebinde); </v>
      </c>
      <c r="BO1223" s="60"/>
      <c r="BP1223" s="60"/>
      <c r="BQ1223" s="67"/>
      <c r="BR1223" s="62" t="n">
        <v>-17</v>
      </c>
      <c r="BS1223" s="62" t="n">
        <v>17</v>
      </c>
      <c r="BT1223" s="61" t="n">
        <v>-603.5</v>
      </c>
      <c r="BU1223" s="62" t="n">
        <v>0</v>
      </c>
      <c r="BV1223" s="60"/>
      <c r="BW1223" s="65" t="n">
        <v>0</v>
      </c>
      <c r="BX1223" s="65" t="n">
        <v>1223</v>
      </c>
      <c r="BY1223" s="60" t="str">
        <f aca="false">IF(U1223&lt;&gt;"",UPPER(TRIM(U1223)),IF(CB1223=1,UPPER(VLOOKUP(T1223,Parameter!$I$27:$K$29,2,0)),IF(P1223="","LOSE",P1223)))</f>
        <v>S61</v>
      </c>
      <c r="BZ1223" s="62" t="n">
        <f aca="false">IF(BY1223="LOSE",1,IF(N(V1223)&gt;0,V1223,IF(CB1223=1,MAX(1,N(VLOOKUP(T1223,Parameter!$I$27:$K$29,3,0)),H1223,N(N1223)),IF(N(Q1223)&gt;0,Q1223,MAX(1,H1223)))))</f>
        <v>4</v>
      </c>
      <c r="CA1223" s="65" t="n">
        <f aca="false">IF(BY1223="LOSE",1,0)</f>
        <v>0</v>
      </c>
      <c r="CB1223" s="65" t="n">
        <f aca="false">IF(AND(U1223="",OR(P1223="",P1223="LOSE"),T1223&lt;&gt;"",N(S1223)&lt;=0,ISNUMBER(MATCH(T1223,Parameter!$I$27:$I$29,0))),1,0)</f>
        <v>1</v>
      </c>
      <c r="CC1223" s="65" t="n">
        <f aca="false">IF(CR1223&gt;0,INDEX(Parameter!$H$5:$H$7,W1223)/INDEX(Parameter!$E$5:$E$7,W1223),IF(AND(CA1223=0,N(IFERROR(VLOOKUP(BY1223,'Gebinde-Kategorie'!$A$5:$N$45,14,0),0))&gt;0),VLOOKUP(BY1223,'Gebinde-Kategorie'!$A$5:$N$45,14,0)*10+Parameter!$M$23,Parameter!$M$24))</f>
        <v>145</v>
      </c>
      <c r="CD1223" s="60" t="str">
        <f aca="false">IF(AND(Parameter!$B$19="Ja",E1223&lt;&gt;"",ISNUMBER(MATCH(E1223,Parameter!$I$35:$I$52,0))),VLOOKUP(E1223,Parameter!$I$35:$J$52,2,0),IFERROR(VLOOKUP(D1223,Parameter!$A$35:$C$64,2,0),"Nein"))</f>
        <v>2+3</v>
      </c>
      <c r="CE1223" s="64" t="n">
        <f aca="false">IF(CA1223=0,0,IF(N(S1223)&gt;0,S1223,IFERROR(VLOOKUP(D1223,Parameter!$A$35:$C$64,3,0)+0,0)))</f>
        <v>0</v>
      </c>
      <c r="CF1223" s="60" t="n">
        <f aca="false">IF(AB1223&lt;&gt;"",AB1223,AA1223)</f>
        <v>3</v>
      </c>
      <c r="CG1223" s="60" t="str">
        <f aca="false">IF(OR(CF1223=1,CF1223=2,CF1223=3),IF(Parameter!$E$27="Ja","LIFT",IF(CF1223=1,"L1","L23")),IF(CF1223="Aussen","Aussen","-"))</f>
        <v>LIFT</v>
      </c>
      <c r="CH1223" s="71" t="n">
        <f aca="false">IF(N(AC1223)&gt;0,AC1223,0)</f>
        <v>0</v>
      </c>
      <c r="CI1223" s="65" t="n">
        <f aca="false">IF(ISNUMBER(AF1223),1,0)</f>
        <v>0</v>
      </c>
      <c r="CJ1223" s="62" t="n">
        <f aca="false">N(AF1223)</f>
        <v>0</v>
      </c>
      <c r="CK1223" s="62" t="n">
        <f aca="false">N(M1223)+N(N1223)</f>
        <v>1</v>
      </c>
      <c r="CL1223" s="62" t="n">
        <f aca="false">N(M1223)</f>
        <v>0</v>
      </c>
      <c r="CM1223" s="62" t="n">
        <f aca="false">N(N1223)</f>
        <v>1</v>
      </c>
      <c r="CN1223" s="62" t="n">
        <f aca="false">ROUNDUP(H1223/BZ1223,0)</f>
        <v>0</v>
      </c>
      <c r="CO1223" s="62" t="n">
        <f aca="false">ROUNDUP(CJ1223/BZ1223,0)</f>
        <v>0</v>
      </c>
      <c r="CP1223" s="65" t="n">
        <f aca="false">IF(CA1223=1,0,IFERROR(VLOOKUP(BY1223,'Gebinde-Kategorie'!$A$5:$N$45,5,0)+0,0))</f>
        <v>11</v>
      </c>
      <c r="CQ1223" s="65" t="n">
        <f aca="false">IFERROR(IF(OR(CF1223=1,CF1223=2,CF1223=3),N(INDEX(Parameter!$I$5:$I$7,CF1223)),0),0)</f>
        <v>0</v>
      </c>
      <c r="CR1223" s="64" t="n">
        <f aca="false">IF(AND(Parameter!$B$21="Ja",ISNUMBER(W1223),N(X1223)&gt;0),IFERROR(N(INDEX(Parameter!$L$5:$L$7,W1223))*INDEX(Parameter!$E$5:$E$7,W1223)*X1223/SUMIFS($X$7:$X$1843,$W$7:$W$1843,W1223),0),0)</f>
        <v>0</v>
      </c>
      <c r="CS1223" s="62" t="str">
        <f aca="false">IF(AND(OR(CG1223="L1",CG1223="L23",CG1223="LIFT"),H1223&gt;0),CC1223*IF(CR1223&gt;0,CR1223*MAX(1,H1223/X1223),IF(CA1223=1,CE1223,IF(R1223&gt;0,CN1223/R1223,0))/MAX(0.1,N(Parameter!$M$21))),"")</f>
        <v/>
      </c>
      <c r="CT1223" s="64" t="str">
        <f aca="false">IF(CS1223="","",J1223/H1223)</f>
        <v/>
      </c>
      <c r="CU1223" s="62" t="str">
        <f aca="false">IF(CS1223="","",H1223*G1223)</f>
        <v/>
      </c>
      <c r="CV1223" s="63" t="str">
        <f aca="false">IF(CS1223="","",(CL1223+ROUNDUP(CL1223+MAX(CM1223,2*(J1223/MAX(0.1,N(Einkauf!$C$6))-CL1223)),0))/2)</f>
        <v/>
      </c>
      <c r="CW1223" s="62" t="str">
        <f aca="false">IF(CS1223="","",MAX(0,H1223-CV1223)*G1223)</f>
        <v/>
      </c>
      <c r="CX1223" s="62" t="str">
        <f aca="false">IF(CS1223="","",CS1223*MAX(0,1-CV1223/H1223))</f>
        <v/>
      </c>
      <c r="CY1223" s="64" t="str">
        <f aca="false">IF(CS1223="","",PERCENTRANK($CS$7:$CS$1843,CS1223)+PERCENTRANK($CU$7:$CU$1843,CU1223)+1-PERCENTRANK($CT$7:$CT$1843,CT1223))</f>
        <v/>
      </c>
      <c r="CZ1223" s="72" t="str">
        <f aca="false">IF(CS1223="","",CHOOSE(MATCH(Einkauf!$C$5,Parameter!$G$23:$G$27,0),CY1223,CS1223,CU1223,-CT1223,CW1223)+ROW()/1000000000)</f>
        <v/>
      </c>
    </row>
    <row r="1224" customFormat="false" ht="15" hidden="false" customHeight="false" outlineLevel="0" collapsed="false">
      <c r="A1224" s="60" t="s">
        <v>2234</v>
      </c>
      <c r="B1224" s="60" t="s">
        <v>389</v>
      </c>
      <c r="C1224" s="60" t="s">
        <v>206</v>
      </c>
      <c r="D1224" s="60" t="s">
        <v>215</v>
      </c>
      <c r="E1224" s="60"/>
      <c r="F1224" s="60" t="s">
        <v>260</v>
      </c>
      <c r="G1224" s="61" t="n">
        <v>75.62</v>
      </c>
      <c r="H1224" s="62" t="n">
        <f aca="false">MAX(0,IF(AND(Parameter!$B$21="Ja",ISNUMBER(Y1224)),Y1224,IF(Parameter!$B$20="Jahresanfang 2025 + Export",BS1224+BR1224,BR1224)))</f>
        <v>128</v>
      </c>
      <c r="I1224" s="62" t="n">
        <f aca="false">H1224*G1224</f>
        <v>9679.36</v>
      </c>
      <c r="J1224" s="62" t="n">
        <f aca="false">BU1224*Parameter!$B$18</f>
        <v>3</v>
      </c>
      <c r="K1224" s="63" t="n">
        <v>134.5</v>
      </c>
      <c r="L1224" s="64" t="n">
        <v>0.0223048327137547</v>
      </c>
      <c r="M1224" s="62" t="n">
        <v>0</v>
      </c>
      <c r="N1224" s="62" t="n">
        <v>5</v>
      </c>
      <c r="O1224" s="65" t="n">
        <v>70</v>
      </c>
      <c r="P1224" s="60" t="s">
        <v>216</v>
      </c>
      <c r="Q1224" s="62" t="n">
        <v>10</v>
      </c>
      <c r="R1224" s="65" t="n">
        <f aca="false">IF(CA1224=1,0,IFERROR(VLOOKUP(BY1224,'Gebinde-Kategorie'!$A$5:$N$45,13,0)+0,0))</f>
        <v>6</v>
      </c>
      <c r="S1224" s="66"/>
      <c r="T1224" s="67"/>
      <c r="U1224" s="67"/>
      <c r="V1224" s="67"/>
      <c r="W1224" s="60"/>
      <c r="X1224" s="62"/>
      <c r="Y1224" s="62"/>
      <c r="Z1224" s="60" t="n">
        <v>2</v>
      </c>
      <c r="AA1224" s="60" t="n">
        <f aca="false">IF(A1224="","",IF(AND(Parameter!$B$21="Ja",ISNUMBER(W1224)),W1224,IF(AND(Parameter!$E$27="Ja",ISNUMBER(Z1224),CD1224&lt;&gt;"Nein"),Z1224,IF(CD1224="2+3",IF(ISNUMBER(SEARCH("grosser Artikel",BV1224)),2,IFERROR(VLOOKUP(BY1224,Parameter!$F$35:$G$64,2,0),2)),IF(OR(CD1224="Nein",CD1224=""),"-",CD1224)))))</f>
        <v>2</v>
      </c>
      <c r="AB1224" s="67"/>
      <c r="AC1224" s="68"/>
      <c r="AD1224" s="62" t="n">
        <f aca="false">AW1224</f>
        <v>5</v>
      </c>
      <c r="AE1224" s="62" t="n">
        <f aca="false">MAX(AW1224,H1224)</f>
        <v>128</v>
      </c>
      <c r="AF1224" s="69"/>
      <c r="AG1224" s="62" t="n">
        <f aca="false">IF(LEFT(Cockpit!$C$5,1)="A",H1224,IF(Parameter!$E$30="MAX-Bestand",IF(CI1224=1,CJ1224,IF(LEFT(Cockpit!$C$5,1)="B",AM1224,MAX(AM1224,H1224))),ROUNDUP(AK1224,0)))</f>
        <v>128</v>
      </c>
      <c r="AH1224" s="62" t="n">
        <f aca="false">IF(CA1224=1,0,ROUNDUP(AG1224/BZ1224,0))</f>
        <v>13</v>
      </c>
      <c r="AI1224" s="64" t="n">
        <f aca="false">IF(CR1224&gt;0,CR1224*MAX(1,AG1224/X1224),IF(CA1224=1,IF(AG1224&lt;=0,0,CE1224*MAX(1,IF(H1224&gt;0,AG1224/H1224,1))),IF(R1224&gt;0,AH1224/R1224,0))/MAX(0.1,N(Parameter!$M$21)))</f>
        <v>2.16666666666667</v>
      </c>
      <c r="AJ1224" s="62" t="n">
        <f aca="false">AI1224*CC1224</f>
        <v>509.166666666667</v>
      </c>
      <c r="AK1224" s="63" t="n">
        <f aca="false">IF(LEFT(Cockpit!$C$5,1)="A",H1224,IF(CI1224=1,(CL1224+CJ1224)/2,IF(LEFT(Cockpit!$C$5,1)="B",(CL1224+AM1224)/2,MAX((CL1224+AM1224)/2,H1224))))</f>
        <v>128</v>
      </c>
      <c r="AL1224" s="62" t="n">
        <f aca="false">AK1224*G1224</f>
        <v>9679.36</v>
      </c>
      <c r="AM1224" s="62" t="n">
        <f aca="false">ROUNDUP(CL1224+MAX(CM1224,2*(J1224/IF(CH1224&gt;0,CH1224,MAX(0.1,N(Cockpit!$C$6)))-CL1224)),0)</f>
        <v>5</v>
      </c>
      <c r="AN1224" s="63" t="n">
        <f aca="false">IF(AJ1224&gt;0,J1224/AJ1224,-1)</f>
        <v>0.00589198036006547</v>
      </c>
      <c r="AO1224" s="63" t="n">
        <f aca="false">IF(AND(OR(CG1224="L1",CG1224="L23",CG1224="LIFT"),AJ1224&gt;0),SUMIFS($AJ$7:$AJ$1843,$CG$7:$CG$1843,CG1224,$AN$7:$AN$1843,"&gt;"&amp;AN1224)+SUMIFS($AJ$7:$AJ$1843,$CG$7:$CG$1843,CG1224,$AN$7:$AN$1843,AN1224,$BX$7:$BX$1843,"&lt;="&amp;BX1224),"")</f>
        <v>25077.4980986528</v>
      </c>
      <c r="AP1224" s="70" t="n">
        <f aca="false">IF(AO1224="",0,MAX(0,MIN(1,(IF(CG1224="L1",Parameter!$H$5,IF(CG1224="L23",Parameter!$H$6+Parameter!$H$7,Parameter!$H$5+Parameter!$H$6+Parameter!$H$7))-(AO1224-AJ1224))/AJ1224)))</f>
        <v>1</v>
      </c>
      <c r="AQ1224" s="62" t="n">
        <f aca="false">IF(LEFT(Cockpit!$I$5,1)="A",H1224,IF(Parameter!$E$30="MAX-Bestand",IF(CI1224=1,CJ1224,IF(LEFT(Cockpit!$I$5,1)="B",AW1224,MAX(AW1224,H1224))),ROUNDUP(AU1224,0)))</f>
        <v>128</v>
      </c>
      <c r="AR1224" s="62" t="n">
        <f aca="false">IF(CA1224=1,0,ROUNDUP(AQ1224/BZ1224,0))</f>
        <v>13</v>
      </c>
      <c r="AS1224" s="64" t="n">
        <f aca="false">IF(CR1224&gt;0,CR1224*MAX(1,AQ1224/X1224),IF(CA1224=1,IF(AQ1224&lt;=0,0,CE1224*MAX(1,IF(H1224&gt;0,AQ1224/H1224,1))),IF(R1224&gt;0,AR1224/R1224,0))/MAX(0.1,N(Parameter!$M$21)))</f>
        <v>2.16666666666667</v>
      </c>
      <c r="AT1224" s="62" t="n">
        <f aca="false">AS1224*CC1224</f>
        <v>509.166666666667</v>
      </c>
      <c r="AU1224" s="63" t="n">
        <f aca="false">IF(LEFT(Cockpit!$I$5,1)="A",H1224,IF(CI1224=1,(CL1224+CJ1224)/2,IF(LEFT(Cockpit!$I$5,1)="B",(CL1224+AW1224)/2,MAX((CL1224+AW1224)/2,H1224))))</f>
        <v>128</v>
      </c>
      <c r="AV1224" s="62" t="n">
        <f aca="false">AU1224*G1224</f>
        <v>9679.36</v>
      </c>
      <c r="AW1224" s="62" t="n">
        <f aca="false">ROUNDUP(CL1224+MAX(CM1224,2*(J1224/IF(CH1224&gt;0,CH1224,MAX(0.1,N(Cockpit!$I$6)))-CL1224)),0)</f>
        <v>5</v>
      </c>
      <c r="AX1224" s="63" t="n">
        <f aca="false">IF(AT1224&gt;0,J1224/AT1224,-1)</f>
        <v>0.00589198036006547</v>
      </c>
      <c r="AY1224" s="63" t="n">
        <f aca="false">IF(AND(OR(CG1224="L1",CG1224="L23",CG1224="LIFT"),AT1224&gt;0),SUMIFS($AT$7:$AT$1843,$CG$7:$CG$1843,CG1224,$AX$7:$AX$1843,"&gt;"&amp;AX1224)+SUMIFS($AT$7:$AT$1843,$CG$7:$CG$1843,CG1224,$AX$7:$AX$1843,AX1224,$BX$7:$BX$1843,"&lt;="&amp;BX1224),"")</f>
        <v>30430.6467400302</v>
      </c>
      <c r="AZ1224" s="70" t="n">
        <f aca="false">IF(AY1224="",0,MAX(0,MIN(1,(IF(CG1224="L1",Parameter!$H$5,IF(CG1224="L23",Parameter!$H$6+Parameter!$H$7,Parameter!$H$5+Parameter!$H$6+Parameter!$H$7))-(AY1224-AT1224))/AT1224)))</f>
        <v>1</v>
      </c>
      <c r="BA1224" s="62" t="n">
        <f aca="false">IF(LEFT(Cockpit!$O$5,1)="A",H1224,IF(Parameter!$E$30="MAX-Bestand",IF(CI1224=1,CJ1224,IF(LEFT(Cockpit!$O$5,1)="B",BG1224,MAX(BG1224,H1224))),ROUNDUP(BE1224,0)))</f>
        <v>3</v>
      </c>
      <c r="BB1224" s="62" t="n">
        <f aca="false">IF(CA1224=1,0,ROUNDUP(BA1224/BZ1224,0))</f>
        <v>1</v>
      </c>
      <c r="BC1224" s="64" t="n">
        <f aca="false">IF(CR1224&gt;0,CR1224*MAX(1,BA1224/X1224),IF(CA1224=1,IF(BA1224&lt;=0,0,CE1224*MAX(1,IF(H1224&gt;0,BA1224/H1224,1))),IF(R1224&gt;0,BB1224/R1224,0))/MAX(0.1,N(Parameter!$M$21)))</f>
        <v>0.166666666666667</v>
      </c>
      <c r="BD1224" s="62" t="n">
        <f aca="false">BC1224*CC1224</f>
        <v>39.1666666666667</v>
      </c>
      <c r="BE1224" s="63" t="n">
        <f aca="false">IF(LEFT(Cockpit!$O$5,1)="A",H1224,IF(CI1224=1,(CL1224+CJ1224)/2,IF(LEFT(Cockpit!$O$5,1)="B",(CL1224+BG1224)/2,MAX((CL1224+BG1224)/2,H1224))))</f>
        <v>2.5</v>
      </c>
      <c r="BF1224" s="62" t="n">
        <f aca="false">BE1224*G1224</f>
        <v>189.05</v>
      </c>
      <c r="BG1224" s="62" t="n">
        <f aca="false">ROUNDUP(CL1224+MAX(CM1224,2*(J1224/IF(CH1224&gt;0,CH1224,MAX(0.1,N(Cockpit!$O$6)))-CL1224)),0)</f>
        <v>5</v>
      </c>
      <c r="BH1224" s="63" t="n">
        <f aca="false">IF(BD1224&gt;0,J1224/BD1224,-1)</f>
        <v>0.0765957446808511</v>
      </c>
      <c r="BI1224" s="63" t="n">
        <f aca="false">IF(AND(OR(CG1224="L1",CG1224="L23",CG1224="LIFT"),BD1224&gt;0),SUMIFS($BD$7:$BD$1843,$CG$7:$CG$1843,CG1224,$BH$7:$BH$1843,"&gt;"&amp;BH1224)+SUMIFS($BD$7:$BD$1843,$CG$7:$CG$1843,CG1224,$BH$7:$BH$1843,BH1224,$BX$7:$BX$1843,"&lt;="&amp;BX1224),"")</f>
        <v>18890.1394554128</v>
      </c>
      <c r="BJ1224" s="70" t="n">
        <f aca="false">IF(BI1224="",0,MAX(0,MIN(1,(IF(CG1224="L1",Parameter!$H$5,IF(CG1224="L23",Parameter!$H$6+Parameter!$H$7,Parameter!$H$5+Parameter!$H$6+Parameter!$H$7))-(BI1224-BD1224))/BD1224)))</f>
        <v>1</v>
      </c>
      <c r="BK1224" s="60" t="str">
        <f aca="false">IF(AJ1224&lt;=0,"",IF(CG1224="Aussen","Aussenlager",IF(CG1224="-","Nicht im Lift",IF(AP1224&gt;=1,"Lift",IF(AP1224&lt;=0,"Aussenlager","teilweise")))))</f>
        <v>Lift</v>
      </c>
      <c r="BL1224" s="60" t="str">
        <f aca="false">IF(AT1224&lt;=0,"",IF(CG1224="Aussen","Aussenlager",IF(CG1224="-","Nicht im Lift",IF(AZ1224&gt;=1,"Lift",IF(AZ1224&lt;=0,"Aussenlager","teilweise")))))</f>
        <v>Lift</v>
      </c>
      <c r="BM1224" s="60" t="str">
        <f aca="false">IF(BD1224&lt;=0,"",IF(CG1224="Aussen","Aussenlager",IF(CG1224="-","Nicht im Lift",IF(BJ1224&gt;=1,"Lift",IF(BJ1224&lt;=0,"Aussenlager","teilweise")))))</f>
        <v>Lift</v>
      </c>
      <c r="BN1224" s="60" t="str">
        <f aca="false">IF(A1224="","",IF(BW1224=1,"Neu; ","")&amp;IF(AND(BW1224=0,BR1224&lt;0),"negativer Bestand (Export "&amp;BR1224&amp;"); ","")&amp;IF(J1224&lt;=0,"Kein Verbrauch; ","")&amp;IF(CR1224&gt;0,"Lift "&amp;W1224&amp;" lt. Liftbericht (Fach "&amp;X1224&amp;" Stk); ",IF(CB1224=1,"Gebinde geschätzt ("&amp;T1224&amp;"); ",IF(CA1224=1,"Lose – Tablare geschätzt; ","")))&amp;IF(H1224&gt;AW1224,"Überbestand "&amp;ROUND(H1224-AW1224,0)&amp;" Stk / CHF "&amp;ROUND((H1224-AW1224)*G1224,0)&amp;"; ","")&amp;IF(AND(CI1224=1,CJ1224&lt;CK1224),"MAX &lt; MB+LG; ","")&amp;IF(AND(CQ1224&gt;0,CP1224*10&gt;CQ1224),"zu hoch für Tablar; ","")&amp;IF(AND(BW1224=0,OR(CI1224=1,AB1224&lt;&gt;"",U1224&lt;&gt;"",V1224&lt;&gt;"",AC1224&lt;&gt;"")),"manuell übersteuert; ","")&amp;IF(AND(CA1224=0,R1224=0),"Gebinde unbekannt / Stellmass fehlt; ","")&amp;IF(AND(CA1224=0,N(V1224)&lt;=0,N(Q1224)&lt;=0),"Menge pro Gebinde fehlt (Ist = 1 Gebinde); ","")&amp;BV1224)</f>
        <v>negativer Bestand (Export -8); Überbestand 123 Stk / CHF 9301; Bis auf 10stk?</v>
      </c>
      <c r="BO1224" s="60"/>
      <c r="BP1224" s="60"/>
      <c r="BQ1224" s="67"/>
      <c r="BR1224" s="62" t="n">
        <v>-8</v>
      </c>
      <c r="BS1224" s="62" t="n">
        <v>136</v>
      </c>
      <c r="BT1224" s="61" t="n">
        <v>-604.96</v>
      </c>
      <c r="BU1224" s="62" t="n">
        <v>3</v>
      </c>
      <c r="BV1224" s="60" t="s">
        <v>2235</v>
      </c>
      <c r="BW1224" s="65" t="n">
        <v>0</v>
      </c>
      <c r="BX1224" s="65" t="n">
        <v>1224</v>
      </c>
      <c r="BY1224" s="60" t="str">
        <f aca="false">IF(U1224&lt;&gt;"",UPPER(TRIM(U1224)),IF(CB1224=1,UPPER(VLOOKUP(T1224,Parameter!$I$27:$K$29,2,0)),IF(P1224="","LOSE",P1224)))</f>
        <v>S71</v>
      </c>
      <c r="BZ1224" s="62" t="n">
        <f aca="false">IF(BY1224="LOSE",1,IF(N(V1224)&gt;0,V1224,IF(CB1224=1,MAX(1,N(VLOOKUP(T1224,Parameter!$I$27:$K$29,3,0)),H1224,N(N1224)),IF(N(Q1224)&gt;0,Q1224,MAX(1,H1224)))))</f>
        <v>10</v>
      </c>
      <c r="CA1224" s="65" t="n">
        <f aca="false">IF(BY1224="LOSE",1,0)</f>
        <v>0</v>
      </c>
      <c r="CB1224" s="65" t="n">
        <f aca="false">IF(AND(U1224="",OR(P1224="",P1224="LOSE"),T1224&lt;&gt;"",N(S1224)&lt;=0,ISNUMBER(MATCH(T1224,Parameter!$I$27:$I$29,0))),1,0)</f>
        <v>0</v>
      </c>
      <c r="CC1224" s="65" t="n">
        <f aca="false">IF(CR1224&gt;0,INDEX(Parameter!$H$5:$H$7,W1224)/INDEX(Parameter!$E$5:$E$7,W1224),IF(AND(CA1224=0,N(IFERROR(VLOOKUP(BY1224,'Gebinde-Kategorie'!$A$5:$N$45,14,0),0))&gt;0),VLOOKUP(BY1224,'Gebinde-Kategorie'!$A$5:$N$45,14,0)*10+Parameter!$M$23,Parameter!$M$24))</f>
        <v>235</v>
      </c>
      <c r="CD1224" s="60" t="str">
        <f aca="false">IF(AND(Parameter!$B$19="Ja",E1224&lt;&gt;"",ISNUMBER(MATCH(E1224,Parameter!$I$35:$I$52,0))),VLOOKUP(E1224,Parameter!$I$35:$J$52,2,0),IFERROR(VLOOKUP(D1224,Parameter!$A$35:$C$64,2,0),"Nein"))</f>
        <v>2+3</v>
      </c>
      <c r="CE1224" s="64" t="n">
        <f aca="false">IF(CA1224=0,0,IF(N(S1224)&gt;0,S1224,IFERROR(VLOOKUP(D1224,Parameter!$A$35:$C$64,3,0)+0,0)))</f>
        <v>0</v>
      </c>
      <c r="CF1224" s="60" t="n">
        <f aca="false">IF(AB1224&lt;&gt;"",AB1224,AA1224)</f>
        <v>2</v>
      </c>
      <c r="CG1224" s="60" t="str">
        <f aca="false">IF(OR(CF1224=1,CF1224=2,CF1224=3),IF(Parameter!$E$27="Ja","LIFT",IF(CF1224=1,"L1","L23")),IF(CF1224="Aussen","Aussen","-"))</f>
        <v>LIFT</v>
      </c>
      <c r="CH1224" s="71" t="n">
        <f aca="false">IF(N(AC1224)&gt;0,AC1224,0)</f>
        <v>0</v>
      </c>
      <c r="CI1224" s="65" t="n">
        <f aca="false">IF(ISNUMBER(AF1224),1,0)</f>
        <v>0</v>
      </c>
      <c r="CJ1224" s="62" t="n">
        <f aca="false">N(AF1224)</f>
        <v>0</v>
      </c>
      <c r="CK1224" s="62" t="n">
        <f aca="false">N(M1224)+N(N1224)</f>
        <v>5</v>
      </c>
      <c r="CL1224" s="62" t="n">
        <f aca="false">N(M1224)</f>
        <v>0</v>
      </c>
      <c r="CM1224" s="62" t="n">
        <f aca="false">N(N1224)</f>
        <v>5</v>
      </c>
      <c r="CN1224" s="62" t="n">
        <f aca="false">ROUNDUP(H1224/BZ1224,0)</f>
        <v>13</v>
      </c>
      <c r="CO1224" s="62" t="n">
        <f aca="false">ROUNDUP(CJ1224/BZ1224,0)</f>
        <v>0</v>
      </c>
      <c r="CP1224" s="65" t="n">
        <f aca="false">IF(CA1224=1,0,IFERROR(VLOOKUP(BY1224,'Gebinde-Kategorie'!$A$5:$N$45,5,0)+0,0))</f>
        <v>20</v>
      </c>
      <c r="CQ1224" s="65" t="n">
        <f aca="false">IFERROR(IF(OR(CF1224=1,CF1224=2,CF1224=3),N(INDEX(Parameter!$I$5:$I$7,CF1224)),0),0)</f>
        <v>0</v>
      </c>
      <c r="CR1224" s="64" t="n">
        <f aca="false">IF(AND(Parameter!$B$21="Ja",ISNUMBER(W1224),N(X1224)&gt;0),IFERROR(N(INDEX(Parameter!$L$5:$L$7,W1224))*INDEX(Parameter!$E$5:$E$7,W1224)*X1224/SUMIFS($X$7:$X$1843,$W$7:$W$1843,W1224),0),0)</f>
        <v>0</v>
      </c>
      <c r="CS1224" s="62" t="n">
        <f aca="false">IF(AND(OR(CG1224="L1",CG1224="L23",CG1224="LIFT"),H1224&gt;0),CC1224*IF(CR1224&gt;0,CR1224*MAX(1,H1224/X1224),IF(CA1224=1,CE1224,IF(R1224&gt;0,CN1224/R1224,0))/MAX(0.1,N(Parameter!$M$21))),"")</f>
        <v>509.166666666667</v>
      </c>
      <c r="CT1224" s="64" t="n">
        <f aca="false">IF(CS1224="","",J1224/H1224)</f>
        <v>0.0234375</v>
      </c>
      <c r="CU1224" s="62" t="n">
        <f aca="false">IF(CS1224="","",H1224*G1224)</f>
        <v>9679.36</v>
      </c>
      <c r="CV1224" s="63" t="n">
        <f aca="false">IF(CS1224="","",(CL1224+ROUNDUP(CL1224+MAX(CM1224,2*(J1224/MAX(0.1,N(Einkauf!$C$6))-CL1224)),0))/2)</f>
        <v>2.5</v>
      </c>
      <c r="CW1224" s="62" t="n">
        <f aca="false">IF(CS1224="","",MAX(0,H1224-CV1224)*G1224)</f>
        <v>9490.31</v>
      </c>
      <c r="CX1224" s="62" t="n">
        <f aca="false">IF(CS1224="","",CS1224*MAX(0,1-CV1224/H1224))</f>
        <v>499.222005208333</v>
      </c>
      <c r="CY1224" s="64" t="n">
        <f aca="false">IF(CS1224="","",PERCENTRANK($CS$7:$CS$1843,CS1224)+PERCENTRANK($CU$7:$CU$1843,CU1224)+1-PERCENTRANK($CT$7:$CT$1843,CT1224))</f>
        <v>2.561</v>
      </c>
      <c r="CZ1224" s="72" t="n">
        <f aca="false">IF(CS1224="","",CHOOSE(MATCH(Einkauf!$C$5,Parameter!$G$23:$G$27,0),CY1224,CS1224,CU1224,-CT1224,CW1224)+ROW()/1000000000)</f>
        <v>2.561001224</v>
      </c>
    </row>
    <row r="1225" customFormat="false" ht="15" hidden="false" customHeight="false" outlineLevel="0" collapsed="false">
      <c r="A1225" s="60" t="s">
        <v>2236</v>
      </c>
      <c r="B1225" s="60" t="s">
        <v>813</v>
      </c>
      <c r="C1225" s="60" t="s">
        <v>206</v>
      </c>
      <c r="D1225" s="60" t="s">
        <v>226</v>
      </c>
      <c r="E1225" s="60"/>
      <c r="F1225" s="60" t="s">
        <v>260</v>
      </c>
      <c r="G1225" s="61" t="n">
        <v>55.29</v>
      </c>
      <c r="H1225" s="62" t="n">
        <f aca="false">MAX(0,IF(AND(Parameter!$B$21="Ja",ISNUMBER(Y1225)),Y1225,IF(Parameter!$B$20="Jahresanfang 2025 + Export",BS1225+BR1225,BR1225)))</f>
        <v>16</v>
      </c>
      <c r="I1225" s="62" t="n">
        <f aca="false">H1225*G1225</f>
        <v>884.64</v>
      </c>
      <c r="J1225" s="62" t="n">
        <f aca="false">BU1225*Parameter!$B$18</f>
        <v>6</v>
      </c>
      <c r="K1225" s="63" t="n">
        <v>24</v>
      </c>
      <c r="L1225" s="64" t="n">
        <v>0.25</v>
      </c>
      <c r="M1225" s="62" t="n">
        <v>0</v>
      </c>
      <c r="N1225" s="62" t="n">
        <v>5</v>
      </c>
      <c r="O1225" s="65" t="n">
        <v>14</v>
      </c>
      <c r="P1225" s="60" t="s">
        <v>463</v>
      </c>
      <c r="Q1225" s="62" t="n">
        <v>19</v>
      </c>
      <c r="R1225" s="65" t="n">
        <f aca="false">IF(CA1225=1,0,IFERROR(VLOOKUP(BY1225,'Gebinde-Kategorie'!$A$5:$N$45,13,0)+0,0))</f>
        <v>104</v>
      </c>
      <c r="S1225" s="66"/>
      <c r="T1225" s="67"/>
      <c r="U1225" s="67"/>
      <c r="V1225" s="67"/>
      <c r="W1225" s="60"/>
      <c r="X1225" s="62"/>
      <c r="Y1225" s="62"/>
      <c r="Z1225" s="60" t="n">
        <v>2</v>
      </c>
      <c r="AA1225" s="60" t="n">
        <f aca="false">IF(A1225="","",IF(AND(Parameter!$B$21="Ja",ISNUMBER(W1225)),W1225,IF(AND(Parameter!$E$27="Ja",ISNUMBER(Z1225),CD1225&lt;&gt;"Nein"),Z1225,IF(CD1225="2+3",IF(ISNUMBER(SEARCH("grosser Artikel",BV1225)),2,IFERROR(VLOOKUP(BY1225,Parameter!$F$35:$G$64,2,0),2)),IF(OR(CD1225="Nein",CD1225=""),"-",CD1225)))))</f>
        <v>2</v>
      </c>
      <c r="AB1225" s="67"/>
      <c r="AC1225" s="68"/>
      <c r="AD1225" s="62" t="n">
        <f aca="false">AW1225</f>
        <v>5</v>
      </c>
      <c r="AE1225" s="62" t="n">
        <f aca="false">MAX(AW1225,H1225)</f>
        <v>16</v>
      </c>
      <c r="AF1225" s="69"/>
      <c r="AG1225" s="62" t="n">
        <f aca="false">IF(LEFT(Cockpit!$C$5,1)="A",H1225,IF(Parameter!$E$30="MAX-Bestand",IF(CI1225=1,CJ1225,IF(LEFT(Cockpit!$C$5,1)="B",AM1225,MAX(AM1225,H1225))),ROUNDUP(AK1225,0)))</f>
        <v>16</v>
      </c>
      <c r="AH1225" s="62" t="n">
        <f aca="false">IF(CA1225=1,0,ROUNDUP(AG1225/BZ1225,0))</f>
        <v>1</v>
      </c>
      <c r="AI1225" s="64" t="n">
        <f aca="false">IF(CR1225&gt;0,CR1225*MAX(1,AG1225/X1225),IF(CA1225=1,IF(AG1225&lt;=0,0,CE1225*MAX(1,IF(H1225&gt;0,AG1225/H1225,1))),IF(R1225&gt;0,AH1225/R1225,0))/MAX(0.1,N(Parameter!$M$21)))</f>
        <v>0.00961538461538462</v>
      </c>
      <c r="AJ1225" s="62" t="n">
        <f aca="false">AI1225*CC1225</f>
        <v>1.49038461538462</v>
      </c>
      <c r="AK1225" s="63" t="n">
        <f aca="false">IF(LEFT(Cockpit!$C$5,1)="A",H1225,IF(CI1225=1,(CL1225+CJ1225)/2,IF(LEFT(Cockpit!$C$5,1)="B",(CL1225+AM1225)/2,MAX((CL1225+AM1225)/2,H1225))))</f>
        <v>16</v>
      </c>
      <c r="AL1225" s="62" t="n">
        <f aca="false">AK1225*G1225</f>
        <v>884.64</v>
      </c>
      <c r="AM1225" s="62" t="n">
        <f aca="false">ROUNDUP(CL1225+MAX(CM1225,2*(J1225/IF(CH1225&gt;0,CH1225,MAX(0.1,N(Cockpit!$C$6)))-CL1225)),0)</f>
        <v>5</v>
      </c>
      <c r="AN1225" s="63" t="n">
        <f aca="false">IF(AJ1225&gt;0,J1225/AJ1225,-1)</f>
        <v>4.0258064516129</v>
      </c>
      <c r="AO1225" s="63" t="n">
        <f aca="false">IF(AND(OR(CG1225="L1",CG1225="L23",CG1225="LIFT"),AJ1225&gt;0),SUMIFS($AJ$7:$AJ$1843,$CG$7:$CG$1843,CG1225,$AN$7:$AN$1843,"&gt;"&amp;AN1225)+SUMIFS($AJ$7:$AJ$1843,$CG$7:$CG$1843,CG1225,$AN$7:$AN$1843,AN1225,$BX$7:$BX$1843,"&lt;="&amp;BX1225),"")</f>
        <v>4372.10256410256</v>
      </c>
      <c r="AP1225" s="70" t="n">
        <f aca="false">IF(AO1225="",0,MAX(0,MIN(1,(IF(CG1225="L1",Parameter!$H$5,IF(CG1225="L23",Parameter!$H$6+Parameter!$H$7,Parameter!$H$5+Parameter!$H$6+Parameter!$H$7))-(AO1225-AJ1225))/AJ1225)))</f>
        <v>1</v>
      </c>
      <c r="AQ1225" s="62" t="n">
        <f aca="false">IF(LEFT(Cockpit!$I$5,1)="A",H1225,IF(Parameter!$E$30="MAX-Bestand",IF(CI1225=1,CJ1225,IF(LEFT(Cockpit!$I$5,1)="B",AW1225,MAX(AW1225,H1225))),ROUNDUP(AU1225,0)))</f>
        <v>16</v>
      </c>
      <c r="AR1225" s="62" t="n">
        <f aca="false">IF(CA1225=1,0,ROUNDUP(AQ1225/BZ1225,0))</f>
        <v>1</v>
      </c>
      <c r="AS1225" s="64" t="n">
        <f aca="false">IF(CR1225&gt;0,CR1225*MAX(1,AQ1225/X1225),IF(CA1225=1,IF(AQ1225&lt;=0,0,CE1225*MAX(1,IF(H1225&gt;0,AQ1225/H1225,1))),IF(R1225&gt;0,AR1225/R1225,0))/MAX(0.1,N(Parameter!$M$21)))</f>
        <v>0.00961538461538462</v>
      </c>
      <c r="AT1225" s="62" t="n">
        <f aca="false">AS1225*CC1225</f>
        <v>1.49038461538462</v>
      </c>
      <c r="AU1225" s="63" t="n">
        <f aca="false">IF(LEFT(Cockpit!$I$5,1)="A",H1225,IF(CI1225=1,(CL1225+CJ1225)/2,IF(LEFT(Cockpit!$I$5,1)="B",(CL1225+AW1225)/2,MAX((CL1225+AW1225)/2,H1225))))</f>
        <v>16</v>
      </c>
      <c r="AV1225" s="62" t="n">
        <f aca="false">AU1225*G1225</f>
        <v>884.64</v>
      </c>
      <c r="AW1225" s="62" t="n">
        <f aca="false">ROUNDUP(CL1225+MAX(CM1225,2*(J1225/IF(CH1225&gt;0,CH1225,MAX(0.1,N(Cockpit!$I$6)))-CL1225)),0)</f>
        <v>5</v>
      </c>
      <c r="AX1225" s="63" t="n">
        <f aca="false">IF(AT1225&gt;0,J1225/AT1225,-1)</f>
        <v>4.0258064516129</v>
      </c>
      <c r="AY1225" s="63" t="n">
        <f aca="false">IF(AND(OR(CG1225="L1",CG1225="L23",CG1225="LIFT"),AT1225&gt;0),SUMIFS($AT$7:$AT$1843,$CG$7:$CG$1843,CG1225,$AX$7:$AX$1843,"&gt;"&amp;AX1225)+SUMIFS($AT$7:$AT$1843,$CG$7:$CG$1843,CG1225,$AX$7:$AX$1843,AX1225,$BX$7:$BX$1843,"&lt;="&amp;BX1225),"")</f>
        <v>4981.09981684982</v>
      </c>
      <c r="AZ1225" s="70" t="n">
        <f aca="false">IF(AY1225="",0,MAX(0,MIN(1,(IF(CG1225="L1",Parameter!$H$5,IF(CG1225="L23",Parameter!$H$6+Parameter!$H$7,Parameter!$H$5+Parameter!$H$6+Parameter!$H$7))-(AY1225-AT1225))/AT1225)))</f>
        <v>1</v>
      </c>
      <c r="BA1225" s="62" t="n">
        <f aca="false">IF(LEFT(Cockpit!$O$5,1)="A",H1225,IF(Parameter!$E$30="MAX-Bestand",IF(CI1225=1,CJ1225,IF(LEFT(Cockpit!$O$5,1)="B",BG1225,MAX(BG1225,H1225))),ROUNDUP(BE1225,0)))</f>
        <v>3</v>
      </c>
      <c r="BB1225" s="62" t="n">
        <f aca="false">IF(CA1225=1,0,ROUNDUP(BA1225/BZ1225,0))</f>
        <v>1</v>
      </c>
      <c r="BC1225" s="64" t="n">
        <f aca="false">IF(CR1225&gt;0,CR1225*MAX(1,BA1225/X1225),IF(CA1225=1,IF(BA1225&lt;=0,0,CE1225*MAX(1,IF(H1225&gt;0,BA1225/H1225,1))),IF(R1225&gt;0,BB1225/R1225,0))/MAX(0.1,N(Parameter!$M$21)))</f>
        <v>0.00961538461538462</v>
      </c>
      <c r="BD1225" s="62" t="n">
        <f aca="false">BC1225*CC1225</f>
        <v>1.49038461538462</v>
      </c>
      <c r="BE1225" s="63" t="n">
        <f aca="false">IF(LEFT(Cockpit!$O$5,1)="A",H1225,IF(CI1225=1,(CL1225+CJ1225)/2,IF(LEFT(Cockpit!$O$5,1)="B",(CL1225+BG1225)/2,MAX((CL1225+BG1225)/2,H1225))))</f>
        <v>2.5</v>
      </c>
      <c r="BF1225" s="62" t="n">
        <f aca="false">BE1225*G1225</f>
        <v>138.225</v>
      </c>
      <c r="BG1225" s="62" t="n">
        <f aca="false">ROUNDUP(CL1225+MAX(CM1225,2*(J1225/IF(CH1225&gt;0,CH1225,MAX(0.1,N(Cockpit!$O$6)))-CL1225)),0)</f>
        <v>5</v>
      </c>
      <c r="BH1225" s="63" t="n">
        <f aca="false">IF(BD1225&gt;0,J1225/BD1225,-1)</f>
        <v>4.0258064516129</v>
      </c>
      <c r="BI1225" s="63" t="n">
        <f aca="false">IF(AND(OR(CG1225="L1",CG1225="L23",CG1225="LIFT"),BD1225&gt;0),SUMIFS($BD$7:$BD$1843,$CG$7:$CG$1843,CG1225,$BH$7:$BH$1843,"&gt;"&amp;BH1225)+SUMIFS($BD$7:$BD$1843,$CG$7:$CG$1843,CG1225,$BH$7:$BH$1843,BH1225,$BX$7:$BX$1843,"&lt;="&amp;BX1225),"")</f>
        <v>4098.67032967033</v>
      </c>
      <c r="BJ1225" s="70" t="n">
        <f aca="false">IF(BI1225="",0,MAX(0,MIN(1,(IF(CG1225="L1",Parameter!$H$5,IF(CG1225="L23",Parameter!$H$6+Parameter!$H$7,Parameter!$H$5+Parameter!$H$6+Parameter!$H$7))-(BI1225-BD1225))/BD1225)))</f>
        <v>1</v>
      </c>
      <c r="BK1225" s="60" t="str">
        <f aca="false">IF(AJ1225&lt;=0,"",IF(CG1225="Aussen","Aussenlager",IF(CG1225="-","Nicht im Lift",IF(AP1225&gt;=1,"Lift",IF(AP1225&lt;=0,"Aussenlager","teilweise")))))</f>
        <v>Lift</v>
      </c>
      <c r="BL1225" s="60" t="str">
        <f aca="false">IF(AT1225&lt;=0,"",IF(CG1225="Aussen","Aussenlager",IF(CG1225="-","Nicht im Lift",IF(AZ1225&gt;=1,"Lift",IF(AZ1225&lt;=0,"Aussenlager","teilweise")))))</f>
        <v>Lift</v>
      </c>
      <c r="BM1225" s="60" t="str">
        <f aca="false">IF(BD1225&lt;=0,"",IF(CG1225="Aussen","Aussenlager",IF(CG1225="-","Nicht im Lift",IF(BJ1225&gt;=1,"Lift",IF(BJ1225&lt;=0,"Aussenlager","teilweise")))))</f>
        <v>Lift</v>
      </c>
      <c r="BN1225" s="60" t="str">
        <f aca="false">IF(A1225="","",IF(BW1225=1,"Neu; ","")&amp;IF(AND(BW1225=0,BR1225&lt;0),"negativer Bestand (Export "&amp;BR1225&amp;"); ","")&amp;IF(J1225&lt;=0,"Kein Verbrauch; ","")&amp;IF(CR1225&gt;0,"Lift "&amp;W1225&amp;" lt. Liftbericht (Fach "&amp;X1225&amp;" Stk); ",IF(CB1225=1,"Gebinde geschätzt ("&amp;T1225&amp;"); ",IF(CA1225=1,"Lose – Tablare geschätzt; ","")))&amp;IF(H1225&gt;AW1225,"Überbestand "&amp;ROUND(H1225-AW1225,0)&amp;" Stk / CHF "&amp;ROUND((H1225-AW1225)*G1225,0)&amp;"; ","")&amp;IF(AND(CI1225=1,CJ1225&lt;CK1225),"MAX &lt; MB+LG; ","")&amp;IF(AND(CQ1225&gt;0,CP1225*10&gt;CQ1225),"zu hoch für Tablar; ","")&amp;IF(AND(BW1225=0,OR(CI1225=1,AB1225&lt;&gt;"",U1225&lt;&gt;"",V1225&lt;&gt;"",AC1225&lt;&gt;"")),"manuell übersteuert; ","")&amp;IF(AND(CA1225=0,R1225=0),"Gebinde unbekannt / Stellmass fehlt; ","")&amp;IF(AND(CA1225=0,N(V1225)&lt;=0,N(Q1225)&lt;=0),"Menge pro Gebinde fehlt (Ist = 1 Gebinde); ","")&amp;BV1225)</f>
        <v>negativer Bestand (Export -11); Überbestand 11 Stk / CHF 608; </v>
      </c>
      <c r="BO1225" s="60"/>
      <c r="BP1225" s="60"/>
      <c r="BQ1225" s="67"/>
      <c r="BR1225" s="62" t="n">
        <v>-11</v>
      </c>
      <c r="BS1225" s="62" t="n">
        <v>27</v>
      </c>
      <c r="BT1225" s="61" t="n">
        <v>-608.19</v>
      </c>
      <c r="BU1225" s="62" t="n">
        <v>6</v>
      </c>
      <c r="BV1225" s="60"/>
      <c r="BW1225" s="65" t="n">
        <v>0</v>
      </c>
      <c r="BX1225" s="65" t="n">
        <v>1225</v>
      </c>
      <c r="BY1225" s="60" t="str">
        <f aca="false">IF(U1225&lt;&gt;"",UPPER(TRIM(U1225)),IF(CB1225=1,UPPER(VLOOKUP(T1225,Parameter!$I$27:$K$29,2,0)),IF(P1225="","LOSE",P1225)))</f>
        <v>S32</v>
      </c>
      <c r="BZ1225" s="62" t="n">
        <f aca="false">IF(BY1225="LOSE",1,IF(N(V1225)&gt;0,V1225,IF(CB1225=1,MAX(1,N(VLOOKUP(T1225,Parameter!$I$27:$K$29,3,0)),H1225,N(N1225)),IF(N(Q1225)&gt;0,Q1225,MAX(1,H1225)))))</f>
        <v>19</v>
      </c>
      <c r="CA1225" s="65" t="n">
        <f aca="false">IF(BY1225="LOSE",1,0)</f>
        <v>0</v>
      </c>
      <c r="CB1225" s="65" t="n">
        <f aca="false">IF(AND(U1225="",OR(P1225="",P1225="LOSE"),T1225&lt;&gt;"",N(S1225)&lt;=0,ISNUMBER(MATCH(T1225,Parameter!$I$27:$I$29,0))),1,0)</f>
        <v>0</v>
      </c>
      <c r="CC1225" s="65" t="n">
        <f aca="false">IF(CR1225&gt;0,INDEX(Parameter!$H$5:$H$7,W1225)/INDEX(Parameter!$E$5:$E$7,W1225),IF(AND(CA1225=0,N(IFERROR(VLOOKUP(BY1225,'Gebinde-Kategorie'!$A$5:$N$45,14,0),0))&gt;0),VLOOKUP(BY1225,'Gebinde-Kategorie'!$A$5:$N$45,14,0)*10+Parameter!$M$23,Parameter!$M$24))</f>
        <v>155</v>
      </c>
      <c r="CD1225" s="60" t="str">
        <f aca="false">IF(AND(Parameter!$B$19="Ja",E1225&lt;&gt;"",ISNUMBER(MATCH(E1225,Parameter!$I$35:$I$52,0))),VLOOKUP(E1225,Parameter!$I$35:$J$52,2,0),IFERROR(VLOOKUP(D1225,Parameter!$A$35:$C$64,2,0),"Nein"))</f>
        <v>2+3</v>
      </c>
      <c r="CE1225" s="64" t="n">
        <f aca="false">IF(CA1225=0,0,IF(N(S1225)&gt;0,S1225,IFERROR(VLOOKUP(D1225,Parameter!$A$35:$C$64,3,0)+0,0)))</f>
        <v>0</v>
      </c>
      <c r="CF1225" s="60" t="n">
        <f aca="false">IF(AB1225&lt;&gt;"",AB1225,AA1225)</f>
        <v>2</v>
      </c>
      <c r="CG1225" s="60" t="str">
        <f aca="false">IF(OR(CF1225=1,CF1225=2,CF1225=3),IF(Parameter!$E$27="Ja","LIFT",IF(CF1225=1,"L1","L23")),IF(CF1225="Aussen","Aussen","-"))</f>
        <v>LIFT</v>
      </c>
      <c r="CH1225" s="71" t="n">
        <f aca="false">IF(N(AC1225)&gt;0,AC1225,0)</f>
        <v>0</v>
      </c>
      <c r="CI1225" s="65" t="n">
        <f aca="false">IF(ISNUMBER(AF1225),1,0)</f>
        <v>0</v>
      </c>
      <c r="CJ1225" s="62" t="n">
        <f aca="false">N(AF1225)</f>
        <v>0</v>
      </c>
      <c r="CK1225" s="62" t="n">
        <f aca="false">N(M1225)+N(N1225)</f>
        <v>5</v>
      </c>
      <c r="CL1225" s="62" t="n">
        <f aca="false">N(M1225)</f>
        <v>0</v>
      </c>
      <c r="CM1225" s="62" t="n">
        <f aca="false">N(N1225)</f>
        <v>5</v>
      </c>
      <c r="CN1225" s="62" t="n">
        <f aca="false">ROUNDUP(H1225/BZ1225,0)</f>
        <v>1</v>
      </c>
      <c r="CO1225" s="62" t="n">
        <f aca="false">ROUNDUP(CJ1225/BZ1225,0)</f>
        <v>0</v>
      </c>
      <c r="CP1225" s="65" t="n">
        <f aca="false">IF(CA1225=1,0,IFERROR(VLOOKUP(BY1225,'Gebinde-Kategorie'!$A$5:$N$45,5,0)+0,0))</f>
        <v>8</v>
      </c>
      <c r="CQ1225" s="65" t="n">
        <f aca="false">IFERROR(IF(OR(CF1225=1,CF1225=2,CF1225=3),N(INDEX(Parameter!$I$5:$I$7,CF1225)),0),0)</f>
        <v>0</v>
      </c>
      <c r="CR1225" s="64" t="n">
        <f aca="false">IF(AND(Parameter!$B$21="Ja",ISNUMBER(W1225),N(X1225)&gt;0),IFERROR(N(INDEX(Parameter!$L$5:$L$7,W1225))*INDEX(Parameter!$E$5:$E$7,W1225)*X1225/SUMIFS($X$7:$X$1843,$W$7:$W$1843,W1225),0),0)</f>
        <v>0</v>
      </c>
      <c r="CS1225" s="62" t="n">
        <f aca="false">IF(AND(OR(CG1225="L1",CG1225="L23",CG1225="LIFT"),H1225&gt;0),CC1225*IF(CR1225&gt;0,CR1225*MAX(1,H1225/X1225),IF(CA1225=1,CE1225,IF(R1225&gt;0,CN1225/R1225,0))/MAX(0.1,N(Parameter!$M$21))),"")</f>
        <v>1.49038461538462</v>
      </c>
      <c r="CT1225" s="64" t="n">
        <f aca="false">IF(CS1225="","",J1225/H1225)</f>
        <v>0.375</v>
      </c>
      <c r="CU1225" s="62" t="n">
        <f aca="false">IF(CS1225="","",H1225*G1225)</f>
        <v>884.64</v>
      </c>
      <c r="CV1225" s="63" t="n">
        <f aca="false">IF(CS1225="","",(CL1225+ROUNDUP(CL1225+MAX(CM1225,2*(J1225/MAX(0.1,N(Einkauf!$C$6))-CL1225)),0))/2)</f>
        <v>2.5</v>
      </c>
      <c r="CW1225" s="62" t="n">
        <f aca="false">IF(CS1225="","",MAX(0,H1225-CV1225)*G1225)</f>
        <v>746.415</v>
      </c>
      <c r="CX1225" s="62" t="n">
        <f aca="false">IF(CS1225="","",CS1225*MAX(0,1-CV1225/H1225))</f>
        <v>1.25751201923077</v>
      </c>
      <c r="CY1225" s="64" t="n">
        <f aca="false">IF(CS1225="","",PERCENTRANK($CS$7:$CS$1843,CS1225)+PERCENTRANK($CU$7:$CU$1843,CU1225)+1-PERCENTRANK($CT$7:$CT$1843,CT1225))</f>
        <v>1.22</v>
      </c>
      <c r="CZ1225" s="72" t="n">
        <f aca="false">IF(CS1225="","",CHOOSE(MATCH(Einkauf!$C$5,Parameter!$G$23:$G$27,0),CY1225,CS1225,CU1225,-CT1225,CW1225)+ROW()/1000000000)</f>
        <v>1.220001225</v>
      </c>
    </row>
    <row r="1226" customFormat="false" ht="15" hidden="false" customHeight="false" outlineLevel="0" collapsed="false">
      <c r="A1226" s="60" t="s">
        <v>2237</v>
      </c>
      <c r="B1226" s="60" t="s">
        <v>2238</v>
      </c>
      <c r="C1226" s="60" t="s">
        <v>206</v>
      </c>
      <c r="D1226" s="60" t="s">
        <v>226</v>
      </c>
      <c r="E1226" s="60" t="s">
        <v>227</v>
      </c>
      <c r="F1226" s="60" t="s">
        <v>260</v>
      </c>
      <c r="G1226" s="61" t="n">
        <v>688</v>
      </c>
      <c r="H1226" s="62" t="n">
        <f aca="false">MAX(0,IF(AND(Parameter!$B$21="Ja",ISNUMBER(Y1226)),Y1226,IF(Parameter!$B$20="Jahresanfang 2025 + Export",BS1226+BR1226,BR1226)))</f>
        <v>19</v>
      </c>
      <c r="I1226" s="62" t="n">
        <f aca="false">H1226*G1226</f>
        <v>13072</v>
      </c>
      <c r="J1226" s="62" t="n">
        <f aca="false">BU1226*Parameter!$B$18</f>
        <v>69</v>
      </c>
      <c r="K1226" s="63" t="n">
        <v>21</v>
      </c>
      <c r="L1226" s="64" t="n">
        <v>3.28571428571429</v>
      </c>
      <c r="M1226" s="62" t="n">
        <v>10</v>
      </c>
      <c r="N1226" s="62" t="n">
        <v>5</v>
      </c>
      <c r="O1226" s="65" t="n">
        <v>30</v>
      </c>
      <c r="P1226" s="60" t="s">
        <v>344</v>
      </c>
      <c r="Q1226" s="62" t="n">
        <v>11</v>
      </c>
      <c r="R1226" s="65" t="n">
        <f aca="false">IF(CA1226=1,0,IFERROR(VLOOKUP(BY1226,'Gebinde-Kategorie'!$A$5:$N$45,13,0)+0,0))</f>
        <v>26</v>
      </c>
      <c r="S1226" s="66"/>
      <c r="T1226" s="67"/>
      <c r="U1226" s="67"/>
      <c r="V1226" s="67"/>
      <c r="W1226" s="60"/>
      <c r="X1226" s="62"/>
      <c r="Y1226" s="62"/>
      <c r="Z1226" s="60" t="n">
        <v>3</v>
      </c>
      <c r="AA1226" s="60" t="n">
        <f aca="false">IF(A1226="","",IF(AND(Parameter!$B$21="Ja",ISNUMBER(W1226)),W1226,IF(AND(Parameter!$E$27="Ja",ISNUMBER(Z1226),CD1226&lt;&gt;"Nein"),Z1226,IF(CD1226="2+3",IF(ISNUMBER(SEARCH("grosser Artikel",BV1226)),2,IFERROR(VLOOKUP(BY1226,Parameter!$F$35:$G$64,2,0),2)),IF(OR(CD1226="Nein",CD1226=""),"-",CD1226)))))</f>
        <v>3</v>
      </c>
      <c r="AB1226" s="67"/>
      <c r="AC1226" s="68"/>
      <c r="AD1226" s="62" t="n">
        <f aca="false">AW1226</f>
        <v>36</v>
      </c>
      <c r="AE1226" s="62" t="n">
        <f aca="false">MAX(AW1226,H1226)</f>
        <v>36</v>
      </c>
      <c r="AF1226" s="69"/>
      <c r="AG1226" s="62" t="n">
        <f aca="false">IF(LEFT(Cockpit!$C$5,1)="A",H1226,IF(Parameter!$E$30="MAX-Bestand",IF(CI1226=1,CJ1226,IF(LEFT(Cockpit!$C$5,1)="B",AM1226,MAX(AM1226,H1226))),ROUNDUP(AK1226,0)))</f>
        <v>19</v>
      </c>
      <c r="AH1226" s="62" t="n">
        <f aca="false">IF(CA1226=1,0,ROUNDUP(AG1226/BZ1226,0))</f>
        <v>2</v>
      </c>
      <c r="AI1226" s="64" t="n">
        <f aca="false">IF(CR1226&gt;0,CR1226*MAX(1,AG1226/X1226),IF(CA1226=1,IF(AG1226&lt;=0,0,CE1226*MAX(1,IF(H1226&gt;0,AG1226/H1226,1))),IF(R1226&gt;0,AH1226/R1226,0))/MAX(0.1,N(Parameter!$M$21)))</f>
        <v>0.0769230769230769</v>
      </c>
      <c r="AJ1226" s="62" t="n">
        <f aca="false">AI1226*CC1226</f>
        <v>11.9230769230769</v>
      </c>
      <c r="AK1226" s="63" t="n">
        <f aca="false">IF(LEFT(Cockpit!$C$5,1)="A",H1226,IF(CI1226=1,(CL1226+CJ1226)/2,IF(LEFT(Cockpit!$C$5,1)="B",(CL1226+AM1226)/2,MAX((CL1226+AM1226)/2,H1226))))</f>
        <v>19</v>
      </c>
      <c r="AL1226" s="62" t="n">
        <f aca="false">AK1226*G1226</f>
        <v>13072</v>
      </c>
      <c r="AM1226" s="62" t="n">
        <f aca="false">ROUNDUP(CL1226+MAX(CM1226,2*(J1226/IF(CH1226&gt;0,CH1226,MAX(0.1,N(Cockpit!$C$6)))-CL1226)),0)</f>
        <v>36</v>
      </c>
      <c r="AN1226" s="63" t="n">
        <f aca="false">IF(AJ1226&gt;0,J1226/AJ1226,-1)</f>
        <v>5.78709677419355</v>
      </c>
      <c r="AO1226" s="63" t="n">
        <f aca="false">IF(AND(OR(CG1226="L1",CG1226="L23",CG1226="LIFT"),AJ1226&gt;0),SUMIFS($AJ$7:$AJ$1843,$CG$7:$CG$1843,CG1226,$AN$7:$AN$1843,"&gt;"&amp;AN1226)+SUMIFS($AJ$7:$AJ$1843,$CG$7:$CG$1843,CG1226,$AN$7:$AN$1843,AN1226,$BX$7:$BX$1843,"&lt;="&amp;BX1226),"")</f>
        <v>3540.79532967033</v>
      </c>
      <c r="AP1226" s="70" t="n">
        <f aca="false">IF(AO1226="",0,MAX(0,MIN(1,(IF(CG1226="L1",Parameter!$H$5,IF(CG1226="L23",Parameter!$H$6+Parameter!$H$7,Parameter!$H$5+Parameter!$H$6+Parameter!$H$7))-(AO1226-AJ1226))/AJ1226)))</f>
        <v>1</v>
      </c>
      <c r="AQ1226" s="62" t="n">
        <f aca="false">IF(LEFT(Cockpit!$I$5,1)="A",H1226,IF(Parameter!$E$30="MAX-Bestand",IF(CI1226=1,CJ1226,IF(LEFT(Cockpit!$I$5,1)="B",AW1226,MAX(AW1226,H1226))),ROUNDUP(AU1226,0)))</f>
        <v>23</v>
      </c>
      <c r="AR1226" s="62" t="n">
        <f aca="false">IF(CA1226=1,0,ROUNDUP(AQ1226/BZ1226,0))</f>
        <v>3</v>
      </c>
      <c r="AS1226" s="64" t="n">
        <f aca="false">IF(CR1226&gt;0,CR1226*MAX(1,AQ1226/X1226),IF(CA1226=1,IF(AQ1226&lt;=0,0,CE1226*MAX(1,IF(H1226&gt;0,AQ1226/H1226,1))),IF(R1226&gt;0,AR1226/R1226,0))/MAX(0.1,N(Parameter!$M$21)))</f>
        <v>0.115384615384615</v>
      </c>
      <c r="AT1226" s="62" t="n">
        <f aca="false">AS1226*CC1226</f>
        <v>17.8846153846154</v>
      </c>
      <c r="AU1226" s="63" t="n">
        <f aca="false">IF(LEFT(Cockpit!$I$5,1)="A",H1226,IF(CI1226=1,(CL1226+CJ1226)/2,IF(LEFT(Cockpit!$I$5,1)="B",(CL1226+AW1226)/2,MAX((CL1226+AW1226)/2,H1226))))</f>
        <v>23</v>
      </c>
      <c r="AV1226" s="62" t="n">
        <f aca="false">AU1226*G1226</f>
        <v>15824</v>
      </c>
      <c r="AW1226" s="62" t="n">
        <f aca="false">ROUNDUP(CL1226+MAX(CM1226,2*(J1226/IF(CH1226&gt;0,CH1226,MAX(0.1,N(Cockpit!$I$6)))-CL1226)),0)</f>
        <v>36</v>
      </c>
      <c r="AX1226" s="63" t="n">
        <f aca="false">IF(AT1226&gt;0,J1226/AT1226,-1)</f>
        <v>3.85806451612903</v>
      </c>
      <c r="AY1226" s="63" t="n">
        <f aca="false">IF(AND(OR(CG1226="L1",CG1226="L23",CG1226="LIFT"),AT1226&gt;0),SUMIFS($AT$7:$AT$1843,$CG$7:$CG$1843,CG1226,$AX$7:$AX$1843,"&gt;"&amp;AX1226)+SUMIFS($AT$7:$AT$1843,$CG$7:$CG$1843,CG1226,$AX$7:$AX$1843,AX1226,$BX$7:$BX$1843,"&lt;="&amp;BX1226),"")</f>
        <v>5179.97802197802</v>
      </c>
      <c r="AZ1226" s="70" t="n">
        <f aca="false">IF(AY1226="",0,MAX(0,MIN(1,(IF(CG1226="L1",Parameter!$H$5,IF(CG1226="L23",Parameter!$H$6+Parameter!$H$7,Parameter!$H$5+Parameter!$H$6+Parameter!$H$7))-(AY1226-AT1226))/AT1226)))</f>
        <v>1</v>
      </c>
      <c r="BA1226" s="62" t="n">
        <f aca="false">IF(LEFT(Cockpit!$O$5,1)="A",H1226,IF(Parameter!$E$30="MAX-Bestand",IF(CI1226=1,CJ1226,IF(LEFT(Cockpit!$O$5,1)="B",BG1226,MAX(BG1226,H1226))),ROUNDUP(BE1226,0)))</f>
        <v>18</v>
      </c>
      <c r="BB1226" s="62" t="n">
        <f aca="false">IF(CA1226=1,0,ROUNDUP(BA1226/BZ1226,0))</f>
        <v>2</v>
      </c>
      <c r="BC1226" s="64" t="n">
        <f aca="false">IF(CR1226&gt;0,CR1226*MAX(1,BA1226/X1226),IF(CA1226=1,IF(BA1226&lt;=0,0,CE1226*MAX(1,IF(H1226&gt;0,BA1226/H1226,1))),IF(R1226&gt;0,BB1226/R1226,0))/MAX(0.1,N(Parameter!$M$21)))</f>
        <v>0.0769230769230769</v>
      </c>
      <c r="BD1226" s="62" t="n">
        <f aca="false">BC1226*CC1226</f>
        <v>11.9230769230769</v>
      </c>
      <c r="BE1226" s="63" t="n">
        <f aca="false">IF(LEFT(Cockpit!$O$5,1)="A",H1226,IF(CI1226=1,(CL1226+CJ1226)/2,IF(LEFT(Cockpit!$O$5,1)="B",(CL1226+BG1226)/2,MAX((CL1226+BG1226)/2,H1226))))</f>
        <v>17.5</v>
      </c>
      <c r="BF1226" s="62" t="n">
        <f aca="false">BE1226*G1226</f>
        <v>12040</v>
      </c>
      <c r="BG1226" s="62" t="n">
        <f aca="false">ROUNDUP(CL1226+MAX(CM1226,2*(J1226/IF(CH1226&gt;0,CH1226,MAX(0.1,N(Cockpit!$O$6)))-CL1226)),0)</f>
        <v>25</v>
      </c>
      <c r="BH1226" s="63" t="n">
        <f aca="false">IF(BD1226&gt;0,J1226/BD1226,-1)</f>
        <v>5.78709677419355</v>
      </c>
      <c r="BI1226" s="63" t="n">
        <f aca="false">IF(AND(OR(CG1226="L1",CG1226="L23",CG1226="LIFT"),BD1226&gt;0),SUMIFS($BD$7:$BD$1843,$CG$7:$CG$1843,CG1226,$BH$7:$BH$1843,"&gt;"&amp;BH1226)+SUMIFS($BD$7:$BD$1843,$CG$7:$CG$1843,CG1226,$BH$7:$BH$1843,BH1226,$BX$7:$BX$1843,"&lt;="&amp;BX1226),"")</f>
        <v>3530.53250915751</v>
      </c>
      <c r="BJ1226" s="70" t="n">
        <f aca="false">IF(BI1226="",0,MAX(0,MIN(1,(IF(CG1226="L1",Parameter!$H$5,IF(CG1226="L23",Parameter!$H$6+Parameter!$H$7,Parameter!$H$5+Parameter!$H$6+Parameter!$H$7))-(BI1226-BD1226))/BD1226)))</f>
        <v>1</v>
      </c>
      <c r="BK1226" s="60" t="str">
        <f aca="false">IF(AJ1226&lt;=0,"",IF(CG1226="Aussen","Aussenlager",IF(CG1226="-","Nicht im Lift",IF(AP1226&gt;=1,"Lift",IF(AP1226&lt;=0,"Aussenlager","teilweise")))))</f>
        <v>Lift</v>
      </c>
      <c r="BL1226" s="60" t="str">
        <f aca="false">IF(AT1226&lt;=0,"",IF(CG1226="Aussen","Aussenlager",IF(CG1226="-","Nicht im Lift",IF(AZ1226&gt;=1,"Lift",IF(AZ1226&lt;=0,"Aussenlager","teilweise")))))</f>
        <v>Lift</v>
      </c>
      <c r="BM1226" s="60" t="str">
        <f aca="false">IF(BD1226&lt;=0,"",IF(CG1226="Aussen","Aussenlager",IF(CG1226="-","Nicht im Lift",IF(BJ1226&gt;=1,"Lift",IF(BJ1226&lt;=0,"Aussenlager","teilweise")))))</f>
        <v>Lift</v>
      </c>
      <c r="BN1226" s="60" t="str">
        <f aca="false">IF(A1226="","",IF(BW1226=1,"Neu; ","")&amp;IF(AND(BW1226=0,BR1226&lt;0),"negativer Bestand (Export "&amp;BR1226&amp;"); ","")&amp;IF(J1226&lt;=0,"Kein Verbrauch; ","")&amp;IF(CR1226&gt;0,"Lift "&amp;W1226&amp;" lt. Liftbericht (Fach "&amp;X1226&amp;" Stk); ",IF(CB1226=1,"Gebinde geschätzt ("&amp;T1226&amp;"); ",IF(CA1226=1,"Lose – Tablare geschätzt; ","")))&amp;IF(H1226&gt;AW1226,"Überbestand "&amp;ROUND(H1226-AW1226,0)&amp;" Stk / CHF "&amp;ROUND((H1226-AW1226)*G1226,0)&amp;"; ","")&amp;IF(AND(CI1226=1,CJ1226&lt;CK1226),"MAX &lt; MB+LG; ","")&amp;IF(AND(CQ1226&gt;0,CP1226*10&gt;CQ1226),"zu hoch für Tablar; ","")&amp;IF(AND(BW1226=0,OR(CI1226=1,AB1226&lt;&gt;"",U1226&lt;&gt;"",V1226&lt;&gt;"",AC1226&lt;&gt;"")),"manuell übersteuert; ","")&amp;IF(AND(CA1226=0,R1226=0),"Gebinde unbekannt / Stellmass fehlt; ","")&amp;IF(AND(CA1226=0,N(V1226)&lt;=0,N(Q1226)&lt;=0),"Menge pro Gebinde fehlt (Ist = 1 Gebinde); ","")&amp;BV1226)</f>
        <v>negativer Bestand (Export -2); </v>
      </c>
      <c r="BO1226" s="60"/>
      <c r="BP1226" s="60"/>
      <c r="BQ1226" s="67"/>
      <c r="BR1226" s="62" t="n">
        <v>-2</v>
      </c>
      <c r="BS1226" s="62" t="n">
        <v>21</v>
      </c>
      <c r="BT1226" s="61" t="n">
        <v>-619.999999999998</v>
      </c>
      <c r="BU1226" s="62" t="n">
        <v>69</v>
      </c>
      <c r="BV1226" s="60"/>
      <c r="BW1226" s="65" t="n">
        <v>0</v>
      </c>
      <c r="BX1226" s="65" t="n">
        <v>1226</v>
      </c>
      <c r="BY1226" s="60" t="str">
        <f aca="false">IF(U1226&lt;&gt;"",UPPER(TRIM(U1226)),IF(CB1226=1,UPPER(VLOOKUP(T1226,Parameter!$I$27:$K$29,2,0)),IF(P1226="","LOSE",P1226)))</f>
        <v>S51</v>
      </c>
      <c r="BZ1226" s="62" t="n">
        <f aca="false">IF(BY1226="LOSE",1,IF(N(V1226)&gt;0,V1226,IF(CB1226=1,MAX(1,N(VLOOKUP(T1226,Parameter!$I$27:$K$29,3,0)),H1226,N(N1226)),IF(N(Q1226)&gt;0,Q1226,MAX(1,H1226)))))</f>
        <v>11</v>
      </c>
      <c r="CA1226" s="65" t="n">
        <f aca="false">IF(BY1226="LOSE",1,0)</f>
        <v>0</v>
      </c>
      <c r="CB1226" s="65" t="n">
        <f aca="false">IF(AND(U1226="",OR(P1226="",P1226="LOSE"),T1226&lt;&gt;"",N(S1226)&lt;=0,ISNUMBER(MATCH(T1226,Parameter!$I$27:$I$29,0))),1,0)</f>
        <v>0</v>
      </c>
      <c r="CC1226" s="65" t="n">
        <f aca="false">IF(CR1226&gt;0,INDEX(Parameter!$H$5:$H$7,W1226)/INDEX(Parameter!$E$5:$E$7,W1226),IF(AND(CA1226=0,N(IFERROR(VLOOKUP(BY1226,'Gebinde-Kategorie'!$A$5:$N$45,14,0),0))&gt;0),VLOOKUP(BY1226,'Gebinde-Kategorie'!$A$5:$N$45,14,0)*10+Parameter!$M$23,Parameter!$M$24))</f>
        <v>155</v>
      </c>
      <c r="CD1226" s="60" t="str">
        <f aca="false">IF(AND(Parameter!$B$19="Ja",E1226&lt;&gt;"",ISNUMBER(MATCH(E1226,Parameter!$I$35:$I$52,0))),VLOOKUP(E1226,Parameter!$I$35:$J$52,2,0),IFERROR(VLOOKUP(D1226,Parameter!$A$35:$C$64,2,0),"Nein"))</f>
        <v>2+3</v>
      </c>
      <c r="CE1226" s="64" t="n">
        <f aca="false">IF(CA1226=0,0,IF(N(S1226)&gt;0,S1226,IFERROR(VLOOKUP(D1226,Parameter!$A$35:$C$64,3,0)+0,0)))</f>
        <v>0</v>
      </c>
      <c r="CF1226" s="60" t="n">
        <f aca="false">IF(AB1226&lt;&gt;"",AB1226,AA1226)</f>
        <v>3</v>
      </c>
      <c r="CG1226" s="60" t="str">
        <f aca="false">IF(OR(CF1226=1,CF1226=2,CF1226=3),IF(Parameter!$E$27="Ja","LIFT",IF(CF1226=1,"L1","L23")),IF(CF1226="Aussen","Aussen","-"))</f>
        <v>LIFT</v>
      </c>
      <c r="CH1226" s="71" t="n">
        <f aca="false">IF(N(AC1226)&gt;0,AC1226,0)</f>
        <v>0</v>
      </c>
      <c r="CI1226" s="65" t="n">
        <f aca="false">IF(ISNUMBER(AF1226),1,0)</f>
        <v>0</v>
      </c>
      <c r="CJ1226" s="62" t="n">
        <f aca="false">N(AF1226)</f>
        <v>0</v>
      </c>
      <c r="CK1226" s="62" t="n">
        <f aca="false">N(M1226)+N(N1226)</f>
        <v>15</v>
      </c>
      <c r="CL1226" s="62" t="n">
        <f aca="false">N(M1226)</f>
        <v>10</v>
      </c>
      <c r="CM1226" s="62" t="n">
        <f aca="false">N(N1226)</f>
        <v>5</v>
      </c>
      <c r="CN1226" s="62" t="n">
        <f aca="false">ROUNDUP(H1226/BZ1226,0)</f>
        <v>2</v>
      </c>
      <c r="CO1226" s="62" t="n">
        <f aca="false">ROUNDUP(CJ1226/BZ1226,0)</f>
        <v>0</v>
      </c>
      <c r="CP1226" s="65" t="n">
        <f aca="false">IF(CA1226=1,0,IFERROR(VLOOKUP(BY1226,'Gebinde-Kategorie'!$A$5:$N$45,5,0)+0,0))</f>
        <v>11</v>
      </c>
      <c r="CQ1226" s="65" t="n">
        <f aca="false">IFERROR(IF(OR(CF1226=1,CF1226=2,CF1226=3),N(INDEX(Parameter!$I$5:$I$7,CF1226)),0),0)</f>
        <v>0</v>
      </c>
      <c r="CR1226" s="64" t="n">
        <f aca="false">IF(AND(Parameter!$B$21="Ja",ISNUMBER(W1226),N(X1226)&gt;0),IFERROR(N(INDEX(Parameter!$L$5:$L$7,W1226))*INDEX(Parameter!$E$5:$E$7,W1226)*X1226/SUMIFS($X$7:$X$1843,$W$7:$W$1843,W1226),0),0)</f>
        <v>0</v>
      </c>
      <c r="CS1226" s="62" t="n">
        <f aca="false">IF(AND(OR(CG1226="L1",CG1226="L23",CG1226="LIFT"),H1226&gt;0),CC1226*IF(CR1226&gt;0,CR1226*MAX(1,H1226/X1226),IF(CA1226=1,CE1226,IF(R1226&gt;0,CN1226/R1226,0))/MAX(0.1,N(Parameter!$M$21))),"")</f>
        <v>11.9230769230769</v>
      </c>
      <c r="CT1226" s="64" t="n">
        <f aca="false">IF(CS1226="","",J1226/H1226)</f>
        <v>3.63157894736842</v>
      </c>
      <c r="CU1226" s="62" t="n">
        <f aca="false">IF(CS1226="","",H1226*G1226)</f>
        <v>13072</v>
      </c>
      <c r="CV1226" s="63" t="n">
        <f aca="false">IF(CS1226="","",(CL1226+ROUNDUP(CL1226+MAX(CM1226,2*(J1226/MAX(0.1,N(Einkauf!$C$6))-CL1226)),0))/2)</f>
        <v>17.5</v>
      </c>
      <c r="CW1226" s="62" t="n">
        <f aca="false">IF(CS1226="","",MAX(0,H1226-CV1226)*G1226)</f>
        <v>1032</v>
      </c>
      <c r="CX1226" s="62" t="n">
        <f aca="false">IF(CS1226="","",CS1226*MAX(0,1-CV1226/H1226))</f>
        <v>0.941295546558705</v>
      </c>
      <c r="CY1226" s="64" t="n">
        <f aca="false">IF(CS1226="","",PERCENTRANK($CS$7:$CS$1843,CS1226)+PERCENTRANK($CU$7:$CU$1843,CU1226)+1-PERCENTRANK($CT$7:$CT$1843,CT1226))</f>
        <v>1.676</v>
      </c>
      <c r="CZ1226" s="72" t="n">
        <f aca="false">IF(CS1226="","",CHOOSE(MATCH(Einkauf!$C$5,Parameter!$G$23:$G$27,0),CY1226,CS1226,CU1226,-CT1226,CW1226)+ROW()/1000000000)</f>
        <v>1.676001226</v>
      </c>
    </row>
    <row r="1227" customFormat="false" ht="15" hidden="false" customHeight="false" outlineLevel="0" collapsed="false">
      <c r="A1227" s="60" t="s">
        <v>2239</v>
      </c>
      <c r="B1227" s="60" t="s">
        <v>2240</v>
      </c>
      <c r="C1227" s="60" t="s">
        <v>206</v>
      </c>
      <c r="D1227" s="60" t="s">
        <v>226</v>
      </c>
      <c r="E1227" s="60" t="s">
        <v>227</v>
      </c>
      <c r="F1227" s="60" t="s">
        <v>260</v>
      </c>
      <c r="G1227" s="61" t="n">
        <v>310.56</v>
      </c>
      <c r="H1227" s="62" t="n">
        <f aca="false">MAX(0,IF(AND(Parameter!$B$21="Ja",ISNUMBER(Y1227)),Y1227,IF(Parameter!$B$20="Jahresanfang 2025 + Export",BS1227+BR1227,BR1227)))</f>
        <v>8</v>
      </c>
      <c r="I1227" s="62" t="n">
        <f aca="false">H1227*G1227</f>
        <v>2484.48</v>
      </c>
      <c r="J1227" s="62" t="n">
        <f aca="false">BU1227*Parameter!$B$18</f>
        <v>1</v>
      </c>
      <c r="K1227" s="63" t="n">
        <v>9.5</v>
      </c>
      <c r="L1227" s="64" t="n">
        <v>0.105263157894737</v>
      </c>
      <c r="M1227" s="62" t="n">
        <v>0</v>
      </c>
      <c r="N1227" s="62" t="n">
        <v>1</v>
      </c>
      <c r="O1227" s="65" t="n">
        <v>35</v>
      </c>
      <c r="P1227" s="60" t="s">
        <v>275</v>
      </c>
      <c r="Q1227" s="62" t="n">
        <v>12</v>
      </c>
      <c r="R1227" s="65" t="n">
        <f aca="false">IF(CA1227=1,0,IFERROR(VLOOKUP(BY1227,'Gebinde-Kategorie'!$A$5:$N$45,13,0)+0,0))</f>
        <v>26</v>
      </c>
      <c r="S1227" s="66"/>
      <c r="T1227" s="67"/>
      <c r="U1227" s="67"/>
      <c r="V1227" s="67"/>
      <c r="W1227" s="60"/>
      <c r="X1227" s="62"/>
      <c r="Y1227" s="62"/>
      <c r="Z1227" s="60" t="n">
        <v>3</v>
      </c>
      <c r="AA1227" s="60" t="n">
        <f aca="false">IF(A1227="","",IF(AND(Parameter!$B$21="Ja",ISNUMBER(W1227)),W1227,IF(AND(Parameter!$E$27="Ja",ISNUMBER(Z1227),CD1227&lt;&gt;"Nein"),Z1227,IF(CD1227="2+3",IF(ISNUMBER(SEARCH("grosser Artikel",BV1227)),2,IFERROR(VLOOKUP(BY1227,Parameter!$F$35:$G$64,2,0),2)),IF(OR(CD1227="Nein",CD1227=""),"-",CD1227)))))</f>
        <v>3</v>
      </c>
      <c r="AB1227" s="67"/>
      <c r="AC1227" s="68"/>
      <c r="AD1227" s="62" t="n">
        <f aca="false">AW1227</f>
        <v>1</v>
      </c>
      <c r="AE1227" s="62" t="n">
        <f aca="false">MAX(AW1227,H1227)</f>
        <v>8</v>
      </c>
      <c r="AF1227" s="69"/>
      <c r="AG1227" s="62" t="n">
        <f aca="false">IF(LEFT(Cockpit!$C$5,1)="A",H1227,IF(Parameter!$E$30="MAX-Bestand",IF(CI1227=1,CJ1227,IF(LEFT(Cockpit!$C$5,1)="B",AM1227,MAX(AM1227,H1227))),ROUNDUP(AK1227,0)))</f>
        <v>8</v>
      </c>
      <c r="AH1227" s="62" t="n">
        <f aca="false">IF(CA1227=1,0,ROUNDUP(AG1227/BZ1227,0))</f>
        <v>1</v>
      </c>
      <c r="AI1227" s="64" t="n">
        <f aca="false">IF(CR1227&gt;0,CR1227*MAX(1,AG1227/X1227),IF(CA1227=1,IF(AG1227&lt;=0,0,CE1227*MAX(1,IF(H1227&gt;0,AG1227/H1227,1))),IF(R1227&gt;0,AH1227/R1227,0))/MAX(0.1,N(Parameter!$M$21)))</f>
        <v>0.0384615384615385</v>
      </c>
      <c r="AJ1227" s="62" t="n">
        <f aca="false">AI1227*CC1227</f>
        <v>9.42307692307692</v>
      </c>
      <c r="AK1227" s="63" t="n">
        <f aca="false">IF(LEFT(Cockpit!$C$5,1)="A",H1227,IF(CI1227=1,(CL1227+CJ1227)/2,IF(LEFT(Cockpit!$C$5,1)="B",(CL1227+AM1227)/2,MAX((CL1227+AM1227)/2,H1227))))</f>
        <v>8</v>
      </c>
      <c r="AL1227" s="62" t="n">
        <f aca="false">AK1227*G1227</f>
        <v>2484.48</v>
      </c>
      <c r="AM1227" s="62" t="n">
        <f aca="false">ROUNDUP(CL1227+MAX(CM1227,2*(J1227/IF(CH1227&gt;0,CH1227,MAX(0.1,N(Cockpit!$C$6)))-CL1227)),0)</f>
        <v>1</v>
      </c>
      <c r="AN1227" s="63" t="n">
        <f aca="false">IF(AJ1227&gt;0,J1227/AJ1227,-1)</f>
        <v>0.106122448979592</v>
      </c>
      <c r="AO1227" s="63" t="n">
        <f aca="false">IF(AND(OR(CG1227="L1",CG1227="L23",CG1227="LIFT"),AJ1227&gt;0),SUMIFS($AJ$7:$AJ$1843,$CG$7:$CG$1843,CG1227,$AN$7:$AN$1843,"&gt;"&amp;AN1227)+SUMIFS($AJ$7:$AJ$1843,$CG$7:$CG$1843,CG1227,$AN$7:$AN$1843,AN1227,$BX$7:$BX$1843,"&lt;="&amp;BX1227),"")</f>
        <v>15323.4989316239</v>
      </c>
      <c r="AP1227" s="70" t="n">
        <f aca="false">IF(AO1227="",0,MAX(0,MIN(1,(IF(CG1227="L1",Parameter!$H$5,IF(CG1227="L23",Parameter!$H$6+Parameter!$H$7,Parameter!$H$5+Parameter!$H$6+Parameter!$H$7))-(AO1227-AJ1227))/AJ1227)))</f>
        <v>1</v>
      </c>
      <c r="AQ1227" s="62" t="n">
        <f aca="false">IF(LEFT(Cockpit!$I$5,1)="A",H1227,IF(Parameter!$E$30="MAX-Bestand",IF(CI1227=1,CJ1227,IF(LEFT(Cockpit!$I$5,1)="B",AW1227,MAX(AW1227,H1227))),ROUNDUP(AU1227,0)))</f>
        <v>8</v>
      </c>
      <c r="AR1227" s="62" t="n">
        <f aca="false">IF(CA1227=1,0,ROUNDUP(AQ1227/BZ1227,0))</f>
        <v>1</v>
      </c>
      <c r="AS1227" s="64" t="n">
        <f aca="false">IF(CR1227&gt;0,CR1227*MAX(1,AQ1227/X1227),IF(CA1227=1,IF(AQ1227&lt;=0,0,CE1227*MAX(1,IF(H1227&gt;0,AQ1227/H1227,1))),IF(R1227&gt;0,AR1227/R1227,0))/MAX(0.1,N(Parameter!$M$21)))</f>
        <v>0.0384615384615385</v>
      </c>
      <c r="AT1227" s="62" t="n">
        <f aca="false">AS1227*CC1227</f>
        <v>9.42307692307692</v>
      </c>
      <c r="AU1227" s="63" t="n">
        <f aca="false">IF(LEFT(Cockpit!$I$5,1)="A",H1227,IF(CI1227=1,(CL1227+CJ1227)/2,IF(LEFT(Cockpit!$I$5,1)="B",(CL1227+AW1227)/2,MAX((CL1227+AW1227)/2,H1227))))</f>
        <v>8</v>
      </c>
      <c r="AV1227" s="62" t="n">
        <f aca="false">AU1227*G1227</f>
        <v>2484.48</v>
      </c>
      <c r="AW1227" s="62" t="n">
        <f aca="false">ROUNDUP(CL1227+MAX(CM1227,2*(J1227/IF(CH1227&gt;0,CH1227,MAX(0.1,N(Cockpit!$I$6)))-CL1227)),0)</f>
        <v>1</v>
      </c>
      <c r="AX1227" s="63" t="n">
        <f aca="false">IF(AT1227&gt;0,J1227/AT1227,-1)</f>
        <v>0.106122448979592</v>
      </c>
      <c r="AY1227" s="63" t="n">
        <f aca="false">IF(AND(OR(CG1227="L1",CG1227="L23",CG1227="LIFT"),AT1227&gt;0),SUMIFS($AT$7:$AT$1843,$CG$7:$CG$1843,CG1227,$AX$7:$AX$1843,"&gt;"&amp;AX1227)+SUMIFS($AT$7:$AT$1843,$CG$7:$CG$1843,CG1227,$AX$7:$AX$1843,AX1227,$BX$7:$BX$1843,"&lt;="&amp;BX1227),"")</f>
        <v>19347.8975730014</v>
      </c>
      <c r="AZ1227" s="70" t="n">
        <f aca="false">IF(AY1227="",0,MAX(0,MIN(1,(IF(CG1227="L1",Parameter!$H$5,IF(CG1227="L23",Parameter!$H$6+Parameter!$H$7,Parameter!$H$5+Parameter!$H$6+Parameter!$H$7))-(AY1227-AT1227))/AT1227)))</f>
        <v>1</v>
      </c>
      <c r="BA1227" s="62" t="n">
        <f aca="false">IF(LEFT(Cockpit!$O$5,1)="A",H1227,IF(Parameter!$E$30="MAX-Bestand",IF(CI1227=1,CJ1227,IF(LEFT(Cockpit!$O$5,1)="B",BG1227,MAX(BG1227,H1227))),ROUNDUP(BE1227,0)))</f>
        <v>1</v>
      </c>
      <c r="BB1227" s="62" t="n">
        <f aca="false">IF(CA1227=1,0,ROUNDUP(BA1227/BZ1227,0))</f>
        <v>1</v>
      </c>
      <c r="BC1227" s="64" t="n">
        <f aca="false">IF(CR1227&gt;0,CR1227*MAX(1,BA1227/X1227),IF(CA1227=1,IF(BA1227&lt;=0,0,CE1227*MAX(1,IF(H1227&gt;0,BA1227/H1227,1))),IF(R1227&gt;0,BB1227/R1227,0))/MAX(0.1,N(Parameter!$M$21)))</f>
        <v>0.0384615384615385</v>
      </c>
      <c r="BD1227" s="62" t="n">
        <f aca="false">BC1227*CC1227</f>
        <v>9.42307692307692</v>
      </c>
      <c r="BE1227" s="63" t="n">
        <f aca="false">IF(LEFT(Cockpit!$O$5,1)="A",H1227,IF(CI1227=1,(CL1227+CJ1227)/2,IF(LEFT(Cockpit!$O$5,1)="B",(CL1227+BG1227)/2,MAX((CL1227+BG1227)/2,H1227))))</f>
        <v>0.5</v>
      </c>
      <c r="BF1227" s="62" t="n">
        <f aca="false">BE1227*G1227</f>
        <v>155.28</v>
      </c>
      <c r="BG1227" s="62" t="n">
        <f aca="false">ROUNDUP(CL1227+MAX(CM1227,2*(J1227/IF(CH1227&gt;0,CH1227,MAX(0.1,N(Cockpit!$O$6)))-CL1227)),0)</f>
        <v>1</v>
      </c>
      <c r="BH1227" s="63" t="n">
        <f aca="false">IF(BD1227&gt;0,J1227/BD1227,-1)</f>
        <v>0.106122448979592</v>
      </c>
      <c r="BI1227" s="63" t="n">
        <f aca="false">IF(AND(OR(CG1227="L1",CG1227="L23",CG1227="LIFT"),BD1227&gt;0),SUMIFS($BD$7:$BD$1843,$CG$7:$CG$1843,CG1227,$BH$7:$BH$1843,"&gt;"&amp;BH1227)+SUMIFS($BD$7:$BD$1843,$CG$7:$CG$1843,CG1227,$BH$7:$BH$1843,BH1227,$BX$7:$BX$1843,"&lt;="&amp;BX1227),"")</f>
        <v>16948.7101855301</v>
      </c>
      <c r="BJ1227" s="70" t="n">
        <f aca="false">IF(BI1227="",0,MAX(0,MIN(1,(IF(CG1227="L1",Parameter!$H$5,IF(CG1227="L23",Parameter!$H$6+Parameter!$H$7,Parameter!$H$5+Parameter!$H$6+Parameter!$H$7))-(BI1227-BD1227))/BD1227)))</f>
        <v>1</v>
      </c>
      <c r="BK1227" s="60" t="str">
        <f aca="false">IF(AJ1227&lt;=0,"",IF(CG1227="Aussen","Aussenlager",IF(CG1227="-","Nicht im Lift",IF(AP1227&gt;=1,"Lift",IF(AP1227&lt;=0,"Aussenlager","teilweise")))))</f>
        <v>Lift</v>
      </c>
      <c r="BL1227" s="60" t="str">
        <f aca="false">IF(AT1227&lt;=0,"",IF(CG1227="Aussen","Aussenlager",IF(CG1227="-","Nicht im Lift",IF(AZ1227&gt;=1,"Lift",IF(AZ1227&lt;=0,"Aussenlager","teilweise")))))</f>
        <v>Lift</v>
      </c>
      <c r="BM1227" s="60" t="str">
        <f aca="false">IF(BD1227&lt;=0,"",IF(CG1227="Aussen","Aussenlager",IF(CG1227="-","Nicht im Lift",IF(BJ1227&gt;=1,"Lift",IF(BJ1227&lt;=0,"Aussenlager","teilweise")))))</f>
        <v>Lift</v>
      </c>
      <c r="BN1227" s="60" t="str">
        <f aca="false">IF(A1227="","",IF(BW1227=1,"Neu; ","")&amp;IF(AND(BW1227=0,BR1227&lt;0),"negativer Bestand (Export "&amp;BR1227&amp;"); ","")&amp;IF(J1227&lt;=0,"Kein Verbrauch; ","")&amp;IF(CR1227&gt;0,"Lift "&amp;W1227&amp;" lt. Liftbericht (Fach "&amp;X1227&amp;" Stk); ",IF(CB1227=1,"Gebinde geschätzt ("&amp;T1227&amp;"); ",IF(CA1227=1,"Lose – Tablare geschätzt; ","")))&amp;IF(H1227&gt;AW1227,"Überbestand "&amp;ROUND(H1227-AW1227,0)&amp;" Stk / CHF "&amp;ROUND((H1227-AW1227)*G1227,0)&amp;"; ","")&amp;IF(AND(CI1227=1,CJ1227&lt;CK1227),"MAX &lt; MB+LG; ","")&amp;IF(AND(CQ1227&gt;0,CP1227*10&gt;CQ1227),"zu hoch für Tablar; ","")&amp;IF(AND(BW1227=0,OR(CI1227=1,AB1227&lt;&gt;"",U1227&lt;&gt;"",V1227&lt;&gt;"",AC1227&lt;&gt;"")),"manuell übersteuert; ","")&amp;IF(AND(CA1227=0,R1227=0),"Gebinde unbekannt / Stellmass fehlt; ","")&amp;IF(AND(CA1227=0,N(V1227)&lt;=0,N(Q1227)&lt;=0),"Menge pro Gebinde fehlt (Ist = 1 Gebinde); ","")&amp;BV1227)</f>
        <v>negativer Bestand (Export -2); Überbestand 7 Stk / CHF 2174; </v>
      </c>
      <c r="BO1227" s="60"/>
      <c r="BP1227" s="60"/>
      <c r="BQ1227" s="67"/>
      <c r="BR1227" s="62" t="n">
        <v>-2</v>
      </c>
      <c r="BS1227" s="62" t="n">
        <v>10</v>
      </c>
      <c r="BT1227" s="61" t="n">
        <v>-621.12</v>
      </c>
      <c r="BU1227" s="62" t="n">
        <v>1</v>
      </c>
      <c r="BV1227" s="60"/>
      <c r="BW1227" s="65" t="n">
        <v>0</v>
      </c>
      <c r="BX1227" s="65" t="n">
        <v>1227</v>
      </c>
      <c r="BY1227" s="60" t="str">
        <f aca="false">IF(U1227&lt;&gt;"",UPPER(TRIM(U1227)),IF(CB1227=1,UPPER(VLOOKUP(T1227,Parameter!$I$27:$K$29,2,0)),IF(P1227="","LOSE",P1227)))</f>
        <v>S52</v>
      </c>
      <c r="BZ1227" s="62" t="n">
        <f aca="false">IF(BY1227="LOSE",1,IF(N(V1227)&gt;0,V1227,IF(CB1227=1,MAX(1,N(VLOOKUP(T1227,Parameter!$I$27:$K$29,3,0)),H1227,N(N1227)),IF(N(Q1227)&gt;0,Q1227,MAX(1,H1227)))))</f>
        <v>12</v>
      </c>
      <c r="CA1227" s="65" t="n">
        <f aca="false">IF(BY1227="LOSE",1,0)</f>
        <v>0</v>
      </c>
      <c r="CB1227" s="65" t="n">
        <f aca="false">IF(AND(U1227="",OR(P1227="",P1227="LOSE"),T1227&lt;&gt;"",N(S1227)&lt;=0,ISNUMBER(MATCH(T1227,Parameter!$I$27:$I$29,0))),1,0)</f>
        <v>0</v>
      </c>
      <c r="CC1227" s="65" t="n">
        <f aca="false">IF(CR1227&gt;0,INDEX(Parameter!$H$5:$H$7,W1227)/INDEX(Parameter!$E$5:$E$7,W1227),IF(AND(CA1227=0,N(IFERROR(VLOOKUP(BY1227,'Gebinde-Kategorie'!$A$5:$N$45,14,0),0))&gt;0),VLOOKUP(BY1227,'Gebinde-Kategorie'!$A$5:$N$45,14,0)*10+Parameter!$M$23,Parameter!$M$24))</f>
        <v>245</v>
      </c>
      <c r="CD1227" s="60" t="str">
        <f aca="false">IF(AND(Parameter!$B$19="Ja",E1227&lt;&gt;"",ISNUMBER(MATCH(E1227,Parameter!$I$35:$I$52,0))),VLOOKUP(E1227,Parameter!$I$35:$J$52,2,0),IFERROR(VLOOKUP(D1227,Parameter!$A$35:$C$64,2,0),"Nein"))</f>
        <v>2+3</v>
      </c>
      <c r="CE1227" s="64" t="n">
        <f aca="false">IF(CA1227=0,0,IF(N(S1227)&gt;0,S1227,IFERROR(VLOOKUP(D1227,Parameter!$A$35:$C$64,3,0)+0,0)))</f>
        <v>0</v>
      </c>
      <c r="CF1227" s="60" t="n">
        <f aca="false">IF(AB1227&lt;&gt;"",AB1227,AA1227)</f>
        <v>3</v>
      </c>
      <c r="CG1227" s="60" t="str">
        <f aca="false">IF(OR(CF1227=1,CF1227=2,CF1227=3),IF(Parameter!$E$27="Ja","LIFT",IF(CF1227=1,"L1","L23")),IF(CF1227="Aussen","Aussen","-"))</f>
        <v>LIFT</v>
      </c>
      <c r="CH1227" s="71" t="n">
        <f aca="false">IF(N(AC1227)&gt;0,AC1227,0)</f>
        <v>0</v>
      </c>
      <c r="CI1227" s="65" t="n">
        <f aca="false">IF(ISNUMBER(AF1227),1,0)</f>
        <v>0</v>
      </c>
      <c r="CJ1227" s="62" t="n">
        <f aca="false">N(AF1227)</f>
        <v>0</v>
      </c>
      <c r="CK1227" s="62" t="n">
        <f aca="false">N(M1227)+N(N1227)</f>
        <v>1</v>
      </c>
      <c r="CL1227" s="62" t="n">
        <f aca="false">N(M1227)</f>
        <v>0</v>
      </c>
      <c r="CM1227" s="62" t="n">
        <f aca="false">N(N1227)</f>
        <v>1</v>
      </c>
      <c r="CN1227" s="62" t="n">
        <f aca="false">ROUNDUP(H1227/BZ1227,0)</f>
        <v>1</v>
      </c>
      <c r="CO1227" s="62" t="n">
        <f aca="false">ROUNDUP(CJ1227/BZ1227,0)</f>
        <v>0</v>
      </c>
      <c r="CP1227" s="65" t="n">
        <f aca="false">IF(CA1227=1,0,IFERROR(VLOOKUP(BY1227,'Gebinde-Kategorie'!$A$5:$N$45,5,0)+0,0))</f>
        <v>21</v>
      </c>
      <c r="CQ1227" s="65" t="n">
        <f aca="false">IFERROR(IF(OR(CF1227=1,CF1227=2,CF1227=3),N(INDEX(Parameter!$I$5:$I$7,CF1227)),0),0)</f>
        <v>0</v>
      </c>
      <c r="CR1227" s="64" t="n">
        <f aca="false">IF(AND(Parameter!$B$21="Ja",ISNUMBER(W1227),N(X1227)&gt;0),IFERROR(N(INDEX(Parameter!$L$5:$L$7,W1227))*INDEX(Parameter!$E$5:$E$7,W1227)*X1227/SUMIFS($X$7:$X$1843,$W$7:$W$1843,W1227),0),0)</f>
        <v>0</v>
      </c>
      <c r="CS1227" s="62" t="n">
        <f aca="false">IF(AND(OR(CG1227="L1",CG1227="L23",CG1227="LIFT"),H1227&gt;0),CC1227*IF(CR1227&gt;0,CR1227*MAX(1,H1227/X1227),IF(CA1227=1,CE1227,IF(R1227&gt;0,CN1227/R1227,0))/MAX(0.1,N(Parameter!$M$21))),"")</f>
        <v>9.42307692307692</v>
      </c>
      <c r="CT1227" s="64" t="n">
        <f aca="false">IF(CS1227="","",J1227/H1227)</f>
        <v>0.125</v>
      </c>
      <c r="CU1227" s="62" t="n">
        <f aca="false">IF(CS1227="","",H1227*G1227)</f>
        <v>2484.48</v>
      </c>
      <c r="CV1227" s="63" t="n">
        <f aca="false">IF(CS1227="","",(CL1227+ROUNDUP(CL1227+MAX(CM1227,2*(J1227/MAX(0.1,N(Einkauf!$C$6))-CL1227)),0))/2)</f>
        <v>0.5</v>
      </c>
      <c r="CW1227" s="62" t="n">
        <f aca="false">IF(CS1227="","",MAX(0,H1227-CV1227)*G1227)</f>
        <v>2329.2</v>
      </c>
      <c r="CX1227" s="62" t="n">
        <f aca="false">IF(CS1227="","",CS1227*MAX(0,1-CV1227/H1227))</f>
        <v>8.83413461538462</v>
      </c>
      <c r="CY1227" s="64" t="n">
        <f aca="false">IF(CS1227="","",PERCENTRANK($CS$7:$CS$1843,CS1227)+PERCENTRANK($CU$7:$CU$1843,CU1227)+1-PERCENTRANK($CT$7:$CT$1843,CT1227))</f>
        <v>1.941</v>
      </c>
      <c r="CZ1227" s="72" t="n">
        <f aca="false">IF(CS1227="","",CHOOSE(MATCH(Einkauf!$C$5,Parameter!$G$23:$G$27,0),CY1227,CS1227,CU1227,-CT1227,CW1227)+ROW()/1000000000)</f>
        <v>1.941001227</v>
      </c>
    </row>
    <row r="1228" customFormat="false" ht="15" hidden="false" customHeight="false" outlineLevel="0" collapsed="false">
      <c r="A1228" s="60" t="s">
        <v>2241</v>
      </c>
      <c r="B1228" s="60" t="s">
        <v>547</v>
      </c>
      <c r="C1228" s="60" t="s">
        <v>206</v>
      </c>
      <c r="D1228" s="60" t="s">
        <v>226</v>
      </c>
      <c r="E1228" s="60" t="s">
        <v>227</v>
      </c>
      <c r="F1228" s="60" t="s">
        <v>260</v>
      </c>
      <c r="G1228" s="61" t="n">
        <v>24</v>
      </c>
      <c r="H1228" s="62" t="n">
        <f aca="false">MAX(0,IF(AND(Parameter!$B$21="Ja",ISNUMBER(Y1228)),Y1228,IF(Parameter!$B$20="Jahresanfang 2025 + Export",BS1228+BR1228,BR1228)))</f>
        <v>28</v>
      </c>
      <c r="I1228" s="62" t="n">
        <f aca="false">H1228*G1228</f>
        <v>672</v>
      </c>
      <c r="J1228" s="62" t="n">
        <f aca="false">BU1228*Parameter!$B$18</f>
        <v>43</v>
      </c>
      <c r="K1228" s="63" t="n">
        <v>32</v>
      </c>
      <c r="L1228" s="64" t="n">
        <v>1.34375</v>
      </c>
      <c r="M1228" s="62" t="n">
        <v>4</v>
      </c>
      <c r="N1228" s="62" t="n">
        <v>45</v>
      </c>
      <c r="O1228" s="65" t="n">
        <v>35</v>
      </c>
      <c r="P1228" s="60" t="s">
        <v>275</v>
      </c>
      <c r="Q1228" s="62" t="n">
        <v>40</v>
      </c>
      <c r="R1228" s="65" t="n">
        <f aca="false">IF(CA1228=1,0,IFERROR(VLOOKUP(BY1228,'Gebinde-Kategorie'!$A$5:$N$45,13,0)+0,0))</f>
        <v>26</v>
      </c>
      <c r="S1228" s="66"/>
      <c r="T1228" s="67"/>
      <c r="U1228" s="67"/>
      <c r="V1228" s="67"/>
      <c r="W1228" s="60"/>
      <c r="X1228" s="62"/>
      <c r="Y1228" s="62"/>
      <c r="Z1228" s="60" t="n">
        <v>3</v>
      </c>
      <c r="AA1228" s="60" t="n">
        <f aca="false">IF(A1228="","",IF(AND(Parameter!$B$21="Ja",ISNUMBER(W1228)),W1228,IF(AND(Parameter!$E$27="Ja",ISNUMBER(Z1228),CD1228&lt;&gt;"Nein"),Z1228,IF(CD1228="2+3",IF(ISNUMBER(SEARCH("grosser Artikel",BV1228)),2,IFERROR(VLOOKUP(BY1228,Parameter!$F$35:$G$64,2,0),2)),IF(OR(CD1228="Nein",CD1228=""),"-",CD1228)))))</f>
        <v>3</v>
      </c>
      <c r="AB1228" s="67"/>
      <c r="AC1228" s="68"/>
      <c r="AD1228" s="62" t="n">
        <f aca="false">AW1228</f>
        <v>49</v>
      </c>
      <c r="AE1228" s="62" t="n">
        <f aca="false">MAX(AW1228,H1228)</f>
        <v>49</v>
      </c>
      <c r="AF1228" s="69"/>
      <c r="AG1228" s="62" t="n">
        <f aca="false">IF(LEFT(Cockpit!$C$5,1)="A",H1228,IF(Parameter!$E$30="MAX-Bestand",IF(CI1228=1,CJ1228,IF(LEFT(Cockpit!$C$5,1)="B",AM1228,MAX(AM1228,H1228))),ROUNDUP(AK1228,0)))</f>
        <v>28</v>
      </c>
      <c r="AH1228" s="62" t="n">
        <f aca="false">IF(CA1228=1,0,ROUNDUP(AG1228/BZ1228,0))</f>
        <v>1</v>
      </c>
      <c r="AI1228" s="64" t="n">
        <f aca="false">IF(CR1228&gt;0,CR1228*MAX(1,AG1228/X1228),IF(CA1228=1,IF(AG1228&lt;=0,0,CE1228*MAX(1,IF(H1228&gt;0,AG1228/H1228,1))),IF(R1228&gt;0,AH1228/R1228,0))/MAX(0.1,N(Parameter!$M$21)))</f>
        <v>0.0384615384615385</v>
      </c>
      <c r="AJ1228" s="62" t="n">
        <f aca="false">AI1228*CC1228</f>
        <v>9.42307692307692</v>
      </c>
      <c r="AK1228" s="63" t="n">
        <f aca="false">IF(LEFT(Cockpit!$C$5,1)="A",H1228,IF(CI1228=1,(CL1228+CJ1228)/2,IF(LEFT(Cockpit!$C$5,1)="B",(CL1228+AM1228)/2,MAX((CL1228+AM1228)/2,H1228))))</f>
        <v>28</v>
      </c>
      <c r="AL1228" s="62" t="n">
        <f aca="false">AK1228*G1228</f>
        <v>672</v>
      </c>
      <c r="AM1228" s="62" t="n">
        <f aca="false">ROUNDUP(CL1228+MAX(CM1228,2*(J1228/IF(CH1228&gt;0,CH1228,MAX(0.1,N(Cockpit!$C$6)))-CL1228)),0)</f>
        <v>49</v>
      </c>
      <c r="AN1228" s="63" t="n">
        <f aca="false">IF(AJ1228&gt;0,J1228/AJ1228,-1)</f>
        <v>4.56326530612245</v>
      </c>
      <c r="AO1228" s="63" t="n">
        <f aca="false">IF(AND(OR(CG1228="L1",CG1228="L23",CG1228="LIFT"),AJ1228&gt;0),SUMIFS($AJ$7:$AJ$1843,$CG$7:$CG$1843,CG1228,$AN$7:$AN$1843,"&gt;"&amp;AN1228)+SUMIFS($AJ$7:$AJ$1843,$CG$7:$CG$1843,CG1228,$AN$7:$AN$1843,AN1228,$BX$7:$BX$1843,"&lt;="&amp;BX1228),"")</f>
        <v>4129.88965201465</v>
      </c>
      <c r="AP1228" s="70" t="n">
        <f aca="false">IF(AO1228="",0,MAX(0,MIN(1,(IF(CG1228="L1",Parameter!$H$5,IF(CG1228="L23",Parameter!$H$6+Parameter!$H$7,Parameter!$H$5+Parameter!$H$6+Parameter!$H$7))-(AO1228-AJ1228))/AJ1228)))</f>
        <v>1</v>
      </c>
      <c r="AQ1228" s="62" t="n">
        <f aca="false">IF(LEFT(Cockpit!$I$5,1)="A",H1228,IF(Parameter!$E$30="MAX-Bestand",IF(CI1228=1,CJ1228,IF(LEFT(Cockpit!$I$5,1)="B",AW1228,MAX(AW1228,H1228))),ROUNDUP(AU1228,0)))</f>
        <v>28</v>
      </c>
      <c r="AR1228" s="62" t="n">
        <f aca="false">IF(CA1228=1,0,ROUNDUP(AQ1228/BZ1228,0))</f>
        <v>1</v>
      </c>
      <c r="AS1228" s="64" t="n">
        <f aca="false">IF(CR1228&gt;0,CR1228*MAX(1,AQ1228/X1228),IF(CA1228=1,IF(AQ1228&lt;=0,0,CE1228*MAX(1,IF(H1228&gt;0,AQ1228/H1228,1))),IF(R1228&gt;0,AR1228/R1228,0))/MAX(0.1,N(Parameter!$M$21)))</f>
        <v>0.0384615384615385</v>
      </c>
      <c r="AT1228" s="62" t="n">
        <f aca="false">AS1228*CC1228</f>
        <v>9.42307692307692</v>
      </c>
      <c r="AU1228" s="63" t="n">
        <f aca="false">IF(LEFT(Cockpit!$I$5,1)="A",H1228,IF(CI1228=1,(CL1228+CJ1228)/2,IF(LEFT(Cockpit!$I$5,1)="B",(CL1228+AW1228)/2,MAX((CL1228+AW1228)/2,H1228))))</f>
        <v>28</v>
      </c>
      <c r="AV1228" s="62" t="n">
        <f aca="false">AU1228*G1228</f>
        <v>672</v>
      </c>
      <c r="AW1228" s="62" t="n">
        <f aca="false">ROUNDUP(CL1228+MAX(CM1228,2*(J1228/IF(CH1228&gt;0,CH1228,MAX(0.1,N(Cockpit!$I$6)))-CL1228)),0)</f>
        <v>49</v>
      </c>
      <c r="AX1228" s="63" t="n">
        <f aca="false">IF(AT1228&gt;0,J1228/AT1228,-1)</f>
        <v>4.56326530612245</v>
      </c>
      <c r="AY1228" s="63" t="n">
        <f aca="false">IF(AND(OR(CG1228="L1",CG1228="L23",CG1228="LIFT"),AT1228&gt;0),SUMIFS($AT$7:$AT$1843,$CG$7:$CG$1843,CG1228,$AX$7:$AX$1843,"&gt;"&amp;AX1228)+SUMIFS($AT$7:$AT$1843,$CG$7:$CG$1843,CG1228,$AX$7:$AX$1843,AX1228,$BX$7:$BX$1843,"&lt;="&amp;BX1228),"")</f>
        <v>4726.13049450549</v>
      </c>
      <c r="AZ1228" s="70" t="n">
        <f aca="false">IF(AY1228="",0,MAX(0,MIN(1,(IF(CG1228="L1",Parameter!$H$5,IF(CG1228="L23",Parameter!$H$6+Parameter!$H$7,Parameter!$H$5+Parameter!$H$6+Parameter!$H$7))-(AY1228-AT1228))/AT1228)))</f>
        <v>1</v>
      </c>
      <c r="BA1228" s="62" t="n">
        <f aca="false">IF(LEFT(Cockpit!$O$5,1)="A",H1228,IF(Parameter!$E$30="MAX-Bestand",IF(CI1228=1,CJ1228,IF(LEFT(Cockpit!$O$5,1)="B",BG1228,MAX(BG1228,H1228))),ROUNDUP(BE1228,0)))</f>
        <v>27</v>
      </c>
      <c r="BB1228" s="62" t="n">
        <f aca="false">IF(CA1228=1,0,ROUNDUP(BA1228/BZ1228,0))</f>
        <v>1</v>
      </c>
      <c r="BC1228" s="64" t="n">
        <f aca="false">IF(CR1228&gt;0,CR1228*MAX(1,BA1228/X1228),IF(CA1228=1,IF(BA1228&lt;=0,0,CE1228*MAX(1,IF(H1228&gt;0,BA1228/H1228,1))),IF(R1228&gt;0,BB1228/R1228,0))/MAX(0.1,N(Parameter!$M$21)))</f>
        <v>0.0384615384615385</v>
      </c>
      <c r="BD1228" s="62" t="n">
        <f aca="false">BC1228*CC1228</f>
        <v>9.42307692307692</v>
      </c>
      <c r="BE1228" s="63" t="n">
        <f aca="false">IF(LEFT(Cockpit!$O$5,1)="A",H1228,IF(CI1228=1,(CL1228+CJ1228)/2,IF(LEFT(Cockpit!$O$5,1)="B",(CL1228+BG1228)/2,MAX((CL1228+BG1228)/2,H1228))))</f>
        <v>26.5</v>
      </c>
      <c r="BF1228" s="62" t="n">
        <f aca="false">BE1228*G1228</f>
        <v>636</v>
      </c>
      <c r="BG1228" s="62" t="n">
        <f aca="false">ROUNDUP(CL1228+MAX(CM1228,2*(J1228/IF(CH1228&gt;0,CH1228,MAX(0.1,N(Cockpit!$O$6)))-CL1228)),0)</f>
        <v>49</v>
      </c>
      <c r="BH1228" s="63" t="n">
        <f aca="false">IF(BD1228&gt;0,J1228/BD1228,-1)</f>
        <v>4.56326530612245</v>
      </c>
      <c r="BI1228" s="63" t="n">
        <f aca="false">IF(AND(OR(CG1228="L1",CG1228="L23",CG1228="LIFT"),BD1228&gt;0),SUMIFS($BD$7:$BD$1843,$CG$7:$CG$1843,CG1228,$BH$7:$BH$1843,"&gt;"&amp;BH1228)+SUMIFS($BD$7:$BD$1843,$CG$7:$CG$1843,CG1228,$BH$7:$BH$1843,BH1228,$BX$7:$BX$1843,"&lt;="&amp;BX1228),"")</f>
        <v>3893.81318681319</v>
      </c>
      <c r="BJ1228" s="70" t="n">
        <f aca="false">IF(BI1228="",0,MAX(0,MIN(1,(IF(CG1228="L1",Parameter!$H$5,IF(CG1228="L23",Parameter!$H$6+Parameter!$H$7,Parameter!$H$5+Parameter!$H$6+Parameter!$H$7))-(BI1228-BD1228))/BD1228)))</f>
        <v>1</v>
      </c>
      <c r="BK1228" s="60" t="str">
        <f aca="false">IF(AJ1228&lt;=0,"",IF(CG1228="Aussen","Aussenlager",IF(CG1228="-","Nicht im Lift",IF(AP1228&gt;=1,"Lift",IF(AP1228&lt;=0,"Aussenlager","teilweise")))))</f>
        <v>Lift</v>
      </c>
      <c r="BL1228" s="60" t="str">
        <f aca="false">IF(AT1228&lt;=0,"",IF(CG1228="Aussen","Aussenlager",IF(CG1228="-","Nicht im Lift",IF(AZ1228&gt;=1,"Lift",IF(AZ1228&lt;=0,"Aussenlager","teilweise")))))</f>
        <v>Lift</v>
      </c>
      <c r="BM1228" s="60" t="str">
        <f aca="false">IF(BD1228&lt;=0,"",IF(CG1228="Aussen","Aussenlager",IF(CG1228="-","Nicht im Lift",IF(BJ1228&gt;=1,"Lift",IF(BJ1228&lt;=0,"Aussenlager","teilweise")))))</f>
        <v>Lift</v>
      </c>
      <c r="BN1228" s="60" t="str">
        <f aca="false">IF(A1228="","",IF(BW1228=1,"Neu; ","")&amp;IF(AND(BW1228=0,BR1228&lt;0),"negativer Bestand (Export "&amp;BR1228&amp;"); ","")&amp;IF(J1228&lt;=0,"Kein Verbrauch; ","")&amp;IF(CR1228&gt;0,"Lift "&amp;W1228&amp;" lt. Liftbericht (Fach "&amp;X1228&amp;" Stk); ",IF(CB1228=1,"Gebinde geschätzt ("&amp;T1228&amp;"); ",IF(CA1228=1,"Lose – Tablare geschätzt; ","")))&amp;IF(H1228&gt;AW1228,"Überbestand "&amp;ROUND(H1228-AW1228,0)&amp;" Stk / CHF "&amp;ROUND((H1228-AW1228)*G1228,0)&amp;"; ","")&amp;IF(AND(CI1228=1,CJ1228&lt;CK1228),"MAX &lt; MB+LG; ","")&amp;IF(AND(CQ1228&gt;0,CP1228*10&gt;CQ1228),"zu hoch für Tablar; ","")&amp;IF(AND(BW1228=0,OR(CI1228=1,AB1228&lt;&gt;"",U1228&lt;&gt;"",V1228&lt;&gt;"",AC1228&lt;&gt;"")),"manuell übersteuert; ","")&amp;IF(AND(CA1228=0,R1228=0),"Gebinde unbekannt / Stellmass fehlt; ","")&amp;IF(AND(CA1228=0,N(V1228)&lt;=0,N(Q1228)&lt;=0),"Menge pro Gebinde fehlt (Ist = 1 Gebinde); ","")&amp;BV1228)</f>
        <v>negativer Bestand (Export -26); </v>
      </c>
      <c r="BO1228" s="60"/>
      <c r="BP1228" s="60"/>
      <c r="BQ1228" s="67"/>
      <c r="BR1228" s="62" t="n">
        <v>-26</v>
      </c>
      <c r="BS1228" s="62" t="n">
        <v>54</v>
      </c>
      <c r="BT1228" s="61" t="n">
        <v>-623.46</v>
      </c>
      <c r="BU1228" s="62" t="n">
        <v>43</v>
      </c>
      <c r="BV1228" s="60"/>
      <c r="BW1228" s="65" t="n">
        <v>0</v>
      </c>
      <c r="BX1228" s="65" t="n">
        <v>1228</v>
      </c>
      <c r="BY1228" s="60" t="str">
        <f aca="false">IF(U1228&lt;&gt;"",UPPER(TRIM(U1228)),IF(CB1228=1,UPPER(VLOOKUP(T1228,Parameter!$I$27:$K$29,2,0)),IF(P1228="","LOSE",P1228)))</f>
        <v>S52</v>
      </c>
      <c r="BZ1228" s="62" t="n">
        <f aca="false">IF(BY1228="LOSE",1,IF(N(V1228)&gt;0,V1228,IF(CB1228=1,MAX(1,N(VLOOKUP(T1228,Parameter!$I$27:$K$29,3,0)),H1228,N(N1228)),IF(N(Q1228)&gt;0,Q1228,MAX(1,H1228)))))</f>
        <v>40</v>
      </c>
      <c r="CA1228" s="65" t="n">
        <f aca="false">IF(BY1228="LOSE",1,0)</f>
        <v>0</v>
      </c>
      <c r="CB1228" s="65" t="n">
        <f aca="false">IF(AND(U1228="",OR(P1228="",P1228="LOSE"),T1228&lt;&gt;"",N(S1228)&lt;=0,ISNUMBER(MATCH(T1228,Parameter!$I$27:$I$29,0))),1,0)</f>
        <v>0</v>
      </c>
      <c r="CC1228" s="65" t="n">
        <f aca="false">IF(CR1228&gt;0,INDEX(Parameter!$H$5:$H$7,W1228)/INDEX(Parameter!$E$5:$E$7,W1228),IF(AND(CA1228=0,N(IFERROR(VLOOKUP(BY1228,'Gebinde-Kategorie'!$A$5:$N$45,14,0),0))&gt;0),VLOOKUP(BY1228,'Gebinde-Kategorie'!$A$5:$N$45,14,0)*10+Parameter!$M$23,Parameter!$M$24))</f>
        <v>245</v>
      </c>
      <c r="CD1228" s="60" t="str">
        <f aca="false">IF(AND(Parameter!$B$19="Ja",E1228&lt;&gt;"",ISNUMBER(MATCH(E1228,Parameter!$I$35:$I$52,0))),VLOOKUP(E1228,Parameter!$I$35:$J$52,2,0),IFERROR(VLOOKUP(D1228,Parameter!$A$35:$C$64,2,0),"Nein"))</f>
        <v>2+3</v>
      </c>
      <c r="CE1228" s="64" t="n">
        <f aca="false">IF(CA1228=0,0,IF(N(S1228)&gt;0,S1228,IFERROR(VLOOKUP(D1228,Parameter!$A$35:$C$64,3,0)+0,0)))</f>
        <v>0</v>
      </c>
      <c r="CF1228" s="60" t="n">
        <f aca="false">IF(AB1228&lt;&gt;"",AB1228,AA1228)</f>
        <v>3</v>
      </c>
      <c r="CG1228" s="60" t="str">
        <f aca="false">IF(OR(CF1228=1,CF1228=2,CF1228=3),IF(Parameter!$E$27="Ja","LIFT",IF(CF1228=1,"L1","L23")),IF(CF1228="Aussen","Aussen","-"))</f>
        <v>LIFT</v>
      </c>
      <c r="CH1228" s="71" t="n">
        <f aca="false">IF(N(AC1228)&gt;0,AC1228,0)</f>
        <v>0</v>
      </c>
      <c r="CI1228" s="65" t="n">
        <f aca="false">IF(ISNUMBER(AF1228),1,0)</f>
        <v>0</v>
      </c>
      <c r="CJ1228" s="62" t="n">
        <f aca="false">N(AF1228)</f>
        <v>0</v>
      </c>
      <c r="CK1228" s="62" t="n">
        <f aca="false">N(M1228)+N(N1228)</f>
        <v>49</v>
      </c>
      <c r="CL1228" s="62" t="n">
        <f aca="false">N(M1228)</f>
        <v>4</v>
      </c>
      <c r="CM1228" s="62" t="n">
        <f aca="false">N(N1228)</f>
        <v>45</v>
      </c>
      <c r="CN1228" s="62" t="n">
        <f aca="false">ROUNDUP(H1228/BZ1228,0)</f>
        <v>1</v>
      </c>
      <c r="CO1228" s="62" t="n">
        <f aca="false">ROUNDUP(CJ1228/BZ1228,0)</f>
        <v>0</v>
      </c>
      <c r="CP1228" s="65" t="n">
        <f aca="false">IF(CA1228=1,0,IFERROR(VLOOKUP(BY1228,'Gebinde-Kategorie'!$A$5:$N$45,5,0)+0,0))</f>
        <v>21</v>
      </c>
      <c r="CQ1228" s="65" t="n">
        <f aca="false">IFERROR(IF(OR(CF1228=1,CF1228=2,CF1228=3),N(INDEX(Parameter!$I$5:$I$7,CF1228)),0),0)</f>
        <v>0</v>
      </c>
      <c r="CR1228" s="64" t="n">
        <f aca="false">IF(AND(Parameter!$B$21="Ja",ISNUMBER(W1228),N(X1228)&gt;0),IFERROR(N(INDEX(Parameter!$L$5:$L$7,W1228))*INDEX(Parameter!$E$5:$E$7,W1228)*X1228/SUMIFS($X$7:$X$1843,$W$7:$W$1843,W1228),0),0)</f>
        <v>0</v>
      </c>
      <c r="CS1228" s="62" t="n">
        <f aca="false">IF(AND(OR(CG1228="L1",CG1228="L23",CG1228="LIFT"),H1228&gt;0),CC1228*IF(CR1228&gt;0,CR1228*MAX(1,H1228/X1228),IF(CA1228=1,CE1228,IF(R1228&gt;0,CN1228/R1228,0))/MAX(0.1,N(Parameter!$M$21))),"")</f>
        <v>9.42307692307692</v>
      </c>
      <c r="CT1228" s="64" t="n">
        <f aca="false">IF(CS1228="","",J1228/H1228)</f>
        <v>1.53571428571429</v>
      </c>
      <c r="CU1228" s="62" t="n">
        <f aca="false">IF(CS1228="","",H1228*G1228)</f>
        <v>672</v>
      </c>
      <c r="CV1228" s="63" t="n">
        <f aca="false">IF(CS1228="","",(CL1228+ROUNDUP(CL1228+MAX(CM1228,2*(J1228/MAX(0.1,N(Einkauf!$C$6))-CL1228)),0))/2)</f>
        <v>26.5</v>
      </c>
      <c r="CW1228" s="62" t="n">
        <f aca="false">IF(CS1228="","",MAX(0,H1228-CV1228)*G1228)</f>
        <v>36</v>
      </c>
      <c r="CX1228" s="62" t="n">
        <f aca="false">IF(CS1228="","",CS1228*MAX(0,1-CV1228/H1228))</f>
        <v>0.504807692307693</v>
      </c>
      <c r="CY1228" s="64" t="n">
        <f aca="false">IF(CS1228="","",PERCENTRANK($CS$7:$CS$1843,CS1228)+PERCENTRANK($CU$7:$CU$1843,CU1228)+1-PERCENTRANK($CT$7:$CT$1843,CT1228))</f>
        <v>1.381</v>
      </c>
      <c r="CZ1228" s="72" t="n">
        <f aca="false">IF(CS1228="","",CHOOSE(MATCH(Einkauf!$C$5,Parameter!$G$23:$G$27,0),CY1228,CS1228,CU1228,-CT1228,CW1228)+ROW()/1000000000)</f>
        <v>1.381001228</v>
      </c>
    </row>
    <row r="1229" customFormat="false" ht="15" hidden="false" customHeight="false" outlineLevel="0" collapsed="false">
      <c r="A1229" s="60" t="s">
        <v>2242</v>
      </c>
      <c r="B1229" s="60" t="s">
        <v>2243</v>
      </c>
      <c r="C1229" s="60" t="s">
        <v>498</v>
      </c>
      <c r="D1229" s="60" t="s">
        <v>215</v>
      </c>
      <c r="E1229" s="60" t="s">
        <v>1521</v>
      </c>
      <c r="F1229" s="60" t="s">
        <v>260</v>
      </c>
      <c r="G1229" s="61" t="n">
        <v>160.38</v>
      </c>
      <c r="H1229" s="62" t="n">
        <f aca="false">MAX(0,IF(AND(Parameter!$B$21="Ja",ISNUMBER(Y1229)),Y1229,IF(Parameter!$B$20="Jahresanfang 2025 + Export",BS1229+BR1229,BR1229)))</f>
        <v>0</v>
      </c>
      <c r="I1229" s="62" t="n">
        <f aca="false">H1229*G1229</f>
        <v>0</v>
      </c>
      <c r="J1229" s="62" t="n">
        <f aca="false">BU1229*Parameter!$B$18</f>
        <v>0</v>
      </c>
      <c r="K1229" s="63" t="n">
        <v>2</v>
      </c>
      <c r="L1229" s="64" t="n">
        <v>0</v>
      </c>
      <c r="M1229" s="62" t="n">
        <v>0</v>
      </c>
      <c r="N1229" s="62" t="n">
        <v>1</v>
      </c>
      <c r="O1229" s="65" t="n">
        <v>56</v>
      </c>
      <c r="P1229" s="60" t="s">
        <v>210</v>
      </c>
      <c r="Q1229" s="62"/>
      <c r="R1229" s="65" t="n">
        <f aca="false">IF(CA1229=1,0,IFERROR(VLOOKUP(BY1229,'Gebinde-Kategorie'!$A$5:$N$45,13,0)+0,0))</f>
        <v>4</v>
      </c>
      <c r="S1229" s="66"/>
      <c r="T1229" s="67" t="s">
        <v>231</v>
      </c>
      <c r="U1229" s="67"/>
      <c r="V1229" s="67"/>
      <c r="W1229" s="60"/>
      <c r="X1229" s="62"/>
      <c r="Y1229" s="62"/>
      <c r="Z1229" s="60"/>
      <c r="AA1229" s="60" t="str">
        <f aca="false">IF(A1229="","",IF(AND(Parameter!$B$21="Ja",ISNUMBER(W1229)),W1229,IF(AND(Parameter!$E$27="Ja",ISNUMBER(Z1229),CD1229&lt;&gt;"Nein"),Z1229,IF(CD1229="2+3",IF(ISNUMBER(SEARCH("grosser Artikel",BV1229)),2,IFERROR(VLOOKUP(BY1229,Parameter!$F$35:$G$64,2,0),2)),IF(OR(CD1229="Nein",CD1229=""),"-",CD1229)))))</f>
        <v>-</v>
      </c>
      <c r="AB1229" s="67"/>
      <c r="AC1229" s="68"/>
      <c r="AD1229" s="62" t="n">
        <f aca="false">AW1229</f>
        <v>1</v>
      </c>
      <c r="AE1229" s="62" t="n">
        <f aca="false">MAX(AW1229,H1229)</f>
        <v>1</v>
      </c>
      <c r="AF1229" s="69"/>
      <c r="AG1229" s="62" t="n">
        <f aca="false">IF(LEFT(Cockpit!$C$5,1)="A",H1229,IF(Parameter!$E$30="MAX-Bestand",IF(CI1229=1,CJ1229,IF(LEFT(Cockpit!$C$5,1)="B",AM1229,MAX(AM1229,H1229))),ROUNDUP(AK1229,0)))</f>
        <v>0</v>
      </c>
      <c r="AH1229" s="62" t="n">
        <f aca="false">IF(CA1229=1,0,ROUNDUP(AG1229/BZ1229,0))</f>
        <v>0</v>
      </c>
      <c r="AI1229" s="64" t="n">
        <f aca="false">IF(CR1229&gt;0,CR1229*MAX(1,AG1229/X1229),IF(CA1229=1,IF(AG1229&lt;=0,0,CE1229*MAX(1,IF(H1229&gt;0,AG1229/H1229,1))),IF(R1229&gt;0,AH1229/R1229,0))/MAX(0.1,N(Parameter!$M$21)))</f>
        <v>0</v>
      </c>
      <c r="AJ1229" s="62" t="n">
        <f aca="false">AI1229*CC1229</f>
        <v>0</v>
      </c>
      <c r="AK1229" s="63" t="n">
        <f aca="false">IF(LEFT(Cockpit!$C$5,1)="A",H1229,IF(CI1229=1,(CL1229+CJ1229)/2,IF(LEFT(Cockpit!$C$5,1)="B",(CL1229+AM1229)/2,MAX((CL1229+AM1229)/2,H1229))))</f>
        <v>0</v>
      </c>
      <c r="AL1229" s="62" t="n">
        <f aca="false">AK1229*G1229</f>
        <v>0</v>
      </c>
      <c r="AM1229" s="62" t="n">
        <f aca="false">ROUNDUP(CL1229+MAX(CM1229,2*(J1229/IF(CH1229&gt;0,CH1229,MAX(0.1,N(Cockpit!$C$6)))-CL1229)),0)</f>
        <v>1</v>
      </c>
      <c r="AN1229" s="63" t="n">
        <f aca="false">IF(AJ1229&gt;0,J1229/AJ1229,-1)</f>
        <v>-1</v>
      </c>
      <c r="AO1229" s="63" t="str">
        <f aca="false">IF(AND(OR(CG1229="L1",CG1229="L23",CG1229="LIFT"),AJ1229&gt;0),SUMIFS($AJ$7:$AJ$1843,$CG$7:$CG$1843,CG1229,$AN$7:$AN$1843,"&gt;"&amp;AN1229)+SUMIFS($AJ$7:$AJ$1843,$CG$7:$CG$1843,CG1229,$AN$7:$AN$1843,AN1229,$BX$7:$BX$1843,"&lt;="&amp;BX1229),"")</f>
        <v/>
      </c>
      <c r="AP1229" s="70" t="n">
        <f aca="false">IF(AO1229="",0,MAX(0,MIN(1,(IF(CG1229="L1",Parameter!$H$5,IF(CG1229="L23",Parameter!$H$6+Parameter!$H$7,Parameter!$H$5+Parameter!$H$6+Parameter!$H$7))-(AO1229-AJ1229))/AJ1229)))</f>
        <v>0</v>
      </c>
      <c r="AQ1229" s="62" t="n">
        <f aca="false">IF(LEFT(Cockpit!$I$5,1)="A",H1229,IF(Parameter!$E$30="MAX-Bestand",IF(CI1229=1,CJ1229,IF(LEFT(Cockpit!$I$5,1)="B",AW1229,MAX(AW1229,H1229))),ROUNDUP(AU1229,0)))</f>
        <v>1</v>
      </c>
      <c r="AR1229" s="62" t="n">
        <f aca="false">IF(CA1229=1,0,ROUNDUP(AQ1229/BZ1229,0))</f>
        <v>1</v>
      </c>
      <c r="AS1229" s="64" t="n">
        <f aca="false">IF(CR1229&gt;0,CR1229*MAX(1,AQ1229/X1229),IF(CA1229=1,IF(AQ1229&lt;=0,0,CE1229*MAX(1,IF(H1229&gt;0,AQ1229/H1229,1))),IF(R1229&gt;0,AR1229/R1229,0))/MAX(0.1,N(Parameter!$M$21)))</f>
        <v>0.25</v>
      </c>
      <c r="AT1229" s="62" t="n">
        <f aca="false">AS1229*CC1229</f>
        <v>58.75</v>
      </c>
      <c r="AU1229" s="63" t="n">
        <f aca="false">IF(LEFT(Cockpit!$I$5,1)="A",H1229,IF(CI1229=1,(CL1229+CJ1229)/2,IF(LEFT(Cockpit!$I$5,1)="B",(CL1229+AW1229)/2,MAX((CL1229+AW1229)/2,H1229))))</f>
        <v>0.5</v>
      </c>
      <c r="AV1229" s="62" t="n">
        <f aca="false">AU1229*G1229</f>
        <v>80.19</v>
      </c>
      <c r="AW1229" s="62" t="n">
        <f aca="false">ROUNDUP(CL1229+MAX(CM1229,2*(J1229/IF(CH1229&gt;0,CH1229,MAX(0.1,N(Cockpit!$I$6)))-CL1229)),0)</f>
        <v>1</v>
      </c>
      <c r="AX1229" s="63" t="n">
        <f aca="false">IF(AT1229&gt;0,J1229/AT1229,-1)</f>
        <v>0</v>
      </c>
      <c r="AY1229" s="63" t="str">
        <f aca="false">IF(AND(OR(CG1229="L1",CG1229="L23",CG1229="LIFT"),AT1229&gt;0),SUMIFS($AT$7:$AT$1843,$CG$7:$CG$1843,CG1229,$AX$7:$AX$1843,"&gt;"&amp;AX1229)+SUMIFS($AT$7:$AT$1843,$CG$7:$CG$1843,CG1229,$AX$7:$AX$1843,AX1229,$BX$7:$BX$1843,"&lt;="&amp;BX1229),"")</f>
        <v/>
      </c>
      <c r="AZ1229" s="70" t="n">
        <f aca="false">IF(AY1229="",0,MAX(0,MIN(1,(IF(CG1229="L1",Parameter!$H$5,IF(CG1229="L23",Parameter!$H$6+Parameter!$H$7,Parameter!$H$5+Parameter!$H$6+Parameter!$H$7))-(AY1229-AT1229))/AT1229)))</f>
        <v>0</v>
      </c>
      <c r="BA1229" s="62" t="n">
        <f aca="false">IF(LEFT(Cockpit!$O$5,1)="A",H1229,IF(Parameter!$E$30="MAX-Bestand",IF(CI1229=1,CJ1229,IF(LEFT(Cockpit!$O$5,1)="B",BG1229,MAX(BG1229,H1229))),ROUNDUP(BE1229,0)))</f>
        <v>1</v>
      </c>
      <c r="BB1229" s="62" t="n">
        <f aca="false">IF(CA1229=1,0,ROUNDUP(BA1229/BZ1229,0))</f>
        <v>1</v>
      </c>
      <c r="BC1229" s="64" t="n">
        <f aca="false">IF(CR1229&gt;0,CR1229*MAX(1,BA1229/X1229),IF(CA1229=1,IF(BA1229&lt;=0,0,CE1229*MAX(1,IF(H1229&gt;0,BA1229/H1229,1))),IF(R1229&gt;0,BB1229/R1229,0))/MAX(0.1,N(Parameter!$M$21)))</f>
        <v>0.25</v>
      </c>
      <c r="BD1229" s="62" t="n">
        <f aca="false">BC1229*CC1229</f>
        <v>58.75</v>
      </c>
      <c r="BE1229" s="63" t="n">
        <f aca="false">IF(LEFT(Cockpit!$O$5,1)="A",H1229,IF(CI1229=1,(CL1229+CJ1229)/2,IF(LEFT(Cockpit!$O$5,1)="B",(CL1229+BG1229)/2,MAX((CL1229+BG1229)/2,H1229))))</f>
        <v>0.5</v>
      </c>
      <c r="BF1229" s="62" t="n">
        <f aca="false">BE1229*G1229</f>
        <v>80.19</v>
      </c>
      <c r="BG1229" s="62" t="n">
        <f aca="false">ROUNDUP(CL1229+MAX(CM1229,2*(J1229/IF(CH1229&gt;0,CH1229,MAX(0.1,N(Cockpit!$O$6)))-CL1229)),0)</f>
        <v>1</v>
      </c>
      <c r="BH1229" s="63" t="n">
        <f aca="false">IF(BD1229&gt;0,J1229/BD1229,-1)</f>
        <v>0</v>
      </c>
      <c r="BI1229" s="63" t="str">
        <f aca="false">IF(AND(OR(CG1229="L1",CG1229="L23",CG1229="LIFT"),BD1229&gt;0),SUMIFS($BD$7:$BD$1843,$CG$7:$CG$1843,CG1229,$BH$7:$BH$1843,"&gt;"&amp;BH1229)+SUMIFS($BD$7:$BD$1843,$CG$7:$CG$1843,CG1229,$BH$7:$BH$1843,BH1229,$BX$7:$BX$1843,"&lt;="&amp;BX1229),"")</f>
        <v/>
      </c>
      <c r="BJ1229" s="70" t="n">
        <f aca="false">IF(BI1229="",0,MAX(0,MIN(1,(IF(CG1229="L1",Parameter!$H$5,IF(CG1229="L23",Parameter!$H$6+Parameter!$H$7,Parameter!$H$5+Parameter!$H$6+Parameter!$H$7))-(BI1229-BD1229))/BD1229)))</f>
        <v>0</v>
      </c>
      <c r="BK1229" s="60" t="str">
        <f aca="false">IF(AJ1229&lt;=0,"",IF(CG1229="Aussen","Aussenlager",IF(CG1229="-","Nicht im Lift",IF(AP1229&gt;=1,"Lift",IF(AP1229&lt;=0,"Aussenlager","teilweise")))))</f>
        <v/>
      </c>
      <c r="BL1229" s="60" t="str">
        <f aca="false">IF(AT1229&lt;=0,"",IF(CG1229="Aussen","Aussenlager",IF(CG1229="-","Nicht im Lift",IF(AZ1229&gt;=1,"Lift",IF(AZ1229&lt;=0,"Aussenlager","teilweise")))))</f>
        <v>Nicht im Lift</v>
      </c>
      <c r="BM1229" s="60" t="str">
        <f aca="false">IF(BD1229&lt;=0,"",IF(CG1229="Aussen","Aussenlager",IF(CG1229="-","Nicht im Lift",IF(BJ1229&gt;=1,"Lift",IF(BJ1229&lt;=0,"Aussenlager","teilweise")))))</f>
        <v>Nicht im Lift</v>
      </c>
      <c r="BN1229" s="60" t="str">
        <f aca="false">IF(A1229="","",IF(BW1229=1,"Neu; ","")&amp;IF(AND(BW1229=0,BR1229&lt;0),"negativer Bestand (Export "&amp;BR1229&amp;"); ","")&amp;IF(J1229&lt;=0,"Kein Verbrauch; ","")&amp;IF(CR1229&gt;0,"Lift "&amp;W1229&amp;" lt. Liftbericht (Fach "&amp;X1229&amp;" Stk); ",IF(CB1229=1,"Gebinde geschätzt ("&amp;T1229&amp;"); ",IF(CA1229=1,"Lose – Tablare geschätzt; ","")))&amp;IF(H1229&gt;AW1229,"Überbestand "&amp;ROUND(H1229-AW1229,0)&amp;" Stk / CHF "&amp;ROUND((H1229-AW1229)*G1229,0)&amp;"; ","")&amp;IF(AND(CI1229=1,CJ1229&lt;CK1229),"MAX &lt; MB+LG; ","")&amp;IF(AND(CQ1229&gt;0,CP1229*10&gt;CQ1229),"zu hoch für Tablar; ","")&amp;IF(AND(BW1229=0,OR(CI1229=1,AB1229&lt;&gt;"",U1229&lt;&gt;"",V1229&lt;&gt;"",AC1229&lt;&gt;"")),"manuell übersteuert; ","")&amp;IF(AND(CA1229=0,R1229=0),"Gebinde unbekannt / Stellmass fehlt; ","")&amp;IF(AND(CA1229=0,N(V1229)&lt;=0,N(Q1229)&lt;=0),"Menge pro Gebinde fehlt (Ist = 1 Gebinde); ","")&amp;BV1229)</f>
        <v>negativer Bestand (Export -4); Kein Verbrauch; Gebinde geschätzt (Gross); Menge pro Gebinde fehlt (Ist = 1 Gebinde); </v>
      </c>
      <c r="BO1229" s="60"/>
      <c r="BP1229" s="60"/>
      <c r="BQ1229" s="67"/>
      <c r="BR1229" s="62" t="n">
        <v>-4</v>
      </c>
      <c r="BS1229" s="62" t="n">
        <v>4</v>
      </c>
      <c r="BT1229" s="61" t="n">
        <v>-641.52</v>
      </c>
      <c r="BU1229" s="62" t="n">
        <v>0</v>
      </c>
      <c r="BV1229" s="60"/>
      <c r="BW1229" s="65" t="n">
        <v>0</v>
      </c>
      <c r="BX1229" s="65" t="n">
        <v>1229</v>
      </c>
      <c r="BY1229" s="60" t="str">
        <f aca="false">IF(U1229&lt;&gt;"",UPPER(TRIM(U1229)),IF(CB1229=1,UPPER(VLOOKUP(T1229,Parameter!$I$27:$K$29,2,0)),IF(P1229="","LOSE",P1229)))</f>
        <v>S81</v>
      </c>
      <c r="BZ1229" s="62" t="n">
        <f aca="false">IF(BY1229="LOSE",1,IF(N(V1229)&gt;0,V1229,IF(CB1229=1,MAX(1,N(VLOOKUP(T1229,Parameter!$I$27:$K$29,3,0)),H1229,N(N1229)),IF(N(Q1229)&gt;0,Q1229,MAX(1,H1229)))))</f>
        <v>2</v>
      </c>
      <c r="CA1229" s="65" t="n">
        <f aca="false">IF(BY1229="LOSE",1,0)</f>
        <v>0</v>
      </c>
      <c r="CB1229" s="65" t="n">
        <f aca="false">IF(AND(U1229="",OR(P1229="",P1229="LOSE"),T1229&lt;&gt;"",N(S1229)&lt;=0,ISNUMBER(MATCH(T1229,Parameter!$I$27:$I$29,0))),1,0)</f>
        <v>1</v>
      </c>
      <c r="CC1229" s="65" t="n">
        <f aca="false">IF(CR1229&gt;0,INDEX(Parameter!$H$5:$H$7,W1229)/INDEX(Parameter!$E$5:$E$7,W1229),IF(AND(CA1229=0,N(IFERROR(VLOOKUP(BY1229,'Gebinde-Kategorie'!$A$5:$N$45,14,0),0))&gt;0),VLOOKUP(BY1229,'Gebinde-Kategorie'!$A$5:$N$45,14,0)*10+Parameter!$M$23,Parameter!$M$24))</f>
        <v>235</v>
      </c>
      <c r="CD1229" s="60" t="str">
        <f aca="false">IF(AND(Parameter!$B$19="Ja",E1229&lt;&gt;"",ISNUMBER(MATCH(E1229,Parameter!$I$35:$I$52,0))),VLOOKUP(E1229,Parameter!$I$35:$J$52,2,0),IFERROR(VLOOKUP(D1229,Parameter!$A$35:$C$64,2,0),"Nein"))</f>
        <v>Nein</v>
      </c>
      <c r="CE1229" s="64" t="n">
        <f aca="false">IF(CA1229=0,0,IF(N(S1229)&gt;0,S1229,IFERROR(VLOOKUP(D1229,Parameter!$A$35:$C$64,3,0)+0,0)))</f>
        <v>0</v>
      </c>
      <c r="CF1229" s="60" t="str">
        <f aca="false">IF(AB1229&lt;&gt;"",AB1229,AA1229)</f>
        <v>-</v>
      </c>
      <c r="CG1229" s="60" t="str">
        <f aca="false">IF(OR(CF1229=1,CF1229=2,CF1229=3),IF(Parameter!$E$27="Ja","LIFT",IF(CF1229=1,"L1","L23")),IF(CF1229="Aussen","Aussen","-"))</f>
        <v>-</v>
      </c>
      <c r="CH1229" s="71" t="n">
        <f aca="false">IF(N(AC1229)&gt;0,AC1229,0)</f>
        <v>0</v>
      </c>
      <c r="CI1229" s="65" t="n">
        <f aca="false">IF(ISNUMBER(AF1229),1,0)</f>
        <v>0</v>
      </c>
      <c r="CJ1229" s="62" t="n">
        <f aca="false">N(AF1229)</f>
        <v>0</v>
      </c>
      <c r="CK1229" s="62" t="n">
        <f aca="false">N(M1229)+N(N1229)</f>
        <v>1</v>
      </c>
      <c r="CL1229" s="62" t="n">
        <f aca="false">N(M1229)</f>
        <v>0</v>
      </c>
      <c r="CM1229" s="62" t="n">
        <f aca="false">N(N1229)</f>
        <v>1</v>
      </c>
      <c r="CN1229" s="62" t="n">
        <f aca="false">ROUNDUP(H1229/BZ1229,0)</f>
        <v>0</v>
      </c>
      <c r="CO1229" s="62" t="n">
        <f aca="false">ROUNDUP(CJ1229/BZ1229,0)</f>
        <v>0</v>
      </c>
      <c r="CP1229" s="65" t="n">
        <f aca="false">IF(CA1229=1,0,IFERROR(VLOOKUP(BY1229,'Gebinde-Kategorie'!$A$5:$N$45,5,0)+0,0))</f>
        <v>20</v>
      </c>
      <c r="CQ1229" s="65" t="n">
        <f aca="false">IFERROR(IF(OR(CF1229=1,CF1229=2,CF1229=3),N(INDEX(Parameter!$I$5:$I$7,CF1229)),0),0)</f>
        <v>0</v>
      </c>
      <c r="CR1229" s="64" t="n">
        <f aca="false">IF(AND(Parameter!$B$21="Ja",ISNUMBER(W1229),N(X1229)&gt;0),IFERROR(N(INDEX(Parameter!$L$5:$L$7,W1229))*INDEX(Parameter!$E$5:$E$7,W1229)*X1229/SUMIFS($X$7:$X$1843,$W$7:$W$1843,W1229),0),0)</f>
        <v>0</v>
      </c>
      <c r="CS1229" s="62" t="str">
        <f aca="false">IF(AND(OR(CG1229="L1",CG1229="L23",CG1229="LIFT"),H1229&gt;0),CC1229*IF(CR1229&gt;0,CR1229*MAX(1,H1229/X1229),IF(CA1229=1,CE1229,IF(R1229&gt;0,CN1229/R1229,0))/MAX(0.1,N(Parameter!$M$21))),"")</f>
        <v/>
      </c>
      <c r="CT1229" s="64" t="str">
        <f aca="false">IF(CS1229="","",J1229/H1229)</f>
        <v/>
      </c>
      <c r="CU1229" s="62" t="str">
        <f aca="false">IF(CS1229="","",H1229*G1229)</f>
        <v/>
      </c>
      <c r="CV1229" s="63" t="str">
        <f aca="false">IF(CS1229="","",(CL1229+ROUNDUP(CL1229+MAX(CM1229,2*(J1229/MAX(0.1,N(Einkauf!$C$6))-CL1229)),0))/2)</f>
        <v/>
      </c>
      <c r="CW1229" s="62" t="str">
        <f aca="false">IF(CS1229="","",MAX(0,H1229-CV1229)*G1229)</f>
        <v/>
      </c>
      <c r="CX1229" s="62" t="str">
        <f aca="false">IF(CS1229="","",CS1229*MAX(0,1-CV1229/H1229))</f>
        <v/>
      </c>
      <c r="CY1229" s="64" t="str">
        <f aca="false">IF(CS1229="","",PERCENTRANK($CS$7:$CS$1843,CS1229)+PERCENTRANK($CU$7:$CU$1843,CU1229)+1-PERCENTRANK($CT$7:$CT$1843,CT1229))</f>
        <v/>
      </c>
      <c r="CZ1229" s="72" t="str">
        <f aca="false">IF(CS1229="","",CHOOSE(MATCH(Einkauf!$C$5,Parameter!$G$23:$G$27,0),CY1229,CS1229,CU1229,-CT1229,CW1229)+ROW()/1000000000)</f>
        <v/>
      </c>
    </row>
    <row r="1230" customFormat="false" ht="15" hidden="false" customHeight="false" outlineLevel="0" collapsed="false">
      <c r="A1230" s="60" t="s">
        <v>2244</v>
      </c>
      <c r="B1230" s="60" t="s">
        <v>2245</v>
      </c>
      <c r="C1230" s="60" t="s">
        <v>498</v>
      </c>
      <c r="D1230" s="60" t="s">
        <v>215</v>
      </c>
      <c r="E1230" s="60" t="s">
        <v>1521</v>
      </c>
      <c r="F1230" s="60" t="s">
        <v>260</v>
      </c>
      <c r="G1230" s="61" t="n">
        <v>160.8</v>
      </c>
      <c r="H1230" s="62" t="n">
        <f aca="false">MAX(0,IF(AND(Parameter!$B$21="Ja",ISNUMBER(Y1230)),Y1230,IF(Parameter!$B$20="Jahresanfang 2025 + Export",BS1230+BR1230,BR1230)))</f>
        <v>0</v>
      </c>
      <c r="I1230" s="62" t="n">
        <f aca="false">H1230*G1230</f>
        <v>0</v>
      </c>
      <c r="J1230" s="62" t="n">
        <f aca="false">BU1230*Parameter!$B$18</f>
        <v>0</v>
      </c>
      <c r="K1230" s="63" t="n">
        <v>2</v>
      </c>
      <c r="L1230" s="64" t="n">
        <v>0</v>
      </c>
      <c r="M1230" s="62" t="n">
        <v>0</v>
      </c>
      <c r="N1230" s="62" t="n">
        <v>1</v>
      </c>
      <c r="O1230" s="65" t="n">
        <v>56</v>
      </c>
      <c r="P1230" s="60" t="s">
        <v>210</v>
      </c>
      <c r="Q1230" s="62"/>
      <c r="R1230" s="65" t="n">
        <f aca="false">IF(CA1230=1,0,IFERROR(VLOOKUP(BY1230,'Gebinde-Kategorie'!$A$5:$N$45,13,0)+0,0))</f>
        <v>4</v>
      </c>
      <c r="S1230" s="66"/>
      <c r="T1230" s="67" t="s">
        <v>231</v>
      </c>
      <c r="U1230" s="67"/>
      <c r="V1230" s="67"/>
      <c r="W1230" s="60"/>
      <c r="X1230" s="62"/>
      <c r="Y1230" s="62"/>
      <c r="Z1230" s="60"/>
      <c r="AA1230" s="60" t="str">
        <f aca="false">IF(A1230="","",IF(AND(Parameter!$B$21="Ja",ISNUMBER(W1230)),W1230,IF(AND(Parameter!$E$27="Ja",ISNUMBER(Z1230),CD1230&lt;&gt;"Nein"),Z1230,IF(CD1230="2+3",IF(ISNUMBER(SEARCH("grosser Artikel",BV1230)),2,IFERROR(VLOOKUP(BY1230,Parameter!$F$35:$G$64,2,0),2)),IF(OR(CD1230="Nein",CD1230=""),"-",CD1230)))))</f>
        <v>-</v>
      </c>
      <c r="AB1230" s="67"/>
      <c r="AC1230" s="68"/>
      <c r="AD1230" s="62" t="n">
        <f aca="false">AW1230</f>
        <v>1</v>
      </c>
      <c r="AE1230" s="62" t="n">
        <f aca="false">MAX(AW1230,H1230)</f>
        <v>1</v>
      </c>
      <c r="AF1230" s="69"/>
      <c r="AG1230" s="62" t="n">
        <f aca="false">IF(LEFT(Cockpit!$C$5,1)="A",H1230,IF(Parameter!$E$30="MAX-Bestand",IF(CI1230=1,CJ1230,IF(LEFT(Cockpit!$C$5,1)="B",AM1230,MAX(AM1230,H1230))),ROUNDUP(AK1230,0)))</f>
        <v>0</v>
      </c>
      <c r="AH1230" s="62" t="n">
        <f aca="false">IF(CA1230=1,0,ROUNDUP(AG1230/BZ1230,0))</f>
        <v>0</v>
      </c>
      <c r="AI1230" s="64" t="n">
        <f aca="false">IF(CR1230&gt;0,CR1230*MAX(1,AG1230/X1230),IF(CA1230=1,IF(AG1230&lt;=0,0,CE1230*MAX(1,IF(H1230&gt;0,AG1230/H1230,1))),IF(R1230&gt;0,AH1230/R1230,0))/MAX(0.1,N(Parameter!$M$21)))</f>
        <v>0</v>
      </c>
      <c r="AJ1230" s="62" t="n">
        <f aca="false">AI1230*CC1230</f>
        <v>0</v>
      </c>
      <c r="AK1230" s="63" t="n">
        <f aca="false">IF(LEFT(Cockpit!$C$5,1)="A",H1230,IF(CI1230=1,(CL1230+CJ1230)/2,IF(LEFT(Cockpit!$C$5,1)="B",(CL1230+AM1230)/2,MAX((CL1230+AM1230)/2,H1230))))</f>
        <v>0</v>
      </c>
      <c r="AL1230" s="62" t="n">
        <f aca="false">AK1230*G1230</f>
        <v>0</v>
      </c>
      <c r="AM1230" s="62" t="n">
        <f aca="false">ROUNDUP(CL1230+MAX(CM1230,2*(J1230/IF(CH1230&gt;0,CH1230,MAX(0.1,N(Cockpit!$C$6)))-CL1230)),0)</f>
        <v>1</v>
      </c>
      <c r="AN1230" s="63" t="n">
        <f aca="false">IF(AJ1230&gt;0,J1230/AJ1230,-1)</f>
        <v>-1</v>
      </c>
      <c r="AO1230" s="63" t="str">
        <f aca="false">IF(AND(OR(CG1230="L1",CG1230="L23",CG1230="LIFT"),AJ1230&gt;0),SUMIFS($AJ$7:$AJ$1843,$CG$7:$CG$1843,CG1230,$AN$7:$AN$1843,"&gt;"&amp;AN1230)+SUMIFS($AJ$7:$AJ$1843,$CG$7:$CG$1843,CG1230,$AN$7:$AN$1843,AN1230,$BX$7:$BX$1843,"&lt;="&amp;BX1230),"")</f>
        <v/>
      </c>
      <c r="AP1230" s="70" t="n">
        <f aca="false">IF(AO1230="",0,MAX(0,MIN(1,(IF(CG1230="L1",Parameter!$H$5,IF(CG1230="L23",Parameter!$H$6+Parameter!$H$7,Parameter!$H$5+Parameter!$H$6+Parameter!$H$7))-(AO1230-AJ1230))/AJ1230)))</f>
        <v>0</v>
      </c>
      <c r="AQ1230" s="62" t="n">
        <f aca="false">IF(LEFT(Cockpit!$I$5,1)="A",H1230,IF(Parameter!$E$30="MAX-Bestand",IF(CI1230=1,CJ1230,IF(LEFT(Cockpit!$I$5,1)="B",AW1230,MAX(AW1230,H1230))),ROUNDUP(AU1230,0)))</f>
        <v>1</v>
      </c>
      <c r="AR1230" s="62" t="n">
        <f aca="false">IF(CA1230=1,0,ROUNDUP(AQ1230/BZ1230,0))</f>
        <v>1</v>
      </c>
      <c r="AS1230" s="64" t="n">
        <f aca="false">IF(CR1230&gt;0,CR1230*MAX(1,AQ1230/X1230),IF(CA1230=1,IF(AQ1230&lt;=0,0,CE1230*MAX(1,IF(H1230&gt;0,AQ1230/H1230,1))),IF(R1230&gt;0,AR1230/R1230,0))/MAX(0.1,N(Parameter!$M$21)))</f>
        <v>0.25</v>
      </c>
      <c r="AT1230" s="62" t="n">
        <f aca="false">AS1230*CC1230</f>
        <v>58.75</v>
      </c>
      <c r="AU1230" s="63" t="n">
        <f aca="false">IF(LEFT(Cockpit!$I$5,1)="A",H1230,IF(CI1230=1,(CL1230+CJ1230)/2,IF(LEFT(Cockpit!$I$5,1)="B",(CL1230+AW1230)/2,MAX((CL1230+AW1230)/2,H1230))))</f>
        <v>0.5</v>
      </c>
      <c r="AV1230" s="62" t="n">
        <f aca="false">AU1230*G1230</f>
        <v>80.4</v>
      </c>
      <c r="AW1230" s="62" t="n">
        <f aca="false">ROUNDUP(CL1230+MAX(CM1230,2*(J1230/IF(CH1230&gt;0,CH1230,MAX(0.1,N(Cockpit!$I$6)))-CL1230)),0)</f>
        <v>1</v>
      </c>
      <c r="AX1230" s="63" t="n">
        <f aca="false">IF(AT1230&gt;0,J1230/AT1230,-1)</f>
        <v>0</v>
      </c>
      <c r="AY1230" s="63" t="str">
        <f aca="false">IF(AND(OR(CG1230="L1",CG1230="L23",CG1230="LIFT"),AT1230&gt;0),SUMIFS($AT$7:$AT$1843,$CG$7:$CG$1843,CG1230,$AX$7:$AX$1843,"&gt;"&amp;AX1230)+SUMIFS($AT$7:$AT$1843,$CG$7:$CG$1843,CG1230,$AX$7:$AX$1843,AX1230,$BX$7:$BX$1843,"&lt;="&amp;BX1230),"")</f>
        <v/>
      </c>
      <c r="AZ1230" s="70" t="n">
        <f aca="false">IF(AY1230="",0,MAX(0,MIN(1,(IF(CG1230="L1",Parameter!$H$5,IF(CG1230="L23",Parameter!$H$6+Parameter!$H$7,Parameter!$H$5+Parameter!$H$6+Parameter!$H$7))-(AY1230-AT1230))/AT1230)))</f>
        <v>0</v>
      </c>
      <c r="BA1230" s="62" t="n">
        <f aca="false">IF(LEFT(Cockpit!$O$5,1)="A",H1230,IF(Parameter!$E$30="MAX-Bestand",IF(CI1230=1,CJ1230,IF(LEFT(Cockpit!$O$5,1)="B",BG1230,MAX(BG1230,H1230))),ROUNDUP(BE1230,0)))</f>
        <v>1</v>
      </c>
      <c r="BB1230" s="62" t="n">
        <f aca="false">IF(CA1230=1,0,ROUNDUP(BA1230/BZ1230,0))</f>
        <v>1</v>
      </c>
      <c r="BC1230" s="64" t="n">
        <f aca="false">IF(CR1230&gt;0,CR1230*MAX(1,BA1230/X1230),IF(CA1230=1,IF(BA1230&lt;=0,0,CE1230*MAX(1,IF(H1230&gt;0,BA1230/H1230,1))),IF(R1230&gt;0,BB1230/R1230,0))/MAX(0.1,N(Parameter!$M$21)))</f>
        <v>0.25</v>
      </c>
      <c r="BD1230" s="62" t="n">
        <f aca="false">BC1230*CC1230</f>
        <v>58.75</v>
      </c>
      <c r="BE1230" s="63" t="n">
        <f aca="false">IF(LEFT(Cockpit!$O$5,1)="A",H1230,IF(CI1230=1,(CL1230+CJ1230)/2,IF(LEFT(Cockpit!$O$5,1)="B",(CL1230+BG1230)/2,MAX((CL1230+BG1230)/2,H1230))))</f>
        <v>0.5</v>
      </c>
      <c r="BF1230" s="62" t="n">
        <f aca="false">BE1230*G1230</f>
        <v>80.4</v>
      </c>
      <c r="BG1230" s="62" t="n">
        <f aca="false">ROUNDUP(CL1230+MAX(CM1230,2*(J1230/IF(CH1230&gt;0,CH1230,MAX(0.1,N(Cockpit!$O$6)))-CL1230)),0)</f>
        <v>1</v>
      </c>
      <c r="BH1230" s="63" t="n">
        <f aca="false">IF(BD1230&gt;0,J1230/BD1230,-1)</f>
        <v>0</v>
      </c>
      <c r="BI1230" s="63" t="str">
        <f aca="false">IF(AND(OR(CG1230="L1",CG1230="L23",CG1230="LIFT"),BD1230&gt;0),SUMIFS($BD$7:$BD$1843,$CG$7:$CG$1843,CG1230,$BH$7:$BH$1843,"&gt;"&amp;BH1230)+SUMIFS($BD$7:$BD$1843,$CG$7:$CG$1843,CG1230,$BH$7:$BH$1843,BH1230,$BX$7:$BX$1843,"&lt;="&amp;BX1230),"")</f>
        <v/>
      </c>
      <c r="BJ1230" s="70" t="n">
        <f aca="false">IF(BI1230="",0,MAX(0,MIN(1,(IF(CG1230="L1",Parameter!$H$5,IF(CG1230="L23",Parameter!$H$6+Parameter!$H$7,Parameter!$H$5+Parameter!$H$6+Parameter!$H$7))-(BI1230-BD1230))/BD1230)))</f>
        <v>0</v>
      </c>
      <c r="BK1230" s="60" t="str">
        <f aca="false">IF(AJ1230&lt;=0,"",IF(CG1230="Aussen","Aussenlager",IF(CG1230="-","Nicht im Lift",IF(AP1230&gt;=1,"Lift",IF(AP1230&lt;=0,"Aussenlager","teilweise")))))</f>
        <v/>
      </c>
      <c r="BL1230" s="60" t="str">
        <f aca="false">IF(AT1230&lt;=0,"",IF(CG1230="Aussen","Aussenlager",IF(CG1230="-","Nicht im Lift",IF(AZ1230&gt;=1,"Lift",IF(AZ1230&lt;=0,"Aussenlager","teilweise")))))</f>
        <v>Nicht im Lift</v>
      </c>
      <c r="BM1230" s="60" t="str">
        <f aca="false">IF(BD1230&lt;=0,"",IF(CG1230="Aussen","Aussenlager",IF(CG1230="-","Nicht im Lift",IF(BJ1230&gt;=1,"Lift",IF(BJ1230&lt;=0,"Aussenlager","teilweise")))))</f>
        <v>Nicht im Lift</v>
      </c>
      <c r="BN1230" s="60" t="str">
        <f aca="false">IF(A1230="","",IF(BW1230=1,"Neu; ","")&amp;IF(AND(BW1230=0,BR1230&lt;0),"negativer Bestand (Export "&amp;BR1230&amp;"); ","")&amp;IF(J1230&lt;=0,"Kein Verbrauch; ","")&amp;IF(CR1230&gt;0,"Lift "&amp;W1230&amp;" lt. Liftbericht (Fach "&amp;X1230&amp;" Stk); ",IF(CB1230=1,"Gebinde geschätzt ("&amp;T1230&amp;"); ",IF(CA1230=1,"Lose – Tablare geschätzt; ","")))&amp;IF(H1230&gt;AW1230,"Überbestand "&amp;ROUND(H1230-AW1230,0)&amp;" Stk / CHF "&amp;ROUND((H1230-AW1230)*G1230,0)&amp;"; ","")&amp;IF(AND(CI1230=1,CJ1230&lt;CK1230),"MAX &lt; MB+LG; ","")&amp;IF(AND(CQ1230&gt;0,CP1230*10&gt;CQ1230),"zu hoch für Tablar; ","")&amp;IF(AND(BW1230=0,OR(CI1230=1,AB1230&lt;&gt;"",U1230&lt;&gt;"",V1230&lt;&gt;"",AC1230&lt;&gt;"")),"manuell übersteuert; ","")&amp;IF(AND(CA1230=0,R1230=0),"Gebinde unbekannt / Stellmass fehlt; ","")&amp;IF(AND(CA1230=0,N(V1230)&lt;=0,N(Q1230)&lt;=0),"Menge pro Gebinde fehlt (Ist = 1 Gebinde); ","")&amp;BV1230)</f>
        <v>negativer Bestand (Export -4); Kein Verbrauch; Gebinde geschätzt (Gross); Menge pro Gebinde fehlt (Ist = 1 Gebinde); </v>
      </c>
      <c r="BO1230" s="60"/>
      <c r="BP1230" s="60"/>
      <c r="BQ1230" s="67"/>
      <c r="BR1230" s="62" t="n">
        <v>-4</v>
      </c>
      <c r="BS1230" s="62" t="n">
        <v>4</v>
      </c>
      <c r="BT1230" s="61" t="n">
        <v>-643.2</v>
      </c>
      <c r="BU1230" s="62" t="n">
        <v>0</v>
      </c>
      <c r="BV1230" s="60"/>
      <c r="BW1230" s="65" t="n">
        <v>0</v>
      </c>
      <c r="BX1230" s="65" t="n">
        <v>1230</v>
      </c>
      <c r="BY1230" s="60" t="str">
        <f aca="false">IF(U1230&lt;&gt;"",UPPER(TRIM(U1230)),IF(CB1230=1,UPPER(VLOOKUP(T1230,Parameter!$I$27:$K$29,2,0)),IF(P1230="","LOSE",P1230)))</f>
        <v>S81</v>
      </c>
      <c r="BZ1230" s="62" t="n">
        <f aca="false">IF(BY1230="LOSE",1,IF(N(V1230)&gt;0,V1230,IF(CB1230=1,MAX(1,N(VLOOKUP(T1230,Parameter!$I$27:$K$29,3,0)),H1230,N(N1230)),IF(N(Q1230)&gt;0,Q1230,MAX(1,H1230)))))</f>
        <v>2</v>
      </c>
      <c r="CA1230" s="65" t="n">
        <f aca="false">IF(BY1230="LOSE",1,0)</f>
        <v>0</v>
      </c>
      <c r="CB1230" s="65" t="n">
        <f aca="false">IF(AND(U1230="",OR(P1230="",P1230="LOSE"),T1230&lt;&gt;"",N(S1230)&lt;=0,ISNUMBER(MATCH(T1230,Parameter!$I$27:$I$29,0))),1,0)</f>
        <v>1</v>
      </c>
      <c r="CC1230" s="65" t="n">
        <f aca="false">IF(CR1230&gt;0,INDEX(Parameter!$H$5:$H$7,W1230)/INDEX(Parameter!$E$5:$E$7,W1230),IF(AND(CA1230=0,N(IFERROR(VLOOKUP(BY1230,'Gebinde-Kategorie'!$A$5:$N$45,14,0),0))&gt;0),VLOOKUP(BY1230,'Gebinde-Kategorie'!$A$5:$N$45,14,0)*10+Parameter!$M$23,Parameter!$M$24))</f>
        <v>235</v>
      </c>
      <c r="CD1230" s="60" t="str">
        <f aca="false">IF(AND(Parameter!$B$19="Ja",E1230&lt;&gt;"",ISNUMBER(MATCH(E1230,Parameter!$I$35:$I$52,0))),VLOOKUP(E1230,Parameter!$I$35:$J$52,2,0),IFERROR(VLOOKUP(D1230,Parameter!$A$35:$C$64,2,0),"Nein"))</f>
        <v>Nein</v>
      </c>
      <c r="CE1230" s="64" t="n">
        <f aca="false">IF(CA1230=0,0,IF(N(S1230)&gt;0,S1230,IFERROR(VLOOKUP(D1230,Parameter!$A$35:$C$64,3,0)+0,0)))</f>
        <v>0</v>
      </c>
      <c r="CF1230" s="60" t="str">
        <f aca="false">IF(AB1230&lt;&gt;"",AB1230,AA1230)</f>
        <v>-</v>
      </c>
      <c r="CG1230" s="60" t="str">
        <f aca="false">IF(OR(CF1230=1,CF1230=2,CF1230=3),IF(Parameter!$E$27="Ja","LIFT",IF(CF1230=1,"L1","L23")),IF(CF1230="Aussen","Aussen","-"))</f>
        <v>-</v>
      </c>
      <c r="CH1230" s="71" t="n">
        <f aca="false">IF(N(AC1230)&gt;0,AC1230,0)</f>
        <v>0</v>
      </c>
      <c r="CI1230" s="65" t="n">
        <f aca="false">IF(ISNUMBER(AF1230),1,0)</f>
        <v>0</v>
      </c>
      <c r="CJ1230" s="62" t="n">
        <f aca="false">N(AF1230)</f>
        <v>0</v>
      </c>
      <c r="CK1230" s="62" t="n">
        <f aca="false">N(M1230)+N(N1230)</f>
        <v>1</v>
      </c>
      <c r="CL1230" s="62" t="n">
        <f aca="false">N(M1230)</f>
        <v>0</v>
      </c>
      <c r="CM1230" s="62" t="n">
        <f aca="false">N(N1230)</f>
        <v>1</v>
      </c>
      <c r="CN1230" s="62" t="n">
        <f aca="false">ROUNDUP(H1230/BZ1230,0)</f>
        <v>0</v>
      </c>
      <c r="CO1230" s="62" t="n">
        <f aca="false">ROUNDUP(CJ1230/BZ1230,0)</f>
        <v>0</v>
      </c>
      <c r="CP1230" s="65" t="n">
        <f aca="false">IF(CA1230=1,0,IFERROR(VLOOKUP(BY1230,'Gebinde-Kategorie'!$A$5:$N$45,5,0)+0,0))</f>
        <v>20</v>
      </c>
      <c r="CQ1230" s="65" t="n">
        <f aca="false">IFERROR(IF(OR(CF1230=1,CF1230=2,CF1230=3),N(INDEX(Parameter!$I$5:$I$7,CF1230)),0),0)</f>
        <v>0</v>
      </c>
      <c r="CR1230" s="64" t="n">
        <f aca="false">IF(AND(Parameter!$B$21="Ja",ISNUMBER(W1230),N(X1230)&gt;0),IFERROR(N(INDEX(Parameter!$L$5:$L$7,W1230))*INDEX(Parameter!$E$5:$E$7,W1230)*X1230/SUMIFS($X$7:$X$1843,$W$7:$W$1843,W1230),0),0)</f>
        <v>0</v>
      </c>
      <c r="CS1230" s="62" t="str">
        <f aca="false">IF(AND(OR(CG1230="L1",CG1230="L23",CG1230="LIFT"),H1230&gt;0),CC1230*IF(CR1230&gt;0,CR1230*MAX(1,H1230/X1230),IF(CA1230=1,CE1230,IF(R1230&gt;0,CN1230/R1230,0))/MAX(0.1,N(Parameter!$M$21))),"")</f>
        <v/>
      </c>
      <c r="CT1230" s="64" t="str">
        <f aca="false">IF(CS1230="","",J1230/H1230)</f>
        <v/>
      </c>
      <c r="CU1230" s="62" t="str">
        <f aca="false">IF(CS1230="","",H1230*G1230)</f>
        <v/>
      </c>
      <c r="CV1230" s="63" t="str">
        <f aca="false">IF(CS1230="","",(CL1230+ROUNDUP(CL1230+MAX(CM1230,2*(J1230/MAX(0.1,N(Einkauf!$C$6))-CL1230)),0))/2)</f>
        <v/>
      </c>
      <c r="CW1230" s="62" t="str">
        <f aca="false">IF(CS1230="","",MAX(0,H1230-CV1230)*G1230)</f>
        <v/>
      </c>
      <c r="CX1230" s="62" t="str">
        <f aca="false">IF(CS1230="","",CS1230*MAX(0,1-CV1230/H1230))</f>
        <v/>
      </c>
      <c r="CY1230" s="64" t="str">
        <f aca="false">IF(CS1230="","",PERCENTRANK($CS$7:$CS$1843,CS1230)+PERCENTRANK($CU$7:$CU$1843,CU1230)+1-PERCENTRANK($CT$7:$CT$1843,CT1230))</f>
        <v/>
      </c>
      <c r="CZ1230" s="72" t="str">
        <f aca="false">IF(CS1230="","",CHOOSE(MATCH(Einkauf!$C$5,Parameter!$G$23:$G$27,0),CY1230,CS1230,CU1230,-CT1230,CW1230)+ROW()/1000000000)</f>
        <v/>
      </c>
    </row>
    <row r="1231" customFormat="false" ht="15" hidden="false" customHeight="false" outlineLevel="0" collapsed="false">
      <c r="A1231" s="60" t="s">
        <v>2246</v>
      </c>
      <c r="B1231" s="60" t="s">
        <v>1160</v>
      </c>
      <c r="C1231" s="60" t="s">
        <v>206</v>
      </c>
      <c r="D1231" s="60" t="s">
        <v>226</v>
      </c>
      <c r="E1231" s="60" t="s">
        <v>227</v>
      </c>
      <c r="F1231" s="60" t="s">
        <v>260</v>
      </c>
      <c r="G1231" s="61" t="n">
        <v>36.02</v>
      </c>
      <c r="H1231" s="62" t="n">
        <f aca="false">MAX(0,IF(AND(Parameter!$B$21="Ja",ISNUMBER(Y1231)),Y1231,IF(Parameter!$B$20="Jahresanfang 2025 + Export",BS1231+BR1231,BR1231)))</f>
        <v>45</v>
      </c>
      <c r="I1231" s="62" t="n">
        <f aca="false">H1231*G1231</f>
        <v>1620.9</v>
      </c>
      <c r="J1231" s="62" t="n">
        <f aca="false">BU1231*Parameter!$B$18</f>
        <v>2</v>
      </c>
      <c r="K1231" s="63" t="n">
        <v>54.5</v>
      </c>
      <c r="L1231" s="64" t="n">
        <v>0.036697247706422</v>
      </c>
      <c r="M1231" s="62" t="n">
        <v>0</v>
      </c>
      <c r="N1231" s="62" t="n">
        <v>1</v>
      </c>
      <c r="O1231" s="65" t="n">
        <v>56</v>
      </c>
      <c r="P1231" s="60" t="s">
        <v>275</v>
      </c>
      <c r="Q1231" s="62" t="n">
        <v>13</v>
      </c>
      <c r="R1231" s="65" t="n">
        <f aca="false">IF(CA1231=1,0,IFERROR(VLOOKUP(BY1231,'Gebinde-Kategorie'!$A$5:$N$45,13,0)+0,0))</f>
        <v>26</v>
      </c>
      <c r="S1231" s="66"/>
      <c r="T1231" s="67"/>
      <c r="U1231" s="67"/>
      <c r="V1231" s="67"/>
      <c r="W1231" s="60"/>
      <c r="X1231" s="62"/>
      <c r="Y1231" s="62"/>
      <c r="Z1231" s="60" t="n">
        <v>3</v>
      </c>
      <c r="AA1231" s="60" t="n">
        <f aca="false">IF(A1231="","",IF(AND(Parameter!$B$21="Ja",ISNUMBER(W1231)),W1231,IF(AND(Parameter!$E$27="Ja",ISNUMBER(Z1231),CD1231&lt;&gt;"Nein"),Z1231,IF(CD1231="2+3",IF(ISNUMBER(SEARCH("grosser Artikel",BV1231)),2,IFERROR(VLOOKUP(BY1231,Parameter!$F$35:$G$64,2,0),2)),IF(OR(CD1231="Nein",CD1231=""),"-",CD1231)))))</f>
        <v>3</v>
      </c>
      <c r="AB1231" s="67"/>
      <c r="AC1231" s="68"/>
      <c r="AD1231" s="62" t="n">
        <f aca="false">AW1231</f>
        <v>2</v>
      </c>
      <c r="AE1231" s="62" t="n">
        <f aca="false">MAX(AW1231,H1231)</f>
        <v>45</v>
      </c>
      <c r="AF1231" s="69"/>
      <c r="AG1231" s="62" t="n">
        <f aca="false">IF(LEFT(Cockpit!$C$5,1)="A",H1231,IF(Parameter!$E$30="MAX-Bestand",IF(CI1231=1,CJ1231,IF(LEFT(Cockpit!$C$5,1)="B",AM1231,MAX(AM1231,H1231))),ROUNDUP(AK1231,0)))</f>
        <v>45</v>
      </c>
      <c r="AH1231" s="62" t="n">
        <f aca="false">IF(CA1231=1,0,ROUNDUP(AG1231/BZ1231,0))</f>
        <v>4</v>
      </c>
      <c r="AI1231" s="64" t="n">
        <f aca="false">IF(CR1231&gt;0,CR1231*MAX(1,AG1231/X1231),IF(CA1231=1,IF(AG1231&lt;=0,0,CE1231*MAX(1,IF(H1231&gt;0,AG1231/H1231,1))),IF(R1231&gt;0,AH1231/R1231,0))/MAX(0.1,N(Parameter!$M$21)))</f>
        <v>0.153846153846154</v>
      </c>
      <c r="AJ1231" s="62" t="n">
        <f aca="false">AI1231*CC1231</f>
        <v>37.6923076923077</v>
      </c>
      <c r="AK1231" s="63" t="n">
        <f aca="false">IF(LEFT(Cockpit!$C$5,1)="A",H1231,IF(CI1231=1,(CL1231+CJ1231)/2,IF(LEFT(Cockpit!$C$5,1)="B",(CL1231+AM1231)/2,MAX((CL1231+AM1231)/2,H1231))))</f>
        <v>45</v>
      </c>
      <c r="AL1231" s="62" t="n">
        <f aca="false">AK1231*G1231</f>
        <v>1620.9</v>
      </c>
      <c r="AM1231" s="62" t="n">
        <f aca="false">ROUNDUP(CL1231+MAX(CM1231,2*(J1231/IF(CH1231&gt;0,CH1231,MAX(0.1,N(Cockpit!$C$6)))-CL1231)),0)</f>
        <v>2</v>
      </c>
      <c r="AN1231" s="63" t="n">
        <f aca="false">IF(AJ1231&gt;0,J1231/AJ1231,-1)</f>
        <v>0.0530612244897959</v>
      </c>
      <c r="AO1231" s="63" t="n">
        <f aca="false">IF(AND(OR(CG1231="L1",CG1231="L23",CG1231="LIFT"),AJ1231&gt;0),SUMIFS($AJ$7:$AJ$1843,$CG$7:$CG$1843,CG1231,$AN$7:$AN$1843,"&gt;"&amp;AN1231)+SUMIFS($AJ$7:$AJ$1843,$CG$7:$CG$1843,CG1231,$AN$7:$AN$1843,AN1231,$BX$7:$BX$1843,"&lt;="&amp;BX1231),"")</f>
        <v>19026.9155620745</v>
      </c>
      <c r="AP1231" s="70" t="n">
        <f aca="false">IF(AO1231="",0,MAX(0,MIN(1,(IF(CG1231="L1",Parameter!$H$5,IF(CG1231="L23",Parameter!$H$6+Parameter!$H$7,Parameter!$H$5+Parameter!$H$6+Parameter!$H$7))-(AO1231-AJ1231))/AJ1231)))</f>
        <v>1</v>
      </c>
      <c r="AQ1231" s="62" t="n">
        <f aca="false">IF(LEFT(Cockpit!$I$5,1)="A",H1231,IF(Parameter!$E$30="MAX-Bestand",IF(CI1231=1,CJ1231,IF(LEFT(Cockpit!$I$5,1)="B",AW1231,MAX(AW1231,H1231))),ROUNDUP(AU1231,0)))</f>
        <v>45</v>
      </c>
      <c r="AR1231" s="62" t="n">
        <f aca="false">IF(CA1231=1,0,ROUNDUP(AQ1231/BZ1231,0))</f>
        <v>4</v>
      </c>
      <c r="AS1231" s="64" t="n">
        <f aca="false">IF(CR1231&gt;0,CR1231*MAX(1,AQ1231/X1231),IF(CA1231=1,IF(AQ1231&lt;=0,0,CE1231*MAX(1,IF(H1231&gt;0,AQ1231/H1231,1))),IF(R1231&gt;0,AR1231/R1231,0))/MAX(0.1,N(Parameter!$M$21)))</f>
        <v>0.153846153846154</v>
      </c>
      <c r="AT1231" s="62" t="n">
        <f aca="false">AS1231*CC1231</f>
        <v>37.6923076923077</v>
      </c>
      <c r="AU1231" s="63" t="n">
        <f aca="false">IF(LEFT(Cockpit!$I$5,1)="A",H1231,IF(CI1231=1,(CL1231+CJ1231)/2,IF(LEFT(Cockpit!$I$5,1)="B",(CL1231+AW1231)/2,MAX((CL1231+AW1231)/2,H1231))))</f>
        <v>45</v>
      </c>
      <c r="AV1231" s="62" t="n">
        <f aca="false">AU1231*G1231</f>
        <v>1620.9</v>
      </c>
      <c r="AW1231" s="62" t="n">
        <f aca="false">ROUNDUP(CL1231+MAX(CM1231,2*(J1231/IF(CH1231&gt;0,CH1231,MAX(0.1,N(Cockpit!$I$6)))-CL1231)),0)</f>
        <v>2</v>
      </c>
      <c r="AX1231" s="63" t="n">
        <f aca="false">IF(AT1231&gt;0,J1231/AT1231,-1)</f>
        <v>0.0530612244897959</v>
      </c>
      <c r="AY1231" s="63" t="n">
        <f aca="false">IF(AND(OR(CG1231="L1",CG1231="L23",CG1231="LIFT"),AT1231&gt;0),SUMIFS($AT$7:$AT$1843,$CG$7:$CG$1843,CG1231,$AX$7:$AX$1843,"&gt;"&amp;AX1231)+SUMIFS($AT$7:$AT$1843,$CG$7:$CG$1843,CG1231,$AX$7:$AX$1843,AX1231,$BX$7:$BX$1843,"&lt;="&amp;BX1231),"")</f>
        <v>24145.0642034519</v>
      </c>
      <c r="AZ1231" s="70" t="n">
        <f aca="false">IF(AY1231="",0,MAX(0,MIN(1,(IF(CG1231="L1",Parameter!$H$5,IF(CG1231="L23",Parameter!$H$6+Parameter!$H$7,Parameter!$H$5+Parameter!$H$6+Parameter!$H$7))-(AY1231-AT1231))/AT1231)))</f>
        <v>1</v>
      </c>
      <c r="BA1231" s="62" t="n">
        <f aca="false">IF(LEFT(Cockpit!$O$5,1)="A",H1231,IF(Parameter!$E$30="MAX-Bestand",IF(CI1231=1,CJ1231,IF(LEFT(Cockpit!$O$5,1)="B",BG1231,MAX(BG1231,H1231))),ROUNDUP(BE1231,0)))</f>
        <v>1</v>
      </c>
      <c r="BB1231" s="62" t="n">
        <f aca="false">IF(CA1231=1,0,ROUNDUP(BA1231/BZ1231,0))</f>
        <v>1</v>
      </c>
      <c r="BC1231" s="64" t="n">
        <f aca="false">IF(CR1231&gt;0,CR1231*MAX(1,BA1231/X1231),IF(CA1231=1,IF(BA1231&lt;=0,0,CE1231*MAX(1,IF(H1231&gt;0,BA1231/H1231,1))),IF(R1231&gt;0,BB1231/R1231,0))/MAX(0.1,N(Parameter!$M$21)))</f>
        <v>0.0384615384615385</v>
      </c>
      <c r="BD1231" s="62" t="n">
        <f aca="false">BC1231*CC1231</f>
        <v>9.42307692307692</v>
      </c>
      <c r="BE1231" s="63" t="n">
        <f aca="false">IF(LEFT(Cockpit!$O$5,1)="A",H1231,IF(CI1231=1,(CL1231+CJ1231)/2,IF(LEFT(Cockpit!$O$5,1)="B",(CL1231+BG1231)/2,MAX((CL1231+BG1231)/2,H1231))))</f>
        <v>0.5</v>
      </c>
      <c r="BF1231" s="62" t="n">
        <f aca="false">BE1231*G1231</f>
        <v>18.01</v>
      </c>
      <c r="BG1231" s="62" t="n">
        <f aca="false">ROUNDUP(CL1231+MAX(CM1231,2*(J1231/IF(CH1231&gt;0,CH1231,MAX(0.1,N(Cockpit!$O$6)))-CL1231)),0)</f>
        <v>1</v>
      </c>
      <c r="BH1231" s="63" t="n">
        <f aca="false">IF(BD1231&gt;0,J1231/BD1231,-1)</f>
        <v>0.212244897959184</v>
      </c>
      <c r="BI1231" s="63" t="n">
        <f aca="false">IF(AND(OR(CG1231="L1",CG1231="L23",CG1231="LIFT"),BD1231&gt;0),SUMIFS($BD$7:$BD$1843,$CG$7:$CG$1843,CG1231,$BH$7:$BH$1843,"&gt;"&amp;BH1231)+SUMIFS($BD$7:$BD$1843,$CG$7:$CG$1843,CG1231,$BH$7:$BH$1843,BH1231,$BX$7:$BX$1843,"&lt;="&amp;BX1231),"")</f>
        <v>12363.9363553114</v>
      </c>
      <c r="BJ1231" s="70" t="n">
        <f aca="false">IF(BI1231="",0,MAX(0,MIN(1,(IF(CG1231="L1",Parameter!$H$5,IF(CG1231="L23",Parameter!$H$6+Parameter!$H$7,Parameter!$H$5+Parameter!$H$6+Parameter!$H$7))-(BI1231-BD1231))/BD1231)))</f>
        <v>1</v>
      </c>
      <c r="BK1231" s="60" t="str">
        <f aca="false">IF(AJ1231&lt;=0,"",IF(CG1231="Aussen","Aussenlager",IF(CG1231="-","Nicht im Lift",IF(AP1231&gt;=1,"Lift",IF(AP1231&lt;=0,"Aussenlager","teilweise")))))</f>
        <v>Lift</v>
      </c>
      <c r="BL1231" s="60" t="str">
        <f aca="false">IF(AT1231&lt;=0,"",IF(CG1231="Aussen","Aussenlager",IF(CG1231="-","Nicht im Lift",IF(AZ1231&gt;=1,"Lift",IF(AZ1231&lt;=0,"Aussenlager","teilweise")))))</f>
        <v>Lift</v>
      </c>
      <c r="BM1231" s="60" t="str">
        <f aca="false">IF(BD1231&lt;=0,"",IF(CG1231="Aussen","Aussenlager",IF(CG1231="-","Nicht im Lift",IF(BJ1231&gt;=1,"Lift",IF(BJ1231&lt;=0,"Aussenlager","teilweise")))))</f>
        <v>Lift</v>
      </c>
      <c r="BN1231" s="60" t="str">
        <f aca="false">IF(A1231="","",IF(BW1231=1,"Neu; ","")&amp;IF(AND(BW1231=0,BR1231&lt;0),"negativer Bestand (Export "&amp;BR1231&amp;"); ","")&amp;IF(J1231&lt;=0,"Kein Verbrauch; ","")&amp;IF(CR1231&gt;0,"Lift "&amp;W1231&amp;" lt. Liftbericht (Fach "&amp;X1231&amp;" Stk); ",IF(CB1231=1,"Gebinde geschätzt ("&amp;T1231&amp;"); ",IF(CA1231=1,"Lose – Tablare geschätzt; ","")))&amp;IF(H1231&gt;AW1231,"Überbestand "&amp;ROUND(H1231-AW1231,0)&amp;" Stk / CHF "&amp;ROUND((H1231-AW1231)*G1231,0)&amp;"; ","")&amp;IF(AND(CI1231=1,CJ1231&lt;CK1231),"MAX &lt; MB+LG; ","")&amp;IF(AND(CQ1231&gt;0,CP1231*10&gt;CQ1231),"zu hoch für Tablar; ","")&amp;IF(AND(BW1231=0,OR(CI1231=1,AB1231&lt;&gt;"",U1231&lt;&gt;"",V1231&lt;&gt;"",AC1231&lt;&gt;"")),"manuell übersteuert; ","")&amp;IF(AND(CA1231=0,R1231=0),"Gebinde unbekannt / Stellmass fehlt; ","")&amp;IF(AND(CA1231=0,N(V1231)&lt;=0,N(Q1231)&lt;=0),"Menge pro Gebinde fehlt (Ist = 1 Gebinde); ","")&amp;BV1231)</f>
        <v>negativer Bestand (Export -18); Überbestand 43 Stk / CHF 1549; </v>
      </c>
      <c r="BO1231" s="60"/>
      <c r="BP1231" s="60"/>
      <c r="BQ1231" s="67"/>
      <c r="BR1231" s="62" t="n">
        <v>-18</v>
      </c>
      <c r="BS1231" s="62" t="n">
        <v>63</v>
      </c>
      <c r="BT1231" s="61" t="n">
        <v>-648.36</v>
      </c>
      <c r="BU1231" s="62" t="n">
        <v>2</v>
      </c>
      <c r="BV1231" s="60"/>
      <c r="BW1231" s="65" t="n">
        <v>0</v>
      </c>
      <c r="BX1231" s="65" t="n">
        <v>1231</v>
      </c>
      <c r="BY1231" s="60" t="str">
        <f aca="false">IF(U1231&lt;&gt;"",UPPER(TRIM(U1231)),IF(CB1231=1,UPPER(VLOOKUP(T1231,Parameter!$I$27:$K$29,2,0)),IF(P1231="","LOSE",P1231)))</f>
        <v>S52</v>
      </c>
      <c r="BZ1231" s="62" t="n">
        <f aca="false">IF(BY1231="LOSE",1,IF(N(V1231)&gt;0,V1231,IF(CB1231=1,MAX(1,N(VLOOKUP(T1231,Parameter!$I$27:$K$29,3,0)),H1231,N(N1231)),IF(N(Q1231)&gt;0,Q1231,MAX(1,H1231)))))</f>
        <v>13</v>
      </c>
      <c r="CA1231" s="65" t="n">
        <f aca="false">IF(BY1231="LOSE",1,0)</f>
        <v>0</v>
      </c>
      <c r="CB1231" s="65" t="n">
        <f aca="false">IF(AND(U1231="",OR(P1231="",P1231="LOSE"),T1231&lt;&gt;"",N(S1231)&lt;=0,ISNUMBER(MATCH(T1231,Parameter!$I$27:$I$29,0))),1,0)</f>
        <v>0</v>
      </c>
      <c r="CC1231" s="65" t="n">
        <f aca="false">IF(CR1231&gt;0,INDEX(Parameter!$H$5:$H$7,W1231)/INDEX(Parameter!$E$5:$E$7,W1231),IF(AND(CA1231=0,N(IFERROR(VLOOKUP(BY1231,'Gebinde-Kategorie'!$A$5:$N$45,14,0),0))&gt;0),VLOOKUP(BY1231,'Gebinde-Kategorie'!$A$5:$N$45,14,0)*10+Parameter!$M$23,Parameter!$M$24))</f>
        <v>245</v>
      </c>
      <c r="CD1231" s="60" t="str">
        <f aca="false">IF(AND(Parameter!$B$19="Ja",E1231&lt;&gt;"",ISNUMBER(MATCH(E1231,Parameter!$I$35:$I$52,0))),VLOOKUP(E1231,Parameter!$I$35:$J$52,2,0),IFERROR(VLOOKUP(D1231,Parameter!$A$35:$C$64,2,0),"Nein"))</f>
        <v>2+3</v>
      </c>
      <c r="CE1231" s="64" t="n">
        <f aca="false">IF(CA1231=0,0,IF(N(S1231)&gt;0,S1231,IFERROR(VLOOKUP(D1231,Parameter!$A$35:$C$64,3,0)+0,0)))</f>
        <v>0</v>
      </c>
      <c r="CF1231" s="60" t="n">
        <f aca="false">IF(AB1231&lt;&gt;"",AB1231,AA1231)</f>
        <v>3</v>
      </c>
      <c r="CG1231" s="60" t="str">
        <f aca="false">IF(OR(CF1231=1,CF1231=2,CF1231=3),IF(Parameter!$E$27="Ja","LIFT",IF(CF1231=1,"L1","L23")),IF(CF1231="Aussen","Aussen","-"))</f>
        <v>LIFT</v>
      </c>
      <c r="CH1231" s="71" t="n">
        <f aca="false">IF(N(AC1231)&gt;0,AC1231,0)</f>
        <v>0</v>
      </c>
      <c r="CI1231" s="65" t="n">
        <f aca="false">IF(ISNUMBER(AF1231),1,0)</f>
        <v>0</v>
      </c>
      <c r="CJ1231" s="62" t="n">
        <f aca="false">N(AF1231)</f>
        <v>0</v>
      </c>
      <c r="CK1231" s="62" t="n">
        <f aca="false">N(M1231)+N(N1231)</f>
        <v>1</v>
      </c>
      <c r="CL1231" s="62" t="n">
        <f aca="false">N(M1231)</f>
        <v>0</v>
      </c>
      <c r="CM1231" s="62" t="n">
        <f aca="false">N(N1231)</f>
        <v>1</v>
      </c>
      <c r="CN1231" s="62" t="n">
        <f aca="false">ROUNDUP(H1231/BZ1231,0)</f>
        <v>4</v>
      </c>
      <c r="CO1231" s="62" t="n">
        <f aca="false">ROUNDUP(CJ1231/BZ1231,0)</f>
        <v>0</v>
      </c>
      <c r="CP1231" s="65" t="n">
        <f aca="false">IF(CA1231=1,0,IFERROR(VLOOKUP(BY1231,'Gebinde-Kategorie'!$A$5:$N$45,5,0)+0,0))</f>
        <v>21</v>
      </c>
      <c r="CQ1231" s="65" t="n">
        <f aca="false">IFERROR(IF(OR(CF1231=1,CF1231=2,CF1231=3),N(INDEX(Parameter!$I$5:$I$7,CF1231)),0),0)</f>
        <v>0</v>
      </c>
      <c r="CR1231" s="64" t="n">
        <f aca="false">IF(AND(Parameter!$B$21="Ja",ISNUMBER(W1231),N(X1231)&gt;0),IFERROR(N(INDEX(Parameter!$L$5:$L$7,W1231))*INDEX(Parameter!$E$5:$E$7,W1231)*X1231/SUMIFS($X$7:$X$1843,$W$7:$W$1843,W1231),0),0)</f>
        <v>0</v>
      </c>
      <c r="CS1231" s="62" t="n">
        <f aca="false">IF(AND(OR(CG1231="L1",CG1231="L23",CG1231="LIFT"),H1231&gt;0),CC1231*IF(CR1231&gt;0,CR1231*MAX(1,H1231/X1231),IF(CA1231=1,CE1231,IF(R1231&gt;0,CN1231/R1231,0))/MAX(0.1,N(Parameter!$M$21))),"")</f>
        <v>37.6923076923077</v>
      </c>
      <c r="CT1231" s="64" t="n">
        <f aca="false">IF(CS1231="","",J1231/H1231)</f>
        <v>0.0444444444444444</v>
      </c>
      <c r="CU1231" s="62" t="n">
        <f aca="false">IF(CS1231="","",H1231*G1231)</f>
        <v>1620.9</v>
      </c>
      <c r="CV1231" s="63" t="n">
        <f aca="false">IF(CS1231="","",(CL1231+ROUNDUP(CL1231+MAX(CM1231,2*(J1231/MAX(0.1,N(Einkauf!$C$6))-CL1231)),0))/2)</f>
        <v>0.5</v>
      </c>
      <c r="CW1231" s="62" t="n">
        <f aca="false">IF(CS1231="","",MAX(0,H1231-CV1231)*G1231)</f>
        <v>1602.89</v>
      </c>
      <c r="CX1231" s="62" t="n">
        <f aca="false">IF(CS1231="","",CS1231*MAX(0,1-CV1231/H1231))</f>
        <v>37.2735042735043</v>
      </c>
      <c r="CY1231" s="64" t="n">
        <f aca="false">IF(CS1231="","",PERCENTRANK($CS$7:$CS$1843,CS1231)+PERCENTRANK($CU$7:$CU$1843,CU1231)+1-PERCENTRANK($CT$7:$CT$1843,CT1231))</f>
        <v>2.181</v>
      </c>
      <c r="CZ1231" s="72" t="n">
        <f aca="false">IF(CS1231="","",CHOOSE(MATCH(Einkauf!$C$5,Parameter!$G$23:$G$27,0),CY1231,CS1231,CU1231,-CT1231,CW1231)+ROW()/1000000000)</f>
        <v>2.181001231</v>
      </c>
    </row>
    <row r="1232" customFormat="false" ht="15" hidden="false" customHeight="false" outlineLevel="0" collapsed="false">
      <c r="A1232" s="60" t="s">
        <v>2247</v>
      </c>
      <c r="B1232" s="60" t="s">
        <v>2248</v>
      </c>
      <c r="C1232" s="60" t="s">
        <v>498</v>
      </c>
      <c r="D1232" s="60" t="s">
        <v>215</v>
      </c>
      <c r="E1232" s="60"/>
      <c r="F1232" s="60" t="s">
        <v>260</v>
      </c>
      <c r="G1232" s="61" t="n">
        <v>93.59</v>
      </c>
      <c r="H1232" s="62" t="n">
        <f aca="false">MAX(0,IF(AND(Parameter!$B$21="Ja",ISNUMBER(Y1232)),Y1232,IF(Parameter!$B$20="Jahresanfang 2025 + Export",BS1232+BR1232,BR1232)))</f>
        <v>0</v>
      </c>
      <c r="I1232" s="62" t="n">
        <f aca="false">H1232*G1232</f>
        <v>0</v>
      </c>
      <c r="J1232" s="62" t="n">
        <f aca="false">BU1232*Parameter!$B$18</f>
        <v>0</v>
      </c>
      <c r="K1232" s="63" t="n">
        <v>3.5</v>
      </c>
      <c r="L1232" s="64" t="n">
        <v>0</v>
      </c>
      <c r="M1232" s="62" t="n">
        <v>0</v>
      </c>
      <c r="N1232" s="62" t="n">
        <v>1</v>
      </c>
      <c r="O1232" s="65" t="n">
        <v>56</v>
      </c>
      <c r="P1232" s="60" t="s">
        <v>210</v>
      </c>
      <c r="Q1232" s="62"/>
      <c r="R1232" s="65" t="n">
        <f aca="false">IF(CA1232=1,0,IFERROR(VLOOKUP(BY1232,'Gebinde-Kategorie'!$A$5:$N$45,13,0)+0,0))</f>
        <v>4</v>
      </c>
      <c r="S1232" s="66"/>
      <c r="T1232" s="67" t="s">
        <v>231</v>
      </c>
      <c r="U1232" s="67"/>
      <c r="V1232" s="67"/>
      <c r="W1232" s="60"/>
      <c r="X1232" s="62"/>
      <c r="Y1232" s="62"/>
      <c r="Z1232" s="60" t="n">
        <v>2</v>
      </c>
      <c r="AA1232" s="60" t="n">
        <f aca="false">IF(A1232="","",IF(AND(Parameter!$B$21="Ja",ISNUMBER(W1232)),W1232,IF(AND(Parameter!$E$27="Ja",ISNUMBER(Z1232),CD1232&lt;&gt;"Nein"),Z1232,IF(CD1232="2+3",IF(ISNUMBER(SEARCH("grosser Artikel",BV1232)),2,IFERROR(VLOOKUP(BY1232,Parameter!$F$35:$G$64,2,0),2)),IF(OR(CD1232="Nein",CD1232=""),"-",CD1232)))))</f>
        <v>2</v>
      </c>
      <c r="AB1232" s="67"/>
      <c r="AC1232" s="68"/>
      <c r="AD1232" s="62" t="n">
        <f aca="false">AW1232</f>
        <v>1</v>
      </c>
      <c r="AE1232" s="62" t="n">
        <f aca="false">MAX(AW1232,H1232)</f>
        <v>1</v>
      </c>
      <c r="AF1232" s="69"/>
      <c r="AG1232" s="62" t="n">
        <f aca="false">IF(LEFT(Cockpit!$C$5,1)="A",H1232,IF(Parameter!$E$30="MAX-Bestand",IF(CI1232=1,CJ1232,IF(LEFT(Cockpit!$C$5,1)="B",AM1232,MAX(AM1232,H1232))),ROUNDUP(AK1232,0)))</f>
        <v>0</v>
      </c>
      <c r="AH1232" s="62" t="n">
        <f aca="false">IF(CA1232=1,0,ROUNDUP(AG1232/BZ1232,0))</f>
        <v>0</v>
      </c>
      <c r="AI1232" s="64" t="n">
        <f aca="false">IF(CR1232&gt;0,CR1232*MAX(1,AG1232/X1232),IF(CA1232=1,IF(AG1232&lt;=0,0,CE1232*MAX(1,IF(H1232&gt;0,AG1232/H1232,1))),IF(R1232&gt;0,AH1232/R1232,0))/MAX(0.1,N(Parameter!$M$21)))</f>
        <v>0</v>
      </c>
      <c r="AJ1232" s="62" t="n">
        <f aca="false">AI1232*CC1232</f>
        <v>0</v>
      </c>
      <c r="AK1232" s="63" t="n">
        <f aca="false">IF(LEFT(Cockpit!$C$5,1)="A",H1232,IF(CI1232=1,(CL1232+CJ1232)/2,IF(LEFT(Cockpit!$C$5,1)="B",(CL1232+AM1232)/2,MAX((CL1232+AM1232)/2,H1232))))</f>
        <v>0</v>
      </c>
      <c r="AL1232" s="62" t="n">
        <f aca="false">AK1232*G1232</f>
        <v>0</v>
      </c>
      <c r="AM1232" s="62" t="n">
        <f aca="false">ROUNDUP(CL1232+MAX(CM1232,2*(J1232/IF(CH1232&gt;0,CH1232,MAX(0.1,N(Cockpit!$C$6)))-CL1232)),0)</f>
        <v>1</v>
      </c>
      <c r="AN1232" s="63" t="n">
        <f aca="false">IF(AJ1232&gt;0,J1232/AJ1232,-1)</f>
        <v>-1</v>
      </c>
      <c r="AO1232" s="63" t="str">
        <f aca="false">IF(AND(OR(CG1232="L1",CG1232="L23",CG1232="LIFT"),AJ1232&gt;0),SUMIFS($AJ$7:$AJ$1843,$CG$7:$CG$1843,CG1232,$AN$7:$AN$1843,"&gt;"&amp;AN1232)+SUMIFS($AJ$7:$AJ$1843,$CG$7:$CG$1843,CG1232,$AN$7:$AN$1843,AN1232,$BX$7:$BX$1843,"&lt;="&amp;BX1232),"")</f>
        <v/>
      </c>
      <c r="AP1232" s="70" t="n">
        <f aca="false">IF(AO1232="",0,MAX(0,MIN(1,(IF(CG1232="L1",Parameter!$H$5,IF(CG1232="L23",Parameter!$H$6+Parameter!$H$7,Parameter!$H$5+Parameter!$H$6+Parameter!$H$7))-(AO1232-AJ1232))/AJ1232)))</f>
        <v>0</v>
      </c>
      <c r="AQ1232" s="62" t="n">
        <f aca="false">IF(LEFT(Cockpit!$I$5,1)="A",H1232,IF(Parameter!$E$30="MAX-Bestand",IF(CI1232=1,CJ1232,IF(LEFT(Cockpit!$I$5,1)="B",AW1232,MAX(AW1232,H1232))),ROUNDUP(AU1232,0)))</f>
        <v>1</v>
      </c>
      <c r="AR1232" s="62" t="n">
        <f aca="false">IF(CA1232=1,0,ROUNDUP(AQ1232/BZ1232,0))</f>
        <v>1</v>
      </c>
      <c r="AS1232" s="64" t="n">
        <f aca="false">IF(CR1232&gt;0,CR1232*MAX(1,AQ1232/X1232),IF(CA1232=1,IF(AQ1232&lt;=0,0,CE1232*MAX(1,IF(H1232&gt;0,AQ1232/H1232,1))),IF(R1232&gt;0,AR1232/R1232,0))/MAX(0.1,N(Parameter!$M$21)))</f>
        <v>0.25</v>
      </c>
      <c r="AT1232" s="62" t="n">
        <f aca="false">AS1232*CC1232</f>
        <v>58.75</v>
      </c>
      <c r="AU1232" s="63" t="n">
        <f aca="false">IF(LEFT(Cockpit!$I$5,1)="A",H1232,IF(CI1232=1,(CL1232+CJ1232)/2,IF(LEFT(Cockpit!$I$5,1)="B",(CL1232+AW1232)/2,MAX((CL1232+AW1232)/2,H1232))))</f>
        <v>0.5</v>
      </c>
      <c r="AV1232" s="62" t="n">
        <f aca="false">AU1232*G1232</f>
        <v>46.795</v>
      </c>
      <c r="AW1232" s="62" t="n">
        <f aca="false">ROUNDUP(CL1232+MAX(CM1232,2*(J1232/IF(CH1232&gt;0,CH1232,MAX(0.1,N(Cockpit!$I$6)))-CL1232)),0)</f>
        <v>1</v>
      </c>
      <c r="AX1232" s="63" t="n">
        <f aca="false">IF(AT1232&gt;0,J1232/AT1232,-1)</f>
        <v>0</v>
      </c>
      <c r="AY1232" s="63" t="n">
        <f aca="false">IF(AND(OR(CG1232="L1",CG1232="L23",CG1232="LIFT"),AT1232&gt;0),SUMIFS($AT$7:$AT$1843,$CG$7:$CG$1843,CG1232,$AX$7:$AX$1843,"&gt;"&amp;AX1232)+SUMIFS($AT$7:$AT$1843,$CG$7:$CG$1843,CG1232,$AX$7:$AX$1843,AX1232,$BX$7:$BX$1843,"&lt;="&amp;BX1232),"")</f>
        <v>35309.7376373626</v>
      </c>
      <c r="AZ1232" s="70" t="n">
        <f aca="false">IF(AY1232="",0,MAX(0,MIN(1,(IF(CG1232="L1",Parameter!$H$5,IF(CG1232="L23",Parameter!$H$6+Parameter!$H$7,Parameter!$H$5+Parameter!$H$6+Parameter!$H$7))-(AY1232-AT1232))/AT1232)))</f>
        <v>1</v>
      </c>
      <c r="BA1232" s="62" t="n">
        <f aca="false">IF(LEFT(Cockpit!$O$5,1)="A",H1232,IF(Parameter!$E$30="MAX-Bestand",IF(CI1232=1,CJ1232,IF(LEFT(Cockpit!$O$5,1)="B",BG1232,MAX(BG1232,H1232))),ROUNDUP(BE1232,0)))</f>
        <v>1</v>
      </c>
      <c r="BB1232" s="62" t="n">
        <f aca="false">IF(CA1232=1,0,ROUNDUP(BA1232/BZ1232,0))</f>
        <v>1</v>
      </c>
      <c r="BC1232" s="64" t="n">
        <f aca="false">IF(CR1232&gt;0,CR1232*MAX(1,BA1232/X1232),IF(CA1232=1,IF(BA1232&lt;=0,0,CE1232*MAX(1,IF(H1232&gt;0,BA1232/H1232,1))),IF(R1232&gt;0,BB1232/R1232,0))/MAX(0.1,N(Parameter!$M$21)))</f>
        <v>0.25</v>
      </c>
      <c r="BD1232" s="62" t="n">
        <f aca="false">BC1232*CC1232</f>
        <v>58.75</v>
      </c>
      <c r="BE1232" s="63" t="n">
        <f aca="false">IF(LEFT(Cockpit!$O$5,1)="A",H1232,IF(CI1232=1,(CL1232+CJ1232)/2,IF(LEFT(Cockpit!$O$5,1)="B",(CL1232+BG1232)/2,MAX((CL1232+BG1232)/2,H1232))))</f>
        <v>0.5</v>
      </c>
      <c r="BF1232" s="62" t="n">
        <f aca="false">BE1232*G1232</f>
        <v>46.795</v>
      </c>
      <c r="BG1232" s="62" t="n">
        <f aca="false">ROUNDUP(CL1232+MAX(CM1232,2*(J1232/IF(CH1232&gt;0,CH1232,MAX(0.1,N(Cockpit!$O$6)))-CL1232)),0)</f>
        <v>1</v>
      </c>
      <c r="BH1232" s="63" t="n">
        <f aca="false">IF(BD1232&gt;0,J1232/BD1232,-1)</f>
        <v>0</v>
      </c>
      <c r="BI1232" s="63" t="n">
        <f aca="false">IF(AND(OR(CG1232="L1",CG1232="L23",CG1232="LIFT"),BD1232&gt;0),SUMIFS($BD$7:$BD$1843,$CG$7:$CG$1843,CG1232,$BH$7:$BH$1843,"&gt;"&amp;BH1232)+SUMIFS($BD$7:$BD$1843,$CG$7:$CG$1843,CG1232,$BH$7:$BH$1843,BH1232,$BX$7:$BX$1843,"&lt;="&amp;BX1232),"")</f>
        <v>29295.0442975104</v>
      </c>
      <c r="BJ1232" s="70" t="n">
        <f aca="false">IF(BI1232="",0,MAX(0,MIN(1,(IF(CG1232="L1",Parameter!$H$5,IF(CG1232="L23",Parameter!$H$6+Parameter!$H$7,Parameter!$H$5+Parameter!$H$6+Parameter!$H$7))-(BI1232-BD1232))/BD1232)))</f>
        <v>1</v>
      </c>
      <c r="BK1232" s="60" t="str">
        <f aca="false">IF(AJ1232&lt;=0,"",IF(CG1232="Aussen","Aussenlager",IF(CG1232="-","Nicht im Lift",IF(AP1232&gt;=1,"Lift",IF(AP1232&lt;=0,"Aussenlager","teilweise")))))</f>
        <v/>
      </c>
      <c r="BL1232" s="60" t="str">
        <f aca="false">IF(AT1232&lt;=0,"",IF(CG1232="Aussen","Aussenlager",IF(CG1232="-","Nicht im Lift",IF(AZ1232&gt;=1,"Lift",IF(AZ1232&lt;=0,"Aussenlager","teilweise")))))</f>
        <v>Lift</v>
      </c>
      <c r="BM1232" s="60" t="str">
        <f aca="false">IF(BD1232&lt;=0,"",IF(CG1232="Aussen","Aussenlager",IF(CG1232="-","Nicht im Lift",IF(BJ1232&gt;=1,"Lift",IF(BJ1232&lt;=0,"Aussenlager","teilweise")))))</f>
        <v>Lift</v>
      </c>
      <c r="BN1232" s="60" t="str">
        <f aca="false">IF(A1232="","",IF(BW1232=1,"Neu; ","")&amp;IF(AND(BW1232=0,BR1232&lt;0),"negativer Bestand (Export "&amp;BR1232&amp;"); ","")&amp;IF(J1232&lt;=0,"Kein Verbrauch; ","")&amp;IF(CR1232&gt;0,"Lift "&amp;W1232&amp;" lt. Liftbericht (Fach "&amp;X1232&amp;" Stk); ",IF(CB1232=1,"Gebinde geschätzt ("&amp;T1232&amp;"); ",IF(CA1232=1,"Lose – Tablare geschätzt; ","")))&amp;IF(H1232&gt;AW1232,"Überbestand "&amp;ROUND(H1232-AW1232,0)&amp;" Stk / CHF "&amp;ROUND((H1232-AW1232)*G1232,0)&amp;"; ","")&amp;IF(AND(CI1232=1,CJ1232&lt;CK1232),"MAX &lt; MB+LG; ","")&amp;IF(AND(CQ1232&gt;0,CP1232*10&gt;CQ1232),"zu hoch für Tablar; ","")&amp;IF(AND(BW1232=0,OR(CI1232=1,AB1232&lt;&gt;"",U1232&lt;&gt;"",V1232&lt;&gt;"",AC1232&lt;&gt;"")),"manuell übersteuert; ","")&amp;IF(AND(CA1232=0,R1232=0),"Gebinde unbekannt / Stellmass fehlt; ","")&amp;IF(AND(CA1232=0,N(V1232)&lt;=0,N(Q1232)&lt;=0),"Menge pro Gebinde fehlt (Ist = 1 Gebinde); ","")&amp;BV1232)</f>
        <v>negativer Bestand (Export -7); Kein Verbrauch; Gebinde geschätzt (Gross); Menge pro Gebinde fehlt (Ist = 1 Gebinde); Neuer Art.</v>
      </c>
      <c r="BO1232" s="60"/>
      <c r="BP1232" s="60"/>
      <c r="BQ1232" s="67"/>
      <c r="BR1232" s="62" t="n">
        <v>-7</v>
      </c>
      <c r="BS1232" s="62" t="n">
        <v>7</v>
      </c>
      <c r="BT1232" s="61" t="n">
        <v>-655.13</v>
      </c>
      <c r="BU1232" s="62" t="n">
        <v>0</v>
      </c>
      <c r="BV1232" s="60" t="s">
        <v>554</v>
      </c>
      <c r="BW1232" s="65" t="n">
        <v>0</v>
      </c>
      <c r="BX1232" s="65" t="n">
        <v>1232</v>
      </c>
      <c r="BY1232" s="60" t="str">
        <f aca="false">IF(U1232&lt;&gt;"",UPPER(TRIM(U1232)),IF(CB1232=1,UPPER(VLOOKUP(T1232,Parameter!$I$27:$K$29,2,0)),IF(P1232="","LOSE",P1232)))</f>
        <v>S81</v>
      </c>
      <c r="BZ1232" s="62" t="n">
        <f aca="false">IF(BY1232="LOSE",1,IF(N(V1232)&gt;0,V1232,IF(CB1232=1,MAX(1,N(VLOOKUP(T1232,Parameter!$I$27:$K$29,3,0)),H1232,N(N1232)),IF(N(Q1232)&gt;0,Q1232,MAX(1,H1232)))))</f>
        <v>2</v>
      </c>
      <c r="CA1232" s="65" t="n">
        <f aca="false">IF(BY1232="LOSE",1,0)</f>
        <v>0</v>
      </c>
      <c r="CB1232" s="65" t="n">
        <f aca="false">IF(AND(U1232="",OR(P1232="",P1232="LOSE"),T1232&lt;&gt;"",N(S1232)&lt;=0,ISNUMBER(MATCH(T1232,Parameter!$I$27:$I$29,0))),1,0)</f>
        <v>1</v>
      </c>
      <c r="CC1232" s="65" t="n">
        <f aca="false">IF(CR1232&gt;0,INDEX(Parameter!$H$5:$H$7,W1232)/INDEX(Parameter!$E$5:$E$7,W1232),IF(AND(CA1232=0,N(IFERROR(VLOOKUP(BY1232,'Gebinde-Kategorie'!$A$5:$N$45,14,0),0))&gt;0),VLOOKUP(BY1232,'Gebinde-Kategorie'!$A$5:$N$45,14,0)*10+Parameter!$M$23,Parameter!$M$24))</f>
        <v>235</v>
      </c>
      <c r="CD1232" s="60" t="str">
        <f aca="false">IF(AND(Parameter!$B$19="Ja",E1232&lt;&gt;"",ISNUMBER(MATCH(E1232,Parameter!$I$35:$I$52,0))),VLOOKUP(E1232,Parameter!$I$35:$J$52,2,0),IFERROR(VLOOKUP(D1232,Parameter!$A$35:$C$64,2,0),"Nein"))</f>
        <v>2+3</v>
      </c>
      <c r="CE1232" s="64" t="n">
        <f aca="false">IF(CA1232=0,0,IF(N(S1232)&gt;0,S1232,IFERROR(VLOOKUP(D1232,Parameter!$A$35:$C$64,3,0)+0,0)))</f>
        <v>0</v>
      </c>
      <c r="CF1232" s="60" t="n">
        <f aca="false">IF(AB1232&lt;&gt;"",AB1232,AA1232)</f>
        <v>2</v>
      </c>
      <c r="CG1232" s="60" t="str">
        <f aca="false">IF(OR(CF1232=1,CF1232=2,CF1232=3),IF(Parameter!$E$27="Ja","LIFT",IF(CF1232=1,"L1","L23")),IF(CF1232="Aussen","Aussen","-"))</f>
        <v>LIFT</v>
      </c>
      <c r="CH1232" s="71" t="n">
        <f aca="false">IF(N(AC1232)&gt;0,AC1232,0)</f>
        <v>0</v>
      </c>
      <c r="CI1232" s="65" t="n">
        <f aca="false">IF(ISNUMBER(AF1232),1,0)</f>
        <v>0</v>
      </c>
      <c r="CJ1232" s="62" t="n">
        <f aca="false">N(AF1232)</f>
        <v>0</v>
      </c>
      <c r="CK1232" s="62" t="n">
        <f aca="false">N(M1232)+N(N1232)</f>
        <v>1</v>
      </c>
      <c r="CL1232" s="62" t="n">
        <f aca="false">N(M1232)</f>
        <v>0</v>
      </c>
      <c r="CM1232" s="62" t="n">
        <f aca="false">N(N1232)</f>
        <v>1</v>
      </c>
      <c r="CN1232" s="62" t="n">
        <f aca="false">ROUNDUP(H1232/BZ1232,0)</f>
        <v>0</v>
      </c>
      <c r="CO1232" s="62" t="n">
        <f aca="false">ROUNDUP(CJ1232/BZ1232,0)</f>
        <v>0</v>
      </c>
      <c r="CP1232" s="65" t="n">
        <f aca="false">IF(CA1232=1,0,IFERROR(VLOOKUP(BY1232,'Gebinde-Kategorie'!$A$5:$N$45,5,0)+0,0))</f>
        <v>20</v>
      </c>
      <c r="CQ1232" s="65" t="n">
        <f aca="false">IFERROR(IF(OR(CF1232=1,CF1232=2,CF1232=3),N(INDEX(Parameter!$I$5:$I$7,CF1232)),0),0)</f>
        <v>0</v>
      </c>
      <c r="CR1232" s="64" t="n">
        <f aca="false">IF(AND(Parameter!$B$21="Ja",ISNUMBER(W1232),N(X1232)&gt;0),IFERROR(N(INDEX(Parameter!$L$5:$L$7,W1232))*INDEX(Parameter!$E$5:$E$7,W1232)*X1232/SUMIFS($X$7:$X$1843,$W$7:$W$1843,W1232),0),0)</f>
        <v>0</v>
      </c>
      <c r="CS1232" s="62" t="str">
        <f aca="false">IF(AND(OR(CG1232="L1",CG1232="L23",CG1232="LIFT"),H1232&gt;0),CC1232*IF(CR1232&gt;0,CR1232*MAX(1,H1232/X1232),IF(CA1232=1,CE1232,IF(R1232&gt;0,CN1232/R1232,0))/MAX(0.1,N(Parameter!$M$21))),"")</f>
        <v/>
      </c>
      <c r="CT1232" s="64" t="str">
        <f aca="false">IF(CS1232="","",J1232/H1232)</f>
        <v/>
      </c>
      <c r="CU1232" s="62" t="str">
        <f aca="false">IF(CS1232="","",H1232*G1232)</f>
        <v/>
      </c>
      <c r="CV1232" s="63" t="str">
        <f aca="false">IF(CS1232="","",(CL1232+ROUNDUP(CL1232+MAX(CM1232,2*(J1232/MAX(0.1,N(Einkauf!$C$6))-CL1232)),0))/2)</f>
        <v/>
      </c>
      <c r="CW1232" s="62" t="str">
        <f aca="false">IF(CS1232="","",MAX(0,H1232-CV1232)*G1232)</f>
        <v/>
      </c>
      <c r="CX1232" s="62" t="str">
        <f aca="false">IF(CS1232="","",CS1232*MAX(0,1-CV1232/H1232))</f>
        <v/>
      </c>
      <c r="CY1232" s="64" t="str">
        <f aca="false">IF(CS1232="","",PERCENTRANK($CS$7:$CS$1843,CS1232)+PERCENTRANK($CU$7:$CU$1843,CU1232)+1-PERCENTRANK($CT$7:$CT$1843,CT1232))</f>
        <v/>
      </c>
      <c r="CZ1232" s="72" t="str">
        <f aca="false">IF(CS1232="","",CHOOSE(MATCH(Einkauf!$C$5,Parameter!$G$23:$G$27,0),CY1232,CS1232,CU1232,-CT1232,CW1232)+ROW()/1000000000)</f>
        <v/>
      </c>
    </row>
    <row r="1233" customFormat="false" ht="15" hidden="false" customHeight="false" outlineLevel="0" collapsed="false">
      <c r="A1233" s="60" t="s">
        <v>2249</v>
      </c>
      <c r="B1233" s="60" t="s">
        <v>2250</v>
      </c>
      <c r="C1233" s="60" t="s">
        <v>206</v>
      </c>
      <c r="D1233" s="60" t="s">
        <v>215</v>
      </c>
      <c r="E1233" s="60" t="s">
        <v>227</v>
      </c>
      <c r="F1233" s="60" t="s">
        <v>260</v>
      </c>
      <c r="G1233" s="61" t="n">
        <v>131.25</v>
      </c>
      <c r="H1233" s="62" t="n">
        <f aca="false">MAX(0,IF(AND(Parameter!$B$21="Ja",ISNUMBER(Y1233)),Y1233,IF(Parameter!$B$20="Jahresanfang 2025 + Export",BS1233+BR1233,BR1233)))</f>
        <v>8</v>
      </c>
      <c r="I1233" s="62" t="n">
        <f aca="false">H1233*G1233</f>
        <v>1050</v>
      </c>
      <c r="J1233" s="62" t="n">
        <f aca="false">BU1233*Parameter!$B$18</f>
        <v>6</v>
      </c>
      <c r="K1233" s="63" t="n">
        <v>9.5</v>
      </c>
      <c r="L1233" s="64" t="n">
        <v>0.631578947368421</v>
      </c>
      <c r="M1233" s="62" t="n">
        <v>0</v>
      </c>
      <c r="N1233" s="62" t="n">
        <v>5</v>
      </c>
      <c r="O1233" s="65" t="n">
        <v>21</v>
      </c>
      <c r="P1233" s="60" t="s">
        <v>301</v>
      </c>
      <c r="Q1233" s="62" t="n">
        <v>6</v>
      </c>
      <c r="R1233" s="65" t="n">
        <f aca="false">IF(CA1233=1,0,IFERROR(VLOOKUP(BY1233,'Gebinde-Kategorie'!$A$5:$N$45,13,0)+0,0))</f>
        <v>6</v>
      </c>
      <c r="S1233" s="66"/>
      <c r="T1233" s="67"/>
      <c r="U1233" s="67"/>
      <c r="V1233" s="67"/>
      <c r="W1233" s="60"/>
      <c r="X1233" s="62"/>
      <c r="Y1233" s="62"/>
      <c r="Z1233" s="60" t="n">
        <v>2</v>
      </c>
      <c r="AA1233" s="60" t="n">
        <f aca="false">IF(A1233="","",IF(AND(Parameter!$B$21="Ja",ISNUMBER(W1233)),W1233,IF(AND(Parameter!$E$27="Ja",ISNUMBER(Z1233),CD1233&lt;&gt;"Nein"),Z1233,IF(CD1233="2+3",IF(ISNUMBER(SEARCH("grosser Artikel",BV1233)),2,IFERROR(VLOOKUP(BY1233,Parameter!$F$35:$G$64,2,0),2)),IF(OR(CD1233="Nein",CD1233=""),"-",CD1233)))))</f>
        <v>2</v>
      </c>
      <c r="AB1233" s="67"/>
      <c r="AC1233" s="68"/>
      <c r="AD1233" s="62" t="n">
        <f aca="false">AW1233</f>
        <v>5</v>
      </c>
      <c r="AE1233" s="62" t="n">
        <f aca="false">MAX(AW1233,H1233)</f>
        <v>8</v>
      </c>
      <c r="AF1233" s="69"/>
      <c r="AG1233" s="62" t="n">
        <f aca="false">IF(LEFT(Cockpit!$C$5,1)="A",H1233,IF(Parameter!$E$30="MAX-Bestand",IF(CI1233=1,CJ1233,IF(LEFT(Cockpit!$C$5,1)="B",AM1233,MAX(AM1233,H1233))),ROUNDUP(AK1233,0)))</f>
        <v>8</v>
      </c>
      <c r="AH1233" s="62" t="n">
        <f aca="false">IF(CA1233=1,0,ROUNDUP(AG1233/BZ1233,0))</f>
        <v>2</v>
      </c>
      <c r="AI1233" s="64" t="n">
        <f aca="false">IF(CR1233&gt;0,CR1233*MAX(1,AG1233/X1233),IF(CA1233=1,IF(AG1233&lt;=0,0,CE1233*MAX(1,IF(H1233&gt;0,AG1233/H1233,1))),IF(R1233&gt;0,AH1233/R1233,0))/MAX(0.1,N(Parameter!$M$21)))</f>
        <v>0.333333333333333</v>
      </c>
      <c r="AJ1233" s="62" t="n">
        <f aca="false">AI1233*CC1233</f>
        <v>145</v>
      </c>
      <c r="AK1233" s="63" t="n">
        <f aca="false">IF(LEFT(Cockpit!$C$5,1)="A",H1233,IF(CI1233=1,(CL1233+CJ1233)/2,IF(LEFT(Cockpit!$C$5,1)="B",(CL1233+AM1233)/2,MAX((CL1233+AM1233)/2,H1233))))</f>
        <v>8</v>
      </c>
      <c r="AL1233" s="62" t="n">
        <f aca="false">AK1233*G1233</f>
        <v>1050</v>
      </c>
      <c r="AM1233" s="62" t="n">
        <f aca="false">ROUNDUP(CL1233+MAX(CM1233,2*(J1233/IF(CH1233&gt;0,CH1233,MAX(0.1,N(Cockpit!$C$6)))-CL1233)),0)</f>
        <v>5</v>
      </c>
      <c r="AN1233" s="63" t="n">
        <f aca="false">IF(AJ1233&gt;0,J1233/AJ1233,-1)</f>
        <v>0.0413793103448276</v>
      </c>
      <c r="AO1233" s="63" t="n">
        <f aca="false">IF(AND(OR(CG1233="L1",CG1233="L23",CG1233="LIFT"),AJ1233&gt;0),SUMIFS($AJ$7:$AJ$1843,$CG$7:$CG$1843,CG1233,$AN$7:$AN$1843,"&gt;"&amp;AN1233)+SUMIFS($AJ$7:$AJ$1843,$CG$7:$CG$1843,CG1233,$AN$7:$AN$1843,AN1233,$BX$7:$BX$1843,"&lt;="&amp;BX1233),"")</f>
        <v>19866.4740873533</v>
      </c>
      <c r="AP1233" s="70" t="n">
        <f aca="false">IF(AO1233="",0,MAX(0,MIN(1,(IF(CG1233="L1",Parameter!$H$5,IF(CG1233="L23",Parameter!$H$6+Parameter!$H$7,Parameter!$H$5+Parameter!$H$6+Parameter!$H$7))-(AO1233-AJ1233))/AJ1233)))</f>
        <v>1</v>
      </c>
      <c r="AQ1233" s="62" t="n">
        <f aca="false">IF(LEFT(Cockpit!$I$5,1)="A",H1233,IF(Parameter!$E$30="MAX-Bestand",IF(CI1233=1,CJ1233,IF(LEFT(Cockpit!$I$5,1)="B",AW1233,MAX(AW1233,H1233))),ROUNDUP(AU1233,0)))</f>
        <v>8</v>
      </c>
      <c r="AR1233" s="62" t="n">
        <f aca="false">IF(CA1233=1,0,ROUNDUP(AQ1233/BZ1233,0))</f>
        <v>2</v>
      </c>
      <c r="AS1233" s="64" t="n">
        <f aca="false">IF(CR1233&gt;0,CR1233*MAX(1,AQ1233/X1233),IF(CA1233=1,IF(AQ1233&lt;=0,0,CE1233*MAX(1,IF(H1233&gt;0,AQ1233/H1233,1))),IF(R1233&gt;0,AR1233/R1233,0))/MAX(0.1,N(Parameter!$M$21)))</f>
        <v>0.333333333333333</v>
      </c>
      <c r="AT1233" s="62" t="n">
        <f aca="false">AS1233*CC1233</f>
        <v>145</v>
      </c>
      <c r="AU1233" s="63" t="n">
        <f aca="false">IF(LEFT(Cockpit!$I$5,1)="A",H1233,IF(CI1233=1,(CL1233+CJ1233)/2,IF(LEFT(Cockpit!$I$5,1)="B",(CL1233+AW1233)/2,MAX((CL1233+AW1233)/2,H1233))))</f>
        <v>8</v>
      </c>
      <c r="AV1233" s="62" t="n">
        <f aca="false">AU1233*G1233</f>
        <v>1050</v>
      </c>
      <c r="AW1233" s="62" t="n">
        <f aca="false">ROUNDUP(CL1233+MAX(CM1233,2*(J1233/IF(CH1233&gt;0,CH1233,MAX(0.1,N(Cockpit!$I$6)))-CL1233)),0)</f>
        <v>5</v>
      </c>
      <c r="AX1233" s="63" t="n">
        <f aca="false">IF(AT1233&gt;0,J1233/AT1233,-1)</f>
        <v>0.0413793103448276</v>
      </c>
      <c r="AY1233" s="63" t="n">
        <f aca="false">IF(AND(OR(CG1233="L1",CG1233="L23",CG1233="LIFT"),AT1233&gt;0),SUMIFS($AT$7:$AT$1843,$CG$7:$CG$1843,CG1233,$AX$7:$AX$1843,"&gt;"&amp;AX1233)+SUMIFS($AT$7:$AT$1843,$CG$7:$CG$1843,CG1233,$AX$7:$AX$1843,AX1233,$BX$7:$BX$1843,"&lt;="&amp;BX1233),"")</f>
        <v>24925.8727287308</v>
      </c>
      <c r="AZ1233" s="70" t="n">
        <f aca="false">IF(AY1233="",0,MAX(0,MIN(1,(IF(CG1233="L1",Parameter!$H$5,IF(CG1233="L23",Parameter!$H$6+Parameter!$H$7,Parameter!$H$5+Parameter!$H$6+Parameter!$H$7))-(AY1233-AT1233))/AT1233)))</f>
        <v>1</v>
      </c>
      <c r="BA1233" s="62" t="n">
        <f aca="false">IF(LEFT(Cockpit!$O$5,1)="A",H1233,IF(Parameter!$E$30="MAX-Bestand",IF(CI1233=1,CJ1233,IF(LEFT(Cockpit!$O$5,1)="B",BG1233,MAX(BG1233,H1233))),ROUNDUP(BE1233,0)))</f>
        <v>3</v>
      </c>
      <c r="BB1233" s="62" t="n">
        <f aca="false">IF(CA1233=1,0,ROUNDUP(BA1233/BZ1233,0))</f>
        <v>1</v>
      </c>
      <c r="BC1233" s="64" t="n">
        <f aca="false">IF(CR1233&gt;0,CR1233*MAX(1,BA1233/X1233),IF(CA1233=1,IF(BA1233&lt;=0,0,CE1233*MAX(1,IF(H1233&gt;0,BA1233/H1233,1))),IF(R1233&gt;0,BB1233/R1233,0))/MAX(0.1,N(Parameter!$M$21)))</f>
        <v>0.166666666666667</v>
      </c>
      <c r="BD1233" s="62" t="n">
        <f aca="false">BC1233*CC1233</f>
        <v>72.5</v>
      </c>
      <c r="BE1233" s="63" t="n">
        <f aca="false">IF(LEFT(Cockpit!$O$5,1)="A",H1233,IF(CI1233=1,(CL1233+CJ1233)/2,IF(LEFT(Cockpit!$O$5,1)="B",(CL1233+BG1233)/2,MAX((CL1233+BG1233)/2,H1233))))</f>
        <v>2.5</v>
      </c>
      <c r="BF1233" s="62" t="n">
        <f aca="false">BE1233*G1233</f>
        <v>328.125</v>
      </c>
      <c r="BG1233" s="62" t="n">
        <f aca="false">ROUNDUP(CL1233+MAX(CM1233,2*(J1233/IF(CH1233&gt;0,CH1233,MAX(0.1,N(Cockpit!$O$6)))-CL1233)),0)</f>
        <v>5</v>
      </c>
      <c r="BH1233" s="63" t="n">
        <f aca="false">IF(BD1233&gt;0,J1233/BD1233,-1)</f>
        <v>0.0827586206896552</v>
      </c>
      <c r="BI1233" s="63" t="n">
        <f aca="false">IF(AND(OR(CG1233="L1",CG1233="L23",CG1233="LIFT"),BD1233&gt;0),SUMIFS($BD$7:$BD$1843,$CG$7:$CG$1843,CG1233,$BH$7:$BH$1843,"&gt;"&amp;BH1233)+SUMIFS($BD$7:$BD$1843,$CG$7:$CG$1843,CG1233,$BH$7:$BH$1843,BH1233,$BX$7:$BX$1843,"&lt;="&amp;BX1233),"")</f>
        <v>18419.8122426067</v>
      </c>
      <c r="BJ1233" s="70" t="n">
        <f aca="false">IF(BI1233="",0,MAX(0,MIN(1,(IF(CG1233="L1",Parameter!$H$5,IF(CG1233="L23",Parameter!$H$6+Parameter!$H$7,Parameter!$H$5+Parameter!$H$6+Parameter!$H$7))-(BI1233-BD1233))/BD1233)))</f>
        <v>1</v>
      </c>
      <c r="BK1233" s="60" t="str">
        <f aca="false">IF(AJ1233&lt;=0,"",IF(CG1233="Aussen","Aussenlager",IF(CG1233="-","Nicht im Lift",IF(AP1233&gt;=1,"Lift",IF(AP1233&lt;=0,"Aussenlager","teilweise")))))</f>
        <v>Lift</v>
      </c>
      <c r="BL1233" s="60" t="str">
        <f aca="false">IF(AT1233&lt;=0,"",IF(CG1233="Aussen","Aussenlager",IF(CG1233="-","Nicht im Lift",IF(AZ1233&gt;=1,"Lift",IF(AZ1233&lt;=0,"Aussenlager","teilweise")))))</f>
        <v>Lift</v>
      </c>
      <c r="BM1233" s="60" t="str">
        <f aca="false">IF(BD1233&lt;=0,"",IF(CG1233="Aussen","Aussenlager",IF(CG1233="-","Nicht im Lift",IF(BJ1233&gt;=1,"Lift",IF(BJ1233&lt;=0,"Aussenlager","teilweise")))))</f>
        <v>Lift</v>
      </c>
      <c r="BN1233" s="60" t="str">
        <f aca="false">IF(A1233="","",IF(BW1233=1,"Neu; ","")&amp;IF(AND(BW1233=0,BR1233&lt;0),"negativer Bestand (Export "&amp;BR1233&amp;"); ","")&amp;IF(J1233&lt;=0,"Kein Verbrauch; ","")&amp;IF(CR1233&gt;0,"Lift "&amp;W1233&amp;" lt. Liftbericht (Fach "&amp;X1233&amp;" Stk); ",IF(CB1233=1,"Gebinde geschätzt ("&amp;T1233&amp;"); ",IF(CA1233=1,"Lose – Tablare geschätzt; ","")))&amp;IF(H1233&gt;AW1233,"Überbestand "&amp;ROUND(H1233-AW1233,0)&amp;" Stk / CHF "&amp;ROUND((H1233-AW1233)*G1233,0)&amp;"; ","")&amp;IF(AND(CI1233=1,CJ1233&lt;CK1233),"MAX &lt; MB+LG; ","")&amp;IF(AND(CQ1233&gt;0,CP1233*10&gt;CQ1233),"zu hoch für Tablar; ","")&amp;IF(AND(BW1233=0,OR(CI1233=1,AB1233&lt;&gt;"",U1233&lt;&gt;"",V1233&lt;&gt;"",AC1233&lt;&gt;"")),"manuell übersteuert; ","")&amp;IF(AND(CA1233=0,R1233=0),"Gebinde unbekannt / Stellmass fehlt; ","")&amp;IF(AND(CA1233=0,N(V1233)&lt;=0,N(Q1233)&lt;=0),"Menge pro Gebinde fehlt (Ist = 1 Gebinde); ","")&amp;BV1233)</f>
        <v>negativer Bestand (Export -5); Überbestand 3 Stk / CHF 394; grosser Artikel &amp; nicht im KTL</v>
      </c>
      <c r="BO1233" s="60"/>
      <c r="BP1233" s="60"/>
      <c r="BQ1233" s="67"/>
      <c r="BR1233" s="62" t="n">
        <v>-5</v>
      </c>
      <c r="BS1233" s="62" t="n">
        <v>13</v>
      </c>
      <c r="BT1233" s="61" t="n">
        <v>-656.25</v>
      </c>
      <c r="BU1233" s="62" t="n">
        <v>6</v>
      </c>
      <c r="BV1233" s="60" t="s">
        <v>303</v>
      </c>
      <c r="BW1233" s="65" t="n">
        <v>0</v>
      </c>
      <c r="BX1233" s="65" t="n">
        <v>1233</v>
      </c>
      <c r="BY1233" s="60" t="str">
        <f aca="false">IF(U1233&lt;&gt;"",UPPER(TRIM(U1233)),IF(CB1233=1,UPPER(VLOOKUP(T1233,Parameter!$I$27:$K$29,2,0)),IF(P1233="","LOSE",P1233)))</f>
        <v>S72</v>
      </c>
      <c r="BZ1233" s="62" t="n">
        <f aca="false">IF(BY1233="LOSE",1,IF(N(V1233)&gt;0,V1233,IF(CB1233=1,MAX(1,N(VLOOKUP(T1233,Parameter!$I$27:$K$29,3,0)),H1233,N(N1233)),IF(N(Q1233)&gt;0,Q1233,MAX(1,H1233)))))</f>
        <v>6</v>
      </c>
      <c r="CA1233" s="65" t="n">
        <f aca="false">IF(BY1233="LOSE",1,0)</f>
        <v>0</v>
      </c>
      <c r="CB1233" s="65" t="n">
        <f aca="false">IF(AND(U1233="",OR(P1233="",P1233="LOSE"),T1233&lt;&gt;"",N(S1233)&lt;=0,ISNUMBER(MATCH(T1233,Parameter!$I$27:$I$29,0))),1,0)</f>
        <v>0</v>
      </c>
      <c r="CC1233" s="65" t="n">
        <f aca="false">IF(CR1233&gt;0,INDEX(Parameter!$H$5:$H$7,W1233)/INDEX(Parameter!$E$5:$E$7,W1233),IF(AND(CA1233=0,N(IFERROR(VLOOKUP(BY1233,'Gebinde-Kategorie'!$A$5:$N$45,14,0),0))&gt;0),VLOOKUP(BY1233,'Gebinde-Kategorie'!$A$5:$N$45,14,0)*10+Parameter!$M$23,Parameter!$M$24))</f>
        <v>435</v>
      </c>
      <c r="CD1233" s="60" t="str">
        <f aca="false">IF(AND(Parameter!$B$19="Ja",E1233&lt;&gt;"",ISNUMBER(MATCH(E1233,Parameter!$I$35:$I$52,0))),VLOOKUP(E1233,Parameter!$I$35:$J$52,2,0),IFERROR(VLOOKUP(D1233,Parameter!$A$35:$C$64,2,0),"Nein"))</f>
        <v>2+3</v>
      </c>
      <c r="CE1233" s="64" t="n">
        <f aca="false">IF(CA1233=0,0,IF(N(S1233)&gt;0,S1233,IFERROR(VLOOKUP(D1233,Parameter!$A$35:$C$64,3,0)+0,0)))</f>
        <v>0</v>
      </c>
      <c r="CF1233" s="60" t="n">
        <f aca="false">IF(AB1233&lt;&gt;"",AB1233,AA1233)</f>
        <v>2</v>
      </c>
      <c r="CG1233" s="60" t="str">
        <f aca="false">IF(OR(CF1233=1,CF1233=2,CF1233=3),IF(Parameter!$E$27="Ja","LIFT",IF(CF1233=1,"L1","L23")),IF(CF1233="Aussen","Aussen","-"))</f>
        <v>LIFT</v>
      </c>
      <c r="CH1233" s="71" t="n">
        <f aca="false">IF(N(AC1233)&gt;0,AC1233,0)</f>
        <v>0</v>
      </c>
      <c r="CI1233" s="65" t="n">
        <f aca="false">IF(ISNUMBER(AF1233),1,0)</f>
        <v>0</v>
      </c>
      <c r="CJ1233" s="62" t="n">
        <f aca="false">N(AF1233)</f>
        <v>0</v>
      </c>
      <c r="CK1233" s="62" t="n">
        <f aca="false">N(M1233)+N(N1233)</f>
        <v>5</v>
      </c>
      <c r="CL1233" s="62" t="n">
        <f aca="false">N(M1233)</f>
        <v>0</v>
      </c>
      <c r="CM1233" s="62" t="n">
        <f aca="false">N(N1233)</f>
        <v>5</v>
      </c>
      <c r="CN1233" s="62" t="n">
        <f aca="false">ROUNDUP(H1233/BZ1233,0)</f>
        <v>2</v>
      </c>
      <c r="CO1233" s="62" t="n">
        <f aca="false">ROUNDUP(CJ1233/BZ1233,0)</f>
        <v>0</v>
      </c>
      <c r="CP1233" s="65" t="n">
        <f aca="false">IF(CA1233=1,0,IFERROR(VLOOKUP(BY1233,'Gebinde-Kategorie'!$A$5:$N$45,5,0)+0,0))</f>
        <v>40</v>
      </c>
      <c r="CQ1233" s="65" t="n">
        <f aca="false">IFERROR(IF(OR(CF1233=1,CF1233=2,CF1233=3),N(INDEX(Parameter!$I$5:$I$7,CF1233)),0),0)</f>
        <v>0</v>
      </c>
      <c r="CR1233" s="64" t="n">
        <f aca="false">IF(AND(Parameter!$B$21="Ja",ISNUMBER(W1233),N(X1233)&gt;0),IFERROR(N(INDEX(Parameter!$L$5:$L$7,W1233))*INDEX(Parameter!$E$5:$E$7,W1233)*X1233/SUMIFS($X$7:$X$1843,$W$7:$W$1843,W1233),0),0)</f>
        <v>0</v>
      </c>
      <c r="CS1233" s="62" t="n">
        <f aca="false">IF(AND(OR(CG1233="L1",CG1233="L23",CG1233="LIFT"),H1233&gt;0),CC1233*IF(CR1233&gt;0,CR1233*MAX(1,H1233/X1233),IF(CA1233=1,CE1233,IF(R1233&gt;0,CN1233/R1233,0))/MAX(0.1,N(Parameter!$M$21))),"")</f>
        <v>145</v>
      </c>
      <c r="CT1233" s="64" t="n">
        <f aca="false">IF(CS1233="","",J1233/H1233)</f>
        <v>0.75</v>
      </c>
      <c r="CU1233" s="62" t="n">
        <f aca="false">IF(CS1233="","",H1233*G1233)</f>
        <v>1050</v>
      </c>
      <c r="CV1233" s="63" t="n">
        <f aca="false">IF(CS1233="","",(CL1233+ROUNDUP(CL1233+MAX(CM1233,2*(J1233/MAX(0.1,N(Einkauf!$C$6))-CL1233)),0))/2)</f>
        <v>2.5</v>
      </c>
      <c r="CW1233" s="62" t="n">
        <f aca="false">IF(CS1233="","",MAX(0,H1233-CV1233)*G1233)</f>
        <v>721.875</v>
      </c>
      <c r="CX1233" s="62" t="n">
        <f aca="false">IF(CS1233="","",CS1233*MAX(0,1-CV1233/H1233))</f>
        <v>99.6875</v>
      </c>
      <c r="CY1233" s="64" t="n">
        <f aca="false">IF(CS1233="","",PERCENTRANK($CS$7:$CS$1843,CS1233)+PERCENTRANK($CU$7:$CU$1843,CU1233)+1-PERCENTRANK($CT$7:$CT$1843,CT1233))</f>
        <v>2.034</v>
      </c>
      <c r="CZ1233" s="72" t="n">
        <f aca="false">IF(CS1233="","",CHOOSE(MATCH(Einkauf!$C$5,Parameter!$G$23:$G$27,0),CY1233,CS1233,CU1233,-CT1233,CW1233)+ROW()/1000000000)</f>
        <v>2.034001233</v>
      </c>
    </row>
    <row r="1234" customFormat="false" ht="15" hidden="false" customHeight="false" outlineLevel="0" collapsed="false">
      <c r="A1234" s="60" t="s">
        <v>2251</v>
      </c>
      <c r="B1234" s="60" t="s">
        <v>2252</v>
      </c>
      <c r="C1234" s="60" t="s">
        <v>498</v>
      </c>
      <c r="D1234" s="60" t="s">
        <v>215</v>
      </c>
      <c r="E1234" s="60"/>
      <c r="F1234" s="60" t="s">
        <v>260</v>
      </c>
      <c r="G1234" s="61" t="n">
        <v>94.82</v>
      </c>
      <c r="H1234" s="62" t="n">
        <f aca="false">MAX(0,IF(AND(Parameter!$B$21="Ja",ISNUMBER(Y1234)),Y1234,IF(Parameter!$B$20="Jahresanfang 2025 + Export",BS1234+BR1234,BR1234)))</f>
        <v>0</v>
      </c>
      <c r="I1234" s="62" t="n">
        <f aca="false">H1234*G1234</f>
        <v>0</v>
      </c>
      <c r="J1234" s="62" t="n">
        <f aca="false">BU1234*Parameter!$B$18</f>
        <v>0</v>
      </c>
      <c r="K1234" s="63" t="n">
        <v>3.5</v>
      </c>
      <c r="L1234" s="64" t="n">
        <v>0</v>
      </c>
      <c r="M1234" s="62" t="n">
        <v>0</v>
      </c>
      <c r="N1234" s="62" t="n">
        <v>1</v>
      </c>
      <c r="O1234" s="65" t="n">
        <v>56</v>
      </c>
      <c r="P1234" s="60" t="s">
        <v>210</v>
      </c>
      <c r="Q1234" s="62"/>
      <c r="R1234" s="65" t="n">
        <f aca="false">IF(CA1234=1,0,IFERROR(VLOOKUP(BY1234,'Gebinde-Kategorie'!$A$5:$N$45,13,0)+0,0))</f>
        <v>4</v>
      </c>
      <c r="S1234" s="66"/>
      <c r="T1234" s="67" t="s">
        <v>231</v>
      </c>
      <c r="U1234" s="67"/>
      <c r="V1234" s="67"/>
      <c r="W1234" s="60"/>
      <c r="X1234" s="62"/>
      <c r="Y1234" s="62"/>
      <c r="Z1234" s="60" t="n">
        <v>2</v>
      </c>
      <c r="AA1234" s="60" t="n">
        <f aca="false">IF(A1234="","",IF(AND(Parameter!$B$21="Ja",ISNUMBER(W1234)),W1234,IF(AND(Parameter!$E$27="Ja",ISNUMBER(Z1234),CD1234&lt;&gt;"Nein"),Z1234,IF(CD1234="2+3",IF(ISNUMBER(SEARCH("grosser Artikel",BV1234)),2,IFERROR(VLOOKUP(BY1234,Parameter!$F$35:$G$64,2,0),2)),IF(OR(CD1234="Nein",CD1234=""),"-",CD1234)))))</f>
        <v>2</v>
      </c>
      <c r="AB1234" s="67"/>
      <c r="AC1234" s="68"/>
      <c r="AD1234" s="62" t="n">
        <f aca="false">AW1234</f>
        <v>1</v>
      </c>
      <c r="AE1234" s="62" t="n">
        <f aca="false">MAX(AW1234,H1234)</f>
        <v>1</v>
      </c>
      <c r="AF1234" s="69"/>
      <c r="AG1234" s="62" t="n">
        <f aca="false">IF(LEFT(Cockpit!$C$5,1)="A",H1234,IF(Parameter!$E$30="MAX-Bestand",IF(CI1234=1,CJ1234,IF(LEFT(Cockpit!$C$5,1)="B",AM1234,MAX(AM1234,H1234))),ROUNDUP(AK1234,0)))</f>
        <v>0</v>
      </c>
      <c r="AH1234" s="62" t="n">
        <f aca="false">IF(CA1234=1,0,ROUNDUP(AG1234/BZ1234,0))</f>
        <v>0</v>
      </c>
      <c r="AI1234" s="64" t="n">
        <f aca="false">IF(CR1234&gt;0,CR1234*MAX(1,AG1234/X1234),IF(CA1234=1,IF(AG1234&lt;=0,0,CE1234*MAX(1,IF(H1234&gt;0,AG1234/H1234,1))),IF(R1234&gt;0,AH1234/R1234,0))/MAX(0.1,N(Parameter!$M$21)))</f>
        <v>0</v>
      </c>
      <c r="AJ1234" s="62" t="n">
        <f aca="false">AI1234*CC1234</f>
        <v>0</v>
      </c>
      <c r="AK1234" s="63" t="n">
        <f aca="false">IF(LEFT(Cockpit!$C$5,1)="A",H1234,IF(CI1234=1,(CL1234+CJ1234)/2,IF(LEFT(Cockpit!$C$5,1)="B",(CL1234+AM1234)/2,MAX((CL1234+AM1234)/2,H1234))))</f>
        <v>0</v>
      </c>
      <c r="AL1234" s="62" t="n">
        <f aca="false">AK1234*G1234</f>
        <v>0</v>
      </c>
      <c r="AM1234" s="62" t="n">
        <f aca="false">ROUNDUP(CL1234+MAX(CM1234,2*(J1234/IF(CH1234&gt;0,CH1234,MAX(0.1,N(Cockpit!$C$6)))-CL1234)),0)</f>
        <v>1</v>
      </c>
      <c r="AN1234" s="63" t="n">
        <f aca="false">IF(AJ1234&gt;0,J1234/AJ1234,-1)</f>
        <v>-1</v>
      </c>
      <c r="AO1234" s="63" t="str">
        <f aca="false">IF(AND(OR(CG1234="L1",CG1234="L23",CG1234="LIFT"),AJ1234&gt;0),SUMIFS($AJ$7:$AJ$1843,$CG$7:$CG$1843,CG1234,$AN$7:$AN$1843,"&gt;"&amp;AN1234)+SUMIFS($AJ$7:$AJ$1843,$CG$7:$CG$1843,CG1234,$AN$7:$AN$1843,AN1234,$BX$7:$BX$1843,"&lt;="&amp;BX1234),"")</f>
        <v/>
      </c>
      <c r="AP1234" s="70" t="n">
        <f aca="false">IF(AO1234="",0,MAX(0,MIN(1,(IF(CG1234="L1",Parameter!$H$5,IF(CG1234="L23",Parameter!$H$6+Parameter!$H$7,Parameter!$H$5+Parameter!$H$6+Parameter!$H$7))-(AO1234-AJ1234))/AJ1234)))</f>
        <v>0</v>
      </c>
      <c r="AQ1234" s="62" t="n">
        <f aca="false">IF(LEFT(Cockpit!$I$5,1)="A",H1234,IF(Parameter!$E$30="MAX-Bestand",IF(CI1234=1,CJ1234,IF(LEFT(Cockpit!$I$5,1)="B",AW1234,MAX(AW1234,H1234))),ROUNDUP(AU1234,0)))</f>
        <v>1</v>
      </c>
      <c r="AR1234" s="62" t="n">
        <f aca="false">IF(CA1234=1,0,ROUNDUP(AQ1234/BZ1234,0))</f>
        <v>1</v>
      </c>
      <c r="AS1234" s="64" t="n">
        <f aca="false">IF(CR1234&gt;0,CR1234*MAX(1,AQ1234/X1234),IF(CA1234=1,IF(AQ1234&lt;=0,0,CE1234*MAX(1,IF(H1234&gt;0,AQ1234/H1234,1))),IF(R1234&gt;0,AR1234/R1234,0))/MAX(0.1,N(Parameter!$M$21)))</f>
        <v>0.25</v>
      </c>
      <c r="AT1234" s="62" t="n">
        <f aca="false">AS1234*CC1234</f>
        <v>58.75</v>
      </c>
      <c r="AU1234" s="63" t="n">
        <f aca="false">IF(LEFT(Cockpit!$I$5,1)="A",H1234,IF(CI1234=1,(CL1234+CJ1234)/2,IF(LEFT(Cockpit!$I$5,1)="B",(CL1234+AW1234)/2,MAX((CL1234+AW1234)/2,H1234))))</f>
        <v>0.5</v>
      </c>
      <c r="AV1234" s="62" t="n">
        <f aca="false">AU1234*G1234</f>
        <v>47.41</v>
      </c>
      <c r="AW1234" s="62" t="n">
        <f aca="false">ROUNDUP(CL1234+MAX(CM1234,2*(J1234/IF(CH1234&gt;0,CH1234,MAX(0.1,N(Cockpit!$I$6)))-CL1234)),0)</f>
        <v>1</v>
      </c>
      <c r="AX1234" s="63" t="n">
        <f aca="false">IF(AT1234&gt;0,J1234/AT1234,-1)</f>
        <v>0</v>
      </c>
      <c r="AY1234" s="63" t="n">
        <f aca="false">IF(AND(OR(CG1234="L1",CG1234="L23",CG1234="LIFT"),AT1234&gt;0),SUMIFS($AT$7:$AT$1843,$CG$7:$CG$1843,CG1234,$AX$7:$AX$1843,"&gt;"&amp;AX1234)+SUMIFS($AT$7:$AT$1843,$CG$7:$CG$1843,CG1234,$AX$7:$AX$1843,AX1234,$BX$7:$BX$1843,"&lt;="&amp;BX1234),"")</f>
        <v>35368.4876373626</v>
      </c>
      <c r="AZ1234" s="70" t="n">
        <f aca="false">IF(AY1234="",0,MAX(0,MIN(1,(IF(CG1234="L1",Parameter!$H$5,IF(CG1234="L23",Parameter!$H$6+Parameter!$H$7,Parameter!$H$5+Parameter!$H$6+Parameter!$H$7))-(AY1234-AT1234))/AT1234)))</f>
        <v>1</v>
      </c>
      <c r="BA1234" s="62" t="n">
        <f aca="false">IF(LEFT(Cockpit!$O$5,1)="A",H1234,IF(Parameter!$E$30="MAX-Bestand",IF(CI1234=1,CJ1234,IF(LEFT(Cockpit!$O$5,1)="B",BG1234,MAX(BG1234,H1234))),ROUNDUP(BE1234,0)))</f>
        <v>1</v>
      </c>
      <c r="BB1234" s="62" t="n">
        <f aca="false">IF(CA1234=1,0,ROUNDUP(BA1234/BZ1234,0))</f>
        <v>1</v>
      </c>
      <c r="BC1234" s="64" t="n">
        <f aca="false">IF(CR1234&gt;0,CR1234*MAX(1,BA1234/X1234),IF(CA1234=1,IF(BA1234&lt;=0,0,CE1234*MAX(1,IF(H1234&gt;0,BA1234/H1234,1))),IF(R1234&gt;0,BB1234/R1234,0))/MAX(0.1,N(Parameter!$M$21)))</f>
        <v>0.25</v>
      </c>
      <c r="BD1234" s="62" t="n">
        <f aca="false">BC1234*CC1234</f>
        <v>58.75</v>
      </c>
      <c r="BE1234" s="63" t="n">
        <f aca="false">IF(LEFT(Cockpit!$O$5,1)="A",H1234,IF(CI1234=1,(CL1234+CJ1234)/2,IF(LEFT(Cockpit!$O$5,1)="B",(CL1234+BG1234)/2,MAX((CL1234+BG1234)/2,H1234))))</f>
        <v>0.5</v>
      </c>
      <c r="BF1234" s="62" t="n">
        <f aca="false">BE1234*G1234</f>
        <v>47.41</v>
      </c>
      <c r="BG1234" s="62" t="n">
        <f aca="false">ROUNDUP(CL1234+MAX(CM1234,2*(J1234/IF(CH1234&gt;0,CH1234,MAX(0.1,N(Cockpit!$O$6)))-CL1234)),0)</f>
        <v>1</v>
      </c>
      <c r="BH1234" s="63" t="n">
        <f aca="false">IF(BD1234&gt;0,J1234/BD1234,-1)</f>
        <v>0</v>
      </c>
      <c r="BI1234" s="63" t="n">
        <f aca="false">IF(AND(OR(CG1234="L1",CG1234="L23",CG1234="LIFT"),BD1234&gt;0),SUMIFS($BD$7:$BD$1843,$CG$7:$CG$1843,CG1234,$BH$7:$BH$1843,"&gt;"&amp;BH1234)+SUMIFS($BD$7:$BD$1843,$CG$7:$CG$1843,CG1234,$BH$7:$BH$1843,BH1234,$BX$7:$BX$1843,"&lt;="&amp;BX1234),"")</f>
        <v>29353.7942975104</v>
      </c>
      <c r="BJ1234" s="70" t="n">
        <f aca="false">IF(BI1234="",0,MAX(0,MIN(1,(IF(CG1234="L1",Parameter!$H$5,IF(CG1234="L23",Parameter!$H$6+Parameter!$H$7,Parameter!$H$5+Parameter!$H$6+Parameter!$H$7))-(BI1234-BD1234))/BD1234)))</f>
        <v>1</v>
      </c>
      <c r="BK1234" s="60" t="str">
        <f aca="false">IF(AJ1234&lt;=0,"",IF(CG1234="Aussen","Aussenlager",IF(CG1234="-","Nicht im Lift",IF(AP1234&gt;=1,"Lift",IF(AP1234&lt;=0,"Aussenlager","teilweise")))))</f>
        <v/>
      </c>
      <c r="BL1234" s="60" t="str">
        <f aca="false">IF(AT1234&lt;=0,"",IF(CG1234="Aussen","Aussenlager",IF(CG1234="-","Nicht im Lift",IF(AZ1234&gt;=1,"Lift",IF(AZ1234&lt;=0,"Aussenlager","teilweise")))))</f>
        <v>Lift</v>
      </c>
      <c r="BM1234" s="60" t="str">
        <f aca="false">IF(BD1234&lt;=0,"",IF(CG1234="Aussen","Aussenlager",IF(CG1234="-","Nicht im Lift",IF(BJ1234&gt;=1,"Lift",IF(BJ1234&lt;=0,"Aussenlager","teilweise")))))</f>
        <v>Lift</v>
      </c>
      <c r="BN1234" s="60" t="str">
        <f aca="false">IF(A1234="","",IF(BW1234=1,"Neu; ","")&amp;IF(AND(BW1234=0,BR1234&lt;0),"negativer Bestand (Export "&amp;BR1234&amp;"); ","")&amp;IF(J1234&lt;=0,"Kein Verbrauch; ","")&amp;IF(CR1234&gt;0,"Lift "&amp;W1234&amp;" lt. Liftbericht (Fach "&amp;X1234&amp;" Stk); ",IF(CB1234=1,"Gebinde geschätzt ("&amp;T1234&amp;"); ",IF(CA1234=1,"Lose – Tablare geschätzt; ","")))&amp;IF(H1234&gt;AW1234,"Überbestand "&amp;ROUND(H1234-AW1234,0)&amp;" Stk / CHF "&amp;ROUND((H1234-AW1234)*G1234,0)&amp;"; ","")&amp;IF(AND(CI1234=1,CJ1234&lt;CK1234),"MAX &lt; MB+LG; ","")&amp;IF(AND(CQ1234&gt;0,CP1234*10&gt;CQ1234),"zu hoch für Tablar; ","")&amp;IF(AND(BW1234=0,OR(CI1234=1,AB1234&lt;&gt;"",U1234&lt;&gt;"",V1234&lt;&gt;"",AC1234&lt;&gt;"")),"manuell übersteuert; ","")&amp;IF(AND(CA1234=0,R1234=0),"Gebinde unbekannt / Stellmass fehlt; ","")&amp;IF(AND(CA1234=0,N(V1234)&lt;=0,N(Q1234)&lt;=0),"Menge pro Gebinde fehlt (Ist = 1 Gebinde); ","")&amp;BV1234)</f>
        <v>negativer Bestand (Export -7); Kein Verbrauch; Gebinde geschätzt (Gross); Menge pro Gebinde fehlt (Ist = 1 Gebinde); Neuer Art.</v>
      </c>
      <c r="BO1234" s="60"/>
      <c r="BP1234" s="60"/>
      <c r="BQ1234" s="67"/>
      <c r="BR1234" s="62" t="n">
        <v>-7</v>
      </c>
      <c r="BS1234" s="62" t="n">
        <v>7</v>
      </c>
      <c r="BT1234" s="61" t="n">
        <v>-663.74</v>
      </c>
      <c r="BU1234" s="62" t="n">
        <v>0</v>
      </c>
      <c r="BV1234" s="60" t="s">
        <v>554</v>
      </c>
      <c r="BW1234" s="65" t="n">
        <v>0</v>
      </c>
      <c r="BX1234" s="65" t="n">
        <v>1234</v>
      </c>
      <c r="BY1234" s="60" t="str">
        <f aca="false">IF(U1234&lt;&gt;"",UPPER(TRIM(U1234)),IF(CB1234=1,UPPER(VLOOKUP(T1234,Parameter!$I$27:$K$29,2,0)),IF(P1234="","LOSE",P1234)))</f>
        <v>S81</v>
      </c>
      <c r="BZ1234" s="62" t="n">
        <f aca="false">IF(BY1234="LOSE",1,IF(N(V1234)&gt;0,V1234,IF(CB1234=1,MAX(1,N(VLOOKUP(T1234,Parameter!$I$27:$K$29,3,0)),H1234,N(N1234)),IF(N(Q1234)&gt;0,Q1234,MAX(1,H1234)))))</f>
        <v>2</v>
      </c>
      <c r="CA1234" s="65" t="n">
        <f aca="false">IF(BY1234="LOSE",1,0)</f>
        <v>0</v>
      </c>
      <c r="CB1234" s="65" t="n">
        <f aca="false">IF(AND(U1234="",OR(P1234="",P1234="LOSE"),T1234&lt;&gt;"",N(S1234)&lt;=0,ISNUMBER(MATCH(T1234,Parameter!$I$27:$I$29,0))),1,0)</f>
        <v>1</v>
      </c>
      <c r="CC1234" s="65" t="n">
        <f aca="false">IF(CR1234&gt;0,INDEX(Parameter!$H$5:$H$7,W1234)/INDEX(Parameter!$E$5:$E$7,W1234),IF(AND(CA1234=0,N(IFERROR(VLOOKUP(BY1234,'Gebinde-Kategorie'!$A$5:$N$45,14,0),0))&gt;0),VLOOKUP(BY1234,'Gebinde-Kategorie'!$A$5:$N$45,14,0)*10+Parameter!$M$23,Parameter!$M$24))</f>
        <v>235</v>
      </c>
      <c r="CD1234" s="60" t="str">
        <f aca="false">IF(AND(Parameter!$B$19="Ja",E1234&lt;&gt;"",ISNUMBER(MATCH(E1234,Parameter!$I$35:$I$52,0))),VLOOKUP(E1234,Parameter!$I$35:$J$52,2,0),IFERROR(VLOOKUP(D1234,Parameter!$A$35:$C$64,2,0),"Nein"))</f>
        <v>2+3</v>
      </c>
      <c r="CE1234" s="64" t="n">
        <f aca="false">IF(CA1234=0,0,IF(N(S1234)&gt;0,S1234,IFERROR(VLOOKUP(D1234,Parameter!$A$35:$C$64,3,0)+0,0)))</f>
        <v>0</v>
      </c>
      <c r="CF1234" s="60" t="n">
        <f aca="false">IF(AB1234&lt;&gt;"",AB1234,AA1234)</f>
        <v>2</v>
      </c>
      <c r="CG1234" s="60" t="str">
        <f aca="false">IF(OR(CF1234=1,CF1234=2,CF1234=3),IF(Parameter!$E$27="Ja","LIFT",IF(CF1234=1,"L1","L23")),IF(CF1234="Aussen","Aussen","-"))</f>
        <v>LIFT</v>
      </c>
      <c r="CH1234" s="71" t="n">
        <f aca="false">IF(N(AC1234)&gt;0,AC1234,0)</f>
        <v>0</v>
      </c>
      <c r="CI1234" s="65" t="n">
        <f aca="false">IF(ISNUMBER(AF1234),1,0)</f>
        <v>0</v>
      </c>
      <c r="CJ1234" s="62" t="n">
        <f aca="false">N(AF1234)</f>
        <v>0</v>
      </c>
      <c r="CK1234" s="62" t="n">
        <f aca="false">N(M1234)+N(N1234)</f>
        <v>1</v>
      </c>
      <c r="CL1234" s="62" t="n">
        <f aca="false">N(M1234)</f>
        <v>0</v>
      </c>
      <c r="CM1234" s="62" t="n">
        <f aca="false">N(N1234)</f>
        <v>1</v>
      </c>
      <c r="CN1234" s="62" t="n">
        <f aca="false">ROUNDUP(H1234/BZ1234,0)</f>
        <v>0</v>
      </c>
      <c r="CO1234" s="62" t="n">
        <f aca="false">ROUNDUP(CJ1234/BZ1234,0)</f>
        <v>0</v>
      </c>
      <c r="CP1234" s="65" t="n">
        <f aca="false">IF(CA1234=1,0,IFERROR(VLOOKUP(BY1234,'Gebinde-Kategorie'!$A$5:$N$45,5,0)+0,0))</f>
        <v>20</v>
      </c>
      <c r="CQ1234" s="65" t="n">
        <f aca="false">IFERROR(IF(OR(CF1234=1,CF1234=2,CF1234=3),N(INDEX(Parameter!$I$5:$I$7,CF1234)),0),0)</f>
        <v>0</v>
      </c>
      <c r="CR1234" s="64" t="n">
        <f aca="false">IF(AND(Parameter!$B$21="Ja",ISNUMBER(W1234),N(X1234)&gt;0),IFERROR(N(INDEX(Parameter!$L$5:$L$7,W1234))*INDEX(Parameter!$E$5:$E$7,W1234)*X1234/SUMIFS($X$7:$X$1843,$W$7:$W$1843,W1234),0),0)</f>
        <v>0</v>
      </c>
      <c r="CS1234" s="62" t="str">
        <f aca="false">IF(AND(OR(CG1234="L1",CG1234="L23",CG1234="LIFT"),H1234&gt;0),CC1234*IF(CR1234&gt;0,CR1234*MAX(1,H1234/X1234),IF(CA1234=1,CE1234,IF(R1234&gt;0,CN1234/R1234,0))/MAX(0.1,N(Parameter!$M$21))),"")</f>
        <v/>
      </c>
      <c r="CT1234" s="64" t="str">
        <f aca="false">IF(CS1234="","",J1234/H1234)</f>
        <v/>
      </c>
      <c r="CU1234" s="62" t="str">
        <f aca="false">IF(CS1234="","",H1234*G1234)</f>
        <v/>
      </c>
      <c r="CV1234" s="63" t="str">
        <f aca="false">IF(CS1234="","",(CL1234+ROUNDUP(CL1234+MAX(CM1234,2*(J1234/MAX(0.1,N(Einkauf!$C$6))-CL1234)),0))/2)</f>
        <v/>
      </c>
      <c r="CW1234" s="62" t="str">
        <f aca="false">IF(CS1234="","",MAX(0,H1234-CV1234)*G1234)</f>
        <v/>
      </c>
      <c r="CX1234" s="62" t="str">
        <f aca="false">IF(CS1234="","",CS1234*MAX(0,1-CV1234/H1234))</f>
        <v/>
      </c>
      <c r="CY1234" s="64" t="str">
        <f aca="false">IF(CS1234="","",PERCENTRANK($CS$7:$CS$1843,CS1234)+PERCENTRANK($CU$7:$CU$1843,CU1234)+1-PERCENTRANK($CT$7:$CT$1843,CT1234))</f>
        <v/>
      </c>
      <c r="CZ1234" s="72" t="str">
        <f aca="false">IF(CS1234="","",CHOOSE(MATCH(Einkauf!$C$5,Parameter!$G$23:$G$27,0),CY1234,CS1234,CU1234,-CT1234,CW1234)+ROW()/1000000000)</f>
        <v/>
      </c>
    </row>
    <row r="1235" customFormat="false" ht="15" hidden="false" customHeight="false" outlineLevel="0" collapsed="false">
      <c r="A1235" s="60" t="s">
        <v>2253</v>
      </c>
      <c r="B1235" s="60" t="s">
        <v>2169</v>
      </c>
      <c r="C1235" s="60" t="s">
        <v>206</v>
      </c>
      <c r="D1235" s="60" t="s">
        <v>226</v>
      </c>
      <c r="E1235" s="60" t="s">
        <v>208</v>
      </c>
      <c r="F1235" s="60" t="s">
        <v>260</v>
      </c>
      <c r="G1235" s="61" t="n">
        <v>54.19</v>
      </c>
      <c r="H1235" s="62" t="n">
        <f aca="false">MAX(0,IF(AND(Parameter!$B$21="Ja",ISNUMBER(Y1235)),Y1235,IF(Parameter!$B$20="Jahresanfang 2025 + Export",BS1235+BR1235,BR1235)))</f>
        <v>64</v>
      </c>
      <c r="I1235" s="62" t="n">
        <f aca="false">H1235*G1235</f>
        <v>3468.16</v>
      </c>
      <c r="J1235" s="62" t="n">
        <f aca="false">BU1235*Parameter!$B$18</f>
        <v>254</v>
      </c>
      <c r="K1235" s="63" t="n">
        <v>77.5</v>
      </c>
      <c r="L1235" s="64" t="n">
        <v>3.27741935483871</v>
      </c>
      <c r="M1235" s="62" t="n">
        <v>14</v>
      </c>
      <c r="N1235" s="62" t="n">
        <v>30</v>
      </c>
      <c r="O1235" s="65" t="n">
        <v>21</v>
      </c>
      <c r="P1235" s="60" t="s">
        <v>344</v>
      </c>
      <c r="Q1235" s="62" t="n">
        <v>54</v>
      </c>
      <c r="R1235" s="65" t="n">
        <f aca="false">IF(CA1235=1,0,IFERROR(VLOOKUP(BY1235,'Gebinde-Kategorie'!$A$5:$N$45,13,0)+0,0))</f>
        <v>26</v>
      </c>
      <c r="S1235" s="66"/>
      <c r="T1235" s="67"/>
      <c r="U1235" s="67"/>
      <c r="V1235" s="67"/>
      <c r="W1235" s="60"/>
      <c r="X1235" s="62"/>
      <c r="Y1235" s="62"/>
      <c r="Z1235" s="60" t="n">
        <v>3</v>
      </c>
      <c r="AA1235" s="60" t="n">
        <f aca="false">IF(A1235="","",IF(AND(Parameter!$B$21="Ja",ISNUMBER(W1235)),W1235,IF(AND(Parameter!$E$27="Ja",ISNUMBER(Z1235),CD1235&lt;&gt;"Nein"),Z1235,IF(CD1235="2+3",IF(ISNUMBER(SEARCH("grosser Artikel",BV1235)),2,IFERROR(VLOOKUP(BY1235,Parameter!$F$35:$G$64,2,0),2)),IF(OR(CD1235="Nein",CD1235=""),"-",CD1235)))))</f>
        <v>3</v>
      </c>
      <c r="AB1235" s="67"/>
      <c r="AC1235" s="68"/>
      <c r="AD1235" s="62" t="n">
        <f aca="false">AW1235</f>
        <v>156</v>
      </c>
      <c r="AE1235" s="62" t="n">
        <f aca="false">MAX(AW1235,H1235)</f>
        <v>156</v>
      </c>
      <c r="AF1235" s="69"/>
      <c r="AG1235" s="62" t="n">
        <f aca="false">IF(LEFT(Cockpit!$C$5,1)="A",H1235,IF(Parameter!$E$30="MAX-Bestand",IF(CI1235=1,CJ1235,IF(LEFT(Cockpit!$C$5,1)="B",AM1235,MAX(AM1235,H1235))),ROUNDUP(AK1235,0)))</f>
        <v>64</v>
      </c>
      <c r="AH1235" s="62" t="n">
        <f aca="false">IF(CA1235=1,0,ROUNDUP(AG1235/BZ1235,0))</f>
        <v>2</v>
      </c>
      <c r="AI1235" s="64" t="n">
        <f aca="false">IF(CR1235&gt;0,CR1235*MAX(1,AG1235/X1235),IF(CA1235=1,IF(AG1235&lt;=0,0,CE1235*MAX(1,IF(H1235&gt;0,AG1235/H1235,1))),IF(R1235&gt;0,AH1235/R1235,0))/MAX(0.1,N(Parameter!$M$21)))</f>
        <v>0.0769230769230769</v>
      </c>
      <c r="AJ1235" s="62" t="n">
        <f aca="false">AI1235*CC1235</f>
        <v>11.9230769230769</v>
      </c>
      <c r="AK1235" s="63" t="n">
        <f aca="false">IF(LEFT(Cockpit!$C$5,1)="A",H1235,IF(CI1235=1,(CL1235+CJ1235)/2,IF(LEFT(Cockpit!$C$5,1)="B",(CL1235+AM1235)/2,MAX((CL1235+AM1235)/2,H1235))))</f>
        <v>64</v>
      </c>
      <c r="AL1235" s="62" t="n">
        <f aca="false">AK1235*G1235</f>
        <v>3468.16</v>
      </c>
      <c r="AM1235" s="62" t="n">
        <f aca="false">ROUNDUP(CL1235+MAX(CM1235,2*(J1235/IF(CH1235&gt;0,CH1235,MAX(0.1,N(Cockpit!$C$6)))-CL1235)),0)</f>
        <v>156</v>
      </c>
      <c r="AN1235" s="63" t="n">
        <f aca="false">IF(AJ1235&gt;0,J1235/AJ1235,-1)</f>
        <v>21.3032258064516</v>
      </c>
      <c r="AO1235" s="63" t="n">
        <f aca="false">IF(AND(OR(CG1235="L1",CG1235="L23",CG1235="LIFT"),AJ1235&gt;0),SUMIFS($AJ$7:$AJ$1843,$CG$7:$CG$1843,CG1235,$AN$7:$AN$1843,"&gt;"&amp;AN1235)+SUMIFS($AJ$7:$AJ$1843,$CG$7:$CG$1843,CG1235,$AN$7:$AN$1843,AN1235,$BX$7:$BX$1843,"&lt;="&amp;BX1235),"")</f>
        <v>1637.26007326007</v>
      </c>
      <c r="AP1235" s="70" t="n">
        <f aca="false">IF(AO1235="",0,MAX(0,MIN(1,(IF(CG1235="L1",Parameter!$H$5,IF(CG1235="L23",Parameter!$H$6+Parameter!$H$7,Parameter!$H$5+Parameter!$H$6+Parameter!$H$7))-(AO1235-AJ1235))/AJ1235)))</f>
        <v>1</v>
      </c>
      <c r="AQ1235" s="62" t="n">
        <f aca="false">IF(LEFT(Cockpit!$I$5,1)="A",H1235,IF(Parameter!$E$30="MAX-Bestand",IF(CI1235=1,CJ1235,IF(LEFT(Cockpit!$I$5,1)="B",AW1235,MAX(AW1235,H1235))),ROUNDUP(AU1235,0)))</f>
        <v>85</v>
      </c>
      <c r="AR1235" s="62" t="n">
        <f aca="false">IF(CA1235=1,0,ROUNDUP(AQ1235/BZ1235,0))</f>
        <v>2</v>
      </c>
      <c r="AS1235" s="64" t="n">
        <f aca="false">IF(CR1235&gt;0,CR1235*MAX(1,AQ1235/X1235),IF(CA1235=1,IF(AQ1235&lt;=0,0,CE1235*MAX(1,IF(H1235&gt;0,AQ1235/H1235,1))),IF(R1235&gt;0,AR1235/R1235,0))/MAX(0.1,N(Parameter!$M$21)))</f>
        <v>0.0769230769230769</v>
      </c>
      <c r="AT1235" s="62" t="n">
        <f aca="false">AS1235*CC1235</f>
        <v>11.9230769230769</v>
      </c>
      <c r="AU1235" s="63" t="n">
        <f aca="false">IF(LEFT(Cockpit!$I$5,1)="A",H1235,IF(CI1235=1,(CL1235+CJ1235)/2,IF(LEFT(Cockpit!$I$5,1)="B",(CL1235+AW1235)/2,MAX((CL1235+AW1235)/2,H1235))))</f>
        <v>85</v>
      </c>
      <c r="AV1235" s="62" t="n">
        <f aca="false">AU1235*G1235</f>
        <v>4606.15</v>
      </c>
      <c r="AW1235" s="62" t="n">
        <f aca="false">ROUNDUP(CL1235+MAX(CM1235,2*(J1235/IF(CH1235&gt;0,CH1235,MAX(0.1,N(Cockpit!$I$6)))-CL1235)),0)</f>
        <v>156</v>
      </c>
      <c r="AX1235" s="63" t="n">
        <f aca="false">IF(AT1235&gt;0,J1235/AT1235,-1)</f>
        <v>21.3032258064516</v>
      </c>
      <c r="AY1235" s="63" t="n">
        <f aca="false">IF(AND(OR(CG1235="L1",CG1235="L23",CG1235="LIFT"),AT1235&gt;0),SUMIFS($AT$7:$AT$1843,$CG$7:$CG$1843,CG1235,$AX$7:$AX$1843,"&gt;"&amp;AX1235)+SUMIFS($AT$7:$AT$1843,$CG$7:$CG$1843,CG1235,$AX$7:$AX$1843,AX1235,$BX$7:$BX$1843,"&lt;="&amp;BX1235),"")</f>
        <v>2274.38095238095</v>
      </c>
      <c r="AZ1235" s="70" t="n">
        <f aca="false">IF(AY1235="",0,MAX(0,MIN(1,(IF(CG1235="L1",Parameter!$H$5,IF(CG1235="L23",Parameter!$H$6+Parameter!$H$7,Parameter!$H$5+Parameter!$H$6+Parameter!$H$7))-(AY1235-AT1235))/AT1235)))</f>
        <v>1</v>
      </c>
      <c r="BA1235" s="62" t="n">
        <f aca="false">IF(LEFT(Cockpit!$O$5,1)="A",H1235,IF(Parameter!$E$30="MAX-Bestand",IF(CI1235=1,CJ1235,IF(LEFT(Cockpit!$O$5,1)="B",BG1235,MAX(BG1235,H1235))),ROUNDUP(BE1235,0)))</f>
        <v>64</v>
      </c>
      <c r="BB1235" s="62" t="n">
        <f aca="false">IF(CA1235=1,0,ROUNDUP(BA1235/BZ1235,0))</f>
        <v>2</v>
      </c>
      <c r="BC1235" s="64" t="n">
        <f aca="false">IF(CR1235&gt;0,CR1235*MAX(1,BA1235/X1235),IF(CA1235=1,IF(BA1235&lt;=0,0,CE1235*MAX(1,IF(H1235&gt;0,BA1235/H1235,1))),IF(R1235&gt;0,BB1235/R1235,0))/MAX(0.1,N(Parameter!$M$21)))</f>
        <v>0.0769230769230769</v>
      </c>
      <c r="BD1235" s="62" t="n">
        <f aca="false">BC1235*CC1235</f>
        <v>11.9230769230769</v>
      </c>
      <c r="BE1235" s="63" t="n">
        <f aca="false">IF(LEFT(Cockpit!$O$5,1)="A",H1235,IF(CI1235=1,(CL1235+CJ1235)/2,IF(LEFT(Cockpit!$O$5,1)="B",(CL1235+BG1235)/2,MAX((CL1235+BG1235)/2,H1235))))</f>
        <v>63.5</v>
      </c>
      <c r="BF1235" s="62" t="n">
        <f aca="false">BE1235*G1235</f>
        <v>3441.065</v>
      </c>
      <c r="BG1235" s="62" t="n">
        <f aca="false">ROUNDUP(CL1235+MAX(CM1235,2*(J1235/IF(CH1235&gt;0,CH1235,MAX(0.1,N(Cockpit!$O$6)))-CL1235)),0)</f>
        <v>113</v>
      </c>
      <c r="BH1235" s="63" t="n">
        <f aca="false">IF(BD1235&gt;0,J1235/BD1235,-1)</f>
        <v>21.3032258064516</v>
      </c>
      <c r="BI1235" s="63" t="n">
        <f aca="false">IF(AND(OR(CG1235="L1",CG1235="L23",CG1235="LIFT"),BD1235&gt;0),SUMIFS($BD$7:$BD$1843,$CG$7:$CG$1843,CG1235,$BH$7:$BH$1843,"&gt;"&amp;BH1235)+SUMIFS($BD$7:$BD$1843,$CG$7:$CG$1843,CG1235,$BH$7:$BH$1843,BH1235,$BX$7:$BX$1843,"&lt;="&amp;BX1235),"")</f>
        <v>2187.79258241758</v>
      </c>
      <c r="BJ1235" s="70" t="n">
        <f aca="false">IF(BI1235="",0,MAX(0,MIN(1,(IF(CG1235="L1",Parameter!$H$5,IF(CG1235="L23",Parameter!$H$6+Parameter!$H$7,Parameter!$H$5+Parameter!$H$6+Parameter!$H$7))-(BI1235-BD1235))/BD1235)))</f>
        <v>1</v>
      </c>
      <c r="BK1235" s="60" t="str">
        <f aca="false">IF(AJ1235&lt;=0,"",IF(CG1235="Aussen","Aussenlager",IF(CG1235="-","Nicht im Lift",IF(AP1235&gt;=1,"Lift",IF(AP1235&lt;=0,"Aussenlager","teilweise")))))</f>
        <v>Lift</v>
      </c>
      <c r="BL1235" s="60" t="str">
        <f aca="false">IF(AT1235&lt;=0,"",IF(CG1235="Aussen","Aussenlager",IF(CG1235="-","Nicht im Lift",IF(AZ1235&gt;=1,"Lift",IF(AZ1235&lt;=0,"Aussenlager","teilweise")))))</f>
        <v>Lift</v>
      </c>
      <c r="BM1235" s="60" t="str">
        <f aca="false">IF(BD1235&lt;=0,"",IF(CG1235="Aussen","Aussenlager",IF(CG1235="-","Nicht im Lift",IF(BJ1235&gt;=1,"Lift",IF(BJ1235&lt;=0,"Aussenlager","teilweise")))))</f>
        <v>Lift</v>
      </c>
      <c r="BN1235" s="60" t="str">
        <f aca="false">IF(A1235="","",IF(BW1235=1,"Neu; ","")&amp;IF(AND(BW1235=0,BR1235&lt;0),"negativer Bestand (Export "&amp;BR1235&amp;"); ","")&amp;IF(J1235&lt;=0,"Kein Verbrauch; ","")&amp;IF(CR1235&gt;0,"Lift "&amp;W1235&amp;" lt. Liftbericht (Fach "&amp;X1235&amp;" Stk); ",IF(CB1235=1,"Gebinde geschätzt ("&amp;T1235&amp;"); ",IF(CA1235=1,"Lose – Tablare geschätzt; ","")))&amp;IF(H1235&gt;AW1235,"Überbestand "&amp;ROUND(H1235-AW1235,0)&amp;" Stk / CHF "&amp;ROUND((H1235-AW1235)*G1235,0)&amp;"; ","")&amp;IF(AND(CI1235=1,CJ1235&lt;CK1235),"MAX &lt; MB+LG; ","")&amp;IF(AND(CQ1235&gt;0,CP1235*10&gt;CQ1235),"zu hoch für Tablar; ","")&amp;IF(AND(BW1235=0,OR(CI1235=1,AB1235&lt;&gt;"",U1235&lt;&gt;"",V1235&lt;&gt;"",AC1235&lt;&gt;"")),"manuell übersteuert; ","")&amp;IF(AND(CA1235=0,R1235=0),"Gebinde unbekannt / Stellmass fehlt; ","")&amp;IF(AND(CA1235=0,N(V1235)&lt;=0,N(Q1235)&lt;=0),"Menge pro Gebinde fehlt (Ist = 1 Gebinde); ","")&amp;BV1235)</f>
        <v/>
      </c>
      <c r="BO1235" s="60"/>
      <c r="BP1235" s="60"/>
      <c r="BQ1235" s="67"/>
      <c r="BR1235" s="62" t="n">
        <v>8</v>
      </c>
      <c r="BS1235" s="62" t="n">
        <v>56</v>
      </c>
      <c r="BT1235" s="61" t="n">
        <v>-673.040000000002</v>
      </c>
      <c r="BU1235" s="62" t="n">
        <v>254</v>
      </c>
      <c r="BV1235" s="60"/>
      <c r="BW1235" s="65" t="n">
        <v>0</v>
      </c>
      <c r="BX1235" s="65" t="n">
        <v>1235</v>
      </c>
      <c r="BY1235" s="60" t="str">
        <f aca="false">IF(U1235&lt;&gt;"",UPPER(TRIM(U1235)),IF(CB1235=1,UPPER(VLOOKUP(T1235,Parameter!$I$27:$K$29,2,0)),IF(P1235="","LOSE",P1235)))</f>
        <v>S51</v>
      </c>
      <c r="BZ1235" s="62" t="n">
        <f aca="false">IF(BY1235="LOSE",1,IF(N(V1235)&gt;0,V1235,IF(CB1235=1,MAX(1,N(VLOOKUP(T1235,Parameter!$I$27:$K$29,3,0)),H1235,N(N1235)),IF(N(Q1235)&gt;0,Q1235,MAX(1,H1235)))))</f>
        <v>54</v>
      </c>
      <c r="CA1235" s="65" t="n">
        <f aca="false">IF(BY1235="LOSE",1,0)</f>
        <v>0</v>
      </c>
      <c r="CB1235" s="65" t="n">
        <f aca="false">IF(AND(U1235="",OR(P1235="",P1235="LOSE"),T1235&lt;&gt;"",N(S1235)&lt;=0,ISNUMBER(MATCH(T1235,Parameter!$I$27:$I$29,0))),1,0)</f>
        <v>0</v>
      </c>
      <c r="CC1235" s="65" t="n">
        <f aca="false">IF(CR1235&gt;0,INDEX(Parameter!$H$5:$H$7,W1235)/INDEX(Parameter!$E$5:$E$7,W1235),IF(AND(CA1235=0,N(IFERROR(VLOOKUP(BY1235,'Gebinde-Kategorie'!$A$5:$N$45,14,0),0))&gt;0),VLOOKUP(BY1235,'Gebinde-Kategorie'!$A$5:$N$45,14,0)*10+Parameter!$M$23,Parameter!$M$24))</f>
        <v>155</v>
      </c>
      <c r="CD1235" s="60" t="n">
        <f aca="false">IF(AND(Parameter!$B$19="Ja",E1235&lt;&gt;"",ISNUMBER(MATCH(E1235,Parameter!$I$35:$I$52,0))),VLOOKUP(E1235,Parameter!$I$35:$J$52,2,0),IFERROR(VLOOKUP(D1235,Parameter!$A$35:$C$64,2,0),"Nein"))</f>
        <v>1</v>
      </c>
      <c r="CE1235" s="64" t="n">
        <f aca="false">IF(CA1235=0,0,IF(N(S1235)&gt;0,S1235,IFERROR(VLOOKUP(D1235,Parameter!$A$35:$C$64,3,0)+0,0)))</f>
        <v>0</v>
      </c>
      <c r="CF1235" s="60" t="n">
        <f aca="false">IF(AB1235&lt;&gt;"",AB1235,AA1235)</f>
        <v>3</v>
      </c>
      <c r="CG1235" s="60" t="str">
        <f aca="false">IF(OR(CF1235=1,CF1235=2,CF1235=3),IF(Parameter!$E$27="Ja","LIFT",IF(CF1235=1,"L1","L23")),IF(CF1235="Aussen","Aussen","-"))</f>
        <v>LIFT</v>
      </c>
      <c r="CH1235" s="71" t="n">
        <f aca="false">IF(N(AC1235)&gt;0,AC1235,0)</f>
        <v>0</v>
      </c>
      <c r="CI1235" s="65" t="n">
        <f aca="false">IF(ISNUMBER(AF1235),1,0)</f>
        <v>0</v>
      </c>
      <c r="CJ1235" s="62" t="n">
        <f aca="false">N(AF1235)</f>
        <v>0</v>
      </c>
      <c r="CK1235" s="62" t="n">
        <f aca="false">N(M1235)+N(N1235)</f>
        <v>44</v>
      </c>
      <c r="CL1235" s="62" t="n">
        <f aca="false">N(M1235)</f>
        <v>14</v>
      </c>
      <c r="CM1235" s="62" t="n">
        <f aca="false">N(N1235)</f>
        <v>30</v>
      </c>
      <c r="CN1235" s="62" t="n">
        <f aca="false">ROUNDUP(H1235/BZ1235,0)</f>
        <v>2</v>
      </c>
      <c r="CO1235" s="62" t="n">
        <f aca="false">ROUNDUP(CJ1235/BZ1235,0)</f>
        <v>0</v>
      </c>
      <c r="CP1235" s="65" t="n">
        <f aca="false">IF(CA1235=1,0,IFERROR(VLOOKUP(BY1235,'Gebinde-Kategorie'!$A$5:$N$45,5,0)+0,0))</f>
        <v>11</v>
      </c>
      <c r="CQ1235" s="65" t="n">
        <f aca="false">IFERROR(IF(OR(CF1235=1,CF1235=2,CF1235=3),N(INDEX(Parameter!$I$5:$I$7,CF1235)),0),0)</f>
        <v>0</v>
      </c>
      <c r="CR1235" s="64" t="n">
        <f aca="false">IF(AND(Parameter!$B$21="Ja",ISNUMBER(W1235),N(X1235)&gt;0),IFERROR(N(INDEX(Parameter!$L$5:$L$7,W1235))*INDEX(Parameter!$E$5:$E$7,W1235)*X1235/SUMIFS($X$7:$X$1843,$W$7:$W$1843,W1235),0),0)</f>
        <v>0</v>
      </c>
      <c r="CS1235" s="62" t="n">
        <f aca="false">IF(AND(OR(CG1235="L1",CG1235="L23",CG1235="LIFT"),H1235&gt;0),CC1235*IF(CR1235&gt;0,CR1235*MAX(1,H1235/X1235),IF(CA1235=1,CE1235,IF(R1235&gt;0,CN1235/R1235,0))/MAX(0.1,N(Parameter!$M$21))),"")</f>
        <v>11.9230769230769</v>
      </c>
      <c r="CT1235" s="64" t="n">
        <f aca="false">IF(CS1235="","",J1235/H1235)</f>
        <v>3.96875</v>
      </c>
      <c r="CU1235" s="62" t="n">
        <f aca="false">IF(CS1235="","",H1235*G1235)</f>
        <v>3468.16</v>
      </c>
      <c r="CV1235" s="63" t="n">
        <f aca="false">IF(CS1235="","",(CL1235+ROUNDUP(CL1235+MAX(CM1235,2*(J1235/MAX(0.1,N(Einkauf!$C$6))-CL1235)),0))/2)</f>
        <v>63.5</v>
      </c>
      <c r="CW1235" s="62" t="n">
        <f aca="false">IF(CS1235="","",MAX(0,H1235-CV1235)*G1235)</f>
        <v>27.095</v>
      </c>
      <c r="CX1235" s="62" t="n">
        <f aca="false">IF(CS1235="","",CS1235*MAX(0,1-CV1235/H1235))</f>
        <v>0.0931490384615385</v>
      </c>
      <c r="CY1235" s="64" t="n">
        <f aca="false">IF(CS1235="","",PERCENTRANK($CS$7:$CS$1843,CS1235)+PERCENTRANK($CU$7:$CU$1843,CU1235)+1-PERCENTRANK($CT$7:$CT$1843,CT1235))</f>
        <v>1.554</v>
      </c>
      <c r="CZ1235" s="72" t="n">
        <f aca="false">IF(CS1235="","",CHOOSE(MATCH(Einkauf!$C$5,Parameter!$G$23:$G$27,0),CY1235,CS1235,CU1235,-CT1235,CW1235)+ROW()/1000000000)</f>
        <v>1.554001235</v>
      </c>
    </row>
    <row r="1236" customFormat="false" ht="15" hidden="false" customHeight="false" outlineLevel="0" collapsed="false">
      <c r="A1236" s="60" t="s">
        <v>2254</v>
      </c>
      <c r="B1236" s="60" t="s">
        <v>2255</v>
      </c>
      <c r="C1236" s="60" t="s">
        <v>498</v>
      </c>
      <c r="D1236" s="60" t="s">
        <v>215</v>
      </c>
      <c r="E1236" s="60" t="s">
        <v>1521</v>
      </c>
      <c r="F1236" s="60" t="s">
        <v>260</v>
      </c>
      <c r="G1236" s="61" t="n">
        <v>67.89</v>
      </c>
      <c r="H1236" s="62" t="n">
        <f aca="false">MAX(0,IF(AND(Parameter!$B$21="Ja",ISNUMBER(Y1236)),Y1236,IF(Parameter!$B$20="Jahresanfang 2025 + Export",BS1236+BR1236,BR1236)))</f>
        <v>0</v>
      </c>
      <c r="I1236" s="62" t="n">
        <f aca="false">H1236*G1236</f>
        <v>0</v>
      </c>
      <c r="J1236" s="62" t="n">
        <f aca="false">BU1236*Parameter!$B$18</f>
        <v>0</v>
      </c>
      <c r="K1236" s="63" t="n">
        <v>5</v>
      </c>
      <c r="L1236" s="64" t="n">
        <v>0</v>
      </c>
      <c r="M1236" s="62" t="n">
        <v>0</v>
      </c>
      <c r="N1236" s="62" t="n">
        <v>1</v>
      </c>
      <c r="O1236" s="65" t="n">
        <v>56</v>
      </c>
      <c r="P1236" s="60" t="s">
        <v>210</v>
      </c>
      <c r="Q1236" s="62"/>
      <c r="R1236" s="65" t="n">
        <f aca="false">IF(CA1236=1,0,IFERROR(VLOOKUP(BY1236,'Gebinde-Kategorie'!$A$5:$N$45,13,0)+0,0))</f>
        <v>4</v>
      </c>
      <c r="S1236" s="66"/>
      <c r="T1236" s="67" t="s">
        <v>231</v>
      </c>
      <c r="U1236" s="67"/>
      <c r="V1236" s="67"/>
      <c r="W1236" s="60"/>
      <c r="X1236" s="62"/>
      <c r="Y1236" s="62"/>
      <c r="Z1236" s="60"/>
      <c r="AA1236" s="60" t="str">
        <f aca="false">IF(A1236="","",IF(AND(Parameter!$B$21="Ja",ISNUMBER(W1236)),W1236,IF(AND(Parameter!$E$27="Ja",ISNUMBER(Z1236),CD1236&lt;&gt;"Nein"),Z1236,IF(CD1236="2+3",IF(ISNUMBER(SEARCH("grosser Artikel",BV1236)),2,IFERROR(VLOOKUP(BY1236,Parameter!$F$35:$G$64,2,0),2)),IF(OR(CD1236="Nein",CD1236=""),"-",CD1236)))))</f>
        <v>-</v>
      </c>
      <c r="AB1236" s="67"/>
      <c r="AC1236" s="68"/>
      <c r="AD1236" s="62" t="n">
        <f aca="false">AW1236</f>
        <v>1</v>
      </c>
      <c r="AE1236" s="62" t="n">
        <f aca="false">MAX(AW1236,H1236)</f>
        <v>1</v>
      </c>
      <c r="AF1236" s="69"/>
      <c r="AG1236" s="62" t="n">
        <f aca="false">IF(LEFT(Cockpit!$C$5,1)="A",H1236,IF(Parameter!$E$30="MAX-Bestand",IF(CI1236=1,CJ1236,IF(LEFT(Cockpit!$C$5,1)="B",AM1236,MAX(AM1236,H1236))),ROUNDUP(AK1236,0)))</f>
        <v>0</v>
      </c>
      <c r="AH1236" s="62" t="n">
        <f aca="false">IF(CA1236=1,0,ROUNDUP(AG1236/BZ1236,0))</f>
        <v>0</v>
      </c>
      <c r="AI1236" s="64" t="n">
        <f aca="false">IF(CR1236&gt;0,CR1236*MAX(1,AG1236/X1236),IF(CA1236=1,IF(AG1236&lt;=0,0,CE1236*MAX(1,IF(H1236&gt;0,AG1236/H1236,1))),IF(R1236&gt;0,AH1236/R1236,0))/MAX(0.1,N(Parameter!$M$21)))</f>
        <v>0</v>
      </c>
      <c r="AJ1236" s="62" t="n">
        <f aca="false">AI1236*CC1236</f>
        <v>0</v>
      </c>
      <c r="AK1236" s="63" t="n">
        <f aca="false">IF(LEFT(Cockpit!$C$5,1)="A",H1236,IF(CI1236=1,(CL1236+CJ1236)/2,IF(LEFT(Cockpit!$C$5,1)="B",(CL1236+AM1236)/2,MAX((CL1236+AM1236)/2,H1236))))</f>
        <v>0</v>
      </c>
      <c r="AL1236" s="62" t="n">
        <f aca="false">AK1236*G1236</f>
        <v>0</v>
      </c>
      <c r="AM1236" s="62" t="n">
        <f aca="false">ROUNDUP(CL1236+MAX(CM1236,2*(J1236/IF(CH1236&gt;0,CH1236,MAX(0.1,N(Cockpit!$C$6)))-CL1236)),0)</f>
        <v>1</v>
      </c>
      <c r="AN1236" s="63" t="n">
        <f aca="false">IF(AJ1236&gt;0,J1236/AJ1236,-1)</f>
        <v>-1</v>
      </c>
      <c r="AO1236" s="63" t="str">
        <f aca="false">IF(AND(OR(CG1236="L1",CG1236="L23",CG1236="LIFT"),AJ1236&gt;0),SUMIFS($AJ$7:$AJ$1843,$CG$7:$CG$1843,CG1236,$AN$7:$AN$1843,"&gt;"&amp;AN1236)+SUMIFS($AJ$7:$AJ$1843,$CG$7:$CG$1843,CG1236,$AN$7:$AN$1843,AN1236,$BX$7:$BX$1843,"&lt;="&amp;BX1236),"")</f>
        <v/>
      </c>
      <c r="AP1236" s="70" t="n">
        <f aca="false">IF(AO1236="",0,MAX(0,MIN(1,(IF(CG1236="L1",Parameter!$H$5,IF(CG1236="L23",Parameter!$H$6+Parameter!$H$7,Parameter!$H$5+Parameter!$H$6+Parameter!$H$7))-(AO1236-AJ1236))/AJ1236)))</f>
        <v>0</v>
      </c>
      <c r="AQ1236" s="62" t="n">
        <f aca="false">IF(LEFT(Cockpit!$I$5,1)="A",H1236,IF(Parameter!$E$30="MAX-Bestand",IF(CI1236=1,CJ1236,IF(LEFT(Cockpit!$I$5,1)="B",AW1236,MAX(AW1236,H1236))),ROUNDUP(AU1236,0)))</f>
        <v>1</v>
      </c>
      <c r="AR1236" s="62" t="n">
        <f aca="false">IF(CA1236=1,0,ROUNDUP(AQ1236/BZ1236,0))</f>
        <v>1</v>
      </c>
      <c r="AS1236" s="64" t="n">
        <f aca="false">IF(CR1236&gt;0,CR1236*MAX(1,AQ1236/X1236),IF(CA1236=1,IF(AQ1236&lt;=0,0,CE1236*MAX(1,IF(H1236&gt;0,AQ1236/H1236,1))),IF(R1236&gt;0,AR1236/R1236,0))/MAX(0.1,N(Parameter!$M$21)))</f>
        <v>0.25</v>
      </c>
      <c r="AT1236" s="62" t="n">
        <f aca="false">AS1236*CC1236</f>
        <v>58.75</v>
      </c>
      <c r="AU1236" s="63" t="n">
        <f aca="false">IF(LEFT(Cockpit!$I$5,1)="A",H1236,IF(CI1236=1,(CL1236+CJ1236)/2,IF(LEFT(Cockpit!$I$5,1)="B",(CL1236+AW1236)/2,MAX((CL1236+AW1236)/2,H1236))))</f>
        <v>0.5</v>
      </c>
      <c r="AV1236" s="62" t="n">
        <f aca="false">AU1236*G1236</f>
        <v>33.945</v>
      </c>
      <c r="AW1236" s="62" t="n">
        <f aca="false">ROUNDUP(CL1236+MAX(CM1236,2*(J1236/IF(CH1236&gt;0,CH1236,MAX(0.1,N(Cockpit!$I$6)))-CL1236)),0)</f>
        <v>1</v>
      </c>
      <c r="AX1236" s="63" t="n">
        <f aca="false">IF(AT1236&gt;0,J1236/AT1236,-1)</f>
        <v>0</v>
      </c>
      <c r="AY1236" s="63" t="str">
        <f aca="false">IF(AND(OR(CG1236="L1",CG1236="L23",CG1236="LIFT"),AT1236&gt;0),SUMIFS($AT$7:$AT$1843,$CG$7:$CG$1843,CG1236,$AX$7:$AX$1843,"&gt;"&amp;AX1236)+SUMIFS($AT$7:$AT$1843,$CG$7:$CG$1843,CG1236,$AX$7:$AX$1843,AX1236,$BX$7:$BX$1843,"&lt;="&amp;BX1236),"")</f>
        <v/>
      </c>
      <c r="AZ1236" s="70" t="n">
        <f aca="false">IF(AY1236="",0,MAX(0,MIN(1,(IF(CG1236="L1",Parameter!$H$5,IF(CG1236="L23",Parameter!$H$6+Parameter!$H$7,Parameter!$H$5+Parameter!$H$6+Parameter!$H$7))-(AY1236-AT1236))/AT1236)))</f>
        <v>0</v>
      </c>
      <c r="BA1236" s="62" t="n">
        <f aca="false">IF(LEFT(Cockpit!$O$5,1)="A",H1236,IF(Parameter!$E$30="MAX-Bestand",IF(CI1236=1,CJ1236,IF(LEFT(Cockpit!$O$5,1)="B",BG1236,MAX(BG1236,H1236))),ROUNDUP(BE1236,0)))</f>
        <v>1</v>
      </c>
      <c r="BB1236" s="62" t="n">
        <f aca="false">IF(CA1236=1,0,ROUNDUP(BA1236/BZ1236,0))</f>
        <v>1</v>
      </c>
      <c r="BC1236" s="64" t="n">
        <f aca="false">IF(CR1236&gt;0,CR1236*MAX(1,BA1236/X1236),IF(CA1236=1,IF(BA1236&lt;=0,0,CE1236*MAX(1,IF(H1236&gt;0,BA1236/H1236,1))),IF(R1236&gt;0,BB1236/R1236,0))/MAX(0.1,N(Parameter!$M$21)))</f>
        <v>0.25</v>
      </c>
      <c r="BD1236" s="62" t="n">
        <f aca="false">BC1236*CC1236</f>
        <v>58.75</v>
      </c>
      <c r="BE1236" s="63" t="n">
        <f aca="false">IF(LEFT(Cockpit!$O$5,1)="A",H1236,IF(CI1236=1,(CL1236+CJ1236)/2,IF(LEFT(Cockpit!$O$5,1)="B",(CL1236+BG1236)/2,MAX((CL1236+BG1236)/2,H1236))))</f>
        <v>0.5</v>
      </c>
      <c r="BF1236" s="62" t="n">
        <f aca="false">BE1236*G1236</f>
        <v>33.945</v>
      </c>
      <c r="BG1236" s="62" t="n">
        <f aca="false">ROUNDUP(CL1236+MAX(CM1236,2*(J1236/IF(CH1236&gt;0,CH1236,MAX(0.1,N(Cockpit!$O$6)))-CL1236)),0)</f>
        <v>1</v>
      </c>
      <c r="BH1236" s="63" t="n">
        <f aca="false">IF(BD1236&gt;0,J1236/BD1236,-1)</f>
        <v>0</v>
      </c>
      <c r="BI1236" s="63" t="str">
        <f aca="false">IF(AND(OR(CG1236="L1",CG1236="L23",CG1236="LIFT"),BD1236&gt;0),SUMIFS($BD$7:$BD$1843,$CG$7:$CG$1843,CG1236,$BH$7:$BH$1843,"&gt;"&amp;BH1236)+SUMIFS($BD$7:$BD$1843,$CG$7:$CG$1843,CG1236,$BH$7:$BH$1843,BH1236,$BX$7:$BX$1843,"&lt;="&amp;BX1236),"")</f>
        <v/>
      </c>
      <c r="BJ1236" s="70" t="n">
        <f aca="false">IF(BI1236="",0,MAX(0,MIN(1,(IF(CG1236="L1",Parameter!$H$5,IF(CG1236="L23",Parameter!$H$6+Parameter!$H$7,Parameter!$H$5+Parameter!$H$6+Parameter!$H$7))-(BI1236-BD1236))/BD1236)))</f>
        <v>0</v>
      </c>
      <c r="BK1236" s="60" t="str">
        <f aca="false">IF(AJ1236&lt;=0,"",IF(CG1236="Aussen","Aussenlager",IF(CG1236="-","Nicht im Lift",IF(AP1236&gt;=1,"Lift",IF(AP1236&lt;=0,"Aussenlager","teilweise")))))</f>
        <v/>
      </c>
      <c r="BL1236" s="60" t="str">
        <f aca="false">IF(AT1236&lt;=0,"",IF(CG1236="Aussen","Aussenlager",IF(CG1236="-","Nicht im Lift",IF(AZ1236&gt;=1,"Lift",IF(AZ1236&lt;=0,"Aussenlager","teilweise")))))</f>
        <v>Nicht im Lift</v>
      </c>
      <c r="BM1236" s="60" t="str">
        <f aca="false">IF(BD1236&lt;=0,"",IF(CG1236="Aussen","Aussenlager",IF(CG1236="-","Nicht im Lift",IF(BJ1236&gt;=1,"Lift",IF(BJ1236&lt;=0,"Aussenlager","teilweise")))))</f>
        <v>Nicht im Lift</v>
      </c>
      <c r="BN1236" s="60" t="str">
        <f aca="false">IF(A1236="","",IF(BW1236=1,"Neu; ","")&amp;IF(AND(BW1236=0,BR1236&lt;0),"negativer Bestand (Export "&amp;BR1236&amp;"); ","")&amp;IF(J1236&lt;=0,"Kein Verbrauch; ","")&amp;IF(CR1236&gt;0,"Lift "&amp;W1236&amp;" lt. Liftbericht (Fach "&amp;X1236&amp;" Stk); ",IF(CB1236=1,"Gebinde geschätzt ("&amp;T1236&amp;"); ",IF(CA1236=1,"Lose – Tablare geschätzt; ","")))&amp;IF(H1236&gt;AW1236,"Überbestand "&amp;ROUND(H1236-AW1236,0)&amp;" Stk / CHF "&amp;ROUND((H1236-AW1236)*G1236,0)&amp;"; ","")&amp;IF(AND(CI1236=1,CJ1236&lt;CK1236),"MAX &lt; MB+LG; ","")&amp;IF(AND(CQ1236&gt;0,CP1236*10&gt;CQ1236),"zu hoch für Tablar; ","")&amp;IF(AND(BW1236=0,OR(CI1236=1,AB1236&lt;&gt;"",U1236&lt;&gt;"",V1236&lt;&gt;"",AC1236&lt;&gt;"")),"manuell übersteuert; ","")&amp;IF(AND(CA1236=0,R1236=0),"Gebinde unbekannt / Stellmass fehlt; ","")&amp;IF(AND(CA1236=0,N(V1236)&lt;=0,N(Q1236)&lt;=0),"Menge pro Gebinde fehlt (Ist = 1 Gebinde); ","")&amp;BV1236)</f>
        <v>negativer Bestand (Export -10); Kein Verbrauch; Gebinde geschätzt (Gross); Menge pro Gebinde fehlt (Ist = 1 Gebinde); </v>
      </c>
      <c r="BO1236" s="60"/>
      <c r="BP1236" s="60"/>
      <c r="BQ1236" s="67"/>
      <c r="BR1236" s="62" t="n">
        <v>-10</v>
      </c>
      <c r="BS1236" s="62" t="n">
        <v>10</v>
      </c>
      <c r="BT1236" s="61" t="n">
        <v>-678.9</v>
      </c>
      <c r="BU1236" s="62" t="n">
        <v>0</v>
      </c>
      <c r="BV1236" s="60"/>
      <c r="BW1236" s="65" t="n">
        <v>0</v>
      </c>
      <c r="BX1236" s="65" t="n">
        <v>1236</v>
      </c>
      <c r="BY1236" s="60" t="str">
        <f aca="false">IF(U1236&lt;&gt;"",UPPER(TRIM(U1236)),IF(CB1236=1,UPPER(VLOOKUP(T1236,Parameter!$I$27:$K$29,2,0)),IF(P1236="","LOSE",P1236)))</f>
        <v>S81</v>
      </c>
      <c r="BZ1236" s="62" t="n">
        <f aca="false">IF(BY1236="LOSE",1,IF(N(V1236)&gt;0,V1236,IF(CB1236=1,MAX(1,N(VLOOKUP(T1236,Parameter!$I$27:$K$29,3,0)),H1236,N(N1236)),IF(N(Q1236)&gt;0,Q1236,MAX(1,H1236)))))</f>
        <v>2</v>
      </c>
      <c r="CA1236" s="65" t="n">
        <f aca="false">IF(BY1236="LOSE",1,0)</f>
        <v>0</v>
      </c>
      <c r="CB1236" s="65" t="n">
        <f aca="false">IF(AND(U1236="",OR(P1236="",P1236="LOSE"),T1236&lt;&gt;"",N(S1236)&lt;=0,ISNUMBER(MATCH(T1236,Parameter!$I$27:$I$29,0))),1,0)</f>
        <v>1</v>
      </c>
      <c r="CC1236" s="65" t="n">
        <f aca="false">IF(CR1236&gt;0,INDEX(Parameter!$H$5:$H$7,W1236)/INDEX(Parameter!$E$5:$E$7,W1236),IF(AND(CA1236=0,N(IFERROR(VLOOKUP(BY1236,'Gebinde-Kategorie'!$A$5:$N$45,14,0),0))&gt;0),VLOOKUP(BY1236,'Gebinde-Kategorie'!$A$5:$N$45,14,0)*10+Parameter!$M$23,Parameter!$M$24))</f>
        <v>235</v>
      </c>
      <c r="CD1236" s="60" t="str">
        <f aca="false">IF(AND(Parameter!$B$19="Ja",E1236&lt;&gt;"",ISNUMBER(MATCH(E1236,Parameter!$I$35:$I$52,0))),VLOOKUP(E1236,Parameter!$I$35:$J$52,2,0),IFERROR(VLOOKUP(D1236,Parameter!$A$35:$C$64,2,0),"Nein"))</f>
        <v>Nein</v>
      </c>
      <c r="CE1236" s="64" t="n">
        <f aca="false">IF(CA1236=0,0,IF(N(S1236)&gt;0,S1236,IFERROR(VLOOKUP(D1236,Parameter!$A$35:$C$64,3,0)+0,0)))</f>
        <v>0</v>
      </c>
      <c r="CF1236" s="60" t="str">
        <f aca="false">IF(AB1236&lt;&gt;"",AB1236,AA1236)</f>
        <v>-</v>
      </c>
      <c r="CG1236" s="60" t="str">
        <f aca="false">IF(OR(CF1236=1,CF1236=2,CF1236=3),IF(Parameter!$E$27="Ja","LIFT",IF(CF1236=1,"L1","L23")),IF(CF1236="Aussen","Aussen","-"))</f>
        <v>-</v>
      </c>
      <c r="CH1236" s="71" t="n">
        <f aca="false">IF(N(AC1236)&gt;0,AC1236,0)</f>
        <v>0</v>
      </c>
      <c r="CI1236" s="65" t="n">
        <f aca="false">IF(ISNUMBER(AF1236),1,0)</f>
        <v>0</v>
      </c>
      <c r="CJ1236" s="62" t="n">
        <f aca="false">N(AF1236)</f>
        <v>0</v>
      </c>
      <c r="CK1236" s="62" t="n">
        <f aca="false">N(M1236)+N(N1236)</f>
        <v>1</v>
      </c>
      <c r="CL1236" s="62" t="n">
        <f aca="false">N(M1236)</f>
        <v>0</v>
      </c>
      <c r="CM1236" s="62" t="n">
        <f aca="false">N(N1236)</f>
        <v>1</v>
      </c>
      <c r="CN1236" s="62" t="n">
        <f aca="false">ROUNDUP(H1236/BZ1236,0)</f>
        <v>0</v>
      </c>
      <c r="CO1236" s="62" t="n">
        <f aca="false">ROUNDUP(CJ1236/BZ1236,0)</f>
        <v>0</v>
      </c>
      <c r="CP1236" s="65" t="n">
        <f aca="false">IF(CA1236=1,0,IFERROR(VLOOKUP(BY1236,'Gebinde-Kategorie'!$A$5:$N$45,5,0)+0,0))</f>
        <v>20</v>
      </c>
      <c r="CQ1236" s="65" t="n">
        <f aca="false">IFERROR(IF(OR(CF1236=1,CF1236=2,CF1236=3),N(INDEX(Parameter!$I$5:$I$7,CF1236)),0),0)</f>
        <v>0</v>
      </c>
      <c r="CR1236" s="64" t="n">
        <f aca="false">IF(AND(Parameter!$B$21="Ja",ISNUMBER(W1236),N(X1236)&gt;0),IFERROR(N(INDEX(Parameter!$L$5:$L$7,W1236))*INDEX(Parameter!$E$5:$E$7,W1236)*X1236/SUMIFS($X$7:$X$1843,$W$7:$W$1843,W1236),0),0)</f>
        <v>0</v>
      </c>
      <c r="CS1236" s="62" t="str">
        <f aca="false">IF(AND(OR(CG1236="L1",CG1236="L23",CG1236="LIFT"),H1236&gt;0),CC1236*IF(CR1236&gt;0,CR1236*MAX(1,H1236/X1236),IF(CA1236=1,CE1236,IF(R1236&gt;0,CN1236/R1236,0))/MAX(0.1,N(Parameter!$M$21))),"")</f>
        <v/>
      </c>
      <c r="CT1236" s="64" t="str">
        <f aca="false">IF(CS1236="","",J1236/H1236)</f>
        <v/>
      </c>
      <c r="CU1236" s="62" t="str">
        <f aca="false">IF(CS1236="","",H1236*G1236)</f>
        <v/>
      </c>
      <c r="CV1236" s="63" t="str">
        <f aca="false">IF(CS1236="","",(CL1236+ROUNDUP(CL1236+MAX(CM1236,2*(J1236/MAX(0.1,N(Einkauf!$C$6))-CL1236)),0))/2)</f>
        <v/>
      </c>
      <c r="CW1236" s="62" t="str">
        <f aca="false">IF(CS1236="","",MAX(0,H1236-CV1236)*G1236)</f>
        <v/>
      </c>
      <c r="CX1236" s="62" t="str">
        <f aca="false">IF(CS1236="","",CS1236*MAX(0,1-CV1236/H1236))</f>
        <v/>
      </c>
      <c r="CY1236" s="64" t="str">
        <f aca="false">IF(CS1236="","",PERCENTRANK($CS$7:$CS$1843,CS1236)+PERCENTRANK($CU$7:$CU$1843,CU1236)+1-PERCENTRANK($CT$7:$CT$1843,CT1236))</f>
        <v/>
      </c>
      <c r="CZ1236" s="72" t="str">
        <f aca="false">IF(CS1236="","",CHOOSE(MATCH(Einkauf!$C$5,Parameter!$G$23:$G$27,0),CY1236,CS1236,CU1236,-CT1236,CW1236)+ROW()/1000000000)</f>
        <v/>
      </c>
    </row>
    <row r="1237" customFormat="false" ht="15" hidden="false" customHeight="false" outlineLevel="0" collapsed="false">
      <c r="A1237" s="60" t="s">
        <v>2256</v>
      </c>
      <c r="B1237" s="60" t="s">
        <v>710</v>
      </c>
      <c r="C1237" s="60" t="s">
        <v>206</v>
      </c>
      <c r="D1237" s="60" t="s">
        <v>215</v>
      </c>
      <c r="E1237" s="60"/>
      <c r="F1237" s="60" t="s">
        <v>260</v>
      </c>
      <c r="G1237" s="61" t="n">
        <v>201.92</v>
      </c>
      <c r="H1237" s="62" t="n">
        <f aca="false">MAX(0,IF(AND(Parameter!$B$21="Ja",ISNUMBER(Y1237)),Y1237,IF(Parameter!$B$20="Jahresanfang 2025 + Export",BS1237+BR1237,BR1237)))</f>
        <v>8</v>
      </c>
      <c r="I1237" s="62" t="n">
        <f aca="false">H1237*G1237</f>
        <v>1615.36</v>
      </c>
      <c r="J1237" s="62" t="n">
        <f aca="false">BU1237*Parameter!$B$18</f>
        <v>55</v>
      </c>
      <c r="K1237" s="63" t="n">
        <v>17.5</v>
      </c>
      <c r="L1237" s="64" t="n">
        <v>3.14285714285714</v>
      </c>
      <c r="M1237" s="62" t="n">
        <v>5</v>
      </c>
      <c r="N1237" s="62" t="n">
        <v>10</v>
      </c>
      <c r="O1237" s="65" t="n">
        <v>28</v>
      </c>
      <c r="P1237" s="60" t="s">
        <v>210</v>
      </c>
      <c r="Q1237" s="62"/>
      <c r="R1237" s="65" t="n">
        <f aca="false">IF(CA1237=1,0,IFERROR(VLOOKUP(BY1237,'Gebinde-Kategorie'!$A$5:$N$45,13,0)+0,0))</f>
        <v>0</v>
      </c>
      <c r="S1237" s="66"/>
      <c r="T1237" s="67"/>
      <c r="U1237" s="67"/>
      <c r="V1237" s="67"/>
      <c r="W1237" s="60" t="n">
        <v>1</v>
      </c>
      <c r="X1237" s="62" t="n">
        <v>22</v>
      </c>
      <c r="Y1237" s="62" t="n">
        <v>8</v>
      </c>
      <c r="Z1237" s="60" t="n">
        <v>1</v>
      </c>
      <c r="AA1237" s="60" t="n">
        <f aca="false">IF(A1237="","",IF(AND(Parameter!$B$21="Ja",ISNUMBER(W1237)),W1237,IF(AND(Parameter!$E$27="Ja",ISNUMBER(Z1237),CD1237&lt;&gt;"Nein"),Z1237,IF(CD1237="2+3",IF(ISNUMBER(SEARCH("grosser Artikel",BV1237)),2,IFERROR(VLOOKUP(BY1237,Parameter!$F$35:$G$64,2,0),2)),IF(OR(CD1237="Nein",CD1237=""),"-",CD1237)))))</f>
        <v>1</v>
      </c>
      <c r="AB1237" s="67"/>
      <c r="AC1237" s="68"/>
      <c r="AD1237" s="62" t="n">
        <f aca="false">AW1237</f>
        <v>32</v>
      </c>
      <c r="AE1237" s="62" t="n">
        <f aca="false">MAX(AW1237,H1237)</f>
        <v>32</v>
      </c>
      <c r="AF1237" s="69"/>
      <c r="AG1237" s="62" t="n">
        <f aca="false">IF(LEFT(Cockpit!$C$5,1)="A",H1237,IF(Parameter!$E$30="MAX-Bestand",IF(CI1237=1,CJ1237,IF(LEFT(Cockpit!$C$5,1)="B",AM1237,MAX(AM1237,H1237))),ROUNDUP(AK1237,0)))</f>
        <v>8</v>
      </c>
      <c r="AH1237" s="62" t="n">
        <f aca="false">IF(CA1237=1,0,ROUNDUP(AG1237/BZ1237,0))</f>
        <v>0</v>
      </c>
      <c r="AI1237" s="64" t="n">
        <f aca="false">IF(CR1237&gt;0,CR1237*MAX(1,AG1237/X1237),IF(CA1237=1,IF(AG1237&lt;=0,0,CE1237*MAX(1,IF(H1237&gt;0,AG1237/H1237,1))),IF(R1237&gt;0,AH1237/R1237,0))/MAX(0.1,N(Parameter!$M$21)))</f>
        <v>1.7608286252354</v>
      </c>
      <c r="AJ1237" s="62" t="n">
        <f aca="false">AI1237*CC1237</f>
        <v>419.077212806026</v>
      </c>
      <c r="AK1237" s="63" t="n">
        <f aca="false">IF(LEFT(Cockpit!$C$5,1)="A",H1237,IF(CI1237=1,(CL1237+CJ1237)/2,IF(LEFT(Cockpit!$C$5,1)="B",(CL1237+AM1237)/2,MAX((CL1237+AM1237)/2,H1237))))</f>
        <v>8</v>
      </c>
      <c r="AL1237" s="62" t="n">
        <f aca="false">AK1237*G1237</f>
        <v>1615.36</v>
      </c>
      <c r="AM1237" s="62" t="n">
        <f aca="false">ROUNDUP(CL1237+MAX(CM1237,2*(J1237/IF(CH1237&gt;0,CH1237,MAX(0.1,N(Cockpit!$C$6)))-CL1237)),0)</f>
        <v>32</v>
      </c>
      <c r="AN1237" s="63" t="n">
        <f aca="false">IF(AJ1237&gt;0,J1237/AJ1237,-1)</f>
        <v>0.131240731586752</v>
      </c>
      <c r="AO1237" s="63" t="n">
        <f aca="false">IF(AND(OR(CG1237="L1",CG1237="L23",CG1237="LIFT"),AJ1237&gt;0),SUMIFS($AJ$7:$AJ$1843,$CG$7:$CG$1843,CG1237,$AN$7:$AN$1843,"&gt;"&amp;AN1237)+SUMIFS($AJ$7:$AJ$1843,$CG$7:$CG$1843,CG1237,$AN$7:$AN$1843,AN1237,$BX$7:$BX$1843,"&lt;="&amp;BX1237),"")</f>
        <v>13748.169908011</v>
      </c>
      <c r="AP1237" s="70" t="n">
        <f aca="false">IF(AO1237="",0,MAX(0,MIN(1,(IF(CG1237="L1",Parameter!$H$5,IF(CG1237="L23",Parameter!$H$6+Parameter!$H$7,Parameter!$H$5+Parameter!$H$6+Parameter!$H$7))-(AO1237-AJ1237))/AJ1237)))</f>
        <v>1</v>
      </c>
      <c r="AQ1237" s="62" t="n">
        <f aca="false">IF(LEFT(Cockpit!$I$5,1)="A",H1237,IF(Parameter!$E$30="MAX-Bestand",IF(CI1237=1,CJ1237,IF(LEFT(Cockpit!$I$5,1)="B",AW1237,MAX(AW1237,H1237))),ROUNDUP(AU1237,0)))</f>
        <v>19</v>
      </c>
      <c r="AR1237" s="62" t="n">
        <f aca="false">IF(CA1237=1,0,ROUNDUP(AQ1237/BZ1237,0))</f>
        <v>0</v>
      </c>
      <c r="AS1237" s="64" t="n">
        <f aca="false">IF(CR1237&gt;0,CR1237*MAX(1,AQ1237/X1237),IF(CA1237=1,IF(AQ1237&lt;=0,0,CE1237*MAX(1,IF(H1237&gt;0,AQ1237/H1237,1))),IF(R1237&gt;0,AR1237/R1237,0))/MAX(0.1,N(Parameter!$M$21)))</f>
        <v>1.7608286252354</v>
      </c>
      <c r="AT1237" s="62" t="n">
        <f aca="false">AS1237*CC1237</f>
        <v>419.077212806026</v>
      </c>
      <c r="AU1237" s="63" t="n">
        <f aca="false">IF(LEFT(Cockpit!$I$5,1)="A",H1237,IF(CI1237=1,(CL1237+CJ1237)/2,IF(LEFT(Cockpit!$I$5,1)="B",(CL1237+AW1237)/2,MAX((CL1237+AW1237)/2,H1237))))</f>
        <v>18.5</v>
      </c>
      <c r="AV1237" s="62" t="n">
        <f aca="false">AU1237*G1237</f>
        <v>3735.52</v>
      </c>
      <c r="AW1237" s="62" t="n">
        <f aca="false">ROUNDUP(CL1237+MAX(CM1237,2*(J1237/IF(CH1237&gt;0,CH1237,MAX(0.1,N(Cockpit!$I$6)))-CL1237)),0)</f>
        <v>32</v>
      </c>
      <c r="AX1237" s="63" t="n">
        <f aca="false">IF(AT1237&gt;0,J1237/AT1237,-1)</f>
        <v>0.131240731586752</v>
      </c>
      <c r="AY1237" s="63" t="n">
        <f aca="false">IF(AND(OR(CG1237="L1",CG1237="L23",CG1237="LIFT"),AT1237&gt;0),SUMIFS($AT$7:$AT$1843,$CG$7:$CG$1843,CG1237,$AX$7:$AX$1843,"&gt;"&amp;AX1237)+SUMIFS($AT$7:$AT$1843,$CG$7:$CG$1843,CG1237,$AX$7:$AX$1843,AX1237,$BX$7:$BX$1843,"&lt;="&amp;BX1237),"")</f>
        <v>17772.5685493885</v>
      </c>
      <c r="AZ1237" s="70" t="n">
        <f aca="false">IF(AY1237="",0,MAX(0,MIN(1,(IF(CG1237="L1",Parameter!$H$5,IF(CG1237="L23",Parameter!$H$6+Parameter!$H$7,Parameter!$H$5+Parameter!$H$6+Parameter!$H$7))-(AY1237-AT1237))/AT1237)))</f>
        <v>1</v>
      </c>
      <c r="BA1237" s="62" t="n">
        <f aca="false">IF(LEFT(Cockpit!$O$5,1)="A",H1237,IF(Parameter!$E$30="MAX-Bestand",IF(CI1237=1,CJ1237,IF(LEFT(Cockpit!$O$5,1)="B",BG1237,MAX(BG1237,H1237))),ROUNDUP(BE1237,0)))</f>
        <v>14</v>
      </c>
      <c r="BB1237" s="62" t="n">
        <f aca="false">IF(CA1237=1,0,ROUNDUP(BA1237/BZ1237,0))</f>
        <v>0</v>
      </c>
      <c r="BC1237" s="64" t="n">
        <f aca="false">IF(CR1237&gt;0,CR1237*MAX(1,BA1237/X1237),IF(CA1237=1,IF(BA1237&lt;=0,0,CE1237*MAX(1,IF(H1237&gt;0,BA1237/H1237,1))),IF(R1237&gt;0,BB1237/R1237,0))/MAX(0.1,N(Parameter!$M$21)))</f>
        <v>1.7608286252354</v>
      </c>
      <c r="BD1237" s="62" t="n">
        <f aca="false">BC1237*CC1237</f>
        <v>419.077212806026</v>
      </c>
      <c r="BE1237" s="63" t="n">
        <f aca="false">IF(LEFT(Cockpit!$O$5,1)="A",H1237,IF(CI1237=1,(CL1237+CJ1237)/2,IF(LEFT(Cockpit!$O$5,1)="B",(CL1237+BG1237)/2,MAX((CL1237+BG1237)/2,H1237))))</f>
        <v>14</v>
      </c>
      <c r="BF1237" s="62" t="n">
        <f aca="false">BE1237*G1237</f>
        <v>2826.88</v>
      </c>
      <c r="BG1237" s="62" t="n">
        <f aca="false">ROUNDUP(CL1237+MAX(CM1237,2*(J1237/IF(CH1237&gt;0,CH1237,MAX(0.1,N(Cockpit!$O$6)))-CL1237)),0)</f>
        <v>23</v>
      </c>
      <c r="BH1237" s="63" t="n">
        <f aca="false">IF(BD1237&gt;0,J1237/BD1237,-1)</f>
        <v>0.131240731586752</v>
      </c>
      <c r="BI1237" s="63" t="n">
        <f aca="false">IF(AND(OR(CG1237="L1",CG1237="L23",CG1237="LIFT"),BD1237&gt;0),SUMIFS($BD$7:$BD$1843,$CG$7:$CG$1843,CG1237,$BH$7:$BH$1843,"&gt;"&amp;BH1237)+SUMIFS($BD$7:$BD$1843,$CG$7:$CG$1843,CG1237,$BH$7:$BH$1843,BH1237,$BX$7:$BX$1843,"&lt;="&amp;BX1237),"")</f>
        <v>14986.2978285838</v>
      </c>
      <c r="BJ1237" s="70" t="n">
        <f aca="false">IF(BI1237="",0,MAX(0,MIN(1,(IF(CG1237="L1",Parameter!$H$5,IF(CG1237="L23",Parameter!$H$6+Parameter!$H$7,Parameter!$H$5+Parameter!$H$6+Parameter!$H$7))-(BI1237-BD1237))/BD1237)))</f>
        <v>1</v>
      </c>
      <c r="BK1237" s="60" t="str">
        <f aca="false">IF(AJ1237&lt;=0,"",IF(CG1237="Aussen","Aussenlager",IF(CG1237="-","Nicht im Lift",IF(AP1237&gt;=1,"Lift",IF(AP1237&lt;=0,"Aussenlager","teilweise")))))</f>
        <v>Lift</v>
      </c>
      <c r="BL1237" s="60" t="str">
        <f aca="false">IF(AT1237&lt;=0,"",IF(CG1237="Aussen","Aussenlager",IF(CG1237="-","Nicht im Lift",IF(AZ1237&gt;=1,"Lift",IF(AZ1237&lt;=0,"Aussenlager","teilweise")))))</f>
        <v>Lift</v>
      </c>
      <c r="BM1237" s="60" t="str">
        <f aca="false">IF(BD1237&lt;=0,"",IF(CG1237="Aussen","Aussenlager",IF(CG1237="-","Nicht im Lift",IF(BJ1237&gt;=1,"Lift",IF(BJ1237&lt;=0,"Aussenlager","teilweise")))))</f>
        <v>Lift</v>
      </c>
      <c r="BN1237" s="60" t="str">
        <f aca="false">IF(A1237="","",IF(BW1237=1,"Neu; ","")&amp;IF(AND(BW1237=0,BR1237&lt;0),"negativer Bestand (Export "&amp;BR1237&amp;"); ","")&amp;IF(J1237&lt;=0,"Kein Verbrauch; ","")&amp;IF(CR1237&gt;0,"Lift "&amp;W1237&amp;" lt. Liftbericht (Fach "&amp;X1237&amp;" Stk); ",IF(CB1237=1,"Gebinde geschätzt ("&amp;T1237&amp;"); ",IF(CA1237=1,"Lose – Tablare geschätzt; ","")))&amp;IF(H1237&gt;AW1237,"Überbestand "&amp;ROUND(H1237-AW1237,0)&amp;" Stk / CHF "&amp;ROUND((H1237-AW1237)*G1237,0)&amp;"; ","")&amp;IF(AND(CI1237=1,CJ1237&lt;CK1237),"MAX &lt; MB+LG; ","")&amp;IF(AND(CQ1237&gt;0,CP1237*10&gt;CQ1237),"zu hoch für Tablar; ","")&amp;IF(AND(BW1237=0,OR(CI1237=1,AB1237&lt;&gt;"",U1237&lt;&gt;"",V1237&lt;&gt;"",AC1237&lt;&gt;"")),"manuell übersteuert; ","")&amp;IF(AND(CA1237=0,R1237=0),"Gebinde unbekannt / Stellmass fehlt; ","")&amp;IF(AND(CA1237=0,N(V1237)&lt;=0,N(Q1237)&lt;=0),"Menge pro Gebinde fehlt (Ist = 1 Gebinde); ","")&amp;BV1237)</f>
        <v>negativer Bestand (Export -3); Lift 1 lt. Liftbericht (Fach 22 Stk); </v>
      </c>
      <c r="BO1237" s="60"/>
      <c r="BP1237" s="60"/>
      <c r="BQ1237" s="67"/>
      <c r="BR1237" s="62" t="n">
        <v>-3</v>
      </c>
      <c r="BS1237" s="62" t="n">
        <v>15</v>
      </c>
      <c r="BT1237" s="61" t="n">
        <v>-687.960000000004</v>
      </c>
      <c r="BU1237" s="62" t="n">
        <v>55</v>
      </c>
      <c r="BV1237" s="60"/>
      <c r="BW1237" s="65" t="n">
        <v>0</v>
      </c>
      <c r="BX1237" s="65" t="n">
        <v>1237</v>
      </c>
      <c r="BY1237" s="60" t="str">
        <f aca="false">IF(U1237&lt;&gt;"",UPPER(TRIM(U1237)),IF(CB1237=1,UPPER(VLOOKUP(T1237,Parameter!$I$27:$K$29,2,0)),IF(P1237="","LOSE",P1237)))</f>
        <v>LOSE</v>
      </c>
      <c r="BZ1237" s="62" t="n">
        <f aca="false">IF(BY1237="LOSE",1,IF(N(V1237)&gt;0,V1237,IF(CB1237=1,MAX(1,N(VLOOKUP(T1237,Parameter!$I$27:$K$29,3,0)),H1237,N(N1237)),IF(N(Q1237)&gt;0,Q1237,MAX(1,H1237)))))</f>
        <v>1</v>
      </c>
      <c r="CA1237" s="65" t="n">
        <f aca="false">IF(BY1237="LOSE",1,0)</f>
        <v>1</v>
      </c>
      <c r="CB1237" s="65" t="n">
        <f aca="false">IF(AND(U1237="",OR(P1237="",P1237="LOSE"),T1237&lt;&gt;"",N(S1237)&lt;=0,ISNUMBER(MATCH(T1237,Parameter!$I$27:$I$29,0))),1,0)</f>
        <v>0</v>
      </c>
      <c r="CC1237" s="65" t="n">
        <f aca="false">IF(CR1237&gt;0,INDEX(Parameter!$H$5:$H$7,W1237)/INDEX(Parameter!$E$5:$E$7,W1237),IF(AND(CA1237=0,N(IFERROR(VLOOKUP(BY1237,'Gebinde-Kategorie'!$A$5:$N$45,14,0),0))&gt;0),VLOOKUP(BY1237,'Gebinde-Kategorie'!$A$5:$N$45,14,0)*10+Parameter!$M$23,Parameter!$M$24))</f>
        <v>238</v>
      </c>
      <c r="CD1237" s="60" t="str">
        <f aca="false">IF(AND(Parameter!$B$19="Ja",E1237&lt;&gt;"",ISNUMBER(MATCH(E1237,Parameter!$I$35:$I$52,0))),VLOOKUP(E1237,Parameter!$I$35:$J$52,2,0),IFERROR(VLOOKUP(D1237,Parameter!$A$35:$C$64,2,0),"Nein"))</f>
        <v>2+3</v>
      </c>
      <c r="CE1237" s="64" t="n">
        <f aca="false">IF(CA1237=0,0,IF(N(S1237)&gt;0,S1237,IFERROR(VLOOKUP(D1237,Parameter!$A$35:$C$64,3,0)+0,0)))</f>
        <v>0.15</v>
      </c>
      <c r="CF1237" s="60" t="n">
        <f aca="false">IF(AB1237&lt;&gt;"",AB1237,AA1237)</f>
        <v>1</v>
      </c>
      <c r="CG1237" s="60" t="str">
        <f aca="false">IF(OR(CF1237=1,CF1237=2,CF1237=3),IF(Parameter!$E$27="Ja","LIFT",IF(CF1237=1,"L1","L23")),IF(CF1237="Aussen","Aussen","-"))</f>
        <v>LIFT</v>
      </c>
      <c r="CH1237" s="71" t="n">
        <f aca="false">IF(N(AC1237)&gt;0,AC1237,0)</f>
        <v>0</v>
      </c>
      <c r="CI1237" s="65" t="n">
        <f aca="false">IF(ISNUMBER(AF1237),1,0)</f>
        <v>0</v>
      </c>
      <c r="CJ1237" s="62" t="n">
        <f aca="false">N(AF1237)</f>
        <v>0</v>
      </c>
      <c r="CK1237" s="62" t="n">
        <f aca="false">N(M1237)+N(N1237)</f>
        <v>15</v>
      </c>
      <c r="CL1237" s="62" t="n">
        <f aca="false">N(M1237)</f>
        <v>5</v>
      </c>
      <c r="CM1237" s="62" t="n">
        <f aca="false">N(N1237)</f>
        <v>10</v>
      </c>
      <c r="CN1237" s="62" t="n">
        <f aca="false">ROUNDUP(H1237/BZ1237,0)</f>
        <v>8</v>
      </c>
      <c r="CO1237" s="62" t="n">
        <f aca="false">ROUNDUP(CJ1237/BZ1237,0)</f>
        <v>0</v>
      </c>
      <c r="CP1237" s="65" t="n">
        <f aca="false">IF(CA1237=1,0,IFERROR(VLOOKUP(BY1237,'Gebinde-Kategorie'!$A$5:$N$45,5,0)+0,0))</f>
        <v>0</v>
      </c>
      <c r="CQ1237" s="65" t="n">
        <f aca="false">IFERROR(IF(OR(CF1237=1,CF1237=2,CF1237=3),N(INDEX(Parameter!$I$5:$I$7,CF1237)),0),0)</f>
        <v>0</v>
      </c>
      <c r="CR1237" s="64" t="n">
        <f aca="false">IF(AND(Parameter!$B$21="Ja",ISNUMBER(W1237),N(X1237)&gt;0),IFERROR(N(INDEX(Parameter!$L$5:$L$7,W1237))*INDEX(Parameter!$E$5:$E$7,W1237)*X1237/SUMIFS($X$7:$X$1843,$W$7:$W$1843,W1237),0),0)</f>
        <v>1.7608286252354</v>
      </c>
      <c r="CS1237" s="62" t="n">
        <f aca="false">IF(AND(OR(CG1237="L1",CG1237="L23",CG1237="LIFT"),H1237&gt;0),CC1237*IF(CR1237&gt;0,CR1237*MAX(1,H1237/X1237),IF(CA1237=1,CE1237,IF(R1237&gt;0,CN1237/R1237,0))/MAX(0.1,N(Parameter!$M$21))),"")</f>
        <v>419.077212806026</v>
      </c>
      <c r="CT1237" s="64" t="n">
        <f aca="false">IF(CS1237="","",J1237/H1237)</f>
        <v>6.875</v>
      </c>
      <c r="CU1237" s="62" t="n">
        <f aca="false">IF(CS1237="","",H1237*G1237)</f>
        <v>1615.36</v>
      </c>
      <c r="CV1237" s="63" t="n">
        <f aca="false">IF(CS1237="","",(CL1237+ROUNDUP(CL1237+MAX(CM1237,2*(J1237/MAX(0.1,N(Einkauf!$C$6))-CL1237)),0))/2)</f>
        <v>14</v>
      </c>
      <c r="CW1237" s="62" t="n">
        <f aca="false">IF(CS1237="","",MAX(0,H1237-CV1237)*G1237)</f>
        <v>0</v>
      </c>
      <c r="CX1237" s="62" t="n">
        <f aca="false">IF(CS1237="","",CS1237*MAX(0,1-CV1237/H1237))</f>
        <v>0</v>
      </c>
      <c r="CY1237" s="64" t="n">
        <f aca="false">IF(CS1237="","",PERCENTRANK($CS$7:$CS$1843,CS1237)+PERCENTRANK($CU$7:$CU$1843,CU1237)+1-PERCENTRANK($CT$7:$CT$1843,CT1237))</f>
        <v>1.743</v>
      </c>
      <c r="CZ1237" s="72" t="n">
        <f aca="false">IF(CS1237="","",CHOOSE(MATCH(Einkauf!$C$5,Parameter!$G$23:$G$27,0),CY1237,CS1237,CU1237,-CT1237,CW1237)+ROW()/1000000000)</f>
        <v>1.743001237</v>
      </c>
    </row>
    <row r="1238" customFormat="false" ht="15" hidden="false" customHeight="false" outlineLevel="0" collapsed="false">
      <c r="A1238" s="60" t="s">
        <v>2257</v>
      </c>
      <c r="B1238" s="60" t="s">
        <v>580</v>
      </c>
      <c r="C1238" s="60" t="s">
        <v>206</v>
      </c>
      <c r="D1238" s="60" t="s">
        <v>215</v>
      </c>
      <c r="E1238" s="60"/>
      <c r="F1238" s="60" t="s">
        <v>260</v>
      </c>
      <c r="G1238" s="61" t="n">
        <v>185.97</v>
      </c>
      <c r="H1238" s="62" t="n">
        <f aca="false">MAX(0,IF(AND(Parameter!$B$21="Ja",ISNUMBER(Y1238)),Y1238,IF(Parameter!$B$20="Jahresanfang 2025 + Export",BS1238+BR1238,BR1238)))</f>
        <v>2</v>
      </c>
      <c r="I1238" s="62" t="n">
        <f aca="false">H1238*G1238</f>
        <v>371.94</v>
      </c>
      <c r="J1238" s="62" t="n">
        <f aca="false">BU1238*Parameter!$B$18</f>
        <v>9</v>
      </c>
      <c r="K1238" s="63" t="n">
        <v>6</v>
      </c>
      <c r="L1238" s="64" t="n">
        <v>1.5</v>
      </c>
      <c r="M1238" s="62" t="n">
        <v>0</v>
      </c>
      <c r="N1238" s="62" t="n">
        <v>10</v>
      </c>
      <c r="O1238" s="65" t="n">
        <v>35</v>
      </c>
      <c r="P1238" s="60" t="s">
        <v>216</v>
      </c>
      <c r="Q1238" s="62" t="n">
        <v>10</v>
      </c>
      <c r="R1238" s="65" t="n">
        <f aca="false">IF(CA1238=1,0,IFERROR(VLOOKUP(BY1238,'Gebinde-Kategorie'!$A$5:$N$45,13,0)+0,0))</f>
        <v>6</v>
      </c>
      <c r="S1238" s="66"/>
      <c r="T1238" s="67"/>
      <c r="U1238" s="67"/>
      <c r="V1238" s="67"/>
      <c r="W1238" s="60"/>
      <c r="X1238" s="62"/>
      <c r="Y1238" s="62"/>
      <c r="Z1238" s="60" t="n">
        <v>1</v>
      </c>
      <c r="AA1238" s="60" t="n">
        <f aca="false">IF(A1238="","",IF(AND(Parameter!$B$21="Ja",ISNUMBER(W1238)),W1238,IF(AND(Parameter!$E$27="Ja",ISNUMBER(Z1238),CD1238&lt;&gt;"Nein"),Z1238,IF(CD1238="2+3",IF(ISNUMBER(SEARCH("grosser Artikel",BV1238)),2,IFERROR(VLOOKUP(BY1238,Parameter!$F$35:$G$64,2,0),2)),IF(OR(CD1238="Nein",CD1238=""),"-",CD1238)))))</f>
        <v>1</v>
      </c>
      <c r="AB1238" s="67"/>
      <c r="AC1238" s="68"/>
      <c r="AD1238" s="62" t="n">
        <f aca="false">AW1238</f>
        <v>10</v>
      </c>
      <c r="AE1238" s="62" t="n">
        <f aca="false">MAX(AW1238,H1238)</f>
        <v>10</v>
      </c>
      <c r="AF1238" s="69"/>
      <c r="AG1238" s="62" t="n">
        <f aca="false">IF(LEFT(Cockpit!$C$5,1)="A",H1238,IF(Parameter!$E$30="MAX-Bestand",IF(CI1238=1,CJ1238,IF(LEFT(Cockpit!$C$5,1)="B",AM1238,MAX(AM1238,H1238))),ROUNDUP(AK1238,0)))</f>
        <v>2</v>
      </c>
      <c r="AH1238" s="62" t="n">
        <f aca="false">IF(CA1238=1,0,ROUNDUP(AG1238/BZ1238,0))</f>
        <v>1</v>
      </c>
      <c r="AI1238" s="64" t="n">
        <f aca="false">IF(CR1238&gt;0,CR1238*MAX(1,AG1238/X1238),IF(CA1238=1,IF(AG1238&lt;=0,0,CE1238*MAX(1,IF(H1238&gt;0,AG1238/H1238,1))),IF(R1238&gt;0,AH1238/R1238,0))/MAX(0.1,N(Parameter!$M$21)))</f>
        <v>0.166666666666667</v>
      </c>
      <c r="AJ1238" s="62" t="n">
        <f aca="false">AI1238*CC1238</f>
        <v>39.1666666666667</v>
      </c>
      <c r="AK1238" s="63" t="n">
        <f aca="false">IF(LEFT(Cockpit!$C$5,1)="A",H1238,IF(CI1238=1,(CL1238+CJ1238)/2,IF(LEFT(Cockpit!$C$5,1)="B",(CL1238+AM1238)/2,MAX((CL1238+AM1238)/2,H1238))))</f>
        <v>2</v>
      </c>
      <c r="AL1238" s="62" t="n">
        <f aca="false">AK1238*G1238</f>
        <v>371.94</v>
      </c>
      <c r="AM1238" s="62" t="n">
        <f aca="false">ROUNDUP(CL1238+MAX(CM1238,2*(J1238/IF(CH1238&gt;0,CH1238,MAX(0.1,N(Cockpit!$C$6)))-CL1238)),0)</f>
        <v>10</v>
      </c>
      <c r="AN1238" s="63" t="n">
        <f aca="false">IF(AJ1238&gt;0,J1238/AJ1238,-1)</f>
        <v>0.229787234042553</v>
      </c>
      <c r="AO1238" s="63" t="n">
        <f aca="false">IF(AND(OR(CG1238="L1",CG1238="L23",CG1238="LIFT"),AJ1238&gt;0),SUMIFS($AJ$7:$AJ$1843,$CG$7:$CG$1843,CG1238,$AN$7:$AN$1843,"&gt;"&amp;AN1238)+SUMIFS($AJ$7:$AJ$1843,$CG$7:$CG$1843,CG1238,$AN$7:$AN$1843,AN1238,$BX$7:$BX$1843,"&lt;="&amp;BX1238),"")</f>
        <v>12030.6869295958</v>
      </c>
      <c r="AP1238" s="70" t="n">
        <f aca="false">IF(AO1238="",0,MAX(0,MIN(1,(IF(CG1238="L1",Parameter!$H$5,IF(CG1238="L23",Parameter!$H$6+Parameter!$H$7,Parameter!$H$5+Parameter!$H$6+Parameter!$H$7))-(AO1238-AJ1238))/AJ1238)))</f>
        <v>1</v>
      </c>
      <c r="AQ1238" s="62" t="n">
        <f aca="false">IF(LEFT(Cockpit!$I$5,1)="A",H1238,IF(Parameter!$E$30="MAX-Bestand",IF(CI1238=1,CJ1238,IF(LEFT(Cockpit!$I$5,1)="B",AW1238,MAX(AW1238,H1238))),ROUNDUP(AU1238,0)))</f>
        <v>5</v>
      </c>
      <c r="AR1238" s="62" t="n">
        <f aca="false">IF(CA1238=1,0,ROUNDUP(AQ1238/BZ1238,0))</f>
        <v>1</v>
      </c>
      <c r="AS1238" s="64" t="n">
        <f aca="false">IF(CR1238&gt;0,CR1238*MAX(1,AQ1238/X1238),IF(CA1238=1,IF(AQ1238&lt;=0,0,CE1238*MAX(1,IF(H1238&gt;0,AQ1238/H1238,1))),IF(R1238&gt;0,AR1238/R1238,0))/MAX(0.1,N(Parameter!$M$21)))</f>
        <v>0.166666666666667</v>
      </c>
      <c r="AT1238" s="62" t="n">
        <f aca="false">AS1238*CC1238</f>
        <v>39.1666666666667</v>
      </c>
      <c r="AU1238" s="63" t="n">
        <f aca="false">IF(LEFT(Cockpit!$I$5,1)="A",H1238,IF(CI1238=1,(CL1238+CJ1238)/2,IF(LEFT(Cockpit!$I$5,1)="B",(CL1238+AW1238)/2,MAX((CL1238+AW1238)/2,H1238))))</f>
        <v>5</v>
      </c>
      <c r="AV1238" s="62" t="n">
        <f aca="false">AU1238*G1238</f>
        <v>929.85</v>
      </c>
      <c r="AW1238" s="62" t="n">
        <f aca="false">ROUNDUP(CL1238+MAX(CM1238,2*(J1238/IF(CH1238&gt;0,CH1238,MAX(0.1,N(Cockpit!$I$6)))-CL1238)),0)</f>
        <v>10</v>
      </c>
      <c r="AX1238" s="63" t="n">
        <f aca="false">IF(AT1238&gt;0,J1238/AT1238,-1)</f>
        <v>0.229787234042553</v>
      </c>
      <c r="AY1238" s="63" t="n">
        <f aca="false">IF(AND(OR(CG1238="L1",CG1238="L23",CG1238="LIFT"),AT1238&gt;0),SUMIFS($AT$7:$AT$1843,$CG$7:$CG$1843,CG1238,$AX$7:$AX$1843,"&gt;"&amp;AX1238)+SUMIFS($AT$7:$AT$1843,$CG$7:$CG$1843,CG1238,$AX$7:$AX$1843,AX1238,$BX$7:$BX$1843,"&lt;="&amp;BX1238),"")</f>
        <v>15107.581043956</v>
      </c>
      <c r="AZ1238" s="70" t="n">
        <f aca="false">IF(AY1238="",0,MAX(0,MIN(1,(IF(CG1238="L1",Parameter!$H$5,IF(CG1238="L23",Parameter!$H$6+Parameter!$H$7,Parameter!$H$5+Parameter!$H$6+Parameter!$H$7))-(AY1238-AT1238))/AT1238)))</f>
        <v>1</v>
      </c>
      <c r="BA1238" s="62" t="n">
        <f aca="false">IF(LEFT(Cockpit!$O$5,1)="A",H1238,IF(Parameter!$E$30="MAX-Bestand",IF(CI1238=1,CJ1238,IF(LEFT(Cockpit!$O$5,1)="B",BG1238,MAX(BG1238,H1238))),ROUNDUP(BE1238,0)))</f>
        <v>5</v>
      </c>
      <c r="BB1238" s="62" t="n">
        <f aca="false">IF(CA1238=1,0,ROUNDUP(BA1238/BZ1238,0))</f>
        <v>1</v>
      </c>
      <c r="BC1238" s="64" t="n">
        <f aca="false">IF(CR1238&gt;0,CR1238*MAX(1,BA1238/X1238),IF(CA1238=1,IF(BA1238&lt;=0,0,CE1238*MAX(1,IF(H1238&gt;0,BA1238/H1238,1))),IF(R1238&gt;0,BB1238/R1238,0))/MAX(0.1,N(Parameter!$M$21)))</f>
        <v>0.166666666666667</v>
      </c>
      <c r="BD1238" s="62" t="n">
        <f aca="false">BC1238*CC1238</f>
        <v>39.1666666666667</v>
      </c>
      <c r="BE1238" s="63" t="n">
        <f aca="false">IF(LEFT(Cockpit!$O$5,1)="A",H1238,IF(CI1238=1,(CL1238+CJ1238)/2,IF(LEFT(Cockpit!$O$5,1)="B",(CL1238+BG1238)/2,MAX((CL1238+BG1238)/2,H1238))))</f>
        <v>5</v>
      </c>
      <c r="BF1238" s="62" t="n">
        <f aca="false">BE1238*G1238</f>
        <v>929.85</v>
      </c>
      <c r="BG1238" s="62" t="n">
        <f aca="false">ROUNDUP(CL1238+MAX(CM1238,2*(J1238/IF(CH1238&gt;0,CH1238,MAX(0.1,N(Cockpit!$O$6)))-CL1238)),0)</f>
        <v>10</v>
      </c>
      <c r="BH1238" s="63" t="n">
        <f aca="false">IF(BD1238&gt;0,J1238/BD1238,-1)</f>
        <v>0.229787234042553</v>
      </c>
      <c r="BI1238" s="63" t="n">
        <f aca="false">IF(AND(OR(CG1238="L1",CG1238="L23",CG1238="LIFT"),BD1238&gt;0),SUMIFS($BD$7:$BD$1843,$CG$7:$CG$1843,CG1238,$BH$7:$BH$1843,"&gt;"&amp;BH1238)+SUMIFS($BD$7:$BD$1843,$CG$7:$CG$1843,CG1238,$BH$7:$BH$1843,BH1238,$BX$7:$BX$1843,"&lt;="&amp;BX1238),"")</f>
        <v>12258.8081501832</v>
      </c>
      <c r="BJ1238" s="70" t="n">
        <f aca="false">IF(BI1238="",0,MAX(0,MIN(1,(IF(CG1238="L1",Parameter!$H$5,IF(CG1238="L23",Parameter!$H$6+Parameter!$H$7,Parameter!$H$5+Parameter!$H$6+Parameter!$H$7))-(BI1238-BD1238))/BD1238)))</f>
        <v>1</v>
      </c>
      <c r="BK1238" s="60" t="str">
        <f aca="false">IF(AJ1238&lt;=0,"",IF(CG1238="Aussen","Aussenlager",IF(CG1238="-","Nicht im Lift",IF(AP1238&gt;=1,"Lift",IF(AP1238&lt;=0,"Aussenlager","teilweise")))))</f>
        <v>Lift</v>
      </c>
      <c r="BL1238" s="60" t="str">
        <f aca="false">IF(AT1238&lt;=0,"",IF(CG1238="Aussen","Aussenlager",IF(CG1238="-","Nicht im Lift",IF(AZ1238&gt;=1,"Lift",IF(AZ1238&lt;=0,"Aussenlager","teilweise")))))</f>
        <v>Lift</v>
      </c>
      <c r="BM1238" s="60" t="str">
        <f aca="false">IF(BD1238&lt;=0,"",IF(CG1238="Aussen","Aussenlager",IF(CG1238="-","Nicht im Lift",IF(BJ1238&gt;=1,"Lift",IF(BJ1238&lt;=0,"Aussenlager","teilweise")))))</f>
        <v>Lift</v>
      </c>
      <c r="BN1238" s="60" t="str">
        <f aca="false">IF(A1238="","",IF(BW1238=1,"Neu; ","")&amp;IF(AND(BW1238=0,BR1238&lt;0),"negativer Bestand (Export "&amp;BR1238&amp;"); ","")&amp;IF(J1238&lt;=0,"Kein Verbrauch; ","")&amp;IF(CR1238&gt;0,"Lift "&amp;W1238&amp;" lt. Liftbericht (Fach "&amp;X1238&amp;" Stk); ",IF(CB1238=1,"Gebinde geschätzt ("&amp;T1238&amp;"); ",IF(CA1238=1,"Lose – Tablare geschätzt; ","")))&amp;IF(H1238&gt;AW1238,"Überbestand "&amp;ROUND(H1238-AW1238,0)&amp;" Stk / CHF "&amp;ROUND((H1238-AW1238)*G1238,0)&amp;"; ","")&amp;IF(AND(CI1238=1,CJ1238&lt;CK1238),"MAX &lt; MB+LG; ","")&amp;IF(AND(CQ1238&gt;0,CP1238*10&gt;CQ1238),"zu hoch für Tablar; ","")&amp;IF(AND(BW1238=0,OR(CI1238=1,AB1238&lt;&gt;"",U1238&lt;&gt;"",V1238&lt;&gt;"",AC1238&lt;&gt;"")),"manuell übersteuert; ","")&amp;IF(AND(CA1238=0,R1238=0),"Gebinde unbekannt / Stellmass fehlt; ","")&amp;IF(AND(CA1238=0,N(V1238)&lt;=0,N(Q1238)&lt;=0),"Menge pro Gebinde fehlt (Ist = 1 Gebinde); ","")&amp;BV1238)</f>
        <v>negativer Bestand (Export -4); </v>
      </c>
      <c r="BO1238" s="60"/>
      <c r="BP1238" s="60"/>
      <c r="BQ1238" s="67"/>
      <c r="BR1238" s="62" t="n">
        <v>-4</v>
      </c>
      <c r="BS1238" s="62" t="n">
        <v>6</v>
      </c>
      <c r="BT1238" s="61" t="n">
        <v>-689.16</v>
      </c>
      <c r="BU1238" s="62" t="n">
        <v>9</v>
      </c>
      <c r="BV1238" s="60"/>
      <c r="BW1238" s="65" t="n">
        <v>0</v>
      </c>
      <c r="BX1238" s="65" t="n">
        <v>1238</v>
      </c>
      <c r="BY1238" s="60" t="str">
        <f aca="false">IF(U1238&lt;&gt;"",UPPER(TRIM(U1238)),IF(CB1238=1,UPPER(VLOOKUP(T1238,Parameter!$I$27:$K$29,2,0)),IF(P1238="","LOSE",P1238)))</f>
        <v>S71</v>
      </c>
      <c r="BZ1238" s="62" t="n">
        <f aca="false">IF(BY1238="LOSE",1,IF(N(V1238)&gt;0,V1238,IF(CB1238=1,MAX(1,N(VLOOKUP(T1238,Parameter!$I$27:$K$29,3,0)),H1238,N(N1238)),IF(N(Q1238)&gt;0,Q1238,MAX(1,H1238)))))</f>
        <v>10</v>
      </c>
      <c r="CA1238" s="65" t="n">
        <f aca="false">IF(BY1238="LOSE",1,0)</f>
        <v>0</v>
      </c>
      <c r="CB1238" s="65" t="n">
        <f aca="false">IF(AND(U1238="",OR(P1238="",P1238="LOSE"),T1238&lt;&gt;"",N(S1238)&lt;=0,ISNUMBER(MATCH(T1238,Parameter!$I$27:$I$29,0))),1,0)</f>
        <v>0</v>
      </c>
      <c r="CC1238" s="65" t="n">
        <f aca="false">IF(CR1238&gt;0,INDEX(Parameter!$H$5:$H$7,W1238)/INDEX(Parameter!$E$5:$E$7,W1238),IF(AND(CA1238=0,N(IFERROR(VLOOKUP(BY1238,'Gebinde-Kategorie'!$A$5:$N$45,14,0),0))&gt;0),VLOOKUP(BY1238,'Gebinde-Kategorie'!$A$5:$N$45,14,0)*10+Parameter!$M$23,Parameter!$M$24))</f>
        <v>235</v>
      </c>
      <c r="CD1238" s="60" t="str">
        <f aca="false">IF(AND(Parameter!$B$19="Ja",E1238&lt;&gt;"",ISNUMBER(MATCH(E1238,Parameter!$I$35:$I$52,0))),VLOOKUP(E1238,Parameter!$I$35:$J$52,2,0),IFERROR(VLOOKUP(D1238,Parameter!$A$35:$C$64,2,0),"Nein"))</f>
        <v>2+3</v>
      </c>
      <c r="CE1238" s="64" t="n">
        <f aca="false">IF(CA1238=0,0,IF(N(S1238)&gt;0,S1238,IFERROR(VLOOKUP(D1238,Parameter!$A$35:$C$64,3,0)+0,0)))</f>
        <v>0</v>
      </c>
      <c r="CF1238" s="60" t="n">
        <f aca="false">IF(AB1238&lt;&gt;"",AB1238,AA1238)</f>
        <v>1</v>
      </c>
      <c r="CG1238" s="60" t="str">
        <f aca="false">IF(OR(CF1238=1,CF1238=2,CF1238=3),IF(Parameter!$E$27="Ja","LIFT",IF(CF1238=1,"L1","L23")),IF(CF1238="Aussen","Aussen","-"))</f>
        <v>LIFT</v>
      </c>
      <c r="CH1238" s="71" t="n">
        <f aca="false">IF(N(AC1238)&gt;0,AC1238,0)</f>
        <v>0</v>
      </c>
      <c r="CI1238" s="65" t="n">
        <f aca="false">IF(ISNUMBER(AF1238),1,0)</f>
        <v>0</v>
      </c>
      <c r="CJ1238" s="62" t="n">
        <f aca="false">N(AF1238)</f>
        <v>0</v>
      </c>
      <c r="CK1238" s="62" t="n">
        <f aca="false">N(M1238)+N(N1238)</f>
        <v>10</v>
      </c>
      <c r="CL1238" s="62" t="n">
        <f aca="false">N(M1238)</f>
        <v>0</v>
      </c>
      <c r="CM1238" s="62" t="n">
        <f aca="false">N(N1238)</f>
        <v>10</v>
      </c>
      <c r="CN1238" s="62" t="n">
        <f aca="false">ROUNDUP(H1238/BZ1238,0)</f>
        <v>1</v>
      </c>
      <c r="CO1238" s="62" t="n">
        <f aca="false">ROUNDUP(CJ1238/BZ1238,0)</f>
        <v>0</v>
      </c>
      <c r="CP1238" s="65" t="n">
        <f aca="false">IF(CA1238=1,0,IFERROR(VLOOKUP(BY1238,'Gebinde-Kategorie'!$A$5:$N$45,5,0)+0,0))</f>
        <v>20</v>
      </c>
      <c r="CQ1238" s="65" t="n">
        <f aca="false">IFERROR(IF(OR(CF1238=1,CF1238=2,CF1238=3),N(INDEX(Parameter!$I$5:$I$7,CF1238)),0),0)</f>
        <v>0</v>
      </c>
      <c r="CR1238" s="64" t="n">
        <f aca="false">IF(AND(Parameter!$B$21="Ja",ISNUMBER(W1238),N(X1238)&gt;0),IFERROR(N(INDEX(Parameter!$L$5:$L$7,W1238))*INDEX(Parameter!$E$5:$E$7,W1238)*X1238/SUMIFS($X$7:$X$1843,$W$7:$W$1843,W1238),0),0)</f>
        <v>0</v>
      </c>
      <c r="CS1238" s="62" t="n">
        <f aca="false">IF(AND(OR(CG1238="L1",CG1238="L23",CG1238="LIFT"),H1238&gt;0),CC1238*IF(CR1238&gt;0,CR1238*MAX(1,H1238/X1238),IF(CA1238=1,CE1238,IF(R1238&gt;0,CN1238/R1238,0))/MAX(0.1,N(Parameter!$M$21))),"")</f>
        <v>39.1666666666667</v>
      </c>
      <c r="CT1238" s="64" t="n">
        <f aca="false">IF(CS1238="","",J1238/H1238)</f>
        <v>4.5</v>
      </c>
      <c r="CU1238" s="62" t="n">
        <f aca="false">IF(CS1238="","",H1238*G1238)</f>
        <v>371.94</v>
      </c>
      <c r="CV1238" s="63" t="n">
        <f aca="false">IF(CS1238="","",(CL1238+ROUNDUP(CL1238+MAX(CM1238,2*(J1238/MAX(0.1,N(Einkauf!$C$6))-CL1238)),0))/2)</f>
        <v>5</v>
      </c>
      <c r="CW1238" s="62" t="n">
        <f aca="false">IF(CS1238="","",MAX(0,H1238-CV1238)*G1238)</f>
        <v>0</v>
      </c>
      <c r="CX1238" s="62" t="n">
        <f aca="false">IF(CS1238="","",CS1238*MAX(0,1-CV1238/H1238))</f>
        <v>0</v>
      </c>
      <c r="CY1238" s="64" t="n">
        <f aca="false">IF(CS1238="","",PERCENTRANK($CS$7:$CS$1843,CS1238)+PERCENTRANK($CU$7:$CU$1843,CU1238)+1-PERCENTRANK($CT$7:$CT$1843,CT1238))</f>
        <v>1.379</v>
      </c>
      <c r="CZ1238" s="72" t="n">
        <f aca="false">IF(CS1238="","",CHOOSE(MATCH(Einkauf!$C$5,Parameter!$G$23:$G$27,0),CY1238,CS1238,CU1238,-CT1238,CW1238)+ROW()/1000000000)</f>
        <v>1.379001238</v>
      </c>
    </row>
    <row r="1239" customFormat="false" ht="15" hidden="false" customHeight="false" outlineLevel="0" collapsed="false">
      <c r="A1239" s="60" t="s">
        <v>2258</v>
      </c>
      <c r="B1239" s="60" t="s">
        <v>1910</v>
      </c>
      <c r="C1239" s="60" t="s">
        <v>206</v>
      </c>
      <c r="D1239" s="60" t="s">
        <v>226</v>
      </c>
      <c r="E1239" s="60" t="s">
        <v>227</v>
      </c>
      <c r="F1239" s="60" t="s">
        <v>260</v>
      </c>
      <c r="G1239" s="61" t="n">
        <v>63.53</v>
      </c>
      <c r="H1239" s="62" t="n">
        <f aca="false">MAX(0,IF(AND(Parameter!$B$21="Ja",ISNUMBER(Y1239)),Y1239,IF(Parameter!$B$20="Jahresanfang 2025 + Export",BS1239+BR1239,BR1239)))</f>
        <v>16</v>
      </c>
      <c r="I1239" s="62" t="n">
        <f aca="false">H1239*G1239</f>
        <v>1016.48</v>
      </c>
      <c r="J1239" s="62" t="n">
        <f aca="false">BU1239*Parameter!$B$18</f>
        <v>19</v>
      </c>
      <c r="K1239" s="63" t="n">
        <v>32.5</v>
      </c>
      <c r="L1239" s="64" t="n">
        <v>0.584615384615385</v>
      </c>
      <c r="M1239" s="62" t="n">
        <v>1</v>
      </c>
      <c r="N1239" s="62" t="n">
        <v>25</v>
      </c>
      <c r="O1239" s="65" t="n">
        <v>21</v>
      </c>
      <c r="P1239" s="60" t="s">
        <v>335</v>
      </c>
      <c r="Q1239" s="62" t="n">
        <v>60</v>
      </c>
      <c r="R1239" s="65" t="n">
        <f aca="false">IF(CA1239=1,0,IFERROR(VLOOKUP(BY1239,'Gebinde-Kategorie'!$A$5:$N$45,13,0)+0,0))</f>
        <v>12</v>
      </c>
      <c r="S1239" s="66"/>
      <c r="T1239" s="67"/>
      <c r="U1239" s="67"/>
      <c r="V1239" s="67"/>
      <c r="W1239" s="60"/>
      <c r="X1239" s="62"/>
      <c r="Y1239" s="62"/>
      <c r="Z1239" s="60" t="n">
        <v>3</v>
      </c>
      <c r="AA1239" s="60" t="n">
        <f aca="false">IF(A1239="","",IF(AND(Parameter!$B$21="Ja",ISNUMBER(W1239)),W1239,IF(AND(Parameter!$E$27="Ja",ISNUMBER(Z1239),CD1239&lt;&gt;"Nein"),Z1239,IF(CD1239="2+3",IF(ISNUMBER(SEARCH("grosser Artikel",BV1239)),2,IFERROR(VLOOKUP(BY1239,Parameter!$F$35:$G$64,2,0),2)),IF(OR(CD1239="Nein",CD1239=""),"-",CD1239)))))</f>
        <v>3</v>
      </c>
      <c r="AB1239" s="67"/>
      <c r="AC1239" s="68"/>
      <c r="AD1239" s="62" t="n">
        <f aca="false">AW1239</f>
        <v>26</v>
      </c>
      <c r="AE1239" s="62" t="n">
        <f aca="false">MAX(AW1239,H1239)</f>
        <v>26</v>
      </c>
      <c r="AF1239" s="69"/>
      <c r="AG1239" s="62" t="n">
        <f aca="false">IF(LEFT(Cockpit!$C$5,1)="A",H1239,IF(Parameter!$E$30="MAX-Bestand",IF(CI1239=1,CJ1239,IF(LEFT(Cockpit!$C$5,1)="B",AM1239,MAX(AM1239,H1239))),ROUNDUP(AK1239,0)))</f>
        <v>16</v>
      </c>
      <c r="AH1239" s="62" t="n">
        <f aca="false">IF(CA1239=1,0,ROUNDUP(AG1239/BZ1239,0))</f>
        <v>1</v>
      </c>
      <c r="AI1239" s="64" t="n">
        <f aca="false">IF(CR1239&gt;0,CR1239*MAX(1,AG1239/X1239),IF(CA1239=1,IF(AG1239&lt;=0,0,CE1239*MAX(1,IF(H1239&gt;0,AG1239/H1239,1))),IF(R1239&gt;0,AH1239/R1239,0))/MAX(0.1,N(Parameter!$M$21)))</f>
        <v>0.0833333333333333</v>
      </c>
      <c r="AJ1239" s="62" t="n">
        <f aca="false">AI1239*CC1239</f>
        <v>20.4166666666667</v>
      </c>
      <c r="AK1239" s="63" t="n">
        <f aca="false">IF(LEFT(Cockpit!$C$5,1)="A",H1239,IF(CI1239=1,(CL1239+CJ1239)/2,IF(LEFT(Cockpit!$C$5,1)="B",(CL1239+AM1239)/2,MAX((CL1239+AM1239)/2,H1239))))</f>
        <v>16</v>
      </c>
      <c r="AL1239" s="62" t="n">
        <f aca="false">AK1239*G1239</f>
        <v>1016.48</v>
      </c>
      <c r="AM1239" s="62" t="n">
        <f aca="false">ROUNDUP(CL1239+MAX(CM1239,2*(J1239/IF(CH1239&gt;0,CH1239,MAX(0.1,N(Cockpit!$C$6)))-CL1239)),0)</f>
        <v>26</v>
      </c>
      <c r="AN1239" s="63" t="n">
        <f aca="false">IF(AJ1239&gt;0,J1239/AJ1239,-1)</f>
        <v>0.930612244897959</v>
      </c>
      <c r="AO1239" s="63" t="n">
        <f aca="false">IF(AND(OR(CG1239="L1",CG1239="L23",CG1239="LIFT"),AJ1239&gt;0),SUMIFS($AJ$7:$AJ$1843,$CG$7:$CG$1843,CG1239,$AN$7:$AN$1843,"&gt;"&amp;AN1239)+SUMIFS($AJ$7:$AJ$1843,$CG$7:$CG$1843,CG1239,$AN$7:$AN$1843,AN1239,$BX$7:$BX$1843,"&lt;="&amp;BX1239),"")</f>
        <v>7355.53891941392</v>
      </c>
      <c r="AP1239" s="70" t="n">
        <f aca="false">IF(AO1239="",0,MAX(0,MIN(1,(IF(CG1239="L1",Parameter!$H$5,IF(CG1239="L23",Parameter!$H$6+Parameter!$H$7,Parameter!$H$5+Parameter!$H$6+Parameter!$H$7))-(AO1239-AJ1239))/AJ1239)))</f>
        <v>1</v>
      </c>
      <c r="AQ1239" s="62" t="n">
        <f aca="false">IF(LEFT(Cockpit!$I$5,1)="A",H1239,IF(Parameter!$E$30="MAX-Bestand",IF(CI1239=1,CJ1239,IF(LEFT(Cockpit!$I$5,1)="B",AW1239,MAX(AW1239,H1239))),ROUNDUP(AU1239,0)))</f>
        <v>16</v>
      </c>
      <c r="AR1239" s="62" t="n">
        <f aca="false">IF(CA1239=1,0,ROUNDUP(AQ1239/BZ1239,0))</f>
        <v>1</v>
      </c>
      <c r="AS1239" s="64" t="n">
        <f aca="false">IF(CR1239&gt;0,CR1239*MAX(1,AQ1239/X1239),IF(CA1239=1,IF(AQ1239&lt;=0,0,CE1239*MAX(1,IF(H1239&gt;0,AQ1239/H1239,1))),IF(R1239&gt;0,AR1239/R1239,0))/MAX(0.1,N(Parameter!$M$21)))</f>
        <v>0.0833333333333333</v>
      </c>
      <c r="AT1239" s="62" t="n">
        <f aca="false">AS1239*CC1239</f>
        <v>20.4166666666667</v>
      </c>
      <c r="AU1239" s="63" t="n">
        <f aca="false">IF(LEFT(Cockpit!$I$5,1)="A",H1239,IF(CI1239=1,(CL1239+CJ1239)/2,IF(LEFT(Cockpit!$I$5,1)="B",(CL1239+AW1239)/2,MAX((CL1239+AW1239)/2,H1239))))</f>
        <v>16</v>
      </c>
      <c r="AV1239" s="62" t="n">
        <f aca="false">AU1239*G1239</f>
        <v>1016.48</v>
      </c>
      <c r="AW1239" s="62" t="n">
        <f aca="false">ROUNDUP(CL1239+MAX(CM1239,2*(J1239/IF(CH1239&gt;0,CH1239,MAX(0.1,N(Cockpit!$I$6)))-CL1239)),0)</f>
        <v>26</v>
      </c>
      <c r="AX1239" s="63" t="n">
        <f aca="false">IF(AT1239&gt;0,J1239/AT1239,-1)</f>
        <v>0.930612244897959</v>
      </c>
      <c r="AY1239" s="63" t="n">
        <f aca="false">IF(AND(OR(CG1239="L1",CG1239="L23",CG1239="LIFT"),AT1239&gt;0),SUMIFS($AT$7:$AT$1843,$CG$7:$CG$1843,CG1239,$AX$7:$AX$1843,"&gt;"&amp;AX1239)+SUMIFS($AT$7:$AT$1843,$CG$7:$CG$1843,CG1239,$AX$7:$AX$1843,AX1239,$BX$7:$BX$1843,"&lt;="&amp;BX1239),"")</f>
        <v>8929.97893772894</v>
      </c>
      <c r="AZ1239" s="70" t="n">
        <f aca="false">IF(AY1239="",0,MAX(0,MIN(1,(IF(CG1239="L1",Parameter!$H$5,IF(CG1239="L23",Parameter!$H$6+Parameter!$H$7,Parameter!$H$5+Parameter!$H$6+Parameter!$H$7))-(AY1239-AT1239))/AT1239)))</f>
        <v>1</v>
      </c>
      <c r="BA1239" s="62" t="n">
        <f aca="false">IF(LEFT(Cockpit!$O$5,1)="A",H1239,IF(Parameter!$E$30="MAX-Bestand",IF(CI1239=1,CJ1239,IF(LEFT(Cockpit!$O$5,1)="B",BG1239,MAX(BG1239,H1239))),ROUNDUP(BE1239,0)))</f>
        <v>14</v>
      </c>
      <c r="BB1239" s="62" t="n">
        <f aca="false">IF(CA1239=1,0,ROUNDUP(BA1239/BZ1239,0))</f>
        <v>1</v>
      </c>
      <c r="BC1239" s="64" t="n">
        <f aca="false">IF(CR1239&gt;0,CR1239*MAX(1,BA1239/X1239),IF(CA1239=1,IF(BA1239&lt;=0,0,CE1239*MAX(1,IF(H1239&gt;0,BA1239/H1239,1))),IF(R1239&gt;0,BB1239/R1239,0))/MAX(0.1,N(Parameter!$M$21)))</f>
        <v>0.0833333333333333</v>
      </c>
      <c r="BD1239" s="62" t="n">
        <f aca="false">BC1239*CC1239</f>
        <v>20.4166666666667</v>
      </c>
      <c r="BE1239" s="63" t="n">
        <f aca="false">IF(LEFT(Cockpit!$O$5,1)="A",H1239,IF(CI1239=1,(CL1239+CJ1239)/2,IF(LEFT(Cockpit!$O$5,1)="B",(CL1239+BG1239)/2,MAX((CL1239+BG1239)/2,H1239))))</f>
        <v>13.5</v>
      </c>
      <c r="BF1239" s="62" t="n">
        <f aca="false">BE1239*G1239</f>
        <v>857.655</v>
      </c>
      <c r="BG1239" s="62" t="n">
        <f aca="false">ROUNDUP(CL1239+MAX(CM1239,2*(J1239/IF(CH1239&gt;0,CH1239,MAX(0.1,N(Cockpit!$O$6)))-CL1239)),0)</f>
        <v>26</v>
      </c>
      <c r="BH1239" s="63" t="n">
        <f aca="false">IF(BD1239&gt;0,J1239/BD1239,-1)</f>
        <v>0.930612244897959</v>
      </c>
      <c r="BI1239" s="63" t="n">
        <f aca="false">IF(AND(OR(CG1239="L1",CG1239="L23",CG1239="LIFT"),BD1239&gt;0),SUMIFS($BD$7:$BD$1843,$CG$7:$CG$1843,CG1239,$BH$7:$BH$1843,"&gt;"&amp;BH1239)+SUMIFS($BD$7:$BD$1843,$CG$7:$CG$1843,CG1239,$BH$7:$BH$1843,BH1239,$BX$7:$BX$1843,"&lt;="&amp;BX1239),"")</f>
        <v>8128.41254578755</v>
      </c>
      <c r="BJ1239" s="70" t="n">
        <f aca="false">IF(BI1239="",0,MAX(0,MIN(1,(IF(CG1239="L1",Parameter!$H$5,IF(CG1239="L23",Parameter!$H$6+Parameter!$H$7,Parameter!$H$5+Parameter!$H$6+Parameter!$H$7))-(BI1239-BD1239))/BD1239)))</f>
        <v>1</v>
      </c>
      <c r="BK1239" s="60" t="str">
        <f aca="false">IF(AJ1239&lt;=0,"",IF(CG1239="Aussen","Aussenlager",IF(CG1239="-","Nicht im Lift",IF(AP1239&gt;=1,"Lift",IF(AP1239&lt;=0,"Aussenlager","teilweise")))))</f>
        <v>Lift</v>
      </c>
      <c r="BL1239" s="60" t="str">
        <f aca="false">IF(AT1239&lt;=0,"",IF(CG1239="Aussen","Aussenlager",IF(CG1239="-","Nicht im Lift",IF(AZ1239&gt;=1,"Lift",IF(AZ1239&lt;=0,"Aussenlager","teilweise")))))</f>
        <v>Lift</v>
      </c>
      <c r="BM1239" s="60" t="str">
        <f aca="false">IF(BD1239&lt;=0,"",IF(CG1239="Aussen","Aussenlager",IF(CG1239="-","Nicht im Lift",IF(BJ1239&gt;=1,"Lift",IF(BJ1239&lt;=0,"Aussenlager","teilweise")))))</f>
        <v>Lift</v>
      </c>
      <c r="BN1239" s="60" t="str">
        <f aca="false">IF(A1239="","",IF(BW1239=1,"Neu; ","")&amp;IF(AND(BW1239=0,BR1239&lt;0),"negativer Bestand (Export "&amp;BR1239&amp;"); ","")&amp;IF(J1239&lt;=0,"Kein Verbrauch; ","")&amp;IF(CR1239&gt;0,"Lift "&amp;W1239&amp;" lt. Liftbericht (Fach "&amp;X1239&amp;" Stk); ",IF(CB1239=1,"Gebinde geschätzt ("&amp;T1239&amp;"); ",IF(CA1239=1,"Lose – Tablare geschätzt; ","")))&amp;IF(H1239&gt;AW1239,"Überbestand "&amp;ROUND(H1239-AW1239,0)&amp;" Stk / CHF "&amp;ROUND((H1239-AW1239)*G1239,0)&amp;"; ","")&amp;IF(AND(CI1239=1,CJ1239&lt;CK1239),"MAX &lt; MB+LG; ","")&amp;IF(AND(CQ1239&gt;0,CP1239*10&gt;CQ1239),"zu hoch für Tablar; ","")&amp;IF(AND(BW1239=0,OR(CI1239=1,AB1239&lt;&gt;"",U1239&lt;&gt;"",V1239&lt;&gt;"",AC1239&lt;&gt;"")),"manuell übersteuert; ","")&amp;IF(AND(CA1239=0,R1239=0),"Gebinde unbekannt / Stellmass fehlt; ","")&amp;IF(AND(CA1239=0,N(V1239)&lt;=0,N(Q1239)&lt;=0),"Menge pro Gebinde fehlt (Ist = 1 Gebinde); ","")&amp;BV1239)</f>
        <v>negativer Bestand (Export -20); B&amp;R</v>
      </c>
      <c r="BO1239" s="60"/>
      <c r="BP1239" s="60"/>
      <c r="BQ1239" s="67"/>
      <c r="BR1239" s="62" t="n">
        <v>-20</v>
      </c>
      <c r="BS1239" s="62" t="n">
        <v>36</v>
      </c>
      <c r="BT1239" s="61" t="n">
        <v>-693.88</v>
      </c>
      <c r="BU1239" s="62" t="n">
        <v>19</v>
      </c>
      <c r="BV1239" s="60" t="s">
        <v>2259</v>
      </c>
      <c r="BW1239" s="65" t="n">
        <v>0</v>
      </c>
      <c r="BX1239" s="65" t="n">
        <v>1239</v>
      </c>
      <c r="BY1239" s="60" t="str">
        <f aca="false">IF(U1239&lt;&gt;"",UPPER(TRIM(U1239)),IF(CB1239=1,UPPER(VLOOKUP(T1239,Parameter!$I$27:$K$29,2,0)),IF(P1239="","LOSE",P1239)))</f>
        <v>S62</v>
      </c>
      <c r="BZ1239" s="62" t="n">
        <f aca="false">IF(BY1239="LOSE",1,IF(N(V1239)&gt;0,V1239,IF(CB1239=1,MAX(1,N(VLOOKUP(T1239,Parameter!$I$27:$K$29,3,0)),H1239,N(N1239)),IF(N(Q1239)&gt;0,Q1239,MAX(1,H1239)))))</f>
        <v>60</v>
      </c>
      <c r="CA1239" s="65" t="n">
        <f aca="false">IF(BY1239="LOSE",1,0)</f>
        <v>0</v>
      </c>
      <c r="CB1239" s="65" t="n">
        <f aca="false">IF(AND(U1239="",OR(P1239="",P1239="LOSE"),T1239&lt;&gt;"",N(S1239)&lt;=0,ISNUMBER(MATCH(T1239,Parameter!$I$27:$I$29,0))),1,0)</f>
        <v>0</v>
      </c>
      <c r="CC1239" s="65" t="n">
        <f aca="false">IF(CR1239&gt;0,INDEX(Parameter!$H$5:$H$7,W1239)/INDEX(Parameter!$E$5:$E$7,W1239),IF(AND(CA1239=0,N(IFERROR(VLOOKUP(BY1239,'Gebinde-Kategorie'!$A$5:$N$45,14,0),0))&gt;0),VLOOKUP(BY1239,'Gebinde-Kategorie'!$A$5:$N$45,14,0)*10+Parameter!$M$23,Parameter!$M$24))</f>
        <v>245</v>
      </c>
      <c r="CD1239" s="60" t="str">
        <f aca="false">IF(AND(Parameter!$B$19="Ja",E1239&lt;&gt;"",ISNUMBER(MATCH(E1239,Parameter!$I$35:$I$52,0))),VLOOKUP(E1239,Parameter!$I$35:$J$52,2,0),IFERROR(VLOOKUP(D1239,Parameter!$A$35:$C$64,2,0),"Nein"))</f>
        <v>2+3</v>
      </c>
      <c r="CE1239" s="64" t="n">
        <f aca="false">IF(CA1239=0,0,IF(N(S1239)&gt;0,S1239,IFERROR(VLOOKUP(D1239,Parameter!$A$35:$C$64,3,0)+0,0)))</f>
        <v>0</v>
      </c>
      <c r="CF1239" s="60" t="n">
        <f aca="false">IF(AB1239&lt;&gt;"",AB1239,AA1239)</f>
        <v>3</v>
      </c>
      <c r="CG1239" s="60" t="str">
        <f aca="false">IF(OR(CF1239=1,CF1239=2,CF1239=3),IF(Parameter!$E$27="Ja","LIFT",IF(CF1239=1,"L1","L23")),IF(CF1239="Aussen","Aussen","-"))</f>
        <v>LIFT</v>
      </c>
      <c r="CH1239" s="71" t="n">
        <f aca="false">IF(N(AC1239)&gt;0,AC1239,0)</f>
        <v>0</v>
      </c>
      <c r="CI1239" s="65" t="n">
        <f aca="false">IF(ISNUMBER(AF1239),1,0)</f>
        <v>0</v>
      </c>
      <c r="CJ1239" s="62" t="n">
        <f aca="false">N(AF1239)</f>
        <v>0</v>
      </c>
      <c r="CK1239" s="62" t="n">
        <f aca="false">N(M1239)+N(N1239)</f>
        <v>26</v>
      </c>
      <c r="CL1239" s="62" t="n">
        <f aca="false">N(M1239)</f>
        <v>1</v>
      </c>
      <c r="CM1239" s="62" t="n">
        <f aca="false">N(N1239)</f>
        <v>25</v>
      </c>
      <c r="CN1239" s="62" t="n">
        <f aca="false">ROUNDUP(H1239/BZ1239,0)</f>
        <v>1</v>
      </c>
      <c r="CO1239" s="62" t="n">
        <f aca="false">ROUNDUP(CJ1239/BZ1239,0)</f>
        <v>0</v>
      </c>
      <c r="CP1239" s="65" t="n">
        <f aca="false">IF(CA1239=1,0,IFERROR(VLOOKUP(BY1239,'Gebinde-Kategorie'!$A$5:$N$45,5,0)+0,0))</f>
        <v>21</v>
      </c>
      <c r="CQ1239" s="65" t="n">
        <f aca="false">IFERROR(IF(OR(CF1239=1,CF1239=2,CF1239=3),N(INDEX(Parameter!$I$5:$I$7,CF1239)),0),0)</f>
        <v>0</v>
      </c>
      <c r="CR1239" s="64" t="n">
        <f aca="false">IF(AND(Parameter!$B$21="Ja",ISNUMBER(W1239),N(X1239)&gt;0),IFERROR(N(INDEX(Parameter!$L$5:$L$7,W1239))*INDEX(Parameter!$E$5:$E$7,W1239)*X1239/SUMIFS($X$7:$X$1843,$W$7:$W$1843,W1239),0),0)</f>
        <v>0</v>
      </c>
      <c r="CS1239" s="62" t="n">
        <f aca="false">IF(AND(OR(CG1239="L1",CG1239="L23",CG1239="LIFT"),H1239&gt;0),CC1239*IF(CR1239&gt;0,CR1239*MAX(1,H1239/X1239),IF(CA1239=1,CE1239,IF(R1239&gt;0,CN1239/R1239,0))/MAX(0.1,N(Parameter!$M$21))),"")</f>
        <v>20.4166666666667</v>
      </c>
      <c r="CT1239" s="64" t="n">
        <f aca="false">IF(CS1239="","",J1239/H1239)</f>
        <v>1.1875</v>
      </c>
      <c r="CU1239" s="62" t="n">
        <f aca="false">IF(CS1239="","",H1239*G1239)</f>
        <v>1016.48</v>
      </c>
      <c r="CV1239" s="63" t="n">
        <f aca="false">IF(CS1239="","",(CL1239+ROUNDUP(CL1239+MAX(CM1239,2*(J1239/MAX(0.1,N(Einkauf!$C$6))-CL1239)),0))/2)</f>
        <v>13.5</v>
      </c>
      <c r="CW1239" s="62" t="n">
        <f aca="false">IF(CS1239="","",MAX(0,H1239-CV1239)*G1239)</f>
        <v>158.825</v>
      </c>
      <c r="CX1239" s="62" t="n">
        <f aca="false">IF(CS1239="","",CS1239*MAX(0,1-CV1239/H1239))</f>
        <v>3.19010416666667</v>
      </c>
      <c r="CY1239" s="64" t="n">
        <f aca="false">IF(CS1239="","",PERCENTRANK($CS$7:$CS$1843,CS1239)+PERCENTRANK($CU$7:$CU$1843,CU1239)+1-PERCENTRANK($CT$7:$CT$1843,CT1239))</f>
        <v>1.72</v>
      </c>
      <c r="CZ1239" s="72" t="n">
        <f aca="false">IF(CS1239="","",CHOOSE(MATCH(Einkauf!$C$5,Parameter!$G$23:$G$27,0),CY1239,CS1239,CU1239,-CT1239,CW1239)+ROW()/1000000000)</f>
        <v>1.720001239</v>
      </c>
    </row>
    <row r="1240" customFormat="false" ht="15" hidden="false" customHeight="false" outlineLevel="0" collapsed="false">
      <c r="A1240" s="60" t="s">
        <v>2260</v>
      </c>
      <c r="B1240" s="60" t="s">
        <v>2261</v>
      </c>
      <c r="C1240" s="60" t="s">
        <v>206</v>
      </c>
      <c r="D1240" s="60" t="s">
        <v>226</v>
      </c>
      <c r="E1240" s="60"/>
      <c r="F1240" s="60" t="s">
        <v>260</v>
      </c>
      <c r="G1240" s="61" t="n">
        <v>139.36</v>
      </c>
      <c r="H1240" s="62" t="n">
        <f aca="false">MAX(0,IF(AND(Parameter!$B$21="Ja",ISNUMBER(Y1240)),Y1240,IF(Parameter!$B$20="Jahresanfang 2025 + Export",BS1240+BR1240,BR1240)))</f>
        <v>107</v>
      </c>
      <c r="I1240" s="62" t="n">
        <f aca="false">H1240*G1240</f>
        <v>14911.52</v>
      </c>
      <c r="J1240" s="62" t="n">
        <f aca="false">BU1240*Parameter!$B$18</f>
        <v>3</v>
      </c>
      <c r="K1240" s="63" t="n">
        <v>110.5</v>
      </c>
      <c r="L1240" s="64" t="n">
        <v>0.0271493212669683</v>
      </c>
      <c r="M1240" s="62" t="n">
        <v>0</v>
      </c>
      <c r="N1240" s="62" t="n">
        <v>5</v>
      </c>
      <c r="O1240" s="65" t="n">
        <v>63</v>
      </c>
      <c r="P1240" s="60" t="s">
        <v>335</v>
      </c>
      <c r="Q1240" s="62" t="n">
        <v>110</v>
      </c>
      <c r="R1240" s="65" t="n">
        <f aca="false">IF(CA1240=1,0,IFERROR(VLOOKUP(BY1240,'Gebinde-Kategorie'!$A$5:$N$45,13,0)+0,0))</f>
        <v>12</v>
      </c>
      <c r="S1240" s="66"/>
      <c r="T1240" s="67"/>
      <c r="U1240" s="67"/>
      <c r="V1240" s="67"/>
      <c r="W1240" s="60"/>
      <c r="X1240" s="62"/>
      <c r="Y1240" s="62"/>
      <c r="Z1240" s="60" t="n">
        <v>3</v>
      </c>
      <c r="AA1240" s="60" t="n">
        <f aca="false">IF(A1240="","",IF(AND(Parameter!$B$21="Ja",ISNUMBER(W1240)),W1240,IF(AND(Parameter!$E$27="Ja",ISNUMBER(Z1240),CD1240&lt;&gt;"Nein"),Z1240,IF(CD1240="2+3",IF(ISNUMBER(SEARCH("grosser Artikel",BV1240)),2,IFERROR(VLOOKUP(BY1240,Parameter!$F$35:$G$64,2,0),2)),IF(OR(CD1240="Nein",CD1240=""),"-",CD1240)))))</f>
        <v>3</v>
      </c>
      <c r="AB1240" s="67"/>
      <c r="AC1240" s="68"/>
      <c r="AD1240" s="62" t="n">
        <f aca="false">AW1240</f>
        <v>5</v>
      </c>
      <c r="AE1240" s="62" t="n">
        <f aca="false">MAX(AW1240,H1240)</f>
        <v>107</v>
      </c>
      <c r="AF1240" s="69"/>
      <c r="AG1240" s="62" t="n">
        <f aca="false">IF(LEFT(Cockpit!$C$5,1)="A",H1240,IF(Parameter!$E$30="MAX-Bestand",IF(CI1240=1,CJ1240,IF(LEFT(Cockpit!$C$5,1)="B",AM1240,MAX(AM1240,H1240))),ROUNDUP(AK1240,0)))</f>
        <v>107</v>
      </c>
      <c r="AH1240" s="62" t="n">
        <f aca="false">IF(CA1240=1,0,ROUNDUP(AG1240/BZ1240,0))</f>
        <v>1</v>
      </c>
      <c r="AI1240" s="64" t="n">
        <f aca="false">IF(CR1240&gt;0,CR1240*MAX(1,AG1240/X1240),IF(CA1240=1,IF(AG1240&lt;=0,0,CE1240*MAX(1,IF(H1240&gt;0,AG1240/H1240,1))),IF(R1240&gt;0,AH1240/R1240,0))/MAX(0.1,N(Parameter!$M$21)))</f>
        <v>0.0833333333333333</v>
      </c>
      <c r="AJ1240" s="62" t="n">
        <f aca="false">AI1240*CC1240</f>
        <v>20.4166666666667</v>
      </c>
      <c r="AK1240" s="63" t="n">
        <f aca="false">IF(LEFT(Cockpit!$C$5,1)="A",H1240,IF(CI1240=1,(CL1240+CJ1240)/2,IF(LEFT(Cockpit!$C$5,1)="B",(CL1240+AM1240)/2,MAX((CL1240+AM1240)/2,H1240))))</f>
        <v>107</v>
      </c>
      <c r="AL1240" s="62" t="n">
        <f aca="false">AK1240*G1240</f>
        <v>14911.52</v>
      </c>
      <c r="AM1240" s="62" t="n">
        <f aca="false">ROUNDUP(CL1240+MAX(CM1240,2*(J1240/IF(CH1240&gt;0,CH1240,MAX(0.1,N(Cockpit!$C$6)))-CL1240)),0)</f>
        <v>5</v>
      </c>
      <c r="AN1240" s="63" t="n">
        <f aca="false">IF(AJ1240&gt;0,J1240/AJ1240,-1)</f>
        <v>0.146938775510204</v>
      </c>
      <c r="AO1240" s="63" t="n">
        <f aca="false">IF(AND(OR(CG1240="L1",CG1240="L23",CG1240="LIFT"),AJ1240&gt;0),SUMIFS($AJ$7:$AJ$1843,$CG$7:$CG$1843,CG1240,$AN$7:$AN$1843,"&gt;"&amp;AN1240)+SUMIFS($AJ$7:$AJ$1843,$CG$7:$CG$1843,CG1240,$AN$7:$AN$1843,AN1240,$BX$7:$BX$1843,"&lt;="&amp;BX1240),"")</f>
        <v>13063.3234644358</v>
      </c>
      <c r="AP1240" s="70" t="n">
        <f aca="false">IF(AO1240="",0,MAX(0,MIN(1,(IF(CG1240="L1",Parameter!$H$5,IF(CG1240="L23",Parameter!$H$6+Parameter!$H$7,Parameter!$H$5+Parameter!$H$6+Parameter!$H$7))-(AO1240-AJ1240))/AJ1240)))</f>
        <v>1</v>
      </c>
      <c r="AQ1240" s="62" t="n">
        <f aca="false">IF(LEFT(Cockpit!$I$5,1)="A",H1240,IF(Parameter!$E$30="MAX-Bestand",IF(CI1240=1,CJ1240,IF(LEFT(Cockpit!$I$5,1)="B",AW1240,MAX(AW1240,H1240))),ROUNDUP(AU1240,0)))</f>
        <v>107</v>
      </c>
      <c r="AR1240" s="62" t="n">
        <f aca="false">IF(CA1240=1,0,ROUNDUP(AQ1240/BZ1240,0))</f>
        <v>1</v>
      </c>
      <c r="AS1240" s="64" t="n">
        <f aca="false">IF(CR1240&gt;0,CR1240*MAX(1,AQ1240/X1240),IF(CA1240=1,IF(AQ1240&lt;=0,0,CE1240*MAX(1,IF(H1240&gt;0,AQ1240/H1240,1))),IF(R1240&gt;0,AR1240/R1240,0))/MAX(0.1,N(Parameter!$M$21)))</f>
        <v>0.0833333333333333</v>
      </c>
      <c r="AT1240" s="62" t="n">
        <f aca="false">AS1240*CC1240</f>
        <v>20.4166666666667</v>
      </c>
      <c r="AU1240" s="63" t="n">
        <f aca="false">IF(LEFT(Cockpit!$I$5,1)="A",H1240,IF(CI1240=1,(CL1240+CJ1240)/2,IF(LEFT(Cockpit!$I$5,1)="B",(CL1240+AW1240)/2,MAX((CL1240+AW1240)/2,H1240))))</f>
        <v>107</v>
      </c>
      <c r="AV1240" s="62" t="n">
        <f aca="false">AU1240*G1240</f>
        <v>14911.52</v>
      </c>
      <c r="AW1240" s="62" t="n">
        <f aca="false">ROUNDUP(CL1240+MAX(CM1240,2*(J1240/IF(CH1240&gt;0,CH1240,MAX(0.1,N(Cockpit!$I$6)))-CL1240)),0)</f>
        <v>5</v>
      </c>
      <c r="AX1240" s="63" t="n">
        <f aca="false">IF(AT1240&gt;0,J1240/AT1240,-1)</f>
        <v>0.146938775510204</v>
      </c>
      <c r="AY1240" s="63" t="n">
        <f aca="false">IF(AND(OR(CG1240="L1",CG1240="L23",CG1240="LIFT"),AT1240&gt;0),SUMIFS($AT$7:$AT$1843,$CG$7:$CG$1843,CG1240,$AX$7:$AX$1843,"&gt;"&amp;AX1240)+SUMIFS($AT$7:$AT$1843,$CG$7:$CG$1843,CG1240,$AX$7:$AX$1843,AX1240,$BX$7:$BX$1843,"&lt;="&amp;BX1240),"")</f>
        <v>17087.7221058132</v>
      </c>
      <c r="AZ1240" s="70" t="n">
        <f aca="false">IF(AY1240="",0,MAX(0,MIN(1,(IF(CG1240="L1",Parameter!$H$5,IF(CG1240="L23",Parameter!$H$6+Parameter!$H$7,Parameter!$H$5+Parameter!$H$6+Parameter!$H$7))-(AY1240-AT1240))/AT1240)))</f>
        <v>1</v>
      </c>
      <c r="BA1240" s="62" t="n">
        <f aca="false">IF(LEFT(Cockpit!$O$5,1)="A",H1240,IF(Parameter!$E$30="MAX-Bestand",IF(CI1240=1,CJ1240,IF(LEFT(Cockpit!$O$5,1)="B",BG1240,MAX(BG1240,H1240))),ROUNDUP(BE1240,0)))</f>
        <v>3</v>
      </c>
      <c r="BB1240" s="62" t="n">
        <f aca="false">IF(CA1240=1,0,ROUNDUP(BA1240/BZ1240,0))</f>
        <v>1</v>
      </c>
      <c r="BC1240" s="64" t="n">
        <f aca="false">IF(CR1240&gt;0,CR1240*MAX(1,BA1240/X1240),IF(CA1240=1,IF(BA1240&lt;=0,0,CE1240*MAX(1,IF(H1240&gt;0,BA1240/H1240,1))),IF(R1240&gt;0,BB1240/R1240,0))/MAX(0.1,N(Parameter!$M$21)))</f>
        <v>0.0833333333333333</v>
      </c>
      <c r="BD1240" s="62" t="n">
        <f aca="false">BC1240*CC1240</f>
        <v>20.4166666666667</v>
      </c>
      <c r="BE1240" s="63" t="n">
        <f aca="false">IF(LEFT(Cockpit!$O$5,1)="A",H1240,IF(CI1240=1,(CL1240+CJ1240)/2,IF(LEFT(Cockpit!$O$5,1)="B",(CL1240+BG1240)/2,MAX((CL1240+BG1240)/2,H1240))))</f>
        <v>2.5</v>
      </c>
      <c r="BF1240" s="62" t="n">
        <f aca="false">BE1240*G1240</f>
        <v>348.4</v>
      </c>
      <c r="BG1240" s="62" t="n">
        <f aca="false">ROUNDUP(CL1240+MAX(CM1240,2*(J1240/IF(CH1240&gt;0,CH1240,MAX(0.1,N(Cockpit!$O$6)))-CL1240)),0)</f>
        <v>5</v>
      </c>
      <c r="BH1240" s="63" t="n">
        <f aca="false">IF(BD1240&gt;0,J1240/BD1240,-1)</f>
        <v>0.146938775510204</v>
      </c>
      <c r="BI1240" s="63" t="n">
        <f aca="false">IF(AND(OR(CG1240="L1",CG1240="L23",CG1240="LIFT"),BD1240&gt;0),SUMIFS($BD$7:$BD$1843,$CG$7:$CG$1843,CG1240,$BH$7:$BH$1843,"&gt;"&amp;BH1240)+SUMIFS($BD$7:$BD$1843,$CG$7:$CG$1843,CG1240,$BH$7:$BH$1843,BH1240,$BX$7:$BX$1843,"&lt;="&amp;BX1240),"")</f>
        <v>13862.2206157778</v>
      </c>
      <c r="BJ1240" s="70" t="n">
        <f aca="false">IF(BI1240="",0,MAX(0,MIN(1,(IF(CG1240="L1",Parameter!$H$5,IF(CG1240="L23",Parameter!$H$6+Parameter!$H$7,Parameter!$H$5+Parameter!$H$6+Parameter!$H$7))-(BI1240-BD1240))/BD1240)))</f>
        <v>1</v>
      </c>
      <c r="BK1240" s="60" t="str">
        <f aca="false">IF(AJ1240&lt;=0,"",IF(CG1240="Aussen","Aussenlager",IF(CG1240="-","Nicht im Lift",IF(AP1240&gt;=1,"Lift",IF(AP1240&lt;=0,"Aussenlager","teilweise")))))</f>
        <v>Lift</v>
      </c>
      <c r="BL1240" s="60" t="str">
        <f aca="false">IF(AT1240&lt;=0,"",IF(CG1240="Aussen","Aussenlager",IF(CG1240="-","Nicht im Lift",IF(AZ1240&gt;=1,"Lift",IF(AZ1240&lt;=0,"Aussenlager","teilweise")))))</f>
        <v>Lift</v>
      </c>
      <c r="BM1240" s="60" t="str">
        <f aca="false">IF(BD1240&lt;=0,"",IF(CG1240="Aussen","Aussenlager",IF(CG1240="-","Nicht im Lift",IF(BJ1240&gt;=1,"Lift",IF(BJ1240&lt;=0,"Aussenlager","teilweise")))))</f>
        <v>Lift</v>
      </c>
      <c r="BN1240" s="60" t="str">
        <f aca="false">IF(A1240="","",IF(BW1240=1,"Neu; ","")&amp;IF(AND(BW1240=0,BR1240&lt;0),"negativer Bestand (Export "&amp;BR1240&amp;"); ","")&amp;IF(J1240&lt;=0,"Kein Verbrauch; ","")&amp;IF(CR1240&gt;0,"Lift "&amp;W1240&amp;" lt. Liftbericht (Fach "&amp;X1240&amp;" Stk); ",IF(CB1240=1,"Gebinde geschätzt ("&amp;T1240&amp;"); ",IF(CA1240=1,"Lose – Tablare geschätzt; ","")))&amp;IF(H1240&gt;AW1240,"Überbestand "&amp;ROUND(H1240-AW1240,0)&amp;" Stk / CHF "&amp;ROUND((H1240-AW1240)*G1240,0)&amp;"; ","")&amp;IF(AND(CI1240=1,CJ1240&lt;CK1240),"MAX &lt; MB+LG; ","")&amp;IF(AND(CQ1240&gt;0,CP1240*10&gt;CQ1240),"zu hoch für Tablar; ","")&amp;IF(AND(BW1240=0,OR(CI1240=1,AB1240&lt;&gt;"",U1240&lt;&gt;"",V1240&lt;&gt;"",AC1240&lt;&gt;"")),"manuell übersteuert; ","")&amp;IF(AND(CA1240=0,R1240=0),"Gebinde unbekannt / Stellmass fehlt; ","")&amp;IF(AND(CA1240=0,N(V1240)&lt;=0,N(Q1240)&lt;=0),"Menge pro Gebinde fehlt (Ist = 1 Gebinde); ","")&amp;BV1240)</f>
        <v>negativer Bestand (Export -5); Überbestand 102 Stk / CHF 14215; i.o</v>
      </c>
      <c r="BO1240" s="60"/>
      <c r="BP1240" s="60"/>
      <c r="BQ1240" s="67"/>
      <c r="BR1240" s="62" t="n">
        <v>-5</v>
      </c>
      <c r="BS1240" s="62" t="n">
        <v>112</v>
      </c>
      <c r="BT1240" s="61" t="n">
        <v>-696.8</v>
      </c>
      <c r="BU1240" s="62" t="n">
        <v>3</v>
      </c>
      <c r="BV1240" s="60" t="s">
        <v>578</v>
      </c>
      <c r="BW1240" s="65" t="n">
        <v>0</v>
      </c>
      <c r="BX1240" s="65" t="n">
        <v>1240</v>
      </c>
      <c r="BY1240" s="60" t="str">
        <f aca="false">IF(U1240&lt;&gt;"",UPPER(TRIM(U1240)),IF(CB1240=1,UPPER(VLOOKUP(T1240,Parameter!$I$27:$K$29,2,0)),IF(P1240="","LOSE",P1240)))</f>
        <v>S62</v>
      </c>
      <c r="BZ1240" s="62" t="n">
        <f aca="false">IF(BY1240="LOSE",1,IF(N(V1240)&gt;0,V1240,IF(CB1240=1,MAX(1,N(VLOOKUP(T1240,Parameter!$I$27:$K$29,3,0)),H1240,N(N1240)),IF(N(Q1240)&gt;0,Q1240,MAX(1,H1240)))))</f>
        <v>110</v>
      </c>
      <c r="CA1240" s="65" t="n">
        <f aca="false">IF(BY1240="LOSE",1,0)</f>
        <v>0</v>
      </c>
      <c r="CB1240" s="65" t="n">
        <f aca="false">IF(AND(U1240="",OR(P1240="",P1240="LOSE"),T1240&lt;&gt;"",N(S1240)&lt;=0,ISNUMBER(MATCH(T1240,Parameter!$I$27:$I$29,0))),1,0)</f>
        <v>0</v>
      </c>
      <c r="CC1240" s="65" t="n">
        <f aca="false">IF(CR1240&gt;0,INDEX(Parameter!$H$5:$H$7,W1240)/INDEX(Parameter!$E$5:$E$7,W1240),IF(AND(CA1240=0,N(IFERROR(VLOOKUP(BY1240,'Gebinde-Kategorie'!$A$5:$N$45,14,0),0))&gt;0),VLOOKUP(BY1240,'Gebinde-Kategorie'!$A$5:$N$45,14,0)*10+Parameter!$M$23,Parameter!$M$24))</f>
        <v>245</v>
      </c>
      <c r="CD1240" s="60" t="str">
        <f aca="false">IF(AND(Parameter!$B$19="Ja",E1240&lt;&gt;"",ISNUMBER(MATCH(E1240,Parameter!$I$35:$I$52,0))),VLOOKUP(E1240,Parameter!$I$35:$J$52,2,0),IFERROR(VLOOKUP(D1240,Parameter!$A$35:$C$64,2,0),"Nein"))</f>
        <v>2+3</v>
      </c>
      <c r="CE1240" s="64" t="n">
        <f aca="false">IF(CA1240=0,0,IF(N(S1240)&gt;0,S1240,IFERROR(VLOOKUP(D1240,Parameter!$A$35:$C$64,3,0)+0,0)))</f>
        <v>0</v>
      </c>
      <c r="CF1240" s="60" t="n">
        <f aca="false">IF(AB1240&lt;&gt;"",AB1240,AA1240)</f>
        <v>3</v>
      </c>
      <c r="CG1240" s="60" t="str">
        <f aca="false">IF(OR(CF1240=1,CF1240=2,CF1240=3),IF(Parameter!$E$27="Ja","LIFT",IF(CF1240=1,"L1","L23")),IF(CF1240="Aussen","Aussen","-"))</f>
        <v>LIFT</v>
      </c>
      <c r="CH1240" s="71" t="n">
        <f aca="false">IF(N(AC1240)&gt;0,AC1240,0)</f>
        <v>0</v>
      </c>
      <c r="CI1240" s="65" t="n">
        <f aca="false">IF(ISNUMBER(AF1240),1,0)</f>
        <v>0</v>
      </c>
      <c r="CJ1240" s="62" t="n">
        <f aca="false">N(AF1240)</f>
        <v>0</v>
      </c>
      <c r="CK1240" s="62" t="n">
        <f aca="false">N(M1240)+N(N1240)</f>
        <v>5</v>
      </c>
      <c r="CL1240" s="62" t="n">
        <f aca="false">N(M1240)</f>
        <v>0</v>
      </c>
      <c r="CM1240" s="62" t="n">
        <f aca="false">N(N1240)</f>
        <v>5</v>
      </c>
      <c r="CN1240" s="62" t="n">
        <f aca="false">ROUNDUP(H1240/BZ1240,0)</f>
        <v>1</v>
      </c>
      <c r="CO1240" s="62" t="n">
        <f aca="false">ROUNDUP(CJ1240/BZ1240,0)</f>
        <v>0</v>
      </c>
      <c r="CP1240" s="65" t="n">
        <f aca="false">IF(CA1240=1,0,IFERROR(VLOOKUP(BY1240,'Gebinde-Kategorie'!$A$5:$N$45,5,0)+0,0))</f>
        <v>21</v>
      </c>
      <c r="CQ1240" s="65" t="n">
        <f aca="false">IFERROR(IF(OR(CF1240=1,CF1240=2,CF1240=3),N(INDEX(Parameter!$I$5:$I$7,CF1240)),0),0)</f>
        <v>0</v>
      </c>
      <c r="CR1240" s="64" t="n">
        <f aca="false">IF(AND(Parameter!$B$21="Ja",ISNUMBER(W1240),N(X1240)&gt;0),IFERROR(N(INDEX(Parameter!$L$5:$L$7,W1240))*INDEX(Parameter!$E$5:$E$7,W1240)*X1240/SUMIFS($X$7:$X$1843,$W$7:$W$1843,W1240),0),0)</f>
        <v>0</v>
      </c>
      <c r="CS1240" s="62" t="n">
        <f aca="false">IF(AND(OR(CG1240="L1",CG1240="L23",CG1240="LIFT"),H1240&gt;0),CC1240*IF(CR1240&gt;0,CR1240*MAX(1,H1240/X1240),IF(CA1240=1,CE1240,IF(R1240&gt;0,CN1240/R1240,0))/MAX(0.1,N(Parameter!$M$21))),"")</f>
        <v>20.4166666666667</v>
      </c>
      <c r="CT1240" s="64" t="n">
        <f aca="false">IF(CS1240="","",J1240/H1240)</f>
        <v>0.0280373831775701</v>
      </c>
      <c r="CU1240" s="62" t="n">
        <f aca="false">IF(CS1240="","",H1240*G1240)</f>
        <v>14911.52</v>
      </c>
      <c r="CV1240" s="63" t="n">
        <f aca="false">IF(CS1240="","",(CL1240+ROUNDUP(CL1240+MAX(CM1240,2*(J1240/MAX(0.1,N(Einkauf!$C$6))-CL1240)),0))/2)</f>
        <v>2.5</v>
      </c>
      <c r="CW1240" s="62" t="n">
        <f aca="false">IF(CS1240="","",MAX(0,H1240-CV1240)*G1240)</f>
        <v>14563.12</v>
      </c>
      <c r="CX1240" s="62" t="n">
        <f aca="false">IF(CS1240="","",CS1240*MAX(0,1-CV1240/H1240))</f>
        <v>19.9396417445483</v>
      </c>
      <c r="CY1240" s="64" t="n">
        <f aca="false">IF(CS1240="","",PERCENTRANK($CS$7:$CS$1843,CS1240)+PERCENTRANK($CU$7:$CU$1843,CU1240)+1-PERCENTRANK($CT$7:$CT$1843,CT1240))</f>
        <v>2.362</v>
      </c>
      <c r="CZ1240" s="72" t="n">
        <f aca="false">IF(CS1240="","",CHOOSE(MATCH(Einkauf!$C$5,Parameter!$G$23:$G$27,0),CY1240,CS1240,CU1240,-CT1240,CW1240)+ROW()/1000000000)</f>
        <v>2.36200124</v>
      </c>
    </row>
    <row r="1241" customFormat="false" ht="15" hidden="false" customHeight="false" outlineLevel="0" collapsed="false">
      <c r="A1241" s="60" t="s">
        <v>2262</v>
      </c>
      <c r="B1241" s="60" t="s">
        <v>564</v>
      </c>
      <c r="C1241" s="60" t="s">
        <v>206</v>
      </c>
      <c r="D1241" s="60" t="s">
        <v>215</v>
      </c>
      <c r="E1241" s="60"/>
      <c r="F1241" s="60" t="s">
        <v>260</v>
      </c>
      <c r="G1241" s="61" t="n">
        <v>348.62</v>
      </c>
      <c r="H1241" s="62" t="n">
        <f aca="false">MAX(0,IF(AND(Parameter!$B$21="Ja",ISNUMBER(Y1241)),Y1241,IF(Parameter!$B$20="Jahresanfang 2025 + Export",BS1241+BR1241,BR1241)))</f>
        <v>6</v>
      </c>
      <c r="I1241" s="62" t="n">
        <f aca="false">H1241*G1241</f>
        <v>2091.72</v>
      </c>
      <c r="J1241" s="62" t="n">
        <f aca="false">BU1241*Parameter!$B$18</f>
        <v>1</v>
      </c>
      <c r="K1241" s="63" t="n">
        <v>7.5</v>
      </c>
      <c r="L1241" s="64" t="n">
        <v>0.133333333333333</v>
      </c>
      <c r="M1241" s="62" t="n">
        <v>0</v>
      </c>
      <c r="N1241" s="62" t="n">
        <v>1</v>
      </c>
      <c r="O1241" s="65" t="n">
        <v>35</v>
      </c>
      <c r="P1241" s="60" t="s">
        <v>210</v>
      </c>
      <c r="Q1241" s="62"/>
      <c r="R1241" s="65" t="n">
        <f aca="false">IF(CA1241=1,0,IFERROR(VLOOKUP(BY1241,'Gebinde-Kategorie'!$A$5:$N$45,13,0)+0,0))</f>
        <v>12</v>
      </c>
      <c r="S1241" s="66"/>
      <c r="T1241" s="67" t="s">
        <v>221</v>
      </c>
      <c r="U1241" s="67"/>
      <c r="V1241" s="67"/>
      <c r="W1241" s="60"/>
      <c r="X1241" s="62"/>
      <c r="Y1241" s="62"/>
      <c r="Z1241" s="60" t="n">
        <v>3</v>
      </c>
      <c r="AA1241" s="60" t="n">
        <f aca="false">IF(A1241="","",IF(AND(Parameter!$B$21="Ja",ISNUMBER(W1241)),W1241,IF(AND(Parameter!$E$27="Ja",ISNUMBER(Z1241),CD1241&lt;&gt;"Nein"),Z1241,IF(CD1241="2+3",IF(ISNUMBER(SEARCH("grosser Artikel",BV1241)),2,IFERROR(VLOOKUP(BY1241,Parameter!$F$35:$G$64,2,0),2)),IF(OR(CD1241="Nein",CD1241=""),"-",CD1241)))))</f>
        <v>3</v>
      </c>
      <c r="AB1241" s="67"/>
      <c r="AC1241" s="68"/>
      <c r="AD1241" s="62" t="n">
        <f aca="false">AW1241</f>
        <v>1</v>
      </c>
      <c r="AE1241" s="62" t="n">
        <f aca="false">MAX(AW1241,H1241)</f>
        <v>6</v>
      </c>
      <c r="AF1241" s="69"/>
      <c r="AG1241" s="62" t="n">
        <f aca="false">IF(LEFT(Cockpit!$C$5,1)="A",H1241,IF(Parameter!$E$30="MAX-Bestand",IF(CI1241=1,CJ1241,IF(LEFT(Cockpit!$C$5,1)="B",AM1241,MAX(AM1241,H1241))),ROUNDUP(AK1241,0)))</f>
        <v>6</v>
      </c>
      <c r="AH1241" s="62" t="n">
        <f aca="false">IF(CA1241=1,0,ROUNDUP(AG1241/BZ1241,0))</f>
        <v>1</v>
      </c>
      <c r="AI1241" s="64" t="n">
        <f aca="false">IF(CR1241&gt;0,CR1241*MAX(1,AG1241/X1241),IF(CA1241=1,IF(AG1241&lt;=0,0,CE1241*MAX(1,IF(H1241&gt;0,AG1241/H1241,1))),IF(R1241&gt;0,AH1241/R1241,0))/MAX(0.1,N(Parameter!$M$21)))</f>
        <v>0.0833333333333333</v>
      </c>
      <c r="AJ1241" s="62" t="n">
        <f aca="false">AI1241*CC1241</f>
        <v>12.0833333333333</v>
      </c>
      <c r="AK1241" s="63" t="n">
        <f aca="false">IF(LEFT(Cockpit!$C$5,1)="A",H1241,IF(CI1241=1,(CL1241+CJ1241)/2,IF(LEFT(Cockpit!$C$5,1)="B",(CL1241+AM1241)/2,MAX((CL1241+AM1241)/2,H1241))))</f>
        <v>6</v>
      </c>
      <c r="AL1241" s="62" t="n">
        <f aca="false">AK1241*G1241</f>
        <v>2091.72</v>
      </c>
      <c r="AM1241" s="62" t="n">
        <f aca="false">ROUNDUP(CL1241+MAX(CM1241,2*(J1241/IF(CH1241&gt;0,CH1241,MAX(0.1,N(Cockpit!$C$6)))-CL1241)),0)</f>
        <v>1</v>
      </c>
      <c r="AN1241" s="63" t="n">
        <f aca="false">IF(AJ1241&gt;0,J1241/AJ1241,-1)</f>
        <v>0.0827586206896552</v>
      </c>
      <c r="AO1241" s="63" t="n">
        <f aca="false">IF(AND(OR(CG1241="L1",CG1241="L23",CG1241="LIFT"),AJ1241&gt;0),SUMIFS($AJ$7:$AJ$1843,$CG$7:$CG$1843,CG1241,$AN$7:$AN$1843,"&gt;"&amp;AN1241)+SUMIFS($AJ$7:$AJ$1843,$CG$7:$CG$1843,CG1241,$AN$7:$AN$1843,AN1241,$BX$7:$BX$1843,"&lt;="&amp;BX1241),"")</f>
        <v>16761.9407322903</v>
      </c>
      <c r="AP1241" s="70" t="n">
        <f aca="false">IF(AO1241="",0,MAX(0,MIN(1,(IF(CG1241="L1",Parameter!$H$5,IF(CG1241="L23",Parameter!$H$6+Parameter!$H$7,Parameter!$H$5+Parameter!$H$6+Parameter!$H$7))-(AO1241-AJ1241))/AJ1241)))</f>
        <v>1</v>
      </c>
      <c r="AQ1241" s="62" t="n">
        <f aca="false">IF(LEFT(Cockpit!$I$5,1)="A",H1241,IF(Parameter!$E$30="MAX-Bestand",IF(CI1241=1,CJ1241,IF(LEFT(Cockpit!$I$5,1)="B",AW1241,MAX(AW1241,H1241))),ROUNDUP(AU1241,0)))</f>
        <v>6</v>
      </c>
      <c r="AR1241" s="62" t="n">
        <f aca="false">IF(CA1241=1,0,ROUNDUP(AQ1241/BZ1241,0))</f>
        <v>1</v>
      </c>
      <c r="AS1241" s="64" t="n">
        <f aca="false">IF(CR1241&gt;0,CR1241*MAX(1,AQ1241/X1241),IF(CA1241=1,IF(AQ1241&lt;=0,0,CE1241*MAX(1,IF(H1241&gt;0,AQ1241/H1241,1))),IF(R1241&gt;0,AR1241/R1241,0))/MAX(0.1,N(Parameter!$M$21)))</f>
        <v>0.0833333333333333</v>
      </c>
      <c r="AT1241" s="62" t="n">
        <f aca="false">AS1241*CC1241</f>
        <v>12.0833333333333</v>
      </c>
      <c r="AU1241" s="63" t="n">
        <f aca="false">IF(LEFT(Cockpit!$I$5,1)="A",H1241,IF(CI1241=1,(CL1241+CJ1241)/2,IF(LEFT(Cockpit!$I$5,1)="B",(CL1241+AW1241)/2,MAX((CL1241+AW1241)/2,H1241))))</f>
        <v>6</v>
      </c>
      <c r="AV1241" s="62" t="n">
        <f aca="false">AU1241*G1241</f>
        <v>2091.72</v>
      </c>
      <c r="AW1241" s="62" t="n">
        <f aca="false">ROUNDUP(CL1241+MAX(CM1241,2*(J1241/IF(CH1241&gt;0,CH1241,MAX(0.1,N(Cockpit!$I$6)))-CL1241)),0)</f>
        <v>1</v>
      </c>
      <c r="AX1241" s="63" t="n">
        <f aca="false">IF(AT1241&gt;0,J1241/AT1241,-1)</f>
        <v>0.0827586206896552</v>
      </c>
      <c r="AY1241" s="63" t="n">
        <f aca="false">IF(AND(OR(CG1241="L1",CG1241="L23",CG1241="LIFT"),AT1241&gt;0),SUMIFS($AT$7:$AT$1843,$CG$7:$CG$1843,CG1241,$AX$7:$AX$1843,"&gt;"&amp;AX1241)+SUMIFS($AT$7:$AT$1843,$CG$7:$CG$1843,CG1241,$AX$7:$AX$1843,AX1241,$BX$7:$BX$1843,"&lt;="&amp;BX1241),"")</f>
        <v>21821.3393736678</v>
      </c>
      <c r="AZ1241" s="70" t="n">
        <f aca="false">IF(AY1241="",0,MAX(0,MIN(1,(IF(CG1241="L1",Parameter!$H$5,IF(CG1241="L23",Parameter!$H$6+Parameter!$H$7,Parameter!$H$5+Parameter!$H$6+Parameter!$H$7))-(AY1241-AT1241))/AT1241)))</f>
        <v>1</v>
      </c>
      <c r="BA1241" s="62" t="n">
        <f aca="false">IF(LEFT(Cockpit!$O$5,1)="A",H1241,IF(Parameter!$E$30="MAX-Bestand",IF(CI1241=1,CJ1241,IF(LEFT(Cockpit!$O$5,1)="B",BG1241,MAX(BG1241,H1241))),ROUNDUP(BE1241,0)))</f>
        <v>1</v>
      </c>
      <c r="BB1241" s="62" t="n">
        <f aca="false">IF(CA1241=1,0,ROUNDUP(BA1241/BZ1241,0))</f>
        <v>1</v>
      </c>
      <c r="BC1241" s="64" t="n">
        <f aca="false">IF(CR1241&gt;0,CR1241*MAX(1,BA1241/X1241),IF(CA1241=1,IF(BA1241&lt;=0,0,CE1241*MAX(1,IF(H1241&gt;0,BA1241/H1241,1))),IF(R1241&gt;0,BB1241/R1241,0))/MAX(0.1,N(Parameter!$M$21)))</f>
        <v>0.0833333333333333</v>
      </c>
      <c r="BD1241" s="62" t="n">
        <f aca="false">BC1241*CC1241</f>
        <v>12.0833333333333</v>
      </c>
      <c r="BE1241" s="63" t="n">
        <f aca="false">IF(LEFT(Cockpit!$O$5,1)="A",H1241,IF(CI1241=1,(CL1241+CJ1241)/2,IF(LEFT(Cockpit!$O$5,1)="B",(CL1241+BG1241)/2,MAX((CL1241+BG1241)/2,H1241))))</f>
        <v>0.5</v>
      </c>
      <c r="BF1241" s="62" t="n">
        <f aca="false">BE1241*G1241</f>
        <v>174.31</v>
      </c>
      <c r="BG1241" s="62" t="n">
        <f aca="false">ROUNDUP(CL1241+MAX(CM1241,2*(J1241/IF(CH1241&gt;0,CH1241,MAX(0.1,N(Cockpit!$O$6)))-CL1241)),0)</f>
        <v>1</v>
      </c>
      <c r="BH1241" s="63" t="n">
        <f aca="false">IF(BD1241&gt;0,J1241/BD1241,-1)</f>
        <v>0.0827586206896552</v>
      </c>
      <c r="BI1241" s="63" t="n">
        <f aca="false">IF(AND(OR(CG1241="L1",CG1241="L23",CG1241="LIFT"),BD1241&gt;0),SUMIFS($BD$7:$BD$1843,$CG$7:$CG$1843,CG1241,$BH$7:$BH$1843,"&gt;"&amp;BH1241)+SUMIFS($BD$7:$BD$1843,$CG$7:$CG$1843,CG1241,$BH$7:$BH$1843,BH1241,$BX$7:$BX$1843,"&lt;="&amp;BX1241),"")</f>
        <v>18431.8955759401</v>
      </c>
      <c r="BJ1241" s="70" t="n">
        <f aca="false">IF(BI1241="",0,MAX(0,MIN(1,(IF(CG1241="L1",Parameter!$H$5,IF(CG1241="L23",Parameter!$H$6+Parameter!$H$7,Parameter!$H$5+Parameter!$H$6+Parameter!$H$7))-(BI1241-BD1241))/BD1241)))</f>
        <v>1</v>
      </c>
      <c r="BK1241" s="60" t="str">
        <f aca="false">IF(AJ1241&lt;=0,"",IF(CG1241="Aussen","Aussenlager",IF(CG1241="-","Nicht im Lift",IF(AP1241&gt;=1,"Lift",IF(AP1241&lt;=0,"Aussenlager","teilweise")))))</f>
        <v>Lift</v>
      </c>
      <c r="BL1241" s="60" t="str">
        <f aca="false">IF(AT1241&lt;=0,"",IF(CG1241="Aussen","Aussenlager",IF(CG1241="-","Nicht im Lift",IF(AZ1241&gt;=1,"Lift",IF(AZ1241&lt;=0,"Aussenlager","teilweise")))))</f>
        <v>Lift</v>
      </c>
      <c r="BM1241" s="60" t="str">
        <f aca="false">IF(BD1241&lt;=0,"",IF(CG1241="Aussen","Aussenlager",IF(CG1241="-","Nicht im Lift",IF(BJ1241&gt;=1,"Lift",IF(BJ1241&lt;=0,"Aussenlager","teilweise")))))</f>
        <v>Lift</v>
      </c>
      <c r="BN1241" s="60" t="str">
        <f aca="false">IF(A1241="","",IF(BW1241=1,"Neu; ","")&amp;IF(AND(BW1241=0,BR1241&lt;0),"negativer Bestand (Export "&amp;BR1241&amp;"); ","")&amp;IF(J1241&lt;=0,"Kein Verbrauch; ","")&amp;IF(CR1241&gt;0,"Lift "&amp;W1241&amp;" lt. Liftbericht (Fach "&amp;X1241&amp;" Stk); ",IF(CB1241=1,"Gebinde geschätzt ("&amp;T1241&amp;"); ",IF(CA1241=1,"Lose – Tablare geschätzt; ","")))&amp;IF(H1241&gt;AW1241,"Überbestand "&amp;ROUND(H1241-AW1241,0)&amp;" Stk / CHF "&amp;ROUND((H1241-AW1241)*G1241,0)&amp;"; ","")&amp;IF(AND(CI1241=1,CJ1241&lt;CK1241),"MAX &lt; MB+LG; ","")&amp;IF(AND(CQ1241&gt;0,CP1241*10&gt;CQ1241),"zu hoch für Tablar; ","")&amp;IF(AND(BW1241=0,OR(CI1241=1,AB1241&lt;&gt;"",U1241&lt;&gt;"",V1241&lt;&gt;"",AC1241&lt;&gt;"")),"manuell übersteuert; ","")&amp;IF(AND(CA1241=0,R1241=0),"Gebinde unbekannt / Stellmass fehlt; ","")&amp;IF(AND(CA1241=0,N(V1241)&lt;=0,N(Q1241)&lt;=0),"Menge pro Gebinde fehlt (Ist = 1 Gebinde); ","")&amp;BV1241)</f>
        <v>negativer Bestand (Export -2); Gebinde geschätzt (Mittel); Überbestand 5 Stk / CHF 1743; Menge pro Gebinde fehlt (Ist = 1 Gebinde); </v>
      </c>
      <c r="BO1241" s="60"/>
      <c r="BP1241" s="60"/>
      <c r="BQ1241" s="67"/>
      <c r="BR1241" s="62" t="n">
        <v>-2</v>
      </c>
      <c r="BS1241" s="62" t="n">
        <v>8</v>
      </c>
      <c r="BT1241" s="61" t="n">
        <v>-697.24</v>
      </c>
      <c r="BU1241" s="62" t="n">
        <v>1</v>
      </c>
      <c r="BV1241" s="60"/>
      <c r="BW1241" s="65" t="n">
        <v>0</v>
      </c>
      <c r="BX1241" s="65" t="n">
        <v>1241</v>
      </c>
      <c r="BY1241" s="60" t="str">
        <f aca="false">IF(U1241&lt;&gt;"",UPPER(TRIM(U1241)),IF(CB1241=1,UPPER(VLOOKUP(T1241,Parameter!$I$27:$K$29,2,0)),IF(P1241="","LOSE",P1241)))</f>
        <v>S61</v>
      </c>
      <c r="BZ1241" s="62" t="n">
        <f aca="false">IF(BY1241="LOSE",1,IF(N(V1241)&gt;0,V1241,IF(CB1241=1,MAX(1,N(VLOOKUP(T1241,Parameter!$I$27:$K$29,3,0)),H1241,N(N1241)),IF(N(Q1241)&gt;0,Q1241,MAX(1,H1241)))))</f>
        <v>6</v>
      </c>
      <c r="CA1241" s="65" t="n">
        <f aca="false">IF(BY1241="LOSE",1,0)</f>
        <v>0</v>
      </c>
      <c r="CB1241" s="65" t="n">
        <f aca="false">IF(AND(U1241="",OR(P1241="",P1241="LOSE"),T1241&lt;&gt;"",N(S1241)&lt;=0,ISNUMBER(MATCH(T1241,Parameter!$I$27:$I$29,0))),1,0)</f>
        <v>1</v>
      </c>
      <c r="CC1241" s="65" t="n">
        <f aca="false">IF(CR1241&gt;0,INDEX(Parameter!$H$5:$H$7,W1241)/INDEX(Parameter!$E$5:$E$7,W1241),IF(AND(CA1241=0,N(IFERROR(VLOOKUP(BY1241,'Gebinde-Kategorie'!$A$5:$N$45,14,0),0))&gt;0),VLOOKUP(BY1241,'Gebinde-Kategorie'!$A$5:$N$45,14,0)*10+Parameter!$M$23,Parameter!$M$24))</f>
        <v>145</v>
      </c>
      <c r="CD1241" s="60" t="str">
        <f aca="false">IF(AND(Parameter!$B$19="Ja",E1241&lt;&gt;"",ISNUMBER(MATCH(E1241,Parameter!$I$35:$I$52,0))),VLOOKUP(E1241,Parameter!$I$35:$J$52,2,0),IFERROR(VLOOKUP(D1241,Parameter!$A$35:$C$64,2,0),"Nein"))</f>
        <v>2+3</v>
      </c>
      <c r="CE1241" s="64" t="n">
        <f aca="false">IF(CA1241=0,0,IF(N(S1241)&gt;0,S1241,IFERROR(VLOOKUP(D1241,Parameter!$A$35:$C$64,3,0)+0,0)))</f>
        <v>0</v>
      </c>
      <c r="CF1241" s="60" t="n">
        <f aca="false">IF(AB1241&lt;&gt;"",AB1241,AA1241)</f>
        <v>3</v>
      </c>
      <c r="CG1241" s="60" t="str">
        <f aca="false">IF(OR(CF1241=1,CF1241=2,CF1241=3),IF(Parameter!$E$27="Ja","LIFT",IF(CF1241=1,"L1","L23")),IF(CF1241="Aussen","Aussen","-"))</f>
        <v>LIFT</v>
      </c>
      <c r="CH1241" s="71" t="n">
        <f aca="false">IF(N(AC1241)&gt;0,AC1241,0)</f>
        <v>0</v>
      </c>
      <c r="CI1241" s="65" t="n">
        <f aca="false">IF(ISNUMBER(AF1241),1,0)</f>
        <v>0</v>
      </c>
      <c r="CJ1241" s="62" t="n">
        <f aca="false">N(AF1241)</f>
        <v>0</v>
      </c>
      <c r="CK1241" s="62" t="n">
        <f aca="false">N(M1241)+N(N1241)</f>
        <v>1</v>
      </c>
      <c r="CL1241" s="62" t="n">
        <f aca="false">N(M1241)</f>
        <v>0</v>
      </c>
      <c r="CM1241" s="62" t="n">
        <f aca="false">N(N1241)</f>
        <v>1</v>
      </c>
      <c r="CN1241" s="62" t="n">
        <f aca="false">ROUNDUP(H1241/BZ1241,0)</f>
        <v>1</v>
      </c>
      <c r="CO1241" s="62" t="n">
        <f aca="false">ROUNDUP(CJ1241/BZ1241,0)</f>
        <v>0</v>
      </c>
      <c r="CP1241" s="65" t="n">
        <f aca="false">IF(CA1241=1,0,IFERROR(VLOOKUP(BY1241,'Gebinde-Kategorie'!$A$5:$N$45,5,0)+0,0))</f>
        <v>11</v>
      </c>
      <c r="CQ1241" s="65" t="n">
        <f aca="false">IFERROR(IF(OR(CF1241=1,CF1241=2,CF1241=3),N(INDEX(Parameter!$I$5:$I$7,CF1241)),0),0)</f>
        <v>0</v>
      </c>
      <c r="CR1241" s="64" t="n">
        <f aca="false">IF(AND(Parameter!$B$21="Ja",ISNUMBER(W1241),N(X1241)&gt;0),IFERROR(N(INDEX(Parameter!$L$5:$L$7,W1241))*INDEX(Parameter!$E$5:$E$7,W1241)*X1241/SUMIFS($X$7:$X$1843,$W$7:$W$1843,W1241),0),0)</f>
        <v>0</v>
      </c>
      <c r="CS1241" s="62" t="n">
        <f aca="false">IF(AND(OR(CG1241="L1",CG1241="L23",CG1241="LIFT"),H1241&gt;0),CC1241*IF(CR1241&gt;0,CR1241*MAX(1,H1241/X1241),IF(CA1241=1,CE1241,IF(R1241&gt;0,CN1241/R1241,0))/MAX(0.1,N(Parameter!$M$21))),"")</f>
        <v>12.0833333333333</v>
      </c>
      <c r="CT1241" s="64" t="n">
        <f aca="false">IF(CS1241="","",J1241/H1241)</f>
        <v>0.166666666666667</v>
      </c>
      <c r="CU1241" s="62" t="n">
        <f aca="false">IF(CS1241="","",H1241*G1241)</f>
        <v>2091.72</v>
      </c>
      <c r="CV1241" s="63" t="n">
        <f aca="false">IF(CS1241="","",(CL1241+ROUNDUP(CL1241+MAX(CM1241,2*(J1241/MAX(0.1,N(Einkauf!$C$6))-CL1241)),0))/2)</f>
        <v>0.5</v>
      </c>
      <c r="CW1241" s="62" t="n">
        <f aca="false">IF(CS1241="","",MAX(0,H1241-CV1241)*G1241)</f>
        <v>1917.41</v>
      </c>
      <c r="CX1241" s="62" t="n">
        <f aca="false">IF(CS1241="","",CS1241*MAX(0,1-CV1241/H1241))</f>
        <v>11.0763888888889</v>
      </c>
      <c r="CY1241" s="64" t="n">
        <f aca="false">IF(CS1241="","",PERCENTRANK($CS$7:$CS$1843,CS1241)+PERCENTRANK($CU$7:$CU$1843,CU1241)+1-PERCENTRANK($CT$7:$CT$1843,CT1241))</f>
        <v>1.978</v>
      </c>
      <c r="CZ1241" s="72" t="n">
        <f aca="false">IF(CS1241="","",CHOOSE(MATCH(Einkauf!$C$5,Parameter!$G$23:$G$27,0),CY1241,CS1241,CU1241,-CT1241,CW1241)+ROW()/1000000000)</f>
        <v>1.978001241</v>
      </c>
    </row>
    <row r="1242" customFormat="false" ht="15" hidden="false" customHeight="false" outlineLevel="0" collapsed="false">
      <c r="A1242" s="60" t="s">
        <v>2263</v>
      </c>
      <c r="B1242" s="60" t="s">
        <v>1445</v>
      </c>
      <c r="C1242" s="60" t="s">
        <v>206</v>
      </c>
      <c r="D1242" s="60" t="s">
        <v>226</v>
      </c>
      <c r="E1242" s="60"/>
      <c r="F1242" s="60" t="s">
        <v>260</v>
      </c>
      <c r="G1242" s="61" t="n">
        <v>77.59</v>
      </c>
      <c r="H1242" s="62" t="n">
        <f aca="false">MAX(0,IF(AND(Parameter!$B$21="Ja",ISNUMBER(Y1242)),Y1242,IF(Parameter!$B$20="Jahresanfang 2025 + Export",BS1242+BR1242,BR1242)))</f>
        <v>17</v>
      </c>
      <c r="I1242" s="62" t="n">
        <f aca="false">H1242*G1242</f>
        <v>1319.03</v>
      </c>
      <c r="J1242" s="62" t="n">
        <f aca="false">BU1242*Parameter!$B$18</f>
        <v>4</v>
      </c>
      <c r="K1242" s="63" t="n">
        <v>24</v>
      </c>
      <c r="L1242" s="64" t="n">
        <v>0.166666666666667</v>
      </c>
      <c r="M1242" s="62" t="n">
        <v>0</v>
      </c>
      <c r="N1242" s="62" t="n">
        <v>5</v>
      </c>
      <c r="O1242" s="65" t="n">
        <v>35</v>
      </c>
      <c r="P1242" s="60" t="s">
        <v>210</v>
      </c>
      <c r="Q1242" s="62"/>
      <c r="R1242" s="65" t="n">
        <f aca="false">IF(CA1242=1,0,IFERROR(VLOOKUP(BY1242,'Gebinde-Kategorie'!$A$5:$N$45,13,0)+0,0))</f>
        <v>26</v>
      </c>
      <c r="S1242" s="66"/>
      <c r="T1242" s="67" t="s">
        <v>317</v>
      </c>
      <c r="U1242" s="67"/>
      <c r="V1242" s="67"/>
      <c r="W1242" s="60"/>
      <c r="X1242" s="62"/>
      <c r="Y1242" s="62"/>
      <c r="Z1242" s="60" t="n">
        <v>3</v>
      </c>
      <c r="AA1242" s="60" t="n">
        <f aca="false">IF(A1242="","",IF(AND(Parameter!$B$21="Ja",ISNUMBER(W1242)),W1242,IF(AND(Parameter!$E$27="Ja",ISNUMBER(Z1242),CD1242&lt;&gt;"Nein"),Z1242,IF(CD1242="2+3",IF(ISNUMBER(SEARCH("grosser Artikel",BV1242)),2,IFERROR(VLOOKUP(BY1242,Parameter!$F$35:$G$64,2,0),2)),IF(OR(CD1242="Nein",CD1242=""),"-",CD1242)))))</f>
        <v>3</v>
      </c>
      <c r="AB1242" s="67"/>
      <c r="AC1242" s="68"/>
      <c r="AD1242" s="62" t="n">
        <f aca="false">AW1242</f>
        <v>5</v>
      </c>
      <c r="AE1242" s="62" t="n">
        <f aca="false">MAX(AW1242,H1242)</f>
        <v>17</v>
      </c>
      <c r="AF1242" s="69"/>
      <c r="AG1242" s="62" t="n">
        <f aca="false">IF(LEFT(Cockpit!$C$5,1)="A",H1242,IF(Parameter!$E$30="MAX-Bestand",IF(CI1242=1,CJ1242,IF(LEFT(Cockpit!$C$5,1)="B",AM1242,MAX(AM1242,H1242))),ROUNDUP(AK1242,0)))</f>
        <v>17</v>
      </c>
      <c r="AH1242" s="62" t="n">
        <f aca="false">IF(CA1242=1,0,ROUNDUP(AG1242/BZ1242,0))</f>
        <v>1</v>
      </c>
      <c r="AI1242" s="64" t="n">
        <f aca="false">IF(CR1242&gt;0,CR1242*MAX(1,AG1242/X1242),IF(CA1242=1,IF(AG1242&lt;=0,0,CE1242*MAX(1,IF(H1242&gt;0,AG1242/H1242,1))),IF(R1242&gt;0,AH1242/R1242,0))/MAX(0.1,N(Parameter!$M$21)))</f>
        <v>0.0384615384615385</v>
      </c>
      <c r="AJ1242" s="62" t="n">
        <f aca="false">AI1242*CC1242</f>
        <v>5.96153846153846</v>
      </c>
      <c r="AK1242" s="63" t="n">
        <f aca="false">IF(LEFT(Cockpit!$C$5,1)="A",H1242,IF(CI1242=1,(CL1242+CJ1242)/2,IF(LEFT(Cockpit!$C$5,1)="B",(CL1242+AM1242)/2,MAX((CL1242+AM1242)/2,H1242))))</f>
        <v>17</v>
      </c>
      <c r="AL1242" s="62" t="n">
        <f aca="false">AK1242*G1242</f>
        <v>1319.03</v>
      </c>
      <c r="AM1242" s="62" t="n">
        <f aca="false">ROUNDUP(CL1242+MAX(CM1242,2*(J1242/IF(CH1242&gt;0,CH1242,MAX(0.1,N(Cockpit!$C$6)))-CL1242)),0)</f>
        <v>5</v>
      </c>
      <c r="AN1242" s="63" t="n">
        <f aca="false">IF(AJ1242&gt;0,J1242/AJ1242,-1)</f>
        <v>0.670967741935484</v>
      </c>
      <c r="AO1242" s="63" t="n">
        <f aca="false">IF(AND(OR(CG1242="L1",CG1242="L23",CG1242="LIFT"),AJ1242&gt;0),SUMIFS($AJ$7:$AJ$1843,$CG$7:$CG$1843,CG1242,$AN$7:$AN$1843,"&gt;"&amp;AN1242)+SUMIFS($AJ$7:$AJ$1843,$CG$7:$CG$1843,CG1242,$AN$7:$AN$1843,AN1242,$BX$7:$BX$1843,"&lt;="&amp;BX1242),"")</f>
        <v>8647.41025641026</v>
      </c>
      <c r="AP1242" s="70" t="n">
        <f aca="false">IF(AO1242="",0,MAX(0,MIN(1,(IF(CG1242="L1",Parameter!$H$5,IF(CG1242="L23",Parameter!$H$6+Parameter!$H$7,Parameter!$H$5+Parameter!$H$6+Parameter!$H$7))-(AO1242-AJ1242))/AJ1242)))</f>
        <v>1</v>
      </c>
      <c r="AQ1242" s="62" t="n">
        <f aca="false">IF(LEFT(Cockpit!$I$5,1)="A",H1242,IF(Parameter!$E$30="MAX-Bestand",IF(CI1242=1,CJ1242,IF(LEFT(Cockpit!$I$5,1)="B",AW1242,MAX(AW1242,H1242))),ROUNDUP(AU1242,0)))</f>
        <v>17</v>
      </c>
      <c r="AR1242" s="62" t="n">
        <f aca="false">IF(CA1242=1,0,ROUNDUP(AQ1242/BZ1242,0))</f>
        <v>1</v>
      </c>
      <c r="AS1242" s="64" t="n">
        <f aca="false">IF(CR1242&gt;0,CR1242*MAX(1,AQ1242/X1242),IF(CA1242=1,IF(AQ1242&lt;=0,0,CE1242*MAX(1,IF(H1242&gt;0,AQ1242/H1242,1))),IF(R1242&gt;0,AR1242/R1242,0))/MAX(0.1,N(Parameter!$M$21)))</f>
        <v>0.0384615384615385</v>
      </c>
      <c r="AT1242" s="62" t="n">
        <f aca="false">AS1242*CC1242</f>
        <v>5.96153846153846</v>
      </c>
      <c r="AU1242" s="63" t="n">
        <f aca="false">IF(LEFT(Cockpit!$I$5,1)="A",H1242,IF(CI1242=1,(CL1242+CJ1242)/2,IF(LEFT(Cockpit!$I$5,1)="B",(CL1242+AW1242)/2,MAX((CL1242+AW1242)/2,H1242))))</f>
        <v>17</v>
      </c>
      <c r="AV1242" s="62" t="n">
        <f aca="false">AU1242*G1242</f>
        <v>1319.03</v>
      </c>
      <c r="AW1242" s="62" t="n">
        <f aca="false">ROUNDUP(CL1242+MAX(CM1242,2*(J1242/IF(CH1242&gt;0,CH1242,MAX(0.1,N(Cockpit!$I$6)))-CL1242)),0)</f>
        <v>5</v>
      </c>
      <c r="AX1242" s="63" t="n">
        <f aca="false">IF(AT1242&gt;0,J1242/AT1242,-1)</f>
        <v>0.670967741935484</v>
      </c>
      <c r="AY1242" s="63" t="n">
        <f aca="false">IF(AND(OR(CG1242="L1",CG1242="L23",CG1242="LIFT"),AT1242&gt;0),SUMIFS($AT$7:$AT$1843,$CG$7:$CG$1843,CG1242,$AX$7:$AX$1843,"&gt;"&amp;AX1242)+SUMIFS($AT$7:$AT$1843,$CG$7:$CG$1843,CG1242,$AX$7:$AX$1843,AX1242,$BX$7:$BX$1843,"&lt;="&amp;BX1242),"")</f>
        <v>10941.5778388278</v>
      </c>
      <c r="AZ1242" s="70" t="n">
        <f aca="false">IF(AY1242="",0,MAX(0,MIN(1,(IF(CG1242="L1",Parameter!$H$5,IF(CG1242="L23",Parameter!$H$6+Parameter!$H$7,Parameter!$H$5+Parameter!$H$6+Parameter!$H$7))-(AY1242-AT1242))/AT1242)))</f>
        <v>1</v>
      </c>
      <c r="BA1242" s="62" t="n">
        <f aca="false">IF(LEFT(Cockpit!$O$5,1)="A",H1242,IF(Parameter!$E$30="MAX-Bestand",IF(CI1242=1,CJ1242,IF(LEFT(Cockpit!$O$5,1)="B",BG1242,MAX(BG1242,H1242))),ROUNDUP(BE1242,0)))</f>
        <v>3</v>
      </c>
      <c r="BB1242" s="62" t="n">
        <f aca="false">IF(CA1242=1,0,ROUNDUP(BA1242/BZ1242,0))</f>
        <v>1</v>
      </c>
      <c r="BC1242" s="64" t="n">
        <f aca="false">IF(CR1242&gt;0,CR1242*MAX(1,BA1242/X1242),IF(CA1242=1,IF(BA1242&lt;=0,0,CE1242*MAX(1,IF(H1242&gt;0,BA1242/H1242,1))),IF(R1242&gt;0,BB1242/R1242,0))/MAX(0.1,N(Parameter!$M$21)))</f>
        <v>0.0384615384615385</v>
      </c>
      <c r="BD1242" s="62" t="n">
        <f aca="false">BC1242*CC1242</f>
        <v>5.96153846153846</v>
      </c>
      <c r="BE1242" s="63" t="n">
        <f aca="false">IF(LEFT(Cockpit!$O$5,1)="A",H1242,IF(CI1242=1,(CL1242+CJ1242)/2,IF(LEFT(Cockpit!$O$5,1)="B",(CL1242+BG1242)/2,MAX((CL1242+BG1242)/2,H1242))))</f>
        <v>2.5</v>
      </c>
      <c r="BF1242" s="62" t="n">
        <f aca="false">BE1242*G1242</f>
        <v>193.975</v>
      </c>
      <c r="BG1242" s="62" t="n">
        <f aca="false">ROUNDUP(CL1242+MAX(CM1242,2*(J1242/IF(CH1242&gt;0,CH1242,MAX(0.1,N(Cockpit!$O$6)))-CL1242)),0)</f>
        <v>5</v>
      </c>
      <c r="BH1242" s="63" t="n">
        <f aca="false">IF(BD1242&gt;0,J1242/BD1242,-1)</f>
        <v>0.670967741935484</v>
      </c>
      <c r="BI1242" s="63" t="n">
        <f aca="false">IF(AND(OR(CG1242="L1",CG1242="L23",CG1242="LIFT"),BD1242&gt;0),SUMIFS($BD$7:$BD$1843,$CG$7:$CG$1843,CG1242,$BH$7:$BH$1843,"&gt;"&amp;BH1242)+SUMIFS($BD$7:$BD$1843,$CG$7:$CG$1843,CG1242,$BH$7:$BH$1843,BH1242,$BX$7:$BX$1843,"&lt;="&amp;BX1242),"")</f>
        <v>9551.211996337</v>
      </c>
      <c r="BJ1242" s="70" t="n">
        <f aca="false">IF(BI1242="",0,MAX(0,MIN(1,(IF(CG1242="L1",Parameter!$H$5,IF(CG1242="L23",Parameter!$H$6+Parameter!$H$7,Parameter!$H$5+Parameter!$H$6+Parameter!$H$7))-(BI1242-BD1242))/BD1242)))</f>
        <v>1</v>
      </c>
      <c r="BK1242" s="60" t="str">
        <f aca="false">IF(AJ1242&lt;=0,"",IF(CG1242="Aussen","Aussenlager",IF(CG1242="-","Nicht im Lift",IF(AP1242&gt;=1,"Lift",IF(AP1242&lt;=0,"Aussenlager","teilweise")))))</f>
        <v>Lift</v>
      </c>
      <c r="BL1242" s="60" t="str">
        <f aca="false">IF(AT1242&lt;=0,"",IF(CG1242="Aussen","Aussenlager",IF(CG1242="-","Nicht im Lift",IF(AZ1242&gt;=1,"Lift",IF(AZ1242&lt;=0,"Aussenlager","teilweise")))))</f>
        <v>Lift</v>
      </c>
      <c r="BM1242" s="60" t="str">
        <f aca="false">IF(BD1242&lt;=0,"",IF(CG1242="Aussen","Aussenlager",IF(CG1242="-","Nicht im Lift",IF(BJ1242&gt;=1,"Lift",IF(BJ1242&lt;=0,"Aussenlager","teilweise")))))</f>
        <v>Lift</v>
      </c>
      <c r="BN1242" s="60" t="str">
        <f aca="false">IF(A1242="","",IF(BW1242=1,"Neu; ","")&amp;IF(AND(BW1242=0,BR1242&lt;0),"negativer Bestand (Export "&amp;BR1242&amp;"); ","")&amp;IF(J1242&lt;=0,"Kein Verbrauch; ","")&amp;IF(CR1242&gt;0,"Lift "&amp;W1242&amp;" lt. Liftbericht (Fach "&amp;X1242&amp;" Stk); ",IF(CB1242=1,"Gebinde geschätzt ("&amp;T1242&amp;"); ",IF(CA1242=1,"Lose – Tablare geschätzt; ","")))&amp;IF(H1242&gt;AW1242,"Überbestand "&amp;ROUND(H1242-AW1242,0)&amp;" Stk / CHF "&amp;ROUND((H1242-AW1242)*G1242,0)&amp;"; ","")&amp;IF(AND(CI1242=1,CJ1242&lt;CK1242),"MAX &lt; MB+LG; ","")&amp;IF(AND(CQ1242&gt;0,CP1242*10&gt;CQ1242),"zu hoch für Tablar; ","")&amp;IF(AND(BW1242=0,OR(CI1242=1,AB1242&lt;&gt;"",U1242&lt;&gt;"",V1242&lt;&gt;"",AC1242&lt;&gt;"")),"manuell übersteuert; ","")&amp;IF(AND(CA1242=0,R1242=0),"Gebinde unbekannt / Stellmass fehlt; ","")&amp;IF(AND(CA1242=0,N(V1242)&lt;=0,N(Q1242)&lt;=0),"Menge pro Gebinde fehlt (Ist = 1 Gebinde); ","")&amp;BV1242)</f>
        <v>negativer Bestand (Export -9); Gebinde geschätzt (Klein); Überbestand 12 Stk / CHF 931; Menge pro Gebinde fehlt (Ist = 1 Gebinde); </v>
      </c>
      <c r="BO1242" s="60"/>
      <c r="BP1242" s="60"/>
      <c r="BQ1242" s="67"/>
      <c r="BR1242" s="62" t="n">
        <v>-9</v>
      </c>
      <c r="BS1242" s="62" t="n">
        <v>26</v>
      </c>
      <c r="BT1242" s="61" t="n">
        <v>-698.31</v>
      </c>
      <c r="BU1242" s="62" t="n">
        <v>4</v>
      </c>
      <c r="BV1242" s="60"/>
      <c r="BW1242" s="65" t="n">
        <v>0</v>
      </c>
      <c r="BX1242" s="65" t="n">
        <v>1242</v>
      </c>
      <c r="BY1242" s="60" t="str">
        <f aca="false">IF(U1242&lt;&gt;"",UPPER(TRIM(U1242)),IF(CB1242=1,UPPER(VLOOKUP(T1242,Parameter!$I$27:$K$29,2,0)),IF(P1242="","LOSE",P1242)))</f>
        <v>S51</v>
      </c>
      <c r="BZ1242" s="62" t="n">
        <f aca="false">IF(BY1242="LOSE",1,IF(N(V1242)&gt;0,V1242,IF(CB1242=1,MAX(1,N(VLOOKUP(T1242,Parameter!$I$27:$K$29,3,0)),H1242,N(N1242)),IF(N(Q1242)&gt;0,Q1242,MAX(1,H1242)))))</f>
        <v>20</v>
      </c>
      <c r="CA1242" s="65" t="n">
        <f aca="false">IF(BY1242="LOSE",1,0)</f>
        <v>0</v>
      </c>
      <c r="CB1242" s="65" t="n">
        <f aca="false">IF(AND(U1242="",OR(P1242="",P1242="LOSE"),T1242&lt;&gt;"",N(S1242)&lt;=0,ISNUMBER(MATCH(T1242,Parameter!$I$27:$I$29,0))),1,0)</f>
        <v>1</v>
      </c>
      <c r="CC1242" s="65" t="n">
        <f aca="false">IF(CR1242&gt;0,INDEX(Parameter!$H$5:$H$7,W1242)/INDEX(Parameter!$E$5:$E$7,W1242),IF(AND(CA1242=0,N(IFERROR(VLOOKUP(BY1242,'Gebinde-Kategorie'!$A$5:$N$45,14,0),0))&gt;0),VLOOKUP(BY1242,'Gebinde-Kategorie'!$A$5:$N$45,14,0)*10+Parameter!$M$23,Parameter!$M$24))</f>
        <v>155</v>
      </c>
      <c r="CD1242" s="60" t="str">
        <f aca="false">IF(AND(Parameter!$B$19="Ja",E1242&lt;&gt;"",ISNUMBER(MATCH(E1242,Parameter!$I$35:$I$52,0))),VLOOKUP(E1242,Parameter!$I$35:$J$52,2,0),IFERROR(VLOOKUP(D1242,Parameter!$A$35:$C$64,2,0),"Nein"))</f>
        <v>2+3</v>
      </c>
      <c r="CE1242" s="64" t="n">
        <f aca="false">IF(CA1242=0,0,IF(N(S1242)&gt;0,S1242,IFERROR(VLOOKUP(D1242,Parameter!$A$35:$C$64,3,0)+0,0)))</f>
        <v>0</v>
      </c>
      <c r="CF1242" s="60" t="n">
        <f aca="false">IF(AB1242&lt;&gt;"",AB1242,AA1242)</f>
        <v>3</v>
      </c>
      <c r="CG1242" s="60" t="str">
        <f aca="false">IF(OR(CF1242=1,CF1242=2,CF1242=3),IF(Parameter!$E$27="Ja","LIFT",IF(CF1242=1,"L1","L23")),IF(CF1242="Aussen","Aussen","-"))</f>
        <v>LIFT</v>
      </c>
      <c r="CH1242" s="71" t="n">
        <f aca="false">IF(N(AC1242)&gt;0,AC1242,0)</f>
        <v>0</v>
      </c>
      <c r="CI1242" s="65" t="n">
        <f aca="false">IF(ISNUMBER(AF1242),1,0)</f>
        <v>0</v>
      </c>
      <c r="CJ1242" s="62" t="n">
        <f aca="false">N(AF1242)</f>
        <v>0</v>
      </c>
      <c r="CK1242" s="62" t="n">
        <f aca="false">N(M1242)+N(N1242)</f>
        <v>5</v>
      </c>
      <c r="CL1242" s="62" t="n">
        <f aca="false">N(M1242)</f>
        <v>0</v>
      </c>
      <c r="CM1242" s="62" t="n">
        <f aca="false">N(N1242)</f>
        <v>5</v>
      </c>
      <c r="CN1242" s="62" t="n">
        <f aca="false">ROUNDUP(H1242/BZ1242,0)</f>
        <v>1</v>
      </c>
      <c r="CO1242" s="62" t="n">
        <f aca="false">ROUNDUP(CJ1242/BZ1242,0)</f>
        <v>0</v>
      </c>
      <c r="CP1242" s="65" t="n">
        <f aca="false">IF(CA1242=1,0,IFERROR(VLOOKUP(BY1242,'Gebinde-Kategorie'!$A$5:$N$45,5,0)+0,0))</f>
        <v>11</v>
      </c>
      <c r="CQ1242" s="65" t="n">
        <f aca="false">IFERROR(IF(OR(CF1242=1,CF1242=2,CF1242=3),N(INDEX(Parameter!$I$5:$I$7,CF1242)),0),0)</f>
        <v>0</v>
      </c>
      <c r="CR1242" s="64" t="n">
        <f aca="false">IF(AND(Parameter!$B$21="Ja",ISNUMBER(W1242),N(X1242)&gt;0),IFERROR(N(INDEX(Parameter!$L$5:$L$7,W1242))*INDEX(Parameter!$E$5:$E$7,W1242)*X1242/SUMIFS($X$7:$X$1843,$W$7:$W$1843,W1242),0),0)</f>
        <v>0</v>
      </c>
      <c r="CS1242" s="62" t="n">
        <f aca="false">IF(AND(OR(CG1242="L1",CG1242="L23",CG1242="LIFT"),H1242&gt;0),CC1242*IF(CR1242&gt;0,CR1242*MAX(1,H1242/X1242),IF(CA1242=1,CE1242,IF(R1242&gt;0,CN1242/R1242,0))/MAX(0.1,N(Parameter!$M$21))),"")</f>
        <v>5.96153846153846</v>
      </c>
      <c r="CT1242" s="64" t="n">
        <f aca="false">IF(CS1242="","",J1242/H1242)</f>
        <v>0.235294117647059</v>
      </c>
      <c r="CU1242" s="62" t="n">
        <f aca="false">IF(CS1242="","",H1242*G1242)</f>
        <v>1319.03</v>
      </c>
      <c r="CV1242" s="63" t="n">
        <f aca="false">IF(CS1242="","",(CL1242+ROUNDUP(CL1242+MAX(CM1242,2*(J1242/MAX(0.1,N(Einkauf!$C$6))-CL1242)),0))/2)</f>
        <v>2.5</v>
      </c>
      <c r="CW1242" s="62" t="n">
        <f aca="false">IF(CS1242="","",MAX(0,H1242-CV1242)*G1242)</f>
        <v>1125.055</v>
      </c>
      <c r="CX1242" s="62" t="n">
        <f aca="false">IF(CS1242="","",CS1242*MAX(0,1-CV1242/H1242))</f>
        <v>5.08484162895928</v>
      </c>
      <c r="CY1242" s="64" t="n">
        <f aca="false">IF(CS1242="","",PERCENTRANK($CS$7:$CS$1843,CS1242)+PERCENTRANK($CU$7:$CU$1843,CU1242)+1-PERCENTRANK($CT$7:$CT$1843,CT1242))</f>
        <v>1.566</v>
      </c>
      <c r="CZ1242" s="72" t="n">
        <f aca="false">IF(CS1242="","",CHOOSE(MATCH(Einkauf!$C$5,Parameter!$G$23:$G$27,0),CY1242,CS1242,CU1242,-CT1242,CW1242)+ROW()/1000000000)</f>
        <v>1.566001242</v>
      </c>
    </row>
    <row r="1243" customFormat="false" ht="15" hidden="false" customHeight="false" outlineLevel="0" collapsed="false">
      <c r="A1243" s="60" t="s">
        <v>2264</v>
      </c>
      <c r="B1243" s="60" t="s">
        <v>1093</v>
      </c>
      <c r="C1243" s="60" t="s">
        <v>206</v>
      </c>
      <c r="D1243" s="60" t="s">
        <v>226</v>
      </c>
      <c r="E1243" s="60"/>
      <c r="F1243" s="60" t="s">
        <v>260</v>
      </c>
      <c r="G1243" s="61" t="n">
        <v>16.2</v>
      </c>
      <c r="H1243" s="62" t="n">
        <f aca="false">MAX(0,IF(AND(Parameter!$B$21="Ja",ISNUMBER(Y1243)),Y1243,IF(Parameter!$B$20="Jahresanfang 2025 + Export",BS1243+BR1243,BR1243)))</f>
        <v>17</v>
      </c>
      <c r="I1243" s="62" t="n">
        <f aca="false">H1243*G1243</f>
        <v>275.4</v>
      </c>
      <c r="J1243" s="62" t="n">
        <f aca="false">BU1243*Parameter!$B$18</f>
        <v>2</v>
      </c>
      <c r="K1243" s="63" t="n">
        <v>59.5</v>
      </c>
      <c r="L1243" s="64" t="n">
        <v>0.0336134453781513</v>
      </c>
      <c r="M1243" s="62" t="n">
        <v>0</v>
      </c>
      <c r="N1243" s="62" t="n">
        <v>1</v>
      </c>
      <c r="O1243" s="65" t="n">
        <v>28</v>
      </c>
      <c r="P1243" s="60" t="s">
        <v>228</v>
      </c>
      <c r="Q1243" s="62" t="n">
        <v>40</v>
      </c>
      <c r="R1243" s="65" t="n">
        <f aca="false">IF(CA1243=1,0,IFERROR(VLOOKUP(BY1243,'Gebinde-Kategorie'!$A$5:$N$45,13,0)+0,0))</f>
        <v>12</v>
      </c>
      <c r="S1243" s="66"/>
      <c r="T1243" s="67"/>
      <c r="U1243" s="67"/>
      <c r="V1243" s="67"/>
      <c r="W1243" s="60"/>
      <c r="X1243" s="62"/>
      <c r="Y1243" s="62"/>
      <c r="Z1243" s="60" t="n">
        <v>3</v>
      </c>
      <c r="AA1243" s="60" t="n">
        <f aca="false">IF(A1243="","",IF(AND(Parameter!$B$21="Ja",ISNUMBER(W1243)),W1243,IF(AND(Parameter!$E$27="Ja",ISNUMBER(Z1243),CD1243&lt;&gt;"Nein"),Z1243,IF(CD1243="2+3",IF(ISNUMBER(SEARCH("grosser Artikel",BV1243)),2,IFERROR(VLOOKUP(BY1243,Parameter!$F$35:$G$64,2,0),2)),IF(OR(CD1243="Nein",CD1243=""),"-",CD1243)))))</f>
        <v>3</v>
      </c>
      <c r="AB1243" s="67"/>
      <c r="AC1243" s="68"/>
      <c r="AD1243" s="62" t="n">
        <f aca="false">AW1243</f>
        <v>2</v>
      </c>
      <c r="AE1243" s="62" t="n">
        <f aca="false">MAX(AW1243,H1243)</f>
        <v>17</v>
      </c>
      <c r="AF1243" s="69"/>
      <c r="AG1243" s="62" t="n">
        <f aca="false">IF(LEFT(Cockpit!$C$5,1)="A",H1243,IF(Parameter!$E$30="MAX-Bestand",IF(CI1243=1,CJ1243,IF(LEFT(Cockpit!$C$5,1)="B",AM1243,MAX(AM1243,H1243))),ROUNDUP(AK1243,0)))</f>
        <v>17</v>
      </c>
      <c r="AH1243" s="62" t="n">
        <f aca="false">IF(CA1243=1,0,ROUNDUP(AG1243/BZ1243,0))</f>
        <v>1</v>
      </c>
      <c r="AI1243" s="64" t="n">
        <f aca="false">IF(CR1243&gt;0,CR1243*MAX(1,AG1243/X1243),IF(CA1243=1,IF(AG1243&lt;=0,0,CE1243*MAX(1,IF(H1243&gt;0,AG1243/H1243,1))),IF(R1243&gt;0,AH1243/R1243,0))/MAX(0.1,N(Parameter!$M$21)))</f>
        <v>0.0833333333333333</v>
      </c>
      <c r="AJ1243" s="62" t="n">
        <f aca="false">AI1243*CC1243</f>
        <v>12.0833333333333</v>
      </c>
      <c r="AK1243" s="63" t="n">
        <f aca="false">IF(LEFT(Cockpit!$C$5,1)="A",H1243,IF(CI1243=1,(CL1243+CJ1243)/2,IF(LEFT(Cockpit!$C$5,1)="B",(CL1243+AM1243)/2,MAX((CL1243+AM1243)/2,H1243))))</f>
        <v>17</v>
      </c>
      <c r="AL1243" s="62" t="n">
        <f aca="false">AK1243*G1243</f>
        <v>275.4</v>
      </c>
      <c r="AM1243" s="62" t="n">
        <f aca="false">ROUNDUP(CL1243+MAX(CM1243,2*(J1243/IF(CH1243&gt;0,CH1243,MAX(0.1,N(Cockpit!$C$6)))-CL1243)),0)</f>
        <v>2</v>
      </c>
      <c r="AN1243" s="63" t="n">
        <f aca="false">IF(AJ1243&gt;0,J1243/AJ1243,-1)</f>
        <v>0.16551724137931</v>
      </c>
      <c r="AO1243" s="63" t="n">
        <f aca="false">IF(AND(OR(CG1243="L1",CG1243="L23",CG1243="LIFT"),AJ1243&gt;0),SUMIFS($AJ$7:$AJ$1843,$CG$7:$CG$1843,CG1243,$AN$7:$AN$1843,"&gt;"&amp;AN1243)+SUMIFS($AJ$7:$AJ$1843,$CG$7:$CG$1843,CG1243,$AN$7:$AN$1843,AN1243,$BX$7:$BX$1843,"&lt;="&amp;BX1243),"")</f>
        <v>12841.6567977691</v>
      </c>
      <c r="AP1243" s="70" t="n">
        <f aca="false">IF(AO1243="",0,MAX(0,MIN(1,(IF(CG1243="L1",Parameter!$H$5,IF(CG1243="L23",Parameter!$H$6+Parameter!$H$7,Parameter!$H$5+Parameter!$H$6+Parameter!$H$7))-(AO1243-AJ1243))/AJ1243)))</f>
        <v>1</v>
      </c>
      <c r="AQ1243" s="62" t="n">
        <f aca="false">IF(LEFT(Cockpit!$I$5,1)="A",H1243,IF(Parameter!$E$30="MAX-Bestand",IF(CI1243=1,CJ1243,IF(LEFT(Cockpit!$I$5,1)="B",AW1243,MAX(AW1243,H1243))),ROUNDUP(AU1243,0)))</f>
        <v>17</v>
      </c>
      <c r="AR1243" s="62" t="n">
        <f aca="false">IF(CA1243=1,0,ROUNDUP(AQ1243/BZ1243,0))</f>
        <v>1</v>
      </c>
      <c r="AS1243" s="64" t="n">
        <f aca="false">IF(CR1243&gt;0,CR1243*MAX(1,AQ1243/X1243),IF(CA1243=1,IF(AQ1243&lt;=0,0,CE1243*MAX(1,IF(H1243&gt;0,AQ1243/H1243,1))),IF(R1243&gt;0,AR1243/R1243,0))/MAX(0.1,N(Parameter!$M$21)))</f>
        <v>0.0833333333333333</v>
      </c>
      <c r="AT1243" s="62" t="n">
        <f aca="false">AS1243*CC1243</f>
        <v>12.0833333333333</v>
      </c>
      <c r="AU1243" s="63" t="n">
        <f aca="false">IF(LEFT(Cockpit!$I$5,1)="A",H1243,IF(CI1243=1,(CL1243+CJ1243)/2,IF(LEFT(Cockpit!$I$5,1)="B",(CL1243+AW1243)/2,MAX((CL1243+AW1243)/2,H1243))))</f>
        <v>17</v>
      </c>
      <c r="AV1243" s="62" t="n">
        <f aca="false">AU1243*G1243</f>
        <v>275.4</v>
      </c>
      <c r="AW1243" s="62" t="n">
        <f aca="false">ROUNDUP(CL1243+MAX(CM1243,2*(J1243/IF(CH1243&gt;0,CH1243,MAX(0.1,N(Cockpit!$I$6)))-CL1243)),0)</f>
        <v>2</v>
      </c>
      <c r="AX1243" s="63" t="n">
        <f aca="false">IF(AT1243&gt;0,J1243/AT1243,-1)</f>
        <v>0.16551724137931</v>
      </c>
      <c r="AY1243" s="63" t="n">
        <f aca="false">IF(AND(OR(CG1243="L1",CG1243="L23",CG1243="LIFT"),AT1243&gt;0),SUMIFS($AT$7:$AT$1843,$CG$7:$CG$1843,CG1243,$AX$7:$AX$1843,"&gt;"&amp;AX1243)+SUMIFS($AT$7:$AT$1843,$CG$7:$CG$1843,CG1243,$AX$7:$AX$1843,AX1243,$BX$7:$BX$1843,"&lt;="&amp;BX1243),"")</f>
        <v>15782.4207875458</v>
      </c>
      <c r="AZ1243" s="70" t="n">
        <f aca="false">IF(AY1243="",0,MAX(0,MIN(1,(IF(CG1243="L1",Parameter!$H$5,IF(CG1243="L23",Parameter!$H$6+Parameter!$H$7,Parameter!$H$5+Parameter!$H$6+Parameter!$H$7))-(AY1243-AT1243))/AT1243)))</f>
        <v>1</v>
      </c>
      <c r="BA1243" s="62" t="n">
        <f aca="false">IF(LEFT(Cockpit!$O$5,1)="A",H1243,IF(Parameter!$E$30="MAX-Bestand",IF(CI1243=1,CJ1243,IF(LEFT(Cockpit!$O$5,1)="B",BG1243,MAX(BG1243,H1243))),ROUNDUP(BE1243,0)))</f>
        <v>1</v>
      </c>
      <c r="BB1243" s="62" t="n">
        <f aca="false">IF(CA1243=1,0,ROUNDUP(BA1243/BZ1243,0))</f>
        <v>1</v>
      </c>
      <c r="BC1243" s="64" t="n">
        <f aca="false">IF(CR1243&gt;0,CR1243*MAX(1,BA1243/X1243),IF(CA1243=1,IF(BA1243&lt;=0,0,CE1243*MAX(1,IF(H1243&gt;0,BA1243/H1243,1))),IF(R1243&gt;0,BB1243/R1243,0))/MAX(0.1,N(Parameter!$M$21)))</f>
        <v>0.0833333333333333</v>
      </c>
      <c r="BD1243" s="62" t="n">
        <f aca="false">BC1243*CC1243</f>
        <v>12.0833333333333</v>
      </c>
      <c r="BE1243" s="63" t="n">
        <f aca="false">IF(LEFT(Cockpit!$O$5,1)="A",H1243,IF(CI1243=1,(CL1243+CJ1243)/2,IF(LEFT(Cockpit!$O$5,1)="B",(CL1243+BG1243)/2,MAX((CL1243+BG1243)/2,H1243))))</f>
        <v>0.5</v>
      </c>
      <c r="BF1243" s="62" t="n">
        <f aca="false">BE1243*G1243</f>
        <v>8.1</v>
      </c>
      <c r="BG1243" s="62" t="n">
        <f aca="false">ROUNDUP(CL1243+MAX(CM1243,2*(J1243/IF(CH1243&gt;0,CH1243,MAX(0.1,N(Cockpit!$O$6)))-CL1243)),0)</f>
        <v>1</v>
      </c>
      <c r="BH1243" s="63" t="n">
        <f aca="false">IF(BD1243&gt;0,J1243/BD1243,-1)</f>
        <v>0.16551724137931</v>
      </c>
      <c r="BI1243" s="63" t="n">
        <f aca="false">IF(AND(OR(CG1243="L1",CG1243="L23",CG1243="LIFT"),BD1243&gt;0),SUMIFS($BD$7:$BD$1843,$CG$7:$CG$1843,CG1243,$BH$7:$BH$1843,"&gt;"&amp;BH1243)+SUMIFS($BD$7:$BD$1843,$CG$7:$CG$1843,CG1243,$BH$7:$BH$1843,BH1243,$BX$7:$BX$1843,"&lt;="&amp;BX1243),"")</f>
        <v>13608.8872824445</v>
      </c>
      <c r="BJ1243" s="70" t="n">
        <f aca="false">IF(BI1243="",0,MAX(0,MIN(1,(IF(CG1243="L1",Parameter!$H$5,IF(CG1243="L23",Parameter!$H$6+Parameter!$H$7,Parameter!$H$5+Parameter!$H$6+Parameter!$H$7))-(BI1243-BD1243))/BD1243)))</f>
        <v>1</v>
      </c>
      <c r="BK1243" s="60" t="str">
        <f aca="false">IF(AJ1243&lt;=0,"",IF(CG1243="Aussen","Aussenlager",IF(CG1243="-","Nicht im Lift",IF(AP1243&gt;=1,"Lift",IF(AP1243&lt;=0,"Aussenlager","teilweise")))))</f>
        <v>Lift</v>
      </c>
      <c r="BL1243" s="60" t="str">
        <f aca="false">IF(AT1243&lt;=0,"",IF(CG1243="Aussen","Aussenlager",IF(CG1243="-","Nicht im Lift",IF(AZ1243&gt;=1,"Lift",IF(AZ1243&lt;=0,"Aussenlager","teilweise")))))</f>
        <v>Lift</v>
      </c>
      <c r="BM1243" s="60" t="str">
        <f aca="false">IF(BD1243&lt;=0,"",IF(CG1243="Aussen","Aussenlager",IF(CG1243="-","Nicht im Lift",IF(BJ1243&gt;=1,"Lift",IF(BJ1243&lt;=0,"Aussenlager","teilweise")))))</f>
        <v>Lift</v>
      </c>
      <c r="BN1243" s="60" t="str">
        <f aca="false">IF(A1243="","",IF(BW1243=1,"Neu; ","")&amp;IF(AND(BW1243=0,BR1243&lt;0),"negativer Bestand (Export "&amp;BR1243&amp;"); ","")&amp;IF(J1243&lt;=0,"Kein Verbrauch; ","")&amp;IF(CR1243&gt;0,"Lift "&amp;W1243&amp;" lt. Liftbericht (Fach "&amp;X1243&amp;" Stk); ",IF(CB1243=1,"Gebinde geschätzt ("&amp;T1243&amp;"); ",IF(CA1243=1,"Lose – Tablare geschätzt; ","")))&amp;IF(H1243&gt;AW1243,"Überbestand "&amp;ROUND(H1243-AW1243,0)&amp;" Stk / CHF "&amp;ROUND((H1243-AW1243)*G1243,0)&amp;"; ","")&amp;IF(AND(CI1243=1,CJ1243&lt;CK1243),"MAX &lt; MB+LG; ","")&amp;IF(AND(CQ1243&gt;0,CP1243*10&gt;CQ1243),"zu hoch für Tablar; ","")&amp;IF(AND(BW1243=0,OR(CI1243=1,AB1243&lt;&gt;"",U1243&lt;&gt;"",V1243&lt;&gt;"",AC1243&lt;&gt;"")),"manuell übersteuert; ","")&amp;IF(AND(CA1243=0,R1243=0),"Gebinde unbekannt / Stellmass fehlt; ","")&amp;IF(AND(CA1243=0,N(V1243)&lt;=0,N(Q1243)&lt;=0),"Menge pro Gebinde fehlt (Ist = 1 Gebinde); ","")&amp;BV1243)</f>
        <v>negativer Bestand (Export -44); Überbestand 15 Stk / CHF 243; </v>
      </c>
      <c r="BO1243" s="60"/>
      <c r="BP1243" s="60"/>
      <c r="BQ1243" s="67"/>
      <c r="BR1243" s="62" t="n">
        <v>-44</v>
      </c>
      <c r="BS1243" s="62" t="n">
        <v>61</v>
      </c>
      <c r="BT1243" s="61" t="n">
        <v>-712.8</v>
      </c>
      <c r="BU1243" s="62" t="n">
        <v>2</v>
      </c>
      <c r="BV1243" s="60"/>
      <c r="BW1243" s="65" t="n">
        <v>0</v>
      </c>
      <c r="BX1243" s="65" t="n">
        <v>1243</v>
      </c>
      <c r="BY1243" s="60" t="str">
        <f aca="false">IF(U1243&lt;&gt;"",UPPER(TRIM(U1243)),IF(CB1243=1,UPPER(VLOOKUP(T1243,Parameter!$I$27:$K$29,2,0)),IF(P1243="","LOSE",P1243)))</f>
        <v>S61</v>
      </c>
      <c r="BZ1243" s="62" t="n">
        <f aca="false">IF(BY1243="LOSE",1,IF(N(V1243)&gt;0,V1243,IF(CB1243=1,MAX(1,N(VLOOKUP(T1243,Parameter!$I$27:$K$29,3,0)),H1243,N(N1243)),IF(N(Q1243)&gt;0,Q1243,MAX(1,H1243)))))</f>
        <v>40</v>
      </c>
      <c r="CA1243" s="65" t="n">
        <f aca="false">IF(BY1243="LOSE",1,0)</f>
        <v>0</v>
      </c>
      <c r="CB1243" s="65" t="n">
        <f aca="false">IF(AND(U1243="",OR(P1243="",P1243="LOSE"),T1243&lt;&gt;"",N(S1243)&lt;=0,ISNUMBER(MATCH(T1243,Parameter!$I$27:$I$29,0))),1,0)</f>
        <v>0</v>
      </c>
      <c r="CC1243" s="65" t="n">
        <f aca="false">IF(CR1243&gt;0,INDEX(Parameter!$H$5:$H$7,W1243)/INDEX(Parameter!$E$5:$E$7,W1243),IF(AND(CA1243=0,N(IFERROR(VLOOKUP(BY1243,'Gebinde-Kategorie'!$A$5:$N$45,14,0),0))&gt;0),VLOOKUP(BY1243,'Gebinde-Kategorie'!$A$5:$N$45,14,0)*10+Parameter!$M$23,Parameter!$M$24))</f>
        <v>145</v>
      </c>
      <c r="CD1243" s="60" t="str">
        <f aca="false">IF(AND(Parameter!$B$19="Ja",E1243&lt;&gt;"",ISNUMBER(MATCH(E1243,Parameter!$I$35:$I$52,0))),VLOOKUP(E1243,Parameter!$I$35:$J$52,2,0),IFERROR(VLOOKUP(D1243,Parameter!$A$35:$C$64,2,0),"Nein"))</f>
        <v>2+3</v>
      </c>
      <c r="CE1243" s="64" t="n">
        <f aca="false">IF(CA1243=0,0,IF(N(S1243)&gt;0,S1243,IFERROR(VLOOKUP(D1243,Parameter!$A$35:$C$64,3,0)+0,0)))</f>
        <v>0</v>
      </c>
      <c r="CF1243" s="60" t="n">
        <f aca="false">IF(AB1243&lt;&gt;"",AB1243,AA1243)</f>
        <v>3</v>
      </c>
      <c r="CG1243" s="60" t="str">
        <f aca="false">IF(OR(CF1243=1,CF1243=2,CF1243=3),IF(Parameter!$E$27="Ja","LIFT",IF(CF1243=1,"L1","L23")),IF(CF1243="Aussen","Aussen","-"))</f>
        <v>LIFT</v>
      </c>
      <c r="CH1243" s="71" t="n">
        <f aca="false">IF(N(AC1243)&gt;0,AC1243,0)</f>
        <v>0</v>
      </c>
      <c r="CI1243" s="65" t="n">
        <f aca="false">IF(ISNUMBER(AF1243),1,0)</f>
        <v>0</v>
      </c>
      <c r="CJ1243" s="62" t="n">
        <f aca="false">N(AF1243)</f>
        <v>0</v>
      </c>
      <c r="CK1243" s="62" t="n">
        <f aca="false">N(M1243)+N(N1243)</f>
        <v>1</v>
      </c>
      <c r="CL1243" s="62" t="n">
        <f aca="false">N(M1243)</f>
        <v>0</v>
      </c>
      <c r="CM1243" s="62" t="n">
        <f aca="false">N(N1243)</f>
        <v>1</v>
      </c>
      <c r="CN1243" s="62" t="n">
        <f aca="false">ROUNDUP(H1243/BZ1243,0)</f>
        <v>1</v>
      </c>
      <c r="CO1243" s="62" t="n">
        <f aca="false">ROUNDUP(CJ1243/BZ1243,0)</f>
        <v>0</v>
      </c>
      <c r="CP1243" s="65" t="n">
        <f aca="false">IF(CA1243=1,0,IFERROR(VLOOKUP(BY1243,'Gebinde-Kategorie'!$A$5:$N$45,5,0)+0,0))</f>
        <v>11</v>
      </c>
      <c r="CQ1243" s="65" t="n">
        <f aca="false">IFERROR(IF(OR(CF1243=1,CF1243=2,CF1243=3),N(INDEX(Parameter!$I$5:$I$7,CF1243)),0),0)</f>
        <v>0</v>
      </c>
      <c r="CR1243" s="64" t="n">
        <f aca="false">IF(AND(Parameter!$B$21="Ja",ISNUMBER(W1243),N(X1243)&gt;0),IFERROR(N(INDEX(Parameter!$L$5:$L$7,W1243))*INDEX(Parameter!$E$5:$E$7,W1243)*X1243/SUMIFS($X$7:$X$1843,$W$7:$W$1843,W1243),0),0)</f>
        <v>0</v>
      </c>
      <c r="CS1243" s="62" t="n">
        <f aca="false">IF(AND(OR(CG1243="L1",CG1243="L23",CG1243="LIFT"),H1243&gt;0),CC1243*IF(CR1243&gt;0,CR1243*MAX(1,H1243/X1243),IF(CA1243=1,CE1243,IF(R1243&gt;0,CN1243/R1243,0))/MAX(0.1,N(Parameter!$M$21))),"")</f>
        <v>12.0833333333333</v>
      </c>
      <c r="CT1243" s="64" t="n">
        <f aca="false">IF(CS1243="","",J1243/H1243)</f>
        <v>0.117647058823529</v>
      </c>
      <c r="CU1243" s="62" t="n">
        <f aca="false">IF(CS1243="","",H1243*G1243)</f>
        <v>275.4</v>
      </c>
      <c r="CV1243" s="63" t="n">
        <f aca="false">IF(CS1243="","",(CL1243+ROUNDUP(CL1243+MAX(CM1243,2*(J1243/MAX(0.1,N(Einkauf!$C$6))-CL1243)),0))/2)</f>
        <v>0.5</v>
      </c>
      <c r="CW1243" s="62" t="n">
        <f aca="false">IF(CS1243="","",MAX(0,H1243-CV1243)*G1243)</f>
        <v>267.3</v>
      </c>
      <c r="CX1243" s="62" t="n">
        <f aca="false">IF(CS1243="","",CS1243*MAX(0,1-CV1243/H1243))</f>
        <v>11.7279411764706</v>
      </c>
      <c r="CY1243" s="64" t="n">
        <f aca="false">IF(CS1243="","",PERCENTRANK($CS$7:$CS$1843,CS1243)+PERCENTRANK($CU$7:$CU$1843,CU1243)+1-PERCENTRANK($CT$7:$CT$1843,CT1243))</f>
        <v>1.62</v>
      </c>
      <c r="CZ1243" s="72" t="n">
        <f aca="false">IF(CS1243="","",CHOOSE(MATCH(Einkauf!$C$5,Parameter!$G$23:$G$27,0),CY1243,CS1243,CU1243,-CT1243,CW1243)+ROW()/1000000000)</f>
        <v>1.620001243</v>
      </c>
    </row>
    <row r="1244" customFormat="false" ht="15" hidden="false" customHeight="false" outlineLevel="0" collapsed="false">
      <c r="A1244" s="60" t="s">
        <v>2265</v>
      </c>
      <c r="B1244" s="60" t="s">
        <v>2266</v>
      </c>
      <c r="C1244" s="60" t="s">
        <v>206</v>
      </c>
      <c r="D1244" s="60" t="s">
        <v>226</v>
      </c>
      <c r="E1244" s="60"/>
      <c r="F1244" s="60" t="s">
        <v>260</v>
      </c>
      <c r="G1244" s="61" t="n">
        <v>79.39</v>
      </c>
      <c r="H1244" s="62" t="n">
        <f aca="false">MAX(0,IF(AND(Parameter!$B$21="Ja",ISNUMBER(Y1244)),Y1244,IF(Parameter!$B$20="Jahresanfang 2025 + Export",BS1244+BR1244,BR1244)))</f>
        <v>0</v>
      </c>
      <c r="I1244" s="62" t="n">
        <f aca="false">H1244*G1244</f>
        <v>0</v>
      </c>
      <c r="J1244" s="62" t="n">
        <f aca="false">BU1244*Parameter!$B$18</f>
        <v>3</v>
      </c>
      <c r="K1244" s="63" t="n">
        <v>6.5</v>
      </c>
      <c r="L1244" s="64" t="n">
        <v>0.461538461538462</v>
      </c>
      <c r="M1244" s="62" t="n">
        <v>0</v>
      </c>
      <c r="N1244" s="62" t="n">
        <v>5</v>
      </c>
      <c r="O1244" s="65" t="n">
        <v>35</v>
      </c>
      <c r="P1244" s="60" t="s">
        <v>210</v>
      </c>
      <c r="Q1244" s="62"/>
      <c r="R1244" s="65" t="n">
        <f aca="false">IF(CA1244=1,0,IFERROR(VLOOKUP(BY1244,'Gebinde-Kategorie'!$A$5:$N$45,13,0)+0,0))</f>
        <v>26</v>
      </c>
      <c r="S1244" s="66"/>
      <c r="T1244" s="67" t="s">
        <v>317</v>
      </c>
      <c r="U1244" s="67"/>
      <c r="V1244" s="67"/>
      <c r="W1244" s="60"/>
      <c r="X1244" s="62"/>
      <c r="Y1244" s="62"/>
      <c r="Z1244" s="60" t="n">
        <v>3</v>
      </c>
      <c r="AA1244" s="60" t="n">
        <f aca="false">IF(A1244="","",IF(AND(Parameter!$B$21="Ja",ISNUMBER(W1244)),W1244,IF(AND(Parameter!$E$27="Ja",ISNUMBER(Z1244),CD1244&lt;&gt;"Nein"),Z1244,IF(CD1244="2+3",IF(ISNUMBER(SEARCH("grosser Artikel",BV1244)),2,IFERROR(VLOOKUP(BY1244,Parameter!$F$35:$G$64,2,0),2)),IF(OR(CD1244="Nein",CD1244=""),"-",CD1244)))))</f>
        <v>3</v>
      </c>
      <c r="AB1244" s="67"/>
      <c r="AC1244" s="68"/>
      <c r="AD1244" s="62" t="n">
        <f aca="false">AW1244</f>
        <v>5</v>
      </c>
      <c r="AE1244" s="62" t="n">
        <f aca="false">MAX(AW1244,H1244)</f>
        <v>5</v>
      </c>
      <c r="AF1244" s="69"/>
      <c r="AG1244" s="62" t="n">
        <f aca="false">IF(LEFT(Cockpit!$C$5,1)="A",H1244,IF(Parameter!$E$30="MAX-Bestand",IF(CI1244=1,CJ1244,IF(LEFT(Cockpit!$C$5,1)="B",AM1244,MAX(AM1244,H1244))),ROUNDUP(AK1244,0)))</f>
        <v>0</v>
      </c>
      <c r="AH1244" s="62" t="n">
        <f aca="false">IF(CA1244=1,0,ROUNDUP(AG1244/BZ1244,0))</f>
        <v>0</v>
      </c>
      <c r="AI1244" s="64" t="n">
        <f aca="false">IF(CR1244&gt;0,CR1244*MAX(1,AG1244/X1244),IF(CA1244=1,IF(AG1244&lt;=0,0,CE1244*MAX(1,IF(H1244&gt;0,AG1244/H1244,1))),IF(R1244&gt;0,AH1244/R1244,0))/MAX(0.1,N(Parameter!$M$21)))</f>
        <v>0</v>
      </c>
      <c r="AJ1244" s="62" t="n">
        <f aca="false">AI1244*CC1244</f>
        <v>0</v>
      </c>
      <c r="AK1244" s="63" t="n">
        <f aca="false">IF(LEFT(Cockpit!$C$5,1)="A",H1244,IF(CI1244=1,(CL1244+CJ1244)/2,IF(LEFT(Cockpit!$C$5,1)="B",(CL1244+AM1244)/2,MAX((CL1244+AM1244)/2,H1244))))</f>
        <v>0</v>
      </c>
      <c r="AL1244" s="62" t="n">
        <f aca="false">AK1244*G1244</f>
        <v>0</v>
      </c>
      <c r="AM1244" s="62" t="n">
        <f aca="false">ROUNDUP(CL1244+MAX(CM1244,2*(J1244/IF(CH1244&gt;0,CH1244,MAX(0.1,N(Cockpit!$C$6)))-CL1244)),0)</f>
        <v>5</v>
      </c>
      <c r="AN1244" s="63" t="n">
        <f aca="false">IF(AJ1244&gt;0,J1244/AJ1244,-1)</f>
        <v>-1</v>
      </c>
      <c r="AO1244" s="63" t="str">
        <f aca="false">IF(AND(OR(CG1244="L1",CG1244="L23",CG1244="LIFT"),AJ1244&gt;0),SUMIFS($AJ$7:$AJ$1843,$CG$7:$CG$1843,CG1244,$AN$7:$AN$1843,"&gt;"&amp;AN1244)+SUMIFS($AJ$7:$AJ$1843,$CG$7:$CG$1843,CG1244,$AN$7:$AN$1843,AN1244,$BX$7:$BX$1843,"&lt;="&amp;BX1244),"")</f>
        <v/>
      </c>
      <c r="AP1244" s="70" t="n">
        <f aca="false">IF(AO1244="",0,MAX(0,MIN(1,(IF(CG1244="L1",Parameter!$H$5,IF(CG1244="L23",Parameter!$H$6+Parameter!$H$7,Parameter!$H$5+Parameter!$H$6+Parameter!$H$7))-(AO1244-AJ1244))/AJ1244)))</f>
        <v>0</v>
      </c>
      <c r="AQ1244" s="62" t="n">
        <f aca="false">IF(LEFT(Cockpit!$I$5,1)="A",H1244,IF(Parameter!$E$30="MAX-Bestand",IF(CI1244=1,CJ1244,IF(LEFT(Cockpit!$I$5,1)="B",AW1244,MAX(AW1244,H1244))),ROUNDUP(AU1244,0)))</f>
        <v>3</v>
      </c>
      <c r="AR1244" s="62" t="n">
        <f aca="false">IF(CA1244=1,0,ROUNDUP(AQ1244/BZ1244,0))</f>
        <v>1</v>
      </c>
      <c r="AS1244" s="64" t="n">
        <f aca="false">IF(CR1244&gt;0,CR1244*MAX(1,AQ1244/X1244),IF(CA1244=1,IF(AQ1244&lt;=0,0,CE1244*MAX(1,IF(H1244&gt;0,AQ1244/H1244,1))),IF(R1244&gt;0,AR1244/R1244,0))/MAX(0.1,N(Parameter!$M$21)))</f>
        <v>0.0384615384615385</v>
      </c>
      <c r="AT1244" s="62" t="n">
        <f aca="false">AS1244*CC1244</f>
        <v>5.96153846153846</v>
      </c>
      <c r="AU1244" s="63" t="n">
        <f aca="false">IF(LEFT(Cockpit!$I$5,1)="A",H1244,IF(CI1244=1,(CL1244+CJ1244)/2,IF(LEFT(Cockpit!$I$5,1)="B",(CL1244+AW1244)/2,MAX((CL1244+AW1244)/2,H1244))))</f>
        <v>2.5</v>
      </c>
      <c r="AV1244" s="62" t="n">
        <f aca="false">AU1244*G1244</f>
        <v>198.475</v>
      </c>
      <c r="AW1244" s="62" t="n">
        <f aca="false">ROUNDUP(CL1244+MAX(CM1244,2*(J1244/IF(CH1244&gt;0,CH1244,MAX(0.1,N(Cockpit!$I$6)))-CL1244)),0)</f>
        <v>5</v>
      </c>
      <c r="AX1244" s="63" t="n">
        <f aca="false">IF(AT1244&gt;0,J1244/AT1244,-1)</f>
        <v>0.503225806451613</v>
      </c>
      <c r="AY1244" s="63" t="n">
        <f aca="false">IF(AND(OR(CG1244="L1",CG1244="L23",CG1244="LIFT"),AT1244&gt;0),SUMIFS($AT$7:$AT$1843,$CG$7:$CG$1843,CG1244,$AX$7:$AX$1843,"&gt;"&amp;AX1244)+SUMIFS($AT$7:$AT$1843,$CG$7:$CG$1843,CG1244,$AX$7:$AX$1843,AX1244,$BX$7:$BX$1843,"&lt;="&amp;BX1244),"")</f>
        <v>11987.923992674</v>
      </c>
      <c r="AZ1244" s="70" t="n">
        <f aca="false">IF(AY1244="",0,MAX(0,MIN(1,(IF(CG1244="L1",Parameter!$H$5,IF(CG1244="L23",Parameter!$H$6+Parameter!$H$7,Parameter!$H$5+Parameter!$H$6+Parameter!$H$7))-(AY1244-AT1244))/AT1244)))</f>
        <v>1</v>
      </c>
      <c r="BA1244" s="62" t="n">
        <f aca="false">IF(LEFT(Cockpit!$O$5,1)="A",H1244,IF(Parameter!$E$30="MAX-Bestand",IF(CI1244=1,CJ1244,IF(LEFT(Cockpit!$O$5,1)="B",BG1244,MAX(BG1244,H1244))),ROUNDUP(BE1244,0)))</f>
        <v>3</v>
      </c>
      <c r="BB1244" s="62" t="n">
        <f aca="false">IF(CA1244=1,0,ROUNDUP(BA1244/BZ1244,0))</f>
        <v>1</v>
      </c>
      <c r="BC1244" s="64" t="n">
        <f aca="false">IF(CR1244&gt;0,CR1244*MAX(1,BA1244/X1244),IF(CA1244=1,IF(BA1244&lt;=0,0,CE1244*MAX(1,IF(H1244&gt;0,BA1244/H1244,1))),IF(R1244&gt;0,BB1244/R1244,0))/MAX(0.1,N(Parameter!$M$21)))</f>
        <v>0.0384615384615385</v>
      </c>
      <c r="BD1244" s="62" t="n">
        <f aca="false">BC1244*CC1244</f>
        <v>5.96153846153846</v>
      </c>
      <c r="BE1244" s="63" t="n">
        <f aca="false">IF(LEFT(Cockpit!$O$5,1)="A",H1244,IF(CI1244=1,(CL1244+CJ1244)/2,IF(LEFT(Cockpit!$O$5,1)="B",(CL1244+BG1244)/2,MAX((CL1244+BG1244)/2,H1244))))</f>
        <v>2.5</v>
      </c>
      <c r="BF1244" s="62" t="n">
        <f aca="false">BE1244*G1244</f>
        <v>198.475</v>
      </c>
      <c r="BG1244" s="62" t="n">
        <f aca="false">ROUNDUP(CL1244+MAX(CM1244,2*(J1244/IF(CH1244&gt;0,CH1244,MAX(0.1,N(Cockpit!$O$6)))-CL1244)),0)</f>
        <v>5</v>
      </c>
      <c r="BH1244" s="63" t="n">
        <f aca="false">IF(BD1244&gt;0,J1244/BD1244,-1)</f>
        <v>0.503225806451613</v>
      </c>
      <c r="BI1244" s="63" t="n">
        <f aca="false">IF(AND(OR(CG1244="L1",CG1244="L23",CG1244="LIFT"),BD1244&gt;0),SUMIFS($BD$7:$BD$1843,$CG$7:$CG$1843,CG1244,$BH$7:$BH$1843,"&gt;"&amp;BH1244)+SUMIFS($BD$7:$BD$1843,$CG$7:$CG$1843,CG1244,$BH$7:$BH$1843,BH1244,$BX$7:$BX$1843,"&lt;="&amp;BX1244),"")</f>
        <v>10351.3402014652</v>
      </c>
      <c r="BJ1244" s="70" t="n">
        <f aca="false">IF(BI1244="",0,MAX(0,MIN(1,(IF(CG1244="L1",Parameter!$H$5,IF(CG1244="L23",Parameter!$H$6+Parameter!$H$7,Parameter!$H$5+Parameter!$H$6+Parameter!$H$7))-(BI1244-BD1244))/BD1244)))</f>
        <v>1</v>
      </c>
      <c r="BK1244" s="60" t="str">
        <f aca="false">IF(AJ1244&lt;=0,"",IF(CG1244="Aussen","Aussenlager",IF(CG1244="-","Nicht im Lift",IF(AP1244&gt;=1,"Lift",IF(AP1244&lt;=0,"Aussenlager","teilweise")))))</f>
        <v/>
      </c>
      <c r="BL1244" s="60" t="str">
        <f aca="false">IF(AT1244&lt;=0,"",IF(CG1244="Aussen","Aussenlager",IF(CG1244="-","Nicht im Lift",IF(AZ1244&gt;=1,"Lift",IF(AZ1244&lt;=0,"Aussenlager","teilweise")))))</f>
        <v>Lift</v>
      </c>
      <c r="BM1244" s="60" t="str">
        <f aca="false">IF(BD1244&lt;=0,"",IF(CG1244="Aussen","Aussenlager",IF(CG1244="-","Nicht im Lift",IF(BJ1244&gt;=1,"Lift",IF(BJ1244&lt;=0,"Aussenlager","teilweise")))))</f>
        <v>Lift</v>
      </c>
      <c r="BN1244" s="60" t="str">
        <f aca="false">IF(A1244="","",IF(BW1244=1,"Neu; ","")&amp;IF(AND(BW1244=0,BR1244&lt;0),"negativer Bestand (Export "&amp;BR1244&amp;"); ","")&amp;IF(J1244&lt;=0,"Kein Verbrauch; ","")&amp;IF(CR1244&gt;0,"Lift "&amp;W1244&amp;" lt. Liftbericht (Fach "&amp;X1244&amp;" Stk); ",IF(CB1244=1,"Gebinde geschätzt ("&amp;T1244&amp;"); ",IF(CA1244=1,"Lose – Tablare geschätzt; ","")))&amp;IF(H1244&gt;AW1244,"Überbestand "&amp;ROUND(H1244-AW1244,0)&amp;" Stk / CHF "&amp;ROUND((H1244-AW1244)*G1244,0)&amp;"; ","")&amp;IF(AND(CI1244=1,CJ1244&lt;CK1244),"MAX &lt; MB+LG; ","")&amp;IF(AND(CQ1244&gt;0,CP1244*10&gt;CQ1244),"zu hoch für Tablar; ","")&amp;IF(AND(BW1244=0,OR(CI1244=1,AB1244&lt;&gt;"",U1244&lt;&gt;"",V1244&lt;&gt;"",AC1244&lt;&gt;"")),"manuell übersteuert; ","")&amp;IF(AND(CA1244=0,R1244=0),"Gebinde unbekannt / Stellmass fehlt; ","")&amp;IF(AND(CA1244=0,N(V1244)&lt;=0,N(Q1244)&lt;=0),"Menge pro Gebinde fehlt (Ist = 1 Gebinde); ","")&amp;BV1244)</f>
        <v>negativer Bestand (Export -9); Gebinde geschätzt (Klein); Menge pro Gebinde fehlt (Ist = 1 Gebinde); </v>
      </c>
      <c r="BO1244" s="60"/>
      <c r="BP1244" s="60"/>
      <c r="BQ1244" s="67"/>
      <c r="BR1244" s="62" t="n">
        <v>-9</v>
      </c>
      <c r="BS1244" s="62" t="n">
        <v>9</v>
      </c>
      <c r="BT1244" s="61" t="n">
        <v>-714.51</v>
      </c>
      <c r="BU1244" s="62" t="n">
        <v>3</v>
      </c>
      <c r="BV1244" s="60"/>
      <c r="BW1244" s="65" t="n">
        <v>0</v>
      </c>
      <c r="BX1244" s="65" t="n">
        <v>1244</v>
      </c>
      <c r="BY1244" s="60" t="str">
        <f aca="false">IF(U1244&lt;&gt;"",UPPER(TRIM(U1244)),IF(CB1244=1,UPPER(VLOOKUP(T1244,Parameter!$I$27:$K$29,2,0)),IF(P1244="","LOSE",P1244)))</f>
        <v>S51</v>
      </c>
      <c r="BZ1244" s="62" t="n">
        <f aca="false">IF(BY1244="LOSE",1,IF(N(V1244)&gt;0,V1244,IF(CB1244=1,MAX(1,N(VLOOKUP(T1244,Parameter!$I$27:$K$29,3,0)),H1244,N(N1244)),IF(N(Q1244)&gt;0,Q1244,MAX(1,H1244)))))</f>
        <v>20</v>
      </c>
      <c r="CA1244" s="65" t="n">
        <f aca="false">IF(BY1244="LOSE",1,0)</f>
        <v>0</v>
      </c>
      <c r="CB1244" s="65" t="n">
        <f aca="false">IF(AND(U1244="",OR(P1244="",P1244="LOSE"),T1244&lt;&gt;"",N(S1244)&lt;=0,ISNUMBER(MATCH(T1244,Parameter!$I$27:$I$29,0))),1,0)</f>
        <v>1</v>
      </c>
      <c r="CC1244" s="65" t="n">
        <f aca="false">IF(CR1244&gt;0,INDEX(Parameter!$H$5:$H$7,W1244)/INDEX(Parameter!$E$5:$E$7,W1244),IF(AND(CA1244=0,N(IFERROR(VLOOKUP(BY1244,'Gebinde-Kategorie'!$A$5:$N$45,14,0),0))&gt;0),VLOOKUP(BY1244,'Gebinde-Kategorie'!$A$5:$N$45,14,0)*10+Parameter!$M$23,Parameter!$M$24))</f>
        <v>155</v>
      </c>
      <c r="CD1244" s="60" t="str">
        <f aca="false">IF(AND(Parameter!$B$19="Ja",E1244&lt;&gt;"",ISNUMBER(MATCH(E1244,Parameter!$I$35:$I$52,0))),VLOOKUP(E1244,Parameter!$I$35:$J$52,2,0),IFERROR(VLOOKUP(D1244,Parameter!$A$35:$C$64,2,0),"Nein"))</f>
        <v>2+3</v>
      </c>
      <c r="CE1244" s="64" t="n">
        <f aca="false">IF(CA1244=0,0,IF(N(S1244)&gt;0,S1244,IFERROR(VLOOKUP(D1244,Parameter!$A$35:$C$64,3,0)+0,0)))</f>
        <v>0</v>
      </c>
      <c r="CF1244" s="60" t="n">
        <f aca="false">IF(AB1244&lt;&gt;"",AB1244,AA1244)</f>
        <v>3</v>
      </c>
      <c r="CG1244" s="60" t="str">
        <f aca="false">IF(OR(CF1244=1,CF1244=2,CF1244=3),IF(Parameter!$E$27="Ja","LIFT",IF(CF1244=1,"L1","L23")),IF(CF1244="Aussen","Aussen","-"))</f>
        <v>LIFT</v>
      </c>
      <c r="CH1244" s="71" t="n">
        <f aca="false">IF(N(AC1244)&gt;0,AC1244,0)</f>
        <v>0</v>
      </c>
      <c r="CI1244" s="65" t="n">
        <f aca="false">IF(ISNUMBER(AF1244),1,0)</f>
        <v>0</v>
      </c>
      <c r="CJ1244" s="62" t="n">
        <f aca="false">N(AF1244)</f>
        <v>0</v>
      </c>
      <c r="CK1244" s="62" t="n">
        <f aca="false">N(M1244)+N(N1244)</f>
        <v>5</v>
      </c>
      <c r="CL1244" s="62" t="n">
        <f aca="false">N(M1244)</f>
        <v>0</v>
      </c>
      <c r="CM1244" s="62" t="n">
        <f aca="false">N(N1244)</f>
        <v>5</v>
      </c>
      <c r="CN1244" s="62" t="n">
        <f aca="false">ROUNDUP(H1244/BZ1244,0)</f>
        <v>0</v>
      </c>
      <c r="CO1244" s="62" t="n">
        <f aca="false">ROUNDUP(CJ1244/BZ1244,0)</f>
        <v>0</v>
      </c>
      <c r="CP1244" s="65" t="n">
        <f aca="false">IF(CA1244=1,0,IFERROR(VLOOKUP(BY1244,'Gebinde-Kategorie'!$A$5:$N$45,5,0)+0,0))</f>
        <v>11</v>
      </c>
      <c r="CQ1244" s="65" t="n">
        <f aca="false">IFERROR(IF(OR(CF1244=1,CF1244=2,CF1244=3),N(INDEX(Parameter!$I$5:$I$7,CF1244)),0),0)</f>
        <v>0</v>
      </c>
      <c r="CR1244" s="64" t="n">
        <f aca="false">IF(AND(Parameter!$B$21="Ja",ISNUMBER(W1244),N(X1244)&gt;0),IFERROR(N(INDEX(Parameter!$L$5:$L$7,W1244))*INDEX(Parameter!$E$5:$E$7,W1244)*X1244/SUMIFS($X$7:$X$1843,$W$7:$W$1843,W1244),0),0)</f>
        <v>0</v>
      </c>
      <c r="CS1244" s="62" t="str">
        <f aca="false">IF(AND(OR(CG1244="L1",CG1244="L23",CG1244="LIFT"),H1244&gt;0),CC1244*IF(CR1244&gt;0,CR1244*MAX(1,H1244/X1244),IF(CA1244=1,CE1244,IF(R1244&gt;0,CN1244/R1244,0))/MAX(0.1,N(Parameter!$M$21))),"")</f>
        <v/>
      </c>
      <c r="CT1244" s="64" t="str">
        <f aca="false">IF(CS1244="","",J1244/H1244)</f>
        <v/>
      </c>
      <c r="CU1244" s="62" t="str">
        <f aca="false">IF(CS1244="","",H1244*G1244)</f>
        <v/>
      </c>
      <c r="CV1244" s="63" t="str">
        <f aca="false">IF(CS1244="","",(CL1244+ROUNDUP(CL1244+MAX(CM1244,2*(J1244/MAX(0.1,N(Einkauf!$C$6))-CL1244)),0))/2)</f>
        <v/>
      </c>
      <c r="CW1244" s="62" t="str">
        <f aca="false">IF(CS1244="","",MAX(0,H1244-CV1244)*G1244)</f>
        <v/>
      </c>
      <c r="CX1244" s="62" t="str">
        <f aca="false">IF(CS1244="","",CS1244*MAX(0,1-CV1244/H1244))</f>
        <v/>
      </c>
      <c r="CY1244" s="64" t="str">
        <f aca="false">IF(CS1244="","",PERCENTRANK($CS$7:$CS$1843,CS1244)+PERCENTRANK($CU$7:$CU$1843,CU1244)+1-PERCENTRANK($CT$7:$CT$1843,CT1244))</f>
        <v/>
      </c>
      <c r="CZ1244" s="72" t="str">
        <f aca="false">IF(CS1244="","",CHOOSE(MATCH(Einkauf!$C$5,Parameter!$G$23:$G$27,0),CY1244,CS1244,CU1244,-CT1244,CW1244)+ROW()/1000000000)</f>
        <v/>
      </c>
    </row>
    <row r="1245" customFormat="false" ht="15" hidden="false" customHeight="false" outlineLevel="0" collapsed="false">
      <c r="A1245" s="60" t="s">
        <v>2267</v>
      </c>
      <c r="B1245" s="60" t="s">
        <v>2268</v>
      </c>
      <c r="C1245" s="60" t="s">
        <v>206</v>
      </c>
      <c r="D1245" s="60" t="s">
        <v>226</v>
      </c>
      <c r="E1245" s="60" t="s">
        <v>227</v>
      </c>
      <c r="F1245" s="60" t="s">
        <v>260</v>
      </c>
      <c r="G1245" s="61" t="n">
        <v>51.08</v>
      </c>
      <c r="H1245" s="62" t="n">
        <f aca="false">MAX(0,IF(AND(Parameter!$B$21="Ja",ISNUMBER(Y1245)),Y1245,IF(Parameter!$B$20="Jahresanfang 2025 + Export",BS1245+BR1245,BR1245)))</f>
        <v>53</v>
      </c>
      <c r="I1245" s="62" t="n">
        <f aca="false">H1245*G1245</f>
        <v>2707.24</v>
      </c>
      <c r="J1245" s="62" t="n">
        <f aca="false">BU1245*Parameter!$B$18</f>
        <v>5</v>
      </c>
      <c r="K1245" s="63" t="n">
        <v>63.5</v>
      </c>
      <c r="L1245" s="64" t="n">
        <v>0.078740157480315</v>
      </c>
      <c r="M1245" s="62" t="n">
        <v>0</v>
      </c>
      <c r="N1245" s="62" t="n">
        <v>5</v>
      </c>
      <c r="O1245" s="65" t="n">
        <v>21</v>
      </c>
      <c r="P1245" s="60" t="s">
        <v>268</v>
      </c>
      <c r="Q1245" s="62" t="n">
        <v>71</v>
      </c>
      <c r="R1245" s="65" t="n">
        <f aca="false">IF(CA1245=1,0,IFERROR(VLOOKUP(BY1245,'Gebinde-Kategorie'!$A$5:$N$45,13,0)+0,0))</f>
        <v>12</v>
      </c>
      <c r="S1245" s="66"/>
      <c r="T1245" s="67"/>
      <c r="U1245" s="67"/>
      <c r="V1245" s="67"/>
      <c r="W1245" s="60"/>
      <c r="X1245" s="62"/>
      <c r="Y1245" s="62"/>
      <c r="Z1245" s="60" t="n">
        <v>3</v>
      </c>
      <c r="AA1245" s="60" t="n">
        <f aca="false">IF(A1245="","",IF(AND(Parameter!$B$21="Ja",ISNUMBER(W1245)),W1245,IF(AND(Parameter!$E$27="Ja",ISNUMBER(Z1245),CD1245&lt;&gt;"Nein"),Z1245,IF(CD1245="2+3",IF(ISNUMBER(SEARCH("grosser Artikel",BV1245)),2,IFERROR(VLOOKUP(BY1245,Parameter!$F$35:$G$64,2,0),2)),IF(OR(CD1245="Nein",CD1245=""),"-",CD1245)))))</f>
        <v>3</v>
      </c>
      <c r="AB1245" s="67"/>
      <c r="AC1245" s="68"/>
      <c r="AD1245" s="62" t="n">
        <f aca="false">AW1245</f>
        <v>5</v>
      </c>
      <c r="AE1245" s="62" t="n">
        <f aca="false">MAX(AW1245,H1245)</f>
        <v>53</v>
      </c>
      <c r="AF1245" s="69"/>
      <c r="AG1245" s="62" t="n">
        <f aca="false">IF(LEFT(Cockpit!$C$5,1)="A",H1245,IF(Parameter!$E$30="MAX-Bestand",IF(CI1245=1,CJ1245,IF(LEFT(Cockpit!$C$5,1)="B",AM1245,MAX(AM1245,H1245))),ROUNDUP(AK1245,0)))</f>
        <v>53</v>
      </c>
      <c r="AH1245" s="62" t="n">
        <f aca="false">IF(CA1245=1,0,ROUNDUP(AG1245/BZ1245,0))</f>
        <v>1</v>
      </c>
      <c r="AI1245" s="64" t="n">
        <f aca="false">IF(CR1245&gt;0,CR1245*MAX(1,AG1245/X1245),IF(CA1245=1,IF(AG1245&lt;=0,0,CE1245*MAX(1,IF(H1245&gt;0,AG1245/H1245,1))),IF(R1245&gt;0,AH1245/R1245,0))/MAX(0.1,N(Parameter!$M$21)))</f>
        <v>0.0833333333333333</v>
      </c>
      <c r="AJ1245" s="62" t="n">
        <f aca="false">AI1245*CC1245</f>
        <v>28.75</v>
      </c>
      <c r="AK1245" s="63" t="n">
        <f aca="false">IF(LEFT(Cockpit!$C$5,1)="A",H1245,IF(CI1245=1,(CL1245+CJ1245)/2,IF(LEFT(Cockpit!$C$5,1)="B",(CL1245+AM1245)/2,MAX((CL1245+AM1245)/2,H1245))))</f>
        <v>53</v>
      </c>
      <c r="AL1245" s="62" t="n">
        <f aca="false">AK1245*G1245</f>
        <v>2707.24</v>
      </c>
      <c r="AM1245" s="62" t="n">
        <f aca="false">ROUNDUP(CL1245+MAX(CM1245,2*(J1245/IF(CH1245&gt;0,CH1245,MAX(0.1,N(Cockpit!$C$6)))-CL1245)),0)</f>
        <v>5</v>
      </c>
      <c r="AN1245" s="63" t="n">
        <f aca="false">IF(AJ1245&gt;0,J1245/AJ1245,-1)</f>
        <v>0.173913043478261</v>
      </c>
      <c r="AO1245" s="63" t="n">
        <f aca="false">IF(AND(OR(CG1245="L1",CG1245="L23",CG1245="LIFT"),AJ1245&gt;0),SUMIFS($AJ$7:$AJ$1843,$CG$7:$CG$1843,CG1245,$AN$7:$AN$1843,"&gt;"&amp;AN1245)+SUMIFS($AJ$7:$AJ$1843,$CG$7:$CG$1843,CG1245,$AN$7:$AN$1843,AN1245,$BX$7:$BX$1843,"&lt;="&amp;BX1245),"")</f>
        <v>12679.733720846</v>
      </c>
      <c r="AP1245" s="70" t="n">
        <f aca="false">IF(AO1245="",0,MAX(0,MIN(1,(IF(CG1245="L1",Parameter!$H$5,IF(CG1245="L23",Parameter!$H$6+Parameter!$H$7,Parameter!$H$5+Parameter!$H$6+Parameter!$H$7))-(AO1245-AJ1245))/AJ1245)))</f>
        <v>1</v>
      </c>
      <c r="AQ1245" s="62" t="n">
        <f aca="false">IF(LEFT(Cockpit!$I$5,1)="A",H1245,IF(Parameter!$E$30="MAX-Bestand",IF(CI1245=1,CJ1245,IF(LEFT(Cockpit!$I$5,1)="B",AW1245,MAX(AW1245,H1245))),ROUNDUP(AU1245,0)))</f>
        <v>53</v>
      </c>
      <c r="AR1245" s="62" t="n">
        <f aca="false">IF(CA1245=1,0,ROUNDUP(AQ1245/BZ1245,0))</f>
        <v>1</v>
      </c>
      <c r="AS1245" s="64" t="n">
        <f aca="false">IF(CR1245&gt;0,CR1245*MAX(1,AQ1245/X1245),IF(CA1245=1,IF(AQ1245&lt;=0,0,CE1245*MAX(1,IF(H1245&gt;0,AQ1245/H1245,1))),IF(R1245&gt;0,AR1245/R1245,0))/MAX(0.1,N(Parameter!$M$21)))</f>
        <v>0.0833333333333333</v>
      </c>
      <c r="AT1245" s="62" t="n">
        <f aca="false">AS1245*CC1245</f>
        <v>28.75</v>
      </c>
      <c r="AU1245" s="63" t="n">
        <f aca="false">IF(LEFT(Cockpit!$I$5,1)="A",H1245,IF(CI1245=1,(CL1245+CJ1245)/2,IF(LEFT(Cockpit!$I$5,1)="B",(CL1245+AW1245)/2,MAX((CL1245+AW1245)/2,H1245))))</f>
        <v>53</v>
      </c>
      <c r="AV1245" s="62" t="n">
        <f aca="false">AU1245*G1245</f>
        <v>2707.24</v>
      </c>
      <c r="AW1245" s="62" t="n">
        <f aca="false">ROUNDUP(CL1245+MAX(CM1245,2*(J1245/IF(CH1245&gt;0,CH1245,MAX(0.1,N(Cockpit!$I$6)))-CL1245)),0)</f>
        <v>5</v>
      </c>
      <c r="AX1245" s="63" t="n">
        <f aca="false">IF(AT1245&gt;0,J1245/AT1245,-1)</f>
        <v>0.173913043478261</v>
      </c>
      <c r="AY1245" s="63" t="n">
        <f aca="false">IF(AND(OR(CG1245="L1",CG1245="L23",CG1245="LIFT"),AT1245&gt;0),SUMIFS($AT$7:$AT$1843,$CG$7:$CG$1843,CG1245,$AX$7:$AX$1843,"&gt;"&amp;AX1245)+SUMIFS($AT$7:$AT$1843,$CG$7:$CG$1843,CG1245,$AX$7:$AX$1843,AX1245,$BX$7:$BX$1843,"&lt;="&amp;BX1245),"")</f>
        <v>15508.9913003663</v>
      </c>
      <c r="AZ1245" s="70" t="n">
        <f aca="false">IF(AY1245="",0,MAX(0,MIN(1,(IF(CG1245="L1",Parameter!$H$5,IF(CG1245="L23",Parameter!$H$6+Parameter!$H$7,Parameter!$H$5+Parameter!$H$6+Parameter!$H$7))-(AY1245-AT1245))/AT1245)))</f>
        <v>1</v>
      </c>
      <c r="BA1245" s="62" t="n">
        <f aca="false">IF(LEFT(Cockpit!$O$5,1)="A",H1245,IF(Parameter!$E$30="MAX-Bestand",IF(CI1245=1,CJ1245,IF(LEFT(Cockpit!$O$5,1)="B",BG1245,MAX(BG1245,H1245))),ROUNDUP(BE1245,0)))</f>
        <v>3</v>
      </c>
      <c r="BB1245" s="62" t="n">
        <f aca="false">IF(CA1245=1,0,ROUNDUP(BA1245/BZ1245,0))</f>
        <v>1</v>
      </c>
      <c r="BC1245" s="64" t="n">
        <f aca="false">IF(CR1245&gt;0,CR1245*MAX(1,BA1245/X1245),IF(CA1245=1,IF(BA1245&lt;=0,0,CE1245*MAX(1,IF(H1245&gt;0,BA1245/H1245,1))),IF(R1245&gt;0,BB1245/R1245,0))/MAX(0.1,N(Parameter!$M$21)))</f>
        <v>0.0833333333333333</v>
      </c>
      <c r="BD1245" s="62" t="n">
        <f aca="false">BC1245*CC1245</f>
        <v>28.75</v>
      </c>
      <c r="BE1245" s="63" t="n">
        <f aca="false">IF(LEFT(Cockpit!$O$5,1)="A",H1245,IF(CI1245=1,(CL1245+CJ1245)/2,IF(LEFT(Cockpit!$O$5,1)="B",(CL1245+BG1245)/2,MAX((CL1245+BG1245)/2,H1245))))</f>
        <v>2.5</v>
      </c>
      <c r="BF1245" s="62" t="n">
        <f aca="false">BE1245*G1245</f>
        <v>127.7</v>
      </c>
      <c r="BG1245" s="62" t="n">
        <f aca="false">ROUNDUP(CL1245+MAX(CM1245,2*(J1245/IF(CH1245&gt;0,CH1245,MAX(0.1,N(Cockpit!$O$6)))-CL1245)),0)</f>
        <v>5</v>
      </c>
      <c r="BH1245" s="63" t="n">
        <f aca="false">IF(BD1245&gt;0,J1245/BD1245,-1)</f>
        <v>0.173913043478261</v>
      </c>
      <c r="BI1245" s="63" t="n">
        <f aca="false">IF(AND(OR(CG1245="L1",CG1245="L23",CG1245="LIFT"),BD1245&gt;0),SUMIFS($BD$7:$BD$1843,$CG$7:$CG$1843,CG1245,$BH$7:$BH$1843,"&gt;"&amp;BH1245)+SUMIFS($BD$7:$BD$1843,$CG$7:$CG$1843,CG1245,$BH$7:$BH$1843,BH1245,$BX$7:$BX$1843,"&lt;="&amp;BX1245),"")</f>
        <v>13305.3295901368</v>
      </c>
      <c r="BJ1245" s="70" t="n">
        <f aca="false">IF(BI1245="",0,MAX(0,MIN(1,(IF(CG1245="L1",Parameter!$H$5,IF(CG1245="L23",Parameter!$H$6+Parameter!$H$7,Parameter!$H$5+Parameter!$H$6+Parameter!$H$7))-(BI1245-BD1245))/BD1245)))</f>
        <v>1</v>
      </c>
      <c r="BK1245" s="60" t="str">
        <f aca="false">IF(AJ1245&lt;=0,"",IF(CG1245="Aussen","Aussenlager",IF(CG1245="-","Nicht im Lift",IF(AP1245&gt;=1,"Lift",IF(AP1245&lt;=0,"Aussenlager","teilweise")))))</f>
        <v>Lift</v>
      </c>
      <c r="BL1245" s="60" t="str">
        <f aca="false">IF(AT1245&lt;=0,"",IF(CG1245="Aussen","Aussenlager",IF(CG1245="-","Nicht im Lift",IF(AZ1245&gt;=1,"Lift",IF(AZ1245&lt;=0,"Aussenlager","teilweise")))))</f>
        <v>Lift</v>
      </c>
      <c r="BM1245" s="60" t="str">
        <f aca="false">IF(BD1245&lt;=0,"",IF(CG1245="Aussen","Aussenlager",IF(CG1245="-","Nicht im Lift",IF(BJ1245&gt;=1,"Lift",IF(BJ1245&lt;=0,"Aussenlager","teilweise")))))</f>
        <v>Lift</v>
      </c>
      <c r="BN1245" s="60" t="str">
        <f aca="false">IF(A1245="","",IF(BW1245=1,"Neu; ","")&amp;IF(AND(BW1245=0,BR1245&lt;0),"negativer Bestand (Export "&amp;BR1245&amp;"); ","")&amp;IF(J1245&lt;=0,"Kein Verbrauch; ","")&amp;IF(CR1245&gt;0,"Lift "&amp;W1245&amp;" lt. Liftbericht (Fach "&amp;X1245&amp;" Stk); ",IF(CB1245=1,"Gebinde geschätzt ("&amp;T1245&amp;"); ",IF(CA1245=1,"Lose – Tablare geschätzt; ","")))&amp;IF(H1245&gt;AW1245,"Überbestand "&amp;ROUND(H1245-AW1245,0)&amp;" Stk / CHF "&amp;ROUND((H1245-AW1245)*G1245,0)&amp;"; ","")&amp;IF(AND(CI1245=1,CJ1245&lt;CK1245),"MAX &lt; MB+LG; ","")&amp;IF(AND(CQ1245&gt;0,CP1245*10&gt;CQ1245),"zu hoch für Tablar; ","")&amp;IF(AND(BW1245=0,OR(CI1245=1,AB1245&lt;&gt;"",U1245&lt;&gt;"",V1245&lt;&gt;"",AC1245&lt;&gt;"")),"manuell übersteuert; ","")&amp;IF(AND(CA1245=0,R1245=0),"Gebinde unbekannt / Stellmass fehlt; ","")&amp;IF(AND(CA1245=0,N(V1245)&lt;=0,N(Q1245)&lt;=0),"Menge pro Gebinde fehlt (Ist = 1 Gebinde); ","")&amp;BV1245)</f>
        <v>negativer Bestand (Export -14); Überbestand 48 Stk / CHF 2452; Überbestand; Braucht es diesen Artikel ?</v>
      </c>
      <c r="BO1245" s="60"/>
      <c r="BP1245" s="60"/>
      <c r="BQ1245" s="67"/>
      <c r="BR1245" s="62" t="n">
        <v>-14</v>
      </c>
      <c r="BS1245" s="62" t="n">
        <v>67</v>
      </c>
      <c r="BT1245" s="61" t="n">
        <v>-715.12</v>
      </c>
      <c r="BU1245" s="62" t="n">
        <v>5</v>
      </c>
      <c r="BV1245" s="60" t="s">
        <v>2269</v>
      </c>
      <c r="BW1245" s="65" t="n">
        <v>0</v>
      </c>
      <c r="BX1245" s="65" t="n">
        <v>1245</v>
      </c>
      <c r="BY1245" s="60" t="str">
        <f aca="false">IF(U1245&lt;&gt;"",UPPER(TRIM(U1245)),IF(CB1245=1,UPPER(VLOOKUP(T1245,Parameter!$I$27:$K$29,2,0)),IF(P1245="","LOSE",P1245)))</f>
        <v>S63</v>
      </c>
      <c r="BZ1245" s="62" t="n">
        <f aca="false">IF(BY1245="LOSE",1,IF(N(V1245)&gt;0,V1245,IF(CB1245=1,MAX(1,N(VLOOKUP(T1245,Parameter!$I$27:$K$29,3,0)),H1245,N(N1245)),IF(N(Q1245)&gt;0,Q1245,MAX(1,H1245)))))</f>
        <v>71</v>
      </c>
      <c r="CA1245" s="65" t="n">
        <f aca="false">IF(BY1245="LOSE",1,0)</f>
        <v>0</v>
      </c>
      <c r="CB1245" s="65" t="n">
        <f aca="false">IF(AND(U1245="",OR(P1245="",P1245="LOSE"),T1245&lt;&gt;"",N(S1245)&lt;=0,ISNUMBER(MATCH(T1245,Parameter!$I$27:$I$29,0))),1,0)</f>
        <v>0</v>
      </c>
      <c r="CC1245" s="65" t="n">
        <f aca="false">IF(CR1245&gt;0,INDEX(Parameter!$H$5:$H$7,W1245)/INDEX(Parameter!$E$5:$E$7,W1245),IF(AND(CA1245=0,N(IFERROR(VLOOKUP(BY1245,'Gebinde-Kategorie'!$A$5:$N$45,14,0),0))&gt;0),VLOOKUP(BY1245,'Gebinde-Kategorie'!$A$5:$N$45,14,0)*10+Parameter!$M$23,Parameter!$M$24))</f>
        <v>345</v>
      </c>
      <c r="CD1245" s="60" t="str">
        <f aca="false">IF(AND(Parameter!$B$19="Ja",E1245&lt;&gt;"",ISNUMBER(MATCH(E1245,Parameter!$I$35:$I$52,0))),VLOOKUP(E1245,Parameter!$I$35:$J$52,2,0),IFERROR(VLOOKUP(D1245,Parameter!$A$35:$C$64,2,0),"Nein"))</f>
        <v>2+3</v>
      </c>
      <c r="CE1245" s="64" t="n">
        <f aca="false">IF(CA1245=0,0,IF(N(S1245)&gt;0,S1245,IFERROR(VLOOKUP(D1245,Parameter!$A$35:$C$64,3,0)+0,0)))</f>
        <v>0</v>
      </c>
      <c r="CF1245" s="60" t="n">
        <f aca="false">IF(AB1245&lt;&gt;"",AB1245,AA1245)</f>
        <v>3</v>
      </c>
      <c r="CG1245" s="60" t="str">
        <f aca="false">IF(OR(CF1245=1,CF1245=2,CF1245=3),IF(Parameter!$E$27="Ja","LIFT",IF(CF1245=1,"L1","L23")),IF(CF1245="Aussen","Aussen","-"))</f>
        <v>LIFT</v>
      </c>
      <c r="CH1245" s="71" t="n">
        <f aca="false">IF(N(AC1245)&gt;0,AC1245,0)</f>
        <v>0</v>
      </c>
      <c r="CI1245" s="65" t="n">
        <f aca="false">IF(ISNUMBER(AF1245),1,0)</f>
        <v>0</v>
      </c>
      <c r="CJ1245" s="62" t="n">
        <f aca="false">N(AF1245)</f>
        <v>0</v>
      </c>
      <c r="CK1245" s="62" t="n">
        <f aca="false">N(M1245)+N(N1245)</f>
        <v>5</v>
      </c>
      <c r="CL1245" s="62" t="n">
        <f aca="false">N(M1245)</f>
        <v>0</v>
      </c>
      <c r="CM1245" s="62" t="n">
        <f aca="false">N(N1245)</f>
        <v>5</v>
      </c>
      <c r="CN1245" s="62" t="n">
        <f aca="false">ROUNDUP(H1245/BZ1245,0)</f>
        <v>1</v>
      </c>
      <c r="CO1245" s="62" t="n">
        <f aca="false">ROUNDUP(CJ1245/BZ1245,0)</f>
        <v>0</v>
      </c>
      <c r="CP1245" s="65" t="n">
        <f aca="false">IF(CA1245=1,0,IFERROR(VLOOKUP(BY1245,'Gebinde-Kategorie'!$A$5:$N$45,5,0)+0,0))</f>
        <v>31</v>
      </c>
      <c r="CQ1245" s="65" t="n">
        <f aca="false">IFERROR(IF(OR(CF1245=1,CF1245=2,CF1245=3),N(INDEX(Parameter!$I$5:$I$7,CF1245)),0),0)</f>
        <v>0</v>
      </c>
      <c r="CR1245" s="64" t="n">
        <f aca="false">IF(AND(Parameter!$B$21="Ja",ISNUMBER(W1245),N(X1245)&gt;0),IFERROR(N(INDEX(Parameter!$L$5:$L$7,W1245))*INDEX(Parameter!$E$5:$E$7,W1245)*X1245/SUMIFS($X$7:$X$1843,$W$7:$W$1843,W1245),0),0)</f>
        <v>0</v>
      </c>
      <c r="CS1245" s="62" t="n">
        <f aca="false">IF(AND(OR(CG1245="L1",CG1245="L23",CG1245="LIFT"),H1245&gt;0),CC1245*IF(CR1245&gt;0,CR1245*MAX(1,H1245/X1245),IF(CA1245=1,CE1245,IF(R1245&gt;0,CN1245/R1245,0))/MAX(0.1,N(Parameter!$M$21))),"")</f>
        <v>28.75</v>
      </c>
      <c r="CT1245" s="64" t="n">
        <f aca="false">IF(CS1245="","",J1245/H1245)</f>
        <v>0.0943396226415094</v>
      </c>
      <c r="CU1245" s="62" t="n">
        <f aca="false">IF(CS1245="","",H1245*G1245)</f>
        <v>2707.24</v>
      </c>
      <c r="CV1245" s="63" t="n">
        <f aca="false">IF(CS1245="","",(CL1245+ROUNDUP(CL1245+MAX(CM1245,2*(J1245/MAX(0.1,N(Einkauf!$C$6))-CL1245)),0))/2)</f>
        <v>2.5</v>
      </c>
      <c r="CW1245" s="62" t="n">
        <f aca="false">IF(CS1245="","",MAX(0,H1245-CV1245)*G1245)</f>
        <v>2579.54</v>
      </c>
      <c r="CX1245" s="62" t="n">
        <f aca="false">IF(CS1245="","",CS1245*MAX(0,1-CV1245/H1245))</f>
        <v>27.3938679245283</v>
      </c>
      <c r="CY1245" s="64" t="n">
        <f aca="false">IF(CS1245="","",PERCENTRANK($CS$7:$CS$1843,CS1245)+PERCENTRANK($CU$7:$CU$1843,CU1245)+1-PERCENTRANK($CT$7:$CT$1843,CT1245))</f>
        <v>2.212</v>
      </c>
      <c r="CZ1245" s="72" t="n">
        <f aca="false">IF(CS1245="","",CHOOSE(MATCH(Einkauf!$C$5,Parameter!$G$23:$G$27,0),CY1245,CS1245,CU1245,-CT1245,CW1245)+ROW()/1000000000)</f>
        <v>2.212001245</v>
      </c>
    </row>
    <row r="1246" customFormat="false" ht="15" hidden="false" customHeight="false" outlineLevel="0" collapsed="false">
      <c r="A1246" s="60" t="s">
        <v>2270</v>
      </c>
      <c r="B1246" s="60" t="s">
        <v>2271</v>
      </c>
      <c r="C1246" s="60" t="s">
        <v>498</v>
      </c>
      <c r="D1246" s="60" t="s">
        <v>215</v>
      </c>
      <c r="E1246" s="60" t="s">
        <v>1521</v>
      </c>
      <c r="F1246" s="60" t="s">
        <v>260</v>
      </c>
      <c r="G1246" s="61" t="n">
        <v>72.6</v>
      </c>
      <c r="H1246" s="62" t="n">
        <f aca="false">MAX(0,IF(AND(Parameter!$B$21="Ja",ISNUMBER(Y1246)),Y1246,IF(Parameter!$B$20="Jahresanfang 2025 + Export",BS1246+BR1246,BR1246)))</f>
        <v>0</v>
      </c>
      <c r="I1246" s="62" t="n">
        <f aca="false">H1246*G1246</f>
        <v>0</v>
      </c>
      <c r="J1246" s="62" t="n">
        <f aca="false">BU1246*Parameter!$B$18</f>
        <v>0</v>
      </c>
      <c r="K1246" s="63" t="n">
        <v>5</v>
      </c>
      <c r="L1246" s="64" t="n">
        <v>0</v>
      </c>
      <c r="M1246" s="62" t="n">
        <v>0</v>
      </c>
      <c r="N1246" s="62" t="n">
        <v>1</v>
      </c>
      <c r="O1246" s="65" t="n">
        <v>56</v>
      </c>
      <c r="P1246" s="60" t="s">
        <v>210</v>
      </c>
      <c r="Q1246" s="62"/>
      <c r="R1246" s="65" t="n">
        <f aca="false">IF(CA1246=1,0,IFERROR(VLOOKUP(BY1246,'Gebinde-Kategorie'!$A$5:$N$45,13,0)+0,0))</f>
        <v>4</v>
      </c>
      <c r="S1246" s="66"/>
      <c r="T1246" s="67" t="s">
        <v>231</v>
      </c>
      <c r="U1246" s="67"/>
      <c r="V1246" s="67"/>
      <c r="W1246" s="60"/>
      <c r="X1246" s="62"/>
      <c r="Y1246" s="62"/>
      <c r="Z1246" s="60"/>
      <c r="AA1246" s="60" t="str">
        <f aca="false">IF(A1246="","",IF(AND(Parameter!$B$21="Ja",ISNUMBER(W1246)),W1246,IF(AND(Parameter!$E$27="Ja",ISNUMBER(Z1246),CD1246&lt;&gt;"Nein"),Z1246,IF(CD1246="2+3",IF(ISNUMBER(SEARCH("grosser Artikel",BV1246)),2,IFERROR(VLOOKUP(BY1246,Parameter!$F$35:$G$64,2,0),2)),IF(OR(CD1246="Nein",CD1246=""),"-",CD1246)))))</f>
        <v>-</v>
      </c>
      <c r="AB1246" s="67"/>
      <c r="AC1246" s="68"/>
      <c r="AD1246" s="62" t="n">
        <f aca="false">AW1246</f>
        <v>1</v>
      </c>
      <c r="AE1246" s="62" t="n">
        <f aca="false">MAX(AW1246,H1246)</f>
        <v>1</v>
      </c>
      <c r="AF1246" s="69"/>
      <c r="AG1246" s="62" t="n">
        <f aca="false">IF(LEFT(Cockpit!$C$5,1)="A",H1246,IF(Parameter!$E$30="MAX-Bestand",IF(CI1246=1,CJ1246,IF(LEFT(Cockpit!$C$5,1)="B",AM1246,MAX(AM1246,H1246))),ROUNDUP(AK1246,0)))</f>
        <v>0</v>
      </c>
      <c r="AH1246" s="62" t="n">
        <f aca="false">IF(CA1246=1,0,ROUNDUP(AG1246/BZ1246,0))</f>
        <v>0</v>
      </c>
      <c r="AI1246" s="64" t="n">
        <f aca="false">IF(CR1246&gt;0,CR1246*MAX(1,AG1246/X1246),IF(CA1246=1,IF(AG1246&lt;=0,0,CE1246*MAX(1,IF(H1246&gt;0,AG1246/H1246,1))),IF(R1246&gt;0,AH1246/R1246,0))/MAX(0.1,N(Parameter!$M$21)))</f>
        <v>0</v>
      </c>
      <c r="AJ1246" s="62" t="n">
        <f aca="false">AI1246*CC1246</f>
        <v>0</v>
      </c>
      <c r="AK1246" s="63" t="n">
        <f aca="false">IF(LEFT(Cockpit!$C$5,1)="A",H1246,IF(CI1246=1,(CL1246+CJ1246)/2,IF(LEFT(Cockpit!$C$5,1)="B",(CL1246+AM1246)/2,MAX((CL1246+AM1246)/2,H1246))))</f>
        <v>0</v>
      </c>
      <c r="AL1246" s="62" t="n">
        <f aca="false">AK1246*G1246</f>
        <v>0</v>
      </c>
      <c r="AM1246" s="62" t="n">
        <f aca="false">ROUNDUP(CL1246+MAX(CM1246,2*(J1246/IF(CH1246&gt;0,CH1246,MAX(0.1,N(Cockpit!$C$6)))-CL1246)),0)</f>
        <v>1</v>
      </c>
      <c r="AN1246" s="63" t="n">
        <f aca="false">IF(AJ1246&gt;0,J1246/AJ1246,-1)</f>
        <v>-1</v>
      </c>
      <c r="AO1246" s="63" t="str">
        <f aca="false">IF(AND(OR(CG1246="L1",CG1246="L23",CG1246="LIFT"),AJ1246&gt;0),SUMIFS($AJ$7:$AJ$1843,$CG$7:$CG$1843,CG1246,$AN$7:$AN$1843,"&gt;"&amp;AN1246)+SUMIFS($AJ$7:$AJ$1843,$CG$7:$CG$1843,CG1246,$AN$7:$AN$1843,AN1246,$BX$7:$BX$1843,"&lt;="&amp;BX1246),"")</f>
        <v/>
      </c>
      <c r="AP1246" s="70" t="n">
        <f aca="false">IF(AO1246="",0,MAX(0,MIN(1,(IF(CG1246="L1",Parameter!$H$5,IF(CG1246="L23",Parameter!$H$6+Parameter!$H$7,Parameter!$H$5+Parameter!$H$6+Parameter!$H$7))-(AO1246-AJ1246))/AJ1246)))</f>
        <v>0</v>
      </c>
      <c r="AQ1246" s="62" t="n">
        <f aca="false">IF(LEFT(Cockpit!$I$5,1)="A",H1246,IF(Parameter!$E$30="MAX-Bestand",IF(CI1246=1,CJ1246,IF(LEFT(Cockpit!$I$5,1)="B",AW1246,MAX(AW1246,H1246))),ROUNDUP(AU1246,0)))</f>
        <v>1</v>
      </c>
      <c r="AR1246" s="62" t="n">
        <f aca="false">IF(CA1246=1,0,ROUNDUP(AQ1246/BZ1246,0))</f>
        <v>1</v>
      </c>
      <c r="AS1246" s="64" t="n">
        <f aca="false">IF(CR1246&gt;0,CR1246*MAX(1,AQ1246/X1246),IF(CA1246=1,IF(AQ1246&lt;=0,0,CE1246*MAX(1,IF(H1246&gt;0,AQ1246/H1246,1))),IF(R1246&gt;0,AR1246/R1246,0))/MAX(0.1,N(Parameter!$M$21)))</f>
        <v>0.25</v>
      </c>
      <c r="AT1246" s="62" t="n">
        <f aca="false">AS1246*CC1246</f>
        <v>58.75</v>
      </c>
      <c r="AU1246" s="63" t="n">
        <f aca="false">IF(LEFT(Cockpit!$I$5,1)="A",H1246,IF(CI1246=1,(CL1246+CJ1246)/2,IF(LEFT(Cockpit!$I$5,1)="B",(CL1246+AW1246)/2,MAX((CL1246+AW1246)/2,H1246))))</f>
        <v>0.5</v>
      </c>
      <c r="AV1246" s="62" t="n">
        <f aca="false">AU1246*G1246</f>
        <v>36.3</v>
      </c>
      <c r="AW1246" s="62" t="n">
        <f aca="false">ROUNDUP(CL1246+MAX(CM1246,2*(J1246/IF(CH1246&gt;0,CH1246,MAX(0.1,N(Cockpit!$I$6)))-CL1246)),0)</f>
        <v>1</v>
      </c>
      <c r="AX1246" s="63" t="n">
        <f aca="false">IF(AT1246&gt;0,J1246/AT1246,-1)</f>
        <v>0</v>
      </c>
      <c r="AY1246" s="63" t="str">
        <f aca="false">IF(AND(OR(CG1246="L1",CG1246="L23",CG1246="LIFT"),AT1246&gt;0),SUMIFS($AT$7:$AT$1843,$CG$7:$CG$1843,CG1246,$AX$7:$AX$1843,"&gt;"&amp;AX1246)+SUMIFS($AT$7:$AT$1843,$CG$7:$CG$1843,CG1246,$AX$7:$AX$1843,AX1246,$BX$7:$BX$1843,"&lt;="&amp;BX1246),"")</f>
        <v/>
      </c>
      <c r="AZ1246" s="70" t="n">
        <f aca="false">IF(AY1246="",0,MAX(0,MIN(1,(IF(CG1246="L1",Parameter!$H$5,IF(CG1246="L23",Parameter!$H$6+Parameter!$H$7,Parameter!$H$5+Parameter!$H$6+Parameter!$H$7))-(AY1246-AT1246))/AT1246)))</f>
        <v>0</v>
      </c>
      <c r="BA1246" s="62" t="n">
        <f aca="false">IF(LEFT(Cockpit!$O$5,1)="A",H1246,IF(Parameter!$E$30="MAX-Bestand",IF(CI1246=1,CJ1246,IF(LEFT(Cockpit!$O$5,1)="B",BG1246,MAX(BG1246,H1246))),ROUNDUP(BE1246,0)))</f>
        <v>1</v>
      </c>
      <c r="BB1246" s="62" t="n">
        <f aca="false">IF(CA1246=1,0,ROUNDUP(BA1246/BZ1246,0))</f>
        <v>1</v>
      </c>
      <c r="BC1246" s="64" t="n">
        <f aca="false">IF(CR1246&gt;0,CR1246*MAX(1,BA1246/X1246),IF(CA1246=1,IF(BA1246&lt;=0,0,CE1246*MAX(1,IF(H1246&gt;0,BA1246/H1246,1))),IF(R1246&gt;0,BB1246/R1246,0))/MAX(0.1,N(Parameter!$M$21)))</f>
        <v>0.25</v>
      </c>
      <c r="BD1246" s="62" t="n">
        <f aca="false">BC1246*CC1246</f>
        <v>58.75</v>
      </c>
      <c r="BE1246" s="63" t="n">
        <f aca="false">IF(LEFT(Cockpit!$O$5,1)="A",H1246,IF(CI1246=1,(CL1246+CJ1246)/2,IF(LEFT(Cockpit!$O$5,1)="B",(CL1246+BG1246)/2,MAX((CL1246+BG1246)/2,H1246))))</f>
        <v>0.5</v>
      </c>
      <c r="BF1246" s="62" t="n">
        <f aca="false">BE1246*G1246</f>
        <v>36.3</v>
      </c>
      <c r="BG1246" s="62" t="n">
        <f aca="false">ROUNDUP(CL1246+MAX(CM1246,2*(J1246/IF(CH1246&gt;0,CH1246,MAX(0.1,N(Cockpit!$O$6)))-CL1246)),0)</f>
        <v>1</v>
      </c>
      <c r="BH1246" s="63" t="n">
        <f aca="false">IF(BD1246&gt;0,J1246/BD1246,-1)</f>
        <v>0</v>
      </c>
      <c r="BI1246" s="63" t="str">
        <f aca="false">IF(AND(OR(CG1246="L1",CG1246="L23",CG1246="LIFT"),BD1246&gt;0),SUMIFS($BD$7:$BD$1843,$CG$7:$CG$1843,CG1246,$BH$7:$BH$1843,"&gt;"&amp;BH1246)+SUMIFS($BD$7:$BD$1843,$CG$7:$CG$1843,CG1246,$BH$7:$BH$1843,BH1246,$BX$7:$BX$1843,"&lt;="&amp;BX1246),"")</f>
        <v/>
      </c>
      <c r="BJ1246" s="70" t="n">
        <f aca="false">IF(BI1246="",0,MAX(0,MIN(1,(IF(CG1246="L1",Parameter!$H$5,IF(CG1246="L23",Parameter!$H$6+Parameter!$H$7,Parameter!$H$5+Parameter!$H$6+Parameter!$H$7))-(BI1246-BD1246))/BD1246)))</f>
        <v>0</v>
      </c>
      <c r="BK1246" s="60" t="str">
        <f aca="false">IF(AJ1246&lt;=0,"",IF(CG1246="Aussen","Aussenlager",IF(CG1246="-","Nicht im Lift",IF(AP1246&gt;=1,"Lift",IF(AP1246&lt;=0,"Aussenlager","teilweise")))))</f>
        <v/>
      </c>
      <c r="BL1246" s="60" t="str">
        <f aca="false">IF(AT1246&lt;=0,"",IF(CG1246="Aussen","Aussenlager",IF(CG1246="-","Nicht im Lift",IF(AZ1246&gt;=1,"Lift",IF(AZ1246&lt;=0,"Aussenlager","teilweise")))))</f>
        <v>Nicht im Lift</v>
      </c>
      <c r="BM1246" s="60" t="str">
        <f aca="false">IF(BD1246&lt;=0,"",IF(CG1246="Aussen","Aussenlager",IF(CG1246="-","Nicht im Lift",IF(BJ1246&gt;=1,"Lift",IF(BJ1246&lt;=0,"Aussenlager","teilweise")))))</f>
        <v>Nicht im Lift</v>
      </c>
      <c r="BN1246" s="60" t="str">
        <f aca="false">IF(A1246="","",IF(BW1246=1,"Neu; ","")&amp;IF(AND(BW1246=0,BR1246&lt;0),"negativer Bestand (Export "&amp;BR1246&amp;"); ","")&amp;IF(J1246&lt;=0,"Kein Verbrauch; ","")&amp;IF(CR1246&gt;0,"Lift "&amp;W1246&amp;" lt. Liftbericht (Fach "&amp;X1246&amp;" Stk); ",IF(CB1246=1,"Gebinde geschätzt ("&amp;T1246&amp;"); ",IF(CA1246=1,"Lose – Tablare geschätzt; ","")))&amp;IF(H1246&gt;AW1246,"Überbestand "&amp;ROUND(H1246-AW1246,0)&amp;" Stk / CHF "&amp;ROUND((H1246-AW1246)*G1246,0)&amp;"; ","")&amp;IF(AND(CI1246=1,CJ1246&lt;CK1246),"MAX &lt; MB+LG; ","")&amp;IF(AND(CQ1246&gt;0,CP1246*10&gt;CQ1246),"zu hoch für Tablar; ","")&amp;IF(AND(BW1246=0,OR(CI1246=1,AB1246&lt;&gt;"",U1246&lt;&gt;"",V1246&lt;&gt;"",AC1246&lt;&gt;"")),"manuell übersteuert; ","")&amp;IF(AND(CA1246=0,R1246=0),"Gebinde unbekannt / Stellmass fehlt; ","")&amp;IF(AND(CA1246=0,N(V1246)&lt;=0,N(Q1246)&lt;=0),"Menge pro Gebinde fehlt (Ist = 1 Gebinde); ","")&amp;BV1246)</f>
        <v>negativer Bestand (Export -10); Kein Verbrauch; Gebinde geschätzt (Gross); Menge pro Gebinde fehlt (Ist = 1 Gebinde); Neu</v>
      </c>
      <c r="BO1246" s="60"/>
      <c r="BP1246" s="60"/>
      <c r="BQ1246" s="67"/>
      <c r="BR1246" s="62" t="n">
        <v>-10</v>
      </c>
      <c r="BS1246" s="62" t="n">
        <v>10</v>
      </c>
      <c r="BT1246" s="61" t="n">
        <v>-726</v>
      </c>
      <c r="BU1246" s="62" t="n">
        <v>0</v>
      </c>
      <c r="BV1246" s="60" t="s">
        <v>668</v>
      </c>
      <c r="BW1246" s="65" t="n">
        <v>0</v>
      </c>
      <c r="BX1246" s="65" t="n">
        <v>1246</v>
      </c>
      <c r="BY1246" s="60" t="str">
        <f aca="false">IF(U1246&lt;&gt;"",UPPER(TRIM(U1246)),IF(CB1246=1,UPPER(VLOOKUP(T1246,Parameter!$I$27:$K$29,2,0)),IF(P1246="","LOSE",P1246)))</f>
        <v>S81</v>
      </c>
      <c r="BZ1246" s="62" t="n">
        <f aca="false">IF(BY1246="LOSE",1,IF(N(V1246)&gt;0,V1246,IF(CB1246=1,MAX(1,N(VLOOKUP(T1246,Parameter!$I$27:$K$29,3,0)),H1246,N(N1246)),IF(N(Q1246)&gt;0,Q1246,MAX(1,H1246)))))</f>
        <v>2</v>
      </c>
      <c r="CA1246" s="65" t="n">
        <f aca="false">IF(BY1246="LOSE",1,0)</f>
        <v>0</v>
      </c>
      <c r="CB1246" s="65" t="n">
        <f aca="false">IF(AND(U1246="",OR(P1246="",P1246="LOSE"),T1246&lt;&gt;"",N(S1246)&lt;=0,ISNUMBER(MATCH(T1246,Parameter!$I$27:$I$29,0))),1,0)</f>
        <v>1</v>
      </c>
      <c r="CC1246" s="65" t="n">
        <f aca="false">IF(CR1246&gt;0,INDEX(Parameter!$H$5:$H$7,W1246)/INDEX(Parameter!$E$5:$E$7,W1246),IF(AND(CA1246=0,N(IFERROR(VLOOKUP(BY1246,'Gebinde-Kategorie'!$A$5:$N$45,14,0),0))&gt;0),VLOOKUP(BY1246,'Gebinde-Kategorie'!$A$5:$N$45,14,0)*10+Parameter!$M$23,Parameter!$M$24))</f>
        <v>235</v>
      </c>
      <c r="CD1246" s="60" t="str">
        <f aca="false">IF(AND(Parameter!$B$19="Ja",E1246&lt;&gt;"",ISNUMBER(MATCH(E1246,Parameter!$I$35:$I$52,0))),VLOOKUP(E1246,Parameter!$I$35:$J$52,2,0),IFERROR(VLOOKUP(D1246,Parameter!$A$35:$C$64,2,0),"Nein"))</f>
        <v>Nein</v>
      </c>
      <c r="CE1246" s="64" t="n">
        <f aca="false">IF(CA1246=0,0,IF(N(S1246)&gt;0,S1246,IFERROR(VLOOKUP(D1246,Parameter!$A$35:$C$64,3,0)+0,0)))</f>
        <v>0</v>
      </c>
      <c r="CF1246" s="60" t="str">
        <f aca="false">IF(AB1246&lt;&gt;"",AB1246,AA1246)</f>
        <v>-</v>
      </c>
      <c r="CG1246" s="60" t="str">
        <f aca="false">IF(OR(CF1246=1,CF1246=2,CF1246=3),IF(Parameter!$E$27="Ja","LIFT",IF(CF1246=1,"L1","L23")),IF(CF1246="Aussen","Aussen","-"))</f>
        <v>-</v>
      </c>
      <c r="CH1246" s="71" t="n">
        <f aca="false">IF(N(AC1246)&gt;0,AC1246,0)</f>
        <v>0</v>
      </c>
      <c r="CI1246" s="65" t="n">
        <f aca="false">IF(ISNUMBER(AF1246),1,0)</f>
        <v>0</v>
      </c>
      <c r="CJ1246" s="62" t="n">
        <f aca="false">N(AF1246)</f>
        <v>0</v>
      </c>
      <c r="CK1246" s="62" t="n">
        <f aca="false">N(M1246)+N(N1246)</f>
        <v>1</v>
      </c>
      <c r="CL1246" s="62" t="n">
        <f aca="false">N(M1246)</f>
        <v>0</v>
      </c>
      <c r="CM1246" s="62" t="n">
        <f aca="false">N(N1246)</f>
        <v>1</v>
      </c>
      <c r="CN1246" s="62" t="n">
        <f aca="false">ROUNDUP(H1246/BZ1246,0)</f>
        <v>0</v>
      </c>
      <c r="CO1246" s="62" t="n">
        <f aca="false">ROUNDUP(CJ1246/BZ1246,0)</f>
        <v>0</v>
      </c>
      <c r="CP1246" s="65" t="n">
        <f aca="false">IF(CA1246=1,0,IFERROR(VLOOKUP(BY1246,'Gebinde-Kategorie'!$A$5:$N$45,5,0)+0,0))</f>
        <v>20</v>
      </c>
      <c r="CQ1246" s="65" t="n">
        <f aca="false">IFERROR(IF(OR(CF1246=1,CF1246=2,CF1246=3),N(INDEX(Parameter!$I$5:$I$7,CF1246)),0),0)</f>
        <v>0</v>
      </c>
      <c r="CR1246" s="64" t="n">
        <f aca="false">IF(AND(Parameter!$B$21="Ja",ISNUMBER(W1246),N(X1246)&gt;0),IFERROR(N(INDEX(Parameter!$L$5:$L$7,W1246))*INDEX(Parameter!$E$5:$E$7,W1246)*X1246/SUMIFS($X$7:$X$1843,$W$7:$W$1843,W1246),0),0)</f>
        <v>0</v>
      </c>
      <c r="CS1246" s="62" t="str">
        <f aca="false">IF(AND(OR(CG1246="L1",CG1246="L23",CG1246="LIFT"),H1246&gt;0),CC1246*IF(CR1246&gt;0,CR1246*MAX(1,H1246/X1246),IF(CA1246=1,CE1246,IF(R1246&gt;0,CN1246/R1246,0))/MAX(0.1,N(Parameter!$M$21))),"")</f>
        <v/>
      </c>
      <c r="CT1246" s="64" t="str">
        <f aca="false">IF(CS1246="","",J1246/H1246)</f>
        <v/>
      </c>
      <c r="CU1246" s="62" t="str">
        <f aca="false">IF(CS1246="","",H1246*G1246)</f>
        <v/>
      </c>
      <c r="CV1246" s="63" t="str">
        <f aca="false">IF(CS1246="","",(CL1246+ROUNDUP(CL1246+MAX(CM1246,2*(J1246/MAX(0.1,N(Einkauf!$C$6))-CL1246)),0))/2)</f>
        <v/>
      </c>
      <c r="CW1246" s="62" t="str">
        <f aca="false">IF(CS1246="","",MAX(0,H1246-CV1246)*G1246)</f>
        <v/>
      </c>
      <c r="CX1246" s="62" t="str">
        <f aca="false">IF(CS1246="","",CS1246*MAX(0,1-CV1246/H1246))</f>
        <v/>
      </c>
      <c r="CY1246" s="64" t="str">
        <f aca="false">IF(CS1246="","",PERCENTRANK($CS$7:$CS$1843,CS1246)+PERCENTRANK($CU$7:$CU$1843,CU1246)+1-PERCENTRANK($CT$7:$CT$1843,CT1246))</f>
        <v/>
      </c>
      <c r="CZ1246" s="72" t="str">
        <f aca="false">IF(CS1246="","",CHOOSE(MATCH(Einkauf!$C$5,Parameter!$G$23:$G$27,0),CY1246,CS1246,CU1246,-CT1246,CW1246)+ROW()/1000000000)</f>
        <v/>
      </c>
    </row>
    <row r="1247" customFormat="false" ht="15" hidden="false" customHeight="false" outlineLevel="0" collapsed="false">
      <c r="A1247" s="60" t="s">
        <v>2272</v>
      </c>
      <c r="B1247" s="60" t="s">
        <v>2273</v>
      </c>
      <c r="C1247" s="60" t="s">
        <v>206</v>
      </c>
      <c r="D1247" s="60" t="s">
        <v>226</v>
      </c>
      <c r="E1247" s="60" t="s">
        <v>227</v>
      </c>
      <c r="F1247" s="60" t="s">
        <v>260</v>
      </c>
      <c r="G1247" s="61" t="n">
        <v>731.7</v>
      </c>
      <c r="H1247" s="62" t="n">
        <f aca="false">MAX(0,IF(AND(Parameter!$B$21="Ja",ISNUMBER(Y1247)),Y1247,IF(Parameter!$B$20="Jahresanfang 2025 + Export",BS1247+BR1247,BR1247)))</f>
        <v>4</v>
      </c>
      <c r="I1247" s="62" t="n">
        <f aca="false">H1247*G1247</f>
        <v>2926.8</v>
      </c>
      <c r="J1247" s="62" t="n">
        <f aca="false">BU1247*Parameter!$B$18</f>
        <v>0</v>
      </c>
      <c r="K1247" s="63" t="n">
        <v>5</v>
      </c>
      <c r="L1247" s="64" t="n">
        <v>0</v>
      </c>
      <c r="M1247" s="62" t="n">
        <v>0</v>
      </c>
      <c r="N1247" s="62" t="n">
        <v>1</v>
      </c>
      <c r="O1247" s="65" t="n">
        <v>14</v>
      </c>
      <c r="P1247" s="60" t="s">
        <v>275</v>
      </c>
      <c r="Q1247" s="62" t="n">
        <v>4</v>
      </c>
      <c r="R1247" s="65" t="n">
        <f aca="false">IF(CA1247=1,0,IFERROR(VLOOKUP(BY1247,'Gebinde-Kategorie'!$A$5:$N$45,13,0)+0,0))</f>
        <v>26</v>
      </c>
      <c r="S1247" s="66"/>
      <c r="T1247" s="67"/>
      <c r="U1247" s="67"/>
      <c r="V1247" s="67"/>
      <c r="W1247" s="60"/>
      <c r="X1247" s="62"/>
      <c r="Y1247" s="62"/>
      <c r="Z1247" s="60" t="n">
        <v>3</v>
      </c>
      <c r="AA1247" s="60" t="n">
        <f aca="false">IF(A1247="","",IF(AND(Parameter!$B$21="Ja",ISNUMBER(W1247)),W1247,IF(AND(Parameter!$E$27="Ja",ISNUMBER(Z1247),CD1247&lt;&gt;"Nein"),Z1247,IF(CD1247="2+3",IF(ISNUMBER(SEARCH("grosser Artikel",BV1247)),2,IFERROR(VLOOKUP(BY1247,Parameter!$F$35:$G$64,2,0),2)),IF(OR(CD1247="Nein",CD1247=""),"-",CD1247)))))</f>
        <v>3</v>
      </c>
      <c r="AB1247" s="67"/>
      <c r="AC1247" s="68"/>
      <c r="AD1247" s="62" t="n">
        <f aca="false">AW1247</f>
        <v>1</v>
      </c>
      <c r="AE1247" s="62" t="n">
        <f aca="false">MAX(AW1247,H1247)</f>
        <v>4</v>
      </c>
      <c r="AF1247" s="69"/>
      <c r="AG1247" s="62" t="n">
        <f aca="false">IF(LEFT(Cockpit!$C$5,1)="A",H1247,IF(Parameter!$E$30="MAX-Bestand",IF(CI1247=1,CJ1247,IF(LEFT(Cockpit!$C$5,1)="B",AM1247,MAX(AM1247,H1247))),ROUNDUP(AK1247,0)))</f>
        <v>4</v>
      </c>
      <c r="AH1247" s="62" t="n">
        <f aca="false">IF(CA1247=1,0,ROUNDUP(AG1247/BZ1247,0))</f>
        <v>1</v>
      </c>
      <c r="AI1247" s="64" t="n">
        <f aca="false">IF(CR1247&gt;0,CR1247*MAX(1,AG1247/X1247),IF(CA1247=1,IF(AG1247&lt;=0,0,CE1247*MAX(1,IF(H1247&gt;0,AG1247/H1247,1))),IF(R1247&gt;0,AH1247/R1247,0))/MAX(0.1,N(Parameter!$M$21)))</f>
        <v>0.0384615384615385</v>
      </c>
      <c r="AJ1247" s="62" t="n">
        <f aca="false">AI1247*CC1247</f>
        <v>9.42307692307692</v>
      </c>
      <c r="AK1247" s="63" t="n">
        <f aca="false">IF(LEFT(Cockpit!$C$5,1)="A",H1247,IF(CI1247=1,(CL1247+CJ1247)/2,IF(LEFT(Cockpit!$C$5,1)="B",(CL1247+AM1247)/2,MAX((CL1247+AM1247)/2,H1247))))</f>
        <v>4</v>
      </c>
      <c r="AL1247" s="62" t="n">
        <f aca="false">AK1247*G1247</f>
        <v>2926.8</v>
      </c>
      <c r="AM1247" s="62" t="n">
        <f aca="false">ROUNDUP(CL1247+MAX(CM1247,2*(J1247/IF(CH1247&gt;0,CH1247,MAX(0.1,N(Cockpit!$C$6)))-CL1247)),0)</f>
        <v>1</v>
      </c>
      <c r="AN1247" s="63" t="n">
        <f aca="false">IF(AJ1247&gt;0,J1247/AJ1247,-1)</f>
        <v>0</v>
      </c>
      <c r="AO1247" s="63" t="n">
        <f aca="false">IF(AND(OR(CG1247="L1",CG1247="L23",CG1247="LIFT"),AJ1247&gt;0),SUMIFS($AJ$7:$AJ$1843,$CG$7:$CG$1843,CG1247,$AN$7:$AN$1843,"&gt;"&amp;AN1247)+SUMIFS($AJ$7:$AJ$1843,$CG$7:$CG$1843,CG1247,$AN$7:$AN$1843,AN1247,$BX$7:$BX$1843,"&lt;="&amp;BX1247),"")</f>
        <v>29442.4937578899</v>
      </c>
      <c r="AP1247" s="70" t="n">
        <f aca="false">IF(AO1247="",0,MAX(0,MIN(1,(IF(CG1247="L1",Parameter!$H$5,IF(CG1247="L23",Parameter!$H$6+Parameter!$H$7,Parameter!$H$5+Parameter!$H$6+Parameter!$H$7))-(AO1247-AJ1247))/AJ1247)))</f>
        <v>1</v>
      </c>
      <c r="AQ1247" s="62" t="n">
        <f aca="false">IF(LEFT(Cockpit!$I$5,1)="A",H1247,IF(Parameter!$E$30="MAX-Bestand",IF(CI1247=1,CJ1247,IF(LEFT(Cockpit!$I$5,1)="B",AW1247,MAX(AW1247,H1247))),ROUNDUP(AU1247,0)))</f>
        <v>4</v>
      </c>
      <c r="AR1247" s="62" t="n">
        <f aca="false">IF(CA1247=1,0,ROUNDUP(AQ1247/BZ1247,0))</f>
        <v>1</v>
      </c>
      <c r="AS1247" s="64" t="n">
        <f aca="false">IF(CR1247&gt;0,CR1247*MAX(1,AQ1247/X1247),IF(CA1247=1,IF(AQ1247&lt;=0,0,CE1247*MAX(1,IF(H1247&gt;0,AQ1247/H1247,1))),IF(R1247&gt;0,AR1247/R1247,0))/MAX(0.1,N(Parameter!$M$21)))</f>
        <v>0.0384615384615385</v>
      </c>
      <c r="AT1247" s="62" t="n">
        <f aca="false">AS1247*CC1247</f>
        <v>9.42307692307692</v>
      </c>
      <c r="AU1247" s="63" t="n">
        <f aca="false">IF(LEFT(Cockpit!$I$5,1)="A",H1247,IF(CI1247=1,(CL1247+CJ1247)/2,IF(LEFT(Cockpit!$I$5,1)="B",(CL1247+AW1247)/2,MAX((CL1247+AW1247)/2,H1247))))</f>
        <v>4</v>
      </c>
      <c r="AV1247" s="62" t="n">
        <f aca="false">AU1247*G1247</f>
        <v>2926.8</v>
      </c>
      <c r="AW1247" s="62" t="n">
        <f aca="false">ROUNDUP(CL1247+MAX(CM1247,2*(J1247/IF(CH1247&gt;0,CH1247,MAX(0.1,N(Cockpit!$I$6)))-CL1247)),0)</f>
        <v>1</v>
      </c>
      <c r="AX1247" s="63" t="n">
        <f aca="false">IF(AT1247&gt;0,J1247/AT1247,-1)</f>
        <v>0</v>
      </c>
      <c r="AY1247" s="63" t="n">
        <f aca="false">IF(AND(OR(CG1247="L1",CG1247="L23",CG1247="LIFT"),AT1247&gt;0),SUMIFS($AT$7:$AT$1843,$CG$7:$CG$1843,CG1247,$AX$7:$AX$1843,"&gt;"&amp;AX1247)+SUMIFS($AT$7:$AT$1843,$CG$7:$CG$1843,CG1247,$AX$7:$AX$1843,AX1247,$BX$7:$BX$1843,"&lt;="&amp;BX1247),"")</f>
        <v>35377.9107142857</v>
      </c>
      <c r="AZ1247" s="70" t="n">
        <f aca="false">IF(AY1247="",0,MAX(0,MIN(1,(IF(CG1247="L1",Parameter!$H$5,IF(CG1247="L23",Parameter!$H$6+Parameter!$H$7,Parameter!$H$5+Parameter!$H$6+Parameter!$H$7))-(AY1247-AT1247))/AT1247)))</f>
        <v>1</v>
      </c>
      <c r="BA1247" s="62" t="n">
        <f aca="false">IF(LEFT(Cockpit!$O$5,1)="A",H1247,IF(Parameter!$E$30="MAX-Bestand",IF(CI1247=1,CJ1247,IF(LEFT(Cockpit!$O$5,1)="B",BG1247,MAX(BG1247,H1247))),ROUNDUP(BE1247,0)))</f>
        <v>1</v>
      </c>
      <c r="BB1247" s="62" t="n">
        <f aca="false">IF(CA1247=1,0,ROUNDUP(BA1247/BZ1247,0))</f>
        <v>1</v>
      </c>
      <c r="BC1247" s="64" t="n">
        <f aca="false">IF(CR1247&gt;0,CR1247*MAX(1,BA1247/X1247),IF(CA1247=1,IF(BA1247&lt;=0,0,CE1247*MAX(1,IF(H1247&gt;0,BA1247/H1247,1))),IF(R1247&gt;0,BB1247/R1247,0))/MAX(0.1,N(Parameter!$M$21)))</f>
        <v>0.0384615384615385</v>
      </c>
      <c r="BD1247" s="62" t="n">
        <f aca="false">BC1247*CC1247</f>
        <v>9.42307692307692</v>
      </c>
      <c r="BE1247" s="63" t="n">
        <f aca="false">IF(LEFT(Cockpit!$O$5,1)="A",H1247,IF(CI1247=1,(CL1247+CJ1247)/2,IF(LEFT(Cockpit!$O$5,1)="B",(CL1247+BG1247)/2,MAX((CL1247+BG1247)/2,H1247))))</f>
        <v>0.5</v>
      </c>
      <c r="BF1247" s="62" t="n">
        <f aca="false">BE1247*G1247</f>
        <v>365.85</v>
      </c>
      <c r="BG1247" s="62" t="n">
        <f aca="false">ROUNDUP(CL1247+MAX(CM1247,2*(J1247/IF(CH1247&gt;0,CH1247,MAX(0.1,N(Cockpit!$O$6)))-CL1247)),0)</f>
        <v>1</v>
      </c>
      <c r="BH1247" s="63" t="n">
        <f aca="false">IF(BD1247&gt;0,J1247/BD1247,-1)</f>
        <v>0</v>
      </c>
      <c r="BI1247" s="63" t="n">
        <f aca="false">IF(AND(OR(CG1247="L1",CG1247="L23",CG1247="LIFT"),BD1247&gt;0),SUMIFS($BD$7:$BD$1843,$CG$7:$CG$1843,CG1247,$BH$7:$BH$1843,"&gt;"&amp;BH1247)+SUMIFS($BD$7:$BD$1843,$CG$7:$CG$1843,CG1247,$BH$7:$BH$1843,BH1247,$BX$7:$BX$1843,"&lt;="&amp;BX1247),"")</f>
        <v>29363.2173744335</v>
      </c>
      <c r="BJ1247" s="70" t="n">
        <f aca="false">IF(BI1247="",0,MAX(0,MIN(1,(IF(CG1247="L1",Parameter!$H$5,IF(CG1247="L23",Parameter!$H$6+Parameter!$H$7,Parameter!$H$5+Parameter!$H$6+Parameter!$H$7))-(BI1247-BD1247))/BD1247)))</f>
        <v>1</v>
      </c>
      <c r="BK1247" s="60" t="str">
        <f aca="false">IF(AJ1247&lt;=0,"",IF(CG1247="Aussen","Aussenlager",IF(CG1247="-","Nicht im Lift",IF(AP1247&gt;=1,"Lift",IF(AP1247&lt;=0,"Aussenlager","teilweise")))))</f>
        <v>Lift</v>
      </c>
      <c r="BL1247" s="60" t="str">
        <f aca="false">IF(AT1247&lt;=0,"",IF(CG1247="Aussen","Aussenlager",IF(CG1247="-","Nicht im Lift",IF(AZ1247&gt;=1,"Lift",IF(AZ1247&lt;=0,"Aussenlager","teilweise")))))</f>
        <v>Lift</v>
      </c>
      <c r="BM1247" s="60" t="str">
        <f aca="false">IF(BD1247&lt;=0,"",IF(CG1247="Aussen","Aussenlager",IF(CG1247="-","Nicht im Lift",IF(BJ1247&gt;=1,"Lift",IF(BJ1247&lt;=0,"Aussenlager","teilweise")))))</f>
        <v>Lift</v>
      </c>
      <c r="BN1247" s="60" t="str">
        <f aca="false">IF(A1247="","",IF(BW1247=1,"Neu; ","")&amp;IF(AND(BW1247=0,BR1247&lt;0),"negativer Bestand (Export "&amp;BR1247&amp;"); ","")&amp;IF(J1247&lt;=0,"Kein Verbrauch; ","")&amp;IF(CR1247&gt;0,"Lift "&amp;W1247&amp;" lt. Liftbericht (Fach "&amp;X1247&amp;" Stk); ",IF(CB1247=1,"Gebinde geschätzt ("&amp;T1247&amp;"); ",IF(CA1247=1,"Lose – Tablare geschätzt; ","")))&amp;IF(H1247&gt;AW1247,"Überbestand "&amp;ROUND(H1247-AW1247,0)&amp;" Stk / CHF "&amp;ROUND((H1247-AW1247)*G1247,0)&amp;"; ","")&amp;IF(AND(CI1247=1,CJ1247&lt;CK1247),"MAX &lt; MB+LG; ","")&amp;IF(AND(CQ1247&gt;0,CP1247*10&gt;CQ1247),"zu hoch für Tablar; ","")&amp;IF(AND(BW1247=0,OR(CI1247=1,AB1247&lt;&gt;"",U1247&lt;&gt;"",V1247&lt;&gt;"",AC1247&lt;&gt;"")),"manuell übersteuert; ","")&amp;IF(AND(CA1247=0,R1247=0),"Gebinde unbekannt / Stellmass fehlt; ","")&amp;IF(AND(CA1247=0,N(V1247)&lt;=0,N(Q1247)&lt;=0),"Menge pro Gebinde fehlt (Ist = 1 Gebinde); ","")&amp;BV1247)</f>
        <v>negativer Bestand (Export -1); Kein Verbrauch; Überbestand 3 Stk / CHF 2195; </v>
      </c>
      <c r="BO1247" s="60"/>
      <c r="BP1247" s="60"/>
      <c r="BQ1247" s="67"/>
      <c r="BR1247" s="62" t="n">
        <v>-1</v>
      </c>
      <c r="BS1247" s="62" t="n">
        <v>5</v>
      </c>
      <c r="BT1247" s="61" t="n">
        <v>-731.7</v>
      </c>
      <c r="BU1247" s="62" t="n">
        <v>0</v>
      </c>
      <c r="BV1247" s="60"/>
      <c r="BW1247" s="65" t="n">
        <v>0</v>
      </c>
      <c r="BX1247" s="65" t="n">
        <v>1247</v>
      </c>
      <c r="BY1247" s="60" t="str">
        <f aca="false">IF(U1247&lt;&gt;"",UPPER(TRIM(U1247)),IF(CB1247=1,UPPER(VLOOKUP(T1247,Parameter!$I$27:$K$29,2,0)),IF(P1247="","LOSE",P1247)))</f>
        <v>S52</v>
      </c>
      <c r="BZ1247" s="62" t="n">
        <f aca="false">IF(BY1247="LOSE",1,IF(N(V1247)&gt;0,V1247,IF(CB1247=1,MAX(1,N(VLOOKUP(T1247,Parameter!$I$27:$K$29,3,0)),H1247,N(N1247)),IF(N(Q1247)&gt;0,Q1247,MAX(1,H1247)))))</f>
        <v>4</v>
      </c>
      <c r="CA1247" s="65" t="n">
        <f aca="false">IF(BY1247="LOSE",1,0)</f>
        <v>0</v>
      </c>
      <c r="CB1247" s="65" t="n">
        <f aca="false">IF(AND(U1247="",OR(P1247="",P1247="LOSE"),T1247&lt;&gt;"",N(S1247)&lt;=0,ISNUMBER(MATCH(T1247,Parameter!$I$27:$I$29,0))),1,0)</f>
        <v>0</v>
      </c>
      <c r="CC1247" s="65" t="n">
        <f aca="false">IF(CR1247&gt;0,INDEX(Parameter!$H$5:$H$7,W1247)/INDEX(Parameter!$E$5:$E$7,W1247),IF(AND(CA1247=0,N(IFERROR(VLOOKUP(BY1247,'Gebinde-Kategorie'!$A$5:$N$45,14,0),0))&gt;0),VLOOKUP(BY1247,'Gebinde-Kategorie'!$A$5:$N$45,14,0)*10+Parameter!$M$23,Parameter!$M$24))</f>
        <v>245</v>
      </c>
      <c r="CD1247" s="60" t="str">
        <f aca="false">IF(AND(Parameter!$B$19="Ja",E1247&lt;&gt;"",ISNUMBER(MATCH(E1247,Parameter!$I$35:$I$52,0))),VLOOKUP(E1247,Parameter!$I$35:$J$52,2,0),IFERROR(VLOOKUP(D1247,Parameter!$A$35:$C$64,2,0),"Nein"))</f>
        <v>2+3</v>
      </c>
      <c r="CE1247" s="64" t="n">
        <f aca="false">IF(CA1247=0,0,IF(N(S1247)&gt;0,S1247,IFERROR(VLOOKUP(D1247,Parameter!$A$35:$C$64,3,0)+0,0)))</f>
        <v>0</v>
      </c>
      <c r="CF1247" s="60" t="n">
        <f aca="false">IF(AB1247&lt;&gt;"",AB1247,AA1247)</f>
        <v>3</v>
      </c>
      <c r="CG1247" s="60" t="str">
        <f aca="false">IF(OR(CF1247=1,CF1247=2,CF1247=3),IF(Parameter!$E$27="Ja","LIFT",IF(CF1247=1,"L1","L23")),IF(CF1247="Aussen","Aussen","-"))</f>
        <v>LIFT</v>
      </c>
      <c r="CH1247" s="71" t="n">
        <f aca="false">IF(N(AC1247)&gt;0,AC1247,0)</f>
        <v>0</v>
      </c>
      <c r="CI1247" s="65" t="n">
        <f aca="false">IF(ISNUMBER(AF1247),1,0)</f>
        <v>0</v>
      </c>
      <c r="CJ1247" s="62" t="n">
        <f aca="false">N(AF1247)</f>
        <v>0</v>
      </c>
      <c r="CK1247" s="62" t="n">
        <f aca="false">N(M1247)+N(N1247)</f>
        <v>1</v>
      </c>
      <c r="CL1247" s="62" t="n">
        <f aca="false">N(M1247)</f>
        <v>0</v>
      </c>
      <c r="CM1247" s="62" t="n">
        <f aca="false">N(N1247)</f>
        <v>1</v>
      </c>
      <c r="CN1247" s="62" t="n">
        <f aca="false">ROUNDUP(H1247/BZ1247,0)</f>
        <v>1</v>
      </c>
      <c r="CO1247" s="62" t="n">
        <f aca="false">ROUNDUP(CJ1247/BZ1247,0)</f>
        <v>0</v>
      </c>
      <c r="CP1247" s="65" t="n">
        <f aca="false">IF(CA1247=1,0,IFERROR(VLOOKUP(BY1247,'Gebinde-Kategorie'!$A$5:$N$45,5,0)+0,0))</f>
        <v>21</v>
      </c>
      <c r="CQ1247" s="65" t="n">
        <f aca="false">IFERROR(IF(OR(CF1247=1,CF1247=2,CF1247=3),N(INDEX(Parameter!$I$5:$I$7,CF1247)),0),0)</f>
        <v>0</v>
      </c>
      <c r="CR1247" s="64" t="n">
        <f aca="false">IF(AND(Parameter!$B$21="Ja",ISNUMBER(W1247),N(X1247)&gt;0),IFERROR(N(INDEX(Parameter!$L$5:$L$7,W1247))*INDEX(Parameter!$E$5:$E$7,W1247)*X1247/SUMIFS($X$7:$X$1843,$W$7:$W$1843,W1247),0),0)</f>
        <v>0</v>
      </c>
      <c r="CS1247" s="62" t="n">
        <f aca="false">IF(AND(OR(CG1247="L1",CG1247="L23",CG1247="LIFT"),H1247&gt;0),CC1247*IF(CR1247&gt;0,CR1247*MAX(1,H1247/X1247),IF(CA1247=1,CE1247,IF(R1247&gt;0,CN1247/R1247,0))/MAX(0.1,N(Parameter!$M$21))),"")</f>
        <v>9.42307692307692</v>
      </c>
      <c r="CT1247" s="64" t="n">
        <f aca="false">IF(CS1247="","",J1247/H1247)</f>
        <v>0</v>
      </c>
      <c r="CU1247" s="62" t="n">
        <f aca="false">IF(CS1247="","",H1247*G1247)</f>
        <v>2926.8</v>
      </c>
      <c r="CV1247" s="63" t="n">
        <f aca="false">IF(CS1247="","",(CL1247+ROUNDUP(CL1247+MAX(CM1247,2*(J1247/MAX(0.1,N(Einkauf!$C$6))-CL1247)),0))/2)</f>
        <v>0.5</v>
      </c>
      <c r="CW1247" s="62" t="n">
        <f aca="false">IF(CS1247="","",MAX(0,H1247-CV1247)*G1247)</f>
        <v>2560.95</v>
      </c>
      <c r="CX1247" s="62" t="n">
        <f aca="false">IF(CS1247="","",CS1247*MAX(0,1-CV1247/H1247))</f>
        <v>8.24519230769231</v>
      </c>
      <c r="CY1247" s="64" t="n">
        <f aca="false">IF(CS1247="","",PERCENTRANK($CS$7:$CS$1843,CS1247)+PERCENTRANK($CU$7:$CU$1843,CU1247)+1-PERCENTRANK($CT$7:$CT$1843,CT1247))</f>
        <v>2.403</v>
      </c>
      <c r="CZ1247" s="72" t="n">
        <f aca="false">IF(CS1247="","",CHOOSE(MATCH(Einkauf!$C$5,Parameter!$G$23:$G$27,0),CY1247,CS1247,CU1247,-CT1247,CW1247)+ROW()/1000000000)</f>
        <v>2.403001247</v>
      </c>
    </row>
    <row r="1248" customFormat="false" ht="15" hidden="false" customHeight="false" outlineLevel="0" collapsed="false">
      <c r="A1248" s="60" t="s">
        <v>2274</v>
      </c>
      <c r="B1248" s="60" t="s">
        <v>2001</v>
      </c>
      <c r="C1248" s="60" t="s">
        <v>206</v>
      </c>
      <c r="D1248" s="60" t="s">
        <v>215</v>
      </c>
      <c r="E1248" s="60" t="s">
        <v>227</v>
      </c>
      <c r="F1248" s="60" t="s">
        <v>260</v>
      </c>
      <c r="G1248" s="61" t="n">
        <v>183.46</v>
      </c>
      <c r="H1248" s="62" t="n">
        <f aca="false">MAX(0,IF(AND(Parameter!$B$21="Ja",ISNUMBER(Y1248)),Y1248,IF(Parameter!$B$20="Jahresanfang 2025 + Export",BS1248+BR1248,BR1248)))</f>
        <v>7</v>
      </c>
      <c r="I1248" s="62" t="n">
        <f aca="false">H1248*G1248</f>
        <v>1284.22</v>
      </c>
      <c r="J1248" s="62" t="n">
        <f aca="false">BU1248*Parameter!$B$18</f>
        <v>67</v>
      </c>
      <c r="K1248" s="63" t="n">
        <v>18.5</v>
      </c>
      <c r="L1248" s="64" t="n">
        <v>3.62162162162162</v>
      </c>
      <c r="M1248" s="62" t="n">
        <v>10</v>
      </c>
      <c r="N1248" s="62" t="n">
        <v>30</v>
      </c>
      <c r="O1248" s="65" t="n">
        <v>44</v>
      </c>
      <c r="P1248" s="60" t="s">
        <v>216</v>
      </c>
      <c r="Q1248" s="62" t="n">
        <v>18</v>
      </c>
      <c r="R1248" s="65" t="n">
        <f aca="false">IF(CA1248=1,0,IFERROR(VLOOKUP(BY1248,'Gebinde-Kategorie'!$A$5:$N$45,13,0)+0,0))</f>
        <v>6</v>
      </c>
      <c r="S1248" s="66"/>
      <c r="T1248" s="67"/>
      <c r="U1248" s="67"/>
      <c r="V1248" s="67"/>
      <c r="W1248" s="60"/>
      <c r="X1248" s="62"/>
      <c r="Y1248" s="62"/>
      <c r="Z1248" s="60" t="n">
        <v>2</v>
      </c>
      <c r="AA1248" s="60" t="n">
        <f aca="false">IF(A1248="","",IF(AND(Parameter!$B$21="Ja",ISNUMBER(W1248)),W1248,IF(AND(Parameter!$E$27="Ja",ISNUMBER(Z1248),CD1248&lt;&gt;"Nein"),Z1248,IF(CD1248="2+3",IF(ISNUMBER(SEARCH("grosser Artikel",BV1248)),2,IFERROR(VLOOKUP(BY1248,Parameter!$F$35:$G$64,2,0),2)),IF(OR(CD1248="Nein",CD1248=""),"-",CD1248)))))</f>
        <v>2</v>
      </c>
      <c r="AB1248" s="67"/>
      <c r="AC1248" s="68"/>
      <c r="AD1248" s="62" t="n">
        <f aca="false">AW1248</f>
        <v>40</v>
      </c>
      <c r="AE1248" s="62" t="n">
        <f aca="false">MAX(AW1248,H1248)</f>
        <v>40</v>
      </c>
      <c r="AF1248" s="69"/>
      <c r="AG1248" s="62" t="n">
        <f aca="false">IF(LEFT(Cockpit!$C$5,1)="A",H1248,IF(Parameter!$E$30="MAX-Bestand",IF(CI1248=1,CJ1248,IF(LEFT(Cockpit!$C$5,1)="B",AM1248,MAX(AM1248,H1248))),ROUNDUP(AK1248,0)))</f>
        <v>7</v>
      </c>
      <c r="AH1248" s="62" t="n">
        <f aca="false">IF(CA1248=1,0,ROUNDUP(AG1248/BZ1248,0))</f>
        <v>1</v>
      </c>
      <c r="AI1248" s="64" t="n">
        <f aca="false">IF(CR1248&gt;0,CR1248*MAX(1,AG1248/X1248),IF(CA1248=1,IF(AG1248&lt;=0,0,CE1248*MAX(1,IF(H1248&gt;0,AG1248/H1248,1))),IF(R1248&gt;0,AH1248/R1248,0))/MAX(0.1,N(Parameter!$M$21)))</f>
        <v>0.166666666666667</v>
      </c>
      <c r="AJ1248" s="62" t="n">
        <f aca="false">AI1248*CC1248</f>
        <v>39.1666666666667</v>
      </c>
      <c r="AK1248" s="63" t="n">
        <f aca="false">IF(LEFT(Cockpit!$C$5,1)="A",H1248,IF(CI1248=1,(CL1248+CJ1248)/2,IF(LEFT(Cockpit!$C$5,1)="B",(CL1248+AM1248)/2,MAX((CL1248+AM1248)/2,H1248))))</f>
        <v>7</v>
      </c>
      <c r="AL1248" s="62" t="n">
        <f aca="false">AK1248*G1248</f>
        <v>1284.22</v>
      </c>
      <c r="AM1248" s="62" t="n">
        <f aca="false">ROUNDUP(CL1248+MAX(CM1248,2*(J1248/IF(CH1248&gt;0,CH1248,MAX(0.1,N(Cockpit!$C$6)))-CL1248)),0)</f>
        <v>40</v>
      </c>
      <c r="AN1248" s="63" t="n">
        <f aca="false">IF(AJ1248&gt;0,J1248/AJ1248,-1)</f>
        <v>1.71063829787234</v>
      </c>
      <c r="AO1248" s="63" t="n">
        <f aca="false">IF(AND(OR(CG1248="L1",CG1248="L23",CG1248="LIFT"),AJ1248&gt;0),SUMIFS($AJ$7:$AJ$1843,$CG$7:$CG$1843,CG1248,$AN$7:$AN$1843,"&gt;"&amp;AN1248)+SUMIFS($AJ$7:$AJ$1843,$CG$7:$CG$1843,CG1248,$AN$7:$AN$1843,AN1248,$BX$7:$BX$1843,"&lt;="&amp;BX1248),"")</f>
        <v>6045.89148351648</v>
      </c>
      <c r="AP1248" s="70" t="n">
        <f aca="false">IF(AO1248="",0,MAX(0,MIN(1,(IF(CG1248="L1",Parameter!$H$5,IF(CG1248="L23",Parameter!$H$6+Parameter!$H$7,Parameter!$H$5+Parameter!$H$6+Parameter!$H$7))-(AO1248-AJ1248))/AJ1248)))</f>
        <v>1</v>
      </c>
      <c r="AQ1248" s="62" t="n">
        <f aca="false">IF(LEFT(Cockpit!$I$5,1)="A",H1248,IF(Parameter!$E$30="MAX-Bestand",IF(CI1248=1,CJ1248,IF(LEFT(Cockpit!$I$5,1)="B",AW1248,MAX(AW1248,H1248))),ROUNDUP(AU1248,0)))</f>
        <v>25</v>
      </c>
      <c r="AR1248" s="62" t="n">
        <f aca="false">IF(CA1248=1,0,ROUNDUP(AQ1248/BZ1248,0))</f>
        <v>2</v>
      </c>
      <c r="AS1248" s="64" t="n">
        <f aca="false">IF(CR1248&gt;0,CR1248*MAX(1,AQ1248/X1248),IF(CA1248=1,IF(AQ1248&lt;=0,0,CE1248*MAX(1,IF(H1248&gt;0,AQ1248/H1248,1))),IF(R1248&gt;0,AR1248/R1248,0))/MAX(0.1,N(Parameter!$M$21)))</f>
        <v>0.333333333333333</v>
      </c>
      <c r="AT1248" s="62" t="n">
        <f aca="false">AS1248*CC1248</f>
        <v>78.3333333333333</v>
      </c>
      <c r="AU1248" s="63" t="n">
        <f aca="false">IF(LEFT(Cockpit!$I$5,1)="A",H1248,IF(CI1248=1,(CL1248+CJ1248)/2,IF(LEFT(Cockpit!$I$5,1)="B",(CL1248+AW1248)/2,MAX((CL1248+AW1248)/2,H1248))))</f>
        <v>25</v>
      </c>
      <c r="AV1248" s="62" t="n">
        <f aca="false">AU1248*G1248</f>
        <v>4586.5</v>
      </c>
      <c r="AW1248" s="62" t="n">
        <f aca="false">ROUNDUP(CL1248+MAX(CM1248,2*(J1248/IF(CH1248&gt;0,CH1248,MAX(0.1,N(Cockpit!$I$6)))-CL1248)),0)</f>
        <v>40</v>
      </c>
      <c r="AX1248" s="63" t="n">
        <f aca="false">IF(AT1248&gt;0,J1248/AT1248,-1)</f>
        <v>0.85531914893617</v>
      </c>
      <c r="AY1248" s="63" t="n">
        <f aca="false">IF(AND(OR(CG1248="L1",CG1248="L23",CG1248="LIFT"),AT1248&gt;0),SUMIFS($AT$7:$AT$1843,$CG$7:$CG$1843,CG1248,$AX$7:$AX$1843,"&gt;"&amp;AX1248)+SUMIFS($AT$7:$AT$1843,$CG$7:$CG$1843,CG1248,$AX$7:$AX$1843,AX1248,$BX$7:$BX$1843,"&lt;="&amp;BX1248),"")</f>
        <v>9446.03296703297</v>
      </c>
      <c r="AZ1248" s="70" t="n">
        <f aca="false">IF(AY1248="",0,MAX(0,MIN(1,(IF(CG1248="L1",Parameter!$H$5,IF(CG1248="L23",Parameter!$H$6+Parameter!$H$7,Parameter!$H$5+Parameter!$H$6+Parameter!$H$7))-(AY1248-AT1248))/AT1248)))</f>
        <v>1</v>
      </c>
      <c r="BA1248" s="62" t="n">
        <f aca="false">IF(LEFT(Cockpit!$O$5,1)="A",H1248,IF(Parameter!$E$30="MAX-Bestand",IF(CI1248=1,CJ1248,IF(LEFT(Cockpit!$O$5,1)="B",BG1248,MAX(BG1248,H1248))),ROUNDUP(BE1248,0)))</f>
        <v>25</v>
      </c>
      <c r="BB1248" s="62" t="n">
        <f aca="false">IF(CA1248=1,0,ROUNDUP(BA1248/BZ1248,0))</f>
        <v>2</v>
      </c>
      <c r="BC1248" s="64" t="n">
        <f aca="false">IF(CR1248&gt;0,CR1248*MAX(1,BA1248/X1248),IF(CA1248=1,IF(BA1248&lt;=0,0,CE1248*MAX(1,IF(H1248&gt;0,BA1248/H1248,1))),IF(R1248&gt;0,BB1248/R1248,0))/MAX(0.1,N(Parameter!$M$21)))</f>
        <v>0.333333333333333</v>
      </c>
      <c r="BD1248" s="62" t="n">
        <f aca="false">BC1248*CC1248</f>
        <v>78.3333333333333</v>
      </c>
      <c r="BE1248" s="63" t="n">
        <f aca="false">IF(LEFT(Cockpit!$O$5,1)="A",H1248,IF(CI1248=1,(CL1248+CJ1248)/2,IF(LEFT(Cockpit!$O$5,1)="B",(CL1248+BG1248)/2,MAX((CL1248+BG1248)/2,H1248))))</f>
        <v>25</v>
      </c>
      <c r="BF1248" s="62" t="n">
        <f aca="false">BE1248*G1248</f>
        <v>4586.5</v>
      </c>
      <c r="BG1248" s="62" t="n">
        <f aca="false">ROUNDUP(CL1248+MAX(CM1248,2*(J1248/IF(CH1248&gt;0,CH1248,MAX(0.1,N(Cockpit!$O$6)))-CL1248)),0)</f>
        <v>40</v>
      </c>
      <c r="BH1248" s="63" t="n">
        <f aca="false">IF(BD1248&gt;0,J1248/BD1248,-1)</f>
        <v>0.85531914893617</v>
      </c>
      <c r="BI1248" s="63" t="n">
        <f aca="false">IF(AND(OR(CG1248="L1",CG1248="L23",CG1248="LIFT"),BD1248&gt;0),SUMIFS($BD$7:$BD$1843,$CG$7:$CG$1843,CG1248,$BH$7:$BH$1843,"&gt;"&amp;BH1248)+SUMIFS($BD$7:$BD$1843,$CG$7:$CG$1843,CG1248,$BH$7:$BH$1843,BH1248,$BX$7:$BX$1843,"&lt;="&amp;BX1248),"")</f>
        <v>8468.16712454212</v>
      </c>
      <c r="BJ1248" s="70" t="n">
        <f aca="false">IF(BI1248="",0,MAX(0,MIN(1,(IF(CG1248="L1",Parameter!$H$5,IF(CG1248="L23",Parameter!$H$6+Parameter!$H$7,Parameter!$H$5+Parameter!$H$6+Parameter!$H$7))-(BI1248-BD1248))/BD1248)))</f>
        <v>1</v>
      </c>
      <c r="BK1248" s="60" t="str">
        <f aca="false">IF(AJ1248&lt;=0,"",IF(CG1248="Aussen","Aussenlager",IF(CG1248="-","Nicht im Lift",IF(AP1248&gt;=1,"Lift",IF(AP1248&lt;=0,"Aussenlager","teilweise")))))</f>
        <v>Lift</v>
      </c>
      <c r="BL1248" s="60" t="str">
        <f aca="false">IF(AT1248&lt;=0,"",IF(CG1248="Aussen","Aussenlager",IF(CG1248="-","Nicht im Lift",IF(AZ1248&gt;=1,"Lift",IF(AZ1248&lt;=0,"Aussenlager","teilweise")))))</f>
        <v>Lift</v>
      </c>
      <c r="BM1248" s="60" t="str">
        <f aca="false">IF(BD1248&lt;=0,"",IF(CG1248="Aussen","Aussenlager",IF(CG1248="-","Nicht im Lift",IF(BJ1248&gt;=1,"Lift",IF(BJ1248&lt;=0,"Aussenlager","teilweise")))))</f>
        <v>Lift</v>
      </c>
      <c r="BN1248" s="60" t="str">
        <f aca="false">IF(A1248="","",IF(BW1248=1,"Neu; ","")&amp;IF(AND(BW1248=0,BR1248&lt;0),"negativer Bestand (Export "&amp;BR1248&amp;"); ","")&amp;IF(J1248&lt;=0,"Kein Verbrauch; ","")&amp;IF(CR1248&gt;0,"Lift "&amp;W1248&amp;" lt. Liftbericht (Fach "&amp;X1248&amp;" Stk); ",IF(CB1248=1,"Gebinde geschätzt ("&amp;T1248&amp;"); ",IF(CA1248=1,"Lose – Tablare geschätzt; ","")))&amp;IF(H1248&gt;AW1248,"Überbestand "&amp;ROUND(H1248-AW1248,0)&amp;" Stk / CHF "&amp;ROUND((H1248-AW1248)*G1248,0)&amp;"; ","")&amp;IF(AND(CI1248=1,CJ1248&lt;CK1248),"MAX &lt; MB+LG; ","")&amp;IF(AND(CQ1248&gt;0,CP1248*10&gt;CQ1248),"zu hoch für Tablar; ","")&amp;IF(AND(BW1248=0,OR(CI1248=1,AB1248&lt;&gt;"",U1248&lt;&gt;"",V1248&lt;&gt;"",AC1248&lt;&gt;"")),"manuell übersteuert; ","")&amp;IF(AND(CA1248=0,R1248=0),"Gebinde unbekannt / Stellmass fehlt; ","")&amp;IF(AND(CA1248=0,N(V1248)&lt;=0,N(Q1248)&lt;=0),"Menge pro Gebinde fehlt (Ist = 1 Gebinde); ","")&amp;BV1248)</f>
        <v>negativer Bestand (Export -5); grosser Artikel &amp; nicht im KTL</v>
      </c>
      <c r="BO1248" s="60"/>
      <c r="BP1248" s="60"/>
      <c r="BQ1248" s="67"/>
      <c r="BR1248" s="62" t="n">
        <v>-5</v>
      </c>
      <c r="BS1248" s="62" t="n">
        <v>12</v>
      </c>
      <c r="BT1248" s="61" t="n">
        <v>-731.78</v>
      </c>
      <c r="BU1248" s="62" t="n">
        <v>67</v>
      </c>
      <c r="BV1248" s="60" t="s">
        <v>303</v>
      </c>
      <c r="BW1248" s="65" t="n">
        <v>0</v>
      </c>
      <c r="BX1248" s="65" t="n">
        <v>1248</v>
      </c>
      <c r="BY1248" s="60" t="str">
        <f aca="false">IF(U1248&lt;&gt;"",UPPER(TRIM(U1248)),IF(CB1248=1,UPPER(VLOOKUP(T1248,Parameter!$I$27:$K$29,2,0)),IF(P1248="","LOSE",P1248)))</f>
        <v>S71</v>
      </c>
      <c r="BZ1248" s="62" t="n">
        <f aca="false">IF(BY1248="LOSE",1,IF(N(V1248)&gt;0,V1248,IF(CB1248=1,MAX(1,N(VLOOKUP(T1248,Parameter!$I$27:$K$29,3,0)),H1248,N(N1248)),IF(N(Q1248)&gt;0,Q1248,MAX(1,H1248)))))</f>
        <v>18</v>
      </c>
      <c r="CA1248" s="65" t="n">
        <f aca="false">IF(BY1248="LOSE",1,0)</f>
        <v>0</v>
      </c>
      <c r="CB1248" s="65" t="n">
        <f aca="false">IF(AND(U1248="",OR(P1248="",P1248="LOSE"),T1248&lt;&gt;"",N(S1248)&lt;=0,ISNUMBER(MATCH(T1248,Parameter!$I$27:$I$29,0))),1,0)</f>
        <v>0</v>
      </c>
      <c r="CC1248" s="65" t="n">
        <f aca="false">IF(CR1248&gt;0,INDEX(Parameter!$H$5:$H$7,W1248)/INDEX(Parameter!$E$5:$E$7,W1248),IF(AND(CA1248=0,N(IFERROR(VLOOKUP(BY1248,'Gebinde-Kategorie'!$A$5:$N$45,14,0),0))&gt;0),VLOOKUP(BY1248,'Gebinde-Kategorie'!$A$5:$N$45,14,0)*10+Parameter!$M$23,Parameter!$M$24))</f>
        <v>235</v>
      </c>
      <c r="CD1248" s="60" t="str">
        <f aca="false">IF(AND(Parameter!$B$19="Ja",E1248&lt;&gt;"",ISNUMBER(MATCH(E1248,Parameter!$I$35:$I$52,0))),VLOOKUP(E1248,Parameter!$I$35:$J$52,2,0),IFERROR(VLOOKUP(D1248,Parameter!$A$35:$C$64,2,0),"Nein"))</f>
        <v>2+3</v>
      </c>
      <c r="CE1248" s="64" t="n">
        <f aca="false">IF(CA1248=0,0,IF(N(S1248)&gt;0,S1248,IFERROR(VLOOKUP(D1248,Parameter!$A$35:$C$64,3,0)+0,0)))</f>
        <v>0</v>
      </c>
      <c r="CF1248" s="60" t="n">
        <f aca="false">IF(AB1248&lt;&gt;"",AB1248,AA1248)</f>
        <v>2</v>
      </c>
      <c r="CG1248" s="60" t="str">
        <f aca="false">IF(OR(CF1248=1,CF1248=2,CF1248=3),IF(Parameter!$E$27="Ja","LIFT",IF(CF1248=1,"L1","L23")),IF(CF1248="Aussen","Aussen","-"))</f>
        <v>LIFT</v>
      </c>
      <c r="CH1248" s="71" t="n">
        <f aca="false">IF(N(AC1248)&gt;0,AC1248,0)</f>
        <v>0</v>
      </c>
      <c r="CI1248" s="65" t="n">
        <f aca="false">IF(ISNUMBER(AF1248),1,0)</f>
        <v>0</v>
      </c>
      <c r="CJ1248" s="62" t="n">
        <f aca="false">N(AF1248)</f>
        <v>0</v>
      </c>
      <c r="CK1248" s="62" t="n">
        <f aca="false">N(M1248)+N(N1248)</f>
        <v>40</v>
      </c>
      <c r="CL1248" s="62" t="n">
        <f aca="false">N(M1248)</f>
        <v>10</v>
      </c>
      <c r="CM1248" s="62" t="n">
        <f aca="false">N(N1248)</f>
        <v>30</v>
      </c>
      <c r="CN1248" s="62" t="n">
        <f aca="false">ROUNDUP(H1248/BZ1248,0)</f>
        <v>1</v>
      </c>
      <c r="CO1248" s="62" t="n">
        <f aca="false">ROUNDUP(CJ1248/BZ1248,0)</f>
        <v>0</v>
      </c>
      <c r="CP1248" s="65" t="n">
        <f aca="false">IF(CA1248=1,0,IFERROR(VLOOKUP(BY1248,'Gebinde-Kategorie'!$A$5:$N$45,5,0)+0,0))</f>
        <v>20</v>
      </c>
      <c r="CQ1248" s="65" t="n">
        <f aca="false">IFERROR(IF(OR(CF1248=1,CF1248=2,CF1248=3),N(INDEX(Parameter!$I$5:$I$7,CF1248)),0),0)</f>
        <v>0</v>
      </c>
      <c r="CR1248" s="64" t="n">
        <f aca="false">IF(AND(Parameter!$B$21="Ja",ISNUMBER(W1248),N(X1248)&gt;0),IFERROR(N(INDEX(Parameter!$L$5:$L$7,W1248))*INDEX(Parameter!$E$5:$E$7,W1248)*X1248/SUMIFS($X$7:$X$1843,$W$7:$W$1843,W1248),0),0)</f>
        <v>0</v>
      </c>
      <c r="CS1248" s="62" t="n">
        <f aca="false">IF(AND(OR(CG1248="L1",CG1248="L23",CG1248="LIFT"),H1248&gt;0),CC1248*IF(CR1248&gt;0,CR1248*MAX(1,H1248/X1248),IF(CA1248=1,CE1248,IF(R1248&gt;0,CN1248/R1248,0))/MAX(0.1,N(Parameter!$M$21))),"")</f>
        <v>39.1666666666667</v>
      </c>
      <c r="CT1248" s="64" t="n">
        <f aca="false">IF(CS1248="","",J1248/H1248)</f>
        <v>9.57142857142857</v>
      </c>
      <c r="CU1248" s="62" t="n">
        <f aca="false">IF(CS1248="","",H1248*G1248)</f>
        <v>1284.22</v>
      </c>
      <c r="CV1248" s="63" t="n">
        <f aca="false">IF(CS1248="","",(CL1248+ROUNDUP(CL1248+MAX(CM1248,2*(J1248/MAX(0.1,N(Einkauf!$C$6))-CL1248)),0))/2)</f>
        <v>25</v>
      </c>
      <c r="CW1248" s="62" t="n">
        <f aca="false">IF(CS1248="","",MAX(0,H1248-CV1248)*G1248)</f>
        <v>0</v>
      </c>
      <c r="CX1248" s="62" t="n">
        <f aca="false">IF(CS1248="","",CS1248*MAX(0,1-CV1248/H1248))</f>
        <v>0</v>
      </c>
      <c r="CY1248" s="64" t="n">
        <f aca="false">IF(CS1248="","",PERCENTRANK($CS$7:$CS$1843,CS1248)+PERCENTRANK($CU$7:$CU$1843,CU1248)+1-PERCENTRANK($CT$7:$CT$1843,CT1248))</f>
        <v>1.56</v>
      </c>
      <c r="CZ1248" s="72" t="n">
        <f aca="false">IF(CS1248="","",CHOOSE(MATCH(Einkauf!$C$5,Parameter!$G$23:$G$27,0),CY1248,CS1248,CU1248,-CT1248,CW1248)+ROW()/1000000000)</f>
        <v>1.560001248</v>
      </c>
    </row>
    <row r="1249" customFormat="false" ht="15" hidden="false" customHeight="false" outlineLevel="0" collapsed="false">
      <c r="A1249" s="60" t="s">
        <v>2275</v>
      </c>
      <c r="B1249" s="60" t="s">
        <v>2276</v>
      </c>
      <c r="C1249" s="60" t="s">
        <v>498</v>
      </c>
      <c r="D1249" s="60" t="s">
        <v>215</v>
      </c>
      <c r="E1249" s="60"/>
      <c r="F1249" s="60" t="s">
        <v>260</v>
      </c>
      <c r="G1249" s="61" t="n">
        <v>104.82</v>
      </c>
      <c r="H1249" s="62" t="n">
        <f aca="false">MAX(0,IF(AND(Parameter!$B$21="Ja",ISNUMBER(Y1249)),Y1249,IF(Parameter!$B$20="Jahresanfang 2025 + Export",BS1249+BR1249,BR1249)))</f>
        <v>0</v>
      </c>
      <c r="I1249" s="62" t="n">
        <f aca="false">H1249*G1249</f>
        <v>0</v>
      </c>
      <c r="J1249" s="62" t="n">
        <f aca="false">BU1249*Parameter!$B$18</f>
        <v>0</v>
      </c>
      <c r="K1249" s="63" t="n">
        <v>3.5</v>
      </c>
      <c r="L1249" s="64" t="n">
        <v>0</v>
      </c>
      <c r="M1249" s="62" t="n">
        <v>0</v>
      </c>
      <c r="N1249" s="62" t="n">
        <v>1</v>
      </c>
      <c r="O1249" s="65" t="n">
        <v>56</v>
      </c>
      <c r="P1249" s="60" t="s">
        <v>210</v>
      </c>
      <c r="Q1249" s="62"/>
      <c r="R1249" s="65" t="n">
        <f aca="false">IF(CA1249=1,0,IFERROR(VLOOKUP(BY1249,'Gebinde-Kategorie'!$A$5:$N$45,13,0)+0,0))</f>
        <v>4</v>
      </c>
      <c r="S1249" s="66"/>
      <c r="T1249" s="67" t="s">
        <v>231</v>
      </c>
      <c r="U1249" s="67"/>
      <c r="V1249" s="67"/>
      <c r="W1249" s="60"/>
      <c r="X1249" s="62"/>
      <c r="Y1249" s="62"/>
      <c r="Z1249" s="60" t="n">
        <v>2</v>
      </c>
      <c r="AA1249" s="60" t="n">
        <f aca="false">IF(A1249="","",IF(AND(Parameter!$B$21="Ja",ISNUMBER(W1249)),W1249,IF(AND(Parameter!$E$27="Ja",ISNUMBER(Z1249),CD1249&lt;&gt;"Nein"),Z1249,IF(CD1249="2+3",IF(ISNUMBER(SEARCH("grosser Artikel",BV1249)),2,IFERROR(VLOOKUP(BY1249,Parameter!$F$35:$G$64,2,0),2)),IF(OR(CD1249="Nein",CD1249=""),"-",CD1249)))))</f>
        <v>2</v>
      </c>
      <c r="AB1249" s="67"/>
      <c r="AC1249" s="68"/>
      <c r="AD1249" s="62" t="n">
        <f aca="false">AW1249</f>
        <v>1</v>
      </c>
      <c r="AE1249" s="62" t="n">
        <f aca="false">MAX(AW1249,H1249)</f>
        <v>1</v>
      </c>
      <c r="AF1249" s="69"/>
      <c r="AG1249" s="62" t="n">
        <f aca="false">IF(LEFT(Cockpit!$C$5,1)="A",H1249,IF(Parameter!$E$30="MAX-Bestand",IF(CI1249=1,CJ1249,IF(LEFT(Cockpit!$C$5,1)="B",AM1249,MAX(AM1249,H1249))),ROUNDUP(AK1249,0)))</f>
        <v>0</v>
      </c>
      <c r="AH1249" s="62" t="n">
        <f aca="false">IF(CA1249=1,0,ROUNDUP(AG1249/BZ1249,0))</f>
        <v>0</v>
      </c>
      <c r="AI1249" s="64" t="n">
        <f aca="false">IF(CR1249&gt;0,CR1249*MAX(1,AG1249/X1249),IF(CA1249=1,IF(AG1249&lt;=0,0,CE1249*MAX(1,IF(H1249&gt;0,AG1249/H1249,1))),IF(R1249&gt;0,AH1249/R1249,0))/MAX(0.1,N(Parameter!$M$21)))</f>
        <v>0</v>
      </c>
      <c r="AJ1249" s="62" t="n">
        <f aca="false">AI1249*CC1249</f>
        <v>0</v>
      </c>
      <c r="AK1249" s="63" t="n">
        <f aca="false">IF(LEFT(Cockpit!$C$5,1)="A",H1249,IF(CI1249=1,(CL1249+CJ1249)/2,IF(LEFT(Cockpit!$C$5,1)="B",(CL1249+AM1249)/2,MAX((CL1249+AM1249)/2,H1249))))</f>
        <v>0</v>
      </c>
      <c r="AL1249" s="62" t="n">
        <f aca="false">AK1249*G1249</f>
        <v>0</v>
      </c>
      <c r="AM1249" s="62" t="n">
        <f aca="false">ROUNDUP(CL1249+MAX(CM1249,2*(J1249/IF(CH1249&gt;0,CH1249,MAX(0.1,N(Cockpit!$C$6)))-CL1249)),0)</f>
        <v>1</v>
      </c>
      <c r="AN1249" s="63" t="n">
        <f aca="false">IF(AJ1249&gt;0,J1249/AJ1249,-1)</f>
        <v>-1</v>
      </c>
      <c r="AO1249" s="63" t="str">
        <f aca="false">IF(AND(OR(CG1249="L1",CG1249="L23",CG1249="LIFT"),AJ1249&gt;0),SUMIFS($AJ$7:$AJ$1843,$CG$7:$CG$1843,CG1249,$AN$7:$AN$1843,"&gt;"&amp;AN1249)+SUMIFS($AJ$7:$AJ$1843,$CG$7:$CG$1843,CG1249,$AN$7:$AN$1843,AN1249,$BX$7:$BX$1843,"&lt;="&amp;BX1249),"")</f>
        <v/>
      </c>
      <c r="AP1249" s="70" t="n">
        <f aca="false">IF(AO1249="",0,MAX(0,MIN(1,(IF(CG1249="L1",Parameter!$H$5,IF(CG1249="L23",Parameter!$H$6+Parameter!$H$7,Parameter!$H$5+Parameter!$H$6+Parameter!$H$7))-(AO1249-AJ1249))/AJ1249)))</f>
        <v>0</v>
      </c>
      <c r="AQ1249" s="62" t="n">
        <f aca="false">IF(LEFT(Cockpit!$I$5,1)="A",H1249,IF(Parameter!$E$30="MAX-Bestand",IF(CI1249=1,CJ1249,IF(LEFT(Cockpit!$I$5,1)="B",AW1249,MAX(AW1249,H1249))),ROUNDUP(AU1249,0)))</f>
        <v>1</v>
      </c>
      <c r="AR1249" s="62" t="n">
        <f aca="false">IF(CA1249=1,0,ROUNDUP(AQ1249/BZ1249,0))</f>
        <v>1</v>
      </c>
      <c r="AS1249" s="64" t="n">
        <f aca="false">IF(CR1249&gt;0,CR1249*MAX(1,AQ1249/X1249),IF(CA1249=1,IF(AQ1249&lt;=0,0,CE1249*MAX(1,IF(H1249&gt;0,AQ1249/H1249,1))),IF(R1249&gt;0,AR1249/R1249,0))/MAX(0.1,N(Parameter!$M$21)))</f>
        <v>0.25</v>
      </c>
      <c r="AT1249" s="62" t="n">
        <f aca="false">AS1249*CC1249</f>
        <v>58.75</v>
      </c>
      <c r="AU1249" s="63" t="n">
        <f aca="false">IF(LEFT(Cockpit!$I$5,1)="A",H1249,IF(CI1249=1,(CL1249+CJ1249)/2,IF(LEFT(Cockpit!$I$5,1)="B",(CL1249+AW1249)/2,MAX((CL1249+AW1249)/2,H1249))))</f>
        <v>0.5</v>
      </c>
      <c r="AV1249" s="62" t="n">
        <f aca="false">AU1249*G1249</f>
        <v>52.41</v>
      </c>
      <c r="AW1249" s="62" t="n">
        <f aca="false">ROUNDUP(CL1249+MAX(CM1249,2*(J1249/IF(CH1249&gt;0,CH1249,MAX(0.1,N(Cockpit!$I$6)))-CL1249)),0)</f>
        <v>1</v>
      </c>
      <c r="AX1249" s="63" t="n">
        <f aca="false">IF(AT1249&gt;0,J1249/AT1249,-1)</f>
        <v>0</v>
      </c>
      <c r="AY1249" s="63" t="n">
        <f aca="false">IF(AND(OR(CG1249="L1",CG1249="L23",CG1249="LIFT"),AT1249&gt;0),SUMIFS($AT$7:$AT$1843,$CG$7:$CG$1843,CG1249,$AX$7:$AX$1843,"&gt;"&amp;AX1249)+SUMIFS($AT$7:$AT$1843,$CG$7:$CG$1843,CG1249,$AX$7:$AX$1843,AX1249,$BX$7:$BX$1843,"&lt;="&amp;BX1249),"")</f>
        <v>35436.6607142857</v>
      </c>
      <c r="AZ1249" s="70" t="n">
        <f aca="false">IF(AY1249="",0,MAX(0,MIN(1,(IF(CG1249="L1",Parameter!$H$5,IF(CG1249="L23",Parameter!$H$6+Parameter!$H$7,Parameter!$H$5+Parameter!$H$6+Parameter!$H$7))-(AY1249-AT1249))/AT1249)))</f>
        <v>1</v>
      </c>
      <c r="BA1249" s="62" t="n">
        <f aca="false">IF(LEFT(Cockpit!$O$5,1)="A",H1249,IF(Parameter!$E$30="MAX-Bestand",IF(CI1249=1,CJ1249,IF(LEFT(Cockpit!$O$5,1)="B",BG1249,MAX(BG1249,H1249))),ROUNDUP(BE1249,0)))</f>
        <v>1</v>
      </c>
      <c r="BB1249" s="62" t="n">
        <f aca="false">IF(CA1249=1,0,ROUNDUP(BA1249/BZ1249,0))</f>
        <v>1</v>
      </c>
      <c r="BC1249" s="64" t="n">
        <f aca="false">IF(CR1249&gt;0,CR1249*MAX(1,BA1249/X1249),IF(CA1249=1,IF(BA1249&lt;=0,0,CE1249*MAX(1,IF(H1249&gt;0,BA1249/H1249,1))),IF(R1249&gt;0,BB1249/R1249,0))/MAX(0.1,N(Parameter!$M$21)))</f>
        <v>0.25</v>
      </c>
      <c r="BD1249" s="62" t="n">
        <f aca="false">BC1249*CC1249</f>
        <v>58.75</v>
      </c>
      <c r="BE1249" s="63" t="n">
        <f aca="false">IF(LEFT(Cockpit!$O$5,1)="A",H1249,IF(CI1249=1,(CL1249+CJ1249)/2,IF(LEFT(Cockpit!$O$5,1)="B",(CL1249+BG1249)/2,MAX((CL1249+BG1249)/2,H1249))))</f>
        <v>0.5</v>
      </c>
      <c r="BF1249" s="62" t="n">
        <f aca="false">BE1249*G1249</f>
        <v>52.41</v>
      </c>
      <c r="BG1249" s="62" t="n">
        <f aca="false">ROUNDUP(CL1249+MAX(CM1249,2*(J1249/IF(CH1249&gt;0,CH1249,MAX(0.1,N(Cockpit!$O$6)))-CL1249)),0)</f>
        <v>1</v>
      </c>
      <c r="BH1249" s="63" t="n">
        <f aca="false">IF(BD1249&gt;0,J1249/BD1249,-1)</f>
        <v>0</v>
      </c>
      <c r="BI1249" s="63" t="n">
        <f aca="false">IF(AND(OR(CG1249="L1",CG1249="L23",CG1249="LIFT"),BD1249&gt;0),SUMIFS($BD$7:$BD$1843,$CG$7:$CG$1843,CG1249,$BH$7:$BH$1843,"&gt;"&amp;BH1249)+SUMIFS($BD$7:$BD$1843,$CG$7:$CG$1843,CG1249,$BH$7:$BH$1843,BH1249,$BX$7:$BX$1843,"&lt;="&amp;BX1249),"")</f>
        <v>29421.9673744335</v>
      </c>
      <c r="BJ1249" s="70" t="n">
        <f aca="false">IF(BI1249="",0,MAX(0,MIN(1,(IF(CG1249="L1",Parameter!$H$5,IF(CG1249="L23",Parameter!$H$6+Parameter!$H$7,Parameter!$H$5+Parameter!$H$6+Parameter!$H$7))-(BI1249-BD1249))/BD1249)))</f>
        <v>1</v>
      </c>
      <c r="BK1249" s="60" t="str">
        <f aca="false">IF(AJ1249&lt;=0,"",IF(CG1249="Aussen","Aussenlager",IF(CG1249="-","Nicht im Lift",IF(AP1249&gt;=1,"Lift",IF(AP1249&lt;=0,"Aussenlager","teilweise")))))</f>
        <v/>
      </c>
      <c r="BL1249" s="60" t="str">
        <f aca="false">IF(AT1249&lt;=0,"",IF(CG1249="Aussen","Aussenlager",IF(CG1249="-","Nicht im Lift",IF(AZ1249&gt;=1,"Lift",IF(AZ1249&lt;=0,"Aussenlager","teilweise")))))</f>
        <v>Lift</v>
      </c>
      <c r="BM1249" s="60" t="str">
        <f aca="false">IF(BD1249&lt;=0,"",IF(CG1249="Aussen","Aussenlager",IF(CG1249="-","Nicht im Lift",IF(BJ1249&gt;=1,"Lift",IF(BJ1249&lt;=0,"Aussenlager","teilweise")))))</f>
        <v>Lift</v>
      </c>
      <c r="BN1249" s="60" t="str">
        <f aca="false">IF(A1249="","",IF(BW1249=1,"Neu; ","")&amp;IF(AND(BW1249=0,BR1249&lt;0),"negativer Bestand (Export "&amp;BR1249&amp;"); ","")&amp;IF(J1249&lt;=0,"Kein Verbrauch; ","")&amp;IF(CR1249&gt;0,"Lift "&amp;W1249&amp;" lt. Liftbericht (Fach "&amp;X1249&amp;" Stk); ",IF(CB1249=1,"Gebinde geschätzt ("&amp;T1249&amp;"); ",IF(CA1249=1,"Lose – Tablare geschätzt; ","")))&amp;IF(H1249&gt;AW1249,"Überbestand "&amp;ROUND(H1249-AW1249,0)&amp;" Stk / CHF "&amp;ROUND((H1249-AW1249)*G1249,0)&amp;"; ","")&amp;IF(AND(CI1249=1,CJ1249&lt;CK1249),"MAX &lt; MB+LG; ","")&amp;IF(AND(CQ1249&gt;0,CP1249*10&gt;CQ1249),"zu hoch für Tablar; ","")&amp;IF(AND(BW1249=0,OR(CI1249=1,AB1249&lt;&gt;"",U1249&lt;&gt;"",V1249&lt;&gt;"",AC1249&lt;&gt;"")),"manuell übersteuert; ","")&amp;IF(AND(CA1249=0,R1249=0),"Gebinde unbekannt / Stellmass fehlt; ","")&amp;IF(AND(CA1249=0,N(V1249)&lt;=0,N(Q1249)&lt;=0),"Menge pro Gebinde fehlt (Ist = 1 Gebinde); ","")&amp;BV1249)</f>
        <v>negativer Bestand (Export -7); Kein Verbrauch; Gebinde geschätzt (Gross); Menge pro Gebinde fehlt (Ist = 1 Gebinde); Neuer Art.</v>
      </c>
      <c r="BO1249" s="60"/>
      <c r="BP1249" s="60"/>
      <c r="BQ1249" s="67"/>
      <c r="BR1249" s="62" t="n">
        <v>-7</v>
      </c>
      <c r="BS1249" s="62" t="n">
        <v>7</v>
      </c>
      <c r="BT1249" s="61" t="n">
        <v>-733.74</v>
      </c>
      <c r="BU1249" s="62" t="n">
        <v>0</v>
      </c>
      <c r="BV1249" s="60" t="s">
        <v>554</v>
      </c>
      <c r="BW1249" s="65" t="n">
        <v>0</v>
      </c>
      <c r="BX1249" s="65" t="n">
        <v>1249</v>
      </c>
      <c r="BY1249" s="60" t="str">
        <f aca="false">IF(U1249&lt;&gt;"",UPPER(TRIM(U1249)),IF(CB1249=1,UPPER(VLOOKUP(T1249,Parameter!$I$27:$K$29,2,0)),IF(P1249="","LOSE",P1249)))</f>
        <v>S81</v>
      </c>
      <c r="BZ1249" s="62" t="n">
        <f aca="false">IF(BY1249="LOSE",1,IF(N(V1249)&gt;0,V1249,IF(CB1249=1,MAX(1,N(VLOOKUP(T1249,Parameter!$I$27:$K$29,3,0)),H1249,N(N1249)),IF(N(Q1249)&gt;0,Q1249,MAX(1,H1249)))))</f>
        <v>2</v>
      </c>
      <c r="CA1249" s="65" t="n">
        <f aca="false">IF(BY1249="LOSE",1,0)</f>
        <v>0</v>
      </c>
      <c r="CB1249" s="65" t="n">
        <f aca="false">IF(AND(U1249="",OR(P1249="",P1249="LOSE"),T1249&lt;&gt;"",N(S1249)&lt;=0,ISNUMBER(MATCH(T1249,Parameter!$I$27:$I$29,0))),1,0)</f>
        <v>1</v>
      </c>
      <c r="CC1249" s="65" t="n">
        <f aca="false">IF(CR1249&gt;0,INDEX(Parameter!$H$5:$H$7,W1249)/INDEX(Parameter!$E$5:$E$7,W1249),IF(AND(CA1249=0,N(IFERROR(VLOOKUP(BY1249,'Gebinde-Kategorie'!$A$5:$N$45,14,0),0))&gt;0),VLOOKUP(BY1249,'Gebinde-Kategorie'!$A$5:$N$45,14,0)*10+Parameter!$M$23,Parameter!$M$24))</f>
        <v>235</v>
      </c>
      <c r="CD1249" s="60" t="str">
        <f aca="false">IF(AND(Parameter!$B$19="Ja",E1249&lt;&gt;"",ISNUMBER(MATCH(E1249,Parameter!$I$35:$I$52,0))),VLOOKUP(E1249,Parameter!$I$35:$J$52,2,0),IFERROR(VLOOKUP(D1249,Parameter!$A$35:$C$64,2,0),"Nein"))</f>
        <v>2+3</v>
      </c>
      <c r="CE1249" s="64" t="n">
        <f aca="false">IF(CA1249=0,0,IF(N(S1249)&gt;0,S1249,IFERROR(VLOOKUP(D1249,Parameter!$A$35:$C$64,3,0)+0,0)))</f>
        <v>0</v>
      </c>
      <c r="CF1249" s="60" t="n">
        <f aca="false">IF(AB1249&lt;&gt;"",AB1249,AA1249)</f>
        <v>2</v>
      </c>
      <c r="CG1249" s="60" t="str">
        <f aca="false">IF(OR(CF1249=1,CF1249=2,CF1249=3),IF(Parameter!$E$27="Ja","LIFT",IF(CF1249=1,"L1","L23")),IF(CF1249="Aussen","Aussen","-"))</f>
        <v>LIFT</v>
      </c>
      <c r="CH1249" s="71" t="n">
        <f aca="false">IF(N(AC1249)&gt;0,AC1249,0)</f>
        <v>0</v>
      </c>
      <c r="CI1249" s="65" t="n">
        <f aca="false">IF(ISNUMBER(AF1249),1,0)</f>
        <v>0</v>
      </c>
      <c r="CJ1249" s="62" t="n">
        <f aca="false">N(AF1249)</f>
        <v>0</v>
      </c>
      <c r="CK1249" s="62" t="n">
        <f aca="false">N(M1249)+N(N1249)</f>
        <v>1</v>
      </c>
      <c r="CL1249" s="62" t="n">
        <f aca="false">N(M1249)</f>
        <v>0</v>
      </c>
      <c r="CM1249" s="62" t="n">
        <f aca="false">N(N1249)</f>
        <v>1</v>
      </c>
      <c r="CN1249" s="62" t="n">
        <f aca="false">ROUNDUP(H1249/BZ1249,0)</f>
        <v>0</v>
      </c>
      <c r="CO1249" s="62" t="n">
        <f aca="false">ROUNDUP(CJ1249/BZ1249,0)</f>
        <v>0</v>
      </c>
      <c r="CP1249" s="65" t="n">
        <f aca="false">IF(CA1249=1,0,IFERROR(VLOOKUP(BY1249,'Gebinde-Kategorie'!$A$5:$N$45,5,0)+0,0))</f>
        <v>20</v>
      </c>
      <c r="CQ1249" s="65" t="n">
        <f aca="false">IFERROR(IF(OR(CF1249=1,CF1249=2,CF1249=3),N(INDEX(Parameter!$I$5:$I$7,CF1249)),0),0)</f>
        <v>0</v>
      </c>
      <c r="CR1249" s="64" t="n">
        <f aca="false">IF(AND(Parameter!$B$21="Ja",ISNUMBER(W1249),N(X1249)&gt;0),IFERROR(N(INDEX(Parameter!$L$5:$L$7,W1249))*INDEX(Parameter!$E$5:$E$7,W1249)*X1249/SUMIFS($X$7:$X$1843,$W$7:$W$1843,W1249),0),0)</f>
        <v>0</v>
      </c>
      <c r="CS1249" s="62" t="str">
        <f aca="false">IF(AND(OR(CG1249="L1",CG1249="L23",CG1249="LIFT"),H1249&gt;0),CC1249*IF(CR1249&gt;0,CR1249*MAX(1,H1249/X1249),IF(CA1249=1,CE1249,IF(R1249&gt;0,CN1249/R1249,0))/MAX(0.1,N(Parameter!$M$21))),"")</f>
        <v/>
      </c>
      <c r="CT1249" s="64" t="str">
        <f aca="false">IF(CS1249="","",J1249/H1249)</f>
        <v/>
      </c>
      <c r="CU1249" s="62" t="str">
        <f aca="false">IF(CS1249="","",H1249*G1249)</f>
        <v/>
      </c>
      <c r="CV1249" s="63" t="str">
        <f aca="false">IF(CS1249="","",(CL1249+ROUNDUP(CL1249+MAX(CM1249,2*(J1249/MAX(0.1,N(Einkauf!$C$6))-CL1249)),0))/2)</f>
        <v/>
      </c>
      <c r="CW1249" s="62" t="str">
        <f aca="false">IF(CS1249="","",MAX(0,H1249-CV1249)*G1249)</f>
        <v/>
      </c>
      <c r="CX1249" s="62" t="str">
        <f aca="false">IF(CS1249="","",CS1249*MAX(0,1-CV1249/H1249))</f>
        <v/>
      </c>
      <c r="CY1249" s="64" t="str">
        <f aca="false">IF(CS1249="","",PERCENTRANK($CS$7:$CS$1843,CS1249)+PERCENTRANK($CU$7:$CU$1843,CU1249)+1-PERCENTRANK($CT$7:$CT$1843,CT1249))</f>
        <v/>
      </c>
      <c r="CZ1249" s="72" t="str">
        <f aca="false">IF(CS1249="","",CHOOSE(MATCH(Einkauf!$C$5,Parameter!$G$23:$G$27,0),CY1249,CS1249,CU1249,-CT1249,CW1249)+ROW()/1000000000)</f>
        <v/>
      </c>
    </row>
    <row r="1250" customFormat="false" ht="15" hidden="false" customHeight="false" outlineLevel="0" collapsed="false">
      <c r="A1250" s="60" t="s">
        <v>2277</v>
      </c>
      <c r="B1250" s="60" t="s">
        <v>2278</v>
      </c>
      <c r="C1250" s="60" t="s">
        <v>206</v>
      </c>
      <c r="D1250" s="60" t="s">
        <v>226</v>
      </c>
      <c r="E1250" s="60" t="s">
        <v>227</v>
      </c>
      <c r="F1250" s="60" t="s">
        <v>260</v>
      </c>
      <c r="G1250" s="61" t="n">
        <v>148.8</v>
      </c>
      <c r="H1250" s="62" t="n">
        <f aca="false">MAX(0,IF(AND(Parameter!$B$21="Ja",ISNUMBER(Y1250)),Y1250,IF(Parameter!$B$20="Jahresanfang 2025 + Export",BS1250+BR1250,BR1250)))</f>
        <v>19</v>
      </c>
      <c r="I1250" s="62" t="n">
        <f aca="false">H1250*G1250</f>
        <v>2827.2</v>
      </c>
      <c r="J1250" s="62" t="n">
        <f aca="false">BU1250*Parameter!$B$18</f>
        <v>29</v>
      </c>
      <c r="K1250" s="63" t="n">
        <v>19</v>
      </c>
      <c r="L1250" s="64" t="n">
        <v>1.52631578947368</v>
      </c>
      <c r="M1250" s="62" t="n">
        <v>3</v>
      </c>
      <c r="N1250" s="62" t="n">
        <v>20</v>
      </c>
      <c r="O1250" s="65" t="n">
        <v>31</v>
      </c>
      <c r="P1250" s="60" t="s">
        <v>518</v>
      </c>
      <c r="Q1250" s="62" t="n">
        <v>37</v>
      </c>
      <c r="R1250" s="65" t="n">
        <f aca="false">IF(CA1250=1,0,IFERROR(VLOOKUP(BY1250,'Gebinde-Kategorie'!$A$5:$N$45,13,0)+0,0))</f>
        <v>52</v>
      </c>
      <c r="S1250" s="66"/>
      <c r="T1250" s="67"/>
      <c r="U1250" s="67"/>
      <c r="V1250" s="67"/>
      <c r="W1250" s="60"/>
      <c r="X1250" s="62"/>
      <c r="Y1250" s="62"/>
      <c r="Z1250" s="60" t="n">
        <v>1</v>
      </c>
      <c r="AA1250" s="60" t="n">
        <f aca="false">IF(A1250="","",IF(AND(Parameter!$B$21="Ja",ISNUMBER(W1250)),W1250,IF(AND(Parameter!$E$27="Ja",ISNUMBER(Z1250),CD1250&lt;&gt;"Nein"),Z1250,IF(CD1250="2+3",IF(ISNUMBER(SEARCH("grosser Artikel",BV1250)),2,IFERROR(VLOOKUP(BY1250,Parameter!$F$35:$G$64,2,0),2)),IF(OR(CD1250="Nein",CD1250=""),"-",CD1250)))))</f>
        <v>1</v>
      </c>
      <c r="AB1250" s="67"/>
      <c r="AC1250" s="68"/>
      <c r="AD1250" s="62" t="n">
        <f aca="false">AW1250</f>
        <v>23</v>
      </c>
      <c r="AE1250" s="62" t="n">
        <f aca="false">MAX(AW1250,H1250)</f>
        <v>23</v>
      </c>
      <c r="AF1250" s="69"/>
      <c r="AG1250" s="62" t="n">
        <f aca="false">IF(LEFT(Cockpit!$C$5,1)="A",H1250,IF(Parameter!$E$30="MAX-Bestand",IF(CI1250=1,CJ1250,IF(LEFT(Cockpit!$C$5,1)="B",AM1250,MAX(AM1250,H1250))),ROUNDUP(AK1250,0)))</f>
        <v>19</v>
      </c>
      <c r="AH1250" s="62" t="n">
        <f aca="false">IF(CA1250=1,0,ROUNDUP(AG1250/BZ1250,0))</f>
        <v>1</v>
      </c>
      <c r="AI1250" s="64" t="n">
        <f aca="false">IF(CR1250&gt;0,CR1250*MAX(1,AG1250/X1250),IF(CA1250=1,IF(AG1250&lt;=0,0,CE1250*MAX(1,IF(H1250&gt;0,AG1250/H1250,1))),IF(R1250&gt;0,AH1250/R1250,0))/MAX(0.1,N(Parameter!$M$21)))</f>
        <v>0.0192307692307692</v>
      </c>
      <c r="AJ1250" s="62" t="n">
        <f aca="false">AI1250*CC1250</f>
        <v>2.98076923076923</v>
      </c>
      <c r="AK1250" s="63" t="n">
        <f aca="false">IF(LEFT(Cockpit!$C$5,1)="A",H1250,IF(CI1250=1,(CL1250+CJ1250)/2,IF(LEFT(Cockpit!$C$5,1)="B",(CL1250+AM1250)/2,MAX((CL1250+AM1250)/2,H1250))))</f>
        <v>19</v>
      </c>
      <c r="AL1250" s="62" t="n">
        <f aca="false">AK1250*G1250</f>
        <v>2827.2</v>
      </c>
      <c r="AM1250" s="62" t="n">
        <f aca="false">ROUNDUP(CL1250+MAX(CM1250,2*(J1250/IF(CH1250&gt;0,CH1250,MAX(0.1,N(Cockpit!$C$6)))-CL1250)),0)</f>
        <v>23</v>
      </c>
      <c r="AN1250" s="63" t="n">
        <f aca="false">IF(AJ1250&gt;0,J1250/AJ1250,-1)</f>
        <v>9.72903225806452</v>
      </c>
      <c r="AO1250" s="63" t="n">
        <f aca="false">IF(AND(OR(CG1250="L1",CG1250="L23",CG1250="LIFT"),AJ1250&gt;0),SUMIFS($AJ$7:$AJ$1843,$CG$7:$CG$1843,CG1250,$AN$7:$AN$1843,"&gt;"&amp;AN1250)+SUMIFS($AJ$7:$AJ$1843,$CG$7:$CG$1843,CG1250,$AN$7:$AN$1843,AN1250,$BX$7:$BX$1843,"&lt;="&amp;BX1250),"")</f>
        <v>2897.21382783883</v>
      </c>
      <c r="AP1250" s="70" t="n">
        <f aca="false">IF(AO1250="",0,MAX(0,MIN(1,(IF(CG1250="L1",Parameter!$H$5,IF(CG1250="L23",Parameter!$H$6+Parameter!$H$7,Parameter!$H$5+Parameter!$H$6+Parameter!$H$7))-(AO1250-AJ1250))/AJ1250)))</f>
        <v>1</v>
      </c>
      <c r="AQ1250" s="62" t="n">
        <f aca="false">IF(LEFT(Cockpit!$I$5,1)="A",H1250,IF(Parameter!$E$30="MAX-Bestand",IF(CI1250=1,CJ1250,IF(LEFT(Cockpit!$I$5,1)="B",AW1250,MAX(AW1250,H1250))),ROUNDUP(AU1250,0)))</f>
        <v>19</v>
      </c>
      <c r="AR1250" s="62" t="n">
        <f aca="false">IF(CA1250=1,0,ROUNDUP(AQ1250/BZ1250,0))</f>
        <v>1</v>
      </c>
      <c r="AS1250" s="64" t="n">
        <f aca="false">IF(CR1250&gt;0,CR1250*MAX(1,AQ1250/X1250),IF(CA1250=1,IF(AQ1250&lt;=0,0,CE1250*MAX(1,IF(H1250&gt;0,AQ1250/H1250,1))),IF(R1250&gt;0,AR1250/R1250,0))/MAX(0.1,N(Parameter!$M$21)))</f>
        <v>0.0192307692307692</v>
      </c>
      <c r="AT1250" s="62" t="n">
        <f aca="false">AS1250*CC1250</f>
        <v>2.98076923076923</v>
      </c>
      <c r="AU1250" s="63" t="n">
        <f aca="false">IF(LEFT(Cockpit!$I$5,1)="A",H1250,IF(CI1250=1,(CL1250+CJ1250)/2,IF(LEFT(Cockpit!$I$5,1)="B",(CL1250+AW1250)/2,MAX((CL1250+AW1250)/2,H1250))))</f>
        <v>19</v>
      </c>
      <c r="AV1250" s="62" t="n">
        <f aca="false">AU1250*G1250</f>
        <v>2827.2</v>
      </c>
      <c r="AW1250" s="62" t="n">
        <f aca="false">ROUNDUP(CL1250+MAX(CM1250,2*(J1250/IF(CH1250&gt;0,CH1250,MAX(0.1,N(Cockpit!$I$6)))-CL1250)),0)</f>
        <v>23</v>
      </c>
      <c r="AX1250" s="63" t="n">
        <f aca="false">IF(AT1250&gt;0,J1250/AT1250,-1)</f>
        <v>9.72903225806452</v>
      </c>
      <c r="AY1250" s="63" t="n">
        <f aca="false">IF(AND(OR(CG1250="L1",CG1250="L23",CG1250="LIFT"),AT1250&gt;0),SUMIFS($AT$7:$AT$1843,$CG$7:$CG$1843,CG1250,$AX$7:$AX$1843,"&gt;"&amp;AX1250)+SUMIFS($AT$7:$AT$1843,$CG$7:$CG$1843,CG1250,$AX$7:$AX$1843,AX1250,$BX$7:$BX$1843,"&lt;="&amp;BX1250),"")</f>
        <v>3512.20192307692</v>
      </c>
      <c r="AZ1250" s="70" t="n">
        <f aca="false">IF(AY1250="",0,MAX(0,MIN(1,(IF(CG1250="L1",Parameter!$H$5,IF(CG1250="L23",Parameter!$H$6+Parameter!$H$7,Parameter!$H$5+Parameter!$H$6+Parameter!$H$7))-(AY1250-AT1250))/AT1250)))</f>
        <v>1</v>
      </c>
      <c r="BA1250" s="62" t="n">
        <f aca="false">IF(LEFT(Cockpit!$O$5,1)="A",H1250,IF(Parameter!$E$30="MAX-Bestand",IF(CI1250=1,CJ1250,IF(LEFT(Cockpit!$O$5,1)="B",BG1250,MAX(BG1250,H1250))),ROUNDUP(BE1250,0)))</f>
        <v>13</v>
      </c>
      <c r="BB1250" s="62" t="n">
        <f aca="false">IF(CA1250=1,0,ROUNDUP(BA1250/BZ1250,0))</f>
        <v>1</v>
      </c>
      <c r="BC1250" s="64" t="n">
        <f aca="false">IF(CR1250&gt;0,CR1250*MAX(1,BA1250/X1250),IF(CA1250=1,IF(BA1250&lt;=0,0,CE1250*MAX(1,IF(H1250&gt;0,BA1250/H1250,1))),IF(R1250&gt;0,BB1250/R1250,0))/MAX(0.1,N(Parameter!$M$21)))</f>
        <v>0.0192307692307692</v>
      </c>
      <c r="BD1250" s="62" t="n">
        <f aca="false">BC1250*CC1250</f>
        <v>2.98076923076923</v>
      </c>
      <c r="BE1250" s="63" t="n">
        <f aca="false">IF(LEFT(Cockpit!$O$5,1)="A",H1250,IF(CI1250=1,(CL1250+CJ1250)/2,IF(LEFT(Cockpit!$O$5,1)="B",(CL1250+BG1250)/2,MAX((CL1250+BG1250)/2,H1250))))</f>
        <v>13</v>
      </c>
      <c r="BF1250" s="62" t="n">
        <f aca="false">BE1250*G1250</f>
        <v>1934.4</v>
      </c>
      <c r="BG1250" s="62" t="n">
        <f aca="false">ROUNDUP(CL1250+MAX(CM1250,2*(J1250/IF(CH1250&gt;0,CH1250,MAX(0.1,N(Cockpit!$O$6)))-CL1250)),0)</f>
        <v>23</v>
      </c>
      <c r="BH1250" s="63" t="n">
        <f aca="false">IF(BD1250&gt;0,J1250/BD1250,-1)</f>
        <v>9.72903225806452</v>
      </c>
      <c r="BI1250" s="63" t="n">
        <f aca="false">IF(AND(OR(CG1250="L1",CG1250="L23",CG1250="LIFT"),BD1250&gt;0),SUMIFS($BD$7:$BD$1843,$CG$7:$CG$1843,CG1250,$BH$7:$BH$1843,"&gt;"&amp;BH1250)+SUMIFS($BD$7:$BD$1843,$CG$7:$CG$1843,CG1250,$BH$7:$BH$1843,BH1250,$BX$7:$BX$1843,"&lt;="&amp;BX1250),"")</f>
        <v>2717.69551282051</v>
      </c>
      <c r="BJ1250" s="70" t="n">
        <f aca="false">IF(BI1250="",0,MAX(0,MIN(1,(IF(CG1250="L1",Parameter!$H$5,IF(CG1250="L23",Parameter!$H$6+Parameter!$H$7,Parameter!$H$5+Parameter!$H$6+Parameter!$H$7))-(BI1250-BD1250))/BD1250)))</f>
        <v>1</v>
      </c>
      <c r="BK1250" s="60" t="str">
        <f aca="false">IF(AJ1250&lt;=0,"",IF(CG1250="Aussen","Aussenlager",IF(CG1250="-","Nicht im Lift",IF(AP1250&gt;=1,"Lift",IF(AP1250&lt;=0,"Aussenlager","teilweise")))))</f>
        <v>Lift</v>
      </c>
      <c r="BL1250" s="60" t="str">
        <f aca="false">IF(AT1250&lt;=0,"",IF(CG1250="Aussen","Aussenlager",IF(CG1250="-","Nicht im Lift",IF(AZ1250&gt;=1,"Lift",IF(AZ1250&lt;=0,"Aussenlager","teilweise")))))</f>
        <v>Lift</v>
      </c>
      <c r="BM1250" s="60" t="str">
        <f aca="false">IF(BD1250&lt;=0,"",IF(CG1250="Aussen","Aussenlager",IF(CG1250="-","Nicht im Lift",IF(BJ1250&gt;=1,"Lift",IF(BJ1250&lt;=0,"Aussenlager","teilweise")))))</f>
        <v>Lift</v>
      </c>
      <c r="BN1250" s="60" t="str">
        <f aca="false">IF(A1250="","",IF(BW1250=1,"Neu; ","")&amp;IF(AND(BW1250=0,BR1250&lt;0),"negativer Bestand (Export "&amp;BR1250&amp;"); ","")&amp;IF(J1250&lt;=0,"Kein Verbrauch; ","")&amp;IF(CR1250&gt;0,"Lift "&amp;W1250&amp;" lt. Liftbericht (Fach "&amp;X1250&amp;" Stk); ",IF(CB1250=1,"Gebinde geschätzt ("&amp;T1250&amp;"); ",IF(CA1250=1,"Lose – Tablare geschätzt; ","")))&amp;IF(H1250&gt;AW1250,"Überbestand "&amp;ROUND(H1250-AW1250,0)&amp;" Stk / CHF "&amp;ROUND((H1250-AW1250)*G1250,0)&amp;"; ","")&amp;IF(AND(CI1250=1,CJ1250&lt;CK1250),"MAX &lt; MB+LG; ","")&amp;IF(AND(CQ1250&gt;0,CP1250*10&gt;CQ1250),"zu hoch für Tablar; ","")&amp;IF(AND(BW1250=0,OR(CI1250=1,AB1250&lt;&gt;"",U1250&lt;&gt;"",V1250&lt;&gt;"",AC1250&lt;&gt;"")),"manuell übersteuert; ","")&amp;IF(AND(CA1250=0,R1250=0),"Gebinde unbekannt / Stellmass fehlt; ","")&amp;IF(AND(CA1250=0,N(V1250)&lt;=0,N(Q1250)&lt;=0),"Menge pro Gebinde fehlt (Ist = 1 Gebinde); ","")&amp;BV1250)</f>
        <v>negativer Bestand (Export -5); </v>
      </c>
      <c r="BO1250" s="60"/>
      <c r="BP1250" s="60"/>
      <c r="BQ1250" s="67"/>
      <c r="BR1250" s="62" t="n">
        <v>-5</v>
      </c>
      <c r="BS1250" s="62" t="n">
        <v>24</v>
      </c>
      <c r="BT1250" s="61" t="n">
        <v>-738.000000000001</v>
      </c>
      <c r="BU1250" s="62" t="n">
        <v>29</v>
      </c>
      <c r="BV1250" s="60"/>
      <c r="BW1250" s="65" t="n">
        <v>0</v>
      </c>
      <c r="BX1250" s="65" t="n">
        <v>1250</v>
      </c>
      <c r="BY1250" s="60" t="str">
        <f aca="false">IF(U1250&lt;&gt;"",UPPER(TRIM(U1250)),IF(CB1250=1,UPPER(VLOOKUP(T1250,Parameter!$I$27:$K$29,2,0)),IF(P1250="","LOSE",P1250)))</f>
        <v>S33</v>
      </c>
      <c r="BZ1250" s="62" t="n">
        <f aca="false">IF(BY1250="LOSE",1,IF(N(V1250)&gt;0,V1250,IF(CB1250=1,MAX(1,N(VLOOKUP(T1250,Parameter!$I$27:$K$29,3,0)),H1250,N(N1250)),IF(N(Q1250)&gt;0,Q1250,MAX(1,H1250)))))</f>
        <v>37</v>
      </c>
      <c r="CA1250" s="65" t="n">
        <f aca="false">IF(BY1250="LOSE",1,0)</f>
        <v>0</v>
      </c>
      <c r="CB1250" s="65" t="n">
        <f aca="false">IF(AND(U1250="",OR(P1250="",P1250="LOSE"),T1250&lt;&gt;"",N(S1250)&lt;=0,ISNUMBER(MATCH(T1250,Parameter!$I$27:$I$29,0))),1,0)</f>
        <v>0</v>
      </c>
      <c r="CC1250" s="65" t="n">
        <f aca="false">IF(CR1250&gt;0,INDEX(Parameter!$H$5:$H$7,W1250)/INDEX(Parameter!$E$5:$E$7,W1250),IF(AND(CA1250=0,N(IFERROR(VLOOKUP(BY1250,'Gebinde-Kategorie'!$A$5:$N$45,14,0),0))&gt;0),VLOOKUP(BY1250,'Gebinde-Kategorie'!$A$5:$N$45,14,0)*10+Parameter!$M$23,Parameter!$M$24))</f>
        <v>155</v>
      </c>
      <c r="CD1250" s="60" t="str">
        <f aca="false">IF(AND(Parameter!$B$19="Ja",E1250&lt;&gt;"",ISNUMBER(MATCH(E1250,Parameter!$I$35:$I$52,0))),VLOOKUP(E1250,Parameter!$I$35:$J$52,2,0),IFERROR(VLOOKUP(D1250,Parameter!$A$35:$C$64,2,0),"Nein"))</f>
        <v>2+3</v>
      </c>
      <c r="CE1250" s="64" t="n">
        <f aca="false">IF(CA1250=0,0,IF(N(S1250)&gt;0,S1250,IFERROR(VLOOKUP(D1250,Parameter!$A$35:$C$64,3,0)+0,0)))</f>
        <v>0</v>
      </c>
      <c r="CF1250" s="60" t="n">
        <f aca="false">IF(AB1250&lt;&gt;"",AB1250,AA1250)</f>
        <v>1</v>
      </c>
      <c r="CG1250" s="60" t="str">
        <f aca="false">IF(OR(CF1250=1,CF1250=2,CF1250=3),IF(Parameter!$E$27="Ja","LIFT",IF(CF1250=1,"L1","L23")),IF(CF1250="Aussen","Aussen","-"))</f>
        <v>LIFT</v>
      </c>
      <c r="CH1250" s="71" t="n">
        <f aca="false">IF(N(AC1250)&gt;0,AC1250,0)</f>
        <v>0</v>
      </c>
      <c r="CI1250" s="65" t="n">
        <f aca="false">IF(ISNUMBER(AF1250),1,0)</f>
        <v>0</v>
      </c>
      <c r="CJ1250" s="62" t="n">
        <f aca="false">N(AF1250)</f>
        <v>0</v>
      </c>
      <c r="CK1250" s="62" t="n">
        <f aca="false">N(M1250)+N(N1250)</f>
        <v>23</v>
      </c>
      <c r="CL1250" s="62" t="n">
        <f aca="false">N(M1250)</f>
        <v>3</v>
      </c>
      <c r="CM1250" s="62" t="n">
        <f aca="false">N(N1250)</f>
        <v>20</v>
      </c>
      <c r="CN1250" s="62" t="n">
        <f aca="false">ROUNDUP(H1250/BZ1250,0)</f>
        <v>1</v>
      </c>
      <c r="CO1250" s="62" t="n">
        <f aca="false">ROUNDUP(CJ1250/BZ1250,0)</f>
        <v>0</v>
      </c>
      <c r="CP1250" s="65" t="n">
        <f aca="false">IF(CA1250=1,0,IFERROR(VLOOKUP(BY1250,'Gebinde-Kategorie'!$A$5:$N$45,5,0)+0,0))</f>
        <v>8</v>
      </c>
      <c r="CQ1250" s="65" t="n">
        <f aca="false">IFERROR(IF(OR(CF1250=1,CF1250=2,CF1250=3),N(INDEX(Parameter!$I$5:$I$7,CF1250)),0),0)</f>
        <v>0</v>
      </c>
      <c r="CR1250" s="64" t="n">
        <f aca="false">IF(AND(Parameter!$B$21="Ja",ISNUMBER(W1250),N(X1250)&gt;0),IFERROR(N(INDEX(Parameter!$L$5:$L$7,W1250))*INDEX(Parameter!$E$5:$E$7,W1250)*X1250/SUMIFS($X$7:$X$1843,$W$7:$W$1843,W1250),0),0)</f>
        <v>0</v>
      </c>
      <c r="CS1250" s="62" t="n">
        <f aca="false">IF(AND(OR(CG1250="L1",CG1250="L23",CG1250="LIFT"),H1250&gt;0),CC1250*IF(CR1250&gt;0,CR1250*MAX(1,H1250/X1250),IF(CA1250=1,CE1250,IF(R1250&gt;0,CN1250/R1250,0))/MAX(0.1,N(Parameter!$M$21))),"")</f>
        <v>2.98076923076923</v>
      </c>
      <c r="CT1250" s="64" t="n">
        <f aca="false">IF(CS1250="","",J1250/H1250)</f>
        <v>1.52631578947368</v>
      </c>
      <c r="CU1250" s="62" t="n">
        <f aca="false">IF(CS1250="","",H1250*G1250)</f>
        <v>2827.2</v>
      </c>
      <c r="CV1250" s="63" t="n">
        <f aca="false">IF(CS1250="","",(CL1250+ROUNDUP(CL1250+MAX(CM1250,2*(J1250/MAX(0.1,N(Einkauf!$C$6))-CL1250)),0))/2)</f>
        <v>13</v>
      </c>
      <c r="CW1250" s="62" t="n">
        <f aca="false">IF(CS1250="","",MAX(0,H1250-CV1250)*G1250)</f>
        <v>892.8</v>
      </c>
      <c r="CX1250" s="62" t="n">
        <f aca="false">IF(CS1250="","",CS1250*MAX(0,1-CV1250/H1250))</f>
        <v>0.941295546558704</v>
      </c>
      <c r="CY1250" s="64" t="n">
        <f aca="false">IF(CS1250="","",PERCENTRANK($CS$7:$CS$1843,CS1250)+PERCENTRANK($CU$7:$CU$1843,CU1250)+1-PERCENTRANK($CT$7:$CT$1843,CT1250))</f>
        <v>1.263</v>
      </c>
      <c r="CZ1250" s="72" t="n">
        <f aca="false">IF(CS1250="","",CHOOSE(MATCH(Einkauf!$C$5,Parameter!$G$23:$G$27,0),CY1250,CS1250,CU1250,-CT1250,CW1250)+ROW()/1000000000)</f>
        <v>1.26300125</v>
      </c>
    </row>
    <row r="1251" customFormat="false" ht="15" hidden="false" customHeight="false" outlineLevel="0" collapsed="false">
      <c r="A1251" s="60" t="s">
        <v>2279</v>
      </c>
      <c r="B1251" s="60" t="s">
        <v>633</v>
      </c>
      <c r="C1251" s="60" t="s">
        <v>206</v>
      </c>
      <c r="D1251" s="60" t="s">
        <v>226</v>
      </c>
      <c r="E1251" s="60" t="s">
        <v>227</v>
      </c>
      <c r="F1251" s="60" t="s">
        <v>260</v>
      </c>
      <c r="G1251" s="61" t="n">
        <v>59.75</v>
      </c>
      <c r="H1251" s="62" t="n">
        <f aca="false">MAX(0,IF(AND(Parameter!$B$21="Ja",ISNUMBER(Y1251)),Y1251,IF(Parameter!$B$20="Jahresanfang 2025 + Export",BS1251+BR1251,BR1251)))</f>
        <v>70</v>
      </c>
      <c r="I1251" s="62" t="n">
        <f aca="false">H1251*G1251</f>
        <v>4182.5</v>
      </c>
      <c r="J1251" s="62" t="n">
        <f aca="false">BU1251*Parameter!$B$18</f>
        <v>29</v>
      </c>
      <c r="K1251" s="63" t="n">
        <v>77.5</v>
      </c>
      <c r="L1251" s="64" t="n">
        <v>0.374193548387097</v>
      </c>
      <c r="M1251" s="62" t="n">
        <v>4</v>
      </c>
      <c r="N1251" s="62" t="n">
        <v>30</v>
      </c>
      <c r="O1251" s="65" t="n">
        <v>21</v>
      </c>
      <c r="P1251" s="60" t="s">
        <v>275</v>
      </c>
      <c r="Q1251" s="62" t="n">
        <v>90</v>
      </c>
      <c r="R1251" s="65" t="n">
        <f aca="false">IF(CA1251=1,0,IFERROR(VLOOKUP(BY1251,'Gebinde-Kategorie'!$A$5:$N$45,13,0)+0,0))</f>
        <v>26</v>
      </c>
      <c r="S1251" s="66"/>
      <c r="T1251" s="67"/>
      <c r="U1251" s="67"/>
      <c r="V1251" s="67"/>
      <c r="W1251" s="60"/>
      <c r="X1251" s="62"/>
      <c r="Y1251" s="62"/>
      <c r="Z1251" s="60" t="n">
        <v>3</v>
      </c>
      <c r="AA1251" s="60" t="n">
        <f aca="false">IF(A1251="","",IF(AND(Parameter!$B$21="Ja",ISNUMBER(W1251)),W1251,IF(AND(Parameter!$E$27="Ja",ISNUMBER(Z1251),CD1251&lt;&gt;"Nein"),Z1251,IF(CD1251="2+3",IF(ISNUMBER(SEARCH("grosser Artikel",BV1251)),2,IFERROR(VLOOKUP(BY1251,Parameter!$F$35:$G$64,2,0),2)),IF(OR(CD1251="Nein",CD1251=""),"-",CD1251)))))</f>
        <v>3</v>
      </c>
      <c r="AB1251" s="67"/>
      <c r="AC1251" s="68"/>
      <c r="AD1251" s="62" t="n">
        <f aca="false">AW1251</f>
        <v>34</v>
      </c>
      <c r="AE1251" s="62" t="n">
        <f aca="false">MAX(AW1251,H1251)</f>
        <v>70</v>
      </c>
      <c r="AF1251" s="69"/>
      <c r="AG1251" s="62" t="n">
        <f aca="false">IF(LEFT(Cockpit!$C$5,1)="A",H1251,IF(Parameter!$E$30="MAX-Bestand",IF(CI1251=1,CJ1251,IF(LEFT(Cockpit!$C$5,1)="B",AM1251,MAX(AM1251,H1251))),ROUNDUP(AK1251,0)))</f>
        <v>70</v>
      </c>
      <c r="AH1251" s="62" t="n">
        <f aca="false">IF(CA1251=1,0,ROUNDUP(AG1251/BZ1251,0))</f>
        <v>1</v>
      </c>
      <c r="AI1251" s="64" t="n">
        <f aca="false">IF(CR1251&gt;0,CR1251*MAX(1,AG1251/X1251),IF(CA1251=1,IF(AG1251&lt;=0,0,CE1251*MAX(1,IF(H1251&gt;0,AG1251/H1251,1))),IF(R1251&gt;0,AH1251/R1251,0))/MAX(0.1,N(Parameter!$M$21)))</f>
        <v>0.0384615384615385</v>
      </c>
      <c r="AJ1251" s="62" t="n">
        <f aca="false">AI1251*CC1251</f>
        <v>9.42307692307692</v>
      </c>
      <c r="AK1251" s="63" t="n">
        <f aca="false">IF(LEFT(Cockpit!$C$5,1)="A",H1251,IF(CI1251=1,(CL1251+CJ1251)/2,IF(LEFT(Cockpit!$C$5,1)="B",(CL1251+AM1251)/2,MAX((CL1251+AM1251)/2,H1251))))</f>
        <v>70</v>
      </c>
      <c r="AL1251" s="62" t="n">
        <f aca="false">AK1251*G1251</f>
        <v>4182.5</v>
      </c>
      <c r="AM1251" s="62" t="n">
        <f aca="false">ROUNDUP(CL1251+MAX(CM1251,2*(J1251/IF(CH1251&gt;0,CH1251,MAX(0.1,N(Cockpit!$C$6)))-CL1251)),0)</f>
        <v>34</v>
      </c>
      <c r="AN1251" s="63" t="n">
        <f aca="false">IF(AJ1251&gt;0,J1251/AJ1251,-1)</f>
        <v>3.07755102040816</v>
      </c>
      <c r="AO1251" s="63" t="n">
        <f aca="false">IF(AND(OR(CG1251="L1",CG1251="L23",CG1251="LIFT"),AJ1251&gt;0),SUMIFS($AJ$7:$AJ$1843,$CG$7:$CG$1843,CG1251,$AN$7:$AN$1843,"&gt;"&amp;AN1251)+SUMIFS($AJ$7:$AJ$1843,$CG$7:$CG$1843,CG1251,$AN$7:$AN$1843,AN1251,$BX$7:$BX$1843,"&lt;="&amp;BX1251),"")</f>
        <v>5041.08470695971</v>
      </c>
      <c r="AP1251" s="70" t="n">
        <f aca="false">IF(AO1251="",0,MAX(0,MIN(1,(IF(CG1251="L1",Parameter!$H$5,IF(CG1251="L23",Parameter!$H$6+Parameter!$H$7,Parameter!$H$5+Parameter!$H$6+Parameter!$H$7))-(AO1251-AJ1251))/AJ1251)))</f>
        <v>1</v>
      </c>
      <c r="AQ1251" s="62" t="n">
        <f aca="false">IF(LEFT(Cockpit!$I$5,1)="A",H1251,IF(Parameter!$E$30="MAX-Bestand",IF(CI1251=1,CJ1251,IF(LEFT(Cockpit!$I$5,1)="B",AW1251,MAX(AW1251,H1251))),ROUNDUP(AU1251,0)))</f>
        <v>70</v>
      </c>
      <c r="AR1251" s="62" t="n">
        <f aca="false">IF(CA1251=1,0,ROUNDUP(AQ1251/BZ1251,0))</f>
        <v>1</v>
      </c>
      <c r="AS1251" s="64" t="n">
        <f aca="false">IF(CR1251&gt;0,CR1251*MAX(1,AQ1251/X1251),IF(CA1251=1,IF(AQ1251&lt;=0,0,CE1251*MAX(1,IF(H1251&gt;0,AQ1251/H1251,1))),IF(R1251&gt;0,AR1251/R1251,0))/MAX(0.1,N(Parameter!$M$21)))</f>
        <v>0.0384615384615385</v>
      </c>
      <c r="AT1251" s="62" t="n">
        <f aca="false">AS1251*CC1251</f>
        <v>9.42307692307692</v>
      </c>
      <c r="AU1251" s="63" t="n">
        <f aca="false">IF(LEFT(Cockpit!$I$5,1)="A",H1251,IF(CI1251=1,(CL1251+CJ1251)/2,IF(LEFT(Cockpit!$I$5,1)="B",(CL1251+AW1251)/2,MAX((CL1251+AW1251)/2,H1251))))</f>
        <v>70</v>
      </c>
      <c r="AV1251" s="62" t="n">
        <f aca="false">AU1251*G1251</f>
        <v>4182.5</v>
      </c>
      <c r="AW1251" s="62" t="n">
        <f aca="false">ROUNDUP(CL1251+MAX(CM1251,2*(J1251/IF(CH1251&gt;0,CH1251,MAX(0.1,N(Cockpit!$I$6)))-CL1251)),0)</f>
        <v>34</v>
      </c>
      <c r="AX1251" s="63" t="n">
        <f aca="false">IF(AT1251&gt;0,J1251/AT1251,-1)</f>
        <v>3.07755102040816</v>
      </c>
      <c r="AY1251" s="63" t="n">
        <f aca="false">IF(AND(OR(CG1251="L1",CG1251="L23",CG1251="LIFT"),AT1251&gt;0),SUMIFS($AT$7:$AT$1843,$CG$7:$CG$1843,CG1251,$AX$7:$AX$1843,"&gt;"&amp;AX1251)+SUMIFS($AT$7:$AT$1843,$CG$7:$CG$1843,CG1251,$AX$7:$AX$1843,AX1251,$BX$7:$BX$1843,"&lt;="&amp;BX1251),"")</f>
        <v>5797.13324175824</v>
      </c>
      <c r="AZ1251" s="70" t="n">
        <f aca="false">IF(AY1251="",0,MAX(0,MIN(1,(IF(CG1251="L1",Parameter!$H$5,IF(CG1251="L23",Parameter!$H$6+Parameter!$H$7,Parameter!$H$5+Parameter!$H$6+Parameter!$H$7))-(AY1251-AT1251))/AT1251)))</f>
        <v>1</v>
      </c>
      <c r="BA1251" s="62" t="n">
        <f aca="false">IF(LEFT(Cockpit!$O$5,1)="A",H1251,IF(Parameter!$E$30="MAX-Bestand",IF(CI1251=1,CJ1251,IF(LEFT(Cockpit!$O$5,1)="B",BG1251,MAX(BG1251,H1251))),ROUNDUP(BE1251,0)))</f>
        <v>19</v>
      </c>
      <c r="BB1251" s="62" t="n">
        <f aca="false">IF(CA1251=1,0,ROUNDUP(BA1251/BZ1251,0))</f>
        <v>1</v>
      </c>
      <c r="BC1251" s="64" t="n">
        <f aca="false">IF(CR1251&gt;0,CR1251*MAX(1,BA1251/X1251),IF(CA1251=1,IF(BA1251&lt;=0,0,CE1251*MAX(1,IF(H1251&gt;0,BA1251/H1251,1))),IF(R1251&gt;0,BB1251/R1251,0))/MAX(0.1,N(Parameter!$M$21)))</f>
        <v>0.0384615384615385</v>
      </c>
      <c r="BD1251" s="62" t="n">
        <f aca="false">BC1251*CC1251</f>
        <v>9.42307692307692</v>
      </c>
      <c r="BE1251" s="63" t="n">
        <f aca="false">IF(LEFT(Cockpit!$O$5,1)="A",H1251,IF(CI1251=1,(CL1251+CJ1251)/2,IF(LEFT(Cockpit!$O$5,1)="B",(CL1251+BG1251)/2,MAX((CL1251+BG1251)/2,H1251))))</f>
        <v>19</v>
      </c>
      <c r="BF1251" s="62" t="n">
        <f aca="false">BE1251*G1251</f>
        <v>1135.25</v>
      </c>
      <c r="BG1251" s="62" t="n">
        <f aca="false">ROUNDUP(CL1251+MAX(CM1251,2*(J1251/IF(CH1251&gt;0,CH1251,MAX(0.1,N(Cockpit!$O$6)))-CL1251)),0)</f>
        <v>34</v>
      </c>
      <c r="BH1251" s="63" t="n">
        <f aca="false">IF(BD1251&gt;0,J1251/BD1251,-1)</f>
        <v>3.07755102040816</v>
      </c>
      <c r="BI1251" s="63" t="n">
        <f aca="false">IF(AND(OR(CG1251="L1",CG1251="L23",CG1251="LIFT"),BD1251&gt;0),SUMIFS($BD$7:$BD$1843,$CG$7:$CG$1843,CG1251,$BH$7:$BH$1843,"&gt;"&amp;BH1251)+SUMIFS($BD$7:$BD$1843,$CG$7:$CG$1843,CG1251,$BH$7:$BH$1843,BH1251,$BX$7:$BX$1843,"&lt;="&amp;BX1251),"")</f>
        <v>4741.54990842491</v>
      </c>
      <c r="BJ1251" s="70" t="n">
        <f aca="false">IF(BI1251="",0,MAX(0,MIN(1,(IF(CG1251="L1",Parameter!$H$5,IF(CG1251="L23",Parameter!$H$6+Parameter!$H$7,Parameter!$H$5+Parameter!$H$6+Parameter!$H$7))-(BI1251-BD1251))/BD1251)))</f>
        <v>1</v>
      </c>
      <c r="BK1251" s="60" t="str">
        <f aca="false">IF(AJ1251&lt;=0,"",IF(CG1251="Aussen","Aussenlager",IF(CG1251="-","Nicht im Lift",IF(AP1251&gt;=1,"Lift",IF(AP1251&lt;=0,"Aussenlager","teilweise")))))</f>
        <v>Lift</v>
      </c>
      <c r="BL1251" s="60" t="str">
        <f aca="false">IF(AT1251&lt;=0,"",IF(CG1251="Aussen","Aussenlager",IF(CG1251="-","Nicht im Lift",IF(AZ1251&gt;=1,"Lift",IF(AZ1251&lt;=0,"Aussenlager","teilweise")))))</f>
        <v>Lift</v>
      </c>
      <c r="BM1251" s="60" t="str">
        <f aca="false">IF(BD1251&lt;=0,"",IF(CG1251="Aussen","Aussenlager",IF(CG1251="-","Nicht im Lift",IF(BJ1251&gt;=1,"Lift",IF(BJ1251&lt;=0,"Aussenlager","teilweise")))))</f>
        <v>Lift</v>
      </c>
      <c r="BN1251" s="60" t="str">
        <f aca="false">IF(A1251="","",IF(BW1251=1,"Neu; ","")&amp;IF(AND(BW1251=0,BR1251&lt;0),"negativer Bestand (Export "&amp;BR1251&amp;"); ","")&amp;IF(J1251&lt;=0,"Kein Verbrauch; ","")&amp;IF(CR1251&gt;0,"Lift "&amp;W1251&amp;" lt. Liftbericht (Fach "&amp;X1251&amp;" Stk); ",IF(CB1251=1,"Gebinde geschätzt ("&amp;T1251&amp;"); ",IF(CA1251=1,"Lose – Tablare geschätzt; ","")))&amp;IF(H1251&gt;AW1251,"Überbestand "&amp;ROUND(H1251-AW1251,0)&amp;" Stk / CHF "&amp;ROUND((H1251-AW1251)*G1251,0)&amp;"; ","")&amp;IF(AND(CI1251=1,CJ1251&lt;CK1251),"MAX &lt; MB+LG; ","")&amp;IF(AND(CQ1251&gt;0,CP1251*10&gt;CQ1251),"zu hoch für Tablar; ","")&amp;IF(AND(BW1251=0,OR(CI1251=1,AB1251&lt;&gt;"",U1251&lt;&gt;"",V1251&lt;&gt;"",AC1251&lt;&gt;"")),"manuell übersteuert; ","")&amp;IF(AND(CA1251=0,R1251=0),"Gebinde unbekannt / Stellmass fehlt; ","")&amp;IF(AND(CA1251=0,N(V1251)&lt;=0,N(Q1251)&lt;=0),"Menge pro Gebinde fehlt (Ist = 1 Gebinde); ","")&amp;BV1251)</f>
        <v>negativer Bestand (Export -13); Überbestand 36 Stk / CHF 2151; </v>
      </c>
      <c r="BO1251" s="60"/>
      <c r="BP1251" s="60"/>
      <c r="BQ1251" s="67"/>
      <c r="BR1251" s="62" t="n">
        <v>-13</v>
      </c>
      <c r="BS1251" s="62" t="n">
        <v>83</v>
      </c>
      <c r="BT1251" s="61" t="n">
        <v>-750.190000000001</v>
      </c>
      <c r="BU1251" s="62" t="n">
        <v>29</v>
      </c>
      <c r="BV1251" s="60"/>
      <c r="BW1251" s="65" t="n">
        <v>0</v>
      </c>
      <c r="BX1251" s="65" t="n">
        <v>1251</v>
      </c>
      <c r="BY1251" s="60" t="str">
        <f aca="false">IF(U1251&lt;&gt;"",UPPER(TRIM(U1251)),IF(CB1251=1,UPPER(VLOOKUP(T1251,Parameter!$I$27:$K$29,2,0)),IF(P1251="","LOSE",P1251)))</f>
        <v>S52</v>
      </c>
      <c r="BZ1251" s="62" t="n">
        <f aca="false">IF(BY1251="LOSE",1,IF(N(V1251)&gt;0,V1251,IF(CB1251=1,MAX(1,N(VLOOKUP(T1251,Parameter!$I$27:$K$29,3,0)),H1251,N(N1251)),IF(N(Q1251)&gt;0,Q1251,MAX(1,H1251)))))</f>
        <v>90</v>
      </c>
      <c r="CA1251" s="65" t="n">
        <f aca="false">IF(BY1251="LOSE",1,0)</f>
        <v>0</v>
      </c>
      <c r="CB1251" s="65" t="n">
        <f aca="false">IF(AND(U1251="",OR(P1251="",P1251="LOSE"),T1251&lt;&gt;"",N(S1251)&lt;=0,ISNUMBER(MATCH(T1251,Parameter!$I$27:$I$29,0))),1,0)</f>
        <v>0</v>
      </c>
      <c r="CC1251" s="65" t="n">
        <f aca="false">IF(CR1251&gt;0,INDEX(Parameter!$H$5:$H$7,W1251)/INDEX(Parameter!$E$5:$E$7,W1251),IF(AND(CA1251=0,N(IFERROR(VLOOKUP(BY1251,'Gebinde-Kategorie'!$A$5:$N$45,14,0),0))&gt;0),VLOOKUP(BY1251,'Gebinde-Kategorie'!$A$5:$N$45,14,0)*10+Parameter!$M$23,Parameter!$M$24))</f>
        <v>245</v>
      </c>
      <c r="CD1251" s="60" t="str">
        <f aca="false">IF(AND(Parameter!$B$19="Ja",E1251&lt;&gt;"",ISNUMBER(MATCH(E1251,Parameter!$I$35:$I$52,0))),VLOOKUP(E1251,Parameter!$I$35:$J$52,2,0),IFERROR(VLOOKUP(D1251,Parameter!$A$35:$C$64,2,0),"Nein"))</f>
        <v>2+3</v>
      </c>
      <c r="CE1251" s="64" t="n">
        <f aca="false">IF(CA1251=0,0,IF(N(S1251)&gt;0,S1251,IFERROR(VLOOKUP(D1251,Parameter!$A$35:$C$64,3,0)+0,0)))</f>
        <v>0</v>
      </c>
      <c r="CF1251" s="60" t="n">
        <f aca="false">IF(AB1251&lt;&gt;"",AB1251,AA1251)</f>
        <v>3</v>
      </c>
      <c r="CG1251" s="60" t="str">
        <f aca="false">IF(OR(CF1251=1,CF1251=2,CF1251=3),IF(Parameter!$E$27="Ja","LIFT",IF(CF1251=1,"L1","L23")),IF(CF1251="Aussen","Aussen","-"))</f>
        <v>LIFT</v>
      </c>
      <c r="CH1251" s="71" t="n">
        <f aca="false">IF(N(AC1251)&gt;0,AC1251,0)</f>
        <v>0</v>
      </c>
      <c r="CI1251" s="65" t="n">
        <f aca="false">IF(ISNUMBER(AF1251),1,0)</f>
        <v>0</v>
      </c>
      <c r="CJ1251" s="62" t="n">
        <f aca="false">N(AF1251)</f>
        <v>0</v>
      </c>
      <c r="CK1251" s="62" t="n">
        <f aca="false">N(M1251)+N(N1251)</f>
        <v>34</v>
      </c>
      <c r="CL1251" s="62" t="n">
        <f aca="false">N(M1251)</f>
        <v>4</v>
      </c>
      <c r="CM1251" s="62" t="n">
        <f aca="false">N(N1251)</f>
        <v>30</v>
      </c>
      <c r="CN1251" s="62" t="n">
        <f aca="false">ROUNDUP(H1251/BZ1251,0)</f>
        <v>1</v>
      </c>
      <c r="CO1251" s="62" t="n">
        <f aca="false">ROUNDUP(CJ1251/BZ1251,0)</f>
        <v>0</v>
      </c>
      <c r="CP1251" s="65" t="n">
        <f aca="false">IF(CA1251=1,0,IFERROR(VLOOKUP(BY1251,'Gebinde-Kategorie'!$A$5:$N$45,5,0)+0,0))</f>
        <v>21</v>
      </c>
      <c r="CQ1251" s="65" t="n">
        <f aca="false">IFERROR(IF(OR(CF1251=1,CF1251=2,CF1251=3),N(INDEX(Parameter!$I$5:$I$7,CF1251)),0),0)</f>
        <v>0</v>
      </c>
      <c r="CR1251" s="64" t="n">
        <f aca="false">IF(AND(Parameter!$B$21="Ja",ISNUMBER(W1251),N(X1251)&gt;0),IFERROR(N(INDEX(Parameter!$L$5:$L$7,W1251))*INDEX(Parameter!$E$5:$E$7,W1251)*X1251/SUMIFS($X$7:$X$1843,$W$7:$W$1843,W1251),0),0)</f>
        <v>0</v>
      </c>
      <c r="CS1251" s="62" t="n">
        <f aca="false">IF(AND(OR(CG1251="L1",CG1251="L23",CG1251="LIFT"),H1251&gt;0),CC1251*IF(CR1251&gt;0,CR1251*MAX(1,H1251/X1251),IF(CA1251=1,CE1251,IF(R1251&gt;0,CN1251/R1251,0))/MAX(0.1,N(Parameter!$M$21))),"")</f>
        <v>9.42307692307692</v>
      </c>
      <c r="CT1251" s="64" t="n">
        <f aca="false">IF(CS1251="","",J1251/H1251)</f>
        <v>0.414285714285714</v>
      </c>
      <c r="CU1251" s="62" t="n">
        <f aca="false">IF(CS1251="","",H1251*G1251)</f>
        <v>4182.5</v>
      </c>
      <c r="CV1251" s="63" t="n">
        <f aca="false">IF(CS1251="","",(CL1251+ROUNDUP(CL1251+MAX(CM1251,2*(J1251/MAX(0.1,N(Einkauf!$C$6))-CL1251)),0))/2)</f>
        <v>19</v>
      </c>
      <c r="CW1251" s="62" t="n">
        <f aca="false">IF(CS1251="","",MAX(0,H1251-CV1251)*G1251)</f>
        <v>3047.25</v>
      </c>
      <c r="CX1251" s="62" t="n">
        <f aca="false">IF(CS1251="","",CS1251*MAX(0,1-CV1251/H1251))</f>
        <v>6.86538461538462</v>
      </c>
      <c r="CY1251" s="64" t="n">
        <f aca="false">IF(CS1251="","",PERCENTRANK($CS$7:$CS$1843,CS1251)+PERCENTRANK($CU$7:$CU$1843,CU1251)+1-PERCENTRANK($CT$7:$CT$1843,CT1251))</f>
        <v>1.928</v>
      </c>
      <c r="CZ1251" s="72" t="n">
        <f aca="false">IF(CS1251="","",CHOOSE(MATCH(Einkauf!$C$5,Parameter!$G$23:$G$27,0),CY1251,CS1251,CU1251,-CT1251,CW1251)+ROW()/1000000000)</f>
        <v>1.928001251</v>
      </c>
    </row>
    <row r="1252" customFormat="false" ht="15" hidden="false" customHeight="false" outlineLevel="0" collapsed="false">
      <c r="A1252" s="60" t="s">
        <v>2280</v>
      </c>
      <c r="B1252" s="60" t="s">
        <v>1567</v>
      </c>
      <c r="C1252" s="60" t="s">
        <v>206</v>
      </c>
      <c r="D1252" s="60" t="s">
        <v>226</v>
      </c>
      <c r="E1252" s="60"/>
      <c r="F1252" s="60" t="s">
        <v>260</v>
      </c>
      <c r="G1252" s="61" t="n">
        <v>1.67</v>
      </c>
      <c r="H1252" s="62" t="n">
        <f aca="false">MAX(0,IF(AND(Parameter!$B$21="Ja",ISNUMBER(Y1252)),Y1252,IF(Parameter!$B$20="Jahresanfang 2025 + Export",BS1252+BR1252,BR1252)))</f>
        <v>48</v>
      </c>
      <c r="I1252" s="62" t="n">
        <f aca="false">H1252*G1252</f>
        <v>80.16</v>
      </c>
      <c r="J1252" s="62" t="n">
        <f aca="false">BU1252*Parameter!$B$18</f>
        <v>206</v>
      </c>
      <c r="K1252" s="63" t="n">
        <v>397.5</v>
      </c>
      <c r="L1252" s="64" t="n">
        <v>0.518238993710692</v>
      </c>
      <c r="M1252" s="62" t="n">
        <v>12</v>
      </c>
      <c r="N1252" s="62" t="n">
        <v>250</v>
      </c>
      <c r="O1252" s="65" t="n">
        <v>105</v>
      </c>
      <c r="P1252" s="60" t="s">
        <v>210</v>
      </c>
      <c r="Q1252" s="62"/>
      <c r="R1252" s="65" t="n">
        <f aca="false">IF(CA1252=1,0,IFERROR(VLOOKUP(BY1252,'Gebinde-Kategorie'!$A$5:$N$45,13,0)+0,0))</f>
        <v>26</v>
      </c>
      <c r="S1252" s="66"/>
      <c r="T1252" s="67" t="s">
        <v>317</v>
      </c>
      <c r="U1252" s="67"/>
      <c r="V1252" s="67"/>
      <c r="W1252" s="60"/>
      <c r="X1252" s="62"/>
      <c r="Y1252" s="62"/>
      <c r="Z1252" s="60" t="n">
        <v>3</v>
      </c>
      <c r="AA1252" s="60" t="n">
        <f aca="false">IF(A1252="","",IF(AND(Parameter!$B$21="Ja",ISNUMBER(W1252)),W1252,IF(AND(Parameter!$E$27="Ja",ISNUMBER(Z1252),CD1252&lt;&gt;"Nein"),Z1252,IF(CD1252="2+3",IF(ISNUMBER(SEARCH("grosser Artikel",BV1252)),2,IFERROR(VLOOKUP(BY1252,Parameter!$F$35:$G$64,2,0),2)),IF(OR(CD1252="Nein",CD1252=""),"-",CD1252)))))</f>
        <v>3</v>
      </c>
      <c r="AB1252" s="67"/>
      <c r="AC1252" s="68"/>
      <c r="AD1252" s="62" t="n">
        <f aca="false">AW1252</f>
        <v>262</v>
      </c>
      <c r="AE1252" s="62" t="n">
        <f aca="false">MAX(AW1252,H1252)</f>
        <v>262</v>
      </c>
      <c r="AF1252" s="69"/>
      <c r="AG1252" s="62" t="n">
        <f aca="false">IF(LEFT(Cockpit!$C$5,1)="A",H1252,IF(Parameter!$E$30="MAX-Bestand",IF(CI1252=1,CJ1252,IF(LEFT(Cockpit!$C$5,1)="B",AM1252,MAX(AM1252,H1252))),ROUNDUP(AK1252,0)))</f>
        <v>48</v>
      </c>
      <c r="AH1252" s="62" t="n">
        <f aca="false">IF(CA1252=1,0,ROUNDUP(AG1252/BZ1252,0))</f>
        <v>1</v>
      </c>
      <c r="AI1252" s="64" t="n">
        <f aca="false">IF(CR1252&gt;0,CR1252*MAX(1,AG1252/X1252),IF(CA1252=1,IF(AG1252&lt;=0,0,CE1252*MAX(1,IF(H1252&gt;0,AG1252/H1252,1))),IF(R1252&gt;0,AH1252/R1252,0))/MAX(0.1,N(Parameter!$M$21)))</f>
        <v>0.0384615384615385</v>
      </c>
      <c r="AJ1252" s="62" t="n">
        <f aca="false">AI1252*CC1252</f>
        <v>5.96153846153846</v>
      </c>
      <c r="AK1252" s="63" t="n">
        <f aca="false">IF(LEFT(Cockpit!$C$5,1)="A",H1252,IF(CI1252=1,(CL1252+CJ1252)/2,IF(LEFT(Cockpit!$C$5,1)="B",(CL1252+AM1252)/2,MAX((CL1252+AM1252)/2,H1252))))</f>
        <v>48</v>
      </c>
      <c r="AL1252" s="62" t="n">
        <f aca="false">AK1252*G1252</f>
        <v>80.16</v>
      </c>
      <c r="AM1252" s="62" t="n">
        <f aca="false">ROUNDUP(CL1252+MAX(CM1252,2*(J1252/IF(CH1252&gt;0,CH1252,MAX(0.1,N(Cockpit!$C$6)))-CL1252)),0)</f>
        <v>262</v>
      </c>
      <c r="AN1252" s="63" t="n">
        <f aca="false">IF(AJ1252&gt;0,J1252/AJ1252,-1)</f>
        <v>34.5548387096774</v>
      </c>
      <c r="AO1252" s="63" t="n">
        <f aca="false">IF(AND(OR(CG1252="L1",CG1252="L23",CG1252="LIFT"),AJ1252&gt;0),SUMIFS($AJ$7:$AJ$1843,$CG$7:$CG$1843,CG1252,$AN$7:$AN$1843,"&gt;"&amp;AN1252)+SUMIFS($AJ$7:$AJ$1843,$CG$7:$CG$1843,CG1252,$AN$7:$AN$1843,AN1252,$BX$7:$BX$1843,"&lt;="&amp;BX1252),"")</f>
        <v>1307.69917582418</v>
      </c>
      <c r="AP1252" s="70" t="n">
        <f aca="false">IF(AO1252="",0,MAX(0,MIN(1,(IF(CG1252="L1",Parameter!$H$5,IF(CG1252="L23",Parameter!$H$6+Parameter!$H$7,Parameter!$H$5+Parameter!$H$6+Parameter!$H$7))-(AO1252-AJ1252))/AJ1252)))</f>
        <v>1</v>
      </c>
      <c r="AQ1252" s="62" t="n">
        <f aca="false">IF(LEFT(Cockpit!$I$5,1)="A",H1252,IF(Parameter!$E$30="MAX-Bestand",IF(CI1252=1,CJ1252,IF(LEFT(Cockpit!$I$5,1)="B",AW1252,MAX(AW1252,H1252))),ROUNDUP(AU1252,0)))</f>
        <v>137</v>
      </c>
      <c r="AR1252" s="62" t="n">
        <f aca="false">IF(CA1252=1,0,ROUNDUP(AQ1252/BZ1252,0))</f>
        <v>1</v>
      </c>
      <c r="AS1252" s="64" t="n">
        <f aca="false">IF(CR1252&gt;0,CR1252*MAX(1,AQ1252/X1252),IF(CA1252=1,IF(AQ1252&lt;=0,0,CE1252*MAX(1,IF(H1252&gt;0,AQ1252/H1252,1))),IF(R1252&gt;0,AR1252/R1252,0))/MAX(0.1,N(Parameter!$M$21)))</f>
        <v>0.0384615384615385</v>
      </c>
      <c r="AT1252" s="62" t="n">
        <f aca="false">AS1252*CC1252</f>
        <v>5.96153846153846</v>
      </c>
      <c r="AU1252" s="63" t="n">
        <f aca="false">IF(LEFT(Cockpit!$I$5,1)="A",H1252,IF(CI1252=1,(CL1252+CJ1252)/2,IF(LEFT(Cockpit!$I$5,1)="B",(CL1252+AW1252)/2,MAX((CL1252+AW1252)/2,H1252))))</f>
        <v>137</v>
      </c>
      <c r="AV1252" s="62" t="n">
        <f aca="false">AU1252*G1252</f>
        <v>228.79</v>
      </c>
      <c r="AW1252" s="62" t="n">
        <f aca="false">ROUNDUP(CL1252+MAX(CM1252,2*(J1252/IF(CH1252&gt;0,CH1252,MAX(0.1,N(Cockpit!$I$6)))-CL1252)),0)</f>
        <v>262</v>
      </c>
      <c r="AX1252" s="63" t="n">
        <f aca="false">IF(AT1252&gt;0,J1252/AT1252,-1)</f>
        <v>34.5548387096774</v>
      </c>
      <c r="AY1252" s="63" t="n">
        <f aca="false">IF(AND(OR(CG1252="L1",CG1252="L23",CG1252="LIFT"),AT1252&gt;0),SUMIFS($AT$7:$AT$1843,$CG$7:$CG$1843,CG1252,$AX$7:$AX$1843,"&gt;"&amp;AX1252)+SUMIFS($AT$7:$AT$1843,$CG$7:$CG$1843,CG1252,$AX$7:$AX$1843,AX1252,$BX$7:$BX$1843,"&lt;="&amp;BX1252),"")</f>
        <v>1628.4652014652</v>
      </c>
      <c r="AZ1252" s="70" t="n">
        <f aca="false">IF(AY1252="",0,MAX(0,MIN(1,(IF(CG1252="L1",Parameter!$H$5,IF(CG1252="L23",Parameter!$H$6+Parameter!$H$7,Parameter!$H$5+Parameter!$H$6+Parameter!$H$7))-(AY1252-AT1252))/AT1252)))</f>
        <v>1</v>
      </c>
      <c r="BA1252" s="62" t="n">
        <f aca="false">IF(LEFT(Cockpit!$O$5,1)="A",H1252,IF(Parameter!$E$30="MAX-Bestand",IF(CI1252=1,CJ1252,IF(LEFT(Cockpit!$O$5,1)="B",BG1252,MAX(BG1252,H1252))),ROUNDUP(BE1252,0)))</f>
        <v>137</v>
      </c>
      <c r="BB1252" s="62" t="n">
        <f aca="false">IF(CA1252=1,0,ROUNDUP(BA1252/BZ1252,0))</f>
        <v>1</v>
      </c>
      <c r="BC1252" s="64" t="n">
        <f aca="false">IF(CR1252&gt;0,CR1252*MAX(1,BA1252/X1252),IF(CA1252=1,IF(BA1252&lt;=0,0,CE1252*MAX(1,IF(H1252&gt;0,BA1252/H1252,1))),IF(R1252&gt;0,BB1252/R1252,0))/MAX(0.1,N(Parameter!$M$21)))</f>
        <v>0.0384615384615385</v>
      </c>
      <c r="BD1252" s="62" t="n">
        <f aca="false">BC1252*CC1252</f>
        <v>5.96153846153846</v>
      </c>
      <c r="BE1252" s="63" t="n">
        <f aca="false">IF(LEFT(Cockpit!$O$5,1)="A",H1252,IF(CI1252=1,(CL1252+CJ1252)/2,IF(LEFT(Cockpit!$O$5,1)="B",(CL1252+BG1252)/2,MAX((CL1252+BG1252)/2,H1252))))</f>
        <v>137</v>
      </c>
      <c r="BF1252" s="62" t="n">
        <f aca="false">BE1252*G1252</f>
        <v>228.79</v>
      </c>
      <c r="BG1252" s="62" t="n">
        <f aca="false">ROUNDUP(CL1252+MAX(CM1252,2*(J1252/IF(CH1252&gt;0,CH1252,MAX(0.1,N(Cockpit!$O$6)))-CL1252)),0)</f>
        <v>262</v>
      </c>
      <c r="BH1252" s="63" t="n">
        <f aca="false">IF(BD1252&gt;0,J1252/BD1252,-1)</f>
        <v>34.5548387096774</v>
      </c>
      <c r="BI1252" s="63" t="n">
        <f aca="false">IF(AND(OR(CG1252="L1",CG1252="L23",CG1252="LIFT"),BD1252&gt;0),SUMIFS($BD$7:$BD$1843,$CG$7:$CG$1843,CG1252,$BH$7:$BH$1843,"&gt;"&amp;BH1252)+SUMIFS($BD$7:$BD$1843,$CG$7:$CG$1843,CG1252,$BH$7:$BH$1843,BH1252,$BX$7:$BX$1843,"&lt;="&amp;BX1252),"")</f>
        <v>1550.70512820513</v>
      </c>
      <c r="BJ1252" s="70" t="n">
        <f aca="false">IF(BI1252="",0,MAX(0,MIN(1,(IF(CG1252="L1",Parameter!$H$5,IF(CG1252="L23",Parameter!$H$6+Parameter!$H$7,Parameter!$H$5+Parameter!$H$6+Parameter!$H$7))-(BI1252-BD1252))/BD1252)))</f>
        <v>1</v>
      </c>
      <c r="BK1252" s="60" t="str">
        <f aca="false">IF(AJ1252&lt;=0,"",IF(CG1252="Aussen","Aussenlager",IF(CG1252="-","Nicht im Lift",IF(AP1252&gt;=1,"Lift",IF(AP1252&lt;=0,"Aussenlager","teilweise")))))</f>
        <v>Lift</v>
      </c>
      <c r="BL1252" s="60" t="str">
        <f aca="false">IF(AT1252&lt;=0,"",IF(CG1252="Aussen","Aussenlager",IF(CG1252="-","Nicht im Lift",IF(AZ1252&gt;=1,"Lift",IF(AZ1252&lt;=0,"Aussenlager","teilweise")))))</f>
        <v>Lift</v>
      </c>
      <c r="BM1252" s="60" t="str">
        <f aca="false">IF(BD1252&lt;=0,"",IF(CG1252="Aussen","Aussenlager",IF(CG1252="-","Nicht im Lift",IF(BJ1252&gt;=1,"Lift",IF(BJ1252&lt;=0,"Aussenlager","teilweise")))))</f>
        <v>Lift</v>
      </c>
      <c r="BN1252" s="60" t="str">
        <f aca="false">IF(A1252="","",IF(BW1252=1,"Neu; ","")&amp;IF(AND(BW1252=0,BR1252&lt;0),"negativer Bestand (Export "&amp;BR1252&amp;"); ","")&amp;IF(J1252&lt;=0,"Kein Verbrauch; ","")&amp;IF(CR1252&gt;0,"Lift "&amp;W1252&amp;" lt. Liftbericht (Fach "&amp;X1252&amp;" Stk); ",IF(CB1252=1,"Gebinde geschätzt ("&amp;T1252&amp;"); ",IF(CA1252=1,"Lose – Tablare geschätzt; ","")))&amp;IF(H1252&gt;AW1252,"Überbestand "&amp;ROUND(H1252-AW1252,0)&amp;" Stk / CHF "&amp;ROUND((H1252-AW1252)*G1252,0)&amp;"; ","")&amp;IF(AND(CI1252=1,CJ1252&lt;CK1252),"MAX &lt; MB+LG; ","")&amp;IF(AND(CQ1252&gt;0,CP1252*10&gt;CQ1252),"zu hoch für Tablar; ","")&amp;IF(AND(BW1252=0,OR(CI1252=1,AB1252&lt;&gt;"",U1252&lt;&gt;"",V1252&lt;&gt;"",AC1252&lt;&gt;"")),"manuell übersteuert; ","")&amp;IF(AND(CA1252=0,R1252=0),"Gebinde unbekannt / Stellmass fehlt; ","")&amp;IF(AND(CA1252=0,N(V1252)&lt;=0,N(Q1252)&lt;=0),"Menge pro Gebinde fehlt (Ist = 1 Gebinde); ","")&amp;BV1252)</f>
        <v>negativer Bestand (Export -452); Gebinde geschätzt (Klein); Menge pro Gebinde fehlt (Ist = 1 Gebinde); </v>
      </c>
      <c r="BO1252" s="60"/>
      <c r="BP1252" s="60"/>
      <c r="BQ1252" s="67"/>
      <c r="BR1252" s="62" t="n">
        <v>-452</v>
      </c>
      <c r="BS1252" s="62" t="n">
        <v>500</v>
      </c>
      <c r="BT1252" s="61" t="n">
        <v>-754.84</v>
      </c>
      <c r="BU1252" s="62" t="n">
        <v>206</v>
      </c>
      <c r="BV1252" s="60"/>
      <c r="BW1252" s="65" t="n">
        <v>0</v>
      </c>
      <c r="BX1252" s="65" t="n">
        <v>1252</v>
      </c>
      <c r="BY1252" s="60" t="str">
        <f aca="false">IF(U1252&lt;&gt;"",UPPER(TRIM(U1252)),IF(CB1252=1,UPPER(VLOOKUP(T1252,Parameter!$I$27:$K$29,2,0)),IF(P1252="","LOSE",P1252)))</f>
        <v>S51</v>
      </c>
      <c r="BZ1252" s="62" t="n">
        <f aca="false">IF(BY1252="LOSE",1,IF(N(V1252)&gt;0,V1252,IF(CB1252=1,MAX(1,N(VLOOKUP(T1252,Parameter!$I$27:$K$29,3,0)),H1252,N(N1252)),IF(N(Q1252)&gt;0,Q1252,MAX(1,H1252)))))</f>
        <v>250</v>
      </c>
      <c r="CA1252" s="65" t="n">
        <f aca="false">IF(BY1252="LOSE",1,0)</f>
        <v>0</v>
      </c>
      <c r="CB1252" s="65" t="n">
        <f aca="false">IF(AND(U1252="",OR(P1252="",P1252="LOSE"),T1252&lt;&gt;"",N(S1252)&lt;=0,ISNUMBER(MATCH(T1252,Parameter!$I$27:$I$29,0))),1,0)</f>
        <v>1</v>
      </c>
      <c r="CC1252" s="65" t="n">
        <f aca="false">IF(CR1252&gt;0,INDEX(Parameter!$H$5:$H$7,W1252)/INDEX(Parameter!$E$5:$E$7,W1252),IF(AND(CA1252=0,N(IFERROR(VLOOKUP(BY1252,'Gebinde-Kategorie'!$A$5:$N$45,14,0),0))&gt;0),VLOOKUP(BY1252,'Gebinde-Kategorie'!$A$5:$N$45,14,0)*10+Parameter!$M$23,Parameter!$M$24))</f>
        <v>155</v>
      </c>
      <c r="CD1252" s="60" t="str">
        <f aca="false">IF(AND(Parameter!$B$19="Ja",E1252&lt;&gt;"",ISNUMBER(MATCH(E1252,Parameter!$I$35:$I$52,0))),VLOOKUP(E1252,Parameter!$I$35:$J$52,2,0),IFERROR(VLOOKUP(D1252,Parameter!$A$35:$C$64,2,0),"Nein"))</f>
        <v>2+3</v>
      </c>
      <c r="CE1252" s="64" t="n">
        <f aca="false">IF(CA1252=0,0,IF(N(S1252)&gt;0,S1252,IFERROR(VLOOKUP(D1252,Parameter!$A$35:$C$64,3,0)+0,0)))</f>
        <v>0</v>
      </c>
      <c r="CF1252" s="60" t="n">
        <f aca="false">IF(AB1252&lt;&gt;"",AB1252,AA1252)</f>
        <v>3</v>
      </c>
      <c r="CG1252" s="60" t="str">
        <f aca="false">IF(OR(CF1252=1,CF1252=2,CF1252=3),IF(Parameter!$E$27="Ja","LIFT",IF(CF1252=1,"L1","L23")),IF(CF1252="Aussen","Aussen","-"))</f>
        <v>LIFT</v>
      </c>
      <c r="CH1252" s="71" t="n">
        <f aca="false">IF(N(AC1252)&gt;0,AC1252,0)</f>
        <v>0</v>
      </c>
      <c r="CI1252" s="65" t="n">
        <f aca="false">IF(ISNUMBER(AF1252),1,0)</f>
        <v>0</v>
      </c>
      <c r="CJ1252" s="62" t="n">
        <f aca="false">N(AF1252)</f>
        <v>0</v>
      </c>
      <c r="CK1252" s="62" t="n">
        <f aca="false">N(M1252)+N(N1252)</f>
        <v>262</v>
      </c>
      <c r="CL1252" s="62" t="n">
        <f aca="false">N(M1252)</f>
        <v>12</v>
      </c>
      <c r="CM1252" s="62" t="n">
        <f aca="false">N(N1252)</f>
        <v>250</v>
      </c>
      <c r="CN1252" s="62" t="n">
        <f aca="false">ROUNDUP(H1252/BZ1252,0)</f>
        <v>1</v>
      </c>
      <c r="CO1252" s="62" t="n">
        <f aca="false">ROUNDUP(CJ1252/BZ1252,0)</f>
        <v>0</v>
      </c>
      <c r="CP1252" s="65" t="n">
        <f aca="false">IF(CA1252=1,0,IFERROR(VLOOKUP(BY1252,'Gebinde-Kategorie'!$A$5:$N$45,5,0)+0,0))</f>
        <v>11</v>
      </c>
      <c r="CQ1252" s="65" t="n">
        <f aca="false">IFERROR(IF(OR(CF1252=1,CF1252=2,CF1252=3),N(INDEX(Parameter!$I$5:$I$7,CF1252)),0),0)</f>
        <v>0</v>
      </c>
      <c r="CR1252" s="64" t="n">
        <f aca="false">IF(AND(Parameter!$B$21="Ja",ISNUMBER(W1252),N(X1252)&gt;0),IFERROR(N(INDEX(Parameter!$L$5:$L$7,W1252))*INDEX(Parameter!$E$5:$E$7,W1252)*X1252/SUMIFS($X$7:$X$1843,$W$7:$W$1843,W1252),0),0)</f>
        <v>0</v>
      </c>
      <c r="CS1252" s="62" t="n">
        <f aca="false">IF(AND(OR(CG1252="L1",CG1252="L23",CG1252="LIFT"),H1252&gt;0),CC1252*IF(CR1252&gt;0,CR1252*MAX(1,H1252/X1252),IF(CA1252=1,CE1252,IF(R1252&gt;0,CN1252/R1252,0))/MAX(0.1,N(Parameter!$M$21))),"")</f>
        <v>5.96153846153846</v>
      </c>
      <c r="CT1252" s="64" t="n">
        <f aca="false">IF(CS1252="","",J1252/H1252)</f>
        <v>4.29166666666667</v>
      </c>
      <c r="CU1252" s="62" t="n">
        <f aca="false">IF(CS1252="","",H1252*G1252)</f>
        <v>80.16</v>
      </c>
      <c r="CV1252" s="63" t="n">
        <f aca="false">IF(CS1252="","",(CL1252+ROUNDUP(CL1252+MAX(CM1252,2*(J1252/MAX(0.1,N(Einkauf!$C$6))-CL1252)),0))/2)</f>
        <v>137</v>
      </c>
      <c r="CW1252" s="62" t="n">
        <f aca="false">IF(CS1252="","",MAX(0,H1252-CV1252)*G1252)</f>
        <v>0</v>
      </c>
      <c r="CX1252" s="62" t="n">
        <f aca="false">IF(CS1252="","",CS1252*MAX(0,1-CV1252/H1252))</f>
        <v>0</v>
      </c>
      <c r="CY1252" s="64" t="n">
        <f aca="false">IF(CS1252="","",PERCENTRANK($CS$7:$CS$1843,CS1252)+PERCENTRANK($CU$7:$CU$1843,CU1252)+1-PERCENTRANK($CT$7:$CT$1843,CT1252))</f>
        <v>0.609</v>
      </c>
      <c r="CZ1252" s="72" t="n">
        <f aca="false">IF(CS1252="","",CHOOSE(MATCH(Einkauf!$C$5,Parameter!$G$23:$G$27,0),CY1252,CS1252,CU1252,-CT1252,CW1252)+ROW()/1000000000)</f>
        <v>0.609001252</v>
      </c>
    </row>
    <row r="1253" customFormat="false" ht="15" hidden="false" customHeight="false" outlineLevel="0" collapsed="false">
      <c r="A1253" s="60" t="s">
        <v>2281</v>
      </c>
      <c r="B1253" s="60" t="s">
        <v>264</v>
      </c>
      <c r="C1253" s="60" t="s">
        <v>206</v>
      </c>
      <c r="D1253" s="60" t="s">
        <v>215</v>
      </c>
      <c r="E1253" s="60" t="s">
        <v>215</v>
      </c>
      <c r="F1253" s="60" t="s">
        <v>260</v>
      </c>
      <c r="G1253" s="61" t="n">
        <v>118.58</v>
      </c>
      <c r="H1253" s="62" t="n">
        <f aca="false">MAX(0,IF(AND(Parameter!$B$21="Ja",ISNUMBER(Y1253)),Y1253,IF(Parameter!$B$20="Jahresanfang 2025 + Export",BS1253+BR1253,BR1253)))</f>
        <v>16</v>
      </c>
      <c r="I1253" s="62" t="n">
        <f aca="false">H1253*G1253</f>
        <v>1897.28</v>
      </c>
      <c r="J1253" s="62" t="n">
        <f aca="false">BU1253*Parameter!$B$18</f>
        <v>17</v>
      </c>
      <c r="K1253" s="63" t="n">
        <v>18</v>
      </c>
      <c r="L1253" s="64" t="n">
        <v>0.944444444444444</v>
      </c>
      <c r="M1253" s="62" t="n">
        <v>0</v>
      </c>
      <c r="N1253" s="62" t="n">
        <v>15</v>
      </c>
      <c r="O1253" s="65" t="n">
        <v>21</v>
      </c>
      <c r="P1253" s="60" t="s">
        <v>265</v>
      </c>
      <c r="Q1253" s="62" t="n">
        <v>40</v>
      </c>
      <c r="R1253" s="65" t="n">
        <f aca="false">IF(CA1253=1,0,IFERROR(VLOOKUP(BY1253,'Gebinde-Kategorie'!$A$5:$N$45,13,0)+0,0))</f>
        <v>4</v>
      </c>
      <c r="S1253" s="66"/>
      <c r="T1253" s="67"/>
      <c r="U1253" s="67"/>
      <c r="V1253" s="67"/>
      <c r="W1253" s="60"/>
      <c r="X1253" s="62"/>
      <c r="Y1253" s="62"/>
      <c r="Z1253" s="60"/>
      <c r="AA1253" s="60" t="str">
        <f aca="false">IF(A1253="","",IF(AND(Parameter!$B$21="Ja",ISNUMBER(W1253)),W1253,IF(AND(Parameter!$E$27="Ja",ISNUMBER(Z1253),CD1253&lt;&gt;"Nein"),Z1253,IF(CD1253="2+3",IF(ISNUMBER(SEARCH("grosser Artikel",BV1253)),2,IFERROR(VLOOKUP(BY1253,Parameter!$F$35:$G$64,2,0),2)),IF(OR(CD1253="Nein",CD1253=""),"-",CD1253)))))</f>
        <v>-</v>
      </c>
      <c r="AB1253" s="67"/>
      <c r="AC1253" s="68"/>
      <c r="AD1253" s="62" t="n">
        <f aca="false">AW1253</f>
        <v>15</v>
      </c>
      <c r="AE1253" s="62" t="n">
        <f aca="false">MAX(AW1253,H1253)</f>
        <v>16</v>
      </c>
      <c r="AF1253" s="69"/>
      <c r="AG1253" s="62" t="n">
        <f aca="false">IF(LEFT(Cockpit!$C$5,1)="A",H1253,IF(Parameter!$E$30="MAX-Bestand",IF(CI1253=1,CJ1253,IF(LEFT(Cockpit!$C$5,1)="B",AM1253,MAX(AM1253,H1253))),ROUNDUP(AK1253,0)))</f>
        <v>16</v>
      </c>
      <c r="AH1253" s="62" t="n">
        <f aca="false">IF(CA1253=1,0,ROUNDUP(AG1253/BZ1253,0))</f>
        <v>1</v>
      </c>
      <c r="AI1253" s="64" t="n">
        <f aca="false">IF(CR1253&gt;0,CR1253*MAX(1,AG1253/X1253),IF(CA1253=1,IF(AG1253&lt;=0,0,CE1253*MAX(1,IF(H1253&gt;0,AG1253/H1253,1))),IF(R1253&gt;0,AH1253/R1253,0))/MAX(0.1,N(Parameter!$M$21)))</f>
        <v>0.25</v>
      </c>
      <c r="AJ1253" s="62" t="n">
        <f aca="false">AI1253*CC1253</f>
        <v>58.75</v>
      </c>
      <c r="AK1253" s="63" t="n">
        <f aca="false">IF(LEFT(Cockpit!$C$5,1)="A",H1253,IF(CI1253=1,(CL1253+CJ1253)/2,IF(LEFT(Cockpit!$C$5,1)="B",(CL1253+AM1253)/2,MAX((CL1253+AM1253)/2,H1253))))</f>
        <v>16</v>
      </c>
      <c r="AL1253" s="62" t="n">
        <f aca="false">AK1253*G1253</f>
        <v>1897.28</v>
      </c>
      <c r="AM1253" s="62" t="n">
        <f aca="false">ROUNDUP(CL1253+MAX(CM1253,2*(J1253/IF(CH1253&gt;0,CH1253,MAX(0.1,N(Cockpit!$C$6)))-CL1253)),0)</f>
        <v>15</v>
      </c>
      <c r="AN1253" s="63" t="n">
        <f aca="false">IF(AJ1253&gt;0,J1253/AJ1253,-1)</f>
        <v>0.28936170212766</v>
      </c>
      <c r="AO1253" s="63" t="str">
        <f aca="false">IF(AND(OR(CG1253="L1",CG1253="L23",CG1253="LIFT"),AJ1253&gt;0),SUMIFS($AJ$7:$AJ$1843,$CG$7:$CG$1843,CG1253,$AN$7:$AN$1843,"&gt;"&amp;AN1253)+SUMIFS($AJ$7:$AJ$1843,$CG$7:$CG$1843,CG1253,$AN$7:$AN$1843,AN1253,$BX$7:$BX$1843,"&lt;="&amp;BX1253),"")</f>
        <v/>
      </c>
      <c r="AP1253" s="70" t="n">
        <f aca="false">IF(AO1253="",0,MAX(0,MIN(1,(IF(CG1253="L1",Parameter!$H$5,IF(CG1253="L23",Parameter!$H$6+Parameter!$H$7,Parameter!$H$5+Parameter!$H$6+Parameter!$H$7))-(AO1253-AJ1253))/AJ1253)))</f>
        <v>0</v>
      </c>
      <c r="AQ1253" s="62" t="n">
        <f aca="false">IF(LEFT(Cockpit!$I$5,1)="A",H1253,IF(Parameter!$E$30="MAX-Bestand",IF(CI1253=1,CJ1253,IF(LEFT(Cockpit!$I$5,1)="B",AW1253,MAX(AW1253,H1253))),ROUNDUP(AU1253,0)))</f>
        <v>16</v>
      </c>
      <c r="AR1253" s="62" t="n">
        <f aca="false">IF(CA1253=1,0,ROUNDUP(AQ1253/BZ1253,0))</f>
        <v>1</v>
      </c>
      <c r="AS1253" s="64" t="n">
        <f aca="false">IF(CR1253&gt;0,CR1253*MAX(1,AQ1253/X1253),IF(CA1253=1,IF(AQ1253&lt;=0,0,CE1253*MAX(1,IF(H1253&gt;0,AQ1253/H1253,1))),IF(R1253&gt;0,AR1253/R1253,0))/MAX(0.1,N(Parameter!$M$21)))</f>
        <v>0.25</v>
      </c>
      <c r="AT1253" s="62" t="n">
        <f aca="false">AS1253*CC1253</f>
        <v>58.75</v>
      </c>
      <c r="AU1253" s="63" t="n">
        <f aca="false">IF(LEFT(Cockpit!$I$5,1)="A",H1253,IF(CI1253=1,(CL1253+CJ1253)/2,IF(LEFT(Cockpit!$I$5,1)="B",(CL1253+AW1253)/2,MAX((CL1253+AW1253)/2,H1253))))</f>
        <v>16</v>
      </c>
      <c r="AV1253" s="62" t="n">
        <f aca="false">AU1253*G1253</f>
        <v>1897.28</v>
      </c>
      <c r="AW1253" s="62" t="n">
        <f aca="false">ROUNDUP(CL1253+MAX(CM1253,2*(J1253/IF(CH1253&gt;0,CH1253,MAX(0.1,N(Cockpit!$I$6)))-CL1253)),0)</f>
        <v>15</v>
      </c>
      <c r="AX1253" s="63" t="n">
        <f aca="false">IF(AT1253&gt;0,J1253/AT1253,-1)</f>
        <v>0.28936170212766</v>
      </c>
      <c r="AY1253" s="63" t="str">
        <f aca="false">IF(AND(OR(CG1253="L1",CG1253="L23",CG1253="LIFT"),AT1253&gt;0),SUMIFS($AT$7:$AT$1843,$CG$7:$CG$1843,CG1253,$AX$7:$AX$1843,"&gt;"&amp;AX1253)+SUMIFS($AT$7:$AT$1843,$CG$7:$CG$1843,CG1253,$AX$7:$AX$1843,AX1253,$BX$7:$BX$1843,"&lt;="&amp;BX1253),"")</f>
        <v/>
      </c>
      <c r="AZ1253" s="70" t="n">
        <f aca="false">IF(AY1253="",0,MAX(0,MIN(1,(IF(CG1253="L1",Parameter!$H$5,IF(CG1253="L23",Parameter!$H$6+Parameter!$H$7,Parameter!$H$5+Parameter!$H$6+Parameter!$H$7))-(AY1253-AT1253))/AT1253)))</f>
        <v>0</v>
      </c>
      <c r="BA1253" s="62" t="n">
        <f aca="false">IF(LEFT(Cockpit!$O$5,1)="A",H1253,IF(Parameter!$E$30="MAX-Bestand",IF(CI1253=1,CJ1253,IF(LEFT(Cockpit!$O$5,1)="B",BG1253,MAX(BG1253,H1253))),ROUNDUP(BE1253,0)))</f>
        <v>8</v>
      </c>
      <c r="BB1253" s="62" t="n">
        <f aca="false">IF(CA1253=1,0,ROUNDUP(BA1253/BZ1253,0))</f>
        <v>1</v>
      </c>
      <c r="BC1253" s="64" t="n">
        <f aca="false">IF(CR1253&gt;0,CR1253*MAX(1,BA1253/X1253),IF(CA1253=1,IF(BA1253&lt;=0,0,CE1253*MAX(1,IF(H1253&gt;0,BA1253/H1253,1))),IF(R1253&gt;0,BB1253/R1253,0))/MAX(0.1,N(Parameter!$M$21)))</f>
        <v>0.25</v>
      </c>
      <c r="BD1253" s="62" t="n">
        <f aca="false">BC1253*CC1253</f>
        <v>58.75</v>
      </c>
      <c r="BE1253" s="63" t="n">
        <f aca="false">IF(LEFT(Cockpit!$O$5,1)="A",H1253,IF(CI1253=1,(CL1253+CJ1253)/2,IF(LEFT(Cockpit!$O$5,1)="B",(CL1253+BG1253)/2,MAX((CL1253+BG1253)/2,H1253))))</f>
        <v>7.5</v>
      </c>
      <c r="BF1253" s="62" t="n">
        <f aca="false">BE1253*G1253</f>
        <v>889.35</v>
      </c>
      <c r="BG1253" s="62" t="n">
        <f aca="false">ROUNDUP(CL1253+MAX(CM1253,2*(J1253/IF(CH1253&gt;0,CH1253,MAX(0.1,N(Cockpit!$O$6)))-CL1253)),0)</f>
        <v>15</v>
      </c>
      <c r="BH1253" s="63" t="n">
        <f aca="false">IF(BD1253&gt;0,J1253/BD1253,-1)</f>
        <v>0.28936170212766</v>
      </c>
      <c r="BI1253" s="63" t="str">
        <f aca="false">IF(AND(OR(CG1253="L1",CG1253="L23",CG1253="LIFT"),BD1253&gt;0),SUMIFS($BD$7:$BD$1843,$CG$7:$CG$1843,CG1253,$BH$7:$BH$1843,"&gt;"&amp;BH1253)+SUMIFS($BD$7:$BD$1843,$CG$7:$CG$1843,CG1253,$BH$7:$BH$1843,BH1253,$BX$7:$BX$1843,"&lt;="&amp;BX1253),"")</f>
        <v/>
      </c>
      <c r="BJ1253" s="70" t="n">
        <f aca="false">IF(BI1253="",0,MAX(0,MIN(1,(IF(CG1253="L1",Parameter!$H$5,IF(CG1253="L23",Parameter!$H$6+Parameter!$H$7,Parameter!$H$5+Parameter!$H$6+Parameter!$H$7))-(BI1253-BD1253))/BD1253)))</f>
        <v>0</v>
      </c>
      <c r="BK1253" s="60" t="str">
        <f aca="false">IF(AJ1253&lt;=0,"",IF(CG1253="Aussen","Aussenlager",IF(CG1253="-","Nicht im Lift",IF(AP1253&gt;=1,"Lift",IF(AP1253&lt;=0,"Aussenlager","teilweise")))))</f>
        <v>Nicht im Lift</v>
      </c>
      <c r="BL1253" s="60" t="str">
        <f aca="false">IF(AT1253&lt;=0,"",IF(CG1253="Aussen","Aussenlager",IF(CG1253="-","Nicht im Lift",IF(AZ1253&gt;=1,"Lift",IF(AZ1253&lt;=0,"Aussenlager","teilweise")))))</f>
        <v>Nicht im Lift</v>
      </c>
      <c r="BM1253" s="60" t="str">
        <f aca="false">IF(BD1253&lt;=0,"",IF(CG1253="Aussen","Aussenlager",IF(CG1253="-","Nicht im Lift",IF(BJ1253&gt;=1,"Lift",IF(BJ1253&lt;=0,"Aussenlager","teilweise")))))</f>
        <v>Nicht im Lift</v>
      </c>
      <c r="BN1253" s="60" t="str">
        <f aca="false">IF(A1253="","",IF(BW1253=1,"Neu; ","")&amp;IF(AND(BW1253=0,BR1253&lt;0),"negativer Bestand (Export "&amp;BR1253&amp;"); ","")&amp;IF(J1253&lt;=0,"Kein Verbrauch; ","")&amp;IF(CR1253&gt;0,"Lift "&amp;W1253&amp;" lt. Liftbericht (Fach "&amp;X1253&amp;" Stk); ",IF(CB1253=1,"Gebinde geschätzt ("&amp;T1253&amp;"); ",IF(CA1253=1,"Lose – Tablare geschätzt; ","")))&amp;IF(H1253&gt;AW1253,"Überbestand "&amp;ROUND(H1253-AW1253,0)&amp;" Stk / CHF "&amp;ROUND((H1253-AW1253)*G1253,0)&amp;"; ","")&amp;IF(AND(CI1253=1,CJ1253&lt;CK1253),"MAX &lt; MB+LG; ","")&amp;IF(AND(CQ1253&gt;0,CP1253*10&gt;CQ1253),"zu hoch für Tablar; ","")&amp;IF(AND(BW1253=0,OR(CI1253=1,AB1253&lt;&gt;"",U1253&lt;&gt;"",V1253&lt;&gt;"",AC1253&lt;&gt;"")),"manuell übersteuert; ","")&amp;IF(AND(CA1253=0,R1253=0),"Gebinde unbekannt / Stellmass fehlt; ","")&amp;IF(AND(CA1253=0,N(V1253)&lt;=0,N(Q1253)&lt;=0),"Menge pro Gebinde fehlt (Ist = 1 Gebinde); ","")&amp;BV1253)</f>
        <v>negativer Bestand (Export -3); Überbestand 1 Stk / CHF 119; </v>
      </c>
      <c r="BO1253" s="60"/>
      <c r="BP1253" s="60"/>
      <c r="BQ1253" s="67"/>
      <c r="BR1253" s="62" t="n">
        <v>-3</v>
      </c>
      <c r="BS1253" s="62" t="n">
        <v>19</v>
      </c>
      <c r="BT1253" s="61" t="n">
        <v>-755.309999999999</v>
      </c>
      <c r="BU1253" s="62" t="n">
        <v>17</v>
      </c>
      <c r="BV1253" s="60"/>
      <c r="BW1253" s="65" t="n">
        <v>0</v>
      </c>
      <c r="BX1253" s="65" t="n">
        <v>1253</v>
      </c>
      <c r="BY1253" s="60" t="str">
        <f aca="false">IF(U1253&lt;&gt;"",UPPER(TRIM(U1253)),IF(CB1253=1,UPPER(VLOOKUP(T1253,Parameter!$I$27:$K$29,2,0)),IF(P1253="","LOSE",P1253)))</f>
        <v>S81</v>
      </c>
      <c r="BZ1253" s="62" t="n">
        <f aca="false">IF(BY1253="LOSE",1,IF(N(V1253)&gt;0,V1253,IF(CB1253=1,MAX(1,N(VLOOKUP(T1253,Parameter!$I$27:$K$29,3,0)),H1253,N(N1253)),IF(N(Q1253)&gt;0,Q1253,MAX(1,H1253)))))</f>
        <v>40</v>
      </c>
      <c r="CA1253" s="65" t="n">
        <f aca="false">IF(BY1253="LOSE",1,0)</f>
        <v>0</v>
      </c>
      <c r="CB1253" s="65" t="n">
        <f aca="false">IF(AND(U1253="",OR(P1253="",P1253="LOSE"),T1253&lt;&gt;"",N(S1253)&lt;=0,ISNUMBER(MATCH(T1253,Parameter!$I$27:$I$29,0))),1,0)</f>
        <v>0</v>
      </c>
      <c r="CC1253" s="65" t="n">
        <f aca="false">IF(CR1253&gt;0,INDEX(Parameter!$H$5:$H$7,W1253)/INDEX(Parameter!$E$5:$E$7,W1253),IF(AND(CA1253=0,N(IFERROR(VLOOKUP(BY1253,'Gebinde-Kategorie'!$A$5:$N$45,14,0),0))&gt;0),VLOOKUP(BY1253,'Gebinde-Kategorie'!$A$5:$N$45,14,0)*10+Parameter!$M$23,Parameter!$M$24))</f>
        <v>235</v>
      </c>
      <c r="CD1253" s="60" t="str">
        <f aca="false">IF(AND(Parameter!$B$19="Ja",E1253&lt;&gt;"",ISNUMBER(MATCH(E1253,Parameter!$I$35:$I$52,0))),VLOOKUP(E1253,Parameter!$I$35:$J$52,2,0),IFERROR(VLOOKUP(D1253,Parameter!$A$35:$C$64,2,0),"Nein"))</f>
        <v>Nein</v>
      </c>
      <c r="CE1253" s="64" t="n">
        <f aca="false">IF(CA1253=0,0,IF(N(S1253)&gt;0,S1253,IFERROR(VLOOKUP(D1253,Parameter!$A$35:$C$64,3,0)+0,0)))</f>
        <v>0</v>
      </c>
      <c r="CF1253" s="60" t="str">
        <f aca="false">IF(AB1253&lt;&gt;"",AB1253,AA1253)</f>
        <v>-</v>
      </c>
      <c r="CG1253" s="60" t="str">
        <f aca="false">IF(OR(CF1253=1,CF1253=2,CF1253=3),IF(Parameter!$E$27="Ja","LIFT",IF(CF1253=1,"L1","L23")),IF(CF1253="Aussen","Aussen","-"))</f>
        <v>-</v>
      </c>
      <c r="CH1253" s="71" t="n">
        <f aca="false">IF(N(AC1253)&gt;0,AC1253,0)</f>
        <v>0</v>
      </c>
      <c r="CI1253" s="65" t="n">
        <f aca="false">IF(ISNUMBER(AF1253),1,0)</f>
        <v>0</v>
      </c>
      <c r="CJ1253" s="62" t="n">
        <f aca="false">N(AF1253)</f>
        <v>0</v>
      </c>
      <c r="CK1253" s="62" t="n">
        <f aca="false">N(M1253)+N(N1253)</f>
        <v>15</v>
      </c>
      <c r="CL1253" s="62" t="n">
        <f aca="false">N(M1253)</f>
        <v>0</v>
      </c>
      <c r="CM1253" s="62" t="n">
        <f aca="false">N(N1253)</f>
        <v>15</v>
      </c>
      <c r="CN1253" s="62" t="n">
        <f aca="false">ROUNDUP(H1253/BZ1253,0)</f>
        <v>1</v>
      </c>
      <c r="CO1253" s="62" t="n">
        <f aca="false">ROUNDUP(CJ1253/BZ1253,0)</f>
        <v>0</v>
      </c>
      <c r="CP1253" s="65" t="n">
        <f aca="false">IF(CA1253=1,0,IFERROR(VLOOKUP(BY1253,'Gebinde-Kategorie'!$A$5:$N$45,5,0)+0,0))</f>
        <v>20</v>
      </c>
      <c r="CQ1253" s="65" t="n">
        <f aca="false">IFERROR(IF(OR(CF1253=1,CF1253=2,CF1253=3),N(INDEX(Parameter!$I$5:$I$7,CF1253)),0),0)</f>
        <v>0</v>
      </c>
      <c r="CR1253" s="64" t="n">
        <f aca="false">IF(AND(Parameter!$B$21="Ja",ISNUMBER(W1253),N(X1253)&gt;0),IFERROR(N(INDEX(Parameter!$L$5:$L$7,W1253))*INDEX(Parameter!$E$5:$E$7,W1253)*X1253/SUMIFS($X$7:$X$1843,$W$7:$W$1843,W1253),0),0)</f>
        <v>0</v>
      </c>
      <c r="CS1253" s="62" t="str">
        <f aca="false">IF(AND(OR(CG1253="L1",CG1253="L23",CG1253="LIFT"),H1253&gt;0),CC1253*IF(CR1253&gt;0,CR1253*MAX(1,H1253/X1253),IF(CA1253=1,CE1253,IF(R1253&gt;0,CN1253/R1253,0))/MAX(0.1,N(Parameter!$M$21))),"")</f>
        <v/>
      </c>
      <c r="CT1253" s="64" t="str">
        <f aca="false">IF(CS1253="","",J1253/H1253)</f>
        <v/>
      </c>
      <c r="CU1253" s="62" t="str">
        <f aca="false">IF(CS1253="","",H1253*G1253)</f>
        <v/>
      </c>
      <c r="CV1253" s="63" t="str">
        <f aca="false">IF(CS1253="","",(CL1253+ROUNDUP(CL1253+MAX(CM1253,2*(J1253/MAX(0.1,N(Einkauf!$C$6))-CL1253)),0))/2)</f>
        <v/>
      </c>
      <c r="CW1253" s="62" t="str">
        <f aca="false">IF(CS1253="","",MAX(0,H1253-CV1253)*G1253)</f>
        <v/>
      </c>
      <c r="CX1253" s="62" t="str">
        <f aca="false">IF(CS1253="","",CS1253*MAX(0,1-CV1253/H1253))</f>
        <v/>
      </c>
      <c r="CY1253" s="64" t="str">
        <f aca="false">IF(CS1253="","",PERCENTRANK($CS$7:$CS$1843,CS1253)+PERCENTRANK($CU$7:$CU$1843,CU1253)+1-PERCENTRANK($CT$7:$CT$1843,CT1253))</f>
        <v/>
      </c>
      <c r="CZ1253" s="72" t="str">
        <f aca="false">IF(CS1253="","",CHOOSE(MATCH(Einkauf!$C$5,Parameter!$G$23:$G$27,0),CY1253,CS1253,CU1253,-CT1253,CW1253)+ROW()/1000000000)</f>
        <v/>
      </c>
    </row>
    <row r="1254" customFormat="false" ht="15" hidden="false" customHeight="false" outlineLevel="0" collapsed="false">
      <c r="A1254" s="60" t="s">
        <v>2282</v>
      </c>
      <c r="B1254" s="60" t="s">
        <v>225</v>
      </c>
      <c r="C1254" s="60" t="s">
        <v>206</v>
      </c>
      <c r="D1254" s="60" t="s">
        <v>226</v>
      </c>
      <c r="E1254" s="60"/>
      <c r="F1254" s="60" t="s">
        <v>260</v>
      </c>
      <c r="G1254" s="61" t="n">
        <v>292.14</v>
      </c>
      <c r="H1254" s="62" t="n">
        <f aca="false">MAX(0,IF(AND(Parameter!$B$21="Ja",ISNUMBER(Y1254)),Y1254,IF(Parameter!$B$20="Jahresanfang 2025 + Export",BS1254+BR1254,BR1254)))</f>
        <v>1</v>
      </c>
      <c r="I1254" s="62" t="n">
        <f aca="false">H1254*G1254</f>
        <v>292.14</v>
      </c>
      <c r="J1254" s="62" t="n">
        <f aca="false">BU1254*Parameter!$B$18</f>
        <v>3</v>
      </c>
      <c r="K1254" s="63" t="n">
        <v>2.5</v>
      </c>
      <c r="L1254" s="64" t="n">
        <v>1.2</v>
      </c>
      <c r="M1254" s="62" t="n">
        <v>0</v>
      </c>
      <c r="N1254" s="62" t="n">
        <v>5</v>
      </c>
      <c r="O1254" s="65" t="n">
        <v>28</v>
      </c>
      <c r="P1254" s="60" t="s">
        <v>210</v>
      </c>
      <c r="Q1254" s="62"/>
      <c r="R1254" s="65" t="n">
        <f aca="false">IF(CA1254=1,0,IFERROR(VLOOKUP(BY1254,'Gebinde-Kategorie'!$A$5:$N$45,13,0)+0,0))</f>
        <v>12</v>
      </c>
      <c r="S1254" s="66"/>
      <c r="T1254" s="67" t="s">
        <v>221</v>
      </c>
      <c r="U1254" s="67"/>
      <c r="V1254" s="67"/>
      <c r="W1254" s="60"/>
      <c r="X1254" s="62"/>
      <c r="Y1254" s="62"/>
      <c r="Z1254" s="60" t="n">
        <v>3</v>
      </c>
      <c r="AA1254" s="60" t="n">
        <f aca="false">IF(A1254="","",IF(AND(Parameter!$B$21="Ja",ISNUMBER(W1254)),W1254,IF(AND(Parameter!$E$27="Ja",ISNUMBER(Z1254),CD1254&lt;&gt;"Nein"),Z1254,IF(CD1254="2+3",IF(ISNUMBER(SEARCH("grosser Artikel",BV1254)),2,IFERROR(VLOOKUP(BY1254,Parameter!$F$35:$G$64,2,0),2)),IF(OR(CD1254="Nein",CD1254=""),"-",CD1254)))))</f>
        <v>3</v>
      </c>
      <c r="AB1254" s="67"/>
      <c r="AC1254" s="68"/>
      <c r="AD1254" s="62" t="n">
        <f aca="false">AW1254</f>
        <v>5</v>
      </c>
      <c r="AE1254" s="62" t="n">
        <f aca="false">MAX(AW1254,H1254)</f>
        <v>5</v>
      </c>
      <c r="AF1254" s="69"/>
      <c r="AG1254" s="62" t="n">
        <f aca="false">IF(LEFT(Cockpit!$C$5,1)="A",H1254,IF(Parameter!$E$30="MAX-Bestand",IF(CI1254=1,CJ1254,IF(LEFT(Cockpit!$C$5,1)="B",AM1254,MAX(AM1254,H1254))),ROUNDUP(AK1254,0)))</f>
        <v>1</v>
      </c>
      <c r="AH1254" s="62" t="n">
        <f aca="false">IF(CA1254=1,0,ROUNDUP(AG1254/BZ1254,0))</f>
        <v>1</v>
      </c>
      <c r="AI1254" s="64" t="n">
        <f aca="false">IF(CR1254&gt;0,CR1254*MAX(1,AG1254/X1254),IF(CA1254=1,IF(AG1254&lt;=0,0,CE1254*MAX(1,IF(H1254&gt;0,AG1254/H1254,1))),IF(R1254&gt;0,AH1254/R1254,0))/MAX(0.1,N(Parameter!$M$21)))</f>
        <v>0.0833333333333333</v>
      </c>
      <c r="AJ1254" s="62" t="n">
        <f aca="false">AI1254*CC1254</f>
        <v>12.0833333333333</v>
      </c>
      <c r="AK1254" s="63" t="n">
        <f aca="false">IF(LEFT(Cockpit!$C$5,1)="A",H1254,IF(CI1254=1,(CL1254+CJ1254)/2,IF(LEFT(Cockpit!$C$5,1)="B",(CL1254+AM1254)/2,MAX((CL1254+AM1254)/2,H1254))))</f>
        <v>1</v>
      </c>
      <c r="AL1254" s="62" t="n">
        <f aca="false">AK1254*G1254</f>
        <v>292.14</v>
      </c>
      <c r="AM1254" s="62" t="n">
        <f aca="false">ROUNDUP(CL1254+MAX(CM1254,2*(J1254/IF(CH1254&gt;0,CH1254,MAX(0.1,N(Cockpit!$C$6)))-CL1254)),0)</f>
        <v>5</v>
      </c>
      <c r="AN1254" s="63" t="n">
        <f aca="false">IF(AJ1254&gt;0,J1254/AJ1254,-1)</f>
        <v>0.248275862068966</v>
      </c>
      <c r="AO1254" s="63" t="n">
        <f aca="false">IF(AND(OR(CG1254="L1",CG1254="L23",CG1254="LIFT"),AJ1254&gt;0),SUMIFS($AJ$7:$AJ$1843,$CG$7:$CG$1843,CG1254,$AN$7:$AN$1843,"&gt;"&amp;AN1254)+SUMIFS($AJ$7:$AJ$1843,$CG$7:$CG$1843,CG1254,$AN$7:$AN$1843,AN1254,$BX$7:$BX$1843,"&lt;="&amp;BX1254),"")</f>
        <v>11913.1869295958</v>
      </c>
      <c r="AP1254" s="70" t="n">
        <f aca="false">IF(AO1254="",0,MAX(0,MIN(1,(IF(CG1254="L1",Parameter!$H$5,IF(CG1254="L23",Parameter!$H$6+Parameter!$H$7,Parameter!$H$5+Parameter!$H$6+Parameter!$H$7))-(AO1254-AJ1254))/AJ1254)))</f>
        <v>1</v>
      </c>
      <c r="AQ1254" s="62" t="n">
        <f aca="false">IF(LEFT(Cockpit!$I$5,1)="A",H1254,IF(Parameter!$E$30="MAX-Bestand",IF(CI1254=1,CJ1254,IF(LEFT(Cockpit!$I$5,1)="B",AW1254,MAX(AW1254,H1254))),ROUNDUP(AU1254,0)))</f>
        <v>3</v>
      </c>
      <c r="AR1254" s="62" t="n">
        <f aca="false">IF(CA1254=1,0,ROUNDUP(AQ1254/BZ1254,0))</f>
        <v>1</v>
      </c>
      <c r="AS1254" s="64" t="n">
        <f aca="false">IF(CR1254&gt;0,CR1254*MAX(1,AQ1254/X1254),IF(CA1254=1,IF(AQ1254&lt;=0,0,CE1254*MAX(1,IF(H1254&gt;0,AQ1254/H1254,1))),IF(R1254&gt;0,AR1254/R1254,0))/MAX(0.1,N(Parameter!$M$21)))</f>
        <v>0.0833333333333333</v>
      </c>
      <c r="AT1254" s="62" t="n">
        <f aca="false">AS1254*CC1254</f>
        <v>12.0833333333333</v>
      </c>
      <c r="AU1254" s="63" t="n">
        <f aca="false">IF(LEFT(Cockpit!$I$5,1)="A",H1254,IF(CI1254=1,(CL1254+CJ1254)/2,IF(LEFT(Cockpit!$I$5,1)="B",(CL1254+AW1254)/2,MAX((CL1254+AW1254)/2,H1254))))</f>
        <v>2.5</v>
      </c>
      <c r="AV1254" s="62" t="n">
        <f aca="false">AU1254*G1254</f>
        <v>730.35</v>
      </c>
      <c r="AW1254" s="62" t="n">
        <f aca="false">ROUNDUP(CL1254+MAX(CM1254,2*(J1254/IF(CH1254&gt;0,CH1254,MAX(0.1,N(Cockpit!$I$6)))-CL1254)),0)</f>
        <v>5</v>
      </c>
      <c r="AX1254" s="63" t="n">
        <f aca="false">IF(AT1254&gt;0,J1254/AT1254,-1)</f>
        <v>0.248275862068966</v>
      </c>
      <c r="AY1254" s="63" t="n">
        <f aca="false">IF(AND(OR(CG1254="L1",CG1254="L23",CG1254="LIFT"),AT1254&gt;0),SUMIFS($AT$7:$AT$1843,$CG$7:$CG$1843,CG1254,$AX$7:$AX$1843,"&gt;"&amp;AX1254)+SUMIFS($AT$7:$AT$1843,$CG$7:$CG$1843,CG1254,$AX$7:$AX$1843,AX1254,$BX$7:$BX$1843,"&lt;="&amp;BX1254),"")</f>
        <v>14990.081043956</v>
      </c>
      <c r="AZ1254" s="70" t="n">
        <f aca="false">IF(AY1254="",0,MAX(0,MIN(1,(IF(CG1254="L1",Parameter!$H$5,IF(CG1254="L23",Parameter!$H$6+Parameter!$H$7,Parameter!$H$5+Parameter!$H$6+Parameter!$H$7))-(AY1254-AT1254))/AT1254)))</f>
        <v>1</v>
      </c>
      <c r="BA1254" s="62" t="n">
        <f aca="false">IF(LEFT(Cockpit!$O$5,1)="A",H1254,IF(Parameter!$E$30="MAX-Bestand",IF(CI1254=1,CJ1254,IF(LEFT(Cockpit!$O$5,1)="B",BG1254,MAX(BG1254,H1254))),ROUNDUP(BE1254,0)))</f>
        <v>3</v>
      </c>
      <c r="BB1254" s="62" t="n">
        <f aca="false">IF(CA1254=1,0,ROUNDUP(BA1254/BZ1254,0))</f>
        <v>1</v>
      </c>
      <c r="BC1254" s="64" t="n">
        <f aca="false">IF(CR1254&gt;0,CR1254*MAX(1,BA1254/X1254),IF(CA1254=1,IF(BA1254&lt;=0,0,CE1254*MAX(1,IF(H1254&gt;0,BA1254/H1254,1))),IF(R1254&gt;0,BB1254/R1254,0))/MAX(0.1,N(Parameter!$M$21)))</f>
        <v>0.0833333333333333</v>
      </c>
      <c r="BD1254" s="62" t="n">
        <f aca="false">BC1254*CC1254</f>
        <v>12.0833333333333</v>
      </c>
      <c r="BE1254" s="63" t="n">
        <f aca="false">IF(LEFT(Cockpit!$O$5,1)="A",H1254,IF(CI1254=1,(CL1254+CJ1254)/2,IF(LEFT(Cockpit!$O$5,1)="B",(CL1254+BG1254)/2,MAX((CL1254+BG1254)/2,H1254))))</f>
        <v>2.5</v>
      </c>
      <c r="BF1254" s="62" t="n">
        <f aca="false">BE1254*G1254</f>
        <v>730.35</v>
      </c>
      <c r="BG1254" s="62" t="n">
        <f aca="false">ROUNDUP(CL1254+MAX(CM1254,2*(J1254/IF(CH1254&gt;0,CH1254,MAX(0.1,N(Cockpit!$O$6)))-CL1254)),0)</f>
        <v>5</v>
      </c>
      <c r="BH1254" s="63" t="n">
        <f aca="false">IF(BD1254&gt;0,J1254/BD1254,-1)</f>
        <v>0.248275862068966</v>
      </c>
      <c r="BI1254" s="63" t="n">
        <f aca="false">IF(AND(OR(CG1254="L1",CG1254="L23",CG1254="LIFT"),BD1254&gt;0),SUMIFS($BD$7:$BD$1843,$CG$7:$CG$1843,CG1254,$BH$7:$BH$1843,"&gt;"&amp;BH1254)+SUMIFS($BD$7:$BD$1843,$CG$7:$CG$1843,CG1254,$BH$7:$BH$1843,BH1254,$BX$7:$BX$1843,"&lt;="&amp;BX1254),"")</f>
        <v>12141.3081501832</v>
      </c>
      <c r="BJ1254" s="70" t="n">
        <f aca="false">IF(BI1254="",0,MAX(0,MIN(1,(IF(CG1254="L1",Parameter!$H$5,IF(CG1254="L23",Parameter!$H$6+Parameter!$H$7,Parameter!$H$5+Parameter!$H$6+Parameter!$H$7))-(BI1254-BD1254))/BD1254)))</f>
        <v>1</v>
      </c>
      <c r="BK1254" s="60" t="str">
        <f aca="false">IF(AJ1254&lt;=0,"",IF(CG1254="Aussen","Aussenlager",IF(CG1254="-","Nicht im Lift",IF(AP1254&gt;=1,"Lift",IF(AP1254&lt;=0,"Aussenlager","teilweise")))))</f>
        <v>Lift</v>
      </c>
      <c r="BL1254" s="60" t="str">
        <f aca="false">IF(AT1254&lt;=0,"",IF(CG1254="Aussen","Aussenlager",IF(CG1254="-","Nicht im Lift",IF(AZ1254&gt;=1,"Lift",IF(AZ1254&lt;=0,"Aussenlager","teilweise")))))</f>
        <v>Lift</v>
      </c>
      <c r="BM1254" s="60" t="str">
        <f aca="false">IF(BD1254&lt;=0,"",IF(CG1254="Aussen","Aussenlager",IF(CG1254="-","Nicht im Lift",IF(BJ1254&gt;=1,"Lift",IF(BJ1254&lt;=0,"Aussenlager","teilweise")))))</f>
        <v>Lift</v>
      </c>
      <c r="BN1254" s="60" t="str">
        <f aca="false">IF(A1254="","",IF(BW1254=1,"Neu; ","")&amp;IF(AND(BW1254=0,BR1254&lt;0),"negativer Bestand (Export "&amp;BR1254&amp;"); ","")&amp;IF(J1254&lt;=0,"Kein Verbrauch; ","")&amp;IF(CR1254&gt;0,"Lift "&amp;W1254&amp;" lt. Liftbericht (Fach "&amp;X1254&amp;" Stk); ",IF(CB1254=1,"Gebinde geschätzt ("&amp;T1254&amp;"); ",IF(CA1254=1,"Lose – Tablare geschätzt; ","")))&amp;IF(H1254&gt;AW1254,"Überbestand "&amp;ROUND(H1254-AW1254,0)&amp;" Stk / CHF "&amp;ROUND((H1254-AW1254)*G1254,0)&amp;"; ","")&amp;IF(AND(CI1254=1,CJ1254&lt;CK1254),"MAX &lt; MB+LG; ","")&amp;IF(AND(CQ1254&gt;0,CP1254*10&gt;CQ1254),"zu hoch für Tablar; ","")&amp;IF(AND(BW1254=0,OR(CI1254=1,AB1254&lt;&gt;"",U1254&lt;&gt;"",V1254&lt;&gt;"",AC1254&lt;&gt;"")),"manuell übersteuert; ","")&amp;IF(AND(CA1254=0,R1254=0),"Gebinde unbekannt / Stellmass fehlt; ","")&amp;IF(AND(CA1254=0,N(V1254)&lt;=0,N(Q1254)&lt;=0),"Menge pro Gebinde fehlt (Ist = 1 Gebinde); ","")&amp;BV1254)</f>
        <v>negativer Bestand (Export -3); Gebinde geschätzt (Mittel); Menge pro Gebinde fehlt (Ist = 1 Gebinde); </v>
      </c>
      <c r="BO1254" s="60"/>
      <c r="BP1254" s="60"/>
      <c r="BQ1254" s="67"/>
      <c r="BR1254" s="62" t="n">
        <v>-3</v>
      </c>
      <c r="BS1254" s="62" t="n">
        <v>4</v>
      </c>
      <c r="BT1254" s="61" t="n">
        <v>-758.74</v>
      </c>
      <c r="BU1254" s="62" t="n">
        <v>3</v>
      </c>
      <c r="BV1254" s="60"/>
      <c r="BW1254" s="65" t="n">
        <v>0</v>
      </c>
      <c r="BX1254" s="65" t="n">
        <v>1254</v>
      </c>
      <c r="BY1254" s="60" t="str">
        <f aca="false">IF(U1254&lt;&gt;"",UPPER(TRIM(U1254)),IF(CB1254=1,UPPER(VLOOKUP(T1254,Parameter!$I$27:$K$29,2,0)),IF(P1254="","LOSE",P1254)))</f>
        <v>S61</v>
      </c>
      <c r="BZ1254" s="62" t="n">
        <f aca="false">IF(BY1254="LOSE",1,IF(N(V1254)&gt;0,V1254,IF(CB1254=1,MAX(1,N(VLOOKUP(T1254,Parameter!$I$27:$K$29,3,0)),H1254,N(N1254)),IF(N(Q1254)&gt;0,Q1254,MAX(1,H1254)))))</f>
        <v>5</v>
      </c>
      <c r="CA1254" s="65" t="n">
        <f aca="false">IF(BY1254="LOSE",1,0)</f>
        <v>0</v>
      </c>
      <c r="CB1254" s="65" t="n">
        <f aca="false">IF(AND(U1254="",OR(P1254="",P1254="LOSE"),T1254&lt;&gt;"",N(S1254)&lt;=0,ISNUMBER(MATCH(T1254,Parameter!$I$27:$I$29,0))),1,0)</f>
        <v>1</v>
      </c>
      <c r="CC1254" s="65" t="n">
        <f aca="false">IF(CR1254&gt;0,INDEX(Parameter!$H$5:$H$7,W1254)/INDEX(Parameter!$E$5:$E$7,W1254),IF(AND(CA1254=0,N(IFERROR(VLOOKUP(BY1254,'Gebinde-Kategorie'!$A$5:$N$45,14,0),0))&gt;0),VLOOKUP(BY1254,'Gebinde-Kategorie'!$A$5:$N$45,14,0)*10+Parameter!$M$23,Parameter!$M$24))</f>
        <v>145</v>
      </c>
      <c r="CD1254" s="60" t="str">
        <f aca="false">IF(AND(Parameter!$B$19="Ja",E1254&lt;&gt;"",ISNUMBER(MATCH(E1254,Parameter!$I$35:$I$52,0))),VLOOKUP(E1254,Parameter!$I$35:$J$52,2,0),IFERROR(VLOOKUP(D1254,Parameter!$A$35:$C$64,2,0),"Nein"))</f>
        <v>2+3</v>
      </c>
      <c r="CE1254" s="64" t="n">
        <f aca="false">IF(CA1254=0,0,IF(N(S1254)&gt;0,S1254,IFERROR(VLOOKUP(D1254,Parameter!$A$35:$C$64,3,0)+0,0)))</f>
        <v>0</v>
      </c>
      <c r="CF1254" s="60" t="n">
        <f aca="false">IF(AB1254&lt;&gt;"",AB1254,AA1254)</f>
        <v>3</v>
      </c>
      <c r="CG1254" s="60" t="str">
        <f aca="false">IF(OR(CF1254=1,CF1254=2,CF1254=3),IF(Parameter!$E$27="Ja","LIFT",IF(CF1254=1,"L1","L23")),IF(CF1254="Aussen","Aussen","-"))</f>
        <v>LIFT</v>
      </c>
      <c r="CH1254" s="71" t="n">
        <f aca="false">IF(N(AC1254)&gt;0,AC1254,0)</f>
        <v>0</v>
      </c>
      <c r="CI1254" s="65" t="n">
        <f aca="false">IF(ISNUMBER(AF1254),1,0)</f>
        <v>0</v>
      </c>
      <c r="CJ1254" s="62" t="n">
        <f aca="false">N(AF1254)</f>
        <v>0</v>
      </c>
      <c r="CK1254" s="62" t="n">
        <f aca="false">N(M1254)+N(N1254)</f>
        <v>5</v>
      </c>
      <c r="CL1254" s="62" t="n">
        <f aca="false">N(M1254)</f>
        <v>0</v>
      </c>
      <c r="CM1254" s="62" t="n">
        <f aca="false">N(N1254)</f>
        <v>5</v>
      </c>
      <c r="CN1254" s="62" t="n">
        <f aca="false">ROUNDUP(H1254/BZ1254,0)</f>
        <v>1</v>
      </c>
      <c r="CO1254" s="62" t="n">
        <f aca="false">ROUNDUP(CJ1254/BZ1254,0)</f>
        <v>0</v>
      </c>
      <c r="CP1254" s="65" t="n">
        <f aca="false">IF(CA1254=1,0,IFERROR(VLOOKUP(BY1254,'Gebinde-Kategorie'!$A$5:$N$45,5,0)+0,0))</f>
        <v>11</v>
      </c>
      <c r="CQ1254" s="65" t="n">
        <f aca="false">IFERROR(IF(OR(CF1254=1,CF1254=2,CF1254=3),N(INDEX(Parameter!$I$5:$I$7,CF1254)),0),0)</f>
        <v>0</v>
      </c>
      <c r="CR1254" s="64" t="n">
        <f aca="false">IF(AND(Parameter!$B$21="Ja",ISNUMBER(W1254),N(X1254)&gt;0),IFERROR(N(INDEX(Parameter!$L$5:$L$7,W1254))*INDEX(Parameter!$E$5:$E$7,W1254)*X1254/SUMIFS($X$7:$X$1843,$W$7:$W$1843,W1254),0),0)</f>
        <v>0</v>
      </c>
      <c r="CS1254" s="62" t="n">
        <f aca="false">IF(AND(OR(CG1254="L1",CG1254="L23",CG1254="LIFT"),H1254&gt;0),CC1254*IF(CR1254&gt;0,CR1254*MAX(1,H1254/X1254),IF(CA1254=1,CE1254,IF(R1254&gt;0,CN1254/R1254,0))/MAX(0.1,N(Parameter!$M$21))),"")</f>
        <v>12.0833333333333</v>
      </c>
      <c r="CT1254" s="64" t="n">
        <f aca="false">IF(CS1254="","",J1254/H1254)</f>
        <v>3</v>
      </c>
      <c r="CU1254" s="62" t="n">
        <f aca="false">IF(CS1254="","",H1254*G1254)</f>
        <v>292.14</v>
      </c>
      <c r="CV1254" s="63" t="n">
        <f aca="false">IF(CS1254="","",(CL1254+ROUNDUP(CL1254+MAX(CM1254,2*(J1254/MAX(0.1,N(Einkauf!$C$6))-CL1254)),0))/2)</f>
        <v>2.5</v>
      </c>
      <c r="CW1254" s="62" t="n">
        <f aca="false">IF(CS1254="","",MAX(0,H1254-CV1254)*G1254)</f>
        <v>0</v>
      </c>
      <c r="CX1254" s="62" t="n">
        <f aca="false">IF(CS1254="","",CS1254*MAX(0,1-CV1254/H1254))</f>
        <v>0</v>
      </c>
      <c r="CY1254" s="64" t="n">
        <f aca="false">IF(CS1254="","",PERCENTRANK($CS$7:$CS$1843,CS1254)+PERCENTRANK($CU$7:$CU$1843,CU1254)+1-PERCENTRANK($CT$7:$CT$1843,CT1254))</f>
        <v>1.188</v>
      </c>
      <c r="CZ1254" s="72" t="n">
        <f aca="false">IF(CS1254="","",CHOOSE(MATCH(Einkauf!$C$5,Parameter!$G$23:$G$27,0),CY1254,CS1254,CU1254,-CT1254,CW1254)+ROW()/1000000000)</f>
        <v>1.188001254</v>
      </c>
    </row>
    <row r="1255" customFormat="false" ht="15" hidden="false" customHeight="false" outlineLevel="0" collapsed="false">
      <c r="A1255" s="60" t="s">
        <v>2283</v>
      </c>
      <c r="B1255" s="60" t="s">
        <v>2284</v>
      </c>
      <c r="C1255" s="60" t="s">
        <v>206</v>
      </c>
      <c r="D1255" s="60" t="s">
        <v>215</v>
      </c>
      <c r="E1255" s="60"/>
      <c r="F1255" s="60" t="s">
        <v>260</v>
      </c>
      <c r="G1255" s="61" t="n">
        <v>380</v>
      </c>
      <c r="H1255" s="62" t="n">
        <f aca="false">MAX(0,IF(AND(Parameter!$B$21="Ja",ISNUMBER(Y1255)),Y1255,IF(Parameter!$B$20="Jahresanfang 2025 + Export",BS1255+BR1255,BR1255)))</f>
        <v>9</v>
      </c>
      <c r="I1255" s="62" t="n">
        <f aca="false">H1255*G1255</f>
        <v>3420</v>
      </c>
      <c r="J1255" s="62" t="n">
        <f aca="false">BU1255*Parameter!$B$18</f>
        <v>2</v>
      </c>
      <c r="K1255" s="63" t="n">
        <v>10</v>
      </c>
      <c r="L1255" s="64" t="n">
        <v>0.2</v>
      </c>
      <c r="M1255" s="62" t="n">
        <v>0</v>
      </c>
      <c r="N1255" s="62" t="n">
        <v>1</v>
      </c>
      <c r="O1255" s="65" t="n">
        <v>35</v>
      </c>
      <c r="P1255" s="60" t="s">
        <v>275</v>
      </c>
      <c r="Q1255" s="62" t="n">
        <v>10</v>
      </c>
      <c r="R1255" s="65" t="n">
        <f aca="false">IF(CA1255=1,0,IFERROR(VLOOKUP(BY1255,'Gebinde-Kategorie'!$A$5:$N$45,13,0)+0,0))</f>
        <v>26</v>
      </c>
      <c r="S1255" s="66"/>
      <c r="T1255" s="67"/>
      <c r="U1255" s="67"/>
      <c r="V1255" s="67"/>
      <c r="W1255" s="60"/>
      <c r="X1255" s="62"/>
      <c r="Y1255" s="62"/>
      <c r="Z1255" s="60" t="n">
        <v>3</v>
      </c>
      <c r="AA1255" s="60" t="n">
        <f aca="false">IF(A1255="","",IF(AND(Parameter!$B$21="Ja",ISNUMBER(W1255)),W1255,IF(AND(Parameter!$E$27="Ja",ISNUMBER(Z1255),CD1255&lt;&gt;"Nein"),Z1255,IF(CD1255="2+3",IF(ISNUMBER(SEARCH("grosser Artikel",BV1255)),2,IFERROR(VLOOKUP(BY1255,Parameter!$F$35:$G$64,2,0),2)),IF(OR(CD1255="Nein",CD1255=""),"-",CD1255)))))</f>
        <v>3</v>
      </c>
      <c r="AB1255" s="67"/>
      <c r="AC1255" s="68"/>
      <c r="AD1255" s="62" t="n">
        <f aca="false">AW1255</f>
        <v>2</v>
      </c>
      <c r="AE1255" s="62" t="n">
        <f aca="false">MAX(AW1255,H1255)</f>
        <v>9</v>
      </c>
      <c r="AF1255" s="69"/>
      <c r="AG1255" s="62" t="n">
        <f aca="false">IF(LEFT(Cockpit!$C$5,1)="A",H1255,IF(Parameter!$E$30="MAX-Bestand",IF(CI1255=1,CJ1255,IF(LEFT(Cockpit!$C$5,1)="B",AM1255,MAX(AM1255,H1255))),ROUNDUP(AK1255,0)))</f>
        <v>9</v>
      </c>
      <c r="AH1255" s="62" t="n">
        <f aca="false">IF(CA1255=1,0,ROUNDUP(AG1255/BZ1255,0))</f>
        <v>1</v>
      </c>
      <c r="AI1255" s="64" t="n">
        <f aca="false">IF(CR1255&gt;0,CR1255*MAX(1,AG1255/X1255),IF(CA1255=1,IF(AG1255&lt;=0,0,CE1255*MAX(1,IF(H1255&gt;0,AG1255/H1255,1))),IF(R1255&gt;0,AH1255/R1255,0))/MAX(0.1,N(Parameter!$M$21)))</f>
        <v>0.0384615384615385</v>
      </c>
      <c r="AJ1255" s="62" t="n">
        <f aca="false">AI1255*CC1255</f>
        <v>9.42307692307692</v>
      </c>
      <c r="AK1255" s="63" t="n">
        <f aca="false">IF(LEFT(Cockpit!$C$5,1)="A",H1255,IF(CI1255=1,(CL1255+CJ1255)/2,IF(LEFT(Cockpit!$C$5,1)="B",(CL1255+AM1255)/2,MAX((CL1255+AM1255)/2,H1255))))</f>
        <v>9</v>
      </c>
      <c r="AL1255" s="62" t="n">
        <f aca="false">AK1255*G1255</f>
        <v>3420</v>
      </c>
      <c r="AM1255" s="62" t="n">
        <f aca="false">ROUNDUP(CL1255+MAX(CM1255,2*(J1255/IF(CH1255&gt;0,CH1255,MAX(0.1,N(Cockpit!$C$6)))-CL1255)),0)</f>
        <v>2</v>
      </c>
      <c r="AN1255" s="63" t="n">
        <f aca="false">IF(AJ1255&gt;0,J1255/AJ1255,-1)</f>
        <v>0.212244897959184</v>
      </c>
      <c r="AO1255" s="63" t="n">
        <f aca="false">IF(AND(OR(CG1255="L1",CG1255="L23",CG1255="LIFT"),AJ1255&gt;0),SUMIFS($AJ$7:$AJ$1843,$CG$7:$CG$1843,CG1255,$AN$7:$AN$1843,"&gt;"&amp;AN1255)+SUMIFS($AJ$7:$AJ$1843,$CG$7:$CG$1843,CG1255,$AN$7:$AN$1843,AN1255,$BX$7:$BX$1843,"&lt;="&amp;BX1255),"")</f>
        <v>12392.3939772563</v>
      </c>
      <c r="AP1255" s="70" t="n">
        <f aca="false">IF(AO1255="",0,MAX(0,MIN(1,(IF(CG1255="L1",Parameter!$H$5,IF(CG1255="L23",Parameter!$H$6+Parameter!$H$7,Parameter!$H$5+Parameter!$H$6+Parameter!$H$7))-(AO1255-AJ1255))/AJ1255)))</f>
        <v>1</v>
      </c>
      <c r="AQ1255" s="62" t="n">
        <f aca="false">IF(LEFT(Cockpit!$I$5,1)="A",H1255,IF(Parameter!$E$30="MAX-Bestand",IF(CI1255=1,CJ1255,IF(LEFT(Cockpit!$I$5,1)="B",AW1255,MAX(AW1255,H1255))),ROUNDUP(AU1255,0)))</f>
        <v>9</v>
      </c>
      <c r="AR1255" s="62" t="n">
        <f aca="false">IF(CA1255=1,0,ROUNDUP(AQ1255/BZ1255,0))</f>
        <v>1</v>
      </c>
      <c r="AS1255" s="64" t="n">
        <f aca="false">IF(CR1255&gt;0,CR1255*MAX(1,AQ1255/X1255),IF(CA1255=1,IF(AQ1255&lt;=0,0,CE1255*MAX(1,IF(H1255&gt;0,AQ1255/H1255,1))),IF(R1255&gt;0,AR1255/R1255,0))/MAX(0.1,N(Parameter!$M$21)))</f>
        <v>0.0384615384615385</v>
      </c>
      <c r="AT1255" s="62" t="n">
        <f aca="false">AS1255*CC1255</f>
        <v>9.42307692307692</v>
      </c>
      <c r="AU1255" s="63" t="n">
        <f aca="false">IF(LEFT(Cockpit!$I$5,1)="A",H1255,IF(CI1255=1,(CL1255+CJ1255)/2,IF(LEFT(Cockpit!$I$5,1)="B",(CL1255+AW1255)/2,MAX((CL1255+AW1255)/2,H1255))))</f>
        <v>9</v>
      </c>
      <c r="AV1255" s="62" t="n">
        <f aca="false">AU1255*G1255</f>
        <v>3420</v>
      </c>
      <c r="AW1255" s="62" t="n">
        <f aca="false">ROUNDUP(CL1255+MAX(CM1255,2*(J1255/IF(CH1255&gt;0,CH1255,MAX(0.1,N(Cockpit!$I$6)))-CL1255)),0)</f>
        <v>2</v>
      </c>
      <c r="AX1255" s="63" t="n">
        <f aca="false">IF(AT1255&gt;0,J1255/AT1255,-1)</f>
        <v>0.212244897959184</v>
      </c>
      <c r="AY1255" s="63" t="n">
        <f aca="false">IF(AND(OR(CG1255="L1",CG1255="L23",CG1255="LIFT"),AT1255&gt;0),SUMIFS($AT$7:$AT$1843,$CG$7:$CG$1843,CG1255,$AX$7:$AX$1843,"&gt;"&amp;AX1255)+SUMIFS($AT$7:$AT$1843,$CG$7:$CG$1843,CG1255,$AX$7:$AX$1843,AX1255,$BX$7:$BX$1843,"&lt;="&amp;BX1255),"")</f>
        <v>15221.6515567766</v>
      </c>
      <c r="AZ1255" s="70" t="n">
        <f aca="false">IF(AY1255="",0,MAX(0,MIN(1,(IF(CG1255="L1",Parameter!$H$5,IF(CG1255="L23",Parameter!$H$6+Parameter!$H$7,Parameter!$H$5+Parameter!$H$6+Parameter!$H$7))-(AY1255-AT1255))/AT1255)))</f>
        <v>1</v>
      </c>
      <c r="BA1255" s="62" t="n">
        <f aca="false">IF(LEFT(Cockpit!$O$5,1)="A",H1255,IF(Parameter!$E$30="MAX-Bestand",IF(CI1255=1,CJ1255,IF(LEFT(Cockpit!$O$5,1)="B",BG1255,MAX(BG1255,H1255))),ROUNDUP(BE1255,0)))</f>
        <v>1</v>
      </c>
      <c r="BB1255" s="62" t="n">
        <f aca="false">IF(CA1255=1,0,ROUNDUP(BA1255/BZ1255,0))</f>
        <v>1</v>
      </c>
      <c r="BC1255" s="64" t="n">
        <f aca="false">IF(CR1255&gt;0,CR1255*MAX(1,BA1255/X1255),IF(CA1255=1,IF(BA1255&lt;=0,0,CE1255*MAX(1,IF(H1255&gt;0,BA1255/H1255,1))),IF(R1255&gt;0,BB1255/R1255,0))/MAX(0.1,N(Parameter!$M$21)))</f>
        <v>0.0384615384615385</v>
      </c>
      <c r="BD1255" s="62" t="n">
        <f aca="false">BC1255*CC1255</f>
        <v>9.42307692307692</v>
      </c>
      <c r="BE1255" s="63" t="n">
        <f aca="false">IF(LEFT(Cockpit!$O$5,1)="A",H1255,IF(CI1255=1,(CL1255+CJ1255)/2,IF(LEFT(Cockpit!$O$5,1)="B",(CL1255+BG1255)/2,MAX((CL1255+BG1255)/2,H1255))))</f>
        <v>0.5</v>
      </c>
      <c r="BF1255" s="62" t="n">
        <f aca="false">BE1255*G1255</f>
        <v>190</v>
      </c>
      <c r="BG1255" s="62" t="n">
        <f aca="false">ROUNDUP(CL1255+MAX(CM1255,2*(J1255/IF(CH1255&gt;0,CH1255,MAX(0.1,N(Cockpit!$O$6)))-CL1255)),0)</f>
        <v>1</v>
      </c>
      <c r="BH1255" s="63" t="n">
        <f aca="false">IF(BD1255&gt;0,J1255/BD1255,-1)</f>
        <v>0.212244897959184</v>
      </c>
      <c r="BI1255" s="63" t="n">
        <f aca="false">IF(AND(OR(CG1255="L1",CG1255="L23",CG1255="LIFT"),BD1255&gt;0),SUMIFS($BD$7:$BD$1843,$CG$7:$CG$1843,CG1255,$BH$7:$BH$1843,"&gt;"&amp;BH1255)+SUMIFS($BD$7:$BD$1843,$CG$7:$CG$1843,CG1255,$BH$7:$BH$1843,BH1255,$BX$7:$BX$1843,"&lt;="&amp;BX1255),"")</f>
        <v>12373.3594322344</v>
      </c>
      <c r="BJ1255" s="70" t="n">
        <f aca="false">IF(BI1255="",0,MAX(0,MIN(1,(IF(CG1255="L1",Parameter!$H$5,IF(CG1255="L23",Parameter!$H$6+Parameter!$H$7,Parameter!$H$5+Parameter!$H$6+Parameter!$H$7))-(BI1255-BD1255))/BD1255)))</f>
        <v>1</v>
      </c>
      <c r="BK1255" s="60" t="str">
        <f aca="false">IF(AJ1255&lt;=0,"",IF(CG1255="Aussen","Aussenlager",IF(CG1255="-","Nicht im Lift",IF(AP1255&gt;=1,"Lift",IF(AP1255&lt;=0,"Aussenlager","teilweise")))))</f>
        <v>Lift</v>
      </c>
      <c r="BL1255" s="60" t="str">
        <f aca="false">IF(AT1255&lt;=0,"",IF(CG1255="Aussen","Aussenlager",IF(CG1255="-","Nicht im Lift",IF(AZ1255&gt;=1,"Lift",IF(AZ1255&lt;=0,"Aussenlager","teilweise")))))</f>
        <v>Lift</v>
      </c>
      <c r="BM1255" s="60" t="str">
        <f aca="false">IF(BD1255&lt;=0,"",IF(CG1255="Aussen","Aussenlager",IF(CG1255="-","Nicht im Lift",IF(BJ1255&gt;=1,"Lift",IF(BJ1255&lt;=0,"Aussenlager","teilweise")))))</f>
        <v>Lift</v>
      </c>
      <c r="BN1255" s="60" t="str">
        <f aca="false">IF(A1255="","",IF(BW1255=1,"Neu; ","")&amp;IF(AND(BW1255=0,BR1255&lt;0),"negativer Bestand (Export "&amp;BR1255&amp;"); ","")&amp;IF(J1255&lt;=0,"Kein Verbrauch; ","")&amp;IF(CR1255&gt;0,"Lift "&amp;W1255&amp;" lt. Liftbericht (Fach "&amp;X1255&amp;" Stk); ",IF(CB1255=1,"Gebinde geschätzt ("&amp;T1255&amp;"); ",IF(CA1255=1,"Lose – Tablare geschätzt; ","")))&amp;IF(H1255&gt;AW1255,"Überbestand "&amp;ROUND(H1255-AW1255,0)&amp;" Stk / CHF "&amp;ROUND((H1255-AW1255)*G1255,0)&amp;"; ","")&amp;IF(AND(CI1255=1,CJ1255&lt;CK1255),"MAX &lt; MB+LG; ","")&amp;IF(AND(CQ1255&gt;0,CP1255*10&gt;CQ1255),"zu hoch für Tablar; ","")&amp;IF(AND(BW1255=0,OR(CI1255=1,AB1255&lt;&gt;"",U1255&lt;&gt;"",V1255&lt;&gt;"",AC1255&lt;&gt;"")),"manuell übersteuert; ","")&amp;IF(AND(CA1255=0,R1255=0),"Gebinde unbekannt / Stellmass fehlt; ","")&amp;IF(AND(CA1255=0,N(V1255)&lt;=0,N(Q1255)&lt;=0),"Menge pro Gebinde fehlt (Ist = 1 Gebinde); ","")&amp;BV1255)</f>
        <v>negativer Bestand (Export -2); Überbestand 7 Stk / CHF 2660; </v>
      </c>
      <c r="BO1255" s="60"/>
      <c r="BP1255" s="60"/>
      <c r="BQ1255" s="67"/>
      <c r="BR1255" s="62" t="n">
        <v>-2</v>
      </c>
      <c r="BS1255" s="62" t="n">
        <v>11</v>
      </c>
      <c r="BT1255" s="61" t="n">
        <v>-760</v>
      </c>
      <c r="BU1255" s="62" t="n">
        <v>2</v>
      </c>
      <c r="BV1255" s="60"/>
      <c r="BW1255" s="65" t="n">
        <v>0</v>
      </c>
      <c r="BX1255" s="65" t="n">
        <v>1255</v>
      </c>
      <c r="BY1255" s="60" t="str">
        <f aca="false">IF(U1255&lt;&gt;"",UPPER(TRIM(U1255)),IF(CB1255=1,UPPER(VLOOKUP(T1255,Parameter!$I$27:$K$29,2,0)),IF(P1255="","LOSE",P1255)))</f>
        <v>S52</v>
      </c>
      <c r="BZ1255" s="62" t="n">
        <f aca="false">IF(BY1255="LOSE",1,IF(N(V1255)&gt;0,V1255,IF(CB1255=1,MAX(1,N(VLOOKUP(T1255,Parameter!$I$27:$K$29,3,0)),H1255,N(N1255)),IF(N(Q1255)&gt;0,Q1255,MAX(1,H1255)))))</f>
        <v>10</v>
      </c>
      <c r="CA1255" s="65" t="n">
        <f aca="false">IF(BY1255="LOSE",1,0)</f>
        <v>0</v>
      </c>
      <c r="CB1255" s="65" t="n">
        <f aca="false">IF(AND(U1255="",OR(P1255="",P1255="LOSE"),T1255&lt;&gt;"",N(S1255)&lt;=0,ISNUMBER(MATCH(T1255,Parameter!$I$27:$I$29,0))),1,0)</f>
        <v>0</v>
      </c>
      <c r="CC1255" s="65" t="n">
        <f aca="false">IF(CR1255&gt;0,INDEX(Parameter!$H$5:$H$7,W1255)/INDEX(Parameter!$E$5:$E$7,W1255),IF(AND(CA1255=0,N(IFERROR(VLOOKUP(BY1255,'Gebinde-Kategorie'!$A$5:$N$45,14,0),0))&gt;0),VLOOKUP(BY1255,'Gebinde-Kategorie'!$A$5:$N$45,14,0)*10+Parameter!$M$23,Parameter!$M$24))</f>
        <v>245</v>
      </c>
      <c r="CD1255" s="60" t="str">
        <f aca="false">IF(AND(Parameter!$B$19="Ja",E1255&lt;&gt;"",ISNUMBER(MATCH(E1255,Parameter!$I$35:$I$52,0))),VLOOKUP(E1255,Parameter!$I$35:$J$52,2,0),IFERROR(VLOOKUP(D1255,Parameter!$A$35:$C$64,2,0),"Nein"))</f>
        <v>2+3</v>
      </c>
      <c r="CE1255" s="64" t="n">
        <f aca="false">IF(CA1255=0,0,IF(N(S1255)&gt;0,S1255,IFERROR(VLOOKUP(D1255,Parameter!$A$35:$C$64,3,0)+0,0)))</f>
        <v>0</v>
      </c>
      <c r="CF1255" s="60" t="n">
        <f aca="false">IF(AB1255&lt;&gt;"",AB1255,AA1255)</f>
        <v>3</v>
      </c>
      <c r="CG1255" s="60" t="str">
        <f aca="false">IF(OR(CF1255=1,CF1255=2,CF1255=3),IF(Parameter!$E$27="Ja","LIFT",IF(CF1255=1,"L1","L23")),IF(CF1255="Aussen","Aussen","-"))</f>
        <v>LIFT</v>
      </c>
      <c r="CH1255" s="71" t="n">
        <f aca="false">IF(N(AC1255)&gt;0,AC1255,0)</f>
        <v>0</v>
      </c>
      <c r="CI1255" s="65" t="n">
        <f aca="false">IF(ISNUMBER(AF1255),1,0)</f>
        <v>0</v>
      </c>
      <c r="CJ1255" s="62" t="n">
        <f aca="false">N(AF1255)</f>
        <v>0</v>
      </c>
      <c r="CK1255" s="62" t="n">
        <f aca="false">N(M1255)+N(N1255)</f>
        <v>1</v>
      </c>
      <c r="CL1255" s="62" t="n">
        <f aca="false">N(M1255)</f>
        <v>0</v>
      </c>
      <c r="CM1255" s="62" t="n">
        <f aca="false">N(N1255)</f>
        <v>1</v>
      </c>
      <c r="CN1255" s="62" t="n">
        <f aca="false">ROUNDUP(H1255/BZ1255,0)</f>
        <v>1</v>
      </c>
      <c r="CO1255" s="62" t="n">
        <f aca="false">ROUNDUP(CJ1255/BZ1255,0)</f>
        <v>0</v>
      </c>
      <c r="CP1255" s="65" t="n">
        <f aca="false">IF(CA1255=1,0,IFERROR(VLOOKUP(BY1255,'Gebinde-Kategorie'!$A$5:$N$45,5,0)+0,0))</f>
        <v>21</v>
      </c>
      <c r="CQ1255" s="65" t="n">
        <f aca="false">IFERROR(IF(OR(CF1255=1,CF1255=2,CF1255=3),N(INDEX(Parameter!$I$5:$I$7,CF1255)),0),0)</f>
        <v>0</v>
      </c>
      <c r="CR1255" s="64" t="n">
        <f aca="false">IF(AND(Parameter!$B$21="Ja",ISNUMBER(W1255),N(X1255)&gt;0),IFERROR(N(INDEX(Parameter!$L$5:$L$7,W1255))*INDEX(Parameter!$E$5:$E$7,W1255)*X1255/SUMIFS($X$7:$X$1843,$W$7:$W$1843,W1255),0),0)</f>
        <v>0</v>
      </c>
      <c r="CS1255" s="62" t="n">
        <f aca="false">IF(AND(OR(CG1255="L1",CG1255="L23",CG1255="LIFT"),H1255&gt;0),CC1255*IF(CR1255&gt;0,CR1255*MAX(1,H1255/X1255),IF(CA1255=1,CE1255,IF(R1255&gt;0,CN1255/R1255,0))/MAX(0.1,N(Parameter!$M$21))),"")</f>
        <v>9.42307692307692</v>
      </c>
      <c r="CT1255" s="64" t="n">
        <f aca="false">IF(CS1255="","",J1255/H1255)</f>
        <v>0.222222222222222</v>
      </c>
      <c r="CU1255" s="62" t="n">
        <f aca="false">IF(CS1255="","",H1255*G1255)</f>
        <v>3420</v>
      </c>
      <c r="CV1255" s="63" t="n">
        <f aca="false">IF(CS1255="","",(CL1255+ROUNDUP(CL1255+MAX(CM1255,2*(J1255/MAX(0.1,N(Einkauf!$C$6))-CL1255)),0))/2)</f>
        <v>0.5</v>
      </c>
      <c r="CW1255" s="62" t="n">
        <f aca="false">IF(CS1255="","",MAX(0,H1255-CV1255)*G1255)</f>
        <v>3230</v>
      </c>
      <c r="CX1255" s="62" t="n">
        <f aca="false">IF(CS1255="","",CS1255*MAX(0,1-CV1255/H1255))</f>
        <v>8.89957264957265</v>
      </c>
      <c r="CY1255" s="64" t="n">
        <f aca="false">IF(CS1255="","",PERCENTRANK($CS$7:$CS$1843,CS1255)+PERCENTRANK($CU$7:$CU$1843,CU1255)+1-PERCENTRANK($CT$7:$CT$1843,CT1255))</f>
        <v>1.951</v>
      </c>
      <c r="CZ1255" s="72" t="n">
        <f aca="false">IF(CS1255="","",CHOOSE(MATCH(Einkauf!$C$5,Parameter!$G$23:$G$27,0),CY1255,CS1255,CU1255,-CT1255,CW1255)+ROW()/1000000000)</f>
        <v>1.951001255</v>
      </c>
    </row>
    <row r="1256" customFormat="false" ht="15" hidden="false" customHeight="false" outlineLevel="0" collapsed="false">
      <c r="A1256" s="60" t="s">
        <v>2285</v>
      </c>
      <c r="B1256" s="60" t="s">
        <v>473</v>
      </c>
      <c r="C1256" s="60" t="s">
        <v>206</v>
      </c>
      <c r="D1256" s="60" t="s">
        <v>226</v>
      </c>
      <c r="E1256" s="60" t="s">
        <v>227</v>
      </c>
      <c r="F1256" s="60" t="s">
        <v>260</v>
      </c>
      <c r="G1256" s="61" t="n">
        <v>104.71</v>
      </c>
      <c r="H1256" s="62" t="n">
        <f aca="false">MAX(0,IF(AND(Parameter!$B$21="Ja",ISNUMBER(Y1256)),Y1256,IF(Parameter!$B$20="Jahresanfang 2025 + Export",BS1256+BR1256,BR1256)))</f>
        <v>50</v>
      </c>
      <c r="I1256" s="62" t="n">
        <f aca="false">H1256*G1256</f>
        <v>5235.5</v>
      </c>
      <c r="J1256" s="62" t="n">
        <f aca="false">BU1256*Parameter!$B$18</f>
        <v>143</v>
      </c>
      <c r="K1256" s="63" t="n">
        <v>60</v>
      </c>
      <c r="L1256" s="64" t="n">
        <v>2.38333333333333</v>
      </c>
      <c r="M1256" s="62" t="n">
        <v>20</v>
      </c>
      <c r="N1256" s="62" t="n">
        <v>50</v>
      </c>
      <c r="O1256" s="65" t="n">
        <v>56</v>
      </c>
      <c r="P1256" s="60" t="s">
        <v>268</v>
      </c>
      <c r="Q1256" s="62" t="n">
        <v>154</v>
      </c>
      <c r="R1256" s="65" t="n">
        <f aca="false">IF(CA1256=1,0,IFERROR(VLOOKUP(BY1256,'Gebinde-Kategorie'!$A$5:$N$45,13,0)+0,0))</f>
        <v>12</v>
      </c>
      <c r="S1256" s="66"/>
      <c r="T1256" s="67"/>
      <c r="U1256" s="67"/>
      <c r="V1256" s="67"/>
      <c r="W1256" s="60"/>
      <c r="X1256" s="62"/>
      <c r="Y1256" s="62"/>
      <c r="Z1256" s="60" t="n">
        <v>3</v>
      </c>
      <c r="AA1256" s="60" t="n">
        <f aca="false">IF(A1256="","",IF(AND(Parameter!$B$21="Ja",ISNUMBER(W1256)),W1256,IF(AND(Parameter!$E$27="Ja",ISNUMBER(Z1256),CD1256&lt;&gt;"Nein"),Z1256,IF(CD1256="2+3",IF(ISNUMBER(SEARCH("grosser Artikel",BV1256)),2,IFERROR(VLOOKUP(BY1256,Parameter!$F$35:$G$64,2,0),2)),IF(OR(CD1256="Nein",CD1256=""),"-",CD1256)))))</f>
        <v>3</v>
      </c>
      <c r="AB1256" s="67"/>
      <c r="AC1256" s="68"/>
      <c r="AD1256" s="62" t="n">
        <f aca="false">AW1256</f>
        <v>76</v>
      </c>
      <c r="AE1256" s="62" t="n">
        <f aca="false">MAX(AW1256,H1256)</f>
        <v>76</v>
      </c>
      <c r="AF1256" s="69"/>
      <c r="AG1256" s="62" t="n">
        <f aca="false">IF(LEFT(Cockpit!$C$5,1)="A",H1256,IF(Parameter!$E$30="MAX-Bestand",IF(CI1256=1,CJ1256,IF(LEFT(Cockpit!$C$5,1)="B",AM1256,MAX(AM1256,H1256))),ROUNDUP(AK1256,0)))</f>
        <v>50</v>
      </c>
      <c r="AH1256" s="62" t="n">
        <f aca="false">IF(CA1256=1,0,ROUNDUP(AG1256/BZ1256,0))</f>
        <v>1</v>
      </c>
      <c r="AI1256" s="64" t="n">
        <f aca="false">IF(CR1256&gt;0,CR1256*MAX(1,AG1256/X1256),IF(CA1256=1,IF(AG1256&lt;=0,0,CE1256*MAX(1,IF(H1256&gt;0,AG1256/H1256,1))),IF(R1256&gt;0,AH1256/R1256,0))/MAX(0.1,N(Parameter!$M$21)))</f>
        <v>0.0833333333333333</v>
      </c>
      <c r="AJ1256" s="62" t="n">
        <f aca="false">AI1256*CC1256</f>
        <v>28.75</v>
      </c>
      <c r="AK1256" s="63" t="n">
        <f aca="false">IF(LEFT(Cockpit!$C$5,1)="A",H1256,IF(CI1256=1,(CL1256+CJ1256)/2,IF(LEFT(Cockpit!$C$5,1)="B",(CL1256+AM1256)/2,MAX((CL1256+AM1256)/2,H1256))))</f>
        <v>50</v>
      </c>
      <c r="AL1256" s="62" t="n">
        <f aca="false">AK1256*G1256</f>
        <v>5235.5</v>
      </c>
      <c r="AM1256" s="62" t="n">
        <f aca="false">ROUNDUP(CL1256+MAX(CM1256,2*(J1256/IF(CH1256&gt;0,CH1256,MAX(0.1,N(Cockpit!$C$6)))-CL1256)),0)</f>
        <v>76</v>
      </c>
      <c r="AN1256" s="63" t="n">
        <f aca="false">IF(AJ1256&gt;0,J1256/AJ1256,-1)</f>
        <v>4.97391304347826</v>
      </c>
      <c r="AO1256" s="63" t="n">
        <f aca="false">IF(AND(OR(CG1256="L1",CG1256="L23",CG1256="LIFT"),AJ1256&gt;0),SUMIFS($AJ$7:$AJ$1843,$CG$7:$CG$1843,CG1256,$AN$7:$AN$1843,"&gt;"&amp;AN1256)+SUMIFS($AJ$7:$AJ$1843,$CG$7:$CG$1843,CG1256,$AN$7:$AN$1843,AN1256,$BX$7:$BX$1843,"&lt;="&amp;BX1256),"")</f>
        <v>3922.83562271062</v>
      </c>
      <c r="AP1256" s="70" t="n">
        <f aca="false">IF(AO1256="",0,MAX(0,MIN(1,(IF(CG1256="L1",Parameter!$H$5,IF(CG1256="L23",Parameter!$H$6+Parameter!$H$7,Parameter!$H$5+Parameter!$H$6+Parameter!$H$7))-(AO1256-AJ1256))/AJ1256)))</f>
        <v>1</v>
      </c>
      <c r="AQ1256" s="62" t="n">
        <f aca="false">IF(LEFT(Cockpit!$I$5,1)="A",H1256,IF(Parameter!$E$30="MAX-Bestand",IF(CI1256=1,CJ1256,IF(LEFT(Cockpit!$I$5,1)="B",AW1256,MAX(AW1256,H1256))),ROUNDUP(AU1256,0)))</f>
        <v>50</v>
      </c>
      <c r="AR1256" s="62" t="n">
        <f aca="false">IF(CA1256=1,0,ROUNDUP(AQ1256/BZ1256,0))</f>
        <v>1</v>
      </c>
      <c r="AS1256" s="64" t="n">
        <f aca="false">IF(CR1256&gt;0,CR1256*MAX(1,AQ1256/X1256),IF(CA1256=1,IF(AQ1256&lt;=0,0,CE1256*MAX(1,IF(H1256&gt;0,AQ1256/H1256,1))),IF(R1256&gt;0,AR1256/R1256,0))/MAX(0.1,N(Parameter!$M$21)))</f>
        <v>0.0833333333333333</v>
      </c>
      <c r="AT1256" s="62" t="n">
        <f aca="false">AS1256*CC1256</f>
        <v>28.75</v>
      </c>
      <c r="AU1256" s="63" t="n">
        <f aca="false">IF(LEFT(Cockpit!$I$5,1)="A",H1256,IF(CI1256=1,(CL1256+CJ1256)/2,IF(LEFT(Cockpit!$I$5,1)="B",(CL1256+AW1256)/2,MAX((CL1256+AW1256)/2,H1256))))</f>
        <v>50</v>
      </c>
      <c r="AV1256" s="62" t="n">
        <f aca="false">AU1256*G1256</f>
        <v>5235.5</v>
      </c>
      <c r="AW1256" s="62" t="n">
        <f aca="false">ROUNDUP(CL1256+MAX(CM1256,2*(J1256/IF(CH1256&gt;0,CH1256,MAX(0.1,N(Cockpit!$I$6)))-CL1256)),0)</f>
        <v>76</v>
      </c>
      <c r="AX1256" s="63" t="n">
        <f aca="false">IF(AT1256&gt;0,J1256/AT1256,-1)</f>
        <v>4.97391304347826</v>
      </c>
      <c r="AY1256" s="63" t="n">
        <f aca="false">IF(AND(OR(CG1256="L1",CG1256="L23",CG1256="LIFT"),AT1256&gt;0),SUMIFS($AT$7:$AT$1843,$CG$7:$CG$1843,CG1256,$AX$7:$AX$1843,"&gt;"&amp;AX1256)+SUMIFS($AT$7:$AT$1843,$CG$7:$CG$1843,CG1256,$AX$7:$AX$1843,AX1256,$BX$7:$BX$1843,"&lt;="&amp;BX1256),"")</f>
        <v>4519.07646520147</v>
      </c>
      <c r="AZ1256" s="70" t="n">
        <f aca="false">IF(AY1256="",0,MAX(0,MIN(1,(IF(CG1256="L1",Parameter!$H$5,IF(CG1256="L23",Parameter!$H$6+Parameter!$H$7,Parameter!$H$5+Parameter!$H$6+Parameter!$H$7))-(AY1256-AT1256))/AT1256)))</f>
        <v>1</v>
      </c>
      <c r="BA1256" s="62" t="n">
        <f aca="false">IF(LEFT(Cockpit!$O$5,1)="A",H1256,IF(Parameter!$E$30="MAX-Bestand",IF(CI1256=1,CJ1256,IF(LEFT(Cockpit!$O$5,1)="B",BG1256,MAX(BG1256,H1256))),ROUNDUP(BE1256,0)))</f>
        <v>45</v>
      </c>
      <c r="BB1256" s="62" t="n">
        <f aca="false">IF(CA1256=1,0,ROUNDUP(BA1256/BZ1256,0))</f>
        <v>1</v>
      </c>
      <c r="BC1256" s="64" t="n">
        <f aca="false">IF(CR1256&gt;0,CR1256*MAX(1,BA1256/X1256),IF(CA1256=1,IF(BA1256&lt;=0,0,CE1256*MAX(1,IF(H1256&gt;0,BA1256/H1256,1))),IF(R1256&gt;0,BB1256/R1256,0))/MAX(0.1,N(Parameter!$M$21)))</f>
        <v>0.0833333333333333</v>
      </c>
      <c r="BD1256" s="62" t="n">
        <f aca="false">BC1256*CC1256</f>
        <v>28.75</v>
      </c>
      <c r="BE1256" s="63" t="n">
        <f aca="false">IF(LEFT(Cockpit!$O$5,1)="A",H1256,IF(CI1256=1,(CL1256+CJ1256)/2,IF(LEFT(Cockpit!$O$5,1)="B",(CL1256+BG1256)/2,MAX((CL1256+BG1256)/2,H1256))))</f>
        <v>45</v>
      </c>
      <c r="BF1256" s="62" t="n">
        <f aca="false">BE1256*G1256</f>
        <v>4711.95</v>
      </c>
      <c r="BG1256" s="62" t="n">
        <f aca="false">ROUNDUP(CL1256+MAX(CM1256,2*(J1256/IF(CH1256&gt;0,CH1256,MAX(0.1,N(Cockpit!$O$6)))-CL1256)),0)</f>
        <v>70</v>
      </c>
      <c r="BH1256" s="63" t="n">
        <f aca="false">IF(BD1256&gt;0,J1256/BD1256,-1)</f>
        <v>4.97391304347826</v>
      </c>
      <c r="BI1256" s="63" t="n">
        <f aca="false">IF(AND(OR(CG1256="L1",CG1256="L23",CG1256="LIFT"),BD1256&gt;0),SUMIFS($BD$7:$BD$1843,$CG$7:$CG$1843,CG1256,$BH$7:$BH$1843,"&gt;"&amp;BH1256)+SUMIFS($BD$7:$BD$1843,$CG$7:$CG$1843,CG1256,$BH$7:$BH$1843,BH1256,$BX$7:$BX$1843,"&lt;="&amp;BX1256),"")</f>
        <v>3741.08882783883</v>
      </c>
      <c r="BJ1256" s="70" t="n">
        <f aca="false">IF(BI1256="",0,MAX(0,MIN(1,(IF(CG1256="L1",Parameter!$H$5,IF(CG1256="L23",Parameter!$H$6+Parameter!$H$7,Parameter!$H$5+Parameter!$H$6+Parameter!$H$7))-(BI1256-BD1256))/BD1256)))</f>
        <v>1</v>
      </c>
      <c r="BK1256" s="60" t="str">
        <f aca="false">IF(AJ1256&lt;=0,"",IF(CG1256="Aussen","Aussenlager",IF(CG1256="-","Nicht im Lift",IF(AP1256&gt;=1,"Lift",IF(AP1256&lt;=0,"Aussenlager","teilweise")))))</f>
        <v>Lift</v>
      </c>
      <c r="BL1256" s="60" t="str">
        <f aca="false">IF(AT1256&lt;=0,"",IF(CG1256="Aussen","Aussenlager",IF(CG1256="-","Nicht im Lift",IF(AZ1256&gt;=1,"Lift",IF(AZ1256&lt;=0,"Aussenlager","teilweise")))))</f>
        <v>Lift</v>
      </c>
      <c r="BM1256" s="60" t="str">
        <f aca="false">IF(BD1256&lt;=0,"",IF(CG1256="Aussen","Aussenlager",IF(CG1256="-","Nicht im Lift",IF(BJ1256&gt;=1,"Lift",IF(BJ1256&lt;=0,"Aussenlager","teilweise")))))</f>
        <v>Lift</v>
      </c>
      <c r="BN1256" s="60" t="str">
        <f aca="false">IF(A1256="","",IF(BW1256=1,"Neu; ","")&amp;IF(AND(BW1256=0,BR1256&lt;0),"negativer Bestand (Export "&amp;BR1256&amp;"); ","")&amp;IF(J1256&lt;=0,"Kein Verbrauch; ","")&amp;IF(CR1256&gt;0,"Lift "&amp;W1256&amp;" lt. Liftbericht (Fach "&amp;X1256&amp;" Stk); ",IF(CB1256=1,"Gebinde geschätzt ("&amp;T1256&amp;"); ",IF(CA1256=1,"Lose – Tablare geschätzt; ","")))&amp;IF(H1256&gt;AW1256,"Überbestand "&amp;ROUND(H1256-AW1256,0)&amp;" Stk / CHF "&amp;ROUND((H1256-AW1256)*G1256,0)&amp;"; ","")&amp;IF(AND(CI1256=1,CJ1256&lt;CK1256),"MAX &lt; MB+LG; ","")&amp;IF(AND(CQ1256&gt;0,CP1256*10&gt;CQ1256),"zu hoch für Tablar; ","")&amp;IF(AND(BW1256=0,OR(CI1256=1,AB1256&lt;&gt;"",U1256&lt;&gt;"",V1256&lt;&gt;"",AC1256&lt;&gt;"")),"manuell übersteuert; ","")&amp;IF(AND(CA1256=0,R1256=0),"Gebinde unbekannt / Stellmass fehlt; ","")&amp;IF(AND(CA1256=0,N(V1256)&lt;=0,N(Q1256)&lt;=0),"Menge pro Gebinde fehlt (Ist = 1 Gebinde); ","")&amp;BV1256)</f>
        <v>negativer Bestand (Export -27); </v>
      </c>
      <c r="BO1256" s="60"/>
      <c r="BP1256" s="60"/>
      <c r="BQ1256" s="67"/>
      <c r="BR1256" s="62" t="n">
        <v>-27</v>
      </c>
      <c r="BS1256" s="62" t="n">
        <v>77</v>
      </c>
      <c r="BT1256" s="61" t="n">
        <v>-762.8</v>
      </c>
      <c r="BU1256" s="62" t="n">
        <v>143</v>
      </c>
      <c r="BV1256" s="60"/>
      <c r="BW1256" s="65" t="n">
        <v>0</v>
      </c>
      <c r="BX1256" s="65" t="n">
        <v>1256</v>
      </c>
      <c r="BY1256" s="60" t="str">
        <f aca="false">IF(U1256&lt;&gt;"",UPPER(TRIM(U1256)),IF(CB1256=1,UPPER(VLOOKUP(T1256,Parameter!$I$27:$K$29,2,0)),IF(P1256="","LOSE",P1256)))</f>
        <v>S63</v>
      </c>
      <c r="BZ1256" s="62" t="n">
        <f aca="false">IF(BY1256="LOSE",1,IF(N(V1256)&gt;0,V1256,IF(CB1256=1,MAX(1,N(VLOOKUP(T1256,Parameter!$I$27:$K$29,3,0)),H1256,N(N1256)),IF(N(Q1256)&gt;0,Q1256,MAX(1,H1256)))))</f>
        <v>154</v>
      </c>
      <c r="CA1256" s="65" t="n">
        <f aca="false">IF(BY1256="LOSE",1,0)</f>
        <v>0</v>
      </c>
      <c r="CB1256" s="65" t="n">
        <f aca="false">IF(AND(U1256="",OR(P1256="",P1256="LOSE"),T1256&lt;&gt;"",N(S1256)&lt;=0,ISNUMBER(MATCH(T1256,Parameter!$I$27:$I$29,0))),1,0)</f>
        <v>0</v>
      </c>
      <c r="CC1256" s="65" t="n">
        <f aca="false">IF(CR1256&gt;0,INDEX(Parameter!$H$5:$H$7,W1256)/INDEX(Parameter!$E$5:$E$7,W1256),IF(AND(CA1256=0,N(IFERROR(VLOOKUP(BY1256,'Gebinde-Kategorie'!$A$5:$N$45,14,0),0))&gt;0),VLOOKUP(BY1256,'Gebinde-Kategorie'!$A$5:$N$45,14,0)*10+Parameter!$M$23,Parameter!$M$24))</f>
        <v>345</v>
      </c>
      <c r="CD1256" s="60" t="str">
        <f aca="false">IF(AND(Parameter!$B$19="Ja",E1256&lt;&gt;"",ISNUMBER(MATCH(E1256,Parameter!$I$35:$I$52,0))),VLOOKUP(E1256,Parameter!$I$35:$J$52,2,0),IFERROR(VLOOKUP(D1256,Parameter!$A$35:$C$64,2,0),"Nein"))</f>
        <v>2+3</v>
      </c>
      <c r="CE1256" s="64" t="n">
        <f aca="false">IF(CA1256=0,0,IF(N(S1256)&gt;0,S1256,IFERROR(VLOOKUP(D1256,Parameter!$A$35:$C$64,3,0)+0,0)))</f>
        <v>0</v>
      </c>
      <c r="CF1256" s="60" t="n">
        <f aca="false">IF(AB1256&lt;&gt;"",AB1256,AA1256)</f>
        <v>3</v>
      </c>
      <c r="CG1256" s="60" t="str">
        <f aca="false">IF(OR(CF1256=1,CF1256=2,CF1256=3),IF(Parameter!$E$27="Ja","LIFT",IF(CF1256=1,"L1","L23")),IF(CF1256="Aussen","Aussen","-"))</f>
        <v>LIFT</v>
      </c>
      <c r="CH1256" s="71" t="n">
        <f aca="false">IF(N(AC1256)&gt;0,AC1256,0)</f>
        <v>0</v>
      </c>
      <c r="CI1256" s="65" t="n">
        <f aca="false">IF(ISNUMBER(AF1256),1,0)</f>
        <v>0</v>
      </c>
      <c r="CJ1256" s="62" t="n">
        <f aca="false">N(AF1256)</f>
        <v>0</v>
      </c>
      <c r="CK1256" s="62" t="n">
        <f aca="false">N(M1256)+N(N1256)</f>
        <v>70</v>
      </c>
      <c r="CL1256" s="62" t="n">
        <f aca="false">N(M1256)</f>
        <v>20</v>
      </c>
      <c r="CM1256" s="62" t="n">
        <f aca="false">N(N1256)</f>
        <v>50</v>
      </c>
      <c r="CN1256" s="62" t="n">
        <f aca="false">ROUNDUP(H1256/BZ1256,0)</f>
        <v>1</v>
      </c>
      <c r="CO1256" s="62" t="n">
        <f aca="false">ROUNDUP(CJ1256/BZ1256,0)</f>
        <v>0</v>
      </c>
      <c r="CP1256" s="65" t="n">
        <f aca="false">IF(CA1256=1,0,IFERROR(VLOOKUP(BY1256,'Gebinde-Kategorie'!$A$5:$N$45,5,0)+0,0))</f>
        <v>31</v>
      </c>
      <c r="CQ1256" s="65" t="n">
        <f aca="false">IFERROR(IF(OR(CF1256=1,CF1256=2,CF1256=3),N(INDEX(Parameter!$I$5:$I$7,CF1256)),0),0)</f>
        <v>0</v>
      </c>
      <c r="CR1256" s="64" t="n">
        <f aca="false">IF(AND(Parameter!$B$21="Ja",ISNUMBER(W1256),N(X1256)&gt;0),IFERROR(N(INDEX(Parameter!$L$5:$L$7,W1256))*INDEX(Parameter!$E$5:$E$7,W1256)*X1256/SUMIFS($X$7:$X$1843,$W$7:$W$1843,W1256),0),0)</f>
        <v>0</v>
      </c>
      <c r="CS1256" s="62" t="n">
        <f aca="false">IF(AND(OR(CG1256="L1",CG1256="L23",CG1256="LIFT"),H1256&gt;0),CC1256*IF(CR1256&gt;0,CR1256*MAX(1,H1256/X1256),IF(CA1256=1,CE1256,IF(R1256&gt;0,CN1256/R1256,0))/MAX(0.1,N(Parameter!$M$21))),"")</f>
        <v>28.75</v>
      </c>
      <c r="CT1256" s="64" t="n">
        <f aca="false">IF(CS1256="","",J1256/H1256)</f>
        <v>2.86</v>
      </c>
      <c r="CU1256" s="62" t="n">
        <f aca="false">IF(CS1256="","",H1256*G1256)</f>
        <v>5235.5</v>
      </c>
      <c r="CV1256" s="63" t="n">
        <f aca="false">IF(CS1256="","",(CL1256+ROUNDUP(CL1256+MAX(CM1256,2*(J1256/MAX(0.1,N(Einkauf!$C$6))-CL1256)),0))/2)</f>
        <v>45</v>
      </c>
      <c r="CW1256" s="62" t="n">
        <f aca="false">IF(CS1256="","",MAX(0,H1256-CV1256)*G1256)</f>
        <v>523.55</v>
      </c>
      <c r="CX1256" s="62" t="n">
        <f aca="false">IF(CS1256="","",CS1256*MAX(0,1-CV1256/H1256))</f>
        <v>2.875</v>
      </c>
      <c r="CY1256" s="64" t="n">
        <f aca="false">IF(CS1256="","",PERCENTRANK($CS$7:$CS$1843,CS1256)+PERCENTRANK($CU$7:$CU$1843,CU1256)+1-PERCENTRANK($CT$7:$CT$1843,CT1256))</f>
        <v>1.85</v>
      </c>
      <c r="CZ1256" s="72" t="n">
        <f aca="false">IF(CS1256="","",CHOOSE(MATCH(Einkauf!$C$5,Parameter!$G$23:$G$27,0),CY1256,CS1256,CU1256,-CT1256,CW1256)+ROW()/1000000000)</f>
        <v>1.850001256</v>
      </c>
    </row>
    <row r="1257" customFormat="false" ht="15" hidden="false" customHeight="false" outlineLevel="0" collapsed="false">
      <c r="A1257" s="60" t="s">
        <v>2286</v>
      </c>
      <c r="B1257" s="60" t="s">
        <v>2287</v>
      </c>
      <c r="C1257" s="60" t="s">
        <v>206</v>
      </c>
      <c r="D1257" s="60" t="s">
        <v>226</v>
      </c>
      <c r="E1257" s="60"/>
      <c r="F1257" s="60" t="s">
        <v>260</v>
      </c>
      <c r="G1257" s="61" t="n">
        <v>95.87</v>
      </c>
      <c r="H1257" s="62" t="n">
        <f aca="false">MAX(0,IF(AND(Parameter!$B$21="Ja",ISNUMBER(Y1257)),Y1257,IF(Parameter!$B$20="Jahresanfang 2025 + Export",BS1257+BR1257,BR1257)))</f>
        <v>6</v>
      </c>
      <c r="I1257" s="62" t="n">
        <f aca="false">H1257*G1257</f>
        <v>575.22</v>
      </c>
      <c r="J1257" s="62" t="n">
        <f aca="false">BU1257*Parameter!$B$18</f>
        <v>4</v>
      </c>
      <c r="K1257" s="63" t="n">
        <v>12</v>
      </c>
      <c r="L1257" s="64" t="n">
        <v>0.333333333333333</v>
      </c>
      <c r="M1257" s="62" t="n">
        <v>0</v>
      </c>
      <c r="N1257" s="62" t="n">
        <v>5</v>
      </c>
      <c r="O1257" s="65" t="n">
        <v>35</v>
      </c>
      <c r="P1257" s="60" t="s">
        <v>210</v>
      </c>
      <c r="Q1257" s="62"/>
      <c r="R1257" s="65" t="n">
        <f aca="false">IF(CA1257=1,0,IFERROR(VLOOKUP(BY1257,'Gebinde-Kategorie'!$A$5:$N$45,13,0)+0,0))</f>
        <v>26</v>
      </c>
      <c r="S1257" s="66"/>
      <c r="T1257" s="67" t="s">
        <v>317</v>
      </c>
      <c r="U1257" s="67"/>
      <c r="V1257" s="67"/>
      <c r="W1257" s="60"/>
      <c r="X1257" s="62"/>
      <c r="Y1257" s="62"/>
      <c r="Z1257" s="60" t="n">
        <v>3</v>
      </c>
      <c r="AA1257" s="60" t="n">
        <f aca="false">IF(A1257="","",IF(AND(Parameter!$B$21="Ja",ISNUMBER(W1257)),W1257,IF(AND(Parameter!$E$27="Ja",ISNUMBER(Z1257),CD1257&lt;&gt;"Nein"),Z1257,IF(CD1257="2+3",IF(ISNUMBER(SEARCH("grosser Artikel",BV1257)),2,IFERROR(VLOOKUP(BY1257,Parameter!$F$35:$G$64,2,0),2)),IF(OR(CD1257="Nein",CD1257=""),"-",CD1257)))))</f>
        <v>3</v>
      </c>
      <c r="AB1257" s="67"/>
      <c r="AC1257" s="68"/>
      <c r="AD1257" s="62" t="n">
        <f aca="false">AW1257</f>
        <v>5</v>
      </c>
      <c r="AE1257" s="62" t="n">
        <f aca="false">MAX(AW1257,H1257)</f>
        <v>6</v>
      </c>
      <c r="AF1257" s="69"/>
      <c r="AG1257" s="62" t="n">
        <f aca="false">IF(LEFT(Cockpit!$C$5,1)="A",H1257,IF(Parameter!$E$30="MAX-Bestand",IF(CI1257=1,CJ1257,IF(LEFT(Cockpit!$C$5,1)="B",AM1257,MAX(AM1257,H1257))),ROUNDUP(AK1257,0)))</f>
        <v>6</v>
      </c>
      <c r="AH1257" s="62" t="n">
        <f aca="false">IF(CA1257=1,0,ROUNDUP(AG1257/BZ1257,0))</f>
        <v>1</v>
      </c>
      <c r="AI1257" s="64" t="n">
        <f aca="false">IF(CR1257&gt;0,CR1257*MAX(1,AG1257/X1257),IF(CA1257=1,IF(AG1257&lt;=0,0,CE1257*MAX(1,IF(H1257&gt;0,AG1257/H1257,1))),IF(R1257&gt;0,AH1257/R1257,0))/MAX(0.1,N(Parameter!$M$21)))</f>
        <v>0.0384615384615385</v>
      </c>
      <c r="AJ1257" s="62" t="n">
        <f aca="false">AI1257*CC1257</f>
        <v>5.96153846153846</v>
      </c>
      <c r="AK1257" s="63" t="n">
        <f aca="false">IF(LEFT(Cockpit!$C$5,1)="A",H1257,IF(CI1257=1,(CL1257+CJ1257)/2,IF(LEFT(Cockpit!$C$5,1)="B",(CL1257+AM1257)/2,MAX((CL1257+AM1257)/2,H1257))))</f>
        <v>6</v>
      </c>
      <c r="AL1257" s="62" t="n">
        <f aca="false">AK1257*G1257</f>
        <v>575.22</v>
      </c>
      <c r="AM1257" s="62" t="n">
        <f aca="false">ROUNDUP(CL1257+MAX(CM1257,2*(J1257/IF(CH1257&gt;0,CH1257,MAX(0.1,N(Cockpit!$C$6)))-CL1257)),0)</f>
        <v>5</v>
      </c>
      <c r="AN1257" s="63" t="n">
        <f aca="false">IF(AJ1257&gt;0,J1257/AJ1257,-1)</f>
        <v>0.670967741935484</v>
      </c>
      <c r="AO1257" s="63" t="n">
        <f aca="false">IF(AND(OR(CG1257="L1",CG1257="L23",CG1257="LIFT"),AJ1257&gt;0),SUMIFS($AJ$7:$AJ$1843,$CG$7:$CG$1843,CG1257,$AN$7:$AN$1843,"&gt;"&amp;AN1257)+SUMIFS($AJ$7:$AJ$1843,$CG$7:$CG$1843,CG1257,$AN$7:$AN$1843,AN1257,$BX$7:$BX$1843,"&lt;="&amp;BX1257),"")</f>
        <v>8653.3717948718</v>
      </c>
      <c r="AP1257" s="70" t="n">
        <f aca="false">IF(AO1257="",0,MAX(0,MIN(1,(IF(CG1257="L1",Parameter!$H$5,IF(CG1257="L23",Parameter!$H$6+Parameter!$H$7,Parameter!$H$5+Parameter!$H$6+Parameter!$H$7))-(AO1257-AJ1257))/AJ1257)))</f>
        <v>1</v>
      </c>
      <c r="AQ1257" s="62" t="n">
        <f aca="false">IF(LEFT(Cockpit!$I$5,1)="A",H1257,IF(Parameter!$E$30="MAX-Bestand",IF(CI1257=1,CJ1257,IF(LEFT(Cockpit!$I$5,1)="B",AW1257,MAX(AW1257,H1257))),ROUNDUP(AU1257,0)))</f>
        <v>6</v>
      </c>
      <c r="AR1257" s="62" t="n">
        <f aca="false">IF(CA1257=1,0,ROUNDUP(AQ1257/BZ1257,0))</f>
        <v>1</v>
      </c>
      <c r="AS1257" s="64" t="n">
        <f aca="false">IF(CR1257&gt;0,CR1257*MAX(1,AQ1257/X1257),IF(CA1257=1,IF(AQ1257&lt;=0,0,CE1257*MAX(1,IF(H1257&gt;0,AQ1257/H1257,1))),IF(R1257&gt;0,AR1257/R1257,0))/MAX(0.1,N(Parameter!$M$21)))</f>
        <v>0.0384615384615385</v>
      </c>
      <c r="AT1257" s="62" t="n">
        <f aca="false">AS1257*CC1257</f>
        <v>5.96153846153846</v>
      </c>
      <c r="AU1257" s="63" t="n">
        <f aca="false">IF(LEFT(Cockpit!$I$5,1)="A",H1257,IF(CI1257=1,(CL1257+CJ1257)/2,IF(LEFT(Cockpit!$I$5,1)="B",(CL1257+AW1257)/2,MAX((CL1257+AW1257)/2,H1257))))</f>
        <v>6</v>
      </c>
      <c r="AV1257" s="62" t="n">
        <f aca="false">AU1257*G1257</f>
        <v>575.22</v>
      </c>
      <c r="AW1257" s="62" t="n">
        <f aca="false">ROUNDUP(CL1257+MAX(CM1257,2*(J1257/IF(CH1257&gt;0,CH1257,MAX(0.1,N(Cockpit!$I$6)))-CL1257)),0)</f>
        <v>5</v>
      </c>
      <c r="AX1257" s="63" t="n">
        <f aca="false">IF(AT1257&gt;0,J1257/AT1257,-1)</f>
        <v>0.670967741935484</v>
      </c>
      <c r="AY1257" s="63" t="n">
        <f aca="false">IF(AND(OR(CG1257="L1",CG1257="L23",CG1257="LIFT"),AT1257&gt;0),SUMIFS($AT$7:$AT$1843,$CG$7:$CG$1843,CG1257,$AX$7:$AX$1843,"&gt;"&amp;AX1257)+SUMIFS($AT$7:$AT$1843,$CG$7:$CG$1843,CG1257,$AX$7:$AX$1843,AX1257,$BX$7:$BX$1843,"&lt;="&amp;BX1257),"")</f>
        <v>10947.5393772894</v>
      </c>
      <c r="AZ1257" s="70" t="n">
        <f aca="false">IF(AY1257="",0,MAX(0,MIN(1,(IF(CG1257="L1",Parameter!$H$5,IF(CG1257="L23",Parameter!$H$6+Parameter!$H$7,Parameter!$H$5+Parameter!$H$6+Parameter!$H$7))-(AY1257-AT1257))/AT1257)))</f>
        <v>1</v>
      </c>
      <c r="BA1257" s="62" t="n">
        <f aca="false">IF(LEFT(Cockpit!$O$5,1)="A",H1257,IF(Parameter!$E$30="MAX-Bestand",IF(CI1257=1,CJ1257,IF(LEFT(Cockpit!$O$5,1)="B",BG1257,MAX(BG1257,H1257))),ROUNDUP(BE1257,0)))</f>
        <v>3</v>
      </c>
      <c r="BB1257" s="62" t="n">
        <f aca="false">IF(CA1257=1,0,ROUNDUP(BA1257/BZ1257,0))</f>
        <v>1</v>
      </c>
      <c r="BC1257" s="64" t="n">
        <f aca="false">IF(CR1257&gt;0,CR1257*MAX(1,BA1257/X1257),IF(CA1257=1,IF(BA1257&lt;=0,0,CE1257*MAX(1,IF(H1257&gt;0,BA1257/H1257,1))),IF(R1257&gt;0,BB1257/R1257,0))/MAX(0.1,N(Parameter!$M$21)))</f>
        <v>0.0384615384615385</v>
      </c>
      <c r="BD1257" s="62" t="n">
        <f aca="false">BC1257*CC1257</f>
        <v>5.96153846153846</v>
      </c>
      <c r="BE1257" s="63" t="n">
        <f aca="false">IF(LEFT(Cockpit!$O$5,1)="A",H1257,IF(CI1257=1,(CL1257+CJ1257)/2,IF(LEFT(Cockpit!$O$5,1)="B",(CL1257+BG1257)/2,MAX((CL1257+BG1257)/2,H1257))))</f>
        <v>2.5</v>
      </c>
      <c r="BF1257" s="62" t="n">
        <f aca="false">BE1257*G1257</f>
        <v>239.675</v>
      </c>
      <c r="BG1257" s="62" t="n">
        <f aca="false">ROUNDUP(CL1257+MAX(CM1257,2*(J1257/IF(CH1257&gt;0,CH1257,MAX(0.1,N(Cockpit!$O$6)))-CL1257)),0)</f>
        <v>5</v>
      </c>
      <c r="BH1257" s="63" t="n">
        <f aca="false">IF(BD1257&gt;0,J1257/BD1257,-1)</f>
        <v>0.670967741935484</v>
      </c>
      <c r="BI1257" s="63" t="n">
        <f aca="false">IF(AND(OR(CG1257="L1",CG1257="L23",CG1257="LIFT"),BD1257&gt;0),SUMIFS($BD$7:$BD$1843,$CG$7:$CG$1843,CG1257,$BH$7:$BH$1843,"&gt;"&amp;BH1257)+SUMIFS($BD$7:$BD$1843,$CG$7:$CG$1843,CG1257,$BH$7:$BH$1843,BH1257,$BX$7:$BX$1843,"&lt;="&amp;BX1257),"")</f>
        <v>9557.17353479853</v>
      </c>
      <c r="BJ1257" s="70" t="n">
        <f aca="false">IF(BI1257="",0,MAX(0,MIN(1,(IF(CG1257="L1",Parameter!$H$5,IF(CG1257="L23",Parameter!$H$6+Parameter!$H$7,Parameter!$H$5+Parameter!$H$6+Parameter!$H$7))-(BI1257-BD1257))/BD1257)))</f>
        <v>1</v>
      </c>
      <c r="BK1257" s="60" t="str">
        <f aca="false">IF(AJ1257&lt;=0,"",IF(CG1257="Aussen","Aussenlager",IF(CG1257="-","Nicht im Lift",IF(AP1257&gt;=1,"Lift",IF(AP1257&lt;=0,"Aussenlager","teilweise")))))</f>
        <v>Lift</v>
      </c>
      <c r="BL1257" s="60" t="str">
        <f aca="false">IF(AT1257&lt;=0,"",IF(CG1257="Aussen","Aussenlager",IF(CG1257="-","Nicht im Lift",IF(AZ1257&gt;=1,"Lift",IF(AZ1257&lt;=0,"Aussenlager","teilweise")))))</f>
        <v>Lift</v>
      </c>
      <c r="BM1257" s="60" t="str">
        <f aca="false">IF(BD1257&lt;=0,"",IF(CG1257="Aussen","Aussenlager",IF(CG1257="-","Nicht im Lift",IF(BJ1257&gt;=1,"Lift",IF(BJ1257&lt;=0,"Aussenlager","teilweise")))))</f>
        <v>Lift</v>
      </c>
      <c r="BN1257" s="60" t="str">
        <f aca="false">IF(A1257="","",IF(BW1257=1,"Neu; ","")&amp;IF(AND(BW1257=0,BR1257&lt;0),"negativer Bestand (Export "&amp;BR1257&amp;"); ","")&amp;IF(J1257&lt;=0,"Kein Verbrauch; ","")&amp;IF(CR1257&gt;0,"Lift "&amp;W1257&amp;" lt. Liftbericht (Fach "&amp;X1257&amp;" Stk); ",IF(CB1257=1,"Gebinde geschätzt ("&amp;T1257&amp;"); ",IF(CA1257=1,"Lose – Tablare geschätzt; ","")))&amp;IF(H1257&gt;AW1257,"Überbestand "&amp;ROUND(H1257-AW1257,0)&amp;" Stk / CHF "&amp;ROUND((H1257-AW1257)*G1257,0)&amp;"; ","")&amp;IF(AND(CI1257=1,CJ1257&lt;CK1257),"MAX &lt; MB+LG; ","")&amp;IF(AND(CQ1257&gt;0,CP1257*10&gt;CQ1257),"zu hoch für Tablar; ","")&amp;IF(AND(BW1257=0,OR(CI1257=1,AB1257&lt;&gt;"",U1257&lt;&gt;"",V1257&lt;&gt;"",AC1257&lt;&gt;"")),"manuell übersteuert; ","")&amp;IF(AND(CA1257=0,R1257=0),"Gebinde unbekannt / Stellmass fehlt; ","")&amp;IF(AND(CA1257=0,N(V1257)&lt;=0,N(Q1257)&lt;=0),"Menge pro Gebinde fehlt (Ist = 1 Gebinde); ","")&amp;BV1257)</f>
        <v>negativer Bestand (Export -8); Gebinde geschätzt (Klein); Überbestand 1 Stk / CHF 96; Menge pro Gebinde fehlt (Ist = 1 Gebinde); </v>
      </c>
      <c r="BO1257" s="60"/>
      <c r="BP1257" s="60"/>
      <c r="BQ1257" s="67"/>
      <c r="BR1257" s="62" t="n">
        <v>-8</v>
      </c>
      <c r="BS1257" s="62" t="n">
        <v>14</v>
      </c>
      <c r="BT1257" s="61" t="n">
        <v>-766.96</v>
      </c>
      <c r="BU1257" s="62" t="n">
        <v>4</v>
      </c>
      <c r="BV1257" s="60"/>
      <c r="BW1257" s="65" t="n">
        <v>0</v>
      </c>
      <c r="BX1257" s="65" t="n">
        <v>1257</v>
      </c>
      <c r="BY1257" s="60" t="str">
        <f aca="false">IF(U1257&lt;&gt;"",UPPER(TRIM(U1257)),IF(CB1257=1,UPPER(VLOOKUP(T1257,Parameter!$I$27:$K$29,2,0)),IF(P1257="","LOSE",P1257)))</f>
        <v>S51</v>
      </c>
      <c r="BZ1257" s="62" t="n">
        <f aca="false">IF(BY1257="LOSE",1,IF(N(V1257)&gt;0,V1257,IF(CB1257=1,MAX(1,N(VLOOKUP(T1257,Parameter!$I$27:$K$29,3,0)),H1257,N(N1257)),IF(N(Q1257)&gt;0,Q1257,MAX(1,H1257)))))</f>
        <v>20</v>
      </c>
      <c r="CA1257" s="65" t="n">
        <f aca="false">IF(BY1257="LOSE",1,0)</f>
        <v>0</v>
      </c>
      <c r="CB1257" s="65" t="n">
        <f aca="false">IF(AND(U1257="",OR(P1257="",P1257="LOSE"),T1257&lt;&gt;"",N(S1257)&lt;=0,ISNUMBER(MATCH(T1257,Parameter!$I$27:$I$29,0))),1,0)</f>
        <v>1</v>
      </c>
      <c r="CC1257" s="65" t="n">
        <f aca="false">IF(CR1257&gt;0,INDEX(Parameter!$H$5:$H$7,W1257)/INDEX(Parameter!$E$5:$E$7,W1257),IF(AND(CA1257=0,N(IFERROR(VLOOKUP(BY1257,'Gebinde-Kategorie'!$A$5:$N$45,14,0),0))&gt;0),VLOOKUP(BY1257,'Gebinde-Kategorie'!$A$5:$N$45,14,0)*10+Parameter!$M$23,Parameter!$M$24))</f>
        <v>155</v>
      </c>
      <c r="CD1257" s="60" t="str">
        <f aca="false">IF(AND(Parameter!$B$19="Ja",E1257&lt;&gt;"",ISNUMBER(MATCH(E1257,Parameter!$I$35:$I$52,0))),VLOOKUP(E1257,Parameter!$I$35:$J$52,2,0),IFERROR(VLOOKUP(D1257,Parameter!$A$35:$C$64,2,0),"Nein"))</f>
        <v>2+3</v>
      </c>
      <c r="CE1257" s="64" t="n">
        <f aca="false">IF(CA1257=0,0,IF(N(S1257)&gt;0,S1257,IFERROR(VLOOKUP(D1257,Parameter!$A$35:$C$64,3,0)+0,0)))</f>
        <v>0</v>
      </c>
      <c r="CF1257" s="60" t="n">
        <f aca="false">IF(AB1257&lt;&gt;"",AB1257,AA1257)</f>
        <v>3</v>
      </c>
      <c r="CG1257" s="60" t="str">
        <f aca="false">IF(OR(CF1257=1,CF1257=2,CF1257=3),IF(Parameter!$E$27="Ja","LIFT",IF(CF1257=1,"L1","L23")),IF(CF1257="Aussen","Aussen","-"))</f>
        <v>LIFT</v>
      </c>
      <c r="CH1257" s="71" t="n">
        <f aca="false">IF(N(AC1257)&gt;0,AC1257,0)</f>
        <v>0</v>
      </c>
      <c r="CI1257" s="65" t="n">
        <f aca="false">IF(ISNUMBER(AF1257),1,0)</f>
        <v>0</v>
      </c>
      <c r="CJ1257" s="62" t="n">
        <f aca="false">N(AF1257)</f>
        <v>0</v>
      </c>
      <c r="CK1257" s="62" t="n">
        <f aca="false">N(M1257)+N(N1257)</f>
        <v>5</v>
      </c>
      <c r="CL1257" s="62" t="n">
        <f aca="false">N(M1257)</f>
        <v>0</v>
      </c>
      <c r="CM1257" s="62" t="n">
        <f aca="false">N(N1257)</f>
        <v>5</v>
      </c>
      <c r="CN1257" s="62" t="n">
        <f aca="false">ROUNDUP(H1257/BZ1257,0)</f>
        <v>1</v>
      </c>
      <c r="CO1257" s="62" t="n">
        <f aca="false">ROUNDUP(CJ1257/BZ1257,0)</f>
        <v>0</v>
      </c>
      <c r="CP1257" s="65" t="n">
        <f aca="false">IF(CA1257=1,0,IFERROR(VLOOKUP(BY1257,'Gebinde-Kategorie'!$A$5:$N$45,5,0)+0,0))</f>
        <v>11</v>
      </c>
      <c r="CQ1257" s="65" t="n">
        <f aca="false">IFERROR(IF(OR(CF1257=1,CF1257=2,CF1257=3),N(INDEX(Parameter!$I$5:$I$7,CF1257)),0),0)</f>
        <v>0</v>
      </c>
      <c r="CR1257" s="64" t="n">
        <f aca="false">IF(AND(Parameter!$B$21="Ja",ISNUMBER(W1257),N(X1257)&gt;0),IFERROR(N(INDEX(Parameter!$L$5:$L$7,W1257))*INDEX(Parameter!$E$5:$E$7,W1257)*X1257/SUMIFS($X$7:$X$1843,$W$7:$W$1843,W1257),0),0)</f>
        <v>0</v>
      </c>
      <c r="CS1257" s="62" t="n">
        <f aca="false">IF(AND(OR(CG1257="L1",CG1257="L23",CG1257="LIFT"),H1257&gt;0),CC1257*IF(CR1257&gt;0,CR1257*MAX(1,H1257/X1257),IF(CA1257=1,CE1257,IF(R1257&gt;0,CN1257/R1257,0))/MAX(0.1,N(Parameter!$M$21))),"")</f>
        <v>5.96153846153846</v>
      </c>
      <c r="CT1257" s="64" t="n">
        <f aca="false">IF(CS1257="","",J1257/H1257)</f>
        <v>0.666666666666667</v>
      </c>
      <c r="CU1257" s="62" t="n">
        <f aca="false">IF(CS1257="","",H1257*G1257)</f>
        <v>575.22</v>
      </c>
      <c r="CV1257" s="63" t="n">
        <f aca="false">IF(CS1257="","",(CL1257+ROUNDUP(CL1257+MAX(CM1257,2*(J1257/MAX(0.1,N(Einkauf!$C$6))-CL1257)),0))/2)</f>
        <v>2.5</v>
      </c>
      <c r="CW1257" s="62" t="n">
        <f aca="false">IF(CS1257="","",MAX(0,H1257-CV1257)*G1257)</f>
        <v>335.545</v>
      </c>
      <c r="CX1257" s="62" t="n">
        <f aca="false">IF(CS1257="","",CS1257*MAX(0,1-CV1257/H1257))</f>
        <v>3.4775641025641</v>
      </c>
      <c r="CY1257" s="64" t="n">
        <f aca="false">IF(CS1257="","",PERCENTRANK($CS$7:$CS$1843,CS1257)+PERCENTRANK($CU$7:$CU$1843,CU1257)+1-PERCENTRANK($CT$7:$CT$1843,CT1257))</f>
        <v>1.321</v>
      </c>
      <c r="CZ1257" s="72" t="n">
        <f aca="false">IF(CS1257="","",CHOOSE(MATCH(Einkauf!$C$5,Parameter!$G$23:$G$27,0),CY1257,CS1257,CU1257,-CT1257,CW1257)+ROW()/1000000000)</f>
        <v>1.321001257</v>
      </c>
    </row>
    <row r="1258" customFormat="false" ht="15" hidden="false" customHeight="false" outlineLevel="0" collapsed="false">
      <c r="A1258" s="60" t="s">
        <v>2288</v>
      </c>
      <c r="B1258" s="60" t="s">
        <v>1051</v>
      </c>
      <c r="C1258" s="60" t="s">
        <v>206</v>
      </c>
      <c r="D1258" s="60" t="s">
        <v>215</v>
      </c>
      <c r="E1258" s="60"/>
      <c r="F1258" s="60" t="s">
        <v>260</v>
      </c>
      <c r="G1258" s="61" t="n">
        <v>5.45</v>
      </c>
      <c r="H1258" s="62" t="n">
        <f aca="false">MAX(0,IF(AND(Parameter!$B$21="Ja",ISNUMBER(Y1258)),Y1258,IF(Parameter!$B$20="Jahresanfang 2025 + Export",BS1258+BR1258,BR1258)))</f>
        <v>50</v>
      </c>
      <c r="I1258" s="62" t="n">
        <f aca="false">H1258*G1258</f>
        <v>272.5</v>
      </c>
      <c r="J1258" s="62" t="n">
        <f aca="false">BU1258*Parameter!$B$18</f>
        <v>185</v>
      </c>
      <c r="K1258" s="63" t="n">
        <v>118.5</v>
      </c>
      <c r="L1258" s="64" t="n">
        <v>1.56118143459916</v>
      </c>
      <c r="M1258" s="62" t="n">
        <v>32</v>
      </c>
      <c r="N1258" s="62" t="n">
        <v>185</v>
      </c>
      <c r="O1258" s="65" t="n">
        <v>63</v>
      </c>
      <c r="P1258" s="60" t="s">
        <v>210</v>
      </c>
      <c r="Q1258" s="62"/>
      <c r="R1258" s="65" t="n">
        <f aca="false">IF(CA1258=1,0,IFERROR(VLOOKUP(BY1258,'Gebinde-Kategorie'!$A$5:$N$45,13,0)+0,0))</f>
        <v>26</v>
      </c>
      <c r="S1258" s="66"/>
      <c r="T1258" s="67" t="s">
        <v>317</v>
      </c>
      <c r="U1258" s="67"/>
      <c r="V1258" s="67"/>
      <c r="W1258" s="60"/>
      <c r="X1258" s="62"/>
      <c r="Y1258" s="62"/>
      <c r="Z1258" s="60" t="n">
        <v>3</v>
      </c>
      <c r="AA1258" s="60" t="n">
        <f aca="false">IF(A1258="","",IF(AND(Parameter!$B$21="Ja",ISNUMBER(W1258)),W1258,IF(AND(Parameter!$E$27="Ja",ISNUMBER(Z1258),CD1258&lt;&gt;"Nein"),Z1258,IF(CD1258="2+3",IF(ISNUMBER(SEARCH("grosser Artikel",BV1258)),2,IFERROR(VLOOKUP(BY1258,Parameter!$F$35:$G$64,2,0),2)),IF(OR(CD1258="Nein",CD1258=""),"-",CD1258)))))</f>
        <v>3</v>
      </c>
      <c r="AB1258" s="67"/>
      <c r="AC1258" s="68"/>
      <c r="AD1258" s="62" t="n">
        <f aca="false">AW1258</f>
        <v>217</v>
      </c>
      <c r="AE1258" s="62" t="n">
        <f aca="false">MAX(AW1258,H1258)</f>
        <v>217</v>
      </c>
      <c r="AF1258" s="69"/>
      <c r="AG1258" s="62" t="n">
        <f aca="false">IF(LEFT(Cockpit!$C$5,1)="A",H1258,IF(Parameter!$E$30="MAX-Bestand",IF(CI1258=1,CJ1258,IF(LEFT(Cockpit!$C$5,1)="B",AM1258,MAX(AM1258,H1258))),ROUNDUP(AK1258,0)))</f>
        <v>50</v>
      </c>
      <c r="AH1258" s="62" t="n">
        <f aca="false">IF(CA1258=1,0,ROUNDUP(AG1258/BZ1258,0))</f>
        <v>1</v>
      </c>
      <c r="AI1258" s="64" t="n">
        <f aca="false">IF(CR1258&gt;0,CR1258*MAX(1,AG1258/X1258),IF(CA1258=1,IF(AG1258&lt;=0,0,CE1258*MAX(1,IF(H1258&gt;0,AG1258/H1258,1))),IF(R1258&gt;0,AH1258/R1258,0))/MAX(0.1,N(Parameter!$M$21)))</f>
        <v>0.0384615384615385</v>
      </c>
      <c r="AJ1258" s="62" t="n">
        <f aca="false">AI1258*CC1258</f>
        <v>5.96153846153846</v>
      </c>
      <c r="AK1258" s="63" t="n">
        <f aca="false">IF(LEFT(Cockpit!$C$5,1)="A",H1258,IF(CI1258=1,(CL1258+CJ1258)/2,IF(LEFT(Cockpit!$C$5,1)="B",(CL1258+AM1258)/2,MAX((CL1258+AM1258)/2,H1258))))</f>
        <v>50</v>
      </c>
      <c r="AL1258" s="62" t="n">
        <f aca="false">AK1258*G1258</f>
        <v>272.5</v>
      </c>
      <c r="AM1258" s="62" t="n">
        <f aca="false">ROUNDUP(CL1258+MAX(CM1258,2*(J1258/IF(CH1258&gt;0,CH1258,MAX(0.1,N(Cockpit!$C$6)))-CL1258)),0)</f>
        <v>217</v>
      </c>
      <c r="AN1258" s="63" t="n">
        <f aca="false">IF(AJ1258&gt;0,J1258/AJ1258,-1)</f>
        <v>31.0322580645161</v>
      </c>
      <c r="AO1258" s="63" t="n">
        <f aca="false">IF(AND(OR(CG1258="L1",CG1258="L23",CG1258="LIFT"),AJ1258&gt;0),SUMIFS($AJ$7:$AJ$1843,$CG$7:$CG$1843,CG1258,$AN$7:$AN$1843,"&gt;"&amp;AN1258)+SUMIFS($AJ$7:$AJ$1843,$CG$7:$CG$1843,CG1258,$AN$7:$AN$1843,AN1258,$BX$7:$BX$1843,"&lt;="&amp;BX1258),"")</f>
        <v>1387.96703296703</v>
      </c>
      <c r="AP1258" s="70" t="n">
        <f aca="false">IF(AO1258="",0,MAX(0,MIN(1,(IF(CG1258="L1",Parameter!$H$5,IF(CG1258="L23",Parameter!$H$6+Parameter!$H$7,Parameter!$H$5+Parameter!$H$6+Parameter!$H$7))-(AO1258-AJ1258))/AJ1258)))</f>
        <v>1</v>
      </c>
      <c r="AQ1258" s="62" t="n">
        <f aca="false">IF(LEFT(Cockpit!$I$5,1)="A",H1258,IF(Parameter!$E$30="MAX-Bestand",IF(CI1258=1,CJ1258,IF(LEFT(Cockpit!$I$5,1)="B",AW1258,MAX(AW1258,H1258))),ROUNDUP(AU1258,0)))</f>
        <v>125</v>
      </c>
      <c r="AR1258" s="62" t="n">
        <f aca="false">IF(CA1258=1,0,ROUNDUP(AQ1258/BZ1258,0))</f>
        <v>1</v>
      </c>
      <c r="AS1258" s="64" t="n">
        <f aca="false">IF(CR1258&gt;0,CR1258*MAX(1,AQ1258/X1258),IF(CA1258=1,IF(AQ1258&lt;=0,0,CE1258*MAX(1,IF(H1258&gt;0,AQ1258/H1258,1))),IF(R1258&gt;0,AR1258/R1258,0))/MAX(0.1,N(Parameter!$M$21)))</f>
        <v>0.0384615384615385</v>
      </c>
      <c r="AT1258" s="62" t="n">
        <f aca="false">AS1258*CC1258</f>
        <v>5.96153846153846</v>
      </c>
      <c r="AU1258" s="63" t="n">
        <f aca="false">IF(LEFT(Cockpit!$I$5,1)="A",H1258,IF(CI1258=1,(CL1258+CJ1258)/2,IF(LEFT(Cockpit!$I$5,1)="B",(CL1258+AW1258)/2,MAX((CL1258+AW1258)/2,H1258))))</f>
        <v>124.5</v>
      </c>
      <c r="AV1258" s="62" t="n">
        <f aca="false">AU1258*G1258</f>
        <v>678.525</v>
      </c>
      <c r="AW1258" s="62" t="n">
        <f aca="false">ROUNDUP(CL1258+MAX(CM1258,2*(J1258/IF(CH1258&gt;0,CH1258,MAX(0.1,N(Cockpit!$I$6)))-CL1258)),0)</f>
        <v>217</v>
      </c>
      <c r="AX1258" s="63" t="n">
        <f aca="false">IF(AT1258&gt;0,J1258/AT1258,-1)</f>
        <v>31.0322580645161</v>
      </c>
      <c r="AY1258" s="63" t="n">
        <f aca="false">IF(AND(OR(CG1258="L1",CG1258="L23",CG1258="LIFT"),AT1258&gt;0),SUMIFS($AT$7:$AT$1843,$CG$7:$CG$1843,CG1258,$AX$7:$AX$1843,"&gt;"&amp;AX1258)+SUMIFS($AT$7:$AT$1843,$CG$7:$CG$1843,CG1258,$AX$7:$AX$1843,AX1258,$BX$7:$BX$1843,"&lt;="&amp;BX1258),"")</f>
        <v>1800.07921245421</v>
      </c>
      <c r="AZ1258" s="70" t="n">
        <f aca="false">IF(AY1258="",0,MAX(0,MIN(1,(IF(CG1258="L1",Parameter!$H$5,IF(CG1258="L23",Parameter!$H$6+Parameter!$H$7,Parameter!$H$5+Parameter!$H$6+Parameter!$H$7))-(AY1258-AT1258))/AT1258)))</f>
        <v>1</v>
      </c>
      <c r="BA1258" s="62" t="n">
        <f aca="false">IF(LEFT(Cockpit!$O$5,1)="A",H1258,IF(Parameter!$E$30="MAX-Bestand",IF(CI1258=1,CJ1258,IF(LEFT(Cockpit!$O$5,1)="B",BG1258,MAX(BG1258,H1258))),ROUNDUP(BE1258,0)))</f>
        <v>125</v>
      </c>
      <c r="BB1258" s="62" t="n">
        <f aca="false">IF(CA1258=1,0,ROUNDUP(BA1258/BZ1258,0))</f>
        <v>1</v>
      </c>
      <c r="BC1258" s="64" t="n">
        <f aca="false">IF(CR1258&gt;0,CR1258*MAX(1,BA1258/X1258),IF(CA1258=1,IF(BA1258&lt;=0,0,CE1258*MAX(1,IF(H1258&gt;0,BA1258/H1258,1))),IF(R1258&gt;0,BB1258/R1258,0))/MAX(0.1,N(Parameter!$M$21)))</f>
        <v>0.0384615384615385</v>
      </c>
      <c r="BD1258" s="62" t="n">
        <f aca="false">BC1258*CC1258</f>
        <v>5.96153846153846</v>
      </c>
      <c r="BE1258" s="63" t="n">
        <f aca="false">IF(LEFT(Cockpit!$O$5,1)="A",H1258,IF(CI1258=1,(CL1258+CJ1258)/2,IF(LEFT(Cockpit!$O$5,1)="B",(CL1258+BG1258)/2,MAX((CL1258+BG1258)/2,H1258))))</f>
        <v>124.5</v>
      </c>
      <c r="BF1258" s="62" t="n">
        <f aca="false">BE1258*G1258</f>
        <v>678.525</v>
      </c>
      <c r="BG1258" s="62" t="n">
        <f aca="false">ROUNDUP(CL1258+MAX(CM1258,2*(J1258/IF(CH1258&gt;0,CH1258,MAX(0.1,N(Cockpit!$O$6)))-CL1258)),0)</f>
        <v>217</v>
      </c>
      <c r="BH1258" s="63" t="n">
        <f aca="false">IF(BD1258&gt;0,J1258/BD1258,-1)</f>
        <v>31.0322580645161</v>
      </c>
      <c r="BI1258" s="63" t="n">
        <f aca="false">IF(AND(OR(CG1258="L1",CG1258="L23",CG1258="LIFT"),BD1258&gt;0),SUMIFS($BD$7:$BD$1843,$CG$7:$CG$1843,CG1258,$BH$7:$BH$1843,"&gt;"&amp;BH1258)+SUMIFS($BD$7:$BD$1843,$CG$7:$CG$1843,CG1258,$BH$7:$BH$1843,BH1258,$BX$7:$BX$1843,"&lt;="&amp;BX1258),"")</f>
        <v>1737.54075091575</v>
      </c>
      <c r="BJ1258" s="70" t="n">
        <f aca="false">IF(BI1258="",0,MAX(0,MIN(1,(IF(CG1258="L1",Parameter!$H$5,IF(CG1258="L23",Parameter!$H$6+Parameter!$H$7,Parameter!$H$5+Parameter!$H$6+Parameter!$H$7))-(BI1258-BD1258))/BD1258)))</f>
        <v>1</v>
      </c>
      <c r="BK1258" s="60" t="str">
        <f aca="false">IF(AJ1258&lt;=0,"",IF(CG1258="Aussen","Aussenlager",IF(CG1258="-","Nicht im Lift",IF(AP1258&gt;=1,"Lift",IF(AP1258&lt;=0,"Aussenlager","teilweise")))))</f>
        <v>Lift</v>
      </c>
      <c r="BL1258" s="60" t="str">
        <f aca="false">IF(AT1258&lt;=0,"",IF(CG1258="Aussen","Aussenlager",IF(CG1258="-","Nicht im Lift",IF(AZ1258&gt;=1,"Lift",IF(AZ1258&lt;=0,"Aussenlager","teilweise")))))</f>
        <v>Lift</v>
      </c>
      <c r="BM1258" s="60" t="str">
        <f aca="false">IF(BD1258&lt;=0,"",IF(CG1258="Aussen","Aussenlager",IF(CG1258="-","Nicht im Lift",IF(BJ1258&gt;=1,"Lift",IF(BJ1258&lt;=0,"Aussenlager","teilweise")))))</f>
        <v>Lift</v>
      </c>
      <c r="BN1258" s="60" t="str">
        <f aca="false">IF(A1258="","",IF(BW1258=1,"Neu; ","")&amp;IF(AND(BW1258=0,BR1258&lt;0),"negativer Bestand (Export "&amp;BR1258&amp;"); ","")&amp;IF(J1258&lt;=0,"Kein Verbrauch; ","")&amp;IF(CR1258&gt;0,"Lift "&amp;W1258&amp;" lt. Liftbericht (Fach "&amp;X1258&amp;" Stk); ",IF(CB1258=1,"Gebinde geschätzt ("&amp;T1258&amp;"); ",IF(CA1258=1,"Lose – Tablare geschätzt; ","")))&amp;IF(H1258&gt;AW1258,"Überbestand "&amp;ROUND(H1258-AW1258,0)&amp;" Stk / CHF "&amp;ROUND((H1258-AW1258)*G1258,0)&amp;"; ","")&amp;IF(AND(CI1258=1,CJ1258&lt;CK1258),"MAX &lt; MB+LG; ","")&amp;IF(AND(CQ1258&gt;0,CP1258*10&gt;CQ1258),"zu hoch für Tablar; ","")&amp;IF(AND(BW1258=0,OR(CI1258=1,AB1258&lt;&gt;"",U1258&lt;&gt;"",V1258&lt;&gt;"",AC1258&lt;&gt;"")),"manuell übersteuert; ","")&amp;IF(AND(CA1258=0,R1258=0),"Gebinde unbekannt / Stellmass fehlt; ","")&amp;IF(AND(CA1258=0,N(V1258)&lt;=0,N(Q1258)&lt;=0),"Menge pro Gebinde fehlt (Ist = 1 Gebinde); ","")&amp;BV1258)</f>
        <v>negativer Bestand (Export -147); Gebinde geschätzt (Klein); Menge pro Gebinde fehlt (Ist = 1 Gebinde); </v>
      </c>
      <c r="BO1258" s="60"/>
      <c r="BP1258" s="60"/>
      <c r="BQ1258" s="67"/>
      <c r="BR1258" s="62" t="n">
        <v>-147</v>
      </c>
      <c r="BS1258" s="62" t="n">
        <v>197</v>
      </c>
      <c r="BT1258" s="61" t="n">
        <v>-793.27</v>
      </c>
      <c r="BU1258" s="62" t="n">
        <v>185</v>
      </c>
      <c r="BV1258" s="60"/>
      <c r="BW1258" s="65" t="n">
        <v>0</v>
      </c>
      <c r="BX1258" s="65" t="n">
        <v>1258</v>
      </c>
      <c r="BY1258" s="60" t="str">
        <f aca="false">IF(U1258&lt;&gt;"",UPPER(TRIM(U1258)),IF(CB1258=1,UPPER(VLOOKUP(T1258,Parameter!$I$27:$K$29,2,0)),IF(P1258="","LOSE",P1258)))</f>
        <v>S51</v>
      </c>
      <c r="BZ1258" s="62" t="n">
        <f aca="false">IF(BY1258="LOSE",1,IF(N(V1258)&gt;0,V1258,IF(CB1258=1,MAX(1,N(VLOOKUP(T1258,Parameter!$I$27:$K$29,3,0)),H1258,N(N1258)),IF(N(Q1258)&gt;0,Q1258,MAX(1,H1258)))))</f>
        <v>185</v>
      </c>
      <c r="CA1258" s="65" t="n">
        <f aca="false">IF(BY1258="LOSE",1,0)</f>
        <v>0</v>
      </c>
      <c r="CB1258" s="65" t="n">
        <f aca="false">IF(AND(U1258="",OR(P1258="",P1258="LOSE"),T1258&lt;&gt;"",N(S1258)&lt;=0,ISNUMBER(MATCH(T1258,Parameter!$I$27:$I$29,0))),1,0)</f>
        <v>1</v>
      </c>
      <c r="CC1258" s="65" t="n">
        <f aca="false">IF(CR1258&gt;0,INDEX(Parameter!$H$5:$H$7,W1258)/INDEX(Parameter!$E$5:$E$7,W1258),IF(AND(CA1258=0,N(IFERROR(VLOOKUP(BY1258,'Gebinde-Kategorie'!$A$5:$N$45,14,0),0))&gt;0),VLOOKUP(BY1258,'Gebinde-Kategorie'!$A$5:$N$45,14,0)*10+Parameter!$M$23,Parameter!$M$24))</f>
        <v>155</v>
      </c>
      <c r="CD1258" s="60" t="str">
        <f aca="false">IF(AND(Parameter!$B$19="Ja",E1258&lt;&gt;"",ISNUMBER(MATCH(E1258,Parameter!$I$35:$I$52,0))),VLOOKUP(E1258,Parameter!$I$35:$J$52,2,0),IFERROR(VLOOKUP(D1258,Parameter!$A$35:$C$64,2,0),"Nein"))</f>
        <v>2+3</v>
      </c>
      <c r="CE1258" s="64" t="n">
        <f aca="false">IF(CA1258=0,0,IF(N(S1258)&gt;0,S1258,IFERROR(VLOOKUP(D1258,Parameter!$A$35:$C$64,3,0)+0,0)))</f>
        <v>0</v>
      </c>
      <c r="CF1258" s="60" t="n">
        <f aca="false">IF(AB1258&lt;&gt;"",AB1258,AA1258)</f>
        <v>3</v>
      </c>
      <c r="CG1258" s="60" t="str">
        <f aca="false">IF(OR(CF1258=1,CF1258=2,CF1258=3),IF(Parameter!$E$27="Ja","LIFT",IF(CF1258=1,"L1","L23")),IF(CF1258="Aussen","Aussen","-"))</f>
        <v>LIFT</v>
      </c>
      <c r="CH1258" s="71" t="n">
        <f aca="false">IF(N(AC1258)&gt;0,AC1258,0)</f>
        <v>0</v>
      </c>
      <c r="CI1258" s="65" t="n">
        <f aca="false">IF(ISNUMBER(AF1258),1,0)</f>
        <v>0</v>
      </c>
      <c r="CJ1258" s="62" t="n">
        <f aca="false">N(AF1258)</f>
        <v>0</v>
      </c>
      <c r="CK1258" s="62" t="n">
        <f aca="false">N(M1258)+N(N1258)</f>
        <v>217</v>
      </c>
      <c r="CL1258" s="62" t="n">
        <f aca="false">N(M1258)</f>
        <v>32</v>
      </c>
      <c r="CM1258" s="62" t="n">
        <f aca="false">N(N1258)</f>
        <v>185</v>
      </c>
      <c r="CN1258" s="62" t="n">
        <f aca="false">ROUNDUP(H1258/BZ1258,0)</f>
        <v>1</v>
      </c>
      <c r="CO1258" s="62" t="n">
        <f aca="false">ROUNDUP(CJ1258/BZ1258,0)</f>
        <v>0</v>
      </c>
      <c r="CP1258" s="65" t="n">
        <f aca="false">IF(CA1258=1,0,IFERROR(VLOOKUP(BY1258,'Gebinde-Kategorie'!$A$5:$N$45,5,0)+0,0))</f>
        <v>11</v>
      </c>
      <c r="CQ1258" s="65" t="n">
        <f aca="false">IFERROR(IF(OR(CF1258=1,CF1258=2,CF1258=3),N(INDEX(Parameter!$I$5:$I$7,CF1258)),0),0)</f>
        <v>0</v>
      </c>
      <c r="CR1258" s="64" t="n">
        <f aca="false">IF(AND(Parameter!$B$21="Ja",ISNUMBER(W1258),N(X1258)&gt;0),IFERROR(N(INDEX(Parameter!$L$5:$L$7,W1258))*INDEX(Parameter!$E$5:$E$7,W1258)*X1258/SUMIFS($X$7:$X$1843,$W$7:$W$1843,W1258),0),0)</f>
        <v>0</v>
      </c>
      <c r="CS1258" s="62" t="n">
        <f aca="false">IF(AND(OR(CG1258="L1",CG1258="L23",CG1258="LIFT"),H1258&gt;0),CC1258*IF(CR1258&gt;0,CR1258*MAX(1,H1258/X1258),IF(CA1258=1,CE1258,IF(R1258&gt;0,CN1258/R1258,0))/MAX(0.1,N(Parameter!$M$21))),"")</f>
        <v>5.96153846153846</v>
      </c>
      <c r="CT1258" s="64" t="n">
        <f aca="false">IF(CS1258="","",J1258/H1258)</f>
        <v>3.7</v>
      </c>
      <c r="CU1258" s="62" t="n">
        <f aca="false">IF(CS1258="","",H1258*G1258)</f>
        <v>272.5</v>
      </c>
      <c r="CV1258" s="63" t="n">
        <f aca="false">IF(CS1258="","",(CL1258+ROUNDUP(CL1258+MAX(CM1258,2*(J1258/MAX(0.1,N(Einkauf!$C$6))-CL1258)),0))/2)</f>
        <v>124.5</v>
      </c>
      <c r="CW1258" s="62" t="n">
        <f aca="false">IF(CS1258="","",MAX(0,H1258-CV1258)*G1258)</f>
        <v>0</v>
      </c>
      <c r="CX1258" s="62" t="n">
        <f aca="false">IF(CS1258="","",CS1258*MAX(0,1-CV1258/H1258))</f>
        <v>0</v>
      </c>
      <c r="CY1258" s="64" t="n">
        <f aca="false">IF(CS1258="","",PERCENTRANK($CS$7:$CS$1843,CS1258)+PERCENTRANK($CU$7:$CU$1843,CU1258)+1-PERCENTRANK($CT$7:$CT$1843,CT1258))</f>
        <v>0.825</v>
      </c>
      <c r="CZ1258" s="72" t="n">
        <f aca="false">IF(CS1258="","",CHOOSE(MATCH(Einkauf!$C$5,Parameter!$G$23:$G$27,0),CY1258,CS1258,CU1258,-CT1258,CW1258)+ROW()/1000000000)</f>
        <v>0.825001258</v>
      </c>
    </row>
    <row r="1259" customFormat="false" ht="15" hidden="false" customHeight="false" outlineLevel="0" collapsed="false">
      <c r="A1259" s="60" t="s">
        <v>2289</v>
      </c>
      <c r="B1259" s="60" t="s">
        <v>205</v>
      </c>
      <c r="C1259" s="60" t="s">
        <v>498</v>
      </c>
      <c r="D1259" s="60" t="s">
        <v>395</v>
      </c>
      <c r="E1259" s="60" t="s">
        <v>2290</v>
      </c>
      <c r="F1259" s="60" t="s">
        <v>260</v>
      </c>
      <c r="G1259" s="61" t="n">
        <v>401.72</v>
      </c>
      <c r="H1259" s="62" t="n">
        <f aca="false">MAX(0,IF(AND(Parameter!$B$21="Ja",ISNUMBER(Y1259)),Y1259,IF(Parameter!$B$20="Jahresanfang 2025 + Export",BS1259+BR1259,BR1259)))</f>
        <v>0</v>
      </c>
      <c r="I1259" s="62" t="n">
        <f aca="false">H1259*G1259</f>
        <v>0</v>
      </c>
      <c r="J1259" s="62" t="n">
        <f aca="false">BU1259*Parameter!$B$18</f>
        <v>0</v>
      </c>
      <c r="K1259" s="63" t="n">
        <v>1</v>
      </c>
      <c r="L1259" s="64" t="n">
        <v>0</v>
      </c>
      <c r="M1259" s="62" t="n">
        <v>0</v>
      </c>
      <c r="N1259" s="62" t="n">
        <v>0</v>
      </c>
      <c r="O1259" s="65" t="n">
        <v>35</v>
      </c>
      <c r="P1259" s="60" t="s">
        <v>210</v>
      </c>
      <c r="Q1259" s="62"/>
      <c r="R1259" s="65" t="n">
        <f aca="false">IF(CA1259=1,0,IFERROR(VLOOKUP(BY1259,'Gebinde-Kategorie'!$A$5:$N$45,13,0)+0,0))</f>
        <v>0</v>
      </c>
      <c r="S1259" s="66"/>
      <c r="T1259" s="67"/>
      <c r="U1259" s="67"/>
      <c r="V1259" s="67"/>
      <c r="W1259" s="60"/>
      <c r="X1259" s="62"/>
      <c r="Y1259" s="62"/>
      <c r="Z1259" s="60"/>
      <c r="AA1259" s="60" t="str">
        <f aca="false">IF(A1259="","",IF(AND(Parameter!$B$21="Ja",ISNUMBER(W1259)),W1259,IF(AND(Parameter!$E$27="Ja",ISNUMBER(Z1259),CD1259&lt;&gt;"Nein"),Z1259,IF(CD1259="2+3",IF(ISNUMBER(SEARCH("grosser Artikel",BV1259)),2,IFERROR(VLOOKUP(BY1259,Parameter!$F$35:$G$64,2,0),2)),IF(OR(CD1259="Nein",CD1259=""),"-",CD1259)))))</f>
        <v>-</v>
      </c>
      <c r="AB1259" s="67"/>
      <c r="AC1259" s="68"/>
      <c r="AD1259" s="62" t="n">
        <f aca="false">AW1259</f>
        <v>0</v>
      </c>
      <c r="AE1259" s="62" t="n">
        <f aca="false">MAX(AW1259,H1259)</f>
        <v>0</v>
      </c>
      <c r="AF1259" s="69"/>
      <c r="AG1259" s="62" t="n">
        <f aca="false">IF(LEFT(Cockpit!$C$5,1)="A",H1259,IF(Parameter!$E$30="MAX-Bestand",IF(CI1259=1,CJ1259,IF(LEFT(Cockpit!$C$5,1)="B",AM1259,MAX(AM1259,H1259))),ROUNDUP(AK1259,0)))</f>
        <v>0</v>
      </c>
      <c r="AH1259" s="62" t="n">
        <f aca="false">IF(CA1259=1,0,ROUNDUP(AG1259/BZ1259,0))</f>
        <v>0</v>
      </c>
      <c r="AI1259" s="64" t="n">
        <f aca="false">IF(CR1259&gt;0,CR1259*MAX(1,AG1259/X1259),IF(CA1259=1,IF(AG1259&lt;=0,0,CE1259*MAX(1,IF(H1259&gt;0,AG1259/H1259,1))),IF(R1259&gt;0,AH1259/R1259,0))/MAX(0.1,N(Parameter!$M$21)))</f>
        <v>0</v>
      </c>
      <c r="AJ1259" s="62" t="n">
        <f aca="false">AI1259*CC1259</f>
        <v>0</v>
      </c>
      <c r="AK1259" s="63" t="n">
        <f aca="false">IF(LEFT(Cockpit!$C$5,1)="A",H1259,IF(CI1259=1,(CL1259+CJ1259)/2,IF(LEFT(Cockpit!$C$5,1)="B",(CL1259+AM1259)/2,MAX((CL1259+AM1259)/2,H1259))))</f>
        <v>0</v>
      </c>
      <c r="AL1259" s="62" t="n">
        <f aca="false">AK1259*G1259</f>
        <v>0</v>
      </c>
      <c r="AM1259" s="62" t="n">
        <f aca="false">ROUNDUP(CL1259+MAX(CM1259,2*(J1259/IF(CH1259&gt;0,CH1259,MAX(0.1,N(Cockpit!$C$6)))-CL1259)),0)</f>
        <v>0</v>
      </c>
      <c r="AN1259" s="63" t="n">
        <f aca="false">IF(AJ1259&gt;0,J1259/AJ1259,-1)</f>
        <v>-1</v>
      </c>
      <c r="AO1259" s="63" t="str">
        <f aca="false">IF(AND(OR(CG1259="L1",CG1259="L23",CG1259="LIFT"),AJ1259&gt;0),SUMIFS($AJ$7:$AJ$1843,$CG$7:$CG$1843,CG1259,$AN$7:$AN$1843,"&gt;"&amp;AN1259)+SUMIFS($AJ$7:$AJ$1843,$CG$7:$CG$1843,CG1259,$AN$7:$AN$1843,AN1259,$BX$7:$BX$1843,"&lt;="&amp;BX1259),"")</f>
        <v/>
      </c>
      <c r="AP1259" s="70" t="n">
        <f aca="false">IF(AO1259="",0,MAX(0,MIN(1,(IF(CG1259="L1",Parameter!$H$5,IF(CG1259="L23",Parameter!$H$6+Parameter!$H$7,Parameter!$H$5+Parameter!$H$6+Parameter!$H$7))-(AO1259-AJ1259))/AJ1259)))</f>
        <v>0</v>
      </c>
      <c r="AQ1259" s="62" t="n">
        <f aca="false">IF(LEFT(Cockpit!$I$5,1)="A",H1259,IF(Parameter!$E$30="MAX-Bestand",IF(CI1259=1,CJ1259,IF(LEFT(Cockpit!$I$5,1)="B",AW1259,MAX(AW1259,H1259))),ROUNDUP(AU1259,0)))</f>
        <v>0</v>
      </c>
      <c r="AR1259" s="62" t="n">
        <f aca="false">IF(CA1259=1,0,ROUNDUP(AQ1259/BZ1259,0))</f>
        <v>0</v>
      </c>
      <c r="AS1259" s="64" t="n">
        <f aca="false">IF(CR1259&gt;0,CR1259*MAX(1,AQ1259/X1259),IF(CA1259=1,IF(AQ1259&lt;=0,0,CE1259*MAX(1,IF(H1259&gt;0,AQ1259/H1259,1))),IF(R1259&gt;0,AR1259/R1259,0))/MAX(0.1,N(Parameter!$M$21)))</f>
        <v>0</v>
      </c>
      <c r="AT1259" s="62" t="n">
        <f aca="false">AS1259*CC1259</f>
        <v>0</v>
      </c>
      <c r="AU1259" s="63" t="n">
        <f aca="false">IF(LEFT(Cockpit!$I$5,1)="A",H1259,IF(CI1259=1,(CL1259+CJ1259)/2,IF(LEFT(Cockpit!$I$5,1)="B",(CL1259+AW1259)/2,MAX((CL1259+AW1259)/2,H1259))))</f>
        <v>0</v>
      </c>
      <c r="AV1259" s="62" t="n">
        <f aca="false">AU1259*G1259</f>
        <v>0</v>
      </c>
      <c r="AW1259" s="62" t="n">
        <f aca="false">ROUNDUP(CL1259+MAX(CM1259,2*(J1259/IF(CH1259&gt;0,CH1259,MAX(0.1,N(Cockpit!$I$6)))-CL1259)),0)</f>
        <v>0</v>
      </c>
      <c r="AX1259" s="63" t="n">
        <f aca="false">IF(AT1259&gt;0,J1259/AT1259,-1)</f>
        <v>-1</v>
      </c>
      <c r="AY1259" s="63" t="str">
        <f aca="false">IF(AND(OR(CG1259="L1",CG1259="L23",CG1259="LIFT"),AT1259&gt;0),SUMIFS($AT$7:$AT$1843,$CG$7:$CG$1843,CG1259,$AX$7:$AX$1843,"&gt;"&amp;AX1259)+SUMIFS($AT$7:$AT$1843,$CG$7:$CG$1843,CG1259,$AX$7:$AX$1843,AX1259,$BX$7:$BX$1843,"&lt;="&amp;BX1259),"")</f>
        <v/>
      </c>
      <c r="AZ1259" s="70" t="n">
        <f aca="false">IF(AY1259="",0,MAX(0,MIN(1,(IF(CG1259="L1",Parameter!$H$5,IF(CG1259="L23",Parameter!$H$6+Parameter!$H$7,Parameter!$H$5+Parameter!$H$6+Parameter!$H$7))-(AY1259-AT1259))/AT1259)))</f>
        <v>0</v>
      </c>
      <c r="BA1259" s="62" t="n">
        <f aca="false">IF(LEFT(Cockpit!$O$5,1)="A",H1259,IF(Parameter!$E$30="MAX-Bestand",IF(CI1259=1,CJ1259,IF(LEFT(Cockpit!$O$5,1)="B",BG1259,MAX(BG1259,H1259))),ROUNDUP(BE1259,0)))</f>
        <v>0</v>
      </c>
      <c r="BB1259" s="62" t="n">
        <f aca="false">IF(CA1259=1,0,ROUNDUP(BA1259/BZ1259,0))</f>
        <v>0</v>
      </c>
      <c r="BC1259" s="64" t="n">
        <f aca="false">IF(CR1259&gt;0,CR1259*MAX(1,BA1259/X1259),IF(CA1259=1,IF(BA1259&lt;=0,0,CE1259*MAX(1,IF(H1259&gt;0,BA1259/H1259,1))),IF(R1259&gt;0,BB1259/R1259,0))/MAX(0.1,N(Parameter!$M$21)))</f>
        <v>0</v>
      </c>
      <c r="BD1259" s="62" t="n">
        <f aca="false">BC1259*CC1259</f>
        <v>0</v>
      </c>
      <c r="BE1259" s="63" t="n">
        <f aca="false">IF(LEFT(Cockpit!$O$5,1)="A",H1259,IF(CI1259=1,(CL1259+CJ1259)/2,IF(LEFT(Cockpit!$O$5,1)="B",(CL1259+BG1259)/2,MAX((CL1259+BG1259)/2,H1259))))</f>
        <v>0</v>
      </c>
      <c r="BF1259" s="62" t="n">
        <f aca="false">BE1259*G1259</f>
        <v>0</v>
      </c>
      <c r="BG1259" s="62" t="n">
        <f aca="false">ROUNDUP(CL1259+MAX(CM1259,2*(J1259/IF(CH1259&gt;0,CH1259,MAX(0.1,N(Cockpit!$O$6)))-CL1259)),0)</f>
        <v>0</v>
      </c>
      <c r="BH1259" s="63" t="n">
        <f aca="false">IF(BD1259&gt;0,J1259/BD1259,-1)</f>
        <v>-1</v>
      </c>
      <c r="BI1259" s="63" t="str">
        <f aca="false">IF(AND(OR(CG1259="L1",CG1259="L23",CG1259="LIFT"),BD1259&gt;0),SUMIFS($BD$7:$BD$1843,$CG$7:$CG$1843,CG1259,$BH$7:$BH$1843,"&gt;"&amp;BH1259)+SUMIFS($BD$7:$BD$1843,$CG$7:$CG$1843,CG1259,$BH$7:$BH$1843,BH1259,$BX$7:$BX$1843,"&lt;="&amp;BX1259),"")</f>
        <v/>
      </c>
      <c r="BJ1259" s="70" t="n">
        <f aca="false">IF(BI1259="",0,MAX(0,MIN(1,(IF(CG1259="L1",Parameter!$H$5,IF(CG1259="L23",Parameter!$H$6+Parameter!$H$7,Parameter!$H$5+Parameter!$H$6+Parameter!$H$7))-(BI1259-BD1259))/BD1259)))</f>
        <v>0</v>
      </c>
      <c r="BK1259" s="60" t="str">
        <f aca="false">IF(AJ1259&lt;=0,"",IF(CG1259="Aussen","Aussenlager",IF(CG1259="-","Nicht im Lift",IF(AP1259&gt;=1,"Lift",IF(AP1259&lt;=0,"Aussenlager","teilweise")))))</f>
        <v/>
      </c>
      <c r="BL1259" s="60" t="str">
        <f aca="false">IF(AT1259&lt;=0,"",IF(CG1259="Aussen","Aussenlager",IF(CG1259="-","Nicht im Lift",IF(AZ1259&gt;=1,"Lift",IF(AZ1259&lt;=0,"Aussenlager","teilweise")))))</f>
        <v/>
      </c>
      <c r="BM1259" s="60" t="str">
        <f aca="false">IF(BD1259&lt;=0,"",IF(CG1259="Aussen","Aussenlager",IF(CG1259="-","Nicht im Lift",IF(BJ1259&gt;=1,"Lift",IF(BJ1259&lt;=0,"Aussenlager","teilweise")))))</f>
        <v/>
      </c>
      <c r="BN1259" s="60" t="str">
        <f aca="false">IF(A1259="","",IF(BW1259=1,"Neu; ","")&amp;IF(AND(BW1259=0,BR1259&lt;0),"negativer Bestand (Export "&amp;BR1259&amp;"); ","")&amp;IF(J1259&lt;=0,"Kein Verbrauch; ","")&amp;IF(CR1259&gt;0,"Lift "&amp;W1259&amp;" lt. Liftbericht (Fach "&amp;X1259&amp;" Stk); ",IF(CB1259=1,"Gebinde geschätzt ("&amp;T1259&amp;"); ",IF(CA1259=1,"Lose – Tablare geschätzt; ","")))&amp;IF(H1259&gt;AW1259,"Überbestand "&amp;ROUND(H1259-AW1259,0)&amp;" Stk / CHF "&amp;ROUND((H1259-AW1259)*G1259,0)&amp;"; ","")&amp;IF(AND(CI1259=1,CJ1259&lt;CK1259),"MAX &lt; MB+LG; ","")&amp;IF(AND(CQ1259&gt;0,CP1259*10&gt;CQ1259),"zu hoch für Tablar; ","")&amp;IF(AND(BW1259=0,OR(CI1259=1,AB1259&lt;&gt;"",U1259&lt;&gt;"",V1259&lt;&gt;"",AC1259&lt;&gt;"")),"manuell übersteuert; ","")&amp;IF(AND(CA1259=0,R1259=0),"Gebinde unbekannt / Stellmass fehlt; ","")&amp;IF(AND(CA1259=0,N(V1259)&lt;=0,N(Q1259)&lt;=0),"Menge pro Gebinde fehlt (Ist = 1 Gebinde); ","")&amp;BV1259)</f>
        <v>negativer Bestand (Export -2); Kein Verbrauch; Lose – Tablare geschätzt; </v>
      </c>
      <c r="BO1259" s="60"/>
      <c r="BP1259" s="60"/>
      <c r="BQ1259" s="67"/>
      <c r="BR1259" s="62" t="n">
        <v>-2</v>
      </c>
      <c r="BS1259" s="62" t="n">
        <v>2</v>
      </c>
      <c r="BT1259" s="61" t="n">
        <v>-803.44</v>
      </c>
      <c r="BU1259" s="62" t="n">
        <v>0</v>
      </c>
      <c r="BV1259" s="60"/>
      <c r="BW1259" s="65" t="n">
        <v>0</v>
      </c>
      <c r="BX1259" s="65" t="n">
        <v>1259</v>
      </c>
      <c r="BY1259" s="60" t="str">
        <f aca="false">IF(U1259&lt;&gt;"",UPPER(TRIM(U1259)),IF(CB1259=1,UPPER(VLOOKUP(T1259,Parameter!$I$27:$K$29,2,0)),IF(P1259="","LOSE",P1259)))</f>
        <v>LOSE</v>
      </c>
      <c r="BZ1259" s="62" t="n">
        <f aca="false">IF(BY1259="LOSE",1,IF(N(V1259)&gt;0,V1259,IF(CB1259=1,MAX(1,N(VLOOKUP(T1259,Parameter!$I$27:$K$29,3,0)),H1259,N(N1259)),IF(N(Q1259)&gt;0,Q1259,MAX(1,H1259)))))</f>
        <v>1</v>
      </c>
      <c r="CA1259" s="65" t="n">
        <f aca="false">IF(BY1259="LOSE",1,0)</f>
        <v>1</v>
      </c>
      <c r="CB1259" s="65" t="n">
        <f aca="false">IF(AND(U1259="",OR(P1259="",P1259="LOSE"),T1259&lt;&gt;"",N(S1259)&lt;=0,ISNUMBER(MATCH(T1259,Parameter!$I$27:$I$29,0))),1,0)</f>
        <v>0</v>
      </c>
      <c r="CC1259" s="65" t="n">
        <f aca="false">IF(CR1259&gt;0,INDEX(Parameter!$H$5:$H$7,W1259)/INDEX(Parameter!$E$5:$E$7,W1259),IF(AND(CA1259=0,N(IFERROR(VLOOKUP(BY1259,'Gebinde-Kategorie'!$A$5:$N$45,14,0),0))&gt;0),VLOOKUP(BY1259,'Gebinde-Kategorie'!$A$5:$N$45,14,0)*10+Parameter!$M$23,Parameter!$M$24))</f>
        <v>235</v>
      </c>
      <c r="CD1259" s="60" t="str">
        <f aca="false">IF(AND(Parameter!$B$19="Ja",E1259&lt;&gt;"",ISNUMBER(MATCH(E1259,Parameter!$I$35:$I$52,0))),VLOOKUP(E1259,Parameter!$I$35:$J$52,2,0),IFERROR(VLOOKUP(D1259,Parameter!$A$35:$C$64,2,0),"Nein"))</f>
        <v>Nein</v>
      </c>
      <c r="CE1259" s="64" t="n">
        <f aca="false">IF(CA1259=0,0,IF(N(S1259)&gt;0,S1259,IFERROR(VLOOKUP(D1259,Parameter!$A$35:$C$64,3,0)+0,0)))</f>
        <v>0.15</v>
      </c>
      <c r="CF1259" s="60" t="str">
        <f aca="false">IF(AB1259&lt;&gt;"",AB1259,AA1259)</f>
        <v>-</v>
      </c>
      <c r="CG1259" s="60" t="str">
        <f aca="false">IF(OR(CF1259=1,CF1259=2,CF1259=3),IF(Parameter!$E$27="Ja","LIFT",IF(CF1259=1,"L1","L23")),IF(CF1259="Aussen","Aussen","-"))</f>
        <v>-</v>
      </c>
      <c r="CH1259" s="71" t="n">
        <f aca="false">IF(N(AC1259)&gt;0,AC1259,0)</f>
        <v>0</v>
      </c>
      <c r="CI1259" s="65" t="n">
        <f aca="false">IF(ISNUMBER(AF1259),1,0)</f>
        <v>0</v>
      </c>
      <c r="CJ1259" s="62" t="n">
        <f aca="false">N(AF1259)</f>
        <v>0</v>
      </c>
      <c r="CK1259" s="62" t="n">
        <f aca="false">N(M1259)+N(N1259)</f>
        <v>0</v>
      </c>
      <c r="CL1259" s="62" t="n">
        <f aca="false">N(M1259)</f>
        <v>0</v>
      </c>
      <c r="CM1259" s="62" t="n">
        <f aca="false">N(N1259)</f>
        <v>0</v>
      </c>
      <c r="CN1259" s="62" t="n">
        <f aca="false">ROUNDUP(H1259/BZ1259,0)</f>
        <v>0</v>
      </c>
      <c r="CO1259" s="62" t="n">
        <f aca="false">ROUNDUP(CJ1259/BZ1259,0)</f>
        <v>0</v>
      </c>
      <c r="CP1259" s="65" t="n">
        <f aca="false">IF(CA1259=1,0,IFERROR(VLOOKUP(BY1259,'Gebinde-Kategorie'!$A$5:$N$45,5,0)+0,0))</f>
        <v>0</v>
      </c>
      <c r="CQ1259" s="65" t="n">
        <f aca="false">IFERROR(IF(OR(CF1259=1,CF1259=2,CF1259=3),N(INDEX(Parameter!$I$5:$I$7,CF1259)),0),0)</f>
        <v>0</v>
      </c>
      <c r="CR1259" s="64" t="n">
        <f aca="false">IF(AND(Parameter!$B$21="Ja",ISNUMBER(W1259),N(X1259)&gt;0),IFERROR(N(INDEX(Parameter!$L$5:$L$7,W1259))*INDEX(Parameter!$E$5:$E$7,W1259)*X1259/SUMIFS($X$7:$X$1843,$W$7:$W$1843,W1259),0),0)</f>
        <v>0</v>
      </c>
      <c r="CS1259" s="62" t="str">
        <f aca="false">IF(AND(OR(CG1259="L1",CG1259="L23",CG1259="LIFT"),H1259&gt;0),CC1259*IF(CR1259&gt;0,CR1259*MAX(1,H1259/X1259),IF(CA1259=1,CE1259,IF(R1259&gt;0,CN1259/R1259,0))/MAX(0.1,N(Parameter!$M$21))),"")</f>
        <v/>
      </c>
      <c r="CT1259" s="64" t="str">
        <f aca="false">IF(CS1259="","",J1259/H1259)</f>
        <v/>
      </c>
      <c r="CU1259" s="62" t="str">
        <f aca="false">IF(CS1259="","",H1259*G1259)</f>
        <v/>
      </c>
      <c r="CV1259" s="63" t="str">
        <f aca="false">IF(CS1259="","",(CL1259+ROUNDUP(CL1259+MAX(CM1259,2*(J1259/MAX(0.1,N(Einkauf!$C$6))-CL1259)),0))/2)</f>
        <v/>
      </c>
      <c r="CW1259" s="62" t="str">
        <f aca="false">IF(CS1259="","",MAX(0,H1259-CV1259)*G1259)</f>
        <v/>
      </c>
      <c r="CX1259" s="62" t="str">
        <f aca="false">IF(CS1259="","",CS1259*MAX(0,1-CV1259/H1259))</f>
        <v/>
      </c>
      <c r="CY1259" s="64" t="str">
        <f aca="false">IF(CS1259="","",PERCENTRANK($CS$7:$CS$1843,CS1259)+PERCENTRANK($CU$7:$CU$1843,CU1259)+1-PERCENTRANK($CT$7:$CT$1843,CT1259))</f>
        <v/>
      </c>
      <c r="CZ1259" s="72" t="str">
        <f aca="false">IF(CS1259="","",CHOOSE(MATCH(Einkauf!$C$5,Parameter!$G$23:$G$27,0),CY1259,CS1259,CU1259,-CT1259,CW1259)+ROW()/1000000000)</f>
        <v/>
      </c>
    </row>
    <row r="1260" customFormat="false" ht="15" hidden="false" customHeight="false" outlineLevel="0" collapsed="false">
      <c r="A1260" s="60" t="s">
        <v>2291</v>
      </c>
      <c r="B1260" s="60" t="s">
        <v>2292</v>
      </c>
      <c r="C1260" s="60" t="s">
        <v>206</v>
      </c>
      <c r="D1260" s="60" t="s">
        <v>215</v>
      </c>
      <c r="E1260" s="60" t="s">
        <v>412</v>
      </c>
      <c r="F1260" s="60" t="s">
        <v>260</v>
      </c>
      <c r="G1260" s="61" t="n">
        <v>176.38</v>
      </c>
      <c r="H1260" s="62" t="n">
        <f aca="false">MAX(0,IF(AND(Parameter!$B$21="Ja",ISNUMBER(Y1260)),Y1260,IF(Parameter!$B$20="Jahresanfang 2025 + Export",BS1260+BR1260,BR1260)))</f>
        <v>0</v>
      </c>
      <c r="I1260" s="62" t="n">
        <f aca="false">H1260*G1260</f>
        <v>0</v>
      </c>
      <c r="J1260" s="62" t="n">
        <f aca="false">BU1260*Parameter!$B$18</f>
        <v>2</v>
      </c>
      <c r="K1260" s="63" t="n">
        <v>4</v>
      </c>
      <c r="L1260" s="64" t="n">
        <v>0.5</v>
      </c>
      <c r="M1260" s="62" t="n">
        <v>0</v>
      </c>
      <c r="N1260" s="62" t="n">
        <v>1</v>
      </c>
      <c r="O1260" s="65" t="n">
        <v>14</v>
      </c>
      <c r="P1260" s="60" t="s">
        <v>210</v>
      </c>
      <c r="Q1260" s="62"/>
      <c r="R1260" s="65" t="n">
        <f aca="false">IF(CA1260=1,0,IFERROR(VLOOKUP(BY1260,'Gebinde-Kategorie'!$A$5:$N$45,13,0)+0,0))</f>
        <v>4</v>
      </c>
      <c r="S1260" s="66"/>
      <c r="T1260" s="67" t="s">
        <v>231</v>
      </c>
      <c r="U1260" s="67"/>
      <c r="V1260" s="67"/>
      <c r="W1260" s="60"/>
      <c r="X1260" s="62"/>
      <c r="Y1260" s="62"/>
      <c r="Z1260" s="60"/>
      <c r="AA1260" s="60" t="str">
        <f aca="false">IF(A1260="","",IF(AND(Parameter!$B$21="Ja",ISNUMBER(W1260)),W1260,IF(AND(Parameter!$E$27="Ja",ISNUMBER(Z1260),CD1260&lt;&gt;"Nein"),Z1260,IF(CD1260="2+3",IF(ISNUMBER(SEARCH("grosser Artikel",BV1260)),2,IFERROR(VLOOKUP(BY1260,Parameter!$F$35:$G$64,2,0),2)),IF(OR(CD1260="Nein",CD1260=""),"-",CD1260)))))</f>
        <v>-</v>
      </c>
      <c r="AB1260" s="67"/>
      <c r="AC1260" s="68"/>
      <c r="AD1260" s="62" t="n">
        <f aca="false">AW1260</f>
        <v>2</v>
      </c>
      <c r="AE1260" s="62" t="n">
        <f aca="false">MAX(AW1260,H1260)</f>
        <v>2</v>
      </c>
      <c r="AF1260" s="69"/>
      <c r="AG1260" s="62" t="n">
        <f aca="false">IF(LEFT(Cockpit!$C$5,1)="A",H1260,IF(Parameter!$E$30="MAX-Bestand",IF(CI1260=1,CJ1260,IF(LEFT(Cockpit!$C$5,1)="B",AM1260,MAX(AM1260,H1260))),ROUNDUP(AK1260,0)))</f>
        <v>0</v>
      </c>
      <c r="AH1260" s="62" t="n">
        <f aca="false">IF(CA1260=1,0,ROUNDUP(AG1260/BZ1260,0))</f>
        <v>0</v>
      </c>
      <c r="AI1260" s="64" t="n">
        <f aca="false">IF(CR1260&gt;0,CR1260*MAX(1,AG1260/X1260),IF(CA1260=1,IF(AG1260&lt;=0,0,CE1260*MAX(1,IF(H1260&gt;0,AG1260/H1260,1))),IF(R1260&gt;0,AH1260/R1260,0))/MAX(0.1,N(Parameter!$M$21)))</f>
        <v>0</v>
      </c>
      <c r="AJ1260" s="62" t="n">
        <f aca="false">AI1260*CC1260</f>
        <v>0</v>
      </c>
      <c r="AK1260" s="63" t="n">
        <f aca="false">IF(LEFT(Cockpit!$C$5,1)="A",H1260,IF(CI1260=1,(CL1260+CJ1260)/2,IF(LEFT(Cockpit!$C$5,1)="B",(CL1260+AM1260)/2,MAX((CL1260+AM1260)/2,H1260))))</f>
        <v>0</v>
      </c>
      <c r="AL1260" s="62" t="n">
        <f aca="false">AK1260*G1260</f>
        <v>0</v>
      </c>
      <c r="AM1260" s="62" t="n">
        <f aca="false">ROUNDUP(CL1260+MAX(CM1260,2*(J1260/IF(CH1260&gt;0,CH1260,MAX(0.1,N(Cockpit!$C$6)))-CL1260)),0)</f>
        <v>2</v>
      </c>
      <c r="AN1260" s="63" t="n">
        <f aca="false">IF(AJ1260&gt;0,J1260/AJ1260,-1)</f>
        <v>-1</v>
      </c>
      <c r="AO1260" s="63" t="str">
        <f aca="false">IF(AND(OR(CG1260="L1",CG1260="L23",CG1260="LIFT"),AJ1260&gt;0),SUMIFS($AJ$7:$AJ$1843,$CG$7:$CG$1843,CG1260,$AN$7:$AN$1843,"&gt;"&amp;AN1260)+SUMIFS($AJ$7:$AJ$1843,$CG$7:$CG$1843,CG1260,$AN$7:$AN$1843,AN1260,$BX$7:$BX$1843,"&lt;="&amp;BX1260),"")</f>
        <v/>
      </c>
      <c r="AP1260" s="70" t="n">
        <f aca="false">IF(AO1260="",0,MAX(0,MIN(1,(IF(CG1260="L1",Parameter!$H$5,IF(CG1260="L23",Parameter!$H$6+Parameter!$H$7,Parameter!$H$5+Parameter!$H$6+Parameter!$H$7))-(AO1260-AJ1260))/AJ1260)))</f>
        <v>0</v>
      </c>
      <c r="AQ1260" s="62" t="n">
        <f aca="false">IF(LEFT(Cockpit!$I$5,1)="A",H1260,IF(Parameter!$E$30="MAX-Bestand",IF(CI1260=1,CJ1260,IF(LEFT(Cockpit!$I$5,1)="B",AW1260,MAX(AW1260,H1260))),ROUNDUP(AU1260,0)))</f>
        <v>1</v>
      </c>
      <c r="AR1260" s="62" t="n">
        <f aca="false">IF(CA1260=1,0,ROUNDUP(AQ1260/BZ1260,0))</f>
        <v>1</v>
      </c>
      <c r="AS1260" s="64" t="n">
        <f aca="false">IF(CR1260&gt;0,CR1260*MAX(1,AQ1260/X1260),IF(CA1260=1,IF(AQ1260&lt;=0,0,CE1260*MAX(1,IF(H1260&gt;0,AQ1260/H1260,1))),IF(R1260&gt;0,AR1260/R1260,0))/MAX(0.1,N(Parameter!$M$21)))</f>
        <v>0.25</v>
      </c>
      <c r="AT1260" s="62" t="n">
        <f aca="false">AS1260*CC1260</f>
        <v>58.75</v>
      </c>
      <c r="AU1260" s="63" t="n">
        <f aca="false">IF(LEFT(Cockpit!$I$5,1)="A",H1260,IF(CI1260=1,(CL1260+CJ1260)/2,IF(LEFT(Cockpit!$I$5,1)="B",(CL1260+AW1260)/2,MAX((CL1260+AW1260)/2,H1260))))</f>
        <v>1</v>
      </c>
      <c r="AV1260" s="62" t="n">
        <f aca="false">AU1260*G1260</f>
        <v>176.38</v>
      </c>
      <c r="AW1260" s="62" t="n">
        <f aca="false">ROUNDUP(CL1260+MAX(CM1260,2*(J1260/IF(CH1260&gt;0,CH1260,MAX(0.1,N(Cockpit!$I$6)))-CL1260)),0)</f>
        <v>2</v>
      </c>
      <c r="AX1260" s="63" t="n">
        <f aca="false">IF(AT1260&gt;0,J1260/AT1260,-1)</f>
        <v>0.0340425531914894</v>
      </c>
      <c r="AY1260" s="63" t="str">
        <f aca="false">IF(AND(OR(CG1260="L1",CG1260="L23",CG1260="LIFT"),AT1260&gt;0),SUMIFS($AT$7:$AT$1843,$CG$7:$CG$1843,CG1260,$AX$7:$AX$1843,"&gt;"&amp;AX1260)+SUMIFS($AT$7:$AT$1843,$CG$7:$CG$1843,CG1260,$AX$7:$AX$1843,AX1260,$BX$7:$BX$1843,"&lt;="&amp;BX1260),"")</f>
        <v/>
      </c>
      <c r="AZ1260" s="70" t="n">
        <f aca="false">IF(AY1260="",0,MAX(0,MIN(1,(IF(CG1260="L1",Parameter!$H$5,IF(CG1260="L23",Parameter!$H$6+Parameter!$H$7,Parameter!$H$5+Parameter!$H$6+Parameter!$H$7))-(AY1260-AT1260))/AT1260)))</f>
        <v>0</v>
      </c>
      <c r="BA1260" s="62" t="n">
        <f aca="false">IF(LEFT(Cockpit!$O$5,1)="A",H1260,IF(Parameter!$E$30="MAX-Bestand",IF(CI1260=1,CJ1260,IF(LEFT(Cockpit!$O$5,1)="B",BG1260,MAX(BG1260,H1260))),ROUNDUP(BE1260,0)))</f>
        <v>1</v>
      </c>
      <c r="BB1260" s="62" t="n">
        <f aca="false">IF(CA1260=1,0,ROUNDUP(BA1260/BZ1260,0))</f>
        <v>1</v>
      </c>
      <c r="BC1260" s="64" t="n">
        <f aca="false">IF(CR1260&gt;0,CR1260*MAX(1,BA1260/X1260),IF(CA1260=1,IF(BA1260&lt;=0,0,CE1260*MAX(1,IF(H1260&gt;0,BA1260/H1260,1))),IF(R1260&gt;0,BB1260/R1260,0))/MAX(0.1,N(Parameter!$M$21)))</f>
        <v>0.25</v>
      </c>
      <c r="BD1260" s="62" t="n">
        <f aca="false">BC1260*CC1260</f>
        <v>58.75</v>
      </c>
      <c r="BE1260" s="63" t="n">
        <f aca="false">IF(LEFT(Cockpit!$O$5,1)="A",H1260,IF(CI1260=1,(CL1260+CJ1260)/2,IF(LEFT(Cockpit!$O$5,1)="B",(CL1260+BG1260)/2,MAX((CL1260+BG1260)/2,H1260))))</f>
        <v>0.5</v>
      </c>
      <c r="BF1260" s="62" t="n">
        <f aca="false">BE1260*G1260</f>
        <v>88.19</v>
      </c>
      <c r="BG1260" s="62" t="n">
        <f aca="false">ROUNDUP(CL1260+MAX(CM1260,2*(J1260/IF(CH1260&gt;0,CH1260,MAX(0.1,N(Cockpit!$O$6)))-CL1260)),0)</f>
        <v>1</v>
      </c>
      <c r="BH1260" s="63" t="n">
        <f aca="false">IF(BD1260&gt;0,J1260/BD1260,-1)</f>
        <v>0.0340425531914894</v>
      </c>
      <c r="BI1260" s="63" t="str">
        <f aca="false">IF(AND(OR(CG1260="L1",CG1260="L23",CG1260="LIFT"),BD1260&gt;0),SUMIFS($BD$7:$BD$1843,$CG$7:$CG$1843,CG1260,$BH$7:$BH$1843,"&gt;"&amp;BH1260)+SUMIFS($BD$7:$BD$1843,$CG$7:$CG$1843,CG1260,$BH$7:$BH$1843,BH1260,$BX$7:$BX$1843,"&lt;="&amp;BX1260),"")</f>
        <v/>
      </c>
      <c r="BJ1260" s="70" t="n">
        <f aca="false">IF(BI1260="",0,MAX(0,MIN(1,(IF(CG1260="L1",Parameter!$H$5,IF(CG1260="L23",Parameter!$H$6+Parameter!$H$7,Parameter!$H$5+Parameter!$H$6+Parameter!$H$7))-(BI1260-BD1260))/BD1260)))</f>
        <v>0</v>
      </c>
      <c r="BK1260" s="60" t="str">
        <f aca="false">IF(AJ1260&lt;=0,"",IF(CG1260="Aussen","Aussenlager",IF(CG1260="-","Nicht im Lift",IF(AP1260&gt;=1,"Lift",IF(AP1260&lt;=0,"Aussenlager","teilweise")))))</f>
        <v/>
      </c>
      <c r="BL1260" s="60" t="str">
        <f aca="false">IF(AT1260&lt;=0,"",IF(CG1260="Aussen","Aussenlager",IF(CG1260="-","Nicht im Lift",IF(AZ1260&gt;=1,"Lift",IF(AZ1260&lt;=0,"Aussenlager","teilweise")))))</f>
        <v>Nicht im Lift</v>
      </c>
      <c r="BM1260" s="60" t="str">
        <f aca="false">IF(BD1260&lt;=0,"",IF(CG1260="Aussen","Aussenlager",IF(CG1260="-","Nicht im Lift",IF(BJ1260&gt;=1,"Lift",IF(BJ1260&lt;=0,"Aussenlager","teilweise")))))</f>
        <v>Nicht im Lift</v>
      </c>
      <c r="BN1260" s="60" t="str">
        <f aca="false">IF(A1260="","",IF(BW1260=1,"Neu; ","")&amp;IF(AND(BW1260=0,BR1260&lt;0),"negativer Bestand (Export "&amp;BR1260&amp;"); ","")&amp;IF(J1260&lt;=0,"Kein Verbrauch; ","")&amp;IF(CR1260&gt;0,"Lift "&amp;W1260&amp;" lt. Liftbericht (Fach "&amp;X1260&amp;" Stk); ",IF(CB1260=1,"Gebinde geschätzt ("&amp;T1260&amp;"); ",IF(CA1260=1,"Lose – Tablare geschätzt; ","")))&amp;IF(H1260&gt;AW1260,"Überbestand "&amp;ROUND(H1260-AW1260,0)&amp;" Stk / CHF "&amp;ROUND((H1260-AW1260)*G1260,0)&amp;"; ","")&amp;IF(AND(CI1260=1,CJ1260&lt;CK1260),"MAX &lt; MB+LG; ","")&amp;IF(AND(CQ1260&gt;0,CP1260*10&gt;CQ1260),"zu hoch für Tablar; ","")&amp;IF(AND(BW1260=0,OR(CI1260=1,AB1260&lt;&gt;"",U1260&lt;&gt;"",V1260&lt;&gt;"",AC1260&lt;&gt;"")),"manuell übersteuert; ","")&amp;IF(AND(CA1260=0,R1260=0),"Gebinde unbekannt / Stellmass fehlt; ","")&amp;IF(AND(CA1260=0,N(V1260)&lt;=0,N(Q1260)&lt;=0),"Menge pro Gebinde fehlt (Ist = 1 Gebinde); ","")&amp;BV1260)</f>
        <v>negativer Bestand (Export -8); Gebinde geschätzt (Gross); Menge pro Gebinde fehlt (Ist = 1 Gebinde); </v>
      </c>
      <c r="BO1260" s="60"/>
      <c r="BP1260" s="60"/>
      <c r="BQ1260" s="67"/>
      <c r="BR1260" s="62" t="n">
        <v>-8</v>
      </c>
      <c r="BS1260" s="62" t="n">
        <v>8</v>
      </c>
      <c r="BT1260" s="61" t="n">
        <v>-824.48</v>
      </c>
      <c r="BU1260" s="62" t="n">
        <v>2</v>
      </c>
      <c r="BV1260" s="60"/>
      <c r="BW1260" s="65" t="n">
        <v>0</v>
      </c>
      <c r="BX1260" s="65" t="n">
        <v>1260</v>
      </c>
      <c r="BY1260" s="60" t="str">
        <f aca="false">IF(U1260&lt;&gt;"",UPPER(TRIM(U1260)),IF(CB1260=1,UPPER(VLOOKUP(T1260,Parameter!$I$27:$K$29,2,0)),IF(P1260="","LOSE",P1260)))</f>
        <v>S81</v>
      </c>
      <c r="BZ1260" s="62" t="n">
        <f aca="false">IF(BY1260="LOSE",1,IF(N(V1260)&gt;0,V1260,IF(CB1260=1,MAX(1,N(VLOOKUP(T1260,Parameter!$I$27:$K$29,3,0)),H1260,N(N1260)),IF(N(Q1260)&gt;0,Q1260,MAX(1,H1260)))))</f>
        <v>2</v>
      </c>
      <c r="CA1260" s="65" t="n">
        <f aca="false">IF(BY1260="LOSE",1,0)</f>
        <v>0</v>
      </c>
      <c r="CB1260" s="65" t="n">
        <f aca="false">IF(AND(U1260="",OR(P1260="",P1260="LOSE"),T1260&lt;&gt;"",N(S1260)&lt;=0,ISNUMBER(MATCH(T1260,Parameter!$I$27:$I$29,0))),1,0)</f>
        <v>1</v>
      </c>
      <c r="CC1260" s="65" t="n">
        <f aca="false">IF(CR1260&gt;0,INDEX(Parameter!$H$5:$H$7,W1260)/INDEX(Parameter!$E$5:$E$7,W1260),IF(AND(CA1260=0,N(IFERROR(VLOOKUP(BY1260,'Gebinde-Kategorie'!$A$5:$N$45,14,0),0))&gt;0),VLOOKUP(BY1260,'Gebinde-Kategorie'!$A$5:$N$45,14,0)*10+Parameter!$M$23,Parameter!$M$24))</f>
        <v>235</v>
      </c>
      <c r="CD1260" s="60" t="str">
        <f aca="false">IF(AND(Parameter!$B$19="Ja",E1260&lt;&gt;"",ISNUMBER(MATCH(E1260,Parameter!$I$35:$I$52,0))),VLOOKUP(E1260,Parameter!$I$35:$J$52,2,0),IFERROR(VLOOKUP(D1260,Parameter!$A$35:$C$64,2,0),"Nein"))</f>
        <v>Nein</v>
      </c>
      <c r="CE1260" s="64" t="n">
        <f aca="false">IF(CA1260=0,0,IF(N(S1260)&gt;0,S1260,IFERROR(VLOOKUP(D1260,Parameter!$A$35:$C$64,3,0)+0,0)))</f>
        <v>0</v>
      </c>
      <c r="CF1260" s="60" t="str">
        <f aca="false">IF(AB1260&lt;&gt;"",AB1260,AA1260)</f>
        <v>-</v>
      </c>
      <c r="CG1260" s="60" t="str">
        <f aca="false">IF(OR(CF1260=1,CF1260=2,CF1260=3),IF(Parameter!$E$27="Ja","LIFT",IF(CF1260=1,"L1","L23")),IF(CF1260="Aussen","Aussen","-"))</f>
        <v>-</v>
      </c>
      <c r="CH1260" s="71" t="n">
        <f aca="false">IF(N(AC1260)&gt;0,AC1260,0)</f>
        <v>0</v>
      </c>
      <c r="CI1260" s="65" t="n">
        <f aca="false">IF(ISNUMBER(AF1260),1,0)</f>
        <v>0</v>
      </c>
      <c r="CJ1260" s="62" t="n">
        <f aca="false">N(AF1260)</f>
        <v>0</v>
      </c>
      <c r="CK1260" s="62" t="n">
        <f aca="false">N(M1260)+N(N1260)</f>
        <v>1</v>
      </c>
      <c r="CL1260" s="62" t="n">
        <f aca="false">N(M1260)</f>
        <v>0</v>
      </c>
      <c r="CM1260" s="62" t="n">
        <f aca="false">N(N1260)</f>
        <v>1</v>
      </c>
      <c r="CN1260" s="62" t="n">
        <f aca="false">ROUNDUP(H1260/BZ1260,0)</f>
        <v>0</v>
      </c>
      <c r="CO1260" s="62" t="n">
        <f aca="false">ROUNDUP(CJ1260/BZ1260,0)</f>
        <v>0</v>
      </c>
      <c r="CP1260" s="65" t="n">
        <f aca="false">IF(CA1260=1,0,IFERROR(VLOOKUP(BY1260,'Gebinde-Kategorie'!$A$5:$N$45,5,0)+0,0))</f>
        <v>20</v>
      </c>
      <c r="CQ1260" s="65" t="n">
        <f aca="false">IFERROR(IF(OR(CF1260=1,CF1260=2,CF1260=3),N(INDEX(Parameter!$I$5:$I$7,CF1260)),0),0)</f>
        <v>0</v>
      </c>
      <c r="CR1260" s="64" t="n">
        <f aca="false">IF(AND(Parameter!$B$21="Ja",ISNUMBER(W1260),N(X1260)&gt;0),IFERROR(N(INDEX(Parameter!$L$5:$L$7,W1260))*INDEX(Parameter!$E$5:$E$7,W1260)*X1260/SUMIFS($X$7:$X$1843,$W$7:$W$1843,W1260),0),0)</f>
        <v>0</v>
      </c>
      <c r="CS1260" s="62" t="str">
        <f aca="false">IF(AND(OR(CG1260="L1",CG1260="L23",CG1260="LIFT"),H1260&gt;0),CC1260*IF(CR1260&gt;0,CR1260*MAX(1,H1260/X1260),IF(CA1260=1,CE1260,IF(R1260&gt;0,CN1260/R1260,0))/MAX(0.1,N(Parameter!$M$21))),"")</f>
        <v/>
      </c>
      <c r="CT1260" s="64" t="str">
        <f aca="false">IF(CS1260="","",J1260/H1260)</f>
        <v/>
      </c>
      <c r="CU1260" s="62" t="str">
        <f aca="false">IF(CS1260="","",H1260*G1260)</f>
        <v/>
      </c>
      <c r="CV1260" s="63" t="str">
        <f aca="false">IF(CS1260="","",(CL1260+ROUNDUP(CL1260+MAX(CM1260,2*(J1260/MAX(0.1,N(Einkauf!$C$6))-CL1260)),0))/2)</f>
        <v/>
      </c>
      <c r="CW1260" s="62" t="str">
        <f aca="false">IF(CS1260="","",MAX(0,H1260-CV1260)*G1260)</f>
        <v/>
      </c>
      <c r="CX1260" s="62" t="str">
        <f aca="false">IF(CS1260="","",CS1260*MAX(0,1-CV1260/H1260))</f>
        <v/>
      </c>
      <c r="CY1260" s="64" t="str">
        <f aca="false">IF(CS1260="","",PERCENTRANK($CS$7:$CS$1843,CS1260)+PERCENTRANK($CU$7:$CU$1843,CU1260)+1-PERCENTRANK($CT$7:$CT$1843,CT1260))</f>
        <v/>
      </c>
      <c r="CZ1260" s="72" t="str">
        <f aca="false">IF(CS1260="","",CHOOSE(MATCH(Einkauf!$C$5,Parameter!$G$23:$G$27,0),CY1260,CS1260,CU1260,-CT1260,CW1260)+ROW()/1000000000)</f>
        <v/>
      </c>
    </row>
    <row r="1261" customFormat="false" ht="15" hidden="false" customHeight="false" outlineLevel="0" collapsed="false">
      <c r="A1261" s="60" t="s">
        <v>2293</v>
      </c>
      <c r="B1261" s="60" t="s">
        <v>2294</v>
      </c>
      <c r="C1261" s="60" t="s">
        <v>206</v>
      </c>
      <c r="D1261" s="60" t="s">
        <v>226</v>
      </c>
      <c r="E1261" s="60" t="s">
        <v>227</v>
      </c>
      <c r="F1261" s="60" t="s">
        <v>260</v>
      </c>
      <c r="G1261" s="61" t="n">
        <v>55.37</v>
      </c>
      <c r="H1261" s="62" t="n">
        <f aca="false">MAX(0,IF(AND(Parameter!$B$21="Ja",ISNUMBER(Y1261)),Y1261,IF(Parameter!$B$20="Jahresanfang 2025 + Export",BS1261+BR1261,BR1261)))</f>
        <v>21</v>
      </c>
      <c r="I1261" s="62" t="n">
        <f aca="false">H1261*G1261</f>
        <v>1162.77</v>
      </c>
      <c r="J1261" s="62" t="n">
        <f aca="false">BU1261*Parameter!$B$18</f>
        <v>12</v>
      </c>
      <c r="K1261" s="63" t="n">
        <v>29.5</v>
      </c>
      <c r="L1261" s="64" t="n">
        <v>0.406779661016949</v>
      </c>
      <c r="M1261" s="62" t="n">
        <v>5</v>
      </c>
      <c r="N1261" s="62" t="n">
        <v>5</v>
      </c>
      <c r="O1261" s="65" t="n">
        <v>14</v>
      </c>
      <c r="P1261" s="60" t="s">
        <v>463</v>
      </c>
      <c r="Q1261" s="62" t="n">
        <v>38</v>
      </c>
      <c r="R1261" s="65" t="n">
        <f aca="false">IF(CA1261=1,0,IFERROR(VLOOKUP(BY1261,'Gebinde-Kategorie'!$A$5:$N$45,13,0)+0,0))</f>
        <v>104</v>
      </c>
      <c r="S1261" s="66"/>
      <c r="T1261" s="67"/>
      <c r="U1261" s="67"/>
      <c r="V1261" s="67"/>
      <c r="W1261" s="60"/>
      <c r="X1261" s="62"/>
      <c r="Y1261" s="62"/>
      <c r="Z1261" s="60" t="n">
        <v>2</v>
      </c>
      <c r="AA1261" s="60" t="n">
        <f aca="false">IF(A1261="","",IF(AND(Parameter!$B$21="Ja",ISNUMBER(W1261)),W1261,IF(AND(Parameter!$E$27="Ja",ISNUMBER(Z1261),CD1261&lt;&gt;"Nein"),Z1261,IF(CD1261="2+3",IF(ISNUMBER(SEARCH("grosser Artikel",BV1261)),2,IFERROR(VLOOKUP(BY1261,Parameter!$F$35:$G$64,2,0),2)),IF(OR(CD1261="Nein",CD1261=""),"-",CD1261)))))</f>
        <v>2</v>
      </c>
      <c r="AB1261" s="67"/>
      <c r="AC1261" s="68"/>
      <c r="AD1261" s="62" t="n">
        <f aca="false">AW1261</f>
        <v>10</v>
      </c>
      <c r="AE1261" s="62" t="n">
        <f aca="false">MAX(AW1261,H1261)</f>
        <v>21</v>
      </c>
      <c r="AF1261" s="69"/>
      <c r="AG1261" s="62" t="n">
        <f aca="false">IF(LEFT(Cockpit!$C$5,1)="A",H1261,IF(Parameter!$E$30="MAX-Bestand",IF(CI1261=1,CJ1261,IF(LEFT(Cockpit!$C$5,1)="B",AM1261,MAX(AM1261,H1261))),ROUNDUP(AK1261,0)))</f>
        <v>21</v>
      </c>
      <c r="AH1261" s="62" t="n">
        <f aca="false">IF(CA1261=1,0,ROUNDUP(AG1261/BZ1261,0))</f>
        <v>1</v>
      </c>
      <c r="AI1261" s="64" t="n">
        <f aca="false">IF(CR1261&gt;0,CR1261*MAX(1,AG1261/X1261),IF(CA1261=1,IF(AG1261&lt;=0,0,CE1261*MAX(1,IF(H1261&gt;0,AG1261/H1261,1))),IF(R1261&gt;0,AH1261/R1261,0))/MAX(0.1,N(Parameter!$M$21)))</f>
        <v>0.00961538461538462</v>
      </c>
      <c r="AJ1261" s="62" t="n">
        <f aca="false">AI1261*CC1261</f>
        <v>1.49038461538462</v>
      </c>
      <c r="AK1261" s="63" t="n">
        <f aca="false">IF(LEFT(Cockpit!$C$5,1)="A",H1261,IF(CI1261=1,(CL1261+CJ1261)/2,IF(LEFT(Cockpit!$C$5,1)="B",(CL1261+AM1261)/2,MAX((CL1261+AM1261)/2,H1261))))</f>
        <v>21</v>
      </c>
      <c r="AL1261" s="62" t="n">
        <f aca="false">AK1261*G1261</f>
        <v>1162.77</v>
      </c>
      <c r="AM1261" s="62" t="n">
        <f aca="false">ROUNDUP(CL1261+MAX(CM1261,2*(J1261/IF(CH1261&gt;0,CH1261,MAX(0.1,N(Cockpit!$C$6)))-CL1261)),0)</f>
        <v>10</v>
      </c>
      <c r="AN1261" s="63" t="n">
        <f aca="false">IF(AJ1261&gt;0,J1261/AJ1261,-1)</f>
        <v>8.05161290322581</v>
      </c>
      <c r="AO1261" s="63" t="n">
        <f aca="false">IF(AND(OR(CG1261="L1",CG1261="L23",CG1261="LIFT"),AJ1261&gt;0),SUMIFS($AJ$7:$AJ$1843,$CG$7:$CG$1843,CG1261,$AN$7:$AN$1843,"&gt;"&amp;AN1261)+SUMIFS($AJ$7:$AJ$1843,$CG$7:$CG$1843,CG1261,$AN$7:$AN$1843,AN1261,$BX$7:$BX$1843,"&lt;="&amp;BX1261),"")</f>
        <v>3049.60256410256</v>
      </c>
      <c r="AP1261" s="70" t="n">
        <f aca="false">IF(AO1261="",0,MAX(0,MIN(1,(IF(CG1261="L1",Parameter!$H$5,IF(CG1261="L23",Parameter!$H$6+Parameter!$H$7,Parameter!$H$5+Parameter!$H$6+Parameter!$H$7))-(AO1261-AJ1261))/AJ1261)))</f>
        <v>1</v>
      </c>
      <c r="AQ1261" s="62" t="n">
        <f aca="false">IF(LEFT(Cockpit!$I$5,1)="A",H1261,IF(Parameter!$E$30="MAX-Bestand",IF(CI1261=1,CJ1261,IF(LEFT(Cockpit!$I$5,1)="B",AW1261,MAX(AW1261,H1261))),ROUNDUP(AU1261,0)))</f>
        <v>21</v>
      </c>
      <c r="AR1261" s="62" t="n">
        <f aca="false">IF(CA1261=1,0,ROUNDUP(AQ1261/BZ1261,0))</f>
        <v>1</v>
      </c>
      <c r="AS1261" s="64" t="n">
        <f aca="false">IF(CR1261&gt;0,CR1261*MAX(1,AQ1261/X1261),IF(CA1261=1,IF(AQ1261&lt;=0,0,CE1261*MAX(1,IF(H1261&gt;0,AQ1261/H1261,1))),IF(R1261&gt;0,AR1261/R1261,0))/MAX(0.1,N(Parameter!$M$21)))</f>
        <v>0.00961538461538462</v>
      </c>
      <c r="AT1261" s="62" t="n">
        <f aca="false">AS1261*CC1261</f>
        <v>1.49038461538462</v>
      </c>
      <c r="AU1261" s="63" t="n">
        <f aca="false">IF(LEFT(Cockpit!$I$5,1)="A",H1261,IF(CI1261=1,(CL1261+CJ1261)/2,IF(LEFT(Cockpit!$I$5,1)="B",(CL1261+AW1261)/2,MAX((CL1261+AW1261)/2,H1261))))</f>
        <v>21</v>
      </c>
      <c r="AV1261" s="62" t="n">
        <f aca="false">AU1261*G1261</f>
        <v>1162.77</v>
      </c>
      <c r="AW1261" s="62" t="n">
        <f aca="false">ROUNDUP(CL1261+MAX(CM1261,2*(J1261/IF(CH1261&gt;0,CH1261,MAX(0.1,N(Cockpit!$I$6)))-CL1261)),0)</f>
        <v>10</v>
      </c>
      <c r="AX1261" s="63" t="n">
        <f aca="false">IF(AT1261&gt;0,J1261/AT1261,-1)</f>
        <v>8.05161290322581</v>
      </c>
      <c r="AY1261" s="63" t="n">
        <f aca="false">IF(AND(OR(CG1261="L1",CG1261="L23",CG1261="LIFT"),AT1261&gt;0),SUMIFS($AT$7:$AT$1843,$CG$7:$CG$1843,CG1261,$AX$7:$AX$1843,"&gt;"&amp;AX1261)+SUMIFS($AT$7:$AT$1843,$CG$7:$CG$1843,CG1261,$AX$7:$AX$1843,AX1261,$BX$7:$BX$1843,"&lt;="&amp;BX1261),"")</f>
        <v>3673.66391941392</v>
      </c>
      <c r="AZ1261" s="70" t="n">
        <f aca="false">IF(AY1261="",0,MAX(0,MIN(1,(IF(CG1261="L1",Parameter!$H$5,IF(CG1261="L23",Parameter!$H$6+Parameter!$H$7,Parameter!$H$5+Parameter!$H$6+Parameter!$H$7))-(AY1261-AT1261))/AT1261)))</f>
        <v>1</v>
      </c>
      <c r="BA1261" s="62" t="n">
        <f aca="false">IF(LEFT(Cockpit!$O$5,1)="A",H1261,IF(Parameter!$E$30="MAX-Bestand",IF(CI1261=1,CJ1261,IF(LEFT(Cockpit!$O$5,1)="B",BG1261,MAX(BG1261,H1261))),ROUNDUP(BE1261,0)))</f>
        <v>8</v>
      </c>
      <c r="BB1261" s="62" t="n">
        <f aca="false">IF(CA1261=1,0,ROUNDUP(BA1261/BZ1261,0))</f>
        <v>1</v>
      </c>
      <c r="BC1261" s="64" t="n">
        <f aca="false">IF(CR1261&gt;0,CR1261*MAX(1,BA1261/X1261),IF(CA1261=1,IF(BA1261&lt;=0,0,CE1261*MAX(1,IF(H1261&gt;0,BA1261/H1261,1))),IF(R1261&gt;0,BB1261/R1261,0))/MAX(0.1,N(Parameter!$M$21)))</f>
        <v>0.00961538461538462</v>
      </c>
      <c r="BD1261" s="62" t="n">
        <f aca="false">BC1261*CC1261</f>
        <v>1.49038461538462</v>
      </c>
      <c r="BE1261" s="63" t="n">
        <f aca="false">IF(LEFT(Cockpit!$O$5,1)="A",H1261,IF(CI1261=1,(CL1261+CJ1261)/2,IF(LEFT(Cockpit!$O$5,1)="B",(CL1261+BG1261)/2,MAX((CL1261+BG1261)/2,H1261))))</f>
        <v>7.5</v>
      </c>
      <c r="BF1261" s="62" t="n">
        <f aca="false">BE1261*G1261</f>
        <v>415.275</v>
      </c>
      <c r="BG1261" s="62" t="n">
        <f aca="false">ROUNDUP(CL1261+MAX(CM1261,2*(J1261/IF(CH1261&gt;0,CH1261,MAX(0.1,N(Cockpit!$O$6)))-CL1261)),0)</f>
        <v>10</v>
      </c>
      <c r="BH1261" s="63" t="n">
        <f aca="false">IF(BD1261&gt;0,J1261/BD1261,-1)</f>
        <v>8.05161290322581</v>
      </c>
      <c r="BI1261" s="63" t="n">
        <f aca="false">IF(AND(OR(CG1261="L1",CG1261="L23",CG1261="LIFT"),BD1261&gt;0),SUMIFS($BD$7:$BD$1843,$CG$7:$CG$1843,CG1261,$BH$7:$BH$1843,"&gt;"&amp;BH1261)+SUMIFS($BD$7:$BD$1843,$CG$7:$CG$1843,CG1261,$BH$7:$BH$1843,BH1261,$BX$7:$BX$1843,"&lt;="&amp;BX1261),"")</f>
        <v>3035.03342490843</v>
      </c>
      <c r="BJ1261" s="70" t="n">
        <f aca="false">IF(BI1261="",0,MAX(0,MIN(1,(IF(CG1261="L1",Parameter!$H$5,IF(CG1261="L23",Parameter!$H$6+Parameter!$H$7,Parameter!$H$5+Parameter!$H$6+Parameter!$H$7))-(BI1261-BD1261))/BD1261)))</f>
        <v>1</v>
      </c>
      <c r="BK1261" s="60" t="str">
        <f aca="false">IF(AJ1261&lt;=0,"",IF(CG1261="Aussen","Aussenlager",IF(CG1261="-","Nicht im Lift",IF(AP1261&gt;=1,"Lift",IF(AP1261&lt;=0,"Aussenlager","teilweise")))))</f>
        <v>Lift</v>
      </c>
      <c r="BL1261" s="60" t="str">
        <f aca="false">IF(AT1261&lt;=0,"",IF(CG1261="Aussen","Aussenlager",IF(CG1261="-","Nicht im Lift",IF(AZ1261&gt;=1,"Lift",IF(AZ1261&lt;=0,"Aussenlager","teilweise")))))</f>
        <v>Lift</v>
      </c>
      <c r="BM1261" s="60" t="str">
        <f aca="false">IF(BD1261&lt;=0,"",IF(CG1261="Aussen","Aussenlager",IF(CG1261="-","Nicht im Lift",IF(BJ1261&gt;=1,"Lift",IF(BJ1261&lt;=0,"Aussenlager","teilweise")))))</f>
        <v>Lift</v>
      </c>
      <c r="BN1261" s="60" t="str">
        <f aca="false">IF(A1261="","",IF(BW1261=1,"Neu; ","")&amp;IF(AND(BW1261=0,BR1261&lt;0),"negativer Bestand (Export "&amp;BR1261&amp;"); ","")&amp;IF(J1261&lt;=0,"Kein Verbrauch; ","")&amp;IF(CR1261&gt;0,"Lift "&amp;W1261&amp;" lt. Liftbericht (Fach "&amp;X1261&amp;" Stk); ",IF(CB1261=1,"Gebinde geschätzt ("&amp;T1261&amp;"); ",IF(CA1261=1,"Lose – Tablare geschätzt; ","")))&amp;IF(H1261&gt;AW1261,"Überbestand "&amp;ROUND(H1261-AW1261,0)&amp;" Stk / CHF "&amp;ROUND((H1261-AW1261)*G1261,0)&amp;"; ","")&amp;IF(AND(CI1261=1,CJ1261&lt;CK1261),"MAX &lt; MB+LG; ","")&amp;IF(AND(CQ1261&gt;0,CP1261*10&gt;CQ1261),"zu hoch für Tablar; ","")&amp;IF(AND(BW1261=0,OR(CI1261=1,AB1261&lt;&gt;"",U1261&lt;&gt;"",V1261&lt;&gt;"",AC1261&lt;&gt;"")),"manuell übersteuert; ","")&amp;IF(AND(CA1261=0,R1261=0),"Gebinde unbekannt / Stellmass fehlt; ","")&amp;IF(AND(CA1261=0,N(V1261)&lt;=0,N(Q1261)&lt;=0),"Menge pro Gebinde fehlt (Ist = 1 Gebinde); ","")&amp;BV1261)</f>
        <v>negativer Bestand (Export -15); Überbestand 11 Stk / CHF 609; </v>
      </c>
      <c r="BO1261" s="60"/>
      <c r="BP1261" s="60"/>
      <c r="BQ1261" s="67"/>
      <c r="BR1261" s="62" t="n">
        <v>-15</v>
      </c>
      <c r="BS1261" s="62" t="n">
        <v>36</v>
      </c>
      <c r="BT1261" s="61" t="n">
        <v>-830.55</v>
      </c>
      <c r="BU1261" s="62" t="n">
        <v>12</v>
      </c>
      <c r="BV1261" s="60"/>
      <c r="BW1261" s="65" t="n">
        <v>0</v>
      </c>
      <c r="BX1261" s="65" t="n">
        <v>1261</v>
      </c>
      <c r="BY1261" s="60" t="str">
        <f aca="false">IF(U1261&lt;&gt;"",UPPER(TRIM(U1261)),IF(CB1261=1,UPPER(VLOOKUP(T1261,Parameter!$I$27:$K$29,2,0)),IF(P1261="","LOSE",P1261)))</f>
        <v>S32</v>
      </c>
      <c r="BZ1261" s="62" t="n">
        <f aca="false">IF(BY1261="LOSE",1,IF(N(V1261)&gt;0,V1261,IF(CB1261=1,MAX(1,N(VLOOKUP(T1261,Parameter!$I$27:$K$29,3,0)),H1261,N(N1261)),IF(N(Q1261)&gt;0,Q1261,MAX(1,H1261)))))</f>
        <v>38</v>
      </c>
      <c r="CA1261" s="65" t="n">
        <f aca="false">IF(BY1261="LOSE",1,0)</f>
        <v>0</v>
      </c>
      <c r="CB1261" s="65" t="n">
        <f aca="false">IF(AND(U1261="",OR(P1261="",P1261="LOSE"),T1261&lt;&gt;"",N(S1261)&lt;=0,ISNUMBER(MATCH(T1261,Parameter!$I$27:$I$29,0))),1,0)</f>
        <v>0</v>
      </c>
      <c r="CC1261" s="65" t="n">
        <f aca="false">IF(CR1261&gt;0,INDEX(Parameter!$H$5:$H$7,W1261)/INDEX(Parameter!$E$5:$E$7,W1261),IF(AND(CA1261=0,N(IFERROR(VLOOKUP(BY1261,'Gebinde-Kategorie'!$A$5:$N$45,14,0),0))&gt;0),VLOOKUP(BY1261,'Gebinde-Kategorie'!$A$5:$N$45,14,0)*10+Parameter!$M$23,Parameter!$M$24))</f>
        <v>155</v>
      </c>
      <c r="CD1261" s="60" t="str">
        <f aca="false">IF(AND(Parameter!$B$19="Ja",E1261&lt;&gt;"",ISNUMBER(MATCH(E1261,Parameter!$I$35:$I$52,0))),VLOOKUP(E1261,Parameter!$I$35:$J$52,2,0),IFERROR(VLOOKUP(D1261,Parameter!$A$35:$C$64,2,0),"Nein"))</f>
        <v>2+3</v>
      </c>
      <c r="CE1261" s="64" t="n">
        <f aca="false">IF(CA1261=0,0,IF(N(S1261)&gt;0,S1261,IFERROR(VLOOKUP(D1261,Parameter!$A$35:$C$64,3,0)+0,0)))</f>
        <v>0</v>
      </c>
      <c r="CF1261" s="60" t="n">
        <f aca="false">IF(AB1261&lt;&gt;"",AB1261,AA1261)</f>
        <v>2</v>
      </c>
      <c r="CG1261" s="60" t="str">
        <f aca="false">IF(OR(CF1261=1,CF1261=2,CF1261=3),IF(Parameter!$E$27="Ja","LIFT",IF(CF1261=1,"L1","L23")),IF(CF1261="Aussen","Aussen","-"))</f>
        <v>LIFT</v>
      </c>
      <c r="CH1261" s="71" t="n">
        <f aca="false">IF(N(AC1261)&gt;0,AC1261,0)</f>
        <v>0</v>
      </c>
      <c r="CI1261" s="65" t="n">
        <f aca="false">IF(ISNUMBER(AF1261),1,0)</f>
        <v>0</v>
      </c>
      <c r="CJ1261" s="62" t="n">
        <f aca="false">N(AF1261)</f>
        <v>0</v>
      </c>
      <c r="CK1261" s="62" t="n">
        <f aca="false">N(M1261)+N(N1261)</f>
        <v>10</v>
      </c>
      <c r="CL1261" s="62" t="n">
        <f aca="false">N(M1261)</f>
        <v>5</v>
      </c>
      <c r="CM1261" s="62" t="n">
        <f aca="false">N(N1261)</f>
        <v>5</v>
      </c>
      <c r="CN1261" s="62" t="n">
        <f aca="false">ROUNDUP(H1261/BZ1261,0)</f>
        <v>1</v>
      </c>
      <c r="CO1261" s="62" t="n">
        <f aca="false">ROUNDUP(CJ1261/BZ1261,0)</f>
        <v>0</v>
      </c>
      <c r="CP1261" s="65" t="n">
        <f aca="false">IF(CA1261=1,0,IFERROR(VLOOKUP(BY1261,'Gebinde-Kategorie'!$A$5:$N$45,5,0)+0,0))</f>
        <v>8</v>
      </c>
      <c r="CQ1261" s="65" t="n">
        <f aca="false">IFERROR(IF(OR(CF1261=1,CF1261=2,CF1261=3),N(INDEX(Parameter!$I$5:$I$7,CF1261)),0),0)</f>
        <v>0</v>
      </c>
      <c r="CR1261" s="64" t="n">
        <f aca="false">IF(AND(Parameter!$B$21="Ja",ISNUMBER(W1261),N(X1261)&gt;0),IFERROR(N(INDEX(Parameter!$L$5:$L$7,W1261))*INDEX(Parameter!$E$5:$E$7,W1261)*X1261/SUMIFS($X$7:$X$1843,$W$7:$W$1843,W1261),0),0)</f>
        <v>0</v>
      </c>
      <c r="CS1261" s="62" t="n">
        <f aca="false">IF(AND(OR(CG1261="L1",CG1261="L23",CG1261="LIFT"),H1261&gt;0),CC1261*IF(CR1261&gt;0,CR1261*MAX(1,H1261/X1261),IF(CA1261=1,CE1261,IF(R1261&gt;0,CN1261/R1261,0))/MAX(0.1,N(Parameter!$M$21))),"")</f>
        <v>1.49038461538462</v>
      </c>
      <c r="CT1261" s="64" t="n">
        <f aca="false">IF(CS1261="","",J1261/H1261)</f>
        <v>0.571428571428571</v>
      </c>
      <c r="CU1261" s="62" t="n">
        <f aca="false">IF(CS1261="","",H1261*G1261)</f>
        <v>1162.77</v>
      </c>
      <c r="CV1261" s="63" t="n">
        <f aca="false">IF(CS1261="","",(CL1261+ROUNDUP(CL1261+MAX(CM1261,2*(J1261/MAX(0.1,N(Einkauf!$C$6))-CL1261)),0))/2)</f>
        <v>7.5</v>
      </c>
      <c r="CW1261" s="62" t="n">
        <f aca="false">IF(CS1261="","",MAX(0,H1261-CV1261)*G1261)</f>
        <v>747.495</v>
      </c>
      <c r="CX1261" s="62" t="n">
        <f aca="false">IF(CS1261="","",CS1261*MAX(0,1-CV1261/H1261))</f>
        <v>0.958104395604396</v>
      </c>
      <c r="CY1261" s="64" t="n">
        <f aca="false">IF(CS1261="","",PERCENTRANK($CS$7:$CS$1843,CS1261)+PERCENTRANK($CU$7:$CU$1843,CU1261)+1-PERCENTRANK($CT$7:$CT$1843,CT1261))</f>
        <v>1.231</v>
      </c>
      <c r="CZ1261" s="72" t="n">
        <f aca="false">IF(CS1261="","",CHOOSE(MATCH(Einkauf!$C$5,Parameter!$G$23:$G$27,0),CY1261,CS1261,CU1261,-CT1261,CW1261)+ROW()/1000000000)</f>
        <v>1.231001261</v>
      </c>
    </row>
    <row r="1262" customFormat="false" ht="15" hidden="false" customHeight="false" outlineLevel="0" collapsed="false">
      <c r="A1262" s="60" t="s">
        <v>2295</v>
      </c>
      <c r="B1262" s="60" t="s">
        <v>2296</v>
      </c>
      <c r="C1262" s="60" t="s">
        <v>206</v>
      </c>
      <c r="D1262" s="60" t="s">
        <v>215</v>
      </c>
      <c r="E1262" s="60" t="s">
        <v>215</v>
      </c>
      <c r="F1262" s="60" t="s">
        <v>260</v>
      </c>
      <c r="G1262" s="61" t="n">
        <v>65.63</v>
      </c>
      <c r="H1262" s="62" t="n">
        <f aca="false">MAX(0,IF(AND(Parameter!$B$21="Ja",ISNUMBER(Y1262)),Y1262,IF(Parameter!$B$20="Jahresanfang 2025 + Export",BS1262+BR1262,BR1262)))</f>
        <v>32</v>
      </c>
      <c r="I1262" s="62" t="n">
        <f aca="false">H1262*G1262</f>
        <v>2100.16</v>
      </c>
      <c r="J1262" s="62" t="n">
        <f aca="false">BU1262*Parameter!$B$18</f>
        <v>74</v>
      </c>
      <c r="K1262" s="63" t="n">
        <v>23.5</v>
      </c>
      <c r="L1262" s="64" t="n">
        <v>3.14893617021277</v>
      </c>
      <c r="M1262" s="62" t="n">
        <v>4</v>
      </c>
      <c r="N1262" s="62" t="n">
        <v>50</v>
      </c>
      <c r="O1262" s="65" t="n">
        <v>21</v>
      </c>
      <c r="P1262" s="60" t="s">
        <v>216</v>
      </c>
      <c r="Q1262" s="62" t="n">
        <v>60</v>
      </c>
      <c r="R1262" s="65" t="n">
        <f aca="false">IF(CA1262=1,0,IFERROR(VLOOKUP(BY1262,'Gebinde-Kategorie'!$A$5:$N$45,13,0)+0,0))</f>
        <v>6</v>
      </c>
      <c r="S1262" s="66"/>
      <c r="T1262" s="67"/>
      <c r="U1262" s="67"/>
      <c r="V1262" s="67"/>
      <c r="W1262" s="60"/>
      <c r="X1262" s="62"/>
      <c r="Y1262" s="62"/>
      <c r="Z1262" s="60"/>
      <c r="AA1262" s="60" t="str">
        <f aca="false">IF(A1262="","",IF(AND(Parameter!$B$21="Ja",ISNUMBER(W1262)),W1262,IF(AND(Parameter!$E$27="Ja",ISNUMBER(Z1262),CD1262&lt;&gt;"Nein"),Z1262,IF(CD1262="2+3",IF(ISNUMBER(SEARCH("grosser Artikel",BV1262)),2,IFERROR(VLOOKUP(BY1262,Parameter!$F$35:$G$64,2,0),2)),IF(OR(CD1262="Nein",CD1262=""),"-",CD1262)))))</f>
        <v>-</v>
      </c>
      <c r="AB1262" s="67"/>
      <c r="AC1262" s="68"/>
      <c r="AD1262" s="62" t="n">
        <f aca="false">AW1262</f>
        <v>54</v>
      </c>
      <c r="AE1262" s="62" t="n">
        <f aca="false">MAX(AW1262,H1262)</f>
        <v>54</v>
      </c>
      <c r="AF1262" s="69"/>
      <c r="AG1262" s="62" t="n">
        <f aca="false">IF(LEFT(Cockpit!$C$5,1)="A",H1262,IF(Parameter!$E$30="MAX-Bestand",IF(CI1262=1,CJ1262,IF(LEFT(Cockpit!$C$5,1)="B",AM1262,MAX(AM1262,H1262))),ROUNDUP(AK1262,0)))</f>
        <v>32</v>
      </c>
      <c r="AH1262" s="62" t="n">
        <f aca="false">IF(CA1262=1,0,ROUNDUP(AG1262/BZ1262,0))</f>
        <v>1</v>
      </c>
      <c r="AI1262" s="64" t="n">
        <f aca="false">IF(CR1262&gt;0,CR1262*MAX(1,AG1262/X1262),IF(CA1262=1,IF(AG1262&lt;=0,0,CE1262*MAX(1,IF(H1262&gt;0,AG1262/H1262,1))),IF(R1262&gt;0,AH1262/R1262,0))/MAX(0.1,N(Parameter!$M$21)))</f>
        <v>0.166666666666667</v>
      </c>
      <c r="AJ1262" s="62" t="n">
        <f aca="false">AI1262*CC1262</f>
        <v>39.1666666666667</v>
      </c>
      <c r="AK1262" s="63" t="n">
        <f aca="false">IF(LEFT(Cockpit!$C$5,1)="A",H1262,IF(CI1262=1,(CL1262+CJ1262)/2,IF(LEFT(Cockpit!$C$5,1)="B",(CL1262+AM1262)/2,MAX((CL1262+AM1262)/2,H1262))))</f>
        <v>32</v>
      </c>
      <c r="AL1262" s="62" t="n">
        <f aca="false">AK1262*G1262</f>
        <v>2100.16</v>
      </c>
      <c r="AM1262" s="62" t="n">
        <f aca="false">ROUNDUP(CL1262+MAX(CM1262,2*(J1262/IF(CH1262&gt;0,CH1262,MAX(0.1,N(Cockpit!$C$6)))-CL1262)),0)</f>
        <v>54</v>
      </c>
      <c r="AN1262" s="63" t="n">
        <f aca="false">IF(AJ1262&gt;0,J1262/AJ1262,-1)</f>
        <v>1.88936170212766</v>
      </c>
      <c r="AO1262" s="63" t="str">
        <f aca="false">IF(AND(OR(CG1262="L1",CG1262="L23",CG1262="LIFT"),AJ1262&gt;0),SUMIFS($AJ$7:$AJ$1843,$CG$7:$CG$1843,CG1262,$AN$7:$AN$1843,"&gt;"&amp;AN1262)+SUMIFS($AJ$7:$AJ$1843,$CG$7:$CG$1843,CG1262,$AN$7:$AN$1843,AN1262,$BX$7:$BX$1843,"&lt;="&amp;BX1262),"")</f>
        <v/>
      </c>
      <c r="AP1262" s="70" t="n">
        <f aca="false">IF(AO1262="",0,MAX(0,MIN(1,(IF(CG1262="L1",Parameter!$H$5,IF(CG1262="L23",Parameter!$H$6+Parameter!$H$7,Parameter!$H$5+Parameter!$H$6+Parameter!$H$7))-(AO1262-AJ1262))/AJ1262)))</f>
        <v>0</v>
      </c>
      <c r="AQ1262" s="62" t="n">
        <f aca="false">IF(LEFT(Cockpit!$I$5,1)="A",H1262,IF(Parameter!$E$30="MAX-Bestand",IF(CI1262=1,CJ1262,IF(LEFT(Cockpit!$I$5,1)="B",AW1262,MAX(AW1262,H1262))),ROUNDUP(AU1262,0)))</f>
        <v>32</v>
      </c>
      <c r="AR1262" s="62" t="n">
        <f aca="false">IF(CA1262=1,0,ROUNDUP(AQ1262/BZ1262,0))</f>
        <v>1</v>
      </c>
      <c r="AS1262" s="64" t="n">
        <f aca="false">IF(CR1262&gt;0,CR1262*MAX(1,AQ1262/X1262),IF(CA1262=1,IF(AQ1262&lt;=0,0,CE1262*MAX(1,IF(H1262&gt;0,AQ1262/H1262,1))),IF(R1262&gt;0,AR1262/R1262,0))/MAX(0.1,N(Parameter!$M$21)))</f>
        <v>0.166666666666667</v>
      </c>
      <c r="AT1262" s="62" t="n">
        <f aca="false">AS1262*CC1262</f>
        <v>39.1666666666667</v>
      </c>
      <c r="AU1262" s="63" t="n">
        <f aca="false">IF(LEFT(Cockpit!$I$5,1)="A",H1262,IF(CI1262=1,(CL1262+CJ1262)/2,IF(LEFT(Cockpit!$I$5,1)="B",(CL1262+AW1262)/2,MAX((CL1262+AW1262)/2,H1262))))</f>
        <v>32</v>
      </c>
      <c r="AV1262" s="62" t="n">
        <f aca="false">AU1262*G1262</f>
        <v>2100.16</v>
      </c>
      <c r="AW1262" s="62" t="n">
        <f aca="false">ROUNDUP(CL1262+MAX(CM1262,2*(J1262/IF(CH1262&gt;0,CH1262,MAX(0.1,N(Cockpit!$I$6)))-CL1262)),0)</f>
        <v>54</v>
      </c>
      <c r="AX1262" s="63" t="n">
        <f aca="false">IF(AT1262&gt;0,J1262/AT1262,-1)</f>
        <v>1.88936170212766</v>
      </c>
      <c r="AY1262" s="63" t="str">
        <f aca="false">IF(AND(OR(CG1262="L1",CG1262="L23",CG1262="LIFT"),AT1262&gt;0),SUMIFS($AT$7:$AT$1843,$CG$7:$CG$1843,CG1262,$AX$7:$AX$1843,"&gt;"&amp;AX1262)+SUMIFS($AT$7:$AT$1843,$CG$7:$CG$1843,CG1262,$AX$7:$AX$1843,AX1262,$BX$7:$BX$1843,"&lt;="&amp;BX1262),"")</f>
        <v/>
      </c>
      <c r="AZ1262" s="70" t="n">
        <f aca="false">IF(AY1262="",0,MAX(0,MIN(1,(IF(CG1262="L1",Parameter!$H$5,IF(CG1262="L23",Parameter!$H$6+Parameter!$H$7,Parameter!$H$5+Parameter!$H$6+Parameter!$H$7))-(AY1262-AT1262))/AT1262)))</f>
        <v>0</v>
      </c>
      <c r="BA1262" s="62" t="n">
        <f aca="false">IF(LEFT(Cockpit!$O$5,1)="A",H1262,IF(Parameter!$E$30="MAX-Bestand",IF(CI1262=1,CJ1262,IF(LEFT(Cockpit!$O$5,1)="B",BG1262,MAX(BG1262,H1262))),ROUNDUP(BE1262,0)))</f>
        <v>29</v>
      </c>
      <c r="BB1262" s="62" t="n">
        <f aca="false">IF(CA1262=1,0,ROUNDUP(BA1262/BZ1262,0))</f>
        <v>1</v>
      </c>
      <c r="BC1262" s="64" t="n">
        <f aca="false">IF(CR1262&gt;0,CR1262*MAX(1,BA1262/X1262),IF(CA1262=1,IF(BA1262&lt;=0,0,CE1262*MAX(1,IF(H1262&gt;0,BA1262/H1262,1))),IF(R1262&gt;0,BB1262/R1262,0))/MAX(0.1,N(Parameter!$M$21)))</f>
        <v>0.166666666666667</v>
      </c>
      <c r="BD1262" s="62" t="n">
        <f aca="false">BC1262*CC1262</f>
        <v>39.1666666666667</v>
      </c>
      <c r="BE1262" s="63" t="n">
        <f aca="false">IF(LEFT(Cockpit!$O$5,1)="A",H1262,IF(CI1262=1,(CL1262+CJ1262)/2,IF(LEFT(Cockpit!$O$5,1)="B",(CL1262+BG1262)/2,MAX((CL1262+BG1262)/2,H1262))))</f>
        <v>29</v>
      </c>
      <c r="BF1262" s="62" t="n">
        <f aca="false">BE1262*G1262</f>
        <v>1903.27</v>
      </c>
      <c r="BG1262" s="62" t="n">
        <f aca="false">ROUNDUP(CL1262+MAX(CM1262,2*(J1262/IF(CH1262&gt;0,CH1262,MAX(0.1,N(Cockpit!$O$6)))-CL1262)),0)</f>
        <v>54</v>
      </c>
      <c r="BH1262" s="63" t="n">
        <f aca="false">IF(BD1262&gt;0,J1262/BD1262,-1)</f>
        <v>1.88936170212766</v>
      </c>
      <c r="BI1262" s="63" t="str">
        <f aca="false">IF(AND(OR(CG1262="L1",CG1262="L23",CG1262="LIFT"),BD1262&gt;0),SUMIFS($BD$7:$BD$1843,$CG$7:$CG$1843,CG1262,$BH$7:$BH$1843,"&gt;"&amp;BH1262)+SUMIFS($BD$7:$BD$1843,$CG$7:$CG$1843,CG1262,$BH$7:$BH$1843,BH1262,$BX$7:$BX$1843,"&lt;="&amp;BX1262),"")</f>
        <v/>
      </c>
      <c r="BJ1262" s="70" t="n">
        <f aca="false">IF(BI1262="",0,MAX(0,MIN(1,(IF(CG1262="L1",Parameter!$H$5,IF(CG1262="L23",Parameter!$H$6+Parameter!$H$7,Parameter!$H$5+Parameter!$H$6+Parameter!$H$7))-(BI1262-BD1262))/BD1262)))</f>
        <v>0</v>
      </c>
      <c r="BK1262" s="60" t="str">
        <f aca="false">IF(AJ1262&lt;=0,"",IF(CG1262="Aussen","Aussenlager",IF(CG1262="-","Nicht im Lift",IF(AP1262&gt;=1,"Lift",IF(AP1262&lt;=0,"Aussenlager","teilweise")))))</f>
        <v>Nicht im Lift</v>
      </c>
      <c r="BL1262" s="60" t="str">
        <f aca="false">IF(AT1262&lt;=0,"",IF(CG1262="Aussen","Aussenlager",IF(CG1262="-","Nicht im Lift",IF(AZ1262&gt;=1,"Lift",IF(AZ1262&lt;=0,"Aussenlager","teilweise")))))</f>
        <v>Nicht im Lift</v>
      </c>
      <c r="BM1262" s="60" t="str">
        <f aca="false">IF(BD1262&lt;=0,"",IF(CG1262="Aussen","Aussenlager",IF(CG1262="-","Nicht im Lift",IF(BJ1262&gt;=1,"Lift",IF(BJ1262&lt;=0,"Aussenlager","teilweise")))))</f>
        <v>Nicht im Lift</v>
      </c>
      <c r="BN1262" s="60" t="str">
        <f aca="false">IF(A1262="","",IF(BW1262=1,"Neu; ","")&amp;IF(AND(BW1262=0,BR1262&lt;0),"negativer Bestand (Export "&amp;BR1262&amp;"); ","")&amp;IF(J1262&lt;=0,"Kein Verbrauch; ","")&amp;IF(CR1262&gt;0,"Lift "&amp;W1262&amp;" lt. Liftbericht (Fach "&amp;X1262&amp;" Stk); ",IF(CB1262=1,"Gebinde geschätzt ("&amp;T1262&amp;"); ",IF(CA1262=1,"Lose – Tablare geschätzt; ","")))&amp;IF(H1262&gt;AW1262,"Überbestand "&amp;ROUND(H1262-AW1262,0)&amp;" Stk / CHF "&amp;ROUND((H1262-AW1262)*G1262,0)&amp;"; ","")&amp;IF(AND(CI1262=1,CJ1262&lt;CK1262),"MAX &lt; MB+LG; ","")&amp;IF(AND(CQ1262&gt;0,CP1262*10&gt;CQ1262),"zu hoch für Tablar; ","")&amp;IF(AND(BW1262=0,OR(CI1262=1,AB1262&lt;&gt;"",U1262&lt;&gt;"",V1262&lt;&gt;"",AC1262&lt;&gt;"")),"manuell übersteuert; ","")&amp;IF(AND(CA1262=0,R1262=0),"Gebinde unbekannt / Stellmass fehlt; ","")&amp;IF(AND(CA1262=0,N(V1262)&lt;=0,N(Q1262)&lt;=0),"Menge pro Gebinde fehlt (Ist = 1 Gebinde); ","")&amp;BV1262)</f>
        <v>negativer Bestand (Export -3); </v>
      </c>
      <c r="BO1262" s="60"/>
      <c r="BP1262" s="60"/>
      <c r="BQ1262" s="67"/>
      <c r="BR1262" s="62" t="n">
        <v>-3</v>
      </c>
      <c r="BS1262" s="62" t="n">
        <v>35</v>
      </c>
      <c r="BT1262" s="61" t="n">
        <v>-834.590000000002</v>
      </c>
      <c r="BU1262" s="62" t="n">
        <v>74</v>
      </c>
      <c r="BV1262" s="60"/>
      <c r="BW1262" s="65" t="n">
        <v>0</v>
      </c>
      <c r="BX1262" s="65" t="n">
        <v>1262</v>
      </c>
      <c r="BY1262" s="60" t="str">
        <f aca="false">IF(U1262&lt;&gt;"",UPPER(TRIM(U1262)),IF(CB1262=1,UPPER(VLOOKUP(T1262,Parameter!$I$27:$K$29,2,0)),IF(P1262="","LOSE",P1262)))</f>
        <v>S71</v>
      </c>
      <c r="BZ1262" s="62" t="n">
        <f aca="false">IF(BY1262="LOSE",1,IF(N(V1262)&gt;0,V1262,IF(CB1262=1,MAX(1,N(VLOOKUP(T1262,Parameter!$I$27:$K$29,3,0)),H1262,N(N1262)),IF(N(Q1262)&gt;0,Q1262,MAX(1,H1262)))))</f>
        <v>60</v>
      </c>
      <c r="CA1262" s="65" t="n">
        <f aca="false">IF(BY1262="LOSE",1,0)</f>
        <v>0</v>
      </c>
      <c r="CB1262" s="65" t="n">
        <f aca="false">IF(AND(U1262="",OR(P1262="",P1262="LOSE"),T1262&lt;&gt;"",N(S1262)&lt;=0,ISNUMBER(MATCH(T1262,Parameter!$I$27:$I$29,0))),1,0)</f>
        <v>0</v>
      </c>
      <c r="CC1262" s="65" t="n">
        <f aca="false">IF(CR1262&gt;0,INDEX(Parameter!$H$5:$H$7,W1262)/INDEX(Parameter!$E$5:$E$7,W1262),IF(AND(CA1262=0,N(IFERROR(VLOOKUP(BY1262,'Gebinde-Kategorie'!$A$5:$N$45,14,0),0))&gt;0),VLOOKUP(BY1262,'Gebinde-Kategorie'!$A$5:$N$45,14,0)*10+Parameter!$M$23,Parameter!$M$24))</f>
        <v>235</v>
      </c>
      <c r="CD1262" s="60" t="str">
        <f aca="false">IF(AND(Parameter!$B$19="Ja",E1262&lt;&gt;"",ISNUMBER(MATCH(E1262,Parameter!$I$35:$I$52,0))),VLOOKUP(E1262,Parameter!$I$35:$J$52,2,0),IFERROR(VLOOKUP(D1262,Parameter!$A$35:$C$64,2,0),"Nein"))</f>
        <v>Nein</v>
      </c>
      <c r="CE1262" s="64" t="n">
        <f aca="false">IF(CA1262=0,0,IF(N(S1262)&gt;0,S1262,IFERROR(VLOOKUP(D1262,Parameter!$A$35:$C$64,3,0)+0,0)))</f>
        <v>0</v>
      </c>
      <c r="CF1262" s="60" t="str">
        <f aca="false">IF(AB1262&lt;&gt;"",AB1262,AA1262)</f>
        <v>-</v>
      </c>
      <c r="CG1262" s="60" t="str">
        <f aca="false">IF(OR(CF1262=1,CF1262=2,CF1262=3),IF(Parameter!$E$27="Ja","LIFT",IF(CF1262=1,"L1","L23")),IF(CF1262="Aussen","Aussen","-"))</f>
        <v>-</v>
      </c>
      <c r="CH1262" s="71" t="n">
        <f aca="false">IF(N(AC1262)&gt;0,AC1262,0)</f>
        <v>0</v>
      </c>
      <c r="CI1262" s="65" t="n">
        <f aca="false">IF(ISNUMBER(AF1262),1,0)</f>
        <v>0</v>
      </c>
      <c r="CJ1262" s="62" t="n">
        <f aca="false">N(AF1262)</f>
        <v>0</v>
      </c>
      <c r="CK1262" s="62" t="n">
        <f aca="false">N(M1262)+N(N1262)</f>
        <v>54</v>
      </c>
      <c r="CL1262" s="62" t="n">
        <f aca="false">N(M1262)</f>
        <v>4</v>
      </c>
      <c r="CM1262" s="62" t="n">
        <f aca="false">N(N1262)</f>
        <v>50</v>
      </c>
      <c r="CN1262" s="62" t="n">
        <f aca="false">ROUNDUP(H1262/BZ1262,0)</f>
        <v>1</v>
      </c>
      <c r="CO1262" s="62" t="n">
        <f aca="false">ROUNDUP(CJ1262/BZ1262,0)</f>
        <v>0</v>
      </c>
      <c r="CP1262" s="65" t="n">
        <f aca="false">IF(CA1262=1,0,IFERROR(VLOOKUP(BY1262,'Gebinde-Kategorie'!$A$5:$N$45,5,0)+0,0))</f>
        <v>20</v>
      </c>
      <c r="CQ1262" s="65" t="n">
        <f aca="false">IFERROR(IF(OR(CF1262=1,CF1262=2,CF1262=3),N(INDEX(Parameter!$I$5:$I$7,CF1262)),0),0)</f>
        <v>0</v>
      </c>
      <c r="CR1262" s="64" t="n">
        <f aca="false">IF(AND(Parameter!$B$21="Ja",ISNUMBER(W1262),N(X1262)&gt;0),IFERROR(N(INDEX(Parameter!$L$5:$L$7,W1262))*INDEX(Parameter!$E$5:$E$7,W1262)*X1262/SUMIFS($X$7:$X$1843,$W$7:$W$1843,W1262),0),0)</f>
        <v>0</v>
      </c>
      <c r="CS1262" s="62" t="str">
        <f aca="false">IF(AND(OR(CG1262="L1",CG1262="L23",CG1262="LIFT"),H1262&gt;0),CC1262*IF(CR1262&gt;0,CR1262*MAX(1,H1262/X1262),IF(CA1262=1,CE1262,IF(R1262&gt;0,CN1262/R1262,0))/MAX(0.1,N(Parameter!$M$21))),"")</f>
        <v/>
      </c>
      <c r="CT1262" s="64" t="str">
        <f aca="false">IF(CS1262="","",J1262/H1262)</f>
        <v/>
      </c>
      <c r="CU1262" s="62" t="str">
        <f aca="false">IF(CS1262="","",H1262*G1262)</f>
        <v/>
      </c>
      <c r="CV1262" s="63" t="str">
        <f aca="false">IF(CS1262="","",(CL1262+ROUNDUP(CL1262+MAX(CM1262,2*(J1262/MAX(0.1,N(Einkauf!$C$6))-CL1262)),0))/2)</f>
        <v/>
      </c>
      <c r="CW1262" s="62" t="str">
        <f aca="false">IF(CS1262="","",MAX(0,H1262-CV1262)*G1262)</f>
        <v/>
      </c>
      <c r="CX1262" s="62" t="str">
        <f aca="false">IF(CS1262="","",CS1262*MAX(0,1-CV1262/H1262))</f>
        <v/>
      </c>
      <c r="CY1262" s="64" t="str">
        <f aca="false">IF(CS1262="","",PERCENTRANK($CS$7:$CS$1843,CS1262)+PERCENTRANK($CU$7:$CU$1843,CU1262)+1-PERCENTRANK($CT$7:$CT$1843,CT1262))</f>
        <v/>
      </c>
      <c r="CZ1262" s="72" t="str">
        <f aca="false">IF(CS1262="","",CHOOSE(MATCH(Einkauf!$C$5,Parameter!$G$23:$G$27,0),CY1262,CS1262,CU1262,-CT1262,CW1262)+ROW()/1000000000)</f>
        <v/>
      </c>
    </row>
    <row r="1263" customFormat="false" ht="15" hidden="false" customHeight="false" outlineLevel="0" collapsed="false">
      <c r="A1263" s="60" t="s">
        <v>2297</v>
      </c>
      <c r="B1263" s="60" t="s">
        <v>2298</v>
      </c>
      <c r="C1263" s="60" t="s">
        <v>206</v>
      </c>
      <c r="D1263" s="60" t="s">
        <v>226</v>
      </c>
      <c r="E1263" s="60" t="s">
        <v>227</v>
      </c>
      <c r="F1263" s="60" t="s">
        <v>260</v>
      </c>
      <c r="G1263" s="61" t="n">
        <v>23.11</v>
      </c>
      <c r="H1263" s="62" t="n">
        <f aca="false">MAX(0,IF(AND(Parameter!$B$21="Ja",ISNUMBER(Y1263)),Y1263,IF(Parameter!$B$20="Jahresanfang 2025 + Export",BS1263+BR1263,BR1263)))</f>
        <v>132</v>
      </c>
      <c r="I1263" s="62" t="n">
        <f aca="false">H1263*G1263</f>
        <v>3050.52</v>
      </c>
      <c r="J1263" s="62" t="n">
        <f aca="false">BU1263*Parameter!$B$18</f>
        <v>153</v>
      </c>
      <c r="K1263" s="63" t="n">
        <v>150</v>
      </c>
      <c r="L1263" s="64" t="n">
        <v>1.02</v>
      </c>
      <c r="M1263" s="62" t="n">
        <v>10</v>
      </c>
      <c r="N1263" s="62" t="n">
        <v>130</v>
      </c>
      <c r="O1263" s="65" t="n">
        <v>14</v>
      </c>
      <c r="P1263" s="60" t="s">
        <v>275</v>
      </c>
      <c r="Q1263" s="62" t="n">
        <v>279</v>
      </c>
      <c r="R1263" s="65" t="n">
        <f aca="false">IF(CA1263=1,0,IFERROR(VLOOKUP(BY1263,'Gebinde-Kategorie'!$A$5:$N$45,13,0)+0,0))</f>
        <v>26</v>
      </c>
      <c r="S1263" s="66"/>
      <c r="T1263" s="67"/>
      <c r="U1263" s="67"/>
      <c r="V1263" s="67"/>
      <c r="W1263" s="60"/>
      <c r="X1263" s="62"/>
      <c r="Y1263" s="62"/>
      <c r="Z1263" s="60" t="n">
        <v>3</v>
      </c>
      <c r="AA1263" s="60" t="n">
        <f aca="false">IF(A1263="","",IF(AND(Parameter!$B$21="Ja",ISNUMBER(W1263)),W1263,IF(AND(Parameter!$E$27="Ja",ISNUMBER(Z1263),CD1263&lt;&gt;"Nein"),Z1263,IF(CD1263="2+3",IF(ISNUMBER(SEARCH("grosser Artikel",BV1263)),2,IFERROR(VLOOKUP(BY1263,Parameter!$F$35:$G$64,2,0),2)),IF(OR(CD1263="Nein",CD1263=""),"-",CD1263)))))</f>
        <v>3</v>
      </c>
      <c r="AB1263" s="67"/>
      <c r="AC1263" s="68"/>
      <c r="AD1263" s="62" t="n">
        <f aca="false">AW1263</f>
        <v>140</v>
      </c>
      <c r="AE1263" s="62" t="n">
        <f aca="false">MAX(AW1263,H1263)</f>
        <v>140</v>
      </c>
      <c r="AF1263" s="69"/>
      <c r="AG1263" s="62" t="n">
        <f aca="false">IF(LEFT(Cockpit!$C$5,1)="A",H1263,IF(Parameter!$E$30="MAX-Bestand",IF(CI1263=1,CJ1263,IF(LEFT(Cockpit!$C$5,1)="B",AM1263,MAX(AM1263,H1263))),ROUNDUP(AK1263,0)))</f>
        <v>132</v>
      </c>
      <c r="AH1263" s="62" t="n">
        <f aca="false">IF(CA1263=1,0,ROUNDUP(AG1263/BZ1263,0))</f>
        <v>1</v>
      </c>
      <c r="AI1263" s="64" t="n">
        <f aca="false">IF(CR1263&gt;0,CR1263*MAX(1,AG1263/X1263),IF(CA1263=1,IF(AG1263&lt;=0,0,CE1263*MAX(1,IF(H1263&gt;0,AG1263/H1263,1))),IF(R1263&gt;0,AH1263/R1263,0))/MAX(0.1,N(Parameter!$M$21)))</f>
        <v>0.0384615384615385</v>
      </c>
      <c r="AJ1263" s="62" t="n">
        <f aca="false">AI1263*CC1263</f>
        <v>9.42307692307692</v>
      </c>
      <c r="AK1263" s="63" t="n">
        <f aca="false">IF(LEFT(Cockpit!$C$5,1)="A",H1263,IF(CI1263=1,(CL1263+CJ1263)/2,IF(LEFT(Cockpit!$C$5,1)="B",(CL1263+AM1263)/2,MAX((CL1263+AM1263)/2,H1263))))</f>
        <v>132</v>
      </c>
      <c r="AL1263" s="62" t="n">
        <f aca="false">AK1263*G1263</f>
        <v>3050.52</v>
      </c>
      <c r="AM1263" s="62" t="n">
        <f aca="false">ROUNDUP(CL1263+MAX(CM1263,2*(J1263/IF(CH1263&gt;0,CH1263,MAX(0.1,N(Cockpit!$C$6)))-CL1263)),0)</f>
        <v>140</v>
      </c>
      <c r="AN1263" s="63" t="n">
        <f aca="false">IF(AJ1263&gt;0,J1263/AJ1263,-1)</f>
        <v>16.2367346938776</v>
      </c>
      <c r="AO1263" s="63" t="n">
        <f aca="false">IF(AND(OR(CG1263="L1",CG1263="L23",CG1263="LIFT"),AJ1263&gt;0),SUMIFS($AJ$7:$AJ$1843,$CG$7:$CG$1843,CG1263,$AN$7:$AN$1843,"&gt;"&amp;AN1263)+SUMIFS($AJ$7:$AJ$1843,$CG$7:$CG$1843,CG1263,$AN$7:$AN$1843,AN1263,$BX$7:$BX$1843,"&lt;="&amp;BX1263),"")</f>
        <v>2056.7467948718</v>
      </c>
      <c r="AP1263" s="70" t="n">
        <f aca="false">IF(AO1263="",0,MAX(0,MIN(1,(IF(CG1263="L1",Parameter!$H$5,IF(CG1263="L23",Parameter!$H$6+Parameter!$H$7,Parameter!$H$5+Parameter!$H$6+Parameter!$H$7))-(AO1263-AJ1263))/AJ1263)))</f>
        <v>1</v>
      </c>
      <c r="AQ1263" s="62" t="n">
        <f aca="false">IF(LEFT(Cockpit!$I$5,1)="A",H1263,IF(Parameter!$E$30="MAX-Bestand",IF(CI1263=1,CJ1263,IF(LEFT(Cockpit!$I$5,1)="B",AW1263,MAX(AW1263,H1263))),ROUNDUP(AU1263,0)))</f>
        <v>132</v>
      </c>
      <c r="AR1263" s="62" t="n">
        <f aca="false">IF(CA1263=1,0,ROUNDUP(AQ1263/BZ1263,0))</f>
        <v>1</v>
      </c>
      <c r="AS1263" s="64" t="n">
        <f aca="false">IF(CR1263&gt;0,CR1263*MAX(1,AQ1263/X1263),IF(CA1263=1,IF(AQ1263&lt;=0,0,CE1263*MAX(1,IF(H1263&gt;0,AQ1263/H1263,1))),IF(R1263&gt;0,AR1263/R1263,0))/MAX(0.1,N(Parameter!$M$21)))</f>
        <v>0.0384615384615385</v>
      </c>
      <c r="AT1263" s="62" t="n">
        <f aca="false">AS1263*CC1263</f>
        <v>9.42307692307692</v>
      </c>
      <c r="AU1263" s="63" t="n">
        <f aca="false">IF(LEFT(Cockpit!$I$5,1)="A",H1263,IF(CI1263=1,(CL1263+CJ1263)/2,IF(LEFT(Cockpit!$I$5,1)="B",(CL1263+AW1263)/2,MAX((CL1263+AW1263)/2,H1263))))</f>
        <v>132</v>
      </c>
      <c r="AV1263" s="62" t="n">
        <f aca="false">AU1263*G1263</f>
        <v>3050.52</v>
      </c>
      <c r="AW1263" s="62" t="n">
        <f aca="false">ROUNDUP(CL1263+MAX(CM1263,2*(J1263/IF(CH1263&gt;0,CH1263,MAX(0.1,N(Cockpit!$I$6)))-CL1263)),0)</f>
        <v>140</v>
      </c>
      <c r="AX1263" s="63" t="n">
        <f aca="false">IF(AT1263&gt;0,J1263/AT1263,-1)</f>
        <v>16.2367346938776</v>
      </c>
      <c r="AY1263" s="63" t="n">
        <f aca="false">IF(AND(OR(CG1263="L1",CG1263="L23",CG1263="LIFT"),AT1263&gt;0),SUMIFS($AT$7:$AT$1843,$CG$7:$CG$1843,CG1263,$AX$7:$AX$1843,"&gt;"&amp;AX1263)+SUMIFS($AT$7:$AT$1843,$CG$7:$CG$1843,CG1263,$AX$7:$AX$1843,AX1263,$BX$7:$BX$1843,"&lt;="&amp;BX1263),"")</f>
        <v>2692.76053113553</v>
      </c>
      <c r="AZ1263" s="70" t="n">
        <f aca="false">IF(AY1263="",0,MAX(0,MIN(1,(IF(CG1263="L1",Parameter!$H$5,IF(CG1263="L23",Parameter!$H$6+Parameter!$H$7,Parameter!$H$5+Parameter!$H$6+Parameter!$H$7))-(AY1263-AT1263))/AT1263)))</f>
        <v>1</v>
      </c>
      <c r="BA1263" s="62" t="n">
        <f aca="false">IF(LEFT(Cockpit!$O$5,1)="A",H1263,IF(Parameter!$E$30="MAX-Bestand",IF(CI1263=1,CJ1263,IF(LEFT(Cockpit!$O$5,1)="B",BG1263,MAX(BG1263,H1263))),ROUNDUP(BE1263,0)))</f>
        <v>75</v>
      </c>
      <c r="BB1263" s="62" t="n">
        <f aca="false">IF(CA1263=1,0,ROUNDUP(BA1263/BZ1263,0))</f>
        <v>1</v>
      </c>
      <c r="BC1263" s="64" t="n">
        <f aca="false">IF(CR1263&gt;0,CR1263*MAX(1,BA1263/X1263),IF(CA1263=1,IF(BA1263&lt;=0,0,CE1263*MAX(1,IF(H1263&gt;0,BA1263/H1263,1))),IF(R1263&gt;0,BB1263/R1263,0))/MAX(0.1,N(Parameter!$M$21)))</f>
        <v>0.0384615384615385</v>
      </c>
      <c r="BD1263" s="62" t="n">
        <f aca="false">BC1263*CC1263</f>
        <v>9.42307692307692</v>
      </c>
      <c r="BE1263" s="63" t="n">
        <f aca="false">IF(LEFT(Cockpit!$O$5,1)="A",H1263,IF(CI1263=1,(CL1263+CJ1263)/2,IF(LEFT(Cockpit!$O$5,1)="B",(CL1263+BG1263)/2,MAX((CL1263+BG1263)/2,H1263))))</f>
        <v>75</v>
      </c>
      <c r="BF1263" s="62" t="n">
        <f aca="false">BE1263*G1263</f>
        <v>1733.25</v>
      </c>
      <c r="BG1263" s="62" t="n">
        <f aca="false">ROUNDUP(CL1263+MAX(CM1263,2*(J1263/IF(CH1263&gt;0,CH1263,MAX(0.1,N(Cockpit!$O$6)))-CL1263)),0)</f>
        <v>140</v>
      </c>
      <c r="BH1263" s="63" t="n">
        <f aca="false">IF(BD1263&gt;0,J1263/BD1263,-1)</f>
        <v>16.2367346938776</v>
      </c>
      <c r="BI1263" s="63" t="n">
        <f aca="false">IF(AND(OR(CG1263="L1",CG1263="L23",CG1263="LIFT"),BD1263&gt;0),SUMIFS($BD$7:$BD$1843,$CG$7:$CG$1843,CG1263,$BH$7:$BH$1843,"&gt;"&amp;BH1263)+SUMIFS($BD$7:$BD$1843,$CG$7:$CG$1843,CG1263,$BH$7:$BH$1843,BH1263,$BX$7:$BX$1843,"&lt;="&amp;BX1263),"")</f>
        <v>2384.73992673993</v>
      </c>
      <c r="BJ1263" s="70" t="n">
        <f aca="false">IF(BI1263="",0,MAX(0,MIN(1,(IF(CG1263="L1",Parameter!$H$5,IF(CG1263="L23",Parameter!$H$6+Parameter!$H$7,Parameter!$H$5+Parameter!$H$6+Parameter!$H$7))-(BI1263-BD1263))/BD1263)))</f>
        <v>1</v>
      </c>
      <c r="BK1263" s="60" t="str">
        <f aca="false">IF(AJ1263&lt;=0,"",IF(CG1263="Aussen","Aussenlager",IF(CG1263="-","Nicht im Lift",IF(AP1263&gt;=1,"Lift",IF(AP1263&lt;=0,"Aussenlager","teilweise")))))</f>
        <v>Lift</v>
      </c>
      <c r="BL1263" s="60" t="str">
        <f aca="false">IF(AT1263&lt;=0,"",IF(CG1263="Aussen","Aussenlager",IF(CG1263="-","Nicht im Lift",IF(AZ1263&gt;=1,"Lift",IF(AZ1263&lt;=0,"Aussenlager","teilweise")))))</f>
        <v>Lift</v>
      </c>
      <c r="BM1263" s="60" t="str">
        <f aca="false">IF(BD1263&lt;=0,"",IF(CG1263="Aussen","Aussenlager",IF(CG1263="-","Nicht im Lift",IF(BJ1263&gt;=1,"Lift",IF(BJ1263&lt;=0,"Aussenlager","teilweise")))))</f>
        <v>Lift</v>
      </c>
      <c r="BN1263" s="60" t="str">
        <f aca="false">IF(A1263="","",IF(BW1263=1,"Neu; ","")&amp;IF(AND(BW1263=0,BR1263&lt;0),"negativer Bestand (Export "&amp;BR1263&amp;"); ","")&amp;IF(J1263&lt;=0,"Kein Verbrauch; ","")&amp;IF(CR1263&gt;0,"Lift "&amp;W1263&amp;" lt. Liftbericht (Fach "&amp;X1263&amp;" Stk); ",IF(CB1263=1,"Gebinde geschätzt ("&amp;T1263&amp;"); ",IF(CA1263=1,"Lose – Tablare geschätzt; ","")))&amp;IF(H1263&gt;AW1263,"Überbestand "&amp;ROUND(H1263-AW1263,0)&amp;" Stk / CHF "&amp;ROUND((H1263-AW1263)*G1263,0)&amp;"; ","")&amp;IF(AND(CI1263=1,CJ1263&lt;CK1263),"MAX &lt; MB+LG; ","")&amp;IF(AND(CQ1263&gt;0,CP1263*10&gt;CQ1263),"zu hoch für Tablar; ","")&amp;IF(AND(BW1263=0,OR(CI1263=1,AB1263&lt;&gt;"",U1263&lt;&gt;"",V1263&lt;&gt;"",AC1263&lt;&gt;"")),"manuell übersteuert; ","")&amp;IF(AND(CA1263=0,R1263=0),"Gebinde unbekannt / Stellmass fehlt; ","")&amp;IF(AND(CA1263=0,N(V1263)&lt;=0,N(Q1263)&lt;=0),"Menge pro Gebinde fehlt (Ist = 1 Gebinde); ","")&amp;BV1263)</f>
        <v>negativer Bestand (Export -37); </v>
      </c>
      <c r="BO1263" s="60"/>
      <c r="BP1263" s="60"/>
      <c r="BQ1263" s="67"/>
      <c r="BR1263" s="62" t="n">
        <v>-37</v>
      </c>
      <c r="BS1263" s="62" t="n">
        <v>169</v>
      </c>
      <c r="BT1263" s="61" t="n">
        <v>-834.749999999999</v>
      </c>
      <c r="BU1263" s="62" t="n">
        <v>153</v>
      </c>
      <c r="BV1263" s="60"/>
      <c r="BW1263" s="65" t="n">
        <v>0</v>
      </c>
      <c r="BX1263" s="65" t="n">
        <v>1263</v>
      </c>
      <c r="BY1263" s="60" t="str">
        <f aca="false">IF(U1263&lt;&gt;"",UPPER(TRIM(U1263)),IF(CB1263=1,UPPER(VLOOKUP(T1263,Parameter!$I$27:$K$29,2,0)),IF(P1263="","LOSE",P1263)))</f>
        <v>S52</v>
      </c>
      <c r="BZ1263" s="62" t="n">
        <f aca="false">IF(BY1263="LOSE",1,IF(N(V1263)&gt;0,V1263,IF(CB1263=1,MAX(1,N(VLOOKUP(T1263,Parameter!$I$27:$K$29,3,0)),H1263,N(N1263)),IF(N(Q1263)&gt;0,Q1263,MAX(1,H1263)))))</f>
        <v>279</v>
      </c>
      <c r="CA1263" s="65" t="n">
        <f aca="false">IF(BY1263="LOSE",1,0)</f>
        <v>0</v>
      </c>
      <c r="CB1263" s="65" t="n">
        <f aca="false">IF(AND(U1263="",OR(P1263="",P1263="LOSE"),T1263&lt;&gt;"",N(S1263)&lt;=0,ISNUMBER(MATCH(T1263,Parameter!$I$27:$I$29,0))),1,0)</f>
        <v>0</v>
      </c>
      <c r="CC1263" s="65" t="n">
        <f aca="false">IF(CR1263&gt;0,INDEX(Parameter!$H$5:$H$7,W1263)/INDEX(Parameter!$E$5:$E$7,W1263),IF(AND(CA1263=0,N(IFERROR(VLOOKUP(BY1263,'Gebinde-Kategorie'!$A$5:$N$45,14,0),0))&gt;0),VLOOKUP(BY1263,'Gebinde-Kategorie'!$A$5:$N$45,14,0)*10+Parameter!$M$23,Parameter!$M$24))</f>
        <v>245</v>
      </c>
      <c r="CD1263" s="60" t="str">
        <f aca="false">IF(AND(Parameter!$B$19="Ja",E1263&lt;&gt;"",ISNUMBER(MATCH(E1263,Parameter!$I$35:$I$52,0))),VLOOKUP(E1263,Parameter!$I$35:$J$52,2,0),IFERROR(VLOOKUP(D1263,Parameter!$A$35:$C$64,2,0),"Nein"))</f>
        <v>2+3</v>
      </c>
      <c r="CE1263" s="64" t="n">
        <f aca="false">IF(CA1263=0,0,IF(N(S1263)&gt;0,S1263,IFERROR(VLOOKUP(D1263,Parameter!$A$35:$C$64,3,0)+0,0)))</f>
        <v>0</v>
      </c>
      <c r="CF1263" s="60" t="n">
        <f aca="false">IF(AB1263&lt;&gt;"",AB1263,AA1263)</f>
        <v>3</v>
      </c>
      <c r="CG1263" s="60" t="str">
        <f aca="false">IF(OR(CF1263=1,CF1263=2,CF1263=3),IF(Parameter!$E$27="Ja","LIFT",IF(CF1263=1,"L1","L23")),IF(CF1263="Aussen","Aussen","-"))</f>
        <v>LIFT</v>
      </c>
      <c r="CH1263" s="71" t="n">
        <f aca="false">IF(N(AC1263)&gt;0,AC1263,0)</f>
        <v>0</v>
      </c>
      <c r="CI1263" s="65" t="n">
        <f aca="false">IF(ISNUMBER(AF1263),1,0)</f>
        <v>0</v>
      </c>
      <c r="CJ1263" s="62" t="n">
        <f aca="false">N(AF1263)</f>
        <v>0</v>
      </c>
      <c r="CK1263" s="62" t="n">
        <f aca="false">N(M1263)+N(N1263)</f>
        <v>140</v>
      </c>
      <c r="CL1263" s="62" t="n">
        <f aca="false">N(M1263)</f>
        <v>10</v>
      </c>
      <c r="CM1263" s="62" t="n">
        <f aca="false">N(N1263)</f>
        <v>130</v>
      </c>
      <c r="CN1263" s="62" t="n">
        <f aca="false">ROUNDUP(H1263/BZ1263,0)</f>
        <v>1</v>
      </c>
      <c r="CO1263" s="62" t="n">
        <f aca="false">ROUNDUP(CJ1263/BZ1263,0)</f>
        <v>0</v>
      </c>
      <c r="CP1263" s="65" t="n">
        <f aca="false">IF(CA1263=1,0,IFERROR(VLOOKUP(BY1263,'Gebinde-Kategorie'!$A$5:$N$45,5,0)+0,0))</f>
        <v>21</v>
      </c>
      <c r="CQ1263" s="65" t="n">
        <f aca="false">IFERROR(IF(OR(CF1263=1,CF1263=2,CF1263=3),N(INDEX(Parameter!$I$5:$I$7,CF1263)),0),0)</f>
        <v>0</v>
      </c>
      <c r="CR1263" s="64" t="n">
        <f aca="false">IF(AND(Parameter!$B$21="Ja",ISNUMBER(W1263),N(X1263)&gt;0),IFERROR(N(INDEX(Parameter!$L$5:$L$7,W1263))*INDEX(Parameter!$E$5:$E$7,W1263)*X1263/SUMIFS($X$7:$X$1843,$W$7:$W$1843,W1263),0),0)</f>
        <v>0</v>
      </c>
      <c r="CS1263" s="62" t="n">
        <f aca="false">IF(AND(OR(CG1263="L1",CG1263="L23",CG1263="LIFT"),H1263&gt;0),CC1263*IF(CR1263&gt;0,CR1263*MAX(1,H1263/X1263),IF(CA1263=1,CE1263,IF(R1263&gt;0,CN1263/R1263,0))/MAX(0.1,N(Parameter!$M$21))),"")</f>
        <v>9.42307692307692</v>
      </c>
      <c r="CT1263" s="64" t="n">
        <f aca="false">IF(CS1263="","",J1263/H1263)</f>
        <v>1.15909090909091</v>
      </c>
      <c r="CU1263" s="62" t="n">
        <f aca="false">IF(CS1263="","",H1263*G1263)</f>
        <v>3050.52</v>
      </c>
      <c r="CV1263" s="63" t="n">
        <f aca="false">IF(CS1263="","",(CL1263+ROUNDUP(CL1263+MAX(CM1263,2*(J1263/MAX(0.1,N(Einkauf!$C$6))-CL1263)),0))/2)</f>
        <v>75</v>
      </c>
      <c r="CW1263" s="62" t="n">
        <f aca="false">IF(CS1263="","",MAX(0,H1263-CV1263)*G1263)</f>
        <v>1317.27</v>
      </c>
      <c r="CX1263" s="62" t="n">
        <f aca="false">IF(CS1263="","",CS1263*MAX(0,1-CV1263/H1263))</f>
        <v>4.06905594405594</v>
      </c>
      <c r="CY1263" s="64" t="n">
        <f aca="false">IF(CS1263="","",PERCENTRANK($CS$7:$CS$1843,CS1263)+PERCENTRANK($CU$7:$CU$1843,CU1263)+1-PERCENTRANK($CT$7:$CT$1843,CT1263))</f>
        <v>1.708</v>
      </c>
      <c r="CZ1263" s="72" t="n">
        <f aca="false">IF(CS1263="","",CHOOSE(MATCH(Einkauf!$C$5,Parameter!$G$23:$G$27,0),CY1263,CS1263,CU1263,-CT1263,CW1263)+ROW()/1000000000)</f>
        <v>1.708001263</v>
      </c>
    </row>
    <row r="1264" customFormat="false" ht="15" hidden="false" customHeight="false" outlineLevel="0" collapsed="false">
      <c r="A1264" s="60" t="s">
        <v>2299</v>
      </c>
      <c r="B1264" s="60" t="s">
        <v>2300</v>
      </c>
      <c r="C1264" s="60" t="s">
        <v>206</v>
      </c>
      <c r="D1264" s="60" t="s">
        <v>1037</v>
      </c>
      <c r="E1264" s="60"/>
      <c r="F1264" s="60" t="s">
        <v>260</v>
      </c>
      <c r="G1264" s="61" t="n">
        <v>834.75</v>
      </c>
      <c r="H1264" s="62" t="n">
        <f aca="false">MAX(0,IF(AND(Parameter!$B$21="Ja",ISNUMBER(Y1264)),Y1264,IF(Parameter!$B$20="Jahresanfang 2025 + Export",BS1264+BR1264,BR1264)))</f>
        <v>3</v>
      </c>
      <c r="I1264" s="62" t="n">
        <f aca="false">H1264*G1264</f>
        <v>2504.25</v>
      </c>
      <c r="J1264" s="62" t="n">
        <f aca="false">BU1264*Parameter!$B$18</f>
        <v>0</v>
      </c>
      <c r="K1264" s="63" t="n">
        <v>2</v>
      </c>
      <c r="L1264" s="64" t="n">
        <v>0</v>
      </c>
      <c r="M1264" s="62" t="n">
        <v>1</v>
      </c>
      <c r="N1264" s="62" t="n">
        <v>1</v>
      </c>
      <c r="O1264" s="65" t="n">
        <v>7</v>
      </c>
      <c r="P1264" s="60" t="s">
        <v>210</v>
      </c>
      <c r="Q1264" s="62"/>
      <c r="R1264" s="65" t="n">
        <f aca="false">IF(CA1264=1,0,IFERROR(VLOOKUP(BY1264,'Gebinde-Kategorie'!$A$5:$N$45,13,0)+0,0))</f>
        <v>0</v>
      </c>
      <c r="S1264" s="66"/>
      <c r="T1264" s="67"/>
      <c r="U1264" s="67"/>
      <c r="V1264" s="67"/>
      <c r="W1264" s="60"/>
      <c r="X1264" s="62"/>
      <c r="Y1264" s="62"/>
      <c r="Z1264" s="60"/>
      <c r="AA1264" s="60" t="str">
        <f aca="false">IF(A1264="","",IF(AND(Parameter!$B$21="Ja",ISNUMBER(W1264)),W1264,IF(AND(Parameter!$E$27="Ja",ISNUMBER(Z1264),CD1264&lt;&gt;"Nein"),Z1264,IF(CD1264="2+3",IF(ISNUMBER(SEARCH("grosser Artikel",BV1264)),2,IFERROR(VLOOKUP(BY1264,Parameter!$F$35:$G$64,2,0),2)),IF(OR(CD1264="Nein",CD1264=""),"-",CD1264)))))</f>
        <v>-</v>
      </c>
      <c r="AB1264" s="67"/>
      <c r="AC1264" s="68"/>
      <c r="AD1264" s="62" t="n">
        <f aca="false">AW1264</f>
        <v>2</v>
      </c>
      <c r="AE1264" s="62" t="n">
        <f aca="false">MAX(AW1264,H1264)</f>
        <v>3</v>
      </c>
      <c r="AF1264" s="69"/>
      <c r="AG1264" s="62" t="n">
        <f aca="false">IF(LEFT(Cockpit!$C$5,1)="A",H1264,IF(Parameter!$E$30="MAX-Bestand",IF(CI1264=1,CJ1264,IF(LEFT(Cockpit!$C$5,1)="B",AM1264,MAX(AM1264,H1264))),ROUNDUP(AK1264,0)))</f>
        <v>3</v>
      </c>
      <c r="AH1264" s="62" t="n">
        <f aca="false">IF(CA1264=1,0,ROUNDUP(AG1264/BZ1264,0))</f>
        <v>0</v>
      </c>
      <c r="AI1264" s="64" t="n">
        <f aca="false">IF(CR1264&gt;0,CR1264*MAX(1,AG1264/X1264),IF(CA1264=1,IF(AG1264&lt;=0,0,CE1264*MAX(1,IF(H1264&gt;0,AG1264/H1264,1))),IF(R1264&gt;0,AH1264/R1264,0))/MAX(0.1,N(Parameter!$M$21)))</f>
        <v>0.15</v>
      </c>
      <c r="AJ1264" s="62" t="n">
        <f aca="false">AI1264*CC1264</f>
        <v>35.25</v>
      </c>
      <c r="AK1264" s="63" t="n">
        <f aca="false">IF(LEFT(Cockpit!$C$5,1)="A",H1264,IF(CI1264=1,(CL1264+CJ1264)/2,IF(LEFT(Cockpit!$C$5,1)="B",(CL1264+AM1264)/2,MAX((CL1264+AM1264)/2,H1264))))</f>
        <v>3</v>
      </c>
      <c r="AL1264" s="62" t="n">
        <f aca="false">AK1264*G1264</f>
        <v>2504.25</v>
      </c>
      <c r="AM1264" s="62" t="n">
        <f aca="false">ROUNDUP(CL1264+MAX(CM1264,2*(J1264/IF(CH1264&gt;0,CH1264,MAX(0.1,N(Cockpit!$C$6)))-CL1264)),0)</f>
        <v>2</v>
      </c>
      <c r="AN1264" s="63" t="n">
        <f aca="false">IF(AJ1264&gt;0,J1264/AJ1264,-1)</f>
        <v>0</v>
      </c>
      <c r="AO1264" s="63" t="str">
        <f aca="false">IF(AND(OR(CG1264="L1",CG1264="L23",CG1264="LIFT"),AJ1264&gt;0),SUMIFS($AJ$7:$AJ$1843,$CG$7:$CG$1843,CG1264,$AN$7:$AN$1843,"&gt;"&amp;AN1264)+SUMIFS($AJ$7:$AJ$1843,$CG$7:$CG$1843,CG1264,$AN$7:$AN$1843,AN1264,$BX$7:$BX$1843,"&lt;="&amp;BX1264),"")</f>
        <v/>
      </c>
      <c r="AP1264" s="70" t="n">
        <f aca="false">IF(AO1264="",0,MAX(0,MIN(1,(IF(CG1264="L1",Parameter!$H$5,IF(CG1264="L23",Parameter!$H$6+Parameter!$H$7,Parameter!$H$5+Parameter!$H$6+Parameter!$H$7))-(AO1264-AJ1264))/AJ1264)))</f>
        <v>0</v>
      </c>
      <c r="AQ1264" s="62" t="n">
        <f aca="false">IF(LEFT(Cockpit!$I$5,1)="A",H1264,IF(Parameter!$E$30="MAX-Bestand",IF(CI1264=1,CJ1264,IF(LEFT(Cockpit!$I$5,1)="B",AW1264,MAX(AW1264,H1264))),ROUNDUP(AU1264,0)))</f>
        <v>3</v>
      </c>
      <c r="AR1264" s="62" t="n">
        <f aca="false">IF(CA1264=1,0,ROUNDUP(AQ1264/BZ1264,0))</f>
        <v>0</v>
      </c>
      <c r="AS1264" s="64" t="n">
        <f aca="false">IF(CR1264&gt;0,CR1264*MAX(1,AQ1264/X1264),IF(CA1264=1,IF(AQ1264&lt;=0,0,CE1264*MAX(1,IF(H1264&gt;0,AQ1264/H1264,1))),IF(R1264&gt;0,AR1264/R1264,0))/MAX(0.1,N(Parameter!$M$21)))</f>
        <v>0.15</v>
      </c>
      <c r="AT1264" s="62" t="n">
        <f aca="false">AS1264*CC1264</f>
        <v>35.25</v>
      </c>
      <c r="AU1264" s="63" t="n">
        <f aca="false">IF(LEFT(Cockpit!$I$5,1)="A",H1264,IF(CI1264=1,(CL1264+CJ1264)/2,IF(LEFT(Cockpit!$I$5,1)="B",(CL1264+AW1264)/2,MAX((CL1264+AW1264)/2,H1264))))</f>
        <v>3</v>
      </c>
      <c r="AV1264" s="62" t="n">
        <f aca="false">AU1264*G1264</f>
        <v>2504.25</v>
      </c>
      <c r="AW1264" s="62" t="n">
        <f aca="false">ROUNDUP(CL1264+MAX(CM1264,2*(J1264/IF(CH1264&gt;0,CH1264,MAX(0.1,N(Cockpit!$I$6)))-CL1264)),0)</f>
        <v>2</v>
      </c>
      <c r="AX1264" s="63" t="n">
        <f aca="false">IF(AT1264&gt;0,J1264/AT1264,-1)</f>
        <v>0</v>
      </c>
      <c r="AY1264" s="63" t="str">
        <f aca="false">IF(AND(OR(CG1264="L1",CG1264="L23",CG1264="LIFT"),AT1264&gt;0),SUMIFS($AT$7:$AT$1843,$CG$7:$CG$1843,CG1264,$AX$7:$AX$1843,"&gt;"&amp;AX1264)+SUMIFS($AT$7:$AT$1843,$CG$7:$CG$1843,CG1264,$AX$7:$AX$1843,AX1264,$BX$7:$BX$1843,"&lt;="&amp;BX1264),"")</f>
        <v/>
      </c>
      <c r="AZ1264" s="70" t="n">
        <f aca="false">IF(AY1264="",0,MAX(0,MIN(1,(IF(CG1264="L1",Parameter!$H$5,IF(CG1264="L23",Parameter!$H$6+Parameter!$H$7,Parameter!$H$5+Parameter!$H$6+Parameter!$H$7))-(AY1264-AT1264))/AT1264)))</f>
        <v>0</v>
      </c>
      <c r="BA1264" s="62" t="n">
        <f aca="false">IF(LEFT(Cockpit!$O$5,1)="A",H1264,IF(Parameter!$E$30="MAX-Bestand",IF(CI1264=1,CJ1264,IF(LEFT(Cockpit!$O$5,1)="B",BG1264,MAX(BG1264,H1264))),ROUNDUP(BE1264,0)))</f>
        <v>2</v>
      </c>
      <c r="BB1264" s="62" t="n">
        <f aca="false">IF(CA1264=1,0,ROUNDUP(BA1264/BZ1264,0))</f>
        <v>0</v>
      </c>
      <c r="BC1264" s="64" t="n">
        <f aca="false">IF(CR1264&gt;0,CR1264*MAX(1,BA1264/X1264),IF(CA1264=1,IF(BA1264&lt;=0,0,CE1264*MAX(1,IF(H1264&gt;0,BA1264/H1264,1))),IF(R1264&gt;0,BB1264/R1264,0))/MAX(0.1,N(Parameter!$M$21)))</f>
        <v>0.15</v>
      </c>
      <c r="BD1264" s="62" t="n">
        <f aca="false">BC1264*CC1264</f>
        <v>35.25</v>
      </c>
      <c r="BE1264" s="63" t="n">
        <f aca="false">IF(LEFT(Cockpit!$O$5,1)="A",H1264,IF(CI1264=1,(CL1264+CJ1264)/2,IF(LEFT(Cockpit!$O$5,1)="B",(CL1264+BG1264)/2,MAX((CL1264+BG1264)/2,H1264))))</f>
        <v>1.5</v>
      </c>
      <c r="BF1264" s="62" t="n">
        <f aca="false">BE1264*G1264</f>
        <v>1252.125</v>
      </c>
      <c r="BG1264" s="62" t="n">
        <f aca="false">ROUNDUP(CL1264+MAX(CM1264,2*(J1264/IF(CH1264&gt;0,CH1264,MAX(0.1,N(Cockpit!$O$6)))-CL1264)),0)</f>
        <v>2</v>
      </c>
      <c r="BH1264" s="63" t="n">
        <f aca="false">IF(BD1264&gt;0,J1264/BD1264,-1)</f>
        <v>0</v>
      </c>
      <c r="BI1264" s="63" t="str">
        <f aca="false">IF(AND(OR(CG1264="L1",CG1264="L23",CG1264="LIFT"),BD1264&gt;0),SUMIFS($BD$7:$BD$1843,$CG$7:$CG$1843,CG1264,$BH$7:$BH$1843,"&gt;"&amp;BH1264)+SUMIFS($BD$7:$BD$1843,$CG$7:$CG$1843,CG1264,$BH$7:$BH$1843,BH1264,$BX$7:$BX$1843,"&lt;="&amp;BX1264),"")</f>
        <v/>
      </c>
      <c r="BJ1264" s="70" t="n">
        <f aca="false">IF(BI1264="",0,MAX(0,MIN(1,(IF(CG1264="L1",Parameter!$H$5,IF(CG1264="L23",Parameter!$H$6+Parameter!$H$7,Parameter!$H$5+Parameter!$H$6+Parameter!$H$7))-(BI1264-BD1264))/BD1264)))</f>
        <v>0</v>
      </c>
      <c r="BK1264" s="60" t="str">
        <f aca="false">IF(AJ1264&lt;=0,"",IF(CG1264="Aussen","Aussenlager",IF(CG1264="-","Nicht im Lift",IF(AP1264&gt;=1,"Lift",IF(AP1264&lt;=0,"Aussenlager","teilweise")))))</f>
        <v>Nicht im Lift</v>
      </c>
      <c r="BL1264" s="60" t="str">
        <f aca="false">IF(AT1264&lt;=0,"",IF(CG1264="Aussen","Aussenlager",IF(CG1264="-","Nicht im Lift",IF(AZ1264&gt;=1,"Lift",IF(AZ1264&lt;=0,"Aussenlager","teilweise")))))</f>
        <v>Nicht im Lift</v>
      </c>
      <c r="BM1264" s="60" t="str">
        <f aca="false">IF(BD1264&lt;=0,"",IF(CG1264="Aussen","Aussenlager",IF(CG1264="-","Nicht im Lift",IF(BJ1264&gt;=1,"Lift",IF(BJ1264&lt;=0,"Aussenlager","teilweise")))))</f>
        <v>Nicht im Lift</v>
      </c>
      <c r="BN1264" s="60" t="str">
        <f aca="false">IF(A1264="","",IF(BW1264=1,"Neu; ","")&amp;IF(AND(BW1264=0,BR1264&lt;0),"negativer Bestand (Export "&amp;BR1264&amp;"); ","")&amp;IF(J1264&lt;=0,"Kein Verbrauch; ","")&amp;IF(CR1264&gt;0,"Lift "&amp;W1264&amp;" lt. Liftbericht (Fach "&amp;X1264&amp;" Stk); ",IF(CB1264=1,"Gebinde geschätzt ("&amp;T1264&amp;"); ",IF(CA1264=1,"Lose – Tablare geschätzt; ","")))&amp;IF(H1264&gt;AW1264,"Überbestand "&amp;ROUND(H1264-AW1264,0)&amp;" Stk / CHF "&amp;ROUND((H1264-AW1264)*G1264,0)&amp;"; ","")&amp;IF(AND(CI1264=1,CJ1264&lt;CK1264),"MAX &lt; MB+LG; ","")&amp;IF(AND(CQ1264&gt;0,CP1264*10&gt;CQ1264),"zu hoch für Tablar; ","")&amp;IF(AND(BW1264=0,OR(CI1264=1,AB1264&lt;&gt;"",U1264&lt;&gt;"",V1264&lt;&gt;"",AC1264&lt;&gt;"")),"manuell übersteuert; ","")&amp;IF(AND(CA1264=0,R1264=0),"Gebinde unbekannt / Stellmass fehlt; ","")&amp;IF(AND(CA1264=0,N(V1264)&lt;=0,N(Q1264)&lt;=0),"Menge pro Gebinde fehlt (Ist = 1 Gebinde); ","")&amp;BV1264)</f>
        <v>Kein Verbrauch; Lose – Tablare geschätzt; Überbestand 1 Stk / CHF 835; </v>
      </c>
      <c r="BO1264" s="60"/>
      <c r="BP1264" s="60"/>
      <c r="BQ1264" s="67"/>
      <c r="BR1264" s="62" t="n">
        <v>1</v>
      </c>
      <c r="BS1264" s="62" t="n">
        <v>2</v>
      </c>
      <c r="BT1264" s="61" t="n">
        <v>-834.75</v>
      </c>
      <c r="BU1264" s="62" t="n">
        <v>0</v>
      </c>
      <c r="BV1264" s="60"/>
      <c r="BW1264" s="65" t="n">
        <v>0</v>
      </c>
      <c r="BX1264" s="65" t="n">
        <v>1264</v>
      </c>
      <c r="BY1264" s="60" t="str">
        <f aca="false">IF(U1264&lt;&gt;"",UPPER(TRIM(U1264)),IF(CB1264=1,UPPER(VLOOKUP(T1264,Parameter!$I$27:$K$29,2,0)),IF(P1264="","LOSE",P1264)))</f>
        <v>LOSE</v>
      </c>
      <c r="BZ1264" s="62" t="n">
        <f aca="false">IF(BY1264="LOSE",1,IF(N(V1264)&gt;0,V1264,IF(CB1264=1,MAX(1,N(VLOOKUP(T1264,Parameter!$I$27:$K$29,3,0)),H1264,N(N1264)),IF(N(Q1264)&gt;0,Q1264,MAX(1,H1264)))))</f>
        <v>1</v>
      </c>
      <c r="CA1264" s="65" t="n">
        <f aca="false">IF(BY1264="LOSE",1,0)</f>
        <v>1</v>
      </c>
      <c r="CB1264" s="65" t="n">
        <f aca="false">IF(AND(U1264="",OR(P1264="",P1264="LOSE"),T1264&lt;&gt;"",N(S1264)&lt;=0,ISNUMBER(MATCH(T1264,Parameter!$I$27:$I$29,0))),1,0)</f>
        <v>0</v>
      </c>
      <c r="CC1264" s="65" t="n">
        <f aca="false">IF(CR1264&gt;0,INDEX(Parameter!$H$5:$H$7,W1264)/INDEX(Parameter!$E$5:$E$7,W1264),IF(AND(CA1264=0,N(IFERROR(VLOOKUP(BY1264,'Gebinde-Kategorie'!$A$5:$N$45,14,0),0))&gt;0),VLOOKUP(BY1264,'Gebinde-Kategorie'!$A$5:$N$45,14,0)*10+Parameter!$M$23,Parameter!$M$24))</f>
        <v>235</v>
      </c>
      <c r="CD1264" s="60" t="str">
        <f aca="false">IF(AND(Parameter!$B$19="Ja",E1264&lt;&gt;"",ISNUMBER(MATCH(E1264,Parameter!$I$35:$I$52,0))),VLOOKUP(E1264,Parameter!$I$35:$J$52,2,0),IFERROR(VLOOKUP(D1264,Parameter!$A$35:$C$64,2,0),"Nein"))</f>
        <v>Nein</v>
      </c>
      <c r="CE1264" s="64" t="n">
        <f aca="false">IF(CA1264=0,0,IF(N(S1264)&gt;0,S1264,IFERROR(VLOOKUP(D1264,Parameter!$A$35:$C$64,3,0)+0,0)))</f>
        <v>0.15</v>
      </c>
      <c r="CF1264" s="60" t="str">
        <f aca="false">IF(AB1264&lt;&gt;"",AB1264,AA1264)</f>
        <v>-</v>
      </c>
      <c r="CG1264" s="60" t="str">
        <f aca="false">IF(OR(CF1264=1,CF1264=2,CF1264=3),IF(Parameter!$E$27="Ja","LIFT",IF(CF1264=1,"L1","L23")),IF(CF1264="Aussen","Aussen","-"))</f>
        <v>-</v>
      </c>
      <c r="CH1264" s="71" t="n">
        <f aca="false">IF(N(AC1264)&gt;0,AC1264,0)</f>
        <v>0</v>
      </c>
      <c r="CI1264" s="65" t="n">
        <f aca="false">IF(ISNUMBER(AF1264),1,0)</f>
        <v>0</v>
      </c>
      <c r="CJ1264" s="62" t="n">
        <f aca="false">N(AF1264)</f>
        <v>0</v>
      </c>
      <c r="CK1264" s="62" t="n">
        <f aca="false">N(M1264)+N(N1264)</f>
        <v>2</v>
      </c>
      <c r="CL1264" s="62" t="n">
        <f aca="false">N(M1264)</f>
        <v>1</v>
      </c>
      <c r="CM1264" s="62" t="n">
        <f aca="false">N(N1264)</f>
        <v>1</v>
      </c>
      <c r="CN1264" s="62" t="n">
        <f aca="false">ROUNDUP(H1264/BZ1264,0)</f>
        <v>3</v>
      </c>
      <c r="CO1264" s="62" t="n">
        <f aca="false">ROUNDUP(CJ1264/BZ1264,0)</f>
        <v>0</v>
      </c>
      <c r="CP1264" s="65" t="n">
        <f aca="false">IF(CA1264=1,0,IFERROR(VLOOKUP(BY1264,'Gebinde-Kategorie'!$A$5:$N$45,5,0)+0,0))</f>
        <v>0</v>
      </c>
      <c r="CQ1264" s="65" t="n">
        <f aca="false">IFERROR(IF(OR(CF1264=1,CF1264=2,CF1264=3),N(INDEX(Parameter!$I$5:$I$7,CF1264)),0),0)</f>
        <v>0</v>
      </c>
      <c r="CR1264" s="64" t="n">
        <f aca="false">IF(AND(Parameter!$B$21="Ja",ISNUMBER(W1264),N(X1264)&gt;0),IFERROR(N(INDEX(Parameter!$L$5:$L$7,W1264))*INDEX(Parameter!$E$5:$E$7,W1264)*X1264/SUMIFS($X$7:$X$1843,$W$7:$W$1843,W1264),0),0)</f>
        <v>0</v>
      </c>
      <c r="CS1264" s="62" t="str">
        <f aca="false">IF(AND(OR(CG1264="L1",CG1264="L23",CG1264="LIFT"),H1264&gt;0),CC1264*IF(CR1264&gt;0,CR1264*MAX(1,H1264/X1264),IF(CA1264=1,CE1264,IF(R1264&gt;0,CN1264/R1264,0))/MAX(0.1,N(Parameter!$M$21))),"")</f>
        <v/>
      </c>
      <c r="CT1264" s="64" t="str">
        <f aca="false">IF(CS1264="","",J1264/H1264)</f>
        <v/>
      </c>
      <c r="CU1264" s="62" t="str">
        <f aca="false">IF(CS1264="","",H1264*G1264)</f>
        <v/>
      </c>
      <c r="CV1264" s="63" t="str">
        <f aca="false">IF(CS1264="","",(CL1264+ROUNDUP(CL1264+MAX(CM1264,2*(J1264/MAX(0.1,N(Einkauf!$C$6))-CL1264)),0))/2)</f>
        <v/>
      </c>
      <c r="CW1264" s="62" t="str">
        <f aca="false">IF(CS1264="","",MAX(0,H1264-CV1264)*G1264)</f>
        <v/>
      </c>
      <c r="CX1264" s="62" t="str">
        <f aca="false">IF(CS1264="","",CS1264*MAX(0,1-CV1264/H1264))</f>
        <v/>
      </c>
      <c r="CY1264" s="64" t="str">
        <f aca="false">IF(CS1264="","",PERCENTRANK($CS$7:$CS$1843,CS1264)+PERCENTRANK($CU$7:$CU$1843,CU1264)+1-PERCENTRANK($CT$7:$CT$1843,CT1264))</f>
        <v/>
      </c>
      <c r="CZ1264" s="72" t="str">
        <f aca="false">IF(CS1264="","",CHOOSE(MATCH(Einkauf!$C$5,Parameter!$G$23:$G$27,0),CY1264,CS1264,CU1264,-CT1264,CW1264)+ROW()/1000000000)</f>
        <v/>
      </c>
    </row>
    <row r="1265" customFormat="false" ht="15" hidden="false" customHeight="false" outlineLevel="0" collapsed="false">
      <c r="A1265" s="60" t="s">
        <v>2301</v>
      </c>
      <c r="B1265" s="60" t="s">
        <v>2302</v>
      </c>
      <c r="C1265" s="60" t="s">
        <v>206</v>
      </c>
      <c r="D1265" s="60" t="s">
        <v>226</v>
      </c>
      <c r="E1265" s="60" t="s">
        <v>227</v>
      </c>
      <c r="F1265" s="60" t="s">
        <v>260</v>
      </c>
      <c r="G1265" s="61" t="n">
        <v>28.7</v>
      </c>
      <c r="H1265" s="62" t="n">
        <f aca="false">MAX(0,IF(AND(Parameter!$B$21="Ja",ISNUMBER(Y1265)),Y1265,IF(Parameter!$B$20="Jahresanfang 2025 + Export",BS1265+BR1265,BR1265)))</f>
        <v>110</v>
      </c>
      <c r="I1265" s="62" t="n">
        <f aca="false">H1265*G1265</f>
        <v>3157</v>
      </c>
      <c r="J1265" s="62" t="n">
        <f aca="false">BU1265*Parameter!$B$18</f>
        <v>19</v>
      </c>
      <c r="K1265" s="63" t="n">
        <v>130.5</v>
      </c>
      <c r="L1265" s="64" t="n">
        <v>0.145593869731801</v>
      </c>
      <c r="M1265" s="62" t="n">
        <v>1</v>
      </c>
      <c r="N1265" s="62" t="n">
        <v>20</v>
      </c>
      <c r="O1265" s="65" t="n">
        <v>28</v>
      </c>
      <c r="P1265" s="60" t="s">
        <v>268</v>
      </c>
      <c r="Q1265" s="62" t="n">
        <v>183</v>
      </c>
      <c r="R1265" s="65" t="n">
        <f aca="false">IF(CA1265=1,0,IFERROR(VLOOKUP(BY1265,'Gebinde-Kategorie'!$A$5:$N$45,13,0)+0,0))</f>
        <v>12</v>
      </c>
      <c r="S1265" s="66"/>
      <c r="T1265" s="67"/>
      <c r="U1265" s="67"/>
      <c r="V1265" s="67"/>
      <c r="W1265" s="60"/>
      <c r="X1265" s="62"/>
      <c r="Y1265" s="62"/>
      <c r="Z1265" s="60" t="n">
        <v>3</v>
      </c>
      <c r="AA1265" s="60" t="n">
        <f aca="false">IF(A1265="","",IF(AND(Parameter!$B$21="Ja",ISNUMBER(W1265)),W1265,IF(AND(Parameter!$E$27="Ja",ISNUMBER(Z1265),CD1265&lt;&gt;"Nein"),Z1265,IF(CD1265="2+3",IF(ISNUMBER(SEARCH("grosser Artikel",BV1265)),2,IFERROR(VLOOKUP(BY1265,Parameter!$F$35:$G$64,2,0),2)),IF(OR(CD1265="Nein",CD1265=""),"-",CD1265)))))</f>
        <v>3</v>
      </c>
      <c r="AB1265" s="67"/>
      <c r="AC1265" s="68"/>
      <c r="AD1265" s="62" t="n">
        <f aca="false">AW1265</f>
        <v>21</v>
      </c>
      <c r="AE1265" s="62" t="n">
        <f aca="false">MAX(AW1265,H1265)</f>
        <v>110</v>
      </c>
      <c r="AF1265" s="69"/>
      <c r="AG1265" s="62" t="n">
        <f aca="false">IF(LEFT(Cockpit!$C$5,1)="A",H1265,IF(Parameter!$E$30="MAX-Bestand",IF(CI1265=1,CJ1265,IF(LEFT(Cockpit!$C$5,1)="B",AM1265,MAX(AM1265,H1265))),ROUNDUP(AK1265,0)))</f>
        <v>110</v>
      </c>
      <c r="AH1265" s="62" t="n">
        <f aca="false">IF(CA1265=1,0,ROUNDUP(AG1265/BZ1265,0))</f>
        <v>1</v>
      </c>
      <c r="AI1265" s="64" t="n">
        <f aca="false">IF(CR1265&gt;0,CR1265*MAX(1,AG1265/X1265),IF(CA1265=1,IF(AG1265&lt;=0,0,CE1265*MAX(1,IF(H1265&gt;0,AG1265/H1265,1))),IF(R1265&gt;0,AH1265/R1265,0))/MAX(0.1,N(Parameter!$M$21)))</f>
        <v>0.0833333333333333</v>
      </c>
      <c r="AJ1265" s="62" t="n">
        <f aca="false">AI1265*CC1265</f>
        <v>28.75</v>
      </c>
      <c r="AK1265" s="63" t="n">
        <f aca="false">IF(LEFT(Cockpit!$C$5,1)="A",H1265,IF(CI1265=1,(CL1265+CJ1265)/2,IF(LEFT(Cockpit!$C$5,1)="B",(CL1265+AM1265)/2,MAX((CL1265+AM1265)/2,H1265))))</f>
        <v>110</v>
      </c>
      <c r="AL1265" s="62" t="n">
        <f aca="false">AK1265*G1265</f>
        <v>3157</v>
      </c>
      <c r="AM1265" s="62" t="n">
        <f aca="false">ROUNDUP(CL1265+MAX(CM1265,2*(J1265/IF(CH1265&gt;0,CH1265,MAX(0.1,N(Cockpit!$C$6)))-CL1265)),0)</f>
        <v>21</v>
      </c>
      <c r="AN1265" s="63" t="n">
        <f aca="false">IF(AJ1265&gt;0,J1265/AJ1265,-1)</f>
        <v>0.660869565217391</v>
      </c>
      <c r="AO1265" s="63" t="n">
        <f aca="false">IF(AND(OR(CG1265="L1",CG1265="L23",CG1265="LIFT"),AJ1265&gt;0),SUMIFS($AJ$7:$AJ$1843,$CG$7:$CG$1843,CG1265,$AN$7:$AN$1843,"&gt;"&amp;AN1265)+SUMIFS($AJ$7:$AJ$1843,$CG$7:$CG$1843,CG1265,$AN$7:$AN$1843,AN1265,$BX$7:$BX$1843,"&lt;="&amp;BX1265),"")</f>
        <v>8733.3717948718</v>
      </c>
      <c r="AP1265" s="70" t="n">
        <f aca="false">IF(AO1265="",0,MAX(0,MIN(1,(IF(CG1265="L1",Parameter!$H$5,IF(CG1265="L23",Parameter!$H$6+Parameter!$H$7,Parameter!$H$5+Parameter!$H$6+Parameter!$H$7))-(AO1265-AJ1265))/AJ1265)))</f>
        <v>1</v>
      </c>
      <c r="AQ1265" s="62" t="n">
        <f aca="false">IF(LEFT(Cockpit!$I$5,1)="A",H1265,IF(Parameter!$E$30="MAX-Bestand",IF(CI1265=1,CJ1265,IF(LEFT(Cockpit!$I$5,1)="B",AW1265,MAX(AW1265,H1265))),ROUNDUP(AU1265,0)))</f>
        <v>110</v>
      </c>
      <c r="AR1265" s="62" t="n">
        <f aca="false">IF(CA1265=1,0,ROUNDUP(AQ1265/BZ1265,0))</f>
        <v>1</v>
      </c>
      <c r="AS1265" s="64" t="n">
        <f aca="false">IF(CR1265&gt;0,CR1265*MAX(1,AQ1265/X1265),IF(CA1265=1,IF(AQ1265&lt;=0,0,CE1265*MAX(1,IF(H1265&gt;0,AQ1265/H1265,1))),IF(R1265&gt;0,AR1265/R1265,0))/MAX(0.1,N(Parameter!$M$21)))</f>
        <v>0.0833333333333333</v>
      </c>
      <c r="AT1265" s="62" t="n">
        <f aca="false">AS1265*CC1265</f>
        <v>28.75</v>
      </c>
      <c r="AU1265" s="63" t="n">
        <f aca="false">IF(LEFT(Cockpit!$I$5,1)="A",H1265,IF(CI1265=1,(CL1265+CJ1265)/2,IF(LEFT(Cockpit!$I$5,1)="B",(CL1265+AW1265)/2,MAX((CL1265+AW1265)/2,H1265))))</f>
        <v>110</v>
      </c>
      <c r="AV1265" s="62" t="n">
        <f aca="false">AU1265*G1265</f>
        <v>3157</v>
      </c>
      <c r="AW1265" s="62" t="n">
        <f aca="false">ROUNDUP(CL1265+MAX(CM1265,2*(J1265/IF(CH1265&gt;0,CH1265,MAX(0.1,N(Cockpit!$I$6)))-CL1265)),0)</f>
        <v>21</v>
      </c>
      <c r="AX1265" s="63" t="n">
        <f aca="false">IF(AT1265&gt;0,J1265/AT1265,-1)</f>
        <v>0.660869565217391</v>
      </c>
      <c r="AY1265" s="63" t="n">
        <f aca="false">IF(AND(OR(CG1265="L1",CG1265="L23",CG1265="LIFT"),AT1265&gt;0),SUMIFS($AT$7:$AT$1843,$CG$7:$CG$1843,CG1265,$AX$7:$AX$1843,"&gt;"&amp;AX1265)+SUMIFS($AT$7:$AT$1843,$CG$7:$CG$1843,CG1265,$AX$7:$AX$1843,AX1265,$BX$7:$BX$1843,"&lt;="&amp;BX1265),"")</f>
        <v>11033.5009157509</v>
      </c>
      <c r="AZ1265" s="70" t="n">
        <f aca="false">IF(AY1265="",0,MAX(0,MIN(1,(IF(CG1265="L1",Parameter!$H$5,IF(CG1265="L23",Parameter!$H$6+Parameter!$H$7,Parameter!$H$5+Parameter!$H$6+Parameter!$H$7))-(AY1265-AT1265))/AT1265)))</f>
        <v>1</v>
      </c>
      <c r="BA1265" s="62" t="n">
        <f aca="false">IF(LEFT(Cockpit!$O$5,1)="A",H1265,IF(Parameter!$E$30="MAX-Bestand",IF(CI1265=1,CJ1265,IF(LEFT(Cockpit!$O$5,1)="B",BG1265,MAX(BG1265,H1265))),ROUNDUP(BE1265,0)))</f>
        <v>11</v>
      </c>
      <c r="BB1265" s="62" t="n">
        <f aca="false">IF(CA1265=1,0,ROUNDUP(BA1265/BZ1265,0))</f>
        <v>1</v>
      </c>
      <c r="BC1265" s="64" t="n">
        <f aca="false">IF(CR1265&gt;0,CR1265*MAX(1,BA1265/X1265),IF(CA1265=1,IF(BA1265&lt;=0,0,CE1265*MAX(1,IF(H1265&gt;0,BA1265/H1265,1))),IF(R1265&gt;0,BB1265/R1265,0))/MAX(0.1,N(Parameter!$M$21)))</f>
        <v>0.0833333333333333</v>
      </c>
      <c r="BD1265" s="62" t="n">
        <f aca="false">BC1265*CC1265</f>
        <v>28.75</v>
      </c>
      <c r="BE1265" s="63" t="n">
        <f aca="false">IF(LEFT(Cockpit!$O$5,1)="A",H1265,IF(CI1265=1,(CL1265+CJ1265)/2,IF(LEFT(Cockpit!$O$5,1)="B",(CL1265+BG1265)/2,MAX((CL1265+BG1265)/2,H1265))))</f>
        <v>11</v>
      </c>
      <c r="BF1265" s="62" t="n">
        <f aca="false">BE1265*G1265</f>
        <v>315.7</v>
      </c>
      <c r="BG1265" s="62" t="n">
        <f aca="false">ROUNDUP(CL1265+MAX(CM1265,2*(J1265/IF(CH1265&gt;0,CH1265,MAX(0.1,N(Cockpit!$O$6)))-CL1265)),0)</f>
        <v>21</v>
      </c>
      <c r="BH1265" s="63" t="n">
        <f aca="false">IF(BD1265&gt;0,J1265/BD1265,-1)</f>
        <v>0.660869565217391</v>
      </c>
      <c r="BI1265" s="63" t="n">
        <f aca="false">IF(AND(OR(CG1265="L1",CG1265="L23",CG1265="LIFT"),BD1265&gt;0),SUMIFS($BD$7:$BD$1843,$CG$7:$CG$1843,CG1265,$BH$7:$BH$1843,"&gt;"&amp;BH1265)+SUMIFS($BD$7:$BD$1843,$CG$7:$CG$1843,CG1265,$BH$7:$BH$1843,BH1265,$BX$7:$BX$1843,"&lt;="&amp;BX1265),"")</f>
        <v>9646.11584249084</v>
      </c>
      <c r="BJ1265" s="70" t="n">
        <f aca="false">IF(BI1265="",0,MAX(0,MIN(1,(IF(CG1265="L1",Parameter!$H$5,IF(CG1265="L23",Parameter!$H$6+Parameter!$H$7,Parameter!$H$5+Parameter!$H$6+Parameter!$H$7))-(BI1265-BD1265))/BD1265)))</f>
        <v>1</v>
      </c>
      <c r="BK1265" s="60" t="str">
        <f aca="false">IF(AJ1265&lt;=0,"",IF(CG1265="Aussen","Aussenlager",IF(CG1265="-","Nicht im Lift",IF(AP1265&gt;=1,"Lift",IF(AP1265&lt;=0,"Aussenlager","teilweise")))))</f>
        <v>Lift</v>
      </c>
      <c r="BL1265" s="60" t="str">
        <f aca="false">IF(AT1265&lt;=0,"",IF(CG1265="Aussen","Aussenlager",IF(CG1265="-","Nicht im Lift",IF(AZ1265&gt;=1,"Lift",IF(AZ1265&lt;=0,"Aussenlager","teilweise")))))</f>
        <v>Lift</v>
      </c>
      <c r="BM1265" s="60" t="str">
        <f aca="false">IF(BD1265&lt;=0,"",IF(CG1265="Aussen","Aussenlager",IF(CG1265="-","Nicht im Lift",IF(BJ1265&gt;=1,"Lift",IF(BJ1265&lt;=0,"Aussenlager","teilweise")))))</f>
        <v>Lift</v>
      </c>
      <c r="BN1265" s="60" t="str">
        <f aca="false">IF(A1265="","",IF(BW1265=1,"Neu; ","")&amp;IF(AND(BW1265=0,BR1265&lt;0),"negativer Bestand (Export "&amp;BR1265&amp;"); ","")&amp;IF(J1265&lt;=0,"Kein Verbrauch; ","")&amp;IF(CR1265&gt;0,"Lift "&amp;W1265&amp;" lt. Liftbericht (Fach "&amp;X1265&amp;" Stk); ",IF(CB1265=1,"Gebinde geschätzt ("&amp;T1265&amp;"); ",IF(CA1265=1,"Lose – Tablare geschätzt; ","")))&amp;IF(H1265&gt;AW1265,"Überbestand "&amp;ROUND(H1265-AW1265,0)&amp;" Stk / CHF "&amp;ROUND((H1265-AW1265)*G1265,0)&amp;"; ","")&amp;IF(AND(CI1265=1,CJ1265&lt;CK1265),"MAX &lt; MB+LG; ","")&amp;IF(AND(CQ1265&gt;0,CP1265*10&gt;CQ1265),"zu hoch für Tablar; ","")&amp;IF(AND(BW1265=0,OR(CI1265=1,AB1265&lt;&gt;"",U1265&lt;&gt;"",V1265&lt;&gt;"",AC1265&lt;&gt;"")),"manuell übersteuert; ","")&amp;IF(AND(CA1265=0,R1265=0),"Gebinde unbekannt / Stellmass fehlt; ","")&amp;IF(AND(CA1265=0,N(V1265)&lt;=0,N(Q1265)&lt;=0),"Menge pro Gebinde fehlt (Ist = 1 Gebinde); ","")&amp;BV1265)</f>
        <v>negativer Bestand (Export -30); Überbestand 89 Stk / CHF 2554; Überbestand</v>
      </c>
      <c r="BO1265" s="60"/>
      <c r="BP1265" s="60"/>
      <c r="BQ1265" s="67"/>
      <c r="BR1265" s="62" t="n">
        <v>-30</v>
      </c>
      <c r="BS1265" s="62" t="n">
        <v>140</v>
      </c>
      <c r="BT1265" s="61" t="n">
        <v>-861</v>
      </c>
      <c r="BU1265" s="62" t="n">
        <v>19</v>
      </c>
      <c r="BV1265" s="60" t="s">
        <v>434</v>
      </c>
      <c r="BW1265" s="65" t="n">
        <v>0</v>
      </c>
      <c r="BX1265" s="65" t="n">
        <v>1265</v>
      </c>
      <c r="BY1265" s="60" t="str">
        <f aca="false">IF(U1265&lt;&gt;"",UPPER(TRIM(U1265)),IF(CB1265=1,UPPER(VLOOKUP(T1265,Parameter!$I$27:$K$29,2,0)),IF(P1265="","LOSE",P1265)))</f>
        <v>S63</v>
      </c>
      <c r="BZ1265" s="62" t="n">
        <f aca="false">IF(BY1265="LOSE",1,IF(N(V1265)&gt;0,V1265,IF(CB1265=1,MAX(1,N(VLOOKUP(T1265,Parameter!$I$27:$K$29,3,0)),H1265,N(N1265)),IF(N(Q1265)&gt;0,Q1265,MAX(1,H1265)))))</f>
        <v>183</v>
      </c>
      <c r="CA1265" s="65" t="n">
        <f aca="false">IF(BY1265="LOSE",1,0)</f>
        <v>0</v>
      </c>
      <c r="CB1265" s="65" t="n">
        <f aca="false">IF(AND(U1265="",OR(P1265="",P1265="LOSE"),T1265&lt;&gt;"",N(S1265)&lt;=0,ISNUMBER(MATCH(T1265,Parameter!$I$27:$I$29,0))),1,0)</f>
        <v>0</v>
      </c>
      <c r="CC1265" s="65" t="n">
        <f aca="false">IF(CR1265&gt;0,INDEX(Parameter!$H$5:$H$7,W1265)/INDEX(Parameter!$E$5:$E$7,W1265),IF(AND(CA1265=0,N(IFERROR(VLOOKUP(BY1265,'Gebinde-Kategorie'!$A$5:$N$45,14,0),0))&gt;0),VLOOKUP(BY1265,'Gebinde-Kategorie'!$A$5:$N$45,14,0)*10+Parameter!$M$23,Parameter!$M$24))</f>
        <v>345</v>
      </c>
      <c r="CD1265" s="60" t="str">
        <f aca="false">IF(AND(Parameter!$B$19="Ja",E1265&lt;&gt;"",ISNUMBER(MATCH(E1265,Parameter!$I$35:$I$52,0))),VLOOKUP(E1265,Parameter!$I$35:$J$52,2,0),IFERROR(VLOOKUP(D1265,Parameter!$A$35:$C$64,2,0),"Nein"))</f>
        <v>2+3</v>
      </c>
      <c r="CE1265" s="64" t="n">
        <f aca="false">IF(CA1265=0,0,IF(N(S1265)&gt;0,S1265,IFERROR(VLOOKUP(D1265,Parameter!$A$35:$C$64,3,0)+0,0)))</f>
        <v>0</v>
      </c>
      <c r="CF1265" s="60" t="n">
        <f aca="false">IF(AB1265&lt;&gt;"",AB1265,AA1265)</f>
        <v>3</v>
      </c>
      <c r="CG1265" s="60" t="str">
        <f aca="false">IF(OR(CF1265=1,CF1265=2,CF1265=3),IF(Parameter!$E$27="Ja","LIFT",IF(CF1265=1,"L1","L23")),IF(CF1265="Aussen","Aussen","-"))</f>
        <v>LIFT</v>
      </c>
      <c r="CH1265" s="71" t="n">
        <f aca="false">IF(N(AC1265)&gt;0,AC1265,0)</f>
        <v>0</v>
      </c>
      <c r="CI1265" s="65" t="n">
        <f aca="false">IF(ISNUMBER(AF1265),1,0)</f>
        <v>0</v>
      </c>
      <c r="CJ1265" s="62" t="n">
        <f aca="false">N(AF1265)</f>
        <v>0</v>
      </c>
      <c r="CK1265" s="62" t="n">
        <f aca="false">N(M1265)+N(N1265)</f>
        <v>21</v>
      </c>
      <c r="CL1265" s="62" t="n">
        <f aca="false">N(M1265)</f>
        <v>1</v>
      </c>
      <c r="CM1265" s="62" t="n">
        <f aca="false">N(N1265)</f>
        <v>20</v>
      </c>
      <c r="CN1265" s="62" t="n">
        <f aca="false">ROUNDUP(H1265/BZ1265,0)</f>
        <v>1</v>
      </c>
      <c r="CO1265" s="62" t="n">
        <f aca="false">ROUNDUP(CJ1265/BZ1265,0)</f>
        <v>0</v>
      </c>
      <c r="CP1265" s="65" t="n">
        <f aca="false">IF(CA1265=1,0,IFERROR(VLOOKUP(BY1265,'Gebinde-Kategorie'!$A$5:$N$45,5,0)+0,0))</f>
        <v>31</v>
      </c>
      <c r="CQ1265" s="65" t="n">
        <f aca="false">IFERROR(IF(OR(CF1265=1,CF1265=2,CF1265=3),N(INDEX(Parameter!$I$5:$I$7,CF1265)),0),0)</f>
        <v>0</v>
      </c>
      <c r="CR1265" s="64" t="n">
        <f aca="false">IF(AND(Parameter!$B$21="Ja",ISNUMBER(W1265),N(X1265)&gt;0),IFERROR(N(INDEX(Parameter!$L$5:$L$7,W1265))*INDEX(Parameter!$E$5:$E$7,W1265)*X1265/SUMIFS($X$7:$X$1843,$W$7:$W$1843,W1265),0),0)</f>
        <v>0</v>
      </c>
      <c r="CS1265" s="62" t="n">
        <f aca="false">IF(AND(OR(CG1265="L1",CG1265="L23",CG1265="LIFT"),H1265&gt;0),CC1265*IF(CR1265&gt;0,CR1265*MAX(1,H1265/X1265),IF(CA1265=1,CE1265,IF(R1265&gt;0,CN1265/R1265,0))/MAX(0.1,N(Parameter!$M$21))),"")</f>
        <v>28.75</v>
      </c>
      <c r="CT1265" s="64" t="n">
        <f aca="false">IF(CS1265="","",J1265/H1265)</f>
        <v>0.172727272727273</v>
      </c>
      <c r="CU1265" s="62" t="n">
        <f aca="false">IF(CS1265="","",H1265*G1265)</f>
        <v>3157</v>
      </c>
      <c r="CV1265" s="63" t="n">
        <f aca="false">IF(CS1265="","",(CL1265+ROUNDUP(CL1265+MAX(CM1265,2*(J1265/MAX(0.1,N(Einkauf!$C$6))-CL1265)),0))/2)</f>
        <v>11</v>
      </c>
      <c r="CW1265" s="62" t="n">
        <f aca="false">IF(CS1265="","",MAX(0,H1265-CV1265)*G1265)</f>
        <v>2841.3</v>
      </c>
      <c r="CX1265" s="62" t="n">
        <f aca="false">IF(CS1265="","",CS1265*MAX(0,1-CV1265/H1265))</f>
        <v>25.875</v>
      </c>
      <c r="CY1265" s="64" t="n">
        <f aca="false">IF(CS1265="","",PERCENTRANK($CS$7:$CS$1843,CS1265)+PERCENTRANK($CU$7:$CU$1843,CU1265)+1-PERCENTRANK($CT$7:$CT$1843,CT1265))</f>
        <v>2.193</v>
      </c>
      <c r="CZ1265" s="72" t="n">
        <f aca="false">IF(CS1265="","",CHOOSE(MATCH(Einkauf!$C$5,Parameter!$G$23:$G$27,0),CY1265,CS1265,CU1265,-CT1265,CW1265)+ROW()/1000000000)</f>
        <v>2.193001265</v>
      </c>
    </row>
    <row r="1266" customFormat="false" ht="15" hidden="false" customHeight="false" outlineLevel="0" collapsed="false">
      <c r="A1266" s="60" t="s">
        <v>2303</v>
      </c>
      <c r="B1266" s="60" t="s">
        <v>2304</v>
      </c>
      <c r="C1266" s="60" t="s">
        <v>206</v>
      </c>
      <c r="D1266" s="60" t="s">
        <v>226</v>
      </c>
      <c r="E1266" s="60"/>
      <c r="F1266" s="60" t="s">
        <v>260</v>
      </c>
      <c r="G1266" s="61" t="n">
        <v>2.98</v>
      </c>
      <c r="H1266" s="62" t="n">
        <f aca="false">MAX(0,IF(AND(Parameter!$B$21="Ja",ISNUMBER(Y1266)),Y1266,IF(Parameter!$B$20="Jahresanfang 2025 + Export",BS1266+BR1266,BR1266)))</f>
        <v>98</v>
      </c>
      <c r="I1266" s="62" t="n">
        <f aca="false">H1266*G1266</f>
        <v>292.04</v>
      </c>
      <c r="J1266" s="62" t="n">
        <f aca="false">BU1266*Parameter!$B$18</f>
        <v>370</v>
      </c>
      <c r="K1266" s="63" t="n">
        <v>236</v>
      </c>
      <c r="L1266" s="64" t="n">
        <v>1.56779661016949</v>
      </c>
      <c r="M1266" s="62" t="n">
        <v>28</v>
      </c>
      <c r="N1266" s="62" t="n">
        <v>370</v>
      </c>
      <c r="O1266" s="65" t="n">
        <v>28</v>
      </c>
      <c r="P1266" s="60" t="s">
        <v>344</v>
      </c>
      <c r="Q1266" s="62" t="n">
        <v>185</v>
      </c>
      <c r="R1266" s="65" t="n">
        <f aca="false">IF(CA1266=1,0,IFERROR(VLOOKUP(BY1266,'Gebinde-Kategorie'!$A$5:$N$45,13,0)+0,0))</f>
        <v>26</v>
      </c>
      <c r="S1266" s="66"/>
      <c r="T1266" s="67"/>
      <c r="U1266" s="67"/>
      <c r="V1266" s="67"/>
      <c r="W1266" s="60"/>
      <c r="X1266" s="62"/>
      <c r="Y1266" s="62"/>
      <c r="Z1266" s="60" t="n">
        <v>3</v>
      </c>
      <c r="AA1266" s="60" t="n">
        <f aca="false">IF(A1266="","",IF(AND(Parameter!$B$21="Ja",ISNUMBER(W1266)),W1266,IF(AND(Parameter!$E$27="Ja",ISNUMBER(Z1266),CD1266&lt;&gt;"Nein"),Z1266,IF(CD1266="2+3",IF(ISNUMBER(SEARCH("grosser Artikel",BV1266)),2,IFERROR(VLOOKUP(BY1266,Parameter!$F$35:$G$64,2,0),2)),IF(OR(CD1266="Nein",CD1266=""),"-",CD1266)))))</f>
        <v>3</v>
      </c>
      <c r="AB1266" s="67"/>
      <c r="AC1266" s="68"/>
      <c r="AD1266" s="62" t="n">
        <f aca="false">AW1266</f>
        <v>398</v>
      </c>
      <c r="AE1266" s="62" t="n">
        <f aca="false">MAX(AW1266,H1266)</f>
        <v>398</v>
      </c>
      <c r="AF1266" s="69"/>
      <c r="AG1266" s="62" t="n">
        <f aca="false">IF(LEFT(Cockpit!$C$5,1)="A",H1266,IF(Parameter!$E$30="MAX-Bestand",IF(CI1266=1,CJ1266,IF(LEFT(Cockpit!$C$5,1)="B",AM1266,MAX(AM1266,H1266))),ROUNDUP(AK1266,0)))</f>
        <v>98</v>
      </c>
      <c r="AH1266" s="62" t="n">
        <f aca="false">IF(CA1266=1,0,ROUNDUP(AG1266/BZ1266,0))</f>
        <v>1</v>
      </c>
      <c r="AI1266" s="64" t="n">
        <f aca="false">IF(CR1266&gt;0,CR1266*MAX(1,AG1266/X1266),IF(CA1266=1,IF(AG1266&lt;=0,0,CE1266*MAX(1,IF(H1266&gt;0,AG1266/H1266,1))),IF(R1266&gt;0,AH1266/R1266,0))/MAX(0.1,N(Parameter!$M$21)))</f>
        <v>0.0384615384615385</v>
      </c>
      <c r="AJ1266" s="62" t="n">
        <f aca="false">AI1266*CC1266</f>
        <v>5.96153846153846</v>
      </c>
      <c r="AK1266" s="63" t="n">
        <f aca="false">IF(LEFT(Cockpit!$C$5,1)="A",H1266,IF(CI1266=1,(CL1266+CJ1266)/2,IF(LEFT(Cockpit!$C$5,1)="B",(CL1266+AM1266)/2,MAX((CL1266+AM1266)/2,H1266))))</f>
        <v>98</v>
      </c>
      <c r="AL1266" s="62" t="n">
        <f aca="false">AK1266*G1266</f>
        <v>292.04</v>
      </c>
      <c r="AM1266" s="62" t="n">
        <f aca="false">ROUNDUP(CL1266+MAX(CM1266,2*(J1266/IF(CH1266&gt;0,CH1266,MAX(0.1,N(Cockpit!$C$6)))-CL1266)),0)</f>
        <v>398</v>
      </c>
      <c r="AN1266" s="63" t="n">
        <f aca="false">IF(AJ1266&gt;0,J1266/AJ1266,-1)</f>
        <v>62.0645161290323</v>
      </c>
      <c r="AO1266" s="63" t="n">
        <f aca="false">IF(AND(OR(CG1266="L1",CG1266="L23",CG1266="LIFT"),AJ1266&gt;0),SUMIFS($AJ$7:$AJ$1843,$CG$7:$CG$1843,CG1266,$AN$7:$AN$1843,"&gt;"&amp;AN1266)+SUMIFS($AJ$7:$AJ$1843,$CG$7:$CG$1843,CG1266,$AN$7:$AN$1843,AN1266,$BX$7:$BX$1843,"&lt;="&amp;BX1266),"")</f>
        <v>967.54532967033</v>
      </c>
      <c r="AP1266" s="70" t="n">
        <f aca="false">IF(AO1266="",0,MAX(0,MIN(1,(IF(CG1266="L1",Parameter!$H$5,IF(CG1266="L23",Parameter!$H$6+Parameter!$H$7,Parameter!$H$5+Parameter!$H$6+Parameter!$H$7))-(AO1266-AJ1266))/AJ1266)))</f>
        <v>1</v>
      </c>
      <c r="AQ1266" s="62" t="n">
        <f aca="false">IF(LEFT(Cockpit!$I$5,1)="A",H1266,IF(Parameter!$E$30="MAX-Bestand",IF(CI1266=1,CJ1266,IF(LEFT(Cockpit!$I$5,1)="B",AW1266,MAX(AW1266,H1266))),ROUNDUP(AU1266,0)))</f>
        <v>213</v>
      </c>
      <c r="AR1266" s="62" t="n">
        <f aca="false">IF(CA1266=1,0,ROUNDUP(AQ1266/BZ1266,0))</f>
        <v>2</v>
      </c>
      <c r="AS1266" s="64" t="n">
        <f aca="false">IF(CR1266&gt;0,CR1266*MAX(1,AQ1266/X1266),IF(CA1266=1,IF(AQ1266&lt;=0,0,CE1266*MAX(1,IF(H1266&gt;0,AQ1266/H1266,1))),IF(R1266&gt;0,AR1266/R1266,0))/MAX(0.1,N(Parameter!$M$21)))</f>
        <v>0.0769230769230769</v>
      </c>
      <c r="AT1266" s="62" t="n">
        <f aca="false">AS1266*CC1266</f>
        <v>11.9230769230769</v>
      </c>
      <c r="AU1266" s="63" t="n">
        <f aca="false">IF(LEFT(Cockpit!$I$5,1)="A",H1266,IF(CI1266=1,(CL1266+CJ1266)/2,IF(LEFT(Cockpit!$I$5,1)="B",(CL1266+AW1266)/2,MAX((CL1266+AW1266)/2,H1266))))</f>
        <v>213</v>
      </c>
      <c r="AV1266" s="62" t="n">
        <f aca="false">AU1266*G1266</f>
        <v>634.74</v>
      </c>
      <c r="AW1266" s="62" t="n">
        <f aca="false">ROUNDUP(CL1266+MAX(CM1266,2*(J1266/IF(CH1266&gt;0,CH1266,MAX(0.1,N(Cockpit!$I$6)))-CL1266)),0)</f>
        <v>398</v>
      </c>
      <c r="AX1266" s="63" t="n">
        <f aca="false">IF(AT1266&gt;0,J1266/AT1266,-1)</f>
        <v>31.0322580645161</v>
      </c>
      <c r="AY1266" s="63" t="n">
        <f aca="false">IF(AND(OR(CG1266="L1",CG1266="L23",CG1266="LIFT"),AT1266&gt;0),SUMIFS($AT$7:$AT$1843,$CG$7:$CG$1843,CG1266,$AX$7:$AX$1843,"&gt;"&amp;AX1266)+SUMIFS($AT$7:$AT$1843,$CG$7:$CG$1843,CG1266,$AX$7:$AX$1843,AX1266,$BX$7:$BX$1843,"&lt;="&amp;BX1266),"")</f>
        <v>1812.00228937729</v>
      </c>
      <c r="AZ1266" s="70" t="n">
        <f aca="false">IF(AY1266="",0,MAX(0,MIN(1,(IF(CG1266="L1",Parameter!$H$5,IF(CG1266="L23",Parameter!$H$6+Parameter!$H$7,Parameter!$H$5+Parameter!$H$6+Parameter!$H$7))-(AY1266-AT1266))/AT1266)))</f>
        <v>1</v>
      </c>
      <c r="BA1266" s="62" t="n">
        <f aca="false">IF(LEFT(Cockpit!$O$5,1)="A",H1266,IF(Parameter!$E$30="MAX-Bestand",IF(CI1266=1,CJ1266,IF(LEFT(Cockpit!$O$5,1)="B",BG1266,MAX(BG1266,H1266))),ROUNDUP(BE1266,0)))</f>
        <v>213</v>
      </c>
      <c r="BB1266" s="62" t="n">
        <f aca="false">IF(CA1266=1,0,ROUNDUP(BA1266/BZ1266,0))</f>
        <v>2</v>
      </c>
      <c r="BC1266" s="64" t="n">
        <f aca="false">IF(CR1266&gt;0,CR1266*MAX(1,BA1266/X1266),IF(CA1266=1,IF(BA1266&lt;=0,0,CE1266*MAX(1,IF(H1266&gt;0,BA1266/H1266,1))),IF(R1266&gt;0,BB1266/R1266,0))/MAX(0.1,N(Parameter!$M$21)))</f>
        <v>0.0769230769230769</v>
      </c>
      <c r="BD1266" s="62" t="n">
        <f aca="false">BC1266*CC1266</f>
        <v>11.9230769230769</v>
      </c>
      <c r="BE1266" s="63" t="n">
        <f aca="false">IF(LEFT(Cockpit!$O$5,1)="A",H1266,IF(CI1266=1,(CL1266+CJ1266)/2,IF(LEFT(Cockpit!$O$5,1)="B",(CL1266+BG1266)/2,MAX((CL1266+BG1266)/2,H1266))))</f>
        <v>213</v>
      </c>
      <c r="BF1266" s="62" t="n">
        <f aca="false">BE1266*G1266</f>
        <v>634.74</v>
      </c>
      <c r="BG1266" s="62" t="n">
        <f aca="false">ROUNDUP(CL1266+MAX(CM1266,2*(J1266/IF(CH1266&gt;0,CH1266,MAX(0.1,N(Cockpit!$O$6)))-CL1266)),0)</f>
        <v>398</v>
      </c>
      <c r="BH1266" s="63" t="n">
        <f aca="false">IF(BD1266&gt;0,J1266/BD1266,-1)</f>
        <v>31.0322580645161</v>
      </c>
      <c r="BI1266" s="63" t="n">
        <f aca="false">IF(AND(OR(CG1266="L1",CG1266="L23",CG1266="LIFT"),BD1266&gt;0),SUMIFS($BD$7:$BD$1843,$CG$7:$CG$1843,CG1266,$BH$7:$BH$1843,"&gt;"&amp;BH1266)+SUMIFS($BD$7:$BD$1843,$CG$7:$CG$1843,CG1266,$BH$7:$BH$1843,BH1266,$BX$7:$BX$1843,"&lt;="&amp;BX1266),"")</f>
        <v>1749.46382783883</v>
      </c>
      <c r="BJ1266" s="70" t="n">
        <f aca="false">IF(BI1266="",0,MAX(0,MIN(1,(IF(CG1266="L1",Parameter!$H$5,IF(CG1266="L23",Parameter!$H$6+Parameter!$H$7,Parameter!$H$5+Parameter!$H$6+Parameter!$H$7))-(BI1266-BD1266))/BD1266)))</f>
        <v>1</v>
      </c>
      <c r="BK1266" s="60" t="str">
        <f aca="false">IF(AJ1266&lt;=0,"",IF(CG1266="Aussen","Aussenlager",IF(CG1266="-","Nicht im Lift",IF(AP1266&gt;=1,"Lift",IF(AP1266&lt;=0,"Aussenlager","teilweise")))))</f>
        <v>Lift</v>
      </c>
      <c r="BL1266" s="60" t="str">
        <f aca="false">IF(AT1266&lt;=0,"",IF(CG1266="Aussen","Aussenlager",IF(CG1266="-","Nicht im Lift",IF(AZ1266&gt;=1,"Lift",IF(AZ1266&lt;=0,"Aussenlager","teilweise")))))</f>
        <v>Lift</v>
      </c>
      <c r="BM1266" s="60" t="str">
        <f aca="false">IF(BD1266&lt;=0,"",IF(CG1266="Aussen","Aussenlager",IF(CG1266="-","Nicht im Lift",IF(BJ1266&gt;=1,"Lift",IF(BJ1266&lt;=0,"Aussenlager","teilweise")))))</f>
        <v>Lift</v>
      </c>
      <c r="BN1266" s="60" t="str">
        <f aca="false">IF(A1266="","",IF(BW1266=1,"Neu; ","")&amp;IF(AND(BW1266=0,BR1266&lt;0),"negativer Bestand (Export "&amp;BR1266&amp;"); ","")&amp;IF(J1266&lt;=0,"Kein Verbrauch; ","")&amp;IF(CR1266&gt;0,"Lift "&amp;W1266&amp;" lt. Liftbericht (Fach "&amp;X1266&amp;" Stk); ",IF(CB1266=1,"Gebinde geschätzt ("&amp;T1266&amp;"); ",IF(CA1266=1,"Lose – Tablare geschätzt; ","")))&amp;IF(H1266&gt;AW1266,"Überbestand "&amp;ROUND(H1266-AW1266,0)&amp;" Stk / CHF "&amp;ROUND((H1266-AW1266)*G1266,0)&amp;"; ","")&amp;IF(AND(CI1266=1,CJ1266&lt;CK1266),"MAX &lt; MB+LG; ","")&amp;IF(AND(CQ1266&gt;0,CP1266*10&gt;CQ1266),"zu hoch für Tablar; ","")&amp;IF(AND(BW1266=0,OR(CI1266=1,AB1266&lt;&gt;"",U1266&lt;&gt;"",V1266&lt;&gt;"",AC1266&lt;&gt;"")),"manuell übersteuert; ","")&amp;IF(AND(CA1266=0,R1266=0),"Gebinde unbekannt / Stellmass fehlt; ","")&amp;IF(AND(CA1266=0,N(V1266)&lt;=0,N(Q1266)&lt;=0),"Menge pro Gebinde fehlt (Ist = 1 Gebinde); ","")&amp;BV1266)</f>
        <v>negativer Bestand (Export -296); </v>
      </c>
      <c r="BO1266" s="60"/>
      <c r="BP1266" s="60"/>
      <c r="BQ1266" s="67"/>
      <c r="BR1266" s="62" t="n">
        <v>-296</v>
      </c>
      <c r="BS1266" s="62" t="n">
        <v>394</v>
      </c>
      <c r="BT1266" s="61" t="n">
        <v>-874.2</v>
      </c>
      <c r="BU1266" s="62" t="n">
        <v>370</v>
      </c>
      <c r="BV1266" s="60"/>
      <c r="BW1266" s="65" t="n">
        <v>0</v>
      </c>
      <c r="BX1266" s="65" t="n">
        <v>1266</v>
      </c>
      <c r="BY1266" s="60" t="str">
        <f aca="false">IF(U1266&lt;&gt;"",UPPER(TRIM(U1266)),IF(CB1266=1,UPPER(VLOOKUP(T1266,Parameter!$I$27:$K$29,2,0)),IF(P1266="","LOSE",P1266)))</f>
        <v>S51</v>
      </c>
      <c r="BZ1266" s="62" t="n">
        <f aca="false">IF(BY1266="LOSE",1,IF(N(V1266)&gt;0,V1266,IF(CB1266=1,MAX(1,N(VLOOKUP(T1266,Parameter!$I$27:$K$29,3,0)),H1266,N(N1266)),IF(N(Q1266)&gt;0,Q1266,MAX(1,H1266)))))</f>
        <v>185</v>
      </c>
      <c r="CA1266" s="65" t="n">
        <f aca="false">IF(BY1266="LOSE",1,0)</f>
        <v>0</v>
      </c>
      <c r="CB1266" s="65" t="n">
        <f aca="false">IF(AND(U1266="",OR(P1266="",P1266="LOSE"),T1266&lt;&gt;"",N(S1266)&lt;=0,ISNUMBER(MATCH(T1266,Parameter!$I$27:$I$29,0))),1,0)</f>
        <v>0</v>
      </c>
      <c r="CC1266" s="65" t="n">
        <f aca="false">IF(CR1266&gt;0,INDEX(Parameter!$H$5:$H$7,W1266)/INDEX(Parameter!$E$5:$E$7,W1266),IF(AND(CA1266=0,N(IFERROR(VLOOKUP(BY1266,'Gebinde-Kategorie'!$A$5:$N$45,14,0),0))&gt;0),VLOOKUP(BY1266,'Gebinde-Kategorie'!$A$5:$N$45,14,0)*10+Parameter!$M$23,Parameter!$M$24))</f>
        <v>155</v>
      </c>
      <c r="CD1266" s="60" t="str">
        <f aca="false">IF(AND(Parameter!$B$19="Ja",E1266&lt;&gt;"",ISNUMBER(MATCH(E1266,Parameter!$I$35:$I$52,0))),VLOOKUP(E1266,Parameter!$I$35:$J$52,2,0),IFERROR(VLOOKUP(D1266,Parameter!$A$35:$C$64,2,0),"Nein"))</f>
        <v>2+3</v>
      </c>
      <c r="CE1266" s="64" t="n">
        <f aca="false">IF(CA1266=0,0,IF(N(S1266)&gt;0,S1266,IFERROR(VLOOKUP(D1266,Parameter!$A$35:$C$64,3,0)+0,0)))</f>
        <v>0</v>
      </c>
      <c r="CF1266" s="60" t="n">
        <f aca="false">IF(AB1266&lt;&gt;"",AB1266,AA1266)</f>
        <v>3</v>
      </c>
      <c r="CG1266" s="60" t="str">
        <f aca="false">IF(OR(CF1266=1,CF1266=2,CF1266=3),IF(Parameter!$E$27="Ja","LIFT",IF(CF1266=1,"L1","L23")),IF(CF1266="Aussen","Aussen","-"))</f>
        <v>LIFT</v>
      </c>
      <c r="CH1266" s="71" t="n">
        <f aca="false">IF(N(AC1266)&gt;0,AC1266,0)</f>
        <v>0</v>
      </c>
      <c r="CI1266" s="65" t="n">
        <f aca="false">IF(ISNUMBER(AF1266),1,0)</f>
        <v>0</v>
      </c>
      <c r="CJ1266" s="62" t="n">
        <f aca="false">N(AF1266)</f>
        <v>0</v>
      </c>
      <c r="CK1266" s="62" t="n">
        <f aca="false">N(M1266)+N(N1266)</f>
        <v>398</v>
      </c>
      <c r="CL1266" s="62" t="n">
        <f aca="false">N(M1266)</f>
        <v>28</v>
      </c>
      <c r="CM1266" s="62" t="n">
        <f aca="false">N(N1266)</f>
        <v>370</v>
      </c>
      <c r="CN1266" s="62" t="n">
        <f aca="false">ROUNDUP(H1266/BZ1266,0)</f>
        <v>1</v>
      </c>
      <c r="CO1266" s="62" t="n">
        <f aca="false">ROUNDUP(CJ1266/BZ1266,0)</f>
        <v>0</v>
      </c>
      <c r="CP1266" s="65" t="n">
        <f aca="false">IF(CA1266=1,0,IFERROR(VLOOKUP(BY1266,'Gebinde-Kategorie'!$A$5:$N$45,5,0)+0,0))</f>
        <v>11</v>
      </c>
      <c r="CQ1266" s="65" t="n">
        <f aca="false">IFERROR(IF(OR(CF1266=1,CF1266=2,CF1266=3),N(INDEX(Parameter!$I$5:$I$7,CF1266)),0),0)</f>
        <v>0</v>
      </c>
      <c r="CR1266" s="64" t="n">
        <f aca="false">IF(AND(Parameter!$B$21="Ja",ISNUMBER(W1266),N(X1266)&gt;0),IFERROR(N(INDEX(Parameter!$L$5:$L$7,W1266))*INDEX(Parameter!$E$5:$E$7,W1266)*X1266/SUMIFS($X$7:$X$1843,$W$7:$W$1843,W1266),0),0)</f>
        <v>0</v>
      </c>
      <c r="CS1266" s="62" t="n">
        <f aca="false">IF(AND(OR(CG1266="L1",CG1266="L23",CG1266="LIFT"),H1266&gt;0),CC1266*IF(CR1266&gt;0,CR1266*MAX(1,H1266/X1266),IF(CA1266=1,CE1266,IF(R1266&gt;0,CN1266/R1266,0))/MAX(0.1,N(Parameter!$M$21))),"")</f>
        <v>5.96153846153846</v>
      </c>
      <c r="CT1266" s="64" t="n">
        <f aca="false">IF(CS1266="","",J1266/H1266)</f>
        <v>3.77551020408163</v>
      </c>
      <c r="CU1266" s="62" t="n">
        <f aca="false">IF(CS1266="","",H1266*G1266)</f>
        <v>292.04</v>
      </c>
      <c r="CV1266" s="63" t="n">
        <f aca="false">IF(CS1266="","",(CL1266+ROUNDUP(CL1266+MAX(CM1266,2*(J1266/MAX(0.1,N(Einkauf!$C$6))-CL1266)),0))/2)</f>
        <v>213</v>
      </c>
      <c r="CW1266" s="62" t="n">
        <f aca="false">IF(CS1266="","",MAX(0,H1266-CV1266)*G1266)</f>
        <v>0</v>
      </c>
      <c r="CX1266" s="62" t="n">
        <f aca="false">IF(CS1266="","",CS1266*MAX(0,1-CV1266/H1266))</f>
        <v>0</v>
      </c>
      <c r="CY1266" s="64" t="n">
        <f aca="false">IF(CS1266="","",PERCENTRANK($CS$7:$CS$1843,CS1266)+PERCENTRANK($CU$7:$CU$1843,CU1266)+1-PERCENTRANK($CT$7:$CT$1843,CT1266))</f>
        <v>0.84</v>
      </c>
      <c r="CZ1266" s="72" t="n">
        <f aca="false">IF(CS1266="","",CHOOSE(MATCH(Einkauf!$C$5,Parameter!$G$23:$G$27,0),CY1266,CS1266,CU1266,-CT1266,CW1266)+ROW()/1000000000)</f>
        <v>0.840001266</v>
      </c>
    </row>
    <row r="1267" customFormat="false" ht="15" hidden="false" customHeight="false" outlineLevel="0" collapsed="false">
      <c r="A1267" s="60" t="s">
        <v>2305</v>
      </c>
      <c r="B1267" s="60" t="s">
        <v>2306</v>
      </c>
      <c r="C1267" s="60" t="s">
        <v>206</v>
      </c>
      <c r="D1267" s="60" t="s">
        <v>395</v>
      </c>
      <c r="E1267" s="60"/>
      <c r="F1267" s="60" t="s">
        <v>260</v>
      </c>
      <c r="G1267" s="61" t="n">
        <v>441.82</v>
      </c>
      <c r="H1267" s="62" t="n">
        <f aca="false">MAX(0,IF(AND(Parameter!$B$21="Ja",ISNUMBER(Y1267)),Y1267,IF(Parameter!$B$20="Jahresanfang 2025 + Export",BS1267+BR1267,BR1267)))</f>
        <v>0</v>
      </c>
      <c r="I1267" s="62" t="n">
        <f aca="false">H1267*G1267</f>
        <v>0</v>
      </c>
      <c r="J1267" s="62" t="n">
        <f aca="false">BU1267*Parameter!$B$18</f>
        <v>0</v>
      </c>
      <c r="K1267" s="63" t="n">
        <v>1</v>
      </c>
      <c r="L1267" s="64" t="n">
        <v>0</v>
      </c>
      <c r="M1267" s="62" t="n">
        <v>0</v>
      </c>
      <c r="N1267" s="62" t="n">
        <v>1</v>
      </c>
      <c r="O1267" s="65" t="n">
        <v>0</v>
      </c>
      <c r="P1267" s="60" t="s">
        <v>210</v>
      </c>
      <c r="Q1267" s="62"/>
      <c r="R1267" s="65" t="n">
        <f aca="false">IF(CA1267=1,0,IFERROR(VLOOKUP(BY1267,'Gebinde-Kategorie'!$A$5:$N$45,13,0)+0,0))</f>
        <v>0</v>
      </c>
      <c r="S1267" s="66"/>
      <c r="T1267" s="67"/>
      <c r="U1267" s="67"/>
      <c r="V1267" s="67"/>
      <c r="W1267" s="60"/>
      <c r="X1267" s="62"/>
      <c r="Y1267" s="62"/>
      <c r="Z1267" s="60"/>
      <c r="AA1267" s="60" t="str">
        <f aca="false">IF(A1267="","",IF(AND(Parameter!$B$21="Ja",ISNUMBER(W1267)),W1267,IF(AND(Parameter!$E$27="Ja",ISNUMBER(Z1267),CD1267&lt;&gt;"Nein"),Z1267,IF(CD1267="2+3",IF(ISNUMBER(SEARCH("grosser Artikel",BV1267)),2,IFERROR(VLOOKUP(BY1267,Parameter!$F$35:$G$64,2,0),2)),IF(OR(CD1267="Nein",CD1267=""),"-",CD1267)))))</f>
        <v>-</v>
      </c>
      <c r="AB1267" s="67"/>
      <c r="AC1267" s="68"/>
      <c r="AD1267" s="62" t="n">
        <f aca="false">AW1267</f>
        <v>1</v>
      </c>
      <c r="AE1267" s="62" t="n">
        <f aca="false">MAX(AW1267,H1267)</f>
        <v>1</v>
      </c>
      <c r="AF1267" s="69"/>
      <c r="AG1267" s="62" t="n">
        <f aca="false">IF(LEFT(Cockpit!$C$5,1)="A",H1267,IF(Parameter!$E$30="MAX-Bestand",IF(CI1267=1,CJ1267,IF(LEFT(Cockpit!$C$5,1)="B",AM1267,MAX(AM1267,H1267))),ROUNDUP(AK1267,0)))</f>
        <v>0</v>
      </c>
      <c r="AH1267" s="62" t="n">
        <f aca="false">IF(CA1267=1,0,ROUNDUP(AG1267/BZ1267,0))</f>
        <v>0</v>
      </c>
      <c r="AI1267" s="64" t="n">
        <f aca="false">IF(CR1267&gt;0,CR1267*MAX(1,AG1267/X1267),IF(CA1267=1,IF(AG1267&lt;=0,0,CE1267*MAX(1,IF(H1267&gt;0,AG1267/H1267,1))),IF(R1267&gt;0,AH1267/R1267,0))/MAX(0.1,N(Parameter!$M$21)))</f>
        <v>0</v>
      </c>
      <c r="AJ1267" s="62" t="n">
        <f aca="false">AI1267*CC1267</f>
        <v>0</v>
      </c>
      <c r="AK1267" s="63" t="n">
        <f aca="false">IF(LEFT(Cockpit!$C$5,1)="A",H1267,IF(CI1267=1,(CL1267+CJ1267)/2,IF(LEFT(Cockpit!$C$5,1)="B",(CL1267+AM1267)/2,MAX((CL1267+AM1267)/2,H1267))))</f>
        <v>0</v>
      </c>
      <c r="AL1267" s="62" t="n">
        <f aca="false">AK1267*G1267</f>
        <v>0</v>
      </c>
      <c r="AM1267" s="62" t="n">
        <f aca="false">ROUNDUP(CL1267+MAX(CM1267,2*(J1267/IF(CH1267&gt;0,CH1267,MAX(0.1,N(Cockpit!$C$6)))-CL1267)),0)</f>
        <v>1</v>
      </c>
      <c r="AN1267" s="63" t="n">
        <f aca="false">IF(AJ1267&gt;0,J1267/AJ1267,-1)</f>
        <v>-1</v>
      </c>
      <c r="AO1267" s="63" t="str">
        <f aca="false">IF(AND(OR(CG1267="L1",CG1267="L23",CG1267="LIFT"),AJ1267&gt;0),SUMIFS($AJ$7:$AJ$1843,$CG$7:$CG$1843,CG1267,$AN$7:$AN$1843,"&gt;"&amp;AN1267)+SUMIFS($AJ$7:$AJ$1843,$CG$7:$CG$1843,CG1267,$AN$7:$AN$1843,AN1267,$BX$7:$BX$1843,"&lt;="&amp;BX1267),"")</f>
        <v/>
      </c>
      <c r="AP1267" s="70" t="n">
        <f aca="false">IF(AO1267="",0,MAX(0,MIN(1,(IF(CG1267="L1",Parameter!$H$5,IF(CG1267="L23",Parameter!$H$6+Parameter!$H$7,Parameter!$H$5+Parameter!$H$6+Parameter!$H$7))-(AO1267-AJ1267))/AJ1267)))</f>
        <v>0</v>
      </c>
      <c r="AQ1267" s="62" t="n">
        <f aca="false">IF(LEFT(Cockpit!$I$5,1)="A",H1267,IF(Parameter!$E$30="MAX-Bestand",IF(CI1267=1,CJ1267,IF(LEFT(Cockpit!$I$5,1)="B",AW1267,MAX(AW1267,H1267))),ROUNDUP(AU1267,0)))</f>
        <v>1</v>
      </c>
      <c r="AR1267" s="62" t="n">
        <f aca="false">IF(CA1267=1,0,ROUNDUP(AQ1267/BZ1267,0))</f>
        <v>0</v>
      </c>
      <c r="AS1267" s="64" t="n">
        <f aca="false">IF(CR1267&gt;0,CR1267*MAX(1,AQ1267/X1267),IF(CA1267=1,IF(AQ1267&lt;=0,0,CE1267*MAX(1,IF(H1267&gt;0,AQ1267/H1267,1))),IF(R1267&gt;0,AR1267/R1267,0))/MAX(0.1,N(Parameter!$M$21)))</f>
        <v>0.15</v>
      </c>
      <c r="AT1267" s="62" t="n">
        <f aca="false">AS1267*CC1267</f>
        <v>35.25</v>
      </c>
      <c r="AU1267" s="63" t="n">
        <f aca="false">IF(LEFT(Cockpit!$I$5,1)="A",H1267,IF(CI1267=1,(CL1267+CJ1267)/2,IF(LEFT(Cockpit!$I$5,1)="B",(CL1267+AW1267)/2,MAX((CL1267+AW1267)/2,H1267))))</f>
        <v>0.5</v>
      </c>
      <c r="AV1267" s="62" t="n">
        <f aca="false">AU1267*G1267</f>
        <v>220.91</v>
      </c>
      <c r="AW1267" s="62" t="n">
        <f aca="false">ROUNDUP(CL1267+MAX(CM1267,2*(J1267/IF(CH1267&gt;0,CH1267,MAX(0.1,N(Cockpit!$I$6)))-CL1267)),0)</f>
        <v>1</v>
      </c>
      <c r="AX1267" s="63" t="n">
        <f aca="false">IF(AT1267&gt;0,J1267/AT1267,-1)</f>
        <v>0</v>
      </c>
      <c r="AY1267" s="63" t="str">
        <f aca="false">IF(AND(OR(CG1267="L1",CG1267="L23",CG1267="LIFT"),AT1267&gt;0),SUMIFS($AT$7:$AT$1843,$CG$7:$CG$1843,CG1267,$AX$7:$AX$1843,"&gt;"&amp;AX1267)+SUMIFS($AT$7:$AT$1843,$CG$7:$CG$1843,CG1267,$AX$7:$AX$1843,AX1267,$BX$7:$BX$1843,"&lt;="&amp;BX1267),"")</f>
        <v/>
      </c>
      <c r="AZ1267" s="70" t="n">
        <f aca="false">IF(AY1267="",0,MAX(0,MIN(1,(IF(CG1267="L1",Parameter!$H$5,IF(CG1267="L23",Parameter!$H$6+Parameter!$H$7,Parameter!$H$5+Parameter!$H$6+Parameter!$H$7))-(AY1267-AT1267))/AT1267)))</f>
        <v>0</v>
      </c>
      <c r="BA1267" s="62" t="n">
        <f aca="false">IF(LEFT(Cockpit!$O$5,1)="A",H1267,IF(Parameter!$E$30="MAX-Bestand",IF(CI1267=1,CJ1267,IF(LEFT(Cockpit!$O$5,1)="B",BG1267,MAX(BG1267,H1267))),ROUNDUP(BE1267,0)))</f>
        <v>1</v>
      </c>
      <c r="BB1267" s="62" t="n">
        <f aca="false">IF(CA1267=1,0,ROUNDUP(BA1267/BZ1267,0))</f>
        <v>0</v>
      </c>
      <c r="BC1267" s="64" t="n">
        <f aca="false">IF(CR1267&gt;0,CR1267*MAX(1,BA1267/X1267),IF(CA1267=1,IF(BA1267&lt;=0,0,CE1267*MAX(1,IF(H1267&gt;0,BA1267/H1267,1))),IF(R1267&gt;0,BB1267/R1267,0))/MAX(0.1,N(Parameter!$M$21)))</f>
        <v>0.15</v>
      </c>
      <c r="BD1267" s="62" t="n">
        <f aca="false">BC1267*CC1267</f>
        <v>35.25</v>
      </c>
      <c r="BE1267" s="63" t="n">
        <f aca="false">IF(LEFT(Cockpit!$O$5,1)="A",H1267,IF(CI1267=1,(CL1267+CJ1267)/2,IF(LEFT(Cockpit!$O$5,1)="B",(CL1267+BG1267)/2,MAX((CL1267+BG1267)/2,H1267))))</f>
        <v>0.5</v>
      </c>
      <c r="BF1267" s="62" t="n">
        <f aca="false">BE1267*G1267</f>
        <v>220.91</v>
      </c>
      <c r="BG1267" s="62" t="n">
        <f aca="false">ROUNDUP(CL1267+MAX(CM1267,2*(J1267/IF(CH1267&gt;0,CH1267,MAX(0.1,N(Cockpit!$O$6)))-CL1267)),0)</f>
        <v>1</v>
      </c>
      <c r="BH1267" s="63" t="n">
        <f aca="false">IF(BD1267&gt;0,J1267/BD1267,-1)</f>
        <v>0</v>
      </c>
      <c r="BI1267" s="63" t="str">
        <f aca="false">IF(AND(OR(CG1267="L1",CG1267="L23",CG1267="LIFT"),BD1267&gt;0),SUMIFS($BD$7:$BD$1843,$CG$7:$CG$1843,CG1267,$BH$7:$BH$1843,"&gt;"&amp;BH1267)+SUMIFS($BD$7:$BD$1843,$CG$7:$CG$1843,CG1267,$BH$7:$BH$1843,BH1267,$BX$7:$BX$1843,"&lt;="&amp;BX1267),"")</f>
        <v/>
      </c>
      <c r="BJ1267" s="70" t="n">
        <f aca="false">IF(BI1267="",0,MAX(0,MIN(1,(IF(CG1267="L1",Parameter!$H$5,IF(CG1267="L23",Parameter!$H$6+Parameter!$H$7,Parameter!$H$5+Parameter!$H$6+Parameter!$H$7))-(BI1267-BD1267))/BD1267)))</f>
        <v>0</v>
      </c>
      <c r="BK1267" s="60" t="str">
        <f aca="false">IF(AJ1267&lt;=0,"",IF(CG1267="Aussen","Aussenlager",IF(CG1267="-","Nicht im Lift",IF(AP1267&gt;=1,"Lift",IF(AP1267&lt;=0,"Aussenlager","teilweise")))))</f>
        <v/>
      </c>
      <c r="BL1267" s="60" t="str">
        <f aca="false">IF(AT1267&lt;=0,"",IF(CG1267="Aussen","Aussenlager",IF(CG1267="-","Nicht im Lift",IF(AZ1267&gt;=1,"Lift",IF(AZ1267&lt;=0,"Aussenlager","teilweise")))))</f>
        <v>Nicht im Lift</v>
      </c>
      <c r="BM1267" s="60" t="str">
        <f aca="false">IF(BD1267&lt;=0,"",IF(CG1267="Aussen","Aussenlager",IF(CG1267="-","Nicht im Lift",IF(BJ1267&gt;=1,"Lift",IF(BJ1267&lt;=0,"Aussenlager","teilweise")))))</f>
        <v>Nicht im Lift</v>
      </c>
      <c r="BN1267" s="60" t="str">
        <f aca="false">IF(A1267="","",IF(BW1267=1,"Neu; ","")&amp;IF(AND(BW1267=0,BR1267&lt;0),"negativer Bestand (Export "&amp;BR1267&amp;"); ","")&amp;IF(J1267&lt;=0,"Kein Verbrauch; ","")&amp;IF(CR1267&gt;0,"Lift "&amp;W1267&amp;" lt. Liftbericht (Fach "&amp;X1267&amp;" Stk); ",IF(CB1267=1,"Gebinde geschätzt ("&amp;T1267&amp;"); ",IF(CA1267=1,"Lose – Tablare geschätzt; ","")))&amp;IF(H1267&gt;AW1267,"Überbestand "&amp;ROUND(H1267-AW1267,0)&amp;" Stk / CHF "&amp;ROUND((H1267-AW1267)*G1267,0)&amp;"; ","")&amp;IF(AND(CI1267=1,CJ1267&lt;CK1267),"MAX &lt; MB+LG; ","")&amp;IF(AND(CQ1267&gt;0,CP1267*10&gt;CQ1267),"zu hoch für Tablar; ","")&amp;IF(AND(BW1267=0,OR(CI1267=1,AB1267&lt;&gt;"",U1267&lt;&gt;"",V1267&lt;&gt;"",AC1267&lt;&gt;"")),"manuell übersteuert; ","")&amp;IF(AND(CA1267=0,R1267=0),"Gebinde unbekannt / Stellmass fehlt; ","")&amp;IF(AND(CA1267=0,N(V1267)&lt;=0,N(Q1267)&lt;=0),"Menge pro Gebinde fehlt (Ist = 1 Gebinde); ","")&amp;BV1267)</f>
        <v>negativer Bestand (Export -2); Kein Verbrauch; Lose – Tablare geschätzt; </v>
      </c>
      <c r="BO1267" s="60"/>
      <c r="BP1267" s="60"/>
      <c r="BQ1267" s="67"/>
      <c r="BR1267" s="62" t="n">
        <v>-2</v>
      </c>
      <c r="BS1267" s="62" t="n">
        <v>2</v>
      </c>
      <c r="BT1267" s="61" t="n">
        <v>-883.64</v>
      </c>
      <c r="BU1267" s="62" t="n">
        <v>0</v>
      </c>
      <c r="BV1267" s="60"/>
      <c r="BW1267" s="65" t="n">
        <v>0</v>
      </c>
      <c r="BX1267" s="65" t="n">
        <v>1267</v>
      </c>
      <c r="BY1267" s="60" t="str">
        <f aca="false">IF(U1267&lt;&gt;"",UPPER(TRIM(U1267)),IF(CB1267=1,UPPER(VLOOKUP(T1267,Parameter!$I$27:$K$29,2,0)),IF(P1267="","LOSE",P1267)))</f>
        <v>LOSE</v>
      </c>
      <c r="BZ1267" s="62" t="n">
        <f aca="false">IF(BY1267="LOSE",1,IF(N(V1267)&gt;0,V1267,IF(CB1267=1,MAX(1,N(VLOOKUP(T1267,Parameter!$I$27:$K$29,3,0)),H1267,N(N1267)),IF(N(Q1267)&gt;0,Q1267,MAX(1,H1267)))))</f>
        <v>1</v>
      </c>
      <c r="CA1267" s="65" t="n">
        <f aca="false">IF(BY1267="LOSE",1,0)</f>
        <v>1</v>
      </c>
      <c r="CB1267" s="65" t="n">
        <f aca="false">IF(AND(U1267="",OR(P1267="",P1267="LOSE"),T1267&lt;&gt;"",N(S1267)&lt;=0,ISNUMBER(MATCH(T1267,Parameter!$I$27:$I$29,0))),1,0)</f>
        <v>0</v>
      </c>
      <c r="CC1267" s="65" t="n">
        <f aca="false">IF(CR1267&gt;0,INDEX(Parameter!$H$5:$H$7,W1267)/INDEX(Parameter!$E$5:$E$7,W1267),IF(AND(CA1267=0,N(IFERROR(VLOOKUP(BY1267,'Gebinde-Kategorie'!$A$5:$N$45,14,0),0))&gt;0),VLOOKUP(BY1267,'Gebinde-Kategorie'!$A$5:$N$45,14,0)*10+Parameter!$M$23,Parameter!$M$24))</f>
        <v>235</v>
      </c>
      <c r="CD1267" s="60" t="str">
        <f aca="false">IF(AND(Parameter!$B$19="Ja",E1267&lt;&gt;"",ISNUMBER(MATCH(E1267,Parameter!$I$35:$I$52,0))),VLOOKUP(E1267,Parameter!$I$35:$J$52,2,0),IFERROR(VLOOKUP(D1267,Parameter!$A$35:$C$64,2,0),"Nein"))</f>
        <v>Nein</v>
      </c>
      <c r="CE1267" s="64" t="n">
        <f aca="false">IF(CA1267=0,0,IF(N(S1267)&gt;0,S1267,IFERROR(VLOOKUP(D1267,Parameter!$A$35:$C$64,3,0)+0,0)))</f>
        <v>0.15</v>
      </c>
      <c r="CF1267" s="60" t="str">
        <f aca="false">IF(AB1267&lt;&gt;"",AB1267,AA1267)</f>
        <v>-</v>
      </c>
      <c r="CG1267" s="60" t="str">
        <f aca="false">IF(OR(CF1267=1,CF1267=2,CF1267=3),IF(Parameter!$E$27="Ja","LIFT",IF(CF1267=1,"L1","L23")),IF(CF1267="Aussen","Aussen","-"))</f>
        <v>-</v>
      </c>
      <c r="CH1267" s="71" t="n">
        <f aca="false">IF(N(AC1267)&gt;0,AC1267,0)</f>
        <v>0</v>
      </c>
      <c r="CI1267" s="65" t="n">
        <f aca="false">IF(ISNUMBER(AF1267),1,0)</f>
        <v>0</v>
      </c>
      <c r="CJ1267" s="62" t="n">
        <f aca="false">N(AF1267)</f>
        <v>0</v>
      </c>
      <c r="CK1267" s="62" t="n">
        <f aca="false">N(M1267)+N(N1267)</f>
        <v>1</v>
      </c>
      <c r="CL1267" s="62" t="n">
        <f aca="false">N(M1267)</f>
        <v>0</v>
      </c>
      <c r="CM1267" s="62" t="n">
        <f aca="false">N(N1267)</f>
        <v>1</v>
      </c>
      <c r="CN1267" s="62" t="n">
        <f aca="false">ROUNDUP(H1267/BZ1267,0)</f>
        <v>0</v>
      </c>
      <c r="CO1267" s="62" t="n">
        <f aca="false">ROUNDUP(CJ1267/BZ1267,0)</f>
        <v>0</v>
      </c>
      <c r="CP1267" s="65" t="n">
        <f aca="false">IF(CA1267=1,0,IFERROR(VLOOKUP(BY1267,'Gebinde-Kategorie'!$A$5:$N$45,5,0)+0,0))</f>
        <v>0</v>
      </c>
      <c r="CQ1267" s="65" t="n">
        <f aca="false">IFERROR(IF(OR(CF1267=1,CF1267=2,CF1267=3),N(INDEX(Parameter!$I$5:$I$7,CF1267)),0),0)</f>
        <v>0</v>
      </c>
      <c r="CR1267" s="64" t="n">
        <f aca="false">IF(AND(Parameter!$B$21="Ja",ISNUMBER(W1267),N(X1267)&gt;0),IFERROR(N(INDEX(Parameter!$L$5:$L$7,W1267))*INDEX(Parameter!$E$5:$E$7,W1267)*X1267/SUMIFS($X$7:$X$1843,$W$7:$W$1843,W1267),0),0)</f>
        <v>0</v>
      </c>
      <c r="CS1267" s="62" t="str">
        <f aca="false">IF(AND(OR(CG1267="L1",CG1267="L23",CG1267="LIFT"),H1267&gt;0),CC1267*IF(CR1267&gt;0,CR1267*MAX(1,H1267/X1267),IF(CA1267=1,CE1267,IF(R1267&gt;0,CN1267/R1267,0))/MAX(0.1,N(Parameter!$M$21))),"")</f>
        <v/>
      </c>
      <c r="CT1267" s="64" t="str">
        <f aca="false">IF(CS1267="","",J1267/H1267)</f>
        <v/>
      </c>
      <c r="CU1267" s="62" t="str">
        <f aca="false">IF(CS1267="","",H1267*G1267)</f>
        <v/>
      </c>
      <c r="CV1267" s="63" t="str">
        <f aca="false">IF(CS1267="","",(CL1267+ROUNDUP(CL1267+MAX(CM1267,2*(J1267/MAX(0.1,N(Einkauf!$C$6))-CL1267)),0))/2)</f>
        <v/>
      </c>
      <c r="CW1267" s="62" t="str">
        <f aca="false">IF(CS1267="","",MAX(0,H1267-CV1267)*G1267)</f>
        <v/>
      </c>
      <c r="CX1267" s="62" t="str">
        <f aca="false">IF(CS1267="","",CS1267*MAX(0,1-CV1267/H1267))</f>
        <v/>
      </c>
      <c r="CY1267" s="64" t="str">
        <f aca="false">IF(CS1267="","",PERCENTRANK($CS$7:$CS$1843,CS1267)+PERCENTRANK($CU$7:$CU$1843,CU1267)+1-PERCENTRANK($CT$7:$CT$1843,CT1267))</f>
        <v/>
      </c>
      <c r="CZ1267" s="72" t="str">
        <f aca="false">IF(CS1267="","",CHOOSE(MATCH(Einkauf!$C$5,Parameter!$G$23:$G$27,0),CY1267,CS1267,CU1267,-CT1267,CW1267)+ROW()/1000000000)</f>
        <v/>
      </c>
    </row>
    <row r="1268" customFormat="false" ht="15" hidden="false" customHeight="false" outlineLevel="0" collapsed="false">
      <c r="A1268" s="60" t="s">
        <v>2307</v>
      </c>
      <c r="B1268" s="60" t="s">
        <v>2308</v>
      </c>
      <c r="C1268" s="60" t="s">
        <v>498</v>
      </c>
      <c r="D1268" s="60" t="s">
        <v>215</v>
      </c>
      <c r="E1268" s="60"/>
      <c r="F1268" s="60" t="s">
        <v>260</v>
      </c>
      <c r="G1268" s="61" t="n">
        <v>132.27</v>
      </c>
      <c r="H1268" s="62" t="n">
        <f aca="false">MAX(0,IF(AND(Parameter!$B$21="Ja",ISNUMBER(Y1268)),Y1268,IF(Parameter!$B$20="Jahresanfang 2025 + Export",BS1268+BR1268,BR1268)))</f>
        <v>0</v>
      </c>
      <c r="I1268" s="62" t="n">
        <f aca="false">H1268*G1268</f>
        <v>0</v>
      </c>
      <c r="J1268" s="62" t="n">
        <f aca="false">BU1268*Parameter!$B$18</f>
        <v>0</v>
      </c>
      <c r="K1268" s="63" t="n">
        <v>3.5</v>
      </c>
      <c r="L1268" s="64" t="n">
        <v>0</v>
      </c>
      <c r="M1268" s="62" t="n">
        <v>0</v>
      </c>
      <c r="N1268" s="62" t="n">
        <v>1</v>
      </c>
      <c r="O1268" s="65" t="n">
        <v>56</v>
      </c>
      <c r="P1268" s="60" t="s">
        <v>210</v>
      </c>
      <c r="Q1268" s="62"/>
      <c r="R1268" s="65" t="n">
        <f aca="false">IF(CA1268=1,0,IFERROR(VLOOKUP(BY1268,'Gebinde-Kategorie'!$A$5:$N$45,13,0)+0,0))</f>
        <v>4</v>
      </c>
      <c r="S1268" s="66"/>
      <c r="T1268" s="67" t="s">
        <v>231</v>
      </c>
      <c r="U1268" s="67"/>
      <c r="V1268" s="67"/>
      <c r="W1268" s="60"/>
      <c r="X1268" s="62"/>
      <c r="Y1268" s="62"/>
      <c r="Z1268" s="60" t="n">
        <v>2</v>
      </c>
      <c r="AA1268" s="60" t="n">
        <f aca="false">IF(A1268="","",IF(AND(Parameter!$B$21="Ja",ISNUMBER(W1268)),W1268,IF(AND(Parameter!$E$27="Ja",ISNUMBER(Z1268),CD1268&lt;&gt;"Nein"),Z1268,IF(CD1268="2+3",IF(ISNUMBER(SEARCH("grosser Artikel",BV1268)),2,IFERROR(VLOOKUP(BY1268,Parameter!$F$35:$G$64,2,0),2)),IF(OR(CD1268="Nein",CD1268=""),"-",CD1268)))))</f>
        <v>2</v>
      </c>
      <c r="AB1268" s="67"/>
      <c r="AC1268" s="68"/>
      <c r="AD1268" s="62" t="n">
        <f aca="false">AW1268</f>
        <v>1</v>
      </c>
      <c r="AE1268" s="62" t="n">
        <f aca="false">MAX(AW1268,H1268)</f>
        <v>1</v>
      </c>
      <c r="AF1268" s="69"/>
      <c r="AG1268" s="62" t="n">
        <f aca="false">IF(LEFT(Cockpit!$C$5,1)="A",H1268,IF(Parameter!$E$30="MAX-Bestand",IF(CI1268=1,CJ1268,IF(LEFT(Cockpit!$C$5,1)="B",AM1268,MAX(AM1268,H1268))),ROUNDUP(AK1268,0)))</f>
        <v>0</v>
      </c>
      <c r="AH1268" s="62" t="n">
        <f aca="false">IF(CA1268=1,0,ROUNDUP(AG1268/BZ1268,0))</f>
        <v>0</v>
      </c>
      <c r="AI1268" s="64" t="n">
        <f aca="false">IF(CR1268&gt;0,CR1268*MAX(1,AG1268/X1268),IF(CA1268=1,IF(AG1268&lt;=0,0,CE1268*MAX(1,IF(H1268&gt;0,AG1268/H1268,1))),IF(R1268&gt;0,AH1268/R1268,0))/MAX(0.1,N(Parameter!$M$21)))</f>
        <v>0</v>
      </c>
      <c r="AJ1268" s="62" t="n">
        <f aca="false">AI1268*CC1268</f>
        <v>0</v>
      </c>
      <c r="AK1268" s="63" t="n">
        <f aca="false">IF(LEFT(Cockpit!$C$5,1)="A",H1268,IF(CI1268=1,(CL1268+CJ1268)/2,IF(LEFT(Cockpit!$C$5,1)="B",(CL1268+AM1268)/2,MAX((CL1268+AM1268)/2,H1268))))</f>
        <v>0</v>
      </c>
      <c r="AL1268" s="62" t="n">
        <f aca="false">AK1268*G1268</f>
        <v>0</v>
      </c>
      <c r="AM1268" s="62" t="n">
        <f aca="false">ROUNDUP(CL1268+MAX(CM1268,2*(J1268/IF(CH1268&gt;0,CH1268,MAX(0.1,N(Cockpit!$C$6)))-CL1268)),0)</f>
        <v>1</v>
      </c>
      <c r="AN1268" s="63" t="n">
        <f aca="false">IF(AJ1268&gt;0,J1268/AJ1268,-1)</f>
        <v>-1</v>
      </c>
      <c r="AO1268" s="63" t="str">
        <f aca="false">IF(AND(OR(CG1268="L1",CG1268="L23",CG1268="LIFT"),AJ1268&gt;0),SUMIFS($AJ$7:$AJ$1843,$CG$7:$CG$1843,CG1268,$AN$7:$AN$1843,"&gt;"&amp;AN1268)+SUMIFS($AJ$7:$AJ$1843,$CG$7:$CG$1843,CG1268,$AN$7:$AN$1843,AN1268,$BX$7:$BX$1843,"&lt;="&amp;BX1268),"")</f>
        <v/>
      </c>
      <c r="AP1268" s="70" t="n">
        <f aca="false">IF(AO1268="",0,MAX(0,MIN(1,(IF(CG1268="L1",Parameter!$H$5,IF(CG1268="L23",Parameter!$H$6+Parameter!$H$7,Parameter!$H$5+Parameter!$H$6+Parameter!$H$7))-(AO1268-AJ1268))/AJ1268)))</f>
        <v>0</v>
      </c>
      <c r="AQ1268" s="62" t="n">
        <f aca="false">IF(LEFT(Cockpit!$I$5,1)="A",H1268,IF(Parameter!$E$30="MAX-Bestand",IF(CI1268=1,CJ1268,IF(LEFT(Cockpit!$I$5,1)="B",AW1268,MAX(AW1268,H1268))),ROUNDUP(AU1268,0)))</f>
        <v>1</v>
      </c>
      <c r="AR1268" s="62" t="n">
        <f aca="false">IF(CA1268=1,0,ROUNDUP(AQ1268/BZ1268,0))</f>
        <v>1</v>
      </c>
      <c r="AS1268" s="64" t="n">
        <f aca="false">IF(CR1268&gt;0,CR1268*MAX(1,AQ1268/X1268),IF(CA1268=1,IF(AQ1268&lt;=0,0,CE1268*MAX(1,IF(H1268&gt;0,AQ1268/H1268,1))),IF(R1268&gt;0,AR1268/R1268,0))/MAX(0.1,N(Parameter!$M$21)))</f>
        <v>0.25</v>
      </c>
      <c r="AT1268" s="62" t="n">
        <f aca="false">AS1268*CC1268</f>
        <v>58.75</v>
      </c>
      <c r="AU1268" s="63" t="n">
        <f aca="false">IF(LEFT(Cockpit!$I$5,1)="A",H1268,IF(CI1268=1,(CL1268+CJ1268)/2,IF(LEFT(Cockpit!$I$5,1)="B",(CL1268+AW1268)/2,MAX((CL1268+AW1268)/2,H1268))))</f>
        <v>0.5</v>
      </c>
      <c r="AV1268" s="62" t="n">
        <f aca="false">AU1268*G1268</f>
        <v>66.135</v>
      </c>
      <c r="AW1268" s="62" t="n">
        <f aca="false">ROUNDUP(CL1268+MAX(CM1268,2*(J1268/IF(CH1268&gt;0,CH1268,MAX(0.1,N(Cockpit!$I$6)))-CL1268)),0)</f>
        <v>1</v>
      </c>
      <c r="AX1268" s="63" t="n">
        <f aca="false">IF(AT1268&gt;0,J1268/AT1268,-1)</f>
        <v>0</v>
      </c>
      <c r="AY1268" s="63" t="n">
        <f aca="false">IF(AND(OR(CG1268="L1",CG1268="L23",CG1268="LIFT"),AT1268&gt;0),SUMIFS($AT$7:$AT$1843,$CG$7:$CG$1843,CG1268,$AX$7:$AX$1843,"&gt;"&amp;AX1268)+SUMIFS($AT$7:$AT$1843,$CG$7:$CG$1843,CG1268,$AX$7:$AX$1843,AX1268,$BX$7:$BX$1843,"&lt;="&amp;BX1268),"")</f>
        <v>35495.4107142857</v>
      </c>
      <c r="AZ1268" s="70" t="n">
        <f aca="false">IF(AY1268="",0,MAX(0,MIN(1,(IF(CG1268="L1",Parameter!$H$5,IF(CG1268="L23",Parameter!$H$6+Parameter!$H$7,Parameter!$H$5+Parameter!$H$6+Parameter!$H$7))-(AY1268-AT1268))/AT1268)))</f>
        <v>1</v>
      </c>
      <c r="BA1268" s="62" t="n">
        <f aca="false">IF(LEFT(Cockpit!$O$5,1)="A",H1268,IF(Parameter!$E$30="MAX-Bestand",IF(CI1268=1,CJ1268,IF(LEFT(Cockpit!$O$5,1)="B",BG1268,MAX(BG1268,H1268))),ROUNDUP(BE1268,0)))</f>
        <v>1</v>
      </c>
      <c r="BB1268" s="62" t="n">
        <f aca="false">IF(CA1268=1,0,ROUNDUP(BA1268/BZ1268,0))</f>
        <v>1</v>
      </c>
      <c r="BC1268" s="64" t="n">
        <f aca="false">IF(CR1268&gt;0,CR1268*MAX(1,BA1268/X1268),IF(CA1268=1,IF(BA1268&lt;=0,0,CE1268*MAX(1,IF(H1268&gt;0,BA1268/H1268,1))),IF(R1268&gt;0,BB1268/R1268,0))/MAX(0.1,N(Parameter!$M$21)))</f>
        <v>0.25</v>
      </c>
      <c r="BD1268" s="62" t="n">
        <f aca="false">BC1268*CC1268</f>
        <v>58.75</v>
      </c>
      <c r="BE1268" s="63" t="n">
        <f aca="false">IF(LEFT(Cockpit!$O$5,1)="A",H1268,IF(CI1268=1,(CL1268+CJ1268)/2,IF(LEFT(Cockpit!$O$5,1)="B",(CL1268+BG1268)/2,MAX((CL1268+BG1268)/2,H1268))))</f>
        <v>0.5</v>
      </c>
      <c r="BF1268" s="62" t="n">
        <f aca="false">BE1268*G1268</f>
        <v>66.135</v>
      </c>
      <c r="BG1268" s="62" t="n">
        <f aca="false">ROUNDUP(CL1268+MAX(CM1268,2*(J1268/IF(CH1268&gt;0,CH1268,MAX(0.1,N(Cockpit!$O$6)))-CL1268)),0)</f>
        <v>1</v>
      </c>
      <c r="BH1268" s="63" t="n">
        <f aca="false">IF(BD1268&gt;0,J1268/BD1268,-1)</f>
        <v>0</v>
      </c>
      <c r="BI1268" s="63" t="n">
        <f aca="false">IF(AND(OR(CG1268="L1",CG1268="L23",CG1268="LIFT"),BD1268&gt;0),SUMIFS($BD$7:$BD$1843,$CG$7:$CG$1843,CG1268,$BH$7:$BH$1843,"&gt;"&amp;BH1268)+SUMIFS($BD$7:$BD$1843,$CG$7:$CG$1843,CG1268,$BH$7:$BH$1843,BH1268,$BX$7:$BX$1843,"&lt;="&amp;BX1268),"")</f>
        <v>29480.7173744335</v>
      </c>
      <c r="BJ1268" s="70" t="n">
        <f aca="false">IF(BI1268="",0,MAX(0,MIN(1,(IF(CG1268="L1",Parameter!$H$5,IF(CG1268="L23",Parameter!$H$6+Parameter!$H$7,Parameter!$H$5+Parameter!$H$6+Parameter!$H$7))-(BI1268-BD1268))/BD1268)))</f>
        <v>1</v>
      </c>
      <c r="BK1268" s="60" t="str">
        <f aca="false">IF(AJ1268&lt;=0,"",IF(CG1268="Aussen","Aussenlager",IF(CG1268="-","Nicht im Lift",IF(AP1268&gt;=1,"Lift",IF(AP1268&lt;=0,"Aussenlager","teilweise")))))</f>
        <v/>
      </c>
      <c r="BL1268" s="60" t="str">
        <f aca="false">IF(AT1268&lt;=0,"",IF(CG1268="Aussen","Aussenlager",IF(CG1268="-","Nicht im Lift",IF(AZ1268&gt;=1,"Lift",IF(AZ1268&lt;=0,"Aussenlager","teilweise")))))</f>
        <v>Lift</v>
      </c>
      <c r="BM1268" s="60" t="str">
        <f aca="false">IF(BD1268&lt;=0,"",IF(CG1268="Aussen","Aussenlager",IF(CG1268="-","Nicht im Lift",IF(BJ1268&gt;=1,"Lift",IF(BJ1268&lt;=0,"Aussenlager","teilweise")))))</f>
        <v>Lift</v>
      </c>
      <c r="BN1268" s="60" t="str">
        <f aca="false">IF(A1268="","",IF(BW1268=1,"Neu; ","")&amp;IF(AND(BW1268=0,BR1268&lt;0),"negativer Bestand (Export "&amp;BR1268&amp;"); ","")&amp;IF(J1268&lt;=0,"Kein Verbrauch; ","")&amp;IF(CR1268&gt;0,"Lift "&amp;W1268&amp;" lt. Liftbericht (Fach "&amp;X1268&amp;" Stk); ",IF(CB1268=1,"Gebinde geschätzt ("&amp;T1268&amp;"); ",IF(CA1268=1,"Lose – Tablare geschätzt; ","")))&amp;IF(H1268&gt;AW1268,"Überbestand "&amp;ROUND(H1268-AW1268,0)&amp;" Stk / CHF "&amp;ROUND((H1268-AW1268)*G1268,0)&amp;"; ","")&amp;IF(AND(CI1268=1,CJ1268&lt;CK1268),"MAX &lt; MB+LG; ","")&amp;IF(AND(CQ1268&gt;0,CP1268*10&gt;CQ1268),"zu hoch für Tablar; ","")&amp;IF(AND(BW1268=0,OR(CI1268=1,AB1268&lt;&gt;"",U1268&lt;&gt;"",V1268&lt;&gt;"",AC1268&lt;&gt;"")),"manuell übersteuert; ","")&amp;IF(AND(CA1268=0,R1268=0),"Gebinde unbekannt / Stellmass fehlt; ","")&amp;IF(AND(CA1268=0,N(V1268)&lt;=0,N(Q1268)&lt;=0),"Menge pro Gebinde fehlt (Ist = 1 Gebinde); ","")&amp;BV1268)</f>
        <v>negativer Bestand (Export -7); Kein Verbrauch; Gebinde geschätzt (Gross); Menge pro Gebinde fehlt (Ist = 1 Gebinde); Neuer Art.</v>
      </c>
      <c r="BO1268" s="60"/>
      <c r="BP1268" s="60"/>
      <c r="BQ1268" s="67"/>
      <c r="BR1268" s="62" t="n">
        <v>-7</v>
      </c>
      <c r="BS1268" s="62" t="n">
        <v>7</v>
      </c>
      <c r="BT1268" s="61" t="n">
        <v>-925.89</v>
      </c>
      <c r="BU1268" s="62" t="n">
        <v>0</v>
      </c>
      <c r="BV1268" s="60" t="s">
        <v>554</v>
      </c>
      <c r="BW1268" s="65" t="n">
        <v>0</v>
      </c>
      <c r="BX1268" s="65" t="n">
        <v>1268</v>
      </c>
      <c r="BY1268" s="60" t="str">
        <f aca="false">IF(U1268&lt;&gt;"",UPPER(TRIM(U1268)),IF(CB1268=1,UPPER(VLOOKUP(T1268,Parameter!$I$27:$K$29,2,0)),IF(P1268="","LOSE",P1268)))</f>
        <v>S81</v>
      </c>
      <c r="BZ1268" s="62" t="n">
        <f aca="false">IF(BY1268="LOSE",1,IF(N(V1268)&gt;0,V1268,IF(CB1268=1,MAX(1,N(VLOOKUP(T1268,Parameter!$I$27:$K$29,3,0)),H1268,N(N1268)),IF(N(Q1268)&gt;0,Q1268,MAX(1,H1268)))))</f>
        <v>2</v>
      </c>
      <c r="CA1268" s="65" t="n">
        <f aca="false">IF(BY1268="LOSE",1,0)</f>
        <v>0</v>
      </c>
      <c r="CB1268" s="65" t="n">
        <f aca="false">IF(AND(U1268="",OR(P1268="",P1268="LOSE"),T1268&lt;&gt;"",N(S1268)&lt;=0,ISNUMBER(MATCH(T1268,Parameter!$I$27:$I$29,0))),1,0)</f>
        <v>1</v>
      </c>
      <c r="CC1268" s="65" t="n">
        <f aca="false">IF(CR1268&gt;0,INDEX(Parameter!$H$5:$H$7,W1268)/INDEX(Parameter!$E$5:$E$7,W1268),IF(AND(CA1268=0,N(IFERROR(VLOOKUP(BY1268,'Gebinde-Kategorie'!$A$5:$N$45,14,0),0))&gt;0),VLOOKUP(BY1268,'Gebinde-Kategorie'!$A$5:$N$45,14,0)*10+Parameter!$M$23,Parameter!$M$24))</f>
        <v>235</v>
      </c>
      <c r="CD1268" s="60" t="str">
        <f aca="false">IF(AND(Parameter!$B$19="Ja",E1268&lt;&gt;"",ISNUMBER(MATCH(E1268,Parameter!$I$35:$I$52,0))),VLOOKUP(E1268,Parameter!$I$35:$J$52,2,0),IFERROR(VLOOKUP(D1268,Parameter!$A$35:$C$64,2,0),"Nein"))</f>
        <v>2+3</v>
      </c>
      <c r="CE1268" s="64" t="n">
        <f aca="false">IF(CA1268=0,0,IF(N(S1268)&gt;0,S1268,IFERROR(VLOOKUP(D1268,Parameter!$A$35:$C$64,3,0)+0,0)))</f>
        <v>0</v>
      </c>
      <c r="CF1268" s="60" t="n">
        <f aca="false">IF(AB1268&lt;&gt;"",AB1268,AA1268)</f>
        <v>2</v>
      </c>
      <c r="CG1268" s="60" t="str">
        <f aca="false">IF(OR(CF1268=1,CF1268=2,CF1268=3),IF(Parameter!$E$27="Ja","LIFT",IF(CF1268=1,"L1","L23")),IF(CF1268="Aussen","Aussen","-"))</f>
        <v>LIFT</v>
      </c>
      <c r="CH1268" s="71" t="n">
        <f aca="false">IF(N(AC1268)&gt;0,AC1268,0)</f>
        <v>0</v>
      </c>
      <c r="CI1268" s="65" t="n">
        <f aca="false">IF(ISNUMBER(AF1268),1,0)</f>
        <v>0</v>
      </c>
      <c r="CJ1268" s="62" t="n">
        <f aca="false">N(AF1268)</f>
        <v>0</v>
      </c>
      <c r="CK1268" s="62" t="n">
        <f aca="false">N(M1268)+N(N1268)</f>
        <v>1</v>
      </c>
      <c r="CL1268" s="62" t="n">
        <f aca="false">N(M1268)</f>
        <v>0</v>
      </c>
      <c r="CM1268" s="62" t="n">
        <f aca="false">N(N1268)</f>
        <v>1</v>
      </c>
      <c r="CN1268" s="62" t="n">
        <f aca="false">ROUNDUP(H1268/BZ1268,0)</f>
        <v>0</v>
      </c>
      <c r="CO1268" s="62" t="n">
        <f aca="false">ROUNDUP(CJ1268/BZ1268,0)</f>
        <v>0</v>
      </c>
      <c r="CP1268" s="65" t="n">
        <f aca="false">IF(CA1268=1,0,IFERROR(VLOOKUP(BY1268,'Gebinde-Kategorie'!$A$5:$N$45,5,0)+0,0))</f>
        <v>20</v>
      </c>
      <c r="CQ1268" s="65" t="n">
        <f aca="false">IFERROR(IF(OR(CF1268=1,CF1268=2,CF1268=3),N(INDEX(Parameter!$I$5:$I$7,CF1268)),0),0)</f>
        <v>0</v>
      </c>
      <c r="CR1268" s="64" t="n">
        <f aca="false">IF(AND(Parameter!$B$21="Ja",ISNUMBER(W1268),N(X1268)&gt;0),IFERROR(N(INDEX(Parameter!$L$5:$L$7,W1268))*INDEX(Parameter!$E$5:$E$7,W1268)*X1268/SUMIFS($X$7:$X$1843,$W$7:$W$1843,W1268),0),0)</f>
        <v>0</v>
      </c>
      <c r="CS1268" s="62" t="str">
        <f aca="false">IF(AND(OR(CG1268="L1",CG1268="L23",CG1268="LIFT"),H1268&gt;0),CC1268*IF(CR1268&gt;0,CR1268*MAX(1,H1268/X1268),IF(CA1268=1,CE1268,IF(R1268&gt;0,CN1268/R1268,0))/MAX(0.1,N(Parameter!$M$21))),"")</f>
        <v/>
      </c>
      <c r="CT1268" s="64" t="str">
        <f aca="false">IF(CS1268="","",J1268/H1268)</f>
        <v/>
      </c>
      <c r="CU1268" s="62" t="str">
        <f aca="false">IF(CS1268="","",H1268*G1268)</f>
        <v/>
      </c>
      <c r="CV1268" s="63" t="str">
        <f aca="false">IF(CS1268="","",(CL1268+ROUNDUP(CL1268+MAX(CM1268,2*(J1268/MAX(0.1,N(Einkauf!$C$6))-CL1268)),0))/2)</f>
        <v/>
      </c>
      <c r="CW1268" s="62" t="str">
        <f aca="false">IF(CS1268="","",MAX(0,H1268-CV1268)*G1268)</f>
        <v/>
      </c>
      <c r="CX1268" s="62" t="str">
        <f aca="false">IF(CS1268="","",CS1268*MAX(0,1-CV1268/H1268))</f>
        <v/>
      </c>
      <c r="CY1268" s="64" t="str">
        <f aca="false">IF(CS1268="","",PERCENTRANK($CS$7:$CS$1843,CS1268)+PERCENTRANK($CU$7:$CU$1843,CU1268)+1-PERCENTRANK($CT$7:$CT$1843,CT1268))</f>
        <v/>
      </c>
      <c r="CZ1268" s="72" t="str">
        <f aca="false">IF(CS1268="","",CHOOSE(MATCH(Einkauf!$C$5,Parameter!$G$23:$G$27,0),CY1268,CS1268,CU1268,-CT1268,CW1268)+ROW()/1000000000)</f>
        <v/>
      </c>
    </row>
    <row r="1269" customFormat="false" ht="15" hidden="false" customHeight="false" outlineLevel="0" collapsed="false">
      <c r="A1269" s="60" t="s">
        <v>2309</v>
      </c>
      <c r="B1269" s="60" t="s">
        <v>2310</v>
      </c>
      <c r="C1269" s="60" t="s">
        <v>206</v>
      </c>
      <c r="D1269" s="60" t="s">
        <v>226</v>
      </c>
      <c r="E1269" s="60"/>
      <c r="F1269" s="60" t="s">
        <v>260</v>
      </c>
      <c r="G1269" s="61" t="n">
        <v>5.02</v>
      </c>
      <c r="H1269" s="62" t="n">
        <f aca="false">MAX(0,IF(AND(Parameter!$B$21="Ja",ISNUMBER(Y1269)),Y1269,IF(Parameter!$B$20="Jahresanfang 2025 + Export",BS1269+BR1269,BR1269)))</f>
        <v>0</v>
      </c>
      <c r="I1269" s="62" t="n">
        <f aca="false">H1269*G1269</f>
        <v>0</v>
      </c>
      <c r="J1269" s="62" t="n">
        <f aca="false">BU1269*Parameter!$B$18</f>
        <v>331</v>
      </c>
      <c r="K1269" s="63" t="n">
        <v>83</v>
      </c>
      <c r="L1269" s="64" t="n">
        <v>3.98795180722892</v>
      </c>
      <c r="M1269" s="62" t="n">
        <v>0</v>
      </c>
      <c r="N1269" s="62" t="n">
        <v>330</v>
      </c>
      <c r="O1269" s="65" t="n">
        <v>28</v>
      </c>
      <c r="P1269" s="60" t="s">
        <v>210</v>
      </c>
      <c r="Q1269" s="62"/>
      <c r="R1269" s="65" t="n">
        <f aca="false">IF(CA1269=1,0,IFERROR(VLOOKUP(BY1269,'Gebinde-Kategorie'!$A$5:$N$45,13,0)+0,0))</f>
        <v>26</v>
      </c>
      <c r="S1269" s="66"/>
      <c r="T1269" s="67" t="s">
        <v>317</v>
      </c>
      <c r="U1269" s="67"/>
      <c r="V1269" s="67"/>
      <c r="W1269" s="60"/>
      <c r="X1269" s="62"/>
      <c r="Y1269" s="62"/>
      <c r="Z1269" s="60" t="n">
        <v>3</v>
      </c>
      <c r="AA1269" s="60" t="n">
        <f aca="false">IF(A1269="","",IF(AND(Parameter!$B$21="Ja",ISNUMBER(W1269)),W1269,IF(AND(Parameter!$E$27="Ja",ISNUMBER(Z1269),CD1269&lt;&gt;"Nein"),Z1269,IF(CD1269="2+3",IF(ISNUMBER(SEARCH("grosser Artikel",BV1269)),2,IFERROR(VLOOKUP(BY1269,Parameter!$F$35:$G$64,2,0),2)),IF(OR(CD1269="Nein",CD1269=""),"-",CD1269)))))</f>
        <v>3</v>
      </c>
      <c r="AB1269" s="67"/>
      <c r="AC1269" s="68"/>
      <c r="AD1269" s="62" t="n">
        <f aca="false">AW1269</f>
        <v>330</v>
      </c>
      <c r="AE1269" s="62" t="n">
        <f aca="false">MAX(AW1269,H1269)</f>
        <v>330</v>
      </c>
      <c r="AF1269" s="69"/>
      <c r="AG1269" s="62" t="n">
        <f aca="false">IF(LEFT(Cockpit!$C$5,1)="A",H1269,IF(Parameter!$E$30="MAX-Bestand",IF(CI1269=1,CJ1269,IF(LEFT(Cockpit!$C$5,1)="B",AM1269,MAX(AM1269,H1269))),ROUNDUP(AK1269,0)))</f>
        <v>0</v>
      </c>
      <c r="AH1269" s="62" t="n">
        <f aca="false">IF(CA1269=1,0,ROUNDUP(AG1269/BZ1269,0))</f>
        <v>0</v>
      </c>
      <c r="AI1269" s="64" t="n">
        <f aca="false">IF(CR1269&gt;0,CR1269*MAX(1,AG1269/X1269),IF(CA1269=1,IF(AG1269&lt;=0,0,CE1269*MAX(1,IF(H1269&gt;0,AG1269/H1269,1))),IF(R1269&gt;0,AH1269/R1269,0))/MAX(0.1,N(Parameter!$M$21)))</f>
        <v>0</v>
      </c>
      <c r="AJ1269" s="62" t="n">
        <f aca="false">AI1269*CC1269</f>
        <v>0</v>
      </c>
      <c r="AK1269" s="63" t="n">
        <f aca="false">IF(LEFT(Cockpit!$C$5,1)="A",H1269,IF(CI1269=1,(CL1269+CJ1269)/2,IF(LEFT(Cockpit!$C$5,1)="B",(CL1269+AM1269)/2,MAX((CL1269+AM1269)/2,H1269))))</f>
        <v>0</v>
      </c>
      <c r="AL1269" s="62" t="n">
        <f aca="false">AK1269*G1269</f>
        <v>0</v>
      </c>
      <c r="AM1269" s="62" t="n">
        <f aca="false">ROUNDUP(CL1269+MAX(CM1269,2*(J1269/IF(CH1269&gt;0,CH1269,MAX(0.1,N(Cockpit!$C$6)))-CL1269)),0)</f>
        <v>330</v>
      </c>
      <c r="AN1269" s="63" t="n">
        <f aca="false">IF(AJ1269&gt;0,J1269/AJ1269,-1)</f>
        <v>-1</v>
      </c>
      <c r="AO1269" s="63" t="str">
        <f aca="false">IF(AND(OR(CG1269="L1",CG1269="L23",CG1269="LIFT"),AJ1269&gt;0),SUMIFS($AJ$7:$AJ$1843,$CG$7:$CG$1843,CG1269,$AN$7:$AN$1843,"&gt;"&amp;AN1269)+SUMIFS($AJ$7:$AJ$1843,$CG$7:$CG$1843,CG1269,$AN$7:$AN$1843,AN1269,$BX$7:$BX$1843,"&lt;="&amp;BX1269),"")</f>
        <v/>
      </c>
      <c r="AP1269" s="70" t="n">
        <f aca="false">IF(AO1269="",0,MAX(0,MIN(1,(IF(CG1269="L1",Parameter!$H$5,IF(CG1269="L23",Parameter!$H$6+Parameter!$H$7,Parameter!$H$5+Parameter!$H$6+Parameter!$H$7))-(AO1269-AJ1269))/AJ1269)))</f>
        <v>0</v>
      </c>
      <c r="AQ1269" s="62" t="n">
        <f aca="false">IF(LEFT(Cockpit!$I$5,1)="A",H1269,IF(Parameter!$E$30="MAX-Bestand",IF(CI1269=1,CJ1269,IF(LEFT(Cockpit!$I$5,1)="B",AW1269,MAX(AW1269,H1269))),ROUNDUP(AU1269,0)))</f>
        <v>165</v>
      </c>
      <c r="AR1269" s="62" t="n">
        <f aca="false">IF(CA1269=1,0,ROUNDUP(AQ1269/BZ1269,0))</f>
        <v>1</v>
      </c>
      <c r="AS1269" s="64" t="n">
        <f aca="false">IF(CR1269&gt;0,CR1269*MAX(1,AQ1269/X1269),IF(CA1269=1,IF(AQ1269&lt;=0,0,CE1269*MAX(1,IF(H1269&gt;0,AQ1269/H1269,1))),IF(R1269&gt;0,AR1269/R1269,0))/MAX(0.1,N(Parameter!$M$21)))</f>
        <v>0.0384615384615385</v>
      </c>
      <c r="AT1269" s="62" t="n">
        <f aca="false">AS1269*CC1269</f>
        <v>5.96153846153846</v>
      </c>
      <c r="AU1269" s="63" t="n">
        <f aca="false">IF(LEFT(Cockpit!$I$5,1)="A",H1269,IF(CI1269=1,(CL1269+CJ1269)/2,IF(LEFT(Cockpit!$I$5,1)="B",(CL1269+AW1269)/2,MAX((CL1269+AW1269)/2,H1269))))</f>
        <v>165</v>
      </c>
      <c r="AV1269" s="62" t="n">
        <f aca="false">AU1269*G1269</f>
        <v>828.3</v>
      </c>
      <c r="AW1269" s="62" t="n">
        <f aca="false">ROUNDUP(CL1269+MAX(CM1269,2*(J1269/IF(CH1269&gt;0,CH1269,MAX(0.1,N(Cockpit!$I$6)))-CL1269)),0)</f>
        <v>330</v>
      </c>
      <c r="AX1269" s="63" t="n">
        <f aca="false">IF(AT1269&gt;0,J1269/AT1269,-1)</f>
        <v>55.5225806451613</v>
      </c>
      <c r="AY1269" s="63" t="n">
        <f aca="false">IF(AND(OR(CG1269="L1",CG1269="L23",CG1269="LIFT"),AT1269&gt;0),SUMIFS($AT$7:$AT$1843,$CG$7:$CG$1843,CG1269,$AX$7:$AX$1843,"&gt;"&amp;AX1269)+SUMIFS($AT$7:$AT$1843,$CG$7:$CG$1843,CG1269,$AX$7:$AX$1843,AX1269,$BX$7:$BX$1843,"&lt;="&amp;BX1269),"")</f>
        <v>1282.15613553114</v>
      </c>
      <c r="AZ1269" s="70" t="n">
        <f aca="false">IF(AY1269="",0,MAX(0,MIN(1,(IF(CG1269="L1",Parameter!$H$5,IF(CG1269="L23",Parameter!$H$6+Parameter!$H$7,Parameter!$H$5+Parameter!$H$6+Parameter!$H$7))-(AY1269-AT1269))/AT1269)))</f>
        <v>1</v>
      </c>
      <c r="BA1269" s="62" t="n">
        <f aca="false">IF(LEFT(Cockpit!$O$5,1)="A",H1269,IF(Parameter!$E$30="MAX-Bestand",IF(CI1269=1,CJ1269,IF(LEFT(Cockpit!$O$5,1)="B",BG1269,MAX(BG1269,H1269))),ROUNDUP(BE1269,0)))</f>
        <v>165</v>
      </c>
      <c r="BB1269" s="62" t="n">
        <f aca="false">IF(CA1269=1,0,ROUNDUP(BA1269/BZ1269,0))</f>
        <v>1</v>
      </c>
      <c r="BC1269" s="64" t="n">
        <f aca="false">IF(CR1269&gt;0,CR1269*MAX(1,BA1269/X1269),IF(CA1269=1,IF(BA1269&lt;=0,0,CE1269*MAX(1,IF(H1269&gt;0,BA1269/H1269,1))),IF(R1269&gt;0,BB1269/R1269,0))/MAX(0.1,N(Parameter!$M$21)))</f>
        <v>0.0384615384615385</v>
      </c>
      <c r="BD1269" s="62" t="n">
        <f aca="false">BC1269*CC1269</f>
        <v>5.96153846153846</v>
      </c>
      <c r="BE1269" s="63" t="n">
        <f aca="false">IF(LEFT(Cockpit!$O$5,1)="A",H1269,IF(CI1269=1,(CL1269+CJ1269)/2,IF(LEFT(Cockpit!$O$5,1)="B",(CL1269+BG1269)/2,MAX((CL1269+BG1269)/2,H1269))))</f>
        <v>165</v>
      </c>
      <c r="BF1269" s="62" t="n">
        <f aca="false">BE1269*G1269</f>
        <v>828.3</v>
      </c>
      <c r="BG1269" s="62" t="n">
        <f aca="false">ROUNDUP(CL1269+MAX(CM1269,2*(J1269/IF(CH1269&gt;0,CH1269,MAX(0.1,N(Cockpit!$O$6)))-CL1269)),0)</f>
        <v>330</v>
      </c>
      <c r="BH1269" s="63" t="n">
        <f aca="false">IF(BD1269&gt;0,J1269/BD1269,-1)</f>
        <v>55.5225806451613</v>
      </c>
      <c r="BI1269" s="63" t="n">
        <f aca="false">IF(AND(OR(CG1269="L1",CG1269="L23",CG1269="LIFT"),BD1269&gt;0),SUMIFS($BD$7:$BD$1843,$CG$7:$CG$1843,CG1269,$BH$7:$BH$1843,"&gt;"&amp;BH1269)+SUMIFS($BD$7:$BD$1843,$CG$7:$CG$1843,CG1269,$BH$7:$BH$1843,BH1269,$BX$7:$BX$1843,"&lt;="&amp;BX1269),"")</f>
        <v>1127.02289377289</v>
      </c>
      <c r="BJ1269" s="70" t="n">
        <f aca="false">IF(BI1269="",0,MAX(0,MIN(1,(IF(CG1269="L1",Parameter!$H$5,IF(CG1269="L23",Parameter!$H$6+Parameter!$H$7,Parameter!$H$5+Parameter!$H$6+Parameter!$H$7))-(BI1269-BD1269))/BD1269)))</f>
        <v>1</v>
      </c>
      <c r="BK1269" s="60" t="str">
        <f aca="false">IF(AJ1269&lt;=0,"",IF(CG1269="Aussen","Aussenlager",IF(CG1269="-","Nicht im Lift",IF(AP1269&gt;=1,"Lift",IF(AP1269&lt;=0,"Aussenlager","teilweise")))))</f>
        <v/>
      </c>
      <c r="BL1269" s="60" t="str">
        <f aca="false">IF(AT1269&lt;=0,"",IF(CG1269="Aussen","Aussenlager",IF(CG1269="-","Nicht im Lift",IF(AZ1269&gt;=1,"Lift",IF(AZ1269&lt;=0,"Aussenlager","teilweise")))))</f>
        <v>Lift</v>
      </c>
      <c r="BM1269" s="60" t="str">
        <f aca="false">IF(BD1269&lt;=0,"",IF(CG1269="Aussen","Aussenlager",IF(CG1269="-","Nicht im Lift",IF(BJ1269&gt;=1,"Lift",IF(BJ1269&lt;=0,"Aussenlager","teilweise")))))</f>
        <v>Lift</v>
      </c>
      <c r="BN1269" s="60" t="str">
        <f aca="false">IF(A1269="","",IF(BW1269=1,"Neu; ","")&amp;IF(AND(BW1269=0,BR1269&lt;0),"negativer Bestand (Export "&amp;BR1269&amp;"); ","")&amp;IF(J1269&lt;=0,"Kein Verbrauch; ","")&amp;IF(CR1269&gt;0,"Lift "&amp;W1269&amp;" lt. Liftbericht (Fach "&amp;X1269&amp;" Stk); ",IF(CB1269=1,"Gebinde geschätzt ("&amp;T1269&amp;"); ",IF(CA1269=1,"Lose – Tablare geschätzt; ","")))&amp;IF(H1269&gt;AW1269,"Überbestand "&amp;ROUND(H1269-AW1269,0)&amp;" Stk / CHF "&amp;ROUND((H1269-AW1269)*G1269,0)&amp;"; ","")&amp;IF(AND(CI1269=1,CJ1269&lt;CK1269),"MAX &lt; MB+LG; ","")&amp;IF(AND(CQ1269&gt;0,CP1269*10&gt;CQ1269),"zu hoch für Tablar; ","")&amp;IF(AND(BW1269=0,OR(CI1269=1,AB1269&lt;&gt;"",U1269&lt;&gt;"",V1269&lt;&gt;"",AC1269&lt;&gt;"")),"manuell übersteuert; ","")&amp;IF(AND(CA1269=0,R1269=0),"Gebinde unbekannt / Stellmass fehlt; ","")&amp;IF(AND(CA1269=0,N(V1269)&lt;=0,N(Q1269)&lt;=0),"Menge pro Gebinde fehlt (Ist = 1 Gebinde); ","")&amp;BV1269)</f>
        <v>negativer Bestand (Export -166); Gebinde geschätzt (Klein); Menge pro Gebinde fehlt (Ist = 1 Gebinde); BEI MARIO</v>
      </c>
      <c r="BO1269" s="60"/>
      <c r="BP1269" s="60"/>
      <c r="BQ1269" s="67"/>
      <c r="BR1269" s="62" t="n">
        <v>-166</v>
      </c>
      <c r="BS1269" s="62" t="n">
        <v>166</v>
      </c>
      <c r="BT1269" s="61" t="n">
        <v>-929.6</v>
      </c>
      <c r="BU1269" s="62" t="n">
        <v>331</v>
      </c>
      <c r="BV1269" s="60" t="s">
        <v>2311</v>
      </c>
      <c r="BW1269" s="65" t="n">
        <v>0</v>
      </c>
      <c r="BX1269" s="65" t="n">
        <v>1269</v>
      </c>
      <c r="BY1269" s="60" t="str">
        <f aca="false">IF(U1269&lt;&gt;"",UPPER(TRIM(U1269)),IF(CB1269=1,UPPER(VLOOKUP(T1269,Parameter!$I$27:$K$29,2,0)),IF(P1269="","LOSE",P1269)))</f>
        <v>S51</v>
      </c>
      <c r="BZ1269" s="62" t="n">
        <f aca="false">IF(BY1269="LOSE",1,IF(N(V1269)&gt;0,V1269,IF(CB1269=1,MAX(1,N(VLOOKUP(T1269,Parameter!$I$27:$K$29,3,0)),H1269,N(N1269)),IF(N(Q1269)&gt;0,Q1269,MAX(1,H1269)))))</f>
        <v>330</v>
      </c>
      <c r="CA1269" s="65" t="n">
        <f aca="false">IF(BY1269="LOSE",1,0)</f>
        <v>0</v>
      </c>
      <c r="CB1269" s="65" t="n">
        <f aca="false">IF(AND(U1269="",OR(P1269="",P1269="LOSE"),T1269&lt;&gt;"",N(S1269)&lt;=0,ISNUMBER(MATCH(T1269,Parameter!$I$27:$I$29,0))),1,0)</f>
        <v>1</v>
      </c>
      <c r="CC1269" s="65" t="n">
        <f aca="false">IF(CR1269&gt;0,INDEX(Parameter!$H$5:$H$7,W1269)/INDEX(Parameter!$E$5:$E$7,W1269),IF(AND(CA1269=0,N(IFERROR(VLOOKUP(BY1269,'Gebinde-Kategorie'!$A$5:$N$45,14,0),0))&gt;0),VLOOKUP(BY1269,'Gebinde-Kategorie'!$A$5:$N$45,14,0)*10+Parameter!$M$23,Parameter!$M$24))</f>
        <v>155</v>
      </c>
      <c r="CD1269" s="60" t="str">
        <f aca="false">IF(AND(Parameter!$B$19="Ja",E1269&lt;&gt;"",ISNUMBER(MATCH(E1269,Parameter!$I$35:$I$52,0))),VLOOKUP(E1269,Parameter!$I$35:$J$52,2,0),IFERROR(VLOOKUP(D1269,Parameter!$A$35:$C$64,2,0),"Nein"))</f>
        <v>2+3</v>
      </c>
      <c r="CE1269" s="64" t="n">
        <f aca="false">IF(CA1269=0,0,IF(N(S1269)&gt;0,S1269,IFERROR(VLOOKUP(D1269,Parameter!$A$35:$C$64,3,0)+0,0)))</f>
        <v>0</v>
      </c>
      <c r="CF1269" s="60" t="n">
        <f aca="false">IF(AB1269&lt;&gt;"",AB1269,AA1269)</f>
        <v>3</v>
      </c>
      <c r="CG1269" s="60" t="str">
        <f aca="false">IF(OR(CF1269=1,CF1269=2,CF1269=3),IF(Parameter!$E$27="Ja","LIFT",IF(CF1269=1,"L1","L23")),IF(CF1269="Aussen","Aussen","-"))</f>
        <v>LIFT</v>
      </c>
      <c r="CH1269" s="71" t="n">
        <f aca="false">IF(N(AC1269)&gt;0,AC1269,0)</f>
        <v>0</v>
      </c>
      <c r="CI1269" s="65" t="n">
        <f aca="false">IF(ISNUMBER(AF1269),1,0)</f>
        <v>0</v>
      </c>
      <c r="CJ1269" s="62" t="n">
        <f aca="false">N(AF1269)</f>
        <v>0</v>
      </c>
      <c r="CK1269" s="62" t="n">
        <f aca="false">N(M1269)+N(N1269)</f>
        <v>330</v>
      </c>
      <c r="CL1269" s="62" t="n">
        <f aca="false">N(M1269)</f>
        <v>0</v>
      </c>
      <c r="CM1269" s="62" t="n">
        <f aca="false">N(N1269)</f>
        <v>330</v>
      </c>
      <c r="CN1269" s="62" t="n">
        <f aca="false">ROUNDUP(H1269/BZ1269,0)</f>
        <v>0</v>
      </c>
      <c r="CO1269" s="62" t="n">
        <f aca="false">ROUNDUP(CJ1269/BZ1269,0)</f>
        <v>0</v>
      </c>
      <c r="CP1269" s="65" t="n">
        <f aca="false">IF(CA1269=1,0,IFERROR(VLOOKUP(BY1269,'Gebinde-Kategorie'!$A$5:$N$45,5,0)+0,0))</f>
        <v>11</v>
      </c>
      <c r="CQ1269" s="65" t="n">
        <f aca="false">IFERROR(IF(OR(CF1269=1,CF1269=2,CF1269=3),N(INDEX(Parameter!$I$5:$I$7,CF1269)),0),0)</f>
        <v>0</v>
      </c>
      <c r="CR1269" s="64" t="n">
        <f aca="false">IF(AND(Parameter!$B$21="Ja",ISNUMBER(W1269),N(X1269)&gt;0),IFERROR(N(INDEX(Parameter!$L$5:$L$7,W1269))*INDEX(Parameter!$E$5:$E$7,W1269)*X1269/SUMIFS($X$7:$X$1843,$W$7:$W$1843,W1269),0),0)</f>
        <v>0</v>
      </c>
      <c r="CS1269" s="62" t="str">
        <f aca="false">IF(AND(OR(CG1269="L1",CG1269="L23",CG1269="LIFT"),H1269&gt;0),CC1269*IF(CR1269&gt;0,CR1269*MAX(1,H1269/X1269),IF(CA1269=1,CE1269,IF(R1269&gt;0,CN1269/R1269,0))/MAX(0.1,N(Parameter!$M$21))),"")</f>
        <v/>
      </c>
      <c r="CT1269" s="64" t="str">
        <f aca="false">IF(CS1269="","",J1269/H1269)</f>
        <v/>
      </c>
      <c r="CU1269" s="62" t="str">
        <f aca="false">IF(CS1269="","",H1269*G1269)</f>
        <v/>
      </c>
      <c r="CV1269" s="63" t="str">
        <f aca="false">IF(CS1269="","",(CL1269+ROUNDUP(CL1269+MAX(CM1269,2*(J1269/MAX(0.1,N(Einkauf!$C$6))-CL1269)),0))/2)</f>
        <v/>
      </c>
      <c r="CW1269" s="62" t="str">
        <f aca="false">IF(CS1269="","",MAX(0,H1269-CV1269)*G1269)</f>
        <v/>
      </c>
      <c r="CX1269" s="62" t="str">
        <f aca="false">IF(CS1269="","",CS1269*MAX(0,1-CV1269/H1269))</f>
        <v/>
      </c>
      <c r="CY1269" s="64" t="str">
        <f aca="false">IF(CS1269="","",PERCENTRANK($CS$7:$CS$1843,CS1269)+PERCENTRANK($CU$7:$CU$1843,CU1269)+1-PERCENTRANK($CT$7:$CT$1843,CT1269))</f>
        <v/>
      </c>
      <c r="CZ1269" s="72" t="str">
        <f aca="false">IF(CS1269="","",CHOOSE(MATCH(Einkauf!$C$5,Parameter!$G$23:$G$27,0),CY1269,CS1269,CU1269,-CT1269,CW1269)+ROW()/1000000000)</f>
        <v/>
      </c>
    </row>
    <row r="1270" customFormat="false" ht="15" hidden="false" customHeight="false" outlineLevel="0" collapsed="false">
      <c r="A1270" s="60" t="s">
        <v>2312</v>
      </c>
      <c r="B1270" s="60" t="s">
        <v>312</v>
      </c>
      <c r="C1270" s="60" t="s">
        <v>206</v>
      </c>
      <c r="D1270" s="60" t="s">
        <v>215</v>
      </c>
      <c r="E1270" s="60"/>
      <c r="F1270" s="60" t="s">
        <v>260</v>
      </c>
      <c r="G1270" s="61" t="n">
        <v>643.09</v>
      </c>
      <c r="H1270" s="62" t="n">
        <f aca="false">MAX(0,IF(AND(Parameter!$B$21="Ja",ISNUMBER(Y1270)),Y1270,IF(Parameter!$B$20="Jahresanfang 2025 + Export",BS1270+BR1270,BR1270)))</f>
        <v>1</v>
      </c>
      <c r="I1270" s="62" t="n">
        <f aca="false">H1270*G1270</f>
        <v>643.09</v>
      </c>
      <c r="J1270" s="62" t="n">
        <f aca="false">BU1270*Parameter!$B$18</f>
        <v>5</v>
      </c>
      <c r="K1270" s="63" t="n">
        <v>4</v>
      </c>
      <c r="L1270" s="64" t="n">
        <v>1.25</v>
      </c>
      <c r="M1270" s="62" t="n">
        <v>0</v>
      </c>
      <c r="N1270" s="62" t="n">
        <v>5</v>
      </c>
      <c r="O1270" s="65" t="n">
        <v>56</v>
      </c>
      <c r="P1270" s="60" t="s">
        <v>210</v>
      </c>
      <c r="Q1270" s="62"/>
      <c r="R1270" s="65" t="n">
        <f aca="false">IF(CA1270=1,0,IFERROR(VLOOKUP(BY1270,'Gebinde-Kategorie'!$A$5:$N$45,13,0)+0,0))</f>
        <v>4</v>
      </c>
      <c r="S1270" s="66"/>
      <c r="T1270" s="67" t="s">
        <v>231</v>
      </c>
      <c r="U1270" s="67"/>
      <c r="V1270" s="67"/>
      <c r="W1270" s="60"/>
      <c r="X1270" s="62"/>
      <c r="Y1270" s="62"/>
      <c r="Z1270" s="60" t="n">
        <v>2</v>
      </c>
      <c r="AA1270" s="60" t="n">
        <f aca="false">IF(A1270="","",IF(AND(Parameter!$B$21="Ja",ISNUMBER(W1270)),W1270,IF(AND(Parameter!$E$27="Ja",ISNUMBER(Z1270),CD1270&lt;&gt;"Nein"),Z1270,IF(CD1270="2+3",IF(ISNUMBER(SEARCH("grosser Artikel",BV1270)),2,IFERROR(VLOOKUP(BY1270,Parameter!$F$35:$G$64,2,0),2)),IF(OR(CD1270="Nein",CD1270=""),"-",CD1270)))))</f>
        <v>2</v>
      </c>
      <c r="AB1270" s="67"/>
      <c r="AC1270" s="68"/>
      <c r="AD1270" s="62" t="n">
        <f aca="false">AW1270</f>
        <v>5</v>
      </c>
      <c r="AE1270" s="62" t="n">
        <f aca="false">MAX(AW1270,H1270)</f>
        <v>5</v>
      </c>
      <c r="AF1270" s="69"/>
      <c r="AG1270" s="62" t="n">
        <f aca="false">IF(LEFT(Cockpit!$C$5,1)="A",H1270,IF(Parameter!$E$30="MAX-Bestand",IF(CI1270=1,CJ1270,IF(LEFT(Cockpit!$C$5,1)="B",AM1270,MAX(AM1270,H1270))),ROUNDUP(AK1270,0)))</f>
        <v>1</v>
      </c>
      <c r="AH1270" s="62" t="n">
        <f aca="false">IF(CA1270=1,0,ROUNDUP(AG1270/BZ1270,0))</f>
        <v>1</v>
      </c>
      <c r="AI1270" s="64" t="n">
        <f aca="false">IF(CR1270&gt;0,CR1270*MAX(1,AG1270/X1270),IF(CA1270=1,IF(AG1270&lt;=0,0,CE1270*MAX(1,IF(H1270&gt;0,AG1270/H1270,1))),IF(R1270&gt;0,AH1270/R1270,0))/MAX(0.1,N(Parameter!$M$21)))</f>
        <v>0.25</v>
      </c>
      <c r="AJ1270" s="62" t="n">
        <f aca="false">AI1270*CC1270</f>
        <v>58.75</v>
      </c>
      <c r="AK1270" s="63" t="n">
        <f aca="false">IF(LEFT(Cockpit!$C$5,1)="A",H1270,IF(CI1270=1,(CL1270+CJ1270)/2,IF(LEFT(Cockpit!$C$5,1)="B",(CL1270+AM1270)/2,MAX((CL1270+AM1270)/2,H1270))))</f>
        <v>1</v>
      </c>
      <c r="AL1270" s="62" t="n">
        <f aca="false">AK1270*G1270</f>
        <v>643.09</v>
      </c>
      <c r="AM1270" s="62" t="n">
        <f aca="false">ROUNDUP(CL1270+MAX(CM1270,2*(J1270/IF(CH1270&gt;0,CH1270,MAX(0.1,N(Cockpit!$C$6)))-CL1270)),0)</f>
        <v>5</v>
      </c>
      <c r="AN1270" s="63" t="n">
        <f aca="false">IF(AJ1270&gt;0,J1270/AJ1270,-1)</f>
        <v>0.0851063829787234</v>
      </c>
      <c r="AO1270" s="63" t="n">
        <f aca="false">IF(AND(OR(CG1270="L1",CG1270="L23",CG1270="LIFT"),AJ1270&gt;0),SUMIFS($AJ$7:$AJ$1843,$CG$7:$CG$1843,CG1270,$AN$7:$AN$1843,"&gt;"&amp;AN1270)+SUMIFS($AJ$7:$AJ$1843,$CG$7:$CG$1843,CG1270,$AN$7:$AN$1843,AN1270,$BX$7:$BX$1843,"&lt;="&amp;BX1270),"")</f>
        <v>16447.9575003622</v>
      </c>
      <c r="AP1270" s="70" t="n">
        <f aca="false">IF(AO1270="",0,MAX(0,MIN(1,(IF(CG1270="L1",Parameter!$H$5,IF(CG1270="L23",Parameter!$H$6+Parameter!$H$7,Parameter!$H$5+Parameter!$H$6+Parameter!$H$7))-(AO1270-AJ1270))/AJ1270)))</f>
        <v>1</v>
      </c>
      <c r="AQ1270" s="62" t="n">
        <f aca="false">IF(LEFT(Cockpit!$I$5,1)="A",H1270,IF(Parameter!$E$30="MAX-Bestand",IF(CI1270=1,CJ1270,IF(LEFT(Cockpit!$I$5,1)="B",AW1270,MAX(AW1270,H1270))),ROUNDUP(AU1270,0)))</f>
        <v>3</v>
      </c>
      <c r="AR1270" s="62" t="n">
        <f aca="false">IF(CA1270=1,0,ROUNDUP(AQ1270/BZ1270,0))</f>
        <v>1</v>
      </c>
      <c r="AS1270" s="64" t="n">
        <f aca="false">IF(CR1270&gt;0,CR1270*MAX(1,AQ1270/X1270),IF(CA1270=1,IF(AQ1270&lt;=0,0,CE1270*MAX(1,IF(H1270&gt;0,AQ1270/H1270,1))),IF(R1270&gt;0,AR1270/R1270,0))/MAX(0.1,N(Parameter!$M$21)))</f>
        <v>0.25</v>
      </c>
      <c r="AT1270" s="62" t="n">
        <f aca="false">AS1270*CC1270</f>
        <v>58.75</v>
      </c>
      <c r="AU1270" s="63" t="n">
        <f aca="false">IF(LEFT(Cockpit!$I$5,1)="A",H1270,IF(CI1270=1,(CL1270+CJ1270)/2,IF(LEFT(Cockpit!$I$5,1)="B",(CL1270+AW1270)/2,MAX((CL1270+AW1270)/2,H1270))))</f>
        <v>2.5</v>
      </c>
      <c r="AV1270" s="62" t="n">
        <f aca="false">AU1270*G1270</f>
        <v>1607.725</v>
      </c>
      <c r="AW1270" s="62" t="n">
        <f aca="false">ROUNDUP(CL1270+MAX(CM1270,2*(J1270/IF(CH1270&gt;0,CH1270,MAX(0.1,N(Cockpit!$I$6)))-CL1270)),0)</f>
        <v>5</v>
      </c>
      <c r="AX1270" s="63" t="n">
        <f aca="false">IF(AT1270&gt;0,J1270/AT1270,-1)</f>
        <v>0.0851063829787234</v>
      </c>
      <c r="AY1270" s="63" t="n">
        <f aca="false">IF(AND(OR(CG1270="L1",CG1270="L23",CG1270="LIFT"),AT1270&gt;0),SUMIFS($AT$7:$AT$1843,$CG$7:$CG$1843,CG1270,$AX$7:$AX$1843,"&gt;"&amp;AX1270)+SUMIFS($AT$7:$AT$1843,$CG$7:$CG$1843,CG1270,$AX$7:$AX$1843,AX1270,$BX$7:$BX$1843,"&lt;="&amp;BX1270),"")</f>
        <v>21471.1061417396</v>
      </c>
      <c r="AZ1270" s="70" t="n">
        <f aca="false">IF(AY1270="",0,MAX(0,MIN(1,(IF(CG1270="L1",Parameter!$H$5,IF(CG1270="L23",Parameter!$H$6+Parameter!$H$7,Parameter!$H$5+Parameter!$H$6+Parameter!$H$7))-(AY1270-AT1270))/AT1270)))</f>
        <v>1</v>
      </c>
      <c r="BA1270" s="62" t="n">
        <f aca="false">IF(LEFT(Cockpit!$O$5,1)="A",H1270,IF(Parameter!$E$30="MAX-Bestand",IF(CI1270=1,CJ1270,IF(LEFT(Cockpit!$O$5,1)="B",BG1270,MAX(BG1270,H1270))),ROUNDUP(BE1270,0)))</f>
        <v>3</v>
      </c>
      <c r="BB1270" s="62" t="n">
        <f aca="false">IF(CA1270=1,0,ROUNDUP(BA1270/BZ1270,0))</f>
        <v>1</v>
      </c>
      <c r="BC1270" s="64" t="n">
        <f aca="false">IF(CR1270&gt;0,CR1270*MAX(1,BA1270/X1270),IF(CA1270=1,IF(BA1270&lt;=0,0,CE1270*MAX(1,IF(H1270&gt;0,BA1270/H1270,1))),IF(R1270&gt;0,BB1270/R1270,0))/MAX(0.1,N(Parameter!$M$21)))</f>
        <v>0.25</v>
      </c>
      <c r="BD1270" s="62" t="n">
        <f aca="false">BC1270*CC1270</f>
        <v>58.75</v>
      </c>
      <c r="BE1270" s="63" t="n">
        <f aca="false">IF(LEFT(Cockpit!$O$5,1)="A",H1270,IF(CI1270=1,(CL1270+CJ1270)/2,IF(LEFT(Cockpit!$O$5,1)="B",(CL1270+BG1270)/2,MAX((CL1270+BG1270)/2,H1270))))</f>
        <v>2.5</v>
      </c>
      <c r="BF1270" s="62" t="n">
        <f aca="false">BE1270*G1270</f>
        <v>1607.725</v>
      </c>
      <c r="BG1270" s="62" t="n">
        <f aca="false">ROUNDUP(CL1270+MAX(CM1270,2*(J1270/IF(CH1270&gt;0,CH1270,MAX(0.1,N(Cockpit!$O$6)))-CL1270)),0)</f>
        <v>5</v>
      </c>
      <c r="BH1270" s="63" t="n">
        <f aca="false">IF(BD1270&gt;0,J1270/BD1270,-1)</f>
        <v>0.0851063829787234</v>
      </c>
      <c r="BI1270" s="63" t="n">
        <f aca="false">IF(AND(OR(CG1270="L1",CG1270="L23",CG1270="LIFT"),BD1270&gt;0),SUMIFS($BD$7:$BD$1843,$CG$7:$CG$1843,CG1270,$BH$7:$BH$1843,"&gt;"&amp;BH1270)+SUMIFS($BD$7:$BD$1843,$CG$7:$CG$1843,CG1270,$BH$7:$BH$1843,BH1270,$BX$7:$BX$1843,"&lt;="&amp;BX1270),"")</f>
        <v>18023.585420935</v>
      </c>
      <c r="BJ1270" s="70" t="n">
        <f aca="false">IF(BI1270="",0,MAX(0,MIN(1,(IF(CG1270="L1",Parameter!$H$5,IF(CG1270="L23",Parameter!$H$6+Parameter!$H$7,Parameter!$H$5+Parameter!$H$6+Parameter!$H$7))-(BI1270-BD1270))/BD1270)))</f>
        <v>1</v>
      </c>
      <c r="BK1270" s="60" t="str">
        <f aca="false">IF(AJ1270&lt;=0,"",IF(CG1270="Aussen","Aussenlager",IF(CG1270="-","Nicht im Lift",IF(AP1270&gt;=1,"Lift",IF(AP1270&lt;=0,"Aussenlager","teilweise")))))</f>
        <v>Lift</v>
      </c>
      <c r="BL1270" s="60" t="str">
        <f aca="false">IF(AT1270&lt;=0,"",IF(CG1270="Aussen","Aussenlager",IF(CG1270="-","Nicht im Lift",IF(AZ1270&gt;=1,"Lift",IF(AZ1270&lt;=0,"Aussenlager","teilweise")))))</f>
        <v>Lift</v>
      </c>
      <c r="BM1270" s="60" t="str">
        <f aca="false">IF(BD1270&lt;=0,"",IF(CG1270="Aussen","Aussenlager",IF(CG1270="-","Nicht im Lift",IF(BJ1270&gt;=1,"Lift",IF(BJ1270&lt;=0,"Aussenlager","teilweise")))))</f>
        <v>Lift</v>
      </c>
      <c r="BN1270" s="60" t="str">
        <f aca="false">IF(A1270="","",IF(BW1270=1,"Neu; ","")&amp;IF(AND(BW1270=0,BR1270&lt;0),"negativer Bestand (Export "&amp;BR1270&amp;"); ","")&amp;IF(J1270&lt;=0,"Kein Verbrauch; ","")&amp;IF(CR1270&gt;0,"Lift "&amp;W1270&amp;" lt. Liftbericht (Fach "&amp;X1270&amp;" Stk); ",IF(CB1270=1,"Gebinde geschätzt ("&amp;T1270&amp;"); ",IF(CA1270=1,"Lose – Tablare geschätzt; ","")))&amp;IF(H1270&gt;AW1270,"Überbestand "&amp;ROUND(H1270-AW1270,0)&amp;" Stk / CHF "&amp;ROUND((H1270-AW1270)*G1270,0)&amp;"; ","")&amp;IF(AND(CI1270=1,CJ1270&lt;CK1270),"MAX &lt; MB+LG; ","")&amp;IF(AND(CQ1270&gt;0,CP1270*10&gt;CQ1270),"zu hoch für Tablar; ","")&amp;IF(AND(BW1270=0,OR(CI1270=1,AB1270&lt;&gt;"",U1270&lt;&gt;"",V1270&lt;&gt;"",AC1270&lt;&gt;"")),"manuell übersteuert; ","")&amp;IF(AND(CA1270=0,R1270=0),"Gebinde unbekannt / Stellmass fehlt; ","")&amp;IF(AND(CA1270=0,N(V1270)&lt;=0,N(Q1270)&lt;=0),"Menge pro Gebinde fehlt (Ist = 1 Gebinde); ","")&amp;BV1270)</f>
        <v>negativer Bestand (Export -1); Gebinde geschätzt (Gross); Menge pro Gebinde fehlt (Ist = 1 Gebinde); </v>
      </c>
      <c r="BO1270" s="60"/>
      <c r="BP1270" s="60"/>
      <c r="BQ1270" s="67"/>
      <c r="BR1270" s="62" t="n">
        <v>-1</v>
      </c>
      <c r="BS1270" s="62" t="n">
        <v>2</v>
      </c>
      <c r="BT1270" s="61" t="n">
        <v>-936.91</v>
      </c>
      <c r="BU1270" s="62" t="n">
        <v>5</v>
      </c>
      <c r="BV1270" s="60"/>
      <c r="BW1270" s="65" t="n">
        <v>0</v>
      </c>
      <c r="BX1270" s="65" t="n">
        <v>1270</v>
      </c>
      <c r="BY1270" s="60" t="str">
        <f aca="false">IF(U1270&lt;&gt;"",UPPER(TRIM(U1270)),IF(CB1270=1,UPPER(VLOOKUP(T1270,Parameter!$I$27:$K$29,2,0)),IF(P1270="","LOSE",P1270)))</f>
        <v>S81</v>
      </c>
      <c r="BZ1270" s="62" t="n">
        <f aca="false">IF(BY1270="LOSE",1,IF(N(V1270)&gt;0,V1270,IF(CB1270=1,MAX(1,N(VLOOKUP(T1270,Parameter!$I$27:$K$29,3,0)),H1270,N(N1270)),IF(N(Q1270)&gt;0,Q1270,MAX(1,H1270)))))</f>
        <v>5</v>
      </c>
      <c r="CA1270" s="65" t="n">
        <f aca="false">IF(BY1270="LOSE",1,0)</f>
        <v>0</v>
      </c>
      <c r="CB1270" s="65" t="n">
        <f aca="false">IF(AND(U1270="",OR(P1270="",P1270="LOSE"),T1270&lt;&gt;"",N(S1270)&lt;=0,ISNUMBER(MATCH(T1270,Parameter!$I$27:$I$29,0))),1,0)</f>
        <v>1</v>
      </c>
      <c r="CC1270" s="65" t="n">
        <f aca="false">IF(CR1270&gt;0,INDEX(Parameter!$H$5:$H$7,W1270)/INDEX(Parameter!$E$5:$E$7,W1270),IF(AND(CA1270=0,N(IFERROR(VLOOKUP(BY1270,'Gebinde-Kategorie'!$A$5:$N$45,14,0),0))&gt;0),VLOOKUP(BY1270,'Gebinde-Kategorie'!$A$5:$N$45,14,0)*10+Parameter!$M$23,Parameter!$M$24))</f>
        <v>235</v>
      </c>
      <c r="CD1270" s="60" t="str">
        <f aca="false">IF(AND(Parameter!$B$19="Ja",E1270&lt;&gt;"",ISNUMBER(MATCH(E1270,Parameter!$I$35:$I$52,0))),VLOOKUP(E1270,Parameter!$I$35:$J$52,2,0),IFERROR(VLOOKUP(D1270,Parameter!$A$35:$C$64,2,0),"Nein"))</f>
        <v>2+3</v>
      </c>
      <c r="CE1270" s="64" t="n">
        <f aca="false">IF(CA1270=0,0,IF(N(S1270)&gt;0,S1270,IFERROR(VLOOKUP(D1270,Parameter!$A$35:$C$64,3,0)+0,0)))</f>
        <v>0</v>
      </c>
      <c r="CF1270" s="60" t="n">
        <f aca="false">IF(AB1270&lt;&gt;"",AB1270,AA1270)</f>
        <v>2</v>
      </c>
      <c r="CG1270" s="60" t="str">
        <f aca="false">IF(OR(CF1270=1,CF1270=2,CF1270=3),IF(Parameter!$E$27="Ja","LIFT",IF(CF1270=1,"L1","L23")),IF(CF1270="Aussen","Aussen","-"))</f>
        <v>LIFT</v>
      </c>
      <c r="CH1270" s="71" t="n">
        <f aca="false">IF(N(AC1270)&gt;0,AC1270,0)</f>
        <v>0</v>
      </c>
      <c r="CI1270" s="65" t="n">
        <f aca="false">IF(ISNUMBER(AF1270),1,0)</f>
        <v>0</v>
      </c>
      <c r="CJ1270" s="62" t="n">
        <f aca="false">N(AF1270)</f>
        <v>0</v>
      </c>
      <c r="CK1270" s="62" t="n">
        <f aca="false">N(M1270)+N(N1270)</f>
        <v>5</v>
      </c>
      <c r="CL1270" s="62" t="n">
        <f aca="false">N(M1270)</f>
        <v>0</v>
      </c>
      <c r="CM1270" s="62" t="n">
        <f aca="false">N(N1270)</f>
        <v>5</v>
      </c>
      <c r="CN1270" s="62" t="n">
        <f aca="false">ROUNDUP(H1270/BZ1270,0)</f>
        <v>1</v>
      </c>
      <c r="CO1270" s="62" t="n">
        <f aca="false">ROUNDUP(CJ1270/BZ1270,0)</f>
        <v>0</v>
      </c>
      <c r="CP1270" s="65" t="n">
        <f aca="false">IF(CA1270=1,0,IFERROR(VLOOKUP(BY1270,'Gebinde-Kategorie'!$A$5:$N$45,5,0)+0,0))</f>
        <v>20</v>
      </c>
      <c r="CQ1270" s="65" t="n">
        <f aca="false">IFERROR(IF(OR(CF1270=1,CF1270=2,CF1270=3),N(INDEX(Parameter!$I$5:$I$7,CF1270)),0),0)</f>
        <v>0</v>
      </c>
      <c r="CR1270" s="64" t="n">
        <f aca="false">IF(AND(Parameter!$B$21="Ja",ISNUMBER(W1270),N(X1270)&gt;0),IFERROR(N(INDEX(Parameter!$L$5:$L$7,W1270))*INDEX(Parameter!$E$5:$E$7,W1270)*X1270/SUMIFS($X$7:$X$1843,$W$7:$W$1843,W1270),0),0)</f>
        <v>0</v>
      </c>
      <c r="CS1270" s="62" t="n">
        <f aca="false">IF(AND(OR(CG1270="L1",CG1270="L23",CG1270="LIFT"),H1270&gt;0),CC1270*IF(CR1270&gt;0,CR1270*MAX(1,H1270/X1270),IF(CA1270=1,CE1270,IF(R1270&gt;0,CN1270/R1270,0))/MAX(0.1,N(Parameter!$M$21))),"")</f>
        <v>58.75</v>
      </c>
      <c r="CT1270" s="64" t="n">
        <f aca="false">IF(CS1270="","",J1270/H1270)</f>
        <v>5</v>
      </c>
      <c r="CU1270" s="62" t="n">
        <f aca="false">IF(CS1270="","",H1270*G1270)</f>
        <v>643.09</v>
      </c>
      <c r="CV1270" s="63" t="n">
        <f aca="false">IF(CS1270="","",(CL1270+ROUNDUP(CL1270+MAX(CM1270,2*(J1270/MAX(0.1,N(Einkauf!$C$6))-CL1270)),0))/2)</f>
        <v>2.5</v>
      </c>
      <c r="CW1270" s="62" t="n">
        <f aca="false">IF(CS1270="","",MAX(0,H1270-CV1270)*G1270)</f>
        <v>0</v>
      </c>
      <c r="CX1270" s="62" t="n">
        <f aca="false">IF(CS1270="","",CS1270*MAX(0,1-CV1270/H1270))</f>
        <v>0</v>
      </c>
      <c r="CY1270" s="64" t="n">
        <f aca="false">IF(CS1270="","",PERCENTRANK($CS$7:$CS$1843,CS1270)+PERCENTRANK($CU$7:$CU$1843,CU1270)+1-PERCENTRANK($CT$7:$CT$1843,CT1270))</f>
        <v>1.519</v>
      </c>
      <c r="CZ1270" s="72" t="n">
        <f aca="false">IF(CS1270="","",CHOOSE(MATCH(Einkauf!$C$5,Parameter!$G$23:$G$27,0),CY1270,CS1270,CU1270,-CT1270,CW1270)+ROW()/1000000000)</f>
        <v>1.51900127</v>
      </c>
    </row>
    <row r="1271" customFormat="false" ht="15" hidden="false" customHeight="false" outlineLevel="0" collapsed="false">
      <c r="A1271" s="60" t="s">
        <v>2313</v>
      </c>
      <c r="B1271" s="60" t="s">
        <v>2314</v>
      </c>
      <c r="C1271" s="60" t="s">
        <v>206</v>
      </c>
      <c r="D1271" s="60" t="s">
        <v>226</v>
      </c>
      <c r="E1271" s="60" t="s">
        <v>227</v>
      </c>
      <c r="F1271" s="60" t="s">
        <v>260</v>
      </c>
      <c r="G1271" s="61" t="n">
        <v>315.61</v>
      </c>
      <c r="H1271" s="62" t="n">
        <f aca="false">MAX(0,IF(AND(Parameter!$B$21="Ja",ISNUMBER(Y1271)),Y1271,IF(Parameter!$B$20="Jahresanfang 2025 + Export",BS1271+BR1271,BR1271)))</f>
        <v>4</v>
      </c>
      <c r="I1271" s="62" t="n">
        <f aca="false">H1271*G1271</f>
        <v>1262.44</v>
      </c>
      <c r="J1271" s="62" t="n">
        <f aca="false">BU1271*Parameter!$B$18</f>
        <v>1</v>
      </c>
      <c r="K1271" s="63" t="n">
        <v>6.5</v>
      </c>
      <c r="L1271" s="64" t="n">
        <v>0.153846153846154</v>
      </c>
      <c r="M1271" s="62" t="n">
        <v>0</v>
      </c>
      <c r="N1271" s="62" t="n">
        <v>1</v>
      </c>
      <c r="O1271" s="65" t="n">
        <v>21</v>
      </c>
      <c r="P1271" s="60" t="s">
        <v>344</v>
      </c>
      <c r="Q1271" s="62" t="n">
        <v>4</v>
      </c>
      <c r="R1271" s="65" t="n">
        <f aca="false">IF(CA1271=1,0,IFERROR(VLOOKUP(BY1271,'Gebinde-Kategorie'!$A$5:$N$45,13,0)+0,0))</f>
        <v>26</v>
      </c>
      <c r="S1271" s="66"/>
      <c r="T1271" s="67"/>
      <c r="U1271" s="67"/>
      <c r="V1271" s="67"/>
      <c r="W1271" s="60"/>
      <c r="X1271" s="62"/>
      <c r="Y1271" s="62"/>
      <c r="Z1271" s="60" t="n">
        <v>3</v>
      </c>
      <c r="AA1271" s="60" t="n">
        <f aca="false">IF(A1271="","",IF(AND(Parameter!$B$21="Ja",ISNUMBER(W1271)),W1271,IF(AND(Parameter!$E$27="Ja",ISNUMBER(Z1271),CD1271&lt;&gt;"Nein"),Z1271,IF(CD1271="2+3",IF(ISNUMBER(SEARCH("grosser Artikel",BV1271)),2,IFERROR(VLOOKUP(BY1271,Parameter!$F$35:$G$64,2,0),2)),IF(OR(CD1271="Nein",CD1271=""),"-",CD1271)))))</f>
        <v>3</v>
      </c>
      <c r="AB1271" s="67"/>
      <c r="AC1271" s="68"/>
      <c r="AD1271" s="62" t="n">
        <f aca="false">AW1271</f>
        <v>1</v>
      </c>
      <c r="AE1271" s="62" t="n">
        <f aca="false">MAX(AW1271,H1271)</f>
        <v>4</v>
      </c>
      <c r="AF1271" s="69"/>
      <c r="AG1271" s="62" t="n">
        <f aca="false">IF(LEFT(Cockpit!$C$5,1)="A",H1271,IF(Parameter!$E$30="MAX-Bestand",IF(CI1271=1,CJ1271,IF(LEFT(Cockpit!$C$5,1)="B",AM1271,MAX(AM1271,H1271))),ROUNDUP(AK1271,0)))</f>
        <v>4</v>
      </c>
      <c r="AH1271" s="62" t="n">
        <f aca="false">IF(CA1271=1,0,ROUNDUP(AG1271/BZ1271,0))</f>
        <v>1</v>
      </c>
      <c r="AI1271" s="64" t="n">
        <f aca="false">IF(CR1271&gt;0,CR1271*MAX(1,AG1271/X1271),IF(CA1271=1,IF(AG1271&lt;=0,0,CE1271*MAX(1,IF(H1271&gt;0,AG1271/H1271,1))),IF(R1271&gt;0,AH1271/R1271,0))/MAX(0.1,N(Parameter!$M$21)))</f>
        <v>0.0384615384615385</v>
      </c>
      <c r="AJ1271" s="62" t="n">
        <f aca="false">AI1271*CC1271</f>
        <v>5.96153846153846</v>
      </c>
      <c r="AK1271" s="63" t="n">
        <f aca="false">IF(LEFT(Cockpit!$C$5,1)="A",H1271,IF(CI1271=1,(CL1271+CJ1271)/2,IF(LEFT(Cockpit!$C$5,1)="B",(CL1271+AM1271)/2,MAX((CL1271+AM1271)/2,H1271))))</f>
        <v>4</v>
      </c>
      <c r="AL1271" s="62" t="n">
        <f aca="false">AK1271*G1271</f>
        <v>1262.44</v>
      </c>
      <c r="AM1271" s="62" t="n">
        <f aca="false">ROUNDUP(CL1271+MAX(CM1271,2*(J1271/IF(CH1271&gt;0,CH1271,MAX(0.1,N(Cockpit!$C$6)))-CL1271)),0)</f>
        <v>1</v>
      </c>
      <c r="AN1271" s="63" t="n">
        <f aca="false">IF(AJ1271&gt;0,J1271/AJ1271,-1)</f>
        <v>0.167741935483871</v>
      </c>
      <c r="AO1271" s="63" t="n">
        <f aca="false">IF(AND(OR(CG1271="L1",CG1271="L23",CG1271="LIFT"),AJ1271&gt;0),SUMIFS($AJ$7:$AJ$1843,$CG$7:$CG$1843,CG1271,$AN$7:$AN$1843,"&gt;"&amp;AN1271)+SUMIFS($AJ$7:$AJ$1843,$CG$7:$CG$1843,CG1271,$AN$7:$AN$1843,AN1271,$BX$7:$BX$1843,"&lt;="&amp;BX1271),"")</f>
        <v>12757.233720846</v>
      </c>
      <c r="AP1271" s="70" t="n">
        <f aca="false">IF(AO1271="",0,MAX(0,MIN(1,(IF(CG1271="L1",Parameter!$H$5,IF(CG1271="L23",Parameter!$H$6+Parameter!$H$7,Parameter!$H$5+Parameter!$H$6+Parameter!$H$7))-(AO1271-AJ1271))/AJ1271)))</f>
        <v>1</v>
      </c>
      <c r="AQ1271" s="62" t="n">
        <f aca="false">IF(LEFT(Cockpit!$I$5,1)="A",H1271,IF(Parameter!$E$30="MAX-Bestand",IF(CI1271=1,CJ1271,IF(LEFT(Cockpit!$I$5,1)="B",AW1271,MAX(AW1271,H1271))),ROUNDUP(AU1271,0)))</f>
        <v>4</v>
      </c>
      <c r="AR1271" s="62" t="n">
        <f aca="false">IF(CA1271=1,0,ROUNDUP(AQ1271/BZ1271,0))</f>
        <v>1</v>
      </c>
      <c r="AS1271" s="64" t="n">
        <f aca="false">IF(CR1271&gt;0,CR1271*MAX(1,AQ1271/X1271),IF(CA1271=1,IF(AQ1271&lt;=0,0,CE1271*MAX(1,IF(H1271&gt;0,AQ1271/H1271,1))),IF(R1271&gt;0,AR1271/R1271,0))/MAX(0.1,N(Parameter!$M$21)))</f>
        <v>0.0384615384615385</v>
      </c>
      <c r="AT1271" s="62" t="n">
        <f aca="false">AS1271*CC1271</f>
        <v>5.96153846153846</v>
      </c>
      <c r="AU1271" s="63" t="n">
        <f aca="false">IF(LEFT(Cockpit!$I$5,1)="A",H1271,IF(CI1271=1,(CL1271+CJ1271)/2,IF(LEFT(Cockpit!$I$5,1)="B",(CL1271+AW1271)/2,MAX((CL1271+AW1271)/2,H1271))))</f>
        <v>4</v>
      </c>
      <c r="AV1271" s="62" t="n">
        <f aca="false">AU1271*G1271</f>
        <v>1262.44</v>
      </c>
      <c r="AW1271" s="62" t="n">
        <f aca="false">ROUNDUP(CL1271+MAX(CM1271,2*(J1271/IF(CH1271&gt;0,CH1271,MAX(0.1,N(Cockpit!$I$6)))-CL1271)),0)</f>
        <v>1</v>
      </c>
      <c r="AX1271" s="63" t="n">
        <f aca="false">IF(AT1271&gt;0,J1271/AT1271,-1)</f>
        <v>0.167741935483871</v>
      </c>
      <c r="AY1271" s="63" t="n">
        <f aca="false">IF(AND(OR(CG1271="L1",CG1271="L23",CG1271="LIFT"),AT1271&gt;0),SUMIFS($AT$7:$AT$1843,$CG$7:$CG$1843,CG1271,$AX$7:$AX$1843,"&gt;"&amp;AX1271)+SUMIFS($AT$7:$AT$1843,$CG$7:$CG$1843,CG1271,$AX$7:$AX$1843,AX1271,$BX$7:$BX$1843,"&lt;="&amp;BX1271),"")</f>
        <v>15685.9143772894</v>
      </c>
      <c r="AZ1271" s="70" t="n">
        <f aca="false">IF(AY1271="",0,MAX(0,MIN(1,(IF(CG1271="L1",Parameter!$H$5,IF(CG1271="L23",Parameter!$H$6+Parameter!$H$7,Parameter!$H$5+Parameter!$H$6+Parameter!$H$7))-(AY1271-AT1271))/AT1271)))</f>
        <v>1</v>
      </c>
      <c r="BA1271" s="62" t="n">
        <f aca="false">IF(LEFT(Cockpit!$O$5,1)="A",H1271,IF(Parameter!$E$30="MAX-Bestand",IF(CI1271=1,CJ1271,IF(LEFT(Cockpit!$O$5,1)="B",BG1271,MAX(BG1271,H1271))),ROUNDUP(BE1271,0)))</f>
        <v>1</v>
      </c>
      <c r="BB1271" s="62" t="n">
        <f aca="false">IF(CA1271=1,0,ROUNDUP(BA1271/BZ1271,0))</f>
        <v>1</v>
      </c>
      <c r="BC1271" s="64" t="n">
        <f aca="false">IF(CR1271&gt;0,CR1271*MAX(1,BA1271/X1271),IF(CA1271=1,IF(BA1271&lt;=0,0,CE1271*MAX(1,IF(H1271&gt;0,BA1271/H1271,1))),IF(R1271&gt;0,BB1271/R1271,0))/MAX(0.1,N(Parameter!$M$21)))</f>
        <v>0.0384615384615385</v>
      </c>
      <c r="BD1271" s="62" t="n">
        <f aca="false">BC1271*CC1271</f>
        <v>5.96153846153846</v>
      </c>
      <c r="BE1271" s="63" t="n">
        <f aca="false">IF(LEFT(Cockpit!$O$5,1)="A",H1271,IF(CI1271=1,(CL1271+CJ1271)/2,IF(LEFT(Cockpit!$O$5,1)="B",(CL1271+BG1271)/2,MAX((CL1271+BG1271)/2,H1271))))</f>
        <v>0.5</v>
      </c>
      <c r="BF1271" s="62" t="n">
        <f aca="false">BE1271*G1271</f>
        <v>157.805</v>
      </c>
      <c r="BG1271" s="62" t="n">
        <f aca="false">ROUNDUP(CL1271+MAX(CM1271,2*(J1271/IF(CH1271&gt;0,CH1271,MAX(0.1,N(Cockpit!$O$6)))-CL1271)),0)</f>
        <v>1</v>
      </c>
      <c r="BH1271" s="63" t="n">
        <f aca="false">IF(BD1271&gt;0,J1271/BD1271,-1)</f>
        <v>0.167741935483871</v>
      </c>
      <c r="BI1271" s="63" t="n">
        <f aca="false">IF(AND(OR(CG1271="L1",CG1271="L23",CG1271="LIFT"),BD1271&gt;0),SUMIFS($BD$7:$BD$1843,$CG$7:$CG$1843,CG1271,$BH$7:$BH$1843,"&gt;"&amp;BH1271)+SUMIFS($BD$7:$BD$1843,$CG$7:$CG$1843,CG1271,$BH$7:$BH$1843,BH1271,$BX$7:$BX$1843,"&lt;="&amp;BX1271),"")</f>
        <v>13488.2142055214</v>
      </c>
      <c r="BJ1271" s="70" t="n">
        <f aca="false">IF(BI1271="",0,MAX(0,MIN(1,(IF(CG1271="L1",Parameter!$H$5,IF(CG1271="L23",Parameter!$H$6+Parameter!$H$7,Parameter!$H$5+Parameter!$H$6+Parameter!$H$7))-(BI1271-BD1271))/BD1271)))</f>
        <v>1</v>
      </c>
      <c r="BK1271" s="60" t="str">
        <f aca="false">IF(AJ1271&lt;=0,"",IF(CG1271="Aussen","Aussenlager",IF(CG1271="-","Nicht im Lift",IF(AP1271&gt;=1,"Lift",IF(AP1271&lt;=0,"Aussenlager","teilweise")))))</f>
        <v>Lift</v>
      </c>
      <c r="BL1271" s="60" t="str">
        <f aca="false">IF(AT1271&lt;=0,"",IF(CG1271="Aussen","Aussenlager",IF(CG1271="-","Nicht im Lift",IF(AZ1271&gt;=1,"Lift",IF(AZ1271&lt;=0,"Aussenlager","teilweise")))))</f>
        <v>Lift</v>
      </c>
      <c r="BM1271" s="60" t="str">
        <f aca="false">IF(BD1271&lt;=0,"",IF(CG1271="Aussen","Aussenlager",IF(CG1271="-","Nicht im Lift",IF(BJ1271&gt;=1,"Lift",IF(BJ1271&lt;=0,"Aussenlager","teilweise")))))</f>
        <v>Lift</v>
      </c>
      <c r="BN1271" s="60" t="str">
        <f aca="false">IF(A1271="","",IF(BW1271=1,"Neu; ","")&amp;IF(AND(BW1271=0,BR1271&lt;0),"negativer Bestand (Export "&amp;BR1271&amp;"); ","")&amp;IF(J1271&lt;=0,"Kein Verbrauch; ","")&amp;IF(CR1271&gt;0,"Lift "&amp;W1271&amp;" lt. Liftbericht (Fach "&amp;X1271&amp;" Stk); ",IF(CB1271=1,"Gebinde geschätzt ("&amp;T1271&amp;"); ",IF(CA1271=1,"Lose – Tablare geschätzt; ","")))&amp;IF(H1271&gt;AW1271,"Überbestand "&amp;ROUND(H1271-AW1271,0)&amp;" Stk / CHF "&amp;ROUND((H1271-AW1271)*G1271,0)&amp;"; ","")&amp;IF(AND(CI1271=1,CJ1271&lt;CK1271),"MAX &lt; MB+LG; ","")&amp;IF(AND(CQ1271&gt;0,CP1271*10&gt;CQ1271),"zu hoch für Tablar; ","")&amp;IF(AND(BW1271=0,OR(CI1271=1,AB1271&lt;&gt;"",U1271&lt;&gt;"",V1271&lt;&gt;"",AC1271&lt;&gt;"")),"manuell übersteuert; ","")&amp;IF(AND(CA1271=0,R1271=0),"Gebinde unbekannt / Stellmass fehlt; ","")&amp;IF(AND(CA1271=0,N(V1271)&lt;=0,N(Q1271)&lt;=0),"Menge pro Gebinde fehlt (Ist = 1 Gebinde); ","")&amp;BV1271)</f>
        <v>negativer Bestand (Export -3); Überbestand 3 Stk / CHF 947; Neu</v>
      </c>
      <c r="BO1271" s="60"/>
      <c r="BP1271" s="60"/>
      <c r="BQ1271" s="67"/>
      <c r="BR1271" s="62" t="n">
        <v>-3</v>
      </c>
      <c r="BS1271" s="62" t="n">
        <v>7</v>
      </c>
      <c r="BT1271" s="61" t="n">
        <v>-946.83</v>
      </c>
      <c r="BU1271" s="62" t="n">
        <v>1</v>
      </c>
      <c r="BV1271" s="60" t="s">
        <v>668</v>
      </c>
      <c r="BW1271" s="65" t="n">
        <v>0</v>
      </c>
      <c r="BX1271" s="65" t="n">
        <v>1271</v>
      </c>
      <c r="BY1271" s="60" t="str">
        <f aca="false">IF(U1271&lt;&gt;"",UPPER(TRIM(U1271)),IF(CB1271=1,UPPER(VLOOKUP(T1271,Parameter!$I$27:$K$29,2,0)),IF(P1271="","LOSE",P1271)))</f>
        <v>S51</v>
      </c>
      <c r="BZ1271" s="62" t="n">
        <f aca="false">IF(BY1271="LOSE",1,IF(N(V1271)&gt;0,V1271,IF(CB1271=1,MAX(1,N(VLOOKUP(T1271,Parameter!$I$27:$K$29,3,0)),H1271,N(N1271)),IF(N(Q1271)&gt;0,Q1271,MAX(1,H1271)))))</f>
        <v>4</v>
      </c>
      <c r="CA1271" s="65" t="n">
        <f aca="false">IF(BY1271="LOSE",1,0)</f>
        <v>0</v>
      </c>
      <c r="CB1271" s="65" t="n">
        <f aca="false">IF(AND(U1271="",OR(P1271="",P1271="LOSE"),T1271&lt;&gt;"",N(S1271)&lt;=0,ISNUMBER(MATCH(T1271,Parameter!$I$27:$I$29,0))),1,0)</f>
        <v>0</v>
      </c>
      <c r="CC1271" s="65" t="n">
        <f aca="false">IF(CR1271&gt;0,INDEX(Parameter!$H$5:$H$7,W1271)/INDEX(Parameter!$E$5:$E$7,W1271),IF(AND(CA1271=0,N(IFERROR(VLOOKUP(BY1271,'Gebinde-Kategorie'!$A$5:$N$45,14,0),0))&gt;0),VLOOKUP(BY1271,'Gebinde-Kategorie'!$A$5:$N$45,14,0)*10+Parameter!$M$23,Parameter!$M$24))</f>
        <v>155</v>
      </c>
      <c r="CD1271" s="60" t="str">
        <f aca="false">IF(AND(Parameter!$B$19="Ja",E1271&lt;&gt;"",ISNUMBER(MATCH(E1271,Parameter!$I$35:$I$52,0))),VLOOKUP(E1271,Parameter!$I$35:$J$52,2,0),IFERROR(VLOOKUP(D1271,Parameter!$A$35:$C$64,2,0),"Nein"))</f>
        <v>2+3</v>
      </c>
      <c r="CE1271" s="64" t="n">
        <f aca="false">IF(CA1271=0,0,IF(N(S1271)&gt;0,S1271,IFERROR(VLOOKUP(D1271,Parameter!$A$35:$C$64,3,0)+0,0)))</f>
        <v>0</v>
      </c>
      <c r="CF1271" s="60" t="n">
        <f aca="false">IF(AB1271&lt;&gt;"",AB1271,AA1271)</f>
        <v>3</v>
      </c>
      <c r="CG1271" s="60" t="str">
        <f aca="false">IF(OR(CF1271=1,CF1271=2,CF1271=3),IF(Parameter!$E$27="Ja","LIFT",IF(CF1271=1,"L1","L23")),IF(CF1271="Aussen","Aussen","-"))</f>
        <v>LIFT</v>
      </c>
      <c r="CH1271" s="71" t="n">
        <f aca="false">IF(N(AC1271)&gt;0,AC1271,0)</f>
        <v>0</v>
      </c>
      <c r="CI1271" s="65" t="n">
        <f aca="false">IF(ISNUMBER(AF1271),1,0)</f>
        <v>0</v>
      </c>
      <c r="CJ1271" s="62" t="n">
        <f aca="false">N(AF1271)</f>
        <v>0</v>
      </c>
      <c r="CK1271" s="62" t="n">
        <f aca="false">N(M1271)+N(N1271)</f>
        <v>1</v>
      </c>
      <c r="CL1271" s="62" t="n">
        <f aca="false">N(M1271)</f>
        <v>0</v>
      </c>
      <c r="CM1271" s="62" t="n">
        <f aca="false">N(N1271)</f>
        <v>1</v>
      </c>
      <c r="CN1271" s="62" t="n">
        <f aca="false">ROUNDUP(H1271/BZ1271,0)</f>
        <v>1</v>
      </c>
      <c r="CO1271" s="62" t="n">
        <f aca="false">ROUNDUP(CJ1271/BZ1271,0)</f>
        <v>0</v>
      </c>
      <c r="CP1271" s="65" t="n">
        <f aca="false">IF(CA1271=1,0,IFERROR(VLOOKUP(BY1271,'Gebinde-Kategorie'!$A$5:$N$45,5,0)+0,0))</f>
        <v>11</v>
      </c>
      <c r="CQ1271" s="65" t="n">
        <f aca="false">IFERROR(IF(OR(CF1271=1,CF1271=2,CF1271=3),N(INDEX(Parameter!$I$5:$I$7,CF1271)),0),0)</f>
        <v>0</v>
      </c>
      <c r="CR1271" s="64" t="n">
        <f aca="false">IF(AND(Parameter!$B$21="Ja",ISNUMBER(W1271),N(X1271)&gt;0),IFERROR(N(INDEX(Parameter!$L$5:$L$7,W1271))*INDEX(Parameter!$E$5:$E$7,W1271)*X1271/SUMIFS($X$7:$X$1843,$W$7:$W$1843,W1271),0),0)</f>
        <v>0</v>
      </c>
      <c r="CS1271" s="62" t="n">
        <f aca="false">IF(AND(OR(CG1271="L1",CG1271="L23",CG1271="LIFT"),H1271&gt;0),CC1271*IF(CR1271&gt;0,CR1271*MAX(1,H1271/X1271),IF(CA1271=1,CE1271,IF(R1271&gt;0,CN1271/R1271,0))/MAX(0.1,N(Parameter!$M$21))),"")</f>
        <v>5.96153846153846</v>
      </c>
      <c r="CT1271" s="64" t="n">
        <f aca="false">IF(CS1271="","",J1271/H1271)</f>
        <v>0.25</v>
      </c>
      <c r="CU1271" s="62" t="n">
        <f aca="false">IF(CS1271="","",H1271*G1271)</f>
        <v>1262.44</v>
      </c>
      <c r="CV1271" s="63" t="n">
        <f aca="false">IF(CS1271="","",(CL1271+ROUNDUP(CL1271+MAX(CM1271,2*(J1271/MAX(0.1,N(Einkauf!$C$6))-CL1271)),0))/2)</f>
        <v>0.5</v>
      </c>
      <c r="CW1271" s="62" t="n">
        <f aca="false">IF(CS1271="","",MAX(0,H1271-CV1271)*G1271)</f>
        <v>1104.635</v>
      </c>
      <c r="CX1271" s="62" t="n">
        <f aca="false">IF(CS1271="","",CS1271*MAX(0,1-CV1271/H1271))</f>
        <v>5.21634615384615</v>
      </c>
      <c r="CY1271" s="64" t="n">
        <f aca="false">IF(CS1271="","",PERCENTRANK($CS$7:$CS$1843,CS1271)+PERCENTRANK($CU$7:$CU$1843,CU1271)+1-PERCENTRANK($CT$7:$CT$1843,CT1271))</f>
        <v>1.561</v>
      </c>
      <c r="CZ1271" s="72" t="n">
        <f aca="false">IF(CS1271="","",CHOOSE(MATCH(Einkauf!$C$5,Parameter!$G$23:$G$27,0),CY1271,CS1271,CU1271,-CT1271,CW1271)+ROW()/1000000000)</f>
        <v>1.561001271</v>
      </c>
    </row>
    <row r="1272" customFormat="false" ht="15" hidden="false" customHeight="false" outlineLevel="0" collapsed="false">
      <c r="A1272" s="60" t="s">
        <v>2315</v>
      </c>
      <c r="B1272" s="60" t="s">
        <v>2316</v>
      </c>
      <c r="C1272" s="60" t="s">
        <v>206</v>
      </c>
      <c r="D1272" s="60" t="s">
        <v>215</v>
      </c>
      <c r="E1272" s="60"/>
      <c r="F1272" s="60" t="s">
        <v>260</v>
      </c>
      <c r="G1272" s="61" t="n">
        <v>317.25</v>
      </c>
      <c r="H1272" s="62" t="n">
        <f aca="false">MAX(0,IF(AND(Parameter!$B$21="Ja",ISNUMBER(Y1272)),Y1272,IF(Parameter!$B$20="Jahresanfang 2025 + Export",BS1272+BR1272,BR1272)))</f>
        <v>7</v>
      </c>
      <c r="I1272" s="62" t="n">
        <f aca="false">H1272*G1272</f>
        <v>2220.75</v>
      </c>
      <c r="J1272" s="62" t="n">
        <f aca="false">BU1272*Parameter!$B$18</f>
        <v>2</v>
      </c>
      <c r="K1272" s="63" t="n">
        <v>9</v>
      </c>
      <c r="L1272" s="64" t="n">
        <v>0.222222222222222</v>
      </c>
      <c r="M1272" s="62" t="n">
        <v>0</v>
      </c>
      <c r="N1272" s="62" t="n">
        <v>1</v>
      </c>
      <c r="O1272" s="65" t="n">
        <v>35</v>
      </c>
      <c r="P1272" s="60" t="s">
        <v>216</v>
      </c>
      <c r="Q1272" s="62" t="n">
        <v>10</v>
      </c>
      <c r="R1272" s="65" t="n">
        <f aca="false">IF(CA1272=1,0,IFERROR(VLOOKUP(BY1272,'Gebinde-Kategorie'!$A$5:$N$45,13,0)+0,0))</f>
        <v>6</v>
      </c>
      <c r="S1272" s="66"/>
      <c r="T1272" s="67"/>
      <c r="U1272" s="67"/>
      <c r="V1272" s="67"/>
      <c r="W1272" s="60"/>
      <c r="X1272" s="62"/>
      <c r="Y1272" s="62"/>
      <c r="Z1272" s="60" t="n">
        <v>2</v>
      </c>
      <c r="AA1272" s="60" t="n">
        <f aca="false">IF(A1272="","",IF(AND(Parameter!$B$21="Ja",ISNUMBER(W1272)),W1272,IF(AND(Parameter!$E$27="Ja",ISNUMBER(Z1272),CD1272&lt;&gt;"Nein"),Z1272,IF(CD1272="2+3",IF(ISNUMBER(SEARCH("grosser Artikel",BV1272)),2,IFERROR(VLOOKUP(BY1272,Parameter!$F$35:$G$64,2,0),2)),IF(OR(CD1272="Nein",CD1272=""),"-",CD1272)))))</f>
        <v>2</v>
      </c>
      <c r="AB1272" s="67"/>
      <c r="AC1272" s="68"/>
      <c r="AD1272" s="62" t="n">
        <f aca="false">AW1272</f>
        <v>2</v>
      </c>
      <c r="AE1272" s="62" t="n">
        <f aca="false">MAX(AW1272,H1272)</f>
        <v>7</v>
      </c>
      <c r="AF1272" s="69"/>
      <c r="AG1272" s="62" t="n">
        <f aca="false">IF(LEFT(Cockpit!$C$5,1)="A",H1272,IF(Parameter!$E$30="MAX-Bestand",IF(CI1272=1,CJ1272,IF(LEFT(Cockpit!$C$5,1)="B",AM1272,MAX(AM1272,H1272))),ROUNDUP(AK1272,0)))</f>
        <v>7</v>
      </c>
      <c r="AH1272" s="62" t="n">
        <f aca="false">IF(CA1272=1,0,ROUNDUP(AG1272/BZ1272,0))</f>
        <v>1</v>
      </c>
      <c r="AI1272" s="64" t="n">
        <f aca="false">IF(CR1272&gt;0,CR1272*MAX(1,AG1272/X1272),IF(CA1272=1,IF(AG1272&lt;=0,0,CE1272*MAX(1,IF(H1272&gt;0,AG1272/H1272,1))),IF(R1272&gt;0,AH1272/R1272,0))/MAX(0.1,N(Parameter!$M$21)))</f>
        <v>0.166666666666667</v>
      </c>
      <c r="AJ1272" s="62" t="n">
        <f aca="false">AI1272*CC1272</f>
        <v>39.1666666666667</v>
      </c>
      <c r="AK1272" s="63" t="n">
        <f aca="false">IF(LEFT(Cockpit!$C$5,1)="A",H1272,IF(CI1272=1,(CL1272+CJ1272)/2,IF(LEFT(Cockpit!$C$5,1)="B",(CL1272+AM1272)/2,MAX((CL1272+AM1272)/2,H1272))))</f>
        <v>7</v>
      </c>
      <c r="AL1272" s="62" t="n">
        <f aca="false">AK1272*G1272</f>
        <v>2220.75</v>
      </c>
      <c r="AM1272" s="62" t="n">
        <f aca="false">ROUNDUP(CL1272+MAX(CM1272,2*(J1272/IF(CH1272&gt;0,CH1272,MAX(0.1,N(Cockpit!$C$6)))-CL1272)),0)</f>
        <v>2</v>
      </c>
      <c r="AN1272" s="63" t="n">
        <f aca="false">IF(AJ1272&gt;0,J1272/AJ1272,-1)</f>
        <v>0.0510638297872341</v>
      </c>
      <c r="AO1272" s="63" t="n">
        <f aca="false">IF(AND(OR(CG1272="L1",CG1272="L23",CG1272="LIFT"),AJ1272&gt;0),SUMIFS($AJ$7:$AJ$1843,$CG$7:$CG$1843,CG1272,$AN$7:$AN$1843,"&gt;"&amp;AN1272)+SUMIFS($AJ$7:$AJ$1843,$CG$7:$CG$1843,CG1272,$AN$7:$AN$1843,AN1272,$BX$7:$BX$1843,"&lt;="&amp;BX1272),"")</f>
        <v>19219.8957880632</v>
      </c>
      <c r="AP1272" s="70" t="n">
        <f aca="false">IF(AO1272="",0,MAX(0,MIN(1,(IF(CG1272="L1",Parameter!$H$5,IF(CG1272="L23",Parameter!$H$6+Parameter!$H$7,Parameter!$H$5+Parameter!$H$6+Parameter!$H$7))-(AO1272-AJ1272))/AJ1272)))</f>
        <v>1</v>
      </c>
      <c r="AQ1272" s="62" t="n">
        <f aca="false">IF(LEFT(Cockpit!$I$5,1)="A",H1272,IF(Parameter!$E$30="MAX-Bestand",IF(CI1272=1,CJ1272,IF(LEFT(Cockpit!$I$5,1)="B",AW1272,MAX(AW1272,H1272))),ROUNDUP(AU1272,0)))</f>
        <v>7</v>
      </c>
      <c r="AR1272" s="62" t="n">
        <f aca="false">IF(CA1272=1,0,ROUNDUP(AQ1272/BZ1272,0))</f>
        <v>1</v>
      </c>
      <c r="AS1272" s="64" t="n">
        <f aca="false">IF(CR1272&gt;0,CR1272*MAX(1,AQ1272/X1272),IF(CA1272=1,IF(AQ1272&lt;=0,0,CE1272*MAX(1,IF(H1272&gt;0,AQ1272/H1272,1))),IF(R1272&gt;0,AR1272/R1272,0))/MAX(0.1,N(Parameter!$M$21)))</f>
        <v>0.166666666666667</v>
      </c>
      <c r="AT1272" s="62" t="n">
        <f aca="false">AS1272*CC1272</f>
        <v>39.1666666666667</v>
      </c>
      <c r="AU1272" s="63" t="n">
        <f aca="false">IF(LEFT(Cockpit!$I$5,1)="A",H1272,IF(CI1272=1,(CL1272+CJ1272)/2,IF(LEFT(Cockpit!$I$5,1)="B",(CL1272+AW1272)/2,MAX((CL1272+AW1272)/2,H1272))))</f>
        <v>7</v>
      </c>
      <c r="AV1272" s="62" t="n">
        <f aca="false">AU1272*G1272</f>
        <v>2220.75</v>
      </c>
      <c r="AW1272" s="62" t="n">
        <f aca="false">ROUNDUP(CL1272+MAX(CM1272,2*(J1272/IF(CH1272&gt;0,CH1272,MAX(0.1,N(Cockpit!$I$6)))-CL1272)),0)</f>
        <v>2</v>
      </c>
      <c r="AX1272" s="63" t="n">
        <f aca="false">IF(AT1272&gt;0,J1272/AT1272,-1)</f>
        <v>0.0510638297872341</v>
      </c>
      <c r="AY1272" s="63" t="n">
        <f aca="false">IF(AND(OR(CG1272="L1",CG1272="L23",CG1272="LIFT"),AT1272&gt;0),SUMIFS($AT$7:$AT$1843,$CG$7:$CG$1843,CG1272,$AX$7:$AX$1843,"&gt;"&amp;AX1272)+SUMIFS($AT$7:$AT$1843,$CG$7:$CG$1843,CG1272,$AX$7:$AX$1843,AX1272,$BX$7:$BX$1843,"&lt;="&amp;BX1272),"")</f>
        <v>24338.0444294406</v>
      </c>
      <c r="AZ1272" s="70" t="n">
        <f aca="false">IF(AY1272="",0,MAX(0,MIN(1,(IF(CG1272="L1",Parameter!$H$5,IF(CG1272="L23",Parameter!$H$6+Parameter!$H$7,Parameter!$H$5+Parameter!$H$6+Parameter!$H$7))-(AY1272-AT1272))/AT1272)))</f>
        <v>1</v>
      </c>
      <c r="BA1272" s="62" t="n">
        <f aca="false">IF(LEFT(Cockpit!$O$5,1)="A",H1272,IF(Parameter!$E$30="MAX-Bestand",IF(CI1272=1,CJ1272,IF(LEFT(Cockpit!$O$5,1)="B",BG1272,MAX(BG1272,H1272))),ROUNDUP(BE1272,0)))</f>
        <v>1</v>
      </c>
      <c r="BB1272" s="62" t="n">
        <f aca="false">IF(CA1272=1,0,ROUNDUP(BA1272/BZ1272,0))</f>
        <v>1</v>
      </c>
      <c r="BC1272" s="64" t="n">
        <f aca="false">IF(CR1272&gt;0,CR1272*MAX(1,BA1272/X1272),IF(CA1272=1,IF(BA1272&lt;=0,0,CE1272*MAX(1,IF(H1272&gt;0,BA1272/H1272,1))),IF(R1272&gt;0,BB1272/R1272,0))/MAX(0.1,N(Parameter!$M$21)))</f>
        <v>0.166666666666667</v>
      </c>
      <c r="BD1272" s="62" t="n">
        <f aca="false">BC1272*CC1272</f>
        <v>39.1666666666667</v>
      </c>
      <c r="BE1272" s="63" t="n">
        <f aca="false">IF(LEFT(Cockpit!$O$5,1)="A",H1272,IF(CI1272=1,(CL1272+CJ1272)/2,IF(LEFT(Cockpit!$O$5,1)="B",(CL1272+BG1272)/2,MAX((CL1272+BG1272)/2,H1272))))</f>
        <v>0.5</v>
      </c>
      <c r="BF1272" s="62" t="n">
        <f aca="false">BE1272*G1272</f>
        <v>158.625</v>
      </c>
      <c r="BG1272" s="62" t="n">
        <f aca="false">ROUNDUP(CL1272+MAX(CM1272,2*(J1272/IF(CH1272&gt;0,CH1272,MAX(0.1,N(Cockpit!$O$6)))-CL1272)),0)</f>
        <v>1</v>
      </c>
      <c r="BH1272" s="63" t="n">
        <f aca="false">IF(BD1272&gt;0,J1272/BD1272,-1)</f>
        <v>0.0510638297872341</v>
      </c>
      <c r="BI1272" s="63" t="n">
        <f aca="false">IF(AND(OR(CG1272="L1",CG1272="L23",CG1272="LIFT"),BD1272&gt;0),SUMIFS($BD$7:$BD$1843,$CG$7:$CG$1843,CG1272,$BH$7:$BH$1843,"&gt;"&amp;BH1272)+SUMIFS($BD$7:$BD$1843,$CG$7:$CG$1843,CG1272,$BH$7:$BH$1843,BH1272,$BX$7:$BX$1843,"&lt;="&amp;BX1272),"")</f>
        <v>20228.3762727386</v>
      </c>
      <c r="BJ1272" s="70" t="n">
        <f aca="false">IF(BI1272="",0,MAX(0,MIN(1,(IF(CG1272="L1",Parameter!$H$5,IF(CG1272="L23",Parameter!$H$6+Parameter!$H$7,Parameter!$H$5+Parameter!$H$6+Parameter!$H$7))-(BI1272-BD1272))/BD1272)))</f>
        <v>1</v>
      </c>
      <c r="BK1272" s="60" t="str">
        <f aca="false">IF(AJ1272&lt;=0,"",IF(CG1272="Aussen","Aussenlager",IF(CG1272="-","Nicht im Lift",IF(AP1272&gt;=1,"Lift",IF(AP1272&lt;=0,"Aussenlager","teilweise")))))</f>
        <v>Lift</v>
      </c>
      <c r="BL1272" s="60" t="str">
        <f aca="false">IF(AT1272&lt;=0,"",IF(CG1272="Aussen","Aussenlager",IF(CG1272="-","Nicht im Lift",IF(AZ1272&gt;=1,"Lift",IF(AZ1272&lt;=0,"Aussenlager","teilweise")))))</f>
        <v>Lift</v>
      </c>
      <c r="BM1272" s="60" t="str">
        <f aca="false">IF(BD1272&lt;=0,"",IF(CG1272="Aussen","Aussenlager",IF(CG1272="-","Nicht im Lift",IF(BJ1272&gt;=1,"Lift",IF(BJ1272&lt;=0,"Aussenlager","teilweise")))))</f>
        <v>Lift</v>
      </c>
      <c r="BN1272" s="60" t="str">
        <f aca="false">IF(A1272="","",IF(BW1272=1,"Neu; ","")&amp;IF(AND(BW1272=0,BR1272&lt;0),"negativer Bestand (Export "&amp;BR1272&amp;"); ","")&amp;IF(J1272&lt;=0,"Kein Verbrauch; ","")&amp;IF(CR1272&gt;0,"Lift "&amp;W1272&amp;" lt. Liftbericht (Fach "&amp;X1272&amp;" Stk); ",IF(CB1272=1,"Gebinde geschätzt ("&amp;T1272&amp;"); ",IF(CA1272=1,"Lose – Tablare geschätzt; ","")))&amp;IF(H1272&gt;AW1272,"Überbestand "&amp;ROUND(H1272-AW1272,0)&amp;" Stk / CHF "&amp;ROUND((H1272-AW1272)*G1272,0)&amp;"; ","")&amp;IF(AND(CI1272=1,CJ1272&lt;CK1272),"MAX &lt; MB+LG; ","")&amp;IF(AND(CQ1272&gt;0,CP1272*10&gt;CQ1272),"zu hoch für Tablar; ","")&amp;IF(AND(BW1272=0,OR(CI1272=1,AB1272&lt;&gt;"",U1272&lt;&gt;"",V1272&lt;&gt;"",AC1272&lt;&gt;"")),"manuell übersteuert; ","")&amp;IF(AND(CA1272=0,R1272=0),"Gebinde unbekannt / Stellmass fehlt; ","")&amp;IF(AND(CA1272=0,N(V1272)&lt;=0,N(Q1272)&lt;=0),"Menge pro Gebinde fehlt (Ist = 1 Gebinde); ","")&amp;BV1272)</f>
        <v>negativer Bestand (Export -3); Überbestand 5 Stk / CHF 1586; </v>
      </c>
      <c r="BO1272" s="60"/>
      <c r="BP1272" s="60"/>
      <c r="BQ1272" s="67"/>
      <c r="BR1272" s="62" t="n">
        <v>-3</v>
      </c>
      <c r="BS1272" s="62" t="n">
        <v>10</v>
      </c>
      <c r="BT1272" s="61" t="n">
        <v>-951.75</v>
      </c>
      <c r="BU1272" s="62" t="n">
        <v>2</v>
      </c>
      <c r="BV1272" s="60"/>
      <c r="BW1272" s="65" t="n">
        <v>0</v>
      </c>
      <c r="BX1272" s="65" t="n">
        <v>1272</v>
      </c>
      <c r="BY1272" s="60" t="str">
        <f aca="false">IF(U1272&lt;&gt;"",UPPER(TRIM(U1272)),IF(CB1272=1,UPPER(VLOOKUP(T1272,Parameter!$I$27:$K$29,2,0)),IF(P1272="","LOSE",P1272)))</f>
        <v>S71</v>
      </c>
      <c r="BZ1272" s="62" t="n">
        <f aca="false">IF(BY1272="LOSE",1,IF(N(V1272)&gt;0,V1272,IF(CB1272=1,MAX(1,N(VLOOKUP(T1272,Parameter!$I$27:$K$29,3,0)),H1272,N(N1272)),IF(N(Q1272)&gt;0,Q1272,MAX(1,H1272)))))</f>
        <v>10</v>
      </c>
      <c r="CA1272" s="65" t="n">
        <f aca="false">IF(BY1272="LOSE",1,0)</f>
        <v>0</v>
      </c>
      <c r="CB1272" s="65" t="n">
        <f aca="false">IF(AND(U1272="",OR(P1272="",P1272="LOSE"),T1272&lt;&gt;"",N(S1272)&lt;=0,ISNUMBER(MATCH(T1272,Parameter!$I$27:$I$29,0))),1,0)</f>
        <v>0</v>
      </c>
      <c r="CC1272" s="65" t="n">
        <f aca="false">IF(CR1272&gt;0,INDEX(Parameter!$H$5:$H$7,W1272)/INDEX(Parameter!$E$5:$E$7,W1272),IF(AND(CA1272=0,N(IFERROR(VLOOKUP(BY1272,'Gebinde-Kategorie'!$A$5:$N$45,14,0),0))&gt;0),VLOOKUP(BY1272,'Gebinde-Kategorie'!$A$5:$N$45,14,0)*10+Parameter!$M$23,Parameter!$M$24))</f>
        <v>235</v>
      </c>
      <c r="CD1272" s="60" t="str">
        <f aca="false">IF(AND(Parameter!$B$19="Ja",E1272&lt;&gt;"",ISNUMBER(MATCH(E1272,Parameter!$I$35:$I$52,0))),VLOOKUP(E1272,Parameter!$I$35:$J$52,2,0),IFERROR(VLOOKUP(D1272,Parameter!$A$35:$C$64,2,0),"Nein"))</f>
        <v>2+3</v>
      </c>
      <c r="CE1272" s="64" t="n">
        <f aca="false">IF(CA1272=0,0,IF(N(S1272)&gt;0,S1272,IFERROR(VLOOKUP(D1272,Parameter!$A$35:$C$64,3,0)+0,0)))</f>
        <v>0</v>
      </c>
      <c r="CF1272" s="60" t="n">
        <f aca="false">IF(AB1272&lt;&gt;"",AB1272,AA1272)</f>
        <v>2</v>
      </c>
      <c r="CG1272" s="60" t="str">
        <f aca="false">IF(OR(CF1272=1,CF1272=2,CF1272=3),IF(Parameter!$E$27="Ja","LIFT",IF(CF1272=1,"L1","L23")),IF(CF1272="Aussen","Aussen","-"))</f>
        <v>LIFT</v>
      </c>
      <c r="CH1272" s="71" t="n">
        <f aca="false">IF(N(AC1272)&gt;0,AC1272,0)</f>
        <v>0</v>
      </c>
      <c r="CI1272" s="65" t="n">
        <f aca="false">IF(ISNUMBER(AF1272),1,0)</f>
        <v>0</v>
      </c>
      <c r="CJ1272" s="62" t="n">
        <f aca="false">N(AF1272)</f>
        <v>0</v>
      </c>
      <c r="CK1272" s="62" t="n">
        <f aca="false">N(M1272)+N(N1272)</f>
        <v>1</v>
      </c>
      <c r="CL1272" s="62" t="n">
        <f aca="false">N(M1272)</f>
        <v>0</v>
      </c>
      <c r="CM1272" s="62" t="n">
        <f aca="false">N(N1272)</f>
        <v>1</v>
      </c>
      <c r="CN1272" s="62" t="n">
        <f aca="false">ROUNDUP(H1272/BZ1272,0)</f>
        <v>1</v>
      </c>
      <c r="CO1272" s="62" t="n">
        <f aca="false">ROUNDUP(CJ1272/BZ1272,0)</f>
        <v>0</v>
      </c>
      <c r="CP1272" s="65" t="n">
        <f aca="false">IF(CA1272=1,0,IFERROR(VLOOKUP(BY1272,'Gebinde-Kategorie'!$A$5:$N$45,5,0)+0,0))</f>
        <v>20</v>
      </c>
      <c r="CQ1272" s="65" t="n">
        <f aca="false">IFERROR(IF(OR(CF1272=1,CF1272=2,CF1272=3),N(INDEX(Parameter!$I$5:$I$7,CF1272)),0),0)</f>
        <v>0</v>
      </c>
      <c r="CR1272" s="64" t="n">
        <f aca="false">IF(AND(Parameter!$B$21="Ja",ISNUMBER(W1272),N(X1272)&gt;0),IFERROR(N(INDEX(Parameter!$L$5:$L$7,W1272))*INDEX(Parameter!$E$5:$E$7,W1272)*X1272/SUMIFS($X$7:$X$1843,$W$7:$W$1843,W1272),0),0)</f>
        <v>0</v>
      </c>
      <c r="CS1272" s="62" t="n">
        <f aca="false">IF(AND(OR(CG1272="L1",CG1272="L23",CG1272="LIFT"),H1272&gt;0),CC1272*IF(CR1272&gt;0,CR1272*MAX(1,H1272/X1272),IF(CA1272=1,CE1272,IF(R1272&gt;0,CN1272/R1272,0))/MAX(0.1,N(Parameter!$M$21))),"")</f>
        <v>39.1666666666667</v>
      </c>
      <c r="CT1272" s="64" t="n">
        <f aca="false">IF(CS1272="","",J1272/H1272)</f>
        <v>0.285714285714286</v>
      </c>
      <c r="CU1272" s="62" t="n">
        <f aca="false">IF(CS1272="","",H1272*G1272)</f>
        <v>2220.75</v>
      </c>
      <c r="CV1272" s="63" t="n">
        <f aca="false">IF(CS1272="","",(CL1272+ROUNDUP(CL1272+MAX(CM1272,2*(J1272/MAX(0.1,N(Einkauf!$C$6))-CL1272)),0))/2)</f>
        <v>0.5</v>
      </c>
      <c r="CW1272" s="62" t="n">
        <f aca="false">IF(CS1272="","",MAX(0,H1272-CV1272)*G1272)</f>
        <v>2062.125</v>
      </c>
      <c r="CX1272" s="62" t="n">
        <f aca="false">IF(CS1272="","",CS1272*MAX(0,1-CV1272/H1272))</f>
        <v>36.3690476190476</v>
      </c>
      <c r="CY1272" s="64" t="n">
        <f aca="false">IF(CS1272="","",PERCENTRANK($CS$7:$CS$1843,CS1272)+PERCENTRANK($CU$7:$CU$1843,CU1272)+1-PERCENTRANK($CT$7:$CT$1843,CT1272))</f>
        <v>2.152</v>
      </c>
      <c r="CZ1272" s="72" t="n">
        <f aca="false">IF(CS1272="","",CHOOSE(MATCH(Einkauf!$C$5,Parameter!$G$23:$G$27,0),CY1272,CS1272,CU1272,-CT1272,CW1272)+ROW()/1000000000)</f>
        <v>2.152001272</v>
      </c>
    </row>
    <row r="1273" customFormat="false" ht="15" hidden="false" customHeight="false" outlineLevel="0" collapsed="false">
      <c r="A1273" s="60" t="s">
        <v>2317</v>
      </c>
      <c r="B1273" s="60" t="s">
        <v>2318</v>
      </c>
      <c r="C1273" s="60" t="s">
        <v>206</v>
      </c>
      <c r="D1273" s="60" t="s">
        <v>226</v>
      </c>
      <c r="E1273" s="60"/>
      <c r="F1273" s="60" t="s">
        <v>260</v>
      </c>
      <c r="G1273" s="61" t="n">
        <v>87.04</v>
      </c>
      <c r="H1273" s="62" t="n">
        <f aca="false">MAX(0,IF(AND(Parameter!$B$21="Ja",ISNUMBER(Y1273)),Y1273,IF(Parameter!$B$20="Jahresanfang 2025 + Export",BS1273+BR1273,BR1273)))</f>
        <v>46</v>
      </c>
      <c r="I1273" s="62" t="n">
        <f aca="false">H1273*G1273</f>
        <v>4003.84</v>
      </c>
      <c r="J1273" s="62" t="n">
        <f aca="false">BU1273*Parameter!$B$18</f>
        <v>1</v>
      </c>
      <c r="K1273" s="63" t="n">
        <v>52</v>
      </c>
      <c r="L1273" s="64" t="n">
        <v>0.0192307692307692</v>
      </c>
      <c r="M1273" s="62" t="n">
        <v>0</v>
      </c>
      <c r="N1273" s="62" t="n">
        <v>1</v>
      </c>
      <c r="O1273" s="65" t="n">
        <v>28</v>
      </c>
      <c r="P1273" s="60" t="s">
        <v>301</v>
      </c>
      <c r="Q1273" s="62" t="n">
        <v>50</v>
      </c>
      <c r="R1273" s="65" t="n">
        <f aca="false">IF(CA1273=1,0,IFERROR(VLOOKUP(BY1273,'Gebinde-Kategorie'!$A$5:$N$45,13,0)+0,0))</f>
        <v>6</v>
      </c>
      <c r="S1273" s="66"/>
      <c r="T1273" s="67"/>
      <c r="U1273" s="67"/>
      <c r="V1273" s="67"/>
      <c r="W1273" s="60"/>
      <c r="X1273" s="62"/>
      <c r="Y1273" s="62"/>
      <c r="Z1273" s="60" t="n">
        <v>2</v>
      </c>
      <c r="AA1273" s="60" t="n">
        <f aca="false">IF(A1273="","",IF(AND(Parameter!$B$21="Ja",ISNUMBER(W1273)),W1273,IF(AND(Parameter!$E$27="Ja",ISNUMBER(Z1273),CD1273&lt;&gt;"Nein"),Z1273,IF(CD1273="2+3",IF(ISNUMBER(SEARCH("grosser Artikel",BV1273)),2,IFERROR(VLOOKUP(BY1273,Parameter!$F$35:$G$64,2,0),2)),IF(OR(CD1273="Nein",CD1273=""),"-",CD1273)))))</f>
        <v>2</v>
      </c>
      <c r="AB1273" s="67"/>
      <c r="AC1273" s="68"/>
      <c r="AD1273" s="62" t="n">
        <f aca="false">AW1273</f>
        <v>1</v>
      </c>
      <c r="AE1273" s="62" t="n">
        <f aca="false">MAX(AW1273,H1273)</f>
        <v>46</v>
      </c>
      <c r="AF1273" s="69"/>
      <c r="AG1273" s="62" t="n">
        <f aca="false">IF(LEFT(Cockpit!$C$5,1)="A",H1273,IF(Parameter!$E$30="MAX-Bestand",IF(CI1273=1,CJ1273,IF(LEFT(Cockpit!$C$5,1)="B",AM1273,MAX(AM1273,H1273))),ROUNDUP(AK1273,0)))</f>
        <v>46</v>
      </c>
      <c r="AH1273" s="62" t="n">
        <f aca="false">IF(CA1273=1,0,ROUNDUP(AG1273/BZ1273,0))</f>
        <v>1</v>
      </c>
      <c r="AI1273" s="64" t="n">
        <f aca="false">IF(CR1273&gt;0,CR1273*MAX(1,AG1273/X1273),IF(CA1273=1,IF(AG1273&lt;=0,0,CE1273*MAX(1,IF(H1273&gt;0,AG1273/H1273,1))),IF(R1273&gt;0,AH1273/R1273,0))/MAX(0.1,N(Parameter!$M$21)))</f>
        <v>0.166666666666667</v>
      </c>
      <c r="AJ1273" s="62" t="n">
        <f aca="false">AI1273*CC1273</f>
        <v>72.5</v>
      </c>
      <c r="AK1273" s="63" t="n">
        <f aca="false">IF(LEFT(Cockpit!$C$5,1)="A",H1273,IF(CI1273=1,(CL1273+CJ1273)/2,IF(LEFT(Cockpit!$C$5,1)="B",(CL1273+AM1273)/2,MAX((CL1273+AM1273)/2,H1273))))</f>
        <v>46</v>
      </c>
      <c r="AL1273" s="62" t="n">
        <f aca="false">AK1273*G1273</f>
        <v>4003.84</v>
      </c>
      <c r="AM1273" s="62" t="n">
        <f aca="false">ROUNDUP(CL1273+MAX(CM1273,2*(J1273/IF(CH1273&gt;0,CH1273,MAX(0.1,N(Cockpit!$C$6)))-CL1273)),0)</f>
        <v>1</v>
      </c>
      <c r="AN1273" s="63" t="n">
        <f aca="false">IF(AJ1273&gt;0,J1273/AJ1273,-1)</f>
        <v>0.0137931034482759</v>
      </c>
      <c r="AO1273" s="63" t="n">
        <f aca="false">IF(AND(OR(CG1273="L1",CG1273="L23",CG1273="LIFT"),AJ1273&gt;0),SUMIFS($AJ$7:$AJ$1843,$CG$7:$CG$1843,CG1273,$AN$7:$AN$1843,"&gt;"&amp;AN1273)+SUMIFS($AJ$7:$AJ$1843,$CG$7:$CG$1843,CG1273,$AN$7:$AN$1843,AN1273,$BX$7:$BX$1843,"&lt;="&amp;BX1273),"")</f>
        <v>24137.4980986528</v>
      </c>
      <c r="AP1273" s="70" t="n">
        <f aca="false">IF(AO1273="",0,MAX(0,MIN(1,(IF(CG1273="L1",Parameter!$H$5,IF(CG1273="L23",Parameter!$H$6+Parameter!$H$7,Parameter!$H$5+Parameter!$H$6+Parameter!$H$7))-(AO1273-AJ1273))/AJ1273)))</f>
        <v>1</v>
      </c>
      <c r="AQ1273" s="62" t="n">
        <f aca="false">IF(LEFT(Cockpit!$I$5,1)="A",H1273,IF(Parameter!$E$30="MAX-Bestand",IF(CI1273=1,CJ1273,IF(LEFT(Cockpit!$I$5,1)="B",AW1273,MAX(AW1273,H1273))),ROUNDUP(AU1273,0)))</f>
        <v>46</v>
      </c>
      <c r="AR1273" s="62" t="n">
        <f aca="false">IF(CA1273=1,0,ROUNDUP(AQ1273/BZ1273,0))</f>
        <v>1</v>
      </c>
      <c r="AS1273" s="64" t="n">
        <f aca="false">IF(CR1273&gt;0,CR1273*MAX(1,AQ1273/X1273),IF(CA1273=1,IF(AQ1273&lt;=0,0,CE1273*MAX(1,IF(H1273&gt;0,AQ1273/H1273,1))),IF(R1273&gt;0,AR1273/R1273,0))/MAX(0.1,N(Parameter!$M$21)))</f>
        <v>0.166666666666667</v>
      </c>
      <c r="AT1273" s="62" t="n">
        <f aca="false">AS1273*CC1273</f>
        <v>72.5</v>
      </c>
      <c r="AU1273" s="63" t="n">
        <f aca="false">IF(LEFT(Cockpit!$I$5,1)="A",H1273,IF(CI1273=1,(CL1273+CJ1273)/2,IF(LEFT(Cockpit!$I$5,1)="B",(CL1273+AW1273)/2,MAX((CL1273+AW1273)/2,H1273))))</f>
        <v>46</v>
      </c>
      <c r="AV1273" s="62" t="n">
        <f aca="false">AU1273*G1273</f>
        <v>4003.84</v>
      </c>
      <c r="AW1273" s="62" t="n">
        <f aca="false">ROUNDUP(CL1273+MAX(CM1273,2*(J1273/IF(CH1273&gt;0,CH1273,MAX(0.1,N(Cockpit!$I$6)))-CL1273)),0)</f>
        <v>1</v>
      </c>
      <c r="AX1273" s="63" t="n">
        <f aca="false">IF(AT1273&gt;0,J1273/AT1273,-1)</f>
        <v>0.0137931034482759</v>
      </c>
      <c r="AY1273" s="63" t="n">
        <f aca="false">IF(AND(OR(CG1273="L1",CG1273="L23",CG1273="LIFT"),AT1273&gt;0),SUMIFS($AT$7:$AT$1843,$CG$7:$CG$1843,CG1273,$AX$7:$AX$1843,"&gt;"&amp;AX1273)+SUMIFS($AT$7:$AT$1843,$CG$7:$CG$1843,CG1273,$AX$7:$AX$1843,AX1273,$BX$7:$BX$1843,"&lt;="&amp;BX1273),"")</f>
        <v>29490.6467400302</v>
      </c>
      <c r="AZ1273" s="70" t="n">
        <f aca="false">IF(AY1273="",0,MAX(0,MIN(1,(IF(CG1273="L1",Parameter!$H$5,IF(CG1273="L23",Parameter!$H$6+Parameter!$H$7,Parameter!$H$5+Parameter!$H$6+Parameter!$H$7))-(AY1273-AT1273))/AT1273)))</f>
        <v>1</v>
      </c>
      <c r="BA1273" s="62" t="n">
        <f aca="false">IF(LEFT(Cockpit!$O$5,1)="A",H1273,IF(Parameter!$E$30="MAX-Bestand",IF(CI1273=1,CJ1273,IF(LEFT(Cockpit!$O$5,1)="B",BG1273,MAX(BG1273,H1273))),ROUNDUP(BE1273,0)))</f>
        <v>1</v>
      </c>
      <c r="BB1273" s="62" t="n">
        <f aca="false">IF(CA1273=1,0,ROUNDUP(BA1273/BZ1273,0))</f>
        <v>1</v>
      </c>
      <c r="BC1273" s="64" t="n">
        <f aca="false">IF(CR1273&gt;0,CR1273*MAX(1,BA1273/X1273),IF(CA1273=1,IF(BA1273&lt;=0,0,CE1273*MAX(1,IF(H1273&gt;0,BA1273/H1273,1))),IF(R1273&gt;0,BB1273/R1273,0))/MAX(0.1,N(Parameter!$M$21)))</f>
        <v>0.166666666666667</v>
      </c>
      <c r="BD1273" s="62" t="n">
        <f aca="false">BC1273*CC1273</f>
        <v>72.5</v>
      </c>
      <c r="BE1273" s="63" t="n">
        <f aca="false">IF(LEFT(Cockpit!$O$5,1)="A",H1273,IF(CI1273=1,(CL1273+CJ1273)/2,IF(LEFT(Cockpit!$O$5,1)="B",(CL1273+BG1273)/2,MAX((CL1273+BG1273)/2,H1273))))</f>
        <v>0.5</v>
      </c>
      <c r="BF1273" s="62" t="n">
        <f aca="false">BE1273*G1273</f>
        <v>43.52</v>
      </c>
      <c r="BG1273" s="62" t="n">
        <f aca="false">ROUNDUP(CL1273+MAX(CM1273,2*(J1273/IF(CH1273&gt;0,CH1273,MAX(0.1,N(Cockpit!$O$6)))-CL1273)),0)</f>
        <v>1</v>
      </c>
      <c r="BH1273" s="63" t="n">
        <f aca="false">IF(BD1273&gt;0,J1273/BD1273,-1)</f>
        <v>0.0137931034482759</v>
      </c>
      <c r="BI1273" s="63" t="n">
        <f aca="false">IF(AND(OR(CG1273="L1",CG1273="L23",CG1273="LIFT"),BD1273&gt;0),SUMIFS($BD$7:$BD$1843,$CG$7:$CG$1843,CG1273,$BH$7:$BH$1843,"&gt;"&amp;BH1273)+SUMIFS($BD$7:$BD$1843,$CG$7:$CG$1843,CG1273,$BH$7:$BH$1843,BH1273,$BX$7:$BX$1843,"&lt;="&amp;BX1273),"")</f>
        <v>25036.3952499948</v>
      </c>
      <c r="BJ1273" s="70" t="n">
        <f aca="false">IF(BI1273="",0,MAX(0,MIN(1,(IF(CG1273="L1",Parameter!$H$5,IF(CG1273="L23",Parameter!$H$6+Parameter!$H$7,Parameter!$H$5+Parameter!$H$6+Parameter!$H$7))-(BI1273-BD1273))/BD1273)))</f>
        <v>1</v>
      </c>
      <c r="BK1273" s="60" t="str">
        <f aca="false">IF(AJ1273&lt;=0,"",IF(CG1273="Aussen","Aussenlager",IF(CG1273="-","Nicht im Lift",IF(AP1273&gt;=1,"Lift",IF(AP1273&lt;=0,"Aussenlager","teilweise")))))</f>
        <v>Lift</v>
      </c>
      <c r="BL1273" s="60" t="str">
        <f aca="false">IF(AT1273&lt;=0,"",IF(CG1273="Aussen","Aussenlager",IF(CG1273="-","Nicht im Lift",IF(AZ1273&gt;=1,"Lift",IF(AZ1273&lt;=0,"Aussenlager","teilweise")))))</f>
        <v>Lift</v>
      </c>
      <c r="BM1273" s="60" t="str">
        <f aca="false">IF(BD1273&lt;=0,"",IF(CG1273="Aussen","Aussenlager",IF(CG1273="-","Nicht im Lift",IF(BJ1273&gt;=1,"Lift",IF(BJ1273&lt;=0,"Aussenlager","teilweise")))))</f>
        <v>Lift</v>
      </c>
      <c r="BN1273" s="60" t="str">
        <f aca="false">IF(A1273="","",IF(BW1273=1,"Neu; ","")&amp;IF(AND(BW1273=0,BR1273&lt;0),"negativer Bestand (Export "&amp;BR1273&amp;"); ","")&amp;IF(J1273&lt;=0,"Kein Verbrauch; ","")&amp;IF(CR1273&gt;0,"Lift "&amp;W1273&amp;" lt. Liftbericht (Fach "&amp;X1273&amp;" Stk); ",IF(CB1273=1,"Gebinde geschätzt ("&amp;T1273&amp;"); ",IF(CA1273=1,"Lose – Tablare geschätzt; ","")))&amp;IF(H1273&gt;AW1273,"Überbestand "&amp;ROUND(H1273-AW1273,0)&amp;" Stk / CHF "&amp;ROUND((H1273-AW1273)*G1273,0)&amp;"; ","")&amp;IF(AND(CI1273=1,CJ1273&lt;CK1273),"MAX &lt; MB+LG; ","")&amp;IF(AND(CQ1273&gt;0,CP1273*10&gt;CQ1273),"zu hoch für Tablar; ","")&amp;IF(AND(BW1273=0,OR(CI1273=1,AB1273&lt;&gt;"",U1273&lt;&gt;"",V1273&lt;&gt;"",AC1273&lt;&gt;"")),"manuell übersteuert; ","")&amp;IF(AND(CA1273=0,R1273=0),"Gebinde unbekannt / Stellmass fehlt; ","")&amp;IF(AND(CA1273=0,N(V1273)&lt;=0,N(Q1273)&lt;=0),"Menge pro Gebinde fehlt (Ist = 1 Gebinde); ","")&amp;BV1273)</f>
        <v>negativer Bestand (Export -11); Überbestand 45 Stk / CHF 3917; überbestand</v>
      </c>
      <c r="BO1273" s="60"/>
      <c r="BP1273" s="60"/>
      <c r="BQ1273" s="67"/>
      <c r="BR1273" s="62" t="n">
        <v>-11</v>
      </c>
      <c r="BS1273" s="62" t="n">
        <v>57</v>
      </c>
      <c r="BT1273" s="61" t="n">
        <v>-957.44</v>
      </c>
      <c r="BU1273" s="62" t="n">
        <v>1</v>
      </c>
      <c r="BV1273" s="60" t="s">
        <v>1292</v>
      </c>
      <c r="BW1273" s="65" t="n">
        <v>0</v>
      </c>
      <c r="BX1273" s="65" t="n">
        <v>1273</v>
      </c>
      <c r="BY1273" s="60" t="str">
        <f aca="false">IF(U1273&lt;&gt;"",UPPER(TRIM(U1273)),IF(CB1273=1,UPPER(VLOOKUP(T1273,Parameter!$I$27:$K$29,2,0)),IF(P1273="","LOSE",P1273)))</f>
        <v>S72</v>
      </c>
      <c r="BZ1273" s="62" t="n">
        <f aca="false">IF(BY1273="LOSE",1,IF(N(V1273)&gt;0,V1273,IF(CB1273=1,MAX(1,N(VLOOKUP(T1273,Parameter!$I$27:$K$29,3,0)),H1273,N(N1273)),IF(N(Q1273)&gt;0,Q1273,MAX(1,H1273)))))</f>
        <v>50</v>
      </c>
      <c r="CA1273" s="65" t="n">
        <f aca="false">IF(BY1273="LOSE",1,0)</f>
        <v>0</v>
      </c>
      <c r="CB1273" s="65" t="n">
        <f aca="false">IF(AND(U1273="",OR(P1273="",P1273="LOSE"),T1273&lt;&gt;"",N(S1273)&lt;=0,ISNUMBER(MATCH(T1273,Parameter!$I$27:$I$29,0))),1,0)</f>
        <v>0</v>
      </c>
      <c r="CC1273" s="65" t="n">
        <f aca="false">IF(CR1273&gt;0,INDEX(Parameter!$H$5:$H$7,W1273)/INDEX(Parameter!$E$5:$E$7,W1273),IF(AND(CA1273=0,N(IFERROR(VLOOKUP(BY1273,'Gebinde-Kategorie'!$A$5:$N$45,14,0),0))&gt;0),VLOOKUP(BY1273,'Gebinde-Kategorie'!$A$5:$N$45,14,0)*10+Parameter!$M$23,Parameter!$M$24))</f>
        <v>435</v>
      </c>
      <c r="CD1273" s="60" t="str">
        <f aca="false">IF(AND(Parameter!$B$19="Ja",E1273&lt;&gt;"",ISNUMBER(MATCH(E1273,Parameter!$I$35:$I$52,0))),VLOOKUP(E1273,Parameter!$I$35:$J$52,2,0),IFERROR(VLOOKUP(D1273,Parameter!$A$35:$C$64,2,0),"Nein"))</f>
        <v>2+3</v>
      </c>
      <c r="CE1273" s="64" t="n">
        <f aca="false">IF(CA1273=0,0,IF(N(S1273)&gt;0,S1273,IFERROR(VLOOKUP(D1273,Parameter!$A$35:$C$64,3,0)+0,0)))</f>
        <v>0</v>
      </c>
      <c r="CF1273" s="60" t="n">
        <f aca="false">IF(AB1273&lt;&gt;"",AB1273,AA1273)</f>
        <v>2</v>
      </c>
      <c r="CG1273" s="60" t="str">
        <f aca="false">IF(OR(CF1273=1,CF1273=2,CF1273=3),IF(Parameter!$E$27="Ja","LIFT",IF(CF1273=1,"L1","L23")),IF(CF1273="Aussen","Aussen","-"))</f>
        <v>LIFT</v>
      </c>
      <c r="CH1273" s="71" t="n">
        <f aca="false">IF(N(AC1273)&gt;0,AC1273,0)</f>
        <v>0</v>
      </c>
      <c r="CI1273" s="65" t="n">
        <f aca="false">IF(ISNUMBER(AF1273),1,0)</f>
        <v>0</v>
      </c>
      <c r="CJ1273" s="62" t="n">
        <f aca="false">N(AF1273)</f>
        <v>0</v>
      </c>
      <c r="CK1273" s="62" t="n">
        <f aca="false">N(M1273)+N(N1273)</f>
        <v>1</v>
      </c>
      <c r="CL1273" s="62" t="n">
        <f aca="false">N(M1273)</f>
        <v>0</v>
      </c>
      <c r="CM1273" s="62" t="n">
        <f aca="false">N(N1273)</f>
        <v>1</v>
      </c>
      <c r="CN1273" s="62" t="n">
        <f aca="false">ROUNDUP(H1273/BZ1273,0)</f>
        <v>1</v>
      </c>
      <c r="CO1273" s="62" t="n">
        <f aca="false">ROUNDUP(CJ1273/BZ1273,0)</f>
        <v>0</v>
      </c>
      <c r="CP1273" s="65" t="n">
        <f aca="false">IF(CA1273=1,0,IFERROR(VLOOKUP(BY1273,'Gebinde-Kategorie'!$A$5:$N$45,5,0)+0,0))</f>
        <v>40</v>
      </c>
      <c r="CQ1273" s="65" t="n">
        <f aca="false">IFERROR(IF(OR(CF1273=1,CF1273=2,CF1273=3),N(INDEX(Parameter!$I$5:$I$7,CF1273)),0),0)</f>
        <v>0</v>
      </c>
      <c r="CR1273" s="64" t="n">
        <f aca="false">IF(AND(Parameter!$B$21="Ja",ISNUMBER(W1273),N(X1273)&gt;0),IFERROR(N(INDEX(Parameter!$L$5:$L$7,W1273))*INDEX(Parameter!$E$5:$E$7,W1273)*X1273/SUMIFS($X$7:$X$1843,$W$7:$W$1843,W1273),0),0)</f>
        <v>0</v>
      </c>
      <c r="CS1273" s="62" t="n">
        <f aca="false">IF(AND(OR(CG1273="L1",CG1273="L23",CG1273="LIFT"),H1273&gt;0),CC1273*IF(CR1273&gt;0,CR1273*MAX(1,H1273/X1273),IF(CA1273=1,CE1273,IF(R1273&gt;0,CN1273/R1273,0))/MAX(0.1,N(Parameter!$M$21))),"")</f>
        <v>72.5</v>
      </c>
      <c r="CT1273" s="64" t="n">
        <f aca="false">IF(CS1273="","",J1273/H1273)</f>
        <v>0.0217391304347826</v>
      </c>
      <c r="CU1273" s="62" t="n">
        <f aca="false">IF(CS1273="","",H1273*G1273)</f>
        <v>4003.84</v>
      </c>
      <c r="CV1273" s="63" t="n">
        <f aca="false">IF(CS1273="","",(CL1273+ROUNDUP(CL1273+MAX(CM1273,2*(J1273/MAX(0.1,N(Einkauf!$C$6))-CL1273)),0))/2)</f>
        <v>0.5</v>
      </c>
      <c r="CW1273" s="62" t="n">
        <f aca="false">IF(CS1273="","",MAX(0,H1273-CV1273)*G1273)</f>
        <v>3960.32</v>
      </c>
      <c r="CX1273" s="62" t="n">
        <f aca="false">IF(CS1273="","",CS1273*MAX(0,1-CV1273/H1273))</f>
        <v>71.7119565217391</v>
      </c>
      <c r="CY1273" s="64" t="n">
        <f aca="false">IF(CS1273="","",PERCENTRANK($CS$7:$CS$1843,CS1273)+PERCENTRANK($CU$7:$CU$1843,CU1273)+1-PERCENTRANK($CT$7:$CT$1843,CT1273))</f>
        <v>2.438</v>
      </c>
      <c r="CZ1273" s="72" t="n">
        <f aca="false">IF(CS1273="","",CHOOSE(MATCH(Einkauf!$C$5,Parameter!$G$23:$G$27,0),CY1273,CS1273,CU1273,-CT1273,CW1273)+ROW()/1000000000)</f>
        <v>2.438001273</v>
      </c>
    </row>
    <row r="1274" customFormat="false" ht="15" hidden="false" customHeight="false" outlineLevel="0" collapsed="false">
      <c r="A1274" s="60" t="s">
        <v>2319</v>
      </c>
      <c r="B1274" s="60" t="s">
        <v>1750</v>
      </c>
      <c r="C1274" s="60" t="s">
        <v>206</v>
      </c>
      <c r="D1274" s="60" t="s">
        <v>226</v>
      </c>
      <c r="E1274" s="60" t="s">
        <v>227</v>
      </c>
      <c r="F1274" s="60" t="s">
        <v>260</v>
      </c>
      <c r="G1274" s="61" t="n">
        <v>107</v>
      </c>
      <c r="H1274" s="62" t="n">
        <f aca="false">MAX(0,IF(AND(Parameter!$B$21="Ja",ISNUMBER(Y1274)),Y1274,IF(Parameter!$B$20="Jahresanfang 2025 + Export",BS1274+BR1274,BR1274)))</f>
        <v>24</v>
      </c>
      <c r="I1274" s="62" t="n">
        <f aca="false">H1274*G1274</f>
        <v>2568</v>
      </c>
      <c r="J1274" s="62" t="n">
        <f aca="false">BU1274*Parameter!$B$18</f>
        <v>56</v>
      </c>
      <c r="K1274" s="63" t="n">
        <v>34</v>
      </c>
      <c r="L1274" s="64" t="n">
        <v>1.64705882352941</v>
      </c>
      <c r="M1274" s="62" t="n">
        <v>2</v>
      </c>
      <c r="N1274" s="62" t="n">
        <v>10</v>
      </c>
      <c r="O1274" s="65" t="n">
        <v>14</v>
      </c>
      <c r="P1274" s="60" t="s">
        <v>275</v>
      </c>
      <c r="Q1274" s="62" t="n">
        <v>52</v>
      </c>
      <c r="R1274" s="65" t="n">
        <f aca="false">IF(CA1274=1,0,IFERROR(VLOOKUP(BY1274,'Gebinde-Kategorie'!$A$5:$N$45,13,0)+0,0))</f>
        <v>26</v>
      </c>
      <c r="S1274" s="66"/>
      <c r="T1274" s="67"/>
      <c r="U1274" s="67"/>
      <c r="V1274" s="67"/>
      <c r="W1274" s="60"/>
      <c r="X1274" s="62"/>
      <c r="Y1274" s="62"/>
      <c r="Z1274" s="60" t="n">
        <v>3</v>
      </c>
      <c r="AA1274" s="60" t="n">
        <f aca="false">IF(A1274="","",IF(AND(Parameter!$B$21="Ja",ISNUMBER(W1274)),W1274,IF(AND(Parameter!$E$27="Ja",ISNUMBER(Z1274),CD1274&lt;&gt;"Nein"),Z1274,IF(CD1274="2+3",IF(ISNUMBER(SEARCH("grosser Artikel",BV1274)),2,IFERROR(VLOOKUP(BY1274,Parameter!$F$35:$G$64,2,0),2)),IF(OR(CD1274="Nein",CD1274=""),"-",CD1274)))))</f>
        <v>3</v>
      </c>
      <c r="AB1274" s="67"/>
      <c r="AC1274" s="68"/>
      <c r="AD1274" s="62" t="n">
        <f aca="false">AW1274</f>
        <v>36</v>
      </c>
      <c r="AE1274" s="62" t="n">
        <f aca="false">MAX(AW1274,H1274)</f>
        <v>36</v>
      </c>
      <c r="AF1274" s="69"/>
      <c r="AG1274" s="62" t="n">
        <f aca="false">IF(LEFT(Cockpit!$C$5,1)="A",H1274,IF(Parameter!$E$30="MAX-Bestand",IF(CI1274=1,CJ1274,IF(LEFT(Cockpit!$C$5,1)="B",AM1274,MAX(AM1274,H1274))),ROUNDUP(AK1274,0)))</f>
        <v>24</v>
      </c>
      <c r="AH1274" s="62" t="n">
        <f aca="false">IF(CA1274=1,0,ROUNDUP(AG1274/BZ1274,0))</f>
        <v>1</v>
      </c>
      <c r="AI1274" s="64" t="n">
        <f aca="false">IF(CR1274&gt;0,CR1274*MAX(1,AG1274/X1274),IF(CA1274=1,IF(AG1274&lt;=0,0,CE1274*MAX(1,IF(H1274&gt;0,AG1274/H1274,1))),IF(R1274&gt;0,AH1274/R1274,0))/MAX(0.1,N(Parameter!$M$21)))</f>
        <v>0.0384615384615385</v>
      </c>
      <c r="AJ1274" s="62" t="n">
        <f aca="false">AI1274*CC1274</f>
        <v>9.42307692307692</v>
      </c>
      <c r="AK1274" s="63" t="n">
        <f aca="false">IF(LEFT(Cockpit!$C$5,1)="A",H1274,IF(CI1274=1,(CL1274+CJ1274)/2,IF(LEFT(Cockpit!$C$5,1)="B",(CL1274+AM1274)/2,MAX((CL1274+AM1274)/2,H1274))))</f>
        <v>24</v>
      </c>
      <c r="AL1274" s="62" t="n">
        <f aca="false">AK1274*G1274</f>
        <v>2568</v>
      </c>
      <c r="AM1274" s="62" t="n">
        <f aca="false">ROUNDUP(CL1274+MAX(CM1274,2*(J1274/IF(CH1274&gt;0,CH1274,MAX(0.1,N(Cockpit!$C$6)))-CL1274)),0)</f>
        <v>36</v>
      </c>
      <c r="AN1274" s="63" t="n">
        <f aca="false">IF(AJ1274&gt;0,J1274/AJ1274,-1)</f>
        <v>5.94285714285714</v>
      </c>
      <c r="AO1274" s="63" t="n">
        <f aca="false">IF(AND(OR(CG1274="L1",CG1274="L23",CG1274="LIFT"),AJ1274&gt;0),SUMIFS($AJ$7:$AJ$1843,$CG$7:$CG$1843,CG1274,$AN$7:$AN$1843,"&gt;"&amp;AN1274)+SUMIFS($AJ$7:$AJ$1843,$CG$7:$CG$1843,CG1274,$AN$7:$AN$1843,AN1274,$BX$7:$BX$1843,"&lt;="&amp;BX1274),"")</f>
        <v>3522.91071428571</v>
      </c>
      <c r="AP1274" s="70" t="n">
        <f aca="false">IF(AO1274="",0,MAX(0,MIN(1,(IF(CG1274="L1",Parameter!$H$5,IF(CG1274="L23",Parameter!$H$6+Parameter!$H$7,Parameter!$H$5+Parameter!$H$6+Parameter!$H$7))-(AO1274-AJ1274))/AJ1274)))</f>
        <v>1</v>
      </c>
      <c r="AQ1274" s="62" t="n">
        <f aca="false">IF(LEFT(Cockpit!$I$5,1)="A",H1274,IF(Parameter!$E$30="MAX-Bestand",IF(CI1274=1,CJ1274,IF(LEFT(Cockpit!$I$5,1)="B",AW1274,MAX(AW1274,H1274))),ROUNDUP(AU1274,0)))</f>
        <v>24</v>
      </c>
      <c r="AR1274" s="62" t="n">
        <f aca="false">IF(CA1274=1,0,ROUNDUP(AQ1274/BZ1274,0))</f>
        <v>1</v>
      </c>
      <c r="AS1274" s="64" t="n">
        <f aca="false">IF(CR1274&gt;0,CR1274*MAX(1,AQ1274/X1274),IF(CA1274=1,IF(AQ1274&lt;=0,0,CE1274*MAX(1,IF(H1274&gt;0,AQ1274/H1274,1))),IF(R1274&gt;0,AR1274/R1274,0))/MAX(0.1,N(Parameter!$M$21)))</f>
        <v>0.0384615384615385</v>
      </c>
      <c r="AT1274" s="62" t="n">
        <f aca="false">AS1274*CC1274</f>
        <v>9.42307692307692</v>
      </c>
      <c r="AU1274" s="63" t="n">
        <f aca="false">IF(LEFT(Cockpit!$I$5,1)="A",H1274,IF(CI1274=1,(CL1274+CJ1274)/2,IF(LEFT(Cockpit!$I$5,1)="B",(CL1274+AW1274)/2,MAX((CL1274+AW1274)/2,H1274))))</f>
        <v>24</v>
      </c>
      <c r="AV1274" s="62" t="n">
        <f aca="false">AU1274*G1274</f>
        <v>2568</v>
      </c>
      <c r="AW1274" s="62" t="n">
        <f aca="false">ROUNDUP(CL1274+MAX(CM1274,2*(J1274/IF(CH1274&gt;0,CH1274,MAX(0.1,N(Cockpit!$I$6)))-CL1274)),0)</f>
        <v>36</v>
      </c>
      <c r="AX1274" s="63" t="n">
        <f aca="false">IF(AT1274&gt;0,J1274/AT1274,-1)</f>
        <v>5.94285714285714</v>
      </c>
      <c r="AY1274" s="63" t="n">
        <f aca="false">IF(AND(OR(CG1274="L1",CG1274="L23",CG1274="LIFT"),AT1274&gt;0),SUMIFS($AT$7:$AT$1843,$CG$7:$CG$1843,CG1274,$AX$7:$AX$1843,"&gt;"&amp;AX1274)+SUMIFS($AT$7:$AT$1843,$CG$7:$CG$1843,CG1274,$AX$7:$AX$1843,AX1274,$BX$7:$BX$1843,"&lt;="&amp;BX1274),"")</f>
        <v>4188.57463369963</v>
      </c>
      <c r="AZ1274" s="70" t="n">
        <f aca="false">IF(AY1274="",0,MAX(0,MIN(1,(IF(CG1274="L1",Parameter!$H$5,IF(CG1274="L23",Parameter!$H$6+Parameter!$H$7,Parameter!$H$5+Parameter!$H$6+Parameter!$H$7))-(AY1274-AT1274))/AT1274)))</f>
        <v>1</v>
      </c>
      <c r="BA1274" s="62" t="n">
        <f aca="false">IF(LEFT(Cockpit!$O$5,1)="A",H1274,IF(Parameter!$E$30="MAX-Bestand",IF(CI1274=1,CJ1274,IF(LEFT(Cockpit!$O$5,1)="B",BG1274,MAX(BG1274,H1274))),ROUNDUP(BE1274,0)))</f>
        <v>14</v>
      </c>
      <c r="BB1274" s="62" t="n">
        <f aca="false">IF(CA1274=1,0,ROUNDUP(BA1274/BZ1274,0))</f>
        <v>1</v>
      </c>
      <c r="BC1274" s="64" t="n">
        <f aca="false">IF(CR1274&gt;0,CR1274*MAX(1,BA1274/X1274),IF(CA1274=1,IF(BA1274&lt;=0,0,CE1274*MAX(1,IF(H1274&gt;0,BA1274/H1274,1))),IF(R1274&gt;0,BB1274/R1274,0))/MAX(0.1,N(Parameter!$M$21)))</f>
        <v>0.0384615384615385</v>
      </c>
      <c r="BD1274" s="62" t="n">
        <f aca="false">BC1274*CC1274</f>
        <v>9.42307692307692</v>
      </c>
      <c r="BE1274" s="63" t="n">
        <f aca="false">IF(LEFT(Cockpit!$O$5,1)="A",H1274,IF(CI1274=1,(CL1274+CJ1274)/2,IF(LEFT(Cockpit!$O$5,1)="B",(CL1274+BG1274)/2,MAX((CL1274+BG1274)/2,H1274))))</f>
        <v>14</v>
      </c>
      <c r="BF1274" s="62" t="n">
        <f aca="false">BE1274*G1274</f>
        <v>1498</v>
      </c>
      <c r="BG1274" s="62" t="n">
        <f aca="false">ROUNDUP(CL1274+MAX(CM1274,2*(J1274/IF(CH1274&gt;0,CH1274,MAX(0.1,N(Cockpit!$O$6)))-CL1274)),0)</f>
        <v>26</v>
      </c>
      <c r="BH1274" s="63" t="n">
        <f aca="false">IF(BD1274&gt;0,J1274/BD1274,-1)</f>
        <v>5.94285714285714</v>
      </c>
      <c r="BI1274" s="63" t="n">
        <f aca="false">IF(AND(OR(CG1274="L1",CG1274="L23",CG1274="LIFT"),BD1274&gt;0),SUMIFS($BD$7:$BD$1843,$CG$7:$CG$1843,CG1274,$BH$7:$BH$1843,"&gt;"&amp;BH1274)+SUMIFS($BD$7:$BD$1843,$CG$7:$CG$1843,CG1274,$BH$7:$BH$1843,BH1274,$BX$7:$BX$1843,"&lt;="&amp;BX1274),"")</f>
        <v>3512.64789377289</v>
      </c>
      <c r="BJ1274" s="70" t="n">
        <f aca="false">IF(BI1274="",0,MAX(0,MIN(1,(IF(CG1274="L1",Parameter!$H$5,IF(CG1274="L23",Parameter!$H$6+Parameter!$H$7,Parameter!$H$5+Parameter!$H$6+Parameter!$H$7))-(BI1274-BD1274))/BD1274)))</f>
        <v>1</v>
      </c>
      <c r="BK1274" s="60" t="str">
        <f aca="false">IF(AJ1274&lt;=0,"",IF(CG1274="Aussen","Aussenlager",IF(CG1274="-","Nicht im Lift",IF(AP1274&gt;=1,"Lift",IF(AP1274&lt;=0,"Aussenlager","teilweise")))))</f>
        <v>Lift</v>
      </c>
      <c r="BL1274" s="60" t="str">
        <f aca="false">IF(AT1274&lt;=0,"",IF(CG1274="Aussen","Aussenlager",IF(CG1274="-","Nicht im Lift",IF(AZ1274&gt;=1,"Lift",IF(AZ1274&lt;=0,"Aussenlager","teilweise")))))</f>
        <v>Lift</v>
      </c>
      <c r="BM1274" s="60" t="str">
        <f aca="false">IF(BD1274&lt;=0,"",IF(CG1274="Aussen","Aussenlager",IF(CG1274="-","Nicht im Lift",IF(BJ1274&gt;=1,"Lift",IF(BJ1274&lt;=0,"Aussenlager","teilweise")))))</f>
        <v>Lift</v>
      </c>
      <c r="BN1274" s="60" t="str">
        <f aca="false">IF(A1274="","",IF(BW1274=1,"Neu; ","")&amp;IF(AND(BW1274=0,BR1274&lt;0),"negativer Bestand (Export "&amp;BR1274&amp;"); ","")&amp;IF(J1274&lt;=0,"Kein Verbrauch; ","")&amp;IF(CR1274&gt;0,"Lift "&amp;W1274&amp;" lt. Liftbericht (Fach "&amp;X1274&amp;" Stk); ",IF(CB1274=1,"Gebinde geschätzt ("&amp;T1274&amp;"); ",IF(CA1274=1,"Lose – Tablare geschätzt; ","")))&amp;IF(H1274&gt;AW1274,"Überbestand "&amp;ROUND(H1274-AW1274,0)&amp;" Stk / CHF "&amp;ROUND((H1274-AW1274)*G1274,0)&amp;"; ","")&amp;IF(AND(CI1274=1,CJ1274&lt;CK1274),"MAX &lt; MB+LG; ","")&amp;IF(AND(CQ1274&gt;0,CP1274*10&gt;CQ1274),"zu hoch für Tablar; ","")&amp;IF(AND(BW1274=0,OR(CI1274=1,AB1274&lt;&gt;"",U1274&lt;&gt;"",V1274&lt;&gt;"",AC1274&lt;&gt;"")),"manuell übersteuert; ","")&amp;IF(AND(CA1274=0,R1274=0),"Gebinde unbekannt / Stellmass fehlt; ","")&amp;IF(AND(CA1274=0,N(V1274)&lt;=0,N(Q1274)&lt;=0),"Menge pro Gebinde fehlt (Ist = 1 Gebinde); ","")&amp;BV1274)</f>
        <v>negativer Bestand (Export -9); </v>
      </c>
      <c r="BO1274" s="60"/>
      <c r="BP1274" s="60"/>
      <c r="BQ1274" s="67"/>
      <c r="BR1274" s="62" t="n">
        <v>-9</v>
      </c>
      <c r="BS1274" s="62" t="n">
        <v>33</v>
      </c>
      <c r="BT1274" s="61" t="n">
        <v>-963</v>
      </c>
      <c r="BU1274" s="62" t="n">
        <v>56</v>
      </c>
      <c r="BV1274" s="60"/>
      <c r="BW1274" s="65" t="n">
        <v>0</v>
      </c>
      <c r="BX1274" s="65" t="n">
        <v>1274</v>
      </c>
      <c r="BY1274" s="60" t="str">
        <f aca="false">IF(U1274&lt;&gt;"",UPPER(TRIM(U1274)),IF(CB1274=1,UPPER(VLOOKUP(T1274,Parameter!$I$27:$K$29,2,0)),IF(P1274="","LOSE",P1274)))</f>
        <v>S52</v>
      </c>
      <c r="BZ1274" s="62" t="n">
        <f aca="false">IF(BY1274="LOSE",1,IF(N(V1274)&gt;0,V1274,IF(CB1274=1,MAX(1,N(VLOOKUP(T1274,Parameter!$I$27:$K$29,3,0)),H1274,N(N1274)),IF(N(Q1274)&gt;0,Q1274,MAX(1,H1274)))))</f>
        <v>52</v>
      </c>
      <c r="CA1274" s="65" t="n">
        <f aca="false">IF(BY1274="LOSE",1,0)</f>
        <v>0</v>
      </c>
      <c r="CB1274" s="65" t="n">
        <f aca="false">IF(AND(U1274="",OR(P1274="",P1274="LOSE"),T1274&lt;&gt;"",N(S1274)&lt;=0,ISNUMBER(MATCH(T1274,Parameter!$I$27:$I$29,0))),1,0)</f>
        <v>0</v>
      </c>
      <c r="CC1274" s="65" t="n">
        <f aca="false">IF(CR1274&gt;0,INDEX(Parameter!$H$5:$H$7,W1274)/INDEX(Parameter!$E$5:$E$7,W1274),IF(AND(CA1274=0,N(IFERROR(VLOOKUP(BY1274,'Gebinde-Kategorie'!$A$5:$N$45,14,0),0))&gt;0),VLOOKUP(BY1274,'Gebinde-Kategorie'!$A$5:$N$45,14,0)*10+Parameter!$M$23,Parameter!$M$24))</f>
        <v>245</v>
      </c>
      <c r="CD1274" s="60" t="str">
        <f aca="false">IF(AND(Parameter!$B$19="Ja",E1274&lt;&gt;"",ISNUMBER(MATCH(E1274,Parameter!$I$35:$I$52,0))),VLOOKUP(E1274,Parameter!$I$35:$J$52,2,0),IFERROR(VLOOKUP(D1274,Parameter!$A$35:$C$64,2,0),"Nein"))</f>
        <v>2+3</v>
      </c>
      <c r="CE1274" s="64" t="n">
        <f aca="false">IF(CA1274=0,0,IF(N(S1274)&gt;0,S1274,IFERROR(VLOOKUP(D1274,Parameter!$A$35:$C$64,3,0)+0,0)))</f>
        <v>0</v>
      </c>
      <c r="CF1274" s="60" t="n">
        <f aca="false">IF(AB1274&lt;&gt;"",AB1274,AA1274)</f>
        <v>3</v>
      </c>
      <c r="CG1274" s="60" t="str">
        <f aca="false">IF(OR(CF1274=1,CF1274=2,CF1274=3),IF(Parameter!$E$27="Ja","LIFT",IF(CF1274=1,"L1","L23")),IF(CF1274="Aussen","Aussen","-"))</f>
        <v>LIFT</v>
      </c>
      <c r="CH1274" s="71" t="n">
        <f aca="false">IF(N(AC1274)&gt;0,AC1274,0)</f>
        <v>0</v>
      </c>
      <c r="CI1274" s="65" t="n">
        <f aca="false">IF(ISNUMBER(AF1274),1,0)</f>
        <v>0</v>
      </c>
      <c r="CJ1274" s="62" t="n">
        <f aca="false">N(AF1274)</f>
        <v>0</v>
      </c>
      <c r="CK1274" s="62" t="n">
        <f aca="false">N(M1274)+N(N1274)</f>
        <v>12</v>
      </c>
      <c r="CL1274" s="62" t="n">
        <f aca="false">N(M1274)</f>
        <v>2</v>
      </c>
      <c r="CM1274" s="62" t="n">
        <f aca="false">N(N1274)</f>
        <v>10</v>
      </c>
      <c r="CN1274" s="62" t="n">
        <f aca="false">ROUNDUP(H1274/BZ1274,0)</f>
        <v>1</v>
      </c>
      <c r="CO1274" s="62" t="n">
        <f aca="false">ROUNDUP(CJ1274/BZ1274,0)</f>
        <v>0</v>
      </c>
      <c r="CP1274" s="65" t="n">
        <f aca="false">IF(CA1274=1,0,IFERROR(VLOOKUP(BY1274,'Gebinde-Kategorie'!$A$5:$N$45,5,0)+0,0))</f>
        <v>21</v>
      </c>
      <c r="CQ1274" s="65" t="n">
        <f aca="false">IFERROR(IF(OR(CF1274=1,CF1274=2,CF1274=3),N(INDEX(Parameter!$I$5:$I$7,CF1274)),0),0)</f>
        <v>0</v>
      </c>
      <c r="CR1274" s="64" t="n">
        <f aca="false">IF(AND(Parameter!$B$21="Ja",ISNUMBER(W1274),N(X1274)&gt;0),IFERROR(N(INDEX(Parameter!$L$5:$L$7,W1274))*INDEX(Parameter!$E$5:$E$7,W1274)*X1274/SUMIFS($X$7:$X$1843,$W$7:$W$1843,W1274),0),0)</f>
        <v>0</v>
      </c>
      <c r="CS1274" s="62" t="n">
        <f aca="false">IF(AND(OR(CG1274="L1",CG1274="L23",CG1274="LIFT"),H1274&gt;0),CC1274*IF(CR1274&gt;0,CR1274*MAX(1,H1274/X1274),IF(CA1274=1,CE1274,IF(R1274&gt;0,CN1274/R1274,0))/MAX(0.1,N(Parameter!$M$21))),"")</f>
        <v>9.42307692307692</v>
      </c>
      <c r="CT1274" s="64" t="n">
        <f aca="false">IF(CS1274="","",J1274/H1274)</f>
        <v>2.33333333333333</v>
      </c>
      <c r="CU1274" s="62" t="n">
        <f aca="false">IF(CS1274="","",H1274*G1274)</f>
        <v>2568</v>
      </c>
      <c r="CV1274" s="63" t="n">
        <f aca="false">IF(CS1274="","",(CL1274+ROUNDUP(CL1274+MAX(CM1274,2*(J1274/MAX(0.1,N(Einkauf!$C$6))-CL1274)),0))/2)</f>
        <v>14</v>
      </c>
      <c r="CW1274" s="62" t="n">
        <f aca="false">IF(CS1274="","",MAX(0,H1274-CV1274)*G1274)</f>
        <v>1070</v>
      </c>
      <c r="CX1274" s="62" t="n">
        <f aca="false">IF(CS1274="","",CS1274*MAX(0,1-CV1274/H1274))</f>
        <v>3.92628205128205</v>
      </c>
      <c r="CY1274" s="64" t="n">
        <f aca="false">IF(CS1274="","",PERCENTRANK($CS$7:$CS$1843,CS1274)+PERCENTRANK($CU$7:$CU$1843,CU1274)+1-PERCENTRANK($CT$7:$CT$1843,CT1274))</f>
        <v>1.543</v>
      </c>
      <c r="CZ1274" s="72" t="n">
        <f aca="false">IF(CS1274="","",CHOOSE(MATCH(Einkauf!$C$5,Parameter!$G$23:$G$27,0),CY1274,CS1274,CU1274,-CT1274,CW1274)+ROW()/1000000000)</f>
        <v>1.543001274</v>
      </c>
    </row>
    <row r="1275" customFormat="false" ht="15" hidden="false" customHeight="false" outlineLevel="0" collapsed="false">
      <c r="A1275" s="60" t="s">
        <v>2320</v>
      </c>
      <c r="B1275" s="60" t="s">
        <v>2321</v>
      </c>
      <c r="C1275" s="60" t="s">
        <v>206</v>
      </c>
      <c r="D1275" s="60" t="s">
        <v>226</v>
      </c>
      <c r="E1275" s="60" t="s">
        <v>227</v>
      </c>
      <c r="F1275" s="60" t="s">
        <v>260</v>
      </c>
      <c r="G1275" s="61" t="n">
        <v>165.85</v>
      </c>
      <c r="H1275" s="62" t="n">
        <f aca="false">MAX(0,IF(AND(Parameter!$B$21="Ja",ISNUMBER(Y1275)),Y1275,IF(Parameter!$B$20="Jahresanfang 2025 + Export",BS1275+BR1275,BR1275)))</f>
        <v>2</v>
      </c>
      <c r="I1275" s="62" t="n">
        <f aca="false">H1275*G1275</f>
        <v>331.7</v>
      </c>
      <c r="J1275" s="62" t="n">
        <f aca="false">BU1275*Parameter!$B$18</f>
        <v>6</v>
      </c>
      <c r="K1275" s="63" t="n">
        <v>7.5</v>
      </c>
      <c r="L1275" s="64" t="n">
        <v>0.8</v>
      </c>
      <c r="M1275" s="62" t="n">
        <v>0</v>
      </c>
      <c r="N1275" s="62" t="n">
        <v>5</v>
      </c>
      <c r="O1275" s="65" t="n">
        <v>28</v>
      </c>
      <c r="P1275" s="60" t="s">
        <v>228</v>
      </c>
      <c r="Q1275" s="62" t="n">
        <v>7</v>
      </c>
      <c r="R1275" s="65" t="n">
        <f aca="false">IF(CA1275=1,0,IFERROR(VLOOKUP(BY1275,'Gebinde-Kategorie'!$A$5:$N$45,13,0)+0,0))</f>
        <v>12</v>
      </c>
      <c r="S1275" s="66"/>
      <c r="T1275" s="67"/>
      <c r="U1275" s="67"/>
      <c r="V1275" s="67"/>
      <c r="W1275" s="60"/>
      <c r="X1275" s="62"/>
      <c r="Y1275" s="62"/>
      <c r="Z1275" s="60" t="n">
        <v>3</v>
      </c>
      <c r="AA1275" s="60" t="n">
        <f aca="false">IF(A1275="","",IF(AND(Parameter!$B$21="Ja",ISNUMBER(W1275)),W1275,IF(AND(Parameter!$E$27="Ja",ISNUMBER(Z1275),CD1275&lt;&gt;"Nein"),Z1275,IF(CD1275="2+3",IF(ISNUMBER(SEARCH("grosser Artikel",BV1275)),2,IFERROR(VLOOKUP(BY1275,Parameter!$F$35:$G$64,2,0),2)),IF(OR(CD1275="Nein",CD1275=""),"-",CD1275)))))</f>
        <v>3</v>
      </c>
      <c r="AB1275" s="67"/>
      <c r="AC1275" s="68"/>
      <c r="AD1275" s="62" t="n">
        <f aca="false">AW1275</f>
        <v>5</v>
      </c>
      <c r="AE1275" s="62" t="n">
        <f aca="false">MAX(AW1275,H1275)</f>
        <v>5</v>
      </c>
      <c r="AF1275" s="69"/>
      <c r="AG1275" s="62" t="n">
        <f aca="false">IF(LEFT(Cockpit!$C$5,1)="A",H1275,IF(Parameter!$E$30="MAX-Bestand",IF(CI1275=1,CJ1275,IF(LEFT(Cockpit!$C$5,1)="B",AM1275,MAX(AM1275,H1275))),ROUNDUP(AK1275,0)))</f>
        <v>2</v>
      </c>
      <c r="AH1275" s="62" t="n">
        <f aca="false">IF(CA1275=1,0,ROUNDUP(AG1275/BZ1275,0))</f>
        <v>1</v>
      </c>
      <c r="AI1275" s="64" t="n">
        <f aca="false">IF(CR1275&gt;0,CR1275*MAX(1,AG1275/X1275),IF(CA1275=1,IF(AG1275&lt;=0,0,CE1275*MAX(1,IF(H1275&gt;0,AG1275/H1275,1))),IF(R1275&gt;0,AH1275/R1275,0))/MAX(0.1,N(Parameter!$M$21)))</f>
        <v>0.0833333333333333</v>
      </c>
      <c r="AJ1275" s="62" t="n">
        <f aca="false">AI1275*CC1275</f>
        <v>12.0833333333333</v>
      </c>
      <c r="AK1275" s="63" t="n">
        <f aca="false">IF(LEFT(Cockpit!$C$5,1)="A",H1275,IF(CI1275=1,(CL1275+CJ1275)/2,IF(LEFT(Cockpit!$C$5,1)="B",(CL1275+AM1275)/2,MAX((CL1275+AM1275)/2,H1275))))</f>
        <v>2</v>
      </c>
      <c r="AL1275" s="62" t="n">
        <f aca="false">AK1275*G1275</f>
        <v>331.7</v>
      </c>
      <c r="AM1275" s="62" t="n">
        <f aca="false">ROUNDUP(CL1275+MAX(CM1275,2*(J1275/IF(CH1275&gt;0,CH1275,MAX(0.1,N(Cockpit!$C$6)))-CL1275)),0)</f>
        <v>5</v>
      </c>
      <c r="AN1275" s="63" t="n">
        <f aca="false">IF(AJ1275&gt;0,J1275/AJ1275,-1)</f>
        <v>0.496551724137931</v>
      </c>
      <c r="AO1275" s="63" t="n">
        <f aca="false">IF(AND(OR(CG1275="L1",CG1275="L23",CG1275="LIFT"),AJ1275&gt;0),SUMIFS($AJ$7:$AJ$1843,$CG$7:$CG$1843,CG1275,$AN$7:$AN$1843,"&gt;"&amp;AN1275)+SUMIFS($AJ$7:$AJ$1843,$CG$7:$CG$1843,CG1275,$AN$7:$AN$1843,AN1275,$BX$7:$BX$1843,"&lt;="&amp;BX1275),"")</f>
        <v>9622.26050267999</v>
      </c>
      <c r="AP1275" s="70" t="n">
        <f aca="false">IF(AO1275="",0,MAX(0,MIN(1,(IF(CG1275="L1",Parameter!$H$5,IF(CG1275="L23",Parameter!$H$6+Parameter!$H$7,Parameter!$H$5+Parameter!$H$6+Parameter!$H$7))-(AO1275-AJ1275))/AJ1275)))</f>
        <v>1</v>
      </c>
      <c r="AQ1275" s="62" t="n">
        <f aca="false">IF(LEFT(Cockpit!$I$5,1)="A",H1275,IF(Parameter!$E$30="MAX-Bestand",IF(CI1275=1,CJ1275,IF(LEFT(Cockpit!$I$5,1)="B",AW1275,MAX(AW1275,H1275))),ROUNDUP(AU1275,0)))</f>
        <v>3</v>
      </c>
      <c r="AR1275" s="62" t="n">
        <f aca="false">IF(CA1275=1,0,ROUNDUP(AQ1275/BZ1275,0))</f>
        <v>1</v>
      </c>
      <c r="AS1275" s="64" t="n">
        <f aca="false">IF(CR1275&gt;0,CR1275*MAX(1,AQ1275/X1275),IF(CA1275=1,IF(AQ1275&lt;=0,0,CE1275*MAX(1,IF(H1275&gt;0,AQ1275/H1275,1))),IF(R1275&gt;0,AR1275/R1275,0))/MAX(0.1,N(Parameter!$M$21)))</f>
        <v>0.0833333333333333</v>
      </c>
      <c r="AT1275" s="62" t="n">
        <f aca="false">AS1275*CC1275</f>
        <v>12.0833333333333</v>
      </c>
      <c r="AU1275" s="63" t="n">
        <f aca="false">IF(LEFT(Cockpit!$I$5,1)="A",H1275,IF(CI1275=1,(CL1275+CJ1275)/2,IF(LEFT(Cockpit!$I$5,1)="B",(CL1275+AW1275)/2,MAX((CL1275+AW1275)/2,H1275))))</f>
        <v>2.5</v>
      </c>
      <c r="AV1275" s="62" t="n">
        <f aca="false">AU1275*G1275</f>
        <v>414.625</v>
      </c>
      <c r="AW1275" s="62" t="n">
        <f aca="false">ROUNDUP(CL1275+MAX(CM1275,2*(J1275/IF(CH1275&gt;0,CH1275,MAX(0.1,N(Cockpit!$I$6)))-CL1275)),0)</f>
        <v>5</v>
      </c>
      <c r="AX1275" s="63" t="n">
        <f aca="false">IF(AT1275&gt;0,J1275/AT1275,-1)</f>
        <v>0.496551724137931</v>
      </c>
      <c r="AY1275" s="63" t="n">
        <f aca="false">IF(AND(OR(CG1275="L1",CG1275="L23",CG1275="LIFT"),AT1275&gt;0),SUMIFS($AT$7:$AT$1843,$CG$7:$CG$1843,CG1275,$AX$7:$AX$1843,"&gt;"&amp;AX1275)+SUMIFS($AT$7:$AT$1843,$CG$7:$CG$1843,CG1275,$AX$7:$AX$1843,AX1275,$BX$7:$BX$1843,"&lt;="&amp;BX1275),"")</f>
        <v>12036.0970695971</v>
      </c>
      <c r="AZ1275" s="70" t="n">
        <f aca="false">IF(AY1275="",0,MAX(0,MIN(1,(IF(CG1275="L1",Parameter!$H$5,IF(CG1275="L23",Parameter!$H$6+Parameter!$H$7,Parameter!$H$5+Parameter!$H$6+Parameter!$H$7))-(AY1275-AT1275))/AT1275)))</f>
        <v>1</v>
      </c>
      <c r="BA1275" s="62" t="n">
        <f aca="false">IF(LEFT(Cockpit!$O$5,1)="A",H1275,IF(Parameter!$E$30="MAX-Bestand",IF(CI1275=1,CJ1275,IF(LEFT(Cockpit!$O$5,1)="B",BG1275,MAX(BG1275,H1275))),ROUNDUP(BE1275,0)))</f>
        <v>3</v>
      </c>
      <c r="BB1275" s="62" t="n">
        <f aca="false">IF(CA1275=1,0,ROUNDUP(BA1275/BZ1275,0))</f>
        <v>1</v>
      </c>
      <c r="BC1275" s="64" t="n">
        <f aca="false">IF(CR1275&gt;0,CR1275*MAX(1,BA1275/X1275),IF(CA1275=1,IF(BA1275&lt;=0,0,CE1275*MAX(1,IF(H1275&gt;0,BA1275/H1275,1))),IF(R1275&gt;0,BB1275/R1275,0))/MAX(0.1,N(Parameter!$M$21)))</f>
        <v>0.0833333333333333</v>
      </c>
      <c r="BD1275" s="62" t="n">
        <f aca="false">BC1275*CC1275</f>
        <v>12.0833333333333</v>
      </c>
      <c r="BE1275" s="63" t="n">
        <f aca="false">IF(LEFT(Cockpit!$O$5,1)="A",H1275,IF(CI1275=1,(CL1275+CJ1275)/2,IF(LEFT(Cockpit!$O$5,1)="B",(CL1275+BG1275)/2,MAX((CL1275+BG1275)/2,H1275))))</f>
        <v>2.5</v>
      </c>
      <c r="BF1275" s="62" t="n">
        <f aca="false">BE1275*G1275</f>
        <v>414.625</v>
      </c>
      <c r="BG1275" s="62" t="n">
        <f aca="false">ROUNDUP(CL1275+MAX(CM1275,2*(J1275/IF(CH1275&gt;0,CH1275,MAX(0.1,N(Cockpit!$O$6)))-CL1275)),0)</f>
        <v>5</v>
      </c>
      <c r="BH1275" s="63" t="n">
        <f aca="false">IF(BD1275&gt;0,J1275/BD1275,-1)</f>
        <v>0.496551724137931</v>
      </c>
      <c r="BI1275" s="63" t="n">
        <f aca="false">IF(AND(OR(CG1275="L1",CG1275="L23",CG1275="LIFT"),BD1275&gt;0),SUMIFS($BD$7:$BD$1843,$CG$7:$CG$1843,CG1275,$BH$7:$BH$1843,"&gt;"&amp;BH1275)+SUMIFS($BD$7:$BD$1843,$CG$7:$CG$1843,CG1275,$BH$7:$BH$1843,BH1275,$BX$7:$BX$1843,"&lt;="&amp;BX1275),"")</f>
        <v>10399.5132783883</v>
      </c>
      <c r="BJ1275" s="70" t="n">
        <f aca="false">IF(BI1275="",0,MAX(0,MIN(1,(IF(CG1275="L1",Parameter!$H$5,IF(CG1275="L23",Parameter!$H$6+Parameter!$H$7,Parameter!$H$5+Parameter!$H$6+Parameter!$H$7))-(BI1275-BD1275))/BD1275)))</f>
        <v>1</v>
      </c>
      <c r="BK1275" s="60" t="str">
        <f aca="false">IF(AJ1275&lt;=0,"",IF(CG1275="Aussen","Aussenlager",IF(CG1275="-","Nicht im Lift",IF(AP1275&gt;=1,"Lift",IF(AP1275&lt;=0,"Aussenlager","teilweise")))))</f>
        <v>Lift</v>
      </c>
      <c r="BL1275" s="60" t="str">
        <f aca="false">IF(AT1275&lt;=0,"",IF(CG1275="Aussen","Aussenlager",IF(CG1275="-","Nicht im Lift",IF(AZ1275&gt;=1,"Lift",IF(AZ1275&lt;=0,"Aussenlager","teilweise")))))</f>
        <v>Lift</v>
      </c>
      <c r="BM1275" s="60" t="str">
        <f aca="false">IF(BD1275&lt;=0,"",IF(CG1275="Aussen","Aussenlager",IF(CG1275="-","Nicht im Lift",IF(BJ1275&gt;=1,"Lift",IF(BJ1275&lt;=0,"Aussenlager","teilweise")))))</f>
        <v>Lift</v>
      </c>
      <c r="BN1275" s="60" t="str">
        <f aca="false">IF(A1275="","",IF(BW1275=1,"Neu; ","")&amp;IF(AND(BW1275=0,BR1275&lt;0),"negativer Bestand (Export "&amp;BR1275&amp;"); ","")&amp;IF(J1275&lt;=0,"Kein Verbrauch; ","")&amp;IF(CR1275&gt;0,"Lift "&amp;W1275&amp;" lt. Liftbericht (Fach "&amp;X1275&amp;" Stk); ",IF(CB1275=1,"Gebinde geschätzt ("&amp;T1275&amp;"); ",IF(CA1275=1,"Lose – Tablare geschätzt; ","")))&amp;IF(H1275&gt;AW1275,"Überbestand "&amp;ROUND(H1275-AW1275,0)&amp;" Stk / CHF "&amp;ROUND((H1275-AW1275)*G1275,0)&amp;"; ","")&amp;IF(AND(CI1275=1,CJ1275&lt;CK1275),"MAX &lt; MB+LG; ","")&amp;IF(AND(CQ1275&gt;0,CP1275*10&gt;CQ1275),"zu hoch für Tablar; ","")&amp;IF(AND(BW1275=0,OR(CI1275=1,AB1275&lt;&gt;"",U1275&lt;&gt;"",V1275&lt;&gt;"",AC1275&lt;&gt;"")),"manuell übersteuert; ","")&amp;IF(AND(CA1275=0,R1275=0),"Gebinde unbekannt / Stellmass fehlt; ","")&amp;IF(AND(CA1275=0,N(V1275)&lt;=0,N(Q1275)&lt;=0),"Menge pro Gebinde fehlt (Ist = 1 Gebinde); ","")&amp;BV1275)</f>
        <v>negativer Bestand (Export -6); </v>
      </c>
      <c r="BO1275" s="60"/>
      <c r="BP1275" s="60"/>
      <c r="BQ1275" s="67"/>
      <c r="BR1275" s="62" t="n">
        <v>-6</v>
      </c>
      <c r="BS1275" s="62" t="n">
        <v>8</v>
      </c>
      <c r="BT1275" s="61" t="n">
        <v>-967.26</v>
      </c>
      <c r="BU1275" s="62" t="n">
        <v>6</v>
      </c>
      <c r="BV1275" s="60"/>
      <c r="BW1275" s="65" t="n">
        <v>0</v>
      </c>
      <c r="BX1275" s="65" t="n">
        <v>1275</v>
      </c>
      <c r="BY1275" s="60" t="str">
        <f aca="false">IF(U1275&lt;&gt;"",UPPER(TRIM(U1275)),IF(CB1275=1,UPPER(VLOOKUP(T1275,Parameter!$I$27:$K$29,2,0)),IF(P1275="","LOSE",P1275)))</f>
        <v>S61</v>
      </c>
      <c r="BZ1275" s="62" t="n">
        <f aca="false">IF(BY1275="LOSE",1,IF(N(V1275)&gt;0,V1275,IF(CB1275=1,MAX(1,N(VLOOKUP(T1275,Parameter!$I$27:$K$29,3,0)),H1275,N(N1275)),IF(N(Q1275)&gt;0,Q1275,MAX(1,H1275)))))</f>
        <v>7</v>
      </c>
      <c r="CA1275" s="65" t="n">
        <f aca="false">IF(BY1275="LOSE",1,0)</f>
        <v>0</v>
      </c>
      <c r="CB1275" s="65" t="n">
        <f aca="false">IF(AND(U1275="",OR(P1275="",P1275="LOSE"),T1275&lt;&gt;"",N(S1275)&lt;=0,ISNUMBER(MATCH(T1275,Parameter!$I$27:$I$29,0))),1,0)</f>
        <v>0</v>
      </c>
      <c r="CC1275" s="65" t="n">
        <f aca="false">IF(CR1275&gt;0,INDEX(Parameter!$H$5:$H$7,W1275)/INDEX(Parameter!$E$5:$E$7,W1275),IF(AND(CA1275=0,N(IFERROR(VLOOKUP(BY1275,'Gebinde-Kategorie'!$A$5:$N$45,14,0),0))&gt;0),VLOOKUP(BY1275,'Gebinde-Kategorie'!$A$5:$N$45,14,0)*10+Parameter!$M$23,Parameter!$M$24))</f>
        <v>145</v>
      </c>
      <c r="CD1275" s="60" t="str">
        <f aca="false">IF(AND(Parameter!$B$19="Ja",E1275&lt;&gt;"",ISNUMBER(MATCH(E1275,Parameter!$I$35:$I$52,0))),VLOOKUP(E1275,Parameter!$I$35:$J$52,2,0),IFERROR(VLOOKUP(D1275,Parameter!$A$35:$C$64,2,0),"Nein"))</f>
        <v>2+3</v>
      </c>
      <c r="CE1275" s="64" t="n">
        <f aca="false">IF(CA1275=0,0,IF(N(S1275)&gt;0,S1275,IFERROR(VLOOKUP(D1275,Parameter!$A$35:$C$64,3,0)+0,0)))</f>
        <v>0</v>
      </c>
      <c r="CF1275" s="60" t="n">
        <f aca="false">IF(AB1275&lt;&gt;"",AB1275,AA1275)</f>
        <v>3</v>
      </c>
      <c r="CG1275" s="60" t="str">
        <f aca="false">IF(OR(CF1275=1,CF1275=2,CF1275=3),IF(Parameter!$E$27="Ja","LIFT",IF(CF1275=1,"L1","L23")),IF(CF1275="Aussen","Aussen","-"))</f>
        <v>LIFT</v>
      </c>
      <c r="CH1275" s="71" t="n">
        <f aca="false">IF(N(AC1275)&gt;0,AC1275,0)</f>
        <v>0</v>
      </c>
      <c r="CI1275" s="65" t="n">
        <f aca="false">IF(ISNUMBER(AF1275),1,0)</f>
        <v>0</v>
      </c>
      <c r="CJ1275" s="62" t="n">
        <f aca="false">N(AF1275)</f>
        <v>0</v>
      </c>
      <c r="CK1275" s="62" t="n">
        <f aca="false">N(M1275)+N(N1275)</f>
        <v>5</v>
      </c>
      <c r="CL1275" s="62" t="n">
        <f aca="false">N(M1275)</f>
        <v>0</v>
      </c>
      <c r="CM1275" s="62" t="n">
        <f aca="false">N(N1275)</f>
        <v>5</v>
      </c>
      <c r="CN1275" s="62" t="n">
        <f aca="false">ROUNDUP(H1275/BZ1275,0)</f>
        <v>1</v>
      </c>
      <c r="CO1275" s="62" t="n">
        <f aca="false">ROUNDUP(CJ1275/BZ1275,0)</f>
        <v>0</v>
      </c>
      <c r="CP1275" s="65" t="n">
        <f aca="false">IF(CA1275=1,0,IFERROR(VLOOKUP(BY1275,'Gebinde-Kategorie'!$A$5:$N$45,5,0)+0,0))</f>
        <v>11</v>
      </c>
      <c r="CQ1275" s="65" t="n">
        <f aca="false">IFERROR(IF(OR(CF1275=1,CF1275=2,CF1275=3),N(INDEX(Parameter!$I$5:$I$7,CF1275)),0),0)</f>
        <v>0</v>
      </c>
      <c r="CR1275" s="64" t="n">
        <f aca="false">IF(AND(Parameter!$B$21="Ja",ISNUMBER(W1275),N(X1275)&gt;0),IFERROR(N(INDEX(Parameter!$L$5:$L$7,W1275))*INDEX(Parameter!$E$5:$E$7,W1275)*X1275/SUMIFS($X$7:$X$1843,$W$7:$W$1843,W1275),0),0)</f>
        <v>0</v>
      </c>
      <c r="CS1275" s="62" t="n">
        <f aca="false">IF(AND(OR(CG1275="L1",CG1275="L23",CG1275="LIFT"),H1275&gt;0),CC1275*IF(CR1275&gt;0,CR1275*MAX(1,H1275/X1275),IF(CA1275=1,CE1275,IF(R1275&gt;0,CN1275/R1275,0))/MAX(0.1,N(Parameter!$M$21))),"")</f>
        <v>12.0833333333333</v>
      </c>
      <c r="CT1275" s="64" t="n">
        <f aca="false">IF(CS1275="","",J1275/H1275)</f>
        <v>3</v>
      </c>
      <c r="CU1275" s="62" t="n">
        <f aca="false">IF(CS1275="","",H1275*G1275)</f>
        <v>331.7</v>
      </c>
      <c r="CV1275" s="63" t="n">
        <f aca="false">IF(CS1275="","",(CL1275+ROUNDUP(CL1275+MAX(CM1275,2*(J1275/MAX(0.1,N(Einkauf!$C$6))-CL1275)),0))/2)</f>
        <v>2.5</v>
      </c>
      <c r="CW1275" s="62" t="n">
        <f aca="false">IF(CS1275="","",MAX(0,H1275-CV1275)*G1275)</f>
        <v>0</v>
      </c>
      <c r="CX1275" s="62" t="n">
        <f aca="false">IF(CS1275="","",CS1275*MAX(0,1-CV1275/H1275))</f>
        <v>0</v>
      </c>
      <c r="CY1275" s="64" t="n">
        <f aca="false">IF(CS1275="","",PERCENTRANK($CS$7:$CS$1843,CS1275)+PERCENTRANK($CU$7:$CU$1843,CU1275)+1-PERCENTRANK($CT$7:$CT$1843,CT1275))</f>
        <v>1.219</v>
      </c>
      <c r="CZ1275" s="72" t="n">
        <f aca="false">IF(CS1275="","",CHOOSE(MATCH(Einkauf!$C$5,Parameter!$G$23:$G$27,0),CY1275,CS1275,CU1275,-CT1275,CW1275)+ROW()/1000000000)</f>
        <v>1.219001275</v>
      </c>
    </row>
    <row r="1276" customFormat="false" ht="15" hidden="false" customHeight="false" outlineLevel="0" collapsed="false">
      <c r="A1276" s="60" t="s">
        <v>2322</v>
      </c>
      <c r="B1276" s="60" t="s">
        <v>2323</v>
      </c>
      <c r="C1276" s="60" t="s">
        <v>206</v>
      </c>
      <c r="D1276" s="60" t="s">
        <v>226</v>
      </c>
      <c r="E1276" s="60"/>
      <c r="F1276" s="60" t="s">
        <v>260</v>
      </c>
      <c r="G1276" s="61" t="n">
        <v>329.39</v>
      </c>
      <c r="H1276" s="62" t="n">
        <f aca="false">MAX(0,IF(AND(Parameter!$B$21="Ja",ISNUMBER(Y1276)),Y1276,IF(Parameter!$B$20="Jahresanfang 2025 + Export",BS1276+BR1276,BR1276)))</f>
        <v>9</v>
      </c>
      <c r="I1276" s="62" t="n">
        <f aca="false">H1276*G1276</f>
        <v>2964.51</v>
      </c>
      <c r="J1276" s="62" t="n">
        <f aca="false">BU1276*Parameter!$B$18</f>
        <v>2</v>
      </c>
      <c r="K1276" s="63" t="n">
        <v>11</v>
      </c>
      <c r="L1276" s="64" t="n">
        <v>0.181818181818182</v>
      </c>
      <c r="M1276" s="62" t="n">
        <v>0</v>
      </c>
      <c r="N1276" s="62" t="n">
        <v>1</v>
      </c>
      <c r="O1276" s="65" t="n">
        <v>28</v>
      </c>
      <c r="P1276" s="60" t="s">
        <v>463</v>
      </c>
      <c r="Q1276" s="62" t="n">
        <v>10</v>
      </c>
      <c r="R1276" s="65" t="n">
        <f aca="false">IF(CA1276=1,0,IFERROR(VLOOKUP(BY1276,'Gebinde-Kategorie'!$A$5:$N$45,13,0)+0,0))</f>
        <v>104</v>
      </c>
      <c r="S1276" s="66"/>
      <c r="T1276" s="67"/>
      <c r="U1276" s="67"/>
      <c r="V1276" s="67"/>
      <c r="W1276" s="60"/>
      <c r="X1276" s="62"/>
      <c r="Y1276" s="62"/>
      <c r="Z1276" s="60" t="n">
        <v>2</v>
      </c>
      <c r="AA1276" s="60" t="n">
        <f aca="false">IF(A1276="","",IF(AND(Parameter!$B$21="Ja",ISNUMBER(W1276)),W1276,IF(AND(Parameter!$E$27="Ja",ISNUMBER(Z1276),CD1276&lt;&gt;"Nein"),Z1276,IF(CD1276="2+3",IF(ISNUMBER(SEARCH("grosser Artikel",BV1276)),2,IFERROR(VLOOKUP(BY1276,Parameter!$F$35:$G$64,2,0),2)),IF(OR(CD1276="Nein",CD1276=""),"-",CD1276)))))</f>
        <v>2</v>
      </c>
      <c r="AB1276" s="67"/>
      <c r="AC1276" s="68"/>
      <c r="AD1276" s="62" t="n">
        <f aca="false">AW1276</f>
        <v>2</v>
      </c>
      <c r="AE1276" s="62" t="n">
        <f aca="false">MAX(AW1276,H1276)</f>
        <v>9</v>
      </c>
      <c r="AF1276" s="69"/>
      <c r="AG1276" s="62" t="n">
        <f aca="false">IF(LEFT(Cockpit!$C$5,1)="A",H1276,IF(Parameter!$E$30="MAX-Bestand",IF(CI1276=1,CJ1276,IF(LEFT(Cockpit!$C$5,1)="B",AM1276,MAX(AM1276,H1276))),ROUNDUP(AK1276,0)))</f>
        <v>9</v>
      </c>
      <c r="AH1276" s="62" t="n">
        <f aca="false">IF(CA1276=1,0,ROUNDUP(AG1276/BZ1276,0))</f>
        <v>1</v>
      </c>
      <c r="AI1276" s="64" t="n">
        <f aca="false">IF(CR1276&gt;0,CR1276*MAX(1,AG1276/X1276),IF(CA1276=1,IF(AG1276&lt;=0,0,CE1276*MAX(1,IF(H1276&gt;0,AG1276/H1276,1))),IF(R1276&gt;0,AH1276/R1276,0))/MAX(0.1,N(Parameter!$M$21)))</f>
        <v>0.00961538461538462</v>
      </c>
      <c r="AJ1276" s="62" t="n">
        <f aca="false">AI1276*CC1276</f>
        <v>1.49038461538462</v>
      </c>
      <c r="AK1276" s="63" t="n">
        <f aca="false">IF(LEFT(Cockpit!$C$5,1)="A",H1276,IF(CI1276=1,(CL1276+CJ1276)/2,IF(LEFT(Cockpit!$C$5,1)="B",(CL1276+AM1276)/2,MAX((CL1276+AM1276)/2,H1276))))</f>
        <v>9</v>
      </c>
      <c r="AL1276" s="62" t="n">
        <f aca="false">AK1276*G1276</f>
        <v>2964.51</v>
      </c>
      <c r="AM1276" s="62" t="n">
        <f aca="false">ROUNDUP(CL1276+MAX(CM1276,2*(J1276/IF(CH1276&gt;0,CH1276,MAX(0.1,N(Cockpit!$C$6)))-CL1276)),0)</f>
        <v>2</v>
      </c>
      <c r="AN1276" s="63" t="n">
        <f aca="false">IF(AJ1276&gt;0,J1276/AJ1276,-1)</f>
        <v>1.34193548387097</v>
      </c>
      <c r="AO1276" s="63" t="n">
        <f aca="false">IF(AND(OR(CG1276="L1",CG1276="L23",CG1276="LIFT"),AJ1276&gt;0),SUMIFS($AJ$7:$AJ$1843,$CG$7:$CG$1843,CG1276,$AN$7:$AN$1843,"&gt;"&amp;AN1276)+SUMIFS($AJ$7:$AJ$1843,$CG$7:$CG$1843,CG1276,$AN$7:$AN$1843,AN1276,$BX$7:$BX$1843,"&lt;="&amp;BX1276),"")</f>
        <v>6362.44597069597</v>
      </c>
      <c r="AP1276" s="70" t="n">
        <f aca="false">IF(AO1276="",0,MAX(0,MIN(1,(IF(CG1276="L1",Parameter!$H$5,IF(CG1276="L23",Parameter!$H$6+Parameter!$H$7,Parameter!$H$5+Parameter!$H$6+Parameter!$H$7))-(AO1276-AJ1276))/AJ1276)))</f>
        <v>1</v>
      </c>
      <c r="AQ1276" s="62" t="n">
        <f aca="false">IF(LEFT(Cockpit!$I$5,1)="A",H1276,IF(Parameter!$E$30="MAX-Bestand",IF(CI1276=1,CJ1276,IF(LEFT(Cockpit!$I$5,1)="B",AW1276,MAX(AW1276,H1276))),ROUNDUP(AU1276,0)))</f>
        <v>9</v>
      </c>
      <c r="AR1276" s="62" t="n">
        <f aca="false">IF(CA1276=1,0,ROUNDUP(AQ1276/BZ1276,0))</f>
        <v>1</v>
      </c>
      <c r="AS1276" s="64" t="n">
        <f aca="false">IF(CR1276&gt;0,CR1276*MAX(1,AQ1276/X1276),IF(CA1276=1,IF(AQ1276&lt;=0,0,CE1276*MAX(1,IF(H1276&gt;0,AQ1276/H1276,1))),IF(R1276&gt;0,AR1276/R1276,0))/MAX(0.1,N(Parameter!$M$21)))</f>
        <v>0.00961538461538462</v>
      </c>
      <c r="AT1276" s="62" t="n">
        <f aca="false">AS1276*CC1276</f>
        <v>1.49038461538462</v>
      </c>
      <c r="AU1276" s="63" t="n">
        <f aca="false">IF(LEFT(Cockpit!$I$5,1)="A",H1276,IF(CI1276=1,(CL1276+CJ1276)/2,IF(LEFT(Cockpit!$I$5,1)="B",(CL1276+AW1276)/2,MAX((CL1276+AW1276)/2,H1276))))</f>
        <v>9</v>
      </c>
      <c r="AV1276" s="62" t="n">
        <f aca="false">AU1276*G1276</f>
        <v>2964.51</v>
      </c>
      <c r="AW1276" s="62" t="n">
        <f aca="false">ROUNDUP(CL1276+MAX(CM1276,2*(J1276/IF(CH1276&gt;0,CH1276,MAX(0.1,N(Cockpit!$I$6)))-CL1276)),0)</f>
        <v>2</v>
      </c>
      <c r="AX1276" s="63" t="n">
        <f aca="false">IF(AT1276&gt;0,J1276/AT1276,-1)</f>
        <v>1.34193548387097</v>
      </c>
      <c r="AY1276" s="63" t="n">
        <f aca="false">IF(AND(OR(CG1276="L1",CG1276="L23",CG1276="LIFT"),AT1276&gt;0),SUMIFS($AT$7:$AT$1843,$CG$7:$CG$1843,CG1276,$AX$7:$AX$1843,"&gt;"&amp;AX1276)+SUMIFS($AT$7:$AT$1843,$CG$7:$CG$1843,CG1276,$AX$7:$AX$1843,AX1276,$BX$7:$BX$1843,"&lt;="&amp;BX1276),"")</f>
        <v>7889.61034798535</v>
      </c>
      <c r="AZ1276" s="70" t="n">
        <f aca="false">IF(AY1276="",0,MAX(0,MIN(1,(IF(CG1276="L1",Parameter!$H$5,IF(CG1276="L23",Parameter!$H$6+Parameter!$H$7,Parameter!$H$5+Parameter!$H$6+Parameter!$H$7))-(AY1276-AT1276))/AT1276)))</f>
        <v>1</v>
      </c>
      <c r="BA1276" s="62" t="n">
        <f aca="false">IF(LEFT(Cockpit!$O$5,1)="A",H1276,IF(Parameter!$E$30="MAX-Bestand",IF(CI1276=1,CJ1276,IF(LEFT(Cockpit!$O$5,1)="B",BG1276,MAX(BG1276,H1276))),ROUNDUP(BE1276,0)))</f>
        <v>1</v>
      </c>
      <c r="BB1276" s="62" t="n">
        <f aca="false">IF(CA1276=1,0,ROUNDUP(BA1276/BZ1276,0))</f>
        <v>1</v>
      </c>
      <c r="BC1276" s="64" t="n">
        <f aca="false">IF(CR1276&gt;0,CR1276*MAX(1,BA1276/X1276),IF(CA1276=1,IF(BA1276&lt;=0,0,CE1276*MAX(1,IF(H1276&gt;0,BA1276/H1276,1))),IF(R1276&gt;0,BB1276/R1276,0))/MAX(0.1,N(Parameter!$M$21)))</f>
        <v>0.00961538461538462</v>
      </c>
      <c r="BD1276" s="62" t="n">
        <f aca="false">BC1276*CC1276</f>
        <v>1.49038461538462</v>
      </c>
      <c r="BE1276" s="63" t="n">
        <f aca="false">IF(LEFT(Cockpit!$O$5,1)="A",H1276,IF(CI1276=1,(CL1276+CJ1276)/2,IF(LEFT(Cockpit!$O$5,1)="B",(CL1276+BG1276)/2,MAX((CL1276+BG1276)/2,H1276))))</f>
        <v>0.5</v>
      </c>
      <c r="BF1276" s="62" t="n">
        <f aca="false">BE1276*G1276</f>
        <v>164.695</v>
      </c>
      <c r="BG1276" s="62" t="n">
        <f aca="false">ROUNDUP(CL1276+MAX(CM1276,2*(J1276/IF(CH1276&gt;0,CH1276,MAX(0.1,N(Cockpit!$O$6)))-CL1276)),0)</f>
        <v>1</v>
      </c>
      <c r="BH1276" s="63" t="n">
        <f aca="false">IF(BD1276&gt;0,J1276/BD1276,-1)</f>
        <v>1.34193548387097</v>
      </c>
      <c r="BI1276" s="63" t="n">
        <f aca="false">IF(AND(OR(CG1276="L1",CG1276="L23",CG1276="LIFT"),BD1276&gt;0),SUMIFS($BD$7:$BD$1843,$CG$7:$CG$1843,CG1276,$BH$7:$BH$1843,"&gt;"&amp;BH1276)+SUMIFS($BD$7:$BD$1843,$CG$7:$CG$1843,CG1276,$BH$7:$BH$1843,BH1276,$BX$7:$BX$1843,"&lt;="&amp;BX1276),"")</f>
        <v>6826.82600732601</v>
      </c>
      <c r="BJ1276" s="70" t="n">
        <f aca="false">IF(BI1276="",0,MAX(0,MIN(1,(IF(CG1276="L1",Parameter!$H$5,IF(CG1276="L23",Parameter!$H$6+Parameter!$H$7,Parameter!$H$5+Parameter!$H$6+Parameter!$H$7))-(BI1276-BD1276))/BD1276)))</f>
        <v>1</v>
      </c>
      <c r="BK1276" s="60" t="str">
        <f aca="false">IF(AJ1276&lt;=0,"",IF(CG1276="Aussen","Aussenlager",IF(CG1276="-","Nicht im Lift",IF(AP1276&gt;=1,"Lift",IF(AP1276&lt;=0,"Aussenlager","teilweise")))))</f>
        <v>Lift</v>
      </c>
      <c r="BL1276" s="60" t="str">
        <f aca="false">IF(AT1276&lt;=0,"",IF(CG1276="Aussen","Aussenlager",IF(CG1276="-","Nicht im Lift",IF(AZ1276&gt;=1,"Lift",IF(AZ1276&lt;=0,"Aussenlager","teilweise")))))</f>
        <v>Lift</v>
      </c>
      <c r="BM1276" s="60" t="str">
        <f aca="false">IF(BD1276&lt;=0,"",IF(CG1276="Aussen","Aussenlager",IF(CG1276="-","Nicht im Lift",IF(BJ1276&gt;=1,"Lift",IF(BJ1276&lt;=0,"Aussenlager","teilweise")))))</f>
        <v>Lift</v>
      </c>
      <c r="BN1276" s="60" t="str">
        <f aca="false">IF(A1276="","",IF(BW1276=1,"Neu; ","")&amp;IF(AND(BW1276=0,BR1276&lt;0),"negativer Bestand (Export "&amp;BR1276&amp;"); ","")&amp;IF(J1276&lt;=0,"Kein Verbrauch; ","")&amp;IF(CR1276&gt;0,"Lift "&amp;W1276&amp;" lt. Liftbericht (Fach "&amp;X1276&amp;" Stk); ",IF(CB1276=1,"Gebinde geschätzt ("&amp;T1276&amp;"); ",IF(CA1276=1,"Lose – Tablare geschätzt; ","")))&amp;IF(H1276&gt;AW1276,"Überbestand "&amp;ROUND(H1276-AW1276,0)&amp;" Stk / CHF "&amp;ROUND((H1276-AW1276)*G1276,0)&amp;"; ","")&amp;IF(AND(CI1276=1,CJ1276&lt;CK1276),"MAX &lt; MB+LG; ","")&amp;IF(AND(CQ1276&gt;0,CP1276*10&gt;CQ1276),"zu hoch für Tablar; ","")&amp;IF(AND(BW1276=0,OR(CI1276=1,AB1276&lt;&gt;"",U1276&lt;&gt;"",V1276&lt;&gt;"",AC1276&lt;&gt;"")),"manuell übersteuert; ","")&amp;IF(AND(CA1276=0,R1276=0),"Gebinde unbekannt / Stellmass fehlt; ","")&amp;IF(AND(CA1276=0,N(V1276)&lt;=0,N(Q1276)&lt;=0),"Menge pro Gebinde fehlt (Ist = 1 Gebinde); ","")&amp;BV1276)</f>
        <v>negativer Bestand (Export -3); Überbestand 7 Stk / CHF 2306; Neuer Art.</v>
      </c>
      <c r="BO1276" s="60"/>
      <c r="BP1276" s="60"/>
      <c r="BQ1276" s="67"/>
      <c r="BR1276" s="62" t="n">
        <v>-3</v>
      </c>
      <c r="BS1276" s="62" t="n">
        <v>12</v>
      </c>
      <c r="BT1276" s="61" t="n">
        <v>-988.17</v>
      </c>
      <c r="BU1276" s="62" t="n">
        <v>2</v>
      </c>
      <c r="BV1276" s="60" t="s">
        <v>554</v>
      </c>
      <c r="BW1276" s="65" t="n">
        <v>0</v>
      </c>
      <c r="BX1276" s="65" t="n">
        <v>1276</v>
      </c>
      <c r="BY1276" s="60" t="str">
        <f aca="false">IF(U1276&lt;&gt;"",UPPER(TRIM(U1276)),IF(CB1276=1,UPPER(VLOOKUP(T1276,Parameter!$I$27:$K$29,2,0)),IF(P1276="","LOSE",P1276)))</f>
        <v>S32</v>
      </c>
      <c r="BZ1276" s="62" t="n">
        <f aca="false">IF(BY1276="LOSE",1,IF(N(V1276)&gt;0,V1276,IF(CB1276=1,MAX(1,N(VLOOKUP(T1276,Parameter!$I$27:$K$29,3,0)),H1276,N(N1276)),IF(N(Q1276)&gt;0,Q1276,MAX(1,H1276)))))</f>
        <v>10</v>
      </c>
      <c r="CA1276" s="65" t="n">
        <f aca="false">IF(BY1276="LOSE",1,0)</f>
        <v>0</v>
      </c>
      <c r="CB1276" s="65" t="n">
        <f aca="false">IF(AND(U1276="",OR(P1276="",P1276="LOSE"),T1276&lt;&gt;"",N(S1276)&lt;=0,ISNUMBER(MATCH(T1276,Parameter!$I$27:$I$29,0))),1,0)</f>
        <v>0</v>
      </c>
      <c r="CC1276" s="65" t="n">
        <f aca="false">IF(CR1276&gt;0,INDEX(Parameter!$H$5:$H$7,W1276)/INDEX(Parameter!$E$5:$E$7,W1276),IF(AND(CA1276=0,N(IFERROR(VLOOKUP(BY1276,'Gebinde-Kategorie'!$A$5:$N$45,14,0),0))&gt;0),VLOOKUP(BY1276,'Gebinde-Kategorie'!$A$5:$N$45,14,0)*10+Parameter!$M$23,Parameter!$M$24))</f>
        <v>155</v>
      </c>
      <c r="CD1276" s="60" t="str">
        <f aca="false">IF(AND(Parameter!$B$19="Ja",E1276&lt;&gt;"",ISNUMBER(MATCH(E1276,Parameter!$I$35:$I$52,0))),VLOOKUP(E1276,Parameter!$I$35:$J$52,2,0),IFERROR(VLOOKUP(D1276,Parameter!$A$35:$C$64,2,0),"Nein"))</f>
        <v>2+3</v>
      </c>
      <c r="CE1276" s="64" t="n">
        <f aca="false">IF(CA1276=0,0,IF(N(S1276)&gt;0,S1276,IFERROR(VLOOKUP(D1276,Parameter!$A$35:$C$64,3,0)+0,0)))</f>
        <v>0</v>
      </c>
      <c r="CF1276" s="60" t="n">
        <f aca="false">IF(AB1276&lt;&gt;"",AB1276,AA1276)</f>
        <v>2</v>
      </c>
      <c r="CG1276" s="60" t="str">
        <f aca="false">IF(OR(CF1276=1,CF1276=2,CF1276=3),IF(Parameter!$E$27="Ja","LIFT",IF(CF1276=1,"L1","L23")),IF(CF1276="Aussen","Aussen","-"))</f>
        <v>LIFT</v>
      </c>
      <c r="CH1276" s="71" t="n">
        <f aca="false">IF(N(AC1276)&gt;0,AC1276,0)</f>
        <v>0</v>
      </c>
      <c r="CI1276" s="65" t="n">
        <f aca="false">IF(ISNUMBER(AF1276),1,0)</f>
        <v>0</v>
      </c>
      <c r="CJ1276" s="62" t="n">
        <f aca="false">N(AF1276)</f>
        <v>0</v>
      </c>
      <c r="CK1276" s="62" t="n">
        <f aca="false">N(M1276)+N(N1276)</f>
        <v>1</v>
      </c>
      <c r="CL1276" s="62" t="n">
        <f aca="false">N(M1276)</f>
        <v>0</v>
      </c>
      <c r="CM1276" s="62" t="n">
        <f aca="false">N(N1276)</f>
        <v>1</v>
      </c>
      <c r="CN1276" s="62" t="n">
        <f aca="false">ROUNDUP(H1276/BZ1276,0)</f>
        <v>1</v>
      </c>
      <c r="CO1276" s="62" t="n">
        <f aca="false">ROUNDUP(CJ1276/BZ1276,0)</f>
        <v>0</v>
      </c>
      <c r="CP1276" s="65" t="n">
        <f aca="false">IF(CA1276=1,0,IFERROR(VLOOKUP(BY1276,'Gebinde-Kategorie'!$A$5:$N$45,5,0)+0,0))</f>
        <v>8</v>
      </c>
      <c r="CQ1276" s="65" t="n">
        <f aca="false">IFERROR(IF(OR(CF1276=1,CF1276=2,CF1276=3),N(INDEX(Parameter!$I$5:$I$7,CF1276)),0),0)</f>
        <v>0</v>
      </c>
      <c r="CR1276" s="64" t="n">
        <f aca="false">IF(AND(Parameter!$B$21="Ja",ISNUMBER(W1276),N(X1276)&gt;0),IFERROR(N(INDEX(Parameter!$L$5:$L$7,W1276))*INDEX(Parameter!$E$5:$E$7,W1276)*X1276/SUMIFS($X$7:$X$1843,$W$7:$W$1843,W1276),0),0)</f>
        <v>0</v>
      </c>
      <c r="CS1276" s="62" t="n">
        <f aca="false">IF(AND(OR(CG1276="L1",CG1276="L23",CG1276="LIFT"),H1276&gt;0),CC1276*IF(CR1276&gt;0,CR1276*MAX(1,H1276/X1276),IF(CA1276=1,CE1276,IF(R1276&gt;0,CN1276/R1276,0))/MAX(0.1,N(Parameter!$M$21))),"")</f>
        <v>1.49038461538462</v>
      </c>
      <c r="CT1276" s="64" t="n">
        <f aca="false">IF(CS1276="","",J1276/H1276)</f>
        <v>0.222222222222222</v>
      </c>
      <c r="CU1276" s="62" t="n">
        <f aca="false">IF(CS1276="","",H1276*G1276)</f>
        <v>2964.51</v>
      </c>
      <c r="CV1276" s="63" t="n">
        <f aca="false">IF(CS1276="","",(CL1276+ROUNDUP(CL1276+MAX(CM1276,2*(J1276/MAX(0.1,N(Einkauf!$C$6))-CL1276)),0))/2)</f>
        <v>0.5</v>
      </c>
      <c r="CW1276" s="62" t="n">
        <f aca="false">IF(CS1276="","",MAX(0,H1276-CV1276)*G1276)</f>
        <v>2799.815</v>
      </c>
      <c r="CX1276" s="62" t="n">
        <f aca="false">IF(CS1276="","",CS1276*MAX(0,1-CV1276/H1276))</f>
        <v>1.40758547008547</v>
      </c>
      <c r="CY1276" s="64" t="n">
        <f aca="false">IF(CS1276="","",PERCENTRANK($CS$7:$CS$1843,CS1276)+PERCENTRANK($CU$7:$CU$1843,CU1276)+1-PERCENTRANK($CT$7:$CT$1843,CT1276))</f>
        <v>1.465</v>
      </c>
      <c r="CZ1276" s="72" t="n">
        <f aca="false">IF(CS1276="","",CHOOSE(MATCH(Einkauf!$C$5,Parameter!$G$23:$G$27,0),CY1276,CS1276,CU1276,-CT1276,CW1276)+ROW()/1000000000)</f>
        <v>1.465001276</v>
      </c>
    </row>
    <row r="1277" customFormat="false" ht="15" hidden="false" customHeight="false" outlineLevel="0" collapsed="false">
      <c r="A1277" s="60" t="s">
        <v>2324</v>
      </c>
      <c r="B1277" s="60" t="s">
        <v>2325</v>
      </c>
      <c r="C1277" s="60" t="s">
        <v>206</v>
      </c>
      <c r="D1277" s="60" t="s">
        <v>215</v>
      </c>
      <c r="E1277" s="60"/>
      <c r="F1277" s="60" t="s">
        <v>260</v>
      </c>
      <c r="G1277" s="61" t="n">
        <v>498</v>
      </c>
      <c r="H1277" s="62" t="n">
        <f aca="false">MAX(0,IF(AND(Parameter!$B$21="Ja",ISNUMBER(Y1277)),Y1277,IF(Parameter!$B$20="Jahresanfang 2025 + Export",BS1277+BR1277,BR1277)))</f>
        <v>0</v>
      </c>
      <c r="I1277" s="62" t="n">
        <f aca="false">H1277*G1277</f>
        <v>0</v>
      </c>
      <c r="J1277" s="62" t="n">
        <f aca="false">BU1277*Parameter!$B$18</f>
        <v>2</v>
      </c>
      <c r="K1277" s="63" t="n">
        <v>1</v>
      </c>
      <c r="L1277" s="64" t="n">
        <v>2</v>
      </c>
      <c r="M1277" s="62" t="n">
        <v>0</v>
      </c>
      <c r="N1277" s="62" t="n">
        <v>1</v>
      </c>
      <c r="O1277" s="65" t="n">
        <v>42</v>
      </c>
      <c r="P1277" s="60" t="s">
        <v>210</v>
      </c>
      <c r="Q1277" s="62"/>
      <c r="R1277" s="65" t="n">
        <f aca="false">IF(CA1277=1,0,IFERROR(VLOOKUP(BY1277,'Gebinde-Kategorie'!$A$5:$N$45,13,0)+0,0))</f>
        <v>12</v>
      </c>
      <c r="S1277" s="66"/>
      <c r="T1277" s="67" t="s">
        <v>221</v>
      </c>
      <c r="U1277" s="67"/>
      <c r="V1277" s="67"/>
      <c r="W1277" s="60"/>
      <c r="X1277" s="62"/>
      <c r="Y1277" s="62"/>
      <c r="Z1277" s="60" t="n">
        <v>3</v>
      </c>
      <c r="AA1277" s="60" t="n">
        <f aca="false">IF(A1277="","",IF(AND(Parameter!$B$21="Ja",ISNUMBER(W1277)),W1277,IF(AND(Parameter!$E$27="Ja",ISNUMBER(Z1277),CD1277&lt;&gt;"Nein"),Z1277,IF(CD1277="2+3",IF(ISNUMBER(SEARCH("grosser Artikel",BV1277)),2,IFERROR(VLOOKUP(BY1277,Parameter!$F$35:$G$64,2,0),2)),IF(OR(CD1277="Nein",CD1277=""),"-",CD1277)))))</f>
        <v>3</v>
      </c>
      <c r="AB1277" s="67"/>
      <c r="AC1277" s="68"/>
      <c r="AD1277" s="62" t="n">
        <f aca="false">AW1277</f>
        <v>2</v>
      </c>
      <c r="AE1277" s="62" t="n">
        <f aca="false">MAX(AW1277,H1277)</f>
        <v>2</v>
      </c>
      <c r="AF1277" s="69"/>
      <c r="AG1277" s="62" t="n">
        <f aca="false">IF(LEFT(Cockpit!$C$5,1)="A",H1277,IF(Parameter!$E$30="MAX-Bestand",IF(CI1277=1,CJ1277,IF(LEFT(Cockpit!$C$5,1)="B",AM1277,MAX(AM1277,H1277))),ROUNDUP(AK1277,0)))</f>
        <v>0</v>
      </c>
      <c r="AH1277" s="62" t="n">
        <f aca="false">IF(CA1277=1,0,ROUNDUP(AG1277/BZ1277,0))</f>
        <v>0</v>
      </c>
      <c r="AI1277" s="64" t="n">
        <f aca="false">IF(CR1277&gt;0,CR1277*MAX(1,AG1277/X1277),IF(CA1277=1,IF(AG1277&lt;=0,0,CE1277*MAX(1,IF(H1277&gt;0,AG1277/H1277,1))),IF(R1277&gt;0,AH1277/R1277,0))/MAX(0.1,N(Parameter!$M$21)))</f>
        <v>0</v>
      </c>
      <c r="AJ1277" s="62" t="n">
        <f aca="false">AI1277*CC1277</f>
        <v>0</v>
      </c>
      <c r="AK1277" s="63" t="n">
        <f aca="false">IF(LEFT(Cockpit!$C$5,1)="A",H1277,IF(CI1277=1,(CL1277+CJ1277)/2,IF(LEFT(Cockpit!$C$5,1)="B",(CL1277+AM1277)/2,MAX((CL1277+AM1277)/2,H1277))))</f>
        <v>0</v>
      </c>
      <c r="AL1277" s="62" t="n">
        <f aca="false">AK1277*G1277</f>
        <v>0</v>
      </c>
      <c r="AM1277" s="62" t="n">
        <f aca="false">ROUNDUP(CL1277+MAX(CM1277,2*(J1277/IF(CH1277&gt;0,CH1277,MAX(0.1,N(Cockpit!$C$6)))-CL1277)),0)</f>
        <v>2</v>
      </c>
      <c r="AN1277" s="63" t="n">
        <f aca="false">IF(AJ1277&gt;0,J1277/AJ1277,-1)</f>
        <v>-1</v>
      </c>
      <c r="AO1277" s="63" t="str">
        <f aca="false">IF(AND(OR(CG1277="L1",CG1277="L23",CG1277="LIFT"),AJ1277&gt;0),SUMIFS($AJ$7:$AJ$1843,$CG$7:$CG$1843,CG1277,$AN$7:$AN$1843,"&gt;"&amp;AN1277)+SUMIFS($AJ$7:$AJ$1843,$CG$7:$CG$1843,CG1277,$AN$7:$AN$1843,AN1277,$BX$7:$BX$1843,"&lt;="&amp;BX1277),"")</f>
        <v/>
      </c>
      <c r="AP1277" s="70" t="n">
        <f aca="false">IF(AO1277="",0,MAX(0,MIN(1,(IF(CG1277="L1",Parameter!$H$5,IF(CG1277="L23",Parameter!$H$6+Parameter!$H$7,Parameter!$H$5+Parameter!$H$6+Parameter!$H$7))-(AO1277-AJ1277))/AJ1277)))</f>
        <v>0</v>
      </c>
      <c r="AQ1277" s="62" t="n">
        <f aca="false">IF(LEFT(Cockpit!$I$5,1)="A",H1277,IF(Parameter!$E$30="MAX-Bestand",IF(CI1277=1,CJ1277,IF(LEFT(Cockpit!$I$5,1)="B",AW1277,MAX(AW1277,H1277))),ROUNDUP(AU1277,0)))</f>
        <v>1</v>
      </c>
      <c r="AR1277" s="62" t="n">
        <f aca="false">IF(CA1277=1,0,ROUNDUP(AQ1277/BZ1277,0))</f>
        <v>1</v>
      </c>
      <c r="AS1277" s="64" t="n">
        <f aca="false">IF(CR1277&gt;0,CR1277*MAX(1,AQ1277/X1277),IF(CA1277=1,IF(AQ1277&lt;=0,0,CE1277*MAX(1,IF(H1277&gt;0,AQ1277/H1277,1))),IF(R1277&gt;0,AR1277/R1277,0))/MAX(0.1,N(Parameter!$M$21)))</f>
        <v>0.0833333333333333</v>
      </c>
      <c r="AT1277" s="62" t="n">
        <f aca="false">AS1277*CC1277</f>
        <v>12.0833333333333</v>
      </c>
      <c r="AU1277" s="63" t="n">
        <f aca="false">IF(LEFT(Cockpit!$I$5,1)="A",H1277,IF(CI1277=1,(CL1277+CJ1277)/2,IF(LEFT(Cockpit!$I$5,1)="B",(CL1277+AW1277)/2,MAX((CL1277+AW1277)/2,H1277))))</f>
        <v>1</v>
      </c>
      <c r="AV1277" s="62" t="n">
        <f aca="false">AU1277*G1277</f>
        <v>498</v>
      </c>
      <c r="AW1277" s="62" t="n">
        <f aca="false">ROUNDUP(CL1277+MAX(CM1277,2*(J1277/IF(CH1277&gt;0,CH1277,MAX(0.1,N(Cockpit!$I$6)))-CL1277)),0)</f>
        <v>2</v>
      </c>
      <c r="AX1277" s="63" t="n">
        <f aca="false">IF(AT1277&gt;0,J1277/AT1277,-1)</f>
        <v>0.16551724137931</v>
      </c>
      <c r="AY1277" s="63" t="n">
        <f aca="false">IF(AND(OR(CG1277="L1",CG1277="L23",CG1277="LIFT"),AT1277&gt;0),SUMIFS($AT$7:$AT$1843,$CG$7:$CG$1843,CG1277,$AX$7:$AX$1843,"&gt;"&amp;AX1277)+SUMIFS($AT$7:$AT$1843,$CG$7:$CG$1843,CG1277,$AX$7:$AX$1843,AX1277,$BX$7:$BX$1843,"&lt;="&amp;BX1277),"")</f>
        <v>15794.5041208791</v>
      </c>
      <c r="AZ1277" s="70" t="n">
        <f aca="false">IF(AY1277="",0,MAX(0,MIN(1,(IF(CG1277="L1",Parameter!$H$5,IF(CG1277="L23",Parameter!$H$6+Parameter!$H$7,Parameter!$H$5+Parameter!$H$6+Parameter!$H$7))-(AY1277-AT1277))/AT1277)))</f>
        <v>1</v>
      </c>
      <c r="BA1277" s="62" t="n">
        <f aca="false">IF(LEFT(Cockpit!$O$5,1)="A",H1277,IF(Parameter!$E$30="MAX-Bestand",IF(CI1277=1,CJ1277,IF(LEFT(Cockpit!$O$5,1)="B",BG1277,MAX(BG1277,H1277))),ROUNDUP(BE1277,0)))</f>
        <v>1</v>
      </c>
      <c r="BB1277" s="62" t="n">
        <f aca="false">IF(CA1277=1,0,ROUNDUP(BA1277/BZ1277,0))</f>
        <v>1</v>
      </c>
      <c r="BC1277" s="64" t="n">
        <f aca="false">IF(CR1277&gt;0,CR1277*MAX(1,BA1277/X1277),IF(CA1277=1,IF(BA1277&lt;=0,0,CE1277*MAX(1,IF(H1277&gt;0,BA1277/H1277,1))),IF(R1277&gt;0,BB1277/R1277,0))/MAX(0.1,N(Parameter!$M$21)))</f>
        <v>0.0833333333333333</v>
      </c>
      <c r="BD1277" s="62" t="n">
        <f aca="false">BC1277*CC1277</f>
        <v>12.0833333333333</v>
      </c>
      <c r="BE1277" s="63" t="n">
        <f aca="false">IF(LEFT(Cockpit!$O$5,1)="A",H1277,IF(CI1277=1,(CL1277+CJ1277)/2,IF(LEFT(Cockpit!$O$5,1)="B",(CL1277+BG1277)/2,MAX((CL1277+BG1277)/2,H1277))))</f>
        <v>0.5</v>
      </c>
      <c r="BF1277" s="62" t="n">
        <f aca="false">BE1277*G1277</f>
        <v>249</v>
      </c>
      <c r="BG1277" s="62" t="n">
        <f aca="false">ROUNDUP(CL1277+MAX(CM1277,2*(J1277/IF(CH1277&gt;0,CH1277,MAX(0.1,N(Cockpit!$O$6)))-CL1277)),0)</f>
        <v>1</v>
      </c>
      <c r="BH1277" s="63" t="n">
        <f aca="false">IF(BD1277&gt;0,J1277/BD1277,-1)</f>
        <v>0.16551724137931</v>
      </c>
      <c r="BI1277" s="63" t="n">
        <f aca="false">IF(AND(OR(CG1277="L1",CG1277="L23",CG1277="LIFT"),BD1277&gt;0),SUMIFS($BD$7:$BD$1843,$CG$7:$CG$1843,CG1277,$BH$7:$BH$1843,"&gt;"&amp;BH1277)+SUMIFS($BD$7:$BD$1843,$CG$7:$CG$1843,CG1277,$BH$7:$BH$1843,BH1277,$BX$7:$BX$1843,"&lt;="&amp;BX1277),"")</f>
        <v>13620.9706157778</v>
      </c>
      <c r="BJ1277" s="70" t="n">
        <f aca="false">IF(BI1277="",0,MAX(0,MIN(1,(IF(CG1277="L1",Parameter!$H$5,IF(CG1277="L23",Parameter!$H$6+Parameter!$H$7,Parameter!$H$5+Parameter!$H$6+Parameter!$H$7))-(BI1277-BD1277))/BD1277)))</f>
        <v>1</v>
      </c>
      <c r="BK1277" s="60" t="str">
        <f aca="false">IF(AJ1277&lt;=0,"",IF(CG1277="Aussen","Aussenlager",IF(CG1277="-","Nicht im Lift",IF(AP1277&gt;=1,"Lift",IF(AP1277&lt;=0,"Aussenlager","teilweise")))))</f>
        <v/>
      </c>
      <c r="BL1277" s="60" t="str">
        <f aca="false">IF(AT1277&lt;=0,"",IF(CG1277="Aussen","Aussenlager",IF(CG1277="-","Nicht im Lift",IF(AZ1277&gt;=1,"Lift",IF(AZ1277&lt;=0,"Aussenlager","teilweise")))))</f>
        <v>Lift</v>
      </c>
      <c r="BM1277" s="60" t="str">
        <f aca="false">IF(BD1277&lt;=0,"",IF(CG1277="Aussen","Aussenlager",IF(CG1277="-","Nicht im Lift",IF(BJ1277&gt;=1,"Lift",IF(BJ1277&lt;=0,"Aussenlager","teilweise")))))</f>
        <v>Lift</v>
      </c>
      <c r="BN1277" s="60" t="str">
        <f aca="false">IF(A1277="","",IF(BW1277=1,"Neu; ","")&amp;IF(AND(BW1277=0,BR1277&lt;0),"negativer Bestand (Export "&amp;BR1277&amp;"); ","")&amp;IF(J1277&lt;=0,"Kein Verbrauch; ","")&amp;IF(CR1277&gt;0,"Lift "&amp;W1277&amp;" lt. Liftbericht (Fach "&amp;X1277&amp;" Stk); ",IF(CB1277=1,"Gebinde geschätzt ("&amp;T1277&amp;"); ",IF(CA1277=1,"Lose – Tablare geschätzt; ","")))&amp;IF(H1277&gt;AW1277,"Überbestand "&amp;ROUND(H1277-AW1277,0)&amp;" Stk / CHF "&amp;ROUND((H1277-AW1277)*G1277,0)&amp;"; ","")&amp;IF(AND(CI1277=1,CJ1277&lt;CK1277),"MAX &lt; MB+LG; ","")&amp;IF(AND(CQ1277&gt;0,CP1277*10&gt;CQ1277),"zu hoch für Tablar; ","")&amp;IF(AND(BW1277=0,OR(CI1277=1,AB1277&lt;&gt;"",U1277&lt;&gt;"",V1277&lt;&gt;"",AC1277&lt;&gt;"")),"manuell übersteuert; ","")&amp;IF(AND(CA1277=0,R1277=0),"Gebinde unbekannt / Stellmass fehlt; ","")&amp;IF(AND(CA1277=0,N(V1277)&lt;=0,N(Q1277)&lt;=0),"Menge pro Gebinde fehlt (Ist = 1 Gebinde); ","")&amp;BV1277)</f>
        <v>negativer Bestand (Export -2); Gebinde geschätzt (Mittel); Menge pro Gebinde fehlt (Ist = 1 Gebinde); </v>
      </c>
      <c r="BO1277" s="60"/>
      <c r="BP1277" s="60"/>
      <c r="BQ1277" s="67"/>
      <c r="BR1277" s="62" t="n">
        <v>-2</v>
      </c>
      <c r="BS1277" s="62" t="n">
        <v>2</v>
      </c>
      <c r="BT1277" s="61" t="n">
        <v>-996</v>
      </c>
      <c r="BU1277" s="62" t="n">
        <v>2</v>
      </c>
      <c r="BV1277" s="60"/>
      <c r="BW1277" s="65" t="n">
        <v>0</v>
      </c>
      <c r="BX1277" s="65" t="n">
        <v>1277</v>
      </c>
      <c r="BY1277" s="60" t="str">
        <f aca="false">IF(U1277&lt;&gt;"",UPPER(TRIM(U1277)),IF(CB1277=1,UPPER(VLOOKUP(T1277,Parameter!$I$27:$K$29,2,0)),IF(P1277="","LOSE",P1277)))</f>
        <v>S61</v>
      </c>
      <c r="BZ1277" s="62" t="n">
        <f aca="false">IF(BY1277="LOSE",1,IF(N(V1277)&gt;0,V1277,IF(CB1277=1,MAX(1,N(VLOOKUP(T1277,Parameter!$I$27:$K$29,3,0)),H1277,N(N1277)),IF(N(Q1277)&gt;0,Q1277,MAX(1,H1277)))))</f>
        <v>4</v>
      </c>
      <c r="CA1277" s="65" t="n">
        <f aca="false">IF(BY1277="LOSE",1,0)</f>
        <v>0</v>
      </c>
      <c r="CB1277" s="65" t="n">
        <f aca="false">IF(AND(U1277="",OR(P1277="",P1277="LOSE"),T1277&lt;&gt;"",N(S1277)&lt;=0,ISNUMBER(MATCH(T1277,Parameter!$I$27:$I$29,0))),1,0)</f>
        <v>1</v>
      </c>
      <c r="CC1277" s="65" t="n">
        <f aca="false">IF(CR1277&gt;0,INDEX(Parameter!$H$5:$H$7,W1277)/INDEX(Parameter!$E$5:$E$7,W1277),IF(AND(CA1277=0,N(IFERROR(VLOOKUP(BY1277,'Gebinde-Kategorie'!$A$5:$N$45,14,0),0))&gt;0),VLOOKUP(BY1277,'Gebinde-Kategorie'!$A$5:$N$45,14,0)*10+Parameter!$M$23,Parameter!$M$24))</f>
        <v>145</v>
      </c>
      <c r="CD1277" s="60" t="str">
        <f aca="false">IF(AND(Parameter!$B$19="Ja",E1277&lt;&gt;"",ISNUMBER(MATCH(E1277,Parameter!$I$35:$I$52,0))),VLOOKUP(E1277,Parameter!$I$35:$J$52,2,0),IFERROR(VLOOKUP(D1277,Parameter!$A$35:$C$64,2,0),"Nein"))</f>
        <v>2+3</v>
      </c>
      <c r="CE1277" s="64" t="n">
        <f aca="false">IF(CA1277=0,0,IF(N(S1277)&gt;0,S1277,IFERROR(VLOOKUP(D1277,Parameter!$A$35:$C$64,3,0)+0,0)))</f>
        <v>0</v>
      </c>
      <c r="CF1277" s="60" t="n">
        <f aca="false">IF(AB1277&lt;&gt;"",AB1277,AA1277)</f>
        <v>3</v>
      </c>
      <c r="CG1277" s="60" t="str">
        <f aca="false">IF(OR(CF1277=1,CF1277=2,CF1277=3),IF(Parameter!$E$27="Ja","LIFT",IF(CF1277=1,"L1","L23")),IF(CF1277="Aussen","Aussen","-"))</f>
        <v>LIFT</v>
      </c>
      <c r="CH1277" s="71" t="n">
        <f aca="false">IF(N(AC1277)&gt;0,AC1277,0)</f>
        <v>0</v>
      </c>
      <c r="CI1277" s="65" t="n">
        <f aca="false">IF(ISNUMBER(AF1277),1,0)</f>
        <v>0</v>
      </c>
      <c r="CJ1277" s="62" t="n">
        <f aca="false">N(AF1277)</f>
        <v>0</v>
      </c>
      <c r="CK1277" s="62" t="n">
        <f aca="false">N(M1277)+N(N1277)</f>
        <v>1</v>
      </c>
      <c r="CL1277" s="62" t="n">
        <f aca="false">N(M1277)</f>
        <v>0</v>
      </c>
      <c r="CM1277" s="62" t="n">
        <f aca="false">N(N1277)</f>
        <v>1</v>
      </c>
      <c r="CN1277" s="62" t="n">
        <f aca="false">ROUNDUP(H1277/BZ1277,0)</f>
        <v>0</v>
      </c>
      <c r="CO1277" s="62" t="n">
        <f aca="false">ROUNDUP(CJ1277/BZ1277,0)</f>
        <v>0</v>
      </c>
      <c r="CP1277" s="65" t="n">
        <f aca="false">IF(CA1277=1,0,IFERROR(VLOOKUP(BY1277,'Gebinde-Kategorie'!$A$5:$N$45,5,0)+0,0))</f>
        <v>11</v>
      </c>
      <c r="CQ1277" s="65" t="n">
        <f aca="false">IFERROR(IF(OR(CF1277=1,CF1277=2,CF1277=3),N(INDEX(Parameter!$I$5:$I$7,CF1277)),0),0)</f>
        <v>0</v>
      </c>
      <c r="CR1277" s="64" t="n">
        <f aca="false">IF(AND(Parameter!$B$21="Ja",ISNUMBER(W1277),N(X1277)&gt;0),IFERROR(N(INDEX(Parameter!$L$5:$L$7,W1277))*INDEX(Parameter!$E$5:$E$7,W1277)*X1277/SUMIFS($X$7:$X$1843,$W$7:$W$1843,W1277),0),0)</f>
        <v>0</v>
      </c>
      <c r="CS1277" s="62" t="str">
        <f aca="false">IF(AND(OR(CG1277="L1",CG1277="L23",CG1277="LIFT"),H1277&gt;0),CC1277*IF(CR1277&gt;0,CR1277*MAX(1,H1277/X1277),IF(CA1277=1,CE1277,IF(R1277&gt;0,CN1277/R1277,0))/MAX(0.1,N(Parameter!$M$21))),"")</f>
        <v/>
      </c>
      <c r="CT1277" s="64" t="str">
        <f aca="false">IF(CS1277="","",J1277/H1277)</f>
        <v/>
      </c>
      <c r="CU1277" s="62" t="str">
        <f aca="false">IF(CS1277="","",H1277*G1277)</f>
        <v/>
      </c>
      <c r="CV1277" s="63" t="str">
        <f aca="false">IF(CS1277="","",(CL1277+ROUNDUP(CL1277+MAX(CM1277,2*(J1277/MAX(0.1,N(Einkauf!$C$6))-CL1277)),0))/2)</f>
        <v/>
      </c>
      <c r="CW1277" s="62" t="str">
        <f aca="false">IF(CS1277="","",MAX(0,H1277-CV1277)*G1277)</f>
        <v/>
      </c>
      <c r="CX1277" s="62" t="str">
        <f aca="false">IF(CS1277="","",CS1277*MAX(0,1-CV1277/H1277))</f>
        <v/>
      </c>
      <c r="CY1277" s="64" t="str">
        <f aca="false">IF(CS1277="","",PERCENTRANK($CS$7:$CS$1843,CS1277)+PERCENTRANK($CU$7:$CU$1843,CU1277)+1-PERCENTRANK($CT$7:$CT$1843,CT1277))</f>
        <v/>
      </c>
      <c r="CZ1277" s="72" t="str">
        <f aca="false">IF(CS1277="","",CHOOSE(MATCH(Einkauf!$C$5,Parameter!$G$23:$G$27,0),CY1277,CS1277,CU1277,-CT1277,CW1277)+ROW()/1000000000)</f>
        <v/>
      </c>
    </row>
    <row r="1278" customFormat="false" ht="15" hidden="false" customHeight="false" outlineLevel="0" collapsed="false">
      <c r="A1278" s="60" t="s">
        <v>2326</v>
      </c>
      <c r="B1278" s="60" t="s">
        <v>2001</v>
      </c>
      <c r="C1278" s="60" t="s">
        <v>206</v>
      </c>
      <c r="D1278" s="60" t="s">
        <v>215</v>
      </c>
      <c r="E1278" s="60" t="s">
        <v>227</v>
      </c>
      <c r="F1278" s="60" t="s">
        <v>260</v>
      </c>
      <c r="G1278" s="61" t="n">
        <v>168</v>
      </c>
      <c r="H1278" s="62" t="n">
        <f aca="false">MAX(0,IF(AND(Parameter!$B$21="Ja",ISNUMBER(Y1278)),Y1278,IF(Parameter!$B$20="Jahresanfang 2025 + Export",BS1278+BR1278,BR1278)))</f>
        <v>18</v>
      </c>
      <c r="I1278" s="62" t="n">
        <f aca="false">H1278*G1278</f>
        <v>3024</v>
      </c>
      <c r="J1278" s="62" t="n">
        <f aca="false">BU1278*Parameter!$B$18</f>
        <v>2</v>
      </c>
      <c r="K1278" s="63" t="n">
        <v>22.5</v>
      </c>
      <c r="L1278" s="64" t="n">
        <v>0.0888888888888889</v>
      </c>
      <c r="M1278" s="62" t="n">
        <v>0</v>
      </c>
      <c r="N1278" s="62" t="n">
        <v>1</v>
      </c>
      <c r="O1278" s="65" t="n">
        <v>84</v>
      </c>
      <c r="P1278" s="60" t="s">
        <v>216</v>
      </c>
      <c r="Q1278" s="62" t="n">
        <v>12</v>
      </c>
      <c r="R1278" s="65" t="n">
        <f aca="false">IF(CA1278=1,0,IFERROR(VLOOKUP(BY1278,'Gebinde-Kategorie'!$A$5:$N$45,13,0)+0,0))</f>
        <v>6</v>
      </c>
      <c r="S1278" s="66"/>
      <c r="T1278" s="67"/>
      <c r="U1278" s="67"/>
      <c r="V1278" s="67"/>
      <c r="W1278" s="60"/>
      <c r="X1278" s="62"/>
      <c r="Y1278" s="62"/>
      <c r="Z1278" s="60" t="n">
        <v>2</v>
      </c>
      <c r="AA1278" s="60" t="n">
        <f aca="false">IF(A1278="","",IF(AND(Parameter!$B$21="Ja",ISNUMBER(W1278)),W1278,IF(AND(Parameter!$E$27="Ja",ISNUMBER(Z1278),CD1278&lt;&gt;"Nein"),Z1278,IF(CD1278="2+3",IF(ISNUMBER(SEARCH("grosser Artikel",BV1278)),2,IFERROR(VLOOKUP(BY1278,Parameter!$F$35:$G$64,2,0),2)),IF(OR(CD1278="Nein",CD1278=""),"-",CD1278)))))</f>
        <v>2</v>
      </c>
      <c r="AB1278" s="67"/>
      <c r="AC1278" s="68"/>
      <c r="AD1278" s="62" t="n">
        <f aca="false">AW1278</f>
        <v>2</v>
      </c>
      <c r="AE1278" s="62" t="n">
        <f aca="false">MAX(AW1278,H1278)</f>
        <v>18</v>
      </c>
      <c r="AF1278" s="69"/>
      <c r="AG1278" s="62" t="n">
        <f aca="false">IF(LEFT(Cockpit!$C$5,1)="A",H1278,IF(Parameter!$E$30="MAX-Bestand",IF(CI1278=1,CJ1278,IF(LEFT(Cockpit!$C$5,1)="B",AM1278,MAX(AM1278,H1278))),ROUNDUP(AK1278,0)))</f>
        <v>18</v>
      </c>
      <c r="AH1278" s="62" t="n">
        <f aca="false">IF(CA1278=1,0,ROUNDUP(AG1278/BZ1278,0))</f>
        <v>2</v>
      </c>
      <c r="AI1278" s="64" t="n">
        <f aca="false">IF(CR1278&gt;0,CR1278*MAX(1,AG1278/X1278),IF(CA1278=1,IF(AG1278&lt;=0,0,CE1278*MAX(1,IF(H1278&gt;0,AG1278/H1278,1))),IF(R1278&gt;0,AH1278/R1278,0))/MAX(0.1,N(Parameter!$M$21)))</f>
        <v>0.333333333333333</v>
      </c>
      <c r="AJ1278" s="62" t="n">
        <f aca="false">AI1278*CC1278</f>
        <v>78.3333333333333</v>
      </c>
      <c r="AK1278" s="63" t="n">
        <f aca="false">IF(LEFT(Cockpit!$C$5,1)="A",H1278,IF(CI1278=1,(CL1278+CJ1278)/2,IF(LEFT(Cockpit!$C$5,1)="B",(CL1278+AM1278)/2,MAX((CL1278+AM1278)/2,H1278))))</f>
        <v>18</v>
      </c>
      <c r="AL1278" s="62" t="n">
        <f aca="false">AK1278*G1278</f>
        <v>3024</v>
      </c>
      <c r="AM1278" s="62" t="n">
        <f aca="false">ROUNDUP(CL1278+MAX(CM1278,2*(J1278/IF(CH1278&gt;0,CH1278,MAX(0.1,N(Cockpit!$C$6)))-CL1278)),0)</f>
        <v>2</v>
      </c>
      <c r="AN1278" s="63" t="n">
        <f aca="false">IF(AJ1278&gt;0,J1278/AJ1278,-1)</f>
        <v>0.025531914893617</v>
      </c>
      <c r="AO1278" s="63" t="n">
        <f aca="false">IF(AND(OR(CG1278="L1",CG1278="L23",CG1278="LIFT"),AJ1278&gt;0),SUMIFS($AJ$7:$AJ$1843,$CG$7:$CG$1843,CG1278,$AN$7:$AN$1843,"&gt;"&amp;AN1278)+SUMIFS($AJ$7:$AJ$1843,$CG$7:$CG$1843,CG1278,$AN$7:$AN$1843,AN1278,$BX$7:$BX$1843,"&lt;="&amp;BX1278),"")</f>
        <v>21925.4437382298</v>
      </c>
      <c r="AP1278" s="70" t="n">
        <f aca="false">IF(AO1278="",0,MAX(0,MIN(1,(IF(CG1278="L1",Parameter!$H$5,IF(CG1278="L23",Parameter!$H$6+Parameter!$H$7,Parameter!$H$5+Parameter!$H$6+Parameter!$H$7))-(AO1278-AJ1278))/AJ1278)))</f>
        <v>1</v>
      </c>
      <c r="AQ1278" s="62" t="n">
        <f aca="false">IF(LEFT(Cockpit!$I$5,1)="A",H1278,IF(Parameter!$E$30="MAX-Bestand",IF(CI1278=1,CJ1278,IF(LEFT(Cockpit!$I$5,1)="B",AW1278,MAX(AW1278,H1278))),ROUNDUP(AU1278,0)))</f>
        <v>18</v>
      </c>
      <c r="AR1278" s="62" t="n">
        <f aca="false">IF(CA1278=1,0,ROUNDUP(AQ1278/BZ1278,0))</f>
        <v>2</v>
      </c>
      <c r="AS1278" s="64" t="n">
        <f aca="false">IF(CR1278&gt;0,CR1278*MAX(1,AQ1278/X1278),IF(CA1278=1,IF(AQ1278&lt;=0,0,CE1278*MAX(1,IF(H1278&gt;0,AQ1278/H1278,1))),IF(R1278&gt;0,AR1278/R1278,0))/MAX(0.1,N(Parameter!$M$21)))</f>
        <v>0.333333333333333</v>
      </c>
      <c r="AT1278" s="62" t="n">
        <f aca="false">AS1278*CC1278</f>
        <v>78.3333333333333</v>
      </c>
      <c r="AU1278" s="63" t="n">
        <f aca="false">IF(LEFT(Cockpit!$I$5,1)="A",H1278,IF(CI1278=1,(CL1278+CJ1278)/2,IF(LEFT(Cockpit!$I$5,1)="B",(CL1278+AW1278)/2,MAX((CL1278+AW1278)/2,H1278))))</f>
        <v>18</v>
      </c>
      <c r="AV1278" s="62" t="n">
        <f aca="false">AU1278*G1278</f>
        <v>3024</v>
      </c>
      <c r="AW1278" s="62" t="n">
        <f aca="false">ROUNDUP(CL1278+MAX(CM1278,2*(J1278/IF(CH1278&gt;0,CH1278,MAX(0.1,N(Cockpit!$I$6)))-CL1278)),0)</f>
        <v>2</v>
      </c>
      <c r="AX1278" s="63" t="n">
        <f aca="false">IF(AT1278&gt;0,J1278/AT1278,-1)</f>
        <v>0.025531914893617</v>
      </c>
      <c r="AY1278" s="63" t="n">
        <f aca="false">IF(AND(OR(CG1278="L1",CG1278="L23",CG1278="LIFT"),AT1278&gt;0),SUMIFS($AT$7:$AT$1843,$CG$7:$CG$1843,CG1278,$AX$7:$AX$1843,"&gt;"&amp;AX1278)+SUMIFS($AT$7:$AT$1843,$CG$7:$CG$1843,CG1278,$AX$7:$AX$1843,AX1278,$BX$7:$BX$1843,"&lt;="&amp;BX1278),"")</f>
        <v>27043.5923796072</v>
      </c>
      <c r="AZ1278" s="70" t="n">
        <f aca="false">IF(AY1278="",0,MAX(0,MIN(1,(IF(CG1278="L1",Parameter!$H$5,IF(CG1278="L23",Parameter!$H$6+Parameter!$H$7,Parameter!$H$5+Parameter!$H$6+Parameter!$H$7))-(AY1278-AT1278))/AT1278)))</f>
        <v>1</v>
      </c>
      <c r="BA1278" s="62" t="n">
        <f aca="false">IF(LEFT(Cockpit!$O$5,1)="A",H1278,IF(Parameter!$E$30="MAX-Bestand",IF(CI1278=1,CJ1278,IF(LEFT(Cockpit!$O$5,1)="B",BG1278,MAX(BG1278,H1278))),ROUNDUP(BE1278,0)))</f>
        <v>1</v>
      </c>
      <c r="BB1278" s="62" t="n">
        <f aca="false">IF(CA1278=1,0,ROUNDUP(BA1278/BZ1278,0))</f>
        <v>1</v>
      </c>
      <c r="BC1278" s="64" t="n">
        <f aca="false">IF(CR1278&gt;0,CR1278*MAX(1,BA1278/X1278),IF(CA1278=1,IF(BA1278&lt;=0,0,CE1278*MAX(1,IF(H1278&gt;0,BA1278/H1278,1))),IF(R1278&gt;0,BB1278/R1278,0))/MAX(0.1,N(Parameter!$M$21)))</f>
        <v>0.166666666666667</v>
      </c>
      <c r="BD1278" s="62" t="n">
        <f aca="false">BC1278*CC1278</f>
        <v>39.1666666666667</v>
      </c>
      <c r="BE1278" s="63" t="n">
        <f aca="false">IF(LEFT(Cockpit!$O$5,1)="A",H1278,IF(CI1278=1,(CL1278+CJ1278)/2,IF(LEFT(Cockpit!$O$5,1)="B",(CL1278+BG1278)/2,MAX((CL1278+BG1278)/2,H1278))))</f>
        <v>0.5</v>
      </c>
      <c r="BF1278" s="62" t="n">
        <f aca="false">BE1278*G1278</f>
        <v>84</v>
      </c>
      <c r="BG1278" s="62" t="n">
        <f aca="false">ROUNDUP(CL1278+MAX(CM1278,2*(J1278/IF(CH1278&gt;0,CH1278,MAX(0.1,N(Cockpit!$O$6)))-CL1278)),0)</f>
        <v>1</v>
      </c>
      <c r="BH1278" s="63" t="n">
        <f aca="false">IF(BD1278&gt;0,J1278/BD1278,-1)</f>
        <v>0.0510638297872341</v>
      </c>
      <c r="BI1278" s="63" t="n">
        <f aca="false">IF(AND(OR(CG1278="L1",CG1278="L23",CG1278="LIFT"),BD1278&gt;0),SUMIFS($BD$7:$BD$1843,$CG$7:$CG$1843,CG1278,$BH$7:$BH$1843,"&gt;"&amp;BH1278)+SUMIFS($BD$7:$BD$1843,$CG$7:$CG$1843,CG1278,$BH$7:$BH$1843,BH1278,$BX$7:$BX$1843,"&lt;="&amp;BX1278),"")</f>
        <v>20267.5429394052</v>
      </c>
      <c r="BJ1278" s="70" t="n">
        <f aca="false">IF(BI1278="",0,MAX(0,MIN(1,(IF(CG1278="L1",Parameter!$H$5,IF(CG1278="L23",Parameter!$H$6+Parameter!$H$7,Parameter!$H$5+Parameter!$H$6+Parameter!$H$7))-(BI1278-BD1278))/BD1278)))</f>
        <v>1</v>
      </c>
      <c r="BK1278" s="60" t="str">
        <f aca="false">IF(AJ1278&lt;=0,"",IF(CG1278="Aussen","Aussenlager",IF(CG1278="-","Nicht im Lift",IF(AP1278&gt;=1,"Lift",IF(AP1278&lt;=0,"Aussenlager","teilweise")))))</f>
        <v>Lift</v>
      </c>
      <c r="BL1278" s="60" t="str">
        <f aca="false">IF(AT1278&lt;=0,"",IF(CG1278="Aussen","Aussenlager",IF(CG1278="-","Nicht im Lift",IF(AZ1278&gt;=1,"Lift",IF(AZ1278&lt;=0,"Aussenlager","teilweise")))))</f>
        <v>Lift</v>
      </c>
      <c r="BM1278" s="60" t="str">
        <f aca="false">IF(BD1278&lt;=0,"",IF(CG1278="Aussen","Aussenlager",IF(CG1278="-","Nicht im Lift",IF(BJ1278&gt;=1,"Lift",IF(BJ1278&lt;=0,"Aussenlager","teilweise")))))</f>
        <v>Lift</v>
      </c>
      <c r="BN1278" s="60" t="str">
        <f aca="false">IF(A1278="","",IF(BW1278=1,"Neu; ","")&amp;IF(AND(BW1278=0,BR1278&lt;0),"negativer Bestand (Export "&amp;BR1278&amp;"); ","")&amp;IF(J1278&lt;=0,"Kein Verbrauch; ","")&amp;IF(CR1278&gt;0,"Lift "&amp;W1278&amp;" lt. Liftbericht (Fach "&amp;X1278&amp;" Stk); ",IF(CB1278=1,"Gebinde geschätzt ("&amp;T1278&amp;"); ",IF(CA1278=1,"Lose – Tablare geschätzt; ","")))&amp;IF(H1278&gt;AW1278,"Überbestand "&amp;ROUND(H1278-AW1278,0)&amp;" Stk / CHF "&amp;ROUND((H1278-AW1278)*G1278,0)&amp;"; ","")&amp;IF(AND(CI1278=1,CJ1278&lt;CK1278),"MAX &lt; MB+LG; ","")&amp;IF(AND(CQ1278&gt;0,CP1278*10&gt;CQ1278),"zu hoch für Tablar; ","")&amp;IF(AND(BW1278=0,OR(CI1278=1,AB1278&lt;&gt;"",U1278&lt;&gt;"",V1278&lt;&gt;"",AC1278&lt;&gt;"")),"manuell übersteuert; ","")&amp;IF(AND(CA1278=0,R1278=0),"Gebinde unbekannt / Stellmass fehlt; ","")&amp;IF(AND(CA1278=0,N(V1278)&lt;=0,N(Q1278)&lt;=0),"Menge pro Gebinde fehlt (Ist = 1 Gebinde); ","")&amp;BV1278)</f>
        <v>negativer Bestand (Export -6); Überbestand 16 Stk / CHF 2688; Überbestand; grosser Artikel &amp; nicht im KTL</v>
      </c>
      <c r="BO1278" s="60"/>
      <c r="BP1278" s="60"/>
      <c r="BQ1278" s="67"/>
      <c r="BR1278" s="62" t="n">
        <v>-6</v>
      </c>
      <c r="BS1278" s="62" t="n">
        <v>24</v>
      </c>
      <c r="BT1278" s="61" t="n">
        <v>-1008</v>
      </c>
      <c r="BU1278" s="62" t="n">
        <v>2</v>
      </c>
      <c r="BV1278" s="60" t="s">
        <v>401</v>
      </c>
      <c r="BW1278" s="65" t="n">
        <v>0</v>
      </c>
      <c r="BX1278" s="65" t="n">
        <v>1278</v>
      </c>
      <c r="BY1278" s="60" t="str">
        <f aca="false">IF(U1278&lt;&gt;"",UPPER(TRIM(U1278)),IF(CB1278=1,UPPER(VLOOKUP(T1278,Parameter!$I$27:$K$29,2,0)),IF(P1278="","LOSE",P1278)))</f>
        <v>S71</v>
      </c>
      <c r="BZ1278" s="62" t="n">
        <f aca="false">IF(BY1278="LOSE",1,IF(N(V1278)&gt;0,V1278,IF(CB1278=1,MAX(1,N(VLOOKUP(T1278,Parameter!$I$27:$K$29,3,0)),H1278,N(N1278)),IF(N(Q1278)&gt;0,Q1278,MAX(1,H1278)))))</f>
        <v>12</v>
      </c>
      <c r="CA1278" s="65" t="n">
        <f aca="false">IF(BY1278="LOSE",1,0)</f>
        <v>0</v>
      </c>
      <c r="CB1278" s="65" t="n">
        <f aca="false">IF(AND(U1278="",OR(P1278="",P1278="LOSE"),T1278&lt;&gt;"",N(S1278)&lt;=0,ISNUMBER(MATCH(T1278,Parameter!$I$27:$I$29,0))),1,0)</f>
        <v>0</v>
      </c>
      <c r="CC1278" s="65" t="n">
        <f aca="false">IF(CR1278&gt;0,INDEX(Parameter!$H$5:$H$7,W1278)/INDEX(Parameter!$E$5:$E$7,W1278),IF(AND(CA1278=0,N(IFERROR(VLOOKUP(BY1278,'Gebinde-Kategorie'!$A$5:$N$45,14,0),0))&gt;0),VLOOKUP(BY1278,'Gebinde-Kategorie'!$A$5:$N$45,14,0)*10+Parameter!$M$23,Parameter!$M$24))</f>
        <v>235</v>
      </c>
      <c r="CD1278" s="60" t="str">
        <f aca="false">IF(AND(Parameter!$B$19="Ja",E1278&lt;&gt;"",ISNUMBER(MATCH(E1278,Parameter!$I$35:$I$52,0))),VLOOKUP(E1278,Parameter!$I$35:$J$52,2,0),IFERROR(VLOOKUP(D1278,Parameter!$A$35:$C$64,2,0),"Nein"))</f>
        <v>2+3</v>
      </c>
      <c r="CE1278" s="64" t="n">
        <f aca="false">IF(CA1278=0,0,IF(N(S1278)&gt;0,S1278,IFERROR(VLOOKUP(D1278,Parameter!$A$35:$C$64,3,0)+0,0)))</f>
        <v>0</v>
      </c>
      <c r="CF1278" s="60" t="n">
        <f aca="false">IF(AB1278&lt;&gt;"",AB1278,AA1278)</f>
        <v>2</v>
      </c>
      <c r="CG1278" s="60" t="str">
        <f aca="false">IF(OR(CF1278=1,CF1278=2,CF1278=3),IF(Parameter!$E$27="Ja","LIFT",IF(CF1278=1,"L1","L23")),IF(CF1278="Aussen","Aussen","-"))</f>
        <v>LIFT</v>
      </c>
      <c r="CH1278" s="71" t="n">
        <f aca="false">IF(N(AC1278)&gt;0,AC1278,0)</f>
        <v>0</v>
      </c>
      <c r="CI1278" s="65" t="n">
        <f aca="false">IF(ISNUMBER(AF1278),1,0)</f>
        <v>0</v>
      </c>
      <c r="CJ1278" s="62" t="n">
        <f aca="false">N(AF1278)</f>
        <v>0</v>
      </c>
      <c r="CK1278" s="62" t="n">
        <f aca="false">N(M1278)+N(N1278)</f>
        <v>1</v>
      </c>
      <c r="CL1278" s="62" t="n">
        <f aca="false">N(M1278)</f>
        <v>0</v>
      </c>
      <c r="CM1278" s="62" t="n">
        <f aca="false">N(N1278)</f>
        <v>1</v>
      </c>
      <c r="CN1278" s="62" t="n">
        <f aca="false">ROUNDUP(H1278/BZ1278,0)</f>
        <v>2</v>
      </c>
      <c r="CO1278" s="62" t="n">
        <f aca="false">ROUNDUP(CJ1278/BZ1278,0)</f>
        <v>0</v>
      </c>
      <c r="CP1278" s="65" t="n">
        <f aca="false">IF(CA1278=1,0,IFERROR(VLOOKUP(BY1278,'Gebinde-Kategorie'!$A$5:$N$45,5,0)+0,0))</f>
        <v>20</v>
      </c>
      <c r="CQ1278" s="65" t="n">
        <f aca="false">IFERROR(IF(OR(CF1278=1,CF1278=2,CF1278=3),N(INDEX(Parameter!$I$5:$I$7,CF1278)),0),0)</f>
        <v>0</v>
      </c>
      <c r="CR1278" s="64" t="n">
        <f aca="false">IF(AND(Parameter!$B$21="Ja",ISNUMBER(W1278),N(X1278)&gt;0),IFERROR(N(INDEX(Parameter!$L$5:$L$7,W1278))*INDEX(Parameter!$E$5:$E$7,W1278)*X1278/SUMIFS($X$7:$X$1843,$W$7:$W$1843,W1278),0),0)</f>
        <v>0</v>
      </c>
      <c r="CS1278" s="62" t="n">
        <f aca="false">IF(AND(OR(CG1278="L1",CG1278="L23",CG1278="LIFT"),H1278&gt;0),CC1278*IF(CR1278&gt;0,CR1278*MAX(1,H1278/X1278),IF(CA1278=1,CE1278,IF(R1278&gt;0,CN1278/R1278,0))/MAX(0.1,N(Parameter!$M$21))),"")</f>
        <v>78.3333333333333</v>
      </c>
      <c r="CT1278" s="64" t="n">
        <f aca="false">IF(CS1278="","",J1278/H1278)</f>
        <v>0.111111111111111</v>
      </c>
      <c r="CU1278" s="62" t="n">
        <f aca="false">IF(CS1278="","",H1278*G1278)</f>
        <v>3024</v>
      </c>
      <c r="CV1278" s="63" t="n">
        <f aca="false">IF(CS1278="","",(CL1278+ROUNDUP(CL1278+MAX(CM1278,2*(J1278/MAX(0.1,N(Einkauf!$C$6))-CL1278)),0))/2)</f>
        <v>0.5</v>
      </c>
      <c r="CW1278" s="62" t="n">
        <f aca="false">IF(CS1278="","",MAX(0,H1278-CV1278)*G1278)</f>
        <v>2940</v>
      </c>
      <c r="CX1278" s="62" t="n">
        <f aca="false">IF(CS1278="","",CS1278*MAX(0,1-CV1278/H1278))</f>
        <v>76.1574074074074</v>
      </c>
      <c r="CY1278" s="64" t="n">
        <f aca="false">IF(CS1278="","",PERCENTRANK($CS$7:$CS$1843,CS1278)+PERCENTRANK($CU$7:$CU$1843,CU1278)+1-PERCENTRANK($CT$7:$CT$1843,CT1278))</f>
        <v>2.347</v>
      </c>
      <c r="CZ1278" s="72" t="n">
        <f aca="false">IF(CS1278="","",CHOOSE(MATCH(Einkauf!$C$5,Parameter!$G$23:$G$27,0),CY1278,CS1278,CU1278,-CT1278,CW1278)+ROW()/1000000000)</f>
        <v>2.347001278</v>
      </c>
    </row>
    <row r="1279" customFormat="false" ht="15" hidden="false" customHeight="false" outlineLevel="0" collapsed="false">
      <c r="A1279" s="60" t="s">
        <v>2327</v>
      </c>
      <c r="B1279" s="60" t="s">
        <v>785</v>
      </c>
      <c r="C1279" s="60" t="s">
        <v>206</v>
      </c>
      <c r="D1279" s="60" t="s">
        <v>226</v>
      </c>
      <c r="E1279" s="60" t="s">
        <v>227</v>
      </c>
      <c r="F1279" s="60" t="s">
        <v>260</v>
      </c>
      <c r="G1279" s="61" t="n">
        <v>29.07</v>
      </c>
      <c r="H1279" s="62" t="n">
        <f aca="false">MAX(0,IF(AND(Parameter!$B$21="Ja",ISNUMBER(Y1279)),Y1279,IF(Parameter!$B$20="Jahresanfang 2025 + Export",BS1279+BR1279,BR1279)))</f>
        <v>33</v>
      </c>
      <c r="I1279" s="62" t="n">
        <f aca="false">H1279*G1279</f>
        <v>959.31</v>
      </c>
      <c r="J1279" s="62" t="n">
        <f aca="false">BU1279*Parameter!$B$18</f>
        <v>72</v>
      </c>
      <c r="K1279" s="63" t="n">
        <v>66.5</v>
      </c>
      <c r="L1279" s="64" t="n">
        <v>1.08270676691729</v>
      </c>
      <c r="M1279" s="62" t="n">
        <v>5</v>
      </c>
      <c r="N1279" s="62" t="n">
        <v>70</v>
      </c>
      <c r="O1279" s="65" t="n">
        <v>28</v>
      </c>
      <c r="P1279" s="60" t="s">
        <v>344</v>
      </c>
      <c r="Q1279" s="62" t="n">
        <v>12</v>
      </c>
      <c r="R1279" s="65" t="n">
        <f aca="false">IF(CA1279=1,0,IFERROR(VLOOKUP(BY1279,'Gebinde-Kategorie'!$A$5:$N$45,13,0)+0,0))</f>
        <v>26</v>
      </c>
      <c r="S1279" s="66"/>
      <c r="T1279" s="67"/>
      <c r="U1279" s="67"/>
      <c r="V1279" s="67"/>
      <c r="W1279" s="60"/>
      <c r="X1279" s="62"/>
      <c r="Y1279" s="62"/>
      <c r="Z1279" s="60" t="n">
        <v>3</v>
      </c>
      <c r="AA1279" s="60" t="n">
        <f aca="false">IF(A1279="","",IF(AND(Parameter!$B$21="Ja",ISNUMBER(W1279)),W1279,IF(AND(Parameter!$E$27="Ja",ISNUMBER(Z1279),CD1279&lt;&gt;"Nein"),Z1279,IF(CD1279="2+3",IF(ISNUMBER(SEARCH("grosser Artikel",BV1279)),2,IFERROR(VLOOKUP(BY1279,Parameter!$F$35:$G$64,2,0),2)),IF(OR(CD1279="Nein",CD1279=""),"-",CD1279)))))</f>
        <v>3</v>
      </c>
      <c r="AB1279" s="67"/>
      <c r="AC1279" s="68"/>
      <c r="AD1279" s="62" t="n">
        <f aca="false">AW1279</f>
        <v>75</v>
      </c>
      <c r="AE1279" s="62" t="n">
        <f aca="false">MAX(AW1279,H1279)</f>
        <v>75</v>
      </c>
      <c r="AF1279" s="69"/>
      <c r="AG1279" s="62" t="n">
        <f aca="false">IF(LEFT(Cockpit!$C$5,1)="A",H1279,IF(Parameter!$E$30="MAX-Bestand",IF(CI1279=1,CJ1279,IF(LEFT(Cockpit!$C$5,1)="B",AM1279,MAX(AM1279,H1279))),ROUNDUP(AK1279,0)))</f>
        <v>33</v>
      </c>
      <c r="AH1279" s="62" t="n">
        <f aca="false">IF(CA1279=1,0,ROUNDUP(AG1279/BZ1279,0))</f>
        <v>3</v>
      </c>
      <c r="AI1279" s="64" t="n">
        <f aca="false">IF(CR1279&gt;0,CR1279*MAX(1,AG1279/X1279),IF(CA1279=1,IF(AG1279&lt;=0,0,CE1279*MAX(1,IF(H1279&gt;0,AG1279/H1279,1))),IF(R1279&gt;0,AH1279/R1279,0))/MAX(0.1,N(Parameter!$M$21)))</f>
        <v>0.115384615384615</v>
      </c>
      <c r="AJ1279" s="62" t="n">
        <f aca="false">AI1279*CC1279</f>
        <v>17.8846153846154</v>
      </c>
      <c r="AK1279" s="63" t="n">
        <f aca="false">IF(LEFT(Cockpit!$C$5,1)="A",H1279,IF(CI1279=1,(CL1279+CJ1279)/2,IF(LEFT(Cockpit!$C$5,1)="B",(CL1279+AM1279)/2,MAX((CL1279+AM1279)/2,H1279))))</f>
        <v>33</v>
      </c>
      <c r="AL1279" s="62" t="n">
        <f aca="false">AK1279*G1279</f>
        <v>959.31</v>
      </c>
      <c r="AM1279" s="62" t="n">
        <f aca="false">ROUNDUP(CL1279+MAX(CM1279,2*(J1279/IF(CH1279&gt;0,CH1279,MAX(0.1,N(Cockpit!$C$6)))-CL1279)),0)</f>
        <v>75</v>
      </c>
      <c r="AN1279" s="63" t="n">
        <f aca="false">IF(AJ1279&gt;0,J1279/AJ1279,-1)</f>
        <v>4.0258064516129</v>
      </c>
      <c r="AO1279" s="63" t="n">
        <f aca="false">IF(AND(OR(CG1279="L1",CG1279="L23",CG1279="LIFT"),AJ1279&gt;0),SUMIFS($AJ$7:$AJ$1843,$CG$7:$CG$1843,CG1279,$AN$7:$AN$1843,"&gt;"&amp;AN1279)+SUMIFS($AJ$7:$AJ$1843,$CG$7:$CG$1843,CG1279,$AN$7:$AN$1843,AN1279,$BX$7:$BX$1843,"&lt;="&amp;BX1279),"")</f>
        <v>4389.98717948718</v>
      </c>
      <c r="AP1279" s="70" t="n">
        <f aca="false">IF(AO1279="",0,MAX(0,MIN(1,(IF(CG1279="L1",Parameter!$H$5,IF(CG1279="L23",Parameter!$H$6+Parameter!$H$7,Parameter!$H$5+Parameter!$H$6+Parameter!$H$7))-(AO1279-AJ1279))/AJ1279)))</f>
        <v>1</v>
      </c>
      <c r="AQ1279" s="62" t="n">
        <f aca="false">IF(LEFT(Cockpit!$I$5,1)="A",H1279,IF(Parameter!$E$30="MAX-Bestand",IF(CI1279=1,CJ1279,IF(LEFT(Cockpit!$I$5,1)="B",AW1279,MAX(AW1279,H1279))),ROUNDUP(AU1279,0)))</f>
        <v>40</v>
      </c>
      <c r="AR1279" s="62" t="n">
        <f aca="false">IF(CA1279=1,0,ROUNDUP(AQ1279/BZ1279,0))</f>
        <v>4</v>
      </c>
      <c r="AS1279" s="64" t="n">
        <f aca="false">IF(CR1279&gt;0,CR1279*MAX(1,AQ1279/X1279),IF(CA1279=1,IF(AQ1279&lt;=0,0,CE1279*MAX(1,IF(H1279&gt;0,AQ1279/H1279,1))),IF(R1279&gt;0,AR1279/R1279,0))/MAX(0.1,N(Parameter!$M$21)))</f>
        <v>0.153846153846154</v>
      </c>
      <c r="AT1279" s="62" t="n">
        <f aca="false">AS1279*CC1279</f>
        <v>23.8461538461538</v>
      </c>
      <c r="AU1279" s="63" t="n">
        <f aca="false">IF(LEFT(Cockpit!$I$5,1)="A",H1279,IF(CI1279=1,(CL1279+CJ1279)/2,IF(LEFT(Cockpit!$I$5,1)="B",(CL1279+AW1279)/2,MAX((CL1279+AW1279)/2,H1279))))</f>
        <v>40</v>
      </c>
      <c r="AV1279" s="62" t="n">
        <f aca="false">AU1279*G1279</f>
        <v>1162.8</v>
      </c>
      <c r="AW1279" s="62" t="n">
        <f aca="false">ROUNDUP(CL1279+MAX(CM1279,2*(J1279/IF(CH1279&gt;0,CH1279,MAX(0.1,N(Cockpit!$I$6)))-CL1279)),0)</f>
        <v>75</v>
      </c>
      <c r="AX1279" s="63" t="n">
        <f aca="false">IF(AT1279&gt;0,J1279/AT1279,-1)</f>
        <v>3.01935483870968</v>
      </c>
      <c r="AY1279" s="63" t="n">
        <f aca="false">IF(AND(OR(CG1279="L1",CG1279="L23",CG1279="LIFT"),AT1279&gt;0),SUMIFS($AT$7:$AT$1843,$CG$7:$CG$1843,CG1279,$AX$7:$AX$1843,"&gt;"&amp;AX1279)+SUMIFS($AT$7:$AT$1843,$CG$7:$CG$1843,CG1279,$AX$7:$AX$1843,AX1279,$BX$7:$BX$1843,"&lt;="&amp;BX1279),"")</f>
        <v>5943.31913919414</v>
      </c>
      <c r="AZ1279" s="70" t="n">
        <f aca="false">IF(AY1279="",0,MAX(0,MIN(1,(IF(CG1279="L1",Parameter!$H$5,IF(CG1279="L23",Parameter!$H$6+Parameter!$H$7,Parameter!$H$5+Parameter!$H$6+Parameter!$H$7))-(AY1279-AT1279))/AT1279)))</f>
        <v>1</v>
      </c>
      <c r="BA1279" s="62" t="n">
        <f aca="false">IF(LEFT(Cockpit!$O$5,1)="A",H1279,IF(Parameter!$E$30="MAX-Bestand",IF(CI1279=1,CJ1279,IF(LEFT(Cockpit!$O$5,1)="B",BG1279,MAX(BG1279,H1279))),ROUNDUP(BE1279,0)))</f>
        <v>40</v>
      </c>
      <c r="BB1279" s="62" t="n">
        <f aca="false">IF(CA1279=1,0,ROUNDUP(BA1279/BZ1279,0))</f>
        <v>4</v>
      </c>
      <c r="BC1279" s="64" t="n">
        <f aca="false">IF(CR1279&gt;0,CR1279*MAX(1,BA1279/X1279),IF(CA1279=1,IF(BA1279&lt;=0,0,CE1279*MAX(1,IF(H1279&gt;0,BA1279/H1279,1))),IF(R1279&gt;0,BB1279/R1279,0))/MAX(0.1,N(Parameter!$M$21)))</f>
        <v>0.153846153846154</v>
      </c>
      <c r="BD1279" s="62" t="n">
        <f aca="false">BC1279*CC1279</f>
        <v>23.8461538461538</v>
      </c>
      <c r="BE1279" s="63" t="n">
        <f aca="false">IF(LEFT(Cockpit!$O$5,1)="A",H1279,IF(CI1279=1,(CL1279+CJ1279)/2,IF(LEFT(Cockpit!$O$5,1)="B",(CL1279+BG1279)/2,MAX((CL1279+BG1279)/2,H1279))))</f>
        <v>40</v>
      </c>
      <c r="BF1279" s="62" t="n">
        <f aca="false">BE1279*G1279</f>
        <v>1162.8</v>
      </c>
      <c r="BG1279" s="62" t="n">
        <f aca="false">ROUNDUP(CL1279+MAX(CM1279,2*(J1279/IF(CH1279&gt;0,CH1279,MAX(0.1,N(Cockpit!$O$6)))-CL1279)),0)</f>
        <v>75</v>
      </c>
      <c r="BH1279" s="63" t="n">
        <f aca="false">IF(BD1279&gt;0,J1279/BD1279,-1)</f>
        <v>3.01935483870968</v>
      </c>
      <c r="BI1279" s="63" t="n">
        <f aca="false">IF(AND(OR(CG1279="L1",CG1279="L23",CG1279="LIFT"),BD1279&gt;0),SUMIFS($BD$7:$BD$1843,$CG$7:$CG$1843,CG1279,$BH$7:$BH$1843,"&gt;"&amp;BH1279)+SUMIFS($BD$7:$BD$1843,$CG$7:$CG$1843,CG1279,$BH$7:$BH$1843,BH1279,$BX$7:$BX$1843,"&lt;="&amp;BX1279),"")</f>
        <v>4806.06913919414</v>
      </c>
      <c r="BJ1279" s="70" t="n">
        <f aca="false">IF(BI1279="",0,MAX(0,MIN(1,(IF(CG1279="L1",Parameter!$H$5,IF(CG1279="L23",Parameter!$H$6+Parameter!$H$7,Parameter!$H$5+Parameter!$H$6+Parameter!$H$7))-(BI1279-BD1279))/BD1279)))</f>
        <v>1</v>
      </c>
      <c r="BK1279" s="60" t="str">
        <f aca="false">IF(AJ1279&lt;=0,"",IF(CG1279="Aussen","Aussenlager",IF(CG1279="-","Nicht im Lift",IF(AP1279&gt;=1,"Lift",IF(AP1279&lt;=0,"Aussenlager","teilweise")))))</f>
        <v>Lift</v>
      </c>
      <c r="BL1279" s="60" t="str">
        <f aca="false">IF(AT1279&lt;=0,"",IF(CG1279="Aussen","Aussenlager",IF(CG1279="-","Nicht im Lift",IF(AZ1279&gt;=1,"Lift",IF(AZ1279&lt;=0,"Aussenlager","teilweise")))))</f>
        <v>Lift</v>
      </c>
      <c r="BM1279" s="60" t="str">
        <f aca="false">IF(BD1279&lt;=0,"",IF(CG1279="Aussen","Aussenlager",IF(CG1279="-","Nicht im Lift",IF(BJ1279&gt;=1,"Lift",IF(BJ1279&lt;=0,"Aussenlager","teilweise")))))</f>
        <v>Lift</v>
      </c>
      <c r="BN1279" s="60" t="str">
        <f aca="false">IF(A1279="","",IF(BW1279=1,"Neu; ","")&amp;IF(AND(BW1279=0,BR1279&lt;0),"negativer Bestand (Export "&amp;BR1279&amp;"); ","")&amp;IF(J1279&lt;=0,"Kein Verbrauch; ","")&amp;IF(CR1279&gt;0,"Lift "&amp;W1279&amp;" lt. Liftbericht (Fach "&amp;X1279&amp;" Stk); ",IF(CB1279=1,"Gebinde geschätzt ("&amp;T1279&amp;"); ",IF(CA1279=1,"Lose – Tablare geschätzt; ","")))&amp;IF(H1279&gt;AW1279,"Überbestand "&amp;ROUND(H1279-AW1279,0)&amp;" Stk / CHF "&amp;ROUND((H1279-AW1279)*G1279,0)&amp;"; ","")&amp;IF(AND(CI1279=1,CJ1279&lt;CK1279),"MAX &lt; MB+LG; ","")&amp;IF(AND(CQ1279&gt;0,CP1279*10&gt;CQ1279),"zu hoch für Tablar; ","")&amp;IF(AND(BW1279=0,OR(CI1279=1,AB1279&lt;&gt;"",U1279&lt;&gt;"",V1279&lt;&gt;"",AC1279&lt;&gt;"")),"manuell übersteuert; ","")&amp;IF(AND(CA1279=0,R1279=0),"Gebinde unbekannt / Stellmass fehlt; ","")&amp;IF(AND(CA1279=0,N(V1279)&lt;=0,N(Q1279)&lt;=0),"Menge pro Gebinde fehlt (Ist = 1 Gebinde); ","")&amp;BV1279)</f>
        <v>negativer Bestand (Export -34); </v>
      </c>
      <c r="BO1279" s="60"/>
      <c r="BP1279" s="60"/>
      <c r="BQ1279" s="67"/>
      <c r="BR1279" s="62" t="n">
        <v>-34</v>
      </c>
      <c r="BS1279" s="62" t="n">
        <v>67</v>
      </c>
      <c r="BT1279" s="61" t="n">
        <v>-1008.48</v>
      </c>
      <c r="BU1279" s="62" t="n">
        <v>72</v>
      </c>
      <c r="BV1279" s="60"/>
      <c r="BW1279" s="65" t="n">
        <v>0</v>
      </c>
      <c r="BX1279" s="65" t="n">
        <v>1279</v>
      </c>
      <c r="BY1279" s="60" t="str">
        <f aca="false">IF(U1279&lt;&gt;"",UPPER(TRIM(U1279)),IF(CB1279=1,UPPER(VLOOKUP(T1279,Parameter!$I$27:$K$29,2,0)),IF(P1279="","LOSE",P1279)))</f>
        <v>S51</v>
      </c>
      <c r="BZ1279" s="62" t="n">
        <f aca="false">IF(BY1279="LOSE",1,IF(N(V1279)&gt;0,V1279,IF(CB1279=1,MAX(1,N(VLOOKUP(T1279,Parameter!$I$27:$K$29,3,0)),H1279,N(N1279)),IF(N(Q1279)&gt;0,Q1279,MAX(1,H1279)))))</f>
        <v>12</v>
      </c>
      <c r="CA1279" s="65" t="n">
        <f aca="false">IF(BY1279="LOSE",1,0)</f>
        <v>0</v>
      </c>
      <c r="CB1279" s="65" t="n">
        <f aca="false">IF(AND(U1279="",OR(P1279="",P1279="LOSE"),T1279&lt;&gt;"",N(S1279)&lt;=0,ISNUMBER(MATCH(T1279,Parameter!$I$27:$I$29,0))),1,0)</f>
        <v>0</v>
      </c>
      <c r="CC1279" s="65" t="n">
        <f aca="false">IF(CR1279&gt;0,INDEX(Parameter!$H$5:$H$7,W1279)/INDEX(Parameter!$E$5:$E$7,W1279),IF(AND(CA1279=0,N(IFERROR(VLOOKUP(BY1279,'Gebinde-Kategorie'!$A$5:$N$45,14,0),0))&gt;0),VLOOKUP(BY1279,'Gebinde-Kategorie'!$A$5:$N$45,14,0)*10+Parameter!$M$23,Parameter!$M$24))</f>
        <v>155</v>
      </c>
      <c r="CD1279" s="60" t="str">
        <f aca="false">IF(AND(Parameter!$B$19="Ja",E1279&lt;&gt;"",ISNUMBER(MATCH(E1279,Parameter!$I$35:$I$52,0))),VLOOKUP(E1279,Parameter!$I$35:$J$52,2,0),IFERROR(VLOOKUP(D1279,Parameter!$A$35:$C$64,2,0),"Nein"))</f>
        <v>2+3</v>
      </c>
      <c r="CE1279" s="64" t="n">
        <f aca="false">IF(CA1279=0,0,IF(N(S1279)&gt;0,S1279,IFERROR(VLOOKUP(D1279,Parameter!$A$35:$C$64,3,0)+0,0)))</f>
        <v>0</v>
      </c>
      <c r="CF1279" s="60" t="n">
        <f aca="false">IF(AB1279&lt;&gt;"",AB1279,AA1279)</f>
        <v>3</v>
      </c>
      <c r="CG1279" s="60" t="str">
        <f aca="false">IF(OR(CF1279=1,CF1279=2,CF1279=3),IF(Parameter!$E$27="Ja","LIFT",IF(CF1279=1,"L1","L23")),IF(CF1279="Aussen","Aussen","-"))</f>
        <v>LIFT</v>
      </c>
      <c r="CH1279" s="71" t="n">
        <f aca="false">IF(N(AC1279)&gt;0,AC1279,0)</f>
        <v>0</v>
      </c>
      <c r="CI1279" s="65" t="n">
        <f aca="false">IF(ISNUMBER(AF1279),1,0)</f>
        <v>0</v>
      </c>
      <c r="CJ1279" s="62" t="n">
        <f aca="false">N(AF1279)</f>
        <v>0</v>
      </c>
      <c r="CK1279" s="62" t="n">
        <f aca="false">N(M1279)+N(N1279)</f>
        <v>75</v>
      </c>
      <c r="CL1279" s="62" t="n">
        <f aca="false">N(M1279)</f>
        <v>5</v>
      </c>
      <c r="CM1279" s="62" t="n">
        <f aca="false">N(N1279)</f>
        <v>70</v>
      </c>
      <c r="CN1279" s="62" t="n">
        <f aca="false">ROUNDUP(H1279/BZ1279,0)</f>
        <v>3</v>
      </c>
      <c r="CO1279" s="62" t="n">
        <f aca="false">ROUNDUP(CJ1279/BZ1279,0)</f>
        <v>0</v>
      </c>
      <c r="CP1279" s="65" t="n">
        <f aca="false">IF(CA1279=1,0,IFERROR(VLOOKUP(BY1279,'Gebinde-Kategorie'!$A$5:$N$45,5,0)+0,0))</f>
        <v>11</v>
      </c>
      <c r="CQ1279" s="65" t="n">
        <f aca="false">IFERROR(IF(OR(CF1279=1,CF1279=2,CF1279=3),N(INDEX(Parameter!$I$5:$I$7,CF1279)),0),0)</f>
        <v>0</v>
      </c>
      <c r="CR1279" s="64" t="n">
        <f aca="false">IF(AND(Parameter!$B$21="Ja",ISNUMBER(W1279),N(X1279)&gt;0),IFERROR(N(INDEX(Parameter!$L$5:$L$7,W1279))*INDEX(Parameter!$E$5:$E$7,W1279)*X1279/SUMIFS($X$7:$X$1843,$W$7:$W$1843,W1279),0),0)</f>
        <v>0</v>
      </c>
      <c r="CS1279" s="62" t="n">
        <f aca="false">IF(AND(OR(CG1279="L1",CG1279="L23",CG1279="LIFT"),H1279&gt;0),CC1279*IF(CR1279&gt;0,CR1279*MAX(1,H1279/X1279),IF(CA1279=1,CE1279,IF(R1279&gt;0,CN1279/R1279,0))/MAX(0.1,N(Parameter!$M$21))),"")</f>
        <v>17.8846153846154</v>
      </c>
      <c r="CT1279" s="64" t="n">
        <f aca="false">IF(CS1279="","",J1279/H1279)</f>
        <v>2.18181818181818</v>
      </c>
      <c r="CU1279" s="62" t="n">
        <f aca="false">IF(CS1279="","",H1279*G1279)</f>
        <v>959.31</v>
      </c>
      <c r="CV1279" s="63" t="n">
        <f aca="false">IF(CS1279="","",(CL1279+ROUNDUP(CL1279+MAX(CM1279,2*(J1279/MAX(0.1,N(Einkauf!$C$6))-CL1279)),0))/2)</f>
        <v>40</v>
      </c>
      <c r="CW1279" s="62" t="n">
        <f aca="false">IF(CS1279="","",MAX(0,H1279-CV1279)*G1279)</f>
        <v>0</v>
      </c>
      <c r="CX1279" s="62" t="n">
        <f aca="false">IF(CS1279="","",CS1279*MAX(0,1-CV1279/H1279))</f>
        <v>0</v>
      </c>
      <c r="CY1279" s="64" t="n">
        <f aca="false">IF(CS1279="","",PERCENTRANK($CS$7:$CS$1843,CS1279)+PERCENTRANK($CU$7:$CU$1843,CU1279)+1-PERCENTRANK($CT$7:$CT$1843,CT1279))</f>
        <v>1.577</v>
      </c>
      <c r="CZ1279" s="72" t="n">
        <f aca="false">IF(CS1279="","",CHOOSE(MATCH(Einkauf!$C$5,Parameter!$G$23:$G$27,0),CY1279,CS1279,CU1279,-CT1279,CW1279)+ROW()/1000000000)</f>
        <v>1.577001279</v>
      </c>
    </row>
    <row r="1280" customFormat="false" ht="15" hidden="false" customHeight="false" outlineLevel="0" collapsed="false">
      <c r="A1280" s="60" t="s">
        <v>2328</v>
      </c>
      <c r="B1280" s="60" t="s">
        <v>640</v>
      </c>
      <c r="C1280" s="60" t="s">
        <v>206</v>
      </c>
      <c r="D1280" s="60" t="s">
        <v>226</v>
      </c>
      <c r="E1280" s="60" t="s">
        <v>227</v>
      </c>
      <c r="F1280" s="60" t="s">
        <v>260</v>
      </c>
      <c r="G1280" s="61" t="n">
        <v>36.23</v>
      </c>
      <c r="H1280" s="62" t="n">
        <f aca="false">MAX(0,IF(AND(Parameter!$B$21="Ja",ISNUMBER(Y1280)),Y1280,IF(Parameter!$B$20="Jahresanfang 2025 + Export",BS1280+BR1280,BR1280)))</f>
        <v>9</v>
      </c>
      <c r="I1280" s="62" t="n">
        <f aca="false">H1280*G1280</f>
        <v>326.07</v>
      </c>
      <c r="J1280" s="62" t="n">
        <f aca="false">BU1280*Parameter!$B$18</f>
        <v>37</v>
      </c>
      <c r="K1280" s="63" t="n">
        <v>40.5</v>
      </c>
      <c r="L1280" s="64" t="n">
        <v>0.91358024691358</v>
      </c>
      <c r="M1280" s="62" t="n">
        <v>1</v>
      </c>
      <c r="N1280" s="62" t="n">
        <v>35</v>
      </c>
      <c r="O1280" s="65" t="n">
        <v>14</v>
      </c>
      <c r="P1280" s="60" t="s">
        <v>518</v>
      </c>
      <c r="Q1280" s="62" t="n">
        <v>64</v>
      </c>
      <c r="R1280" s="65" t="n">
        <f aca="false">IF(CA1280=1,0,IFERROR(VLOOKUP(BY1280,'Gebinde-Kategorie'!$A$5:$N$45,13,0)+0,0))</f>
        <v>52</v>
      </c>
      <c r="S1280" s="66"/>
      <c r="T1280" s="67"/>
      <c r="U1280" s="67"/>
      <c r="V1280" s="67"/>
      <c r="W1280" s="60"/>
      <c r="X1280" s="62"/>
      <c r="Y1280" s="62"/>
      <c r="Z1280" s="60" t="n">
        <v>3</v>
      </c>
      <c r="AA1280" s="60" t="n">
        <f aca="false">IF(A1280="","",IF(AND(Parameter!$B$21="Ja",ISNUMBER(W1280)),W1280,IF(AND(Parameter!$E$27="Ja",ISNUMBER(Z1280),CD1280&lt;&gt;"Nein"),Z1280,IF(CD1280="2+3",IF(ISNUMBER(SEARCH("grosser Artikel",BV1280)),2,IFERROR(VLOOKUP(BY1280,Parameter!$F$35:$G$64,2,0),2)),IF(OR(CD1280="Nein",CD1280=""),"-",CD1280)))))</f>
        <v>3</v>
      </c>
      <c r="AB1280" s="67"/>
      <c r="AC1280" s="68"/>
      <c r="AD1280" s="62" t="n">
        <f aca="false">AW1280</f>
        <v>36</v>
      </c>
      <c r="AE1280" s="62" t="n">
        <f aca="false">MAX(AW1280,H1280)</f>
        <v>36</v>
      </c>
      <c r="AF1280" s="69"/>
      <c r="AG1280" s="62" t="n">
        <f aca="false">IF(LEFT(Cockpit!$C$5,1)="A",H1280,IF(Parameter!$E$30="MAX-Bestand",IF(CI1280=1,CJ1280,IF(LEFT(Cockpit!$C$5,1)="B",AM1280,MAX(AM1280,H1280))),ROUNDUP(AK1280,0)))</f>
        <v>9</v>
      </c>
      <c r="AH1280" s="62" t="n">
        <f aca="false">IF(CA1280=1,0,ROUNDUP(AG1280/BZ1280,0))</f>
        <v>1</v>
      </c>
      <c r="AI1280" s="64" t="n">
        <f aca="false">IF(CR1280&gt;0,CR1280*MAX(1,AG1280/X1280),IF(CA1280=1,IF(AG1280&lt;=0,0,CE1280*MAX(1,IF(H1280&gt;0,AG1280/H1280,1))),IF(R1280&gt;0,AH1280/R1280,0))/MAX(0.1,N(Parameter!$M$21)))</f>
        <v>0.0192307692307692</v>
      </c>
      <c r="AJ1280" s="62" t="n">
        <f aca="false">AI1280*CC1280</f>
        <v>2.98076923076923</v>
      </c>
      <c r="AK1280" s="63" t="n">
        <f aca="false">IF(LEFT(Cockpit!$C$5,1)="A",H1280,IF(CI1280=1,(CL1280+CJ1280)/2,IF(LEFT(Cockpit!$C$5,1)="B",(CL1280+AM1280)/2,MAX((CL1280+AM1280)/2,H1280))))</f>
        <v>9</v>
      </c>
      <c r="AL1280" s="62" t="n">
        <f aca="false">AK1280*G1280</f>
        <v>326.07</v>
      </c>
      <c r="AM1280" s="62" t="n">
        <f aca="false">ROUNDUP(CL1280+MAX(CM1280,2*(J1280/IF(CH1280&gt;0,CH1280,MAX(0.1,N(Cockpit!$C$6)))-CL1280)),0)</f>
        <v>36</v>
      </c>
      <c r="AN1280" s="63" t="n">
        <f aca="false">IF(AJ1280&gt;0,J1280/AJ1280,-1)</f>
        <v>12.4129032258065</v>
      </c>
      <c r="AO1280" s="63" t="n">
        <f aca="false">IF(AND(OR(CG1280="L1",CG1280="L23",CG1280="LIFT"),AJ1280&gt;0),SUMIFS($AJ$7:$AJ$1843,$CG$7:$CG$1843,CG1280,$AN$7:$AN$1843,"&gt;"&amp;AN1280)+SUMIFS($AJ$7:$AJ$1843,$CG$7:$CG$1843,CG1280,$AN$7:$AN$1843,AN1280,$BX$7:$BX$1843,"&lt;="&amp;BX1280),"")</f>
        <v>2501.45787545788</v>
      </c>
      <c r="AP1280" s="70" t="n">
        <f aca="false">IF(AO1280="",0,MAX(0,MIN(1,(IF(CG1280="L1",Parameter!$H$5,IF(CG1280="L23",Parameter!$H$6+Parameter!$H$7,Parameter!$H$5+Parameter!$H$6+Parameter!$H$7))-(AO1280-AJ1280))/AJ1280)))</f>
        <v>1</v>
      </c>
      <c r="AQ1280" s="62" t="n">
        <f aca="false">IF(LEFT(Cockpit!$I$5,1)="A",H1280,IF(Parameter!$E$30="MAX-Bestand",IF(CI1280=1,CJ1280,IF(LEFT(Cockpit!$I$5,1)="B",AW1280,MAX(AW1280,H1280))),ROUNDUP(AU1280,0)))</f>
        <v>19</v>
      </c>
      <c r="AR1280" s="62" t="n">
        <f aca="false">IF(CA1280=1,0,ROUNDUP(AQ1280/BZ1280,0))</f>
        <v>1</v>
      </c>
      <c r="AS1280" s="64" t="n">
        <f aca="false">IF(CR1280&gt;0,CR1280*MAX(1,AQ1280/X1280),IF(CA1280=1,IF(AQ1280&lt;=0,0,CE1280*MAX(1,IF(H1280&gt;0,AQ1280/H1280,1))),IF(R1280&gt;0,AR1280/R1280,0))/MAX(0.1,N(Parameter!$M$21)))</f>
        <v>0.0192307692307692</v>
      </c>
      <c r="AT1280" s="62" t="n">
        <f aca="false">AS1280*CC1280</f>
        <v>2.98076923076923</v>
      </c>
      <c r="AU1280" s="63" t="n">
        <f aca="false">IF(LEFT(Cockpit!$I$5,1)="A",H1280,IF(CI1280=1,(CL1280+CJ1280)/2,IF(LEFT(Cockpit!$I$5,1)="B",(CL1280+AW1280)/2,MAX((CL1280+AW1280)/2,H1280))))</f>
        <v>18.5</v>
      </c>
      <c r="AV1280" s="62" t="n">
        <f aca="false">AU1280*G1280</f>
        <v>670.255</v>
      </c>
      <c r="AW1280" s="62" t="n">
        <f aca="false">ROUNDUP(CL1280+MAX(CM1280,2*(J1280/IF(CH1280&gt;0,CH1280,MAX(0.1,N(Cockpit!$I$6)))-CL1280)),0)</f>
        <v>36</v>
      </c>
      <c r="AX1280" s="63" t="n">
        <f aca="false">IF(AT1280&gt;0,J1280/AT1280,-1)</f>
        <v>12.4129032258065</v>
      </c>
      <c r="AY1280" s="63" t="n">
        <f aca="false">IF(AND(OR(CG1280="L1",CG1280="L23",CG1280="LIFT"),AT1280&gt;0),SUMIFS($AT$7:$AT$1843,$CG$7:$CG$1843,CG1280,$AX$7:$AX$1843,"&gt;"&amp;AX1280)+SUMIFS($AT$7:$AT$1843,$CG$7:$CG$1843,CG1280,$AX$7:$AX$1843,AX1280,$BX$7:$BX$1843,"&lt;="&amp;BX1280),"")</f>
        <v>3090.836996337</v>
      </c>
      <c r="AZ1280" s="70" t="n">
        <f aca="false">IF(AY1280="",0,MAX(0,MIN(1,(IF(CG1280="L1",Parameter!$H$5,IF(CG1280="L23",Parameter!$H$6+Parameter!$H$7,Parameter!$H$5+Parameter!$H$6+Parameter!$H$7))-(AY1280-AT1280))/AT1280)))</f>
        <v>1</v>
      </c>
      <c r="BA1280" s="62" t="n">
        <f aca="false">IF(LEFT(Cockpit!$O$5,1)="A",H1280,IF(Parameter!$E$30="MAX-Bestand",IF(CI1280=1,CJ1280,IF(LEFT(Cockpit!$O$5,1)="B",BG1280,MAX(BG1280,H1280))),ROUNDUP(BE1280,0)))</f>
        <v>19</v>
      </c>
      <c r="BB1280" s="62" t="n">
        <f aca="false">IF(CA1280=1,0,ROUNDUP(BA1280/BZ1280,0))</f>
        <v>1</v>
      </c>
      <c r="BC1280" s="64" t="n">
        <f aca="false">IF(CR1280&gt;0,CR1280*MAX(1,BA1280/X1280),IF(CA1280=1,IF(BA1280&lt;=0,0,CE1280*MAX(1,IF(H1280&gt;0,BA1280/H1280,1))),IF(R1280&gt;0,BB1280/R1280,0))/MAX(0.1,N(Parameter!$M$21)))</f>
        <v>0.0192307692307692</v>
      </c>
      <c r="BD1280" s="62" t="n">
        <f aca="false">BC1280*CC1280</f>
        <v>2.98076923076923</v>
      </c>
      <c r="BE1280" s="63" t="n">
        <f aca="false">IF(LEFT(Cockpit!$O$5,1)="A",H1280,IF(CI1280=1,(CL1280+CJ1280)/2,IF(LEFT(Cockpit!$O$5,1)="B",(CL1280+BG1280)/2,MAX((CL1280+BG1280)/2,H1280))))</f>
        <v>18.5</v>
      </c>
      <c r="BF1280" s="62" t="n">
        <f aca="false">BE1280*G1280</f>
        <v>670.255</v>
      </c>
      <c r="BG1280" s="62" t="n">
        <f aca="false">ROUNDUP(CL1280+MAX(CM1280,2*(J1280/IF(CH1280&gt;0,CH1280,MAX(0.1,N(Cockpit!$O$6)))-CL1280)),0)</f>
        <v>36</v>
      </c>
      <c r="BH1280" s="63" t="n">
        <f aca="false">IF(BD1280&gt;0,J1280/BD1280,-1)</f>
        <v>12.4129032258065</v>
      </c>
      <c r="BI1280" s="63" t="n">
        <f aca="false">IF(AND(OR(CG1280="L1",CG1280="L23",CG1280="LIFT"),BD1280&gt;0),SUMIFS($BD$7:$BD$1843,$CG$7:$CG$1843,CG1280,$BH$7:$BH$1843,"&gt;"&amp;BH1280)+SUMIFS($BD$7:$BD$1843,$CG$7:$CG$1843,CG1280,$BH$7:$BH$1843,BH1280,$BX$7:$BX$1843,"&lt;="&amp;BX1280),"")</f>
        <v>2565.77106227106</v>
      </c>
      <c r="BJ1280" s="70" t="n">
        <f aca="false">IF(BI1280="",0,MAX(0,MIN(1,(IF(CG1280="L1",Parameter!$H$5,IF(CG1280="L23",Parameter!$H$6+Parameter!$H$7,Parameter!$H$5+Parameter!$H$6+Parameter!$H$7))-(BI1280-BD1280))/BD1280)))</f>
        <v>1</v>
      </c>
      <c r="BK1280" s="60" t="str">
        <f aca="false">IF(AJ1280&lt;=0,"",IF(CG1280="Aussen","Aussenlager",IF(CG1280="-","Nicht im Lift",IF(AP1280&gt;=1,"Lift",IF(AP1280&lt;=0,"Aussenlager","teilweise")))))</f>
        <v>Lift</v>
      </c>
      <c r="BL1280" s="60" t="str">
        <f aca="false">IF(AT1280&lt;=0,"",IF(CG1280="Aussen","Aussenlager",IF(CG1280="-","Nicht im Lift",IF(AZ1280&gt;=1,"Lift",IF(AZ1280&lt;=0,"Aussenlager","teilweise")))))</f>
        <v>Lift</v>
      </c>
      <c r="BM1280" s="60" t="str">
        <f aca="false">IF(BD1280&lt;=0,"",IF(CG1280="Aussen","Aussenlager",IF(CG1280="-","Nicht im Lift",IF(BJ1280&gt;=1,"Lift",IF(BJ1280&lt;=0,"Aussenlager","teilweise")))))</f>
        <v>Lift</v>
      </c>
      <c r="BN1280" s="60" t="str">
        <f aca="false">IF(A1280="","",IF(BW1280=1,"Neu; ","")&amp;IF(AND(BW1280=0,BR1280&lt;0),"negativer Bestand (Export "&amp;BR1280&amp;"); ","")&amp;IF(J1280&lt;=0,"Kein Verbrauch; ","")&amp;IF(CR1280&gt;0,"Lift "&amp;W1280&amp;" lt. Liftbericht (Fach "&amp;X1280&amp;" Stk); ",IF(CB1280=1,"Gebinde geschätzt ("&amp;T1280&amp;"); ",IF(CA1280=1,"Lose – Tablare geschätzt; ","")))&amp;IF(H1280&gt;AW1280,"Überbestand "&amp;ROUND(H1280-AW1280,0)&amp;" Stk / CHF "&amp;ROUND((H1280-AW1280)*G1280,0)&amp;"; ","")&amp;IF(AND(CI1280=1,CJ1280&lt;CK1280),"MAX &lt; MB+LG; ","")&amp;IF(AND(CQ1280&gt;0,CP1280*10&gt;CQ1280),"zu hoch für Tablar; ","")&amp;IF(AND(BW1280=0,OR(CI1280=1,AB1280&lt;&gt;"",U1280&lt;&gt;"",V1280&lt;&gt;"",AC1280&lt;&gt;"")),"manuell übersteuert; ","")&amp;IF(AND(CA1280=0,R1280=0),"Gebinde unbekannt / Stellmass fehlt; ","")&amp;IF(AND(CA1280=0,N(V1280)&lt;=0,N(Q1280)&lt;=0),"Menge pro Gebinde fehlt (Ist = 1 Gebinde); ","")&amp;BV1280)</f>
        <v>negativer Bestand (Export -30); </v>
      </c>
      <c r="BO1280" s="60"/>
      <c r="BP1280" s="60"/>
      <c r="BQ1280" s="67"/>
      <c r="BR1280" s="62" t="n">
        <v>-30</v>
      </c>
      <c r="BS1280" s="62" t="n">
        <v>39</v>
      </c>
      <c r="BT1280" s="61" t="n">
        <v>-1026.84</v>
      </c>
      <c r="BU1280" s="62" t="n">
        <v>37</v>
      </c>
      <c r="BV1280" s="60"/>
      <c r="BW1280" s="65" t="n">
        <v>0</v>
      </c>
      <c r="BX1280" s="65" t="n">
        <v>1280</v>
      </c>
      <c r="BY1280" s="60" t="str">
        <f aca="false">IF(U1280&lt;&gt;"",UPPER(TRIM(U1280)),IF(CB1280=1,UPPER(VLOOKUP(T1280,Parameter!$I$27:$K$29,2,0)),IF(P1280="","LOSE",P1280)))</f>
        <v>S33</v>
      </c>
      <c r="BZ1280" s="62" t="n">
        <f aca="false">IF(BY1280="LOSE",1,IF(N(V1280)&gt;0,V1280,IF(CB1280=1,MAX(1,N(VLOOKUP(T1280,Parameter!$I$27:$K$29,3,0)),H1280,N(N1280)),IF(N(Q1280)&gt;0,Q1280,MAX(1,H1280)))))</f>
        <v>64</v>
      </c>
      <c r="CA1280" s="65" t="n">
        <f aca="false">IF(BY1280="LOSE",1,0)</f>
        <v>0</v>
      </c>
      <c r="CB1280" s="65" t="n">
        <f aca="false">IF(AND(U1280="",OR(P1280="",P1280="LOSE"),T1280&lt;&gt;"",N(S1280)&lt;=0,ISNUMBER(MATCH(T1280,Parameter!$I$27:$I$29,0))),1,0)</f>
        <v>0</v>
      </c>
      <c r="CC1280" s="65" t="n">
        <f aca="false">IF(CR1280&gt;0,INDEX(Parameter!$H$5:$H$7,W1280)/INDEX(Parameter!$E$5:$E$7,W1280),IF(AND(CA1280=0,N(IFERROR(VLOOKUP(BY1280,'Gebinde-Kategorie'!$A$5:$N$45,14,0),0))&gt;0),VLOOKUP(BY1280,'Gebinde-Kategorie'!$A$5:$N$45,14,0)*10+Parameter!$M$23,Parameter!$M$24))</f>
        <v>155</v>
      </c>
      <c r="CD1280" s="60" t="str">
        <f aca="false">IF(AND(Parameter!$B$19="Ja",E1280&lt;&gt;"",ISNUMBER(MATCH(E1280,Parameter!$I$35:$I$52,0))),VLOOKUP(E1280,Parameter!$I$35:$J$52,2,0),IFERROR(VLOOKUP(D1280,Parameter!$A$35:$C$64,2,0),"Nein"))</f>
        <v>2+3</v>
      </c>
      <c r="CE1280" s="64" t="n">
        <f aca="false">IF(CA1280=0,0,IF(N(S1280)&gt;0,S1280,IFERROR(VLOOKUP(D1280,Parameter!$A$35:$C$64,3,0)+0,0)))</f>
        <v>0</v>
      </c>
      <c r="CF1280" s="60" t="n">
        <f aca="false">IF(AB1280&lt;&gt;"",AB1280,AA1280)</f>
        <v>3</v>
      </c>
      <c r="CG1280" s="60" t="str">
        <f aca="false">IF(OR(CF1280=1,CF1280=2,CF1280=3),IF(Parameter!$E$27="Ja","LIFT",IF(CF1280=1,"L1","L23")),IF(CF1280="Aussen","Aussen","-"))</f>
        <v>LIFT</v>
      </c>
      <c r="CH1280" s="71" t="n">
        <f aca="false">IF(N(AC1280)&gt;0,AC1280,0)</f>
        <v>0</v>
      </c>
      <c r="CI1280" s="65" t="n">
        <f aca="false">IF(ISNUMBER(AF1280),1,0)</f>
        <v>0</v>
      </c>
      <c r="CJ1280" s="62" t="n">
        <f aca="false">N(AF1280)</f>
        <v>0</v>
      </c>
      <c r="CK1280" s="62" t="n">
        <f aca="false">N(M1280)+N(N1280)</f>
        <v>36</v>
      </c>
      <c r="CL1280" s="62" t="n">
        <f aca="false">N(M1280)</f>
        <v>1</v>
      </c>
      <c r="CM1280" s="62" t="n">
        <f aca="false">N(N1280)</f>
        <v>35</v>
      </c>
      <c r="CN1280" s="62" t="n">
        <f aca="false">ROUNDUP(H1280/BZ1280,0)</f>
        <v>1</v>
      </c>
      <c r="CO1280" s="62" t="n">
        <f aca="false">ROUNDUP(CJ1280/BZ1280,0)</f>
        <v>0</v>
      </c>
      <c r="CP1280" s="65" t="n">
        <f aca="false">IF(CA1280=1,0,IFERROR(VLOOKUP(BY1280,'Gebinde-Kategorie'!$A$5:$N$45,5,0)+0,0))</f>
        <v>8</v>
      </c>
      <c r="CQ1280" s="65" t="n">
        <f aca="false">IFERROR(IF(OR(CF1280=1,CF1280=2,CF1280=3),N(INDEX(Parameter!$I$5:$I$7,CF1280)),0),0)</f>
        <v>0</v>
      </c>
      <c r="CR1280" s="64" t="n">
        <f aca="false">IF(AND(Parameter!$B$21="Ja",ISNUMBER(W1280),N(X1280)&gt;0),IFERROR(N(INDEX(Parameter!$L$5:$L$7,W1280))*INDEX(Parameter!$E$5:$E$7,W1280)*X1280/SUMIFS($X$7:$X$1843,$W$7:$W$1843,W1280),0),0)</f>
        <v>0</v>
      </c>
      <c r="CS1280" s="62" t="n">
        <f aca="false">IF(AND(OR(CG1280="L1",CG1280="L23",CG1280="LIFT"),H1280&gt;0),CC1280*IF(CR1280&gt;0,CR1280*MAX(1,H1280/X1280),IF(CA1280=1,CE1280,IF(R1280&gt;0,CN1280/R1280,0))/MAX(0.1,N(Parameter!$M$21))),"")</f>
        <v>2.98076923076923</v>
      </c>
      <c r="CT1280" s="64" t="n">
        <f aca="false">IF(CS1280="","",J1280/H1280)</f>
        <v>4.11111111111111</v>
      </c>
      <c r="CU1280" s="62" t="n">
        <f aca="false">IF(CS1280="","",H1280*G1280)</f>
        <v>326.07</v>
      </c>
      <c r="CV1280" s="63" t="n">
        <f aca="false">IF(CS1280="","",(CL1280+ROUNDUP(CL1280+MAX(CM1280,2*(J1280/MAX(0.1,N(Einkauf!$C$6))-CL1280)),0))/2)</f>
        <v>18.5</v>
      </c>
      <c r="CW1280" s="62" t="n">
        <f aca="false">IF(CS1280="","",MAX(0,H1280-CV1280)*G1280)</f>
        <v>0</v>
      </c>
      <c r="CX1280" s="62" t="n">
        <f aca="false">IF(CS1280="","",CS1280*MAX(0,1-CV1280/H1280))</f>
        <v>0</v>
      </c>
      <c r="CY1280" s="64" t="n">
        <f aca="false">IF(CS1280="","",PERCENTRANK($CS$7:$CS$1843,CS1280)+PERCENTRANK($CU$7:$CU$1843,CU1280)+1-PERCENTRANK($CT$7:$CT$1843,CT1280))</f>
        <v>0.707</v>
      </c>
      <c r="CZ1280" s="72" t="n">
        <f aca="false">IF(CS1280="","",CHOOSE(MATCH(Einkauf!$C$5,Parameter!$G$23:$G$27,0),CY1280,CS1280,CU1280,-CT1280,CW1280)+ROW()/1000000000)</f>
        <v>0.70700128</v>
      </c>
    </row>
    <row r="1281" customFormat="false" ht="15" hidden="false" customHeight="false" outlineLevel="0" collapsed="false">
      <c r="A1281" s="60" t="s">
        <v>2329</v>
      </c>
      <c r="B1281" s="60" t="s">
        <v>2047</v>
      </c>
      <c r="C1281" s="60" t="s">
        <v>206</v>
      </c>
      <c r="D1281" s="60" t="s">
        <v>226</v>
      </c>
      <c r="E1281" s="60"/>
      <c r="F1281" s="60" t="s">
        <v>260</v>
      </c>
      <c r="G1281" s="61" t="n">
        <v>148.35</v>
      </c>
      <c r="H1281" s="62" t="n">
        <f aca="false">MAX(0,IF(AND(Parameter!$B$21="Ja",ISNUMBER(Y1281)),Y1281,IF(Parameter!$B$20="Jahresanfang 2025 + Export",BS1281+BR1281,BR1281)))</f>
        <v>169</v>
      </c>
      <c r="I1281" s="62" t="n">
        <f aca="false">H1281*G1281</f>
        <v>25071.15</v>
      </c>
      <c r="J1281" s="62" t="n">
        <f aca="false">BU1281*Parameter!$B$18</f>
        <v>4</v>
      </c>
      <c r="K1281" s="63" t="n">
        <v>174</v>
      </c>
      <c r="L1281" s="64" t="n">
        <v>0.0229885057471264</v>
      </c>
      <c r="M1281" s="62" t="n">
        <v>0</v>
      </c>
      <c r="N1281" s="62" t="n">
        <v>5</v>
      </c>
      <c r="O1281" s="65" t="n">
        <v>63</v>
      </c>
      <c r="P1281" s="60" t="s">
        <v>335</v>
      </c>
      <c r="Q1281" s="62" t="n">
        <v>180</v>
      </c>
      <c r="R1281" s="65" t="n">
        <f aca="false">IF(CA1281=1,0,IFERROR(VLOOKUP(BY1281,'Gebinde-Kategorie'!$A$5:$N$45,13,0)+0,0))</f>
        <v>12</v>
      </c>
      <c r="S1281" s="66"/>
      <c r="T1281" s="67"/>
      <c r="U1281" s="67"/>
      <c r="V1281" s="67"/>
      <c r="W1281" s="60"/>
      <c r="X1281" s="62"/>
      <c r="Y1281" s="62"/>
      <c r="Z1281" s="60" t="n">
        <v>3</v>
      </c>
      <c r="AA1281" s="60" t="n">
        <f aca="false">IF(A1281="","",IF(AND(Parameter!$B$21="Ja",ISNUMBER(W1281)),W1281,IF(AND(Parameter!$E$27="Ja",ISNUMBER(Z1281),CD1281&lt;&gt;"Nein"),Z1281,IF(CD1281="2+3",IF(ISNUMBER(SEARCH("grosser Artikel",BV1281)),2,IFERROR(VLOOKUP(BY1281,Parameter!$F$35:$G$64,2,0),2)),IF(OR(CD1281="Nein",CD1281=""),"-",CD1281)))))</f>
        <v>3</v>
      </c>
      <c r="AB1281" s="67"/>
      <c r="AC1281" s="68"/>
      <c r="AD1281" s="62" t="n">
        <f aca="false">AW1281</f>
        <v>5</v>
      </c>
      <c r="AE1281" s="62" t="n">
        <f aca="false">MAX(AW1281,H1281)</f>
        <v>169</v>
      </c>
      <c r="AF1281" s="69"/>
      <c r="AG1281" s="62" t="n">
        <f aca="false">IF(LEFT(Cockpit!$C$5,1)="A",H1281,IF(Parameter!$E$30="MAX-Bestand",IF(CI1281=1,CJ1281,IF(LEFT(Cockpit!$C$5,1)="B",AM1281,MAX(AM1281,H1281))),ROUNDUP(AK1281,0)))</f>
        <v>169</v>
      </c>
      <c r="AH1281" s="62" t="n">
        <f aca="false">IF(CA1281=1,0,ROUNDUP(AG1281/BZ1281,0))</f>
        <v>1</v>
      </c>
      <c r="AI1281" s="64" t="n">
        <f aca="false">IF(CR1281&gt;0,CR1281*MAX(1,AG1281/X1281),IF(CA1281=1,IF(AG1281&lt;=0,0,CE1281*MAX(1,IF(H1281&gt;0,AG1281/H1281,1))),IF(R1281&gt;0,AH1281/R1281,0))/MAX(0.1,N(Parameter!$M$21)))</f>
        <v>0.0833333333333333</v>
      </c>
      <c r="AJ1281" s="62" t="n">
        <f aca="false">AI1281*CC1281</f>
        <v>20.4166666666667</v>
      </c>
      <c r="AK1281" s="63" t="n">
        <f aca="false">IF(LEFT(Cockpit!$C$5,1)="A",H1281,IF(CI1281=1,(CL1281+CJ1281)/2,IF(LEFT(Cockpit!$C$5,1)="B",(CL1281+AM1281)/2,MAX((CL1281+AM1281)/2,H1281))))</f>
        <v>169</v>
      </c>
      <c r="AL1281" s="62" t="n">
        <f aca="false">AK1281*G1281</f>
        <v>25071.15</v>
      </c>
      <c r="AM1281" s="62" t="n">
        <f aca="false">ROUNDUP(CL1281+MAX(CM1281,2*(J1281/IF(CH1281&gt;0,CH1281,MAX(0.1,N(Cockpit!$C$6)))-CL1281)),0)</f>
        <v>5</v>
      </c>
      <c r="AN1281" s="63" t="n">
        <f aca="false">IF(AJ1281&gt;0,J1281/AJ1281,-1)</f>
        <v>0.195918367346939</v>
      </c>
      <c r="AO1281" s="63" t="n">
        <f aca="false">IF(AND(OR(CG1281="L1",CG1281="L23",CG1281="LIFT"),AJ1281&gt;0),SUMIFS($AJ$7:$AJ$1843,$CG$7:$CG$1843,CG1281,$AN$7:$AN$1843,"&gt;"&amp;AN1281)+SUMIFS($AJ$7:$AJ$1843,$CG$7:$CG$1843,CG1281,$AN$7:$AN$1843,AN1281,$BX$7:$BX$1843,"&lt;="&amp;BX1281),"")</f>
        <v>12601.8170541793</v>
      </c>
      <c r="AP1281" s="70" t="n">
        <f aca="false">IF(AO1281="",0,MAX(0,MIN(1,(IF(CG1281="L1",Parameter!$H$5,IF(CG1281="L23",Parameter!$H$6+Parameter!$H$7,Parameter!$H$5+Parameter!$H$6+Parameter!$H$7))-(AO1281-AJ1281))/AJ1281)))</f>
        <v>1</v>
      </c>
      <c r="AQ1281" s="62" t="n">
        <f aca="false">IF(LEFT(Cockpit!$I$5,1)="A",H1281,IF(Parameter!$E$30="MAX-Bestand",IF(CI1281=1,CJ1281,IF(LEFT(Cockpit!$I$5,1)="B",AW1281,MAX(AW1281,H1281))),ROUNDUP(AU1281,0)))</f>
        <v>169</v>
      </c>
      <c r="AR1281" s="62" t="n">
        <f aca="false">IF(CA1281=1,0,ROUNDUP(AQ1281/BZ1281,0))</f>
        <v>1</v>
      </c>
      <c r="AS1281" s="64" t="n">
        <f aca="false">IF(CR1281&gt;0,CR1281*MAX(1,AQ1281/X1281),IF(CA1281=1,IF(AQ1281&lt;=0,0,CE1281*MAX(1,IF(H1281&gt;0,AQ1281/H1281,1))),IF(R1281&gt;0,AR1281/R1281,0))/MAX(0.1,N(Parameter!$M$21)))</f>
        <v>0.0833333333333333</v>
      </c>
      <c r="AT1281" s="62" t="n">
        <f aca="false">AS1281*CC1281</f>
        <v>20.4166666666667</v>
      </c>
      <c r="AU1281" s="63" t="n">
        <f aca="false">IF(LEFT(Cockpit!$I$5,1)="A",H1281,IF(CI1281=1,(CL1281+CJ1281)/2,IF(LEFT(Cockpit!$I$5,1)="B",(CL1281+AW1281)/2,MAX((CL1281+AW1281)/2,H1281))))</f>
        <v>169</v>
      </c>
      <c r="AV1281" s="62" t="n">
        <f aca="false">AU1281*G1281</f>
        <v>25071.15</v>
      </c>
      <c r="AW1281" s="62" t="n">
        <f aca="false">ROUNDUP(CL1281+MAX(CM1281,2*(J1281/IF(CH1281&gt;0,CH1281,MAX(0.1,N(Cockpit!$I$6)))-CL1281)),0)</f>
        <v>5</v>
      </c>
      <c r="AX1281" s="63" t="n">
        <f aca="false">IF(AT1281&gt;0,J1281/AT1281,-1)</f>
        <v>0.195918367346939</v>
      </c>
      <c r="AY1281" s="63" t="n">
        <f aca="false">IF(AND(OR(CG1281="L1",CG1281="L23",CG1281="LIFT"),AT1281&gt;0),SUMIFS($AT$7:$AT$1843,$CG$7:$CG$1843,CG1281,$AX$7:$AX$1843,"&gt;"&amp;AX1281)+SUMIFS($AT$7:$AT$1843,$CG$7:$CG$1843,CG1281,$AX$7:$AX$1843,AX1281,$BX$7:$BX$1843,"&lt;="&amp;BX1281),"")</f>
        <v>15431.0746336996</v>
      </c>
      <c r="AZ1281" s="70" t="n">
        <f aca="false">IF(AY1281="",0,MAX(0,MIN(1,(IF(CG1281="L1",Parameter!$H$5,IF(CG1281="L23",Parameter!$H$6+Parameter!$H$7,Parameter!$H$5+Parameter!$H$6+Parameter!$H$7))-(AY1281-AT1281))/AT1281)))</f>
        <v>1</v>
      </c>
      <c r="BA1281" s="62" t="n">
        <f aca="false">IF(LEFT(Cockpit!$O$5,1)="A",H1281,IF(Parameter!$E$30="MAX-Bestand",IF(CI1281=1,CJ1281,IF(LEFT(Cockpit!$O$5,1)="B",BG1281,MAX(BG1281,H1281))),ROUNDUP(BE1281,0)))</f>
        <v>3</v>
      </c>
      <c r="BB1281" s="62" t="n">
        <f aca="false">IF(CA1281=1,0,ROUNDUP(BA1281/BZ1281,0))</f>
        <v>1</v>
      </c>
      <c r="BC1281" s="64" t="n">
        <f aca="false">IF(CR1281&gt;0,CR1281*MAX(1,BA1281/X1281),IF(CA1281=1,IF(BA1281&lt;=0,0,CE1281*MAX(1,IF(H1281&gt;0,BA1281/H1281,1))),IF(R1281&gt;0,BB1281/R1281,0))/MAX(0.1,N(Parameter!$M$21)))</f>
        <v>0.0833333333333333</v>
      </c>
      <c r="BD1281" s="62" t="n">
        <f aca="false">BC1281*CC1281</f>
        <v>20.4166666666667</v>
      </c>
      <c r="BE1281" s="63" t="n">
        <f aca="false">IF(LEFT(Cockpit!$O$5,1)="A",H1281,IF(CI1281=1,(CL1281+CJ1281)/2,IF(LEFT(Cockpit!$O$5,1)="B",(CL1281+BG1281)/2,MAX((CL1281+BG1281)/2,H1281))))</f>
        <v>2.5</v>
      </c>
      <c r="BF1281" s="62" t="n">
        <f aca="false">BE1281*G1281</f>
        <v>370.875</v>
      </c>
      <c r="BG1281" s="62" t="n">
        <f aca="false">ROUNDUP(CL1281+MAX(CM1281,2*(J1281/IF(CH1281&gt;0,CH1281,MAX(0.1,N(Cockpit!$O$6)))-CL1281)),0)</f>
        <v>5</v>
      </c>
      <c r="BH1281" s="63" t="n">
        <f aca="false">IF(BD1281&gt;0,J1281/BD1281,-1)</f>
        <v>0.195918367346939</v>
      </c>
      <c r="BI1281" s="63" t="n">
        <f aca="false">IF(AND(OR(CG1281="L1",CG1281="L23",CG1281="LIFT"),BD1281&gt;0),SUMIFS($BD$7:$BD$1843,$CG$7:$CG$1843,CG1281,$BH$7:$BH$1843,"&gt;"&amp;BH1281)+SUMIFS($BD$7:$BD$1843,$CG$7:$CG$1843,CG1281,$BH$7:$BH$1843,BH1281,$BX$7:$BX$1843,"&lt;="&amp;BX1281),"")</f>
        <v>13227.4129234701</v>
      </c>
      <c r="BJ1281" s="70" t="n">
        <f aca="false">IF(BI1281="",0,MAX(0,MIN(1,(IF(CG1281="L1",Parameter!$H$5,IF(CG1281="L23",Parameter!$H$6+Parameter!$H$7,Parameter!$H$5+Parameter!$H$6+Parameter!$H$7))-(BI1281-BD1281))/BD1281)))</f>
        <v>1</v>
      </c>
      <c r="BK1281" s="60" t="str">
        <f aca="false">IF(AJ1281&lt;=0,"",IF(CG1281="Aussen","Aussenlager",IF(CG1281="-","Nicht im Lift",IF(AP1281&gt;=1,"Lift",IF(AP1281&lt;=0,"Aussenlager","teilweise")))))</f>
        <v>Lift</v>
      </c>
      <c r="BL1281" s="60" t="str">
        <f aca="false">IF(AT1281&lt;=0,"",IF(CG1281="Aussen","Aussenlager",IF(CG1281="-","Nicht im Lift",IF(AZ1281&gt;=1,"Lift",IF(AZ1281&lt;=0,"Aussenlager","teilweise")))))</f>
        <v>Lift</v>
      </c>
      <c r="BM1281" s="60" t="str">
        <f aca="false">IF(BD1281&lt;=0,"",IF(CG1281="Aussen","Aussenlager",IF(CG1281="-","Nicht im Lift",IF(BJ1281&gt;=1,"Lift",IF(BJ1281&lt;=0,"Aussenlager","teilweise")))))</f>
        <v>Lift</v>
      </c>
      <c r="BN1281" s="60" t="str">
        <f aca="false">IF(A1281="","",IF(BW1281=1,"Neu; ","")&amp;IF(AND(BW1281=0,BR1281&lt;0),"negativer Bestand (Export "&amp;BR1281&amp;"); ","")&amp;IF(J1281&lt;=0,"Kein Verbrauch; ","")&amp;IF(CR1281&gt;0,"Lift "&amp;W1281&amp;" lt. Liftbericht (Fach "&amp;X1281&amp;" Stk); ",IF(CB1281=1,"Gebinde geschätzt ("&amp;T1281&amp;"); ",IF(CA1281=1,"Lose – Tablare geschätzt; ","")))&amp;IF(H1281&gt;AW1281,"Überbestand "&amp;ROUND(H1281-AW1281,0)&amp;" Stk / CHF "&amp;ROUND((H1281-AW1281)*G1281,0)&amp;"; ","")&amp;IF(AND(CI1281=1,CJ1281&lt;CK1281),"MAX &lt; MB+LG; ","")&amp;IF(AND(CQ1281&gt;0,CP1281*10&gt;CQ1281),"zu hoch für Tablar; ","")&amp;IF(AND(BW1281=0,OR(CI1281=1,AB1281&lt;&gt;"",U1281&lt;&gt;"",V1281&lt;&gt;"",AC1281&lt;&gt;"")),"manuell übersteuert; ","")&amp;IF(AND(CA1281=0,R1281=0),"Gebinde unbekannt / Stellmass fehlt; ","")&amp;IF(AND(CA1281=0,N(V1281)&lt;=0,N(Q1281)&lt;=0),"Menge pro Gebinde fehlt (Ist = 1 Gebinde); ","")&amp;BV1281)</f>
        <v>negativer Bestand (Export -7); Überbestand 164 Stk / CHF 24329; i.o</v>
      </c>
      <c r="BO1281" s="60"/>
      <c r="BP1281" s="60"/>
      <c r="BQ1281" s="67"/>
      <c r="BR1281" s="62" t="n">
        <v>-7</v>
      </c>
      <c r="BS1281" s="62" t="n">
        <v>176</v>
      </c>
      <c r="BT1281" s="61" t="n">
        <v>-1038.45</v>
      </c>
      <c r="BU1281" s="62" t="n">
        <v>4</v>
      </c>
      <c r="BV1281" s="60" t="s">
        <v>578</v>
      </c>
      <c r="BW1281" s="65" t="n">
        <v>0</v>
      </c>
      <c r="BX1281" s="65" t="n">
        <v>1281</v>
      </c>
      <c r="BY1281" s="60" t="str">
        <f aca="false">IF(U1281&lt;&gt;"",UPPER(TRIM(U1281)),IF(CB1281=1,UPPER(VLOOKUP(T1281,Parameter!$I$27:$K$29,2,0)),IF(P1281="","LOSE",P1281)))</f>
        <v>S62</v>
      </c>
      <c r="BZ1281" s="62" t="n">
        <f aca="false">IF(BY1281="LOSE",1,IF(N(V1281)&gt;0,V1281,IF(CB1281=1,MAX(1,N(VLOOKUP(T1281,Parameter!$I$27:$K$29,3,0)),H1281,N(N1281)),IF(N(Q1281)&gt;0,Q1281,MAX(1,H1281)))))</f>
        <v>180</v>
      </c>
      <c r="CA1281" s="65" t="n">
        <f aca="false">IF(BY1281="LOSE",1,0)</f>
        <v>0</v>
      </c>
      <c r="CB1281" s="65" t="n">
        <f aca="false">IF(AND(U1281="",OR(P1281="",P1281="LOSE"),T1281&lt;&gt;"",N(S1281)&lt;=0,ISNUMBER(MATCH(T1281,Parameter!$I$27:$I$29,0))),1,0)</f>
        <v>0</v>
      </c>
      <c r="CC1281" s="65" t="n">
        <f aca="false">IF(CR1281&gt;0,INDEX(Parameter!$H$5:$H$7,W1281)/INDEX(Parameter!$E$5:$E$7,W1281),IF(AND(CA1281=0,N(IFERROR(VLOOKUP(BY1281,'Gebinde-Kategorie'!$A$5:$N$45,14,0),0))&gt;0),VLOOKUP(BY1281,'Gebinde-Kategorie'!$A$5:$N$45,14,0)*10+Parameter!$M$23,Parameter!$M$24))</f>
        <v>245</v>
      </c>
      <c r="CD1281" s="60" t="str">
        <f aca="false">IF(AND(Parameter!$B$19="Ja",E1281&lt;&gt;"",ISNUMBER(MATCH(E1281,Parameter!$I$35:$I$52,0))),VLOOKUP(E1281,Parameter!$I$35:$J$52,2,0),IFERROR(VLOOKUP(D1281,Parameter!$A$35:$C$64,2,0),"Nein"))</f>
        <v>2+3</v>
      </c>
      <c r="CE1281" s="64" t="n">
        <f aca="false">IF(CA1281=0,0,IF(N(S1281)&gt;0,S1281,IFERROR(VLOOKUP(D1281,Parameter!$A$35:$C$64,3,0)+0,0)))</f>
        <v>0</v>
      </c>
      <c r="CF1281" s="60" t="n">
        <f aca="false">IF(AB1281&lt;&gt;"",AB1281,AA1281)</f>
        <v>3</v>
      </c>
      <c r="CG1281" s="60" t="str">
        <f aca="false">IF(OR(CF1281=1,CF1281=2,CF1281=3),IF(Parameter!$E$27="Ja","LIFT",IF(CF1281=1,"L1","L23")),IF(CF1281="Aussen","Aussen","-"))</f>
        <v>LIFT</v>
      </c>
      <c r="CH1281" s="71" t="n">
        <f aca="false">IF(N(AC1281)&gt;0,AC1281,0)</f>
        <v>0</v>
      </c>
      <c r="CI1281" s="65" t="n">
        <f aca="false">IF(ISNUMBER(AF1281),1,0)</f>
        <v>0</v>
      </c>
      <c r="CJ1281" s="62" t="n">
        <f aca="false">N(AF1281)</f>
        <v>0</v>
      </c>
      <c r="CK1281" s="62" t="n">
        <f aca="false">N(M1281)+N(N1281)</f>
        <v>5</v>
      </c>
      <c r="CL1281" s="62" t="n">
        <f aca="false">N(M1281)</f>
        <v>0</v>
      </c>
      <c r="CM1281" s="62" t="n">
        <f aca="false">N(N1281)</f>
        <v>5</v>
      </c>
      <c r="CN1281" s="62" t="n">
        <f aca="false">ROUNDUP(H1281/BZ1281,0)</f>
        <v>1</v>
      </c>
      <c r="CO1281" s="62" t="n">
        <f aca="false">ROUNDUP(CJ1281/BZ1281,0)</f>
        <v>0</v>
      </c>
      <c r="CP1281" s="65" t="n">
        <f aca="false">IF(CA1281=1,0,IFERROR(VLOOKUP(BY1281,'Gebinde-Kategorie'!$A$5:$N$45,5,0)+0,0))</f>
        <v>21</v>
      </c>
      <c r="CQ1281" s="65" t="n">
        <f aca="false">IFERROR(IF(OR(CF1281=1,CF1281=2,CF1281=3),N(INDEX(Parameter!$I$5:$I$7,CF1281)),0),0)</f>
        <v>0</v>
      </c>
      <c r="CR1281" s="64" t="n">
        <f aca="false">IF(AND(Parameter!$B$21="Ja",ISNUMBER(W1281),N(X1281)&gt;0),IFERROR(N(INDEX(Parameter!$L$5:$L$7,W1281))*INDEX(Parameter!$E$5:$E$7,W1281)*X1281/SUMIFS($X$7:$X$1843,$W$7:$W$1843,W1281),0),0)</f>
        <v>0</v>
      </c>
      <c r="CS1281" s="62" t="n">
        <f aca="false">IF(AND(OR(CG1281="L1",CG1281="L23",CG1281="LIFT"),H1281&gt;0),CC1281*IF(CR1281&gt;0,CR1281*MAX(1,H1281/X1281),IF(CA1281=1,CE1281,IF(R1281&gt;0,CN1281/R1281,0))/MAX(0.1,N(Parameter!$M$21))),"")</f>
        <v>20.4166666666667</v>
      </c>
      <c r="CT1281" s="64" t="n">
        <f aca="false">IF(CS1281="","",J1281/H1281)</f>
        <v>0.0236686390532544</v>
      </c>
      <c r="CU1281" s="62" t="n">
        <f aca="false">IF(CS1281="","",H1281*G1281)</f>
        <v>25071.15</v>
      </c>
      <c r="CV1281" s="63" t="n">
        <f aca="false">IF(CS1281="","",(CL1281+ROUNDUP(CL1281+MAX(CM1281,2*(J1281/MAX(0.1,N(Einkauf!$C$6))-CL1281)),0))/2)</f>
        <v>2.5</v>
      </c>
      <c r="CW1281" s="62" t="n">
        <f aca="false">IF(CS1281="","",MAX(0,H1281-CV1281)*G1281)</f>
        <v>24700.275</v>
      </c>
      <c r="CX1281" s="62" t="n">
        <f aca="false">IF(CS1281="","",CS1281*MAX(0,1-CV1281/H1281))</f>
        <v>20.1146449704142</v>
      </c>
      <c r="CY1281" s="64" t="n">
        <f aca="false">IF(CS1281="","",PERCENTRANK($CS$7:$CS$1843,CS1281)+PERCENTRANK($CU$7:$CU$1843,CU1281)+1-PERCENTRANK($CT$7:$CT$1843,CT1281))</f>
        <v>2.381</v>
      </c>
      <c r="CZ1281" s="72" t="n">
        <f aca="false">IF(CS1281="","",CHOOSE(MATCH(Einkauf!$C$5,Parameter!$G$23:$G$27,0),CY1281,CS1281,CU1281,-CT1281,CW1281)+ROW()/1000000000)</f>
        <v>2.381001281</v>
      </c>
    </row>
    <row r="1282" customFormat="false" ht="15" hidden="false" customHeight="false" outlineLevel="0" collapsed="false">
      <c r="A1282" s="60" t="s">
        <v>2330</v>
      </c>
      <c r="B1282" s="60" t="s">
        <v>2331</v>
      </c>
      <c r="C1282" s="60" t="s">
        <v>498</v>
      </c>
      <c r="D1282" s="60" t="s">
        <v>215</v>
      </c>
      <c r="E1282" s="60"/>
      <c r="F1282" s="60" t="s">
        <v>260</v>
      </c>
      <c r="G1282" s="61" t="n">
        <v>52</v>
      </c>
      <c r="H1282" s="62" t="n">
        <f aca="false">MAX(0,IF(AND(Parameter!$B$21="Ja",ISNUMBER(Y1282)),Y1282,IF(Parameter!$B$20="Jahresanfang 2025 + Export",BS1282+BR1282,BR1282)))</f>
        <v>0</v>
      </c>
      <c r="I1282" s="62" t="n">
        <f aca="false">H1282*G1282</f>
        <v>0</v>
      </c>
      <c r="J1282" s="62" t="n">
        <f aca="false">BU1282*Parameter!$B$18</f>
        <v>0</v>
      </c>
      <c r="K1282" s="63" t="n">
        <v>10</v>
      </c>
      <c r="L1282" s="64" t="n">
        <v>0</v>
      </c>
      <c r="M1282" s="62" t="n">
        <v>0</v>
      </c>
      <c r="N1282" s="62" t="n">
        <v>1</v>
      </c>
      <c r="O1282" s="65" t="n">
        <v>56</v>
      </c>
      <c r="P1282" s="60" t="s">
        <v>210</v>
      </c>
      <c r="Q1282" s="62"/>
      <c r="R1282" s="65" t="n">
        <f aca="false">IF(CA1282=1,0,IFERROR(VLOOKUP(BY1282,'Gebinde-Kategorie'!$A$5:$N$45,13,0)+0,0))</f>
        <v>12</v>
      </c>
      <c r="S1282" s="66"/>
      <c r="T1282" s="67" t="s">
        <v>221</v>
      </c>
      <c r="U1282" s="67"/>
      <c r="V1282" s="67"/>
      <c r="W1282" s="60"/>
      <c r="X1282" s="62"/>
      <c r="Y1282" s="62"/>
      <c r="Z1282" s="60" t="n">
        <v>3</v>
      </c>
      <c r="AA1282" s="60" t="n">
        <f aca="false">IF(A1282="","",IF(AND(Parameter!$B$21="Ja",ISNUMBER(W1282)),W1282,IF(AND(Parameter!$E$27="Ja",ISNUMBER(Z1282),CD1282&lt;&gt;"Nein"),Z1282,IF(CD1282="2+3",IF(ISNUMBER(SEARCH("grosser Artikel",BV1282)),2,IFERROR(VLOOKUP(BY1282,Parameter!$F$35:$G$64,2,0),2)),IF(OR(CD1282="Nein",CD1282=""),"-",CD1282)))))</f>
        <v>3</v>
      </c>
      <c r="AB1282" s="67"/>
      <c r="AC1282" s="68"/>
      <c r="AD1282" s="62" t="n">
        <f aca="false">AW1282</f>
        <v>1</v>
      </c>
      <c r="AE1282" s="62" t="n">
        <f aca="false">MAX(AW1282,H1282)</f>
        <v>1</v>
      </c>
      <c r="AF1282" s="69"/>
      <c r="AG1282" s="62" t="n">
        <f aca="false">IF(LEFT(Cockpit!$C$5,1)="A",H1282,IF(Parameter!$E$30="MAX-Bestand",IF(CI1282=1,CJ1282,IF(LEFT(Cockpit!$C$5,1)="B",AM1282,MAX(AM1282,H1282))),ROUNDUP(AK1282,0)))</f>
        <v>0</v>
      </c>
      <c r="AH1282" s="62" t="n">
        <f aca="false">IF(CA1282=1,0,ROUNDUP(AG1282/BZ1282,0))</f>
        <v>0</v>
      </c>
      <c r="AI1282" s="64" t="n">
        <f aca="false">IF(CR1282&gt;0,CR1282*MAX(1,AG1282/X1282),IF(CA1282=1,IF(AG1282&lt;=0,0,CE1282*MAX(1,IF(H1282&gt;0,AG1282/H1282,1))),IF(R1282&gt;0,AH1282/R1282,0))/MAX(0.1,N(Parameter!$M$21)))</f>
        <v>0</v>
      </c>
      <c r="AJ1282" s="62" t="n">
        <f aca="false">AI1282*CC1282</f>
        <v>0</v>
      </c>
      <c r="AK1282" s="63" t="n">
        <f aca="false">IF(LEFT(Cockpit!$C$5,1)="A",H1282,IF(CI1282=1,(CL1282+CJ1282)/2,IF(LEFT(Cockpit!$C$5,1)="B",(CL1282+AM1282)/2,MAX((CL1282+AM1282)/2,H1282))))</f>
        <v>0</v>
      </c>
      <c r="AL1282" s="62" t="n">
        <f aca="false">AK1282*G1282</f>
        <v>0</v>
      </c>
      <c r="AM1282" s="62" t="n">
        <f aca="false">ROUNDUP(CL1282+MAX(CM1282,2*(J1282/IF(CH1282&gt;0,CH1282,MAX(0.1,N(Cockpit!$C$6)))-CL1282)),0)</f>
        <v>1</v>
      </c>
      <c r="AN1282" s="63" t="n">
        <f aca="false">IF(AJ1282&gt;0,J1282/AJ1282,-1)</f>
        <v>-1</v>
      </c>
      <c r="AO1282" s="63" t="str">
        <f aca="false">IF(AND(OR(CG1282="L1",CG1282="L23",CG1282="LIFT"),AJ1282&gt;0),SUMIFS($AJ$7:$AJ$1843,$CG$7:$CG$1843,CG1282,$AN$7:$AN$1843,"&gt;"&amp;AN1282)+SUMIFS($AJ$7:$AJ$1843,$CG$7:$CG$1843,CG1282,$AN$7:$AN$1843,AN1282,$BX$7:$BX$1843,"&lt;="&amp;BX1282),"")</f>
        <v/>
      </c>
      <c r="AP1282" s="70" t="n">
        <f aca="false">IF(AO1282="",0,MAX(0,MIN(1,(IF(CG1282="L1",Parameter!$H$5,IF(CG1282="L23",Parameter!$H$6+Parameter!$H$7,Parameter!$H$5+Parameter!$H$6+Parameter!$H$7))-(AO1282-AJ1282))/AJ1282)))</f>
        <v>0</v>
      </c>
      <c r="AQ1282" s="62" t="n">
        <f aca="false">IF(LEFT(Cockpit!$I$5,1)="A",H1282,IF(Parameter!$E$30="MAX-Bestand",IF(CI1282=1,CJ1282,IF(LEFT(Cockpit!$I$5,1)="B",AW1282,MAX(AW1282,H1282))),ROUNDUP(AU1282,0)))</f>
        <v>1</v>
      </c>
      <c r="AR1282" s="62" t="n">
        <f aca="false">IF(CA1282=1,0,ROUNDUP(AQ1282/BZ1282,0))</f>
        <v>1</v>
      </c>
      <c r="AS1282" s="64" t="n">
        <f aca="false">IF(CR1282&gt;0,CR1282*MAX(1,AQ1282/X1282),IF(CA1282=1,IF(AQ1282&lt;=0,0,CE1282*MAX(1,IF(H1282&gt;0,AQ1282/H1282,1))),IF(R1282&gt;0,AR1282/R1282,0))/MAX(0.1,N(Parameter!$M$21)))</f>
        <v>0.0833333333333333</v>
      </c>
      <c r="AT1282" s="62" t="n">
        <f aca="false">AS1282*CC1282</f>
        <v>12.0833333333333</v>
      </c>
      <c r="AU1282" s="63" t="n">
        <f aca="false">IF(LEFT(Cockpit!$I$5,1)="A",H1282,IF(CI1282=1,(CL1282+CJ1282)/2,IF(LEFT(Cockpit!$I$5,1)="B",(CL1282+AW1282)/2,MAX((CL1282+AW1282)/2,H1282))))</f>
        <v>0.5</v>
      </c>
      <c r="AV1282" s="62" t="n">
        <f aca="false">AU1282*G1282</f>
        <v>26</v>
      </c>
      <c r="AW1282" s="62" t="n">
        <f aca="false">ROUNDUP(CL1282+MAX(CM1282,2*(J1282/IF(CH1282&gt;0,CH1282,MAX(0.1,N(Cockpit!$I$6)))-CL1282)),0)</f>
        <v>1</v>
      </c>
      <c r="AX1282" s="63" t="n">
        <f aca="false">IF(AT1282&gt;0,J1282/AT1282,-1)</f>
        <v>0</v>
      </c>
      <c r="AY1282" s="63" t="n">
        <f aca="false">IF(AND(OR(CG1282="L1",CG1282="L23",CG1282="LIFT"),AT1282&gt;0),SUMIFS($AT$7:$AT$1843,$CG$7:$CG$1843,CG1282,$AX$7:$AX$1843,"&gt;"&amp;AX1282)+SUMIFS($AT$7:$AT$1843,$CG$7:$CG$1843,CG1282,$AX$7:$AX$1843,AX1282,$BX$7:$BX$1843,"&lt;="&amp;BX1282),"")</f>
        <v>35507.494047619</v>
      </c>
      <c r="AZ1282" s="70" t="n">
        <f aca="false">IF(AY1282="",0,MAX(0,MIN(1,(IF(CG1282="L1",Parameter!$H$5,IF(CG1282="L23",Parameter!$H$6+Parameter!$H$7,Parameter!$H$5+Parameter!$H$6+Parameter!$H$7))-(AY1282-AT1282))/AT1282)))</f>
        <v>1</v>
      </c>
      <c r="BA1282" s="62" t="n">
        <f aca="false">IF(LEFT(Cockpit!$O$5,1)="A",H1282,IF(Parameter!$E$30="MAX-Bestand",IF(CI1282=1,CJ1282,IF(LEFT(Cockpit!$O$5,1)="B",BG1282,MAX(BG1282,H1282))),ROUNDUP(BE1282,0)))</f>
        <v>1</v>
      </c>
      <c r="BB1282" s="62" t="n">
        <f aca="false">IF(CA1282=1,0,ROUNDUP(BA1282/BZ1282,0))</f>
        <v>1</v>
      </c>
      <c r="BC1282" s="64" t="n">
        <f aca="false">IF(CR1282&gt;0,CR1282*MAX(1,BA1282/X1282),IF(CA1282=1,IF(BA1282&lt;=0,0,CE1282*MAX(1,IF(H1282&gt;0,BA1282/H1282,1))),IF(R1282&gt;0,BB1282/R1282,0))/MAX(0.1,N(Parameter!$M$21)))</f>
        <v>0.0833333333333333</v>
      </c>
      <c r="BD1282" s="62" t="n">
        <f aca="false">BC1282*CC1282</f>
        <v>12.0833333333333</v>
      </c>
      <c r="BE1282" s="63" t="n">
        <f aca="false">IF(LEFT(Cockpit!$O$5,1)="A",H1282,IF(CI1282=1,(CL1282+CJ1282)/2,IF(LEFT(Cockpit!$O$5,1)="B",(CL1282+BG1282)/2,MAX((CL1282+BG1282)/2,H1282))))</f>
        <v>0.5</v>
      </c>
      <c r="BF1282" s="62" t="n">
        <f aca="false">BE1282*G1282</f>
        <v>26</v>
      </c>
      <c r="BG1282" s="62" t="n">
        <f aca="false">ROUNDUP(CL1282+MAX(CM1282,2*(J1282/IF(CH1282&gt;0,CH1282,MAX(0.1,N(Cockpit!$O$6)))-CL1282)),0)</f>
        <v>1</v>
      </c>
      <c r="BH1282" s="63" t="n">
        <f aca="false">IF(BD1282&gt;0,J1282/BD1282,-1)</f>
        <v>0</v>
      </c>
      <c r="BI1282" s="63" t="n">
        <f aca="false">IF(AND(OR(CG1282="L1",CG1282="L23",CG1282="LIFT"),BD1282&gt;0),SUMIFS($BD$7:$BD$1843,$CG$7:$CG$1843,CG1282,$BH$7:$BH$1843,"&gt;"&amp;BH1282)+SUMIFS($BD$7:$BD$1843,$CG$7:$CG$1843,CG1282,$BH$7:$BH$1843,BH1282,$BX$7:$BX$1843,"&lt;="&amp;BX1282),"")</f>
        <v>29492.8007077668</v>
      </c>
      <c r="BJ1282" s="70" t="n">
        <f aca="false">IF(BI1282="",0,MAX(0,MIN(1,(IF(CG1282="L1",Parameter!$H$5,IF(CG1282="L23",Parameter!$H$6+Parameter!$H$7,Parameter!$H$5+Parameter!$H$6+Parameter!$H$7))-(BI1282-BD1282))/BD1282)))</f>
        <v>1</v>
      </c>
      <c r="BK1282" s="60" t="str">
        <f aca="false">IF(AJ1282&lt;=0,"",IF(CG1282="Aussen","Aussenlager",IF(CG1282="-","Nicht im Lift",IF(AP1282&gt;=1,"Lift",IF(AP1282&lt;=0,"Aussenlager","teilweise")))))</f>
        <v/>
      </c>
      <c r="BL1282" s="60" t="str">
        <f aca="false">IF(AT1282&lt;=0,"",IF(CG1282="Aussen","Aussenlager",IF(CG1282="-","Nicht im Lift",IF(AZ1282&gt;=1,"Lift",IF(AZ1282&lt;=0,"Aussenlager","teilweise")))))</f>
        <v>Lift</v>
      </c>
      <c r="BM1282" s="60" t="str">
        <f aca="false">IF(BD1282&lt;=0,"",IF(CG1282="Aussen","Aussenlager",IF(CG1282="-","Nicht im Lift",IF(BJ1282&gt;=1,"Lift",IF(BJ1282&lt;=0,"Aussenlager","teilweise")))))</f>
        <v>Lift</v>
      </c>
      <c r="BN1282" s="60" t="str">
        <f aca="false">IF(A1282="","",IF(BW1282=1,"Neu; ","")&amp;IF(AND(BW1282=0,BR1282&lt;0),"negativer Bestand (Export "&amp;BR1282&amp;"); ","")&amp;IF(J1282&lt;=0,"Kein Verbrauch; ","")&amp;IF(CR1282&gt;0,"Lift "&amp;W1282&amp;" lt. Liftbericht (Fach "&amp;X1282&amp;" Stk); ",IF(CB1282=1,"Gebinde geschätzt ("&amp;T1282&amp;"); ",IF(CA1282=1,"Lose – Tablare geschätzt; ","")))&amp;IF(H1282&gt;AW1282,"Überbestand "&amp;ROUND(H1282-AW1282,0)&amp;" Stk / CHF "&amp;ROUND((H1282-AW1282)*G1282,0)&amp;"; ","")&amp;IF(AND(CI1282=1,CJ1282&lt;CK1282),"MAX &lt; MB+LG; ","")&amp;IF(AND(CQ1282&gt;0,CP1282*10&gt;CQ1282),"zu hoch für Tablar; ","")&amp;IF(AND(BW1282=0,OR(CI1282=1,AB1282&lt;&gt;"",U1282&lt;&gt;"",V1282&lt;&gt;"",AC1282&lt;&gt;"")),"manuell übersteuert; ","")&amp;IF(AND(CA1282=0,R1282=0),"Gebinde unbekannt / Stellmass fehlt; ","")&amp;IF(AND(CA1282=0,N(V1282)&lt;=0,N(Q1282)&lt;=0),"Menge pro Gebinde fehlt (Ist = 1 Gebinde); ","")&amp;BV1282)</f>
        <v>negativer Bestand (Export -20); Kein Verbrauch; Gebinde geschätzt (Mittel); Menge pro Gebinde fehlt (Ist = 1 Gebinde); </v>
      </c>
      <c r="BO1282" s="60"/>
      <c r="BP1282" s="60"/>
      <c r="BQ1282" s="67"/>
      <c r="BR1282" s="62" t="n">
        <v>-20</v>
      </c>
      <c r="BS1282" s="62" t="n">
        <v>20</v>
      </c>
      <c r="BT1282" s="61" t="n">
        <v>-1040</v>
      </c>
      <c r="BU1282" s="62" t="n">
        <v>0</v>
      </c>
      <c r="BV1282" s="60"/>
      <c r="BW1282" s="65" t="n">
        <v>0</v>
      </c>
      <c r="BX1282" s="65" t="n">
        <v>1282</v>
      </c>
      <c r="BY1282" s="60" t="str">
        <f aca="false">IF(U1282&lt;&gt;"",UPPER(TRIM(U1282)),IF(CB1282=1,UPPER(VLOOKUP(T1282,Parameter!$I$27:$K$29,2,0)),IF(P1282="","LOSE",P1282)))</f>
        <v>S61</v>
      </c>
      <c r="BZ1282" s="62" t="n">
        <f aca="false">IF(BY1282="LOSE",1,IF(N(V1282)&gt;0,V1282,IF(CB1282=1,MAX(1,N(VLOOKUP(T1282,Parameter!$I$27:$K$29,3,0)),H1282,N(N1282)),IF(N(Q1282)&gt;0,Q1282,MAX(1,H1282)))))</f>
        <v>4</v>
      </c>
      <c r="CA1282" s="65" t="n">
        <f aca="false">IF(BY1282="LOSE",1,0)</f>
        <v>0</v>
      </c>
      <c r="CB1282" s="65" t="n">
        <f aca="false">IF(AND(U1282="",OR(P1282="",P1282="LOSE"),T1282&lt;&gt;"",N(S1282)&lt;=0,ISNUMBER(MATCH(T1282,Parameter!$I$27:$I$29,0))),1,0)</f>
        <v>1</v>
      </c>
      <c r="CC1282" s="65" t="n">
        <f aca="false">IF(CR1282&gt;0,INDEX(Parameter!$H$5:$H$7,W1282)/INDEX(Parameter!$E$5:$E$7,W1282),IF(AND(CA1282=0,N(IFERROR(VLOOKUP(BY1282,'Gebinde-Kategorie'!$A$5:$N$45,14,0),0))&gt;0),VLOOKUP(BY1282,'Gebinde-Kategorie'!$A$5:$N$45,14,0)*10+Parameter!$M$23,Parameter!$M$24))</f>
        <v>145</v>
      </c>
      <c r="CD1282" s="60" t="str">
        <f aca="false">IF(AND(Parameter!$B$19="Ja",E1282&lt;&gt;"",ISNUMBER(MATCH(E1282,Parameter!$I$35:$I$52,0))),VLOOKUP(E1282,Parameter!$I$35:$J$52,2,0),IFERROR(VLOOKUP(D1282,Parameter!$A$35:$C$64,2,0),"Nein"))</f>
        <v>2+3</v>
      </c>
      <c r="CE1282" s="64" t="n">
        <f aca="false">IF(CA1282=0,0,IF(N(S1282)&gt;0,S1282,IFERROR(VLOOKUP(D1282,Parameter!$A$35:$C$64,3,0)+0,0)))</f>
        <v>0</v>
      </c>
      <c r="CF1282" s="60" t="n">
        <f aca="false">IF(AB1282&lt;&gt;"",AB1282,AA1282)</f>
        <v>3</v>
      </c>
      <c r="CG1282" s="60" t="str">
        <f aca="false">IF(OR(CF1282=1,CF1282=2,CF1282=3),IF(Parameter!$E$27="Ja","LIFT",IF(CF1282=1,"L1","L23")),IF(CF1282="Aussen","Aussen","-"))</f>
        <v>LIFT</v>
      </c>
      <c r="CH1282" s="71" t="n">
        <f aca="false">IF(N(AC1282)&gt;0,AC1282,0)</f>
        <v>0</v>
      </c>
      <c r="CI1282" s="65" t="n">
        <f aca="false">IF(ISNUMBER(AF1282),1,0)</f>
        <v>0</v>
      </c>
      <c r="CJ1282" s="62" t="n">
        <f aca="false">N(AF1282)</f>
        <v>0</v>
      </c>
      <c r="CK1282" s="62" t="n">
        <f aca="false">N(M1282)+N(N1282)</f>
        <v>1</v>
      </c>
      <c r="CL1282" s="62" t="n">
        <f aca="false">N(M1282)</f>
        <v>0</v>
      </c>
      <c r="CM1282" s="62" t="n">
        <f aca="false">N(N1282)</f>
        <v>1</v>
      </c>
      <c r="CN1282" s="62" t="n">
        <f aca="false">ROUNDUP(H1282/BZ1282,0)</f>
        <v>0</v>
      </c>
      <c r="CO1282" s="62" t="n">
        <f aca="false">ROUNDUP(CJ1282/BZ1282,0)</f>
        <v>0</v>
      </c>
      <c r="CP1282" s="65" t="n">
        <f aca="false">IF(CA1282=1,0,IFERROR(VLOOKUP(BY1282,'Gebinde-Kategorie'!$A$5:$N$45,5,0)+0,0))</f>
        <v>11</v>
      </c>
      <c r="CQ1282" s="65" t="n">
        <f aca="false">IFERROR(IF(OR(CF1282=1,CF1282=2,CF1282=3),N(INDEX(Parameter!$I$5:$I$7,CF1282)),0),0)</f>
        <v>0</v>
      </c>
      <c r="CR1282" s="64" t="n">
        <f aca="false">IF(AND(Parameter!$B$21="Ja",ISNUMBER(W1282),N(X1282)&gt;0),IFERROR(N(INDEX(Parameter!$L$5:$L$7,W1282))*INDEX(Parameter!$E$5:$E$7,W1282)*X1282/SUMIFS($X$7:$X$1843,$W$7:$W$1843,W1282),0),0)</f>
        <v>0</v>
      </c>
      <c r="CS1282" s="62" t="str">
        <f aca="false">IF(AND(OR(CG1282="L1",CG1282="L23",CG1282="LIFT"),H1282&gt;0),CC1282*IF(CR1282&gt;0,CR1282*MAX(1,H1282/X1282),IF(CA1282=1,CE1282,IF(R1282&gt;0,CN1282/R1282,0))/MAX(0.1,N(Parameter!$M$21))),"")</f>
        <v/>
      </c>
      <c r="CT1282" s="64" t="str">
        <f aca="false">IF(CS1282="","",J1282/H1282)</f>
        <v/>
      </c>
      <c r="CU1282" s="62" t="str">
        <f aca="false">IF(CS1282="","",H1282*G1282)</f>
        <v/>
      </c>
      <c r="CV1282" s="63" t="str">
        <f aca="false">IF(CS1282="","",(CL1282+ROUNDUP(CL1282+MAX(CM1282,2*(J1282/MAX(0.1,N(Einkauf!$C$6))-CL1282)),0))/2)</f>
        <v/>
      </c>
      <c r="CW1282" s="62" t="str">
        <f aca="false">IF(CS1282="","",MAX(0,H1282-CV1282)*G1282)</f>
        <v/>
      </c>
      <c r="CX1282" s="62" t="str">
        <f aca="false">IF(CS1282="","",CS1282*MAX(0,1-CV1282/H1282))</f>
        <v/>
      </c>
      <c r="CY1282" s="64" t="str">
        <f aca="false">IF(CS1282="","",PERCENTRANK($CS$7:$CS$1843,CS1282)+PERCENTRANK($CU$7:$CU$1843,CU1282)+1-PERCENTRANK($CT$7:$CT$1843,CT1282))</f>
        <v/>
      </c>
      <c r="CZ1282" s="72" t="str">
        <f aca="false">IF(CS1282="","",CHOOSE(MATCH(Einkauf!$C$5,Parameter!$G$23:$G$27,0),CY1282,CS1282,CU1282,-CT1282,CW1282)+ROW()/1000000000)</f>
        <v/>
      </c>
    </row>
    <row r="1283" customFormat="false" ht="15" hidden="false" customHeight="false" outlineLevel="0" collapsed="false">
      <c r="A1283" s="60" t="s">
        <v>2332</v>
      </c>
      <c r="B1283" s="60" t="s">
        <v>2192</v>
      </c>
      <c r="C1283" s="60" t="s">
        <v>498</v>
      </c>
      <c r="D1283" s="60" t="s">
        <v>215</v>
      </c>
      <c r="E1283" s="60" t="s">
        <v>215</v>
      </c>
      <c r="F1283" s="60" t="s">
        <v>260</v>
      </c>
      <c r="G1283" s="61" t="n">
        <v>522</v>
      </c>
      <c r="H1283" s="62" t="n">
        <f aca="false">MAX(0,IF(AND(Parameter!$B$21="Ja",ISNUMBER(Y1283)),Y1283,IF(Parameter!$B$20="Jahresanfang 2025 + Export",BS1283+BR1283,BR1283)))</f>
        <v>0</v>
      </c>
      <c r="I1283" s="62" t="n">
        <f aca="false">H1283*G1283</f>
        <v>0</v>
      </c>
      <c r="J1283" s="62" t="n">
        <f aca="false">BU1283*Parameter!$B$18</f>
        <v>0</v>
      </c>
      <c r="K1283" s="63" t="n">
        <v>2</v>
      </c>
      <c r="L1283" s="64" t="n">
        <v>0</v>
      </c>
      <c r="M1283" s="62" t="n">
        <v>0</v>
      </c>
      <c r="N1283" s="62" t="n">
        <v>1</v>
      </c>
      <c r="O1283" s="65" t="n">
        <v>35</v>
      </c>
      <c r="P1283" s="60" t="s">
        <v>210</v>
      </c>
      <c r="Q1283" s="62"/>
      <c r="R1283" s="65" t="n">
        <f aca="false">IF(CA1283=1,0,IFERROR(VLOOKUP(BY1283,'Gebinde-Kategorie'!$A$5:$N$45,13,0)+0,0))</f>
        <v>12</v>
      </c>
      <c r="S1283" s="66"/>
      <c r="T1283" s="67" t="s">
        <v>221</v>
      </c>
      <c r="U1283" s="67"/>
      <c r="V1283" s="67"/>
      <c r="W1283" s="60"/>
      <c r="X1283" s="62"/>
      <c r="Y1283" s="62"/>
      <c r="Z1283" s="60"/>
      <c r="AA1283" s="60" t="str">
        <f aca="false">IF(A1283="","",IF(AND(Parameter!$B$21="Ja",ISNUMBER(W1283)),W1283,IF(AND(Parameter!$E$27="Ja",ISNUMBER(Z1283),CD1283&lt;&gt;"Nein"),Z1283,IF(CD1283="2+3",IF(ISNUMBER(SEARCH("grosser Artikel",BV1283)),2,IFERROR(VLOOKUP(BY1283,Parameter!$F$35:$G$64,2,0),2)),IF(OR(CD1283="Nein",CD1283=""),"-",CD1283)))))</f>
        <v>-</v>
      </c>
      <c r="AB1283" s="67"/>
      <c r="AC1283" s="68"/>
      <c r="AD1283" s="62" t="n">
        <f aca="false">AW1283</f>
        <v>1</v>
      </c>
      <c r="AE1283" s="62" t="n">
        <f aca="false">MAX(AW1283,H1283)</f>
        <v>1</v>
      </c>
      <c r="AF1283" s="69"/>
      <c r="AG1283" s="62" t="n">
        <f aca="false">IF(LEFT(Cockpit!$C$5,1)="A",H1283,IF(Parameter!$E$30="MAX-Bestand",IF(CI1283=1,CJ1283,IF(LEFT(Cockpit!$C$5,1)="B",AM1283,MAX(AM1283,H1283))),ROUNDUP(AK1283,0)))</f>
        <v>0</v>
      </c>
      <c r="AH1283" s="62" t="n">
        <f aca="false">IF(CA1283=1,0,ROUNDUP(AG1283/BZ1283,0))</f>
        <v>0</v>
      </c>
      <c r="AI1283" s="64" t="n">
        <f aca="false">IF(CR1283&gt;0,CR1283*MAX(1,AG1283/X1283),IF(CA1283=1,IF(AG1283&lt;=0,0,CE1283*MAX(1,IF(H1283&gt;0,AG1283/H1283,1))),IF(R1283&gt;0,AH1283/R1283,0))/MAX(0.1,N(Parameter!$M$21)))</f>
        <v>0</v>
      </c>
      <c r="AJ1283" s="62" t="n">
        <f aca="false">AI1283*CC1283</f>
        <v>0</v>
      </c>
      <c r="AK1283" s="63" t="n">
        <f aca="false">IF(LEFT(Cockpit!$C$5,1)="A",H1283,IF(CI1283=1,(CL1283+CJ1283)/2,IF(LEFT(Cockpit!$C$5,1)="B",(CL1283+AM1283)/2,MAX((CL1283+AM1283)/2,H1283))))</f>
        <v>0</v>
      </c>
      <c r="AL1283" s="62" t="n">
        <f aca="false">AK1283*G1283</f>
        <v>0</v>
      </c>
      <c r="AM1283" s="62" t="n">
        <f aca="false">ROUNDUP(CL1283+MAX(CM1283,2*(J1283/IF(CH1283&gt;0,CH1283,MAX(0.1,N(Cockpit!$C$6)))-CL1283)),0)</f>
        <v>1</v>
      </c>
      <c r="AN1283" s="63" t="n">
        <f aca="false">IF(AJ1283&gt;0,J1283/AJ1283,-1)</f>
        <v>-1</v>
      </c>
      <c r="AO1283" s="63" t="str">
        <f aca="false">IF(AND(OR(CG1283="L1",CG1283="L23",CG1283="LIFT"),AJ1283&gt;0),SUMIFS($AJ$7:$AJ$1843,$CG$7:$CG$1843,CG1283,$AN$7:$AN$1843,"&gt;"&amp;AN1283)+SUMIFS($AJ$7:$AJ$1843,$CG$7:$CG$1843,CG1283,$AN$7:$AN$1843,AN1283,$BX$7:$BX$1843,"&lt;="&amp;BX1283),"")</f>
        <v/>
      </c>
      <c r="AP1283" s="70" t="n">
        <f aca="false">IF(AO1283="",0,MAX(0,MIN(1,(IF(CG1283="L1",Parameter!$H$5,IF(CG1283="L23",Parameter!$H$6+Parameter!$H$7,Parameter!$H$5+Parameter!$H$6+Parameter!$H$7))-(AO1283-AJ1283))/AJ1283)))</f>
        <v>0</v>
      </c>
      <c r="AQ1283" s="62" t="n">
        <f aca="false">IF(LEFT(Cockpit!$I$5,1)="A",H1283,IF(Parameter!$E$30="MAX-Bestand",IF(CI1283=1,CJ1283,IF(LEFT(Cockpit!$I$5,1)="B",AW1283,MAX(AW1283,H1283))),ROUNDUP(AU1283,0)))</f>
        <v>1</v>
      </c>
      <c r="AR1283" s="62" t="n">
        <f aca="false">IF(CA1283=1,0,ROUNDUP(AQ1283/BZ1283,0))</f>
        <v>1</v>
      </c>
      <c r="AS1283" s="64" t="n">
        <f aca="false">IF(CR1283&gt;0,CR1283*MAX(1,AQ1283/X1283),IF(CA1283=1,IF(AQ1283&lt;=0,0,CE1283*MAX(1,IF(H1283&gt;0,AQ1283/H1283,1))),IF(R1283&gt;0,AR1283/R1283,0))/MAX(0.1,N(Parameter!$M$21)))</f>
        <v>0.0833333333333333</v>
      </c>
      <c r="AT1283" s="62" t="n">
        <f aca="false">AS1283*CC1283</f>
        <v>12.0833333333333</v>
      </c>
      <c r="AU1283" s="63" t="n">
        <f aca="false">IF(LEFT(Cockpit!$I$5,1)="A",H1283,IF(CI1283=1,(CL1283+CJ1283)/2,IF(LEFT(Cockpit!$I$5,1)="B",(CL1283+AW1283)/2,MAX((CL1283+AW1283)/2,H1283))))</f>
        <v>0.5</v>
      </c>
      <c r="AV1283" s="62" t="n">
        <f aca="false">AU1283*G1283</f>
        <v>261</v>
      </c>
      <c r="AW1283" s="62" t="n">
        <f aca="false">ROUNDUP(CL1283+MAX(CM1283,2*(J1283/IF(CH1283&gt;0,CH1283,MAX(0.1,N(Cockpit!$I$6)))-CL1283)),0)</f>
        <v>1</v>
      </c>
      <c r="AX1283" s="63" t="n">
        <f aca="false">IF(AT1283&gt;0,J1283/AT1283,-1)</f>
        <v>0</v>
      </c>
      <c r="AY1283" s="63" t="str">
        <f aca="false">IF(AND(OR(CG1283="L1",CG1283="L23",CG1283="LIFT"),AT1283&gt;0),SUMIFS($AT$7:$AT$1843,$CG$7:$CG$1843,CG1283,$AX$7:$AX$1843,"&gt;"&amp;AX1283)+SUMIFS($AT$7:$AT$1843,$CG$7:$CG$1843,CG1283,$AX$7:$AX$1843,AX1283,$BX$7:$BX$1843,"&lt;="&amp;BX1283),"")</f>
        <v/>
      </c>
      <c r="AZ1283" s="70" t="n">
        <f aca="false">IF(AY1283="",0,MAX(0,MIN(1,(IF(CG1283="L1",Parameter!$H$5,IF(CG1283="L23",Parameter!$H$6+Parameter!$H$7,Parameter!$H$5+Parameter!$H$6+Parameter!$H$7))-(AY1283-AT1283))/AT1283)))</f>
        <v>0</v>
      </c>
      <c r="BA1283" s="62" t="n">
        <f aca="false">IF(LEFT(Cockpit!$O$5,1)="A",H1283,IF(Parameter!$E$30="MAX-Bestand",IF(CI1283=1,CJ1283,IF(LEFT(Cockpit!$O$5,1)="B",BG1283,MAX(BG1283,H1283))),ROUNDUP(BE1283,0)))</f>
        <v>1</v>
      </c>
      <c r="BB1283" s="62" t="n">
        <f aca="false">IF(CA1283=1,0,ROUNDUP(BA1283/BZ1283,0))</f>
        <v>1</v>
      </c>
      <c r="BC1283" s="64" t="n">
        <f aca="false">IF(CR1283&gt;0,CR1283*MAX(1,BA1283/X1283),IF(CA1283=1,IF(BA1283&lt;=0,0,CE1283*MAX(1,IF(H1283&gt;0,BA1283/H1283,1))),IF(R1283&gt;0,BB1283/R1283,0))/MAX(0.1,N(Parameter!$M$21)))</f>
        <v>0.0833333333333333</v>
      </c>
      <c r="BD1283" s="62" t="n">
        <f aca="false">BC1283*CC1283</f>
        <v>12.0833333333333</v>
      </c>
      <c r="BE1283" s="63" t="n">
        <f aca="false">IF(LEFT(Cockpit!$O$5,1)="A",H1283,IF(CI1283=1,(CL1283+CJ1283)/2,IF(LEFT(Cockpit!$O$5,1)="B",(CL1283+BG1283)/2,MAX((CL1283+BG1283)/2,H1283))))</f>
        <v>0.5</v>
      </c>
      <c r="BF1283" s="62" t="n">
        <f aca="false">BE1283*G1283</f>
        <v>261</v>
      </c>
      <c r="BG1283" s="62" t="n">
        <f aca="false">ROUNDUP(CL1283+MAX(CM1283,2*(J1283/IF(CH1283&gt;0,CH1283,MAX(0.1,N(Cockpit!$O$6)))-CL1283)),0)</f>
        <v>1</v>
      </c>
      <c r="BH1283" s="63" t="n">
        <f aca="false">IF(BD1283&gt;0,J1283/BD1283,-1)</f>
        <v>0</v>
      </c>
      <c r="BI1283" s="63" t="str">
        <f aca="false">IF(AND(OR(CG1283="L1",CG1283="L23",CG1283="LIFT"),BD1283&gt;0),SUMIFS($BD$7:$BD$1843,$CG$7:$CG$1843,CG1283,$BH$7:$BH$1843,"&gt;"&amp;BH1283)+SUMIFS($BD$7:$BD$1843,$CG$7:$CG$1843,CG1283,$BH$7:$BH$1843,BH1283,$BX$7:$BX$1843,"&lt;="&amp;BX1283),"")</f>
        <v/>
      </c>
      <c r="BJ1283" s="70" t="n">
        <f aca="false">IF(BI1283="",0,MAX(0,MIN(1,(IF(CG1283="L1",Parameter!$H$5,IF(CG1283="L23",Parameter!$H$6+Parameter!$H$7,Parameter!$H$5+Parameter!$H$6+Parameter!$H$7))-(BI1283-BD1283))/BD1283)))</f>
        <v>0</v>
      </c>
      <c r="BK1283" s="60" t="str">
        <f aca="false">IF(AJ1283&lt;=0,"",IF(CG1283="Aussen","Aussenlager",IF(CG1283="-","Nicht im Lift",IF(AP1283&gt;=1,"Lift",IF(AP1283&lt;=0,"Aussenlager","teilweise")))))</f>
        <v/>
      </c>
      <c r="BL1283" s="60" t="str">
        <f aca="false">IF(AT1283&lt;=0,"",IF(CG1283="Aussen","Aussenlager",IF(CG1283="-","Nicht im Lift",IF(AZ1283&gt;=1,"Lift",IF(AZ1283&lt;=0,"Aussenlager","teilweise")))))</f>
        <v>Nicht im Lift</v>
      </c>
      <c r="BM1283" s="60" t="str">
        <f aca="false">IF(BD1283&lt;=0,"",IF(CG1283="Aussen","Aussenlager",IF(CG1283="-","Nicht im Lift",IF(BJ1283&gt;=1,"Lift",IF(BJ1283&lt;=0,"Aussenlager","teilweise")))))</f>
        <v>Nicht im Lift</v>
      </c>
      <c r="BN1283" s="60" t="str">
        <f aca="false">IF(A1283="","",IF(BW1283=1,"Neu; ","")&amp;IF(AND(BW1283=0,BR1283&lt;0),"negativer Bestand (Export "&amp;BR1283&amp;"); ","")&amp;IF(J1283&lt;=0,"Kein Verbrauch; ","")&amp;IF(CR1283&gt;0,"Lift "&amp;W1283&amp;" lt. Liftbericht (Fach "&amp;X1283&amp;" Stk); ",IF(CB1283=1,"Gebinde geschätzt ("&amp;T1283&amp;"); ",IF(CA1283=1,"Lose – Tablare geschätzt; ","")))&amp;IF(H1283&gt;AW1283,"Überbestand "&amp;ROUND(H1283-AW1283,0)&amp;" Stk / CHF "&amp;ROUND((H1283-AW1283)*G1283,0)&amp;"; ","")&amp;IF(AND(CI1283=1,CJ1283&lt;CK1283),"MAX &lt; MB+LG; ","")&amp;IF(AND(CQ1283&gt;0,CP1283*10&gt;CQ1283),"zu hoch für Tablar; ","")&amp;IF(AND(BW1283=0,OR(CI1283=1,AB1283&lt;&gt;"",U1283&lt;&gt;"",V1283&lt;&gt;"",AC1283&lt;&gt;"")),"manuell übersteuert; ","")&amp;IF(AND(CA1283=0,R1283=0),"Gebinde unbekannt / Stellmass fehlt; ","")&amp;IF(AND(CA1283=0,N(V1283)&lt;=0,N(Q1283)&lt;=0),"Menge pro Gebinde fehlt (Ist = 1 Gebinde); ","")&amp;BV1283)</f>
        <v>negativer Bestand (Export -2); Kein Verbrauch; Gebinde geschätzt (Mittel); Menge pro Gebinde fehlt (Ist = 1 Gebinde); </v>
      </c>
      <c r="BO1283" s="60"/>
      <c r="BP1283" s="60"/>
      <c r="BQ1283" s="67"/>
      <c r="BR1283" s="62" t="n">
        <v>-2</v>
      </c>
      <c r="BS1283" s="62" t="n">
        <v>2</v>
      </c>
      <c r="BT1283" s="61" t="n">
        <v>-1044</v>
      </c>
      <c r="BU1283" s="62" t="n">
        <v>0</v>
      </c>
      <c r="BV1283" s="60"/>
      <c r="BW1283" s="65" t="n">
        <v>0</v>
      </c>
      <c r="BX1283" s="65" t="n">
        <v>1283</v>
      </c>
      <c r="BY1283" s="60" t="str">
        <f aca="false">IF(U1283&lt;&gt;"",UPPER(TRIM(U1283)),IF(CB1283=1,UPPER(VLOOKUP(T1283,Parameter!$I$27:$K$29,2,0)),IF(P1283="","LOSE",P1283)))</f>
        <v>S61</v>
      </c>
      <c r="BZ1283" s="62" t="n">
        <f aca="false">IF(BY1283="LOSE",1,IF(N(V1283)&gt;0,V1283,IF(CB1283=1,MAX(1,N(VLOOKUP(T1283,Parameter!$I$27:$K$29,3,0)),H1283,N(N1283)),IF(N(Q1283)&gt;0,Q1283,MAX(1,H1283)))))</f>
        <v>4</v>
      </c>
      <c r="CA1283" s="65" t="n">
        <f aca="false">IF(BY1283="LOSE",1,0)</f>
        <v>0</v>
      </c>
      <c r="CB1283" s="65" t="n">
        <f aca="false">IF(AND(U1283="",OR(P1283="",P1283="LOSE"),T1283&lt;&gt;"",N(S1283)&lt;=0,ISNUMBER(MATCH(T1283,Parameter!$I$27:$I$29,0))),1,0)</f>
        <v>1</v>
      </c>
      <c r="CC1283" s="65" t="n">
        <f aca="false">IF(CR1283&gt;0,INDEX(Parameter!$H$5:$H$7,W1283)/INDEX(Parameter!$E$5:$E$7,W1283),IF(AND(CA1283=0,N(IFERROR(VLOOKUP(BY1283,'Gebinde-Kategorie'!$A$5:$N$45,14,0),0))&gt;0),VLOOKUP(BY1283,'Gebinde-Kategorie'!$A$5:$N$45,14,0)*10+Parameter!$M$23,Parameter!$M$24))</f>
        <v>145</v>
      </c>
      <c r="CD1283" s="60" t="str">
        <f aca="false">IF(AND(Parameter!$B$19="Ja",E1283&lt;&gt;"",ISNUMBER(MATCH(E1283,Parameter!$I$35:$I$52,0))),VLOOKUP(E1283,Parameter!$I$35:$J$52,2,0),IFERROR(VLOOKUP(D1283,Parameter!$A$35:$C$64,2,0),"Nein"))</f>
        <v>Nein</v>
      </c>
      <c r="CE1283" s="64" t="n">
        <f aca="false">IF(CA1283=0,0,IF(N(S1283)&gt;0,S1283,IFERROR(VLOOKUP(D1283,Parameter!$A$35:$C$64,3,0)+0,0)))</f>
        <v>0</v>
      </c>
      <c r="CF1283" s="60" t="str">
        <f aca="false">IF(AB1283&lt;&gt;"",AB1283,AA1283)</f>
        <v>-</v>
      </c>
      <c r="CG1283" s="60" t="str">
        <f aca="false">IF(OR(CF1283=1,CF1283=2,CF1283=3),IF(Parameter!$E$27="Ja","LIFT",IF(CF1283=1,"L1","L23")),IF(CF1283="Aussen","Aussen","-"))</f>
        <v>-</v>
      </c>
      <c r="CH1283" s="71" t="n">
        <f aca="false">IF(N(AC1283)&gt;0,AC1283,0)</f>
        <v>0</v>
      </c>
      <c r="CI1283" s="65" t="n">
        <f aca="false">IF(ISNUMBER(AF1283),1,0)</f>
        <v>0</v>
      </c>
      <c r="CJ1283" s="62" t="n">
        <f aca="false">N(AF1283)</f>
        <v>0</v>
      </c>
      <c r="CK1283" s="62" t="n">
        <f aca="false">N(M1283)+N(N1283)</f>
        <v>1</v>
      </c>
      <c r="CL1283" s="62" t="n">
        <f aca="false">N(M1283)</f>
        <v>0</v>
      </c>
      <c r="CM1283" s="62" t="n">
        <f aca="false">N(N1283)</f>
        <v>1</v>
      </c>
      <c r="CN1283" s="62" t="n">
        <f aca="false">ROUNDUP(H1283/BZ1283,0)</f>
        <v>0</v>
      </c>
      <c r="CO1283" s="62" t="n">
        <f aca="false">ROUNDUP(CJ1283/BZ1283,0)</f>
        <v>0</v>
      </c>
      <c r="CP1283" s="65" t="n">
        <f aca="false">IF(CA1283=1,0,IFERROR(VLOOKUP(BY1283,'Gebinde-Kategorie'!$A$5:$N$45,5,0)+0,0))</f>
        <v>11</v>
      </c>
      <c r="CQ1283" s="65" t="n">
        <f aca="false">IFERROR(IF(OR(CF1283=1,CF1283=2,CF1283=3),N(INDEX(Parameter!$I$5:$I$7,CF1283)),0),0)</f>
        <v>0</v>
      </c>
      <c r="CR1283" s="64" t="n">
        <f aca="false">IF(AND(Parameter!$B$21="Ja",ISNUMBER(W1283),N(X1283)&gt;0),IFERROR(N(INDEX(Parameter!$L$5:$L$7,W1283))*INDEX(Parameter!$E$5:$E$7,W1283)*X1283/SUMIFS($X$7:$X$1843,$W$7:$W$1843,W1283),0),0)</f>
        <v>0</v>
      </c>
      <c r="CS1283" s="62" t="str">
        <f aca="false">IF(AND(OR(CG1283="L1",CG1283="L23",CG1283="LIFT"),H1283&gt;0),CC1283*IF(CR1283&gt;0,CR1283*MAX(1,H1283/X1283),IF(CA1283=1,CE1283,IF(R1283&gt;0,CN1283/R1283,0))/MAX(0.1,N(Parameter!$M$21))),"")</f>
        <v/>
      </c>
      <c r="CT1283" s="64" t="str">
        <f aca="false">IF(CS1283="","",J1283/H1283)</f>
        <v/>
      </c>
      <c r="CU1283" s="62" t="str">
        <f aca="false">IF(CS1283="","",H1283*G1283)</f>
        <v/>
      </c>
      <c r="CV1283" s="63" t="str">
        <f aca="false">IF(CS1283="","",(CL1283+ROUNDUP(CL1283+MAX(CM1283,2*(J1283/MAX(0.1,N(Einkauf!$C$6))-CL1283)),0))/2)</f>
        <v/>
      </c>
      <c r="CW1283" s="62" t="str">
        <f aca="false">IF(CS1283="","",MAX(0,H1283-CV1283)*G1283)</f>
        <v/>
      </c>
      <c r="CX1283" s="62" t="str">
        <f aca="false">IF(CS1283="","",CS1283*MAX(0,1-CV1283/H1283))</f>
        <v/>
      </c>
      <c r="CY1283" s="64" t="str">
        <f aca="false">IF(CS1283="","",PERCENTRANK($CS$7:$CS$1843,CS1283)+PERCENTRANK($CU$7:$CU$1843,CU1283)+1-PERCENTRANK($CT$7:$CT$1843,CT1283))</f>
        <v/>
      </c>
      <c r="CZ1283" s="72" t="str">
        <f aca="false">IF(CS1283="","",CHOOSE(MATCH(Einkauf!$C$5,Parameter!$G$23:$G$27,0),CY1283,CS1283,CU1283,-CT1283,CW1283)+ROW()/1000000000)</f>
        <v/>
      </c>
    </row>
    <row r="1284" customFormat="false" ht="15" hidden="false" customHeight="false" outlineLevel="0" collapsed="false">
      <c r="A1284" s="60" t="s">
        <v>2333</v>
      </c>
      <c r="B1284" s="60" t="s">
        <v>248</v>
      </c>
      <c r="C1284" s="60" t="s">
        <v>498</v>
      </c>
      <c r="D1284" s="60" t="s">
        <v>395</v>
      </c>
      <c r="E1284" s="60"/>
      <c r="F1284" s="60" t="s">
        <v>260</v>
      </c>
      <c r="G1284" s="61" t="n">
        <v>548</v>
      </c>
      <c r="H1284" s="62" t="n">
        <f aca="false">MAX(0,IF(AND(Parameter!$B$21="Ja",ISNUMBER(Y1284)),Y1284,IF(Parameter!$B$20="Jahresanfang 2025 + Export",BS1284+BR1284,BR1284)))</f>
        <v>0</v>
      </c>
      <c r="I1284" s="62" t="n">
        <f aca="false">H1284*G1284</f>
        <v>0</v>
      </c>
      <c r="J1284" s="62" t="n">
        <f aca="false">BU1284*Parameter!$B$18</f>
        <v>0</v>
      </c>
      <c r="K1284" s="63" t="n">
        <v>1</v>
      </c>
      <c r="L1284" s="64" t="n">
        <v>0</v>
      </c>
      <c r="M1284" s="62" t="n">
        <v>0</v>
      </c>
      <c r="N1284" s="62" t="n">
        <v>1</v>
      </c>
      <c r="O1284" s="65" t="n">
        <v>0</v>
      </c>
      <c r="P1284" s="60" t="s">
        <v>210</v>
      </c>
      <c r="Q1284" s="62"/>
      <c r="R1284" s="65" t="n">
        <f aca="false">IF(CA1284=1,0,IFERROR(VLOOKUP(BY1284,'Gebinde-Kategorie'!$A$5:$N$45,13,0)+0,0))</f>
        <v>0</v>
      </c>
      <c r="S1284" s="66"/>
      <c r="T1284" s="67"/>
      <c r="U1284" s="67"/>
      <c r="V1284" s="67"/>
      <c r="W1284" s="60"/>
      <c r="X1284" s="62"/>
      <c r="Y1284" s="62"/>
      <c r="Z1284" s="60"/>
      <c r="AA1284" s="60" t="str">
        <f aca="false">IF(A1284="","",IF(AND(Parameter!$B$21="Ja",ISNUMBER(W1284)),W1284,IF(AND(Parameter!$E$27="Ja",ISNUMBER(Z1284),CD1284&lt;&gt;"Nein"),Z1284,IF(CD1284="2+3",IF(ISNUMBER(SEARCH("grosser Artikel",BV1284)),2,IFERROR(VLOOKUP(BY1284,Parameter!$F$35:$G$64,2,0),2)),IF(OR(CD1284="Nein",CD1284=""),"-",CD1284)))))</f>
        <v>-</v>
      </c>
      <c r="AB1284" s="67"/>
      <c r="AC1284" s="68"/>
      <c r="AD1284" s="62" t="n">
        <f aca="false">AW1284</f>
        <v>1</v>
      </c>
      <c r="AE1284" s="62" t="n">
        <f aca="false">MAX(AW1284,H1284)</f>
        <v>1</v>
      </c>
      <c r="AF1284" s="69"/>
      <c r="AG1284" s="62" t="n">
        <f aca="false">IF(LEFT(Cockpit!$C$5,1)="A",H1284,IF(Parameter!$E$30="MAX-Bestand",IF(CI1284=1,CJ1284,IF(LEFT(Cockpit!$C$5,1)="B",AM1284,MAX(AM1284,H1284))),ROUNDUP(AK1284,0)))</f>
        <v>0</v>
      </c>
      <c r="AH1284" s="62" t="n">
        <f aca="false">IF(CA1284=1,0,ROUNDUP(AG1284/BZ1284,0))</f>
        <v>0</v>
      </c>
      <c r="AI1284" s="64" t="n">
        <f aca="false">IF(CR1284&gt;0,CR1284*MAX(1,AG1284/X1284),IF(CA1284=1,IF(AG1284&lt;=0,0,CE1284*MAX(1,IF(H1284&gt;0,AG1284/H1284,1))),IF(R1284&gt;0,AH1284/R1284,0))/MAX(0.1,N(Parameter!$M$21)))</f>
        <v>0</v>
      </c>
      <c r="AJ1284" s="62" t="n">
        <f aca="false">AI1284*CC1284</f>
        <v>0</v>
      </c>
      <c r="AK1284" s="63" t="n">
        <f aca="false">IF(LEFT(Cockpit!$C$5,1)="A",H1284,IF(CI1284=1,(CL1284+CJ1284)/2,IF(LEFT(Cockpit!$C$5,1)="B",(CL1284+AM1284)/2,MAX((CL1284+AM1284)/2,H1284))))</f>
        <v>0</v>
      </c>
      <c r="AL1284" s="62" t="n">
        <f aca="false">AK1284*G1284</f>
        <v>0</v>
      </c>
      <c r="AM1284" s="62" t="n">
        <f aca="false">ROUNDUP(CL1284+MAX(CM1284,2*(J1284/IF(CH1284&gt;0,CH1284,MAX(0.1,N(Cockpit!$C$6)))-CL1284)),0)</f>
        <v>1</v>
      </c>
      <c r="AN1284" s="63" t="n">
        <f aca="false">IF(AJ1284&gt;0,J1284/AJ1284,-1)</f>
        <v>-1</v>
      </c>
      <c r="AO1284" s="63" t="str">
        <f aca="false">IF(AND(OR(CG1284="L1",CG1284="L23",CG1284="LIFT"),AJ1284&gt;0),SUMIFS($AJ$7:$AJ$1843,$CG$7:$CG$1843,CG1284,$AN$7:$AN$1843,"&gt;"&amp;AN1284)+SUMIFS($AJ$7:$AJ$1843,$CG$7:$CG$1843,CG1284,$AN$7:$AN$1843,AN1284,$BX$7:$BX$1843,"&lt;="&amp;BX1284),"")</f>
        <v/>
      </c>
      <c r="AP1284" s="70" t="n">
        <f aca="false">IF(AO1284="",0,MAX(0,MIN(1,(IF(CG1284="L1",Parameter!$H$5,IF(CG1284="L23",Parameter!$H$6+Parameter!$H$7,Parameter!$H$5+Parameter!$H$6+Parameter!$H$7))-(AO1284-AJ1284))/AJ1284)))</f>
        <v>0</v>
      </c>
      <c r="AQ1284" s="62" t="n">
        <f aca="false">IF(LEFT(Cockpit!$I$5,1)="A",H1284,IF(Parameter!$E$30="MAX-Bestand",IF(CI1284=1,CJ1284,IF(LEFT(Cockpit!$I$5,1)="B",AW1284,MAX(AW1284,H1284))),ROUNDUP(AU1284,0)))</f>
        <v>1</v>
      </c>
      <c r="AR1284" s="62" t="n">
        <f aca="false">IF(CA1284=1,0,ROUNDUP(AQ1284/BZ1284,0))</f>
        <v>0</v>
      </c>
      <c r="AS1284" s="64" t="n">
        <f aca="false">IF(CR1284&gt;0,CR1284*MAX(1,AQ1284/X1284),IF(CA1284=1,IF(AQ1284&lt;=0,0,CE1284*MAX(1,IF(H1284&gt;0,AQ1284/H1284,1))),IF(R1284&gt;0,AR1284/R1284,0))/MAX(0.1,N(Parameter!$M$21)))</f>
        <v>0.15</v>
      </c>
      <c r="AT1284" s="62" t="n">
        <f aca="false">AS1284*CC1284</f>
        <v>35.25</v>
      </c>
      <c r="AU1284" s="63" t="n">
        <f aca="false">IF(LEFT(Cockpit!$I$5,1)="A",H1284,IF(CI1284=1,(CL1284+CJ1284)/2,IF(LEFT(Cockpit!$I$5,1)="B",(CL1284+AW1284)/2,MAX((CL1284+AW1284)/2,H1284))))</f>
        <v>0.5</v>
      </c>
      <c r="AV1284" s="62" t="n">
        <f aca="false">AU1284*G1284</f>
        <v>274</v>
      </c>
      <c r="AW1284" s="62" t="n">
        <f aca="false">ROUNDUP(CL1284+MAX(CM1284,2*(J1284/IF(CH1284&gt;0,CH1284,MAX(0.1,N(Cockpit!$I$6)))-CL1284)),0)</f>
        <v>1</v>
      </c>
      <c r="AX1284" s="63" t="n">
        <f aca="false">IF(AT1284&gt;0,J1284/AT1284,-1)</f>
        <v>0</v>
      </c>
      <c r="AY1284" s="63" t="str">
        <f aca="false">IF(AND(OR(CG1284="L1",CG1284="L23",CG1284="LIFT"),AT1284&gt;0),SUMIFS($AT$7:$AT$1843,$CG$7:$CG$1843,CG1284,$AX$7:$AX$1843,"&gt;"&amp;AX1284)+SUMIFS($AT$7:$AT$1843,$CG$7:$CG$1843,CG1284,$AX$7:$AX$1843,AX1284,$BX$7:$BX$1843,"&lt;="&amp;BX1284),"")</f>
        <v/>
      </c>
      <c r="AZ1284" s="70" t="n">
        <f aca="false">IF(AY1284="",0,MAX(0,MIN(1,(IF(CG1284="L1",Parameter!$H$5,IF(CG1284="L23",Parameter!$H$6+Parameter!$H$7,Parameter!$H$5+Parameter!$H$6+Parameter!$H$7))-(AY1284-AT1284))/AT1284)))</f>
        <v>0</v>
      </c>
      <c r="BA1284" s="62" t="n">
        <f aca="false">IF(LEFT(Cockpit!$O$5,1)="A",H1284,IF(Parameter!$E$30="MAX-Bestand",IF(CI1284=1,CJ1284,IF(LEFT(Cockpit!$O$5,1)="B",BG1284,MAX(BG1284,H1284))),ROUNDUP(BE1284,0)))</f>
        <v>1</v>
      </c>
      <c r="BB1284" s="62" t="n">
        <f aca="false">IF(CA1284=1,0,ROUNDUP(BA1284/BZ1284,0))</f>
        <v>0</v>
      </c>
      <c r="BC1284" s="64" t="n">
        <f aca="false">IF(CR1284&gt;0,CR1284*MAX(1,BA1284/X1284),IF(CA1284=1,IF(BA1284&lt;=0,0,CE1284*MAX(1,IF(H1284&gt;0,BA1284/H1284,1))),IF(R1284&gt;0,BB1284/R1284,0))/MAX(0.1,N(Parameter!$M$21)))</f>
        <v>0.15</v>
      </c>
      <c r="BD1284" s="62" t="n">
        <f aca="false">BC1284*CC1284</f>
        <v>35.25</v>
      </c>
      <c r="BE1284" s="63" t="n">
        <f aca="false">IF(LEFT(Cockpit!$O$5,1)="A",H1284,IF(CI1284=1,(CL1284+CJ1284)/2,IF(LEFT(Cockpit!$O$5,1)="B",(CL1284+BG1284)/2,MAX((CL1284+BG1284)/2,H1284))))</f>
        <v>0.5</v>
      </c>
      <c r="BF1284" s="62" t="n">
        <f aca="false">BE1284*G1284</f>
        <v>274</v>
      </c>
      <c r="BG1284" s="62" t="n">
        <f aca="false">ROUNDUP(CL1284+MAX(CM1284,2*(J1284/IF(CH1284&gt;0,CH1284,MAX(0.1,N(Cockpit!$O$6)))-CL1284)),0)</f>
        <v>1</v>
      </c>
      <c r="BH1284" s="63" t="n">
        <f aca="false">IF(BD1284&gt;0,J1284/BD1284,-1)</f>
        <v>0</v>
      </c>
      <c r="BI1284" s="63" t="str">
        <f aca="false">IF(AND(OR(CG1284="L1",CG1284="L23",CG1284="LIFT"),BD1284&gt;0),SUMIFS($BD$7:$BD$1843,$CG$7:$CG$1843,CG1284,$BH$7:$BH$1843,"&gt;"&amp;BH1284)+SUMIFS($BD$7:$BD$1843,$CG$7:$CG$1843,CG1284,$BH$7:$BH$1843,BH1284,$BX$7:$BX$1843,"&lt;="&amp;BX1284),"")</f>
        <v/>
      </c>
      <c r="BJ1284" s="70" t="n">
        <f aca="false">IF(BI1284="",0,MAX(0,MIN(1,(IF(CG1284="L1",Parameter!$H$5,IF(CG1284="L23",Parameter!$H$6+Parameter!$H$7,Parameter!$H$5+Parameter!$H$6+Parameter!$H$7))-(BI1284-BD1284))/BD1284)))</f>
        <v>0</v>
      </c>
      <c r="BK1284" s="60" t="str">
        <f aca="false">IF(AJ1284&lt;=0,"",IF(CG1284="Aussen","Aussenlager",IF(CG1284="-","Nicht im Lift",IF(AP1284&gt;=1,"Lift",IF(AP1284&lt;=0,"Aussenlager","teilweise")))))</f>
        <v/>
      </c>
      <c r="BL1284" s="60" t="str">
        <f aca="false">IF(AT1284&lt;=0,"",IF(CG1284="Aussen","Aussenlager",IF(CG1284="-","Nicht im Lift",IF(AZ1284&gt;=1,"Lift",IF(AZ1284&lt;=0,"Aussenlager","teilweise")))))</f>
        <v>Nicht im Lift</v>
      </c>
      <c r="BM1284" s="60" t="str">
        <f aca="false">IF(BD1284&lt;=0,"",IF(CG1284="Aussen","Aussenlager",IF(CG1284="-","Nicht im Lift",IF(BJ1284&gt;=1,"Lift",IF(BJ1284&lt;=0,"Aussenlager","teilweise")))))</f>
        <v>Nicht im Lift</v>
      </c>
      <c r="BN1284" s="60" t="str">
        <f aca="false">IF(A1284="","",IF(BW1284=1,"Neu; ","")&amp;IF(AND(BW1284=0,BR1284&lt;0),"negativer Bestand (Export "&amp;BR1284&amp;"); ","")&amp;IF(J1284&lt;=0,"Kein Verbrauch; ","")&amp;IF(CR1284&gt;0,"Lift "&amp;W1284&amp;" lt. Liftbericht (Fach "&amp;X1284&amp;" Stk); ",IF(CB1284=1,"Gebinde geschätzt ("&amp;T1284&amp;"); ",IF(CA1284=1,"Lose – Tablare geschätzt; ","")))&amp;IF(H1284&gt;AW1284,"Überbestand "&amp;ROUND(H1284-AW1284,0)&amp;" Stk / CHF "&amp;ROUND((H1284-AW1284)*G1284,0)&amp;"; ","")&amp;IF(AND(CI1284=1,CJ1284&lt;CK1284),"MAX &lt; MB+LG; ","")&amp;IF(AND(CQ1284&gt;0,CP1284*10&gt;CQ1284),"zu hoch für Tablar; ","")&amp;IF(AND(BW1284=0,OR(CI1284=1,AB1284&lt;&gt;"",U1284&lt;&gt;"",V1284&lt;&gt;"",AC1284&lt;&gt;"")),"manuell übersteuert; ","")&amp;IF(AND(CA1284=0,R1284=0),"Gebinde unbekannt / Stellmass fehlt; ","")&amp;IF(AND(CA1284=0,N(V1284)&lt;=0,N(Q1284)&lt;=0),"Menge pro Gebinde fehlt (Ist = 1 Gebinde); ","")&amp;BV1284)</f>
        <v>negativer Bestand (Export -2); Kein Verbrauch; Lose – Tablare geschätzt; </v>
      </c>
      <c r="BO1284" s="60"/>
      <c r="BP1284" s="60"/>
      <c r="BQ1284" s="67"/>
      <c r="BR1284" s="62" t="n">
        <v>-2</v>
      </c>
      <c r="BS1284" s="62" t="n">
        <v>2</v>
      </c>
      <c r="BT1284" s="61" t="n">
        <v>-1096</v>
      </c>
      <c r="BU1284" s="62" t="n">
        <v>0</v>
      </c>
      <c r="BV1284" s="60"/>
      <c r="BW1284" s="65" t="n">
        <v>0</v>
      </c>
      <c r="BX1284" s="65" t="n">
        <v>1284</v>
      </c>
      <c r="BY1284" s="60" t="str">
        <f aca="false">IF(U1284&lt;&gt;"",UPPER(TRIM(U1284)),IF(CB1284=1,UPPER(VLOOKUP(T1284,Parameter!$I$27:$K$29,2,0)),IF(P1284="","LOSE",P1284)))</f>
        <v>LOSE</v>
      </c>
      <c r="BZ1284" s="62" t="n">
        <f aca="false">IF(BY1284="LOSE",1,IF(N(V1284)&gt;0,V1284,IF(CB1284=1,MAX(1,N(VLOOKUP(T1284,Parameter!$I$27:$K$29,3,0)),H1284,N(N1284)),IF(N(Q1284)&gt;0,Q1284,MAX(1,H1284)))))</f>
        <v>1</v>
      </c>
      <c r="CA1284" s="65" t="n">
        <f aca="false">IF(BY1284="LOSE",1,0)</f>
        <v>1</v>
      </c>
      <c r="CB1284" s="65" t="n">
        <f aca="false">IF(AND(U1284="",OR(P1284="",P1284="LOSE"),T1284&lt;&gt;"",N(S1284)&lt;=0,ISNUMBER(MATCH(T1284,Parameter!$I$27:$I$29,0))),1,0)</f>
        <v>0</v>
      </c>
      <c r="CC1284" s="65" t="n">
        <f aca="false">IF(CR1284&gt;0,INDEX(Parameter!$H$5:$H$7,W1284)/INDEX(Parameter!$E$5:$E$7,W1284),IF(AND(CA1284=0,N(IFERROR(VLOOKUP(BY1284,'Gebinde-Kategorie'!$A$5:$N$45,14,0),0))&gt;0),VLOOKUP(BY1284,'Gebinde-Kategorie'!$A$5:$N$45,14,0)*10+Parameter!$M$23,Parameter!$M$24))</f>
        <v>235</v>
      </c>
      <c r="CD1284" s="60" t="str">
        <f aca="false">IF(AND(Parameter!$B$19="Ja",E1284&lt;&gt;"",ISNUMBER(MATCH(E1284,Parameter!$I$35:$I$52,0))),VLOOKUP(E1284,Parameter!$I$35:$J$52,2,0),IFERROR(VLOOKUP(D1284,Parameter!$A$35:$C$64,2,0),"Nein"))</f>
        <v>Nein</v>
      </c>
      <c r="CE1284" s="64" t="n">
        <f aca="false">IF(CA1284=0,0,IF(N(S1284)&gt;0,S1284,IFERROR(VLOOKUP(D1284,Parameter!$A$35:$C$64,3,0)+0,0)))</f>
        <v>0.15</v>
      </c>
      <c r="CF1284" s="60" t="str">
        <f aca="false">IF(AB1284&lt;&gt;"",AB1284,AA1284)</f>
        <v>-</v>
      </c>
      <c r="CG1284" s="60" t="str">
        <f aca="false">IF(OR(CF1284=1,CF1284=2,CF1284=3),IF(Parameter!$E$27="Ja","LIFT",IF(CF1284=1,"L1","L23")),IF(CF1284="Aussen","Aussen","-"))</f>
        <v>-</v>
      </c>
      <c r="CH1284" s="71" t="n">
        <f aca="false">IF(N(AC1284)&gt;0,AC1284,0)</f>
        <v>0</v>
      </c>
      <c r="CI1284" s="65" t="n">
        <f aca="false">IF(ISNUMBER(AF1284),1,0)</f>
        <v>0</v>
      </c>
      <c r="CJ1284" s="62" t="n">
        <f aca="false">N(AF1284)</f>
        <v>0</v>
      </c>
      <c r="CK1284" s="62" t="n">
        <f aca="false">N(M1284)+N(N1284)</f>
        <v>1</v>
      </c>
      <c r="CL1284" s="62" t="n">
        <f aca="false">N(M1284)</f>
        <v>0</v>
      </c>
      <c r="CM1284" s="62" t="n">
        <f aca="false">N(N1284)</f>
        <v>1</v>
      </c>
      <c r="CN1284" s="62" t="n">
        <f aca="false">ROUNDUP(H1284/BZ1284,0)</f>
        <v>0</v>
      </c>
      <c r="CO1284" s="62" t="n">
        <f aca="false">ROUNDUP(CJ1284/BZ1284,0)</f>
        <v>0</v>
      </c>
      <c r="CP1284" s="65" t="n">
        <f aca="false">IF(CA1284=1,0,IFERROR(VLOOKUP(BY1284,'Gebinde-Kategorie'!$A$5:$N$45,5,0)+0,0))</f>
        <v>0</v>
      </c>
      <c r="CQ1284" s="65" t="n">
        <f aca="false">IFERROR(IF(OR(CF1284=1,CF1284=2,CF1284=3),N(INDEX(Parameter!$I$5:$I$7,CF1284)),0),0)</f>
        <v>0</v>
      </c>
      <c r="CR1284" s="64" t="n">
        <f aca="false">IF(AND(Parameter!$B$21="Ja",ISNUMBER(W1284),N(X1284)&gt;0),IFERROR(N(INDEX(Parameter!$L$5:$L$7,W1284))*INDEX(Parameter!$E$5:$E$7,W1284)*X1284/SUMIFS($X$7:$X$1843,$W$7:$W$1843,W1284),0),0)</f>
        <v>0</v>
      </c>
      <c r="CS1284" s="62" t="str">
        <f aca="false">IF(AND(OR(CG1284="L1",CG1284="L23",CG1284="LIFT"),H1284&gt;0),CC1284*IF(CR1284&gt;0,CR1284*MAX(1,H1284/X1284),IF(CA1284=1,CE1284,IF(R1284&gt;0,CN1284/R1284,0))/MAX(0.1,N(Parameter!$M$21))),"")</f>
        <v/>
      </c>
      <c r="CT1284" s="64" t="str">
        <f aca="false">IF(CS1284="","",J1284/H1284)</f>
        <v/>
      </c>
      <c r="CU1284" s="62" t="str">
        <f aca="false">IF(CS1284="","",H1284*G1284)</f>
        <v/>
      </c>
      <c r="CV1284" s="63" t="str">
        <f aca="false">IF(CS1284="","",(CL1284+ROUNDUP(CL1284+MAX(CM1284,2*(J1284/MAX(0.1,N(Einkauf!$C$6))-CL1284)),0))/2)</f>
        <v/>
      </c>
      <c r="CW1284" s="62" t="str">
        <f aca="false">IF(CS1284="","",MAX(0,H1284-CV1284)*G1284)</f>
        <v/>
      </c>
      <c r="CX1284" s="62" t="str">
        <f aca="false">IF(CS1284="","",CS1284*MAX(0,1-CV1284/H1284))</f>
        <v/>
      </c>
      <c r="CY1284" s="64" t="str">
        <f aca="false">IF(CS1284="","",PERCENTRANK($CS$7:$CS$1843,CS1284)+PERCENTRANK($CU$7:$CU$1843,CU1284)+1-PERCENTRANK($CT$7:$CT$1843,CT1284))</f>
        <v/>
      </c>
      <c r="CZ1284" s="72" t="str">
        <f aca="false">IF(CS1284="","",CHOOSE(MATCH(Einkauf!$C$5,Parameter!$G$23:$G$27,0),CY1284,CS1284,CU1284,-CT1284,CW1284)+ROW()/1000000000)</f>
        <v/>
      </c>
    </row>
    <row r="1285" customFormat="false" ht="15" hidden="false" customHeight="false" outlineLevel="0" collapsed="false">
      <c r="A1285" s="60" t="s">
        <v>2334</v>
      </c>
      <c r="B1285" s="60" t="s">
        <v>2335</v>
      </c>
      <c r="C1285" s="60" t="s">
        <v>206</v>
      </c>
      <c r="D1285" s="60" t="s">
        <v>226</v>
      </c>
      <c r="E1285" s="60" t="s">
        <v>227</v>
      </c>
      <c r="F1285" s="60" t="s">
        <v>260</v>
      </c>
      <c r="G1285" s="61" t="n">
        <v>114.41</v>
      </c>
      <c r="H1285" s="62" t="n">
        <f aca="false">MAX(0,IF(AND(Parameter!$B$21="Ja",ISNUMBER(Y1285)),Y1285,IF(Parameter!$B$20="Jahresanfang 2025 + Export",BS1285+BR1285,BR1285)))</f>
        <v>2</v>
      </c>
      <c r="I1285" s="62" t="n">
        <f aca="false">H1285*G1285</f>
        <v>228.82</v>
      </c>
      <c r="J1285" s="62" t="n">
        <f aca="false">BU1285*Parameter!$B$18</f>
        <v>5</v>
      </c>
      <c r="K1285" s="63" t="n">
        <v>11.5</v>
      </c>
      <c r="L1285" s="64" t="n">
        <v>0.434782608695652</v>
      </c>
      <c r="M1285" s="62" t="n">
        <v>0</v>
      </c>
      <c r="N1285" s="62" t="n">
        <v>5</v>
      </c>
      <c r="O1285" s="65" t="n">
        <v>56</v>
      </c>
      <c r="P1285" s="60" t="s">
        <v>463</v>
      </c>
      <c r="Q1285" s="62" t="n">
        <v>8</v>
      </c>
      <c r="R1285" s="65" t="n">
        <f aca="false">IF(CA1285=1,0,IFERROR(VLOOKUP(BY1285,'Gebinde-Kategorie'!$A$5:$N$45,13,0)+0,0))</f>
        <v>104</v>
      </c>
      <c r="S1285" s="66"/>
      <c r="T1285" s="67"/>
      <c r="U1285" s="67"/>
      <c r="V1285" s="67"/>
      <c r="W1285" s="60"/>
      <c r="X1285" s="62"/>
      <c r="Y1285" s="62"/>
      <c r="Z1285" s="60" t="n">
        <v>2</v>
      </c>
      <c r="AA1285" s="60" t="n">
        <f aca="false">IF(A1285="","",IF(AND(Parameter!$B$21="Ja",ISNUMBER(W1285)),W1285,IF(AND(Parameter!$E$27="Ja",ISNUMBER(Z1285),CD1285&lt;&gt;"Nein"),Z1285,IF(CD1285="2+3",IF(ISNUMBER(SEARCH("grosser Artikel",BV1285)),2,IFERROR(VLOOKUP(BY1285,Parameter!$F$35:$G$64,2,0),2)),IF(OR(CD1285="Nein",CD1285=""),"-",CD1285)))))</f>
        <v>2</v>
      </c>
      <c r="AB1285" s="67"/>
      <c r="AC1285" s="68"/>
      <c r="AD1285" s="62" t="n">
        <f aca="false">AW1285</f>
        <v>5</v>
      </c>
      <c r="AE1285" s="62" t="n">
        <f aca="false">MAX(AW1285,H1285)</f>
        <v>5</v>
      </c>
      <c r="AF1285" s="69"/>
      <c r="AG1285" s="62" t="n">
        <f aca="false">IF(LEFT(Cockpit!$C$5,1)="A",H1285,IF(Parameter!$E$30="MAX-Bestand",IF(CI1285=1,CJ1285,IF(LEFT(Cockpit!$C$5,1)="B",AM1285,MAX(AM1285,H1285))),ROUNDUP(AK1285,0)))</f>
        <v>2</v>
      </c>
      <c r="AH1285" s="62" t="n">
        <f aca="false">IF(CA1285=1,0,ROUNDUP(AG1285/BZ1285,0))</f>
        <v>1</v>
      </c>
      <c r="AI1285" s="64" t="n">
        <f aca="false">IF(CR1285&gt;0,CR1285*MAX(1,AG1285/X1285),IF(CA1285=1,IF(AG1285&lt;=0,0,CE1285*MAX(1,IF(H1285&gt;0,AG1285/H1285,1))),IF(R1285&gt;0,AH1285/R1285,0))/MAX(0.1,N(Parameter!$M$21)))</f>
        <v>0.00961538461538462</v>
      </c>
      <c r="AJ1285" s="62" t="n">
        <f aca="false">AI1285*CC1285</f>
        <v>1.49038461538462</v>
      </c>
      <c r="AK1285" s="63" t="n">
        <f aca="false">IF(LEFT(Cockpit!$C$5,1)="A",H1285,IF(CI1285=1,(CL1285+CJ1285)/2,IF(LEFT(Cockpit!$C$5,1)="B",(CL1285+AM1285)/2,MAX((CL1285+AM1285)/2,H1285))))</f>
        <v>2</v>
      </c>
      <c r="AL1285" s="62" t="n">
        <f aca="false">AK1285*G1285</f>
        <v>228.82</v>
      </c>
      <c r="AM1285" s="62" t="n">
        <f aca="false">ROUNDUP(CL1285+MAX(CM1285,2*(J1285/IF(CH1285&gt;0,CH1285,MAX(0.1,N(Cockpit!$C$6)))-CL1285)),0)</f>
        <v>5</v>
      </c>
      <c r="AN1285" s="63" t="n">
        <f aca="false">IF(AJ1285&gt;0,J1285/AJ1285,-1)</f>
        <v>3.35483870967742</v>
      </c>
      <c r="AO1285" s="63" t="n">
        <f aca="false">IF(AND(OR(CG1285="L1",CG1285="L23",CG1285="LIFT"),AJ1285&gt;0),SUMIFS($AJ$7:$AJ$1843,$CG$7:$CG$1843,CG1285,$AN$7:$AN$1843,"&gt;"&amp;AN1285)+SUMIFS($AJ$7:$AJ$1843,$CG$7:$CG$1843,CG1285,$AN$7:$AN$1843,AN1285,$BX$7:$BX$1843,"&lt;="&amp;BX1285),"")</f>
        <v>4957.0782967033</v>
      </c>
      <c r="AP1285" s="70" t="n">
        <f aca="false">IF(AO1285="",0,MAX(0,MIN(1,(IF(CG1285="L1",Parameter!$H$5,IF(CG1285="L23",Parameter!$H$6+Parameter!$H$7,Parameter!$H$5+Parameter!$H$6+Parameter!$H$7))-(AO1285-AJ1285))/AJ1285)))</f>
        <v>1</v>
      </c>
      <c r="AQ1285" s="62" t="n">
        <f aca="false">IF(LEFT(Cockpit!$I$5,1)="A",H1285,IF(Parameter!$E$30="MAX-Bestand",IF(CI1285=1,CJ1285,IF(LEFT(Cockpit!$I$5,1)="B",AW1285,MAX(AW1285,H1285))),ROUNDUP(AU1285,0)))</f>
        <v>3</v>
      </c>
      <c r="AR1285" s="62" t="n">
        <f aca="false">IF(CA1285=1,0,ROUNDUP(AQ1285/BZ1285,0))</f>
        <v>1</v>
      </c>
      <c r="AS1285" s="64" t="n">
        <f aca="false">IF(CR1285&gt;0,CR1285*MAX(1,AQ1285/X1285),IF(CA1285=1,IF(AQ1285&lt;=0,0,CE1285*MAX(1,IF(H1285&gt;0,AQ1285/H1285,1))),IF(R1285&gt;0,AR1285/R1285,0))/MAX(0.1,N(Parameter!$M$21)))</f>
        <v>0.00961538461538462</v>
      </c>
      <c r="AT1285" s="62" t="n">
        <f aca="false">AS1285*CC1285</f>
        <v>1.49038461538462</v>
      </c>
      <c r="AU1285" s="63" t="n">
        <f aca="false">IF(LEFT(Cockpit!$I$5,1)="A",H1285,IF(CI1285=1,(CL1285+CJ1285)/2,IF(LEFT(Cockpit!$I$5,1)="B",(CL1285+AW1285)/2,MAX((CL1285+AW1285)/2,H1285))))</f>
        <v>2.5</v>
      </c>
      <c r="AV1285" s="62" t="n">
        <f aca="false">AU1285*G1285</f>
        <v>286.025</v>
      </c>
      <c r="AW1285" s="62" t="n">
        <f aca="false">ROUNDUP(CL1285+MAX(CM1285,2*(J1285/IF(CH1285&gt;0,CH1285,MAX(0.1,N(Cockpit!$I$6)))-CL1285)),0)</f>
        <v>5</v>
      </c>
      <c r="AX1285" s="63" t="n">
        <f aca="false">IF(AT1285&gt;0,J1285/AT1285,-1)</f>
        <v>3.35483870967742</v>
      </c>
      <c r="AY1285" s="63" t="n">
        <f aca="false">IF(AND(OR(CG1285="L1",CG1285="L23",CG1285="LIFT"),AT1285&gt;0),SUMIFS($AT$7:$AT$1843,$CG$7:$CG$1843,CG1285,$AX$7:$AX$1843,"&gt;"&amp;AX1285)+SUMIFS($AT$7:$AT$1843,$CG$7:$CG$1843,CG1285,$AX$7:$AX$1843,AX1285,$BX$7:$BX$1843,"&lt;="&amp;BX1285),"")</f>
        <v>5620.91529304029</v>
      </c>
      <c r="AZ1285" s="70" t="n">
        <f aca="false">IF(AY1285="",0,MAX(0,MIN(1,(IF(CG1285="L1",Parameter!$H$5,IF(CG1285="L23",Parameter!$H$6+Parameter!$H$7,Parameter!$H$5+Parameter!$H$6+Parameter!$H$7))-(AY1285-AT1285))/AT1285)))</f>
        <v>1</v>
      </c>
      <c r="BA1285" s="62" t="n">
        <f aca="false">IF(LEFT(Cockpit!$O$5,1)="A",H1285,IF(Parameter!$E$30="MAX-Bestand",IF(CI1285=1,CJ1285,IF(LEFT(Cockpit!$O$5,1)="B",BG1285,MAX(BG1285,H1285))),ROUNDUP(BE1285,0)))</f>
        <v>3</v>
      </c>
      <c r="BB1285" s="62" t="n">
        <f aca="false">IF(CA1285=1,0,ROUNDUP(BA1285/BZ1285,0))</f>
        <v>1</v>
      </c>
      <c r="BC1285" s="64" t="n">
        <f aca="false">IF(CR1285&gt;0,CR1285*MAX(1,BA1285/X1285),IF(CA1285=1,IF(BA1285&lt;=0,0,CE1285*MAX(1,IF(H1285&gt;0,BA1285/H1285,1))),IF(R1285&gt;0,BB1285/R1285,0))/MAX(0.1,N(Parameter!$M$21)))</f>
        <v>0.00961538461538462</v>
      </c>
      <c r="BD1285" s="62" t="n">
        <f aca="false">BC1285*CC1285</f>
        <v>1.49038461538462</v>
      </c>
      <c r="BE1285" s="63" t="n">
        <f aca="false">IF(LEFT(Cockpit!$O$5,1)="A",H1285,IF(CI1285=1,(CL1285+CJ1285)/2,IF(LEFT(Cockpit!$O$5,1)="B",(CL1285+BG1285)/2,MAX((CL1285+BG1285)/2,H1285))))</f>
        <v>2.5</v>
      </c>
      <c r="BF1285" s="62" t="n">
        <f aca="false">BE1285*G1285</f>
        <v>286.025</v>
      </c>
      <c r="BG1285" s="62" t="n">
        <f aca="false">ROUNDUP(CL1285+MAX(CM1285,2*(J1285/IF(CH1285&gt;0,CH1285,MAX(0.1,N(Cockpit!$O$6)))-CL1285)),0)</f>
        <v>5</v>
      </c>
      <c r="BH1285" s="63" t="n">
        <f aca="false">IF(BD1285&gt;0,J1285/BD1285,-1)</f>
        <v>3.35483870967742</v>
      </c>
      <c r="BI1285" s="63" t="n">
        <f aca="false">IF(AND(OR(CG1285="L1",CG1285="L23",CG1285="LIFT"),BD1285&gt;0),SUMIFS($BD$7:$BD$1843,$CG$7:$CG$1843,CG1285,$BH$7:$BH$1843,"&gt;"&amp;BH1285)+SUMIFS($BD$7:$BD$1843,$CG$7:$CG$1843,CG1285,$BH$7:$BH$1843,BH1285,$BX$7:$BX$1843,"&lt;="&amp;BX1285),"")</f>
        <v>4601.13324175824</v>
      </c>
      <c r="BJ1285" s="70" t="n">
        <f aca="false">IF(BI1285="",0,MAX(0,MIN(1,(IF(CG1285="L1",Parameter!$H$5,IF(CG1285="L23",Parameter!$H$6+Parameter!$H$7,Parameter!$H$5+Parameter!$H$6+Parameter!$H$7))-(BI1285-BD1285))/BD1285)))</f>
        <v>1</v>
      </c>
      <c r="BK1285" s="60" t="str">
        <f aca="false">IF(AJ1285&lt;=0,"",IF(CG1285="Aussen","Aussenlager",IF(CG1285="-","Nicht im Lift",IF(AP1285&gt;=1,"Lift",IF(AP1285&lt;=0,"Aussenlager","teilweise")))))</f>
        <v>Lift</v>
      </c>
      <c r="BL1285" s="60" t="str">
        <f aca="false">IF(AT1285&lt;=0,"",IF(CG1285="Aussen","Aussenlager",IF(CG1285="-","Nicht im Lift",IF(AZ1285&gt;=1,"Lift",IF(AZ1285&lt;=0,"Aussenlager","teilweise")))))</f>
        <v>Lift</v>
      </c>
      <c r="BM1285" s="60" t="str">
        <f aca="false">IF(BD1285&lt;=0,"",IF(CG1285="Aussen","Aussenlager",IF(CG1285="-","Nicht im Lift",IF(BJ1285&gt;=1,"Lift",IF(BJ1285&lt;=0,"Aussenlager","teilweise")))))</f>
        <v>Lift</v>
      </c>
      <c r="BN1285" s="60" t="str">
        <f aca="false">IF(A1285="","",IF(BW1285=1,"Neu; ","")&amp;IF(AND(BW1285=0,BR1285&lt;0),"negativer Bestand (Export "&amp;BR1285&amp;"); ","")&amp;IF(J1285&lt;=0,"Kein Verbrauch; ","")&amp;IF(CR1285&gt;0,"Lift "&amp;W1285&amp;" lt. Liftbericht (Fach "&amp;X1285&amp;" Stk); ",IF(CB1285=1,"Gebinde geschätzt ("&amp;T1285&amp;"); ",IF(CA1285=1,"Lose – Tablare geschätzt; ","")))&amp;IF(H1285&gt;AW1285,"Überbestand "&amp;ROUND(H1285-AW1285,0)&amp;" Stk / CHF "&amp;ROUND((H1285-AW1285)*G1285,0)&amp;"; ","")&amp;IF(AND(CI1285=1,CJ1285&lt;CK1285),"MAX &lt; MB+LG; ","")&amp;IF(AND(CQ1285&gt;0,CP1285*10&gt;CQ1285),"zu hoch für Tablar; ","")&amp;IF(AND(BW1285=0,OR(CI1285=1,AB1285&lt;&gt;"",U1285&lt;&gt;"",V1285&lt;&gt;"",AC1285&lt;&gt;"")),"manuell übersteuert; ","")&amp;IF(AND(CA1285=0,R1285=0),"Gebinde unbekannt / Stellmass fehlt; ","")&amp;IF(AND(CA1285=0,N(V1285)&lt;=0,N(Q1285)&lt;=0),"Menge pro Gebinde fehlt (Ist = 1 Gebinde); ","")&amp;BV1285)</f>
        <v>negativer Bestand (Export -10); nicht im KTL vorhanden</v>
      </c>
      <c r="BO1285" s="60"/>
      <c r="BP1285" s="60"/>
      <c r="BQ1285" s="67"/>
      <c r="BR1285" s="62" t="n">
        <v>-10</v>
      </c>
      <c r="BS1285" s="62" t="n">
        <v>12</v>
      </c>
      <c r="BT1285" s="61" t="n">
        <v>-1113.96</v>
      </c>
      <c r="BU1285" s="62" t="n">
        <v>5</v>
      </c>
      <c r="BV1285" s="60" t="s">
        <v>272</v>
      </c>
      <c r="BW1285" s="65" t="n">
        <v>0</v>
      </c>
      <c r="BX1285" s="65" t="n">
        <v>1285</v>
      </c>
      <c r="BY1285" s="60" t="str">
        <f aca="false">IF(U1285&lt;&gt;"",UPPER(TRIM(U1285)),IF(CB1285=1,UPPER(VLOOKUP(T1285,Parameter!$I$27:$K$29,2,0)),IF(P1285="","LOSE",P1285)))</f>
        <v>S32</v>
      </c>
      <c r="BZ1285" s="62" t="n">
        <f aca="false">IF(BY1285="LOSE",1,IF(N(V1285)&gt;0,V1285,IF(CB1285=1,MAX(1,N(VLOOKUP(T1285,Parameter!$I$27:$K$29,3,0)),H1285,N(N1285)),IF(N(Q1285)&gt;0,Q1285,MAX(1,H1285)))))</f>
        <v>8</v>
      </c>
      <c r="CA1285" s="65" t="n">
        <f aca="false">IF(BY1285="LOSE",1,0)</f>
        <v>0</v>
      </c>
      <c r="CB1285" s="65" t="n">
        <f aca="false">IF(AND(U1285="",OR(P1285="",P1285="LOSE"),T1285&lt;&gt;"",N(S1285)&lt;=0,ISNUMBER(MATCH(T1285,Parameter!$I$27:$I$29,0))),1,0)</f>
        <v>0</v>
      </c>
      <c r="CC1285" s="65" t="n">
        <f aca="false">IF(CR1285&gt;0,INDEX(Parameter!$H$5:$H$7,W1285)/INDEX(Parameter!$E$5:$E$7,W1285),IF(AND(CA1285=0,N(IFERROR(VLOOKUP(BY1285,'Gebinde-Kategorie'!$A$5:$N$45,14,0),0))&gt;0),VLOOKUP(BY1285,'Gebinde-Kategorie'!$A$5:$N$45,14,0)*10+Parameter!$M$23,Parameter!$M$24))</f>
        <v>155</v>
      </c>
      <c r="CD1285" s="60" t="str">
        <f aca="false">IF(AND(Parameter!$B$19="Ja",E1285&lt;&gt;"",ISNUMBER(MATCH(E1285,Parameter!$I$35:$I$52,0))),VLOOKUP(E1285,Parameter!$I$35:$J$52,2,0),IFERROR(VLOOKUP(D1285,Parameter!$A$35:$C$64,2,0),"Nein"))</f>
        <v>2+3</v>
      </c>
      <c r="CE1285" s="64" t="n">
        <f aca="false">IF(CA1285=0,0,IF(N(S1285)&gt;0,S1285,IFERROR(VLOOKUP(D1285,Parameter!$A$35:$C$64,3,0)+0,0)))</f>
        <v>0</v>
      </c>
      <c r="CF1285" s="60" t="n">
        <f aca="false">IF(AB1285&lt;&gt;"",AB1285,AA1285)</f>
        <v>2</v>
      </c>
      <c r="CG1285" s="60" t="str">
        <f aca="false">IF(OR(CF1285=1,CF1285=2,CF1285=3),IF(Parameter!$E$27="Ja","LIFT",IF(CF1285=1,"L1","L23")),IF(CF1285="Aussen","Aussen","-"))</f>
        <v>LIFT</v>
      </c>
      <c r="CH1285" s="71" t="n">
        <f aca="false">IF(N(AC1285)&gt;0,AC1285,0)</f>
        <v>0</v>
      </c>
      <c r="CI1285" s="65" t="n">
        <f aca="false">IF(ISNUMBER(AF1285),1,0)</f>
        <v>0</v>
      </c>
      <c r="CJ1285" s="62" t="n">
        <f aca="false">N(AF1285)</f>
        <v>0</v>
      </c>
      <c r="CK1285" s="62" t="n">
        <f aca="false">N(M1285)+N(N1285)</f>
        <v>5</v>
      </c>
      <c r="CL1285" s="62" t="n">
        <f aca="false">N(M1285)</f>
        <v>0</v>
      </c>
      <c r="CM1285" s="62" t="n">
        <f aca="false">N(N1285)</f>
        <v>5</v>
      </c>
      <c r="CN1285" s="62" t="n">
        <f aca="false">ROUNDUP(H1285/BZ1285,0)</f>
        <v>1</v>
      </c>
      <c r="CO1285" s="62" t="n">
        <f aca="false">ROUNDUP(CJ1285/BZ1285,0)</f>
        <v>0</v>
      </c>
      <c r="CP1285" s="65" t="n">
        <f aca="false">IF(CA1285=1,0,IFERROR(VLOOKUP(BY1285,'Gebinde-Kategorie'!$A$5:$N$45,5,0)+0,0))</f>
        <v>8</v>
      </c>
      <c r="CQ1285" s="65" t="n">
        <f aca="false">IFERROR(IF(OR(CF1285=1,CF1285=2,CF1285=3),N(INDEX(Parameter!$I$5:$I$7,CF1285)),0),0)</f>
        <v>0</v>
      </c>
      <c r="CR1285" s="64" t="n">
        <f aca="false">IF(AND(Parameter!$B$21="Ja",ISNUMBER(W1285),N(X1285)&gt;0),IFERROR(N(INDEX(Parameter!$L$5:$L$7,W1285))*INDEX(Parameter!$E$5:$E$7,W1285)*X1285/SUMIFS($X$7:$X$1843,$W$7:$W$1843,W1285),0),0)</f>
        <v>0</v>
      </c>
      <c r="CS1285" s="62" t="n">
        <f aca="false">IF(AND(OR(CG1285="L1",CG1285="L23",CG1285="LIFT"),H1285&gt;0),CC1285*IF(CR1285&gt;0,CR1285*MAX(1,H1285/X1285),IF(CA1285=1,CE1285,IF(R1285&gt;0,CN1285/R1285,0))/MAX(0.1,N(Parameter!$M$21))),"")</f>
        <v>1.49038461538462</v>
      </c>
      <c r="CT1285" s="64" t="n">
        <f aca="false">IF(CS1285="","",J1285/H1285)</f>
        <v>2.5</v>
      </c>
      <c r="CU1285" s="62" t="n">
        <f aca="false">IF(CS1285="","",H1285*G1285)</f>
        <v>228.82</v>
      </c>
      <c r="CV1285" s="63" t="n">
        <f aca="false">IF(CS1285="","",(CL1285+ROUNDUP(CL1285+MAX(CM1285,2*(J1285/MAX(0.1,N(Einkauf!$C$6))-CL1285)),0))/2)</f>
        <v>2.5</v>
      </c>
      <c r="CW1285" s="62" t="n">
        <f aca="false">IF(CS1285="","",MAX(0,H1285-CV1285)*G1285)</f>
        <v>0</v>
      </c>
      <c r="CX1285" s="62" t="n">
        <f aca="false">IF(CS1285="","",CS1285*MAX(0,1-CV1285/H1285))</f>
        <v>0</v>
      </c>
      <c r="CY1285" s="64" t="n">
        <f aca="false">IF(CS1285="","",PERCENTRANK($CS$7:$CS$1843,CS1285)+PERCENTRANK($CU$7:$CU$1843,CU1285)+1-PERCENTRANK($CT$7:$CT$1843,CT1285))</f>
        <v>0.626</v>
      </c>
      <c r="CZ1285" s="72" t="n">
        <f aca="false">IF(CS1285="","",CHOOSE(MATCH(Einkauf!$C$5,Parameter!$G$23:$G$27,0),CY1285,CS1285,CU1285,-CT1285,CW1285)+ROW()/1000000000)</f>
        <v>0.626001285</v>
      </c>
    </row>
    <row r="1286" customFormat="false" ht="15" hidden="false" customHeight="false" outlineLevel="0" collapsed="false">
      <c r="A1286" s="60" t="s">
        <v>2336</v>
      </c>
      <c r="B1286" s="60" t="s">
        <v>2261</v>
      </c>
      <c r="C1286" s="60" t="s">
        <v>206</v>
      </c>
      <c r="D1286" s="60" t="s">
        <v>215</v>
      </c>
      <c r="E1286" s="60"/>
      <c r="F1286" s="60" t="s">
        <v>260</v>
      </c>
      <c r="G1286" s="61" t="n">
        <v>279.59</v>
      </c>
      <c r="H1286" s="62" t="n">
        <f aca="false">MAX(0,IF(AND(Parameter!$B$21="Ja",ISNUMBER(Y1286)),Y1286,IF(Parameter!$B$20="Jahresanfang 2025 + Export",BS1286+BR1286,BR1286)))</f>
        <v>108</v>
      </c>
      <c r="I1286" s="62" t="n">
        <f aca="false">H1286*G1286</f>
        <v>30195.72</v>
      </c>
      <c r="J1286" s="62" t="n">
        <f aca="false">BU1286*Parameter!$B$18</f>
        <v>2</v>
      </c>
      <c r="K1286" s="63" t="n">
        <v>111</v>
      </c>
      <c r="L1286" s="64" t="n">
        <v>0.018018018018018</v>
      </c>
      <c r="M1286" s="62" t="n">
        <v>0</v>
      </c>
      <c r="N1286" s="62" t="n">
        <v>1</v>
      </c>
      <c r="O1286" s="65" t="n">
        <v>28</v>
      </c>
      <c r="P1286" s="60" t="s">
        <v>210</v>
      </c>
      <c r="Q1286" s="62"/>
      <c r="R1286" s="65" t="n">
        <f aca="false">IF(CA1286=1,0,IFERROR(VLOOKUP(BY1286,'Gebinde-Kategorie'!$A$5:$N$45,13,0)+0,0))</f>
        <v>12</v>
      </c>
      <c r="S1286" s="66"/>
      <c r="T1286" s="67" t="s">
        <v>221</v>
      </c>
      <c r="U1286" s="67"/>
      <c r="V1286" s="67"/>
      <c r="W1286" s="60"/>
      <c r="X1286" s="62"/>
      <c r="Y1286" s="62"/>
      <c r="Z1286" s="60" t="n">
        <v>3</v>
      </c>
      <c r="AA1286" s="60" t="n">
        <f aca="false">IF(A1286="","",IF(AND(Parameter!$B$21="Ja",ISNUMBER(W1286)),W1286,IF(AND(Parameter!$E$27="Ja",ISNUMBER(Z1286),CD1286&lt;&gt;"Nein"),Z1286,IF(CD1286="2+3",IF(ISNUMBER(SEARCH("grosser Artikel",BV1286)),2,IFERROR(VLOOKUP(BY1286,Parameter!$F$35:$G$64,2,0),2)),IF(OR(CD1286="Nein",CD1286=""),"-",CD1286)))))</f>
        <v>3</v>
      </c>
      <c r="AB1286" s="67"/>
      <c r="AC1286" s="68"/>
      <c r="AD1286" s="62" t="n">
        <f aca="false">AW1286</f>
        <v>2</v>
      </c>
      <c r="AE1286" s="62" t="n">
        <f aca="false">MAX(AW1286,H1286)</f>
        <v>108</v>
      </c>
      <c r="AF1286" s="69"/>
      <c r="AG1286" s="62" t="n">
        <f aca="false">IF(LEFT(Cockpit!$C$5,1)="A",H1286,IF(Parameter!$E$30="MAX-Bestand",IF(CI1286=1,CJ1286,IF(LEFT(Cockpit!$C$5,1)="B",AM1286,MAX(AM1286,H1286))),ROUNDUP(AK1286,0)))</f>
        <v>108</v>
      </c>
      <c r="AH1286" s="62" t="n">
        <f aca="false">IF(CA1286=1,0,ROUNDUP(AG1286/BZ1286,0))</f>
        <v>1</v>
      </c>
      <c r="AI1286" s="64" t="n">
        <f aca="false">IF(CR1286&gt;0,CR1286*MAX(1,AG1286/X1286),IF(CA1286=1,IF(AG1286&lt;=0,0,CE1286*MAX(1,IF(H1286&gt;0,AG1286/H1286,1))),IF(R1286&gt;0,AH1286/R1286,0))/MAX(0.1,N(Parameter!$M$21)))</f>
        <v>0.0833333333333333</v>
      </c>
      <c r="AJ1286" s="62" t="n">
        <f aca="false">AI1286*CC1286</f>
        <v>12.0833333333333</v>
      </c>
      <c r="AK1286" s="63" t="n">
        <f aca="false">IF(LEFT(Cockpit!$C$5,1)="A",H1286,IF(CI1286=1,(CL1286+CJ1286)/2,IF(LEFT(Cockpit!$C$5,1)="B",(CL1286+AM1286)/2,MAX((CL1286+AM1286)/2,H1286))))</f>
        <v>108</v>
      </c>
      <c r="AL1286" s="62" t="n">
        <f aca="false">AK1286*G1286</f>
        <v>30195.72</v>
      </c>
      <c r="AM1286" s="62" t="n">
        <f aca="false">ROUNDUP(CL1286+MAX(CM1286,2*(J1286/IF(CH1286&gt;0,CH1286,MAX(0.1,N(Cockpit!$C$6)))-CL1286)),0)</f>
        <v>2</v>
      </c>
      <c r="AN1286" s="63" t="n">
        <f aca="false">IF(AJ1286&gt;0,J1286/AJ1286,-1)</f>
        <v>0.16551724137931</v>
      </c>
      <c r="AO1286" s="63" t="n">
        <f aca="false">IF(AND(OR(CG1286="L1",CG1286="L23",CG1286="LIFT"),AJ1286&gt;0),SUMIFS($AJ$7:$AJ$1843,$CG$7:$CG$1843,CG1286,$AN$7:$AN$1843,"&gt;"&amp;AN1286)+SUMIFS($AJ$7:$AJ$1843,$CG$7:$CG$1843,CG1286,$AN$7:$AN$1843,AN1286,$BX$7:$BX$1843,"&lt;="&amp;BX1286),"")</f>
        <v>12853.7401311024</v>
      </c>
      <c r="AP1286" s="70" t="n">
        <f aca="false">IF(AO1286="",0,MAX(0,MIN(1,(IF(CG1286="L1",Parameter!$H$5,IF(CG1286="L23",Parameter!$H$6+Parameter!$H$7,Parameter!$H$5+Parameter!$H$6+Parameter!$H$7))-(AO1286-AJ1286))/AJ1286)))</f>
        <v>1</v>
      </c>
      <c r="AQ1286" s="62" t="n">
        <f aca="false">IF(LEFT(Cockpit!$I$5,1)="A",H1286,IF(Parameter!$E$30="MAX-Bestand",IF(CI1286=1,CJ1286,IF(LEFT(Cockpit!$I$5,1)="B",AW1286,MAX(AW1286,H1286))),ROUNDUP(AU1286,0)))</f>
        <v>108</v>
      </c>
      <c r="AR1286" s="62" t="n">
        <f aca="false">IF(CA1286=1,0,ROUNDUP(AQ1286/BZ1286,0))</f>
        <v>1</v>
      </c>
      <c r="AS1286" s="64" t="n">
        <f aca="false">IF(CR1286&gt;0,CR1286*MAX(1,AQ1286/X1286),IF(CA1286=1,IF(AQ1286&lt;=0,0,CE1286*MAX(1,IF(H1286&gt;0,AQ1286/H1286,1))),IF(R1286&gt;0,AR1286/R1286,0))/MAX(0.1,N(Parameter!$M$21)))</f>
        <v>0.0833333333333333</v>
      </c>
      <c r="AT1286" s="62" t="n">
        <f aca="false">AS1286*CC1286</f>
        <v>12.0833333333333</v>
      </c>
      <c r="AU1286" s="63" t="n">
        <f aca="false">IF(LEFT(Cockpit!$I$5,1)="A",H1286,IF(CI1286=1,(CL1286+CJ1286)/2,IF(LEFT(Cockpit!$I$5,1)="B",(CL1286+AW1286)/2,MAX((CL1286+AW1286)/2,H1286))))</f>
        <v>108</v>
      </c>
      <c r="AV1286" s="62" t="n">
        <f aca="false">AU1286*G1286</f>
        <v>30195.72</v>
      </c>
      <c r="AW1286" s="62" t="n">
        <f aca="false">ROUNDUP(CL1286+MAX(CM1286,2*(J1286/IF(CH1286&gt;0,CH1286,MAX(0.1,N(Cockpit!$I$6)))-CL1286)),0)</f>
        <v>2</v>
      </c>
      <c r="AX1286" s="63" t="n">
        <f aca="false">IF(AT1286&gt;0,J1286/AT1286,-1)</f>
        <v>0.16551724137931</v>
      </c>
      <c r="AY1286" s="63" t="n">
        <f aca="false">IF(AND(OR(CG1286="L1",CG1286="L23",CG1286="LIFT"),AT1286&gt;0),SUMIFS($AT$7:$AT$1843,$CG$7:$CG$1843,CG1286,$AX$7:$AX$1843,"&gt;"&amp;AX1286)+SUMIFS($AT$7:$AT$1843,$CG$7:$CG$1843,CG1286,$AX$7:$AX$1843,AX1286,$BX$7:$BX$1843,"&lt;="&amp;BX1286),"")</f>
        <v>15806.5874542125</v>
      </c>
      <c r="AZ1286" s="70" t="n">
        <f aca="false">IF(AY1286="",0,MAX(0,MIN(1,(IF(CG1286="L1",Parameter!$H$5,IF(CG1286="L23",Parameter!$H$6+Parameter!$H$7,Parameter!$H$5+Parameter!$H$6+Parameter!$H$7))-(AY1286-AT1286))/AT1286)))</f>
        <v>1</v>
      </c>
      <c r="BA1286" s="62" t="n">
        <f aca="false">IF(LEFT(Cockpit!$O$5,1)="A",H1286,IF(Parameter!$E$30="MAX-Bestand",IF(CI1286=1,CJ1286,IF(LEFT(Cockpit!$O$5,1)="B",BG1286,MAX(BG1286,H1286))),ROUNDUP(BE1286,0)))</f>
        <v>1</v>
      </c>
      <c r="BB1286" s="62" t="n">
        <f aca="false">IF(CA1286=1,0,ROUNDUP(BA1286/BZ1286,0))</f>
        <v>1</v>
      </c>
      <c r="BC1286" s="64" t="n">
        <f aca="false">IF(CR1286&gt;0,CR1286*MAX(1,BA1286/X1286),IF(CA1286=1,IF(BA1286&lt;=0,0,CE1286*MAX(1,IF(H1286&gt;0,BA1286/H1286,1))),IF(R1286&gt;0,BB1286/R1286,0))/MAX(0.1,N(Parameter!$M$21)))</f>
        <v>0.0833333333333333</v>
      </c>
      <c r="BD1286" s="62" t="n">
        <f aca="false">BC1286*CC1286</f>
        <v>12.0833333333333</v>
      </c>
      <c r="BE1286" s="63" t="n">
        <f aca="false">IF(LEFT(Cockpit!$O$5,1)="A",H1286,IF(CI1286=1,(CL1286+CJ1286)/2,IF(LEFT(Cockpit!$O$5,1)="B",(CL1286+BG1286)/2,MAX((CL1286+BG1286)/2,H1286))))</f>
        <v>0.5</v>
      </c>
      <c r="BF1286" s="62" t="n">
        <f aca="false">BE1286*G1286</f>
        <v>139.795</v>
      </c>
      <c r="BG1286" s="62" t="n">
        <f aca="false">ROUNDUP(CL1286+MAX(CM1286,2*(J1286/IF(CH1286&gt;0,CH1286,MAX(0.1,N(Cockpit!$O$6)))-CL1286)),0)</f>
        <v>1</v>
      </c>
      <c r="BH1286" s="63" t="n">
        <f aca="false">IF(BD1286&gt;0,J1286/BD1286,-1)</f>
        <v>0.16551724137931</v>
      </c>
      <c r="BI1286" s="63" t="n">
        <f aca="false">IF(AND(OR(CG1286="L1",CG1286="L23",CG1286="LIFT"),BD1286&gt;0),SUMIFS($BD$7:$BD$1843,$CG$7:$CG$1843,CG1286,$BH$7:$BH$1843,"&gt;"&amp;BH1286)+SUMIFS($BD$7:$BD$1843,$CG$7:$CG$1843,CG1286,$BH$7:$BH$1843,BH1286,$BX$7:$BX$1843,"&lt;="&amp;BX1286),"")</f>
        <v>13633.0539491112</v>
      </c>
      <c r="BJ1286" s="70" t="n">
        <f aca="false">IF(BI1286="",0,MAX(0,MIN(1,(IF(CG1286="L1",Parameter!$H$5,IF(CG1286="L23",Parameter!$H$6+Parameter!$H$7,Parameter!$H$5+Parameter!$H$6+Parameter!$H$7))-(BI1286-BD1286))/BD1286)))</f>
        <v>1</v>
      </c>
      <c r="BK1286" s="60" t="str">
        <f aca="false">IF(AJ1286&lt;=0,"",IF(CG1286="Aussen","Aussenlager",IF(CG1286="-","Nicht im Lift",IF(AP1286&gt;=1,"Lift",IF(AP1286&lt;=0,"Aussenlager","teilweise")))))</f>
        <v>Lift</v>
      </c>
      <c r="BL1286" s="60" t="str">
        <f aca="false">IF(AT1286&lt;=0,"",IF(CG1286="Aussen","Aussenlager",IF(CG1286="-","Nicht im Lift",IF(AZ1286&gt;=1,"Lift",IF(AZ1286&lt;=0,"Aussenlager","teilweise")))))</f>
        <v>Lift</v>
      </c>
      <c r="BM1286" s="60" t="str">
        <f aca="false">IF(BD1286&lt;=0,"",IF(CG1286="Aussen","Aussenlager",IF(CG1286="-","Nicht im Lift",IF(BJ1286&gt;=1,"Lift",IF(BJ1286&lt;=0,"Aussenlager","teilweise")))))</f>
        <v>Lift</v>
      </c>
      <c r="BN1286" s="60" t="str">
        <f aca="false">IF(A1286="","",IF(BW1286=1,"Neu; ","")&amp;IF(AND(BW1286=0,BR1286&lt;0),"negativer Bestand (Export "&amp;BR1286&amp;"); ","")&amp;IF(J1286&lt;=0,"Kein Verbrauch; ","")&amp;IF(CR1286&gt;0,"Lift "&amp;W1286&amp;" lt. Liftbericht (Fach "&amp;X1286&amp;" Stk); ",IF(CB1286=1,"Gebinde geschätzt ("&amp;T1286&amp;"); ",IF(CA1286=1,"Lose – Tablare geschätzt; ","")))&amp;IF(H1286&gt;AW1286,"Überbestand "&amp;ROUND(H1286-AW1286,0)&amp;" Stk / CHF "&amp;ROUND((H1286-AW1286)*G1286,0)&amp;"; ","")&amp;IF(AND(CI1286=1,CJ1286&lt;CK1286),"MAX &lt; MB+LG; ","")&amp;IF(AND(CQ1286&gt;0,CP1286*10&gt;CQ1286),"zu hoch für Tablar; ","")&amp;IF(AND(BW1286=0,OR(CI1286=1,AB1286&lt;&gt;"",U1286&lt;&gt;"",V1286&lt;&gt;"",AC1286&lt;&gt;"")),"manuell übersteuert; ","")&amp;IF(AND(CA1286=0,R1286=0),"Gebinde unbekannt / Stellmass fehlt; ","")&amp;IF(AND(CA1286=0,N(V1286)&lt;=0,N(Q1286)&lt;=0),"Menge pro Gebinde fehlt (Ist = 1 Gebinde); ","")&amp;BV1286)</f>
        <v>negativer Bestand (Export -4); Gebinde geschätzt (Mittel); Überbestand 106 Stk / CHF 29637; Menge pro Gebinde fehlt (Ist = 1 Gebinde); </v>
      </c>
      <c r="BO1286" s="60"/>
      <c r="BP1286" s="60"/>
      <c r="BQ1286" s="67"/>
      <c r="BR1286" s="62" t="n">
        <v>-4</v>
      </c>
      <c r="BS1286" s="62" t="n">
        <v>112</v>
      </c>
      <c r="BT1286" s="61" t="n">
        <v>-1118.36</v>
      </c>
      <c r="BU1286" s="62" t="n">
        <v>2</v>
      </c>
      <c r="BV1286" s="60"/>
      <c r="BW1286" s="65" t="n">
        <v>0</v>
      </c>
      <c r="BX1286" s="65" t="n">
        <v>1286</v>
      </c>
      <c r="BY1286" s="60" t="str">
        <f aca="false">IF(U1286&lt;&gt;"",UPPER(TRIM(U1286)),IF(CB1286=1,UPPER(VLOOKUP(T1286,Parameter!$I$27:$K$29,2,0)),IF(P1286="","LOSE",P1286)))</f>
        <v>S61</v>
      </c>
      <c r="BZ1286" s="62" t="n">
        <f aca="false">IF(BY1286="LOSE",1,IF(N(V1286)&gt;0,V1286,IF(CB1286=1,MAX(1,N(VLOOKUP(T1286,Parameter!$I$27:$K$29,3,0)),H1286,N(N1286)),IF(N(Q1286)&gt;0,Q1286,MAX(1,H1286)))))</f>
        <v>108</v>
      </c>
      <c r="CA1286" s="65" t="n">
        <f aca="false">IF(BY1286="LOSE",1,0)</f>
        <v>0</v>
      </c>
      <c r="CB1286" s="65" t="n">
        <f aca="false">IF(AND(U1286="",OR(P1286="",P1286="LOSE"),T1286&lt;&gt;"",N(S1286)&lt;=0,ISNUMBER(MATCH(T1286,Parameter!$I$27:$I$29,0))),1,0)</f>
        <v>1</v>
      </c>
      <c r="CC1286" s="65" t="n">
        <f aca="false">IF(CR1286&gt;0,INDEX(Parameter!$H$5:$H$7,W1286)/INDEX(Parameter!$E$5:$E$7,W1286),IF(AND(CA1286=0,N(IFERROR(VLOOKUP(BY1286,'Gebinde-Kategorie'!$A$5:$N$45,14,0),0))&gt;0),VLOOKUP(BY1286,'Gebinde-Kategorie'!$A$5:$N$45,14,0)*10+Parameter!$M$23,Parameter!$M$24))</f>
        <v>145</v>
      </c>
      <c r="CD1286" s="60" t="str">
        <f aca="false">IF(AND(Parameter!$B$19="Ja",E1286&lt;&gt;"",ISNUMBER(MATCH(E1286,Parameter!$I$35:$I$52,0))),VLOOKUP(E1286,Parameter!$I$35:$J$52,2,0),IFERROR(VLOOKUP(D1286,Parameter!$A$35:$C$64,2,0),"Nein"))</f>
        <v>2+3</v>
      </c>
      <c r="CE1286" s="64" t="n">
        <f aca="false">IF(CA1286=0,0,IF(N(S1286)&gt;0,S1286,IFERROR(VLOOKUP(D1286,Parameter!$A$35:$C$64,3,0)+0,0)))</f>
        <v>0</v>
      </c>
      <c r="CF1286" s="60" t="n">
        <f aca="false">IF(AB1286&lt;&gt;"",AB1286,AA1286)</f>
        <v>3</v>
      </c>
      <c r="CG1286" s="60" t="str">
        <f aca="false">IF(OR(CF1286=1,CF1286=2,CF1286=3),IF(Parameter!$E$27="Ja","LIFT",IF(CF1286=1,"L1","L23")),IF(CF1286="Aussen","Aussen","-"))</f>
        <v>LIFT</v>
      </c>
      <c r="CH1286" s="71" t="n">
        <f aca="false">IF(N(AC1286)&gt;0,AC1286,0)</f>
        <v>0</v>
      </c>
      <c r="CI1286" s="65" t="n">
        <f aca="false">IF(ISNUMBER(AF1286),1,0)</f>
        <v>0</v>
      </c>
      <c r="CJ1286" s="62" t="n">
        <f aca="false">N(AF1286)</f>
        <v>0</v>
      </c>
      <c r="CK1286" s="62" t="n">
        <f aca="false">N(M1286)+N(N1286)</f>
        <v>1</v>
      </c>
      <c r="CL1286" s="62" t="n">
        <f aca="false">N(M1286)</f>
        <v>0</v>
      </c>
      <c r="CM1286" s="62" t="n">
        <f aca="false">N(N1286)</f>
        <v>1</v>
      </c>
      <c r="CN1286" s="62" t="n">
        <f aca="false">ROUNDUP(H1286/BZ1286,0)</f>
        <v>1</v>
      </c>
      <c r="CO1286" s="62" t="n">
        <f aca="false">ROUNDUP(CJ1286/BZ1286,0)</f>
        <v>0</v>
      </c>
      <c r="CP1286" s="65" t="n">
        <f aca="false">IF(CA1286=1,0,IFERROR(VLOOKUP(BY1286,'Gebinde-Kategorie'!$A$5:$N$45,5,0)+0,0))</f>
        <v>11</v>
      </c>
      <c r="CQ1286" s="65" t="n">
        <f aca="false">IFERROR(IF(OR(CF1286=1,CF1286=2,CF1286=3),N(INDEX(Parameter!$I$5:$I$7,CF1286)),0),0)</f>
        <v>0</v>
      </c>
      <c r="CR1286" s="64" t="n">
        <f aca="false">IF(AND(Parameter!$B$21="Ja",ISNUMBER(W1286),N(X1286)&gt;0),IFERROR(N(INDEX(Parameter!$L$5:$L$7,W1286))*INDEX(Parameter!$E$5:$E$7,W1286)*X1286/SUMIFS($X$7:$X$1843,$W$7:$W$1843,W1286),0),0)</f>
        <v>0</v>
      </c>
      <c r="CS1286" s="62" t="n">
        <f aca="false">IF(AND(OR(CG1286="L1",CG1286="L23",CG1286="LIFT"),H1286&gt;0),CC1286*IF(CR1286&gt;0,CR1286*MAX(1,H1286/X1286),IF(CA1286=1,CE1286,IF(R1286&gt;0,CN1286/R1286,0))/MAX(0.1,N(Parameter!$M$21))),"")</f>
        <v>12.0833333333333</v>
      </c>
      <c r="CT1286" s="64" t="n">
        <f aca="false">IF(CS1286="","",J1286/H1286)</f>
        <v>0.0185185185185185</v>
      </c>
      <c r="CU1286" s="62" t="n">
        <f aca="false">IF(CS1286="","",H1286*G1286)</f>
        <v>30195.72</v>
      </c>
      <c r="CV1286" s="63" t="n">
        <f aca="false">IF(CS1286="","",(CL1286+ROUNDUP(CL1286+MAX(CM1286,2*(J1286/MAX(0.1,N(Einkauf!$C$6))-CL1286)),0))/2)</f>
        <v>0.5</v>
      </c>
      <c r="CW1286" s="62" t="n">
        <f aca="false">IF(CS1286="","",MAX(0,H1286-CV1286)*G1286)</f>
        <v>30055.925</v>
      </c>
      <c r="CX1286" s="62" t="n">
        <f aca="false">IF(CS1286="","",CS1286*MAX(0,1-CV1286/H1286))</f>
        <v>12.0273919753086</v>
      </c>
      <c r="CY1286" s="64" t="n">
        <f aca="false">IF(CS1286="","",PERCENTRANK($CS$7:$CS$1843,CS1286)+PERCENTRANK($CU$7:$CU$1843,CU1286)+1-PERCENTRANK($CT$7:$CT$1843,CT1286))</f>
        <v>2.27</v>
      </c>
      <c r="CZ1286" s="72" t="n">
        <f aca="false">IF(CS1286="","",CHOOSE(MATCH(Einkauf!$C$5,Parameter!$G$23:$G$27,0),CY1286,CS1286,CU1286,-CT1286,CW1286)+ROW()/1000000000)</f>
        <v>2.270001286</v>
      </c>
    </row>
    <row r="1287" customFormat="false" ht="15" hidden="false" customHeight="false" outlineLevel="0" collapsed="false">
      <c r="A1287" s="60" t="s">
        <v>2337</v>
      </c>
      <c r="B1287" s="60" t="s">
        <v>2338</v>
      </c>
      <c r="C1287" s="60" t="s">
        <v>206</v>
      </c>
      <c r="D1287" s="60" t="s">
        <v>226</v>
      </c>
      <c r="E1287" s="60" t="s">
        <v>227</v>
      </c>
      <c r="F1287" s="60" t="s">
        <v>260</v>
      </c>
      <c r="G1287" s="61" t="n">
        <v>112.45</v>
      </c>
      <c r="H1287" s="62" t="n">
        <f aca="false">MAX(0,IF(AND(Parameter!$B$21="Ja",ISNUMBER(Y1287)),Y1287,IF(Parameter!$B$20="Jahresanfang 2025 + Export",BS1287+BR1287,BR1287)))</f>
        <v>4</v>
      </c>
      <c r="I1287" s="62" t="n">
        <f aca="false">H1287*G1287</f>
        <v>449.8</v>
      </c>
      <c r="J1287" s="62" t="n">
        <f aca="false">BU1287*Parameter!$B$18</f>
        <v>2</v>
      </c>
      <c r="K1287" s="63" t="n">
        <v>13</v>
      </c>
      <c r="L1287" s="64" t="n">
        <v>0.153846153846154</v>
      </c>
      <c r="M1287" s="62" t="n">
        <v>0</v>
      </c>
      <c r="N1287" s="62" t="n">
        <v>1</v>
      </c>
      <c r="O1287" s="65" t="n">
        <v>56</v>
      </c>
      <c r="P1287" s="60" t="s">
        <v>463</v>
      </c>
      <c r="Q1287" s="62" t="n">
        <v>6</v>
      </c>
      <c r="R1287" s="65" t="n">
        <f aca="false">IF(CA1287=1,0,IFERROR(VLOOKUP(BY1287,'Gebinde-Kategorie'!$A$5:$N$45,13,0)+0,0))</f>
        <v>104</v>
      </c>
      <c r="S1287" s="66"/>
      <c r="T1287" s="67"/>
      <c r="U1287" s="67"/>
      <c r="V1287" s="67"/>
      <c r="W1287" s="60"/>
      <c r="X1287" s="62"/>
      <c r="Y1287" s="62"/>
      <c r="Z1287" s="60" t="n">
        <v>2</v>
      </c>
      <c r="AA1287" s="60" t="n">
        <f aca="false">IF(A1287="","",IF(AND(Parameter!$B$21="Ja",ISNUMBER(W1287)),W1287,IF(AND(Parameter!$E$27="Ja",ISNUMBER(Z1287),CD1287&lt;&gt;"Nein"),Z1287,IF(CD1287="2+3",IF(ISNUMBER(SEARCH("grosser Artikel",BV1287)),2,IFERROR(VLOOKUP(BY1287,Parameter!$F$35:$G$64,2,0),2)),IF(OR(CD1287="Nein",CD1287=""),"-",CD1287)))))</f>
        <v>2</v>
      </c>
      <c r="AB1287" s="67"/>
      <c r="AC1287" s="68"/>
      <c r="AD1287" s="62" t="n">
        <f aca="false">AW1287</f>
        <v>2</v>
      </c>
      <c r="AE1287" s="62" t="n">
        <f aca="false">MAX(AW1287,H1287)</f>
        <v>4</v>
      </c>
      <c r="AF1287" s="69"/>
      <c r="AG1287" s="62" t="n">
        <f aca="false">IF(LEFT(Cockpit!$C$5,1)="A",H1287,IF(Parameter!$E$30="MAX-Bestand",IF(CI1287=1,CJ1287,IF(LEFT(Cockpit!$C$5,1)="B",AM1287,MAX(AM1287,H1287))),ROUNDUP(AK1287,0)))</f>
        <v>4</v>
      </c>
      <c r="AH1287" s="62" t="n">
        <f aca="false">IF(CA1287=1,0,ROUNDUP(AG1287/BZ1287,0))</f>
        <v>1</v>
      </c>
      <c r="AI1287" s="64" t="n">
        <f aca="false">IF(CR1287&gt;0,CR1287*MAX(1,AG1287/X1287),IF(CA1287=1,IF(AG1287&lt;=0,0,CE1287*MAX(1,IF(H1287&gt;0,AG1287/H1287,1))),IF(R1287&gt;0,AH1287/R1287,0))/MAX(0.1,N(Parameter!$M$21)))</f>
        <v>0.00961538461538462</v>
      </c>
      <c r="AJ1287" s="62" t="n">
        <f aca="false">AI1287*CC1287</f>
        <v>1.49038461538462</v>
      </c>
      <c r="AK1287" s="63" t="n">
        <f aca="false">IF(LEFT(Cockpit!$C$5,1)="A",H1287,IF(CI1287=1,(CL1287+CJ1287)/2,IF(LEFT(Cockpit!$C$5,1)="B",(CL1287+AM1287)/2,MAX((CL1287+AM1287)/2,H1287))))</f>
        <v>4</v>
      </c>
      <c r="AL1287" s="62" t="n">
        <f aca="false">AK1287*G1287</f>
        <v>449.8</v>
      </c>
      <c r="AM1287" s="62" t="n">
        <f aca="false">ROUNDUP(CL1287+MAX(CM1287,2*(J1287/IF(CH1287&gt;0,CH1287,MAX(0.1,N(Cockpit!$C$6)))-CL1287)),0)</f>
        <v>2</v>
      </c>
      <c r="AN1287" s="63" t="n">
        <f aca="false">IF(AJ1287&gt;0,J1287/AJ1287,-1)</f>
        <v>1.34193548387097</v>
      </c>
      <c r="AO1287" s="63" t="n">
        <f aca="false">IF(AND(OR(CG1287="L1",CG1287="L23",CG1287="LIFT"),AJ1287&gt;0),SUMIFS($AJ$7:$AJ$1843,$CG$7:$CG$1843,CG1287,$AN$7:$AN$1843,"&gt;"&amp;AN1287)+SUMIFS($AJ$7:$AJ$1843,$CG$7:$CG$1843,CG1287,$AN$7:$AN$1843,AN1287,$BX$7:$BX$1843,"&lt;="&amp;BX1287),"")</f>
        <v>6363.93635531136</v>
      </c>
      <c r="AP1287" s="70" t="n">
        <f aca="false">IF(AO1287="",0,MAX(0,MIN(1,(IF(CG1287="L1",Parameter!$H$5,IF(CG1287="L23",Parameter!$H$6+Parameter!$H$7,Parameter!$H$5+Parameter!$H$6+Parameter!$H$7))-(AO1287-AJ1287))/AJ1287)))</f>
        <v>1</v>
      </c>
      <c r="AQ1287" s="62" t="n">
        <f aca="false">IF(LEFT(Cockpit!$I$5,1)="A",H1287,IF(Parameter!$E$30="MAX-Bestand",IF(CI1287=1,CJ1287,IF(LEFT(Cockpit!$I$5,1)="B",AW1287,MAX(AW1287,H1287))),ROUNDUP(AU1287,0)))</f>
        <v>4</v>
      </c>
      <c r="AR1287" s="62" t="n">
        <f aca="false">IF(CA1287=1,0,ROUNDUP(AQ1287/BZ1287,0))</f>
        <v>1</v>
      </c>
      <c r="AS1287" s="64" t="n">
        <f aca="false">IF(CR1287&gt;0,CR1287*MAX(1,AQ1287/X1287),IF(CA1287=1,IF(AQ1287&lt;=0,0,CE1287*MAX(1,IF(H1287&gt;0,AQ1287/H1287,1))),IF(R1287&gt;0,AR1287/R1287,0))/MAX(0.1,N(Parameter!$M$21)))</f>
        <v>0.00961538461538462</v>
      </c>
      <c r="AT1287" s="62" t="n">
        <f aca="false">AS1287*CC1287</f>
        <v>1.49038461538462</v>
      </c>
      <c r="AU1287" s="63" t="n">
        <f aca="false">IF(LEFT(Cockpit!$I$5,1)="A",H1287,IF(CI1287=1,(CL1287+CJ1287)/2,IF(LEFT(Cockpit!$I$5,1)="B",(CL1287+AW1287)/2,MAX((CL1287+AW1287)/2,H1287))))</f>
        <v>4</v>
      </c>
      <c r="AV1287" s="62" t="n">
        <f aca="false">AU1287*G1287</f>
        <v>449.8</v>
      </c>
      <c r="AW1287" s="62" t="n">
        <f aca="false">ROUNDUP(CL1287+MAX(CM1287,2*(J1287/IF(CH1287&gt;0,CH1287,MAX(0.1,N(Cockpit!$I$6)))-CL1287)),0)</f>
        <v>2</v>
      </c>
      <c r="AX1287" s="63" t="n">
        <f aca="false">IF(AT1287&gt;0,J1287/AT1287,-1)</f>
        <v>1.34193548387097</v>
      </c>
      <c r="AY1287" s="63" t="n">
        <f aca="false">IF(AND(OR(CG1287="L1",CG1287="L23",CG1287="LIFT"),AT1287&gt;0),SUMIFS($AT$7:$AT$1843,$CG$7:$CG$1843,CG1287,$AX$7:$AX$1843,"&gt;"&amp;AX1287)+SUMIFS($AT$7:$AT$1843,$CG$7:$CG$1843,CG1287,$AX$7:$AX$1843,AX1287,$BX$7:$BX$1843,"&lt;="&amp;BX1287),"")</f>
        <v>7891.10073260073</v>
      </c>
      <c r="AZ1287" s="70" t="n">
        <f aca="false">IF(AY1287="",0,MAX(0,MIN(1,(IF(CG1287="L1",Parameter!$H$5,IF(CG1287="L23",Parameter!$H$6+Parameter!$H$7,Parameter!$H$5+Parameter!$H$6+Parameter!$H$7))-(AY1287-AT1287))/AT1287)))</f>
        <v>1</v>
      </c>
      <c r="BA1287" s="62" t="n">
        <f aca="false">IF(LEFT(Cockpit!$O$5,1)="A",H1287,IF(Parameter!$E$30="MAX-Bestand",IF(CI1287=1,CJ1287,IF(LEFT(Cockpit!$O$5,1)="B",BG1287,MAX(BG1287,H1287))),ROUNDUP(BE1287,0)))</f>
        <v>1</v>
      </c>
      <c r="BB1287" s="62" t="n">
        <f aca="false">IF(CA1287=1,0,ROUNDUP(BA1287/BZ1287,0))</f>
        <v>1</v>
      </c>
      <c r="BC1287" s="64" t="n">
        <f aca="false">IF(CR1287&gt;0,CR1287*MAX(1,BA1287/X1287),IF(CA1287=1,IF(BA1287&lt;=0,0,CE1287*MAX(1,IF(H1287&gt;0,BA1287/H1287,1))),IF(R1287&gt;0,BB1287/R1287,0))/MAX(0.1,N(Parameter!$M$21)))</f>
        <v>0.00961538461538462</v>
      </c>
      <c r="BD1287" s="62" t="n">
        <f aca="false">BC1287*CC1287</f>
        <v>1.49038461538462</v>
      </c>
      <c r="BE1287" s="63" t="n">
        <f aca="false">IF(LEFT(Cockpit!$O$5,1)="A",H1287,IF(CI1287=1,(CL1287+CJ1287)/2,IF(LEFT(Cockpit!$O$5,1)="B",(CL1287+BG1287)/2,MAX((CL1287+BG1287)/2,H1287))))</f>
        <v>0.5</v>
      </c>
      <c r="BF1287" s="62" t="n">
        <f aca="false">BE1287*G1287</f>
        <v>56.225</v>
      </c>
      <c r="BG1287" s="62" t="n">
        <f aca="false">ROUNDUP(CL1287+MAX(CM1287,2*(J1287/IF(CH1287&gt;0,CH1287,MAX(0.1,N(Cockpit!$O$6)))-CL1287)),0)</f>
        <v>1</v>
      </c>
      <c r="BH1287" s="63" t="n">
        <f aca="false">IF(BD1287&gt;0,J1287/BD1287,-1)</f>
        <v>1.34193548387097</v>
      </c>
      <c r="BI1287" s="63" t="n">
        <f aca="false">IF(AND(OR(CG1287="L1",CG1287="L23",CG1287="LIFT"),BD1287&gt;0),SUMIFS($BD$7:$BD$1843,$CG$7:$CG$1843,CG1287,$BH$7:$BH$1843,"&gt;"&amp;BH1287)+SUMIFS($BD$7:$BD$1843,$CG$7:$CG$1843,CG1287,$BH$7:$BH$1843,BH1287,$BX$7:$BX$1843,"&lt;="&amp;BX1287),"")</f>
        <v>6828.31639194139</v>
      </c>
      <c r="BJ1287" s="70" t="n">
        <f aca="false">IF(BI1287="",0,MAX(0,MIN(1,(IF(CG1287="L1",Parameter!$H$5,IF(CG1287="L23",Parameter!$H$6+Parameter!$H$7,Parameter!$H$5+Parameter!$H$6+Parameter!$H$7))-(BI1287-BD1287))/BD1287)))</f>
        <v>1</v>
      </c>
      <c r="BK1287" s="60" t="str">
        <f aca="false">IF(AJ1287&lt;=0,"",IF(CG1287="Aussen","Aussenlager",IF(CG1287="-","Nicht im Lift",IF(AP1287&gt;=1,"Lift",IF(AP1287&lt;=0,"Aussenlager","teilweise")))))</f>
        <v>Lift</v>
      </c>
      <c r="BL1287" s="60" t="str">
        <f aca="false">IF(AT1287&lt;=0,"",IF(CG1287="Aussen","Aussenlager",IF(CG1287="-","Nicht im Lift",IF(AZ1287&gt;=1,"Lift",IF(AZ1287&lt;=0,"Aussenlager","teilweise")))))</f>
        <v>Lift</v>
      </c>
      <c r="BM1287" s="60" t="str">
        <f aca="false">IF(BD1287&lt;=0,"",IF(CG1287="Aussen","Aussenlager",IF(CG1287="-","Nicht im Lift",IF(BJ1287&gt;=1,"Lift",IF(BJ1287&lt;=0,"Aussenlager","teilweise")))))</f>
        <v>Lift</v>
      </c>
      <c r="BN1287" s="60" t="str">
        <f aca="false">IF(A1287="","",IF(BW1287=1,"Neu; ","")&amp;IF(AND(BW1287=0,BR1287&lt;0),"negativer Bestand (Export "&amp;BR1287&amp;"); ","")&amp;IF(J1287&lt;=0,"Kein Verbrauch; ","")&amp;IF(CR1287&gt;0,"Lift "&amp;W1287&amp;" lt. Liftbericht (Fach "&amp;X1287&amp;" Stk); ",IF(CB1287=1,"Gebinde geschätzt ("&amp;T1287&amp;"); ",IF(CA1287=1,"Lose – Tablare geschätzt; ","")))&amp;IF(H1287&gt;AW1287,"Überbestand "&amp;ROUND(H1287-AW1287,0)&amp;" Stk / CHF "&amp;ROUND((H1287-AW1287)*G1287,0)&amp;"; ","")&amp;IF(AND(CI1287=1,CJ1287&lt;CK1287),"MAX &lt; MB+LG; ","")&amp;IF(AND(CQ1287&gt;0,CP1287*10&gt;CQ1287),"zu hoch für Tablar; ","")&amp;IF(AND(BW1287=0,OR(CI1287=1,AB1287&lt;&gt;"",U1287&lt;&gt;"",V1287&lt;&gt;"",AC1287&lt;&gt;"")),"manuell übersteuert; ","")&amp;IF(AND(CA1287=0,R1287=0),"Gebinde unbekannt / Stellmass fehlt; ","")&amp;IF(AND(CA1287=0,N(V1287)&lt;=0,N(Q1287)&lt;=0),"Menge pro Gebinde fehlt (Ist = 1 Gebinde); ","")&amp;BV1287)</f>
        <v>negativer Bestand (Export -10); Überbestand 2 Stk / CHF 225; nicht im KTL vorhanden</v>
      </c>
      <c r="BO1287" s="60"/>
      <c r="BP1287" s="60"/>
      <c r="BQ1287" s="67"/>
      <c r="BR1287" s="62" t="n">
        <v>-10</v>
      </c>
      <c r="BS1287" s="62" t="n">
        <v>14</v>
      </c>
      <c r="BT1287" s="61" t="n">
        <v>-1124.5</v>
      </c>
      <c r="BU1287" s="62" t="n">
        <v>2</v>
      </c>
      <c r="BV1287" s="60" t="s">
        <v>272</v>
      </c>
      <c r="BW1287" s="65" t="n">
        <v>0</v>
      </c>
      <c r="BX1287" s="65" t="n">
        <v>1287</v>
      </c>
      <c r="BY1287" s="60" t="str">
        <f aca="false">IF(U1287&lt;&gt;"",UPPER(TRIM(U1287)),IF(CB1287=1,UPPER(VLOOKUP(T1287,Parameter!$I$27:$K$29,2,0)),IF(P1287="","LOSE",P1287)))</f>
        <v>S32</v>
      </c>
      <c r="BZ1287" s="62" t="n">
        <f aca="false">IF(BY1287="LOSE",1,IF(N(V1287)&gt;0,V1287,IF(CB1287=1,MAX(1,N(VLOOKUP(T1287,Parameter!$I$27:$K$29,3,0)),H1287,N(N1287)),IF(N(Q1287)&gt;0,Q1287,MAX(1,H1287)))))</f>
        <v>6</v>
      </c>
      <c r="CA1287" s="65" t="n">
        <f aca="false">IF(BY1287="LOSE",1,0)</f>
        <v>0</v>
      </c>
      <c r="CB1287" s="65" t="n">
        <f aca="false">IF(AND(U1287="",OR(P1287="",P1287="LOSE"),T1287&lt;&gt;"",N(S1287)&lt;=0,ISNUMBER(MATCH(T1287,Parameter!$I$27:$I$29,0))),1,0)</f>
        <v>0</v>
      </c>
      <c r="CC1287" s="65" t="n">
        <f aca="false">IF(CR1287&gt;0,INDEX(Parameter!$H$5:$H$7,W1287)/INDEX(Parameter!$E$5:$E$7,W1287),IF(AND(CA1287=0,N(IFERROR(VLOOKUP(BY1287,'Gebinde-Kategorie'!$A$5:$N$45,14,0),0))&gt;0),VLOOKUP(BY1287,'Gebinde-Kategorie'!$A$5:$N$45,14,0)*10+Parameter!$M$23,Parameter!$M$24))</f>
        <v>155</v>
      </c>
      <c r="CD1287" s="60" t="str">
        <f aca="false">IF(AND(Parameter!$B$19="Ja",E1287&lt;&gt;"",ISNUMBER(MATCH(E1287,Parameter!$I$35:$I$52,0))),VLOOKUP(E1287,Parameter!$I$35:$J$52,2,0),IFERROR(VLOOKUP(D1287,Parameter!$A$35:$C$64,2,0),"Nein"))</f>
        <v>2+3</v>
      </c>
      <c r="CE1287" s="64" t="n">
        <f aca="false">IF(CA1287=0,0,IF(N(S1287)&gt;0,S1287,IFERROR(VLOOKUP(D1287,Parameter!$A$35:$C$64,3,0)+0,0)))</f>
        <v>0</v>
      </c>
      <c r="CF1287" s="60" t="n">
        <f aca="false">IF(AB1287&lt;&gt;"",AB1287,AA1287)</f>
        <v>2</v>
      </c>
      <c r="CG1287" s="60" t="str">
        <f aca="false">IF(OR(CF1287=1,CF1287=2,CF1287=3),IF(Parameter!$E$27="Ja","LIFT",IF(CF1287=1,"L1","L23")),IF(CF1287="Aussen","Aussen","-"))</f>
        <v>LIFT</v>
      </c>
      <c r="CH1287" s="71" t="n">
        <f aca="false">IF(N(AC1287)&gt;0,AC1287,0)</f>
        <v>0</v>
      </c>
      <c r="CI1287" s="65" t="n">
        <f aca="false">IF(ISNUMBER(AF1287),1,0)</f>
        <v>0</v>
      </c>
      <c r="CJ1287" s="62" t="n">
        <f aca="false">N(AF1287)</f>
        <v>0</v>
      </c>
      <c r="CK1287" s="62" t="n">
        <f aca="false">N(M1287)+N(N1287)</f>
        <v>1</v>
      </c>
      <c r="CL1287" s="62" t="n">
        <f aca="false">N(M1287)</f>
        <v>0</v>
      </c>
      <c r="CM1287" s="62" t="n">
        <f aca="false">N(N1287)</f>
        <v>1</v>
      </c>
      <c r="CN1287" s="62" t="n">
        <f aca="false">ROUNDUP(H1287/BZ1287,0)</f>
        <v>1</v>
      </c>
      <c r="CO1287" s="62" t="n">
        <f aca="false">ROUNDUP(CJ1287/BZ1287,0)</f>
        <v>0</v>
      </c>
      <c r="CP1287" s="65" t="n">
        <f aca="false">IF(CA1287=1,0,IFERROR(VLOOKUP(BY1287,'Gebinde-Kategorie'!$A$5:$N$45,5,0)+0,0))</f>
        <v>8</v>
      </c>
      <c r="CQ1287" s="65" t="n">
        <f aca="false">IFERROR(IF(OR(CF1287=1,CF1287=2,CF1287=3),N(INDEX(Parameter!$I$5:$I$7,CF1287)),0),0)</f>
        <v>0</v>
      </c>
      <c r="CR1287" s="64" t="n">
        <f aca="false">IF(AND(Parameter!$B$21="Ja",ISNUMBER(W1287),N(X1287)&gt;0),IFERROR(N(INDEX(Parameter!$L$5:$L$7,W1287))*INDEX(Parameter!$E$5:$E$7,W1287)*X1287/SUMIFS($X$7:$X$1843,$W$7:$W$1843,W1287),0),0)</f>
        <v>0</v>
      </c>
      <c r="CS1287" s="62" t="n">
        <f aca="false">IF(AND(OR(CG1287="L1",CG1287="L23",CG1287="LIFT"),H1287&gt;0),CC1287*IF(CR1287&gt;0,CR1287*MAX(1,H1287/X1287),IF(CA1287=1,CE1287,IF(R1287&gt;0,CN1287/R1287,0))/MAX(0.1,N(Parameter!$M$21))),"")</f>
        <v>1.49038461538462</v>
      </c>
      <c r="CT1287" s="64" t="n">
        <f aca="false">IF(CS1287="","",J1287/H1287)</f>
        <v>0.5</v>
      </c>
      <c r="CU1287" s="62" t="n">
        <f aca="false">IF(CS1287="","",H1287*G1287)</f>
        <v>449.8</v>
      </c>
      <c r="CV1287" s="63" t="n">
        <f aca="false">IF(CS1287="","",(CL1287+ROUNDUP(CL1287+MAX(CM1287,2*(J1287/MAX(0.1,N(Einkauf!$C$6))-CL1287)),0))/2)</f>
        <v>0.5</v>
      </c>
      <c r="CW1287" s="62" t="n">
        <f aca="false">IF(CS1287="","",MAX(0,H1287-CV1287)*G1287)</f>
        <v>393.575</v>
      </c>
      <c r="CX1287" s="62" t="n">
        <f aca="false">IF(CS1287="","",CS1287*MAX(0,1-CV1287/H1287))</f>
        <v>1.30408653846154</v>
      </c>
      <c r="CY1287" s="64" t="n">
        <f aca="false">IF(CS1287="","",PERCENTRANK($CS$7:$CS$1843,CS1287)+PERCENTRANK($CU$7:$CU$1843,CU1287)+1-PERCENTRANK($CT$7:$CT$1843,CT1287))</f>
        <v>1.062</v>
      </c>
      <c r="CZ1287" s="72" t="n">
        <f aca="false">IF(CS1287="","",CHOOSE(MATCH(Einkauf!$C$5,Parameter!$G$23:$G$27,0),CY1287,CS1287,CU1287,-CT1287,CW1287)+ROW()/1000000000)</f>
        <v>1.062001287</v>
      </c>
    </row>
    <row r="1288" customFormat="false" ht="15" hidden="false" customHeight="false" outlineLevel="0" collapsed="false">
      <c r="A1288" s="60" t="s">
        <v>2339</v>
      </c>
      <c r="B1288" s="60" t="s">
        <v>1871</v>
      </c>
      <c r="C1288" s="60" t="s">
        <v>206</v>
      </c>
      <c r="D1288" s="60" t="s">
        <v>226</v>
      </c>
      <c r="E1288" s="60" t="s">
        <v>227</v>
      </c>
      <c r="F1288" s="60" t="s">
        <v>260</v>
      </c>
      <c r="G1288" s="61" t="n">
        <v>30.9</v>
      </c>
      <c r="H1288" s="62" t="n">
        <f aca="false">MAX(0,IF(AND(Parameter!$B$21="Ja",ISNUMBER(Y1288)),Y1288,IF(Parameter!$B$20="Jahresanfang 2025 + Export",BS1288+BR1288,BR1288)))</f>
        <v>111</v>
      </c>
      <c r="I1288" s="62" t="n">
        <f aca="false">H1288*G1288</f>
        <v>3429.9</v>
      </c>
      <c r="J1288" s="62" t="n">
        <f aca="false">BU1288*Parameter!$B$18</f>
        <v>42</v>
      </c>
      <c r="K1288" s="63" t="n">
        <v>132.5</v>
      </c>
      <c r="L1288" s="64" t="n">
        <v>0.316981132075472</v>
      </c>
      <c r="M1288" s="62" t="n">
        <v>8</v>
      </c>
      <c r="N1288" s="62" t="n">
        <v>40</v>
      </c>
      <c r="O1288" s="65" t="n">
        <v>70</v>
      </c>
      <c r="P1288" s="60" t="s">
        <v>344</v>
      </c>
      <c r="Q1288" s="62" t="n">
        <v>113</v>
      </c>
      <c r="R1288" s="65" t="n">
        <f aca="false">IF(CA1288=1,0,IFERROR(VLOOKUP(BY1288,'Gebinde-Kategorie'!$A$5:$N$45,13,0)+0,0))</f>
        <v>26</v>
      </c>
      <c r="S1288" s="66"/>
      <c r="T1288" s="67"/>
      <c r="U1288" s="67"/>
      <c r="V1288" s="67"/>
      <c r="W1288" s="60"/>
      <c r="X1288" s="62"/>
      <c r="Y1288" s="62"/>
      <c r="Z1288" s="60" t="n">
        <v>3</v>
      </c>
      <c r="AA1288" s="60" t="n">
        <f aca="false">IF(A1288="","",IF(AND(Parameter!$B$21="Ja",ISNUMBER(W1288)),W1288,IF(AND(Parameter!$E$27="Ja",ISNUMBER(Z1288),CD1288&lt;&gt;"Nein"),Z1288,IF(CD1288="2+3",IF(ISNUMBER(SEARCH("grosser Artikel",BV1288)),2,IFERROR(VLOOKUP(BY1288,Parameter!$F$35:$G$64,2,0),2)),IF(OR(CD1288="Nein",CD1288=""),"-",CD1288)))))</f>
        <v>3</v>
      </c>
      <c r="AB1288" s="67"/>
      <c r="AC1288" s="68"/>
      <c r="AD1288" s="62" t="n">
        <f aca="false">AW1288</f>
        <v>48</v>
      </c>
      <c r="AE1288" s="62" t="n">
        <f aca="false">MAX(AW1288,H1288)</f>
        <v>111</v>
      </c>
      <c r="AF1288" s="69"/>
      <c r="AG1288" s="62" t="n">
        <f aca="false">IF(LEFT(Cockpit!$C$5,1)="A",H1288,IF(Parameter!$E$30="MAX-Bestand",IF(CI1288=1,CJ1288,IF(LEFT(Cockpit!$C$5,1)="B",AM1288,MAX(AM1288,H1288))),ROUNDUP(AK1288,0)))</f>
        <v>111</v>
      </c>
      <c r="AH1288" s="62" t="n">
        <f aca="false">IF(CA1288=1,0,ROUNDUP(AG1288/BZ1288,0))</f>
        <v>1</v>
      </c>
      <c r="AI1288" s="64" t="n">
        <f aca="false">IF(CR1288&gt;0,CR1288*MAX(1,AG1288/X1288),IF(CA1288=1,IF(AG1288&lt;=0,0,CE1288*MAX(1,IF(H1288&gt;0,AG1288/H1288,1))),IF(R1288&gt;0,AH1288/R1288,0))/MAX(0.1,N(Parameter!$M$21)))</f>
        <v>0.0384615384615385</v>
      </c>
      <c r="AJ1288" s="62" t="n">
        <f aca="false">AI1288*CC1288</f>
        <v>5.96153846153846</v>
      </c>
      <c r="AK1288" s="63" t="n">
        <f aca="false">IF(LEFT(Cockpit!$C$5,1)="A",H1288,IF(CI1288=1,(CL1288+CJ1288)/2,IF(LEFT(Cockpit!$C$5,1)="B",(CL1288+AM1288)/2,MAX((CL1288+AM1288)/2,H1288))))</f>
        <v>111</v>
      </c>
      <c r="AL1288" s="62" t="n">
        <f aca="false">AK1288*G1288</f>
        <v>3429.9</v>
      </c>
      <c r="AM1288" s="62" t="n">
        <f aca="false">ROUNDUP(CL1288+MAX(CM1288,2*(J1288/IF(CH1288&gt;0,CH1288,MAX(0.1,N(Cockpit!$C$6)))-CL1288)),0)</f>
        <v>48</v>
      </c>
      <c r="AN1288" s="63" t="n">
        <f aca="false">IF(AJ1288&gt;0,J1288/AJ1288,-1)</f>
        <v>7.04516129032258</v>
      </c>
      <c r="AO1288" s="63" t="n">
        <f aca="false">IF(AND(OR(CG1288="L1",CG1288="L23",CG1288="LIFT"),AJ1288&gt;0),SUMIFS($AJ$7:$AJ$1843,$CG$7:$CG$1843,CG1288,$AN$7:$AN$1843,"&gt;"&amp;AN1288)+SUMIFS($AJ$7:$AJ$1843,$CG$7:$CG$1843,CG1288,$AN$7:$AN$1843,AN1288,$BX$7:$BX$1843,"&lt;="&amp;BX1288),"")</f>
        <v>3190.13690476191</v>
      </c>
      <c r="AP1288" s="70" t="n">
        <f aca="false">IF(AO1288="",0,MAX(0,MIN(1,(IF(CG1288="L1",Parameter!$H$5,IF(CG1288="L23",Parameter!$H$6+Parameter!$H$7,Parameter!$H$5+Parameter!$H$6+Parameter!$H$7))-(AO1288-AJ1288))/AJ1288)))</f>
        <v>1</v>
      </c>
      <c r="AQ1288" s="62" t="n">
        <f aca="false">IF(LEFT(Cockpit!$I$5,1)="A",H1288,IF(Parameter!$E$30="MAX-Bestand",IF(CI1288=1,CJ1288,IF(LEFT(Cockpit!$I$5,1)="B",AW1288,MAX(AW1288,H1288))),ROUNDUP(AU1288,0)))</f>
        <v>111</v>
      </c>
      <c r="AR1288" s="62" t="n">
        <f aca="false">IF(CA1288=1,0,ROUNDUP(AQ1288/BZ1288,0))</f>
        <v>1</v>
      </c>
      <c r="AS1288" s="64" t="n">
        <f aca="false">IF(CR1288&gt;0,CR1288*MAX(1,AQ1288/X1288),IF(CA1288=1,IF(AQ1288&lt;=0,0,CE1288*MAX(1,IF(H1288&gt;0,AQ1288/H1288,1))),IF(R1288&gt;0,AR1288/R1288,0))/MAX(0.1,N(Parameter!$M$21)))</f>
        <v>0.0384615384615385</v>
      </c>
      <c r="AT1288" s="62" t="n">
        <f aca="false">AS1288*CC1288</f>
        <v>5.96153846153846</v>
      </c>
      <c r="AU1288" s="63" t="n">
        <f aca="false">IF(LEFT(Cockpit!$I$5,1)="A",H1288,IF(CI1288=1,(CL1288+CJ1288)/2,IF(LEFT(Cockpit!$I$5,1)="B",(CL1288+AW1288)/2,MAX((CL1288+AW1288)/2,H1288))))</f>
        <v>111</v>
      </c>
      <c r="AV1288" s="62" t="n">
        <f aca="false">AU1288*G1288</f>
        <v>3429.9</v>
      </c>
      <c r="AW1288" s="62" t="n">
        <f aca="false">ROUNDUP(CL1288+MAX(CM1288,2*(J1288/IF(CH1288&gt;0,CH1288,MAX(0.1,N(Cockpit!$I$6)))-CL1288)),0)</f>
        <v>48</v>
      </c>
      <c r="AX1288" s="63" t="n">
        <f aca="false">IF(AT1288&gt;0,J1288/AT1288,-1)</f>
        <v>7.04516129032258</v>
      </c>
      <c r="AY1288" s="63" t="n">
        <f aca="false">IF(AND(OR(CG1288="L1",CG1288="L23",CG1288="LIFT"),AT1288&gt;0),SUMIFS($AT$7:$AT$1843,$CG$7:$CG$1843,CG1288,$AX$7:$AX$1843,"&gt;"&amp;AX1288)+SUMIFS($AT$7:$AT$1843,$CG$7:$CG$1843,CG1288,$AX$7:$AX$1843,AX1288,$BX$7:$BX$1843,"&lt;="&amp;BX1288),"")</f>
        <v>3850.44826007326</v>
      </c>
      <c r="AZ1288" s="70" t="n">
        <f aca="false">IF(AY1288="",0,MAX(0,MIN(1,(IF(CG1288="L1",Parameter!$H$5,IF(CG1288="L23",Parameter!$H$6+Parameter!$H$7,Parameter!$H$5+Parameter!$H$6+Parameter!$H$7))-(AY1288-AT1288))/AT1288)))</f>
        <v>1</v>
      </c>
      <c r="BA1288" s="62" t="n">
        <f aca="false">IF(LEFT(Cockpit!$O$5,1)="A",H1288,IF(Parameter!$E$30="MAX-Bestand",IF(CI1288=1,CJ1288,IF(LEFT(Cockpit!$O$5,1)="B",BG1288,MAX(BG1288,H1288))),ROUNDUP(BE1288,0)))</f>
        <v>28</v>
      </c>
      <c r="BB1288" s="62" t="n">
        <f aca="false">IF(CA1288=1,0,ROUNDUP(BA1288/BZ1288,0))</f>
        <v>1</v>
      </c>
      <c r="BC1288" s="64" t="n">
        <f aca="false">IF(CR1288&gt;0,CR1288*MAX(1,BA1288/X1288),IF(CA1288=1,IF(BA1288&lt;=0,0,CE1288*MAX(1,IF(H1288&gt;0,BA1288/H1288,1))),IF(R1288&gt;0,BB1288/R1288,0))/MAX(0.1,N(Parameter!$M$21)))</f>
        <v>0.0384615384615385</v>
      </c>
      <c r="BD1288" s="62" t="n">
        <f aca="false">BC1288*CC1288</f>
        <v>5.96153846153846</v>
      </c>
      <c r="BE1288" s="63" t="n">
        <f aca="false">IF(LEFT(Cockpit!$O$5,1)="A",H1288,IF(CI1288=1,(CL1288+CJ1288)/2,IF(LEFT(Cockpit!$O$5,1)="B",(CL1288+BG1288)/2,MAX((CL1288+BG1288)/2,H1288))))</f>
        <v>28</v>
      </c>
      <c r="BF1288" s="62" t="n">
        <f aca="false">BE1288*G1288</f>
        <v>865.2</v>
      </c>
      <c r="BG1288" s="62" t="n">
        <f aca="false">ROUNDUP(CL1288+MAX(CM1288,2*(J1288/IF(CH1288&gt;0,CH1288,MAX(0.1,N(Cockpit!$O$6)))-CL1288)),0)</f>
        <v>48</v>
      </c>
      <c r="BH1288" s="63" t="n">
        <f aca="false">IF(BD1288&gt;0,J1288/BD1288,-1)</f>
        <v>7.04516129032258</v>
      </c>
      <c r="BI1288" s="63" t="n">
        <f aca="false">IF(AND(OR(CG1288="L1",CG1288="L23",CG1288="LIFT"),BD1288&gt;0),SUMIFS($BD$7:$BD$1843,$CG$7:$CG$1843,CG1288,$BH$7:$BH$1843,"&gt;"&amp;BH1288)+SUMIFS($BD$7:$BD$1843,$CG$7:$CG$1843,CG1288,$BH$7:$BH$1843,BH1288,$BX$7:$BX$1843,"&lt;="&amp;BX1288),"")</f>
        <v>3280.86767399267</v>
      </c>
      <c r="BJ1288" s="70" t="n">
        <f aca="false">IF(BI1288="",0,MAX(0,MIN(1,(IF(CG1288="L1",Parameter!$H$5,IF(CG1288="L23",Parameter!$H$6+Parameter!$H$7,Parameter!$H$5+Parameter!$H$6+Parameter!$H$7))-(BI1288-BD1288))/BD1288)))</f>
        <v>1</v>
      </c>
      <c r="BK1288" s="60" t="str">
        <f aca="false">IF(AJ1288&lt;=0,"",IF(CG1288="Aussen","Aussenlager",IF(CG1288="-","Nicht im Lift",IF(AP1288&gt;=1,"Lift",IF(AP1288&lt;=0,"Aussenlager","teilweise")))))</f>
        <v>Lift</v>
      </c>
      <c r="BL1288" s="60" t="str">
        <f aca="false">IF(AT1288&lt;=0,"",IF(CG1288="Aussen","Aussenlager",IF(CG1288="-","Nicht im Lift",IF(AZ1288&gt;=1,"Lift",IF(AZ1288&lt;=0,"Aussenlager","teilweise")))))</f>
        <v>Lift</v>
      </c>
      <c r="BM1288" s="60" t="str">
        <f aca="false">IF(BD1288&lt;=0,"",IF(CG1288="Aussen","Aussenlager",IF(CG1288="-","Nicht im Lift",IF(BJ1288&gt;=1,"Lift",IF(BJ1288&lt;=0,"Aussenlager","teilweise")))))</f>
        <v>Lift</v>
      </c>
      <c r="BN1288" s="60" t="str">
        <f aca="false">IF(A1288="","",IF(BW1288=1,"Neu; ","")&amp;IF(AND(BW1288=0,BR1288&lt;0),"negativer Bestand (Export "&amp;BR1288&amp;"); ","")&amp;IF(J1288&lt;=0,"Kein Verbrauch; ","")&amp;IF(CR1288&gt;0,"Lift "&amp;W1288&amp;" lt. Liftbericht (Fach "&amp;X1288&amp;" Stk); ",IF(CB1288=1,"Gebinde geschätzt ("&amp;T1288&amp;"); ",IF(CA1288=1,"Lose – Tablare geschätzt; ","")))&amp;IF(H1288&gt;AW1288,"Überbestand "&amp;ROUND(H1288-AW1288,0)&amp;" Stk / CHF "&amp;ROUND((H1288-AW1288)*G1288,0)&amp;"; ","")&amp;IF(AND(CI1288=1,CJ1288&lt;CK1288),"MAX &lt; MB+LG; ","")&amp;IF(AND(CQ1288&gt;0,CP1288*10&gt;CQ1288),"zu hoch für Tablar; ","")&amp;IF(AND(BW1288=0,OR(CI1288=1,AB1288&lt;&gt;"",U1288&lt;&gt;"",V1288&lt;&gt;"",AC1288&lt;&gt;"")),"manuell übersteuert; ","")&amp;IF(AND(CA1288=0,R1288=0),"Gebinde unbekannt / Stellmass fehlt; ","")&amp;IF(AND(CA1288=0,N(V1288)&lt;=0,N(Q1288)&lt;=0),"Menge pro Gebinde fehlt (Ist = 1 Gebinde); ","")&amp;BV1288)</f>
        <v>negativer Bestand (Export -43); Überbestand 63 Stk / CHF 1947; </v>
      </c>
      <c r="BO1288" s="60"/>
      <c r="BP1288" s="60"/>
      <c r="BQ1288" s="67"/>
      <c r="BR1288" s="62" t="n">
        <v>-43</v>
      </c>
      <c r="BS1288" s="62" t="n">
        <v>154</v>
      </c>
      <c r="BT1288" s="61" t="n">
        <v>-1126.96</v>
      </c>
      <c r="BU1288" s="62" t="n">
        <v>42</v>
      </c>
      <c r="BV1288" s="60"/>
      <c r="BW1288" s="65" t="n">
        <v>0</v>
      </c>
      <c r="BX1288" s="65" t="n">
        <v>1288</v>
      </c>
      <c r="BY1288" s="60" t="str">
        <f aca="false">IF(U1288&lt;&gt;"",UPPER(TRIM(U1288)),IF(CB1288=1,UPPER(VLOOKUP(T1288,Parameter!$I$27:$K$29,2,0)),IF(P1288="","LOSE",P1288)))</f>
        <v>S51</v>
      </c>
      <c r="BZ1288" s="62" t="n">
        <f aca="false">IF(BY1288="LOSE",1,IF(N(V1288)&gt;0,V1288,IF(CB1288=1,MAX(1,N(VLOOKUP(T1288,Parameter!$I$27:$K$29,3,0)),H1288,N(N1288)),IF(N(Q1288)&gt;0,Q1288,MAX(1,H1288)))))</f>
        <v>113</v>
      </c>
      <c r="CA1288" s="65" t="n">
        <f aca="false">IF(BY1288="LOSE",1,0)</f>
        <v>0</v>
      </c>
      <c r="CB1288" s="65" t="n">
        <f aca="false">IF(AND(U1288="",OR(P1288="",P1288="LOSE"),T1288&lt;&gt;"",N(S1288)&lt;=0,ISNUMBER(MATCH(T1288,Parameter!$I$27:$I$29,0))),1,0)</f>
        <v>0</v>
      </c>
      <c r="CC1288" s="65" t="n">
        <f aca="false">IF(CR1288&gt;0,INDEX(Parameter!$H$5:$H$7,W1288)/INDEX(Parameter!$E$5:$E$7,W1288),IF(AND(CA1288=0,N(IFERROR(VLOOKUP(BY1288,'Gebinde-Kategorie'!$A$5:$N$45,14,0),0))&gt;0),VLOOKUP(BY1288,'Gebinde-Kategorie'!$A$5:$N$45,14,0)*10+Parameter!$M$23,Parameter!$M$24))</f>
        <v>155</v>
      </c>
      <c r="CD1288" s="60" t="str">
        <f aca="false">IF(AND(Parameter!$B$19="Ja",E1288&lt;&gt;"",ISNUMBER(MATCH(E1288,Parameter!$I$35:$I$52,0))),VLOOKUP(E1288,Parameter!$I$35:$J$52,2,0),IFERROR(VLOOKUP(D1288,Parameter!$A$35:$C$64,2,0),"Nein"))</f>
        <v>2+3</v>
      </c>
      <c r="CE1288" s="64" t="n">
        <f aca="false">IF(CA1288=0,0,IF(N(S1288)&gt;0,S1288,IFERROR(VLOOKUP(D1288,Parameter!$A$35:$C$64,3,0)+0,0)))</f>
        <v>0</v>
      </c>
      <c r="CF1288" s="60" t="n">
        <f aca="false">IF(AB1288&lt;&gt;"",AB1288,AA1288)</f>
        <v>3</v>
      </c>
      <c r="CG1288" s="60" t="str">
        <f aca="false">IF(OR(CF1288=1,CF1288=2,CF1288=3),IF(Parameter!$E$27="Ja","LIFT",IF(CF1288=1,"L1","L23")),IF(CF1288="Aussen","Aussen","-"))</f>
        <v>LIFT</v>
      </c>
      <c r="CH1288" s="71" t="n">
        <f aca="false">IF(N(AC1288)&gt;0,AC1288,0)</f>
        <v>0</v>
      </c>
      <c r="CI1288" s="65" t="n">
        <f aca="false">IF(ISNUMBER(AF1288),1,0)</f>
        <v>0</v>
      </c>
      <c r="CJ1288" s="62" t="n">
        <f aca="false">N(AF1288)</f>
        <v>0</v>
      </c>
      <c r="CK1288" s="62" t="n">
        <f aca="false">N(M1288)+N(N1288)</f>
        <v>48</v>
      </c>
      <c r="CL1288" s="62" t="n">
        <f aca="false">N(M1288)</f>
        <v>8</v>
      </c>
      <c r="CM1288" s="62" t="n">
        <f aca="false">N(N1288)</f>
        <v>40</v>
      </c>
      <c r="CN1288" s="62" t="n">
        <f aca="false">ROUNDUP(H1288/BZ1288,0)</f>
        <v>1</v>
      </c>
      <c r="CO1288" s="62" t="n">
        <f aca="false">ROUNDUP(CJ1288/BZ1288,0)</f>
        <v>0</v>
      </c>
      <c r="CP1288" s="65" t="n">
        <f aca="false">IF(CA1288=1,0,IFERROR(VLOOKUP(BY1288,'Gebinde-Kategorie'!$A$5:$N$45,5,0)+0,0))</f>
        <v>11</v>
      </c>
      <c r="CQ1288" s="65" t="n">
        <f aca="false">IFERROR(IF(OR(CF1288=1,CF1288=2,CF1288=3),N(INDEX(Parameter!$I$5:$I$7,CF1288)),0),0)</f>
        <v>0</v>
      </c>
      <c r="CR1288" s="64" t="n">
        <f aca="false">IF(AND(Parameter!$B$21="Ja",ISNUMBER(W1288),N(X1288)&gt;0),IFERROR(N(INDEX(Parameter!$L$5:$L$7,W1288))*INDEX(Parameter!$E$5:$E$7,W1288)*X1288/SUMIFS($X$7:$X$1843,$W$7:$W$1843,W1288),0),0)</f>
        <v>0</v>
      </c>
      <c r="CS1288" s="62" t="n">
        <f aca="false">IF(AND(OR(CG1288="L1",CG1288="L23",CG1288="LIFT"),H1288&gt;0),CC1288*IF(CR1288&gt;0,CR1288*MAX(1,H1288/X1288),IF(CA1288=1,CE1288,IF(R1288&gt;0,CN1288/R1288,0))/MAX(0.1,N(Parameter!$M$21))),"")</f>
        <v>5.96153846153846</v>
      </c>
      <c r="CT1288" s="64" t="n">
        <f aca="false">IF(CS1288="","",J1288/H1288)</f>
        <v>0.378378378378378</v>
      </c>
      <c r="CU1288" s="62" t="n">
        <f aca="false">IF(CS1288="","",H1288*G1288)</f>
        <v>3429.9</v>
      </c>
      <c r="CV1288" s="63" t="n">
        <f aca="false">IF(CS1288="","",(CL1288+ROUNDUP(CL1288+MAX(CM1288,2*(J1288/MAX(0.1,N(Einkauf!$C$6))-CL1288)),0))/2)</f>
        <v>28</v>
      </c>
      <c r="CW1288" s="62" t="n">
        <f aca="false">IF(CS1288="","",MAX(0,H1288-CV1288)*G1288)</f>
        <v>2564.7</v>
      </c>
      <c r="CX1288" s="62" t="n">
        <f aca="false">IF(CS1288="","",CS1288*MAX(0,1-CV1288/H1288))</f>
        <v>4.45772695772696</v>
      </c>
      <c r="CY1288" s="64" t="n">
        <f aca="false">IF(CS1288="","",PERCENTRANK($CS$7:$CS$1843,CS1288)+PERCENTRANK($CU$7:$CU$1843,CU1288)+1-PERCENTRANK($CT$7:$CT$1843,CT1288))</f>
        <v>1.691</v>
      </c>
      <c r="CZ1288" s="72" t="n">
        <f aca="false">IF(CS1288="","",CHOOSE(MATCH(Einkauf!$C$5,Parameter!$G$23:$G$27,0),CY1288,CS1288,CU1288,-CT1288,CW1288)+ROW()/1000000000)</f>
        <v>1.691001288</v>
      </c>
    </row>
    <row r="1289" customFormat="false" ht="15" hidden="false" customHeight="false" outlineLevel="0" collapsed="false">
      <c r="A1289" s="60" t="s">
        <v>2340</v>
      </c>
      <c r="B1289" s="60" t="s">
        <v>447</v>
      </c>
      <c r="C1289" s="60" t="s">
        <v>206</v>
      </c>
      <c r="D1289" s="60" t="s">
        <v>226</v>
      </c>
      <c r="E1289" s="60" t="s">
        <v>227</v>
      </c>
      <c r="F1289" s="60" t="s">
        <v>260</v>
      </c>
      <c r="G1289" s="61" t="n">
        <v>0.14</v>
      </c>
      <c r="H1289" s="62" t="n">
        <f aca="false">MAX(0,IF(AND(Parameter!$B$21="Ja",ISNUMBER(Y1289)),Y1289,IF(Parameter!$B$20="Jahresanfang 2025 + Export",BS1289+BR1289,BR1289)))</f>
        <v>673</v>
      </c>
      <c r="I1289" s="62" t="n">
        <f aca="false">H1289*G1289</f>
        <v>94.22</v>
      </c>
      <c r="J1289" s="62" t="n">
        <f aca="false">BU1289*Parameter!$B$18</f>
        <v>2173</v>
      </c>
      <c r="K1289" s="63" t="n">
        <v>1861.5</v>
      </c>
      <c r="L1289" s="64" t="n">
        <v>1.16733816814397</v>
      </c>
      <c r="M1289" s="62" t="n">
        <v>127</v>
      </c>
      <c r="N1289" s="62" t="n">
        <v>1000</v>
      </c>
      <c r="O1289" s="65" t="n">
        <v>21</v>
      </c>
      <c r="P1289" s="60" t="s">
        <v>344</v>
      </c>
      <c r="Q1289" s="62" t="n">
        <v>1238</v>
      </c>
      <c r="R1289" s="65" t="n">
        <f aca="false">IF(CA1289=1,0,IFERROR(VLOOKUP(BY1289,'Gebinde-Kategorie'!$A$5:$N$45,13,0)+0,0))</f>
        <v>26</v>
      </c>
      <c r="S1289" s="66"/>
      <c r="T1289" s="67"/>
      <c r="U1289" s="67"/>
      <c r="V1289" s="67"/>
      <c r="W1289" s="60"/>
      <c r="X1289" s="62"/>
      <c r="Y1289" s="62"/>
      <c r="Z1289" s="60" t="n">
        <v>3</v>
      </c>
      <c r="AA1289" s="60" t="n">
        <f aca="false">IF(A1289="","",IF(AND(Parameter!$B$21="Ja",ISNUMBER(W1289)),W1289,IF(AND(Parameter!$E$27="Ja",ISNUMBER(Z1289),CD1289&lt;&gt;"Nein"),Z1289,IF(CD1289="2+3",IF(ISNUMBER(SEARCH("grosser Artikel",BV1289)),2,IFERROR(VLOOKUP(BY1289,Parameter!$F$35:$G$64,2,0),2)),IF(OR(CD1289="Nein",CD1289=""),"-",CD1289)))))</f>
        <v>3</v>
      </c>
      <c r="AB1289" s="67"/>
      <c r="AC1289" s="68"/>
      <c r="AD1289" s="62" t="n">
        <f aca="false">AW1289</f>
        <v>1322</v>
      </c>
      <c r="AE1289" s="62" t="n">
        <f aca="false">MAX(AW1289,H1289)</f>
        <v>1322</v>
      </c>
      <c r="AF1289" s="69"/>
      <c r="AG1289" s="62" t="n">
        <f aca="false">IF(LEFT(Cockpit!$C$5,1)="A",H1289,IF(Parameter!$E$30="MAX-Bestand",IF(CI1289=1,CJ1289,IF(LEFT(Cockpit!$C$5,1)="B",AM1289,MAX(AM1289,H1289))),ROUNDUP(AK1289,0)))</f>
        <v>673</v>
      </c>
      <c r="AH1289" s="62" t="n">
        <f aca="false">IF(CA1289=1,0,ROUNDUP(AG1289/BZ1289,0))</f>
        <v>1</v>
      </c>
      <c r="AI1289" s="64" t="n">
        <f aca="false">IF(CR1289&gt;0,CR1289*MAX(1,AG1289/X1289),IF(CA1289=1,IF(AG1289&lt;=0,0,CE1289*MAX(1,IF(H1289&gt;0,AG1289/H1289,1))),IF(R1289&gt;0,AH1289/R1289,0))/MAX(0.1,N(Parameter!$M$21)))</f>
        <v>0.0384615384615385</v>
      </c>
      <c r="AJ1289" s="62" t="n">
        <f aca="false">AI1289*CC1289</f>
        <v>5.96153846153846</v>
      </c>
      <c r="AK1289" s="63" t="n">
        <f aca="false">IF(LEFT(Cockpit!$C$5,1)="A",H1289,IF(CI1289=1,(CL1289+CJ1289)/2,IF(LEFT(Cockpit!$C$5,1)="B",(CL1289+AM1289)/2,MAX((CL1289+AM1289)/2,H1289))))</f>
        <v>673</v>
      </c>
      <c r="AL1289" s="62" t="n">
        <f aca="false">AK1289*G1289</f>
        <v>94.22</v>
      </c>
      <c r="AM1289" s="62" t="n">
        <f aca="false">ROUNDUP(CL1289+MAX(CM1289,2*(J1289/IF(CH1289&gt;0,CH1289,MAX(0.1,N(Cockpit!$C$6)))-CL1289)),0)</f>
        <v>1322</v>
      </c>
      <c r="AN1289" s="63" t="n">
        <f aca="false">IF(AJ1289&gt;0,J1289/AJ1289,-1)</f>
        <v>364.503225806452</v>
      </c>
      <c r="AO1289" s="63" t="n">
        <f aca="false">IF(AND(OR(CG1289="L1",CG1289="L23",CG1289="LIFT"),AJ1289&gt;0),SUMIFS($AJ$7:$AJ$1843,$CG$7:$CG$1843,CG1289,$AN$7:$AN$1843,"&gt;"&amp;AN1289)+SUMIFS($AJ$7:$AJ$1843,$CG$7:$CG$1843,CG1289,$AN$7:$AN$1843,AN1289,$BX$7:$BX$1843,"&lt;="&amp;BX1289),"")</f>
        <v>217.872252747253</v>
      </c>
      <c r="AP1289" s="70" t="n">
        <f aca="false">IF(AO1289="",0,MAX(0,MIN(1,(IF(CG1289="L1",Parameter!$H$5,IF(CG1289="L23",Parameter!$H$6+Parameter!$H$7,Parameter!$H$5+Parameter!$H$6+Parameter!$H$7))-(AO1289-AJ1289))/AJ1289)))</f>
        <v>1</v>
      </c>
      <c r="AQ1289" s="62" t="n">
        <f aca="false">IF(LEFT(Cockpit!$I$5,1)="A",H1289,IF(Parameter!$E$30="MAX-Bestand",IF(CI1289=1,CJ1289,IF(LEFT(Cockpit!$I$5,1)="B",AW1289,MAX(AW1289,H1289))),ROUNDUP(AU1289,0)))</f>
        <v>725</v>
      </c>
      <c r="AR1289" s="62" t="n">
        <f aca="false">IF(CA1289=1,0,ROUNDUP(AQ1289/BZ1289,0))</f>
        <v>1</v>
      </c>
      <c r="AS1289" s="64" t="n">
        <f aca="false">IF(CR1289&gt;0,CR1289*MAX(1,AQ1289/X1289),IF(CA1289=1,IF(AQ1289&lt;=0,0,CE1289*MAX(1,IF(H1289&gt;0,AQ1289/H1289,1))),IF(R1289&gt;0,AR1289/R1289,0))/MAX(0.1,N(Parameter!$M$21)))</f>
        <v>0.0384615384615385</v>
      </c>
      <c r="AT1289" s="62" t="n">
        <f aca="false">AS1289*CC1289</f>
        <v>5.96153846153846</v>
      </c>
      <c r="AU1289" s="63" t="n">
        <f aca="false">IF(LEFT(Cockpit!$I$5,1)="A",H1289,IF(CI1289=1,(CL1289+CJ1289)/2,IF(LEFT(Cockpit!$I$5,1)="B",(CL1289+AW1289)/2,MAX((CL1289+AW1289)/2,H1289))))</f>
        <v>724.5</v>
      </c>
      <c r="AV1289" s="62" t="n">
        <f aca="false">AU1289*G1289</f>
        <v>101.43</v>
      </c>
      <c r="AW1289" s="62" t="n">
        <f aca="false">ROUNDUP(CL1289+MAX(CM1289,2*(J1289/IF(CH1289&gt;0,CH1289,MAX(0.1,N(Cockpit!$I$6)))-CL1289)),0)</f>
        <v>1322</v>
      </c>
      <c r="AX1289" s="63" t="n">
        <f aca="false">IF(AT1289&gt;0,J1289/AT1289,-1)</f>
        <v>364.503225806452</v>
      </c>
      <c r="AY1289" s="63" t="n">
        <f aca="false">IF(AND(OR(CG1289="L1",CG1289="L23",CG1289="LIFT"),AT1289&gt;0),SUMIFS($AT$7:$AT$1843,$CG$7:$CG$1843,CG1289,$AX$7:$AX$1843,"&gt;"&amp;AX1289)+SUMIFS($AT$7:$AT$1843,$CG$7:$CG$1843,CG1289,$AX$7:$AX$1843,AX1289,$BX$7:$BX$1843,"&lt;="&amp;BX1289),"")</f>
        <v>152.08836996337</v>
      </c>
      <c r="AZ1289" s="70" t="n">
        <f aca="false">IF(AY1289="",0,MAX(0,MIN(1,(IF(CG1289="L1",Parameter!$H$5,IF(CG1289="L23",Parameter!$H$6+Parameter!$H$7,Parameter!$H$5+Parameter!$H$6+Parameter!$H$7))-(AY1289-AT1289))/AT1289)))</f>
        <v>1</v>
      </c>
      <c r="BA1289" s="62" t="n">
        <f aca="false">IF(LEFT(Cockpit!$O$5,1)="A",H1289,IF(Parameter!$E$30="MAX-Bestand",IF(CI1289=1,CJ1289,IF(LEFT(Cockpit!$O$5,1)="B",BG1289,MAX(BG1289,H1289))),ROUNDUP(BE1289,0)))</f>
        <v>627</v>
      </c>
      <c r="BB1289" s="62" t="n">
        <f aca="false">IF(CA1289=1,0,ROUNDUP(BA1289/BZ1289,0))</f>
        <v>1</v>
      </c>
      <c r="BC1289" s="64" t="n">
        <f aca="false">IF(CR1289&gt;0,CR1289*MAX(1,BA1289/X1289),IF(CA1289=1,IF(BA1289&lt;=0,0,CE1289*MAX(1,IF(H1289&gt;0,BA1289/H1289,1))),IF(R1289&gt;0,BB1289/R1289,0))/MAX(0.1,N(Parameter!$M$21)))</f>
        <v>0.0384615384615385</v>
      </c>
      <c r="BD1289" s="62" t="n">
        <f aca="false">BC1289*CC1289</f>
        <v>5.96153846153846</v>
      </c>
      <c r="BE1289" s="63" t="n">
        <f aca="false">IF(LEFT(Cockpit!$O$5,1)="A",H1289,IF(CI1289=1,(CL1289+CJ1289)/2,IF(LEFT(Cockpit!$O$5,1)="B",(CL1289+BG1289)/2,MAX((CL1289+BG1289)/2,H1289))))</f>
        <v>627</v>
      </c>
      <c r="BF1289" s="62" t="n">
        <f aca="false">BE1289*G1289</f>
        <v>87.78</v>
      </c>
      <c r="BG1289" s="62" t="n">
        <f aca="false">ROUNDUP(CL1289+MAX(CM1289,2*(J1289/IF(CH1289&gt;0,CH1289,MAX(0.1,N(Cockpit!$O$6)))-CL1289)),0)</f>
        <v>1127</v>
      </c>
      <c r="BH1289" s="63" t="n">
        <f aca="false">IF(BD1289&gt;0,J1289/BD1289,-1)</f>
        <v>364.503225806452</v>
      </c>
      <c r="BI1289" s="63" t="n">
        <f aca="false">IF(AND(OR(CG1289="L1",CG1289="L23",CG1289="LIFT"),BD1289&gt;0),SUMIFS($BD$7:$BD$1843,$CG$7:$CG$1843,CG1289,$BH$7:$BH$1843,"&gt;"&amp;BH1289)+SUMIFS($BD$7:$BD$1843,$CG$7:$CG$1843,CG1289,$BH$7:$BH$1843,BH1289,$BX$7:$BX$1843,"&lt;="&amp;BX1289),"")</f>
        <v>227.282051282051</v>
      </c>
      <c r="BJ1289" s="70" t="n">
        <f aca="false">IF(BI1289="",0,MAX(0,MIN(1,(IF(CG1289="L1",Parameter!$H$5,IF(CG1289="L23",Parameter!$H$6+Parameter!$H$7,Parameter!$H$5+Parameter!$H$6+Parameter!$H$7))-(BI1289-BD1289))/BD1289)))</f>
        <v>1</v>
      </c>
      <c r="BK1289" s="60" t="str">
        <f aca="false">IF(AJ1289&lt;=0,"",IF(CG1289="Aussen","Aussenlager",IF(CG1289="-","Nicht im Lift",IF(AP1289&gt;=1,"Lift",IF(AP1289&lt;=0,"Aussenlager","teilweise")))))</f>
        <v>Lift</v>
      </c>
      <c r="BL1289" s="60" t="str">
        <f aca="false">IF(AT1289&lt;=0,"",IF(CG1289="Aussen","Aussenlager",IF(CG1289="-","Nicht im Lift",IF(AZ1289&gt;=1,"Lift",IF(AZ1289&lt;=0,"Aussenlager","teilweise")))))</f>
        <v>Lift</v>
      </c>
      <c r="BM1289" s="60" t="str">
        <f aca="false">IF(BD1289&lt;=0,"",IF(CG1289="Aussen","Aussenlager",IF(CG1289="-","Nicht im Lift",IF(BJ1289&gt;=1,"Lift",IF(BJ1289&lt;=0,"Aussenlager","teilweise")))))</f>
        <v>Lift</v>
      </c>
      <c r="BN1289" s="60" t="str">
        <f aca="false">IF(A1289="","",IF(BW1289=1,"Neu; ","")&amp;IF(AND(BW1289=0,BR1289&lt;0),"negativer Bestand (Export "&amp;BR1289&amp;"); ","")&amp;IF(J1289&lt;=0,"Kein Verbrauch; ","")&amp;IF(CR1289&gt;0,"Lift "&amp;W1289&amp;" lt. Liftbericht (Fach "&amp;X1289&amp;" Stk); ",IF(CB1289=1,"Gebinde geschätzt ("&amp;T1289&amp;"); ",IF(CA1289=1,"Lose – Tablare geschätzt; ","")))&amp;IF(H1289&gt;AW1289,"Überbestand "&amp;ROUND(H1289-AW1289,0)&amp;" Stk / CHF "&amp;ROUND((H1289-AW1289)*G1289,0)&amp;"; ","")&amp;IF(AND(CI1289=1,CJ1289&lt;CK1289),"MAX &lt; MB+LG; ","")&amp;IF(AND(CQ1289&gt;0,CP1289*10&gt;CQ1289),"zu hoch für Tablar; ","")&amp;IF(AND(BW1289=0,OR(CI1289=1,AB1289&lt;&gt;"",U1289&lt;&gt;"",V1289&lt;&gt;"",AC1289&lt;&gt;"")),"manuell übersteuert; ","")&amp;IF(AND(CA1289=0,R1289=0),"Gebinde unbekannt / Stellmass fehlt; ","")&amp;IF(AND(CA1289=0,N(V1289)&lt;=0,N(Q1289)&lt;=0),"Menge pro Gebinde fehlt (Ist = 1 Gebinde); ","")&amp;BV1289)</f>
        <v>negativer Bestand (Export -2641); </v>
      </c>
      <c r="BO1289" s="60"/>
      <c r="BP1289" s="60"/>
      <c r="BQ1289" s="67"/>
      <c r="BR1289" s="62" t="n">
        <v>-2641</v>
      </c>
      <c r="BS1289" s="62" t="n">
        <v>3314</v>
      </c>
      <c r="BT1289" s="61" t="n">
        <v>-1130.58</v>
      </c>
      <c r="BU1289" s="62" t="n">
        <v>2173</v>
      </c>
      <c r="BV1289" s="60"/>
      <c r="BW1289" s="65" t="n">
        <v>0</v>
      </c>
      <c r="BX1289" s="65" t="n">
        <v>1289</v>
      </c>
      <c r="BY1289" s="60" t="str">
        <f aca="false">IF(U1289&lt;&gt;"",UPPER(TRIM(U1289)),IF(CB1289=1,UPPER(VLOOKUP(T1289,Parameter!$I$27:$K$29,2,0)),IF(P1289="","LOSE",P1289)))</f>
        <v>S51</v>
      </c>
      <c r="BZ1289" s="62" t="n">
        <f aca="false">IF(BY1289="LOSE",1,IF(N(V1289)&gt;0,V1289,IF(CB1289=1,MAX(1,N(VLOOKUP(T1289,Parameter!$I$27:$K$29,3,0)),H1289,N(N1289)),IF(N(Q1289)&gt;0,Q1289,MAX(1,H1289)))))</f>
        <v>1238</v>
      </c>
      <c r="CA1289" s="65" t="n">
        <f aca="false">IF(BY1289="LOSE",1,0)</f>
        <v>0</v>
      </c>
      <c r="CB1289" s="65" t="n">
        <f aca="false">IF(AND(U1289="",OR(P1289="",P1289="LOSE"),T1289&lt;&gt;"",N(S1289)&lt;=0,ISNUMBER(MATCH(T1289,Parameter!$I$27:$I$29,0))),1,0)</f>
        <v>0</v>
      </c>
      <c r="CC1289" s="65" t="n">
        <f aca="false">IF(CR1289&gt;0,INDEX(Parameter!$H$5:$H$7,W1289)/INDEX(Parameter!$E$5:$E$7,W1289),IF(AND(CA1289=0,N(IFERROR(VLOOKUP(BY1289,'Gebinde-Kategorie'!$A$5:$N$45,14,0),0))&gt;0),VLOOKUP(BY1289,'Gebinde-Kategorie'!$A$5:$N$45,14,0)*10+Parameter!$M$23,Parameter!$M$24))</f>
        <v>155</v>
      </c>
      <c r="CD1289" s="60" t="str">
        <f aca="false">IF(AND(Parameter!$B$19="Ja",E1289&lt;&gt;"",ISNUMBER(MATCH(E1289,Parameter!$I$35:$I$52,0))),VLOOKUP(E1289,Parameter!$I$35:$J$52,2,0),IFERROR(VLOOKUP(D1289,Parameter!$A$35:$C$64,2,0),"Nein"))</f>
        <v>2+3</v>
      </c>
      <c r="CE1289" s="64" t="n">
        <f aca="false">IF(CA1289=0,0,IF(N(S1289)&gt;0,S1289,IFERROR(VLOOKUP(D1289,Parameter!$A$35:$C$64,3,0)+0,0)))</f>
        <v>0</v>
      </c>
      <c r="CF1289" s="60" t="n">
        <f aca="false">IF(AB1289&lt;&gt;"",AB1289,AA1289)</f>
        <v>3</v>
      </c>
      <c r="CG1289" s="60" t="str">
        <f aca="false">IF(OR(CF1289=1,CF1289=2,CF1289=3),IF(Parameter!$E$27="Ja","LIFT",IF(CF1289=1,"L1","L23")),IF(CF1289="Aussen","Aussen","-"))</f>
        <v>LIFT</v>
      </c>
      <c r="CH1289" s="71" t="n">
        <f aca="false">IF(N(AC1289)&gt;0,AC1289,0)</f>
        <v>0</v>
      </c>
      <c r="CI1289" s="65" t="n">
        <f aca="false">IF(ISNUMBER(AF1289),1,0)</f>
        <v>0</v>
      </c>
      <c r="CJ1289" s="62" t="n">
        <f aca="false">N(AF1289)</f>
        <v>0</v>
      </c>
      <c r="CK1289" s="62" t="n">
        <f aca="false">N(M1289)+N(N1289)</f>
        <v>1127</v>
      </c>
      <c r="CL1289" s="62" t="n">
        <f aca="false">N(M1289)</f>
        <v>127</v>
      </c>
      <c r="CM1289" s="62" t="n">
        <f aca="false">N(N1289)</f>
        <v>1000</v>
      </c>
      <c r="CN1289" s="62" t="n">
        <f aca="false">ROUNDUP(H1289/BZ1289,0)</f>
        <v>1</v>
      </c>
      <c r="CO1289" s="62" t="n">
        <f aca="false">ROUNDUP(CJ1289/BZ1289,0)</f>
        <v>0</v>
      </c>
      <c r="CP1289" s="65" t="n">
        <f aca="false">IF(CA1289=1,0,IFERROR(VLOOKUP(BY1289,'Gebinde-Kategorie'!$A$5:$N$45,5,0)+0,0))</f>
        <v>11</v>
      </c>
      <c r="CQ1289" s="65" t="n">
        <f aca="false">IFERROR(IF(OR(CF1289=1,CF1289=2,CF1289=3),N(INDEX(Parameter!$I$5:$I$7,CF1289)),0),0)</f>
        <v>0</v>
      </c>
      <c r="CR1289" s="64" t="n">
        <f aca="false">IF(AND(Parameter!$B$21="Ja",ISNUMBER(W1289),N(X1289)&gt;0),IFERROR(N(INDEX(Parameter!$L$5:$L$7,W1289))*INDEX(Parameter!$E$5:$E$7,W1289)*X1289/SUMIFS($X$7:$X$1843,$W$7:$W$1843,W1289),0),0)</f>
        <v>0</v>
      </c>
      <c r="CS1289" s="62" t="n">
        <f aca="false">IF(AND(OR(CG1289="L1",CG1289="L23",CG1289="LIFT"),H1289&gt;0),CC1289*IF(CR1289&gt;0,CR1289*MAX(1,H1289/X1289),IF(CA1289=1,CE1289,IF(R1289&gt;0,CN1289/R1289,0))/MAX(0.1,N(Parameter!$M$21))),"")</f>
        <v>5.96153846153846</v>
      </c>
      <c r="CT1289" s="64" t="n">
        <f aca="false">IF(CS1289="","",J1289/H1289)</f>
        <v>3.22882615156018</v>
      </c>
      <c r="CU1289" s="62" t="n">
        <f aca="false">IF(CS1289="","",H1289*G1289)</f>
        <v>94.22</v>
      </c>
      <c r="CV1289" s="63" t="n">
        <f aca="false">IF(CS1289="","",(CL1289+ROUNDUP(CL1289+MAX(CM1289,2*(J1289/MAX(0.1,N(Einkauf!$C$6))-CL1289)),0))/2)</f>
        <v>627</v>
      </c>
      <c r="CW1289" s="62" t="n">
        <f aca="false">IF(CS1289="","",MAX(0,H1289-CV1289)*G1289)</f>
        <v>6.44</v>
      </c>
      <c r="CX1289" s="62" t="n">
        <f aca="false">IF(CS1289="","",CS1289*MAX(0,1-CV1289/H1289))</f>
        <v>0.407475140016002</v>
      </c>
      <c r="CY1289" s="64" t="n">
        <f aca="false">IF(CS1289="","",PERCENTRANK($CS$7:$CS$1843,CS1289)+PERCENTRANK($CU$7:$CU$1843,CU1289)+1-PERCENTRANK($CT$7:$CT$1843,CT1289))</f>
        <v>0.678</v>
      </c>
      <c r="CZ1289" s="72" t="n">
        <f aca="false">IF(CS1289="","",CHOOSE(MATCH(Einkauf!$C$5,Parameter!$G$23:$G$27,0),CY1289,CS1289,CU1289,-CT1289,CW1289)+ROW()/1000000000)</f>
        <v>0.678001289</v>
      </c>
    </row>
    <row r="1290" customFormat="false" ht="15" hidden="false" customHeight="false" outlineLevel="0" collapsed="false">
      <c r="A1290" s="60" t="s">
        <v>2341</v>
      </c>
      <c r="B1290" s="60" t="s">
        <v>248</v>
      </c>
      <c r="C1290" s="60" t="s">
        <v>498</v>
      </c>
      <c r="D1290" s="60" t="s">
        <v>395</v>
      </c>
      <c r="E1290" s="60"/>
      <c r="F1290" s="60" t="s">
        <v>260</v>
      </c>
      <c r="G1290" s="61" t="n">
        <v>1133.33</v>
      </c>
      <c r="H1290" s="62" t="n">
        <f aca="false">MAX(0,IF(AND(Parameter!$B$21="Ja",ISNUMBER(Y1290)),Y1290,IF(Parameter!$B$20="Jahresanfang 2025 + Export",BS1290+BR1290,BR1290)))</f>
        <v>0</v>
      </c>
      <c r="I1290" s="62" t="n">
        <f aca="false">H1290*G1290</f>
        <v>0</v>
      </c>
      <c r="J1290" s="62" t="n">
        <f aca="false">BU1290*Parameter!$B$18</f>
        <v>0</v>
      </c>
      <c r="K1290" s="63" t="n">
        <v>0.5</v>
      </c>
      <c r="L1290" s="64" t="n">
        <v>0</v>
      </c>
      <c r="M1290" s="62" t="n">
        <v>0</v>
      </c>
      <c r="N1290" s="62" t="n">
        <v>0</v>
      </c>
      <c r="O1290" s="65" t="n">
        <v>70</v>
      </c>
      <c r="P1290" s="60" t="s">
        <v>210</v>
      </c>
      <c r="Q1290" s="62"/>
      <c r="R1290" s="65" t="n">
        <f aca="false">IF(CA1290=1,0,IFERROR(VLOOKUP(BY1290,'Gebinde-Kategorie'!$A$5:$N$45,13,0)+0,0))</f>
        <v>0</v>
      </c>
      <c r="S1290" s="66"/>
      <c r="T1290" s="67"/>
      <c r="U1290" s="67"/>
      <c r="V1290" s="67"/>
      <c r="W1290" s="60"/>
      <c r="X1290" s="62"/>
      <c r="Y1290" s="62"/>
      <c r="Z1290" s="60"/>
      <c r="AA1290" s="60" t="str">
        <f aca="false">IF(A1290="","",IF(AND(Parameter!$B$21="Ja",ISNUMBER(W1290)),W1290,IF(AND(Parameter!$E$27="Ja",ISNUMBER(Z1290),CD1290&lt;&gt;"Nein"),Z1290,IF(CD1290="2+3",IF(ISNUMBER(SEARCH("grosser Artikel",BV1290)),2,IFERROR(VLOOKUP(BY1290,Parameter!$F$35:$G$64,2,0),2)),IF(OR(CD1290="Nein",CD1290=""),"-",CD1290)))))</f>
        <v>-</v>
      </c>
      <c r="AB1290" s="67"/>
      <c r="AC1290" s="68"/>
      <c r="AD1290" s="62" t="n">
        <f aca="false">AW1290</f>
        <v>0</v>
      </c>
      <c r="AE1290" s="62" t="n">
        <f aca="false">MAX(AW1290,H1290)</f>
        <v>0</v>
      </c>
      <c r="AF1290" s="69"/>
      <c r="AG1290" s="62" t="n">
        <f aca="false">IF(LEFT(Cockpit!$C$5,1)="A",H1290,IF(Parameter!$E$30="MAX-Bestand",IF(CI1290=1,CJ1290,IF(LEFT(Cockpit!$C$5,1)="B",AM1290,MAX(AM1290,H1290))),ROUNDUP(AK1290,0)))</f>
        <v>0</v>
      </c>
      <c r="AH1290" s="62" t="n">
        <f aca="false">IF(CA1290=1,0,ROUNDUP(AG1290/BZ1290,0))</f>
        <v>0</v>
      </c>
      <c r="AI1290" s="64" t="n">
        <f aca="false">IF(CR1290&gt;0,CR1290*MAX(1,AG1290/X1290),IF(CA1290=1,IF(AG1290&lt;=0,0,CE1290*MAX(1,IF(H1290&gt;0,AG1290/H1290,1))),IF(R1290&gt;0,AH1290/R1290,0))/MAX(0.1,N(Parameter!$M$21)))</f>
        <v>0</v>
      </c>
      <c r="AJ1290" s="62" t="n">
        <f aca="false">AI1290*CC1290</f>
        <v>0</v>
      </c>
      <c r="AK1290" s="63" t="n">
        <f aca="false">IF(LEFT(Cockpit!$C$5,1)="A",H1290,IF(CI1290=1,(CL1290+CJ1290)/2,IF(LEFT(Cockpit!$C$5,1)="B",(CL1290+AM1290)/2,MAX((CL1290+AM1290)/2,H1290))))</f>
        <v>0</v>
      </c>
      <c r="AL1290" s="62" t="n">
        <f aca="false">AK1290*G1290</f>
        <v>0</v>
      </c>
      <c r="AM1290" s="62" t="n">
        <f aca="false">ROUNDUP(CL1290+MAX(CM1290,2*(J1290/IF(CH1290&gt;0,CH1290,MAX(0.1,N(Cockpit!$C$6)))-CL1290)),0)</f>
        <v>0</v>
      </c>
      <c r="AN1290" s="63" t="n">
        <f aca="false">IF(AJ1290&gt;0,J1290/AJ1290,-1)</f>
        <v>-1</v>
      </c>
      <c r="AO1290" s="63" t="str">
        <f aca="false">IF(AND(OR(CG1290="L1",CG1290="L23",CG1290="LIFT"),AJ1290&gt;0),SUMIFS($AJ$7:$AJ$1843,$CG$7:$CG$1843,CG1290,$AN$7:$AN$1843,"&gt;"&amp;AN1290)+SUMIFS($AJ$7:$AJ$1843,$CG$7:$CG$1843,CG1290,$AN$7:$AN$1843,AN1290,$BX$7:$BX$1843,"&lt;="&amp;BX1290),"")</f>
        <v/>
      </c>
      <c r="AP1290" s="70" t="n">
        <f aca="false">IF(AO1290="",0,MAX(0,MIN(1,(IF(CG1290="L1",Parameter!$H$5,IF(CG1290="L23",Parameter!$H$6+Parameter!$H$7,Parameter!$H$5+Parameter!$H$6+Parameter!$H$7))-(AO1290-AJ1290))/AJ1290)))</f>
        <v>0</v>
      </c>
      <c r="AQ1290" s="62" t="n">
        <f aca="false">IF(LEFT(Cockpit!$I$5,1)="A",H1290,IF(Parameter!$E$30="MAX-Bestand",IF(CI1290=1,CJ1290,IF(LEFT(Cockpit!$I$5,1)="B",AW1290,MAX(AW1290,H1290))),ROUNDUP(AU1290,0)))</f>
        <v>0</v>
      </c>
      <c r="AR1290" s="62" t="n">
        <f aca="false">IF(CA1290=1,0,ROUNDUP(AQ1290/BZ1290,0))</f>
        <v>0</v>
      </c>
      <c r="AS1290" s="64" t="n">
        <f aca="false">IF(CR1290&gt;0,CR1290*MAX(1,AQ1290/X1290),IF(CA1290=1,IF(AQ1290&lt;=0,0,CE1290*MAX(1,IF(H1290&gt;0,AQ1290/H1290,1))),IF(R1290&gt;0,AR1290/R1290,0))/MAX(0.1,N(Parameter!$M$21)))</f>
        <v>0</v>
      </c>
      <c r="AT1290" s="62" t="n">
        <f aca="false">AS1290*CC1290</f>
        <v>0</v>
      </c>
      <c r="AU1290" s="63" t="n">
        <f aca="false">IF(LEFT(Cockpit!$I$5,1)="A",H1290,IF(CI1290=1,(CL1290+CJ1290)/2,IF(LEFT(Cockpit!$I$5,1)="B",(CL1290+AW1290)/2,MAX((CL1290+AW1290)/2,H1290))))</f>
        <v>0</v>
      </c>
      <c r="AV1290" s="62" t="n">
        <f aca="false">AU1290*G1290</f>
        <v>0</v>
      </c>
      <c r="AW1290" s="62" t="n">
        <f aca="false">ROUNDUP(CL1290+MAX(CM1290,2*(J1290/IF(CH1290&gt;0,CH1290,MAX(0.1,N(Cockpit!$I$6)))-CL1290)),0)</f>
        <v>0</v>
      </c>
      <c r="AX1290" s="63" t="n">
        <f aca="false">IF(AT1290&gt;0,J1290/AT1290,-1)</f>
        <v>-1</v>
      </c>
      <c r="AY1290" s="63" t="str">
        <f aca="false">IF(AND(OR(CG1290="L1",CG1290="L23",CG1290="LIFT"),AT1290&gt;0),SUMIFS($AT$7:$AT$1843,$CG$7:$CG$1843,CG1290,$AX$7:$AX$1843,"&gt;"&amp;AX1290)+SUMIFS($AT$7:$AT$1843,$CG$7:$CG$1843,CG1290,$AX$7:$AX$1843,AX1290,$BX$7:$BX$1843,"&lt;="&amp;BX1290),"")</f>
        <v/>
      </c>
      <c r="AZ1290" s="70" t="n">
        <f aca="false">IF(AY1290="",0,MAX(0,MIN(1,(IF(CG1290="L1",Parameter!$H$5,IF(CG1290="L23",Parameter!$H$6+Parameter!$H$7,Parameter!$H$5+Parameter!$H$6+Parameter!$H$7))-(AY1290-AT1290))/AT1290)))</f>
        <v>0</v>
      </c>
      <c r="BA1290" s="62" t="n">
        <f aca="false">IF(LEFT(Cockpit!$O$5,1)="A",H1290,IF(Parameter!$E$30="MAX-Bestand",IF(CI1290=1,CJ1290,IF(LEFT(Cockpit!$O$5,1)="B",BG1290,MAX(BG1290,H1290))),ROUNDUP(BE1290,0)))</f>
        <v>0</v>
      </c>
      <c r="BB1290" s="62" t="n">
        <f aca="false">IF(CA1290=1,0,ROUNDUP(BA1290/BZ1290,0))</f>
        <v>0</v>
      </c>
      <c r="BC1290" s="64" t="n">
        <f aca="false">IF(CR1290&gt;0,CR1290*MAX(1,BA1290/X1290),IF(CA1290=1,IF(BA1290&lt;=0,0,CE1290*MAX(1,IF(H1290&gt;0,BA1290/H1290,1))),IF(R1290&gt;0,BB1290/R1290,0))/MAX(0.1,N(Parameter!$M$21)))</f>
        <v>0</v>
      </c>
      <c r="BD1290" s="62" t="n">
        <f aca="false">BC1290*CC1290</f>
        <v>0</v>
      </c>
      <c r="BE1290" s="63" t="n">
        <f aca="false">IF(LEFT(Cockpit!$O$5,1)="A",H1290,IF(CI1290=1,(CL1290+CJ1290)/2,IF(LEFT(Cockpit!$O$5,1)="B",(CL1290+BG1290)/2,MAX((CL1290+BG1290)/2,H1290))))</f>
        <v>0</v>
      </c>
      <c r="BF1290" s="62" t="n">
        <f aca="false">BE1290*G1290</f>
        <v>0</v>
      </c>
      <c r="BG1290" s="62" t="n">
        <f aca="false">ROUNDUP(CL1290+MAX(CM1290,2*(J1290/IF(CH1290&gt;0,CH1290,MAX(0.1,N(Cockpit!$O$6)))-CL1290)),0)</f>
        <v>0</v>
      </c>
      <c r="BH1290" s="63" t="n">
        <f aca="false">IF(BD1290&gt;0,J1290/BD1290,-1)</f>
        <v>-1</v>
      </c>
      <c r="BI1290" s="63" t="str">
        <f aca="false">IF(AND(OR(CG1290="L1",CG1290="L23",CG1290="LIFT"),BD1290&gt;0),SUMIFS($BD$7:$BD$1843,$CG$7:$CG$1843,CG1290,$BH$7:$BH$1843,"&gt;"&amp;BH1290)+SUMIFS($BD$7:$BD$1843,$CG$7:$CG$1843,CG1290,$BH$7:$BH$1843,BH1290,$BX$7:$BX$1843,"&lt;="&amp;BX1290),"")</f>
        <v/>
      </c>
      <c r="BJ1290" s="70" t="n">
        <f aca="false">IF(BI1290="",0,MAX(0,MIN(1,(IF(CG1290="L1",Parameter!$H$5,IF(CG1290="L23",Parameter!$H$6+Parameter!$H$7,Parameter!$H$5+Parameter!$H$6+Parameter!$H$7))-(BI1290-BD1290))/BD1290)))</f>
        <v>0</v>
      </c>
      <c r="BK1290" s="60" t="str">
        <f aca="false">IF(AJ1290&lt;=0,"",IF(CG1290="Aussen","Aussenlager",IF(CG1290="-","Nicht im Lift",IF(AP1290&gt;=1,"Lift",IF(AP1290&lt;=0,"Aussenlager","teilweise")))))</f>
        <v/>
      </c>
      <c r="BL1290" s="60" t="str">
        <f aca="false">IF(AT1290&lt;=0,"",IF(CG1290="Aussen","Aussenlager",IF(CG1290="-","Nicht im Lift",IF(AZ1290&gt;=1,"Lift",IF(AZ1290&lt;=0,"Aussenlager","teilweise")))))</f>
        <v/>
      </c>
      <c r="BM1290" s="60" t="str">
        <f aca="false">IF(BD1290&lt;=0,"",IF(CG1290="Aussen","Aussenlager",IF(CG1290="-","Nicht im Lift",IF(BJ1290&gt;=1,"Lift",IF(BJ1290&lt;=0,"Aussenlager","teilweise")))))</f>
        <v/>
      </c>
      <c r="BN1290" s="60" t="str">
        <f aca="false">IF(A1290="","",IF(BW1290=1,"Neu; ","")&amp;IF(AND(BW1290=0,BR1290&lt;0),"negativer Bestand (Export "&amp;BR1290&amp;"); ","")&amp;IF(J1290&lt;=0,"Kein Verbrauch; ","")&amp;IF(CR1290&gt;0,"Lift "&amp;W1290&amp;" lt. Liftbericht (Fach "&amp;X1290&amp;" Stk); ",IF(CB1290=1,"Gebinde geschätzt ("&amp;T1290&amp;"); ",IF(CA1290=1,"Lose – Tablare geschätzt; ","")))&amp;IF(H1290&gt;AW1290,"Überbestand "&amp;ROUND(H1290-AW1290,0)&amp;" Stk / CHF "&amp;ROUND((H1290-AW1290)*G1290,0)&amp;"; ","")&amp;IF(AND(CI1290=1,CJ1290&lt;CK1290),"MAX &lt; MB+LG; ","")&amp;IF(AND(CQ1290&gt;0,CP1290*10&gt;CQ1290),"zu hoch für Tablar; ","")&amp;IF(AND(BW1290=0,OR(CI1290=1,AB1290&lt;&gt;"",U1290&lt;&gt;"",V1290&lt;&gt;"",AC1290&lt;&gt;"")),"manuell übersteuert; ","")&amp;IF(AND(CA1290=0,R1290=0),"Gebinde unbekannt / Stellmass fehlt; ","")&amp;IF(AND(CA1290=0,N(V1290)&lt;=0,N(Q1290)&lt;=0),"Menge pro Gebinde fehlt (Ist = 1 Gebinde); ","")&amp;BV1290)</f>
        <v>negativer Bestand (Export -1); Kein Verbrauch; Lose – Tablare geschätzt; </v>
      </c>
      <c r="BO1290" s="60"/>
      <c r="BP1290" s="60"/>
      <c r="BQ1290" s="67"/>
      <c r="BR1290" s="62" t="n">
        <v>-1</v>
      </c>
      <c r="BS1290" s="62" t="n">
        <v>1</v>
      </c>
      <c r="BT1290" s="61" t="n">
        <v>-1133.33</v>
      </c>
      <c r="BU1290" s="62" t="n">
        <v>0</v>
      </c>
      <c r="BV1290" s="60"/>
      <c r="BW1290" s="65" t="n">
        <v>0</v>
      </c>
      <c r="BX1290" s="65" t="n">
        <v>1290</v>
      </c>
      <c r="BY1290" s="60" t="str">
        <f aca="false">IF(U1290&lt;&gt;"",UPPER(TRIM(U1290)),IF(CB1290=1,UPPER(VLOOKUP(T1290,Parameter!$I$27:$K$29,2,0)),IF(P1290="","LOSE",P1290)))</f>
        <v>LOSE</v>
      </c>
      <c r="BZ1290" s="62" t="n">
        <f aca="false">IF(BY1290="LOSE",1,IF(N(V1290)&gt;0,V1290,IF(CB1290=1,MAX(1,N(VLOOKUP(T1290,Parameter!$I$27:$K$29,3,0)),H1290,N(N1290)),IF(N(Q1290)&gt;0,Q1290,MAX(1,H1290)))))</f>
        <v>1</v>
      </c>
      <c r="CA1290" s="65" t="n">
        <f aca="false">IF(BY1290="LOSE",1,0)</f>
        <v>1</v>
      </c>
      <c r="CB1290" s="65" t="n">
        <f aca="false">IF(AND(U1290="",OR(P1290="",P1290="LOSE"),T1290&lt;&gt;"",N(S1290)&lt;=0,ISNUMBER(MATCH(T1290,Parameter!$I$27:$I$29,0))),1,0)</f>
        <v>0</v>
      </c>
      <c r="CC1290" s="65" t="n">
        <f aca="false">IF(CR1290&gt;0,INDEX(Parameter!$H$5:$H$7,W1290)/INDEX(Parameter!$E$5:$E$7,W1290),IF(AND(CA1290=0,N(IFERROR(VLOOKUP(BY1290,'Gebinde-Kategorie'!$A$5:$N$45,14,0),0))&gt;0),VLOOKUP(BY1290,'Gebinde-Kategorie'!$A$5:$N$45,14,0)*10+Parameter!$M$23,Parameter!$M$24))</f>
        <v>235</v>
      </c>
      <c r="CD1290" s="60" t="str">
        <f aca="false">IF(AND(Parameter!$B$19="Ja",E1290&lt;&gt;"",ISNUMBER(MATCH(E1290,Parameter!$I$35:$I$52,0))),VLOOKUP(E1290,Parameter!$I$35:$J$52,2,0),IFERROR(VLOOKUP(D1290,Parameter!$A$35:$C$64,2,0),"Nein"))</f>
        <v>Nein</v>
      </c>
      <c r="CE1290" s="64" t="n">
        <f aca="false">IF(CA1290=0,0,IF(N(S1290)&gt;0,S1290,IFERROR(VLOOKUP(D1290,Parameter!$A$35:$C$64,3,0)+0,0)))</f>
        <v>0.15</v>
      </c>
      <c r="CF1290" s="60" t="str">
        <f aca="false">IF(AB1290&lt;&gt;"",AB1290,AA1290)</f>
        <v>-</v>
      </c>
      <c r="CG1290" s="60" t="str">
        <f aca="false">IF(OR(CF1290=1,CF1290=2,CF1290=3),IF(Parameter!$E$27="Ja","LIFT",IF(CF1290=1,"L1","L23")),IF(CF1290="Aussen","Aussen","-"))</f>
        <v>-</v>
      </c>
      <c r="CH1290" s="71" t="n">
        <f aca="false">IF(N(AC1290)&gt;0,AC1290,0)</f>
        <v>0</v>
      </c>
      <c r="CI1290" s="65" t="n">
        <f aca="false">IF(ISNUMBER(AF1290),1,0)</f>
        <v>0</v>
      </c>
      <c r="CJ1290" s="62" t="n">
        <f aca="false">N(AF1290)</f>
        <v>0</v>
      </c>
      <c r="CK1290" s="62" t="n">
        <f aca="false">N(M1290)+N(N1290)</f>
        <v>0</v>
      </c>
      <c r="CL1290" s="62" t="n">
        <f aca="false">N(M1290)</f>
        <v>0</v>
      </c>
      <c r="CM1290" s="62" t="n">
        <f aca="false">N(N1290)</f>
        <v>0</v>
      </c>
      <c r="CN1290" s="62" t="n">
        <f aca="false">ROUNDUP(H1290/BZ1290,0)</f>
        <v>0</v>
      </c>
      <c r="CO1290" s="62" t="n">
        <f aca="false">ROUNDUP(CJ1290/BZ1290,0)</f>
        <v>0</v>
      </c>
      <c r="CP1290" s="65" t="n">
        <f aca="false">IF(CA1290=1,0,IFERROR(VLOOKUP(BY1290,'Gebinde-Kategorie'!$A$5:$N$45,5,0)+0,0))</f>
        <v>0</v>
      </c>
      <c r="CQ1290" s="65" t="n">
        <f aca="false">IFERROR(IF(OR(CF1290=1,CF1290=2,CF1290=3),N(INDEX(Parameter!$I$5:$I$7,CF1290)),0),0)</f>
        <v>0</v>
      </c>
      <c r="CR1290" s="64" t="n">
        <f aca="false">IF(AND(Parameter!$B$21="Ja",ISNUMBER(W1290),N(X1290)&gt;0),IFERROR(N(INDEX(Parameter!$L$5:$L$7,W1290))*INDEX(Parameter!$E$5:$E$7,W1290)*X1290/SUMIFS($X$7:$X$1843,$W$7:$W$1843,W1290),0),0)</f>
        <v>0</v>
      </c>
      <c r="CS1290" s="62" t="str">
        <f aca="false">IF(AND(OR(CG1290="L1",CG1290="L23",CG1290="LIFT"),H1290&gt;0),CC1290*IF(CR1290&gt;0,CR1290*MAX(1,H1290/X1290),IF(CA1290=1,CE1290,IF(R1290&gt;0,CN1290/R1290,0))/MAX(0.1,N(Parameter!$M$21))),"")</f>
        <v/>
      </c>
      <c r="CT1290" s="64" t="str">
        <f aca="false">IF(CS1290="","",J1290/H1290)</f>
        <v/>
      </c>
      <c r="CU1290" s="62" t="str">
        <f aca="false">IF(CS1290="","",H1290*G1290)</f>
        <v/>
      </c>
      <c r="CV1290" s="63" t="str">
        <f aca="false">IF(CS1290="","",(CL1290+ROUNDUP(CL1290+MAX(CM1290,2*(J1290/MAX(0.1,N(Einkauf!$C$6))-CL1290)),0))/2)</f>
        <v/>
      </c>
      <c r="CW1290" s="62" t="str">
        <f aca="false">IF(CS1290="","",MAX(0,H1290-CV1290)*G1290)</f>
        <v/>
      </c>
      <c r="CX1290" s="62" t="str">
        <f aca="false">IF(CS1290="","",CS1290*MAX(0,1-CV1290/H1290))</f>
        <v/>
      </c>
      <c r="CY1290" s="64" t="str">
        <f aca="false">IF(CS1290="","",PERCENTRANK($CS$7:$CS$1843,CS1290)+PERCENTRANK($CU$7:$CU$1843,CU1290)+1-PERCENTRANK($CT$7:$CT$1843,CT1290))</f>
        <v/>
      </c>
      <c r="CZ1290" s="72" t="str">
        <f aca="false">IF(CS1290="","",CHOOSE(MATCH(Einkauf!$C$5,Parameter!$G$23:$G$27,0),CY1290,CS1290,CU1290,-CT1290,CW1290)+ROW()/1000000000)</f>
        <v/>
      </c>
    </row>
    <row r="1291" customFormat="false" ht="15" hidden="false" customHeight="false" outlineLevel="0" collapsed="false">
      <c r="A1291" s="60" t="s">
        <v>2342</v>
      </c>
      <c r="B1291" s="60" t="s">
        <v>312</v>
      </c>
      <c r="C1291" s="60" t="s">
        <v>206</v>
      </c>
      <c r="D1291" s="60" t="s">
        <v>215</v>
      </c>
      <c r="E1291" s="60"/>
      <c r="F1291" s="60" t="s">
        <v>260</v>
      </c>
      <c r="G1291" s="61" t="n">
        <v>1160</v>
      </c>
      <c r="H1291" s="62" t="n">
        <f aca="false">MAX(0,IF(AND(Parameter!$B$21="Ja",ISNUMBER(Y1291)),Y1291,IF(Parameter!$B$20="Jahresanfang 2025 + Export",BS1291+BR1291,BR1291)))</f>
        <v>0</v>
      </c>
      <c r="I1291" s="62" t="n">
        <f aca="false">H1291*G1291</f>
        <v>0</v>
      </c>
      <c r="J1291" s="62" t="n">
        <f aca="false">BU1291*Parameter!$B$18</f>
        <v>0</v>
      </c>
      <c r="K1291" s="63" t="n">
        <v>1</v>
      </c>
      <c r="L1291" s="64" t="n">
        <v>0</v>
      </c>
      <c r="M1291" s="62" t="n">
        <v>0</v>
      </c>
      <c r="N1291" s="62" t="n">
        <v>1</v>
      </c>
      <c r="O1291" s="65" t="n">
        <v>35</v>
      </c>
      <c r="P1291" s="60" t="s">
        <v>210</v>
      </c>
      <c r="Q1291" s="62"/>
      <c r="R1291" s="65" t="n">
        <f aca="false">IF(CA1291=1,0,IFERROR(VLOOKUP(BY1291,'Gebinde-Kategorie'!$A$5:$N$45,13,0)+0,0))</f>
        <v>4</v>
      </c>
      <c r="S1291" s="66"/>
      <c r="T1291" s="67" t="s">
        <v>231</v>
      </c>
      <c r="U1291" s="67"/>
      <c r="V1291" s="67"/>
      <c r="W1291" s="60"/>
      <c r="X1291" s="62"/>
      <c r="Y1291" s="62"/>
      <c r="Z1291" s="60" t="n">
        <v>2</v>
      </c>
      <c r="AA1291" s="60" t="n">
        <f aca="false">IF(A1291="","",IF(AND(Parameter!$B$21="Ja",ISNUMBER(W1291)),W1291,IF(AND(Parameter!$E$27="Ja",ISNUMBER(Z1291),CD1291&lt;&gt;"Nein"),Z1291,IF(CD1291="2+3",IF(ISNUMBER(SEARCH("grosser Artikel",BV1291)),2,IFERROR(VLOOKUP(BY1291,Parameter!$F$35:$G$64,2,0),2)),IF(OR(CD1291="Nein",CD1291=""),"-",CD1291)))))</f>
        <v>2</v>
      </c>
      <c r="AB1291" s="67"/>
      <c r="AC1291" s="68"/>
      <c r="AD1291" s="62" t="n">
        <f aca="false">AW1291</f>
        <v>1</v>
      </c>
      <c r="AE1291" s="62" t="n">
        <f aca="false">MAX(AW1291,H1291)</f>
        <v>1</v>
      </c>
      <c r="AF1291" s="69"/>
      <c r="AG1291" s="62" t="n">
        <f aca="false">IF(LEFT(Cockpit!$C$5,1)="A",H1291,IF(Parameter!$E$30="MAX-Bestand",IF(CI1291=1,CJ1291,IF(LEFT(Cockpit!$C$5,1)="B",AM1291,MAX(AM1291,H1291))),ROUNDUP(AK1291,0)))</f>
        <v>0</v>
      </c>
      <c r="AH1291" s="62" t="n">
        <f aca="false">IF(CA1291=1,0,ROUNDUP(AG1291/BZ1291,0))</f>
        <v>0</v>
      </c>
      <c r="AI1291" s="64" t="n">
        <f aca="false">IF(CR1291&gt;0,CR1291*MAX(1,AG1291/X1291),IF(CA1291=1,IF(AG1291&lt;=0,0,CE1291*MAX(1,IF(H1291&gt;0,AG1291/H1291,1))),IF(R1291&gt;0,AH1291/R1291,0))/MAX(0.1,N(Parameter!$M$21)))</f>
        <v>0</v>
      </c>
      <c r="AJ1291" s="62" t="n">
        <f aca="false">AI1291*CC1291</f>
        <v>0</v>
      </c>
      <c r="AK1291" s="63" t="n">
        <f aca="false">IF(LEFT(Cockpit!$C$5,1)="A",H1291,IF(CI1291=1,(CL1291+CJ1291)/2,IF(LEFT(Cockpit!$C$5,1)="B",(CL1291+AM1291)/2,MAX((CL1291+AM1291)/2,H1291))))</f>
        <v>0</v>
      </c>
      <c r="AL1291" s="62" t="n">
        <f aca="false">AK1291*G1291</f>
        <v>0</v>
      </c>
      <c r="AM1291" s="62" t="n">
        <f aca="false">ROUNDUP(CL1291+MAX(CM1291,2*(J1291/IF(CH1291&gt;0,CH1291,MAX(0.1,N(Cockpit!$C$6)))-CL1291)),0)</f>
        <v>1</v>
      </c>
      <c r="AN1291" s="63" t="n">
        <f aca="false">IF(AJ1291&gt;0,J1291/AJ1291,-1)</f>
        <v>-1</v>
      </c>
      <c r="AO1291" s="63" t="str">
        <f aca="false">IF(AND(OR(CG1291="L1",CG1291="L23",CG1291="LIFT"),AJ1291&gt;0),SUMIFS($AJ$7:$AJ$1843,$CG$7:$CG$1843,CG1291,$AN$7:$AN$1843,"&gt;"&amp;AN1291)+SUMIFS($AJ$7:$AJ$1843,$CG$7:$CG$1843,CG1291,$AN$7:$AN$1843,AN1291,$BX$7:$BX$1843,"&lt;="&amp;BX1291),"")</f>
        <v/>
      </c>
      <c r="AP1291" s="70" t="n">
        <f aca="false">IF(AO1291="",0,MAX(0,MIN(1,(IF(CG1291="L1",Parameter!$H$5,IF(CG1291="L23",Parameter!$H$6+Parameter!$H$7,Parameter!$H$5+Parameter!$H$6+Parameter!$H$7))-(AO1291-AJ1291))/AJ1291)))</f>
        <v>0</v>
      </c>
      <c r="AQ1291" s="62" t="n">
        <f aca="false">IF(LEFT(Cockpit!$I$5,1)="A",H1291,IF(Parameter!$E$30="MAX-Bestand",IF(CI1291=1,CJ1291,IF(LEFT(Cockpit!$I$5,1)="B",AW1291,MAX(AW1291,H1291))),ROUNDUP(AU1291,0)))</f>
        <v>1</v>
      </c>
      <c r="AR1291" s="62" t="n">
        <f aca="false">IF(CA1291=1,0,ROUNDUP(AQ1291/BZ1291,0))</f>
        <v>1</v>
      </c>
      <c r="AS1291" s="64" t="n">
        <f aca="false">IF(CR1291&gt;0,CR1291*MAX(1,AQ1291/X1291),IF(CA1291=1,IF(AQ1291&lt;=0,0,CE1291*MAX(1,IF(H1291&gt;0,AQ1291/H1291,1))),IF(R1291&gt;0,AR1291/R1291,0))/MAX(0.1,N(Parameter!$M$21)))</f>
        <v>0.25</v>
      </c>
      <c r="AT1291" s="62" t="n">
        <f aca="false">AS1291*CC1291</f>
        <v>58.75</v>
      </c>
      <c r="AU1291" s="63" t="n">
        <f aca="false">IF(LEFT(Cockpit!$I$5,1)="A",H1291,IF(CI1291=1,(CL1291+CJ1291)/2,IF(LEFT(Cockpit!$I$5,1)="B",(CL1291+AW1291)/2,MAX((CL1291+AW1291)/2,H1291))))</f>
        <v>0.5</v>
      </c>
      <c r="AV1291" s="62" t="n">
        <f aca="false">AU1291*G1291</f>
        <v>580</v>
      </c>
      <c r="AW1291" s="62" t="n">
        <f aca="false">ROUNDUP(CL1291+MAX(CM1291,2*(J1291/IF(CH1291&gt;0,CH1291,MAX(0.1,N(Cockpit!$I$6)))-CL1291)),0)</f>
        <v>1</v>
      </c>
      <c r="AX1291" s="63" t="n">
        <f aca="false">IF(AT1291&gt;0,J1291/AT1291,-1)</f>
        <v>0</v>
      </c>
      <c r="AY1291" s="63" t="n">
        <f aca="false">IF(AND(OR(CG1291="L1",CG1291="L23",CG1291="LIFT"),AT1291&gt;0),SUMIFS($AT$7:$AT$1843,$CG$7:$CG$1843,CG1291,$AX$7:$AX$1843,"&gt;"&amp;AX1291)+SUMIFS($AT$7:$AT$1843,$CG$7:$CG$1843,CG1291,$AX$7:$AX$1843,AX1291,$BX$7:$BX$1843,"&lt;="&amp;BX1291),"")</f>
        <v>35566.244047619</v>
      </c>
      <c r="AZ1291" s="70" t="n">
        <f aca="false">IF(AY1291="",0,MAX(0,MIN(1,(IF(CG1291="L1",Parameter!$H$5,IF(CG1291="L23",Parameter!$H$6+Parameter!$H$7,Parameter!$H$5+Parameter!$H$6+Parameter!$H$7))-(AY1291-AT1291))/AT1291)))</f>
        <v>1</v>
      </c>
      <c r="BA1291" s="62" t="n">
        <f aca="false">IF(LEFT(Cockpit!$O$5,1)="A",H1291,IF(Parameter!$E$30="MAX-Bestand",IF(CI1291=1,CJ1291,IF(LEFT(Cockpit!$O$5,1)="B",BG1291,MAX(BG1291,H1291))),ROUNDUP(BE1291,0)))</f>
        <v>1</v>
      </c>
      <c r="BB1291" s="62" t="n">
        <f aca="false">IF(CA1291=1,0,ROUNDUP(BA1291/BZ1291,0))</f>
        <v>1</v>
      </c>
      <c r="BC1291" s="64" t="n">
        <f aca="false">IF(CR1291&gt;0,CR1291*MAX(1,BA1291/X1291),IF(CA1291=1,IF(BA1291&lt;=0,0,CE1291*MAX(1,IF(H1291&gt;0,BA1291/H1291,1))),IF(R1291&gt;0,BB1291/R1291,0))/MAX(0.1,N(Parameter!$M$21)))</f>
        <v>0.25</v>
      </c>
      <c r="BD1291" s="62" t="n">
        <f aca="false">BC1291*CC1291</f>
        <v>58.75</v>
      </c>
      <c r="BE1291" s="63" t="n">
        <f aca="false">IF(LEFT(Cockpit!$O$5,1)="A",H1291,IF(CI1291=1,(CL1291+CJ1291)/2,IF(LEFT(Cockpit!$O$5,1)="B",(CL1291+BG1291)/2,MAX((CL1291+BG1291)/2,H1291))))</f>
        <v>0.5</v>
      </c>
      <c r="BF1291" s="62" t="n">
        <f aca="false">BE1291*G1291</f>
        <v>580</v>
      </c>
      <c r="BG1291" s="62" t="n">
        <f aca="false">ROUNDUP(CL1291+MAX(CM1291,2*(J1291/IF(CH1291&gt;0,CH1291,MAX(0.1,N(Cockpit!$O$6)))-CL1291)),0)</f>
        <v>1</v>
      </c>
      <c r="BH1291" s="63" t="n">
        <f aca="false">IF(BD1291&gt;0,J1291/BD1291,-1)</f>
        <v>0</v>
      </c>
      <c r="BI1291" s="63" t="n">
        <f aca="false">IF(AND(OR(CG1291="L1",CG1291="L23",CG1291="LIFT"),BD1291&gt;0),SUMIFS($BD$7:$BD$1843,$CG$7:$CG$1843,CG1291,$BH$7:$BH$1843,"&gt;"&amp;BH1291)+SUMIFS($BD$7:$BD$1843,$CG$7:$CG$1843,CG1291,$BH$7:$BH$1843,BH1291,$BX$7:$BX$1843,"&lt;="&amp;BX1291),"")</f>
        <v>29551.5507077668</v>
      </c>
      <c r="BJ1291" s="70" t="n">
        <f aca="false">IF(BI1291="",0,MAX(0,MIN(1,(IF(CG1291="L1",Parameter!$H$5,IF(CG1291="L23",Parameter!$H$6+Parameter!$H$7,Parameter!$H$5+Parameter!$H$6+Parameter!$H$7))-(BI1291-BD1291))/BD1291)))</f>
        <v>1</v>
      </c>
      <c r="BK1291" s="60" t="str">
        <f aca="false">IF(AJ1291&lt;=0,"",IF(CG1291="Aussen","Aussenlager",IF(CG1291="-","Nicht im Lift",IF(AP1291&gt;=1,"Lift",IF(AP1291&lt;=0,"Aussenlager","teilweise")))))</f>
        <v/>
      </c>
      <c r="BL1291" s="60" t="str">
        <f aca="false">IF(AT1291&lt;=0,"",IF(CG1291="Aussen","Aussenlager",IF(CG1291="-","Nicht im Lift",IF(AZ1291&gt;=1,"Lift",IF(AZ1291&lt;=0,"Aussenlager","teilweise")))))</f>
        <v>Lift</v>
      </c>
      <c r="BM1291" s="60" t="str">
        <f aca="false">IF(BD1291&lt;=0,"",IF(CG1291="Aussen","Aussenlager",IF(CG1291="-","Nicht im Lift",IF(BJ1291&gt;=1,"Lift",IF(BJ1291&lt;=0,"Aussenlager","teilweise")))))</f>
        <v>Lift</v>
      </c>
      <c r="BN1291" s="60" t="str">
        <f aca="false">IF(A1291="","",IF(BW1291=1,"Neu; ","")&amp;IF(AND(BW1291=0,BR1291&lt;0),"negativer Bestand (Export "&amp;BR1291&amp;"); ","")&amp;IF(J1291&lt;=0,"Kein Verbrauch; ","")&amp;IF(CR1291&gt;0,"Lift "&amp;W1291&amp;" lt. Liftbericht (Fach "&amp;X1291&amp;" Stk); ",IF(CB1291=1,"Gebinde geschätzt ("&amp;T1291&amp;"); ",IF(CA1291=1,"Lose – Tablare geschätzt; ","")))&amp;IF(H1291&gt;AW1291,"Überbestand "&amp;ROUND(H1291-AW1291,0)&amp;" Stk / CHF "&amp;ROUND((H1291-AW1291)*G1291,0)&amp;"; ","")&amp;IF(AND(CI1291=1,CJ1291&lt;CK1291),"MAX &lt; MB+LG; ","")&amp;IF(AND(CQ1291&gt;0,CP1291*10&gt;CQ1291),"zu hoch für Tablar; ","")&amp;IF(AND(BW1291=0,OR(CI1291=1,AB1291&lt;&gt;"",U1291&lt;&gt;"",V1291&lt;&gt;"",AC1291&lt;&gt;"")),"manuell übersteuert; ","")&amp;IF(AND(CA1291=0,R1291=0),"Gebinde unbekannt / Stellmass fehlt; ","")&amp;IF(AND(CA1291=0,N(V1291)&lt;=0,N(Q1291)&lt;=0),"Menge pro Gebinde fehlt (Ist = 1 Gebinde); ","")&amp;BV1291)</f>
        <v>negativer Bestand (Export -1); Kein Verbrauch; Gebinde geschätzt (Gross); Menge pro Gebinde fehlt (Ist = 1 Gebinde); </v>
      </c>
      <c r="BO1291" s="60"/>
      <c r="BP1291" s="60"/>
      <c r="BQ1291" s="67"/>
      <c r="BR1291" s="62" t="n">
        <v>-1</v>
      </c>
      <c r="BS1291" s="62" t="n">
        <v>1</v>
      </c>
      <c r="BT1291" s="61" t="n">
        <v>-1160</v>
      </c>
      <c r="BU1291" s="62" t="n">
        <v>0</v>
      </c>
      <c r="BV1291" s="60"/>
      <c r="BW1291" s="65" t="n">
        <v>0</v>
      </c>
      <c r="BX1291" s="65" t="n">
        <v>1291</v>
      </c>
      <c r="BY1291" s="60" t="str">
        <f aca="false">IF(U1291&lt;&gt;"",UPPER(TRIM(U1291)),IF(CB1291=1,UPPER(VLOOKUP(T1291,Parameter!$I$27:$K$29,2,0)),IF(P1291="","LOSE",P1291)))</f>
        <v>S81</v>
      </c>
      <c r="BZ1291" s="62" t="n">
        <f aca="false">IF(BY1291="LOSE",1,IF(N(V1291)&gt;0,V1291,IF(CB1291=1,MAX(1,N(VLOOKUP(T1291,Parameter!$I$27:$K$29,3,0)),H1291,N(N1291)),IF(N(Q1291)&gt;0,Q1291,MAX(1,H1291)))))</f>
        <v>2</v>
      </c>
      <c r="CA1291" s="65" t="n">
        <f aca="false">IF(BY1291="LOSE",1,0)</f>
        <v>0</v>
      </c>
      <c r="CB1291" s="65" t="n">
        <f aca="false">IF(AND(U1291="",OR(P1291="",P1291="LOSE"),T1291&lt;&gt;"",N(S1291)&lt;=0,ISNUMBER(MATCH(T1291,Parameter!$I$27:$I$29,0))),1,0)</f>
        <v>1</v>
      </c>
      <c r="CC1291" s="65" t="n">
        <f aca="false">IF(CR1291&gt;0,INDEX(Parameter!$H$5:$H$7,W1291)/INDEX(Parameter!$E$5:$E$7,W1291),IF(AND(CA1291=0,N(IFERROR(VLOOKUP(BY1291,'Gebinde-Kategorie'!$A$5:$N$45,14,0),0))&gt;0),VLOOKUP(BY1291,'Gebinde-Kategorie'!$A$5:$N$45,14,0)*10+Parameter!$M$23,Parameter!$M$24))</f>
        <v>235</v>
      </c>
      <c r="CD1291" s="60" t="str">
        <f aca="false">IF(AND(Parameter!$B$19="Ja",E1291&lt;&gt;"",ISNUMBER(MATCH(E1291,Parameter!$I$35:$I$52,0))),VLOOKUP(E1291,Parameter!$I$35:$J$52,2,0),IFERROR(VLOOKUP(D1291,Parameter!$A$35:$C$64,2,0),"Nein"))</f>
        <v>2+3</v>
      </c>
      <c r="CE1291" s="64" t="n">
        <f aca="false">IF(CA1291=0,0,IF(N(S1291)&gt;0,S1291,IFERROR(VLOOKUP(D1291,Parameter!$A$35:$C$64,3,0)+0,0)))</f>
        <v>0</v>
      </c>
      <c r="CF1291" s="60" t="n">
        <f aca="false">IF(AB1291&lt;&gt;"",AB1291,AA1291)</f>
        <v>2</v>
      </c>
      <c r="CG1291" s="60" t="str">
        <f aca="false">IF(OR(CF1291=1,CF1291=2,CF1291=3),IF(Parameter!$E$27="Ja","LIFT",IF(CF1291=1,"L1","L23")),IF(CF1291="Aussen","Aussen","-"))</f>
        <v>LIFT</v>
      </c>
      <c r="CH1291" s="71" t="n">
        <f aca="false">IF(N(AC1291)&gt;0,AC1291,0)</f>
        <v>0</v>
      </c>
      <c r="CI1291" s="65" t="n">
        <f aca="false">IF(ISNUMBER(AF1291),1,0)</f>
        <v>0</v>
      </c>
      <c r="CJ1291" s="62" t="n">
        <f aca="false">N(AF1291)</f>
        <v>0</v>
      </c>
      <c r="CK1291" s="62" t="n">
        <f aca="false">N(M1291)+N(N1291)</f>
        <v>1</v>
      </c>
      <c r="CL1291" s="62" t="n">
        <f aca="false">N(M1291)</f>
        <v>0</v>
      </c>
      <c r="CM1291" s="62" t="n">
        <f aca="false">N(N1291)</f>
        <v>1</v>
      </c>
      <c r="CN1291" s="62" t="n">
        <f aca="false">ROUNDUP(H1291/BZ1291,0)</f>
        <v>0</v>
      </c>
      <c r="CO1291" s="62" t="n">
        <f aca="false">ROUNDUP(CJ1291/BZ1291,0)</f>
        <v>0</v>
      </c>
      <c r="CP1291" s="65" t="n">
        <f aca="false">IF(CA1291=1,0,IFERROR(VLOOKUP(BY1291,'Gebinde-Kategorie'!$A$5:$N$45,5,0)+0,0))</f>
        <v>20</v>
      </c>
      <c r="CQ1291" s="65" t="n">
        <f aca="false">IFERROR(IF(OR(CF1291=1,CF1291=2,CF1291=3),N(INDEX(Parameter!$I$5:$I$7,CF1291)),0),0)</f>
        <v>0</v>
      </c>
      <c r="CR1291" s="64" t="n">
        <f aca="false">IF(AND(Parameter!$B$21="Ja",ISNUMBER(W1291),N(X1291)&gt;0),IFERROR(N(INDEX(Parameter!$L$5:$L$7,W1291))*INDEX(Parameter!$E$5:$E$7,W1291)*X1291/SUMIFS($X$7:$X$1843,$W$7:$W$1843,W1291),0),0)</f>
        <v>0</v>
      </c>
      <c r="CS1291" s="62" t="str">
        <f aca="false">IF(AND(OR(CG1291="L1",CG1291="L23",CG1291="LIFT"),H1291&gt;0),CC1291*IF(CR1291&gt;0,CR1291*MAX(1,H1291/X1291),IF(CA1291=1,CE1291,IF(R1291&gt;0,CN1291/R1291,0))/MAX(0.1,N(Parameter!$M$21))),"")</f>
        <v/>
      </c>
      <c r="CT1291" s="64" t="str">
        <f aca="false">IF(CS1291="","",J1291/H1291)</f>
        <v/>
      </c>
      <c r="CU1291" s="62" t="str">
        <f aca="false">IF(CS1291="","",H1291*G1291)</f>
        <v/>
      </c>
      <c r="CV1291" s="63" t="str">
        <f aca="false">IF(CS1291="","",(CL1291+ROUNDUP(CL1291+MAX(CM1291,2*(J1291/MAX(0.1,N(Einkauf!$C$6))-CL1291)),0))/2)</f>
        <v/>
      </c>
      <c r="CW1291" s="62" t="str">
        <f aca="false">IF(CS1291="","",MAX(0,H1291-CV1291)*G1291)</f>
        <v/>
      </c>
      <c r="CX1291" s="62" t="str">
        <f aca="false">IF(CS1291="","",CS1291*MAX(0,1-CV1291/H1291))</f>
        <v/>
      </c>
      <c r="CY1291" s="64" t="str">
        <f aca="false">IF(CS1291="","",PERCENTRANK($CS$7:$CS$1843,CS1291)+PERCENTRANK($CU$7:$CU$1843,CU1291)+1-PERCENTRANK($CT$7:$CT$1843,CT1291))</f>
        <v/>
      </c>
      <c r="CZ1291" s="72" t="str">
        <f aca="false">IF(CS1291="","",CHOOSE(MATCH(Einkauf!$C$5,Parameter!$G$23:$G$27,0),CY1291,CS1291,CU1291,-CT1291,CW1291)+ROW()/1000000000)</f>
        <v/>
      </c>
    </row>
    <row r="1292" customFormat="false" ht="15" hidden="false" customHeight="false" outlineLevel="0" collapsed="false">
      <c r="A1292" s="60" t="s">
        <v>2343</v>
      </c>
      <c r="B1292" s="60" t="s">
        <v>642</v>
      </c>
      <c r="C1292" s="60" t="s">
        <v>206</v>
      </c>
      <c r="D1292" s="60" t="s">
        <v>226</v>
      </c>
      <c r="E1292" s="60" t="s">
        <v>227</v>
      </c>
      <c r="F1292" s="60" t="s">
        <v>260</v>
      </c>
      <c r="G1292" s="61" t="n">
        <v>16.14</v>
      </c>
      <c r="H1292" s="62" t="n">
        <f aca="false">MAX(0,IF(AND(Parameter!$B$21="Ja",ISNUMBER(Y1292)),Y1292,IF(Parameter!$B$20="Jahresanfang 2025 + Export",BS1292+BR1292,BR1292)))</f>
        <v>10</v>
      </c>
      <c r="I1292" s="62" t="n">
        <f aca="false">H1292*G1292</f>
        <v>161.4</v>
      </c>
      <c r="J1292" s="62" t="n">
        <f aca="false">BU1292*Parameter!$B$18</f>
        <v>53</v>
      </c>
      <c r="K1292" s="63" t="n">
        <v>61.5</v>
      </c>
      <c r="L1292" s="64" t="n">
        <v>0.861788617886179</v>
      </c>
      <c r="M1292" s="62" t="n">
        <v>3</v>
      </c>
      <c r="N1292" s="62" t="n">
        <v>55</v>
      </c>
      <c r="O1292" s="65" t="n">
        <v>21</v>
      </c>
      <c r="P1292" s="60" t="s">
        <v>344</v>
      </c>
      <c r="Q1292" s="62" t="n">
        <v>58</v>
      </c>
      <c r="R1292" s="65" t="n">
        <f aca="false">IF(CA1292=1,0,IFERROR(VLOOKUP(BY1292,'Gebinde-Kategorie'!$A$5:$N$45,13,0)+0,0))</f>
        <v>26</v>
      </c>
      <c r="S1292" s="66"/>
      <c r="T1292" s="67"/>
      <c r="U1292" s="67"/>
      <c r="V1292" s="67"/>
      <c r="W1292" s="60"/>
      <c r="X1292" s="62"/>
      <c r="Y1292" s="62"/>
      <c r="Z1292" s="60" t="n">
        <v>3</v>
      </c>
      <c r="AA1292" s="60" t="n">
        <f aca="false">IF(A1292="","",IF(AND(Parameter!$B$21="Ja",ISNUMBER(W1292)),W1292,IF(AND(Parameter!$E$27="Ja",ISNUMBER(Z1292),CD1292&lt;&gt;"Nein"),Z1292,IF(CD1292="2+3",IF(ISNUMBER(SEARCH("grosser Artikel",BV1292)),2,IFERROR(VLOOKUP(BY1292,Parameter!$F$35:$G$64,2,0),2)),IF(OR(CD1292="Nein",CD1292=""),"-",CD1292)))))</f>
        <v>3</v>
      </c>
      <c r="AB1292" s="67"/>
      <c r="AC1292" s="68"/>
      <c r="AD1292" s="62" t="n">
        <f aca="false">AW1292</f>
        <v>58</v>
      </c>
      <c r="AE1292" s="62" t="n">
        <f aca="false">MAX(AW1292,H1292)</f>
        <v>58</v>
      </c>
      <c r="AF1292" s="69"/>
      <c r="AG1292" s="62" t="n">
        <f aca="false">IF(LEFT(Cockpit!$C$5,1)="A",H1292,IF(Parameter!$E$30="MAX-Bestand",IF(CI1292=1,CJ1292,IF(LEFT(Cockpit!$C$5,1)="B",AM1292,MAX(AM1292,H1292))),ROUNDUP(AK1292,0)))</f>
        <v>10</v>
      </c>
      <c r="AH1292" s="62" t="n">
        <f aca="false">IF(CA1292=1,0,ROUNDUP(AG1292/BZ1292,0))</f>
        <v>1</v>
      </c>
      <c r="AI1292" s="64" t="n">
        <f aca="false">IF(CR1292&gt;0,CR1292*MAX(1,AG1292/X1292),IF(CA1292=1,IF(AG1292&lt;=0,0,CE1292*MAX(1,IF(H1292&gt;0,AG1292/H1292,1))),IF(R1292&gt;0,AH1292/R1292,0))/MAX(0.1,N(Parameter!$M$21)))</f>
        <v>0.0384615384615385</v>
      </c>
      <c r="AJ1292" s="62" t="n">
        <f aca="false">AI1292*CC1292</f>
        <v>5.96153846153846</v>
      </c>
      <c r="AK1292" s="63" t="n">
        <f aca="false">IF(LEFT(Cockpit!$C$5,1)="A",H1292,IF(CI1292=1,(CL1292+CJ1292)/2,IF(LEFT(Cockpit!$C$5,1)="B",(CL1292+AM1292)/2,MAX((CL1292+AM1292)/2,H1292))))</f>
        <v>10</v>
      </c>
      <c r="AL1292" s="62" t="n">
        <f aca="false">AK1292*G1292</f>
        <v>161.4</v>
      </c>
      <c r="AM1292" s="62" t="n">
        <f aca="false">ROUNDUP(CL1292+MAX(CM1292,2*(J1292/IF(CH1292&gt;0,CH1292,MAX(0.1,N(Cockpit!$C$6)))-CL1292)),0)</f>
        <v>58</v>
      </c>
      <c r="AN1292" s="63" t="n">
        <f aca="false">IF(AJ1292&gt;0,J1292/AJ1292,-1)</f>
        <v>8.89032258064516</v>
      </c>
      <c r="AO1292" s="63" t="n">
        <f aca="false">IF(AND(OR(CG1292="L1",CG1292="L23",CG1292="LIFT"),AJ1292&gt;0),SUMIFS($AJ$7:$AJ$1843,$CG$7:$CG$1843,CG1292,$AN$7:$AN$1843,"&gt;"&amp;AN1292)+SUMIFS($AJ$7:$AJ$1843,$CG$7:$CG$1843,CG1292,$AN$7:$AN$1843,AN1292,$BX$7:$BX$1843,"&lt;="&amp;BX1292),"")</f>
        <v>2930.06456043956</v>
      </c>
      <c r="AP1292" s="70" t="n">
        <f aca="false">IF(AO1292="",0,MAX(0,MIN(1,(IF(CG1292="L1",Parameter!$H$5,IF(CG1292="L23",Parameter!$H$6+Parameter!$H$7,Parameter!$H$5+Parameter!$H$6+Parameter!$H$7))-(AO1292-AJ1292))/AJ1292)))</f>
        <v>1</v>
      </c>
      <c r="AQ1292" s="62" t="n">
        <f aca="false">IF(LEFT(Cockpit!$I$5,1)="A",H1292,IF(Parameter!$E$30="MAX-Bestand",IF(CI1292=1,CJ1292,IF(LEFT(Cockpit!$I$5,1)="B",AW1292,MAX(AW1292,H1292))),ROUNDUP(AU1292,0)))</f>
        <v>31</v>
      </c>
      <c r="AR1292" s="62" t="n">
        <f aca="false">IF(CA1292=1,0,ROUNDUP(AQ1292/BZ1292,0))</f>
        <v>1</v>
      </c>
      <c r="AS1292" s="64" t="n">
        <f aca="false">IF(CR1292&gt;0,CR1292*MAX(1,AQ1292/X1292),IF(CA1292=1,IF(AQ1292&lt;=0,0,CE1292*MAX(1,IF(H1292&gt;0,AQ1292/H1292,1))),IF(R1292&gt;0,AR1292/R1292,0))/MAX(0.1,N(Parameter!$M$21)))</f>
        <v>0.0384615384615385</v>
      </c>
      <c r="AT1292" s="62" t="n">
        <f aca="false">AS1292*CC1292</f>
        <v>5.96153846153846</v>
      </c>
      <c r="AU1292" s="63" t="n">
        <f aca="false">IF(LEFT(Cockpit!$I$5,1)="A",H1292,IF(CI1292=1,(CL1292+CJ1292)/2,IF(LEFT(Cockpit!$I$5,1)="B",(CL1292+AW1292)/2,MAX((CL1292+AW1292)/2,H1292))))</f>
        <v>30.5</v>
      </c>
      <c r="AV1292" s="62" t="n">
        <f aca="false">AU1292*G1292</f>
        <v>492.27</v>
      </c>
      <c r="AW1292" s="62" t="n">
        <f aca="false">ROUNDUP(CL1292+MAX(CM1292,2*(J1292/IF(CH1292&gt;0,CH1292,MAX(0.1,N(Cockpit!$I$6)))-CL1292)),0)</f>
        <v>58</v>
      </c>
      <c r="AX1292" s="63" t="n">
        <f aca="false">IF(AT1292&gt;0,J1292/AT1292,-1)</f>
        <v>8.89032258064516</v>
      </c>
      <c r="AY1292" s="63" t="n">
        <f aca="false">IF(AND(OR(CG1292="L1",CG1292="L23",CG1292="LIFT"),AT1292&gt;0),SUMIFS($AT$7:$AT$1843,$CG$7:$CG$1843,CG1292,$AX$7:$AX$1843,"&gt;"&amp;AX1292)+SUMIFS($AT$7:$AT$1843,$CG$7:$CG$1843,CG1292,$AX$7:$AX$1843,AX1292,$BX$7:$BX$1843,"&lt;="&amp;BX1292),"")</f>
        <v>3545.05265567766</v>
      </c>
      <c r="AZ1292" s="70" t="n">
        <f aca="false">IF(AY1292="",0,MAX(0,MIN(1,(IF(CG1292="L1",Parameter!$H$5,IF(CG1292="L23",Parameter!$H$6+Parameter!$H$7,Parameter!$H$5+Parameter!$H$6+Parameter!$H$7))-(AY1292-AT1292))/AT1292)))</f>
        <v>1</v>
      </c>
      <c r="BA1292" s="62" t="n">
        <f aca="false">IF(LEFT(Cockpit!$O$5,1)="A",H1292,IF(Parameter!$E$30="MAX-Bestand",IF(CI1292=1,CJ1292,IF(LEFT(Cockpit!$O$5,1)="B",BG1292,MAX(BG1292,H1292))),ROUNDUP(BE1292,0)))</f>
        <v>31</v>
      </c>
      <c r="BB1292" s="62" t="n">
        <f aca="false">IF(CA1292=1,0,ROUNDUP(BA1292/BZ1292,0))</f>
        <v>1</v>
      </c>
      <c r="BC1292" s="64" t="n">
        <f aca="false">IF(CR1292&gt;0,CR1292*MAX(1,BA1292/X1292),IF(CA1292=1,IF(BA1292&lt;=0,0,CE1292*MAX(1,IF(H1292&gt;0,BA1292/H1292,1))),IF(R1292&gt;0,BB1292/R1292,0))/MAX(0.1,N(Parameter!$M$21)))</f>
        <v>0.0384615384615385</v>
      </c>
      <c r="BD1292" s="62" t="n">
        <f aca="false">BC1292*CC1292</f>
        <v>5.96153846153846</v>
      </c>
      <c r="BE1292" s="63" t="n">
        <f aca="false">IF(LEFT(Cockpit!$O$5,1)="A",H1292,IF(CI1292=1,(CL1292+CJ1292)/2,IF(LEFT(Cockpit!$O$5,1)="B",(CL1292+BG1292)/2,MAX((CL1292+BG1292)/2,H1292))))</f>
        <v>30.5</v>
      </c>
      <c r="BF1292" s="62" t="n">
        <f aca="false">BE1292*G1292</f>
        <v>492.27</v>
      </c>
      <c r="BG1292" s="62" t="n">
        <f aca="false">ROUNDUP(CL1292+MAX(CM1292,2*(J1292/IF(CH1292&gt;0,CH1292,MAX(0.1,N(Cockpit!$O$6)))-CL1292)),0)</f>
        <v>58</v>
      </c>
      <c r="BH1292" s="63" t="n">
        <f aca="false">IF(BD1292&gt;0,J1292/BD1292,-1)</f>
        <v>8.89032258064516</v>
      </c>
      <c r="BI1292" s="63" t="n">
        <f aca="false">IF(AND(OR(CG1292="L1",CG1292="L23",CG1292="LIFT"),BD1292&gt;0),SUMIFS($BD$7:$BD$1843,$CG$7:$CG$1843,CG1292,$BH$7:$BH$1843,"&gt;"&amp;BH1292)+SUMIFS($BD$7:$BD$1843,$CG$7:$CG$1843,CG1292,$BH$7:$BH$1843,BH1292,$BX$7:$BX$1843,"&lt;="&amp;BX1292),"")</f>
        <v>2886.21657509158</v>
      </c>
      <c r="BJ1292" s="70" t="n">
        <f aca="false">IF(BI1292="",0,MAX(0,MIN(1,(IF(CG1292="L1",Parameter!$H$5,IF(CG1292="L23",Parameter!$H$6+Parameter!$H$7,Parameter!$H$5+Parameter!$H$6+Parameter!$H$7))-(BI1292-BD1292))/BD1292)))</f>
        <v>1</v>
      </c>
      <c r="BK1292" s="60" t="str">
        <f aca="false">IF(AJ1292&lt;=0,"",IF(CG1292="Aussen","Aussenlager",IF(CG1292="-","Nicht im Lift",IF(AP1292&gt;=1,"Lift",IF(AP1292&lt;=0,"Aussenlager","teilweise")))))</f>
        <v>Lift</v>
      </c>
      <c r="BL1292" s="60" t="str">
        <f aca="false">IF(AT1292&lt;=0,"",IF(CG1292="Aussen","Aussenlager",IF(CG1292="-","Nicht im Lift",IF(AZ1292&gt;=1,"Lift",IF(AZ1292&lt;=0,"Aussenlager","teilweise")))))</f>
        <v>Lift</v>
      </c>
      <c r="BM1292" s="60" t="str">
        <f aca="false">IF(BD1292&lt;=0,"",IF(CG1292="Aussen","Aussenlager",IF(CG1292="-","Nicht im Lift",IF(BJ1292&gt;=1,"Lift",IF(BJ1292&lt;=0,"Aussenlager","teilweise")))))</f>
        <v>Lift</v>
      </c>
      <c r="BN1292" s="60" t="str">
        <f aca="false">IF(A1292="","",IF(BW1292=1,"Neu; ","")&amp;IF(AND(BW1292=0,BR1292&lt;0),"negativer Bestand (Export "&amp;BR1292&amp;"); ","")&amp;IF(J1292&lt;=0,"Kein Verbrauch; ","")&amp;IF(CR1292&gt;0,"Lift "&amp;W1292&amp;" lt. Liftbericht (Fach "&amp;X1292&amp;" Stk); ",IF(CB1292=1,"Gebinde geschätzt ("&amp;T1292&amp;"); ",IF(CA1292=1,"Lose – Tablare geschätzt; ","")))&amp;IF(H1292&gt;AW1292,"Überbestand "&amp;ROUND(H1292-AW1292,0)&amp;" Stk / CHF "&amp;ROUND((H1292-AW1292)*G1292,0)&amp;"; ","")&amp;IF(AND(CI1292=1,CJ1292&lt;CK1292),"MAX &lt; MB+LG; ","")&amp;IF(AND(CQ1292&gt;0,CP1292*10&gt;CQ1292),"zu hoch für Tablar; ","")&amp;IF(AND(BW1292=0,OR(CI1292=1,AB1292&lt;&gt;"",U1292&lt;&gt;"",V1292&lt;&gt;"",AC1292&lt;&gt;"")),"manuell übersteuert; ","")&amp;IF(AND(CA1292=0,R1292=0),"Gebinde unbekannt / Stellmass fehlt; ","")&amp;IF(AND(CA1292=0,N(V1292)&lt;=0,N(Q1292)&lt;=0),"Menge pro Gebinde fehlt (Ist = 1 Gebinde); ","")&amp;BV1292)</f>
        <v>negativer Bestand (Export -66); </v>
      </c>
      <c r="BO1292" s="60"/>
      <c r="BP1292" s="60"/>
      <c r="BQ1292" s="67"/>
      <c r="BR1292" s="62" t="n">
        <v>-66</v>
      </c>
      <c r="BS1292" s="62" t="n">
        <v>76</v>
      </c>
      <c r="BT1292" s="61" t="n">
        <v>-1160.7</v>
      </c>
      <c r="BU1292" s="62" t="n">
        <v>53</v>
      </c>
      <c r="BV1292" s="60"/>
      <c r="BW1292" s="65" t="n">
        <v>0</v>
      </c>
      <c r="BX1292" s="65" t="n">
        <v>1292</v>
      </c>
      <c r="BY1292" s="60" t="str">
        <f aca="false">IF(U1292&lt;&gt;"",UPPER(TRIM(U1292)),IF(CB1292=1,UPPER(VLOOKUP(T1292,Parameter!$I$27:$K$29,2,0)),IF(P1292="","LOSE",P1292)))</f>
        <v>S51</v>
      </c>
      <c r="BZ1292" s="62" t="n">
        <f aca="false">IF(BY1292="LOSE",1,IF(N(V1292)&gt;0,V1292,IF(CB1292=1,MAX(1,N(VLOOKUP(T1292,Parameter!$I$27:$K$29,3,0)),H1292,N(N1292)),IF(N(Q1292)&gt;0,Q1292,MAX(1,H1292)))))</f>
        <v>58</v>
      </c>
      <c r="CA1292" s="65" t="n">
        <f aca="false">IF(BY1292="LOSE",1,0)</f>
        <v>0</v>
      </c>
      <c r="CB1292" s="65" t="n">
        <f aca="false">IF(AND(U1292="",OR(P1292="",P1292="LOSE"),T1292&lt;&gt;"",N(S1292)&lt;=0,ISNUMBER(MATCH(T1292,Parameter!$I$27:$I$29,0))),1,0)</f>
        <v>0</v>
      </c>
      <c r="CC1292" s="65" t="n">
        <f aca="false">IF(CR1292&gt;0,INDEX(Parameter!$H$5:$H$7,W1292)/INDEX(Parameter!$E$5:$E$7,W1292),IF(AND(CA1292=0,N(IFERROR(VLOOKUP(BY1292,'Gebinde-Kategorie'!$A$5:$N$45,14,0),0))&gt;0),VLOOKUP(BY1292,'Gebinde-Kategorie'!$A$5:$N$45,14,0)*10+Parameter!$M$23,Parameter!$M$24))</f>
        <v>155</v>
      </c>
      <c r="CD1292" s="60" t="str">
        <f aca="false">IF(AND(Parameter!$B$19="Ja",E1292&lt;&gt;"",ISNUMBER(MATCH(E1292,Parameter!$I$35:$I$52,0))),VLOOKUP(E1292,Parameter!$I$35:$J$52,2,0),IFERROR(VLOOKUP(D1292,Parameter!$A$35:$C$64,2,0),"Nein"))</f>
        <v>2+3</v>
      </c>
      <c r="CE1292" s="64" t="n">
        <f aca="false">IF(CA1292=0,0,IF(N(S1292)&gt;0,S1292,IFERROR(VLOOKUP(D1292,Parameter!$A$35:$C$64,3,0)+0,0)))</f>
        <v>0</v>
      </c>
      <c r="CF1292" s="60" t="n">
        <f aca="false">IF(AB1292&lt;&gt;"",AB1292,AA1292)</f>
        <v>3</v>
      </c>
      <c r="CG1292" s="60" t="str">
        <f aca="false">IF(OR(CF1292=1,CF1292=2,CF1292=3),IF(Parameter!$E$27="Ja","LIFT",IF(CF1292=1,"L1","L23")),IF(CF1292="Aussen","Aussen","-"))</f>
        <v>LIFT</v>
      </c>
      <c r="CH1292" s="71" t="n">
        <f aca="false">IF(N(AC1292)&gt;0,AC1292,0)</f>
        <v>0</v>
      </c>
      <c r="CI1292" s="65" t="n">
        <f aca="false">IF(ISNUMBER(AF1292),1,0)</f>
        <v>0</v>
      </c>
      <c r="CJ1292" s="62" t="n">
        <f aca="false">N(AF1292)</f>
        <v>0</v>
      </c>
      <c r="CK1292" s="62" t="n">
        <f aca="false">N(M1292)+N(N1292)</f>
        <v>58</v>
      </c>
      <c r="CL1292" s="62" t="n">
        <f aca="false">N(M1292)</f>
        <v>3</v>
      </c>
      <c r="CM1292" s="62" t="n">
        <f aca="false">N(N1292)</f>
        <v>55</v>
      </c>
      <c r="CN1292" s="62" t="n">
        <f aca="false">ROUNDUP(H1292/BZ1292,0)</f>
        <v>1</v>
      </c>
      <c r="CO1292" s="62" t="n">
        <f aca="false">ROUNDUP(CJ1292/BZ1292,0)</f>
        <v>0</v>
      </c>
      <c r="CP1292" s="65" t="n">
        <f aca="false">IF(CA1292=1,0,IFERROR(VLOOKUP(BY1292,'Gebinde-Kategorie'!$A$5:$N$45,5,0)+0,0))</f>
        <v>11</v>
      </c>
      <c r="CQ1292" s="65" t="n">
        <f aca="false">IFERROR(IF(OR(CF1292=1,CF1292=2,CF1292=3),N(INDEX(Parameter!$I$5:$I$7,CF1292)),0),0)</f>
        <v>0</v>
      </c>
      <c r="CR1292" s="64" t="n">
        <f aca="false">IF(AND(Parameter!$B$21="Ja",ISNUMBER(W1292),N(X1292)&gt;0),IFERROR(N(INDEX(Parameter!$L$5:$L$7,W1292))*INDEX(Parameter!$E$5:$E$7,W1292)*X1292/SUMIFS($X$7:$X$1843,$W$7:$W$1843,W1292),0),0)</f>
        <v>0</v>
      </c>
      <c r="CS1292" s="62" t="n">
        <f aca="false">IF(AND(OR(CG1292="L1",CG1292="L23",CG1292="LIFT"),H1292&gt;0),CC1292*IF(CR1292&gt;0,CR1292*MAX(1,H1292/X1292),IF(CA1292=1,CE1292,IF(R1292&gt;0,CN1292/R1292,0))/MAX(0.1,N(Parameter!$M$21))),"")</f>
        <v>5.96153846153846</v>
      </c>
      <c r="CT1292" s="64" t="n">
        <f aca="false">IF(CS1292="","",J1292/H1292)</f>
        <v>5.3</v>
      </c>
      <c r="CU1292" s="62" t="n">
        <f aca="false">IF(CS1292="","",H1292*G1292)</f>
        <v>161.4</v>
      </c>
      <c r="CV1292" s="63" t="n">
        <f aca="false">IF(CS1292="","",(CL1292+ROUNDUP(CL1292+MAX(CM1292,2*(J1292/MAX(0.1,N(Einkauf!$C$6))-CL1292)),0))/2)</f>
        <v>30.5</v>
      </c>
      <c r="CW1292" s="62" t="n">
        <f aca="false">IF(CS1292="","",MAX(0,H1292-CV1292)*G1292)</f>
        <v>0</v>
      </c>
      <c r="CX1292" s="62" t="n">
        <f aca="false">IF(CS1292="","",CS1292*MAX(0,1-CV1292/H1292))</f>
        <v>0</v>
      </c>
      <c r="CY1292" s="64" t="n">
        <f aca="false">IF(CS1292="","",PERCENTRANK($CS$7:$CS$1843,CS1292)+PERCENTRANK($CU$7:$CU$1843,CU1292)+1-PERCENTRANK($CT$7:$CT$1843,CT1292))</f>
        <v>0.696</v>
      </c>
      <c r="CZ1292" s="72" t="n">
        <f aca="false">IF(CS1292="","",CHOOSE(MATCH(Einkauf!$C$5,Parameter!$G$23:$G$27,0),CY1292,CS1292,CU1292,-CT1292,CW1292)+ROW()/1000000000)</f>
        <v>0.696001292</v>
      </c>
    </row>
    <row r="1293" customFormat="false" ht="15" hidden="false" customHeight="false" outlineLevel="0" collapsed="false">
      <c r="A1293" s="60" t="s">
        <v>2344</v>
      </c>
      <c r="B1293" s="60" t="s">
        <v>1040</v>
      </c>
      <c r="C1293" s="60" t="s">
        <v>206</v>
      </c>
      <c r="D1293" s="60" t="s">
        <v>226</v>
      </c>
      <c r="E1293" s="60" t="s">
        <v>227</v>
      </c>
      <c r="F1293" s="60" t="s">
        <v>260</v>
      </c>
      <c r="G1293" s="61" t="n">
        <v>116.83</v>
      </c>
      <c r="H1293" s="62" t="n">
        <f aca="false">MAX(0,IF(AND(Parameter!$B$21="Ja",ISNUMBER(Y1293)),Y1293,IF(Parameter!$B$20="Jahresanfang 2025 + Export",BS1293+BR1293,BR1293)))</f>
        <v>28.7910000000001</v>
      </c>
      <c r="I1293" s="62" t="n">
        <f aca="false">H1293*G1293</f>
        <v>3363.65253000001</v>
      </c>
      <c r="J1293" s="62" t="n">
        <f aca="false">BU1293*Parameter!$B$18</f>
        <v>148.173</v>
      </c>
      <c r="K1293" s="63" t="n">
        <v>35.0785</v>
      </c>
      <c r="L1293" s="64" t="n">
        <v>4.22404036660633</v>
      </c>
      <c r="M1293" s="62" t="n">
        <v>15</v>
      </c>
      <c r="N1293" s="62" t="n">
        <v>45</v>
      </c>
      <c r="O1293" s="65" t="n">
        <v>42</v>
      </c>
      <c r="P1293" s="60" t="s">
        <v>335</v>
      </c>
      <c r="Q1293" s="62" t="n">
        <v>17.887</v>
      </c>
      <c r="R1293" s="65" t="n">
        <f aca="false">IF(CA1293=1,0,IFERROR(VLOOKUP(BY1293,'Gebinde-Kategorie'!$A$5:$N$45,13,0)+0,0))</f>
        <v>12</v>
      </c>
      <c r="S1293" s="66"/>
      <c r="T1293" s="67"/>
      <c r="U1293" s="67"/>
      <c r="V1293" s="67"/>
      <c r="W1293" s="60"/>
      <c r="X1293" s="62"/>
      <c r="Y1293" s="62"/>
      <c r="Z1293" s="60" t="n">
        <v>3</v>
      </c>
      <c r="AA1293" s="60" t="n">
        <f aca="false">IF(A1293="","",IF(AND(Parameter!$B$21="Ja",ISNUMBER(W1293)),W1293,IF(AND(Parameter!$E$27="Ja",ISNUMBER(Z1293),CD1293&lt;&gt;"Nein"),Z1293,IF(CD1293="2+3",IF(ISNUMBER(SEARCH("grosser Artikel",BV1293)),2,IFERROR(VLOOKUP(BY1293,Parameter!$F$35:$G$64,2,0),2)),IF(OR(CD1293="Nein",CD1293=""),"-",CD1293)))))</f>
        <v>3</v>
      </c>
      <c r="AB1293" s="67"/>
      <c r="AC1293" s="68"/>
      <c r="AD1293" s="62" t="n">
        <f aca="false">AW1293</f>
        <v>84</v>
      </c>
      <c r="AE1293" s="62" t="n">
        <f aca="false">MAX(AW1293,H1293)</f>
        <v>84</v>
      </c>
      <c r="AF1293" s="69"/>
      <c r="AG1293" s="62" t="n">
        <f aca="false">IF(LEFT(Cockpit!$C$5,1)="A",H1293,IF(Parameter!$E$30="MAX-Bestand",IF(CI1293=1,CJ1293,IF(LEFT(Cockpit!$C$5,1)="B",AM1293,MAX(AM1293,H1293))),ROUNDUP(AK1293,0)))</f>
        <v>28.7910000000001</v>
      </c>
      <c r="AH1293" s="62" t="n">
        <f aca="false">IF(CA1293=1,0,ROUNDUP(AG1293/BZ1293,0))</f>
        <v>2</v>
      </c>
      <c r="AI1293" s="64" t="n">
        <f aca="false">IF(CR1293&gt;0,CR1293*MAX(1,AG1293/X1293),IF(CA1293=1,IF(AG1293&lt;=0,0,CE1293*MAX(1,IF(H1293&gt;0,AG1293/H1293,1))),IF(R1293&gt;0,AH1293/R1293,0))/MAX(0.1,N(Parameter!$M$21)))</f>
        <v>0.166666666666667</v>
      </c>
      <c r="AJ1293" s="62" t="n">
        <f aca="false">AI1293*CC1293</f>
        <v>40.8333333333333</v>
      </c>
      <c r="AK1293" s="63" t="n">
        <f aca="false">IF(LEFT(Cockpit!$C$5,1)="A",H1293,IF(CI1293=1,(CL1293+CJ1293)/2,IF(LEFT(Cockpit!$C$5,1)="B",(CL1293+AM1293)/2,MAX((CL1293+AM1293)/2,H1293))))</f>
        <v>28.7910000000001</v>
      </c>
      <c r="AL1293" s="62" t="n">
        <f aca="false">AK1293*G1293</f>
        <v>3363.65253000001</v>
      </c>
      <c r="AM1293" s="62" t="n">
        <f aca="false">ROUNDUP(CL1293+MAX(CM1293,2*(J1293/IF(CH1293&gt;0,CH1293,MAX(0.1,N(Cockpit!$C$6)))-CL1293)),0)</f>
        <v>84</v>
      </c>
      <c r="AN1293" s="63" t="n">
        <f aca="false">IF(AJ1293&gt;0,J1293/AJ1293,-1)</f>
        <v>3.62872653061225</v>
      </c>
      <c r="AO1293" s="63" t="n">
        <f aca="false">IF(AND(OR(CG1293="L1",CG1293="L23",CG1293="LIFT"),AJ1293&gt;0),SUMIFS($AJ$7:$AJ$1843,$CG$7:$CG$1843,CG1293,$AN$7:$AN$1843,"&gt;"&amp;AN1293)+SUMIFS($AJ$7:$AJ$1843,$CG$7:$CG$1843,CG1293,$AN$7:$AN$1843,AN1293,$BX$7:$BX$1843,"&lt;="&amp;BX1293),"")</f>
        <v>4819.57051282051</v>
      </c>
      <c r="AP1293" s="70" t="n">
        <f aca="false">IF(AO1293="",0,MAX(0,MIN(1,(IF(CG1293="L1",Parameter!$H$5,IF(CG1293="L23",Parameter!$H$6+Parameter!$H$7,Parameter!$H$5+Parameter!$H$6+Parameter!$H$7))-(AO1293-AJ1293))/AJ1293)))</f>
        <v>1</v>
      </c>
      <c r="AQ1293" s="62" t="n">
        <f aca="false">IF(LEFT(Cockpit!$I$5,1)="A",H1293,IF(Parameter!$E$30="MAX-Bestand",IF(CI1293=1,CJ1293,IF(LEFT(Cockpit!$I$5,1)="B",AW1293,MAX(AW1293,H1293))),ROUNDUP(AU1293,0)))</f>
        <v>50</v>
      </c>
      <c r="AR1293" s="62" t="n">
        <f aca="false">IF(CA1293=1,0,ROUNDUP(AQ1293/BZ1293,0))</f>
        <v>3</v>
      </c>
      <c r="AS1293" s="64" t="n">
        <f aca="false">IF(CR1293&gt;0,CR1293*MAX(1,AQ1293/X1293),IF(CA1293=1,IF(AQ1293&lt;=0,0,CE1293*MAX(1,IF(H1293&gt;0,AQ1293/H1293,1))),IF(R1293&gt;0,AR1293/R1293,0))/MAX(0.1,N(Parameter!$M$21)))</f>
        <v>0.25</v>
      </c>
      <c r="AT1293" s="62" t="n">
        <f aca="false">AS1293*CC1293</f>
        <v>61.25</v>
      </c>
      <c r="AU1293" s="63" t="n">
        <f aca="false">IF(LEFT(Cockpit!$I$5,1)="A",H1293,IF(CI1293=1,(CL1293+CJ1293)/2,IF(LEFT(Cockpit!$I$5,1)="B",(CL1293+AW1293)/2,MAX((CL1293+AW1293)/2,H1293))))</f>
        <v>49.5</v>
      </c>
      <c r="AV1293" s="62" t="n">
        <f aca="false">AU1293*G1293</f>
        <v>5783.085</v>
      </c>
      <c r="AW1293" s="62" t="n">
        <f aca="false">ROUNDUP(CL1293+MAX(CM1293,2*(J1293/IF(CH1293&gt;0,CH1293,MAX(0.1,N(Cockpit!$I$6)))-CL1293)),0)</f>
        <v>84</v>
      </c>
      <c r="AX1293" s="63" t="n">
        <f aca="false">IF(AT1293&gt;0,J1293/AT1293,-1)</f>
        <v>2.41915102040816</v>
      </c>
      <c r="AY1293" s="63" t="n">
        <f aca="false">IF(AND(OR(CG1293="L1",CG1293="L23",CG1293="LIFT"),AT1293&gt;0),SUMIFS($AT$7:$AT$1843,$CG$7:$CG$1843,CG1293,$AX$7:$AX$1843,"&gt;"&amp;AX1293)+SUMIFS($AT$7:$AT$1843,$CG$7:$CG$1843,CG1293,$AX$7:$AX$1843,AX1293,$BX$7:$BX$1843,"&lt;="&amp;BX1293),"")</f>
        <v>6403.65705128205</v>
      </c>
      <c r="AZ1293" s="70" t="n">
        <f aca="false">IF(AY1293="",0,MAX(0,MIN(1,(IF(CG1293="L1",Parameter!$H$5,IF(CG1293="L23",Parameter!$H$6+Parameter!$H$7,Parameter!$H$5+Parameter!$H$6+Parameter!$H$7))-(AY1293-AT1293))/AT1293)))</f>
        <v>1</v>
      </c>
      <c r="BA1293" s="62" t="n">
        <f aca="false">IF(LEFT(Cockpit!$O$5,1)="A",H1293,IF(Parameter!$E$30="MAX-Bestand",IF(CI1293=1,CJ1293,IF(LEFT(Cockpit!$O$5,1)="B",BG1293,MAX(BG1293,H1293))),ROUNDUP(BE1293,0)))</f>
        <v>38</v>
      </c>
      <c r="BB1293" s="62" t="n">
        <f aca="false">IF(CA1293=1,0,ROUNDUP(BA1293/BZ1293,0))</f>
        <v>3</v>
      </c>
      <c r="BC1293" s="64" t="n">
        <f aca="false">IF(CR1293&gt;0,CR1293*MAX(1,BA1293/X1293),IF(CA1293=1,IF(BA1293&lt;=0,0,CE1293*MAX(1,IF(H1293&gt;0,BA1293/H1293,1))),IF(R1293&gt;0,BB1293/R1293,0))/MAX(0.1,N(Parameter!$M$21)))</f>
        <v>0.25</v>
      </c>
      <c r="BD1293" s="62" t="n">
        <f aca="false">BC1293*CC1293</f>
        <v>61.25</v>
      </c>
      <c r="BE1293" s="63" t="n">
        <f aca="false">IF(LEFT(Cockpit!$O$5,1)="A",H1293,IF(CI1293=1,(CL1293+CJ1293)/2,IF(LEFT(Cockpit!$O$5,1)="B",(CL1293+BG1293)/2,MAX((CL1293+BG1293)/2,H1293))))</f>
        <v>37.5</v>
      </c>
      <c r="BF1293" s="62" t="n">
        <f aca="false">BE1293*G1293</f>
        <v>4381.125</v>
      </c>
      <c r="BG1293" s="62" t="n">
        <f aca="false">ROUNDUP(CL1293+MAX(CM1293,2*(J1293/IF(CH1293&gt;0,CH1293,MAX(0.1,N(Cockpit!$O$6)))-CL1293)),0)</f>
        <v>60</v>
      </c>
      <c r="BH1293" s="63" t="n">
        <f aca="false">IF(BD1293&gt;0,J1293/BD1293,-1)</f>
        <v>2.41915102040816</v>
      </c>
      <c r="BI1293" s="63" t="n">
        <f aca="false">IF(AND(OR(CG1293="L1",CG1293="L23",CG1293="LIFT"),BD1293&gt;0),SUMIFS($BD$7:$BD$1843,$CG$7:$CG$1843,CG1293,$BH$7:$BH$1843,"&gt;"&amp;BH1293)+SUMIFS($BD$7:$BD$1843,$CG$7:$CG$1843,CG1293,$BH$7:$BH$1843,BH1293,$BX$7:$BX$1843,"&lt;="&amp;BX1293),"")</f>
        <v>5560.84615384615</v>
      </c>
      <c r="BJ1293" s="70" t="n">
        <f aca="false">IF(BI1293="",0,MAX(0,MIN(1,(IF(CG1293="L1",Parameter!$H$5,IF(CG1293="L23",Parameter!$H$6+Parameter!$H$7,Parameter!$H$5+Parameter!$H$6+Parameter!$H$7))-(BI1293-BD1293))/BD1293)))</f>
        <v>1</v>
      </c>
      <c r="BK1293" s="60" t="str">
        <f aca="false">IF(AJ1293&lt;=0,"",IF(CG1293="Aussen","Aussenlager",IF(CG1293="-","Nicht im Lift",IF(AP1293&gt;=1,"Lift",IF(AP1293&lt;=0,"Aussenlager","teilweise")))))</f>
        <v>Lift</v>
      </c>
      <c r="BL1293" s="60" t="str">
        <f aca="false">IF(AT1293&lt;=0,"",IF(CG1293="Aussen","Aussenlager",IF(CG1293="-","Nicht im Lift",IF(AZ1293&gt;=1,"Lift",IF(AZ1293&lt;=0,"Aussenlager","teilweise")))))</f>
        <v>Lift</v>
      </c>
      <c r="BM1293" s="60" t="str">
        <f aca="false">IF(BD1293&lt;=0,"",IF(CG1293="Aussen","Aussenlager",IF(CG1293="-","Nicht im Lift",IF(BJ1293&gt;=1,"Lift",IF(BJ1293&lt;=0,"Aussenlager","teilweise")))))</f>
        <v>Lift</v>
      </c>
      <c r="BN1293" s="60" t="str">
        <f aca="false">IF(A1293="","",IF(BW1293=1,"Neu; ","")&amp;IF(AND(BW1293=0,BR1293&lt;0),"negativer Bestand (Export "&amp;BR1293&amp;"); ","")&amp;IF(J1293&lt;=0,"Kein Verbrauch; ","")&amp;IF(CR1293&gt;0,"Lift "&amp;W1293&amp;" lt. Liftbericht (Fach "&amp;X1293&amp;" Stk); ",IF(CB1293=1,"Gebinde geschätzt ("&amp;T1293&amp;"); ",IF(CA1293=1,"Lose – Tablare geschätzt; ","")))&amp;IF(H1293&gt;AW1293,"Überbestand "&amp;ROUND(H1293-AW1293,0)&amp;" Stk / CHF "&amp;ROUND((H1293-AW1293)*G1293,0)&amp;"; ","")&amp;IF(AND(CI1293=1,CJ1293&lt;CK1293),"MAX &lt; MB+LG; ","")&amp;IF(AND(CQ1293&gt;0,CP1293*10&gt;CQ1293),"zu hoch für Tablar; ","")&amp;IF(AND(BW1293=0,OR(CI1293=1,AB1293&lt;&gt;"",U1293&lt;&gt;"",V1293&lt;&gt;"",AC1293&lt;&gt;"")),"manuell übersteuert; ","")&amp;IF(AND(CA1293=0,R1293=0),"Gebinde unbekannt / Stellmass fehlt; ","")&amp;IF(AND(CA1293=0,N(V1293)&lt;=0,N(Q1293)&lt;=0),"Menge pro Gebinde fehlt (Ist = 1 Gebinde); ","")&amp;BV1293)</f>
        <v>negativer Bestand (Export -10.0179999999999); </v>
      </c>
      <c r="BO1293" s="60"/>
      <c r="BP1293" s="60"/>
      <c r="BQ1293" s="67"/>
      <c r="BR1293" s="62" t="n">
        <v>-10.0179999999999</v>
      </c>
      <c r="BS1293" s="62" t="n">
        <v>38.809</v>
      </c>
      <c r="BT1293" s="61" t="n">
        <v>-1172.3</v>
      </c>
      <c r="BU1293" s="62" t="n">
        <v>148.173</v>
      </c>
      <c r="BV1293" s="60"/>
      <c r="BW1293" s="65" t="n">
        <v>0</v>
      </c>
      <c r="BX1293" s="65" t="n">
        <v>1293</v>
      </c>
      <c r="BY1293" s="60" t="str">
        <f aca="false">IF(U1293&lt;&gt;"",UPPER(TRIM(U1293)),IF(CB1293=1,UPPER(VLOOKUP(T1293,Parameter!$I$27:$K$29,2,0)),IF(P1293="","LOSE",P1293)))</f>
        <v>S62</v>
      </c>
      <c r="BZ1293" s="62" t="n">
        <f aca="false">IF(BY1293="LOSE",1,IF(N(V1293)&gt;0,V1293,IF(CB1293=1,MAX(1,N(VLOOKUP(T1293,Parameter!$I$27:$K$29,3,0)),H1293,N(N1293)),IF(N(Q1293)&gt;0,Q1293,MAX(1,H1293)))))</f>
        <v>17.887</v>
      </c>
      <c r="CA1293" s="65" t="n">
        <f aca="false">IF(BY1293="LOSE",1,0)</f>
        <v>0</v>
      </c>
      <c r="CB1293" s="65" t="n">
        <f aca="false">IF(AND(U1293="",OR(P1293="",P1293="LOSE"),T1293&lt;&gt;"",N(S1293)&lt;=0,ISNUMBER(MATCH(T1293,Parameter!$I$27:$I$29,0))),1,0)</f>
        <v>0</v>
      </c>
      <c r="CC1293" s="65" t="n">
        <f aca="false">IF(CR1293&gt;0,INDEX(Parameter!$H$5:$H$7,W1293)/INDEX(Parameter!$E$5:$E$7,W1293),IF(AND(CA1293=0,N(IFERROR(VLOOKUP(BY1293,'Gebinde-Kategorie'!$A$5:$N$45,14,0),0))&gt;0),VLOOKUP(BY1293,'Gebinde-Kategorie'!$A$5:$N$45,14,0)*10+Parameter!$M$23,Parameter!$M$24))</f>
        <v>245</v>
      </c>
      <c r="CD1293" s="60" t="str">
        <f aca="false">IF(AND(Parameter!$B$19="Ja",E1293&lt;&gt;"",ISNUMBER(MATCH(E1293,Parameter!$I$35:$I$52,0))),VLOOKUP(E1293,Parameter!$I$35:$J$52,2,0),IFERROR(VLOOKUP(D1293,Parameter!$A$35:$C$64,2,0),"Nein"))</f>
        <v>2+3</v>
      </c>
      <c r="CE1293" s="64" t="n">
        <f aca="false">IF(CA1293=0,0,IF(N(S1293)&gt;0,S1293,IFERROR(VLOOKUP(D1293,Parameter!$A$35:$C$64,3,0)+0,0)))</f>
        <v>0</v>
      </c>
      <c r="CF1293" s="60" t="n">
        <f aca="false">IF(AB1293&lt;&gt;"",AB1293,AA1293)</f>
        <v>3</v>
      </c>
      <c r="CG1293" s="60" t="str">
        <f aca="false">IF(OR(CF1293=1,CF1293=2,CF1293=3),IF(Parameter!$E$27="Ja","LIFT",IF(CF1293=1,"L1","L23")),IF(CF1293="Aussen","Aussen","-"))</f>
        <v>LIFT</v>
      </c>
      <c r="CH1293" s="71" t="n">
        <f aca="false">IF(N(AC1293)&gt;0,AC1293,0)</f>
        <v>0</v>
      </c>
      <c r="CI1293" s="65" t="n">
        <f aca="false">IF(ISNUMBER(AF1293),1,0)</f>
        <v>0</v>
      </c>
      <c r="CJ1293" s="62" t="n">
        <f aca="false">N(AF1293)</f>
        <v>0</v>
      </c>
      <c r="CK1293" s="62" t="n">
        <f aca="false">N(M1293)+N(N1293)</f>
        <v>60</v>
      </c>
      <c r="CL1293" s="62" t="n">
        <f aca="false">N(M1293)</f>
        <v>15</v>
      </c>
      <c r="CM1293" s="62" t="n">
        <f aca="false">N(N1293)</f>
        <v>45</v>
      </c>
      <c r="CN1293" s="62" t="n">
        <f aca="false">ROUNDUP(H1293/BZ1293,0)</f>
        <v>2</v>
      </c>
      <c r="CO1293" s="62" t="n">
        <f aca="false">ROUNDUP(CJ1293/BZ1293,0)</f>
        <v>0</v>
      </c>
      <c r="CP1293" s="65" t="n">
        <f aca="false">IF(CA1293=1,0,IFERROR(VLOOKUP(BY1293,'Gebinde-Kategorie'!$A$5:$N$45,5,0)+0,0))</f>
        <v>21</v>
      </c>
      <c r="CQ1293" s="65" t="n">
        <f aca="false">IFERROR(IF(OR(CF1293=1,CF1293=2,CF1293=3),N(INDEX(Parameter!$I$5:$I$7,CF1293)),0),0)</f>
        <v>0</v>
      </c>
      <c r="CR1293" s="64" t="n">
        <f aca="false">IF(AND(Parameter!$B$21="Ja",ISNUMBER(W1293),N(X1293)&gt;0),IFERROR(N(INDEX(Parameter!$L$5:$L$7,W1293))*INDEX(Parameter!$E$5:$E$7,W1293)*X1293/SUMIFS($X$7:$X$1843,$W$7:$W$1843,W1293),0),0)</f>
        <v>0</v>
      </c>
      <c r="CS1293" s="62" t="n">
        <f aca="false">IF(AND(OR(CG1293="L1",CG1293="L23",CG1293="LIFT"),H1293&gt;0),CC1293*IF(CR1293&gt;0,CR1293*MAX(1,H1293/X1293),IF(CA1293=1,CE1293,IF(R1293&gt;0,CN1293/R1293,0))/MAX(0.1,N(Parameter!$M$21))),"")</f>
        <v>40.8333333333333</v>
      </c>
      <c r="CT1293" s="64" t="n">
        <f aca="false">IF(CS1293="","",J1293/H1293)</f>
        <v>5.14650411586953</v>
      </c>
      <c r="CU1293" s="62" t="n">
        <f aca="false">IF(CS1293="","",H1293*G1293)</f>
        <v>3363.65253000001</v>
      </c>
      <c r="CV1293" s="63" t="n">
        <f aca="false">IF(CS1293="","",(CL1293+ROUNDUP(CL1293+MAX(CM1293,2*(J1293/MAX(0.1,N(Einkauf!$C$6))-CL1293)),0))/2)</f>
        <v>37.5</v>
      </c>
      <c r="CW1293" s="62" t="n">
        <f aca="false">IF(CS1293="","",MAX(0,H1293-CV1293)*G1293)</f>
        <v>0</v>
      </c>
      <c r="CX1293" s="62" t="n">
        <f aca="false">IF(CS1293="","",CS1293*MAX(0,1-CV1293/H1293))</f>
        <v>0</v>
      </c>
      <c r="CY1293" s="64" t="n">
        <f aca="false">IF(CS1293="","",PERCENTRANK($CS$7:$CS$1843,CS1293)+PERCENTRANK($CU$7:$CU$1843,CU1293)+1-PERCENTRANK($CT$7:$CT$1843,CT1293))</f>
        <v>1.787</v>
      </c>
      <c r="CZ1293" s="72" t="n">
        <f aca="false">IF(CS1293="","",CHOOSE(MATCH(Einkauf!$C$5,Parameter!$G$23:$G$27,0),CY1293,CS1293,CU1293,-CT1293,CW1293)+ROW()/1000000000)</f>
        <v>1.787001293</v>
      </c>
    </row>
    <row r="1294" customFormat="false" ht="15" hidden="false" customHeight="false" outlineLevel="0" collapsed="false">
      <c r="A1294" s="60" t="s">
        <v>2345</v>
      </c>
      <c r="B1294" s="60" t="s">
        <v>385</v>
      </c>
      <c r="C1294" s="60" t="s">
        <v>206</v>
      </c>
      <c r="D1294" s="60" t="s">
        <v>215</v>
      </c>
      <c r="E1294" s="60" t="s">
        <v>208</v>
      </c>
      <c r="F1294" s="60" t="s">
        <v>260</v>
      </c>
      <c r="G1294" s="61" t="n">
        <v>186.4</v>
      </c>
      <c r="H1294" s="62" t="n">
        <f aca="false">MAX(0,IF(AND(Parameter!$B$21="Ja",ISNUMBER(Y1294)),Y1294,IF(Parameter!$B$20="Jahresanfang 2025 + Export",BS1294+BR1294,BR1294)))</f>
        <v>10</v>
      </c>
      <c r="I1294" s="62" t="n">
        <f aca="false">H1294*G1294</f>
        <v>1864</v>
      </c>
      <c r="J1294" s="62" t="n">
        <f aca="false">BU1294*Parameter!$B$18</f>
        <v>25</v>
      </c>
      <c r="K1294" s="63" t="n">
        <v>13</v>
      </c>
      <c r="L1294" s="64" t="n">
        <v>1.92307692307692</v>
      </c>
      <c r="M1294" s="62" t="n">
        <v>1</v>
      </c>
      <c r="N1294" s="62" t="n">
        <v>10</v>
      </c>
      <c r="O1294" s="65" t="n">
        <v>21</v>
      </c>
      <c r="P1294" s="60" t="s">
        <v>216</v>
      </c>
      <c r="Q1294" s="62" t="n">
        <v>15</v>
      </c>
      <c r="R1294" s="65" t="n">
        <f aca="false">IF(CA1294=1,0,IFERROR(VLOOKUP(BY1294,'Gebinde-Kategorie'!$A$5:$N$45,13,0)+0,0))</f>
        <v>6</v>
      </c>
      <c r="S1294" s="66"/>
      <c r="T1294" s="67"/>
      <c r="U1294" s="67"/>
      <c r="V1294" s="67"/>
      <c r="W1294" s="60"/>
      <c r="X1294" s="62"/>
      <c r="Y1294" s="62"/>
      <c r="Z1294" s="60" t="n">
        <v>1</v>
      </c>
      <c r="AA1294" s="60" t="n">
        <f aca="false">IF(A1294="","",IF(AND(Parameter!$B$21="Ja",ISNUMBER(W1294)),W1294,IF(AND(Parameter!$E$27="Ja",ISNUMBER(Z1294),CD1294&lt;&gt;"Nein"),Z1294,IF(CD1294="2+3",IF(ISNUMBER(SEARCH("grosser Artikel",BV1294)),2,IFERROR(VLOOKUP(BY1294,Parameter!$F$35:$G$64,2,0),2)),IF(OR(CD1294="Nein",CD1294=""),"-",CD1294)))))</f>
        <v>1</v>
      </c>
      <c r="AB1294" s="67"/>
      <c r="AC1294" s="68"/>
      <c r="AD1294" s="62" t="n">
        <f aca="false">AW1294</f>
        <v>16</v>
      </c>
      <c r="AE1294" s="62" t="n">
        <f aca="false">MAX(AW1294,H1294)</f>
        <v>16</v>
      </c>
      <c r="AF1294" s="69"/>
      <c r="AG1294" s="62" t="n">
        <f aca="false">IF(LEFT(Cockpit!$C$5,1)="A",H1294,IF(Parameter!$E$30="MAX-Bestand",IF(CI1294=1,CJ1294,IF(LEFT(Cockpit!$C$5,1)="B",AM1294,MAX(AM1294,H1294))),ROUNDUP(AK1294,0)))</f>
        <v>10</v>
      </c>
      <c r="AH1294" s="62" t="n">
        <f aca="false">IF(CA1294=1,0,ROUNDUP(AG1294/BZ1294,0))</f>
        <v>1</v>
      </c>
      <c r="AI1294" s="64" t="n">
        <f aca="false">IF(CR1294&gt;0,CR1294*MAX(1,AG1294/X1294),IF(CA1294=1,IF(AG1294&lt;=0,0,CE1294*MAX(1,IF(H1294&gt;0,AG1294/H1294,1))),IF(R1294&gt;0,AH1294/R1294,0))/MAX(0.1,N(Parameter!$M$21)))</f>
        <v>0.166666666666667</v>
      </c>
      <c r="AJ1294" s="62" t="n">
        <f aca="false">AI1294*CC1294</f>
        <v>39.1666666666667</v>
      </c>
      <c r="AK1294" s="63" t="n">
        <f aca="false">IF(LEFT(Cockpit!$C$5,1)="A",H1294,IF(CI1294=1,(CL1294+CJ1294)/2,IF(LEFT(Cockpit!$C$5,1)="B",(CL1294+AM1294)/2,MAX((CL1294+AM1294)/2,H1294))))</f>
        <v>10</v>
      </c>
      <c r="AL1294" s="62" t="n">
        <f aca="false">AK1294*G1294</f>
        <v>1864</v>
      </c>
      <c r="AM1294" s="62" t="n">
        <f aca="false">ROUNDUP(CL1294+MAX(CM1294,2*(J1294/IF(CH1294&gt;0,CH1294,MAX(0.1,N(Cockpit!$C$6)))-CL1294)),0)</f>
        <v>16</v>
      </c>
      <c r="AN1294" s="63" t="n">
        <f aca="false">IF(AJ1294&gt;0,J1294/AJ1294,-1)</f>
        <v>0.638297872340426</v>
      </c>
      <c r="AO1294" s="63" t="n">
        <f aca="false">IF(AND(OR(CG1294="L1",CG1294="L23",CG1294="LIFT"),AJ1294&gt;0),SUMIFS($AJ$7:$AJ$1843,$CG$7:$CG$1843,CG1294,$AN$7:$AN$1843,"&gt;"&amp;AN1294)+SUMIFS($AJ$7:$AJ$1843,$CG$7:$CG$1843,CG1294,$AN$7:$AN$1843,AN1294,$BX$7:$BX$1843,"&lt;="&amp;BX1294),"")</f>
        <v>8772.53846153846</v>
      </c>
      <c r="AP1294" s="70" t="n">
        <f aca="false">IF(AO1294="",0,MAX(0,MIN(1,(IF(CG1294="L1",Parameter!$H$5,IF(CG1294="L23",Parameter!$H$6+Parameter!$H$7,Parameter!$H$5+Parameter!$H$6+Parameter!$H$7))-(AO1294-AJ1294))/AJ1294)))</f>
        <v>1</v>
      </c>
      <c r="AQ1294" s="62" t="n">
        <f aca="false">IF(LEFT(Cockpit!$I$5,1)="A",H1294,IF(Parameter!$E$30="MAX-Bestand",IF(CI1294=1,CJ1294,IF(LEFT(Cockpit!$I$5,1)="B",AW1294,MAX(AW1294,H1294))),ROUNDUP(AU1294,0)))</f>
        <v>10</v>
      </c>
      <c r="AR1294" s="62" t="n">
        <f aca="false">IF(CA1294=1,0,ROUNDUP(AQ1294/BZ1294,0))</f>
        <v>1</v>
      </c>
      <c r="AS1294" s="64" t="n">
        <f aca="false">IF(CR1294&gt;0,CR1294*MAX(1,AQ1294/X1294),IF(CA1294=1,IF(AQ1294&lt;=0,0,CE1294*MAX(1,IF(H1294&gt;0,AQ1294/H1294,1))),IF(R1294&gt;0,AR1294/R1294,0))/MAX(0.1,N(Parameter!$M$21)))</f>
        <v>0.166666666666667</v>
      </c>
      <c r="AT1294" s="62" t="n">
        <f aca="false">AS1294*CC1294</f>
        <v>39.1666666666667</v>
      </c>
      <c r="AU1294" s="63" t="n">
        <f aca="false">IF(LEFT(Cockpit!$I$5,1)="A",H1294,IF(CI1294=1,(CL1294+CJ1294)/2,IF(LEFT(Cockpit!$I$5,1)="B",(CL1294+AW1294)/2,MAX((CL1294+AW1294)/2,H1294))))</f>
        <v>10</v>
      </c>
      <c r="AV1294" s="62" t="n">
        <f aca="false">AU1294*G1294</f>
        <v>1864</v>
      </c>
      <c r="AW1294" s="62" t="n">
        <f aca="false">ROUNDUP(CL1294+MAX(CM1294,2*(J1294/IF(CH1294&gt;0,CH1294,MAX(0.1,N(Cockpit!$I$6)))-CL1294)),0)</f>
        <v>16</v>
      </c>
      <c r="AX1294" s="63" t="n">
        <f aca="false">IF(AT1294&gt;0,J1294/AT1294,-1)</f>
        <v>0.638297872340426</v>
      </c>
      <c r="AY1294" s="63" t="n">
        <f aca="false">IF(AND(OR(CG1294="L1",CG1294="L23",CG1294="LIFT"),AT1294&gt;0),SUMIFS($AT$7:$AT$1843,$CG$7:$CG$1843,CG1294,$AX$7:$AX$1843,"&gt;"&amp;AX1294)+SUMIFS($AT$7:$AT$1843,$CG$7:$CG$1843,CG1294,$AX$7:$AX$1843,AX1294,$BX$7:$BX$1843,"&lt;="&amp;BX1294),"")</f>
        <v>11072.6675824176</v>
      </c>
      <c r="AZ1294" s="70" t="n">
        <f aca="false">IF(AY1294="",0,MAX(0,MIN(1,(IF(CG1294="L1",Parameter!$H$5,IF(CG1294="L23",Parameter!$H$6+Parameter!$H$7,Parameter!$H$5+Parameter!$H$6+Parameter!$H$7))-(AY1294-AT1294))/AT1294)))</f>
        <v>1</v>
      </c>
      <c r="BA1294" s="62" t="n">
        <f aca="false">IF(LEFT(Cockpit!$O$5,1)="A",H1294,IF(Parameter!$E$30="MAX-Bestand",IF(CI1294=1,CJ1294,IF(LEFT(Cockpit!$O$5,1)="B",BG1294,MAX(BG1294,H1294))),ROUNDUP(BE1294,0)))</f>
        <v>7</v>
      </c>
      <c r="BB1294" s="62" t="n">
        <f aca="false">IF(CA1294=1,0,ROUNDUP(BA1294/BZ1294,0))</f>
        <v>1</v>
      </c>
      <c r="BC1294" s="64" t="n">
        <f aca="false">IF(CR1294&gt;0,CR1294*MAX(1,BA1294/X1294),IF(CA1294=1,IF(BA1294&lt;=0,0,CE1294*MAX(1,IF(H1294&gt;0,BA1294/H1294,1))),IF(R1294&gt;0,BB1294/R1294,0))/MAX(0.1,N(Parameter!$M$21)))</f>
        <v>0.166666666666667</v>
      </c>
      <c r="BD1294" s="62" t="n">
        <f aca="false">BC1294*CC1294</f>
        <v>39.1666666666667</v>
      </c>
      <c r="BE1294" s="63" t="n">
        <f aca="false">IF(LEFT(Cockpit!$O$5,1)="A",H1294,IF(CI1294=1,(CL1294+CJ1294)/2,IF(LEFT(Cockpit!$O$5,1)="B",(CL1294+BG1294)/2,MAX((CL1294+BG1294)/2,H1294))))</f>
        <v>6.5</v>
      </c>
      <c r="BF1294" s="62" t="n">
        <f aca="false">BE1294*G1294</f>
        <v>1211.6</v>
      </c>
      <c r="BG1294" s="62" t="n">
        <f aca="false">ROUNDUP(CL1294+MAX(CM1294,2*(J1294/IF(CH1294&gt;0,CH1294,MAX(0.1,N(Cockpit!$O$6)))-CL1294)),0)</f>
        <v>12</v>
      </c>
      <c r="BH1294" s="63" t="n">
        <f aca="false">IF(BD1294&gt;0,J1294/BD1294,-1)</f>
        <v>0.638297872340426</v>
      </c>
      <c r="BI1294" s="63" t="n">
        <f aca="false">IF(AND(OR(CG1294="L1",CG1294="L23",CG1294="LIFT"),BD1294&gt;0),SUMIFS($BD$7:$BD$1843,$CG$7:$CG$1843,CG1294,$BH$7:$BH$1843,"&gt;"&amp;BH1294)+SUMIFS($BD$7:$BD$1843,$CG$7:$CG$1843,CG1294,$BH$7:$BH$1843,BH1294,$BX$7:$BX$1843,"&lt;="&amp;BX1294),"")</f>
        <v>9685.28250915751</v>
      </c>
      <c r="BJ1294" s="70" t="n">
        <f aca="false">IF(BI1294="",0,MAX(0,MIN(1,(IF(CG1294="L1",Parameter!$H$5,IF(CG1294="L23",Parameter!$H$6+Parameter!$H$7,Parameter!$H$5+Parameter!$H$6+Parameter!$H$7))-(BI1294-BD1294))/BD1294)))</f>
        <v>1</v>
      </c>
      <c r="BK1294" s="60" t="str">
        <f aca="false">IF(AJ1294&lt;=0,"",IF(CG1294="Aussen","Aussenlager",IF(CG1294="-","Nicht im Lift",IF(AP1294&gt;=1,"Lift",IF(AP1294&lt;=0,"Aussenlager","teilweise")))))</f>
        <v>Lift</v>
      </c>
      <c r="BL1294" s="60" t="str">
        <f aca="false">IF(AT1294&lt;=0,"",IF(CG1294="Aussen","Aussenlager",IF(CG1294="-","Nicht im Lift",IF(AZ1294&gt;=1,"Lift",IF(AZ1294&lt;=0,"Aussenlager","teilweise")))))</f>
        <v>Lift</v>
      </c>
      <c r="BM1294" s="60" t="str">
        <f aca="false">IF(BD1294&lt;=0,"",IF(CG1294="Aussen","Aussenlager",IF(CG1294="-","Nicht im Lift",IF(BJ1294&gt;=1,"Lift",IF(BJ1294&lt;=0,"Aussenlager","teilweise")))))</f>
        <v>Lift</v>
      </c>
      <c r="BN1294" s="60" t="str">
        <f aca="false">IF(A1294="","",IF(BW1294=1,"Neu; ","")&amp;IF(AND(BW1294=0,BR1294&lt;0),"negativer Bestand (Export "&amp;BR1294&amp;"); ","")&amp;IF(J1294&lt;=0,"Kein Verbrauch; ","")&amp;IF(CR1294&gt;0,"Lift "&amp;W1294&amp;" lt. Liftbericht (Fach "&amp;X1294&amp;" Stk); ",IF(CB1294=1,"Gebinde geschätzt ("&amp;T1294&amp;"); ",IF(CA1294=1,"Lose – Tablare geschätzt; ","")))&amp;IF(H1294&gt;AW1294,"Überbestand "&amp;ROUND(H1294-AW1294,0)&amp;" Stk / CHF "&amp;ROUND((H1294-AW1294)*G1294,0)&amp;"; ","")&amp;IF(AND(CI1294=1,CJ1294&lt;CK1294),"MAX &lt; MB+LG; ","")&amp;IF(AND(CQ1294&gt;0,CP1294*10&gt;CQ1294),"zu hoch für Tablar; ","")&amp;IF(AND(BW1294=0,OR(CI1294=1,AB1294&lt;&gt;"",U1294&lt;&gt;"",V1294&lt;&gt;"",AC1294&lt;&gt;"")),"manuell übersteuert; ","")&amp;IF(AND(CA1294=0,R1294=0),"Gebinde unbekannt / Stellmass fehlt; ","")&amp;IF(AND(CA1294=0,N(V1294)&lt;=0,N(Q1294)&lt;=0),"Menge pro Gebinde fehlt (Ist = 1 Gebinde); ","")&amp;BV1294)</f>
        <v>negativer Bestand (Export -5); </v>
      </c>
      <c r="BO1294" s="60"/>
      <c r="BP1294" s="60"/>
      <c r="BQ1294" s="67"/>
      <c r="BR1294" s="62" t="n">
        <v>-5</v>
      </c>
      <c r="BS1294" s="62" t="n">
        <v>15</v>
      </c>
      <c r="BT1294" s="61" t="n">
        <v>-1177.7</v>
      </c>
      <c r="BU1294" s="62" t="n">
        <v>25</v>
      </c>
      <c r="BV1294" s="60"/>
      <c r="BW1294" s="65" t="n">
        <v>0</v>
      </c>
      <c r="BX1294" s="65" t="n">
        <v>1294</v>
      </c>
      <c r="BY1294" s="60" t="str">
        <f aca="false">IF(U1294&lt;&gt;"",UPPER(TRIM(U1294)),IF(CB1294=1,UPPER(VLOOKUP(T1294,Parameter!$I$27:$K$29,2,0)),IF(P1294="","LOSE",P1294)))</f>
        <v>S71</v>
      </c>
      <c r="BZ1294" s="62" t="n">
        <f aca="false">IF(BY1294="LOSE",1,IF(N(V1294)&gt;0,V1294,IF(CB1294=1,MAX(1,N(VLOOKUP(T1294,Parameter!$I$27:$K$29,3,0)),H1294,N(N1294)),IF(N(Q1294)&gt;0,Q1294,MAX(1,H1294)))))</f>
        <v>15</v>
      </c>
      <c r="CA1294" s="65" t="n">
        <f aca="false">IF(BY1294="LOSE",1,0)</f>
        <v>0</v>
      </c>
      <c r="CB1294" s="65" t="n">
        <f aca="false">IF(AND(U1294="",OR(P1294="",P1294="LOSE"),T1294&lt;&gt;"",N(S1294)&lt;=0,ISNUMBER(MATCH(T1294,Parameter!$I$27:$I$29,0))),1,0)</f>
        <v>0</v>
      </c>
      <c r="CC1294" s="65" t="n">
        <f aca="false">IF(CR1294&gt;0,INDEX(Parameter!$H$5:$H$7,W1294)/INDEX(Parameter!$E$5:$E$7,W1294),IF(AND(CA1294=0,N(IFERROR(VLOOKUP(BY1294,'Gebinde-Kategorie'!$A$5:$N$45,14,0),0))&gt;0),VLOOKUP(BY1294,'Gebinde-Kategorie'!$A$5:$N$45,14,0)*10+Parameter!$M$23,Parameter!$M$24))</f>
        <v>235</v>
      </c>
      <c r="CD1294" s="60" t="n">
        <f aca="false">IF(AND(Parameter!$B$19="Ja",E1294&lt;&gt;"",ISNUMBER(MATCH(E1294,Parameter!$I$35:$I$52,0))),VLOOKUP(E1294,Parameter!$I$35:$J$52,2,0),IFERROR(VLOOKUP(D1294,Parameter!$A$35:$C$64,2,0),"Nein"))</f>
        <v>1</v>
      </c>
      <c r="CE1294" s="64" t="n">
        <f aca="false">IF(CA1294=0,0,IF(N(S1294)&gt;0,S1294,IFERROR(VLOOKUP(D1294,Parameter!$A$35:$C$64,3,0)+0,0)))</f>
        <v>0</v>
      </c>
      <c r="CF1294" s="60" t="n">
        <f aca="false">IF(AB1294&lt;&gt;"",AB1294,AA1294)</f>
        <v>1</v>
      </c>
      <c r="CG1294" s="60" t="str">
        <f aca="false">IF(OR(CF1294=1,CF1294=2,CF1294=3),IF(Parameter!$E$27="Ja","LIFT",IF(CF1294=1,"L1","L23")),IF(CF1294="Aussen","Aussen","-"))</f>
        <v>LIFT</v>
      </c>
      <c r="CH1294" s="71" t="n">
        <f aca="false">IF(N(AC1294)&gt;0,AC1294,0)</f>
        <v>0</v>
      </c>
      <c r="CI1294" s="65" t="n">
        <f aca="false">IF(ISNUMBER(AF1294),1,0)</f>
        <v>0</v>
      </c>
      <c r="CJ1294" s="62" t="n">
        <f aca="false">N(AF1294)</f>
        <v>0</v>
      </c>
      <c r="CK1294" s="62" t="n">
        <f aca="false">N(M1294)+N(N1294)</f>
        <v>11</v>
      </c>
      <c r="CL1294" s="62" t="n">
        <f aca="false">N(M1294)</f>
        <v>1</v>
      </c>
      <c r="CM1294" s="62" t="n">
        <f aca="false">N(N1294)</f>
        <v>10</v>
      </c>
      <c r="CN1294" s="62" t="n">
        <f aca="false">ROUNDUP(H1294/BZ1294,0)</f>
        <v>1</v>
      </c>
      <c r="CO1294" s="62" t="n">
        <f aca="false">ROUNDUP(CJ1294/BZ1294,0)</f>
        <v>0</v>
      </c>
      <c r="CP1294" s="65" t="n">
        <f aca="false">IF(CA1294=1,0,IFERROR(VLOOKUP(BY1294,'Gebinde-Kategorie'!$A$5:$N$45,5,0)+0,0))</f>
        <v>20</v>
      </c>
      <c r="CQ1294" s="65" t="n">
        <f aca="false">IFERROR(IF(OR(CF1294=1,CF1294=2,CF1294=3),N(INDEX(Parameter!$I$5:$I$7,CF1294)),0),0)</f>
        <v>0</v>
      </c>
      <c r="CR1294" s="64" t="n">
        <f aca="false">IF(AND(Parameter!$B$21="Ja",ISNUMBER(W1294),N(X1294)&gt;0),IFERROR(N(INDEX(Parameter!$L$5:$L$7,W1294))*INDEX(Parameter!$E$5:$E$7,W1294)*X1294/SUMIFS($X$7:$X$1843,$W$7:$W$1843,W1294),0),0)</f>
        <v>0</v>
      </c>
      <c r="CS1294" s="62" t="n">
        <f aca="false">IF(AND(OR(CG1294="L1",CG1294="L23",CG1294="LIFT"),H1294&gt;0),CC1294*IF(CR1294&gt;0,CR1294*MAX(1,H1294/X1294),IF(CA1294=1,CE1294,IF(R1294&gt;0,CN1294/R1294,0))/MAX(0.1,N(Parameter!$M$21))),"")</f>
        <v>39.1666666666667</v>
      </c>
      <c r="CT1294" s="64" t="n">
        <f aca="false">IF(CS1294="","",J1294/H1294)</f>
        <v>2.5</v>
      </c>
      <c r="CU1294" s="62" t="n">
        <f aca="false">IF(CS1294="","",H1294*G1294)</f>
        <v>1864</v>
      </c>
      <c r="CV1294" s="63" t="n">
        <f aca="false">IF(CS1294="","",(CL1294+ROUNDUP(CL1294+MAX(CM1294,2*(J1294/MAX(0.1,N(Einkauf!$C$6))-CL1294)),0))/2)</f>
        <v>6.5</v>
      </c>
      <c r="CW1294" s="62" t="n">
        <f aca="false">IF(CS1294="","",MAX(0,H1294-CV1294)*G1294)</f>
        <v>652.4</v>
      </c>
      <c r="CX1294" s="62" t="n">
        <f aca="false">IF(CS1294="","",CS1294*MAX(0,1-CV1294/H1294))</f>
        <v>13.7083333333333</v>
      </c>
      <c r="CY1294" s="64" t="n">
        <f aca="false">IF(CS1294="","",PERCENTRANK($CS$7:$CS$1843,CS1294)+PERCENTRANK($CU$7:$CU$1843,CU1294)+1-PERCENTRANK($CT$7:$CT$1843,CT1294))</f>
        <v>1.766</v>
      </c>
      <c r="CZ1294" s="72" t="n">
        <f aca="false">IF(CS1294="","",CHOOSE(MATCH(Einkauf!$C$5,Parameter!$G$23:$G$27,0),CY1294,CS1294,CU1294,-CT1294,CW1294)+ROW()/1000000000)</f>
        <v>1.766001294</v>
      </c>
    </row>
    <row r="1295" customFormat="false" ht="15" hidden="false" customHeight="false" outlineLevel="0" collapsed="false">
      <c r="A1295" s="60" t="s">
        <v>2346</v>
      </c>
      <c r="B1295" s="60" t="s">
        <v>1081</v>
      </c>
      <c r="C1295" s="60" t="s">
        <v>206</v>
      </c>
      <c r="D1295" s="60" t="s">
        <v>226</v>
      </c>
      <c r="E1295" s="60"/>
      <c r="F1295" s="60" t="s">
        <v>260</v>
      </c>
      <c r="G1295" s="61" t="n">
        <v>48.23</v>
      </c>
      <c r="H1295" s="62" t="n">
        <f aca="false">MAX(0,IF(AND(Parameter!$B$21="Ja",ISNUMBER(Y1295)),Y1295,IF(Parameter!$B$20="Jahresanfang 2025 + Export",BS1295+BR1295,BR1295)))</f>
        <v>72</v>
      </c>
      <c r="I1295" s="62" t="n">
        <f aca="false">H1295*G1295</f>
        <v>3472.56</v>
      </c>
      <c r="J1295" s="62" t="n">
        <f aca="false">BU1295*Parameter!$B$18</f>
        <v>308</v>
      </c>
      <c r="K1295" s="63" t="n">
        <v>83.5</v>
      </c>
      <c r="L1295" s="64" t="n">
        <v>3.68862275449102</v>
      </c>
      <c r="M1295" s="62" t="n">
        <v>17</v>
      </c>
      <c r="N1295" s="62" t="n">
        <v>100</v>
      </c>
      <c r="O1295" s="65" t="n">
        <v>21</v>
      </c>
      <c r="P1295" s="60" t="s">
        <v>335</v>
      </c>
      <c r="Q1295" s="62" t="n">
        <v>180</v>
      </c>
      <c r="R1295" s="65" t="n">
        <f aca="false">IF(CA1295=1,0,IFERROR(VLOOKUP(BY1295,'Gebinde-Kategorie'!$A$5:$N$45,13,0)+0,0))</f>
        <v>12</v>
      </c>
      <c r="S1295" s="66"/>
      <c r="T1295" s="67"/>
      <c r="U1295" s="67"/>
      <c r="V1295" s="67"/>
      <c r="W1295" s="60"/>
      <c r="X1295" s="62"/>
      <c r="Y1295" s="62"/>
      <c r="Z1295" s="60" t="n">
        <v>3</v>
      </c>
      <c r="AA1295" s="60" t="n">
        <f aca="false">IF(A1295="","",IF(AND(Parameter!$B$21="Ja",ISNUMBER(W1295)),W1295,IF(AND(Parameter!$E$27="Ja",ISNUMBER(Z1295),CD1295&lt;&gt;"Nein"),Z1295,IF(CD1295="2+3",IF(ISNUMBER(SEARCH("grosser Artikel",BV1295)),2,IFERROR(VLOOKUP(BY1295,Parameter!$F$35:$G$64,2,0),2)),IF(OR(CD1295="Nein",CD1295=""),"-",CD1295)))))</f>
        <v>3</v>
      </c>
      <c r="AB1295" s="67"/>
      <c r="AC1295" s="68"/>
      <c r="AD1295" s="62" t="n">
        <f aca="false">AW1295</f>
        <v>189</v>
      </c>
      <c r="AE1295" s="62" t="n">
        <f aca="false">MAX(AW1295,H1295)</f>
        <v>189</v>
      </c>
      <c r="AF1295" s="69"/>
      <c r="AG1295" s="62" t="n">
        <f aca="false">IF(LEFT(Cockpit!$C$5,1)="A",H1295,IF(Parameter!$E$30="MAX-Bestand",IF(CI1295=1,CJ1295,IF(LEFT(Cockpit!$C$5,1)="B",AM1295,MAX(AM1295,H1295))),ROUNDUP(AK1295,0)))</f>
        <v>72</v>
      </c>
      <c r="AH1295" s="62" t="n">
        <f aca="false">IF(CA1295=1,0,ROUNDUP(AG1295/BZ1295,0))</f>
        <v>1</v>
      </c>
      <c r="AI1295" s="64" t="n">
        <f aca="false">IF(CR1295&gt;0,CR1295*MAX(1,AG1295/X1295),IF(CA1295=1,IF(AG1295&lt;=0,0,CE1295*MAX(1,IF(H1295&gt;0,AG1295/H1295,1))),IF(R1295&gt;0,AH1295/R1295,0))/MAX(0.1,N(Parameter!$M$21)))</f>
        <v>0.0833333333333333</v>
      </c>
      <c r="AJ1295" s="62" t="n">
        <f aca="false">AI1295*CC1295</f>
        <v>20.4166666666667</v>
      </c>
      <c r="AK1295" s="63" t="n">
        <f aca="false">IF(LEFT(Cockpit!$C$5,1)="A",H1295,IF(CI1295=1,(CL1295+CJ1295)/2,IF(LEFT(Cockpit!$C$5,1)="B",(CL1295+AM1295)/2,MAX((CL1295+AM1295)/2,H1295))))</f>
        <v>72</v>
      </c>
      <c r="AL1295" s="62" t="n">
        <f aca="false">AK1295*G1295</f>
        <v>3472.56</v>
      </c>
      <c r="AM1295" s="62" t="n">
        <f aca="false">ROUNDUP(CL1295+MAX(CM1295,2*(J1295/IF(CH1295&gt;0,CH1295,MAX(0.1,N(Cockpit!$C$6)))-CL1295)),0)</f>
        <v>189</v>
      </c>
      <c r="AN1295" s="63" t="n">
        <f aca="false">IF(AJ1295&gt;0,J1295/AJ1295,-1)</f>
        <v>15.0857142857143</v>
      </c>
      <c r="AO1295" s="63" t="n">
        <f aca="false">IF(AND(OR(CG1295="L1",CG1295="L23",CG1295="LIFT"),AJ1295&gt;0),SUMIFS($AJ$7:$AJ$1843,$CG$7:$CG$1843,CG1295,$AN$7:$AN$1843,"&gt;"&amp;AN1295)+SUMIFS($AJ$7:$AJ$1843,$CG$7:$CG$1843,CG1295,$AN$7:$AN$1843,AN1295,$BX$7:$BX$1843,"&lt;="&amp;BX1295),"")</f>
        <v>2093.55769230769</v>
      </c>
      <c r="AP1295" s="70" t="n">
        <f aca="false">IF(AO1295="",0,MAX(0,MIN(1,(IF(CG1295="L1",Parameter!$H$5,IF(CG1295="L23",Parameter!$H$6+Parameter!$H$7,Parameter!$H$5+Parameter!$H$6+Parameter!$H$7))-(AO1295-AJ1295))/AJ1295)))</f>
        <v>1</v>
      </c>
      <c r="AQ1295" s="62" t="n">
        <f aca="false">IF(LEFT(Cockpit!$I$5,1)="A",H1295,IF(Parameter!$E$30="MAX-Bestand",IF(CI1295=1,CJ1295,IF(LEFT(Cockpit!$I$5,1)="B",AW1295,MAX(AW1295,H1295))),ROUNDUP(AU1295,0)))</f>
        <v>103</v>
      </c>
      <c r="AR1295" s="62" t="n">
        <f aca="false">IF(CA1295=1,0,ROUNDUP(AQ1295/BZ1295,0))</f>
        <v>1</v>
      </c>
      <c r="AS1295" s="64" t="n">
        <f aca="false">IF(CR1295&gt;0,CR1295*MAX(1,AQ1295/X1295),IF(CA1295=1,IF(AQ1295&lt;=0,0,CE1295*MAX(1,IF(H1295&gt;0,AQ1295/H1295,1))),IF(R1295&gt;0,AR1295/R1295,0))/MAX(0.1,N(Parameter!$M$21)))</f>
        <v>0.0833333333333333</v>
      </c>
      <c r="AT1295" s="62" t="n">
        <f aca="false">AS1295*CC1295</f>
        <v>20.4166666666667</v>
      </c>
      <c r="AU1295" s="63" t="n">
        <f aca="false">IF(LEFT(Cockpit!$I$5,1)="A",H1295,IF(CI1295=1,(CL1295+CJ1295)/2,IF(LEFT(Cockpit!$I$5,1)="B",(CL1295+AW1295)/2,MAX((CL1295+AW1295)/2,H1295))))</f>
        <v>103</v>
      </c>
      <c r="AV1295" s="62" t="n">
        <f aca="false">AU1295*G1295</f>
        <v>4967.69</v>
      </c>
      <c r="AW1295" s="62" t="n">
        <f aca="false">ROUNDUP(CL1295+MAX(CM1295,2*(J1295/IF(CH1295&gt;0,CH1295,MAX(0.1,N(Cockpit!$I$6)))-CL1295)),0)</f>
        <v>189</v>
      </c>
      <c r="AX1295" s="63" t="n">
        <f aca="false">IF(AT1295&gt;0,J1295/AT1295,-1)</f>
        <v>15.0857142857143</v>
      </c>
      <c r="AY1295" s="63" t="n">
        <f aca="false">IF(AND(OR(CG1295="L1",CG1295="L23",CG1295="LIFT"),AT1295&gt;0),SUMIFS($AT$7:$AT$1843,$CG$7:$CG$1843,CG1295,$AX$7:$AX$1843,"&gt;"&amp;AX1295)+SUMIFS($AT$7:$AT$1843,$CG$7:$CG$1843,CG1295,$AX$7:$AX$1843,AX1295,$BX$7:$BX$1843,"&lt;="&amp;BX1295),"")</f>
        <v>2741.49450549451</v>
      </c>
      <c r="AZ1295" s="70" t="n">
        <f aca="false">IF(AY1295="",0,MAX(0,MIN(1,(IF(CG1295="L1",Parameter!$H$5,IF(CG1295="L23",Parameter!$H$6+Parameter!$H$7,Parameter!$H$5+Parameter!$H$6+Parameter!$H$7))-(AY1295-AT1295))/AT1295)))</f>
        <v>1</v>
      </c>
      <c r="BA1295" s="62" t="n">
        <f aca="false">IF(LEFT(Cockpit!$O$5,1)="A",H1295,IF(Parameter!$E$30="MAX-Bestand",IF(CI1295=1,CJ1295,IF(LEFT(Cockpit!$O$5,1)="B",BG1295,MAX(BG1295,H1295))),ROUNDUP(BE1295,0)))</f>
        <v>77</v>
      </c>
      <c r="BB1295" s="62" t="n">
        <f aca="false">IF(CA1295=1,0,ROUNDUP(BA1295/BZ1295,0))</f>
        <v>1</v>
      </c>
      <c r="BC1295" s="64" t="n">
        <f aca="false">IF(CR1295&gt;0,CR1295*MAX(1,BA1295/X1295),IF(CA1295=1,IF(BA1295&lt;=0,0,CE1295*MAX(1,IF(H1295&gt;0,BA1295/H1295,1))),IF(R1295&gt;0,BB1295/R1295,0))/MAX(0.1,N(Parameter!$M$21)))</f>
        <v>0.0833333333333333</v>
      </c>
      <c r="BD1295" s="62" t="n">
        <f aca="false">BC1295*CC1295</f>
        <v>20.4166666666667</v>
      </c>
      <c r="BE1295" s="63" t="n">
        <f aca="false">IF(LEFT(Cockpit!$O$5,1)="A",H1295,IF(CI1295=1,(CL1295+CJ1295)/2,IF(LEFT(Cockpit!$O$5,1)="B",(CL1295+BG1295)/2,MAX((CL1295+BG1295)/2,H1295))))</f>
        <v>77</v>
      </c>
      <c r="BF1295" s="62" t="n">
        <f aca="false">BE1295*G1295</f>
        <v>3713.71</v>
      </c>
      <c r="BG1295" s="62" t="n">
        <f aca="false">ROUNDUP(CL1295+MAX(CM1295,2*(J1295/IF(CH1295&gt;0,CH1295,MAX(0.1,N(Cockpit!$O$6)))-CL1295)),0)</f>
        <v>137</v>
      </c>
      <c r="BH1295" s="63" t="n">
        <f aca="false">IF(BD1295&gt;0,J1295/BD1295,-1)</f>
        <v>15.0857142857143</v>
      </c>
      <c r="BI1295" s="63" t="n">
        <f aca="false">IF(AND(OR(CG1295="L1",CG1295="L23",CG1295="LIFT"),BD1295&gt;0),SUMIFS($BD$7:$BD$1843,$CG$7:$CG$1843,CG1295,$BH$7:$BH$1843,"&gt;"&amp;BH1295)+SUMIFS($BD$7:$BD$1843,$CG$7:$CG$1843,CG1295,$BH$7:$BH$1843,BH1295,$BX$7:$BX$1843,"&lt;="&amp;BX1295),"")</f>
        <v>2424.53159340659</v>
      </c>
      <c r="BJ1295" s="70" t="n">
        <f aca="false">IF(BI1295="",0,MAX(0,MIN(1,(IF(CG1295="L1",Parameter!$H$5,IF(CG1295="L23",Parameter!$H$6+Parameter!$H$7,Parameter!$H$5+Parameter!$H$6+Parameter!$H$7))-(BI1295-BD1295))/BD1295)))</f>
        <v>1</v>
      </c>
      <c r="BK1295" s="60" t="str">
        <f aca="false">IF(AJ1295&lt;=0,"",IF(CG1295="Aussen","Aussenlager",IF(CG1295="-","Nicht im Lift",IF(AP1295&gt;=1,"Lift",IF(AP1295&lt;=0,"Aussenlager","teilweise")))))</f>
        <v>Lift</v>
      </c>
      <c r="BL1295" s="60" t="str">
        <f aca="false">IF(AT1295&lt;=0,"",IF(CG1295="Aussen","Aussenlager",IF(CG1295="-","Nicht im Lift",IF(AZ1295&gt;=1,"Lift",IF(AZ1295&lt;=0,"Aussenlager","teilweise")))))</f>
        <v>Lift</v>
      </c>
      <c r="BM1295" s="60" t="str">
        <f aca="false">IF(BD1295&lt;=0,"",IF(CG1295="Aussen","Aussenlager",IF(CG1295="-","Nicht im Lift",IF(BJ1295&gt;=1,"Lift",IF(BJ1295&lt;=0,"Aussenlager","teilweise")))))</f>
        <v>Lift</v>
      </c>
      <c r="BN1295" s="60" t="str">
        <f aca="false">IF(A1295="","",IF(BW1295=1,"Neu; ","")&amp;IF(AND(BW1295=0,BR1295&lt;0),"negativer Bestand (Export "&amp;BR1295&amp;"); ","")&amp;IF(J1295&lt;=0,"Kein Verbrauch; ","")&amp;IF(CR1295&gt;0,"Lift "&amp;W1295&amp;" lt. Liftbericht (Fach "&amp;X1295&amp;" Stk); ",IF(CB1295=1,"Gebinde geschätzt ("&amp;T1295&amp;"); ",IF(CA1295=1,"Lose – Tablare geschätzt; ","")))&amp;IF(H1295&gt;AW1295,"Überbestand "&amp;ROUND(H1295-AW1295,0)&amp;" Stk / CHF "&amp;ROUND((H1295-AW1295)*G1295,0)&amp;"; ","")&amp;IF(AND(CI1295=1,CJ1295&lt;CK1295),"MAX &lt; MB+LG; ","")&amp;IF(AND(CQ1295&gt;0,CP1295*10&gt;CQ1295),"zu hoch für Tablar; ","")&amp;IF(AND(BW1295=0,OR(CI1295=1,AB1295&lt;&gt;"",U1295&lt;&gt;"",V1295&lt;&gt;"",AC1295&lt;&gt;"")),"manuell übersteuert; ","")&amp;IF(AND(CA1295=0,R1295=0),"Gebinde unbekannt / Stellmass fehlt; ","")&amp;IF(AND(CA1295=0,N(V1295)&lt;=0,N(Q1295)&lt;=0),"Menge pro Gebinde fehlt (Ist = 1 Gebinde); ","")&amp;BV1295)</f>
        <v>negativer Bestand (Export -23); </v>
      </c>
      <c r="BO1295" s="60"/>
      <c r="BP1295" s="60"/>
      <c r="BQ1295" s="67"/>
      <c r="BR1295" s="62" t="n">
        <v>-23</v>
      </c>
      <c r="BS1295" s="62" t="n">
        <v>95</v>
      </c>
      <c r="BT1295" s="61" t="n">
        <v>-1179.59</v>
      </c>
      <c r="BU1295" s="62" t="n">
        <v>308</v>
      </c>
      <c r="BV1295" s="60"/>
      <c r="BW1295" s="65" t="n">
        <v>0</v>
      </c>
      <c r="BX1295" s="65" t="n">
        <v>1295</v>
      </c>
      <c r="BY1295" s="60" t="str">
        <f aca="false">IF(U1295&lt;&gt;"",UPPER(TRIM(U1295)),IF(CB1295=1,UPPER(VLOOKUP(T1295,Parameter!$I$27:$K$29,2,0)),IF(P1295="","LOSE",P1295)))</f>
        <v>S62</v>
      </c>
      <c r="BZ1295" s="62" t="n">
        <f aca="false">IF(BY1295="LOSE",1,IF(N(V1295)&gt;0,V1295,IF(CB1295=1,MAX(1,N(VLOOKUP(T1295,Parameter!$I$27:$K$29,3,0)),H1295,N(N1295)),IF(N(Q1295)&gt;0,Q1295,MAX(1,H1295)))))</f>
        <v>180</v>
      </c>
      <c r="CA1295" s="65" t="n">
        <f aca="false">IF(BY1295="LOSE",1,0)</f>
        <v>0</v>
      </c>
      <c r="CB1295" s="65" t="n">
        <f aca="false">IF(AND(U1295="",OR(P1295="",P1295="LOSE"),T1295&lt;&gt;"",N(S1295)&lt;=0,ISNUMBER(MATCH(T1295,Parameter!$I$27:$I$29,0))),1,0)</f>
        <v>0</v>
      </c>
      <c r="CC1295" s="65" t="n">
        <f aca="false">IF(CR1295&gt;0,INDEX(Parameter!$H$5:$H$7,W1295)/INDEX(Parameter!$E$5:$E$7,W1295),IF(AND(CA1295=0,N(IFERROR(VLOOKUP(BY1295,'Gebinde-Kategorie'!$A$5:$N$45,14,0),0))&gt;0),VLOOKUP(BY1295,'Gebinde-Kategorie'!$A$5:$N$45,14,0)*10+Parameter!$M$23,Parameter!$M$24))</f>
        <v>245</v>
      </c>
      <c r="CD1295" s="60" t="str">
        <f aca="false">IF(AND(Parameter!$B$19="Ja",E1295&lt;&gt;"",ISNUMBER(MATCH(E1295,Parameter!$I$35:$I$52,0))),VLOOKUP(E1295,Parameter!$I$35:$J$52,2,0),IFERROR(VLOOKUP(D1295,Parameter!$A$35:$C$64,2,0),"Nein"))</f>
        <v>2+3</v>
      </c>
      <c r="CE1295" s="64" t="n">
        <f aca="false">IF(CA1295=0,0,IF(N(S1295)&gt;0,S1295,IFERROR(VLOOKUP(D1295,Parameter!$A$35:$C$64,3,0)+0,0)))</f>
        <v>0</v>
      </c>
      <c r="CF1295" s="60" t="n">
        <f aca="false">IF(AB1295&lt;&gt;"",AB1295,AA1295)</f>
        <v>3</v>
      </c>
      <c r="CG1295" s="60" t="str">
        <f aca="false">IF(OR(CF1295=1,CF1295=2,CF1295=3),IF(Parameter!$E$27="Ja","LIFT",IF(CF1295=1,"L1","L23")),IF(CF1295="Aussen","Aussen","-"))</f>
        <v>LIFT</v>
      </c>
      <c r="CH1295" s="71" t="n">
        <f aca="false">IF(N(AC1295)&gt;0,AC1295,0)</f>
        <v>0</v>
      </c>
      <c r="CI1295" s="65" t="n">
        <f aca="false">IF(ISNUMBER(AF1295),1,0)</f>
        <v>0</v>
      </c>
      <c r="CJ1295" s="62" t="n">
        <f aca="false">N(AF1295)</f>
        <v>0</v>
      </c>
      <c r="CK1295" s="62" t="n">
        <f aca="false">N(M1295)+N(N1295)</f>
        <v>117</v>
      </c>
      <c r="CL1295" s="62" t="n">
        <f aca="false">N(M1295)</f>
        <v>17</v>
      </c>
      <c r="CM1295" s="62" t="n">
        <f aca="false">N(N1295)</f>
        <v>100</v>
      </c>
      <c r="CN1295" s="62" t="n">
        <f aca="false">ROUNDUP(H1295/BZ1295,0)</f>
        <v>1</v>
      </c>
      <c r="CO1295" s="62" t="n">
        <f aca="false">ROUNDUP(CJ1295/BZ1295,0)</f>
        <v>0</v>
      </c>
      <c r="CP1295" s="65" t="n">
        <f aca="false">IF(CA1295=1,0,IFERROR(VLOOKUP(BY1295,'Gebinde-Kategorie'!$A$5:$N$45,5,0)+0,0))</f>
        <v>21</v>
      </c>
      <c r="CQ1295" s="65" t="n">
        <f aca="false">IFERROR(IF(OR(CF1295=1,CF1295=2,CF1295=3),N(INDEX(Parameter!$I$5:$I$7,CF1295)),0),0)</f>
        <v>0</v>
      </c>
      <c r="CR1295" s="64" t="n">
        <f aca="false">IF(AND(Parameter!$B$21="Ja",ISNUMBER(W1295),N(X1295)&gt;0),IFERROR(N(INDEX(Parameter!$L$5:$L$7,W1295))*INDEX(Parameter!$E$5:$E$7,W1295)*X1295/SUMIFS($X$7:$X$1843,$W$7:$W$1843,W1295),0),0)</f>
        <v>0</v>
      </c>
      <c r="CS1295" s="62" t="n">
        <f aca="false">IF(AND(OR(CG1295="L1",CG1295="L23",CG1295="LIFT"),H1295&gt;0),CC1295*IF(CR1295&gt;0,CR1295*MAX(1,H1295/X1295),IF(CA1295=1,CE1295,IF(R1295&gt;0,CN1295/R1295,0))/MAX(0.1,N(Parameter!$M$21))),"")</f>
        <v>20.4166666666667</v>
      </c>
      <c r="CT1295" s="64" t="n">
        <f aca="false">IF(CS1295="","",J1295/H1295)</f>
        <v>4.27777777777778</v>
      </c>
      <c r="CU1295" s="62" t="n">
        <f aca="false">IF(CS1295="","",H1295*G1295)</f>
        <v>3472.56</v>
      </c>
      <c r="CV1295" s="63" t="n">
        <f aca="false">IF(CS1295="","",(CL1295+ROUNDUP(CL1295+MAX(CM1295,2*(J1295/MAX(0.1,N(Einkauf!$C$6))-CL1295)),0))/2)</f>
        <v>77</v>
      </c>
      <c r="CW1295" s="62" t="n">
        <f aca="false">IF(CS1295="","",MAX(0,H1295-CV1295)*G1295)</f>
        <v>0</v>
      </c>
      <c r="CX1295" s="62" t="n">
        <f aca="false">IF(CS1295="","",CS1295*MAX(0,1-CV1295/H1295))</f>
        <v>0</v>
      </c>
      <c r="CY1295" s="64" t="n">
        <f aca="false">IF(CS1295="","",PERCENTRANK($CS$7:$CS$1843,CS1295)+PERCENTRANK($CU$7:$CU$1843,CU1295)+1-PERCENTRANK($CT$7:$CT$1843,CT1295))</f>
        <v>1.694</v>
      </c>
      <c r="CZ1295" s="72" t="n">
        <f aca="false">IF(CS1295="","",CHOOSE(MATCH(Einkauf!$C$5,Parameter!$G$23:$G$27,0),CY1295,CS1295,CU1295,-CT1295,CW1295)+ROW()/1000000000)</f>
        <v>1.694001295</v>
      </c>
    </row>
    <row r="1296" customFormat="false" ht="15" hidden="false" customHeight="false" outlineLevel="0" collapsed="false">
      <c r="A1296" s="60" t="s">
        <v>2347</v>
      </c>
      <c r="B1296" s="60" t="s">
        <v>856</v>
      </c>
      <c r="C1296" s="60" t="s">
        <v>206</v>
      </c>
      <c r="D1296" s="60" t="s">
        <v>226</v>
      </c>
      <c r="E1296" s="60" t="s">
        <v>227</v>
      </c>
      <c r="F1296" s="60" t="s">
        <v>260</v>
      </c>
      <c r="G1296" s="61" t="n">
        <v>107.44</v>
      </c>
      <c r="H1296" s="62" t="n">
        <f aca="false">MAX(0,IF(AND(Parameter!$B$21="Ja",ISNUMBER(Y1296)),Y1296,IF(Parameter!$B$20="Jahresanfang 2025 + Export",BS1296+BR1296,BR1296)))</f>
        <v>79</v>
      </c>
      <c r="I1296" s="62" t="n">
        <f aca="false">H1296*G1296</f>
        <v>8487.76</v>
      </c>
      <c r="J1296" s="62" t="n">
        <f aca="false">BU1296*Parameter!$B$18</f>
        <v>9</v>
      </c>
      <c r="K1296" s="63" t="n">
        <v>85</v>
      </c>
      <c r="L1296" s="64" t="n">
        <v>0.105882352941177</v>
      </c>
      <c r="M1296" s="62" t="n">
        <v>3</v>
      </c>
      <c r="N1296" s="62" t="n">
        <v>10</v>
      </c>
      <c r="O1296" s="65" t="n">
        <v>126</v>
      </c>
      <c r="P1296" s="60" t="s">
        <v>463</v>
      </c>
      <c r="Q1296" s="62" t="n">
        <v>32</v>
      </c>
      <c r="R1296" s="65" t="n">
        <f aca="false">IF(CA1296=1,0,IFERROR(VLOOKUP(BY1296,'Gebinde-Kategorie'!$A$5:$N$45,13,0)+0,0))</f>
        <v>104</v>
      </c>
      <c r="S1296" s="66"/>
      <c r="T1296" s="67"/>
      <c r="U1296" s="67"/>
      <c r="V1296" s="67"/>
      <c r="W1296" s="60"/>
      <c r="X1296" s="62"/>
      <c r="Y1296" s="62"/>
      <c r="Z1296" s="60" t="n">
        <v>3</v>
      </c>
      <c r="AA1296" s="60" t="n">
        <f aca="false">IF(A1296="","",IF(AND(Parameter!$B$21="Ja",ISNUMBER(W1296)),W1296,IF(AND(Parameter!$E$27="Ja",ISNUMBER(Z1296),CD1296&lt;&gt;"Nein"),Z1296,IF(CD1296="2+3",IF(ISNUMBER(SEARCH("grosser Artikel",BV1296)),2,IFERROR(VLOOKUP(BY1296,Parameter!$F$35:$G$64,2,0),2)),IF(OR(CD1296="Nein",CD1296=""),"-",CD1296)))))</f>
        <v>3</v>
      </c>
      <c r="AB1296" s="67"/>
      <c r="AC1296" s="68"/>
      <c r="AD1296" s="62" t="n">
        <f aca="false">AW1296</f>
        <v>13</v>
      </c>
      <c r="AE1296" s="62" t="n">
        <f aca="false">MAX(AW1296,H1296)</f>
        <v>79</v>
      </c>
      <c r="AF1296" s="69"/>
      <c r="AG1296" s="62" t="n">
        <f aca="false">IF(LEFT(Cockpit!$C$5,1)="A",H1296,IF(Parameter!$E$30="MAX-Bestand",IF(CI1296=1,CJ1296,IF(LEFT(Cockpit!$C$5,1)="B",AM1296,MAX(AM1296,H1296))),ROUNDUP(AK1296,0)))</f>
        <v>79</v>
      </c>
      <c r="AH1296" s="62" t="n">
        <f aca="false">IF(CA1296=1,0,ROUNDUP(AG1296/BZ1296,0))</f>
        <v>3</v>
      </c>
      <c r="AI1296" s="64" t="n">
        <f aca="false">IF(CR1296&gt;0,CR1296*MAX(1,AG1296/X1296),IF(CA1296=1,IF(AG1296&lt;=0,0,CE1296*MAX(1,IF(H1296&gt;0,AG1296/H1296,1))),IF(R1296&gt;0,AH1296/R1296,0))/MAX(0.1,N(Parameter!$M$21)))</f>
        <v>0.0288461538461538</v>
      </c>
      <c r="AJ1296" s="62" t="n">
        <f aca="false">AI1296*CC1296</f>
        <v>4.47115384615385</v>
      </c>
      <c r="AK1296" s="63" t="n">
        <f aca="false">IF(LEFT(Cockpit!$C$5,1)="A",H1296,IF(CI1296=1,(CL1296+CJ1296)/2,IF(LEFT(Cockpit!$C$5,1)="B",(CL1296+AM1296)/2,MAX((CL1296+AM1296)/2,H1296))))</f>
        <v>79</v>
      </c>
      <c r="AL1296" s="62" t="n">
        <f aca="false">AK1296*G1296</f>
        <v>8487.76</v>
      </c>
      <c r="AM1296" s="62" t="n">
        <f aca="false">ROUNDUP(CL1296+MAX(CM1296,2*(J1296/IF(CH1296&gt;0,CH1296,MAX(0.1,N(Cockpit!$C$6)))-CL1296)),0)</f>
        <v>13</v>
      </c>
      <c r="AN1296" s="63" t="n">
        <f aca="false">IF(AJ1296&gt;0,J1296/AJ1296,-1)</f>
        <v>2.01290322580645</v>
      </c>
      <c r="AO1296" s="63" t="n">
        <f aca="false">IF(AND(OR(CG1296="L1",CG1296="L23",CG1296="LIFT"),AJ1296&gt;0),SUMIFS($AJ$7:$AJ$1843,$CG$7:$CG$1843,CG1296,$AN$7:$AN$1843,"&gt;"&amp;AN1296)+SUMIFS($AJ$7:$AJ$1843,$CG$7:$CG$1843,CG1296,$AN$7:$AN$1843,AN1296,$BX$7:$BX$1843,"&lt;="&amp;BX1296),"")</f>
        <v>5828.10943223443</v>
      </c>
      <c r="AP1296" s="70" t="n">
        <f aca="false">IF(AO1296="",0,MAX(0,MIN(1,(IF(CG1296="L1",Parameter!$H$5,IF(CG1296="L23",Parameter!$H$6+Parameter!$H$7,Parameter!$H$5+Parameter!$H$6+Parameter!$H$7))-(AO1296-AJ1296))/AJ1296)))</f>
        <v>1</v>
      </c>
      <c r="AQ1296" s="62" t="n">
        <f aca="false">IF(LEFT(Cockpit!$I$5,1)="A",H1296,IF(Parameter!$E$30="MAX-Bestand",IF(CI1296=1,CJ1296,IF(LEFT(Cockpit!$I$5,1)="B",AW1296,MAX(AW1296,H1296))),ROUNDUP(AU1296,0)))</f>
        <v>79</v>
      </c>
      <c r="AR1296" s="62" t="n">
        <f aca="false">IF(CA1296=1,0,ROUNDUP(AQ1296/BZ1296,0))</f>
        <v>3</v>
      </c>
      <c r="AS1296" s="64" t="n">
        <f aca="false">IF(CR1296&gt;0,CR1296*MAX(1,AQ1296/X1296),IF(CA1296=1,IF(AQ1296&lt;=0,0,CE1296*MAX(1,IF(H1296&gt;0,AQ1296/H1296,1))),IF(R1296&gt;0,AR1296/R1296,0))/MAX(0.1,N(Parameter!$M$21)))</f>
        <v>0.0288461538461538</v>
      </c>
      <c r="AT1296" s="62" t="n">
        <f aca="false">AS1296*CC1296</f>
        <v>4.47115384615385</v>
      </c>
      <c r="AU1296" s="63" t="n">
        <f aca="false">IF(LEFT(Cockpit!$I$5,1)="A",H1296,IF(CI1296=1,(CL1296+CJ1296)/2,IF(LEFT(Cockpit!$I$5,1)="B",(CL1296+AW1296)/2,MAX((CL1296+AW1296)/2,H1296))))</f>
        <v>79</v>
      </c>
      <c r="AV1296" s="62" t="n">
        <f aca="false">AU1296*G1296</f>
        <v>8487.76</v>
      </c>
      <c r="AW1296" s="62" t="n">
        <f aca="false">ROUNDUP(CL1296+MAX(CM1296,2*(J1296/IF(CH1296&gt;0,CH1296,MAX(0.1,N(Cockpit!$I$6)))-CL1296)),0)</f>
        <v>13</v>
      </c>
      <c r="AX1296" s="63" t="n">
        <f aca="false">IF(AT1296&gt;0,J1296/AT1296,-1)</f>
        <v>2.01290322580645</v>
      </c>
      <c r="AY1296" s="63" t="n">
        <f aca="false">IF(AND(OR(CG1296="L1",CG1296="L23",CG1296="LIFT"),AT1296&gt;0),SUMIFS($AT$7:$AT$1843,$CG$7:$CG$1843,CG1296,$AX$7:$AX$1843,"&gt;"&amp;AX1296)+SUMIFS($AT$7:$AT$1843,$CG$7:$CG$1843,CG1296,$AX$7:$AX$1843,AX1296,$BX$7:$BX$1843,"&lt;="&amp;BX1296),"")</f>
        <v>7196.04899267399</v>
      </c>
      <c r="AZ1296" s="70" t="n">
        <f aca="false">IF(AY1296="",0,MAX(0,MIN(1,(IF(CG1296="L1",Parameter!$H$5,IF(CG1296="L23",Parameter!$H$6+Parameter!$H$7,Parameter!$H$5+Parameter!$H$6+Parameter!$H$7))-(AY1296-AT1296))/AT1296)))</f>
        <v>1</v>
      </c>
      <c r="BA1296" s="62" t="n">
        <f aca="false">IF(LEFT(Cockpit!$O$5,1)="A",H1296,IF(Parameter!$E$30="MAX-Bestand",IF(CI1296=1,CJ1296,IF(LEFT(Cockpit!$O$5,1)="B",BG1296,MAX(BG1296,H1296))),ROUNDUP(BE1296,0)))</f>
        <v>8</v>
      </c>
      <c r="BB1296" s="62" t="n">
        <f aca="false">IF(CA1296=1,0,ROUNDUP(BA1296/BZ1296,0))</f>
        <v>1</v>
      </c>
      <c r="BC1296" s="64" t="n">
        <f aca="false">IF(CR1296&gt;0,CR1296*MAX(1,BA1296/X1296),IF(CA1296=1,IF(BA1296&lt;=0,0,CE1296*MAX(1,IF(H1296&gt;0,BA1296/H1296,1))),IF(R1296&gt;0,BB1296/R1296,0))/MAX(0.1,N(Parameter!$M$21)))</f>
        <v>0.00961538461538462</v>
      </c>
      <c r="BD1296" s="62" t="n">
        <f aca="false">BC1296*CC1296</f>
        <v>1.49038461538462</v>
      </c>
      <c r="BE1296" s="63" t="n">
        <f aca="false">IF(LEFT(Cockpit!$O$5,1)="A",H1296,IF(CI1296=1,(CL1296+CJ1296)/2,IF(LEFT(Cockpit!$O$5,1)="B",(CL1296+BG1296)/2,MAX((CL1296+BG1296)/2,H1296))))</f>
        <v>8</v>
      </c>
      <c r="BF1296" s="62" t="n">
        <f aca="false">BE1296*G1296</f>
        <v>859.52</v>
      </c>
      <c r="BG1296" s="62" t="n">
        <f aca="false">ROUNDUP(CL1296+MAX(CM1296,2*(J1296/IF(CH1296&gt;0,CH1296,MAX(0.1,N(Cockpit!$O$6)))-CL1296)),0)</f>
        <v>13</v>
      </c>
      <c r="BH1296" s="63" t="n">
        <f aca="false">IF(BD1296&gt;0,J1296/BD1296,-1)</f>
        <v>6.03870967741935</v>
      </c>
      <c r="BI1296" s="63" t="n">
        <f aca="false">IF(AND(OR(CG1296="L1",CG1296="L23",CG1296="LIFT"),BD1296&gt;0),SUMIFS($BD$7:$BD$1843,$CG$7:$CG$1843,CG1296,$BH$7:$BH$1843,"&gt;"&amp;BH1296)+SUMIFS($BD$7:$BD$1843,$CG$7:$CG$1843,CG1296,$BH$7:$BH$1843,BH1296,$BX$7:$BX$1843,"&lt;="&amp;BX1296),"")</f>
        <v>3503.22481684982</v>
      </c>
      <c r="BJ1296" s="70" t="n">
        <f aca="false">IF(BI1296="",0,MAX(0,MIN(1,(IF(CG1296="L1",Parameter!$H$5,IF(CG1296="L23",Parameter!$H$6+Parameter!$H$7,Parameter!$H$5+Parameter!$H$6+Parameter!$H$7))-(BI1296-BD1296))/BD1296)))</f>
        <v>1</v>
      </c>
      <c r="BK1296" s="60" t="str">
        <f aca="false">IF(AJ1296&lt;=0,"",IF(CG1296="Aussen","Aussenlager",IF(CG1296="-","Nicht im Lift",IF(AP1296&gt;=1,"Lift",IF(AP1296&lt;=0,"Aussenlager","teilweise")))))</f>
        <v>Lift</v>
      </c>
      <c r="BL1296" s="60" t="str">
        <f aca="false">IF(AT1296&lt;=0,"",IF(CG1296="Aussen","Aussenlager",IF(CG1296="-","Nicht im Lift",IF(AZ1296&gt;=1,"Lift",IF(AZ1296&lt;=0,"Aussenlager","teilweise")))))</f>
        <v>Lift</v>
      </c>
      <c r="BM1296" s="60" t="str">
        <f aca="false">IF(BD1296&lt;=0,"",IF(CG1296="Aussen","Aussenlager",IF(CG1296="-","Nicht im Lift",IF(BJ1296&gt;=1,"Lift",IF(BJ1296&lt;=0,"Aussenlager","teilweise")))))</f>
        <v>Lift</v>
      </c>
      <c r="BN1296" s="60" t="str">
        <f aca="false">IF(A1296="","",IF(BW1296=1,"Neu; ","")&amp;IF(AND(BW1296=0,BR1296&lt;0),"negativer Bestand (Export "&amp;BR1296&amp;"); ","")&amp;IF(J1296&lt;=0,"Kein Verbrauch; ","")&amp;IF(CR1296&gt;0,"Lift "&amp;W1296&amp;" lt. Liftbericht (Fach "&amp;X1296&amp;" Stk); ",IF(CB1296=1,"Gebinde geschätzt ("&amp;T1296&amp;"); ",IF(CA1296=1,"Lose – Tablare geschätzt; ","")))&amp;IF(H1296&gt;AW1296,"Überbestand "&amp;ROUND(H1296-AW1296,0)&amp;" Stk / CHF "&amp;ROUND((H1296-AW1296)*G1296,0)&amp;"; ","")&amp;IF(AND(CI1296=1,CJ1296&lt;CK1296),"MAX &lt; MB+LG; ","")&amp;IF(AND(CQ1296&gt;0,CP1296*10&gt;CQ1296),"zu hoch für Tablar; ","")&amp;IF(AND(BW1296=0,OR(CI1296=1,AB1296&lt;&gt;"",U1296&lt;&gt;"",V1296&lt;&gt;"",AC1296&lt;&gt;"")),"manuell übersteuert; ","")&amp;IF(AND(CA1296=0,R1296=0),"Gebinde unbekannt / Stellmass fehlt; ","")&amp;IF(AND(CA1296=0,N(V1296)&lt;=0,N(Q1296)&lt;=0),"Menge pro Gebinde fehlt (Ist = 1 Gebinde); ","")&amp;BV1296)</f>
        <v>negativer Bestand (Export -11); Überbestand 66 Stk / CHF 7091; </v>
      </c>
      <c r="BO1296" s="60"/>
      <c r="BP1296" s="60"/>
      <c r="BQ1296" s="67"/>
      <c r="BR1296" s="62" t="n">
        <v>-11</v>
      </c>
      <c r="BS1296" s="62" t="n">
        <v>90</v>
      </c>
      <c r="BT1296" s="61" t="n">
        <v>-1181.84</v>
      </c>
      <c r="BU1296" s="62" t="n">
        <v>9</v>
      </c>
      <c r="BV1296" s="60"/>
      <c r="BW1296" s="65" t="n">
        <v>0</v>
      </c>
      <c r="BX1296" s="65" t="n">
        <v>1296</v>
      </c>
      <c r="BY1296" s="60" t="str">
        <f aca="false">IF(U1296&lt;&gt;"",UPPER(TRIM(U1296)),IF(CB1296=1,UPPER(VLOOKUP(T1296,Parameter!$I$27:$K$29,2,0)),IF(P1296="","LOSE",P1296)))</f>
        <v>S32</v>
      </c>
      <c r="BZ1296" s="62" t="n">
        <f aca="false">IF(BY1296="LOSE",1,IF(N(V1296)&gt;0,V1296,IF(CB1296=1,MAX(1,N(VLOOKUP(T1296,Parameter!$I$27:$K$29,3,0)),H1296,N(N1296)),IF(N(Q1296)&gt;0,Q1296,MAX(1,H1296)))))</f>
        <v>32</v>
      </c>
      <c r="CA1296" s="65" t="n">
        <f aca="false">IF(BY1296="LOSE",1,0)</f>
        <v>0</v>
      </c>
      <c r="CB1296" s="65" t="n">
        <f aca="false">IF(AND(U1296="",OR(P1296="",P1296="LOSE"),T1296&lt;&gt;"",N(S1296)&lt;=0,ISNUMBER(MATCH(T1296,Parameter!$I$27:$I$29,0))),1,0)</f>
        <v>0</v>
      </c>
      <c r="CC1296" s="65" t="n">
        <f aca="false">IF(CR1296&gt;0,INDEX(Parameter!$H$5:$H$7,W1296)/INDEX(Parameter!$E$5:$E$7,W1296),IF(AND(CA1296=0,N(IFERROR(VLOOKUP(BY1296,'Gebinde-Kategorie'!$A$5:$N$45,14,0),0))&gt;0),VLOOKUP(BY1296,'Gebinde-Kategorie'!$A$5:$N$45,14,0)*10+Parameter!$M$23,Parameter!$M$24))</f>
        <v>155</v>
      </c>
      <c r="CD1296" s="60" t="str">
        <f aca="false">IF(AND(Parameter!$B$19="Ja",E1296&lt;&gt;"",ISNUMBER(MATCH(E1296,Parameter!$I$35:$I$52,0))),VLOOKUP(E1296,Parameter!$I$35:$J$52,2,0),IFERROR(VLOOKUP(D1296,Parameter!$A$35:$C$64,2,0),"Nein"))</f>
        <v>2+3</v>
      </c>
      <c r="CE1296" s="64" t="n">
        <f aca="false">IF(CA1296=0,0,IF(N(S1296)&gt;0,S1296,IFERROR(VLOOKUP(D1296,Parameter!$A$35:$C$64,3,0)+0,0)))</f>
        <v>0</v>
      </c>
      <c r="CF1296" s="60" t="n">
        <f aca="false">IF(AB1296&lt;&gt;"",AB1296,AA1296)</f>
        <v>3</v>
      </c>
      <c r="CG1296" s="60" t="str">
        <f aca="false">IF(OR(CF1296=1,CF1296=2,CF1296=3),IF(Parameter!$E$27="Ja","LIFT",IF(CF1296=1,"L1","L23")),IF(CF1296="Aussen","Aussen","-"))</f>
        <v>LIFT</v>
      </c>
      <c r="CH1296" s="71" t="n">
        <f aca="false">IF(N(AC1296)&gt;0,AC1296,0)</f>
        <v>0</v>
      </c>
      <c r="CI1296" s="65" t="n">
        <f aca="false">IF(ISNUMBER(AF1296),1,0)</f>
        <v>0</v>
      </c>
      <c r="CJ1296" s="62" t="n">
        <f aca="false">N(AF1296)</f>
        <v>0</v>
      </c>
      <c r="CK1296" s="62" t="n">
        <f aca="false">N(M1296)+N(N1296)</f>
        <v>13</v>
      </c>
      <c r="CL1296" s="62" t="n">
        <f aca="false">N(M1296)</f>
        <v>3</v>
      </c>
      <c r="CM1296" s="62" t="n">
        <f aca="false">N(N1296)</f>
        <v>10</v>
      </c>
      <c r="CN1296" s="62" t="n">
        <f aca="false">ROUNDUP(H1296/BZ1296,0)</f>
        <v>3</v>
      </c>
      <c r="CO1296" s="62" t="n">
        <f aca="false">ROUNDUP(CJ1296/BZ1296,0)</f>
        <v>0</v>
      </c>
      <c r="CP1296" s="65" t="n">
        <f aca="false">IF(CA1296=1,0,IFERROR(VLOOKUP(BY1296,'Gebinde-Kategorie'!$A$5:$N$45,5,0)+0,0))</f>
        <v>8</v>
      </c>
      <c r="CQ1296" s="65" t="n">
        <f aca="false">IFERROR(IF(OR(CF1296=1,CF1296=2,CF1296=3),N(INDEX(Parameter!$I$5:$I$7,CF1296)),0),0)</f>
        <v>0</v>
      </c>
      <c r="CR1296" s="64" t="n">
        <f aca="false">IF(AND(Parameter!$B$21="Ja",ISNUMBER(W1296),N(X1296)&gt;0),IFERROR(N(INDEX(Parameter!$L$5:$L$7,W1296))*INDEX(Parameter!$E$5:$E$7,W1296)*X1296/SUMIFS($X$7:$X$1843,$W$7:$W$1843,W1296),0),0)</f>
        <v>0</v>
      </c>
      <c r="CS1296" s="62" t="n">
        <f aca="false">IF(AND(OR(CG1296="L1",CG1296="L23",CG1296="LIFT"),H1296&gt;0),CC1296*IF(CR1296&gt;0,CR1296*MAX(1,H1296/X1296),IF(CA1296=1,CE1296,IF(R1296&gt;0,CN1296/R1296,0))/MAX(0.1,N(Parameter!$M$21))),"")</f>
        <v>4.47115384615385</v>
      </c>
      <c r="CT1296" s="64" t="n">
        <f aca="false">IF(CS1296="","",J1296/H1296)</f>
        <v>0.113924050632911</v>
      </c>
      <c r="CU1296" s="62" t="n">
        <f aca="false">IF(CS1296="","",H1296*G1296)</f>
        <v>8487.76</v>
      </c>
      <c r="CV1296" s="63" t="n">
        <f aca="false">IF(CS1296="","",(CL1296+ROUNDUP(CL1296+MAX(CM1296,2*(J1296/MAX(0.1,N(Einkauf!$C$6))-CL1296)),0))/2)</f>
        <v>8</v>
      </c>
      <c r="CW1296" s="62" t="n">
        <f aca="false">IF(CS1296="","",MAX(0,H1296-CV1296)*G1296)</f>
        <v>7628.24</v>
      </c>
      <c r="CX1296" s="62" t="n">
        <f aca="false">IF(CS1296="","",CS1296*MAX(0,1-CV1296/H1296))</f>
        <v>4.01837877312561</v>
      </c>
      <c r="CY1296" s="64" t="n">
        <f aca="false">IF(CS1296="","",PERCENTRANK($CS$7:$CS$1843,CS1296)+PERCENTRANK($CU$7:$CU$1843,CU1296)+1-PERCENTRANK($CT$7:$CT$1843,CT1296))</f>
        <v>1.856</v>
      </c>
      <c r="CZ1296" s="72" t="n">
        <f aca="false">IF(CS1296="","",CHOOSE(MATCH(Einkauf!$C$5,Parameter!$G$23:$G$27,0),CY1296,CS1296,CU1296,-CT1296,CW1296)+ROW()/1000000000)</f>
        <v>1.856001296</v>
      </c>
    </row>
    <row r="1297" customFormat="false" ht="15" hidden="false" customHeight="false" outlineLevel="0" collapsed="false">
      <c r="A1297" s="60" t="s">
        <v>2348</v>
      </c>
      <c r="B1297" s="60" t="s">
        <v>2349</v>
      </c>
      <c r="C1297" s="60" t="s">
        <v>498</v>
      </c>
      <c r="D1297" s="60" t="s">
        <v>215</v>
      </c>
      <c r="E1297" s="60"/>
      <c r="F1297" s="60" t="s">
        <v>260</v>
      </c>
      <c r="G1297" s="61" t="n">
        <v>49.41</v>
      </c>
      <c r="H1297" s="62" t="n">
        <f aca="false">MAX(0,IF(AND(Parameter!$B$21="Ja",ISNUMBER(Y1297)),Y1297,IF(Parameter!$B$20="Jahresanfang 2025 + Export",BS1297+BR1297,BR1297)))</f>
        <v>0</v>
      </c>
      <c r="I1297" s="62" t="n">
        <f aca="false">H1297*G1297</f>
        <v>0</v>
      </c>
      <c r="J1297" s="62" t="n">
        <f aca="false">BU1297*Parameter!$B$18</f>
        <v>0</v>
      </c>
      <c r="K1297" s="63" t="n">
        <v>12</v>
      </c>
      <c r="L1297" s="64" t="n">
        <v>0</v>
      </c>
      <c r="M1297" s="62" t="n">
        <v>0</v>
      </c>
      <c r="N1297" s="62" t="n">
        <v>1</v>
      </c>
      <c r="O1297" s="65" t="n">
        <v>56</v>
      </c>
      <c r="P1297" s="60" t="s">
        <v>210</v>
      </c>
      <c r="Q1297" s="62"/>
      <c r="R1297" s="65" t="n">
        <f aca="false">IF(CA1297=1,0,IFERROR(VLOOKUP(BY1297,'Gebinde-Kategorie'!$A$5:$N$45,13,0)+0,0))</f>
        <v>4</v>
      </c>
      <c r="S1297" s="66"/>
      <c r="T1297" s="67" t="s">
        <v>231</v>
      </c>
      <c r="U1297" s="67"/>
      <c r="V1297" s="67"/>
      <c r="W1297" s="60"/>
      <c r="X1297" s="62"/>
      <c r="Y1297" s="62"/>
      <c r="Z1297" s="60" t="n">
        <v>2</v>
      </c>
      <c r="AA1297" s="60" t="n">
        <f aca="false">IF(A1297="","",IF(AND(Parameter!$B$21="Ja",ISNUMBER(W1297)),W1297,IF(AND(Parameter!$E$27="Ja",ISNUMBER(Z1297),CD1297&lt;&gt;"Nein"),Z1297,IF(CD1297="2+3",IF(ISNUMBER(SEARCH("grosser Artikel",BV1297)),2,IFERROR(VLOOKUP(BY1297,Parameter!$F$35:$G$64,2,0),2)),IF(OR(CD1297="Nein",CD1297=""),"-",CD1297)))))</f>
        <v>2</v>
      </c>
      <c r="AB1297" s="67"/>
      <c r="AC1297" s="68"/>
      <c r="AD1297" s="62" t="n">
        <f aca="false">AW1297</f>
        <v>1</v>
      </c>
      <c r="AE1297" s="62" t="n">
        <f aca="false">MAX(AW1297,H1297)</f>
        <v>1</v>
      </c>
      <c r="AF1297" s="69"/>
      <c r="AG1297" s="62" t="n">
        <f aca="false">IF(LEFT(Cockpit!$C$5,1)="A",H1297,IF(Parameter!$E$30="MAX-Bestand",IF(CI1297=1,CJ1297,IF(LEFT(Cockpit!$C$5,1)="B",AM1297,MAX(AM1297,H1297))),ROUNDUP(AK1297,0)))</f>
        <v>0</v>
      </c>
      <c r="AH1297" s="62" t="n">
        <f aca="false">IF(CA1297=1,0,ROUNDUP(AG1297/BZ1297,0))</f>
        <v>0</v>
      </c>
      <c r="AI1297" s="64" t="n">
        <f aca="false">IF(CR1297&gt;0,CR1297*MAX(1,AG1297/X1297),IF(CA1297=1,IF(AG1297&lt;=0,0,CE1297*MAX(1,IF(H1297&gt;0,AG1297/H1297,1))),IF(R1297&gt;0,AH1297/R1297,0))/MAX(0.1,N(Parameter!$M$21)))</f>
        <v>0</v>
      </c>
      <c r="AJ1297" s="62" t="n">
        <f aca="false">AI1297*CC1297</f>
        <v>0</v>
      </c>
      <c r="AK1297" s="63" t="n">
        <f aca="false">IF(LEFT(Cockpit!$C$5,1)="A",H1297,IF(CI1297=1,(CL1297+CJ1297)/2,IF(LEFT(Cockpit!$C$5,1)="B",(CL1297+AM1297)/2,MAX((CL1297+AM1297)/2,H1297))))</f>
        <v>0</v>
      </c>
      <c r="AL1297" s="62" t="n">
        <f aca="false">AK1297*G1297</f>
        <v>0</v>
      </c>
      <c r="AM1297" s="62" t="n">
        <f aca="false">ROUNDUP(CL1297+MAX(CM1297,2*(J1297/IF(CH1297&gt;0,CH1297,MAX(0.1,N(Cockpit!$C$6)))-CL1297)),0)</f>
        <v>1</v>
      </c>
      <c r="AN1297" s="63" t="n">
        <f aca="false">IF(AJ1297&gt;0,J1297/AJ1297,-1)</f>
        <v>-1</v>
      </c>
      <c r="AO1297" s="63" t="str">
        <f aca="false">IF(AND(OR(CG1297="L1",CG1297="L23",CG1297="LIFT"),AJ1297&gt;0),SUMIFS($AJ$7:$AJ$1843,$CG$7:$CG$1843,CG1297,$AN$7:$AN$1843,"&gt;"&amp;AN1297)+SUMIFS($AJ$7:$AJ$1843,$CG$7:$CG$1843,CG1297,$AN$7:$AN$1843,AN1297,$BX$7:$BX$1843,"&lt;="&amp;BX1297),"")</f>
        <v/>
      </c>
      <c r="AP1297" s="70" t="n">
        <f aca="false">IF(AO1297="",0,MAX(0,MIN(1,(IF(CG1297="L1",Parameter!$H$5,IF(CG1297="L23",Parameter!$H$6+Parameter!$H$7,Parameter!$H$5+Parameter!$H$6+Parameter!$H$7))-(AO1297-AJ1297))/AJ1297)))</f>
        <v>0</v>
      </c>
      <c r="AQ1297" s="62" t="n">
        <f aca="false">IF(LEFT(Cockpit!$I$5,1)="A",H1297,IF(Parameter!$E$30="MAX-Bestand",IF(CI1297=1,CJ1297,IF(LEFT(Cockpit!$I$5,1)="B",AW1297,MAX(AW1297,H1297))),ROUNDUP(AU1297,0)))</f>
        <v>1</v>
      </c>
      <c r="AR1297" s="62" t="n">
        <f aca="false">IF(CA1297=1,0,ROUNDUP(AQ1297/BZ1297,0))</f>
        <v>1</v>
      </c>
      <c r="AS1297" s="64" t="n">
        <f aca="false">IF(CR1297&gt;0,CR1297*MAX(1,AQ1297/X1297),IF(CA1297=1,IF(AQ1297&lt;=0,0,CE1297*MAX(1,IF(H1297&gt;0,AQ1297/H1297,1))),IF(R1297&gt;0,AR1297/R1297,0))/MAX(0.1,N(Parameter!$M$21)))</f>
        <v>0.25</v>
      </c>
      <c r="AT1297" s="62" t="n">
        <f aca="false">AS1297*CC1297</f>
        <v>58.75</v>
      </c>
      <c r="AU1297" s="63" t="n">
        <f aca="false">IF(LEFT(Cockpit!$I$5,1)="A",H1297,IF(CI1297=1,(CL1297+CJ1297)/2,IF(LEFT(Cockpit!$I$5,1)="B",(CL1297+AW1297)/2,MAX((CL1297+AW1297)/2,H1297))))</f>
        <v>0.5</v>
      </c>
      <c r="AV1297" s="62" t="n">
        <f aca="false">AU1297*G1297</f>
        <v>24.705</v>
      </c>
      <c r="AW1297" s="62" t="n">
        <f aca="false">ROUNDUP(CL1297+MAX(CM1297,2*(J1297/IF(CH1297&gt;0,CH1297,MAX(0.1,N(Cockpit!$I$6)))-CL1297)),0)</f>
        <v>1</v>
      </c>
      <c r="AX1297" s="63" t="n">
        <f aca="false">IF(AT1297&gt;0,J1297/AT1297,-1)</f>
        <v>0</v>
      </c>
      <c r="AY1297" s="63" t="n">
        <f aca="false">IF(AND(OR(CG1297="L1",CG1297="L23",CG1297="LIFT"),AT1297&gt;0),SUMIFS($AT$7:$AT$1843,$CG$7:$CG$1843,CG1297,$AX$7:$AX$1843,"&gt;"&amp;AX1297)+SUMIFS($AT$7:$AT$1843,$CG$7:$CG$1843,CG1297,$AX$7:$AX$1843,AX1297,$BX$7:$BX$1843,"&lt;="&amp;BX1297),"")</f>
        <v>35624.994047619</v>
      </c>
      <c r="AZ1297" s="70" t="n">
        <f aca="false">IF(AY1297="",0,MAX(0,MIN(1,(IF(CG1297="L1",Parameter!$H$5,IF(CG1297="L23",Parameter!$H$6+Parameter!$H$7,Parameter!$H$5+Parameter!$H$6+Parameter!$H$7))-(AY1297-AT1297))/AT1297)))</f>
        <v>1</v>
      </c>
      <c r="BA1297" s="62" t="n">
        <f aca="false">IF(LEFT(Cockpit!$O$5,1)="A",H1297,IF(Parameter!$E$30="MAX-Bestand",IF(CI1297=1,CJ1297,IF(LEFT(Cockpit!$O$5,1)="B",BG1297,MAX(BG1297,H1297))),ROUNDUP(BE1297,0)))</f>
        <v>1</v>
      </c>
      <c r="BB1297" s="62" t="n">
        <f aca="false">IF(CA1297=1,0,ROUNDUP(BA1297/BZ1297,0))</f>
        <v>1</v>
      </c>
      <c r="BC1297" s="64" t="n">
        <f aca="false">IF(CR1297&gt;0,CR1297*MAX(1,BA1297/X1297),IF(CA1297=1,IF(BA1297&lt;=0,0,CE1297*MAX(1,IF(H1297&gt;0,BA1297/H1297,1))),IF(R1297&gt;0,BB1297/R1297,0))/MAX(0.1,N(Parameter!$M$21)))</f>
        <v>0.25</v>
      </c>
      <c r="BD1297" s="62" t="n">
        <f aca="false">BC1297*CC1297</f>
        <v>58.75</v>
      </c>
      <c r="BE1297" s="63" t="n">
        <f aca="false">IF(LEFT(Cockpit!$O$5,1)="A",H1297,IF(CI1297=1,(CL1297+CJ1297)/2,IF(LEFT(Cockpit!$O$5,1)="B",(CL1297+BG1297)/2,MAX((CL1297+BG1297)/2,H1297))))</f>
        <v>0.5</v>
      </c>
      <c r="BF1297" s="62" t="n">
        <f aca="false">BE1297*G1297</f>
        <v>24.705</v>
      </c>
      <c r="BG1297" s="62" t="n">
        <f aca="false">ROUNDUP(CL1297+MAX(CM1297,2*(J1297/IF(CH1297&gt;0,CH1297,MAX(0.1,N(Cockpit!$O$6)))-CL1297)),0)</f>
        <v>1</v>
      </c>
      <c r="BH1297" s="63" t="n">
        <f aca="false">IF(BD1297&gt;0,J1297/BD1297,-1)</f>
        <v>0</v>
      </c>
      <c r="BI1297" s="63" t="n">
        <f aca="false">IF(AND(OR(CG1297="L1",CG1297="L23",CG1297="LIFT"),BD1297&gt;0),SUMIFS($BD$7:$BD$1843,$CG$7:$CG$1843,CG1297,$BH$7:$BH$1843,"&gt;"&amp;BH1297)+SUMIFS($BD$7:$BD$1843,$CG$7:$CG$1843,CG1297,$BH$7:$BH$1843,BH1297,$BX$7:$BX$1843,"&lt;="&amp;BX1297),"")</f>
        <v>29610.3007077668</v>
      </c>
      <c r="BJ1297" s="70" t="n">
        <f aca="false">IF(BI1297="",0,MAX(0,MIN(1,(IF(CG1297="L1",Parameter!$H$5,IF(CG1297="L23",Parameter!$H$6+Parameter!$H$7,Parameter!$H$5+Parameter!$H$6+Parameter!$H$7))-(BI1297-BD1297))/BD1297)))</f>
        <v>1</v>
      </c>
      <c r="BK1297" s="60" t="str">
        <f aca="false">IF(AJ1297&lt;=0,"",IF(CG1297="Aussen","Aussenlager",IF(CG1297="-","Nicht im Lift",IF(AP1297&gt;=1,"Lift",IF(AP1297&lt;=0,"Aussenlager","teilweise")))))</f>
        <v/>
      </c>
      <c r="BL1297" s="60" t="str">
        <f aca="false">IF(AT1297&lt;=0,"",IF(CG1297="Aussen","Aussenlager",IF(CG1297="-","Nicht im Lift",IF(AZ1297&gt;=1,"Lift",IF(AZ1297&lt;=0,"Aussenlager","teilweise")))))</f>
        <v>Lift</v>
      </c>
      <c r="BM1297" s="60" t="str">
        <f aca="false">IF(BD1297&lt;=0,"",IF(CG1297="Aussen","Aussenlager",IF(CG1297="-","Nicht im Lift",IF(BJ1297&gt;=1,"Lift",IF(BJ1297&lt;=0,"Aussenlager","teilweise")))))</f>
        <v>Lift</v>
      </c>
      <c r="BN1297" s="60" t="str">
        <f aca="false">IF(A1297="","",IF(BW1297=1,"Neu; ","")&amp;IF(AND(BW1297=0,BR1297&lt;0),"negativer Bestand (Export "&amp;BR1297&amp;"); ","")&amp;IF(J1297&lt;=0,"Kein Verbrauch; ","")&amp;IF(CR1297&gt;0,"Lift "&amp;W1297&amp;" lt. Liftbericht (Fach "&amp;X1297&amp;" Stk); ",IF(CB1297=1,"Gebinde geschätzt ("&amp;T1297&amp;"); ",IF(CA1297=1,"Lose – Tablare geschätzt; ","")))&amp;IF(H1297&gt;AW1297,"Überbestand "&amp;ROUND(H1297-AW1297,0)&amp;" Stk / CHF "&amp;ROUND((H1297-AW1297)*G1297,0)&amp;"; ","")&amp;IF(AND(CI1297=1,CJ1297&lt;CK1297),"MAX &lt; MB+LG; ","")&amp;IF(AND(CQ1297&gt;0,CP1297*10&gt;CQ1297),"zu hoch für Tablar; ","")&amp;IF(AND(BW1297=0,OR(CI1297=1,AB1297&lt;&gt;"",U1297&lt;&gt;"",V1297&lt;&gt;"",AC1297&lt;&gt;"")),"manuell übersteuert; ","")&amp;IF(AND(CA1297=0,R1297=0),"Gebinde unbekannt / Stellmass fehlt; ","")&amp;IF(AND(CA1297=0,N(V1297)&lt;=0,N(Q1297)&lt;=0),"Menge pro Gebinde fehlt (Ist = 1 Gebinde); ","")&amp;BV1297)</f>
        <v>negativer Bestand (Export -24); Kein Verbrauch; Gebinde geschätzt (Gross); Menge pro Gebinde fehlt (Ist = 1 Gebinde); Neuer Art.</v>
      </c>
      <c r="BO1297" s="60"/>
      <c r="BP1297" s="60"/>
      <c r="BQ1297" s="67"/>
      <c r="BR1297" s="62" t="n">
        <v>-24</v>
      </c>
      <c r="BS1297" s="62" t="n">
        <v>24</v>
      </c>
      <c r="BT1297" s="61" t="n">
        <v>-1185.84</v>
      </c>
      <c r="BU1297" s="62" t="n">
        <v>0</v>
      </c>
      <c r="BV1297" s="60" t="s">
        <v>554</v>
      </c>
      <c r="BW1297" s="65" t="n">
        <v>0</v>
      </c>
      <c r="BX1297" s="65" t="n">
        <v>1297</v>
      </c>
      <c r="BY1297" s="60" t="str">
        <f aca="false">IF(U1297&lt;&gt;"",UPPER(TRIM(U1297)),IF(CB1297=1,UPPER(VLOOKUP(T1297,Parameter!$I$27:$K$29,2,0)),IF(P1297="","LOSE",P1297)))</f>
        <v>S81</v>
      </c>
      <c r="BZ1297" s="62" t="n">
        <f aca="false">IF(BY1297="LOSE",1,IF(N(V1297)&gt;0,V1297,IF(CB1297=1,MAX(1,N(VLOOKUP(T1297,Parameter!$I$27:$K$29,3,0)),H1297,N(N1297)),IF(N(Q1297)&gt;0,Q1297,MAX(1,H1297)))))</f>
        <v>2</v>
      </c>
      <c r="CA1297" s="65" t="n">
        <f aca="false">IF(BY1297="LOSE",1,0)</f>
        <v>0</v>
      </c>
      <c r="CB1297" s="65" t="n">
        <f aca="false">IF(AND(U1297="",OR(P1297="",P1297="LOSE"),T1297&lt;&gt;"",N(S1297)&lt;=0,ISNUMBER(MATCH(T1297,Parameter!$I$27:$I$29,0))),1,0)</f>
        <v>1</v>
      </c>
      <c r="CC1297" s="65" t="n">
        <f aca="false">IF(CR1297&gt;0,INDEX(Parameter!$H$5:$H$7,W1297)/INDEX(Parameter!$E$5:$E$7,W1297),IF(AND(CA1297=0,N(IFERROR(VLOOKUP(BY1297,'Gebinde-Kategorie'!$A$5:$N$45,14,0),0))&gt;0),VLOOKUP(BY1297,'Gebinde-Kategorie'!$A$5:$N$45,14,0)*10+Parameter!$M$23,Parameter!$M$24))</f>
        <v>235</v>
      </c>
      <c r="CD1297" s="60" t="str">
        <f aca="false">IF(AND(Parameter!$B$19="Ja",E1297&lt;&gt;"",ISNUMBER(MATCH(E1297,Parameter!$I$35:$I$52,0))),VLOOKUP(E1297,Parameter!$I$35:$J$52,2,0),IFERROR(VLOOKUP(D1297,Parameter!$A$35:$C$64,2,0),"Nein"))</f>
        <v>2+3</v>
      </c>
      <c r="CE1297" s="64" t="n">
        <f aca="false">IF(CA1297=0,0,IF(N(S1297)&gt;0,S1297,IFERROR(VLOOKUP(D1297,Parameter!$A$35:$C$64,3,0)+0,0)))</f>
        <v>0</v>
      </c>
      <c r="CF1297" s="60" t="n">
        <f aca="false">IF(AB1297&lt;&gt;"",AB1297,AA1297)</f>
        <v>2</v>
      </c>
      <c r="CG1297" s="60" t="str">
        <f aca="false">IF(OR(CF1297=1,CF1297=2,CF1297=3),IF(Parameter!$E$27="Ja","LIFT",IF(CF1297=1,"L1","L23")),IF(CF1297="Aussen","Aussen","-"))</f>
        <v>LIFT</v>
      </c>
      <c r="CH1297" s="71" t="n">
        <f aca="false">IF(N(AC1297)&gt;0,AC1297,0)</f>
        <v>0</v>
      </c>
      <c r="CI1297" s="65" t="n">
        <f aca="false">IF(ISNUMBER(AF1297),1,0)</f>
        <v>0</v>
      </c>
      <c r="CJ1297" s="62" t="n">
        <f aca="false">N(AF1297)</f>
        <v>0</v>
      </c>
      <c r="CK1297" s="62" t="n">
        <f aca="false">N(M1297)+N(N1297)</f>
        <v>1</v>
      </c>
      <c r="CL1297" s="62" t="n">
        <f aca="false">N(M1297)</f>
        <v>0</v>
      </c>
      <c r="CM1297" s="62" t="n">
        <f aca="false">N(N1297)</f>
        <v>1</v>
      </c>
      <c r="CN1297" s="62" t="n">
        <f aca="false">ROUNDUP(H1297/BZ1297,0)</f>
        <v>0</v>
      </c>
      <c r="CO1297" s="62" t="n">
        <f aca="false">ROUNDUP(CJ1297/BZ1297,0)</f>
        <v>0</v>
      </c>
      <c r="CP1297" s="65" t="n">
        <f aca="false">IF(CA1297=1,0,IFERROR(VLOOKUP(BY1297,'Gebinde-Kategorie'!$A$5:$N$45,5,0)+0,0))</f>
        <v>20</v>
      </c>
      <c r="CQ1297" s="65" t="n">
        <f aca="false">IFERROR(IF(OR(CF1297=1,CF1297=2,CF1297=3),N(INDEX(Parameter!$I$5:$I$7,CF1297)),0),0)</f>
        <v>0</v>
      </c>
      <c r="CR1297" s="64" t="n">
        <f aca="false">IF(AND(Parameter!$B$21="Ja",ISNUMBER(W1297),N(X1297)&gt;0),IFERROR(N(INDEX(Parameter!$L$5:$L$7,W1297))*INDEX(Parameter!$E$5:$E$7,W1297)*X1297/SUMIFS($X$7:$X$1843,$W$7:$W$1843,W1297),0),0)</f>
        <v>0</v>
      </c>
      <c r="CS1297" s="62" t="str">
        <f aca="false">IF(AND(OR(CG1297="L1",CG1297="L23",CG1297="LIFT"),H1297&gt;0),CC1297*IF(CR1297&gt;0,CR1297*MAX(1,H1297/X1297),IF(CA1297=1,CE1297,IF(R1297&gt;0,CN1297/R1297,0))/MAX(0.1,N(Parameter!$M$21))),"")</f>
        <v/>
      </c>
      <c r="CT1297" s="64" t="str">
        <f aca="false">IF(CS1297="","",J1297/H1297)</f>
        <v/>
      </c>
      <c r="CU1297" s="62" t="str">
        <f aca="false">IF(CS1297="","",H1297*G1297)</f>
        <v/>
      </c>
      <c r="CV1297" s="63" t="str">
        <f aca="false">IF(CS1297="","",(CL1297+ROUNDUP(CL1297+MAX(CM1297,2*(J1297/MAX(0.1,N(Einkauf!$C$6))-CL1297)),0))/2)</f>
        <v/>
      </c>
      <c r="CW1297" s="62" t="str">
        <f aca="false">IF(CS1297="","",MAX(0,H1297-CV1297)*G1297)</f>
        <v/>
      </c>
      <c r="CX1297" s="62" t="str">
        <f aca="false">IF(CS1297="","",CS1297*MAX(0,1-CV1297/H1297))</f>
        <v/>
      </c>
      <c r="CY1297" s="64" t="str">
        <f aca="false">IF(CS1297="","",PERCENTRANK($CS$7:$CS$1843,CS1297)+PERCENTRANK($CU$7:$CU$1843,CU1297)+1-PERCENTRANK($CT$7:$CT$1843,CT1297))</f>
        <v/>
      </c>
      <c r="CZ1297" s="72" t="str">
        <f aca="false">IF(CS1297="","",CHOOSE(MATCH(Einkauf!$C$5,Parameter!$G$23:$G$27,0),CY1297,CS1297,CU1297,-CT1297,CW1297)+ROW()/1000000000)</f>
        <v/>
      </c>
    </row>
    <row r="1298" customFormat="false" ht="15" hidden="false" customHeight="false" outlineLevel="0" collapsed="false">
      <c r="A1298" s="60" t="s">
        <v>2350</v>
      </c>
      <c r="B1298" s="60" t="s">
        <v>2351</v>
      </c>
      <c r="C1298" s="60" t="s">
        <v>498</v>
      </c>
      <c r="D1298" s="60" t="s">
        <v>215</v>
      </c>
      <c r="E1298" s="60"/>
      <c r="F1298" s="60" t="s">
        <v>260</v>
      </c>
      <c r="G1298" s="61" t="n">
        <v>59.5</v>
      </c>
      <c r="H1298" s="62" t="n">
        <f aca="false">MAX(0,IF(AND(Parameter!$B$21="Ja",ISNUMBER(Y1298)),Y1298,IF(Parameter!$B$20="Jahresanfang 2025 + Export",BS1298+BR1298,BR1298)))</f>
        <v>0</v>
      </c>
      <c r="I1298" s="62" t="n">
        <f aca="false">H1298*G1298</f>
        <v>0</v>
      </c>
      <c r="J1298" s="62" t="n">
        <f aca="false">BU1298*Parameter!$B$18</f>
        <v>0</v>
      </c>
      <c r="K1298" s="63" t="n">
        <v>10</v>
      </c>
      <c r="L1298" s="64" t="n">
        <v>0</v>
      </c>
      <c r="M1298" s="62" t="n">
        <v>0</v>
      </c>
      <c r="N1298" s="62" t="n">
        <v>1</v>
      </c>
      <c r="O1298" s="65" t="n">
        <v>56</v>
      </c>
      <c r="P1298" s="60" t="s">
        <v>210</v>
      </c>
      <c r="Q1298" s="62"/>
      <c r="R1298" s="65" t="n">
        <f aca="false">IF(CA1298=1,0,IFERROR(VLOOKUP(BY1298,'Gebinde-Kategorie'!$A$5:$N$45,13,0)+0,0))</f>
        <v>12</v>
      </c>
      <c r="S1298" s="66"/>
      <c r="T1298" s="67" t="s">
        <v>221</v>
      </c>
      <c r="U1298" s="67"/>
      <c r="V1298" s="67"/>
      <c r="W1298" s="60"/>
      <c r="X1298" s="62"/>
      <c r="Y1298" s="62"/>
      <c r="Z1298" s="60" t="n">
        <v>3</v>
      </c>
      <c r="AA1298" s="60" t="n">
        <f aca="false">IF(A1298="","",IF(AND(Parameter!$B$21="Ja",ISNUMBER(W1298)),W1298,IF(AND(Parameter!$E$27="Ja",ISNUMBER(Z1298),CD1298&lt;&gt;"Nein"),Z1298,IF(CD1298="2+3",IF(ISNUMBER(SEARCH("grosser Artikel",BV1298)),2,IFERROR(VLOOKUP(BY1298,Parameter!$F$35:$G$64,2,0),2)),IF(OR(CD1298="Nein",CD1298=""),"-",CD1298)))))</f>
        <v>3</v>
      </c>
      <c r="AB1298" s="67"/>
      <c r="AC1298" s="68"/>
      <c r="AD1298" s="62" t="n">
        <f aca="false">AW1298</f>
        <v>1</v>
      </c>
      <c r="AE1298" s="62" t="n">
        <f aca="false">MAX(AW1298,H1298)</f>
        <v>1</v>
      </c>
      <c r="AF1298" s="69"/>
      <c r="AG1298" s="62" t="n">
        <f aca="false">IF(LEFT(Cockpit!$C$5,1)="A",H1298,IF(Parameter!$E$30="MAX-Bestand",IF(CI1298=1,CJ1298,IF(LEFT(Cockpit!$C$5,1)="B",AM1298,MAX(AM1298,H1298))),ROUNDUP(AK1298,0)))</f>
        <v>0</v>
      </c>
      <c r="AH1298" s="62" t="n">
        <f aca="false">IF(CA1298=1,0,ROUNDUP(AG1298/BZ1298,0))</f>
        <v>0</v>
      </c>
      <c r="AI1298" s="64" t="n">
        <f aca="false">IF(CR1298&gt;0,CR1298*MAX(1,AG1298/X1298),IF(CA1298=1,IF(AG1298&lt;=0,0,CE1298*MAX(1,IF(H1298&gt;0,AG1298/H1298,1))),IF(R1298&gt;0,AH1298/R1298,0))/MAX(0.1,N(Parameter!$M$21)))</f>
        <v>0</v>
      </c>
      <c r="AJ1298" s="62" t="n">
        <f aca="false">AI1298*CC1298</f>
        <v>0</v>
      </c>
      <c r="AK1298" s="63" t="n">
        <f aca="false">IF(LEFT(Cockpit!$C$5,1)="A",H1298,IF(CI1298=1,(CL1298+CJ1298)/2,IF(LEFT(Cockpit!$C$5,1)="B",(CL1298+AM1298)/2,MAX((CL1298+AM1298)/2,H1298))))</f>
        <v>0</v>
      </c>
      <c r="AL1298" s="62" t="n">
        <f aca="false">AK1298*G1298</f>
        <v>0</v>
      </c>
      <c r="AM1298" s="62" t="n">
        <f aca="false">ROUNDUP(CL1298+MAX(CM1298,2*(J1298/IF(CH1298&gt;0,CH1298,MAX(0.1,N(Cockpit!$C$6)))-CL1298)),0)</f>
        <v>1</v>
      </c>
      <c r="AN1298" s="63" t="n">
        <f aca="false">IF(AJ1298&gt;0,J1298/AJ1298,-1)</f>
        <v>-1</v>
      </c>
      <c r="AO1298" s="63" t="str">
        <f aca="false">IF(AND(OR(CG1298="L1",CG1298="L23",CG1298="LIFT"),AJ1298&gt;0),SUMIFS($AJ$7:$AJ$1843,$CG$7:$CG$1843,CG1298,$AN$7:$AN$1843,"&gt;"&amp;AN1298)+SUMIFS($AJ$7:$AJ$1843,$CG$7:$CG$1843,CG1298,$AN$7:$AN$1843,AN1298,$BX$7:$BX$1843,"&lt;="&amp;BX1298),"")</f>
        <v/>
      </c>
      <c r="AP1298" s="70" t="n">
        <f aca="false">IF(AO1298="",0,MAX(0,MIN(1,(IF(CG1298="L1",Parameter!$H$5,IF(CG1298="L23",Parameter!$H$6+Parameter!$H$7,Parameter!$H$5+Parameter!$H$6+Parameter!$H$7))-(AO1298-AJ1298))/AJ1298)))</f>
        <v>0</v>
      </c>
      <c r="AQ1298" s="62" t="n">
        <f aca="false">IF(LEFT(Cockpit!$I$5,1)="A",H1298,IF(Parameter!$E$30="MAX-Bestand",IF(CI1298=1,CJ1298,IF(LEFT(Cockpit!$I$5,1)="B",AW1298,MAX(AW1298,H1298))),ROUNDUP(AU1298,0)))</f>
        <v>1</v>
      </c>
      <c r="AR1298" s="62" t="n">
        <f aca="false">IF(CA1298=1,0,ROUNDUP(AQ1298/BZ1298,0))</f>
        <v>1</v>
      </c>
      <c r="AS1298" s="64" t="n">
        <f aca="false">IF(CR1298&gt;0,CR1298*MAX(1,AQ1298/X1298),IF(CA1298=1,IF(AQ1298&lt;=0,0,CE1298*MAX(1,IF(H1298&gt;0,AQ1298/H1298,1))),IF(R1298&gt;0,AR1298/R1298,0))/MAX(0.1,N(Parameter!$M$21)))</f>
        <v>0.0833333333333333</v>
      </c>
      <c r="AT1298" s="62" t="n">
        <f aca="false">AS1298*CC1298</f>
        <v>12.0833333333333</v>
      </c>
      <c r="AU1298" s="63" t="n">
        <f aca="false">IF(LEFT(Cockpit!$I$5,1)="A",H1298,IF(CI1298=1,(CL1298+CJ1298)/2,IF(LEFT(Cockpit!$I$5,1)="B",(CL1298+AW1298)/2,MAX((CL1298+AW1298)/2,H1298))))</f>
        <v>0.5</v>
      </c>
      <c r="AV1298" s="62" t="n">
        <f aca="false">AU1298*G1298</f>
        <v>29.75</v>
      </c>
      <c r="AW1298" s="62" t="n">
        <f aca="false">ROUNDUP(CL1298+MAX(CM1298,2*(J1298/IF(CH1298&gt;0,CH1298,MAX(0.1,N(Cockpit!$I$6)))-CL1298)),0)</f>
        <v>1</v>
      </c>
      <c r="AX1298" s="63" t="n">
        <f aca="false">IF(AT1298&gt;0,J1298/AT1298,-1)</f>
        <v>0</v>
      </c>
      <c r="AY1298" s="63" t="n">
        <f aca="false">IF(AND(OR(CG1298="L1",CG1298="L23",CG1298="LIFT"),AT1298&gt;0),SUMIFS($AT$7:$AT$1843,$CG$7:$CG$1843,CG1298,$AX$7:$AX$1843,"&gt;"&amp;AX1298)+SUMIFS($AT$7:$AT$1843,$CG$7:$CG$1843,CG1298,$AX$7:$AX$1843,AX1298,$BX$7:$BX$1843,"&lt;="&amp;BX1298),"")</f>
        <v>35637.0773809524</v>
      </c>
      <c r="AZ1298" s="70" t="n">
        <f aca="false">IF(AY1298="",0,MAX(0,MIN(1,(IF(CG1298="L1",Parameter!$H$5,IF(CG1298="L23",Parameter!$H$6+Parameter!$H$7,Parameter!$H$5+Parameter!$H$6+Parameter!$H$7))-(AY1298-AT1298))/AT1298)))</f>
        <v>1</v>
      </c>
      <c r="BA1298" s="62" t="n">
        <f aca="false">IF(LEFT(Cockpit!$O$5,1)="A",H1298,IF(Parameter!$E$30="MAX-Bestand",IF(CI1298=1,CJ1298,IF(LEFT(Cockpit!$O$5,1)="B",BG1298,MAX(BG1298,H1298))),ROUNDUP(BE1298,0)))</f>
        <v>1</v>
      </c>
      <c r="BB1298" s="62" t="n">
        <f aca="false">IF(CA1298=1,0,ROUNDUP(BA1298/BZ1298,0))</f>
        <v>1</v>
      </c>
      <c r="BC1298" s="64" t="n">
        <f aca="false">IF(CR1298&gt;0,CR1298*MAX(1,BA1298/X1298),IF(CA1298=1,IF(BA1298&lt;=0,0,CE1298*MAX(1,IF(H1298&gt;0,BA1298/H1298,1))),IF(R1298&gt;0,BB1298/R1298,0))/MAX(0.1,N(Parameter!$M$21)))</f>
        <v>0.0833333333333333</v>
      </c>
      <c r="BD1298" s="62" t="n">
        <f aca="false">BC1298*CC1298</f>
        <v>12.0833333333333</v>
      </c>
      <c r="BE1298" s="63" t="n">
        <f aca="false">IF(LEFT(Cockpit!$O$5,1)="A",H1298,IF(CI1298=1,(CL1298+CJ1298)/2,IF(LEFT(Cockpit!$O$5,1)="B",(CL1298+BG1298)/2,MAX((CL1298+BG1298)/2,H1298))))</f>
        <v>0.5</v>
      </c>
      <c r="BF1298" s="62" t="n">
        <f aca="false">BE1298*G1298</f>
        <v>29.75</v>
      </c>
      <c r="BG1298" s="62" t="n">
        <f aca="false">ROUNDUP(CL1298+MAX(CM1298,2*(J1298/IF(CH1298&gt;0,CH1298,MAX(0.1,N(Cockpit!$O$6)))-CL1298)),0)</f>
        <v>1</v>
      </c>
      <c r="BH1298" s="63" t="n">
        <f aca="false">IF(BD1298&gt;0,J1298/BD1298,-1)</f>
        <v>0</v>
      </c>
      <c r="BI1298" s="63" t="n">
        <f aca="false">IF(AND(OR(CG1298="L1",CG1298="L23",CG1298="LIFT"),BD1298&gt;0),SUMIFS($BD$7:$BD$1843,$CG$7:$CG$1843,CG1298,$BH$7:$BH$1843,"&gt;"&amp;BH1298)+SUMIFS($BD$7:$BD$1843,$CG$7:$CG$1843,CG1298,$BH$7:$BH$1843,BH1298,$BX$7:$BX$1843,"&lt;="&amp;BX1298),"")</f>
        <v>29622.3840411001</v>
      </c>
      <c r="BJ1298" s="70" t="n">
        <f aca="false">IF(BI1298="",0,MAX(0,MIN(1,(IF(CG1298="L1",Parameter!$H$5,IF(CG1298="L23",Parameter!$H$6+Parameter!$H$7,Parameter!$H$5+Parameter!$H$6+Parameter!$H$7))-(BI1298-BD1298))/BD1298)))</f>
        <v>1</v>
      </c>
      <c r="BK1298" s="60" t="str">
        <f aca="false">IF(AJ1298&lt;=0,"",IF(CG1298="Aussen","Aussenlager",IF(CG1298="-","Nicht im Lift",IF(AP1298&gt;=1,"Lift",IF(AP1298&lt;=0,"Aussenlager","teilweise")))))</f>
        <v/>
      </c>
      <c r="BL1298" s="60" t="str">
        <f aca="false">IF(AT1298&lt;=0,"",IF(CG1298="Aussen","Aussenlager",IF(CG1298="-","Nicht im Lift",IF(AZ1298&gt;=1,"Lift",IF(AZ1298&lt;=0,"Aussenlager","teilweise")))))</f>
        <v>Lift</v>
      </c>
      <c r="BM1298" s="60" t="str">
        <f aca="false">IF(BD1298&lt;=0,"",IF(CG1298="Aussen","Aussenlager",IF(CG1298="-","Nicht im Lift",IF(BJ1298&gt;=1,"Lift",IF(BJ1298&lt;=0,"Aussenlager","teilweise")))))</f>
        <v>Lift</v>
      </c>
      <c r="BN1298" s="60" t="str">
        <f aca="false">IF(A1298="","",IF(BW1298=1,"Neu; ","")&amp;IF(AND(BW1298=0,BR1298&lt;0),"negativer Bestand (Export "&amp;BR1298&amp;"); ","")&amp;IF(J1298&lt;=0,"Kein Verbrauch; ","")&amp;IF(CR1298&gt;0,"Lift "&amp;W1298&amp;" lt. Liftbericht (Fach "&amp;X1298&amp;" Stk); ",IF(CB1298=1,"Gebinde geschätzt ("&amp;T1298&amp;"); ",IF(CA1298=1,"Lose – Tablare geschätzt; ","")))&amp;IF(H1298&gt;AW1298,"Überbestand "&amp;ROUND(H1298-AW1298,0)&amp;" Stk / CHF "&amp;ROUND((H1298-AW1298)*G1298,0)&amp;"; ","")&amp;IF(AND(CI1298=1,CJ1298&lt;CK1298),"MAX &lt; MB+LG; ","")&amp;IF(AND(CQ1298&gt;0,CP1298*10&gt;CQ1298),"zu hoch für Tablar; ","")&amp;IF(AND(BW1298=0,OR(CI1298=1,AB1298&lt;&gt;"",U1298&lt;&gt;"",V1298&lt;&gt;"",AC1298&lt;&gt;"")),"manuell übersteuert; ","")&amp;IF(AND(CA1298=0,R1298=0),"Gebinde unbekannt / Stellmass fehlt; ","")&amp;IF(AND(CA1298=0,N(V1298)&lt;=0,N(Q1298)&lt;=0),"Menge pro Gebinde fehlt (Ist = 1 Gebinde); ","")&amp;BV1298)</f>
        <v>negativer Bestand (Export -20); Kein Verbrauch; Gebinde geschätzt (Mittel); Menge pro Gebinde fehlt (Ist = 1 Gebinde); </v>
      </c>
      <c r="BO1298" s="60"/>
      <c r="BP1298" s="60"/>
      <c r="BQ1298" s="67"/>
      <c r="BR1298" s="62" t="n">
        <v>-20</v>
      </c>
      <c r="BS1298" s="62" t="n">
        <v>20</v>
      </c>
      <c r="BT1298" s="61" t="n">
        <v>-1190</v>
      </c>
      <c r="BU1298" s="62" t="n">
        <v>0</v>
      </c>
      <c r="BV1298" s="60"/>
      <c r="BW1298" s="65" t="n">
        <v>0</v>
      </c>
      <c r="BX1298" s="65" t="n">
        <v>1298</v>
      </c>
      <c r="BY1298" s="60" t="str">
        <f aca="false">IF(U1298&lt;&gt;"",UPPER(TRIM(U1298)),IF(CB1298=1,UPPER(VLOOKUP(T1298,Parameter!$I$27:$K$29,2,0)),IF(P1298="","LOSE",P1298)))</f>
        <v>S61</v>
      </c>
      <c r="BZ1298" s="62" t="n">
        <f aca="false">IF(BY1298="LOSE",1,IF(N(V1298)&gt;0,V1298,IF(CB1298=1,MAX(1,N(VLOOKUP(T1298,Parameter!$I$27:$K$29,3,0)),H1298,N(N1298)),IF(N(Q1298)&gt;0,Q1298,MAX(1,H1298)))))</f>
        <v>4</v>
      </c>
      <c r="CA1298" s="65" t="n">
        <f aca="false">IF(BY1298="LOSE",1,0)</f>
        <v>0</v>
      </c>
      <c r="CB1298" s="65" t="n">
        <f aca="false">IF(AND(U1298="",OR(P1298="",P1298="LOSE"),T1298&lt;&gt;"",N(S1298)&lt;=0,ISNUMBER(MATCH(T1298,Parameter!$I$27:$I$29,0))),1,0)</f>
        <v>1</v>
      </c>
      <c r="CC1298" s="65" t="n">
        <f aca="false">IF(CR1298&gt;0,INDEX(Parameter!$H$5:$H$7,W1298)/INDEX(Parameter!$E$5:$E$7,W1298),IF(AND(CA1298=0,N(IFERROR(VLOOKUP(BY1298,'Gebinde-Kategorie'!$A$5:$N$45,14,0),0))&gt;0),VLOOKUP(BY1298,'Gebinde-Kategorie'!$A$5:$N$45,14,0)*10+Parameter!$M$23,Parameter!$M$24))</f>
        <v>145</v>
      </c>
      <c r="CD1298" s="60" t="str">
        <f aca="false">IF(AND(Parameter!$B$19="Ja",E1298&lt;&gt;"",ISNUMBER(MATCH(E1298,Parameter!$I$35:$I$52,0))),VLOOKUP(E1298,Parameter!$I$35:$J$52,2,0),IFERROR(VLOOKUP(D1298,Parameter!$A$35:$C$64,2,0),"Nein"))</f>
        <v>2+3</v>
      </c>
      <c r="CE1298" s="64" t="n">
        <f aca="false">IF(CA1298=0,0,IF(N(S1298)&gt;0,S1298,IFERROR(VLOOKUP(D1298,Parameter!$A$35:$C$64,3,0)+0,0)))</f>
        <v>0</v>
      </c>
      <c r="CF1298" s="60" t="n">
        <f aca="false">IF(AB1298&lt;&gt;"",AB1298,AA1298)</f>
        <v>3</v>
      </c>
      <c r="CG1298" s="60" t="str">
        <f aca="false">IF(OR(CF1298=1,CF1298=2,CF1298=3),IF(Parameter!$E$27="Ja","LIFT",IF(CF1298=1,"L1","L23")),IF(CF1298="Aussen","Aussen","-"))</f>
        <v>LIFT</v>
      </c>
      <c r="CH1298" s="71" t="n">
        <f aca="false">IF(N(AC1298)&gt;0,AC1298,0)</f>
        <v>0</v>
      </c>
      <c r="CI1298" s="65" t="n">
        <f aca="false">IF(ISNUMBER(AF1298),1,0)</f>
        <v>0</v>
      </c>
      <c r="CJ1298" s="62" t="n">
        <f aca="false">N(AF1298)</f>
        <v>0</v>
      </c>
      <c r="CK1298" s="62" t="n">
        <f aca="false">N(M1298)+N(N1298)</f>
        <v>1</v>
      </c>
      <c r="CL1298" s="62" t="n">
        <f aca="false">N(M1298)</f>
        <v>0</v>
      </c>
      <c r="CM1298" s="62" t="n">
        <f aca="false">N(N1298)</f>
        <v>1</v>
      </c>
      <c r="CN1298" s="62" t="n">
        <f aca="false">ROUNDUP(H1298/BZ1298,0)</f>
        <v>0</v>
      </c>
      <c r="CO1298" s="62" t="n">
        <f aca="false">ROUNDUP(CJ1298/BZ1298,0)</f>
        <v>0</v>
      </c>
      <c r="CP1298" s="65" t="n">
        <f aca="false">IF(CA1298=1,0,IFERROR(VLOOKUP(BY1298,'Gebinde-Kategorie'!$A$5:$N$45,5,0)+0,0))</f>
        <v>11</v>
      </c>
      <c r="CQ1298" s="65" t="n">
        <f aca="false">IFERROR(IF(OR(CF1298=1,CF1298=2,CF1298=3),N(INDEX(Parameter!$I$5:$I$7,CF1298)),0),0)</f>
        <v>0</v>
      </c>
      <c r="CR1298" s="64" t="n">
        <f aca="false">IF(AND(Parameter!$B$21="Ja",ISNUMBER(W1298),N(X1298)&gt;0),IFERROR(N(INDEX(Parameter!$L$5:$L$7,W1298))*INDEX(Parameter!$E$5:$E$7,W1298)*X1298/SUMIFS($X$7:$X$1843,$W$7:$W$1843,W1298),0),0)</f>
        <v>0</v>
      </c>
      <c r="CS1298" s="62" t="str">
        <f aca="false">IF(AND(OR(CG1298="L1",CG1298="L23",CG1298="LIFT"),H1298&gt;0),CC1298*IF(CR1298&gt;0,CR1298*MAX(1,H1298/X1298),IF(CA1298=1,CE1298,IF(R1298&gt;0,CN1298/R1298,0))/MAX(0.1,N(Parameter!$M$21))),"")</f>
        <v/>
      </c>
      <c r="CT1298" s="64" t="str">
        <f aca="false">IF(CS1298="","",J1298/H1298)</f>
        <v/>
      </c>
      <c r="CU1298" s="62" t="str">
        <f aca="false">IF(CS1298="","",H1298*G1298)</f>
        <v/>
      </c>
      <c r="CV1298" s="63" t="str">
        <f aca="false">IF(CS1298="","",(CL1298+ROUNDUP(CL1298+MAX(CM1298,2*(J1298/MAX(0.1,N(Einkauf!$C$6))-CL1298)),0))/2)</f>
        <v/>
      </c>
      <c r="CW1298" s="62" t="str">
        <f aca="false">IF(CS1298="","",MAX(0,H1298-CV1298)*G1298)</f>
        <v/>
      </c>
      <c r="CX1298" s="62" t="str">
        <f aca="false">IF(CS1298="","",CS1298*MAX(0,1-CV1298/H1298))</f>
        <v/>
      </c>
      <c r="CY1298" s="64" t="str">
        <f aca="false">IF(CS1298="","",PERCENTRANK($CS$7:$CS$1843,CS1298)+PERCENTRANK($CU$7:$CU$1843,CU1298)+1-PERCENTRANK($CT$7:$CT$1843,CT1298))</f>
        <v/>
      </c>
      <c r="CZ1298" s="72" t="str">
        <f aca="false">IF(CS1298="","",CHOOSE(MATCH(Einkauf!$C$5,Parameter!$G$23:$G$27,0),CY1298,CS1298,CU1298,-CT1298,CW1298)+ROW()/1000000000)</f>
        <v/>
      </c>
    </row>
    <row r="1299" customFormat="false" ht="15" hidden="false" customHeight="false" outlineLevel="0" collapsed="false">
      <c r="A1299" s="60" t="s">
        <v>2352</v>
      </c>
      <c r="B1299" s="60" t="s">
        <v>447</v>
      </c>
      <c r="C1299" s="60" t="s">
        <v>206</v>
      </c>
      <c r="D1299" s="60" t="s">
        <v>215</v>
      </c>
      <c r="E1299" s="60" t="s">
        <v>227</v>
      </c>
      <c r="F1299" s="60" t="s">
        <v>260</v>
      </c>
      <c r="G1299" s="61" t="n">
        <v>1.59</v>
      </c>
      <c r="H1299" s="62" t="n">
        <f aca="false">MAX(0,IF(AND(Parameter!$B$21="Ja",ISNUMBER(Y1299)),Y1299,IF(Parameter!$B$20="Jahresanfang 2025 + Export",BS1299+BR1299,BR1299)))</f>
        <v>1109</v>
      </c>
      <c r="I1299" s="62" t="n">
        <f aca="false">H1299*G1299</f>
        <v>1763.31</v>
      </c>
      <c r="J1299" s="62" t="n">
        <f aca="false">BU1299*Parameter!$B$18</f>
        <v>5534</v>
      </c>
      <c r="K1299" s="63" t="n">
        <v>1501.5</v>
      </c>
      <c r="L1299" s="64" t="n">
        <v>3.68564768564769</v>
      </c>
      <c r="M1299" s="62" t="n">
        <v>322</v>
      </c>
      <c r="N1299" s="62" t="n">
        <v>600</v>
      </c>
      <c r="O1299" s="65" t="n">
        <v>21</v>
      </c>
      <c r="P1299" s="60" t="s">
        <v>268</v>
      </c>
      <c r="Q1299" s="62" t="n">
        <v>300</v>
      </c>
      <c r="R1299" s="65" t="n">
        <f aca="false">IF(CA1299=1,0,IFERROR(VLOOKUP(BY1299,'Gebinde-Kategorie'!$A$5:$N$45,13,0)+0,0))</f>
        <v>12</v>
      </c>
      <c r="S1299" s="66"/>
      <c r="T1299" s="67"/>
      <c r="U1299" s="67"/>
      <c r="V1299" s="67"/>
      <c r="W1299" s="60"/>
      <c r="X1299" s="62"/>
      <c r="Y1299" s="62"/>
      <c r="Z1299" s="60" t="n">
        <v>3</v>
      </c>
      <c r="AA1299" s="60" t="n">
        <f aca="false">IF(A1299="","",IF(AND(Parameter!$B$21="Ja",ISNUMBER(W1299)),W1299,IF(AND(Parameter!$E$27="Ja",ISNUMBER(Z1299),CD1299&lt;&gt;"Nein"),Z1299,IF(CD1299="2+3",IF(ISNUMBER(SEARCH("grosser Artikel",BV1299)),2,IFERROR(VLOOKUP(BY1299,Parameter!$F$35:$G$64,2,0),2)),IF(OR(CD1299="Nein",CD1299=""),"-",CD1299)))))</f>
        <v>3</v>
      </c>
      <c r="AB1299" s="67"/>
      <c r="AC1299" s="68"/>
      <c r="AD1299" s="62" t="n">
        <f aca="false">AW1299</f>
        <v>3368</v>
      </c>
      <c r="AE1299" s="62" t="n">
        <f aca="false">MAX(AW1299,H1299)</f>
        <v>3368</v>
      </c>
      <c r="AF1299" s="69"/>
      <c r="AG1299" s="62" t="n">
        <f aca="false">IF(LEFT(Cockpit!$C$5,1)="A",H1299,IF(Parameter!$E$30="MAX-Bestand",IF(CI1299=1,CJ1299,IF(LEFT(Cockpit!$C$5,1)="B",AM1299,MAX(AM1299,H1299))),ROUNDUP(AK1299,0)))</f>
        <v>1109</v>
      </c>
      <c r="AH1299" s="62" t="n">
        <f aca="false">IF(CA1299=1,0,ROUNDUP(AG1299/BZ1299,0))</f>
        <v>4</v>
      </c>
      <c r="AI1299" s="64" t="n">
        <f aca="false">IF(CR1299&gt;0,CR1299*MAX(1,AG1299/X1299),IF(CA1299=1,IF(AG1299&lt;=0,0,CE1299*MAX(1,IF(H1299&gt;0,AG1299/H1299,1))),IF(R1299&gt;0,AH1299/R1299,0))/MAX(0.1,N(Parameter!$M$21)))</f>
        <v>0.333333333333333</v>
      </c>
      <c r="AJ1299" s="62" t="n">
        <f aca="false">AI1299*CC1299</f>
        <v>115</v>
      </c>
      <c r="AK1299" s="63" t="n">
        <f aca="false">IF(LEFT(Cockpit!$C$5,1)="A",H1299,IF(CI1299=1,(CL1299+CJ1299)/2,IF(LEFT(Cockpit!$C$5,1)="B",(CL1299+AM1299)/2,MAX((CL1299+AM1299)/2,H1299))))</f>
        <v>1109</v>
      </c>
      <c r="AL1299" s="62" t="n">
        <f aca="false">AK1299*G1299</f>
        <v>1763.31</v>
      </c>
      <c r="AM1299" s="62" t="n">
        <f aca="false">ROUNDUP(CL1299+MAX(CM1299,2*(J1299/IF(CH1299&gt;0,CH1299,MAX(0.1,N(Cockpit!$C$6)))-CL1299)),0)</f>
        <v>3368</v>
      </c>
      <c r="AN1299" s="63" t="n">
        <f aca="false">IF(AJ1299&gt;0,J1299/AJ1299,-1)</f>
        <v>48.1217391304348</v>
      </c>
      <c r="AO1299" s="63" t="n">
        <f aca="false">IF(AND(OR(CG1299="L1",CG1299="L23",CG1299="LIFT"),AJ1299&gt;0),SUMIFS($AJ$7:$AJ$1843,$CG$7:$CG$1843,CG1299,$AN$7:$AN$1843,"&gt;"&amp;AN1299)+SUMIFS($AJ$7:$AJ$1843,$CG$7:$CG$1843,CG1299,$AN$7:$AN$1843,AN1299,$BX$7:$BX$1843,"&lt;="&amp;BX1299),"")</f>
        <v>1142.98214285714</v>
      </c>
      <c r="AP1299" s="70" t="n">
        <f aca="false">IF(AO1299="",0,MAX(0,MIN(1,(IF(CG1299="L1",Parameter!$H$5,IF(CG1299="L23",Parameter!$H$6+Parameter!$H$7,Parameter!$H$5+Parameter!$H$6+Parameter!$H$7))-(AO1299-AJ1299))/AJ1299)))</f>
        <v>1</v>
      </c>
      <c r="AQ1299" s="62" t="n">
        <f aca="false">IF(LEFT(Cockpit!$I$5,1)="A",H1299,IF(Parameter!$E$30="MAX-Bestand",IF(CI1299=1,CJ1299,IF(LEFT(Cockpit!$I$5,1)="B",AW1299,MAX(AW1299,H1299))),ROUNDUP(AU1299,0)))</f>
        <v>1845</v>
      </c>
      <c r="AR1299" s="62" t="n">
        <f aca="false">IF(CA1299=1,0,ROUNDUP(AQ1299/BZ1299,0))</f>
        <v>7</v>
      </c>
      <c r="AS1299" s="64" t="n">
        <f aca="false">IF(CR1299&gt;0,CR1299*MAX(1,AQ1299/X1299),IF(CA1299=1,IF(AQ1299&lt;=0,0,CE1299*MAX(1,IF(H1299&gt;0,AQ1299/H1299,1))),IF(R1299&gt;0,AR1299/R1299,0))/MAX(0.1,N(Parameter!$M$21)))</f>
        <v>0.583333333333333</v>
      </c>
      <c r="AT1299" s="62" t="n">
        <f aca="false">AS1299*CC1299</f>
        <v>201.25</v>
      </c>
      <c r="AU1299" s="63" t="n">
        <f aca="false">IF(LEFT(Cockpit!$I$5,1)="A",H1299,IF(CI1299=1,(CL1299+CJ1299)/2,IF(LEFT(Cockpit!$I$5,1)="B",(CL1299+AW1299)/2,MAX((CL1299+AW1299)/2,H1299))))</f>
        <v>1845</v>
      </c>
      <c r="AV1299" s="62" t="n">
        <f aca="false">AU1299*G1299</f>
        <v>2933.55</v>
      </c>
      <c r="AW1299" s="62" t="n">
        <f aca="false">ROUNDUP(CL1299+MAX(CM1299,2*(J1299/IF(CH1299&gt;0,CH1299,MAX(0.1,N(Cockpit!$I$6)))-CL1299)),0)</f>
        <v>3368</v>
      </c>
      <c r="AX1299" s="63" t="n">
        <f aca="false">IF(AT1299&gt;0,J1299/AT1299,-1)</f>
        <v>27.4981366459627</v>
      </c>
      <c r="AY1299" s="63" t="n">
        <f aca="false">IF(AND(OR(CG1299="L1",CG1299="L23",CG1299="LIFT"),AT1299&gt;0),SUMIFS($AT$7:$AT$1843,$CG$7:$CG$1843,CG1299,$AX$7:$AX$1843,"&gt;"&amp;AX1299)+SUMIFS($AT$7:$AT$1843,$CG$7:$CG$1843,CG1299,$AX$7:$AX$1843,AX1299,$BX$7:$BX$1843,"&lt;="&amp;BX1299),"")</f>
        <v>2121.41804029304</v>
      </c>
      <c r="AZ1299" s="70" t="n">
        <f aca="false">IF(AY1299="",0,MAX(0,MIN(1,(IF(CG1299="L1",Parameter!$H$5,IF(CG1299="L23",Parameter!$H$6+Parameter!$H$7,Parameter!$H$5+Parameter!$H$6+Parameter!$H$7))-(AY1299-AT1299))/AT1299)))</f>
        <v>1</v>
      </c>
      <c r="BA1299" s="62" t="n">
        <f aca="false">IF(LEFT(Cockpit!$O$5,1)="A",H1299,IF(Parameter!$E$30="MAX-Bestand",IF(CI1299=1,CJ1299,IF(LEFT(Cockpit!$O$5,1)="B",BG1299,MAX(BG1299,H1299))),ROUNDUP(BE1299,0)))</f>
        <v>1384</v>
      </c>
      <c r="BB1299" s="62" t="n">
        <f aca="false">IF(CA1299=1,0,ROUNDUP(BA1299/BZ1299,0))</f>
        <v>5</v>
      </c>
      <c r="BC1299" s="64" t="n">
        <f aca="false">IF(CR1299&gt;0,CR1299*MAX(1,BA1299/X1299),IF(CA1299=1,IF(BA1299&lt;=0,0,CE1299*MAX(1,IF(H1299&gt;0,BA1299/H1299,1))),IF(R1299&gt;0,BB1299/R1299,0))/MAX(0.1,N(Parameter!$M$21)))</f>
        <v>0.416666666666667</v>
      </c>
      <c r="BD1299" s="62" t="n">
        <f aca="false">BC1299*CC1299</f>
        <v>143.75</v>
      </c>
      <c r="BE1299" s="63" t="n">
        <f aca="false">IF(LEFT(Cockpit!$O$5,1)="A",H1299,IF(CI1299=1,(CL1299+CJ1299)/2,IF(LEFT(Cockpit!$O$5,1)="B",(CL1299+BG1299)/2,MAX((CL1299+BG1299)/2,H1299))))</f>
        <v>1383.5</v>
      </c>
      <c r="BF1299" s="62" t="n">
        <f aca="false">BE1299*G1299</f>
        <v>2199.765</v>
      </c>
      <c r="BG1299" s="62" t="n">
        <f aca="false">ROUNDUP(CL1299+MAX(CM1299,2*(J1299/IF(CH1299&gt;0,CH1299,MAX(0.1,N(Cockpit!$O$6)))-CL1299)),0)</f>
        <v>2445</v>
      </c>
      <c r="BH1299" s="63" t="n">
        <f aca="false">IF(BD1299&gt;0,J1299/BD1299,-1)</f>
        <v>38.4973913043478</v>
      </c>
      <c r="BI1299" s="63" t="n">
        <f aca="false">IF(AND(OR(CG1299="L1",CG1299="L23",CG1299="LIFT"),BD1299&gt;0),SUMIFS($BD$7:$BD$1843,$CG$7:$CG$1843,CG1299,$BH$7:$BH$1843,"&gt;"&amp;BH1299)+SUMIFS($BD$7:$BD$1843,$CG$7:$CG$1843,CG1299,$BH$7:$BH$1843,BH1299,$BX$7:$BX$1843,"&lt;="&amp;BX1299),"")</f>
        <v>1473.10073260073</v>
      </c>
      <c r="BJ1299" s="70" t="n">
        <f aca="false">IF(BI1299="",0,MAX(0,MIN(1,(IF(CG1299="L1",Parameter!$H$5,IF(CG1299="L23",Parameter!$H$6+Parameter!$H$7,Parameter!$H$5+Parameter!$H$6+Parameter!$H$7))-(BI1299-BD1299))/BD1299)))</f>
        <v>1</v>
      </c>
      <c r="BK1299" s="60" t="str">
        <f aca="false">IF(AJ1299&lt;=0,"",IF(CG1299="Aussen","Aussenlager",IF(CG1299="-","Nicht im Lift",IF(AP1299&gt;=1,"Lift",IF(AP1299&lt;=0,"Aussenlager","teilweise")))))</f>
        <v>Lift</v>
      </c>
      <c r="BL1299" s="60" t="str">
        <f aca="false">IF(AT1299&lt;=0,"",IF(CG1299="Aussen","Aussenlager",IF(CG1299="-","Nicht im Lift",IF(AZ1299&gt;=1,"Lift",IF(AZ1299&lt;=0,"Aussenlager","teilweise")))))</f>
        <v>Lift</v>
      </c>
      <c r="BM1299" s="60" t="str">
        <f aca="false">IF(BD1299&lt;=0,"",IF(CG1299="Aussen","Aussenlager",IF(CG1299="-","Nicht im Lift",IF(BJ1299&gt;=1,"Lift",IF(BJ1299&lt;=0,"Aussenlager","teilweise")))))</f>
        <v>Lift</v>
      </c>
      <c r="BN1299" s="60" t="str">
        <f aca="false">IF(A1299="","",IF(BW1299=1,"Neu; ","")&amp;IF(AND(BW1299=0,BR1299&lt;0),"negativer Bestand (Export "&amp;BR1299&amp;"); ","")&amp;IF(J1299&lt;=0,"Kein Verbrauch; ","")&amp;IF(CR1299&gt;0,"Lift "&amp;W1299&amp;" lt. Liftbericht (Fach "&amp;X1299&amp;" Stk); ",IF(CB1299=1,"Gebinde geschätzt ("&amp;T1299&amp;"); ",IF(CA1299=1,"Lose – Tablare geschätzt; ","")))&amp;IF(H1299&gt;AW1299,"Überbestand "&amp;ROUND(H1299-AW1299,0)&amp;" Stk / CHF "&amp;ROUND((H1299-AW1299)*G1299,0)&amp;"; ","")&amp;IF(AND(CI1299=1,CJ1299&lt;CK1299),"MAX &lt; MB+LG; ","")&amp;IF(AND(CQ1299&gt;0,CP1299*10&gt;CQ1299),"zu hoch für Tablar; ","")&amp;IF(AND(BW1299=0,OR(CI1299=1,AB1299&lt;&gt;"",U1299&lt;&gt;"",V1299&lt;&gt;"",AC1299&lt;&gt;"")),"manuell übersteuert; ","")&amp;IF(AND(CA1299=0,R1299=0),"Gebinde unbekannt / Stellmass fehlt; ","")&amp;IF(AND(CA1299=0,N(V1299)&lt;=0,N(Q1299)&lt;=0),"Menge pro Gebinde fehlt (Ist = 1 Gebinde); ","")&amp;BV1299)</f>
        <v>negativer Bestand (Export -641); grosse  Artikelmenge</v>
      </c>
      <c r="BO1299" s="60"/>
      <c r="BP1299" s="60"/>
      <c r="BQ1299" s="67"/>
      <c r="BR1299" s="62" t="n">
        <v>-641</v>
      </c>
      <c r="BS1299" s="62" t="n">
        <v>1750</v>
      </c>
      <c r="BT1299" s="61" t="n">
        <v>-1191.49</v>
      </c>
      <c r="BU1299" s="62" t="n">
        <v>5534</v>
      </c>
      <c r="BV1299" s="60" t="s">
        <v>1649</v>
      </c>
      <c r="BW1299" s="65" t="n">
        <v>0</v>
      </c>
      <c r="BX1299" s="65" t="n">
        <v>1299</v>
      </c>
      <c r="BY1299" s="60" t="str">
        <f aca="false">IF(U1299&lt;&gt;"",UPPER(TRIM(U1299)),IF(CB1299=1,UPPER(VLOOKUP(T1299,Parameter!$I$27:$K$29,2,0)),IF(P1299="","LOSE",P1299)))</f>
        <v>S63</v>
      </c>
      <c r="BZ1299" s="62" t="n">
        <f aca="false">IF(BY1299="LOSE",1,IF(N(V1299)&gt;0,V1299,IF(CB1299=1,MAX(1,N(VLOOKUP(T1299,Parameter!$I$27:$K$29,3,0)),H1299,N(N1299)),IF(N(Q1299)&gt;0,Q1299,MAX(1,H1299)))))</f>
        <v>300</v>
      </c>
      <c r="CA1299" s="65" t="n">
        <f aca="false">IF(BY1299="LOSE",1,0)</f>
        <v>0</v>
      </c>
      <c r="CB1299" s="65" t="n">
        <f aca="false">IF(AND(U1299="",OR(P1299="",P1299="LOSE"),T1299&lt;&gt;"",N(S1299)&lt;=0,ISNUMBER(MATCH(T1299,Parameter!$I$27:$I$29,0))),1,0)</f>
        <v>0</v>
      </c>
      <c r="CC1299" s="65" t="n">
        <f aca="false">IF(CR1299&gt;0,INDEX(Parameter!$H$5:$H$7,W1299)/INDEX(Parameter!$E$5:$E$7,W1299),IF(AND(CA1299=0,N(IFERROR(VLOOKUP(BY1299,'Gebinde-Kategorie'!$A$5:$N$45,14,0),0))&gt;0),VLOOKUP(BY1299,'Gebinde-Kategorie'!$A$5:$N$45,14,0)*10+Parameter!$M$23,Parameter!$M$24))</f>
        <v>345</v>
      </c>
      <c r="CD1299" s="60" t="str">
        <f aca="false">IF(AND(Parameter!$B$19="Ja",E1299&lt;&gt;"",ISNUMBER(MATCH(E1299,Parameter!$I$35:$I$52,0))),VLOOKUP(E1299,Parameter!$I$35:$J$52,2,0),IFERROR(VLOOKUP(D1299,Parameter!$A$35:$C$64,2,0),"Nein"))</f>
        <v>2+3</v>
      </c>
      <c r="CE1299" s="64" t="n">
        <f aca="false">IF(CA1299=0,0,IF(N(S1299)&gt;0,S1299,IFERROR(VLOOKUP(D1299,Parameter!$A$35:$C$64,3,0)+0,0)))</f>
        <v>0</v>
      </c>
      <c r="CF1299" s="60" t="n">
        <f aca="false">IF(AB1299&lt;&gt;"",AB1299,AA1299)</f>
        <v>3</v>
      </c>
      <c r="CG1299" s="60" t="str">
        <f aca="false">IF(OR(CF1299=1,CF1299=2,CF1299=3),IF(Parameter!$E$27="Ja","LIFT",IF(CF1299=1,"L1","L23")),IF(CF1299="Aussen","Aussen","-"))</f>
        <v>LIFT</v>
      </c>
      <c r="CH1299" s="71" t="n">
        <f aca="false">IF(N(AC1299)&gt;0,AC1299,0)</f>
        <v>0</v>
      </c>
      <c r="CI1299" s="65" t="n">
        <f aca="false">IF(ISNUMBER(AF1299),1,0)</f>
        <v>0</v>
      </c>
      <c r="CJ1299" s="62" t="n">
        <f aca="false">N(AF1299)</f>
        <v>0</v>
      </c>
      <c r="CK1299" s="62" t="n">
        <f aca="false">N(M1299)+N(N1299)</f>
        <v>922</v>
      </c>
      <c r="CL1299" s="62" t="n">
        <f aca="false">N(M1299)</f>
        <v>322</v>
      </c>
      <c r="CM1299" s="62" t="n">
        <f aca="false">N(N1299)</f>
        <v>600</v>
      </c>
      <c r="CN1299" s="62" t="n">
        <f aca="false">ROUNDUP(H1299/BZ1299,0)</f>
        <v>4</v>
      </c>
      <c r="CO1299" s="62" t="n">
        <f aca="false">ROUNDUP(CJ1299/BZ1299,0)</f>
        <v>0</v>
      </c>
      <c r="CP1299" s="65" t="n">
        <f aca="false">IF(CA1299=1,0,IFERROR(VLOOKUP(BY1299,'Gebinde-Kategorie'!$A$5:$N$45,5,0)+0,0))</f>
        <v>31</v>
      </c>
      <c r="CQ1299" s="65" t="n">
        <f aca="false">IFERROR(IF(OR(CF1299=1,CF1299=2,CF1299=3),N(INDEX(Parameter!$I$5:$I$7,CF1299)),0),0)</f>
        <v>0</v>
      </c>
      <c r="CR1299" s="64" t="n">
        <f aca="false">IF(AND(Parameter!$B$21="Ja",ISNUMBER(W1299),N(X1299)&gt;0),IFERROR(N(INDEX(Parameter!$L$5:$L$7,W1299))*INDEX(Parameter!$E$5:$E$7,W1299)*X1299/SUMIFS($X$7:$X$1843,$W$7:$W$1843,W1299),0),0)</f>
        <v>0</v>
      </c>
      <c r="CS1299" s="62" t="n">
        <f aca="false">IF(AND(OR(CG1299="L1",CG1299="L23",CG1299="LIFT"),H1299&gt;0),CC1299*IF(CR1299&gt;0,CR1299*MAX(1,H1299/X1299),IF(CA1299=1,CE1299,IF(R1299&gt;0,CN1299/R1299,0))/MAX(0.1,N(Parameter!$M$21))),"")</f>
        <v>115</v>
      </c>
      <c r="CT1299" s="64" t="n">
        <f aca="false">IF(CS1299="","",J1299/H1299)</f>
        <v>4.99008115419297</v>
      </c>
      <c r="CU1299" s="62" t="n">
        <f aca="false">IF(CS1299="","",H1299*G1299)</f>
        <v>1763.31</v>
      </c>
      <c r="CV1299" s="63" t="n">
        <f aca="false">IF(CS1299="","",(CL1299+ROUNDUP(CL1299+MAX(CM1299,2*(J1299/MAX(0.1,N(Einkauf!$C$6))-CL1299)),0))/2)</f>
        <v>1383.5</v>
      </c>
      <c r="CW1299" s="62" t="n">
        <f aca="false">IF(CS1299="","",MAX(0,H1299-CV1299)*G1299)</f>
        <v>0</v>
      </c>
      <c r="CX1299" s="62" t="n">
        <f aca="false">IF(CS1299="","",CS1299*MAX(0,1-CV1299/H1299))</f>
        <v>0</v>
      </c>
      <c r="CY1299" s="64" t="n">
        <f aca="false">IF(CS1299="","",PERCENTRANK($CS$7:$CS$1843,CS1299)+PERCENTRANK($CU$7:$CU$1843,CU1299)+1-PERCENTRANK($CT$7:$CT$1843,CT1299))</f>
        <v>1.75</v>
      </c>
      <c r="CZ1299" s="72" t="n">
        <f aca="false">IF(CS1299="","",CHOOSE(MATCH(Einkauf!$C$5,Parameter!$G$23:$G$27,0),CY1299,CS1299,CU1299,-CT1299,CW1299)+ROW()/1000000000)</f>
        <v>1.750001299</v>
      </c>
    </row>
    <row r="1300" customFormat="false" ht="15" hidden="false" customHeight="false" outlineLevel="0" collapsed="false">
      <c r="A1300" s="60" t="s">
        <v>2353</v>
      </c>
      <c r="B1300" s="60" t="s">
        <v>2354</v>
      </c>
      <c r="C1300" s="60" t="s">
        <v>206</v>
      </c>
      <c r="D1300" s="60" t="s">
        <v>215</v>
      </c>
      <c r="E1300" s="60" t="s">
        <v>412</v>
      </c>
      <c r="F1300" s="60" t="s">
        <v>260</v>
      </c>
      <c r="G1300" s="61" t="n">
        <v>659.54</v>
      </c>
      <c r="H1300" s="62" t="n">
        <f aca="false">MAX(0,IF(AND(Parameter!$B$21="Ja",ISNUMBER(Y1300)),Y1300,IF(Parameter!$B$20="Jahresanfang 2025 + Export",BS1300+BR1300,BR1300)))</f>
        <v>0</v>
      </c>
      <c r="I1300" s="62" t="n">
        <f aca="false">H1300*G1300</f>
        <v>0</v>
      </c>
      <c r="J1300" s="62" t="n">
        <f aca="false">BU1300*Parameter!$B$18</f>
        <v>8</v>
      </c>
      <c r="K1300" s="63" t="n">
        <v>1</v>
      </c>
      <c r="L1300" s="64" t="n">
        <v>8</v>
      </c>
      <c r="M1300" s="62" t="n">
        <v>0</v>
      </c>
      <c r="N1300" s="62" t="n">
        <v>2</v>
      </c>
      <c r="O1300" s="65" t="n">
        <v>14</v>
      </c>
      <c r="P1300" s="60" t="s">
        <v>210</v>
      </c>
      <c r="Q1300" s="62"/>
      <c r="R1300" s="65" t="n">
        <f aca="false">IF(CA1300=1,0,IFERROR(VLOOKUP(BY1300,'Gebinde-Kategorie'!$A$5:$N$45,13,0)+0,0))</f>
        <v>4</v>
      </c>
      <c r="S1300" s="66"/>
      <c r="T1300" s="67" t="s">
        <v>231</v>
      </c>
      <c r="U1300" s="67"/>
      <c r="V1300" s="67"/>
      <c r="W1300" s="60"/>
      <c r="X1300" s="62"/>
      <c r="Y1300" s="62"/>
      <c r="Z1300" s="60"/>
      <c r="AA1300" s="60" t="str">
        <f aca="false">IF(A1300="","",IF(AND(Parameter!$B$21="Ja",ISNUMBER(W1300)),W1300,IF(AND(Parameter!$E$27="Ja",ISNUMBER(Z1300),CD1300&lt;&gt;"Nein"),Z1300,IF(CD1300="2+3",IF(ISNUMBER(SEARCH("grosser Artikel",BV1300)),2,IFERROR(VLOOKUP(BY1300,Parameter!$F$35:$G$64,2,0),2)),IF(OR(CD1300="Nein",CD1300=""),"-",CD1300)))))</f>
        <v>-</v>
      </c>
      <c r="AB1300" s="67"/>
      <c r="AC1300" s="68"/>
      <c r="AD1300" s="62" t="n">
        <f aca="false">AW1300</f>
        <v>6</v>
      </c>
      <c r="AE1300" s="62" t="n">
        <f aca="false">MAX(AW1300,H1300)</f>
        <v>6</v>
      </c>
      <c r="AF1300" s="69"/>
      <c r="AG1300" s="62" t="n">
        <f aca="false">IF(LEFT(Cockpit!$C$5,1)="A",H1300,IF(Parameter!$E$30="MAX-Bestand",IF(CI1300=1,CJ1300,IF(LEFT(Cockpit!$C$5,1)="B",AM1300,MAX(AM1300,H1300))),ROUNDUP(AK1300,0)))</f>
        <v>0</v>
      </c>
      <c r="AH1300" s="62" t="n">
        <f aca="false">IF(CA1300=1,0,ROUNDUP(AG1300/BZ1300,0))</f>
        <v>0</v>
      </c>
      <c r="AI1300" s="64" t="n">
        <f aca="false">IF(CR1300&gt;0,CR1300*MAX(1,AG1300/X1300),IF(CA1300=1,IF(AG1300&lt;=0,0,CE1300*MAX(1,IF(H1300&gt;0,AG1300/H1300,1))),IF(R1300&gt;0,AH1300/R1300,0))/MAX(0.1,N(Parameter!$M$21)))</f>
        <v>0</v>
      </c>
      <c r="AJ1300" s="62" t="n">
        <f aca="false">AI1300*CC1300</f>
        <v>0</v>
      </c>
      <c r="AK1300" s="63" t="n">
        <f aca="false">IF(LEFT(Cockpit!$C$5,1)="A",H1300,IF(CI1300=1,(CL1300+CJ1300)/2,IF(LEFT(Cockpit!$C$5,1)="B",(CL1300+AM1300)/2,MAX((CL1300+AM1300)/2,H1300))))</f>
        <v>0</v>
      </c>
      <c r="AL1300" s="62" t="n">
        <f aca="false">AK1300*G1300</f>
        <v>0</v>
      </c>
      <c r="AM1300" s="62" t="n">
        <f aca="false">ROUNDUP(CL1300+MAX(CM1300,2*(J1300/IF(CH1300&gt;0,CH1300,MAX(0.1,N(Cockpit!$C$6)))-CL1300)),0)</f>
        <v>6</v>
      </c>
      <c r="AN1300" s="63" t="n">
        <f aca="false">IF(AJ1300&gt;0,J1300/AJ1300,-1)</f>
        <v>-1</v>
      </c>
      <c r="AO1300" s="63" t="str">
        <f aca="false">IF(AND(OR(CG1300="L1",CG1300="L23",CG1300="LIFT"),AJ1300&gt;0),SUMIFS($AJ$7:$AJ$1843,$CG$7:$CG$1843,CG1300,$AN$7:$AN$1843,"&gt;"&amp;AN1300)+SUMIFS($AJ$7:$AJ$1843,$CG$7:$CG$1843,CG1300,$AN$7:$AN$1843,AN1300,$BX$7:$BX$1843,"&lt;="&amp;BX1300),"")</f>
        <v/>
      </c>
      <c r="AP1300" s="70" t="n">
        <f aca="false">IF(AO1300="",0,MAX(0,MIN(1,(IF(CG1300="L1",Parameter!$H$5,IF(CG1300="L23",Parameter!$H$6+Parameter!$H$7,Parameter!$H$5+Parameter!$H$6+Parameter!$H$7))-(AO1300-AJ1300))/AJ1300)))</f>
        <v>0</v>
      </c>
      <c r="AQ1300" s="62" t="n">
        <f aca="false">IF(LEFT(Cockpit!$I$5,1)="A",H1300,IF(Parameter!$E$30="MAX-Bestand",IF(CI1300=1,CJ1300,IF(LEFT(Cockpit!$I$5,1)="B",AW1300,MAX(AW1300,H1300))),ROUNDUP(AU1300,0)))</f>
        <v>3</v>
      </c>
      <c r="AR1300" s="62" t="n">
        <f aca="false">IF(CA1300=1,0,ROUNDUP(AQ1300/BZ1300,0))</f>
        <v>2</v>
      </c>
      <c r="AS1300" s="64" t="n">
        <f aca="false">IF(CR1300&gt;0,CR1300*MAX(1,AQ1300/X1300),IF(CA1300=1,IF(AQ1300&lt;=0,0,CE1300*MAX(1,IF(H1300&gt;0,AQ1300/H1300,1))),IF(R1300&gt;0,AR1300/R1300,0))/MAX(0.1,N(Parameter!$M$21)))</f>
        <v>0.5</v>
      </c>
      <c r="AT1300" s="62" t="n">
        <f aca="false">AS1300*CC1300</f>
        <v>117.5</v>
      </c>
      <c r="AU1300" s="63" t="n">
        <f aca="false">IF(LEFT(Cockpit!$I$5,1)="A",H1300,IF(CI1300=1,(CL1300+CJ1300)/2,IF(LEFT(Cockpit!$I$5,1)="B",(CL1300+AW1300)/2,MAX((CL1300+AW1300)/2,H1300))))</f>
        <v>3</v>
      </c>
      <c r="AV1300" s="62" t="n">
        <f aca="false">AU1300*G1300</f>
        <v>1978.62</v>
      </c>
      <c r="AW1300" s="62" t="n">
        <f aca="false">ROUNDUP(CL1300+MAX(CM1300,2*(J1300/IF(CH1300&gt;0,CH1300,MAX(0.1,N(Cockpit!$I$6)))-CL1300)),0)</f>
        <v>6</v>
      </c>
      <c r="AX1300" s="63" t="n">
        <f aca="false">IF(AT1300&gt;0,J1300/AT1300,-1)</f>
        <v>0.0680851063829787</v>
      </c>
      <c r="AY1300" s="63" t="str">
        <f aca="false">IF(AND(OR(CG1300="L1",CG1300="L23",CG1300="LIFT"),AT1300&gt;0),SUMIFS($AT$7:$AT$1843,$CG$7:$CG$1843,CG1300,$AX$7:$AX$1843,"&gt;"&amp;AX1300)+SUMIFS($AT$7:$AT$1843,$CG$7:$CG$1843,CG1300,$AX$7:$AX$1843,AX1300,$BX$7:$BX$1843,"&lt;="&amp;BX1300),"")</f>
        <v/>
      </c>
      <c r="AZ1300" s="70" t="n">
        <f aca="false">IF(AY1300="",0,MAX(0,MIN(1,(IF(CG1300="L1",Parameter!$H$5,IF(CG1300="L23",Parameter!$H$6+Parameter!$H$7,Parameter!$H$5+Parameter!$H$6+Parameter!$H$7))-(AY1300-AT1300))/AT1300)))</f>
        <v>0</v>
      </c>
      <c r="BA1300" s="62" t="n">
        <f aca="false">IF(LEFT(Cockpit!$O$5,1)="A",H1300,IF(Parameter!$E$30="MAX-Bestand",IF(CI1300=1,CJ1300,IF(LEFT(Cockpit!$O$5,1)="B",BG1300,MAX(BG1300,H1300))),ROUNDUP(BE1300,0)))</f>
        <v>2</v>
      </c>
      <c r="BB1300" s="62" t="n">
        <f aca="false">IF(CA1300=1,0,ROUNDUP(BA1300/BZ1300,0))</f>
        <v>1</v>
      </c>
      <c r="BC1300" s="64" t="n">
        <f aca="false">IF(CR1300&gt;0,CR1300*MAX(1,BA1300/X1300),IF(CA1300=1,IF(BA1300&lt;=0,0,CE1300*MAX(1,IF(H1300&gt;0,BA1300/H1300,1))),IF(R1300&gt;0,BB1300/R1300,0))/MAX(0.1,N(Parameter!$M$21)))</f>
        <v>0.25</v>
      </c>
      <c r="BD1300" s="62" t="n">
        <f aca="false">BC1300*CC1300</f>
        <v>58.75</v>
      </c>
      <c r="BE1300" s="63" t="n">
        <f aca="false">IF(LEFT(Cockpit!$O$5,1)="A",H1300,IF(CI1300=1,(CL1300+CJ1300)/2,IF(LEFT(Cockpit!$O$5,1)="B",(CL1300+BG1300)/2,MAX((CL1300+BG1300)/2,H1300))))</f>
        <v>2</v>
      </c>
      <c r="BF1300" s="62" t="n">
        <f aca="false">BE1300*G1300</f>
        <v>1319.08</v>
      </c>
      <c r="BG1300" s="62" t="n">
        <f aca="false">ROUNDUP(CL1300+MAX(CM1300,2*(J1300/IF(CH1300&gt;0,CH1300,MAX(0.1,N(Cockpit!$O$6)))-CL1300)),0)</f>
        <v>4</v>
      </c>
      <c r="BH1300" s="63" t="n">
        <f aca="false">IF(BD1300&gt;0,J1300/BD1300,-1)</f>
        <v>0.136170212765957</v>
      </c>
      <c r="BI1300" s="63" t="str">
        <f aca="false">IF(AND(OR(CG1300="L1",CG1300="L23",CG1300="LIFT"),BD1300&gt;0),SUMIFS($BD$7:$BD$1843,$CG$7:$CG$1843,CG1300,$BH$7:$BH$1843,"&gt;"&amp;BH1300)+SUMIFS($BD$7:$BD$1843,$CG$7:$CG$1843,CG1300,$BH$7:$BH$1843,BH1300,$BX$7:$BX$1843,"&lt;="&amp;BX1300),"")</f>
        <v/>
      </c>
      <c r="BJ1300" s="70" t="n">
        <f aca="false">IF(BI1300="",0,MAX(0,MIN(1,(IF(CG1300="L1",Parameter!$H$5,IF(CG1300="L23",Parameter!$H$6+Parameter!$H$7,Parameter!$H$5+Parameter!$H$6+Parameter!$H$7))-(BI1300-BD1300))/BD1300)))</f>
        <v>0</v>
      </c>
      <c r="BK1300" s="60" t="str">
        <f aca="false">IF(AJ1300&lt;=0,"",IF(CG1300="Aussen","Aussenlager",IF(CG1300="-","Nicht im Lift",IF(AP1300&gt;=1,"Lift",IF(AP1300&lt;=0,"Aussenlager","teilweise")))))</f>
        <v/>
      </c>
      <c r="BL1300" s="60" t="str">
        <f aca="false">IF(AT1300&lt;=0,"",IF(CG1300="Aussen","Aussenlager",IF(CG1300="-","Nicht im Lift",IF(AZ1300&gt;=1,"Lift",IF(AZ1300&lt;=0,"Aussenlager","teilweise")))))</f>
        <v>Nicht im Lift</v>
      </c>
      <c r="BM1300" s="60" t="str">
        <f aca="false">IF(BD1300&lt;=0,"",IF(CG1300="Aussen","Aussenlager",IF(CG1300="-","Nicht im Lift",IF(BJ1300&gt;=1,"Lift",IF(BJ1300&lt;=0,"Aussenlager","teilweise")))))</f>
        <v>Nicht im Lift</v>
      </c>
      <c r="BN1300" s="60" t="str">
        <f aca="false">IF(A1300="","",IF(BW1300=1,"Neu; ","")&amp;IF(AND(BW1300=0,BR1300&lt;0),"negativer Bestand (Export "&amp;BR1300&amp;"); ","")&amp;IF(J1300&lt;=0,"Kein Verbrauch; ","")&amp;IF(CR1300&gt;0,"Lift "&amp;W1300&amp;" lt. Liftbericht (Fach "&amp;X1300&amp;" Stk); ",IF(CB1300=1,"Gebinde geschätzt ("&amp;T1300&amp;"); ",IF(CA1300=1,"Lose – Tablare geschätzt; ","")))&amp;IF(H1300&gt;AW1300,"Überbestand "&amp;ROUND(H1300-AW1300,0)&amp;" Stk / CHF "&amp;ROUND((H1300-AW1300)*G1300,0)&amp;"; ","")&amp;IF(AND(CI1300=1,CJ1300&lt;CK1300),"MAX &lt; MB+LG; ","")&amp;IF(AND(CQ1300&gt;0,CP1300*10&gt;CQ1300),"zu hoch für Tablar; ","")&amp;IF(AND(BW1300=0,OR(CI1300=1,AB1300&lt;&gt;"",U1300&lt;&gt;"",V1300&lt;&gt;"",AC1300&lt;&gt;"")),"manuell übersteuert; ","")&amp;IF(AND(CA1300=0,R1300=0),"Gebinde unbekannt / Stellmass fehlt; ","")&amp;IF(AND(CA1300=0,N(V1300)&lt;=0,N(Q1300)&lt;=0),"Menge pro Gebinde fehlt (Ist = 1 Gebinde); ","")&amp;BV1300)</f>
        <v>negativer Bestand (Export -2); Gebinde geschätzt (Gross); Menge pro Gebinde fehlt (Ist = 1 Gebinde); </v>
      </c>
      <c r="BO1300" s="60"/>
      <c r="BP1300" s="60"/>
      <c r="BQ1300" s="67"/>
      <c r="BR1300" s="62" t="n">
        <v>-2</v>
      </c>
      <c r="BS1300" s="62" t="n">
        <v>2</v>
      </c>
      <c r="BT1300" s="61" t="n">
        <v>-1191.98</v>
      </c>
      <c r="BU1300" s="62" t="n">
        <v>8</v>
      </c>
      <c r="BV1300" s="60"/>
      <c r="BW1300" s="65" t="n">
        <v>0</v>
      </c>
      <c r="BX1300" s="65" t="n">
        <v>1300</v>
      </c>
      <c r="BY1300" s="60" t="str">
        <f aca="false">IF(U1300&lt;&gt;"",UPPER(TRIM(U1300)),IF(CB1300=1,UPPER(VLOOKUP(T1300,Parameter!$I$27:$K$29,2,0)),IF(P1300="","LOSE",P1300)))</f>
        <v>S81</v>
      </c>
      <c r="BZ1300" s="62" t="n">
        <f aca="false">IF(BY1300="LOSE",1,IF(N(V1300)&gt;0,V1300,IF(CB1300=1,MAX(1,N(VLOOKUP(T1300,Parameter!$I$27:$K$29,3,0)),H1300,N(N1300)),IF(N(Q1300)&gt;0,Q1300,MAX(1,H1300)))))</f>
        <v>2</v>
      </c>
      <c r="CA1300" s="65" t="n">
        <f aca="false">IF(BY1300="LOSE",1,0)</f>
        <v>0</v>
      </c>
      <c r="CB1300" s="65" t="n">
        <f aca="false">IF(AND(U1300="",OR(P1300="",P1300="LOSE"),T1300&lt;&gt;"",N(S1300)&lt;=0,ISNUMBER(MATCH(T1300,Parameter!$I$27:$I$29,0))),1,0)</f>
        <v>1</v>
      </c>
      <c r="CC1300" s="65" t="n">
        <f aca="false">IF(CR1300&gt;0,INDEX(Parameter!$H$5:$H$7,W1300)/INDEX(Parameter!$E$5:$E$7,W1300),IF(AND(CA1300=0,N(IFERROR(VLOOKUP(BY1300,'Gebinde-Kategorie'!$A$5:$N$45,14,0),0))&gt;0),VLOOKUP(BY1300,'Gebinde-Kategorie'!$A$5:$N$45,14,0)*10+Parameter!$M$23,Parameter!$M$24))</f>
        <v>235</v>
      </c>
      <c r="CD1300" s="60" t="str">
        <f aca="false">IF(AND(Parameter!$B$19="Ja",E1300&lt;&gt;"",ISNUMBER(MATCH(E1300,Parameter!$I$35:$I$52,0))),VLOOKUP(E1300,Parameter!$I$35:$J$52,2,0),IFERROR(VLOOKUP(D1300,Parameter!$A$35:$C$64,2,0),"Nein"))</f>
        <v>Nein</v>
      </c>
      <c r="CE1300" s="64" t="n">
        <f aca="false">IF(CA1300=0,0,IF(N(S1300)&gt;0,S1300,IFERROR(VLOOKUP(D1300,Parameter!$A$35:$C$64,3,0)+0,0)))</f>
        <v>0</v>
      </c>
      <c r="CF1300" s="60" t="str">
        <f aca="false">IF(AB1300&lt;&gt;"",AB1300,AA1300)</f>
        <v>-</v>
      </c>
      <c r="CG1300" s="60" t="str">
        <f aca="false">IF(OR(CF1300=1,CF1300=2,CF1300=3),IF(Parameter!$E$27="Ja","LIFT",IF(CF1300=1,"L1","L23")),IF(CF1300="Aussen","Aussen","-"))</f>
        <v>-</v>
      </c>
      <c r="CH1300" s="71" t="n">
        <f aca="false">IF(N(AC1300)&gt;0,AC1300,0)</f>
        <v>0</v>
      </c>
      <c r="CI1300" s="65" t="n">
        <f aca="false">IF(ISNUMBER(AF1300),1,0)</f>
        <v>0</v>
      </c>
      <c r="CJ1300" s="62" t="n">
        <f aca="false">N(AF1300)</f>
        <v>0</v>
      </c>
      <c r="CK1300" s="62" t="n">
        <f aca="false">N(M1300)+N(N1300)</f>
        <v>2</v>
      </c>
      <c r="CL1300" s="62" t="n">
        <f aca="false">N(M1300)</f>
        <v>0</v>
      </c>
      <c r="CM1300" s="62" t="n">
        <f aca="false">N(N1300)</f>
        <v>2</v>
      </c>
      <c r="CN1300" s="62" t="n">
        <f aca="false">ROUNDUP(H1300/BZ1300,0)</f>
        <v>0</v>
      </c>
      <c r="CO1300" s="62" t="n">
        <f aca="false">ROUNDUP(CJ1300/BZ1300,0)</f>
        <v>0</v>
      </c>
      <c r="CP1300" s="65" t="n">
        <f aca="false">IF(CA1300=1,0,IFERROR(VLOOKUP(BY1300,'Gebinde-Kategorie'!$A$5:$N$45,5,0)+0,0))</f>
        <v>20</v>
      </c>
      <c r="CQ1300" s="65" t="n">
        <f aca="false">IFERROR(IF(OR(CF1300=1,CF1300=2,CF1300=3),N(INDEX(Parameter!$I$5:$I$7,CF1300)),0),0)</f>
        <v>0</v>
      </c>
      <c r="CR1300" s="64" t="n">
        <f aca="false">IF(AND(Parameter!$B$21="Ja",ISNUMBER(W1300),N(X1300)&gt;0),IFERROR(N(INDEX(Parameter!$L$5:$L$7,W1300))*INDEX(Parameter!$E$5:$E$7,W1300)*X1300/SUMIFS($X$7:$X$1843,$W$7:$W$1843,W1300),0),0)</f>
        <v>0</v>
      </c>
      <c r="CS1300" s="62" t="str">
        <f aca="false">IF(AND(OR(CG1300="L1",CG1300="L23",CG1300="LIFT"),H1300&gt;0),CC1300*IF(CR1300&gt;0,CR1300*MAX(1,H1300/X1300),IF(CA1300=1,CE1300,IF(R1300&gt;0,CN1300/R1300,0))/MAX(0.1,N(Parameter!$M$21))),"")</f>
        <v/>
      </c>
      <c r="CT1300" s="64" t="str">
        <f aca="false">IF(CS1300="","",J1300/H1300)</f>
        <v/>
      </c>
      <c r="CU1300" s="62" t="str">
        <f aca="false">IF(CS1300="","",H1300*G1300)</f>
        <v/>
      </c>
      <c r="CV1300" s="63" t="str">
        <f aca="false">IF(CS1300="","",(CL1300+ROUNDUP(CL1300+MAX(CM1300,2*(J1300/MAX(0.1,N(Einkauf!$C$6))-CL1300)),0))/2)</f>
        <v/>
      </c>
      <c r="CW1300" s="62" t="str">
        <f aca="false">IF(CS1300="","",MAX(0,H1300-CV1300)*G1300)</f>
        <v/>
      </c>
      <c r="CX1300" s="62" t="str">
        <f aca="false">IF(CS1300="","",CS1300*MAX(0,1-CV1300/H1300))</f>
        <v/>
      </c>
      <c r="CY1300" s="64" t="str">
        <f aca="false">IF(CS1300="","",PERCENTRANK($CS$7:$CS$1843,CS1300)+PERCENTRANK($CU$7:$CU$1843,CU1300)+1-PERCENTRANK($CT$7:$CT$1843,CT1300))</f>
        <v/>
      </c>
      <c r="CZ1300" s="72" t="str">
        <f aca="false">IF(CS1300="","",CHOOSE(MATCH(Einkauf!$C$5,Parameter!$G$23:$G$27,0),CY1300,CS1300,CU1300,-CT1300,CW1300)+ROW()/1000000000)</f>
        <v/>
      </c>
    </row>
    <row r="1301" customFormat="false" ht="15" hidden="false" customHeight="false" outlineLevel="0" collapsed="false">
      <c r="A1301" s="60" t="s">
        <v>2355</v>
      </c>
      <c r="B1301" s="60" t="s">
        <v>577</v>
      </c>
      <c r="C1301" s="60" t="s">
        <v>206</v>
      </c>
      <c r="D1301" s="60" t="s">
        <v>226</v>
      </c>
      <c r="E1301" s="60"/>
      <c r="F1301" s="60" t="s">
        <v>260</v>
      </c>
      <c r="G1301" s="61" t="n">
        <v>28.42</v>
      </c>
      <c r="H1301" s="62" t="n">
        <f aca="false">MAX(0,IF(AND(Parameter!$B$21="Ja",ISNUMBER(Y1301)),Y1301,IF(Parameter!$B$20="Jahresanfang 2025 + Export",BS1301+BR1301,BR1301)))</f>
        <v>18</v>
      </c>
      <c r="I1301" s="62" t="n">
        <f aca="false">H1301*G1301</f>
        <v>511.56</v>
      </c>
      <c r="J1301" s="62" t="n">
        <f aca="false">BU1301*Parameter!$B$18</f>
        <v>11</v>
      </c>
      <c r="K1301" s="63" t="n">
        <v>41</v>
      </c>
      <c r="L1301" s="64" t="n">
        <v>0.268292682926829</v>
      </c>
      <c r="M1301" s="62" t="n">
        <v>1</v>
      </c>
      <c r="N1301" s="62" t="n">
        <v>15</v>
      </c>
      <c r="O1301" s="65" t="n">
        <v>28</v>
      </c>
      <c r="P1301" s="60" t="s">
        <v>344</v>
      </c>
      <c r="Q1301" s="62" t="n">
        <v>50</v>
      </c>
      <c r="R1301" s="65" t="n">
        <f aca="false">IF(CA1301=1,0,IFERROR(VLOOKUP(BY1301,'Gebinde-Kategorie'!$A$5:$N$45,13,0)+0,0))</f>
        <v>26</v>
      </c>
      <c r="S1301" s="66"/>
      <c r="T1301" s="67"/>
      <c r="U1301" s="67"/>
      <c r="V1301" s="67"/>
      <c r="W1301" s="60"/>
      <c r="X1301" s="62"/>
      <c r="Y1301" s="62"/>
      <c r="Z1301" s="60" t="n">
        <v>3</v>
      </c>
      <c r="AA1301" s="60" t="n">
        <f aca="false">IF(A1301="","",IF(AND(Parameter!$B$21="Ja",ISNUMBER(W1301)),W1301,IF(AND(Parameter!$E$27="Ja",ISNUMBER(Z1301),CD1301&lt;&gt;"Nein"),Z1301,IF(CD1301="2+3",IF(ISNUMBER(SEARCH("grosser Artikel",BV1301)),2,IFERROR(VLOOKUP(BY1301,Parameter!$F$35:$G$64,2,0),2)),IF(OR(CD1301="Nein",CD1301=""),"-",CD1301)))))</f>
        <v>3</v>
      </c>
      <c r="AB1301" s="67"/>
      <c r="AC1301" s="68"/>
      <c r="AD1301" s="62" t="n">
        <f aca="false">AW1301</f>
        <v>16</v>
      </c>
      <c r="AE1301" s="62" t="n">
        <f aca="false">MAX(AW1301,H1301)</f>
        <v>18</v>
      </c>
      <c r="AF1301" s="69"/>
      <c r="AG1301" s="62" t="n">
        <f aca="false">IF(LEFT(Cockpit!$C$5,1)="A",H1301,IF(Parameter!$E$30="MAX-Bestand",IF(CI1301=1,CJ1301,IF(LEFT(Cockpit!$C$5,1)="B",AM1301,MAX(AM1301,H1301))),ROUNDUP(AK1301,0)))</f>
        <v>18</v>
      </c>
      <c r="AH1301" s="62" t="n">
        <f aca="false">IF(CA1301=1,0,ROUNDUP(AG1301/BZ1301,0))</f>
        <v>1</v>
      </c>
      <c r="AI1301" s="64" t="n">
        <f aca="false">IF(CR1301&gt;0,CR1301*MAX(1,AG1301/X1301),IF(CA1301=1,IF(AG1301&lt;=0,0,CE1301*MAX(1,IF(H1301&gt;0,AG1301/H1301,1))),IF(R1301&gt;0,AH1301/R1301,0))/MAX(0.1,N(Parameter!$M$21)))</f>
        <v>0.0384615384615385</v>
      </c>
      <c r="AJ1301" s="62" t="n">
        <f aca="false">AI1301*CC1301</f>
        <v>5.96153846153846</v>
      </c>
      <c r="AK1301" s="63" t="n">
        <f aca="false">IF(LEFT(Cockpit!$C$5,1)="A",H1301,IF(CI1301=1,(CL1301+CJ1301)/2,IF(LEFT(Cockpit!$C$5,1)="B",(CL1301+AM1301)/2,MAX((CL1301+AM1301)/2,H1301))))</f>
        <v>18</v>
      </c>
      <c r="AL1301" s="62" t="n">
        <f aca="false">AK1301*G1301</f>
        <v>511.56</v>
      </c>
      <c r="AM1301" s="62" t="n">
        <f aca="false">ROUNDUP(CL1301+MAX(CM1301,2*(J1301/IF(CH1301&gt;0,CH1301,MAX(0.1,N(Cockpit!$C$6)))-CL1301)),0)</f>
        <v>16</v>
      </c>
      <c r="AN1301" s="63" t="n">
        <f aca="false">IF(AJ1301&gt;0,J1301/AJ1301,-1)</f>
        <v>1.84516129032258</v>
      </c>
      <c r="AO1301" s="63" t="n">
        <f aca="false">IF(AND(OR(CG1301="L1",CG1301="L23",CG1301="LIFT"),AJ1301&gt;0),SUMIFS($AJ$7:$AJ$1843,$CG$7:$CG$1843,CG1301,$AN$7:$AN$1843,"&gt;"&amp;AN1301)+SUMIFS($AJ$7:$AJ$1843,$CG$7:$CG$1843,CG1301,$AN$7:$AN$1843,AN1301,$BX$7:$BX$1843,"&lt;="&amp;BX1301),"")</f>
        <v>5959.80815018315</v>
      </c>
      <c r="AP1301" s="70" t="n">
        <f aca="false">IF(AO1301="",0,MAX(0,MIN(1,(IF(CG1301="L1",Parameter!$H$5,IF(CG1301="L23",Parameter!$H$6+Parameter!$H$7,Parameter!$H$5+Parameter!$H$6+Parameter!$H$7))-(AO1301-AJ1301))/AJ1301)))</f>
        <v>1</v>
      </c>
      <c r="AQ1301" s="62" t="n">
        <f aca="false">IF(LEFT(Cockpit!$I$5,1)="A",H1301,IF(Parameter!$E$30="MAX-Bestand",IF(CI1301=1,CJ1301,IF(LEFT(Cockpit!$I$5,1)="B",AW1301,MAX(AW1301,H1301))),ROUNDUP(AU1301,0)))</f>
        <v>18</v>
      </c>
      <c r="AR1301" s="62" t="n">
        <f aca="false">IF(CA1301=1,0,ROUNDUP(AQ1301/BZ1301,0))</f>
        <v>1</v>
      </c>
      <c r="AS1301" s="64" t="n">
        <f aca="false">IF(CR1301&gt;0,CR1301*MAX(1,AQ1301/X1301),IF(CA1301=1,IF(AQ1301&lt;=0,0,CE1301*MAX(1,IF(H1301&gt;0,AQ1301/H1301,1))),IF(R1301&gt;0,AR1301/R1301,0))/MAX(0.1,N(Parameter!$M$21)))</f>
        <v>0.0384615384615385</v>
      </c>
      <c r="AT1301" s="62" t="n">
        <f aca="false">AS1301*CC1301</f>
        <v>5.96153846153846</v>
      </c>
      <c r="AU1301" s="63" t="n">
        <f aca="false">IF(LEFT(Cockpit!$I$5,1)="A",H1301,IF(CI1301=1,(CL1301+CJ1301)/2,IF(LEFT(Cockpit!$I$5,1)="B",(CL1301+AW1301)/2,MAX((CL1301+AW1301)/2,H1301))))</f>
        <v>18</v>
      </c>
      <c r="AV1301" s="62" t="n">
        <f aca="false">AU1301*G1301</f>
        <v>511.56</v>
      </c>
      <c r="AW1301" s="62" t="n">
        <f aca="false">ROUNDUP(CL1301+MAX(CM1301,2*(J1301/IF(CH1301&gt;0,CH1301,MAX(0.1,N(Cockpit!$I$6)))-CL1301)),0)</f>
        <v>16</v>
      </c>
      <c r="AX1301" s="63" t="n">
        <f aca="false">IF(AT1301&gt;0,J1301/AT1301,-1)</f>
        <v>1.84516129032258</v>
      </c>
      <c r="AY1301" s="63" t="n">
        <f aca="false">IF(AND(OR(CG1301="L1",CG1301="L23",CG1301="LIFT"),AT1301&gt;0),SUMIFS($AT$7:$AT$1843,$CG$7:$CG$1843,CG1301,$AX$7:$AX$1843,"&gt;"&amp;AX1301)+SUMIFS($AT$7:$AT$1843,$CG$7:$CG$1843,CG1301,$AX$7:$AX$1843,AX1301,$BX$7:$BX$1843,"&lt;="&amp;BX1301),"")</f>
        <v>7397.33104395604</v>
      </c>
      <c r="AZ1301" s="70" t="n">
        <f aca="false">IF(AY1301="",0,MAX(0,MIN(1,(IF(CG1301="L1",Parameter!$H$5,IF(CG1301="L23",Parameter!$H$6+Parameter!$H$7,Parameter!$H$5+Parameter!$H$6+Parameter!$H$7))-(AY1301-AT1301))/AT1301)))</f>
        <v>1</v>
      </c>
      <c r="BA1301" s="62" t="n">
        <f aca="false">IF(LEFT(Cockpit!$O$5,1)="A",H1301,IF(Parameter!$E$30="MAX-Bestand",IF(CI1301=1,CJ1301,IF(LEFT(Cockpit!$O$5,1)="B",BG1301,MAX(BG1301,H1301))),ROUNDUP(BE1301,0)))</f>
        <v>9</v>
      </c>
      <c r="BB1301" s="62" t="n">
        <f aca="false">IF(CA1301=1,0,ROUNDUP(BA1301/BZ1301,0))</f>
        <v>1</v>
      </c>
      <c r="BC1301" s="64" t="n">
        <f aca="false">IF(CR1301&gt;0,CR1301*MAX(1,BA1301/X1301),IF(CA1301=1,IF(BA1301&lt;=0,0,CE1301*MAX(1,IF(H1301&gt;0,BA1301/H1301,1))),IF(R1301&gt;0,BB1301/R1301,0))/MAX(0.1,N(Parameter!$M$21)))</f>
        <v>0.0384615384615385</v>
      </c>
      <c r="BD1301" s="62" t="n">
        <f aca="false">BC1301*CC1301</f>
        <v>5.96153846153846</v>
      </c>
      <c r="BE1301" s="63" t="n">
        <f aca="false">IF(LEFT(Cockpit!$O$5,1)="A",H1301,IF(CI1301=1,(CL1301+CJ1301)/2,IF(LEFT(Cockpit!$O$5,1)="B",(CL1301+BG1301)/2,MAX((CL1301+BG1301)/2,H1301))))</f>
        <v>8.5</v>
      </c>
      <c r="BF1301" s="62" t="n">
        <f aca="false">BE1301*G1301</f>
        <v>241.57</v>
      </c>
      <c r="BG1301" s="62" t="n">
        <f aca="false">ROUNDUP(CL1301+MAX(CM1301,2*(J1301/IF(CH1301&gt;0,CH1301,MAX(0.1,N(Cockpit!$O$6)))-CL1301)),0)</f>
        <v>16</v>
      </c>
      <c r="BH1301" s="63" t="n">
        <f aca="false">IF(BD1301&gt;0,J1301/BD1301,-1)</f>
        <v>1.84516129032258</v>
      </c>
      <c r="BI1301" s="63" t="n">
        <f aca="false">IF(AND(OR(CG1301="L1",CG1301="L23",CG1301="LIFT"),BD1301&gt;0),SUMIFS($BD$7:$BD$1843,$CG$7:$CG$1843,CG1301,$BH$7:$BH$1843,"&gt;"&amp;BH1301)+SUMIFS($BD$7:$BD$1843,$CG$7:$CG$1843,CG1301,$BH$7:$BH$1843,BH1301,$BX$7:$BX$1843,"&lt;="&amp;BX1301),"")</f>
        <v>6013.85897435897</v>
      </c>
      <c r="BJ1301" s="70" t="n">
        <f aca="false">IF(BI1301="",0,MAX(0,MIN(1,(IF(CG1301="L1",Parameter!$H$5,IF(CG1301="L23",Parameter!$H$6+Parameter!$H$7,Parameter!$H$5+Parameter!$H$6+Parameter!$H$7))-(BI1301-BD1301))/BD1301)))</f>
        <v>1</v>
      </c>
      <c r="BK1301" s="60" t="str">
        <f aca="false">IF(AJ1301&lt;=0,"",IF(CG1301="Aussen","Aussenlager",IF(CG1301="-","Nicht im Lift",IF(AP1301&gt;=1,"Lift",IF(AP1301&lt;=0,"Aussenlager","teilweise")))))</f>
        <v>Lift</v>
      </c>
      <c r="BL1301" s="60" t="str">
        <f aca="false">IF(AT1301&lt;=0,"",IF(CG1301="Aussen","Aussenlager",IF(CG1301="-","Nicht im Lift",IF(AZ1301&gt;=1,"Lift",IF(AZ1301&lt;=0,"Aussenlager","teilweise")))))</f>
        <v>Lift</v>
      </c>
      <c r="BM1301" s="60" t="str">
        <f aca="false">IF(BD1301&lt;=0,"",IF(CG1301="Aussen","Aussenlager",IF(CG1301="-","Nicht im Lift",IF(BJ1301&gt;=1,"Lift",IF(BJ1301&lt;=0,"Aussenlager","teilweise")))))</f>
        <v>Lift</v>
      </c>
      <c r="BN1301" s="60" t="str">
        <f aca="false">IF(A1301="","",IF(BW1301=1,"Neu; ","")&amp;IF(AND(BW1301=0,BR1301&lt;0),"negativer Bestand (Export "&amp;BR1301&amp;"); ","")&amp;IF(J1301&lt;=0,"Kein Verbrauch; ","")&amp;IF(CR1301&gt;0,"Lift "&amp;W1301&amp;" lt. Liftbericht (Fach "&amp;X1301&amp;" Stk); ",IF(CB1301=1,"Gebinde geschätzt ("&amp;T1301&amp;"); ",IF(CA1301=1,"Lose – Tablare geschätzt; ","")))&amp;IF(H1301&gt;AW1301,"Überbestand "&amp;ROUND(H1301-AW1301,0)&amp;" Stk / CHF "&amp;ROUND((H1301-AW1301)*G1301,0)&amp;"; ","")&amp;IF(AND(CI1301=1,CJ1301&lt;CK1301),"MAX &lt; MB+LG; ","")&amp;IF(AND(CQ1301&gt;0,CP1301*10&gt;CQ1301),"zu hoch für Tablar; ","")&amp;IF(AND(BW1301=0,OR(CI1301=1,AB1301&lt;&gt;"",U1301&lt;&gt;"",V1301&lt;&gt;"",AC1301&lt;&gt;"")),"manuell übersteuert; ","")&amp;IF(AND(CA1301=0,R1301=0),"Gebinde unbekannt / Stellmass fehlt; ","")&amp;IF(AND(CA1301=0,N(V1301)&lt;=0,N(Q1301)&lt;=0),"Menge pro Gebinde fehlt (Ist = 1 Gebinde); ","")&amp;BV1301)</f>
        <v>negativer Bestand (Export -29); Überbestand 2 Stk / CHF 57; </v>
      </c>
      <c r="BO1301" s="60"/>
      <c r="BP1301" s="60"/>
      <c r="BQ1301" s="67"/>
      <c r="BR1301" s="62" t="n">
        <v>-29</v>
      </c>
      <c r="BS1301" s="62" t="n">
        <v>47</v>
      </c>
      <c r="BT1301" s="61" t="n">
        <v>-1194.54</v>
      </c>
      <c r="BU1301" s="62" t="n">
        <v>11</v>
      </c>
      <c r="BV1301" s="60"/>
      <c r="BW1301" s="65" t="n">
        <v>0</v>
      </c>
      <c r="BX1301" s="65" t="n">
        <v>1301</v>
      </c>
      <c r="BY1301" s="60" t="str">
        <f aca="false">IF(U1301&lt;&gt;"",UPPER(TRIM(U1301)),IF(CB1301=1,UPPER(VLOOKUP(T1301,Parameter!$I$27:$K$29,2,0)),IF(P1301="","LOSE",P1301)))</f>
        <v>S51</v>
      </c>
      <c r="BZ1301" s="62" t="n">
        <f aca="false">IF(BY1301="LOSE",1,IF(N(V1301)&gt;0,V1301,IF(CB1301=1,MAX(1,N(VLOOKUP(T1301,Parameter!$I$27:$K$29,3,0)),H1301,N(N1301)),IF(N(Q1301)&gt;0,Q1301,MAX(1,H1301)))))</f>
        <v>50</v>
      </c>
      <c r="CA1301" s="65" t="n">
        <f aca="false">IF(BY1301="LOSE",1,0)</f>
        <v>0</v>
      </c>
      <c r="CB1301" s="65" t="n">
        <f aca="false">IF(AND(U1301="",OR(P1301="",P1301="LOSE"),T1301&lt;&gt;"",N(S1301)&lt;=0,ISNUMBER(MATCH(T1301,Parameter!$I$27:$I$29,0))),1,0)</f>
        <v>0</v>
      </c>
      <c r="CC1301" s="65" t="n">
        <f aca="false">IF(CR1301&gt;0,INDEX(Parameter!$H$5:$H$7,W1301)/INDEX(Parameter!$E$5:$E$7,W1301),IF(AND(CA1301=0,N(IFERROR(VLOOKUP(BY1301,'Gebinde-Kategorie'!$A$5:$N$45,14,0),0))&gt;0),VLOOKUP(BY1301,'Gebinde-Kategorie'!$A$5:$N$45,14,0)*10+Parameter!$M$23,Parameter!$M$24))</f>
        <v>155</v>
      </c>
      <c r="CD1301" s="60" t="str">
        <f aca="false">IF(AND(Parameter!$B$19="Ja",E1301&lt;&gt;"",ISNUMBER(MATCH(E1301,Parameter!$I$35:$I$52,0))),VLOOKUP(E1301,Parameter!$I$35:$J$52,2,0),IFERROR(VLOOKUP(D1301,Parameter!$A$35:$C$64,2,0),"Nein"))</f>
        <v>2+3</v>
      </c>
      <c r="CE1301" s="64" t="n">
        <f aca="false">IF(CA1301=0,0,IF(N(S1301)&gt;0,S1301,IFERROR(VLOOKUP(D1301,Parameter!$A$35:$C$64,3,0)+0,0)))</f>
        <v>0</v>
      </c>
      <c r="CF1301" s="60" t="n">
        <f aca="false">IF(AB1301&lt;&gt;"",AB1301,AA1301)</f>
        <v>3</v>
      </c>
      <c r="CG1301" s="60" t="str">
        <f aca="false">IF(OR(CF1301=1,CF1301=2,CF1301=3),IF(Parameter!$E$27="Ja","LIFT",IF(CF1301=1,"L1","L23")),IF(CF1301="Aussen","Aussen","-"))</f>
        <v>LIFT</v>
      </c>
      <c r="CH1301" s="71" t="n">
        <f aca="false">IF(N(AC1301)&gt;0,AC1301,0)</f>
        <v>0</v>
      </c>
      <c r="CI1301" s="65" t="n">
        <f aca="false">IF(ISNUMBER(AF1301),1,0)</f>
        <v>0</v>
      </c>
      <c r="CJ1301" s="62" t="n">
        <f aca="false">N(AF1301)</f>
        <v>0</v>
      </c>
      <c r="CK1301" s="62" t="n">
        <f aca="false">N(M1301)+N(N1301)</f>
        <v>16</v>
      </c>
      <c r="CL1301" s="62" t="n">
        <f aca="false">N(M1301)</f>
        <v>1</v>
      </c>
      <c r="CM1301" s="62" t="n">
        <f aca="false">N(N1301)</f>
        <v>15</v>
      </c>
      <c r="CN1301" s="62" t="n">
        <f aca="false">ROUNDUP(H1301/BZ1301,0)</f>
        <v>1</v>
      </c>
      <c r="CO1301" s="62" t="n">
        <f aca="false">ROUNDUP(CJ1301/BZ1301,0)</f>
        <v>0</v>
      </c>
      <c r="CP1301" s="65" t="n">
        <f aca="false">IF(CA1301=1,0,IFERROR(VLOOKUP(BY1301,'Gebinde-Kategorie'!$A$5:$N$45,5,0)+0,0))</f>
        <v>11</v>
      </c>
      <c r="CQ1301" s="65" t="n">
        <f aca="false">IFERROR(IF(OR(CF1301=1,CF1301=2,CF1301=3),N(INDEX(Parameter!$I$5:$I$7,CF1301)),0),0)</f>
        <v>0</v>
      </c>
      <c r="CR1301" s="64" t="n">
        <f aca="false">IF(AND(Parameter!$B$21="Ja",ISNUMBER(W1301),N(X1301)&gt;0),IFERROR(N(INDEX(Parameter!$L$5:$L$7,W1301))*INDEX(Parameter!$E$5:$E$7,W1301)*X1301/SUMIFS($X$7:$X$1843,$W$7:$W$1843,W1301),0),0)</f>
        <v>0</v>
      </c>
      <c r="CS1301" s="62" t="n">
        <f aca="false">IF(AND(OR(CG1301="L1",CG1301="L23",CG1301="LIFT"),H1301&gt;0),CC1301*IF(CR1301&gt;0,CR1301*MAX(1,H1301/X1301),IF(CA1301=1,CE1301,IF(R1301&gt;0,CN1301/R1301,0))/MAX(0.1,N(Parameter!$M$21))),"")</f>
        <v>5.96153846153846</v>
      </c>
      <c r="CT1301" s="64" t="n">
        <f aca="false">IF(CS1301="","",J1301/H1301)</f>
        <v>0.611111111111111</v>
      </c>
      <c r="CU1301" s="62" t="n">
        <f aca="false">IF(CS1301="","",H1301*G1301)</f>
        <v>511.56</v>
      </c>
      <c r="CV1301" s="63" t="n">
        <f aca="false">IF(CS1301="","",(CL1301+ROUNDUP(CL1301+MAX(CM1301,2*(J1301/MAX(0.1,N(Einkauf!$C$6))-CL1301)),0))/2)</f>
        <v>8.5</v>
      </c>
      <c r="CW1301" s="62" t="n">
        <f aca="false">IF(CS1301="","",MAX(0,H1301-CV1301)*G1301)</f>
        <v>269.99</v>
      </c>
      <c r="CX1301" s="62" t="n">
        <f aca="false">IF(CS1301="","",CS1301*MAX(0,1-CV1301/H1301))</f>
        <v>3.14636752136752</v>
      </c>
      <c r="CY1301" s="64" t="n">
        <f aca="false">IF(CS1301="","",PERCENTRANK($CS$7:$CS$1843,CS1301)+PERCENTRANK($CU$7:$CU$1843,CU1301)+1-PERCENTRANK($CT$7:$CT$1843,CT1301))</f>
        <v>1.305</v>
      </c>
      <c r="CZ1301" s="72" t="n">
        <f aca="false">IF(CS1301="","",CHOOSE(MATCH(Einkauf!$C$5,Parameter!$G$23:$G$27,0),CY1301,CS1301,CU1301,-CT1301,CW1301)+ROW()/1000000000)</f>
        <v>1.305001301</v>
      </c>
    </row>
    <row r="1302" customFormat="false" ht="15" hidden="false" customHeight="false" outlineLevel="0" collapsed="false">
      <c r="A1302" s="60" t="s">
        <v>2356</v>
      </c>
      <c r="B1302" s="60" t="s">
        <v>447</v>
      </c>
      <c r="C1302" s="60" t="s">
        <v>206</v>
      </c>
      <c r="D1302" s="60" t="s">
        <v>215</v>
      </c>
      <c r="E1302" s="60" t="s">
        <v>227</v>
      </c>
      <c r="F1302" s="60" t="s">
        <v>260</v>
      </c>
      <c r="G1302" s="61" t="n">
        <v>0.19</v>
      </c>
      <c r="H1302" s="62" t="n">
        <f aca="false">MAX(0,IF(AND(Parameter!$B$21="Ja",ISNUMBER(Y1302)),Y1302,IF(Parameter!$B$20="Jahresanfang 2025 + Export",BS1302+BR1302,BR1302)))</f>
        <v>1061</v>
      </c>
      <c r="I1302" s="62" t="n">
        <f aca="false">H1302*G1302</f>
        <v>201.59</v>
      </c>
      <c r="J1302" s="62" t="n">
        <f aca="false">BU1302*Parameter!$B$18</f>
        <v>3712</v>
      </c>
      <c r="K1302" s="63" t="n">
        <v>5621.5</v>
      </c>
      <c r="L1302" s="64" t="n">
        <v>0.660321978119719</v>
      </c>
      <c r="M1302" s="62" t="n">
        <v>216</v>
      </c>
      <c r="N1302" s="62" t="n">
        <v>2000</v>
      </c>
      <c r="O1302" s="65" t="n">
        <v>21</v>
      </c>
      <c r="P1302" s="60" t="s">
        <v>268</v>
      </c>
      <c r="Q1302" s="62" t="n">
        <v>2200</v>
      </c>
      <c r="R1302" s="65" t="n">
        <f aca="false">IF(CA1302=1,0,IFERROR(VLOOKUP(BY1302,'Gebinde-Kategorie'!$A$5:$N$45,13,0)+0,0))</f>
        <v>12</v>
      </c>
      <c r="S1302" s="66"/>
      <c r="T1302" s="67"/>
      <c r="U1302" s="67"/>
      <c r="V1302" s="67"/>
      <c r="W1302" s="60"/>
      <c r="X1302" s="62"/>
      <c r="Y1302" s="62"/>
      <c r="Z1302" s="60" t="n">
        <v>3</v>
      </c>
      <c r="AA1302" s="60" t="n">
        <f aca="false">IF(A1302="","",IF(AND(Parameter!$B$21="Ja",ISNUMBER(W1302)),W1302,IF(AND(Parameter!$E$27="Ja",ISNUMBER(Z1302),CD1302&lt;&gt;"Nein"),Z1302,IF(CD1302="2+3",IF(ISNUMBER(SEARCH("grosser Artikel",BV1302)),2,IFERROR(VLOOKUP(BY1302,Parameter!$F$35:$G$64,2,0),2)),IF(OR(CD1302="Nein",CD1302=""),"-",CD1302)))))</f>
        <v>3</v>
      </c>
      <c r="AB1302" s="67"/>
      <c r="AC1302" s="68"/>
      <c r="AD1302" s="62" t="n">
        <f aca="false">AW1302</f>
        <v>2259</v>
      </c>
      <c r="AE1302" s="62" t="n">
        <f aca="false">MAX(AW1302,H1302)</f>
        <v>2259</v>
      </c>
      <c r="AF1302" s="69"/>
      <c r="AG1302" s="62" t="n">
        <f aca="false">IF(LEFT(Cockpit!$C$5,1)="A",H1302,IF(Parameter!$E$30="MAX-Bestand",IF(CI1302=1,CJ1302,IF(LEFT(Cockpit!$C$5,1)="B",AM1302,MAX(AM1302,H1302))),ROUNDUP(AK1302,0)))</f>
        <v>1061</v>
      </c>
      <c r="AH1302" s="62" t="n">
        <f aca="false">IF(CA1302=1,0,ROUNDUP(AG1302/BZ1302,0))</f>
        <v>1</v>
      </c>
      <c r="AI1302" s="64" t="n">
        <f aca="false">IF(CR1302&gt;0,CR1302*MAX(1,AG1302/X1302),IF(CA1302=1,IF(AG1302&lt;=0,0,CE1302*MAX(1,IF(H1302&gt;0,AG1302/H1302,1))),IF(R1302&gt;0,AH1302/R1302,0))/MAX(0.1,N(Parameter!$M$21)))</f>
        <v>0.0833333333333333</v>
      </c>
      <c r="AJ1302" s="62" t="n">
        <f aca="false">AI1302*CC1302</f>
        <v>28.75</v>
      </c>
      <c r="AK1302" s="63" t="n">
        <f aca="false">IF(LEFT(Cockpit!$C$5,1)="A",H1302,IF(CI1302=1,(CL1302+CJ1302)/2,IF(LEFT(Cockpit!$C$5,1)="B",(CL1302+AM1302)/2,MAX((CL1302+AM1302)/2,H1302))))</f>
        <v>1061</v>
      </c>
      <c r="AL1302" s="62" t="n">
        <f aca="false">AK1302*G1302</f>
        <v>201.59</v>
      </c>
      <c r="AM1302" s="62" t="n">
        <f aca="false">ROUNDUP(CL1302+MAX(CM1302,2*(J1302/IF(CH1302&gt;0,CH1302,MAX(0.1,N(Cockpit!$C$6)))-CL1302)),0)</f>
        <v>2259</v>
      </c>
      <c r="AN1302" s="63" t="n">
        <f aca="false">IF(AJ1302&gt;0,J1302/AJ1302,-1)</f>
        <v>129.113043478261</v>
      </c>
      <c r="AO1302" s="63" t="n">
        <f aca="false">IF(AND(OR(CG1302="L1",CG1302="L23",CG1302="LIFT"),AJ1302&gt;0),SUMIFS($AJ$7:$AJ$1843,$CG$7:$CG$1843,CG1302,$AN$7:$AN$1843,"&gt;"&amp;AN1302)+SUMIFS($AJ$7:$AJ$1843,$CG$7:$CG$1843,CG1302,$AN$7:$AN$1843,AN1302,$BX$7:$BX$1843,"&lt;="&amp;BX1302),"")</f>
        <v>638.029304029304</v>
      </c>
      <c r="AP1302" s="70" t="n">
        <f aca="false">IF(AO1302="",0,MAX(0,MIN(1,(IF(CG1302="L1",Parameter!$H$5,IF(CG1302="L23",Parameter!$H$6+Parameter!$H$7,Parameter!$H$5+Parameter!$H$6+Parameter!$H$7))-(AO1302-AJ1302))/AJ1302)))</f>
        <v>1</v>
      </c>
      <c r="AQ1302" s="62" t="n">
        <f aca="false">IF(LEFT(Cockpit!$I$5,1)="A",H1302,IF(Parameter!$E$30="MAX-Bestand",IF(CI1302=1,CJ1302,IF(LEFT(Cockpit!$I$5,1)="B",AW1302,MAX(AW1302,H1302))),ROUNDUP(AU1302,0)))</f>
        <v>1238</v>
      </c>
      <c r="AR1302" s="62" t="n">
        <f aca="false">IF(CA1302=1,0,ROUNDUP(AQ1302/BZ1302,0))</f>
        <v>1</v>
      </c>
      <c r="AS1302" s="64" t="n">
        <f aca="false">IF(CR1302&gt;0,CR1302*MAX(1,AQ1302/X1302),IF(CA1302=1,IF(AQ1302&lt;=0,0,CE1302*MAX(1,IF(H1302&gt;0,AQ1302/H1302,1))),IF(R1302&gt;0,AR1302/R1302,0))/MAX(0.1,N(Parameter!$M$21)))</f>
        <v>0.0833333333333333</v>
      </c>
      <c r="AT1302" s="62" t="n">
        <f aca="false">AS1302*CC1302</f>
        <v>28.75</v>
      </c>
      <c r="AU1302" s="63" t="n">
        <f aca="false">IF(LEFT(Cockpit!$I$5,1)="A",H1302,IF(CI1302=1,(CL1302+CJ1302)/2,IF(LEFT(Cockpit!$I$5,1)="B",(CL1302+AW1302)/2,MAX((CL1302+AW1302)/2,H1302))))</f>
        <v>1237.5</v>
      </c>
      <c r="AV1302" s="62" t="n">
        <f aca="false">AU1302*G1302</f>
        <v>235.125</v>
      </c>
      <c r="AW1302" s="62" t="n">
        <f aca="false">ROUNDUP(CL1302+MAX(CM1302,2*(J1302/IF(CH1302&gt;0,CH1302,MAX(0.1,N(Cockpit!$I$6)))-CL1302)),0)</f>
        <v>2259</v>
      </c>
      <c r="AX1302" s="63" t="n">
        <f aca="false">IF(AT1302&gt;0,J1302/AT1302,-1)</f>
        <v>129.113043478261</v>
      </c>
      <c r="AY1302" s="63" t="n">
        <f aca="false">IF(AND(OR(CG1302="L1",CG1302="L23",CG1302="LIFT"),AT1302&gt;0),SUMIFS($AT$7:$AT$1843,$CG$7:$CG$1843,CG1302,$AX$7:$AX$1843,"&gt;"&amp;AX1302)+SUMIFS($AT$7:$AT$1843,$CG$7:$CG$1843,CG1302,$AX$7:$AX$1843,AX1302,$BX$7:$BX$1843,"&lt;="&amp;BX1302),"")</f>
        <v>752.68543956044</v>
      </c>
      <c r="AZ1302" s="70" t="n">
        <f aca="false">IF(AY1302="",0,MAX(0,MIN(1,(IF(CG1302="L1",Parameter!$H$5,IF(CG1302="L23",Parameter!$H$6+Parameter!$H$7,Parameter!$H$5+Parameter!$H$6+Parameter!$H$7))-(AY1302-AT1302))/AT1302)))</f>
        <v>1</v>
      </c>
      <c r="BA1302" s="62" t="n">
        <f aca="false">IF(LEFT(Cockpit!$O$5,1)="A",H1302,IF(Parameter!$E$30="MAX-Bestand",IF(CI1302=1,CJ1302,IF(LEFT(Cockpit!$O$5,1)="B",BG1302,MAX(BG1302,H1302))),ROUNDUP(BE1302,0)))</f>
        <v>1216</v>
      </c>
      <c r="BB1302" s="62" t="n">
        <f aca="false">IF(CA1302=1,0,ROUNDUP(BA1302/BZ1302,0))</f>
        <v>1</v>
      </c>
      <c r="BC1302" s="64" t="n">
        <f aca="false">IF(CR1302&gt;0,CR1302*MAX(1,BA1302/X1302),IF(CA1302=1,IF(BA1302&lt;=0,0,CE1302*MAX(1,IF(H1302&gt;0,BA1302/H1302,1))),IF(R1302&gt;0,BB1302/R1302,0))/MAX(0.1,N(Parameter!$M$21)))</f>
        <v>0.0833333333333333</v>
      </c>
      <c r="BD1302" s="62" t="n">
        <f aca="false">BC1302*CC1302</f>
        <v>28.75</v>
      </c>
      <c r="BE1302" s="63" t="n">
        <f aca="false">IF(LEFT(Cockpit!$O$5,1)="A",H1302,IF(CI1302=1,(CL1302+CJ1302)/2,IF(LEFT(Cockpit!$O$5,1)="B",(CL1302+BG1302)/2,MAX((CL1302+BG1302)/2,H1302))))</f>
        <v>1216</v>
      </c>
      <c r="BF1302" s="62" t="n">
        <f aca="false">BE1302*G1302</f>
        <v>231.04</v>
      </c>
      <c r="BG1302" s="62" t="n">
        <f aca="false">ROUNDUP(CL1302+MAX(CM1302,2*(J1302/IF(CH1302&gt;0,CH1302,MAX(0.1,N(Cockpit!$O$6)))-CL1302)),0)</f>
        <v>2216</v>
      </c>
      <c r="BH1302" s="63" t="n">
        <f aca="false">IF(BD1302&gt;0,J1302/BD1302,-1)</f>
        <v>129.113043478261</v>
      </c>
      <c r="BI1302" s="63" t="n">
        <f aca="false">IF(AND(OR(CG1302="L1",CG1302="L23",CG1302="LIFT"),BD1302&gt;0),SUMIFS($BD$7:$BD$1843,$CG$7:$CG$1843,CG1302,$BH$7:$BH$1843,"&gt;"&amp;BH1302)+SUMIFS($BD$7:$BD$1843,$CG$7:$CG$1843,CG1302,$BH$7:$BH$1843,BH1302,$BX$7:$BX$1843,"&lt;="&amp;BX1302),"")</f>
        <v>766.652472527473</v>
      </c>
      <c r="BJ1302" s="70" t="n">
        <f aca="false">IF(BI1302="",0,MAX(0,MIN(1,(IF(CG1302="L1",Parameter!$H$5,IF(CG1302="L23",Parameter!$H$6+Parameter!$H$7,Parameter!$H$5+Parameter!$H$6+Parameter!$H$7))-(BI1302-BD1302))/BD1302)))</f>
        <v>1</v>
      </c>
      <c r="BK1302" s="60" t="str">
        <f aca="false">IF(AJ1302&lt;=0,"",IF(CG1302="Aussen","Aussenlager",IF(CG1302="-","Nicht im Lift",IF(AP1302&gt;=1,"Lift",IF(AP1302&lt;=0,"Aussenlager","teilweise")))))</f>
        <v>Lift</v>
      </c>
      <c r="BL1302" s="60" t="str">
        <f aca="false">IF(AT1302&lt;=0,"",IF(CG1302="Aussen","Aussenlager",IF(CG1302="-","Nicht im Lift",IF(AZ1302&gt;=1,"Lift",IF(AZ1302&lt;=0,"Aussenlager","teilweise")))))</f>
        <v>Lift</v>
      </c>
      <c r="BM1302" s="60" t="str">
        <f aca="false">IF(BD1302&lt;=0,"",IF(CG1302="Aussen","Aussenlager",IF(CG1302="-","Nicht im Lift",IF(BJ1302&gt;=1,"Lift",IF(BJ1302&lt;=0,"Aussenlager","teilweise")))))</f>
        <v>Lift</v>
      </c>
      <c r="BN1302" s="60" t="str">
        <f aca="false">IF(A1302="","",IF(BW1302=1,"Neu; ","")&amp;IF(AND(BW1302=0,BR1302&lt;0),"negativer Bestand (Export "&amp;BR1302&amp;"); ","")&amp;IF(J1302&lt;=0,"Kein Verbrauch; ","")&amp;IF(CR1302&gt;0,"Lift "&amp;W1302&amp;" lt. Liftbericht (Fach "&amp;X1302&amp;" Stk); ",IF(CB1302=1,"Gebinde geschätzt ("&amp;T1302&amp;"); ",IF(CA1302=1,"Lose – Tablare geschätzt; ","")))&amp;IF(H1302&gt;AW1302,"Überbestand "&amp;ROUND(H1302-AW1302,0)&amp;" Stk / CHF "&amp;ROUND((H1302-AW1302)*G1302,0)&amp;"; ","")&amp;IF(AND(CI1302=1,CJ1302&lt;CK1302),"MAX &lt; MB+LG; ","")&amp;IF(AND(CQ1302&gt;0,CP1302*10&gt;CQ1302),"zu hoch für Tablar; ","")&amp;IF(AND(BW1302=0,OR(CI1302=1,AB1302&lt;&gt;"",U1302&lt;&gt;"",V1302&lt;&gt;"",AC1302&lt;&gt;"")),"manuell übersteuert; ","")&amp;IF(AND(CA1302=0,R1302=0),"Gebinde unbekannt / Stellmass fehlt; ","")&amp;IF(AND(CA1302=0,N(V1302)&lt;=0,N(Q1302)&lt;=0),"Menge pro Gebinde fehlt (Ist = 1 Gebinde); ","")&amp;BV1302)</f>
        <v>negativer Bestand (Export -6299); grosse  Artikelmenge</v>
      </c>
      <c r="BO1302" s="60"/>
      <c r="BP1302" s="60"/>
      <c r="BQ1302" s="67"/>
      <c r="BR1302" s="62" t="n">
        <v>-6299</v>
      </c>
      <c r="BS1302" s="62" t="n">
        <v>7360</v>
      </c>
      <c r="BT1302" s="61" t="n">
        <v>-1196.81</v>
      </c>
      <c r="BU1302" s="62" t="n">
        <v>3712</v>
      </c>
      <c r="BV1302" s="60" t="s">
        <v>1649</v>
      </c>
      <c r="BW1302" s="65" t="n">
        <v>0</v>
      </c>
      <c r="BX1302" s="65" t="n">
        <v>1302</v>
      </c>
      <c r="BY1302" s="60" t="str">
        <f aca="false">IF(U1302&lt;&gt;"",UPPER(TRIM(U1302)),IF(CB1302=1,UPPER(VLOOKUP(T1302,Parameter!$I$27:$K$29,2,0)),IF(P1302="","LOSE",P1302)))</f>
        <v>S63</v>
      </c>
      <c r="BZ1302" s="62" t="n">
        <f aca="false">IF(BY1302="LOSE",1,IF(N(V1302)&gt;0,V1302,IF(CB1302=1,MAX(1,N(VLOOKUP(T1302,Parameter!$I$27:$K$29,3,0)),H1302,N(N1302)),IF(N(Q1302)&gt;0,Q1302,MAX(1,H1302)))))</f>
        <v>2200</v>
      </c>
      <c r="CA1302" s="65" t="n">
        <f aca="false">IF(BY1302="LOSE",1,0)</f>
        <v>0</v>
      </c>
      <c r="CB1302" s="65" t="n">
        <f aca="false">IF(AND(U1302="",OR(P1302="",P1302="LOSE"),T1302&lt;&gt;"",N(S1302)&lt;=0,ISNUMBER(MATCH(T1302,Parameter!$I$27:$I$29,0))),1,0)</f>
        <v>0</v>
      </c>
      <c r="CC1302" s="65" t="n">
        <f aca="false">IF(CR1302&gt;0,INDEX(Parameter!$H$5:$H$7,W1302)/INDEX(Parameter!$E$5:$E$7,W1302),IF(AND(CA1302=0,N(IFERROR(VLOOKUP(BY1302,'Gebinde-Kategorie'!$A$5:$N$45,14,0),0))&gt;0),VLOOKUP(BY1302,'Gebinde-Kategorie'!$A$5:$N$45,14,0)*10+Parameter!$M$23,Parameter!$M$24))</f>
        <v>345</v>
      </c>
      <c r="CD1302" s="60" t="str">
        <f aca="false">IF(AND(Parameter!$B$19="Ja",E1302&lt;&gt;"",ISNUMBER(MATCH(E1302,Parameter!$I$35:$I$52,0))),VLOOKUP(E1302,Parameter!$I$35:$J$52,2,0),IFERROR(VLOOKUP(D1302,Parameter!$A$35:$C$64,2,0),"Nein"))</f>
        <v>2+3</v>
      </c>
      <c r="CE1302" s="64" t="n">
        <f aca="false">IF(CA1302=0,0,IF(N(S1302)&gt;0,S1302,IFERROR(VLOOKUP(D1302,Parameter!$A$35:$C$64,3,0)+0,0)))</f>
        <v>0</v>
      </c>
      <c r="CF1302" s="60" t="n">
        <f aca="false">IF(AB1302&lt;&gt;"",AB1302,AA1302)</f>
        <v>3</v>
      </c>
      <c r="CG1302" s="60" t="str">
        <f aca="false">IF(OR(CF1302=1,CF1302=2,CF1302=3),IF(Parameter!$E$27="Ja","LIFT",IF(CF1302=1,"L1","L23")),IF(CF1302="Aussen","Aussen","-"))</f>
        <v>LIFT</v>
      </c>
      <c r="CH1302" s="71" t="n">
        <f aca="false">IF(N(AC1302)&gt;0,AC1302,0)</f>
        <v>0</v>
      </c>
      <c r="CI1302" s="65" t="n">
        <f aca="false">IF(ISNUMBER(AF1302),1,0)</f>
        <v>0</v>
      </c>
      <c r="CJ1302" s="62" t="n">
        <f aca="false">N(AF1302)</f>
        <v>0</v>
      </c>
      <c r="CK1302" s="62" t="n">
        <f aca="false">N(M1302)+N(N1302)</f>
        <v>2216</v>
      </c>
      <c r="CL1302" s="62" t="n">
        <f aca="false">N(M1302)</f>
        <v>216</v>
      </c>
      <c r="CM1302" s="62" t="n">
        <f aca="false">N(N1302)</f>
        <v>2000</v>
      </c>
      <c r="CN1302" s="62" t="n">
        <f aca="false">ROUNDUP(H1302/BZ1302,0)</f>
        <v>1</v>
      </c>
      <c r="CO1302" s="62" t="n">
        <f aca="false">ROUNDUP(CJ1302/BZ1302,0)</f>
        <v>0</v>
      </c>
      <c r="CP1302" s="65" t="n">
        <f aca="false">IF(CA1302=1,0,IFERROR(VLOOKUP(BY1302,'Gebinde-Kategorie'!$A$5:$N$45,5,0)+0,0))</f>
        <v>31</v>
      </c>
      <c r="CQ1302" s="65" t="n">
        <f aca="false">IFERROR(IF(OR(CF1302=1,CF1302=2,CF1302=3),N(INDEX(Parameter!$I$5:$I$7,CF1302)),0),0)</f>
        <v>0</v>
      </c>
      <c r="CR1302" s="64" t="n">
        <f aca="false">IF(AND(Parameter!$B$21="Ja",ISNUMBER(W1302),N(X1302)&gt;0),IFERROR(N(INDEX(Parameter!$L$5:$L$7,W1302))*INDEX(Parameter!$E$5:$E$7,W1302)*X1302/SUMIFS($X$7:$X$1843,$W$7:$W$1843,W1302),0),0)</f>
        <v>0</v>
      </c>
      <c r="CS1302" s="62" t="n">
        <f aca="false">IF(AND(OR(CG1302="L1",CG1302="L23",CG1302="LIFT"),H1302&gt;0),CC1302*IF(CR1302&gt;0,CR1302*MAX(1,H1302/X1302),IF(CA1302=1,CE1302,IF(R1302&gt;0,CN1302/R1302,0))/MAX(0.1,N(Parameter!$M$21))),"")</f>
        <v>28.75</v>
      </c>
      <c r="CT1302" s="64" t="n">
        <f aca="false">IF(CS1302="","",J1302/H1302)</f>
        <v>3.4985862393968</v>
      </c>
      <c r="CU1302" s="62" t="n">
        <f aca="false">IF(CS1302="","",H1302*G1302)</f>
        <v>201.59</v>
      </c>
      <c r="CV1302" s="63" t="n">
        <f aca="false">IF(CS1302="","",(CL1302+ROUNDUP(CL1302+MAX(CM1302,2*(J1302/MAX(0.1,N(Einkauf!$C$6))-CL1302)),0))/2)</f>
        <v>1216</v>
      </c>
      <c r="CW1302" s="62" t="n">
        <f aca="false">IF(CS1302="","",MAX(0,H1302-CV1302)*G1302)</f>
        <v>0</v>
      </c>
      <c r="CX1302" s="62" t="n">
        <f aca="false">IF(CS1302="","",CS1302*MAX(0,1-CV1302/H1302))</f>
        <v>0</v>
      </c>
      <c r="CY1302" s="64" t="n">
        <f aca="false">IF(CS1302="","",PERCENTRANK($CS$7:$CS$1843,CS1302)+PERCENTRANK($CU$7:$CU$1843,CU1302)+1-PERCENTRANK($CT$7:$CT$1843,CT1302))</f>
        <v>1.248</v>
      </c>
      <c r="CZ1302" s="72" t="n">
        <f aca="false">IF(CS1302="","",CHOOSE(MATCH(Einkauf!$C$5,Parameter!$G$23:$G$27,0),CY1302,CS1302,CU1302,-CT1302,CW1302)+ROW()/1000000000)</f>
        <v>1.248001302</v>
      </c>
    </row>
    <row r="1303" customFormat="false" ht="15" hidden="false" customHeight="false" outlineLevel="0" collapsed="false">
      <c r="A1303" s="60" t="s">
        <v>2357</v>
      </c>
      <c r="B1303" s="60" t="s">
        <v>2358</v>
      </c>
      <c r="C1303" s="60" t="s">
        <v>206</v>
      </c>
      <c r="D1303" s="60" t="s">
        <v>226</v>
      </c>
      <c r="E1303" s="60" t="s">
        <v>227</v>
      </c>
      <c r="F1303" s="60" t="s">
        <v>260</v>
      </c>
      <c r="G1303" s="61" t="n">
        <v>983.67</v>
      </c>
      <c r="H1303" s="62" t="n">
        <f aca="false">MAX(0,IF(AND(Parameter!$B$21="Ja",ISNUMBER(Y1303)),Y1303,IF(Parameter!$B$20="Jahresanfang 2025 + Export",BS1303+BR1303,BR1303)))</f>
        <v>13</v>
      </c>
      <c r="I1303" s="62" t="n">
        <f aca="false">H1303*G1303</f>
        <v>12787.71</v>
      </c>
      <c r="J1303" s="62" t="n">
        <f aca="false">BU1303*Parameter!$B$18</f>
        <v>12</v>
      </c>
      <c r="K1303" s="63" t="n">
        <v>14</v>
      </c>
      <c r="L1303" s="64" t="n">
        <v>0.857142857142857</v>
      </c>
      <c r="M1303" s="62" t="n">
        <v>1</v>
      </c>
      <c r="N1303" s="62" t="n">
        <v>5</v>
      </c>
      <c r="O1303" s="65" t="n">
        <v>28</v>
      </c>
      <c r="P1303" s="60" t="s">
        <v>335</v>
      </c>
      <c r="Q1303" s="62" t="n">
        <v>35</v>
      </c>
      <c r="R1303" s="65" t="n">
        <f aca="false">IF(CA1303=1,0,IFERROR(VLOOKUP(BY1303,'Gebinde-Kategorie'!$A$5:$N$45,13,0)+0,0))</f>
        <v>12</v>
      </c>
      <c r="S1303" s="66"/>
      <c r="T1303" s="67"/>
      <c r="U1303" s="67"/>
      <c r="V1303" s="67"/>
      <c r="W1303" s="60"/>
      <c r="X1303" s="62"/>
      <c r="Y1303" s="62"/>
      <c r="Z1303" s="60" t="n">
        <v>3</v>
      </c>
      <c r="AA1303" s="60" t="n">
        <f aca="false">IF(A1303="","",IF(AND(Parameter!$B$21="Ja",ISNUMBER(W1303)),W1303,IF(AND(Parameter!$E$27="Ja",ISNUMBER(Z1303),CD1303&lt;&gt;"Nein"),Z1303,IF(CD1303="2+3",IF(ISNUMBER(SEARCH("grosser Artikel",BV1303)),2,IFERROR(VLOOKUP(BY1303,Parameter!$F$35:$G$64,2,0),2)),IF(OR(CD1303="Nein",CD1303=""),"-",CD1303)))))</f>
        <v>3</v>
      </c>
      <c r="AB1303" s="67"/>
      <c r="AC1303" s="68"/>
      <c r="AD1303" s="62" t="n">
        <f aca="false">AW1303</f>
        <v>7</v>
      </c>
      <c r="AE1303" s="62" t="n">
        <f aca="false">MAX(AW1303,H1303)</f>
        <v>13</v>
      </c>
      <c r="AF1303" s="69"/>
      <c r="AG1303" s="62" t="n">
        <f aca="false">IF(LEFT(Cockpit!$C$5,1)="A",H1303,IF(Parameter!$E$30="MAX-Bestand",IF(CI1303=1,CJ1303,IF(LEFT(Cockpit!$C$5,1)="B",AM1303,MAX(AM1303,H1303))),ROUNDUP(AK1303,0)))</f>
        <v>13</v>
      </c>
      <c r="AH1303" s="62" t="n">
        <f aca="false">IF(CA1303=1,0,ROUNDUP(AG1303/BZ1303,0))</f>
        <v>1</v>
      </c>
      <c r="AI1303" s="64" t="n">
        <f aca="false">IF(CR1303&gt;0,CR1303*MAX(1,AG1303/X1303),IF(CA1303=1,IF(AG1303&lt;=0,0,CE1303*MAX(1,IF(H1303&gt;0,AG1303/H1303,1))),IF(R1303&gt;0,AH1303/R1303,0))/MAX(0.1,N(Parameter!$M$21)))</f>
        <v>0.0833333333333333</v>
      </c>
      <c r="AJ1303" s="62" t="n">
        <f aca="false">AI1303*CC1303</f>
        <v>20.4166666666667</v>
      </c>
      <c r="AK1303" s="63" t="n">
        <f aca="false">IF(LEFT(Cockpit!$C$5,1)="A",H1303,IF(CI1303=1,(CL1303+CJ1303)/2,IF(LEFT(Cockpit!$C$5,1)="B",(CL1303+AM1303)/2,MAX((CL1303+AM1303)/2,H1303))))</f>
        <v>13</v>
      </c>
      <c r="AL1303" s="62" t="n">
        <f aca="false">AK1303*G1303</f>
        <v>12787.71</v>
      </c>
      <c r="AM1303" s="62" t="n">
        <f aca="false">ROUNDUP(CL1303+MAX(CM1303,2*(J1303/IF(CH1303&gt;0,CH1303,MAX(0.1,N(Cockpit!$C$6)))-CL1303)),0)</f>
        <v>7</v>
      </c>
      <c r="AN1303" s="63" t="n">
        <f aca="false">IF(AJ1303&gt;0,J1303/AJ1303,-1)</f>
        <v>0.587755102040816</v>
      </c>
      <c r="AO1303" s="63" t="n">
        <f aca="false">IF(AND(OR(CG1303="L1",CG1303="L23",CG1303="LIFT"),AJ1303&gt;0),SUMIFS($AJ$7:$AJ$1843,$CG$7:$CG$1843,CG1303,$AN$7:$AN$1843,"&gt;"&amp;AN1303)+SUMIFS($AJ$7:$AJ$1843,$CG$7:$CG$1843,CG1303,$AN$7:$AN$1843,AN1303,$BX$7:$BX$1843,"&lt;="&amp;BX1303),"")</f>
        <v>9279.53614370563</v>
      </c>
      <c r="AP1303" s="70" t="n">
        <f aca="false">IF(AO1303="",0,MAX(0,MIN(1,(IF(CG1303="L1",Parameter!$H$5,IF(CG1303="L23",Parameter!$H$6+Parameter!$H$7,Parameter!$H$5+Parameter!$H$6+Parameter!$H$7))-(AO1303-AJ1303))/AJ1303)))</f>
        <v>1</v>
      </c>
      <c r="AQ1303" s="62" t="n">
        <f aca="false">IF(LEFT(Cockpit!$I$5,1)="A",H1303,IF(Parameter!$E$30="MAX-Bestand",IF(CI1303=1,CJ1303,IF(LEFT(Cockpit!$I$5,1)="B",AW1303,MAX(AW1303,H1303))),ROUNDUP(AU1303,0)))</f>
        <v>13</v>
      </c>
      <c r="AR1303" s="62" t="n">
        <f aca="false">IF(CA1303=1,0,ROUNDUP(AQ1303/BZ1303,0))</f>
        <v>1</v>
      </c>
      <c r="AS1303" s="64" t="n">
        <f aca="false">IF(CR1303&gt;0,CR1303*MAX(1,AQ1303/X1303),IF(CA1303=1,IF(AQ1303&lt;=0,0,CE1303*MAX(1,IF(H1303&gt;0,AQ1303/H1303,1))),IF(R1303&gt;0,AR1303/R1303,0))/MAX(0.1,N(Parameter!$M$21)))</f>
        <v>0.0833333333333333</v>
      </c>
      <c r="AT1303" s="62" t="n">
        <f aca="false">AS1303*CC1303</f>
        <v>20.4166666666667</v>
      </c>
      <c r="AU1303" s="63" t="n">
        <f aca="false">IF(LEFT(Cockpit!$I$5,1)="A",H1303,IF(CI1303=1,(CL1303+CJ1303)/2,IF(LEFT(Cockpit!$I$5,1)="B",(CL1303+AW1303)/2,MAX((CL1303+AW1303)/2,H1303))))</f>
        <v>13</v>
      </c>
      <c r="AV1303" s="62" t="n">
        <f aca="false">AU1303*G1303</f>
        <v>12787.71</v>
      </c>
      <c r="AW1303" s="62" t="n">
        <f aca="false">ROUNDUP(CL1303+MAX(CM1303,2*(J1303/IF(CH1303&gt;0,CH1303,MAX(0.1,N(Cockpit!$I$6)))-CL1303)),0)</f>
        <v>7</v>
      </c>
      <c r="AX1303" s="63" t="n">
        <f aca="false">IF(AT1303&gt;0,J1303/AT1303,-1)</f>
        <v>0.587755102040816</v>
      </c>
      <c r="AY1303" s="63" t="n">
        <f aca="false">IF(AND(OR(CG1303="L1",CG1303="L23",CG1303="LIFT"),AT1303&gt;0),SUMIFS($AT$7:$AT$1843,$CG$7:$CG$1843,CG1303,$AX$7:$AX$1843,"&gt;"&amp;AX1303)+SUMIFS($AT$7:$AT$1843,$CG$7:$CG$1843,CG1303,$AX$7:$AX$1843,AX1303,$BX$7:$BX$1843,"&lt;="&amp;BX1303),"")</f>
        <v>11286.4496336996</v>
      </c>
      <c r="AZ1303" s="70" t="n">
        <f aca="false">IF(AY1303="",0,MAX(0,MIN(1,(IF(CG1303="L1",Parameter!$H$5,IF(CG1303="L23",Parameter!$H$6+Parameter!$H$7,Parameter!$H$5+Parameter!$H$6+Parameter!$H$7))-(AY1303-AT1303))/AT1303)))</f>
        <v>1</v>
      </c>
      <c r="BA1303" s="62" t="n">
        <f aca="false">IF(LEFT(Cockpit!$O$5,1)="A",H1303,IF(Parameter!$E$30="MAX-Bestand",IF(CI1303=1,CJ1303,IF(LEFT(Cockpit!$O$5,1)="B",BG1303,MAX(BG1303,H1303))),ROUNDUP(BE1303,0)))</f>
        <v>4</v>
      </c>
      <c r="BB1303" s="62" t="n">
        <f aca="false">IF(CA1303=1,0,ROUNDUP(BA1303/BZ1303,0))</f>
        <v>1</v>
      </c>
      <c r="BC1303" s="64" t="n">
        <f aca="false">IF(CR1303&gt;0,CR1303*MAX(1,BA1303/X1303),IF(CA1303=1,IF(BA1303&lt;=0,0,CE1303*MAX(1,IF(H1303&gt;0,BA1303/H1303,1))),IF(R1303&gt;0,BB1303/R1303,0))/MAX(0.1,N(Parameter!$M$21)))</f>
        <v>0.0833333333333333</v>
      </c>
      <c r="BD1303" s="62" t="n">
        <f aca="false">BC1303*CC1303</f>
        <v>20.4166666666667</v>
      </c>
      <c r="BE1303" s="63" t="n">
        <f aca="false">IF(LEFT(Cockpit!$O$5,1)="A",H1303,IF(CI1303=1,(CL1303+CJ1303)/2,IF(LEFT(Cockpit!$O$5,1)="B",(CL1303+BG1303)/2,MAX((CL1303+BG1303)/2,H1303))))</f>
        <v>3.5</v>
      </c>
      <c r="BF1303" s="62" t="n">
        <f aca="false">BE1303*G1303</f>
        <v>3442.845</v>
      </c>
      <c r="BG1303" s="62" t="n">
        <f aca="false">ROUNDUP(CL1303+MAX(CM1303,2*(J1303/IF(CH1303&gt;0,CH1303,MAX(0.1,N(Cockpit!$O$6)))-CL1303)),0)</f>
        <v>6</v>
      </c>
      <c r="BH1303" s="63" t="n">
        <f aca="false">IF(BD1303&gt;0,J1303/BD1303,-1)</f>
        <v>0.587755102040816</v>
      </c>
      <c r="BI1303" s="63" t="n">
        <f aca="false">IF(AND(OR(CG1303="L1",CG1303="L23",CG1303="LIFT"),BD1303&gt;0),SUMIFS($BD$7:$BD$1843,$CG$7:$CG$1843,CG1303,$BH$7:$BH$1843,"&gt;"&amp;BH1303)+SUMIFS($BD$7:$BD$1843,$CG$7:$CG$1843,CG1303,$BH$7:$BH$1843,BH1303,$BX$7:$BX$1843,"&lt;="&amp;BX1303),"")</f>
        <v>9999.28891941392</v>
      </c>
      <c r="BJ1303" s="70" t="n">
        <f aca="false">IF(BI1303="",0,MAX(0,MIN(1,(IF(CG1303="L1",Parameter!$H$5,IF(CG1303="L23",Parameter!$H$6+Parameter!$H$7,Parameter!$H$5+Parameter!$H$6+Parameter!$H$7))-(BI1303-BD1303))/BD1303)))</f>
        <v>1</v>
      </c>
      <c r="BK1303" s="60" t="str">
        <f aca="false">IF(AJ1303&lt;=0,"",IF(CG1303="Aussen","Aussenlager",IF(CG1303="-","Nicht im Lift",IF(AP1303&gt;=1,"Lift",IF(AP1303&lt;=0,"Aussenlager","teilweise")))))</f>
        <v>Lift</v>
      </c>
      <c r="BL1303" s="60" t="str">
        <f aca="false">IF(AT1303&lt;=0,"",IF(CG1303="Aussen","Aussenlager",IF(CG1303="-","Nicht im Lift",IF(AZ1303&gt;=1,"Lift",IF(AZ1303&lt;=0,"Aussenlager","teilweise")))))</f>
        <v>Lift</v>
      </c>
      <c r="BM1303" s="60" t="str">
        <f aca="false">IF(BD1303&lt;=0,"",IF(CG1303="Aussen","Aussenlager",IF(CG1303="-","Nicht im Lift",IF(BJ1303&gt;=1,"Lift",IF(BJ1303&lt;=0,"Aussenlager","teilweise")))))</f>
        <v>Lift</v>
      </c>
      <c r="BN1303" s="60" t="str">
        <f aca="false">IF(A1303="","",IF(BW1303=1,"Neu; ","")&amp;IF(AND(BW1303=0,BR1303&lt;0),"negativer Bestand (Export "&amp;BR1303&amp;"); ","")&amp;IF(J1303&lt;=0,"Kein Verbrauch; ","")&amp;IF(CR1303&gt;0,"Lift "&amp;W1303&amp;" lt. Liftbericht (Fach "&amp;X1303&amp;" Stk); ",IF(CB1303=1,"Gebinde geschätzt ("&amp;T1303&amp;"); ",IF(CA1303=1,"Lose – Tablare geschätzt; ","")))&amp;IF(H1303&gt;AW1303,"Überbestand "&amp;ROUND(H1303-AW1303,0)&amp;" Stk / CHF "&amp;ROUND((H1303-AW1303)*G1303,0)&amp;"; ","")&amp;IF(AND(CI1303=1,CJ1303&lt;CK1303),"MAX &lt; MB+LG; ","")&amp;IF(AND(CQ1303&gt;0,CP1303*10&gt;CQ1303),"zu hoch für Tablar; ","")&amp;IF(AND(BW1303=0,OR(CI1303=1,AB1303&lt;&gt;"",U1303&lt;&gt;"",V1303&lt;&gt;"",AC1303&lt;&gt;"")),"manuell übersteuert; ","")&amp;IF(AND(CA1303=0,R1303=0),"Gebinde unbekannt / Stellmass fehlt; ","")&amp;IF(AND(CA1303=0,N(V1303)&lt;=0,N(Q1303)&lt;=0),"Menge pro Gebinde fehlt (Ist = 1 Gebinde); ","")&amp;BV1303)</f>
        <v>negativer Bestand (Export -4); Überbestand 6 Stk / CHF 5902; </v>
      </c>
      <c r="BO1303" s="60"/>
      <c r="BP1303" s="60"/>
      <c r="BQ1303" s="67"/>
      <c r="BR1303" s="62" t="n">
        <v>-4</v>
      </c>
      <c r="BS1303" s="62" t="n">
        <v>17</v>
      </c>
      <c r="BT1303" s="61" t="n">
        <v>-1203.92</v>
      </c>
      <c r="BU1303" s="62" t="n">
        <v>12</v>
      </c>
      <c r="BV1303" s="60"/>
      <c r="BW1303" s="65" t="n">
        <v>0</v>
      </c>
      <c r="BX1303" s="65" t="n">
        <v>1303</v>
      </c>
      <c r="BY1303" s="60" t="str">
        <f aca="false">IF(U1303&lt;&gt;"",UPPER(TRIM(U1303)),IF(CB1303=1,UPPER(VLOOKUP(T1303,Parameter!$I$27:$K$29,2,0)),IF(P1303="","LOSE",P1303)))</f>
        <v>S62</v>
      </c>
      <c r="BZ1303" s="62" t="n">
        <f aca="false">IF(BY1303="LOSE",1,IF(N(V1303)&gt;0,V1303,IF(CB1303=1,MAX(1,N(VLOOKUP(T1303,Parameter!$I$27:$K$29,3,0)),H1303,N(N1303)),IF(N(Q1303)&gt;0,Q1303,MAX(1,H1303)))))</f>
        <v>35</v>
      </c>
      <c r="CA1303" s="65" t="n">
        <f aca="false">IF(BY1303="LOSE",1,0)</f>
        <v>0</v>
      </c>
      <c r="CB1303" s="65" t="n">
        <f aca="false">IF(AND(U1303="",OR(P1303="",P1303="LOSE"),T1303&lt;&gt;"",N(S1303)&lt;=0,ISNUMBER(MATCH(T1303,Parameter!$I$27:$I$29,0))),1,0)</f>
        <v>0</v>
      </c>
      <c r="CC1303" s="65" t="n">
        <f aca="false">IF(CR1303&gt;0,INDEX(Parameter!$H$5:$H$7,W1303)/INDEX(Parameter!$E$5:$E$7,W1303),IF(AND(CA1303=0,N(IFERROR(VLOOKUP(BY1303,'Gebinde-Kategorie'!$A$5:$N$45,14,0),0))&gt;0),VLOOKUP(BY1303,'Gebinde-Kategorie'!$A$5:$N$45,14,0)*10+Parameter!$M$23,Parameter!$M$24))</f>
        <v>245</v>
      </c>
      <c r="CD1303" s="60" t="str">
        <f aca="false">IF(AND(Parameter!$B$19="Ja",E1303&lt;&gt;"",ISNUMBER(MATCH(E1303,Parameter!$I$35:$I$52,0))),VLOOKUP(E1303,Parameter!$I$35:$J$52,2,0),IFERROR(VLOOKUP(D1303,Parameter!$A$35:$C$64,2,0),"Nein"))</f>
        <v>2+3</v>
      </c>
      <c r="CE1303" s="64" t="n">
        <f aca="false">IF(CA1303=0,0,IF(N(S1303)&gt;0,S1303,IFERROR(VLOOKUP(D1303,Parameter!$A$35:$C$64,3,0)+0,0)))</f>
        <v>0</v>
      </c>
      <c r="CF1303" s="60" t="n">
        <f aca="false">IF(AB1303&lt;&gt;"",AB1303,AA1303)</f>
        <v>3</v>
      </c>
      <c r="CG1303" s="60" t="str">
        <f aca="false">IF(OR(CF1303=1,CF1303=2,CF1303=3),IF(Parameter!$E$27="Ja","LIFT",IF(CF1303=1,"L1","L23")),IF(CF1303="Aussen","Aussen","-"))</f>
        <v>LIFT</v>
      </c>
      <c r="CH1303" s="71" t="n">
        <f aca="false">IF(N(AC1303)&gt;0,AC1303,0)</f>
        <v>0</v>
      </c>
      <c r="CI1303" s="65" t="n">
        <f aca="false">IF(ISNUMBER(AF1303),1,0)</f>
        <v>0</v>
      </c>
      <c r="CJ1303" s="62" t="n">
        <f aca="false">N(AF1303)</f>
        <v>0</v>
      </c>
      <c r="CK1303" s="62" t="n">
        <f aca="false">N(M1303)+N(N1303)</f>
        <v>6</v>
      </c>
      <c r="CL1303" s="62" t="n">
        <f aca="false">N(M1303)</f>
        <v>1</v>
      </c>
      <c r="CM1303" s="62" t="n">
        <f aca="false">N(N1303)</f>
        <v>5</v>
      </c>
      <c r="CN1303" s="62" t="n">
        <f aca="false">ROUNDUP(H1303/BZ1303,0)</f>
        <v>1</v>
      </c>
      <c r="CO1303" s="62" t="n">
        <f aca="false">ROUNDUP(CJ1303/BZ1303,0)</f>
        <v>0</v>
      </c>
      <c r="CP1303" s="65" t="n">
        <f aca="false">IF(CA1303=1,0,IFERROR(VLOOKUP(BY1303,'Gebinde-Kategorie'!$A$5:$N$45,5,0)+0,0))</f>
        <v>21</v>
      </c>
      <c r="CQ1303" s="65" t="n">
        <f aca="false">IFERROR(IF(OR(CF1303=1,CF1303=2,CF1303=3),N(INDEX(Parameter!$I$5:$I$7,CF1303)),0),0)</f>
        <v>0</v>
      </c>
      <c r="CR1303" s="64" t="n">
        <f aca="false">IF(AND(Parameter!$B$21="Ja",ISNUMBER(W1303),N(X1303)&gt;0),IFERROR(N(INDEX(Parameter!$L$5:$L$7,W1303))*INDEX(Parameter!$E$5:$E$7,W1303)*X1303/SUMIFS($X$7:$X$1843,$W$7:$W$1843,W1303),0),0)</f>
        <v>0</v>
      </c>
      <c r="CS1303" s="62" t="n">
        <f aca="false">IF(AND(OR(CG1303="L1",CG1303="L23",CG1303="LIFT"),H1303&gt;0),CC1303*IF(CR1303&gt;0,CR1303*MAX(1,H1303/X1303),IF(CA1303=1,CE1303,IF(R1303&gt;0,CN1303/R1303,0))/MAX(0.1,N(Parameter!$M$21))),"")</f>
        <v>20.4166666666667</v>
      </c>
      <c r="CT1303" s="64" t="n">
        <f aca="false">IF(CS1303="","",J1303/H1303)</f>
        <v>0.923076923076923</v>
      </c>
      <c r="CU1303" s="62" t="n">
        <f aca="false">IF(CS1303="","",H1303*G1303)</f>
        <v>12787.71</v>
      </c>
      <c r="CV1303" s="63" t="n">
        <f aca="false">IF(CS1303="","",(CL1303+ROUNDUP(CL1303+MAX(CM1303,2*(J1303/MAX(0.1,N(Einkauf!$C$6))-CL1303)),0))/2)</f>
        <v>3.5</v>
      </c>
      <c r="CW1303" s="62" t="n">
        <f aca="false">IF(CS1303="","",MAX(0,H1303-CV1303)*G1303)</f>
        <v>9344.865</v>
      </c>
      <c r="CX1303" s="62" t="n">
        <f aca="false">IF(CS1303="","",CS1303*MAX(0,1-CV1303/H1303))</f>
        <v>14.9198717948718</v>
      </c>
      <c r="CY1303" s="64" t="n">
        <f aca="false">IF(CS1303="","",PERCENTRANK($CS$7:$CS$1843,CS1303)+PERCENTRANK($CU$7:$CU$1843,CU1303)+1-PERCENTRANK($CT$7:$CT$1843,CT1303))</f>
        <v>2.124</v>
      </c>
      <c r="CZ1303" s="72" t="n">
        <f aca="false">IF(CS1303="","",CHOOSE(MATCH(Einkauf!$C$5,Parameter!$G$23:$G$27,0),CY1303,CS1303,CU1303,-CT1303,CW1303)+ROW()/1000000000)</f>
        <v>2.124001303</v>
      </c>
    </row>
    <row r="1304" customFormat="false" ht="15" hidden="false" customHeight="false" outlineLevel="0" collapsed="false">
      <c r="A1304" s="60" t="s">
        <v>2359</v>
      </c>
      <c r="B1304" s="60" t="s">
        <v>2360</v>
      </c>
      <c r="C1304" s="60" t="s">
        <v>206</v>
      </c>
      <c r="D1304" s="60" t="s">
        <v>226</v>
      </c>
      <c r="E1304" s="60" t="s">
        <v>227</v>
      </c>
      <c r="F1304" s="60" t="s">
        <v>260</v>
      </c>
      <c r="G1304" s="61" t="n">
        <v>64.57</v>
      </c>
      <c r="H1304" s="62" t="n">
        <f aca="false">MAX(0,IF(AND(Parameter!$B$21="Ja",ISNUMBER(Y1304)),Y1304,IF(Parameter!$B$20="Jahresanfang 2025 + Export",BS1304+BR1304,BR1304)))</f>
        <v>26</v>
      </c>
      <c r="I1304" s="62" t="n">
        <f aca="false">H1304*G1304</f>
        <v>1678.82</v>
      </c>
      <c r="J1304" s="62" t="n">
        <f aca="false">BU1304*Parameter!$B$18</f>
        <v>71</v>
      </c>
      <c r="K1304" s="63" t="n">
        <v>29.5</v>
      </c>
      <c r="L1304" s="64" t="n">
        <v>2.40677966101695</v>
      </c>
      <c r="M1304" s="62" t="n">
        <v>4</v>
      </c>
      <c r="N1304" s="62" t="n">
        <v>20</v>
      </c>
      <c r="O1304" s="65" t="n">
        <v>21</v>
      </c>
      <c r="P1304" s="60" t="s">
        <v>344</v>
      </c>
      <c r="Q1304" s="62" t="n">
        <v>64</v>
      </c>
      <c r="R1304" s="65" t="n">
        <f aca="false">IF(CA1304=1,0,IFERROR(VLOOKUP(BY1304,'Gebinde-Kategorie'!$A$5:$N$45,13,0)+0,0))</f>
        <v>26</v>
      </c>
      <c r="S1304" s="66"/>
      <c r="T1304" s="67"/>
      <c r="U1304" s="67"/>
      <c r="V1304" s="67"/>
      <c r="W1304" s="60"/>
      <c r="X1304" s="62"/>
      <c r="Y1304" s="62"/>
      <c r="Z1304" s="60" t="n">
        <v>3</v>
      </c>
      <c r="AA1304" s="60" t="n">
        <f aca="false">IF(A1304="","",IF(AND(Parameter!$B$21="Ja",ISNUMBER(W1304)),W1304,IF(AND(Parameter!$E$27="Ja",ISNUMBER(Z1304),CD1304&lt;&gt;"Nein"),Z1304,IF(CD1304="2+3",IF(ISNUMBER(SEARCH("grosser Artikel",BV1304)),2,IFERROR(VLOOKUP(BY1304,Parameter!$F$35:$G$64,2,0),2)),IF(OR(CD1304="Nein",CD1304=""),"-",CD1304)))))</f>
        <v>3</v>
      </c>
      <c r="AB1304" s="67"/>
      <c r="AC1304" s="68"/>
      <c r="AD1304" s="62" t="n">
        <f aca="false">AW1304</f>
        <v>44</v>
      </c>
      <c r="AE1304" s="62" t="n">
        <f aca="false">MAX(AW1304,H1304)</f>
        <v>44</v>
      </c>
      <c r="AF1304" s="69"/>
      <c r="AG1304" s="62" t="n">
        <f aca="false">IF(LEFT(Cockpit!$C$5,1)="A",H1304,IF(Parameter!$E$30="MAX-Bestand",IF(CI1304=1,CJ1304,IF(LEFT(Cockpit!$C$5,1)="B",AM1304,MAX(AM1304,H1304))),ROUNDUP(AK1304,0)))</f>
        <v>26</v>
      </c>
      <c r="AH1304" s="62" t="n">
        <f aca="false">IF(CA1304=1,0,ROUNDUP(AG1304/BZ1304,0))</f>
        <v>1</v>
      </c>
      <c r="AI1304" s="64" t="n">
        <f aca="false">IF(CR1304&gt;0,CR1304*MAX(1,AG1304/X1304),IF(CA1304=1,IF(AG1304&lt;=0,0,CE1304*MAX(1,IF(H1304&gt;0,AG1304/H1304,1))),IF(R1304&gt;0,AH1304/R1304,0))/MAX(0.1,N(Parameter!$M$21)))</f>
        <v>0.0384615384615385</v>
      </c>
      <c r="AJ1304" s="62" t="n">
        <f aca="false">AI1304*CC1304</f>
        <v>5.96153846153846</v>
      </c>
      <c r="AK1304" s="63" t="n">
        <f aca="false">IF(LEFT(Cockpit!$C$5,1)="A",H1304,IF(CI1304=1,(CL1304+CJ1304)/2,IF(LEFT(Cockpit!$C$5,1)="B",(CL1304+AM1304)/2,MAX((CL1304+AM1304)/2,H1304))))</f>
        <v>26</v>
      </c>
      <c r="AL1304" s="62" t="n">
        <f aca="false">AK1304*G1304</f>
        <v>1678.82</v>
      </c>
      <c r="AM1304" s="62" t="n">
        <f aca="false">ROUNDUP(CL1304+MAX(CM1304,2*(J1304/IF(CH1304&gt;0,CH1304,MAX(0.1,N(Cockpit!$C$6)))-CL1304)),0)</f>
        <v>44</v>
      </c>
      <c r="AN1304" s="63" t="n">
        <f aca="false">IF(AJ1304&gt;0,J1304/AJ1304,-1)</f>
        <v>11.9096774193548</v>
      </c>
      <c r="AO1304" s="63" t="n">
        <f aca="false">IF(AND(OR(CG1304="L1",CG1304="L23",CG1304="LIFT"),AJ1304&gt;0),SUMIFS($AJ$7:$AJ$1843,$CG$7:$CG$1843,CG1304,$AN$7:$AN$1843,"&gt;"&amp;AN1304)+SUMIFS($AJ$7:$AJ$1843,$CG$7:$CG$1843,CG1304,$AN$7:$AN$1843,AN1304,$BX$7:$BX$1843,"&lt;="&amp;BX1304),"")</f>
        <v>2531.42582417582</v>
      </c>
      <c r="AP1304" s="70" t="n">
        <f aca="false">IF(AO1304="",0,MAX(0,MIN(1,(IF(CG1304="L1",Parameter!$H$5,IF(CG1304="L23",Parameter!$H$6+Parameter!$H$7,Parameter!$H$5+Parameter!$H$6+Parameter!$H$7))-(AO1304-AJ1304))/AJ1304)))</f>
        <v>1</v>
      </c>
      <c r="AQ1304" s="62" t="n">
        <f aca="false">IF(LEFT(Cockpit!$I$5,1)="A",H1304,IF(Parameter!$E$30="MAX-Bestand",IF(CI1304=1,CJ1304,IF(LEFT(Cockpit!$I$5,1)="B",AW1304,MAX(AW1304,H1304))),ROUNDUP(AU1304,0)))</f>
        <v>26</v>
      </c>
      <c r="AR1304" s="62" t="n">
        <f aca="false">IF(CA1304=1,0,ROUNDUP(AQ1304/BZ1304,0))</f>
        <v>1</v>
      </c>
      <c r="AS1304" s="64" t="n">
        <f aca="false">IF(CR1304&gt;0,CR1304*MAX(1,AQ1304/X1304),IF(CA1304=1,IF(AQ1304&lt;=0,0,CE1304*MAX(1,IF(H1304&gt;0,AQ1304/H1304,1))),IF(R1304&gt;0,AR1304/R1304,0))/MAX(0.1,N(Parameter!$M$21)))</f>
        <v>0.0384615384615385</v>
      </c>
      <c r="AT1304" s="62" t="n">
        <f aca="false">AS1304*CC1304</f>
        <v>5.96153846153846</v>
      </c>
      <c r="AU1304" s="63" t="n">
        <f aca="false">IF(LEFT(Cockpit!$I$5,1)="A",H1304,IF(CI1304=1,(CL1304+CJ1304)/2,IF(LEFT(Cockpit!$I$5,1)="B",(CL1304+AW1304)/2,MAX((CL1304+AW1304)/2,H1304))))</f>
        <v>26</v>
      </c>
      <c r="AV1304" s="62" t="n">
        <f aca="false">AU1304*G1304</f>
        <v>1678.82</v>
      </c>
      <c r="AW1304" s="62" t="n">
        <f aca="false">ROUNDUP(CL1304+MAX(CM1304,2*(J1304/IF(CH1304&gt;0,CH1304,MAX(0.1,N(Cockpit!$I$6)))-CL1304)),0)</f>
        <v>44</v>
      </c>
      <c r="AX1304" s="63" t="n">
        <f aca="false">IF(AT1304&gt;0,J1304/AT1304,-1)</f>
        <v>11.9096774193548</v>
      </c>
      <c r="AY1304" s="63" t="n">
        <f aca="false">IF(AND(OR(CG1304="L1",CG1304="L23",CG1304="LIFT"),AT1304&gt;0),SUMIFS($AT$7:$AT$1843,$CG$7:$CG$1843,CG1304,$AX$7:$AX$1843,"&gt;"&amp;AX1304)+SUMIFS($AT$7:$AT$1843,$CG$7:$CG$1843,CG1304,$AX$7:$AX$1843,AX1304,$BX$7:$BX$1843,"&lt;="&amp;BX1304),"")</f>
        <v>3108.72161172161</v>
      </c>
      <c r="AZ1304" s="70" t="n">
        <f aca="false">IF(AY1304="",0,MAX(0,MIN(1,(IF(CG1304="L1",Parameter!$H$5,IF(CG1304="L23",Parameter!$H$6+Parameter!$H$7,Parameter!$H$5+Parameter!$H$6+Parameter!$H$7))-(AY1304-AT1304))/AT1304)))</f>
        <v>1</v>
      </c>
      <c r="BA1304" s="62" t="n">
        <f aca="false">IF(LEFT(Cockpit!$O$5,1)="A",H1304,IF(Parameter!$E$30="MAX-Bestand",IF(CI1304=1,CJ1304,IF(LEFT(Cockpit!$O$5,1)="B",BG1304,MAX(BG1304,H1304))),ROUNDUP(BE1304,0)))</f>
        <v>18</v>
      </c>
      <c r="BB1304" s="62" t="n">
        <f aca="false">IF(CA1304=1,0,ROUNDUP(BA1304/BZ1304,0))</f>
        <v>1</v>
      </c>
      <c r="BC1304" s="64" t="n">
        <f aca="false">IF(CR1304&gt;0,CR1304*MAX(1,BA1304/X1304),IF(CA1304=1,IF(BA1304&lt;=0,0,CE1304*MAX(1,IF(H1304&gt;0,BA1304/H1304,1))),IF(R1304&gt;0,BB1304/R1304,0))/MAX(0.1,N(Parameter!$M$21)))</f>
        <v>0.0384615384615385</v>
      </c>
      <c r="BD1304" s="62" t="n">
        <f aca="false">BC1304*CC1304</f>
        <v>5.96153846153846</v>
      </c>
      <c r="BE1304" s="63" t="n">
        <f aca="false">IF(LEFT(Cockpit!$O$5,1)="A",H1304,IF(CI1304=1,(CL1304+CJ1304)/2,IF(LEFT(Cockpit!$O$5,1)="B",(CL1304+BG1304)/2,MAX((CL1304+BG1304)/2,H1304))))</f>
        <v>18</v>
      </c>
      <c r="BF1304" s="62" t="n">
        <f aca="false">BE1304*G1304</f>
        <v>1162.26</v>
      </c>
      <c r="BG1304" s="62" t="n">
        <f aca="false">ROUNDUP(CL1304+MAX(CM1304,2*(J1304/IF(CH1304&gt;0,CH1304,MAX(0.1,N(Cockpit!$O$6)))-CL1304)),0)</f>
        <v>32</v>
      </c>
      <c r="BH1304" s="63" t="n">
        <f aca="false">IF(BD1304&gt;0,J1304/BD1304,-1)</f>
        <v>11.9096774193548</v>
      </c>
      <c r="BI1304" s="63" t="n">
        <f aca="false">IF(AND(OR(CG1304="L1",CG1304="L23",CG1304="LIFT"),BD1304&gt;0),SUMIFS($BD$7:$BD$1843,$CG$7:$CG$1843,CG1304,$BH$7:$BH$1843,"&gt;"&amp;BH1304)+SUMIFS($BD$7:$BD$1843,$CG$7:$CG$1843,CG1304,$BH$7:$BH$1843,BH1304,$BX$7:$BX$1843,"&lt;="&amp;BX1304),"")</f>
        <v>2577.69413919414</v>
      </c>
      <c r="BJ1304" s="70" t="n">
        <f aca="false">IF(BI1304="",0,MAX(0,MIN(1,(IF(CG1304="L1",Parameter!$H$5,IF(CG1304="L23",Parameter!$H$6+Parameter!$H$7,Parameter!$H$5+Parameter!$H$6+Parameter!$H$7))-(BI1304-BD1304))/BD1304)))</f>
        <v>1</v>
      </c>
      <c r="BK1304" s="60" t="str">
        <f aca="false">IF(AJ1304&lt;=0,"",IF(CG1304="Aussen","Aussenlager",IF(CG1304="-","Nicht im Lift",IF(AP1304&gt;=1,"Lift",IF(AP1304&lt;=0,"Aussenlager","teilweise")))))</f>
        <v>Lift</v>
      </c>
      <c r="BL1304" s="60" t="str">
        <f aca="false">IF(AT1304&lt;=0,"",IF(CG1304="Aussen","Aussenlager",IF(CG1304="-","Nicht im Lift",IF(AZ1304&gt;=1,"Lift",IF(AZ1304&lt;=0,"Aussenlager","teilweise")))))</f>
        <v>Lift</v>
      </c>
      <c r="BM1304" s="60" t="str">
        <f aca="false">IF(BD1304&lt;=0,"",IF(CG1304="Aussen","Aussenlager",IF(CG1304="-","Nicht im Lift",IF(BJ1304&gt;=1,"Lift",IF(BJ1304&lt;=0,"Aussenlager","teilweise")))))</f>
        <v>Lift</v>
      </c>
      <c r="BN1304" s="60" t="str">
        <f aca="false">IF(A1304="","",IF(BW1304=1,"Neu; ","")&amp;IF(AND(BW1304=0,BR1304&lt;0),"negativer Bestand (Export "&amp;BR1304&amp;"); ","")&amp;IF(J1304&lt;=0,"Kein Verbrauch; ","")&amp;IF(CR1304&gt;0,"Lift "&amp;W1304&amp;" lt. Liftbericht (Fach "&amp;X1304&amp;" Stk); ",IF(CB1304=1,"Gebinde geschätzt ("&amp;T1304&amp;"); ",IF(CA1304=1,"Lose – Tablare geschätzt; ","")))&amp;IF(H1304&gt;AW1304,"Überbestand "&amp;ROUND(H1304-AW1304,0)&amp;" Stk / CHF "&amp;ROUND((H1304-AW1304)*G1304,0)&amp;"; ","")&amp;IF(AND(CI1304=1,CJ1304&lt;CK1304),"MAX &lt; MB+LG; ","")&amp;IF(AND(CQ1304&gt;0,CP1304*10&gt;CQ1304),"zu hoch für Tablar; ","")&amp;IF(AND(BW1304=0,OR(CI1304=1,AB1304&lt;&gt;"",U1304&lt;&gt;"",V1304&lt;&gt;"",AC1304&lt;&gt;"")),"manuell übersteuert; ","")&amp;IF(AND(CA1304=0,R1304=0),"Gebinde unbekannt / Stellmass fehlt; ","")&amp;IF(AND(CA1304=0,N(V1304)&lt;=0,N(Q1304)&lt;=0),"Menge pro Gebinde fehlt (Ist = 1 Gebinde); ","")&amp;BV1304)</f>
        <v>negativer Bestand (Export -9); </v>
      </c>
      <c r="BO1304" s="60"/>
      <c r="BP1304" s="60"/>
      <c r="BQ1304" s="67"/>
      <c r="BR1304" s="62" t="n">
        <v>-9</v>
      </c>
      <c r="BS1304" s="62" t="n">
        <v>35</v>
      </c>
      <c r="BT1304" s="61" t="n">
        <v>-1206.58</v>
      </c>
      <c r="BU1304" s="62" t="n">
        <v>71</v>
      </c>
      <c r="BV1304" s="60"/>
      <c r="BW1304" s="65" t="n">
        <v>0</v>
      </c>
      <c r="BX1304" s="65" t="n">
        <v>1304</v>
      </c>
      <c r="BY1304" s="60" t="str">
        <f aca="false">IF(U1304&lt;&gt;"",UPPER(TRIM(U1304)),IF(CB1304=1,UPPER(VLOOKUP(T1304,Parameter!$I$27:$K$29,2,0)),IF(P1304="","LOSE",P1304)))</f>
        <v>S51</v>
      </c>
      <c r="BZ1304" s="62" t="n">
        <f aca="false">IF(BY1304="LOSE",1,IF(N(V1304)&gt;0,V1304,IF(CB1304=1,MAX(1,N(VLOOKUP(T1304,Parameter!$I$27:$K$29,3,0)),H1304,N(N1304)),IF(N(Q1304)&gt;0,Q1304,MAX(1,H1304)))))</f>
        <v>64</v>
      </c>
      <c r="CA1304" s="65" t="n">
        <f aca="false">IF(BY1304="LOSE",1,0)</f>
        <v>0</v>
      </c>
      <c r="CB1304" s="65" t="n">
        <f aca="false">IF(AND(U1304="",OR(P1304="",P1304="LOSE"),T1304&lt;&gt;"",N(S1304)&lt;=0,ISNUMBER(MATCH(T1304,Parameter!$I$27:$I$29,0))),1,0)</f>
        <v>0</v>
      </c>
      <c r="CC1304" s="65" t="n">
        <f aca="false">IF(CR1304&gt;0,INDEX(Parameter!$H$5:$H$7,W1304)/INDEX(Parameter!$E$5:$E$7,W1304),IF(AND(CA1304=0,N(IFERROR(VLOOKUP(BY1304,'Gebinde-Kategorie'!$A$5:$N$45,14,0),0))&gt;0),VLOOKUP(BY1304,'Gebinde-Kategorie'!$A$5:$N$45,14,0)*10+Parameter!$M$23,Parameter!$M$24))</f>
        <v>155</v>
      </c>
      <c r="CD1304" s="60" t="str">
        <f aca="false">IF(AND(Parameter!$B$19="Ja",E1304&lt;&gt;"",ISNUMBER(MATCH(E1304,Parameter!$I$35:$I$52,0))),VLOOKUP(E1304,Parameter!$I$35:$J$52,2,0),IFERROR(VLOOKUP(D1304,Parameter!$A$35:$C$64,2,0),"Nein"))</f>
        <v>2+3</v>
      </c>
      <c r="CE1304" s="64" t="n">
        <f aca="false">IF(CA1304=0,0,IF(N(S1304)&gt;0,S1304,IFERROR(VLOOKUP(D1304,Parameter!$A$35:$C$64,3,0)+0,0)))</f>
        <v>0</v>
      </c>
      <c r="CF1304" s="60" t="n">
        <f aca="false">IF(AB1304&lt;&gt;"",AB1304,AA1304)</f>
        <v>3</v>
      </c>
      <c r="CG1304" s="60" t="str">
        <f aca="false">IF(OR(CF1304=1,CF1304=2,CF1304=3),IF(Parameter!$E$27="Ja","LIFT",IF(CF1304=1,"L1","L23")),IF(CF1304="Aussen","Aussen","-"))</f>
        <v>LIFT</v>
      </c>
      <c r="CH1304" s="71" t="n">
        <f aca="false">IF(N(AC1304)&gt;0,AC1304,0)</f>
        <v>0</v>
      </c>
      <c r="CI1304" s="65" t="n">
        <f aca="false">IF(ISNUMBER(AF1304),1,0)</f>
        <v>0</v>
      </c>
      <c r="CJ1304" s="62" t="n">
        <f aca="false">N(AF1304)</f>
        <v>0</v>
      </c>
      <c r="CK1304" s="62" t="n">
        <f aca="false">N(M1304)+N(N1304)</f>
        <v>24</v>
      </c>
      <c r="CL1304" s="62" t="n">
        <f aca="false">N(M1304)</f>
        <v>4</v>
      </c>
      <c r="CM1304" s="62" t="n">
        <f aca="false">N(N1304)</f>
        <v>20</v>
      </c>
      <c r="CN1304" s="62" t="n">
        <f aca="false">ROUNDUP(H1304/BZ1304,0)</f>
        <v>1</v>
      </c>
      <c r="CO1304" s="62" t="n">
        <f aca="false">ROUNDUP(CJ1304/BZ1304,0)</f>
        <v>0</v>
      </c>
      <c r="CP1304" s="65" t="n">
        <f aca="false">IF(CA1304=1,0,IFERROR(VLOOKUP(BY1304,'Gebinde-Kategorie'!$A$5:$N$45,5,0)+0,0))</f>
        <v>11</v>
      </c>
      <c r="CQ1304" s="65" t="n">
        <f aca="false">IFERROR(IF(OR(CF1304=1,CF1304=2,CF1304=3),N(INDEX(Parameter!$I$5:$I$7,CF1304)),0),0)</f>
        <v>0</v>
      </c>
      <c r="CR1304" s="64" t="n">
        <f aca="false">IF(AND(Parameter!$B$21="Ja",ISNUMBER(W1304),N(X1304)&gt;0),IFERROR(N(INDEX(Parameter!$L$5:$L$7,W1304))*INDEX(Parameter!$E$5:$E$7,W1304)*X1304/SUMIFS($X$7:$X$1843,$W$7:$W$1843,W1304),0),0)</f>
        <v>0</v>
      </c>
      <c r="CS1304" s="62" t="n">
        <f aca="false">IF(AND(OR(CG1304="L1",CG1304="L23",CG1304="LIFT"),H1304&gt;0),CC1304*IF(CR1304&gt;0,CR1304*MAX(1,H1304/X1304),IF(CA1304=1,CE1304,IF(R1304&gt;0,CN1304/R1304,0))/MAX(0.1,N(Parameter!$M$21))),"")</f>
        <v>5.96153846153846</v>
      </c>
      <c r="CT1304" s="64" t="n">
        <f aca="false">IF(CS1304="","",J1304/H1304)</f>
        <v>2.73076923076923</v>
      </c>
      <c r="CU1304" s="62" t="n">
        <f aca="false">IF(CS1304="","",H1304*G1304)</f>
        <v>1678.82</v>
      </c>
      <c r="CV1304" s="63" t="n">
        <f aca="false">IF(CS1304="","",(CL1304+ROUNDUP(CL1304+MAX(CM1304,2*(J1304/MAX(0.1,N(Einkauf!$C$6))-CL1304)),0))/2)</f>
        <v>18</v>
      </c>
      <c r="CW1304" s="62" t="n">
        <f aca="false">IF(CS1304="","",MAX(0,H1304-CV1304)*G1304)</f>
        <v>516.56</v>
      </c>
      <c r="CX1304" s="62" t="n">
        <f aca="false">IF(CS1304="","",CS1304*MAX(0,1-CV1304/H1304))</f>
        <v>1.83431952662722</v>
      </c>
      <c r="CY1304" s="64" t="n">
        <f aca="false">IF(CS1304="","",PERCENTRANK($CS$7:$CS$1843,CS1304)+PERCENTRANK($CU$7:$CU$1843,CU1304)+1-PERCENTRANK($CT$7:$CT$1843,CT1304))</f>
        <v>1.219</v>
      </c>
      <c r="CZ1304" s="72" t="n">
        <f aca="false">IF(CS1304="","",CHOOSE(MATCH(Einkauf!$C$5,Parameter!$G$23:$G$27,0),CY1304,CS1304,CU1304,-CT1304,CW1304)+ROW()/1000000000)</f>
        <v>1.219001304</v>
      </c>
    </row>
    <row r="1305" customFormat="false" ht="15" hidden="false" customHeight="false" outlineLevel="0" collapsed="false">
      <c r="A1305" s="60" t="s">
        <v>2361</v>
      </c>
      <c r="B1305" s="60" t="s">
        <v>1193</v>
      </c>
      <c r="C1305" s="60" t="s">
        <v>206</v>
      </c>
      <c r="D1305" s="60" t="s">
        <v>226</v>
      </c>
      <c r="E1305" s="60" t="s">
        <v>227</v>
      </c>
      <c r="F1305" s="60" t="s">
        <v>260</v>
      </c>
      <c r="G1305" s="61" t="n">
        <v>108.99</v>
      </c>
      <c r="H1305" s="62" t="n">
        <f aca="false">MAX(0,IF(AND(Parameter!$B$21="Ja",ISNUMBER(Y1305)),Y1305,IF(Parameter!$B$20="Jahresanfang 2025 + Export",BS1305+BR1305,BR1305)))</f>
        <v>20</v>
      </c>
      <c r="I1305" s="62" t="n">
        <f aca="false">H1305*G1305</f>
        <v>2179.8</v>
      </c>
      <c r="J1305" s="62" t="n">
        <f aca="false">BU1305*Parameter!$B$18</f>
        <v>68</v>
      </c>
      <c r="K1305" s="63" t="n">
        <v>22</v>
      </c>
      <c r="L1305" s="64" t="n">
        <v>3.09090909090909</v>
      </c>
      <c r="M1305" s="62" t="n">
        <v>4</v>
      </c>
      <c r="N1305" s="62" t="n">
        <v>35</v>
      </c>
      <c r="O1305" s="65" t="n">
        <v>21</v>
      </c>
      <c r="P1305" s="60" t="s">
        <v>344</v>
      </c>
      <c r="Q1305" s="62" t="n">
        <v>56</v>
      </c>
      <c r="R1305" s="65" t="n">
        <f aca="false">IF(CA1305=1,0,IFERROR(VLOOKUP(BY1305,'Gebinde-Kategorie'!$A$5:$N$45,13,0)+0,0))</f>
        <v>26</v>
      </c>
      <c r="S1305" s="66"/>
      <c r="T1305" s="67"/>
      <c r="U1305" s="67"/>
      <c r="V1305" s="67"/>
      <c r="W1305" s="60"/>
      <c r="X1305" s="62"/>
      <c r="Y1305" s="62"/>
      <c r="Z1305" s="60" t="n">
        <v>3</v>
      </c>
      <c r="AA1305" s="60" t="n">
        <f aca="false">IF(A1305="","",IF(AND(Parameter!$B$21="Ja",ISNUMBER(W1305)),W1305,IF(AND(Parameter!$E$27="Ja",ISNUMBER(Z1305),CD1305&lt;&gt;"Nein"),Z1305,IF(CD1305="2+3",IF(ISNUMBER(SEARCH("grosser Artikel",BV1305)),2,IFERROR(VLOOKUP(BY1305,Parameter!$F$35:$G$64,2,0),2)),IF(OR(CD1305="Nein",CD1305=""),"-",CD1305)))))</f>
        <v>3</v>
      </c>
      <c r="AB1305" s="67"/>
      <c r="AC1305" s="68"/>
      <c r="AD1305" s="62" t="n">
        <f aca="false">AW1305</f>
        <v>42</v>
      </c>
      <c r="AE1305" s="62" t="n">
        <f aca="false">MAX(AW1305,H1305)</f>
        <v>42</v>
      </c>
      <c r="AF1305" s="69"/>
      <c r="AG1305" s="62" t="n">
        <f aca="false">IF(LEFT(Cockpit!$C$5,1)="A",H1305,IF(Parameter!$E$30="MAX-Bestand",IF(CI1305=1,CJ1305,IF(LEFT(Cockpit!$C$5,1)="B",AM1305,MAX(AM1305,H1305))),ROUNDUP(AK1305,0)))</f>
        <v>20</v>
      </c>
      <c r="AH1305" s="62" t="n">
        <f aca="false">IF(CA1305=1,0,ROUNDUP(AG1305/BZ1305,0))</f>
        <v>1</v>
      </c>
      <c r="AI1305" s="64" t="n">
        <f aca="false">IF(CR1305&gt;0,CR1305*MAX(1,AG1305/X1305),IF(CA1305=1,IF(AG1305&lt;=0,0,CE1305*MAX(1,IF(H1305&gt;0,AG1305/H1305,1))),IF(R1305&gt;0,AH1305/R1305,0))/MAX(0.1,N(Parameter!$M$21)))</f>
        <v>0.0384615384615385</v>
      </c>
      <c r="AJ1305" s="62" t="n">
        <f aca="false">AI1305*CC1305</f>
        <v>5.96153846153846</v>
      </c>
      <c r="AK1305" s="63" t="n">
        <f aca="false">IF(LEFT(Cockpit!$C$5,1)="A",H1305,IF(CI1305=1,(CL1305+CJ1305)/2,IF(LEFT(Cockpit!$C$5,1)="B",(CL1305+AM1305)/2,MAX((CL1305+AM1305)/2,H1305))))</f>
        <v>20</v>
      </c>
      <c r="AL1305" s="62" t="n">
        <f aca="false">AK1305*G1305</f>
        <v>2179.8</v>
      </c>
      <c r="AM1305" s="62" t="n">
        <f aca="false">ROUNDUP(CL1305+MAX(CM1305,2*(J1305/IF(CH1305&gt;0,CH1305,MAX(0.1,N(Cockpit!$C$6)))-CL1305)),0)</f>
        <v>42</v>
      </c>
      <c r="AN1305" s="63" t="n">
        <f aca="false">IF(AJ1305&gt;0,J1305/AJ1305,-1)</f>
        <v>11.4064516129032</v>
      </c>
      <c r="AO1305" s="63" t="n">
        <f aca="false">IF(AND(OR(CG1305="L1",CG1305="L23",CG1305="LIFT"),AJ1305&gt;0),SUMIFS($AJ$7:$AJ$1843,$CG$7:$CG$1843,CG1305,$AN$7:$AN$1843,"&gt;"&amp;AN1305)+SUMIFS($AJ$7:$AJ$1843,$CG$7:$CG$1843,CG1305,$AN$7:$AN$1843,AN1305,$BX$7:$BX$1843,"&lt;="&amp;BX1305),"")</f>
        <v>2553.39835164835</v>
      </c>
      <c r="AP1305" s="70" t="n">
        <f aca="false">IF(AO1305="",0,MAX(0,MIN(1,(IF(CG1305="L1",Parameter!$H$5,IF(CG1305="L23",Parameter!$H$6+Parameter!$H$7,Parameter!$H$5+Parameter!$H$6+Parameter!$H$7))-(AO1305-AJ1305))/AJ1305)))</f>
        <v>1</v>
      </c>
      <c r="AQ1305" s="62" t="n">
        <f aca="false">IF(LEFT(Cockpit!$I$5,1)="A",H1305,IF(Parameter!$E$30="MAX-Bestand",IF(CI1305=1,CJ1305,IF(LEFT(Cockpit!$I$5,1)="B",AW1305,MAX(AW1305,H1305))),ROUNDUP(AU1305,0)))</f>
        <v>23</v>
      </c>
      <c r="AR1305" s="62" t="n">
        <f aca="false">IF(CA1305=1,0,ROUNDUP(AQ1305/BZ1305,0))</f>
        <v>1</v>
      </c>
      <c r="AS1305" s="64" t="n">
        <f aca="false">IF(CR1305&gt;0,CR1305*MAX(1,AQ1305/X1305),IF(CA1305=1,IF(AQ1305&lt;=0,0,CE1305*MAX(1,IF(H1305&gt;0,AQ1305/H1305,1))),IF(R1305&gt;0,AR1305/R1305,0))/MAX(0.1,N(Parameter!$M$21)))</f>
        <v>0.0384615384615385</v>
      </c>
      <c r="AT1305" s="62" t="n">
        <f aca="false">AS1305*CC1305</f>
        <v>5.96153846153846</v>
      </c>
      <c r="AU1305" s="63" t="n">
        <f aca="false">IF(LEFT(Cockpit!$I$5,1)="A",H1305,IF(CI1305=1,(CL1305+CJ1305)/2,IF(LEFT(Cockpit!$I$5,1)="B",(CL1305+AW1305)/2,MAX((CL1305+AW1305)/2,H1305))))</f>
        <v>23</v>
      </c>
      <c r="AV1305" s="62" t="n">
        <f aca="false">AU1305*G1305</f>
        <v>2506.77</v>
      </c>
      <c r="AW1305" s="62" t="n">
        <f aca="false">ROUNDUP(CL1305+MAX(CM1305,2*(J1305/IF(CH1305&gt;0,CH1305,MAX(0.1,N(Cockpit!$I$6)))-CL1305)),0)</f>
        <v>42</v>
      </c>
      <c r="AX1305" s="63" t="n">
        <f aca="false">IF(AT1305&gt;0,J1305/AT1305,-1)</f>
        <v>11.4064516129032</v>
      </c>
      <c r="AY1305" s="63" t="n">
        <f aca="false">IF(AND(OR(CG1305="L1",CG1305="L23",CG1305="LIFT"),AT1305&gt;0),SUMIFS($AT$7:$AT$1843,$CG$7:$CG$1843,CG1305,$AX$7:$AX$1843,"&gt;"&amp;AX1305)+SUMIFS($AT$7:$AT$1843,$CG$7:$CG$1843,CG1305,$AX$7:$AX$1843,AX1305,$BX$7:$BX$1843,"&lt;="&amp;BX1305),"")</f>
        <v>3149.54029304029</v>
      </c>
      <c r="AZ1305" s="70" t="n">
        <f aca="false">IF(AY1305="",0,MAX(0,MIN(1,(IF(CG1305="L1",Parameter!$H$5,IF(CG1305="L23",Parameter!$H$6+Parameter!$H$7,Parameter!$H$5+Parameter!$H$6+Parameter!$H$7))-(AY1305-AT1305))/AT1305)))</f>
        <v>1</v>
      </c>
      <c r="BA1305" s="62" t="n">
        <f aca="false">IF(LEFT(Cockpit!$O$5,1)="A",H1305,IF(Parameter!$E$30="MAX-Bestand",IF(CI1305=1,CJ1305,IF(LEFT(Cockpit!$O$5,1)="B",BG1305,MAX(BG1305,H1305))),ROUNDUP(BE1305,0)))</f>
        <v>22</v>
      </c>
      <c r="BB1305" s="62" t="n">
        <f aca="false">IF(CA1305=1,0,ROUNDUP(BA1305/BZ1305,0))</f>
        <v>1</v>
      </c>
      <c r="BC1305" s="64" t="n">
        <f aca="false">IF(CR1305&gt;0,CR1305*MAX(1,BA1305/X1305),IF(CA1305=1,IF(BA1305&lt;=0,0,CE1305*MAX(1,IF(H1305&gt;0,BA1305/H1305,1))),IF(R1305&gt;0,BB1305/R1305,0))/MAX(0.1,N(Parameter!$M$21)))</f>
        <v>0.0384615384615385</v>
      </c>
      <c r="BD1305" s="62" t="n">
        <f aca="false">BC1305*CC1305</f>
        <v>5.96153846153846</v>
      </c>
      <c r="BE1305" s="63" t="n">
        <f aca="false">IF(LEFT(Cockpit!$O$5,1)="A",H1305,IF(CI1305=1,(CL1305+CJ1305)/2,IF(LEFT(Cockpit!$O$5,1)="B",(CL1305+BG1305)/2,MAX((CL1305+BG1305)/2,H1305))))</f>
        <v>21.5</v>
      </c>
      <c r="BF1305" s="62" t="n">
        <f aca="false">BE1305*G1305</f>
        <v>2343.285</v>
      </c>
      <c r="BG1305" s="62" t="n">
        <f aca="false">ROUNDUP(CL1305+MAX(CM1305,2*(J1305/IF(CH1305&gt;0,CH1305,MAX(0.1,N(Cockpit!$O$6)))-CL1305)),0)</f>
        <v>39</v>
      </c>
      <c r="BH1305" s="63" t="n">
        <f aca="false">IF(BD1305&gt;0,J1305/BD1305,-1)</f>
        <v>11.4064516129032</v>
      </c>
      <c r="BI1305" s="63" t="n">
        <f aca="false">IF(AND(OR(CG1305="L1",CG1305="L23",CG1305="LIFT"),BD1305&gt;0),SUMIFS($BD$7:$BD$1843,$CG$7:$CG$1843,CG1305,$BH$7:$BH$1843,"&gt;"&amp;BH1305)+SUMIFS($BD$7:$BD$1843,$CG$7:$CG$1843,CG1305,$BH$7:$BH$1843,BH1305,$BX$7:$BX$1843,"&lt;="&amp;BX1305),"")</f>
        <v>2634.64926739927</v>
      </c>
      <c r="BJ1305" s="70" t="n">
        <f aca="false">IF(BI1305="",0,MAX(0,MIN(1,(IF(CG1305="L1",Parameter!$H$5,IF(CG1305="L23",Parameter!$H$6+Parameter!$H$7,Parameter!$H$5+Parameter!$H$6+Parameter!$H$7))-(BI1305-BD1305))/BD1305)))</f>
        <v>1</v>
      </c>
      <c r="BK1305" s="60" t="str">
        <f aca="false">IF(AJ1305&lt;=0,"",IF(CG1305="Aussen","Aussenlager",IF(CG1305="-","Nicht im Lift",IF(AP1305&gt;=1,"Lift",IF(AP1305&lt;=0,"Aussenlager","teilweise")))))</f>
        <v>Lift</v>
      </c>
      <c r="BL1305" s="60" t="str">
        <f aca="false">IF(AT1305&lt;=0,"",IF(CG1305="Aussen","Aussenlager",IF(CG1305="-","Nicht im Lift",IF(AZ1305&gt;=1,"Lift",IF(AZ1305&lt;=0,"Aussenlager","teilweise")))))</f>
        <v>Lift</v>
      </c>
      <c r="BM1305" s="60" t="str">
        <f aca="false">IF(BD1305&lt;=0,"",IF(CG1305="Aussen","Aussenlager",IF(CG1305="-","Nicht im Lift",IF(BJ1305&gt;=1,"Lift",IF(BJ1305&lt;=0,"Aussenlager","teilweise")))))</f>
        <v>Lift</v>
      </c>
      <c r="BN1305" s="60" t="str">
        <f aca="false">IF(A1305="","",IF(BW1305=1,"Neu; ","")&amp;IF(AND(BW1305=0,BR1305&lt;0),"negativer Bestand (Export "&amp;BR1305&amp;"); ","")&amp;IF(J1305&lt;=0,"Kein Verbrauch; ","")&amp;IF(CR1305&gt;0,"Lift "&amp;W1305&amp;" lt. Liftbericht (Fach "&amp;X1305&amp;" Stk); ",IF(CB1305=1,"Gebinde geschätzt ("&amp;T1305&amp;"); ",IF(CA1305=1,"Lose – Tablare geschätzt; ","")))&amp;IF(H1305&gt;AW1305,"Überbestand "&amp;ROUND(H1305-AW1305,0)&amp;" Stk / CHF "&amp;ROUND((H1305-AW1305)*G1305,0)&amp;"; ","")&amp;IF(AND(CI1305=1,CJ1305&lt;CK1305),"MAX &lt; MB+LG; ","")&amp;IF(AND(CQ1305&gt;0,CP1305*10&gt;CQ1305),"zu hoch für Tablar; ","")&amp;IF(AND(BW1305=0,OR(CI1305=1,AB1305&lt;&gt;"",U1305&lt;&gt;"",V1305&lt;&gt;"",AC1305&lt;&gt;"")),"manuell übersteuert; ","")&amp;IF(AND(CA1305=0,R1305=0),"Gebinde unbekannt / Stellmass fehlt; ","")&amp;IF(AND(CA1305=0,N(V1305)&lt;=0,N(Q1305)&lt;=0),"Menge pro Gebinde fehlt (Ist = 1 Gebinde); ","")&amp;BV1305)</f>
        <v>negativer Bestand (Export -6); </v>
      </c>
      <c r="BO1305" s="60"/>
      <c r="BP1305" s="60"/>
      <c r="BQ1305" s="67"/>
      <c r="BR1305" s="62" t="n">
        <v>-6</v>
      </c>
      <c r="BS1305" s="62" t="n">
        <v>26</v>
      </c>
      <c r="BT1305" s="61" t="n">
        <v>-1221</v>
      </c>
      <c r="BU1305" s="62" t="n">
        <v>68</v>
      </c>
      <c r="BV1305" s="60"/>
      <c r="BW1305" s="65" t="n">
        <v>0</v>
      </c>
      <c r="BX1305" s="65" t="n">
        <v>1305</v>
      </c>
      <c r="BY1305" s="60" t="str">
        <f aca="false">IF(U1305&lt;&gt;"",UPPER(TRIM(U1305)),IF(CB1305=1,UPPER(VLOOKUP(T1305,Parameter!$I$27:$K$29,2,0)),IF(P1305="","LOSE",P1305)))</f>
        <v>S51</v>
      </c>
      <c r="BZ1305" s="62" t="n">
        <f aca="false">IF(BY1305="LOSE",1,IF(N(V1305)&gt;0,V1305,IF(CB1305=1,MAX(1,N(VLOOKUP(T1305,Parameter!$I$27:$K$29,3,0)),H1305,N(N1305)),IF(N(Q1305)&gt;0,Q1305,MAX(1,H1305)))))</f>
        <v>56</v>
      </c>
      <c r="CA1305" s="65" t="n">
        <f aca="false">IF(BY1305="LOSE",1,0)</f>
        <v>0</v>
      </c>
      <c r="CB1305" s="65" t="n">
        <f aca="false">IF(AND(U1305="",OR(P1305="",P1305="LOSE"),T1305&lt;&gt;"",N(S1305)&lt;=0,ISNUMBER(MATCH(T1305,Parameter!$I$27:$I$29,0))),1,0)</f>
        <v>0</v>
      </c>
      <c r="CC1305" s="65" t="n">
        <f aca="false">IF(CR1305&gt;0,INDEX(Parameter!$H$5:$H$7,W1305)/INDEX(Parameter!$E$5:$E$7,W1305),IF(AND(CA1305=0,N(IFERROR(VLOOKUP(BY1305,'Gebinde-Kategorie'!$A$5:$N$45,14,0),0))&gt;0),VLOOKUP(BY1305,'Gebinde-Kategorie'!$A$5:$N$45,14,0)*10+Parameter!$M$23,Parameter!$M$24))</f>
        <v>155</v>
      </c>
      <c r="CD1305" s="60" t="str">
        <f aca="false">IF(AND(Parameter!$B$19="Ja",E1305&lt;&gt;"",ISNUMBER(MATCH(E1305,Parameter!$I$35:$I$52,0))),VLOOKUP(E1305,Parameter!$I$35:$J$52,2,0),IFERROR(VLOOKUP(D1305,Parameter!$A$35:$C$64,2,0),"Nein"))</f>
        <v>2+3</v>
      </c>
      <c r="CE1305" s="64" t="n">
        <f aca="false">IF(CA1305=0,0,IF(N(S1305)&gt;0,S1305,IFERROR(VLOOKUP(D1305,Parameter!$A$35:$C$64,3,0)+0,0)))</f>
        <v>0</v>
      </c>
      <c r="CF1305" s="60" t="n">
        <f aca="false">IF(AB1305&lt;&gt;"",AB1305,AA1305)</f>
        <v>3</v>
      </c>
      <c r="CG1305" s="60" t="str">
        <f aca="false">IF(OR(CF1305=1,CF1305=2,CF1305=3),IF(Parameter!$E$27="Ja","LIFT",IF(CF1305=1,"L1","L23")),IF(CF1305="Aussen","Aussen","-"))</f>
        <v>LIFT</v>
      </c>
      <c r="CH1305" s="71" t="n">
        <f aca="false">IF(N(AC1305)&gt;0,AC1305,0)</f>
        <v>0</v>
      </c>
      <c r="CI1305" s="65" t="n">
        <f aca="false">IF(ISNUMBER(AF1305),1,0)</f>
        <v>0</v>
      </c>
      <c r="CJ1305" s="62" t="n">
        <f aca="false">N(AF1305)</f>
        <v>0</v>
      </c>
      <c r="CK1305" s="62" t="n">
        <f aca="false">N(M1305)+N(N1305)</f>
        <v>39</v>
      </c>
      <c r="CL1305" s="62" t="n">
        <f aca="false">N(M1305)</f>
        <v>4</v>
      </c>
      <c r="CM1305" s="62" t="n">
        <f aca="false">N(N1305)</f>
        <v>35</v>
      </c>
      <c r="CN1305" s="62" t="n">
        <f aca="false">ROUNDUP(H1305/BZ1305,0)</f>
        <v>1</v>
      </c>
      <c r="CO1305" s="62" t="n">
        <f aca="false">ROUNDUP(CJ1305/BZ1305,0)</f>
        <v>0</v>
      </c>
      <c r="CP1305" s="65" t="n">
        <f aca="false">IF(CA1305=1,0,IFERROR(VLOOKUP(BY1305,'Gebinde-Kategorie'!$A$5:$N$45,5,0)+0,0))</f>
        <v>11</v>
      </c>
      <c r="CQ1305" s="65" t="n">
        <f aca="false">IFERROR(IF(OR(CF1305=1,CF1305=2,CF1305=3),N(INDEX(Parameter!$I$5:$I$7,CF1305)),0),0)</f>
        <v>0</v>
      </c>
      <c r="CR1305" s="64" t="n">
        <f aca="false">IF(AND(Parameter!$B$21="Ja",ISNUMBER(W1305),N(X1305)&gt;0),IFERROR(N(INDEX(Parameter!$L$5:$L$7,W1305))*INDEX(Parameter!$E$5:$E$7,W1305)*X1305/SUMIFS($X$7:$X$1843,$W$7:$W$1843,W1305),0),0)</f>
        <v>0</v>
      </c>
      <c r="CS1305" s="62" t="n">
        <f aca="false">IF(AND(OR(CG1305="L1",CG1305="L23",CG1305="LIFT"),H1305&gt;0),CC1305*IF(CR1305&gt;0,CR1305*MAX(1,H1305/X1305),IF(CA1305=1,CE1305,IF(R1305&gt;0,CN1305/R1305,0))/MAX(0.1,N(Parameter!$M$21))),"")</f>
        <v>5.96153846153846</v>
      </c>
      <c r="CT1305" s="64" t="n">
        <f aca="false">IF(CS1305="","",J1305/H1305)</f>
        <v>3.4</v>
      </c>
      <c r="CU1305" s="62" t="n">
        <f aca="false">IF(CS1305="","",H1305*G1305)</f>
        <v>2179.8</v>
      </c>
      <c r="CV1305" s="63" t="n">
        <f aca="false">IF(CS1305="","",(CL1305+ROUNDUP(CL1305+MAX(CM1305,2*(J1305/MAX(0.1,N(Einkauf!$C$6))-CL1305)),0))/2)</f>
        <v>21.5</v>
      </c>
      <c r="CW1305" s="62" t="n">
        <f aca="false">IF(CS1305="","",MAX(0,H1305-CV1305)*G1305)</f>
        <v>0</v>
      </c>
      <c r="CX1305" s="62" t="n">
        <f aca="false">IF(CS1305="","",CS1305*MAX(0,1-CV1305/H1305))</f>
        <v>0</v>
      </c>
      <c r="CY1305" s="64" t="n">
        <f aca="false">IF(CS1305="","",PERCENTRANK($CS$7:$CS$1843,CS1305)+PERCENTRANK($CU$7:$CU$1843,CU1305)+1-PERCENTRANK($CT$7:$CT$1843,CT1305))</f>
        <v>1.232</v>
      </c>
      <c r="CZ1305" s="72" t="n">
        <f aca="false">IF(CS1305="","",CHOOSE(MATCH(Einkauf!$C$5,Parameter!$G$23:$G$27,0),CY1305,CS1305,CU1305,-CT1305,CW1305)+ROW()/1000000000)</f>
        <v>1.232001305</v>
      </c>
    </row>
    <row r="1306" customFormat="false" ht="15" hidden="false" customHeight="false" outlineLevel="0" collapsed="false">
      <c r="A1306" s="60" t="s">
        <v>2362</v>
      </c>
      <c r="B1306" s="60" t="s">
        <v>447</v>
      </c>
      <c r="C1306" s="60" t="s">
        <v>206</v>
      </c>
      <c r="D1306" s="60" t="s">
        <v>215</v>
      </c>
      <c r="E1306" s="60" t="s">
        <v>227</v>
      </c>
      <c r="F1306" s="60" t="s">
        <v>260</v>
      </c>
      <c r="G1306" s="61" t="n">
        <v>0.6</v>
      </c>
      <c r="H1306" s="62" t="n">
        <f aca="false">MAX(0,IF(AND(Parameter!$B$21="Ja",ISNUMBER(Y1306)),Y1306,IF(Parameter!$B$20="Jahresanfang 2025 + Export",BS1306+BR1306,BR1306)))</f>
        <v>1207</v>
      </c>
      <c r="I1306" s="62" t="n">
        <f aca="false">H1306*G1306</f>
        <v>724.2</v>
      </c>
      <c r="J1306" s="62" t="n">
        <f aca="false">BU1306*Parameter!$B$18</f>
        <v>2375</v>
      </c>
      <c r="K1306" s="63" t="n">
        <v>2079</v>
      </c>
      <c r="L1306" s="64" t="n">
        <v>1.14237614237614</v>
      </c>
      <c r="M1306" s="62" t="n">
        <v>600</v>
      </c>
      <c r="N1306" s="62" t="n">
        <v>500</v>
      </c>
      <c r="O1306" s="65" t="n">
        <v>91</v>
      </c>
      <c r="P1306" s="60" t="s">
        <v>216</v>
      </c>
      <c r="Q1306" s="62" t="n">
        <v>750</v>
      </c>
      <c r="R1306" s="65" t="n">
        <f aca="false">IF(CA1306=1,0,IFERROR(VLOOKUP(BY1306,'Gebinde-Kategorie'!$A$5:$N$45,13,0)+0,0))</f>
        <v>6</v>
      </c>
      <c r="S1306" s="66"/>
      <c r="T1306" s="67"/>
      <c r="U1306" s="67"/>
      <c r="V1306" s="67"/>
      <c r="W1306" s="60"/>
      <c r="X1306" s="62"/>
      <c r="Y1306" s="62"/>
      <c r="Z1306" s="60" t="n">
        <v>2</v>
      </c>
      <c r="AA1306" s="60" t="n">
        <f aca="false">IF(A1306="","",IF(AND(Parameter!$B$21="Ja",ISNUMBER(W1306)),W1306,IF(AND(Parameter!$E$27="Ja",ISNUMBER(Z1306),CD1306&lt;&gt;"Nein"),Z1306,IF(CD1306="2+3",IF(ISNUMBER(SEARCH("grosser Artikel",BV1306)),2,IFERROR(VLOOKUP(BY1306,Parameter!$F$35:$G$64,2,0),2)),IF(OR(CD1306="Nein",CD1306=""),"-",CD1306)))))</f>
        <v>2</v>
      </c>
      <c r="AB1306" s="67"/>
      <c r="AC1306" s="68"/>
      <c r="AD1306" s="62" t="n">
        <f aca="false">AW1306</f>
        <v>1100</v>
      </c>
      <c r="AE1306" s="62" t="n">
        <f aca="false">MAX(AW1306,H1306)</f>
        <v>1207</v>
      </c>
      <c r="AF1306" s="69"/>
      <c r="AG1306" s="62" t="n">
        <f aca="false">IF(LEFT(Cockpit!$C$5,1)="A",H1306,IF(Parameter!$E$30="MAX-Bestand",IF(CI1306=1,CJ1306,IF(LEFT(Cockpit!$C$5,1)="B",AM1306,MAX(AM1306,H1306))),ROUNDUP(AK1306,0)))</f>
        <v>1207</v>
      </c>
      <c r="AH1306" s="62" t="n">
        <f aca="false">IF(CA1306=1,0,ROUNDUP(AG1306/BZ1306,0))</f>
        <v>2</v>
      </c>
      <c r="AI1306" s="64" t="n">
        <f aca="false">IF(CR1306&gt;0,CR1306*MAX(1,AG1306/X1306),IF(CA1306=1,IF(AG1306&lt;=0,0,CE1306*MAX(1,IF(H1306&gt;0,AG1306/H1306,1))),IF(R1306&gt;0,AH1306/R1306,0))/MAX(0.1,N(Parameter!$M$21)))</f>
        <v>0.333333333333333</v>
      </c>
      <c r="AJ1306" s="62" t="n">
        <f aca="false">AI1306*CC1306</f>
        <v>78.3333333333333</v>
      </c>
      <c r="AK1306" s="63" t="n">
        <f aca="false">IF(LEFT(Cockpit!$C$5,1)="A",H1306,IF(CI1306=1,(CL1306+CJ1306)/2,IF(LEFT(Cockpit!$C$5,1)="B",(CL1306+AM1306)/2,MAX((CL1306+AM1306)/2,H1306))))</f>
        <v>1207</v>
      </c>
      <c r="AL1306" s="62" t="n">
        <f aca="false">AK1306*G1306</f>
        <v>724.2</v>
      </c>
      <c r="AM1306" s="62" t="n">
        <f aca="false">ROUNDUP(CL1306+MAX(CM1306,2*(J1306/IF(CH1306&gt;0,CH1306,MAX(0.1,N(Cockpit!$C$6)))-CL1306)),0)</f>
        <v>1100</v>
      </c>
      <c r="AN1306" s="63" t="n">
        <f aca="false">IF(AJ1306&gt;0,J1306/AJ1306,-1)</f>
        <v>30.3191489361702</v>
      </c>
      <c r="AO1306" s="63" t="n">
        <f aca="false">IF(AND(OR(CG1306="L1",CG1306="L23",CG1306="LIFT"),AJ1306&gt;0),SUMIFS($AJ$7:$AJ$1843,$CG$7:$CG$1843,CG1306,$AN$7:$AN$1843,"&gt;"&amp;AN1306)+SUMIFS($AJ$7:$AJ$1843,$CG$7:$CG$1843,CG1306,$AN$7:$AN$1843,AN1306,$BX$7:$BX$1843,"&lt;="&amp;BX1306),"")</f>
        <v>1481.68498168498</v>
      </c>
      <c r="AP1306" s="70" t="n">
        <f aca="false">IF(AO1306="",0,MAX(0,MIN(1,(IF(CG1306="L1",Parameter!$H$5,IF(CG1306="L23",Parameter!$H$6+Parameter!$H$7,Parameter!$H$5+Parameter!$H$6+Parameter!$H$7))-(AO1306-AJ1306))/AJ1306)))</f>
        <v>1</v>
      </c>
      <c r="AQ1306" s="62" t="n">
        <f aca="false">IF(LEFT(Cockpit!$I$5,1)="A",H1306,IF(Parameter!$E$30="MAX-Bestand",IF(CI1306=1,CJ1306,IF(LEFT(Cockpit!$I$5,1)="B",AW1306,MAX(AW1306,H1306))),ROUNDUP(AU1306,0)))</f>
        <v>1207</v>
      </c>
      <c r="AR1306" s="62" t="n">
        <f aca="false">IF(CA1306=1,0,ROUNDUP(AQ1306/BZ1306,0))</f>
        <v>2</v>
      </c>
      <c r="AS1306" s="64" t="n">
        <f aca="false">IF(CR1306&gt;0,CR1306*MAX(1,AQ1306/X1306),IF(CA1306=1,IF(AQ1306&lt;=0,0,CE1306*MAX(1,IF(H1306&gt;0,AQ1306/H1306,1))),IF(R1306&gt;0,AR1306/R1306,0))/MAX(0.1,N(Parameter!$M$21)))</f>
        <v>0.333333333333333</v>
      </c>
      <c r="AT1306" s="62" t="n">
        <f aca="false">AS1306*CC1306</f>
        <v>78.3333333333333</v>
      </c>
      <c r="AU1306" s="63" t="n">
        <f aca="false">IF(LEFT(Cockpit!$I$5,1)="A",H1306,IF(CI1306=1,(CL1306+CJ1306)/2,IF(LEFT(Cockpit!$I$5,1)="B",(CL1306+AW1306)/2,MAX((CL1306+AW1306)/2,H1306))))</f>
        <v>1207</v>
      </c>
      <c r="AV1306" s="62" t="n">
        <f aca="false">AU1306*G1306</f>
        <v>724.2</v>
      </c>
      <c r="AW1306" s="62" t="n">
        <f aca="false">ROUNDUP(CL1306+MAX(CM1306,2*(J1306/IF(CH1306&gt;0,CH1306,MAX(0.1,N(Cockpit!$I$6)))-CL1306)),0)</f>
        <v>1100</v>
      </c>
      <c r="AX1306" s="63" t="n">
        <f aca="false">IF(AT1306&gt;0,J1306/AT1306,-1)</f>
        <v>30.3191489361702</v>
      </c>
      <c r="AY1306" s="63" t="n">
        <f aca="false">IF(AND(OR(CG1306="L1",CG1306="L23",CG1306="LIFT"),AT1306&gt;0),SUMIFS($AT$7:$AT$1843,$CG$7:$CG$1843,CG1306,$AX$7:$AX$1843,"&gt;"&amp;AX1306)+SUMIFS($AT$7:$AT$1843,$CG$7:$CG$1843,CG1306,$AX$7:$AX$1843,AX1306,$BX$7:$BX$1843,"&lt;="&amp;BX1306),"")</f>
        <v>1900.31227106227</v>
      </c>
      <c r="AZ1306" s="70" t="n">
        <f aca="false">IF(AY1306="",0,MAX(0,MIN(1,(IF(CG1306="L1",Parameter!$H$5,IF(CG1306="L23",Parameter!$H$6+Parameter!$H$7,Parameter!$H$5+Parameter!$H$6+Parameter!$H$7))-(AY1306-AT1306))/AT1306)))</f>
        <v>1</v>
      </c>
      <c r="BA1306" s="62" t="n">
        <f aca="false">IF(LEFT(Cockpit!$O$5,1)="A",H1306,IF(Parameter!$E$30="MAX-Bestand",IF(CI1306=1,CJ1306,IF(LEFT(Cockpit!$O$5,1)="B",BG1306,MAX(BG1306,H1306))),ROUNDUP(BE1306,0)))</f>
        <v>850</v>
      </c>
      <c r="BB1306" s="62" t="n">
        <f aca="false">IF(CA1306=1,0,ROUNDUP(BA1306/BZ1306,0))</f>
        <v>2</v>
      </c>
      <c r="BC1306" s="64" t="n">
        <f aca="false">IF(CR1306&gt;0,CR1306*MAX(1,BA1306/X1306),IF(CA1306=1,IF(BA1306&lt;=0,0,CE1306*MAX(1,IF(H1306&gt;0,BA1306/H1306,1))),IF(R1306&gt;0,BB1306/R1306,0))/MAX(0.1,N(Parameter!$M$21)))</f>
        <v>0.333333333333333</v>
      </c>
      <c r="BD1306" s="62" t="n">
        <f aca="false">BC1306*CC1306</f>
        <v>78.3333333333333</v>
      </c>
      <c r="BE1306" s="63" t="n">
        <f aca="false">IF(LEFT(Cockpit!$O$5,1)="A",H1306,IF(CI1306=1,(CL1306+CJ1306)/2,IF(LEFT(Cockpit!$O$5,1)="B",(CL1306+BG1306)/2,MAX((CL1306+BG1306)/2,H1306))))</f>
        <v>850</v>
      </c>
      <c r="BF1306" s="62" t="n">
        <f aca="false">BE1306*G1306</f>
        <v>510</v>
      </c>
      <c r="BG1306" s="62" t="n">
        <f aca="false">ROUNDUP(CL1306+MAX(CM1306,2*(J1306/IF(CH1306&gt;0,CH1306,MAX(0.1,N(Cockpit!$O$6)))-CL1306)),0)</f>
        <v>1100</v>
      </c>
      <c r="BH1306" s="63" t="n">
        <f aca="false">IF(BD1306&gt;0,J1306/BD1306,-1)</f>
        <v>30.3191489361702</v>
      </c>
      <c r="BI1306" s="63" t="n">
        <f aca="false">IF(AND(OR(CG1306="L1",CG1306="L23",CG1306="LIFT"),BD1306&gt;0),SUMIFS($BD$7:$BD$1843,$CG$7:$CG$1843,CG1306,$BH$7:$BH$1843,"&gt;"&amp;BH1306)+SUMIFS($BD$7:$BD$1843,$CG$7:$CG$1843,CG1306,$BH$7:$BH$1843,BH1306,$BX$7:$BX$1843,"&lt;="&amp;BX1306),"")</f>
        <v>1843.73534798535</v>
      </c>
      <c r="BJ1306" s="70" t="n">
        <f aca="false">IF(BI1306="",0,MAX(0,MIN(1,(IF(CG1306="L1",Parameter!$H$5,IF(CG1306="L23",Parameter!$H$6+Parameter!$H$7,Parameter!$H$5+Parameter!$H$6+Parameter!$H$7))-(BI1306-BD1306))/BD1306)))</f>
        <v>1</v>
      </c>
      <c r="BK1306" s="60" t="str">
        <f aca="false">IF(AJ1306&lt;=0,"",IF(CG1306="Aussen","Aussenlager",IF(CG1306="-","Nicht im Lift",IF(AP1306&gt;=1,"Lift",IF(AP1306&lt;=0,"Aussenlager","teilweise")))))</f>
        <v>Lift</v>
      </c>
      <c r="BL1306" s="60" t="str">
        <f aca="false">IF(AT1306&lt;=0,"",IF(CG1306="Aussen","Aussenlager",IF(CG1306="-","Nicht im Lift",IF(AZ1306&gt;=1,"Lift",IF(AZ1306&lt;=0,"Aussenlager","teilweise")))))</f>
        <v>Lift</v>
      </c>
      <c r="BM1306" s="60" t="str">
        <f aca="false">IF(BD1306&lt;=0,"",IF(CG1306="Aussen","Aussenlager",IF(CG1306="-","Nicht im Lift",IF(BJ1306&gt;=1,"Lift",IF(BJ1306&lt;=0,"Aussenlager","teilweise")))))</f>
        <v>Lift</v>
      </c>
      <c r="BN1306" s="60" t="str">
        <f aca="false">IF(A1306="","",IF(BW1306=1,"Neu; ","")&amp;IF(AND(BW1306=0,BR1306&lt;0),"negativer Bestand (Export "&amp;BR1306&amp;"); ","")&amp;IF(J1306&lt;=0,"Kein Verbrauch; ","")&amp;IF(CR1306&gt;0,"Lift "&amp;W1306&amp;" lt. Liftbericht (Fach "&amp;X1306&amp;" Stk); ",IF(CB1306=1,"Gebinde geschätzt ("&amp;T1306&amp;"); ",IF(CA1306=1,"Lose – Tablare geschätzt; ","")))&amp;IF(H1306&gt;AW1306,"Überbestand "&amp;ROUND(H1306-AW1306,0)&amp;" Stk / CHF "&amp;ROUND((H1306-AW1306)*G1306,0)&amp;"; ","")&amp;IF(AND(CI1306=1,CJ1306&lt;CK1306),"MAX &lt; MB+LG; ","")&amp;IF(AND(CQ1306&gt;0,CP1306*10&gt;CQ1306),"zu hoch für Tablar; ","")&amp;IF(AND(BW1306=0,OR(CI1306=1,AB1306&lt;&gt;"",U1306&lt;&gt;"",V1306&lt;&gt;"",AC1306&lt;&gt;"")),"manuell übersteuert; ","")&amp;IF(AND(CA1306=0,R1306=0),"Gebinde unbekannt / Stellmass fehlt; ","")&amp;IF(AND(CA1306=0,N(V1306)&lt;=0,N(Q1306)&lt;=0),"Menge pro Gebinde fehlt (Ist = 1 Gebinde); ","")&amp;BV1306)</f>
        <v>negativer Bestand (Export -1973); Überbestand 107 Stk / CHF 64; grosse  Artikelmenge</v>
      </c>
      <c r="BO1306" s="60"/>
      <c r="BP1306" s="60"/>
      <c r="BQ1306" s="67"/>
      <c r="BR1306" s="62" t="n">
        <v>-1973</v>
      </c>
      <c r="BS1306" s="62" t="n">
        <v>3180</v>
      </c>
      <c r="BT1306" s="61" t="n">
        <v>-1221.58</v>
      </c>
      <c r="BU1306" s="62" t="n">
        <v>2375</v>
      </c>
      <c r="BV1306" s="60" t="s">
        <v>1649</v>
      </c>
      <c r="BW1306" s="65" t="n">
        <v>0</v>
      </c>
      <c r="BX1306" s="65" t="n">
        <v>1306</v>
      </c>
      <c r="BY1306" s="60" t="str">
        <f aca="false">IF(U1306&lt;&gt;"",UPPER(TRIM(U1306)),IF(CB1306=1,UPPER(VLOOKUP(T1306,Parameter!$I$27:$K$29,2,0)),IF(P1306="","LOSE",P1306)))</f>
        <v>S71</v>
      </c>
      <c r="BZ1306" s="62" t="n">
        <f aca="false">IF(BY1306="LOSE",1,IF(N(V1306)&gt;0,V1306,IF(CB1306=1,MAX(1,N(VLOOKUP(T1306,Parameter!$I$27:$K$29,3,0)),H1306,N(N1306)),IF(N(Q1306)&gt;0,Q1306,MAX(1,H1306)))))</f>
        <v>750</v>
      </c>
      <c r="CA1306" s="65" t="n">
        <f aca="false">IF(BY1306="LOSE",1,0)</f>
        <v>0</v>
      </c>
      <c r="CB1306" s="65" t="n">
        <f aca="false">IF(AND(U1306="",OR(P1306="",P1306="LOSE"),T1306&lt;&gt;"",N(S1306)&lt;=0,ISNUMBER(MATCH(T1306,Parameter!$I$27:$I$29,0))),1,0)</f>
        <v>0</v>
      </c>
      <c r="CC1306" s="65" t="n">
        <f aca="false">IF(CR1306&gt;0,INDEX(Parameter!$H$5:$H$7,W1306)/INDEX(Parameter!$E$5:$E$7,W1306),IF(AND(CA1306=0,N(IFERROR(VLOOKUP(BY1306,'Gebinde-Kategorie'!$A$5:$N$45,14,0),0))&gt;0),VLOOKUP(BY1306,'Gebinde-Kategorie'!$A$5:$N$45,14,0)*10+Parameter!$M$23,Parameter!$M$24))</f>
        <v>235</v>
      </c>
      <c r="CD1306" s="60" t="str">
        <f aca="false">IF(AND(Parameter!$B$19="Ja",E1306&lt;&gt;"",ISNUMBER(MATCH(E1306,Parameter!$I$35:$I$52,0))),VLOOKUP(E1306,Parameter!$I$35:$J$52,2,0),IFERROR(VLOOKUP(D1306,Parameter!$A$35:$C$64,2,0),"Nein"))</f>
        <v>2+3</v>
      </c>
      <c r="CE1306" s="64" t="n">
        <f aca="false">IF(CA1306=0,0,IF(N(S1306)&gt;0,S1306,IFERROR(VLOOKUP(D1306,Parameter!$A$35:$C$64,3,0)+0,0)))</f>
        <v>0</v>
      </c>
      <c r="CF1306" s="60" t="n">
        <f aca="false">IF(AB1306&lt;&gt;"",AB1306,AA1306)</f>
        <v>2</v>
      </c>
      <c r="CG1306" s="60" t="str">
        <f aca="false">IF(OR(CF1306=1,CF1306=2,CF1306=3),IF(Parameter!$E$27="Ja","LIFT",IF(CF1306=1,"L1","L23")),IF(CF1306="Aussen","Aussen","-"))</f>
        <v>LIFT</v>
      </c>
      <c r="CH1306" s="71" t="n">
        <f aca="false">IF(N(AC1306)&gt;0,AC1306,0)</f>
        <v>0</v>
      </c>
      <c r="CI1306" s="65" t="n">
        <f aca="false">IF(ISNUMBER(AF1306),1,0)</f>
        <v>0</v>
      </c>
      <c r="CJ1306" s="62" t="n">
        <f aca="false">N(AF1306)</f>
        <v>0</v>
      </c>
      <c r="CK1306" s="62" t="n">
        <f aca="false">N(M1306)+N(N1306)</f>
        <v>1100</v>
      </c>
      <c r="CL1306" s="62" t="n">
        <f aca="false">N(M1306)</f>
        <v>600</v>
      </c>
      <c r="CM1306" s="62" t="n">
        <f aca="false">N(N1306)</f>
        <v>500</v>
      </c>
      <c r="CN1306" s="62" t="n">
        <f aca="false">ROUNDUP(H1306/BZ1306,0)</f>
        <v>2</v>
      </c>
      <c r="CO1306" s="62" t="n">
        <f aca="false">ROUNDUP(CJ1306/BZ1306,0)</f>
        <v>0</v>
      </c>
      <c r="CP1306" s="65" t="n">
        <f aca="false">IF(CA1306=1,0,IFERROR(VLOOKUP(BY1306,'Gebinde-Kategorie'!$A$5:$N$45,5,0)+0,0))</f>
        <v>20</v>
      </c>
      <c r="CQ1306" s="65" t="n">
        <f aca="false">IFERROR(IF(OR(CF1306=1,CF1306=2,CF1306=3),N(INDEX(Parameter!$I$5:$I$7,CF1306)),0),0)</f>
        <v>0</v>
      </c>
      <c r="CR1306" s="64" t="n">
        <f aca="false">IF(AND(Parameter!$B$21="Ja",ISNUMBER(W1306),N(X1306)&gt;0),IFERROR(N(INDEX(Parameter!$L$5:$L$7,W1306))*INDEX(Parameter!$E$5:$E$7,W1306)*X1306/SUMIFS($X$7:$X$1843,$W$7:$W$1843,W1306),0),0)</f>
        <v>0</v>
      </c>
      <c r="CS1306" s="62" t="n">
        <f aca="false">IF(AND(OR(CG1306="L1",CG1306="L23",CG1306="LIFT"),H1306&gt;0),CC1306*IF(CR1306&gt;0,CR1306*MAX(1,H1306/X1306),IF(CA1306=1,CE1306,IF(R1306&gt;0,CN1306/R1306,0))/MAX(0.1,N(Parameter!$M$21))),"")</f>
        <v>78.3333333333333</v>
      </c>
      <c r="CT1306" s="64" t="n">
        <f aca="false">IF(CS1306="","",J1306/H1306)</f>
        <v>1.96768848384424</v>
      </c>
      <c r="CU1306" s="62" t="n">
        <f aca="false">IF(CS1306="","",H1306*G1306)</f>
        <v>724.2</v>
      </c>
      <c r="CV1306" s="63" t="n">
        <f aca="false">IF(CS1306="","",(CL1306+ROUNDUP(CL1306+MAX(CM1306,2*(J1306/MAX(0.1,N(Einkauf!$C$6))-CL1306)),0))/2)</f>
        <v>850</v>
      </c>
      <c r="CW1306" s="62" t="n">
        <f aca="false">IF(CS1306="","",MAX(0,H1306-CV1306)*G1306)</f>
        <v>214.2</v>
      </c>
      <c r="CX1306" s="62" t="n">
        <f aca="false">IF(CS1306="","",CS1306*MAX(0,1-CV1306/H1306))</f>
        <v>23.169014084507</v>
      </c>
      <c r="CY1306" s="64" t="n">
        <f aca="false">IF(CS1306="","",PERCENTRANK($CS$7:$CS$1843,CS1306)+PERCENTRANK($CU$7:$CU$1843,CU1306)+1-PERCENTRANK($CT$7:$CT$1843,CT1306))</f>
        <v>1.724</v>
      </c>
      <c r="CZ1306" s="72" t="n">
        <f aca="false">IF(CS1306="","",CHOOSE(MATCH(Einkauf!$C$5,Parameter!$G$23:$G$27,0),CY1306,CS1306,CU1306,-CT1306,CW1306)+ROW()/1000000000)</f>
        <v>1.724001306</v>
      </c>
    </row>
    <row r="1307" customFormat="false" ht="15" hidden="false" customHeight="false" outlineLevel="0" collapsed="false">
      <c r="A1307" s="60" t="s">
        <v>2363</v>
      </c>
      <c r="B1307" s="60" t="s">
        <v>2222</v>
      </c>
      <c r="C1307" s="60" t="s">
        <v>498</v>
      </c>
      <c r="D1307" s="60" t="s">
        <v>215</v>
      </c>
      <c r="E1307" s="60" t="s">
        <v>507</v>
      </c>
      <c r="F1307" s="60" t="s">
        <v>260</v>
      </c>
      <c r="G1307" s="61" t="n">
        <v>50.01</v>
      </c>
      <c r="H1307" s="62" t="n">
        <f aca="false">MAX(0,IF(AND(Parameter!$B$21="Ja",ISNUMBER(Y1307)),Y1307,IF(Parameter!$B$20="Jahresanfang 2025 + Export",BS1307+BR1307,BR1307)))</f>
        <v>0</v>
      </c>
      <c r="I1307" s="62" t="n">
        <f aca="false">H1307*G1307</f>
        <v>0</v>
      </c>
      <c r="J1307" s="62" t="n">
        <f aca="false">BU1307*Parameter!$B$18</f>
        <v>33</v>
      </c>
      <c r="K1307" s="63" t="n">
        <v>20.5</v>
      </c>
      <c r="L1307" s="64" t="n">
        <v>1.60975609756098</v>
      </c>
      <c r="M1307" s="62" t="n">
        <v>1</v>
      </c>
      <c r="N1307" s="62" t="n">
        <v>20</v>
      </c>
      <c r="O1307" s="65" t="n">
        <v>21</v>
      </c>
      <c r="P1307" s="60" t="s">
        <v>210</v>
      </c>
      <c r="Q1307" s="62"/>
      <c r="R1307" s="65" t="n">
        <f aca="false">IF(CA1307=1,0,IFERROR(VLOOKUP(BY1307,'Gebinde-Kategorie'!$A$5:$N$45,13,0)+0,0))</f>
        <v>4</v>
      </c>
      <c r="S1307" s="66"/>
      <c r="T1307" s="67" t="s">
        <v>231</v>
      </c>
      <c r="U1307" s="67"/>
      <c r="V1307" s="67"/>
      <c r="W1307" s="60"/>
      <c r="X1307" s="62"/>
      <c r="Y1307" s="62"/>
      <c r="Z1307" s="60"/>
      <c r="AA1307" s="60" t="str">
        <f aca="false">IF(A1307="","",IF(AND(Parameter!$B$21="Ja",ISNUMBER(W1307)),W1307,IF(AND(Parameter!$E$27="Ja",ISNUMBER(Z1307),CD1307&lt;&gt;"Nein"),Z1307,IF(CD1307="2+3",IF(ISNUMBER(SEARCH("grosser Artikel",BV1307)),2,IFERROR(VLOOKUP(BY1307,Parameter!$F$35:$G$64,2,0),2)),IF(OR(CD1307="Nein",CD1307=""),"-",CD1307)))))</f>
        <v>-</v>
      </c>
      <c r="AB1307" s="67"/>
      <c r="AC1307" s="68"/>
      <c r="AD1307" s="62" t="n">
        <f aca="false">AW1307</f>
        <v>21</v>
      </c>
      <c r="AE1307" s="62" t="n">
        <f aca="false">MAX(AW1307,H1307)</f>
        <v>21</v>
      </c>
      <c r="AF1307" s="69"/>
      <c r="AG1307" s="62" t="n">
        <f aca="false">IF(LEFT(Cockpit!$C$5,1)="A",H1307,IF(Parameter!$E$30="MAX-Bestand",IF(CI1307=1,CJ1307,IF(LEFT(Cockpit!$C$5,1)="B",AM1307,MAX(AM1307,H1307))),ROUNDUP(AK1307,0)))</f>
        <v>0</v>
      </c>
      <c r="AH1307" s="62" t="n">
        <f aca="false">IF(CA1307=1,0,ROUNDUP(AG1307/BZ1307,0))</f>
        <v>0</v>
      </c>
      <c r="AI1307" s="64" t="n">
        <f aca="false">IF(CR1307&gt;0,CR1307*MAX(1,AG1307/X1307),IF(CA1307=1,IF(AG1307&lt;=0,0,CE1307*MAX(1,IF(H1307&gt;0,AG1307/H1307,1))),IF(R1307&gt;0,AH1307/R1307,0))/MAX(0.1,N(Parameter!$M$21)))</f>
        <v>0</v>
      </c>
      <c r="AJ1307" s="62" t="n">
        <f aca="false">AI1307*CC1307</f>
        <v>0</v>
      </c>
      <c r="AK1307" s="63" t="n">
        <f aca="false">IF(LEFT(Cockpit!$C$5,1)="A",H1307,IF(CI1307=1,(CL1307+CJ1307)/2,IF(LEFT(Cockpit!$C$5,1)="B",(CL1307+AM1307)/2,MAX((CL1307+AM1307)/2,H1307))))</f>
        <v>0</v>
      </c>
      <c r="AL1307" s="62" t="n">
        <f aca="false">AK1307*G1307</f>
        <v>0</v>
      </c>
      <c r="AM1307" s="62" t="n">
        <f aca="false">ROUNDUP(CL1307+MAX(CM1307,2*(J1307/IF(CH1307&gt;0,CH1307,MAX(0.1,N(Cockpit!$C$6)))-CL1307)),0)</f>
        <v>21</v>
      </c>
      <c r="AN1307" s="63" t="n">
        <f aca="false">IF(AJ1307&gt;0,J1307/AJ1307,-1)</f>
        <v>-1</v>
      </c>
      <c r="AO1307" s="63" t="str">
        <f aca="false">IF(AND(OR(CG1307="L1",CG1307="L23",CG1307="LIFT"),AJ1307&gt;0),SUMIFS($AJ$7:$AJ$1843,$CG$7:$CG$1843,CG1307,$AN$7:$AN$1843,"&gt;"&amp;AN1307)+SUMIFS($AJ$7:$AJ$1843,$CG$7:$CG$1843,CG1307,$AN$7:$AN$1843,AN1307,$BX$7:$BX$1843,"&lt;="&amp;BX1307),"")</f>
        <v/>
      </c>
      <c r="AP1307" s="70" t="n">
        <f aca="false">IF(AO1307="",0,MAX(0,MIN(1,(IF(CG1307="L1",Parameter!$H$5,IF(CG1307="L23",Parameter!$H$6+Parameter!$H$7,Parameter!$H$5+Parameter!$H$6+Parameter!$H$7))-(AO1307-AJ1307))/AJ1307)))</f>
        <v>0</v>
      </c>
      <c r="AQ1307" s="62" t="n">
        <f aca="false">IF(LEFT(Cockpit!$I$5,1)="A",H1307,IF(Parameter!$E$30="MAX-Bestand",IF(CI1307=1,CJ1307,IF(LEFT(Cockpit!$I$5,1)="B",AW1307,MAX(AW1307,H1307))),ROUNDUP(AU1307,0)))</f>
        <v>11</v>
      </c>
      <c r="AR1307" s="62" t="n">
        <f aca="false">IF(CA1307=1,0,ROUNDUP(AQ1307/BZ1307,0))</f>
        <v>1</v>
      </c>
      <c r="AS1307" s="64" t="n">
        <f aca="false">IF(CR1307&gt;0,CR1307*MAX(1,AQ1307/X1307),IF(CA1307=1,IF(AQ1307&lt;=0,0,CE1307*MAX(1,IF(H1307&gt;0,AQ1307/H1307,1))),IF(R1307&gt;0,AR1307/R1307,0))/MAX(0.1,N(Parameter!$M$21)))</f>
        <v>0.25</v>
      </c>
      <c r="AT1307" s="62" t="n">
        <f aca="false">AS1307*CC1307</f>
        <v>58.75</v>
      </c>
      <c r="AU1307" s="63" t="n">
        <f aca="false">IF(LEFT(Cockpit!$I$5,1)="A",H1307,IF(CI1307=1,(CL1307+CJ1307)/2,IF(LEFT(Cockpit!$I$5,1)="B",(CL1307+AW1307)/2,MAX((CL1307+AW1307)/2,H1307))))</f>
        <v>11</v>
      </c>
      <c r="AV1307" s="62" t="n">
        <f aca="false">AU1307*G1307</f>
        <v>550.11</v>
      </c>
      <c r="AW1307" s="62" t="n">
        <f aca="false">ROUNDUP(CL1307+MAX(CM1307,2*(J1307/IF(CH1307&gt;0,CH1307,MAX(0.1,N(Cockpit!$I$6)))-CL1307)),0)</f>
        <v>21</v>
      </c>
      <c r="AX1307" s="63" t="n">
        <f aca="false">IF(AT1307&gt;0,J1307/AT1307,-1)</f>
        <v>0.561702127659575</v>
      </c>
      <c r="AY1307" s="63" t="str">
        <f aca="false">IF(AND(OR(CG1307="L1",CG1307="L23",CG1307="LIFT"),AT1307&gt;0),SUMIFS($AT$7:$AT$1843,$CG$7:$CG$1843,CG1307,$AX$7:$AX$1843,"&gt;"&amp;AX1307)+SUMIFS($AT$7:$AT$1843,$CG$7:$CG$1843,CG1307,$AX$7:$AX$1843,AX1307,$BX$7:$BX$1843,"&lt;="&amp;BX1307),"")</f>
        <v/>
      </c>
      <c r="AZ1307" s="70" t="n">
        <f aca="false">IF(AY1307="",0,MAX(0,MIN(1,(IF(CG1307="L1",Parameter!$H$5,IF(CG1307="L23",Parameter!$H$6+Parameter!$H$7,Parameter!$H$5+Parameter!$H$6+Parameter!$H$7))-(AY1307-AT1307))/AT1307)))</f>
        <v>0</v>
      </c>
      <c r="BA1307" s="62" t="n">
        <f aca="false">IF(LEFT(Cockpit!$O$5,1)="A",H1307,IF(Parameter!$E$30="MAX-Bestand",IF(CI1307=1,CJ1307,IF(LEFT(Cockpit!$O$5,1)="B",BG1307,MAX(BG1307,H1307))),ROUNDUP(BE1307,0)))</f>
        <v>11</v>
      </c>
      <c r="BB1307" s="62" t="n">
        <f aca="false">IF(CA1307=1,0,ROUNDUP(BA1307/BZ1307,0))</f>
        <v>1</v>
      </c>
      <c r="BC1307" s="64" t="n">
        <f aca="false">IF(CR1307&gt;0,CR1307*MAX(1,BA1307/X1307),IF(CA1307=1,IF(BA1307&lt;=0,0,CE1307*MAX(1,IF(H1307&gt;0,BA1307/H1307,1))),IF(R1307&gt;0,BB1307/R1307,0))/MAX(0.1,N(Parameter!$M$21)))</f>
        <v>0.25</v>
      </c>
      <c r="BD1307" s="62" t="n">
        <f aca="false">BC1307*CC1307</f>
        <v>58.75</v>
      </c>
      <c r="BE1307" s="63" t="n">
        <f aca="false">IF(LEFT(Cockpit!$O$5,1)="A",H1307,IF(CI1307=1,(CL1307+CJ1307)/2,IF(LEFT(Cockpit!$O$5,1)="B",(CL1307+BG1307)/2,MAX((CL1307+BG1307)/2,H1307))))</f>
        <v>11</v>
      </c>
      <c r="BF1307" s="62" t="n">
        <f aca="false">BE1307*G1307</f>
        <v>550.11</v>
      </c>
      <c r="BG1307" s="62" t="n">
        <f aca="false">ROUNDUP(CL1307+MAX(CM1307,2*(J1307/IF(CH1307&gt;0,CH1307,MAX(0.1,N(Cockpit!$O$6)))-CL1307)),0)</f>
        <v>21</v>
      </c>
      <c r="BH1307" s="63" t="n">
        <f aca="false">IF(BD1307&gt;0,J1307/BD1307,-1)</f>
        <v>0.561702127659575</v>
      </c>
      <c r="BI1307" s="63" t="str">
        <f aca="false">IF(AND(OR(CG1307="L1",CG1307="L23",CG1307="LIFT"),BD1307&gt;0),SUMIFS($BD$7:$BD$1843,$CG$7:$CG$1843,CG1307,$BH$7:$BH$1843,"&gt;"&amp;BH1307)+SUMIFS($BD$7:$BD$1843,$CG$7:$CG$1843,CG1307,$BH$7:$BH$1843,BH1307,$BX$7:$BX$1843,"&lt;="&amp;BX1307),"")</f>
        <v/>
      </c>
      <c r="BJ1307" s="70" t="n">
        <f aca="false">IF(BI1307="",0,MAX(0,MIN(1,(IF(CG1307="L1",Parameter!$H$5,IF(CG1307="L23",Parameter!$H$6+Parameter!$H$7,Parameter!$H$5+Parameter!$H$6+Parameter!$H$7))-(BI1307-BD1307))/BD1307)))</f>
        <v>0</v>
      </c>
      <c r="BK1307" s="60" t="str">
        <f aca="false">IF(AJ1307&lt;=0,"",IF(CG1307="Aussen","Aussenlager",IF(CG1307="-","Nicht im Lift",IF(AP1307&gt;=1,"Lift",IF(AP1307&lt;=0,"Aussenlager","teilweise")))))</f>
        <v/>
      </c>
      <c r="BL1307" s="60" t="str">
        <f aca="false">IF(AT1307&lt;=0,"",IF(CG1307="Aussen","Aussenlager",IF(CG1307="-","Nicht im Lift",IF(AZ1307&gt;=1,"Lift",IF(AZ1307&lt;=0,"Aussenlager","teilweise")))))</f>
        <v>Nicht im Lift</v>
      </c>
      <c r="BM1307" s="60" t="str">
        <f aca="false">IF(BD1307&lt;=0,"",IF(CG1307="Aussen","Aussenlager",IF(CG1307="-","Nicht im Lift",IF(BJ1307&gt;=1,"Lift",IF(BJ1307&lt;=0,"Aussenlager","teilweise")))))</f>
        <v>Nicht im Lift</v>
      </c>
      <c r="BN1307" s="60" t="str">
        <f aca="false">IF(A1307="","",IF(BW1307=1,"Neu; ","")&amp;IF(AND(BW1307=0,BR1307&lt;0),"negativer Bestand (Export "&amp;BR1307&amp;"); ","")&amp;IF(J1307&lt;=0,"Kein Verbrauch; ","")&amp;IF(CR1307&gt;0,"Lift "&amp;W1307&amp;" lt. Liftbericht (Fach "&amp;X1307&amp;" Stk); ",IF(CB1307=1,"Gebinde geschätzt ("&amp;T1307&amp;"); ",IF(CA1307=1,"Lose – Tablare geschätzt; ","")))&amp;IF(H1307&gt;AW1307,"Überbestand "&amp;ROUND(H1307-AW1307,0)&amp;" Stk / CHF "&amp;ROUND((H1307-AW1307)*G1307,0)&amp;"; ","")&amp;IF(AND(CI1307=1,CJ1307&lt;CK1307),"MAX &lt; MB+LG; ","")&amp;IF(AND(CQ1307&gt;0,CP1307*10&gt;CQ1307),"zu hoch für Tablar; ","")&amp;IF(AND(BW1307=0,OR(CI1307=1,AB1307&lt;&gt;"",U1307&lt;&gt;"",V1307&lt;&gt;"",AC1307&lt;&gt;"")),"manuell übersteuert; ","")&amp;IF(AND(CA1307=0,R1307=0),"Gebinde unbekannt / Stellmass fehlt; ","")&amp;IF(AND(CA1307=0,N(V1307)&lt;=0,N(Q1307)&lt;=0),"Menge pro Gebinde fehlt (Ist = 1 Gebinde); ","")&amp;BV1307)</f>
        <v>negativer Bestand (Export -25); Gebinde geschätzt (Gross); Menge pro Gebinde fehlt (Ist = 1 Gebinde); </v>
      </c>
      <c r="BO1307" s="60"/>
      <c r="BP1307" s="60"/>
      <c r="BQ1307" s="67"/>
      <c r="BR1307" s="62" t="n">
        <v>-25</v>
      </c>
      <c r="BS1307" s="62" t="n">
        <v>25</v>
      </c>
      <c r="BT1307" s="61" t="n">
        <v>-1239.5</v>
      </c>
      <c r="BU1307" s="62" t="n">
        <v>33</v>
      </c>
      <c r="BV1307" s="60"/>
      <c r="BW1307" s="65" t="n">
        <v>0</v>
      </c>
      <c r="BX1307" s="65" t="n">
        <v>1307</v>
      </c>
      <c r="BY1307" s="60" t="str">
        <f aca="false">IF(U1307&lt;&gt;"",UPPER(TRIM(U1307)),IF(CB1307=1,UPPER(VLOOKUP(T1307,Parameter!$I$27:$K$29,2,0)),IF(P1307="","LOSE",P1307)))</f>
        <v>S81</v>
      </c>
      <c r="BZ1307" s="62" t="n">
        <f aca="false">IF(BY1307="LOSE",1,IF(N(V1307)&gt;0,V1307,IF(CB1307=1,MAX(1,N(VLOOKUP(T1307,Parameter!$I$27:$K$29,3,0)),H1307,N(N1307)),IF(N(Q1307)&gt;0,Q1307,MAX(1,H1307)))))</f>
        <v>20</v>
      </c>
      <c r="CA1307" s="65" t="n">
        <f aca="false">IF(BY1307="LOSE",1,0)</f>
        <v>0</v>
      </c>
      <c r="CB1307" s="65" t="n">
        <f aca="false">IF(AND(U1307="",OR(P1307="",P1307="LOSE"),T1307&lt;&gt;"",N(S1307)&lt;=0,ISNUMBER(MATCH(T1307,Parameter!$I$27:$I$29,0))),1,0)</f>
        <v>1</v>
      </c>
      <c r="CC1307" s="65" t="n">
        <f aca="false">IF(CR1307&gt;0,INDEX(Parameter!$H$5:$H$7,W1307)/INDEX(Parameter!$E$5:$E$7,W1307),IF(AND(CA1307=0,N(IFERROR(VLOOKUP(BY1307,'Gebinde-Kategorie'!$A$5:$N$45,14,0),0))&gt;0),VLOOKUP(BY1307,'Gebinde-Kategorie'!$A$5:$N$45,14,0)*10+Parameter!$M$23,Parameter!$M$24))</f>
        <v>235</v>
      </c>
      <c r="CD1307" s="60" t="str">
        <f aca="false">IF(AND(Parameter!$B$19="Ja",E1307&lt;&gt;"",ISNUMBER(MATCH(E1307,Parameter!$I$35:$I$52,0))),VLOOKUP(E1307,Parameter!$I$35:$J$52,2,0),IFERROR(VLOOKUP(D1307,Parameter!$A$35:$C$64,2,0),"Nein"))</f>
        <v>Nein</v>
      </c>
      <c r="CE1307" s="64" t="n">
        <f aca="false">IF(CA1307=0,0,IF(N(S1307)&gt;0,S1307,IFERROR(VLOOKUP(D1307,Parameter!$A$35:$C$64,3,0)+0,0)))</f>
        <v>0</v>
      </c>
      <c r="CF1307" s="60" t="str">
        <f aca="false">IF(AB1307&lt;&gt;"",AB1307,AA1307)</f>
        <v>-</v>
      </c>
      <c r="CG1307" s="60" t="str">
        <f aca="false">IF(OR(CF1307=1,CF1307=2,CF1307=3),IF(Parameter!$E$27="Ja","LIFT",IF(CF1307=1,"L1","L23")),IF(CF1307="Aussen","Aussen","-"))</f>
        <v>-</v>
      </c>
      <c r="CH1307" s="71" t="n">
        <f aca="false">IF(N(AC1307)&gt;0,AC1307,0)</f>
        <v>0</v>
      </c>
      <c r="CI1307" s="65" t="n">
        <f aca="false">IF(ISNUMBER(AF1307),1,0)</f>
        <v>0</v>
      </c>
      <c r="CJ1307" s="62" t="n">
        <f aca="false">N(AF1307)</f>
        <v>0</v>
      </c>
      <c r="CK1307" s="62" t="n">
        <f aca="false">N(M1307)+N(N1307)</f>
        <v>21</v>
      </c>
      <c r="CL1307" s="62" t="n">
        <f aca="false">N(M1307)</f>
        <v>1</v>
      </c>
      <c r="CM1307" s="62" t="n">
        <f aca="false">N(N1307)</f>
        <v>20</v>
      </c>
      <c r="CN1307" s="62" t="n">
        <f aca="false">ROUNDUP(H1307/BZ1307,0)</f>
        <v>0</v>
      </c>
      <c r="CO1307" s="62" t="n">
        <f aca="false">ROUNDUP(CJ1307/BZ1307,0)</f>
        <v>0</v>
      </c>
      <c r="CP1307" s="65" t="n">
        <f aca="false">IF(CA1307=1,0,IFERROR(VLOOKUP(BY1307,'Gebinde-Kategorie'!$A$5:$N$45,5,0)+0,0))</f>
        <v>20</v>
      </c>
      <c r="CQ1307" s="65" t="n">
        <f aca="false">IFERROR(IF(OR(CF1307=1,CF1307=2,CF1307=3),N(INDEX(Parameter!$I$5:$I$7,CF1307)),0),0)</f>
        <v>0</v>
      </c>
      <c r="CR1307" s="64" t="n">
        <f aca="false">IF(AND(Parameter!$B$21="Ja",ISNUMBER(W1307),N(X1307)&gt;0),IFERROR(N(INDEX(Parameter!$L$5:$L$7,W1307))*INDEX(Parameter!$E$5:$E$7,W1307)*X1307/SUMIFS($X$7:$X$1843,$W$7:$W$1843,W1307),0),0)</f>
        <v>0</v>
      </c>
      <c r="CS1307" s="62" t="str">
        <f aca="false">IF(AND(OR(CG1307="L1",CG1307="L23",CG1307="LIFT"),H1307&gt;0),CC1307*IF(CR1307&gt;0,CR1307*MAX(1,H1307/X1307),IF(CA1307=1,CE1307,IF(R1307&gt;0,CN1307/R1307,0))/MAX(0.1,N(Parameter!$M$21))),"")</f>
        <v/>
      </c>
      <c r="CT1307" s="64" t="str">
        <f aca="false">IF(CS1307="","",J1307/H1307)</f>
        <v/>
      </c>
      <c r="CU1307" s="62" t="str">
        <f aca="false">IF(CS1307="","",H1307*G1307)</f>
        <v/>
      </c>
      <c r="CV1307" s="63" t="str">
        <f aca="false">IF(CS1307="","",(CL1307+ROUNDUP(CL1307+MAX(CM1307,2*(J1307/MAX(0.1,N(Einkauf!$C$6))-CL1307)),0))/2)</f>
        <v/>
      </c>
      <c r="CW1307" s="62" t="str">
        <f aca="false">IF(CS1307="","",MAX(0,H1307-CV1307)*G1307)</f>
        <v/>
      </c>
      <c r="CX1307" s="62" t="str">
        <f aca="false">IF(CS1307="","",CS1307*MAX(0,1-CV1307/H1307))</f>
        <v/>
      </c>
      <c r="CY1307" s="64" t="str">
        <f aca="false">IF(CS1307="","",PERCENTRANK($CS$7:$CS$1843,CS1307)+PERCENTRANK($CU$7:$CU$1843,CU1307)+1-PERCENTRANK($CT$7:$CT$1843,CT1307))</f>
        <v/>
      </c>
      <c r="CZ1307" s="72" t="str">
        <f aca="false">IF(CS1307="","",CHOOSE(MATCH(Einkauf!$C$5,Parameter!$G$23:$G$27,0),CY1307,CS1307,CU1307,-CT1307,CW1307)+ROW()/1000000000)</f>
        <v/>
      </c>
    </row>
    <row r="1308" customFormat="false" ht="15" hidden="false" customHeight="false" outlineLevel="0" collapsed="false">
      <c r="A1308" s="60" t="s">
        <v>2364</v>
      </c>
      <c r="B1308" s="60" t="s">
        <v>2365</v>
      </c>
      <c r="C1308" s="60" t="s">
        <v>206</v>
      </c>
      <c r="D1308" s="60" t="s">
        <v>226</v>
      </c>
      <c r="E1308" s="60" t="s">
        <v>227</v>
      </c>
      <c r="F1308" s="60" t="s">
        <v>260</v>
      </c>
      <c r="G1308" s="61" t="n">
        <v>28.8</v>
      </c>
      <c r="H1308" s="62" t="n">
        <f aca="false">MAX(0,IF(AND(Parameter!$B$21="Ja",ISNUMBER(Y1308)),Y1308,IF(Parameter!$B$20="Jahresanfang 2025 + Export",BS1308+BR1308,BR1308)))</f>
        <v>79</v>
      </c>
      <c r="I1308" s="62" t="n">
        <f aca="false">H1308*G1308</f>
        <v>2275.2</v>
      </c>
      <c r="J1308" s="62" t="n">
        <f aca="false">BU1308*Parameter!$B$18</f>
        <v>180</v>
      </c>
      <c r="K1308" s="63" t="n">
        <v>93</v>
      </c>
      <c r="L1308" s="64" t="n">
        <v>1.93548387096774</v>
      </c>
      <c r="M1308" s="62" t="n">
        <v>4</v>
      </c>
      <c r="N1308" s="62" t="n">
        <v>130</v>
      </c>
      <c r="O1308" s="65" t="n">
        <v>7</v>
      </c>
      <c r="P1308" s="60" t="s">
        <v>275</v>
      </c>
      <c r="Q1308" s="62" t="n">
        <v>87</v>
      </c>
      <c r="R1308" s="65" t="n">
        <f aca="false">IF(CA1308=1,0,IFERROR(VLOOKUP(BY1308,'Gebinde-Kategorie'!$A$5:$N$45,13,0)+0,0))</f>
        <v>26</v>
      </c>
      <c r="S1308" s="66"/>
      <c r="T1308" s="67"/>
      <c r="U1308" s="67"/>
      <c r="V1308" s="67"/>
      <c r="W1308" s="60"/>
      <c r="X1308" s="62"/>
      <c r="Y1308" s="62"/>
      <c r="Z1308" s="60" t="n">
        <v>3</v>
      </c>
      <c r="AA1308" s="60" t="n">
        <f aca="false">IF(A1308="","",IF(AND(Parameter!$B$21="Ja",ISNUMBER(W1308)),W1308,IF(AND(Parameter!$E$27="Ja",ISNUMBER(Z1308),CD1308&lt;&gt;"Nein"),Z1308,IF(CD1308="2+3",IF(ISNUMBER(SEARCH("grosser Artikel",BV1308)),2,IFERROR(VLOOKUP(BY1308,Parameter!$F$35:$G$64,2,0),2)),IF(OR(CD1308="Nein",CD1308=""),"-",CD1308)))))</f>
        <v>3</v>
      </c>
      <c r="AB1308" s="67"/>
      <c r="AC1308" s="68"/>
      <c r="AD1308" s="62" t="n">
        <f aca="false">AW1308</f>
        <v>134</v>
      </c>
      <c r="AE1308" s="62" t="n">
        <f aca="false">MAX(AW1308,H1308)</f>
        <v>134</v>
      </c>
      <c r="AF1308" s="69"/>
      <c r="AG1308" s="62" t="n">
        <f aca="false">IF(LEFT(Cockpit!$C$5,1)="A",H1308,IF(Parameter!$E$30="MAX-Bestand",IF(CI1308=1,CJ1308,IF(LEFT(Cockpit!$C$5,1)="B",AM1308,MAX(AM1308,H1308))),ROUNDUP(AK1308,0)))</f>
        <v>79</v>
      </c>
      <c r="AH1308" s="62" t="n">
        <f aca="false">IF(CA1308=1,0,ROUNDUP(AG1308/BZ1308,0))</f>
        <v>1</v>
      </c>
      <c r="AI1308" s="64" t="n">
        <f aca="false">IF(CR1308&gt;0,CR1308*MAX(1,AG1308/X1308),IF(CA1308=1,IF(AG1308&lt;=0,0,CE1308*MAX(1,IF(H1308&gt;0,AG1308/H1308,1))),IF(R1308&gt;0,AH1308/R1308,0))/MAX(0.1,N(Parameter!$M$21)))</f>
        <v>0.0384615384615385</v>
      </c>
      <c r="AJ1308" s="62" t="n">
        <f aca="false">AI1308*CC1308</f>
        <v>9.42307692307692</v>
      </c>
      <c r="AK1308" s="63" t="n">
        <f aca="false">IF(LEFT(Cockpit!$C$5,1)="A",H1308,IF(CI1308=1,(CL1308+CJ1308)/2,IF(LEFT(Cockpit!$C$5,1)="B",(CL1308+AM1308)/2,MAX((CL1308+AM1308)/2,H1308))))</f>
        <v>79</v>
      </c>
      <c r="AL1308" s="62" t="n">
        <f aca="false">AK1308*G1308</f>
        <v>2275.2</v>
      </c>
      <c r="AM1308" s="62" t="n">
        <f aca="false">ROUNDUP(CL1308+MAX(CM1308,2*(J1308/IF(CH1308&gt;0,CH1308,MAX(0.1,N(Cockpit!$C$6)))-CL1308)),0)</f>
        <v>134</v>
      </c>
      <c r="AN1308" s="63" t="n">
        <f aca="false">IF(AJ1308&gt;0,J1308/AJ1308,-1)</f>
        <v>19.1020408163265</v>
      </c>
      <c r="AO1308" s="63" t="n">
        <f aca="false">IF(AND(OR(CG1308="L1",CG1308="L23",CG1308="LIFT"),AJ1308&gt;0),SUMIFS($AJ$7:$AJ$1843,$CG$7:$CG$1843,CG1308,$AN$7:$AN$1843,"&gt;"&amp;AN1308)+SUMIFS($AJ$7:$AJ$1843,$CG$7:$CG$1843,CG1308,$AN$7:$AN$1843,AN1308,$BX$7:$BX$1843,"&lt;="&amp;BX1308),"")</f>
        <v>1746.39743589744</v>
      </c>
      <c r="AP1308" s="70" t="n">
        <f aca="false">IF(AO1308="",0,MAX(0,MIN(1,(IF(CG1308="L1",Parameter!$H$5,IF(CG1308="L23",Parameter!$H$6+Parameter!$H$7,Parameter!$H$5+Parameter!$H$6+Parameter!$H$7))-(AO1308-AJ1308))/AJ1308)))</f>
        <v>1</v>
      </c>
      <c r="AQ1308" s="62" t="n">
        <f aca="false">IF(LEFT(Cockpit!$I$5,1)="A",H1308,IF(Parameter!$E$30="MAX-Bestand",IF(CI1308=1,CJ1308,IF(LEFT(Cockpit!$I$5,1)="B",AW1308,MAX(AW1308,H1308))),ROUNDUP(AU1308,0)))</f>
        <v>79</v>
      </c>
      <c r="AR1308" s="62" t="n">
        <f aca="false">IF(CA1308=1,0,ROUNDUP(AQ1308/BZ1308,0))</f>
        <v>1</v>
      </c>
      <c r="AS1308" s="64" t="n">
        <f aca="false">IF(CR1308&gt;0,CR1308*MAX(1,AQ1308/X1308),IF(CA1308=1,IF(AQ1308&lt;=0,0,CE1308*MAX(1,IF(H1308&gt;0,AQ1308/H1308,1))),IF(R1308&gt;0,AR1308/R1308,0))/MAX(0.1,N(Parameter!$M$21)))</f>
        <v>0.0384615384615385</v>
      </c>
      <c r="AT1308" s="62" t="n">
        <f aca="false">AS1308*CC1308</f>
        <v>9.42307692307692</v>
      </c>
      <c r="AU1308" s="63" t="n">
        <f aca="false">IF(LEFT(Cockpit!$I$5,1)="A",H1308,IF(CI1308=1,(CL1308+CJ1308)/2,IF(LEFT(Cockpit!$I$5,1)="B",(CL1308+AW1308)/2,MAX((CL1308+AW1308)/2,H1308))))</f>
        <v>79</v>
      </c>
      <c r="AV1308" s="62" t="n">
        <f aca="false">AU1308*G1308</f>
        <v>2275.2</v>
      </c>
      <c r="AW1308" s="62" t="n">
        <f aca="false">ROUNDUP(CL1308+MAX(CM1308,2*(J1308/IF(CH1308&gt;0,CH1308,MAX(0.1,N(Cockpit!$I$6)))-CL1308)),0)</f>
        <v>134</v>
      </c>
      <c r="AX1308" s="63" t="n">
        <f aca="false">IF(AT1308&gt;0,J1308/AT1308,-1)</f>
        <v>19.1020408163265</v>
      </c>
      <c r="AY1308" s="63" t="n">
        <f aca="false">IF(AND(OR(CG1308="L1",CG1308="L23",CG1308="LIFT"),AT1308&gt;0),SUMIFS($AT$7:$AT$1843,$CG$7:$CG$1843,CG1308,$AX$7:$AX$1843,"&gt;"&amp;AX1308)+SUMIFS($AT$7:$AT$1843,$CG$7:$CG$1843,CG1308,$AX$7:$AX$1843,AX1308,$BX$7:$BX$1843,"&lt;="&amp;BX1308),"")</f>
        <v>2383.51831501832</v>
      </c>
      <c r="AZ1308" s="70" t="n">
        <f aca="false">IF(AY1308="",0,MAX(0,MIN(1,(IF(CG1308="L1",Parameter!$H$5,IF(CG1308="L23",Parameter!$H$6+Parameter!$H$7,Parameter!$H$5+Parameter!$H$6+Parameter!$H$7))-(AY1308-AT1308))/AT1308)))</f>
        <v>1</v>
      </c>
      <c r="BA1308" s="62" t="n">
        <f aca="false">IF(LEFT(Cockpit!$O$5,1)="A",H1308,IF(Parameter!$E$30="MAX-Bestand",IF(CI1308=1,CJ1308,IF(LEFT(Cockpit!$O$5,1)="B",BG1308,MAX(BG1308,H1308))),ROUNDUP(BE1308,0)))</f>
        <v>69</v>
      </c>
      <c r="BB1308" s="62" t="n">
        <f aca="false">IF(CA1308=1,0,ROUNDUP(BA1308/BZ1308,0))</f>
        <v>1</v>
      </c>
      <c r="BC1308" s="64" t="n">
        <f aca="false">IF(CR1308&gt;0,CR1308*MAX(1,BA1308/X1308),IF(CA1308=1,IF(BA1308&lt;=0,0,CE1308*MAX(1,IF(H1308&gt;0,BA1308/H1308,1))),IF(R1308&gt;0,BB1308/R1308,0))/MAX(0.1,N(Parameter!$M$21)))</f>
        <v>0.0384615384615385</v>
      </c>
      <c r="BD1308" s="62" t="n">
        <f aca="false">BC1308*CC1308</f>
        <v>9.42307692307692</v>
      </c>
      <c r="BE1308" s="63" t="n">
        <f aca="false">IF(LEFT(Cockpit!$O$5,1)="A",H1308,IF(CI1308=1,(CL1308+CJ1308)/2,IF(LEFT(Cockpit!$O$5,1)="B",(CL1308+BG1308)/2,MAX((CL1308+BG1308)/2,H1308))))</f>
        <v>69</v>
      </c>
      <c r="BF1308" s="62" t="n">
        <f aca="false">BE1308*G1308</f>
        <v>1987.2</v>
      </c>
      <c r="BG1308" s="62" t="n">
        <f aca="false">ROUNDUP(CL1308+MAX(CM1308,2*(J1308/IF(CH1308&gt;0,CH1308,MAX(0.1,N(Cockpit!$O$6)))-CL1308)),0)</f>
        <v>134</v>
      </c>
      <c r="BH1308" s="63" t="n">
        <f aca="false">IF(BD1308&gt;0,J1308/BD1308,-1)</f>
        <v>19.1020408163265</v>
      </c>
      <c r="BI1308" s="63" t="n">
        <f aca="false">IF(AND(OR(CG1308="L1",CG1308="L23",CG1308="LIFT"),BD1308&gt;0),SUMIFS($BD$7:$BD$1843,$CG$7:$CG$1843,CG1308,$BH$7:$BH$1843,"&gt;"&amp;BH1308)+SUMIFS($BD$7:$BD$1843,$CG$7:$CG$1843,CG1308,$BH$7:$BH$1843,BH1308,$BX$7:$BX$1843,"&lt;="&amp;BX1308),"")</f>
        <v>2272.43543956044</v>
      </c>
      <c r="BJ1308" s="70" t="n">
        <f aca="false">IF(BI1308="",0,MAX(0,MIN(1,(IF(CG1308="L1",Parameter!$H$5,IF(CG1308="L23",Parameter!$H$6+Parameter!$H$7,Parameter!$H$5+Parameter!$H$6+Parameter!$H$7))-(BI1308-BD1308))/BD1308)))</f>
        <v>1</v>
      </c>
      <c r="BK1308" s="60" t="str">
        <f aca="false">IF(AJ1308&lt;=0,"",IF(CG1308="Aussen","Aussenlager",IF(CG1308="-","Nicht im Lift",IF(AP1308&gt;=1,"Lift",IF(AP1308&lt;=0,"Aussenlager","teilweise")))))</f>
        <v>Lift</v>
      </c>
      <c r="BL1308" s="60" t="str">
        <f aca="false">IF(AT1308&lt;=0,"",IF(CG1308="Aussen","Aussenlager",IF(CG1308="-","Nicht im Lift",IF(AZ1308&gt;=1,"Lift",IF(AZ1308&lt;=0,"Aussenlager","teilweise")))))</f>
        <v>Lift</v>
      </c>
      <c r="BM1308" s="60" t="str">
        <f aca="false">IF(BD1308&lt;=0,"",IF(CG1308="Aussen","Aussenlager",IF(CG1308="-","Nicht im Lift",IF(BJ1308&gt;=1,"Lift",IF(BJ1308&lt;=0,"Aussenlager","teilweise")))))</f>
        <v>Lift</v>
      </c>
      <c r="BN1308" s="60" t="str">
        <f aca="false">IF(A1308="","",IF(BW1308=1,"Neu; ","")&amp;IF(AND(BW1308=0,BR1308&lt;0),"negativer Bestand (Export "&amp;BR1308&amp;"); ","")&amp;IF(J1308&lt;=0,"Kein Verbrauch; ","")&amp;IF(CR1308&gt;0,"Lift "&amp;W1308&amp;" lt. Liftbericht (Fach "&amp;X1308&amp;" Stk); ",IF(CB1308=1,"Gebinde geschätzt ("&amp;T1308&amp;"); ",IF(CA1308=1,"Lose – Tablare geschätzt; ","")))&amp;IF(H1308&gt;AW1308,"Überbestand "&amp;ROUND(H1308-AW1308,0)&amp;" Stk / CHF "&amp;ROUND((H1308-AW1308)*G1308,0)&amp;"; ","")&amp;IF(AND(CI1308=1,CJ1308&lt;CK1308),"MAX &lt; MB+LG; ","")&amp;IF(AND(CQ1308&gt;0,CP1308*10&gt;CQ1308),"zu hoch für Tablar; ","")&amp;IF(AND(BW1308=0,OR(CI1308=1,AB1308&lt;&gt;"",U1308&lt;&gt;"",V1308&lt;&gt;"",AC1308&lt;&gt;"")),"manuell übersteuert; ","")&amp;IF(AND(CA1308=0,R1308=0),"Gebinde unbekannt / Stellmass fehlt; ","")&amp;IF(AND(CA1308=0,N(V1308)&lt;=0,N(Q1308)&lt;=0),"Menge pro Gebinde fehlt (Ist = 1 Gebinde); ","")&amp;BV1308)</f>
        <v>negativer Bestand (Export -44); </v>
      </c>
      <c r="BO1308" s="60"/>
      <c r="BP1308" s="60"/>
      <c r="BQ1308" s="67"/>
      <c r="BR1308" s="62" t="n">
        <v>-44</v>
      </c>
      <c r="BS1308" s="62" t="n">
        <v>123</v>
      </c>
      <c r="BT1308" s="61" t="n">
        <v>-1264.74</v>
      </c>
      <c r="BU1308" s="62" t="n">
        <v>180</v>
      </c>
      <c r="BV1308" s="60"/>
      <c r="BW1308" s="65" t="n">
        <v>0</v>
      </c>
      <c r="BX1308" s="65" t="n">
        <v>1308</v>
      </c>
      <c r="BY1308" s="60" t="str">
        <f aca="false">IF(U1308&lt;&gt;"",UPPER(TRIM(U1308)),IF(CB1308=1,UPPER(VLOOKUP(T1308,Parameter!$I$27:$K$29,2,0)),IF(P1308="","LOSE",P1308)))</f>
        <v>S52</v>
      </c>
      <c r="BZ1308" s="62" t="n">
        <f aca="false">IF(BY1308="LOSE",1,IF(N(V1308)&gt;0,V1308,IF(CB1308=1,MAX(1,N(VLOOKUP(T1308,Parameter!$I$27:$K$29,3,0)),H1308,N(N1308)),IF(N(Q1308)&gt;0,Q1308,MAX(1,H1308)))))</f>
        <v>87</v>
      </c>
      <c r="CA1308" s="65" t="n">
        <f aca="false">IF(BY1308="LOSE",1,0)</f>
        <v>0</v>
      </c>
      <c r="CB1308" s="65" t="n">
        <f aca="false">IF(AND(U1308="",OR(P1308="",P1308="LOSE"),T1308&lt;&gt;"",N(S1308)&lt;=0,ISNUMBER(MATCH(T1308,Parameter!$I$27:$I$29,0))),1,0)</f>
        <v>0</v>
      </c>
      <c r="CC1308" s="65" t="n">
        <f aca="false">IF(CR1308&gt;0,INDEX(Parameter!$H$5:$H$7,W1308)/INDEX(Parameter!$E$5:$E$7,W1308),IF(AND(CA1308=0,N(IFERROR(VLOOKUP(BY1308,'Gebinde-Kategorie'!$A$5:$N$45,14,0),0))&gt;0),VLOOKUP(BY1308,'Gebinde-Kategorie'!$A$5:$N$45,14,0)*10+Parameter!$M$23,Parameter!$M$24))</f>
        <v>245</v>
      </c>
      <c r="CD1308" s="60" t="str">
        <f aca="false">IF(AND(Parameter!$B$19="Ja",E1308&lt;&gt;"",ISNUMBER(MATCH(E1308,Parameter!$I$35:$I$52,0))),VLOOKUP(E1308,Parameter!$I$35:$J$52,2,0),IFERROR(VLOOKUP(D1308,Parameter!$A$35:$C$64,2,0),"Nein"))</f>
        <v>2+3</v>
      </c>
      <c r="CE1308" s="64" t="n">
        <f aca="false">IF(CA1308=0,0,IF(N(S1308)&gt;0,S1308,IFERROR(VLOOKUP(D1308,Parameter!$A$35:$C$64,3,0)+0,0)))</f>
        <v>0</v>
      </c>
      <c r="CF1308" s="60" t="n">
        <f aca="false">IF(AB1308&lt;&gt;"",AB1308,AA1308)</f>
        <v>3</v>
      </c>
      <c r="CG1308" s="60" t="str">
        <f aca="false">IF(OR(CF1308=1,CF1308=2,CF1308=3),IF(Parameter!$E$27="Ja","LIFT",IF(CF1308=1,"L1","L23")),IF(CF1308="Aussen","Aussen","-"))</f>
        <v>LIFT</v>
      </c>
      <c r="CH1308" s="71" t="n">
        <f aca="false">IF(N(AC1308)&gt;0,AC1308,0)</f>
        <v>0</v>
      </c>
      <c r="CI1308" s="65" t="n">
        <f aca="false">IF(ISNUMBER(AF1308),1,0)</f>
        <v>0</v>
      </c>
      <c r="CJ1308" s="62" t="n">
        <f aca="false">N(AF1308)</f>
        <v>0</v>
      </c>
      <c r="CK1308" s="62" t="n">
        <f aca="false">N(M1308)+N(N1308)</f>
        <v>134</v>
      </c>
      <c r="CL1308" s="62" t="n">
        <f aca="false">N(M1308)</f>
        <v>4</v>
      </c>
      <c r="CM1308" s="62" t="n">
        <f aca="false">N(N1308)</f>
        <v>130</v>
      </c>
      <c r="CN1308" s="62" t="n">
        <f aca="false">ROUNDUP(H1308/BZ1308,0)</f>
        <v>1</v>
      </c>
      <c r="CO1308" s="62" t="n">
        <f aca="false">ROUNDUP(CJ1308/BZ1308,0)</f>
        <v>0</v>
      </c>
      <c r="CP1308" s="65" t="n">
        <f aca="false">IF(CA1308=1,0,IFERROR(VLOOKUP(BY1308,'Gebinde-Kategorie'!$A$5:$N$45,5,0)+0,0))</f>
        <v>21</v>
      </c>
      <c r="CQ1308" s="65" t="n">
        <f aca="false">IFERROR(IF(OR(CF1308=1,CF1308=2,CF1308=3),N(INDEX(Parameter!$I$5:$I$7,CF1308)),0),0)</f>
        <v>0</v>
      </c>
      <c r="CR1308" s="64" t="n">
        <f aca="false">IF(AND(Parameter!$B$21="Ja",ISNUMBER(W1308),N(X1308)&gt;0),IFERROR(N(INDEX(Parameter!$L$5:$L$7,W1308))*INDEX(Parameter!$E$5:$E$7,W1308)*X1308/SUMIFS($X$7:$X$1843,$W$7:$W$1843,W1308),0),0)</f>
        <v>0</v>
      </c>
      <c r="CS1308" s="62" t="n">
        <f aca="false">IF(AND(OR(CG1308="L1",CG1308="L23",CG1308="LIFT"),H1308&gt;0),CC1308*IF(CR1308&gt;0,CR1308*MAX(1,H1308/X1308),IF(CA1308=1,CE1308,IF(R1308&gt;0,CN1308/R1308,0))/MAX(0.1,N(Parameter!$M$21))),"")</f>
        <v>9.42307692307692</v>
      </c>
      <c r="CT1308" s="64" t="n">
        <f aca="false">IF(CS1308="","",J1308/H1308)</f>
        <v>2.27848101265823</v>
      </c>
      <c r="CU1308" s="62" t="n">
        <f aca="false">IF(CS1308="","",H1308*G1308)</f>
        <v>2275.2</v>
      </c>
      <c r="CV1308" s="63" t="n">
        <f aca="false">IF(CS1308="","",(CL1308+ROUNDUP(CL1308+MAX(CM1308,2*(J1308/MAX(0.1,N(Einkauf!$C$6))-CL1308)),0))/2)</f>
        <v>69</v>
      </c>
      <c r="CW1308" s="62" t="n">
        <f aca="false">IF(CS1308="","",MAX(0,H1308-CV1308)*G1308)</f>
        <v>288</v>
      </c>
      <c r="CX1308" s="62" t="n">
        <f aca="false">IF(CS1308="","",CS1308*MAX(0,1-CV1308/H1308))</f>
        <v>1.19279454722493</v>
      </c>
      <c r="CY1308" s="64" t="n">
        <f aca="false">IF(CS1308="","",PERCENTRANK($CS$7:$CS$1843,CS1308)+PERCENTRANK($CU$7:$CU$1843,CU1308)+1-PERCENTRANK($CT$7:$CT$1843,CT1308))</f>
        <v>1.536</v>
      </c>
      <c r="CZ1308" s="72" t="n">
        <f aca="false">IF(CS1308="","",CHOOSE(MATCH(Einkauf!$C$5,Parameter!$G$23:$G$27,0),CY1308,CS1308,CU1308,-CT1308,CW1308)+ROW()/1000000000)</f>
        <v>1.536001308</v>
      </c>
    </row>
    <row r="1309" customFormat="false" ht="15" hidden="false" customHeight="false" outlineLevel="0" collapsed="false">
      <c r="A1309" s="60" t="s">
        <v>2366</v>
      </c>
      <c r="B1309" s="60" t="s">
        <v>467</v>
      </c>
      <c r="C1309" s="60" t="s">
        <v>206</v>
      </c>
      <c r="D1309" s="60" t="s">
        <v>226</v>
      </c>
      <c r="E1309" s="60" t="s">
        <v>227</v>
      </c>
      <c r="F1309" s="60" t="s">
        <v>260</v>
      </c>
      <c r="G1309" s="61" t="n">
        <v>24.31</v>
      </c>
      <c r="H1309" s="62" t="n">
        <f aca="false">MAX(0,IF(AND(Parameter!$B$21="Ja",ISNUMBER(Y1309)),Y1309,IF(Parameter!$B$20="Jahresanfang 2025 + Export",BS1309+BR1309,BR1309)))</f>
        <v>37</v>
      </c>
      <c r="I1309" s="62" t="n">
        <f aca="false">H1309*G1309</f>
        <v>899.47</v>
      </c>
      <c r="J1309" s="62" t="n">
        <f aca="false">BU1309*Parameter!$B$18</f>
        <v>77</v>
      </c>
      <c r="K1309" s="63" t="n">
        <v>57.5</v>
      </c>
      <c r="L1309" s="64" t="n">
        <v>1.33913043478261</v>
      </c>
      <c r="M1309" s="62" t="n">
        <v>2</v>
      </c>
      <c r="N1309" s="62" t="n">
        <v>75</v>
      </c>
      <c r="O1309" s="65" t="n">
        <v>14</v>
      </c>
      <c r="P1309" s="60" t="s">
        <v>344</v>
      </c>
      <c r="Q1309" s="62" t="n">
        <v>164</v>
      </c>
      <c r="R1309" s="65" t="n">
        <f aca="false">IF(CA1309=1,0,IFERROR(VLOOKUP(BY1309,'Gebinde-Kategorie'!$A$5:$N$45,13,0)+0,0))</f>
        <v>26</v>
      </c>
      <c r="S1309" s="66"/>
      <c r="T1309" s="67"/>
      <c r="U1309" s="67"/>
      <c r="V1309" s="67"/>
      <c r="W1309" s="60"/>
      <c r="X1309" s="62"/>
      <c r="Y1309" s="62"/>
      <c r="Z1309" s="60" t="n">
        <v>3</v>
      </c>
      <c r="AA1309" s="60" t="n">
        <f aca="false">IF(A1309="","",IF(AND(Parameter!$B$21="Ja",ISNUMBER(W1309)),W1309,IF(AND(Parameter!$E$27="Ja",ISNUMBER(Z1309),CD1309&lt;&gt;"Nein"),Z1309,IF(CD1309="2+3",IF(ISNUMBER(SEARCH("grosser Artikel",BV1309)),2,IFERROR(VLOOKUP(BY1309,Parameter!$F$35:$G$64,2,0),2)),IF(OR(CD1309="Nein",CD1309=""),"-",CD1309)))))</f>
        <v>3</v>
      </c>
      <c r="AB1309" s="67"/>
      <c r="AC1309" s="68"/>
      <c r="AD1309" s="62" t="n">
        <f aca="false">AW1309</f>
        <v>77</v>
      </c>
      <c r="AE1309" s="62" t="n">
        <f aca="false">MAX(AW1309,H1309)</f>
        <v>77</v>
      </c>
      <c r="AF1309" s="69"/>
      <c r="AG1309" s="62" t="n">
        <f aca="false">IF(LEFT(Cockpit!$C$5,1)="A",H1309,IF(Parameter!$E$30="MAX-Bestand",IF(CI1309=1,CJ1309,IF(LEFT(Cockpit!$C$5,1)="B",AM1309,MAX(AM1309,H1309))),ROUNDUP(AK1309,0)))</f>
        <v>37</v>
      </c>
      <c r="AH1309" s="62" t="n">
        <f aca="false">IF(CA1309=1,0,ROUNDUP(AG1309/BZ1309,0))</f>
        <v>1</v>
      </c>
      <c r="AI1309" s="64" t="n">
        <f aca="false">IF(CR1309&gt;0,CR1309*MAX(1,AG1309/X1309),IF(CA1309=1,IF(AG1309&lt;=0,0,CE1309*MAX(1,IF(H1309&gt;0,AG1309/H1309,1))),IF(R1309&gt;0,AH1309/R1309,0))/MAX(0.1,N(Parameter!$M$21)))</f>
        <v>0.0384615384615385</v>
      </c>
      <c r="AJ1309" s="62" t="n">
        <f aca="false">AI1309*CC1309</f>
        <v>5.96153846153846</v>
      </c>
      <c r="AK1309" s="63" t="n">
        <f aca="false">IF(LEFT(Cockpit!$C$5,1)="A",H1309,IF(CI1309=1,(CL1309+CJ1309)/2,IF(LEFT(Cockpit!$C$5,1)="B",(CL1309+AM1309)/2,MAX((CL1309+AM1309)/2,H1309))))</f>
        <v>37</v>
      </c>
      <c r="AL1309" s="62" t="n">
        <f aca="false">AK1309*G1309</f>
        <v>899.47</v>
      </c>
      <c r="AM1309" s="62" t="n">
        <f aca="false">ROUNDUP(CL1309+MAX(CM1309,2*(J1309/IF(CH1309&gt;0,CH1309,MAX(0.1,N(Cockpit!$C$6)))-CL1309)),0)</f>
        <v>77</v>
      </c>
      <c r="AN1309" s="63" t="n">
        <f aca="false">IF(AJ1309&gt;0,J1309/AJ1309,-1)</f>
        <v>12.9161290322581</v>
      </c>
      <c r="AO1309" s="63" t="n">
        <f aca="false">IF(AND(OR(CG1309="L1",CG1309="L23",CG1309="LIFT"),AJ1309&gt;0),SUMIFS($AJ$7:$AJ$1843,$CG$7:$CG$1843,CG1309,$AN$7:$AN$1843,"&gt;"&amp;AN1309)+SUMIFS($AJ$7:$AJ$1843,$CG$7:$CG$1843,CG1309,$AN$7:$AN$1843,AN1309,$BX$7:$BX$1843,"&lt;="&amp;BX1309),"")</f>
        <v>2381.58608058608</v>
      </c>
      <c r="AP1309" s="70" t="n">
        <f aca="false">IF(AO1309="",0,MAX(0,MIN(1,(IF(CG1309="L1",Parameter!$H$5,IF(CG1309="L23",Parameter!$H$6+Parameter!$H$7,Parameter!$H$5+Parameter!$H$6+Parameter!$H$7))-(AO1309-AJ1309))/AJ1309)))</f>
        <v>1</v>
      </c>
      <c r="AQ1309" s="62" t="n">
        <f aca="false">IF(LEFT(Cockpit!$I$5,1)="A",H1309,IF(Parameter!$E$30="MAX-Bestand",IF(CI1309=1,CJ1309,IF(LEFT(Cockpit!$I$5,1)="B",AW1309,MAX(AW1309,H1309))),ROUNDUP(AU1309,0)))</f>
        <v>40</v>
      </c>
      <c r="AR1309" s="62" t="n">
        <f aca="false">IF(CA1309=1,0,ROUNDUP(AQ1309/BZ1309,0))</f>
        <v>1</v>
      </c>
      <c r="AS1309" s="64" t="n">
        <f aca="false">IF(CR1309&gt;0,CR1309*MAX(1,AQ1309/X1309),IF(CA1309=1,IF(AQ1309&lt;=0,0,CE1309*MAX(1,IF(H1309&gt;0,AQ1309/H1309,1))),IF(R1309&gt;0,AR1309/R1309,0))/MAX(0.1,N(Parameter!$M$21)))</f>
        <v>0.0384615384615385</v>
      </c>
      <c r="AT1309" s="62" t="n">
        <f aca="false">AS1309*CC1309</f>
        <v>5.96153846153846</v>
      </c>
      <c r="AU1309" s="63" t="n">
        <f aca="false">IF(LEFT(Cockpit!$I$5,1)="A",H1309,IF(CI1309=1,(CL1309+CJ1309)/2,IF(LEFT(Cockpit!$I$5,1)="B",(CL1309+AW1309)/2,MAX((CL1309+AW1309)/2,H1309))))</f>
        <v>39.5</v>
      </c>
      <c r="AV1309" s="62" t="n">
        <f aca="false">AU1309*G1309</f>
        <v>960.245</v>
      </c>
      <c r="AW1309" s="62" t="n">
        <f aca="false">ROUNDUP(CL1309+MAX(CM1309,2*(J1309/IF(CH1309&gt;0,CH1309,MAX(0.1,N(Cockpit!$I$6)))-CL1309)),0)</f>
        <v>77</v>
      </c>
      <c r="AX1309" s="63" t="n">
        <f aca="false">IF(AT1309&gt;0,J1309/AT1309,-1)</f>
        <v>12.9161290322581</v>
      </c>
      <c r="AY1309" s="63" t="n">
        <f aca="false">IF(AND(OR(CG1309="L1",CG1309="L23",CG1309="LIFT"),AT1309&gt;0),SUMIFS($AT$7:$AT$1843,$CG$7:$CG$1843,CG1309,$AX$7:$AX$1843,"&gt;"&amp;AX1309)+SUMIFS($AT$7:$AT$1843,$CG$7:$CG$1843,CG1309,$AX$7:$AX$1843,AX1309,$BX$7:$BX$1843,"&lt;="&amp;BX1309),"")</f>
        <v>2970.9652014652</v>
      </c>
      <c r="AZ1309" s="70" t="n">
        <f aca="false">IF(AY1309="",0,MAX(0,MIN(1,(IF(CG1309="L1",Parameter!$H$5,IF(CG1309="L23",Parameter!$H$6+Parameter!$H$7,Parameter!$H$5+Parameter!$H$6+Parameter!$H$7))-(AY1309-AT1309))/AT1309)))</f>
        <v>1</v>
      </c>
      <c r="BA1309" s="62" t="n">
        <f aca="false">IF(LEFT(Cockpit!$O$5,1)="A",H1309,IF(Parameter!$E$30="MAX-Bestand",IF(CI1309=1,CJ1309,IF(LEFT(Cockpit!$O$5,1)="B",BG1309,MAX(BG1309,H1309))),ROUNDUP(BE1309,0)))</f>
        <v>40</v>
      </c>
      <c r="BB1309" s="62" t="n">
        <f aca="false">IF(CA1309=1,0,ROUNDUP(BA1309/BZ1309,0))</f>
        <v>1</v>
      </c>
      <c r="BC1309" s="64" t="n">
        <f aca="false">IF(CR1309&gt;0,CR1309*MAX(1,BA1309/X1309),IF(CA1309=1,IF(BA1309&lt;=0,0,CE1309*MAX(1,IF(H1309&gt;0,BA1309/H1309,1))),IF(R1309&gt;0,BB1309/R1309,0))/MAX(0.1,N(Parameter!$M$21)))</f>
        <v>0.0384615384615385</v>
      </c>
      <c r="BD1309" s="62" t="n">
        <f aca="false">BC1309*CC1309</f>
        <v>5.96153846153846</v>
      </c>
      <c r="BE1309" s="63" t="n">
        <f aca="false">IF(LEFT(Cockpit!$O$5,1)="A",H1309,IF(CI1309=1,(CL1309+CJ1309)/2,IF(LEFT(Cockpit!$O$5,1)="B",(CL1309+BG1309)/2,MAX((CL1309+BG1309)/2,H1309))))</f>
        <v>39.5</v>
      </c>
      <c r="BF1309" s="62" t="n">
        <f aca="false">BE1309*G1309</f>
        <v>960.245</v>
      </c>
      <c r="BG1309" s="62" t="n">
        <f aca="false">ROUNDUP(CL1309+MAX(CM1309,2*(J1309/IF(CH1309&gt;0,CH1309,MAX(0.1,N(Cockpit!$O$6)))-CL1309)),0)</f>
        <v>77</v>
      </c>
      <c r="BH1309" s="63" t="n">
        <f aca="false">IF(BD1309&gt;0,J1309/BD1309,-1)</f>
        <v>12.9161290322581</v>
      </c>
      <c r="BI1309" s="63" t="n">
        <f aca="false">IF(AND(OR(CG1309="L1",CG1309="L23",CG1309="LIFT"),BD1309&gt;0),SUMIFS($BD$7:$BD$1843,$CG$7:$CG$1843,CG1309,$BH$7:$BH$1843,"&gt;"&amp;BH1309)+SUMIFS($BD$7:$BD$1843,$CG$7:$CG$1843,CG1309,$BH$7:$BH$1843,BH1309,$BX$7:$BX$1843,"&lt;="&amp;BX1309),"")</f>
        <v>2511.7967032967</v>
      </c>
      <c r="BJ1309" s="70" t="n">
        <f aca="false">IF(BI1309="",0,MAX(0,MIN(1,(IF(CG1309="L1",Parameter!$H$5,IF(CG1309="L23",Parameter!$H$6+Parameter!$H$7,Parameter!$H$5+Parameter!$H$6+Parameter!$H$7))-(BI1309-BD1309))/BD1309)))</f>
        <v>1</v>
      </c>
      <c r="BK1309" s="60" t="str">
        <f aca="false">IF(AJ1309&lt;=0,"",IF(CG1309="Aussen","Aussenlager",IF(CG1309="-","Nicht im Lift",IF(AP1309&gt;=1,"Lift",IF(AP1309&lt;=0,"Aussenlager","teilweise")))))</f>
        <v>Lift</v>
      </c>
      <c r="BL1309" s="60" t="str">
        <f aca="false">IF(AT1309&lt;=0,"",IF(CG1309="Aussen","Aussenlager",IF(CG1309="-","Nicht im Lift",IF(AZ1309&gt;=1,"Lift",IF(AZ1309&lt;=0,"Aussenlager","teilweise")))))</f>
        <v>Lift</v>
      </c>
      <c r="BM1309" s="60" t="str">
        <f aca="false">IF(BD1309&lt;=0,"",IF(CG1309="Aussen","Aussenlager",IF(CG1309="-","Nicht im Lift",IF(BJ1309&gt;=1,"Lift",IF(BJ1309&lt;=0,"Aussenlager","teilweise")))))</f>
        <v>Lift</v>
      </c>
      <c r="BN1309" s="60" t="str">
        <f aca="false">IF(A1309="","",IF(BW1309=1,"Neu; ","")&amp;IF(AND(BW1309=0,BR1309&lt;0),"negativer Bestand (Export "&amp;BR1309&amp;"); ","")&amp;IF(J1309&lt;=0,"Kein Verbrauch; ","")&amp;IF(CR1309&gt;0,"Lift "&amp;W1309&amp;" lt. Liftbericht (Fach "&amp;X1309&amp;" Stk); ",IF(CB1309=1,"Gebinde geschätzt ("&amp;T1309&amp;"); ",IF(CA1309=1,"Lose – Tablare geschätzt; ","")))&amp;IF(H1309&gt;AW1309,"Überbestand "&amp;ROUND(H1309-AW1309,0)&amp;" Stk / CHF "&amp;ROUND((H1309-AW1309)*G1309,0)&amp;"; ","")&amp;IF(AND(CI1309=1,CJ1309&lt;CK1309),"MAX &lt; MB+LG; ","")&amp;IF(AND(CQ1309&gt;0,CP1309*10&gt;CQ1309),"zu hoch für Tablar; ","")&amp;IF(AND(BW1309=0,OR(CI1309=1,AB1309&lt;&gt;"",U1309&lt;&gt;"",V1309&lt;&gt;"",AC1309&lt;&gt;"")),"manuell übersteuert; ","")&amp;IF(AND(CA1309=0,R1309=0),"Gebinde unbekannt / Stellmass fehlt; ","")&amp;IF(AND(CA1309=0,N(V1309)&lt;=0,N(Q1309)&lt;=0),"Menge pro Gebinde fehlt (Ist = 1 Gebinde); ","")&amp;BV1309)</f>
        <v>negativer Bestand (Export -34); </v>
      </c>
      <c r="BO1309" s="60"/>
      <c r="BP1309" s="60"/>
      <c r="BQ1309" s="67"/>
      <c r="BR1309" s="62" t="n">
        <v>-34</v>
      </c>
      <c r="BS1309" s="62" t="n">
        <v>71</v>
      </c>
      <c r="BT1309" s="61" t="n">
        <v>-1282.14</v>
      </c>
      <c r="BU1309" s="62" t="n">
        <v>77</v>
      </c>
      <c r="BV1309" s="60"/>
      <c r="BW1309" s="65" t="n">
        <v>0</v>
      </c>
      <c r="BX1309" s="65" t="n">
        <v>1309</v>
      </c>
      <c r="BY1309" s="60" t="str">
        <f aca="false">IF(U1309&lt;&gt;"",UPPER(TRIM(U1309)),IF(CB1309=1,UPPER(VLOOKUP(T1309,Parameter!$I$27:$K$29,2,0)),IF(P1309="","LOSE",P1309)))</f>
        <v>S51</v>
      </c>
      <c r="BZ1309" s="62" t="n">
        <f aca="false">IF(BY1309="LOSE",1,IF(N(V1309)&gt;0,V1309,IF(CB1309=1,MAX(1,N(VLOOKUP(T1309,Parameter!$I$27:$K$29,3,0)),H1309,N(N1309)),IF(N(Q1309)&gt;0,Q1309,MAX(1,H1309)))))</f>
        <v>164</v>
      </c>
      <c r="CA1309" s="65" t="n">
        <f aca="false">IF(BY1309="LOSE",1,0)</f>
        <v>0</v>
      </c>
      <c r="CB1309" s="65" t="n">
        <f aca="false">IF(AND(U1309="",OR(P1309="",P1309="LOSE"),T1309&lt;&gt;"",N(S1309)&lt;=0,ISNUMBER(MATCH(T1309,Parameter!$I$27:$I$29,0))),1,0)</f>
        <v>0</v>
      </c>
      <c r="CC1309" s="65" t="n">
        <f aca="false">IF(CR1309&gt;0,INDEX(Parameter!$H$5:$H$7,W1309)/INDEX(Parameter!$E$5:$E$7,W1309),IF(AND(CA1309=0,N(IFERROR(VLOOKUP(BY1309,'Gebinde-Kategorie'!$A$5:$N$45,14,0),0))&gt;0),VLOOKUP(BY1309,'Gebinde-Kategorie'!$A$5:$N$45,14,0)*10+Parameter!$M$23,Parameter!$M$24))</f>
        <v>155</v>
      </c>
      <c r="CD1309" s="60" t="str">
        <f aca="false">IF(AND(Parameter!$B$19="Ja",E1309&lt;&gt;"",ISNUMBER(MATCH(E1309,Parameter!$I$35:$I$52,0))),VLOOKUP(E1309,Parameter!$I$35:$J$52,2,0),IFERROR(VLOOKUP(D1309,Parameter!$A$35:$C$64,2,0),"Nein"))</f>
        <v>2+3</v>
      </c>
      <c r="CE1309" s="64" t="n">
        <f aca="false">IF(CA1309=0,0,IF(N(S1309)&gt;0,S1309,IFERROR(VLOOKUP(D1309,Parameter!$A$35:$C$64,3,0)+0,0)))</f>
        <v>0</v>
      </c>
      <c r="CF1309" s="60" t="n">
        <f aca="false">IF(AB1309&lt;&gt;"",AB1309,AA1309)</f>
        <v>3</v>
      </c>
      <c r="CG1309" s="60" t="str">
        <f aca="false">IF(OR(CF1309=1,CF1309=2,CF1309=3),IF(Parameter!$E$27="Ja","LIFT",IF(CF1309=1,"L1","L23")),IF(CF1309="Aussen","Aussen","-"))</f>
        <v>LIFT</v>
      </c>
      <c r="CH1309" s="71" t="n">
        <f aca="false">IF(N(AC1309)&gt;0,AC1309,0)</f>
        <v>0</v>
      </c>
      <c r="CI1309" s="65" t="n">
        <f aca="false">IF(ISNUMBER(AF1309),1,0)</f>
        <v>0</v>
      </c>
      <c r="CJ1309" s="62" t="n">
        <f aca="false">N(AF1309)</f>
        <v>0</v>
      </c>
      <c r="CK1309" s="62" t="n">
        <f aca="false">N(M1309)+N(N1309)</f>
        <v>77</v>
      </c>
      <c r="CL1309" s="62" t="n">
        <f aca="false">N(M1309)</f>
        <v>2</v>
      </c>
      <c r="CM1309" s="62" t="n">
        <f aca="false">N(N1309)</f>
        <v>75</v>
      </c>
      <c r="CN1309" s="62" t="n">
        <f aca="false">ROUNDUP(H1309/BZ1309,0)</f>
        <v>1</v>
      </c>
      <c r="CO1309" s="62" t="n">
        <f aca="false">ROUNDUP(CJ1309/BZ1309,0)</f>
        <v>0</v>
      </c>
      <c r="CP1309" s="65" t="n">
        <f aca="false">IF(CA1309=1,0,IFERROR(VLOOKUP(BY1309,'Gebinde-Kategorie'!$A$5:$N$45,5,0)+0,0))</f>
        <v>11</v>
      </c>
      <c r="CQ1309" s="65" t="n">
        <f aca="false">IFERROR(IF(OR(CF1309=1,CF1309=2,CF1309=3),N(INDEX(Parameter!$I$5:$I$7,CF1309)),0),0)</f>
        <v>0</v>
      </c>
      <c r="CR1309" s="64" t="n">
        <f aca="false">IF(AND(Parameter!$B$21="Ja",ISNUMBER(W1309),N(X1309)&gt;0),IFERROR(N(INDEX(Parameter!$L$5:$L$7,W1309))*INDEX(Parameter!$E$5:$E$7,W1309)*X1309/SUMIFS($X$7:$X$1843,$W$7:$W$1843,W1309),0),0)</f>
        <v>0</v>
      </c>
      <c r="CS1309" s="62" t="n">
        <f aca="false">IF(AND(OR(CG1309="L1",CG1309="L23",CG1309="LIFT"),H1309&gt;0),CC1309*IF(CR1309&gt;0,CR1309*MAX(1,H1309/X1309),IF(CA1309=1,CE1309,IF(R1309&gt;0,CN1309/R1309,0))/MAX(0.1,N(Parameter!$M$21))),"")</f>
        <v>5.96153846153846</v>
      </c>
      <c r="CT1309" s="64" t="n">
        <f aca="false">IF(CS1309="","",J1309/H1309)</f>
        <v>2.08108108108108</v>
      </c>
      <c r="CU1309" s="62" t="n">
        <f aca="false">IF(CS1309="","",H1309*G1309)</f>
        <v>899.47</v>
      </c>
      <c r="CV1309" s="63" t="n">
        <f aca="false">IF(CS1309="","",(CL1309+ROUNDUP(CL1309+MAX(CM1309,2*(J1309/MAX(0.1,N(Einkauf!$C$6))-CL1309)),0))/2)</f>
        <v>39.5</v>
      </c>
      <c r="CW1309" s="62" t="n">
        <f aca="false">IF(CS1309="","",MAX(0,H1309-CV1309)*G1309)</f>
        <v>0</v>
      </c>
      <c r="CX1309" s="62" t="n">
        <f aca="false">IF(CS1309="","",CS1309*MAX(0,1-CV1309/H1309))</f>
        <v>0</v>
      </c>
      <c r="CY1309" s="64" t="n">
        <f aca="false">IF(CS1309="","",PERCENTRANK($CS$7:$CS$1843,CS1309)+PERCENTRANK($CU$7:$CU$1843,CU1309)+1-PERCENTRANK($CT$7:$CT$1843,CT1309))</f>
        <v>1.167</v>
      </c>
      <c r="CZ1309" s="72" t="n">
        <f aca="false">IF(CS1309="","",CHOOSE(MATCH(Einkauf!$C$5,Parameter!$G$23:$G$27,0),CY1309,CS1309,CU1309,-CT1309,CW1309)+ROW()/1000000000)</f>
        <v>1.167001309</v>
      </c>
    </row>
    <row r="1310" customFormat="false" ht="15" hidden="false" customHeight="false" outlineLevel="0" collapsed="false">
      <c r="A1310" s="60" t="s">
        <v>2367</v>
      </c>
      <c r="B1310" s="60" t="s">
        <v>467</v>
      </c>
      <c r="C1310" s="60" t="s">
        <v>206</v>
      </c>
      <c r="D1310" s="60" t="s">
        <v>226</v>
      </c>
      <c r="E1310" s="60" t="s">
        <v>227</v>
      </c>
      <c r="F1310" s="60" t="s">
        <v>260</v>
      </c>
      <c r="G1310" s="61" t="n">
        <v>47.59</v>
      </c>
      <c r="H1310" s="62" t="n">
        <f aca="false">MAX(0,IF(AND(Parameter!$B$21="Ja",ISNUMBER(Y1310)),Y1310,IF(Parameter!$B$20="Jahresanfang 2025 + Export",BS1310+BR1310,BR1310)))</f>
        <v>137</v>
      </c>
      <c r="I1310" s="62" t="n">
        <f aca="false">H1310*G1310</f>
        <v>6519.83</v>
      </c>
      <c r="J1310" s="62" t="n">
        <f aca="false">BU1310*Parameter!$B$18</f>
        <v>0</v>
      </c>
      <c r="K1310" s="63" t="n">
        <v>147.5</v>
      </c>
      <c r="L1310" s="64" t="n">
        <v>0</v>
      </c>
      <c r="M1310" s="62" t="n">
        <v>0</v>
      </c>
      <c r="N1310" s="62" t="n">
        <v>1</v>
      </c>
      <c r="O1310" s="65" t="n">
        <v>28</v>
      </c>
      <c r="P1310" s="60" t="s">
        <v>275</v>
      </c>
      <c r="Q1310" s="62" t="n">
        <v>246</v>
      </c>
      <c r="R1310" s="65" t="n">
        <f aca="false">IF(CA1310=1,0,IFERROR(VLOOKUP(BY1310,'Gebinde-Kategorie'!$A$5:$N$45,13,0)+0,0))</f>
        <v>26</v>
      </c>
      <c r="S1310" s="66"/>
      <c r="T1310" s="67"/>
      <c r="U1310" s="67"/>
      <c r="V1310" s="67"/>
      <c r="W1310" s="60"/>
      <c r="X1310" s="62"/>
      <c r="Y1310" s="62"/>
      <c r="Z1310" s="60" t="n">
        <v>3</v>
      </c>
      <c r="AA1310" s="60" t="n">
        <f aca="false">IF(A1310="","",IF(AND(Parameter!$B$21="Ja",ISNUMBER(W1310)),W1310,IF(AND(Parameter!$E$27="Ja",ISNUMBER(Z1310),CD1310&lt;&gt;"Nein"),Z1310,IF(CD1310="2+3",IF(ISNUMBER(SEARCH("grosser Artikel",BV1310)),2,IFERROR(VLOOKUP(BY1310,Parameter!$F$35:$G$64,2,0),2)),IF(OR(CD1310="Nein",CD1310=""),"-",CD1310)))))</f>
        <v>3</v>
      </c>
      <c r="AB1310" s="67"/>
      <c r="AC1310" s="68"/>
      <c r="AD1310" s="62" t="n">
        <f aca="false">AW1310</f>
        <v>1</v>
      </c>
      <c r="AE1310" s="62" t="n">
        <f aca="false">MAX(AW1310,H1310)</f>
        <v>137</v>
      </c>
      <c r="AF1310" s="69"/>
      <c r="AG1310" s="62" t="n">
        <f aca="false">IF(LEFT(Cockpit!$C$5,1)="A",H1310,IF(Parameter!$E$30="MAX-Bestand",IF(CI1310=1,CJ1310,IF(LEFT(Cockpit!$C$5,1)="B",AM1310,MAX(AM1310,H1310))),ROUNDUP(AK1310,0)))</f>
        <v>137</v>
      </c>
      <c r="AH1310" s="62" t="n">
        <f aca="false">IF(CA1310=1,0,ROUNDUP(AG1310/BZ1310,0))</f>
        <v>1</v>
      </c>
      <c r="AI1310" s="64" t="n">
        <f aca="false">IF(CR1310&gt;0,CR1310*MAX(1,AG1310/X1310),IF(CA1310=1,IF(AG1310&lt;=0,0,CE1310*MAX(1,IF(H1310&gt;0,AG1310/H1310,1))),IF(R1310&gt;0,AH1310/R1310,0))/MAX(0.1,N(Parameter!$M$21)))</f>
        <v>0.0384615384615385</v>
      </c>
      <c r="AJ1310" s="62" t="n">
        <f aca="false">AI1310*CC1310</f>
        <v>9.42307692307692</v>
      </c>
      <c r="AK1310" s="63" t="n">
        <f aca="false">IF(LEFT(Cockpit!$C$5,1)="A",H1310,IF(CI1310=1,(CL1310+CJ1310)/2,IF(LEFT(Cockpit!$C$5,1)="B",(CL1310+AM1310)/2,MAX((CL1310+AM1310)/2,H1310))))</f>
        <v>137</v>
      </c>
      <c r="AL1310" s="62" t="n">
        <f aca="false">AK1310*G1310</f>
        <v>6519.83</v>
      </c>
      <c r="AM1310" s="62" t="n">
        <f aca="false">ROUNDUP(CL1310+MAX(CM1310,2*(J1310/IF(CH1310&gt;0,CH1310,MAX(0.1,N(Cockpit!$C$6)))-CL1310)),0)</f>
        <v>1</v>
      </c>
      <c r="AN1310" s="63" t="n">
        <f aca="false">IF(AJ1310&gt;0,J1310/AJ1310,-1)</f>
        <v>0</v>
      </c>
      <c r="AO1310" s="63" t="n">
        <f aca="false">IF(AND(OR(CG1310="L1",CG1310="L23",CG1310="LIFT"),AJ1310&gt;0),SUMIFS($AJ$7:$AJ$1843,$CG$7:$CG$1843,CG1310,$AN$7:$AN$1843,"&gt;"&amp;AN1310)+SUMIFS($AJ$7:$AJ$1843,$CG$7:$CG$1843,CG1310,$AN$7:$AN$1843,AN1310,$BX$7:$BX$1843,"&lt;="&amp;BX1310),"")</f>
        <v>29451.916834813</v>
      </c>
      <c r="AP1310" s="70" t="n">
        <f aca="false">IF(AO1310="",0,MAX(0,MIN(1,(IF(CG1310="L1",Parameter!$H$5,IF(CG1310="L23",Parameter!$H$6+Parameter!$H$7,Parameter!$H$5+Parameter!$H$6+Parameter!$H$7))-(AO1310-AJ1310))/AJ1310)))</f>
        <v>1</v>
      </c>
      <c r="AQ1310" s="62" t="n">
        <f aca="false">IF(LEFT(Cockpit!$I$5,1)="A",H1310,IF(Parameter!$E$30="MAX-Bestand",IF(CI1310=1,CJ1310,IF(LEFT(Cockpit!$I$5,1)="B",AW1310,MAX(AW1310,H1310))),ROUNDUP(AU1310,0)))</f>
        <v>137</v>
      </c>
      <c r="AR1310" s="62" t="n">
        <f aca="false">IF(CA1310=1,0,ROUNDUP(AQ1310/BZ1310,0))</f>
        <v>1</v>
      </c>
      <c r="AS1310" s="64" t="n">
        <f aca="false">IF(CR1310&gt;0,CR1310*MAX(1,AQ1310/X1310),IF(CA1310=1,IF(AQ1310&lt;=0,0,CE1310*MAX(1,IF(H1310&gt;0,AQ1310/H1310,1))),IF(R1310&gt;0,AR1310/R1310,0))/MAX(0.1,N(Parameter!$M$21)))</f>
        <v>0.0384615384615385</v>
      </c>
      <c r="AT1310" s="62" t="n">
        <f aca="false">AS1310*CC1310</f>
        <v>9.42307692307692</v>
      </c>
      <c r="AU1310" s="63" t="n">
        <f aca="false">IF(LEFT(Cockpit!$I$5,1)="A",H1310,IF(CI1310=1,(CL1310+CJ1310)/2,IF(LEFT(Cockpit!$I$5,1)="B",(CL1310+AW1310)/2,MAX((CL1310+AW1310)/2,H1310))))</f>
        <v>137</v>
      </c>
      <c r="AV1310" s="62" t="n">
        <f aca="false">AU1310*G1310</f>
        <v>6519.83</v>
      </c>
      <c r="AW1310" s="62" t="n">
        <f aca="false">ROUNDUP(CL1310+MAX(CM1310,2*(J1310/IF(CH1310&gt;0,CH1310,MAX(0.1,N(Cockpit!$I$6)))-CL1310)),0)</f>
        <v>1</v>
      </c>
      <c r="AX1310" s="63" t="n">
        <f aca="false">IF(AT1310&gt;0,J1310/AT1310,-1)</f>
        <v>0</v>
      </c>
      <c r="AY1310" s="63" t="n">
        <f aca="false">IF(AND(OR(CG1310="L1",CG1310="L23",CG1310="LIFT"),AT1310&gt;0),SUMIFS($AT$7:$AT$1843,$CG$7:$CG$1843,CG1310,$AX$7:$AX$1843,"&gt;"&amp;AX1310)+SUMIFS($AT$7:$AT$1843,$CG$7:$CG$1843,CG1310,$AX$7:$AX$1843,AX1310,$BX$7:$BX$1843,"&lt;="&amp;BX1310),"")</f>
        <v>35646.5004578755</v>
      </c>
      <c r="AZ1310" s="70" t="n">
        <f aca="false">IF(AY1310="",0,MAX(0,MIN(1,(IF(CG1310="L1",Parameter!$H$5,IF(CG1310="L23",Parameter!$H$6+Parameter!$H$7,Parameter!$H$5+Parameter!$H$6+Parameter!$H$7))-(AY1310-AT1310))/AT1310)))</f>
        <v>1</v>
      </c>
      <c r="BA1310" s="62" t="n">
        <f aca="false">IF(LEFT(Cockpit!$O$5,1)="A",H1310,IF(Parameter!$E$30="MAX-Bestand",IF(CI1310=1,CJ1310,IF(LEFT(Cockpit!$O$5,1)="B",BG1310,MAX(BG1310,H1310))),ROUNDUP(BE1310,0)))</f>
        <v>1</v>
      </c>
      <c r="BB1310" s="62" t="n">
        <f aca="false">IF(CA1310=1,0,ROUNDUP(BA1310/BZ1310,0))</f>
        <v>1</v>
      </c>
      <c r="BC1310" s="64" t="n">
        <f aca="false">IF(CR1310&gt;0,CR1310*MAX(1,BA1310/X1310),IF(CA1310=1,IF(BA1310&lt;=0,0,CE1310*MAX(1,IF(H1310&gt;0,BA1310/H1310,1))),IF(R1310&gt;0,BB1310/R1310,0))/MAX(0.1,N(Parameter!$M$21)))</f>
        <v>0.0384615384615385</v>
      </c>
      <c r="BD1310" s="62" t="n">
        <f aca="false">BC1310*CC1310</f>
        <v>9.42307692307692</v>
      </c>
      <c r="BE1310" s="63" t="n">
        <f aca="false">IF(LEFT(Cockpit!$O$5,1)="A",H1310,IF(CI1310=1,(CL1310+CJ1310)/2,IF(LEFT(Cockpit!$O$5,1)="B",(CL1310+BG1310)/2,MAX((CL1310+BG1310)/2,H1310))))</f>
        <v>0.5</v>
      </c>
      <c r="BF1310" s="62" t="n">
        <f aca="false">BE1310*G1310</f>
        <v>23.795</v>
      </c>
      <c r="BG1310" s="62" t="n">
        <f aca="false">ROUNDUP(CL1310+MAX(CM1310,2*(J1310/IF(CH1310&gt;0,CH1310,MAX(0.1,N(Cockpit!$O$6)))-CL1310)),0)</f>
        <v>1</v>
      </c>
      <c r="BH1310" s="63" t="n">
        <f aca="false">IF(BD1310&gt;0,J1310/BD1310,-1)</f>
        <v>0</v>
      </c>
      <c r="BI1310" s="63" t="n">
        <f aca="false">IF(AND(OR(CG1310="L1",CG1310="L23",CG1310="LIFT"),BD1310&gt;0),SUMIFS($BD$7:$BD$1843,$CG$7:$CG$1843,CG1310,$BH$7:$BH$1843,"&gt;"&amp;BH1310)+SUMIFS($BD$7:$BD$1843,$CG$7:$CG$1843,CG1310,$BH$7:$BH$1843,BH1310,$BX$7:$BX$1843,"&lt;="&amp;BX1310),"")</f>
        <v>29631.8071180232</v>
      </c>
      <c r="BJ1310" s="70" t="n">
        <f aca="false">IF(BI1310="",0,MAX(0,MIN(1,(IF(CG1310="L1",Parameter!$H$5,IF(CG1310="L23",Parameter!$H$6+Parameter!$H$7,Parameter!$H$5+Parameter!$H$6+Parameter!$H$7))-(BI1310-BD1310))/BD1310)))</f>
        <v>1</v>
      </c>
      <c r="BK1310" s="60" t="str">
        <f aca="false">IF(AJ1310&lt;=0,"",IF(CG1310="Aussen","Aussenlager",IF(CG1310="-","Nicht im Lift",IF(AP1310&gt;=1,"Lift",IF(AP1310&lt;=0,"Aussenlager","teilweise")))))</f>
        <v>Lift</v>
      </c>
      <c r="BL1310" s="60" t="str">
        <f aca="false">IF(AT1310&lt;=0,"",IF(CG1310="Aussen","Aussenlager",IF(CG1310="-","Nicht im Lift",IF(AZ1310&gt;=1,"Lift",IF(AZ1310&lt;=0,"Aussenlager","teilweise")))))</f>
        <v>Lift</v>
      </c>
      <c r="BM1310" s="60" t="str">
        <f aca="false">IF(BD1310&lt;=0,"",IF(CG1310="Aussen","Aussenlager",IF(CG1310="-","Nicht im Lift",IF(BJ1310&gt;=1,"Lift",IF(BJ1310&lt;=0,"Aussenlager","teilweise")))))</f>
        <v>Lift</v>
      </c>
      <c r="BN1310" s="60" t="str">
        <f aca="false">IF(A1310="","",IF(BW1310=1,"Neu; ","")&amp;IF(AND(BW1310=0,BR1310&lt;0),"negativer Bestand (Export "&amp;BR1310&amp;"); ","")&amp;IF(J1310&lt;=0,"Kein Verbrauch; ","")&amp;IF(CR1310&gt;0,"Lift "&amp;W1310&amp;" lt. Liftbericht (Fach "&amp;X1310&amp;" Stk); ",IF(CB1310=1,"Gebinde geschätzt ("&amp;T1310&amp;"); ",IF(CA1310=1,"Lose – Tablare geschätzt; ","")))&amp;IF(H1310&gt;AW1310,"Überbestand "&amp;ROUND(H1310-AW1310,0)&amp;" Stk / CHF "&amp;ROUND((H1310-AW1310)*G1310,0)&amp;"; ","")&amp;IF(AND(CI1310=1,CJ1310&lt;CK1310),"MAX &lt; MB+LG; ","")&amp;IF(AND(CQ1310&gt;0,CP1310*10&gt;CQ1310),"zu hoch für Tablar; ","")&amp;IF(AND(BW1310=0,OR(CI1310=1,AB1310&lt;&gt;"",U1310&lt;&gt;"",V1310&lt;&gt;"",AC1310&lt;&gt;"")),"manuell übersteuert; ","")&amp;IF(AND(CA1310=0,R1310=0),"Gebinde unbekannt / Stellmass fehlt; ","")&amp;IF(AND(CA1310=0,N(V1310)&lt;=0,N(Q1310)&lt;=0),"Menge pro Gebinde fehlt (Ist = 1 Gebinde); ","")&amp;BV1310)</f>
        <v>negativer Bestand (Export -27); Kein Verbrauch; Überbestand 136 Stk / CHF 6472; </v>
      </c>
      <c r="BO1310" s="60"/>
      <c r="BP1310" s="60"/>
      <c r="BQ1310" s="67"/>
      <c r="BR1310" s="62" t="n">
        <v>-27</v>
      </c>
      <c r="BS1310" s="62" t="n">
        <v>164</v>
      </c>
      <c r="BT1310" s="61" t="n">
        <v>-1284.93</v>
      </c>
      <c r="BU1310" s="62" t="n">
        <v>0</v>
      </c>
      <c r="BV1310" s="60"/>
      <c r="BW1310" s="65" t="n">
        <v>0</v>
      </c>
      <c r="BX1310" s="65" t="n">
        <v>1310</v>
      </c>
      <c r="BY1310" s="60" t="str">
        <f aca="false">IF(U1310&lt;&gt;"",UPPER(TRIM(U1310)),IF(CB1310=1,UPPER(VLOOKUP(T1310,Parameter!$I$27:$K$29,2,0)),IF(P1310="","LOSE",P1310)))</f>
        <v>S52</v>
      </c>
      <c r="BZ1310" s="62" t="n">
        <f aca="false">IF(BY1310="LOSE",1,IF(N(V1310)&gt;0,V1310,IF(CB1310=1,MAX(1,N(VLOOKUP(T1310,Parameter!$I$27:$K$29,3,0)),H1310,N(N1310)),IF(N(Q1310)&gt;0,Q1310,MAX(1,H1310)))))</f>
        <v>246</v>
      </c>
      <c r="CA1310" s="65" t="n">
        <f aca="false">IF(BY1310="LOSE",1,0)</f>
        <v>0</v>
      </c>
      <c r="CB1310" s="65" t="n">
        <f aca="false">IF(AND(U1310="",OR(P1310="",P1310="LOSE"),T1310&lt;&gt;"",N(S1310)&lt;=0,ISNUMBER(MATCH(T1310,Parameter!$I$27:$I$29,0))),1,0)</f>
        <v>0</v>
      </c>
      <c r="CC1310" s="65" t="n">
        <f aca="false">IF(CR1310&gt;0,INDEX(Parameter!$H$5:$H$7,W1310)/INDEX(Parameter!$E$5:$E$7,W1310),IF(AND(CA1310=0,N(IFERROR(VLOOKUP(BY1310,'Gebinde-Kategorie'!$A$5:$N$45,14,0),0))&gt;0),VLOOKUP(BY1310,'Gebinde-Kategorie'!$A$5:$N$45,14,0)*10+Parameter!$M$23,Parameter!$M$24))</f>
        <v>245</v>
      </c>
      <c r="CD1310" s="60" t="str">
        <f aca="false">IF(AND(Parameter!$B$19="Ja",E1310&lt;&gt;"",ISNUMBER(MATCH(E1310,Parameter!$I$35:$I$52,0))),VLOOKUP(E1310,Parameter!$I$35:$J$52,2,0),IFERROR(VLOOKUP(D1310,Parameter!$A$35:$C$64,2,0),"Nein"))</f>
        <v>2+3</v>
      </c>
      <c r="CE1310" s="64" t="n">
        <f aca="false">IF(CA1310=0,0,IF(N(S1310)&gt;0,S1310,IFERROR(VLOOKUP(D1310,Parameter!$A$35:$C$64,3,0)+0,0)))</f>
        <v>0</v>
      </c>
      <c r="CF1310" s="60" t="n">
        <f aca="false">IF(AB1310&lt;&gt;"",AB1310,AA1310)</f>
        <v>3</v>
      </c>
      <c r="CG1310" s="60" t="str">
        <f aca="false">IF(OR(CF1310=1,CF1310=2,CF1310=3),IF(Parameter!$E$27="Ja","LIFT",IF(CF1310=1,"L1","L23")),IF(CF1310="Aussen","Aussen","-"))</f>
        <v>LIFT</v>
      </c>
      <c r="CH1310" s="71" t="n">
        <f aca="false">IF(N(AC1310)&gt;0,AC1310,0)</f>
        <v>0</v>
      </c>
      <c r="CI1310" s="65" t="n">
        <f aca="false">IF(ISNUMBER(AF1310),1,0)</f>
        <v>0</v>
      </c>
      <c r="CJ1310" s="62" t="n">
        <f aca="false">N(AF1310)</f>
        <v>0</v>
      </c>
      <c r="CK1310" s="62" t="n">
        <f aca="false">N(M1310)+N(N1310)</f>
        <v>1</v>
      </c>
      <c r="CL1310" s="62" t="n">
        <f aca="false">N(M1310)</f>
        <v>0</v>
      </c>
      <c r="CM1310" s="62" t="n">
        <f aca="false">N(N1310)</f>
        <v>1</v>
      </c>
      <c r="CN1310" s="62" t="n">
        <f aca="false">ROUNDUP(H1310/BZ1310,0)</f>
        <v>1</v>
      </c>
      <c r="CO1310" s="62" t="n">
        <f aca="false">ROUNDUP(CJ1310/BZ1310,0)</f>
        <v>0</v>
      </c>
      <c r="CP1310" s="65" t="n">
        <f aca="false">IF(CA1310=1,0,IFERROR(VLOOKUP(BY1310,'Gebinde-Kategorie'!$A$5:$N$45,5,0)+0,0))</f>
        <v>21</v>
      </c>
      <c r="CQ1310" s="65" t="n">
        <f aca="false">IFERROR(IF(OR(CF1310=1,CF1310=2,CF1310=3),N(INDEX(Parameter!$I$5:$I$7,CF1310)),0),0)</f>
        <v>0</v>
      </c>
      <c r="CR1310" s="64" t="n">
        <f aca="false">IF(AND(Parameter!$B$21="Ja",ISNUMBER(W1310),N(X1310)&gt;0),IFERROR(N(INDEX(Parameter!$L$5:$L$7,W1310))*INDEX(Parameter!$E$5:$E$7,W1310)*X1310/SUMIFS($X$7:$X$1843,$W$7:$W$1843,W1310),0),0)</f>
        <v>0</v>
      </c>
      <c r="CS1310" s="62" t="n">
        <f aca="false">IF(AND(OR(CG1310="L1",CG1310="L23",CG1310="LIFT"),H1310&gt;0),CC1310*IF(CR1310&gt;0,CR1310*MAX(1,H1310/X1310),IF(CA1310=1,CE1310,IF(R1310&gt;0,CN1310/R1310,0))/MAX(0.1,N(Parameter!$M$21))),"")</f>
        <v>9.42307692307692</v>
      </c>
      <c r="CT1310" s="64" t="n">
        <f aca="false">IF(CS1310="","",J1310/H1310)</f>
        <v>0</v>
      </c>
      <c r="CU1310" s="62" t="n">
        <f aca="false">IF(CS1310="","",H1310*G1310)</f>
        <v>6519.83</v>
      </c>
      <c r="CV1310" s="63" t="n">
        <f aca="false">IF(CS1310="","",(CL1310+ROUNDUP(CL1310+MAX(CM1310,2*(J1310/MAX(0.1,N(Einkauf!$C$6))-CL1310)),0))/2)</f>
        <v>0.5</v>
      </c>
      <c r="CW1310" s="62" t="n">
        <f aca="false">IF(CS1310="","",MAX(0,H1310-CV1310)*G1310)</f>
        <v>6496.035</v>
      </c>
      <c r="CX1310" s="62" t="n">
        <f aca="false">IF(CS1310="","",CS1310*MAX(0,1-CV1310/H1310))</f>
        <v>9.38868613138686</v>
      </c>
      <c r="CY1310" s="64" t="n">
        <f aca="false">IF(CS1310="","",PERCENTRANK($CS$7:$CS$1843,CS1310)+PERCENTRANK($CU$7:$CU$1843,CU1310)+1-PERCENTRANK($CT$7:$CT$1843,CT1310))</f>
        <v>2.505</v>
      </c>
      <c r="CZ1310" s="72" t="n">
        <f aca="false">IF(CS1310="","",CHOOSE(MATCH(Einkauf!$C$5,Parameter!$G$23:$G$27,0),CY1310,CS1310,CU1310,-CT1310,CW1310)+ROW()/1000000000)</f>
        <v>2.50500131</v>
      </c>
    </row>
    <row r="1311" customFormat="false" ht="15" hidden="false" customHeight="false" outlineLevel="0" collapsed="false">
      <c r="A1311" s="60" t="s">
        <v>2368</v>
      </c>
      <c r="B1311" s="60" t="s">
        <v>2369</v>
      </c>
      <c r="C1311" s="60" t="s">
        <v>498</v>
      </c>
      <c r="D1311" s="60" t="s">
        <v>215</v>
      </c>
      <c r="E1311" s="60"/>
      <c r="F1311" s="60" t="s">
        <v>260</v>
      </c>
      <c r="G1311" s="61" t="n">
        <v>65</v>
      </c>
      <c r="H1311" s="62" t="n">
        <f aca="false">MAX(0,IF(AND(Parameter!$B$21="Ja",ISNUMBER(Y1311)),Y1311,IF(Parameter!$B$20="Jahresanfang 2025 + Export",BS1311+BR1311,BR1311)))</f>
        <v>0</v>
      </c>
      <c r="I1311" s="62" t="n">
        <f aca="false">H1311*G1311</f>
        <v>0</v>
      </c>
      <c r="J1311" s="62" t="n">
        <f aca="false">BU1311*Parameter!$B$18</f>
        <v>0</v>
      </c>
      <c r="K1311" s="63" t="n">
        <v>10</v>
      </c>
      <c r="L1311" s="64" t="n">
        <v>0</v>
      </c>
      <c r="M1311" s="62" t="n">
        <v>0</v>
      </c>
      <c r="N1311" s="62" t="n">
        <v>1</v>
      </c>
      <c r="O1311" s="65" t="n">
        <v>56</v>
      </c>
      <c r="P1311" s="60" t="s">
        <v>210</v>
      </c>
      <c r="Q1311" s="62"/>
      <c r="R1311" s="65" t="n">
        <f aca="false">IF(CA1311=1,0,IFERROR(VLOOKUP(BY1311,'Gebinde-Kategorie'!$A$5:$N$45,13,0)+0,0))</f>
        <v>12</v>
      </c>
      <c r="S1311" s="66"/>
      <c r="T1311" s="67" t="s">
        <v>221</v>
      </c>
      <c r="U1311" s="67"/>
      <c r="V1311" s="67"/>
      <c r="W1311" s="60"/>
      <c r="X1311" s="62"/>
      <c r="Y1311" s="62"/>
      <c r="Z1311" s="60" t="n">
        <v>3</v>
      </c>
      <c r="AA1311" s="60" t="n">
        <f aca="false">IF(A1311="","",IF(AND(Parameter!$B$21="Ja",ISNUMBER(W1311)),W1311,IF(AND(Parameter!$E$27="Ja",ISNUMBER(Z1311),CD1311&lt;&gt;"Nein"),Z1311,IF(CD1311="2+3",IF(ISNUMBER(SEARCH("grosser Artikel",BV1311)),2,IFERROR(VLOOKUP(BY1311,Parameter!$F$35:$G$64,2,0),2)),IF(OR(CD1311="Nein",CD1311=""),"-",CD1311)))))</f>
        <v>3</v>
      </c>
      <c r="AB1311" s="67"/>
      <c r="AC1311" s="68"/>
      <c r="AD1311" s="62" t="n">
        <f aca="false">AW1311</f>
        <v>1</v>
      </c>
      <c r="AE1311" s="62" t="n">
        <f aca="false">MAX(AW1311,H1311)</f>
        <v>1</v>
      </c>
      <c r="AF1311" s="69"/>
      <c r="AG1311" s="62" t="n">
        <f aca="false">IF(LEFT(Cockpit!$C$5,1)="A",H1311,IF(Parameter!$E$30="MAX-Bestand",IF(CI1311=1,CJ1311,IF(LEFT(Cockpit!$C$5,1)="B",AM1311,MAX(AM1311,H1311))),ROUNDUP(AK1311,0)))</f>
        <v>0</v>
      </c>
      <c r="AH1311" s="62" t="n">
        <f aca="false">IF(CA1311=1,0,ROUNDUP(AG1311/BZ1311,0))</f>
        <v>0</v>
      </c>
      <c r="AI1311" s="64" t="n">
        <f aca="false">IF(CR1311&gt;0,CR1311*MAX(1,AG1311/X1311),IF(CA1311=1,IF(AG1311&lt;=0,0,CE1311*MAX(1,IF(H1311&gt;0,AG1311/H1311,1))),IF(R1311&gt;0,AH1311/R1311,0))/MAX(0.1,N(Parameter!$M$21)))</f>
        <v>0</v>
      </c>
      <c r="AJ1311" s="62" t="n">
        <f aca="false">AI1311*CC1311</f>
        <v>0</v>
      </c>
      <c r="AK1311" s="63" t="n">
        <f aca="false">IF(LEFT(Cockpit!$C$5,1)="A",H1311,IF(CI1311=1,(CL1311+CJ1311)/2,IF(LEFT(Cockpit!$C$5,1)="B",(CL1311+AM1311)/2,MAX((CL1311+AM1311)/2,H1311))))</f>
        <v>0</v>
      </c>
      <c r="AL1311" s="62" t="n">
        <f aca="false">AK1311*G1311</f>
        <v>0</v>
      </c>
      <c r="AM1311" s="62" t="n">
        <f aca="false">ROUNDUP(CL1311+MAX(CM1311,2*(J1311/IF(CH1311&gt;0,CH1311,MAX(0.1,N(Cockpit!$C$6)))-CL1311)),0)</f>
        <v>1</v>
      </c>
      <c r="AN1311" s="63" t="n">
        <f aca="false">IF(AJ1311&gt;0,J1311/AJ1311,-1)</f>
        <v>-1</v>
      </c>
      <c r="AO1311" s="63" t="str">
        <f aca="false">IF(AND(OR(CG1311="L1",CG1311="L23",CG1311="LIFT"),AJ1311&gt;0),SUMIFS($AJ$7:$AJ$1843,$CG$7:$CG$1843,CG1311,$AN$7:$AN$1843,"&gt;"&amp;AN1311)+SUMIFS($AJ$7:$AJ$1843,$CG$7:$CG$1843,CG1311,$AN$7:$AN$1843,AN1311,$BX$7:$BX$1843,"&lt;="&amp;BX1311),"")</f>
        <v/>
      </c>
      <c r="AP1311" s="70" t="n">
        <f aca="false">IF(AO1311="",0,MAX(0,MIN(1,(IF(CG1311="L1",Parameter!$H$5,IF(CG1311="L23",Parameter!$H$6+Parameter!$H$7,Parameter!$H$5+Parameter!$H$6+Parameter!$H$7))-(AO1311-AJ1311))/AJ1311)))</f>
        <v>0</v>
      </c>
      <c r="AQ1311" s="62" t="n">
        <f aca="false">IF(LEFT(Cockpit!$I$5,1)="A",H1311,IF(Parameter!$E$30="MAX-Bestand",IF(CI1311=1,CJ1311,IF(LEFT(Cockpit!$I$5,1)="B",AW1311,MAX(AW1311,H1311))),ROUNDUP(AU1311,0)))</f>
        <v>1</v>
      </c>
      <c r="AR1311" s="62" t="n">
        <f aca="false">IF(CA1311=1,0,ROUNDUP(AQ1311/BZ1311,0))</f>
        <v>1</v>
      </c>
      <c r="AS1311" s="64" t="n">
        <f aca="false">IF(CR1311&gt;0,CR1311*MAX(1,AQ1311/X1311),IF(CA1311=1,IF(AQ1311&lt;=0,0,CE1311*MAX(1,IF(H1311&gt;0,AQ1311/H1311,1))),IF(R1311&gt;0,AR1311/R1311,0))/MAX(0.1,N(Parameter!$M$21)))</f>
        <v>0.0833333333333333</v>
      </c>
      <c r="AT1311" s="62" t="n">
        <f aca="false">AS1311*CC1311</f>
        <v>12.0833333333333</v>
      </c>
      <c r="AU1311" s="63" t="n">
        <f aca="false">IF(LEFT(Cockpit!$I$5,1)="A",H1311,IF(CI1311=1,(CL1311+CJ1311)/2,IF(LEFT(Cockpit!$I$5,1)="B",(CL1311+AW1311)/2,MAX((CL1311+AW1311)/2,H1311))))</f>
        <v>0.5</v>
      </c>
      <c r="AV1311" s="62" t="n">
        <f aca="false">AU1311*G1311</f>
        <v>32.5</v>
      </c>
      <c r="AW1311" s="62" t="n">
        <f aca="false">ROUNDUP(CL1311+MAX(CM1311,2*(J1311/IF(CH1311&gt;0,CH1311,MAX(0.1,N(Cockpit!$I$6)))-CL1311)),0)</f>
        <v>1</v>
      </c>
      <c r="AX1311" s="63" t="n">
        <f aca="false">IF(AT1311&gt;0,J1311/AT1311,-1)</f>
        <v>0</v>
      </c>
      <c r="AY1311" s="63" t="n">
        <f aca="false">IF(AND(OR(CG1311="L1",CG1311="L23",CG1311="LIFT"),AT1311&gt;0),SUMIFS($AT$7:$AT$1843,$CG$7:$CG$1843,CG1311,$AX$7:$AX$1843,"&gt;"&amp;AX1311)+SUMIFS($AT$7:$AT$1843,$CG$7:$CG$1843,CG1311,$AX$7:$AX$1843,AX1311,$BX$7:$BX$1843,"&lt;="&amp;BX1311),"")</f>
        <v>35658.5837912088</v>
      </c>
      <c r="AZ1311" s="70" t="n">
        <f aca="false">IF(AY1311="",0,MAX(0,MIN(1,(IF(CG1311="L1",Parameter!$H$5,IF(CG1311="L23",Parameter!$H$6+Parameter!$H$7,Parameter!$H$5+Parameter!$H$6+Parameter!$H$7))-(AY1311-AT1311))/AT1311)))</f>
        <v>1</v>
      </c>
      <c r="BA1311" s="62" t="n">
        <f aca="false">IF(LEFT(Cockpit!$O$5,1)="A",H1311,IF(Parameter!$E$30="MAX-Bestand",IF(CI1311=1,CJ1311,IF(LEFT(Cockpit!$O$5,1)="B",BG1311,MAX(BG1311,H1311))),ROUNDUP(BE1311,0)))</f>
        <v>1</v>
      </c>
      <c r="BB1311" s="62" t="n">
        <f aca="false">IF(CA1311=1,0,ROUNDUP(BA1311/BZ1311,0))</f>
        <v>1</v>
      </c>
      <c r="BC1311" s="64" t="n">
        <f aca="false">IF(CR1311&gt;0,CR1311*MAX(1,BA1311/X1311),IF(CA1311=1,IF(BA1311&lt;=0,0,CE1311*MAX(1,IF(H1311&gt;0,BA1311/H1311,1))),IF(R1311&gt;0,BB1311/R1311,0))/MAX(0.1,N(Parameter!$M$21)))</f>
        <v>0.0833333333333333</v>
      </c>
      <c r="BD1311" s="62" t="n">
        <f aca="false">BC1311*CC1311</f>
        <v>12.0833333333333</v>
      </c>
      <c r="BE1311" s="63" t="n">
        <f aca="false">IF(LEFT(Cockpit!$O$5,1)="A",H1311,IF(CI1311=1,(CL1311+CJ1311)/2,IF(LEFT(Cockpit!$O$5,1)="B",(CL1311+BG1311)/2,MAX((CL1311+BG1311)/2,H1311))))</f>
        <v>0.5</v>
      </c>
      <c r="BF1311" s="62" t="n">
        <f aca="false">BE1311*G1311</f>
        <v>32.5</v>
      </c>
      <c r="BG1311" s="62" t="n">
        <f aca="false">ROUNDUP(CL1311+MAX(CM1311,2*(J1311/IF(CH1311&gt;0,CH1311,MAX(0.1,N(Cockpit!$O$6)))-CL1311)),0)</f>
        <v>1</v>
      </c>
      <c r="BH1311" s="63" t="n">
        <f aca="false">IF(BD1311&gt;0,J1311/BD1311,-1)</f>
        <v>0</v>
      </c>
      <c r="BI1311" s="63" t="n">
        <f aca="false">IF(AND(OR(CG1311="L1",CG1311="L23",CG1311="LIFT"),BD1311&gt;0),SUMIFS($BD$7:$BD$1843,$CG$7:$CG$1843,CG1311,$BH$7:$BH$1843,"&gt;"&amp;BH1311)+SUMIFS($BD$7:$BD$1843,$CG$7:$CG$1843,CG1311,$BH$7:$BH$1843,BH1311,$BX$7:$BX$1843,"&lt;="&amp;BX1311),"")</f>
        <v>29643.8904513566</v>
      </c>
      <c r="BJ1311" s="70" t="n">
        <f aca="false">IF(BI1311="",0,MAX(0,MIN(1,(IF(CG1311="L1",Parameter!$H$5,IF(CG1311="L23",Parameter!$H$6+Parameter!$H$7,Parameter!$H$5+Parameter!$H$6+Parameter!$H$7))-(BI1311-BD1311))/BD1311)))</f>
        <v>1</v>
      </c>
      <c r="BK1311" s="60" t="str">
        <f aca="false">IF(AJ1311&lt;=0,"",IF(CG1311="Aussen","Aussenlager",IF(CG1311="-","Nicht im Lift",IF(AP1311&gt;=1,"Lift",IF(AP1311&lt;=0,"Aussenlager","teilweise")))))</f>
        <v/>
      </c>
      <c r="BL1311" s="60" t="str">
        <f aca="false">IF(AT1311&lt;=0,"",IF(CG1311="Aussen","Aussenlager",IF(CG1311="-","Nicht im Lift",IF(AZ1311&gt;=1,"Lift",IF(AZ1311&lt;=0,"Aussenlager","teilweise")))))</f>
        <v>Lift</v>
      </c>
      <c r="BM1311" s="60" t="str">
        <f aca="false">IF(BD1311&lt;=0,"",IF(CG1311="Aussen","Aussenlager",IF(CG1311="-","Nicht im Lift",IF(BJ1311&gt;=1,"Lift",IF(BJ1311&lt;=0,"Aussenlager","teilweise")))))</f>
        <v>Lift</v>
      </c>
      <c r="BN1311" s="60" t="str">
        <f aca="false">IF(A1311="","",IF(BW1311=1,"Neu; ","")&amp;IF(AND(BW1311=0,BR1311&lt;0),"negativer Bestand (Export "&amp;BR1311&amp;"); ","")&amp;IF(J1311&lt;=0,"Kein Verbrauch; ","")&amp;IF(CR1311&gt;0,"Lift "&amp;W1311&amp;" lt. Liftbericht (Fach "&amp;X1311&amp;" Stk); ",IF(CB1311=1,"Gebinde geschätzt ("&amp;T1311&amp;"); ",IF(CA1311=1,"Lose – Tablare geschätzt; ","")))&amp;IF(H1311&gt;AW1311,"Überbestand "&amp;ROUND(H1311-AW1311,0)&amp;" Stk / CHF "&amp;ROUND((H1311-AW1311)*G1311,0)&amp;"; ","")&amp;IF(AND(CI1311=1,CJ1311&lt;CK1311),"MAX &lt; MB+LG; ","")&amp;IF(AND(CQ1311&gt;0,CP1311*10&gt;CQ1311),"zu hoch für Tablar; ","")&amp;IF(AND(BW1311=0,OR(CI1311=1,AB1311&lt;&gt;"",U1311&lt;&gt;"",V1311&lt;&gt;"",AC1311&lt;&gt;"")),"manuell übersteuert; ","")&amp;IF(AND(CA1311=0,R1311=0),"Gebinde unbekannt / Stellmass fehlt; ","")&amp;IF(AND(CA1311=0,N(V1311)&lt;=0,N(Q1311)&lt;=0),"Menge pro Gebinde fehlt (Ist = 1 Gebinde); ","")&amp;BV1311)</f>
        <v>negativer Bestand (Export -20); Kein Verbrauch; Gebinde geschätzt (Mittel); Menge pro Gebinde fehlt (Ist = 1 Gebinde); </v>
      </c>
      <c r="BO1311" s="60"/>
      <c r="BP1311" s="60"/>
      <c r="BQ1311" s="67"/>
      <c r="BR1311" s="62" t="n">
        <v>-20</v>
      </c>
      <c r="BS1311" s="62" t="n">
        <v>20</v>
      </c>
      <c r="BT1311" s="61" t="n">
        <v>-1300</v>
      </c>
      <c r="BU1311" s="62" t="n">
        <v>0</v>
      </c>
      <c r="BV1311" s="60"/>
      <c r="BW1311" s="65" t="n">
        <v>0</v>
      </c>
      <c r="BX1311" s="65" t="n">
        <v>1311</v>
      </c>
      <c r="BY1311" s="60" t="str">
        <f aca="false">IF(U1311&lt;&gt;"",UPPER(TRIM(U1311)),IF(CB1311=1,UPPER(VLOOKUP(T1311,Parameter!$I$27:$K$29,2,0)),IF(P1311="","LOSE",P1311)))</f>
        <v>S61</v>
      </c>
      <c r="BZ1311" s="62" t="n">
        <f aca="false">IF(BY1311="LOSE",1,IF(N(V1311)&gt;0,V1311,IF(CB1311=1,MAX(1,N(VLOOKUP(T1311,Parameter!$I$27:$K$29,3,0)),H1311,N(N1311)),IF(N(Q1311)&gt;0,Q1311,MAX(1,H1311)))))</f>
        <v>4</v>
      </c>
      <c r="CA1311" s="65" t="n">
        <f aca="false">IF(BY1311="LOSE",1,0)</f>
        <v>0</v>
      </c>
      <c r="CB1311" s="65" t="n">
        <f aca="false">IF(AND(U1311="",OR(P1311="",P1311="LOSE"),T1311&lt;&gt;"",N(S1311)&lt;=0,ISNUMBER(MATCH(T1311,Parameter!$I$27:$I$29,0))),1,0)</f>
        <v>1</v>
      </c>
      <c r="CC1311" s="65" t="n">
        <f aca="false">IF(CR1311&gt;0,INDEX(Parameter!$H$5:$H$7,W1311)/INDEX(Parameter!$E$5:$E$7,W1311),IF(AND(CA1311=0,N(IFERROR(VLOOKUP(BY1311,'Gebinde-Kategorie'!$A$5:$N$45,14,0),0))&gt;0),VLOOKUP(BY1311,'Gebinde-Kategorie'!$A$5:$N$45,14,0)*10+Parameter!$M$23,Parameter!$M$24))</f>
        <v>145</v>
      </c>
      <c r="CD1311" s="60" t="str">
        <f aca="false">IF(AND(Parameter!$B$19="Ja",E1311&lt;&gt;"",ISNUMBER(MATCH(E1311,Parameter!$I$35:$I$52,0))),VLOOKUP(E1311,Parameter!$I$35:$J$52,2,0),IFERROR(VLOOKUP(D1311,Parameter!$A$35:$C$64,2,0),"Nein"))</f>
        <v>2+3</v>
      </c>
      <c r="CE1311" s="64" t="n">
        <f aca="false">IF(CA1311=0,0,IF(N(S1311)&gt;0,S1311,IFERROR(VLOOKUP(D1311,Parameter!$A$35:$C$64,3,0)+0,0)))</f>
        <v>0</v>
      </c>
      <c r="CF1311" s="60" t="n">
        <f aca="false">IF(AB1311&lt;&gt;"",AB1311,AA1311)</f>
        <v>3</v>
      </c>
      <c r="CG1311" s="60" t="str">
        <f aca="false">IF(OR(CF1311=1,CF1311=2,CF1311=3),IF(Parameter!$E$27="Ja","LIFT",IF(CF1311=1,"L1","L23")),IF(CF1311="Aussen","Aussen","-"))</f>
        <v>LIFT</v>
      </c>
      <c r="CH1311" s="71" t="n">
        <f aca="false">IF(N(AC1311)&gt;0,AC1311,0)</f>
        <v>0</v>
      </c>
      <c r="CI1311" s="65" t="n">
        <f aca="false">IF(ISNUMBER(AF1311),1,0)</f>
        <v>0</v>
      </c>
      <c r="CJ1311" s="62" t="n">
        <f aca="false">N(AF1311)</f>
        <v>0</v>
      </c>
      <c r="CK1311" s="62" t="n">
        <f aca="false">N(M1311)+N(N1311)</f>
        <v>1</v>
      </c>
      <c r="CL1311" s="62" t="n">
        <f aca="false">N(M1311)</f>
        <v>0</v>
      </c>
      <c r="CM1311" s="62" t="n">
        <f aca="false">N(N1311)</f>
        <v>1</v>
      </c>
      <c r="CN1311" s="62" t="n">
        <f aca="false">ROUNDUP(H1311/BZ1311,0)</f>
        <v>0</v>
      </c>
      <c r="CO1311" s="62" t="n">
        <f aca="false">ROUNDUP(CJ1311/BZ1311,0)</f>
        <v>0</v>
      </c>
      <c r="CP1311" s="65" t="n">
        <f aca="false">IF(CA1311=1,0,IFERROR(VLOOKUP(BY1311,'Gebinde-Kategorie'!$A$5:$N$45,5,0)+0,0))</f>
        <v>11</v>
      </c>
      <c r="CQ1311" s="65" t="n">
        <f aca="false">IFERROR(IF(OR(CF1311=1,CF1311=2,CF1311=3),N(INDEX(Parameter!$I$5:$I$7,CF1311)),0),0)</f>
        <v>0</v>
      </c>
      <c r="CR1311" s="64" t="n">
        <f aca="false">IF(AND(Parameter!$B$21="Ja",ISNUMBER(W1311),N(X1311)&gt;0),IFERROR(N(INDEX(Parameter!$L$5:$L$7,W1311))*INDEX(Parameter!$E$5:$E$7,W1311)*X1311/SUMIFS($X$7:$X$1843,$W$7:$W$1843,W1311),0),0)</f>
        <v>0</v>
      </c>
      <c r="CS1311" s="62" t="str">
        <f aca="false">IF(AND(OR(CG1311="L1",CG1311="L23",CG1311="LIFT"),H1311&gt;0),CC1311*IF(CR1311&gt;0,CR1311*MAX(1,H1311/X1311),IF(CA1311=1,CE1311,IF(R1311&gt;0,CN1311/R1311,0))/MAX(0.1,N(Parameter!$M$21))),"")</f>
        <v/>
      </c>
      <c r="CT1311" s="64" t="str">
        <f aca="false">IF(CS1311="","",J1311/H1311)</f>
        <v/>
      </c>
      <c r="CU1311" s="62" t="str">
        <f aca="false">IF(CS1311="","",H1311*G1311)</f>
        <v/>
      </c>
      <c r="CV1311" s="63" t="str">
        <f aca="false">IF(CS1311="","",(CL1311+ROUNDUP(CL1311+MAX(CM1311,2*(J1311/MAX(0.1,N(Einkauf!$C$6))-CL1311)),0))/2)</f>
        <v/>
      </c>
      <c r="CW1311" s="62" t="str">
        <f aca="false">IF(CS1311="","",MAX(0,H1311-CV1311)*G1311)</f>
        <v/>
      </c>
      <c r="CX1311" s="62" t="str">
        <f aca="false">IF(CS1311="","",CS1311*MAX(0,1-CV1311/H1311))</f>
        <v/>
      </c>
      <c r="CY1311" s="64" t="str">
        <f aca="false">IF(CS1311="","",PERCENTRANK($CS$7:$CS$1843,CS1311)+PERCENTRANK($CU$7:$CU$1843,CU1311)+1-PERCENTRANK($CT$7:$CT$1843,CT1311))</f>
        <v/>
      </c>
      <c r="CZ1311" s="72" t="str">
        <f aca="false">IF(CS1311="","",CHOOSE(MATCH(Einkauf!$C$5,Parameter!$G$23:$G$27,0),CY1311,CS1311,CU1311,-CT1311,CW1311)+ROW()/1000000000)</f>
        <v/>
      </c>
    </row>
    <row r="1312" customFormat="false" ht="15" hidden="false" customHeight="false" outlineLevel="0" collapsed="false">
      <c r="A1312" s="60" t="s">
        <v>2370</v>
      </c>
      <c r="B1312" s="60" t="s">
        <v>2371</v>
      </c>
      <c r="C1312" s="60" t="s">
        <v>498</v>
      </c>
      <c r="D1312" s="60" t="s">
        <v>215</v>
      </c>
      <c r="E1312" s="60"/>
      <c r="F1312" s="60" t="s">
        <v>260</v>
      </c>
      <c r="G1312" s="61" t="n">
        <v>65</v>
      </c>
      <c r="H1312" s="62" t="n">
        <f aca="false">MAX(0,IF(AND(Parameter!$B$21="Ja",ISNUMBER(Y1312)),Y1312,IF(Parameter!$B$20="Jahresanfang 2025 + Export",BS1312+BR1312,BR1312)))</f>
        <v>0</v>
      </c>
      <c r="I1312" s="62" t="n">
        <f aca="false">H1312*G1312</f>
        <v>0</v>
      </c>
      <c r="J1312" s="62" t="n">
        <f aca="false">BU1312*Parameter!$B$18</f>
        <v>0</v>
      </c>
      <c r="K1312" s="63" t="n">
        <v>10</v>
      </c>
      <c r="L1312" s="64" t="n">
        <v>0</v>
      </c>
      <c r="M1312" s="62" t="n">
        <v>0</v>
      </c>
      <c r="N1312" s="62" t="n">
        <v>1</v>
      </c>
      <c r="O1312" s="65" t="n">
        <v>56</v>
      </c>
      <c r="P1312" s="60" t="s">
        <v>210</v>
      </c>
      <c r="Q1312" s="62"/>
      <c r="R1312" s="65" t="n">
        <f aca="false">IF(CA1312=1,0,IFERROR(VLOOKUP(BY1312,'Gebinde-Kategorie'!$A$5:$N$45,13,0)+0,0))</f>
        <v>12</v>
      </c>
      <c r="S1312" s="66"/>
      <c r="T1312" s="67" t="s">
        <v>221</v>
      </c>
      <c r="U1312" s="67"/>
      <c r="V1312" s="67"/>
      <c r="W1312" s="60"/>
      <c r="X1312" s="62"/>
      <c r="Y1312" s="62"/>
      <c r="Z1312" s="60" t="n">
        <v>3</v>
      </c>
      <c r="AA1312" s="60" t="n">
        <f aca="false">IF(A1312="","",IF(AND(Parameter!$B$21="Ja",ISNUMBER(W1312)),W1312,IF(AND(Parameter!$E$27="Ja",ISNUMBER(Z1312),CD1312&lt;&gt;"Nein"),Z1312,IF(CD1312="2+3",IF(ISNUMBER(SEARCH("grosser Artikel",BV1312)),2,IFERROR(VLOOKUP(BY1312,Parameter!$F$35:$G$64,2,0),2)),IF(OR(CD1312="Nein",CD1312=""),"-",CD1312)))))</f>
        <v>3</v>
      </c>
      <c r="AB1312" s="67"/>
      <c r="AC1312" s="68"/>
      <c r="AD1312" s="62" t="n">
        <f aca="false">AW1312</f>
        <v>1</v>
      </c>
      <c r="AE1312" s="62" t="n">
        <f aca="false">MAX(AW1312,H1312)</f>
        <v>1</v>
      </c>
      <c r="AF1312" s="69"/>
      <c r="AG1312" s="62" t="n">
        <f aca="false">IF(LEFT(Cockpit!$C$5,1)="A",H1312,IF(Parameter!$E$30="MAX-Bestand",IF(CI1312=1,CJ1312,IF(LEFT(Cockpit!$C$5,1)="B",AM1312,MAX(AM1312,H1312))),ROUNDUP(AK1312,0)))</f>
        <v>0</v>
      </c>
      <c r="AH1312" s="62" t="n">
        <f aca="false">IF(CA1312=1,0,ROUNDUP(AG1312/BZ1312,0))</f>
        <v>0</v>
      </c>
      <c r="AI1312" s="64" t="n">
        <f aca="false">IF(CR1312&gt;0,CR1312*MAX(1,AG1312/X1312),IF(CA1312=1,IF(AG1312&lt;=0,0,CE1312*MAX(1,IF(H1312&gt;0,AG1312/H1312,1))),IF(R1312&gt;0,AH1312/R1312,0))/MAX(0.1,N(Parameter!$M$21)))</f>
        <v>0</v>
      </c>
      <c r="AJ1312" s="62" t="n">
        <f aca="false">AI1312*CC1312</f>
        <v>0</v>
      </c>
      <c r="AK1312" s="63" t="n">
        <f aca="false">IF(LEFT(Cockpit!$C$5,1)="A",H1312,IF(CI1312=1,(CL1312+CJ1312)/2,IF(LEFT(Cockpit!$C$5,1)="B",(CL1312+AM1312)/2,MAX((CL1312+AM1312)/2,H1312))))</f>
        <v>0</v>
      </c>
      <c r="AL1312" s="62" t="n">
        <f aca="false">AK1312*G1312</f>
        <v>0</v>
      </c>
      <c r="AM1312" s="62" t="n">
        <f aca="false">ROUNDUP(CL1312+MAX(CM1312,2*(J1312/IF(CH1312&gt;0,CH1312,MAX(0.1,N(Cockpit!$C$6)))-CL1312)),0)</f>
        <v>1</v>
      </c>
      <c r="AN1312" s="63" t="n">
        <f aca="false">IF(AJ1312&gt;0,J1312/AJ1312,-1)</f>
        <v>-1</v>
      </c>
      <c r="AO1312" s="63" t="str">
        <f aca="false">IF(AND(OR(CG1312="L1",CG1312="L23",CG1312="LIFT"),AJ1312&gt;0),SUMIFS($AJ$7:$AJ$1843,$CG$7:$CG$1843,CG1312,$AN$7:$AN$1843,"&gt;"&amp;AN1312)+SUMIFS($AJ$7:$AJ$1843,$CG$7:$CG$1843,CG1312,$AN$7:$AN$1843,AN1312,$BX$7:$BX$1843,"&lt;="&amp;BX1312),"")</f>
        <v/>
      </c>
      <c r="AP1312" s="70" t="n">
        <f aca="false">IF(AO1312="",0,MAX(0,MIN(1,(IF(CG1312="L1",Parameter!$H$5,IF(CG1312="L23",Parameter!$H$6+Parameter!$H$7,Parameter!$H$5+Parameter!$H$6+Parameter!$H$7))-(AO1312-AJ1312))/AJ1312)))</f>
        <v>0</v>
      </c>
      <c r="AQ1312" s="62" t="n">
        <f aca="false">IF(LEFT(Cockpit!$I$5,1)="A",H1312,IF(Parameter!$E$30="MAX-Bestand",IF(CI1312=1,CJ1312,IF(LEFT(Cockpit!$I$5,1)="B",AW1312,MAX(AW1312,H1312))),ROUNDUP(AU1312,0)))</f>
        <v>1</v>
      </c>
      <c r="AR1312" s="62" t="n">
        <f aca="false">IF(CA1312=1,0,ROUNDUP(AQ1312/BZ1312,0))</f>
        <v>1</v>
      </c>
      <c r="AS1312" s="64" t="n">
        <f aca="false">IF(CR1312&gt;0,CR1312*MAX(1,AQ1312/X1312),IF(CA1312=1,IF(AQ1312&lt;=0,0,CE1312*MAX(1,IF(H1312&gt;0,AQ1312/H1312,1))),IF(R1312&gt;0,AR1312/R1312,0))/MAX(0.1,N(Parameter!$M$21)))</f>
        <v>0.0833333333333333</v>
      </c>
      <c r="AT1312" s="62" t="n">
        <f aca="false">AS1312*CC1312</f>
        <v>12.0833333333333</v>
      </c>
      <c r="AU1312" s="63" t="n">
        <f aca="false">IF(LEFT(Cockpit!$I$5,1)="A",H1312,IF(CI1312=1,(CL1312+CJ1312)/2,IF(LEFT(Cockpit!$I$5,1)="B",(CL1312+AW1312)/2,MAX((CL1312+AW1312)/2,H1312))))</f>
        <v>0.5</v>
      </c>
      <c r="AV1312" s="62" t="n">
        <f aca="false">AU1312*G1312</f>
        <v>32.5</v>
      </c>
      <c r="AW1312" s="62" t="n">
        <f aca="false">ROUNDUP(CL1312+MAX(CM1312,2*(J1312/IF(CH1312&gt;0,CH1312,MAX(0.1,N(Cockpit!$I$6)))-CL1312)),0)</f>
        <v>1</v>
      </c>
      <c r="AX1312" s="63" t="n">
        <f aca="false">IF(AT1312&gt;0,J1312/AT1312,-1)</f>
        <v>0</v>
      </c>
      <c r="AY1312" s="63" t="n">
        <f aca="false">IF(AND(OR(CG1312="L1",CG1312="L23",CG1312="LIFT"),AT1312&gt;0),SUMIFS($AT$7:$AT$1843,$CG$7:$CG$1843,CG1312,$AX$7:$AX$1843,"&gt;"&amp;AX1312)+SUMIFS($AT$7:$AT$1843,$CG$7:$CG$1843,CG1312,$AX$7:$AX$1843,AX1312,$BX$7:$BX$1843,"&lt;="&amp;BX1312),"")</f>
        <v>35670.6671245421</v>
      </c>
      <c r="AZ1312" s="70" t="n">
        <f aca="false">IF(AY1312="",0,MAX(0,MIN(1,(IF(CG1312="L1",Parameter!$H$5,IF(CG1312="L23",Parameter!$H$6+Parameter!$H$7,Parameter!$H$5+Parameter!$H$6+Parameter!$H$7))-(AY1312-AT1312))/AT1312)))</f>
        <v>1</v>
      </c>
      <c r="BA1312" s="62" t="n">
        <f aca="false">IF(LEFT(Cockpit!$O$5,1)="A",H1312,IF(Parameter!$E$30="MAX-Bestand",IF(CI1312=1,CJ1312,IF(LEFT(Cockpit!$O$5,1)="B",BG1312,MAX(BG1312,H1312))),ROUNDUP(BE1312,0)))</f>
        <v>1</v>
      </c>
      <c r="BB1312" s="62" t="n">
        <f aca="false">IF(CA1312=1,0,ROUNDUP(BA1312/BZ1312,0))</f>
        <v>1</v>
      </c>
      <c r="BC1312" s="64" t="n">
        <f aca="false">IF(CR1312&gt;0,CR1312*MAX(1,BA1312/X1312),IF(CA1312=1,IF(BA1312&lt;=0,0,CE1312*MAX(1,IF(H1312&gt;0,BA1312/H1312,1))),IF(R1312&gt;0,BB1312/R1312,0))/MAX(0.1,N(Parameter!$M$21)))</f>
        <v>0.0833333333333333</v>
      </c>
      <c r="BD1312" s="62" t="n">
        <f aca="false">BC1312*CC1312</f>
        <v>12.0833333333333</v>
      </c>
      <c r="BE1312" s="63" t="n">
        <f aca="false">IF(LEFT(Cockpit!$O$5,1)="A",H1312,IF(CI1312=1,(CL1312+CJ1312)/2,IF(LEFT(Cockpit!$O$5,1)="B",(CL1312+BG1312)/2,MAX((CL1312+BG1312)/2,H1312))))</f>
        <v>0.5</v>
      </c>
      <c r="BF1312" s="62" t="n">
        <f aca="false">BE1312*G1312</f>
        <v>32.5</v>
      </c>
      <c r="BG1312" s="62" t="n">
        <f aca="false">ROUNDUP(CL1312+MAX(CM1312,2*(J1312/IF(CH1312&gt;0,CH1312,MAX(0.1,N(Cockpit!$O$6)))-CL1312)),0)</f>
        <v>1</v>
      </c>
      <c r="BH1312" s="63" t="n">
        <f aca="false">IF(BD1312&gt;0,J1312/BD1312,-1)</f>
        <v>0</v>
      </c>
      <c r="BI1312" s="63" t="n">
        <f aca="false">IF(AND(OR(CG1312="L1",CG1312="L23",CG1312="LIFT"),BD1312&gt;0),SUMIFS($BD$7:$BD$1843,$CG$7:$CG$1843,CG1312,$BH$7:$BH$1843,"&gt;"&amp;BH1312)+SUMIFS($BD$7:$BD$1843,$CG$7:$CG$1843,CG1312,$BH$7:$BH$1843,BH1312,$BX$7:$BX$1843,"&lt;="&amp;BX1312),"")</f>
        <v>29655.9737846899</v>
      </c>
      <c r="BJ1312" s="70" t="n">
        <f aca="false">IF(BI1312="",0,MAX(0,MIN(1,(IF(CG1312="L1",Parameter!$H$5,IF(CG1312="L23",Parameter!$H$6+Parameter!$H$7,Parameter!$H$5+Parameter!$H$6+Parameter!$H$7))-(BI1312-BD1312))/BD1312)))</f>
        <v>1</v>
      </c>
      <c r="BK1312" s="60" t="str">
        <f aca="false">IF(AJ1312&lt;=0,"",IF(CG1312="Aussen","Aussenlager",IF(CG1312="-","Nicht im Lift",IF(AP1312&gt;=1,"Lift",IF(AP1312&lt;=0,"Aussenlager","teilweise")))))</f>
        <v/>
      </c>
      <c r="BL1312" s="60" t="str">
        <f aca="false">IF(AT1312&lt;=0,"",IF(CG1312="Aussen","Aussenlager",IF(CG1312="-","Nicht im Lift",IF(AZ1312&gt;=1,"Lift",IF(AZ1312&lt;=0,"Aussenlager","teilweise")))))</f>
        <v>Lift</v>
      </c>
      <c r="BM1312" s="60" t="str">
        <f aca="false">IF(BD1312&lt;=0,"",IF(CG1312="Aussen","Aussenlager",IF(CG1312="-","Nicht im Lift",IF(BJ1312&gt;=1,"Lift",IF(BJ1312&lt;=0,"Aussenlager","teilweise")))))</f>
        <v>Lift</v>
      </c>
      <c r="BN1312" s="60" t="str">
        <f aca="false">IF(A1312="","",IF(BW1312=1,"Neu; ","")&amp;IF(AND(BW1312=0,BR1312&lt;0),"negativer Bestand (Export "&amp;BR1312&amp;"); ","")&amp;IF(J1312&lt;=0,"Kein Verbrauch; ","")&amp;IF(CR1312&gt;0,"Lift "&amp;W1312&amp;" lt. Liftbericht (Fach "&amp;X1312&amp;" Stk); ",IF(CB1312=1,"Gebinde geschätzt ("&amp;T1312&amp;"); ",IF(CA1312=1,"Lose – Tablare geschätzt; ","")))&amp;IF(H1312&gt;AW1312,"Überbestand "&amp;ROUND(H1312-AW1312,0)&amp;" Stk / CHF "&amp;ROUND((H1312-AW1312)*G1312,0)&amp;"; ","")&amp;IF(AND(CI1312=1,CJ1312&lt;CK1312),"MAX &lt; MB+LG; ","")&amp;IF(AND(CQ1312&gt;0,CP1312*10&gt;CQ1312),"zu hoch für Tablar; ","")&amp;IF(AND(BW1312=0,OR(CI1312=1,AB1312&lt;&gt;"",U1312&lt;&gt;"",V1312&lt;&gt;"",AC1312&lt;&gt;"")),"manuell übersteuert; ","")&amp;IF(AND(CA1312=0,R1312=0),"Gebinde unbekannt / Stellmass fehlt; ","")&amp;IF(AND(CA1312=0,N(V1312)&lt;=0,N(Q1312)&lt;=0),"Menge pro Gebinde fehlt (Ist = 1 Gebinde); ","")&amp;BV1312)</f>
        <v>negativer Bestand (Export -20); Kein Verbrauch; Gebinde geschätzt (Mittel); Menge pro Gebinde fehlt (Ist = 1 Gebinde); </v>
      </c>
      <c r="BO1312" s="60"/>
      <c r="BP1312" s="60"/>
      <c r="BQ1312" s="67"/>
      <c r="BR1312" s="62" t="n">
        <v>-20</v>
      </c>
      <c r="BS1312" s="62" t="n">
        <v>20</v>
      </c>
      <c r="BT1312" s="61" t="n">
        <v>-1300</v>
      </c>
      <c r="BU1312" s="62" t="n">
        <v>0</v>
      </c>
      <c r="BV1312" s="60"/>
      <c r="BW1312" s="65" t="n">
        <v>0</v>
      </c>
      <c r="BX1312" s="65" t="n">
        <v>1312</v>
      </c>
      <c r="BY1312" s="60" t="str">
        <f aca="false">IF(U1312&lt;&gt;"",UPPER(TRIM(U1312)),IF(CB1312=1,UPPER(VLOOKUP(T1312,Parameter!$I$27:$K$29,2,0)),IF(P1312="","LOSE",P1312)))</f>
        <v>S61</v>
      </c>
      <c r="BZ1312" s="62" t="n">
        <f aca="false">IF(BY1312="LOSE",1,IF(N(V1312)&gt;0,V1312,IF(CB1312=1,MAX(1,N(VLOOKUP(T1312,Parameter!$I$27:$K$29,3,0)),H1312,N(N1312)),IF(N(Q1312)&gt;0,Q1312,MAX(1,H1312)))))</f>
        <v>4</v>
      </c>
      <c r="CA1312" s="65" t="n">
        <f aca="false">IF(BY1312="LOSE",1,0)</f>
        <v>0</v>
      </c>
      <c r="CB1312" s="65" t="n">
        <f aca="false">IF(AND(U1312="",OR(P1312="",P1312="LOSE"),T1312&lt;&gt;"",N(S1312)&lt;=0,ISNUMBER(MATCH(T1312,Parameter!$I$27:$I$29,0))),1,0)</f>
        <v>1</v>
      </c>
      <c r="CC1312" s="65" t="n">
        <f aca="false">IF(CR1312&gt;0,INDEX(Parameter!$H$5:$H$7,W1312)/INDEX(Parameter!$E$5:$E$7,W1312),IF(AND(CA1312=0,N(IFERROR(VLOOKUP(BY1312,'Gebinde-Kategorie'!$A$5:$N$45,14,0),0))&gt;0),VLOOKUP(BY1312,'Gebinde-Kategorie'!$A$5:$N$45,14,0)*10+Parameter!$M$23,Parameter!$M$24))</f>
        <v>145</v>
      </c>
      <c r="CD1312" s="60" t="str">
        <f aca="false">IF(AND(Parameter!$B$19="Ja",E1312&lt;&gt;"",ISNUMBER(MATCH(E1312,Parameter!$I$35:$I$52,0))),VLOOKUP(E1312,Parameter!$I$35:$J$52,2,0),IFERROR(VLOOKUP(D1312,Parameter!$A$35:$C$64,2,0),"Nein"))</f>
        <v>2+3</v>
      </c>
      <c r="CE1312" s="64" t="n">
        <f aca="false">IF(CA1312=0,0,IF(N(S1312)&gt;0,S1312,IFERROR(VLOOKUP(D1312,Parameter!$A$35:$C$64,3,0)+0,0)))</f>
        <v>0</v>
      </c>
      <c r="CF1312" s="60" t="n">
        <f aca="false">IF(AB1312&lt;&gt;"",AB1312,AA1312)</f>
        <v>3</v>
      </c>
      <c r="CG1312" s="60" t="str">
        <f aca="false">IF(OR(CF1312=1,CF1312=2,CF1312=3),IF(Parameter!$E$27="Ja","LIFT",IF(CF1312=1,"L1","L23")),IF(CF1312="Aussen","Aussen","-"))</f>
        <v>LIFT</v>
      </c>
      <c r="CH1312" s="71" t="n">
        <f aca="false">IF(N(AC1312)&gt;0,AC1312,0)</f>
        <v>0</v>
      </c>
      <c r="CI1312" s="65" t="n">
        <f aca="false">IF(ISNUMBER(AF1312),1,0)</f>
        <v>0</v>
      </c>
      <c r="CJ1312" s="62" t="n">
        <f aca="false">N(AF1312)</f>
        <v>0</v>
      </c>
      <c r="CK1312" s="62" t="n">
        <f aca="false">N(M1312)+N(N1312)</f>
        <v>1</v>
      </c>
      <c r="CL1312" s="62" t="n">
        <f aca="false">N(M1312)</f>
        <v>0</v>
      </c>
      <c r="CM1312" s="62" t="n">
        <f aca="false">N(N1312)</f>
        <v>1</v>
      </c>
      <c r="CN1312" s="62" t="n">
        <f aca="false">ROUNDUP(H1312/BZ1312,0)</f>
        <v>0</v>
      </c>
      <c r="CO1312" s="62" t="n">
        <f aca="false">ROUNDUP(CJ1312/BZ1312,0)</f>
        <v>0</v>
      </c>
      <c r="CP1312" s="65" t="n">
        <f aca="false">IF(CA1312=1,0,IFERROR(VLOOKUP(BY1312,'Gebinde-Kategorie'!$A$5:$N$45,5,0)+0,0))</f>
        <v>11</v>
      </c>
      <c r="CQ1312" s="65" t="n">
        <f aca="false">IFERROR(IF(OR(CF1312=1,CF1312=2,CF1312=3),N(INDEX(Parameter!$I$5:$I$7,CF1312)),0),0)</f>
        <v>0</v>
      </c>
      <c r="CR1312" s="64" t="n">
        <f aca="false">IF(AND(Parameter!$B$21="Ja",ISNUMBER(W1312),N(X1312)&gt;0),IFERROR(N(INDEX(Parameter!$L$5:$L$7,W1312))*INDEX(Parameter!$E$5:$E$7,W1312)*X1312/SUMIFS($X$7:$X$1843,$W$7:$W$1843,W1312),0),0)</f>
        <v>0</v>
      </c>
      <c r="CS1312" s="62" t="str">
        <f aca="false">IF(AND(OR(CG1312="L1",CG1312="L23",CG1312="LIFT"),H1312&gt;0),CC1312*IF(CR1312&gt;0,CR1312*MAX(1,H1312/X1312),IF(CA1312=1,CE1312,IF(R1312&gt;0,CN1312/R1312,0))/MAX(0.1,N(Parameter!$M$21))),"")</f>
        <v/>
      </c>
      <c r="CT1312" s="64" t="str">
        <f aca="false">IF(CS1312="","",J1312/H1312)</f>
        <v/>
      </c>
      <c r="CU1312" s="62" t="str">
        <f aca="false">IF(CS1312="","",H1312*G1312)</f>
        <v/>
      </c>
      <c r="CV1312" s="63" t="str">
        <f aca="false">IF(CS1312="","",(CL1312+ROUNDUP(CL1312+MAX(CM1312,2*(J1312/MAX(0.1,N(Einkauf!$C$6))-CL1312)),0))/2)</f>
        <v/>
      </c>
      <c r="CW1312" s="62" t="str">
        <f aca="false">IF(CS1312="","",MAX(0,H1312-CV1312)*G1312)</f>
        <v/>
      </c>
      <c r="CX1312" s="62" t="str">
        <f aca="false">IF(CS1312="","",CS1312*MAX(0,1-CV1312/H1312))</f>
        <v/>
      </c>
      <c r="CY1312" s="64" t="str">
        <f aca="false">IF(CS1312="","",PERCENTRANK($CS$7:$CS$1843,CS1312)+PERCENTRANK($CU$7:$CU$1843,CU1312)+1-PERCENTRANK($CT$7:$CT$1843,CT1312))</f>
        <v/>
      </c>
      <c r="CZ1312" s="72" t="str">
        <f aca="false">IF(CS1312="","",CHOOSE(MATCH(Einkauf!$C$5,Parameter!$G$23:$G$27,0),CY1312,CS1312,CU1312,-CT1312,CW1312)+ROW()/1000000000)</f>
        <v/>
      </c>
    </row>
    <row r="1313" customFormat="false" ht="15" hidden="false" customHeight="false" outlineLevel="0" collapsed="false">
      <c r="A1313" s="60" t="s">
        <v>2372</v>
      </c>
      <c r="B1313" s="60" t="s">
        <v>2373</v>
      </c>
      <c r="C1313" s="60" t="s">
        <v>206</v>
      </c>
      <c r="D1313" s="60" t="s">
        <v>395</v>
      </c>
      <c r="E1313" s="60"/>
      <c r="F1313" s="60" t="s">
        <v>260</v>
      </c>
      <c r="G1313" s="61" t="n">
        <v>1309.41</v>
      </c>
      <c r="H1313" s="62" t="n">
        <f aca="false">MAX(0,IF(AND(Parameter!$B$21="Ja",ISNUMBER(Y1313)),Y1313,IF(Parameter!$B$20="Jahresanfang 2025 + Export",BS1313+BR1313,BR1313)))</f>
        <v>0</v>
      </c>
      <c r="I1313" s="62" t="n">
        <f aca="false">H1313*G1313</f>
        <v>0</v>
      </c>
      <c r="J1313" s="62" t="n">
        <f aca="false">BU1313*Parameter!$B$18</f>
        <v>0</v>
      </c>
      <c r="K1313" s="63" t="n">
        <v>0.5</v>
      </c>
      <c r="L1313" s="64" t="n">
        <v>0</v>
      </c>
      <c r="M1313" s="62" t="n">
        <v>0</v>
      </c>
      <c r="N1313" s="62" t="n">
        <v>1</v>
      </c>
      <c r="O1313" s="65" t="n">
        <v>77</v>
      </c>
      <c r="P1313" s="60" t="s">
        <v>210</v>
      </c>
      <c r="Q1313" s="62"/>
      <c r="R1313" s="65" t="n">
        <f aca="false">IF(CA1313=1,0,IFERROR(VLOOKUP(BY1313,'Gebinde-Kategorie'!$A$5:$N$45,13,0)+0,0))</f>
        <v>0</v>
      </c>
      <c r="S1313" s="66"/>
      <c r="T1313" s="67"/>
      <c r="U1313" s="67"/>
      <c r="V1313" s="67"/>
      <c r="W1313" s="60"/>
      <c r="X1313" s="62"/>
      <c r="Y1313" s="62"/>
      <c r="Z1313" s="60"/>
      <c r="AA1313" s="60" t="str">
        <f aca="false">IF(A1313="","",IF(AND(Parameter!$B$21="Ja",ISNUMBER(W1313)),W1313,IF(AND(Parameter!$E$27="Ja",ISNUMBER(Z1313),CD1313&lt;&gt;"Nein"),Z1313,IF(CD1313="2+3",IF(ISNUMBER(SEARCH("grosser Artikel",BV1313)),2,IFERROR(VLOOKUP(BY1313,Parameter!$F$35:$G$64,2,0),2)),IF(OR(CD1313="Nein",CD1313=""),"-",CD1313)))))</f>
        <v>-</v>
      </c>
      <c r="AB1313" s="67"/>
      <c r="AC1313" s="68"/>
      <c r="AD1313" s="62" t="n">
        <f aca="false">AW1313</f>
        <v>1</v>
      </c>
      <c r="AE1313" s="62" t="n">
        <f aca="false">MAX(AW1313,H1313)</f>
        <v>1</v>
      </c>
      <c r="AF1313" s="69"/>
      <c r="AG1313" s="62" t="n">
        <f aca="false">IF(LEFT(Cockpit!$C$5,1)="A",H1313,IF(Parameter!$E$30="MAX-Bestand",IF(CI1313=1,CJ1313,IF(LEFT(Cockpit!$C$5,1)="B",AM1313,MAX(AM1313,H1313))),ROUNDUP(AK1313,0)))</f>
        <v>0</v>
      </c>
      <c r="AH1313" s="62" t="n">
        <f aca="false">IF(CA1313=1,0,ROUNDUP(AG1313/BZ1313,0))</f>
        <v>0</v>
      </c>
      <c r="AI1313" s="64" t="n">
        <f aca="false">IF(CR1313&gt;0,CR1313*MAX(1,AG1313/X1313),IF(CA1313=1,IF(AG1313&lt;=0,0,CE1313*MAX(1,IF(H1313&gt;0,AG1313/H1313,1))),IF(R1313&gt;0,AH1313/R1313,0))/MAX(0.1,N(Parameter!$M$21)))</f>
        <v>0</v>
      </c>
      <c r="AJ1313" s="62" t="n">
        <f aca="false">AI1313*CC1313</f>
        <v>0</v>
      </c>
      <c r="AK1313" s="63" t="n">
        <f aca="false">IF(LEFT(Cockpit!$C$5,1)="A",H1313,IF(CI1313=1,(CL1313+CJ1313)/2,IF(LEFT(Cockpit!$C$5,1)="B",(CL1313+AM1313)/2,MAX((CL1313+AM1313)/2,H1313))))</f>
        <v>0</v>
      </c>
      <c r="AL1313" s="62" t="n">
        <f aca="false">AK1313*G1313</f>
        <v>0</v>
      </c>
      <c r="AM1313" s="62" t="n">
        <f aca="false">ROUNDUP(CL1313+MAX(CM1313,2*(J1313/IF(CH1313&gt;0,CH1313,MAX(0.1,N(Cockpit!$C$6)))-CL1313)),0)</f>
        <v>1</v>
      </c>
      <c r="AN1313" s="63" t="n">
        <f aca="false">IF(AJ1313&gt;0,J1313/AJ1313,-1)</f>
        <v>-1</v>
      </c>
      <c r="AO1313" s="63" t="str">
        <f aca="false">IF(AND(OR(CG1313="L1",CG1313="L23",CG1313="LIFT"),AJ1313&gt;0),SUMIFS($AJ$7:$AJ$1843,$CG$7:$CG$1843,CG1313,$AN$7:$AN$1843,"&gt;"&amp;AN1313)+SUMIFS($AJ$7:$AJ$1843,$CG$7:$CG$1843,CG1313,$AN$7:$AN$1843,AN1313,$BX$7:$BX$1843,"&lt;="&amp;BX1313),"")</f>
        <v/>
      </c>
      <c r="AP1313" s="70" t="n">
        <f aca="false">IF(AO1313="",0,MAX(0,MIN(1,(IF(CG1313="L1",Parameter!$H$5,IF(CG1313="L23",Parameter!$H$6+Parameter!$H$7,Parameter!$H$5+Parameter!$H$6+Parameter!$H$7))-(AO1313-AJ1313))/AJ1313)))</f>
        <v>0</v>
      </c>
      <c r="AQ1313" s="62" t="n">
        <f aca="false">IF(LEFT(Cockpit!$I$5,1)="A",H1313,IF(Parameter!$E$30="MAX-Bestand",IF(CI1313=1,CJ1313,IF(LEFT(Cockpit!$I$5,1)="B",AW1313,MAX(AW1313,H1313))),ROUNDUP(AU1313,0)))</f>
        <v>1</v>
      </c>
      <c r="AR1313" s="62" t="n">
        <f aca="false">IF(CA1313=1,0,ROUNDUP(AQ1313/BZ1313,0))</f>
        <v>0</v>
      </c>
      <c r="AS1313" s="64" t="n">
        <f aca="false">IF(CR1313&gt;0,CR1313*MAX(1,AQ1313/X1313),IF(CA1313=1,IF(AQ1313&lt;=0,0,CE1313*MAX(1,IF(H1313&gt;0,AQ1313/H1313,1))),IF(R1313&gt;0,AR1313/R1313,0))/MAX(0.1,N(Parameter!$M$21)))</f>
        <v>0.15</v>
      </c>
      <c r="AT1313" s="62" t="n">
        <f aca="false">AS1313*CC1313</f>
        <v>35.25</v>
      </c>
      <c r="AU1313" s="63" t="n">
        <f aca="false">IF(LEFT(Cockpit!$I$5,1)="A",H1313,IF(CI1313=1,(CL1313+CJ1313)/2,IF(LEFT(Cockpit!$I$5,1)="B",(CL1313+AW1313)/2,MAX((CL1313+AW1313)/2,H1313))))</f>
        <v>0.5</v>
      </c>
      <c r="AV1313" s="62" t="n">
        <f aca="false">AU1313*G1313</f>
        <v>654.705</v>
      </c>
      <c r="AW1313" s="62" t="n">
        <f aca="false">ROUNDUP(CL1313+MAX(CM1313,2*(J1313/IF(CH1313&gt;0,CH1313,MAX(0.1,N(Cockpit!$I$6)))-CL1313)),0)</f>
        <v>1</v>
      </c>
      <c r="AX1313" s="63" t="n">
        <f aca="false">IF(AT1313&gt;0,J1313/AT1313,-1)</f>
        <v>0</v>
      </c>
      <c r="AY1313" s="63" t="str">
        <f aca="false">IF(AND(OR(CG1313="L1",CG1313="L23",CG1313="LIFT"),AT1313&gt;0),SUMIFS($AT$7:$AT$1843,$CG$7:$CG$1843,CG1313,$AX$7:$AX$1843,"&gt;"&amp;AX1313)+SUMIFS($AT$7:$AT$1843,$CG$7:$CG$1843,CG1313,$AX$7:$AX$1843,AX1313,$BX$7:$BX$1843,"&lt;="&amp;BX1313),"")</f>
        <v/>
      </c>
      <c r="AZ1313" s="70" t="n">
        <f aca="false">IF(AY1313="",0,MAX(0,MIN(1,(IF(CG1313="L1",Parameter!$H$5,IF(CG1313="L23",Parameter!$H$6+Parameter!$H$7,Parameter!$H$5+Parameter!$H$6+Parameter!$H$7))-(AY1313-AT1313))/AT1313)))</f>
        <v>0</v>
      </c>
      <c r="BA1313" s="62" t="n">
        <f aca="false">IF(LEFT(Cockpit!$O$5,1)="A",H1313,IF(Parameter!$E$30="MAX-Bestand",IF(CI1313=1,CJ1313,IF(LEFT(Cockpit!$O$5,1)="B",BG1313,MAX(BG1313,H1313))),ROUNDUP(BE1313,0)))</f>
        <v>1</v>
      </c>
      <c r="BB1313" s="62" t="n">
        <f aca="false">IF(CA1313=1,0,ROUNDUP(BA1313/BZ1313,0))</f>
        <v>0</v>
      </c>
      <c r="BC1313" s="64" t="n">
        <f aca="false">IF(CR1313&gt;0,CR1313*MAX(1,BA1313/X1313),IF(CA1313=1,IF(BA1313&lt;=0,0,CE1313*MAX(1,IF(H1313&gt;0,BA1313/H1313,1))),IF(R1313&gt;0,BB1313/R1313,0))/MAX(0.1,N(Parameter!$M$21)))</f>
        <v>0.15</v>
      </c>
      <c r="BD1313" s="62" t="n">
        <f aca="false">BC1313*CC1313</f>
        <v>35.25</v>
      </c>
      <c r="BE1313" s="63" t="n">
        <f aca="false">IF(LEFT(Cockpit!$O$5,1)="A",H1313,IF(CI1313=1,(CL1313+CJ1313)/2,IF(LEFT(Cockpit!$O$5,1)="B",(CL1313+BG1313)/2,MAX((CL1313+BG1313)/2,H1313))))</f>
        <v>0.5</v>
      </c>
      <c r="BF1313" s="62" t="n">
        <f aca="false">BE1313*G1313</f>
        <v>654.705</v>
      </c>
      <c r="BG1313" s="62" t="n">
        <f aca="false">ROUNDUP(CL1313+MAX(CM1313,2*(J1313/IF(CH1313&gt;0,CH1313,MAX(0.1,N(Cockpit!$O$6)))-CL1313)),0)</f>
        <v>1</v>
      </c>
      <c r="BH1313" s="63" t="n">
        <f aca="false">IF(BD1313&gt;0,J1313/BD1313,-1)</f>
        <v>0</v>
      </c>
      <c r="BI1313" s="63" t="str">
        <f aca="false">IF(AND(OR(CG1313="L1",CG1313="L23",CG1313="LIFT"),BD1313&gt;0),SUMIFS($BD$7:$BD$1843,$CG$7:$CG$1843,CG1313,$BH$7:$BH$1843,"&gt;"&amp;BH1313)+SUMIFS($BD$7:$BD$1843,$CG$7:$CG$1843,CG1313,$BH$7:$BH$1843,BH1313,$BX$7:$BX$1843,"&lt;="&amp;BX1313),"")</f>
        <v/>
      </c>
      <c r="BJ1313" s="70" t="n">
        <f aca="false">IF(BI1313="",0,MAX(0,MIN(1,(IF(CG1313="L1",Parameter!$H$5,IF(CG1313="L23",Parameter!$H$6+Parameter!$H$7,Parameter!$H$5+Parameter!$H$6+Parameter!$H$7))-(BI1313-BD1313))/BD1313)))</f>
        <v>0</v>
      </c>
      <c r="BK1313" s="60" t="str">
        <f aca="false">IF(AJ1313&lt;=0,"",IF(CG1313="Aussen","Aussenlager",IF(CG1313="-","Nicht im Lift",IF(AP1313&gt;=1,"Lift",IF(AP1313&lt;=0,"Aussenlager","teilweise")))))</f>
        <v/>
      </c>
      <c r="BL1313" s="60" t="str">
        <f aca="false">IF(AT1313&lt;=0,"",IF(CG1313="Aussen","Aussenlager",IF(CG1313="-","Nicht im Lift",IF(AZ1313&gt;=1,"Lift",IF(AZ1313&lt;=0,"Aussenlager","teilweise")))))</f>
        <v>Nicht im Lift</v>
      </c>
      <c r="BM1313" s="60" t="str">
        <f aca="false">IF(BD1313&lt;=0,"",IF(CG1313="Aussen","Aussenlager",IF(CG1313="-","Nicht im Lift",IF(BJ1313&gt;=1,"Lift",IF(BJ1313&lt;=0,"Aussenlager","teilweise")))))</f>
        <v>Nicht im Lift</v>
      </c>
      <c r="BN1313" s="60" t="str">
        <f aca="false">IF(A1313="","",IF(BW1313=1,"Neu; ","")&amp;IF(AND(BW1313=0,BR1313&lt;0),"negativer Bestand (Export "&amp;BR1313&amp;"); ","")&amp;IF(J1313&lt;=0,"Kein Verbrauch; ","")&amp;IF(CR1313&gt;0,"Lift "&amp;W1313&amp;" lt. Liftbericht (Fach "&amp;X1313&amp;" Stk); ",IF(CB1313=1,"Gebinde geschätzt ("&amp;T1313&amp;"); ",IF(CA1313=1,"Lose – Tablare geschätzt; ","")))&amp;IF(H1313&gt;AW1313,"Überbestand "&amp;ROUND(H1313-AW1313,0)&amp;" Stk / CHF "&amp;ROUND((H1313-AW1313)*G1313,0)&amp;"; ","")&amp;IF(AND(CI1313=1,CJ1313&lt;CK1313),"MAX &lt; MB+LG; ","")&amp;IF(AND(CQ1313&gt;0,CP1313*10&gt;CQ1313),"zu hoch für Tablar; ","")&amp;IF(AND(BW1313=0,OR(CI1313=1,AB1313&lt;&gt;"",U1313&lt;&gt;"",V1313&lt;&gt;"",AC1313&lt;&gt;"")),"manuell übersteuert; ","")&amp;IF(AND(CA1313=0,R1313=0),"Gebinde unbekannt / Stellmass fehlt; ","")&amp;IF(AND(CA1313=0,N(V1313)&lt;=0,N(Q1313)&lt;=0),"Menge pro Gebinde fehlt (Ist = 1 Gebinde); ","")&amp;BV1313)</f>
        <v>negativer Bestand (Export -1); Kein Verbrauch; Lose – Tablare geschätzt; </v>
      </c>
      <c r="BO1313" s="60"/>
      <c r="BP1313" s="60"/>
      <c r="BQ1313" s="67"/>
      <c r="BR1313" s="62" t="n">
        <v>-1</v>
      </c>
      <c r="BS1313" s="62" t="n">
        <v>1</v>
      </c>
      <c r="BT1313" s="61" t="n">
        <v>-1309.41</v>
      </c>
      <c r="BU1313" s="62" t="n">
        <v>0</v>
      </c>
      <c r="BV1313" s="60"/>
      <c r="BW1313" s="65" t="n">
        <v>0</v>
      </c>
      <c r="BX1313" s="65" t="n">
        <v>1313</v>
      </c>
      <c r="BY1313" s="60" t="str">
        <f aca="false">IF(U1313&lt;&gt;"",UPPER(TRIM(U1313)),IF(CB1313=1,UPPER(VLOOKUP(T1313,Parameter!$I$27:$K$29,2,0)),IF(P1313="","LOSE",P1313)))</f>
        <v>LOSE</v>
      </c>
      <c r="BZ1313" s="62" t="n">
        <f aca="false">IF(BY1313="LOSE",1,IF(N(V1313)&gt;0,V1313,IF(CB1313=1,MAX(1,N(VLOOKUP(T1313,Parameter!$I$27:$K$29,3,0)),H1313,N(N1313)),IF(N(Q1313)&gt;0,Q1313,MAX(1,H1313)))))</f>
        <v>1</v>
      </c>
      <c r="CA1313" s="65" t="n">
        <f aca="false">IF(BY1313="LOSE",1,0)</f>
        <v>1</v>
      </c>
      <c r="CB1313" s="65" t="n">
        <f aca="false">IF(AND(U1313="",OR(P1313="",P1313="LOSE"),T1313&lt;&gt;"",N(S1313)&lt;=0,ISNUMBER(MATCH(T1313,Parameter!$I$27:$I$29,0))),1,0)</f>
        <v>0</v>
      </c>
      <c r="CC1313" s="65" t="n">
        <f aca="false">IF(CR1313&gt;0,INDEX(Parameter!$H$5:$H$7,W1313)/INDEX(Parameter!$E$5:$E$7,W1313),IF(AND(CA1313=0,N(IFERROR(VLOOKUP(BY1313,'Gebinde-Kategorie'!$A$5:$N$45,14,0),0))&gt;0),VLOOKUP(BY1313,'Gebinde-Kategorie'!$A$5:$N$45,14,0)*10+Parameter!$M$23,Parameter!$M$24))</f>
        <v>235</v>
      </c>
      <c r="CD1313" s="60" t="str">
        <f aca="false">IF(AND(Parameter!$B$19="Ja",E1313&lt;&gt;"",ISNUMBER(MATCH(E1313,Parameter!$I$35:$I$52,0))),VLOOKUP(E1313,Parameter!$I$35:$J$52,2,0),IFERROR(VLOOKUP(D1313,Parameter!$A$35:$C$64,2,0),"Nein"))</f>
        <v>Nein</v>
      </c>
      <c r="CE1313" s="64" t="n">
        <f aca="false">IF(CA1313=0,0,IF(N(S1313)&gt;0,S1313,IFERROR(VLOOKUP(D1313,Parameter!$A$35:$C$64,3,0)+0,0)))</f>
        <v>0.15</v>
      </c>
      <c r="CF1313" s="60" t="str">
        <f aca="false">IF(AB1313&lt;&gt;"",AB1313,AA1313)</f>
        <v>-</v>
      </c>
      <c r="CG1313" s="60" t="str">
        <f aca="false">IF(OR(CF1313=1,CF1313=2,CF1313=3),IF(Parameter!$E$27="Ja","LIFT",IF(CF1313=1,"L1","L23")),IF(CF1313="Aussen","Aussen","-"))</f>
        <v>-</v>
      </c>
      <c r="CH1313" s="71" t="n">
        <f aca="false">IF(N(AC1313)&gt;0,AC1313,0)</f>
        <v>0</v>
      </c>
      <c r="CI1313" s="65" t="n">
        <f aca="false">IF(ISNUMBER(AF1313),1,0)</f>
        <v>0</v>
      </c>
      <c r="CJ1313" s="62" t="n">
        <f aca="false">N(AF1313)</f>
        <v>0</v>
      </c>
      <c r="CK1313" s="62" t="n">
        <f aca="false">N(M1313)+N(N1313)</f>
        <v>1</v>
      </c>
      <c r="CL1313" s="62" t="n">
        <f aca="false">N(M1313)</f>
        <v>0</v>
      </c>
      <c r="CM1313" s="62" t="n">
        <f aca="false">N(N1313)</f>
        <v>1</v>
      </c>
      <c r="CN1313" s="62" t="n">
        <f aca="false">ROUNDUP(H1313/BZ1313,0)</f>
        <v>0</v>
      </c>
      <c r="CO1313" s="62" t="n">
        <f aca="false">ROUNDUP(CJ1313/BZ1313,0)</f>
        <v>0</v>
      </c>
      <c r="CP1313" s="65" t="n">
        <f aca="false">IF(CA1313=1,0,IFERROR(VLOOKUP(BY1313,'Gebinde-Kategorie'!$A$5:$N$45,5,0)+0,0))</f>
        <v>0</v>
      </c>
      <c r="CQ1313" s="65" t="n">
        <f aca="false">IFERROR(IF(OR(CF1313=1,CF1313=2,CF1313=3),N(INDEX(Parameter!$I$5:$I$7,CF1313)),0),0)</f>
        <v>0</v>
      </c>
      <c r="CR1313" s="64" t="n">
        <f aca="false">IF(AND(Parameter!$B$21="Ja",ISNUMBER(W1313),N(X1313)&gt;0),IFERROR(N(INDEX(Parameter!$L$5:$L$7,W1313))*INDEX(Parameter!$E$5:$E$7,W1313)*X1313/SUMIFS($X$7:$X$1843,$W$7:$W$1843,W1313),0),0)</f>
        <v>0</v>
      </c>
      <c r="CS1313" s="62" t="str">
        <f aca="false">IF(AND(OR(CG1313="L1",CG1313="L23",CG1313="LIFT"),H1313&gt;0),CC1313*IF(CR1313&gt;0,CR1313*MAX(1,H1313/X1313),IF(CA1313=1,CE1313,IF(R1313&gt;0,CN1313/R1313,0))/MAX(0.1,N(Parameter!$M$21))),"")</f>
        <v/>
      </c>
      <c r="CT1313" s="64" t="str">
        <f aca="false">IF(CS1313="","",J1313/H1313)</f>
        <v/>
      </c>
      <c r="CU1313" s="62" t="str">
        <f aca="false">IF(CS1313="","",H1313*G1313)</f>
        <v/>
      </c>
      <c r="CV1313" s="63" t="str">
        <f aca="false">IF(CS1313="","",(CL1313+ROUNDUP(CL1313+MAX(CM1313,2*(J1313/MAX(0.1,N(Einkauf!$C$6))-CL1313)),0))/2)</f>
        <v/>
      </c>
      <c r="CW1313" s="62" t="str">
        <f aca="false">IF(CS1313="","",MAX(0,H1313-CV1313)*G1313)</f>
        <v/>
      </c>
      <c r="CX1313" s="62" t="str">
        <f aca="false">IF(CS1313="","",CS1313*MAX(0,1-CV1313/H1313))</f>
        <v/>
      </c>
      <c r="CY1313" s="64" t="str">
        <f aca="false">IF(CS1313="","",PERCENTRANK($CS$7:$CS$1843,CS1313)+PERCENTRANK($CU$7:$CU$1843,CU1313)+1-PERCENTRANK($CT$7:$CT$1843,CT1313))</f>
        <v/>
      </c>
      <c r="CZ1313" s="72" t="str">
        <f aca="false">IF(CS1313="","",CHOOSE(MATCH(Einkauf!$C$5,Parameter!$G$23:$G$27,0),CY1313,CS1313,CU1313,-CT1313,CW1313)+ROW()/1000000000)</f>
        <v/>
      </c>
    </row>
    <row r="1314" customFormat="false" ht="15" hidden="false" customHeight="false" outlineLevel="0" collapsed="false">
      <c r="A1314" s="60" t="s">
        <v>2374</v>
      </c>
      <c r="B1314" s="60" t="s">
        <v>2375</v>
      </c>
      <c r="C1314" s="60" t="s">
        <v>206</v>
      </c>
      <c r="D1314" s="60" t="s">
        <v>226</v>
      </c>
      <c r="E1314" s="60"/>
      <c r="F1314" s="60" t="s">
        <v>260</v>
      </c>
      <c r="G1314" s="61" t="n">
        <v>1.9</v>
      </c>
      <c r="H1314" s="62" t="n">
        <f aca="false">MAX(0,IF(AND(Parameter!$B$21="Ja",ISNUMBER(Y1314)),Y1314,IF(Parameter!$B$20="Jahresanfang 2025 + Export",BS1314+BR1314,BR1314)))</f>
        <v>244</v>
      </c>
      <c r="I1314" s="62" t="n">
        <f aca="false">H1314*G1314</f>
        <v>463.6</v>
      </c>
      <c r="J1314" s="62" t="n">
        <f aca="false">BU1314*Parameter!$B$18</f>
        <v>320</v>
      </c>
      <c r="K1314" s="63" t="n">
        <v>708</v>
      </c>
      <c r="L1314" s="64" t="n">
        <v>0.451977401129944</v>
      </c>
      <c r="M1314" s="62" t="n">
        <v>49</v>
      </c>
      <c r="N1314" s="62" t="n">
        <v>320</v>
      </c>
      <c r="O1314" s="65" t="n">
        <v>56</v>
      </c>
      <c r="P1314" s="60" t="s">
        <v>370</v>
      </c>
      <c r="Q1314" s="62" t="n">
        <v>360</v>
      </c>
      <c r="R1314" s="65" t="n">
        <f aca="false">IF(CA1314=1,0,IFERROR(VLOOKUP(BY1314,'Gebinde-Kategorie'!$A$5:$N$45,13,0)+0,0))</f>
        <v>52</v>
      </c>
      <c r="S1314" s="66"/>
      <c r="T1314" s="67"/>
      <c r="U1314" s="67"/>
      <c r="V1314" s="67"/>
      <c r="W1314" s="60"/>
      <c r="X1314" s="62"/>
      <c r="Y1314" s="62"/>
      <c r="Z1314" s="60" t="n">
        <v>3</v>
      </c>
      <c r="AA1314" s="60" t="n">
        <f aca="false">IF(A1314="","",IF(AND(Parameter!$B$21="Ja",ISNUMBER(W1314)),W1314,IF(AND(Parameter!$E$27="Ja",ISNUMBER(Z1314),CD1314&lt;&gt;"Nein"),Z1314,IF(CD1314="2+3",IF(ISNUMBER(SEARCH("grosser Artikel",BV1314)),2,IFERROR(VLOOKUP(BY1314,Parameter!$F$35:$G$64,2,0),2)),IF(OR(CD1314="Nein",CD1314=""),"-",CD1314)))))</f>
        <v>3</v>
      </c>
      <c r="AB1314" s="67"/>
      <c r="AC1314" s="68"/>
      <c r="AD1314" s="62" t="n">
        <f aca="false">AW1314</f>
        <v>369</v>
      </c>
      <c r="AE1314" s="62" t="n">
        <f aca="false">MAX(AW1314,H1314)</f>
        <v>369</v>
      </c>
      <c r="AF1314" s="69"/>
      <c r="AG1314" s="62" t="n">
        <f aca="false">IF(LEFT(Cockpit!$C$5,1)="A",H1314,IF(Parameter!$E$30="MAX-Bestand",IF(CI1314=1,CJ1314,IF(LEFT(Cockpit!$C$5,1)="B",AM1314,MAX(AM1314,H1314))),ROUNDUP(AK1314,0)))</f>
        <v>244</v>
      </c>
      <c r="AH1314" s="62" t="n">
        <f aca="false">IF(CA1314=1,0,ROUNDUP(AG1314/BZ1314,0))</f>
        <v>1</v>
      </c>
      <c r="AI1314" s="64" t="n">
        <f aca="false">IF(CR1314&gt;0,CR1314*MAX(1,AG1314/X1314),IF(CA1314=1,IF(AG1314&lt;=0,0,CE1314*MAX(1,IF(H1314&gt;0,AG1314/H1314,1))),IF(R1314&gt;0,AH1314/R1314,0))/MAX(0.1,N(Parameter!$M$21)))</f>
        <v>0.0192307692307692</v>
      </c>
      <c r="AJ1314" s="62" t="n">
        <f aca="false">AI1314*CC1314</f>
        <v>2.98076923076923</v>
      </c>
      <c r="AK1314" s="63" t="n">
        <f aca="false">IF(LEFT(Cockpit!$C$5,1)="A",H1314,IF(CI1314=1,(CL1314+CJ1314)/2,IF(LEFT(Cockpit!$C$5,1)="B",(CL1314+AM1314)/2,MAX((CL1314+AM1314)/2,H1314))))</f>
        <v>244</v>
      </c>
      <c r="AL1314" s="62" t="n">
        <f aca="false">AK1314*G1314</f>
        <v>463.6</v>
      </c>
      <c r="AM1314" s="62" t="n">
        <f aca="false">ROUNDUP(CL1314+MAX(CM1314,2*(J1314/IF(CH1314&gt;0,CH1314,MAX(0.1,N(Cockpit!$C$6)))-CL1314)),0)</f>
        <v>369</v>
      </c>
      <c r="AN1314" s="63" t="n">
        <f aca="false">IF(AJ1314&gt;0,J1314/AJ1314,-1)</f>
        <v>107.354838709677</v>
      </c>
      <c r="AO1314" s="63" t="n">
        <f aca="false">IF(AND(OR(CG1314="L1",CG1314="L23",CG1314="LIFT"),AJ1314&gt;0),SUMIFS($AJ$7:$AJ$1843,$CG$7:$CG$1843,CG1314,$AN$7:$AN$1843,"&gt;"&amp;AN1314)+SUMIFS($AJ$7:$AJ$1843,$CG$7:$CG$1843,CG1314,$AN$7:$AN$1843,AN1314,$BX$7:$BX$1843,"&lt;="&amp;BX1314),"")</f>
        <v>758.863553113553</v>
      </c>
      <c r="AP1314" s="70" t="n">
        <f aca="false">IF(AO1314="",0,MAX(0,MIN(1,(IF(CG1314="L1",Parameter!$H$5,IF(CG1314="L23",Parameter!$H$6+Parameter!$H$7,Parameter!$H$5+Parameter!$H$6+Parameter!$H$7))-(AO1314-AJ1314))/AJ1314)))</f>
        <v>1</v>
      </c>
      <c r="AQ1314" s="62" t="n">
        <f aca="false">IF(LEFT(Cockpit!$I$5,1)="A",H1314,IF(Parameter!$E$30="MAX-Bestand",IF(CI1314=1,CJ1314,IF(LEFT(Cockpit!$I$5,1)="B",AW1314,MAX(AW1314,H1314))),ROUNDUP(AU1314,0)))</f>
        <v>244</v>
      </c>
      <c r="AR1314" s="62" t="n">
        <f aca="false">IF(CA1314=1,0,ROUNDUP(AQ1314/BZ1314,0))</f>
        <v>1</v>
      </c>
      <c r="AS1314" s="64" t="n">
        <f aca="false">IF(CR1314&gt;0,CR1314*MAX(1,AQ1314/X1314),IF(CA1314=1,IF(AQ1314&lt;=0,0,CE1314*MAX(1,IF(H1314&gt;0,AQ1314/H1314,1))),IF(R1314&gt;0,AR1314/R1314,0))/MAX(0.1,N(Parameter!$M$21)))</f>
        <v>0.0192307692307692</v>
      </c>
      <c r="AT1314" s="62" t="n">
        <f aca="false">AS1314*CC1314</f>
        <v>2.98076923076923</v>
      </c>
      <c r="AU1314" s="63" t="n">
        <f aca="false">IF(LEFT(Cockpit!$I$5,1)="A",H1314,IF(CI1314=1,(CL1314+CJ1314)/2,IF(LEFT(Cockpit!$I$5,1)="B",(CL1314+AW1314)/2,MAX((CL1314+AW1314)/2,H1314))))</f>
        <v>244</v>
      </c>
      <c r="AV1314" s="62" t="n">
        <f aca="false">AU1314*G1314</f>
        <v>463.6</v>
      </c>
      <c r="AW1314" s="62" t="n">
        <f aca="false">ROUNDUP(CL1314+MAX(CM1314,2*(J1314/IF(CH1314&gt;0,CH1314,MAX(0.1,N(Cockpit!$I$6)))-CL1314)),0)</f>
        <v>369</v>
      </c>
      <c r="AX1314" s="63" t="n">
        <f aca="false">IF(AT1314&gt;0,J1314/AT1314,-1)</f>
        <v>107.354838709677</v>
      </c>
      <c r="AY1314" s="63" t="n">
        <f aca="false">IF(AND(OR(CG1314="L1",CG1314="L23",CG1314="LIFT"),AT1314&gt;0),SUMIFS($AT$7:$AT$1843,$CG$7:$CG$1843,CG1314,$AX$7:$AX$1843,"&gt;"&amp;AX1314)+SUMIFS($AT$7:$AT$1843,$CG$7:$CG$1843,CG1314,$AX$7:$AX$1843,AX1314,$BX$7:$BX$1843,"&lt;="&amp;BX1314),"")</f>
        <v>833.586538461539</v>
      </c>
      <c r="AZ1314" s="70" t="n">
        <f aca="false">IF(AY1314="",0,MAX(0,MIN(1,(IF(CG1314="L1",Parameter!$H$5,IF(CG1314="L23",Parameter!$H$6+Parameter!$H$7,Parameter!$H$5+Parameter!$H$6+Parameter!$H$7))-(AY1314-AT1314))/AT1314)))</f>
        <v>1</v>
      </c>
      <c r="BA1314" s="62" t="n">
        <f aca="false">IF(LEFT(Cockpit!$O$5,1)="A",H1314,IF(Parameter!$E$30="MAX-Bestand",IF(CI1314=1,CJ1314,IF(LEFT(Cockpit!$O$5,1)="B",BG1314,MAX(BG1314,H1314))),ROUNDUP(BE1314,0)))</f>
        <v>209</v>
      </c>
      <c r="BB1314" s="62" t="n">
        <f aca="false">IF(CA1314=1,0,ROUNDUP(BA1314/BZ1314,0))</f>
        <v>1</v>
      </c>
      <c r="BC1314" s="64" t="n">
        <f aca="false">IF(CR1314&gt;0,CR1314*MAX(1,BA1314/X1314),IF(CA1314=1,IF(BA1314&lt;=0,0,CE1314*MAX(1,IF(H1314&gt;0,BA1314/H1314,1))),IF(R1314&gt;0,BB1314/R1314,0))/MAX(0.1,N(Parameter!$M$21)))</f>
        <v>0.0192307692307692</v>
      </c>
      <c r="BD1314" s="62" t="n">
        <f aca="false">BC1314*CC1314</f>
        <v>2.98076923076923</v>
      </c>
      <c r="BE1314" s="63" t="n">
        <f aca="false">IF(LEFT(Cockpit!$O$5,1)="A",H1314,IF(CI1314=1,(CL1314+CJ1314)/2,IF(LEFT(Cockpit!$O$5,1)="B",(CL1314+BG1314)/2,MAX((CL1314+BG1314)/2,H1314))))</f>
        <v>209</v>
      </c>
      <c r="BF1314" s="62" t="n">
        <f aca="false">BE1314*G1314</f>
        <v>397.1</v>
      </c>
      <c r="BG1314" s="62" t="n">
        <f aca="false">ROUNDUP(CL1314+MAX(CM1314,2*(J1314/IF(CH1314&gt;0,CH1314,MAX(0.1,N(Cockpit!$O$6)))-CL1314)),0)</f>
        <v>369</v>
      </c>
      <c r="BH1314" s="63" t="n">
        <f aca="false">IF(BD1314&gt;0,J1314/BD1314,-1)</f>
        <v>107.354838709677</v>
      </c>
      <c r="BI1314" s="63" t="n">
        <f aca="false">IF(AND(OR(CG1314="L1",CG1314="L23",CG1314="LIFT"),BD1314&gt;0),SUMIFS($BD$7:$BD$1843,$CG$7:$CG$1843,CG1314,$BH$7:$BH$1843,"&gt;"&amp;BH1314)+SUMIFS($BD$7:$BD$1843,$CG$7:$CG$1843,CG1314,$BH$7:$BH$1843,BH1314,$BX$7:$BX$1843,"&lt;="&amp;BX1314),"")</f>
        <v>886.93315018315</v>
      </c>
      <c r="BJ1314" s="70" t="n">
        <f aca="false">IF(BI1314="",0,MAX(0,MIN(1,(IF(CG1314="L1",Parameter!$H$5,IF(CG1314="L23",Parameter!$H$6+Parameter!$H$7,Parameter!$H$5+Parameter!$H$6+Parameter!$H$7))-(BI1314-BD1314))/BD1314)))</f>
        <v>1</v>
      </c>
      <c r="BK1314" s="60" t="str">
        <f aca="false">IF(AJ1314&lt;=0,"",IF(CG1314="Aussen","Aussenlager",IF(CG1314="-","Nicht im Lift",IF(AP1314&gt;=1,"Lift",IF(AP1314&lt;=0,"Aussenlager","teilweise")))))</f>
        <v>Lift</v>
      </c>
      <c r="BL1314" s="60" t="str">
        <f aca="false">IF(AT1314&lt;=0,"",IF(CG1314="Aussen","Aussenlager",IF(CG1314="-","Nicht im Lift",IF(AZ1314&gt;=1,"Lift",IF(AZ1314&lt;=0,"Aussenlager","teilweise")))))</f>
        <v>Lift</v>
      </c>
      <c r="BM1314" s="60" t="str">
        <f aca="false">IF(BD1314&lt;=0,"",IF(CG1314="Aussen","Aussenlager",IF(CG1314="-","Nicht im Lift",IF(BJ1314&gt;=1,"Lift",IF(BJ1314&lt;=0,"Aussenlager","teilweise")))))</f>
        <v>Lift</v>
      </c>
      <c r="BN1314" s="60" t="str">
        <f aca="false">IF(A1314="","",IF(BW1314=1,"Neu; ","")&amp;IF(AND(BW1314=0,BR1314&lt;0),"negativer Bestand (Export "&amp;BR1314&amp;"); ","")&amp;IF(J1314&lt;=0,"Kein Verbrauch; ","")&amp;IF(CR1314&gt;0,"Lift "&amp;W1314&amp;" lt. Liftbericht (Fach "&amp;X1314&amp;" Stk); ",IF(CB1314=1,"Gebinde geschätzt ("&amp;T1314&amp;"); ",IF(CA1314=1,"Lose – Tablare geschätzt; ","")))&amp;IF(H1314&gt;AW1314,"Überbestand "&amp;ROUND(H1314-AW1314,0)&amp;" Stk / CHF "&amp;ROUND((H1314-AW1314)*G1314,0)&amp;"; ","")&amp;IF(AND(CI1314=1,CJ1314&lt;CK1314),"MAX &lt; MB+LG; ","")&amp;IF(AND(CQ1314&gt;0,CP1314*10&gt;CQ1314),"zu hoch für Tablar; ","")&amp;IF(AND(BW1314=0,OR(CI1314=1,AB1314&lt;&gt;"",U1314&lt;&gt;"",V1314&lt;&gt;"",AC1314&lt;&gt;"")),"manuell übersteuert; ","")&amp;IF(AND(CA1314=0,R1314=0),"Gebinde unbekannt / Stellmass fehlt; ","")&amp;IF(AND(CA1314=0,N(V1314)&lt;=0,N(Q1314)&lt;=0),"Menge pro Gebinde fehlt (Ist = 1 Gebinde); ","")&amp;BV1314)</f>
        <v>negativer Bestand (Export -695); </v>
      </c>
      <c r="BO1314" s="60"/>
      <c r="BP1314" s="60"/>
      <c r="BQ1314" s="67"/>
      <c r="BR1314" s="62" t="n">
        <v>-695</v>
      </c>
      <c r="BS1314" s="62" t="n">
        <v>939</v>
      </c>
      <c r="BT1314" s="61" t="n">
        <v>-1320.5</v>
      </c>
      <c r="BU1314" s="62" t="n">
        <v>320</v>
      </c>
      <c r="BV1314" s="60"/>
      <c r="BW1314" s="65" t="n">
        <v>0</v>
      </c>
      <c r="BX1314" s="65" t="n">
        <v>1314</v>
      </c>
      <c r="BY1314" s="60" t="str">
        <f aca="false">IF(U1314&lt;&gt;"",UPPER(TRIM(U1314)),IF(CB1314=1,UPPER(VLOOKUP(T1314,Parameter!$I$27:$K$29,2,0)),IF(P1314="","LOSE",P1314)))</f>
        <v>S41</v>
      </c>
      <c r="BZ1314" s="62" t="n">
        <f aca="false">IF(BY1314="LOSE",1,IF(N(V1314)&gt;0,V1314,IF(CB1314=1,MAX(1,N(VLOOKUP(T1314,Parameter!$I$27:$K$29,3,0)),H1314,N(N1314)),IF(N(Q1314)&gt;0,Q1314,MAX(1,H1314)))))</f>
        <v>360</v>
      </c>
      <c r="CA1314" s="65" t="n">
        <f aca="false">IF(BY1314="LOSE",1,0)</f>
        <v>0</v>
      </c>
      <c r="CB1314" s="65" t="n">
        <f aca="false">IF(AND(U1314="",OR(P1314="",P1314="LOSE"),T1314&lt;&gt;"",N(S1314)&lt;=0,ISNUMBER(MATCH(T1314,Parameter!$I$27:$I$29,0))),1,0)</f>
        <v>0</v>
      </c>
      <c r="CC1314" s="65" t="n">
        <f aca="false">IF(CR1314&gt;0,INDEX(Parameter!$H$5:$H$7,W1314)/INDEX(Parameter!$E$5:$E$7,W1314),IF(AND(CA1314=0,N(IFERROR(VLOOKUP(BY1314,'Gebinde-Kategorie'!$A$5:$N$45,14,0),0))&gt;0),VLOOKUP(BY1314,'Gebinde-Kategorie'!$A$5:$N$45,14,0)*10+Parameter!$M$23,Parameter!$M$24))</f>
        <v>155</v>
      </c>
      <c r="CD1314" s="60" t="str">
        <f aca="false">IF(AND(Parameter!$B$19="Ja",E1314&lt;&gt;"",ISNUMBER(MATCH(E1314,Parameter!$I$35:$I$52,0))),VLOOKUP(E1314,Parameter!$I$35:$J$52,2,0),IFERROR(VLOOKUP(D1314,Parameter!$A$35:$C$64,2,0),"Nein"))</f>
        <v>2+3</v>
      </c>
      <c r="CE1314" s="64" t="n">
        <f aca="false">IF(CA1314=0,0,IF(N(S1314)&gt;0,S1314,IFERROR(VLOOKUP(D1314,Parameter!$A$35:$C$64,3,0)+0,0)))</f>
        <v>0</v>
      </c>
      <c r="CF1314" s="60" t="n">
        <f aca="false">IF(AB1314&lt;&gt;"",AB1314,AA1314)</f>
        <v>3</v>
      </c>
      <c r="CG1314" s="60" t="str">
        <f aca="false">IF(OR(CF1314=1,CF1314=2,CF1314=3),IF(Parameter!$E$27="Ja","LIFT",IF(CF1314=1,"L1","L23")),IF(CF1314="Aussen","Aussen","-"))</f>
        <v>LIFT</v>
      </c>
      <c r="CH1314" s="71" t="n">
        <f aca="false">IF(N(AC1314)&gt;0,AC1314,0)</f>
        <v>0</v>
      </c>
      <c r="CI1314" s="65" t="n">
        <f aca="false">IF(ISNUMBER(AF1314),1,0)</f>
        <v>0</v>
      </c>
      <c r="CJ1314" s="62" t="n">
        <f aca="false">N(AF1314)</f>
        <v>0</v>
      </c>
      <c r="CK1314" s="62" t="n">
        <f aca="false">N(M1314)+N(N1314)</f>
        <v>369</v>
      </c>
      <c r="CL1314" s="62" t="n">
        <f aca="false">N(M1314)</f>
        <v>49</v>
      </c>
      <c r="CM1314" s="62" t="n">
        <f aca="false">N(N1314)</f>
        <v>320</v>
      </c>
      <c r="CN1314" s="62" t="n">
        <f aca="false">ROUNDUP(H1314/BZ1314,0)</f>
        <v>1</v>
      </c>
      <c r="CO1314" s="62" t="n">
        <f aca="false">ROUNDUP(CJ1314/BZ1314,0)</f>
        <v>0</v>
      </c>
      <c r="CP1314" s="65" t="n">
        <f aca="false">IF(CA1314=1,0,IFERROR(VLOOKUP(BY1314,'Gebinde-Kategorie'!$A$5:$N$45,5,0)+0,0))</f>
        <v>11</v>
      </c>
      <c r="CQ1314" s="65" t="n">
        <f aca="false">IFERROR(IF(OR(CF1314=1,CF1314=2,CF1314=3),N(INDEX(Parameter!$I$5:$I$7,CF1314)),0),0)</f>
        <v>0</v>
      </c>
      <c r="CR1314" s="64" t="n">
        <f aca="false">IF(AND(Parameter!$B$21="Ja",ISNUMBER(W1314),N(X1314)&gt;0),IFERROR(N(INDEX(Parameter!$L$5:$L$7,W1314))*INDEX(Parameter!$E$5:$E$7,W1314)*X1314/SUMIFS($X$7:$X$1843,$W$7:$W$1843,W1314),0),0)</f>
        <v>0</v>
      </c>
      <c r="CS1314" s="62" t="n">
        <f aca="false">IF(AND(OR(CG1314="L1",CG1314="L23",CG1314="LIFT"),H1314&gt;0),CC1314*IF(CR1314&gt;0,CR1314*MAX(1,H1314/X1314),IF(CA1314=1,CE1314,IF(R1314&gt;0,CN1314/R1314,0))/MAX(0.1,N(Parameter!$M$21))),"")</f>
        <v>2.98076923076923</v>
      </c>
      <c r="CT1314" s="64" t="n">
        <f aca="false">IF(CS1314="","",J1314/H1314)</f>
        <v>1.31147540983607</v>
      </c>
      <c r="CU1314" s="62" t="n">
        <f aca="false">IF(CS1314="","",H1314*G1314)</f>
        <v>463.6</v>
      </c>
      <c r="CV1314" s="63" t="n">
        <f aca="false">IF(CS1314="","",(CL1314+ROUNDUP(CL1314+MAX(CM1314,2*(J1314/MAX(0.1,N(Einkauf!$C$6))-CL1314)),0))/2)</f>
        <v>209</v>
      </c>
      <c r="CW1314" s="62" t="n">
        <f aca="false">IF(CS1314="","",MAX(0,H1314-CV1314)*G1314)</f>
        <v>66.5</v>
      </c>
      <c r="CX1314" s="62" t="n">
        <f aca="false">IF(CS1314="","",CS1314*MAX(0,1-CV1314/H1314))</f>
        <v>0.427569356872636</v>
      </c>
      <c r="CY1314" s="64" t="n">
        <f aca="false">IF(CS1314="","",PERCENTRANK($CS$7:$CS$1843,CS1314)+PERCENTRANK($CU$7:$CU$1843,CU1314)+1-PERCENTRANK($CT$7:$CT$1843,CT1314))</f>
        <v>0.977</v>
      </c>
      <c r="CZ1314" s="72" t="n">
        <f aca="false">IF(CS1314="","",CHOOSE(MATCH(Einkauf!$C$5,Parameter!$G$23:$G$27,0),CY1314,CS1314,CU1314,-CT1314,CW1314)+ROW()/1000000000)</f>
        <v>0.977001314</v>
      </c>
    </row>
    <row r="1315" customFormat="false" ht="15" hidden="false" customHeight="false" outlineLevel="0" collapsed="false">
      <c r="A1315" s="60" t="s">
        <v>2376</v>
      </c>
      <c r="B1315" s="60" t="s">
        <v>2377</v>
      </c>
      <c r="C1315" s="60" t="s">
        <v>206</v>
      </c>
      <c r="D1315" s="60" t="s">
        <v>226</v>
      </c>
      <c r="E1315" s="60" t="s">
        <v>227</v>
      </c>
      <c r="F1315" s="60" t="s">
        <v>260</v>
      </c>
      <c r="G1315" s="61" t="n">
        <v>148.68</v>
      </c>
      <c r="H1315" s="62" t="n">
        <f aca="false">MAX(0,IF(AND(Parameter!$B$21="Ja",ISNUMBER(Y1315)),Y1315,IF(Parameter!$B$20="Jahresanfang 2025 + Export",BS1315+BR1315,BR1315)))</f>
        <v>12</v>
      </c>
      <c r="I1315" s="62" t="n">
        <f aca="false">H1315*G1315</f>
        <v>1784.16</v>
      </c>
      <c r="J1315" s="62" t="n">
        <f aca="false">BU1315*Parameter!$B$18</f>
        <v>33</v>
      </c>
      <c r="K1315" s="63" t="n">
        <v>20</v>
      </c>
      <c r="L1315" s="64" t="n">
        <v>1.65</v>
      </c>
      <c r="M1315" s="62" t="n">
        <v>2</v>
      </c>
      <c r="N1315" s="62" t="n">
        <v>25</v>
      </c>
      <c r="O1315" s="65" t="n">
        <v>30</v>
      </c>
      <c r="P1315" s="60" t="s">
        <v>518</v>
      </c>
      <c r="Q1315" s="62" t="n">
        <v>37</v>
      </c>
      <c r="R1315" s="65" t="n">
        <f aca="false">IF(CA1315=1,0,IFERROR(VLOOKUP(BY1315,'Gebinde-Kategorie'!$A$5:$N$45,13,0)+0,0))</f>
        <v>52</v>
      </c>
      <c r="S1315" s="66"/>
      <c r="T1315" s="67"/>
      <c r="U1315" s="67"/>
      <c r="V1315" s="67"/>
      <c r="W1315" s="60"/>
      <c r="X1315" s="62"/>
      <c r="Y1315" s="62"/>
      <c r="Z1315" s="60" t="n">
        <v>3</v>
      </c>
      <c r="AA1315" s="60" t="n">
        <f aca="false">IF(A1315="","",IF(AND(Parameter!$B$21="Ja",ISNUMBER(W1315)),W1315,IF(AND(Parameter!$E$27="Ja",ISNUMBER(Z1315),CD1315&lt;&gt;"Nein"),Z1315,IF(CD1315="2+3",IF(ISNUMBER(SEARCH("grosser Artikel",BV1315)),2,IFERROR(VLOOKUP(BY1315,Parameter!$F$35:$G$64,2,0),2)),IF(OR(CD1315="Nein",CD1315=""),"-",CD1315)))))</f>
        <v>3</v>
      </c>
      <c r="AB1315" s="67"/>
      <c r="AC1315" s="68"/>
      <c r="AD1315" s="62" t="n">
        <f aca="false">AW1315</f>
        <v>27</v>
      </c>
      <c r="AE1315" s="62" t="n">
        <f aca="false">MAX(AW1315,H1315)</f>
        <v>27</v>
      </c>
      <c r="AF1315" s="69"/>
      <c r="AG1315" s="62" t="n">
        <f aca="false">IF(LEFT(Cockpit!$C$5,1)="A",H1315,IF(Parameter!$E$30="MAX-Bestand",IF(CI1315=1,CJ1315,IF(LEFT(Cockpit!$C$5,1)="B",AM1315,MAX(AM1315,H1315))),ROUNDUP(AK1315,0)))</f>
        <v>12</v>
      </c>
      <c r="AH1315" s="62" t="n">
        <f aca="false">IF(CA1315=1,0,ROUNDUP(AG1315/BZ1315,0))</f>
        <v>1</v>
      </c>
      <c r="AI1315" s="64" t="n">
        <f aca="false">IF(CR1315&gt;0,CR1315*MAX(1,AG1315/X1315),IF(CA1315=1,IF(AG1315&lt;=0,0,CE1315*MAX(1,IF(H1315&gt;0,AG1315/H1315,1))),IF(R1315&gt;0,AH1315/R1315,0))/MAX(0.1,N(Parameter!$M$21)))</f>
        <v>0.0192307692307692</v>
      </c>
      <c r="AJ1315" s="62" t="n">
        <f aca="false">AI1315*CC1315</f>
        <v>2.98076923076923</v>
      </c>
      <c r="AK1315" s="63" t="n">
        <f aca="false">IF(LEFT(Cockpit!$C$5,1)="A",H1315,IF(CI1315=1,(CL1315+CJ1315)/2,IF(LEFT(Cockpit!$C$5,1)="B",(CL1315+AM1315)/2,MAX((CL1315+AM1315)/2,H1315))))</f>
        <v>12</v>
      </c>
      <c r="AL1315" s="62" t="n">
        <f aca="false">AK1315*G1315</f>
        <v>1784.16</v>
      </c>
      <c r="AM1315" s="62" t="n">
        <f aca="false">ROUNDUP(CL1315+MAX(CM1315,2*(J1315/IF(CH1315&gt;0,CH1315,MAX(0.1,N(Cockpit!$C$6)))-CL1315)),0)</f>
        <v>27</v>
      </c>
      <c r="AN1315" s="63" t="n">
        <f aca="false">IF(AJ1315&gt;0,J1315/AJ1315,-1)</f>
        <v>11.0709677419355</v>
      </c>
      <c r="AO1315" s="63" t="n">
        <f aca="false">IF(AND(OR(CG1315="L1",CG1315="L23",CG1315="LIFT"),AJ1315&gt;0),SUMIFS($AJ$7:$AJ$1843,$CG$7:$CG$1843,CG1315,$AN$7:$AN$1843,"&gt;"&amp;AN1315)+SUMIFS($AJ$7:$AJ$1843,$CG$7:$CG$1843,CG1315,$AN$7:$AN$1843,AN1315,$BX$7:$BX$1843,"&lt;="&amp;BX1315),"")</f>
        <v>2576.79578754579</v>
      </c>
      <c r="AP1315" s="70" t="n">
        <f aca="false">IF(AO1315="",0,MAX(0,MIN(1,(IF(CG1315="L1",Parameter!$H$5,IF(CG1315="L23",Parameter!$H$6+Parameter!$H$7,Parameter!$H$5+Parameter!$H$6+Parameter!$H$7))-(AO1315-AJ1315))/AJ1315)))</f>
        <v>1</v>
      </c>
      <c r="AQ1315" s="62" t="n">
        <f aca="false">IF(LEFT(Cockpit!$I$5,1)="A",H1315,IF(Parameter!$E$30="MAX-Bestand",IF(CI1315=1,CJ1315,IF(LEFT(Cockpit!$I$5,1)="B",AW1315,MAX(AW1315,H1315))),ROUNDUP(AU1315,0)))</f>
        <v>15</v>
      </c>
      <c r="AR1315" s="62" t="n">
        <f aca="false">IF(CA1315=1,0,ROUNDUP(AQ1315/BZ1315,0))</f>
        <v>1</v>
      </c>
      <c r="AS1315" s="64" t="n">
        <f aca="false">IF(CR1315&gt;0,CR1315*MAX(1,AQ1315/X1315),IF(CA1315=1,IF(AQ1315&lt;=0,0,CE1315*MAX(1,IF(H1315&gt;0,AQ1315/H1315,1))),IF(R1315&gt;0,AR1315/R1315,0))/MAX(0.1,N(Parameter!$M$21)))</f>
        <v>0.0192307692307692</v>
      </c>
      <c r="AT1315" s="62" t="n">
        <f aca="false">AS1315*CC1315</f>
        <v>2.98076923076923</v>
      </c>
      <c r="AU1315" s="63" t="n">
        <f aca="false">IF(LEFT(Cockpit!$I$5,1)="A",H1315,IF(CI1315=1,(CL1315+CJ1315)/2,IF(LEFT(Cockpit!$I$5,1)="B",(CL1315+AW1315)/2,MAX((CL1315+AW1315)/2,H1315))))</f>
        <v>14.5</v>
      </c>
      <c r="AV1315" s="62" t="n">
        <f aca="false">AU1315*G1315</f>
        <v>2155.86</v>
      </c>
      <c r="AW1315" s="62" t="n">
        <f aca="false">ROUNDUP(CL1315+MAX(CM1315,2*(J1315/IF(CH1315&gt;0,CH1315,MAX(0.1,N(Cockpit!$I$6)))-CL1315)),0)</f>
        <v>27</v>
      </c>
      <c r="AX1315" s="63" t="n">
        <f aca="false">IF(AT1315&gt;0,J1315/AT1315,-1)</f>
        <v>11.0709677419355</v>
      </c>
      <c r="AY1315" s="63" t="n">
        <f aca="false">IF(AND(OR(CG1315="L1",CG1315="L23",CG1315="LIFT"),AT1315&gt;0),SUMIFS($AT$7:$AT$1843,$CG$7:$CG$1843,CG1315,$AX$7:$AX$1843,"&gt;"&amp;AX1315)+SUMIFS($AT$7:$AT$1843,$CG$7:$CG$1843,CG1315,$AX$7:$AX$1843,AX1315,$BX$7:$BX$1843,"&lt;="&amp;BX1315),"")</f>
        <v>3172.93772893773</v>
      </c>
      <c r="AZ1315" s="70" t="n">
        <f aca="false">IF(AY1315="",0,MAX(0,MIN(1,(IF(CG1315="L1",Parameter!$H$5,IF(CG1315="L23",Parameter!$H$6+Parameter!$H$7,Parameter!$H$5+Parameter!$H$6+Parameter!$H$7))-(AY1315-AT1315))/AT1315)))</f>
        <v>1</v>
      </c>
      <c r="BA1315" s="62" t="n">
        <f aca="false">IF(LEFT(Cockpit!$O$5,1)="A",H1315,IF(Parameter!$E$30="MAX-Bestand",IF(CI1315=1,CJ1315,IF(LEFT(Cockpit!$O$5,1)="B",BG1315,MAX(BG1315,H1315))),ROUNDUP(BE1315,0)))</f>
        <v>15</v>
      </c>
      <c r="BB1315" s="62" t="n">
        <f aca="false">IF(CA1315=1,0,ROUNDUP(BA1315/BZ1315,0))</f>
        <v>1</v>
      </c>
      <c r="BC1315" s="64" t="n">
        <f aca="false">IF(CR1315&gt;0,CR1315*MAX(1,BA1315/X1315),IF(CA1315=1,IF(BA1315&lt;=0,0,CE1315*MAX(1,IF(H1315&gt;0,BA1315/H1315,1))),IF(R1315&gt;0,BB1315/R1315,0))/MAX(0.1,N(Parameter!$M$21)))</f>
        <v>0.0192307692307692</v>
      </c>
      <c r="BD1315" s="62" t="n">
        <f aca="false">BC1315*CC1315</f>
        <v>2.98076923076923</v>
      </c>
      <c r="BE1315" s="63" t="n">
        <f aca="false">IF(LEFT(Cockpit!$O$5,1)="A",H1315,IF(CI1315=1,(CL1315+CJ1315)/2,IF(LEFT(Cockpit!$O$5,1)="B",(CL1315+BG1315)/2,MAX((CL1315+BG1315)/2,H1315))))</f>
        <v>14.5</v>
      </c>
      <c r="BF1315" s="62" t="n">
        <f aca="false">BE1315*G1315</f>
        <v>2155.86</v>
      </c>
      <c r="BG1315" s="62" t="n">
        <f aca="false">ROUNDUP(CL1315+MAX(CM1315,2*(J1315/IF(CH1315&gt;0,CH1315,MAX(0.1,N(Cockpit!$O$6)))-CL1315)),0)</f>
        <v>27</v>
      </c>
      <c r="BH1315" s="63" t="n">
        <f aca="false">IF(BD1315&gt;0,J1315/BD1315,-1)</f>
        <v>11.0709677419355</v>
      </c>
      <c r="BI1315" s="63" t="n">
        <f aca="false">IF(AND(OR(CG1315="L1",CG1315="L23",CG1315="LIFT"),BD1315&gt;0),SUMIFS($BD$7:$BD$1843,$CG$7:$CG$1843,CG1315,$BH$7:$BH$1843,"&gt;"&amp;BH1315)+SUMIFS($BD$7:$BD$1843,$CG$7:$CG$1843,CG1315,$BH$7:$BH$1843,BH1315,$BX$7:$BX$1843,"&lt;="&amp;BX1315),"")</f>
        <v>2664.00824175824</v>
      </c>
      <c r="BJ1315" s="70" t="n">
        <f aca="false">IF(BI1315="",0,MAX(0,MIN(1,(IF(CG1315="L1",Parameter!$H$5,IF(CG1315="L23",Parameter!$H$6+Parameter!$H$7,Parameter!$H$5+Parameter!$H$6+Parameter!$H$7))-(BI1315-BD1315))/BD1315)))</f>
        <v>1</v>
      </c>
      <c r="BK1315" s="60" t="str">
        <f aca="false">IF(AJ1315&lt;=0,"",IF(CG1315="Aussen","Aussenlager",IF(CG1315="-","Nicht im Lift",IF(AP1315&gt;=1,"Lift",IF(AP1315&lt;=0,"Aussenlager","teilweise")))))</f>
        <v>Lift</v>
      </c>
      <c r="BL1315" s="60" t="str">
        <f aca="false">IF(AT1315&lt;=0,"",IF(CG1315="Aussen","Aussenlager",IF(CG1315="-","Nicht im Lift",IF(AZ1315&gt;=1,"Lift",IF(AZ1315&lt;=0,"Aussenlager","teilweise")))))</f>
        <v>Lift</v>
      </c>
      <c r="BM1315" s="60" t="str">
        <f aca="false">IF(BD1315&lt;=0,"",IF(CG1315="Aussen","Aussenlager",IF(CG1315="-","Nicht im Lift",IF(BJ1315&gt;=1,"Lift",IF(BJ1315&lt;=0,"Aussenlager","teilweise")))))</f>
        <v>Lift</v>
      </c>
      <c r="BN1315" s="60" t="str">
        <f aca="false">IF(A1315="","",IF(BW1315=1,"Neu; ","")&amp;IF(AND(BW1315=0,BR1315&lt;0),"negativer Bestand (Export "&amp;BR1315&amp;"); ","")&amp;IF(J1315&lt;=0,"Kein Verbrauch; ","")&amp;IF(CR1315&gt;0,"Lift "&amp;W1315&amp;" lt. Liftbericht (Fach "&amp;X1315&amp;" Stk); ",IF(CB1315=1,"Gebinde geschätzt ("&amp;T1315&amp;"); ",IF(CA1315=1,"Lose – Tablare geschätzt; ","")))&amp;IF(H1315&gt;AW1315,"Überbestand "&amp;ROUND(H1315-AW1315,0)&amp;" Stk / CHF "&amp;ROUND((H1315-AW1315)*G1315,0)&amp;"; ","")&amp;IF(AND(CI1315=1,CJ1315&lt;CK1315),"MAX &lt; MB+LG; ","")&amp;IF(AND(CQ1315&gt;0,CP1315*10&gt;CQ1315),"zu hoch für Tablar; ","")&amp;IF(AND(BW1315=0,OR(CI1315=1,AB1315&lt;&gt;"",U1315&lt;&gt;"",V1315&lt;&gt;"",AC1315&lt;&gt;"")),"manuell übersteuert; ","")&amp;IF(AND(CA1315=0,R1315=0),"Gebinde unbekannt / Stellmass fehlt; ","")&amp;IF(AND(CA1315=0,N(V1315)&lt;=0,N(Q1315)&lt;=0),"Menge pro Gebinde fehlt (Ist = 1 Gebinde); ","")&amp;BV1315)</f>
        <v>negativer Bestand (Export -9); </v>
      </c>
      <c r="BO1315" s="60"/>
      <c r="BP1315" s="60"/>
      <c r="BQ1315" s="67"/>
      <c r="BR1315" s="62" t="n">
        <v>-9</v>
      </c>
      <c r="BS1315" s="62" t="n">
        <v>21</v>
      </c>
      <c r="BT1315" s="61" t="n">
        <v>-1335.06</v>
      </c>
      <c r="BU1315" s="62" t="n">
        <v>33</v>
      </c>
      <c r="BV1315" s="60"/>
      <c r="BW1315" s="65" t="n">
        <v>0</v>
      </c>
      <c r="BX1315" s="65" t="n">
        <v>1315</v>
      </c>
      <c r="BY1315" s="60" t="str">
        <f aca="false">IF(U1315&lt;&gt;"",UPPER(TRIM(U1315)),IF(CB1315=1,UPPER(VLOOKUP(T1315,Parameter!$I$27:$K$29,2,0)),IF(P1315="","LOSE",P1315)))</f>
        <v>S33</v>
      </c>
      <c r="BZ1315" s="62" t="n">
        <f aca="false">IF(BY1315="LOSE",1,IF(N(V1315)&gt;0,V1315,IF(CB1315=1,MAX(1,N(VLOOKUP(T1315,Parameter!$I$27:$K$29,3,0)),H1315,N(N1315)),IF(N(Q1315)&gt;0,Q1315,MAX(1,H1315)))))</f>
        <v>37</v>
      </c>
      <c r="CA1315" s="65" t="n">
        <f aca="false">IF(BY1315="LOSE",1,0)</f>
        <v>0</v>
      </c>
      <c r="CB1315" s="65" t="n">
        <f aca="false">IF(AND(U1315="",OR(P1315="",P1315="LOSE"),T1315&lt;&gt;"",N(S1315)&lt;=0,ISNUMBER(MATCH(T1315,Parameter!$I$27:$I$29,0))),1,0)</f>
        <v>0</v>
      </c>
      <c r="CC1315" s="65" t="n">
        <f aca="false">IF(CR1315&gt;0,INDEX(Parameter!$H$5:$H$7,W1315)/INDEX(Parameter!$E$5:$E$7,W1315),IF(AND(CA1315=0,N(IFERROR(VLOOKUP(BY1315,'Gebinde-Kategorie'!$A$5:$N$45,14,0),0))&gt;0),VLOOKUP(BY1315,'Gebinde-Kategorie'!$A$5:$N$45,14,0)*10+Parameter!$M$23,Parameter!$M$24))</f>
        <v>155</v>
      </c>
      <c r="CD1315" s="60" t="str">
        <f aca="false">IF(AND(Parameter!$B$19="Ja",E1315&lt;&gt;"",ISNUMBER(MATCH(E1315,Parameter!$I$35:$I$52,0))),VLOOKUP(E1315,Parameter!$I$35:$J$52,2,0),IFERROR(VLOOKUP(D1315,Parameter!$A$35:$C$64,2,0),"Nein"))</f>
        <v>2+3</v>
      </c>
      <c r="CE1315" s="64" t="n">
        <f aca="false">IF(CA1315=0,0,IF(N(S1315)&gt;0,S1315,IFERROR(VLOOKUP(D1315,Parameter!$A$35:$C$64,3,0)+0,0)))</f>
        <v>0</v>
      </c>
      <c r="CF1315" s="60" t="n">
        <f aca="false">IF(AB1315&lt;&gt;"",AB1315,AA1315)</f>
        <v>3</v>
      </c>
      <c r="CG1315" s="60" t="str">
        <f aca="false">IF(OR(CF1315=1,CF1315=2,CF1315=3),IF(Parameter!$E$27="Ja","LIFT",IF(CF1315=1,"L1","L23")),IF(CF1315="Aussen","Aussen","-"))</f>
        <v>LIFT</v>
      </c>
      <c r="CH1315" s="71" t="n">
        <f aca="false">IF(N(AC1315)&gt;0,AC1315,0)</f>
        <v>0</v>
      </c>
      <c r="CI1315" s="65" t="n">
        <f aca="false">IF(ISNUMBER(AF1315),1,0)</f>
        <v>0</v>
      </c>
      <c r="CJ1315" s="62" t="n">
        <f aca="false">N(AF1315)</f>
        <v>0</v>
      </c>
      <c r="CK1315" s="62" t="n">
        <f aca="false">N(M1315)+N(N1315)</f>
        <v>27</v>
      </c>
      <c r="CL1315" s="62" t="n">
        <f aca="false">N(M1315)</f>
        <v>2</v>
      </c>
      <c r="CM1315" s="62" t="n">
        <f aca="false">N(N1315)</f>
        <v>25</v>
      </c>
      <c r="CN1315" s="62" t="n">
        <f aca="false">ROUNDUP(H1315/BZ1315,0)</f>
        <v>1</v>
      </c>
      <c r="CO1315" s="62" t="n">
        <f aca="false">ROUNDUP(CJ1315/BZ1315,0)</f>
        <v>0</v>
      </c>
      <c r="CP1315" s="65" t="n">
        <f aca="false">IF(CA1315=1,0,IFERROR(VLOOKUP(BY1315,'Gebinde-Kategorie'!$A$5:$N$45,5,0)+0,0))</f>
        <v>8</v>
      </c>
      <c r="CQ1315" s="65" t="n">
        <f aca="false">IFERROR(IF(OR(CF1315=1,CF1315=2,CF1315=3),N(INDEX(Parameter!$I$5:$I$7,CF1315)),0),0)</f>
        <v>0</v>
      </c>
      <c r="CR1315" s="64" t="n">
        <f aca="false">IF(AND(Parameter!$B$21="Ja",ISNUMBER(W1315),N(X1315)&gt;0),IFERROR(N(INDEX(Parameter!$L$5:$L$7,W1315))*INDEX(Parameter!$E$5:$E$7,W1315)*X1315/SUMIFS($X$7:$X$1843,$W$7:$W$1843,W1315),0),0)</f>
        <v>0</v>
      </c>
      <c r="CS1315" s="62" t="n">
        <f aca="false">IF(AND(OR(CG1315="L1",CG1315="L23",CG1315="LIFT"),H1315&gt;0),CC1315*IF(CR1315&gt;0,CR1315*MAX(1,H1315/X1315),IF(CA1315=1,CE1315,IF(R1315&gt;0,CN1315/R1315,0))/MAX(0.1,N(Parameter!$M$21))),"")</f>
        <v>2.98076923076923</v>
      </c>
      <c r="CT1315" s="64" t="n">
        <f aca="false">IF(CS1315="","",J1315/H1315)</f>
        <v>2.75</v>
      </c>
      <c r="CU1315" s="62" t="n">
        <f aca="false">IF(CS1315="","",H1315*G1315)</f>
        <v>1784.16</v>
      </c>
      <c r="CV1315" s="63" t="n">
        <f aca="false">IF(CS1315="","",(CL1315+ROUNDUP(CL1315+MAX(CM1315,2*(J1315/MAX(0.1,N(Einkauf!$C$6))-CL1315)),0))/2)</f>
        <v>14.5</v>
      </c>
      <c r="CW1315" s="62" t="n">
        <f aca="false">IF(CS1315="","",MAX(0,H1315-CV1315)*G1315)</f>
        <v>0</v>
      </c>
      <c r="CX1315" s="62" t="n">
        <f aca="false">IF(CS1315="","",CS1315*MAX(0,1-CV1315/H1315))</f>
        <v>0</v>
      </c>
      <c r="CY1315" s="64" t="n">
        <f aca="false">IF(CS1315="","",PERCENTRANK($CS$7:$CS$1843,CS1315)+PERCENTRANK($CU$7:$CU$1843,CU1315)+1-PERCENTRANK($CT$7:$CT$1843,CT1315))</f>
        <v>1.083</v>
      </c>
      <c r="CZ1315" s="72" t="n">
        <f aca="false">IF(CS1315="","",CHOOSE(MATCH(Einkauf!$C$5,Parameter!$G$23:$G$27,0),CY1315,CS1315,CU1315,-CT1315,CW1315)+ROW()/1000000000)</f>
        <v>1.083001315</v>
      </c>
    </row>
    <row r="1316" customFormat="false" ht="15" hidden="false" customHeight="false" outlineLevel="0" collapsed="false">
      <c r="A1316" s="60" t="s">
        <v>2378</v>
      </c>
      <c r="B1316" s="60" t="s">
        <v>2379</v>
      </c>
      <c r="C1316" s="60" t="s">
        <v>206</v>
      </c>
      <c r="D1316" s="60" t="s">
        <v>226</v>
      </c>
      <c r="E1316" s="60" t="s">
        <v>227</v>
      </c>
      <c r="F1316" s="60" t="s">
        <v>260</v>
      </c>
      <c r="G1316" s="61" t="n">
        <v>31.25</v>
      </c>
      <c r="H1316" s="62" t="n">
        <f aca="false">MAX(0,IF(AND(Parameter!$B$21="Ja",ISNUMBER(Y1316)),Y1316,IF(Parameter!$B$20="Jahresanfang 2025 + Export",BS1316+BR1316,BR1316)))</f>
        <v>25</v>
      </c>
      <c r="I1316" s="62" t="n">
        <f aca="false">H1316*G1316</f>
        <v>781.25</v>
      </c>
      <c r="J1316" s="62" t="n">
        <f aca="false">BU1316*Parameter!$B$18</f>
        <v>29</v>
      </c>
      <c r="K1316" s="63" t="n">
        <v>17</v>
      </c>
      <c r="L1316" s="64" t="n">
        <v>1.70588235294118</v>
      </c>
      <c r="M1316" s="62" t="n">
        <v>1</v>
      </c>
      <c r="N1316" s="62" t="n">
        <v>30</v>
      </c>
      <c r="O1316" s="65" t="n">
        <v>14</v>
      </c>
      <c r="P1316" s="60" t="s">
        <v>268</v>
      </c>
      <c r="Q1316" s="62" t="n">
        <v>39</v>
      </c>
      <c r="R1316" s="65" t="n">
        <f aca="false">IF(CA1316=1,0,IFERROR(VLOOKUP(BY1316,'Gebinde-Kategorie'!$A$5:$N$45,13,0)+0,0))</f>
        <v>12</v>
      </c>
      <c r="S1316" s="66"/>
      <c r="T1316" s="67"/>
      <c r="U1316" s="67"/>
      <c r="V1316" s="67"/>
      <c r="W1316" s="60"/>
      <c r="X1316" s="62"/>
      <c r="Y1316" s="62"/>
      <c r="Z1316" s="60" t="n">
        <v>3</v>
      </c>
      <c r="AA1316" s="60" t="n">
        <f aca="false">IF(A1316="","",IF(AND(Parameter!$B$21="Ja",ISNUMBER(W1316)),W1316,IF(AND(Parameter!$E$27="Ja",ISNUMBER(Z1316),CD1316&lt;&gt;"Nein"),Z1316,IF(CD1316="2+3",IF(ISNUMBER(SEARCH("grosser Artikel",BV1316)),2,IFERROR(VLOOKUP(BY1316,Parameter!$F$35:$G$64,2,0),2)),IF(OR(CD1316="Nein",CD1316=""),"-",CD1316)))))</f>
        <v>3</v>
      </c>
      <c r="AB1316" s="67"/>
      <c r="AC1316" s="68"/>
      <c r="AD1316" s="62" t="n">
        <f aca="false">AW1316</f>
        <v>31</v>
      </c>
      <c r="AE1316" s="62" t="n">
        <f aca="false">MAX(AW1316,H1316)</f>
        <v>31</v>
      </c>
      <c r="AF1316" s="69"/>
      <c r="AG1316" s="62" t="n">
        <f aca="false">IF(LEFT(Cockpit!$C$5,1)="A",H1316,IF(Parameter!$E$30="MAX-Bestand",IF(CI1316=1,CJ1316,IF(LEFT(Cockpit!$C$5,1)="B",AM1316,MAX(AM1316,H1316))),ROUNDUP(AK1316,0)))</f>
        <v>25</v>
      </c>
      <c r="AH1316" s="62" t="n">
        <f aca="false">IF(CA1316=1,0,ROUNDUP(AG1316/BZ1316,0))</f>
        <v>1</v>
      </c>
      <c r="AI1316" s="64" t="n">
        <f aca="false">IF(CR1316&gt;0,CR1316*MAX(1,AG1316/X1316),IF(CA1316=1,IF(AG1316&lt;=0,0,CE1316*MAX(1,IF(H1316&gt;0,AG1316/H1316,1))),IF(R1316&gt;0,AH1316/R1316,0))/MAX(0.1,N(Parameter!$M$21)))</f>
        <v>0.0833333333333333</v>
      </c>
      <c r="AJ1316" s="62" t="n">
        <f aca="false">AI1316*CC1316</f>
        <v>28.75</v>
      </c>
      <c r="AK1316" s="63" t="n">
        <f aca="false">IF(LEFT(Cockpit!$C$5,1)="A",H1316,IF(CI1316=1,(CL1316+CJ1316)/2,IF(LEFT(Cockpit!$C$5,1)="B",(CL1316+AM1316)/2,MAX((CL1316+AM1316)/2,H1316))))</f>
        <v>25</v>
      </c>
      <c r="AL1316" s="62" t="n">
        <f aca="false">AK1316*G1316</f>
        <v>781.25</v>
      </c>
      <c r="AM1316" s="62" t="n">
        <f aca="false">ROUNDUP(CL1316+MAX(CM1316,2*(J1316/IF(CH1316&gt;0,CH1316,MAX(0.1,N(Cockpit!$C$6)))-CL1316)),0)</f>
        <v>31</v>
      </c>
      <c r="AN1316" s="63" t="n">
        <f aca="false">IF(AJ1316&gt;0,J1316/AJ1316,-1)</f>
        <v>1.00869565217391</v>
      </c>
      <c r="AO1316" s="63" t="n">
        <f aca="false">IF(AND(OR(CG1316="L1",CG1316="L23",CG1316="LIFT"),AJ1316&gt;0),SUMIFS($AJ$7:$AJ$1843,$CG$7:$CG$1843,CG1316,$AN$7:$AN$1843,"&gt;"&amp;AN1316)+SUMIFS($AJ$7:$AJ$1843,$CG$7:$CG$1843,CG1316,$AN$7:$AN$1843,AN1316,$BX$7:$BX$1843,"&lt;="&amp;BX1316),"")</f>
        <v>7017.6543040293</v>
      </c>
      <c r="AP1316" s="70" t="n">
        <f aca="false">IF(AO1316="",0,MAX(0,MIN(1,(IF(CG1316="L1",Parameter!$H$5,IF(CG1316="L23",Parameter!$H$6+Parameter!$H$7,Parameter!$H$5+Parameter!$H$6+Parameter!$H$7))-(AO1316-AJ1316))/AJ1316)))</f>
        <v>1</v>
      </c>
      <c r="AQ1316" s="62" t="n">
        <f aca="false">IF(LEFT(Cockpit!$I$5,1)="A",H1316,IF(Parameter!$E$30="MAX-Bestand",IF(CI1316=1,CJ1316,IF(LEFT(Cockpit!$I$5,1)="B",AW1316,MAX(AW1316,H1316))),ROUNDUP(AU1316,0)))</f>
        <v>25</v>
      </c>
      <c r="AR1316" s="62" t="n">
        <f aca="false">IF(CA1316=1,0,ROUNDUP(AQ1316/BZ1316,0))</f>
        <v>1</v>
      </c>
      <c r="AS1316" s="64" t="n">
        <f aca="false">IF(CR1316&gt;0,CR1316*MAX(1,AQ1316/X1316),IF(CA1316=1,IF(AQ1316&lt;=0,0,CE1316*MAX(1,IF(H1316&gt;0,AQ1316/H1316,1))),IF(R1316&gt;0,AR1316/R1316,0))/MAX(0.1,N(Parameter!$M$21)))</f>
        <v>0.0833333333333333</v>
      </c>
      <c r="AT1316" s="62" t="n">
        <f aca="false">AS1316*CC1316</f>
        <v>28.75</v>
      </c>
      <c r="AU1316" s="63" t="n">
        <f aca="false">IF(LEFT(Cockpit!$I$5,1)="A",H1316,IF(CI1316=1,(CL1316+CJ1316)/2,IF(LEFT(Cockpit!$I$5,1)="B",(CL1316+AW1316)/2,MAX((CL1316+AW1316)/2,H1316))))</f>
        <v>25</v>
      </c>
      <c r="AV1316" s="62" t="n">
        <f aca="false">AU1316*G1316</f>
        <v>781.25</v>
      </c>
      <c r="AW1316" s="62" t="n">
        <f aca="false">ROUNDUP(CL1316+MAX(CM1316,2*(J1316/IF(CH1316&gt;0,CH1316,MAX(0.1,N(Cockpit!$I$6)))-CL1316)),0)</f>
        <v>31</v>
      </c>
      <c r="AX1316" s="63" t="n">
        <f aca="false">IF(AT1316&gt;0,J1316/AT1316,-1)</f>
        <v>1.00869565217391</v>
      </c>
      <c r="AY1316" s="63" t="n">
        <f aca="false">IF(AND(OR(CG1316="L1",CG1316="L23",CG1316="LIFT"),AT1316&gt;0),SUMIFS($AT$7:$AT$1843,$CG$7:$CG$1843,CG1316,$AX$7:$AX$1843,"&gt;"&amp;AX1316)+SUMIFS($AT$7:$AT$1843,$CG$7:$CG$1843,CG1316,$AX$7:$AX$1843,AX1316,$BX$7:$BX$1843,"&lt;="&amp;BX1316),"")</f>
        <v>8392.31868131868</v>
      </c>
      <c r="AZ1316" s="70" t="n">
        <f aca="false">IF(AY1316="",0,MAX(0,MIN(1,(IF(CG1316="L1",Parameter!$H$5,IF(CG1316="L23",Parameter!$H$6+Parameter!$H$7,Parameter!$H$5+Parameter!$H$6+Parameter!$H$7))-(AY1316-AT1316))/AT1316)))</f>
        <v>1</v>
      </c>
      <c r="BA1316" s="62" t="n">
        <f aca="false">IF(LEFT(Cockpit!$O$5,1)="A",H1316,IF(Parameter!$E$30="MAX-Bestand",IF(CI1316=1,CJ1316,IF(LEFT(Cockpit!$O$5,1)="B",BG1316,MAX(BG1316,H1316))),ROUNDUP(BE1316,0)))</f>
        <v>16</v>
      </c>
      <c r="BB1316" s="62" t="n">
        <f aca="false">IF(CA1316=1,0,ROUNDUP(BA1316/BZ1316,0))</f>
        <v>1</v>
      </c>
      <c r="BC1316" s="64" t="n">
        <f aca="false">IF(CR1316&gt;0,CR1316*MAX(1,BA1316/X1316),IF(CA1316=1,IF(BA1316&lt;=0,0,CE1316*MAX(1,IF(H1316&gt;0,BA1316/H1316,1))),IF(R1316&gt;0,BB1316/R1316,0))/MAX(0.1,N(Parameter!$M$21)))</f>
        <v>0.0833333333333333</v>
      </c>
      <c r="BD1316" s="62" t="n">
        <f aca="false">BC1316*CC1316</f>
        <v>28.75</v>
      </c>
      <c r="BE1316" s="63" t="n">
        <f aca="false">IF(LEFT(Cockpit!$O$5,1)="A",H1316,IF(CI1316=1,(CL1316+CJ1316)/2,IF(LEFT(Cockpit!$O$5,1)="B",(CL1316+BG1316)/2,MAX((CL1316+BG1316)/2,H1316))))</f>
        <v>16</v>
      </c>
      <c r="BF1316" s="62" t="n">
        <f aca="false">BE1316*G1316</f>
        <v>500</v>
      </c>
      <c r="BG1316" s="62" t="n">
        <f aca="false">ROUNDUP(CL1316+MAX(CM1316,2*(J1316/IF(CH1316&gt;0,CH1316,MAX(0.1,N(Cockpit!$O$6)))-CL1316)),0)</f>
        <v>31</v>
      </c>
      <c r="BH1316" s="63" t="n">
        <f aca="false">IF(BD1316&gt;0,J1316/BD1316,-1)</f>
        <v>1.00869565217391</v>
      </c>
      <c r="BI1316" s="63" t="n">
        <f aca="false">IF(AND(OR(CG1316="L1",CG1316="L23",CG1316="LIFT"),BD1316&gt;0),SUMIFS($BD$7:$BD$1843,$CG$7:$CG$1843,CG1316,$BH$7:$BH$1843,"&gt;"&amp;BH1316)+SUMIFS($BD$7:$BD$1843,$CG$7:$CG$1843,CG1316,$BH$7:$BH$1843,BH1316,$BX$7:$BX$1843,"&lt;="&amp;BX1316),"")</f>
        <v>7636.39331501832</v>
      </c>
      <c r="BJ1316" s="70" t="n">
        <f aca="false">IF(BI1316="",0,MAX(0,MIN(1,(IF(CG1316="L1",Parameter!$H$5,IF(CG1316="L23",Parameter!$H$6+Parameter!$H$7,Parameter!$H$5+Parameter!$H$6+Parameter!$H$7))-(BI1316-BD1316))/BD1316)))</f>
        <v>1</v>
      </c>
      <c r="BK1316" s="60" t="str">
        <f aca="false">IF(AJ1316&lt;=0,"",IF(CG1316="Aussen","Aussenlager",IF(CG1316="-","Nicht im Lift",IF(AP1316&gt;=1,"Lift",IF(AP1316&lt;=0,"Aussenlager","teilweise")))))</f>
        <v>Lift</v>
      </c>
      <c r="BL1316" s="60" t="str">
        <f aca="false">IF(AT1316&lt;=0,"",IF(CG1316="Aussen","Aussenlager",IF(CG1316="-","Nicht im Lift",IF(AZ1316&gt;=1,"Lift",IF(AZ1316&lt;=0,"Aussenlager","teilweise")))))</f>
        <v>Lift</v>
      </c>
      <c r="BM1316" s="60" t="str">
        <f aca="false">IF(BD1316&lt;=0,"",IF(CG1316="Aussen","Aussenlager",IF(CG1316="-","Nicht im Lift",IF(BJ1316&gt;=1,"Lift",IF(BJ1316&lt;=0,"Aussenlager","teilweise")))))</f>
        <v>Lift</v>
      </c>
      <c r="BN1316" s="60" t="str">
        <f aca="false">IF(A1316="","",IF(BW1316=1,"Neu; ","")&amp;IF(AND(BW1316=0,BR1316&lt;0),"negativer Bestand (Export "&amp;BR1316&amp;"); ","")&amp;IF(J1316&lt;=0,"Kein Verbrauch; ","")&amp;IF(CR1316&gt;0,"Lift "&amp;W1316&amp;" lt. Liftbericht (Fach "&amp;X1316&amp;" Stk); ",IF(CB1316=1,"Gebinde geschätzt ("&amp;T1316&amp;"); ",IF(CA1316=1,"Lose – Tablare geschätzt; ","")))&amp;IF(H1316&gt;AW1316,"Überbestand "&amp;ROUND(H1316-AW1316,0)&amp;" Stk / CHF "&amp;ROUND((H1316-AW1316)*G1316,0)&amp;"; ","")&amp;IF(AND(CI1316=1,CJ1316&lt;CK1316),"MAX &lt; MB+LG; ","")&amp;IF(AND(CQ1316&gt;0,CP1316*10&gt;CQ1316),"zu hoch für Tablar; ","")&amp;IF(AND(BW1316=0,OR(CI1316=1,AB1316&lt;&gt;"",U1316&lt;&gt;"",V1316&lt;&gt;"",AC1316&lt;&gt;"")),"manuell übersteuert; ","")&amp;IF(AND(CA1316=0,R1316=0),"Gebinde unbekannt / Stellmass fehlt; ","")&amp;IF(AND(CA1316=0,N(V1316)&lt;=0,N(Q1316)&lt;=0),"Menge pro Gebinde fehlt (Ist = 1 Gebinde); ","")&amp;BV1316)</f>
        <v/>
      </c>
      <c r="BO1316" s="60"/>
      <c r="BP1316" s="60"/>
      <c r="BQ1316" s="67"/>
      <c r="BR1316" s="62" t="n">
        <v>6</v>
      </c>
      <c r="BS1316" s="62" t="n">
        <v>19</v>
      </c>
      <c r="BT1316" s="61" t="n">
        <v>-1346.56</v>
      </c>
      <c r="BU1316" s="62" t="n">
        <v>29</v>
      </c>
      <c r="BV1316" s="60"/>
      <c r="BW1316" s="65" t="n">
        <v>0</v>
      </c>
      <c r="BX1316" s="65" t="n">
        <v>1316</v>
      </c>
      <c r="BY1316" s="60" t="str">
        <f aca="false">IF(U1316&lt;&gt;"",UPPER(TRIM(U1316)),IF(CB1316=1,UPPER(VLOOKUP(T1316,Parameter!$I$27:$K$29,2,0)),IF(P1316="","LOSE",P1316)))</f>
        <v>S63</v>
      </c>
      <c r="BZ1316" s="62" t="n">
        <f aca="false">IF(BY1316="LOSE",1,IF(N(V1316)&gt;0,V1316,IF(CB1316=1,MAX(1,N(VLOOKUP(T1316,Parameter!$I$27:$K$29,3,0)),H1316,N(N1316)),IF(N(Q1316)&gt;0,Q1316,MAX(1,H1316)))))</f>
        <v>39</v>
      </c>
      <c r="CA1316" s="65" t="n">
        <f aca="false">IF(BY1316="LOSE",1,0)</f>
        <v>0</v>
      </c>
      <c r="CB1316" s="65" t="n">
        <f aca="false">IF(AND(U1316="",OR(P1316="",P1316="LOSE"),T1316&lt;&gt;"",N(S1316)&lt;=0,ISNUMBER(MATCH(T1316,Parameter!$I$27:$I$29,0))),1,0)</f>
        <v>0</v>
      </c>
      <c r="CC1316" s="65" t="n">
        <f aca="false">IF(CR1316&gt;0,INDEX(Parameter!$H$5:$H$7,W1316)/INDEX(Parameter!$E$5:$E$7,W1316),IF(AND(CA1316=0,N(IFERROR(VLOOKUP(BY1316,'Gebinde-Kategorie'!$A$5:$N$45,14,0),0))&gt;0),VLOOKUP(BY1316,'Gebinde-Kategorie'!$A$5:$N$45,14,0)*10+Parameter!$M$23,Parameter!$M$24))</f>
        <v>345</v>
      </c>
      <c r="CD1316" s="60" t="str">
        <f aca="false">IF(AND(Parameter!$B$19="Ja",E1316&lt;&gt;"",ISNUMBER(MATCH(E1316,Parameter!$I$35:$I$52,0))),VLOOKUP(E1316,Parameter!$I$35:$J$52,2,0),IFERROR(VLOOKUP(D1316,Parameter!$A$35:$C$64,2,0),"Nein"))</f>
        <v>2+3</v>
      </c>
      <c r="CE1316" s="64" t="n">
        <f aca="false">IF(CA1316=0,0,IF(N(S1316)&gt;0,S1316,IFERROR(VLOOKUP(D1316,Parameter!$A$35:$C$64,3,0)+0,0)))</f>
        <v>0</v>
      </c>
      <c r="CF1316" s="60" t="n">
        <f aca="false">IF(AB1316&lt;&gt;"",AB1316,AA1316)</f>
        <v>3</v>
      </c>
      <c r="CG1316" s="60" t="str">
        <f aca="false">IF(OR(CF1316=1,CF1316=2,CF1316=3),IF(Parameter!$E$27="Ja","LIFT",IF(CF1316=1,"L1","L23")),IF(CF1316="Aussen","Aussen","-"))</f>
        <v>LIFT</v>
      </c>
      <c r="CH1316" s="71" t="n">
        <f aca="false">IF(N(AC1316)&gt;0,AC1316,0)</f>
        <v>0</v>
      </c>
      <c r="CI1316" s="65" t="n">
        <f aca="false">IF(ISNUMBER(AF1316),1,0)</f>
        <v>0</v>
      </c>
      <c r="CJ1316" s="62" t="n">
        <f aca="false">N(AF1316)</f>
        <v>0</v>
      </c>
      <c r="CK1316" s="62" t="n">
        <f aca="false">N(M1316)+N(N1316)</f>
        <v>31</v>
      </c>
      <c r="CL1316" s="62" t="n">
        <f aca="false">N(M1316)</f>
        <v>1</v>
      </c>
      <c r="CM1316" s="62" t="n">
        <f aca="false">N(N1316)</f>
        <v>30</v>
      </c>
      <c r="CN1316" s="62" t="n">
        <f aca="false">ROUNDUP(H1316/BZ1316,0)</f>
        <v>1</v>
      </c>
      <c r="CO1316" s="62" t="n">
        <f aca="false">ROUNDUP(CJ1316/BZ1316,0)</f>
        <v>0</v>
      </c>
      <c r="CP1316" s="65" t="n">
        <f aca="false">IF(CA1316=1,0,IFERROR(VLOOKUP(BY1316,'Gebinde-Kategorie'!$A$5:$N$45,5,0)+0,0))</f>
        <v>31</v>
      </c>
      <c r="CQ1316" s="65" t="n">
        <f aca="false">IFERROR(IF(OR(CF1316=1,CF1316=2,CF1316=3),N(INDEX(Parameter!$I$5:$I$7,CF1316)),0),0)</f>
        <v>0</v>
      </c>
      <c r="CR1316" s="64" t="n">
        <f aca="false">IF(AND(Parameter!$B$21="Ja",ISNUMBER(W1316),N(X1316)&gt;0),IFERROR(N(INDEX(Parameter!$L$5:$L$7,W1316))*INDEX(Parameter!$E$5:$E$7,W1316)*X1316/SUMIFS($X$7:$X$1843,$W$7:$W$1843,W1316),0),0)</f>
        <v>0</v>
      </c>
      <c r="CS1316" s="62" t="n">
        <f aca="false">IF(AND(OR(CG1316="L1",CG1316="L23",CG1316="LIFT"),H1316&gt;0),CC1316*IF(CR1316&gt;0,CR1316*MAX(1,H1316/X1316),IF(CA1316=1,CE1316,IF(R1316&gt;0,CN1316/R1316,0))/MAX(0.1,N(Parameter!$M$21))),"")</f>
        <v>28.75</v>
      </c>
      <c r="CT1316" s="64" t="n">
        <f aca="false">IF(CS1316="","",J1316/H1316)</f>
        <v>1.16</v>
      </c>
      <c r="CU1316" s="62" t="n">
        <f aca="false">IF(CS1316="","",H1316*G1316)</f>
        <v>781.25</v>
      </c>
      <c r="CV1316" s="63" t="n">
        <f aca="false">IF(CS1316="","",(CL1316+ROUNDUP(CL1316+MAX(CM1316,2*(J1316/MAX(0.1,N(Einkauf!$C$6))-CL1316)),0))/2)</f>
        <v>16</v>
      </c>
      <c r="CW1316" s="62" t="n">
        <f aca="false">IF(CS1316="","",MAX(0,H1316-CV1316)*G1316)</f>
        <v>281.25</v>
      </c>
      <c r="CX1316" s="62" t="n">
        <f aca="false">IF(CS1316="","",CS1316*MAX(0,1-CV1316/H1316))</f>
        <v>10.35</v>
      </c>
      <c r="CY1316" s="64" t="n">
        <f aca="false">IF(CS1316="","",PERCENTRANK($CS$7:$CS$1843,CS1316)+PERCENTRANK($CU$7:$CU$1843,CU1316)+1-PERCENTRANK($CT$7:$CT$1843,CT1316))</f>
        <v>1.716</v>
      </c>
      <c r="CZ1316" s="72" t="n">
        <f aca="false">IF(CS1316="","",CHOOSE(MATCH(Einkauf!$C$5,Parameter!$G$23:$G$27,0),CY1316,CS1316,CU1316,-CT1316,CW1316)+ROW()/1000000000)</f>
        <v>1.716001316</v>
      </c>
    </row>
    <row r="1317" customFormat="false" ht="15" hidden="false" customHeight="false" outlineLevel="0" collapsed="false">
      <c r="A1317" s="60" t="s">
        <v>2380</v>
      </c>
      <c r="B1317" s="60" t="s">
        <v>295</v>
      </c>
      <c r="C1317" s="60" t="s">
        <v>209</v>
      </c>
      <c r="D1317" s="60" t="s">
        <v>215</v>
      </c>
      <c r="E1317" s="60"/>
      <c r="F1317" s="60" t="s">
        <v>260</v>
      </c>
      <c r="G1317" s="61" t="n">
        <v>1415.42</v>
      </c>
      <c r="H1317" s="62" t="n">
        <f aca="false">MAX(0,IF(AND(Parameter!$B$21="Ja",ISNUMBER(Y1317)),Y1317,IF(Parameter!$B$20="Jahresanfang 2025 + Export",BS1317+BR1317,BR1317)))</f>
        <v>1</v>
      </c>
      <c r="I1317" s="62" t="n">
        <f aca="false">H1317*G1317</f>
        <v>1415.42</v>
      </c>
      <c r="J1317" s="62" t="n">
        <f aca="false">BU1317*Parameter!$B$18</f>
        <v>12</v>
      </c>
      <c r="K1317" s="63" t="n">
        <v>1.5</v>
      </c>
      <c r="L1317" s="64" t="n">
        <v>8</v>
      </c>
      <c r="M1317" s="62" t="n">
        <v>0</v>
      </c>
      <c r="N1317" s="62" t="n">
        <v>5</v>
      </c>
      <c r="O1317" s="65" t="n">
        <v>70</v>
      </c>
      <c r="P1317" s="60" t="s">
        <v>210</v>
      </c>
      <c r="Q1317" s="62"/>
      <c r="R1317" s="65" t="n">
        <f aca="false">IF(CA1317=1,0,IFERROR(VLOOKUP(BY1317,'Gebinde-Kategorie'!$A$5:$N$45,13,0)+0,0))</f>
        <v>0</v>
      </c>
      <c r="S1317" s="66"/>
      <c r="T1317" s="67"/>
      <c r="U1317" s="67"/>
      <c r="V1317" s="67"/>
      <c r="W1317" s="60" t="n">
        <v>1</v>
      </c>
      <c r="X1317" s="62" t="n">
        <v>1</v>
      </c>
      <c r="Y1317" s="62" t="n">
        <v>1</v>
      </c>
      <c r="Z1317" s="60" t="n">
        <v>1</v>
      </c>
      <c r="AA1317" s="60" t="n">
        <f aca="false">IF(A1317="","",IF(AND(Parameter!$B$21="Ja",ISNUMBER(W1317)),W1317,IF(AND(Parameter!$E$27="Ja",ISNUMBER(Z1317),CD1317&lt;&gt;"Nein"),Z1317,IF(CD1317="2+3",IF(ISNUMBER(SEARCH("grosser Artikel",BV1317)),2,IFERROR(VLOOKUP(BY1317,Parameter!$F$35:$G$64,2,0),2)),IF(OR(CD1317="Nein",CD1317=""),"-",CD1317)))))</f>
        <v>1</v>
      </c>
      <c r="AB1317" s="67"/>
      <c r="AC1317" s="68"/>
      <c r="AD1317" s="62" t="n">
        <f aca="false">AW1317</f>
        <v>8</v>
      </c>
      <c r="AE1317" s="62" t="n">
        <f aca="false">MAX(AW1317,H1317)</f>
        <v>8</v>
      </c>
      <c r="AF1317" s="69"/>
      <c r="AG1317" s="62" t="n">
        <f aca="false">IF(LEFT(Cockpit!$C$5,1)="A",H1317,IF(Parameter!$E$30="MAX-Bestand",IF(CI1317=1,CJ1317,IF(LEFT(Cockpit!$C$5,1)="B",AM1317,MAX(AM1317,H1317))),ROUNDUP(AK1317,0)))</f>
        <v>1</v>
      </c>
      <c r="AH1317" s="62" t="n">
        <f aca="false">IF(CA1317=1,0,ROUNDUP(AG1317/BZ1317,0))</f>
        <v>0</v>
      </c>
      <c r="AI1317" s="64" t="n">
        <f aca="false">IF(CR1317&gt;0,CR1317*MAX(1,AG1317/X1317),IF(CA1317=1,IF(AG1317&lt;=0,0,CE1317*MAX(1,IF(H1317&gt;0,AG1317/H1317,1))),IF(R1317&gt;0,AH1317/R1317,0))/MAX(0.1,N(Parameter!$M$21)))</f>
        <v>0.0800376647834275</v>
      </c>
      <c r="AJ1317" s="62" t="n">
        <f aca="false">AI1317*CC1317</f>
        <v>19.0489642184557</v>
      </c>
      <c r="AK1317" s="63" t="n">
        <f aca="false">IF(LEFT(Cockpit!$C$5,1)="A",H1317,IF(CI1317=1,(CL1317+CJ1317)/2,IF(LEFT(Cockpit!$C$5,1)="B",(CL1317+AM1317)/2,MAX((CL1317+AM1317)/2,H1317))))</f>
        <v>1</v>
      </c>
      <c r="AL1317" s="62" t="n">
        <f aca="false">AK1317*G1317</f>
        <v>1415.42</v>
      </c>
      <c r="AM1317" s="62" t="n">
        <f aca="false">ROUNDUP(CL1317+MAX(CM1317,2*(J1317/IF(CH1317&gt;0,CH1317,MAX(0.1,N(Cockpit!$C$6)))-CL1317)),0)</f>
        <v>8</v>
      </c>
      <c r="AN1317" s="63" t="n">
        <f aca="false">IF(AJ1317&gt;0,J1317/AJ1317,-1)</f>
        <v>0.629955511616411</v>
      </c>
      <c r="AO1317" s="63" t="n">
        <f aca="false">IF(AND(OR(CG1317="L1",CG1317="L23",CG1317="LIFT"),AJ1317&gt;0),SUMIFS($AJ$7:$AJ$1843,$CG$7:$CG$1843,CG1317,$AN$7:$AN$1843,"&gt;"&amp;AN1317)+SUMIFS($AJ$7:$AJ$1843,$CG$7:$CG$1843,CG1317,$AN$7:$AN$1843,AN1317,$BX$7:$BX$1843,"&lt;="&amp;BX1317),"")</f>
        <v>8877.86947703897</v>
      </c>
      <c r="AP1317" s="70" t="n">
        <f aca="false">IF(AO1317="",0,MAX(0,MIN(1,(IF(CG1317="L1",Parameter!$H$5,IF(CG1317="L23",Parameter!$H$6+Parameter!$H$7,Parameter!$H$5+Parameter!$H$6+Parameter!$H$7))-(AO1317-AJ1317))/AJ1317)))</f>
        <v>1</v>
      </c>
      <c r="AQ1317" s="62" t="n">
        <f aca="false">IF(LEFT(Cockpit!$I$5,1)="A",H1317,IF(Parameter!$E$30="MAX-Bestand",IF(CI1317=1,CJ1317,IF(LEFT(Cockpit!$I$5,1)="B",AW1317,MAX(AW1317,H1317))),ROUNDUP(AU1317,0)))</f>
        <v>4</v>
      </c>
      <c r="AR1317" s="62" t="n">
        <f aca="false">IF(CA1317=1,0,ROUNDUP(AQ1317/BZ1317,0))</f>
        <v>0</v>
      </c>
      <c r="AS1317" s="64" t="n">
        <f aca="false">IF(CR1317&gt;0,CR1317*MAX(1,AQ1317/X1317),IF(CA1317=1,IF(AQ1317&lt;=0,0,CE1317*MAX(1,IF(H1317&gt;0,AQ1317/H1317,1))),IF(R1317&gt;0,AR1317/R1317,0))/MAX(0.1,N(Parameter!$M$21)))</f>
        <v>0.32015065913371</v>
      </c>
      <c r="AT1317" s="62" t="n">
        <f aca="false">AS1317*CC1317</f>
        <v>76.195856873823</v>
      </c>
      <c r="AU1317" s="63" t="n">
        <f aca="false">IF(LEFT(Cockpit!$I$5,1)="A",H1317,IF(CI1317=1,(CL1317+CJ1317)/2,IF(LEFT(Cockpit!$I$5,1)="B",(CL1317+AW1317)/2,MAX((CL1317+AW1317)/2,H1317))))</f>
        <v>4</v>
      </c>
      <c r="AV1317" s="62" t="n">
        <f aca="false">AU1317*G1317</f>
        <v>5661.68</v>
      </c>
      <c r="AW1317" s="62" t="n">
        <f aca="false">ROUNDUP(CL1317+MAX(CM1317,2*(J1317/IF(CH1317&gt;0,CH1317,MAX(0.1,N(Cockpit!$I$6)))-CL1317)),0)</f>
        <v>8</v>
      </c>
      <c r="AX1317" s="63" t="n">
        <f aca="false">IF(AT1317&gt;0,J1317/AT1317,-1)</f>
        <v>0.157488877904103</v>
      </c>
      <c r="AY1317" s="63" t="n">
        <f aca="false">IF(AND(OR(CG1317="L1",CG1317="L23",CG1317="LIFT"),AT1317&gt;0),SUMIFS($AT$7:$AT$1843,$CG$7:$CG$1843,CG1317,$AX$7:$AX$1843,"&gt;"&amp;AX1317)+SUMIFS($AT$7:$AT$1843,$CG$7:$CG$1843,CG1317,$AX$7:$AX$1843,AX1317,$BX$7:$BX$1843,"&lt;="&amp;BX1317),"")</f>
        <v>16051.5333110863</v>
      </c>
      <c r="AZ1317" s="70" t="n">
        <f aca="false">IF(AY1317="",0,MAX(0,MIN(1,(IF(CG1317="L1",Parameter!$H$5,IF(CG1317="L23",Parameter!$H$6+Parameter!$H$7,Parameter!$H$5+Parameter!$H$6+Parameter!$H$7))-(AY1317-AT1317))/AT1317)))</f>
        <v>1</v>
      </c>
      <c r="BA1317" s="62" t="n">
        <f aca="false">IF(LEFT(Cockpit!$O$5,1)="A",H1317,IF(Parameter!$E$30="MAX-Bestand",IF(CI1317=1,CJ1317,IF(LEFT(Cockpit!$O$5,1)="B",BG1317,MAX(BG1317,H1317))),ROUNDUP(BE1317,0)))</f>
        <v>3</v>
      </c>
      <c r="BB1317" s="62" t="n">
        <f aca="false">IF(CA1317=1,0,ROUNDUP(BA1317/BZ1317,0))</f>
        <v>0</v>
      </c>
      <c r="BC1317" s="64" t="n">
        <f aca="false">IF(CR1317&gt;0,CR1317*MAX(1,BA1317/X1317),IF(CA1317=1,IF(BA1317&lt;=0,0,CE1317*MAX(1,IF(H1317&gt;0,BA1317/H1317,1))),IF(R1317&gt;0,BB1317/R1317,0))/MAX(0.1,N(Parameter!$M$21)))</f>
        <v>0.240112994350283</v>
      </c>
      <c r="BD1317" s="62" t="n">
        <f aca="false">BC1317*CC1317</f>
        <v>57.1468926553672</v>
      </c>
      <c r="BE1317" s="63" t="n">
        <f aca="false">IF(LEFT(Cockpit!$O$5,1)="A",H1317,IF(CI1317=1,(CL1317+CJ1317)/2,IF(LEFT(Cockpit!$O$5,1)="B",(CL1317+BG1317)/2,MAX((CL1317+BG1317)/2,H1317))))</f>
        <v>3</v>
      </c>
      <c r="BF1317" s="62" t="n">
        <f aca="false">BE1317*G1317</f>
        <v>4246.26</v>
      </c>
      <c r="BG1317" s="62" t="n">
        <f aca="false">ROUNDUP(CL1317+MAX(CM1317,2*(J1317/IF(CH1317&gt;0,CH1317,MAX(0.1,N(Cockpit!$O$6)))-CL1317)),0)</f>
        <v>6</v>
      </c>
      <c r="BH1317" s="63" t="n">
        <f aca="false">IF(BD1317&gt;0,J1317/BD1317,-1)</f>
        <v>0.209985170538804</v>
      </c>
      <c r="BI1317" s="63" t="n">
        <f aca="false">IF(AND(OR(CG1317="L1",CG1317="L23",CG1317="LIFT"),BD1317&gt;0),SUMIFS($BD$7:$BD$1843,$CG$7:$CG$1843,CG1317,$BH$7:$BH$1843,"&gt;"&amp;BH1317)+SUMIFS($BD$7:$BD$1843,$CG$7:$CG$1843,CG1317,$BH$7:$BH$1843,BH1317,$BX$7:$BX$1843,"&lt;="&amp;BX1317),"")</f>
        <v>12439.9294018129</v>
      </c>
      <c r="BJ1317" s="70" t="n">
        <f aca="false">IF(BI1317="",0,MAX(0,MIN(1,(IF(CG1317="L1",Parameter!$H$5,IF(CG1317="L23",Parameter!$H$6+Parameter!$H$7,Parameter!$H$5+Parameter!$H$6+Parameter!$H$7))-(BI1317-BD1317))/BD1317)))</f>
        <v>1</v>
      </c>
      <c r="BK1317" s="60" t="str">
        <f aca="false">IF(AJ1317&lt;=0,"",IF(CG1317="Aussen","Aussenlager",IF(CG1317="-","Nicht im Lift",IF(AP1317&gt;=1,"Lift",IF(AP1317&lt;=0,"Aussenlager","teilweise")))))</f>
        <v>Lift</v>
      </c>
      <c r="BL1317" s="60" t="str">
        <f aca="false">IF(AT1317&lt;=0,"",IF(CG1317="Aussen","Aussenlager",IF(CG1317="-","Nicht im Lift",IF(AZ1317&gt;=1,"Lift",IF(AZ1317&lt;=0,"Aussenlager","teilweise")))))</f>
        <v>Lift</v>
      </c>
      <c r="BM1317" s="60" t="str">
        <f aca="false">IF(BD1317&lt;=0,"",IF(CG1317="Aussen","Aussenlager",IF(CG1317="-","Nicht im Lift",IF(BJ1317&gt;=1,"Lift",IF(BJ1317&lt;=0,"Aussenlager","teilweise")))))</f>
        <v>Lift</v>
      </c>
      <c r="BN1317" s="60" t="str">
        <f aca="false">IF(A1317="","",IF(BW1317=1,"Neu; ","")&amp;IF(AND(BW1317=0,BR1317&lt;0),"negativer Bestand (Export "&amp;BR1317&amp;"); ","")&amp;IF(J1317&lt;=0,"Kein Verbrauch; ","")&amp;IF(CR1317&gt;0,"Lift "&amp;W1317&amp;" lt. Liftbericht (Fach "&amp;X1317&amp;" Stk); ",IF(CB1317=1,"Gebinde geschätzt ("&amp;T1317&amp;"); ",IF(CA1317=1,"Lose – Tablare geschätzt; ","")))&amp;IF(H1317&gt;AW1317,"Überbestand "&amp;ROUND(H1317-AW1317,0)&amp;" Stk / CHF "&amp;ROUND((H1317-AW1317)*G1317,0)&amp;"; ","")&amp;IF(AND(CI1317=1,CJ1317&lt;CK1317),"MAX &lt; MB+LG; ","")&amp;IF(AND(CQ1317&gt;0,CP1317*10&gt;CQ1317),"zu hoch für Tablar; ","")&amp;IF(AND(BW1317=0,OR(CI1317=1,AB1317&lt;&gt;"",U1317&lt;&gt;"",V1317&lt;&gt;"",AC1317&lt;&gt;"")),"manuell übersteuert; ","")&amp;IF(AND(CA1317=0,R1317=0),"Gebinde unbekannt / Stellmass fehlt; ","")&amp;IF(AND(CA1317=0,N(V1317)&lt;=0,N(Q1317)&lt;=0),"Menge pro Gebinde fehlt (Ist = 1 Gebinde); ","")&amp;BV1317)</f>
        <v>negativer Bestand (Export -1); Lift 1 lt. Liftbericht (Fach 1 Stk); Twin</v>
      </c>
      <c r="BO1317" s="60"/>
      <c r="BP1317" s="60"/>
      <c r="BQ1317" s="67"/>
      <c r="BR1317" s="62" t="n">
        <v>-1</v>
      </c>
      <c r="BS1317" s="62" t="n">
        <v>2</v>
      </c>
      <c r="BT1317" s="61" t="n">
        <v>-1350.54</v>
      </c>
      <c r="BU1317" s="62" t="n">
        <v>12</v>
      </c>
      <c r="BV1317" s="60" t="s">
        <v>256</v>
      </c>
      <c r="BW1317" s="65" t="n">
        <v>0</v>
      </c>
      <c r="BX1317" s="65" t="n">
        <v>1317</v>
      </c>
      <c r="BY1317" s="60" t="str">
        <f aca="false">IF(U1317&lt;&gt;"",UPPER(TRIM(U1317)),IF(CB1317=1,UPPER(VLOOKUP(T1317,Parameter!$I$27:$K$29,2,0)),IF(P1317="","LOSE",P1317)))</f>
        <v>LOSE</v>
      </c>
      <c r="BZ1317" s="62" t="n">
        <f aca="false">IF(BY1317="LOSE",1,IF(N(V1317)&gt;0,V1317,IF(CB1317=1,MAX(1,N(VLOOKUP(T1317,Parameter!$I$27:$K$29,3,0)),H1317,N(N1317)),IF(N(Q1317)&gt;0,Q1317,MAX(1,H1317)))))</f>
        <v>1</v>
      </c>
      <c r="CA1317" s="65" t="n">
        <f aca="false">IF(BY1317="LOSE",1,0)</f>
        <v>1</v>
      </c>
      <c r="CB1317" s="65" t="n">
        <f aca="false">IF(AND(U1317="",OR(P1317="",P1317="LOSE"),T1317&lt;&gt;"",N(S1317)&lt;=0,ISNUMBER(MATCH(T1317,Parameter!$I$27:$I$29,0))),1,0)</f>
        <v>0</v>
      </c>
      <c r="CC1317" s="65" t="n">
        <f aca="false">IF(CR1317&gt;0,INDEX(Parameter!$H$5:$H$7,W1317)/INDEX(Parameter!$E$5:$E$7,W1317),IF(AND(CA1317=0,N(IFERROR(VLOOKUP(BY1317,'Gebinde-Kategorie'!$A$5:$N$45,14,0),0))&gt;0),VLOOKUP(BY1317,'Gebinde-Kategorie'!$A$5:$N$45,14,0)*10+Parameter!$M$23,Parameter!$M$24))</f>
        <v>238</v>
      </c>
      <c r="CD1317" s="60" t="str">
        <f aca="false">IF(AND(Parameter!$B$19="Ja",E1317&lt;&gt;"",ISNUMBER(MATCH(E1317,Parameter!$I$35:$I$52,0))),VLOOKUP(E1317,Parameter!$I$35:$J$52,2,0),IFERROR(VLOOKUP(D1317,Parameter!$A$35:$C$64,2,0),"Nein"))</f>
        <v>2+3</v>
      </c>
      <c r="CE1317" s="64" t="n">
        <f aca="false">IF(CA1317=0,0,IF(N(S1317)&gt;0,S1317,IFERROR(VLOOKUP(D1317,Parameter!$A$35:$C$64,3,0)+0,0)))</f>
        <v>0.15</v>
      </c>
      <c r="CF1317" s="60" t="n">
        <f aca="false">IF(AB1317&lt;&gt;"",AB1317,AA1317)</f>
        <v>1</v>
      </c>
      <c r="CG1317" s="60" t="str">
        <f aca="false">IF(OR(CF1317=1,CF1317=2,CF1317=3),IF(Parameter!$E$27="Ja","LIFT",IF(CF1317=1,"L1","L23")),IF(CF1317="Aussen","Aussen","-"))</f>
        <v>LIFT</v>
      </c>
      <c r="CH1317" s="71" t="n">
        <f aca="false">IF(N(AC1317)&gt;0,AC1317,0)</f>
        <v>0</v>
      </c>
      <c r="CI1317" s="65" t="n">
        <f aca="false">IF(ISNUMBER(AF1317),1,0)</f>
        <v>0</v>
      </c>
      <c r="CJ1317" s="62" t="n">
        <f aca="false">N(AF1317)</f>
        <v>0</v>
      </c>
      <c r="CK1317" s="62" t="n">
        <f aca="false">N(M1317)+N(N1317)</f>
        <v>5</v>
      </c>
      <c r="CL1317" s="62" t="n">
        <f aca="false">N(M1317)</f>
        <v>0</v>
      </c>
      <c r="CM1317" s="62" t="n">
        <f aca="false">N(N1317)</f>
        <v>5</v>
      </c>
      <c r="CN1317" s="62" t="n">
        <f aca="false">ROUNDUP(H1317/BZ1317,0)</f>
        <v>1</v>
      </c>
      <c r="CO1317" s="62" t="n">
        <f aca="false">ROUNDUP(CJ1317/BZ1317,0)</f>
        <v>0</v>
      </c>
      <c r="CP1317" s="65" t="n">
        <f aca="false">IF(CA1317=1,0,IFERROR(VLOOKUP(BY1317,'Gebinde-Kategorie'!$A$5:$N$45,5,0)+0,0))</f>
        <v>0</v>
      </c>
      <c r="CQ1317" s="65" t="n">
        <f aca="false">IFERROR(IF(OR(CF1317=1,CF1317=2,CF1317=3),N(INDEX(Parameter!$I$5:$I$7,CF1317)),0),0)</f>
        <v>0</v>
      </c>
      <c r="CR1317" s="64" t="n">
        <f aca="false">IF(AND(Parameter!$B$21="Ja",ISNUMBER(W1317),N(X1317)&gt;0),IFERROR(N(INDEX(Parameter!$L$5:$L$7,W1317))*INDEX(Parameter!$E$5:$E$7,W1317)*X1317/SUMIFS($X$7:$X$1843,$W$7:$W$1843,W1317),0),0)</f>
        <v>0.0800376647834275</v>
      </c>
      <c r="CS1317" s="62" t="n">
        <f aca="false">IF(AND(OR(CG1317="L1",CG1317="L23",CG1317="LIFT"),H1317&gt;0),CC1317*IF(CR1317&gt;0,CR1317*MAX(1,H1317/X1317),IF(CA1317=1,CE1317,IF(R1317&gt;0,CN1317/R1317,0))/MAX(0.1,N(Parameter!$M$21))),"")</f>
        <v>19.0489642184557</v>
      </c>
      <c r="CT1317" s="64" t="n">
        <f aca="false">IF(CS1317="","",J1317/H1317)</f>
        <v>12</v>
      </c>
      <c r="CU1317" s="62" t="n">
        <f aca="false">IF(CS1317="","",H1317*G1317)</f>
        <v>1415.42</v>
      </c>
      <c r="CV1317" s="63" t="n">
        <f aca="false">IF(CS1317="","",(CL1317+ROUNDUP(CL1317+MAX(CM1317,2*(J1317/MAX(0.1,N(Einkauf!$C$6))-CL1317)),0))/2)</f>
        <v>3</v>
      </c>
      <c r="CW1317" s="62" t="n">
        <f aca="false">IF(CS1317="","",MAX(0,H1317-CV1317)*G1317)</f>
        <v>0</v>
      </c>
      <c r="CX1317" s="62" t="n">
        <f aca="false">IF(CS1317="","",CS1317*MAX(0,1-CV1317/H1317))</f>
        <v>0</v>
      </c>
      <c r="CY1317" s="64" t="n">
        <f aca="false">IF(CS1317="","",PERCENTRANK($CS$7:$CS$1843,CS1317)+PERCENTRANK($CU$7:$CU$1843,CU1317)+1-PERCENTRANK($CT$7:$CT$1843,CT1317))</f>
        <v>1.49</v>
      </c>
      <c r="CZ1317" s="72" t="n">
        <f aca="false">IF(CS1317="","",CHOOSE(MATCH(Einkauf!$C$5,Parameter!$G$23:$G$27,0),CY1317,CS1317,CU1317,-CT1317,CW1317)+ROW()/1000000000)</f>
        <v>1.490001317</v>
      </c>
    </row>
    <row r="1318" customFormat="false" ht="15" hidden="false" customHeight="false" outlineLevel="0" collapsed="false">
      <c r="A1318" s="60" t="s">
        <v>2381</v>
      </c>
      <c r="B1318" s="60" t="s">
        <v>2382</v>
      </c>
      <c r="C1318" s="60" t="s">
        <v>206</v>
      </c>
      <c r="D1318" s="60" t="s">
        <v>215</v>
      </c>
      <c r="E1318" s="60" t="s">
        <v>208</v>
      </c>
      <c r="F1318" s="60" t="s">
        <v>260</v>
      </c>
      <c r="G1318" s="61" t="n">
        <v>724.26</v>
      </c>
      <c r="H1318" s="62" t="n">
        <f aca="false">MAX(0,IF(AND(Parameter!$B$21="Ja",ISNUMBER(Y1318)),Y1318,IF(Parameter!$B$20="Jahresanfang 2025 + Export",BS1318+BR1318,BR1318)))</f>
        <v>9</v>
      </c>
      <c r="I1318" s="62" t="n">
        <f aca="false">H1318*G1318</f>
        <v>6518.34</v>
      </c>
      <c r="J1318" s="62" t="n">
        <f aca="false">BU1318*Parameter!$B$18</f>
        <v>24</v>
      </c>
      <c r="K1318" s="63" t="n">
        <v>11.5</v>
      </c>
      <c r="L1318" s="64" t="n">
        <v>2.08695652173913</v>
      </c>
      <c r="M1318" s="62" t="n">
        <v>5</v>
      </c>
      <c r="N1318" s="62" t="n">
        <v>10</v>
      </c>
      <c r="O1318" s="65" t="n">
        <v>70</v>
      </c>
      <c r="P1318" s="60" t="s">
        <v>216</v>
      </c>
      <c r="Q1318" s="62" t="n">
        <v>9</v>
      </c>
      <c r="R1318" s="65" t="n">
        <f aca="false">IF(CA1318=1,0,IFERROR(VLOOKUP(BY1318,'Gebinde-Kategorie'!$A$5:$N$45,13,0)+0,0))</f>
        <v>6</v>
      </c>
      <c r="S1318" s="66"/>
      <c r="T1318" s="67"/>
      <c r="U1318" s="67"/>
      <c r="V1318" s="67"/>
      <c r="W1318" s="60"/>
      <c r="X1318" s="62"/>
      <c r="Y1318" s="62"/>
      <c r="Z1318" s="60" t="n">
        <v>2</v>
      </c>
      <c r="AA1318" s="60" t="n">
        <f aca="false">IF(A1318="","",IF(AND(Parameter!$B$21="Ja",ISNUMBER(W1318)),W1318,IF(AND(Parameter!$E$27="Ja",ISNUMBER(Z1318),CD1318&lt;&gt;"Nein"),Z1318,IF(CD1318="2+3",IF(ISNUMBER(SEARCH("grosser Artikel",BV1318)),2,IFERROR(VLOOKUP(BY1318,Parameter!$F$35:$G$64,2,0),2)),IF(OR(CD1318="Nein",CD1318=""),"-",CD1318)))))</f>
        <v>2</v>
      </c>
      <c r="AB1318" s="67"/>
      <c r="AC1318" s="68"/>
      <c r="AD1318" s="62" t="n">
        <f aca="false">AW1318</f>
        <v>15</v>
      </c>
      <c r="AE1318" s="62" t="n">
        <f aca="false">MAX(AW1318,H1318)</f>
        <v>15</v>
      </c>
      <c r="AF1318" s="69"/>
      <c r="AG1318" s="62" t="n">
        <f aca="false">IF(LEFT(Cockpit!$C$5,1)="A",H1318,IF(Parameter!$E$30="MAX-Bestand",IF(CI1318=1,CJ1318,IF(LEFT(Cockpit!$C$5,1)="B",AM1318,MAX(AM1318,H1318))),ROUNDUP(AK1318,0)))</f>
        <v>9</v>
      </c>
      <c r="AH1318" s="62" t="n">
        <f aca="false">IF(CA1318=1,0,ROUNDUP(AG1318/BZ1318,0))</f>
        <v>1</v>
      </c>
      <c r="AI1318" s="64" t="n">
        <f aca="false">IF(CR1318&gt;0,CR1318*MAX(1,AG1318/X1318),IF(CA1318=1,IF(AG1318&lt;=0,0,CE1318*MAX(1,IF(H1318&gt;0,AG1318/H1318,1))),IF(R1318&gt;0,AH1318/R1318,0))/MAX(0.1,N(Parameter!$M$21)))</f>
        <v>0.166666666666667</v>
      </c>
      <c r="AJ1318" s="62" t="n">
        <f aca="false">AI1318*CC1318</f>
        <v>39.1666666666667</v>
      </c>
      <c r="AK1318" s="63" t="n">
        <f aca="false">IF(LEFT(Cockpit!$C$5,1)="A",H1318,IF(CI1318=1,(CL1318+CJ1318)/2,IF(LEFT(Cockpit!$C$5,1)="B",(CL1318+AM1318)/2,MAX((CL1318+AM1318)/2,H1318))))</f>
        <v>9</v>
      </c>
      <c r="AL1318" s="62" t="n">
        <f aca="false">AK1318*G1318</f>
        <v>6518.34</v>
      </c>
      <c r="AM1318" s="62" t="n">
        <f aca="false">ROUNDUP(CL1318+MAX(CM1318,2*(J1318/IF(CH1318&gt;0,CH1318,MAX(0.1,N(Cockpit!$C$6)))-CL1318)),0)</f>
        <v>15</v>
      </c>
      <c r="AN1318" s="63" t="n">
        <f aca="false">IF(AJ1318&gt;0,J1318/AJ1318,-1)</f>
        <v>0.612765957446809</v>
      </c>
      <c r="AO1318" s="63" t="n">
        <f aca="false">IF(AND(OR(CG1318="L1",CG1318="L23",CG1318="LIFT"),AJ1318&gt;0),SUMIFS($AJ$7:$AJ$1843,$CG$7:$CG$1843,CG1318,$AN$7:$AN$1843,"&gt;"&amp;AN1318)+SUMIFS($AJ$7:$AJ$1843,$CG$7:$CG$1843,CG1318,$AN$7:$AN$1843,AN1318,$BX$7:$BX$1843,"&lt;="&amp;BX1318),"")</f>
        <v>9230.36947703897</v>
      </c>
      <c r="AP1318" s="70" t="n">
        <f aca="false">IF(AO1318="",0,MAX(0,MIN(1,(IF(CG1318="L1",Parameter!$H$5,IF(CG1318="L23",Parameter!$H$6+Parameter!$H$7,Parameter!$H$5+Parameter!$H$6+Parameter!$H$7))-(AO1318-AJ1318))/AJ1318)))</f>
        <v>1</v>
      </c>
      <c r="AQ1318" s="62" t="n">
        <f aca="false">IF(LEFT(Cockpit!$I$5,1)="A",H1318,IF(Parameter!$E$30="MAX-Bestand",IF(CI1318=1,CJ1318,IF(LEFT(Cockpit!$I$5,1)="B",AW1318,MAX(AW1318,H1318))),ROUNDUP(AU1318,0)))</f>
        <v>10</v>
      </c>
      <c r="AR1318" s="62" t="n">
        <f aca="false">IF(CA1318=1,0,ROUNDUP(AQ1318/BZ1318,0))</f>
        <v>2</v>
      </c>
      <c r="AS1318" s="64" t="n">
        <f aca="false">IF(CR1318&gt;0,CR1318*MAX(1,AQ1318/X1318),IF(CA1318=1,IF(AQ1318&lt;=0,0,CE1318*MAX(1,IF(H1318&gt;0,AQ1318/H1318,1))),IF(R1318&gt;0,AR1318/R1318,0))/MAX(0.1,N(Parameter!$M$21)))</f>
        <v>0.333333333333333</v>
      </c>
      <c r="AT1318" s="62" t="n">
        <f aca="false">AS1318*CC1318</f>
        <v>78.3333333333333</v>
      </c>
      <c r="AU1318" s="63" t="n">
        <f aca="false">IF(LEFT(Cockpit!$I$5,1)="A",H1318,IF(CI1318=1,(CL1318+CJ1318)/2,IF(LEFT(Cockpit!$I$5,1)="B",(CL1318+AW1318)/2,MAX((CL1318+AW1318)/2,H1318))))</f>
        <v>10</v>
      </c>
      <c r="AV1318" s="62" t="n">
        <f aca="false">AU1318*G1318</f>
        <v>7242.6</v>
      </c>
      <c r="AW1318" s="62" t="n">
        <f aca="false">ROUNDUP(CL1318+MAX(CM1318,2*(J1318/IF(CH1318&gt;0,CH1318,MAX(0.1,N(Cockpit!$I$6)))-CL1318)),0)</f>
        <v>15</v>
      </c>
      <c r="AX1318" s="63" t="n">
        <f aca="false">IF(AT1318&gt;0,J1318/AT1318,-1)</f>
        <v>0.306382978723404</v>
      </c>
      <c r="AY1318" s="63" t="n">
        <f aca="false">IF(AND(OR(CG1318="L1",CG1318="L23",CG1318="LIFT"),AT1318&gt;0),SUMIFS($AT$7:$AT$1843,$CG$7:$CG$1843,CG1318,$AX$7:$AX$1843,"&gt;"&amp;AX1318)+SUMIFS($AT$7:$AT$1843,$CG$7:$CG$1843,CG1318,$AX$7:$AX$1843,AX1318,$BX$7:$BX$1843,"&lt;="&amp;BX1318),"")</f>
        <v>14090.5096153846</v>
      </c>
      <c r="AZ1318" s="70" t="n">
        <f aca="false">IF(AY1318="",0,MAX(0,MIN(1,(IF(CG1318="L1",Parameter!$H$5,IF(CG1318="L23",Parameter!$H$6+Parameter!$H$7,Parameter!$H$5+Parameter!$H$6+Parameter!$H$7))-(AY1318-AT1318))/AT1318)))</f>
        <v>1</v>
      </c>
      <c r="BA1318" s="62" t="n">
        <f aca="false">IF(LEFT(Cockpit!$O$5,1)="A",H1318,IF(Parameter!$E$30="MAX-Bestand",IF(CI1318=1,CJ1318,IF(LEFT(Cockpit!$O$5,1)="B",BG1318,MAX(BG1318,H1318))),ROUNDUP(BE1318,0)))</f>
        <v>10</v>
      </c>
      <c r="BB1318" s="62" t="n">
        <f aca="false">IF(CA1318=1,0,ROUNDUP(BA1318/BZ1318,0))</f>
        <v>2</v>
      </c>
      <c r="BC1318" s="64" t="n">
        <f aca="false">IF(CR1318&gt;0,CR1318*MAX(1,BA1318/X1318),IF(CA1318=1,IF(BA1318&lt;=0,0,CE1318*MAX(1,IF(H1318&gt;0,BA1318/H1318,1))),IF(R1318&gt;0,BB1318/R1318,0))/MAX(0.1,N(Parameter!$M$21)))</f>
        <v>0.333333333333333</v>
      </c>
      <c r="BD1318" s="62" t="n">
        <f aca="false">BC1318*CC1318</f>
        <v>78.3333333333333</v>
      </c>
      <c r="BE1318" s="63" t="n">
        <f aca="false">IF(LEFT(Cockpit!$O$5,1)="A",H1318,IF(CI1318=1,(CL1318+CJ1318)/2,IF(LEFT(Cockpit!$O$5,1)="B",(CL1318+BG1318)/2,MAX((CL1318+BG1318)/2,H1318))))</f>
        <v>10</v>
      </c>
      <c r="BF1318" s="62" t="n">
        <f aca="false">BE1318*G1318</f>
        <v>7242.6</v>
      </c>
      <c r="BG1318" s="62" t="n">
        <f aca="false">ROUNDUP(CL1318+MAX(CM1318,2*(J1318/IF(CH1318&gt;0,CH1318,MAX(0.1,N(Cockpit!$O$6)))-CL1318)),0)</f>
        <v>15</v>
      </c>
      <c r="BH1318" s="63" t="n">
        <f aca="false">IF(BD1318&gt;0,J1318/BD1318,-1)</f>
        <v>0.306382978723404</v>
      </c>
      <c r="BI1318" s="63" t="n">
        <f aca="false">IF(AND(OR(CG1318="L1",CG1318="L23",CG1318="LIFT"),BD1318&gt;0),SUMIFS($BD$7:$BD$1843,$CG$7:$CG$1843,CG1318,$BH$7:$BH$1843,"&gt;"&amp;BH1318)+SUMIFS($BD$7:$BD$1843,$CG$7:$CG$1843,CG1318,$BH$7:$BH$1843,BH1318,$BX$7:$BX$1843,"&lt;="&amp;BX1318),"")</f>
        <v>11872.5581501832</v>
      </c>
      <c r="BJ1318" s="70" t="n">
        <f aca="false">IF(BI1318="",0,MAX(0,MIN(1,(IF(CG1318="L1",Parameter!$H$5,IF(CG1318="L23",Parameter!$H$6+Parameter!$H$7,Parameter!$H$5+Parameter!$H$6+Parameter!$H$7))-(BI1318-BD1318))/BD1318)))</f>
        <v>1</v>
      </c>
      <c r="BK1318" s="60" t="str">
        <f aca="false">IF(AJ1318&lt;=0,"",IF(CG1318="Aussen","Aussenlager",IF(CG1318="-","Nicht im Lift",IF(AP1318&gt;=1,"Lift",IF(AP1318&lt;=0,"Aussenlager","teilweise")))))</f>
        <v>Lift</v>
      </c>
      <c r="BL1318" s="60" t="str">
        <f aca="false">IF(AT1318&lt;=0,"",IF(CG1318="Aussen","Aussenlager",IF(CG1318="-","Nicht im Lift",IF(AZ1318&gt;=1,"Lift",IF(AZ1318&lt;=0,"Aussenlager","teilweise")))))</f>
        <v>Lift</v>
      </c>
      <c r="BM1318" s="60" t="str">
        <f aca="false">IF(BD1318&lt;=0,"",IF(CG1318="Aussen","Aussenlager",IF(CG1318="-","Nicht im Lift",IF(BJ1318&gt;=1,"Lift",IF(BJ1318&lt;=0,"Aussenlager","teilweise")))))</f>
        <v>Lift</v>
      </c>
      <c r="BN1318" s="60" t="str">
        <f aca="false">IF(A1318="","",IF(BW1318=1,"Neu; ","")&amp;IF(AND(BW1318=0,BR1318&lt;0),"negativer Bestand (Export "&amp;BR1318&amp;"); ","")&amp;IF(J1318&lt;=0,"Kein Verbrauch; ","")&amp;IF(CR1318&gt;0,"Lift "&amp;W1318&amp;" lt. Liftbericht (Fach "&amp;X1318&amp;" Stk); ",IF(CB1318=1,"Gebinde geschätzt ("&amp;T1318&amp;"); ",IF(CA1318=1,"Lose – Tablare geschätzt; ","")))&amp;IF(H1318&gt;AW1318,"Überbestand "&amp;ROUND(H1318-AW1318,0)&amp;" Stk / CHF "&amp;ROUND((H1318-AW1318)*G1318,0)&amp;"; ","")&amp;IF(AND(CI1318=1,CJ1318&lt;CK1318),"MAX &lt; MB+LG; ","")&amp;IF(AND(CQ1318&gt;0,CP1318*10&gt;CQ1318),"zu hoch für Tablar; ","")&amp;IF(AND(BW1318=0,OR(CI1318=1,AB1318&lt;&gt;"",U1318&lt;&gt;"",V1318&lt;&gt;"",AC1318&lt;&gt;"")),"manuell übersteuert; ","")&amp;IF(AND(CA1318=0,R1318=0),"Gebinde unbekannt / Stellmass fehlt; ","")&amp;IF(AND(CA1318=0,N(V1318)&lt;=0,N(Q1318)&lt;=0),"Menge pro Gebinde fehlt (Ist = 1 Gebinde); ","")&amp;BV1318)</f>
        <v>negativer Bestand (Export -7); </v>
      </c>
      <c r="BO1318" s="60"/>
      <c r="BP1318" s="60"/>
      <c r="BQ1318" s="67"/>
      <c r="BR1318" s="62" t="n">
        <v>-7</v>
      </c>
      <c r="BS1318" s="62" t="n">
        <v>16</v>
      </c>
      <c r="BT1318" s="61" t="n">
        <v>-1388.67000000001</v>
      </c>
      <c r="BU1318" s="62" t="n">
        <v>24</v>
      </c>
      <c r="BV1318" s="60"/>
      <c r="BW1318" s="65" t="n">
        <v>0</v>
      </c>
      <c r="BX1318" s="65" t="n">
        <v>1318</v>
      </c>
      <c r="BY1318" s="60" t="str">
        <f aca="false">IF(U1318&lt;&gt;"",UPPER(TRIM(U1318)),IF(CB1318=1,UPPER(VLOOKUP(T1318,Parameter!$I$27:$K$29,2,0)),IF(P1318="","LOSE",P1318)))</f>
        <v>S71</v>
      </c>
      <c r="BZ1318" s="62" t="n">
        <f aca="false">IF(BY1318="LOSE",1,IF(N(V1318)&gt;0,V1318,IF(CB1318=1,MAX(1,N(VLOOKUP(T1318,Parameter!$I$27:$K$29,3,0)),H1318,N(N1318)),IF(N(Q1318)&gt;0,Q1318,MAX(1,H1318)))))</f>
        <v>9</v>
      </c>
      <c r="CA1318" s="65" t="n">
        <f aca="false">IF(BY1318="LOSE",1,0)</f>
        <v>0</v>
      </c>
      <c r="CB1318" s="65" t="n">
        <f aca="false">IF(AND(U1318="",OR(P1318="",P1318="LOSE"),T1318&lt;&gt;"",N(S1318)&lt;=0,ISNUMBER(MATCH(T1318,Parameter!$I$27:$I$29,0))),1,0)</f>
        <v>0</v>
      </c>
      <c r="CC1318" s="65" t="n">
        <f aca="false">IF(CR1318&gt;0,INDEX(Parameter!$H$5:$H$7,W1318)/INDEX(Parameter!$E$5:$E$7,W1318),IF(AND(CA1318=0,N(IFERROR(VLOOKUP(BY1318,'Gebinde-Kategorie'!$A$5:$N$45,14,0),0))&gt;0),VLOOKUP(BY1318,'Gebinde-Kategorie'!$A$5:$N$45,14,0)*10+Parameter!$M$23,Parameter!$M$24))</f>
        <v>235</v>
      </c>
      <c r="CD1318" s="60" t="n">
        <f aca="false">IF(AND(Parameter!$B$19="Ja",E1318&lt;&gt;"",ISNUMBER(MATCH(E1318,Parameter!$I$35:$I$52,0))),VLOOKUP(E1318,Parameter!$I$35:$J$52,2,0),IFERROR(VLOOKUP(D1318,Parameter!$A$35:$C$64,2,0),"Nein"))</f>
        <v>1</v>
      </c>
      <c r="CE1318" s="64" t="n">
        <f aca="false">IF(CA1318=0,0,IF(N(S1318)&gt;0,S1318,IFERROR(VLOOKUP(D1318,Parameter!$A$35:$C$64,3,0)+0,0)))</f>
        <v>0</v>
      </c>
      <c r="CF1318" s="60" t="n">
        <f aca="false">IF(AB1318&lt;&gt;"",AB1318,AA1318)</f>
        <v>2</v>
      </c>
      <c r="CG1318" s="60" t="str">
        <f aca="false">IF(OR(CF1318=1,CF1318=2,CF1318=3),IF(Parameter!$E$27="Ja","LIFT",IF(CF1318=1,"L1","L23")),IF(CF1318="Aussen","Aussen","-"))</f>
        <v>LIFT</v>
      </c>
      <c r="CH1318" s="71" t="n">
        <f aca="false">IF(N(AC1318)&gt;0,AC1318,0)</f>
        <v>0</v>
      </c>
      <c r="CI1318" s="65" t="n">
        <f aca="false">IF(ISNUMBER(AF1318),1,0)</f>
        <v>0</v>
      </c>
      <c r="CJ1318" s="62" t="n">
        <f aca="false">N(AF1318)</f>
        <v>0</v>
      </c>
      <c r="CK1318" s="62" t="n">
        <f aca="false">N(M1318)+N(N1318)</f>
        <v>15</v>
      </c>
      <c r="CL1318" s="62" t="n">
        <f aca="false">N(M1318)</f>
        <v>5</v>
      </c>
      <c r="CM1318" s="62" t="n">
        <f aca="false">N(N1318)</f>
        <v>10</v>
      </c>
      <c r="CN1318" s="62" t="n">
        <f aca="false">ROUNDUP(H1318/BZ1318,0)</f>
        <v>1</v>
      </c>
      <c r="CO1318" s="62" t="n">
        <f aca="false">ROUNDUP(CJ1318/BZ1318,0)</f>
        <v>0</v>
      </c>
      <c r="CP1318" s="65" t="n">
        <f aca="false">IF(CA1318=1,0,IFERROR(VLOOKUP(BY1318,'Gebinde-Kategorie'!$A$5:$N$45,5,0)+0,0))</f>
        <v>20</v>
      </c>
      <c r="CQ1318" s="65" t="n">
        <f aca="false">IFERROR(IF(OR(CF1318=1,CF1318=2,CF1318=3),N(INDEX(Parameter!$I$5:$I$7,CF1318)),0),0)</f>
        <v>0</v>
      </c>
      <c r="CR1318" s="64" t="n">
        <f aca="false">IF(AND(Parameter!$B$21="Ja",ISNUMBER(W1318),N(X1318)&gt;0),IFERROR(N(INDEX(Parameter!$L$5:$L$7,W1318))*INDEX(Parameter!$E$5:$E$7,W1318)*X1318/SUMIFS($X$7:$X$1843,$W$7:$W$1843,W1318),0),0)</f>
        <v>0</v>
      </c>
      <c r="CS1318" s="62" t="n">
        <f aca="false">IF(AND(OR(CG1318="L1",CG1318="L23",CG1318="LIFT"),H1318&gt;0),CC1318*IF(CR1318&gt;0,CR1318*MAX(1,H1318/X1318),IF(CA1318=1,CE1318,IF(R1318&gt;0,CN1318/R1318,0))/MAX(0.1,N(Parameter!$M$21))),"")</f>
        <v>39.1666666666667</v>
      </c>
      <c r="CT1318" s="64" t="n">
        <f aca="false">IF(CS1318="","",J1318/H1318)</f>
        <v>2.66666666666667</v>
      </c>
      <c r="CU1318" s="62" t="n">
        <f aca="false">IF(CS1318="","",H1318*G1318)</f>
        <v>6518.34</v>
      </c>
      <c r="CV1318" s="63" t="n">
        <f aca="false">IF(CS1318="","",(CL1318+ROUNDUP(CL1318+MAX(CM1318,2*(J1318/MAX(0.1,N(Einkauf!$C$6))-CL1318)),0))/2)</f>
        <v>10</v>
      </c>
      <c r="CW1318" s="62" t="n">
        <f aca="false">IF(CS1318="","",MAX(0,H1318-CV1318)*G1318)</f>
        <v>0</v>
      </c>
      <c r="CX1318" s="62" t="n">
        <f aca="false">IF(CS1318="","",CS1318*MAX(0,1-CV1318/H1318))</f>
        <v>0</v>
      </c>
      <c r="CY1318" s="64" t="n">
        <f aca="false">IF(CS1318="","",PERCENTRANK($CS$7:$CS$1843,CS1318)+PERCENTRANK($CU$7:$CU$1843,CU1318)+1-PERCENTRANK($CT$7:$CT$1843,CT1318))</f>
        <v>1.918</v>
      </c>
      <c r="CZ1318" s="72" t="n">
        <f aca="false">IF(CS1318="","",CHOOSE(MATCH(Einkauf!$C$5,Parameter!$G$23:$G$27,0),CY1318,CS1318,CU1318,-CT1318,CW1318)+ROW()/1000000000)</f>
        <v>1.918001318</v>
      </c>
    </row>
    <row r="1319" customFormat="false" ht="15" hidden="false" customHeight="false" outlineLevel="0" collapsed="false">
      <c r="A1319" s="60" t="s">
        <v>2383</v>
      </c>
      <c r="B1319" s="60" t="s">
        <v>2384</v>
      </c>
      <c r="C1319" s="60" t="s">
        <v>206</v>
      </c>
      <c r="D1319" s="60" t="s">
        <v>215</v>
      </c>
      <c r="E1319" s="60" t="s">
        <v>507</v>
      </c>
      <c r="F1319" s="60" t="s">
        <v>260</v>
      </c>
      <c r="G1319" s="61" t="n">
        <v>701.08</v>
      </c>
      <c r="H1319" s="62" t="n">
        <f aca="false">MAX(0,IF(AND(Parameter!$B$21="Ja",ISNUMBER(Y1319)),Y1319,IF(Parameter!$B$20="Jahresanfang 2025 + Export",BS1319+BR1319,BR1319)))</f>
        <v>0</v>
      </c>
      <c r="I1319" s="62" t="n">
        <f aca="false">H1319*G1319</f>
        <v>0</v>
      </c>
      <c r="J1319" s="62" t="n">
        <f aca="false">BU1319*Parameter!$B$18</f>
        <v>2</v>
      </c>
      <c r="K1319" s="63" t="n">
        <v>3</v>
      </c>
      <c r="L1319" s="64" t="n">
        <v>0.666666666666667</v>
      </c>
      <c r="M1319" s="62" t="n">
        <v>0</v>
      </c>
      <c r="N1319" s="62" t="n">
        <v>1</v>
      </c>
      <c r="O1319" s="65" t="n">
        <v>14</v>
      </c>
      <c r="P1319" s="60" t="s">
        <v>210</v>
      </c>
      <c r="Q1319" s="62"/>
      <c r="R1319" s="65" t="n">
        <f aca="false">IF(CA1319=1,0,IFERROR(VLOOKUP(BY1319,'Gebinde-Kategorie'!$A$5:$N$45,13,0)+0,0))</f>
        <v>4</v>
      </c>
      <c r="S1319" s="66"/>
      <c r="T1319" s="67" t="s">
        <v>231</v>
      </c>
      <c r="U1319" s="67"/>
      <c r="V1319" s="67"/>
      <c r="W1319" s="60"/>
      <c r="X1319" s="62"/>
      <c r="Y1319" s="62"/>
      <c r="Z1319" s="60"/>
      <c r="AA1319" s="60" t="str">
        <f aca="false">IF(A1319="","",IF(AND(Parameter!$B$21="Ja",ISNUMBER(W1319)),W1319,IF(AND(Parameter!$E$27="Ja",ISNUMBER(Z1319),CD1319&lt;&gt;"Nein"),Z1319,IF(CD1319="2+3",IF(ISNUMBER(SEARCH("grosser Artikel",BV1319)),2,IFERROR(VLOOKUP(BY1319,Parameter!$F$35:$G$64,2,0),2)),IF(OR(CD1319="Nein",CD1319=""),"-",CD1319)))))</f>
        <v>-</v>
      </c>
      <c r="AB1319" s="67"/>
      <c r="AC1319" s="68"/>
      <c r="AD1319" s="62" t="n">
        <f aca="false">AW1319</f>
        <v>2</v>
      </c>
      <c r="AE1319" s="62" t="n">
        <f aca="false">MAX(AW1319,H1319)</f>
        <v>2</v>
      </c>
      <c r="AF1319" s="69"/>
      <c r="AG1319" s="62" t="n">
        <f aca="false">IF(LEFT(Cockpit!$C$5,1)="A",H1319,IF(Parameter!$E$30="MAX-Bestand",IF(CI1319=1,CJ1319,IF(LEFT(Cockpit!$C$5,1)="B",AM1319,MAX(AM1319,H1319))),ROUNDUP(AK1319,0)))</f>
        <v>0</v>
      </c>
      <c r="AH1319" s="62" t="n">
        <f aca="false">IF(CA1319=1,0,ROUNDUP(AG1319/BZ1319,0))</f>
        <v>0</v>
      </c>
      <c r="AI1319" s="64" t="n">
        <f aca="false">IF(CR1319&gt;0,CR1319*MAX(1,AG1319/X1319),IF(CA1319=1,IF(AG1319&lt;=0,0,CE1319*MAX(1,IF(H1319&gt;0,AG1319/H1319,1))),IF(R1319&gt;0,AH1319/R1319,0))/MAX(0.1,N(Parameter!$M$21)))</f>
        <v>0</v>
      </c>
      <c r="AJ1319" s="62" t="n">
        <f aca="false">AI1319*CC1319</f>
        <v>0</v>
      </c>
      <c r="AK1319" s="63" t="n">
        <f aca="false">IF(LEFT(Cockpit!$C$5,1)="A",H1319,IF(CI1319=1,(CL1319+CJ1319)/2,IF(LEFT(Cockpit!$C$5,1)="B",(CL1319+AM1319)/2,MAX((CL1319+AM1319)/2,H1319))))</f>
        <v>0</v>
      </c>
      <c r="AL1319" s="62" t="n">
        <f aca="false">AK1319*G1319</f>
        <v>0</v>
      </c>
      <c r="AM1319" s="62" t="n">
        <f aca="false">ROUNDUP(CL1319+MAX(CM1319,2*(J1319/IF(CH1319&gt;0,CH1319,MAX(0.1,N(Cockpit!$C$6)))-CL1319)),0)</f>
        <v>2</v>
      </c>
      <c r="AN1319" s="63" t="n">
        <f aca="false">IF(AJ1319&gt;0,J1319/AJ1319,-1)</f>
        <v>-1</v>
      </c>
      <c r="AO1319" s="63" t="str">
        <f aca="false">IF(AND(OR(CG1319="L1",CG1319="L23",CG1319="LIFT"),AJ1319&gt;0),SUMIFS($AJ$7:$AJ$1843,$CG$7:$CG$1843,CG1319,$AN$7:$AN$1843,"&gt;"&amp;AN1319)+SUMIFS($AJ$7:$AJ$1843,$CG$7:$CG$1843,CG1319,$AN$7:$AN$1843,AN1319,$BX$7:$BX$1843,"&lt;="&amp;BX1319),"")</f>
        <v/>
      </c>
      <c r="AP1319" s="70" t="n">
        <f aca="false">IF(AO1319="",0,MAX(0,MIN(1,(IF(CG1319="L1",Parameter!$H$5,IF(CG1319="L23",Parameter!$H$6+Parameter!$H$7,Parameter!$H$5+Parameter!$H$6+Parameter!$H$7))-(AO1319-AJ1319))/AJ1319)))</f>
        <v>0</v>
      </c>
      <c r="AQ1319" s="62" t="n">
        <f aca="false">IF(LEFT(Cockpit!$I$5,1)="A",H1319,IF(Parameter!$E$30="MAX-Bestand",IF(CI1319=1,CJ1319,IF(LEFT(Cockpit!$I$5,1)="B",AW1319,MAX(AW1319,H1319))),ROUNDUP(AU1319,0)))</f>
        <v>1</v>
      </c>
      <c r="AR1319" s="62" t="n">
        <f aca="false">IF(CA1319=1,0,ROUNDUP(AQ1319/BZ1319,0))</f>
        <v>1</v>
      </c>
      <c r="AS1319" s="64" t="n">
        <f aca="false">IF(CR1319&gt;0,CR1319*MAX(1,AQ1319/X1319),IF(CA1319=1,IF(AQ1319&lt;=0,0,CE1319*MAX(1,IF(H1319&gt;0,AQ1319/H1319,1))),IF(R1319&gt;0,AR1319/R1319,0))/MAX(0.1,N(Parameter!$M$21)))</f>
        <v>0.25</v>
      </c>
      <c r="AT1319" s="62" t="n">
        <f aca="false">AS1319*CC1319</f>
        <v>58.75</v>
      </c>
      <c r="AU1319" s="63" t="n">
        <f aca="false">IF(LEFT(Cockpit!$I$5,1)="A",H1319,IF(CI1319=1,(CL1319+CJ1319)/2,IF(LEFT(Cockpit!$I$5,1)="B",(CL1319+AW1319)/2,MAX((CL1319+AW1319)/2,H1319))))</f>
        <v>1</v>
      </c>
      <c r="AV1319" s="62" t="n">
        <f aca="false">AU1319*G1319</f>
        <v>701.08</v>
      </c>
      <c r="AW1319" s="62" t="n">
        <f aca="false">ROUNDUP(CL1319+MAX(CM1319,2*(J1319/IF(CH1319&gt;0,CH1319,MAX(0.1,N(Cockpit!$I$6)))-CL1319)),0)</f>
        <v>2</v>
      </c>
      <c r="AX1319" s="63" t="n">
        <f aca="false">IF(AT1319&gt;0,J1319/AT1319,-1)</f>
        <v>0.0340425531914894</v>
      </c>
      <c r="AY1319" s="63" t="str">
        <f aca="false">IF(AND(OR(CG1319="L1",CG1319="L23",CG1319="LIFT"),AT1319&gt;0),SUMIFS($AT$7:$AT$1843,$CG$7:$CG$1843,CG1319,$AX$7:$AX$1843,"&gt;"&amp;AX1319)+SUMIFS($AT$7:$AT$1843,$CG$7:$CG$1843,CG1319,$AX$7:$AX$1843,AX1319,$BX$7:$BX$1843,"&lt;="&amp;BX1319),"")</f>
        <v/>
      </c>
      <c r="AZ1319" s="70" t="n">
        <f aca="false">IF(AY1319="",0,MAX(0,MIN(1,(IF(CG1319="L1",Parameter!$H$5,IF(CG1319="L23",Parameter!$H$6+Parameter!$H$7,Parameter!$H$5+Parameter!$H$6+Parameter!$H$7))-(AY1319-AT1319))/AT1319)))</f>
        <v>0</v>
      </c>
      <c r="BA1319" s="62" t="n">
        <f aca="false">IF(LEFT(Cockpit!$O$5,1)="A",H1319,IF(Parameter!$E$30="MAX-Bestand",IF(CI1319=1,CJ1319,IF(LEFT(Cockpit!$O$5,1)="B",BG1319,MAX(BG1319,H1319))),ROUNDUP(BE1319,0)))</f>
        <v>1</v>
      </c>
      <c r="BB1319" s="62" t="n">
        <f aca="false">IF(CA1319=1,0,ROUNDUP(BA1319/BZ1319,0))</f>
        <v>1</v>
      </c>
      <c r="BC1319" s="64" t="n">
        <f aca="false">IF(CR1319&gt;0,CR1319*MAX(1,BA1319/X1319),IF(CA1319=1,IF(BA1319&lt;=0,0,CE1319*MAX(1,IF(H1319&gt;0,BA1319/H1319,1))),IF(R1319&gt;0,BB1319/R1319,0))/MAX(0.1,N(Parameter!$M$21)))</f>
        <v>0.25</v>
      </c>
      <c r="BD1319" s="62" t="n">
        <f aca="false">BC1319*CC1319</f>
        <v>58.75</v>
      </c>
      <c r="BE1319" s="63" t="n">
        <f aca="false">IF(LEFT(Cockpit!$O$5,1)="A",H1319,IF(CI1319=1,(CL1319+CJ1319)/2,IF(LEFT(Cockpit!$O$5,1)="B",(CL1319+BG1319)/2,MAX((CL1319+BG1319)/2,H1319))))</f>
        <v>0.5</v>
      </c>
      <c r="BF1319" s="62" t="n">
        <f aca="false">BE1319*G1319</f>
        <v>350.54</v>
      </c>
      <c r="BG1319" s="62" t="n">
        <f aca="false">ROUNDUP(CL1319+MAX(CM1319,2*(J1319/IF(CH1319&gt;0,CH1319,MAX(0.1,N(Cockpit!$O$6)))-CL1319)),0)</f>
        <v>1</v>
      </c>
      <c r="BH1319" s="63" t="n">
        <f aca="false">IF(BD1319&gt;0,J1319/BD1319,-1)</f>
        <v>0.0340425531914894</v>
      </c>
      <c r="BI1319" s="63" t="str">
        <f aca="false">IF(AND(OR(CG1319="L1",CG1319="L23",CG1319="LIFT"),BD1319&gt;0),SUMIFS($BD$7:$BD$1843,$CG$7:$CG$1843,CG1319,$BH$7:$BH$1843,"&gt;"&amp;BH1319)+SUMIFS($BD$7:$BD$1843,$CG$7:$CG$1843,CG1319,$BH$7:$BH$1843,BH1319,$BX$7:$BX$1843,"&lt;="&amp;BX1319),"")</f>
        <v/>
      </c>
      <c r="BJ1319" s="70" t="n">
        <f aca="false">IF(BI1319="",0,MAX(0,MIN(1,(IF(CG1319="L1",Parameter!$H$5,IF(CG1319="L23",Parameter!$H$6+Parameter!$H$7,Parameter!$H$5+Parameter!$H$6+Parameter!$H$7))-(BI1319-BD1319))/BD1319)))</f>
        <v>0</v>
      </c>
      <c r="BK1319" s="60" t="str">
        <f aca="false">IF(AJ1319&lt;=0,"",IF(CG1319="Aussen","Aussenlager",IF(CG1319="-","Nicht im Lift",IF(AP1319&gt;=1,"Lift",IF(AP1319&lt;=0,"Aussenlager","teilweise")))))</f>
        <v/>
      </c>
      <c r="BL1319" s="60" t="str">
        <f aca="false">IF(AT1319&lt;=0,"",IF(CG1319="Aussen","Aussenlager",IF(CG1319="-","Nicht im Lift",IF(AZ1319&gt;=1,"Lift",IF(AZ1319&lt;=0,"Aussenlager","teilweise")))))</f>
        <v>Nicht im Lift</v>
      </c>
      <c r="BM1319" s="60" t="str">
        <f aca="false">IF(BD1319&lt;=0,"",IF(CG1319="Aussen","Aussenlager",IF(CG1319="-","Nicht im Lift",IF(BJ1319&gt;=1,"Lift",IF(BJ1319&lt;=0,"Aussenlager","teilweise")))))</f>
        <v>Nicht im Lift</v>
      </c>
      <c r="BN1319" s="60" t="str">
        <f aca="false">IF(A1319="","",IF(BW1319=1,"Neu; ","")&amp;IF(AND(BW1319=0,BR1319&lt;0),"negativer Bestand (Export "&amp;BR1319&amp;"); ","")&amp;IF(J1319&lt;=0,"Kein Verbrauch; ","")&amp;IF(CR1319&gt;0,"Lift "&amp;W1319&amp;" lt. Liftbericht (Fach "&amp;X1319&amp;" Stk); ",IF(CB1319=1,"Gebinde geschätzt ("&amp;T1319&amp;"); ",IF(CA1319=1,"Lose – Tablare geschätzt; ","")))&amp;IF(H1319&gt;AW1319,"Überbestand "&amp;ROUND(H1319-AW1319,0)&amp;" Stk / CHF "&amp;ROUND((H1319-AW1319)*G1319,0)&amp;"; ","")&amp;IF(AND(CI1319=1,CJ1319&lt;CK1319),"MAX &lt; MB+LG; ","")&amp;IF(AND(CQ1319&gt;0,CP1319*10&gt;CQ1319),"zu hoch für Tablar; ","")&amp;IF(AND(BW1319=0,OR(CI1319=1,AB1319&lt;&gt;"",U1319&lt;&gt;"",V1319&lt;&gt;"",AC1319&lt;&gt;"")),"manuell übersteuert; ","")&amp;IF(AND(CA1319=0,R1319=0),"Gebinde unbekannt / Stellmass fehlt; ","")&amp;IF(AND(CA1319=0,N(V1319)&lt;=0,N(Q1319)&lt;=0),"Menge pro Gebinde fehlt (Ist = 1 Gebinde); ","")&amp;BV1319)</f>
        <v>negativer Bestand (Export -2); Gebinde geschätzt (Gross); Menge pro Gebinde fehlt (Ist = 1 Gebinde); </v>
      </c>
      <c r="BO1319" s="60"/>
      <c r="BP1319" s="60"/>
      <c r="BQ1319" s="67"/>
      <c r="BR1319" s="62" t="n">
        <v>-2</v>
      </c>
      <c r="BS1319" s="62" t="n">
        <v>2</v>
      </c>
      <c r="BT1319" s="61" t="n">
        <v>-1402.16</v>
      </c>
      <c r="BU1319" s="62" t="n">
        <v>2</v>
      </c>
      <c r="BV1319" s="60"/>
      <c r="BW1319" s="65" t="n">
        <v>0</v>
      </c>
      <c r="BX1319" s="65" t="n">
        <v>1319</v>
      </c>
      <c r="BY1319" s="60" t="str">
        <f aca="false">IF(U1319&lt;&gt;"",UPPER(TRIM(U1319)),IF(CB1319=1,UPPER(VLOOKUP(T1319,Parameter!$I$27:$K$29,2,0)),IF(P1319="","LOSE",P1319)))</f>
        <v>S81</v>
      </c>
      <c r="BZ1319" s="62" t="n">
        <f aca="false">IF(BY1319="LOSE",1,IF(N(V1319)&gt;0,V1319,IF(CB1319=1,MAX(1,N(VLOOKUP(T1319,Parameter!$I$27:$K$29,3,0)),H1319,N(N1319)),IF(N(Q1319)&gt;0,Q1319,MAX(1,H1319)))))</f>
        <v>2</v>
      </c>
      <c r="CA1319" s="65" t="n">
        <f aca="false">IF(BY1319="LOSE",1,0)</f>
        <v>0</v>
      </c>
      <c r="CB1319" s="65" t="n">
        <f aca="false">IF(AND(U1319="",OR(P1319="",P1319="LOSE"),T1319&lt;&gt;"",N(S1319)&lt;=0,ISNUMBER(MATCH(T1319,Parameter!$I$27:$I$29,0))),1,0)</f>
        <v>1</v>
      </c>
      <c r="CC1319" s="65" t="n">
        <f aca="false">IF(CR1319&gt;0,INDEX(Parameter!$H$5:$H$7,W1319)/INDEX(Parameter!$E$5:$E$7,W1319),IF(AND(CA1319=0,N(IFERROR(VLOOKUP(BY1319,'Gebinde-Kategorie'!$A$5:$N$45,14,0),0))&gt;0),VLOOKUP(BY1319,'Gebinde-Kategorie'!$A$5:$N$45,14,0)*10+Parameter!$M$23,Parameter!$M$24))</f>
        <v>235</v>
      </c>
      <c r="CD1319" s="60" t="str">
        <f aca="false">IF(AND(Parameter!$B$19="Ja",E1319&lt;&gt;"",ISNUMBER(MATCH(E1319,Parameter!$I$35:$I$52,0))),VLOOKUP(E1319,Parameter!$I$35:$J$52,2,0),IFERROR(VLOOKUP(D1319,Parameter!$A$35:$C$64,2,0),"Nein"))</f>
        <v>Nein</v>
      </c>
      <c r="CE1319" s="64" t="n">
        <f aca="false">IF(CA1319=0,0,IF(N(S1319)&gt;0,S1319,IFERROR(VLOOKUP(D1319,Parameter!$A$35:$C$64,3,0)+0,0)))</f>
        <v>0</v>
      </c>
      <c r="CF1319" s="60" t="str">
        <f aca="false">IF(AB1319&lt;&gt;"",AB1319,AA1319)</f>
        <v>-</v>
      </c>
      <c r="CG1319" s="60" t="str">
        <f aca="false">IF(OR(CF1319=1,CF1319=2,CF1319=3),IF(Parameter!$E$27="Ja","LIFT",IF(CF1319=1,"L1","L23")),IF(CF1319="Aussen","Aussen","-"))</f>
        <v>-</v>
      </c>
      <c r="CH1319" s="71" t="n">
        <f aca="false">IF(N(AC1319)&gt;0,AC1319,0)</f>
        <v>0</v>
      </c>
      <c r="CI1319" s="65" t="n">
        <f aca="false">IF(ISNUMBER(AF1319),1,0)</f>
        <v>0</v>
      </c>
      <c r="CJ1319" s="62" t="n">
        <f aca="false">N(AF1319)</f>
        <v>0</v>
      </c>
      <c r="CK1319" s="62" t="n">
        <f aca="false">N(M1319)+N(N1319)</f>
        <v>1</v>
      </c>
      <c r="CL1319" s="62" t="n">
        <f aca="false">N(M1319)</f>
        <v>0</v>
      </c>
      <c r="CM1319" s="62" t="n">
        <f aca="false">N(N1319)</f>
        <v>1</v>
      </c>
      <c r="CN1319" s="62" t="n">
        <f aca="false">ROUNDUP(H1319/BZ1319,0)</f>
        <v>0</v>
      </c>
      <c r="CO1319" s="62" t="n">
        <f aca="false">ROUNDUP(CJ1319/BZ1319,0)</f>
        <v>0</v>
      </c>
      <c r="CP1319" s="65" t="n">
        <f aca="false">IF(CA1319=1,0,IFERROR(VLOOKUP(BY1319,'Gebinde-Kategorie'!$A$5:$N$45,5,0)+0,0))</f>
        <v>20</v>
      </c>
      <c r="CQ1319" s="65" t="n">
        <f aca="false">IFERROR(IF(OR(CF1319=1,CF1319=2,CF1319=3),N(INDEX(Parameter!$I$5:$I$7,CF1319)),0),0)</f>
        <v>0</v>
      </c>
      <c r="CR1319" s="64" t="n">
        <f aca="false">IF(AND(Parameter!$B$21="Ja",ISNUMBER(W1319),N(X1319)&gt;0),IFERROR(N(INDEX(Parameter!$L$5:$L$7,W1319))*INDEX(Parameter!$E$5:$E$7,W1319)*X1319/SUMIFS($X$7:$X$1843,$W$7:$W$1843,W1319),0),0)</f>
        <v>0</v>
      </c>
      <c r="CS1319" s="62" t="str">
        <f aca="false">IF(AND(OR(CG1319="L1",CG1319="L23",CG1319="LIFT"),H1319&gt;0),CC1319*IF(CR1319&gt;0,CR1319*MAX(1,H1319/X1319),IF(CA1319=1,CE1319,IF(R1319&gt;0,CN1319/R1319,0))/MAX(0.1,N(Parameter!$M$21))),"")</f>
        <v/>
      </c>
      <c r="CT1319" s="64" t="str">
        <f aca="false">IF(CS1319="","",J1319/H1319)</f>
        <v/>
      </c>
      <c r="CU1319" s="62" t="str">
        <f aca="false">IF(CS1319="","",H1319*G1319)</f>
        <v/>
      </c>
      <c r="CV1319" s="63" t="str">
        <f aca="false">IF(CS1319="","",(CL1319+ROUNDUP(CL1319+MAX(CM1319,2*(J1319/MAX(0.1,N(Einkauf!$C$6))-CL1319)),0))/2)</f>
        <v/>
      </c>
      <c r="CW1319" s="62" t="str">
        <f aca="false">IF(CS1319="","",MAX(0,H1319-CV1319)*G1319)</f>
        <v/>
      </c>
      <c r="CX1319" s="62" t="str">
        <f aca="false">IF(CS1319="","",CS1319*MAX(0,1-CV1319/H1319))</f>
        <v/>
      </c>
      <c r="CY1319" s="64" t="str">
        <f aca="false">IF(CS1319="","",PERCENTRANK($CS$7:$CS$1843,CS1319)+PERCENTRANK($CU$7:$CU$1843,CU1319)+1-PERCENTRANK($CT$7:$CT$1843,CT1319))</f>
        <v/>
      </c>
      <c r="CZ1319" s="72" t="str">
        <f aca="false">IF(CS1319="","",CHOOSE(MATCH(Einkauf!$C$5,Parameter!$G$23:$G$27,0),CY1319,CS1319,CU1319,-CT1319,CW1319)+ROW()/1000000000)</f>
        <v/>
      </c>
    </row>
    <row r="1320" customFormat="false" ht="15" hidden="false" customHeight="false" outlineLevel="0" collapsed="false">
      <c r="A1320" s="60" t="s">
        <v>2385</v>
      </c>
      <c r="B1320" s="60" t="s">
        <v>2386</v>
      </c>
      <c r="C1320" s="60" t="s">
        <v>206</v>
      </c>
      <c r="D1320" s="60" t="s">
        <v>226</v>
      </c>
      <c r="E1320" s="60" t="s">
        <v>227</v>
      </c>
      <c r="F1320" s="60" t="s">
        <v>260</v>
      </c>
      <c r="G1320" s="61" t="n">
        <v>564.84</v>
      </c>
      <c r="H1320" s="62" t="n">
        <f aca="false">MAX(0,IF(AND(Parameter!$B$21="Ja",ISNUMBER(Y1320)),Y1320,IF(Parameter!$B$20="Jahresanfang 2025 + Export",BS1320+BR1320,BR1320)))</f>
        <v>1</v>
      </c>
      <c r="I1320" s="62" t="n">
        <f aca="false">H1320*G1320</f>
        <v>564.84</v>
      </c>
      <c r="J1320" s="62" t="n">
        <f aca="false">BU1320*Parameter!$B$18</f>
        <v>15</v>
      </c>
      <c r="K1320" s="63" t="n">
        <v>3.5</v>
      </c>
      <c r="L1320" s="64" t="n">
        <v>4.28571428571429</v>
      </c>
      <c r="M1320" s="62" t="n">
        <v>0</v>
      </c>
      <c r="N1320" s="62" t="n">
        <v>10</v>
      </c>
      <c r="O1320" s="65" t="n">
        <v>21</v>
      </c>
      <c r="P1320" s="60" t="s">
        <v>268</v>
      </c>
      <c r="Q1320" s="62" t="n">
        <v>8</v>
      </c>
      <c r="R1320" s="65" t="n">
        <f aca="false">IF(CA1320=1,0,IFERROR(VLOOKUP(BY1320,'Gebinde-Kategorie'!$A$5:$N$45,13,0)+0,0))</f>
        <v>12</v>
      </c>
      <c r="S1320" s="66"/>
      <c r="T1320" s="67"/>
      <c r="U1320" s="67"/>
      <c r="V1320" s="67"/>
      <c r="W1320" s="60"/>
      <c r="X1320" s="62"/>
      <c r="Y1320" s="62"/>
      <c r="Z1320" s="60" t="n">
        <v>3</v>
      </c>
      <c r="AA1320" s="60" t="n">
        <f aca="false">IF(A1320="","",IF(AND(Parameter!$B$21="Ja",ISNUMBER(W1320)),W1320,IF(AND(Parameter!$E$27="Ja",ISNUMBER(Z1320),CD1320&lt;&gt;"Nein"),Z1320,IF(CD1320="2+3",IF(ISNUMBER(SEARCH("grosser Artikel",BV1320)),2,IFERROR(VLOOKUP(BY1320,Parameter!$F$35:$G$64,2,0),2)),IF(OR(CD1320="Nein",CD1320=""),"-",CD1320)))))</f>
        <v>3</v>
      </c>
      <c r="AB1320" s="67"/>
      <c r="AC1320" s="68"/>
      <c r="AD1320" s="62" t="n">
        <f aca="false">AW1320</f>
        <v>10</v>
      </c>
      <c r="AE1320" s="62" t="n">
        <f aca="false">MAX(AW1320,H1320)</f>
        <v>10</v>
      </c>
      <c r="AF1320" s="69"/>
      <c r="AG1320" s="62" t="n">
        <f aca="false">IF(LEFT(Cockpit!$C$5,1)="A",H1320,IF(Parameter!$E$30="MAX-Bestand",IF(CI1320=1,CJ1320,IF(LEFT(Cockpit!$C$5,1)="B",AM1320,MAX(AM1320,H1320))),ROUNDUP(AK1320,0)))</f>
        <v>1</v>
      </c>
      <c r="AH1320" s="62" t="n">
        <f aca="false">IF(CA1320=1,0,ROUNDUP(AG1320/BZ1320,0))</f>
        <v>1</v>
      </c>
      <c r="AI1320" s="64" t="n">
        <f aca="false">IF(CR1320&gt;0,CR1320*MAX(1,AG1320/X1320),IF(CA1320=1,IF(AG1320&lt;=0,0,CE1320*MAX(1,IF(H1320&gt;0,AG1320/H1320,1))),IF(R1320&gt;0,AH1320/R1320,0))/MAX(0.1,N(Parameter!$M$21)))</f>
        <v>0.0833333333333333</v>
      </c>
      <c r="AJ1320" s="62" t="n">
        <f aca="false">AI1320*CC1320</f>
        <v>28.75</v>
      </c>
      <c r="AK1320" s="63" t="n">
        <f aca="false">IF(LEFT(Cockpit!$C$5,1)="A",H1320,IF(CI1320=1,(CL1320+CJ1320)/2,IF(LEFT(Cockpit!$C$5,1)="B",(CL1320+AM1320)/2,MAX((CL1320+AM1320)/2,H1320))))</f>
        <v>1</v>
      </c>
      <c r="AL1320" s="62" t="n">
        <f aca="false">AK1320*G1320</f>
        <v>564.84</v>
      </c>
      <c r="AM1320" s="62" t="n">
        <f aca="false">ROUNDUP(CL1320+MAX(CM1320,2*(J1320/IF(CH1320&gt;0,CH1320,MAX(0.1,N(Cockpit!$C$6)))-CL1320)),0)</f>
        <v>10</v>
      </c>
      <c r="AN1320" s="63" t="n">
        <f aca="false">IF(AJ1320&gt;0,J1320/AJ1320,-1)</f>
        <v>0.521739130434783</v>
      </c>
      <c r="AO1320" s="63" t="n">
        <f aca="false">IF(AND(OR(CG1320="L1",CG1320="L23",CG1320="LIFT"),AJ1320&gt;0),SUMIFS($AJ$7:$AJ$1843,$CG$7:$CG$1843,CG1320,$AN$7:$AN$1843,"&gt;"&amp;AN1320)+SUMIFS($AJ$7:$AJ$1843,$CG$7:$CG$1843,CG1320,$AN$7:$AN$1843,AN1320,$BX$7:$BX$1843,"&lt;="&amp;BX1320),"")</f>
        <v>9528.95922062871</v>
      </c>
      <c r="AP1320" s="70" t="n">
        <f aca="false">IF(AO1320="",0,MAX(0,MIN(1,(IF(CG1320="L1",Parameter!$H$5,IF(CG1320="L23",Parameter!$H$6+Parameter!$H$7,Parameter!$H$5+Parameter!$H$6+Parameter!$H$7))-(AO1320-AJ1320))/AJ1320)))</f>
        <v>1</v>
      </c>
      <c r="AQ1320" s="62" t="n">
        <f aca="false">IF(LEFT(Cockpit!$I$5,1)="A",H1320,IF(Parameter!$E$30="MAX-Bestand",IF(CI1320=1,CJ1320,IF(LEFT(Cockpit!$I$5,1)="B",AW1320,MAX(AW1320,H1320))),ROUNDUP(AU1320,0)))</f>
        <v>5</v>
      </c>
      <c r="AR1320" s="62" t="n">
        <f aca="false">IF(CA1320=1,0,ROUNDUP(AQ1320/BZ1320,0))</f>
        <v>1</v>
      </c>
      <c r="AS1320" s="64" t="n">
        <f aca="false">IF(CR1320&gt;0,CR1320*MAX(1,AQ1320/X1320),IF(CA1320=1,IF(AQ1320&lt;=0,0,CE1320*MAX(1,IF(H1320&gt;0,AQ1320/H1320,1))),IF(R1320&gt;0,AR1320/R1320,0))/MAX(0.1,N(Parameter!$M$21)))</f>
        <v>0.0833333333333333</v>
      </c>
      <c r="AT1320" s="62" t="n">
        <f aca="false">AS1320*CC1320</f>
        <v>28.75</v>
      </c>
      <c r="AU1320" s="63" t="n">
        <f aca="false">IF(LEFT(Cockpit!$I$5,1)="A",H1320,IF(CI1320=1,(CL1320+CJ1320)/2,IF(LEFT(Cockpit!$I$5,1)="B",(CL1320+AW1320)/2,MAX((CL1320+AW1320)/2,H1320))))</f>
        <v>5</v>
      </c>
      <c r="AV1320" s="62" t="n">
        <f aca="false">AU1320*G1320</f>
        <v>2824.2</v>
      </c>
      <c r="AW1320" s="62" t="n">
        <f aca="false">ROUNDUP(CL1320+MAX(CM1320,2*(J1320/IF(CH1320&gt;0,CH1320,MAX(0.1,N(Cockpit!$I$6)))-CL1320)),0)</f>
        <v>10</v>
      </c>
      <c r="AX1320" s="63" t="n">
        <f aca="false">IF(AT1320&gt;0,J1320/AT1320,-1)</f>
        <v>0.521739130434783</v>
      </c>
      <c r="AY1320" s="63" t="n">
        <f aca="false">IF(AND(OR(CG1320="L1",CG1320="L23",CG1320="LIFT"),AT1320&gt;0),SUMIFS($AT$7:$AT$1843,$CG$7:$CG$1843,CG1320,$AX$7:$AX$1843,"&gt;"&amp;AX1320)+SUMIFS($AT$7:$AT$1843,$CG$7:$CG$1843,CG1320,$AX$7:$AX$1843,AX1320,$BX$7:$BX$1843,"&lt;="&amp;BX1320),"")</f>
        <v>11930.8727106227</v>
      </c>
      <c r="AZ1320" s="70" t="n">
        <f aca="false">IF(AY1320="",0,MAX(0,MIN(1,(IF(CG1320="L1",Parameter!$H$5,IF(CG1320="L23",Parameter!$H$6+Parameter!$H$7,Parameter!$H$5+Parameter!$H$6+Parameter!$H$7))-(AY1320-AT1320))/AT1320)))</f>
        <v>1</v>
      </c>
      <c r="BA1320" s="62" t="n">
        <f aca="false">IF(LEFT(Cockpit!$O$5,1)="A",H1320,IF(Parameter!$E$30="MAX-Bestand",IF(CI1320=1,CJ1320,IF(LEFT(Cockpit!$O$5,1)="B",BG1320,MAX(BG1320,H1320))),ROUNDUP(BE1320,0)))</f>
        <v>5</v>
      </c>
      <c r="BB1320" s="62" t="n">
        <f aca="false">IF(CA1320=1,0,ROUNDUP(BA1320/BZ1320,0))</f>
        <v>1</v>
      </c>
      <c r="BC1320" s="64" t="n">
        <f aca="false">IF(CR1320&gt;0,CR1320*MAX(1,BA1320/X1320),IF(CA1320=1,IF(BA1320&lt;=0,0,CE1320*MAX(1,IF(H1320&gt;0,BA1320/H1320,1))),IF(R1320&gt;0,BB1320/R1320,0))/MAX(0.1,N(Parameter!$M$21)))</f>
        <v>0.0833333333333333</v>
      </c>
      <c r="BD1320" s="62" t="n">
        <f aca="false">BC1320*CC1320</f>
        <v>28.75</v>
      </c>
      <c r="BE1320" s="63" t="n">
        <f aca="false">IF(LEFT(Cockpit!$O$5,1)="A",H1320,IF(CI1320=1,(CL1320+CJ1320)/2,IF(LEFT(Cockpit!$O$5,1)="B",(CL1320+BG1320)/2,MAX((CL1320+BG1320)/2,H1320))))</f>
        <v>5</v>
      </c>
      <c r="BF1320" s="62" t="n">
        <f aca="false">BE1320*G1320</f>
        <v>2824.2</v>
      </c>
      <c r="BG1320" s="62" t="n">
        <f aca="false">ROUNDUP(CL1320+MAX(CM1320,2*(J1320/IF(CH1320&gt;0,CH1320,MAX(0.1,N(Cockpit!$O$6)))-CL1320)),0)</f>
        <v>10</v>
      </c>
      <c r="BH1320" s="63" t="n">
        <f aca="false">IF(BD1320&gt;0,J1320/BD1320,-1)</f>
        <v>0.521739130434783</v>
      </c>
      <c r="BI1320" s="63" t="n">
        <f aca="false">IF(AND(OR(CG1320="L1",CG1320="L23",CG1320="LIFT"),BD1320&gt;0),SUMIFS($BD$7:$BD$1843,$CG$7:$CG$1843,CG1320,$BH$7:$BH$1843,"&gt;"&amp;BH1320)+SUMIFS($BD$7:$BD$1843,$CG$7:$CG$1843,CG1320,$BH$7:$BH$1843,BH1320,$BX$7:$BX$1843,"&lt;="&amp;BX1320),"")</f>
        <v>10294.2889194139</v>
      </c>
      <c r="BJ1320" s="70" t="n">
        <f aca="false">IF(BI1320="",0,MAX(0,MIN(1,(IF(CG1320="L1",Parameter!$H$5,IF(CG1320="L23",Parameter!$H$6+Parameter!$H$7,Parameter!$H$5+Parameter!$H$6+Parameter!$H$7))-(BI1320-BD1320))/BD1320)))</f>
        <v>1</v>
      </c>
      <c r="BK1320" s="60" t="str">
        <f aca="false">IF(AJ1320&lt;=0,"",IF(CG1320="Aussen","Aussenlager",IF(CG1320="-","Nicht im Lift",IF(AP1320&gt;=1,"Lift",IF(AP1320&lt;=0,"Aussenlager","teilweise")))))</f>
        <v>Lift</v>
      </c>
      <c r="BL1320" s="60" t="str">
        <f aca="false">IF(AT1320&lt;=0,"",IF(CG1320="Aussen","Aussenlager",IF(CG1320="-","Nicht im Lift",IF(AZ1320&gt;=1,"Lift",IF(AZ1320&lt;=0,"Aussenlager","teilweise")))))</f>
        <v>Lift</v>
      </c>
      <c r="BM1320" s="60" t="str">
        <f aca="false">IF(BD1320&lt;=0,"",IF(CG1320="Aussen","Aussenlager",IF(CG1320="-","Nicht im Lift",IF(BJ1320&gt;=1,"Lift",IF(BJ1320&lt;=0,"Aussenlager","teilweise")))))</f>
        <v>Lift</v>
      </c>
      <c r="BN1320" s="60" t="str">
        <f aca="false">IF(A1320="","",IF(BW1320=1,"Neu; ","")&amp;IF(AND(BW1320=0,BR1320&lt;0),"negativer Bestand (Export "&amp;BR1320&amp;"); ","")&amp;IF(J1320&lt;=0,"Kein Verbrauch; ","")&amp;IF(CR1320&gt;0,"Lift "&amp;W1320&amp;" lt. Liftbericht (Fach "&amp;X1320&amp;" Stk); ",IF(CB1320=1,"Gebinde geschätzt ("&amp;T1320&amp;"); ",IF(CA1320=1,"Lose – Tablare geschätzt; ","")))&amp;IF(H1320&gt;AW1320,"Überbestand "&amp;ROUND(H1320-AW1320,0)&amp;" Stk / CHF "&amp;ROUND((H1320-AW1320)*G1320,0)&amp;"; ","")&amp;IF(AND(CI1320=1,CJ1320&lt;CK1320),"MAX &lt; MB+LG; ","")&amp;IF(AND(CQ1320&gt;0,CP1320*10&gt;CQ1320),"zu hoch für Tablar; ","")&amp;IF(AND(BW1320=0,OR(CI1320=1,AB1320&lt;&gt;"",U1320&lt;&gt;"",V1320&lt;&gt;"",AC1320&lt;&gt;"")),"manuell übersteuert; ","")&amp;IF(AND(CA1320=0,R1320=0),"Gebinde unbekannt / Stellmass fehlt; ","")&amp;IF(AND(CA1320=0,N(V1320)&lt;=0,N(Q1320)&lt;=0),"Menge pro Gebinde fehlt (Ist = 1 Gebinde); ","")&amp;BV1320)</f>
        <v>negativer Bestand (Export -3); </v>
      </c>
      <c r="BO1320" s="60"/>
      <c r="BP1320" s="60"/>
      <c r="BQ1320" s="67"/>
      <c r="BR1320" s="62" t="n">
        <v>-3</v>
      </c>
      <c r="BS1320" s="62" t="n">
        <v>4</v>
      </c>
      <c r="BT1320" s="61" t="n">
        <v>-1424.6</v>
      </c>
      <c r="BU1320" s="62" t="n">
        <v>15</v>
      </c>
      <c r="BV1320" s="60"/>
      <c r="BW1320" s="65" t="n">
        <v>0</v>
      </c>
      <c r="BX1320" s="65" t="n">
        <v>1320</v>
      </c>
      <c r="BY1320" s="60" t="str">
        <f aca="false">IF(U1320&lt;&gt;"",UPPER(TRIM(U1320)),IF(CB1320=1,UPPER(VLOOKUP(T1320,Parameter!$I$27:$K$29,2,0)),IF(P1320="","LOSE",P1320)))</f>
        <v>S63</v>
      </c>
      <c r="BZ1320" s="62" t="n">
        <f aca="false">IF(BY1320="LOSE",1,IF(N(V1320)&gt;0,V1320,IF(CB1320=1,MAX(1,N(VLOOKUP(T1320,Parameter!$I$27:$K$29,3,0)),H1320,N(N1320)),IF(N(Q1320)&gt;0,Q1320,MAX(1,H1320)))))</f>
        <v>8</v>
      </c>
      <c r="CA1320" s="65" t="n">
        <f aca="false">IF(BY1320="LOSE",1,0)</f>
        <v>0</v>
      </c>
      <c r="CB1320" s="65" t="n">
        <f aca="false">IF(AND(U1320="",OR(P1320="",P1320="LOSE"),T1320&lt;&gt;"",N(S1320)&lt;=0,ISNUMBER(MATCH(T1320,Parameter!$I$27:$I$29,0))),1,0)</f>
        <v>0</v>
      </c>
      <c r="CC1320" s="65" t="n">
        <f aca="false">IF(CR1320&gt;0,INDEX(Parameter!$H$5:$H$7,W1320)/INDEX(Parameter!$E$5:$E$7,W1320),IF(AND(CA1320=0,N(IFERROR(VLOOKUP(BY1320,'Gebinde-Kategorie'!$A$5:$N$45,14,0),0))&gt;0),VLOOKUP(BY1320,'Gebinde-Kategorie'!$A$5:$N$45,14,0)*10+Parameter!$M$23,Parameter!$M$24))</f>
        <v>345</v>
      </c>
      <c r="CD1320" s="60" t="str">
        <f aca="false">IF(AND(Parameter!$B$19="Ja",E1320&lt;&gt;"",ISNUMBER(MATCH(E1320,Parameter!$I$35:$I$52,0))),VLOOKUP(E1320,Parameter!$I$35:$J$52,2,0),IFERROR(VLOOKUP(D1320,Parameter!$A$35:$C$64,2,0),"Nein"))</f>
        <v>2+3</v>
      </c>
      <c r="CE1320" s="64" t="n">
        <f aca="false">IF(CA1320=0,0,IF(N(S1320)&gt;0,S1320,IFERROR(VLOOKUP(D1320,Parameter!$A$35:$C$64,3,0)+0,0)))</f>
        <v>0</v>
      </c>
      <c r="CF1320" s="60" t="n">
        <f aca="false">IF(AB1320&lt;&gt;"",AB1320,AA1320)</f>
        <v>3</v>
      </c>
      <c r="CG1320" s="60" t="str">
        <f aca="false">IF(OR(CF1320=1,CF1320=2,CF1320=3),IF(Parameter!$E$27="Ja","LIFT",IF(CF1320=1,"L1","L23")),IF(CF1320="Aussen","Aussen","-"))</f>
        <v>LIFT</v>
      </c>
      <c r="CH1320" s="71" t="n">
        <f aca="false">IF(N(AC1320)&gt;0,AC1320,0)</f>
        <v>0</v>
      </c>
      <c r="CI1320" s="65" t="n">
        <f aca="false">IF(ISNUMBER(AF1320),1,0)</f>
        <v>0</v>
      </c>
      <c r="CJ1320" s="62" t="n">
        <f aca="false">N(AF1320)</f>
        <v>0</v>
      </c>
      <c r="CK1320" s="62" t="n">
        <f aca="false">N(M1320)+N(N1320)</f>
        <v>10</v>
      </c>
      <c r="CL1320" s="62" t="n">
        <f aca="false">N(M1320)</f>
        <v>0</v>
      </c>
      <c r="CM1320" s="62" t="n">
        <f aca="false">N(N1320)</f>
        <v>10</v>
      </c>
      <c r="CN1320" s="62" t="n">
        <f aca="false">ROUNDUP(H1320/BZ1320,0)</f>
        <v>1</v>
      </c>
      <c r="CO1320" s="62" t="n">
        <f aca="false">ROUNDUP(CJ1320/BZ1320,0)</f>
        <v>0</v>
      </c>
      <c r="CP1320" s="65" t="n">
        <f aca="false">IF(CA1320=1,0,IFERROR(VLOOKUP(BY1320,'Gebinde-Kategorie'!$A$5:$N$45,5,0)+0,0))</f>
        <v>31</v>
      </c>
      <c r="CQ1320" s="65" t="n">
        <f aca="false">IFERROR(IF(OR(CF1320=1,CF1320=2,CF1320=3),N(INDEX(Parameter!$I$5:$I$7,CF1320)),0),0)</f>
        <v>0</v>
      </c>
      <c r="CR1320" s="64" t="n">
        <f aca="false">IF(AND(Parameter!$B$21="Ja",ISNUMBER(W1320),N(X1320)&gt;0),IFERROR(N(INDEX(Parameter!$L$5:$L$7,W1320))*INDEX(Parameter!$E$5:$E$7,W1320)*X1320/SUMIFS($X$7:$X$1843,$W$7:$W$1843,W1320),0),0)</f>
        <v>0</v>
      </c>
      <c r="CS1320" s="62" t="n">
        <f aca="false">IF(AND(OR(CG1320="L1",CG1320="L23",CG1320="LIFT"),H1320&gt;0),CC1320*IF(CR1320&gt;0,CR1320*MAX(1,H1320/X1320),IF(CA1320=1,CE1320,IF(R1320&gt;0,CN1320/R1320,0))/MAX(0.1,N(Parameter!$M$21))),"")</f>
        <v>28.75</v>
      </c>
      <c r="CT1320" s="64" t="n">
        <f aca="false">IF(CS1320="","",J1320/H1320)</f>
        <v>15</v>
      </c>
      <c r="CU1320" s="62" t="n">
        <f aca="false">IF(CS1320="","",H1320*G1320)</f>
        <v>564.84</v>
      </c>
      <c r="CV1320" s="63" t="n">
        <f aca="false">IF(CS1320="","",(CL1320+ROUNDUP(CL1320+MAX(CM1320,2*(J1320/MAX(0.1,N(Einkauf!$C$6))-CL1320)),0))/2)</f>
        <v>5</v>
      </c>
      <c r="CW1320" s="62" t="n">
        <f aca="false">IF(CS1320="","",MAX(0,H1320-CV1320)*G1320)</f>
        <v>0</v>
      </c>
      <c r="CX1320" s="62" t="n">
        <f aca="false">IF(CS1320="","",CS1320*MAX(0,1-CV1320/H1320))</f>
        <v>0</v>
      </c>
      <c r="CY1320" s="64" t="n">
        <f aca="false">IF(CS1320="","",PERCENTRANK($CS$7:$CS$1843,CS1320)+PERCENTRANK($CU$7:$CU$1843,CU1320)+1-PERCENTRANK($CT$7:$CT$1843,CT1320))</f>
        <v>1.362</v>
      </c>
      <c r="CZ1320" s="72" t="n">
        <f aca="false">IF(CS1320="","",CHOOSE(MATCH(Einkauf!$C$5,Parameter!$G$23:$G$27,0),CY1320,CS1320,CU1320,-CT1320,CW1320)+ROW()/1000000000)</f>
        <v>1.36200132</v>
      </c>
    </row>
    <row r="1321" customFormat="false" ht="15" hidden="false" customHeight="false" outlineLevel="0" collapsed="false">
      <c r="A1321" s="60" t="s">
        <v>2387</v>
      </c>
      <c r="B1321" s="60" t="s">
        <v>622</v>
      </c>
      <c r="C1321" s="60" t="s">
        <v>206</v>
      </c>
      <c r="D1321" s="60" t="s">
        <v>215</v>
      </c>
      <c r="E1321" s="60" t="s">
        <v>208</v>
      </c>
      <c r="F1321" s="60" t="s">
        <v>260</v>
      </c>
      <c r="G1321" s="61" t="n">
        <v>189.21</v>
      </c>
      <c r="H1321" s="62" t="n">
        <f aca="false">MAX(0,IF(AND(Parameter!$B$21="Ja",ISNUMBER(Y1321)),Y1321,IF(Parameter!$B$20="Jahresanfang 2025 + Export",BS1321+BR1321,BR1321)))</f>
        <v>8</v>
      </c>
      <c r="I1321" s="62" t="n">
        <f aca="false">H1321*G1321</f>
        <v>1513.68</v>
      </c>
      <c r="J1321" s="62" t="n">
        <f aca="false">BU1321*Parameter!$B$18</f>
        <v>25</v>
      </c>
      <c r="K1321" s="63" t="n">
        <v>12</v>
      </c>
      <c r="L1321" s="64" t="n">
        <v>2.08333333333333</v>
      </c>
      <c r="M1321" s="62" t="n">
        <v>2</v>
      </c>
      <c r="N1321" s="62" t="n">
        <v>10</v>
      </c>
      <c r="O1321" s="65" t="n">
        <v>21</v>
      </c>
      <c r="P1321" s="60" t="s">
        <v>216</v>
      </c>
      <c r="Q1321" s="62" t="n">
        <v>13</v>
      </c>
      <c r="R1321" s="65" t="n">
        <f aca="false">IF(CA1321=1,0,IFERROR(VLOOKUP(BY1321,'Gebinde-Kategorie'!$A$5:$N$45,13,0)+0,0))</f>
        <v>6</v>
      </c>
      <c r="S1321" s="66"/>
      <c r="T1321" s="67"/>
      <c r="U1321" s="67"/>
      <c r="V1321" s="67"/>
      <c r="W1321" s="60"/>
      <c r="X1321" s="62"/>
      <c r="Y1321" s="62"/>
      <c r="Z1321" s="60" t="n">
        <v>2</v>
      </c>
      <c r="AA1321" s="60" t="n">
        <f aca="false">IF(A1321="","",IF(AND(Parameter!$B$21="Ja",ISNUMBER(W1321)),W1321,IF(AND(Parameter!$E$27="Ja",ISNUMBER(Z1321),CD1321&lt;&gt;"Nein"),Z1321,IF(CD1321="2+3",IF(ISNUMBER(SEARCH("grosser Artikel",BV1321)),2,IFERROR(VLOOKUP(BY1321,Parameter!$F$35:$G$64,2,0),2)),IF(OR(CD1321="Nein",CD1321=""),"-",CD1321)))))</f>
        <v>2</v>
      </c>
      <c r="AB1321" s="67"/>
      <c r="AC1321" s="68"/>
      <c r="AD1321" s="62" t="n">
        <f aca="false">AW1321</f>
        <v>15</v>
      </c>
      <c r="AE1321" s="62" t="n">
        <f aca="false">MAX(AW1321,H1321)</f>
        <v>15</v>
      </c>
      <c r="AF1321" s="69"/>
      <c r="AG1321" s="62" t="n">
        <f aca="false">IF(LEFT(Cockpit!$C$5,1)="A",H1321,IF(Parameter!$E$30="MAX-Bestand",IF(CI1321=1,CJ1321,IF(LEFT(Cockpit!$C$5,1)="B",AM1321,MAX(AM1321,H1321))),ROUNDUP(AK1321,0)))</f>
        <v>8</v>
      </c>
      <c r="AH1321" s="62" t="n">
        <f aca="false">IF(CA1321=1,0,ROUNDUP(AG1321/BZ1321,0))</f>
        <v>1</v>
      </c>
      <c r="AI1321" s="64" t="n">
        <f aca="false">IF(CR1321&gt;0,CR1321*MAX(1,AG1321/X1321),IF(CA1321=1,IF(AG1321&lt;=0,0,CE1321*MAX(1,IF(H1321&gt;0,AG1321/H1321,1))),IF(R1321&gt;0,AH1321/R1321,0))/MAX(0.1,N(Parameter!$M$21)))</f>
        <v>0.166666666666667</v>
      </c>
      <c r="AJ1321" s="62" t="n">
        <f aca="false">AI1321*CC1321</f>
        <v>39.1666666666667</v>
      </c>
      <c r="AK1321" s="63" t="n">
        <f aca="false">IF(LEFT(Cockpit!$C$5,1)="A",H1321,IF(CI1321=1,(CL1321+CJ1321)/2,IF(LEFT(Cockpit!$C$5,1)="B",(CL1321+AM1321)/2,MAX((CL1321+AM1321)/2,H1321))))</f>
        <v>8</v>
      </c>
      <c r="AL1321" s="62" t="n">
        <f aca="false">AK1321*G1321</f>
        <v>1513.68</v>
      </c>
      <c r="AM1321" s="62" t="n">
        <f aca="false">ROUNDUP(CL1321+MAX(CM1321,2*(J1321/IF(CH1321&gt;0,CH1321,MAX(0.1,N(Cockpit!$C$6)))-CL1321)),0)</f>
        <v>15</v>
      </c>
      <c r="AN1321" s="63" t="n">
        <f aca="false">IF(AJ1321&gt;0,J1321/AJ1321,-1)</f>
        <v>0.638297872340426</v>
      </c>
      <c r="AO1321" s="63" t="n">
        <f aca="false">IF(AND(OR(CG1321="L1",CG1321="L23",CG1321="LIFT"),AJ1321&gt;0),SUMIFS($AJ$7:$AJ$1843,$CG$7:$CG$1843,CG1321,$AN$7:$AN$1843,"&gt;"&amp;AN1321)+SUMIFS($AJ$7:$AJ$1843,$CG$7:$CG$1843,CG1321,$AN$7:$AN$1843,AN1321,$BX$7:$BX$1843,"&lt;="&amp;BX1321),"")</f>
        <v>8811.70512820513</v>
      </c>
      <c r="AP1321" s="70" t="n">
        <f aca="false">IF(AO1321="",0,MAX(0,MIN(1,(IF(CG1321="L1",Parameter!$H$5,IF(CG1321="L23",Parameter!$H$6+Parameter!$H$7,Parameter!$H$5+Parameter!$H$6+Parameter!$H$7))-(AO1321-AJ1321))/AJ1321)))</f>
        <v>1</v>
      </c>
      <c r="AQ1321" s="62" t="n">
        <f aca="false">IF(LEFT(Cockpit!$I$5,1)="A",H1321,IF(Parameter!$E$30="MAX-Bestand",IF(CI1321=1,CJ1321,IF(LEFT(Cockpit!$I$5,1)="B",AW1321,MAX(AW1321,H1321))),ROUNDUP(AU1321,0)))</f>
        <v>9</v>
      </c>
      <c r="AR1321" s="62" t="n">
        <f aca="false">IF(CA1321=1,0,ROUNDUP(AQ1321/BZ1321,0))</f>
        <v>1</v>
      </c>
      <c r="AS1321" s="64" t="n">
        <f aca="false">IF(CR1321&gt;0,CR1321*MAX(1,AQ1321/X1321),IF(CA1321=1,IF(AQ1321&lt;=0,0,CE1321*MAX(1,IF(H1321&gt;0,AQ1321/H1321,1))),IF(R1321&gt;0,AR1321/R1321,0))/MAX(0.1,N(Parameter!$M$21)))</f>
        <v>0.166666666666667</v>
      </c>
      <c r="AT1321" s="62" t="n">
        <f aca="false">AS1321*CC1321</f>
        <v>39.1666666666667</v>
      </c>
      <c r="AU1321" s="63" t="n">
        <f aca="false">IF(LEFT(Cockpit!$I$5,1)="A",H1321,IF(CI1321=1,(CL1321+CJ1321)/2,IF(LEFT(Cockpit!$I$5,1)="B",(CL1321+AW1321)/2,MAX((CL1321+AW1321)/2,H1321))))</f>
        <v>8.5</v>
      </c>
      <c r="AV1321" s="62" t="n">
        <f aca="false">AU1321*G1321</f>
        <v>1608.285</v>
      </c>
      <c r="AW1321" s="62" t="n">
        <f aca="false">ROUNDUP(CL1321+MAX(CM1321,2*(J1321/IF(CH1321&gt;0,CH1321,MAX(0.1,N(Cockpit!$I$6)))-CL1321)),0)</f>
        <v>15</v>
      </c>
      <c r="AX1321" s="63" t="n">
        <f aca="false">IF(AT1321&gt;0,J1321/AT1321,-1)</f>
        <v>0.638297872340426</v>
      </c>
      <c r="AY1321" s="63" t="n">
        <f aca="false">IF(AND(OR(CG1321="L1",CG1321="L23",CG1321="LIFT"),AT1321&gt;0),SUMIFS($AT$7:$AT$1843,$CG$7:$CG$1843,CG1321,$AX$7:$AX$1843,"&gt;"&amp;AX1321)+SUMIFS($AT$7:$AT$1843,$CG$7:$CG$1843,CG1321,$AX$7:$AX$1843,AX1321,$BX$7:$BX$1843,"&lt;="&amp;BX1321),"")</f>
        <v>11111.8342490843</v>
      </c>
      <c r="AZ1321" s="70" t="n">
        <f aca="false">IF(AY1321="",0,MAX(0,MIN(1,(IF(CG1321="L1",Parameter!$H$5,IF(CG1321="L23",Parameter!$H$6+Parameter!$H$7,Parameter!$H$5+Parameter!$H$6+Parameter!$H$7))-(AY1321-AT1321))/AT1321)))</f>
        <v>1</v>
      </c>
      <c r="BA1321" s="62" t="n">
        <f aca="false">IF(LEFT(Cockpit!$O$5,1)="A",H1321,IF(Parameter!$E$30="MAX-Bestand",IF(CI1321=1,CJ1321,IF(LEFT(Cockpit!$O$5,1)="B",BG1321,MAX(BG1321,H1321))),ROUNDUP(BE1321,0)))</f>
        <v>7</v>
      </c>
      <c r="BB1321" s="62" t="n">
        <f aca="false">IF(CA1321=1,0,ROUNDUP(BA1321/BZ1321,0))</f>
        <v>1</v>
      </c>
      <c r="BC1321" s="64" t="n">
        <f aca="false">IF(CR1321&gt;0,CR1321*MAX(1,BA1321/X1321),IF(CA1321=1,IF(BA1321&lt;=0,0,CE1321*MAX(1,IF(H1321&gt;0,BA1321/H1321,1))),IF(R1321&gt;0,BB1321/R1321,0))/MAX(0.1,N(Parameter!$M$21)))</f>
        <v>0.166666666666667</v>
      </c>
      <c r="BD1321" s="62" t="n">
        <f aca="false">BC1321*CC1321</f>
        <v>39.1666666666667</v>
      </c>
      <c r="BE1321" s="63" t="n">
        <f aca="false">IF(LEFT(Cockpit!$O$5,1)="A",H1321,IF(CI1321=1,(CL1321+CJ1321)/2,IF(LEFT(Cockpit!$O$5,1)="B",(CL1321+BG1321)/2,MAX((CL1321+BG1321)/2,H1321))))</f>
        <v>7</v>
      </c>
      <c r="BF1321" s="62" t="n">
        <f aca="false">BE1321*G1321</f>
        <v>1324.47</v>
      </c>
      <c r="BG1321" s="62" t="n">
        <f aca="false">ROUNDUP(CL1321+MAX(CM1321,2*(J1321/IF(CH1321&gt;0,CH1321,MAX(0.1,N(Cockpit!$O$6)))-CL1321)),0)</f>
        <v>12</v>
      </c>
      <c r="BH1321" s="63" t="n">
        <f aca="false">IF(BD1321&gt;0,J1321/BD1321,-1)</f>
        <v>0.638297872340426</v>
      </c>
      <c r="BI1321" s="63" t="n">
        <f aca="false">IF(AND(OR(CG1321="L1",CG1321="L23",CG1321="LIFT"),BD1321&gt;0),SUMIFS($BD$7:$BD$1843,$CG$7:$CG$1843,CG1321,$BH$7:$BH$1843,"&gt;"&amp;BH1321)+SUMIFS($BD$7:$BD$1843,$CG$7:$CG$1843,CG1321,$BH$7:$BH$1843,BH1321,$BX$7:$BX$1843,"&lt;="&amp;BX1321),"")</f>
        <v>9724.44917582418</v>
      </c>
      <c r="BJ1321" s="70" t="n">
        <f aca="false">IF(BI1321="",0,MAX(0,MIN(1,(IF(CG1321="L1",Parameter!$H$5,IF(CG1321="L23",Parameter!$H$6+Parameter!$H$7,Parameter!$H$5+Parameter!$H$6+Parameter!$H$7))-(BI1321-BD1321))/BD1321)))</f>
        <v>1</v>
      </c>
      <c r="BK1321" s="60" t="str">
        <f aca="false">IF(AJ1321&lt;=0,"",IF(CG1321="Aussen","Aussenlager",IF(CG1321="-","Nicht im Lift",IF(AP1321&gt;=1,"Lift",IF(AP1321&lt;=0,"Aussenlager","teilweise")))))</f>
        <v>Lift</v>
      </c>
      <c r="BL1321" s="60" t="str">
        <f aca="false">IF(AT1321&lt;=0,"",IF(CG1321="Aussen","Aussenlager",IF(CG1321="-","Nicht im Lift",IF(AZ1321&gt;=1,"Lift",IF(AZ1321&lt;=0,"Aussenlager","teilweise")))))</f>
        <v>Lift</v>
      </c>
      <c r="BM1321" s="60" t="str">
        <f aca="false">IF(BD1321&lt;=0,"",IF(CG1321="Aussen","Aussenlager",IF(CG1321="-","Nicht im Lift",IF(BJ1321&gt;=1,"Lift",IF(BJ1321&lt;=0,"Aussenlager","teilweise")))))</f>
        <v>Lift</v>
      </c>
      <c r="BN1321" s="60" t="str">
        <f aca="false">IF(A1321="","",IF(BW1321=1,"Neu; ","")&amp;IF(AND(BW1321=0,BR1321&lt;0),"negativer Bestand (Export "&amp;BR1321&amp;"); ","")&amp;IF(J1321&lt;=0,"Kein Verbrauch; ","")&amp;IF(CR1321&gt;0,"Lift "&amp;W1321&amp;" lt. Liftbericht (Fach "&amp;X1321&amp;" Stk); ",IF(CB1321=1,"Gebinde geschätzt ("&amp;T1321&amp;"); ",IF(CA1321=1,"Lose – Tablare geschätzt; ","")))&amp;IF(H1321&gt;AW1321,"Überbestand "&amp;ROUND(H1321-AW1321,0)&amp;" Stk / CHF "&amp;ROUND((H1321-AW1321)*G1321,0)&amp;"; ","")&amp;IF(AND(CI1321=1,CJ1321&lt;CK1321),"MAX &lt; MB+LG; ","")&amp;IF(AND(CQ1321&gt;0,CP1321*10&gt;CQ1321),"zu hoch für Tablar; ","")&amp;IF(AND(BW1321=0,OR(CI1321=1,AB1321&lt;&gt;"",U1321&lt;&gt;"",V1321&lt;&gt;"",AC1321&lt;&gt;"")),"manuell übersteuert; ","")&amp;IF(AND(CA1321=0,R1321=0),"Gebinde unbekannt / Stellmass fehlt; ","")&amp;IF(AND(CA1321=0,N(V1321)&lt;=0,N(Q1321)&lt;=0),"Menge pro Gebinde fehlt (Ist = 1 Gebinde); ","")&amp;BV1321)</f>
        <v>negativer Bestand (Export -6); </v>
      </c>
      <c r="BO1321" s="60"/>
      <c r="BP1321" s="60"/>
      <c r="BQ1321" s="67"/>
      <c r="BR1321" s="62" t="n">
        <v>-6</v>
      </c>
      <c r="BS1321" s="62" t="n">
        <v>14</v>
      </c>
      <c r="BT1321" s="61" t="n">
        <v>-1429.68</v>
      </c>
      <c r="BU1321" s="62" t="n">
        <v>25</v>
      </c>
      <c r="BV1321" s="60"/>
      <c r="BW1321" s="65" t="n">
        <v>0</v>
      </c>
      <c r="BX1321" s="65" t="n">
        <v>1321</v>
      </c>
      <c r="BY1321" s="60" t="str">
        <f aca="false">IF(U1321&lt;&gt;"",UPPER(TRIM(U1321)),IF(CB1321=1,UPPER(VLOOKUP(T1321,Parameter!$I$27:$K$29,2,0)),IF(P1321="","LOSE",P1321)))</f>
        <v>S71</v>
      </c>
      <c r="BZ1321" s="62" t="n">
        <f aca="false">IF(BY1321="LOSE",1,IF(N(V1321)&gt;0,V1321,IF(CB1321=1,MAX(1,N(VLOOKUP(T1321,Parameter!$I$27:$K$29,3,0)),H1321,N(N1321)),IF(N(Q1321)&gt;0,Q1321,MAX(1,H1321)))))</f>
        <v>13</v>
      </c>
      <c r="CA1321" s="65" t="n">
        <f aca="false">IF(BY1321="LOSE",1,0)</f>
        <v>0</v>
      </c>
      <c r="CB1321" s="65" t="n">
        <f aca="false">IF(AND(U1321="",OR(P1321="",P1321="LOSE"),T1321&lt;&gt;"",N(S1321)&lt;=0,ISNUMBER(MATCH(T1321,Parameter!$I$27:$I$29,0))),1,0)</f>
        <v>0</v>
      </c>
      <c r="CC1321" s="65" t="n">
        <f aca="false">IF(CR1321&gt;0,INDEX(Parameter!$H$5:$H$7,W1321)/INDEX(Parameter!$E$5:$E$7,W1321),IF(AND(CA1321=0,N(IFERROR(VLOOKUP(BY1321,'Gebinde-Kategorie'!$A$5:$N$45,14,0),0))&gt;0),VLOOKUP(BY1321,'Gebinde-Kategorie'!$A$5:$N$45,14,0)*10+Parameter!$M$23,Parameter!$M$24))</f>
        <v>235</v>
      </c>
      <c r="CD1321" s="60" t="n">
        <f aca="false">IF(AND(Parameter!$B$19="Ja",E1321&lt;&gt;"",ISNUMBER(MATCH(E1321,Parameter!$I$35:$I$52,0))),VLOOKUP(E1321,Parameter!$I$35:$J$52,2,0),IFERROR(VLOOKUP(D1321,Parameter!$A$35:$C$64,2,0),"Nein"))</f>
        <v>1</v>
      </c>
      <c r="CE1321" s="64" t="n">
        <f aca="false">IF(CA1321=0,0,IF(N(S1321)&gt;0,S1321,IFERROR(VLOOKUP(D1321,Parameter!$A$35:$C$64,3,0)+0,0)))</f>
        <v>0</v>
      </c>
      <c r="CF1321" s="60" t="n">
        <f aca="false">IF(AB1321&lt;&gt;"",AB1321,AA1321)</f>
        <v>2</v>
      </c>
      <c r="CG1321" s="60" t="str">
        <f aca="false">IF(OR(CF1321=1,CF1321=2,CF1321=3),IF(Parameter!$E$27="Ja","LIFT",IF(CF1321=1,"L1","L23")),IF(CF1321="Aussen","Aussen","-"))</f>
        <v>LIFT</v>
      </c>
      <c r="CH1321" s="71" t="n">
        <f aca="false">IF(N(AC1321)&gt;0,AC1321,0)</f>
        <v>0</v>
      </c>
      <c r="CI1321" s="65" t="n">
        <f aca="false">IF(ISNUMBER(AF1321),1,0)</f>
        <v>0</v>
      </c>
      <c r="CJ1321" s="62" t="n">
        <f aca="false">N(AF1321)</f>
        <v>0</v>
      </c>
      <c r="CK1321" s="62" t="n">
        <f aca="false">N(M1321)+N(N1321)</f>
        <v>12</v>
      </c>
      <c r="CL1321" s="62" t="n">
        <f aca="false">N(M1321)</f>
        <v>2</v>
      </c>
      <c r="CM1321" s="62" t="n">
        <f aca="false">N(N1321)</f>
        <v>10</v>
      </c>
      <c r="CN1321" s="62" t="n">
        <f aca="false">ROUNDUP(H1321/BZ1321,0)</f>
        <v>1</v>
      </c>
      <c r="CO1321" s="62" t="n">
        <f aca="false">ROUNDUP(CJ1321/BZ1321,0)</f>
        <v>0</v>
      </c>
      <c r="CP1321" s="65" t="n">
        <f aca="false">IF(CA1321=1,0,IFERROR(VLOOKUP(BY1321,'Gebinde-Kategorie'!$A$5:$N$45,5,0)+0,0))</f>
        <v>20</v>
      </c>
      <c r="CQ1321" s="65" t="n">
        <f aca="false">IFERROR(IF(OR(CF1321=1,CF1321=2,CF1321=3),N(INDEX(Parameter!$I$5:$I$7,CF1321)),0),0)</f>
        <v>0</v>
      </c>
      <c r="CR1321" s="64" t="n">
        <f aca="false">IF(AND(Parameter!$B$21="Ja",ISNUMBER(W1321),N(X1321)&gt;0),IFERROR(N(INDEX(Parameter!$L$5:$L$7,W1321))*INDEX(Parameter!$E$5:$E$7,W1321)*X1321/SUMIFS($X$7:$X$1843,$W$7:$W$1843,W1321),0),0)</f>
        <v>0</v>
      </c>
      <c r="CS1321" s="62" t="n">
        <f aca="false">IF(AND(OR(CG1321="L1",CG1321="L23",CG1321="LIFT"),H1321&gt;0),CC1321*IF(CR1321&gt;0,CR1321*MAX(1,H1321/X1321),IF(CA1321=1,CE1321,IF(R1321&gt;0,CN1321/R1321,0))/MAX(0.1,N(Parameter!$M$21))),"")</f>
        <v>39.1666666666667</v>
      </c>
      <c r="CT1321" s="64" t="n">
        <f aca="false">IF(CS1321="","",J1321/H1321)</f>
        <v>3.125</v>
      </c>
      <c r="CU1321" s="62" t="n">
        <f aca="false">IF(CS1321="","",H1321*G1321)</f>
        <v>1513.68</v>
      </c>
      <c r="CV1321" s="63" t="n">
        <f aca="false">IF(CS1321="","",(CL1321+ROUNDUP(CL1321+MAX(CM1321,2*(J1321/MAX(0.1,N(Einkauf!$C$6))-CL1321)),0))/2)</f>
        <v>7</v>
      </c>
      <c r="CW1321" s="62" t="n">
        <f aca="false">IF(CS1321="","",MAX(0,H1321-CV1321)*G1321)</f>
        <v>189.21</v>
      </c>
      <c r="CX1321" s="62" t="n">
        <f aca="false">IF(CS1321="","",CS1321*MAX(0,1-CV1321/H1321))</f>
        <v>4.89583333333333</v>
      </c>
      <c r="CY1321" s="64" t="n">
        <f aca="false">IF(CS1321="","",PERCENTRANK($CS$7:$CS$1843,CS1321)+PERCENTRANK($CU$7:$CU$1843,CU1321)+1-PERCENTRANK($CT$7:$CT$1843,CT1321))</f>
        <v>1.685</v>
      </c>
      <c r="CZ1321" s="72" t="n">
        <f aca="false">IF(CS1321="","",CHOOSE(MATCH(Einkauf!$C$5,Parameter!$G$23:$G$27,0),CY1321,CS1321,CU1321,-CT1321,CW1321)+ROW()/1000000000)</f>
        <v>1.685001321</v>
      </c>
    </row>
    <row r="1322" customFormat="false" ht="15" hidden="false" customHeight="false" outlineLevel="0" collapsed="false">
      <c r="A1322" s="60" t="s">
        <v>2388</v>
      </c>
      <c r="B1322" s="60" t="s">
        <v>2389</v>
      </c>
      <c r="C1322" s="60" t="s">
        <v>206</v>
      </c>
      <c r="D1322" s="60" t="s">
        <v>226</v>
      </c>
      <c r="E1322" s="60"/>
      <c r="F1322" s="60" t="s">
        <v>260</v>
      </c>
      <c r="G1322" s="61" t="n">
        <v>1433.79</v>
      </c>
      <c r="H1322" s="62" t="n">
        <f aca="false">MAX(0,IF(AND(Parameter!$B$21="Ja",ISNUMBER(Y1322)),Y1322,IF(Parameter!$B$20="Jahresanfang 2025 + Export",BS1322+BR1322,BR1322)))</f>
        <v>6</v>
      </c>
      <c r="I1322" s="62" t="n">
        <f aca="false">H1322*G1322</f>
        <v>8602.74</v>
      </c>
      <c r="J1322" s="62" t="n">
        <f aca="false">BU1322*Parameter!$B$18</f>
        <v>0</v>
      </c>
      <c r="K1322" s="63" t="n">
        <v>7</v>
      </c>
      <c r="L1322" s="64" t="n">
        <v>0</v>
      </c>
      <c r="M1322" s="62" t="n">
        <v>1</v>
      </c>
      <c r="N1322" s="62" t="n">
        <v>1</v>
      </c>
      <c r="O1322" s="65" t="n">
        <v>14</v>
      </c>
      <c r="P1322" s="60" t="s">
        <v>268</v>
      </c>
      <c r="Q1322" s="62" t="n">
        <v>6</v>
      </c>
      <c r="R1322" s="65" t="n">
        <f aca="false">IF(CA1322=1,0,IFERROR(VLOOKUP(BY1322,'Gebinde-Kategorie'!$A$5:$N$45,13,0)+0,0))</f>
        <v>12</v>
      </c>
      <c r="S1322" s="66"/>
      <c r="T1322" s="67"/>
      <c r="U1322" s="67"/>
      <c r="V1322" s="67"/>
      <c r="W1322" s="60"/>
      <c r="X1322" s="62"/>
      <c r="Y1322" s="62"/>
      <c r="Z1322" s="60" t="n">
        <v>3</v>
      </c>
      <c r="AA1322" s="60" t="n">
        <f aca="false">IF(A1322="","",IF(AND(Parameter!$B$21="Ja",ISNUMBER(W1322)),W1322,IF(AND(Parameter!$E$27="Ja",ISNUMBER(Z1322),CD1322&lt;&gt;"Nein"),Z1322,IF(CD1322="2+3",IF(ISNUMBER(SEARCH("grosser Artikel",BV1322)),2,IFERROR(VLOOKUP(BY1322,Parameter!$F$35:$G$64,2,0),2)),IF(OR(CD1322="Nein",CD1322=""),"-",CD1322)))))</f>
        <v>3</v>
      </c>
      <c r="AB1322" s="67"/>
      <c r="AC1322" s="68"/>
      <c r="AD1322" s="62" t="n">
        <f aca="false">AW1322</f>
        <v>2</v>
      </c>
      <c r="AE1322" s="62" t="n">
        <f aca="false">MAX(AW1322,H1322)</f>
        <v>6</v>
      </c>
      <c r="AF1322" s="69"/>
      <c r="AG1322" s="62" t="n">
        <f aca="false">IF(LEFT(Cockpit!$C$5,1)="A",H1322,IF(Parameter!$E$30="MAX-Bestand",IF(CI1322=1,CJ1322,IF(LEFT(Cockpit!$C$5,1)="B",AM1322,MAX(AM1322,H1322))),ROUNDUP(AK1322,0)))</f>
        <v>6</v>
      </c>
      <c r="AH1322" s="62" t="n">
        <f aca="false">IF(CA1322=1,0,ROUNDUP(AG1322/BZ1322,0))</f>
        <v>1</v>
      </c>
      <c r="AI1322" s="64" t="n">
        <f aca="false">IF(CR1322&gt;0,CR1322*MAX(1,AG1322/X1322),IF(CA1322=1,IF(AG1322&lt;=0,0,CE1322*MAX(1,IF(H1322&gt;0,AG1322/H1322,1))),IF(R1322&gt;0,AH1322/R1322,0))/MAX(0.1,N(Parameter!$M$21)))</f>
        <v>0.0833333333333333</v>
      </c>
      <c r="AJ1322" s="62" t="n">
        <f aca="false">AI1322*CC1322</f>
        <v>28.75</v>
      </c>
      <c r="AK1322" s="63" t="n">
        <f aca="false">IF(LEFT(Cockpit!$C$5,1)="A",H1322,IF(CI1322=1,(CL1322+CJ1322)/2,IF(LEFT(Cockpit!$C$5,1)="B",(CL1322+AM1322)/2,MAX((CL1322+AM1322)/2,H1322))))</f>
        <v>6</v>
      </c>
      <c r="AL1322" s="62" t="n">
        <f aca="false">AK1322*G1322</f>
        <v>8602.74</v>
      </c>
      <c r="AM1322" s="62" t="n">
        <f aca="false">ROUNDUP(CL1322+MAX(CM1322,2*(J1322/IF(CH1322&gt;0,CH1322,MAX(0.1,N(Cockpit!$C$6)))-CL1322)),0)</f>
        <v>2</v>
      </c>
      <c r="AN1322" s="63" t="n">
        <f aca="false">IF(AJ1322&gt;0,J1322/AJ1322,-1)</f>
        <v>0</v>
      </c>
      <c r="AO1322" s="63" t="n">
        <f aca="false">IF(AND(OR(CG1322="L1",CG1322="L23",CG1322="LIFT"),AJ1322&gt;0),SUMIFS($AJ$7:$AJ$1843,$CG$7:$CG$1843,CG1322,$AN$7:$AN$1843,"&gt;"&amp;AN1322)+SUMIFS($AJ$7:$AJ$1843,$CG$7:$CG$1843,CG1322,$AN$7:$AN$1843,AN1322,$BX$7:$BX$1843,"&lt;="&amp;BX1322),"")</f>
        <v>29480.666834813</v>
      </c>
      <c r="AP1322" s="70" t="n">
        <f aca="false">IF(AO1322="",0,MAX(0,MIN(1,(IF(CG1322="L1",Parameter!$H$5,IF(CG1322="L23",Parameter!$H$6+Parameter!$H$7,Parameter!$H$5+Parameter!$H$6+Parameter!$H$7))-(AO1322-AJ1322))/AJ1322)))</f>
        <v>1</v>
      </c>
      <c r="AQ1322" s="62" t="n">
        <f aca="false">IF(LEFT(Cockpit!$I$5,1)="A",H1322,IF(Parameter!$E$30="MAX-Bestand",IF(CI1322=1,CJ1322,IF(LEFT(Cockpit!$I$5,1)="B",AW1322,MAX(AW1322,H1322))),ROUNDUP(AU1322,0)))</f>
        <v>6</v>
      </c>
      <c r="AR1322" s="62" t="n">
        <f aca="false">IF(CA1322=1,0,ROUNDUP(AQ1322/BZ1322,0))</f>
        <v>1</v>
      </c>
      <c r="AS1322" s="64" t="n">
        <f aca="false">IF(CR1322&gt;0,CR1322*MAX(1,AQ1322/X1322),IF(CA1322=1,IF(AQ1322&lt;=0,0,CE1322*MAX(1,IF(H1322&gt;0,AQ1322/H1322,1))),IF(R1322&gt;0,AR1322/R1322,0))/MAX(0.1,N(Parameter!$M$21)))</f>
        <v>0.0833333333333333</v>
      </c>
      <c r="AT1322" s="62" t="n">
        <f aca="false">AS1322*CC1322</f>
        <v>28.75</v>
      </c>
      <c r="AU1322" s="63" t="n">
        <f aca="false">IF(LEFT(Cockpit!$I$5,1)="A",H1322,IF(CI1322=1,(CL1322+CJ1322)/2,IF(LEFT(Cockpit!$I$5,1)="B",(CL1322+AW1322)/2,MAX((CL1322+AW1322)/2,H1322))))</f>
        <v>6</v>
      </c>
      <c r="AV1322" s="62" t="n">
        <f aca="false">AU1322*G1322</f>
        <v>8602.74</v>
      </c>
      <c r="AW1322" s="62" t="n">
        <f aca="false">ROUNDUP(CL1322+MAX(CM1322,2*(J1322/IF(CH1322&gt;0,CH1322,MAX(0.1,N(Cockpit!$I$6)))-CL1322)),0)</f>
        <v>2</v>
      </c>
      <c r="AX1322" s="63" t="n">
        <f aca="false">IF(AT1322&gt;0,J1322/AT1322,-1)</f>
        <v>0</v>
      </c>
      <c r="AY1322" s="63" t="n">
        <f aca="false">IF(AND(OR(CG1322="L1",CG1322="L23",CG1322="LIFT"),AT1322&gt;0),SUMIFS($AT$7:$AT$1843,$CG$7:$CG$1843,CG1322,$AX$7:$AX$1843,"&gt;"&amp;AX1322)+SUMIFS($AT$7:$AT$1843,$CG$7:$CG$1843,CG1322,$AX$7:$AX$1843,AX1322,$BX$7:$BX$1843,"&lt;="&amp;BX1322),"")</f>
        <v>35699.4171245421</v>
      </c>
      <c r="AZ1322" s="70" t="n">
        <f aca="false">IF(AY1322="",0,MAX(0,MIN(1,(IF(CG1322="L1",Parameter!$H$5,IF(CG1322="L23",Parameter!$H$6+Parameter!$H$7,Parameter!$H$5+Parameter!$H$6+Parameter!$H$7))-(AY1322-AT1322))/AT1322)))</f>
        <v>1</v>
      </c>
      <c r="BA1322" s="62" t="n">
        <f aca="false">IF(LEFT(Cockpit!$O$5,1)="A",H1322,IF(Parameter!$E$30="MAX-Bestand",IF(CI1322=1,CJ1322,IF(LEFT(Cockpit!$O$5,1)="B",BG1322,MAX(BG1322,H1322))),ROUNDUP(BE1322,0)))</f>
        <v>2</v>
      </c>
      <c r="BB1322" s="62" t="n">
        <f aca="false">IF(CA1322=1,0,ROUNDUP(BA1322/BZ1322,0))</f>
        <v>1</v>
      </c>
      <c r="BC1322" s="64" t="n">
        <f aca="false">IF(CR1322&gt;0,CR1322*MAX(1,BA1322/X1322),IF(CA1322=1,IF(BA1322&lt;=0,0,CE1322*MAX(1,IF(H1322&gt;0,BA1322/H1322,1))),IF(R1322&gt;0,BB1322/R1322,0))/MAX(0.1,N(Parameter!$M$21)))</f>
        <v>0.0833333333333333</v>
      </c>
      <c r="BD1322" s="62" t="n">
        <f aca="false">BC1322*CC1322</f>
        <v>28.75</v>
      </c>
      <c r="BE1322" s="63" t="n">
        <f aca="false">IF(LEFT(Cockpit!$O$5,1)="A",H1322,IF(CI1322=1,(CL1322+CJ1322)/2,IF(LEFT(Cockpit!$O$5,1)="B",(CL1322+BG1322)/2,MAX((CL1322+BG1322)/2,H1322))))</f>
        <v>1.5</v>
      </c>
      <c r="BF1322" s="62" t="n">
        <f aca="false">BE1322*G1322</f>
        <v>2150.685</v>
      </c>
      <c r="BG1322" s="62" t="n">
        <f aca="false">ROUNDUP(CL1322+MAX(CM1322,2*(J1322/IF(CH1322&gt;0,CH1322,MAX(0.1,N(Cockpit!$O$6)))-CL1322)),0)</f>
        <v>2</v>
      </c>
      <c r="BH1322" s="63" t="n">
        <f aca="false">IF(BD1322&gt;0,J1322/BD1322,-1)</f>
        <v>0</v>
      </c>
      <c r="BI1322" s="63" t="n">
        <f aca="false">IF(AND(OR(CG1322="L1",CG1322="L23",CG1322="LIFT"),BD1322&gt;0),SUMIFS($BD$7:$BD$1843,$CG$7:$CG$1843,CG1322,$BH$7:$BH$1843,"&gt;"&amp;BH1322)+SUMIFS($BD$7:$BD$1843,$CG$7:$CG$1843,CG1322,$BH$7:$BH$1843,BH1322,$BX$7:$BX$1843,"&lt;="&amp;BX1322),"")</f>
        <v>29684.7237846899</v>
      </c>
      <c r="BJ1322" s="70" t="n">
        <f aca="false">IF(BI1322="",0,MAX(0,MIN(1,(IF(CG1322="L1",Parameter!$H$5,IF(CG1322="L23",Parameter!$H$6+Parameter!$H$7,Parameter!$H$5+Parameter!$H$6+Parameter!$H$7))-(BI1322-BD1322))/BD1322)))</f>
        <v>1</v>
      </c>
      <c r="BK1322" s="60" t="str">
        <f aca="false">IF(AJ1322&lt;=0,"",IF(CG1322="Aussen","Aussenlager",IF(CG1322="-","Nicht im Lift",IF(AP1322&gt;=1,"Lift",IF(AP1322&lt;=0,"Aussenlager","teilweise")))))</f>
        <v>Lift</v>
      </c>
      <c r="BL1322" s="60" t="str">
        <f aca="false">IF(AT1322&lt;=0,"",IF(CG1322="Aussen","Aussenlager",IF(CG1322="-","Nicht im Lift",IF(AZ1322&gt;=1,"Lift",IF(AZ1322&lt;=0,"Aussenlager","teilweise")))))</f>
        <v>Lift</v>
      </c>
      <c r="BM1322" s="60" t="str">
        <f aca="false">IF(BD1322&lt;=0,"",IF(CG1322="Aussen","Aussenlager",IF(CG1322="-","Nicht im Lift",IF(BJ1322&gt;=1,"Lift",IF(BJ1322&lt;=0,"Aussenlager","teilweise")))))</f>
        <v>Lift</v>
      </c>
      <c r="BN1322" s="60" t="str">
        <f aca="false">IF(A1322="","",IF(BW1322=1,"Neu; ","")&amp;IF(AND(BW1322=0,BR1322&lt;0),"negativer Bestand (Export "&amp;BR1322&amp;"); ","")&amp;IF(J1322&lt;=0,"Kein Verbrauch; ","")&amp;IF(CR1322&gt;0,"Lift "&amp;W1322&amp;" lt. Liftbericht (Fach "&amp;X1322&amp;" Stk); ",IF(CB1322=1,"Gebinde geschätzt ("&amp;T1322&amp;"); ",IF(CA1322=1,"Lose – Tablare geschätzt; ","")))&amp;IF(H1322&gt;AW1322,"Überbestand "&amp;ROUND(H1322-AW1322,0)&amp;" Stk / CHF "&amp;ROUND((H1322-AW1322)*G1322,0)&amp;"; ","")&amp;IF(AND(CI1322=1,CJ1322&lt;CK1322),"MAX &lt; MB+LG; ","")&amp;IF(AND(CQ1322&gt;0,CP1322*10&gt;CQ1322),"zu hoch für Tablar; ","")&amp;IF(AND(BW1322=0,OR(CI1322=1,AB1322&lt;&gt;"",U1322&lt;&gt;"",V1322&lt;&gt;"",AC1322&lt;&gt;"")),"manuell übersteuert; ","")&amp;IF(AND(CA1322=0,R1322=0),"Gebinde unbekannt / Stellmass fehlt; ","")&amp;IF(AND(CA1322=0,N(V1322)&lt;=0,N(Q1322)&lt;=0),"Menge pro Gebinde fehlt (Ist = 1 Gebinde); ","")&amp;BV1322)</f>
        <v>negativer Bestand (Export -1); Kein Verbrauch; Überbestand 4 Stk / CHF 5735; </v>
      </c>
      <c r="BO1322" s="60"/>
      <c r="BP1322" s="60"/>
      <c r="BQ1322" s="67"/>
      <c r="BR1322" s="62" t="n">
        <v>-1</v>
      </c>
      <c r="BS1322" s="62" t="n">
        <v>7</v>
      </c>
      <c r="BT1322" s="61" t="n">
        <v>-1433.79</v>
      </c>
      <c r="BU1322" s="62" t="n">
        <v>0</v>
      </c>
      <c r="BV1322" s="60"/>
      <c r="BW1322" s="65" t="n">
        <v>0</v>
      </c>
      <c r="BX1322" s="65" t="n">
        <v>1322</v>
      </c>
      <c r="BY1322" s="60" t="str">
        <f aca="false">IF(U1322&lt;&gt;"",UPPER(TRIM(U1322)),IF(CB1322=1,UPPER(VLOOKUP(T1322,Parameter!$I$27:$K$29,2,0)),IF(P1322="","LOSE",P1322)))</f>
        <v>S63</v>
      </c>
      <c r="BZ1322" s="62" t="n">
        <f aca="false">IF(BY1322="LOSE",1,IF(N(V1322)&gt;0,V1322,IF(CB1322=1,MAX(1,N(VLOOKUP(T1322,Parameter!$I$27:$K$29,3,0)),H1322,N(N1322)),IF(N(Q1322)&gt;0,Q1322,MAX(1,H1322)))))</f>
        <v>6</v>
      </c>
      <c r="CA1322" s="65" t="n">
        <f aca="false">IF(BY1322="LOSE",1,0)</f>
        <v>0</v>
      </c>
      <c r="CB1322" s="65" t="n">
        <f aca="false">IF(AND(U1322="",OR(P1322="",P1322="LOSE"),T1322&lt;&gt;"",N(S1322)&lt;=0,ISNUMBER(MATCH(T1322,Parameter!$I$27:$I$29,0))),1,0)</f>
        <v>0</v>
      </c>
      <c r="CC1322" s="65" t="n">
        <f aca="false">IF(CR1322&gt;0,INDEX(Parameter!$H$5:$H$7,W1322)/INDEX(Parameter!$E$5:$E$7,W1322),IF(AND(CA1322=0,N(IFERROR(VLOOKUP(BY1322,'Gebinde-Kategorie'!$A$5:$N$45,14,0),0))&gt;0),VLOOKUP(BY1322,'Gebinde-Kategorie'!$A$5:$N$45,14,0)*10+Parameter!$M$23,Parameter!$M$24))</f>
        <v>345</v>
      </c>
      <c r="CD1322" s="60" t="str">
        <f aca="false">IF(AND(Parameter!$B$19="Ja",E1322&lt;&gt;"",ISNUMBER(MATCH(E1322,Parameter!$I$35:$I$52,0))),VLOOKUP(E1322,Parameter!$I$35:$J$52,2,0),IFERROR(VLOOKUP(D1322,Parameter!$A$35:$C$64,2,0),"Nein"))</f>
        <v>2+3</v>
      </c>
      <c r="CE1322" s="64" t="n">
        <f aca="false">IF(CA1322=0,0,IF(N(S1322)&gt;0,S1322,IFERROR(VLOOKUP(D1322,Parameter!$A$35:$C$64,3,0)+0,0)))</f>
        <v>0</v>
      </c>
      <c r="CF1322" s="60" t="n">
        <f aca="false">IF(AB1322&lt;&gt;"",AB1322,AA1322)</f>
        <v>3</v>
      </c>
      <c r="CG1322" s="60" t="str">
        <f aca="false">IF(OR(CF1322=1,CF1322=2,CF1322=3),IF(Parameter!$E$27="Ja","LIFT",IF(CF1322=1,"L1","L23")),IF(CF1322="Aussen","Aussen","-"))</f>
        <v>LIFT</v>
      </c>
      <c r="CH1322" s="71" t="n">
        <f aca="false">IF(N(AC1322)&gt;0,AC1322,0)</f>
        <v>0</v>
      </c>
      <c r="CI1322" s="65" t="n">
        <f aca="false">IF(ISNUMBER(AF1322),1,0)</f>
        <v>0</v>
      </c>
      <c r="CJ1322" s="62" t="n">
        <f aca="false">N(AF1322)</f>
        <v>0</v>
      </c>
      <c r="CK1322" s="62" t="n">
        <f aca="false">N(M1322)+N(N1322)</f>
        <v>2</v>
      </c>
      <c r="CL1322" s="62" t="n">
        <f aca="false">N(M1322)</f>
        <v>1</v>
      </c>
      <c r="CM1322" s="62" t="n">
        <f aca="false">N(N1322)</f>
        <v>1</v>
      </c>
      <c r="CN1322" s="62" t="n">
        <f aca="false">ROUNDUP(H1322/BZ1322,0)</f>
        <v>1</v>
      </c>
      <c r="CO1322" s="62" t="n">
        <f aca="false">ROUNDUP(CJ1322/BZ1322,0)</f>
        <v>0</v>
      </c>
      <c r="CP1322" s="65" t="n">
        <f aca="false">IF(CA1322=1,0,IFERROR(VLOOKUP(BY1322,'Gebinde-Kategorie'!$A$5:$N$45,5,0)+0,0))</f>
        <v>31</v>
      </c>
      <c r="CQ1322" s="65" t="n">
        <f aca="false">IFERROR(IF(OR(CF1322=1,CF1322=2,CF1322=3),N(INDEX(Parameter!$I$5:$I$7,CF1322)),0),0)</f>
        <v>0</v>
      </c>
      <c r="CR1322" s="64" t="n">
        <f aca="false">IF(AND(Parameter!$B$21="Ja",ISNUMBER(W1322),N(X1322)&gt;0),IFERROR(N(INDEX(Parameter!$L$5:$L$7,W1322))*INDEX(Parameter!$E$5:$E$7,W1322)*X1322/SUMIFS($X$7:$X$1843,$W$7:$W$1843,W1322),0),0)</f>
        <v>0</v>
      </c>
      <c r="CS1322" s="62" t="n">
        <f aca="false">IF(AND(OR(CG1322="L1",CG1322="L23",CG1322="LIFT"),H1322&gt;0),CC1322*IF(CR1322&gt;0,CR1322*MAX(1,H1322/X1322),IF(CA1322=1,CE1322,IF(R1322&gt;0,CN1322/R1322,0))/MAX(0.1,N(Parameter!$M$21))),"")</f>
        <v>28.75</v>
      </c>
      <c r="CT1322" s="64" t="n">
        <f aca="false">IF(CS1322="","",J1322/H1322)</f>
        <v>0</v>
      </c>
      <c r="CU1322" s="62" t="n">
        <f aca="false">IF(CS1322="","",H1322*G1322)</f>
        <v>8602.74</v>
      </c>
      <c r="CV1322" s="63" t="n">
        <f aca="false">IF(CS1322="","",(CL1322+ROUNDUP(CL1322+MAX(CM1322,2*(J1322/MAX(0.1,N(Einkauf!$C$6))-CL1322)),0))/2)</f>
        <v>1.5</v>
      </c>
      <c r="CW1322" s="62" t="n">
        <f aca="false">IF(CS1322="","",MAX(0,H1322-CV1322)*G1322)</f>
        <v>6452.055</v>
      </c>
      <c r="CX1322" s="62" t="n">
        <f aca="false">IF(CS1322="","",CS1322*MAX(0,1-CV1322/H1322))</f>
        <v>21.5625</v>
      </c>
      <c r="CY1322" s="64" t="n">
        <f aca="false">IF(CS1322="","",PERCENTRANK($CS$7:$CS$1843,CS1322)+PERCENTRANK($CU$7:$CU$1843,CU1322)+1-PERCENTRANK($CT$7:$CT$1843,CT1322))</f>
        <v>2.767</v>
      </c>
      <c r="CZ1322" s="72" t="n">
        <f aca="false">IF(CS1322="","",CHOOSE(MATCH(Einkauf!$C$5,Parameter!$G$23:$G$27,0),CY1322,CS1322,CU1322,-CT1322,CW1322)+ROW()/1000000000)</f>
        <v>2.767001322</v>
      </c>
    </row>
    <row r="1323" customFormat="false" ht="15" hidden="false" customHeight="false" outlineLevel="0" collapsed="false">
      <c r="A1323" s="60" t="s">
        <v>2390</v>
      </c>
      <c r="B1323" s="60" t="s">
        <v>2391</v>
      </c>
      <c r="C1323" s="60" t="s">
        <v>206</v>
      </c>
      <c r="D1323" s="60" t="s">
        <v>226</v>
      </c>
      <c r="E1323" s="60" t="s">
        <v>227</v>
      </c>
      <c r="F1323" s="60" t="s">
        <v>260</v>
      </c>
      <c r="G1323" s="61" t="n">
        <v>516.55</v>
      </c>
      <c r="H1323" s="62" t="n">
        <f aca="false">MAX(0,IF(AND(Parameter!$B$21="Ja",ISNUMBER(Y1323)),Y1323,IF(Parameter!$B$20="Jahresanfang 2025 + Export",BS1323+BR1323,BR1323)))</f>
        <v>7</v>
      </c>
      <c r="I1323" s="62" t="n">
        <f aca="false">H1323*G1323</f>
        <v>3615.85</v>
      </c>
      <c r="J1323" s="62" t="n">
        <f aca="false">BU1323*Parameter!$B$18</f>
        <v>18</v>
      </c>
      <c r="K1323" s="63" t="n">
        <v>12.5</v>
      </c>
      <c r="L1323" s="64" t="n">
        <v>1.44</v>
      </c>
      <c r="M1323" s="62" t="n">
        <v>1</v>
      </c>
      <c r="N1323" s="62" t="n">
        <v>10</v>
      </c>
      <c r="O1323" s="65" t="n">
        <v>21</v>
      </c>
      <c r="P1323" s="60" t="s">
        <v>335</v>
      </c>
      <c r="Q1323" s="62" t="n">
        <v>38</v>
      </c>
      <c r="R1323" s="65" t="n">
        <f aca="false">IF(CA1323=1,0,IFERROR(VLOOKUP(BY1323,'Gebinde-Kategorie'!$A$5:$N$45,13,0)+0,0))</f>
        <v>12</v>
      </c>
      <c r="S1323" s="66"/>
      <c r="T1323" s="67"/>
      <c r="U1323" s="67"/>
      <c r="V1323" s="67"/>
      <c r="W1323" s="60"/>
      <c r="X1323" s="62"/>
      <c r="Y1323" s="62"/>
      <c r="Z1323" s="60" t="n">
        <v>3</v>
      </c>
      <c r="AA1323" s="60" t="n">
        <f aca="false">IF(A1323="","",IF(AND(Parameter!$B$21="Ja",ISNUMBER(W1323)),W1323,IF(AND(Parameter!$E$27="Ja",ISNUMBER(Z1323),CD1323&lt;&gt;"Nein"),Z1323,IF(CD1323="2+3",IF(ISNUMBER(SEARCH("grosser Artikel",BV1323)),2,IFERROR(VLOOKUP(BY1323,Parameter!$F$35:$G$64,2,0),2)),IF(OR(CD1323="Nein",CD1323=""),"-",CD1323)))))</f>
        <v>3</v>
      </c>
      <c r="AB1323" s="67"/>
      <c r="AC1323" s="68"/>
      <c r="AD1323" s="62" t="n">
        <f aca="false">AW1323</f>
        <v>11</v>
      </c>
      <c r="AE1323" s="62" t="n">
        <f aca="false">MAX(AW1323,H1323)</f>
        <v>11</v>
      </c>
      <c r="AF1323" s="69"/>
      <c r="AG1323" s="62" t="n">
        <f aca="false">IF(LEFT(Cockpit!$C$5,1)="A",H1323,IF(Parameter!$E$30="MAX-Bestand",IF(CI1323=1,CJ1323,IF(LEFT(Cockpit!$C$5,1)="B",AM1323,MAX(AM1323,H1323))),ROUNDUP(AK1323,0)))</f>
        <v>7</v>
      </c>
      <c r="AH1323" s="62" t="n">
        <f aca="false">IF(CA1323=1,0,ROUNDUP(AG1323/BZ1323,0))</f>
        <v>1</v>
      </c>
      <c r="AI1323" s="64" t="n">
        <f aca="false">IF(CR1323&gt;0,CR1323*MAX(1,AG1323/X1323),IF(CA1323=1,IF(AG1323&lt;=0,0,CE1323*MAX(1,IF(H1323&gt;0,AG1323/H1323,1))),IF(R1323&gt;0,AH1323/R1323,0))/MAX(0.1,N(Parameter!$M$21)))</f>
        <v>0.0833333333333333</v>
      </c>
      <c r="AJ1323" s="62" t="n">
        <f aca="false">AI1323*CC1323</f>
        <v>20.4166666666667</v>
      </c>
      <c r="AK1323" s="63" t="n">
        <f aca="false">IF(LEFT(Cockpit!$C$5,1)="A",H1323,IF(CI1323=1,(CL1323+CJ1323)/2,IF(LEFT(Cockpit!$C$5,1)="B",(CL1323+AM1323)/2,MAX((CL1323+AM1323)/2,H1323))))</f>
        <v>7</v>
      </c>
      <c r="AL1323" s="62" t="n">
        <f aca="false">AK1323*G1323</f>
        <v>3615.85</v>
      </c>
      <c r="AM1323" s="62" t="n">
        <f aca="false">ROUNDUP(CL1323+MAX(CM1323,2*(J1323/IF(CH1323&gt;0,CH1323,MAX(0.1,N(Cockpit!$C$6)))-CL1323)),0)</f>
        <v>11</v>
      </c>
      <c r="AN1323" s="63" t="n">
        <f aca="false">IF(AJ1323&gt;0,J1323/AJ1323,-1)</f>
        <v>0.881632653061225</v>
      </c>
      <c r="AO1323" s="63" t="n">
        <f aca="false">IF(AND(OR(CG1323="L1",CG1323="L23",CG1323="LIFT"),AJ1323&gt;0),SUMIFS($AJ$7:$AJ$1843,$CG$7:$CG$1843,CG1323,$AN$7:$AN$1843,"&gt;"&amp;AN1323)+SUMIFS($AJ$7:$AJ$1843,$CG$7:$CG$1843,CG1323,$AN$7:$AN$1843,AN1323,$BX$7:$BX$1843,"&lt;="&amp;BX1323),"")</f>
        <v>7651.52884615385</v>
      </c>
      <c r="AP1323" s="70" t="n">
        <f aca="false">IF(AO1323="",0,MAX(0,MIN(1,(IF(CG1323="L1",Parameter!$H$5,IF(CG1323="L23",Parameter!$H$6+Parameter!$H$7,Parameter!$H$5+Parameter!$H$6+Parameter!$H$7))-(AO1323-AJ1323))/AJ1323)))</f>
        <v>1</v>
      </c>
      <c r="AQ1323" s="62" t="n">
        <f aca="false">IF(LEFT(Cockpit!$I$5,1)="A",H1323,IF(Parameter!$E$30="MAX-Bestand",IF(CI1323=1,CJ1323,IF(LEFT(Cockpit!$I$5,1)="B",AW1323,MAX(AW1323,H1323))),ROUNDUP(AU1323,0)))</f>
        <v>7</v>
      </c>
      <c r="AR1323" s="62" t="n">
        <f aca="false">IF(CA1323=1,0,ROUNDUP(AQ1323/BZ1323,0))</f>
        <v>1</v>
      </c>
      <c r="AS1323" s="64" t="n">
        <f aca="false">IF(CR1323&gt;0,CR1323*MAX(1,AQ1323/X1323),IF(CA1323=1,IF(AQ1323&lt;=0,0,CE1323*MAX(1,IF(H1323&gt;0,AQ1323/H1323,1))),IF(R1323&gt;0,AR1323/R1323,0))/MAX(0.1,N(Parameter!$M$21)))</f>
        <v>0.0833333333333333</v>
      </c>
      <c r="AT1323" s="62" t="n">
        <f aca="false">AS1323*CC1323</f>
        <v>20.4166666666667</v>
      </c>
      <c r="AU1323" s="63" t="n">
        <f aca="false">IF(LEFT(Cockpit!$I$5,1)="A",H1323,IF(CI1323=1,(CL1323+CJ1323)/2,IF(LEFT(Cockpit!$I$5,1)="B",(CL1323+AW1323)/2,MAX((CL1323+AW1323)/2,H1323))))</f>
        <v>7</v>
      </c>
      <c r="AV1323" s="62" t="n">
        <f aca="false">AU1323*G1323</f>
        <v>3615.85</v>
      </c>
      <c r="AW1323" s="62" t="n">
        <f aca="false">ROUNDUP(CL1323+MAX(CM1323,2*(J1323/IF(CH1323&gt;0,CH1323,MAX(0.1,N(Cockpit!$I$6)))-CL1323)),0)</f>
        <v>11</v>
      </c>
      <c r="AX1323" s="63" t="n">
        <f aca="false">IF(AT1323&gt;0,J1323/AT1323,-1)</f>
        <v>0.881632653061225</v>
      </c>
      <c r="AY1323" s="63" t="n">
        <f aca="false">IF(AND(OR(CG1323="L1",CG1323="L23",CG1323="LIFT"),AT1323&gt;0),SUMIFS($AT$7:$AT$1843,$CG$7:$CG$1843,CG1323,$AX$7:$AX$1843,"&gt;"&amp;AX1323)+SUMIFS($AT$7:$AT$1843,$CG$7:$CG$1843,CG1323,$AX$7:$AX$1843,AX1323,$BX$7:$BX$1843,"&lt;="&amp;BX1323),"")</f>
        <v>9225.96886446886</v>
      </c>
      <c r="AZ1323" s="70" t="n">
        <f aca="false">IF(AY1323="",0,MAX(0,MIN(1,(IF(CG1323="L1",Parameter!$H$5,IF(CG1323="L23",Parameter!$H$6+Parameter!$H$7,Parameter!$H$5+Parameter!$H$6+Parameter!$H$7))-(AY1323-AT1323))/AT1323)))</f>
        <v>1</v>
      </c>
      <c r="BA1323" s="62" t="n">
        <f aca="false">IF(LEFT(Cockpit!$O$5,1)="A",H1323,IF(Parameter!$E$30="MAX-Bestand",IF(CI1323=1,CJ1323,IF(LEFT(Cockpit!$O$5,1)="B",BG1323,MAX(BG1323,H1323))),ROUNDUP(BE1323,0)))</f>
        <v>6</v>
      </c>
      <c r="BB1323" s="62" t="n">
        <f aca="false">IF(CA1323=1,0,ROUNDUP(BA1323/BZ1323,0))</f>
        <v>1</v>
      </c>
      <c r="BC1323" s="64" t="n">
        <f aca="false">IF(CR1323&gt;0,CR1323*MAX(1,BA1323/X1323),IF(CA1323=1,IF(BA1323&lt;=0,0,CE1323*MAX(1,IF(H1323&gt;0,BA1323/H1323,1))),IF(R1323&gt;0,BB1323/R1323,0))/MAX(0.1,N(Parameter!$M$21)))</f>
        <v>0.0833333333333333</v>
      </c>
      <c r="BD1323" s="62" t="n">
        <f aca="false">BC1323*CC1323</f>
        <v>20.4166666666667</v>
      </c>
      <c r="BE1323" s="63" t="n">
        <f aca="false">IF(LEFT(Cockpit!$O$5,1)="A",H1323,IF(CI1323=1,(CL1323+CJ1323)/2,IF(LEFT(Cockpit!$O$5,1)="B",(CL1323+BG1323)/2,MAX((CL1323+BG1323)/2,H1323))))</f>
        <v>6</v>
      </c>
      <c r="BF1323" s="62" t="n">
        <f aca="false">BE1323*G1323</f>
        <v>3099.3</v>
      </c>
      <c r="BG1323" s="62" t="n">
        <f aca="false">ROUNDUP(CL1323+MAX(CM1323,2*(J1323/IF(CH1323&gt;0,CH1323,MAX(0.1,N(Cockpit!$O$6)))-CL1323)),0)</f>
        <v>11</v>
      </c>
      <c r="BH1323" s="63" t="n">
        <f aca="false">IF(BD1323&gt;0,J1323/BD1323,-1)</f>
        <v>0.881632653061225</v>
      </c>
      <c r="BI1323" s="63" t="n">
        <f aca="false">IF(AND(OR(CG1323="L1",CG1323="L23",CG1323="LIFT"),BD1323&gt;0),SUMIFS($BD$7:$BD$1843,$CG$7:$CG$1843,CG1323,$BH$7:$BH$1843,"&gt;"&amp;BH1323)+SUMIFS($BD$7:$BD$1843,$CG$7:$CG$1843,CG1323,$BH$7:$BH$1843,BH1323,$BX$7:$BX$1843,"&lt;="&amp;BX1323),"")</f>
        <v>8269.35302197802</v>
      </c>
      <c r="BJ1323" s="70" t="n">
        <f aca="false">IF(BI1323="",0,MAX(0,MIN(1,(IF(CG1323="L1",Parameter!$H$5,IF(CG1323="L23",Parameter!$H$6+Parameter!$H$7,Parameter!$H$5+Parameter!$H$6+Parameter!$H$7))-(BI1323-BD1323))/BD1323)))</f>
        <v>1</v>
      </c>
      <c r="BK1323" s="60" t="str">
        <f aca="false">IF(AJ1323&lt;=0,"",IF(CG1323="Aussen","Aussenlager",IF(CG1323="-","Nicht im Lift",IF(AP1323&gt;=1,"Lift",IF(AP1323&lt;=0,"Aussenlager","teilweise")))))</f>
        <v>Lift</v>
      </c>
      <c r="BL1323" s="60" t="str">
        <f aca="false">IF(AT1323&lt;=0,"",IF(CG1323="Aussen","Aussenlager",IF(CG1323="-","Nicht im Lift",IF(AZ1323&gt;=1,"Lift",IF(AZ1323&lt;=0,"Aussenlager","teilweise")))))</f>
        <v>Lift</v>
      </c>
      <c r="BM1323" s="60" t="str">
        <f aca="false">IF(BD1323&lt;=0,"",IF(CG1323="Aussen","Aussenlager",IF(CG1323="-","Nicht im Lift",IF(BJ1323&gt;=1,"Lift",IF(BJ1323&lt;=0,"Aussenlager","teilweise")))))</f>
        <v>Lift</v>
      </c>
      <c r="BN1323" s="60" t="str">
        <f aca="false">IF(A1323="","",IF(BW1323=1,"Neu; ","")&amp;IF(AND(BW1323=0,BR1323&lt;0),"negativer Bestand (Export "&amp;BR1323&amp;"); ","")&amp;IF(J1323&lt;=0,"Kein Verbrauch; ","")&amp;IF(CR1323&gt;0,"Lift "&amp;W1323&amp;" lt. Liftbericht (Fach "&amp;X1323&amp;" Stk); ",IF(CB1323=1,"Gebinde geschätzt ("&amp;T1323&amp;"); ",IF(CA1323=1,"Lose – Tablare geschätzt; ","")))&amp;IF(H1323&gt;AW1323,"Überbestand "&amp;ROUND(H1323-AW1323,0)&amp;" Stk / CHF "&amp;ROUND((H1323-AW1323)*G1323,0)&amp;"; ","")&amp;IF(AND(CI1323=1,CJ1323&lt;CK1323),"MAX &lt; MB+LG; ","")&amp;IF(AND(CQ1323&gt;0,CP1323*10&gt;CQ1323),"zu hoch für Tablar; ","")&amp;IF(AND(BW1323=0,OR(CI1323=1,AB1323&lt;&gt;"",U1323&lt;&gt;"",V1323&lt;&gt;"",AC1323&lt;&gt;"")),"manuell übersteuert; ","")&amp;IF(AND(CA1323=0,R1323=0),"Gebinde unbekannt / Stellmass fehlt; ","")&amp;IF(AND(CA1323=0,N(V1323)&lt;=0,N(Q1323)&lt;=0),"Menge pro Gebinde fehlt (Ist = 1 Gebinde); ","")&amp;BV1323)</f>
        <v>negativer Bestand (Export -3); </v>
      </c>
      <c r="BO1323" s="60"/>
      <c r="BP1323" s="60"/>
      <c r="BQ1323" s="67"/>
      <c r="BR1323" s="62" t="n">
        <v>-3</v>
      </c>
      <c r="BS1323" s="62" t="n">
        <v>10</v>
      </c>
      <c r="BT1323" s="61" t="n">
        <v>-1450.15</v>
      </c>
      <c r="BU1323" s="62" t="n">
        <v>18</v>
      </c>
      <c r="BV1323" s="60"/>
      <c r="BW1323" s="65" t="n">
        <v>0</v>
      </c>
      <c r="BX1323" s="65" t="n">
        <v>1323</v>
      </c>
      <c r="BY1323" s="60" t="str">
        <f aca="false">IF(U1323&lt;&gt;"",UPPER(TRIM(U1323)),IF(CB1323=1,UPPER(VLOOKUP(T1323,Parameter!$I$27:$K$29,2,0)),IF(P1323="","LOSE",P1323)))</f>
        <v>S62</v>
      </c>
      <c r="BZ1323" s="62" t="n">
        <f aca="false">IF(BY1323="LOSE",1,IF(N(V1323)&gt;0,V1323,IF(CB1323=1,MAX(1,N(VLOOKUP(T1323,Parameter!$I$27:$K$29,3,0)),H1323,N(N1323)),IF(N(Q1323)&gt;0,Q1323,MAX(1,H1323)))))</f>
        <v>38</v>
      </c>
      <c r="CA1323" s="65" t="n">
        <f aca="false">IF(BY1323="LOSE",1,0)</f>
        <v>0</v>
      </c>
      <c r="CB1323" s="65" t="n">
        <f aca="false">IF(AND(U1323="",OR(P1323="",P1323="LOSE"),T1323&lt;&gt;"",N(S1323)&lt;=0,ISNUMBER(MATCH(T1323,Parameter!$I$27:$I$29,0))),1,0)</f>
        <v>0</v>
      </c>
      <c r="CC1323" s="65" t="n">
        <f aca="false">IF(CR1323&gt;0,INDEX(Parameter!$H$5:$H$7,W1323)/INDEX(Parameter!$E$5:$E$7,W1323),IF(AND(CA1323=0,N(IFERROR(VLOOKUP(BY1323,'Gebinde-Kategorie'!$A$5:$N$45,14,0),0))&gt;0),VLOOKUP(BY1323,'Gebinde-Kategorie'!$A$5:$N$45,14,0)*10+Parameter!$M$23,Parameter!$M$24))</f>
        <v>245</v>
      </c>
      <c r="CD1323" s="60" t="str">
        <f aca="false">IF(AND(Parameter!$B$19="Ja",E1323&lt;&gt;"",ISNUMBER(MATCH(E1323,Parameter!$I$35:$I$52,0))),VLOOKUP(E1323,Parameter!$I$35:$J$52,2,0),IFERROR(VLOOKUP(D1323,Parameter!$A$35:$C$64,2,0),"Nein"))</f>
        <v>2+3</v>
      </c>
      <c r="CE1323" s="64" t="n">
        <f aca="false">IF(CA1323=0,0,IF(N(S1323)&gt;0,S1323,IFERROR(VLOOKUP(D1323,Parameter!$A$35:$C$64,3,0)+0,0)))</f>
        <v>0</v>
      </c>
      <c r="CF1323" s="60" t="n">
        <f aca="false">IF(AB1323&lt;&gt;"",AB1323,AA1323)</f>
        <v>3</v>
      </c>
      <c r="CG1323" s="60" t="str">
        <f aca="false">IF(OR(CF1323=1,CF1323=2,CF1323=3),IF(Parameter!$E$27="Ja","LIFT",IF(CF1323=1,"L1","L23")),IF(CF1323="Aussen","Aussen","-"))</f>
        <v>LIFT</v>
      </c>
      <c r="CH1323" s="71" t="n">
        <f aca="false">IF(N(AC1323)&gt;0,AC1323,0)</f>
        <v>0</v>
      </c>
      <c r="CI1323" s="65" t="n">
        <f aca="false">IF(ISNUMBER(AF1323),1,0)</f>
        <v>0</v>
      </c>
      <c r="CJ1323" s="62" t="n">
        <f aca="false">N(AF1323)</f>
        <v>0</v>
      </c>
      <c r="CK1323" s="62" t="n">
        <f aca="false">N(M1323)+N(N1323)</f>
        <v>11</v>
      </c>
      <c r="CL1323" s="62" t="n">
        <f aca="false">N(M1323)</f>
        <v>1</v>
      </c>
      <c r="CM1323" s="62" t="n">
        <f aca="false">N(N1323)</f>
        <v>10</v>
      </c>
      <c r="CN1323" s="62" t="n">
        <f aca="false">ROUNDUP(H1323/BZ1323,0)</f>
        <v>1</v>
      </c>
      <c r="CO1323" s="62" t="n">
        <f aca="false">ROUNDUP(CJ1323/BZ1323,0)</f>
        <v>0</v>
      </c>
      <c r="CP1323" s="65" t="n">
        <f aca="false">IF(CA1323=1,0,IFERROR(VLOOKUP(BY1323,'Gebinde-Kategorie'!$A$5:$N$45,5,0)+0,0))</f>
        <v>21</v>
      </c>
      <c r="CQ1323" s="65" t="n">
        <f aca="false">IFERROR(IF(OR(CF1323=1,CF1323=2,CF1323=3),N(INDEX(Parameter!$I$5:$I$7,CF1323)),0),0)</f>
        <v>0</v>
      </c>
      <c r="CR1323" s="64" t="n">
        <f aca="false">IF(AND(Parameter!$B$21="Ja",ISNUMBER(W1323),N(X1323)&gt;0),IFERROR(N(INDEX(Parameter!$L$5:$L$7,W1323))*INDEX(Parameter!$E$5:$E$7,W1323)*X1323/SUMIFS($X$7:$X$1843,$W$7:$W$1843,W1323),0),0)</f>
        <v>0</v>
      </c>
      <c r="CS1323" s="62" t="n">
        <f aca="false">IF(AND(OR(CG1323="L1",CG1323="L23",CG1323="LIFT"),H1323&gt;0),CC1323*IF(CR1323&gt;0,CR1323*MAX(1,H1323/X1323),IF(CA1323=1,CE1323,IF(R1323&gt;0,CN1323/R1323,0))/MAX(0.1,N(Parameter!$M$21))),"")</f>
        <v>20.4166666666667</v>
      </c>
      <c r="CT1323" s="64" t="n">
        <f aca="false">IF(CS1323="","",J1323/H1323)</f>
        <v>2.57142857142857</v>
      </c>
      <c r="CU1323" s="62" t="n">
        <f aca="false">IF(CS1323="","",H1323*G1323)</f>
        <v>3615.85</v>
      </c>
      <c r="CV1323" s="63" t="n">
        <f aca="false">IF(CS1323="","",(CL1323+ROUNDUP(CL1323+MAX(CM1323,2*(J1323/MAX(0.1,N(Einkauf!$C$6))-CL1323)),0))/2)</f>
        <v>6</v>
      </c>
      <c r="CW1323" s="62" t="n">
        <f aca="false">IF(CS1323="","",MAX(0,H1323-CV1323)*G1323)</f>
        <v>516.55</v>
      </c>
      <c r="CX1323" s="62" t="n">
        <f aca="false">IF(CS1323="","",CS1323*MAX(0,1-CV1323/H1323))</f>
        <v>2.91666666666667</v>
      </c>
      <c r="CY1323" s="64" t="n">
        <f aca="false">IF(CS1323="","",PERCENTRANK($CS$7:$CS$1843,CS1323)+PERCENTRANK($CU$7:$CU$1843,CU1323)+1-PERCENTRANK($CT$7:$CT$1843,CT1323))</f>
        <v>1.783</v>
      </c>
      <c r="CZ1323" s="72" t="n">
        <f aca="false">IF(CS1323="","",CHOOSE(MATCH(Einkauf!$C$5,Parameter!$G$23:$G$27,0),CY1323,CS1323,CU1323,-CT1323,CW1323)+ROW()/1000000000)</f>
        <v>1.783001323</v>
      </c>
    </row>
    <row r="1324" customFormat="false" ht="15" hidden="false" customHeight="false" outlineLevel="0" collapsed="false">
      <c r="A1324" s="60" t="s">
        <v>2392</v>
      </c>
      <c r="B1324" s="60" t="s">
        <v>640</v>
      </c>
      <c r="C1324" s="60" t="s">
        <v>206</v>
      </c>
      <c r="D1324" s="60" t="s">
        <v>226</v>
      </c>
      <c r="E1324" s="60" t="s">
        <v>227</v>
      </c>
      <c r="F1324" s="60" t="s">
        <v>260</v>
      </c>
      <c r="G1324" s="61" t="n">
        <v>29.61</v>
      </c>
      <c r="H1324" s="62" t="n">
        <f aca="false">MAX(0,IF(AND(Parameter!$B$21="Ja",ISNUMBER(Y1324)),Y1324,IF(Parameter!$B$20="Jahresanfang 2025 + Export",BS1324+BR1324,BR1324)))</f>
        <v>28</v>
      </c>
      <c r="I1324" s="62" t="n">
        <f aca="false">H1324*G1324</f>
        <v>829.08</v>
      </c>
      <c r="J1324" s="62" t="n">
        <f aca="false">BU1324*Parameter!$B$18</f>
        <v>75</v>
      </c>
      <c r="K1324" s="63" t="n">
        <v>83.5</v>
      </c>
      <c r="L1324" s="64" t="n">
        <v>0.898203592814371</v>
      </c>
      <c r="M1324" s="62" t="n">
        <v>2</v>
      </c>
      <c r="N1324" s="62" t="n">
        <v>75</v>
      </c>
      <c r="O1324" s="65" t="n">
        <v>14</v>
      </c>
      <c r="P1324" s="60" t="s">
        <v>344</v>
      </c>
      <c r="Q1324" s="62" t="n">
        <v>109</v>
      </c>
      <c r="R1324" s="65" t="n">
        <f aca="false">IF(CA1324=1,0,IFERROR(VLOOKUP(BY1324,'Gebinde-Kategorie'!$A$5:$N$45,13,0)+0,0))</f>
        <v>26</v>
      </c>
      <c r="S1324" s="66"/>
      <c r="T1324" s="67"/>
      <c r="U1324" s="67"/>
      <c r="V1324" s="67"/>
      <c r="W1324" s="60"/>
      <c r="X1324" s="62"/>
      <c r="Y1324" s="62"/>
      <c r="Z1324" s="60" t="n">
        <v>3</v>
      </c>
      <c r="AA1324" s="60" t="n">
        <f aca="false">IF(A1324="","",IF(AND(Parameter!$B$21="Ja",ISNUMBER(W1324)),W1324,IF(AND(Parameter!$E$27="Ja",ISNUMBER(Z1324),CD1324&lt;&gt;"Nein"),Z1324,IF(CD1324="2+3",IF(ISNUMBER(SEARCH("grosser Artikel",BV1324)),2,IFERROR(VLOOKUP(BY1324,Parameter!$F$35:$G$64,2,0),2)),IF(OR(CD1324="Nein",CD1324=""),"-",CD1324)))))</f>
        <v>3</v>
      </c>
      <c r="AB1324" s="67"/>
      <c r="AC1324" s="68"/>
      <c r="AD1324" s="62" t="n">
        <f aca="false">AW1324</f>
        <v>77</v>
      </c>
      <c r="AE1324" s="62" t="n">
        <f aca="false">MAX(AW1324,H1324)</f>
        <v>77</v>
      </c>
      <c r="AF1324" s="69"/>
      <c r="AG1324" s="62" t="n">
        <f aca="false">IF(LEFT(Cockpit!$C$5,1)="A",H1324,IF(Parameter!$E$30="MAX-Bestand",IF(CI1324=1,CJ1324,IF(LEFT(Cockpit!$C$5,1)="B",AM1324,MAX(AM1324,H1324))),ROUNDUP(AK1324,0)))</f>
        <v>28</v>
      </c>
      <c r="AH1324" s="62" t="n">
        <f aca="false">IF(CA1324=1,0,ROUNDUP(AG1324/BZ1324,0))</f>
        <v>1</v>
      </c>
      <c r="AI1324" s="64" t="n">
        <f aca="false">IF(CR1324&gt;0,CR1324*MAX(1,AG1324/X1324),IF(CA1324=1,IF(AG1324&lt;=0,0,CE1324*MAX(1,IF(H1324&gt;0,AG1324/H1324,1))),IF(R1324&gt;0,AH1324/R1324,0))/MAX(0.1,N(Parameter!$M$21)))</f>
        <v>0.0384615384615385</v>
      </c>
      <c r="AJ1324" s="62" t="n">
        <f aca="false">AI1324*CC1324</f>
        <v>5.96153846153846</v>
      </c>
      <c r="AK1324" s="63" t="n">
        <f aca="false">IF(LEFT(Cockpit!$C$5,1)="A",H1324,IF(CI1324=1,(CL1324+CJ1324)/2,IF(LEFT(Cockpit!$C$5,1)="B",(CL1324+AM1324)/2,MAX((CL1324+AM1324)/2,H1324))))</f>
        <v>28</v>
      </c>
      <c r="AL1324" s="62" t="n">
        <f aca="false">AK1324*G1324</f>
        <v>829.08</v>
      </c>
      <c r="AM1324" s="62" t="n">
        <f aca="false">ROUNDUP(CL1324+MAX(CM1324,2*(J1324/IF(CH1324&gt;0,CH1324,MAX(0.1,N(Cockpit!$C$6)))-CL1324)),0)</f>
        <v>77</v>
      </c>
      <c r="AN1324" s="63" t="n">
        <f aca="false">IF(AJ1324&gt;0,J1324/AJ1324,-1)</f>
        <v>12.5806451612903</v>
      </c>
      <c r="AO1324" s="63" t="n">
        <f aca="false">IF(AND(OR(CG1324="L1",CG1324="L23",CG1324="LIFT"),AJ1324&gt;0),SUMIFS($AJ$7:$AJ$1843,$CG$7:$CG$1843,CG1324,$AN$7:$AN$1843,"&gt;"&amp;AN1324)+SUMIFS($AJ$7:$AJ$1843,$CG$7:$CG$1843,CG1324,$AN$7:$AN$1843,AN1324,$BX$7:$BX$1843,"&lt;="&amp;BX1324),"")</f>
        <v>2426.29761904762</v>
      </c>
      <c r="AP1324" s="70" t="n">
        <f aca="false">IF(AO1324="",0,MAX(0,MIN(1,(IF(CG1324="L1",Parameter!$H$5,IF(CG1324="L23",Parameter!$H$6+Parameter!$H$7,Parameter!$H$5+Parameter!$H$6+Parameter!$H$7))-(AO1324-AJ1324))/AJ1324)))</f>
        <v>1</v>
      </c>
      <c r="AQ1324" s="62" t="n">
        <f aca="false">IF(LEFT(Cockpit!$I$5,1)="A",H1324,IF(Parameter!$E$30="MAX-Bestand",IF(CI1324=1,CJ1324,IF(LEFT(Cockpit!$I$5,1)="B",AW1324,MAX(AW1324,H1324))),ROUNDUP(AU1324,0)))</f>
        <v>40</v>
      </c>
      <c r="AR1324" s="62" t="n">
        <f aca="false">IF(CA1324=1,0,ROUNDUP(AQ1324/BZ1324,0))</f>
        <v>1</v>
      </c>
      <c r="AS1324" s="64" t="n">
        <f aca="false">IF(CR1324&gt;0,CR1324*MAX(1,AQ1324/X1324),IF(CA1324=1,IF(AQ1324&lt;=0,0,CE1324*MAX(1,IF(H1324&gt;0,AQ1324/H1324,1))),IF(R1324&gt;0,AR1324/R1324,0))/MAX(0.1,N(Parameter!$M$21)))</f>
        <v>0.0384615384615385</v>
      </c>
      <c r="AT1324" s="62" t="n">
        <f aca="false">AS1324*CC1324</f>
        <v>5.96153846153846</v>
      </c>
      <c r="AU1324" s="63" t="n">
        <f aca="false">IF(LEFT(Cockpit!$I$5,1)="A",H1324,IF(CI1324=1,(CL1324+CJ1324)/2,IF(LEFT(Cockpit!$I$5,1)="B",(CL1324+AW1324)/2,MAX((CL1324+AW1324)/2,H1324))))</f>
        <v>39.5</v>
      </c>
      <c r="AV1324" s="62" t="n">
        <f aca="false">AU1324*G1324</f>
        <v>1169.595</v>
      </c>
      <c r="AW1324" s="62" t="n">
        <f aca="false">ROUNDUP(CL1324+MAX(CM1324,2*(J1324/IF(CH1324&gt;0,CH1324,MAX(0.1,N(Cockpit!$I$6)))-CL1324)),0)</f>
        <v>77</v>
      </c>
      <c r="AX1324" s="63" t="n">
        <f aca="false">IF(AT1324&gt;0,J1324/AT1324,-1)</f>
        <v>12.5806451612903</v>
      </c>
      <c r="AY1324" s="63" t="n">
        <f aca="false">IF(AND(OR(CG1324="L1",CG1324="L23",CG1324="LIFT"),AT1324&gt;0),SUMIFS($AT$7:$AT$1843,$CG$7:$CG$1843,CG1324,$AX$7:$AX$1843,"&gt;"&amp;AX1324)+SUMIFS($AT$7:$AT$1843,$CG$7:$CG$1843,CG1324,$AX$7:$AX$1843,AX1324,$BX$7:$BX$1843,"&lt;="&amp;BX1324),"")</f>
        <v>3015.67673992674</v>
      </c>
      <c r="AZ1324" s="70" t="n">
        <f aca="false">IF(AY1324="",0,MAX(0,MIN(1,(IF(CG1324="L1",Parameter!$H$5,IF(CG1324="L23",Parameter!$H$6+Parameter!$H$7,Parameter!$H$5+Parameter!$H$6+Parameter!$H$7))-(AY1324-AT1324))/AT1324)))</f>
        <v>1</v>
      </c>
      <c r="BA1324" s="62" t="n">
        <f aca="false">IF(LEFT(Cockpit!$O$5,1)="A",H1324,IF(Parameter!$E$30="MAX-Bestand",IF(CI1324=1,CJ1324,IF(LEFT(Cockpit!$O$5,1)="B",BG1324,MAX(BG1324,H1324))),ROUNDUP(BE1324,0)))</f>
        <v>40</v>
      </c>
      <c r="BB1324" s="62" t="n">
        <f aca="false">IF(CA1324=1,0,ROUNDUP(BA1324/BZ1324,0))</f>
        <v>1</v>
      </c>
      <c r="BC1324" s="64" t="n">
        <f aca="false">IF(CR1324&gt;0,CR1324*MAX(1,BA1324/X1324),IF(CA1324=1,IF(BA1324&lt;=0,0,CE1324*MAX(1,IF(H1324&gt;0,BA1324/H1324,1))),IF(R1324&gt;0,BB1324/R1324,0))/MAX(0.1,N(Parameter!$M$21)))</f>
        <v>0.0384615384615385</v>
      </c>
      <c r="BD1324" s="62" t="n">
        <f aca="false">BC1324*CC1324</f>
        <v>5.96153846153846</v>
      </c>
      <c r="BE1324" s="63" t="n">
        <f aca="false">IF(LEFT(Cockpit!$O$5,1)="A",H1324,IF(CI1324=1,(CL1324+CJ1324)/2,IF(LEFT(Cockpit!$O$5,1)="B",(CL1324+BG1324)/2,MAX((CL1324+BG1324)/2,H1324))))</f>
        <v>39.5</v>
      </c>
      <c r="BF1324" s="62" t="n">
        <f aca="false">BE1324*G1324</f>
        <v>1169.595</v>
      </c>
      <c r="BG1324" s="62" t="n">
        <f aca="false">ROUNDUP(CL1324+MAX(CM1324,2*(J1324/IF(CH1324&gt;0,CH1324,MAX(0.1,N(Cockpit!$O$6)))-CL1324)),0)</f>
        <v>77</v>
      </c>
      <c r="BH1324" s="63" t="n">
        <f aca="false">IF(BD1324&gt;0,J1324/BD1324,-1)</f>
        <v>12.5806451612903</v>
      </c>
      <c r="BI1324" s="63" t="n">
        <f aca="false">IF(AND(OR(CG1324="L1",CG1324="L23",CG1324="LIFT"),BD1324&gt;0),SUMIFS($BD$7:$BD$1843,$CG$7:$CG$1843,CG1324,$BH$7:$BH$1843,"&gt;"&amp;BH1324)+SUMIFS($BD$7:$BD$1843,$CG$7:$CG$1843,CG1324,$BH$7:$BH$1843,BH1324,$BX$7:$BX$1843,"&lt;="&amp;BX1324),"")</f>
        <v>2532.66208791209</v>
      </c>
      <c r="BJ1324" s="70" t="n">
        <f aca="false">IF(BI1324="",0,MAX(0,MIN(1,(IF(CG1324="L1",Parameter!$H$5,IF(CG1324="L23",Parameter!$H$6+Parameter!$H$7,Parameter!$H$5+Parameter!$H$6+Parameter!$H$7))-(BI1324-BD1324))/BD1324)))</f>
        <v>1</v>
      </c>
      <c r="BK1324" s="60" t="str">
        <f aca="false">IF(AJ1324&lt;=0,"",IF(CG1324="Aussen","Aussenlager",IF(CG1324="-","Nicht im Lift",IF(AP1324&gt;=1,"Lift",IF(AP1324&lt;=0,"Aussenlager","teilweise")))))</f>
        <v>Lift</v>
      </c>
      <c r="BL1324" s="60" t="str">
        <f aca="false">IF(AT1324&lt;=0,"",IF(CG1324="Aussen","Aussenlager",IF(CG1324="-","Nicht im Lift",IF(AZ1324&gt;=1,"Lift",IF(AZ1324&lt;=0,"Aussenlager","teilweise")))))</f>
        <v>Lift</v>
      </c>
      <c r="BM1324" s="60" t="str">
        <f aca="false">IF(BD1324&lt;=0,"",IF(CG1324="Aussen","Aussenlager",IF(CG1324="-","Nicht im Lift",IF(BJ1324&gt;=1,"Lift",IF(BJ1324&lt;=0,"Aussenlager","teilweise")))))</f>
        <v>Lift</v>
      </c>
      <c r="BN1324" s="60" t="str">
        <f aca="false">IF(A1324="","",IF(BW1324=1,"Neu; ","")&amp;IF(AND(BW1324=0,BR1324&lt;0),"negativer Bestand (Export "&amp;BR1324&amp;"); ","")&amp;IF(J1324&lt;=0,"Kein Verbrauch; ","")&amp;IF(CR1324&gt;0,"Lift "&amp;W1324&amp;" lt. Liftbericht (Fach "&amp;X1324&amp;" Stk); ",IF(CB1324=1,"Gebinde geschätzt ("&amp;T1324&amp;"); ",IF(CA1324=1,"Lose – Tablare geschätzt; ","")))&amp;IF(H1324&gt;AW1324,"Überbestand "&amp;ROUND(H1324-AW1324,0)&amp;" Stk / CHF "&amp;ROUND((H1324-AW1324)*G1324,0)&amp;"; ","")&amp;IF(AND(CI1324=1,CJ1324&lt;CK1324),"MAX &lt; MB+LG; ","")&amp;IF(AND(CQ1324&gt;0,CP1324*10&gt;CQ1324),"zu hoch für Tablar; ","")&amp;IF(AND(BW1324=0,OR(CI1324=1,AB1324&lt;&gt;"",U1324&lt;&gt;"",V1324&lt;&gt;"",AC1324&lt;&gt;"")),"manuell übersteuert; ","")&amp;IF(AND(CA1324=0,R1324=0),"Gebinde unbekannt / Stellmass fehlt; ","")&amp;IF(AND(CA1324=0,N(V1324)&lt;=0,N(Q1324)&lt;=0),"Menge pro Gebinde fehlt (Ist = 1 Gebinde); ","")&amp;BV1324)</f>
        <v>negativer Bestand (Export -53); </v>
      </c>
      <c r="BO1324" s="60"/>
      <c r="BP1324" s="60"/>
      <c r="BQ1324" s="67"/>
      <c r="BR1324" s="62" t="n">
        <v>-53</v>
      </c>
      <c r="BS1324" s="62" t="n">
        <v>81</v>
      </c>
      <c r="BT1324" s="61" t="n">
        <v>-1451.88</v>
      </c>
      <c r="BU1324" s="62" t="n">
        <v>75</v>
      </c>
      <c r="BV1324" s="60"/>
      <c r="BW1324" s="65" t="n">
        <v>0</v>
      </c>
      <c r="BX1324" s="65" t="n">
        <v>1324</v>
      </c>
      <c r="BY1324" s="60" t="str">
        <f aca="false">IF(U1324&lt;&gt;"",UPPER(TRIM(U1324)),IF(CB1324=1,UPPER(VLOOKUP(T1324,Parameter!$I$27:$K$29,2,0)),IF(P1324="","LOSE",P1324)))</f>
        <v>S51</v>
      </c>
      <c r="BZ1324" s="62" t="n">
        <f aca="false">IF(BY1324="LOSE",1,IF(N(V1324)&gt;0,V1324,IF(CB1324=1,MAX(1,N(VLOOKUP(T1324,Parameter!$I$27:$K$29,3,0)),H1324,N(N1324)),IF(N(Q1324)&gt;0,Q1324,MAX(1,H1324)))))</f>
        <v>109</v>
      </c>
      <c r="CA1324" s="65" t="n">
        <f aca="false">IF(BY1324="LOSE",1,0)</f>
        <v>0</v>
      </c>
      <c r="CB1324" s="65" t="n">
        <f aca="false">IF(AND(U1324="",OR(P1324="",P1324="LOSE"),T1324&lt;&gt;"",N(S1324)&lt;=0,ISNUMBER(MATCH(T1324,Parameter!$I$27:$I$29,0))),1,0)</f>
        <v>0</v>
      </c>
      <c r="CC1324" s="65" t="n">
        <f aca="false">IF(CR1324&gt;0,INDEX(Parameter!$H$5:$H$7,W1324)/INDEX(Parameter!$E$5:$E$7,W1324),IF(AND(CA1324=0,N(IFERROR(VLOOKUP(BY1324,'Gebinde-Kategorie'!$A$5:$N$45,14,0),0))&gt;0),VLOOKUP(BY1324,'Gebinde-Kategorie'!$A$5:$N$45,14,0)*10+Parameter!$M$23,Parameter!$M$24))</f>
        <v>155</v>
      </c>
      <c r="CD1324" s="60" t="str">
        <f aca="false">IF(AND(Parameter!$B$19="Ja",E1324&lt;&gt;"",ISNUMBER(MATCH(E1324,Parameter!$I$35:$I$52,0))),VLOOKUP(E1324,Parameter!$I$35:$J$52,2,0),IFERROR(VLOOKUP(D1324,Parameter!$A$35:$C$64,2,0),"Nein"))</f>
        <v>2+3</v>
      </c>
      <c r="CE1324" s="64" t="n">
        <f aca="false">IF(CA1324=0,0,IF(N(S1324)&gt;0,S1324,IFERROR(VLOOKUP(D1324,Parameter!$A$35:$C$64,3,0)+0,0)))</f>
        <v>0</v>
      </c>
      <c r="CF1324" s="60" t="n">
        <f aca="false">IF(AB1324&lt;&gt;"",AB1324,AA1324)</f>
        <v>3</v>
      </c>
      <c r="CG1324" s="60" t="str">
        <f aca="false">IF(OR(CF1324=1,CF1324=2,CF1324=3),IF(Parameter!$E$27="Ja","LIFT",IF(CF1324=1,"L1","L23")),IF(CF1324="Aussen","Aussen","-"))</f>
        <v>LIFT</v>
      </c>
      <c r="CH1324" s="71" t="n">
        <f aca="false">IF(N(AC1324)&gt;0,AC1324,0)</f>
        <v>0</v>
      </c>
      <c r="CI1324" s="65" t="n">
        <f aca="false">IF(ISNUMBER(AF1324),1,0)</f>
        <v>0</v>
      </c>
      <c r="CJ1324" s="62" t="n">
        <f aca="false">N(AF1324)</f>
        <v>0</v>
      </c>
      <c r="CK1324" s="62" t="n">
        <f aca="false">N(M1324)+N(N1324)</f>
        <v>77</v>
      </c>
      <c r="CL1324" s="62" t="n">
        <f aca="false">N(M1324)</f>
        <v>2</v>
      </c>
      <c r="CM1324" s="62" t="n">
        <f aca="false">N(N1324)</f>
        <v>75</v>
      </c>
      <c r="CN1324" s="62" t="n">
        <f aca="false">ROUNDUP(H1324/BZ1324,0)</f>
        <v>1</v>
      </c>
      <c r="CO1324" s="62" t="n">
        <f aca="false">ROUNDUP(CJ1324/BZ1324,0)</f>
        <v>0</v>
      </c>
      <c r="CP1324" s="65" t="n">
        <f aca="false">IF(CA1324=1,0,IFERROR(VLOOKUP(BY1324,'Gebinde-Kategorie'!$A$5:$N$45,5,0)+0,0))</f>
        <v>11</v>
      </c>
      <c r="CQ1324" s="65" t="n">
        <f aca="false">IFERROR(IF(OR(CF1324=1,CF1324=2,CF1324=3),N(INDEX(Parameter!$I$5:$I$7,CF1324)),0),0)</f>
        <v>0</v>
      </c>
      <c r="CR1324" s="64" t="n">
        <f aca="false">IF(AND(Parameter!$B$21="Ja",ISNUMBER(W1324),N(X1324)&gt;0),IFERROR(N(INDEX(Parameter!$L$5:$L$7,W1324))*INDEX(Parameter!$E$5:$E$7,W1324)*X1324/SUMIFS($X$7:$X$1843,$W$7:$W$1843,W1324),0),0)</f>
        <v>0</v>
      </c>
      <c r="CS1324" s="62" t="n">
        <f aca="false">IF(AND(OR(CG1324="L1",CG1324="L23",CG1324="LIFT"),H1324&gt;0),CC1324*IF(CR1324&gt;0,CR1324*MAX(1,H1324/X1324),IF(CA1324=1,CE1324,IF(R1324&gt;0,CN1324/R1324,0))/MAX(0.1,N(Parameter!$M$21))),"")</f>
        <v>5.96153846153846</v>
      </c>
      <c r="CT1324" s="64" t="n">
        <f aca="false">IF(CS1324="","",J1324/H1324)</f>
        <v>2.67857142857143</v>
      </c>
      <c r="CU1324" s="62" t="n">
        <f aca="false">IF(CS1324="","",H1324*G1324)</f>
        <v>829.08</v>
      </c>
      <c r="CV1324" s="63" t="n">
        <f aca="false">IF(CS1324="","",(CL1324+ROUNDUP(CL1324+MAX(CM1324,2*(J1324/MAX(0.1,N(Einkauf!$C$6))-CL1324)),0))/2)</f>
        <v>39.5</v>
      </c>
      <c r="CW1324" s="62" t="n">
        <f aca="false">IF(CS1324="","",MAX(0,H1324-CV1324)*G1324)</f>
        <v>0</v>
      </c>
      <c r="CX1324" s="62" t="n">
        <f aca="false">IF(CS1324="","",CS1324*MAX(0,1-CV1324/H1324))</f>
        <v>0</v>
      </c>
      <c r="CY1324" s="64" t="n">
        <f aca="false">IF(CS1324="","",PERCENTRANK($CS$7:$CS$1843,CS1324)+PERCENTRANK($CU$7:$CU$1843,CU1324)+1-PERCENTRANK($CT$7:$CT$1843,CT1324))</f>
        <v>1.099</v>
      </c>
      <c r="CZ1324" s="72" t="n">
        <f aca="false">IF(CS1324="","",CHOOSE(MATCH(Einkauf!$C$5,Parameter!$G$23:$G$27,0),CY1324,CS1324,CU1324,-CT1324,CW1324)+ROW()/1000000000)</f>
        <v>1.099001324</v>
      </c>
    </row>
    <row r="1325" customFormat="false" ht="15" hidden="false" customHeight="false" outlineLevel="0" collapsed="false">
      <c r="A1325" s="60" t="s">
        <v>2393</v>
      </c>
      <c r="B1325" s="60" t="s">
        <v>2394</v>
      </c>
      <c r="C1325" s="60" t="s">
        <v>206</v>
      </c>
      <c r="D1325" s="60" t="s">
        <v>226</v>
      </c>
      <c r="E1325" s="60" t="s">
        <v>227</v>
      </c>
      <c r="F1325" s="60" t="s">
        <v>260</v>
      </c>
      <c r="G1325" s="61" t="n">
        <v>8.87</v>
      </c>
      <c r="H1325" s="62" t="n">
        <f aca="false">MAX(0,IF(AND(Parameter!$B$21="Ja",ISNUMBER(Y1325)),Y1325,IF(Parameter!$B$20="Jahresanfang 2025 + Export",BS1325+BR1325,BR1325)))</f>
        <v>377</v>
      </c>
      <c r="I1325" s="62" t="n">
        <f aca="false">H1325*G1325</f>
        <v>3343.99</v>
      </c>
      <c r="J1325" s="62" t="n">
        <f aca="false">BU1325*Parameter!$B$18</f>
        <v>1312</v>
      </c>
      <c r="K1325" s="63" t="n">
        <v>657.5</v>
      </c>
      <c r="L1325" s="64" t="n">
        <v>1.99543726235741</v>
      </c>
      <c r="M1325" s="62" t="n">
        <v>206</v>
      </c>
      <c r="N1325" s="62" t="n">
        <v>600</v>
      </c>
      <c r="O1325" s="65" t="n">
        <v>56</v>
      </c>
      <c r="P1325" s="60" t="s">
        <v>344</v>
      </c>
      <c r="Q1325" s="62" t="n">
        <v>881</v>
      </c>
      <c r="R1325" s="65" t="n">
        <f aca="false">IF(CA1325=1,0,IFERROR(VLOOKUP(BY1325,'Gebinde-Kategorie'!$A$5:$N$45,13,0)+0,0))</f>
        <v>26</v>
      </c>
      <c r="S1325" s="66"/>
      <c r="T1325" s="67"/>
      <c r="U1325" s="67"/>
      <c r="V1325" s="67"/>
      <c r="W1325" s="60"/>
      <c r="X1325" s="62"/>
      <c r="Y1325" s="62"/>
      <c r="Z1325" s="60" t="n">
        <v>3</v>
      </c>
      <c r="AA1325" s="60" t="n">
        <f aca="false">IF(A1325="","",IF(AND(Parameter!$B$21="Ja",ISNUMBER(W1325)),W1325,IF(AND(Parameter!$E$27="Ja",ISNUMBER(Z1325),CD1325&lt;&gt;"Nein"),Z1325,IF(CD1325="2+3",IF(ISNUMBER(SEARCH("grosser Artikel",BV1325)),2,IFERROR(VLOOKUP(BY1325,Parameter!$F$35:$G$64,2,0),2)),IF(OR(CD1325="Nein",CD1325=""),"-",CD1325)))))</f>
        <v>3</v>
      </c>
      <c r="AB1325" s="67"/>
      <c r="AC1325" s="68"/>
      <c r="AD1325" s="62" t="n">
        <f aca="false">AW1325</f>
        <v>806</v>
      </c>
      <c r="AE1325" s="62" t="n">
        <f aca="false">MAX(AW1325,H1325)</f>
        <v>806</v>
      </c>
      <c r="AF1325" s="69"/>
      <c r="AG1325" s="62" t="n">
        <f aca="false">IF(LEFT(Cockpit!$C$5,1)="A",H1325,IF(Parameter!$E$30="MAX-Bestand",IF(CI1325=1,CJ1325,IF(LEFT(Cockpit!$C$5,1)="B",AM1325,MAX(AM1325,H1325))),ROUNDUP(AK1325,0)))</f>
        <v>377</v>
      </c>
      <c r="AH1325" s="62" t="n">
        <f aca="false">IF(CA1325=1,0,ROUNDUP(AG1325/BZ1325,0))</f>
        <v>1</v>
      </c>
      <c r="AI1325" s="64" t="n">
        <f aca="false">IF(CR1325&gt;0,CR1325*MAX(1,AG1325/X1325),IF(CA1325=1,IF(AG1325&lt;=0,0,CE1325*MAX(1,IF(H1325&gt;0,AG1325/H1325,1))),IF(R1325&gt;0,AH1325/R1325,0))/MAX(0.1,N(Parameter!$M$21)))</f>
        <v>0.0384615384615385</v>
      </c>
      <c r="AJ1325" s="62" t="n">
        <f aca="false">AI1325*CC1325</f>
        <v>5.96153846153846</v>
      </c>
      <c r="AK1325" s="63" t="n">
        <f aca="false">IF(LEFT(Cockpit!$C$5,1)="A",H1325,IF(CI1325=1,(CL1325+CJ1325)/2,IF(LEFT(Cockpit!$C$5,1)="B",(CL1325+AM1325)/2,MAX((CL1325+AM1325)/2,H1325))))</f>
        <v>377</v>
      </c>
      <c r="AL1325" s="62" t="n">
        <f aca="false">AK1325*G1325</f>
        <v>3343.99</v>
      </c>
      <c r="AM1325" s="62" t="n">
        <f aca="false">ROUNDUP(CL1325+MAX(CM1325,2*(J1325/IF(CH1325&gt;0,CH1325,MAX(0.1,N(Cockpit!$C$6)))-CL1325)),0)</f>
        <v>806</v>
      </c>
      <c r="AN1325" s="63" t="n">
        <f aca="false">IF(AJ1325&gt;0,J1325/AJ1325,-1)</f>
        <v>220.077419354839</v>
      </c>
      <c r="AO1325" s="63" t="n">
        <f aca="false">IF(AND(OR(CG1325="L1",CG1325="L23",CG1325="LIFT"),AJ1325&gt;0),SUMIFS($AJ$7:$AJ$1843,$CG$7:$CG$1843,CG1325,$AN$7:$AN$1843,"&gt;"&amp;AN1325)+SUMIFS($AJ$7:$AJ$1843,$CG$7:$CG$1843,CG1325,$AN$7:$AN$1843,AN1325,$BX$7:$BX$1843,"&lt;="&amp;BX1325),"")</f>
        <v>314.666666666667</v>
      </c>
      <c r="AP1325" s="70" t="n">
        <f aca="false">IF(AO1325="",0,MAX(0,MIN(1,(IF(CG1325="L1",Parameter!$H$5,IF(CG1325="L23",Parameter!$H$6+Parameter!$H$7,Parameter!$H$5+Parameter!$H$6+Parameter!$H$7))-(AO1325-AJ1325))/AJ1325)))</f>
        <v>1</v>
      </c>
      <c r="AQ1325" s="62" t="n">
        <f aca="false">IF(LEFT(Cockpit!$I$5,1)="A",H1325,IF(Parameter!$E$30="MAX-Bestand",IF(CI1325=1,CJ1325,IF(LEFT(Cockpit!$I$5,1)="B",AW1325,MAX(AW1325,H1325))),ROUNDUP(AU1325,0)))</f>
        <v>506</v>
      </c>
      <c r="AR1325" s="62" t="n">
        <f aca="false">IF(CA1325=1,0,ROUNDUP(AQ1325/BZ1325,0))</f>
        <v>1</v>
      </c>
      <c r="AS1325" s="64" t="n">
        <f aca="false">IF(CR1325&gt;0,CR1325*MAX(1,AQ1325/X1325),IF(CA1325=1,IF(AQ1325&lt;=0,0,CE1325*MAX(1,IF(H1325&gt;0,AQ1325/H1325,1))),IF(R1325&gt;0,AR1325/R1325,0))/MAX(0.1,N(Parameter!$M$21)))</f>
        <v>0.0384615384615385</v>
      </c>
      <c r="AT1325" s="62" t="n">
        <f aca="false">AS1325*CC1325</f>
        <v>5.96153846153846</v>
      </c>
      <c r="AU1325" s="63" t="n">
        <f aca="false">IF(LEFT(Cockpit!$I$5,1)="A",H1325,IF(CI1325=1,(CL1325+CJ1325)/2,IF(LEFT(Cockpit!$I$5,1)="B",(CL1325+AW1325)/2,MAX((CL1325+AW1325)/2,H1325))))</f>
        <v>506</v>
      </c>
      <c r="AV1325" s="62" t="n">
        <f aca="false">AU1325*G1325</f>
        <v>4488.22</v>
      </c>
      <c r="AW1325" s="62" t="n">
        <f aca="false">ROUNDUP(CL1325+MAX(CM1325,2*(J1325/IF(CH1325&gt;0,CH1325,MAX(0.1,N(Cockpit!$I$6)))-CL1325)),0)</f>
        <v>806</v>
      </c>
      <c r="AX1325" s="63" t="n">
        <f aca="false">IF(AT1325&gt;0,J1325/AT1325,-1)</f>
        <v>220.077419354839</v>
      </c>
      <c r="AY1325" s="63" t="n">
        <f aca="false">IF(AND(OR(CG1325="L1",CG1325="L23",CG1325="LIFT"),AT1325&gt;0),SUMIFS($AT$7:$AT$1843,$CG$7:$CG$1843,CG1325,$AX$7:$AX$1843,"&gt;"&amp;AX1325)+SUMIFS($AT$7:$AT$1843,$CG$7:$CG$1843,CG1325,$AX$7:$AX$1843,AX1325,$BX$7:$BX$1843,"&lt;="&amp;BX1325),"")</f>
        <v>345.5086996337</v>
      </c>
      <c r="AZ1325" s="70" t="n">
        <f aca="false">IF(AY1325="",0,MAX(0,MIN(1,(IF(CG1325="L1",Parameter!$H$5,IF(CG1325="L23",Parameter!$H$6+Parameter!$H$7,Parameter!$H$5+Parameter!$H$6+Parameter!$H$7))-(AY1325-AT1325))/AT1325)))</f>
        <v>1</v>
      </c>
      <c r="BA1325" s="62" t="n">
        <f aca="false">IF(LEFT(Cockpit!$O$5,1)="A",H1325,IF(Parameter!$E$30="MAX-Bestand",IF(CI1325=1,CJ1325,IF(LEFT(Cockpit!$O$5,1)="B",BG1325,MAX(BG1325,H1325))),ROUNDUP(BE1325,0)))</f>
        <v>506</v>
      </c>
      <c r="BB1325" s="62" t="n">
        <f aca="false">IF(CA1325=1,0,ROUNDUP(BA1325/BZ1325,0))</f>
        <v>1</v>
      </c>
      <c r="BC1325" s="64" t="n">
        <f aca="false">IF(CR1325&gt;0,CR1325*MAX(1,BA1325/X1325),IF(CA1325=1,IF(BA1325&lt;=0,0,CE1325*MAX(1,IF(H1325&gt;0,BA1325/H1325,1))),IF(R1325&gt;0,BB1325/R1325,0))/MAX(0.1,N(Parameter!$M$21)))</f>
        <v>0.0384615384615385</v>
      </c>
      <c r="BD1325" s="62" t="n">
        <f aca="false">BC1325*CC1325</f>
        <v>5.96153846153846</v>
      </c>
      <c r="BE1325" s="63" t="n">
        <f aca="false">IF(LEFT(Cockpit!$O$5,1)="A",H1325,IF(CI1325=1,(CL1325+CJ1325)/2,IF(LEFT(Cockpit!$O$5,1)="B",(CL1325+BG1325)/2,MAX((CL1325+BG1325)/2,H1325))))</f>
        <v>506</v>
      </c>
      <c r="BF1325" s="62" t="n">
        <f aca="false">BE1325*G1325</f>
        <v>4488.22</v>
      </c>
      <c r="BG1325" s="62" t="n">
        <f aca="false">ROUNDUP(CL1325+MAX(CM1325,2*(J1325/IF(CH1325&gt;0,CH1325,MAX(0.1,N(Cockpit!$O$6)))-CL1325)),0)</f>
        <v>806</v>
      </c>
      <c r="BH1325" s="63" t="n">
        <f aca="false">IF(BD1325&gt;0,J1325/BD1325,-1)</f>
        <v>220.077419354839</v>
      </c>
      <c r="BI1325" s="63" t="n">
        <f aca="false">IF(AND(OR(CG1325="L1",CG1325="L23",CG1325="LIFT"),BD1325&gt;0),SUMIFS($BD$7:$BD$1843,$CG$7:$CG$1843,CG1325,$BH$7:$BH$1843,"&gt;"&amp;BH1325)+SUMIFS($BD$7:$BD$1843,$CG$7:$CG$1843,CG1325,$BH$7:$BH$1843,BH1325,$BX$7:$BX$1843,"&lt;="&amp;BX1325),"")</f>
        <v>403.075549450549</v>
      </c>
      <c r="BJ1325" s="70" t="n">
        <f aca="false">IF(BI1325="",0,MAX(0,MIN(1,(IF(CG1325="L1",Parameter!$H$5,IF(CG1325="L23",Parameter!$H$6+Parameter!$H$7,Parameter!$H$5+Parameter!$H$6+Parameter!$H$7))-(BI1325-BD1325))/BD1325)))</f>
        <v>1</v>
      </c>
      <c r="BK1325" s="60" t="str">
        <f aca="false">IF(AJ1325&lt;=0,"",IF(CG1325="Aussen","Aussenlager",IF(CG1325="-","Nicht im Lift",IF(AP1325&gt;=1,"Lift",IF(AP1325&lt;=0,"Aussenlager","teilweise")))))</f>
        <v>Lift</v>
      </c>
      <c r="BL1325" s="60" t="str">
        <f aca="false">IF(AT1325&lt;=0,"",IF(CG1325="Aussen","Aussenlager",IF(CG1325="-","Nicht im Lift",IF(AZ1325&gt;=1,"Lift",IF(AZ1325&lt;=0,"Aussenlager","teilweise")))))</f>
        <v>Lift</v>
      </c>
      <c r="BM1325" s="60" t="str">
        <f aca="false">IF(BD1325&lt;=0,"",IF(CG1325="Aussen","Aussenlager",IF(CG1325="-","Nicht im Lift",IF(BJ1325&gt;=1,"Lift",IF(BJ1325&lt;=0,"Aussenlager","teilweise")))))</f>
        <v>Lift</v>
      </c>
      <c r="BN1325" s="60" t="str">
        <f aca="false">IF(A1325="","",IF(BW1325=1,"Neu; ","")&amp;IF(AND(BW1325=0,BR1325&lt;0),"negativer Bestand (Export "&amp;BR1325&amp;"); ","")&amp;IF(J1325&lt;=0,"Kein Verbrauch; ","")&amp;IF(CR1325&gt;0,"Lift "&amp;W1325&amp;" lt. Liftbericht (Fach "&amp;X1325&amp;" Stk); ",IF(CB1325=1,"Gebinde geschätzt ("&amp;T1325&amp;"); ",IF(CA1325=1,"Lose – Tablare geschätzt; ","")))&amp;IF(H1325&gt;AW1325,"Überbestand "&amp;ROUND(H1325-AW1325,0)&amp;" Stk / CHF "&amp;ROUND((H1325-AW1325)*G1325,0)&amp;"; ","")&amp;IF(AND(CI1325=1,CJ1325&lt;CK1325),"MAX &lt; MB+LG; ","")&amp;IF(AND(CQ1325&gt;0,CP1325*10&gt;CQ1325),"zu hoch für Tablar; ","")&amp;IF(AND(BW1325=0,OR(CI1325=1,AB1325&lt;&gt;"",U1325&lt;&gt;"",V1325&lt;&gt;"",AC1325&lt;&gt;"")),"manuell übersteuert; ","")&amp;IF(AND(CA1325=0,R1325=0),"Gebinde unbekannt / Stellmass fehlt; ","")&amp;IF(AND(CA1325=0,N(V1325)&lt;=0,N(Q1325)&lt;=0),"Menge pro Gebinde fehlt (Ist = 1 Gebinde); ","")&amp;BV1325)</f>
        <v>negativer Bestand (Export -179); </v>
      </c>
      <c r="BO1325" s="60"/>
      <c r="BP1325" s="60"/>
      <c r="BQ1325" s="67"/>
      <c r="BR1325" s="62" t="n">
        <v>-179</v>
      </c>
      <c r="BS1325" s="62" t="n">
        <v>556</v>
      </c>
      <c r="BT1325" s="61" t="n">
        <v>-1484.94000000002</v>
      </c>
      <c r="BU1325" s="62" t="n">
        <v>1312</v>
      </c>
      <c r="BV1325" s="60"/>
      <c r="BW1325" s="65" t="n">
        <v>0</v>
      </c>
      <c r="BX1325" s="65" t="n">
        <v>1325</v>
      </c>
      <c r="BY1325" s="60" t="str">
        <f aca="false">IF(U1325&lt;&gt;"",UPPER(TRIM(U1325)),IF(CB1325=1,UPPER(VLOOKUP(T1325,Parameter!$I$27:$K$29,2,0)),IF(P1325="","LOSE",P1325)))</f>
        <v>S51</v>
      </c>
      <c r="BZ1325" s="62" t="n">
        <f aca="false">IF(BY1325="LOSE",1,IF(N(V1325)&gt;0,V1325,IF(CB1325=1,MAX(1,N(VLOOKUP(T1325,Parameter!$I$27:$K$29,3,0)),H1325,N(N1325)),IF(N(Q1325)&gt;0,Q1325,MAX(1,H1325)))))</f>
        <v>881</v>
      </c>
      <c r="CA1325" s="65" t="n">
        <f aca="false">IF(BY1325="LOSE",1,0)</f>
        <v>0</v>
      </c>
      <c r="CB1325" s="65" t="n">
        <f aca="false">IF(AND(U1325="",OR(P1325="",P1325="LOSE"),T1325&lt;&gt;"",N(S1325)&lt;=0,ISNUMBER(MATCH(T1325,Parameter!$I$27:$I$29,0))),1,0)</f>
        <v>0</v>
      </c>
      <c r="CC1325" s="65" t="n">
        <f aca="false">IF(CR1325&gt;0,INDEX(Parameter!$H$5:$H$7,W1325)/INDEX(Parameter!$E$5:$E$7,W1325),IF(AND(CA1325=0,N(IFERROR(VLOOKUP(BY1325,'Gebinde-Kategorie'!$A$5:$N$45,14,0),0))&gt;0),VLOOKUP(BY1325,'Gebinde-Kategorie'!$A$5:$N$45,14,0)*10+Parameter!$M$23,Parameter!$M$24))</f>
        <v>155</v>
      </c>
      <c r="CD1325" s="60" t="str">
        <f aca="false">IF(AND(Parameter!$B$19="Ja",E1325&lt;&gt;"",ISNUMBER(MATCH(E1325,Parameter!$I$35:$I$52,0))),VLOOKUP(E1325,Parameter!$I$35:$J$52,2,0),IFERROR(VLOOKUP(D1325,Parameter!$A$35:$C$64,2,0),"Nein"))</f>
        <v>2+3</v>
      </c>
      <c r="CE1325" s="64" t="n">
        <f aca="false">IF(CA1325=0,0,IF(N(S1325)&gt;0,S1325,IFERROR(VLOOKUP(D1325,Parameter!$A$35:$C$64,3,0)+0,0)))</f>
        <v>0</v>
      </c>
      <c r="CF1325" s="60" t="n">
        <f aca="false">IF(AB1325&lt;&gt;"",AB1325,AA1325)</f>
        <v>3</v>
      </c>
      <c r="CG1325" s="60" t="str">
        <f aca="false">IF(OR(CF1325=1,CF1325=2,CF1325=3),IF(Parameter!$E$27="Ja","LIFT",IF(CF1325=1,"L1","L23")),IF(CF1325="Aussen","Aussen","-"))</f>
        <v>LIFT</v>
      </c>
      <c r="CH1325" s="71" t="n">
        <f aca="false">IF(N(AC1325)&gt;0,AC1325,0)</f>
        <v>0</v>
      </c>
      <c r="CI1325" s="65" t="n">
        <f aca="false">IF(ISNUMBER(AF1325),1,0)</f>
        <v>0</v>
      </c>
      <c r="CJ1325" s="62" t="n">
        <f aca="false">N(AF1325)</f>
        <v>0</v>
      </c>
      <c r="CK1325" s="62" t="n">
        <f aca="false">N(M1325)+N(N1325)</f>
        <v>806</v>
      </c>
      <c r="CL1325" s="62" t="n">
        <f aca="false">N(M1325)</f>
        <v>206</v>
      </c>
      <c r="CM1325" s="62" t="n">
        <f aca="false">N(N1325)</f>
        <v>600</v>
      </c>
      <c r="CN1325" s="62" t="n">
        <f aca="false">ROUNDUP(H1325/BZ1325,0)</f>
        <v>1</v>
      </c>
      <c r="CO1325" s="62" t="n">
        <f aca="false">ROUNDUP(CJ1325/BZ1325,0)</f>
        <v>0</v>
      </c>
      <c r="CP1325" s="65" t="n">
        <f aca="false">IF(CA1325=1,0,IFERROR(VLOOKUP(BY1325,'Gebinde-Kategorie'!$A$5:$N$45,5,0)+0,0))</f>
        <v>11</v>
      </c>
      <c r="CQ1325" s="65" t="n">
        <f aca="false">IFERROR(IF(OR(CF1325=1,CF1325=2,CF1325=3),N(INDEX(Parameter!$I$5:$I$7,CF1325)),0),0)</f>
        <v>0</v>
      </c>
      <c r="CR1325" s="64" t="n">
        <f aca="false">IF(AND(Parameter!$B$21="Ja",ISNUMBER(W1325),N(X1325)&gt;0),IFERROR(N(INDEX(Parameter!$L$5:$L$7,W1325))*INDEX(Parameter!$E$5:$E$7,W1325)*X1325/SUMIFS($X$7:$X$1843,$W$7:$W$1843,W1325),0),0)</f>
        <v>0</v>
      </c>
      <c r="CS1325" s="62" t="n">
        <f aca="false">IF(AND(OR(CG1325="L1",CG1325="L23",CG1325="LIFT"),H1325&gt;0),CC1325*IF(CR1325&gt;0,CR1325*MAX(1,H1325/X1325),IF(CA1325=1,CE1325,IF(R1325&gt;0,CN1325/R1325,0))/MAX(0.1,N(Parameter!$M$21))),"")</f>
        <v>5.96153846153846</v>
      </c>
      <c r="CT1325" s="64" t="n">
        <f aca="false">IF(CS1325="","",J1325/H1325)</f>
        <v>3.48010610079576</v>
      </c>
      <c r="CU1325" s="62" t="n">
        <f aca="false">IF(CS1325="","",H1325*G1325)</f>
        <v>3343.99</v>
      </c>
      <c r="CV1325" s="63" t="n">
        <f aca="false">IF(CS1325="","",(CL1325+ROUNDUP(CL1325+MAX(CM1325,2*(J1325/MAX(0.1,N(Einkauf!$C$6))-CL1325)),0))/2)</f>
        <v>506</v>
      </c>
      <c r="CW1325" s="62" t="n">
        <f aca="false">IF(CS1325="","",MAX(0,H1325-CV1325)*G1325)</f>
        <v>0</v>
      </c>
      <c r="CX1325" s="62" t="n">
        <f aca="false">IF(CS1325="","",CS1325*MAX(0,1-CV1325/H1325))</f>
        <v>0</v>
      </c>
      <c r="CY1325" s="64" t="n">
        <f aca="false">IF(CS1325="","",PERCENTRANK($CS$7:$CS$1843,CS1325)+PERCENTRANK($CU$7:$CU$1843,CU1325)+1-PERCENTRANK($CT$7:$CT$1843,CT1325))</f>
        <v>1.293</v>
      </c>
      <c r="CZ1325" s="72" t="n">
        <f aca="false">IF(CS1325="","",CHOOSE(MATCH(Einkauf!$C$5,Parameter!$G$23:$G$27,0),CY1325,CS1325,CU1325,-CT1325,CW1325)+ROW()/1000000000)</f>
        <v>1.293001325</v>
      </c>
    </row>
    <row r="1326" customFormat="false" ht="15" hidden="false" customHeight="false" outlineLevel="0" collapsed="false">
      <c r="A1326" s="60" t="s">
        <v>2395</v>
      </c>
      <c r="B1326" s="60" t="s">
        <v>2396</v>
      </c>
      <c r="C1326" s="60" t="s">
        <v>206</v>
      </c>
      <c r="D1326" s="60" t="s">
        <v>226</v>
      </c>
      <c r="E1326" s="60"/>
      <c r="F1326" s="60" t="s">
        <v>260</v>
      </c>
      <c r="G1326" s="61" t="n">
        <v>55.4</v>
      </c>
      <c r="H1326" s="62" t="n">
        <f aca="false">MAX(0,IF(AND(Parameter!$B$21="Ja",ISNUMBER(Y1326)),Y1326,IF(Parameter!$B$20="Jahresanfang 2025 + Export",BS1326+BR1326,BR1326)))</f>
        <v>71</v>
      </c>
      <c r="I1326" s="62" t="n">
        <f aca="false">H1326*G1326</f>
        <v>3933.4</v>
      </c>
      <c r="J1326" s="62" t="n">
        <f aca="false">BU1326*Parameter!$B$18</f>
        <v>12</v>
      </c>
      <c r="K1326" s="63" t="n">
        <v>92</v>
      </c>
      <c r="L1326" s="64" t="n">
        <v>0.130434782608696</v>
      </c>
      <c r="M1326" s="62" t="n">
        <v>1</v>
      </c>
      <c r="N1326" s="62" t="n">
        <v>10</v>
      </c>
      <c r="O1326" s="65" t="n">
        <v>42</v>
      </c>
      <c r="P1326" s="60" t="s">
        <v>210</v>
      </c>
      <c r="Q1326" s="62"/>
      <c r="R1326" s="65" t="n">
        <f aca="false">IF(CA1326=1,0,IFERROR(VLOOKUP(BY1326,'Gebinde-Kategorie'!$A$5:$N$45,13,0)+0,0))</f>
        <v>12</v>
      </c>
      <c r="S1326" s="66"/>
      <c r="T1326" s="67" t="s">
        <v>221</v>
      </c>
      <c r="U1326" s="67"/>
      <c r="V1326" s="67"/>
      <c r="W1326" s="60"/>
      <c r="X1326" s="62"/>
      <c r="Y1326" s="62"/>
      <c r="Z1326" s="60" t="n">
        <v>3</v>
      </c>
      <c r="AA1326" s="60" t="n">
        <f aca="false">IF(A1326="","",IF(AND(Parameter!$B$21="Ja",ISNUMBER(W1326)),W1326,IF(AND(Parameter!$E$27="Ja",ISNUMBER(Z1326),CD1326&lt;&gt;"Nein"),Z1326,IF(CD1326="2+3",IF(ISNUMBER(SEARCH("grosser Artikel",BV1326)),2,IFERROR(VLOOKUP(BY1326,Parameter!$F$35:$G$64,2,0),2)),IF(OR(CD1326="Nein",CD1326=""),"-",CD1326)))))</f>
        <v>3</v>
      </c>
      <c r="AB1326" s="67"/>
      <c r="AC1326" s="68"/>
      <c r="AD1326" s="62" t="n">
        <f aca="false">AW1326</f>
        <v>11</v>
      </c>
      <c r="AE1326" s="62" t="n">
        <f aca="false">MAX(AW1326,H1326)</f>
        <v>71</v>
      </c>
      <c r="AF1326" s="69"/>
      <c r="AG1326" s="62" t="n">
        <f aca="false">IF(LEFT(Cockpit!$C$5,1)="A",H1326,IF(Parameter!$E$30="MAX-Bestand",IF(CI1326=1,CJ1326,IF(LEFT(Cockpit!$C$5,1)="B",AM1326,MAX(AM1326,H1326))),ROUNDUP(AK1326,0)))</f>
        <v>71</v>
      </c>
      <c r="AH1326" s="62" t="n">
        <f aca="false">IF(CA1326=1,0,ROUNDUP(AG1326/BZ1326,0))</f>
        <v>1</v>
      </c>
      <c r="AI1326" s="64" t="n">
        <f aca="false">IF(CR1326&gt;0,CR1326*MAX(1,AG1326/X1326),IF(CA1326=1,IF(AG1326&lt;=0,0,CE1326*MAX(1,IF(H1326&gt;0,AG1326/H1326,1))),IF(R1326&gt;0,AH1326/R1326,0))/MAX(0.1,N(Parameter!$M$21)))</f>
        <v>0.0833333333333333</v>
      </c>
      <c r="AJ1326" s="62" t="n">
        <f aca="false">AI1326*CC1326</f>
        <v>12.0833333333333</v>
      </c>
      <c r="AK1326" s="63" t="n">
        <f aca="false">IF(LEFT(Cockpit!$C$5,1)="A",H1326,IF(CI1326=1,(CL1326+CJ1326)/2,IF(LEFT(Cockpit!$C$5,1)="B",(CL1326+AM1326)/2,MAX((CL1326+AM1326)/2,H1326))))</f>
        <v>71</v>
      </c>
      <c r="AL1326" s="62" t="n">
        <f aca="false">AK1326*G1326</f>
        <v>3933.4</v>
      </c>
      <c r="AM1326" s="62" t="n">
        <f aca="false">ROUNDUP(CL1326+MAX(CM1326,2*(J1326/IF(CH1326&gt;0,CH1326,MAX(0.1,N(Cockpit!$C$6)))-CL1326)),0)</f>
        <v>11</v>
      </c>
      <c r="AN1326" s="63" t="n">
        <f aca="false">IF(AJ1326&gt;0,J1326/AJ1326,-1)</f>
        <v>0.993103448275862</v>
      </c>
      <c r="AO1326" s="63" t="n">
        <f aca="false">IF(AND(OR(CG1326="L1",CG1326="L23",CG1326="LIFT"),AJ1326&gt;0),SUMIFS($AJ$7:$AJ$1843,$CG$7:$CG$1843,CG1326,$AN$7:$AN$1843,"&gt;"&amp;AN1326)+SUMIFS($AJ$7:$AJ$1843,$CG$7:$CG$1843,CG1326,$AN$7:$AN$1843,AN1326,$BX$7:$BX$1843,"&lt;="&amp;BX1326),"")</f>
        <v>7086.69276556777</v>
      </c>
      <c r="AP1326" s="70" t="n">
        <f aca="false">IF(AO1326="",0,MAX(0,MIN(1,(IF(CG1326="L1",Parameter!$H$5,IF(CG1326="L23",Parameter!$H$6+Parameter!$H$7,Parameter!$H$5+Parameter!$H$6+Parameter!$H$7))-(AO1326-AJ1326))/AJ1326)))</f>
        <v>1</v>
      </c>
      <c r="AQ1326" s="62" t="n">
        <f aca="false">IF(LEFT(Cockpit!$I$5,1)="A",H1326,IF(Parameter!$E$30="MAX-Bestand",IF(CI1326=1,CJ1326,IF(LEFT(Cockpit!$I$5,1)="B",AW1326,MAX(AW1326,H1326))),ROUNDUP(AU1326,0)))</f>
        <v>71</v>
      </c>
      <c r="AR1326" s="62" t="n">
        <f aca="false">IF(CA1326=1,0,ROUNDUP(AQ1326/BZ1326,0))</f>
        <v>1</v>
      </c>
      <c r="AS1326" s="64" t="n">
        <f aca="false">IF(CR1326&gt;0,CR1326*MAX(1,AQ1326/X1326),IF(CA1326=1,IF(AQ1326&lt;=0,0,CE1326*MAX(1,IF(H1326&gt;0,AQ1326/H1326,1))),IF(R1326&gt;0,AR1326/R1326,0))/MAX(0.1,N(Parameter!$M$21)))</f>
        <v>0.0833333333333333</v>
      </c>
      <c r="AT1326" s="62" t="n">
        <f aca="false">AS1326*CC1326</f>
        <v>12.0833333333333</v>
      </c>
      <c r="AU1326" s="63" t="n">
        <f aca="false">IF(LEFT(Cockpit!$I$5,1)="A",H1326,IF(CI1326=1,(CL1326+CJ1326)/2,IF(LEFT(Cockpit!$I$5,1)="B",(CL1326+AW1326)/2,MAX((CL1326+AW1326)/2,H1326))))</f>
        <v>71</v>
      </c>
      <c r="AV1326" s="62" t="n">
        <f aca="false">AU1326*G1326</f>
        <v>3933.4</v>
      </c>
      <c r="AW1326" s="62" t="n">
        <f aca="false">ROUNDUP(CL1326+MAX(CM1326,2*(J1326/IF(CH1326&gt;0,CH1326,MAX(0.1,N(Cockpit!$I$6)))-CL1326)),0)</f>
        <v>11</v>
      </c>
      <c r="AX1326" s="63" t="n">
        <f aca="false">IF(AT1326&gt;0,J1326/AT1326,-1)</f>
        <v>0.993103448275862</v>
      </c>
      <c r="AY1326" s="63" t="n">
        <f aca="false">IF(AND(OR(CG1326="L1",CG1326="L23",CG1326="LIFT"),AT1326&gt;0),SUMIFS($AT$7:$AT$1843,$CG$7:$CG$1843,CG1326,$AX$7:$AX$1843,"&gt;"&amp;AX1326)+SUMIFS($AT$7:$AT$1843,$CG$7:$CG$1843,CG1326,$AX$7:$AX$1843,AX1326,$BX$7:$BX$1843,"&lt;="&amp;BX1326),"")</f>
        <v>8458.37637362637</v>
      </c>
      <c r="AZ1326" s="70" t="n">
        <f aca="false">IF(AY1326="",0,MAX(0,MIN(1,(IF(CG1326="L1",Parameter!$H$5,IF(CG1326="L23",Parameter!$H$6+Parameter!$H$7,Parameter!$H$5+Parameter!$H$6+Parameter!$H$7))-(AY1326-AT1326))/AT1326)))</f>
        <v>1</v>
      </c>
      <c r="BA1326" s="62" t="n">
        <f aca="false">IF(LEFT(Cockpit!$O$5,1)="A",H1326,IF(Parameter!$E$30="MAX-Bestand",IF(CI1326=1,CJ1326,IF(LEFT(Cockpit!$O$5,1)="B",BG1326,MAX(BG1326,H1326))),ROUNDUP(BE1326,0)))</f>
        <v>6</v>
      </c>
      <c r="BB1326" s="62" t="n">
        <f aca="false">IF(CA1326=1,0,ROUNDUP(BA1326/BZ1326,0))</f>
        <v>1</v>
      </c>
      <c r="BC1326" s="64" t="n">
        <f aca="false">IF(CR1326&gt;0,CR1326*MAX(1,BA1326/X1326),IF(CA1326=1,IF(BA1326&lt;=0,0,CE1326*MAX(1,IF(H1326&gt;0,BA1326/H1326,1))),IF(R1326&gt;0,BB1326/R1326,0))/MAX(0.1,N(Parameter!$M$21)))</f>
        <v>0.0833333333333333</v>
      </c>
      <c r="BD1326" s="62" t="n">
        <f aca="false">BC1326*CC1326</f>
        <v>12.0833333333333</v>
      </c>
      <c r="BE1326" s="63" t="n">
        <f aca="false">IF(LEFT(Cockpit!$O$5,1)="A",H1326,IF(CI1326=1,(CL1326+CJ1326)/2,IF(LEFT(Cockpit!$O$5,1)="B",(CL1326+BG1326)/2,MAX((CL1326+BG1326)/2,H1326))))</f>
        <v>6</v>
      </c>
      <c r="BF1326" s="62" t="n">
        <f aca="false">BE1326*G1326</f>
        <v>332.4</v>
      </c>
      <c r="BG1326" s="62" t="n">
        <f aca="false">ROUNDUP(CL1326+MAX(CM1326,2*(J1326/IF(CH1326&gt;0,CH1326,MAX(0.1,N(Cockpit!$O$6)))-CL1326)),0)</f>
        <v>11</v>
      </c>
      <c r="BH1326" s="63" t="n">
        <f aca="false">IF(BD1326&gt;0,J1326/BD1326,-1)</f>
        <v>0.993103448275862</v>
      </c>
      <c r="BI1326" s="63" t="n">
        <f aca="false">IF(AND(OR(CG1326="L1",CG1326="L23",CG1326="LIFT"),BD1326&gt;0),SUMIFS($BD$7:$BD$1843,$CG$7:$CG$1843,CG1326,$BH$7:$BH$1843,"&gt;"&amp;BH1326)+SUMIFS($BD$7:$BD$1843,$CG$7:$CG$1843,CG1326,$BH$7:$BH$1843,BH1326,$BX$7:$BX$1843,"&lt;="&amp;BX1326),"")</f>
        <v>7696.48946886447</v>
      </c>
      <c r="BJ1326" s="70" t="n">
        <f aca="false">IF(BI1326="",0,MAX(0,MIN(1,(IF(CG1326="L1",Parameter!$H$5,IF(CG1326="L23",Parameter!$H$6+Parameter!$H$7,Parameter!$H$5+Parameter!$H$6+Parameter!$H$7))-(BI1326-BD1326))/BD1326)))</f>
        <v>1</v>
      </c>
      <c r="BK1326" s="60" t="str">
        <f aca="false">IF(AJ1326&lt;=0,"",IF(CG1326="Aussen","Aussenlager",IF(CG1326="-","Nicht im Lift",IF(AP1326&gt;=1,"Lift",IF(AP1326&lt;=0,"Aussenlager","teilweise")))))</f>
        <v>Lift</v>
      </c>
      <c r="BL1326" s="60" t="str">
        <f aca="false">IF(AT1326&lt;=0,"",IF(CG1326="Aussen","Aussenlager",IF(CG1326="-","Nicht im Lift",IF(AZ1326&gt;=1,"Lift",IF(AZ1326&lt;=0,"Aussenlager","teilweise")))))</f>
        <v>Lift</v>
      </c>
      <c r="BM1326" s="60" t="str">
        <f aca="false">IF(BD1326&lt;=0,"",IF(CG1326="Aussen","Aussenlager",IF(CG1326="-","Nicht im Lift",IF(BJ1326&gt;=1,"Lift",IF(BJ1326&lt;=0,"Aussenlager","teilweise")))))</f>
        <v>Lift</v>
      </c>
      <c r="BN1326" s="60" t="str">
        <f aca="false">IF(A1326="","",IF(BW1326=1,"Neu; ","")&amp;IF(AND(BW1326=0,BR1326&lt;0),"negativer Bestand (Export "&amp;BR1326&amp;"); ","")&amp;IF(J1326&lt;=0,"Kein Verbrauch; ","")&amp;IF(CR1326&gt;0,"Lift "&amp;W1326&amp;" lt. Liftbericht (Fach "&amp;X1326&amp;" Stk); ",IF(CB1326=1,"Gebinde geschätzt ("&amp;T1326&amp;"); ",IF(CA1326=1,"Lose – Tablare geschätzt; ","")))&amp;IF(H1326&gt;AW1326,"Überbestand "&amp;ROUND(H1326-AW1326,0)&amp;" Stk / CHF "&amp;ROUND((H1326-AW1326)*G1326,0)&amp;"; ","")&amp;IF(AND(CI1326=1,CJ1326&lt;CK1326),"MAX &lt; MB+LG; ","")&amp;IF(AND(CQ1326&gt;0,CP1326*10&gt;CQ1326),"zu hoch für Tablar; ","")&amp;IF(AND(BW1326=0,OR(CI1326=1,AB1326&lt;&gt;"",U1326&lt;&gt;"",V1326&lt;&gt;"",AC1326&lt;&gt;"")),"manuell übersteuert; ","")&amp;IF(AND(CA1326=0,R1326=0),"Gebinde unbekannt / Stellmass fehlt; ","")&amp;IF(AND(CA1326=0,N(V1326)&lt;=0,N(Q1326)&lt;=0),"Menge pro Gebinde fehlt (Ist = 1 Gebinde); ","")&amp;BV1326)</f>
        <v>negativer Bestand (Export -27); Gebinde geschätzt (Mittel); Überbestand 60 Stk / CHF 3324; Menge pro Gebinde fehlt (Ist = 1 Gebinde); </v>
      </c>
      <c r="BO1326" s="60"/>
      <c r="BP1326" s="60"/>
      <c r="BQ1326" s="67"/>
      <c r="BR1326" s="62" t="n">
        <v>-27</v>
      </c>
      <c r="BS1326" s="62" t="n">
        <v>98</v>
      </c>
      <c r="BT1326" s="61" t="n">
        <v>-1495.8</v>
      </c>
      <c r="BU1326" s="62" t="n">
        <v>12</v>
      </c>
      <c r="BV1326" s="60"/>
      <c r="BW1326" s="65" t="n">
        <v>0</v>
      </c>
      <c r="BX1326" s="65" t="n">
        <v>1326</v>
      </c>
      <c r="BY1326" s="60" t="str">
        <f aca="false">IF(U1326&lt;&gt;"",UPPER(TRIM(U1326)),IF(CB1326=1,UPPER(VLOOKUP(T1326,Parameter!$I$27:$K$29,2,0)),IF(P1326="","LOSE",P1326)))</f>
        <v>S61</v>
      </c>
      <c r="BZ1326" s="62" t="n">
        <f aca="false">IF(BY1326="LOSE",1,IF(N(V1326)&gt;0,V1326,IF(CB1326=1,MAX(1,N(VLOOKUP(T1326,Parameter!$I$27:$K$29,3,0)),H1326,N(N1326)),IF(N(Q1326)&gt;0,Q1326,MAX(1,H1326)))))</f>
        <v>71</v>
      </c>
      <c r="CA1326" s="65" t="n">
        <f aca="false">IF(BY1326="LOSE",1,0)</f>
        <v>0</v>
      </c>
      <c r="CB1326" s="65" t="n">
        <f aca="false">IF(AND(U1326="",OR(P1326="",P1326="LOSE"),T1326&lt;&gt;"",N(S1326)&lt;=0,ISNUMBER(MATCH(T1326,Parameter!$I$27:$I$29,0))),1,0)</f>
        <v>1</v>
      </c>
      <c r="CC1326" s="65" t="n">
        <f aca="false">IF(CR1326&gt;0,INDEX(Parameter!$H$5:$H$7,W1326)/INDEX(Parameter!$E$5:$E$7,W1326),IF(AND(CA1326=0,N(IFERROR(VLOOKUP(BY1326,'Gebinde-Kategorie'!$A$5:$N$45,14,0),0))&gt;0),VLOOKUP(BY1326,'Gebinde-Kategorie'!$A$5:$N$45,14,0)*10+Parameter!$M$23,Parameter!$M$24))</f>
        <v>145</v>
      </c>
      <c r="CD1326" s="60" t="str">
        <f aca="false">IF(AND(Parameter!$B$19="Ja",E1326&lt;&gt;"",ISNUMBER(MATCH(E1326,Parameter!$I$35:$I$52,0))),VLOOKUP(E1326,Parameter!$I$35:$J$52,2,0),IFERROR(VLOOKUP(D1326,Parameter!$A$35:$C$64,2,0),"Nein"))</f>
        <v>2+3</v>
      </c>
      <c r="CE1326" s="64" t="n">
        <f aca="false">IF(CA1326=0,0,IF(N(S1326)&gt;0,S1326,IFERROR(VLOOKUP(D1326,Parameter!$A$35:$C$64,3,0)+0,0)))</f>
        <v>0</v>
      </c>
      <c r="CF1326" s="60" t="n">
        <f aca="false">IF(AB1326&lt;&gt;"",AB1326,AA1326)</f>
        <v>3</v>
      </c>
      <c r="CG1326" s="60" t="str">
        <f aca="false">IF(OR(CF1326=1,CF1326=2,CF1326=3),IF(Parameter!$E$27="Ja","LIFT",IF(CF1326=1,"L1","L23")),IF(CF1326="Aussen","Aussen","-"))</f>
        <v>LIFT</v>
      </c>
      <c r="CH1326" s="71" t="n">
        <f aca="false">IF(N(AC1326)&gt;0,AC1326,0)</f>
        <v>0</v>
      </c>
      <c r="CI1326" s="65" t="n">
        <f aca="false">IF(ISNUMBER(AF1326),1,0)</f>
        <v>0</v>
      </c>
      <c r="CJ1326" s="62" t="n">
        <f aca="false">N(AF1326)</f>
        <v>0</v>
      </c>
      <c r="CK1326" s="62" t="n">
        <f aca="false">N(M1326)+N(N1326)</f>
        <v>11</v>
      </c>
      <c r="CL1326" s="62" t="n">
        <f aca="false">N(M1326)</f>
        <v>1</v>
      </c>
      <c r="CM1326" s="62" t="n">
        <f aca="false">N(N1326)</f>
        <v>10</v>
      </c>
      <c r="CN1326" s="62" t="n">
        <f aca="false">ROUNDUP(H1326/BZ1326,0)</f>
        <v>1</v>
      </c>
      <c r="CO1326" s="62" t="n">
        <f aca="false">ROUNDUP(CJ1326/BZ1326,0)</f>
        <v>0</v>
      </c>
      <c r="CP1326" s="65" t="n">
        <f aca="false">IF(CA1326=1,0,IFERROR(VLOOKUP(BY1326,'Gebinde-Kategorie'!$A$5:$N$45,5,0)+0,0))</f>
        <v>11</v>
      </c>
      <c r="CQ1326" s="65" t="n">
        <f aca="false">IFERROR(IF(OR(CF1326=1,CF1326=2,CF1326=3),N(INDEX(Parameter!$I$5:$I$7,CF1326)),0),0)</f>
        <v>0</v>
      </c>
      <c r="CR1326" s="64" t="n">
        <f aca="false">IF(AND(Parameter!$B$21="Ja",ISNUMBER(W1326),N(X1326)&gt;0),IFERROR(N(INDEX(Parameter!$L$5:$L$7,W1326))*INDEX(Parameter!$E$5:$E$7,W1326)*X1326/SUMIFS($X$7:$X$1843,$W$7:$W$1843,W1326),0),0)</f>
        <v>0</v>
      </c>
      <c r="CS1326" s="62" t="n">
        <f aca="false">IF(AND(OR(CG1326="L1",CG1326="L23",CG1326="LIFT"),H1326&gt;0),CC1326*IF(CR1326&gt;0,CR1326*MAX(1,H1326/X1326),IF(CA1326=1,CE1326,IF(R1326&gt;0,CN1326/R1326,0))/MAX(0.1,N(Parameter!$M$21))),"")</f>
        <v>12.0833333333333</v>
      </c>
      <c r="CT1326" s="64" t="n">
        <f aca="false">IF(CS1326="","",J1326/H1326)</f>
        <v>0.169014084507042</v>
      </c>
      <c r="CU1326" s="62" t="n">
        <f aca="false">IF(CS1326="","",H1326*G1326)</f>
        <v>3933.4</v>
      </c>
      <c r="CV1326" s="63" t="n">
        <f aca="false">IF(CS1326="","",(CL1326+ROUNDUP(CL1326+MAX(CM1326,2*(J1326/MAX(0.1,N(Einkauf!$C$6))-CL1326)),0))/2)</f>
        <v>6</v>
      </c>
      <c r="CW1326" s="62" t="n">
        <f aca="false">IF(CS1326="","",MAX(0,H1326-CV1326)*G1326)</f>
        <v>3601</v>
      </c>
      <c r="CX1326" s="62" t="n">
        <f aca="false">IF(CS1326="","",CS1326*MAX(0,1-CV1326/H1326))</f>
        <v>11.06220657277</v>
      </c>
      <c r="CY1326" s="64" t="n">
        <f aca="false">IF(CS1326="","",PERCENTRANK($CS$7:$CS$1843,CS1326)+PERCENTRANK($CU$7:$CU$1843,CU1326)+1-PERCENTRANK($CT$7:$CT$1843,CT1326))</f>
        <v>2.071</v>
      </c>
      <c r="CZ1326" s="72" t="n">
        <f aca="false">IF(CS1326="","",CHOOSE(MATCH(Einkauf!$C$5,Parameter!$G$23:$G$27,0),CY1326,CS1326,CU1326,-CT1326,CW1326)+ROW()/1000000000)</f>
        <v>2.071001326</v>
      </c>
    </row>
    <row r="1327" customFormat="false" ht="15" hidden="false" customHeight="false" outlineLevel="0" collapsed="false">
      <c r="A1327" s="60" t="s">
        <v>2397</v>
      </c>
      <c r="B1327" s="60" t="s">
        <v>2398</v>
      </c>
      <c r="C1327" s="60" t="s">
        <v>206</v>
      </c>
      <c r="D1327" s="60" t="s">
        <v>215</v>
      </c>
      <c r="E1327" s="60" t="s">
        <v>227</v>
      </c>
      <c r="F1327" s="60" t="s">
        <v>260</v>
      </c>
      <c r="G1327" s="61" t="n">
        <v>107.09</v>
      </c>
      <c r="H1327" s="62" t="n">
        <f aca="false">MAX(0,IF(AND(Parameter!$B$21="Ja",ISNUMBER(Y1327)),Y1327,IF(Parameter!$B$20="Jahresanfang 2025 + Export",BS1327+BR1327,BR1327)))</f>
        <v>40</v>
      </c>
      <c r="I1327" s="62" t="n">
        <f aca="false">H1327*G1327</f>
        <v>4283.6</v>
      </c>
      <c r="J1327" s="62" t="n">
        <f aca="false">BU1327*Parameter!$B$18</f>
        <v>95</v>
      </c>
      <c r="K1327" s="63" t="n">
        <v>45</v>
      </c>
      <c r="L1327" s="64" t="n">
        <v>2.11111111111111</v>
      </c>
      <c r="M1327" s="62" t="n">
        <v>5</v>
      </c>
      <c r="N1327" s="62" t="n">
        <v>40</v>
      </c>
      <c r="O1327" s="65" t="n">
        <v>21</v>
      </c>
      <c r="P1327" s="60" t="s">
        <v>216</v>
      </c>
      <c r="Q1327" s="62" t="n">
        <v>60</v>
      </c>
      <c r="R1327" s="65" t="n">
        <f aca="false">IF(CA1327=1,0,IFERROR(VLOOKUP(BY1327,'Gebinde-Kategorie'!$A$5:$N$45,13,0)+0,0))</f>
        <v>6</v>
      </c>
      <c r="S1327" s="66"/>
      <c r="T1327" s="67"/>
      <c r="U1327" s="67"/>
      <c r="V1327" s="67"/>
      <c r="W1327" s="60"/>
      <c r="X1327" s="62"/>
      <c r="Y1327" s="62"/>
      <c r="Z1327" s="60" t="n">
        <v>1</v>
      </c>
      <c r="AA1327" s="60" t="n">
        <f aca="false">IF(A1327="","",IF(AND(Parameter!$B$21="Ja",ISNUMBER(W1327)),W1327,IF(AND(Parameter!$E$27="Ja",ISNUMBER(Z1327),CD1327&lt;&gt;"Nein"),Z1327,IF(CD1327="2+3",IF(ISNUMBER(SEARCH("grosser Artikel",BV1327)),2,IFERROR(VLOOKUP(BY1327,Parameter!$F$35:$G$64,2,0),2)),IF(OR(CD1327="Nein",CD1327=""),"-",CD1327)))))</f>
        <v>1</v>
      </c>
      <c r="AB1327" s="67"/>
      <c r="AC1327" s="68"/>
      <c r="AD1327" s="62" t="n">
        <f aca="false">AW1327</f>
        <v>59</v>
      </c>
      <c r="AE1327" s="62" t="n">
        <f aca="false">MAX(AW1327,H1327)</f>
        <v>59</v>
      </c>
      <c r="AF1327" s="69"/>
      <c r="AG1327" s="62" t="n">
        <f aca="false">IF(LEFT(Cockpit!$C$5,1)="A",H1327,IF(Parameter!$E$30="MAX-Bestand",IF(CI1327=1,CJ1327,IF(LEFT(Cockpit!$C$5,1)="B",AM1327,MAX(AM1327,H1327))),ROUNDUP(AK1327,0)))</f>
        <v>40</v>
      </c>
      <c r="AH1327" s="62" t="n">
        <f aca="false">IF(CA1327=1,0,ROUNDUP(AG1327/BZ1327,0))</f>
        <v>1</v>
      </c>
      <c r="AI1327" s="64" t="n">
        <f aca="false">IF(CR1327&gt;0,CR1327*MAX(1,AG1327/X1327),IF(CA1327=1,IF(AG1327&lt;=0,0,CE1327*MAX(1,IF(H1327&gt;0,AG1327/H1327,1))),IF(R1327&gt;0,AH1327/R1327,0))/MAX(0.1,N(Parameter!$M$21)))</f>
        <v>0.166666666666667</v>
      </c>
      <c r="AJ1327" s="62" t="n">
        <f aca="false">AI1327*CC1327</f>
        <v>39.1666666666667</v>
      </c>
      <c r="AK1327" s="63" t="n">
        <f aca="false">IF(LEFT(Cockpit!$C$5,1)="A",H1327,IF(CI1327=1,(CL1327+CJ1327)/2,IF(LEFT(Cockpit!$C$5,1)="B",(CL1327+AM1327)/2,MAX((CL1327+AM1327)/2,H1327))))</f>
        <v>40</v>
      </c>
      <c r="AL1327" s="62" t="n">
        <f aca="false">AK1327*G1327</f>
        <v>4283.6</v>
      </c>
      <c r="AM1327" s="62" t="n">
        <f aca="false">ROUNDUP(CL1327+MAX(CM1327,2*(J1327/IF(CH1327&gt;0,CH1327,MAX(0.1,N(Cockpit!$C$6)))-CL1327)),0)</f>
        <v>59</v>
      </c>
      <c r="AN1327" s="63" t="n">
        <f aca="false">IF(AJ1327&gt;0,J1327/AJ1327,-1)</f>
        <v>2.42553191489362</v>
      </c>
      <c r="AO1327" s="63" t="n">
        <f aca="false">IF(AND(OR(CG1327="L1",CG1327="L23",CG1327="LIFT"),AJ1327&gt;0),SUMIFS($AJ$7:$AJ$1843,$CG$7:$CG$1843,CG1327,$AN$7:$AN$1843,"&gt;"&amp;AN1327)+SUMIFS($AJ$7:$AJ$1843,$CG$7:$CG$1843,CG1327,$AN$7:$AN$1843,AN1327,$BX$7:$BX$1843,"&lt;="&amp;BX1327),"")</f>
        <v>5569.17902930403</v>
      </c>
      <c r="AP1327" s="70" t="n">
        <f aca="false">IF(AO1327="",0,MAX(0,MIN(1,(IF(CG1327="L1",Parameter!$H$5,IF(CG1327="L23",Parameter!$H$6+Parameter!$H$7,Parameter!$H$5+Parameter!$H$6+Parameter!$H$7))-(AO1327-AJ1327))/AJ1327)))</f>
        <v>1</v>
      </c>
      <c r="AQ1327" s="62" t="n">
        <f aca="false">IF(LEFT(Cockpit!$I$5,1)="A",H1327,IF(Parameter!$E$30="MAX-Bestand",IF(CI1327=1,CJ1327,IF(LEFT(Cockpit!$I$5,1)="B",AW1327,MAX(AW1327,H1327))),ROUNDUP(AU1327,0)))</f>
        <v>40</v>
      </c>
      <c r="AR1327" s="62" t="n">
        <f aca="false">IF(CA1327=1,0,ROUNDUP(AQ1327/BZ1327,0))</f>
        <v>1</v>
      </c>
      <c r="AS1327" s="64" t="n">
        <f aca="false">IF(CR1327&gt;0,CR1327*MAX(1,AQ1327/X1327),IF(CA1327=1,IF(AQ1327&lt;=0,0,CE1327*MAX(1,IF(H1327&gt;0,AQ1327/H1327,1))),IF(R1327&gt;0,AR1327/R1327,0))/MAX(0.1,N(Parameter!$M$21)))</f>
        <v>0.166666666666667</v>
      </c>
      <c r="AT1327" s="62" t="n">
        <f aca="false">AS1327*CC1327</f>
        <v>39.1666666666667</v>
      </c>
      <c r="AU1327" s="63" t="n">
        <f aca="false">IF(LEFT(Cockpit!$I$5,1)="A",H1327,IF(CI1327=1,(CL1327+CJ1327)/2,IF(LEFT(Cockpit!$I$5,1)="B",(CL1327+AW1327)/2,MAX((CL1327+AW1327)/2,H1327))))</f>
        <v>40</v>
      </c>
      <c r="AV1327" s="62" t="n">
        <f aca="false">AU1327*G1327</f>
        <v>4283.6</v>
      </c>
      <c r="AW1327" s="62" t="n">
        <f aca="false">ROUNDUP(CL1327+MAX(CM1327,2*(J1327/IF(CH1327&gt;0,CH1327,MAX(0.1,N(Cockpit!$I$6)))-CL1327)),0)</f>
        <v>59</v>
      </c>
      <c r="AX1327" s="63" t="n">
        <f aca="false">IF(AT1327&gt;0,J1327/AT1327,-1)</f>
        <v>2.42553191489362</v>
      </c>
      <c r="AY1327" s="63" t="n">
        <f aca="false">IF(AND(OR(CG1327="L1",CG1327="L23",CG1327="LIFT"),AT1327&gt;0),SUMIFS($AT$7:$AT$1843,$CG$7:$CG$1843,CG1327,$AX$7:$AX$1843,"&gt;"&amp;AX1327)+SUMIFS($AT$7:$AT$1843,$CG$7:$CG$1843,CG1327,$AX$7:$AX$1843,AX1327,$BX$7:$BX$1843,"&lt;="&amp;BX1327),"")</f>
        <v>6342.40705128205</v>
      </c>
      <c r="AZ1327" s="70" t="n">
        <f aca="false">IF(AY1327="",0,MAX(0,MIN(1,(IF(CG1327="L1",Parameter!$H$5,IF(CG1327="L23",Parameter!$H$6+Parameter!$H$7,Parameter!$H$5+Parameter!$H$6+Parameter!$H$7))-(AY1327-AT1327))/AT1327)))</f>
        <v>1</v>
      </c>
      <c r="BA1327" s="62" t="n">
        <f aca="false">IF(LEFT(Cockpit!$O$5,1)="A",H1327,IF(Parameter!$E$30="MAX-Bestand",IF(CI1327=1,CJ1327,IF(LEFT(Cockpit!$O$5,1)="B",BG1327,MAX(BG1327,H1327))),ROUNDUP(BE1327,0)))</f>
        <v>25</v>
      </c>
      <c r="BB1327" s="62" t="n">
        <f aca="false">IF(CA1327=1,0,ROUNDUP(BA1327/BZ1327,0))</f>
        <v>1</v>
      </c>
      <c r="BC1327" s="64" t="n">
        <f aca="false">IF(CR1327&gt;0,CR1327*MAX(1,BA1327/X1327),IF(CA1327=1,IF(BA1327&lt;=0,0,CE1327*MAX(1,IF(H1327&gt;0,BA1327/H1327,1))),IF(R1327&gt;0,BB1327/R1327,0))/MAX(0.1,N(Parameter!$M$21)))</f>
        <v>0.166666666666667</v>
      </c>
      <c r="BD1327" s="62" t="n">
        <f aca="false">BC1327*CC1327</f>
        <v>39.1666666666667</v>
      </c>
      <c r="BE1327" s="63" t="n">
        <f aca="false">IF(LEFT(Cockpit!$O$5,1)="A",H1327,IF(CI1327=1,(CL1327+CJ1327)/2,IF(LEFT(Cockpit!$O$5,1)="B",(CL1327+BG1327)/2,MAX((CL1327+BG1327)/2,H1327))))</f>
        <v>25</v>
      </c>
      <c r="BF1327" s="62" t="n">
        <f aca="false">BE1327*G1327</f>
        <v>2677.25</v>
      </c>
      <c r="BG1327" s="62" t="n">
        <f aca="false">ROUNDUP(CL1327+MAX(CM1327,2*(J1327/IF(CH1327&gt;0,CH1327,MAX(0.1,N(Cockpit!$O$6)))-CL1327)),0)</f>
        <v>45</v>
      </c>
      <c r="BH1327" s="63" t="n">
        <f aca="false">IF(BD1327&gt;0,J1327/BD1327,-1)</f>
        <v>2.42553191489362</v>
      </c>
      <c r="BI1327" s="63" t="n">
        <f aca="false">IF(AND(OR(CG1327="L1",CG1327="L23",CG1327="LIFT"),BD1327&gt;0),SUMIFS($BD$7:$BD$1843,$CG$7:$CG$1843,CG1327,$BH$7:$BH$1843,"&gt;"&amp;BH1327)+SUMIFS($BD$7:$BD$1843,$CG$7:$CG$1843,CG1327,$BH$7:$BH$1843,BH1327,$BX$7:$BX$1843,"&lt;="&amp;BX1327),"")</f>
        <v>5499.59615384615</v>
      </c>
      <c r="BJ1327" s="70" t="n">
        <f aca="false">IF(BI1327="",0,MAX(0,MIN(1,(IF(CG1327="L1",Parameter!$H$5,IF(CG1327="L23",Parameter!$H$6+Parameter!$H$7,Parameter!$H$5+Parameter!$H$6+Parameter!$H$7))-(BI1327-BD1327))/BD1327)))</f>
        <v>1</v>
      </c>
      <c r="BK1327" s="60" t="str">
        <f aca="false">IF(AJ1327&lt;=0,"",IF(CG1327="Aussen","Aussenlager",IF(CG1327="-","Nicht im Lift",IF(AP1327&gt;=1,"Lift",IF(AP1327&lt;=0,"Aussenlager","teilweise")))))</f>
        <v>Lift</v>
      </c>
      <c r="BL1327" s="60" t="str">
        <f aca="false">IF(AT1327&lt;=0,"",IF(CG1327="Aussen","Aussenlager",IF(CG1327="-","Nicht im Lift",IF(AZ1327&gt;=1,"Lift",IF(AZ1327&lt;=0,"Aussenlager","teilweise")))))</f>
        <v>Lift</v>
      </c>
      <c r="BM1327" s="60" t="str">
        <f aca="false">IF(BD1327&lt;=0,"",IF(CG1327="Aussen","Aussenlager",IF(CG1327="-","Nicht im Lift",IF(BJ1327&gt;=1,"Lift",IF(BJ1327&lt;=0,"Aussenlager","teilweise")))))</f>
        <v>Lift</v>
      </c>
      <c r="BN1327" s="60" t="str">
        <f aca="false">IF(A1327="","",IF(BW1327=1,"Neu; ","")&amp;IF(AND(BW1327=0,BR1327&lt;0),"negativer Bestand (Export "&amp;BR1327&amp;"); ","")&amp;IF(J1327&lt;=0,"Kein Verbrauch; ","")&amp;IF(CR1327&gt;0,"Lift "&amp;W1327&amp;" lt. Liftbericht (Fach "&amp;X1327&amp;" Stk); ",IF(CB1327=1,"Gebinde geschätzt ("&amp;T1327&amp;"); ",IF(CA1327=1,"Lose – Tablare geschätzt; ","")))&amp;IF(H1327&gt;AW1327,"Überbestand "&amp;ROUND(H1327-AW1327,0)&amp;" Stk / CHF "&amp;ROUND((H1327-AW1327)*G1327,0)&amp;"; ","")&amp;IF(AND(CI1327=1,CJ1327&lt;CK1327),"MAX &lt; MB+LG; ","")&amp;IF(AND(CQ1327&gt;0,CP1327*10&gt;CQ1327),"zu hoch für Tablar; ","")&amp;IF(AND(BW1327=0,OR(CI1327=1,AB1327&lt;&gt;"",U1327&lt;&gt;"",V1327&lt;&gt;"",AC1327&lt;&gt;"")),"manuell übersteuert; ","")&amp;IF(AND(CA1327=0,R1327=0),"Gebinde unbekannt / Stellmass fehlt; ","")&amp;IF(AND(CA1327=0,N(V1327)&lt;=0,N(Q1327)&lt;=0),"Menge pro Gebinde fehlt (Ist = 1 Gebinde); ","")&amp;BV1327)</f>
        <v>negativer Bestand (Export -12); grosser Artikel &amp; nicht im KTL</v>
      </c>
      <c r="BO1327" s="60"/>
      <c r="BP1327" s="60"/>
      <c r="BQ1327" s="67"/>
      <c r="BR1327" s="62" t="n">
        <v>-12</v>
      </c>
      <c r="BS1327" s="62" t="n">
        <v>52</v>
      </c>
      <c r="BT1327" s="61" t="n">
        <v>-1519.08</v>
      </c>
      <c r="BU1327" s="62" t="n">
        <v>95</v>
      </c>
      <c r="BV1327" s="60" t="s">
        <v>303</v>
      </c>
      <c r="BW1327" s="65" t="n">
        <v>0</v>
      </c>
      <c r="BX1327" s="65" t="n">
        <v>1327</v>
      </c>
      <c r="BY1327" s="60" t="str">
        <f aca="false">IF(U1327&lt;&gt;"",UPPER(TRIM(U1327)),IF(CB1327=1,UPPER(VLOOKUP(T1327,Parameter!$I$27:$K$29,2,0)),IF(P1327="","LOSE",P1327)))</f>
        <v>S71</v>
      </c>
      <c r="BZ1327" s="62" t="n">
        <f aca="false">IF(BY1327="LOSE",1,IF(N(V1327)&gt;0,V1327,IF(CB1327=1,MAX(1,N(VLOOKUP(T1327,Parameter!$I$27:$K$29,3,0)),H1327,N(N1327)),IF(N(Q1327)&gt;0,Q1327,MAX(1,H1327)))))</f>
        <v>60</v>
      </c>
      <c r="CA1327" s="65" t="n">
        <f aca="false">IF(BY1327="LOSE",1,0)</f>
        <v>0</v>
      </c>
      <c r="CB1327" s="65" t="n">
        <f aca="false">IF(AND(U1327="",OR(P1327="",P1327="LOSE"),T1327&lt;&gt;"",N(S1327)&lt;=0,ISNUMBER(MATCH(T1327,Parameter!$I$27:$I$29,0))),1,0)</f>
        <v>0</v>
      </c>
      <c r="CC1327" s="65" t="n">
        <f aca="false">IF(CR1327&gt;0,INDEX(Parameter!$H$5:$H$7,W1327)/INDEX(Parameter!$E$5:$E$7,W1327),IF(AND(CA1327=0,N(IFERROR(VLOOKUP(BY1327,'Gebinde-Kategorie'!$A$5:$N$45,14,0),0))&gt;0),VLOOKUP(BY1327,'Gebinde-Kategorie'!$A$5:$N$45,14,0)*10+Parameter!$M$23,Parameter!$M$24))</f>
        <v>235</v>
      </c>
      <c r="CD1327" s="60" t="str">
        <f aca="false">IF(AND(Parameter!$B$19="Ja",E1327&lt;&gt;"",ISNUMBER(MATCH(E1327,Parameter!$I$35:$I$52,0))),VLOOKUP(E1327,Parameter!$I$35:$J$52,2,0),IFERROR(VLOOKUP(D1327,Parameter!$A$35:$C$64,2,0),"Nein"))</f>
        <v>2+3</v>
      </c>
      <c r="CE1327" s="64" t="n">
        <f aca="false">IF(CA1327=0,0,IF(N(S1327)&gt;0,S1327,IFERROR(VLOOKUP(D1327,Parameter!$A$35:$C$64,3,0)+0,0)))</f>
        <v>0</v>
      </c>
      <c r="CF1327" s="60" t="n">
        <f aca="false">IF(AB1327&lt;&gt;"",AB1327,AA1327)</f>
        <v>1</v>
      </c>
      <c r="CG1327" s="60" t="str">
        <f aca="false">IF(OR(CF1327=1,CF1327=2,CF1327=3),IF(Parameter!$E$27="Ja","LIFT",IF(CF1327=1,"L1","L23")),IF(CF1327="Aussen","Aussen","-"))</f>
        <v>LIFT</v>
      </c>
      <c r="CH1327" s="71" t="n">
        <f aca="false">IF(N(AC1327)&gt;0,AC1327,0)</f>
        <v>0</v>
      </c>
      <c r="CI1327" s="65" t="n">
        <f aca="false">IF(ISNUMBER(AF1327),1,0)</f>
        <v>0</v>
      </c>
      <c r="CJ1327" s="62" t="n">
        <f aca="false">N(AF1327)</f>
        <v>0</v>
      </c>
      <c r="CK1327" s="62" t="n">
        <f aca="false">N(M1327)+N(N1327)</f>
        <v>45</v>
      </c>
      <c r="CL1327" s="62" t="n">
        <f aca="false">N(M1327)</f>
        <v>5</v>
      </c>
      <c r="CM1327" s="62" t="n">
        <f aca="false">N(N1327)</f>
        <v>40</v>
      </c>
      <c r="CN1327" s="62" t="n">
        <f aca="false">ROUNDUP(H1327/BZ1327,0)</f>
        <v>1</v>
      </c>
      <c r="CO1327" s="62" t="n">
        <f aca="false">ROUNDUP(CJ1327/BZ1327,0)</f>
        <v>0</v>
      </c>
      <c r="CP1327" s="65" t="n">
        <f aca="false">IF(CA1327=1,0,IFERROR(VLOOKUP(BY1327,'Gebinde-Kategorie'!$A$5:$N$45,5,0)+0,0))</f>
        <v>20</v>
      </c>
      <c r="CQ1327" s="65" t="n">
        <f aca="false">IFERROR(IF(OR(CF1327=1,CF1327=2,CF1327=3),N(INDEX(Parameter!$I$5:$I$7,CF1327)),0),0)</f>
        <v>0</v>
      </c>
      <c r="CR1327" s="64" t="n">
        <f aca="false">IF(AND(Parameter!$B$21="Ja",ISNUMBER(W1327),N(X1327)&gt;0),IFERROR(N(INDEX(Parameter!$L$5:$L$7,W1327))*INDEX(Parameter!$E$5:$E$7,W1327)*X1327/SUMIFS($X$7:$X$1843,$W$7:$W$1843,W1327),0),0)</f>
        <v>0</v>
      </c>
      <c r="CS1327" s="62" t="n">
        <f aca="false">IF(AND(OR(CG1327="L1",CG1327="L23",CG1327="LIFT"),H1327&gt;0),CC1327*IF(CR1327&gt;0,CR1327*MAX(1,H1327/X1327),IF(CA1327=1,CE1327,IF(R1327&gt;0,CN1327/R1327,0))/MAX(0.1,N(Parameter!$M$21))),"")</f>
        <v>39.1666666666667</v>
      </c>
      <c r="CT1327" s="64" t="n">
        <f aca="false">IF(CS1327="","",J1327/H1327)</f>
        <v>2.375</v>
      </c>
      <c r="CU1327" s="62" t="n">
        <f aca="false">IF(CS1327="","",H1327*G1327)</f>
        <v>4283.6</v>
      </c>
      <c r="CV1327" s="63" t="n">
        <f aca="false">IF(CS1327="","",(CL1327+ROUNDUP(CL1327+MAX(CM1327,2*(J1327/MAX(0.1,N(Einkauf!$C$6))-CL1327)),0))/2)</f>
        <v>25</v>
      </c>
      <c r="CW1327" s="62" t="n">
        <f aca="false">IF(CS1327="","",MAX(0,H1327-CV1327)*G1327)</f>
        <v>1606.35</v>
      </c>
      <c r="CX1327" s="62" t="n">
        <f aca="false">IF(CS1327="","",CS1327*MAX(0,1-CV1327/H1327))</f>
        <v>14.6875</v>
      </c>
      <c r="CY1327" s="64" t="n">
        <f aca="false">IF(CS1327="","",PERCENTRANK($CS$7:$CS$1843,CS1327)+PERCENTRANK($CU$7:$CU$1843,CU1327)+1-PERCENTRANK($CT$7:$CT$1843,CT1327))</f>
        <v>1.902</v>
      </c>
      <c r="CZ1327" s="72" t="n">
        <f aca="false">IF(CS1327="","",CHOOSE(MATCH(Einkauf!$C$5,Parameter!$G$23:$G$27,0),CY1327,CS1327,CU1327,-CT1327,CW1327)+ROW()/1000000000)</f>
        <v>1.902001327</v>
      </c>
    </row>
    <row r="1328" customFormat="false" ht="15" hidden="false" customHeight="false" outlineLevel="0" collapsed="false">
      <c r="A1328" s="60" t="s">
        <v>2399</v>
      </c>
      <c r="B1328" s="60" t="s">
        <v>2400</v>
      </c>
      <c r="C1328" s="60" t="s">
        <v>206</v>
      </c>
      <c r="D1328" s="60" t="s">
        <v>395</v>
      </c>
      <c r="E1328" s="60"/>
      <c r="F1328" s="60" t="s">
        <v>260</v>
      </c>
      <c r="G1328" s="61" t="n">
        <v>1537.04</v>
      </c>
      <c r="H1328" s="62" t="n">
        <f aca="false">MAX(0,IF(AND(Parameter!$B$21="Ja",ISNUMBER(Y1328)),Y1328,IF(Parameter!$B$20="Jahresanfang 2025 + Export",BS1328+BR1328,BR1328)))</f>
        <v>0</v>
      </c>
      <c r="I1328" s="62" t="n">
        <f aca="false">H1328*G1328</f>
        <v>0</v>
      </c>
      <c r="J1328" s="62" t="n">
        <f aca="false">BU1328*Parameter!$B$18</f>
        <v>0</v>
      </c>
      <c r="K1328" s="63" t="n">
        <v>0.5</v>
      </c>
      <c r="L1328" s="64" t="n">
        <v>0</v>
      </c>
      <c r="M1328" s="62" t="n">
        <v>0</v>
      </c>
      <c r="N1328" s="62" t="n">
        <v>1</v>
      </c>
      <c r="O1328" s="65" t="n">
        <v>90</v>
      </c>
      <c r="P1328" s="60" t="s">
        <v>210</v>
      </c>
      <c r="Q1328" s="62"/>
      <c r="R1328" s="65" t="n">
        <f aca="false">IF(CA1328=1,0,IFERROR(VLOOKUP(BY1328,'Gebinde-Kategorie'!$A$5:$N$45,13,0)+0,0))</f>
        <v>0</v>
      </c>
      <c r="S1328" s="66"/>
      <c r="T1328" s="67"/>
      <c r="U1328" s="67"/>
      <c r="V1328" s="67"/>
      <c r="W1328" s="60"/>
      <c r="X1328" s="62"/>
      <c r="Y1328" s="62"/>
      <c r="Z1328" s="60"/>
      <c r="AA1328" s="60" t="str">
        <f aca="false">IF(A1328="","",IF(AND(Parameter!$B$21="Ja",ISNUMBER(W1328)),W1328,IF(AND(Parameter!$E$27="Ja",ISNUMBER(Z1328),CD1328&lt;&gt;"Nein"),Z1328,IF(CD1328="2+3",IF(ISNUMBER(SEARCH("grosser Artikel",BV1328)),2,IFERROR(VLOOKUP(BY1328,Parameter!$F$35:$G$64,2,0),2)),IF(OR(CD1328="Nein",CD1328=""),"-",CD1328)))))</f>
        <v>-</v>
      </c>
      <c r="AB1328" s="67"/>
      <c r="AC1328" s="68"/>
      <c r="AD1328" s="62" t="n">
        <f aca="false">AW1328</f>
        <v>1</v>
      </c>
      <c r="AE1328" s="62" t="n">
        <f aca="false">MAX(AW1328,H1328)</f>
        <v>1</v>
      </c>
      <c r="AF1328" s="69"/>
      <c r="AG1328" s="62" t="n">
        <f aca="false">IF(LEFT(Cockpit!$C$5,1)="A",H1328,IF(Parameter!$E$30="MAX-Bestand",IF(CI1328=1,CJ1328,IF(LEFT(Cockpit!$C$5,1)="B",AM1328,MAX(AM1328,H1328))),ROUNDUP(AK1328,0)))</f>
        <v>0</v>
      </c>
      <c r="AH1328" s="62" t="n">
        <f aca="false">IF(CA1328=1,0,ROUNDUP(AG1328/BZ1328,0))</f>
        <v>0</v>
      </c>
      <c r="AI1328" s="64" t="n">
        <f aca="false">IF(CR1328&gt;0,CR1328*MAX(1,AG1328/X1328),IF(CA1328=1,IF(AG1328&lt;=0,0,CE1328*MAX(1,IF(H1328&gt;0,AG1328/H1328,1))),IF(R1328&gt;0,AH1328/R1328,0))/MAX(0.1,N(Parameter!$M$21)))</f>
        <v>0</v>
      </c>
      <c r="AJ1328" s="62" t="n">
        <f aca="false">AI1328*CC1328</f>
        <v>0</v>
      </c>
      <c r="AK1328" s="63" t="n">
        <f aca="false">IF(LEFT(Cockpit!$C$5,1)="A",H1328,IF(CI1328=1,(CL1328+CJ1328)/2,IF(LEFT(Cockpit!$C$5,1)="B",(CL1328+AM1328)/2,MAX((CL1328+AM1328)/2,H1328))))</f>
        <v>0</v>
      </c>
      <c r="AL1328" s="62" t="n">
        <f aca="false">AK1328*G1328</f>
        <v>0</v>
      </c>
      <c r="AM1328" s="62" t="n">
        <f aca="false">ROUNDUP(CL1328+MAX(CM1328,2*(J1328/IF(CH1328&gt;0,CH1328,MAX(0.1,N(Cockpit!$C$6)))-CL1328)),0)</f>
        <v>1</v>
      </c>
      <c r="AN1328" s="63" t="n">
        <f aca="false">IF(AJ1328&gt;0,J1328/AJ1328,-1)</f>
        <v>-1</v>
      </c>
      <c r="AO1328" s="63" t="str">
        <f aca="false">IF(AND(OR(CG1328="L1",CG1328="L23",CG1328="LIFT"),AJ1328&gt;0),SUMIFS($AJ$7:$AJ$1843,$CG$7:$CG$1843,CG1328,$AN$7:$AN$1843,"&gt;"&amp;AN1328)+SUMIFS($AJ$7:$AJ$1843,$CG$7:$CG$1843,CG1328,$AN$7:$AN$1843,AN1328,$BX$7:$BX$1843,"&lt;="&amp;BX1328),"")</f>
        <v/>
      </c>
      <c r="AP1328" s="70" t="n">
        <f aca="false">IF(AO1328="",0,MAX(0,MIN(1,(IF(CG1328="L1",Parameter!$H$5,IF(CG1328="L23",Parameter!$H$6+Parameter!$H$7,Parameter!$H$5+Parameter!$H$6+Parameter!$H$7))-(AO1328-AJ1328))/AJ1328)))</f>
        <v>0</v>
      </c>
      <c r="AQ1328" s="62" t="n">
        <f aca="false">IF(LEFT(Cockpit!$I$5,1)="A",H1328,IF(Parameter!$E$30="MAX-Bestand",IF(CI1328=1,CJ1328,IF(LEFT(Cockpit!$I$5,1)="B",AW1328,MAX(AW1328,H1328))),ROUNDUP(AU1328,0)))</f>
        <v>1</v>
      </c>
      <c r="AR1328" s="62" t="n">
        <f aca="false">IF(CA1328=1,0,ROUNDUP(AQ1328/BZ1328,0))</f>
        <v>0</v>
      </c>
      <c r="AS1328" s="64" t="n">
        <f aca="false">IF(CR1328&gt;0,CR1328*MAX(1,AQ1328/X1328),IF(CA1328=1,IF(AQ1328&lt;=0,0,CE1328*MAX(1,IF(H1328&gt;0,AQ1328/H1328,1))),IF(R1328&gt;0,AR1328/R1328,0))/MAX(0.1,N(Parameter!$M$21)))</f>
        <v>0.15</v>
      </c>
      <c r="AT1328" s="62" t="n">
        <f aca="false">AS1328*CC1328</f>
        <v>35.25</v>
      </c>
      <c r="AU1328" s="63" t="n">
        <f aca="false">IF(LEFT(Cockpit!$I$5,1)="A",H1328,IF(CI1328=1,(CL1328+CJ1328)/2,IF(LEFT(Cockpit!$I$5,1)="B",(CL1328+AW1328)/2,MAX((CL1328+AW1328)/2,H1328))))</f>
        <v>0.5</v>
      </c>
      <c r="AV1328" s="62" t="n">
        <f aca="false">AU1328*G1328</f>
        <v>768.52</v>
      </c>
      <c r="AW1328" s="62" t="n">
        <f aca="false">ROUNDUP(CL1328+MAX(CM1328,2*(J1328/IF(CH1328&gt;0,CH1328,MAX(0.1,N(Cockpit!$I$6)))-CL1328)),0)</f>
        <v>1</v>
      </c>
      <c r="AX1328" s="63" t="n">
        <f aca="false">IF(AT1328&gt;0,J1328/AT1328,-1)</f>
        <v>0</v>
      </c>
      <c r="AY1328" s="63" t="str">
        <f aca="false">IF(AND(OR(CG1328="L1",CG1328="L23",CG1328="LIFT"),AT1328&gt;0),SUMIFS($AT$7:$AT$1843,$CG$7:$CG$1843,CG1328,$AX$7:$AX$1843,"&gt;"&amp;AX1328)+SUMIFS($AT$7:$AT$1843,$CG$7:$CG$1843,CG1328,$AX$7:$AX$1843,AX1328,$BX$7:$BX$1843,"&lt;="&amp;BX1328),"")</f>
        <v/>
      </c>
      <c r="AZ1328" s="70" t="n">
        <f aca="false">IF(AY1328="",0,MAX(0,MIN(1,(IF(CG1328="L1",Parameter!$H$5,IF(CG1328="L23",Parameter!$H$6+Parameter!$H$7,Parameter!$H$5+Parameter!$H$6+Parameter!$H$7))-(AY1328-AT1328))/AT1328)))</f>
        <v>0</v>
      </c>
      <c r="BA1328" s="62" t="n">
        <f aca="false">IF(LEFT(Cockpit!$O$5,1)="A",H1328,IF(Parameter!$E$30="MAX-Bestand",IF(CI1328=1,CJ1328,IF(LEFT(Cockpit!$O$5,1)="B",BG1328,MAX(BG1328,H1328))),ROUNDUP(BE1328,0)))</f>
        <v>1</v>
      </c>
      <c r="BB1328" s="62" t="n">
        <f aca="false">IF(CA1328=1,0,ROUNDUP(BA1328/BZ1328,0))</f>
        <v>0</v>
      </c>
      <c r="BC1328" s="64" t="n">
        <f aca="false">IF(CR1328&gt;0,CR1328*MAX(1,BA1328/X1328),IF(CA1328=1,IF(BA1328&lt;=0,0,CE1328*MAX(1,IF(H1328&gt;0,BA1328/H1328,1))),IF(R1328&gt;0,BB1328/R1328,0))/MAX(0.1,N(Parameter!$M$21)))</f>
        <v>0.15</v>
      </c>
      <c r="BD1328" s="62" t="n">
        <f aca="false">BC1328*CC1328</f>
        <v>35.25</v>
      </c>
      <c r="BE1328" s="63" t="n">
        <f aca="false">IF(LEFT(Cockpit!$O$5,1)="A",H1328,IF(CI1328=1,(CL1328+CJ1328)/2,IF(LEFT(Cockpit!$O$5,1)="B",(CL1328+BG1328)/2,MAX((CL1328+BG1328)/2,H1328))))</f>
        <v>0.5</v>
      </c>
      <c r="BF1328" s="62" t="n">
        <f aca="false">BE1328*G1328</f>
        <v>768.52</v>
      </c>
      <c r="BG1328" s="62" t="n">
        <f aca="false">ROUNDUP(CL1328+MAX(CM1328,2*(J1328/IF(CH1328&gt;0,CH1328,MAX(0.1,N(Cockpit!$O$6)))-CL1328)),0)</f>
        <v>1</v>
      </c>
      <c r="BH1328" s="63" t="n">
        <f aca="false">IF(BD1328&gt;0,J1328/BD1328,-1)</f>
        <v>0</v>
      </c>
      <c r="BI1328" s="63" t="str">
        <f aca="false">IF(AND(OR(CG1328="L1",CG1328="L23",CG1328="LIFT"),BD1328&gt;0),SUMIFS($BD$7:$BD$1843,$CG$7:$CG$1843,CG1328,$BH$7:$BH$1843,"&gt;"&amp;BH1328)+SUMIFS($BD$7:$BD$1843,$CG$7:$CG$1843,CG1328,$BH$7:$BH$1843,BH1328,$BX$7:$BX$1843,"&lt;="&amp;BX1328),"")</f>
        <v/>
      </c>
      <c r="BJ1328" s="70" t="n">
        <f aca="false">IF(BI1328="",0,MAX(0,MIN(1,(IF(CG1328="L1",Parameter!$H$5,IF(CG1328="L23",Parameter!$H$6+Parameter!$H$7,Parameter!$H$5+Parameter!$H$6+Parameter!$H$7))-(BI1328-BD1328))/BD1328)))</f>
        <v>0</v>
      </c>
      <c r="BK1328" s="60" t="str">
        <f aca="false">IF(AJ1328&lt;=0,"",IF(CG1328="Aussen","Aussenlager",IF(CG1328="-","Nicht im Lift",IF(AP1328&gt;=1,"Lift",IF(AP1328&lt;=0,"Aussenlager","teilweise")))))</f>
        <v/>
      </c>
      <c r="BL1328" s="60" t="str">
        <f aca="false">IF(AT1328&lt;=0,"",IF(CG1328="Aussen","Aussenlager",IF(CG1328="-","Nicht im Lift",IF(AZ1328&gt;=1,"Lift",IF(AZ1328&lt;=0,"Aussenlager","teilweise")))))</f>
        <v>Nicht im Lift</v>
      </c>
      <c r="BM1328" s="60" t="str">
        <f aca="false">IF(BD1328&lt;=0,"",IF(CG1328="Aussen","Aussenlager",IF(CG1328="-","Nicht im Lift",IF(BJ1328&gt;=1,"Lift",IF(BJ1328&lt;=0,"Aussenlager","teilweise")))))</f>
        <v>Nicht im Lift</v>
      </c>
      <c r="BN1328" s="60" t="str">
        <f aca="false">IF(A1328="","",IF(BW1328=1,"Neu; ","")&amp;IF(AND(BW1328=0,BR1328&lt;0),"negativer Bestand (Export "&amp;BR1328&amp;"); ","")&amp;IF(J1328&lt;=0,"Kein Verbrauch; ","")&amp;IF(CR1328&gt;0,"Lift "&amp;W1328&amp;" lt. Liftbericht (Fach "&amp;X1328&amp;" Stk); ",IF(CB1328=1,"Gebinde geschätzt ("&amp;T1328&amp;"); ",IF(CA1328=1,"Lose – Tablare geschätzt; ","")))&amp;IF(H1328&gt;AW1328,"Überbestand "&amp;ROUND(H1328-AW1328,0)&amp;" Stk / CHF "&amp;ROUND((H1328-AW1328)*G1328,0)&amp;"; ","")&amp;IF(AND(CI1328=1,CJ1328&lt;CK1328),"MAX &lt; MB+LG; ","")&amp;IF(AND(CQ1328&gt;0,CP1328*10&gt;CQ1328),"zu hoch für Tablar; ","")&amp;IF(AND(BW1328=0,OR(CI1328=1,AB1328&lt;&gt;"",U1328&lt;&gt;"",V1328&lt;&gt;"",AC1328&lt;&gt;"")),"manuell übersteuert; ","")&amp;IF(AND(CA1328=0,R1328=0),"Gebinde unbekannt / Stellmass fehlt; ","")&amp;IF(AND(CA1328=0,N(V1328)&lt;=0,N(Q1328)&lt;=0),"Menge pro Gebinde fehlt (Ist = 1 Gebinde); ","")&amp;BV1328)</f>
        <v>negativer Bestand (Export -1); Kein Verbrauch; Lose – Tablare geschätzt; </v>
      </c>
      <c r="BO1328" s="60"/>
      <c r="BP1328" s="60"/>
      <c r="BQ1328" s="67"/>
      <c r="BR1328" s="62" t="n">
        <v>-1</v>
      </c>
      <c r="BS1328" s="62" t="n">
        <v>1</v>
      </c>
      <c r="BT1328" s="61" t="n">
        <v>-1537.04</v>
      </c>
      <c r="BU1328" s="62" t="n">
        <v>0</v>
      </c>
      <c r="BV1328" s="60"/>
      <c r="BW1328" s="65" t="n">
        <v>0</v>
      </c>
      <c r="BX1328" s="65" t="n">
        <v>1328</v>
      </c>
      <c r="BY1328" s="60" t="str">
        <f aca="false">IF(U1328&lt;&gt;"",UPPER(TRIM(U1328)),IF(CB1328=1,UPPER(VLOOKUP(T1328,Parameter!$I$27:$K$29,2,0)),IF(P1328="","LOSE",P1328)))</f>
        <v>LOSE</v>
      </c>
      <c r="BZ1328" s="62" t="n">
        <f aca="false">IF(BY1328="LOSE",1,IF(N(V1328)&gt;0,V1328,IF(CB1328=1,MAX(1,N(VLOOKUP(T1328,Parameter!$I$27:$K$29,3,0)),H1328,N(N1328)),IF(N(Q1328)&gt;0,Q1328,MAX(1,H1328)))))</f>
        <v>1</v>
      </c>
      <c r="CA1328" s="65" t="n">
        <f aca="false">IF(BY1328="LOSE",1,0)</f>
        <v>1</v>
      </c>
      <c r="CB1328" s="65" t="n">
        <f aca="false">IF(AND(U1328="",OR(P1328="",P1328="LOSE"),T1328&lt;&gt;"",N(S1328)&lt;=0,ISNUMBER(MATCH(T1328,Parameter!$I$27:$I$29,0))),1,0)</f>
        <v>0</v>
      </c>
      <c r="CC1328" s="65" t="n">
        <f aca="false">IF(CR1328&gt;0,INDEX(Parameter!$H$5:$H$7,W1328)/INDEX(Parameter!$E$5:$E$7,W1328),IF(AND(CA1328=0,N(IFERROR(VLOOKUP(BY1328,'Gebinde-Kategorie'!$A$5:$N$45,14,0),0))&gt;0),VLOOKUP(BY1328,'Gebinde-Kategorie'!$A$5:$N$45,14,0)*10+Parameter!$M$23,Parameter!$M$24))</f>
        <v>235</v>
      </c>
      <c r="CD1328" s="60" t="str">
        <f aca="false">IF(AND(Parameter!$B$19="Ja",E1328&lt;&gt;"",ISNUMBER(MATCH(E1328,Parameter!$I$35:$I$52,0))),VLOOKUP(E1328,Parameter!$I$35:$J$52,2,0),IFERROR(VLOOKUP(D1328,Parameter!$A$35:$C$64,2,0),"Nein"))</f>
        <v>Nein</v>
      </c>
      <c r="CE1328" s="64" t="n">
        <f aca="false">IF(CA1328=0,0,IF(N(S1328)&gt;0,S1328,IFERROR(VLOOKUP(D1328,Parameter!$A$35:$C$64,3,0)+0,0)))</f>
        <v>0.15</v>
      </c>
      <c r="CF1328" s="60" t="str">
        <f aca="false">IF(AB1328&lt;&gt;"",AB1328,AA1328)</f>
        <v>-</v>
      </c>
      <c r="CG1328" s="60" t="str">
        <f aca="false">IF(OR(CF1328=1,CF1328=2,CF1328=3),IF(Parameter!$E$27="Ja","LIFT",IF(CF1328=1,"L1","L23")),IF(CF1328="Aussen","Aussen","-"))</f>
        <v>-</v>
      </c>
      <c r="CH1328" s="71" t="n">
        <f aca="false">IF(N(AC1328)&gt;0,AC1328,0)</f>
        <v>0</v>
      </c>
      <c r="CI1328" s="65" t="n">
        <f aca="false">IF(ISNUMBER(AF1328),1,0)</f>
        <v>0</v>
      </c>
      <c r="CJ1328" s="62" t="n">
        <f aca="false">N(AF1328)</f>
        <v>0</v>
      </c>
      <c r="CK1328" s="62" t="n">
        <f aca="false">N(M1328)+N(N1328)</f>
        <v>1</v>
      </c>
      <c r="CL1328" s="62" t="n">
        <f aca="false">N(M1328)</f>
        <v>0</v>
      </c>
      <c r="CM1328" s="62" t="n">
        <f aca="false">N(N1328)</f>
        <v>1</v>
      </c>
      <c r="CN1328" s="62" t="n">
        <f aca="false">ROUNDUP(H1328/BZ1328,0)</f>
        <v>0</v>
      </c>
      <c r="CO1328" s="62" t="n">
        <f aca="false">ROUNDUP(CJ1328/BZ1328,0)</f>
        <v>0</v>
      </c>
      <c r="CP1328" s="65" t="n">
        <f aca="false">IF(CA1328=1,0,IFERROR(VLOOKUP(BY1328,'Gebinde-Kategorie'!$A$5:$N$45,5,0)+0,0))</f>
        <v>0</v>
      </c>
      <c r="CQ1328" s="65" t="n">
        <f aca="false">IFERROR(IF(OR(CF1328=1,CF1328=2,CF1328=3),N(INDEX(Parameter!$I$5:$I$7,CF1328)),0),0)</f>
        <v>0</v>
      </c>
      <c r="CR1328" s="64" t="n">
        <f aca="false">IF(AND(Parameter!$B$21="Ja",ISNUMBER(W1328),N(X1328)&gt;0),IFERROR(N(INDEX(Parameter!$L$5:$L$7,W1328))*INDEX(Parameter!$E$5:$E$7,W1328)*X1328/SUMIFS($X$7:$X$1843,$W$7:$W$1843,W1328),0),0)</f>
        <v>0</v>
      </c>
      <c r="CS1328" s="62" t="str">
        <f aca="false">IF(AND(OR(CG1328="L1",CG1328="L23",CG1328="LIFT"),H1328&gt;0),CC1328*IF(CR1328&gt;0,CR1328*MAX(1,H1328/X1328),IF(CA1328=1,CE1328,IF(R1328&gt;0,CN1328/R1328,0))/MAX(0.1,N(Parameter!$M$21))),"")</f>
        <v/>
      </c>
      <c r="CT1328" s="64" t="str">
        <f aca="false">IF(CS1328="","",J1328/H1328)</f>
        <v/>
      </c>
      <c r="CU1328" s="62" t="str">
        <f aca="false">IF(CS1328="","",H1328*G1328)</f>
        <v/>
      </c>
      <c r="CV1328" s="63" t="str">
        <f aca="false">IF(CS1328="","",(CL1328+ROUNDUP(CL1328+MAX(CM1328,2*(J1328/MAX(0.1,N(Einkauf!$C$6))-CL1328)),0))/2)</f>
        <v/>
      </c>
      <c r="CW1328" s="62" t="str">
        <f aca="false">IF(CS1328="","",MAX(0,H1328-CV1328)*G1328)</f>
        <v/>
      </c>
      <c r="CX1328" s="62" t="str">
        <f aca="false">IF(CS1328="","",CS1328*MAX(0,1-CV1328/H1328))</f>
        <v/>
      </c>
      <c r="CY1328" s="64" t="str">
        <f aca="false">IF(CS1328="","",PERCENTRANK($CS$7:$CS$1843,CS1328)+PERCENTRANK($CU$7:$CU$1843,CU1328)+1-PERCENTRANK($CT$7:$CT$1843,CT1328))</f>
        <v/>
      </c>
      <c r="CZ1328" s="72" t="str">
        <f aca="false">IF(CS1328="","",CHOOSE(MATCH(Einkauf!$C$5,Parameter!$G$23:$G$27,0),CY1328,CS1328,CU1328,-CT1328,CW1328)+ROW()/1000000000)</f>
        <v/>
      </c>
    </row>
    <row r="1329" customFormat="false" ht="15" hidden="false" customHeight="false" outlineLevel="0" collapsed="false">
      <c r="A1329" s="60" t="s">
        <v>2401</v>
      </c>
      <c r="B1329" s="60" t="s">
        <v>447</v>
      </c>
      <c r="C1329" s="60" t="s">
        <v>206</v>
      </c>
      <c r="D1329" s="60" t="s">
        <v>215</v>
      </c>
      <c r="E1329" s="60" t="s">
        <v>227</v>
      </c>
      <c r="F1329" s="60" t="s">
        <v>260</v>
      </c>
      <c r="G1329" s="61" t="n">
        <v>0.24</v>
      </c>
      <c r="H1329" s="62" t="n">
        <f aca="false">MAX(0,IF(AND(Parameter!$B$21="Ja",ISNUMBER(Y1329)),Y1329,IF(Parameter!$B$20="Jahresanfang 2025 + Export",BS1329+BR1329,BR1329)))</f>
        <v>2423</v>
      </c>
      <c r="I1329" s="62" t="n">
        <f aca="false">H1329*G1329</f>
        <v>581.52</v>
      </c>
      <c r="J1329" s="62" t="n">
        <f aca="false">BU1329*Parameter!$B$18</f>
        <v>17893</v>
      </c>
      <c r="K1329" s="63" t="n">
        <v>6601.5</v>
      </c>
      <c r="L1329" s="64" t="n">
        <v>2.71044459592517</v>
      </c>
      <c r="M1329" s="62" t="n">
        <v>1043</v>
      </c>
      <c r="N1329" s="62" t="n">
        <v>2000</v>
      </c>
      <c r="O1329" s="65" t="n">
        <v>21</v>
      </c>
      <c r="P1329" s="60" t="s">
        <v>216</v>
      </c>
      <c r="Q1329" s="62" t="n">
        <v>3500</v>
      </c>
      <c r="R1329" s="65" t="n">
        <f aca="false">IF(CA1329=1,0,IFERROR(VLOOKUP(BY1329,'Gebinde-Kategorie'!$A$5:$N$45,13,0)+0,0))</f>
        <v>6</v>
      </c>
      <c r="S1329" s="66"/>
      <c r="T1329" s="67"/>
      <c r="U1329" s="67"/>
      <c r="V1329" s="67"/>
      <c r="W1329" s="60"/>
      <c r="X1329" s="62"/>
      <c r="Y1329" s="62"/>
      <c r="Z1329" s="60" t="n">
        <v>2</v>
      </c>
      <c r="AA1329" s="60" t="n">
        <f aca="false">IF(A1329="","",IF(AND(Parameter!$B$21="Ja",ISNUMBER(W1329)),W1329,IF(AND(Parameter!$E$27="Ja",ISNUMBER(Z1329),CD1329&lt;&gt;"Nein"),Z1329,IF(CD1329="2+3",IF(ISNUMBER(SEARCH("grosser Artikel",BV1329)),2,IFERROR(VLOOKUP(BY1329,Parameter!$F$35:$G$64,2,0),2)),IF(OR(CD1329="Nein",CD1329=""),"-",CD1329)))))</f>
        <v>2</v>
      </c>
      <c r="AB1329" s="67"/>
      <c r="AC1329" s="68"/>
      <c r="AD1329" s="62" t="n">
        <f aca="false">AW1329</f>
        <v>10886</v>
      </c>
      <c r="AE1329" s="62" t="n">
        <f aca="false">MAX(AW1329,H1329)</f>
        <v>10886</v>
      </c>
      <c r="AF1329" s="69"/>
      <c r="AG1329" s="62" t="n">
        <f aca="false">IF(LEFT(Cockpit!$C$5,1)="A",H1329,IF(Parameter!$E$30="MAX-Bestand",IF(CI1329=1,CJ1329,IF(LEFT(Cockpit!$C$5,1)="B",AM1329,MAX(AM1329,H1329))),ROUNDUP(AK1329,0)))</f>
        <v>2423</v>
      </c>
      <c r="AH1329" s="62" t="n">
        <f aca="false">IF(CA1329=1,0,ROUNDUP(AG1329/BZ1329,0))</f>
        <v>1</v>
      </c>
      <c r="AI1329" s="64" t="n">
        <f aca="false">IF(CR1329&gt;0,CR1329*MAX(1,AG1329/X1329),IF(CA1329=1,IF(AG1329&lt;=0,0,CE1329*MAX(1,IF(H1329&gt;0,AG1329/H1329,1))),IF(R1329&gt;0,AH1329/R1329,0))/MAX(0.1,N(Parameter!$M$21)))</f>
        <v>0.166666666666667</v>
      </c>
      <c r="AJ1329" s="62" t="n">
        <f aca="false">AI1329*CC1329</f>
        <v>39.1666666666667</v>
      </c>
      <c r="AK1329" s="63" t="n">
        <f aca="false">IF(LEFT(Cockpit!$C$5,1)="A",H1329,IF(CI1329=1,(CL1329+CJ1329)/2,IF(LEFT(Cockpit!$C$5,1)="B",(CL1329+AM1329)/2,MAX((CL1329+AM1329)/2,H1329))))</f>
        <v>2423</v>
      </c>
      <c r="AL1329" s="62" t="n">
        <f aca="false">AK1329*G1329</f>
        <v>581.52</v>
      </c>
      <c r="AM1329" s="62" t="n">
        <f aca="false">ROUNDUP(CL1329+MAX(CM1329,2*(J1329/IF(CH1329&gt;0,CH1329,MAX(0.1,N(Cockpit!$C$6)))-CL1329)),0)</f>
        <v>10886</v>
      </c>
      <c r="AN1329" s="63" t="n">
        <f aca="false">IF(AJ1329&gt;0,J1329/AJ1329,-1)</f>
        <v>456.842553191489</v>
      </c>
      <c r="AO1329" s="63" t="n">
        <f aca="false">IF(AND(OR(CG1329="L1",CG1329="L23",CG1329="LIFT"),AJ1329&gt;0),SUMIFS($AJ$7:$AJ$1843,$CG$7:$CG$1843,CG1329,$AN$7:$AN$1843,"&gt;"&amp;AN1329)+SUMIFS($AJ$7:$AJ$1843,$CG$7:$CG$1843,CG1329,$AN$7:$AN$1843,AN1329,$BX$7:$BX$1843,"&lt;="&amp;BX1329),"")</f>
        <v>129.801282051282</v>
      </c>
      <c r="AP1329" s="70" t="n">
        <f aca="false">IF(AO1329="",0,MAX(0,MIN(1,(IF(CG1329="L1",Parameter!$H$5,IF(CG1329="L23",Parameter!$H$6+Parameter!$H$7,Parameter!$H$5+Parameter!$H$6+Parameter!$H$7))-(AO1329-AJ1329))/AJ1329)))</f>
        <v>1</v>
      </c>
      <c r="AQ1329" s="62" t="n">
        <f aca="false">IF(LEFT(Cockpit!$I$5,1)="A",H1329,IF(Parameter!$E$30="MAX-Bestand",IF(CI1329=1,CJ1329,IF(LEFT(Cockpit!$I$5,1)="B",AW1329,MAX(AW1329,H1329))),ROUNDUP(AU1329,0)))</f>
        <v>5965</v>
      </c>
      <c r="AR1329" s="62" t="n">
        <f aca="false">IF(CA1329=1,0,ROUNDUP(AQ1329/BZ1329,0))</f>
        <v>2</v>
      </c>
      <c r="AS1329" s="64" t="n">
        <f aca="false">IF(CR1329&gt;0,CR1329*MAX(1,AQ1329/X1329),IF(CA1329=1,IF(AQ1329&lt;=0,0,CE1329*MAX(1,IF(H1329&gt;0,AQ1329/H1329,1))),IF(R1329&gt;0,AR1329/R1329,0))/MAX(0.1,N(Parameter!$M$21)))</f>
        <v>0.333333333333333</v>
      </c>
      <c r="AT1329" s="62" t="n">
        <f aca="false">AS1329*CC1329</f>
        <v>78.3333333333333</v>
      </c>
      <c r="AU1329" s="63" t="n">
        <f aca="false">IF(LEFT(Cockpit!$I$5,1)="A",H1329,IF(CI1329=1,(CL1329+CJ1329)/2,IF(LEFT(Cockpit!$I$5,1)="B",(CL1329+AW1329)/2,MAX((CL1329+AW1329)/2,H1329))))</f>
        <v>5964.5</v>
      </c>
      <c r="AV1329" s="62" t="n">
        <f aca="false">AU1329*G1329</f>
        <v>1431.48</v>
      </c>
      <c r="AW1329" s="62" t="n">
        <f aca="false">ROUNDUP(CL1329+MAX(CM1329,2*(J1329/IF(CH1329&gt;0,CH1329,MAX(0.1,N(Cockpit!$I$6)))-CL1329)),0)</f>
        <v>10886</v>
      </c>
      <c r="AX1329" s="63" t="n">
        <f aca="false">IF(AT1329&gt;0,J1329/AT1329,-1)</f>
        <v>228.421276595745</v>
      </c>
      <c r="AY1329" s="63" t="n">
        <f aca="false">IF(AND(OR(CG1329="L1",CG1329="L23",CG1329="LIFT"),AT1329&gt;0),SUMIFS($AT$7:$AT$1843,$CG$7:$CG$1843,CG1329,$AX$7:$AX$1843,"&gt;"&amp;AX1329)+SUMIFS($AT$7:$AT$1843,$CG$7:$CG$1843,CG1329,$AX$7:$AX$1843,AX1329,$BX$7:$BX$1843,"&lt;="&amp;BX1329),"")</f>
        <v>337.332875457875</v>
      </c>
      <c r="AZ1329" s="70" t="n">
        <f aca="false">IF(AY1329="",0,MAX(0,MIN(1,(IF(CG1329="L1",Parameter!$H$5,IF(CG1329="L23",Parameter!$H$6+Parameter!$H$7,Parameter!$H$5+Parameter!$H$6+Parameter!$H$7))-(AY1329-AT1329))/AT1329)))</f>
        <v>1</v>
      </c>
      <c r="BA1329" s="62" t="n">
        <f aca="false">IF(LEFT(Cockpit!$O$5,1)="A",H1329,IF(Parameter!$E$30="MAX-Bestand",IF(CI1329=1,CJ1329,IF(LEFT(Cockpit!$O$5,1)="B",BG1329,MAX(BG1329,H1329))),ROUNDUP(BE1329,0)))</f>
        <v>4474</v>
      </c>
      <c r="BB1329" s="62" t="n">
        <f aca="false">IF(CA1329=1,0,ROUNDUP(BA1329/BZ1329,0))</f>
        <v>2</v>
      </c>
      <c r="BC1329" s="64" t="n">
        <f aca="false">IF(CR1329&gt;0,CR1329*MAX(1,BA1329/X1329),IF(CA1329=1,IF(BA1329&lt;=0,0,CE1329*MAX(1,IF(H1329&gt;0,BA1329/H1329,1))),IF(R1329&gt;0,BB1329/R1329,0))/MAX(0.1,N(Parameter!$M$21)))</f>
        <v>0.333333333333333</v>
      </c>
      <c r="BD1329" s="62" t="n">
        <f aca="false">BC1329*CC1329</f>
        <v>78.3333333333333</v>
      </c>
      <c r="BE1329" s="63" t="n">
        <f aca="false">IF(LEFT(Cockpit!$O$5,1)="A",H1329,IF(CI1329=1,(CL1329+CJ1329)/2,IF(LEFT(Cockpit!$O$5,1)="B",(CL1329+BG1329)/2,MAX((CL1329+BG1329)/2,H1329))))</f>
        <v>4473.5</v>
      </c>
      <c r="BF1329" s="62" t="n">
        <f aca="false">BE1329*G1329</f>
        <v>1073.64</v>
      </c>
      <c r="BG1329" s="62" t="n">
        <f aca="false">ROUNDUP(CL1329+MAX(CM1329,2*(J1329/IF(CH1329&gt;0,CH1329,MAX(0.1,N(Cockpit!$O$6)))-CL1329)),0)</f>
        <v>7904</v>
      </c>
      <c r="BH1329" s="63" t="n">
        <f aca="false">IF(BD1329&gt;0,J1329/BD1329,-1)</f>
        <v>228.421276595745</v>
      </c>
      <c r="BI1329" s="63" t="n">
        <f aca="false">IF(AND(OR(CG1329="L1",CG1329="L23",CG1329="LIFT"),BD1329&gt;0),SUMIFS($BD$7:$BD$1843,$CG$7:$CG$1843,CG1329,$BH$7:$BH$1843,"&gt;"&amp;BH1329)+SUMIFS($BD$7:$BD$1843,$CG$7:$CG$1843,CG1329,$BH$7:$BH$1843,BH1329,$BX$7:$BX$1843,"&lt;="&amp;BX1329),"")</f>
        <v>394.133241758242</v>
      </c>
      <c r="BJ1329" s="70" t="n">
        <f aca="false">IF(BI1329="",0,MAX(0,MIN(1,(IF(CG1329="L1",Parameter!$H$5,IF(CG1329="L23",Parameter!$H$6+Parameter!$H$7,Parameter!$H$5+Parameter!$H$6+Parameter!$H$7))-(BI1329-BD1329))/BD1329)))</f>
        <v>1</v>
      </c>
      <c r="BK1329" s="60" t="str">
        <f aca="false">IF(AJ1329&lt;=0,"",IF(CG1329="Aussen","Aussenlager",IF(CG1329="-","Nicht im Lift",IF(AP1329&gt;=1,"Lift",IF(AP1329&lt;=0,"Aussenlager","teilweise")))))</f>
        <v>Lift</v>
      </c>
      <c r="BL1329" s="60" t="str">
        <f aca="false">IF(AT1329&lt;=0,"",IF(CG1329="Aussen","Aussenlager",IF(CG1329="-","Nicht im Lift",IF(AZ1329&gt;=1,"Lift",IF(AZ1329&lt;=0,"Aussenlager","teilweise")))))</f>
        <v>Lift</v>
      </c>
      <c r="BM1329" s="60" t="str">
        <f aca="false">IF(BD1329&lt;=0,"",IF(CG1329="Aussen","Aussenlager",IF(CG1329="-","Nicht im Lift",IF(BJ1329&gt;=1,"Lift",IF(BJ1329&lt;=0,"Aussenlager","teilweise")))))</f>
        <v>Lift</v>
      </c>
      <c r="BN1329" s="60" t="str">
        <f aca="false">IF(A1329="","",IF(BW1329=1,"Neu; ","")&amp;IF(AND(BW1329=0,BR1329&lt;0),"negativer Bestand (Export "&amp;BR1329&amp;"); ","")&amp;IF(J1329&lt;=0,"Kein Verbrauch; ","")&amp;IF(CR1329&gt;0,"Lift "&amp;W1329&amp;" lt. Liftbericht (Fach "&amp;X1329&amp;" Stk); ",IF(CB1329=1,"Gebinde geschätzt ("&amp;T1329&amp;"); ",IF(CA1329=1,"Lose – Tablare geschätzt; ","")))&amp;IF(H1329&gt;AW1329,"Überbestand "&amp;ROUND(H1329-AW1329,0)&amp;" Stk / CHF "&amp;ROUND((H1329-AW1329)*G1329,0)&amp;"; ","")&amp;IF(AND(CI1329=1,CJ1329&lt;CK1329),"MAX &lt; MB+LG; ","")&amp;IF(AND(CQ1329&gt;0,CP1329*10&gt;CQ1329),"zu hoch für Tablar; ","")&amp;IF(AND(BW1329=0,OR(CI1329=1,AB1329&lt;&gt;"",U1329&lt;&gt;"",V1329&lt;&gt;"",AC1329&lt;&gt;"")),"manuell übersteuert; ","")&amp;IF(AND(CA1329=0,R1329=0),"Gebinde unbekannt / Stellmass fehlt; ","")&amp;IF(AND(CA1329=0,N(V1329)&lt;=0,N(Q1329)&lt;=0),"Menge pro Gebinde fehlt (Ist = 1 Gebinde); ","")&amp;BV1329)</f>
        <v>negativer Bestand (Export -6796); grosse  Artikelmenge</v>
      </c>
      <c r="BO1329" s="60"/>
      <c r="BP1329" s="60"/>
      <c r="BQ1329" s="67"/>
      <c r="BR1329" s="62" t="n">
        <v>-6796</v>
      </c>
      <c r="BS1329" s="62" t="n">
        <v>9219</v>
      </c>
      <c r="BT1329" s="61" t="n">
        <v>-1539.39</v>
      </c>
      <c r="BU1329" s="62" t="n">
        <v>17893</v>
      </c>
      <c r="BV1329" s="60" t="s">
        <v>1649</v>
      </c>
      <c r="BW1329" s="65" t="n">
        <v>0</v>
      </c>
      <c r="BX1329" s="65" t="n">
        <v>1329</v>
      </c>
      <c r="BY1329" s="60" t="str">
        <f aca="false">IF(U1329&lt;&gt;"",UPPER(TRIM(U1329)),IF(CB1329=1,UPPER(VLOOKUP(T1329,Parameter!$I$27:$K$29,2,0)),IF(P1329="","LOSE",P1329)))</f>
        <v>S71</v>
      </c>
      <c r="BZ1329" s="62" t="n">
        <f aca="false">IF(BY1329="LOSE",1,IF(N(V1329)&gt;0,V1329,IF(CB1329=1,MAX(1,N(VLOOKUP(T1329,Parameter!$I$27:$K$29,3,0)),H1329,N(N1329)),IF(N(Q1329)&gt;0,Q1329,MAX(1,H1329)))))</f>
        <v>3500</v>
      </c>
      <c r="CA1329" s="65" t="n">
        <f aca="false">IF(BY1329="LOSE",1,0)</f>
        <v>0</v>
      </c>
      <c r="CB1329" s="65" t="n">
        <f aca="false">IF(AND(U1329="",OR(P1329="",P1329="LOSE"),T1329&lt;&gt;"",N(S1329)&lt;=0,ISNUMBER(MATCH(T1329,Parameter!$I$27:$I$29,0))),1,0)</f>
        <v>0</v>
      </c>
      <c r="CC1329" s="65" t="n">
        <f aca="false">IF(CR1329&gt;0,INDEX(Parameter!$H$5:$H$7,W1329)/INDEX(Parameter!$E$5:$E$7,W1329),IF(AND(CA1329=0,N(IFERROR(VLOOKUP(BY1329,'Gebinde-Kategorie'!$A$5:$N$45,14,0),0))&gt;0),VLOOKUP(BY1329,'Gebinde-Kategorie'!$A$5:$N$45,14,0)*10+Parameter!$M$23,Parameter!$M$24))</f>
        <v>235</v>
      </c>
      <c r="CD1329" s="60" t="str">
        <f aca="false">IF(AND(Parameter!$B$19="Ja",E1329&lt;&gt;"",ISNUMBER(MATCH(E1329,Parameter!$I$35:$I$52,0))),VLOOKUP(E1329,Parameter!$I$35:$J$52,2,0),IFERROR(VLOOKUP(D1329,Parameter!$A$35:$C$64,2,0),"Nein"))</f>
        <v>2+3</v>
      </c>
      <c r="CE1329" s="64" t="n">
        <f aca="false">IF(CA1329=0,0,IF(N(S1329)&gt;0,S1329,IFERROR(VLOOKUP(D1329,Parameter!$A$35:$C$64,3,0)+0,0)))</f>
        <v>0</v>
      </c>
      <c r="CF1329" s="60" t="n">
        <f aca="false">IF(AB1329&lt;&gt;"",AB1329,AA1329)</f>
        <v>2</v>
      </c>
      <c r="CG1329" s="60" t="str">
        <f aca="false">IF(OR(CF1329=1,CF1329=2,CF1329=3),IF(Parameter!$E$27="Ja","LIFT",IF(CF1329=1,"L1","L23")),IF(CF1329="Aussen","Aussen","-"))</f>
        <v>LIFT</v>
      </c>
      <c r="CH1329" s="71" t="n">
        <f aca="false">IF(N(AC1329)&gt;0,AC1329,0)</f>
        <v>0</v>
      </c>
      <c r="CI1329" s="65" t="n">
        <f aca="false">IF(ISNUMBER(AF1329),1,0)</f>
        <v>0</v>
      </c>
      <c r="CJ1329" s="62" t="n">
        <f aca="false">N(AF1329)</f>
        <v>0</v>
      </c>
      <c r="CK1329" s="62" t="n">
        <f aca="false">N(M1329)+N(N1329)</f>
        <v>3043</v>
      </c>
      <c r="CL1329" s="62" t="n">
        <f aca="false">N(M1329)</f>
        <v>1043</v>
      </c>
      <c r="CM1329" s="62" t="n">
        <f aca="false">N(N1329)</f>
        <v>2000</v>
      </c>
      <c r="CN1329" s="62" t="n">
        <f aca="false">ROUNDUP(H1329/BZ1329,0)</f>
        <v>1</v>
      </c>
      <c r="CO1329" s="62" t="n">
        <f aca="false">ROUNDUP(CJ1329/BZ1329,0)</f>
        <v>0</v>
      </c>
      <c r="CP1329" s="65" t="n">
        <f aca="false">IF(CA1329=1,0,IFERROR(VLOOKUP(BY1329,'Gebinde-Kategorie'!$A$5:$N$45,5,0)+0,0))</f>
        <v>20</v>
      </c>
      <c r="CQ1329" s="65" t="n">
        <f aca="false">IFERROR(IF(OR(CF1329=1,CF1329=2,CF1329=3),N(INDEX(Parameter!$I$5:$I$7,CF1329)),0),0)</f>
        <v>0</v>
      </c>
      <c r="CR1329" s="64" t="n">
        <f aca="false">IF(AND(Parameter!$B$21="Ja",ISNUMBER(W1329),N(X1329)&gt;0),IFERROR(N(INDEX(Parameter!$L$5:$L$7,W1329))*INDEX(Parameter!$E$5:$E$7,W1329)*X1329/SUMIFS($X$7:$X$1843,$W$7:$W$1843,W1329),0),0)</f>
        <v>0</v>
      </c>
      <c r="CS1329" s="62" t="n">
        <f aca="false">IF(AND(OR(CG1329="L1",CG1329="L23",CG1329="LIFT"),H1329&gt;0),CC1329*IF(CR1329&gt;0,CR1329*MAX(1,H1329/X1329),IF(CA1329=1,CE1329,IF(R1329&gt;0,CN1329/R1329,0))/MAX(0.1,N(Parameter!$M$21))),"")</f>
        <v>39.1666666666667</v>
      </c>
      <c r="CT1329" s="64" t="n">
        <f aca="false">IF(CS1329="","",J1329/H1329)</f>
        <v>7.38464713165497</v>
      </c>
      <c r="CU1329" s="62" t="n">
        <f aca="false">IF(CS1329="","",H1329*G1329)</f>
        <v>581.52</v>
      </c>
      <c r="CV1329" s="63" t="n">
        <f aca="false">IF(CS1329="","",(CL1329+ROUNDUP(CL1329+MAX(CM1329,2*(J1329/MAX(0.1,N(Einkauf!$C$6))-CL1329)),0))/2)</f>
        <v>4473.5</v>
      </c>
      <c r="CW1329" s="62" t="n">
        <f aca="false">IF(CS1329="","",MAX(0,H1329-CV1329)*G1329)</f>
        <v>0</v>
      </c>
      <c r="CX1329" s="62" t="n">
        <f aca="false">IF(CS1329="","",CS1329*MAX(0,1-CV1329/H1329))</f>
        <v>0</v>
      </c>
      <c r="CY1329" s="64" t="n">
        <f aca="false">IF(CS1329="","",PERCENTRANK($CS$7:$CS$1843,CS1329)+PERCENTRANK($CU$7:$CU$1843,CU1329)+1-PERCENTRANK($CT$7:$CT$1843,CT1329))</f>
        <v>1.42</v>
      </c>
      <c r="CZ1329" s="72" t="n">
        <f aca="false">IF(CS1329="","",CHOOSE(MATCH(Einkauf!$C$5,Parameter!$G$23:$G$27,0),CY1329,CS1329,CU1329,-CT1329,CW1329)+ROW()/1000000000)</f>
        <v>1.420001329</v>
      </c>
    </row>
    <row r="1330" customFormat="false" ht="15" hidden="false" customHeight="false" outlineLevel="0" collapsed="false">
      <c r="A1330" s="60" t="s">
        <v>2402</v>
      </c>
      <c r="B1330" s="60" t="s">
        <v>447</v>
      </c>
      <c r="C1330" s="60" t="s">
        <v>206</v>
      </c>
      <c r="D1330" s="60" t="s">
        <v>215</v>
      </c>
      <c r="E1330" s="60"/>
      <c r="F1330" s="60" t="s">
        <v>260</v>
      </c>
      <c r="G1330" s="61" t="n">
        <v>0.42</v>
      </c>
      <c r="H1330" s="62" t="n">
        <f aca="false">MAX(0,IF(AND(Parameter!$B$21="Ja",ISNUMBER(Y1330)),Y1330,IF(Parameter!$B$20="Jahresanfang 2025 + Export",BS1330+BR1330,BR1330)))</f>
        <v>0</v>
      </c>
      <c r="I1330" s="62" t="n">
        <f aca="false">H1330*G1330</f>
        <v>0</v>
      </c>
      <c r="J1330" s="62" t="n">
        <f aca="false">BU1330*Parameter!$B$18</f>
        <v>18000</v>
      </c>
      <c r="K1330" s="63" t="n">
        <v>3000</v>
      </c>
      <c r="L1330" s="64" t="n">
        <v>6</v>
      </c>
      <c r="M1330" s="62" t="n">
        <v>0</v>
      </c>
      <c r="N1330" s="62" t="n">
        <v>200</v>
      </c>
      <c r="O1330" s="65" t="n">
        <v>21</v>
      </c>
      <c r="P1330" s="60" t="s">
        <v>210</v>
      </c>
      <c r="Q1330" s="62"/>
      <c r="R1330" s="65" t="n">
        <f aca="false">IF(CA1330=1,0,IFERROR(VLOOKUP(BY1330,'Gebinde-Kategorie'!$A$5:$N$45,13,0)+0,0))</f>
        <v>26</v>
      </c>
      <c r="S1330" s="66"/>
      <c r="T1330" s="67" t="s">
        <v>317</v>
      </c>
      <c r="U1330" s="67"/>
      <c r="V1330" s="67"/>
      <c r="W1330" s="60"/>
      <c r="X1330" s="62"/>
      <c r="Y1330" s="62"/>
      <c r="Z1330" s="60" t="n">
        <v>3</v>
      </c>
      <c r="AA1330" s="60" t="n">
        <f aca="false">IF(A1330="","",IF(AND(Parameter!$B$21="Ja",ISNUMBER(W1330)),W1330,IF(AND(Parameter!$E$27="Ja",ISNUMBER(Z1330),CD1330&lt;&gt;"Nein"),Z1330,IF(CD1330="2+3",IF(ISNUMBER(SEARCH("grosser Artikel",BV1330)),2,IFERROR(VLOOKUP(BY1330,Parameter!$F$35:$G$64,2,0),2)),IF(OR(CD1330="Nein",CD1330=""),"-",CD1330)))))</f>
        <v>3</v>
      </c>
      <c r="AB1330" s="67"/>
      <c r="AC1330" s="68"/>
      <c r="AD1330" s="62" t="n">
        <f aca="false">AW1330</f>
        <v>12000</v>
      </c>
      <c r="AE1330" s="62" t="n">
        <f aca="false">MAX(AW1330,H1330)</f>
        <v>12000</v>
      </c>
      <c r="AF1330" s="69"/>
      <c r="AG1330" s="62" t="n">
        <f aca="false">IF(LEFT(Cockpit!$C$5,1)="A",H1330,IF(Parameter!$E$30="MAX-Bestand",IF(CI1330=1,CJ1330,IF(LEFT(Cockpit!$C$5,1)="B",AM1330,MAX(AM1330,H1330))),ROUNDUP(AK1330,0)))</f>
        <v>0</v>
      </c>
      <c r="AH1330" s="62" t="n">
        <f aca="false">IF(CA1330=1,0,ROUNDUP(AG1330/BZ1330,0))</f>
        <v>0</v>
      </c>
      <c r="AI1330" s="64" t="n">
        <f aca="false">IF(CR1330&gt;0,CR1330*MAX(1,AG1330/X1330),IF(CA1330=1,IF(AG1330&lt;=0,0,CE1330*MAX(1,IF(H1330&gt;0,AG1330/H1330,1))),IF(R1330&gt;0,AH1330/R1330,0))/MAX(0.1,N(Parameter!$M$21)))</f>
        <v>0</v>
      </c>
      <c r="AJ1330" s="62" t="n">
        <f aca="false">AI1330*CC1330</f>
        <v>0</v>
      </c>
      <c r="AK1330" s="63" t="n">
        <f aca="false">IF(LEFT(Cockpit!$C$5,1)="A",H1330,IF(CI1330=1,(CL1330+CJ1330)/2,IF(LEFT(Cockpit!$C$5,1)="B",(CL1330+AM1330)/2,MAX((CL1330+AM1330)/2,H1330))))</f>
        <v>0</v>
      </c>
      <c r="AL1330" s="62" t="n">
        <f aca="false">AK1330*G1330</f>
        <v>0</v>
      </c>
      <c r="AM1330" s="62" t="n">
        <f aca="false">ROUNDUP(CL1330+MAX(CM1330,2*(J1330/IF(CH1330&gt;0,CH1330,MAX(0.1,N(Cockpit!$C$6)))-CL1330)),0)</f>
        <v>12000</v>
      </c>
      <c r="AN1330" s="63" t="n">
        <f aca="false">IF(AJ1330&gt;0,J1330/AJ1330,-1)</f>
        <v>-1</v>
      </c>
      <c r="AO1330" s="63" t="str">
        <f aca="false">IF(AND(OR(CG1330="L1",CG1330="L23",CG1330="LIFT"),AJ1330&gt;0),SUMIFS($AJ$7:$AJ$1843,$CG$7:$CG$1843,CG1330,$AN$7:$AN$1843,"&gt;"&amp;AN1330)+SUMIFS($AJ$7:$AJ$1843,$CG$7:$CG$1843,CG1330,$AN$7:$AN$1843,AN1330,$BX$7:$BX$1843,"&lt;="&amp;BX1330),"")</f>
        <v/>
      </c>
      <c r="AP1330" s="70" t="n">
        <f aca="false">IF(AO1330="",0,MAX(0,MIN(1,(IF(CG1330="L1",Parameter!$H$5,IF(CG1330="L23",Parameter!$H$6+Parameter!$H$7,Parameter!$H$5+Parameter!$H$6+Parameter!$H$7))-(AO1330-AJ1330))/AJ1330)))</f>
        <v>0</v>
      </c>
      <c r="AQ1330" s="62" t="n">
        <f aca="false">IF(LEFT(Cockpit!$I$5,1)="A",H1330,IF(Parameter!$E$30="MAX-Bestand",IF(CI1330=1,CJ1330,IF(LEFT(Cockpit!$I$5,1)="B",AW1330,MAX(AW1330,H1330))),ROUNDUP(AU1330,0)))</f>
        <v>6000</v>
      </c>
      <c r="AR1330" s="62" t="n">
        <f aca="false">IF(CA1330=1,0,ROUNDUP(AQ1330/BZ1330,0))</f>
        <v>30</v>
      </c>
      <c r="AS1330" s="64" t="n">
        <f aca="false">IF(CR1330&gt;0,CR1330*MAX(1,AQ1330/X1330),IF(CA1330=1,IF(AQ1330&lt;=0,0,CE1330*MAX(1,IF(H1330&gt;0,AQ1330/H1330,1))),IF(R1330&gt;0,AR1330/R1330,0))/MAX(0.1,N(Parameter!$M$21)))</f>
        <v>1.15384615384615</v>
      </c>
      <c r="AT1330" s="62" t="n">
        <f aca="false">AS1330*CC1330</f>
        <v>178.846153846154</v>
      </c>
      <c r="AU1330" s="63" t="n">
        <f aca="false">IF(LEFT(Cockpit!$I$5,1)="A",H1330,IF(CI1330=1,(CL1330+CJ1330)/2,IF(LEFT(Cockpit!$I$5,1)="B",(CL1330+AW1330)/2,MAX((CL1330+AW1330)/2,H1330))))</f>
        <v>6000</v>
      </c>
      <c r="AV1330" s="62" t="n">
        <f aca="false">AU1330*G1330</f>
        <v>2520</v>
      </c>
      <c r="AW1330" s="62" t="n">
        <f aca="false">ROUNDUP(CL1330+MAX(CM1330,2*(J1330/IF(CH1330&gt;0,CH1330,MAX(0.1,N(Cockpit!$I$6)))-CL1330)),0)</f>
        <v>12000</v>
      </c>
      <c r="AX1330" s="63" t="n">
        <f aca="false">IF(AT1330&gt;0,J1330/AT1330,-1)</f>
        <v>100.645161290323</v>
      </c>
      <c r="AY1330" s="63" t="n">
        <f aca="false">IF(AND(OR(CG1330="L1",CG1330="L23",CG1330="LIFT"),AT1330&gt;0),SUMIFS($AT$7:$AT$1843,$CG$7:$CG$1843,CG1330,$AX$7:$AX$1843,"&gt;"&amp;AX1330)+SUMIFS($AT$7:$AT$1843,$CG$7:$CG$1843,CG1330,$AX$7:$AX$1843,AX1330,$BX$7:$BX$1843,"&lt;="&amp;BX1330),"")</f>
        <v>1018.01098901099</v>
      </c>
      <c r="AZ1330" s="70" t="n">
        <f aca="false">IF(AY1330="",0,MAX(0,MIN(1,(IF(CG1330="L1",Parameter!$H$5,IF(CG1330="L23",Parameter!$H$6+Parameter!$H$7,Parameter!$H$5+Parameter!$H$6+Parameter!$H$7))-(AY1330-AT1330))/AT1330)))</f>
        <v>1</v>
      </c>
      <c r="BA1330" s="62" t="n">
        <f aca="false">IF(LEFT(Cockpit!$O$5,1)="A",H1330,IF(Parameter!$E$30="MAX-Bestand",IF(CI1330=1,CJ1330,IF(LEFT(Cockpit!$O$5,1)="B",BG1330,MAX(BG1330,H1330))),ROUNDUP(BE1330,0)))</f>
        <v>4500</v>
      </c>
      <c r="BB1330" s="62" t="n">
        <f aca="false">IF(CA1330=1,0,ROUNDUP(BA1330/BZ1330,0))</f>
        <v>23</v>
      </c>
      <c r="BC1330" s="64" t="n">
        <f aca="false">IF(CR1330&gt;0,CR1330*MAX(1,BA1330/X1330),IF(CA1330=1,IF(BA1330&lt;=0,0,CE1330*MAX(1,IF(H1330&gt;0,BA1330/H1330,1))),IF(R1330&gt;0,BB1330/R1330,0))/MAX(0.1,N(Parameter!$M$21)))</f>
        <v>0.884615384615385</v>
      </c>
      <c r="BD1330" s="62" t="n">
        <f aca="false">BC1330*CC1330</f>
        <v>137.115384615385</v>
      </c>
      <c r="BE1330" s="63" t="n">
        <f aca="false">IF(LEFT(Cockpit!$O$5,1)="A",H1330,IF(CI1330=1,(CL1330+CJ1330)/2,IF(LEFT(Cockpit!$O$5,1)="B",(CL1330+BG1330)/2,MAX((CL1330+BG1330)/2,H1330))))</f>
        <v>4500</v>
      </c>
      <c r="BF1330" s="62" t="n">
        <f aca="false">BE1330*G1330</f>
        <v>1890</v>
      </c>
      <c r="BG1330" s="62" t="n">
        <f aca="false">ROUNDUP(CL1330+MAX(CM1330,2*(J1330/IF(CH1330&gt;0,CH1330,MAX(0.1,N(Cockpit!$O$6)))-CL1330)),0)</f>
        <v>9000</v>
      </c>
      <c r="BH1330" s="63" t="n">
        <f aca="false">IF(BD1330&gt;0,J1330/BD1330,-1)</f>
        <v>131.276297335203</v>
      </c>
      <c r="BI1330" s="63" t="n">
        <f aca="false">IF(AND(OR(CG1330="L1",CG1330="L23",CG1330="LIFT"),BD1330&gt;0),SUMIFS($BD$7:$BD$1843,$CG$7:$CG$1843,CG1330,$BH$7:$BH$1843,"&gt;"&amp;BH1330)+SUMIFS($BD$7:$BD$1843,$CG$7:$CG$1843,CG1330,$BH$7:$BH$1843,BH1330,$BX$7:$BX$1843,"&lt;="&amp;BX1330),"")</f>
        <v>737.902472527473</v>
      </c>
      <c r="BJ1330" s="70" t="n">
        <f aca="false">IF(BI1330="",0,MAX(0,MIN(1,(IF(CG1330="L1",Parameter!$H$5,IF(CG1330="L23",Parameter!$H$6+Parameter!$H$7,Parameter!$H$5+Parameter!$H$6+Parameter!$H$7))-(BI1330-BD1330))/BD1330)))</f>
        <v>1</v>
      </c>
      <c r="BK1330" s="60" t="str">
        <f aca="false">IF(AJ1330&lt;=0,"",IF(CG1330="Aussen","Aussenlager",IF(CG1330="-","Nicht im Lift",IF(AP1330&gt;=1,"Lift",IF(AP1330&lt;=0,"Aussenlager","teilweise")))))</f>
        <v/>
      </c>
      <c r="BL1330" s="60" t="str">
        <f aca="false">IF(AT1330&lt;=0,"",IF(CG1330="Aussen","Aussenlager",IF(CG1330="-","Nicht im Lift",IF(AZ1330&gt;=1,"Lift",IF(AZ1330&lt;=0,"Aussenlager","teilweise")))))</f>
        <v>Lift</v>
      </c>
      <c r="BM1330" s="60" t="str">
        <f aca="false">IF(BD1330&lt;=0,"",IF(CG1330="Aussen","Aussenlager",IF(CG1330="-","Nicht im Lift",IF(BJ1330&gt;=1,"Lift",IF(BJ1330&lt;=0,"Aussenlager","teilweise")))))</f>
        <v>Lift</v>
      </c>
      <c r="BN1330" s="60" t="str">
        <f aca="false">IF(A1330="","",IF(BW1330=1,"Neu; ","")&amp;IF(AND(BW1330=0,BR1330&lt;0),"negativer Bestand (Export "&amp;BR1330&amp;"); ","")&amp;IF(J1330&lt;=0,"Kein Verbrauch; ","")&amp;IF(CR1330&gt;0,"Lift "&amp;W1330&amp;" lt. Liftbericht (Fach "&amp;X1330&amp;" Stk); ",IF(CB1330=1,"Gebinde geschätzt ("&amp;T1330&amp;"); ",IF(CA1330=1,"Lose – Tablare geschätzt; ","")))&amp;IF(H1330&gt;AW1330,"Überbestand "&amp;ROUND(H1330-AW1330,0)&amp;" Stk / CHF "&amp;ROUND((H1330-AW1330)*G1330,0)&amp;"; ","")&amp;IF(AND(CI1330=1,CJ1330&lt;CK1330),"MAX &lt; MB+LG; ","")&amp;IF(AND(CQ1330&gt;0,CP1330*10&gt;CQ1330),"zu hoch für Tablar; ","")&amp;IF(AND(BW1330=0,OR(CI1330=1,AB1330&lt;&gt;"",U1330&lt;&gt;"",V1330&lt;&gt;"",AC1330&lt;&gt;"")),"manuell übersteuert; ","")&amp;IF(AND(CA1330=0,R1330=0),"Gebinde unbekannt / Stellmass fehlt; ","")&amp;IF(AND(CA1330=0,N(V1330)&lt;=0,N(Q1330)&lt;=0),"Menge pro Gebinde fehlt (Ist = 1 Gebinde); ","")&amp;BV1330)</f>
        <v>negativer Bestand (Export -4000); Gebinde geschätzt (Klein); Menge pro Gebinde fehlt (Ist = 1 Gebinde); </v>
      </c>
      <c r="BO1330" s="60"/>
      <c r="BP1330" s="60"/>
      <c r="BQ1330" s="67"/>
      <c r="BR1330" s="62" t="n">
        <v>-4000</v>
      </c>
      <c r="BS1330" s="62" t="n">
        <v>4000</v>
      </c>
      <c r="BT1330" s="61" t="n">
        <v>-1560</v>
      </c>
      <c r="BU1330" s="62" t="n">
        <v>18000</v>
      </c>
      <c r="BV1330" s="60"/>
      <c r="BW1330" s="65" t="n">
        <v>0</v>
      </c>
      <c r="BX1330" s="65" t="n">
        <v>1330</v>
      </c>
      <c r="BY1330" s="60" t="str">
        <f aca="false">IF(U1330&lt;&gt;"",UPPER(TRIM(U1330)),IF(CB1330=1,UPPER(VLOOKUP(T1330,Parameter!$I$27:$K$29,2,0)),IF(P1330="","LOSE",P1330)))</f>
        <v>S51</v>
      </c>
      <c r="BZ1330" s="62" t="n">
        <f aca="false">IF(BY1330="LOSE",1,IF(N(V1330)&gt;0,V1330,IF(CB1330=1,MAX(1,N(VLOOKUP(T1330,Parameter!$I$27:$K$29,3,0)),H1330,N(N1330)),IF(N(Q1330)&gt;0,Q1330,MAX(1,H1330)))))</f>
        <v>200</v>
      </c>
      <c r="CA1330" s="65" t="n">
        <f aca="false">IF(BY1330="LOSE",1,0)</f>
        <v>0</v>
      </c>
      <c r="CB1330" s="65" t="n">
        <f aca="false">IF(AND(U1330="",OR(P1330="",P1330="LOSE"),T1330&lt;&gt;"",N(S1330)&lt;=0,ISNUMBER(MATCH(T1330,Parameter!$I$27:$I$29,0))),1,0)</f>
        <v>1</v>
      </c>
      <c r="CC1330" s="65" t="n">
        <f aca="false">IF(CR1330&gt;0,INDEX(Parameter!$H$5:$H$7,W1330)/INDEX(Parameter!$E$5:$E$7,W1330),IF(AND(CA1330=0,N(IFERROR(VLOOKUP(BY1330,'Gebinde-Kategorie'!$A$5:$N$45,14,0),0))&gt;0),VLOOKUP(BY1330,'Gebinde-Kategorie'!$A$5:$N$45,14,0)*10+Parameter!$M$23,Parameter!$M$24))</f>
        <v>155</v>
      </c>
      <c r="CD1330" s="60" t="str">
        <f aca="false">IF(AND(Parameter!$B$19="Ja",E1330&lt;&gt;"",ISNUMBER(MATCH(E1330,Parameter!$I$35:$I$52,0))),VLOOKUP(E1330,Parameter!$I$35:$J$52,2,0),IFERROR(VLOOKUP(D1330,Parameter!$A$35:$C$64,2,0),"Nein"))</f>
        <v>2+3</v>
      </c>
      <c r="CE1330" s="64" t="n">
        <f aca="false">IF(CA1330=0,0,IF(N(S1330)&gt;0,S1330,IFERROR(VLOOKUP(D1330,Parameter!$A$35:$C$64,3,0)+0,0)))</f>
        <v>0</v>
      </c>
      <c r="CF1330" s="60" t="n">
        <f aca="false">IF(AB1330&lt;&gt;"",AB1330,AA1330)</f>
        <v>3</v>
      </c>
      <c r="CG1330" s="60" t="str">
        <f aca="false">IF(OR(CF1330=1,CF1330=2,CF1330=3),IF(Parameter!$E$27="Ja","LIFT",IF(CF1330=1,"L1","L23")),IF(CF1330="Aussen","Aussen","-"))</f>
        <v>LIFT</v>
      </c>
      <c r="CH1330" s="71" t="n">
        <f aca="false">IF(N(AC1330)&gt;0,AC1330,0)</f>
        <v>0</v>
      </c>
      <c r="CI1330" s="65" t="n">
        <f aca="false">IF(ISNUMBER(AF1330),1,0)</f>
        <v>0</v>
      </c>
      <c r="CJ1330" s="62" t="n">
        <f aca="false">N(AF1330)</f>
        <v>0</v>
      </c>
      <c r="CK1330" s="62" t="n">
        <f aca="false">N(M1330)+N(N1330)</f>
        <v>200</v>
      </c>
      <c r="CL1330" s="62" t="n">
        <f aca="false">N(M1330)</f>
        <v>0</v>
      </c>
      <c r="CM1330" s="62" t="n">
        <f aca="false">N(N1330)</f>
        <v>200</v>
      </c>
      <c r="CN1330" s="62" t="n">
        <f aca="false">ROUNDUP(H1330/BZ1330,0)</f>
        <v>0</v>
      </c>
      <c r="CO1330" s="62" t="n">
        <f aca="false">ROUNDUP(CJ1330/BZ1330,0)</f>
        <v>0</v>
      </c>
      <c r="CP1330" s="65" t="n">
        <f aca="false">IF(CA1330=1,0,IFERROR(VLOOKUP(BY1330,'Gebinde-Kategorie'!$A$5:$N$45,5,0)+0,0))</f>
        <v>11</v>
      </c>
      <c r="CQ1330" s="65" t="n">
        <f aca="false">IFERROR(IF(OR(CF1330=1,CF1330=2,CF1330=3),N(INDEX(Parameter!$I$5:$I$7,CF1330)),0),0)</f>
        <v>0</v>
      </c>
      <c r="CR1330" s="64" t="n">
        <f aca="false">IF(AND(Parameter!$B$21="Ja",ISNUMBER(W1330),N(X1330)&gt;0),IFERROR(N(INDEX(Parameter!$L$5:$L$7,W1330))*INDEX(Parameter!$E$5:$E$7,W1330)*X1330/SUMIFS($X$7:$X$1843,$W$7:$W$1843,W1330),0),0)</f>
        <v>0</v>
      </c>
      <c r="CS1330" s="62" t="str">
        <f aca="false">IF(AND(OR(CG1330="L1",CG1330="L23",CG1330="LIFT"),H1330&gt;0),CC1330*IF(CR1330&gt;0,CR1330*MAX(1,H1330/X1330),IF(CA1330=1,CE1330,IF(R1330&gt;0,CN1330/R1330,0))/MAX(0.1,N(Parameter!$M$21))),"")</f>
        <v/>
      </c>
      <c r="CT1330" s="64" t="str">
        <f aca="false">IF(CS1330="","",J1330/H1330)</f>
        <v/>
      </c>
      <c r="CU1330" s="62" t="str">
        <f aca="false">IF(CS1330="","",H1330*G1330)</f>
        <v/>
      </c>
      <c r="CV1330" s="63" t="str">
        <f aca="false">IF(CS1330="","",(CL1330+ROUNDUP(CL1330+MAX(CM1330,2*(J1330/MAX(0.1,N(Einkauf!$C$6))-CL1330)),0))/2)</f>
        <v/>
      </c>
      <c r="CW1330" s="62" t="str">
        <f aca="false">IF(CS1330="","",MAX(0,H1330-CV1330)*G1330)</f>
        <v/>
      </c>
      <c r="CX1330" s="62" t="str">
        <f aca="false">IF(CS1330="","",CS1330*MAX(0,1-CV1330/H1330))</f>
        <v/>
      </c>
      <c r="CY1330" s="64" t="str">
        <f aca="false">IF(CS1330="","",PERCENTRANK($CS$7:$CS$1843,CS1330)+PERCENTRANK($CU$7:$CU$1843,CU1330)+1-PERCENTRANK($CT$7:$CT$1843,CT1330))</f>
        <v/>
      </c>
      <c r="CZ1330" s="72" t="str">
        <f aca="false">IF(CS1330="","",CHOOSE(MATCH(Einkauf!$C$5,Parameter!$G$23:$G$27,0),CY1330,CS1330,CU1330,-CT1330,CW1330)+ROW()/1000000000)</f>
        <v/>
      </c>
    </row>
    <row r="1331" customFormat="false" ht="15" hidden="false" customHeight="false" outlineLevel="0" collapsed="false">
      <c r="A1331" s="60" t="s">
        <v>2403</v>
      </c>
      <c r="B1331" s="60" t="s">
        <v>2404</v>
      </c>
      <c r="C1331" s="60" t="s">
        <v>206</v>
      </c>
      <c r="D1331" s="60" t="s">
        <v>226</v>
      </c>
      <c r="E1331" s="60"/>
      <c r="F1331" s="60" t="s">
        <v>260</v>
      </c>
      <c r="G1331" s="61" t="n">
        <v>29.51</v>
      </c>
      <c r="H1331" s="62" t="n">
        <f aca="false">MAX(0,IF(AND(Parameter!$B$21="Ja",ISNUMBER(Y1331)),Y1331,IF(Parameter!$B$20="Jahresanfang 2025 + Export",BS1331+BR1331,BR1331)))</f>
        <v>4</v>
      </c>
      <c r="I1331" s="62" t="n">
        <f aca="false">H1331*G1331</f>
        <v>118.04</v>
      </c>
      <c r="J1331" s="62" t="n">
        <f aca="false">BU1331*Parameter!$B$18</f>
        <v>3</v>
      </c>
      <c r="K1331" s="63" t="n">
        <v>56</v>
      </c>
      <c r="L1331" s="64" t="n">
        <v>0.0535714285714286</v>
      </c>
      <c r="M1331" s="62" t="n">
        <v>0</v>
      </c>
      <c r="N1331" s="62" t="n">
        <v>5</v>
      </c>
      <c r="O1331" s="65" t="n">
        <v>28</v>
      </c>
      <c r="P1331" s="60" t="s">
        <v>344</v>
      </c>
      <c r="Q1331" s="62" t="n">
        <v>25</v>
      </c>
      <c r="R1331" s="65" t="n">
        <f aca="false">IF(CA1331=1,0,IFERROR(VLOOKUP(BY1331,'Gebinde-Kategorie'!$A$5:$N$45,13,0)+0,0))</f>
        <v>26</v>
      </c>
      <c r="S1331" s="66"/>
      <c r="T1331" s="67"/>
      <c r="U1331" s="67"/>
      <c r="V1331" s="67"/>
      <c r="W1331" s="60"/>
      <c r="X1331" s="62"/>
      <c r="Y1331" s="62"/>
      <c r="Z1331" s="60" t="n">
        <v>3</v>
      </c>
      <c r="AA1331" s="60" t="n">
        <f aca="false">IF(A1331="","",IF(AND(Parameter!$B$21="Ja",ISNUMBER(W1331)),W1331,IF(AND(Parameter!$E$27="Ja",ISNUMBER(Z1331),CD1331&lt;&gt;"Nein"),Z1331,IF(CD1331="2+3",IF(ISNUMBER(SEARCH("grosser Artikel",BV1331)),2,IFERROR(VLOOKUP(BY1331,Parameter!$F$35:$G$64,2,0),2)),IF(OR(CD1331="Nein",CD1331=""),"-",CD1331)))))</f>
        <v>3</v>
      </c>
      <c r="AB1331" s="67"/>
      <c r="AC1331" s="68"/>
      <c r="AD1331" s="62" t="n">
        <f aca="false">AW1331</f>
        <v>5</v>
      </c>
      <c r="AE1331" s="62" t="n">
        <f aca="false">MAX(AW1331,H1331)</f>
        <v>5</v>
      </c>
      <c r="AF1331" s="69"/>
      <c r="AG1331" s="62" t="n">
        <f aca="false">IF(LEFT(Cockpit!$C$5,1)="A",H1331,IF(Parameter!$E$30="MAX-Bestand",IF(CI1331=1,CJ1331,IF(LEFT(Cockpit!$C$5,1)="B",AM1331,MAX(AM1331,H1331))),ROUNDUP(AK1331,0)))</f>
        <v>4</v>
      </c>
      <c r="AH1331" s="62" t="n">
        <f aca="false">IF(CA1331=1,0,ROUNDUP(AG1331/BZ1331,0))</f>
        <v>1</v>
      </c>
      <c r="AI1331" s="64" t="n">
        <f aca="false">IF(CR1331&gt;0,CR1331*MAX(1,AG1331/X1331),IF(CA1331=1,IF(AG1331&lt;=0,0,CE1331*MAX(1,IF(H1331&gt;0,AG1331/H1331,1))),IF(R1331&gt;0,AH1331/R1331,0))/MAX(0.1,N(Parameter!$M$21)))</f>
        <v>0.0384615384615385</v>
      </c>
      <c r="AJ1331" s="62" t="n">
        <f aca="false">AI1331*CC1331</f>
        <v>5.96153846153846</v>
      </c>
      <c r="AK1331" s="63" t="n">
        <f aca="false">IF(LEFT(Cockpit!$C$5,1)="A",H1331,IF(CI1331=1,(CL1331+CJ1331)/2,IF(LEFT(Cockpit!$C$5,1)="B",(CL1331+AM1331)/2,MAX((CL1331+AM1331)/2,H1331))))</f>
        <v>4</v>
      </c>
      <c r="AL1331" s="62" t="n">
        <f aca="false">AK1331*G1331</f>
        <v>118.04</v>
      </c>
      <c r="AM1331" s="62" t="n">
        <f aca="false">ROUNDUP(CL1331+MAX(CM1331,2*(J1331/IF(CH1331&gt;0,CH1331,MAX(0.1,N(Cockpit!$C$6)))-CL1331)),0)</f>
        <v>5</v>
      </c>
      <c r="AN1331" s="63" t="n">
        <f aca="false">IF(AJ1331&gt;0,J1331/AJ1331,-1)</f>
        <v>0.503225806451613</v>
      </c>
      <c r="AO1331" s="63" t="n">
        <f aca="false">IF(AND(OR(CG1331="L1",CG1331="L23",CG1331="LIFT"),AJ1331&gt;0),SUMIFS($AJ$7:$AJ$1843,$CG$7:$CG$1843,CG1331,$AN$7:$AN$1843,"&gt;"&amp;AN1331)+SUMIFS($AJ$7:$AJ$1843,$CG$7:$CG$1843,CG1331,$AN$7:$AN$1843,AN1331,$BX$7:$BX$1843,"&lt;="&amp;BX1331),"")</f>
        <v>9580.04896421846</v>
      </c>
      <c r="AP1331" s="70" t="n">
        <f aca="false">IF(AO1331="",0,MAX(0,MIN(1,(IF(CG1331="L1",Parameter!$H$5,IF(CG1331="L23",Parameter!$H$6+Parameter!$H$7,Parameter!$H$5+Parameter!$H$6+Parameter!$H$7))-(AO1331-AJ1331))/AJ1331)))</f>
        <v>1</v>
      </c>
      <c r="AQ1331" s="62" t="n">
        <f aca="false">IF(LEFT(Cockpit!$I$5,1)="A",H1331,IF(Parameter!$E$30="MAX-Bestand",IF(CI1331=1,CJ1331,IF(LEFT(Cockpit!$I$5,1)="B",AW1331,MAX(AW1331,H1331))),ROUNDUP(AU1331,0)))</f>
        <v>4</v>
      </c>
      <c r="AR1331" s="62" t="n">
        <f aca="false">IF(CA1331=1,0,ROUNDUP(AQ1331/BZ1331,0))</f>
        <v>1</v>
      </c>
      <c r="AS1331" s="64" t="n">
        <f aca="false">IF(CR1331&gt;0,CR1331*MAX(1,AQ1331/X1331),IF(CA1331=1,IF(AQ1331&lt;=0,0,CE1331*MAX(1,IF(H1331&gt;0,AQ1331/H1331,1))),IF(R1331&gt;0,AR1331/R1331,0))/MAX(0.1,N(Parameter!$M$21)))</f>
        <v>0.0384615384615385</v>
      </c>
      <c r="AT1331" s="62" t="n">
        <f aca="false">AS1331*CC1331</f>
        <v>5.96153846153846</v>
      </c>
      <c r="AU1331" s="63" t="n">
        <f aca="false">IF(LEFT(Cockpit!$I$5,1)="A",H1331,IF(CI1331=1,(CL1331+CJ1331)/2,IF(LEFT(Cockpit!$I$5,1)="B",(CL1331+AW1331)/2,MAX((CL1331+AW1331)/2,H1331))))</f>
        <v>4</v>
      </c>
      <c r="AV1331" s="62" t="n">
        <f aca="false">AU1331*G1331</f>
        <v>118.04</v>
      </c>
      <c r="AW1331" s="62" t="n">
        <f aca="false">ROUNDUP(CL1331+MAX(CM1331,2*(J1331/IF(CH1331&gt;0,CH1331,MAX(0.1,N(Cockpit!$I$6)))-CL1331)),0)</f>
        <v>5</v>
      </c>
      <c r="AX1331" s="63" t="n">
        <f aca="false">IF(AT1331&gt;0,J1331/AT1331,-1)</f>
        <v>0.503225806451613</v>
      </c>
      <c r="AY1331" s="63" t="n">
        <f aca="false">IF(AND(OR(CG1331="L1",CG1331="L23",CG1331="LIFT"),AT1331&gt;0),SUMIFS($AT$7:$AT$1843,$CG$7:$CG$1843,CG1331,$AX$7:$AX$1843,"&gt;"&amp;AX1331)+SUMIFS($AT$7:$AT$1843,$CG$7:$CG$1843,CG1331,$AX$7:$AX$1843,AX1331,$BX$7:$BX$1843,"&lt;="&amp;BX1331),"")</f>
        <v>11993.8855311355</v>
      </c>
      <c r="AZ1331" s="70" t="n">
        <f aca="false">IF(AY1331="",0,MAX(0,MIN(1,(IF(CG1331="L1",Parameter!$H$5,IF(CG1331="L23",Parameter!$H$6+Parameter!$H$7,Parameter!$H$5+Parameter!$H$6+Parameter!$H$7))-(AY1331-AT1331))/AT1331)))</f>
        <v>1</v>
      </c>
      <c r="BA1331" s="62" t="n">
        <f aca="false">IF(LEFT(Cockpit!$O$5,1)="A",H1331,IF(Parameter!$E$30="MAX-Bestand",IF(CI1331=1,CJ1331,IF(LEFT(Cockpit!$O$5,1)="B",BG1331,MAX(BG1331,H1331))),ROUNDUP(BE1331,0)))</f>
        <v>3</v>
      </c>
      <c r="BB1331" s="62" t="n">
        <f aca="false">IF(CA1331=1,0,ROUNDUP(BA1331/BZ1331,0))</f>
        <v>1</v>
      </c>
      <c r="BC1331" s="64" t="n">
        <f aca="false">IF(CR1331&gt;0,CR1331*MAX(1,BA1331/X1331),IF(CA1331=1,IF(BA1331&lt;=0,0,CE1331*MAX(1,IF(H1331&gt;0,BA1331/H1331,1))),IF(R1331&gt;0,BB1331/R1331,0))/MAX(0.1,N(Parameter!$M$21)))</f>
        <v>0.0384615384615385</v>
      </c>
      <c r="BD1331" s="62" t="n">
        <f aca="false">BC1331*CC1331</f>
        <v>5.96153846153846</v>
      </c>
      <c r="BE1331" s="63" t="n">
        <f aca="false">IF(LEFT(Cockpit!$O$5,1)="A",H1331,IF(CI1331=1,(CL1331+CJ1331)/2,IF(LEFT(Cockpit!$O$5,1)="B",(CL1331+BG1331)/2,MAX((CL1331+BG1331)/2,H1331))))</f>
        <v>2.5</v>
      </c>
      <c r="BF1331" s="62" t="n">
        <f aca="false">BE1331*G1331</f>
        <v>73.775</v>
      </c>
      <c r="BG1331" s="62" t="n">
        <f aca="false">ROUNDUP(CL1331+MAX(CM1331,2*(J1331/IF(CH1331&gt;0,CH1331,MAX(0.1,N(Cockpit!$O$6)))-CL1331)),0)</f>
        <v>5</v>
      </c>
      <c r="BH1331" s="63" t="n">
        <f aca="false">IF(BD1331&gt;0,J1331/BD1331,-1)</f>
        <v>0.503225806451613</v>
      </c>
      <c r="BI1331" s="63" t="n">
        <f aca="false">IF(AND(OR(CG1331="L1",CG1331="L23",CG1331="LIFT"),BD1331&gt;0),SUMIFS($BD$7:$BD$1843,$CG$7:$CG$1843,CG1331,$BH$7:$BH$1843,"&gt;"&amp;BH1331)+SUMIFS($BD$7:$BD$1843,$CG$7:$CG$1843,CG1331,$BH$7:$BH$1843,BH1331,$BX$7:$BX$1843,"&lt;="&amp;BX1331),"")</f>
        <v>10357.3017399267</v>
      </c>
      <c r="BJ1331" s="70" t="n">
        <f aca="false">IF(BI1331="",0,MAX(0,MIN(1,(IF(CG1331="L1",Parameter!$H$5,IF(CG1331="L23",Parameter!$H$6+Parameter!$H$7,Parameter!$H$5+Parameter!$H$6+Parameter!$H$7))-(BI1331-BD1331))/BD1331)))</f>
        <v>1</v>
      </c>
      <c r="BK1331" s="60" t="str">
        <f aca="false">IF(AJ1331&lt;=0,"",IF(CG1331="Aussen","Aussenlager",IF(CG1331="-","Nicht im Lift",IF(AP1331&gt;=1,"Lift",IF(AP1331&lt;=0,"Aussenlager","teilweise")))))</f>
        <v>Lift</v>
      </c>
      <c r="BL1331" s="60" t="str">
        <f aca="false">IF(AT1331&lt;=0,"",IF(CG1331="Aussen","Aussenlager",IF(CG1331="-","Nicht im Lift",IF(AZ1331&gt;=1,"Lift",IF(AZ1331&lt;=0,"Aussenlager","teilweise")))))</f>
        <v>Lift</v>
      </c>
      <c r="BM1331" s="60" t="str">
        <f aca="false">IF(BD1331&lt;=0,"",IF(CG1331="Aussen","Aussenlager",IF(CG1331="-","Nicht im Lift",IF(BJ1331&gt;=1,"Lift",IF(BJ1331&lt;=0,"Aussenlager","teilweise")))))</f>
        <v>Lift</v>
      </c>
      <c r="BN1331" s="60" t="str">
        <f aca="false">IF(A1331="","",IF(BW1331=1,"Neu; ","")&amp;IF(AND(BW1331=0,BR1331&lt;0),"negativer Bestand (Export "&amp;BR1331&amp;"); ","")&amp;IF(J1331&lt;=0,"Kein Verbrauch; ","")&amp;IF(CR1331&gt;0,"Lift "&amp;W1331&amp;" lt. Liftbericht (Fach "&amp;X1331&amp;" Stk); ",IF(CB1331=1,"Gebinde geschätzt ("&amp;T1331&amp;"); ",IF(CA1331=1,"Lose – Tablare geschätzt; ","")))&amp;IF(H1331&gt;AW1331,"Überbestand "&amp;ROUND(H1331-AW1331,0)&amp;" Stk / CHF "&amp;ROUND((H1331-AW1331)*G1331,0)&amp;"; ","")&amp;IF(AND(CI1331=1,CJ1331&lt;CK1331),"MAX &lt; MB+LG; ","")&amp;IF(AND(CQ1331&gt;0,CP1331*10&gt;CQ1331),"zu hoch für Tablar; ","")&amp;IF(AND(BW1331=0,OR(CI1331=1,AB1331&lt;&gt;"",U1331&lt;&gt;"",V1331&lt;&gt;"",AC1331&lt;&gt;"")),"manuell übersteuert; ","")&amp;IF(AND(CA1331=0,R1331=0),"Gebinde unbekannt / Stellmass fehlt; ","")&amp;IF(AND(CA1331=0,N(V1331)&lt;=0,N(Q1331)&lt;=0),"Menge pro Gebinde fehlt (Ist = 1 Gebinde); ","")&amp;BV1331)</f>
        <v>negativer Bestand (Export -54); i.o</v>
      </c>
      <c r="BO1331" s="60"/>
      <c r="BP1331" s="60"/>
      <c r="BQ1331" s="67"/>
      <c r="BR1331" s="62" t="n">
        <v>-54</v>
      </c>
      <c r="BS1331" s="62" t="n">
        <v>58</v>
      </c>
      <c r="BT1331" s="61" t="n">
        <v>-1593.54</v>
      </c>
      <c r="BU1331" s="62" t="n">
        <v>3</v>
      </c>
      <c r="BV1331" s="60" t="s">
        <v>578</v>
      </c>
      <c r="BW1331" s="65" t="n">
        <v>0</v>
      </c>
      <c r="BX1331" s="65" t="n">
        <v>1331</v>
      </c>
      <c r="BY1331" s="60" t="str">
        <f aca="false">IF(U1331&lt;&gt;"",UPPER(TRIM(U1331)),IF(CB1331=1,UPPER(VLOOKUP(T1331,Parameter!$I$27:$K$29,2,0)),IF(P1331="","LOSE",P1331)))</f>
        <v>S51</v>
      </c>
      <c r="BZ1331" s="62" t="n">
        <f aca="false">IF(BY1331="LOSE",1,IF(N(V1331)&gt;0,V1331,IF(CB1331=1,MAX(1,N(VLOOKUP(T1331,Parameter!$I$27:$K$29,3,0)),H1331,N(N1331)),IF(N(Q1331)&gt;0,Q1331,MAX(1,H1331)))))</f>
        <v>25</v>
      </c>
      <c r="CA1331" s="65" t="n">
        <f aca="false">IF(BY1331="LOSE",1,0)</f>
        <v>0</v>
      </c>
      <c r="CB1331" s="65" t="n">
        <f aca="false">IF(AND(U1331="",OR(P1331="",P1331="LOSE"),T1331&lt;&gt;"",N(S1331)&lt;=0,ISNUMBER(MATCH(T1331,Parameter!$I$27:$I$29,0))),1,0)</f>
        <v>0</v>
      </c>
      <c r="CC1331" s="65" t="n">
        <f aca="false">IF(CR1331&gt;0,INDEX(Parameter!$H$5:$H$7,W1331)/INDEX(Parameter!$E$5:$E$7,W1331),IF(AND(CA1331=0,N(IFERROR(VLOOKUP(BY1331,'Gebinde-Kategorie'!$A$5:$N$45,14,0),0))&gt;0),VLOOKUP(BY1331,'Gebinde-Kategorie'!$A$5:$N$45,14,0)*10+Parameter!$M$23,Parameter!$M$24))</f>
        <v>155</v>
      </c>
      <c r="CD1331" s="60" t="str">
        <f aca="false">IF(AND(Parameter!$B$19="Ja",E1331&lt;&gt;"",ISNUMBER(MATCH(E1331,Parameter!$I$35:$I$52,0))),VLOOKUP(E1331,Parameter!$I$35:$J$52,2,0),IFERROR(VLOOKUP(D1331,Parameter!$A$35:$C$64,2,0),"Nein"))</f>
        <v>2+3</v>
      </c>
      <c r="CE1331" s="64" t="n">
        <f aca="false">IF(CA1331=0,0,IF(N(S1331)&gt;0,S1331,IFERROR(VLOOKUP(D1331,Parameter!$A$35:$C$64,3,0)+0,0)))</f>
        <v>0</v>
      </c>
      <c r="CF1331" s="60" t="n">
        <f aca="false">IF(AB1331&lt;&gt;"",AB1331,AA1331)</f>
        <v>3</v>
      </c>
      <c r="CG1331" s="60" t="str">
        <f aca="false">IF(OR(CF1331=1,CF1331=2,CF1331=3),IF(Parameter!$E$27="Ja","LIFT",IF(CF1331=1,"L1","L23")),IF(CF1331="Aussen","Aussen","-"))</f>
        <v>LIFT</v>
      </c>
      <c r="CH1331" s="71" t="n">
        <f aca="false">IF(N(AC1331)&gt;0,AC1331,0)</f>
        <v>0</v>
      </c>
      <c r="CI1331" s="65" t="n">
        <f aca="false">IF(ISNUMBER(AF1331),1,0)</f>
        <v>0</v>
      </c>
      <c r="CJ1331" s="62" t="n">
        <f aca="false">N(AF1331)</f>
        <v>0</v>
      </c>
      <c r="CK1331" s="62" t="n">
        <f aca="false">N(M1331)+N(N1331)</f>
        <v>5</v>
      </c>
      <c r="CL1331" s="62" t="n">
        <f aca="false">N(M1331)</f>
        <v>0</v>
      </c>
      <c r="CM1331" s="62" t="n">
        <f aca="false">N(N1331)</f>
        <v>5</v>
      </c>
      <c r="CN1331" s="62" t="n">
        <f aca="false">ROUNDUP(H1331/BZ1331,0)</f>
        <v>1</v>
      </c>
      <c r="CO1331" s="62" t="n">
        <f aca="false">ROUNDUP(CJ1331/BZ1331,0)</f>
        <v>0</v>
      </c>
      <c r="CP1331" s="65" t="n">
        <f aca="false">IF(CA1331=1,0,IFERROR(VLOOKUP(BY1331,'Gebinde-Kategorie'!$A$5:$N$45,5,0)+0,0))</f>
        <v>11</v>
      </c>
      <c r="CQ1331" s="65" t="n">
        <f aca="false">IFERROR(IF(OR(CF1331=1,CF1331=2,CF1331=3),N(INDEX(Parameter!$I$5:$I$7,CF1331)),0),0)</f>
        <v>0</v>
      </c>
      <c r="CR1331" s="64" t="n">
        <f aca="false">IF(AND(Parameter!$B$21="Ja",ISNUMBER(W1331),N(X1331)&gt;0),IFERROR(N(INDEX(Parameter!$L$5:$L$7,W1331))*INDEX(Parameter!$E$5:$E$7,W1331)*X1331/SUMIFS($X$7:$X$1843,$W$7:$W$1843,W1331),0),0)</f>
        <v>0</v>
      </c>
      <c r="CS1331" s="62" t="n">
        <f aca="false">IF(AND(OR(CG1331="L1",CG1331="L23",CG1331="LIFT"),H1331&gt;0),CC1331*IF(CR1331&gt;0,CR1331*MAX(1,H1331/X1331),IF(CA1331=1,CE1331,IF(R1331&gt;0,CN1331/R1331,0))/MAX(0.1,N(Parameter!$M$21))),"")</f>
        <v>5.96153846153846</v>
      </c>
      <c r="CT1331" s="64" t="n">
        <f aca="false">IF(CS1331="","",J1331/H1331)</f>
        <v>0.75</v>
      </c>
      <c r="CU1331" s="62" t="n">
        <f aca="false">IF(CS1331="","",H1331*G1331)</f>
        <v>118.04</v>
      </c>
      <c r="CV1331" s="63" t="n">
        <f aca="false">IF(CS1331="","",(CL1331+ROUNDUP(CL1331+MAX(CM1331,2*(J1331/MAX(0.1,N(Einkauf!$C$6))-CL1331)),0))/2)</f>
        <v>2.5</v>
      </c>
      <c r="CW1331" s="62" t="n">
        <f aca="false">IF(CS1331="","",MAX(0,H1331-CV1331)*G1331)</f>
        <v>44.265</v>
      </c>
      <c r="CX1331" s="62" t="n">
        <f aca="false">IF(CS1331="","",CS1331*MAX(0,1-CV1331/H1331))</f>
        <v>2.23557692307692</v>
      </c>
      <c r="CY1331" s="64" t="n">
        <f aca="false">IF(CS1331="","",PERCENTRANK($CS$7:$CS$1843,CS1331)+PERCENTRANK($CU$7:$CU$1843,CU1331)+1-PERCENTRANK($CT$7:$CT$1843,CT1331))</f>
        <v>1.016</v>
      </c>
      <c r="CZ1331" s="72" t="n">
        <f aca="false">IF(CS1331="","",CHOOSE(MATCH(Einkauf!$C$5,Parameter!$G$23:$G$27,0),CY1331,CS1331,CU1331,-CT1331,CW1331)+ROW()/1000000000)</f>
        <v>1.016001331</v>
      </c>
    </row>
    <row r="1332" customFormat="false" ht="15" hidden="false" customHeight="false" outlineLevel="0" collapsed="false">
      <c r="A1332" s="60" t="s">
        <v>2405</v>
      </c>
      <c r="B1332" s="60" t="s">
        <v>447</v>
      </c>
      <c r="C1332" s="60" t="s">
        <v>206</v>
      </c>
      <c r="D1332" s="60" t="s">
        <v>215</v>
      </c>
      <c r="E1332" s="60" t="s">
        <v>227</v>
      </c>
      <c r="F1332" s="60" t="s">
        <v>260</v>
      </c>
      <c r="G1332" s="61" t="n">
        <v>0.57</v>
      </c>
      <c r="H1332" s="62" t="n">
        <f aca="false">MAX(0,IF(AND(Parameter!$B$21="Ja",ISNUMBER(Y1332)),Y1332,IF(Parameter!$B$20="Jahresanfang 2025 + Export",BS1332+BR1332,BR1332)))</f>
        <v>467</v>
      </c>
      <c r="I1332" s="62" t="n">
        <f aca="false">H1332*G1332</f>
        <v>266.19</v>
      </c>
      <c r="J1332" s="62" t="n">
        <f aca="false">BU1332*Parameter!$B$18</f>
        <v>4436</v>
      </c>
      <c r="K1332" s="63" t="n">
        <v>2976</v>
      </c>
      <c r="L1332" s="64" t="n">
        <v>1.49059139784946</v>
      </c>
      <c r="M1332" s="62" t="n">
        <v>258</v>
      </c>
      <c r="N1332" s="62" t="n">
        <v>1000</v>
      </c>
      <c r="O1332" s="65" t="n">
        <v>21</v>
      </c>
      <c r="P1332" s="60" t="s">
        <v>216</v>
      </c>
      <c r="Q1332" s="62" t="n">
        <v>1109</v>
      </c>
      <c r="R1332" s="65" t="n">
        <f aca="false">IF(CA1332=1,0,IFERROR(VLOOKUP(BY1332,'Gebinde-Kategorie'!$A$5:$N$45,13,0)+0,0))</f>
        <v>6</v>
      </c>
      <c r="S1332" s="66"/>
      <c r="T1332" s="67"/>
      <c r="U1332" s="67"/>
      <c r="V1332" s="67"/>
      <c r="W1332" s="60"/>
      <c r="X1332" s="62"/>
      <c r="Y1332" s="62"/>
      <c r="Z1332" s="60" t="n">
        <v>2</v>
      </c>
      <c r="AA1332" s="60" t="n">
        <f aca="false">IF(A1332="","",IF(AND(Parameter!$B$21="Ja",ISNUMBER(W1332)),W1332,IF(AND(Parameter!$E$27="Ja",ISNUMBER(Z1332),CD1332&lt;&gt;"Nein"),Z1332,IF(CD1332="2+3",IF(ISNUMBER(SEARCH("grosser Artikel",BV1332)),2,IFERROR(VLOOKUP(BY1332,Parameter!$F$35:$G$64,2,0),2)),IF(OR(CD1332="Nein",CD1332=""),"-",CD1332)))))</f>
        <v>2</v>
      </c>
      <c r="AB1332" s="67"/>
      <c r="AC1332" s="68"/>
      <c r="AD1332" s="62" t="n">
        <f aca="false">AW1332</f>
        <v>2700</v>
      </c>
      <c r="AE1332" s="62" t="n">
        <f aca="false">MAX(AW1332,H1332)</f>
        <v>2700</v>
      </c>
      <c r="AF1332" s="69"/>
      <c r="AG1332" s="62" t="n">
        <f aca="false">IF(LEFT(Cockpit!$C$5,1)="A",H1332,IF(Parameter!$E$30="MAX-Bestand",IF(CI1332=1,CJ1332,IF(LEFT(Cockpit!$C$5,1)="B",AM1332,MAX(AM1332,H1332))),ROUNDUP(AK1332,0)))</f>
        <v>467</v>
      </c>
      <c r="AH1332" s="62" t="n">
        <f aca="false">IF(CA1332=1,0,ROUNDUP(AG1332/BZ1332,0))</f>
        <v>1</v>
      </c>
      <c r="AI1332" s="64" t="n">
        <f aca="false">IF(CR1332&gt;0,CR1332*MAX(1,AG1332/X1332),IF(CA1332=1,IF(AG1332&lt;=0,0,CE1332*MAX(1,IF(H1332&gt;0,AG1332/H1332,1))),IF(R1332&gt;0,AH1332/R1332,0))/MAX(0.1,N(Parameter!$M$21)))</f>
        <v>0.166666666666667</v>
      </c>
      <c r="AJ1332" s="62" t="n">
        <f aca="false">AI1332*CC1332</f>
        <v>39.1666666666667</v>
      </c>
      <c r="AK1332" s="63" t="n">
        <f aca="false">IF(LEFT(Cockpit!$C$5,1)="A",H1332,IF(CI1332=1,(CL1332+CJ1332)/2,IF(LEFT(Cockpit!$C$5,1)="B",(CL1332+AM1332)/2,MAX((CL1332+AM1332)/2,H1332))))</f>
        <v>467</v>
      </c>
      <c r="AL1332" s="62" t="n">
        <f aca="false">AK1332*G1332</f>
        <v>266.19</v>
      </c>
      <c r="AM1332" s="62" t="n">
        <f aca="false">ROUNDUP(CL1332+MAX(CM1332,2*(J1332/IF(CH1332&gt;0,CH1332,MAX(0.1,N(Cockpit!$C$6)))-CL1332)),0)</f>
        <v>2700</v>
      </c>
      <c r="AN1332" s="63" t="n">
        <f aca="false">IF(AJ1332&gt;0,J1332/AJ1332,-1)</f>
        <v>113.259574468085</v>
      </c>
      <c r="AO1332" s="63" t="n">
        <f aca="false">IF(AND(OR(CG1332="L1",CG1332="L23",CG1332="LIFT"),AJ1332&gt;0),SUMIFS($AJ$7:$AJ$1843,$CG$7:$CG$1843,CG1332,$AN$7:$AN$1843,"&gt;"&amp;AN1332)+SUMIFS($AJ$7:$AJ$1843,$CG$7:$CG$1843,CG1332,$AN$7:$AN$1843,AN1332,$BX$7:$BX$1843,"&lt;="&amp;BX1332),"")</f>
        <v>733.782509157509</v>
      </c>
      <c r="AP1332" s="70" t="n">
        <f aca="false">IF(AO1332="",0,MAX(0,MIN(1,(IF(CG1332="L1",Parameter!$H$5,IF(CG1332="L23",Parameter!$H$6+Parameter!$H$7,Parameter!$H$5+Parameter!$H$6+Parameter!$H$7))-(AO1332-AJ1332))/AJ1332)))</f>
        <v>1</v>
      </c>
      <c r="AQ1332" s="62" t="n">
        <f aca="false">IF(LEFT(Cockpit!$I$5,1)="A",H1332,IF(Parameter!$E$30="MAX-Bestand",IF(CI1332=1,CJ1332,IF(LEFT(Cockpit!$I$5,1)="B",AW1332,MAX(AW1332,H1332))),ROUNDUP(AU1332,0)))</f>
        <v>1479</v>
      </c>
      <c r="AR1332" s="62" t="n">
        <f aca="false">IF(CA1332=1,0,ROUNDUP(AQ1332/BZ1332,0))</f>
        <v>2</v>
      </c>
      <c r="AS1332" s="64" t="n">
        <f aca="false">IF(CR1332&gt;0,CR1332*MAX(1,AQ1332/X1332),IF(CA1332=1,IF(AQ1332&lt;=0,0,CE1332*MAX(1,IF(H1332&gt;0,AQ1332/H1332,1))),IF(R1332&gt;0,AR1332/R1332,0))/MAX(0.1,N(Parameter!$M$21)))</f>
        <v>0.333333333333333</v>
      </c>
      <c r="AT1332" s="62" t="n">
        <f aca="false">AS1332*CC1332</f>
        <v>78.3333333333333</v>
      </c>
      <c r="AU1332" s="63" t="n">
        <f aca="false">IF(LEFT(Cockpit!$I$5,1)="A",H1332,IF(CI1332=1,(CL1332+CJ1332)/2,IF(LEFT(Cockpit!$I$5,1)="B",(CL1332+AW1332)/2,MAX((CL1332+AW1332)/2,H1332))))</f>
        <v>1479</v>
      </c>
      <c r="AV1332" s="62" t="n">
        <f aca="false">AU1332*G1332</f>
        <v>843.03</v>
      </c>
      <c r="AW1332" s="62" t="n">
        <f aca="false">ROUNDUP(CL1332+MAX(CM1332,2*(J1332/IF(CH1332&gt;0,CH1332,MAX(0.1,N(Cockpit!$I$6)))-CL1332)),0)</f>
        <v>2700</v>
      </c>
      <c r="AX1332" s="63" t="n">
        <f aca="false">IF(AT1332&gt;0,J1332/AT1332,-1)</f>
        <v>56.6297872340426</v>
      </c>
      <c r="AY1332" s="63" t="n">
        <f aca="false">IF(AND(OR(CG1332="L1",CG1332="L23",CG1332="LIFT"),AT1332&gt;0),SUMIFS($AT$7:$AT$1843,$CG$7:$CG$1843,CG1332,$AX$7:$AX$1843,"&gt;"&amp;AX1332)+SUMIFS($AT$7:$AT$1843,$CG$7:$CG$1843,CG1332,$AX$7:$AX$1843,AX1332,$BX$7:$BX$1843,"&lt;="&amp;BX1332),"")</f>
        <v>1276.1945970696</v>
      </c>
      <c r="AZ1332" s="70" t="n">
        <f aca="false">IF(AY1332="",0,MAX(0,MIN(1,(IF(CG1332="L1",Parameter!$H$5,IF(CG1332="L23",Parameter!$H$6+Parameter!$H$7,Parameter!$H$5+Parameter!$H$6+Parameter!$H$7))-(AY1332-AT1332))/AT1332)))</f>
        <v>1</v>
      </c>
      <c r="BA1332" s="62" t="n">
        <f aca="false">IF(LEFT(Cockpit!$O$5,1)="A",H1332,IF(Parameter!$E$30="MAX-Bestand",IF(CI1332=1,CJ1332,IF(LEFT(Cockpit!$O$5,1)="B",BG1332,MAX(BG1332,H1332))),ROUNDUP(BE1332,0)))</f>
        <v>1109</v>
      </c>
      <c r="BB1332" s="62" t="n">
        <f aca="false">IF(CA1332=1,0,ROUNDUP(BA1332/BZ1332,0))</f>
        <v>1</v>
      </c>
      <c r="BC1332" s="64" t="n">
        <f aca="false">IF(CR1332&gt;0,CR1332*MAX(1,BA1332/X1332),IF(CA1332=1,IF(BA1332&lt;=0,0,CE1332*MAX(1,IF(H1332&gt;0,BA1332/H1332,1))),IF(R1332&gt;0,BB1332/R1332,0))/MAX(0.1,N(Parameter!$M$21)))</f>
        <v>0.166666666666667</v>
      </c>
      <c r="BD1332" s="62" t="n">
        <f aca="false">BC1332*CC1332</f>
        <v>39.1666666666667</v>
      </c>
      <c r="BE1332" s="63" t="n">
        <f aca="false">IF(LEFT(Cockpit!$O$5,1)="A",H1332,IF(CI1332=1,(CL1332+CJ1332)/2,IF(LEFT(Cockpit!$O$5,1)="B",(CL1332+BG1332)/2,MAX((CL1332+BG1332)/2,H1332))))</f>
        <v>1109</v>
      </c>
      <c r="BF1332" s="62" t="n">
        <f aca="false">BE1332*G1332</f>
        <v>632.13</v>
      </c>
      <c r="BG1332" s="62" t="n">
        <f aca="false">ROUNDUP(CL1332+MAX(CM1332,2*(J1332/IF(CH1332&gt;0,CH1332,MAX(0.1,N(Cockpit!$O$6)))-CL1332)),0)</f>
        <v>1960</v>
      </c>
      <c r="BH1332" s="63" t="n">
        <f aca="false">IF(BD1332&gt;0,J1332/BD1332,-1)</f>
        <v>113.259574468085</v>
      </c>
      <c r="BI1332" s="63" t="n">
        <f aca="false">IF(AND(OR(CG1332="L1",CG1332="L23",CG1332="LIFT"),BD1332&gt;0),SUMIFS($BD$7:$BD$1843,$CG$7:$CG$1843,CG1332,$BH$7:$BH$1843,"&gt;"&amp;BH1332)+SUMIFS($BD$7:$BD$1843,$CG$7:$CG$1843,CG1332,$BH$7:$BH$1843,BH1332,$BX$7:$BX$1843,"&lt;="&amp;BX1332),"")</f>
        <v>864.619963369963</v>
      </c>
      <c r="BJ1332" s="70" t="n">
        <f aca="false">IF(BI1332="",0,MAX(0,MIN(1,(IF(CG1332="L1",Parameter!$H$5,IF(CG1332="L23",Parameter!$H$6+Parameter!$H$7,Parameter!$H$5+Parameter!$H$6+Parameter!$H$7))-(BI1332-BD1332))/BD1332)))</f>
        <v>1</v>
      </c>
      <c r="BK1332" s="60" t="str">
        <f aca="false">IF(AJ1332&lt;=0,"",IF(CG1332="Aussen","Aussenlager",IF(CG1332="-","Nicht im Lift",IF(AP1332&gt;=1,"Lift",IF(AP1332&lt;=0,"Aussenlager","teilweise")))))</f>
        <v>Lift</v>
      </c>
      <c r="BL1332" s="60" t="str">
        <f aca="false">IF(AT1332&lt;=0,"",IF(CG1332="Aussen","Aussenlager",IF(CG1332="-","Nicht im Lift",IF(AZ1332&gt;=1,"Lift",IF(AZ1332&lt;=0,"Aussenlager","teilweise")))))</f>
        <v>Lift</v>
      </c>
      <c r="BM1332" s="60" t="str">
        <f aca="false">IF(BD1332&lt;=0,"",IF(CG1332="Aussen","Aussenlager",IF(CG1332="-","Nicht im Lift",IF(BJ1332&gt;=1,"Lift",IF(BJ1332&lt;=0,"Aussenlager","teilweise")))))</f>
        <v>Lift</v>
      </c>
      <c r="BN1332" s="60" t="str">
        <f aca="false">IF(A1332="","",IF(BW1332=1,"Neu; ","")&amp;IF(AND(BW1332=0,BR1332&lt;0),"negativer Bestand (Export "&amp;BR1332&amp;"); ","")&amp;IF(J1332&lt;=0,"Kein Verbrauch; ","")&amp;IF(CR1332&gt;0,"Lift "&amp;W1332&amp;" lt. Liftbericht (Fach "&amp;X1332&amp;" Stk); ",IF(CB1332=1,"Gebinde geschätzt ("&amp;T1332&amp;"); ",IF(CA1332=1,"Lose – Tablare geschätzt; ","")))&amp;IF(H1332&gt;AW1332,"Überbestand "&amp;ROUND(H1332-AW1332,0)&amp;" Stk / CHF "&amp;ROUND((H1332-AW1332)*G1332,0)&amp;"; ","")&amp;IF(AND(CI1332=1,CJ1332&lt;CK1332),"MAX &lt; MB+LG; ","")&amp;IF(AND(CQ1332&gt;0,CP1332*10&gt;CQ1332),"zu hoch für Tablar; ","")&amp;IF(AND(BW1332=0,OR(CI1332=1,AB1332&lt;&gt;"",U1332&lt;&gt;"",V1332&lt;&gt;"",AC1332&lt;&gt;"")),"manuell übersteuert; ","")&amp;IF(AND(CA1332=0,R1332=0),"Gebinde unbekannt / Stellmass fehlt; ","")&amp;IF(AND(CA1332=0,N(V1332)&lt;=0,N(Q1332)&lt;=0),"Menge pro Gebinde fehlt (Ist = 1 Gebinde); ","")&amp;BV1332)</f>
        <v>negativer Bestand (Export -2649); grosse  Artikelmenge</v>
      </c>
      <c r="BO1332" s="60"/>
      <c r="BP1332" s="60"/>
      <c r="BQ1332" s="67"/>
      <c r="BR1332" s="62" t="n">
        <v>-2649</v>
      </c>
      <c r="BS1332" s="62" t="n">
        <v>3116</v>
      </c>
      <c r="BT1332" s="61" t="n">
        <v>-1602.66</v>
      </c>
      <c r="BU1332" s="62" t="n">
        <v>4436</v>
      </c>
      <c r="BV1332" s="60" t="s">
        <v>1649</v>
      </c>
      <c r="BW1332" s="65" t="n">
        <v>0</v>
      </c>
      <c r="BX1332" s="65" t="n">
        <v>1332</v>
      </c>
      <c r="BY1332" s="60" t="str">
        <f aca="false">IF(U1332&lt;&gt;"",UPPER(TRIM(U1332)),IF(CB1332=1,UPPER(VLOOKUP(T1332,Parameter!$I$27:$K$29,2,0)),IF(P1332="","LOSE",P1332)))</f>
        <v>S71</v>
      </c>
      <c r="BZ1332" s="62" t="n">
        <f aca="false">IF(BY1332="LOSE",1,IF(N(V1332)&gt;0,V1332,IF(CB1332=1,MAX(1,N(VLOOKUP(T1332,Parameter!$I$27:$K$29,3,0)),H1332,N(N1332)),IF(N(Q1332)&gt;0,Q1332,MAX(1,H1332)))))</f>
        <v>1109</v>
      </c>
      <c r="CA1332" s="65" t="n">
        <f aca="false">IF(BY1332="LOSE",1,0)</f>
        <v>0</v>
      </c>
      <c r="CB1332" s="65" t="n">
        <f aca="false">IF(AND(U1332="",OR(P1332="",P1332="LOSE"),T1332&lt;&gt;"",N(S1332)&lt;=0,ISNUMBER(MATCH(T1332,Parameter!$I$27:$I$29,0))),1,0)</f>
        <v>0</v>
      </c>
      <c r="CC1332" s="65" t="n">
        <f aca="false">IF(CR1332&gt;0,INDEX(Parameter!$H$5:$H$7,W1332)/INDEX(Parameter!$E$5:$E$7,W1332),IF(AND(CA1332=0,N(IFERROR(VLOOKUP(BY1332,'Gebinde-Kategorie'!$A$5:$N$45,14,0),0))&gt;0),VLOOKUP(BY1332,'Gebinde-Kategorie'!$A$5:$N$45,14,0)*10+Parameter!$M$23,Parameter!$M$24))</f>
        <v>235</v>
      </c>
      <c r="CD1332" s="60" t="str">
        <f aca="false">IF(AND(Parameter!$B$19="Ja",E1332&lt;&gt;"",ISNUMBER(MATCH(E1332,Parameter!$I$35:$I$52,0))),VLOOKUP(E1332,Parameter!$I$35:$J$52,2,0),IFERROR(VLOOKUP(D1332,Parameter!$A$35:$C$64,2,0),"Nein"))</f>
        <v>2+3</v>
      </c>
      <c r="CE1332" s="64" t="n">
        <f aca="false">IF(CA1332=0,0,IF(N(S1332)&gt;0,S1332,IFERROR(VLOOKUP(D1332,Parameter!$A$35:$C$64,3,0)+0,0)))</f>
        <v>0</v>
      </c>
      <c r="CF1332" s="60" t="n">
        <f aca="false">IF(AB1332&lt;&gt;"",AB1332,AA1332)</f>
        <v>2</v>
      </c>
      <c r="CG1332" s="60" t="str">
        <f aca="false">IF(OR(CF1332=1,CF1332=2,CF1332=3),IF(Parameter!$E$27="Ja","LIFT",IF(CF1332=1,"L1","L23")),IF(CF1332="Aussen","Aussen","-"))</f>
        <v>LIFT</v>
      </c>
      <c r="CH1332" s="71" t="n">
        <f aca="false">IF(N(AC1332)&gt;0,AC1332,0)</f>
        <v>0</v>
      </c>
      <c r="CI1332" s="65" t="n">
        <f aca="false">IF(ISNUMBER(AF1332),1,0)</f>
        <v>0</v>
      </c>
      <c r="CJ1332" s="62" t="n">
        <f aca="false">N(AF1332)</f>
        <v>0</v>
      </c>
      <c r="CK1332" s="62" t="n">
        <f aca="false">N(M1332)+N(N1332)</f>
        <v>1258</v>
      </c>
      <c r="CL1332" s="62" t="n">
        <f aca="false">N(M1332)</f>
        <v>258</v>
      </c>
      <c r="CM1332" s="62" t="n">
        <f aca="false">N(N1332)</f>
        <v>1000</v>
      </c>
      <c r="CN1332" s="62" t="n">
        <f aca="false">ROUNDUP(H1332/BZ1332,0)</f>
        <v>1</v>
      </c>
      <c r="CO1332" s="62" t="n">
        <f aca="false">ROUNDUP(CJ1332/BZ1332,0)</f>
        <v>0</v>
      </c>
      <c r="CP1332" s="65" t="n">
        <f aca="false">IF(CA1332=1,0,IFERROR(VLOOKUP(BY1332,'Gebinde-Kategorie'!$A$5:$N$45,5,0)+0,0))</f>
        <v>20</v>
      </c>
      <c r="CQ1332" s="65" t="n">
        <f aca="false">IFERROR(IF(OR(CF1332=1,CF1332=2,CF1332=3),N(INDEX(Parameter!$I$5:$I$7,CF1332)),0),0)</f>
        <v>0</v>
      </c>
      <c r="CR1332" s="64" t="n">
        <f aca="false">IF(AND(Parameter!$B$21="Ja",ISNUMBER(W1332),N(X1332)&gt;0),IFERROR(N(INDEX(Parameter!$L$5:$L$7,W1332))*INDEX(Parameter!$E$5:$E$7,W1332)*X1332/SUMIFS($X$7:$X$1843,$W$7:$W$1843,W1332),0),0)</f>
        <v>0</v>
      </c>
      <c r="CS1332" s="62" t="n">
        <f aca="false">IF(AND(OR(CG1332="L1",CG1332="L23",CG1332="LIFT"),H1332&gt;0),CC1332*IF(CR1332&gt;0,CR1332*MAX(1,H1332/X1332),IF(CA1332=1,CE1332,IF(R1332&gt;0,CN1332/R1332,0))/MAX(0.1,N(Parameter!$M$21))),"")</f>
        <v>39.1666666666667</v>
      </c>
      <c r="CT1332" s="64" t="n">
        <f aca="false">IF(CS1332="","",J1332/H1332)</f>
        <v>9.49892933618844</v>
      </c>
      <c r="CU1332" s="62" t="n">
        <f aca="false">IF(CS1332="","",H1332*G1332)</f>
        <v>266.19</v>
      </c>
      <c r="CV1332" s="63" t="n">
        <f aca="false">IF(CS1332="","",(CL1332+ROUNDUP(CL1332+MAX(CM1332,2*(J1332/MAX(0.1,N(Einkauf!$C$6))-CL1332)),0))/2)</f>
        <v>1109</v>
      </c>
      <c r="CW1332" s="62" t="n">
        <f aca="false">IF(CS1332="","",MAX(0,H1332-CV1332)*G1332)</f>
        <v>0</v>
      </c>
      <c r="CX1332" s="62" t="n">
        <f aca="false">IF(CS1332="","",CS1332*MAX(0,1-CV1332/H1332))</f>
        <v>0</v>
      </c>
      <c r="CY1332" s="64" t="n">
        <f aca="false">IF(CS1332="","",PERCENTRANK($CS$7:$CS$1843,CS1332)+PERCENTRANK($CU$7:$CU$1843,CU1332)+1-PERCENTRANK($CT$7:$CT$1843,CT1332))</f>
        <v>1.26</v>
      </c>
      <c r="CZ1332" s="72" t="n">
        <f aca="false">IF(CS1332="","",CHOOSE(MATCH(Einkauf!$C$5,Parameter!$G$23:$G$27,0),CY1332,CS1332,CU1332,-CT1332,CW1332)+ROW()/1000000000)</f>
        <v>1.260001332</v>
      </c>
    </row>
    <row r="1333" customFormat="false" ht="15" hidden="false" customHeight="false" outlineLevel="0" collapsed="false">
      <c r="A1333" s="60" t="s">
        <v>2406</v>
      </c>
      <c r="B1333" s="60" t="s">
        <v>1051</v>
      </c>
      <c r="C1333" s="60" t="s">
        <v>206</v>
      </c>
      <c r="D1333" s="60" t="s">
        <v>226</v>
      </c>
      <c r="E1333" s="60" t="s">
        <v>227</v>
      </c>
      <c r="F1333" s="60" t="s">
        <v>260</v>
      </c>
      <c r="G1333" s="61" t="n">
        <v>4.38</v>
      </c>
      <c r="H1333" s="62" t="n">
        <f aca="false">MAX(0,IF(AND(Parameter!$B$21="Ja",ISNUMBER(Y1333)),Y1333,IF(Parameter!$B$20="Jahresanfang 2025 + Export",BS1333+BR1333,BR1333)))</f>
        <v>281</v>
      </c>
      <c r="I1333" s="62" t="n">
        <f aca="false">H1333*G1333</f>
        <v>1230.78</v>
      </c>
      <c r="J1333" s="62" t="n">
        <f aca="false">BU1333*Parameter!$B$18</f>
        <v>415</v>
      </c>
      <c r="K1333" s="63" t="n">
        <v>465.5</v>
      </c>
      <c r="L1333" s="64" t="n">
        <v>0.891514500537057</v>
      </c>
      <c r="M1333" s="62" t="n">
        <v>32</v>
      </c>
      <c r="N1333" s="62" t="n">
        <v>415</v>
      </c>
      <c r="O1333" s="65" t="n">
        <v>28</v>
      </c>
      <c r="P1333" s="60" t="s">
        <v>518</v>
      </c>
      <c r="Q1333" s="62" t="n">
        <v>139</v>
      </c>
      <c r="R1333" s="65" t="n">
        <f aca="false">IF(CA1333=1,0,IFERROR(VLOOKUP(BY1333,'Gebinde-Kategorie'!$A$5:$N$45,13,0)+0,0))</f>
        <v>52</v>
      </c>
      <c r="S1333" s="66"/>
      <c r="T1333" s="67"/>
      <c r="U1333" s="67"/>
      <c r="V1333" s="67"/>
      <c r="W1333" s="60"/>
      <c r="X1333" s="62"/>
      <c r="Y1333" s="62"/>
      <c r="Z1333" s="60" t="n">
        <v>3</v>
      </c>
      <c r="AA1333" s="60" t="n">
        <f aca="false">IF(A1333="","",IF(AND(Parameter!$B$21="Ja",ISNUMBER(W1333)),W1333,IF(AND(Parameter!$E$27="Ja",ISNUMBER(Z1333),CD1333&lt;&gt;"Nein"),Z1333,IF(CD1333="2+3",IF(ISNUMBER(SEARCH("grosser Artikel",BV1333)),2,IFERROR(VLOOKUP(BY1333,Parameter!$F$35:$G$64,2,0),2)),IF(OR(CD1333="Nein",CD1333=""),"-",CD1333)))))</f>
        <v>3</v>
      </c>
      <c r="AB1333" s="67"/>
      <c r="AC1333" s="68"/>
      <c r="AD1333" s="62" t="n">
        <f aca="false">AW1333</f>
        <v>447</v>
      </c>
      <c r="AE1333" s="62" t="n">
        <f aca="false">MAX(AW1333,H1333)</f>
        <v>447</v>
      </c>
      <c r="AF1333" s="69"/>
      <c r="AG1333" s="62" t="n">
        <f aca="false">IF(LEFT(Cockpit!$C$5,1)="A",H1333,IF(Parameter!$E$30="MAX-Bestand",IF(CI1333=1,CJ1333,IF(LEFT(Cockpit!$C$5,1)="B",AM1333,MAX(AM1333,H1333))),ROUNDUP(AK1333,0)))</f>
        <v>281</v>
      </c>
      <c r="AH1333" s="62" t="n">
        <f aca="false">IF(CA1333=1,0,ROUNDUP(AG1333/BZ1333,0))</f>
        <v>3</v>
      </c>
      <c r="AI1333" s="64" t="n">
        <f aca="false">IF(CR1333&gt;0,CR1333*MAX(1,AG1333/X1333),IF(CA1333=1,IF(AG1333&lt;=0,0,CE1333*MAX(1,IF(H1333&gt;0,AG1333/H1333,1))),IF(R1333&gt;0,AH1333/R1333,0))/MAX(0.1,N(Parameter!$M$21)))</f>
        <v>0.0576923076923077</v>
      </c>
      <c r="AJ1333" s="62" t="n">
        <f aca="false">AI1333*CC1333</f>
        <v>8.94230769230769</v>
      </c>
      <c r="AK1333" s="63" t="n">
        <f aca="false">IF(LEFT(Cockpit!$C$5,1)="A",H1333,IF(CI1333=1,(CL1333+CJ1333)/2,IF(LEFT(Cockpit!$C$5,1)="B",(CL1333+AM1333)/2,MAX((CL1333+AM1333)/2,H1333))))</f>
        <v>281</v>
      </c>
      <c r="AL1333" s="62" t="n">
        <f aca="false">AK1333*G1333</f>
        <v>1230.78</v>
      </c>
      <c r="AM1333" s="62" t="n">
        <f aca="false">ROUNDUP(CL1333+MAX(CM1333,2*(J1333/IF(CH1333&gt;0,CH1333,MAX(0.1,N(Cockpit!$C$6)))-CL1333)),0)</f>
        <v>447</v>
      </c>
      <c r="AN1333" s="63" t="n">
        <f aca="false">IF(AJ1333&gt;0,J1333/AJ1333,-1)</f>
        <v>46.4086021505376</v>
      </c>
      <c r="AO1333" s="63" t="n">
        <f aca="false">IF(AND(OR(CG1333="L1",CG1333="L23",CG1333="LIFT"),AJ1333&gt;0),SUMIFS($AJ$7:$AJ$1843,$CG$7:$CG$1843,CG1333,$AN$7:$AN$1843,"&gt;"&amp;AN1333)+SUMIFS($AJ$7:$AJ$1843,$CG$7:$CG$1843,CG1333,$AN$7:$AN$1843,AN1333,$BX$7:$BX$1843,"&lt;="&amp;BX1333),"")</f>
        <v>1157.88598901099</v>
      </c>
      <c r="AP1333" s="70" t="n">
        <f aca="false">IF(AO1333="",0,MAX(0,MIN(1,(IF(CG1333="L1",Parameter!$H$5,IF(CG1333="L23",Parameter!$H$6+Parameter!$H$7,Parameter!$H$5+Parameter!$H$6+Parameter!$H$7))-(AO1333-AJ1333))/AJ1333)))</f>
        <v>1</v>
      </c>
      <c r="AQ1333" s="62" t="n">
        <f aca="false">IF(LEFT(Cockpit!$I$5,1)="A",H1333,IF(Parameter!$E$30="MAX-Bestand",IF(CI1333=1,CJ1333,IF(LEFT(Cockpit!$I$5,1)="B",AW1333,MAX(AW1333,H1333))),ROUNDUP(AU1333,0)))</f>
        <v>281</v>
      </c>
      <c r="AR1333" s="62" t="n">
        <f aca="false">IF(CA1333=1,0,ROUNDUP(AQ1333/BZ1333,0))</f>
        <v>3</v>
      </c>
      <c r="AS1333" s="64" t="n">
        <f aca="false">IF(CR1333&gt;0,CR1333*MAX(1,AQ1333/X1333),IF(CA1333=1,IF(AQ1333&lt;=0,0,CE1333*MAX(1,IF(H1333&gt;0,AQ1333/H1333,1))),IF(R1333&gt;0,AR1333/R1333,0))/MAX(0.1,N(Parameter!$M$21)))</f>
        <v>0.0576923076923077</v>
      </c>
      <c r="AT1333" s="62" t="n">
        <f aca="false">AS1333*CC1333</f>
        <v>8.94230769230769</v>
      </c>
      <c r="AU1333" s="63" t="n">
        <f aca="false">IF(LEFT(Cockpit!$I$5,1)="A",H1333,IF(CI1333=1,(CL1333+CJ1333)/2,IF(LEFT(Cockpit!$I$5,1)="B",(CL1333+AW1333)/2,MAX((CL1333+AW1333)/2,H1333))))</f>
        <v>281</v>
      </c>
      <c r="AV1333" s="62" t="n">
        <f aca="false">AU1333*G1333</f>
        <v>1230.78</v>
      </c>
      <c r="AW1333" s="62" t="n">
        <f aca="false">ROUNDUP(CL1333+MAX(CM1333,2*(J1333/IF(CH1333&gt;0,CH1333,MAX(0.1,N(Cockpit!$I$6)))-CL1333)),0)</f>
        <v>447</v>
      </c>
      <c r="AX1333" s="63" t="n">
        <f aca="false">IF(AT1333&gt;0,J1333/AT1333,-1)</f>
        <v>46.4086021505376</v>
      </c>
      <c r="AY1333" s="63" t="n">
        <f aca="false">IF(AND(OR(CG1333="L1",CG1333="L23",CG1333="LIFT"),AT1333&gt;0),SUMIFS($AT$7:$AT$1843,$CG$7:$CG$1843,CG1333,$AX$7:$AX$1843,"&gt;"&amp;AX1333)+SUMIFS($AT$7:$AT$1843,$CG$7:$CG$1843,CG1333,$AX$7:$AX$1843,AX1333,$BX$7:$BX$1843,"&lt;="&amp;BX1333),"")</f>
        <v>1442.6076007326</v>
      </c>
      <c r="AZ1333" s="70" t="n">
        <f aca="false">IF(AY1333="",0,MAX(0,MIN(1,(IF(CG1333="L1",Parameter!$H$5,IF(CG1333="L23",Parameter!$H$6+Parameter!$H$7,Parameter!$H$5+Parameter!$H$6+Parameter!$H$7))-(AY1333-AT1333))/AT1333)))</f>
        <v>1</v>
      </c>
      <c r="BA1333" s="62" t="n">
        <f aca="false">IF(LEFT(Cockpit!$O$5,1)="A",H1333,IF(Parameter!$E$30="MAX-Bestand",IF(CI1333=1,CJ1333,IF(LEFT(Cockpit!$O$5,1)="B",BG1333,MAX(BG1333,H1333))),ROUNDUP(BE1333,0)))</f>
        <v>240</v>
      </c>
      <c r="BB1333" s="62" t="n">
        <f aca="false">IF(CA1333=1,0,ROUNDUP(BA1333/BZ1333,0))</f>
        <v>2</v>
      </c>
      <c r="BC1333" s="64" t="n">
        <f aca="false">IF(CR1333&gt;0,CR1333*MAX(1,BA1333/X1333),IF(CA1333=1,IF(BA1333&lt;=0,0,CE1333*MAX(1,IF(H1333&gt;0,BA1333/H1333,1))),IF(R1333&gt;0,BB1333/R1333,0))/MAX(0.1,N(Parameter!$M$21)))</f>
        <v>0.0384615384615385</v>
      </c>
      <c r="BD1333" s="62" t="n">
        <f aca="false">BC1333*CC1333</f>
        <v>5.96153846153846</v>
      </c>
      <c r="BE1333" s="63" t="n">
        <f aca="false">IF(LEFT(Cockpit!$O$5,1)="A",H1333,IF(CI1333=1,(CL1333+CJ1333)/2,IF(LEFT(Cockpit!$O$5,1)="B",(CL1333+BG1333)/2,MAX((CL1333+BG1333)/2,H1333))))</f>
        <v>239.5</v>
      </c>
      <c r="BF1333" s="62" t="n">
        <f aca="false">BE1333*G1333</f>
        <v>1049.01</v>
      </c>
      <c r="BG1333" s="62" t="n">
        <f aca="false">ROUNDUP(CL1333+MAX(CM1333,2*(J1333/IF(CH1333&gt;0,CH1333,MAX(0.1,N(Cockpit!$O$6)))-CL1333)),0)</f>
        <v>447</v>
      </c>
      <c r="BH1333" s="63" t="n">
        <f aca="false">IF(BD1333&gt;0,J1333/BD1333,-1)</f>
        <v>69.6129032258065</v>
      </c>
      <c r="BI1333" s="63" t="n">
        <f aca="false">IF(AND(OR(CG1333="L1",CG1333="L23",CG1333="LIFT"),BD1333&gt;0),SUMIFS($BD$7:$BD$1843,$CG$7:$CG$1843,CG1333,$BH$7:$BH$1843,"&gt;"&amp;BH1333)+SUMIFS($BD$7:$BD$1843,$CG$7:$CG$1843,CG1333,$BH$7:$BH$1843,BH1333,$BX$7:$BX$1843,"&lt;="&amp;BX1333),"")</f>
        <v>1030.40888278388</v>
      </c>
      <c r="BJ1333" s="70" t="n">
        <f aca="false">IF(BI1333="",0,MAX(0,MIN(1,(IF(CG1333="L1",Parameter!$H$5,IF(CG1333="L23",Parameter!$H$6+Parameter!$H$7,Parameter!$H$5+Parameter!$H$6+Parameter!$H$7))-(BI1333-BD1333))/BD1333)))</f>
        <v>1</v>
      </c>
      <c r="BK1333" s="60" t="str">
        <f aca="false">IF(AJ1333&lt;=0,"",IF(CG1333="Aussen","Aussenlager",IF(CG1333="-","Nicht im Lift",IF(AP1333&gt;=1,"Lift",IF(AP1333&lt;=0,"Aussenlager","teilweise")))))</f>
        <v>Lift</v>
      </c>
      <c r="BL1333" s="60" t="str">
        <f aca="false">IF(AT1333&lt;=0,"",IF(CG1333="Aussen","Aussenlager",IF(CG1333="-","Nicht im Lift",IF(AZ1333&gt;=1,"Lift",IF(AZ1333&lt;=0,"Aussenlager","teilweise")))))</f>
        <v>Lift</v>
      </c>
      <c r="BM1333" s="60" t="str">
        <f aca="false">IF(BD1333&lt;=0,"",IF(CG1333="Aussen","Aussenlager",IF(CG1333="-","Nicht im Lift",IF(BJ1333&gt;=1,"Lift",IF(BJ1333&lt;=0,"Aussenlager","teilweise")))))</f>
        <v>Lift</v>
      </c>
      <c r="BN1333" s="60" t="str">
        <f aca="false">IF(A1333="","",IF(BW1333=1,"Neu; ","")&amp;IF(AND(BW1333=0,BR1333&lt;0),"negativer Bestand (Export "&amp;BR1333&amp;"); ","")&amp;IF(J1333&lt;=0,"Kein Verbrauch; ","")&amp;IF(CR1333&gt;0,"Lift "&amp;W1333&amp;" lt. Liftbericht (Fach "&amp;X1333&amp;" Stk); ",IF(CB1333=1,"Gebinde geschätzt ("&amp;T1333&amp;"); ",IF(CA1333=1,"Lose – Tablare geschätzt; ","")))&amp;IF(H1333&gt;AW1333,"Überbestand "&amp;ROUND(H1333-AW1333,0)&amp;" Stk / CHF "&amp;ROUND((H1333-AW1333)*G1333,0)&amp;"; ","")&amp;IF(AND(CI1333=1,CJ1333&lt;CK1333),"MAX &lt; MB+LG; ","")&amp;IF(AND(CQ1333&gt;0,CP1333*10&gt;CQ1333),"zu hoch für Tablar; ","")&amp;IF(AND(BW1333=0,OR(CI1333=1,AB1333&lt;&gt;"",U1333&lt;&gt;"",V1333&lt;&gt;"",AC1333&lt;&gt;"")),"manuell übersteuert; ","")&amp;IF(AND(CA1333=0,R1333=0),"Gebinde unbekannt / Stellmass fehlt; ","")&amp;IF(AND(CA1333=0,N(V1333)&lt;=0,N(Q1333)&lt;=0),"Menge pro Gebinde fehlt (Ist = 1 Gebinde); ","")&amp;BV1333)</f>
        <v>negativer Bestand (Export -367); B&amp;R</v>
      </c>
      <c r="BO1333" s="60"/>
      <c r="BP1333" s="60"/>
      <c r="BQ1333" s="67"/>
      <c r="BR1333" s="62" t="n">
        <v>-367</v>
      </c>
      <c r="BS1333" s="62" t="n">
        <v>648</v>
      </c>
      <c r="BT1333" s="61" t="n">
        <v>-1607.46</v>
      </c>
      <c r="BU1333" s="62" t="n">
        <v>415</v>
      </c>
      <c r="BV1333" s="60" t="s">
        <v>2259</v>
      </c>
      <c r="BW1333" s="65" t="n">
        <v>0</v>
      </c>
      <c r="BX1333" s="65" t="n">
        <v>1333</v>
      </c>
      <c r="BY1333" s="60" t="str">
        <f aca="false">IF(U1333&lt;&gt;"",UPPER(TRIM(U1333)),IF(CB1333=1,UPPER(VLOOKUP(T1333,Parameter!$I$27:$K$29,2,0)),IF(P1333="","LOSE",P1333)))</f>
        <v>S33</v>
      </c>
      <c r="BZ1333" s="62" t="n">
        <f aca="false">IF(BY1333="LOSE",1,IF(N(V1333)&gt;0,V1333,IF(CB1333=1,MAX(1,N(VLOOKUP(T1333,Parameter!$I$27:$K$29,3,0)),H1333,N(N1333)),IF(N(Q1333)&gt;0,Q1333,MAX(1,H1333)))))</f>
        <v>139</v>
      </c>
      <c r="CA1333" s="65" t="n">
        <f aca="false">IF(BY1333="LOSE",1,0)</f>
        <v>0</v>
      </c>
      <c r="CB1333" s="65" t="n">
        <f aca="false">IF(AND(U1333="",OR(P1333="",P1333="LOSE"),T1333&lt;&gt;"",N(S1333)&lt;=0,ISNUMBER(MATCH(T1333,Parameter!$I$27:$I$29,0))),1,0)</f>
        <v>0</v>
      </c>
      <c r="CC1333" s="65" t="n">
        <f aca="false">IF(CR1333&gt;0,INDEX(Parameter!$H$5:$H$7,W1333)/INDEX(Parameter!$E$5:$E$7,W1333),IF(AND(CA1333=0,N(IFERROR(VLOOKUP(BY1333,'Gebinde-Kategorie'!$A$5:$N$45,14,0),0))&gt;0),VLOOKUP(BY1333,'Gebinde-Kategorie'!$A$5:$N$45,14,0)*10+Parameter!$M$23,Parameter!$M$24))</f>
        <v>155</v>
      </c>
      <c r="CD1333" s="60" t="str">
        <f aca="false">IF(AND(Parameter!$B$19="Ja",E1333&lt;&gt;"",ISNUMBER(MATCH(E1333,Parameter!$I$35:$I$52,0))),VLOOKUP(E1333,Parameter!$I$35:$J$52,2,0),IFERROR(VLOOKUP(D1333,Parameter!$A$35:$C$64,2,0),"Nein"))</f>
        <v>2+3</v>
      </c>
      <c r="CE1333" s="64" t="n">
        <f aca="false">IF(CA1333=0,0,IF(N(S1333)&gt;0,S1333,IFERROR(VLOOKUP(D1333,Parameter!$A$35:$C$64,3,0)+0,0)))</f>
        <v>0</v>
      </c>
      <c r="CF1333" s="60" t="n">
        <f aca="false">IF(AB1333&lt;&gt;"",AB1333,AA1333)</f>
        <v>3</v>
      </c>
      <c r="CG1333" s="60" t="str">
        <f aca="false">IF(OR(CF1333=1,CF1333=2,CF1333=3),IF(Parameter!$E$27="Ja","LIFT",IF(CF1333=1,"L1","L23")),IF(CF1333="Aussen","Aussen","-"))</f>
        <v>LIFT</v>
      </c>
      <c r="CH1333" s="71" t="n">
        <f aca="false">IF(N(AC1333)&gt;0,AC1333,0)</f>
        <v>0</v>
      </c>
      <c r="CI1333" s="65" t="n">
        <f aca="false">IF(ISNUMBER(AF1333),1,0)</f>
        <v>0</v>
      </c>
      <c r="CJ1333" s="62" t="n">
        <f aca="false">N(AF1333)</f>
        <v>0</v>
      </c>
      <c r="CK1333" s="62" t="n">
        <f aca="false">N(M1333)+N(N1333)</f>
        <v>447</v>
      </c>
      <c r="CL1333" s="62" t="n">
        <f aca="false">N(M1333)</f>
        <v>32</v>
      </c>
      <c r="CM1333" s="62" t="n">
        <f aca="false">N(N1333)</f>
        <v>415</v>
      </c>
      <c r="CN1333" s="62" t="n">
        <f aca="false">ROUNDUP(H1333/BZ1333,0)</f>
        <v>3</v>
      </c>
      <c r="CO1333" s="62" t="n">
        <f aca="false">ROUNDUP(CJ1333/BZ1333,0)</f>
        <v>0</v>
      </c>
      <c r="CP1333" s="65" t="n">
        <f aca="false">IF(CA1333=1,0,IFERROR(VLOOKUP(BY1333,'Gebinde-Kategorie'!$A$5:$N$45,5,0)+0,0))</f>
        <v>8</v>
      </c>
      <c r="CQ1333" s="65" t="n">
        <f aca="false">IFERROR(IF(OR(CF1333=1,CF1333=2,CF1333=3),N(INDEX(Parameter!$I$5:$I$7,CF1333)),0),0)</f>
        <v>0</v>
      </c>
      <c r="CR1333" s="64" t="n">
        <f aca="false">IF(AND(Parameter!$B$21="Ja",ISNUMBER(W1333),N(X1333)&gt;0),IFERROR(N(INDEX(Parameter!$L$5:$L$7,W1333))*INDEX(Parameter!$E$5:$E$7,W1333)*X1333/SUMIFS($X$7:$X$1843,$W$7:$W$1843,W1333),0),0)</f>
        <v>0</v>
      </c>
      <c r="CS1333" s="62" t="n">
        <f aca="false">IF(AND(OR(CG1333="L1",CG1333="L23",CG1333="LIFT"),H1333&gt;0),CC1333*IF(CR1333&gt;0,CR1333*MAX(1,H1333/X1333),IF(CA1333=1,CE1333,IF(R1333&gt;0,CN1333/R1333,0))/MAX(0.1,N(Parameter!$M$21))),"")</f>
        <v>8.94230769230769</v>
      </c>
      <c r="CT1333" s="64" t="n">
        <f aca="false">IF(CS1333="","",J1333/H1333)</f>
        <v>1.47686832740214</v>
      </c>
      <c r="CU1333" s="62" t="n">
        <f aca="false">IF(CS1333="","",H1333*G1333)</f>
        <v>1230.78</v>
      </c>
      <c r="CV1333" s="63" t="n">
        <f aca="false">IF(CS1333="","",(CL1333+ROUNDUP(CL1333+MAX(CM1333,2*(J1333/MAX(0.1,N(Einkauf!$C$6))-CL1333)),0))/2)</f>
        <v>239.5</v>
      </c>
      <c r="CW1333" s="62" t="n">
        <f aca="false">IF(CS1333="","",MAX(0,H1333-CV1333)*G1333)</f>
        <v>181.77</v>
      </c>
      <c r="CX1333" s="62" t="n">
        <f aca="false">IF(CS1333="","",CS1333*MAX(0,1-CV1333/H1333))</f>
        <v>1.32066110046537</v>
      </c>
      <c r="CY1333" s="64" t="n">
        <f aca="false">IF(CS1333="","",PERCENTRANK($CS$7:$CS$1843,CS1333)+PERCENTRANK($CU$7:$CU$1843,CU1333)+1-PERCENTRANK($CT$7:$CT$1843,CT1333))</f>
        <v>1.494</v>
      </c>
      <c r="CZ1333" s="72" t="n">
        <f aca="false">IF(CS1333="","",CHOOSE(MATCH(Einkauf!$C$5,Parameter!$G$23:$G$27,0),CY1333,CS1333,CU1333,-CT1333,CW1333)+ROW()/1000000000)</f>
        <v>1.494001333</v>
      </c>
    </row>
    <row r="1334" customFormat="false" ht="15" hidden="false" customHeight="false" outlineLevel="0" collapsed="false">
      <c r="A1334" s="60" t="s">
        <v>2407</v>
      </c>
      <c r="B1334" s="60" t="s">
        <v>449</v>
      </c>
      <c r="C1334" s="60" t="s">
        <v>206</v>
      </c>
      <c r="D1334" s="60" t="s">
        <v>226</v>
      </c>
      <c r="E1334" s="60" t="s">
        <v>227</v>
      </c>
      <c r="F1334" s="60" t="s">
        <v>260</v>
      </c>
      <c r="G1334" s="61" t="n">
        <v>0.73</v>
      </c>
      <c r="H1334" s="62" t="n">
        <f aca="false">MAX(0,IF(AND(Parameter!$B$21="Ja",ISNUMBER(Y1334)),Y1334,IF(Parameter!$B$20="Jahresanfang 2025 + Export",BS1334+BR1334,BR1334)))</f>
        <v>4470</v>
      </c>
      <c r="I1334" s="62" t="n">
        <f aca="false">H1334*G1334</f>
        <v>3263.1</v>
      </c>
      <c r="J1334" s="62" t="n">
        <f aca="false">BU1334*Parameter!$B$18</f>
        <v>7948</v>
      </c>
      <c r="K1334" s="63" t="n">
        <v>5515</v>
      </c>
      <c r="L1334" s="64" t="n">
        <v>1.44116047144152</v>
      </c>
      <c r="M1334" s="62" t="n">
        <v>1786</v>
      </c>
      <c r="N1334" s="62" t="n">
        <v>2000</v>
      </c>
      <c r="O1334" s="65" t="n">
        <v>80</v>
      </c>
      <c r="P1334" s="60" t="s">
        <v>335</v>
      </c>
      <c r="Q1334" s="62" t="n">
        <v>9495</v>
      </c>
      <c r="R1334" s="65" t="n">
        <f aca="false">IF(CA1334=1,0,IFERROR(VLOOKUP(BY1334,'Gebinde-Kategorie'!$A$5:$N$45,13,0)+0,0))</f>
        <v>12</v>
      </c>
      <c r="S1334" s="66"/>
      <c r="T1334" s="67"/>
      <c r="U1334" s="67"/>
      <c r="V1334" s="67"/>
      <c r="W1334" s="60"/>
      <c r="X1334" s="62"/>
      <c r="Y1334" s="62"/>
      <c r="Z1334" s="60" t="n">
        <v>3</v>
      </c>
      <c r="AA1334" s="60" t="n">
        <f aca="false">IF(A1334="","",IF(AND(Parameter!$B$21="Ja",ISNUMBER(W1334)),W1334,IF(AND(Parameter!$E$27="Ja",ISNUMBER(Z1334),CD1334&lt;&gt;"Nein"),Z1334,IF(CD1334="2+3",IF(ISNUMBER(SEARCH("grosser Artikel",BV1334)),2,IFERROR(VLOOKUP(BY1334,Parameter!$F$35:$G$64,2,0),2)),IF(OR(CD1334="Nein",CD1334=""),"-",CD1334)))))</f>
        <v>3</v>
      </c>
      <c r="AB1334" s="67"/>
      <c r="AC1334" s="68"/>
      <c r="AD1334" s="62" t="n">
        <f aca="false">AW1334</f>
        <v>3786</v>
      </c>
      <c r="AE1334" s="62" t="n">
        <f aca="false">MAX(AW1334,H1334)</f>
        <v>4470</v>
      </c>
      <c r="AF1334" s="69"/>
      <c r="AG1334" s="62" t="n">
        <f aca="false">IF(LEFT(Cockpit!$C$5,1)="A",H1334,IF(Parameter!$E$30="MAX-Bestand",IF(CI1334=1,CJ1334,IF(LEFT(Cockpit!$C$5,1)="B",AM1334,MAX(AM1334,H1334))),ROUNDUP(AK1334,0)))</f>
        <v>4470</v>
      </c>
      <c r="AH1334" s="62" t="n">
        <f aca="false">IF(CA1334=1,0,ROUNDUP(AG1334/BZ1334,0))</f>
        <v>1</v>
      </c>
      <c r="AI1334" s="64" t="n">
        <f aca="false">IF(CR1334&gt;0,CR1334*MAX(1,AG1334/X1334),IF(CA1334=1,IF(AG1334&lt;=0,0,CE1334*MAX(1,IF(H1334&gt;0,AG1334/H1334,1))),IF(R1334&gt;0,AH1334/R1334,0))/MAX(0.1,N(Parameter!$M$21)))</f>
        <v>0.0833333333333333</v>
      </c>
      <c r="AJ1334" s="62" t="n">
        <f aca="false">AI1334*CC1334</f>
        <v>20.4166666666667</v>
      </c>
      <c r="AK1334" s="63" t="n">
        <f aca="false">IF(LEFT(Cockpit!$C$5,1)="A",H1334,IF(CI1334=1,(CL1334+CJ1334)/2,IF(LEFT(Cockpit!$C$5,1)="B",(CL1334+AM1334)/2,MAX((CL1334+AM1334)/2,H1334))))</f>
        <v>4470</v>
      </c>
      <c r="AL1334" s="62" t="n">
        <f aca="false">AK1334*G1334</f>
        <v>3263.1</v>
      </c>
      <c r="AM1334" s="62" t="n">
        <f aca="false">ROUNDUP(CL1334+MAX(CM1334,2*(J1334/IF(CH1334&gt;0,CH1334,MAX(0.1,N(Cockpit!$C$6)))-CL1334)),0)</f>
        <v>3786</v>
      </c>
      <c r="AN1334" s="63" t="n">
        <f aca="false">IF(AJ1334&gt;0,J1334/AJ1334,-1)</f>
        <v>389.289795918367</v>
      </c>
      <c r="AO1334" s="63" t="n">
        <f aca="false">IF(AND(OR(CG1334="L1",CG1334="L23",CG1334="LIFT"),AJ1334&gt;0),SUMIFS($AJ$7:$AJ$1843,$CG$7:$CG$1843,CG1334,$AN$7:$AN$1843,"&gt;"&amp;AN1334)+SUMIFS($AJ$7:$AJ$1843,$CG$7:$CG$1843,CG1334,$AN$7:$AN$1843,AN1334,$BX$7:$BX$1843,"&lt;="&amp;BX1334),"")</f>
        <v>199.987637362637</v>
      </c>
      <c r="AP1334" s="70" t="n">
        <f aca="false">IF(AO1334="",0,MAX(0,MIN(1,(IF(CG1334="L1",Parameter!$H$5,IF(CG1334="L23",Parameter!$H$6+Parameter!$H$7,Parameter!$H$5+Parameter!$H$6+Parameter!$H$7))-(AO1334-AJ1334))/AJ1334)))</f>
        <v>1</v>
      </c>
      <c r="AQ1334" s="62" t="n">
        <f aca="false">IF(LEFT(Cockpit!$I$5,1)="A",H1334,IF(Parameter!$E$30="MAX-Bestand",IF(CI1334=1,CJ1334,IF(LEFT(Cockpit!$I$5,1)="B",AW1334,MAX(AW1334,H1334))),ROUNDUP(AU1334,0)))</f>
        <v>4470</v>
      </c>
      <c r="AR1334" s="62" t="n">
        <f aca="false">IF(CA1334=1,0,ROUNDUP(AQ1334/BZ1334,0))</f>
        <v>1</v>
      </c>
      <c r="AS1334" s="64" t="n">
        <f aca="false">IF(CR1334&gt;0,CR1334*MAX(1,AQ1334/X1334),IF(CA1334=1,IF(AQ1334&lt;=0,0,CE1334*MAX(1,IF(H1334&gt;0,AQ1334/H1334,1))),IF(R1334&gt;0,AR1334/R1334,0))/MAX(0.1,N(Parameter!$M$21)))</f>
        <v>0.0833333333333333</v>
      </c>
      <c r="AT1334" s="62" t="n">
        <f aca="false">AS1334*CC1334</f>
        <v>20.4166666666667</v>
      </c>
      <c r="AU1334" s="63" t="n">
        <f aca="false">IF(LEFT(Cockpit!$I$5,1)="A",H1334,IF(CI1334=1,(CL1334+CJ1334)/2,IF(LEFT(Cockpit!$I$5,1)="B",(CL1334+AW1334)/2,MAX((CL1334+AW1334)/2,H1334))))</f>
        <v>4470</v>
      </c>
      <c r="AV1334" s="62" t="n">
        <f aca="false">AU1334*G1334</f>
        <v>3263.1</v>
      </c>
      <c r="AW1334" s="62" t="n">
        <f aca="false">ROUNDUP(CL1334+MAX(CM1334,2*(J1334/IF(CH1334&gt;0,CH1334,MAX(0.1,N(Cockpit!$I$6)))-CL1334)),0)</f>
        <v>3786</v>
      </c>
      <c r="AX1334" s="63" t="n">
        <f aca="false">IF(AT1334&gt;0,J1334/AT1334,-1)</f>
        <v>389.289795918367</v>
      </c>
      <c r="AY1334" s="63" t="n">
        <f aca="false">IF(AND(OR(CG1334="L1",CG1334="L23",CG1334="LIFT"),AT1334&gt;0),SUMIFS($AT$7:$AT$1843,$CG$7:$CG$1843,CG1334,$AX$7:$AX$1843,"&gt;"&amp;AX1334)+SUMIFS($AT$7:$AT$1843,$CG$7:$CG$1843,CG1334,$AX$7:$AX$1843,AX1334,$BX$7:$BX$1843,"&lt;="&amp;BX1334),"")</f>
        <v>134.203754578755</v>
      </c>
      <c r="AZ1334" s="70" t="n">
        <f aca="false">IF(AY1334="",0,MAX(0,MIN(1,(IF(CG1334="L1",Parameter!$H$5,IF(CG1334="L23",Parameter!$H$6+Parameter!$H$7,Parameter!$H$5+Parameter!$H$6+Parameter!$H$7))-(AY1334-AT1334))/AT1334)))</f>
        <v>1</v>
      </c>
      <c r="BA1334" s="62" t="n">
        <f aca="false">IF(LEFT(Cockpit!$O$5,1)="A",H1334,IF(Parameter!$E$30="MAX-Bestand",IF(CI1334=1,CJ1334,IF(LEFT(Cockpit!$O$5,1)="B",BG1334,MAX(BG1334,H1334))),ROUNDUP(BE1334,0)))</f>
        <v>2786</v>
      </c>
      <c r="BB1334" s="62" t="n">
        <f aca="false">IF(CA1334=1,0,ROUNDUP(BA1334/BZ1334,0))</f>
        <v>1</v>
      </c>
      <c r="BC1334" s="64" t="n">
        <f aca="false">IF(CR1334&gt;0,CR1334*MAX(1,BA1334/X1334),IF(CA1334=1,IF(BA1334&lt;=0,0,CE1334*MAX(1,IF(H1334&gt;0,BA1334/H1334,1))),IF(R1334&gt;0,BB1334/R1334,0))/MAX(0.1,N(Parameter!$M$21)))</f>
        <v>0.0833333333333333</v>
      </c>
      <c r="BD1334" s="62" t="n">
        <f aca="false">BC1334*CC1334</f>
        <v>20.4166666666667</v>
      </c>
      <c r="BE1334" s="63" t="n">
        <f aca="false">IF(LEFT(Cockpit!$O$5,1)="A",H1334,IF(CI1334=1,(CL1334+CJ1334)/2,IF(LEFT(Cockpit!$O$5,1)="B",(CL1334+BG1334)/2,MAX((CL1334+BG1334)/2,H1334))))</f>
        <v>2786</v>
      </c>
      <c r="BF1334" s="62" t="n">
        <f aca="false">BE1334*G1334</f>
        <v>2033.78</v>
      </c>
      <c r="BG1334" s="62" t="n">
        <f aca="false">ROUNDUP(CL1334+MAX(CM1334,2*(J1334/IF(CH1334&gt;0,CH1334,MAX(0.1,N(Cockpit!$O$6)))-CL1334)),0)</f>
        <v>3786</v>
      </c>
      <c r="BH1334" s="63" t="n">
        <f aca="false">IF(BD1334&gt;0,J1334/BD1334,-1)</f>
        <v>389.289795918367</v>
      </c>
      <c r="BI1334" s="63" t="n">
        <f aca="false">IF(AND(OR(CG1334="L1",CG1334="L23",CG1334="LIFT"),BD1334&gt;0),SUMIFS($BD$7:$BD$1843,$CG$7:$CG$1843,CG1334,$BH$7:$BH$1843,"&gt;"&amp;BH1334)+SUMIFS($BD$7:$BD$1843,$CG$7:$CG$1843,CG1334,$BH$7:$BH$1843,BH1334,$BX$7:$BX$1843,"&lt;="&amp;BX1334),"")</f>
        <v>203.435897435897</v>
      </c>
      <c r="BJ1334" s="70" t="n">
        <f aca="false">IF(BI1334="",0,MAX(0,MIN(1,(IF(CG1334="L1",Parameter!$H$5,IF(CG1334="L23",Parameter!$H$6+Parameter!$H$7,Parameter!$H$5+Parameter!$H$6+Parameter!$H$7))-(BI1334-BD1334))/BD1334)))</f>
        <v>1</v>
      </c>
      <c r="BK1334" s="60" t="str">
        <f aca="false">IF(AJ1334&lt;=0,"",IF(CG1334="Aussen","Aussenlager",IF(CG1334="-","Nicht im Lift",IF(AP1334&gt;=1,"Lift",IF(AP1334&lt;=0,"Aussenlager","teilweise")))))</f>
        <v>Lift</v>
      </c>
      <c r="BL1334" s="60" t="str">
        <f aca="false">IF(AT1334&lt;=0,"",IF(CG1334="Aussen","Aussenlager",IF(CG1334="-","Nicht im Lift",IF(AZ1334&gt;=1,"Lift",IF(AZ1334&lt;=0,"Aussenlager","teilweise")))))</f>
        <v>Lift</v>
      </c>
      <c r="BM1334" s="60" t="str">
        <f aca="false">IF(BD1334&lt;=0,"",IF(CG1334="Aussen","Aussenlager",IF(CG1334="-","Nicht im Lift",IF(BJ1334&gt;=1,"Lift",IF(BJ1334&lt;=0,"Aussenlager","teilweise")))))</f>
        <v>Lift</v>
      </c>
      <c r="BN1334" s="60" t="str">
        <f aca="false">IF(A1334="","",IF(BW1334=1,"Neu; ","")&amp;IF(AND(BW1334=0,BR1334&lt;0),"negativer Bestand (Export "&amp;BR1334&amp;"); ","")&amp;IF(J1334&lt;=0,"Kein Verbrauch; ","")&amp;IF(CR1334&gt;0,"Lift "&amp;W1334&amp;" lt. Liftbericht (Fach "&amp;X1334&amp;" Stk); ",IF(CB1334=1,"Gebinde geschätzt ("&amp;T1334&amp;"); ",IF(CA1334=1,"Lose – Tablare geschätzt; ","")))&amp;IF(H1334&gt;AW1334,"Überbestand "&amp;ROUND(H1334-AW1334,0)&amp;" Stk / CHF "&amp;ROUND((H1334-AW1334)*G1334,0)&amp;"; ","")&amp;IF(AND(CI1334=1,CJ1334&lt;CK1334),"MAX &lt; MB+LG; ","")&amp;IF(AND(CQ1334&gt;0,CP1334*10&gt;CQ1334),"zu hoch für Tablar; ","")&amp;IF(AND(BW1334=0,OR(CI1334=1,AB1334&lt;&gt;"",U1334&lt;&gt;"",V1334&lt;&gt;"",AC1334&lt;&gt;"")),"manuell übersteuert; ","")&amp;IF(AND(CA1334=0,R1334=0),"Gebinde unbekannt / Stellmass fehlt; ","")&amp;IF(AND(CA1334=0,N(V1334)&lt;=0,N(Q1334)&lt;=0),"Menge pro Gebinde fehlt (Ist = 1 Gebinde); ","")&amp;BV1334)</f>
        <v>negativer Bestand (Export -3141); Überbestand 684 Stk / CHF 499; </v>
      </c>
      <c r="BO1334" s="60"/>
      <c r="BP1334" s="60"/>
      <c r="BQ1334" s="67"/>
      <c r="BR1334" s="62" t="n">
        <v>-3141</v>
      </c>
      <c r="BS1334" s="62" t="n">
        <v>7611</v>
      </c>
      <c r="BT1334" s="61" t="n">
        <v>-1613.34</v>
      </c>
      <c r="BU1334" s="62" t="n">
        <v>7948</v>
      </c>
      <c r="BV1334" s="60"/>
      <c r="BW1334" s="65" t="n">
        <v>0</v>
      </c>
      <c r="BX1334" s="65" t="n">
        <v>1334</v>
      </c>
      <c r="BY1334" s="60" t="str">
        <f aca="false">IF(U1334&lt;&gt;"",UPPER(TRIM(U1334)),IF(CB1334=1,UPPER(VLOOKUP(T1334,Parameter!$I$27:$K$29,2,0)),IF(P1334="","LOSE",P1334)))</f>
        <v>S62</v>
      </c>
      <c r="BZ1334" s="62" t="n">
        <f aca="false">IF(BY1334="LOSE",1,IF(N(V1334)&gt;0,V1334,IF(CB1334=1,MAX(1,N(VLOOKUP(T1334,Parameter!$I$27:$K$29,3,0)),H1334,N(N1334)),IF(N(Q1334)&gt;0,Q1334,MAX(1,H1334)))))</f>
        <v>9495</v>
      </c>
      <c r="CA1334" s="65" t="n">
        <f aca="false">IF(BY1334="LOSE",1,0)</f>
        <v>0</v>
      </c>
      <c r="CB1334" s="65" t="n">
        <f aca="false">IF(AND(U1334="",OR(P1334="",P1334="LOSE"),T1334&lt;&gt;"",N(S1334)&lt;=0,ISNUMBER(MATCH(T1334,Parameter!$I$27:$I$29,0))),1,0)</f>
        <v>0</v>
      </c>
      <c r="CC1334" s="65" t="n">
        <f aca="false">IF(CR1334&gt;0,INDEX(Parameter!$H$5:$H$7,W1334)/INDEX(Parameter!$E$5:$E$7,W1334),IF(AND(CA1334=0,N(IFERROR(VLOOKUP(BY1334,'Gebinde-Kategorie'!$A$5:$N$45,14,0),0))&gt;0),VLOOKUP(BY1334,'Gebinde-Kategorie'!$A$5:$N$45,14,0)*10+Parameter!$M$23,Parameter!$M$24))</f>
        <v>245</v>
      </c>
      <c r="CD1334" s="60" t="str">
        <f aca="false">IF(AND(Parameter!$B$19="Ja",E1334&lt;&gt;"",ISNUMBER(MATCH(E1334,Parameter!$I$35:$I$52,0))),VLOOKUP(E1334,Parameter!$I$35:$J$52,2,0),IFERROR(VLOOKUP(D1334,Parameter!$A$35:$C$64,2,0),"Nein"))</f>
        <v>2+3</v>
      </c>
      <c r="CE1334" s="64" t="n">
        <f aca="false">IF(CA1334=0,0,IF(N(S1334)&gt;0,S1334,IFERROR(VLOOKUP(D1334,Parameter!$A$35:$C$64,3,0)+0,0)))</f>
        <v>0</v>
      </c>
      <c r="CF1334" s="60" t="n">
        <f aca="false">IF(AB1334&lt;&gt;"",AB1334,AA1334)</f>
        <v>3</v>
      </c>
      <c r="CG1334" s="60" t="str">
        <f aca="false">IF(OR(CF1334=1,CF1334=2,CF1334=3),IF(Parameter!$E$27="Ja","LIFT",IF(CF1334=1,"L1","L23")),IF(CF1334="Aussen","Aussen","-"))</f>
        <v>LIFT</v>
      </c>
      <c r="CH1334" s="71" t="n">
        <f aca="false">IF(N(AC1334)&gt;0,AC1334,0)</f>
        <v>0</v>
      </c>
      <c r="CI1334" s="65" t="n">
        <f aca="false">IF(ISNUMBER(AF1334),1,0)</f>
        <v>0</v>
      </c>
      <c r="CJ1334" s="62" t="n">
        <f aca="false">N(AF1334)</f>
        <v>0</v>
      </c>
      <c r="CK1334" s="62" t="n">
        <f aca="false">N(M1334)+N(N1334)</f>
        <v>3786</v>
      </c>
      <c r="CL1334" s="62" t="n">
        <f aca="false">N(M1334)</f>
        <v>1786</v>
      </c>
      <c r="CM1334" s="62" t="n">
        <f aca="false">N(N1334)</f>
        <v>2000</v>
      </c>
      <c r="CN1334" s="62" t="n">
        <f aca="false">ROUNDUP(H1334/BZ1334,0)</f>
        <v>1</v>
      </c>
      <c r="CO1334" s="62" t="n">
        <f aca="false">ROUNDUP(CJ1334/BZ1334,0)</f>
        <v>0</v>
      </c>
      <c r="CP1334" s="65" t="n">
        <f aca="false">IF(CA1334=1,0,IFERROR(VLOOKUP(BY1334,'Gebinde-Kategorie'!$A$5:$N$45,5,0)+0,0))</f>
        <v>21</v>
      </c>
      <c r="CQ1334" s="65" t="n">
        <f aca="false">IFERROR(IF(OR(CF1334=1,CF1334=2,CF1334=3),N(INDEX(Parameter!$I$5:$I$7,CF1334)),0),0)</f>
        <v>0</v>
      </c>
      <c r="CR1334" s="64" t="n">
        <f aca="false">IF(AND(Parameter!$B$21="Ja",ISNUMBER(W1334),N(X1334)&gt;0),IFERROR(N(INDEX(Parameter!$L$5:$L$7,W1334))*INDEX(Parameter!$E$5:$E$7,W1334)*X1334/SUMIFS($X$7:$X$1843,$W$7:$W$1843,W1334),0),0)</f>
        <v>0</v>
      </c>
      <c r="CS1334" s="62" t="n">
        <f aca="false">IF(AND(OR(CG1334="L1",CG1334="L23",CG1334="LIFT"),H1334&gt;0),CC1334*IF(CR1334&gt;0,CR1334*MAX(1,H1334/X1334),IF(CA1334=1,CE1334,IF(R1334&gt;0,CN1334/R1334,0))/MAX(0.1,N(Parameter!$M$21))),"")</f>
        <v>20.4166666666667</v>
      </c>
      <c r="CT1334" s="64" t="n">
        <f aca="false">IF(CS1334="","",J1334/H1334)</f>
        <v>1.77807606263982</v>
      </c>
      <c r="CU1334" s="62" t="n">
        <f aca="false">IF(CS1334="","",H1334*G1334)</f>
        <v>3263.1</v>
      </c>
      <c r="CV1334" s="63" t="n">
        <f aca="false">IF(CS1334="","",(CL1334+ROUNDUP(CL1334+MAX(CM1334,2*(J1334/MAX(0.1,N(Einkauf!$C$6))-CL1334)),0))/2)</f>
        <v>2786</v>
      </c>
      <c r="CW1334" s="62" t="n">
        <f aca="false">IF(CS1334="","",MAX(0,H1334-CV1334)*G1334)</f>
        <v>1229.32</v>
      </c>
      <c r="CX1334" s="62" t="n">
        <f aca="false">IF(CS1334="","",CS1334*MAX(0,1-CV1334/H1334))</f>
        <v>7.69164802386279</v>
      </c>
      <c r="CY1334" s="64" t="n">
        <f aca="false">IF(CS1334="","",PERCENTRANK($CS$7:$CS$1843,CS1334)+PERCENTRANK($CU$7:$CU$1843,CU1334)+1-PERCENTRANK($CT$7:$CT$1843,CT1334))</f>
        <v>1.834</v>
      </c>
      <c r="CZ1334" s="72" t="n">
        <f aca="false">IF(CS1334="","",CHOOSE(MATCH(Einkauf!$C$5,Parameter!$G$23:$G$27,0),CY1334,CS1334,CU1334,-CT1334,CW1334)+ROW()/1000000000)</f>
        <v>1.834001334</v>
      </c>
    </row>
    <row r="1335" customFormat="false" ht="15" hidden="false" customHeight="false" outlineLevel="0" collapsed="false">
      <c r="A1335" s="60" t="s">
        <v>2408</v>
      </c>
      <c r="B1335" s="60" t="s">
        <v>608</v>
      </c>
      <c r="C1335" s="60" t="s">
        <v>206</v>
      </c>
      <c r="D1335" s="60" t="s">
        <v>226</v>
      </c>
      <c r="E1335" s="60" t="s">
        <v>227</v>
      </c>
      <c r="F1335" s="60" t="s">
        <v>260</v>
      </c>
      <c r="G1335" s="61" t="n">
        <v>46.69</v>
      </c>
      <c r="H1335" s="62" t="n">
        <f aca="false">MAX(0,IF(AND(Parameter!$B$21="Ja",ISNUMBER(Y1335)),Y1335,IF(Parameter!$B$20="Jahresanfang 2025 + Export",BS1335+BR1335,BR1335)))</f>
        <v>59</v>
      </c>
      <c r="I1335" s="62" t="n">
        <f aca="false">H1335*G1335</f>
        <v>2754.71</v>
      </c>
      <c r="J1335" s="62" t="n">
        <f aca="false">BU1335*Parameter!$B$18</f>
        <v>27</v>
      </c>
      <c r="K1335" s="63" t="n">
        <v>80.5</v>
      </c>
      <c r="L1335" s="64" t="n">
        <v>0.335403726708075</v>
      </c>
      <c r="M1335" s="62" t="n">
        <v>1</v>
      </c>
      <c r="N1335" s="62" t="n">
        <v>25</v>
      </c>
      <c r="O1335" s="65" t="n">
        <v>14</v>
      </c>
      <c r="P1335" s="60" t="s">
        <v>268</v>
      </c>
      <c r="Q1335" s="62" t="n">
        <v>58</v>
      </c>
      <c r="R1335" s="65" t="n">
        <f aca="false">IF(CA1335=1,0,IFERROR(VLOOKUP(BY1335,'Gebinde-Kategorie'!$A$5:$N$45,13,0)+0,0))</f>
        <v>12</v>
      </c>
      <c r="S1335" s="66"/>
      <c r="T1335" s="67"/>
      <c r="U1335" s="67"/>
      <c r="V1335" s="67"/>
      <c r="W1335" s="60"/>
      <c r="X1335" s="62"/>
      <c r="Y1335" s="62"/>
      <c r="Z1335" s="60" t="n">
        <v>3</v>
      </c>
      <c r="AA1335" s="60" t="n">
        <f aca="false">IF(A1335="","",IF(AND(Parameter!$B$21="Ja",ISNUMBER(W1335)),W1335,IF(AND(Parameter!$E$27="Ja",ISNUMBER(Z1335),CD1335&lt;&gt;"Nein"),Z1335,IF(CD1335="2+3",IF(ISNUMBER(SEARCH("grosser Artikel",BV1335)),2,IFERROR(VLOOKUP(BY1335,Parameter!$F$35:$G$64,2,0),2)),IF(OR(CD1335="Nein",CD1335=""),"-",CD1335)))))</f>
        <v>3</v>
      </c>
      <c r="AB1335" s="67"/>
      <c r="AC1335" s="68"/>
      <c r="AD1335" s="62" t="n">
        <f aca="false">AW1335</f>
        <v>26</v>
      </c>
      <c r="AE1335" s="62" t="n">
        <f aca="false">MAX(AW1335,H1335)</f>
        <v>59</v>
      </c>
      <c r="AF1335" s="69"/>
      <c r="AG1335" s="62" t="n">
        <f aca="false">IF(LEFT(Cockpit!$C$5,1)="A",H1335,IF(Parameter!$E$30="MAX-Bestand",IF(CI1335=1,CJ1335,IF(LEFT(Cockpit!$C$5,1)="B",AM1335,MAX(AM1335,H1335))),ROUNDUP(AK1335,0)))</f>
        <v>59</v>
      </c>
      <c r="AH1335" s="62" t="n">
        <f aca="false">IF(CA1335=1,0,ROUNDUP(AG1335/BZ1335,0))</f>
        <v>2</v>
      </c>
      <c r="AI1335" s="64" t="n">
        <f aca="false">IF(CR1335&gt;0,CR1335*MAX(1,AG1335/X1335),IF(CA1335=1,IF(AG1335&lt;=0,0,CE1335*MAX(1,IF(H1335&gt;0,AG1335/H1335,1))),IF(R1335&gt;0,AH1335/R1335,0))/MAX(0.1,N(Parameter!$M$21)))</f>
        <v>0.166666666666667</v>
      </c>
      <c r="AJ1335" s="62" t="n">
        <f aca="false">AI1335*CC1335</f>
        <v>57.5</v>
      </c>
      <c r="AK1335" s="63" t="n">
        <f aca="false">IF(LEFT(Cockpit!$C$5,1)="A",H1335,IF(CI1335=1,(CL1335+CJ1335)/2,IF(LEFT(Cockpit!$C$5,1)="B",(CL1335+AM1335)/2,MAX((CL1335+AM1335)/2,H1335))))</f>
        <v>59</v>
      </c>
      <c r="AL1335" s="62" t="n">
        <f aca="false">AK1335*G1335</f>
        <v>2754.71</v>
      </c>
      <c r="AM1335" s="62" t="n">
        <f aca="false">ROUNDUP(CL1335+MAX(CM1335,2*(J1335/IF(CH1335&gt;0,CH1335,MAX(0.1,N(Cockpit!$C$6)))-CL1335)),0)</f>
        <v>26</v>
      </c>
      <c r="AN1335" s="63" t="n">
        <f aca="false">IF(AJ1335&gt;0,J1335/AJ1335,-1)</f>
        <v>0.469565217391304</v>
      </c>
      <c r="AO1335" s="63" t="n">
        <f aca="false">IF(AND(OR(CG1335="L1",CG1335="L23",CG1335="LIFT"),AJ1335&gt;0),SUMIFS($AJ$7:$AJ$1843,$CG$7:$CG$1843,CG1335,$AN$7:$AN$1843,"&gt;"&amp;AN1335)+SUMIFS($AJ$7:$AJ$1843,$CG$7:$CG$1843,CG1335,$AN$7:$AN$1843,AN1335,$BX$7:$BX$1843,"&lt;="&amp;BX1335),"")</f>
        <v>9700.17716934666</v>
      </c>
      <c r="AP1335" s="70" t="n">
        <f aca="false">IF(AO1335="",0,MAX(0,MIN(1,(IF(CG1335="L1",Parameter!$H$5,IF(CG1335="L23",Parameter!$H$6+Parameter!$H$7,Parameter!$H$5+Parameter!$H$6+Parameter!$H$7))-(AO1335-AJ1335))/AJ1335)))</f>
        <v>1</v>
      </c>
      <c r="AQ1335" s="62" t="n">
        <f aca="false">IF(LEFT(Cockpit!$I$5,1)="A",H1335,IF(Parameter!$E$30="MAX-Bestand",IF(CI1335=1,CJ1335,IF(LEFT(Cockpit!$I$5,1)="B",AW1335,MAX(AW1335,H1335))),ROUNDUP(AU1335,0)))</f>
        <v>59</v>
      </c>
      <c r="AR1335" s="62" t="n">
        <f aca="false">IF(CA1335=1,0,ROUNDUP(AQ1335/BZ1335,0))</f>
        <v>2</v>
      </c>
      <c r="AS1335" s="64" t="n">
        <f aca="false">IF(CR1335&gt;0,CR1335*MAX(1,AQ1335/X1335),IF(CA1335=1,IF(AQ1335&lt;=0,0,CE1335*MAX(1,IF(H1335&gt;0,AQ1335/H1335,1))),IF(R1335&gt;0,AR1335/R1335,0))/MAX(0.1,N(Parameter!$M$21)))</f>
        <v>0.166666666666667</v>
      </c>
      <c r="AT1335" s="62" t="n">
        <f aca="false">AS1335*CC1335</f>
        <v>57.5</v>
      </c>
      <c r="AU1335" s="63" t="n">
        <f aca="false">IF(LEFT(Cockpit!$I$5,1)="A",H1335,IF(CI1335=1,(CL1335+CJ1335)/2,IF(LEFT(Cockpit!$I$5,1)="B",(CL1335+AW1335)/2,MAX((CL1335+AW1335)/2,H1335))))</f>
        <v>59</v>
      </c>
      <c r="AV1335" s="62" t="n">
        <f aca="false">AU1335*G1335</f>
        <v>2754.71</v>
      </c>
      <c r="AW1335" s="62" t="n">
        <f aca="false">ROUNDUP(CL1335+MAX(CM1335,2*(J1335/IF(CH1335&gt;0,CH1335,MAX(0.1,N(Cockpit!$I$6)))-CL1335)),0)</f>
        <v>26</v>
      </c>
      <c r="AX1335" s="63" t="n">
        <f aca="false">IF(AT1335&gt;0,J1335/AT1335,-1)</f>
        <v>0.469565217391304</v>
      </c>
      <c r="AY1335" s="63" t="n">
        <f aca="false">IF(AND(OR(CG1335="L1",CG1335="L23",CG1335="LIFT"),AT1335&gt;0),SUMIFS($AT$7:$AT$1843,$CG$7:$CG$1843,CG1335,$AX$7:$AX$1843,"&gt;"&amp;AX1335)+SUMIFS($AT$7:$AT$1843,$CG$7:$CG$1843,CG1335,$AX$7:$AX$1843,AX1335,$BX$7:$BX$1843,"&lt;="&amp;BX1335),"")</f>
        <v>12114.0137362637</v>
      </c>
      <c r="AZ1335" s="70" t="n">
        <f aca="false">IF(AY1335="",0,MAX(0,MIN(1,(IF(CG1335="L1",Parameter!$H$5,IF(CG1335="L23",Parameter!$H$6+Parameter!$H$7,Parameter!$H$5+Parameter!$H$6+Parameter!$H$7))-(AY1335-AT1335))/AT1335)))</f>
        <v>1</v>
      </c>
      <c r="BA1335" s="62" t="n">
        <f aca="false">IF(LEFT(Cockpit!$O$5,1)="A",H1335,IF(Parameter!$E$30="MAX-Bestand",IF(CI1335=1,CJ1335,IF(LEFT(Cockpit!$O$5,1)="B",BG1335,MAX(BG1335,H1335))),ROUNDUP(BE1335,0)))</f>
        <v>14</v>
      </c>
      <c r="BB1335" s="62" t="n">
        <f aca="false">IF(CA1335=1,0,ROUNDUP(BA1335/BZ1335,0))</f>
        <v>1</v>
      </c>
      <c r="BC1335" s="64" t="n">
        <f aca="false">IF(CR1335&gt;0,CR1335*MAX(1,BA1335/X1335),IF(CA1335=1,IF(BA1335&lt;=0,0,CE1335*MAX(1,IF(H1335&gt;0,BA1335/H1335,1))),IF(R1335&gt;0,BB1335/R1335,0))/MAX(0.1,N(Parameter!$M$21)))</f>
        <v>0.0833333333333333</v>
      </c>
      <c r="BD1335" s="62" t="n">
        <f aca="false">BC1335*CC1335</f>
        <v>28.75</v>
      </c>
      <c r="BE1335" s="63" t="n">
        <f aca="false">IF(LEFT(Cockpit!$O$5,1)="A",H1335,IF(CI1335=1,(CL1335+CJ1335)/2,IF(LEFT(Cockpit!$O$5,1)="B",(CL1335+BG1335)/2,MAX((CL1335+BG1335)/2,H1335))))</f>
        <v>13.5</v>
      </c>
      <c r="BF1335" s="62" t="n">
        <f aca="false">BE1335*G1335</f>
        <v>630.315</v>
      </c>
      <c r="BG1335" s="62" t="n">
        <f aca="false">ROUNDUP(CL1335+MAX(CM1335,2*(J1335/IF(CH1335&gt;0,CH1335,MAX(0.1,N(Cockpit!$O$6)))-CL1335)),0)</f>
        <v>26</v>
      </c>
      <c r="BH1335" s="63" t="n">
        <f aca="false">IF(BD1335&gt;0,J1335/BD1335,-1)</f>
        <v>0.939130434782609</v>
      </c>
      <c r="BI1335" s="63" t="n">
        <f aca="false">IF(AND(OR(CG1335="L1",CG1335="L23",CG1335="LIFT"),BD1335&gt;0),SUMIFS($BD$7:$BD$1843,$CG$7:$CG$1843,CG1335,$BH$7:$BH$1843,"&gt;"&amp;BH1335)+SUMIFS($BD$7:$BD$1843,$CG$7:$CG$1843,CG1335,$BH$7:$BH$1843,BH1335,$BX$7:$BX$1843,"&lt;="&amp;BX1335),"")</f>
        <v>8107.99587912088</v>
      </c>
      <c r="BJ1335" s="70" t="n">
        <f aca="false">IF(BI1335="",0,MAX(0,MIN(1,(IF(CG1335="L1",Parameter!$H$5,IF(CG1335="L23",Parameter!$H$6+Parameter!$H$7,Parameter!$H$5+Parameter!$H$6+Parameter!$H$7))-(BI1335-BD1335))/BD1335)))</f>
        <v>1</v>
      </c>
      <c r="BK1335" s="60" t="str">
        <f aca="false">IF(AJ1335&lt;=0,"",IF(CG1335="Aussen","Aussenlager",IF(CG1335="-","Nicht im Lift",IF(AP1335&gt;=1,"Lift",IF(AP1335&lt;=0,"Aussenlager","teilweise")))))</f>
        <v>Lift</v>
      </c>
      <c r="BL1335" s="60" t="str">
        <f aca="false">IF(AT1335&lt;=0,"",IF(CG1335="Aussen","Aussenlager",IF(CG1335="-","Nicht im Lift",IF(AZ1335&gt;=1,"Lift",IF(AZ1335&lt;=0,"Aussenlager","teilweise")))))</f>
        <v>Lift</v>
      </c>
      <c r="BM1335" s="60" t="str">
        <f aca="false">IF(BD1335&lt;=0,"",IF(CG1335="Aussen","Aussenlager",IF(CG1335="-","Nicht im Lift",IF(BJ1335&gt;=1,"Lift",IF(BJ1335&lt;=0,"Aussenlager","teilweise")))))</f>
        <v>Lift</v>
      </c>
      <c r="BN1335" s="60" t="str">
        <f aca="false">IF(A1335="","",IF(BW1335=1,"Neu; ","")&amp;IF(AND(BW1335=0,BR1335&lt;0),"negativer Bestand (Export "&amp;BR1335&amp;"); ","")&amp;IF(J1335&lt;=0,"Kein Verbrauch; ","")&amp;IF(CR1335&gt;0,"Lift "&amp;W1335&amp;" lt. Liftbericht (Fach "&amp;X1335&amp;" Stk); ",IF(CB1335=1,"Gebinde geschätzt ("&amp;T1335&amp;"); ",IF(CA1335=1,"Lose – Tablare geschätzt; ","")))&amp;IF(H1335&gt;AW1335,"Überbestand "&amp;ROUND(H1335-AW1335,0)&amp;" Stk / CHF "&amp;ROUND((H1335-AW1335)*G1335,0)&amp;"; ","")&amp;IF(AND(CI1335=1,CJ1335&lt;CK1335),"MAX &lt; MB+LG; ","")&amp;IF(AND(CQ1335&gt;0,CP1335*10&gt;CQ1335),"zu hoch für Tablar; ","")&amp;IF(AND(BW1335=0,OR(CI1335=1,AB1335&lt;&gt;"",U1335&lt;&gt;"",V1335&lt;&gt;"",AC1335&lt;&gt;"")),"manuell übersteuert; ","")&amp;IF(AND(CA1335=0,R1335=0),"Gebinde unbekannt / Stellmass fehlt; ","")&amp;IF(AND(CA1335=0,N(V1335)&lt;=0,N(Q1335)&lt;=0),"Menge pro Gebinde fehlt (Ist = 1 Gebinde); ","")&amp;BV1335)</f>
        <v>negativer Bestand (Export -35); Überbestand 33 Stk / CHF 1541; </v>
      </c>
      <c r="BO1335" s="60"/>
      <c r="BP1335" s="60"/>
      <c r="BQ1335" s="67"/>
      <c r="BR1335" s="62" t="n">
        <v>-35</v>
      </c>
      <c r="BS1335" s="62" t="n">
        <v>94</v>
      </c>
      <c r="BT1335" s="61" t="n">
        <v>-1634.15</v>
      </c>
      <c r="BU1335" s="62" t="n">
        <v>27</v>
      </c>
      <c r="BV1335" s="60"/>
      <c r="BW1335" s="65" t="n">
        <v>0</v>
      </c>
      <c r="BX1335" s="65" t="n">
        <v>1335</v>
      </c>
      <c r="BY1335" s="60" t="str">
        <f aca="false">IF(U1335&lt;&gt;"",UPPER(TRIM(U1335)),IF(CB1335=1,UPPER(VLOOKUP(T1335,Parameter!$I$27:$K$29,2,0)),IF(P1335="","LOSE",P1335)))</f>
        <v>S63</v>
      </c>
      <c r="BZ1335" s="62" t="n">
        <f aca="false">IF(BY1335="LOSE",1,IF(N(V1335)&gt;0,V1335,IF(CB1335=1,MAX(1,N(VLOOKUP(T1335,Parameter!$I$27:$K$29,3,0)),H1335,N(N1335)),IF(N(Q1335)&gt;0,Q1335,MAX(1,H1335)))))</f>
        <v>58</v>
      </c>
      <c r="CA1335" s="65" t="n">
        <f aca="false">IF(BY1335="LOSE",1,0)</f>
        <v>0</v>
      </c>
      <c r="CB1335" s="65" t="n">
        <f aca="false">IF(AND(U1335="",OR(P1335="",P1335="LOSE"),T1335&lt;&gt;"",N(S1335)&lt;=0,ISNUMBER(MATCH(T1335,Parameter!$I$27:$I$29,0))),1,0)</f>
        <v>0</v>
      </c>
      <c r="CC1335" s="65" t="n">
        <f aca="false">IF(CR1335&gt;0,INDEX(Parameter!$H$5:$H$7,W1335)/INDEX(Parameter!$E$5:$E$7,W1335),IF(AND(CA1335=0,N(IFERROR(VLOOKUP(BY1335,'Gebinde-Kategorie'!$A$5:$N$45,14,0),0))&gt;0),VLOOKUP(BY1335,'Gebinde-Kategorie'!$A$5:$N$45,14,0)*10+Parameter!$M$23,Parameter!$M$24))</f>
        <v>345</v>
      </c>
      <c r="CD1335" s="60" t="str">
        <f aca="false">IF(AND(Parameter!$B$19="Ja",E1335&lt;&gt;"",ISNUMBER(MATCH(E1335,Parameter!$I$35:$I$52,0))),VLOOKUP(E1335,Parameter!$I$35:$J$52,2,0),IFERROR(VLOOKUP(D1335,Parameter!$A$35:$C$64,2,0),"Nein"))</f>
        <v>2+3</v>
      </c>
      <c r="CE1335" s="64" t="n">
        <f aca="false">IF(CA1335=0,0,IF(N(S1335)&gt;0,S1335,IFERROR(VLOOKUP(D1335,Parameter!$A$35:$C$64,3,0)+0,0)))</f>
        <v>0</v>
      </c>
      <c r="CF1335" s="60" t="n">
        <f aca="false">IF(AB1335&lt;&gt;"",AB1335,AA1335)</f>
        <v>3</v>
      </c>
      <c r="CG1335" s="60" t="str">
        <f aca="false">IF(OR(CF1335=1,CF1335=2,CF1335=3),IF(Parameter!$E$27="Ja","LIFT",IF(CF1335=1,"L1","L23")),IF(CF1335="Aussen","Aussen","-"))</f>
        <v>LIFT</v>
      </c>
      <c r="CH1335" s="71" t="n">
        <f aca="false">IF(N(AC1335)&gt;0,AC1335,0)</f>
        <v>0</v>
      </c>
      <c r="CI1335" s="65" t="n">
        <f aca="false">IF(ISNUMBER(AF1335),1,0)</f>
        <v>0</v>
      </c>
      <c r="CJ1335" s="62" t="n">
        <f aca="false">N(AF1335)</f>
        <v>0</v>
      </c>
      <c r="CK1335" s="62" t="n">
        <f aca="false">N(M1335)+N(N1335)</f>
        <v>26</v>
      </c>
      <c r="CL1335" s="62" t="n">
        <f aca="false">N(M1335)</f>
        <v>1</v>
      </c>
      <c r="CM1335" s="62" t="n">
        <f aca="false">N(N1335)</f>
        <v>25</v>
      </c>
      <c r="CN1335" s="62" t="n">
        <f aca="false">ROUNDUP(H1335/BZ1335,0)</f>
        <v>2</v>
      </c>
      <c r="CO1335" s="62" t="n">
        <f aca="false">ROUNDUP(CJ1335/BZ1335,0)</f>
        <v>0</v>
      </c>
      <c r="CP1335" s="65" t="n">
        <f aca="false">IF(CA1335=1,0,IFERROR(VLOOKUP(BY1335,'Gebinde-Kategorie'!$A$5:$N$45,5,0)+0,0))</f>
        <v>31</v>
      </c>
      <c r="CQ1335" s="65" t="n">
        <f aca="false">IFERROR(IF(OR(CF1335=1,CF1335=2,CF1335=3),N(INDEX(Parameter!$I$5:$I$7,CF1335)),0),0)</f>
        <v>0</v>
      </c>
      <c r="CR1335" s="64" t="n">
        <f aca="false">IF(AND(Parameter!$B$21="Ja",ISNUMBER(W1335),N(X1335)&gt;0),IFERROR(N(INDEX(Parameter!$L$5:$L$7,W1335))*INDEX(Parameter!$E$5:$E$7,W1335)*X1335/SUMIFS($X$7:$X$1843,$W$7:$W$1843,W1335),0),0)</f>
        <v>0</v>
      </c>
      <c r="CS1335" s="62" t="n">
        <f aca="false">IF(AND(OR(CG1335="L1",CG1335="L23",CG1335="LIFT"),H1335&gt;0),CC1335*IF(CR1335&gt;0,CR1335*MAX(1,H1335/X1335),IF(CA1335=1,CE1335,IF(R1335&gt;0,CN1335/R1335,0))/MAX(0.1,N(Parameter!$M$21))),"")</f>
        <v>57.5</v>
      </c>
      <c r="CT1335" s="64" t="n">
        <f aca="false">IF(CS1335="","",J1335/H1335)</f>
        <v>0.457627118644068</v>
      </c>
      <c r="CU1335" s="62" t="n">
        <f aca="false">IF(CS1335="","",H1335*G1335)</f>
        <v>2754.71</v>
      </c>
      <c r="CV1335" s="63" t="n">
        <f aca="false">IF(CS1335="","",(CL1335+ROUNDUP(CL1335+MAX(CM1335,2*(J1335/MAX(0.1,N(Einkauf!$C$6))-CL1335)),0))/2)</f>
        <v>13.5</v>
      </c>
      <c r="CW1335" s="62" t="n">
        <f aca="false">IF(CS1335="","",MAX(0,H1335-CV1335)*G1335)</f>
        <v>2124.395</v>
      </c>
      <c r="CX1335" s="62" t="n">
        <f aca="false">IF(CS1335="","",CS1335*MAX(0,1-CV1335/H1335))</f>
        <v>44.343220338983</v>
      </c>
      <c r="CY1335" s="64" t="n">
        <f aca="false">IF(CS1335="","",PERCENTRANK($CS$7:$CS$1843,CS1335)+PERCENTRANK($CU$7:$CU$1843,CU1335)+1-PERCENTRANK($CT$7:$CT$1843,CT1335))</f>
        <v>2.181</v>
      </c>
      <c r="CZ1335" s="72" t="n">
        <f aca="false">IF(CS1335="","",CHOOSE(MATCH(Einkauf!$C$5,Parameter!$G$23:$G$27,0),CY1335,CS1335,CU1335,-CT1335,CW1335)+ROW()/1000000000)</f>
        <v>2.181001335</v>
      </c>
    </row>
    <row r="1336" customFormat="false" ht="15" hidden="false" customHeight="false" outlineLevel="0" collapsed="false">
      <c r="A1336" s="60" t="s">
        <v>2409</v>
      </c>
      <c r="B1336" s="60" t="s">
        <v>522</v>
      </c>
      <c r="C1336" s="60" t="s">
        <v>498</v>
      </c>
      <c r="D1336" s="60" t="s">
        <v>215</v>
      </c>
      <c r="E1336" s="60" t="s">
        <v>227</v>
      </c>
      <c r="F1336" s="60" t="s">
        <v>260</v>
      </c>
      <c r="G1336" s="61" t="n">
        <v>103.25</v>
      </c>
      <c r="H1336" s="62" t="n">
        <f aca="false">MAX(0,IF(AND(Parameter!$B$21="Ja",ISNUMBER(Y1336)),Y1336,IF(Parameter!$B$20="Jahresanfang 2025 + Export",BS1336+BR1336,BR1336)))</f>
        <v>0</v>
      </c>
      <c r="I1336" s="62" t="n">
        <f aca="false">H1336*G1336</f>
        <v>0</v>
      </c>
      <c r="J1336" s="62" t="n">
        <f aca="false">BU1336*Parameter!$B$18</f>
        <v>0</v>
      </c>
      <c r="K1336" s="63" t="n">
        <v>16</v>
      </c>
      <c r="L1336" s="64" t="n">
        <v>0</v>
      </c>
      <c r="M1336" s="62" t="n">
        <v>0</v>
      </c>
      <c r="N1336" s="62" t="n">
        <v>1</v>
      </c>
      <c r="O1336" s="65" t="n">
        <v>56</v>
      </c>
      <c r="P1336" s="60" t="s">
        <v>210</v>
      </c>
      <c r="Q1336" s="62"/>
      <c r="R1336" s="65" t="n">
        <f aca="false">IF(CA1336=1,0,IFERROR(VLOOKUP(BY1336,'Gebinde-Kategorie'!$A$5:$N$45,13,0)+0,0))</f>
        <v>12</v>
      </c>
      <c r="S1336" s="66"/>
      <c r="T1336" s="67" t="s">
        <v>221</v>
      </c>
      <c r="U1336" s="67"/>
      <c r="V1336" s="67"/>
      <c r="W1336" s="60"/>
      <c r="X1336" s="62"/>
      <c r="Y1336" s="62"/>
      <c r="Z1336" s="60" t="n">
        <v>3</v>
      </c>
      <c r="AA1336" s="60" t="n">
        <f aca="false">IF(A1336="","",IF(AND(Parameter!$B$21="Ja",ISNUMBER(W1336)),W1336,IF(AND(Parameter!$E$27="Ja",ISNUMBER(Z1336),CD1336&lt;&gt;"Nein"),Z1336,IF(CD1336="2+3",IF(ISNUMBER(SEARCH("grosser Artikel",BV1336)),2,IFERROR(VLOOKUP(BY1336,Parameter!$F$35:$G$64,2,0),2)),IF(OR(CD1336="Nein",CD1336=""),"-",CD1336)))))</f>
        <v>3</v>
      </c>
      <c r="AB1336" s="67"/>
      <c r="AC1336" s="68"/>
      <c r="AD1336" s="62" t="n">
        <f aca="false">AW1336</f>
        <v>1</v>
      </c>
      <c r="AE1336" s="62" t="n">
        <f aca="false">MAX(AW1336,H1336)</f>
        <v>1</v>
      </c>
      <c r="AF1336" s="69"/>
      <c r="AG1336" s="62" t="n">
        <f aca="false">IF(LEFT(Cockpit!$C$5,1)="A",H1336,IF(Parameter!$E$30="MAX-Bestand",IF(CI1336=1,CJ1336,IF(LEFT(Cockpit!$C$5,1)="B",AM1336,MAX(AM1336,H1336))),ROUNDUP(AK1336,0)))</f>
        <v>0</v>
      </c>
      <c r="AH1336" s="62" t="n">
        <f aca="false">IF(CA1336=1,0,ROUNDUP(AG1336/BZ1336,0))</f>
        <v>0</v>
      </c>
      <c r="AI1336" s="64" t="n">
        <f aca="false">IF(CR1336&gt;0,CR1336*MAX(1,AG1336/X1336),IF(CA1336=1,IF(AG1336&lt;=0,0,CE1336*MAX(1,IF(H1336&gt;0,AG1336/H1336,1))),IF(R1336&gt;0,AH1336/R1336,0))/MAX(0.1,N(Parameter!$M$21)))</f>
        <v>0</v>
      </c>
      <c r="AJ1336" s="62" t="n">
        <f aca="false">AI1336*CC1336</f>
        <v>0</v>
      </c>
      <c r="AK1336" s="63" t="n">
        <f aca="false">IF(LEFT(Cockpit!$C$5,1)="A",H1336,IF(CI1336=1,(CL1336+CJ1336)/2,IF(LEFT(Cockpit!$C$5,1)="B",(CL1336+AM1336)/2,MAX((CL1336+AM1336)/2,H1336))))</f>
        <v>0</v>
      </c>
      <c r="AL1336" s="62" t="n">
        <f aca="false">AK1336*G1336</f>
        <v>0</v>
      </c>
      <c r="AM1336" s="62" t="n">
        <f aca="false">ROUNDUP(CL1336+MAX(CM1336,2*(J1336/IF(CH1336&gt;0,CH1336,MAX(0.1,N(Cockpit!$C$6)))-CL1336)),0)</f>
        <v>1</v>
      </c>
      <c r="AN1336" s="63" t="n">
        <f aca="false">IF(AJ1336&gt;0,J1336/AJ1336,-1)</f>
        <v>-1</v>
      </c>
      <c r="AO1336" s="63" t="str">
        <f aca="false">IF(AND(OR(CG1336="L1",CG1336="L23",CG1336="LIFT"),AJ1336&gt;0),SUMIFS($AJ$7:$AJ$1843,$CG$7:$CG$1843,CG1336,$AN$7:$AN$1843,"&gt;"&amp;AN1336)+SUMIFS($AJ$7:$AJ$1843,$CG$7:$CG$1843,CG1336,$AN$7:$AN$1843,AN1336,$BX$7:$BX$1843,"&lt;="&amp;BX1336),"")</f>
        <v/>
      </c>
      <c r="AP1336" s="70" t="n">
        <f aca="false">IF(AO1336="",0,MAX(0,MIN(1,(IF(CG1336="L1",Parameter!$H$5,IF(CG1336="L23",Parameter!$H$6+Parameter!$H$7,Parameter!$H$5+Parameter!$H$6+Parameter!$H$7))-(AO1336-AJ1336))/AJ1336)))</f>
        <v>0</v>
      </c>
      <c r="AQ1336" s="62" t="n">
        <f aca="false">IF(LEFT(Cockpit!$I$5,1)="A",H1336,IF(Parameter!$E$30="MAX-Bestand",IF(CI1336=1,CJ1336,IF(LEFT(Cockpit!$I$5,1)="B",AW1336,MAX(AW1336,H1336))),ROUNDUP(AU1336,0)))</f>
        <v>1</v>
      </c>
      <c r="AR1336" s="62" t="n">
        <f aca="false">IF(CA1336=1,0,ROUNDUP(AQ1336/BZ1336,0))</f>
        <v>1</v>
      </c>
      <c r="AS1336" s="64" t="n">
        <f aca="false">IF(CR1336&gt;0,CR1336*MAX(1,AQ1336/X1336),IF(CA1336=1,IF(AQ1336&lt;=0,0,CE1336*MAX(1,IF(H1336&gt;0,AQ1336/H1336,1))),IF(R1336&gt;0,AR1336/R1336,0))/MAX(0.1,N(Parameter!$M$21)))</f>
        <v>0.0833333333333333</v>
      </c>
      <c r="AT1336" s="62" t="n">
        <f aca="false">AS1336*CC1336</f>
        <v>12.0833333333333</v>
      </c>
      <c r="AU1336" s="63" t="n">
        <f aca="false">IF(LEFT(Cockpit!$I$5,1)="A",H1336,IF(CI1336=1,(CL1336+CJ1336)/2,IF(LEFT(Cockpit!$I$5,1)="B",(CL1336+AW1336)/2,MAX((CL1336+AW1336)/2,H1336))))</f>
        <v>0.5</v>
      </c>
      <c r="AV1336" s="62" t="n">
        <f aca="false">AU1336*G1336</f>
        <v>51.625</v>
      </c>
      <c r="AW1336" s="62" t="n">
        <f aca="false">ROUNDUP(CL1336+MAX(CM1336,2*(J1336/IF(CH1336&gt;0,CH1336,MAX(0.1,N(Cockpit!$I$6)))-CL1336)),0)</f>
        <v>1</v>
      </c>
      <c r="AX1336" s="63" t="n">
        <f aca="false">IF(AT1336&gt;0,J1336/AT1336,-1)</f>
        <v>0</v>
      </c>
      <c r="AY1336" s="63" t="n">
        <f aca="false">IF(AND(OR(CG1336="L1",CG1336="L23",CG1336="LIFT"),AT1336&gt;0),SUMIFS($AT$7:$AT$1843,$CG$7:$CG$1843,CG1336,$AX$7:$AX$1843,"&gt;"&amp;AX1336)+SUMIFS($AT$7:$AT$1843,$CG$7:$CG$1843,CG1336,$AX$7:$AX$1843,AX1336,$BX$7:$BX$1843,"&lt;="&amp;BX1336),"")</f>
        <v>35711.5004578755</v>
      </c>
      <c r="AZ1336" s="70" t="n">
        <f aca="false">IF(AY1336="",0,MAX(0,MIN(1,(IF(CG1336="L1",Parameter!$H$5,IF(CG1336="L23",Parameter!$H$6+Parameter!$H$7,Parameter!$H$5+Parameter!$H$6+Parameter!$H$7))-(AY1336-AT1336))/AT1336)))</f>
        <v>0.0482379689276748</v>
      </c>
      <c r="BA1336" s="62" t="n">
        <f aca="false">IF(LEFT(Cockpit!$O$5,1)="A",H1336,IF(Parameter!$E$30="MAX-Bestand",IF(CI1336=1,CJ1336,IF(LEFT(Cockpit!$O$5,1)="B",BG1336,MAX(BG1336,H1336))),ROUNDUP(BE1336,0)))</f>
        <v>1</v>
      </c>
      <c r="BB1336" s="62" t="n">
        <f aca="false">IF(CA1336=1,0,ROUNDUP(BA1336/BZ1336,0))</f>
        <v>1</v>
      </c>
      <c r="BC1336" s="64" t="n">
        <f aca="false">IF(CR1336&gt;0,CR1336*MAX(1,BA1336/X1336),IF(CA1336=1,IF(BA1336&lt;=0,0,CE1336*MAX(1,IF(H1336&gt;0,BA1336/H1336,1))),IF(R1336&gt;0,BB1336/R1336,0))/MAX(0.1,N(Parameter!$M$21)))</f>
        <v>0.0833333333333333</v>
      </c>
      <c r="BD1336" s="62" t="n">
        <f aca="false">BC1336*CC1336</f>
        <v>12.0833333333333</v>
      </c>
      <c r="BE1336" s="63" t="n">
        <f aca="false">IF(LEFT(Cockpit!$O$5,1)="A",H1336,IF(CI1336=1,(CL1336+CJ1336)/2,IF(LEFT(Cockpit!$O$5,1)="B",(CL1336+BG1336)/2,MAX((CL1336+BG1336)/2,H1336))))</f>
        <v>0.5</v>
      </c>
      <c r="BF1336" s="62" t="n">
        <f aca="false">BE1336*G1336</f>
        <v>51.625</v>
      </c>
      <c r="BG1336" s="62" t="n">
        <f aca="false">ROUNDUP(CL1336+MAX(CM1336,2*(J1336/IF(CH1336&gt;0,CH1336,MAX(0.1,N(Cockpit!$O$6)))-CL1336)),0)</f>
        <v>1</v>
      </c>
      <c r="BH1336" s="63" t="n">
        <f aca="false">IF(BD1336&gt;0,J1336/BD1336,-1)</f>
        <v>0</v>
      </c>
      <c r="BI1336" s="63" t="n">
        <f aca="false">IF(AND(OR(CG1336="L1",CG1336="L23",CG1336="LIFT"),BD1336&gt;0),SUMIFS($BD$7:$BD$1843,$CG$7:$CG$1843,CG1336,$BH$7:$BH$1843,"&gt;"&amp;BH1336)+SUMIFS($BD$7:$BD$1843,$CG$7:$CG$1843,CG1336,$BH$7:$BH$1843,BH1336,$BX$7:$BX$1843,"&lt;="&amp;BX1336),"")</f>
        <v>29696.8071180232</v>
      </c>
      <c r="BJ1336" s="70" t="n">
        <f aca="false">IF(BI1336="",0,MAX(0,MIN(1,(IF(CG1336="L1",Parameter!$H$5,IF(CG1336="L23",Parameter!$H$6+Parameter!$H$7,Parameter!$H$5+Parameter!$H$6+Parameter!$H$7))-(BI1336-BD1336))/BD1336)))</f>
        <v>1</v>
      </c>
      <c r="BK1336" s="60" t="str">
        <f aca="false">IF(AJ1336&lt;=0,"",IF(CG1336="Aussen","Aussenlager",IF(CG1336="-","Nicht im Lift",IF(AP1336&gt;=1,"Lift",IF(AP1336&lt;=0,"Aussenlager","teilweise")))))</f>
        <v/>
      </c>
      <c r="BL1336" s="60" t="str">
        <f aca="false">IF(AT1336&lt;=0,"",IF(CG1336="Aussen","Aussenlager",IF(CG1336="-","Nicht im Lift",IF(AZ1336&gt;=1,"Lift",IF(AZ1336&lt;=0,"Aussenlager","teilweise")))))</f>
        <v>teilweise</v>
      </c>
      <c r="BM1336" s="60" t="str">
        <f aca="false">IF(BD1336&lt;=0,"",IF(CG1336="Aussen","Aussenlager",IF(CG1336="-","Nicht im Lift",IF(BJ1336&gt;=1,"Lift",IF(BJ1336&lt;=0,"Aussenlager","teilweise")))))</f>
        <v>Lift</v>
      </c>
      <c r="BN1336" s="60" t="str">
        <f aca="false">IF(A1336="","",IF(BW1336=1,"Neu; ","")&amp;IF(AND(BW1336=0,BR1336&lt;0),"negativer Bestand (Export "&amp;BR1336&amp;"); ","")&amp;IF(J1336&lt;=0,"Kein Verbrauch; ","")&amp;IF(CR1336&gt;0,"Lift "&amp;W1336&amp;" lt. Liftbericht (Fach "&amp;X1336&amp;" Stk); ",IF(CB1336=1,"Gebinde geschätzt ("&amp;T1336&amp;"); ",IF(CA1336=1,"Lose – Tablare geschätzt; ","")))&amp;IF(H1336&gt;AW1336,"Überbestand "&amp;ROUND(H1336-AW1336,0)&amp;" Stk / CHF "&amp;ROUND((H1336-AW1336)*G1336,0)&amp;"; ","")&amp;IF(AND(CI1336=1,CJ1336&lt;CK1336),"MAX &lt; MB+LG; ","")&amp;IF(AND(CQ1336&gt;0,CP1336*10&gt;CQ1336),"zu hoch für Tablar; ","")&amp;IF(AND(BW1336=0,OR(CI1336=1,AB1336&lt;&gt;"",U1336&lt;&gt;"",V1336&lt;&gt;"",AC1336&lt;&gt;"")),"manuell übersteuert; ","")&amp;IF(AND(CA1336=0,R1336=0),"Gebinde unbekannt / Stellmass fehlt; ","")&amp;IF(AND(CA1336=0,N(V1336)&lt;=0,N(Q1336)&lt;=0),"Menge pro Gebinde fehlt (Ist = 1 Gebinde); ","")&amp;BV1336)</f>
        <v>negativer Bestand (Export -16); Kein Verbrauch; Gebinde geschätzt (Mittel); Menge pro Gebinde fehlt (Ist = 1 Gebinde); grosser Artikel &amp; nicht im KTL</v>
      </c>
      <c r="BO1336" s="60"/>
      <c r="BP1336" s="60"/>
      <c r="BQ1336" s="67"/>
      <c r="BR1336" s="62" t="n">
        <v>-16</v>
      </c>
      <c r="BS1336" s="62" t="n">
        <v>16</v>
      </c>
      <c r="BT1336" s="61" t="n">
        <v>-1652</v>
      </c>
      <c r="BU1336" s="62" t="n">
        <v>0</v>
      </c>
      <c r="BV1336" s="60" t="s">
        <v>303</v>
      </c>
      <c r="BW1336" s="65" t="n">
        <v>0</v>
      </c>
      <c r="BX1336" s="65" t="n">
        <v>1336</v>
      </c>
      <c r="BY1336" s="60" t="str">
        <f aca="false">IF(U1336&lt;&gt;"",UPPER(TRIM(U1336)),IF(CB1336=1,UPPER(VLOOKUP(T1336,Parameter!$I$27:$K$29,2,0)),IF(P1336="","LOSE",P1336)))</f>
        <v>S61</v>
      </c>
      <c r="BZ1336" s="62" t="n">
        <f aca="false">IF(BY1336="LOSE",1,IF(N(V1336)&gt;0,V1336,IF(CB1336=1,MAX(1,N(VLOOKUP(T1336,Parameter!$I$27:$K$29,3,0)),H1336,N(N1336)),IF(N(Q1336)&gt;0,Q1336,MAX(1,H1336)))))</f>
        <v>4</v>
      </c>
      <c r="CA1336" s="65" t="n">
        <f aca="false">IF(BY1336="LOSE",1,0)</f>
        <v>0</v>
      </c>
      <c r="CB1336" s="65" t="n">
        <f aca="false">IF(AND(U1336="",OR(P1336="",P1336="LOSE"),T1336&lt;&gt;"",N(S1336)&lt;=0,ISNUMBER(MATCH(T1336,Parameter!$I$27:$I$29,0))),1,0)</f>
        <v>1</v>
      </c>
      <c r="CC1336" s="65" t="n">
        <f aca="false">IF(CR1336&gt;0,INDEX(Parameter!$H$5:$H$7,W1336)/INDEX(Parameter!$E$5:$E$7,W1336),IF(AND(CA1336=0,N(IFERROR(VLOOKUP(BY1336,'Gebinde-Kategorie'!$A$5:$N$45,14,0),0))&gt;0),VLOOKUP(BY1336,'Gebinde-Kategorie'!$A$5:$N$45,14,0)*10+Parameter!$M$23,Parameter!$M$24))</f>
        <v>145</v>
      </c>
      <c r="CD1336" s="60" t="str">
        <f aca="false">IF(AND(Parameter!$B$19="Ja",E1336&lt;&gt;"",ISNUMBER(MATCH(E1336,Parameter!$I$35:$I$52,0))),VLOOKUP(E1336,Parameter!$I$35:$J$52,2,0),IFERROR(VLOOKUP(D1336,Parameter!$A$35:$C$64,2,0),"Nein"))</f>
        <v>2+3</v>
      </c>
      <c r="CE1336" s="64" t="n">
        <f aca="false">IF(CA1336=0,0,IF(N(S1336)&gt;0,S1336,IFERROR(VLOOKUP(D1336,Parameter!$A$35:$C$64,3,0)+0,0)))</f>
        <v>0</v>
      </c>
      <c r="CF1336" s="60" t="n">
        <f aca="false">IF(AB1336&lt;&gt;"",AB1336,AA1336)</f>
        <v>3</v>
      </c>
      <c r="CG1336" s="60" t="str">
        <f aca="false">IF(OR(CF1336=1,CF1336=2,CF1336=3),IF(Parameter!$E$27="Ja","LIFT",IF(CF1336=1,"L1","L23")),IF(CF1336="Aussen","Aussen","-"))</f>
        <v>LIFT</v>
      </c>
      <c r="CH1336" s="71" t="n">
        <f aca="false">IF(N(AC1336)&gt;0,AC1336,0)</f>
        <v>0</v>
      </c>
      <c r="CI1336" s="65" t="n">
        <f aca="false">IF(ISNUMBER(AF1336),1,0)</f>
        <v>0</v>
      </c>
      <c r="CJ1336" s="62" t="n">
        <f aca="false">N(AF1336)</f>
        <v>0</v>
      </c>
      <c r="CK1336" s="62" t="n">
        <f aca="false">N(M1336)+N(N1336)</f>
        <v>1</v>
      </c>
      <c r="CL1336" s="62" t="n">
        <f aca="false">N(M1336)</f>
        <v>0</v>
      </c>
      <c r="CM1336" s="62" t="n">
        <f aca="false">N(N1336)</f>
        <v>1</v>
      </c>
      <c r="CN1336" s="62" t="n">
        <f aca="false">ROUNDUP(H1336/BZ1336,0)</f>
        <v>0</v>
      </c>
      <c r="CO1336" s="62" t="n">
        <f aca="false">ROUNDUP(CJ1336/BZ1336,0)</f>
        <v>0</v>
      </c>
      <c r="CP1336" s="65" t="n">
        <f aca="false">IF(CA1336=1,0,IFERROR(VLOOKUP(BY1336,'Gebinde-Kategorie'!$A$5:$N$45,5,0)+0,0))</f>
        <v>11</v>
      </c>
      <c r="CQ1336" s="65" t="n">
        <f aca="false">IFERROR(IF(OR(CF1336=1,CF1336=2,CF1336=3),N(INDEX(Parameter!$I$5:$I$7,CF1336)),0),0)</f>
        <v>0</v>
      </c>
      <c r="CR1336" s="64" t="n">
        <f aca="false">IF(AND(Parameter!$B$21="Ja",ISNUMBER(W1336),N(X1336)&gt;0),IFERROR(N(INDEX(Parameter!$L$5:$L$7,W1336))*INDEX(Parameter!$E$5:$E$7,W1336)*X1336/SUMIFS($X$7:$X$1843,$W$7:$W$1843,W1336),0),0)</f>
        <v>0</v>
      </c>
      <c r="CS1336" s="62" t="str">
        <f aca="false">IF(AND(OR(CG1336="L1",CG1336="L23",CG1336="LIFT"),H1336&gt;0),CC1336*IF(CR1336&gt;0,CR1336*MAX(1,H1336/X1336),IF(CA1336=1,CE1336,IF(R1336&gt;0,CN1336/R1336,0))/MAX(0.1,N(Parameter!$M$21))),"")</f>
        <v/>
      </c>
      <c r="CT1336" s="64" t="str">
        <f aca="false">IF(CS1336="","",J1336/H1336)</f>
        <v/>
      </c>
      <c r="CU1336" s="62" t="str">
        <f aca="false">IF(CS1336="","",H1336*G1336)</f>
        <v/>
      </c>
      <c r="CV1336" s="63" t="str">
        <f aca="false">IF(CS1336="","",(CL1336+ROUNDUP(CL1336+MAX(CM1336,2*(J1336/MAX(0.1,N(Einkauf!$C$6))-CL1336)),0))/2)</f>
        <v/>
      </c>
      <c r="CW1336" s="62" t="str">
        <f aca="false">IF(CS1336="","",MAX(0,H1336-CV1336)*G1336)</f>
        <v/>
      </c>
      <c r="CX1336" s="62" t="str">
        <f aca="false">IF(CS1336="","",CS1336*MAX(0,1-CV1336/H1336))</f>
        <v/>
      </c>
      <c r="CY1336" s="64" t="str">
        <f aca="false">IF(CS1336="","",PERCENTRANK($CS$7:$CS$1843,CS1336)+PERCENTRANK($CU$7:$CU$1843,CU1336)+1-PERCENTRANK($CT$7:$CT$1843,CT1336))</f>
        <v/>
      </c>
      <c r="CZ1336" s="72" t="str">
        <f aca="false">IF(CS1336="","",CHOOSE(MATCH(Einkauf!$C$5,Parameter!$G$23:$G$27,0),CY1336,CS1336,CU1336,-CT1336,CW1336)+ROW()/1000000000)</f>
        <v/>
      </c>
    </row>
    <row r="1337" customFormat="false" ht="15" hidden="false" customHeight="false" outlineLevel="0" collapsed="false">
      <c r="A1337" s="60" t="s">
        <v>2410</v>
      </c>
      <c r="B1337" s="60" t="s">
        <v>640</v>
      </c>
      <c r="C1337" s="60" t="s">
        <v>206</v>
      </c>
      <c r="D1337" s="60" t="s">
        <v>226</v>
      </c>
      <c r="E1337" s="60" t="s">
        <v>227</v>
      </c>
      <c r="F1337" s="60" t="s">
        <v>260</v>
      </c>
      <c r="G1337" s="61" t="n">
        <v>15.91</v>
      </c>
      <c r="H1337" s="62" t="n">
        <f aca="false">MAX(0,IF(AND(Parameter!$B$21="Ja",ISNUMBER(Y1337)),Y1337,IF(Parameter!$B$20="Jahresanfang 2025 + Export",BS1337+BR1337,BR1337)))</f>
        <v>31</v>
      </c>
      <c r="I1337" s="62" t="n">
        <f aca="false">H1337*G1337</f>
        <v>493.21</v>
      </c>
      <c r="J1337" s="62" t="n">
        <f aca="false">BU1337*Parameter!$B$18</f>
        <v>69</v>
      </c>
      <c r="K1337" s="63" t="n">
        <v>101.5</v>
      </c>
      <c r="L1337" s="64" t="n">
        <v>0.679802955665025</v>
      </c>
      <c r="M1337" s="62" t="n">
        <v>2</v>
      </c>
      <c r="N1337" s="62" t="n">
        <v>70</v>
      </c>
      <c r="O1337" s="65" t="n">
        <v>14</v>
      </c>
      <c r="P1337" s="60" t="s">
        <v>518</v>
      </c>
      <c r="Q1337" s="62" t="n">
        <v>86</v>
      </c>
      <c r="R1337" s="65" t="n">
        <f aca="false">IF(CA1337=1,0,IFERROR(VLOOKUP(BY1337,'Gebinde-Kategorie'!$A$5:$N$45,13,0)+0,0))</f>
        <v>52</v>
      </c>
      <c r="S1337" s="66"/>
      <c r="T1337" s="67"/>
      <c r="U1337" s="67"/>
      <c r="V1337" s="67"/>
      <c r="W1337" s="60"/>
      <c r="X1337" s="62"/>
      <c r="Y1337" s="62"/>
      <c r="Z1337" s="60" t="n">
        <v>3</v>
      </c>
      <c r="AA1337" s="60" t="n">
        <f aca="false">IF(A1337="","",IF(AND(Parameter!$B$21="Ja",ISNUMBER(W1337)),W1337,IF(AND(Parameter!$E$27="Ja",ISNUMBER(Z1337),CD1337&lt;&gt;"Nein"),Z1337,IF(CD1337="2+3",IF(ISNUMBER(SEARCH("grosser Artikel",BV1337)),2,IFERROR(VLOOKUP(BY1337,Parameter!$F$35:$G$64,2,0),2)),IF(OR(CD1337="Nein",CD1337=""),"-",CD1337)))))</f>
        <v>3</v>
      </c>
      <c r="AB1337" s="67"/>
      <c r="AC1337" s="68"/>
      <c r="AD1337" s="62" t="n">
        <f aca="false">AW1337</f>
        <v>72</v>
      </c>
      <c r="AE1337" s="62" t="n">
        <f aca="false">MAX(AW1337,H1337)</f>
        <v>72</v>
      </c>
      <c r="AF1337" s="69"/>
      <c r="AG1337" s="62" t="n">
        <f aca="false">IF(LEFT(Cockpit!$C$5,1)="A",H1337,IF(Parameter!$E$30="MAX-Bestand",IF(CI1337=1,CJ1337,IF(LEFT(Cockpit!$C$5,1)="B",AM1337,MAX(AM1337,H1337))),ROUNDUP(AK1337,0)))</f>
        <v>31</v>
      </c>
      <c r="AH1337" s="62" t="n">
        <f aca="false">IF(CA1337=1,0,ROUNDUP(AG1337/BZ1337,0))</f>
        <v>1</v>
      </c>
      <c r="AI1337" s="64" t="n">
        <f aca="false">IF(CR1337&gt;0,CR1337*MAX(1,AG1337/X1337),IF(CA1337=1,IF(AG1337&lt;=0,0,CE1337*MAX(1,IF(H1337&gt;0,AG1337/H1337,1))),IF(R1337&gt;0,AH1337/R1337,0))/MAX(0.1,N(Parameter!$M$21)))</f>
        <v>0.0192307692307692</v>
      </c>
      <c r="AJ1337" s="62" t="n">
        <f aca="false">AI1337*CC1337</f>
        <v>2.98076923076923</v>
      </c>
      <c r="AK1337" s="63" t="n">
        <f aca="false">IF(LEFT(Cockpit!$C$5,1)="A",H1337,IF(CI1337=1,(CL1337+CJ1337)/2,IF(LEFT(Cockpit!$C$5,1)="B",(CL1337+AM1337)/2,MAX((CL1337+AM1337)/2,H1337))))</f>
        <v>31</v>
      </c>
      <c r="AL1337" s="62" t="n">
        <f aca="false">AK1337*G1337</f>
        <v>493.21</v>
      </c>
      <c r="AM1337" s="62" t="n">
        <f aca="false">ROUNDUP(CL1337+MAX(CM1337,2*(J1337/IF(CH1337&gt;0,CH1337,MAX(0.1,N(Cockpit!$C$6)))-CL1337)),0)</f>
        <v>72</v>
      </c>
      <c r="AN1337" s="63" t="n">
        <f aca="false">IF(AJ1337&gt;0,J1337/AJ1337,-1)</f>
        <v>23.1483870967742</v>
      </c>
      <c r="AO1337" s="63" t="n">
        <f aca="false">IF(AND(OR(CG1337="L1",CG1337="L23",CG1337="LIFT"),AJ1337&gt;0),SUMIFS($AJ$7:$AJ$1843,$CG$7:$CG$1843,CG1337,$AN$7:$AN$1843,"&gt;"&amp;AN1337)+SUMIFS($AJ$7:$AJ$1843,$CG$7:$CG$1843,CG1337,$AN$7:$AN$1843,AN1337,$BX$7:$BX$1843,"&lt;="&amp;BX1337),"")</f>
        <v>1579.98443223443</v>
      </c>
      <c r="AP1337" s="70" t="n">
        <f aca="false">IF(AO1337="",0,MAX(0,MIN(1,(IF(CG1337="L1",Parameter!$H$5,IF(CG1337="L23",Parameter!$H$6+Parameter!$H$7,Parameter!$H$5+Parameter!$H$6+Parameter!$H$7))-(AO1337-AJ1337))/AJ1337)))</f>
        <v>1</v>
      </c>
      <c r="AQ1337" s="62" t="n">
        <f aca="false">IF(LEFT(Cockpit!$I$5,1)="A",H1337,IF(Parameter!$E$30="MAX-Bestand",IF(CI1337=1,CJ1337,IF(LEFT(Cockpit!$I$5,1)="B",AW1337,MAX(AW1337,H1337))),ROUNDUP(AU1337,0)))</f>
        <v>37</v>
      </c>
      <c r="AR1337" s="62" t="n">
        <f aca="false">IF(CA1337=1,0,ROUNDUP(AQ1337/BZ1337,0))</f>
        <v>1</v>
      </c>
      <c r="AS1337" s="64" t="n">
        <f aca="false">IF(CR1337&gt;0,CR1337*MAX(1,AQ1337/X1337),IF(CA1337=1,IF(AQ1337&lt;=0,0,CE1337*MAX(1,IF(H1337&gt;0,AQ1337/H1337,1))),IF(R1337&gt;0,AR1337/R1337,0))/MAX(0.1,N(Parameter!$M$21)))</f>
        <v>0.0192307692307692</v>
      </c>
      <c r="AT1337" s="62" t="n">
        <f aca="false">AS1337*CC1337</f>
        <v>2.98076923076923</v>
      </c>
      <c r="AU1337" s="63" t="n">
        <f aca="false">IF(LEFT(Cockpit!$I$5,1)="A",H1337,IF(CI1337=1,(CL1337+CJ1337)/2,IF(LEFT(Cockpit!$I$5,1)="B",(CL1337+AW1337)/2,MAX((CL1337+AW1337)/2,H1337))))</f>
        <v>37</v>
      </c>
      <c r="AV1337" s="62" t="n">
        <f aca="false">AU1337*G1337</f>
        <v>588.67</v>
      </c>
      <c r="AW1337" s="62" t="n">
        <f aca="false">ROUNDUP(CL1337+MAX(CM1337,2*(J1337/IF(CH1337&gt;0,CH1337,MAX(0.1,N(Cockpit!$I$6)))-CL1337)),0)</f>
        <v>72</v>
      </c>
      <c r="AX1337" s="63" t="n">
        <f aca="false">IF(AT1337&gt;0,J1337/AT1337,-1)</f>
        <v>23.1483870967742</v>
      </c>
      <c r="AY1337" s="63" t="n">
        <f aca="false">IF(AND(OR(CG1337="L1",CG1337="L23",CG1337="LIFT"),AT1337&gt;0),SUMIFS($AT$7:$AT$1843,$CG$7:$CG$1843,CG1337,$AX$7:$AX$1843,"&gt;"&amp;AX1337)+SUMIFS($AT$7:$AT$1843,$CG$7:$CG$1843,CG1337,$AX$7:$AX$1843,AX1337,$BX$7:$BX$1843,"&lt;="&amp;BX1337),"")</f>
        <v>2208.80402930403</v>
      </c>
      <c r="AZ1337" s="70" t="n">
        <f aca="false">IF(AY1337="",0,MAX(0,MIN(1,(IF(CG1337="L1",Parameter!$H$5,IF(CG1337="L23",Parameter!$H$6+Parameter!$H$7,Parameter!$H$5+Parameter!$H$6+Parameter!$H$7))-(AY1337-AT1337))/AT1337)))</f>
        <v>1</v>
      </c>
      <c r="BA1337" s="62" t="n">
        <f aca="false">IF(LEFT(Cockpit!$O$5,1)="A",H1337,IF(Parameter!$E$30="MAX-Bestand",IF(CI1337=1,CJ1337,IF(LEFT(Cockpit!$O$5,1)="B",BG1337,MAX(BG1337,H1337))),ROUNDUP(BE1337,0)))</f>
        <v>37</v>
      </c>
      <c r="BB1337" s="62" t="n">
        <f aca="false">IF(CA1337=1,0,ROUNDUP(BA1337/BZ1337,0))</f>
        <v>1</v>
      </c>
      <c r="BC1337" s="64" t="n">
        <f aca="false">IF(CR1337&gt;0,CR1337*MAX(1,BA1337/X1337),IF(CA1337=1,IF(BA1337&lt;=0,0,CE1337*MAX(1,IF(H1337&gt;0,BA1337/H1337,1))),IF(R1337&gt;0,BB1337/R1337,0))/MAX(0.1,N(Parameter!$M$21)))</f>
        <v>0.0192307692307692</v>
      </c>
      <c r="BD1337" s="62" t="n">
        <f aca="false">BC1337*CC1337</f>
        <v>2.98076923076923</v>
      </c>
      <c r="BE1337" s="63" t="n">
        <f aca="false">IF(LEFT(Cockpit!$O$5,1)="A",H1337,IF(CI1337=1,(CL1337+CJ1337)/2,IF(LEFT(Cockpit!$O$5,1)="B",(CL1337+BG1337)/2,MAX((CL1337+BG1337)/2,H1337))))</f>
        <v>37</v>
      </c>
      <c r="BF1337" s="62" t="n">
        <f aca="false">BE1337*G1337</f>
        <v>588.67</v>
      </c>
      <c r="BG1337" s="62" t="n">
        <f aca="false">ROUNDUP(CL1337+MAX(CM1337,2*(J1337/IF(CH1337&gt;0,CH1337,MAX(0.1,N(Cockpit!$O$6)))-CL1337)),0)</f>
        <v>72</v>
      </c>
      <c r="BH1337" s="63" t="n">
        <f aca="false">IF(BD1337&gt;0,J1337/BD1337,-1)</f>
        <v>23.1483870967742</v>
      </c>
      <c r="BI1337" s="63" t="n">
        <f aca="false">IF(AND(OR(CG1337="L1",CG1337="L23",CG1337="LIFT"),BD1337&gt;0),SUMIFS($BD$7:$BD$1843,$CG$7:$CG$1843,CG1337,$BH$7:$BH$1843,"&gt;"&amp;BH1337)+SUMIFS($BD$7:$BD$1843,$CG$7:$CG$1843,CG1337,$BH$7:$BH$1843,BH1337,$BX$7:$BX$1843,"&lt;="&amp;BX1337),"")</f>
        <v>2142.60027472527</v>
      </c>
      <c r="BJ1337" s="70" t="n">
        <f aca="false">IF(BI1337="",0,MAX(0,MIN(1,(IF(CG1337="L1",Parameter!$H$5,IF(CG1337="L23",Parameter!$H$6+Parameter!$H$7,Parameter!$H$5+Parameter!$H$6+Parameter!$H$7))-(BI1337-BD1337))/BD1337)))</f>
        <v>1</v>
      </c>
      <c r="BK1337" s="60" t="str">
        <f aca="false">IF(AJ1337&lt;=0,"",IF(CG1337="Aussen","Aussenlager",IF(CG1337="-","Nicht im Lift",IF(AP1337&gt;=1,"Lift",IF(AP1337&lt;=0,"Aussenlager","teilweise")))))</f>
        <v>Lift</v>
      </c>
      <c r="BL1337" s="60" t="str">
        <f aca="false">IF(AT1337&lt;=0,"",IF(CG1337="Aussen","Aussenlager",IF(CG1337="-","Nicht im Lift",IF(AZ1337&gt;=1,"Lift",IF(AZ1337&lt;=0,"Aussenlager","teilweise")))))</f>
        <v>Lift</v>
      </c>
      <c r="BM1337" s="60" t="str">
        <f aca="false">IF(BD1337&lt;=0,"",IF(CG1337="Aussen","Aussenlager",IF(CG1337="-","Nicht im Lift",IF(BJ1337&gt;=1,"Lift",IF(BJ1337&lt;=0,"Aussenlager","teilweise")))))</f>
        <v>Lift</v>
      </c>
      <c r="BN1337" s="60" t="str">
        <f aca="false">IF(A1337="","",IF(BW1337=1,"Neu; ","")&amp;IF(AND(BW1337=0,BR1337&lt;0),"negativer Bestand (Export "&amp;BR1337&amp;"); ","")&amp;IF(J1337&lt;=0,"Kein Verbrauch; ","")&amp;IF(CR1337&gt;0,"Lift "&amp;W1337&amp;" lt. Liftbericht (Fach "&amp;X1337&amp;" Stk); ",IF(CB1337=1,"Gebinde geschätzt ("&amp;T1337&amp;"); ",IF(CA1337=1,"Lose – Tablare geschätzt; ","")))&amp;IF(H1337&gt;AW1337,"Überbestand "&amp;ROUND(H1337-AW1337,0)&amp;" Stk / CHF "&amp;ROUND((H1337-AW1337)*G1337,0)&amp;"; ","")&amp;IF(AND(CI1337=1,CJ1337&lt;CK1337),"MAX &lt; MB+LG; ","")&amp;IF(AND(CQ1337&gt;0,CP1337*10&gt;CQ1337),"zu hoch für Tablar; ","")&amp;IF(AND(BW1337=0,OR(CI1337=1,AB1337&lt;&gt;"",U1337&lt;&gt;"",V1337&lt;&gt;"",AC1337&lt;&gt;"")),"manuell übersteuert; ","")&amp;IF(AND(CA1337=0,R1337=0),"Gebinde unbekannt / Stellmass fehlt; ","")&amp;IF(AND(CA1337=0,N(V1337)&lt;=0,N(Q1337)&lt;=0),"Menge pro Gebinde fehlt (Ist = 1 Gebinde); ","")&amp;BV1337)</f>
        <v>negativer Bestand (Export -104); </v>
      </c>
      <c r="BO1337" s="60"/>
      <c r="BP1337" s="60"/>
      <c r="BQ1337" s="67"/>
      <c r="BR1337" s="62" t="n">
        <v>-104</v>
      </c>
      <c r="BS1337" s="62" t="n">
        <v>135</v>
      </c>
      <c r="BT1337" s="61" t="n">
        <v>-1654.64</v>
      </c>
      <c r="BU1337" s="62" t="n">
        <v>69</v>
      </c>
      <c r="BV1337" s="60"/>
      <c r="BW1337" s="65" t="n">
        <v>0</v>
      </c>
      <c r="BX1337" s="65" t="n">
        <v>1337</v>
      </c>
      <c r="BY1337" s="60" t="str">
        <f aca="false">IF(U1337&lt;&gt;"",UPPER(TRIM(U1337)),IF(CB1337=1,UPPER(VLOOKUP(T1337,Parameter!$I$27:$K$29,2,0)),IF(P1337="","LOSE",P1337)))</f>
        <v>S33</v>
      </c>
      <c r="BZ1337" s="62" t="n">
        <f aca="false">IF(BY1337="LOSE",1,IF(N(V1337)&gt;0,V1337,IF(CB1337=1,MAX(1,N(VLOOKUP(T1337,Parameter!$I$27:$K$29,3,0)),H1337,N(N1337)),IF(N(Q1337)&gt;0,Q1337,MAX(1,H1337)))))</f>
        <v>86</v>
      </c>
      <c r="CA1337" s="65" t="n">
        <f aca="false">IF(BY1337="LOSE",1,0)</f>
        <v>0</v>
      </c>
      <c r="CB1337" s="65" t="n">
        <f aca="false">IF(AND(U1337="",OR(P1337="",P1337="LOSE"),T1337&lt;&gt;"",N(S1337)&lt;=0,ISNUMBER(MATCH(T1337,Parameter!$I$27:$I$29,0))),1,0)</f>
        <v>0</v>
      </c>
      <c r="CC1337" s="65" t="n">
        <f aca="false">IF(CR1337&gt;0,INDEX(Parameter!$H$5:$H$7,W1337)/INDEX(Parameter!$E$5:$E$7,W1337),IF(AND(CA1337=0,N(IFERROR(VLOOKUP(BY1337,'Gebinde-Kategorie'!$A$5:$N$45,14,0),0))&gt;0),VLOOKUP(BY1337,'Gebinde-Kategorie'!$A$5:$N$45,14,0)*10+Parameter!$M$23,Parameter!$M$24))</f>
        <v>155</v>
      </c>
      <c r="CD1337" s="60" t="str">
        <f aca="false">IF(AND(Parameter!$B$19="Ja",E1337&lt;&gt;"",ISNUMBER(MATCH(E1337,Parameter!$I$35:$I$52,0))),VLOOKUP(E1337,Parameter!$I$35:$J$52,2,0),IFERROR(VLOOKUP(D1337,Parameter!$A$35:$C$64,2,0),"Nein"))</f>
        <v>2+3</v>
      </c>
      <c r="CE1337" s="64" t="n">
        <f aca="false">IF(CA1337=0,0,IF(N(S1337)&gt;0,S1337,IFERROR(VLOOKUP(D1337,Parameter!$A$35:$C$64,3,0)+0,0)))</f>
        <v>0</v>
      </c>
      <c r="CF1337" s="60" t="n">
        <f aca="false">IF(AB1337&lt;&gt;"",AB1337,AA1337)</f>
        <v>3</v>
      </c>
      <c r="CG1337" s="60" t="str">
        <f aca="false">IF(OR(CF1337=1,CF1337=2,CF1337=3),IF(Parameter!$E$27="Ja","LIFT",IF(CF1337=1,"L1","L23")),IF(CF1337="Aussen","Aussen","-"))</f>
        <v>LIFT</v>
      </c>
      <c r="CH1337" s="71" t="n">
        <f aca="false">IF(N(AC1337)&gt;0,AC1337,0)</f>
        <v>0</v>
      </c>
      <c r="CI1337" s="65" t="n">
        <f aca="false">IF(ISNUMBER(AF1337),1,0)</f>
        <v>0</v>
      </c>
      <c r="CJ1337" s="62" t="n">
        <f aca="false">N(AF1337)</f>
        <v>0</v>
      </c>
      <c r="CK1337" s="62" t="n">
        <f aca="false">N(M1337)+N(N1337)</f>
        <v>72</v>
      </c>
      <c r="CL1337" s="62" t="n">
        <f aca="false">N(M1337)</f>
        <v>2</v>
      </c>
      <c r="CM1337" s="62" t="n">
        <f aca="false">N(N1337)</f>
        <v>70</v>
      </c>
      <c r="CN1337" s="62" t="n">
        <f aca="false">ROUNDUP(H1337/BZ1337,0)</f>
        <v>1</v>
      </c>
      <c r="CO1337" s="62" t="n">
        <f aca="false">ROUNDUP(CJ1337/BZ1337,0)</f>
        <v>0</v>
      </c>
      <c r="CP1337" s="65" t="n">
        <f aca="false">IF(CA1337=1,0,IFERROR(VLOOKUP(BY1337,'Gebinde-Kategorie'!$A$5:$N$45,5,0)+0,0))</f>
        <v>8</v>
      </c>
      <c r="CQ1337" s="65" t="n">
        <f aca="false">IFERROR(IF(OR(CF1337=1,CF1337=2,CF1337=3),N(INDEX(Parameter!$I$5:$I$7,CF1337)),0),0)</f>
        <v>0</v>
      </c>
      <c r="CR1337" s="64" t="n">
        <f aca="false">IF(AND(Parameter!$B$21="Ja",ISNUMBER(W1337),N(X1337)&gt;0),IFERROR(N(INDEX(Parameter!$L$5:$L$7,W1337))*INDEX(Parameter!$E$5:$E$7,W1337)*X1337/SUMIFS($X$7:$X$1843,$W$7:$W$1843,W1337),0),0)</f>
        <v>0</v>
      </c>
      <c r="CS1337" s="62" t="n">
        <f aca="false">IF(AND(OR(CG1337="L1",CG1337="L23",CG1337="LIFT"),H1337&gt;0),CC1337*IF(CR1337&gt;0,CR1337*MAX(1,H1337/X1337),IF(CA1337=1,CE1337,IF(R1337&gt;0,CN1337/R1337,0))/MAX(0.1,N(Parameter!$M$21))),"")</f>
        <v>2.98076923076923</v>
      </c>
      <c r="CT1337" s="64" t="n">
        <f aca="false">IF(CS1337="","",J1337/H1337)</f>
        <v>2.2258064516129</v>
      </c>
      <c r="CU1337" s="62" t="n">
        <f aca="false">IF(CS1337="","",H1337*G1337)</f>
        <v>493.21</v>
      </c>
      <c r="CV1337" s="63" t="n">
        <f aca="false">IF(CS1337="","",(CL1337+ROUNDUP(CL1337+MAX(CM1337,2*(J1337/MAX(0.1,N(Einkauf!$C$6))-CL1337)),0))/2)</f>
        <v>37</v>
      </c>
      <c r="CW1337" s="62" t="n">
        <f aca="false">IF(CS1337="","",MAX(0,H1337-CV1337)*G1337)</f>
        <v>0</v>
      </c>
      <c r="CX1337" s="62" t="n">
        <f aca="false">IF(CS1337="","",CS1337*MAX(0,1-CV1337/H1337))</f>
        <v>0</v>
      </c>
      <c r="CY1337" s="64" t="n">
        <f aca="false">IF(CS1337="","",PERCENTRANK($CS$7:$CS$1843,CS1337)+PERCENTRANK($CU$7:$CU$1843,CU1337)+1-PERCENTRANK($CT$7:$CT$1843,CT1337))</f>
        <v>0.894</v>
      </c>
      <c r="CZ1337" s="72" t="n">
        <f aca="false">IF(CS1337="","",CHOOSE(MATCH(Einkauf!$C$5,Parameter!$G$23:$G$27,0),CY1337,CS1337,CU1337,-CT1337,CW1337)+ROW()/1000000000)</f>
        <v>0.894001337</v>
      </c>
    </row>
    <row r="1338" customFormat="false" ht="15" hidden="false" customHeight="false" outlineLevel="0" collapsed="false">
      <c r="A1338" s="60" t="s">
        <v>2411</v>
      </c>
      <c r="B1338" s="60" t="s">
        <v>1407</v>
      </c>
      <c r="C1338" s="60" t="s">
        <v>206</v>
      </c>
      <c r="D1338" s="60" t="s">
        <v>226</v>
      </c>
      <c r="E1338" s="60"/>
      <c r="F1338" s="60" t="s">
        <v>260</v>
      </c>
      <c r="G1338" s="61" t="n">
        <v>84.96</v>
      </c>
      <c r="H1338" s="62" t="n">
        <f aca="false">MAX(0,IF(AND(Parameter!$B$21="Ja",ISNUMBER(Y1338)),Y1338,IF(Parameter!$B$20="Jahresanfang 2025 + Export",BS1338+BR1338,BR1338)))</f>
        <v>48</v>
      </c>
      <c r="I1338" s="62" t="n">
        <f aca="false">H1338*G1338</f>
        <v>4078.08</v>
      </c>
      <c r="J1338" s="62" t="n">
        <f aca="false">BU1338*Parameter!$B$18</f>
        <v>192</v>
      </c>
      <c r="K1338" s="63" t="n">
        <v>38</v>
      </c>
      <c r="L1338" s="64" t="n">
        <v>5.05263157894737</v>
      </c>
      <c r="M1338" s="62" t="n">
        <v>10</v>
      </c>
      <c r="N1338" s="62" t="n">
        <v>60</v>
      </c>
      <c r="O1338" s="65" t="n">
        <v>14</v>
      </c>
      <c r="P1338" s="60" t="s">
        <v>335</v>
      </c>
      <c r="Q1338" s="62" t="n">
        <v>100</v>
      </c>
      <c r="R1338" s="65" t="n">
        <f aca="false">IF(CA1338=1,0,IFERROR(VLOOKUP(BY1338,'Gebinde-Kategorie'!$A$5:$N$45,13,0)+0,0))</f>
        <v>12</v>
      </c>
      <c r="S1338" s="66"/>
      <c r="T1338" s="67"/>
      <c r="U1338" s="67"/>
      <c r="V1338" s="67"/>
      <c r="W1338" s="60"/>
      <c r="X1338" s="62"/>
      <c r="Y1338" s="62"/>
      <c r="Z1338" s="60" t="n">
        <v>3</v>
      </c>
      <c r="AA1338" s="60" t="n">
        <f aca="false">IF(A1338="","",IF(AND(Parameter!$B$21="Ja",ISNUMBER(W1338)),W1338,IF(AND(Parameter!$E$27="Ja",ISNUMBER(Z1338),CD1338&lt;&gt;"Nein"),Z1338,IF(CD1338="2+3",IF(ISNUMBER(SEARCH("grosser Artikel",BV1338)),2,IFERROR(VLOOKUP(BY1338,Parameter!$F$35:$G$64,2,0),2)),IF(OR(CD1338="Nein",CD1338=""),"-",CD1338)))))</f>
        <v>3</v>
      </c>
      <c r="AB1338" s="67"/>
      <c r="AC1338" s="68"/>
      <c r="AD1338" s="62" t="n">
        <f aca="false">AW1338</f>
        <v>118</v>
      </c>
      <c r="AE1338" s="62" t="n">
        <f aca="false">MAX(AW1338,H1338)</f>
        <v>118</v>
      </c>
      <c r="AF1338" s="69"/>
      <c r="AG1338" s="62" t="n">
        <f aca="false">IF(LEFT(Cockpit!$C$5,1)="A",H1338,IF(Parameter!$E$30="MAX-Bestand",IF(CI1338=1,CJ1338,IF(LEFT(Cockpit!$C$5,1)="B",AM1338,MAX(AM1338,H1338))),ROUNDUP(AK1338,0)))</f>
        <v>48</v>
      </c>
      <c r="AH1338" s="62" t="n">
        <f aca="false">IF(CA1338=1,0,ROUNDUP(AG1338/BZ1338,0))</f>
        <v>1</v>
      </c>
      <c r="AI1338" s="64" t="n">
        <f aca="false">IF(CR1338&gt;0,CR1338*MAX(1,AG1338/X1338),IF(CA1338=1,IF(AG1338&lt;=0,0,CE1338*MAX(1,IF(H1338&gt;0,AG1338/H1338,1))),IF(R1338&gt;0,AH1338/R1338,0))/MAX(0.1,N(Parameter!$M$21)))</f>
        <v>0.0833333333333333</v>
      </c>
      <c r="AJ1338" s="62" t="n">
        <f aca="false">AI1338*CC1338</f>
        <v>20.4166666666667</v>
      </c>
      <c r="AK1338" s="63" t="n">
        <f aca="false">IF(LEFT(Cockpit!$C$5,1)="A",H1338,IF(CI1338=1,(CL1338+CJ1338)/2,IF(LEFT(Cockpit!$C$5,1)="B",(CL1338+AM1338)/2,MAX((CL1338+AM1338)/2,H1338))))</f>
        <v>48</v>
      </c>
      <c r="AL1338" s="62" t="n">
        <f aca="false">AK1338*G1338</f>
        <v>4078.08</v>
      </c>
      <c r="AM1338" s="62" t="n">
        <f aca="false">ROUNDUP(CL1338+MAX(CM1338,2*(J1338/IF(CH1338&gt;0,CH1338,MAX(0.1,N(Cockpit!$C$6)))-CL1338)),0)</f>
        <v>118</v>
      </c>
      <c r="AN1338" s="63" t="n">
        <f aca="false">IF(AJ1338&gt;0,J1338/AJ1338,-1)</f>
        <v>9.40408163265306</v>
      </c>
      <c r="AO1338" s="63" t="n">
        <f aca="false">IF(AND(OR(CG1338="L1",CG1338="L23",CG1338="LIFT"),AJ1338&gt;0),SUMIFS($AJ$7:$AJ$1843,$CG$7:$CG$1843,CG1338,$AN$7:$AN$1843,"&gt;"&amp;AN1338)+SUMIFS($AJ$7:$AJ$1843,$CG$7:$CG$1843,CG1338,$AN$7:$AN$1843,AN1338,$BX$7:$BX$1843,"&lt;="&amp;BX1338),"")</f>
        <v>2917.63049450549</v>
      </c>
      <c r="AP1338" s="70" t="n">
        <f aca="false">IF(AO1338="",0,MAX(0,MIN(1,(IF(CG1338="L1",Parameter!$H$5,IF(CG1338="L23",Parameter!$H$6+Parameter!$H$7,Parameter!$H$5+Parameter!$H$6+Parameter!$H$7))-(AO1338-AJ1338))/AJ1338)))</f>
        <v>1</v>
      </c>
      <c r="AQ1338" s="62" t="n">
        <f aca="false">IF(LEFT(Cockpit!$I$5,1)="A",H1338,IF(Parameter!$E$30="MAX-Bestand",IF(CI1338=1,CJ1338,IF(LEFT(Cockpit!$I$5,1)="B",AW1338,MAX(AW1338,H1338))),ROUNDUP(AU1338,0)))</f>
        <v>64</v>
      </c>
      <c r="AR1338" s="62" t="n">
        <f aca="false">IF(CA1338=1,0,ROUNDUP(AQ1338/BZ1338,0))</f>
        <v>1</v>
      </c>
      <c r="AS1338" s="64" t="n">
        <f aca="false">IF(CR1338&gt;0,CR1338*MAX(1,AQ1338/X1338),IF(CA1338=1,IF(AQ1338&lt;=0,0,CE1338*MAX(1,IF(H1338&gt;0,AQ1338/H1338,1))),IF(R1338&gt;0,AR1338/R1338,0))/MAX(0.1,N(Parameter!$M$21)))</f>
        <v>0.0833333333333333</v>
      </c>
      <c r="AT1338" s="62" t="n">
        <f aca="false">AS1338*CC1338</f>
        <v>20.4166666666667</v>
      </c>
      <c r="AU1338" s="63" t="n">
        <f aca="false">IF(LEFT(Cockpit!$I$5,1)="A",H1338,IF(CI1338=1,(CL1338+CJ1338)/2,IF(LEFT(Cockpit!$I$5,1)="B",(CL1338+AW1338)/2,MAX((CL1338+AW1338)/2,H1338))))</f>
        <v>64</v>
      </c>
      <c r="AV1338" s="62" t="n">
        <f aca="false">AU1338*G1338</f>
        <v>5437.44</v>
      </c>
      <c r="AW1338" s="62" t="n">
        <f aca="false">ROUNDUP(CL1338+MAX(CM1338,2*(J1338/IF(CH1338&gt;0,CH1338,MAX(0.1,N(Cockpit!$I$6)))-CL1338)),0)</f>
        <v>118</v>
      </c>
      <c r="AX1338" s="63" t="n">
        <f aca="false">IF(AT1338&gt;0,J1338/AT1338,-1)</f>
        <v>9.40408163265306</v>
      </c>
      <c r="AY1338" s="63" t="n">
        <f aca="false">IF(AND(OR(CG1338="L1",CG1338="L23",CG1338="LIFT"),AT1338&gt;0),SUMIFS($AT$7:$AT$1843,$CG$7:$CG$1843,CG1338,$AX$7:$AX$1843,"&gt;"&amp;AX1338)+SUMIFS($AT$7:$AT$1843,$CG$7:$CG$1843,CG1338,$AX$7:$AX$1843,AX1338,$BX$7:$BX$1843,"&lt;="&amp;BX1338),"")</f>
        <v>3532.61858974359</v>
      </c>
      <c r="AZ1338" s="70" t="n">
        <f aca="false">IF(AY1338="",0,MAX(0,MIN(1,(IF(CG1338="L1",Parameter!$H$5,IF(CG1338="L23",Parameter!$H$6+Parameter!$H$7,Parameter!$H$5+Parameter!$H$6+Parameter!$H$7))-(AY1338-AT1338))/AT1338)))</f>
        <v>1</v>
      </c>
      <c r="BA1338" s="62" t="n">
        <f aca="false">IF(LEFT(Cockpit!$O$5,1)="A",H1338,IF(Parameter!$E$30="MAX-Bestand",IF(CI1338=1,CJ1338,IF(LEFT(Cockpit!$O$5,1)="B",BG1338,MAX(BG1338,H1338))),ROUNDUP(BE1338,0)))</f>
        <v>48</v>
      </c>
      <c r="BB1338" s="62" t="n">
        <f aca="false">IF(CA1338=1,0,ROUNDUP(BA1338/BZ1338,0))</f>
        <v>1</v>
      </c>
      <c r="BC1338" s="64" t="n">
        <f aca="false">IF(CR1338&gt;0,CR1338*MAX(1,BA1338/X1338),IF(CA1338=1,IF(BA1338&lt;=0,0,CE1338*MAX(1,IF(H1338&gt;0,BA1338/H1338,1))),IF(R1338&gt;0,BB1338/R1338,0))/MAX(0.1,N(Parameter!$M$21)))</f>
        <v>0.0833333333333333</v>
      </c>
      <c r="BD1338" s="62" t="n">
        <f aca="false">BC1338*CC1338</f>
        <v>20.4166666666667</v>
      </c>
      <c r="BE1338" s="63" t="n">
        <f aca="false">IF(LEFT(Cockpit!$O$5,1)="A",H1338,IF(CI1338=1,(CL1338+CJ1338)/2,IF(LEFT(Cockpit!$O$5,1)="B",(CL1338+BG1338)/2,MAX((CL1338+BG1338)/2,H1338))))</f>
        <v>48</v>
      </c>
      <c r="BF1338" s="62" t="n">
        <f aca="false">BE1338*G1338</f>
        <v>4078.08</v>
      </c>
      <c r="BG1338" s="62" t="n">
        <f aca="false">ROUNDUP(CL1338+MAX(CM1338,2*(J1338/IF(CH1338&gt;0,CH1338,MAX(0.1,N(Cockpit!$O$6)))-CL1338)),0)</f>
        <v>86</v>
      </c>
      <c r="BH1338" s="63" t="n">
        <f aca="false">IF(BD1338&gt;0,J1338/BD1338,-1)</f>
        <v>9.40408163265306</v>
      </c>
      <c r="BI1338" s="63" t="n">
        <f aca="false">IF(AND(OR(CG1338="L1",CG1338="L23",CG1338="LIFT"),BD1338&gt;0),SUMIFS($BD$7:$BD$1843,$CG$7:$CG$1843,CG1338,$BH$7:$BH$1843,"&gt;"&amp;BH1338)+SUMIFS($BD$7:$BD$1843,$CG$7:$CG$1843,CG1338,$BH$7:$BH$1843,BH1338,$BX$7:$BX$1843,"&lt;="&amp;BX1338),"")</f>
        <v>2747.53525641026</v>
      </c>
      <c r="BJ1338" s="70" t="n">
        <f aca="false">IF(BI1338="",0,MAX(0,MIN(1,(IF(CG1338="L1",Parameter!$H$5,IF(CG1338="L23",Parameter!$H$6+Parameter!$H$7,Parameter!$H$5+Parameter!$H$6+Parameter!$H$7))-(BI1338-BD1338))/BD1338)))</f>
        <v>1</v>
      </c>
      <c r="BK1338" s="60" t="str">
        <f aca="false">IF(AJ1338&lt;=0,"",IF(CG1338="Aussen","Aussenlager",IF(CG1338="-","Nicht im Lift",IF(AP1338&gt;=1,"Lift",IF(AP1338&lt;=0,"Aussenlager","teilweise")))))</f>
        <v>Lift</v>
      </c>
      <c r="BL1338" s="60" t="str">
        <f aca="false">IF(AT1338&lt;=0,"",IF(CG1338="Aussen","Aussenlager",IF(CG1338="-","Nicht im Lift",IF(AZ1338&gt;=1,"Lift",IF(AZ1338&lt;=0,"Aussenlager","teilweise")))))</f>
        <v>Lift</v>
      </c>
      <c r="BM1338" s="60" t="str">
        <f aca="false">IF(BD1338&lt;=0,"",IF(CG1338="Aussen","Aussenlager",IF(CG1338="-","Nicht im Lift",IF(BJ1338&gt;=1,"Lift",IF(BJ1338&lt;=0,"Aussenlager","teilweise")))))</f>
        <v>Lift</v>
      </c>
      <c r="BN1338" s="60" t="str">
        <f aca="false">IF(A1338="","",IF(BW1338=1,"Neu; ","")&amp;IF(AND(BW1338=0,BR1338&lt;0),"negativer Bestand (Export "&amp;BR1338&amp;"); ","")&amp;IF(J1338&lt;=0,"Kein Verbrauch; ","")&amp;IF(CR1338&gt;0,"Lift "&amp;W1338&amp;" lt. Liftbericht (Fach "&amp;X1338&amp;" Stk); ",IF(CB1338=1,"Gebinde geschätzt ("&amp;T1338&amp;"); ",IF(CA1338=1,"Lose – Tablare geschätzt; ","")))&amp;IF(H1338&gt;AW1338,"Überbestand "&amp;ROUND(H1338-AW1338,0)&amp;" Stk / CHF "&amp;ROUND((H1338-AW1338)*G1338,0)&amp;"; ","")&amp;IF(AND(CI1338=1,CJ1338&lt;CK1338),"MAX &lt; MB+LG; ","")&amp;IF(AND(CQ1338&gt;0,CP1338*10&gt;CQ1338),"zu hoch für Tablar; ","")&amp;IF(AND(BW1338=0,OR(CI1338=1,AB1338&lt;&gt;"",U1338&lt;&gt;"",V1338&lt;&gt;"",AC1338&lt;&gt;"")),"manuell übersteuert; ","")&amp;IF(AND(CA1338=0,R1338=0),"Gebinde unbekannt / Stellmass fehlt; ","")&amp;IF(AND(CA1338=0,N(V1338)&lt;=0,N(Q1338)&lt;=0),"Menge pro Gebinde fehlt (Ist = 1 Gebinde); ","")&amp;BV1338)</f>
        <v/>
      </c>
      <c r="BO1338" s="60"/>
      <c r="BP1338" s="60"/>
      <c r="BQ1338" s="67"/>
      <c r="BR1338" s="62" t="n">
        <v>10</v>
      </c>
      <c r="BS1338" s="62" t="n">
        <v>38</v>
      </c>
      <c r="BT1338" s="61" t="n">
        <v>-1696.37000000001</v>
      </c>
      <c r="BU1338" s="62" t="n">
        <v>192</v>
      </c>
      <c r="BV1338" s="60"/>
      <c r="BW1338" s="65" t="n">
        <v>0</v>
      </c>
      <c r="BX1338" s="65" t="n">
        <v>1338</v>
      </c>
      <c r="BY1338" s="60" t="str">
        <f aca="false">IF(U1338&lt;&gt;"",UPPER(TRIM(U1338)),IF(CB1338=1,UPPER(VLOOKUP(T1338,Parameter!$I$27:$K$29,2,0)),IF(P1338="","LOSE",P1338)))</f>
        <v>S62</v>
      </c>
      <c r="BZ1338" s="62" t="n">
        <f aca="false">IF(BY1338="LOSE",1,IF(N(V1338)&gt;0,V1338,IF(CB1338=1,MAX(1,N(VLOOKUP(T1338,Parameter!$I$27:$K$29,3,0)),H1338,N(N1338)),IF(N(Q1338)&gt;0,Q1338,MAX(1,H1338)))))</f>
        <v>100</v>
      </c>
      <c r="CA1338" s="65" t="n">
        <f aca="false">IF(BY1338="LOSE",1,0)</f>
        <v>0</v>
      </c>
      <c r="CB1338" s="65" t="n">
        <f aca="false">IF(AND(U1338="",OR(P1338="",P1338="LOSE"),T1338&lt;&gt;"",N(S1338)&lt;=0,ISNUMBER(MATCH(T1338,Parameter!$I$27:$I$29,0))),1,0)</f>
        <v>0</v>
      </c>
      <c r="CC1338" s="65" t="n">
        <f aca="false">IF(CR1338&gt;0,INDEX(Parameter!$H$5:$H$7,W1338)/INDEX(Parameter!$E$5:$E$7,W1338),IF(AND(CA1338=0,N(IFERROR(VLOOKUP(BY1338,'Gebinde-Kategorie'!$A$5:$N$45,14,0),0))&gt;0),VLOOKUP(BY1338,'Gebinde-Kategorie'!$A$5:$N$45,14,0)*10+Parameter!$M$23,Parameter!$M$24))</f>
        <v>245</v>
      </c>
      <c r="CD1338" s="60" t="str">
        <f aca="false">IF(AND(Parameter!$B$19="Ja",E1338&lt;&gt;"",ISNUMBER(MATCH(E1338,Parameter!$I$35:$I$52,0))),VLOOKUP(E1338,Parameter!$I$35:$J$52,2,0),IFERROR(VLOOKUP(D1338,Parameter!$A$35:$C$64,2,0),"Nein"))</f>
        <v>2+3</v>
      </c>
      <c r="CE1338" s="64" t="n">
        <f aca="false">IF(CA1338=0,0,IF(N(S1338)&gt;0,S1338,IFERROR(VLOOKUP(D1338,Parameter!$A$35:$C$64,3,0)+0,0)))</f>
        <v>0</v>
      </c>
      <c r="CF1338" s="60" t="n">
        <f aca="false">IF(AB1338&lt;&gt;"",AB1338,AA1338)</f>
        <v>3</v>
      </c>
      <c r="CG1338" s="60" t="str">
        <f aca="false">IF(OR(CF1338=1,CF1338=2,CF1338=3),IF(Parameter!$E$27="Ja","LIFT",IF(CF1338=1,"L1","L23")),IF(CF1338="Aussen","Aussen","-"))</f>
        <v>LIFT</v>
      </c>
      <c r="CH1338" s="71" t="n">
        <f aca="false">IF(N(AC1338)&gt;0,AC1338,0)</f>
        <v>0</v>
      </c>
      <c r="CI1338" s="65" t="n">
        <f aca="false">IF(ISNUMBER(AF1338),1,0)</f>
        <v>0</v>
      </c>
      <c r="CJ1338" s="62" t="n">
        <f aca="false">N(AF1338)</f>
        <v>0</v>
      </c>
      <c r="CK1338" s="62" t="n">
        <f aca="false">N(M1338)+N(N1338)</f>
        <v>70</v>
      </c>
      <c r="CL1338" s="62" t="n">
        <f aca="false">N(M1338)</f>
        <v>10</v>
      </c>
      <c r="CM1338" s="62" t="n">
        <f aca="false">N(N1338)</f>
        <v>60</v>
      </c>
      <c r="CN1338" s="62" t="n">
        <f aca="false">ROUNDUP(H1338/BZ1338,0)</f>
        <v>1</v>
      </c>
      <c r="CO1338" s="62" t="n">
        <f aca="false">ROUNDUP(CJ1338/BZ1338,0)</f>
        <v>0</v>
      </c>
      <c r="CP1338" s="65" t="n">
        <f aca="false">IF(CA1338=1,0,IFERROR(VLOOKUP(BY1338,'Gebinde-Kategorie'!$A$5:$N$45,5,0)+0,0))</f>
        <v>21</v>
      </c>
      <c r="CQ1338" s="65" t="n">
        <f aca="false">IFERROR(IF(OR(CF1338=1,CF1338=2,CF1338=3),N(INDEX(Parameter!$I$5:$I$7,CF1338)),0),0)</f>
        <v>0</v>
      </c>
      <c r="CR1338" s="64" t="n">
        <f aca="false">IF(AND(Parameter!$B$21="Ja",ISNUMBER(W1338),N(X1338)&gt;0),IFERROR(N(INDEX(Parameter!$L$5:$L$7,W1338))*INDEX(Parameter!$E$5:$E$7,W1338)*X1338/SUMIFS($X$7:$X$1843,$W$7:$W$1843,W1338),0),0)</f>
        <v>0</v>
      </c>
      <c r="CS1338" s="62" t="n">
        <f aca="false">IF(AND(OR(CG1338="L1",CG1338="L23",CG1338="LIFT"),H1338&gt;0),CC1338*IF(CR1338&gt;0,CR1338*MAX(1,H1338/X1338),IF(CA1338=1,CE1338,IF(R1338&gt;0,CN1338/R1338,0))/MAX(0.1,N(Parameter!$M$21))),"")</f>
        <v>20.4166666666667</v>
      </c>
      <c r="CT1338" s="64" t="n">
        <f aca="false">IF(CS1338="","",J1338/H1338)</f>
        <v>4</v>
      </c>
      <c r="CU1338" s="62" t="n">
        <f aca="false">IF(CS1338="","",H1338*G1338)</f>
        <v>4078.08</v>
      </c>
      <c r="CV1338" s="63" t="n">
        <f aca="false">IF(CS1338="","",(CL1338+ROUNDUP(CL1338+MAX(CM1338,2*(J1338/MAX(0.1,N(Einkauf!$C$6))-CL1338)),0))/2)</f>
        <v>48</v>
      </c>
      <c r="CW1338" s="62" t="n">
        <f aca="false">IF(CS1338="","",MAX(0,H1338-CV1338)*G1338)</f>
        <v>0</v>
      </c>
      <c r="CX1338" s="62" t="n">
        <f aca="false">IF(CS1338="","",CS1338*MAX(0,1-CV1338/H1338))</f>
        <v>0</v>
      </c>
      <c r="CY1338" s="64" t="n">
        <f aca="false">IF(CS1338="","",PERCENTRANK($CS$7:$CS$1843,CS1338)+PERCENTRANK($CU$7:$CU$1843,CU1338)+1-PERCENTRANK($CT$7:$CT$1843,CT1338))</f>
        <v>1.727</v>
      </c>
      <c r="CZ1338" s="72" t="n">
        <f aca="false">IF(CS1338="","",CHOOSE(MATCH(Einkauf!$C$5,Parameter!$G$23:$G$27,0),CY1338,CS1338,CU1338,-CT1338,CW1338)+ROW()/1000000000)</f>
        <v>1.727001338</v>
      </c>
    </row>
    <row r="1339" customFormat="false" ht="15" hidden="false" customHeight="false" outlineLevel="0" collapsed="false">
      <c r="A1339" s="60" t="s">
        <v>2412</v>
      </c>
      <c r="B1339" s="60" t="s">
        <v>856</v>
      </c>
      <c r="C1339" s="60" t="s">
        <v>206</v>
      </c>
      <c r="D1339" s="60" t="s">
        <v>226</v>
      </c>
      <c r="E1339" s="60" t="s">
        <v>227</v>
      </c>
      <c r="F1339" s="60" t="s">
        <v>260</v>
      </c>
      <c r="G1339" s="61" t="n">
        <v>90.07</v>
      </c>
      <c r="H1339" s="62" t="n">
        <f aca="false">MAX(0,IF(AND(Parameter!$B$21="Ja",ISNUMBER(Y1339)),Y1339,IF(Parameter!$B$20="Jahresanfang 2025 + Export",BS1339+BR1339,BR1339)))</f>
        <v>9</v>
      </c>
      <c r="I1339" s="62" t="n">
        <f aca="false">H1339*G1339</f>
        <v>810.63</v>
      </c>
      <c r="J1339" s="62" t="n">
        <f aca="false">BU1339*Parameter!$B$18</f>
        <v>20</v>
      </c>
      <c r="K1339" s="63" t="n">
        <v>24</v>
      </c>
      <c r="L1339" s="64" t="n">
        <v>0.833333333333333</v>
      </c>
      <c r="M1339" s="62" t="n">
        <v>7</v>
      </c>
      <c r="N1339" s="62" t="n">
        <v>50</v>
      </c>
      <c r="O1339" s="65" t="n">
        <v>126</v>
      </c>
      <c r="P1339" s="60" t="s">
        <v>370</v>
      </c>
      <c r="Q1339" s="62" t="n">
        <v>52</v>
      </c>
      <c r="R1339" s="65" t="n">
        <f aca="false">IF(CA1339=1,0,IFERROR(VLOOKUP(BY1339,'Gebinde-Kategorie'!$A$5:$N$45,13,0)+0,0))</f>
        <v>52</v>
      </c>
      <c r="S1339" s="66"/>
      <c r="T1339" s="67"/>
      <c r="U1339" s="67"/>
      <c r="V1339" s="67"/>
      <c r="W1339" s="60"/>
      <c r="X1339" s="62"/>
      <c r="Y1339" s="62"/>
      <c r="Z1339" s="60" t="n">
        <v>2</v>
      </c>
      <c r="AA1339" s="60" t="n">
        <f aca="false">IF(A1339="","",IF(AND(Parameter!$B$21="Ja",ISNUMBER(W1339)),W1339,IF(AND(Parameter!$E$27="Ja",ISNUMBER(Z1339),CD1339&lt;&gt;"Nein"),Z1339,IF(CD1339="2+3",IF(ISNUMBER(SEARCH("grosser Artikel",BV1339)),2,IFERROR(VLOOKUP(BY1339,Parameter!$F$35:$G$64,2,0),2)),IF(OR(CD1339="Nein",CD1339=""),"-",CD1339)))))</f>
        <v>2</v>
      </c>
      <c r="AB1339" s="67"/>
      <c r="AC1339" s="68"/>
      <c r="AD1339" s="62" t="n">
        <f aca="false">AW1339</f>
        <v>57</v>
      </c>
      <c r="AE1339" s="62" t="n">
        <f aca="false">MAX(AW1339,H1339)</f>
        <v>57</v>
      </c>
      <c r="AF1339" s="69"/>
      <c r="AG1339" s="62" t="n">
        <f aca="false">IF(LEFT(Cockpit!$C$5,1)="A",H1339,IF(Parameter!$E$30="MAX-Bestand",IF(CI1339=1,CJ1339,IF(LEFT(Cockpit!$C$5,1)="B",AM1339,MAX(AM1339,H1339))),ROUNDUP(AK1339,0)))</f>
        <v>9</v>
      </c>
      <c r="AH1339" s="62" t="n">
        <f aca="false">IF(CA1339=1,0,ROUNDUP(AG1339/BZ1339,0))</f>
        <v>1</v>
      </c>
      <c r="AI1339" s="64" t="n">
        <f aca="false">IF(CR1339&gt;0,CR1339*MAX(1,AG1339/X1339),IF(CA1339=1,IF(AG1339&lt;=0,0,CE1339*MAX(1,IF(H1339&gt;0,AG1339/H1339,1))),IF(R1339&gt;0,AH1339/R1339,0))/MAX(0.1,N(Parameter!$M$21)))</f>
        <v>0.0192307692307692</v>
      </c>
      <c r="AJ1339" s="62" t="n">
        <f aca="false">AI1339*CC1339</f>
        <v>2.98076923076923</v>
      </c>
      <c r="AK1339" s="63" t="n">
        <f aca="false">IF(LEFT(Cockpit!$C$5,1)="A",H1339,IF(CI1339=1,(CL1339+CJ1339)/2,IF(LEFT(Cockpit!$C$5,1)="B",(CL1339+AM1339)/2,MAX((CL1339+AM1339)/2,H1339))))</f>
        <v>9</v>
      </c>
      <c r="AL1339" s="62" t="n">
        <f aca="false">AK1339*G1339</f>
        <v>810.63</v>
      </c>
      <c r="AM1339" s="62" t="n">
        <f aca="false">ROUNDUP(CL1339+MAX(CM1339,2*(J1339/IF(CH1339&gt;0,CH1339,MAX(0.1,N(Cockpit!$C$6)))-CL1339)),0)</f>
        <v>57</v>
      </c>
      <c r="AN1339" s="63" t="n">
        <f aca="false">IF(AJ1339&gt;0,J1339/AJ1339,-1)</f>
        <v>6.70967741935484</v>
      </c>
      <c r="AO1339" s="63" t="n">
        <f aca="false">IF(AND(OR(CG1339="L1",CG1339="L23",CG1339="LIFT"),AJ1339&gt;0),SUMIFS($AJ$7:$AJ$1843,$CG$7:$CG$1843,CG1339,$AN$7:$AN$1843,"&gt;"&amp;AN1339)+SUMIFS($AJ$7:$AJ$1843,$CG$7:$CG$1843,CG1339,$AN$7:$AN$1843,AN1339,$BX$7:$BX$1843,"&lt;="&amp;BX1339),"")</f>
        <v>3400.10485347985</v>
      </c>
      <c r="AP1339" s="70" t="n">
        <f aca="false">IF(AO1339="",0,MAX(0,MIN(1,(IF(CG1339="L1",Parameter!$H$5,IF(CG1339="L23",Parameter!$H$6+Parameter!$H$7,Parameter!$H$5+Parameter!$H$6+Parameter!$H$7))-(AO1339-AJ1339))/AJ1339)))</f>
        <v>1</v>
      </c>
      <c r="AQ1339" s="62" t="n">
        <f aca="false">IF(LEFT(Cockpit!$I$5,1)="A",H1339,IF(Parameter!$E$30="MAX-Bestand",IF(CI1339=1,CJ1339,IF(LEFT(Cockpit!$I$5,1)="B",AW1339,MAX(AW1339,H1339))),ROUNDUP(AU1339,0)))</f>
        <v>32</v>
      </c>
      <c r="AR1339" s="62" t="n">
        <f aca="false">IF(CA1339=1,0,ROUNDUP(AQ1339/BZ1339,0))</f>
        <v>1</v>
      </c>
      <c r="AS1339" s="64" t="n">
        <f aca="false">IF(CR1339&gt;0,CR1339*MAX(1,AQ1339/X1339),IF(CA1339=1,IF(AQ1339&lt;=0,0,CE1339*MAX(1,IF(H1339&gt;0,AQ1339/H1339,1))),IF(R1339&gt;0,AR1339/R1339,0))/MAX(0.1,N(Parameter!$M$21)))</f>
        <v>0.0192307692307692</v>
      </c>
      <c r="AT1339" s="62" t="n">
        <f aca="false">AS1339*CC1339</f>
        <v>2.98076923076923</v>
      </c>
      <c r="AU1339" s="63" t="n">
        <f aca="false">IF(LEFT(Cockpit!$I$5,1)="A",H1339,IF(CI1339=1,(CL1339+CJ1339)/2,IF(LEFT(Cockpit!$I$5,1)="B",(CL1339+AW1339)/2,MAX((CL1339+AW1339)/2,H1339))))</f>
        <v>32</v>
      </c>
      <c r="AV1339" s="62" t="n">
        <f aca="false">AU1339*G1339</f>
        <v>2882.24</v>
      </c>
      <c r="AW1339" s="62" t="n">
        <f aca="false">ROUNDUP(CL1339+MAX(CM1339,2*(J1339/IF(CH1339&gt;0,CH1339,MAX(0.1,N(Cockpit!$I$6)))-CL1339)),0)</f>
        <v>57</v>
      </c>
      <c r="AX1339" s="63" t="n">
        <f aca="false">IF(AT1339&gt;0,J1339/AT1339,-1)</f>
        <v>6.70967741935484</v>
      </c>
      <c r="AY1339" s="63" t="n">
        <f aca="false">IF(AND(OR(CG1339="L1",CG1339="L23",CG1339="LIFT"),AT1339&gt;0),SUMIFS($AT$7:$AT$1843,$CG$7:$CG$1843,CG1339,$AX$7:$AX$1843,"&gt;"&amp;AX1339)+SUMIFS($AT$7:$AT$1843,$CG$7:$CG$1843,CG1339,$AX$7:$AX$1843,AX1339,$BX$7:$BX$1843,"&lt;="&amp;BX1339),"")</f>
        <v>4117.91620879121</v>
      </c>
      <c r="AZ1339" s="70" t="n">
        <f aca="false">IF(AY1339="",0,MAX(0,MIN(1,(IF(CG1339="L1",Parameter!$H$5,IF(CG1339="L23",Parameter!$H$6+Parameter!$H$7,Parameter!$H$5+Parameter!$H$6+Parameter!$H$7))-(AY1339-AT1339))/AT1339)))</f>
        <v>1</v>
      </c>
      <c r="BA1339" s="62" t="n">
        <f aca="false">IF(LEFT(Cockpit!$O$5,1)="A",H1339,IF(Parameter!$E$30="MAX-Bestand",IF(CI1339=1,CJ1339,IF(LEFT(Cockpit!$O$5,1)="B",BG1339,MAX(BG1339,H1339))),ROUNDUP(BE1339,0)))</f>
        <v>32</v>
      </c>
      <c r="BB1339" s="62" t="n">
        <f aca="false">IF(CA1339=1,0,ROUNDUP(BA1339/BZ1339,0))</f>
        <v>1</v>
      </c>
      <c r="BC1339" s="64" t="n">
        <f aca="false">IF(CR1339&gt;0,CR1339*MAX(1,BA1339/X1339),IF(CA1339=1,IF(BA1339&lt;=0,0,CE1339*MAX(1,IF(H1339&gt;0,BA1339/H1339,1))),IF(R1339&gt;0,BB1339/R1339,0))/MAX(0.1,N(Parameter!$M$21)))</f>
        <v>0.0192307692307692</v>
      </c>
      <c r="BD1339" s="62" t="n">
        <f aca="false">BC1339*CC1339</f>
        <v>2.98076923076923</v>
      </c>
      <c r="BE1339" s="63" t="n">
        <f aca="false">IF(LEFT(Cockpit!$O$5,1)="A",H1339,IF(CI1339=1,(CL1339+CJ1339)/2,IF(LEFT(Cockpit!$O$5,1)="B",(CL1339+BG1339)/2,MAX((CL1339+BG1339)/2,H1339))))</f>
        <v>32</v>
      </c>
      <c r="BF1339" s="62" t="n">
        <f aca="false">BE1339*G1339</f>
        <v>2882.24</v>
      </c>
      <c r="BG1339" s="62" t="n">
        <f aca="false">ROUNDUP(CL1339+MAX(CM1339,2*(J1339/IF(CH1339&gt;0,CH1339,MAX(0.1,N(Cockpit!$O$6)))-CL1339)),0)</f>
        <v>57</v>
      </c>
      <c r="BH1339" s="63" t="n">
        <f aca="false">IF(BD1339&gt;0,J1339/BD1339,-1)</f>
        <v>6.70967741935484</v>
      </c>
      <c r="BI1339" s="63" t="n">
        <f aca="false">IF(AND(OR(CG1339="L1",CG1339="L23",CG1339="LIFT"),BD1339&gt;0),SUMIFS($BD$7:$BD$1843,$CG$7:$CG$1843,CG1339,$BH$7:$BH$1843,"&gt;"&amp;BH1339)+SUMIFS($BD$7:$BD$1843,$CG$7:$CG$1843,CG1339,$BH$7:$BH$1843,BH1339,$BX$7:$BX$1843,"&lt;="&amp;BX1339),"")</f>
        <v>3387.98305860806</v>
      </c>
      <c r="BJ1339" s="70" t="n">
        <f aca="false">IF(BI1339="",0,MAX(0,MIN(1,(IF(CG1339="L1",Parameter!$H$5,IF(CG1339="L23",Parameter!$H$6+Parameter!$H$7,Parameter!$H$5+Parameter!$H$6+Parameter!$H$7))-(BI1339-BD1339))/BD1339)))</f>
        <v>1</v>
      </c>
      <c r="BK1339" s="60" t="str">
        <f aca="false">IF(AJ1339&lt;=0,"",IF(CG1339="Aussen","Aussenlager",IF(CG1339="-","Nicht im Lift",IF(AP1339&gt;=1,"Lift",IF(AP1339&lt;=0,"Aussenlager","teilweise")))))</f>
        <v>Lift</v>
      </c>
      <c r="BL1339" s="60" t="str">
        <f aca="false">IF(AT1339&lt;=0,"",IF(CG1339="Aussen","Aussenlager",IF(CG1339="-","Nicht im Lift",IF(AZ1339&gt;=1,"Lift",IF(AZ1339&lt;=0,"Aussenlager","teilweise")))))</f>
        <v>Lift</v>
      </c>
      <c r="BM1339" s="60" t="str">
        <f aca="false">IF(BD1339&lt;=0,"",IF(CG1339="Aussen","Aussenlager",IF(CG1339="-","Nicht im Lift",IF(BJ1339&gt;=1,"Lift",IF(BJ1339&lt;=0,"Aussenlager","teilweise")))))</f>
        <v>Lift</v>
      </c>
      <c r="BN1339" s="60" t="str">
        <f aca="false">IF(A1339="","",IF(BW1339=1,"Neu; ","")&amp;IF(AND(BW1339=0,BR1339&lt;0),"negativer Bestand (Export "&amp;BR1339&amp;"); ","")&amp;IF(J1339&lt;=0,"Kein Verbrauch; ","")&amp;IF(CR1339&gt;0,"Lift "&amp;W1339&amp;" lt. Liftbericht (Fach "&amp;X1339&amp;" Stk); ",IF(CB1339=1,"Gebinde geschätzt ("&amp;T1339&amp;"); ",IF(CA1339=1,"Lose – Tablare geschätzt; ","")))&amp;IF(H1339&gt;AW1339,"Überbestand "&amp;ROUND(H1339-AW1339,0)&amp;" Stk / CHF "&amp;ROUND((H1339-AW1339)*G1339,0)&amp;"; ","")&amp;IF(AND(CI1339=1,CJ1339&lt;CK1339),"MAX &lt; MB+LG; ","")&amp;IF(AND(CQ1339&gt;0,CP1339*10&gt;CQ1339),"zu hoch für Tablar; ","")&amp;IF(AND(BW1339=0,OR(CI1339=1,AB1339&lt;&gt;"",U1339&lt;&gt;"",V1339&lt;&gt;"",AC1339&lt;&gt;"")),"manuell übersteuert; ","")&amp;IF(AND(CA1339=0,R1339=0),"Gebinde unbekannt / Stellmass fehlt; ","")&amp;IF(AND(CA1339=0,N(V1339)&lt;=0,N(Q1339)&lt;=0),"Menge pro Gebinde fehlt (Ist = 1 Gebinde); ","")&amp;BV1339)</f>
        <v>negativer Bestand (Export -15); </v>
      </c>
      <c r="BO1339" s="60"/>
      <c r="BP1339" s="60"/>
      <c r="BQ1339" s="67"/>
      <c r="BR1339" s="62" t="n">
        <v>-15</v>
      </c>
      <c r="BS1339" s="62" t="n">
        <v>24</v>
      </c>
      <c r="BT1339" s="61" t="n">
        <v>-1726.41</v>
      </c>
      <c r="BU1339" s="62" t="n">
        <v>20</v>
      </c>
      <c r="BV1339" s="60"/>
      <c r="BW1339" s="65" t="n">
        <v>0</v>
      </c>
      <c r="BX1339" s="65" t="n">
        <v>1339</v>
      </c>
      <c r="BY1339" s="60" t="str">
        <f aca="false">IF(U1339&lt;&gt;"",UPPER(TRIM(U1339)),IF(CB1339=1,UPPER(VLOOKUP(T1339,Parameter!$I$27:$K$29,2,0)),IF(P1339="","LOSE",P1339)))</f>
        <v>S41</v>
      </c>
      <c r="BZ1339" s="62" t="n">
        <f aca="false">IF(BY1339="LOSE",1,IF(N(V1339)&gt;0,V1339,IF(CB1339=1,MAX(1,N(VLOOKUP(T1339,Parameter!$I$27:$K$29,3,0)),H1339,N(N1339)),IF(N(Q1339)&gt;0,Q1339,MAX(1,H1339)))))</f>
        <v>52</v>
      </c>
      <c r="CA1339" s="65" t="n">
        <f aca="false">IF(BY1339="LOSE",1,0)</f>
        <v>0</v>
      </c>
      <c r="CB1339" s="65" t="n">
        <f aca="false">IF(AND(U1339="",OR(P1339="",P1339="LOSE"),T1339&lt;&gt;"",N(S1339)&lt;=0,ISNUMBER(MATCH(T1339,Parameter!$I$27:$I$29,0))),1,0)</f>
        <v>0</v>
      </c>
      <c r="CC1339" s="65" t="n">
        <f aca="false">IF(CR1339&gt;0,INDEX(Parameter!$H$5:$H$7,W1339)/INDEX(Parameter!$E$5:$E$7,W1339),IF(AND(CA1339=0,N(IFERROR(VLOOKUP(BY1339,'Gebinde-Kategorie'!$A$5:$N$45,14,0),0))&gt;0),VLOOKUP(BY1339,'Gebinde-Kategorie'!$A$5:$N$45,14,0)*10+Parameter!$M$23,Parameter!$M$24))</f>
        <v>155</v>
      </c>
      <c r="CD1339" s="60" t="str">
        <f aca="false">IF(AND(Parameter!$B$19="Ja",E1339&lt;&gt;"",ISNUMBER(MATCH(E1339,Parameter!$I$35:$I$52,0))),VLOOKUP(E1339,Parameter!$I$35:$J$52,2,0),IFERROR(VLOOKUP(D1339,Parameter!$A$35:$C$64,2,0),"Nein"))</f>
        <v>2+3</v>
      </c>
      <c r="CE1339" s="64" t="n">
        <f aca="false">IF(CA1339=0,0,IF(N(S1339)&gt;0,S1339,IFERROR(VLOOKUP(D1339,Parameter!$A$35:$C$64,3,0)+0,0)))</f>
        <v>0</v>
      </c>
      <c r="CF1339" s="60" t="n">
        <f aca="false">IF(AB1339&lt;&gt;"",AB1339,AA1339)</f>
        <v>2</v>
      </c>
      <c r="CG1339" s="60" t="str">
        <f aca="false">IF(OR(CF1339=1,CF1339=2,CF1339=3),IF(Parameter!$E$27="Ja","LIFT",IF(CF1339=1,"L1","L23")),IF(CF1339="Aussen","Aussen","-"))</f>
        <v>LIFT</v>
      </c>
      <c r="CH1339" s="71" t="n">
        <f aca="false">IF(N(AC1339)&gt;0,AC1339,0)</f>
        <v>0</v>
      </c>
      <c r="CI1339" s="65" t="n">
        <f aca="false">IF(ISNUMBER(AF1339),1,0)</f>
        <v>0</v>
      </c>
      <c r="CJ1339" s="62" t="n">
        <f aca="false">N(AF1339)</f>
        <v>0</v>
      </c>
      <c r="CK1339" s="62" t="n">
        <f aca="false">N(M1339)+N(N1339)</f>
        <v>57</v>
      </c>
      <c r="CL1339" s="62" t="n">
        <f aca="false">N(M1339)</f>
        <v>7</v>
      </c>
      <c r="CM1339" s="62" t="n">
        <f aca="false">N(N1339)</f>
        <v>50</v>
      </c>
      <c r="CN1339" s="62" t="n">
        <f aca="false">ROUNDUP(H1339/BZ1339,0)</f>
        <v>1</v>
      </c>
      <c r="CO1339" s="62" t="n">
        <f aca="false">ROUNDUP(CJ1339/BZ1339,0)</f>
        <v>0</v>
      </c>
      <c r="CP1339" s="65" t="n">
        <f aca="false">IF(CA1339=1,0,IFERROR(VLOOKUP(BY1339,'Gebinde-Kategorie'!$A$5:$N$45,5,0)+0,0))</f>
        <v>11</v>
      </c>
      <c r="CQ1339" s="65" t="n">
        <f aca="false">IFERROR(IF(OR(CF1339=1,CF1339=2,CF1339=3),N(INDEX(Parameter!$I$5:$I$7,CF1339)),0),0)</f>
        <v>0</v>
      </c>
      <c r="CR1339" s="64" t="n">
        <f aca="false">IF(AND(Parameter!$B$21="Ja",ISNUMBER(W1339),N(X1339)&gt;0),IFERROR(N(INDEX(Parameter!$L$5:$L$7,W1339))*INDEX(Parameter!$E$5:$E$7,W1339)*X1339/SUMIFS($X$7:$X$1843,$W$7:$W$1843,W1339),0),0)</f>
        <v>0</v>
      </c>
      <c r="CS1339" s="62" t="n">
        <f aca="false">IF(AND(OR(CG1339="L1",CG1339="L23",CG1339="LIFT"),H1339&gt;0),CC1339*IF(CR1339&gt;0,CR1339*MAX(1,H1339/X1339),IF(CA1339=1,CE1339,IF(R1339&gt;0,CN1339/R1339,0))/MAX(0.1,N(Parameter!$M$21))),"")</f>
        <v>2.98076923076923</v>
      </c>
      <c r="CT1339" s="64" t="n">
        <f aca="false">IF(CS1339="","",J1339/H1339)</f>
        <v>2.22222222222222</v>
      </c>
      <c r="CU1339" s="62" t="n">
        <f aca="false">IF(CS1339="","",H1339*G1339)</f>
        <v>810.63</v>
      </c>
      <c r="CV1339" s="63" t="n">
        <f aca="false">IF(CS1339="","",(CL1339+ROUNDUP(CL1339+MAX(CM1339,2*(J1339/MAX(0.1,N(Einkauf!$C$6))-CL1339)),0))/2)</f>
        <v>32</v>
      </c>
      <c r="CW1339" s="62" t="n">
        <f aca="false">IF(CS1339="","",MAX(0,H1339-CV1339)*G1339)</f>
        <v>0</v>
      </c>
      <c r="CX1339" s="62" t="n">
        <f aca="false">IF(CS1339="","",CS1339*MAX(0,1-CV1339/H1339))</f>
        <v>0</v>
      </c>
      <c r="CY1339" s="64" t="n">
        <f aca="false">IF(CS1339="","",PERCENTRANK($CS$7:$CS$1843,CS1339)+PERCENTRANK($CU$7:$CU$1843,CU1339)+1-PERCENTRANK($CT$7:$CT$1843,CT1339))</f>
        <v>0.993</v>
      </c>
      <c r="CZ1339" s="72" t="n">
        <f aca="false">IF(CS1339="","",CHOOSE(MATCH(Einkauf!$C$5,Parameter!$G$23:$G$27,0),CY1339,CS1339,CU1339,-CT1339,CW1339)+ROW()/1000000000)</f>
        <v>0.993001339</v>
      </c>
    </row>
    <row r="1340" customFormat="false" ht="15" hidden="false" customHeight="false" outlineLevel="0" collapsed="false">
      <c r="A1340" s="60" t="s">
        <v>2413</v>
      </c>
      <c r="B1340" s="60" t="s">
        <v>2414</v>
      </c>
      <c r="C1340" s="60" t="s">
        <v>206</v>
      </c>
      <c r="D1340" s="60" t="s">
        <v>207</v>
      </c>
      <c r="E1340" s="60" t="s">
        <v>227</v>
      </c>
      <c r="F1340" s="60" t="s">
        <v>260</v>
      </c>
      <c r="G1340" s="61" t="n">
        <v>2313.78</v>
      </c>
      <c r="H1340" s="62" t="n">
        <f aca="false">MAX(0,IF(AND(Parameter!$B$21="Ja",ISNUMBER(Y1340)),Y1340,IF(Parameter!$B$20="Jahresanfang 2025 + Export",BS1340+BR1340,BR1340)))</f>
        <v>7</v>
      </c>
      <c r="I1340" s="62" t="n">
        <f aca="false">H1340*G1340</f>
        <v>16196.46</v>
      </c>
      <c r="J1340" s="62" t="n">
        <f aca="false">BU1340*Parameter!$B$18</f>
        <v>29</v>
      </c>
      <c r="K1340" s="63" t="n">
        <v>28</v>
      </c>
      <c r="L1340" s="64" t="n">
        <v>1.03571428571429</v>
      </c>
      <c r="M1340" s="62" t="n">
        <v>3</v>
      </c>
      <c r="N1340" s="62" t="n">
        <v>10</v>
      </c>
      <c r="O1340" s="65" t="n">
        <v>21</v>
      </c>
      <c r="P1340" s="60" t="s">
        <v>210</v>
      </c>
      <c r="Q1340" s="62"/>
      <c r="R1340" s="65" t="n">
        <f aca="false">IF(CA1340=1,0,IFERROR(VLOOKUP(BY1340,'Gebinde-Kategorie'!$A$5:$N$45,13,0)+0,0))</f>
        <v>0</v>
      </c>
      <c r="S1340" s="66"/>
      <c r="T1340" s="67"/>
      <c r="U1340" s="67"/>
      <c r="V1340" s="67"/>
      <c r="W1340" s="60" t="n">
        <v>1</v>
      </c>
      <c r="X1340" s="62" t="n">
        <v>15</v>
      </c>
      <c r="Y1340" s="62" t="n">
        <v>7</v>
      </c>
      <c r="Z1340" s="60" t="n">
        <v>1</v>
      </c>
      <c r="AA1340" s="60" t="n">
        <f aca="false">IF(A1340="","",IF(AND(Parameter!$B$21="Ja",ISNUMBER(W1340)),W1340,IF(AND(Parameter!$E$27="Ja",ISNUMBER(Z1340),CD1340&lt;&gt;"Nein"),Z1340,IF(CD1340="2+3",IF(ISNUMBER(SEARCH("grosser Artikel",BV1340)),2,IFERROR(VLOOKUP(BY1340,Parameter!$F$35:$G$64,2,0),2)),IF(OR(CD1340="Nein",CD1340=""),"-",CD1340)))))</f>
        <v>1</v>
      </c>
      <c r="AB1340" s="67"/>
      <c r="AC1340" s="68"/>
      <c r="AD1340" s="62" t="n">
        <f aca="false">AW1340</f>
        <v>17</v>
      </c>
      <c r="AE1340" s="62" t="n">
        <f aca="false">MAX(AW1340,H1340)</f>
        <v>17</v>
      </c>
      <c r="AF1340" s="69"/>
      <c r="AG1340" s="62" t="n">
        <f aca="false">IF(LEFT(Cockpit!$C$5,1)="A",H1340,IF(Parameter!$E$30="MAX-Bestand",IF(CI1340=1,CJ1340,IF(LEFT(Cockpit!$C$5,1)="B",AM1340,MAX(AM1340,H1340))),ROUNDUP(AK1340,0)))</f>
        <v>7</v>
      </c>
      <c r="AH1340" s="62" t="n">
        <f aca="false">IF(CA1340=1,0,ROUNDUP(AG1340/BZ1340,0))</f>
        <v>0</v>
      </c>
      <c r="AI1340" s="64" t="n">
        <f aca="false">IF(CR1340&gt;0,CR1340*MAX(1,AG1340/X1340),IF(CA1340=1,IF(AG1340&lt;=0,0,CE1340*MAX(1,IF(H1340&gt;0,AG1340/H1340,1))),IF(R1340&gt;0,AH1340/R1340,0))/MAX(0.1,N(Parameter!$M$21)))</f>
        <v>1.20056497175141</v>
      </c>
      <c r="AJ1340" s="62" t="n">
        <f aca="false">AI1340*CC1340</f>
        <v>285.734463276836</v>
      </c>
      <c r="AK1340" s="63" t="n">
        <f aca="false">IF(LEFT(Cockpit!$C$5,1)="A",H1340,IF(CI1340=1,(CL1340+CJ1340)/2,IF(LEFT(Cockpit!$C$5,1)="B",(CL1340+AM1340)/2,MAX((CL1340+AM1340)/2,H1340))))</f>
        <v>7</v>
      </c>
      <c r="AL1340" s="62" t="n">
        <f aca="false">AK1340*G1340</f>
        <v>16196.46</v>
      </c>
      <c r="AM1340" s="62" t="n">
        <f aca="false">ROUNDUP(CL1340+MAX(CM1340,2*(J1340/IF(CH1340&gt;0,CH1340,MAX(0.1,N(Cockpit!$C$6)))-CL1340)),0)</f>
        <v>17</v>
      </c>
      <c r="AN1340" s="63" t="n">
        <f aca="false">IF(AJ1340&gt;0,J1340/AJ1340,-1)</f>
        <v>0.101492832427088</v>
      </c>
      <c r="AO1340" s="63" t="n">
        <f aca="false">IF(AND(OR(CG1340="L1",CG1340="L23",CG1340="LIFT"),AJ1340&gt;0),SUMIFS($AJ$7:$AJ$1843,$CG$7:$CG$1843,CG1340,$AN$7:$AN$1843,"&gt;"&amp;AN1340)+SUMIFS($AJ$7:$AJ$1843,$CG$7:$CG$1843,CG1340,$AN$7:$AN$1843,AN1340,$BX$7:$BX$1843,"&lt;="&amp;BX1340),"")</f>
        <v>16444.9866905693</v>
      </c>
      <c r="AP1340" s="70" t="n">
        <f aca="false">IF(AO1340="",0,MAX(0,MIN(1,(IF(CG1340="L1",Parameter!$H$5,IF(CG1340="L23",Parameter!$H$6+Parameter!$H$7,Parameter!$H$5+Parameter!$H$6+Parameter!$H$7))-(AO1340-AJ1340))/AJ1340)))</f>
        <v>1</v>
      </c>
      <c r="AQ1340" s="62" t="n">
        <f aca="false">IF(LEFT(Cockpit!$I$5,1)="A",H1340,IF(Parameter!$E$30="MAX-Bestand",IF(CI1340=1,CJ1340,IF(LEFT(Cockpit!$I$5,1)="B",AW1340,MAX(AW1340,H1340))),ROUNDUP(AU1340,0)))</f>
        <v>10</v>
      </c>
      <c r="AR1340" s="62" t="n">
        <f aca="false">IF(CA1340=1,0,ROUNDUP(AQ1340/BZ1340,0))</f>
        <v>0</v>
      </c>
      <c r="AS1340" s="64" t="n">
        <f aca="false">IF(CR1340&gt;0,CR1340*MAX(1,AQ1340/X1340),IF(CA1340=1,IF(AQ1340&lt;=0,0,CE1340*MAX(1,IF(H1340&gt;0,AQ1340/H1340,1))),IF(R1340&gt;0,AR1340/R1340,0))/MAX(0.1,N(Parameter!$M$21)))</f>
        <v>1.20056497175141</v>
      </c>
      <c r="AT1340" s="62" t="n">
        <f aca="false">AS1340*CC1340</f>
        <v>285.734463276836</v>
      </c>
      <c r="AU1340" s="63" t="n">
        <f aca="false">IF(LEFT(Cockpit!$I$5,1)="A",H1340,IF(CI1340=1,(CL1340+CJ1340)/2,IF(LEFT(Cockpit!$I$5,1)="B",(CL1340+AW1340)/2,MAX((CL1340+AW1340)/2,H1340))))</f>
        <v>10</v>
      </c>
      <c r="AV1340" s="62" t="n">
        <f aca="false">AU1340*G1340</f>
        <v>23137.8</v>
      </c>
      <c r="AW1340" s="62" t="n">
        <f aca="false">ROUNDUP(CL1340+MAX(CM1340,2*(J1340/IF(CH1340&gt;0,CH1340,MAX(0.1,N(Cockpit!$I$6)))-CL1340)),0)</f>
        <v>17</v>
      </c>
      <c r="AX1340" s="63" t="n">
        <f aca="false">IF(AT1340&gt;0,J1340/AT1340,-1)</f>
        <v>0.101492832427088</v>
      </c>
      <c r="AY1340" s="63" t="n">
        <f aca="false">IF(AND(OR(CG1340="L1",CG1340="L23",CG1340="LIFT"),AT1340&gt;0),SUMIFS($AT$7:$AT$1843,$CG$7:$CG$1843,CG1340,$AX$7:$AX$1843,"&gt;"&amp;AX1340)+SUMIFS($AT$7:$AT$1843,$CG$7:$CG$1843,CG1340,$AX$7:$AX$1843,AX1340,$BX$7:$BX$1843,"&lt;="&amp;BX1340),"")</f>
        <v>21174.3853319468</v>
      </c>
      <c r="AZ1340" s="70" t="n">
        <f aca="false">IF(AY1340="",0,MAX(0,MIN(1,(IF(CG1340="L1",Parameter!$H$5,IF(CG1340="L23",Parameter!$H$6+Parameter!$H$7,Parameter!$H$5+Parameter!$H$6+Parameter!$H$7))-(AY1340-AT1340))/AT1340)))</f>
        <v>1</v>
      </c>
      <c r="BA1340" s="62" t="n">
        <f aca="false">IF(LEFT(Cockpit!$O$5,1)="A",H1340,IF(Parameter!$E$30="MAX-Bestand",IF(CI1340=1,CJ1340,IF(LEFT(Cockpit!$O$5,1)="B",BG1340,MAX(BG1340,H1340))),ROUNDUP(BE1340,0)))</f>
        <v>8</v>
      </c>
      <c r="BB1340" s="62" t="n">
        <f aca="false">IF(CA1340=1,0,ROUNDUP(BA1340/BZ1340,0))</f>
        <v>0</v>
      </c>
      <c r="BC1340" s="64" t="n">
        <f aca="false">IF(CR1340&gt;0,CR1340*MAX(1,BA1340/X1340),IF(CA1340=1,IF(BA1340&lt;=0,0,CE1340*MAX(1,IF(H1340&gt;0,BA1340/H1340,1))),IF(R1340&gt;0,BB1340/R1340,0))/MAX(0.1,N(Parameter!$M$21)))</f>
        <v>1.20056497175141</v>
      </c>
      <c r="BD1340" s="62" t="n">
        <f aca="false">BC1340*CC1340</f>
        <v>285.734463276836</v>
      </c>
      <c r="BE1340" s="63" t="n">
        <f aca="false">IF(LEFT(Cockpit!$O$5,1)="A",H1340,IF(CI1340=1,(CL1340+CJ1340)/2,IF(LEFT(Cockpit!$O$5,1)="B",(CL1340+BG1340)/2,MAX((CL1340+BG1340)/2,H1340))))</f>
        <v>8</v>
      </c>
      <c r="BF1340" s="62" t="n">
        <f aca="false">BE1340*G1340</f>
        <v>18510.24</v>
      </c>
      <c r="BG1340" s="62" t="n">
        <f aca="false">ROUNDUP(CL1340+MAX(CM1340,2*(J1340/IF(CH1340&gt;0,CH1340,MAX(0.1,N(Cockpit!$O$6)))-CL1340)),0)</f>
        <v>13</v>
      </c>
      <c r="BH1340" s="63" t="n">
        <f aca="false">IF(BD1340&gt;0,J1340/BD1340,-1)</f>
        <v>0.101492832427088</v>
      </c>
      <c r="BI1340" s="63" t="n">
        <f aca="false">IF(AND(OR(CG1340="L1",CG1340="L23",CG1340="LIFT"),BD1340&gt;0),SUMIFS($BD$7:$BD$1843,$CG$7:$CG$1843,CG1340,$BH$7:$BH$1843,"&gt;"&amp;BH1340)+SUMIFS($BD$7:$BD$1843,$CG$7:$CG$1843,CG1340,$BH$7:$BH$1843,BH1340,$BX$7:$BX$1843,"&lt;="&amp;BX1340),"")</f>
        <v>18020.6146111422</v>
      </c>
      <c r="BJ1340" s="70" t="n">
        <f aca="false">IF(BI1340="",0,MAX(0,MIN(1,(IF(CG1340="L1",Parameter!$H$5,IF(CG1340="L23",Parameter!$H$6+Parameter!$H$7,Parameter!$H$5+Parameter!$H$6+Parameter!$H$7))-(BI1340-BD1340))/BD1340)))</f>
        <v>1</v>
      </c>
      <c r="BK1340" s="60" t="str">
        <f aca="false">IF(AJ1340&lt;=0,"",IF(CG1340="Aussen","Aussenlager",IF(CG1340="-","Nicht im Lift",IF(AP1340&gt;=1,"Lift",IF(AP1340&lt;=0,"Aussenlager","teilweise")))))</f>
        <v>Lift</v>
      </c>
      <c r="BL1340" s="60" t="str">
        <f aca="false">IF(AT1340&lt;=0,"",IF(CG1340="Aussen","Aussenlager",IF(CG1340="-","Nicht im Lift",IF(AZ1340&gt;=1,"Lift",IF(AZ1340&lt;=0,"Aussenlager","teilweise")))))</f>
        <v>Lift</v>
      </c>
      <c r="BM1340" s="60" t="str">
        <f aca="false">IF(BD1340&lt;=0,"",IF(CG1340="Aussen","Aussenlager",IF(CG1340="-","Nicht im Lift",IF(BJ1340&gt;=1,"Lift",IF(BJ1340&lt;=0,"Aussenlager","teilweise")))))</f>
        <v>Lift</v>
      </c>
      <c r="BN1340" s="60" t="str">
        <f aca="false">IF(A1340="","",IF(BW1340=1,"Neu; ","")&amp;IF(AND(BW1340=0,BR1340&lt;0),"negativer Bestand (Export "&amp;BR1340&amp;"); ","")&amp;IF(J1340&lt;=0,"Kein Verbrauch; ","")&amp;IF(CR1340&gt;0,"Lift "&amp;W1340&amp;" lt. Liftbericht (Fach "&amp;X1340&amp;" Stk); ",IF(CB1340=1,"Gebinde geschätzt ("&amp;T1340&amp;"); ",IF(CA1340=1,"Lose – Tablare geschätzt; ","")))&amp;IF(H1340&gt;AW1340,"Überbestand "&amp;ROUND(H1340-AW1340,0)&amp;" Stk / CHF "&amp;ROUND((H1340-AW1340)*G1340,0)&amp;"; ","")&amp;IF(AND(CI1340=1,CJ1340&lt;CK1340),"MAX &lt; MB+LG; ","")&amp;IF(AND(CQ1340&gt;0,CP1340*10&gt;CQ1340),"zu hoch für Tablar; ","")&amp;IF(AND(BW1340=0,OR(CI1340=1,AB1340&lt;&gt;"",U1340&lt;&gt;"",V1340&lt;&gt;"",AC1340&lt;&gt;"")),"manuell übersteuert; ","")&amp;IF(AND(CA1340=0,R1340=0),"Gebinde unbekannt / Stellmass fehlt; ","")&amp;IF(AND(CA1340=0,N(V1340)&lt;=0,N(Q1340)&lt;=0),"Menge pro Gebinde fehlt (Ist = 1 Gebinde); ","")&amp;BV1340)</f>
        <v>Lift 1 lt. Liftbericht (Fach 15 Stk); grosser Artikel &amp; nicht im KTL</v>
      </c>
      <c r="BO1340" s="60"/>
      <c r="BP1340" s="60"/>
      <c r="BQ1340" s="67"/>
      <c r="BR1340" s="62" t="n">
        <v>0</v>
      </c>
      <c r="BS1340" s="62" t="n">
        <v>31</v>
      </c>
      <c r="BT1340" s="61" t="n">
        <v>-1735.11000000002</v>
      </c>
      <c r="BU1340" s="62" t="n">
        <v>29</v>
      </c>
      <c r="BV1340" s="60" t="s">
        <v>303</v>
      </c>
      <c r="BW1340" s="65" t="n">
        <v>0</v>
      </c>
      <c r="BX1340" s="65" t="n">
        <v>1340</v>
      </c>
      <c r="BY1340" s="60" t="str">
        <f aca="false">IF(U1340&lt;&gt;"",UPPER(TRIM(U1340)),IF(CB1340=1,UPPER(VLOOKUP(T1340,Parameter!$I$27:$K$29,2,0)),IF(P1340="","LOSE",P1340)))</f>
        <v>LOSE</v>
      </c>
      <c r="BZ1340" s="62" t="n">
        <f aca="false">IF(BY1340="LOSE",1,IF(N(V1340)&gt;0,V1340,IF(CB1340=1,MAX(1,N(VLOOKUP(T1340,Parameter!$I$27:$K$29,3,0)),H1340,N(N1340)),IF(N(Q1340)&gt;0,Q1340,MAX(1,H1340)))))</f>
        <v>1</v>
      </c>
      <c r="CA1340" s="65" t="n">
        <f aca="false">IF(BY1340="LOSE",1,0)</f>
        <v>1</v>
      </c>
      <c r="CB1340" s="65" t="n">
        <f aca="false">IF(AND(U1340="",OR(P1340="",P1340="LOSE"),T1340&lt;&gt;"",N(S1340)&lt;=0,ISNUMBER(MATCH(T1340,Parameter!$I$27:$I$29,0))),1,0)</f>
        <v>0</v>
      </c>
      <c r="CC1340" s="65" t="n">
        <f aca="false">IF(CR1340&gt;0,INDEX(Parameter!$H$5:$H$7,W1340)/INDEX(Parameter!$E$5:$E$7,W1340),IF(AND(CA1340=0,N(IFERROR(VLOOKUP(BY1340,'Gebinde-Kategorie'!$A$5:$N$45,14,0),0))&gt;0),VLOOKUP(BY1340,'Gebinde-Kategorie'!$A$5:$N$45,14,0)*10+Parameter!$M$23,Parameter!$M$24))</f>
        <v>238</v>
      </c>
      <c r="CD1340" s="60" t="str">
        <f aca="false">IF(AND(Parameter!$B$19="Ja",E1340&lt;&gt;"",ISNUMBER(MATCH(E1340,Parameter!$I$35:$I$52,0))),VLOOKUP(E1340,Parameter!$I$35:$J$52,2,0),IFERROR(VLOOKUP(D1340,Parameter!$A$35:$C$64,2,0),"Nein"))</f>
        <v>2+3</v>
      </c>
      <c r="CE1340" s="64" t="n">
        <f aca="false">IF(CA1340=0,0,IF(N(S1340)&gt;0,S1340,IFERROR(VLOOKUP(D1340,Parameter!$A$35:$C$64,3,0)+0,0)))</f>
        <v>1</v>
      </c>
      <c r="CF1340" s="60" t="n">
        <f aca="false">IF(AB1340&lt;&gt;"",AB1340,AA1340)</f>
        <v>1</v>
      </c>
      <c r="CG1340" s="60" t="str">
        <f aca="false">IF(OR(CF1340=1,CF1340=2,CF1340=3),IF(Parameter!$E$27="Ja","LIFT",IF(CF1340=1,"L1","L23")),IF(CF1340="Aussen","Aussen","-"))</f>
        <v>LIFT</v>
      </c>
      <c r="CH1340" s="71" t="n">
        <f aca="false">IF(N(AC1340)&gt;0,AC1340,0)</f>
        <v>0</v>
      </c>
      <c r="CI1340" s="65" t="n">
        <f aca="false">IF(ISNUMBER(AF1340),1,0)</f>
        <v>0</v>
      </c>
      <c r="CJ1340" s="62" t="n">
        <f aca="false">N(AF1340)</f>
        <v>0</v>
      </c>
      <c r="CK1340" s="62" t="n">
        <f aca="false">N(M1340)+N(N1340)</f>
        <v>13</v>
      </c>
      <c r="CL1340" s="62" t="n">
        <f aca="false">N(M1340)</f>
        <v>3</v>
      </c>
      <c r="CM1340" s="62" t="n">
        <f aca="false">N(N1340)</f>
        <v>10</v>
      </c>
      <c r="CN1340" s="62" t="n">
        <f aca="false">ROUNDUP(H1340/BZ1340,0)</f>
        <v>7</v>
      </c>
      <c r="CO1340" s="62" t="n">
        <f aca="false">ROUNDUP(CJ1340/BZ1340,0)</f>
        <v>0</v>
      </c>
      <c r="CP1340" s="65" t="n">
        <f aca="false">IF(CA1340=1,0,IFERROR(VLOOKUP(BY1340,'Gebinde-Kategorie'!$A$5:$N$45,5,0)+0,0))</f>
        <v>0</v>
      </c>
      <c r="CQ1340" s="65" t="n">
        <f aca="false">IFERROR(IF(OR(CF1340=1,CF1340=2,CF1340=3),N(INDEX(Parameter!$I$5:$I$7,CF1340)),0),0)</f>
        <v>0</v>
      </c>
      <c r="CR1340" s="64" t="n">
        <f aca="false">IF(AND(Parameter!$B$21="Ja",ISNUMBER(W1340),N(X1340)&gt;0),IFERROR(N(INDEX(Parameter!$L$5:$L$7,W1340))*INDEX(Parameter!$E$5:$E$7,W1340)*X1340/SUMIFS($X$7:$X$1843,$W$7:$W$1843,W1340),0),0)</f>
        <v>1.20056497175141</v>
      </c>
      <c r="CS1340" s="62" t="n">
        <f aca="false">IF(AND(OR(CG1340="L1",CG1340="L23",CG1340="LIFT"),H1340&gt;0),CC1340*IF(CR1340&gt;0,CR1340*MAX(1,H1340/X1340),IF(CA1340=1,CE1340,IF(R1340&gt;0,CN1340/R1340,0))/MAX(0.1,N(Parameter!$M$21))),"")</f>
        <v>285.734463276836</v>
      </c>
      <c r="CT1340" s="64" t="n">
        <f aca="false">IF(CS1340="","",J1340/H1340)</f>
        <v>4.14285714285714</v>
      </c>
      <c r="CU1340" s="62" t="n">
        <f aca="false">IF(CS1340="","",H1340*G1340)</f>
        <v>16196.46</v>
      </c>
      <c r="CV1340" s="63" t="n">
        <f aca="false">IF(CS1340="","",(CL1340+ROUNDUP(CL1340+MAX(CM1340,2*(J1340/MAX(0.1,N(Einkauf!$C$6))-CL1340)),0))/2)</f>
        <v>8</v>
      </c>
      <c r="CW1340" s="62" t="n">
        <f aca="false">IF(CS1340="","",MAX(0,H1340-CV1340)*G1340)</f>
        <v>0</v>
      </c>
      <c r="CX1340" s="62" t="n">
        <f aca="false">IF(CS1340="","",CS1340*MAX(0,1-CV1340/H1340))</f>
        <v>0</v>
      </c>
      <c r="CY1340" s="64" t="n">
        <f aca="false">IF(CS1340="","",PERCENTRANK($CS$7:$CS$1843,CS1340)+PERCENTRANK($CU$7:$CU$1843,CU1340)+1-PERCENTRANK($CT$7:$CT$1843,CT1340))</f>
        <v>2.019</v>
      </c>
      <c r="CZ1340" s="72" t="n">
        <f aca="false">IF(CS1340="","",CHOOSE(MATCH(Einkauf!$C$5,Parameter!$G$23:$G$27,0),CY1340,CS1340,CU1340,-CT1340,CW1340)+ROW()/1000000000)</f>
        <v>2.01900134</v>
      </c>
    </row>
    <row r="1341" customFormat="false" ht="15" hidden="false" customHeight="false" outlineLevel="0" collapsed="false">
      <c r="A1341" s="60" t="s">
        <v>2415</v>
      </c>
      <c r="B1341" s="60" t="s">
        <v>531</v>
      </c>
      <c r="C1341" s="60" t="s">
        <v>206</v>
      </c>
      <c r="D1341" s="60" t="s">
        <v>226</v>
      </c>
      <c r="E1341" s="60" t="s">
        <v>227</v>
      </c>
      <c r="F1341" s="60" t="s">
        <v>260</v>
      </c>
      <c r="G1341" s="61" t="n">
        <v>12.6</v>
      </c>
      <c r="H1341" s="62" t="n">
        <f aca="false">MAX(0,IF(AND(Parameter!$B$21="Ja",ISNUMBER(Y1341)),Y1341,IF(Parameter!$B$20="Jahresanfang 2025 + Export",BS1341+BR1341,BR1341)))</f>
        <v>35</v>
      </c>
      <c r="I1341" s="62" t="n">
        <f aca="false">H1341*G1341</f>
        <v>441</v>
      </c>
      <c r="J1341" s="62" t="n">
        <f aca="false">BU1341*Parameter!$B$18</f>
        <v>501</v>
      </c>
      <c r="K1341" s="63" t="n">
        <v>182</v>
      </c>
      <c r="L1341" s="64" t="n">
        <v>2.75274725274725</v>
      </c>
      <c r="M1341" s="62" t="n">
        <v>10</v>
      </c>
      <c r="N1341" s="62" t="n">
        <v>200</v>
      </c>
      <c r="O1341" s="65" t="n">
        <v>7</v>
      </c>
      <c r="P1341" s="60" t="s">
        <v>275</v>
      </c>
      <c r="Q1341" s="62" t="n">
        <v>179</v>
      </c>
      <c r="R1341" s="65" t="n">
        <f aca="false">IF(CA1341=1,0,IFERROR(VLOOKUP(BY1341,'Gebinde-Kategorie'!$A$5:$N$45,13,0)+0,0))</f>
        <v>26</v>
      </c>
      <c r="S1341" s="66"/>
      <c r="T1341" s="67"/>
      <c r="U1341" s="67"/>
      <c r="V1341" s="67"/>
      <c r="W1341" s="60"/>
      <c r="X1341" s="62"/>
      <c r="Y1341" s="62"/>
      <c r="Z1341" s="60" t="n">
        <v>3</v>
      </c>
      <c r="AA1341" s="60" t="n">
        <f aca="false">IF(A1341="","",IF(AND(Parameter!$B$21="Ja",ISNUMBER(W1341)),W1341,IF(AND(Parameter!$E$27="Ja",ISNUMBER(Z1341),CD1341&lt;&gt;"Nein"),Z1341,IF(CD1341="2+3",IF(ISNUMBER(SEARCH("grosser Artikel",BV1341)),2,IFERROR(VLOOKUP(BY1341,Parameter!$F$35:$G$64,2,0),2)),IF(OR(CD1341="Nein",CD1341=""),"-",CD1341)))))</f>
        <v>3</v>
      </c>
      <c r="AB1341" s="67"/>
      <c r="AC1341" s="68"/>
      <c r="AD1341" s="62" t="n">
        <f aca="false">AW1341</f>
        <v>324</v>
      </c>
      <c r="AE1341" s="62" t="n">
        <f aca="false">MAX(AW1341,H1341)</f>
        <v>324</v>
      </c>
      <c r="AF1341" s="69"/>
      <c r="AG1341" s="62" t="n">
        <f aca="false">IF(LEFT(Cockpit!$C$5,1)="A",H1341,IF(Parameter!$E$30="MAX-Bestand",IF(CI1341=1,CJ1341,IF(LEFT(Cockpit!$C$5,1)="B",AM1341,MAX(AM1341,H1341))),ROUNDUP(AK1341,0)))</f>
        <v>35</v>
      </c>
      <c r="AH1341" s="62" t="n">
        <f aca="false">IF(CA1341=1,0,ROUNDUP(AG1341/BZ1341,0))</f>
        <v>1</v>
      </c>
      <c r="AI1341" s="64" t="n">
        <f aca="false">IF(CR1341&gt;0,CR1341*MAX(1,AG1341/X1341),IF(CA1341=1,IF(AG1341&lt;=0,0,CE1341*MAX(1,IF(H1341&gt;0,AG1341/H1341,1))),IF(R1341&gt;0,AH1341/R1341,0))/MAX(0.1,N(Parameter!$M$21)))</f>
        <v>0.0384615384615385</v>
      </c>
      <c r="AJ1341" s="62" t="n">
        <f aca="false">AI1341*CC1341</f>
        <v>9.42307692307692</v>
      </c>
      <c r="AK1341" s="63" t="n">
        <f aca="false">IF(LEFT(Cockpit!$C$5,1)="A",H1341,IF(CI1341=1,(CL1341+CJ1341)/2,IF(LEFT(Cockpit!$C$5,1)="B",(CL1341+AM1341)/2,MAX((CL1341+AM1341)/2,H1341))))</f>
        <v>35</v>
      </c>
      <c r="AL1341" s="62" t="n">
        <f aca="false">AK1341*G1341</f>
        <v>441</v>
      </c>
      <c r="AM1341" s="62" t="n">
        <f aca="false">ROUNDUP(CL1341+MAX(CM1341,2*(J1341/IF(CH1341&gt;0,CH1341,MAX(0.1,N(Cockpit!$C$6)))-CL1341)),0)</f>
        <v>324</v>
      </c>
      <c r="AN1341" s="63" t="n">
        <f aca="false">IF(AJ1341&gt;0,J1341/AJ1341,-1)</f>
        <v>53.1673469387755</v>
      </c>
      <c r="AO1341" s="63" t="n">
        <f aca="false">IF(AND(OR(CG1341="L1",CG1341="L23",CG1341="LIFT"),AJ1341&gt;0),SUMIFS($AJ$7:$AJ$1843,$CG$7:$CG$1843,CG1341,$AN$7:$AN$1843,"&gt;"&amp;AN1341)+SUMIFS($AJ$7:$AJ$1843,$CG$7:$CG$1843,CG1341,$AN$7:$AN$1843,AN1341,$BX$7:$BX$1843,"&lt;="&amp;BX1341),"")</f>
        <v>1011.97115384615</v>
      </c>
      <c r="AP1341" s="70" t="n">
        <f aca="false">IF(AO1341="",0,MAX(0,MIN(1,(IF(CG1341="L1",Parameter!$H$5,IF(CG1341="L23",Parameter!$H$6+Parameter!$H$7,Parameter!$H$5+Parameter!$H$6+Parameter!$H$7))-(AO1341-AJ1341))/AJ1341)))</f>
        <v>1</v>
      </c>
      <c r="AQ1341" s="62" t="n">
        <f aca="false">IF(LEFT(Cockpit!$I$5,1)="A",H1341,IF(Parameter!$E$30="MAX-Bestand",IF(CI1341=1,CJ1341,IF(LEFT(Cockpit!$I$5,1)="B",AW1341,MAX(AW1341,H1341))),ROUNDUP(AU1341,0)))</f>
        <v>167</v>
      </c>
      <c r="AR1341" s="62" t="n">
        <f aca="false">IF(CA1341=1,0,ROUNDUP(AQ1341/BZ1341,0))</f>
        <v>1</v>
      </c>
      <c r="AS1341" s="64" t="n">
        <f aca="false">IF(CR1341&gt;0,CR1341*MAX(1,AQ1341/X1341),IF(CA1341=1,IF(AQ1341&lt;=0,0,CE1341*MAX(1,IF(H1341&gt;0,AQ1341/H1341,1))),IF(R1341&gt;0,AR1341/R1341,0))/MAX(0.1,N(Parameter!$M$21)))</f>
        <v>0.0384615384615385</v>
      </c>
      <c r="AT1341" s="62" t="n">
        <f aca="false">AS1341*CC1341</f>
        <v>9.42307692307692</v>
      </c>
      <c r="AU1341" s="63" t="n">
        <f aca="false">IF(LEFT(Cockpit!$I$5,1)="A",H1341,IF(CI1341=1,(CL1341+CJ1341)/2,IF(LEFT(Cockpit!$I$5,1)="B",(CL1341+AW1341)/2,MAX((CL1341+AW1341)/2,H1341))))</f>
        <v>167</v>
      </c>
      <c r="AV1341" s="62" t="n">
        <f aca="false">AU1341*G1341</f>
        <v>2104.2</v>
      </c>
      <c r="AW1341" s="62" t="n">
        <f aca="false">ROUNDUP(CL1341+MAX(CM1341,2*(J1341/IF(CH1341&gt;0,CH1341,MAX(0.1,N(Cockpit!$I$6)))-CL1341)),0)</f>
        <v>324</v>
      </c>
      <c r="AX1341" s="63" t="n">
        <f aca="false">IF(AT1341&gt;0,J1341/AT1341,-1)</f>
        <v>53.1673469387755</v>
      </c>
      <c r="AY1341" s="63" t="n">
        <f aca="false">IF(AND(OR(CG1341="L1",CG1341="L23",CG1341="LIFT"),AT1341&gt;0),SUMIFS($AT$7:$AT$1843,$CG$7:$CG$1843,CG1341,$AX$7:$AX$1843,"&gt;"&amp;AX1341)+SUMIFS($AT$7:$AT$1843,$CG$7:$CG$1843,CG1341,$AX$7:$AX$1843,AX1341,$BX$7:$BX$1843,"&lt;="&amp;BX1341),"")</f>
        <v>1295.66712454212</v>
      </c>
      <c r="AZ1341" s="70" t="n">
        <f aca="false">IF(AY1341="",0,MAX(0,MIN(1,(IF(CG1341="L1",Parameter!$H$5,IF(CG1341="L23",Parameter!$H$6+Parameter!$H$7,Parameter!$H$5+Parameter!$H$6+Parameter!$H$7))-(AY1341-AT1341))/AT1341)))</f>
        <v>1</v>
      </c>
      <c r="BA1341" s="62" t="n">
        <f aca="false">IF(LEFT(Cockpit!$O$5,1)="A",H1341,IF(Parameter!$E$30="MAX-Bestand",IF(CI1341=1,CJ1341,IF(LEFT(Cockpit!$O$5,1)="B",BG1341,MAX(BG1341,H1341))),ROUNDUP(BE1341,0)))</f>
        <v>126</v>
      </c>
      <c r="BB1341" s="62" t="n">
        <f aca="false">IF(CA1341=1,0,ROUNDUP(BA1341/BZ1341,0))</f>
        <v>1</v>
      </c>
      <c r="BC1341" s="64" t="n">
        <f aca="false">IF(CR1341&gt;0,CR1341*MAX(1,BA1341/X1341),IF(CA1341=1,IF(BA1341&lt;=0,0,CE1341*MAX(1,IF(H1341&gt;0,BA1341/H1341,1))),IF(R1341&gt;0,BB1341/R1341,0))/MAX(0.1,N(Parameter!$M$21)))</f>
        <v>0.0384615384615385</v>
      </c>
      <c r="BD1341" s="62" t="n">
        <f aca="false">BC1341*CC1341</f>
        <v>9.42307692307692</v>
      </c>
      <c r="BE1341" s="63" t="n">
        <f aca="false">IF(LEFT(Cockpit!$O$5,1)="A",H1341,IF(CI1341=1,(CL1341+CJ1341)/2,IF(LEFT(Cockpit!$O$5,1)="B",(CL1341+BG1341)/2,MAX((CL1341+BG1341)/2,H1341))))</f>
        <v>125.5</v>
      </c>
      <c r="BF1341" s="62" t="n">
        <f aca="false">BE1341*G1341</f>
        <v>1581.3</v>
      </c>
      <c r="BG1341" s="62" t="n">
        <f aca="false">ROUNDUP(CL1341+MAX(CM1341,2*(J1341/IF(CH1341&gt;0,CH1341,MAX(0.1,N(Cockpit!$O$6)))-CL1341)),0)</f>
        <v>241</v>
      </c>
      <c r="BH1341" s="63" t="n">
        <f aca="false">IF(BD1341&gt;0,J1341/BD1341,-1)</f>
        <v>53.1673469387755</v>
      </c>
      <c r="BI1341" s="63" t="n">
        <f aca="false">IF(AND(OR(CG1341="L1",CG1341="L23",CG1341="LIFT"),BD1341&gt;0),SUMIFS($BD$7:$BD$1843,$CG$7:$CG$1843,CG1341,$BH$7:$BH$1843,"&gt;"&amp;BH1341)+SUMIFS($BD$7:$BD$1843,$CG$7:$CG$1843,CG1341,$BH$7:$BH$1843,BH1341,$BX$7:$BX$1843,"&lt;="&amp;BX1341),"")</f>
        <v>1189.12362637363</v>
      </c>
      <c r="BJ1341" s="70" t="n">
        <f aca="false">IF(BI1341="",0,MAX(0,MIN(1,(IF(CG1341="L1",Parameter!$H$5,IF(CG1341="L23",Parameter!$H$6+Parameter!$H$7,Parameter!$H$5+Parameter!$H$6+Parameter!$H$7))-(BI1341-BD1341))/BD1341)))</f>
        <v>1</v>
      </c>
      <c r="BK1341" s="60" t="str">
        <f aca="false">IF(AJ1341&lt;=0,"",IF(CG1341="Aussen","Aussenlager",IF(CG1341="-","Nicht im Lift",IF(AP1341&gt;=1,"Lift",IF(AP1341&lt;=0,"Aussenlager","teilweise")))))</f>
        <v>Lift</v>
      </c>
      <c r="BL1341" s="60" t="str">
        <f aca="false">IF(AT1341&lt;=0,"",IF(CG1341="Aussen","Aussenlager",IF(CG1341="-","Nicht im Lift",IF(AZ1341&gt;=1,"Lift",IF(AZ1341&lt;=0,"Aussenlager","teilweise")))))</f>
        <v>Lift</v>
      </c>
      <c r="BM1341" s="60" t="str">
        <f aca="false">IF(BD1341&lt;=0,"",IF(CG1341="Aussen","Aussenlager",IF(CG1341="-","Nicht im Lift",IF(BJ1341&gt;=1,"Lift",IF(BJ1341&lt;=0,"Aussenlager","teilweise")))))</f>
        <v>Lift</v>
      </c>
      <c r="BN1341" s="60" t="str">
        <f aca="false">IF(A1341="","",IF(BW1341=1,"Neu; ","")&amp;IF(AND(BW1341=0,BR1341&lt;0),"negativer Bestand (Export "&amp;BR1341&amp;"); ","")&amp;IF(J1341&lt;=0,"Kein Verbrauch; ","")&amp;IF(CR1341&gt;0,"Lift "&amp;W1341&amp;" lt. Liftbericht (Fach "&amp;X1341&amp;" Stk); ",IF(CB1341=1,"Gebinde geschätzt ("&amp;T1341&amp;"); ",IF(CA1341=1,"Lose – Tablare geschätzt; ","")))&amp;IF(H1341&gt;AW1341,"Überbestand "&amp;ROUND(H1341-AW1341,0)&amp;" Stk / CHF "&amp;ROUND((H1341-AW1341)*G1341,0)&amp;"; ","")&amp;IF(AND(CI1341=1,CJ1341&lt;CK1341),"MAX &lt; MB+LG; ","")&amp;IF(AND(CQ1341&gt;0,CP1341*10&gt;CQ1341),"zu hoch für Tablar; ","")&amp;IF(AND(BW1341=0,OR(CI1341=1,AB1341&lt;&gt;"",U1341&lt;&gt;"",V1341&lt;&gt;"",AC1341&lt;&gt;"")),"manuell übersteuert; ","")&amp;IF(AND(CA1341=0,R1341=0),"Gebinde unbekannt / Stellmass fehlt; ","")&amp;IF(AND(CA1341=0,N(V1341)&lt;=0,N(Q1341)&lt;=0),"Menge pro Gebinde fehlt (Ist = 1 Gebinde); ","")&amp;BV1341)</f>
        <v>negativer Bestand (Export -136); </v>
      </c>
      <c r="BO1341" s="60"/>
      <c r="BP1341" s="60"/>
      <c r="BQ1341" s="67"/>
      <c r="BR1341" s="62" t="n">
        <v>-136</v>
      </c>
      <c r="BS1341" s="62" t="n">
        <v>171</v>
      </c>
      <c r="BT1341" s="61" t="n">
        <v>-1772.05</v>
      </c>
      <c r="BU1341" s="62" t="n">
        <v>501</v>
      </c>
      <c r="BV1341" s="60"/>
      <c r="BW1341" s="65" t="n">
        <v>0</v>
      </c>
      <c r="BX1341" s="65" t="n">
        <v>1341</v>
      </c>
      <c r="BY1341" s="60" t="str">
        <f aca="false">IF(U1341&lt;&gt;"",UPPER(TRIM(U1341)),IF(CB1341=1,UPPER(VLOOKUP(T1341,Parameter!$I$27:$K$29,2,0)),IF(P1341="","LOSE",P1341)))</f>
        <v>S52</v>
      </c>
      <c r="BZ1341" s="62" t="n">
        <f aca="false">IF(BY1341="LOSE",1,IF(N(V1341)&gt;0,V1341,IF(CB1341=1,MAX(1,N(VLOOKUP(T1341,Parameter!$I$27:$K$29,3,0)),H1341,N(N1341)),IF(N(Q1341)&gt;0,Q1341,MAX(1,H1341)))))</f>
        <v>179</v>
      </c>
      <c r="CA1341" s="65" t="n">
        <f aca="false">IF(BY1341="LOSE",1,0)</f>
        <v>0</v>
      </c>
      <c r="CB1341" s="65" t="n">
        <f aca="false">IF(AND(U1341="",OR(P1341="",P1341="LOSE"),T1341&lt;&gt;"",N(S1341)&lt;=0,ISNUMBER(MATCH(T1341,Parameter!$I$27:$I$29,0))),1,0)</f>
        <v>0</v>
      </c>
      <c r="CC1341" s="65" t="n">
        <f aca="false">IF(CR1341&gt;0,INDEX(Parameter!$H$5:$H$7,W1341)/INDEX(Parameter!$E$5:$E$7,W1341),IF(AND(CA1341=0,N(IFERROR(VLOOKUP(BY1341,'Gebinde-Kategorie'!$A$5:$N$45,14,0),0))&gt;0),VLOOKUP(BY1341,'Gebinde-Kategorie'!$A$5:$N$45,14,0)*10+Parameter!$M$23,Parameter!$M$24))</f>
        <v>245</v>
      </c>
      <c r="CD1341" s="60" t="str">
        <f aca="false">IF(AND(Parameter!$B$19="Ja",E1341&lt;&gt;"",ISNUMBER(MATCH(E1341,Parameter!$I$35:$I$52,0))),VLOOKUP(E1341,Parameter!$I$35:$J$52,2,0),IFERROR(VLOOKUP(D1341,Parameter!$A$35:$C$64,2,0),"Nein"))</f>
        <v>2+3</v>
      </c>
      <c r="CE1341" s="64" t="n">
        <f aca="false">IF(CA1341=0,0,IF(N(S1341)&gt;0,S1341,IFERROR(VLOOKUP(D1341,Parameter!$A$35:$C$64,3,0)+0,0)))</f>
        <v>0</v>
      </c>
      <c r="CF1341" s="60" t="n">
        <f aca="false">IF(AB1341&lt;&gt;"",AB1341,AA1341)</f>
        <v>3</v>
      </c>
      <c r="CG1341" s="60" t="str">
        <f aca="false">IF(OR(CF1341=1,CF1341=2,CF1341=3),IF(Parameter!$E$27="Ja","LIFT",IF(CF1341=1,"L1","L23")),IF(CF1341="Aussen","Aussen","-"))</f>
        <v>LIFT</v>
      </c>
      <c r="CH1341" s="71" t="n">
        <f aca="false">IF(N(AC1341)&gt;0,AC1341,0)</f>
        <v>0</v>
      </c>
      <c r="CI1341" s="65" t="n">
        <f aca="false">IF(ISNUMBER(AF1341),1,0)</f>
        <v>0</v>
      </c>
      <c r="CJ1341" s="62" t="n">
        <f aca="false">N(AF1341)</f>
        <v>0</v>
      </c>
      <c r="CK1341" s="62" t="n">
        <f aca="false">N(M1341)+N(N1341)</f>
        <v>210</v>
      </c>
      <c r="CL1341" s="62" t="n">
        <f aca="false">N(M1341)</f>
        <v>10</v>
      </c>
      <c r="CM1341" s="62" t="n">
        <f aca="false">N(N1341)</f>
        <v>200</v>
      </c>
      <c r="CN1341" s="62" t="n">
        <f aca="false">ROUNDUP(H1341/BZ1341,0)</f>
        <v>1</v>
      </c>
      <c r="CO1341" s="62" t="n">
        <f aca="false">ROUNDUP(CJ1341/BZ1341,0)</f>
        <v>0</v>
      </c>
      <c r="CP1341" s="65" t="n">
        <f aca="false">IF(CA1341=1,0,IFERROR(VLOOKUP(BY1341,'Gebinde-Kategorie'!$A$5:$N$45,5,0)+0,0))</f>
        <v>21</v>
      </c>
      <c r="CQ1341" s="65" t="n">
        <f aca="false">IFERROR(IF(OR(CF1341=1,CF1341=2,CF1341=3),N(INDEX(Parameter!$I$5:$I$7,CF1341)),0),0)</f>
        <v>0</v>
      </c>
      <c r="CR1341" s="64" t="n">
        <f aca="false">IF(AND(Parameter!$B$21="Ja",ISNUMBER(W1341),N(X1341)&gt;0),IFERROR(N(INDEX(Parameter!$L$5:$L$7,W1341))*INDEX(Parameter!$E$5:$E$7,W1341)*X1341/SUMIFS($X$7:$X$1843,$W$7:$W$1843,W1341),0),0)</f>
        <v>0</v>
      </c>
      <c r="CS1341" s="62" t="n">
        <f aca="false">IF(AND(OR(CG1341="L1",CG1341="L23",CG1341="LIFT"),H1341&gt;0),CC1341*IF(CR1341&gt;0,CR1341*MAX(1,H1341/X1341),IF(CA1341=1,CE1341,IF(R1341&gt;0,CN1341/R1341,0))/MAX(0.1,N(Parameter!$M$21))),"")</f>
        <v>9.42307692307692</v>
      </c>
      <c r="CT1341" s="64" t="n">
        <f aca="false">IF(CS1341="","",J1341/H1341)</f>
        <v>14.3142857142857</v>
      </c>
      <c r="CU1341" s="62" t="n">
        <f aca="false">IF(CS1341="","",H1341*G1341)</f>
        <v>441</v>
      </c>
      <c r="CV1341" s="63" t="n">
        <f aca="false">IF(CS1341="","",(CL1341+ROUNDUP(CL1341+MAX(CM1341,2*(J1341/MAX(0.1,N(Einkauf!$C$6))-CL1341)),0))/2)</f>
        <v>125.5</v>
      </c>
      <c r="CW1341" s="62" t="n">
        <f aca="false">IF(CS1341="","",MAX(0,H1341-CV1341)*G1341)</f>
        <v>0</v>
      </c>
      <c r="CX1341" s="62" t="n">
        <f aca="false">IF(CS1341="","",CS1341*MAX(0,1-CV1341/H1341))</f>
        <v>0</v>
      </c>
      <c r="CY1341" s="64" t="n">
        <f aca="false">IF(CS1341="","",PERCENTRANK($CS$7:$CS$1843,CS1341)+PERCENTRANK($CU$7:$CU$1843,CU1341)+1-PERCENTRANK($CT$7:$CT$1843,CT1341))</f>
        <v>1.074</v>
      </c>
      <c r="CZ1341" s="72" t="n">
        <f aca="false">IF(CS1341="","",CHOOSE(MATCH(Einkauf!$C$5,Parameter!$G$23:$G$27,0),CY1341,CS1341,CU1341,-CT1341,CW1341)+ROW()/1000000000)</f>
        <v>1.074001341</v>
      </c>
    </row>
    <row r="1342" customFormat="false" ht="15" hidden="false" customHeight="false" outlineLevel="0" collapsed="false">
      <c r="A1342" s="60" t="s">
        <v>2416</v>
      </c>
      <c r="B1342" s="60" t="s">
        <v>2417</v>
      </c>
      <c r="C1342" s="60" t="s">
        <v>206</v>
      </c>
      <c r="D1342" s="60" t="s">
        <v>226</v>
      </c>
      <c r="E1342" s="60"/>
      <c r="F1342" s="60" t="s">
        <v>260</v>
      </c>
      <c r="G1342" s="61" t="n">
        <v>27.71</v>
      </c>
      <c r="H1342" s="62" t="n">
        <f aca="false">MAX(0,IF(AND(Parameter!$B$21="Ja",ISNUMBER(Y1342)),Y1342,IF(Parameter!$B$20="Jahresanfang 2025 + Export",BS1342+BR1342,BR1342)))</f>
        <v>11</v>
      </c>
      <c r="I1342" s="62" t="n">
        <f aca="false">H1342*G1342</f>
        <v>304.81</v>
      </c>
      <c r="J1342" s="62" t="n">
        <f aca="false">BU1342*Parameter!$B$18</f>
        <v>1</v>
      </c>
      <c r="K1342" s="63" t="n">
        <v>63.5</v>
      </c>
      <c r="L1342" s="64" t="n">
        <v>0.015748031496063</v>
      </c>
      <c r="M1342" s="62" t="n">
        <v>0</v>
      </c>
      <c r="N1342" s="62" t="n">
        <v>1</v>
      </c>
      <c r="O1342" s="65" t="n">
        <v>49</v>
      </c>
      <c r="P1342" s="60" t="s">
        <v>344</v>
      </c>
      <c r="Q1342" s="62" t="n">
        <v>35</v>
      </c>
      <c r="R1342" s="65" t="n">
        <f aca="false">IF(CA1342=1,0,IFERROR(VLOOKUP(BY1342,'Gebinde-Kategorie'!$A$5:$N$45,13,0)+0,0))</f>
        <v>26</v>
      </c>
      <c r="S1342" s="66"/>
      <c r="T1342" s="67"/>
      <c r="U1342" s="67"/>
      <c r="V1342" s="67"/>
      <c r="W1342" s="60"/>
      <c r="X1342" s="62"/>
      <c r="Y1342" s="62"/>
      <c r="Z1342" s="60" t="n">
        <v>3</v>
      </c>
      <c r="AA1342" s="60" t="n">
        <f aca="false">IF(A1342="","",IF(AND(Parameter!$B$21="Ja",ISNUMBER(W1342)),W1342,IF(AND(Parameter!$E$27="Ja",ISNUMBER(Z1342),CD1342&lt;&gt;"Nein"),Z1342,IF(CD1342="2+3",IF(ISNUMBER(SEARCH("grosser Artikel",BV1342)),2,IFERROR(VLOOKUP(BY1342,Parameter!$F$35:$G$64,2,0),2)),IF(OR(CD1342="Nein",CD1342=""),"-",CD1342)))))</f>
        <v>3</v>
      </c>
      <c r="AB1342" s="67"/>
      <c r="AC1342" s="68"/>
      <c r="AD1342" s="62" t="n">
        <f aca="false">AW1342</f>
        <v>1</v>
      </c>
      <c r="AE1342" s="62" t="n">
        <f aca="false">MAX(AW1342,H1342)</f>
        <v>11</v>
      </c>
      <c r="AF1342" s="69"/>
      <c r="AG1342" s="62" t="n">
        <f aca="false">IF(LEFT(Cockpit!$C$5,1)="A",H1342,IF(Parameter!$E$30="MAX-Bestand",IF(CI1342=1,CJ1342,IF(LEFT(Cockpit!$C$5,1)="B",AM1342,MAX(AM1342,H1342))),ROUNDUP(AK1342,0)))</f>
        <v>11</v>
      </c>
      <c r="AH1342" s="62" t="n">
        <f aca="false">IF(CA1342=1,0,ROUNDUP(AG1342/BZ1342,0))</f>
        <v>1</v>
      </c>
      <c r="AI1342" s="64" t="n">
        <f aca="false">IF(CR1342&gt;0,CR1342*MAX(1,AG1342/X1342),IF(CA1342=1,IF(AG1342&lt;=0,0,CE1342*MAX(1,IF(H1342&gt;0,AG1342/H1342,1))),IF(R1342&gt;0,AH1342/R1342,0))/MAX(0.1,N(Parameter!$M$21)))</f>
        <v>0.0384615384615385</v>
      </c>
      <c r="AJ1342" s="62" t="n">
        <f aca="false">AI1342*CC1342</f>
        <v>5.96153846153846</v>
      </c>
      <c r="AK1342" s="63" t="n">
        <f aca="false">IF(LEFT(Cockpit!$C$5,1)="A",H1342,IF(CI1342=1,(CL1342+CJ1342)/2,IF(LEFT(Cockpit!$C$5,1)="B",(CL1342+AM1342)/2,MAX((CL1342+AM1342)/2,H1342))))</f>
        <v>11</v>
      </c>
      <c r="AL1342" s="62" t="n">
        <f aca="false">AK1342*G1342</f>
        <v>304.81</v>
      </c>
      <c r="AM1342" s="62" t="n">
        <f aca="false">ROUNDUP(CL1342+MAX(CM1342,2*(J1342/IF(CH1342&gt;0,CH1342,MAX(0.1,N(Cockpit!$C$6)))-CL1342)),0)</f>
        <v>1</v>
      </c>
      <c r="AN1342" s="63" t="n">
        <f aca="false">IF(AJ1342&gt;0,J1342/AJ1342,-1)</f>
        <v>0.167741935483871</v>
      </c>
      <c r="AO1342" s="63" t="n">
        <f aca="false">IF(AND(OR(CG1342="L1",CG1342="L23",CG1342="LIFT"),AJ1342&gt;0),SUMIFS($AJ$7:$AJ$1843,$CG$7:$CG$1843,CG1342,$AN$7:$AN$1843,"&gt;"&amp;AN1342)+SUMIFS($AJ$7:$AJ$1843,$CG$7:$CG$1843,CG1342,$AN$7:$AN$1843,AN1342,$BX$7:$BX$1843,"&lt;="&amp;BX1342),"")</f>
        <v>12763.1952593075</v>
      </c>
      <c r="AP1342" s="70" t="n">
        <f aca="false">IF(AO1342="",0,MAX(0,MIN(1,(IF(CG1342="L1",Parameter!$H$5,IF(CG1342="L23",Parameter!$H$6+Parameter!$H$7,Parameter!$H$5+Parameter!$H$6+Parameter!$H$7))-(AO1342-AJ1342))/AJ1342)))</f>
        <v>1</v>
      </c>
      <c r="AQ1342" s="62" t="n">
        <f aca="false">IF(LEFT(Cockpit!$I$5,1)="A",H1342,IF(Parameter!$E$30="MAX-Bestand",IF(CI1342=1,CJ1342,IF(LEFT(Cockpit!$I$5,1)="B",AW1342,MAX(AW1342,H1342))),ROUNDUP(AU1342,0)))</f>
        <v>11</v>
      </c>
      <c r="AR1342" s="62" t="n">
        <f aca="false">IF(CA1342=1,0,ROUNDUP(AQ1342/BZ1342,0))</f>
        <v>1</v>
      </c>
      <c r="AS1342" s="64" t="n">
        <f aca="false">IF(CR1342&gt;0,CR1342*MAX(1,AQ1342/X1342),IF(CA1342=1,IF(AQ1342&lt;=0,0,CE1342*MAX(1,IF(H1342&gt;0,AQ1342/H1342,1))),IF(R1342&gt;0,AR1342/R1342,0))/MAX(0.1,N(Parameter!$M$21)))</f>
        <v>0.0384615384615385</v>
      </c>
      <c r="AT1342" s="62" t="n">
        <f aca="false">AS1342*CC1342</f>
        <v>5.96153846153846</v>
      </c>
      <c r="AU1342" s="63" t="n">
        <f aca="false">IF(LEFT(Cockpit!$I$5,1)="A",H1342,IF(CI1342=1,(CL1342+CJ1342)/2,IF(LEFT(Cockpit!$I$5,1)="B",(CL1342+AW1342)/2,MAX((CL1342+AW1342)/2,H1342))))</f>
        <v>11</v>
      </c>
      <c r="AV1342" s="62" t="n">
        <f aca="false">AU1342*G1342</f>
        <v>304.81</v>
      </c>
      <c r="AW1342" s="62" t="n">
        <f aca="false">ROUNDUP(CL1342+MAX(CM1342,2*(J1342/IF(CH1342&gt;0,CH1342,MAX(0.1,N(Cockpit!$I$6)))-CL1342)),0)</f>
        <v>1</v>
      </c>
      <c r="AX1342" s="63" t="n">
        <f aca="false">IF(AT1342&gt;0,J1342/AT1342,-1)</f>
        <v>0.167741935483871</v>
      </c>
      <c r="AY1342" s="63" t="n">
        <f aca="false">IF(AND(OR(CG1342="L1",CG1342="L23",CG1342="LIFT"),AT1342&gt;0),SUMIFS($AT$7:$AT$1843,$CG$7:$CG$1843,CG1342,$AX$7:$AX$1843,"&gt;"&amp;AX1342)+SUMIFS($AT$7:$AT$1843,$CG$7:$CG$1843,CG1342,$AX$7:$AX$1843,AX1342,$BX$7:$BX$1843,"&lt;="&amp;BX1342),"")</f>
        <v>15691.8759157509</v>
      </c>
      <c r="AZ1342" s="70" t="n">
        <f aca="false">IF(AY1342="",0,MAX(0,MIN(1,(IF(CG1342="L1",Parameter!$H$5,IF(CG1342="L23",Parameter!$H$6+Parameter!$H$7,Parameter!$H$5+Parameter!$H$6+Parameter!$H$7))-(AY1342-AT1342))/AT1342)))</f>
        <v>1</v>
      </c>
      <c r="BA1342" s="62" t="n">
        <f aca="false">IF(LEFT(Cockpit!$O$5,1)="A",H1342,IF(Parameter!$E$30="MAX-Bestand",IF(CI1342=1,CJ1342,IF(LEFT(Cockpit!$O$5,1)="B",BG1342,MAX(BG1342,H1342))),ROUNDUP(BE1342,0)))</f>
        <v>1</v>
      </c>
      <c r="BB1342" s="62" t="n">
        <f aca="false">IF(CA1342=1,0,ROUNDUP(BA1342/BZ1342,0))</f>
        <v>1</v>
      </c>
      <c r="BC1342" s="64" t="n">
        <f aca="false">IF(CR1342&gt;0,CR1342*MAX(1,BA1342/X1342),IF(CA1342=1,IF(BA1342&lt;=0,0,CE1342*MAX(1,IF(H1342&gt;0,BA1342/H1342,1))),IF(R1342&gt;0,BB1342/R1342,0))/MAX(0.1,N(Parameter!$M$21)))</f>
        <v>0.0384615384615385</v>
      </c>
      <c r="BD1342" s="62" t="n">
        <f aca="false">BC1342*CC1342</f>
        <v>5.96153846153846</v>
      </c>
      <c r="BE1342" s="63" t="n">
        <f aca="false">IF(LEFT(Cockpit!$O$5,1)="A",H1342,IF(CI1342=1,(CL1342+CJ1342)/2,IF(LEFT(Cockpit!$O$5,1)="B",(CL1342+BG1342)/2,MAX((CL1342+BG1342)/2,H1342))))</f>
        <v>0.5</v>
      </c>
      <c r="BF1342" s="62" t="n">
        <f aca="false">BE1342*G1342</f>
        <v>13.855</v>
      </c>
      <c r="BG1342" s="62" t="n">
        <f aca="false">ROUNDUP(CL1342+MAX(CM1342,2*(J1342/IF(CH1342&gt;0,CH1342,MAX(0.1,N(Cockpit!$O$6)))-CL1342)),0)</f>
        <v>1</v>
      </c>
      <c r="BH1342" s="63" t="n">
        <f aca="false">IF(BD1342&gt;0,J1342/BD1342,-1)</f>
        <v>0.167741935483871</v>
      </c>
      <c r="BI1342" s="63" t="n">
        <f aca="false">IF(AND(OR(CG1342="L1",CG1342="L23",CG1342="LIFT"),BD1342&gt;0),SUMIFS($BD$7:$BD$1843,$CG$7:$CG$1843,CG1342,$BH$7:$BH$1843,"&gt;"&amp;BH1342)+SUMIFS($BD$7:$BD$1843,$CG$7:$CG$1843,CG1342,$BH$7:$BH$1843,BH1342,$BX$7:$BX$1843,"&lt;="&amp;BX1342),"")</f>
        <v>13494.1757439829</v>
      </c>
      <c r="BJ1342" s="70" t="n">
        <f aca="false">IF(BI1342="",0,MAX(0,MIN(1,(IF(CG1342="L1",Parameter!$H$5,IF(CG1342="L23",Parameter!$H$6+Parameter!$H$7,Parameter!$H$5+Parameter!$H$6+Parameter!$H$7))-(BI1342-BD1342))/BD1342)))</f>
        <v>1</v>
      </c>
      <c r="BK1342" s="60" t="str">
        <f aca="false">IF(AJ1342&lt;=0,"",IF(CG1342="Aussen","Aussenlager",IF(CG1342="-","Nicht im Lift",IF(AP1342&gt;=1,"Lift",IF(AP1342&lt;=0,"Aussenlager","teilweise")))))</f>
        <v>Lift</v>
      </c>
      <c r="BL1342" s="60" t="str">
        <f aca="false">IF(AT1342&lt;=0,"",IF(CG1342="Aussen","Aussenlager",IF(CG1342="-","Nicht im Lift",IF(AZ1342&gt;=1,"Lift",IF(AZ1342&lt;=0,"Aussenlager","teilweise")))))</f>
        <v>Lift</v>
      </c>
      <c r="BM1342" s="60" t="str">
        <f aca="false">IF(BD1342&lt;=0,"",IF(CG1342="Aussen","Aussenlager",IF(CG1342="-","Nicht im Lift",IF(BJ1342&gt;=1,"Lift",IF(BJ1342&lt;=0,"Aussenlager","teilweise")))))</f>
        <v>Lift</v>
      </c>
      <c r="BN1342" s="60" t="str">
        <f aca="false">IF(A1342="","",IF(BW1342=1,"Neu; ","")&amp;IF(AND(BW1342=0,BR1342&lt;0),"negativer Bestand (Export "&amp;BR1342&amp;"); ","")&amp;IF(J1342&lt;=0,"Kein Verbrauch; ","")&amp;IF(CR1342&gt;0,"Lift "&amp;W1342&amp;" lt. Liftbericht (Fach "&amp;X1342&amp;" Stk); ",IF(CB1342=1,"Gebinde geschätzt ("&amp;T1342&amp;"); ",IF(CA1342=1,"Lose – Tablare geschätzt; ","")))&amp;IF(H1342&gt;AW1342,"Überbestand "&amp;ROUND(H1342-AW1342,0)&amp;" Stk / CHF "&amp;ROUND((H1342-AW1342)*G1342,0)&amp;"; ","")&amp;IF(AND(CI1342=1,CJ1342&lt;CK1342),"MAX &lt; MB+LG; ","")&amp;IF(AND(CQ1342&gt;0,CP1342*10&gt;CQ1342),"zu hoch für Tablar; ","")&amp;IF(AND(BW1342=0,OR(CI1342=1,AB1342&lt;&gt;"",U1342&lt;&gt;"",V1342&lt;&gt;"",AC1342&lt;&gt;"")),"manuell übersteuert; ","")&amp;IF(AND(CA1342=0,R1342=0),"Gebinde unbekannt / Stellmass fehlt; ","")&amp;IF(AND(CA1342=0,N(V1342)&lt;=0,N(Q1342)&lt;=0),"Menge pro Gebinde fehlt (Ist = 1 Gebinde); ","")&amp;BV1342)</f>
        <v>negativer Bestand (Export -65); Überbestand 10 Stk / CHF 277; </v>
      </c>
      <c r="BO1342" s="60"/>
      <c r="BP1342" s="60"/>
      <c r="BQ1342" s="67"/>
      <c r="BR1342" s="62" t="n">
        <v>-65</v>
      </c>
      <c r="BS1342" s="62" t="n">
        <v>76</v>
      </c>
      <c r="BT1342" s="61" t="n">
        <v>-1801.15</v>
      </c>
      <c r="BU1342" s="62" t="n">
        <v>1</v>
      </c>
      <c r="BV1342" s="60"/>
      <c r="BW1342" s="65" t="n">
        <v>0</v>
      </c>
      <c r="BX1342" s="65" t="n">
        <v>1342</v>
      </c>
      <c r="BY1342" s="60" t="str">
        <f aca="false">IF(U1342&lt;&gt;"",UPPER(TRIM(U1342)),IF(CB1342=1,UPPER(VLOOKUP(T1342,Parameter!$I$27:$K$29,2,0)),IF(P1342="","LOSE",P1342)))</f>
        <v>S51</v>
      </c>
      <c r="BZ1342" s="62" t="n">
        <f aca="false">IF(BY1342="LOSE",1,IF(N(V1342)&gt;0,V1342,IF(CB1342=1,MAX(1,N(VLOOKUP(T1342,Parameter!$I$27:$K$29,3,0)),H1342,N(N1342)),IF(N(Q1342)&gt;0,Q1342,MAX(1,H1342)))))</f>
        <v>35</v>
      </c>
      <c r="CA1342" s="65" t="n">
        <f aca="false">IF(BY1342="LOSE",1,0)</f>
        <v>0</v>
      </c>
      <c r="CB1342" s="65" t="n">
        <f aca="false">IF(AND(U1342="",OR(P1342="",P1342="LOSE"),T1342&lt;&gt;"",N(S1342)&lt;=0,ISNUMBER(MATCH(T1342,Parameter!$I$27:$I$29,0))),1,0)</f>
        <v>0</v>
      </c>
      <c r="CC1342" s="65" t="n">
        <f aca="false">IF(CR1342&gt;0,INDEX(Parameter!$H$5:$H$7,W1342)/INDEX(Parameter!$E$5:$E$7,W1342),IF(AND(CA1342=0,N(IFERROR(VLOOKUP(BY1342,'Gebinde-Kategorie'!$A$5:$N$45,14,0),0))&gt;0),VLOOKUP(BY1342,'Gebinde-Kategorie'!$A$5:$N$45,14,0)*10+Parameter!$M$23,Parameter!$M$24))</f>
        <v>155</v>
      </c>
      <c r="CD1342" s="60" t="str">
        <f aca="false">IF(AND(Parameter!$B$19="Ja",E1342&lt;&gt;"",ISNUMBER(MATCH(E1342,Parameter!$I$35:$I$52,0))),VLOOKUP(E1342,Parameter!$I$35:$J$52,2,0),IFERROR(VLOOKUP(D1342,Parameter!$A$35:$C$64,2,0),"Nein"))</f>
        <v>2+3</v>
      </c>
      <c r="CE1342" s="64" t="n">
        <f aca="false">IF(CA1342=0,0,IF(N(S1342)&gt;0,S1342,IFERROR(VLOOKUP(D1342,Parameter!$A$35:$C$64,3,0)+0,0)))</f>
        <v>0</v>
      </c>
      <c r="CF1342" s="60" t="n">
        <f aca="false">IF(AB1342&lt;&gt;"",AB1342,AA1342)</f>
        <v>3</v>
      </c>
      <c r="CG1342" s="60" t="str">
        <f aca="false">IF(OR(CF1342=1,CF1342=2,CF1342=3),IF(Parameter!$E$27="Ja","LIFT",IF(CF1342=1,"L1","L23")),IF(CF1342="Aussen","Aussen","-"))</f>
        <v>LIFT</v>
      </c>
      <c r="CH1342" s="71" t="n">
        <f aca="false">IF(N(AC1342)&gt;0,AC1342,0)</f>
        <v>0</v>
      </c>
      <c r="CI1342" s="65" t="n">
        <f aca="false">IF(ISNUMBER(AF1342),1,0)</f>
        <v>0</v>
      </c>
      <c r="CJ1342" s="62" t="n">
        <f aca="false">N(AF1342)</f>
        <v>0</v>
      </c>
      <c r="CK1342" s="62" t="n">
        <f aca="false">N(M1342)+N(N1342)</f>
        <v>1</v>
      </c>
      <c r="CL1342" s="62" t="n">
        <f aca="false">N(M1342)</f>
        <v>0</v>
      </c>
      <c r="CM1342" s="62" t="n">
        <f aca="false">N(N1342)</f>
        <v>1</v>
      </c>
      <c r="CN1342" s="62" t="n">
        <f aca="false">ROUNDUP(H1342/BZ1342,0)</f>
        <v>1</v>
      </c>
      <c r="CO1342" s="62" t="n">
        <f aca="false">ROUNDUP(CJ1342/BZ1342,0)</f>
        <v>0</v>
      </c>
      <c r="CP1342" s="65" t="n">
        <f aca="false">IF(CA1342=1,0,IFERROR(VLOOKUP(BY1342,'Gebinde-Kategorie'!$A$5:$N$45,5,0)+0,0))</f>
        <v>11</v>
      </c>
      <c r="CQ1342" s="65" t="n">
        <f aca="false">IFERROR(IF(OR(CF1342=1,CF1342=2,CF1342=3),N(INDEX(Parameter!$I$5:$I$7,CF1342)),0),0)</f>
        <v>0</v>
      </c>
      <c r="CR1342" s="64" t="n">
        <f aca="false">IF(AND(Parameter!$B$21="Ja",ISNUMBER(W1342),N(X1342)&gt;0),IFERROR(N(INDEX(Parameter!$L$5:$L$7,W1342))*INDEX(Parameter!$E$5:$E$7,W1342)*X1342/SUMIFS($X$7:$X$1843,$W$7:$W$1843,W1342),0),0)</f>
        <v>0</v>
      </c>
      <c r="CS1342" s="62" t="n">
        <f aca="false">IF(AND(OR(CG1342="L1",CG1342="L23",CG1342="LIFT"),H1342&gt;0),CC1342*IF(CR1342&gt;0,CR1342*MAX(1,H1342/X1342),IF(CA1342=1,CE1342,IF(R1342&gt;0,CN1342/R1342,0))/MAX(0.1,N(Parameter!$M$21))),"")</f>
        <v>5.96153846153846</v>
      </c>
      <c r="CT1342" s="64" t="n">
        <f aca="false">IF(CS1342="","",J1342/H1342)</f>
        <v>0.0909090909090909</v>
      </c>
      <c r="CU1342" s="62" t="n">
        <f aca="false">IF(CS1342="","",H1342*G1342)</f>
        <v>304.81</v>
      </c>
      <c r="CV1342" s="63" t="n">
        <f aca="false">IF(CS1342="","",(CL1342+ROUNDUP(CL1342+MAX(CM1342,2*(J1342/MAX(0.1,N(Einkauf!$C$6))-CL1342)),0))/2)</f>
        <v>0.5</v>
      </c>
      <c r="CW1342" s="62" t="n">
        <f aca="false">IF(CS1342="","",MAX(0,H1342-CV1342)*G1342)</f>
        <v>290.955</v>
      </c>
      <c r="CX1342" s="62" t="n">
        <f aca="false">IF(CS1342="","",CS1342*MAX(0,1-CV1342/H1342))</f>
        <v>5.69055944055944</v>
      </c>
      <c r="CY1342" s="64" t="n">
        <f aca="false">IF(CS1342="","",PERCENTRANK($CS$7:$CS$1843,CS1342)+PERCENTRANK($CU$7:$CU$1843,CU1342)+1-PERCENTRANK($CT$7:$CT$1843,CT1342))</f>
        <v>1.358</v>
      </c>
      <c r="CZ1342" s="72" t="n">
        <f aca="false">IF(CS1342="","",CHOOSE(MATCH(Einkauf!$C$5,Parameter!$G$23:$G$27,0),CY1342,CS1342,CU1342,-CT1342,CW1342)+ROW()/1000000000)</f>
        <v>1.358001342</v>
      </c>
    </row>
    <row r="1343" customFormat="false" ht="15" hidden="false" customHeight="false" outlineLevel="0" collapsed="false">
      <c r="A1343" s="60" t="s">
        <v>2418</v>
      </c>
      <c r="B1343" s="60" t="s">
        <v>1153</v>
      </c>
      <c r="C1343" s="60" t="s">
        <v>206</v>
      </c>
      <c r="D1343" s="60" t="s">
        <v>215</v>
      </c>
      <c r="E1343" s="60" t="s">
        <v>227</v>
      </c>
      <c r="F1343" s="60" t="s">
        <v>260</v>
      </c>
      <c r="G1343" s="61" t="n">
        <v>278.37</v>
      </c>
      <c r="H1343" s="62" t="n">
        <f aca="false">MAX(0,IF(AND(Parameter!$B$21="Ja",ISNUMBER(Y1343)),Y1343,IF(Parameter!$B$20="Jahresanfang 2025 + Export",BS1343+BR1343,BR1343)))</f>
        <v>4</v>
      </c>
      <c r="I1343" s="62" t="n">
        <f aca="false">H1343*G1343</f>
        <v>1113.48</v>
      </c>
      <c r="J1343" s="62" t="n">
        <f aca="false">BU1343*Parameter!$B$18</f>
        <v>44</v>
      </c>
      <c r="K1343" s="63" t="n">
        <v>9</v>
      </c>
      <c r="L1343" s="64" t="n">
        <v>4.88888888888889</v>
      </c>
      <c r="M1343" s="62" t="n">
        <v>2</v>
      </c>
      <c r="N1343" s="62" t="n">
        <v>10</v>
      </c>
      <c r="O1343" s="65" t="n">
        <v>21</v>
      </c>
      <c r="P1343" s="60" t="s">
        <v>216</v>
      </c>
      <c r="Q1343" s="62" t="n">
        <v>12</v>
      </c>
      <c r="R1343" s="65" t="n">
        <f aca="false">IF(CA1343=1,0,IFERROR(VLOOKUP(BY1343,'Gebinde-Kategorie'!$A$5:$N$45,13,0)+0,0))</f>
        <v>6</v>
      </c>
      <c r="S1343" s="66"/>
      <c r="T1343" s="67"/>
      <c r="U1343" s="67"/>
      <c r="V1343" s="67"/>
      <c r="W1343" s="60"/>
      <c r="X1343" s="62"/>
      <c r="Y1343" s="62"/>
      <c r="Z1343" s="60" t="n">
        <v>2</v>
      </c>
      <c r="AA1343" s="60" t="n">
        <f aca="false">IF(A1343="","",IF(AND(Parameter!$B$21="Ja",ISNUMBER(W1343)),W1343,IF(AND(Parameter!$E$27="Ja",ISNUMBER(Z1343),CD1343&lt;&gt;"Nein"),Z1343,IF(CD1343="2+3",IF(ISNUMBER(SEARCH("grosser Artikel",BV1343)),2,IFERROR(VLOOKUP(BY1343,Parameter!$F$35:$G$64,2,0),2)),IF(OR(CD1343="Nein",CD1343=""),"-",CD1343)))))</f>
        <v>2</v>
      </c>
      <c r="AB1343" s="67"/>
      <c r="AC1343" s="68"/>
      <c r="AD1343" s="62" t="n">
        <f aca="false">AW1343</f>
        <v>28</v>
      </c>
      <c r="AE1343" s="62" t="n">
        <f aca="false">MAX(AW1343,H1343)</f>
        <v>28</v>
      </c>
      <c r="AF1343" s="69"/>
      <c r="AG1343" s="62" t="n">
        <f aca="false">IF(LEFT(Cockpit!$C$5,1)="A",H1343,IF(Parameter!$E$30="MAX-Bestand",IF(CI1343=1,CJ1343,IF(LEFT(Cockpit!$C$5,1)="B",AM1343,MAX(AM1343,H1343))),ROUNDUP(AK1343,0)))</f>
        <v>4</v>
      </c>
      <c r="AH1343" s="62" t="n">
        <f aca="false">IF(CA1343=1,0,ROUNDUP(AG1343/BZ1343,0))</f>
        <v>1</v>
      </c>
      <c r="AI1343" s="64" t="n">
        <f aca="false">IF(CR1343&gt;0,CR1343*MAX(1,AG1343/X1343),IF(CA1343=1,IF(AG1343&lt;=0,0,CE1343*MAX(1,IF(H1343&gt;0,AG1343/H1343,1))),IF(R1343&gt;0,AH1343/R1343,0))/MAX(0.1,N(Parameter!$M$21)))</f>
        <v>0.166666666666667</v>
      </c>
      <c r="AJ1343" s="62" t="n">
        <f aca="false">AI1343*CC1343</f>
        <v>39.1666666666667</v>
      </c>
      <c r="AK1343" s="63" t="n">
        <f aca="false">IF(LEFT(Cockpit!$C$5,1)="A",H1343,IF(CI1343=1,(CL1343+CJ1343)/2,IF(LEFT(Cockpit!$C$5,1)="B",(CL1343+AM1343)/2,MAX((CL1343+AM1343)/2,H1343))))</f>
        <v>4</v>
      </c>
      <c r="AL1343" s="62" t="n">
        <f aca="false">AK1343*G1343</f>
        <v>1113.48</v>
      </c>
      <c r="AM1343" s="62" t="n">
        <f aca="false">ROUNDUP(CL1343+MAX(CM1343,2*(J1343/IF(CH1343&gt;0,CH1343,MAX(0.1,N(Cockpit!$C$6)))-CL1343)),0)</f>
        <v>28</v>
      </c>
      <c r="AN1343" s="63" t="n">
        <f aca="false">IF(AJ1343&gt;0,J1343/AJ1343,-1)</f>
        <v>1.12340425531915</v>
      </c>
      <c r="AO1343" s="63" t="n">
        <f aca="false">IF(AND(OR(CG1343="L1",CG1343="L23",CG1343="LIFT"),AJ1343&gt;0),SUMIFS($AJ$7:$AJ$1843,$CG$7:$CG$1843,CG1343,$AN$7:$AN$1843,"&gt;"&amp;AN1343)+SUMIFS($AJ$7:$AJ$1843,$CG$7:$CG$1843,CG1343,$AN$7:$AN$1843,AN1343,$BX$7:$BX$1843,"&lt;="&amp;BX1343),"")</f>
        <v>6754.76968864469</v>
      </c>
      <c r="AP1343" s="70" t="n">
        <f aca="false">IF(AO1343="",0,MAX(0,MIN(1,(IF(CG1343="L1",Parameter!$H$5,IF(CG1343="L23",Parameter!$H$6+Parameter!$H$7,Parameter!$H$5+Parameter!$H$6+Parameter!$H$7))-(AO1343-AJ1343))/AJ1343)))</f>
        <v>1</v>
      </c>
      <c r="AQ1343" s="62" t="n">
        <f aca="false">IF(LEFT(Cockpit!$I$5,1)="A",H1343,IF(Parameter!$E$30="MAX-Bestand",IF(CI1343=1,CJ1343,IF(LEFT(Cockpit!$I$5,1)="B",AW1343,MAX(AW1343,H1343))),ROUNDUP(AU1343,0)))</f>
        <v>15</v>
      </c>
      <c r="AR1343" s="62" t="n">
        <f aca="false">IF(CA1343=1,0,ROUNDUP(AQ1343/BZ1343,0))</f>
        <v>2</v>
      </c>
      <c r="AS1343" s="64" t="n">
        <f aca="false">IF(CR1343&gt;0,CR1343*MAX(1,AQ1343/X1343),IF(CA1343=1,IF(AQ1343&lt;=0,0,CE1343*MAX(1,IF(H1343&gt;0,AQ1343/H1343,1))),IF(R1343&gt;0,AR1343/R1343,0))/MAX(0.1,N(Parameter!$M$21)))</f>
        <v>0.333333333333333</v>
      </c>
      <c r="AT1343" s="62" t="n">
        <f aca="false">AS1343*CC1343</f>
        <v>78.3333333333333</v>
      </c>
      <c r="AU1343" s="63" t="n">
        <f aca="false">IF(LEFT(Cockpit!$I$5,1)="A",H1343,IF(CI1343=1,(CL1343+CJ1343)/2,IF(LEFT(Cockpit!$I$5,1)="B",(CL1343+AW1343)/2,MAX((CL1343+AW1343)/2,H1343))))</f>
        <v>15</v>
      </c>
      <c r="AV1343" s="62" t="n">
        <f aca="false">AU1343*G1343</f>
        <v>4175.55</v>
      </c>
      <c r="AW1343" s="62" t="n">
        <f aca="false">ROUNDUP(CL1343+MAX(CM1343,2*(J1343/IF(CH1343&gt;0,CH1343,MAX(0.1,N(Cockpit!$I$6)))-CL1343)),0)</f>
        <v>28</v>
      </c>
      <c r="AX1343" s="63" t="n">
        <f aca="false">IF(AT1343&gt;0,J1343/AT1343,-1)</f>
        <v>0.561702127659575</v>
      </c>
      <c r="AY1343" s="63" t="n">
        <f aca="false">IF(AND(OR(CG1343="L1",CG1343="L23",CG1343="LIFT"),AT1343&gt;0),SUMIFS($AT$7:$AT$1843,$CG$7:$CG$1843,CG1343,$AX$7:$AX$1843,"&gt;"&amp;AX1343)+SUMIFS($AT$7:$AT$1843,$CG$7:$CG$1843,CG1343,$AX$7:$AX$1843,AX1343,$BX$7:$BX$1843,"&lt;="&amp;BX1343),"")</f>
        <v>11545.456043956</v>
      </c>
      <c r="AZ1343" s="70" t="n">
        <f aca="false">IF(AY1343="",0,MAX(0,MIN(1,(IF(CG1343="L1",Parameter!$H$5,IF(CG1343="L23",Parameter!$H$6+Parameter!$H$7,Parameter!$H$5+Parameter!$H$6+Parameter!$H$7))-(AY1343-AT1343))/AT1343)))</f>
        <v>1</v>
      </c>
      <c r="BA1343" s="62" t="n">
        <f aca="false">IF(LEFT(Cockpit!$O$5,1)="A",H1343,IF(Parameter!$E$30="MAX-Bestand",IF(CI1343=1,CJ1343,IF(LEFT(Cockpit!$O$5,1)="B",BG1343,MAX(BG1343,H1343))),ROUNDUP(BE1343,0)))</f>
        <v>11</v>
      </c>
      <c r="BB1343" s="62" t="n">
        <f aca="false">IF(CA1343=1,0,ROUNDUP(BA1343/BZ1343,0))</f>
        <v>1</v>
      </c>
      <c r="BC1343" s="64" t="n">
        <f aca="false">IF(CR1343&gt;0,CR1343*MAX(1,BA1343/X1343),IF(CA1343=1,IF(BA1343&lt;=0,0,CE1343*MAX(1,IF(H1343&gt;0,BA1343/H1343,1))),IF(R1343&gt;0,BB1343/R1343,0))/MAX(0.1,N(Parameter!$M$21)))</f>
        <v>0.166666666666667</v>
      </c>
      <c r="BD1343" s="62" t="n">
        <f aca="false">BC1343*CC1343</f>
        <v>39.1666666666667</v>
      </c>
      <c r="BE1343" s="63" t="n">
        <f aca="false">IF(LEFT(Cockpit!$O$5,1)="A",H1343,IF(CI1343=1,(CL1343+CJ1343)/2,IF(LEFT(Cockpit!$O$5,1)="B",(CL1343+BG1343)/2,MAX((CL1343+BG1343)/2,H1343))))</f>
        <v>11</v>
      </c>
      <c r="BF1343" s="62" t="n">
        <f aca="false">BE1343*G1343</f>
        <v>3062.07</v>
      </c>
      <c r="BG1343" s="62" t="n">
        <f aca="false">ROUNDUP(CL1343+MAX(CM1343,2*(J1343/IF(CH1343&gt;0,CH1343,MAX(0.1,N(Cockpit!$O$6)))-CL1343)),0)</f>
        <v>20</v>
      </c>
      <c r="BH1343" s="63" t="n">
        <f aca="false">IF(BD1343&gt;0,J1343/BD1343,-1)</f>
        <v>1.12340425531915</v>
      </c>
      <c r="BI1343" s="63" t="n">
        <f aca="false">IF(AND(OR(CG1343="L1",CG1343="L23",CG1343="LIFT"),BD1343&gt;0),SUMIFS($BD$7:$BD$1843,$CG$7:$CG$1843,CG1343,$BH$7:$BH$1843,"&gt;"&amp;BH1343)+SUMIFS($BD$7:$BD$1843,$CG$7:$CG$1843,CG1343,$BH$7:$BH$1843,BH1343,$BX$7:$BX$1843,"&lt;="&amp;BX1343),"")</f>
        <v>7263.63690476191</v>
      </c>
      <c r="BJ1343" s="70" t="n">
        <f aca="false">IF(BI1343="",0,MAX(0,MIN(1,(IF(CG1343="L1",Parameter!$H$5,IF(CG1343="L23",Parameter!$H$6+Parameter!$H$7,Parameter!$H$5+Parameter!$H$6+Parameter!$H$7))-(BI1343-BD1343))/BD1343)))</f>
        <v>1</v>
      </c>
      <c r="BK1343" s="60" t="str">
        <f aca="false">IF(AJ1343&lt;=0,"",IF(CG1343="Aussen","Aussenlager",IF(CG1343="-","Nicht im Lift",IF(AP1343&gt;=1,"Lift",IF(AP1343&lt;=0,"Aussenlager","teilweise")))))</f>
        <v>Lift</v>
      </c>
      <c r="BL1343" s="60" t="str">
        <f aca="false">IF(AT1343&lt;=0,"",IF(CG1343="Aussen","Aussenlager",IF(CG1343="-","Nicht im Lift",IF(AZ1343&gt;=1,"Lift",IF(AZ1343&lt;=0,"Aussenlager","teilweise")))))</f>
        <v>Lift</v>
      </c>
      <c r="BM1343" s="60" t="str">
        <f aca="false">IF(BD1343&lt;=0,"",IF(CG1343="Aussen","Aussenlager",IF(CG1343="-","Nicht im Lift",IF(BJ1343&gt;=1,"Lift",IF(BJ1343&lt;=0,"Aussenlager","teilweise")))))</f>
        <v>Lift</v>
      </c>
      <c r="BN1343" s="60" t="str">
        <f aca="false">IF(A1343="","",IF(BW1343=1,"Neu; ","")&amp;IF(AND(BW1343=0,BR1343&lt;0),"negativer Bestand (Export "&amp;BR1343&amp;"); ","")&amp;IF(J1343&lt;=0,"Kein Verbrauch; ","")&amp;IF(CR1343&gt;0,"Lift "&amp;W1343&amp;" lt. Liftbericht (Fach "&amp;X1343&amp;" Stk); ",IF(CB1343=1,"Gebinde geschätzt ("&amp;T1343&amp;"); ",IF(CA1343=1,"Lose – Tablare geschätzt; ","")))&amp;IF(H1343&gt;AW1343,"Überbestand "&amp;ROUND(H1343-AW1343,0)&amp;" Stk / CHF "&amp;ROUND((H1343-AW1343)*G1343,0)&amp;"; ","")&amp;IF(AND(CI1343=1,CJ1343&lt;CK1343),"MAX &lt; MB+LG; ","")&amp;IF(AND(CQ1343&gt;0,CP1343*10&gt;CQ1343),"zu hoch für Tablar; ","")&amp;IF(AND(BW1343=0,OR(CI1343=1,AB1343&lt;&gt;"",U1343&lt;&gt;"",V1343&lt;&gt;"",AC1343&lt;&gt;"")),"manuell übersteuert; ","")&amp;IF(AND(CA1343=0,R1343=0),"Gebinde unbekannt / Stellmass fehlt; ","")&amp;IF(AND(CA1343=0,N(V1343)&lt;=0,N(Q1343)&lt;=0),"Menge pro Gebinde fehlt (Ist = 1 Gebinde); ","")&amp;BV1343)</f>
        <v>negativer Bestand (Export -4); grosser Artikel &amp; nicht im KTL</v>
      </c>
      <c r="BO1343" s="60"/>
      <c r="BP1343" s="60"/>
      <c r="BQ1343" s="67"/>
      <c r="BR1343" s="62" t="n">
        <v>-4</v>
      </c>
      <c r="BS1343" s="62" t="n">
        <v>8</v>
      </c>
      <c r="BT1343" s="61" t="n">
        <v>-1807.16</v>
      </c>
      <c r="BU1343" s="62" t="n">
        <v>44</v>
      </c>
      <c r="BV1343" s="60" t="s">
        <v>303</v>
      </c>
      <c r="BW1343" s="65" t="n">
        <v>0</v>
      </c>
      <c r="BX1343" s="65" t="n">
        <v>1343</v>
      </c>
      <c r="BY1343" s="60" t="str">
        <f aca="false">IF(U1343&lt;&gt;"",UPPER(TRIM(U1343)),IF(CB1343=1,UPPER(VLOOKUP(T1343,Parameter!$I$27:$K$29,2,0)),IF(P1343="","LOSE",P1343)))</f>
        <v>S71</v>
      </c>
      <c r="BZ1343" s="62" t="n">
        <f aca="false">IF(BY1343="LOSE",1,IF(N(V1343)&gt;0,V1343,IF(CB1343=1,MAX(1,N(VLOOKUP(T1343,Parameter!$I$27:$K$29,3,0)),H1343,N(N1343)),IF(N(Q1343)&gt;0,Q1343,MAX(1,H1343)))))</f>
        <v>12</v>
      </c>
      <c r="CA1343" s="65" t="n">
        <f aca="false">IF(BY1343="LOSE",1,0)</f>
        <v>0</v>
      </c>
      <c r="CB1343" s="65" t="n">
        <f aca="false">IF(AND(U1343="",OR(P1343="",P1343="LOSE"),T1343&lt;&gt;"",N(S1343)&lt;=0,ISNUMBER(MATCH(T1343,Parameter!$I$27:$I$29,0))),1,0)</f>
        <v>0</v>
      </c>
      <c r="CC1343" s="65" t="n">
        <f aca="false">IF(CR1343&gt;0,INDEX(Parameter!$H$5:$H$7,W1343)/INDEX(Parameter!$E$5:$E$7,W1343),IF(AND(CA1343=0,N(IFERROR(VLOOKUP(BY1343,'Gebinde-Kategorie'!$A$5:$N$45,14,0),0))&gt;0),VLOOKUP(BY1343,'Gebinde-Kategorie'!$A$5:$N$45,14,0)*10+Parameter!$M$23,Parameter!$M$24))</f>
        <v>235</v>
      </c>
      <c r="CD1343" s="60" t="str">
        <f aca="false">IF(AND(Parameter!$B$19="Ja",E1343&lt;&gt;"",ISNUMBER(MATCH(E1343,Parameter!$I$35:$I$52,0))),VLOOKUP(E1343,Parameter!$I$35:$J$52,2,0),IFERROR(VLOOKUP(D1343,Parameter!$A$35:$C$64,2,0),"Nein"))</f>
        <v>2+3</v>
      </c>
      <c r="CE1343" s="64" t="n">
        <f aca="false">IF(CA1343=0,0,IF(N(S1343)&gt;0,S1343,IFERROR(VLOOKUP(D1343,Parameter!$A$35:$C$64,3,0)+0,0)))</f>
        <v>0</v>
      </c>
      <c r="CF1343" s="60" t="n">
        <f aca="false">IF(AB1343&lt;&gt;"",AB1343,AA1343)</f>
        <v>2</v>
      </c>
      <c r="CG1343" s="60" t="str">
        <f aca="false">IF(OR(CF1343=1,CF1343=2,CF1343=3),IF(Parameter!$E$27="Ja","LIFT",IF(CF1343=1,"L1","L23")),IF(CF1343="Aussen","Aussen","-"))</f>
        <v>LIFT</v>
      </c>
      <c r="CH1343" s="71" t="n">
        <f aca="false">IF(N(AC1343)&gt;0,AC1343,0)</f>
        <v>0</v>
      </c>
      <c r="CI1343" s="65" t="n">
        <f aca="false">IF(ISNUMBER(AF1343),1,0)</f>
        <v>0</v>
      </c>
      <c r="CJ1343" s="62" t="n">
        <f aca="false">N(AF1343)</f>
        <v>0</v>
      </c>
      <c r="CK1343" s="62" t="n">
        <f aca="false">N(M1343)+N(N1343)</f>
        <v>12</v>
      </c>
      <c r="CL1343" s="62" t="n">
        <f aca="false">N(M1343)</f>
        <v>2</v>
      </c>
      <c r="CM1343" s="62" t="n">
        <f aca="false">N(N1343)</f>
        <v>10</v>
      </c>
      <c r="CN1343" s="62" t="n">
        <f aca="false">ROUNDUP(H1343/BZ1343,0)</f>
        <v>1</v>
      </c>
      <c r="CO1343" s="62" t="n">
        <f aca="false">ROUNDUP(CJ1343/BZ1343,0)</f>
        <v>0</v>
      </c>
      <c r="CP1343" s="65" t="n">
        <f aca="false">IF(CA1343=1,0,IFERROR(VLOOKUP(BY1343,'Gebinde-Kategorie'!$A$5:$N$45,5,0)+0,0))</f>
        <v>20</v>
      </c>
      <c r="CQ1343" s="65" t="n">
        <f aca="false">IFERROR(IF(OR(CF1343=1,CF1343=2,CF1343=3),N(INDEX(Parameter!$I$5:$I$7,CF1343)),0),0)</f>
        <v>0</v>
      </c>
      <c r="CR1343" s="64" t="n">
        <f aca="false">IF(AND(Parameter!$B$21="Ja",ISNUMBER(W1343),N(X1343)&gt;0),IFERROR(N(INDEX(Parameter!$L$5:$L$7,W1343))*INDEX(Parameter!$E$5:$E$7,W1343)*X1343/SUMIFS($X$7:$X$1843,$W$7:$W$1843,W1343),0),0)</f>
        <v>0</v>
      </c>
      <c r="CS1343" s="62" t="n">
        <f aca="false">IF(AND(OR(CG1343="L1",CG1343="L23",CG1343="LIFT"),H1343&gt;0),CC1343*IF(CR1343&gt;0,CR1343*MAX(1,H1343/X1343),IF(CA1343=1,CE1343,IF(R1343&gt;0,CN1343/R1343,0))/MAX(0.1,N(Parameter!$M$21))),"")</f>
        <v>39.1666666666667</v>
      </c>
      <c r="CT1343" s="64" t="n">
        <f aca="false">IF(CS1343="","",J1343/H1343)</f>
        <v>11</v>
      </c>
      <c r="CU1343" s="62" t="n">
        <f aca="false">IF(CS1343="","",H1343*G1343)</f>
        <v>1113.48</v>
      </c>
      <c r="CV1343" s="63" t="n">
        <f aca="false">IF(CS1343="","",(CL1343+ROUNDUP(CL1343+MAX(CM1343,2*(J1343/MAX(0.1,N(Einkauf!$C$6))-CL1343)),0))/2)</f>
        <v>11</v>
      </c>
      <c r="CW1343" s="62" t="n">
        <f aca="false">IF(CS1343="","",MAX(0,H1343-CV1343)*G1343)</f>
        <v>0</v>
      </c>
      <c r="CX1343" s="62" t="n">
        <f aca="false">IF(CS1343="","",CS1343*MAX(0,1-CV1343/H1343))</f>
        <v>0</v>
      </c>
      <c r="CY1343" s="64" t="n">
        <f aca="false">IF(CS1343="","",PERCENTRANK($CS$7:$CS$1843,CS1343)+PERCENTRANK($CU$7:$CU$1843,CU1343)+1-PERCENTRANK($CT$7:$CT$1843,CT1343))</f>
        <v>1.535</v>
      </c>
      <c r="CZ1343" s="72" t="n">
        <f aca="false">IF(CS1343="","",CHOOSE(MATCH(Einkauf!$C$5,Parameter!$G$23:$G$27,0),CY1343,CS1343,CU1343,-CT1343,CW1343)+ROW()/1000000000)</f>
        <v>1.535001343</v>
      </c>
    </row>
    <row r="1344" customFormat="false" ht="15" hidden="false" customHeight="false" outlineLevel="0" collapsed="false">
      <c r="A1344" s="60" t="s">
        <v>2419</v>
      </c>
      <c r="B1344" s="60" t="s">
        <v>2179</v>
      </c>
      <c r="C1344" s="60" t="s">
        <v>206</v>
      </c>
      <c r="D1344" s="60" t="s">
        <v>215</v>
      </c>
      <c r="E1344" s="60" t="s">
        <v>227</v>
      </c>
      <c r="F1344" s="60" t="s">
        <v>260</v>
      </c>
      <c r="G1344" s="61" t="n">
        <v>38.6</v>
      </c>
      <c r="H1344" s="62" t="n">
        <f aca="false">MAX(0,IF(AND(Parameter!$B$21="Ja",ISNUMBER(Y1344)),Y1344,IF(Parameter!$B$20="Jahresanfang 2025 + Export",BS1344+BR1344,BR1344)))</f>
        <v>47</v>
      </c>
      <c r="I1344" s="62" t="n">
        <f aca="false">H1344*G1344</f>
        <v>1814.2</v>
      </c>
      <c r="J1344" s="62" t="n">
        <f aca="false">BU1344*Parameter!$B$18</f>
        <v>158</v>
      </c>
      <c r="K1344" s="63" t="n">
        <v>79</v>
      </c>
      <c r="L1344" s="64" t="n">
        <v>2</v>
      </c>
      <c r="M1344" s="62" t="n">
        <v>20</v>
      </c>
      <c r="N1344" s="62" t="n">
        <v>100</v>
      </c>
      <c r="O1344" s="65" t="n">
        <v>42</v>
      </c>
      <c r="P1344" s="60" t="s">
        <v>335</v>
      </c>
      <c r="Q1344" s="62" t="n">
        <v>23</v>
      </c>
      <c r="R1344" s="65" t="n">
        <f aca="false">IF(CA1344=1,0,IFERROR(VLOOKUP(BY1344,'Gebinde-Kategorie'!$A$5:$N$45,13,0)+0,0))</f>
        <v>12</v>
      </c>
      <c r="S1344" s="66"/>
      <c r="T1344" s="67"/>
      <c r="U1344" s="67"/>
      <c r="V1344" s="67"/>
      <c r="W1344" s="60"/>
      <c r="X1344" s="62"/>
      <c r="Y1344" s="62"/>
      <c r="Z1344" s="60" t="n">
        <v>3</v>
      </c>
      <c r="AA1344" s="60" t="n">
        <f aca="false">IF(A1344="","",IF(AND(Parameter!$B$21="Ja",ISNUMBER(W1344)),W1344,IF(AND(Parameter!$E$27="Ja",ISNUMBER(Z1344),CD1344&lt;&gt;"Nein"),Z1344,IF(CD1344="2+3",IF(ISNUMBER(SEARCH("grosser Artikel",BV1344)),2,IFERROR(VLOOKUP(BY1344,Parameter!$F$35:$G$64,2,0),2)),IF(OR(CD1344="Nein",CD1344=""),"-",CD1344)))))</f>
        <v>3</v>
      </c>
      <c r="AB1344" s="67"/>
      <c r="AC1344" s="68"/>
      <c r="AD1344" s="62" t="n">
        <f aca="false">AW1344</f>
        <v>120</v>
      </c>
      <c r="AE1344" s="62" t="n">
        <f aca="false">MAX(AW1344,H1344)</f>
        <v>120</v>
      </c>
      <c r="AF1344" s="69"/>
      <c r="AG1344" s="62" t="n">
        <f aca="false">IF(LEFT(Cockpit!$C$5,1)="A",H1344,IF(Parameter!$E$30="MAX-Bestand",IF(CI1344=1,CJ1344,IF(LEFT(Cockpit!$C$5,1)="B",AM1344,MAX(AM1344,H1344))),ROUNDUP(AK1344,0)))</f>
        <v>47</v>
      </c>
      <c r="AH1344" s="62" t="n">
        <f aca="false">IF(CA1344=1,0,ROUNDUP(AG1344/BZ1344,0))</f>
        <v>3</v>
      </c>
      <c r="AI1344" s="64" t="n">
        <f aca="false">IF(CR1344&gt;0,CR1344*MAX(1,AG1344/X1344),IF(CA1344=1,IF(AG1344&lt;=0,0,CE1344*MAX(1,IF(H1344&gt;0,AG1344/H1344,1))),IF(R1344&gt;0,AH1344/R1344,0))/MAX(0.1,N(Parameter!$M$21)))</f>
        <v>0.25</v>
      </c>
      <c r="AJ1344" s="62" t="n">
        <f aca="false">AI1344*CC1344</f>
        <v>61.25</v>
      </c>
      <c r="AK1344" s="63" t="n">
        <f aca="false">IF(LEFT(Cockpit!$C$5,1)="A",H1344,IF(CI1344=1,(CL1344+CJ1344)/2,IF(LEFT(Cockpit!$C$5,1)="B",(CL1344+AM1344)/2,MAX((CL1344+AM1344)/2,H1344))))</f>
        <v>47</v>
      </c>
      <c r="AL1344" s="62" t="n">
        <f aca="false">AK1344*G1344</f>
        <v>1814.2</v>
      </c>
      <c r="AM1344" s="62" t="n">
        <f aca="false">ROUNDUP(CL1344+MAX(CM1344,2*(J1344/IF(CH1344&gt;0,CH1344,MAX(0.1,N(Cockpit!$C$6)))-CL1344)),0)</f>
        <v>120</v>
      </c>
      <c r="AN1344" s="63" t="n">
        <f aca="false">IF(AJ1344&gt;0,J1344/AJ1344,-1)</f>
        <v>2.57959183673469</v>
      </c>
      <c r="AO1344" s="63" t="n">
        <f aca="false">IF(AND(OR(CG1344="L1",CG1344="L23",CG1344="LIFT"),AJ1344&gt;0),SUMIFS($AJ$7:$AJ$1843,$CG$7:$CG$1843,CG1344,$AN$7:$AN$1843,"&gt;"&amp;AN1344)+SUMIFS($AJ$7:$AJ$1843,$CG$7:$CG$1843,CG1344,$AN$7:$AN$1843,AN1344,$BX$7:$BX$1843,"&lt;="&amp;BX1344),"")</f>
        <v>5419.46749084249</v>
      </c>
      <c r="AP1344" s="70" t="n">
        <f aca="false">IF(AO1344="",0,MAX(0,MIN(1,(IF(CG1344="L1",Parameter!$H$5,IF(CG1344="L23",Parameter!$H$6+Parameter!$H$7,Parameter!$H$5+Parameter!$H$6+Parameter!$H$7))-(AO1344-AJ1344))/AJ1344)))</f>
        <v>1</v>
      </c>
      <c r="AQ1344" s="62" t="n">
        <f aca="false">IF(LEFT(Cockpit!$I$5,1)="A",H1344,IF(Parameter!$E$30="MAX-Bestand",IF(CI1344=1,CJ1344,IF(LEFT(Cockpit!$I$5,1)="B",AW1344,MAX(AW1344,H1344))),ROUNDUP(AU1344,0)))</f>
        <v>70</v>
      </c>
      <c r="AR1344" s="62" t="n">
        <f aca="false">IF(CA1344=1,0,ROUNDUP(AQ1344/BZ1344,0))</f>
        <v>4</v>
      </c>
      <c r="AS1344" s="64" t="n">
        <f aca="false">IF(CR1344&gt;0,CR1344*MAX(1,AQ1344/X1344),IF(CA1344=1,IF(AQ1344&lt;=0,0,CE1344*MAX(1,IF(H1344&gt;0,AQ1344/H1344,1))),IF(R1344&gt;0,AR1344/R1344,0))/MAX(0.1,N(Parameter!$M$21)))</f>
        <v>0.333333333333333</v>
      </c>
      <c r="AT1344" s="62" t="n">
        <f aca="false">AS1344*CC1344</f>
        <v>81.6666666666667</v>
      </c>
      <c r="AU1344" s="63" t="n">
        <f aca="false">IF(LEFT(Cockpit!$I$5,1)="A",H1344,IF(CI1344=1,(CL1344+CJ1344)/2,IF(LEFT(Cockpit!$I$5,1)="B",(CL1344+AW1344)/2,MAX((CL1344+AW1344)/2,H1344))))</f>
        <v>70</v>
      </c>
      <c r="AV1344" s="62" t="n">
        <f aca="false">AU1344*G1344</f>
        <v>2702</v>
      </c>
      <c r="AW1344" s="62" t="n">
        <f aca="false">ROUNDUP(CL1344+MAX(CM1344,2*(J1344/IF(CH1344&gt;0,CH1344,MAX(0.1,N(Cockpit!$I$6)))-CL1344)),0)</f>
        <v>120</v>
      </c>
      <c r="AX1344" s="63" t="n">
        <f aca="false">IF(AT1344&gt;0,J1344/AT1344,-1)</f>
        <v>1.93469387755102</v>
      </c>
      <c r="AY1344" s="63" t="n">
        <f aca="false">IF(AND(OR(CG1344="L1",CG1344="L23",CG1344="LIFT"),AT1344&gt;0),SUMIFS($AT$7:$AT$1843,$CG$7:$CG$1843,CG1344,$AX$7:$AX$1843,"&gt;"&amp;AX1344)+SUMIFS($AT$7:$AT$1843,$CG$7:$CG$1843,CG1344,$AX$7:$AX$1843,AX1344,$BX$7:$BX$1843,"&lt;="&amp;BX1344),"")</f>
        <v>7301.1130952381</v>
      </c>
      <c r="AZ1344" s="70" t="n">
        <f aca="false">IF(AY1344="",0,MAX(0,MIN(1,(IF(CG1344="L1",Parameter!$H$5,IF(CG1344="L23",Parameter!$H$6+Parameter!$H$7,Parameter!$H$5+Parameter!$H$6+Parameter!$H$7))-(AY1344-AT1344))/AT1344)))</f>
        <v>1</v>
      </c>
      <c r="BA1344" s="62" t="n">
        <f aca="false">IF(LEFT(Cockpit!$O$5,1)="A",H1344,IF(Parameter!$E$30="MAX-Bestand",IF(CI1344=1,CJ1344,IF(LEFT(Cockpit!$O$5,1)="B",BG1344,MAX(BG1344,H1344))),ROUNDUP(BE1344,0)))</f>
        <v>70</v>
      </c>
      <c r="BB1344" s="62" t="n">
        <f aca="false">IF(CA1344=1,0,ROUNDUP(BA1344/BZ1344,0))</f>
        <v>4</v>
      </c>
      <c r="BC1344" s="64" t="n">
        <f aca="false">IF(CR1344&gt;0,CR1344*MAX(1,BA1344/X1344),IF(CA1344=1,IF(BA1344&lt;=0,0,CE1344*MAX(1,IF(H1344&gt;0,BA1344/H1344,1))),IF(R1344&gt;0,BB1344/R1344,0))/MAX(0.1,N(Parameter!$M$21)))</f>
        <v>0.333333333333333</v>
      </c>
      <c r="BD1344" s="62" t="n">
        <f aca="false">BC1344*CC1344</f>
        <v>81.6666666666667</v>
      </c>
      <c r="BE1344" s="63" t="n">
        <f aca="false">IF(LEFT(Cockpit!$O$5,1)="A",H1344,IF(CI1344=1,(CL1344+CJ1344)/2,IF(LEFT(Cockpit!$O$5,1)="B",(CL1344+BG1344)/2,MAX((CL1344+BG1344)/2,H1344))))</f>
        <v>70</v>
      </c>
      <c r="BF1344" s="62" t="n">
        <f aca="false">BE1344*G1344</f>
        <v>2702</v>
      </c>
      <c r="BG1344" s="62" t="n">
        <f aca="false">ROUNDUP(CL1344+MAX(CM1344,2*(J1344/IF(CH1344&gt;0,CH1344,MAX(0.1,N(Cockpit!$O$6)))-CL1344)),0)</f>
        <v>120</v>
      </c>
      <c r="BH1344" s="63" t="n">
        <f aca="false">IF(BD1344&gt;0,J1344/BD1344,-1)</f>
        <v>1.93469387755102</v>
      </c>
      <c r="BI1344" s="63" t="n">
        <f aca="false">IF(AND(OR(CG1344="L1",CG1344="L23",CG1344="LIFT"),BD1344&gt;0),SUMIFS($BD$7:$BD$1843,$CG$7:$CG$1843,CG1344,$BH$7:$BH$1843,"&gt;"&amp;BH1344)+SUMIFS($BD$7:$BD$1843,$CG$7:$CG$1843,CG1344,$BH$7:$BH$1843,BH1344,$BX$7:$BX$1843,"&lt;="&amp;BX1344),"")</f>
        <v>5998.47435897436</v>
      </c>
      <c r="BJ1344" s="70" t="n">
        <f aca="false">IF(BI1344="",0,MAX(0,MIN(1,(IF(CG1344="L1",Parameter!$H$5,IF(CG1344="L23",Parameter!$H$6+Parameter!$H$7,Parameter!$H$5+Parameter!$H$6+Parameter!$H$7))-(BI1344-BD1344))/BD1344)))</f>
        <v>1</v>
      </c>
      <c r="BK1344" s="60" t="str">
        <f aca="false">IF(AJ1344&lt;=0,"",IF(CG1344="Aussen","Aussenlager",IF(CG1344="-","Nicht im Lift",IF(AP1344&gt;=1,"Lift",IF(AP1344&lt;=0,"Aussenlager","teilweise")))))</f>
        <v>Lift</v>
      </c>
      <c r="BL1344" s="60" t="str">
        <f aca="false">IF(AT1344&lt;=0,"",IF(CG1344="Aussen","Aussenlager",IF(CG1344="-","Nicht im Lift",IF(AZ1344&gt;=1,"Lift",IF(AZ1344&lt;=0,"Aussenlager","teilweise")))))</f>
        <v>Lift</v>
      </c>
      <c r="BM1344" s="60" t="str">
        <f aca="false">IF(BD1344&lt;=0,"",IF(CG1344="Aussen","Aussenlager",IF(CG1344="-","Nicht im Lift",IF(BJ1344&gt;=1,"Lift",IF(BJ1344&lt;=0,"Aussenlager","teilweise")))))</f>
        <v>Lift</v>
      </c>
      <c r="BN1344" s="60" t="str">
        <f aca="false">IF(A1344="","",IF(BW1344=1,"Neu; ","")&amp;IF(AND(BW1344=0,BR1344&lt;0),"negativer Bestand (Export "&amp;BR1344&amp;"); ","")&amp;IF(J1344&lt;=0,"Kein Verbrauch; ","")&amp;IF(CR1344&gt;0,"Lift "&amp;W1344&amp;" lt. Liftbericht (Fach "&amp;X1344&amp;" Stk); ",IF(CB1344=1,"Gebinde geschätzt ("&amp;T1344&amp;"); ",IF(CA1344=1,"Lose – Tablare geschätzt; ","")))&amp;IF(H1344&gt;AW1344,"Überbestand "&amp;ROUND(H1344-AW1344,0)&amp;" Stk / CHF "&amp;ROUND((H1344-AW1344)*G1344,0)&amp;"; ","")&amp;IF(AND(CI1344=1,CJ1344&lt;CK1344),"MAX &lt; MB+LG; ","")&amp;IF(AND(CQ1344&gt;0,CP1344*10&gt;CQ1344),"zu hoch für Tablar; ","")&amp;IF(AND(BW1344=0,OR(CI1344=1,AB1344&lt;&gt;"",U1344&lt;&gt;"",V1344&lt;&gt;"",AC1344&lt;&gt;"")),"manuell übersteuert; ","")&amp;IF(AND(CA1344=0,R1344=0),"Gebinde unbekannt / Stellmass fehlt; ","")&amp;IF(AND(CA1344=0,N(V1344)&lt;=0,N(Q1344)&lt;=0),"Menge pro Gebinde fehlt (Ist = 1 Gebinde); ","")&amp;BV1344)</f>
        <v>negativer Bestand (Export -36); </v>
      </c>
      <c r="BO1344" s="60"/>
      <c r="BP1344" s="60"/>
      <c r="BQ1344" s="67"/>
      <c r="BR1344" s="62" t="n">
        <v>-36</v>
      </c>
      <c r="BS1344" s="62" t="n">
        <v>83</v>
      </c>
      <c r="BT1344" s="61" t="n">
        <v>-1818.71</v>
      </c>
      <c r="BU1344" s="62" t="n">
        <v>158</v>
      </c>
      <c r="BV1344" s="60"/>
      <c r="BW1344" s="65" t="n">
        <v>0</v>
      </c>
      <c r="BX1344" s="65" t="n">
        <v>1344</v>
      </c>
      <c r="BY1344" s="60" t="str">
        <f aca="false">IF(U1344&lt;&gt;"",UPPER(TRIM(U1344)),IF(CB1344=1,UPPER(VLOOKUP(T1344,Parameter!$I$27:$K$29,2,0)),IF(P1344="","LOSE",P1344)))</f>
        <v>S62</v>
      </c>
      <c r="BZ1344" s="62" t="n">
        <f aca="false">IF(BY1344="LOSE",1,IF(N(V1344)&gt;0,V1344,IF(CB1344=1,MAX(1,N(VLOOKUP(T1344,Parameter!$I$27:$K$29,3,0)),H1344,N(N1344)),IF(N(Q1344)&gt;0,Q1344,MAX(1,H1344)))))</f>
        <v>23</v>
      </c>
      <c r="CA1344" s="65" t="n">
        <f aca="false">IF(BY1344="LOSE",1,0)</f>
        <v>0</v>
      </c>
      <c r="CB1344" s="65" t="n">
        <f aca="false">IF(AND(U1344="",OR(P1344="",P1344="LOSE"),T1344&lt;&gt;"",N(S1344)&lt;=0,ISNUMBER(MATCH(T1344,Parameter!$I$27:$I$29,0))),1,0)</f>
        <v>0</v>
      </c>
      <c r="CC1344" s="65" t="n">
        <f aca="false">IF(CR1344&gt;0,INDEX(Parameter!$H$5:$H$7,W1344)/INDEX(Parameter!$E$5:$E$7,W1344),IF(AND(CA1344=0,N(IFERROR(VLOOKUP(BY1344,'Gebinde-Kategorie'!$A$5:$N$45,14,0),0))&gt;0),VLOOKUP(BY1344,'Gebinde-Kategorie'!$A$5:$N$45,14,0)*10+Parameter!$M$23,Parameter!$M$24))</f>
        <v>245</v>
      </c>
      <c r="CD1344" s="60" t="str">
        <f aca="false">IF(AND(Parameter!$B$19="Ja",E1344&lt;&gt;"",ISNUMBER(MATCH(E1344,Parameter!$I$35:$I$52,0))),VLOOKUP(E1344,Parameter!$I$35:$J$52,2,0),IFERROR(VLOOKUP(D1344,Parameter!$A$35:$C$64,2,0),"Nein"))</f>
        <v>2+3</v>
      </c>
      <c r="CE1344" s="64" t="n">
        <f aca="false">IF(CA1344=0,0,IF(N(S1344)&gt;0,S1344,IFERROR(VLOOKUP(D1344,Parameter!$A$35:$C$64,3,0)+0,0)))</f>
        <v>0</v>
      </c>
      <c r="CF1344" s="60" t="n">
        <f aca="false">IF(AB1344&lt;&gt;"",AB1344,AA1344)</f>
        <v>3</v>
      </c>
      <c r="CG1344" s="60" t="str">
        <f aca="false">IF(OR(CF1344=1,CF1344=2,CF1344=3),IF(Parameter!$E$27="Ja","LIFT",IF(CF1344=1,"L1","L23")),IF(CF1344="Aussen","Aussen","-"))</f>
        <v>LIFT</v>
      </c>
      <c r="CH1344" s="71" t="n">
        <f aca="false">IF(N(AC1344)&gt;0,AC1344,0)</f>
        <v>0</v>
      </c>
      <c r="CI1344" s="65" t="n">
        <f aca="false">IF(ISNUMBER(AF1344),1,0)</f>
        <v>0</v>
      </c>
      <c r="CJ1344" s="62" t="n">
        <f aca="false">N(AF1344)</f>
        <v>0</v>
      </c>
      <c r="CK1344" s="62" t="n">
        <f aca="false">N(M1344)+N(N1344)</f>
        <v>120</v>
      </c>
      <c r="CL1344" s="62" t="n">
        <f aca="false">N(M1344)</f>
        <v>20</v>
      </c>
      <c r="CM1344" s="62" t="n">
        <f aca="false">N(N1344)</f>
        <v>100</v>
      </c>
      <c r="CN1344" s="62" t="n">
        <f aca="false">ROUNDUP(H1344/BZ1344,0)</f>
        <v>3</v>
      </c>
      <c r="CO1344" s="62" t="n">
        <f aca="false">ROUNDUP(CJ1344/BZ1344,0)</f>
        <v>0</v>
      </c>
      <c r="CP1344" s="65" t="n">
        <f aca="false">IF(CA1344=1,0,IFERROR(VLOOKUP(BY1344,'Gebinde-Kategorie'!$A$5:$N$45,5,0)+0,0))</f>
        <v>21</v>
      </c>
      <c r="CQ1344" s="65" t="n">
        <f aca="false">IFERROR(IF(OR(CF1344=1,CF1344=2,CF1344=3),N(INDEX(Parameter!$I$5:$I$7,CF1344)),0),0)</f>
        <v>0</v>
      </c>
      <c r="CR1344" s="64" t="n">
        <f aca="false">IF(AND(Parameter!$B$21="Ja",ISNUMBER(W1344),N(X1344)&gt;0),IFERROR(N(INDEX(Parameter!$L$5:$L$7,W1344))*INDEX(Parameter!$E$5:$E$7,W1344)*X1344/SUMIFS($X$7:$X$1843,$W$7:$W$1843,W1344),0),0)</f>
        <v>0</v>
      </c>
      <c r="CS1344" s="62" t="n">
        <f aca="false">IF(AND(OR(CG1344="L1",CG1344="L23",CG1344="LIFT"),H1344&gt;0),CC1344*IF(CR1344&gt;0,CR1344*MAX(1,H1344/X1344),IF(CA1344=1,CE1344,IF(R1344&gt;0,CN1344/R1344,0))/MAX(0.1,N(Parameter!$M$21))),"")</f>
        <v>61.25</v>
      </c>
      <c r="CT1344" s="64" t="n">
        <f aca="false">IF(CS1344="","",J1344/H1344)</f>
        <v>3.36170212765957</v>
      </c>
      <c r="CU1344" s="62" t="n">
        <f aca="false">IF(CS1344="","",H1344*G1344)</f>
        <v>1814.2</v>
      </c>
      <c r="CV1344" s="63" t="n">
        <f aca="false">IF(CS1344="","",(CL1344+ROUNDUP(CL1344+MAX(CM1344,2*(J1344/MAX(0.1,N(Einkauf!$C$6))-CL1344)),0))/2)</f>
        <v>70</v>
      </c>
      <c r="CW1344" s="62" t="n">
        <f aca="false">IF(CS1344="","",MAX(0,H1344-CV1344)*G1344)</f>
        <v>0</v>
      </c>
      <c r="CX1344" s="62" t="n">
        <f aca="false">IF(CS1344="","",CS1344*MAX(0,1-CV1344/H1344))</f>
        <v>0</v>
      </c>
      <c r="CY1344" s="64" t="n">
        <f aca="false">IF(CS1344="","",PERCENTRANK($CS$7:$CS$1843,CS1344)+PERCENTRANK($CU$7:$CU$1843,CU1344)+1-PERCENTRANK($CT$7:$CT$1843,CT1344))</f>
        <v>1.783</v>
      </c>
      <c r="CZ1344" s="72" t="n">
        <f aca="false">IF(CS1344="","",CHOOSE(MATCH(Einkauf!$C$5,Parameter!$G$23:$G$27,0),CY1344,CS1344,CU1344,-CT1344,CW1344)+ROW()/1000000000)</f>
        <v>1.783001344</v>
      </c>
    </row>
    <row r="1345" customFormat="false" ht="15" hidden="false" customHeight="false" outlineLevel="0" collapsed="false">
      <c r="A1345" s="60" t="s">
        <v>2420</v>
      </c>
      <c r="B1345" s="60" t="s">
        <v>1944</v>
      </c>
      <c r="C1345" s="60" t="s">
        <v>209</v>
      </c>
      <c r="D1345" s="60" t="s">
        <v>226</v>
      </c>
      <c r="E1345" s="60" t="s">
        <v>227</v>
      </c>
      <c r="F1345" s="60" t="s">
        <v>260</v>
      </c>
      <c r="G1345" s="61" t="n">
        <v>21.45</v>
      </c>
      <c r="H1345" s="62" t="n">
        <f aca="false">MAX(0,IF(AND(Parameter!$B$21="Ja",ISNUMBER(Y1345)),Y1345,IF(Parameter!$B$20="Jahresanfang 2025 + Export",BS1345+BR1345,BR1345)))</f>
        <v>42</v>
      </c>
      <c r="I1345" s="62" t="n">
        <f aca="false">H1345*G1345</f>
        <v>900.9</v>
      </c>
      <c r="J1345" s="62" t="n">
        <f aca="false">BU1345*Parameter!$B$18</f>
        <v>384</v>
      </c>
      <c r="K1345" s="63" t="n">
        <v>122.5</v>
      </c>
      <c r="L1345" s="64" t="n">
        <v>3.13469387755102</v>
      </c>
      <c r="M1345" s="62" t="n">
        <v>0</v>
      </c>
      <c r="N1345" s="62" t="n">
        <v>210</v>
      </c>
      <c r="O1345" s="65" t="n">
        <v>21</v>
      </c>
      <c r="P1345" s="60" t="s">
        <v>344</v>
      </c>
      <c r="Q1345" s="62" t="n">
        <v>57</v>
      </c>
      <c r="R1345" s="65" t="n">
        <f aca="false">IF(CA1345=1,0,IFERROR(VLOOKUP(BY1345,'Gebinde-Kategorie'!$A$5:$N$45,13,0)+0,0))</f>
        <v>26</v>
      </c>
      <c r="S1345" s="66"/>
      <c r="T1345" s="67"/>
      <c r="U1345" s="67"/>
      <c r="V1345" s="67"/>
      <c r="W1345" s="60"/>
      <c r="X1345" s="62"/>
      <c r="Y1345" s="62"/>
      <c r="Z1345" s="60" t="n">
        <v>3</v>
      </c>
      <c r="AA1345" s="60" t="n">
        <f aca="false">IF(A1345="","",IF(AND(Parameter!$B$21="Ja",ISNUMBER(W1345)),W1345,IF(AND(Parameter!$E$27="Ja",ISNUMBER(Z1345),CD1345&lt;&gt;"Nein"),Z1345,IF(CD1345="2+3",IF(ISNUMBER(SEARCH("grosser Artikel",BV1345)),2,IFERROR(VLOOKUP(BY1345,Parameter!$F$35:$G$64,2,0),2)),IF(OR(CD1345="Nein",CD1345=""),"-",CD1345)))))</f>
        <v>3</v>
      </c>
      <c r="AB1345" s="67"/>
      <c r="AC1345" s="68"/>
      <c r="AD1345" s="62" t="n">
        <f aca="false">AW1345</f>
        <v>256</v>
      </c>
      <c r="AE1345" s="62" t="n">
        <f aca="false">MAX(AW1345,H1345)</f>
        <v>256</v>
      </c>
      <c r="AF1345" s="69"/>
      <c r="AG1345" s="62" t="n">
        <f aca="false">IF(LEFT(Cockpit!$C$5,1)="A",H1345,IF(Parameter!$E$30="MAX-Bestand",IF(CI1345=1,CJ1345,IF(LEFT(Cockpit!$C$5,1)="B",AM1345,MAX(AM1345,H1345))),ROUNDUP(AK1345,0)))</f>
        <v>42</v>
      </c>
      <c r="AH1345" s="62" t="n">
        <f aca="false">IF(CA1345=1,0,ROUNDUP(AG1345/BZ1345,0))</f>
        <v>1</v>
      </c>
      <c r="AI1345" s="64" t="n">
        <f aca="false">IF(CR1345&gt;0,CR1345*MAX(1,AG1345/X1345),IF(CA1345=1,IF(AG1345&lt;=0,0,CE1345*MAX(1,IF(H1345&gt;0,AG1345/H1345,1))),IF(R1345&gt;0,AH1345/R1345,0))/MAX(0.1,N(Parameter!$M$21)))</f>
        <v>0.0384615384615385</v>
      </c>
      <c r="AJ1345" s="62" t="n">
        <f aca="false">AI1345*CC1345</f>
        <v>5.96153846153846</v>
      </c>
      <c r="AK1345" s="63" t="n">
        <f aca="false">IF(LEFT(Cockpit!$C$5,1)="A",H1345,IF(CI1345=1,(CL1345+CJ1345)/2,IF(LEFT(Cockpit!$C$5,1)="B",(CL1345+AM1345)/2,MAX((CL1345+AM1345)/2,H1345))))</f>
        <v>42</v>
      </c>
      <c r="AL1345" s="62" t="n">
        <f aca="false">AK1345*G1345</f>
        <v>900.9</v>
      </c>
      <c r="AM1345" s="62" t="n">
        <f aca="false">ROUNDUP(CL1345+MAX(CM1345,2*(J1345/IF(CH1345&gt;0,CH1345,MAX(0.1,N(Cockpit!$C$6)))-CL1345)),0)</f>
        <v>256</v>
      </c>
      <c r="AN1345" s="63" t="n">
        <f aca="false">IF(AJ1345&gt;0,J1345/AJ1345,-1)</f>
        <v>64.4129032258065</v>
      </c>
      <c r="AO1345" s="63" t="n">
        <f aca="false">IF(AND(OR(CG1345="L1",CG1345="L23",CG1345="LIFT"),AJ1345&gt;0),SUMIFS($AJ$7:$AJ$1843,$CG$7:$CG$1843,CG1345,$AN$7:$AN$1843,"&gt;"&amp;AN1345)+SUMIFS($AJ$7:$AJ$1843,$CG$7:$CG$1843,CG1345,$AN$7:$AN$1843,AN1345,$BX$7:$BX$1843,"&lt;="&amp;BX1345),"")</f>
        <v>946.199175824176</v>
      </c>
      <c r="AP1345" s="70" t="n">
        <f aca="false">IF(AO1345="",0,MAX(0,MIN(1,(IF(CG1345="L1",Parameter!$H$5,IF(CG1345="L23",Parameter!$H$6+Parameter!$H$7,Parameter!$H$5+Parameter!$H$6+Parameter!$H$7))-(AO1345-AJ1345))/AJ1345)))</f>
        <v>1</v>
      </c>
      <c r="AQ1345" s="62" t="n">
        <f aca="false">IF(LEFT(Cockpit!$I$5,1)="A",H1345,IF(Parameter!$E$30="MAX-Bestand",IF(CI1345=1,CJ1345,IF(LEFT(Cockpit!$I$5,1)="B",AW1345,MAX(AW1345,H1345))),ROUNDUP(AU1345,0)))</f>
        <v>128</v>
      </c>
      <c r="AR1345" s="62" t="n">
        <f aca="false">IF(CA1345=1,0,ROUNDUP(AQ1345/BZ1345,0))</f>
        <v>3</v>
      </c>
      <c r="AS1345" s="64" t="n">
        <f aca="false">IF(CR1345&gt;0,CR1345*MAX(1,AQ1345/X1345),IF(CA1345=1,IF(AQ1345&lt;=0,0,CE1345*MAX(1,IF(H1345&gt;0,AQ1345/H1345,1))),IF(R1345&gt;0,AR1345/R1345,0))/MAX(0.1,N(Parameter!$M$21)))</f>
        <v>0.115384615384615</v>
      </c>
      <c r="AT1345" s="62" t="n">
        <f aca="false">AS1345*CC1345</f>
        <v>17.8846153846154</v>
      </c>
      <c r="AU1345" s="63" t="n">
        <f aca="false">IF(LEFT(Cockpit!$I$5,1)="A",H1345,IF(CI1345=1,(CL1345+CJ1345)/2,IF(LEFT(Cockpit!$I$5,1)="B",(CL1345+AW1345)/2,MAX((CL1345+AW1345)/2,H1345))))</f>
        <v>128</v>
      </c>
      <c r="AV1345" s="62" t="n">
        <f aca="false">AU1345*G1345</f>
        <v>2745.6</v>
      </c>
      <c r="AW1345" s="62" t="n">
        <f aca="false">ROUNDUP(CL1345+MAX(CM1345,2*(J1345/IF(CH1345&gt;0,CH1345,MAX(0.1,N(Cockpit!$I$6)))-CL1345)),0)</f>
        <v>256</v>
      </c>
      <c r="AX1345" s="63" t="n">
        <f aca="false">IF(AT1345&gt;0,J1345/AT1345,-1)</f>
        <v>21.4709677419355</v>
      </c>
      <c r="AY1345" s="63" t="n">
        <f aca="false">IF(AND(OR(CG1345="L1",CG1345="L23",CG1345="LIFT"),AT1345&gt;0),SUMIFS($AT$7:$AT$1843,$CG$7:$CG$1843,CG1345,$AX$7:$AX$1843,"&gt;"&amp;AX1345)+SUMIFS($AT$7:$AT$1843,$CG$7:$CG$1843,CG1345,$AX$7:$AX$1843,AX1345,$BX$7:$BX$1843,"&lt;="&amp;BX1345),"")</f>
        <v>2244.57326007326</v>
      </c>
      <c r="AZ1345" s="70" t="n">
        <f aca="false">IF(AY1345="",0,MAX(0,MIN(1,(IF(CG1345="L1",Parameter!$H$5,IF(CG1345="L23",Parameter!$H$6+Parameter!$H$7,Parameter!$H$5+Parameter!$H$6+Parameter!$H$7))-(AY1345-AT1345))/AT1345)))</f>
        <v>1</v>
      </c>
      <c r="BA1345" s="62" t="n">
        <f aca="false">IF(LEFT(Cockpit!$O$5,1)="A",H1345,IF(Parameter!$E$30="MAX-Bestand",IF(CI1345=1,CJ1345,IF(LEFT(Cockpit!$O$5,1)="B",BG1345,MAX(BG1345,H1345))),ROUNDUP(BE1345,0)))</f>
        <v>105</v>
      </c>
      <c r="BB1345" s="62" t="n">
        <f aca="false">IF(CA1345=1,0,ROUNDUP(BA1345/BZ1345,0))</f>
        <v>2</v>
      </c>
      <c r="BC1345" s="64" t="n">
        <f aca="false">IF(CR1345&gt;0,CR1345*MAX(1,BA1345/X1345),IF(CA1345=1,IF(BA1345&lt;=0,0,CE1345*MAX(1,IF(H1345&gt;0,BA1345/H1345,1))),IF(R1345&gt;0,BB1345/R1345,0))/MAX(0.1,N(Parameter!$M$21)))</f>
        <v>0.0769230769230769</v>
      </c>
      <c r="BD1345" s="62" t="n">
        <f aca="false">BC1345*CC1345</f>
        <v>11.9230769230769</v>
      </c>
      <c r="BE1345" s="63" t="n">
        <f aca="false">IF(LEFT(Cockpit!$O$5,1)="A",H1345,IF(CI1345=1,(CL1345+CJ1345)/2,IF(LEFT(Cockpit!$O$5,1)="B",(CL1345+BG1345)/2,MAX((CL1345+BG1345)/2,H1345))))</f>
        <v>105</v>
      </c>
      <c r="BF1345" s="62" t="n">
        <f aca="false">BE1345*G1345</f>
        <v>2252.25</v>
      </c>
      <c r="BG1345" s="62" t="n">
        <f aca="false">ROUNDUP(CL1345+MAX(CM1345,2*(J1345/IF(CH1345&gt;0,CH1345,MAX(0.1,N(Cockpit!$O$6)))-CL1345)),0)</f>
        <v>210</v>
      </c>
      <c r="BH1345" s="63" t="n">
        <f aca="false">IF(BD1345&gt;0,J1345/BD1345,-1)</f>
        <v>32.2064516129032</v>
      </c>
      <c r="BI1345" s="63" t="n">
        <f aca="false">IF(AND(OR(CG1345="L1",CG1345="L23",CG1345="LIFT"),BD1345&gt;0),SUMIFS($BD$7:$BD$1843,$CG$7:$CG$1843,CG1345,$BH$7:$BH$1843,"&gt;"&amp;BH1345)+SUMIFS($BD$7:$BD$1843,$CG$7:$CG$1843,CG1345,$BH$7:$BH$1843,BH1345,$BX$7:$BX$1843,"&lt;="&amp;BX1345),"")</f>
        <v>1697.82921245421</v>
      </c>
      <c r="BJ1345" s="70" t="n">
        <f aca="false">IF(BI1345="",0,MAX(0,MIN(1,(IF(CG1345="L1",Parameter!$H$5,IF(CG1345="L23",Parameter!$H$6+Parameter!$H$7,Parameter!$H$5+Parameter!$H$6+Parameter!$H$7))-(BI1345-BD1345))/BD1345)))</f>
        <v>1</v>
      </c>
      <c r="BK1345" s="60" t="str">
        <f aca="false">IF(AJ1345&lt;=0,"",IF(CG1345="Aussen","Aussenlager",IF(CG1345="-","Nicht im Lift",IF(AP1345&gt;=1,"Lift",IF(AP1345&lt;=0,"Aussenlager","teilweise")))))</f>
        <v>Lift</v>
      </c>
      <c r="BL1345" s="60" t="str">
        <f aca="false">IF(AT1345&lt;=0,"",IF(CG1345="Aussen","Aussenlager",IF(CG1345="-","Nicht im Lift",IF(AZ1345&gt;=1,"Lift",IF(AZ1345&lt;=0,"Aussenlager","teilweise")))))</f>
        <v>Lift</v>
      </c>
      <c r="BM1345" s="60" t="str">
        <f aca="false">IF(BD1345&lt;=0,"",IF(CG1345="Aussen","Aussenlager",IF(CG1345="-","Nicht im Lift",IF(BJ1345&gt;=1,"Lift",IF(BJ1345&lt;=0,"Aussenlager","teilweise")))))</f>
        <v>Lift</v>
      </c>
      <c r="BN1345" s="60" t="str">
        <f aca="false">IF(A1345="","",IF(BW1345=1,"Neu; ","")&amp;IF(AND(BW1345=0,BR1345&lt;0),"negativer Bestand (Export "&amp;BR1345&amp;"); ","")&amp;IF(J1345&lt;=0,"Kein Verbrauch; ","")&amp;IF(CR1345&gt;0,"Lift "&amp;W1345&amp;" lt. Liftbericht (Fach "&amp;X1345&amp;" Stk); ",IF(CB1345=1,"Gebinde geschätzt ("&amp;T1345&amp;"); ",IF(CA1345=1,"Lose – Tablare geschätzt; ","")))&amp;IF(H1345&gt;AW1345,"Überbestand "&amp;ROUND(H1345-AW1345,0)&amp;" Stk / CHF "&amp;ROUND((H1345-AW1345)*G1345,0)&amp;"; ","")&amp;IF(AND(CI1345=1,CJ1345&lt;CK1345),"MAX &lt; MB+LG; ","")&amp;IF(AND(CQ1345&gt;0,CP1345*10&gt;CQ1345),"zu hoch für Tablar; ","")&amp;IF(AND(BW1345=0,OR(CI1345=1,AB1345&lt;&gt;"",U1345&lt;&gt;"",V1345&lt;&gt;"",AC1345&lt;&gt;"")),"manuell übersteuert; ","")&amp;IF(AND(CA1345=0,R1345=0),"Gebinde unbekannt / Stellmass fehlt; ","")&amp;IF(AND(CA1345=0,N(V1345)&lt;=0,N(Q1345)&lt;=0),"Menge pro Gebinde fehlt (Ist = 1 Gebinde); ","")&amp;BV1345)</f>
        <v>negativer Bestand (Export -165); </v>
      </c>
      <c r="BO1345" s="60"/>
      <c r="BP1345" s="60"/>
      <c r="BQ1345" s="67"/>
      <c r="BR1345" s="62" t="n">
        <v>-165</v>
      </c>
      <c r="BS1345" s="62" t="n">
        <v>207</v>
      </c>
      <c r="BT1345" s="61" t="n">
        <v>-1852.2</v>
      </c>
      <c r="BU1345" s="62" t="n">
        <v>384</v>
      </c>
      <c r="BV1345" s="60"/>
      <c r="BW1345" s="65" t="n">
        <v>0</v>
      </c>
      <c r="BX1345" s="65" t="n">
        <v>1345</v>
      </c>
      <c r="BY1345" s="60" t="str">
        <f aca="false">IF(U1345&lt;&gt;"",UPPER(TRIM(U1345)),IF(CB1345=1,UPPER(VLOOKUP(T1345,Parameter!$I$27:$K$29,2,0)),IF(P1345="","LOSE",P1345)))</f>
        <v>S51</v>
      </c>
      <c r="BZ1345" s="62" t="n">
        <f aca="false">IF(BY1345="LOSE",1,IF(N(V1345)&gt;0,V1345,IF(CB1345=1,MAX(1,N(VLOOKUP(T1345,Parameter!$I$27:$K$29,3,0)),H1345,N(N1345)),IF(N(Q1345)&gt;0,Q1345,MAX(1,H1345)))))</f>
        <v>57</v>
      </c>
      <c r="CA1345" s="65" t="n">
        <f aca="false">IF(BY1345="LOSE",1,0)</f>
        <v>0</v>
      </c>
      <c r="CB1345" s="65" t="n">
        <f aca="false">IF(AND(U1345="",OR(P1345="",P1345="LOSE"),T1345&lt;&gt;"",N(S1345)&lt;=0,ISNUMBER(MATCH(T1345,Parameter!$I$27:$I$29,0))),1,0)</f>
        <v>0</v>
      </c>
      <c r="CC1345" s="65" t="n">
        <f aca="false">IF(CR1345&gt;0,INDEX(Parameter!$H$5:$H$7,W1345)/INDEX(Parameter!$E$5:$E$7,W1345),IF(AND(CA1345=0,N(IFERROR(VLOOKUP(BY1345,'Gebinde-Kategorie'!$A$5:$N$45,14,0),0))&gt;0),VLOOKUP(BY1345,'Gebinde-Kategorie'!$A$5:$N$45,14,0)*10+Parameter!$M$23,Parameter!$M$24))</f>
        <v>155</v>
      </c>
      <c r="CD1345" s="60" t="str">
        <f aca="false">IF(AND(Parameter!$B$19="Ja",E1345&lt;&gt;"",ISNUMBER(MATCH(E1345,Parameter!$I$35:$I$52,0))),VLOOKUP(E1345,Parameter!$I$35:$J$52,2,0),IFERROR(VLOOKUP(D1345,Parameter!$A$35:$C$64,2,0),"Nein"))</f>
        <v>2+3</v>
      </c>
      <c r="CE1345" s="64" t="n">
        <f aca="false">IF(CA1345=0,0,IF(N(S1345)&gt;0,S1345,IFERROR(VLOOKUP(D1345,Parameter!$A$35:$C$64,3,0)+0,0)))</f>
        <v>0</v>
      </c>
      <c r="CF1345" s="60" t="n">
        <f aca="false">IF(AB1345&lt;&gt;"",AB1345,AA1345)</f>
        <v>3</v>
      </c>
      <c r="CG1345" s="60" t="str">
        <f aca="false">IF(OR(CF1345=1,CF1345=2,CF1345=3),IF(Parameter!$E$27="Ja","LIFT",IF(CF1345=1,"L1","L23")),IF(CF1345="Aussen","Aussen","-"))</f>
        <v>LIFT</v>
      </c>
      <c r="CH1345" s="71" t="n">
        <f aca="false">IF(N(AC1345)&gt;0,AC1345,0)</f>
        <v>0</v>
      </c>
      <c r="CI1345" s="65" t="n">
        <f aca="false">IF(ISNUMBER(AF1345),1,0)</f>
        <v>0</v>
      </c>
      <c r="CJ1345" s="62" t="n">
        <f aca="false">N(AF1345)</f>
        <v>0</v>
      </c>
      <c r="CK1345" s="62" t="n">
        <f aca="false">N(M1345)+N(N1345)</f>
        <v>210</v>
      </c>
      <c r="CL1345" s="62" t="n">
        <f aca="false">N(M1345)</f>
        <v>0</v>
      </c>
      <c r="CM1345" s="62" t="n">
        <f aca="false">N(N1345)</f>
        <v>210</v>
      </c>
      <c r="CN1345" s="62" t="n">
        <f aca="false">ROUNDUP(H1345/BZ1345,0)</f>
        <v>1</v>
      </c>
      <c r="CO1345" s="62" t="n">
        <f aca="false">ROUNDUP(CJ1345/BZ1345,0)</f>
        <v>0</v>
      </c>
      <c r="CP1345" s="65" t="n">
        <f aca="false">IF(CA1345=1,0,IFERROR(VLOOKUP(BY1345,'Gebinde-Kategorie'!$A$5:$N$45,5,0)+0,0))</f>
        <v>11</v>
      </c>
      <c r="CQ1345" s="65" t="n">
        <f aca="false">IFERROR(IF(OR(CF1345=1,CF1345=2,CF1345=3),N(INDEX(Parameter!$I$5:$I$7,CF1345)),0),0)</f>
        <v>0</v>
      </c>
      <c r="CR1345" s="64" t="n">
        <f aca="false">IF(AND(Parameter!$B$21="Ja",ISNUMBER(W1345),N(X1345)&gt;0),IFERROR(N(INDEX(Parameter!$L$5:$L$7,W1345))*INDEX(Parameter!$E$5:$E$7,W1345)*X1345/SUMIFS($X$7:$X$1843,$W$7:$W$1843,W1345),0),0)</f>
        <v>0</v>
      </c>
      <c r="CS1345" s="62" t="n">
        <f aca="false">IF(AND(OR(CG1345="L1",CG1345="L23",CG1345="LIFT"),H1345&gt;0),CC1345*IF(CR1345&gt;0,CR1345*MAX(1,H1345/X1345),IF(CA1345=1,CE1345,IF(R1345&gt;0,CN1345/R1345,0))/MAX(0.1,N(Parameter!$M$21))),"")</f>
        <v>5.96153846153846</v>
      </c>
      <c r="CT1345" s="64" t="n">
        <f aca="false">IF(CS1345="","",J1345/H1345)</f>
        <v>9.14285714285714</v>
      </c>
      <c r="CU1345" s="62" t="n">
        <f aca="false">IF(CS1345="","",H1345*G1345)</f>
        <v>900.9</v>
      </c>
      <c r="CV1345" s="63" t="n">
        <f aca="false">IF(CS1345="","",(CL1345+ROUNDUP(CL1345+MAX(CM1345,2*(J1345/MAX(0.1,N(Einkauf!$C$6))-CL1345)),0))/2)</f>
        <v>105</v>
      </c>
      <c r="CW1345" s="62" t="n">
        <f aca="false">IF(CS1345="","",MAX(0,H1345-CV1345)*G1345)</f>
        <v>0</v>
      </c>
      <c r="CX1345" s="62" t="n">
        <f aca="false">IF(CS1345="","",CS1345*MAX(0,1-CV1345/H1345))</f>
        <v>0</v>
      </c>
      <c r="CY1345" s="64" t="n">
        <f aca="false">IF(CS1345="","",PERCENTRANK($CS$7:$CS$1843,CS1345)+PERCENTRANK($CU$7:$CU$1843,CU1345)+1-PERCENTRANK($CT$7:$CT$1843,CT1345))</f>
        <v>0.999</v>
      </c>
      <c r="CZ1345" s="72" t="n">
        <f aca="false">IF(CS1345="","",CHOOSE(MATCH(Einkauf!$C$5,Parameter!$G$23:$G$27,0),CY1345,CS1345,CU1345,-CT1345,CW1345)+ROW()/1000000000)</f>
        <v>0.999001345</v>
      </c>
    </row>
    <row r="1346" customFormat="false" ht="15" hidden="false" customHeight="false" outlineLevel="0" collapsed="false">
      <c r="A1346" s="60" t="s">
        <v>2421</v>
      </c>
      <c r="B1346" s="60" t="s">
        <v>504</v>
      </c>
      <c r="C1346" s="60" t="s">
        <v>206</v>
      </c>
      <c r="D1346" s="60" t="s">
        <v>215</v>
      </c>
      <c r="E1346" s="60" t="s">
        <v>227</v>
      </c>
      <c r="F1346" s="60" t="s">
        <v>260</v>
      </c>
      <c r="G1346" s="61" t="n">
        <v>238.48</v>
      </c>
      <c r="H1346" s="62" t="n">
        <f aca="false">MAX(0,IF(AND(Parameter!$B$21="Ja",ISNUMBER(Y1346)),Y1346,IF(Parameter!$B$20="Jahresanfang 2025 + Export",BS1346+BR1346,BR1346)))</f>
        <v>11</v>
      </c>
      <c r="I1346" s="62" t="n">
        <f aca="false">H1346*G1346</f>
        <v>2623.28</v>
      </c>
      <c r="J1346" s="62" t="n">
        <f aca="false">BU1346*Parameter!$B$18</f>
        <v>39</v>
      </c>
      <c r="K1346" s="63" t="n">
        <v>14.5</v>
      </c>
      <c r="L1346" s="64" t="n">
        <v>2.68965517241379</v>
      </c>
      <c r="M1346" s="62" t="n">
        <v>3</v>
      </c>
      <c r="N1346" s="62" t="n">
        <v>10</v>
      </c>
      <c r="O1346" s="65" t="n">
        <v>28</v>
      </c>
      <c r="P1346" s="60" t="s">
        <v>210</v>
      </c>
      <c r="Q1346" s="62"/>
      <c r="R1346" s="65" t="n">
        <f aca="false">IF(CA1346=1,0,IFERROR(VLOOKUP(BY1346,'Gebinde-Kategorie'!$A$5:$N$45,13,0)+0,0))</f>
        <v>0</v>
      </c>
      <c r="S1346" s="66"/>
      <c r="T1346" s="67"/>
      <c r="U1346" s="67"/>
      <c r="V1346" s="67"/>
      <c r="W1346" s="60" t="n">
        <v>1</v>
      </c>
      <c r="X1346" s="62" t="n">
        <v>18</v>
      </c>
      <c r="Y1346" s="62" t="n">
        <v>11</v>
      </c>
      <c r="Z1346" s="60" t="n">
        <v>1</v>
      </c>
      <c r="AA1346" s="60" t="n">
        <f aca="false">IF(A1346="","",IF(AND(Parameter!$B$21="Ja",ISNUMBER(W1346)),W1346,IF(AND(Parameter!$E$27="Ja",ISNUMBER(Z1346),CD1346&lt;&gt;"Nein"),Z1346,IF(CD1346="2+3",IF(ISNUMBER(SEARCH("grosser Artikel",BV1346)),2,IFERROR(VLOOKUP(BY1346,Parameter!$F$35:$G$64,2,0),2)),IF(OR(CD1346="Nein",CD1346=""),"-",CD1346)))))</f>
        <v>1</v>
      </c>
      <c r="AB1346" s="67"/>
      <c r="AC1346" s="68"/>
      <c r="AD1346" s="62" t="n">
        <f aca="false">AW1346</f>
        <v>23</v>
      </c>
      <c r="AE1346" s="62" t="n">
        <f aca="false">MAX(AW1346,H1346)</f>
        <v>23</v>
      </c>
      <c r="AF1346" s="69"/>
      <c r="AG1346" s="62" t="n">
        <f aca="false">IF(LEFT(Cockpit!$C$5,1)="A",H1346,IF(Parameter!$E$30="MAX-Bestand",IF(CI1346=1,CJ1346,IF(LEFT(Cockpit!$C$5,1)="B",AM1346,MAX(AM1346,H1346))),ROUNDUP(AK1346,0)))</f>
        <v>11</v>
      </c>
      <c r="AH1346" s="62" t="n">
        <f aca="false">IF(CA1346=1,0,ROUNDUP(AG1346/BZ1346,0))</f>
        <v>0</v>
      </c>
      <c r="AI1346" s="64" t="n">
        <f aca="false">IF(CR1346&gt;0,CR1346*MAX(1,AG1346/X1346),IF(CA1346=1,IF(AG1346&lt;=0,0,CE1346*MAX(1,IF(H1346&gt;0,AG1346/H1346,1))),IF(R1346&gt;0,AH1346/R1346,0))/MAX(0.1,N(Parameter!$M$21)))</f>
        <v>1.44067796610169</v>
      </c>
      <c r="AJ1346" s="62" t="n">
        <f aca="false">AI1346*CC1346</f>
        <v>342.881355932203</v>
      </c>
      <c r="AK1346" s="63" t="n">
        <f aca="false">IF(LEFT(Cockpit!$C$5,1)="A",H1346,IF(CI1346=1,(CL1346+CJ1346)/2,IF(LEFT(Cockpit!$C$5,1)="B",(CL1346+AM1346)/2,MAX((CL1346+AM1346)/2,H1346))))</f>
        <v>11</v>
      </c>
      <c r="AL1346" s="62" t="n">
        <f aca="false">AK1346*G1346</f>
        <v>2623.28</v>
      </c>
      <c r="AM1346" s="62" t="n">
        <f aca="false">ROUNDUP(CL1346+MAX(CM1346,2*(J1346/IF(CH1346&gt;0,CH1346,MAX(0.1,N(Cockpit!$C$6)))-CL1346)),0)</f>
        <v>23</v>
      </c>
      <c r="AN1346" s="63" t="n">
        <f aca="false">IF(AJ1346&gt;0,J1346/AJ1346,-1)</f>
        <v>0.113741967375185</v>
      </c>
      <c r="AO1346" s="63" t="n">
        <f aca="false">IF(AND(OR(CG1346="L1",CG1346="L23",CG1346="LIFT"),AJ1346&gt;0),SUMIFS($AJ$7:$AJ$1843,$CG$7:$CG$1843,CG1346,$AN$7:$AN$1843,"&gt;"&amp;AN1346)+SUMIFS($AJ$7:$AJ$1843,$CG$7:$CG$1843,CG1346,$AN$7:$AN$1843,AN1346,$BX$7:$BX$1843,"&lt;="&amp;BX1346),"")</f>
        <v>14765.5545596118</v>
      </c>
      <c r="AP1346" s="70" t="n">
        <f aca="false">IF(AO1346="",0,MAX(0,MIN(1,(IF(CG1346="L1",Parameter!$H$5,IF(CG1346="L23",Parameter!$H$6+Parameter!$H$7,Parameter!$H$5+Parameter!$H$6+Parameter!$H$7))-(AO1346-AJ1346))/AJ1346)))</f>
        <v>1</v>
      </c>
      <c r="AQ1346" s="62" t="n">
        <f aca="false">IF(LEFT(Cockpit!$I$5,1)="A",H1346,IF(Parameter!$E$30="MAX-Bestand",IF(CI1346=1,CJ1346,IF(LEFT(Cockpit!$I$5,1)="B",AW1346,MAX(AW1346,H1346))),ROUNDUP(AU1346,0)))</f>
        <v>13</v>
      </c>
      <c r="AR1346" s="62" t="n">
        <f aca="false">IF(CA1346=1,0,ROUNDUP(AQ1346/BZ1346,0))</f>
        <v>0</v>
      </c>
      <c r="AS1346" s="64" t="n">
        <f aca="false">IF(CR1346&gt;0,CR1346*MAX(1,AQ1346/X1346),IF(CA1346=1,IF(AQ1346&lt;=0,0,CE1346*MAX(1,IF(H1346&gt;0,AQ1346/H1346,1))),IF(R1346&gt;0,AR1346/R1346,0))/MAX(0.1,N(Parameter!$M$21)))</f>
        <v>1.44067796610169</v>
      </c>
      <c r="AT1346" s="62" t="n">
        <f aca="false">AS1346*CC1346</f>
        <v>342.881355932203</v>
      </c>
      <c r="AU1346" s="63" t="n">
        <f aca="false">IF(LEFT(Cockpit!$I$5,1)="A",H1346,IF(CI1346=1,(CL1346+CJ1346)/2,IF(LEFT(Cockpit!$I$5,1)="B",(CL1346+AW1346)/2,MAX((CL1346+AW1346)/2,H1346))))</f>
        <v>13</v>
      </c>
      <c r="AV1346" s="62" t="n">
        <f aca="false">AU1346*G1346</f>
        <v>3100.24</v>
      </c>
      <c r="AW1346" s="62" t="n">
        <f aca="false">ROUNDUP(CL1346+MAX(CM1346,2*(J1346/IF(CH1346&gt;0,CH1346,MAX(0.1,N(Cockpit!$I$6)))-CL1346)),0)</f>
        <v>23</v>
      </c>
      <c r="AX1346" s="63" t="n">
        <f aca="false">IF(AT1346&gt;0,J1346/AT1346,-1)</f>
        <v>0.113741967375185</v>
      </c>
      <c r="AY1346" s="63" t="n">
        <f aca="false">IF(AND(OR(CG1346="L1",CG1346="L23",CG1346="LIFT"),AT1346&gt;0),SUMIFS($AT$7:$AT$1843,$CG$7:$CG$1843,CG1346,$AX$7:$AX$1843,"&gt;"&amp;AX1346)+SUMIFS($AT$7:$AT$1843,$CG$7:$CG$1843,CG1346,$AX$7:$AX$1843,AX1346,$BX$7:$BX$1843,"&lt;="&amp;BX1346),"")</f>
        <v>18789.9532009892</v>
      </c>
      <c r="AZ1346" s="70" t="n">
        <f aca="false">IF(AY1346="",0,MAX(0,MIN(1,(IF(CG1346="L1",Parameter!$H$5,IF(CG1346="L23",Parameter!$H$6+Parameter!$H$7,Parameter!$H$5+Parameter!$H$6+Parameter!$H$7))-(AY1346-AT1346))/AT1346)))</f>
        <v>1</v>
      </c>
      <c r="BA1346" s="62" t="n">
        <f aca="false">IF(LEFT(Cockpit!$O$5,1)="A",H1346,IF(Parameter!$E$30="MAX-Bestand",IF(CI1346=1,CJ1346,IF(LEFT(Cockpit!$O$5,1)="B",BG1346,MAX(BG1346,H1346))),ROUNDUP(BE1346,0)))</f>
        <v>10</v>
      </c>
      <c r="BB1346" s="62" t="n">
        <f aca="false">IF(CA1346=1,0,ROUNDUP(BA1346/BZ1346,0))</f>
        <v>0</v>
      </c>
      <c r="BC1346" s="64" t="n">
        <f aca="false">IF(CR1346&gt;0,CR1346*MAX(1,BA1346/X1346),IF(CA1346=1,IF(BA1346&lt;=0,0,CE1346*MAX(1,IF(H1346&gt;0,BA1346/H1346,1))),IF(R1346&gt;0,BB1346/R1346,0))/MAX(0.1,N(Parameter!$M$21)))</f>
        <v>1.44067796610169</v>
      </c>
      <c r="BD1346" s="62" t="n">
        <f aca="false">BC1346*CC1346</f>
        <v>342.881355932203</v>
      </c>
      <c r="BE1346" s="63" t="n">
        <f aca="false">IF(LEFT(Cockpit!$O$5,1)="A",H1346,IF(CI1346=1,(CL1346+CJ1346)/2,IF(LEFT(Cockpit!$O$5,1)="B",(CL1346+BG1346)/2,MAX((CL1346+BG1346)/2,H1346))))</f>
        <v>10</v>
      </c>
      <c r="BF1346" s="62" t="n">
        <f aca="false">BE1346*G1346</f>
        <v>2384.8</v>
      </c>
      <c r="BG1346" s="62" t="n">
        <f aca="false">ROUNDUP(CL1346+MAX(CM1346,2*(J1346/IF(CH1346&gt;0,CH1346,MAX(0.1,N(Cockpit!$O$6)))-CL1346)),0)</f>
        <v>17</v>
      </c>
      <c r="BH1346" s="63" t="n">
        <f aca="false">IF(BD1346&gt;0,J1346/BD1346,-1)</f>
        <v>0.113741967375185</v>
      </c>
      <c r="BI1346" s="63" t="n">
        <f aca="false">IF(AND(OR(CG1346="L1",CG1346="L23",CG1346="LIFT"),BD1346&gt;0),SUMIFS($BD$7:$BD$1843,$CG$7:$CG$1843,CG1346,$BH$7:$BH$1843,"&gt;"&amp;BH1346)+SUMIFS($BD$7:$BD$1843,$CG$7:$CG$1843,CG1346,$BH$7:$BH$1843,BH1346,$BX$7:$BX$1843,"&lt;="&amp;BX1346),"")</f>
        <v>16390.7658135179</v>
      </c>
      <c r="BJ1346" s="70" t="n">
        <f aca="false">IF(BI1346="",0,MAX(0,MIN(1,(IF(CG1346="L1",Parameter!$H$5,IF(CG1346="L23",Parameter!$H$6+Parameter!$H$7,Parameter!$H$5+Parameter!$H$6+Parameter!$H$7))-(BI1346-BD1346))/BD1346)))</f>
        <v>1</v>
      </c>
      <c r="BK1346" s="60" t="str">
        <f aca="false">IF(AJ1346&lt;=0,"",IF(CG1346="Aussen","Aussenlager",IF(CG1346="-","Nicht im Lift",IF(AP1346&gt;=1,"Lift",IF(AP1346&lt;=0,"Aussenlager","teilweise")))))</f>
        <v>Lift</v>
      </c>
      <c r="BL1346" s="60" t="str">
        <f aca="false">IF(AT1346&lt;=0,"",IF(CG1346="Aussen","Aussenlager",IF(CG1346="-","Nicht im Lift",IF(AZ1346&gt;=1,"Lift",IF(AZ1346&lt;=0,"Aussenlager","teilweise")))))</f>
        <v>Lift</v>
      </c>
      <c r="BM1346" s="60" t="str">
        <f aca="false">IF(BD1346&lt;=0,"",IF(CG1346="Aussen","Aussenlager",IF(CG1346="-","Nicht im Lift",IF(BJ1346&gt;=1,"Lift",IF(BJ1346&lt;=0,"Aussenlager","teilweise")))))</f>
        <v>Lift</v>
      </c>
      <c r="BN1346" s="60" t="str">
        <f aca="false">IF(A1346="","",IF(BW1346=1,"Neu; ","")&amp;IF(AND(BW1346=0,BR1346&lt;0),"negativer Bestand (Export "&amp;BR1346&amp;"); ","")&amp;IF(J1346&lt;=0,"Kein Verbrauch; ","")&amp;IF(CR1346&gt;0,"Lift "&amp;W1346&amp;" lt. Liftbericht (Fach "&amp;X1346&amp;" Stk); ",IF(CB1346=1,"Gebinde geschätzt ("&amp;T1346&amp;"); ",IF(CA1346=1,"Lose – Tablare geschätzt; ","")))&amp;IF(H1346&gt;AW1346,"Überbestand "&amp;ROUND(H1346-AW1346,0)&amp;" Stk / CHF "&amp;ROUND((H1346-AW1346)*G1346,0)&amp;"; ","")&amp;IF(AND(CI1346=1,CJ1346&lt;CK1346),"MAX &lt; MB+LG; ","")&amp;IF(AND(CQ1346&gt;0,CP1346*10&gt;CQ1346),"zu hoch für Tablar; ","")&amp;IF(AND(BW1346=0,OR(CI1346=1,AB1346&lt;&gt;"",U1346&lt;&gt;"",V1346&lt;&gt;"",AC1346&lt;&gt;"")),"manuell übersteuert; ","")&amp;IF(AND(CA1346=0,R1346=0),"Gebinde unbekannt / Stellmass fehlt; ","")&amp;IF(AND(CA1346=0,N(V1346)&lt;=0,N(Q1346)&lt;=0),"Menge pro Gebinde fehlt (Ist = 1 Gebinde); ","")&amp;BV1346)</f>
        <v>negativer Bestand (Export -8); Lift 1 lt. Liftbericht (Fach 18 Stk); grosser Artikel &amp; nicht im KTL</v>
      </c>
      <c r="BO1346" s="60"/>
      <c r="BP1346" s="60"/>
      <c r="BQ1346" s="67"/>
      <c r="BR1346" s="62" t="n">
        <v>-8</v>
      </c>
      <c r="BS1346" s="62" t="n">
        <v>19</v>
      </c>
      <c r="BT1346" s="61" t="n">
        <v>-1918.86</v>
      </c>
      <c r="BU1346" s="62" t="n">
        <v>39</v>
      </c>
      <c r="BV1346" s="60" t="s">
        <v>303</v>
      </c>
      <c r="BW1346" s="65" t="n">
        <v>0</v>
      </c>
      <c r="BX1346" s="65" t="n">
        <v>1346</v>
      </c>
      <c r="BY1346" s="60" t="str">
        <f aca="false">IF(U1346&lt;&gt;"",UPPER(TRIM(U1346)),IF(CB1346=1,UPPER(VLOOKUP(T1346,Parameter!$I$27:$K$29,2,0)),IF(P1346="","LOSE",P1346)))</f>
        <v>LOSE</v>
      </c>
      <c r="BZ1346" s="62" t="n">
        <f aca="false">IF(BY1346="LOSE",1,IF(N(V1346)&gt;0,V1346,IF(CB1346=1,MAX(1,N(VLOOKUP(T1346,Parameter!$I$27:$K$29,3,0)),H1346,N(N1346)),IF(N(Q1346)&gt;0,Q1346,MAX(1,H1346)))))</f>
        <v>1</v>
      </c>
      <c r="CA1346" s="65" t="n">
        <f aca="false">IF(BY1346="LOSE",1,0)</f>
        <v>1</v>
      </c>
      <c r="CB1346" s="65" t="n">
        <f aca="false">IF(AND(U1346="",OR(P1346="",P1346="LOSE"),T1346&lt;&gt;"",N(S1346)&lt;=0,ISNUMBER(MATCH(T1346,Parameter!$I$27:$I$29,0))),1,0)</f>
        <v>0</v>
      </c>
      <c r="CC1346" s="65" t="n">
        <f aca="false">IF(CR1346&gt;0,INDEX(Parameter!$H$5:$H$7,W1346)/INDEX(Parameter!$E$5:$E$7,W1346),IF(AND(CA1346=0,N(IFERROR(VLOOKUP(BY1346,'Gebinde-Kategorie'!$A$5:$N$45,14,0),0))&gt;0),VLOOKUP(BY1346,'Gebinde-Kategorie'!$A$5:$N$45,14,0)*10+Parameter!$M$23,Parameter!$M$24))</f>
        <v>238</v>
      </c>
      <c r="CD1346" s="60" t="str">
        <f aca="false">IF(AND(Parameter!$B$19="Ja",E1346&lt;&gt;"",ISNUMBER(MATCH(E1346,Parameter!$I$35:$I$52,0))),VLOOKUP(E1346,Parameter!$I$35:$J$52,2,0),IFERROR(VLOOKUP(D1346,Parameter!$A$35:$C$64,2,0),"Nein"))</f>
        <v>2+3</v>
      </c>
      <c r="CE1346" s="64" t="n">
        <f aca="false">IF(CA1346=0,0,IF(N(S1346)&gt;0,S1346,IFERROR(VLOOKUP(D1346,Parameter!$A$35:$C$64,3,0)+0,0)))</f>
        <v>0.15</v>
      </c>
      <c r="CF1346" s="60" t="n">
        <f aca="false">IF(AB1346&lt;&gt;"",AB1346,AA1346)</f>
        <v>1</v>
      </c>
      <c r="CG1346" s="60" t="str">
        <f aca="false">IF(OR(CF1346=1,CF1346=2,CF1346=3),IF(Parameter!$E$27="Ja","LIFT",IF(CF1346=1,"L1","L23")),IF(CF1346="Aussen","Aussen","-"))</f>
        <v>LIFT</v>
      </c>
      <c r="CH1346" s="71" t="n">
        <f aca="false">IF(N(AC1346)&gt;0,AC1346,0)</f>
        <v>0</v>
      </c>
      <c r="CI1346" s="65" t="n">
        <f aca="false">IF(ISNUMBER(AF1346),1,0)</f>
        <v>0</v>
      </c>
      <c r="CJ1346" s="62" t="n">
        <f aca="false">N(AF1346)</f>
        <v>0</v>
      </c>
      <c r="CK1346" s="62" t="n">
        <f aca="false">N(M1346)+N(N1346)</f>
        <v>13</v>
      </c>
      <c r="CL1346" s="62" t="n">
        <f aca="false">N(M1346)</f>
        <v>3</v>
      </c>
      <c r="CM1346" s="62" t="n">
        <f aca="false">N(N1346)</f>
        <v>10</v>
      </c>
      <c r="CN1346" s="62" t="n">
        <f aca="false">ROUNDUP(H1346/BZ1346,0)</f>
        <v>11</v>
      </c>
      <c r="CO1346" s="62" t="n">
        <f aca="false">ROUNDUP(CJ1346/BZ1346,0)</f>
        <v>0</v>
      </c>
      <c r="CP1346" s="65" t="n">
        <f aca="false">IF(CA1346=1,0,IFERROR(VLOOKUP(BY1346,'Gebinde-Kategorie'!$A$5:$N$45,5,0)+0,0))</f>
        <v>0</v>
      </c>
      <c r="CQ1346" s="65" t="n">
        <f aca="false">IFERROR(IF(OR(CF1346=1,CF1346=2,CF1346=3),N(INDEX(Parameter!$I$5:$I$7,CF1346)),0),0)</f>
        <v>0</v>
      </c>
      <c r="CR1346" s="64" t="n">
        <f aca="false">IF(AND(Parameter!$B$21="Ja",ISNUMBER(W1346),N(X1346)&gt;0),IFERROR(N(INDEX(Parameter!$L$5:$L$7,W1346))*INDEX(Parameter!$E$5:$E$7,W1346)*X1346/SUMIFS($X$7:$X$1843,$W$7:$W$1843,W1346),0),0)</f>
        <v>1.44067796610169</v>
      </c>
      <c r="CS1346" s="62" t="n">
        <f aca="false">IF(AND(OR(CG1346="L1",CG1346="L23",CG1346="LIFT"),H1346&gt;0),CC1346*IF(CR1346&gt;0,CR1346*MAX(1,H1346/X1346),IF(CA1346=1,CE1346,IF(R1346&gt;0,CN1346/R1346,0))/MAX(0.1,N(Parameter!$M$21))),"")</f>
        <v>342.881355932203</v>
      </c>
      <c r="CT1346" s="64" t="n">
        <f aca="false">IF(CS1346="","",J1346/H1346)</f>
        <v>3.54545454545455</v>
      </c>
      <c r="CU1346" s="62" t="n">
        <f aca="false">IF(CS1346="","",H1346*G1346)</f>
        <v>2623.28</v>
      </c>
      <c r="CV1346" s="63" t="n">
        <f aca="false">IF(CS1346="","",(CL1346+ROUNDUP(CL1346+MAX(CM1346,2*(J1346/MAX(0.1,N(Einkauf!$C$6))-CL1346)),0))/2)</f>
        <v>10</v>
      </c>
      <c r="CW1346" s="62" t="n">
        <f aca="false">IF(CS1346="","",MAX(0,H1346-CV1346)*G1346)</f>
        <v>238.48</v>
      </c>
      <c r="CX1346" s="62" t="n">
        <f aca="false">IF(CS1346="","",CS1346*MAX(0,1-CV1346/H1346))</f>
        <v>31.171032357473</v>
      </c>
      <c r="CY1346" s="64" t="n">
        <f aca="false">IF(CS1346="","",PERCENTRANK($CS$7:$CS$1843,CS1346)+PERCENTRANK($CU$7:$CU$1843,CU1346)+1-PERCENTRANK($CT$7:$CT$1843,CT1346))</f>
        <v>1.881</v>
      </c>
      <c r="CZ1346" s="72" t="n">
        <f aca="false">IF(CS1346="","",CHOOSE(MATCH(Einkauf!$C$5,Parameter!$G$23:$G$27,0),CY1346,CS1346,CU1346,-CT1346,CW1346)+ROW()/1000000000)</f>
        <v>1.881001346</v>
      </c>
    </row>
    <row r="1347" customFormat="false" ht="15" hidden="false" customHeight="false" outlineLevel="0" collapsed="false">
      <c r="A1347" s="60" t="s">
        <v>2422</v>
      </c>
      <c r="B1347" s="60" t="s">
        <v>568</v>
      </c>
      <c r="C1347" s="60" t="s">
        <v>498</v>
      </c>
      <c r="D1347" s="60" t="s">
        <v>215</v>
      </c>
      <c r="E1347" s="60" t="s">
        <v>227</v>
      </c>
      <c r="F1347" s="60" t="s">
        <v>260</v>
      </c>
      <c r="G1347" s="61" t="n">
        <v>115.06</v>
      </c>
      <c r="H1347" s="62" t="n">
        <f aca="false">MAX(0,IF(AND(Parameter!$B$21="Ja",ISNUMBER(Y1347)),Y1347,IF(Parameter!$B$20="Jahresanfang 2025 + Export",BS1347+BR1347,BR1347)))</f>
        <v>0</v>
      </c>
      <c r="I1347" s="62" t="n">
        <f aca="false">H1347*G1347</f>
        <v>0</v>
      </c>
      <c r="J1347" s="62" t="n">
        <f aca="false">BU1347*Parameter!$B$18</f>
        <v>0</v>
      </c>
      <c r="K1347" s="63" t="n">
        <v>16.5</v>
      </c>
      <c r="L1347" s="64" t="n">
        <v>0</v>
      </c>
      <c r="M1347" s="62" t="n">
        <v>0</v>
      </c>
      <c r="N1347" s="62" t="n">
        <v>1</v>
      </c>
      <c r="O1347" s="65" t="n">
        <v>56</v>
      </c>
      <c r="P1347" s="60" t="s">
        <v>210</v>
      </c>
      <c r="Q1347" s="62"/>
      <c r="R1347" s="65" t="n">
        <f aca="false">IF(CA1347=1,0,IFERROR(VLOOKUP(BY1347,'Gebinde-Kategorie'!$A$5:$N$45,13,0)+0,0))</f>
        <v>12</v>
      </c>
      <c r="S1347" s="66"/>
      <c r="T1347" s="67" t="s">
        <v>221</v>
      </c>
      <c r="U1347" s="67"/>
      <c r="V1347" s="67"/>
      <c r="W1347" s="60"/>
      <c r="X1347" s="62"/>
      <c r="Y1347" s="62"/>
      <c r="Z1347" s="60" t="n">
        <v>3</v>
      </c>
      <c r="AA1347" s="60" t="n">
        <f aca="false">IF(A1347="","",IF(AND(Parameter!$B$21="Ja",ISNUMBER(W1347)),W1347,IF(AND(Parameter!$E$27="Ja",ISNUMBER(Z1347),CD1347&lt;&gt;"Nein"),Z1347,IF(CD1347="2+3",IF(ISNUMBER(SEARCH("grosser Artikel",BV1347)),2,IFERROR(VLOOKUP(BY1347,Parameter!$F$35:$G$64,2,0),2)),IF(OR(CD1347="Nein",CD1347=""),"-",CD1347)))))</f>
        <v>3</v>
      </c>
      <c r="AB1347" s="67"/>
      <c r="AC1347" s="68"/>
      <c r="AD1347" s="62" t="n">
        <f aca="false">AW1347</f>
        <v>1</v>
      </c>
      <c r="AE1347" s="62" t="n">
        <f aca="false">MAX(AW1347,H1347)</f>
        <v>1</v>
      </c>
      <c r="AF1347" s="69"/>
      <c r="AG1347" s="62" t="n">
        <f aca="false">IF(LEFT(Cockpit!$C$5,1)="A",H1347,IF(Parameter!$E$30="MAX-Bestand",IF(CI1347=1,CJ1347,IF(LEFT(Cockpit!$C$5,1)="B",AM1347,MAX(AM1347,H1347))),ROUNDUP(AK1347,0)))</f>
        <v>0</v>
      </c>
      <c r="AH1347" s="62" t="n">
        <f aca="false">IF(CA1347=1,0,ROUNDUP(AG1347/BZ1347,0))</f>
        <v>0</v>
      </c>
      <c r="AI1347" s="64" t="n">
        <f aca="false">IF(CR1347&gt;0,CR1347*MAX(1,AG1347/X1347),IF(CA1347=1,IF(AG1347&lt;=0,0,CE1347*MAX(1,IF(H1347&gt;0,AG1347/H1347,1))),IF(R1347&gt;0,AH1347/R1347,0))/MAX(0.1,N(Parameter!$M$21)))</f>
        <v>0</v>
      </c>
      <c r="AJ1347" s="62" t="n">
        <f aca="false">AI1347*CC1347</f>
        <v>0</v>
      </c>
      <c r="AK1347" s="63" t="n">
        <f aca="false">IF(LEFT(Cockpit!$C$5,1)="A",H1347,IF(CI1347=1,(CL1347+CJ1347)/2,IF(LEFT(Cockpit!$C$5,1)="B",(CL1347+AM1347)/2,MAX((CL1347+AM1347)/2,H1347))))</f>
        <v>0</v>
      </c>
      <c r="AL1347" s="62" t="n">
        <f aca="false">AK1347*G1347</f>
        <v>0</v>
      </c>
      <c r="AM1347" s="62" t="n">
        <f aca="false">ROUNDUP(CL1347+MAX(CM1347,2*(J1347/IF(CH1347&gt;0,CH1347,MAX(0.1,N(Cockpit!$C$6)))-CL1347)),0)</f>
        <v>1</v>
      </c>
      <c r="AN1347" s="63" t="n">
        <f aca="false">IF(AJ1347&gt;0,J1347/AJ1347,-1)</f>
        <v>-1</v>
      </c>
      <c r="AO1347" s="63" t="str">
        <f aca="false">IF(AND(OR(CG1347="L1",CG1347="L23",CG1347="LIFT"),AJ1347&gt;0),SUMIFS($AJ$7:$AJ$1843,$CG$7:$CG$1843,CG1347,$AN$7:$AN$1843,"&gt;"&amp;AN1347)+SUMIFS($AJ$7:$AJ$1843,$CG$7:$CG$1843,CG1347,$AN$7:$AN$1843,AN1347,$BX$7:$BX$1843,"&lt;="&amp;BX1347),"")</f>
        <v/>
      </c>
      <c r="AP1347" s="70" t="n">
        <f aca="false">IF(AO1347="",0,MAX(0,MIN(1,(IF(CG1347="L1",Parameter!$H$5,IF(CG1347="L23",Parameter!$H$6+Parameter!$H$7,Parameter!$H$5+Parameter!$H$6+Parameter!$H$7))-(AO1347-AJ1347))/AJ1347)))</f>
        <v>0</v>
      </c>
      <c r="AQ1347" s="62" t="n">
        <f aca="false">IF(LEFT(Cockpit!$I$5,1)="A",H1347,IF(Parameter!$E$30="MAX-Bestand",IF(CI1347=1,CJ1347,IF(LEFT(Cockpit!$I$5,1)="B",AW1347,MAX(AW1347,H1347))),ROUNDUP(AU1347,0)))</f>
        <v>1</v>
      </c>
      <c r="AR1347" s="62" t="n">
        <f aca="false">IF(CA1347=1,0,ROUNDUP(AQ1347/BZ1347,0))</f>
        <v>1</v>
      </c>
      <c r="AS1347" s="64" t="n">
        <f aca="false">IF(CR1347&gt;0,CR1347*MAX(1,AQ1347/X1347),IF(CA1347=1,IF(AQ1347&lt;=0,0,CE1347*MAX(1,IF(H1347&gt;0,AQ1347/H1347,1))),IF(R1347&gt;0,AR1347/R1347,0))/MAX(0.1,N(Parameter!$M$21)))</f>
        <v>0.0833333333333333</v>
      </c>
      <c r="AT1347" s="62" t="n">
        <f aca="false">AS1347*CC1347</f>
        <v>12.0833333333333</v>
      </c>
      <c r="AU1347" s="63" t="n">
        <f aca="false">IF(LEFT(Cockpit!$I$5,1)="A",H1347,IF(CI1347=1,(CL1347+CJ1347)/2,IF(LEFT(Cockpit!$I$5,1)="B",(CL1347+AW1347)/2,MAX((CL1347+AW1347)/2,H1347))))</f>
        <v>0.5</v>
      </c>
      <c r="AV1347" s="62" t="n">
        <f aca="false">AU1347*G1347</f>
        <v>57.53</v>
      </c>
      <c r="AW1347" s="62" t="n">
        <f aca="false">ROUNDUP(CL1347+MAX(CM1347,2*(J1347/IF(CH1347&gt;0,CH1347,MAX(0.1,N(Cockpit!$I$6)))-CL1347)),0)</f>
        <v>1</v>
      </c>
      <c r="AX1347" s="63" t="n">
        <f aca="false">IF(AT1347&gt;0,J1347/AT1347,-1)</f>
        <v>0</v>
      </c>
      <c r="AY1347" s="63" t="n">
        <f aca="false">IF(AND(OR(CG1347="L1",CG1347="L23",CG1347="LIFT"),AT1347&gt;0),SUMIFS($AT$7:$AT$1843,$CG$7:$CG$1843,CG1347,$AX$7:$AX$1843,"&gt;"&amp;AX1347)+SUMIFS($AT$7:$AT$1843,$CG$7:$CG$1843,CG1347,$AX$7:$AX$1843,AX1347,$BX$7:$BX$1843,"&lt;="&amp;BX1347),"")</f>
        <v>35723.5837912088</v>
      </c>
      <c r="AZ1347" s="70" t="n">
        <f aca="false">IF(AY1347="",0,MAX(0,MIN(1,(IF(CG1347="L1",Parameter!$H$5,IF(CG1347="L23",Parameter!$H$6+Parameter!$H$7,Parameter!$H$5+Parameter!$H$6+Parameter!$H$7))-(AY1347-AT1347))/AT1347)))</f>
        <v>0</v>
      </c>
      <c r="BA1347" s="62" t="n">
        <f aca="false">IF(LEFT(Cockpit!$O$5,1)="A",H1347,IF(Parameter!$E$30="MAX-Bestand",IF(CI1347=1,CJ1347,IF(LEFT(Cockpit!$O$5,1)="B",BG1347,MAX(BG1347,H1347))),ROUNDUP(BE1347,0)))</f>
        <v>1</v>
      </c>
      <c r="BB1347" s="62" t="n">
        <f aca="false">IF(CA1347=1,0,ROUNDUP(BA1347/BZ1347,0))</f>
        <v>1</v>
      </c>
      <c r="BC1347" s="64" t="n">
        <f aca="false">IF(CR1347&gt;0,CR1347*MAX(1,BA1347/X1347),IF(CA1347=1,IF(BA1347&lt;=0,0,CE1347*MAX(1,IF(H1347&gt;0,BA1347/H1347,1))),IF(R1347&gt;0,BB1347/R1347,0))/MAX(0.1,N(Parameter!$M$21)))</f>
        <v>0.0833333333333333</v>
      </c>
      <c r="BD1347" s="62" t="n">
        <f aca="false">BC1347*CC1347</f>
        <v>12.0833333333333</v>
      </c>
      <c r="BE1347" s="63" t="n">
        <f aca="false">IF(LEFT(Cockpit!$O$5,1)="A",H1347,IF(CI1347=1,(CL1347+CJ1347)/2,IF(LEFT(Cockpit!$O$5,1)="B",(CL1347+BG1347)/2,MAX((CL1347+BG1347)/2,H1347))))</f>
        <v>0.5</v>
      </c>
      <c r="BF1347" s="62" t="n">
        <f aca="false">BE1347*G1347</f>
        <v>57.53</v>
      </c>
      <c r="BG1347" s="62" t="n">
        <f aca="false">ROUNDUP(CL1347+MAX(CM1347,2*(J1347/IF(CH1347&gt;0,CH1347,MAX(0.1,N(Cockpit!$O$6)))-CL1347)),0)</f>
        <v>1</v>
      </c>
      <c r="BH1347" s="63" t="n">
        <f aca="false">IF(BD1347&gt;0,J1347/BD1347,-1)</f>
        <v>0</v>
      </c>
      <c r="BI1347" s="63" t="n">
        <f aca="false">IF(AND(OR(CG1347="L1",CG1347="L23",CG1347="LIFT"),BD1347&gt;0),SUMIFS($BD$7:$BD$1843,$CG$7:$CG$1843,CG1347,$BH$7:$BH$1843,"&gt;"&amp;BH1347)+SUMIFS($BD$7:$BD$1843,$CG$7:$CG$1843,CG1347,$BH$7:$BH$1843,BH1347,$BX$7:$BX$1843,"&lt;="&amp;BX1347),"")</f>
        <v>29708.8904513566</v>
      </c>
      <c r="BJ1347" s="70" t="n">
        <f aca="false">IF(BI1347="",0,MAX(0,MIN(1,(IF(CG1347="L1",Parameter!$H$5,IF(CG1347="L23",Parameter!$H$6+Parameter!$H$7,Parameter!$H$5+Parameter!$H$6+Parameter!$H$7))-(BI1347-BD1347))/BD1347)))</f>
        <v>1</v>
      </c>
      <c r="BK1347" s="60" t="str">
        <f aca="false">IF(AJ1347&lt;=0,"",IF(CG1347="Aussen","Aussenlager",IF(CG1347="-","Nicht im Lift",IF(AP1347&gt;=1,"Lift",IF(AP1347&lt;=0,"Aussenlager","teilweise")))))</f>
        <v/>
      </c>
      <c r="BL1347" s="60" t="str">
        <f aca="false">IF(AT1347&lt;=0,"",IF(CG1347="Aussen","Aussenlager",IF(CG1347="-","Nicht im Lift",IF(AZ1347&gt;=1,"Lift",IF(AZ1347&lt;=0,"Aussenlager","teilweise")))))</f>
        <v>Aussenlager</v>
      </c>
      <c r="BM1347" s="60" t="str">
        <f aca="false">IF(BD1347&lt;=0,"",IF(CG1347="Aussen","Aussenlager",IF(CG1347="-","Nicht im Lift",IF(BJ1347&gt;=1,"Lift",IF(BJ1347&lt;=0,"Aussenlager","teilweise")))))</f>
        <v>Lift</v>
      </c>
      <c r="BN1347" s="60" t="str">
        <f aca="false">IF(A1347="","",IF(BW1347=1,"Neu; ","")&amp;IF(AND(BW1347=0,BR1347&lt;0),"negativer Bestand (Export "&amp;BR1347&amp;"); ","")&amp;IF(J1347&lt;=0,"Kein Verbrauch; ","")&amp;IF(CR1347&gt;0,"Lift "&amp;W1347&amp;" lt. Liftbericht (Fach "&amp;X1347&amp;" Stk); ",IF(CB1347=1,"Gebinde geschätzt ("&amp;T1347&amp;"); ",IF(CA1347=1,"Lose – Tablare geschätzt; ","")))&amp;IF(H1347&gt;AW1347,"Überbestand "&amp;ROUND(H1347-AW1347,0)&amp;" Stk / CHF "&amp;ROUND((H1347-AW1347)*G1347,0)&amp;"; ","")&amp;IF(AND(CI1347=1,CJ1347&lt;CK1347),"MAX &lt; MB+LG; ","")&amp;IF(AND(CQ1347&gt;0,CP1347*10&gt;CQ1347),"zu hoch für Tablar; ","")&amp;IF(AND(BW1347=0,OR(CI1347=1,AB1347&lt;&gt;"",U1347&lt;&gt;"",V1347&lt;&gt;"",AC1347&lt;&gt;"")),"manuell übersteuert; ","")&amp;IF(AND(CA1347=0,R1347=0),"Gebinde unbekannt / Stellmass fehlt; ","")&amp;IF(AND(CA1347=0,N(V1347)&lt;=0,N(Q1347)&lt;=0),"Menge pro Gebinde fehlt (Ist = 1 Gebinde); ","")&amp;BV1347)</f>
        <v>negativer Bestand (Export -17); Kein Verbrauch; Gebinde geschätzt (Mittel); Menge pro Gebinde fehlt (Ist = 1 Gebinde); grosser Artikel &amp; nicht im KTL</v>
      </c>
      <c r="BO1347" s="60"/>
      <c r="BP1347" s="60"/>
      <c r="BQ1347" s="67"/>
      <c r="BR1347" s="62" t="n">
        <v>-17</v>
      </c>
      <c r="BS1347" s="62" t="n">
        <v>17</v>
      </c>
      <c r="BT1347" s="61" t="n">
        <v>-1956.02</v>
      </c>
      <c r="BU1347" s="62" t="n">
        <v>0</v>
      </c>
      <c r="BV1347" s="60" t="s">
        <v>303</v>
      </c>
      <c r="BW1347" s="65" t="n">
        <v>0</v>
      </c>
      <c r="BX1347" s="65" t="n">
        <v>1347</v>
      </c>
      <c r="BY1347" s="60" t="str">
        <f aca="false">IF(U1347&lt;&gt;"",UPPER(TRIM(U1347)),IF(CB1347=1,UPPER(VLOOKUP(T1347,Parameter!$I$27:$K$29,2,0)),IF(P1347="","LOSE",P1347)))</f>
        <v>S61</v>
      </c>
      <c r="BZ1347" s="62" t="n">
        <f aca="false">IF(BY1347="LOSE",1,IF(N(V1347)&gt;0,V1347,IF(CB1347=1,MAX(1,N(VLOOKUP(T1347,Parameter!$I$27:$K$29,3,0)),H1347,N(N1347)),IF(N(Q1347)&gt;0,Q1347,MAX(1,H1347)))))</f>
        <v>4</v>
      </c>
      <c r="CA1347" s="65" t="n">
        <f aca="false">IF(BY1347="LOSE",1,0)</f>
        <v>0</v>
      </c>
      <c r="CB1347" s="65" t="n">
        <f aca="false">IF(AND(U1347="",OR(P1347="",P1347="LOSE"),T1347&lt;&gt;"",N(S1347)&lt;=0,ISNUMBER(MATCH(T1347,Parameter!$I$27:$I$29,0))),1,0)</f>
        <v>1</v>
      </c>
      <c r="CC1347" s="65" t="n">
        <f aca="false">IF(CR1347&gt;0,INDEX(Parameter!$H$5:$H$7,W1347)/INDEX(Parameter!$E$5:$E$7,W1347),IF(AND(CA1347=0,N(IFERROR(VLOOKUP(BY1347,'Gebinde-Kategorie'!$A$5:$N$45,14,0),0))&gt;0),VLOOKUP(BY1347,'Gebinde-Kategorie'!$A$5:$N$45,14,0)*10+Parameter!$M$23,Parameter!$M$24))</f>
        <v>145</v>
      </c>
      <c r="CD1347" s="60" t="str">
        <f aca="false">IF(AND(Parameter!$B$19="Ja",E1347&lt;&gt;"",ISNUMBER(MATCH(E1347,Parameter!$I$35:$I$52,0))),VLOOKUP(E1347,Parameter!$I$35:$J$52,2,0),IFERROR(VLOOKUP(D1347,Parameter!$A$35:$C$64,2,0),"Nein"))</f>
        <v>2+3</v>
      </c>
      <c r="CE1347" s="64" t="n">
        <f aca="false">IF(CA1347=0,0,IF(N(S1347)&gt;0,S1347,IFERROR(VLOOKUP(D1347,Parameter!$A$35:$C$64,3,0)+0,0)))</f>
        <v>0</v>
      </c>
      <c r="CF1347" s="60" t="n">
        <f aca="false">IF(AB1347&lt;&gt;"",AB1347,AA1347)</f>
        <v>3</v>
      </c>
      <c r="CG1347" s="60" t="str">
        <f aca="false">IF(OR(CF1347=1,CF1347=2,CF1347=3),IF(Parameter!$E$27="Ja","LIFT",IF(CF1347=1,"L1","L23")),IF(CF1347="Aussen","Aussen","-"))</f>
        <v>LIFT</v>
      </c>
      <c r="CH1347" s="71" t="n">
        <f aca="false">IF(N(AC1347)&gt;0,AC1347,0)</f>
        <v>0</v>
      </c>
      <c r="CI1347" s="65" t="n">
        <f aca="false">IF(ISNUMBER(AF1347),1,0)</f>
        <v>0</v>
      </c>
      <c r="CJ1347" s="62" t="n">
        <f aca="false">N(AF1347)</f>
        <v>0</v>
      </c>
      <c r="CK1347" s="62" t="n">
        <f aca="false">N(M1347)+N(N1347)</f>
        <v>1</v>
      </c>
      <c r="CL1347" s="62" t="n">
        <f aca="false">N(M1347)</f>
        <v>0</v>
      </c>
      <c r="CM1347" s="62" t="n">
        <f aca="false">N(N1347)</f>
        <v>1</v>
      </c>
      <c r="CN1347" s="62" t="n">
        <f aca="false">ROUNDUP(H1347/BZ1347,0)</f>
        <v>0</v>
      </c>
      <c r="CO1347" s="62" t="n">
        <f aca="false">ROUNDUP(CJ1347/BZ1347,0)</f>
        <v>0</v>
      </c>
      <c r="CP1347" s="65" t="n">
        <f aca="false">IF(CA1347=1,0,IFERROR(VLOOKUP(BY1347,'Gebinde-Kategorie'!$A$5:$N$45,5,0)+0,0))</f>
        <v>11</v>
      </c>
      <c r="CQ1347" s="65" t="n">
        <f aca="false">IFERROR(IF(OR(CF1347=1,CF1347=2,CF1347=3),N(INDEX(Parameter!$I$5:$I$7,CF1347)),0),0)</f>
        <v>0</v>
      </c>
      <c r="CR1347" s="64" t="n">
        <f aca="false">IF(AND(Parameter!$B$21="Ja",ISNUMBER(W1347),N(X1347)&gt;0),IFERROR(N(INDEX(Parameter!$L$5:$L$7,W1347))*INDEX(Parameter!$E$5:$E$7,W1347)*X1347/SUMIFS($X$7:$X$1843,$W$7:$W$1843,W1347),0),0)</f>
        <v>0</v>
      </c>
      <c r="CS1347" s="62" t="str">
        <f aca="false">IF(AND(OR(CG1347="L1",CG1347="L23",CG1347="LIFT"),H1347&gt;0),CC1347*IF(CR1347&gt;0,CR1347*MAX(1,H1347/X1347),IF(CA1347=1,CE1347,IF(R1347&gt;0,CN1347/R1347,0))/MAX(0.1,N(Parameter!$M$21))),"")</f>
        <v/>
      </c>
      <c r="CT1347" s="64" t="str">
        <f aca="false">IF(CS1347="","",J1347/H1347)</f>
        <v/>
      </c>
      <c r="CU1347" s="62" t="str">
        <f aca="false">IF(CS1347="","",H1347*G1347)</f>
        <v/>
      </c>
      <c r="CV1347" s="63" t="str">
        <f aca="false">IF(CS1347="","",(CL1347+ROUNDUP(CL1347+MAX(CM1347,2*(J1347/MAX(0.1,N(Einkauf!$C$6))-CL1347)),0))/2)</f>
        <v/>
      </c>
      <c r="CW1347" s="62" t="str">
        <f aca="false">IF(CS1347="","",MAX(0,H1347-CV1347)*G1347)</f>
        <v/>
      </c>
      <c r="CX1347" s="62" t="str">
        <f aca="false">IF(CS1347="","",CS1347*MAX(0,1-CV1347/H1347))</f>
        <v/>
      </c>
      <c r="CY1347" s="64" t="str">
        <f aca="false">IF(CS1347="","",PERCENTRANK($CS$7:$CS$1843,CS1347)+PERCENTRANK($CU$7:$CU$1843,CU1347)+1-PERCENTRANK($CT$7:$CT$1843,CT1347))</f>
        <v/>
      </c>
      <c r="CZ1347" s="72" t="str">
        <f aca="false">IF(CS1347="","",CHOOSE(MATCH(Einkauf!$C$5,Parameter!$G$23:$G$27,0),CY1347,CS1347,CU1347,-CT1347,CW1347)+ROW()/1000000000)</f>
        <v/>
      </c>
    </row>
    <row r="1348" customFormat="false" ht="15" hidden="false" customHeight="false" outlineLevel="0" collapsed="false">
      <c r="A1348" s="60" t="s">
        <v>2423</v>
      </c>
      <c r="B1348" s="60" t="s">
        <v>2316</v>
      </c>
      <c r="C1348" s="60" t="s">
        <v>206</v>
      </c>
      <c r="D1348" s="60" t="s">
        <v>215</v>
      </c>
      <c r="E1348" s="60"/>
      <c r="F1348" s="60" t="s">
        <v>260</v>
      </c>
      <c r="G1348" s="61" t="n">
        <v>393.01</v>
      </c>
      <c r="H1348" s="62" t="n">
        <f aca="false">MAX(0,IF(AND(Parameter!$B$21="Ja",ISNUMBER(Y1348)),Y1348,IF(Parameter!$B$20="Jahresanfang 2025 + Export",BS1348+BR1348,BR1348)))</f>
        <v>4</v>
      </c>
      <c r="I1348" s="62" t="n">
        <f aca="false">H1348*G1348</f>
        <v>1572.04</v>
      </c>
      <c r="J1348" s="62" t="n">
        <f aca="false">BU1348*Parameter!$B$18</f>
        <v>1</v>
      </c>
      <c r="K1348" s="63" t="n">
        <v>6.5</v>
      </c>
      <c r="L1348" s="64" t="n">
        <v>0.153846153846154</v>
      </c>
      <c r="M1348" s="62" t="n">
        <v>0</v>
      </c>
      <c r="N1348" s="62" t="n">
        <v>1</v>
      </c>
      <c r="O1348" s="65" t="n">
        <v>35</v>
      </c>
      <c r="P1348" s="60" t="s">
        <v>216</v>
      </c>
      <c r="Q1348" s="62" t="n">
        <v>10</v>
      </c>
      <c r="R1348" s="65" t="n">
        <f aca="false">IF(CA1348=1,0,IFERROR(VLOOKUP(BY1348,'Gebinde-Kategorie'!$A$5:$N$45,13,0)+0,0))</f>
        <v>6</v>
      </c>
      <c r="S1348" s="66"/>
      <c r="T1348" s="67"/>
      <c r="U1348" s="67"/>
      <c r="V1348" s="67"/>
      <c r="W1348" s="60"/>
      <c r="X1348" s="62"/>
      <c r="Y1348" s="62"/>
      <c r="Z1348" s="60" t="n">
        <v>2</v>
      </c>
      <c r="AA1348" s="60" t="n">
        <f aca="false">IF(A1348="","",IF(AND(Parameter!$B$21="Ja",ISNUMBER(W1348)),W1348,IF(AND(Parameter!$E$27="Ja",ISNUMBER(Z1348),CD1348&lt;&gt;"Nein"),Z1348,IF(CD1348="2+3",IF(ISNUMBER(SEARCH("grosser Artikel",BV1348)),2,IFERROR(VLOOKUP(BY1348,Parameter!$F$35:$G$64,2,0),2)),IF(OR(CD1348="Nein",CD1348=""),"-",CD1348)))))</f>
        <v>2</v>
      </c>
      <c r="AB1348" s="67"/>
      <c r="AC1348" s="68"/>
      <c r="AD1348" s="62" t="n">
        <f aca="false">AW1348</f>
        <v>1</v>
      </c>
      <c r="AE1348" s="62" t="n">
        <f aca="false">MAX(AW1348,H1348)</f>
        <v>4</v>
      </c>
      <c r="AF1348" s="69"/>
      <c r="AG1348" s="62" t="n">
        <f aca="false">IF(LEFT(Cockpit!$C$5,1)="A",H1348,IF(Parameter!$E$30="MAX-Bestand",IF(CI1348=1,CJ1348,IF(LEFT(Cockpit!$C$5,1)="B",AM1348,MAX(AM1348,H1348))),ROUNDUP(AK1348,0)))</f>
        <v>4</v>
      </c>
      <c r="AH1348" s="62" t="n">
        <f aca="false">IF(CA1348=1,0,ROUNDUP(AG1348/BZ1348,0))</f>
        <v>1</v>
      </c>
      <c r="AI1348" s="64" t="n">
        <f aca="false">IF(CR1348&gt;0,CR1348*MAX(1,AG1348/X1348),IF(CA1348=1,IF(AG1348&lt;=0,0,CE1348*MAX(1,IF(H1348&gt;0,AG1348/H1348,1))),IF(R1348&gt;0,AH1348/R1348,0))/MAX(0.1,N(Parameter!$M$21)))</f>
        <v>0.166666666666667</v>
      </c>
      <c r="AJ1348" s="62" t="n">
        <f aca="false">AI1348*CC1348</f>
        <v>39.1666666666667</v>
      </c>
      <c r="AK1348" s="63" t="n">
        <f aca="false">IF(LEFT(Cockpit!$C$5,1)="A",H1348,IF(CI1348=1,(CL1348+CJ1348)/2,IF(LEFT(Cockpit!$C$5,1)="B",(CL1348+AM1348)/2,MAX((CL1348+AM1348)/2,H1348))))</f>
        <v>4</v>
      </c>
      <c r="AL1348" s="62" t="n">
        <f aca="false">AK1348*G1348</f>
        <v>1572.04</v>
      </c>
      <c r="AM1348" s="62" t="n">
        <f aca="false">ROUNDUP(CL1348+MAX(CM1348,2*(J1348/IF(CH1348&gt;0,CH1348,MAX(0.1,N(Cockpit!$C$6)))-CL1348)),0)</f>
        <v>1</v>
      </c>
      <c r="AN1348" s="63" t="n">
        <f aca="false">IF(AJ1348&gt;0,J1348/AJ1348,-1)</f>
        <v>0.025531914893617</v>
      </c>
      <c r="AO1348" s="63" t="n">
        <f aca="false">IF(AND(OR(CG1348="L1",CG1348="L23",CG1348="LIFT"),AJ1348&gt;0),SUMIFS($AJ$7:$AJ$1843,$CG$7:$CG$1843,CG1348,$AN$7:$AN$1843,"&gt;"&amp;AN1348)+SUMIFS($AJ$7:$AJ$1843,$CG$7:$CG$1843,CG1348,$AN$7:$AN$1843,AN1348,$BX$7:$BX$1843,"&lt;="&amp;BX1348),"")</f>
        <v>21964.6104048964</v>
      </c>
      <c r="AP1348" s="70" t="n">
        <f aca="false">IF(AO1348="",0,MAX(0,MIN(1,(IF(CG1348="L1",Parameter!$H$5,IF(CG1348="L23",Parameter!$H$6+Parameter!$H$7,Parameter!$H$5+Parameter!$H$6+Parameter!$H$7))-(AO1348-AJ1348))/AJ1348)))</f>
        <v>1</v>
      </c>
      <c r="AQ1348" s="62" t="n">
        <f aca="false">IF(LEFT(Cockpit!$I$5,1)="A",H1348,IF(Parameter!$E$30="MAX-Bestand",IF(CI1348=1,CJ1348,IF(LEFT(Cockpit!$I$5,1)="B",AW1348,MAX(AW1348,H1348))),ROUNDUP(AU1348,0)))</f>
        <v>4</v>
      </c>
      <c r="AR1348" s="62" t="n">
        <f aca="false">IF(CA1348=1,0,ROUNDUP(AQ1348/BZ1348,0))</f>
        <v>1</v>
      </c>
      <c r="AS1348" s="64" t="n">
        <f aca="false">IF(CR1348&gt;0,CR1348*MAX(1,AQ1348/X1348),IF(CA1348=1,IF(AQ1348&lt;=0,0,CE1348*MAX(1,IF(H1348&gt;0,AQ1348/H1348,1))),IF(R1348&gt;0,AR1348/R1348,0))/MAX(0.1,N(Parameter!$M$21)))</f>
        <v>0.166666666666667</v>
      </c>
      <c r="AT1348" s="62" t="n">
        <f aca="false">AS1348*CC1348</f>
        <v>39.1666666666667</v>
      </c>
      <c r="AU1348" s="63" t="n">
        <f aca="false">IF(LEFT(Cockpit!$I$5,1)="A",H1348,IF(CI1348=1,(CL1348+CJ1348)/2,IF(LEFT(Cockpit!$I$5,1)="B",(CL1348+AW1348)/2,MAX((CL1348+AW1348)/2,H1348))))</f>
        <v>4</v>
      </c>
      <c r="AV1348" s="62" t="n">
        <f aca="false">AU1348*G1348</f>
        <v>1572.04</v>
      </c>
      <c r="AW1348" s="62" t="n">
        <f aca="false">ROUNDUP(CL1348+MAX(CM1348,2*(J1348/IF(CH1348&gt;0,CH1348,MAX(0.1,N(Cockpit!$I$6)))-CL1348)),0)</f>
        <v>1</v>
      </c>
      <c r="AX1348" s="63" t="n">
        <f aca="false">IF(AT1348&gt;0,J1348/AT1348,-1)</f>
        <v>0.025531914893617</v>
      </c>
      <c r="AY1348" s="63" t="n">
        <f aca="false">IF(AND(OR(CG1348="L1",CG1348="L23",CG1348="LIFT"),AT1348&gt;0),SUMIFS($AT$7:$AT$1843,$CG$7:$CG$1843,CG1348,$AX$7:$AX$1843,"&gt;"&amp;AX1348)+SUMIFS($AT$7:$AT$1843,$CG$7:$CG$1843,CG1348,$AX$7:$AX$1843,AX1348,$BX$7:$BX$1843,"&lt;="&amp;BX1348),"")</f>
        <v>27082.7590462739</v>
      </c>
      <c r="AZ1348" s="70" t="n">
        <f aca="false">IF(AY1348="",0,MAX(0,MIN(1,(IF(CG1348="L1",Parameter!$H$5,IF(CG1348="L23",Parameter!$H$6+Parameter!$H$7,Parameter!$H$5+Parameter!$H$6+Parameter!$H$7))-(AY1348-AT1348))/AT1348)))</f>
        <v>1</v>
      </c>
      <c r="BA1348" s="62" t="n">
        <f aca="false">IF(LEFT(Cockpit!$O$5,1)="A",H1348,IF(Parameter!$E$30="MAX-Bestand",IF(CI1348=1,CJ1348,IF(LEFT(Cockpit!$O$5,1)="B",BG1348,MAX(BG1348,H1348))),ROUNDUP(BE1348,0)))</f>
        <v>1</v>
      </c>
      <c r="BB1348" s="62" t="n">
        <f aca="false">IF(CA1348=1,0,ROUNDUP(BA1348/BZ1348,0))</f>
        <v>1</v>
      </c>
      <c r="BC1348" s="64" t="n">
        <f aca="false">IF(CR1348&gt;0,CR1348*MAX(1,BA1348/X1348),IF(CA1348=1,IF(BA1348&lt;=0,0,CE1348*MAX(1,IF(H1348&gt;0,BA1348/H1348,1))),IF(R1348&gt;0,BB1348/R1348,0))/MAX(0.1,N(Parameter!$M$21)))</f>
        <v>0.166666666666667</v>
      </c>
      <c r="BD1348" s="62" t="n">
        <f aca="false">BC1348*CC1348</f>
        <v>39.1666666666667</v>
      </c>
      <c r="BE1348" s="63" t="n">
        <f aca="false">IF(LEFT(Cockpit!$O$5,1)="A",H1348,IF(CI1348=1,(CL1348+CJ1348)/2,IF(LEFT(Cockpit!$O$5,1)="B",(CL1348+BG1348)/2,MAX((CL1348+BG1348)/2,H1348))))</f>
        <v>0.5</v>
      </c>
      <c r="BF1348" s="62" t="n">
        <f aca="false">BE1348*G1348</f>
        <v>196.505</v>
      </c>
      <c r="BG1348" s="62" t="n">
        <f aca="false">ROUNDUP(CL1348+MAX(CM1348,2*(J1348/IF(CH1348&gt;0,CH1348,MAX(0.1,N(Cockpit!$O$6)))-CL1348)),0)</f>
        <v>1</v>
      </c>
      <c r="BH1348" s="63" t="n">
        <f aca="false">IF(BD1348&gt;0,J1348/BD1348,-1)</f>
        <v>0.025531914893617</v>
      </c>
      <c r="BI1348" s="63" t="n">
        <f aca="false">IF(AND(OR(CG1348="L1",CG1348="L23",CG1348="LIFT"),BD1348&gt;0),SUMIFS($BD$7:$BD$1843,$CG$7:$CG$1843,CG1348,$BH$7:$BH$1843,"&gt;"&amp;BH1348)+SUMIFS($BD$7:$BD$1843,$CG$7:$CG$1843,CG1348,$BH$7:$BH$1843,BH1348,$BX$7:$BX$1843,"&lt;="&amp;BX1348),"")</f>
        <v>22707.0331972641</v>
      </c>
      <c r="BJ1348" s="70" t="n">
        <f aca="false">IF(BI1348="",0,MAX(0,MIN(1,(IF(CG1348="L1",Parameter!$H$5,IF(CG1348="L23",Parameter!$H$6+Parameter!$H$7,Parameter!$H$5+Parameter!$H$6+Parameter!$H$7))-(BI1348-BD1348))/BD1348)))</f>
        <v>1</v>
      </c>
      <c r="BK1348" s="60" t="str">
        <f aca="false">IF(AJ1348&lt;=0,"",IF(CG1348="Aussen","Aussenlager",IF(CG1348="-","Nicht im Lift",IF(AP1348&gt;=1,"Lift",IF(AP1348&lt;=0,"Aussenlager","teilweise")))))</f>
        <v>Lift</v>
      </c>
      <c r="BL1348" s="60" t="str">
        <f aca="false">IF(AT1348&lt;=0,"",IF(CG1348="Aussen","Aussenlager",IF(CG1348="-","Nicht im Lift",IF(AZ1348&gt;=1,"Lift",IF(AZ1348&lt;=0,"Aussenlager","teilweise")))))</f>
        <v>Lift</v>
      </c>
      <c r="BM1348" s="60" t="str">
        <f aca="false">IF(BD1348&lt;=0,"",IF(CG1348="Aussen","Aussenlager",IF(CG1348="-","Nicht im Lift",IF(BJ1348&gt;=1,"Lift",IF(BJ1348&lt;=0,"Aussenlager","teilweise")))))</f>
        <v>Lift</v>
      </c>
      <c r="BN1348" s="60" t="str">
        <f aca="false">IF(A1348="","",IF(BW1348=1,"Neu; ","")&amp;IF(AND(BW1348=0,BR1348&lt;0),"negativer Bestand (Export "&amp;BR1348&amp;"); ","")&amp;IF(J1348&lt;=0,"Kein Verbrauch; ","")&amp;IF(CR1348&gt;0,"Lift "&amp;W1348&amp;" lt. Liftbericht (Fach "&amp;X1348&amp;" Stk); ",IF(CB1348=1,"Gebinde geschätzt ("&amp;T1348&amp;"); ",IF(CA1348=1,"Lose – Tablare geschätzt; ","")))&amp;IF(H1348&gt;AW1348,"Überbestand "&amp;ROUND(H1348-AW1348,0)&amp;" Stk / CHF "&amp;ROUND((H1348-AW1348)*G1348,0)&amp;"; ","")&amp;IF(AND(CI1348=1,CJ1348&lt;CK1348),"MAX &lt; MB+LG; ","")&amp;IF(AND(CQ1348&gt;0,CP1348*10&gt;CQ1348),"zu hoch für Tablar; ","")&amp;IF(AND(BW1348=0,OR(CI1348=1,AB1348&lt;&gt;"",U1348&lt;&gt;"",V1348&lt;&gt;"",AC1348&lt;&gt;"")),"manuell übersteuert; ","")&amp;IF(AND(CA1348=0,R1348=0),"Gebinde unbekannt / Stellmass fehlt; ","")&amp;IF(AND(CA1348=0,N(V1348)&lt;=0,N(Q1348)&lt;=0),"Menge pro Gebinde fehlt (Ist = 1 Gebinde); ","")&amp;BV1348)</f>
        <v>negativer Bestand (Export -5); Überbestand 3 Stk / CHF 1179; </v>
      </c>
      <c r="BO1348" s="60"/>
      <c r="BP1348" s="60"/>
      <c r="BQ1348" s="67"/>
      <c r="BR1348" s="62" t="n">
        <v>-5</v>
      </c>
      <c r="BS1348" s="62" t="n">
        <v>9</v>
      </c>
      <c r="BT1348" s="61" t="n">
        <v>-1965.05</v>
      </c>
      <c r="BU1348" s="62" t="n">
        <v>1</v>
      </c>
      <c r="BV1348" s="60"/>
      <c r="BW1348" s="65" t="n">
        <v>0</v>
      </c>
      <c r="BX1348" s="65" t="n">
        <v>1348</v>
      </c>
      <c r="BY1348" s="60" t="str">
        <f aca="false">IF(U1348&lt;&gt;"",UPPER(TRIM(U1348)),IF(CB1348=1,UPPER(VLOOKUP(T1348,Parameter!$I$27:$K$29,2,0)),IF(P1348="","LOSE",P1348)))</f>
        <v>S71</v>
      </c>
      <c r="BZ1348" s="62" t="n">
        <f aca="false">IF(BY1348="LOSE",1,IF(N(V1348)&gt;0,V1348,IF(CB1348=1,MAX(1,N(VLOOKUP(T1348,Parameter!$I$27:$K$29,3,0)),H1348,N(N1348)),IF(N(Q1348)&gt;0,Q1348,MAX(1,H1348)))))</f>
        <v>10</v>
      </c>
      <c r="CA1348" s="65" t="n">
        <f aca="false">IF(BY1348="LOSE",1,0)</f>
        <v>0</v>
      </c>
      <c r="CB1348" s="65" t="n">
        <f aca="false">IF(AND(U1348="",OR(P1348="",P1348="LOSE"),T1348&lt;&gt;"",N(S1348)&lt;=0,ISNUMBER(MATCH(T1348,Parameter!$I$27:$I$29,0))),1,0)</f>
        <v>0</v>
      </c>
      <c r="CC1348" s="65" t="n">
        <f aca="false">IF(CR1348&gt;0,INDEX(Parameter!$H$5:$H$7,W1348)/INDEX(Parameter!$E$5:$E$7,W1348),IF(AND(CA1348=0,N(IFERROR(VLOOKUP(BY1348,'Gebinde-Kategorie'!$A$5:$N$45,14,0),0))&gt;0),VLOOKUP(BY1348,'Gebinde-Kategorie'!$A$5:$N$45,14,0)*10+Parameter!$M$23,Parameter!$M$24))</f>
        <v>235</v>
      </c>
      <c r="CD1348" s="60" t="str">
        <f aca="false">IF(AND(Parameter!$B$19="Ja",E1348&lt;&gt;"",ISNUMBER(MATCH(E1348,Parameter!$I$35:$I$52,0))),VLOOKUP(E1348,Parameter!$I$35:$J$52,2,0),IFERROR(VLOOKUP(D1348,Parameter!$A$35:$C$64,2,0),"Nein"))</f>
        <v>2+3</v>
      </c>
      <c r="CE1348" s="64" t="n">
        <f aca="false">IF(CA1348=0,0,IF(N(S1348)&gt;0,S1348,IFERROR(VLOOKUP(D1348,Parameter!$A$35:$C$64,3,0)+0,0)))</f>
        <v>0</v>
      </c>
      <c r="CF1348" s="60" t="n">
        <f aca="false">IF(AB1348&lt;&gt;"",AB1348,AA1348)</f>
        <v>2</v>
      </c>
      <c r="CG1348" s="60" t="str">
        <f aca="false">IF(OR(CF1348=1,CF1348=2,CF1348=3),IF(Parameter!$E$27="Ja","LIFT",IF(CF1348=1,"L1","L23")),IF(CF1348="Aussen","Aussen","-"))</f>
        <v>LIFT</v>
      </c>
      <c r="CH1348" s="71" t="n">
        <f aca="false">IF(N(AC1348)&gt;0,AC1348,0)</f>
        <v>0</v>
      </c>
      <c r="CI1348" s="65" t="n">
        <f aca="false">IF(ISNUMBER(AF1348),1,0)</f>
        <v>0</v>
      </c>
      <c r="CJ1348" s="62" t="n">
        <f aca="false">N(AF1348)</f>
        <v>0</v>
      </c>
      <c r="CK1348" s="62" t="n">
        <f aca="false">N(M1348)+N(N1348)</f>
        <v>1</v>
      </c>
      <c r="CL1348" s="62" t="n">
        <f aca="false">N(M1348)</f>
        <v>0</v>
      </c>
      <c r="CM1348" s="62" t="n">
        <f aca="false">N(N1348)</f>
        <v>1</v>
      </c>
      <c r="CN1348" s="62" t="n">
        <f aca="false">ROUNDUP(H1348/BZ1348,0)</f>
        <v>1</v>
      </c>
      <c r="CO1348" s="62" t="n">
        <f aca="false">ROUNDUP(CJ1348/BZ1348,0)</f>
        <v>0</v>
      </c>
      <c r="CP1348" s="65" t="n">
        <f aca="false">IF(CA1348=1,0,IFERROR(VLOOKUP(BY1348,'Gebinde-Kategorie'!$A$5:$N$45,5,0)+0,0))</f>
        <v>20</v>
      </c>
      <c r="CQ1348" s="65" t="n">
        <f aca="false">IFERROR(IF(OR(CF1348=1,CF1348=2,CF1348=3),N(INDEX(Parameter!$I$5:$I$7,CF1348)),0),0)</f>
        <v>0</v>
      </c>
      <c r="CR1348" s="64" t="n">
        <f aca="false">IF(AND(Parameter!$B$21="Ja",ISNUMBER(W1348),N(X1348)&gt;0),IFERROR(N(INDEX(Parameter!$L$5:$L$7,W1348))*INDEX(Parameter!$E$5:$E$7,W1348)*X1348/SUMIFS($X$7:$X$1843,$W$7:$W$1843,W1348),0),0)</f>
        <v>0</v>
      </c>
      <c r="CS1348" s="62" t="n">
        <f aca="false">IF(AND(OR(CG1348="L1",CG1348="L23",CG1348="LIFT"),H1348&gt;0),CC1348*IF(CR1348&gt;0,CR1348*MAX(1,H1348/X1348),IF(CA1348=1,CE1348,IF(R1348&gt;0,CN1348/R1348,0))/MAX(0.1,N(Parameter!$M$21))),"")</f>
        <v>39.1666666666667</v>
      </c>
      <c r="CT1348" s="64" t="n">
        <f aca="false">IF(CS1348="","",J1348/H1348)</f>
        <v>0.25</v>
      </c>
      <c r="CU1348" s="62" t="n">
        <f aca="false">IF(CS1348="","",H1348*G1348)</f>
        <v>1572.04</v>
      </c>
      <c r="CV1348" s="63" t="n">
        <f aca="false">IF(CS1348="","",(CL1348+ROUNDUP(CL1348+MAX(CM1348,2*(J1348/MAX(0.1,N(Einkauf!$C$6))-CL1348)),0))/2)</f>
        <v>0.5</v>
      </c>
      <c r="CW1348" s="62" t="n">
        <f aca="false">IF(CS1348="","",MAX(0,H1348-CV1348)*G1348)</f>
        <v>1375.535</v>
      </c>
      <c r="CX1348" s="62" t="n">
        <f aca="false">IF(CS1348="","",CS1348*MAX(0,1-CV1348/H1348))</f>
        <v>34.2708333333333</v>
      </c>
      <c r="CY1348" s="64" t="n">
        <f aca="false">IF(CS1348="","",PERCENTRANK($CS$7:$CS$1843,CS1348)+PERCENTRANK($CU$7:$CU$1843,CU1348)+1-PERCENTRANK($CT$7:$CT$1843,CT1348))</f>
        <v>2.1</v>
      </c>
      <c r="CZ1348" s="72" t="n">
        <f aca="false">IF(CS1348="","",CHOOSE(MATCH(Einkauf!$C$5,Parameter!$G$23:$G$27,0),CY1348,CS1348,CU1348,-CT1348,CW1348)+ROW()/1000000000)</f>
        <v>2.100001348</v>
      </c>
    </row>
    <row r="1349" customFormat="false" ht="15" hidden="false" customHeight="false" outlineLevel="0" collapsed="false">
      <c r="A1349" s="60" t="s">
        <v>2424</v>
      </c>
      <c r="B1349" s="60" t="s">
        <v>1455</v>
      </c>
      <c r="C1349" s="60" t="s">
        <v>206</v>
      </c>
      <c r="D1349" s="60" t="s">
        <v>395</v>
      </c>
      <c r="E1349" s="60"/>
      <c r="F1349" s="60" t="s">
        <v>260</v>
      </c>
      <c r="G1349" s="61" t="n">
        <v>1997.24</v>
      </c>
      <c r="H1349" s="62" t="n">
        <f aca="false">MAX(0,IF(AND(Parameter!$B$21="Ja",ISNUMBER(Y1349)),Y1349,IF(Parameter!$B$20="Jahresanfang 2025 + Export",BS1349+BR1349,BR1349)))</f>
        <v>0</v>
      </c>
      <c r="I1349" s="62" t="n">
        <f aca="false">H1349*G1349</f>
        <v>0</v>
      </c>
      <c r="J1349" s="62" t="n">
        <f aca="false">BU1349*Parameter!$B$18</f>
        <v>1</v>
      </c>
      <c r="K1349" s="63" t="n">
        <v>0.5</v>
      </c>
      <c r="L1349" s="64" t="n">
        <v>2</v>
      </c>
      <c r="M1349" s="62" t="n">
        <v>0</v>
      </c>
      <c r="N1349" s="62" t="n">
        <v>1</v>
      </c>
      <c r="O1349" s="65" t="n">
        <v>0</v>
      </c>
      <c r="P1349" s="60" t="s">
        <v>210</v>
      </c>
      <c r="Q1349" s="62"/>
      <c r="R1349" s="65" t="n">
        <f aca="false">IF(CA1349=1,0,IFERROR(VLOOKUP(BY1349,'Gebinde-Kategorie'!$A$5:$N$45,13,0)+0,0))</f>
        <v>0</v>
      </c>
      <c r="S1349" s="66"/>
      <c r="T1349" s="67"/>
      <c r="U1349" s="67"/>
      <c r="V1349" s="67"/>
      <c r="W1349" s="60"/>
      <c r="X1349" s="62"/>
      <c r="Y1349" s="62"/>
      <c r="Z1349" s="60"/>
      <c r="AA1349" s="60" t="str">
        <f aca="false">IF(A1349="","",IF(AND(Parameter!$B$21="Ja",ISNUMBER(W1349)),W1349,IF(AND(Parameter!$E$27="Ja",ISNUMBER(Z1349),CD1349&lt;&gt;"Nein"),Z1349,IF(CD1349="2+3",IF(ISNUMBER(SEARCH("grosser Artikel",BV1349)),2,IFERROR(VLOOKUP(BY1349,Parameter!$F$35:$G$64,2,0),2)),IF(OR(CD1349="Nein",CD1349=""),"-",CD1349)))))</f>
        <v>-</v>
      </c>
      <c r="AB1349" s="67"/>
      <c r="AC1349" s="68"/>
      <c r="AD1349" s="62" t="n">
        <f aca="false">AW1349</f>
        <v>1</v>
      </c>
      <c r="AE1349" s="62" t="n">
        <f aca="false">MAX(AW1349,H1349)</f>
        <v>1</v>
      </c>
      <c r="AF1349" s="69"/>
      <c r="AG1349" s="62" t="n">
        <f aca="false">IF(LEFT(Cockpit!$C$5,1)="A",H1349,IF(Parameter!$E$30="MAX-Bestand",IF(CI1349=1,CJ1349,IF(LEFT(Cockpit!$C$5,1)="B",AM1349,MAX(AM1349,H1349))),ROUNDUP(AK1349,0)))</f>
        <v>0</v>
      </c>
      <c r="AH1349" s="62" t="n">
        <f aca="false">IF(CA1349=1,0,ROUNDUP(AG1349/BZ1349,0))</f>
        <v>0</v>
      </c>
      <c r="AI1349" s="64" t="n">
        <f aca="false">IF(CR1349&gt;0,CR1349*MAX(1,AG1349/X1349),IF(CA1349=1,IF(AG1349&lt;=0,0,CE1349*MAX(1,IF(H1349&gt;0,AG1349/H1349,1))),IF(R1349&gt;0,AH1349/R1349,0))/MAX(0.1,N(Parameter!$M$21)))</f>
        <v>0</v>
      </c>
      <c r="AJ1349" s="62" t="n">
        <f aca="false">AI1349*CC1349</f>
        <v>0</v>
      </c>
      <c r="AK1349" s="63" t="n">
        <f aca="false">IF(LEFT(Cockpit!$C$5,1)="A",H1349,IF(CI1349=1,(CL1349+CJ1349)/2,IF(LEFT(Cockpit!$C$5,1)="B",(CL1349+AM1349)/2,MAX((CL1349+AM1349)/2,H1349))))</f>
        <v>0</v>
      </c>
      <c r="AL1349" s="62" t="n">
        <f aca="false">AK1349*G1349</f>
        <v>0</v>
      </c>
      <c r="AM1349" s="62" t="n">
        <f aca="false">ROUNDUP(CL1349+MAX(CM1349,2*(J1349/IF(CH1349&gt;0,CH1349,MAX(0.1,N(Cockpit!$C$6)))-CL1349)),0)</f>
        <v>1</v>
      </c>
      <c r="AN1349" s="63" t="n">
        <f aca="false">IF(AJ1349&gt;0,J1349/AJ1349,-1)</f>
        <v>-1</v>
      </c>
      <c r="AO1349" s="63" t="str">
        <f aca="false">IF(AND(OR(CG1349="L1",CG1349="L23",CG1349="LIFT"),AJ1349&gt;0),SUMIFS($AJ$7:$AJ$1843,$CG$7:$CG$1843,CG1349,$AN$7:$AN$1843,"&gt;"&amp;AN1349)+SUMIFS($AJ$7:$AJ$1843,$CG$7:$CG$1843,CG1349,$AN$7:$AN$1843,AN1349,$BX$7:$BX$1843,"&lt;="&amp;BX1349),"")</f>
        <v/>
      </c>
      <c r="AP1349" s="70" t="n">
        <f aca="false">IF(AO1349="",0,MAX(0,MIN(1,(IF(CG1349="L1",Parameter!$H$5,IF(CG1349="L23",Parameter!$H$6+Parameter!$H$7,Parameter!$H$5+Parameter!$H$6+Parameter!$H$7))-(AO1349-AJ1349))/AJ1349)))</f>
        <v>0</v>
      </c>
      <c r="AQ1349" s="62" t="n">
        <f aca="false">IF(LEFT(Cockpit!$I$5,1)="A",H1349,IF(Parameter!$E$30="MAX-Bestand",IF(CI1349=1,CJ1349,IF(LEFT(Cockpit!$I$5,1)="B",AW1349,MAX(AW1349,H1349))),ROUNDUP(AU1349,0)))</f>
        <v>1</v>
      </c>
      <c r="AR1349" s="62" t="n">
        <f aca="false">IF(CA1349=1,0,ROUNDUP(AQ1349/BZ1349,0))</f>
        <v>0</v>
      </c>
      <c r="AS1349" s="64" t="n">
        <f aca="false">IF(CR1349&gt;0,CR1349*MAX(1,AQ1349/X1349),IF(CA1349=1,IF(AQ1349&lt;=0,0,CE1349*MAX(1,IF(H1349&gt;0,AQ1349/H1349,1))),IF(R1349&gt;0,AR1349/R1349,0))/MAX(0.1,N(Parameter!$M$21)))</f>
        <v>0.15</v>
      </c>
      <c r="AT1349" s="62" t="n">
        <f aca="false">AS1349*CC1349</f>
        <v>35.25</v>
      </c>
      <c r="AU1349" s="63" t="n">
        <f aca="false">IF(LEFT(Cockpit!$I$5,1)="A",H1349,IF(CI1349=1,(CL1349+CJ1349)/2,IF(LEFT(Cockpit!$I$5,1)="B",(CL1349+AW1349)/2,MAX((CL1349+AW1349)/2,H1349))))</f>
        <v>0.5</v>
      </c>
      <c r="AV1349" s="62" t="n">
        <f aca="false">AU1349*G1349</f>
        <v>998.62</v>
      </c>
      <c r="AW1349" s="62" t="n">
        <f aca="false">ROUNDUP(CL1349+MAX(CM1349,2*(J1349/IF(CH1349&gt;0,CH1349,MAX(0.1,N(Cockpit!$I$6)))-CL1349)),0)</f>
        <v>1</v>
      </c>
      <c r="AX1349" s="63" t="n">
        <f aca="false">IF(AT1349&gt;0,J1349/AT1349,-1)</f>
        <v>0.0283687943262411</v>
      </c>
      <c r="AY1349" s="63" t="str">
        <f aca="false">IF(AND(OR(CG1349="L1",CG1349="L23",CG1349="LIFT"),AT1349&gt;0),SUMIFS($AT$7:$AT$1843,$CG$7:$CG$1843,CG1349,$AX$7:$AX$1843,"&gt;"&amp;AX1349)+SUMIFS($AT$7:$AT$1843,$CG$7:$CG$1843,CG1349,$AX$7:$AX$1843,AX1349,$BX$7:$BX$1843,"&lt;="&amp;BX1349),"")</f>
        <v/>
      </c>
      <c r="AZ1349" s="70" t="n">
        <f aca="false">IF(AY1349="",0,MAX(0,MIN(1,(IF(CG1349="L1",Parameter!$H$5,IF(CG1349="L23",Parameter!$H$6+Parameter!$H$7,Parameter!$H$5+Parameter!$H$6+Parameter!$H$7))-(AY1349-AT1349))/AT1349)))</f>
        <v>0</v>
      </c>
      <c r="BA1349" s="62" t="n">
        <f aca="false">IF(LEFT(Cockpit!$O$5,1)="A",H1349,IF(Parameter!$E$30="MAX-Bestand",IF(CI1349=1,CJ1349,IF(LEFT(Cockpit!$O$5,1)="B",BG1349,MAX(BG1349,H1349))),ROUNDUP(BE1349,0)))</f>
        <v>1</v>
      </c>
      <c r="BB1349" s="62" t="n">
        <f aca="false">IF(CA1349=1,0,ROUNDUP(BA1349/BZ1349,0))</f>
        <v>0</v>
      </c>
      <c r="BC1349" s="64" t="n">
        <f aca="false">IF(CR1349&gt;0,CR1349*MAX(1,BA1349/X1349),IF(CA1349=1,IF(BA1349&lt;=0,0,CE1349*MAX(1,IF(H1349&gt;0,BA1349/H1349,1))),IF(R1349&gt;0,BB1349/R1349,0))/MAX(0.1,N(Parameter!$M$21)))</f>
        <v>0.15</v>
      </c>
      <c r="BD1349" s="62" t="n">
        <f aca="false">BC1349*CC1349</f>
        <v>35.25</v>
      </c>
      <c r="BE1349" s="63" t="n">
        <f aca="false">IF(LEFT(Cockpit!$O$5,1)="A",H1349,IF(CI1349=1,(CL1349+CJ1349)/2,IF(LEFT(Cockpit!$O$5,1)="B",(CL1349+BG1349)/2,MAX((CL1349+BG1349)/2,H1349))))</f>
        <v>0.5</v>
      </c>
      <c r="BF1349" s="62" t="n">
        <f aca="false">BE1349*G1349</f>
        <v>998.62</v>
      </c>
      <c r="BG1349" s="62" t="n">
        <f aca="false">ROUNDUP(CL1349+MAX(CM1349,2*(J1349/IF(CH1349&gt;0,CH1349,MAX(0.1,N(Cockpit!$O$6)))-CL1349)),0)</f>
        <v>1</v>
      </c>
      <c r="BH1349" s="63" t="n">
        <f aca="false">IF(BD1349&gt;0,J1349/BD1349,-1)</f>
        <v>0.0283687943262411</v>
      </c>
      <c r="BI1349" s="63" t="str">
        <f aca="false">IF(AND(OR(CG1349="L1",CG1349="L23",CG1349="LIFT"),BD1349&gt;0),SUMIFS($BD$7:$BD$1843,$CG$7:$CG$1843,CG1349,$BH$7:$BH$1843,"&gt;"&amp;BH1349)+SUMIFS($BD$7:$BD$1843,$CG$7:$CG$1843,CG1349,$BH$7:$BH$1843,BH1349,$BX$7:$BX$1843,"&lt;="&amp;BX1349),"")</f>
        <v/>
      </c>
      <c r="BJ1349" s="70" t="n">
        <f aca="false">IF(BI1349="",0,MAX(0,MIN(1,(IF(CG1349="L1",Parameter!$H$5,IF(CG1349="L23",Parameter!$H$6+Parameter!$H$7,Parameter!$H$5+Parameter!$H$6+Parameter!$H$7))-(BI1349-BD1349))/BD1349)))</f>
        <v>0</v>
      </c>
      <c r="BK1349" s="60" t="str">
        <f aca="false">IF(AJ1349&lt;=0,"",IF(CG1349="Aussen","Aussenlager",IF(CG1349="-","Nicht im Lift",IF(AP1349&gt;=1,"Lift",IF(AP1349&lt;=0,"Aussenlager","teilweise")))))</f>
        <v/>
      </c>
      <c r="BL1349" s="60" t="str">
        <f aca="false">IF(AT1349&lt;=0,"",IF(CG1349="Aussen","Aussenlager",IF(CG1349="-","Nicht im Lift",IF(AZ1349&gt;=1,"Lift",IF(AZ1349&lt;=0,"Aussenlager","teilweise")))))</f>
        <v>Nicht im Lift</v>
      </c>
      <c r="BM1349" s="60" t="str">
        <f aca="false">IF(BD1349&lt;=0,"",IF(CG1349="Aussen","Aussenlager",IF(CG1349="-","Nicht im Lift",IF(BJ1349&gt;=1,"Lift",IF(BJ1349&lt;=0,"Aussenlager","teilweise")))))</f>
        <v>Nicht im Lift</v>
      </c>
      <c r="BN1349" s="60" t="str">
        <f aca="false">IF(A1349="","",IF(BW1349=1,"Neu; ","")&amp;IF(AND(BW1349=0,BR1349&lt;0),"negativer Bestand (Export "&amp;BR1349&amp;"); ","")&amp;IF(J1349&lt;=0,"Kein Verbrauch; ","")&amp;IF(CR1349&gt;0,"Lift "&amp;W1349&amp;" lt. Liftbericht (Fach "&amp;X1349&amp;" Stk); ",IF(CB1349=1,"Gebinde geschätzt ("&amp;T1349&amp;"); ",IF(CA1349=1,"Lose – Tablare geschätzt; ","")))&amp;IF(H1349&gt;AW1349,"Überbestand "&amp;ROUND(H1349-AW1349,0)&amp;" Stk / CHF "&amp;ROUND((H1349-AW1349)*G1349,0)&amp;"; ","")&amp;IF(AND(CI1349=1,CJ1349&lt;CK1349),"MAX &lt; MB+LG; ","")&amp;IF(AND(CQ1349&gt;0,CP1349*10&gt;CQ1349),"zu hoch für Tablar; ","")&amp;IF(AND(BW1349=0,OR(CI1349=1,AB1349&lt;&gt;"",U1349&lt;&gt;"",V1349&lt;&gt;"",AC1349&lt;&gt;"")),"manuell übersteuert; ","")&amp;IF(AND(CA1349=0,R1349=0),"Gebinde unbekannt / Stellmass fehlt; ","")&amp;IF(AND(CA1349=0,N(V1349)&lt;=0,N(Q1349)&lt;=0),"Menge pro Gebinde fehlt (Ist = 1 Gebinde); ","")&amp;BV1349)</f>
        <v>negativer Bestand (Export -1); Lose – Tablare geschätzt; </v>
      </c>
      <c r="BO1349" s="60"/>
      <c r="BP1349" s="60"/>
      <c r="BQ1349" s="67"/>
      <c r="BR1349" s="62" t="n">
        <v>-1</v>
      </c>
      <c r="BS1349" s="62" t="n">
        <v>1</v>
      </c>
      <c r="BT1349" s="61" t="n">
        <v>-1997.24</v>
      </c>
      <c r="BU1349" s="62" t="n">
        <v>1</v>
      </c>
      <c r="BV1349" s="60"/>
      <c r="BW1349" s="65" t="n">
        <v>0</v>
      </c>
      <c r="BX1349" s="65" t="n">
        <v>1349</v>
      </c>
      <c r="BY1349" s="60" t="str">
        <f aca="false">IF(U1349&lt;&gt;"",UPPER(TRIM(U1349)),IF(CB1349=1,UPPER(VLOOKUP(T1349,Parameter!$I$27:$K$29,2,0)),IF(P1349="","LOSE",P1349)))</f>
        <v>LOSE</v>
      </c>
      <c r="BZ1349" s="62" t="n">
        <f aca="false">IF(BY1349="LOSE",1,IF(N(V1349)&gt;0,V1349,IF(CB1349=1,MAX(1,N(VLOOKUP(T1349,Parameter!$I$27:$K$29,3,0)),H1349,N(N1349)),IF(N(Q1349)&gt;0,Q1349,MAX(1,H1349)))))</f>
        <v>1</v>
      </c>
      <c r="CA1349" s="65" t="n">
        <f aca="false">IF(BY1349="LOSE",1,0)</f>
        <v>1</v>
      </c>
      <c r="CB1349" s="65" t="n">
        <f aca="false">IF(AND(U1349="",OR(P1349="",P1349="LOSE"),T1349&lt;&gt;"",N(S1349)&lt;=0,ISNUMBER(MATCH(T1349,Parameter!$I$27:$I$29,0))),1,0)</f>
        <v>0</v>
      </c>
      <c r="CC1349" s="65" t="n">
        <f aca="false">IF(CR1349&gt;0,INDEX(Parameter!$H$5:$H$7,W1349)/INDEX(Parameter!$E$5:$E$7,W1349),IF(AND(CA1349=0,N(IFERROR(VLOOKUP(BY1349,'Gebinde-Kategorie'!$A$5:$N$45,14,0),0))&gt;0),VLOOKUP(BY1349,'Gebinde-Kategorie'!$A$5:$N$45,14,0)*10+Parameter!$M$23,Parameter!$M$24))</f>
        <v>235</v>
      </c>
      <c r="CD1349" s="60" t="str">
        <f aca="false">IF(AND(Parameter!$B$19="Ja",E1349&lt;&gt;"",ISNUMBER(MATCH(E1349,Parameter!$I$35:$I$52,0))),VLOOKUP(E1349,Parameter!$I$35:$J$52,2,0),IFERROR(VLOOKUP(D1349,Parameter!$A$35:$C$64,2,0),"Nein"))</f>
        <v>Nein</v>
      </c>
      <c r="CE1349" s="64" t="n">
        <f aca="false">IF(CA1349=0,0,IF(N(S1349)&gt;0,S1349,IFERROR(VLOOKUP(D1349,Parameter!$A$35:$C$64,3,0)+0,0)))</f>
        <v>0.15</v>
      </c>
      <c r="CF1349" s="60" t="str">
        <f aca="false">IF(AB1349&lt;&gt;"",AB1349,AA1349)</f>
        <v>-</v>
      </c>
      <c r="CG1349" s="60" t="str">
        <f aca="false">IF(OR(CF1349=1,CF1349=2,CF1349=3),IF(Parameter!$E$27="Ja","LIFT",IF(CF1349=1,"L1","L23")),IF(CF1349="Aussen","Aussen","-"))</f>
        <v>-</v>
      </c>
      <c r="CH1349" s="71" t="n">
        <f aca="false">IF(N(AC1349)&gt;0,AC1349,0)</f>
        <v>0</v>
      </c>
      <c r="CI1349" s="65" t="n">
        <f aca="false">IF(ISNUMBER(AF1349),1,0)</f>
        <v>0</v>
      </c>
      <c r="CJ1349" s="62" t="n">
        <f aca="false">N(AF1349)</f>
        <v>0</v>
      </c>
      <c r="CK1349" s="62" t="n">
        <f aca="false">N(M1349)+N(N1349)</f>
        <v>1</v>
      </c>
      <c r="CL1349" s="62" t="n">
        <f aca="false">N(M1349)</f>
        <v>0</v>
      </c>
      <c r="CM1349" s="62" t="n">
        <f aca="false">N(N1349)</f>
        <v>1</v>
      </c>
      <c r="CN1349" s="62" t="n">
        <f aca="false">ROUNDUP(H1349/BZ1349,0)</f>
        <v>0</v>
      </c>
      <c r="CO1349" s="62" t="n">
        <f aca="false">ROUNDUP(CJ1349/BZ1349,0)</f>
        <v>0</v>
      </c>
      <c r="CP1349" s="65" t="n">
        <f aca="false">IF(CA1349=1,0,IFERROR(VLOOKUP(BY1349,'Gebinde-Kategorie'!$A$5:$N$45,5,0)+0,0))</f>
        <v>0</v>
      </c>
      <c r="CQ1349" s="65" t="n">
        <f aca="false">IFERROR(IF(OR(CF1349=1,CF1349=2,CF1349=3),N(INDEX(Parameter!$I$5:$I$7,CF1349)),0),0)</f>
        <v>0</v>
      </c>
      <c r="CR1349" s="64" t="n">
        <f aca="false">IF(AND(Parameter!$B$21="Ja",ISNUMBER(W1349),N(X1349)&gt;0),IFERROR(N(INDEX(Parameter!$L$5:$L$7,W1349))*INDEX(Parameter!$E$5:$E$7,W1349)*X1349/SUMIFS($X$7:$X$1843,$W$7:$W$1843,W1349),0),0)</f>
        <v>0</v>
      </c>
      <c r="CS1349" s="62" t="str">
        <f aca="false">IF(AND(OR(CG1349="L1",CG1349="L23",CG1349="LIFT"),H1349&gt;0),CC1349*IF(CR1349&gt;0,CR1349*MAX(1,H1349/X1349),IF(CA1349=1,CE1349,IF(R1349&gt;0,CN1349/R1349,0))/MAX(0.1,N(Parameter!$M$21))),"")</f>
        <v/>
      </c>
      <c r="CT1349" s="64" t="str">
        <f aca="false">IF(CS1349="","",J1349/H1349)</f>
        <v/>
      </c>
      <c r="CU1349" s="62" t="str">
        <f aca="false">IF(CS1349="","",H1349*G1349)</f>
        <v/>
      </c>
      <c r="CV1349" s="63" t="str">
        <f aca="false">IF(CS1349="","",(CL1349+ROUNDUP(CL1349+MAX(CM1349,2*(J1349/MAX(0.1,N(Einkauf!$C$6))-CL1349)),0))/2)</f>
        <v/>
      </c>
      <c r="CW1349" s="62" t="str">
        <f aca="false">IF(CS1349="","",MAX(0,H1349-CV1349)*G1349)</f>
        <v/>
      </c>
      <c r="CX1349" s="62" t="str">
        <f aca="false">IF(CS1349="","",CS1349*MAX(0,1-CV1349/H1349))</f>
        <v/>
      </c>
      <c r="CY1349" s="64" t="str">
        <f aca="false">IF(CS1349="","",PERCENTRANK($CS$7:$CS$1843,CS1349)+PERCENTRANK($CU$7:$CU$1843,CU1349)+1-PERCENTRANK($CT$7:$CT$1843,CT1349))</f>
        <v/>
      </c>
      <c r="CZ1349" s="72" t="str">
        <f aca="false">IF(CS1349="","",CHOOSE(MATCH(Einkauf!$C$5,Parameter!$G$23:$G$27,0),CY1349,CS1349,CU1349,-CT1349,CW1349)+ROW()/1000000000)</f>
        <v/>
      </c>
    </row>
    <row r="1350" customFormat="false" ht="15" hidden="false" customHeight="false" outlineLevel="0" collapsed="false">
      <c r="A1350" s="60" t="s">
        <v>2425</v>
      </c>
      <c r="B1350" s="60" t="s">
        <v>2426</v>
      </c>
      <c r="C1350" s="60" t="s">
        <v>498</v>
      </c>
      <c r="D1350" s="60" t="s">
        <v>207</v>
      </c>
      <c r="E1350" s="60"/>
      <c r="F1350" s="60" t="s">
        <v>260</v>
      </c>
      <c r="G1350" s="61" t="n">
        <v>1004.29</v>
      </c>
      <c r="H1350" s="62" t="n">
        <f aca="false">MAX(0,IF(AND(Parameter!$B$21="Ja",ISNUMBER(Y1350)),Y1350,IF(Parameter!$B$20="Jahresanfang 2025 + Export",BS1350+BR1350,BR1350)))</f>
        <v>0</v>
      </c>
      <c r="I1350" s="62" t="n">
        <f aca="false">H1350*G1350</f>
        <v>0</v>
      </c>
      <c r="J1350" s="62" t="n">
        <f aca="false">BU1350*Parameter!$B$18</f>
        <v>1</v>
      </c>
      <c r="K1350" s="63" t="n">
        <v>1.5</v>
      </c>
      <c r="L1350" s="64" t="n">
        <v>0.666666666666667</v>
      </c>
      <c r="M1350" s="62" t="n">
        <v>0</v>
      </c>
      <c r="N1350" s="62" t="n">
        <v>1</v>
      </c>
      <c r="O1350" s="65" t="n">
        <v>35</v>
      </c>
      <c r="P1350" s="60" t="s">
        <v>210</v>
      </c>
      <c r="Q1350" s="62"/>
      <c r="R1350" s="65" t="n">
        <f aca="false">IF(CA1350=1,0,IFERROR(VLOOKUP(BY1350,'Gebinde-Kategorie'!$A$5:$N$45,13,0)+0,0))</f>
        <v>0</v>
      </c>
      <c r="S1350" s="66"/>
      <c r="T1350" s="67"/>
      <c r="U1350" s="67"/>
      <c r="V1350" s="67"/>
      <c r="W1350" s="60" t="n">
        <v>1</v>
      </c>
      <c r="X1350" s="62" t="n">
        <v>1</v>
      </c>
      <c r="Y1350" s="62" t="n">
        <v>0</v>
      </c>
      <c r="Z1350" s="60" t="n">
        <v>1</v>
      </c>
      <c r="AA1350" s="60" t="n">
        <f aca="false">IF(A1350="","",IF(AND(Parameter!$B$21="Ja",ISNUMBER(W1350)),W1350,IF(AND(Parameter!$E$27="Ja",ISNUMBER(Z1350),CD1350&lt;&gt;"Nein"),Z1350,IF(CD1350="2+3",IF(ISNUMBER(SEARCH("grosser Artikel",BV1350)),2,IFERROR(VLOOKUP(BY1350,Parameter!$F$35:$G$64,2,0),2)),IF(OR(CD1350="Nein",CD1350=""),"-",CD1350)))))</f>
        <v>1</v>
      </c>
      <c r="AB1350" s="67"/>
      <c r="AC1350" s="68"/>
      <c r="AD1350" s="62" t="n">
        <f aca="false">AW1350</f>
        <v>1</v>
      </c>
      <c r="AE1350" s="62" t="n">
        <f aca="false">MAX(AW1350,H1350)</f>
        <v>1</v>
      </c>
      <c r="AF1350" s="69"/>
      <c r="AG1350" s="62" t="n">
        <f aca="false">IF(LEFT(Cockpit!$C$5,1)="A",H1350,IF(Parameter!$E$30="MAX-Bestand",IF(CI1350=1,CJ1350,IF(LEFT(Cockpit!$C$5,1)="B",AM1350,MAX(AM1350,H1350))),ROUNDUP(AK1350,0)))</f>
        <v>0</v>
      </c>
      <c r="AH1350" s="62" t="n">
        <f aca="false">IF(CA1350=1,0,ROUNDUP(AG1350/BZ1350,0))</f>
        <v>0</v>
      </c>
      <c r="AI1350" s="64" t="n">
        <f aca="false">IF(CR1350&gt;0,CR1350*MAX(1,AG1350/X1350),IF(CA1350=1,IF(AG1350&lt;=0,0,CE1350*MAX(1,IF(H1350&gt;0,AG1350/H1350,1))),IF(R1350&gt;0,AH1350/R1350,0))/MAX(0.1,N(Parameter!$M$21)))</f>
        <v>0.0800376647834275</v>
      </c>
      <c r="AJ1350" s="62" t="n">
        <f aca="false">AI1350*CC1350</f>
        <v>19.0489642184557</v>
      </c>
      <c r="AK1350" s="63" t="n">
        <f aca="false">IF(LEFT(Cockpit!$C$5,1)="A",H1350,IF(CI1350=1,(CL1350+CJ1350)/2,IF(LEFT(Cockpit!$C$5,1)="B",(CL1350+AM1350)/2,MAX((CL1350+AM1350)/2,H1350))))</f>
        <v>0</v>
      </c>
      <c r="AL1350" s="62" t="n">
        <f aca="false">AK1350*G1350</f>
        <v>0</v>
      </c>
      <c r="AM1350" s="62" t="n">
        <f aca="false">ROUNDUP(CL1350+MAX(CM1350,2*(J1350/IF(CH1350&gt;0,CH1350,MAX(0.1,N(Cockpit!$C$6)))-CL1350)),0)</f>
        <v>1</v>
      </c>
      <c r="AN1350" s="63" t="n">
        <f aca="false">IF(AJ1350&gt;0,J1350/AJ1350,-1)</f>
        <v>0.0524962926347009</v>
      </c>
      <c r="AO1350" s="63" t="n">
        <f aca="false">IF(AND(OR(CG1350="L1",CG1350="L23",CG1350="LIFT"),AJ1350&gt;0),SUMIFS($AJ$7:$AJ$1843,$CG$7:$CG$1843,CG1350,$AN$7:$AN$1843,"&gt;"&amp;AN1350)+SUMIFS($AJ$7:$AJ$1843,$CG$7:$CG$1843,CG1350,$AN$7:$AN$1843,AN1350,$BX$7:$BX$1843,"&lt;="&amp;BX1350),"")</f>
        <v>19084.0624547298</v>
      </c>
      <c r="AP1350" s="70" t="n">
        <f aca="false">IF(AO1350="",0,MAX(0,MIN(1,(IF(CG1350="L1",Parameter!$H$5,IF(CG1350="L23",Parameter!$H$6+Parameter!$H$7,Parameter!$H$5+Parameter!$H$6+Parameter!$H$7))-(AO1350-AJ1350))/AJ1350)))</f>
        <v>1</v>
      </c>
      <c r="AQ1350" s="62" t="n">
        <f aca="false">IF(LEFT(Cockpit!$I$5,1)="A",H1350,IF(Parameter!$E$30="MAX-Bestand",IF(CI1350=1,CJ1350,IF(LEFT(Cockpit!$I$5,1)="B",AW1350,MAX(AW1350,H1350))),ROUNDUP(AU1350,0)))</f>
        <v>1</v>
      </c>
      <c r="AR1350" s="62" t="n">
        <f aca="false">IF(CA1350=1,0,ROUNDUP(AQ1350/BZ1350,0))</f>
        <v>0</v>
      </c>
      <c r="AS1350" s="64" t="n">
        <f aca="false">IF(CR1350&gt;0,CR1350*MAX(1,AQ1350/X1350),IF(CA1350=1,IF(AQ1350&lt;=0,0,CE1350*MAX(1,IF(H1350&gt;0,AQ1350/H1350,1))),IF(R1350&gt;0,AR1350/R1350,0))/MAX(0.1,N(Parameter!$M$21)))</f>
        <v>0.0800376647834275</v>
      </c>
      <c r="AT1350" s="62" t="n">
        <f aca="false">AS1350*CC1350</f>
        <v>19.0489642184557</v>
      </c>
      <c r="AU1350" s="63" t="n">
        <f aca="false">IF(LEFT(Cockpit!$I$5,1)="A",H1350,IF(CI1350=1,(CL1350+CJ1350)/2,IF(LEFT(Cockpit!$I$5,1)="B",(CL1350+AW1350)/2,MAX((CL1350+AW1350)/2,H1350))))</f>
        <v>0.5</v>
      </c>
      <c r="AV1350" s="62" t="n">
        <f aca="false">AU1350*G1350</f>
        <v>502.145</v>
      </c>
      <c r="AW1350" s="62" t="n">
        <f aca="false">ROUNDUP(CL1350+MAX(CM1350,2*(J1350/IF(CH1350&gt;0,CH1350,MAX(0.1,N(Cockpit!$I$6)))-CL1350)),0)</f>
        <v>1</v>
      </c>
      <c r="AX1350" s="63" t="n">
        <f aca="false">IF(AT1350&gt;0,J1350/AT1350,-1)</f>
        <v>0.0524962926347009</v>
      </c>
      <c r="AY1350" s="63" t="n">
        <f aca="false">IF(AND(OR(CG1350="L1",CG1350="L23",CG1350="LIFT"),AT1350&gt;0),SUMIFS($AT$7:$AT$1843,$CG$7:$CG$1843,CG1350,$AX$7:$AX$1843,"&gt;"&amp;AX1350)+SUMIFS($AT$7:$AT$1843,$CG$7:$CG$1843,CG1350,$AX$7:$AX$1843,AX1350,$BX$7:$BX$1843,"&lt;="&amp;BX1350),"")</f>
        <v>24202.2110961073</v>
      </c>
      <c r="AZ1350" s="70" t="n">
        <f aca="false">IF(AY1350="",0,MAX(0,MIN(1,(IF(CG1350="L1",Parameter!$H$5,IF(CG1350="L23",Parameter!$H$6+Parameter!$H$7,Parameter!$H$5+Parameter!$H$6+Parameter!$H$7))-(AY1350-AT1350))/AT1350)))</f>
        <v>1</v>
      </c>
      <c r="BA1350" s="62" t="n">
        <f aca="false">IF(LEFT(Cockpit!$O$5,1)="A",H1350,IF(Parameter!$E$30="MAX-Bestand",IF(CI1350=1,CJ1350,IF(LEFT(Cockpit!$O$5,1)="B",BG1350,MAX(BG1350,H1350))),ROUNDUP(BE1350,0)))</f>
        <v>1</v>
      </c>
      <c r="BB1350" s="62" t="n">
        <f aca="false">IF(CA1350=1,0,ROUNDUP(BA1350/BZ1350,0))</f>
        <v>0</v>
      </c>
      <c r="BC1350" s="64" t="n">
        <f aca="false">IF(CR1350&gt;0,CR1350*MAX(1,BA1350/X1350),IF(CA1350=1,IF(BA1350&lt;=0,0,CE1350*MAX(1,IF(H1350&gt;0,BA1350/H1350,1))),IF(R1350&gt;0,BB1350/R1350,0))/MAX(0.1,N(Parameter!$M$21)))</f>
        <v>0.0800376647834275</v>
      </c>
      <c r="BD1350" s="62" t="n">
        <f aca="false">BC1350*CC1350</f>
        <v>19.0489642184557</v>
      </c>
      <c r="BE1350" s="63" t="n">
        <f aca="false">IF(LEFT(Cockpit!$O$5,1)="A",H1350,IF(CI1350=1,(CL1350+CJ1350)/2,IF(LEFT(Cockpit!$O$5,1)="B",(CL1350+BG1350)/2,MAX((CL1350+BG1350)/2,H1350))))</f>
        <v>0.5</v>
      </c>
      <c r="BF1350" s="62" t="n">
        <f aca="false">BE1350*G1350</f>
        <v>502.145</v>
      </c>
      <c r="BG1350" s="62" t="n">
        <f aca="false">ROUNDUP(CL1350+MAX(CM1350,2*(J1350/IF(CH1350&gt;0,CH1350,MAX(0.1,N(Cockpit!$O$6)))-CL1350)),0)</f>
        <v>1</v>
      </c>
      <c r="BH1350" s="63" t="n">
        <f aca="false">IF(BD1350&gt;0,J1350/BD1350,-1)</f>
        <v>0.0524962926347009</v>
      </c>
      <c r="BI1350" s="63" t="n">
        <f aca="false">IF(AND(OR(CG1350="L1",CG1350="L23",CG1350="LIFT"),BD1350&gt;0),SUMIFS($BD$7:$BD$1843,$CG$7:$CG$1843,CG1350,$BH$7:$BH$1843,"&gt;"&amp;BH1350)+SUMIFS($BD$7:$BD$1843,$CG$7:$CG$1843,CG1350,$BH$7:$BH$1843,BH1350,$BX$7:$BX$1843,"&lt;="&amp;BX1350),"")</f>
        <v>20110.8762727386</v>
      </c>
      <c r="BJ1350" s="70" t="n">
        <f aca="false">IF(BI1350="",0,MAX(0,MIN(1,(IF(CG1350="L1",Parameter!$H$5,IF(CG1350="L23",Parameter!$H$6+Parameter!$H$7,Parameter!$H$5+Parameter!$H$6+Parameter!$H$7))-(BI1350-BD1350))/BD1350)))</f>
        <v>1</v>
      </c>
      <c r="BK1350" s="60" t="str">
        <f aca="false">IF(AJ1350&lt;=0,"",IF(CG1350="Aussen","Aussenlager",IF(CG1350="-","Nicht im Lift",IF(AP1350&gt;=1,"Lift",IF(AP1350&lt;=0,"Aussenlager","teilweise")))))</f>
        <v>Lift</v>
      </c>
      <c r="BL1350" s="60" t="str">
        <f aca="false">IF(AT1350&lt;=0,"",IF(CG1350="Aussen","Aussenlager",IF(CG1350="-","Nicht im Lift",IF(AZ1350&gt;=1,"Lift",IF(AZ1350&lt;=0,"Aussenlager","teilweise")))))</f>
        <v>Lift</v>
      </c>
      <c r="BM1350" s="60" t="str">
        <f aca="false">IF(BD1350&lt;=0,"",IF(CG1350="Aussen","Aussenlager",IF(CG1350="-","Nicht im Lift",IF(BJ1350&gt;=1,"Lift",IF(BJ1350&lt;=0,"Aussenlager","teilweise")))))</f>
        <v>Lift</v>
      </c>
      <c r="BN1350" s="60" t="str">
        <f aca="false">IF(A1350="","",IF(BW1350=1,"Neu; ","")&amp;IF(AND(BW1350=0,BR1350&lt;0),"negativer Bestand (Export "&amp;BR1350&amp;"); ","")&amp;IF(J1350&lt;=0,"Kein Verbrauch; ","")&amp;IF(CR1350&gt;0,"Lift "&amp;W1350&amp;" lt. Liftbericht (Fach "&amp;X1350&amp;" Stk); ",IF(CB1350=1,"Gebinde geschätzt ("&amp;T1350&amp;"); ",IF(CA1350=1,"Lose – Tablare geschätzt; ","")))&amp;IF(H1350&gt;AW1350,"Überbestand "&amp;ROUND(H1350-AW1350,0)&amp;" Stk / CHF "&amp;ROUND((H1350-AW1350)*G1350,0)&amp;"; ","")&amp;IF(AND(CI1350=1,CJ1350&lt;CK1350),"MAX &lt; MB+LG; ","")&amp;IF(AND(CQ1350&gt;0,CP1350*10&gt;CQ1350),"zu hoch für Tablar; ","")&amp;IF(AND(BW1350=0,OR(CI1350=1,AB1350&lt;&gt;"",U1350&lt;&gt;"",V1350&lt;&gt;"",AC1350&lt;&gt;"")),"manuell übersteuert; ","")&amp;IF(AND(CA1350=0,R1350=0),"Gebinde unbekannt / Stellmass fehlt; ","")&amp;IF(AND(CA1350=0,N(V1350)&lt;=0,N(Q1350)&lt;=0),"Menge pro Gebinde fehlt (Ist = 1 Gebinde); ","")&amp;BV1350)</f>
        <v>negativer Bestand (Export -2); Lift 1 lt. Liftbericht (Fach 1 Stk); Neuer Art.</v>
      </c>
      <c r="BO1350" s="60"/>
      <c r="BP1350" s="60"/>
      <c r="BQ1350" s="67"/>
      <c r="BR1350" s="62" t="n">
        <v>-2</v>
      </c>
      <c r="BS1350" s="62" t="n">
        <v>2</v>
      </c>
      <c r="BT1350" s="61" t="n">
        <v>-2008.58</v>
      </c>
      <c r="BU1350" s="62" t="n">
        <v>1</v>
      </c>
      <c r="BV1350" s="60" t="s">
        <v>554</v>
      </c>
      <c r="BW1350" s="65" t="n">
        <v>0</v>
      </c>
      <c r="BX1350" s="65" t="n">
        <v>1350</v>
      </c>
      <c r="BY1350" s="60" t="str">
        <f aca="false">IF(U1350&lt;&gt;"",UPPER(TRIM(U1350)),IF(CB1350=1,UPPER(VLOOKUP(T1350,Parameter!$I$27:$K$29,2,0)),IF(P1350="","LOSE",P1350)))</f>
        <v>LOSE</v>
      </c>
      <c r="BZ1350" s="62" t="n">
        <f aca="false">IF(BY1350="LOSE",1,IF(N(V1350)&gt;0,V1350,IF(CB1350=1,MAX(1,N(VLOOKUP(T1350,Parameter!$I$27:$K$29,3,0)),H1350,N(N1350)),IF(N(Q1350)&gt;0,Q1350,MAX(1,H1350)))))</f>
        <v>1</v>
      </c>
      <c r="CA1350" s="65" t="n">
        <f aca="false">IF(BY1350="LOSE",1,0)</f>
        <v>1</v>
      </c>
      <c r="CB1350" s="65" t="n">
        <f aca="false">IF(AND(U1350="",OR(P1350="",P1350="LOSE"),T1350&lt;&gt;"",N(S1350)&lt;=0,ISNUMBER(MATCH(T1350,Parameter!$I$27:$I$29,0))),1,0)</f>
        <v>0</v>
      </c>
      <c r="CC1350" s="65" t="n">
        <f aca="false">IF(CR1350&gt;0,INDEX(Parameter!$H$5:$H$7,W1350)/INDEX(Parameter!$E$5:$E$7,W1350),IF(AND(CA1350=0,N(IFERROR(VLOOKUP(BY1350,'Gebinde-Kategorie'!$A$5:$N$45,14,0),0))&gt;0),VLOOKUP(BY1350,'Gebinde-Kategorie'!$A$5:$N$45,14,0)*10+Parameter!$M$23,Parameter!$M$24))</f>
        <v>238</v>
      </c>
      <c r="CD1350" s="60" t="n">
        <f aca="false">IF(AND(Parameter!$B$19="Ja",E1350&lt;&gt;"",ISNUMBER(MATCH(E1350,Parameter!$I$35:$I$52,0))),VLOOKUP(E1350,Parameter!$I$35:$J$52,2,0),IFERROR(VLOOKUP(D1350,Parameter!$A$35:$C$64,2,0),"Nein"))</f>
        <v>1</v>
      </c>
      <c r="CE1350" s="64" t="n">
        <f aca="false">IF(CA1350=0,0,IF(N(S1350)&gt;0,S1350,IFERROR(VLOOKUP(D1350,Parameter!$A$35:$C$64,3,0)+0,0)))</f>
        <v>1</v>
      </c>
      <c r="CF1350" s="60" t="n">
        <f aca="false">IF(AB1350&lt;&gt;"",AB1350,AA1350)</f>
        <v>1</v>
      </c>
      <c r="CG1350" s="60" t="str">
        <f aca="false">IF(OR(CF1350=1,CF1350=2,CF1350=3),IF(Parameter!$E$27="Ja","LIFT",IF(CF1350=1,"L1","L23")),IF(CF1350="Aussen","Aussen","-"))</f>
        <v>LIFT</v>
      </c>
      <c r="CH1350" s="71" t="n">
        <f aca="false">IF(N(AC1350)&gt;0,AC1350,0)</f>
        <v>0</v>
      </c>
      <c r="CI1350" s="65" t="n">
        <f aca="false">IF(ISNUMBER(AF1350),1,0)</f>
        <v>0</v>
      </c>
      <c r="CJ1350" s="62" t="n">
        <f aca="false">N(AF1350)</f>
        <v>0</v>
      </c>
      <c r="CK1350" s="62" t="n">
        <f aca="false">N(M1350)+N(N1350)</f>
        <v>1</v>
      </c>
      <c r="CL1350" s="62" t="n">
        <f aca="false">N(M1350)</f>
        <v>0</v>
      </c>
      <c r="CM1350" s="62" t="n">
        <f aca="false">N(N1350)</f>
        <v>1</v>
      </c>
      <c r="CN1350" s="62" t="n">
        <f aca="false">ROUNDUP(H1350/BZ1350,0)</f>
        <v>0</v>
      </c>
      <c r="CO1350" s="62" t="n">
        <f aca="false">ROUNDUP(CJ1350/BZ1350,0)</f>
        <v>0</v>
      </c>
      <c r="CP1350" s="65" t="n">
        <f aca="false">IF(CA1350=1,0,IFERROR(VLOOKUP(BY1350,'Gebinde-Kategorie'!$A$5:$N$45,5,0)+0,0))</f>
        <v>0</v>
      </c>
      <c r="CQ1350" s="65" t="n">
        <f aca="false">IFERROR(IF(OR(CF1350=1,CF1350=2,CF1350=3),N(INDEX(Parameter!$I$5:$I$7,CF1350)),0),0)</f>
        <v>0</v>
      </c>
      <c r="CR1350" s="64" t="n">
        <f aca="false">IF(AND(Parameter!$B$21="Ja",ISNUMBER(W1350),N(X1350)&gt;0),IFERROR(N(INDEX(Parameter!$L$5:$L$7,W1350))*INDEX(Parameter!$E$5:$E$7,W1350)*X1350/SUMIFS($X$7:$X$1843,$W$7:$W$1843,W1350),0),0)</f>
        <v>0.0800376647834275</v>
      </c>
      <c r="CS1350" s="62" t="str">
        <f aca="false">IF(AND(OR(CG1350="L1",CG1350="L23",CG1350="LIFT"),H1350&gt;0),CC1350*IF(CR1350&gt;0,CR1350*MAX(1,H1350/X1350),IF(CA1350=1,CE1350,IF(R1350&gt;0,CN1350/R1350,0))/MAX(0.1,N(Parameter!$M$21))),"")</f>
        <v/>
      </c>
      <c r="CT1350" s="64" t="str">
        <f aca="false">IF(CS1350="","",J1350/H1350)</f>
        <v/>
      </c>
      <c r="CU1350" s="62" t="str">
        <f aca="false">IF(CS1350="","",H1350*G1350)</f>
        <v/>
      </c>
      <c r="CV1350" s="63" t="str">
        <f aca="false">IF(CS1350="","",(CL1350+ROUNDUP(CL1350+MAX(CM1350,2*(J1350/MAX(0.1,N(Einkauf!$C$6))-CL1350)),0))/2)</f>
        <v/>
      </c>
      <c r="CW1350" s="62" t="str">
        <f aca="false">IF(CS1350="","",MAX(0,H1350-CV1350)*G1350)</f>
        <v/>
      </c>
      <c r="CX1350" s="62" t="str">
        <f aca="false">IF(CS1350="","",CS1350*MAX(0,1-CV1350/H1350))</f>
        <v/>
      </c>
      <c r="CY1350" s="64" t="str">
        <f aca="false">IF(CS1350="","",PERCENTRANK($CS$7:$CS$1843,CS1350)+PERCENTRANK($CU$7:$CU$1843,CU1350)+1-PERCENTRANK($CT$7:$CT$1843,CT1350))</f>
        <v/>
      </c>
      <c r="CZ1350" s="72" t="str">
        <f aca="false">IF(CS1350="","",CHOOSE(MATCH(Einkauf!$C$5,Parameter!$G$23:$G$27,0),CY1350,CS1350,CU1350,-CT1350,CW1350)+ROW()/1000000000)</f>
        <v/>
      </c>
    </row>
    <row r="1351" customFormat="false" ht="15" hidden="false" customHeight="false" outlineLevel="0" collapsed="false">
      <c r="A1351" s="60" t="s">
        <v>2427</v>
      </c>
      <c r="B1351" s="60" t="s">
        <v>2426</v>
      </c>
      <c r="C1351" s="60" t="s">
        <v>206</v>
      </c>
      <c r="D1351" s="60" t="s">
        <v>207</v>
      </c>
      <c r="E1351" s="60" t="s">
        <v>208</v>
      </c>
      <c r="F1351" s="60" t="s">
        <v>260</v>
      </c>
      <c r="G1351" s="61" t="n">
        <v>2008.66</v>
      </c>
      <c r="H1351" s="62" t="n">
        <f aca="false">MAX(0,IF(AND(Parameter!$B$21="Ja",ISNUMBER(Y1351)),Y1351,IF(Parameter!$B$20="Jahresanfang 2025 + Export",BS1351+BR1351,BR1351)))</f>
        <v>9</v>
      </c>
      <c r="I1351" s="62" t="n">
        <f aca="false">H1351*G1351</f>
        <v>18077.94</v>
      </c>
      <c r="J1351" s="62" t="n">
        <f aca="false">BU1351*Parameter!$B$18</f>
        <v>0</v>
      </c>
      <c r="K1351" s="63" t="n">
        <v>10</v>
      </c>
      <c r="L1351" s="64" t="n">
        <v>0</v>
      </c>
      <c r="M1351" s="62" t="n">
        <v>0</v>
      </c>
      <c r="N1351" s="62" t="n">
        <v>5</v>
      </c>
      <c r="O1351" s="65" t="n">
        <v>86</v>
      </c>
      <c r="P1351" s="60" t="s">
        <v>210</v>
      </c>
      <c r="Q1351" s="62"/>
      <c r="R1351" s="65" t="n">
        <f aca="false">IF(CA1351=1,0,IFERROR(VLOOKUP(BY1351,'Gebinde-Kategorie'!$A$5:$N$45,13,0)+0,0))</f>
        <v>0</v>
      </c>
      <c r="S1351" s="66"/>
      <c r="T1351" s="67"/>
      <c r="U1351" s="67"/>
      <c r="V1351" s="67"/>
      <c r="W1351" s="60" t="n">
        <v>1</v>
      </c>
      <c r="X1351" s="62" t="n">
        <v>10</v>
      </c>
      <c r="Y1351" s="62" t="n">
        <v>9</v>
      </c>
      <c r="Z1351" s="60" t="n">
        <v>1</v>
      </c>
      <c r="AA1351" s="60" t="n">
        <f aca="false">IF(A1351="","",IF(AND(Parameter!$B$21="Ja",ISNUMBER(W1351)),W1351,IF(AND(Parameter!$E$27="Ja",ISNUMBER(Z1351),CD1351&lt;&gt;"Nein"),Z1351,IF(CD1351="2+3",IF(ISNUMBER(SEARCH("grosser Artikel",BV1351)),2,IFERROR(VLOOKUP(BY1351,Parameter!$F$35:$G$64,2,0),2)),IF(OR(CD1351="Nein",CD1351=""),"-",CD1351)))))</f>
        <v>1</v>
      </c>
      <c r="AB1351" s="67"/>
      <c r="AC1351" s="68"/>
      <c r="AD1351" s="62" t="n">
        <f aca="false">AW1351</f>
        <v>5</v>
      </c>
      <c r="AE1351" s="62" t="n">
        <f aca="false">MAX(AW1351,H1351)</f>
        <v>9</v>
      </c>
      <c r="AF1351" s="69"/>
      <c r="AG1351" s="62" t="n">
        <f aca="false">IF(LEFT(Cockpit!$C$5,1)="A",H1351,IF(Parameter!$E$30="MAX-Bestand",IF(CI1351=1,CJ1351,IF(LEFT(Cockpit!$C$5,1)="B",AM1351,MAX(AM1351,H1351))),ROUNDUP(AK1351,0)))</f>
        <v>9</v>
      </c>
      <c r="AH1351" s="62" t="n">
        <f aca="false">IF(CA1351=1,0,ROUNDUP(AG1351/BZ1351,0))</f>
        <v>0</v>
      </c>
      <c r="AI1351" s="64" t="n">
        <f aca="false">IF(CR1351&gt;0,CR1351*MAX(1,AG1351/X1351),IF(CA1351=1,IF(AG1351&lt;=0,0,CE1351*MAX(1,IF(H1351&gt;0,AG1351/H1351,1))),IF(R1351&gt;0,AH1351/R1351,0))/MAX(0.1,N(Parameter!$M$21)))</f>
        <v>0.800376647834275</v>
      </c>
      <c r="AJ1351" s="62" t="n">
        <f aca="false">AI1351*CC1351</f>
        <v>190.489642184557</v>
      </c>
      <c r="AK1351" s="63" t="n">
        <f aca="false">IF(LEFT(Cockpit!$C$5,1)="A",H1351,IF(CI1351=1,(CL1351+CJ1351)/2,IF(LEFT(Cockpit!$C$5,1)="B",(CL1351+AM1351)/2,MAX((CL1351+AM1351)/2,H1351))))</f>
        <v>9</v>
      </c>
      <c r="AL1351" s="62" t="n">
        <f aca="false">AK1351*G1351</f>
        <v>18077.94</v>
      </c>
      <c r="AM1351" s="62" t="n">
        <f aca="false">ROUNDUP(CL1351+MAX(CM1351,2*(J1351/IF(CH1351&gt;0,CH1351,MAX(0.1,N(Cockpit!$C$6)))-CL1351)),0)</f>
        <v>5</v>
      </c>
      <c r="AN1351" s="63" t="n">
        <f aca="false">IF(AJ1351&gt;0,J1351/AJ1351,-1)</f>
        <v>0</v>
      </c>
      <c r="AO1351" s="63" t="n">
        <f aca="false">IF(AND(OR(CG1351="L1",CG1351="L23",CG1351="LIFT"),AJ1351&gt;0),SUMIFS($AJ$7:$AJ$1843,$CG$7:$CG$1843,CG1351,$AN$7:$AN$1843,"&gt;"&amp;AN1351)+SUMIFS($AJ$7:$AJ$1843,$CG$7:$CG$1843,CG1351,$AN$7:$AN$1843,AN1351,$BX$7:$BX$1843,"&lt;="&amp;BX1351),"")</f>
        <v>29671.1564769976</v>
      </c>
      <c r="AP1351" s="70" t="n">
        <f aca="false">IF(AO1351="",0,MAX(0,MIN(1,(IF(CG1351="L1",Parameter!$H$5,IF(CG1351="L23",Parameter!$H$6+Parameter!$H$7,Parameter!$H$5+Parameter!$H$6+Parameter!$H$7))-(AO1351-AJ1351))/AJ1351)))</f>
        <v>1</v>
      </c>
      <c r="AQ1351" s="62" t="n">
        <f aca="false">IF(LEFT(Cockpit!$I$5,1)="A",H1351,IF(Parameter!$E$30="MAX-Bestand",IF(CI1351=1,CJ1351,IF(LEFT(Cockpit!$I$5,1)="B",AW1351,MAX(AW1351,H1351))),ROUNDUP(AU1351,0)))</f>
        <v>9</v>
      </c>
      <c r="AR1351" s="62" t="n">
        <f aca="false">IF(CA1351=1,0,ROUNDUP(AQ1351/BZ1351,0))</f>
        <v>0</v>
      </c>
      <c r="AS1351" s="64" t="n">
        <f aca="false">IF(CR1351&gt;0,CR1351*MAX(1,AQ1351/X1351),IF(CA1351=1,IF(AQ1351&lt;=0,0,CE1351*MAX(1,IF(H1351&gt;0,AQ1351/H1351,1))),IF(R1351&gt;0,AR1351/R1351,0))/MAX(0.1,N(Parameter!$M$21)))</f>
        <v>0.800376647834275</v>
      </c>
      <c r="AT1351" s="62" t="n">
        <f aca="false">AS1351*CC1351</f>
        <v>190.489642184557</v>
      </c>
      <c r="AU1351" s="63" t="n">
        <f aca="false">IF(LEFT(Cockpit!$I$5,1)="A",H1351,IF(CI1351=1,(CL1351+CJ1351)/2,IF(LEFT(Cockpit!$I$5,1)="B",(CL1351+AW1351)/2,MAX((CL1351+AW1351)/2,H1351))))</f>
        <v>9</v>
      </c>
      <c r="AV1351" s="62" t="n">
        <f aca="false">AU1351*G1351</f>
        <v>18077.94</v>
      </c>
      <c r="AW1351" s="62" t="n">
        <f aca="false">ROUNDUP(CL1351+MAX(CM1351,2*(J1351/IF(CH1351&gt;0,CH1351,MAX(0.1,N(Cockpit!$I$6)))-CL1351)),0)</f>
        <v>5</v>
      </c>
      <c r="AX1351" s="63" t="n">
        <f aca="false">IF(AT1351&gt;0,J1351/AT1351,-1)</f>
        <v>0</v>
      </c>
      <c r="AY1351" s="63" t="n">
        <f aca="false">IF(AND(OR(CG1351="L1",CG1351="L23",CG1351="LIFT"),AT1351&gt;0),SUMIFS($AT$7:$AT$1843,$CG$7:$CG$1843,CG1351,$AX$7:$AX$1843,"&gt;"&amp;AX1351)+SUMIFS($AT$7:$AT$1843,$CG$7:$CG$1843,CG1351,$AX$7:$AX$1843,AX1351,$BX$7:$BX$1843,"&lt;="&amp;BX1351),"")</f>
        <v>35914.0734333934</v>
      </c>
      <c r="AZ1351" s="70" t="n">
        <f aca="false">IF(AY1351="",0,MAX(0,MIN(1,(IF(CG1351="L1",Parameter!$H$5,IF(CG1351="L23",Parameter!$H$6+Parameter!$H$7,Parameter!$H$5+Parameter!$H$6+Parameter!$H$7))-(AY1351-AT1351))/AT1351)))</f>
        <v>0</v>
      </c>
      <c r="BA1351" s="62" t="n">
        <f aca="false">IF(LEFT(Cockpit!$O$5,1)="A",H1351,IF(Parameter!$E$30="MAX-Bestand",IF(CI1351=1,CJ1351,IF(LEFT(Cockpit!$O$5,1)="B",BG1351,MAX(BG1351,H1351))),ROUNDUP(BE1351,0)))</f>
        <v>3</v>
      </c>
      <c r="BB1351" s="62" t="n">
        <f aca="false">IF(CA1351=1,0,ROUNDUP(BA1351/BZ1351,0))</f>
        <v>0</v>
      </c>
      <c r="BC1351" s="64" t="n">
        <f aca="false">IF(CR1351&gt;0,CR1351*MAX(1,BA1351/X1351),IF(CA1351=1,IF(BA1351&lt;=0,0,CE1351*MAX(1,IF(H1351&gt;0,BA1351/H1351,1))),IF(R1351&gt;0,BB1351/R1351,0))/MAX(0.1,N(Parameter!$M$21)))</f>
        <v>0.800376647834275</v>
      </c>
      <c r="BD1351" s="62" t="n">
        <f aca="false">BC1351*CC1351</f>
        <v>190.489642184557</v>
      </c>
      <c r="BE1351" s="63" t="n">
        <f aca="false">IF(LEFT(Cockpit!$O$5,1)="A",H1351,IF(CI1351=1,(CL1351+CJ1351)/2,IF(LEFT(Cockpit!$O$5,1)="B",(CL1351+BG1351)/2,MAX((CL1351+BG1351)/2,H1351))))</f>
        <v>2.5</v>
      </c>
      <c r="BF1351" s="62" t="n">
        <f aca="false">BE1351*G1351</f>
        <v>5021.65</v>
      </c>
      <c r="BG1351" s="62" t="n">
        <f aca="false">ROUNDUP(CL1351+MAX(CM1351,2*(J1351/IF(CH1351&gt;0,CH1351,MAX(0.1,N(Cockpit!$O$6)))-CL1351)),0)</f>
        <v>5</v>
      </c>
      <c r="BH1351" s="63" t="n">
        <f aca="false">IF(BD1351&gt;0,J1351/BD1351,-1)</f>
        <v>0</v>
      </c>
      <c r="BI1351" s="63" t="n">
        <f aca="false">IF(AND(OR(CG1351="L1",CG1351="L23",CG1351="LIFT"),BD1351&gt;0),SUMIFS($BD$7:$BD$1843,$CG$7:$CG$1843,CG1351,$BH$7:$BH$1843,"&gt;"&amp;BH1351)+SUMIFS($BD$7:$BD$1843,$CG$7:$CG$1843,CG1351,$BH$7:$BH$1843,BH1351,$BX$7:$BX$1843,"&lt;="&amp;BX1351),"")</f>
        <v>29899.3800935411</v>
      </c>
      <c r="BJ1351" s="70" t="n">
        <f aca="false">IF(BI1351="",0,MAX(0,MIN(1,(IF(CG1351="L1",Parameter!$H$5,IF(CG1351="L23",Parameter!$H$6+Parameter!$H$7,Parameter!$H$5+Parameter!$H$6+Parameter!$H$7))-(BI1351-BD1351))/BD1351)))</f>
        <v>1</v>
      </c>
      <c r="BK1351" s="60" t="str">
        <f aca="false">IF(AJ1351&lt;=0,"",IF(CG1351="Aussen","Aussenlager",IF(CG1351="-","Nicht im Lift",IF(AP1351&gt;=1,"Lift",IF(AP1351&lt;=0,"Aussenlager","teilweise")))))</f>
        <v>Lift</v>
      </c>
      <c r="BL1351" s="60" t="str">
        <f aca="false">IF(AT1351&lt;=0,"",IF(CG1351="Aussen","Aussenlager",IF(CG1351="-","Nicht im Lift",IF(AZ1351&gt;=1,"Lift",IF(AZ1351&lt;=0,"Aussenlager","teilweise")))))</f>
        <v>Aussenlager</v>
      </c>
      <c r="BM1351" s="60" t="str">
        <f aca="false">IF(BD1351&lt;=0,"",IF(CG1351="Aussen","Aussenlager",IF(CG1351="-","Nicht im Lift",IF(BJ1351&gt;=1,"Lift",IF(BJ1351&lt;=0,"Aussenlager","teilweise")))))</f>
        <v>Lift</v>
      </c>
      <c r="BN1351" s="60" t="str">
        <f aca="false">IF(A1351="","",IF(BW1351=1,"Neu; ","")&amp;IF(AND(BW1351=0,BR1351&lt;0),"negativer Bestand (Export "&amp;BR1351&amp;"); ","")&amp;IF(J1351&lt;=0,"Kein Verbrauch; ","")&amp;IF(CR1351&gt;0,"Lift "&amp;W1351&amp;" lt. Liftbericht (Fach "&amp;X1351&amp;" Stk); ",IF(CB1351=1,"Gebinde geschätzt ("&amp;T1351&amp;"); ",IF(CA1351=1,"Lose – Tablare geschätzt; ","")))&amp;IF(H1351&gt;AW1351,"Überbestand "&amp;ROUND(H1351-AW1351,0)&amp;" Stk / CHF "&amp;ROUND((H1351-AW1351)*G1351,0)&amp;"; ","")&amp;IF(AND(CI1351=1,CJ1351&lt;CK1351),"MAX &lt; MB+LG; ","")&amp;IF(AND(CQ1351&gt;0,CP1351*10&gt;CQ1351),"zu hoch für Tablar; ","")&amp;IF(AND(BW1351=0,OR(CI1351=1,AB1351&lt;&gt;"",U1351&lt;&gt;"",V1351&lt;&gt;"",AC1351&lt;&gt;"")),"manuell übersteuert; ","")&amp;IF(AND(CA1351=0,R1351=0),"Gebinde unbekannt / Stellmass fehlt; ","")&amp;IF(AND(CA1351=0,N(V1351)&lt;=0,N(Q1351)&lt;=0),"Menge pro Gebinde fehlt (Ist = 1 Gebinde); ","")&amp;BV1351)</f>
        <v>negativer Bestand (Export -1); Kein Verbrauch; Lift 1 lt. Liftbericht (Fach 10 Stk); Überbestand 4 Stk / CHF 8035; </v>
      </c>
      <c r="BO1351" s="60"/>
      <c r="BP1351" s="60"/>
      <c r="BQ1351" s="67"/>
      <c r="BR1351" s="62" t="n">
        <v>-1</v>
      </c>
      <c r="BS1351" s="62" t="n">
        <v>10</v>
      </c>
      <c r="BT1351" s="61" t="n">
        <v>-2008.66</v>
      </c>
      <c r="BU1351" s="62" t="n">
        <v>0</v>
      </c>
      <c r="BV1351" s="60"/>
      <c r="BW1351" s="65" t="n">
        <v>0</v>
      </c>
      <c r="BX1351" s="65" t="n">
        <v>1351</v>
      </c>
      <c r="BY1351" s="60" t="str">
        <f aca="false">IF(U1351&lt;&gt;"",UPPER(TRIM(U1351)),IF(CB1351=1,UPPER(VLOOKUP(T1351,Parameter!$I$27:$K$29,2,0)),IF(P1351="","LOSE",P1351)))</f>
        <v>LOSE</v>
      </c>
      <c r="BZ1351" s="62" t="n">
        <f aca="false">IF(BY1351="LOSE",1,IF(N(V1351)&gt;0,V1351,IF(CB1351=1,MAX(1,N(VLOOKUP(T1351,Parameter!$I$27:$K$29,3,0)),H1351,N(N1351)),IF(N(Q1351)&gt;0,Q1351,MAX(1,H1351)))))</f>
        <v>1</v>
      </c>
      <c r="CA1351" s="65" t="n">
        <f aca="false">IF(BY1351="LOSE",1,0)</f>
        <v>1</v>
      </c>
      <c r="CB1351" s="65" t="n">
        <f aca="false">IF(AND(U1351="",OR(P1351="",P1351="LOSE"),T1351&lt;&gt;"",N(S1351)&lt;=0,ISNUMBER(MATCH(T1351,Parameter!$I$27:$I$29,0))),1,0)</f>
        <v>0</v>
      </c>
      <c r="CC1351" s="65" t="n">
        <f aca="false">IF(CR1351&gt;0,INDEX(Parameter!$H$5:$H$7,W1351)/INDEX(Parameter!$E$5:$E$7,W1351),IF(AND(CA1351=0,N(IFERROR(VLOOKUP(BY1351,'Gebinde-Kategorie'!$A$5:$N$45,14,0),0))&gt;0),VLOOKUP(BY1351,'Gebinde-Kategorie'!$A$5:$N$45,14,0)*10+Parameter!$M$23,Parameter!$M$24))</f>
        <v>238</v>
      </c>
      <c r="CD1351" s="60" t="n">
        <f aca="false">IF(AND(Parameter!$B$19="Ja",E1351&lt;&gt;"",ISNUMBER(MATCH(E1351,Parameter!$I$35:$I$52,0))),VLOOKUP(E1351,Parameter!$I$35:$J$52,2,0),IFERROR(VLOOKUP(D1351,Parameter!$A$35:$C$64,2,0),"Nein"))</f>
        <v>1</v>
      </c>
      <c r="CE1351" s="64" t="n">
        <f aca="false">IF(CA1351=0,0,IF(N(S1351)&gt;0,S1351,IFERROR(VLOOKUP(D1351,Parameter!$A$35:$C$64,3,0)+0,0)))</f>
        <v>1</v>
      </c>
      <c r="CF1351" s="60" t="n">
        <f aca="false">IF(AB1351&lt;&gt;"",AB1351,AA1351)</f>
        <v>1</v>
      </c>
      <c r="CG1351" s="60" t="str">
        <f aca="false">IF(OR(CF1351=1,CF1351=2,CF1351=3),IF(Parameter!$E$27="Ja","LIFT",IF(CF1351=1,"L1","L23")),IF(CF1351="Aussen","Aussen","-"))</f>
        <v>LIFT</v>
      </c>
      <c r="CH1351" s="71" t="n">
        <f aca="false">IF(N(AC1351)&gt;0,AC1351,0)</f>
        <v>0</v>
      </c>
      <c r="CI1351" s="65" t="n">
        <f aca="false">IF(ISNUMBER(AF1351),1,0)</f>
        <v>0</v>
      </c>
      <c r="CJ1351" s="62" t="n">
        <f aca="false">N(AF1351)</f>
        <v>0</v>
      </c>
      <c r="CK1351" s="62" t="n">
        <f aca="false">N(M1351)+N(N1351)</f>
        <v>5</v>
      </c>
      <c r="CL1351" s="62" t="n">
        <f aca="false">N(M1351)</f>
        <v>0</v>
      </c>
      <c r="CM1351" s="62" t="n">
        <f aca="false">N(N1351)</f>
        <v>5</v>
      </c>
      <c r="CN1351" s="62" t="n">
        <f aca="false">ROUNDUP(H1351/BZ1351,0)</f>
        <v>9</v>
      </c>
      <c r="CO1351" s="62" t="n">
        <f aca="false">ROUNDUP(CJ1351/BZ1351,0)</f>
        <v>0</v>
      </c>
      <c r="CP1351" s="65" t="n">
        <f aca="false">IF(CA1351=1,0,IFERROR(VLOOKUP(BY1351,'Gebinde-Kategorie'!$A$5:$N$45,5,0)+0,0))</f>
        <v>0</v>
      </c>
      <c r="CQ1351" s="65" t="n">
        <f aca="false">IFERROR(IF(OR(CF1351=1,CF1351=2,CF1351=3),N(INDEX(Parameter!$I$5:$I$7,CF1351)),0),0)</f>
        <v>0</v>
      </c>
      <c r="CR1351" s="64" t="n">
        <f aca="false">IF(AND(Parameter!$B$21="Ja",ISNUMBER(W1351),N(X1351)&gt;0),IFERROR(N(INDEX(Parameter!$L$5:$L$7,W1351))*INDEX(Parameter!$E$5:$E$7,W1351)*X1351/SUMIFS($X$7:$X$1843,$W$7:$W$1843,W1351),0),0)</f>
        <v>0.800376647834275</v>
      </c>
      <c r="CS1351" s="62" t="n">
        <f aca="false">IF(AND(OR(CG1351="L1",CG1351="L23",CG1351="LIFT"),H1351&gt;0),CC1351*IF(CR1351&gt;0,CR1351*MAX(1,H1351/X1351),IF(CA1351=1,CE1351,IF(R1351&gt;0,CN1351/R1351,0))/MAX(0.1,N(Parameter!$M$21))),"")</f>
        <v>190.489642184557</v>
      </c>
      <c r="CT1351" s="64" t="n">
        <f aca="false">IF(CS1351="","",J1351/H1351)</f>
        <v>0</v>
      </c>
      <c r="CU1351" s="62" t="n">
        <f aca="false">IF(CS1351="","",H1351*G1351)</f>
        <v>18077.94</v>
      </c>
      <c r="CV1351" s="63" t="n">
        <f aca="false">IF(CS1351="","",(CL1351+ROUNDUP(CL1351+MAX(CM1351,2*(J1351/MAX(0.1,N(Einkauf!$C$6))-CL1351)),0))/2)</f>
        <v>2.5</v>
      </c>
      <c r="CW1351" s="62" t="n">
        <f aca="false">IF(CS1351="","",MAX(0,H1351-CV1351)*G1351)</f>
        <v>13056.29</v>
      </c>
      <c r="CX1351" s="62" t="n">
        <f aca="false">IF(CS1351="","",CS1351*MAX(0,1-CV1351/H1351))</f>
        <v>137.575852688847</v>
      </c>
      <c r="CY1351" s="64" t="n">
        <f aca="false">IF(CS1351="","",PERCENTRANK($CS$7:$CS$1843,CS1351)+PERCENTRANK($CU$7:$CU$1843,CU1351)+1-PERCENTRANK($CT$7:$CT$1843,CT1351))</f>
        <v>2.961</v>
      </c>
      <c r="CZ1351" s="72" t="n">
        <f aca="false">IF(CS1351="","",CHOOSE(MATCH(Einkauf!$C$5,Parameter!$G$23:$G$27,0),CY1351,CS1351,CU1351,-CT1351,CW1351)+ROW()/1000000000)</f>
        <v>2.961001351</v>
      </c>
    </row>
    <row r="1352" customFormat="false" ht="15" hidden="false" customHeight="false" outlineLevel="0" collapsed="false">
      <c r="A1352" s="60" t="s">
        <v>2428</v>
      </c>
      <c r="B1352" s="60" t="s">
        <v>718</v>
      </c>
      <c r="C1352" s="60" t="s">
        <v>206</v>
      </c>
      <c r="D1352" s="60" t="s">
        <v>226</v>
      </c>
      <c r="E1352" s="60"/>
      <c r="F1352" s="60" t="s">
        <v>260</v>
      </c>
      <c r="G1352" s="61" t="n">
        <v>14.73</v>
      </c>
      <c r="H1352" s="62" t="n">
        <f aca="false">MAX(0,IF(AND(Parameter!$B$21="Ja",ISNUMBER(Y1352)),Y1352,IF(Parameter!$B$20="Jahresanfang 2025 + Export",BS1352+BR1352,BR1352)))</f>
        <v>61</v>
      </c>
      <c r="I1352" s="62" t="n">
        <f aca="false">H1352*G1352</f>
        <v>898.53</v>
      </c>
      <c r="J1352" s="62" t="n">
        <f aca="false">BU1352*Parameter!$B$18</f>
        <v>188</v>
      </c>
      <c r="K1352" s="63" t="n">
        <v>126</v>
      </c>
      <c r="L1352" s="64" t="n">
        <v>1.49206349206349</v>
      </c>
      <c r="M1352" s="62" t="n">
        <v>35</v>
      </c>
      <c r="N1352" s="62" t="n">
        <v>190</v>
      </c>
      <c r="O1352" s="65" t="n">
        <v>63</v>
      </c>
      <c r="P1352" s="60" t="s">
        <v>268</v>
      </c>
      <c r="Q1352" s="62" t="n">
        <v>100</v>
      </c>
      <c r="R1352" s="65" t="n">
        <f aca="false">IF(CA1352=1,0,IFERROR(VLOOKUP(BY1352,'Gebinde-Kategorie'!$A$5:$N$45,13,0)+0,0))</f>
        <v>12</v>
      </c>
      <c r="S1352" s="66"/>
      <c r="T1352" s="67"/>
      <c r="U1352" s="67"/>
      <c r="V1352" s="67"/>
      <c r="W1352" s="60"/>
      <c r="X1352" s="62"/>
      <c r="Y1352" s="62"/>
      <c r="Z1352" s="60" t="n">
        <v>3</v>
      </c>
      <c r="AA1352" s="60" t="n">
        <f aca="false">IF(A1352="","",IF(AND(Parameter!$B$21="Ja",ISNUMBER(W1352)),W1352,IF(AND(Parameter!$E$27="Ja",ISNUMBER(Z1352),CD1352&lt;&gt;"Nein"),Z1352,IF(CD1352="2+3",IF(ISNUMBER(SEARCH("grosser Artikel",BV1352)),2,IFERROR(VLOOKUP(BY1352,Parameter!$F$35:$G$64,2,0),2)),IF(OR(CD1352="Nein",CD1352=""),"-",CD1352)))))</f>
        <v>3</v>
      </c>
      <c r="AB1352" s="67"/>
      <c r="AC1352" s="68"/>
      <c r="AD1352" s="62" t="n">
        <f aca="false">AW1352</f>
        <v>225</v>
      </c>
      <c r="AE1352" s="62" t="n">
        <f aca="false">MAX(AW1352,H1352)</f>
        <v>225</v>
      </c>
      <c r="AF1352" s="69"/>
      <c r="AG1352" s="62" t="n">
        <f aca="false">IF(LEFT(Cockpit!$C$5,1)="A",H1352,IF(Parameter!$E$30="MAX-Bestand",IF(CI1352=1,CJ1352,IF(LEFT(Cockpit!$C$5,1)="B",AM1352,MAX(AM1352,H1352))),ROUNDUP(AK1352,0)))</f>
        <v>61</v>
      </c>
      <c r="AH1352" s="62" t="n">
        <f aca="false">IF(CA1352=1,0,ROUNDUP(AG1352/BZ1352,0))</f>
        <v>1</v>
      </c>
      <c r="AI1352" s="64" t="n">
        <f aca="false">IF(CR1352&gt;0,CR1352*MAX(1,AG1352/X1352),IF(CA1352=1,IF(AG1352&lt;=0,0,CE1352*MAX(1,IF(H1352&gt;0,AG1352/H1352,1))),IF(R1352&gt;0,AH1352/R1352,0))/MAX(0.1,N(Parameter!$M$21)))</f>
        <v>0.0833333333333333</v>
      </c>
      <c r="AJ1352" s="62" t="n">
        <f aca="false">AI1352*CC1352</f>
        <v>28.75</v>
      </c>
      <c r="AK1352" s="63" t="n">
        <f aca="false">IF(LEFT(Cockpit!$C$5,1)="A",H1352,IF(CI1352=1,(CL1352+CJ1352)/2,IF(LEFT(Cockpit!$C$5,1)="B",(CL1352+AM1352)/2,MAX((CL1352+AM1352)/2,H1352))))</f>
        <v>61</v>
      </c>
      <c r="AL1352" s="62" t="n">
        <f aca="false">AK1352*G1352</f>
        <v>898.53</v>
      </c>
      <c r="AM1352" s="62" t="n">
        <f aca="false">ROUNDUP(CL1352+MAX(CM1352,2*(J1352/IF(CH1352&gt;0,CH1352,MAX(0.1,N(Cockpit!$C$6)))-CL1352)),0)</f>
        <v>225</v>
      </c>
      <c r="AN1352" s="63" t="n">
        <f aca="false">IF(AJ1352&gt;0,J1352/AJ1352,-1)</f>
        <v>6.53913043478261</v>
      </c>
      <c r="AO1352" s="63" t="n">
        <f aca="false">IF(AND(OR(CG1352="L1",CG1352="L23",CG1352="LIFT"),AJ1352&gt;0),SUMIFS($AJ$7:$AJ$1843,$CG$7:$CG$1843,CG1352,$AN$7:$AN$1843,"&gt;"&amp;AN1352)+SUMIFS($AJ$7:$AJ$1843,$CG$7:$CG$1843,CG1352,$AN$7:$AN$1843,AN1352,$BX$7:$BX$1843,"&lt;="&amp;BX1352),"")</f>
        <v>3428.85485347985</v>
      </c>
      <c r="AP1352" s="70" t="n">
        <f aca="false">IF(AO1352="",0,MAX(0,MIN(1,(IF(CG1352="L1",Parameter!$H$5,IF(CG1352="L23",Parameter!$H$6+Parameter!$H$7,Parameter!$H$5+Parameter!$H$6+Parameter!$H$7))-(AO1352-AJ1352))/AJ1352)))</f>
        <v>1</v>
      </c>
      <c r="AQ1352" s="62" t="n">
        <f aca="false">IF(LEFT(Cockpit!$I$5,1)="A",H1352,IF(Parameter!$E$30="MAX-Bestand",IF(CI1352=1,CJ1352,IF(LEFT(Cockpit!$I$5,1)="B",AW1352,MAX(AW1352,H1352))),ROUNDUP(AU1352,0)))</f>
        <v>130</v>
      </c>
      <c r="AR1352" s="62" t="n">
        <f aca="false">IF(CA1352=1,0,ROUNDUP(AQ1352/BZ1352,0))</f>
        <v>2</v>
      </c>
      <c r="AS1352" s="64" t="n">
        <f aca="false">IF(CR1352&gt;0,CR1352*MAX(1,AQ1352/X1352),IF(CA1352=1,IF(AQ1352&lt;=0,0,CE1352*MAX(1,IF(H1352&gt;0,AQ1352/H1352,1))),IF(R1352&gt;0,AR1352/R1352,0))/MAX(0.1,N(Parameter!$M$21)))</f>
        <v>0.166666666666667</v>
      </c>
      <c r="AT1352" s="62" t="n">
        <f aca="false">AS1352*CC1352</f>
        <v>57.5</v>
      </c>
      <c r="AU1352" s="63" t="n">
        <f aca="false">IF(LEFT(Cockpit!$I$5,1)="A",H1352,IF(CI1352=1,(CL1352+CJ1352)/2,IF(LEFT(Cockpit!$I$5,1)="B",(CL1352+AW1352)/2,MAX((CL1352+AW1352)/2,H1352))))</f>
        <v>130</v>
      </c>
      <c r="AV1352" s="62" t="n">
        <f aca="false">AU1352*G1352</f>
        <v>1914.9</v>
      </c>
      <c r="AW1352" s="62" t="n">
        <f aca="false">ROUNDUP(CL1352+MAX(CM1352,2*(J1352/IF(CH1352&gt;0,CH1352,MAX(0.1,N(Cockpit!$I$6)))-CL1352)),0)</f>
        <v>225</v>
      </c>
      <c r="AX1352" s="63" t="n">
        <f aca="false">IF(AT1352&gt;0,J1352/AT1352,-1)</f>
        <v>3.2695652173913</v>
      </c>
      <c r="AY1352" s="63" t="n">
        <f aca="false">IF(AND(OR(CG1352="L1",CG1352="L23",CG1352="LIFT"),AT1352&gt;0),SUMIFS($AT$7:$AT$1843,$CG$7:$CG$1843,CG1352,$AX$7:$AX$1843,"&gt;"&amp;AX1352)+SUMIFS($AT$7:$AT$1843,$CG$7:$CG$1843,CG1352,$AX$7:$AX$1843,AX1352,$BX$7:$BX$1843,"&lt;="&amp;BX1352),"")</f>
        <v>5678.41529304029</v>
      </c>
      <c r="AZ1352" s="70" t="n">
        <f aca="false">IF(AY1352="",0,MAX(0,MIN(1,(IF(CG1352="L1",Parameter!$H$5,IF(CG1352="L23",Parameter!$H$6+Parameter!$H$7,Parameter!$H$5+Parameter!$H$6+Parameter!$H$7))-(AY1352-AT1352))/AT1352)))</f>
        <v>1</v>
      </c>
      <c r="BA1352" s="62" t="n">
        <f aca="false">IF(LEFT(Cockpit!$O$5,1)="A",H1352,IF(Parameter!$E$30="MAX-Bestand",IF(CI1352=1,CJ1352,IF(LEFT(Cockpit!$O$5,1)="B",BG1352,MAX(BG1352,H1352))),ROUNDUP(BE1352,0)))</f>
        <v>130</v>
      </c>
      <c r="BB1352" s="62" t="n">
        <f aca="false">IF(CA1352=1,0,ROUNDUP(BA1352/BZ1352,0))</f>
        <v>2</v>
      </c>
      <c r="BC1352" s="64" t="n">
        <f aca="false">IF(CR1352&gt;0,CR1352*MAX(1,BA1352/X1352),IF(CA1352=1,IF(BA1352&lt;=0,0,CE1352*MAX(1,IF(H1352&gt;0,BA1352/H1352,1))),IF(R1352&gt;0,BB1352/R1352,0))/MAX(0.1,N(Parameter!$M$21)))</f>
        <v>0.166666666666667</v>
      </c>
      <c r="BD1352" s="62" t="n">
        <f aca="false">BC1352*CC1352</f>
        <v>57.5</v>
      </c>
      <c r="BE1352" s="63" t="n">
        <f aca="false">IF(LEFT(Cockpit!$O$5,1)="A",H1352,IF(CI1352=1,(CL1352+CJ1352)/2,IF(LEFT(Cockpit!$O$5,1)="B",(CL1352+BG1352)/2,MAX((CL1352+BG1352)/2,H1352))))</f>
        <v>130</v>
      </c>
      <c r="BF1352" s="62" t="n">
        <f aca="false">BE1352*G1352</f>
        <v>1914.9</v>
      </c>
      <c r="BG1352" s="62" t="n">
        <f aca="false">ROUNDUP(CL1352+MAX(CM1352,2*(J1352/IF(CH1352&gt;0,CH1352,MAX(0.1,N(Cockpit!$O$6)))-CL1352)),0)</f>
        <v>225</v>
      </c>
      <c r="BH1352" s="63" t="n">
        <f aca="false">IF(BD1352&gt;0,J1352/BD1352,-1)</f>
        <v>3.2695652173913</v>
      </c>
      <c r="BI1352" s="63" t="n">
        <f aca="false">IF(AND(OR(CG1352="L1",CG1352="L23",CG1352="LIFT"),BD1352&gt;0),SUMIFS($BD$7:$BD$1843,$CG$7:$CG$1843,CG1352,$BH$7:$BH$1843,"&gt;"&amp;BH1352)+SUMIFS($BD$7:$BD$1843,$CG$7:$CG$1843,CG1352,$BH$7:$BH$1843,BH1352,$BX$7:$BX$1843,"&lt;="&amp;BX1352),"")</f>
        <v>4679.04990842491</v>
      </c>
      <c r="BJ1352" s="70" t="n">
        <f aca="false">IF(BI1352="",0,MAX(0,MIN(1,(IF(CG1352="L1",Parameter!$H$5,IF(CG1352="L23",Parameter!$H$6+Parameter!$H$7,Parameter!$H$5+Parameter!$H$6+Parameter!$H$7))-(BI1352-BD1352))/BD1352)))</f>
        <v>1</v>
      </c>
      <c r="BK1352" s="60" t="str">
        <f aca="false">IF(AJ1352&lt;=0,"",IF(CG1352="Aussen","Aussenlager",IF(CG1352="-","Nicht im Lift",IF(AP1352&gt;=1,"Lift",IF(AP1352&lt;=0,"Aussenlager","teilweise")))))</f>
        <v>Lift</v>
      </c>
      <c r="BL1352" s="60" t="str">
        <f aca="false">IF(AT1352&lt;=0,"",IF(CG1352="Aussen","Aussenlager",IF(CG1352="-","Nicht im Lift",IF(AZ1352&gt;=1,"Lift",IF(AZ1352&lt;=0,"Aussenlager","teilweise")))))</f>
        <v>Lift</v>
      </c>
      <c r="BM1352" s="60" t="str">
        <f aca="false">IF(BD1352&lt;=0,"",IF(CG1352="Aussen","Aussenlager",IF(CG1352="-","Nicht im Lift",IF(BJ1352&gt;=1,"Lift",IF(BJ1352&lt;=0,"Aussenlager","teilweise")))))</f>
        <v>Lift</v>
      </c>
      <c r="BN1352" s="60" t="str">
        <f aca="false">IF(A1352="","",IF(BW1352=1,"Neu; ","")&amp;IF(AND(BW1352=0,BR1352&lt;0),"negativer Bestand (Export "&amp;BR1352&amp;"); ","")&amp;IF(J1352&lt;=0,"Kein Verbrauch; ","")&amp;IF(CR1352&gt;0,"Lift "&amp;W1352&amp;" lt. Liftbericht (Fach "&amp;X1352&amp;" Stk); ",IF(CB1352=1,"Gebinde geschätzt ("&amp;T1352&amp;"); ",IF(CA1352=1,"Lose – Tablare geschätzt; ","")))&amp;IF(H1352&gt;AW1352,"Überbestand "&amp;ROUND(H1352-AW1352,0)&amp;" Stk / CHF "&amp;ROUND((H1352-AW1352)*G1352,0)&amp;"; ","")&amp;IF(AND(CI1352=1,CJ1352&lt;CK1352),"MAX &lt; MB+LG; ","")&amp;IF(AND(CQ1352&gt;0,CP1352*10&gt;CQ1352),"zu hoch für Tablar; ","")&amp;IF(AND(BW1352=0,OR(CI1352=1,AB1352&lt;&gt;"",U1352&lt;&gt;"",V1352&lt;&gt;"",AC1352&lt;&gt;"")),"manuell übersteuert; ","")&amp;IF(AND(CA1352=0,R1352=0),"Gebinde unbekannt / Stellmass fehlt; ","")&amp;IF(AND(CA1352=0,N(V1352)&lt;=0,N(Q1352)&lt;=0),"Menge pro Gebinde fehlt (Ist = 1 Gebinde); ","")&amp;BV1352)</f>
        <v>negativer Bestand (Export -139); </v>
      </c>
      <c r="BO1352" s="60"/>
      <c r="BP1352" s="60"/>
      <c r="BQ1352" s="67"/>
      <c r="BR1352" s="62" t="n">
        <v>-139</v>
      </c>
      <c r="BS1352" s="62" t="n">
        <v>200</v>
      </c>
      <c r="BT1352" s="61" t="n">
        <v>-2015.47</v>
      </c>
      <c r="BU1352" s="62" t="n">
        <v>188</v>
      </c>
      <c r="BV1352" s="60"/>
      <c r="BW1352" s="65" t="n">
        <v>0</v>
      </c>
      <c r="BX1352" s="65" t="n">
        <v>1352</v>
      </c>
      <c r="BY1352" s="60" t="str">
        <f aca="false">IF(U1352&lt;&gt;"",UPPER(TRIM(U1352)),IF(CB1352=1,UPPER(VLOOKUP(T1352,Parameter!$I$27:$K$29,2,0)),IF(P1352="","LOSE",P1352)))</f>
        <v>S63</v>
      </c>
      <c r="BZ1352" s="62" t="n">
        <f aca="false">IF(BY1352="LOSE",1,IF(N(V1352)&gt;0,V1352,IF(CB1352=1,MAX(1,N(VLOOKUP(T1352,Parameter!$I$27:$K$29,3,0)),H1352,N(N1352)),IF(N(Q1352)&gt;0,Q1352,MAX(1,H1352)))))</f>
        <v>100</v>
      </c>
      <c r="CA1352" s="65" t="n">
        <f aca="false">IF(BY1352="LOSE",1,0)</f>
        <v>0</v>
      </c>
      <c r="CB1352" s="65" t="n">
        <f aca="false">IF(AND(U1352="",OR(P1352="",P1352="LOSE"),T1352&lt;&gt;"",N(S1352)&lt;=0,ISNUMBER(MATCH(T1352,Parameter!$I$27:$I$29,0))),1,0)</f>
        <v>0</v>
      </c>
      <c r="CC1352" s="65" t="n">
        <f aca="false">IF(CR1352&gt;0,INDEX(Parameter!$H$5:$H$7,W1352)/INDEX(Parameter!$E$5:$E$7,W1352),IF(AND(CA1352=0,N(IFERROR(VLOOKUP(BY1352,'Gebinde-Kategorie'!$A$5:$N$45,14,0),0))&gt;0),VLOOKUP(BY1352,'Gebinde-Kategorie'!$A$5:$N$45,14,0)*10+Parameter!$M$23,Parameter!$M$24))</f>
        <v>345</v>
      </c>
      <c r="CD1352" s="60" t="str">
        <f aca="false">IF(AND(Parameter!$B$19="Ja",E1352&lt;&gt;"",ISNUMBER(MATCH(E1352,Parameter!$I$35:$I$52,0))),VLOOKUP(E1352,Parameter!$I$35:$J$52,2,0),IFERROR(VLOOKUP(D1352,Parameter!$A$35:$C$64,2,0),"Nein"))</f>
        <v>2+3</v>
      </c>
      <c r="CE1352" s="64" t="n">
        <f aca="false">IF(CA1352=0,0,IF(N(S1352)&gt;0,S1352,IFERROR(VLOOKUP(D1352,Parameter!$A$35:$C$64,3,0)+0,0)))</f>
        <v>0</v>
      </c>
      <c r="CF1352" s="60" t="n">
        <f aca="false">IF(AB1352&lt;&gt;"",AB1352,AA1352)</f>
        <v>3</v>
      </c>
      <c r="CG1352" s="60" t="str">
        <f aca="false">IF(OR(CF1352=1,CF1352=2,CF1352=3),IF(Parameter!$E$27="Ja","LIFT",IF(CF1352=1,"L1","L23")),IF(CF1352="Aussen","Aussen","-"))</f>
        <v>LIFT</v>
      </c>
      <c r="CH1352" s="71" t="n">
        <f aca="false">IF(N(AC1352)&gt;0,AC1352,0)</f>
        <v>0</v>
      </c>
      <c r="CI1352" s="65" t="n">
        <f aca="false">IF(ISNUMBER(AF1352),1,0)</f>
        <v>0</v>
      </c>
      <c r="CJ1352" s="62" t="n">
        <f aca="false">N(AF1352)</f>
        <v>0</v>
      </c>
      <c r="CK1352" s="62" t="n">
        <f aca="false">N(M1352)+N(N1352)</f>
        <v>225</v>
      </c>
      <c r="CL1352" s="62" t="n">
        <f aca="false">N(M1352)</f>
        <v>35</v>
      </c>
      <c r="CM1352" s="62" t="n">
        <f aca="false">N(N1352)</f>
        <v>190</v>
      </c>
      <c r="CN1352" s="62" t="n">
        <f aca="false">ROUNDUP(H1352/BZ1352,0)</f>
        <v>1</v>
      </c>
      <c r="CO1352" s="62" t="n">
        <f aca="false">ROUNDUP(CJ1352/BZ1352,0)</f>
        <v>0</v>
      </c>
      <c r="CP1352" s="65" t="n">
        <f aca="false">IF(CA1352=1,0,IFERROR(VLOOKUP(BY1352,'Gebinde-Kategorie'!$A$5:$N$45,5,0)+0,0))</f>
        <v>31</v>
      </c>
      <c r="CQ1352" s="65" t="n">
        <f aca="false">IFERROR(IF(OR(CF1352=1,CF1352=2,CF1352=3),N(INDEX(Parameter!$I$5:$I$7,CF1352)),0),0)</f>
        <v>0</v>
      </c>
      <c r="CR1352" s="64" t="n">
        <f aca="false">IF(AND(Parameter!$B$21="Ja",ISNUMBER(W1352),N(X1352)&gt;0),IFERROR(N(INDEX(Parameter!$L$5:$L$7,W1352))*INDEX(Parameter!$E$5:$E$7,W1352)*X1352/SUMIFS($X$7:$X$1843,$W$7:$W$1843,W1352),0),0)</f>
        <v>0</v>
      </c>
      <c r="CS1352" s="62" t="n">
        <f aca="false">IF(AND(OR(CG1352="L1",CG1352="L23",CG1352="LIFT"),H1352&gt;0),CC1352*IF(CR1352&gt;0,CR1352*MAX(1,H1352/X1352),IF(CA1352=1,CE1352,IF(R1352&gt;0,CN1352/R1352,0))/MAX(0.1,N(Parameter!$M$21))),"")</f>
        <v>28.75</v>
      </c>
      <c r="CT1352" s="64" t="n">
        <f aca="false">IF(CS1352="","",J1352/H1352)</f>
        <v>3.08196721311475</v>
      </c>
      <c r="CU1352" s="62" t="n">
        <f aca="false">IF(CS1352="","",H1352*G1352)</f>
        <v>898.53</v>
      </c>
      <c r="CV1352" s="63" t="n">
        <f aca="false">IF(CS1352="","",(CL1352+ROUNDUP(CL1352+MAX(CM1352,2*(J1352/MAX(0.1,N(Einkauf!$C$6))-CL1352)),0))/2)</f>
        <v>130</v>
      </c>
      <c r="CW1352" s="62" t="n">
        <f aca="false">IF(CS1352="","",MAX(0,H1352-CV1352)*G1352)</f>
        <v>0</v>
      </c>
      <c r="CX1352" s="62" t="n">
        <f aca="false">IF(CS1352="","",CS1352*MAX(0,1-CV1352/H1352))</f>
        <v>0</v>
      </c>
      <c r="CY1352" s="64" t="n">
        <f aca="false">IF(CS1352="","",PERCENTRANK($CS$7:$CS$1843,CS1352)+PERCENTRANK($CU$7:$CU$1843,CU1352)+1-PERCENTRANK($CT$7:$CT$1843,CT1352))</f>
        <v>1.556</v>
      </c>
      <c r="CZ1352" s="72" t="n">
        <f aca="false">IF(CS1352="","",CHOOSE(MATCH(Einkauf!$C$5,Parameter!$G$23:$G$27,0),CY1352,CS1352,CU1352,-CT1352,CW1352)+ROW()/1000000000)</f>
        <v>1.556001352</v>
      </c>
    </row>
    <row r="1353" customFormat="false" ht="15" hidden="false" customHeight="false" outlineLevel="0" collapsed="false">
      <c r="A1353" s="60" t="s">
        <v>2429</v>
      </c>
      <c r="B1353" s="60" t="s">
        <v>759</v>
      </c>
      <c r="C1353" s="60" t="s">
        <v>206</v>
      </c>
      <c r="D1353" s="60" t="s">
        <v>215</v>
      </c>
      <c r="E1353" s="60" t="s">
        <v>208</v>
      </c>
      <c r="F1353" s="60" t="s">
        <v>260</v>
      </c>
      <c r="G1353" s="61" t="n">
        <v>107.1</v>
      </c>
      <c r="H1353" s="62" t="n">
        <f aca="false">MAX(0,IF(AND(Parameter!$B$21="Ja",ISNUMBER(Y1353)),Y1353,IF(Parameter!$B$20="Jahresanfang 2025 + Export",BS1353+BR1353,BR1353)))</f>
        <v>42</v>
      </c>
      <c r="I1353" s="62" t="n">
        <f aca="false">H1353*G1353</f>
        <v>4498.2</v>
      </c>
      <c r="J1353" s="62" t="n">
        <f aca="false">BU1353*Parameter!$B$18</f>
        <v>14</v>
      </c>
      <c r="K1353" s="63" t="n">
        <v>54</v>
      </c>
      <c r="L1353" s="64" t="n">
        <v>0.259259259259259</v>
      </c>
      <c r="M1353" s="62" t="n">
        <v>0</v>
      </c>
      <c r="N1353" s="62" t="n">
        <v>15</v>
      </c>
      <c r="O1353" s="65" t="n">
        <v>21</v>
      </c>
      <c r="P1353" s="60" t="s">
        <v>228</v>
      </c>
      <c r="Q1353" s="62" t="n">
        <v>56</v>
      </c>
      <c r="R1353" s="65" t="n">
        <f aca="false">IF(CA1353=1,0,IFERROR(VLOOKUP(BY1353,'Gebinde-Kategorie'!$A$5:$N$45,13,0)+0,0))</f>
        <v>12</v>
      </c>
      <c r="S1353" s="66"/>
      <c r="T1353" s="67"/>
      <c r="U1353" s="67"/>
      <c r="V1353" s="67"/>
      <c r="W1353" s="60"/>
      <c r="X1353" s="62"/>
      <c r="Y1353" s="62"/>
      <c r="Z1353" s="60" t="n">
        <v>3</v>
      </c>
      <c r="AA1353" s="60" t="n">
        <f aca="false">IF(A1353="","",IF(AND(Parameter!$B$21="Ja",ISNUMBER(W1353)),W1353,IF(AND(Parameter!$E$27="Ja",ISNUMBER(Z1353),CD1353&lt;&gt;"Nein"),Z1353,IF(CD1353="2+3",IF(ISNUMBER(SEARCH("grosser Artikel",BV1353)),2,IFERROR(VLOOKUP(BY1353,Parameter!$F$35:$G$64,2,0),2)),IF(OR(CD1353="Nein",CD1353=""),"-",CD1353)))))</f>
        <v>3</v>
      </c>
      <c r="AB1353" s="67"/>
      <c r="AC1353" s="68"/>
      <c r="AD1353" s="62" t="n">
        <f aca="false">AW1353</f>
        <v>15</v>
      </c>
      <c r="AE1353" s="62" t="n">
        <f aca="false">MAX(AW1353,H1353)</f>
        <v>42</v>
      </c>
      <c r="AF1353" s="69"/>
      <c r="AG1353" s="62" t="n">
        <f aca="false">IF(LEFT(Cockpit!$C$5,1)="A",H1353,IF(Parameter!$E$30="MAX-Bestand",IF(CI1353=1,CJ1353,IF(LEFT(Cockpit!$C$5,1)="B",AM1353,MAX(AM1353,H1353))),ROUNDUP(AK1353,0)))</f>
        <v>42</v>
      </c>
      <c r="AH1353" s="62" t="n">
        <f aca="false">IF(CA1353=1,0,ROUNDUP(AG1353/BZ1353,0))</f>
        <v>1</v>
      </c>
      <c r="AI1353" s="64" t="n">
        <f aca="false">IF(CR1353&gt;0,CR1353*MAX(1,AG1353/X1353),IF(CA1353=1,IF(AG1353&lt;=0,0,CE1353*MAX(1,IF(H1353&gt;0,AG1353/H1353,1))),IF(R1353&gt;0,AH1353/R1353,0))/MAX(0.1,N(Parameter!$M$21)))</f>
        <v>0.0833333333333333</v>
      </c>
      <c r="AJ1353" s="62" t="n">
        <f aca="false">AI1353*CC1353</f>
        <v>12.0833333333333</v>
      </c>
      <c r="AK1353" s="63" t="n">
        <f aca="false">IF(LEFT(Cockpit!$C$5,1)="A",H1353,IF(CI1353=1,(CL1353+CJ1353)/2,IF(LEFT(Cockpit!$C$5,1)="B",(CL1353+AM1353)/2,MAX((CL1353+AM1353)/2,H1353))))</f>
        <v>42</v>
      </c>
      <c r="AL1353" s="62" t="n">
        <f aca="false">AK1353*G1353</f>
        <v>4498.2</v>
      </c>
      <c r="AM1353" s="62" t="n">
        <f aca="false">ROUNDUP(CL1353+MAX(CM1353,2*(J1353/IF(CH1353&gt;0,CH1353,MAX(0.1,N(Cockpit!$C$6)))-CL1353)),0)</f>
        <v>15</v>
      </c>
      <c r="AN1353" s="63" t="n">
        <f aca="false">IF(AJ1353&gt;0,J1353/AJ1353,-1)</f>
        <v>1.15862068965517</v>
      </c>
      <c r="AO1353" s="63" t="n">
        <f aca="false">IF(AND(OR(CG1353="L1",CG1353="L23",CG1353="LIFT"),AJ1353&gt;0),SUMIFS($AJ$7:$AJ$1843,$CG$7:$CG$1843,CG1353,$AN$7:$AN$1843,"&gt;"&amp;AN1353)+SUMIFS($AJ$7:$AJ$1843,$CG$7:$CG$1843,CG1353,$AN$7:$AN$1843,AN1353,$BX$7:$BX$1843,"&lt;="&amp;BX1353),"")</f>
        <v>6715.60302197802</v>
      </c>
      <c r="AP1353" s="70" t="n">
        <f aca="false">IF(AO1353="",0,MAX(0,MIN(1,(IF(CG1353="L1",Parameter!$H$5,IF(CG1353="L23",Parameter!$H$6+Parameter!$H$7,Parameter!$H$5+Parameter!$H$6+Parameter!$H$7))-(AO1353-AJ1353))/AJ1353)))</f>
        <v>1</v>
      </c>
      <c r="AQ1353" s="62" t="n">
        <f aca="false">IF(LEFT(Cockpit!$I$5,1)="A",H1353,IF(Parameter!$E$30="MAX-Bestand",IF(CI1353=1,CJ1353,IF(LEFT(Cockpit!$I$5,1)="B",AW1353,MAX(AW1353,H1353))),ROUNDUP(AU1353,0)))</f>
        <v>42</v>
      </c>
      <c r="AR1353" s="62" t="n">
        <f aca="false">IF(CA1353=1,0,ROUNDUP(AQ1353/BZ1353,0))</f>
        <v>1</v>
      </c>
      <c r="AS1353" s="64" t="n">
        <f aca="false">IF(CR1353&gt;0,CR1353*MAX(1,AQ1353/X1353),IF(CA1353=1,IF(AQ1353&lt;=0,0,CE1353*MAX(1,IF(H1353&gt;0,AQ1353/H1353,1))),IF(R1353&gt;0,AR1353/R1353,0))/MAX(0.1,N(Parameter!$M$21)))</f>
        <v>0.0833333333333333</v>
      </c>
      <c r="AT1353" s="62" t="n">
        <f aca="false">AS1353*CC1353</f>
        <v>12.0833333333333</v>
      </c>
      <c r="AU1353" s="63" t="n">
        <f aca="false">IF(LEFT(Cockpit!$I$5,1)="A",H1353,IF(CI1353=1,(CL1353+CJ1353)/2,IF(LEFT(Cockpit!$I$5,1)="B",(CL1353+AW1353)/2,MAX((CL1353+AW1353)/2,H1353))))</f>
        <v>42</v>
      </c>
      <c r="AV1353" s="62" t="n">
        <f aca="false">AU1353*G1353</f>
        <v>4498.2</v>
      </c>
      <c r="AW1353" s="62" t="n">
        <f aca="false">ROUNDUP(CL1353+MAX(CM1353,2*(J1353/IF(CH1353&gt;0,CH1353,MAX(0.1,N(Cockpit!$I$6)))-CL1353)),0)</f>
        <v>15</v>
      </c>
      <c r="AX1353" s="63" t="n">
        <f aca="false">IF(AT1353&gt;0,J1353/AT1353,-1)</f>
        <v>1.15862068965517</v>
      </c>
      <c r="AY1353" s="63" t="n">
        <f aca="false">IF(AND(OR(CG1353="L1",CG1353="L23",CG1353="LIFT"),AT1353&gt;0),SUMIFS($AT$7:$AT$1843,$CG$7:$CG$1843,CG1353,$AX$7:$AX$1843,"&gt;"&amp;AX1353)+SUMIFS($AT$7:$AT$1843,$CG$7:$CG$1843,CG1353,$AX$7:$AX$1843,AX1353,$BX$7:$BX$1843,"&lt;="&amp;BX1353),"")</f>
        <v>8173.18406593407</v>
      </c>
      <c r="AZ1353" s="70" t="n">
        <f aca="false">IF(AY1353="",0,MAX(0,MIN(1,(IF(CG1353="L1",Parameter!$H$5,IF(CG1353="L23",Parameter!$H$6+Parameter!$H$7,Parameter!$H$5+Parameter!$H$6+Parameter!$H$7))-(AY1353-AT1353))/AT1353)))</f>
        <v>1</v>
      </c>
      <c r="BA1353" s="62" t="n">
        <f aca="false">IF(LEFT(Cockpit!$O$5,1)="A",H1353,IF(Parameter!$E$30="MAX-Bestand",IF(CI1353=1,CJ1353,IF(LEFT(Cockpit!$O$5,1)="B",BG1353,MAX(BG1353,H1353))),ROUNDUP(BE1353,0)))</f>
        <v>8</v>
      </c>
      <c r="BB1353" s="62" t="n">
        <f aca="false">IF(CA1353=1,0,ROUNDUP(BA1353/BZ1353,0))</f>
        <v>1</v>
      </c>
      <c r="BC1353" s="64" t="n">
        <f aca="false">IF(CR1353&gt;0,CR1353*MAX(1,BA1353/X1353),IF(CA1353=1,IF(BA1353&lt;=0,0,CE1353*MAX(1,IF(H1353&gt;0,BA1353/H1353,1))),IF(R1353&gt;0,BB1353/R1353,0))/MAX(0.1,N(Parameter!$M$21)))</f>
        <v>0.0833333333333333</v>
      </c>
      <c r="BD1353" s="62" t="n">
        <f aca="false">BC1353*CC1353</f>
        <v>12.0833333333333</v>
      </c>
      <c r="BE1353" s="63" t="n">
        <f aca="false">IF(LEFT(Cockpit!$O$5,1)="A",H1353,IF(CI1353=1,(CL1353+CJ1353)/2,IF(LEFT(Cockpit!$O$5,1)="B",(CL1353+BG1353)/2,MAX((CL1353+BG1353)/2,H1353))))</f>
        <v>7.5</v>
      </c>
      <c r="BF1353" s="62" t="n">
        <f aca="false">BE1353*G1353</f>
        <v>803.25</v>
      </c>
      <c r="BG1353" s="62" t="n">
        <f aca="false">ROUNDUP(CL1353+MAX(CM1353,2*(J1353/IF(CH1353&gt;0,CH1353,MAX(0.1,N(Cockpit!$O$6)))-CL1353)),0)</f>
        <v>15</v>
      </c>
      <c r="BH1353" s="63" t="n">
        <f aca="false">IF(BD1353&gt;0,J1353/BD1353,-1)</f>
        <v>1.15862068965517</v>
      </c>
      <c r="BI1353" s="63" t="n">
        <f aca="false">IF(AND(OR(CG1353="L1",CG1353="L23",CG1353="LIFT"),BD1353&gt;0),SUMIFS($BD$7:$BD$1843,$CG$7:$CG$1843,CG1353,$BH$7:$BH$1843,"&gt;"&amp;BH1353)+SUMIFS($BD$7:$BD$1843,$CG$7:$CG$1843,CG1353,$BH$7:$BH$1843,BH1353,$BX$7:$BX$1843,"&lt;="&amp;BX1353),"")</f>
        <v>7224.47023809524</v>
      </c>
      <c r="BJ1353" s="70" t="n">
        <f aca="false">IF(BI1353="",0,MAX(0,MIN(1,(IF(CG1353="L1",Parameter!$H$5,IF(CG1353="L23",Parameter!$H$6+Parameter!$H$7,Parameter!$H$5+Parameter!$H$6+Parameter!$H$7))-(BI1353-BD1353))/BD1353)))</f>
        <v>1</v>
      </c>
      <c r="BK1353" s="60" t="str">
        <f aca="false">IF(AJ1353&lt;=0,"",IF(CG1353="Aussen","Aussenlager",IF(CG1353="-","Nicht im Lift",IF(AP1353&gt;=1,"Lift",IF(AP1353&lt;=0,"Aussenlager","teilweise")))))</f>
        <v>Lift</v>
      </c>
      <c r="BL1353" s="60" t="str">
        <f aca="false">IF(AT1353&lt;=0,"",IF(CG1353="Aussen","Aussenlager",IF(CG1353="-","Nicht im Lift",IF(AZ1353&gt;=1,"Lift",IF(AZ1353&lt;=0,"Aussenlager","teilweise")))))</f>
        <v>Lift</v>
      </c>
      <c r="BM1353" s="60" t="str">
        <f aca="false">IF(BD1353&lt;=0,"",IF(CG1353="Aussen","Aussenlager",IF(CG1353="-","Nicht im Lift",IF(BJ1353&gt;=1,"Lift",IF(BJ1353&lt;=0,"Aussenlager","teilweise")))))</f>
        <v>Lift</v>
      </c>
      <c r="BN1353" s="60" t="str">
        <f aca="false">IF(A1353="","",IF(BW1353=1,"Neu; ","")&amp;IF(AND(BW1353=0,BR1353&lt;0),"negativer Bestand (Export "&amp;BR1353&amp;"); ","")&amp;IF(J1353&lt;=0,"Kein Verbrauch; ","")&amp;IF(CR1353&gt;0,"Lift "&amp;W1353&amp;" lt. Liftbericht (Fach "&amp;X1353&amp;" Stk); ",IF(CB1353=1,"Gebinde geschätzt ("&amp;T1353&amp;"); ",IF(CA1353=1,"Lose – Tablare geschätzt; ","")))&amp;IF(H1353&gt;AW1353,"Überbestand "&amp;ROUND(H1353-AW1353,0)&amp;" Stk / CHF "&amp;ROUND((H1353-AW1353)*G1353,0)&amp;"; ","")&amp;IF(AND(CI1353=1,CJ1353&lt;CK1353),"MAX &lt; MB+LG; ","")&amp;IF(AND(CQ1353&gt;0,CP1353*10&gt;CQ1353),"zu hoch für Tablar; ","")&amp;IF(AND(BW1353=0,OR(CI1353=1,AB1353&lt;&gt;"",U1353&lt;&gt;"",V1353&lt;&gt;"",AC1353&lt;&gt;"")),"manuell übersteuert; ","")&amp;IF(AND(CA1353=0,R1353=0),"Gebinde unbekannt / Stellmass fehlt; ","")&amp;IF(AND(CA1353=0,N(V1353)&lt;=0,N(Q1353)&lt;=0),"Menge pro Gebinde fehlt (Ist = 1 Gebinde); ","")&amp;BV1353)</f>
        <v>negativer Bestand (Export -19); Überbestand 27 Stk / CHF 2892; Neu</v>
      </c>
      <c r="BO1353" s="60"/>
      <c r="BP1353" s="60"/>
      <c r="BQ1353" s="67"/>
      <c r="BR1353" s="62" t="n">
        <v>-19</v>
      </c>
      <c r="BS1353" s="62" t="n">
        <v>61</v>
      </c>
      <c r="BT1353" s="61" t="n">
        <v>-2034.9</v>
      </c>
      <c r="BU1353" s="62" t="n">
        <v>14</v>
      </c>
      <c r="BV1353" s="60" t="s">
        <v>668</v>
      </c>
      <c r="BW1353" s="65" t="n">
        <v>0</v>
      </c>
      <c r="BX1353" s="65" t="n">
        <v>1353</v>
      </c>
      <c r="BY1353" s="60" t="str">
        <f aca="false">IF(U1353&lt;&gt;"",UPPER(TRIM(U1353)),IF(CB1353=1,UPPER(VLOOKUP(T1353,Parameter!$I$27:$K$29,2,0)),IF(P1353="","LOSE",P1353)))</f>
        <v>S61</v>
      </c>
      <c r="BZ1353" s="62" t="n">
        <f aca="false">IF(BY1353="LOSE",1,IF(N(V1353)&gt;0,V1353,IF(CB1353=1,MAX(1,N(VLOOKUP(T1353,Parameter!$I$27:$K$29,3,0)),H1353,N(N1353)),IF(N(Q1353)&gt;0,Q1353,MAX(1,H1353)))))</f>
        <v>56</v>
      </c>
      <c r="CA1353" s="65" t="n">
        <f aca="false">IF(BY1353="LOSE",1,0)</f>
        <v>0</v>
      </c>
      <c r="CB1353" s="65" t="n">
        <f aca="false">IF(AND(U1353="",OR(P1353="",P1353="LOSE"),T1353&lt;&gt;"",N(S1353)&lt;=0,ISNUMBER(MATCH(T1353,Parameter!$I$27:$I$29,0))),1,0)</f>
        <v>0</v>
      </c>
      <c r="CC1353" s="65" t="n">
        <f aca="false">IF(CR1353&gt;0,INDEX(Parameter!$H$5:$H$7,W1353)/INDEX(Parameter!$E$5:$E$7,W1353),IF(AND(CA1353=0,N(IFERROR(VLOOKUP(BY1353,'Gebinde-Kategorie'!$A$5:$N$45,14,0),0))&gt;0),VLOOKUP(BY1353,'Gebinde-Kategorie'!$A$5:$N$45,14,0)*10+Parameter!$M$23,Parameter!$M$24))</f>
        <v>145</v>
      </c>
      <c r="CD1353" s="60" t="n">
        <f aca="false">IF(AND(Parameter!$B$19="Ja",E1353&lt;&gt;"",ISNUMBER(MATCH(E1353,Parameter!$I$35:$I$52,0))),VLOOKUP(E1353,Parameter!$I$35:$J$52,2,0),IFERROR(VLOOKUP(D1353,Parameter!$A$35:$C$64,2,0),"Nein"))</f>
        <v>1</v>
      </c>
      <c r="CE1353" s="64" t="n">
        <f aca="false">IF(CA1353=0,0,IF(N(S1353)&gt;0,S1353,IFERROR(VLOOKUP(D1353,Parameter!$A$35:$C$64,3,0)+0,0)))</f>
        <v>0</v>
      </c>
      <c r="CF1353" s="60" t="n">
        <f aca="false">IF(AB1353&lt;&gt;"",AB1353,AA1353)</f>
        <v>3</v>
      </c>
      <c r="CG1353" s="60" t="str">
        <f aca="false">IF(OR(CF1353=1,CF1353=2,CF1353=3),IF(Parameter!$E$27="Ja","LIFT",IF(CF1353=1,"L1","L23")),IF(CF1353="Aussen","Aussen","-"))</f>
        <v>LIFT</v>
      </c>
      <c r="CH1353" s="71" t="n">
        <f aca="false">IF(N(AC1353)&gt;0,AC1353,0)</f>
        <v>0</v>
      </c>
      <c r="CI1353" s="65" t="n">
        <f aca="false">IF(ISNUMBER(AF1353),1,0)</f>
        <v>0</v>
      </c>
      <c r="CJ1353" s="62" t="n">
        <f aca="false">N(AF1353)</f>
        <v>0</v>
      </c>
      <c r="CK1353" s="62" t="n">
        <f aca="false">N(M1353)+N(N1353)</f>
        <v>15</v>
      </c>
      <c r="CL1353" s="62" t="n">
        <f aca="false">N(M1353)</f>
        <v>0</v>
      </c>
      <c r="CM1353" s="62" t="n">
        <f aca="false">N(N1353)</f>
        <v>15</v>
      </c>
      <c r="CN1353" s="62" t="n">
        <f aca="false">ROUNDUP(H1353/BZ1353,0)</f>
        <v>1</v>
      </c>
      <c r="CO1353" s="62" t="n">
        <f aca="false">ROUNDUP(CJ1353/BZ1353,0)</f>
        <v>0</v>
      </c>
      <c r="CP1353" s="65" t="n">
        <f aca="false">IF(CA1353=1,0,IFERROR(VLOOKUP(BY1353,'Gebinde-Kategorie'!$A$5:$N$45,5,0)+0,0))</f>
        <v>11</v>
      </c>
      <c r="CQ1353" s="65" t="n">
        <f aca="false">IFERROR(IF(OR(CF1353=1,CF1353=2,CF1353=3),N(INDEX(Parameter!$I$5:$I$7,CF1353)),0),0)</f>
        <v>0</v>
      </c>
      <c r="CR1353" s="64" t="n">
        <f aca="false">IF(AND(Parameter!$B$21="Ja",ISNUMBER(W1353),N(X1353)&gt;0),IFERROR(N(INDEX(Parameter!$L$5:$L$7,W1353))*INDEX(Parameter!$E$5:$E$7,W1353)*X1353/SUMIFS($X$7:$X$1843,$W$7:$W$1843,W1353),0),0)</f>
        <v>0</v>
      </c>
      <c r="CS1353" s="62" t="n">
        <f aca="false">IF(AND(OR(CG1353="L1",CG1353="L23",CG1353="LIFT"),H1353&gt;0),CC1353*IF(CR1353&gt;0,CR1353*MAX(1,H1353/X1353),IF(CA1353=1,CE1353,IF(R1353&gt;0,CN1353/R1353,0))/MAX(0.1,N(Parameter!$M$21))),"")</f>
        <v>12.0833333333333</v>
      </c>
      <c r="CT1353" s="64" t="n">
        <f aca="false">IF(CS1353="","",J1353/H1353)</f>
        <v>0.333333333333333</v>
      </c>
      <c r="CU1353" s="62" t="n">
        <f aca="false">IF(CS1353="","",H1353*G1353)</f>
        <v>4498.2</v>
      </c>
      <c r="CV1353" s="63" t="n">
        <f aca="false">IF(CS1353="","",(CL1353+ROUNDUP(CL1353+MAX(CM1353,2*(J1353/MAX(0.1,N(Einkauf!$C$6))-CL1353)),0))/2)</f>
        <v>7.5</v>
      </c>
      <c r="CW1353" s="62" t="n">
        <f aca="false">IF(CS1353="","",MAX(0,H1353-CV1353)*G1353)</f>
        <v>3694.95</v>
      </c>
      <c r="CX1353" s="62" t="n">
        <f aca="false">IF(CS1353="","",CS1353*MAX(0,1-CV1353/H1353))</f>
        <v>9.92559523809524</v>
      </c>
      <c r="CY1353" s="64" t="n">
        <f aca="false">IF(CS1353="","",PERCENTRANK($CS$7:$CS$1843,CS1353)+PERCENTRANK($CU$7:$CU$1843,CU1353)+1-PERCENTRANK($CT$7:$CT$1843,CT1353))</f>
        <v>2.046</v>
      </c>
      <c r="CZ1353" s="72" t="n">
        <f aca="false">IF(CS1353="","",CHOOSE(MATCH(Einkauf!$C$5,Parameter!$G$23:$G$27,0),CY1353,CS1353,CU1353,-CT1353,CW1353)+ROW()/1000000000)</f>
        <v>2.046001353</v>
      </c>
    </row>
    <row r="1354" customFormat="false" ht="15" hidden="false" customHeight="false" outlineLevel="0" collapsed="false">
      <c r="A1354" s="60" t="s">
        <v>2430</v>
      </c>
      <c r="B1354" s="60" t="s">
        <v>2431</v>
      </c>
      <c r="C1354" s="60" t="s">
        <v>206</v>
      </c>
      <c r="D1354" s="60" t="s">
        <v>215</v>
      </c>
      <c r="E1354" s="60" t="s">
        <v>227</v>
      </c>
      <c r="F1354" s="60" t="s">
        <v>260</v>
      </c>
      <c r="G1354" s="61" t="n">
        <v>104.19</v>
      </c>
      <c r="H1354" s="62" t="n">
        <f aca="false">MAX(0,IF(AND(Parameter!$B$21="Ja",ISNUMBER(Y1354)),Y1354,IF(Parameter!$B$20="Jahresanfang 2025 + Export",BS1354+BR1354,BR1354)))</f>
        <v>147</v>
      </c>
      <c r="I1354" s="62" t="n">
        <f aca="false">H1354*G1354</f>
        <v>15315.93</v>
      </c>
      <c r="J1354" s="62" t="n">
        <f aca="false">BU1354*Parameter!$B$18</f>
        <v>458</v>
      </c>
      <c r="K1354" s="63" t="n">
        <v>140.5</v>
      </c>
      <c r="L1354" s="64" t="n">
        <v>3.25978647686833</v>
      </c>
      <c r="M1354" s="62" t="n">
        <v>26</v>
      </c>
      <c r="N1354" s="62" t="n">
        <v>110</v>
      </c>
      <c r="O1354" s="65" t="n">
        <v>21</v>
      </c>
      <c r="P1354" s="60" t="s">
        <v>216</v>
      </c>
      <c r="Q1354" s="62" t="n">
        <v>56</v>
      </c>
      <c r="R1354" s="65" t="n">
        <f aca="false">IF(CA1354=1,0,IFERROR(VLOOKUP(BY1354,'Gebinde-Kategorie'!$A$5:$N$45,13,0)+0,0))</f>
        <v>6</v>
      </c>
      <c r="S1354" s="66"/>
      <c r="T1354" s="67"/>
      <c r="U1354" s="67"/>
      <c r="V1354" s="67"/>
      <c r="W1354" s="60"/>
      <c r="X1354" s="62"/>
      <c r="Y1354" s="62"/>
      <c r="Z1354" s="60" t="n">
        <v>2</v>
      </c>
      <c r="AA1354" s="60" t="n">
        <f aca="false">IF(A1354="","",IF(AND(Parameter!$B$21="Ja",ISNUMBER(W1354)),W1354,IF(AND(Parameter!$E$27="Ja",ISNUMBER(Z1354),CD1354&lt;&gt;"Nein"),Z1354,IF(CD1354="2+3",IF(ISNUMBER(SEARCH("grosser Artikel",BV1354)),2,IFERROR(VLOOKUP(BY1354,Parameter!$F$35:$G$64,2,0),2)),IF(OR(CD1354="Nein",CD1354=""),"-",CD1354)))))</f>
        <v>2</v>
      </c>
      <c r="AB1354" s="67"/>
      <c r="AC1354" s="68"/>
      <c r="AD1354" s="62" t="n">
        <f aca="false">AW1354</f>
        <v>280</v>
      </c>
      <c r="AE1354" s="62" t="n">
        <f aca="false">MAX(AW1354,H1354)</f>
        <v>280</v>
      </c>
      <c r="AF1354" s="69"/>
      <c r="AG1354" s="62" t="n">
        <f aca="false">IF(LEFT(Cockpit!$C$5,1)="A",H1354,IF(Parameter!$E$30="MAX-Bestand",IF(CI1354=1,CJ1354,IF(LEFT(Cockpit!$C$5,1)="B",AM1354,MAX(AM1354,H1354))),ROUNDUP(AK1354,0)))</f>
        <v>147</v>
      </c>
      <c r="AH1354" s="62" t="n">
        <f aca="false">IF(CA1354=1,0,ROUNDUP(AG1354/BZ1354,0))</f>
        <v>3</v>
      </c>
      <c r="AI1354" s="64" t="n">
        <f aca="false">IF(CR1354&gt;0,CR1354*MAX(1,AG1354/X1354),IF(CA1354=1,IF(AG1354&lt;=0,0,CE1354*MAX(1,IF(H1354&gt;0,AG1354/H1354,1))),IF(R1354&gt;0,AH1354/R1354,0))/MAX(0.1,N(Parameter!$M$21)))</f>
        <v>0.5</v>
      </c>
      <c r="AJ1354" s="62" t="n">
        <f aca="false">AI1354*CC1354</f>
        <v>117.5</v>
      </c>
      <c r="AK1354" s="63" t="n">
        <f aca="false">IF(LEFT(Cockpit!$C$5,1)="A",H1354,IF(CI1354=1,(CL1354+CJ1354)/2,IF(LEFT(Cockpit!$C$5,1)="B",(CL1354+AM1354)/2,MAX((CL1354+AM1354)/2,H1354))))</f>
        <v>147</v>
      </c>
      <c r="AL1354" s="62" t="n">
        <f aca="false">AK1354*G1354</f>
        <v>15315.93</v>
      </c>
      <c r="AM1354" s="62" t="n">
        <f aca="false">ROUNDUP(CL1354+MAX(CM1354,2*(J1354/IF(CH1354&gt;0,CH1354,MAX(0.1,N(Cockpit!$C$6)))-CL1354)),0)</f>
        <v>280</v>
      </c>
      <c r="AN1354" s="63" t="n">
        <f aca="false">IF(AJ1354&gt;0,J1354/AJ1354,-1)</f>
        <v>3.89787234042553</v>
      </c>
      <c r="AO1354" s="63" t="n">
        <f aca="false">IF(AND(OR(CG1354="L1",CG1354="L23",CG1354="LIFT"),AJ1354&gt;0),SUMIFS($AJ$7:$AJ$1843,$CG$7:$CG$1843,CG1354,$AN$7:$AN$1843,"&gt;"&amp;AN1354)+SUMIFS($AJ$7:$AJ$1843,$CG$7:$CG$1843,CG1354,$AN$7:$AN$1843,AN1354,$BX$7:$BX$1843,"&lt;="&amp;BX1354),"")</f>
        <v>4561.55769230769</v>
      </c>
      <c r="AP1354" s="70" t="n">
        <f aca="false">IF(AO1354="",0,MAX(0,MIN(1,(IF(CG1354="L1",Parameter!$H$5,IF(CG1354="L23",Parameter!$H$6+Parameter!$H$7,Parameter!$H$5+Parameter!$H$6+Parameter!$H$7))-(AO1354-AJ1354))/AJ1354)))</f>
        <v>1</v>
      </c>
      <c r="AQ1354" s="62" t="n">
        <f aca="false">IF(LEFT(Cockpit!$I$5,1)="A",H1354,IF(Parameter!$E$30="MAX-Bestand",IF(CI1354=1,CJ1354,IF(LEFT(Cockpit!$I$5,1)="B",AW1354,MAX(AW1354,H1354))),ROUNDUP(AU1354,0)))</f>
        <v>153</v>
      </c>
      <c r="AR1354" s="62" t="n">
        <f aca="false">IF(CA1354=1,0,ROUNDUP(AQ1354/BZ1354,0))</f>
        <v>3</v>
      </c>
      <c r="AS1354" s="64" t="n">
        <f aca="false">IF(CR1354&gt;0,CR1354*MAX(1,AQ1354/X1354),IF(CA1354=1,IF(AQ1354&lt;=0,0,CE1354*MAX(1,IF(H1354&gt;0,AQ1354/H1354,1))),IF(R1354&gt;0,AR1354/R1354,0))/MAX(0.1,N(Parameter!$M$21)))</f>
        <v>0.5</v>
      </c>
      <c r="AT1354" s="62" t="n">
        <f aca="false">AS1354*CC1354</f>
        <v>117.5</v>
      </c>
      <c r="AU1354" s="63" t="n">
        <f aca="false">IF(LEFT(Cockpit!$I$5,1)="A",H1354,IF(CI1354=1,(CL1354+CJ1354)/2,IF(LEFT(Cockpit!$I$5,1)="B",(CL1354+AW1354)/2,MAX((CL1354+AW1354)/2,H1354))))</f>
        <v>153</v>
      </c>
      <c r="AV1354" s="62" t="n">
        <f aca="false">AU1354*G1354</f>
        <v>15941.07</v>
      </c>
      <c r="AW1354" s="62" t="n">
        <f aca="false">ROUNDUP(CL1354+MAX(CM1354,2*(J1354/IF(CH1354&gt;0,CH1354,MAX(0.1,N(Cockpit!$I$6)))-CL1354)),0)</f>
        <v>280</v>
      </c>
      <c r="AX1354" s="63" t="n">
        <f aca="false">IF(AT1354&gt;0,J1354/AT1354,-1)</f>
        <v>3.89787234042553</v>
      </c>
      <c r="AY1354" s="63" t="n">
        <f aca="false">IF(AND(OR(CG1354="L1",CG1354="L23",CG1354="LIFT"),AT1354&gt;0),SUMIFS($AT$7:$AT$1843,$CG$7:$CG$1843,CG1354,$AX$7:$AX$1843,"&gt;"&amp;AX1354)+SUMIFS($AT$7:$AT$1843,$CG$7:$CG$1843,CG1354,$AX$7:$AX$1843,AX1354,$BX$7:$BX$1843,"&lt;="&amp;BX1354),"")</f>
        <v>5162.09340659341</v>
      </c>
      <c r="AZ1354" s="70" t="n">
        <f aca="false">IF(AY1354="",0,MAX(0,MIN(1,(IF(CG1354="L1",Parameter!$H$5,IF(CG1354="L23",Parameter!$H$6+Parameter!$H$7,Parameter!$H$5+Parameter!$H$6+Parameter!$H$7))-(AY1354-AT1354))/AT1354)))</f>
        <v>1</v>
      </c>
      <c r="BA1354" s="62" t="n">
        <f aca="false">IF(LEFT(Cockpit!$O$5,1)="A",H1354,IF(Parameter!$E$30="MAX-Bestand",IF(CI1354=1,CJ1354,IF(LEFT(Cockpit!$O$5,1)="B",BG1354,MAX(BG1354,H1354))),ROUNDUP(BE1354,0)))</f>
        <v>115</v>
      </c>
      <c r="BB1354" s="62" t="n">
        <f aca="false">IF(CA1354=1,0,ROUNDUP(BA1354/BZ1354,0))</f>
        <v>3</v>
      </c>
      <c r="BC1354" s="64" t="n">
        <f aca="false">IF(CR1354&gt;0,CR1354*MAX(1,BA1354/X1354),IF(CA1354=1,IF(BA1354&lt;=0,0,CE1354*MAX(1,IF(H1354&gt;0,BA1354/H1354,1))),IF(R1354&gt;0,BB1354/R1354,0))/MAX(0.1,N(Parameter!$M$21)))</f>
        <v>0.5</v>
      </c>
      <c r="BD1354" s="62" t="n">
        <f aca="false">BC1354*CC1354</f>
        <v>117.5</v>
      </c>
      <c r="BE1354" s="63" t="n">
        <f aca="false">IF(LEFT(Cockpit!$O$5,1)="A",H1354,IF(CI1354=1,(CL1354+CJ1354)/2,IF(LEFT(Cockpit!$O$5,1)="B",(CL1354+BG1354)/2,MAX((CL1354+BG1354)/2,H1354))))</f>
        <v>114.5</v>
      </c>
      <c r="BF1354" s="62" t="n">
        <f aca="false">BE1354*G1354</f>
        <v>11929.755</v>
      </c>
      <c r="BG1354" s="62" t="n">
        <f aca="false">ROUNDUP(CL1354+MAX(CM1354,2*(J1354/IF(CH1354&gt;0,CH1354,MAX(0.1,N(Cockpit!$O$6)))-CL1354)),0)</f>
        <v>203</v>
      </c>
      <c r="BH1354" s="63" t="n">
        <f aca="false">IF(BD1354&gt;0,J1354/BD1354,-1)</f>
        <v>3.89787234042553</v>
      </c>
      <c r="BI1354" s="63" t="n">
        <f aca="false">IF(AND(OR(CG1354="L1",CG1354="L23",CG1354="LIFT"),BD1354&gt;0),SUMIFS($BD$7:$BD$1843,$CG$7:$CG$1843,CG1354,$BH$7:$BH$1843,"&gt;"&amp;BH1354)+SUMIFS($BD$7:$BD$1843,$CG$7:$CG$1843,CG1354,$BH$7:$BH$1843,BH1354,$BX$7:$BX$1843,"&lt;="&amp;BX1354),"")</f>
        <v>4264.76007326007</v>
      </c>
      <c r="BJ1354" s="70" t="n">
        <f aca="false">IF(BI1354="",0,MAX(0,MIN(1,(IF(CG1354="L1",Parameter!$H$5,IF(CG1354="L23",Parameter!$H$6+Parameter!$H$7,Parameter!$H$5+Parameter!$H$6+Parameter!$H$7))-(BI1354-BD1354))/BD1354)))</f>
        <v>1</v>
      </c>
      <c r="BK1354" s="60" t="str">
        <f aca="false">IF(AJ1354&lt;=0,"",IF(CG1354="Aussen","Aussenlager",IF(CG1354="-","Nicht im Lift",IF(AP1354&gt;=1,"Lift",IF(AP1354&lt;=0,"Aussenlager","teilweise")))))</f>
        <v>Lift</v>
      </c>
      <c r="BL1354" s="60" t="str">
        <f aca="false">IF(AT1354&lt;=0,"",IF(CG1354="Aussen","Aussenlager",IF(CG1354="-","Nicht im Lift",IF(AZ1354&gt;=1,"Lift",IF(AZ1354&lt;=0,"Aussenlager","teilweise")))))</f>
        <v>Lift</v>
      </c>
      <c r="BM1354" s="60" t="str">
        <f aca="false">IF(BD1354&lt;=0,"",IF(CG1354="Aussen","Aussenlager",IF(CG1354="-","Nicht im Lift",IF(BJ1354&gt;=1,"Lift",IF(BJ1354&lt;=0,"Aussenlager","teilweise")))))</f>
        <v>Lift</v>
      </c>
      <c r="BN1354" s="60" t="str">
        <f aca="false">IF(A1354="","",IF(BW1354=1,"Neu; ","")&amp;IF(AND(BW1354=0,BR1354&lt;0),"negativer Bestand (Export "&amp;BR1354&amp;"); ","")&amp;IF(J1354&lt;=0,"Kein Verbrauch; ","")&amp;IF(CR1354&gt;0,"Lift "&amp;W1354&amp;" lt. Liftbericht (Fach "&amp;X1354&amp;" Stk); ",IF(CB1354=1,"Gebinde geschätzt ("&amp;T1354&amp;"); ",IF(CA1354=1,"Lose – Tablare geschätzt; ","")))&amp;IF(H1354&gt;AW1354,"Überbestand "&amp;ROUND(H1354-AW1354,0)&amp;" Stk / CHF "&amp;ROUND((H1354-AW1354)*G1354,0)&amp;"; ","")&amp;IF(AND(CI1354=1,CJ1354&lt;CK1354),"MAX &lt; MB+LG; ","")&amp;IF(AND(CQ1354&gt;0,CP1354*10&gt;CQ1354),"zu hoch für Tablar; ","")&amp;IF(AND(BW1354=0,OR(CI1354=1,AB1354&lt;&gt;"",U1354&lt;&gt;"",V1354&lt;&gt;"",AC1354&lt;&gt;"")),"manuell übersteuert; ","")&amp;IF(AND(CA1354=0,R1354=0),"Gebinde unbekannt / Stellmass fehlt; ","")&amp;IF(AND(CA1354=0,N(V1354)&lt;=0,N(Q1354)&lt;=0),"Menge pro Gebinde fehlt (Ist = 1 Gebinde); ","")&amp;BV1354)</f>
        <v>negativer Bestand (Export -4); grosser Artikel &amp; nicht im KTL</v>
      </c>
      <c r="BO1354" s="60"/>
      <c r="BP1354" s="60"/>
      <c r="BQ1354" s="67"/>
      <c r="BR1354" s="62" t="n">
        <v>-4</v>
      </c>
      <c r="BS1354" s="62" t="n">
        <v>151</v>
      </c>
      <c r="BT1354" s="61" t="n">
        <v>-2108.76</v>
      </c>
      <c r="BU1354" s="62" t="n">
        <v>458</v>
      </c>
      <c r="BV1354" s="60" t="s">
        <v>303</v>
      </c>
      <c r="BW1354" s="65" t="n">
        <v>0</v>
      </c>
      <c r="BX1354" s="65" t="n">
        <v>1354</v>
      </c>
      <c r="BY1354" s="60" t="str">
        <f aca="false">IF(U1354&lt;&gt;"",UPPER(TRIM(U1354)),IF(CB1354=1,UPPER(VLOOKUP(T1354,Parameter!$I$27:$K$29,2,0)),IF(P1354="","LOSE",P1354)))</f>
        <v>S71</v>
      </c>
      <c r="BZ1354" s="62" t="n">
        <f aca="false">IF(BY1354="LOSE",1,IF(N(V1354)&gt;0,V1354,IF(CB1354=1,MAX(1,N(VLOOKUP(T1354,Parameter!$I$27:$K$29,3,0)),H1354,N(N1354)),IF(N(Q1354)&gt;0,Q1354,MAX(1,H1354)))))</f>
        <v>56</v>
      </c>
      <c r="CA1354" s="65" t="n">
        <f aca="false">IF(BY1354="LOSE",1,0)</f>
        <v>0</v>
      </c>
      <c r="CB1354" s="65" t="n">
        <f aca="false">IF(AND(U1354="",OR(P1354="",P1354="LOSE"),T1354&lt;&gt;"",N(S1354)&lt;=0,ISNUMBER(MATCH(T1354,Parameter!$I$27:$I$29,0))),1,0)</f>
        <v>0</v>
      </c>
      <c r="CC1354" s="65" t="n">
        <f aca="false">IF(CR1354&gt;0,INDEX(Parameter!$H$5:$H$7,W1354)/INDEX(Parameter!$E$5:$E$7,W1354),IF(AND(CA1354=0,N(IFERROR(VLOOKUP(BY1354,'Gebinde-Kategorie'!$A$5:$N$45,14,0),0))&gt;0),VLOOKUP(BY1354,'Gebinde-Kategorie'!$A$5:$N$45,14,0)*10+Parameter!$M$23,Parameter!$M$24))</f>
        <v>235</v>
      </c>
      <c r="CD1354" s="60" t="str">
        <f aca="false">IF(AND(Parameter!$B$19="Ja",E1354&lt;&gt;"",ISNUMBER(MATCH(E1354,Parameter!$I$35:$I$52,0))),VLOOKUP(E1354,Parameter!$I$35:$J$52,2,0),IFERROR(VLOOKUP(D1354,Parameter!$A$35:$C$64,2,0),"Nein"))</f>
        <v>2+3</v>
      </c>
      <c r="CE1354" s="64" t="n">
        <f aca="false">IF(CA1354=0,0,IF(N(S1354)&gt;0,S1354,IFERROR(VLOOKUP(D1354,Parameter!$A$35:$C$64,3,0)+0,0)))</f>
        <v>0</v>
      </c>
      <c r="CF1354" s="60" t="n">
        <f aca="false">IF(AB1354&lt;&gt;"",AB1354,AA1354)</f>
        <v>2</v>
      </c>
      <c r="CG1354" s="60" t="str">
        <f aca="false">IF(OR(CF1354=1,CF1354=2,CF1354=3),IF(Parameter!$E$27="Ja","LIFT",IF(CF1354=1,"L1","L23")),IF(CF1354="Aussen","Aussen","-"))</f>
        <v>LIFT</v>
      </c>
      <c r="CH1354" s="71" t="n">
        <f aca="false">IF(N(AC1354)&gt;0,AC1354,0)</f>
        <v>0</v>
      </c>
      <c r="CI1354" s="65" t="n">
        <f aca="false">IF(ISNUMBER(AF1354),1,0)</f>
        <v>0</v>
      </c>
      <c r="CJ1354" s="62" t="n">
        <f aca="false">N(AF1354)</f>
        <v>0</v>
      </c>
      <c r="CK1354" s="62" t="n">
        <f aca="false">N(M1354)+N(N1354)</f>
        <v>136</v>
      </c>
      <c r="CL1354" s="62" t="n">
        <f aca="false">N(M1354)</f>
        <v>26</v>
      </c>
      <c r="CM1354" s="62" t="n">
        <f aca="false">N(N1354)</f>
        <v>110</v>
      </c>
      <c r="CN1354" s="62" t="n">
        <f aca="false">ROUNDUP(H1354/BZ1354,0)</f>
        <v>3</v>
      </c>
      <c r="CO1354" s="62" t="n">
        <f aca="false">ROUNDUP(CJ1354/BZ1354,0)</f>
        <v>0</v>
      </c>
      <c r="CP1354" s="65" t="n">
        <f aca="false">IF(CA1354=1,0,IFERROR(VLOOKUP(BY1354,'Gebinde-Kategorie'!$A$5:$N$45,5,0)+0,0))</f>
        <v>20</v>
      </c>
      <c r="CQ1354" s="65" t="n">
        <f aca="false">IFERROR(IF(OR(CF1354=1,CF1354=2,CF1354=3),N(INDEX(Parameter!$I$5:$I$7,CF1354)),0),0)</f>
        <v>0</v>
      </c>
      <c r="CR1354" s="64" t="n">
        <f aca="false">IF(AND(Parameter!$B$21="Ja",ISNUMBER(W1354),N(X1354)&gt;0),IFERROR(N(INDEX(Parameter!$L$5:$L$7,W1354))*INDEX(Parameter!$E$5:$E$7,W1354)*X1354/SUMIFS($X$7:$X$1843,$W$7:$W$1843,W1354),0),0)</f>
        <v>0</v>
      </c>
      <c r="CS1354" s="62" t="n">
        <f aca="false">IF(AND(OR(CG1354="L1",CG1354="L23",CG1354="LIFT"),H1354&gt;0),CC1354*IF(CR1354&gt;0,CR1354*MAX(1,H1354/X1354),IF(CA1354=1,CE1354,IF(R1354&gt;0,CN1354/R1354,0))/MAX(0.1,N(Parameter!$M$21))),"")</f>
        <v>117.5</v>
      </c>
      <c r="CT1354" s="64" t="n">
        <f aca="false">IF(CS1354="","",J1354/H1354)</f>
        <v>3.1156462585034</v>
      </c>
      <c r="CU1354" s="62" t="n">
        <f aca="false">IF(CS1354="","",H1354*G1354)</f>
        <v>15315.93</v>
      </c>
      <c r="CV1354" s="63" t="n">
        <f aca="false">IF(CS1354="","",(CL1354+ROUNDUP(CL1354+MAX(CM1354,2*(J1354/MAX(0.1,N(Einkauf!$C$6))-CL1354)),0))/2)</f>
        <v>114.5</v>
      </c>
      <c r="CW1354" s="62" t="n">
        <f aca="false">IF(CS1354="","",MAX(0,H1354-CV1354)*G1354)</f>
        <v>3386.175</v>
      </c>
      <c r="CX1354" s="62" t="n">
        <f aca="false">IF(CS1354="","",CS1354*MAX(0,1-CV1354/H1354))</f>
        <v>25.9778911564626</v>
      </c>
      <c r="CY1354" s="64" t="n">
        <f aca="false">IF(CS1354="","",PERCENTRANK($CS$7:$CS$1843,CS1354)+PERCENTRANK($CU$7:$CU$1843,CU1354)+1-PERCENTRANK($CT$7:$CT$1843,CT1354))</f>
        <v>2.04</v>
      </c>
      <c r="CZ1354" s="72" t="n">
        <f aca="false">IF(CS1354="","",CHOOSE(MATCH(Einkauf!$C$5,Parameter!$G$23:$G$27,0),CY1354,CS1354,CU1354,-CT1354,CW1354)+ROW()/1000000000)</f>
        <v>2.040001354</v>
      </c>
    </row>
    <row r="1355" customFormat="false" ht="15" hidden="false" customHeight="false" outlineLevel="0" collapsed="false">
      <c r="A1355" s="60" t="s">
        <v>2432</v>
      </c>
      <c r="B1355" s="60" t="s">
        <v>618</v>
      </c>
      <c r="C1355" s="60" t="s">
        <v>206</v>
      </c>
      <c r="D1355" s="60" t="s">
        <v>226</v>
      </c>
      <c r="E1355" s="60" t="s">
        <v>227</v>
      </c>
      <c r="F1355" s="60" t="s">
        <v>260</v>
      </c>
      <c r="G1355" s="61" t="n">
        <v>440.01</v>
      </c>
      <c r="H1355" s="62" t="n">
        <f aca="false">MAX(0,IF(AND(Parameter!$B$21="Ja",ISNUMBER(Y1355)),Y1355,IF(Parameter!$B$20="Jahresanfang 2025 + Export",BS1355+BR1355,BR1355)))</f>
        <v>10</v>
      </c>
      <c r="I1355" s="62" t="n">
        <f aca="false">H1355*G1355</f>
        <v>4400.1</v>
      </c>
      <c r="J1355" s="62" t="n">
        <f aca="false">BU1355*Parameter!$B$18</f>
        <v>9</v>
      </c>
      <c r="K1355" s="63" t="n">
        <v>12.5</v>
      </c>
      <c r="L1355" s="64" t="n">
        <v>0.72</v>
      </c>
      <c r="M1355" s="62" t="n">
        <v>1</v>
      </c>
      <c r="N1355" s="62" t="n">
        <v>5</v>
      </c>
      <c r="O1355" s="65" t="n">
        <v>28</v>
      </c>
      <c r="P1355" s="60" t="s">
        <v>335</v>
      </c>
      <c r="Q1355" s="62" t="n">
        <v>4</v>
      </c>
      <c r="R1355" s="65" t="n">
        <f aca="false">IF(CA1355=1,0,IFERROR(VLOOKUP(BY1355,'Gebinde-Kategorie'!$A$5:$N$45,13,0)+0,0))</f>
        <v>12</v>
      </c>
      <c r="S1355" s="66"/>
      <c r="T1355" s="67"/>
      <c r="U1355" s="67"/>
      <c r="V1355" s="67"/>
      <c r="W1355" s="60"/>
      <c r="X1355" s="62"/>
      <c r="Y1355" s="62"/>
      <c r="Z1355" s="60" t="n">
        <v>3</v>
      </c>
      <c r="AA1355" s="60" t="n">
        <f aca="false">IF(A1355="","",IF(AND(Parameter!$B$21="Ja",ISNUMBER(W1355)),W1355,IF(AND(Parameter!$E$27="Ja",ISNUMBER(Z1355),CD1355&lt;&gt;"Nein"),Z1355,IF(CD1355="2+3",IF(ISNUMBER(SEARCH("grosser Artikel",BV1355)),2,IFERROR(VLOOKUP(BY1355,Parameter!$F$35:$G$64,2,0),2)),IF(OR(CD1355="Nein",CD1355=""),"-",CD1355)))))</f>
        <v>3</v>
      </c>
      <c r="AB1355" s="67"/>
      <c r="AC1355" s="68"/>
      <c r="AD1355" s="62" t="n">
        <f aca="false">AW1355</f>
        <v>6</v>
      </c>
      <c r="AE1355" s="62" t="n">
        <f aca="false">MAX(AW1355,H1355)</f>
        <v>10</v>
      </c>
      <c r="AF1355" s="69"/>
      <c r="AG1355" s="62" t="n">
        <f aca="false">IF(LEFT(Cockpit!$C$5,1)="A",H1355,IF(Parameter!$E$30="MAX-Bestand",IF(CI1355=1,CJ1355,IF(LEFT(Cockpit!$C$5,1)="B",AM1355,MAX(AM1355,H1355))),ROUNDUP(AK1355,0)))</f>
        <v>10</v>
      </c>
      <c r="AH1355" s="62" t="n">
        <f aca="false">IF(CA1355=1,0,ROUNDUP(AG1355/BZ1355,0))</f>
        <v>3</v>
      </c>
      <c r="AI1355" s="64" t="n">
        <f aca="false">IF(CR1355&gt;0,CR1355*MAX(1,AG1355/X1355),IF(CA1355=1,IF(AG1355&lt;=0,0,CE1355*MAX(1,IF(H1355&gt;0,AG1355/H1355,1))),IF(R1355&gt;0,AH1355/R1355,0))/MAX(0.1,N(Parameter!$M$21)))</f>
        <v>0.25</v>
      </c>
      <c r="AJ1355" s="62" t="n">
        <f aca="false">AI1355*CC1355</f>
        <v>61.25</v>
      </c>
      <c r="AK1355" s="63" t="n">
        <f aca="false">IF(LEFT(Cockpit!$C$5,1)="A",H1355,IF(CI1355=1,(CL1355+CJ1355)/2,IF(LEFT(Cockpit!$C$5,1)="B",(CL1355+AM1355)/2,MAX((CL1355+AM1355)/2,H1355))))</f>
        <v>10</v>
      </c>
      <c r="AL1355" s="62" t="n">
        <f aca="false">AK1355*G1355</f>
        <v>4400.1</v>
      </c>
      <c r="AM1355" s="62" t="n">
        <f aca="false">ROUNDUP(CL1355+MAX(CM1355,2*(J1355/IF(CH1355&gt;0,CH1355,MAX(0.1,N(Cockpit!$C$6)))-CL1355)),0)</f>
        <v>6</v>
      </c>
      <c r="AN1355" s="63" t="n">
        <f aca="false">IF(AJ1355&gt;0,J1355/AJ1355,-1)</f>
        <v>0.146938775510204</v>
      </c>
      <c r="AO1355" s="63" t="n">
        <f aca="false">IF(AND(OR(CG1355="L1",CG1355="L23",CG1355="LIFT"),AJ1355&gt;0),SUMIFS($AJ$7:$AJ$1843,$CG$7:$CG$1843,CG1355,$AN$7:$AN$1843,"&gt;"&amp;AN1355)+SUMIFS($AJ$7:$AJ$1843,$CG$7:$CG$1843,CG1355,$AN$7:$AN$1843,AN1355,$BX$7:$BX$1843,"&lt;="&amp;BX1355),"")</f>
        <v>13124.5734644358</v>
      </c>
      <c r="AP1355" s="70" t="n">
        <f aca="false">IF(AO1355="",0,MAX(0,MIN(1,(IF(CG1355="L1",Parameter!$H$5,IF(CG1355="L23",Parameter!$H$6+Parameter!$H$7,Parameter!$H$5+Parameter!$H$6+Parameter!$H$7))-(AO1355-AJ1355))/AJ1355)))</f>
        <v>1</v>
      </c>
      <c r="AQ1355" s="62" t="n">
        <f aca="false">IF(LEFT(Cockpit!$I$5,1)="A",H1355,IF(Parameter!$E$30="MAX-Bestand",IF(CI1355=1,CJ1355,IF(LEFT(Cockpit!$I$5,1)="B",AW1355,MAX(AW1355,H1355))),ROUNDUP(AU1355,0)))</f>
        <v>10</v>
      </c>
      <c r="AR1355" s="62" t="n">
        <f aca="false">IF(CA1355=1,0,ROUNDUP(AQ1355/BZ1355,0))</f>
        <v>3</v>
      </c>
      <c r="AS1355" s="64" t="n">
        <f aca="false">IF(CR1355&gt;0,CR1355*MAX(1,AQ1355/X1355),IF(CA1355=1,IF(AQ1355&lt;=0,0,CE1355*MAX(1,IF(H1355&gt;0,AQ1355/H1355,1))),IF(R1355&gt;0,AR1355/R1355,0))/MAX(0.1,N(Parameter!$M$21)))</f>
        <v>0.25</v>
      </c>
      <c r="AT1355" s="62" t="n">
        <f aca="false">AS1355*CC1355</f>
        <v>61.25</v>
      </c>
      <c r="AU1355" s="63" t="n">
        <f aca="false">IF(LEFT(Cockpit!$I$5,1)="A",H1355,IF(CI1355=1,(CL1355+CJ1355)/2,IF(LEFT(Cockpit!$I$5,1)="B",(CL1355+AW1355)/2,MAX((CL1355+AW1355)/2,H1355))))</f>
        <v>10</v>
      </c>
      <c r="AV1355" s="62" t="n">
        <f aca="false">AU1355*G1355</f>
        <v>4400.1</v>
      </c>
      <c r="AW1355" s="62" t="n">
        <f aca="false">ROUNDUP(CL1355+MAX(CM1355,2*(J1355/IF(CH1355&gt;0,CH1355,MAX(0.1,N(Cockpit!$I$6)))-CL1355)),0)</f>
        <v>6</v>
      </c>
      <c r="AX1355" s="63" t="n">
        <f aca="false">IF(AT1355&gt;0,J1355/AT1355,-1)</f>
        <v>0.146938775510204</v>
      </c>
      <c r="AY1355" s="63" t="n">
        <f aca="false">IF(AND(OR(CG1355="L1",CG1355="L23",CG1355="LIFT"),AT1355&gt;0),SUMIFS($AT$7:$AT$1843,$CG$7:$CG$1843,CG1355,$AX$7:$AX$1843,"&gt;"&amp;AX1355)+SUMIFS($AT$7:$AT$1843,$CG$7:$CG$1843,CG1355,$AX$7:$AX$1843,AX1355,$BX$7:$BX$1843,"&lt;="&amp;BX1355),"")</f>
        <v>17148.9721058132</v>
      </c>
      <c r="AZ1355" s="70" t="n">
        <f aca="false">IF(AY1355="",0,MAX(0,MIN(1,(IF(CG1355="L1",Parameter!$H$5,IF(CG1355="L23",Parameter!$H$6+Parameter!$H$7,Parameter!$H$5+Parameter!$H$6+Parameter!$H$7))-(AY1355-AT1355))/AT1355)))</f>
        <v>1</v>
      </c>
      <c r="BA1355" s="62" t="n">
        <f aca="false">IF(LEFT(Cockpit!$O$5,1)="A",H1355,IF(Parameter!$E$30="MAX-Bestand",IF(CI1355=1,CJ1355,IF(LEFT(Cockpit!$O$5,1)="B",BG1355,MAX(BG1355,H1355))),ROUNDUP(BE1355,0)))</f>
        <v>4</v>
      </c>
      <c r="BB1355" s="62" t="n">
        <f aca="false">IF(CA1355=1,0,ROUNDUP(BA1355/BZ1355,0))</f>
        <v>1</v>
      </c>
      <c r="BC1355" s="64" t="n">
        <f aca="false">IF(CR1355&gt;0,CR1355*MAX(1,BA1355/X1355),IF(CA1355=1,IF(BA1355&lt;=0,0,CE1355*MAX(1,IF(H1355&gt;0,BA1355/H1355,1))),IF(R1355&gt;0,BB1355/R1355,0))/MAX(0.1,N(Parameter!$M$21)))</f>
        <v>0.0833333333333333</v>
      </c>
      <c r="BD1355" s="62" t="n">
        <f aca="false">BC1355*CC1355</f>
        <v>20.4166666666667</v>
      </c>
      <c r="BE1355" s="63" t="n">
        <f aca="false">IF(LEFT(Cockpit!$O$5,1)="A",H1355,IF(CI1355=1,(CL1355+CJ1355)/2,IF(LEFT(Cockpit!$O$5,1)="B",(CL1355+BG1355)/2,MAX((CL1355+BG1355)/2,H1355))))</f>
        <v>3.5</v>
      </c>
      <c r="BF1355" s="62" t="n">
        <f aca="false">BE1355*G1355</f>
        <v>1540.035</v>
      </c>
      <c r="BG1355" s="62" t="n">
        <f aca="false">ROUNDUP(CL1355+MAX(CM1355,2*(J1355/IF(CH1355&gt;0,CH1355,MAX(0.1,N(Cockpit!$O$6)))-CL1355)),0)</f>
        <v>6</v>
      </c>
      <c r="BH1355" s="63" t="n">
        <f aca="false">IF(BD1355&gt;0,J1355/BD1355,-1)</f>
        <v>0.440816326530612</v>
      </c>
      <c r="BI1355" s="63" t="n">
        <f aca="false">IF(AND(OR(CG1355="L1",CG1355="L23",CG1355="LIFT"),BD1355&gt;0),SUMIFS($BD$7:$BD$1843,$CG$7:$CG$1843,CG1355,$BH$7:$BH$1843,"&gt;"&amp;BH1355)+SUMIFS($BD$7:$BD$1843,$CG$7:$CG$1843,CG1355,$BH$7:$BH$1843,BH1355,$BX$7:$BX$1843,"&lt;="&amp;BX1355),"")</f>
        <v>10597.0132783883</v>
      </c>
      <c r="BJ1355" s="70" t="n">
        <f aca="false">IF(BI1355="",0,MAX(0,MIN(1,(IF(CG1355="L1",Parameter!$H$5,IF(CG1355="L23",Parameter!$H$6+Parameter!$H$7,Parameter!$H$5+Parameter!$H$6+Parameter!$H$7))-(BI1355-BD1355))/BD1355)))</f>
        <v>1</v>
      </c>
      <c r="BK1355" s="60" t="str">
        <f aca="false">IF(AJ1355&lt;=0,"",IF(CG1355="Aussen","Aussenlager",IF(CG1355="-","Nicht im Lift",IF(AP1355&gt;=1,"Lift",IF(AP1355&lt;=0,"Aussenlager","teilweise")))))</f>
        <v>Lift</v>
      </c>
      <c r="BL1355" s="60" t="str">
        <f aca="false">IF(AT1355&lt;=0,"",IF(CG1355="Aussen","Aussenlager",IF(CG1355="-","Nicht im Lift",IF(AZ1355&gt;=1,"Lift",IF(AZ1355&lt;=0,"Aussenlager","teilweise")))))</f>
        <v>Lift</v>
      </c>
      <c r="BM1355" s="60" t="str">
        <f aca="false">IF(BD1355&lt;=0,"",IF(CG1355="Aussen","Aussenlager",IF(CG1355="-","Nicht im Lift",IF(BJ1355&gt;=1,"Lift",IF(BJ1355&lt;=0,"Aussenlager","teilweise")))))</f>
        <v>Lift</v>
      </c>
      <c r="BN1355" s="60" t="str">
        <f aca="false">IF(A1355="","",IF(BW1355=1,"Neu; ","")&amp;IF(AND(BW1355=0,BR1355&lt;0),"negativer Bestand (Export "&amp;BR1355&amp;"); ","")&amp;IF(J1355&lt;=0,"Kein Verbrauch; ","")&amp;IF(CR1355&gt;0,"Lift "&amp;W1355&amp;" lt. Liftbericht (Fach "&amp;X1355&amp;" Stk); ",IF(CB1355=1,"Gebinde geschätzt ("&amp;T1355&amp;"); ",IF(CA1355=1,"Lose – Tablare geschätzt; ","")))&amp;IF(H1355&gt;AW1355,"Überbestand "&amp;ROUND(H1355-AW1355,0)&amp;" Stk / CHF "&amp;ROUND((H1355-AW1355)*G1355,0)&amp;"; ","")&amp;IF(AND(CI1355=1,CJ1355&lt;CK1355),"MAX &lt; MB+LG; ","")&amp;IF(AND(CQ1355&gt;0,CP1355*10&gt;CQ1355),"zu hoch für Tablar; ","")&amp;IF(AND(BW1355=0,OR(CI1355=1,AB1355&lt;&gt;"",U1355&lt;&gt;"",V1355&lt;&gt;"",AC1355&lt;&gt;"")),"manuell übersteuert; ","")&amp;IF(AND(CA1355=0,R1355=0),"Gebinde unbekannt / Stellmass fehlt; ","")&amp;IF(AND(CA1355=0,N(V1355)&lt;=0,N(Q1355)&lt;=0),"Menge pro Gebinde fehlt (Ist = 1 Gebinde); ","")&amp;BV1355)</f>
        <v>negativer Bestand (Export -5); Überbestand 4 Stk / CHF 1760; </v>
      </c>
      <c r="BO1355" s="60"/>
      <c r="BP1355" s="60"/>
      <c r="BQ1355" s="67"/>
      <c r="BR1355" s="62" t="n">
        <v>-5</v>
      </c>
      <c r="BS1355" s="62" t="n">
        <v>15</v>
      </c>
      <c r="BT1355" s="61" t="n">
        <v>-2167.05</v>
      </c>
      <c r="BU1355" s="62" t="n">
        <v>9</v>
      </c>
      <c r="BV1355" s="60"/>
      <c r="BW1355" s="65" t="n">
        <v>0</v>
      </c>
      <c r="BX1355" s="65" t="n">
        <v>1355</v>
      </c>
      <c r="BY1355" s="60" t="str">
        <f aca="false">IF(U1355&lt;&gt;"",UPPER(TRIM(U1355)),IF(CB1355=1,UPPER(VLOOKUP(T1355,Parameter!$I$27:$K$29,2,0)),IF(P1355="","LOSE",P1355)))</f>
        <v>S62</v>
      </c>
      <c r="BZ1355" s="62" t="n">
        <f aca="false">IF(BY1355="LOSE",1,IF(N(V1355)&gt;0,V1355,IF(CB1355=1,MAX(1,N(VLOOKUP(T1355,Parameter!$I$27:$K$29,3,0)),H1355,N(N1355)),IF(N(Q1355)&gt;0,Q1355,MAX(1,H1355)))))</f>
        <v>4</v>
      </c>
      <c r="CA1355" s="65" t="n">
        <f aca="false">IF(BY1355="LOSE",1,0)</f>
        <v>0</v>
      </c>
      <c r="CB1355" s="65" t="n">
        <f aca="false">IF(AND(U1355="",OR(P1355="",P1355="LOSE"),T1355&lt;&gt;"",N(S1355)&lt;=0,ISNUMBER(MATCH(T1355,Parameter!$I$27:$I$29,0))),1,0)</f>
        <v>0</v>
      </c>
      <c r="CC1355" s="65" t="n">
        <f aca="false">IF(CR1355&gt;0,INDEX(Parameter!$H$5:$H$7,W1355)/INDEX(Parameter!$E$5:$E$7,W1355),IF(AND(CA1355=0,N(IFERROR(VLOOKUP(BY1355,'Gebinde-Kategorie'!$A$5:$N$45,14,0),0))&gt;0),VLOOKUP(BY1355,'Gebinde-Kategorie'!$A$5:$N$45,14,0)*10+Parameter!$M$23,Parameter!$M$24))</f>
        <v>245</v>
      </c>
      <c r="CD1355" s="60" t="str">
        <f aca="false">IF(AND(Parameter!$B$19="Ja",E1355&lt;&gt;"",ISNUMBER(MATCH(E1355,Parameter!$I$35:$I$52,0))),VLOOKUP(E1355,Parameter!$I$35:$J$52,2,0),IFERROR(VLOOKUP(D1355,Parameter!$A$35:$C$64,2,0),"Nein"))</f>
        <v>2+3</v>
      </c>
      <c r="CE1355" s="64" t="n">
        <f aca="false">IF(CA1355=0,0,IF(N(S1355)&gt;0,S1355,IFERROR(VLOOKUP(D1355,Parameter!$A$35:$C$64,3,0)+0,0)))</f>
        <v>0</v>
      </c>
      <c r="CF1355" s="60" t="n">
        <f aca="false">IF(AB1355&lt;&gt;"",AB1355,AA1355)</f>
        <v>3</v>
      </c>
      <c r="CG1355" s="60" t="str">
        <f aca="false">IF(OR(CF1355=1,CF1355=2,CF1355=3),IF(Parameter!$E$27="Ja","LIFT",IF(CF1355=1,"L1","L23")),IF(CF1355="Aussen","Aussen","-"))</f>
        <v>LIFT</v>
      </c>
      <c r="CH1355" s="71" t="n">
        <f aca="false">IF(N(AC1355)&gt;0,AC1355,0)</f>
        <v>0</v>
      </c>
      <c r="CI1355" s="65" t="n">
        <f aca="false">IF(ISNUMBER(AF1355),1,0)</f>
        <v>0</v>
      </c>
      <c r="CJ1355" s="62" t="n">
        <f aca="false">N(AF1355)</f>
        <v>0</v>
      </c>
      <c r="CK1355" s="62" t="n">
        <f aca="false">N(M1355)+N(N1355)</f>
        <v>6</v>
      </c>
      <c r="CL1355" s="62" t="n">
        <f aca="false">N(M1355)</f>
        <v>1</v>
      </c>
      <c r="CM1355" s="62" t="n">
        <f aca="false">N(N1355)</f>
        <v>5</v>
      </c>
      <c r="CN1355" s="62" t="n">
        <f aca="false">ROUNDUP(H1355/BZ1355,0)</f>
        <v>3</v>
      </c>
      <c r="CO1355" s="62" t="n">
        <f aca="false">ROUNDUP(CJ1355/BZ1355,0)</f>
        <v>0</v>
      </c>
      <c r="CP1355" s="65" t="n">
        <f aca="false">IF(CA1355=1,0,IFERROR(VLOOKUP(BY1355,'Gebinde-Kategorie'!$A$5:$N$45,5,0)+0,0))</f>
        <v>21</v>
      </c>
      <c r="CQ1355" s="65" t="n">
        <f aca="false">IFERROR(IF(OR(CF1355=1,CF1355=2,CF1355=3),N(INDEX(Parameter!$I$5:$I$7,CF1355)),0),0)</f>
        <v>0</v>
      </c>
      <c r="CR1355" s="64" t="n">
        <f aca="false">IF(AND(Parameter!$B$21="Ja",ISNUMBER(W1355),N(X1355)&gt;0),IFERROR(N(INDEX(Parameter!$L$5:$L$7,W1355))*INDEX(Parameter!$E$5:$E$7,W1355)*X1355/SUMIFS($X$7:$X$1843,$W$7:$W$1843,W1355),0),0)</f>
        <v>0</v>
      </c>
      <c r="CS1355" s="62" t="n">
        <f aca="false">IF(AND(OR(CG1355="L1",CG1355="L23",CG1355="LIFT"),H1355&gt;0),CC1355*IF(CR1355&gt;0,CR1355*MAX(1,H1355/X1355),IF(CA1355=1,CE1355,IF(R1355&gt;0,CN1355/R1355,0))/MAX(0.1,N(Parameter!$M$21))),"")</f>
        <v>61.25</v>
      </c>
      <c r="CT1355" s="64" t="n">
        <f aca="false">IF(CS1355="","",J1355/H1355)</f>
        <v>0.9</v>
      </c>
      <c r="CU1355" s="62" t="n">
        <f aca="false">IF(CS1355="","",H1355*G1355)</f>
        <v>4400.1</v>
      </c>
      <c r="CV1355" s="63" t="n">
        <f aca="false">IF(CS1355="","",(CL1355+ROUNDUP(CL1355+MAX(CM1355,2*(J1355/MAX(0.1,N(Einkauf!$C$6))-CL1355)),0))/2)</f>
        <v>3.5</v>
      </c>
      <c r="CW1355" s="62" t="n">
        <f aca="false">IF(CS1355="","",MAX(0,H1355-CV1355)*G1355)</f>
        <v>2860.065</v>
      </c>
      <c r="CX1355" s="62" t="n">
        <f aca="false">IF(CS1355="","",CS1355*MAX(0,1-CV1355/H1355))</f>
        <v>39.8125</v>
      </c>
      <c r="CY1355" s="64" t="n">
        <f aca="false">IF(CS1355="","",PERCENTRANK($CS$7:$CS$1843,CS1355)+PERCENTRANK($CU$7:$CU$1843,CU1355)+1-PERCENTRANK($CT$7:$CT$1843,CT1355))</f>
        <v>2.207</v>
      </c>
      <c r="CZ1355" s="72" t="n">
        <f aca="false">IF(CS1355="","",CHOOSE(MATCH(Einkauf!$C$5,Parameter!$G$23:$G$27,0),CY1355,CS1355,CU1355,-CT1355,CW1355)+ROW()/1000000000)</f>
        <v>2.207001355</v>
      </c>
    </row>
    <row r="1356" customFormat="false" ht="15" hidden="false" customHeight="false" outlineLevel="0" collapsed="false">
      <c r="A1356" s="60" t="s">
        <v>2433</v>
      </c>
      <c r="B1356" s="60" t="s">
        <v>2434</v>
      </c>
      <c r="C1356" s="60" t="s">
        <v>206</v>
      </c>
      <c r="D1356" s="60" t="s">
        <v>215</v>
      </c>
      <c r="E1356" s="60" t="s">
        <v>215</v>
      </c>
      <c r="F1356" s="60" t="s">
        <v>260</v>
      </c>
      <c r="G1356" s="61" t="n">
        <v>2251.23</v>
      </c>
      <c r="H1356" s="62" t="n">
        <f aca="false">MAX(0,IF(AND(Parameter!$B$21="Ja",ISNUMBER(Y1356)),Y1356,IF(Parameter!$B$20="Jahresanfang 2025 + Export",BS1356+BR1356,BR1356)))</f>
        <v>1</v>
      </c>
      <c r="I1356" s="62" t="n">
        <f aca="false">H1356*G1356</f>
        <v>2251.23</v>
      </c>
      <c r="J1356" s="62" t="n">
        <f aca="false">BU1356*Parameter!$B$18</f>
        <v>2</v>
      </c>
      <c r="K1356" s="63" t="n">
        <v>2.5</v>
      </c>
      <c r="L1356" s="64" t="n">
        <v>0.8</v>
      </c>
      <c r="M1356" s="62" t="n">
        <v>1</v>
      </c>
      <c r="N1356" s="62" t="n">
        <v>1</v>
      </c>
      <c r="O1356" s="65" t="n">
        <v>56</v>
      </c>
      <c r="P1356" s="60" t="s">
        <v>210</v>
      </c>
      <c r="Q1356" s="62"/>
      <c r="R1356" s="65" t="n">
        <f aca="false">IF(CA1356=1,0,IFERROR(VLOOKUP(BY1356,'Gebinde-Kategorie'!$A$5:$N$45,13,0)+0,0))</f>
        <v>0</v>
      </c>
      <c r="S1356" s="66"/>
      <c r="T1356" s="67"/>
      <c r="U1356" s="67"/>
      <c r="V1356" s="67"/>
      <c r="W1356" s="60" t="n">
        <v>1</v>
      </c>
      <c r="X1356" s="62" t="n">
        <v>3</v>
      </c>
      <c r="Y1356" s="62" t="n">
        <v>1</v>
      </c>
      <c r="Z1356" s="60" t="n">
        <v>1</v>
      </c>
      <c r="AA1356" s="60" t="n">
        <f aca="false">IF(A1356="","",IF(AND(Parameter!$B$21="Ja",ISNUMBER(W1356)),W1356,IF(AND(Parameter!$E$27="Ja",ISNUMBER(Z1356),CD1356&lt;&gt;"Nein"),Z1356,IF(CD1356="2+3",IF(ISNUMBER(SEARCH("grosser Artikel",BV1356)),2,IFERROR(VLOOKUP(BY1356,Parameter!$F$35:$G$64,2,0),2)),IF(OR(CD1356="Nein",CD1356=""),"-",CD1356)))))</f>
        <v>1</v>
      </c>
      <c r="AB1356" s="67"/>
      <c r="AC1356" s="68"/>
      <c r="AD1356" s="62" t="n">
        <f aca="false">AW1356</f>
        <v>2</v>
      </c>
      <c r="AE1356" s="62" t="n">
        <f aca="false">MAX(AW1356,H1356)</f>
        <v>2</v>
      </c>
      <c r="AF1356" s="69"/>
      <c r="AG1356" s="62" t="n">
        <f aca="false">IF(LEFT(Cockpit!$C$5,1)="A",H1356,IF(Parameter!$E$30="MAX-Bestand",IF(CI1356=1,CJ1356,IF(LEFT(Cockpit!$C$5,1)="B",AM1356,MAX(AM1356,H1356))),ROUNDUP(AK1356,0)))</f>
        <v>1</v>
      </c>
      <c r="AH1356" s="62" t="n">
        <f aca="false">IF(CA1356=1,0,ROUNDUP(AG1356/BZ1356,0))</f>
        <v>0</v>
      </c>
      <c r="AI1356" s="64" t="n">
        <f aca="false">IF(CR1356&gt;0,CR1356*MAX(1,AG1356/X1356),IF(CA1356=1,IF(AG1356&lt;=0,0,CE1356*MAX(1,IF(H1356&gt;0,AG1356/H1356,1))),IF(R1356&gt;0,AH1356/R1356,0))/MAX(0.1,N(Parameter!$M$21)))</f>
        <v>0.240112994350283</v>
      </c>
      <c r="AJ1356" s="62" t="n">
        <f aca="false">AI1356*CC1356</f>
        <v>57.1468926553672</v>
      </c>
      <c r="AK1356" s="63" t="n">
        <f aca="false">IF(LEFT(Cockpit!$C$5,1)="A",H1356,IF(CI1356=1,(CL1356+CJ1356)/2,IF(LEFT(Cockpit!$C$5,1)="B",(CL1356+AM1356)/2,MAX((CL1356+AM1356)/2,H1356))))</f>
        <v>1</v>
      </c>
      <c r="AL1356" s="62" t="n">
        <f aca="false">AK1356*G1356</f>
        <v>2251.23</v>
      </c>
      <c r="AM1356" s="62" t="n">
        <f aca="false">ROUNDUP(CL1356+MAX(CM1356,2*(J1356/IF(CH1356&gt;0,CH1356,MAX(0.1,N(Cockpit!$C$6)))-CL1356)),0)</f>
        <v>2</v>
      </c>
      <c r="AN1356" s="63" t="n">
        <f aca="false">IF(AJ1356&gt;0,J1356/AJ1356,-1)</f>
        <v>0.034997528423134</v>
      </c>
      <c r="AO1356" s="63" t="n">
        <f aca="false">IF(AND(OR(CG1356="L1",CG1356="L23",CG1356="LIFT"),AJ1356&gt;0),SUMIFS($AJ$7:$AJ$1843,$CG$7:$CG$1843,CG1356,$AN$7:$AN$1843,"&gt;"&amp;AN1356)+SUMIFS($AJ$7:$AJ$1843,$CG$7:$CG$1843,CG1356,$AN$7:$AN$1843,AN1356,$BX$7:$BX$1843,"&lt;="&amp;BX1356),"")</f>
        <v>19923.6209800087</v>
      </c>
      <c r="AP1356" s="70" t="n">
        <f aca="false">IF(AO1356="",0,MAX(0,MIN(1,(IF(CG1356="L1",Parameter!$H$5,IF(CG1356="L23",Parameter!$H$6+Parameter!$H$7,Parameter!$H$5+Parameter!$H$6+Parameter!$H$7))-(AO1356-AJ1356))/AJ1356)))</f>
        <v>1</v>
      </c>
      <c r="AQ1356" s="62" t="n">
        <f aca="false">IF(LEFT(Cockpit!$I$5,1)="A",H1356,IF(Parameter!$E$30="MAX-Bestand",IF(CI1356=1,CJ1356,IF(LEFT(Cockpit!$I$5,1)="B",AW1356,MAX(AW1356,H1356))),ROUNDUP(AU1356,0)))</f>
        <v>2</v>
      </c>
      <c r="AR1356" s="62" t="n">
        <f aca="false">IF(CA1356=1,0,ROUNDUP(AQ1356/BZ1356,0))</f>
        <v>0</v>
      </c>
      <c r="AS1356" s="64" t="n">
        <f aca="false">IF(CR1356&gt;0,CR1356*MAX(1,AQ1356/X1356),IF(CA1356=1,IF(AQ1356&lt;=0,0,CE1356*MAX(1,IF(H1356&gt;0,AQ1356/H1356,1))),IF(R1356&gt;0,AR1356/R1356,0))/MAX(0.1,N(Parameter!$M$21)))</f>
        <v>0.240112994350283</v>
      </c>
      <c r="AT1356" s="62" t="n">
        <f aca="false">AS1356*CC1356</f>
        <v>57.1468926553672</v>
      </c>
      <c r="AU1356" s="63" t="n">
        <f aca="false">IF(LEFT(Cockpit!$I$5,1)="A",H1356,IF(CI1356=1,(CL1356+CJ1356)/2,IF(LEFT(Cockpit!$I$5,1)="B",(CL1356+AW1356)/2,MAX((CL1356+AW1356)/2,H1356))))</f>
        <v>1.5</v>
      </c>
      <c r="AV1356" s="62" t="n">
        <f aca="false">AU1356*G1356</f>
        <v>3376.845</v>
      </c>
      <c r="AW1356" s="62" t="n">
        <f aca="false">ROUNDUP(CL1356+MAX(CM1356,2*(J1356/IF(CH1356&gt;0,CH1356,MAX(0.1,N(Cockpit!$I$6)))-CL1356)),0)</f>
        <v>2</v>
      </c>
      <c r="AX1356" s="63" t="n">
        <f aca="false">IF(AT1356&gt;0,J1356/AT1356,-1)</f>
        <v>0.034997528423134</v>
      </c>
      <c r="AY1356" s="63" t="n">
        <f aca="false">IF(AND(OR(CG1356="L1",CG1356="L23",CG1356="LIFT"),AT1356&gt;0),SUMIFS($AT$7:$AT$1843,$CG$7:$CG$1843,CG1356,$AX$7:$AX$1843,"&gt;"&amp;AX1356)+SUMIFS($AT$7:$AT$1843,$CG$7:$CG$1843,CG1356,$AX$7:$AX$1843,AX1356,$BX$7:$BX$1843,"&lt;="&amp;BX1356),"")</f>
        <v>24983.0196213861</v>
      </c>
      <c r="AZ1356" s="70" t="n">
        <f aca="false">IF(AY1356="",0,MAX(0,MIN(1,(IF(CG1356="L1",Parameter!$H$5,IF(CG1356="L23",Parameter!$H$6+Parameter!$H$7,Parameter!$H$5+Parameter!$H$6+Parameter!$H$7))-(AY1356-AT1356))/AT1356)))</f>
        <v>1</v>
      </c>
      <c r="BA1356" s="62" t="n">
        <f aca="false">IF(LEFT(Cockpit!$O$5,1)="A",H1356,IF(Parameter!$E$30="MAX-Bestand",IF(CI1356=1,CJ1356,IF(LEFT(Cockpit!$O$5,1)="B",BG1356,MAX(BG1356,H1356))),ROUNDUP(BE1356,0)))</f>
        <v>2</v>
      </c>
      <c r="BB1356" s="62" t="n">
        <f aca="false">IF(CA1356=1,0,ROUNDUP(BA1356/BZ1356,0))</f>
        <v>0</v>
      </c>
      <c r="BC1356" s="64" t="n">
        <f aca="false">IF(CR1356&gt;0,CR1356*MAX(1,BA1356/X1356),IF(CA1356=1,IF(BA1356&lt;=0,0,CE1356*MAX(1,IF(H1356&gt;0,BA1356/H1356,1))),IF(R1356&gt;0,BB1356/R1356,0))/MAX(0.1,N(Parameter!$M$21)))</f>
        <v>0.240112994350283</v>
      </c>
      <c r="BD1356" s="62" t="n">
        <f aca="false">BC1356*CC1356</f>
        <v>57.1468926553672</v>
      </c>
      <c r="BE1356" s="63" t="n">
        <f aca="false">IF(LEFT(Cockpit!$O$5,1)="A",H1356,IF(CI1356=1,(CL1356+CJ1356)/2,IF(LEFT(Cockpit!$O$5,1)="B",(CL1356+BG1356)/2,MAX((CL1356+BG1356)/2,H1356))))</f>
        <v>1.5</v>
      </c>
      <c r="BF1356" s="62" t="n">
        <f aca="false">BE1356*G1356</f>
        <v>3376.845</v>
      </c>
      <c r="BG1356" s="62" t="n">
        <f aca="false">ROUNDUP(CL1356+MAX(CM1356,2*(J1356/IF(CH1356&gt;0,CH1356,MAX(0.1,N(Cockpit!$O$6)))-CL1356)),0)</f>
        <v>2</v>
      </c>
      <c r="BH1356" s="63" t="n">
        <f aca="false">IF(BD1356&gt;0,J1356/BD1356,-1)</f>
        <v>0.034997528423134</v>
      </c>
      <c r="BI1356" s="63" t="n">
        <f aca="false">IF(AND(OR(CG1356="L1",CG1356="L23",CG1356="LIFT"),BD1356&gt;0),SUMIFS($BD$7:$BD$1843,$CG$7:$CG$1843,CG1356,$BH$7:$BH$1843,"&gt;"&amp;BH1356)+SUMIFS($BD$7:$BD$1843,$CG$7:$CG$1843,CG1356,$BH$7:$BH$1843,BH1356,$BX$7:$BX$1843,"&lt;="&amp;BX1356),"")</f>
        <v>20832.9347980174</v>
      </c>
      <c r="BJ1356" s="70" t="n">
        <f aca="false">IF(BI1356="",0,MAX(0,MIN(1,(IF(CG1356="L1",Parameter!$H$5,IF(CG1356="L23",Parameter!$H$6+Parameter!$H$7,Parameter!$H$5+Parameter!$H$6+Parameter!$H$7))-(BI1356-BD1356))/BD1356)))</f>
        <v>1</v>
      </c>
      <c r="BK1356" s="60" t="str">
        <f aca="false">IF(AJ1356&lt;=0,"",IF(CG1356="Aussen","Aussenlager",IF(CG1356="-","Nicht im Lift",IF(AP1356&gt;=1,"Lift",IF(AP1356&lt;=0,"Aussenlager","teilweise")))))</f>
        <v>Lift</v>
      </c>
      <c r="BL1356" s="60" t="str">
        <f aca="false">IF(AT1356&lt;=0,"",IF(CG1356="Aussen","Aussenlager",IF(CG1356="-","Nicht im Lift",IF(AZ1356&gt;=1,"Lift",IF(AZ1356&lt;=0,"Aussenlager","teilweise")))))</f>
        <v>Lift</v>
      </c>
      <c r="BM1356" s="60" t="str">
        <f aca="false">IF(BD1356&lt;=0,"",IF(CG1356="Aussen","Aussenlager",IF(CG1356="-","Nicht im Lift",IF(BJ1356&gt;=1,"Lift",IF(BJ1356&lt;=0,"Aussenlager","teilweise")))))</f>
        <v>Lift</v>
      </c>
      <c r="BN1356" s="60" t="str">
        <f aca="false">IF(A1356="","",IF(BW1356=1,"Neu; ","")&amp;IF(AND(BW1356=0,BR1356&lt;0),"negativer Bestand (Export "&amp;BR1356&amp;"); ","")&amp;IF(J1356&lt;=0,"Kein Verbrauch; ","")&amp;IF(CR1356&gt;0,"Lift "&amp;W1356&amp;" lt. Liftbericht (Fach "&amp;X1356&amp;" Stk); ",IF(CB1356=1,"Gebinde geschätzt ("&amp;T1356&amp;"); ",IF(CA1356=1,"Lose – Tablare geschätzt; ","")))&amp;IF(H1356&gt;AW1356,"Überbestand "&amp;ROUND(H1356-AW1356,0)&amp;" Stk / CHF "&amp;ROUND((H1356-AW1356)*G1356,0)&amp;"; ","")&amp;IF(AND(CI1356=1,CJ1356&lt;CK1356),"MAX &lt; MB+LG; ","")&amp;IF(AND(CQ1356&gt;0,CP1356*10&gt;CQ1356),"zu hoch für Tablar; ","")&amp;IF(AND(BW1356=0,OR(CI1356=1,AB1356&lt;&gt;"",U1356&lt;&gt;"",V1356&lt;&gt;"",AC1356&lt;&gt;"")),"manuell übersteuert; ","")&amp;IF(AND(CA1356=0,R1356=0),"Gebinde unbekannt / Stellmass fehlt; ","")&amp;IF(AND(CA1356=0,N(V1356)&lt;=0,N(Q1356)&lt;=0),"Menge pro Gebinde fehlt (Ist = 1 Gebinde); ","")&amp;BV1356)</f>
        <v>negativer Bestand (Export -1); Lift 1 lt. Liftbericht (Fach 3 Stk); </v>
      </c>
      <c r="BO1356" s="60"/>
      <c r="BP1356" s="60"/>
      <c r="BQ1356" s="67"/>
      <c r="BR1356" s="62" t="n">
        <v>-1</v>
      </c>
      <c r="BS1356" s="62" t="n">
        <v>2</v>
      </c>
      <c r="BT1356" s="61" t="n">
        <v>-2169.73</v>
      </c>
      <c r="BU1356" s="62" t="n">
        <v>2</v>
      </c>
      <c r="BV1356" s="60"/>
      <c r="BW1356" s="65" t="n">
        <v>0</v>
      </c>
      <c r="BX1356" s="65" t="n">
        <v>1356</v>
      </c>
      <c r="BY1356" s="60" t="str">
        <f aca="false">IF(U1356&lt;&gt;"",UPPER(TRIM(U1356)),IF(CB1356=1,UPPER(VLOOKUP(T1356,Parameter!$I$27:$K$29,2,0)),IF(P1356="","LOSE",P1356)))</f>
        <v>LOSE</v>
      </c>
      <c r="BZ1356" s="62" t="n">
        <f aca="false">IF(BY1356="LOSE",1,IF(N(V1356)&gt;0,V1356,IF(CB1356=1,MAX(1,N(VLOOKUP(T1356,Parameter!$I$27:$K$29,3,0)),H1356,N(N1356)),IF(N(Q1356)&gt;0,Q1356,MAX(1,H1356)))))</f>
        <v>1</v>
      </c>
      <c r="CA1356" s="65" t="n">
        <f aca="false">IF(BY1356="LOSE",1,0)</f>
        <v>1</v>
      </c>
      <c r="CB1356" s="65" t="n">
        <f aca="false">IF(AND(U1356="",OR(P1356="",P1356="LOSE"),T1356&lt;&gt;"",N(S1356)&lt;=0,ISNUMBER(MATCH(T1356,Parameter!$I$27:$I$29,0))),1,0)</f>
        <v>0</v>
      </c>
      <c r="CC1356" s="65" t="n">
        <f aca="false">IF(CR1356&gt;0,INDEX(Parameter!$H$5:$H$7,W1356)/INDEX(Parameter!$E$5:$E$7,W1356),IF(AND(CA1356=0,N(IFERROR(VLOOKUP(BY1356,'Gebinde-Kategorie'!$A$5:$N$45,14,0),0))&gt;0),VLOOKUP(BY1356,'Gebinde-Kategorie'!$A$5:$N$45,14,0)*10+Parameter!$M$23,Parameter!$M$24))</f>
        <v>238</v>
      </c>
      <c r="CD1356" s="60" t="str">
        <f aca="false">IF(AND(Parameter!$B$19="Ja",E1356&lt;&gt;"",ISNUMBER(MATCH(E1356,Parameter!$I$35:$I$52,0))),VLOOKUP(E1356,Parameter!$I$35:$J$52,2,0),IFERROR(VLOOKUP(D1356,Parameter!$A$35:$C$64,2,0),"Nein"))</f>
        <v>Nein</v>
      </c>
      <c r="CE1356" s="64" t="n">
        <f aca="false">IF(CA1356=0,0,IF(N(S1356)&gt;0,S1356,IFERROR(VLOOKUP(D1356,Parameter!$A$35:$C$64,3,0)+0,0)))</f>
        <v>0.15</v>
      </c>
      <c r="CF1356" s="60" t="n">
        <f aca="false">IF(AB1356&lt;&gt;"",AB1356,AA1356)</f>
        <v>1</v>
      </c>
      <c r="CG1356" s="60" t="str">
        <f aca="false">IF(OR(CF1356=1,CF1356=2,CF1356=3),IF(Parameter!$E$27="Ja","LIFT",IF(CF1356=1,"L1","L23")),IF(CF1356="Aussen","Aussen","-"))</f>
        <v>LIFT</v>
      </c>
      <c r="CH1356" s="71" t="n">
        <f aca="false">IF(N(AC1356)&gt;0,AC1356,0)</f>
        <v>0</v>
      </c>
      <c r="CI1356" s="65" t="n">
        <f aca="false">IF(ISNUMBER(AF1356),1,0)</f>
        <v>0</v>
      </c>
      <c r="CJ1356" s="62" t="n">
        <f aca="false">N(AF1356)</f>
        <v>0</v>
      </c>
      <c r="CK1356" s="62" t="n">
        <f aca="false">N(M1356)+N(N1356)</f>
        <v>2</v>
      </c>
      <c r="CL1356" s="62" t="n">
        <f aca="false">N(M1356)</f>
        <v>1</v>
      </c>
      <c r="CM1356" s="62" t="n">
        <f aca="false">N(N1356)</f>
        <v>1</v>
      </c>
      <c r="CN1356" s="62" t="n">
        <f aca="false">ROUNDUP(H1356/BZ1356,0)</f>
        <v>1</v>
      </c>
      <c r="CO1356" s="62" t="n">
        <f aca="false">ROUNDUP(CJ1356/BZ1356,0)</f>
        <v>0</v>
      </c>
      <c r="CP1356" s="65" t="n">
        <f aca="false">IF(CA1356=1,0,IFERROR(VLOOKUP(BY1356,'Gebinde-Kategorie'!$A$5:$N$45,5,0)+0,0))</f>
        <v>0</v>
      </c>
      <c r="CQ1356" s="65" t="n">
        <f aca="false">IFERROR(IF(OR(CF1356=1,CF1356=2,CF1356=3),N(INDEX(Parameter!$I$5:$I$7,CF1356)),0),0)</f>
        <v>0</v>
      </c>
      <c r="CR1356" s="64" t="n">
        <f aca="false">IF(AND(Parameter!$B$21="Ja",ISNUMBER(W1356),N(X1356)&gt;0),IFERROR(N(INDEX(Parameter!$L$5:$L$7,W1356))*INDEX(Parameter!$E$5:$E$7,W1356)*X1356/SUMIFS($X$7:$X$1843,$W$7:$W$1843,W1356),0),0)</f>
        <v>0.240112994350283</v>
      </c>
      <c r="CS1356" s="62" t="n">
        <f aca="false">IF(AND(OR(CG1356="L1",CG1356="L23",CG1356="LIFT"),H1356&gt;0),CC1356*IF(CR1356&gt;0,CR1356*MAX(1,H1356/X1356),IF(CA1356=1,CE1356,IF(R1356&gt;0,CN1356/R1356,0))/MAX(0.1,N(Parameter!$M$21))),"")</f>
        <v>57.1468926553672</v>
      </c>
      <c r="CT1356" s="64" t="n">
        <f aca="false">IF(CS1356="","",J1356/H1356)</f>
        <v>2</v>
      </c>
      <c r="CU1356" s="62" t="n">
        <f aca="false">IF(CS1356="","",H1356*G1356)</f>
        <v>2251.23</v>
      </c>
      <c r="CV1356" s="63" t="n">
        <f aca="false">IF(CS1356="","",(CL1356+ROUNDUP(CL1356+MAX(CM1356,2*(J1356/MAX(0.1,N(Einkauf!$C$6))-CL1356)),0))/2)</f>
        <v>1.5</v>
      </c>
      <c r="CW1356" s="62" t="n">
        <f aca="false">IF(CS1356="","",MAX(0,H1356-CV1356)*G1356)</f>
        <v>0</v>
      </c>
      <c r="CX1356" s="62" t="n">
        <f aca="false">IF(CS1356="","",CS1356*MAX(0,1-CV1356/H1356))</f>
        <v>0</v>
      </c>
      <c r="CY1356" s="64" t="n">
        <f aca="false">IF(CS1356="","",PERCENTRANK($CS$7:$CS$1843,CS1356)+PERCENTRANK($CU$7:$CU$1843,CU1356)+1-PERCENTRANK($CT$7:$CT$1843,CT1356))</f>
        <v>1.892</v>
      </c>
      <c r="CZ1356" s="72" t="n">
        <f aca="false">IF(CS1356="","",CHOOSE(MATCH(Einkauf!$C$5,Parameter!$G$23:$G$27,0),CY1356,CS1356,CU1356,-CT1356,CW1356)+ROW()/1000000000)</f>
        <v>1.892001356</v>
      </c>
    </row>
    <row r="1357" customFormat="false" ht="15" hidden="false" customHeight="false" outlineLevel="0" collapsed="false">
      <c r="A1357" s="60" t="s">
        <v>2435</v>
      </c>
      <c r="B1357" s="60" t="s">
        <v>2436</v>
      </c>
      <c r="C1357" s="60" t="s">
        <v>206</v>
      </c>
      <c r="D1357" s="60" t="s">
        <v>226</v>
      </c>
      <c r="E1357" s="60" t="s">
        <v>227</v>
      </c>
      <c r="F1357" s="60" t="s">
        <v>260</v>
      </c>
      <c r="G1357" s="61" t="n">
        <v>369.31</v>
      </c>
      <c r="H1357" s="62" t="n">
        <f aca="false">MAX(0,IF(AND(Parameter!$B$21="Ja",ISNUMBER(Y1357)),Y1357,IF(Parameter!$B$20="Jahresanfang 2025 + Export",BS1357+BR1357,BR1357)))</f>
        <v>1</v>
      </c>
      <c r="I1357" s="62" t="n">
        <f aca="false">H1357*G1357</f>
        <v>369.31</v>
      </c>
      <c r="J1357" s="62" t="n">
        <f aca="false">BU1357*Parameter!$B$18</f>
        <v>3</v>
      </c>
      <c r="K1357" s="63" t="n">
        <v>5.5</v>
      </c>
      <c r="L1357" s="64" t="n">
        <v>0.545454545454545</v>
      </c>
      <c r="M1357" s="62" t="n">
        <v>0</v>
      </c>
      <c r="N1357" s="62" t="n">
        <v>5</v>
      </c>
      <c r="O1357" s="65" t="n">
        <v>21</v>
      </c>
      <c r="P1357" s="60" t="s">
        <v>344</v>
      </c>
      <c r="Q1357" s="62" t="n">
        <v>4</v>
      </c>
      <c r="R1357" s="65" t="n">
        <f aca="false">IF(CA1357=1,0,IFERROR(VLOOKUP(BY1357,'Gebinde-Kategorie'!$A$5:$N$45,13,0)+0,0))</f>
        <v>26</v>
      </c>
      <c r="S1357" s="66"/>
      <c r="T1357" s="67"/>
      <c r="U1357" s="67"/>
      <c r="V1357" s="67"/>
      <c r="W1357" s="60"/>
      <c r="X1357" s="62"/>
      <c r="Y1357" s="62"/>
      <c r="Z1357" s="60" t="n">
        <v>3</v>
      </c>
      <c r="AA1357" s="60" t="n">
        <f aca="false">IF(A1357="","",IF(AND(Parameter!$B$21="Ja",ISNUMBER(W1357)),W1357,IF(AND(Parameter!$E$27="Ja",ISNUMBER(Z1357),CD1357&lt;&gt;"Nein"),Z1357,IF(CD1357="2+3",IF(ISNUMBER(SEARCH("grosser Artikel",BV1357)),2,IFERROR(VLOOKUP(BY1357,Parameter!$F$35:$G$64,2,0),2)),IF(OR(CD1357="Nein",CD1357=""),"-",CD1357)))))</f>
        <v>3</v>
      </c>
      <c r="AB1357" s="67"/>
      <c r="AC1357" s="68"/>
      <c r="AD1357" s="62" t="n">
        <f aca="false">AW1357</f>
        <v>5</v>
      </c>
      <c r="AE1357" s="62" t="n">
        <f aca="false">MAX(AW1357,H1357)</f>
        <v>5</v>
      </c>
      <c r="AF1357" s="69"/>
      <c r="AG1357" s="62" t="n">
        <f aca="false">IF(LEFT(Cockpit!$C$5,1)="A",H1357,IF(Parameter!$E$30="MAX-Bestand",IF(CI1357=1,CJ1357,IF(LEFT(Cockpit!$C$5,1)="B",AM1357,MAX(AM1357,H1357))),ROUNDUP(AK1357,0)))</f>
        <v>1</v>
      </c>
      <c r="AH1357" s="62" t="n">
        <f aca="false">IF(CA1357=1,0,ROUNDUP(AG1357/BZ1357,0))</f>
        <v>1</v>
      </c>
      <c r="AI1357" s="64" t="n">
        <f aca="false">IF(CR1357&gt;0,CR1357*MAX(1,AG1357/X1357),IF(CA1357=1,IF(AG1357&lt;=0,0,CE1357*MAX(1,IF(H1357&gt;0,AG1357/H1357,1))),IF(R1357&gt;0,AH1357/R1357,0))/MAX(0.1,N(Parameter!$M$21)))</f>
        <v>0.0384615384615385</v>
      </c>
      <c r="AJ1357" s="62" t="n">
        <f aca="false">AI1357*CC1357</f>
        <v>5.96153846153846</v>
      </c>
      <c r="AK1357" s="63" t="n">
        <f aca="false">IF(LEFT(Cockpit!$C$5,1)="A",H1357,IF(CI1357=1,(CL1357+CJ1357)/2,IF(LEFT(Cockpit!$C$5,1)="B",(CL1357+AM1357)/2,MAX((CL1357+AM1357)/2,H1357))))</f>
        <v>1</v>
      </c>
      <c r="AL1357" s="62" t="n">
        <f aca="false">AK1357*G1357</f>
        <v>369.31</v>
      </c>
      <c r="AM1357" s="62" t="n">
        <f aca="false">ROUNDUP(CL1357+MAX(CM1357,2*(J1357/IF(CH1357&gt;0,CH1357,MAX(0.1,N(Cockpit!$C$6)))-CL1357)),0)</f>
        <v>5</v>
      </c>
      <c r="AN1357" s="63" t="n">
        <f aca="false">IF(AJ1357&gt;0,J1357/AJ1357,-1)</f>
        <v>0.503225806451613</v>
      </c>
      <c r="AO1357" s="63" t="n">
        <f aca="false">IF(AND(OR(CG1357="L1",CG1357="L23",CG1357="LIFT"),AJ1357&gt;0),SUMIFS($AJ$7:$AJ$1843,$CG$7:$CG$1843,CG1357,$AN$7:$AN$1843,"&gt;"&amp;AN1357)+SUMIFS($AJ$7:$AJ$1843,$CG$7:$CG$1843,CG1357,$AN$7:$AN$1843,AN1357,$BX$7:$BX$1843,"&lt;="&amp;BX1357),"")</f>
        <v>9586.01050267999</v>
      </c>
      <c r="AP1357" s="70" t="n">
        <f aca="false">IF(AO1357="",0,MAX(0,MIN(1,(IF(CG1357="L1",Parameter!$H$5,IF(CG1357="L23",Parameter!$H$6+Parameter!$H$7,Parameter!$H$5+Parameter!$H$6+Parameter!$H$7))-(AO1357-AJ1357))/AJ1357)))</f>
        <v>1</v>
      </c>
      <c r="AQ1357" s="62" t="n">
        <f aca="false">IF(LEFT(Cockpit!$I$5,1)="A",H1357,IF(Parameter!$E$30="MAX-Bestand",IF(CI1357=1,CJ1357,IF(LEFT(Cockpit!$I$5,1)="B",AW1357,MAX(AW1357,H1357))),ROUNDUP(AU1357,0)))</f>
        <v>3</v>
      </c>
      <c r="AR1357" s="62" t="n">
        <f aca="false">IF(CA1357=1,0,ROUNDUP(AQ1357/BZ1357,0))</f>
        <v>1</v>
      </c>
      <c r="AS1357" s="64" t="n">
        <f aca="false">IF(CR1357&gt;0,CR1357*MAX(1,AQ1357/X1357),IF(CA1357=1,IF(AQ1357&lt;=0,0,CE1357*MAX(1,IF(H1357&gt;0,AQ1357/H1357,1))),IF(R1357&gt;0,AR1357/R1357,0))/MAX(0.1,N(Parameter!$M$21)))</f>
        <v>0.0384615384615385</v>
      </c>
      <c r="AT1357" s="62" t="n">
        <f aca="false">AS1357*CC1357</f>
        <v>5.96153846153846</v>
      </c>
      <c r="AU1357" s="63" t="n">
        <f aca="false">IF(LEFT(Cockpit!$I$5,1)="A",H1357,IF(CI1357=1,(CL1357+CJ1357)/2,IF(LEFT(Cockpit!$I$5,1)="B",(CL1357+AW1357)/2,MAX((CL1357+AW1357)/2,H1357))))</f>
        <v>2.5</v>
      </c>
      <c r="AV1357" s="62" t="n">
        <f aca="false">AU1357*G1357</f>
        <v>923.275</v>
      </c>
      <c r="AW1357" s="62" t="n">
        <f aca="false">ROUNDUP(CL1357+MAX(CM1357,2*(J1357/IF(CH1357&gt;0,CH1357,MAX(0.1,N(Cockpit!$I$6)))-CL1357)),0)</f>
        <v>5</v>
      </c>
      <c r="AX1357" s="63" t="n">
        <f aca="false">IF(AT1357&gt;0,J1357/AT1357,-1)</f>
        <v>0.503225806451613</v>
      </c>
      <c r="AY1357" s="63" t="n">
        <f aca="false">IF(AND(OR(CG1357="L1",CG1357="L23",CG1357="LIFT"),AT1357&gt;0),SUMIFS($AT$7:$AT$1843,$CG$7:$CG$1843,CG1357,$AX$7:$AX$1843,"&gt;"&amp;AX1357)+SUMIFS($AT$7:$AT$1843,$CG$7:$CG$1843,CG1357,$AX$7:$AX$1843,AX1357,$BX$7:$BX$1843,"&lt;="&amp;BX1357),"")</f>
        <v>11999.8470695971</v>
      </c>
      <c r="AZ1357" s="70" t="n">
        <f aca="false">IF(AY1357="",0,MAX(0,MIN(1,(IF(CG1357="L1",Parameter!$H$5,IF(CG1357="L23",Parameter!$H$6+Parameter!$H$7,Parameter!$H$5+Parameter!$H$6+Parameter!$H$7))-(AY1357-AT1357))/AT1357)))</f>
        <v>1</v>
      </c>
      <c r="BA1357" s="62" t="n">
        <f aca="false">IF(LEFT(Cockpit!$O$5,1)="A",H1357,IF(Parameter!$E$30="MAX-Bestand",IF(CI1357=1,CJ1357,IF(LEFT(Cockpit!$O$5,1)="B",BG1357,MAX(BG1357,H1357))),ROUNDUP(BE1357,0)))</f>
        <v>3</v>
      </c>
      <c r="BB1357" s="62" t="n">
        <f aca="false">IF(CA1357=1,0,ROUNDUP(BA1357/BZ1357,0))</f>
        <v>1</v>
      </c>
      <c r="BC1357" s="64" t="n">
        <f aca="false">IF(CR1357&gt;0,CR1357*MAX(1,BA1357/X1357),IF(CA1357=1,IF(BA1357&lt;=0,0,CE1357*MAX(1,IF(H1357&gt;0,BA1357/H1357,1))),IF(R1357&gt;0,BB1357/R1357,0))/MAX(0.1,N(Parameter!$M$21)))</f>
        <v>0.0384615384615385</v>
      </c>
      <c r="BD1357" s="62" t="n">
        <f aca="false">BC1357*CC1357</f>
        <v>5.96153846153846</v>
      </c>
      <c r="BE1357" s="63" t="n">
        <f aca="false">IF(LEFT(Cockpit!$O$5,1)="A",H1357,IF(CI1357=1,(CL1357+CJ1357)/2,IF(LEFT(Cockpit!$O$5,1)="B",(CL1357+BG1357)/2,MAX((CL1357+BG1357)/2,H1357))))</f>
        <v>2.5</v>
      </c>
      <c r="BF1357" s="62" t="n">
        <f aca="false">BE1357*G1357</f>
        <v>923.275</v>
      </c>
      <c r="BG1357" s="62" t="n">
        <f aca="false">ROUNDUP(CL1357+MAX(CM1357,2*(J1357/IF(CH1357&gt;0,CH1357,MAX(0.1,N(Cockpit!$O$6)))-CL1357)),0)</f>
        <v>5</v>
      </c>
      <c r="BH1357" s="63" t="n">
        <f aca="false">IF(BD1357&gt;0,J1357/BD1357,-1)</f>
        <v>0.503225806451613</v>
      </c>
      <c r="BI1357" s="63" t="n">
        <f aca="false">IF(AND(OR(CG1357="L1",CG1357="L23",CG1357="LIFT"),BD1357&gt;0),SUMIFS($BD$7:$BD$1843,$CG$7:$CG$1843,CG1357,$BH$7:$BH$1843,"&gt;"&amp;BH1357)+SUMIFS($BD$7:$BD$1843,$CG$7:$CG$1843,CG1357,$BH$7:$BH$1843,BH1357,$BX$7:$BX$1843,"&lt;="&amp;BX1357),"")</f>
        <v>10363.2632783883</v>
      </c>
      <c r="BJ1357" s="70" t="n">
        <f aca="false">IF(BI1357="",0,MAX(0,MIN(1,(IF(CG1357="L1",Parameter!$H$5,IF(CG1357="L23",Parameter!$H$6+Parameter!$H$7,Parameter!$H$5+Parameter!$H$6+Parameter!$H$7))-(BI1357-BD1357))/BD1357)))</f>
        <v>1</v>
      </c>
      <c r="BK1357" s="60" t="str">
        <f aca="false">IF(AJ1357&lt;=0,"",IF(CG1357="Aussen","Aussenlager",IF(CG1357="-","Nicht im Lift",IF(AP1357&gt;=1,"Lift",IF(AP1357&lt;=0,"Aussenlager","teilweise")))))</f>
        <v>Lift</v>
      </c>
      <c r="BL1357" s="60" t="str">
        <f aca="false">IF(AT1357&lt;=0,"",IF(CG1357="Aussen","Aussenlager",IF(CG1357="-","Nicht im Lift",IF(AZ1357&gt;=1,"Lift",IF(AZ1357&lt;=0,"Aussenlager","teilweise")))))</f>
        <v>Lift</v>
      </c>
      <c r="BM1357" s="60" t="str">
        <f aca="false">IF(BD1357&lt;=0,"",IF(CG1357="Aussen","Aussenlager",IF(CG1357="-","Nicht im Lift",IF(BJ1357&gt;=1,"Lift",IF(BJ1357&lt;=0,"Aussenlager","teilweise")))))</f>
        <v>Lift</v>
      </c>
      <c r="BN1357" s="60" t="str">
        <f aca="false">IF(A1357="","",IF(BW1357=1,"Neu; ","")&amp;IF(AND(BW1357=0,BR1357&lt;0),"negativer Bestand (Export "&amp;BR1357&amp;"); ","")&amp;IF(J1357&lt;=0,"Kein Verbrauch; ","")&amp;IF(CR1357&gt;0,"Lift "&amp;W1357&amp;" lt. Liftbericht (Fach "&amp;X1357&amp;" Stk); ",IF(CB1357=1,"Gebinde geschätzt ("&amp;T1357&amp;"); ",IF(CA1357=1,"Lose – Tablare geschätzt; ","")))&amp;IF(H1357&gt;AW1357,"Überbestand "&amp;ROUND(H1357-AW1357,0)&amp;" Stk / CHF "&amp;ROUND((H1357-AW1357)*G1357,0)&amp;"; ","")&amp;IF(AND(CI1357=1,CJ1357&lt;CK1357),"MAX &lt; MB+LG; ","")&amp;IF(AND(CQ1357&gt;0,CP1357*10&gt;CQ1357),"zu hoch für Tablar; ","")&amp;IF(AND(BW1357=0,OR(CI1357=1,AB1357&lt;&gt;"",U1357&lt;&gt;"",V1357&lt;&gt;"",AC1357&lt;&gt;"")),"manuell übersteuert; ","")&amp;IF(AND(CA1357=0,R1357=0),"Gebinde unbekannt / Stellmass fehlt; ","")&amp;IF(AND(CA1357=0,N(V1357)&lt;=0,N(Q1357)&lt;=0),"Menge pro Gebinde fehlt (Ist = 1 Gebinde); ","")&amp;BV1357)</f>
        <v>negativer Bestand (Export -6); Neu</v>
      </c>
      <c r="BO1357" s="60"/>
      <c r="BP1357" s="60"/>
      <c r="BQ1357" s="67"/>
      <c r="BR1357" s="62" t="n">
        <v>-6</v>
      </c>
      <c r="BS1357" s="62" t="n">
        <v>7</v>
      </c>
      <c r="BT1357" s="61" t="n">
        <v>-2215.86</v>
      </c>
      <c r="BU1357" s="62" t="n">
        <v>3</v>
      </c>
      <c r="BV1357" s="60" t="s">
        <v>668</v>
      </c>
      <c r="BW1357" s="65" t="n">
        <v>0</v>
      </c>
      <c r="BX1357" s="65" t="n">
        <v>1357</v>
      </c>
      <c r="BY1357" s="60" t="str">
        <f aca="false">IF(U1357&lt;&gt;"",UPPER(TRIM(U1357)),IF(CB1357=1,UPPER(VLOOKUP(T1357,Parameter!$I$27:$K$29,2,0)),IF(P1357="","LOSE",P1357)))</f>
        <v>S51</v>
      </c>
      <c r="BZ1357" s="62" t="n">
        <f aca="false">IF(BY1357="LOSE",1,IF(N(V1357)&gt;0,V1357,IF(CB1357=1,MAX(1,N(VLOOKUP(T1357,Parameter!$I$27:$K$29,3,0)),H1357,N(N1357)),IF(N(Q1357)&gt;0,Q1357,MAX(1,H1357)))))</f>
        <v>4</v>
      </c>
      <c r="CA1357" s="65" t="n">
        <f aca="false">IF(BY1357="LOSE",1,0)</f>
        <v>0</v>
      </c>
      <c r="CB1357" s="65" t="n">
        <f aca="false">IF(AND(U1357="",OR(P1357="",P1357="LOSE"),T1357&lt;&gt;"",N(S1357)&lt;=0,ISNUMBER(MATCH(T1357,Parameter!$I$27:$I$29,0))),1,0)</f>
        <v>0</v>
      </c>
      <c r="CC1357" s="65" t="n">
        <f aca="false">IF(CR1357&gt;0,INDEX(Parameter!$H$5:$H$7,W1357)/INDEX(Parameter!$E$5:$E$7,W1357),IF(AND(CA1357=0,N(IFERROR(VLOOKUP(BY1357,'Gebinde-Kategorie'!$A$5:$N$45,14,0),0))&gt;0),VLOOKUP(BY1357,'Gebinde-Kategorie'!$A$5:$N$45,14,0)*10+Parameter!$M$23,Parameter!$M$24))</f>
        <v>155</v>
      </c>
      <c r="CD1357" s="60" t="str">
        <f aca="false">IF(AND(Parameter!$B$19="Ja",E1357&lt;&gt;"",ISNUMBER(MATCH(E1357,Parameter!$I$35:$I$52,0))),VLOOKUP(E1357,Parameter!$I$35:$J$52,2,0),IFERROR(VLOOKUP(D1357,Parameter!$A$35:$C$64,2,0),"Nein"))</f>
        <v>2+3</v>
      </c>
      <c r="CE1357" s="64" t="n">
        <f aca="false">IF(CA1357=0,0,IF(N(S1357)&gt;0,S1357,IFERROR(VLOOKUP(D1357,Parameter!$A$35:$C$64,3,0)+0,0)))</f>
        <v>0</v>
      </c>
      <c r="CF1357" s="60" t="n">
        <f aca="false">IF(AB1357&lt;&gt;"",AB1357,AA1357)</f>
        <v>3</v>
      </c>
      <c r="CG1357" s="60" t="str">
        <f aca="false">IF(OR(CF1357=1,CF1357=2,CF1357=3),IF(Parameter!$E$27="Ja","LIFT",IF(CF1357=1,"L1","L23")),IF(CF1357="Aussen","Aussen","-"))</f>
        <v>LIFT</v>
      </c>
      <c r="CH1357" s="71" t="n">
        <f aca="false">IF(N(AC1357)&gt;0,AC1357,0)</f>
        <v>0</v>
      </c>
      <c r="CI1357" s="65" t="n">
        <f aca="false">IF(ISNUMBER(AF1357),1,0)</f>
        <v>0</v>
      </c>
      <c r="CJ1357" s="62" t="n">
        <f aca="false">N(AF1357)</f>
        <v>0</v>
      </c>
      <c r="CK1357" s="62" t="n">
        <f aca="false">N(M1357)+N(N1357)</f>
        <v>5</v>
      </c>
      <c r="CL1357" s="62" t="n">
        <f aca="false">N(M1357)</f>
        <v>0</v>
      </c>
      <c r="CM1357" s="62" t="n">
        <f aca="false">N(N1357)</f>
        <v>5</v>
      </c>
      <c r="CN1357" s="62" t="n">
        <f aca="false">ROUNDUP(H1357/BZ1357,0)</f>
        <v>1</v>
      </c>
      <c r="CO1357" s="62" t="n">
        <f aca="false">ROUNDUP(CJ1357/BZ1357,0)</f>
        <v>0</v>
      </c>
      <c r="CP1357" s="65" t="n">
        <f aca="false">IF(CA1357=1,0,IFERROR(VLOOKUP(BY1357,'Gebinde-Kategorie'!$A$5:$N$45,5,0)+0,0))</f>
        <v>11</v>
      </c>
      <c r="CQ1357" s="65" t="n">
        <f aca="false">IFERROR(IF(OR(CF1357=1,CF1357=2,CF1357=3),N(INDEX(Parameter!$I$5:$I$7,CF1357)),0),0)</f>
        <v>0</v>
      </c>
      <c r="CR1357" s="64" t="n">
        <f aca="false">IF(AND(Parameter!$B$21="Ja",ISNUMBER(W1357),N(X1357)&gt;0),IFERROR(N(INDEX(Parameter!$L$5:$L$7,W1357))*INDEX(Parameter!$E$5:$E$7,W1357)*X1357/SUMIFS($X$7:$X$1843,$W$7:$W$1843,W1357),0),0)</f>
        <v>0</v>
      </c>
      <c r="CS1357" s="62" t="n">
        <f aca="false">IF(AND(OR(CG1357="L1",CG1357="L23",CG1357="LIFT"),H1357&gt;0),CC1357*IF(CR1357&gt;0,CR1357*MAX(1,H1357/X1357),IF(CA1357=1,CE1357,IF(R1357&gt;0,CN1357/R1357,0))/MAX(0.1,N(Parameter!$M$21))),"")</f>
        <v>5.96153846153846</v>
      </c>
      <c r="CT1357" s="64" t="n">
        <f aca="false">IF(CS1357="","",J1357/H1357)</f>
        <v>3</v>
      </c>
      <c r="CU1357" s="62" t="n">
        <f aca="false">IF(CS1357="","",H1357*G1357)</f>
        <v>369.31</v>
      </c>
      <c r="CV1357" s="63" t="n">
        <f aca="false">IF(CS1357="","",(CL1357+ROUNDUP(CL1357+MAX(CM1357,2*(J1357/MAX(0.1,N(Einkauf!$C$6))-CL1357)),0))/2)</f>
        <v>2.5</v>
      </c>
      <c r="CW1357" s="62" t="n">
        <f aca="false">IF(CS1357="","",MAX(0,H1357-CV1357)*G1357)</f>
        <v>0</v>
      </c>
      <c r="CX1357" s="62" t="n">
        <f aca="false">IF(CS1357="","",CS1357*MAX(0,1-CV1357/H1357))</f>
        <v>0</v>
      </c>
      <c r="CY1357" s="64" t="n">
        <f aca="false">IF(CS1357="","",PERCENTRANK($CS$7:$CS$1843,CS1357)+PERCENTRANK($CU$7:$CU$1843,CU1357)+1-PERCENTRANK($CT$7:$CT$1843,CT1357))</f>
        <v>0.939</v>
      </c>
      <c r="CZ1357" s="72" t="n">
        <f aca="false">IF(CS1357="","",CHOOSE(MATCH(Einkauf!$C$5,Parameter!$G$23:$G$27,0),CY1357,CS1357,CU1357,-CT1357,CW1357)+ROW()/1000000000)</f>
        <v>0.939001357</v>
      </c>
    </row>
    <row r="1358" customFormat="false" ht="15" hidden="false" customHeight="false" outlineLevel="0" collapsed="false">
      <c r="A1358" s="60" t="s">
        <v>2437</v>
      </c>
      <c r="B1358" s="60" t="s">
        <v>332</v>
      </c>
      <c r="C1358" s="60" t="s">
        <v>206</v>
      </c>
      <c r="D1358" s="60" t="s">
        <v>215</v>
      </c>
      <c r="E1358" s="60"/>
      <c r="F1358" s="60" t="s">
        <v>260</v>
      </c>
      <c r="G1358" s="61" t="n">
        <v>221.79</v>
      </c>
      <c r="H1358" s="62" t="n">
        <f aca="false">MAX(0,IF(AND(Parameter!$B$21="Ja",ISNUMBER(Y1358)),Y1358,IF(Parameter!$B$20="Jahresanfang 2025 + Export",BS1358+BR1358,BR1358)))</f>
        <v>20</v>
      </c>
      <c r="I1358" s="62" t="n">
        <f aca="false">H1358*G1358</f>
        <v>4435.8</v>
      </c>
      <c r="J1358" s="62" t="n">
        <f aca="false">BU1358*Parameter!$B$18</f>
        <v>5</v>
      </c>
      <c r="K1358" s="63" t="n">
        <v>26.5</v>
      </c>
      <c r="L1358" s="64" t="n">
        <v>0.188679245283019</v>
      </c>
      <c r="M1358" s="62" t="n">
        <v>0</v>
      </c>
      <c r="N1358" s="62" t="n">
        <v>5</v>
      </c>
      <c r="O1358" s="65" t="n">
        <v>56</v>
      </c>
      <c r="P1358" s="60" t="s">
        <v>216</v>
      </c>
      <c r="Q1358" s="62" t="n">
        <v>20</v>
      </c>
      <c r="R1358" s="65" t="n">
        <f aca="false">IF(CA1358=1,0,IFERROR(VLOOKUP(BY1358,'Gebinde-Kategorie'!$A$5:$N$45,13,0)+0,0))</f>
        <v>6</v>
      </c>
      <c r="S1358" s="66"/>
      <c r="T1358" s="67"/>
      <c r="U1358" s="67"/>
      <c r="V1358" s="67"/>
      <c r="W1358" s="60"/>
      <c r="X1358" s="62"/>
      <c r="Y1358" s="62"/>
      <c r="Z1358" s="60" t="n">
        <v>1</v>
      </c>
      <c r="AA1358" s="60" t="n">
        <f aca="false">IF(A1358="","",IF(AND(Parameter!$B$21="Ja",ISNUMBER(W1358)),W1358,IF(AND(Parameter!$E$27="Ja",ISNUMBER(Z1358),CD1358&lt;&gt;"Nein"),Z1358,IF(CD1358="2+3",IF(ISNUMBER(SEARCH("grosser Artikel",BV1358)),2,IFERROR(VLOOKUP(BY1358,Parameter!$F$35:$G$64,2,0),2)),IF(OR(CD1358="Nein",CD1358=""),"-",CD1358)))))</f>
        <v>1</v>
      </c>
      <c r="AB1358" s="67"/>
      <c r="AC1358" s="68"/>
      <c r="AD1358" s="62" t="n">
        <f aca="false">AW1358</f>
        <v>5</v>
      </c>
      <c r="AE1358" s="62" t="n">
        <f aca="false">MAX(AW1358,H1358)</f>
        <v>20</v>
      </c>
      <c r="AF1358" s="69"/>
      <c r="AG1358" s="62" t="n">
        <f aca="false">IF(LEFT(Cockpit!$C$5,1)="A",H1358,IF(Parameter!$E$30="MAX-Bestand",IF(CI1358=1,CJ1358,IF(LEFT(Cockpit!$C$5,1)="B",AM1358,MAX(AM1358,H1358))),ROUNDUP(AK1358,0)))</f>
        <v>20</v>
      </c>
      <c r="AH1358" s="62" t="n">
        <f aca="false">IF(CA1358=1,0,ROUNDUP(AG1358/BZ1358,0))</f>
        <v>1</v>
      </c>
      <c r="AI1358" s="64" t="n">
        <f aca="false">IF(CR1358&gt;0,CR1358*MAX(1,AG1358/X1358),IF(CA1358=1,IF(AG1358&lt;=0,0,CE1358*MAX(1,IF(H1358&gt;0,AG1358/H1358,1))),IF(R1358&gt;0,AH1358/R1358,0))/MAX(0.1,N(Parameter!$M$21)))</f>
        <v>0.166666666666667</v>
      </c>
      <c r="AJ1358" s="62" t="n">
        <f aca="false">AI1358*CC1358</f>
        <v>39.1666666666667</v>
      </c>
      <c r="AK1358" s="63" t="n">
        <f aca="false">IF(LEFT(Cockpit!$C$5,1)="A",H1358,IF(CI1358=1,(CL1358+CJ1358)/2,IF(LEFT(Cockpit!$C$5,1)="B",(CL1358+AM1358)/2,MAX((CL1358+AM1358)/2,H1358))))</f>
        <v>20</v>
      </c>
      <c r="AL1358" s="62" t="n">
        <f aca="false">AK1358*G1358</f>
        <v>4435.8</v>
      </c>
      <c r="AM1358" s="62" t="n">
        <f aca="false">ROUNDUP(CL1358+MAX(CM1358,2*(J1358/IF(CH1358&gt;0,CH1358,MAX(0.1,N(Cockpit!$C$6)))-CL1358)),0)</f>
        <v>5</v>
      </c>
      <c r="AN1358" s="63" t="n">
        <f aca="false">IF(AJ1358&gt;0,J1358/AJ1358,-1)</f>
        <v>0.127659574468085</v>
      </c>
      <c r="AO1358" s="63" t="n">
        <f aca="false">IF(AND(OR(CG1358="L1",CG1358="L23",CG1358="LIFT"),AJ1358&gt;0),SUMIFS($AJ$7:$AJ$1843,$CG$7:$CG$1843,CG1358,$AN$7:$AN$1843,"&gt;"&amp;AN1358)+SUMIFS($AJ$7:$AJ$1843,$CG$7:$CG$1843,CG1358,$AN$7:$AN$1843,AN1358,$BX$7:$BX$1843,"&lt;="&amp;BX1358),"")</f>
        <v>13901.6303599884</v>
      </c>
      <c r="AP1358" s="70" t="n">
        <f aca="false">IF(AO1358="",0,MAX(0,MIN(1,(IF(CG1358="L1",Parameter!$H$5,IF(CG1358="L23",Parameter!$H$6+Parameter!$H$7,Parameter!$H$5+Parameter!$H$6+Parameter!$H$7))-(AO1358-AJ1358))/AJ1358)))</f>
        <v>1</v>
      </c>
      <c r="AQ1358" s="62" t="n">
        <f aca="false">IF(LEFT(Cockpit!$I$5,1)="A",H1358,IF(Parameter!$E$30="MAX-Bestand",IF(CI1358=1,CJ1358,IF(LEFT(Cockpit!$I$5,1)="B",AW1358,MAX(AW1358,H1358))),ROUNDUP(AU1358,0)))</f>
        <v>20</v>
      </c>
      <c r="AR1358" s="62" t="n">
        <f aca="false">IF(CA1358=1,0,ROUNDUP(AQ1358/BZ1358,0))</f>
        <v>1</v>
      </c>
      <c r="AS1358" s="64" t="n">
        <f aca="false">IF(CR1358&gt;0,CR1358*MAX(1,AQ1358/X1358),IF(CA1358=1,IF(AQ1358&lt;=0,0,CE1358*MAX(1,IF(H1358&gt;0,AQ1358/H1358,1))),IF(R1358&gt;0,AR1358/R1358,0))/MAX(0.1,N(Parameter!$M$21)))</f>
        <v>0.166666666666667</v>
      </c>
      <c r="AT1358" s="62" t="n">
        <f aca="false">AS1358*CC1358</f>
        <v>39.1666666666667</v>
      </c>
      <c r="AU1358" s="63" t="n">
        <f aca="false">IF(LEFT(Cockpit!$I$5,1)="A",H1358,IF(CI1358=1,(CL1358+CJ1358)/2,IF(LEFT(Cockpit!$I$5,1)="B",(CL1358+AW1358)/2,MAX((CL1358+AW1358)/2,H1358))))</f>
        <v>20</v>
      </c>
      <c r="AV1358" s="62" t="n">
        <f aca="false">AU1358*G1358</f>
        <v>4435.8</v>
      </c>
      <c r="AW1358" s="62" t="n">
        <f aca="false">ROUNDUP(CL1358+MAX(CM1358,2*(J1358/IF(CH1358&gt;0,CH1358,MAX(0.1,N(Cockpit!$I$6)))-CL1358)),0)</f>
        <v>5</v>
      </c>
      <c r="AX1358" s="63" t="n">
        <f aca="false">IF(AT1358&gt;0,J1358/AT1358,-1)</f>
        <v>0.127659574468085</v>
      </c>
      <c r="AY1358" s="63" t="n">
        <f aca="false">IF(AND(OR(CG1358="L1",CG1358="L23",CG1358="LIFT"),AT1358&gt;0),SUMIFS($AT$7:$AT$1843,$CG$7:$CG$1843,CG1358,$AX$7:$AX$1843,"&gt;"&amp;AX1358)+SUMIFS($AT$7:$AT$1843,$CG$7:$CG$1843,CG1358,$AX$7:$AX$1843,AX1358,$BX$7:$BX$1843,"&lt;="&amp;BX1358),"")</f>
        <v>17926.0290013659</v>
      </c>
      <c r="AZ1358" s="70" t="n">
        <f aca="false">IF(AY1358="",0,MAX(0,MIN(1,(IF(CG1358="L1",Parameter!$H$5,IF(CG1358="L23",Parameter!$H$6+Parameter!$H$7,Parameter!$H$5+Parameter!$H$6+Parameter!$H$7))-(AY1358-AT1358))/AT1358)))</f>
        <v>1</v>
      </c>
      <c r="BA1358" s="62" t="n">
        <f aca="false">IF(LEFT(Cockpit!$O$5,1)="A",H1358,IF(Parameter!$E$30="MAX-Bestand",IF(CI1358=1,CJ1358,IF(LEFT(Cockpit!$O$5,1)="B",BG1358,MAX(BG1358,H1358))),ROUNDUP(BE1358,0)))</f>
        <v>3</v>
      </c>
      <c r="BB1358" s="62" t="n">
        <f aca="false">IF(CA1358=1,0,ROUNDUP(BA1358/BZ1358,0))</f>
        <v>1</v>
      </c>
      <c r="BC1358" s="64" t="n">
        <f aca="false">IF(CR1358&gt;0,CR1358*MAX(1,BA1358/X1358),IF(CA1358=1,IF(BA1358&lt;=0,0,CE1358*MAX(1,IF(H1358&gt;0,BA1358/H1358,1))),IF(R1358&gt;0,BB1358/R1358,0))/MAX(0.1,N(Parameter!$M$21)))</f>
        <v>0.166666666666667</v>
      </c>
      <c r="BD1358" s="62" t="n">
        <f aca="false">BC1358*CC1358</f>
        <v>39.1666666666667</v>
      </c>
      <c r="BE1358" s="63" t="n">
        <f aca="false">IF(LEFT(Cockpit!$O$5,1)="A",H1358,IF(CI1358=1,(CL1358+CJ1358)/2,IF(LEFT(Cockpit!$O$5,1)="B",(CL1358+BG1358)/2,MAX((CL1358+BG1358)/2,H1358))))</f>
        <v>2.5</v>
      </c>
      <c r="BF1358" s="62" t="n">
        <f aca="false">BE1358*G1358</f>
        <v>554.475</v>
      </c>
      <c r="BG1358" s="62" t="n">
        <f aca="false">ROUNDUP(CL1358+MAX(CM1358,2*(J1358/IF(CH1358&gt;0,CH1358,MAX(0.1,N(Cockpit!$O$6)))-CL1358)),0)</f>
        <v>5</v>
      </c>
      <c r="BH1358" s="63" t="n">
        <f aca="false">IF(BD1358&gt;0,J1358/BD1358,-1)</f>
        <v>0.127659574468085</v>
      </c>
      <c r="BI1358" s="63" t="n">
        <f aca="false">IF(AND(OR(CG1358="L1",CG1358="L23",CG1358="LIFT"),BD1358&gt;0),SUMIFS($BD$7:$BD$1843,$CG$7:$CG$1843,CG1358,$BH$7:$BH$1843,"&gt;"&amp;BH1358)+SUMIFS($BD$7:$BD$1843,$CG$7:$CG$1843,CG1358,$BH$7:$BH$1843,BH1358,$BX$7:$BX$1843,"&lt;="&amp;BX1358),"")</f>
        <v>15316.0082805612</v>
      </c>
      <c r="BJ1358" s="70" t="n">
        <f aca="false">IF(BI1358="",0,MAX(0,MIN(1,(IF(CG1358="L1",Parameter!$H$5,IF(CG1358="L23",Parameter!$H$6+Parameter!$H$7,Parameter!$H$5+Parameter!$H$6+Parameter!$H$7))-(BI1358-BD1358))/BD1358)))</f>
        <v>1</v>
      </c>
      <c r="BK1358" s="60" t="str">
        <f aca="false">IF(AJ1358&lt;=0,"",IF(CG1358="Aussen","Aussenlager",IF(CG1358="-","Nicht im Lift",IF(AP1358&gt;=1,"Lift",IF(AP1358&lt;=0,"Aussenlager","teilweise")))))</f>
        <v>Lift</v>
      </c>
      <c r="BL1358" s="60" t="str">
        <f aca="false">IF(AT1358&lt;=0,"",IF(CG1358="Aussen","Aussenlager",IF(CG1358="-","Nicht im Lift",IF(AZ1358&gt;=1,"Lift",IF(AZ1358&lt;=0,"Aussenlager","teilweise")))))</f>
        <v>Lift</v>
      </c>
      <c r="BM1358" s="60" t="str">
        <f aca="false">IF(BD1358&lt;=0,"",IF(CG1358="Aussen","Aussenlager",IF(CG1358="-","Nicht im Lift",IF(BJ1358&gt;=1,"Lift",IF(BJ1358&lt;=0,"Aussenlager","teilweise")))))</f>
        <v>Lift</v>
      </c>
      <c r="BN1358" s="60" t="str">
        <f aca="false">IF(A1358="","",IF(BW1358=1,"Neu; ","")&amp;IF(AND(BW1358=0,BR1358&lt;0),"negativer Bestand (Export "&amp;BR1358&amp;"); ","")&amp;IF(J1358&lt;=0,"Kein Verbrauch; ","")&amp;IF(CR1358&gt;0,"Lift "&amp;W1358&amp;" lt. Liftbericht (Fach "&amp;X1358&amp;" Stk); ",IF(CB1358=1,"Gebinde geschätzt ("&amp;T1358&amp;"); ",IF(CA1358=1,"Lose – Tablare geschätzt; ","")))&amp;IF(H1358&gt;AW1358,"Überbestand "&amp;ROUND(H1358-AW1358,0)&amp;" Stk / CHF "&amp;ROUND((H1358-AW1358)*G1358,0)&amp;"; ","")&amp;IF(AND(CI1358=1,CJ1358&lt;CK1358),"MAX &lt; MB+LG; ","")&amp;IF(AND(CQ1358&gt;0,CP1358*10&gt;CQ1358),"zu hoch für Tablar; ","")&amp;IF(AND(BW1358=0,OR(CI1358=1,AB1358&lt;&gt;"",U1358&lt;&gt;"",V1358&lt;&gt;"",AC1358&lt;&gt;"")),"manuell übersteuert; ","")&amp;IF(AND(CA1358=0,R1358=0),"Gebinde unbekannt / Stellmass fehlt; ","")&amp;IF(AND(CA1358=0,N(V1358)&lt;=0,N(Q1358)&lt;=0),"Menge pro Gebinde fehlt (Ist = 1 Gebinde); ","")&amp;BV1358)</f>
        <v>negativer Bestand (Export -10); Überbestand 15 Stk / CHF 3327; </v>
      </c>
      <c r="BO1358" s="60"/>
      <c r="BP1358" s="60"/>
      <c r="BQ1358" s="67"/>
      <c r="BR1358" s="62" t="n">
        <v>-10</v>
      </c>
      <c r="BS1358" s="62" t="n">
        <v>30</v>
      </c>
      <c r="BT1358" s="61" t="n">
        <v>-2217.9</v>
      </c>
      <c r="BU1358" s="62" t="n">
        <v>5</v>
      </c>
      <c r="BV1358" s="60"/>
      <c r="BW1358" s="65" t="n">
        <v>0</v>
      </c>
      <c r="BX1358" s="65" t="n">
        <v>1358</v>
      </c>
      <c r="BY1358" s="60" t="str">
        <f aca="false">IF(U1358&lt;&gt;"",UPPER(TRIM(U1358)),IF(CB1358=1,UPPER(VLOOKUP(T1358,Parameter!$I$27:$K$29,2,0)),IF(P1358="","LOSE",P1358)))</f>
        <v>S71</v>
      </c>
      <c r="BZ1358" s="62" t="n">
        <f aca="false">IF(BY1358="LOSE",1,IF(N(V1358)&gt;0,V1358,IF(CB1358=1,MAX(1,N(VLOOKUP(T1358,Parameter!$I$27:$K$29,3,0)),H1358,N(N1358)),IF(N(Q1358)&gt;0,Q1358,MAX(1,H1358)))))</f>
        <v>20</v>
      </c>
      <c r="CA1358" s="65" t="n">
        <f aca="false">IF(BY1358="LOSE",1,0)</f>
        <v>0</v>
      </c>
      <c r="CB1358" s="65" t="n">
        <f aca="false">IF(AND(U1358="",OR(P1358="",P1358="LOSE"),T1358&lt;&gt;"",N(S1358)&lt;=0,ISNUMBER(MATCH(T1358,Parameter!$I$27:$I$29,0))),1,0)</f>
        <v>0</v>
      </c>
      <c r="CC1358" s="65" t="n">
        <f aca="false">IF(CR1358&gt;0,INDEX(Parameter!$H$5:$H$7,W1358)/INDEX(Parameter!$E$5:$E$7,W1358),IF(AND(CA1358=0,N(IFERROR(VLOOKUP(BY1358,'Gebinde-Kategorie'!$A$5:$N$45,14,0),0))&gt;0),VLOOKUP(BY1358,'Gebinde-Kategorie'!$A$5:$N$45,14,0)*10+Parameter!$M$23,Parameter!$M$24))</f>
        <v>235</v>
      </c>
      <c r="CD1358" s="60" t="str">
        <f aca="false">IF(AND(Parameter!$B$19="Ja",E1358&lt;&gt;"",ISNUMBER(MATCH(E1358,Parameter!$I$35:$I$52,0))),VLOOKUP(E1358,Parameter!$I$35:$J$52,2,0),IFERROR(VLOOKUP(D1358,Parameter!$A$35:$C$64,2,0),"Nein"))</f>
        <v>2+3</v>
      </c>
      <c r="CE1358" s="64" t="n">
        <f aca="false">IF(CA1358=0,0,IF(N(S1358)&gt;0,S1358,IFERROR(VLOOKUP(D1358,Parameter!$A$35:$C$64,3,0)+0,0)))</f>
        <v>0</v>
      </c>
      <c r="CF1358" s="60" t="n">
        <f aca="false">IF(AB1358&lt;&gt;"",AB1358,AA1358)</f>
        <v>1</v>
      </c>
      <c r="CG1358" s="60" t="str">
        <f aca="false">IF(OR(CF1358=1,CF1358=2,CF1358=3),IF(Parameter!$E$27="Ja","LIFT",IF(CF1358=1,"L1","L23")),IF(CF1358="Aussen","Aussen","-"))</f>
        <v>LIFT</v>
      </c>
      <c r="CH1358" s="71" t="n">
        <f aca="false">IF(N(AC1358)&gt;0,AC1358,0)</f>
        <v>0</v>
      </c>
      <c r="CI1358" s="65" t="n">
        <f aca="false">IF(ISNUMBER(AF1358),1,0)</f>
        <v>0</v>
      </c>
      <c r="CJ1358" s="62" t="n">
        <f aca="false">N(AF1358)</f>
        <v>0</v>
      </c>
      <c r="CK1358" s="62" t="n">
        <f aca="false">N(M1358)+N(N1358)</f>
        <v>5</v>
      </c>
      <c r="CL1358" s="62" t="n">
        <f aca="false">N(M1358)</f>
        <v>0</v>
      </c>
      <c r="CM1358" s="62" t="n">
        <f aca="false">N(N1358)</f>
        <v>5</v>
      </c>
      <c r="CN1358" s="62" t="n">
        <f aca="false">ROUNDUP(H1358/BZ1358,0)</f>
        <v>1</v>
      </c>
      <c r="CO1358" s="62" t="n">
        <f aca="false">ROUNDUP(CJ1358/BZ1358,0)</f>
        <v>0</v>
      </c>
      <c r="CP1358" s="65" t="n">
        <f aca="false">IF(CA1358=1,0,IFERROR(VLOOKUP(BY1358,'Gebinde-Kategorie'!$A$5:$N$45,5,0)+0,0))</f>
        <v>20</v>
      </c>
      <c r="CQ1358" s="65" t="n">
        <f aca="false">IFERROR(IF(OR(CF1358=1,CF1358=2,CF1358=3),N(INDEX(Parameter!$I$5:$I$7,CF1358)),0),0)</f>
        <v>0</v>
      </c>
      <c r="CR1358" s="64" t="n">
        <f aca="false">IF(AND(Parameter!$B$21="Ja",ISNUMBER(W1358),N(X1358)&gt;0),IFERROR(N(INDEX(Parameter!$L$5:$L$7,W1358))*INDEX(Parameter!$E$5:$E$7,W1358)*X1358/SUMIFS($X$7:$X$1843,$W$7:$W$1843,W1358),0),0)</f>
        <v>0</v>
      </c>
      <c r="CS1358" s="62" t="n">
        <f aca="false">IF(AND(OR(CG1358="L1",CG1358="L23",CG1358="LIFT"),H1358&gt;0),CC1358*IF(CR1358&gt;0,CR1358*MAX(1,H1358/X1358),IF(CA1358=1,CE1358,IF(R1358&gt;0,CN1358/R1358,0))/MAX(0.1,N(Parameter!$M$21))),"")</f>
        <v>39.1666666666667</v>
      </c>
      <c r="CT1358" s="64" t="n">
        <f aca="false">IF(CS1358="","",J1358/H1358)</f>
        <v>0.25</v>
      </c>
      <c r="CU1358" s="62" t="n">
        <f aca="false">IF(CS1358="","",H1358*G1358)</f>
        <v>4435.8</v>
      </c>
      <c r="CV1358" s="63" t="n">
        <f aca="false">IF(CS1358="","",(CL1358+ROUNDUP(CL1358+MAX(CM1358,2*(J1358/MAX(0.1,N(Einkauf!$C$6))-CL1358)),0))/2)</f>
        <v>2.5</v>
      </c>
      <c r="CW1358" s="62" t="n">
        <f aca="false">IF(CS1358="","",MAX(0,H1358-CV1358)*G1358)</f>
        <v>3881.325</v>
      </c>
      <c r="CX1358" s="62" t="n">
        <f aca="false">IF(CS1358="","",CS1358*MAX(0,1-CV1358/H1358))</f>
        <v>34.2708333333333</v>
      </c>
      <c r="CY1358" s="64" t="n">
        <f aca="false">IF(CS1358="","",PERCENTRANK($CS$7:$CS$1843,CS1358)+PERCENTRANK($CU$7:$CU$1843,CU1358)+1-PERCENTRANK($CT$7:$CT$1843,CT1358))</f>
        <v>2.265</v>
      </c>
      <c r="CZ1358" s="72" t="n">
        <f aca="false">IF(CS1358="","",CHOOSE(MATCH(Einkauf!$C$5,Parameter!$G$23:$G$27,0),CY1358,CS1358,CU1358,-CT1358,CW1358)+ROW()/1000000000)</f>
        <v>2.265001358</v>
      </c>
    </row>
    <row r="1359" customFormat="false" ht="15" hidden="false" customHeight="false" outlineLevel="0" collapsed="false">
      <c r="A1359" s="60" t="s">
        <v>2438</v>
      </c>
      <c r="B1359" s="60" t="s">
        <v>640</v>
      </c>
      <c r="C1359" s="60" t="s">
        <v>206</v>
      </c>
      <c r="D1359" s="60" t="s">
        <v>226</v>
      </c>
      <c r="E1359" s="60" t="s">
        <v>227</v>
      </c>
      <c r="F1359" s="60" t="s">
        <v>260</v>
      </c>
      <c r="G1359" s="61" t="n">
        <v>49.99</v>
      </c>
      <c r="H1359" s="62" t="n">
        <f aca="false">MAX(0,IF(AND(Parameter!$B$21="Ja",ISNUMBER(Y1359)),Y1359,IF(Parameter!$B$20="Jahresanfang 2025 + Export",BS1359+BR1359,BR1359)))</f>
        <v>63</v>
      </c>
      <c r="I1359" s="62" t="n">
        <f aca="false">H1359*G1359</f>
        <v>3149.37</v>
      </c>
      <c r="J1359" s="62" t="n">
        <f aca="false">BU1359*Parameter!$B$18</f>
        <v>30</v>
      </c>
      <c r="K1359" s="63" t="n">
        <v>92.5</v>
      </c>
      <c r="L1359" s="64" t="n">
        <v>0.324324324324324</v>
      </c>
      <c r="M1359" s="62" t="n">
        <v>2</v>
      </c>
      <c r="N1359" s="62" t="n">
        <v>30</v>
      </c>
      <c r="O1359" s="65" t="n">
        <v>28</v>
      </c>
      <c r="P1359" s="60" t="s">
        <v>344</v>
      </c>
      <c r="Q1359" s="62" t="n">
        <v>161</v>
      </c>
      <c r="R1359" s="65" t="n">
        <f aca="false">IF(CA1359=1,0,IFERROR(VLOOKUP(BY1359,'Gebinde-Kategorie'!$A$5:$N$45,13,0)+0,0))</f>
        <v>26</v>
      </c>
      <c r="S1359" s="66"/>
      <c r="T1359" s="67"/>
      <c r="U1359" s="67"/>
      <c r="V1359" s="67"/>
      <c r="W1359" s="60"/>
      <c r="X1359" s="62"/>
      <c r="Y1359" s="62"/>
      <c r="Z1359" s="60" t="n">
        <v>3</v>
      </c>
      <c r="AA1359" s="60" t="n">
        <f aca="false">IF(A1359="","",IF(AND(Parameter!$B$21="Ja",ISNUMBER(W1359)),W1359,IF(AND(Parameter!$E$27="Ja",ISNUMBER(Z1359),CD1359&lt;&gt;"Nein"),Z1359,IF(CD1359="2+3",IF(ISNUMBER(SEARCH("grosser Artikel",BV1359)),2,IFERROR(VLOOKUP(BY1359,Parameter!$F$35:$G$64,2,0),2)),IF(OR(CD1359="Nein",CD1359=""),"-",CD1359)))))</f>
        <v>3</v>
      </c>
      <c r="AB1359" s="67"/>
      <c r="AC1359" s="68"/>
      <c r="AD1359" s="62" t="n">
        <f aca="false">AW1359</f>
        <v>32</v>
      </c>
      <c r="AE1359" s="62" t="n">
        <f aca="false">MAX(AW1359,H1359)</f>
        <v>63</v>
      </c>
      <c r="AF1359" s="69"/>
      <c r="AG1359" s="62" t="n">
        <f aca="false">IF(LEFT(Cockpit!$C$5,1)="A",H1359,IF(Parameter!$E$30="MAX-Bestand",IF(CI1359=1,CJ1359,IF(LEFT(Cockpit!$C$5,1)="B",AM1359,MAX(AM1359,H1359))),ROUNDUP(AK1359,0)))</f>
        <v>63</v>
      </c>
      <c r="AH1359" s="62" t="n">
        <f aca="false">IF(CA1359=1,0,ROUNDUP(AG1359/BZ1359,0))</f>
        <v>1</v>
      </c>
      <c r="AI1359" s="64" t="n">
        <f aca="false">IF(CR1359&gt;0,CR1359*MAX(1,AG1359/X1359),IF(CA1359=1,IF(AG1359&lt;=0,0,CE1359*MAX(1,IF(H1359&gt;0,AG1359/H1359,1))),IF(R1359&gt;0,AH1359/R1359,0))/MAX(0.1,N(Parameter!$M$21)))</f>
        <v>0.0384615384615385</v>
      </c>
      <c r="AJ1359" s="62" t="n">
        <f aca="false">AI1359*CC1359</f>
        <v>5.96153846153846</v>
      </c>
      <c r="AK1359" s="63" t="n">
        <f aca="false">IF(LEFT(Cockpit!$C$5,1)="A",H1359,IF(CI1359=1,(CL1359+CJ1359)/2,IF(LEFT(Cockpit!$C$5,1)="B",(CL1359+AM1359)/2,MAX((CL1359+AM1359)/2,H1359))))</f>
        <v>63</v>
      </c>
      <c r="AL1359" s="62" t="n">
        <f aca="false">AK1359*G1359</f>
        <v>3149.37</v>
      </c>
      <c r="AM1359" s="62" t="n">
        <f aca="false">ROUNDUP(CL1359+MAX(CM1359,2*(J1359/IF(CH1359&gt;0,CH1359,MAX(0.1,N(Cockpit!$C$6)))-CL1359)),0)</f>
        <v>32</v>
      </c>
      <c r="AN1359" s="63" t="n">
        <f aca="false">IF(AJ1359&gt;0,J1359/AJ1359,-1)</f>
        <v>5.03225806451613</v>
      </c>
      <c r="AO1359" s="63" t="n">
        <f aca="false">IF(AND(OR(CG1359="L1",CG1359="L23",CG1359="LIFT"),AJ1359&gt;0),SUMIFS($AJ$7:$AJ$1843,$CG$7:$CG$1843,CG1359,$AN$7:$AN$1843,"&gt;"&amp;AN1359)+SUMIFS($AJ$7:$AJ$1843,$CG$7:$CG$1843,CG1359,$AN$7:$AN$1843,AN1359,$BX$7:$BX$1843,"&lt;="&amp;BX1359),"")</f>
        <v>3894.08562271062</v>
      </c>
      <c r="AP1359" s="70" t="n">
        <f aca="false">IF(AO1359="",0,MAX(0,MIN(1,(IF(CG1359="L1",Parameter!$H$5,IF(CG1359="L23",Parameter!$H$6+Parameter!$H$7,Parameter!$H$5+Parameter!$H$6+Parameter!$H$7))-(AO1359-AJ1359))/AJ1359)))</f>
        <v>1</v>
      </c>
      <c r="AQ1359" s="62" t="n">
        <f aca="false">IF(LEFT(Cockpit!$I$5,1)="A",H1359,IF(Parameter!$E$30="MAX-Bestand",IF(CI1359=1,CJ1359,IF(LEFT(Cockpit!$I$5,1)="B",AW1359,MAX(AW1359,H1359))),ROUNDUP(AU1359,0)))</f>
        <v>63</v>
      </c>
      <c r="AR1359" s="62" t="n">
        <f aca="false">IF(CA1359=1,0,ROUNDUP(AQ1359/BZ1359,0))</f>
        <v>1</v>
      </c>
      <c r="AS1359" s="64" t="n">
        <f aca="false">IF(CR1359&gt;0,CR1359*MAX(1,AQ1359/X1359),IF(CA1359=1,IF(AQ1359&lt;=0,0,CE1359*MAX(1,IF(H1359&gt;0,AQ1359/H1359,1))),IF(R1359&gt;0,AR1359/R1359,0))/MAX(0.1,N(Parameter!$M$21)))</f>
        <v>0.0384615384615385</v>
      </c>
      <c r="AT1359" s="62" t="n">
        <f aca="false">AS1359*CC1359</f>
        <v>5.96153846153846</v>
      </c>
      <c r="AU1359" s="63" t="n">
        <f aca="false">IF(LEFT(Cockpit!$I$5,1)="A",H1359,IF(CI1359=1,(CL1359+CJ1359)/2,IF(LEFT(Cockpit!$I$5,1)="B",(CL1359+AW1359)/2,MAX((CL1359+AW1359)/2,H1359))))</f>
        <v>63</v>
      </c>
      <c r="AV1359" s="62" t="n">
        <f aca="false">AU1359*G1359</f>
        <v>3149.37</v>
      </c>
      <c r="AW1359" s="62" t="n">
        <f aca="false">ROUNDUP(CL1359+MAX(CM1359,2*(J1359/IF(CH1359&gt;0,CH1359,MAX(0.1,N(Cockpit!$I$6)))-CL1359)),0)</f>
        <v>32</v>
      </c>
      <c r="AX1359" s="63" t="n">
        <f aca="false">IF(AT1359&gt;0,J1359/AT1359,-1)</f>
        <v>5.03225806451613</v>
      </c>
      <c r="AY1359" s="63" t="n">
        <f aca="false">IF(AND(OR(CG1359="L1",CG1359="L23",CG1359="LIFT"),AT1359&gt;0),SUMIFS($AT$7:$AT$1843,$CG$7:$CG$1843,CG1359,$AX$7:$AX$1843,"&gt;"&amp;AX1359)+SUMIFS($AT$7:$AT$1843,$CG$7:$CG$1843,CG1359,$AX$7:$AX$1843,AX1359,$BX$7:$BX$1843,"&lt;="&amp;BX1359),"")</f>
        <v>4490.32646520147</v>
      </c>
      <c r="AZ1359" s="70" t="n">
        <f aca="false">IF(AY1359="",0,MAX(0,MIN(1,(IF(CG1359="L1",Parameter!$H$5,IF(CG1359="L23",Parameter!$H$6+Parameter!$H$7,Parameter!$H$5+Parameter!$H$6+Parameter!$H$7))-(AY1359-AT1359))/AT1359)))</f>
        <v>1</v>
      </c>
      <c r="BA1359" s="62" t="n">
        <f aca="false">IF(LEFT(Cockpit!$O$5,1)="A",H1359,IF(Parameter!$E$30="MAX-Bestand",IF(CI1359=1,CJ1359,IF(LEFT(Cockpit!$O$5,1)="B",BG1359,MAX(BG1359,H1359))),ROUNDUP(BE1359,0)))</f>
        <v>17</v>
      </c>
      <c r="BB1359" s="62" t="n">
        <f aca="false">IF(CA1359=1,0,ROUNDUP(BA1359/BZ1359,0))</f>
        <v>1</v>
      </c>
      <c r="BC1359" s="64" t="n">
        <f aca="false">IF(CR1359&gt;0,CR1359*MAX(1,BA1359/X1359),IF(CA1359=1,IF(BA1359&lt;=0,0,CE1359*MAX(1,IF(H1359&gt;0,BA1359/H1359,1))),IF(R1359&gt;0,BB1359/R1359,0))/MAX(0.1,N(Parameter!$M$21)))</f>
        <v>0.0384615384615385</v>
      </c>
      <c r="BD1359" s="62" t="n">
        <f aca="false">BC1359*CC1359</f>
        <v>5.96153846153846</v>
      </c>
      <c r="BE1359" s="63" t="n">
        <f aca="false">IF(LEFT(Cockpit!$O$5,1)="A",H1359,IF(CI1359=1,(CL1359+CJ1359)/2,IF(LEFT(Cockpit!$O$5,1)="B",(CL1359+BG1359)/2,MAX((CL1359+BG1359)/2,H1359))))</f>
        <v>17</v>
      </c>
      <c r="BF1359" s="62" t="n">
        <f aca="false">BE1359*G1359</f>
        <v>849.83</v>
      </c>
      <c r="BG1359" s="62" t="n">
        <f aca="false">ROUNDUP(CL1359+MAX(CM1359,2*(J1359/IF(CH1359&gt;0,CH1359,MAX(0.1,N(Cockpit!$O$6)))-CL1359)),0)</f>
        <v>32</v>
      </c>
      <c r="BH1359" s="63" t="n">
        <f aca="false">IF(BD1359&gt;0,J1359/BD1359,-1)</f>
        <v>5.03225806451613</v>
      </c>
      <c r="BI1359" s="63" t="n">
        <f aca="false">IF(AND(OR(CG1359="L1",CG1359="L23",CG1359="LIFT"),BD1359&gt;0),SUMIFS($BD$7:$BD$1843,$CG$7:$CG$1843,CG1359,$BH$7:$BH$1843,"&gt;"&amp;BH1359)+SUMIFS($BD$7:$BD$1843,$CG$7:$CG$1843,CG1359,$BH$7:$BH$1843,BH1359,$BX$7:$BX$1843,"&lt;="&amp;BX1359),"")</f>
        <v>3712.33882783883</v>
      </c>
      <c r="BJ1359" s="70" t="n">
        <f aca="false">IF(BI1359="",0,MAX(0,MIN(1,(IF(CG1359="L1",Parameter!$H$5,IF(CG1359="L23",Parameter!$H$6+Parameter!$H$7,Parameter!$H$5+Parameter!$H$6+Parameter!$H$7))-(BI1359-BD1359))/BD1359)))</f>
        <v>1</v>
      </c>
      <c r="BK1359" s="60" t="str">
        <f aca="false">IF(AJ1359&lt;=0,"",IF(CG1359="Aussen","Aussenlager",IF(CG1359="-","Nicht im Lift",IF(AP1359&gt;=1,"Lift",IF(AP1359&lt;=0,"Aussenlager","teilweise")))))</f>
        <v>Lift</v>
      </c>
      <c r="BL1359" s="60" t="str">
        <f aca="false">IF(AT1359&lt;=0,"",IF(CG1359="Aussen","Aussenlager",IF(CG1359="-","Nicht im Lift",IF(AZ1359&gt;=1,"Lift",IF(AZ1359&lt;=0,"Aussenlager","teilweise")))))</f>
        <v>Lift</v>
      </c>
      <c r="BM1359" s="60" t="str">
        <f aca="false">IF(BD1359&lt;=0,"",IF(CG1359="Aussen","Aussenlager",IF(CG1359="-","Nicht im Lift",IF(BJ1359&gt;=1,"Lift",IF(BJ1359&lt;=0,"Aussenlager","teilweise")))))</f>
        <v>Lift</v>
      </c>
      <c r="BN1359" s="60" t="str">
        <f aca="false">IF(A1359="","",IF(BW1359=1,"Neu; ","")&amp;IF(AND(BW1359=0,BR1359&lt;0),"negativer Bestand (Export "&amp;BR1359&amp;"); ","")&amp;IF(J1359&lt;=0,"Kein Verbrauch; ","")&amp;IF(CR1359&gt;0,"Lift "&amp;W1359&amp;" lt. Liftbericht (Fach "&amp;X1359&amp;" Stk); ",IF(CB1359=1,"Gebinde geschätzt ("&amp;T1359&amp;"); ",IF(CA1359=1,"Lose – Tablare geschätzt; ","")))&amp;IF(H1359&gt;AW1359,"Überbestand "&amp;ROUND(H1359-AW1359,0)&amp;" Stk / CHF "&amp;ROUND((H1359-AW1359)*G1359,0)&amp;"; ","")&amp;IF(AND(CI1359=1,CJ1359&lt;CK1359),"MAX &lt; MB+LG; ","")&amp;IF(AND(CQ1359&gt;0,CP1359*10&gt;CQ1359),"zu hoch für Tablar; ","")&amp;IF(AND(BW1359=0,OR(CI1359=1,AB1359&lt;&gt;"",U1359&lt;&gt;"",V1359&lt;&gt;"",AC1359&lt;&gt;"")),"manuell übersteuert; ","")&amp;IF(AND(CA1359=0,R1359=0),"Gebinde unbekannt / Stellmass fehlt; ","")&amp;IF(AND(CA1359=0,N(V1359)&lt;=0,N(Q1359)&lt;=0),"Menge pro Gebinde fehlt (Ist = 1 Gebinde); ","")&amp;BV1359)</f>
        <v>negativer Bestand (Export -45); Überbestand 31 Stk / CHF 1550; </v>
      </c>
      <c r="BO1359" s="60"/>
      <c r="BP1359" s="60"/>
      <c r="BQ1359" s="67"/>
      <c r="BR1359" s="62" t="n">
        <v>-45</v>
      </c>
      <c r="BS1359" s="62" t="n">
        <v>108</v>
      </c>
      <c r="BT1359" s="61" t="n">
        <v>-2249.55</v>
      </c>
      <c r="BU1359" s="62" t="n">
        <v>30</v>
      </c>
      <c r="BV1359" s="60"/>
      <c r="BW1359" s="65" t="n">
        <v>0</v>
      </c>
      <c r="BX1359" s="65" t="n">
        <v>1359</v>
      </c>
      <c r="BY1359" s="60" t="str">
        <f aca="false">IF(U1359&lt;&gt;"",UPPER(TRIM(U1359)),IF(CB1359=1,UPPER(VLOOKUP(T1359,Parameter!$I$27:$K$29,2,0)),IF(P1359="","LOSE",P1359)))</f>
        <v>S51</v>
      </c>
      <c r="BZ1359" s="62" t="n">
        <f aca="false">IF(BY1359="LOSE",1,IF(N(V1359)&gt;0,V1359,IF(CB1359=1,MAX(1,N(VLOOKUP(T1359,Parameter!$I$27:$K$29,3,0)),H1359,N(N1359)),IF(N(Q1359)&gt;0,Q1359,MAX(1,H1359)))))</f>
        <v>161</v>
      </c>
      <c r="CA1359" s="65" t="n">
        <f aca="false">IF(BY1359="LOSE",1,0)</f>
        <v>0</v>
      </c>
      <c r="CB1359" s="65" t="n">
        <f aca="false">IF(AND(U1359="",OR(P1359="",P1359="LOSE"),T1359&lt;&gt;"",N(S1359)&lt;=0,ISNUMBER(MATCH(T1359,Parameter!$I$27:$I$29,0))),1,0)</f>
        <v>0</v>
      </c>
      <c r="CC1359" s="65" t="n">
        <f aca="false">IF(CR1359&gt;0,INDEX(Parameter!$H$5:$H$7,W1359)/INDEX(Parameter!$E$5:$E$7,W1359),IF(AND(CA1359=0,N(IFERROR(VLOOKUP(BY1359,'Gebinde-Kategorie'!$A$5:$N$45,14,0),0))&gt;0),VLOOKUP(BY1359,'Gebinde-Kategorie'!$A$5:$N$45,14,0)*10+Parameter!$M$23,Parameter!$M$24))</f>
        <v>155</v>
      </c>
      <c r="CD1359" s="60" t="str">
        <f aca="false">IF(AND(Parameter!$B$19="Ja",E1359&lt;&gt;"",ISNUMBER(MATCH(E1359,Parameter!$I$35:$I$52,0))),VLOOKUP(E1359,Parameter!$I$35:$J$52,2,0),IFERROR(VLOOKUP(D1359,Parameter!$A$35:$C$64,2,0),"Nein"))</f>
        <v>2+3</v>
      </c>
      <c r="CE1359" s="64" t="n">
        <f aca="false">IF(CA1359=0,0,IF(N(S1359)&gt;0,S1359,IFERROR(VLOOKUP(D1359,Parameter!$A$35:$C$64,3,0)+0,0)))</f>
        <v>0</v>
      </c>
      <c r="CF1359" s="60" t="n">
        <f aca="false">IF(AB1359&lt;&gt;"",AB1359,AA1359)</f>
        <v>3</v>
      </c>
      <c r="CG1359" s="60" t="str">
        <f aca="false">IF(OR(CF1359=1,CF1359=2,CF1359=3),IF(Parameter!$E$27="Ja","LIFT",IF(CF1359=1,"L1","L23")),IF(CF1359="Aussen","Aussen","-"))</f>
        <v>LIFT</v>
      </c>
      <c r="CH1359" s="71" t="n">
        <f aca="false">IF(N(AC1359)&gt;0,AC1359,0)</f>
        <v>0</v>
      </c>
      <c r="CI1359" s="65" t="n">
        <f aca="false">IF(ISNUMBER(AF1359),1,0)</f>
        <v>0</v>
      </c>
      <c r="CJ1359" s="62" t="n">
        <f aca="false">N(AF1359)</f>
        <v>0</v>
      </c>
      <c r="CK1359" s="62" t="n">
        <f aca="false">N(M1359)+N(N1359)</f>
        <v>32</v>
      </c>
      <c r="CL1359" s="62" t="n">
        <f aca="false">N(M1359)</f>
        <v>2</v>
      </c>
      <c r="CM1359" s="62" t="n">
        <f aca="false">N(N1359)</f>
        <v>30</v>
      </c>
      <c r="CN1359" s="62" t="n">
        <f aca="false">ROUNDUP(H1359/BZ1359,0)</f>
        <v>1</v>
      </c>
      <c r="CO1359" s="62" t="n">
        <f aca="false">ROUNDUP(CJ1359/BZ1359,0)</f>
        <v>0</v>
      </c>
      <c r="CP1359" s="65" t="n">
        <f aca="false">IF(CA1359=1,0,IFERROR(VLOOKUP(BY1359,'Gebinde-Kategorie'!$A$5:$N$45,5,0)+0,0))</f>
        <v>11</v>
      </c>
      <c r="CQ1359" s="65" t="n">
        <f aca="false">IFERROR(IF(OR(CF1359=1,CF1359=2,CF1359=3),N(INDEX(Parameter!$I$5:$I$7,CF1359)),0),0)</f>
        <v>0</v>
      </c>
      <c r="CR1359" s="64" t="n">
        <f aca="false">IF(AND(Parameter!$B$21="Ja",ISNUMBER(W1359),N(X1359)&gt;0),IFERROR(N(INDEX(Parameter!$L$5:$L$7,W1359))*INDEX(Parameter!$E$5:$E$7,W1359)*X1359/SUMIFS($X$7:$X$1843,$W$7:$W$1843,W1359),0),0)</f>
        <v>0</v>
      </c>
      <c r="CS1359" s="62" t="n">
        <f aca="false">IF(AND(OR(CG1359="L1",CG1359="L23",CG1359="LIFT"),H1359&gt;0),CC1359*IF(CR1359&gt;0,CR1359*MAX(1,H1359/X1359),IF(CA1359=1,CE1359,IF(R1359&gt;0,CN1359/R1359,0))/MAX(0.1,N(Parameter!$M$21))),"")</f>
        <v>5.96153846153846</v>
      </c>
      <c r="CT1359" s="64" t="n">
        <f aca="false">IF(CS1359="","",J1359/H1359)</f>
        <v>0.476190476190476</v>
      </c>
      <c r="CU1359" s="62" t="n">
        <f aca="false">IF(CS1359="","",H1359*G1359)</f>
        <v>3149.37</v>
      </c>
      <c r="CV1359" s="63" t="n">
        <f aca="false">IF(CS1359="","",(CL1359+ROUNDUP(CL1359+MAX(CM1359,2*(J1359/MAX(0.1,N(Einkauf!$C$6))-CL1359)),0))/2)</f>
        <v>17</v>
      </c>
      <c r="CW1359" s="62" t="n">
        <f aca="false">IF(CS1359="","",MAX(0,H1359-CV1359)*G1359)</f>
        <v>2299.54</v>
      </c>
      <c r="CX1359" s="62" t="n">
        <f aca="false">IF(CS1359="","",CS1359*MAX(0,1-CV1359/H1359))</f>
        <v>4.35286935286935</v>
      </c>
      <c r="CY1359" s="64" t="n">
        <f aca="false">IF(CS1359="","",PERCENTRANK($CS$7:$CS$1843,CS1359)+PERCENTRANK($CU$7:$CU$1843,CU1359)+1-PERCENTRANK($CT$7:$CT$1843,CT1359))</f>
        <v>1.648</v>
      </c>
      <c r="CZ1359" s="72" t="n">
        <f aca="false">IF(CS1359="","",CHOOSE(MATCH(Einkauf!$C$5,Parameter!$G$23:$G$27,0),CY1359,CS1359,CU1359,-CT1359,CW1359)+ROW()/1000000000)</f>
        <v>1.648001359</v>
      </c>
    </row>
    <row r="1360" customFormat="false" ht="15" hidden="false" customHeight="false" outlineLevel="0" collapsed="false">
      <c r="A1360" s="60" t="s">
        <v>2439</v>
      </c>
      <c r="B1360" s="60" t="s">
        <v>248</v>
      </c>
      <c r="C1360" s="60" t="s">
        <v>209</v>
      </c>
      <c r="D1360" s="60" t="s">
        <v>215</v>
      </c>
      <c r="E1360" s="60" t="s">
        <v>208</v>
      </c>
      <c r="F1360" s="60" t="s">
        <v>260</v>
      </c>
      <c r="G1360" s="61" t="n">
        <v>2326.66</v>
      </c>
      <c r="H1360" s="62" t="n">
        <f aca="false">MAX(0,IF(AND(Parameter!$B$21="Ja",ISNUMBER(Y1360)),Y1360,IF(Parameter!$B$20="Jahresanfang 2025 + Export",BS1360+BR1360,BR1360)))</f>
        <v>1</v>
      </c>
      <c r="I1360" s="62" t="n">
        <f aca="false">H1360*G1360</f>
        <v>2326.66</v>
      </c>
      <c r="J1360" s="62" t="n">
        <f aca="false">BU1360*Parameter!$B$18</f>
        <v>0</v>
      </c>
      <c r="K1360" s="63" t="n">
        <v>10</v>
      </c>
      <c r="L1360" s="64" t="n">
        <v>0</v>
      </c>
      <c r="M1360" s="62" t="n">
        <v>0</v>
      </c>
      <c r="N1360" s="62" t="n">
        <v>1</v>
      </c>
      <c r="O1360" s="65" t="n">
        <v>49</v>
      </c>
      <c r="P1360" s="60" t="s">
        <v>210</v>
      </c>
      <c r="Q1360" s="62"/>
      <c r="R1360" s="65" t="n">
        <f aca="false">IF(CA1360=1,0,IFERROR(VLOOKUP(BY1360,'Gebinde-Kategorie'!$A$5:$N$45,13,0)+0,0))</f>
        <v>0</v>
      </c>
      <c r="S1360" s="66"/>
      <c r="T1360" s="67"/>
      <c r="U1360" s="67"/>
      <c r="V1360" s="67"/>
      <c r="W1360" s="60" t="n">
        <v>1</v>
      </c>
      <c r="X1360" s="62" t="n">
        <v>1</v>
      </c>
      <c r="Y1360" s="62" t="n">
        <v>1</v>
      </c>
      <c r="Z1360" s="60" t="n">
        <v>1</v>
      </c>
      <c r="AA1360" s="60" t="n">
        <f aca="false">IF(A1360="","",IF(AND(Parameter!$B$21="Ja",ISNUMBER(W1360)),W1360,IF(AND(Parameter!$E$27="Ja",ISNUMBER(Z1360),CD1360&lt;&gt;"Nein"),Z1360,IF(CD1360="2+3",IF(ISNUMBER(SEARCH("grosser Artikel",BV1360)),2,IFERROR(VLOOKUP(BY1360,Parameter!$F$35:$G$64,2,0),2)),IF(OR(CD1360="Nein",CD1360=""),"-",CD1360)))))</f>
        <v>1</v>
      </c>
      <c r="AB1360" s="67"/>
      <c r="AC1360" s="68"/>
      <c r="AD1360" s="62" t="n">
        <f aca="false">AW1360</f>
        <v>1</v>
      </c>
      <c r="AE1360" s="62" t="n">
        <f aca="false">MAX(AW1360,H1360)</f>
        <v>1</v>
      </c>
      <c r="AF1360" s="69"/>
      <c r="AG1360" s="62" t="n">
        <f aca="false">IF(LEFT(Cockpit!$C$5,1)="A",H1360,IF(Parameter!$E$30="MAX-Bestand",IF(CI1360=1,CJ1360,IF(LEFT(Cockpit!$C$5,1)="B",AM1360,MAX(AM1360,H1360))),ROUNDUP(AK1360,0)))</f>
        <v>1</v>
      </c>
      <c r="AH1360" s="62" t="n">
        <f aca="false">IF(CA1360=1,0,ROUNDUP(AG1360/BZ1360,0))</f>
        <v>0</v>
      </c>
      <c r="AI1360" s="64" t="n">
        <f aca="false">IF(CR1360&gt;0,CR1360*MAX(1,AG1360/X1360),IF(CA1360=1,IF(AG1360&lt;=0,0,CE1360*MAX(1,IF(H1360&gt;0,AG1360/H1360,1))),IF(R1360&gt;0,AH1360/R1360,0))/MAX(0.1,N(Parameter!$M$21)))</f>
        <v>0.0800376647834275</v>
      </c>
      <c r="AJ1360" s="62" t="n">
        <f aca="false">AI1360*CC1360</f>
        <v>19.0489642184557</v>
      </c>
      <c r="AK1360" s="63" t="n">
        <f aca="false">IF(LEFT(Cockpit!$C$5,1)="A",H1360,IF(CI1360=1,(CL1360+CJ1360)/2,IF(LEFT(Cockpit!$C$5,1)="B",(CL1360+AM1360)/2,MAX((CL1360+AM1360)/2,H1360))))</f>
        <v>1</v>
      </c>
      <c r="AL1360" s="62" t="n">
        <f aca="false">AK1360*G1360</f>
        <v>2326.66</v>
      </c>
      <c r="AM1360" s="62" t="n">
        <f aca="false">ROUNDUP(CL1360+MAX(CM1360,2*(J1360/IF(CH1360&gt;0,CH1360,MAX(0.1,N(Cockpit!$C$6)))-CL1360)),0)</f>
        <v>1</v>
      </c>
      <c r="AN1360" s="63" t="n">
        <f aca="false">IF(AJ1360&gt;0,J1360/AJ1360,-1)</f>
        <v>0</v>
      </c>
      <c r="AO1360" s="63" t="n">
        <f aca="false">IF(AND(OR(CG1360="L1",CG1360="L23",CG1360="LIFT"),AJ1360&gt;0),SUMIFS($AJ$7:$AJ$1843,$CG$7:$CG$1843,CG1360,$AN$7:$AN$1843,"&gt;"&amp;AN1360)+SUMIFS($AJ$7:$AJ$1843,$CG$7:$CG$1843,CG1360,$AN$7:$AN$1843,AN1360,$BX$7:$BX$1843,"&lt;="&amp;BX1360),"")</f>
        <v>29690.205441216</v>
      </c>
      <c r="AP1360" s="70" t="n">
        <f aca="false">IF(AO1360="",0,MAX(0,MIN(1,(IF(CG1360="L1",Parameter!$H$5,IF(CG1360="L23",Parameter!$H$6+Parameter!$H$7,Parameter!$H$5+Parameter!$H$6+Parameter!$H$7))-(AO1360-AJ1360))/AJ1360)))</f>
        <v>1</v>
      </c>
      <c r="AQ1360" s="62" t="n">
        <f aca="false">IF(LEFT(Cockpit!$I$5,1)="A",H1360,IF(Parameter!$E$30="MAX-Bestand",IF(CI1360=1,CJ1360,IF(LEFT(Cockpit!$I$5,1)="B",AW1360,MAX(AW1360,H1360))),ROUNDUP(AU1360,0)))</f>
        <v>1</v>
      </c>
      <c r="AR1360" s="62" t="n">
        <f aca="false">IF(CA1360=1,0,ROUNDUP(AQ1360/BZ1360,0))</f>
        <v>0</v>
      </c>
      <c r="AS1360" s="64" t="n">
        <f aca="false">IF(CR1360&gt;0,CR1360*MAX(1,AQ1360/X1360),IF(CA1360=1,IF(AQ1360&lt;=0,0,CE1360*MAX(1,IF(H1360&gt;0,AQ1360/H1360,1))),IF(R1360&gt;0,AR1360/R1360,0))/MAX(0.1,N(Parameter!$M$21)))</f>
        <v>0.0800376647834275</v>
      </c>
      <c r="AT1360" s="62" t="n">
        <f aca="false">AS1360*CC1360</f>
        <v>19.0489642184557</v>
      </c>
      <c r="AU1360" s="63" t="n">
        <f aca="false">IF(LEFT(Cockpit!$I$5,1)="A",H1360,IF(CI1360=1,(CL1360+CJ1360)/2,IF(LEFT(Cockpit!$I$5,1)="B",(CL1360+AW1360)/2,MAX((CL1360+AW1360)/2,H1360))))</f>
        <v>1</v>
      </c>
      <c r="AV1360" s="62" t="n">
        <f aca="false">AU1360*G1360</f>
        <v>2326.66</v>
      </c>
      <c r="AW1360" s="62" t="n">
        <f aca="false">ROUNDUP(CL1360+MAX(CM1360,2*(J1360/IF(CH1360&gt;0,CH1360,MAX(0.1,N(Cockpit!$I$6)))-CL1360)),0)</f>
        <v>1</v>
      </c>
      <c r="AX1360" s="63" t="n">
        <f aca="false">IF(AT1360&gt;0,J1360/AT1360,-1)</f>
        <v>0</v>
      </c>
      <c r="AY1360" s="63" t="n">
        <f aca="false">IF(AND(OR(CG1360="L1",CG1360="L23",CG1360="LIFT"),AT1360&gt;0),SUMIFS($AT$7:$AT$1843,$CG$7:$CG$1843,CG1360,$AX$7:$AX$1843,"&gt;"&amp;AX1360)+SUMIFS($AT$7:$AT$1843,$CG$7:$CG$1843,CG1360,$AX$7:$AX$1843,AX1360,$BX$7:$BX$1843,"&lt;="&amp;BX1360),"")</f>
        <v>35933.1223976118</v>
      </c>
      <c r="AZ1360" s="70" t="n">
        <f aca="false">IF(AY1360="",0,MAX(0,MIN(1,(IF(CG1360="L1",Parameter!$H$5,IF(CG1360="L23",Parameter!$H$6+Parameter!$H$7,Parameter!$H$5+Parameter!$H$6+Parameter!$H$7))-(AY1360-AT1360))/AT1360)))</f>
        <v>0</v>
      </c>
      <c r="BA1360" s="62" t="n">
        <f aca="false">IF(LEFT(Cockpit!$O$5,1)="A",H1360,IF(Parameter!$E$30="MAX-Bestand",IF(CI1360=1,CJ1360,IF(LEFT(Cockpit!$O$5,1)="B",BG1360,MAX(BG1360,H1360))),ROUNDUP(BE1360,0)))</f>
        <v>1</v>
      </c>
      <c r="BB1360" s="62" t="n">
        <f aca="false">IF(CA1360=1,0,ROUNDUP(BA1360/BZ1360,0))</f>
        <v>0</v>
      </c>
      <c r="BC1360" s="64" t="n">
        <f aca="false">IF(CR1360&gt;0,CR1360*MAX(1,BA1360/X1360),IF(CA1360=1,IF(BA1360&lt;=0,0,CE1360*MAX(1,IF(H1360&gt;0,BA1360/H1360,1))),IF(R1360&gt;0,BB1360/R1360,0))/MAX(0.1,N(Parameter!$M$21)))</f>
        <v>0.0800376647834275</v>
      </c>
      <c r="BD1360" s="62" t="n">
        <f aca="false">BC1360*CC1360</f>
        <v>19.0489642184557</v>
      </c>
      <c r="BE1360" s="63" t="n">
        <f aca="false">IF(LEFT(Cockpit!$O$5,1)="A",H1360,IF(CI1360=1,(CL1360+CJ1360)/2,IF(LEFT(Cockpit!$O$5,1)="B",(CL1360+BG1360)/2,MAX((CL1360+BG1360)/2,H1360))))</f>
        <v>0.5</v>
      </c>
      <c r="BF1360" s="62" t="n">
        <f aca="false">BE1360*G1360</f>
        <v>1163.33</v>
      </c>
      <c r="BG1360" s="62" t="n">
        <f aca="false">ROUNDUP(CL1360+MAX(CM1360,2*(J1360/IF(CH1360&gt;0,CH1360,MAX(0.1,N(Cockpit!$O$6)))-CL1360)),0)</f>
        <v>1</v>
      </c>
      <c r="BH1360" s="63" t="n">
        <f aca="false">IF(BD1360&gt;0,J1360/BD1360,-1)</f>
        <v>0</v>
      </c>
      <c r="BI1360" s="63" t="n">
        <f aca="false">IF(AND(OR(CG1360="L1",CG1360="L23",CG1360="LIFT"),BD1360&gt;0),SUMIFS($BD$7:$BD$1843,$CG$7:$CG$1843,CG1360,$BH$7:$BH$1843,"&gt;"&amp;BH1360)+SUMIFS($BD$7:$BD$1843,$CG$7:$CG$1843,CG1360,$BH$7:$BH$1843,BH1360,$BX$7:$BX$1843,"&lt;="&amp;BX1360),"")</f>
        <v>29918.4290577596</v>
      </c>
      <c r="BJ1360" s="70" t="n">
        <f aca="false">IF(BI1360="",0,MAX(0,MIN(1,(IF(CG1360="L1",Parameter!$H$5,IF(CG1360="L23",Parameter!$H$6+Parameter!$H$7,Parameter!$H$5+Parameter!$H$6+Parameter!$H$7))-(BI1360-BD1360))/BD1360)))</f>
        <v>1</v>
      </c>
      <c r="BK1360" s="60" t="str">
        <f aca="false">IF(AJ1360&lt;=0,"",IF(CG1360="Aussen","Aussenlager",IF(CG1360="-","Nicht im Lift",IF(AP1360&gt;=1,"Lift",IF(AP1360&lt;=0,"Aussenlager","teilweise")))))</f>
        <v>Lift</v>
      </c>
      <c r="BL1360" s="60" t="str">
        <f aca="false">IF(AT1360&lt;=0,"",IF(CG1360="Aussen","Aussenlager",IF(CG1360="-","Nicht im Lift",IF(AZ1360&gt;=1,"Lift",IF(AZ1360&lt;=0,"Aussenlager","teilweise")))))</f>
        <v>Aussenlager</v>
      </c>
      <c r="BM1360" s="60" t="str">
        <f aca="false">IF(BD1360&lt;=0,"",IF(CG1360="Aussen","Aussenlager",IF(CG1360="-","Nicht im Lift",IF(BJ1360&gt;=1,"Lift",IF(BJ1360&lt;=0,"Aussenlager","teilweise")))))</f>
        <v>Lift</v>
      </c>
      <c r="BN1360" s="60" t="str">
        <f aca="false">IF(A1360="","",IF(BW1360=1,"Neu; ","")&amp;IF(AND(BW1360=0,BR1360&lt;0),"negativer Bestand (Export "&amp;BR1360&amp;"); ","")&amp;IF(J1360&lt;=0,"Kein Verbrauch; ","")&amp;IF(CR1360&gt;0,"Lift "&amp;W1360&amp;" lt. Liftbericht (Fach "&amp;X1360&amp;" Stk); ",IF(CB1360=1,"Gebinde geschätzt ("&amp;T1360&amp;"); ",IF(CA1360=1,"Lose – Tablare geschätzt; ","")))&amp;IF(H1360&gt;AW1360,"Überbestand "&amp;ROUND(H1360-AW1360,0)&amp;" Stk / CHF "&amp;ROUND((H1360-AW1360)*G1360,0)&amp;"; ","")&amp;IF(AND(CI1360=1,CJ1360&lt;CK1360),"MAX &lt; MB+LG; ","")&amp;IF(AND(CQ1360&gt;0,CP1360*10&gt;CQ1360),"zu hoch für Tablar; ","")&amp;IF(AND(BW1360=0,OR(CI1360=1,AB1360&lt;&gt;"",U1360&lt;&gt;"",V1360&lt;&gt;"",AC1360&lt;&gt;"")),"manuell übersteuert; ","")&amp;IF(AND(CA1360=0,R1360=0),"Gebinde unbekannt / Stellmass fehlt; ","")&amp;IF(AND(CA1360=0,N(V1360)&lt;=0,N(Q1360)&lt;=0),"Menge pro Gebinde fehlt (Ist = 1 Gebinde); ","")&amp;BV1360)</f>
        <v>negativer Bestand (Export -1); Kein Verbrauch; Lift 1 lt. Liftbericht (Fach 1 Stk); Standartdüse</v>
      </c>
      <c r="BO1360" s="60"/>
      <c r="BP1360" s="60"/>
      <c r="BQ1360" s="67"/>
      <c r="BR1360" s="62" t="n">
        <v>-1</v>
      </c>
      <c r="BS1360" s="62" t="n">
        <v>10</v>
      </c>
      <c r="BT1360" s="61" t="n">
        <v>-2326.66</v>
      </c>
      <c r="BU1360" s="62" t="n">
        <v>0</v>
      </c>
      <c r="BV1360" s="60" t="s">
        <v>2440</v>
      </c>
      <c r="BW1360" s="65" t="n">
        <v>0</v>
      </c>
      <c r="BX1360" s="65" t="n">
        <v>1360</v>
      </c>
      <c r="BY1360" s="60" t="str">
        <f aca="false">IF(U1360&lt;&gt;"",UPPER(TRIM(U1360)),IF(CB1360=1,UPPER(VLOOKUP(T1360,Parameter!$I$27:$K$29,2,0)),IF(P1360="","LOSE",P1360)))</f>
        <v>LOSE</v>
      </c>
      <c r="BZ1360" s="62" t="n">
        <f aca="false">IF(BY1360="LOSE",1,IF(N(V1360)&gt;0,V1360,IF(CB1360=1,MAX(1,N(VLOOKUP(T1360,Parameter!$I$27:$K$29,3,0)),H1360,N(N1360)),IF(N(Q1360)&gt;0,Q1360,MAX(1,H1360)))))</f>
        <v>1</v>
      </c>
      <c r="CA1360" s="65" t="n">
        <f aca="false">IF(BY1360="LOSE",1,0)</f>
        <v>1</v>
      </c>
      <c r="CB1360" s="65" t="n">
        <f aca="false">IF(AND(U1360="",OR(P1360="",P1360="LOSE"),T1360&lt;&gt;"",N(S1360)&lt;=0,ISNUMBER(MATCH(T1360,Parameter!$I$27:$I$29,0))),1,0)</f>
        <v>0</v>
      </c>
      <c r="CC1360" s="65" t="n">
        <f aca="false">IF(CR1360&gt;0,INDEX(Parameter!$H$5:$H$7,W1360)/INDEX(Parameter!$E$5:$E$7,W1360),IF(AND(CA1360=0,N(IFERROR(VLOOKUP(BY1360,'Gebinde-Kategorie'!$A$5:$N$45,14,0),0))&gt;0),VLOOKUP(BY1360,'Gebinde-Kategorie'!$A$5:$N$45,14,0)*10+Parameter!$M$23,Parameter!$M$24))</f>
        <v>238</v>
      </c>
      <c r="CD1360" s="60" t="n">
        <f aca="false">IF(AND(Parameter!$B$19="Ja",E1360&lt;&gt;"",ISNUMBER(MATCH(E1360,Parameter!$I$35:$I$52,0))),VLOOKUP(E1360,Parameter!$I$35:$J$52,2,0),IFERROR(VLOOKUP(D1360,Parameter!$A$35:$C$64,2,0),"Nein"))</f>
        <v>1</v>
      </c>
      <c r="CE1360" s="64" t="n">
        <f aca="false">IF(CA1360=0,0,IF(N(S1360)&gt;0,S1360,IFERROR(VLOOKUP(D1360,Parameter!$A$35:$C$64,3,0)+0,0)))</f>
        <v>0.15</v>
      </c>
      <c r="CF1360" s="60" t="n">
        <f aca="false">IF(AB1360&lt;&gt;"",AB1360,AA1360)</f>
        <v>1</v>
      </c>
      <c r="CG1360" s="60" t="str">
        <f aca="false">IF(OR(CF1360=1,CF1360=2,CF1360=3),IF(Parameter!$E$27="Ja","LIFT",IF(CF1360=1,"L1","L23")),IF(CF1360="Aussen","Aussen","-"))</f>
        <v>LIFT</v>
      </c>
      <c r="CH1360" s="71" t="n">
        <f aca="false">IF(N(AC1360)&gt;0,AC1360,0)</f>
        <v>0</v>
      </c>
      <c r="CI1360" s="65" t="n">
        <f aca="false">IF(ISNUMBER(AF1360),1,0)</f>
        <v>0</v>
      </c>
      <c r="CJ1360" s="62" t="n">
        <f aca="false">N(AF1360)</f>
        <v>0</v>
      </c>
      <c r="CK1360" s="62" t="n">
        <f aca="false">N(M1360)+N(N1360)</f>
        <v>1</v>
      </c>
      <c r="CL1360" s="62" t="n">
        <f aca="false">N(M1360)</f>
        <v>0</v>
      </c>
      <c r="CM1360" s="62" t="n">
        <f aca="false">N(N1360)</f>
        <v>1</v>
      </c>
      <c r="CN1360" s="62" t="n">
        <f aca="false">ROUNDUP(H1360/BZ1360,0)</f>
        <v>1</v>
      </c>
      <c r="CO1360" s="62" t="n">
        <f aca="false">ROUNDUP(CJ1360/BZ1360,0)</f>
        <v>0</v>
      </c>
      <c r="CP1360" s="65" t="n">
        <f aca="false">IF(CA1360=1,0,IFERROR(VLOOKUP(BY1360,'Gebinde-Kategorie'!$A$5:$N$45,5,0)+0,0))</f>
        <v>0</v>
      </c>
      <c r="CQ1360" s="65" t="n">
        <f aca="false">IFERROR(IF(OR(CF1360=1,CF1360=2,CF1360=3),N(INDEX(Parameter!$I$5:$I$7,CF1360)),0),0)</f>
        <v>0</v>
      </c>
      <c r="CR1360" s="64" t="n">
        <f aca="false">IF(AND(Parameter!$B$21="Ja",ISNUMBER(W1360),N(X1360)&gt;0),IFERROR(N(INDEX(Parameter!$L$5:$L$7,W1360))*INDEX(Parameter!$E$5:$E$7,W1360)*X1360/SUMIFS($X$7:$X$1843,$W$7:$W$1843,W1360),0),0)</f>
        <v>0.0800376647834275</v>
      </c>
      <c r="CS1360" s="62" t="n">
        <f aca="false">IF(AND(OR(CG1360="L1",CG1360="L23",CG1360="LIFT"),H1360&gt;0),CC1360*IF(CR1360&gt;0,CR1360*MAX(1,H1360/X1360),IF(CA1360=1,CE1360,IF(R1360&gt;0,CN1360/R1360,0))/MAX(0.1,N(Parameter!$M$21))),"")</f>
        <v>19.0489642184557</v>
      </c>
      <c r="CT1360" s="64" t="n">
        <f aca="false">IF(CS1360="","",J1360/H1360)</f>
        <v>0</v>
      </c>
      <c r="CU1360" s="62" t="n">
        <f aca="false">IF(CS1360="","",H1360*G1360)</f>
        <v>2326.66</v>
      </c>
      <c r="CV1360" s="63" t="n">
        <f aca="false">IF(CS1360="","",(CL1360+ROUNDUP(CL1360+MAX(CM1360,2*(J1360/MAX(0.1,N(Einkauf!$C$6))-CL1360)),0))/2)</f>
        <v>0.5</v>
      </c>
      <c r="CW1360" s="62" t="n">
        <f aca="false">IF(CS1360="","",MAX(0,H1360-CV1360)*G1360)</f>
        <v>1163.33</v>
      </c>
      <c r="CX1360" s="62" t="n">
        <f aca="false">IF(CS1360="","",CS1360*MAX(0,1-CV1360/H1360))</f>
        <v>9.52448210922787</v>
      </c>
      <c r="CY1360" s="64" t="n">
        <f aca="false">IF(CS1360="","",PERCENTRANK($CS$7:$CS$1843,CS1360)+PERCENTRANK($CU$7:$CU$1843,CU1360)+1-PERCENTRANK($CT$7:$CT$1843,CT1360))</f>
        <v>2.574</v>
      </c>
      <c r="CZ1360" s="72" t="n">
        <f aca="false">IF(CS1360="","",CHOOSE(MATCH(Einkauf!$C$5,Parameter!$G$23:$G$27,0),CY1360,CS1360,CU1360,-CT1360,CW1360)+ROW()/1000000000)</f>
        <v>2.57400136</v>
      </c>
    </row>
    <row r="1361" customFormat="false" ht="15" hidden="false" customHeight="false" outlineLevel="0" collapsed="false">
      <c r="A1361" s="60" t="s">
        <v>2441</v>
      </c>
      <c r="B1361" s="60" t="s">
        <v>640</v>
      </c>
      <c r="C1361" s="60" t="s">
        <v>206</v>
      </c>
      <c r="D1361" s="60" t="s">
        <v>226</v>
      </c>
      <c r="E1361" s="60" t="s">
        <v>227</v>
      </c>
      <c r="F1361" s="60" t="s">
        <v>260</v>
      </c>
      <c r="G1361" s="61" t="n">
        <v>18.95</v>
      </c>
      <c r="H1361" s="62" t="n">
        <f aca="false">MAX(0,IF(AND(Parameter!$B$21="Ja",ISNUMBER(Y1361)),Y1361,IF(Parameter!$B$20="Jahresanfang 2025 + Export",BS1361+BR1361,BR1361)))</f>
        <v>50</v>
      </c>
      <c r="I1361" s="62" t="n">
        <f aca="false">H1361*G1361</f>
        <v>947.5</v>
      </c>
      <c r="J1361" s="62" t="n">
        <f aca="false">BU1361*Parameter!$B$18</f>
        <v>82</v>
      </c>
      <c r="K1361" s="63" t="n">
        <v>133</v>
      </c>
      <c r="L1361" s="64" t="n">
        <v>0.616541353383459</v>
      </c>
      <c r="M1361" s="62" t="n">
        <v>3</v>
      </c>
      <c r="N1361" s="62" t="n">
        <v>90</v>
      </c>
      <c r="O1361" s="65" t="n">
        <v>14</v>
      </c>
      <c r="P1361" s="60" t="s">
        <v>344</v>
      </c>
      <c r="Q1361" s="62" t="n">
        <v>123</v>
      </c>
      <c r="R1361" s="65" t="n">
        <f aca="false">IF(CA1361=1,0,IFERROR(VLOOKUP(BY1361,'Gebinde-Kategorie'!$A$5:$N$45,13,0)+0,0))</f>
        <v>26</v>
      </c>
      <c r="S1361" s="66"/>
      <c r="T1361" s="67"/>
      <c r="U1361" s="67"/>
      <c r="V1361" s="67"/>
      <c r="W1361" s="60"/>
      <c r="X1361" s="62"/>
      <c r="Y1361" s="62"/>
      <c r="Z1361" s="60" t="n">
        <v>3</v>
      </c>
      <c r="AA1361" s="60" t="n">
        <f aca="false">IF(A1361="","",IF(AND(Parameter!$B$21="Ja",ISNUMBER(W1361)),W1361,IF(AND(Parameter!$E$27="Ja",ISNUMBER(Z1361),CD1361&lt;&gt;"Nein"),Z1361,IF(CD1361="2+3",IF(ISNUMBER(SEARCH("grosser Artikel",BV1361)),2,IFERROR(VLOOKUP(BY1361,Parameter!$F$35:$G$64,2,0),2)),IF(OR(CD1361="Nein",CD1361=""),"-",CD1361)))))</f>
        <v>3</v>
      </c>
      <c r="AB1361" s="67"/>
      <c r="AC1361" s="68"/>
      <c r="AD1361" s="62" t="n">
        <f aca="false">AW1361</f>
        <v>93</v>
      </c>
      <c r="AE1361" s="62" t="n">
        <f aca="false">MAX(AW1361,H1361)</f>
        <v>93</v>
      </c>
      <c r="AF1361" s="69"/>
      <c r="AG1361" s="62" t="n">
        <f aca="false">IF(LEFT(Cockpit!$C$5,1)="A",H1361,IF(Parameter!$E$30="MAX-Bestand",IF(CI1361=1,CJ1361,IF(LEFT(Cockpit!$C$5,1)="B",AM1361,MAX(AM1361,H1361))),ROUNDUP(AK1361,0)))</f>
        <v>50</v>
      </c>
      <c r="AH1361" s="62" t="n">
        <f aca="false">IF(CA1361=1,0,ROUNDUP(AG1361/BZ1361,0))</f>
        <v>1</v>
      </c>
      <c r="AI1361" s="64" t="n">
        <f aca="false">IF(CR1361&gt;0,CR1361*MAX(1,AG1361/X1361),IF(CA1361=1,IF(AG1361&lt;=0,0,CE1361*MAX(1,IF(H1361&gt;0,AG1361/H1361,1))),IF(R1361&gt;0,AH1361/R1361,0))/MAX(0.1,N(Parameter!$M$21)))</f>
        <v>0.0384615384615385</v>
      </c>
      <c r="AJ1361" s="62" t="n">
        <f aca="false">AI1361*CC1361</f>
        <v>5.96153846153846</v>
      </c>
      <c r="AK1361" s="63" t="n">
        <f aca="false">IF(LEFT(Cockpit!$C$5,1)="A",H1361,IF(CI1361=1,(CL1361+CJ1361)/2,IF(LEFT(Cockpit!$C$5,1)="B",(CL1361+AM1361)/2,MAX((CL1361+AM1361)/2,H1361))))</f>
        <v>50</v>
      </c>
      <c r="AL1361" s="62" t="n">
        <f aca="false">AK1361*G1361</f>
        <v>947.5</v>
      </c>
      <c r="AM1361" s="62" t="n">
        <f aca="false">ROUNDUP(CL1361+MAX(CM1361,2*(J1361/IF(CH1361&gt;0,CH1361,MAX(0.1,N(Cockpit!$C$6)))-CL1361)),0)</f>
        <v>93</v>
      </c>
      <c r="AN1361" s="63" t="n">
        <f aca="false">IF(AJ1361&gt;0,J1361/AJ1361,-1)</f>
        <v>13.7548387096774</v>
      </c>
      <c r="AO1361" s="63" t="n">
        <f aca="false">IF(AND(OR(CG1361="L1",CG1361="L23",CG1361="LIFT"),AJ1361&gt;0),SUMIFS($AJ$7:$AJ$1843,$CG$7:$CG$1843,CG1361,$AN$7:$AN$1843,"&gt;"&amp;AN1361)+SUMIFS($AJ$7:$AJ$1843,$CG$7:$CG$1843,CG1361,$AN$7:$AN$1843,AN1361,$BX$7:$BX$1843,"&lt;="&amp;BX1361),"")</f>
        <v>2231.61263736264</v>
      </c>
      <c r="AP1361" s="70" t="n">
        <f aca="false">IF(AO1361="",0,MAX(0,MIN(1,(IF(CG1361="L1",Parameter!$H$5,IF(CG1361="L23",Parameter!$H$6+Parameter!$H$7,Parameter!$H$5+Parameter!$H$6+Parameter!$H$7))-(AO1361-AJ1361))/AJ1361)))</f>
        <v>1</v>
      </c>
      <c r="AQ1361" s="62" t="n">
        <f aca="false">IF(LEFT(Cockpit!$I$5,1)="A",H1361,IF(Parameter!$E$30="MAX-Bestand",IF(CI1361=1,CJ1361,IF(LEFT(Cockpit!$I$5,1)="B",AW1361,MAX(AW1361,H1361))),ROUNDUP(AU1361,0)))</f>
        <v>50</v>
      </c>
      <c r="AR1361" s="62" t="n">
        <f aca="false">IF(CA1361=1,0,ROUNDUP(AQ1361/BZ1361,0))</f>
        <v>1</v>
      </c>
      <c r="AS1361" s="64" t="n">
        <f aca="false">IF(CR1361&gt;0,CR1361*MAX(1,AQ1361/X1361),IF(CA1361=1,IF(AQ1361&lt;=0,0,CE1361*MAX(1,IF(H1361&gt;0,AQ1361/H1361,1))),IF(R1361&gt;0,AR1361/R1361,0))/MAX(0.1,N(Parameter!$M$21)))</f>
        <v>0.0384615384615385</v>
      </c>
      <c r="AT1361" s="62" t="n">
        <f aca="false">AS1361*CC1361</f>
        <v>5.96153846153846</v>
      </c>
      <c r="AU1361" s="63" t="n">
        <f aca="false">IF(LEFT(Cockpit!$I$5,1)="A",H1361,IF(CI1361=1,(CL1361+CJ1361)/2,IF(LEFT(Cockpit!$I$5,1)="B",(CL1361+AW1361)/2,MAX((CL1361+AW1361)/2,H1361))))</f>
        <v>50</v>
      </c>
      <c r="AV1361" s="62" t="n">
        <f aca="false">AU1361*G1361</f>
        <v>947.5</v>
      </c>
      <c r="AW1361" s="62" t="n">
        <f aca="false">ROUNDUP(CL1361+MAX(CM1361,2*(J1361/IF(CH1361&gt;0,CH1361,MAX(0.1,N(Cockpit!$I$6)))-CL1361)),0)</f>
        <v>93</v>
      </c>
      <c r="AX1361" s="63" t="n">
        <f aca="false">IF(AT1361&gt;0,J1361/AT1361,-1)</f>
        <v>13.7548387096774</v>
      </c>
      <c r="AY1361" s="63" t="n">
        <f aca="false">IF(AND(OR(CG1361="L1",CG1361="L23",CG1361="LIFT"),AT1361&gt;0),SUMIFS($AT$7:$AT$1843,$CG$7:$CG$1843,CG1361,$AX$7:$AX$1843,"&gt;"&amp;AX1361)+SUMIFS($AT$7:$AT$1843,$CG$7:$CG$1843,CG1361,$AX$7:$AX$1843,AX1361,$BX$7:$BX$1843,"&lt;="&amp;BX1361),"")</f>
        <v>2850.79945054945</v>
      </c>
      <c r="AZ1361" s="70" t="n">
        <f aca="false">IF(AY1361="",0,MAX(0,MIN(1,(IF(CG1361="L1",Parameter!$H$5,IF(CG1361="L23",Parameter!$H$6+Parameter!$H$7,Parameter!$H$5+Parameter!$H$6+Parameter!$H$7))-(AY1361-AT1361))/AT1361)))</f>
        <v>1</v>
      </c>
      <c r="BA1361" s="62" t="n">
        <f aca="false">IF(LEFT(Cockpit!$O$5,1)="A",H1361,IF(Parameter!$E$30="MAX-Bestand",IF(CI1361=1,CJ1361,IF(LEFT(Cockpit!$O$5,1)="B",BG1361,MAX(BG1361,H1361))),ROUNDUP(BE1361,0)))</f>
        <v>48</v>
      </c>
      <c r="BB1361" s="62" t="n">
        <f aca="false">IF(CA1361=1,0,ROUNDUP(BA1361/BZ1361,0))</f>
        <v>1</v>
      </c>
      <c r="BC1361" s="64" t="n">
        <f aca="false">IF(CR1361&gt;0,CR1361*MAX(1,BA1361/X1361),IF(CA1361=1,IF(BA1361&lt;=0,0,CE1361*MAX(1,IF(H1361&gt;0,BA1361/H1361,1))),IF(R1361&gt;0,BB1361/R1361,0))/MAX(0.1,N(Parameter!$M$21)))</f>
        <v>0.0384615384615385</v>
      </c>
      <c r="BD1361" s="62" t="n">
        <f aca="false">BC1361*CC1361</f>
        <v>5.96153846153846</v>
      </c>
      <c r="BE1361" s="63" t="n">
        <f aca="false">IF(LEFT(Cockpit!$O$5,1)="A",H1361,IF(CI1361=1,(CL1361+CJ1361)/2,IF(LEFT(Cockpit!$O$5,1)="B",(CL1361+BG1361)/2,MAX((CL1361+BG1361)/2,H1361))))</f>
        <v>48</v>
      </c>
      <c r="BF1361" s="62" t="n">
        <f aca="false">BE1361*G1361</f>
        <v>909.6</v>
      </c>
      <c r="BG1361" s="62" t="n">
        <f aca="false">ROUNDUP(CL1361+MAX(CM1361,2*(J1361/IF(CH1361&gt;0,CH1361,MAX(0.1,N(Cockpit!$O$6)))-CL1361)),0)</f>
        <v>93</v>
      </c>
      <c r="BH1361" s="63" t="n">
        <f aca="false">IF(BD1361&gt;0,J1361/BD1361,-1)</f>
        <v>13.7548387096774</v>
      </c>
      <c r="BI1361" s="63" t="n">
        <f aca="false">IF(AND(OR(CG1361="L1",CG1361="L23",CG1361="LIFT"),BD1361&gt;0),SUMIFS($BD$7:$BD$1843,$CG$7:$CG$1843,CG1361,$BH$7:$BH$1843,"&gt;"&amp;BH1361)+SUMIFS($BD$7:$BD$1843,$CG$7:$CG$1843,CG1361,$BH$7:$BH$1843,BH1361,$BX$7:$BX$1843,"&lt;="&amp;BX1361),"")</f>
        <v>2500.64010989011</v>
      </c>
      <c r="BJ1361" s="70" t="n">
        <f aca="false">IF(BI1361="",0,MAX(0,MIN(1,(IF(CG1361="L1",Parameter!$H$5,IF(CG1361="L23",Parameter!$H$6+Parameter!$H$7,Parameter!$H$5+Parameter!$H$6+Parameter!$H$7))-(BI1361-BD1361))/BD1361)))</f>
        <v>1</v>
      </c>
      <c r="BK1361" s="60" t="str">
        <f aca="false">IF(AJ1361&lt;=0,"",IF(CG1361="Aussen","Aussenlager",IF(CG1361="-","Nicht im Lift",IF(AP1361&gt;=1,"Lift",IF(AP1361&lt;=0,"Aussenlager","teilweise")))))</f>
        <v>Lift</v>
      </c>
      <c r="BL1361" s="60" t="str">
        <f aca="false">IF(AT1361&lt;=0,"",IF(CG1361="Aussen","Aussenlager",IF(CG1361="-","Nicht im Lift",IF(AZ1361&gt;=1,"Lift",IF(AZ1361&lt;=0,"Aussenlager","teilweise")))))</f>
        <v>Lift</v>
      </c>
      <c r="BM1361" s="60" t="str">
        <f aca="false">IF(BD1361&lt;=0,"",IF(CG1361="Aussen","Aussenlager",IF(CG1361="-","Nicht im Lift",IF(BJ1361&gt;=1,"Lift",IF(BJ1361&lt;=0,"Aussenlager","teilweise")))))</f>
        <v>Lift</v>
      </c>
      <c r="BN1361" s="60" t="str">
        <f aca="false">IF(A1361="","",IF(BW1361=1,"Neu; ","")&amp;IF(AND(BW1361=0,BR1361&lt;0),"negativer Bestand (Export "&amp;BR1361&amp;"); ","")&amp;IF(J1361&lt;=0,"Kein Verbrauch; ","")&amp;IF(CR1361&gt;0,"Lift "&amp;W1361&amp;" lt. Liftbericht (Fach "&amp;X1361&amp;" Stk); ",IF(CB1361=1,"Gebinde geschätzt ("&amp;T1361&amp;"); ",IF(CA1361=1,"Lose – Tablare geschätzt; ","")))&amp;IF(H1361&gt;AW1361,"Überbestand "&amp;ROUND(H1361-AW1361,0)&amp;" Stk / CHF "&amp;ROUND((H1361-AW1361)*G1361,0)&amp;"; ","")&amp;IF(AND(CI1361=1,CJ1361&lt;CK1361),"MAX &lt; MB+LG; ","")&amp;IF(AND(CQ1361&gt;0,CP1361*10&gt;CQ1361),"zu hoch für Tablar; ","")&amp;IF(AND(BW1361=0,OR(CI1361=1,AB1361&lt;&gt;"",U1361&lt;&gt;"",V1361&lt;&gt;"",AC1361&lt;&gt;"")),"manuell übersteuert; ","")&amp;IF(AND(CA1361=0,R1361=0),"Gebinde unbekannt / Stellmass fehlt; ","")&amp;IF(AND(CA1361=0,N(V1361)&lt;=0,N(Q1361)&lt;=0),"Menge pro Gebinde fehlt (Ist = 1 Gebinde); ","")&amp;BV1361)</f>
        <v>negativer Bestand (Export -124); </v>
      </c>
      <c r="BO1361" s="60"/>
      <c r="BP1361" s="60"/>
      <c r="BQ1361" s="67"/>
      <c r="BR1361" s="62" t="n">
        <v>-124</v>
      </c>
      <c r="BS1361" s="62" t="n">
        <v>174</v>
      </c>
      <c r="BT1361" s="61" t="n">
        <v>-2349.8</v>
      </c>
      <c r="BU1361" s="62" t="n">
        <v>82</v>
      </c>
      <c r="BV1361" s="60"/>
      <c r="BW1361" s="65" t="n">
        <v>0</v>
      </c>
      <c r="BX1361" s="65" t="n">
        <v>1361</v>
      </c>
      <c r="BY1361" s="60" t="str">
        <f aca="false">IF(U1361&lt;&gt;"",UPPER(TRIM(U1361)),IF(CB1361=1,UPPER(VLOOKUP(T1361,Parameter!$I$27:$K$29,2,0)),IF(P1361="","LOSE",P1361)))</f>
        <v>S51</v>
      </c>
      <c r="BZ1361" s="62" t="n">
        <f aca="false">IF(BY1361="LOSE",1,IF(N(V1361)&gt;0,V1361,IF(CB1361=1,MAX(1,N(VLOOKUP(T1361,Parameter!$I$27:$K$29,3,0)),H1361,N(N1361)),IF(N(Q1361)&gt;0,Q1361,MAX(1,H1361)))))</f>
        <v>123</v>
      </c>
      <c r="CA1361" s="65" t="n">
        <f aca="false">IF(BY1361="LOSE",1,0)</f>
        <v>0</v>
      </c>
      <c r="CB1361" s="65" t="n">
        <f aca="false">IF(AND(U1361="",OR(P1361="",P1361="LOSE"),T1361&lt;&gt;"",N(S1361)&lt;=0,ISNUMBER(MATCH(T1361,Parameter!$I$27:$I$29,0))),1,0)</f>
        <v>0</v>
      </c>
      <c r="CC1361" s="65" t="n">
        <f aca="false">IF(CR1361&gt;0,INDEX(Parameter!$H$5:$H$7,W1361)/INDEX(Parameter!$E$5:$E$7,W1361),IF(AND(CA1361=0,N(IFERROR(VLOOKUP(BY1361,'Gebinde-Kategorie'!$A$5:$N$45,14,0),0))&gt;0),VLOOKUP(BY1361,'Gebinde-Kategorie'!$A$5:$N$45,14,0)*10+Parameter!$M$23,Parameter!$M$24))</f>
        <v>155</v>
      </c>
      <c r="CD1361" s="60" t="str">
        <f aca="false">IF(AND(Parameter!$B$19="Ja",E1361&lt;&gt;"",ISNUMBER(MATCH(E1361,Parameter!$I$35:$I$52,0))),VLOOKUP(E1361,Parameter!$I$35:$J$52,2,0),IFERROR(VLOOKUP(D1361,Parameter!$A$35:$C$64,2,0),"Nein"))</f>
        <v>2+3</v>
      </c>
      <c r="CE1361" s="64" t="n">
        <f aca="false">IF(CA1361=0,0,IF(N(S1361)&gt;0,S1361,IFERROR(VLOOKUP(D1361,Parameter!$A$35:$C$64,3,0)+0,0)))</f>
        <v>0</v>
      </c>
      <c r="CF1361" s="60" t="n">
        <f aca="false">IF(AB1361&lt;&gt;"",AB1361,AA1361)</f>
        <v>3</v>
      </c>
      <c r="CG1361" s="60" t="str">
        <f aca="false">IF(OR(CF1361=1,CF1361=2,CF1361=3),IF(Parameter!$E$27="Ja","LIFT",IF(CF1361=1,"L1","L23")),IF(CF1361="Aussen","Aussen","-"))</f>
        <v>LIFT</v>
      </c>
      <c r="CH1361" s="71" t="n">
        <f aca="false">IF(N(AC1361)&gt;0,AC1361,0)</f>
        <v>0</v>
      </c>
      <c r="CI1361" s="65" t="n">
        <f aca="false">IF(ISNUMBER(AF1361),1,0)</f>
        <v>0</v>
      </c>
      <c r="CJ1361" s="62" t="n">
        <f aca="false">N(AF1361)</f>
        <v>0</v>
      </c>
      <c r="CK1361" s="62" t="n">
        <f aca="false">N(M1361)+N(N1361)</f>
        <v>93</v>
      </c>
      <c r="CL1361" s="62" t="n">
        <f aca="false">N(M1361)</f>
        <v>3</v>
      </c>
      <c r="CM1361" s="62" t="n">
        <f aca="false">N(N1361)</f>
        <v>90</v>
      </c>
      <c r="CN1361" s="62" t="n">
        <f aca="false">ROUNDUP(H1361/BZ1361,0)</f>
        <v>1</v>
      </c>
      <c r="CO1361" s="62" t="n">
        <f aca="false">ROUNDUP(CJ1361/BZ1361,0)</f>
        <v>0</v>
      </c>
      <c r="CP1361" s="65" t="n">
        <f aca="false">IF(CA1361=1,0,IFERROR(VLOOKUP(BY1361,'Gebinde-Kategorie'!$A$5:$N$45,5,0)+0,0))</f>
        <v>11</v>
      </c>
      <c r="CQ1361" s="65" t="n">
        <f aca="false">IFERROR(IF(OR(CF1361=1,CF1361=2,CF1361=3),N(INDEX(Parameter!$I$5:$I$7,CF1361)),0),0)</f>
        <v>0</v>
      </c>
      <c r="CR1361" s="64" t="n">
        <f aca="false">IF(AND(Parameter!$B$21="Ja",ISNUMBER(W1361),N(X1361)&gt;0),IFERROR(N(INDEX(Parameter!$L$5:$L$7,W1361))*INDEX(Parameter!$E$5:$E$7,W1361)*X1361/SUMIFS($X$7:$X$1843,$W$7:$W$1843,W1361),0),0)</f>
        <v>0</v>
      </c>
      <c r="CS1361" s="62" t="n">
        <f aca="false">IF(AND(OR(CG1361="L1",CG1361="L23",CG1361="LIFT"),H1361&gt;0),CC1361*IF(CR1361&gt;0,CR1361*MAX(1,H1361/X1361),IF(CA1361=1,CE1361,IF(R1361&gt;0,CN1361/R1361,0))/MAX(0.1,N(Parameter!$M$21))),"")</f>
        <v>5.96153846153846</v>
      </c>
      <c r="CT1361" s="64" t="n">
        <f aca="false">IF(CS1361="","",J1361/H1361)</f>
        <v>1.64</v>
      </c>
      <c r="CU1361" s="62" t="n">
        <f aca="false">IF(CS1361="","",H1361*G1361)</f>
        <v>947.5</v>
      </c>
      <c r="CV1361" s="63" t="n">
        <f aca="false">IF(CS1361="","",(CL1361+ROUNDUP(CL1361+MAX(CM1361,2*(J1361/MAX(0.1,N(Einkauf!$C$6))-CL1361)),0))/2)</f>
        <v>48</v>
      </c>
      <c r="CW1361" s="62" t="n">
        <f aca="false">IF(CS1361="","",MAX(0,H1361-CV1361)*G1361)</f>
        <v>37.9</v>
      </c>
      <c r="CX1361" s="62" t="n">
        <f aca="false">IF(CS1361="","",CS1361*MAX(0,1-CV1361/H1361))</f>
        <v>0.238461538461539</v>
      </c>
      <c r="CY1361" s="64" t="n">
        <f aca="false">IF(CS1361="","",PERCENTRANK($CS$7:$CS$1843,CS1361)+PERCENTRANK($CU$7:$CU$1843,CU1361)+1-PERCENTRANK($CT$7:$CT$1843,CT1361))</f>
        <v>1.214</v>
      </c>
      <c r="CZ1361" s="72" t="n">
        <f aca="false">IF(CS1361="","",CHOOSE(MATCH(Einkauf!$C$5,Parameter!$G$23:$G$27,0),CY1361,CS1361,CU1361,-CT1361,CW1361)+ROW()/1000000000)</f>
        <v>1.214001361</v>
      </c>
    </row>
    <row r="1362" customFormat="false" ht="15" hidden="false" customHeight="false" outlineLevel="0" collapsed="false">
      <c r="A1362" s="60" t="s">
        <v>2442</v>
      </c>
      <c r="B1362" s="60" t="s">
        <v>622</v>
      </c>
      <c r="C1362" s="60" t="s">
        <v>206</v>
      </c>
      <c r="D1362" s="60" t="s">
        <v>215</v>
      </c>
      <c r="E1362" s="60" t="s">
        <v>208</v>
      </c>
      <c r="F1362" s="60" t="s">
        <v>260</v>
      </c>
      <c r="G1362" s="61" t="n">
        <v>133.49</v>
      </c>
      <c r="H1362" s="62" t="n">
        <f aca="false">MAX(0,IF(AND(Parameter!$B$21="Ja",ISNUMBER(Y1362)),Y1362,IF(Parameter!$B$20="Jahresanfang 2025 + Export",BS1362+BR1362,BR1362)))</f>
        <v>18</v>
      </c>
      <c r="I1362" s="62" t="n">
        <f aca="false">H1362*G1362</f>
        <v>2402.82</v>
      </c>
      <c r="J1362" s="62" t="n">
        <f aca="false">BU1362*Parameter!$B$18</f>
        <v>69</v>
      </c>
      <c r="K1362" s="63" t="n">
        <v>26</v>
      </c>
      <c r="L1362" s="64" t="n">
        <v>2.65384615384615</v>
      </c>
      <c r="M1362" s="62" t="n">
        <v>4</v>
      </c>
      <c r="N1362" s="62" t="n">
        <v>35</v>
      </c>
      <c r="O1362" s="65" t="n">
        <v>21</v>
      </c>
      <c r="P1362" s="60" t="s">
        <v>216</v>
      </c>
      <c r="Q1362" s="62" t="n">
        <v>35</v>
      </c>
      <c r="R1362" s="65" t="n">
        <f aca="false">IF(CA1362=1,0,IFERROR(VLOOKUP(BY1362,'Gebinde-Kategorie'!$A$5:$N$45,13,0)+0,0))</f>
        <v>6</v>
      </c>
      <c r="S1362" s="66"/>
      <c r="T1362" s="67"/>
      <c r="U1362" s="67"/>
      <c r="V1362" s="67"/>
      <c r="W1362" s="60"/>
      <c r="X1362" s="62"/>
      <c r="Y1362" s="62"/>
      <c r="Z1362" s="60" t="n">
        <v>2</v>
      </c>
      <c r="AA1362" s="60" t="n">
        <f aca="false">IF(A1362="","",IF(AND(Parameter!$B$21="Ja",ISNUMBER(W1362)),W1362,IF(AND(Parameter!$E$27="Ja",ISNUMBER(Z1362),CD1362&lt;&gt;"Nein"),Z1362,IF(CD1362="2+3",IF(ISNUMBER(SEARCH("grosser Artikel",BV1362)),2,IFERROR(VLOOKUP(BY1362,Parameter!$F$35:$G$64,2,0),2)),IF(OR(CD1362="Nein",CD1362=""),"-",CD1362)))))</f>
        <v>2</v>
      </c>
      <c r="AB1362" s="67"/>
      <c r="AC1362" s="68"/>
      <c r="AD1362" s="62" t="n">
        <f aca="false">AW1362</f>
        <v>42</v>
      </c>
      <c r="AE1362" s="62" t="n">
        <f aca="false">MAX(AW1362,H1362)</f>
        <v>42</v>
      </c>
      <c r="AF1362" s="69"/>
      <c r="AG1362" s="62" t="n">
        <f aca="false">IF(LEFT(Cockpit!$C$5,1)="A",H1362,IF(Parameter!$E$30="MAX-Bestand",IF(CI1362=1,CJ1362,IF(LEFT(Cockpit!$C$5,1)="B",AM1362,MAX(AM1362,H1362))),ROUNDUP(AK1362,0)))</f>
        <v>18</v>
      </c>
      <c r="AH1362" s="62" t="n">
        <f aca="false">IF(CA1362=1,0,ROUNDUP(AG1362/BZ1362,0))</f>
        <v>1</v>
      </c>
      <c r="AI1362" s="64" t="n">
        <f aca="false">IF(CR1362&gt;0,CR1362*MAX(1,AG1362/X1362),IF(CA1362=1,IF(AG1362&lt;=0,0,CE1362*MAX(1,IF(H1362&gt;0,AG1362/H1362,1))),IF(R1362&gt;0,AH1362/R1362,0))/MAX(0.1,N(Parameter!$M$21)))</f>
        <v>0.166666666666667</v>
      </c>
      <c r="AJ1362" s="62" t="n">
        <f aca="false">AI1362*CC1362</f>
        <v>39.1666666666667</v>
      </c>
      <c r="AK1362" s="63" t="n">
        <f aca="false">IF(LEFT(Cockpit!$C$5,1)="A",H1362,IF(CI1362=1,(CL1362+CJ1362)/2,IF(LEFT(Cockpit!$C$5,1)="B",(CL1362+AM1362)/2,MAX((CL1362+AM1362)/2,H1362))))</f>
        <v>18</v>
      </c>
      <c r="AL1362" s="62" t="n">
        <f aca="false">AK1362*G1362</f>
        <v>2402.82</v>
      </c>
      <c r="AM1362" s="62" t="n">
        <f aca="false">ROUNDUP(CL1362+MAX(CM1362,2*(J1362/IF(CH1362&gt;0,CH1362,MAX(0.1,N(Cockpit!$C$6)))-CL1362)),0)</f>
        <v>42</v>
      </c>
      <c r="AN1362" s="63" t="n">
        <f aca="false">IF(AJ1362&gt;0,J1362/AJ1362,-1)</f>
        <v>1.76170212765957</v>
      </c>
      <c r="AO1362" s="63" t="n">
        <f aca="false">IF(AND(OR(CG1362="L1",CG1362="L23",CG1362="LIFT"),AJ1362&gt;0),SUMIFS($AJ$7:$AJ$1843,$CG$7:$CG$1843,CG1362,$AN$7:$AN$1843,"&gt;"&amp;AN1362)+SUMIFS($AJ$7:$AJ$1843,$CG$7:$CG$1843,CG1362,$AN$7:$AN$1843,AN1362,$BX$7:$BX$1843,"&lt;="&amp;BX1362),"")</f>
        <v>6006.72481684982</v>
      </c>
      <c r="AP1362" s="70" t="n">
        <f aca="false">IF(AO1362="",0,MAX(0,MIN(1,(IF(CG1362="L1",Parameter!$H$5,IF(CG1362="L23",Parameter!$H$6+Parameter!$H$7,Parameter!$H$5+Parameter!$H$6+Parameter!$H$7))-(AO1362-AJ1362))/AJ1362)))</f>
        <v>1</v>
      </c>
      <c r="AQ1362" s="62" t="n">
        <f aca="false">IF(LEFT(Cockpit!$I$5,1)="A",H1362,IF(Parameter!$E$30="MAX-Bestand",IF(CI1362=1,CJ1362,IF(LEFT(Cockpit!$I$5,1)="B",AW1362,MAX(AW1362,H1362))),ROUNDUP(AU1362,0)))</f>
        <v>23</v>
      </c>
      <c r="AR1362" s="62" t="n">
        <f aca="false">IF(CA1362=1,0,ROUNDUP(AQ1362/BZ1362,0))</f>
        <v>1</v>
      </c>
      <c r="AS1362" s="64" t="n">
        <f aca="false">IF(CR1362&gt;0,CR1362*MAX(1,AQ1362/X1362),IF(CA1362=1,IF(AQ1362&lt;=0,0,CE1362*MAX(1,IF(H1362&gt;0,AQ1362/H1362,1))),IF(R1362&gt;0,AR1362/R1362,0))/MAX(0.1,N(Parameter!$M$21)))</f>
        <v>0.166666666666667</v>
      </c>
      <c r="AT1362" s="62" t="n">
        <f aca="false">AS1362*CC1362</f>
        <v>39.1666666666667</v>
      </c>
      <c r="AU1362" s="63" t="n">
        <f aca="false">IF(LEFT(Cockpit!$I$5,1)="A",H1362,IF(CI1362=1,(CL1362+CJ1362)/2,IF(LEFT(Cockpit!$I$5,1)="B",(CL1362+AW1362)/2,MAX((CL1362+AW1362)/2,H1362))))</f>
        <v>23</v>
      </c>
      <c r="AV1362" s="62" t="n">
        <f aca="false">AU1362*G1362</f>
        <v>3070.27</v>
      </c>
      <c r="AW1362" s="62" t="n">
        <f aca="false">ROUNDUP(CL1362+MAX(CM1362,2*(J1362/IF(CH1362&gt;0,CH1362,MAX(0.1,N(Cockpit!$I$6)))-CL1362)),0)</f>
        <v>42</v>
      </c>
      <c r="AX1362" s="63" t="n">
        <f aca="false">IF(AT1362&gt;0,J1362/AT1362,-1)</f>
        <v>1.76170212765957</v>
      </c>
      <c r="AY1362" s="63" t="n">
        <f aca="false">IF(AND(OR(CG1362="L1",CG1362="L23",CG1362="LIFT"),AT1362&gt;0),SUMIFS($AT$7:$AT$1843,$CG$7:$CG$1843,CG1362,$AX$7:$AX$1843,"&gt;"&amp;AX1362)+SUMIFS($AT$7:$AT$1843,$CG$7:$CG$1843,CG1362,$AX$7:$AX$1843,AX1362,$BX$7:$BX$1843,"&lt;="&amp;BX1362),"")</f>
        <v>7445.90842490843</v>
      </c>
      <c r="AZ1362" s="70" t="n">
        <f aca="false">IF(AY1362="",0,MAX(0,MIN(1,(IF(CG1362="L1",Parameter!$H$5,IF(CG1362="L23",Parameter!$H$6+Parameter!$H$7,Parameter!$H$5+Parameter!$H$6+Parameter!$H$7))-(AY1362-AT1362))/AT1362)))</f>
        <v>1</v>
      </c>
      <c r="BA1362" s="62" t="n">
        <f aca="false">IF(LEFT(Cockpit!$O$5,1)="A",H1362,IF(Parameter!$E$30="MAX-Bestand",IF(CI1362=1,CJ1362,IF(LEFT(Cockpit!$O$5,1)="B",BG1362,MAX(BG1362,H1362))),ROUNDUP(BE1362,0)))</f>
        <v>22</v>
      </c>
      <c r="BB1362" s="62" t="n">
        <f aca="false">IF(CA1362=1,0,ROUNDUP(BA1362/BZ1362,0))</f>
        <v>1</v>
      </c>
      <c r="BC1362" s="64" t="n">
        <f aca="false">IF(CR1362&gt;0,CR1362*MAX(1,BA1362/X1362),IF(CA1362=1,IF(BA1362&lt;=0,0,CE1362*MAX(1,IF(H1362&gt;0,BA1362/H1362,1))),IF(R1362&gt;0,BB1362/R1362,0))/MAX(0.1,N(Parameter!$M$21)))</f>
        <v>0.166666666666667</v>
      </c>
      <c r="BD1362" s="62" t="n">
        <f aca="false">BC1362*CC1362</f>
        <v>39.1666666666667</v>
      </c>
      <c r="BE1362" s="63" t="n">
        <f aca="false">IF(LEFT(Cockpit!$O$5,1)="A",H1362,IF(CI1362=1,(CL1362+CJ1362)/2,IF(LEFT(Cockpit!$O$5,1)="B",(CL1362+BG1362)/2,MAX((CL1362+BG1362)/2,H1362))))</f>
        <v>21.5</v>
      </c>
      <c r="BF1362" s="62" t="n">
        <f aca="false">BE1362*G1362</f>
        <v>2870.035</v>
      </c>
      <c r="BG1362" s="62" t="n">
        <f aca="false">ROUNDUP(CL1362+MAX(CM1362,2*(J1362/IF(CH1362&gt;0,CH1362,MAX(0.1,N(Cockpit!$O$6)))-CL1362)),0)</f>
        <v>39</v>
      </c>
      <c r="BH1362" s="63" t="n">
        <f aca="false">IF(BD1362&gt;0,J1362/BD1362,-1)</f>
        <v>1.76170212765957</v>
      </c>
      <c r="BI1362" s="63" t="n">
        <f aca="false">IF(AND(OR(CG1362="L1",CG1362="L23",CG1362="LIFT"),BD1362&gt;0),SUMIFS($BD$7:$BD$1843,$CG$7:$CG$1843,CG1362,$BH$7:$BH$1843,"&gt;"&amp;BH1362)+SUMIFS($BD$7:$BD$1843,$CG$7:$CG$1843,CG1362,$BH$7:$BH$1843,BH1362,$BX$7:$BX$1843,"&lt;="&amp;BX1362),"")</f>
        <v>6133.82921245421</v>
      </c>
      <c r="BJ1362" s="70" t="n">
        <f aca="false">IF(BI1362="",0,MAX(0,MIN(1,(IF(CG1362="L1",Parameter!$H$5,IF(CG1362="L23",Parameter!$H$6+Parameter!$H$7,Parameter!$H$5+Parameter!$H$6+Parameter!$H$7))-(BI1362-BD1362))/BD1362)))</f>
        <v>1</v>
      </c>
      <c r="BK1362" s="60" t="str">
        <f aca="false">IF(AJ1362&lt;=0,"",IF(CG1362="Aussen","Aussenlager",IF(CG1362="-","Nicht im Lift",IF(AP1362&gt;=1,"Lift",IF(AP1362&lt;=0,"Aussenlager","teilweise")))))</f>
        <v>Lift</v>
      </c>
      <c r="BL1362" s="60" t="str">
        <f aca="false">IF(AT1362&lt;=0,"",IF(CG1362="Aussen","Aussenlager",IF(CG1362="-","Nicht im Lift",IF(AZ1362&gt;=1,"Lift",IF(AZ1362&lt;=0,"Aussenlager","teilweise")))))</f>
        <v>Lift</v>
      </c>
      <c r="BM1362" s="60" t="str">
        <f aca="false">IF(BD1362&lt;=0,"",IF(CG1362="Aussen","Aussenlager",IF(CG1362="-","Nicht im Lift",IF(BJ1362&gt;=1,"Lift",IF(BJ1362&lt;=0,"Aussenlager","teilweise")))))</f>
        <v>Lift</v>
      </c>
      <c r="BN1362" s="60" t="str">
        <f aca="false">IF(A1362="","",IF(BW1362=1,"Neu; ","")&amp;IF(AND(BW1362=0,BR1362&lt;0),"negativer Bestand (Export "&amp;BR1362&amp;"); ","")&amp;IF(J1362&lt;=0,"Kein Verbrauch; ","")&amp;IF(CR1362&gt;0,"Lift "&amp;W1362&amp;" lt. Liftbericht (Fach "&amp;X1362&amp;" Stk); ",IF(CB1362=1,"Gebinde geschätzt ("&amp;T1362&amp;"); ",IF(CA1362=1,"Lose – Tablare geschätzt; ","")))&amp;IF(H1362&gt;AW1362,"Überbestand "&amp;ROUND(H1362-AW1362,0)&amp;" Stk / CHF "&amp;ROUND((H1362-AW1362)*G1362,0)&amp;"; ","")&amp;IF(AND(CI1362=1,CJ1362&lt;CK1362),"MAX &lt; MB+LG; ","")&amp;IF(AND(CQ1362&gt;0,CP1362*10&gt;CQ1362),"zu hoch für Tablar; ","")&amp;IF(AND(BW1362=0,OR(CI1362=1,AB1362&lt;&gt;"",U1362&lt;&gt;"",V1362&lt;&gt;"",AC1362&lt;&gt;"")),"manuell übersteuert; ","")&amp;IF(AND(CA1362=0,R1362=0),"Gebinde unbekannt / Stellmass fehlt; ","")&amp;IF(AND(CA1362=0,N(V1362)&lt;=0,N(Q1362)&lt;=0),"Menge pro Gebinde fehlt (Ist = 1 Gebinde); ","")&amp;BV1362)</f>
        <v>negativer Bestand (Export -18); 01C</v>
      </c>
      <c r="BO1362" s="60"/>
      <c r="BP1362" s="60"/>
      <c r="BQ1362" s="67"/>
      <c r="BR1362" s="62" t="n">
        <v>-18</v>
      </c>
      <c r="BS1362" s="62" t="n">
        <v>36</v>
      </c>
      <c r="BT1362" s="61" t="n">
        <v>-2395.98</v>
      </c>
      <c r="BU1362" s="62" t="n">
        <v>69</v>
      </c>
      <c r="BV1362" s="60" t="s">
        <v>2443</v>
      </c>
      <c r="BW1362" s="65" t="n">
        <v>0</v>
      </c>
      <c r="BX1362" s="65" t="n">
        <v>1362</v>
      </c>
      <c r="BY1362" s="60" t="str">
        <f aca="false">IF(U1362&lt;&gt;"",UPPER(TRIM(U1362)),IF(CB1362=1,UPPER(VLOOKUP(T1362,Parameter!$I$27:$K$29,2,0)),IF(P1362="","LOSE",P1362)))</f>
        <v>S71</v>
      </c>
      <c r="BZ1362" s="62" t="n">
        <f aca="false">IF(BY1362="LOSE",1,IF(N(V1362)&gt;0,V1362,IF(CB1362=1,MAX(1,N(VLOOKUP(T1362,Parameter!$I$27:$K$29,3,0)),H1362,N(N1362)),IF(N(Q1362)&gt;0,Q1362,MAX(1,H1362)))))</f>
        <v>35</v>
      </c>
      <c r="CA1362" s="65" t="n">
        <f aca="false">IF(BY1362="LOSE",1,0)</f>
        <v>0</v>
      </c>
      <c r="CB1362" s="65" t="n">
        <f aca="false">IF(AND(U1362="",OR(P1362="",P1362="LOSE"),T1362&lt;&gt;"",N(S1362)&lt;=0,ISNUMBER(MATCH(T1362,Parameter!$I$27:$I$29,0))),1,0)</f>
        <v>0</v>
      </c>
      <c r="CC1362" s="65" t="n">
        <f aca="false">IF(CR1362&gt;0,INDEX(Parameter!$H$5:$H$7,W1362)/INDEX(Parameter!$E$5:$E$7,W1362),IF(AND(CA1362=0,N(IFERROR(VLOOKUP(BY1362,'Gebinde-Kategorie'!$A$5:$N$45,14,0),0))&gt;0),VLOOKUP(BY1362,'Gebinde-Kategorie'!$A$5:$N$45,14,0)*10+Parameter!$M$23,Parameter!$M$24))</f>
        <v>235</v>
      </c>
      <c r="CD1362" s="60" t="n">
        <f aca="false">IF(AND(Parameter!$B$19="Ja",E1362&lt;&gt;"",ISNUMBER(MATCH(E1362,Parameter!$I$35:$I$52,0))),VLOOKUP(E1362,Parameter!$I$35:$J$52,2,0),IFERROR(VLOOKUP(D1362,Parameter!$A$35:$C$64,2,0),"Nein"))</f>
        <v>1</v>
      </c>
      <c r="CE1362" s="64" t="n">
        <f aca="false">IF(CA1362=0,0,IF(N(S1362)&gt;0,S1362,IFERROR(VLOOKUP(D1362,Parameter!$A$35:$C$64,3,0)+0,0)))</f>
        <v>0</v>
      </c>
      <c r="CF1362" s="60" t="n">
        <f aca="false">IF(AB1362&lt;&gt;"",AB1362,AA1362)</f>
        <v>2</v>
      </c>
      <c r="CG1362" s="60" t="str">
        <f aca="false">IF(OR(CF1362=1,CF1362=2,CF1362=3),IF(Parameter!$E$27="Ja","LIFT",IF(CF1362=1,"L1","L23")),IF(CF1362="Aussen","Aussen","-"))</f>
        <v>LIFT</v>
      </c>
      <c r="CH1362" s="71" t="n">
        <f aca="false">IF(N(AC1362)&gt;0,AC1362,0)</f>
        <v>0</v>
      </c>
      <c r="CI1362" s="65" t="n">
        <f aca="false">IF(ISNUMBER(AF1362),1,0)</f>
        <v>0</v>
      </c>
      <c r="CJ1362" s="62" t="n">
        <f aca="false">N(AF1362)</f>
        <v>0</v>
      </c>
      <c r="CK1362" s="62" t="n">
        <f aca="false">N(M1362)+N(N1362)</f>
        <v>39</v>
      </c>
      <c r="CL1362" s="62" t="n">
        <f aca="false">N(M1362)</f>
        <v>4</v>
      </c>
      <c r="CM1362" s="62" t="n">
        <f aca="false">N(N1362)</f>
        <v>35</v>
      </c>
      <c r="CN1362" s="62" t="n">
        <f aca="false">ROUNDUP(H1362/BZ1362,0)</f>
        <v>1</v>
      </c>
      <c r="CO1362" s="62" t="n">
        <f aca="false">ROUNDUP(CJ1362/BZ1362,0)</f>
        <v>0</v>
      </c>
      <c r="CP1362" s="65" t="n">
        <f aca="false">IF(CA1362=1,0,IFERROR(VLOOKUP(BY1362,'Gebinde-Kategorie'!$A$5:$N$45,5,0)+0,0))</f>
        <v>20</v>
      </c>
      <c r="CQ1362" s="65" t="n">
        <f aca="false">IFERROR(IF(OR(CF1362=1,CF1362=2,CF1362=3),N(INDEX(Parameter!$I$5:$I$7,CF1362)),0),0)</f>
        <v>0</v>
      </c>
      <c r="CR1362" s="64" t="n">
        <f aca="false">IF(AND(Parameter!$B$21="Ja",ISNUMBER(W1362),N(X1362)&gt;0),IFERROR(N(INDEX(Parameter!$L$5:$L$7,W1362))*INDEX(Parameter!$E$5:$E$7,W1362)*X1362/SUMIFS($X$7:$X$1843,$W$7:$W$1843,W1362),0),0)</f>
        <v>0</v>
      </c>
      <c r="CS1362" s="62" t="n">
        <f aca="false">IF(AND(OR(CG1362="L1",CG1362="L23",CG1362="LIFT"),H1362&gt;0),CC1362*IF(CR1362&gt;0,CR1362*MAX(1,H1362/X1362),IF(CA1362=1,CE1362,IF(R1362&gt;0,CN1362/R1362,0))/MAX(0.1,N(Parameter!$M$21))),"")</f>
        <v>39.1666666666667</v>
      </c>
      <c r="CT1362" s="64" t="n">
        <f aca="false">IF(CS1362="","",J1362/H1362)</f>
        <v>3.83333333333333</v>
      </c>
      <c r="CU1362" s="62" t="n">
        <f aca="false">IF(CS1362="","",H1362*G1362)</f>
        <v>2402.82</v>
      </c>
      <c r="CV1362" s="63" t="n">
        <f aca="false">IF(CS1362="","",(CL1362+ROUNDUP(CL1362+MAX(CM1362,2*(J1362/MAX(0.1,N(Einkauf!$C$6))-CL1362)),0))/2)</f>
        <v>21.5</v>
      </c>
      <c r="CW1362" s="62" t="n">
        <f aca="false">IF(CS1362="","",MAX(0,H1362-CV1362)*G1362)</f>
        <v>0</v>
      </c>
      <c r="CX1362" s="62" t="n">
        <f aca="false">IF(CS1362="","",CS1362*MAX(0,1-CV1362/H1362))</f>
        <v>0</v>
      </c>
      <c r="CY1362" s="64" t="n">
        <f aca="false">IF(CS1362="","",PERCENTRANK($CS$7:$CS$1843,CS1362)+PERCENTRANK($CU$7:$CU$1843,CU1362)+1-PERCENTRANK($CT$7:$CT$1843,CT1362))</f>
        <v>1.728</v>
      </c>
      <c r="CZ1362" s="72" t="n">
        <f aca="false">IF(CS1362="","",CHOOSE(MATCH(Einkauf!$C$5,Parameter!$G$23:$G$27,0),CY1362,CS1362,CU1362,-CT1362,CW1362)+ROW()/1000000000)</f>
        <v>1.728001362</v>
      </c>
    </row>
    <row r="1363" customFormat="false" ht="15" hidden="false" customHeight="false" outlineLevel="0" collapsed="false">
      <c r="A1363" s="60" t="s">
        <v>2444</v>
      </c>
      <c r="B1363" s="60" t="s">
        <v>2445</v>
      </c>
      <c r="C1363" s="60" t="s">
        <v>206</v>
      </c>
      <c r="D1363" s="60" t="s">
        <v>215</v>
      </c>
      <c r="E1363" s="60" t="s">
        <v>227</v>
      </c>
      <c r="F1363" s="60" t="s">
        <v>260</v>
      </c>
      <c r="G1363" s="61" t="n">
        <v>280.07</v>
      </c>
      <c r="H1363" s="62" t="n">
        <f aca="false">MAX(0,IF(AND(Parameter!$B$21="Ja",ISNUMBER(Y1363)),Y1363,IF(Parameter!$B$20="Jahresanfang 2025 + Export",BS1363+BR1363,BR1363)))</f>
        <v>3</v>
      </c>
      <c r="I1363" s="62" t="n">
        <f aca="false">H1363*G1363</f>
        <v>840.21</v>
      </c>
      <c r="J1363" s="62" t="n">
        <f aca="false">BU1363*Parameter!$B$18</f>
        <v>46</v>
      </c>
      <c r="K1363" s="63" t="n">
        <v>9</v>
      </c>
      <c r="L1363" s="64" t="n">
        <v>5.11111111111111</v>
      </c>
      <c r="M1363" s="62" t="n">
        <v>2</v>
      </c>
      <c r="N1363" s="62" t="n">
        <v>10</v>
      </c>
      <c r="O1363" s="65" t="n">
        <v>21</v>
      </c>
      <c r="P1363" s="60" t="s">
        <v>216</v>
      </c>
      <c r="Q1363" s="62" t="n">
        <v>12</v>
      </c>
      <c r="R1363" s="65" t="n">
        <f aca="false">IF(CA1363=1,0,IFERROR(VLOOKUP(BY1363,'Gebinde-Kategorie'!$A$5:$N$45,13,0)+0,0))</f>
        <v>6</v>
      </c>
      <c r="S1363" s="66"/>
      <c r="T1363" s="67"/>
      <c r="U1363" s="67"/>
      <c r="V1363" s="67"/>
      <c r="W1363" s="60"/>
      <c r="X1363" s="62"/>
      <c r="Y1363" s="62"/>
      <c r="Z1363" s="60" t="n">
        <v>2</v>
      </c>
      <c r="AA1363" s="60" t="n">
        <f aca="false">IF(A1363="","",IF(AND(Parameter!$B$21="Ja",ISNUMBER(W1363)),W1363,IF(AND(Parameter!$E$27="Ja",ISNUMBER(Z1363),CD1363&lt;&gt;"Nein"),Z1363,IF(CD1363="2+3",IF(ISNUMBER(SEARCH("grosser Artikel",BV1363)),2,IFERROR(VLOOKUP(BY1363,Parameter!$F$35:$G$64,2,0),2)),IF(OR(CD1363="Nein",CD1363=""),"-",CD1363)))))</f>
        <v>2</v>
      </c>
      <c r="AB1363" s="67"/>
      <c r="AC1363" s="68"/>
      <c r="AD1363" s="62" t="n">
        <f aca="false">AW1363</f>
        <v>29</v>
      </c>
      <c r="AE1363" s="62" t="n">
        <f aca="false">MAX(AW1363,H1363)</f>
        <v>29</v>
      </c>
      <c r="AF1363" s="69"/>
      <c r="AG1363" s="62" t="n">
        <f aca="false">IF(LEFT(Cockpit!$C$5,1)="A",H1363,IF(Parameter!$E$30="MAX-Bestand",IF(CI1363=1,CJ1363,IF(LEFT(Cockpit!$C$5,1)="B",AM1363,MAX(AM1363,H1363))),ROUNDUP(AK1363,0)))</f>
        <v>3</v>
      </c>
      <c r="AH1363" s="62" t="n">
        <f aca="false">IF(CA1363=1,0,ROUNDUP(AG1363/BZ1363,0))</f>
        <v>1</v>
      </c>
      <c r="AI1363" s="64" t="n">
        <f aca="false">IF(CR1363&gt;0,CR1363*MAX(1,AG1363/X1363),IF(CA1363=1,IF(AG1363&lt;=0,0,CE1363*MAX(1,IF(H1363&gt;0,AG1363/H1363,1))),IF(R1363&gt;0,AH1363/R1363,0))/MAX(0.1,N(Parameter!$M$21)))</f>
        <v>0.166666666666667</v>
      </c>
      <c r="AJ1363" s="62" t="n">
        <f aca="false">AI1363*CC1363</f>
        <v>39.1666666666667</v>
      </c>
      <c r="AK1363" s="63" t="n">
        <f aca="false">IF(LEFT(Cockpit!$C$5,1)="A",H1363,IF(CI1363=1,(CL1363+CJ1363)/2,IF(LEFT(Cockpit!$C$5,1)="B",(CL1363+AM1363)/2,MAX((CL1363+AM1363)/2,H1363))))</f>
        <v>3</v>
      </c>
      <c r="AL1363" s="62" t="n">
        <f aca="false">AK1363*G1363</f>
        <v>840.21</v>
      </c>
      <c r="AM1363" s="62" t="n">
        <f aca="false">ROUNDUP(CL1363+MAX(CM1363,2*(J1363/IF(CH1363&gt;0,CH1363,MAX(0.1,N(Cockpit!$C$6)))-CL1363)),0)</f>
        <v>29</v>
      </c>
      <c r="AN1363" s="63" t="n">
        <f aca="false">IF(AJ1363&gt;0,J1363/AJ1363,-1)</f>
        <v>1.17446808510638</v>
      </c>
      <c r="AO1363" s="63" t="n">
        <f aca="false">IF(AND(OR(CG1363="L1",CG1363="L23",CG1363="LIFT"),AJ1363&gt;0),SUMIFS($AJ$7:$AJ$1843,$CG$7:$CG$1843,CG1363,$AN$7:$AN$1843,"&gt;"&amp;AN1363)+SUMIFS($AJ$7:$AJ$1843,$CG$7:$CG$1843,CG1363,$AN$7:$AN$1843,AN1363,$BX$7:$BX$1843,"&lt;="&amp;BX1363),"")</f>
        <v>6685.63507326007</v>
      </c>
      <c r="AP1363" s="70" t="n">
        <f aca="false">IF(AO1363="",0,MAX(0,MIN(1,(IF(CG1363="L1",Parameter!$H$5,IF(CG1363="L23",Parameter!$H$6+Parameter!$H$7,Parameter!$H$5+Parameter!$H$6+Parameter!$H$7))-(AO1363-AJ1363))/AJ1363)))</f>
        <v>1</v>
      </c>
      <c r="AQ1363" s="62" t="n">
        <f aca="false">IF(LEFT(Cockpit!$I$5,1)="A",H1363,IF(Parameter!$E$30="MAX-Bestand",IF(CI1363=1,CJ1363,IF(LEFT(Cockpit!$I$5,1)="B",AW1363,MAX(AW1363,H1363))),ROUNDUP(AU1363,0)))</f>
        <v>16</v>
      </c>
      <c r="AR1363" s="62" t="n">
        <f aca="false">IF(CA1363=1,0,ROUNDUP(AQ1363/BZ1363,0))</f>
        <v>2</v>
      </c>
      <c r="AS1363" s="64" t="n">
        <f aca="false">IF(CR1363&gt;0,CR1363*MAX(1,AQ1363/X1363),IF(CA1363=1,IF(AQ1363&lt;=0,0,CE1363*MAX(1,IF(H1363&gt;0,AQ1363/H1363,1))),IF(R1363&gt;0,AR1363/R1363,0))/MAX(0.1,N(Parameter!$M$21)))</f>
        <v>0.333333333333333</v>
      </c>
      <c r="AT1363" s="62" t="n">
        <f aca="false">AS1363*CC1363</f>
        <v>78.3333333333333</v>
      </c>
      <c r="AU1363" s="63" t="n">
        <f aca="false">IF(LEFT(Cockpit!$I$5,1)="A",H1363,IF(CI1363=1,(CL1363+CJ1363)/2,IF(LEFT(Cockpit!$I$5,1)="B",(CL1363+AW1363)/2,MAX((CL1363+AW1363)/2,H1363))))</f>
        <v>15.5</v>
      </c>
      <c r="AV1363" s="62" t="n">
        <f aca="false">AU1363*G1363</f>
        <v>4341.085</v>
      </c>
      <c r="AW1363" s="62" t="n">
        <f aca="false">ROUNDUP(CL1363+MAX(CM1363,2*(J1363/IF(CH1363&gt;0,CH1363,MAX(0.1,N(Cockpit!$I$6)))-CL1363)),0)</f>
        <v>29</v>
      </c>
      <c r="AX1363" s="63" t="n">
        <f aca="false">IF(AT1363&gt;0,J1363/AT1363,-1)</f>
        <v>0.587234042553192</v>
      </c>
      <c r="AY1363" s="63" t="n">
        <f aca="false">IF(AND(OR(CG1363="L1",CG1363="L23",CG1363="LIFT"),AT1363&gt;0),SUMIFS($AT$7:$AT$1843,$CG$7:$CG$1843,CG1363,$AX$7:$AX$1843,"&gt;"&amp;AX1363)+SUMIFS($AT$7:$AT$1843,$CG$7:$CG$1843,CG1363,$AX$7:$AX$1843,AX1363,$BX$7:$BX$1843,"&lt;="&amp;BX1363),"")</f>
        <v>11443.1163003663</v>
      </c>
      <c r="AZ1363" s="70" t="n">
        <f aca="false">IF(AY1363="",0,MAX(0,MIN(1,(IF(CG1363="L1",Parameter!$H$5,IF(CG1363="L23",Parameter!$H$6+Parameter!$H$7,Parameter!$H$5+Parameter!$H$6+Parameter!$H$7))-(AY1363-AT1363))/AT1363)))</f>
        <v>1</v>
      </c>
      <c r="BA1363" s="62" t="n">
        <f aca="false">IF(LEFT(Cockpit!$O$5,1)="A",H1363,IF(Parameter!$E$30="MAX-Bestand",IF(CI1363=1,CJ1363,IF(LEFT(Cockpit!$O$5,1)="B",BG1363,MAX(BG1363,H1363))),ROUNDUP(BE1363,0)))</f>
        <v>12</v>
      </c>
      <c r="BB1363" s="62" t="n">
        <f aca="false">IF(CA1363=1,0,ROUNDUP(BA1363/BZ1363,0))</f>
        <v>1</v>
      </c>
      <c r="BC1363" s="64" t="n">
        <f aca="false">IF(CR1363&gt;0,CR1363*MAX(1,BA1363/X1363),IF(CA1363=1,IF(BA1363&lt;=0,0,CE1363*MAX(1,IF(H1363&gt;0,BA1363/H1363,1))),IF(R1363&gt;0,BB1363/R1363,0))/MAX(0.1,N(Parameter!$M$21)))</f>
        <v>0.166666666666667</v>
      </c>
      <c r="BD1363" s="62" t="n">
        <f aca="false">BC1363*CC1363</f>
        <v>39.1666666666667</v>
      </c>
      <c r="BE1363" s="63" t="n">
        <f aca="false">IF(LEFT(Cockpit!$O$5,1)="A",H1363,IF(CI1363=1,(CL1363+CJ1363)/2,IF(LEFT(Cockpit!$O$5,1)="B",(CL1363+BG1363)/2,MAX((CL1363+BG1363)/2,H1363))))</f>
        <v>11.5</v>
      </c>
      <c r="BF1363" s="62" t="n">
        <f aca="false">BE1363*G1363</f>
        <v>3220.805</v>
      </c>
      <c r="BG1363" s="62" t="n">
        <f aca="false">ROUNDUP(CL1363+MAX(CM1363,2*(J1363/IF(CH1363&gt;0,CH1363,MAX(0.1,N(Cockpit!$O$6)))-CL1363)),0)</f>
        <v>21</v>
      </c>
      <c r="BH1363" s="63" t="n">
        <f aca="false">IF(BD1363&gt;0,J1363/BD1363,-1)</f>
        <v>1.17446808510638</v>
      </c>
      <c r="BI1363" s="63" t="n">
        <f aca="false">IF(AND(OR(CG1363="L1",CG1363="L23",CG1363="LIFT"),BD1363&gt;0),SUMIFS($BD$7:$BD$1843,$CG$7:$CG$1843,CG1363,$BH$7:$BH$1843,"&gt;"&amp;BH1363)+SUMIFS($BD$7:$BD$1843,$CG$7:$CG$1843,CG1363,$BH$7:$BH$1843,BH1363,$BX$7:$BX$1843,"&lt;="&amp;BX1363),"")</f>
        <v>7182.41895604396</v>
      </c>
      <c r="BJ1363" s="70" t="n">
        <f aca="false">IF(BI1363="",0,MAX(0,MIN(1,(IF(CG1363="L1",Parameter!$H$5,IF(CG1363="L23",Parameter!$H$6+Parameter!$H$7,Parameter!$H$5+Parameter!$H$6+Parameter!$H$7))-(BI1363-BD1363))/BD1363)))</f>
        <v>1</v>
      </c>
      <c r="BK1363" s="60" t="str">
        <f aca="false">IF(AJ1363&lt;=0,"",IF(CG1363="Aussen","Aussenlager",IF(CG1363="-","Nicht im Lift",IF(AP1363&gt;=1,"Lift",IF(AP1363&lt;=0,"Aussenlager","teilweise")))))</f>
        <v>Lift</v>
      </c>
      <c r="BL1363" s="60" t="str">
        <f aca="false">IF(AT1363&lt;=0,"",IF(CG1363="Aussen","Aussenlager",IF(CG1363="-","Nicht im Lift",IF(AZ1363&gt;=1,"Lift",IF(AZ1363&lt;=0,"Aussenlager","teilweise")))))</f>
        <v>Lift</v>
      </c>
      <c r="BM1363" s="60" t="str">
        <f aca="false">IF(BD1363&lt;=0,"",IF(CG1363="Aussen","Aussenlager",IF(CG1363="-","Nicht im Lift",IF(BJ1363&gt;=1,"Lift",IF(BJ1363&lt;=0,"Aussenlager","teilweise")))))</f>
        <v>Lift</v>
      </c>
      <c r="BN1363" s="60" t="str">
        <f aca="false">IF(A1363="","",IF(BW1363=1,"Neu; ","")&amp;IF(AND(BW1363=0,BR1363&lt;0),"negativer Bestand (Export "&amp;BR1363&amp;"); ","")&amp;IF(J1363&lt;=0,"Kein Verbrauch; ","")&amp;IF(CR1363&gt;0,"Lift "&amp;W1363&amp;" lt. Liftbericht (Fach "&amp;X1363&amp;" Stk); ",IF(CB1363=1,"Gebinde geschätzt ("&amp;T1363&amp;"); ",IF(CA1363=1,"Lose – Tablare geschätzt; ","")))&amp;IF(H1363&gt;AW1363,"Überbestand "&amp;ROUND(H1363-AW1363,0)&amp;" Stk / CHF "&amp;ROUND((H1363-AW1363)*G1363,0)&amp;"; ","")&amp;IF(AND(CI1363=1,CJ1363&lt;CK1363),"MAX &lt; MB+LG; ","")&amp;IF(AND(CQ1363&gt;0,CP1363*10&gt;CQ1363),"zu hoch für Tablar; ","")&amp;IF(AND(BW1363=0,OR(CI1363=1,AB1363&lt;&gt;"",U1363&lt;&gt;"",V1363&lt;&gt;"",AC1363&lt;&gt;"")),"manuell übersteuert; ","")&amp;IF(AND(CA1363=0,R1363=0),"Gebinde unbekannt / Stellmass fehlt; ","")&amp;IF(AND(CA1363=0,N(V1363)&lt;=0,N(Q1363)&lt;=0),"Menge pro Gebinde fehlt (Ist = 1 Gebinde); ","")&amp;BV1363)</f>
        <v>negativer Bestand (Export -6); grosser Artikel &amp; nicht im KTL</v>
      </c>
      <c r="BO1363" s="60"/>
      <c r="BP1363" s="60"/>
      <c r="BQ1363" s="67"/>
      <c r="BR1363" s="62" t="n">
        <v>-6</v>
      </c>
      <c r="BS1363" s="62" t="n">
        <v>9</v>
      </c>
      <c r="BT1363" s="61" t="n">
        <v>-2447.76</v>
      </c>
      <c r="BU1363" s="62" t="n">
        <v>46</v>
      </c>
      <c r="BV1363" s="60" t="s">
        <v>303</v>
      </c>
      <c r="BW1363" s="65" t="n">
        <v>0</v>
      </c>
      <c r="BX1363" s="65" t="n">
        <v>1363</v>
      </c>
      <c r="BY1363" s="60" t="str">
        <f aca="false">IF(U1363&lt;&gt;"",UPPER(TRIM(U1363)),IF(CB1363=1,UPPER(VLOOKUP(T1363,Parameter!$I$27:$K$29,2,0)),IF(P1363="","LOSE",P1363)))</f>
        <v>S71</v>
      </c>
      <c r="BZ1363" s="62" t="n">
        <f aca="false">IF(BY1363="LOSE",1,IF(N(V1363)&gt;0,V1363,IF(CB1363=1,MAX(1,N(VLOOKUP(T1363,Parameter!$I$27:$K$29,3,0)),H1363,N(N1363)),IF(N(Q1363)&gt;0,Q1363,MAX(1,H1363)))))</f>
        <v>12</v>
      </c>
      <c r="CA1363" s="65" t="n">
        <f aca="false">IF(BY1363="LOSE",1,0)</f>
        <v>0</v>
      </c>
      <c r="CB1363" s="65" t="n">
        <f aca="false">IF(AND(U1363="",OR(P1363="",P1363="LOSE"),T1363&lt;&gt;"",N(S1363)&lt;=0,ISNUMBER(MATCH(T1363,Parameter!$I$27:$I$29,0))),1,0)</f>
        <v>0</v>
      </c>
      <c r="CC1363" s="65" t="n">
        <f aca="false">IF(CR1363&gt;0,INDEX(Parameter!$H$5:$H$7,W1363)/INDEX(Parameter!$E$5:$E$7,W1363),IF(AND(CA1363=0,N(IFERROR(VLOOKUP(BY1363,'Gebinde-Kategorie'!$A$5:$N$45,14,0),0))&gt;0),VLOOKUP(BY1363,'Gebinde-Kategorie'!$A$5:$N$45,14,0)*10+Parameter!$M$23,Parameter!$M$24))</f>
        <v>235</v>
      </c>
      <c r="CD1363" s="60" t="str">
        <f aca="false">IF(AND(Parameter!$B$19="Ja",E1363&lt;&gt;"",ISNUMBER(MATCH(E1363,Parameter!$I$35:$I$52,0))),VLOOKUP(E1363,Parameter!$I$35:$J$52,2,0),IFERROR(VLOOKUP(D1363,Parameter!$A$35:$C$64,2,0),"Nein"))</f>
        <v>2+3</v>
      </c>
      <c r="CE1363" s="64" t="n">
        <f aca="false">IF(CA1363=0,0,IF(N(S1363)&gt;0,S1363,IFERROR(VLOOKUP(D1363,Parameter!$A$35:$C$64,3,0)+0,0)))</f>
        <v>0</v>
      </c>
      <c r="CF1363" s="60" t="n">
        <f aca="false">IF(AB1363&lt;&gt;"",AB1363,AA1363)</f>
        <v>2</v>
      </c>
      <c r="CG1363" s="60" t="str">
        <f aca="false">IF(OR(CF1363=1,CF1363=2,CF1363=3),IF(Parameter!$E$27="Ja","LIFT",IF(CF1363=1,"L1","L23")),IF(CF1363="Aussen","Aussen","-"))</f>
        <v>LIFT</v>
      </c>
      <c r="CH1363" s="71" t="n">
        <f aca="false">IF(N(AC1363)&gt;0,AC1363,0)</f>
        <v>0</v>
      </c>
      <c r="CI1363" s="65" t="n">
        <f aca="false">IF(ISNUMBER(AF1363),1,0)</f>
        <v>0</v>
      </c>
      <c r="CJ1363" s="62" t="n">
        <f aca="false">N(AF1363)</f>
        <v>0</v>
      </c>
      <c r="CK1363" s="62" t="n">
        <f aca="false">N(M1363)+N(N1363)</f>
        <v>12</v>
      </c>
      <c r="CL1363" s="62" t="n">
        <f aca="false">N(M1363)</f>
        <v>2</v>
      </c>
      <c r="CM1363" s="62" t="n">
        <f aca="false">N(N1363)</f>
        <v>10</v>
      </c>
      <c r="CN1363" s="62" t="n">
        <f aca="false">ROUNDUP(H1363/BZ1363,0)</f>
        <v>1</v>
      </c>
      <c r="CO1363" s="62" t="n">
        <f aca="false">ROUNDUP(CJ1363/BZ1363,0)</f>
        <v>0</v>
      </c>
      <c r="CP1363" s="65" t="n">
        <f aca="false">IF(CA1363=1,0,IFERROR(VLOOKUP(BY1363,'Gebinde-Kategorie'!$A$5:$N$45,5,0)+0,0))</f>
        <v>20</v>
      </c>
      <c r="CQ1363" s="65" t="n">
        <f aca="false">IFERROR(IF(OR(CF1363=1,CF1363=2,CF1363=3),N(INDEX(Parameter!$I$5:$I$7,CF1363)),0),0)</f>
        <v>0</v>
      </c>
      <c r="CR1363" s="64" t="n">
        <f aca="false">IF(AND(Parameter!$B$21="Ja",ISNUMBER(W1363),N(X1363)&gt;0),IFERROR(N(INDEX(Parameter!$L$5:$L$7,W1363))*INDEX(Parameter!$E$5:$E$7,W1363)*X1363/SUMIFS($X$7:$X$1843,$W$7:$W$1843,W1363),0),0)</f>
        <v>0</v>
      </c>
      <c r="CS1363" s="62" t="n">
        <f aca="false">IF(AND(OR(CG1363="L1",CG1363="L23",CG1363="LIFT"),H1363&gt;0),CC1363*IF(CR1363&gt;0,CR1363*MAX(1,H1363/X1363),IF(CA1363=1,CE1363,IF(R1363&gt;0,CN1363/R1363,0))/MAX(0.1,N(Parameter!$M$21))),"")</f>
        <v>39.1666666666667</v>
      </c>
      <c r="CT1363" s="64" t="n">
        <f aca="false">IF(CS1363="","",J1363/H1363)</f>
        <v>15.3333333333333</v>
      </c>
      <c r="CU1363" s="62" t="n">
        <f aca="false">IF(CS1363="","",H1363*G1363)</f>
        <v>840.21</v>
      </c>
      <c r="CV1363" s="63" t="n">
        <f aca="false">IF(CS1363="","",(CL1363+ROUNDUP(CL1363+MAX(CM1363,2*(J1363/MAX(0.1,N(Einkauf!$C$6))-CL1363)),0))/2)</f>
        <v>11.5</v>
      </c>
      <c r="CW1363" s="62" t="n">
        <f aca="false">IF(CS1363="","",MAX(0,H1363-CV1363)*G1363)</f>
        <v>0</v>
      </c>
      <c r="CX1363" s="62" t="n">
        <f aca="false">IF(CS1363="","",CS1363*MAX(0,1-CV1363/H1363))</f>
        <v>0</v>
      </c>
      <c r="CY1363" s="64" t="n">
        <f aca="false">IF(CS1363="","",PERCENTRANK($CS$7:$CS$1843,CS1363)+PERCENTRANK($CU$7:$CU$1843,CU1363)+1-PERCENTRANK($CT$7:$CT$1843,CT1363))</f>
        <v>1.477</v>
      </c>
      <c r="CZ1363" s="72" t="n">
        <f aca="false">IF(CS1363="","",CHOOSE(MATCH(Einkauf!$C$5,Parameter!$G$23:$G$27,0),CY1363,CS1363,CU1363,-CT1363,CW1363)+ROW()/1000000000)</f>
        <v>1.477001363</v>
      </c>
    </row>
    <row r="1364" customFormat="false" ht="15" hidden="false" customHeight="false" outlineLevel="0" collapsed="false">
      <c r="A1364" s="60" t="s">
        <v>2446</v>
      </c>
      <c r="B1364" s="60" t="s">
        <v>577</v>
      </c>
      <c r="C1364" s="60" t="s">
        <v>206</v>
      </c>
      <c r="D1364" s="60" t="s">
        <v>226</v>
      </c>
      <c r="E1364" s="60" t="s">
        <v>227</v>
      </c>
      <c r="F1364" s="60" t="s">
        <v>260</v>
      </c>
      <c r="G1364" s="61" t="n">
        <v>7.42</v>
      </c>
      <c r="H1364" s="62" t="n">
        <f aca="false">MAX(0,IF(AND(Parameter!$B$21="Ja",ISNUMBER(Y1364)),Y1364,IF(Parameter!$B$20="Jahresanfang 2025 + Export",BS1364+BR1364,BR1364)))</f>
        <v>122</v>
      </c>
      <c r="I1364" s="62" t="n">
        <f aca="false">H1364*G1364</f>
        <v>905.24</v>
      </c>
      <c r="J1364" s="62" t="n">
        <f aca="false">BU1364*Parameter!$B$18</f>
        <v>390</v>
      </c>
      <c r="K1364" s="63" t="n">
        <v>280.5</v>
      </c>
      <c r="L1364" s="64" t="n">
        <v>1.3903743315508</v>
      </c>
      <c r="M1364" s="62" t="n">
        <v>35</v>
      </c>
      <c r="N1364" s="62" t="n">
        <v>390</v>
      </c>
      <c r="O1364" s="65" t="n">
        <v>28</v>
      </c>
      <c r="P1364" s="60" t="s">
        <v>344</v>
      </c>
      <c r="Q1364" s="62" t="n">
        <v>30</v>
      </c>
      <c r="R1364" s="65" t="n">
        <f aca="false">IF(CA1364=1,0,IFERROR(VLOOKUP(BY1364,'Gebinde-Kategorie'!$A$5:$N$45,13,0)+0,0))</f>
        <v>26</v>
      </c>
      <c r="S1364" s="66"/>
      <c r="T1364" s="67"/>
      <c r="U1364" s="67"/>
      <c r="V1364" s="67"/>
      <c r="W1364" s="60"/>
      <c r="X1364" s="62"/>
      <c r="Y1364" s="62"/>
      <c r="Z1364" s="60" t="n">
        <v>3</v>
      </c>
      <c r="AA1364" s="60" t="n">
        <f aca="false">IF(A1364="","",IF(AND(Parameter!$B$21="Ja",ISNUMBER(W1364)),W1364,IF(AND(Parameter!$E$27="Ja",ISNUMBER(Z1364),CD1364&lt;&gt;"Nein"),Z1364,IF(CD1364="2+3",IF(ISNUMBER(SEARCH("grosser Artikel",BV1364)),2,IFERROR(VLOOKUP(BY1364,Parameter!$F$35:$G$64,2,0),2)),IF(OR(CD1364="Nein",CD1364=""),"-",CD1364)))))</f>
        <v>3</v>
      </c>
      <c r="AB1364" s="67"/>
      <c r="AC1364" s="68"/>
      <c r="AD1364" s="62" t="n">
        <f aca="false">AW1364</f>
        <v>425</v>
      </c>
      <c r="AE1364" s="62" t="n">
        <f aca="false">MAX(AW1364,H1364)</f>
        <v>425</v>
      </c>
      <c r="AF1364" s="69"/>
      <c r="AG1364" s="62" t="n">
        <f aca="false">IF(LEFT(Cockpit!$C$5,1)="A",H1364,IF(Parameter!$E$30="MAX-Bestand",IF(CI1364=1,CJ1364,IF(LEFT(Cockpit!$C$5,1)="B",AM1364,MAX(AM1364,H1364))),ROUNDUP(AK1364,0)))</f>
        <v>122</v>
      </c>
      <c r="AH1364" s="62" t="n">
        <f aca="false">IF(CA1364=1,0,ROUNDUP(AG1364/BZ1364,0))</f>
        <v>5</v>
      </c>
      <c r="AI1364" s="64" t="n">
        <f aca="false">IF(CR1364&gt;0,CR1364*MAX(1,AG1364/X1364),IF(CA1364=1,IF(AG1364&lt;=0,0,CE1364*MAX(1,IF(H1364&gt;0,AG1364/H1364,1))),IF(R1364&gt;0,AH1364/R1364,0))/MAX(0.1,N(Parameter!$M$21)))</f>
        <v>0.192307692307692</v>
      </c>
      <c r="AJ1364" s="62" t="n">
        <f aca="false">AI1364*CC1364</f>
        <v>29.8076923076923</v>
      </c>
      <c r="AK1364" s="63" t="n">
        <f aca="false">IF(LEFT(Cockpit!$C$5,1)="A",H1364,IF(CI1364=1,(CL1364+CJ1364)/2,IF(LEFT(Cockpit!$C$5,1)="B",(CL1364+AM1364)/2,MAX((CL1364+AM1364)/2,H1364))))</f>
        <v>122</v>
      </c>
      <c r="AL1364" s="62" t="n">
        <f aca="false">AK1364*G1364</f>
        <v>905.24</v>
      </c>
      <c r="AM1364" s="62" t="n">
        <f aca="false">ROUNDUP(CL1364+MAX(CM1364,2*(J1364/IF(CH1364&gt;0,CH1364,MAX(0.1,N(Cockpit!$C$6)))-CL1364)),0)</f>
        <v>425</v>
      </c>
      <c r="AN1364" s="63" t="n">
        <f aca="false">IF(AJ1364&gt;0,J1364/AJ1364,-1)</f>
        <v>13.0838709677419</v>
      </c>
      <c r="AO1364" s="63" t="n">
        <f aca="false">IF(AND(OR(CG1364="L1",CG1364="L23",CG1364="LIFT"),AJ1364&gt;0),SUMIFS($AJ$7:$AJ$1843,$CG$7:$CG$1843,CG1364,$AN$7:$AN$1843,"&gt;"&amp;AN1364)+SUMIFS($AJ$7:$AJ$1843,$CG$7:$CG$1843,CG1364,$AN$7:$AN$1843,AN1364,$BX$7:$BX$1843,"&lt;="&amp;BX1364),"")</f>
        <v>2375.62454212454</v>
      </c>
      <c r="AP1364" s="70" t="n">
        <f aca="false">IF(AO1364="",0,MAX(0,MIN(1,(IF(CG1364="L1",Parameter!$H$5,IF(CG1364="L23",Parameter!$H$6+Parameter!$H$7,Parameter!$H$5+Parameter!$H$6+Parameter!$H$7))-(AO1364-AJ1364))/AJ1364)))</f>
        <v>1</v>
      </c>
      <c r="AQ1364" s="62" t="n">
        <f aca="false">IF(LEFT(Cockpit!$I$5,1)="A",H1364,IF(Parameter!$E$30="MAX-Bestand",IF(CI1364=1,CJ1364,IF(LEFT(Cockpit!$I$5,1)="B",AW1364,MAX(AW1364,H1364))),ROUNDUP(AU1364,0)))</f>
        <v>230</v>
      </c>
      <c r="AR1364" s="62" t="n">
        <f aca="false">IF(CA1364=1,0,ROUNDUP(AQ1364/BZ1364,0))</f>
        <v>8</v>
      </c>
      <c r="AS1364" s="64" t="n">
        <f aca="false">IF(CR1364&gt;0,CR1364*MAX(1,AQ1364/X1364),IF(CA1364=1,IF(AQ1364&lt;=0,0,CE1364*MAX(1,IF(H1364&gt;0,AQ1364/H1364,1))),IF(R1364&gt;0,AR1364/R1364,0))/MAX(0.1,N(Parameter!$M$21)))</f>
        <v>0.307692307692308</v>
      </c>
      <c r="AT1364" s="62" t="n">
        <f aca="false">AS1364*CC1364</f>
        <v>47.6923076923077</v>
      </c>
      <c r="AU1364" s="63" t="n">
        <f aca="false">IF(LEFT(Cockpit!$I$5,1)="A",H1364,IF(CI1364=1,(CL1364+CJ1364)/2,IF(LEFT(Cockpit!$I$5,1)="B",(CL1364+AW1364)/2,MAX((CL1364+AW1364)/2,H1364))))</f>
        <v>230</v>
      </c>
      <c r="AV1364" s="62" t="n">
        <f aca="false">AU1364*G1364</f>
        <v>1706.6</v>
      </c>
      <c r="AW1364" s="62" t="n">
        <f aca="false">ROUNDUP(CL1364+MAX(CM1364,2*(J1364/IF(CH1364&gt;0,CH1364,MAX(0.1,N(Cockpit!$I$6)))-CL1364)),0)</f>
        <v>425</v>
      </c>
      <c r="AX1364" s="63" t="n">
        <f aca="false">IF(AT1364&gt;0,J1364/AT1364,-1)</f>
        <v>8.17741935483871</v>
      </c>
      <c r="AY1364" s="63" t="n">
        <f aca="false">IF(AND(OR(CG1364="L1",CG1364="L23",CG1364="LIFT"),AT1364&gt;0),SUMIFS($AT$7:$AT$1843,$CG$7:$CG$1843,CG1364,$AX$7:$AX$1843,"&gt;"&amp;AX1364)+SUMIFS($AT$7:$AT$1843,$CG$7:$CG$1843,CG1364,$AX$7:$AX$1843,AX1364,$BX$7:$BX$1843,"&lt;="&amp;BX1364),"")</f>
        <v>3632.21886446886</v>
      </c>
      <c r="AZ1364" s="70" t="n">
        <f aca="false">IF(AY1364="",0,MAX(0,MIN(1,(IF(CG1364="L1",Parameter!$H$5,IF(CG1364="L23",Parameter!$H$6+Parameter!$H$7,Parameter!$H$5+Parameter!$H$6+Parameter!$H$7))-(AY1364-AT1364))/AT1364)))</f>
        <v>1</v>
      </c>
      <c r="BA1364" s="62" t="n">
        <f aca="false">IF(LEFT(Cockpit!$O$5,1)="A",H1364,IF(Parameter!$E$30="MAX-Bestand",IF(CI1364=1,CJ1364,IF(LEFT(Cockpit!$O$5,1)="B",BG1364,MAX(BG1364,H1364))),ROUNDUP(BE1364,0)))</f>
        <v>230</v>
      </c>
      <c r="BB1364" s="62" t="n">
        <f aca="false">IF(CA1364=1,0,ROUNDUP(BA1364/BZ1364,0))</f>
        <v>8</v>
      </c>
      <c r="BC1364" s="64" t="n">
        <f aca="false">IF(CR1364&gt;0,CR1364*MAX(1,BA1364/X1364),IF(CA1364=1,IF(BA1364&lt;=0,0,CE1364*MAX(1,IF(H1364&gt;0,BA1364/H1364,1))),IF(R1364&gt;0,BB1364/R1364,0))/MAX(0.1,N(Parameter!$M$21)))</f>
        <v>0.307692307692308</v>
      </c>
      <c r="BD1364" s="62" t="n">
        <f aca="false">BC1364*CC1364</f>
        <v>47.6923076923077</v>
      </c>
      <c r="BE1364" s="63" t="n">
        <f aca="false">IF(LEFT(Cockpit!$O$5,1)="A",H1364,IF(CI1364=1,(CL1364+CJ1364)/2,IF(LEFT(Cockpit!$O$5,1)="B",(CL1364+BG1364)/2,MAX((CL1364+BG1364)/2,H1364))))</f>
        <v>230</v>
      </c>
      <c r="BF1364" s="62" t="n">
        <f aca="false">BE1364*G1364</f>
        <v>1706.6</v>
      </c>
      <c r="BG1364" s="62" t="n">
        <f aca="false">ROUNDUP(CL1364+MAX(CM1364,2*(J1364/IF(CH1364&gt;0,CH1364,MAX(0.1,N(Cockpit!$O$6)))-CL1364)),0)</f>
        <v>425</v>
      </c>
      <c r="BH1364" s="63" t="n">
        <f aca="false">IF(BD1364&gt;0,J1364/BD1364,-1)</f>
        <v>8.17741935483871</v>
      </c>
      <c r="BI1364" s="63" t="n">
        <f aca="false">IF(AND(OR(CG1364="L1",CG1364="L23",CG1364="LIFT"),BD1364&gt;0),SUMIFS($BD$7:$BD$1843,$CG$7:$CG$1843,CG1364,$BH$7:$BH$1843,"&gt;"&amp;BH1364)+SUMIFS($BD$7:$BD$1843,$CG$7:$CG$1843,CG1364,$BH$7:$BH$1843,BH1364,$BX$7:$BX$1843,"&lt;="&amp;BX1364),"")</f>
        <v>3008.33195970696</v>
      </c>
      <c r="BJ1364" s="70" t="n">
        <f aca="false">IF(BI1364="",0,MAX(0,MIN(1,(IF(CG1364="L1",Parameter!$H$5,IF(CG1364="L23",Parameter!$H$6+Parameter!$H$7,Parameter!$H$5+Parameter!$H$6+Parameter!$H$7))-(BI1364-BD1364))/BD1364)))</f>
        <v>1</v>
      </c>
      <c r="BK1364" s="60" t="str">
        <f aca="false">IF(AJ1364&lt;=0,"",IF(CG1364="Aussen","Aussenlager",IF(CG1364="-","Nicht im Lift",IF(AP1364&gt;=1,"Lift",IF(AP1364&lt;=0,"Aussenlager","teilweise")))))</f>
        <v>Lift</v>
      </c>
      <c r="BL1364" s="60" t="str">
        <f aca="false">IF(AT1364&lt;=0,"",IF(CG1364="Aussen","Aussenlager",IF(CG1364="-","Nicht im Lift",IF(AZ1364&gt;=1,"Lift",IF(AZ1364&lt;=0,"Aussenlager","teilweise")))))</f>
        <v>Lift</v>
      </c>
      <c r="BM1364" s="60" t="str">
        <f aca="false">IF(BD1364&lt;=0,"",IF(CG1364="Aussen","Aussenlager",IF(CG1364="-","Nicht im Lift",IF(BJ1364&gt;=1,"Lift",IF(BJ1364&lt;=0,"Aussenlager","teilweise")))))</f>
        <v>Lift</v>
      </c>
      <c r="BN1364" s="60" t="str">
        <f aca="false">IF(A1364="","",IF(BW1364=1,"Neu; ","")&amp;IF(AND(BW1364=0,BR1364&lt;0),"negativer Bestand (Export "&amp;BR1364&amp;"); ","")&amp;IF(J1364&lt;=0,"Kein Verbrauch; ","")&amp;IF(CR1364&gt;0,"Lift "&amp;W1364&amp;" lt. Liftbericht (Fach "&amp;X1364&amp;" Stk); ",IF(CB1364=1,"Gebinde geschätzt ("&amp;T1364&amp;"); ",IF(CA1364=1,"Lose – Tablare geschätzt; ","")))&amp;IF(H1364&gt;AW1364,"Überbestand "&amp;ROUND(H1364-AW1364,0)&amp;" Stk / CHF "&amp;ROUND((H1364-AW1364)*G1364,0)&amp;"; ","")&amp;IF(AND(CI1364=1,CJ1364&lt;CK1364),"MAX &lt; MB+LG; ","")&amp;IF(AND(CQ1364&gt;0,CP1364*10&gt;CQ1364),"zu hoch für Tablar; ","")&amp;IF(AND(BW1364=0,OR(CI1364=1,AB1364&lt;&gt;"",U1364&lt;&gt;"",V1364&lt;&gt;"",AC1364&lt;&gt;"")),"manuell übersteuert; ","")&amp;IF(AND(CA1364=0,R1364=0),"Gebinde unbekannt / Stellmass fehlt; ","")&amp;IF(AND(CA1364=0,N(V1364)&lt;=0,N(Q1364)&lt;=0),"Menge pro Gebinde fehlt (Ist = 1 Gebinde); ","")&amp;BV1364)</f>
        <v>negativer Bestand (Export -334); B&amp;R</v>
      </c>
      <c r="BO1364" s="60"/>
      <c r="BP1364" s="60"/>
      <c r="BQ1364" s="67"/>
      <c r="BR1364" s="62" t="n">
        <v>-334</v>
      </c>
      <c r="BS1364" s="62" t="n">
        <v>456</v>
      </c>
      <c r="BT1364" s="61" t="n">
        <v>-2464.6</v>
      </c>
      <c r="BU1364" s="62" t="n">
        <v>390</v>
      </c>
      <c r="BV1364" s="60" t="s">
        <v>2259</v>
      </c>
      <c r="BW1364" s="65" t="n">
        <v>0</v>
      </c>
      <c r="BX1364" s="65" t="n">
        <v>1364</v>
      </c>
      <c r="BY1364" s="60" t="str">
        <f aca="false">IF(U1364&lt;&gt;"",UPPER(TRIM(U1364)),IF(CB1364=1,UPPER(VLOOKUP(T1364,Parameter!$I$27:$K$29,2,0)),IF(P1364="","LOSE",P1364)))</f>
        <v>S51</v>
      </c>
      <c r="BZ1364" s="62" t="n">
        <f aca="false">IF(BY1364="LOSE",1,IF(N(V1364)&gt;0,V1364,IF(CB1364=1,MAX(1,N(VLOOKUP(T1364,Parameter!$I$27:$K$29,3,0)),H1364,N(N1364)),IF(N(Q1364)&gt;0,Q1364,MAX(1,H1364)))))</f>
        <v>30</v>
      </c>
      <c r="CA1364" s="65" t="n">
        <f aca="false">IF(BY1364="LOSE",1,0)</f>
        <v>0</v>
      </c>
      <c r="CB1364" s="65" t="n">
        <f aca="false">IF(AND(U1364="",OR(P1364="",P1364="LOSE"),T1364&lt;&gt;"",N(S1364)&lt;=0,ISNUMBER(MATCH(T1364,Parameter!$I$27:$I$29,0))),1,0)</f>
        <v>0</v>
      </c>
      <c r="CC1364" s="65" t="n">
        <f aca="false">IF(CR1364&gt;0,INDEX(Parameter!$H$5:$H$7,W1364)/INDEX(Parameter!$E$5:$E$7,W1364),IF(AND(CA1364=0,N(IFERROR(VLOOKUP(BY1364,'Gebinde-Kategorie'!$A$5:$N$45,14,0),0))&gt;0),VLOOKUP(BY1364,'Gebinde-Kategorie'!$A$5:$N$45,14,0)*10+Parameter!$M$23,Parameter!$M$24))</f>
        <v>155</v>
      </c>
      <c r="CD1364" s="60" t="str">
        <f aca="false">IF(AND(Parameter!$B$19="Ja",E1364&lt;&gt;"",ISNUMBER(MATCH(E1364,Parameter!$I$35:$I$52,0))),VLOOKUP(E1364,Parameter!$I$35:$J$52,2,0),IFERROR(VLOOKUP(D1364,Parameter!$A$35:$C$64,2,0),"Nein"))</f>
        <v>2+3</v>
      </c>
      <c r="CE1364" s="64" t="n">
        <f aca="false">IF(CA1364=0,0,IF(N(S1364)&gt;0,S1364,IFERROR(VLOOKUP(D1364,Parameter!$A$35:$C$64,3,0)+0,0)))</f>
        <v>0</v>
      </c>
      <c r="CF1364" s="60" t="n">
        <f aca="false">IF(AB1364&lt;&gt;"",AB1364,AA1364)</f>
        <v>3</v>
      </c>
      <c r="CG1364" s="60" t="str">
        <f aca="false">IF(OR(CF1364=1,CF1364=2,CF1364=3),IF(Parameter!$E$27="Ja","LIFT",IF(CF1364=1,"L1","L23")),IF(CF1364="Aussen","Aussen","-"))</f>
        <v>LIFT</v>
      </c>
      <c r="CH1364" s="71" t="n">
        <f aca="false">IF(N(AC1364)&gt;0,AC1364,0)</f>
        <v>0</v>
      </c>
      <c r="CI1364" s="65" t="n">
        <f aca="false">IF(ISNUMBER(AF1364),1,0)</f>
        <v>0</v>
      </c>
      <c r="CJ1364" s="62" t="n">
        <f aca="false">N(AF1364)</f>
        <v>0</v>
      </c>
      <c r="CK1364" s="62" t="n">
        <f aca="false">N(M1364)+N(N1364)</f>
        <v>425</v>
      </c>
      <c r="CL1364" s="62" t="n">
        <f aca="false">N(M1364)</f>
        <v>35</v>
      </c>
      <c r="CM1364" s="62" t="n">
        <f aca="false">N(N1364)</f>
        <v>390</v>
      </c>
      <c r="CN1364" s="62" t="n">
        <f aca="false">ROUNDUP(H1364/BZ1364,0)</f>
        <v>5</v>
      </c>
      <c r="CO1364" s="62" t="n">
        <f aca="false">ROUNDUP(CJ1364/BZ1364,0)</f>
        <v>0</v>
      </c>
      <c r="CP1364" s="65" t="n">
        <f aca="false">IF(CA1364=1,0,IFERROR(VLOOKUP(BY1364,'Gebinde-Kategorie'!$A$5:$N$45,5,0)+0,0))</f>
        <v>11</v>
      </c>
      <c r="CQ1364" s="65" t="n">
        <f aca="false">IFERROR(IF(OR(CF1364=1,CF1364=2,CF1364=3),N(INDEX(Parameter!$I$5:$I$7,CF1364)),0),0)</f>
        <v>0</v>
      </c>
      <c r="CR1364" s="64" t="n">
        <f aca="false">IF(AND(Parameter!$B$21="Ja",ISNUMBER(W1364),N(X1364)&gt;0),IFERROR(N(INDEX(Parameter!$L$5:$L$7,W1364))*INDEX(Parameter!$E$5:$E$7,W1364)*X1364/SUMIFS($X$7:$X$1843,$W$7:$W$1843,W1364),0),0)</f>
        <v>0</v>
      </c>
      <c r="CS1364" s="62" t="n">
        <f aca="false">IF(AND(OR(CG1364="L1",CG1364="L23",CG1364="LIFT"),H1364&gt;0),CC1364*IF(CR1364&gt;0,CR1364*MAX(1,H1364/X1364),IF(CA1364=1,CE1364,IF(R1364&gt;0,CN1364/R1364,0))/MAX(0.1,N(Parameter!$M$21))),"")</f>
        <v>29.8076923076923</v>
      </c>
      <c r="CT1364" s="64" t="n">
        <f aca="false">IF(CS1364="","",J1364/H1364)</f>
        <v>3.19672131147541</v>
      </c>
      <c r="CU1364" s="62" t="n">
        <f aca="false">IF(CS1364="","",H1364*G1364)</f>
        <v>905.24</v>
      </c>
      <c r="CV1364" s="63" t="n">
        <f aca="false">IF(CS1364="","",(CL1364+ROUNDUP(CL1364+MAX(CM1364,2*(J1364/MAX(0.1,N(Einkauf!$C$6))-CL1364)),0))/2)</f>
        <v>230</v>
      </c>
      <c r="CW1364" s="62" t="n">
        <f aca="false">IF(CS1364="","",MAX(0,H1364-CV1364)*G1364)</f>
        <v>0</v>
      </c>
      <c r="CX1364" s="62" t="n">
        <f aca="false">IF(CS1364="","",CS1364*MAX(0,1-CV1364/H1364))</f>
        <v>0</v>
      </c>
      <c r="CY1364" s="64" t="n">
        <f aca="false">IF(CS1364="","",PERCENTRANK($CS$7:$CS$1843,CS1364)+PERCENTRANK($CU$7:$CU$1843,CU1364)+1-PERCENTRANK($CT$7:$CT$1843,CT1364))</f>
        <v>1.58</v>
      </c>
      <c r="CZ1364" s="72" t="n">
        <f aca="false">IF(CS1364="","",CHOOSE(MATCH(Einkauf!$C$5,Parameter!$G$23:$G$27,0),CY1364,CS1364,CU1364,-CT1364,CW1364)+ROW()/1000000000)</f>
        <v>1.580001364</v>
      </c>
    </row>
    <row r="1365" customFormat="false" ht="15" hidden="false" customHeight="false" outlineLevel="0" collapsed="false">
      <c r="A1365" s="60" t="s">
        <v>2447</v>
      </c>
      <c r="B1365" s="60" t="s">
        <v>2448</v>
      </c>
      <c r="C1365" s="60" t="s">
        <v>206</v>
      </c>
      <c r="D1365" s="60" t="s">
        <v>226</v>
      </c>
      <c r="E1365" s="60"/>
      <c r="F1365" s="60" t="s">
        <v>260</v>
      </c>
      <c r="G1365" s="61" t="n">
        <v>82.23</v>
      </c>
      <c r="H1365" s="62" t="n">
        <f aca="false">MAX(0,IF(AND(Parameter!$B$21="Ja",ISNUMBER(Y1365)),Y1365,IF(Parameter!$B$20="Jahresanfang 2025 + Export",BS1365+BR1365,BR1365)))</f>
        <v>4</v>
      </c>
      <c r="I1365" s="62" t="n">
        <f aca="false">H1365*G1365</f>
        <v>328.92</v>
      </c>
      <c r="J1365" s="62" t="n">
        <f aca="false">BU1365*Parameter!$B$18</f>
        <v>3</v>
      </c>
      <c r="K1365" s="63" t="n">
        <v>31.5</v>
      </c>
      <c r="L1365" s="64" t="n">
        <v>0.0952380952380952</v>
      </c>
      <c r="M1365" s="62" t="n">
        <v>0</v>
      </c>
      <c r="N1365" s="62" t="n">
        <v>5</v>
      </c>
      <c r="O1365" s="65" t="n">
        <v>28</v>
      </c>
      <c r="P1365" s="60" t="s">
        <v>518</v>
      </c>
      <c r="Q1365" s="62" t="n">
        <v>10</v>
      </c>
      <c r="R1365" s="65" t="n">
        <f aca="false">IF(CA1365=1,0,IFERROR(VLOOKUP(BY1365,'Gebinde-Kategorie'!$A$5:$N$45,13,0)+0,0))</f>
        <v>52</v>
      </c>
      <c r="S1365" s="66"/>
      <c r="T1365" s="67"/>
      <c r="U1365" s="67"/>
      <c r="V1365" s="67"/>
      <c r="W1365" s="60"/>
      <c r="X1365" s="62"/>
      <c r="Y1365" s="62"/>
      <c r="Z1365" s="60" t="n">
        <v>2</v>
      </c>
      <c r="AA1365" s="60" t="n">
        <f aca="false">IF(A1365="","",IF(AND(Parameter!$B$21="Ja",ISNUMBER(W1365)),W1365,IF(AND(Parameter!$E$27="Ja",ISNUMBER(Z1365),CD1365&lt;&gt;"Nein"),Z1365,IF(CD1365="2+3",IF(ISNUMBER(SEARCH("grosser Artikel",BV1365)),2,IFERROR(VLOOKUP(BY1365,Parameter!$F$35:$G$64,2,0),2)),IF(OR(CD1365="Nein",CD1365=""),"-",CD1365)))))</f>
        <v>2</v>
      </c>
      <c r="AB1365" s="67"/>
      <c r="AC1365" s="68"/>
      <c r="AD1365" s="62" t="n">
        <f aca="false">AW1365</f>
        <v>5</v>
      </c>
      <c r="AE1365" s="62" t="n">
        <f aca="false">MAX(AW1365,H1365)</f>
        <v>5</v>
      </c>
      <c r="AF1365" s="69"/>
      <c r="AG1365" s="62" t="n">
        <f aca="false">IF(LEFT(Cockpit!$C$5,1)="A",H1365,IF(Parameter!$E$30="MAX-Bestand",IF(CI1365=1,CJ1365,IF(LEFT(Cockpit!$C$5,1)="B",AM1365,MAX(AM1365,H1365))),ROUNDUP(AK1365,0)))</f>
        <v>4</v>
      </c>
      <c r="AH1365" s="62" t="n">
        <f aca="false">IF(CA1365=1,0,ROUNDUP(AG1365/BZ1365,0))</f>
        <v>1</v>
      </c>
      <c r="AI1365" s="64" t="n">
        <f aca="false">IF(CR1365&gt;0,CR1365*MAX(1,AG1365/X1365),IF(CA1365=1,IF(AG1365&lt;=0,0,CE1365*MAX(1,IF(H1365&gt;0,AG1365/H1365,1))),IF(R1365&gt;0,AH1365/R1365,0))/MAX(0.1,N(Parameter!$M$21)))</f>
        <v>0.0192307692307692</v>
      </c>
      <c r="AJ1365" s="62" t="n">
        <f aca="false">AI1365*CC1365</f>
        <v>2.98076923076923</v>
      </c>
      <c r="AK1365" s="63" t="n">
        <f aca="false">IF(LEFT(Cockpit!$C$5,1)="A",H1365,IF(CI1365=1,(CL1365+CJ1365)/2,IF(LEFT(Cockpit!$C$5,1)="B",(CL1365+AM1365)/2,MAX((CL1365+AM1365)/2,H1365))))</f>
        <v>4</v>
      </c>
      <c r="AL1365" s="62" t="n">
        <f aca="false">AK1365*G1365</f>
        <v>328.92</v>
      </c>
      <c r="AM1365" s="62" t="n">
        <f aca="false">ROUNDUP(CL1365+MAX(CM1365,2*(J1365/IF(CH1365&gt;0,CH1365,MAX(0.1,N(Cockpit!$C$6)))-CL1365)),0)</f>
        <v>5</v>
      </c>
      <c r="AN1365" s="63" t="n">
        <f aca="false">IF(AJ1365&gt;0,J1365/AJ1365,-1)</f>
        <v>1.00645161290323</v>
      </c>
      <c r="AO1365" s="63" t="n">
        <f aca="false">IF(AND(OR(CG1365="L1",CG1365="L23",CG1365="LIFT"),AJ1365&gt;0),SUMIFS($AJ$7:$AJ$1843,$CG$7:$CG$1843,CG1365,$AN$7:$AN$1843,"&gt;"&amp;AN1365)+SUMIFS($AJ$7:$AJ$1843,$CG$7:$CG$1843,CG1365,$AN$7:$AN$1843,AN1365,$BX$7:$BX$1843,"&lt;="&amp;BX1365),"")</f>
        <v>7050.44276556777</v>
      </c>
      <c r="AP1365" s="70" t="n">
        <f aca="false">IF(AO1365="",0,MAX(0,MIN(1,(IF(CG1365="L1",Parameter!$H$5,IF(CG1365="L23",Parameter!$H$6+Parameter!$H$7,Parameter!$H$5+Parameter!$H$6+Parameter!$H$7))-(AO1365-AJ1365))/AJ1365)))</f>
        <v>1</v>
      </c>
      <c r="AQ1365" s="62" t="n">
        <f aca="false">IF(LEFT(Cockpit!$I$5,1)="A",H1365,IF(Parameter!$E$30="MAX-Bestand",IF(CI1365=1,CJ1365,IF(LEFT(Cockpit!$I$5,1)="B",AW1365,MAX(AW1365,H1365))),ROUNDUP(AU1365,0)))</f>
        <v>4</v>
      </c>
      <c r="AR1365" s="62" t="n">
        <f aca="false">IF(CA1365=1,0,ROUNDUP(AQ1365/BZ1365,0))</f>
        <v>1</v>
      </c>
      <c r="AS1365" s="64" t="n">
        <f aca="false">IF(CR1365&gt;0,CR1365*MAX(1,AQ1365/X1365),IF(CA1365=1,IF(AQ1365&lt;=0,0,CE1365*MAX(1,IF(H1365&gt;0,AQ1365/H1365,1))),IF(R1365&gt;0,AR1365/R1365,0))/MAX(0.1,N(Parameter!$M$21)))</f>
        <v>0.0192307692307692</v>
      </c>
      <c r="AT1365" s="62" t="n">
        <f aca="false">AS1365*CC1365</f>
        <v>2.98076923076923</v>
      </c>
      <c r="AU1365" s="63" t="n">
        <f aca="false">IF(LEFT(Cockpit!$I$5,1)="A",H1365,IF(CI1365=1,(CL1365+CJ1365)/2,IF(LEFT(Cockpit!$I$5,1)="B",(CL1365+AW1365)/2,MAX((CL1365+AW1365)/2,H1365))))</f>
        <v>4</v>
      </c>
      <c r="AV1365" s="62" t="n">
        <f aca="false">AU1365*G1365</f>
        <v>328.92</v>
      </c>
      <c r="AW1365" s="62" t="n">
        <f aca="false">ROUNDUP(CL1365+MAX(CM1365,2*(J1365/IF(CH1365&gt;0,CH1365,MAX(0.1,N(Cockpit!$I$6)))-CL1365)),0)</f>
        <v>5</v>
      </c>
      <c r="AX1365" s="63" t="n">
        <f aca="false">IF(AT1365&gt;0,J1365/AT1365,-1)</f>
        <v>1.00645161290323</v>
      </c>
      <c r="AY1365" s="63" t="n">
        <f aca="false">IF(AND(OR(CG1365="L1",CG1365="L23",CG1365="LIFT"),AT1365&gt;0),SUMIFS($AT$7:$AT$1843,$CG$7:$CG$1843,CG1365,$AX$7:$AX$1843,"&gt;"&amp;AX1365)+SUMIFS($AT$7:$AT$1843,$CG$7:$CG$1843,CG1365,$AX$7:$AX$1843,AX1365,$BX$7:$BX$1843,"&lt;="&amp;BX1365),"")</f>
        <v>8422.12637362637</v>
      </c>
      <c r="AZ1365" s="70" t="n">
        <f aca="false">IF(AY1365="",0,MAX(0,MIN(1,(IF(CG1365="L1",Parameter!$H$5,IF(CG1365="L23",Parameter!$H$6+Parameter!$H$7,Parameter!$H$5+Parameter!$H$6+Parameter!$H$7))-(AY1365-AT1365))/AT1365)))</f>
        <v>1</v>
      </c>
      <c r="BA1365" s="62" t="n">
        <f aca="false">IF(LEFT(Cockpit!$O$5,1)="A",H1365,IF(Parameter!$E$30="MAX-Bestand",IF(CI1365=1,CJ1365,IF(LEFT(Cockpit!$O$5,1)="B",BG1365,MAX(BG1365,H1365))),ROUNDUP(BE1365,0)))</f>
        <v>3</v>
      </c>
      <c r="BB1365" s="62" t="n">
        <f aca="false">IF(CA1365=1,0,ROUNDUP(BA1365/BZ1365,0))</f>
        <v>1</v>
      </c>
      <c r="BC1365" s="64" t="n">
        <f aca="false">IF(CR1365&gt;0,CR1365*MAX(1,BA1365/X1365),IF(CA1365=1,IF(BA1365&lt;=0,0,CE1365*MAX(1,IF(H1365&gt;0,BA1365/H1365,1))),IF(R1365&gt;0,BB1365/R1365,0))/MAX(0.1,N(Parameter!$M$21)))</f>
        <v>0.0192307692307692</v>
      </c>
      <c r="BD1365" s="62" t="n">
        <f aca="false">BC1365*CC1365</f>
        <v>2.98076923076923</v>
      </c>
      <c r="BE1365" s="63" t="n">
        <f aca="false">IF(LEFT(Cockpit!$O$5,1)="A",H1365,IF(CI1365=1,(CL1365+CJ1365)/2,IF(LEFT(Cockpit!$O$5,1)="B",(CL1365+BG1365)/2,MAX((CL1365+BG1365)/2,H1365))))</f>
        <v>2.5</v>
      </c>
      <c r="BF1365" s="62" t="n">
        <f aca="false">BE1365*G1365</f>
        <v>205.575</v>
      </c>
      <c r="BG1365" s="62" t="n">
        <f aca="false">ROUNDUP(CL1365+MAX(CM1365,2*(J1365/IF(CH1365&gt;0,CH1365,MAX(0.1,N(Cockpit!$O$6)))-CL1365)),0)</f>
        <v>5</v>
      </c>
      <c r="BH1365" s="63" t="n">
        <f aca="false">IF(BD1365&gt;0,J1365/BD1365,-1)</f>
        <v>1.00645161290323</v>
      </c>
      <c r="BI1365" s="63" t="n">
        <f aca="false">IF(AND(OR(CG1365="L1",CG1365="L23",CG1365="LIFT"),BD1365&gt;0),SUMIFS($BD$7:$BD$1843,$CG$7:$CG$1843,CG1365,$BH$7:$BH$1843,"&gt;"&amp;BH1365)+SUMIFS($BD$7:$BD$1843,$CG$7:$CG$1843,CG1365,$BH$7:$BH$1843,BH1365,$BX$7:$BX$1843,"&lt;="&amp;BX1365),"")</f>
        <v>7660.23946886447</v>
      </c>
      <c r="BJ1365" s="70" t="n">
        <f aca="false">IF(BI1365="",0,MAX(0,MIN(1,(IF(CG1365="L1",Parameter!$H$5,IF(CG1365="L23",Parameter!$H$6+Parameter!$H$7,Parameter!$H$5+Parameter!$H$6+Parameter!$H$7))-(BI1365-BD1365))/BD1365)))</f>
        <v>1</v>
      </c>
      <c r="BK1365" s="60" t="str">
        <f aca="false">IF(AJ1365&lt;=0,"",IF(CG1365="Aussen","Aussenlager",IF(CG1365="-","Nicht im Lift",IF(AP1365&gt;=1,"Lift",IF(AP1365&lt;=0,"Aussenlager","teilweise")))))</f>
        <v>Lift</v>
      </c>
      <c r="BL1365" s="60" t="str">
        <f aca="false">IF(AT1365&lt;=0,"",IF(CG1365="Aussen","Aussenlager",IF(CG1365="-","Nicht im Lift",IF(AZ1365&gt;=1,"Lift",IF(AZ1365&lt;=0,"Aussenlager","teilweise")))))</f>
        <v>Lift</v>
      </c>
      <c r="BM1365" s="60" t="str">
        <f aca="false">IF(BD1365&lt;=0,"",IF(CG1365="Aussen","Aussenlager",IF(CG1365="-","Nicht im Lift",IF(BJ1365&gt;=1,"Lift",IF(BJ1365&lt;=0,"Aussenlager","teilweise")))))</f>
        <v>Lift</v>
      </c>
      <c r="BN1365" s="60" t="str">
        <f aca="false">IF(A1365="","",IF(BW1365=1,"Neu; ","")&amp;IF(AND(BW1365=0,BR1365&lt;0),"negativer Bestand (Export "&amp;BR1365&amp;"); ","")&amp;IF(J1365&lt;=0,"Kein Verbrauch; ","")&amp;IF(CR1365&gt;0,"Lift "&amp;W1365&amp;" lt. Liftbericht (Fach "&amp;X1365&amp;" Stk); ",IF(CB1365=1,"Gebinde geschätzt ("&amp;T1365&amp;"); ",IF(CA1365=1,"Lose – Tablare geschätzt; ","")))&amp;IF(H1365&gt;AW1365,"Überbestand "&amp;ROUND(H1365-AW1365,0)&amp;" Stk / CHF "&amp;ROUND((H1365-AW1365)*G1365,0)&amp;"; ","")&amp;IF(AND(CI1365=1,CJ1365&lt;CK1365),"MAX &lt; MB+LG; ","")&amp;IF(AND(CQ1365&gt;0,CP1365*10&gt;CQ1365),"zu hoch für Tablar; ","")&amp;IF(AND(BW1365=0,OR(CI1365=1,AB1365&lt;&gt;"",U1365&lt;&gt;"",V1365&lt;&gt;"",AC1365&lt;&gt;"")),"manuell übersteuert; ","")&amp;IF(AND(CA1365=0,R1365=0),"Gebinde unbekannt / Stellmass fehlt; ","")&amp;IF(AND(CA1365=0,N(V1365)&lt;=0,N(Q1365)&lt;=0),"Menge pro Gebinde fehlt (Ist = 1 Gebinde); ","")&amp;BV1365)</f>
        <v>negativer Bestand (Export -30); </v>
      </c>
      <c r="BO1365" s="60"/>
      <c r="BP1365" s="60"/>
      <c r="BQ1365" s="67"/>
      <c r="BR1365" s="62" t="n">
        <v>-30</v>
      </c>
      <c r="BS1365" s="62" t="n">
        <v>34</v>
      </c>
      <c r="BT1365" s="61" t="n">
        <v>-2466.9</v>
      </c>
      <c r="BU1365" s="62" t="n">
        <v>3</v>
      </c>
      <c r="BV1365" s="60"/>
      <c r="BW1365" s="65" t="n">
        <v>0</v>
      </c>
      <c r="BX1365" s="65" t="n">
        <v>1365</v>
      </c>
      <c r="BY1365" s="60" t="str">
        <f aca="false">IF(U1365&lt;&gt;"",UPPER(TRIM(U1365)),IF(CB1365=1,UPPER(VLOOKUP(T1365,Parameter!$I$27:$K$29,2,0)),IF(P1365="","LOSE",P1365)))</f>
        <v>S33</v>
      </c>
      <c r="BZ1365" s="62" t="n">
        <f aca="false">IF(BY1365="LOSE",1,IF(N(V1365)&gt;0,V1365,IF(CB1365=1,MAX(1,N(VLOOKUP(T1365,Parameter!$I$27:$K$29,3,0)),H1365,N(N1365)),IF(N(Q1365)&gt;0,Q1365,MAX(1,H1365)))))</f>
        <v>10</v>
      </c>
      <c r="CA1365" s="65" t="n">
        <f aca="false">IF(BY1365="LOSE",1,0)</f>
        <v>0</v>
      </c>
      <c r="CB1365" s="65" t="n">
        <f aca="false">IF(AND(U1365="",OR(P1365="",P1365="LOSE"),T1365&lt;&gt;"",N(S1365)&lt;=0,ISNUMBER(MATCH(T1365,Parameter!$I$27:$I$29,0))),1,0)</f>
        <v>0</v>
      </c>
      <c r="CC1365" s="65" t="n">
        <f aca="false">IF(CR1365&gt;0,INDEX(Parameter!$H$5:$H$7,W1365)/INDEX(Parameter!$E$5:$E$7,W1365),IF(AND(CA1365=0,N(IFERROR(VLOOKUP(BY1365,'Gebinde-Kategorie'!$A$5:$N$45,14,0),0))&gt;0),VLOOKUP(BY1365,'Gebinde-Kategorie'!$A$5:$N$45,14,0)*10+Parameter!$M$23,Parameter!$M$24))</f>
        <v>155</v>
      </c>
      <c r="CD1365" s="60" t="str">
        <f aca="false">IF(AND(Parameter!$B$19="Ja",E1365&lt;&gt;"",ISNUMBER(MATCH(E1365,Parameter!$I$35:$I$52,0))),VLOOKUP(E1365,Parameter!$I$35:$J$52,2,0),IFERROR(VLOOKUP(D1365,Parameter!$A$35:$C$64,2,0),"Nein"))</f>
        <v>2+3</v>
      </c>
      <c r="CE1365" s="64" t="n">
        <f aca="false">IF(CA1365=0,0,IF(N(S1365)&gt;0,S1365,IFERROR(VLOOKUP(D1365,Parameter!$A$35:$C$64,3,0)+0,0)))</f>
        <v>0</v>
      </c>
      <c r="CF1365" s="60" t="n">
        <f aca="false">IF(AB1365&lt;&gt;"",AB1365,AA1365)</f>
        <v>2</v>
      </c>
      <c r="CG1365" s="60" t="str">
        <f aca="false">IF(OR(CF1365=1,CF1365=2,CF1365=3),IF(Parameter!$E$27="Ja","LIFT",IF(CF1365=1,"L1","L23")),IF(CF1365="Aussen","Aussen","-"))</f>
        <v>LIFT</v>
      </c>
      <c r="CH1365" s="71" t="n">
        <f aca="false">IF(N(AC1365)&gt;0,AC1365,0)</f>
        <v>0</v>
      </c>
      <c r="CI1365" s="65" t="n">
        <f aca="false">IF(ISNUMBER(AF1365),1,0)</f>
        <v>0</v>
      </c>
      <c r="CJ1365" s="62" t="n">
        <f aca="false">N(AF1365)</f>
        <v>0</v>
      </c>
      <c r="CK1365" s="62" t="n">
        <f aca="false">N(M1365)+N(N1365)</f>
        <v>5</v>
      </c>
      <c r="CL1365" s="62" t="n">
        <f aca="false">N(M1365)</f>
        <v>0</v>
      </c>
      <c r="CM1365" s="62" t="n">
        <f aca="false">N(N1365)</f>
        <v>5</v>
      </c>
      <c r="CN1365" s="62" t="n">
        <f aca="false">ROUNDUP(H1365/BZ1365,0)</f>
        <v>1</v>
      </c>
      <c r="CO1365" s="62" t="n">
        <f aca="false">ROUNDUP(CJ1365/BZ1365,0)</f>
        <v>0</v>
      </c>
      <c r="CP1365" s="65" t="n">
        <f aca="false">IF(CA1365=1,0,IFERROR(VLOOKUP(BY1365,'Gebinde-Kategorie'!$A$5:$N$45,5,0)+0,0))</f>
        <v>8</v>
      </c>
      <c r="CQ1365" s="65" t="n">
        <f aca="false">IFERROR(IF(OR(CF1365=1,CF1365=2,CF1365=3),N(INDEX(Parameter!$I$5:$I$7,CF1365)),0),0)</f>
        <v>0</v>
      </c>
      <c r="CR1365" s="64" t="n">
        <f aca="false">IF(AND(Parameter!$B$21="Ja",ISNUMBER(W1365),N(X1365)&gt;0),IFERROR(N(INDEX(Parameter!$L$5:$L$7,W1365))*INDEX(Parameter!$E$5:$E$7,W1365)*X1365/SUMIFS($X$7:$X$1843,$W$7:$W$1843,W1365),0),0)</f>
        <v>0</v>
      </c>
      <c r="CS1365" s="62" t="n">
        <f aca="false">IF(AND(OR(CG1365="L1",CG1365="L23",CG1365="LIFT"),H1365&gt;0),CC1365*IF(CR1365&gt;0,CR1365*MAX(1,H1365/X1365),IF(CA1365=1,CE1365,IF(R1365&gt;0,CN1365/R1365,0))/MAX(0.1,N(Parameter!$M$21))),"")</f>
        <v>2.98076923076923</v>
      </c>
      <c r="CT1365" s="64" t="n">
        <f aca="false">IF(CS1365="","",J1365/H1365)</f>
        <v>0.75</v>
      </c>
      <c r="CU1365" s="62" t="n">
        <f aca="false">IF(CS1365="","",H1365*G1365)</f>
        <v>328.92</v>
      </c>
      <c r="CV1365" s="63" t="n">
        <f aca="false">IF(CS1365="","",(CL1365+ROUNDUP(CL1365+MAX(CM1365,2*(J1365/MAX(0.1,N(Einkauf!$C$6))-CL1365)),0))/2)</f>
        <v>2.5</v>
      </c>
      <c r="CW1365" s="62" t="n">
        <f aca="false">IF(CS1365="","",MAX(0,H1365-CV1365)*G1365)</f>
        <v>123.345</v>
      </c>
      <c r="CX1365" s="62" t="n">
        <f aca="false">IF(CS1365="","",CS1365*MAX(0,1-CV1365/H1365))</f>
        <v>1.11778846153846</v>
      </c>
      <c r="CY1365" s="64" t="n">
        <f aca="false">IF(CS1365="","",PERCENTRANK($CS$7:$CS$1843,CS1365)+PERCENTRANK($CU$7:$CU$1843,CU1365)+1-PERCENTRANK($CT$7:$CT$1843,CT1365))</f>
        <v>1.055</v>
      </c>
      <c r="CZ1365" s="72" t="n">
        <f aca="false">IF(CS1365="","",CHOOSE(MATCH(Einkauf!$C$5,Parameter!$G$23:$G$27,0),CY1365,CS1365,CU1365,-CT1365,CW1365)+ROW()/1000000000)</f>
        <v>1.055001365</v>
      </c>
    </row>
    <row r="1366" customFormat="false" ht="15" hidden="false" customHeight="false" outlineLevel="0" collapsed="false">
      <c r="A1366" s="60" t="s">
        <v>2449</v>
      </c>
      <c r="B1366" s="60" t="s">
        <v>745</v>
      </c>
      <c r="C1366" s="60" t="s">
        <v>206</v>
      </c>
      <c r="D1366" s="60" t="s">
        <v>215</v>
      </c>
      <c r="E1366" s="60" t="s">
        <v>208</v>
      </c>
      <c r="F1366" s="60" t="s">
        <v>260</v>
      </c>
      <c r="G1366" s="61" t="n">
        <v>362.99</v>
      </c>
      <c r="H1366" s="62" t="n">
        <f aca="false">MAX(0,IF(AND(Parameter!$B$21="Ja",ISNUMBER(Y1366)),Y1366,IF(Parameter!$B$20="Jahresanfang 2025 + Export",BS1366+BR1366,BR1366)))</f>
        <v>17</v>
      </c>
      <c r="I1366" s="62" t="n">
        <f aca="false">H1366*G1366</f>
        <v>6170.83</v>
      </c>
      <c r="J1366" s="62" t="n">
        <f aca="false">BU1366*Parameter!$B$18</f>
        <v>39</v>
      </c>
      <c r="K1366" s="63" t="n">
        <v>25.5</v>
      </c>
      <c r="L1366" s="64" t="n">
        <v>1.52941176470588</v>
      </c>
      <c r="M1366" s="62" t="n">
        <v>5</v>
      </c>
      <c r="N1366" s="62" t="n">
        <v>15</v>
      </c>
      <c r="O1366" s="65" t="n">
        <v>35</v>
      </c>
      <c r="P1366" s="60" t="s">
        <v>301</v>
      </c>
      <c r="Q1366" s="62" t="n">
        <v>10</v>
      </c>
      <c r="R1366" s="65" t="n">
        <f aca="false">IF(CA1366=1,0,IFERROR(VLOOKUP(BY1366,'Gebinde-Kategorie'!$A$5:$N$45,13,0)+0,0))</f>
        <v>6</v>
      </c>
      <c r="S1366" s="66"/>
      <c r="T1366" s="67"/>
      <c r="U1366" s="67"/>
      <c r="V1366" s="67"/>
      <c r="W1366" s="60"/>
      <c r="X1366" s="62"/>
      <c r="Y1366" s="62"/>
      <c r="Z1366" s="60" t="n">
        <v>2</v>
      </c>
      <c r="AA1366" s="60" t="n">
        <f aca="false">IF(A1366="","",IF(AND(Parameter!$B$21="Ja",ISNUMBER(W1366)),W1366,IF(AND(Parameter!$E$27="Ja",ISNUMBER(Z1366),CD1366&lt;&gt;"Nein"),Z1366,IF(CD1366="2+3",IF(ISNUMBER(SEARCH("grosser Artikel",BV1366)),2,IFERROR(VLOOKUP(BY1366,Parameter!$F$35:$G$64,2,0),2)),IF(OR(CD1366="Nein",CD1366=""),"-",CD1366)))))</f>
        <v>2</v>
      </c>
      <c r="AB1366" s="67"/>
      <c r="AC1366" s="68"/>
      <c r="AD1366" s="62" t="n">
        <f aca="false">AW1366</f>
        <v>21</v>
      </c>
      <c r="AE1366" s="62" t="n">
        <f aca="false">MAX(AW1366,H1366)</f>
        <v>21</v>
      </c>
      <c r="AF1366" s="69"/>
      <c r="AG1366" s="62" t="n">
        <f aca="false">IF(LEFT(Cockpit!$C$5,1)="A",H1366,IF(Parameter!$E$30="MAX-Bestand",IF(CI1366=1,CJ1366,IF(LEFT(Cockpit!$C$5,1)="B",AM1366,MAX(AM1366,H1366))),ROUNDUP(AK1366,0)))</f>
        <v>17</v>
      </c>
      <c r="AH1366" s="62" t="n">
        <f aca="false">IF(CA1366=1,0,ROUNDUP(AG1366/BZ1366,0))</f>
        <v>2</v>
      </c>
      <c r="AI1366" s="64" t="n">
        <f aca="false">IF(CR1366&gt;0,CR1366*MAX(1,AG1366/X1366),IF(CA1366=1,IF(AG1366&lt;=0,0,CE1366*MAX(1,IF(H1366&gt;0,AG1366/H1366,1))),IF(R1366&gt;0,AH1366/R1366,0))/MAX(0.1,N(Parameter!$M$21)))</f>
        <v>0.333333333333333</v>
      </c>
      <c r="AJ1366" s="62" t="n">
        <f aca="false">AI1366*CC1366</f>
        <v>145</v>
      </c>
      <c r="AK1366" s="63" t="n">
        <f aca="false">IF(LEFT(Cockpit!$C$5,1)="A",H1366,IF(CI1366=1,(CL1366+CJ1366)/2,IF(LEFT(Cockpit!$C$5,1)="B",(CL1366+AM1366)/2,MAX((CL1366+AM1366)/2,H1366))))</f>
        <v>17</v>
      </c>
      <c r="AL1366" s="62" t="n">
        <f aca="false">AK1366*G1366</f>
        <v>6170.83</v>
      </c>
      <c r="AM1366" s="62" t="n">
        <f aca="false">ROUNDUP(CL1366+MAX(CM1366,2*(J1366/IF(CH1366&gt;0,CH1366,MAX(0.1,N(Cockpit!$C$6)))-CL1366)),0)</f>
        <v>21</v>
      </c>
      <c r="AN1366" s="63" t="n">
        <f aca="false">IF(AJ1366&gt;0,J1366/AJ1366,-1)</f>
        <v>0.268965517241379</v>
      </c>
      <c r="AO1366" s="63" t="n">
        <f aca="false">IF(AND(OR(CG1366="L1",CG1366="L23",CG1366="LIFT"),AJ1366&gt;0),SUMIFS($AJ$7:$AJ$1843,$CG$7:$CG$1843,CG1366,$AN$7:$AN$1843,"&gt;"&amp;AN1366)+SUMIFS($AJ$7:$AJ$1843,$CG$7:$CG$1843,CG1366,$AN$7:$AN$1843,AN1366,$BX$7:$BX$1843,"&lt;="&amp;BX1366),"")</f>
        <v>11852.7702629292</v>
      </c>
      <c r="AP1366" s="70" t="n">
        <f aca="false">IF(AO1366="",0,MAX(0,MIN(1,(IF(CG1366="L1",Parameter!$H$5,IF(CG1366="L23",Parameter!$H$6+Parameter!$H$7,Parameter!$H$5+Parameter!$H$6+Parameter!$H$7))-(AO1366-AJ1366))/AJ1366)))</f>
        <v>1</v>
      </c>
      <c r="AQ1366" s="62" t="n">
        <f aca="false">IF(LEFT(Cockpit!$I$5,1)="A",H1366,IF(Parameter!$E$30="MAX-Bestand",IF(CI1366=1,CJ1366,IF(LEFT(Cockpit!$I$5,1)="B",AW1366,MAX(AW1366,H1366))),ROUNDUP(AU1366,0)))</f>
        <v>17</v>
      </c>
      <c r="AR1366" s="62" t="n">
        <f aca="false">IF(CA1366=1,0,ROUNDUP(AQ1366/BZ1366,0))</f>
        <v>2</v>
      </c>
      <c r="AS1366" s="64" t="n">
        <f aca="false">IF(CR1366&gt;0,CR1366*MAX(1,AQ1366/X1366),IF(CA1366=1,IF(AQ1366&lt;=0,0,CE1366*MAX(1,IF(H1366&gt;0,AQ1366/H1366,1))),IF(R1366&gt;0,AR1366/R1366,0))/MAX(0.1,N(Parameter!$M$21)))</f>
        <v>0.333333333333333</v>
      </c>
      <c r="AT1366" s="62" t="n">
        <f aca="false">AS1366*CC1366</f>
        <v>145</v>
      </c>
      <c r="AU1366" s="63" t="n">
        <f aca="false">IF(LEFT(Cockpit!$I$5,1)="A",H1366,IF(CI1366=1,(CL1366+CJ1366)/2,IF(LEFT(Cockpit!$I$5,1)="B",(CL1366+AW1366)/2,MAX((CL1366+AW1366)/2,H1366))))</f>
        <v>17</v>
      </c>
      <c r="AV1366" s="62" t="n">
        <f aca="false">AU1366*G1366</f>
        <v>6170.83</v>
      </c>
      <c r="AW1366" s="62" t="n">
        <f aca="false">ROUNDUP(CL1366+MAX(CM1366,2*(J1366/IF(CH1366&gt;0,CH1366,MAX(0.1,N(Cockpit!$I$6)))-CL1366)),0)</f>
        <v>21</v>
      </c>
      <c r="AX1366" s="63" t="n">
        <f aca="false">IF(AT1366&gt;0,J1366/AT1366,-1)</f>
        <v>0.268965517241379</v>
      </c>
      <c r="AY1366" s="63" t="n">
        <f aca="false">IF(AND(OR(CG1366="L1",CG1366="L23",CG1366="LIFT"),AT1366&gt;0),SUMIFS($AT$7:$AT$1843,$CG$7:$CG$1843,CG1366,$AX$7:$AX$1843,"&gt;"&amp;AX1366)+SUMIFS($AT$7:$AT$1843,$CG$7:$CG$1843,CG1366,$AX$7:$AX$1843,AX1366,$BX$7:$BX$1843,"&lt;="&amp;BX1366),"")</f>
        <v>14929.6643772894</v>
      </c>
      <c r="AZ1366" s="70" t="n">
        <f aca="false">IF(AY1366="",0,MAX(0,MIN(1,(IF(CG1366="L1",Parameter!$H$5,IF(CG1366="L23",Parameter!$H$6+Parameter!$H$7,Parameter!$H$5+Parameter!$H$6+Parameter!$H$7))-(AY1366-AT1366))/AT1366)))</f>
        <v>1</v>
      </c>
      <c r="BA1366" s="62" t="n">
        <f aca="false">IF(LEFT(Cockpit!$O$5,1)="A",H1366,IF(Parameter!$E$30="MAX-Bestand",IF(CI1366=1,CJ1366,IF(LEFT(Cockpit!$O$5,1)="B",BG1366,MAX(BG1366,H1366))),ROUNDUP(BE1366,0)))</f>
        <v>13</v>
      </c>
      <c r="BB1366" s="62" t="n">
        <f aca="false">IF(CA1366=1,0,ROUNDUP(BA1366/BZ1366,0))</f>
        <v>2</v>
      </c>
      <c r="BC1366" s="64" t="n">
        <f aca="false">IF(CR1366&gt;0,CR1366*MAX(1,BA1366/X1366),IF(CA1366=1,IF(BA1366&lt;=0,0,CE1366*MAX(1,IF(H1366&gt;0,BA1366/H1366,1))),IF(R1366&gt;0,BB1366/R1366,0))/MAX(0.1,N(Parameter!$M$21)))</f>
        <v>0.333333333333333</v>
      </c>
      <c r="BD1366" s="62" t="n">
        <f aca="false">BC1366*CC1366</f>
        <v>145</v>
      </c>
      <c r="BE1366" s="63" t="n">
        <f aca="false">IF(LEFT(Cockpit!$O$5,1)="A",H1366,IF(CI1366=1,(CL1366+CJ1366)/2,IF(LEFT(Cockpit!$O$5,1)="B",(CL1366+BG1366)/2,MAX((CL1366+BG1366)/2,H1366))))</f>
        <v>12.5</v>
      </c>
      <c r="BF1366" s="62" t="n">
        <f aca="false">BE1366*G1366</f>
        <v>4537.375</v>
      </c>
      <c r="BG1366" s="62" t="n">
        <f aca="false">ROUNDUP(CL1366+MAX(CM1366,2*(J1366/IF(CH1366&gt;0,CH1366,MAX(0.1,N(Cockpit!$O$6)))-CL1366)),0)</f>
        <v>20</v>
      </c>
      <c r="BH1366" s="63" t="n">
        <f aca="false">IF(BD1366&gt;0,J1366/BD1366,-1)</f>
        <v>0.268965517241379</v>
      </c>
      <c r="BI1366" s="63" t="n">
        <f aca="false">IF(AND(OR(CG1366="L1",CG1366="L23",CG1366="LIFT"),BD1366&gt;0),SUMIFS($BD$7:$BD$1843,$CG$7:$CG$1843,CG1366,$BH$7:$BH$1843,"&gt;"&amp;BH1366)+SUMIFS($BD$7:$BD$1843,$CG$7:$CG$1843,CG1366,$BH$7:$BH$1843,BH1366,$BX$7:$BX$1843,"&lt;="&amp;BX1366),"")</f>
        <v>12105.0581501832</v>
      </c>
      <c r="BJ1366" s="70" t="n">
        <f aca="false">IF(BI1366="",0,MAX(0,MIN(1,(IF(CG1366="L1",Parameter!$H$5,IF(CG1366="L23",Parameter!$H$6+Parameter!$H$7,Parameter!$H$5+Parameter!$H$6+Parameter!$H$7))-(BI1366-BD1366))/BD1366)))</f>
        <v>1</v>
      </c>
      <c r="BK1366" s="60" t="str">
        <f aca="false">IF(AJ1366&lt;=0,"",IF(CG1366="Aussen","Aussenlager",IF(CG1366="-","Nicht im Lift",IF(AP1366&gt;=1,"Lift",IF(AP1366&lt;=0,"Aussenlager","teilweise")))))</f>
        <v>Lift</v>
      </c>
      <c r="BL1366" s="60" t="str">
        <f aca="false">IF(AT1366&lt;=0,"",IF(CG1366="Aussen","Aussenlager",IF(CG1366="-","Nicht im Lift",IF(AZ1366&gt;=1,"Lift",IF(AZ1366&lt;=0,"Aussenlager","teilweise")))))</f>
        <v>Lift</v>
      </c>
      <c r="BM1366" s="60" t="str">
        <f aca="false">IF(BD1366&lt;=0,"",IF(CG1366="Aussen","Aussenlager",IF(CG1366="-","Nicht im Lift",IF(BJ1366&gt;=1,"Lift",IF(BJ1366&lt;=0,"Aussenlager","teilweise")))))</f>
        <v>Lift</v>
      </c>
      <c r="BN1366" s="60" t="str">
        <f aca="false">IF(A1366="","",IF(BW1366=1,"Neu; ","")&amp;IF(AND(BW1366=0,BR1366&lt;0),"negativer Bestand (Export "&amp;BR1366&amp;"); ","")&amp;IF(J1366&lt;=0,"Kein Verbrauch; ","")&amp;IF(CR1366&gt;0,"Lift "&amp;W1366&amp;" lt. Liftbericht (Fach "&amp;X1366&amp;" Stk); ",IF(CB1366=1,"Gebinde geschätzt ("&amp;T1366&amp;"); ",IF(CA1366=1,"Lose – Tablare geschätzt; ","")))&amp;IF(H1366&gt;AW1366,"Überbestand "&amp;ROUND(H1366-AW1366,0)&amp;" Stk / CHF "&amp;ROUND((H1366-AW1366)*G1366,0)&amp;"; ","")&amp;IF(AND(CI1366=1,CJ1366&lt;CK1366),"MAX &lt; MB+LG; ","")&amp;IF(AND(CQ1366&gt;0,CP1366*10&gt;CQ1366),"zu hoch für Tablar; ","")&amp;IF(AND(BW1366=0,OR(CI1366=1,AB1366&lt;&gt;"",U1366&lt;&gt;"",V1366&lt;&gt;"",AC1366&lt;&gt;"")),"manuell übersteuert; ","")&amp;IF(AND(CA1366=0,R1366=0),"Gebinde unbekannt / Stellmass fehlt; ","")&amp;IF(AND(CA1366=0,N(V1366)&lt;=0,N(Q1366)&lt;=0),"Menge pro Gebinde fehlt (Ist = 1 Gebinde); ","")&amp;BV1366)</f>
        <v>negativer Bestand (Export -7); </v>
      </c>
      <c r="BO1366" s="60"/>
      <c r="BP1366" s="60"/>
      <c r="BQ1366" s="67"/>
      <c r="BR1366" s="62" t="n">
        <v>-7</v>
      </c>
      <c r="BS1366" s="62" t="n">
        <v>24</v>
      </c>
      <c r="BT1366" s="61" t="n">
        <v>-2540.21000000001</v>
      </c>
      <c r="BU1366" s="62" t="n">
        <v>39</v>
      </c>
      <c r="BV1366" s="60"/>
      <c r="BW1366" s="65" t="n">
        <v>0</v>
      </c>
      <c r="BX1366" s="65" t="n">
        <v>1366</v>
      </c>
      <c r="BY1366" s="60" t="str">
        <f aca="false">IF(U1366&lt;&gt;"",UPPER(TRIM(U1366)),IF(CB1366=1,UPPER(VLOOKUP(T1366,Parameter!$I$27:$K$29,2,0)),IF(P1366="","LOSE",P1366)))</f>
        <v>S72</v>
      </c>
      <c r="BZ1366" s="62" t="n">
        <f aca="false">IF(BY1366="LOSE",1,IF(N(V1366)&gt;0,V1366,IF(CB1366=1,MAX(1,N(VLOOKUP(T1366,Parameter!$I$27:$K$29,3,0)),H1366,N(N1366)),IF(N(Q1366)&gt;0,Q1366,MAX(1,H1366)))))</f>
        <v>10</v>
      </c>
      <c r="CA1366" s="65" t="n">
        <f aca="false">IF(BY1366="LOSE",1,0)</f>
        <v>0</v>
      </c>
      <c r="CB1366" s="65" t="n">
        <f aca="false">IF(AND(U1366="",OR(P1366="",P1366="LOSE"),T1366&lt;&gt;"",N(S1366)&lt;=0,ISNUMBER(MATCH(T1366,Parameter!$I$27:$I$29,0))),1,0)</f>
        <v>0</v>
      </c>
      <c r="CC1366" s="65" t="n">
        <f aca="false">IF(CR1366&gt;0,INDEX(Parameter!$H$5:$H$7,W1366)/INDEX(Parameter!$E$5:$E$7,W1366),IF(AND(CA1366=0,N(IFERROR(VLOOKUP(BY1366,'Gebinde-Kategorie'!$A$5:$N$45,14,0),0))&gt;0),VLOOKUP(BY1366,'Gebinde-Kategorie'!$A$5:$N$45,14,0)*10+Parameter!$M$23,Parameter!$M$24))</f>
        <v>435</v>
      </c>
      <c r="CD1366" s="60" t="n">
        <f aca="false">IF(AND(Parameter!$B$19="Ja",E1366&lt;&gt;"",ISNUMBER(MATCH(E1366,Parameter!$I$35:$I$52,0))),VLOOKUP(E1366,Parameter!$I$35:$J$52,2,0),IFERROR(VLOOKUP(D1366,Parameter!$A$35:$C$64,2,0),"Nein"))</f>
        <v>1</v>
      </c>
      <c r="CE1366" s="64" t="n">
        <f aca="false">IF(CA1366=0,0,IF(N(S1366)&gt;0,S1366,IFERROR(VLOOKUP(D1366,Parameter!$A$35:$C$64,3,0)+0,0)))</f>
        <v>0</v>
      </c>
      <c r="CF1366" s="60" t="n">
        <f aca="false">IF(AB1366&lt;&gt;"",AB1366,AA1366)</f>
        <v>2</v>
      </c>
      <c r="CG1366" s="60" t="str">
        <f aca="false">IF(OR(CF1366=1,CF1366=2,CF1366=3),IF(Parameter!$E$27="Ja","LIFT",IF(CF1366=1,"L1","L23")),IF(CF1366="Aussen","Aussen","-"))</f>
        <v>LIFT</v>
      </c>
      <c r="CH1366" s="71" t="n">
        <f aca="false">IF(N(AC1366)&gt;0,AC1366,0)</f>
        <v>0</v>
      </c>
      <c r="CI1366" s="65" t="n">
        <f aca="false">IF(ISNUMBER(AF1366),1,0)</f>
        <v>0</v>
      </c>
      <c r="CJ1366" s="62" t="n">
        <f aca="false">N(AF1366)</f>
        <v>0</v>
      </c>
      <c r="CK1366" s="62" t="n">
        <f aca="false">N(M1366)+N(N1366)</f>
        <v>20</v>
      </c>
      <c r="CL1366" s="62" t="n">
        <f aca="false">N(M1366)</f>
        <v>5</v>
      </c>
      <c r="CM1366" s="62" t="n">
        <f aca="false">N(N1366)</f>
        <v>15</v>
      </c>
      <c r="CN1366" s="62" t="n">
        <f aca="false">ROUNDUP(H1366/BZ1366,0)</f>
        <v>2</v>
      </c>
      <c r="CO1366" s="62" t="n">
        <f aca="false">ROUNDUP(CJ1366/BZ1366,0)</f>
        <v>0</v>
      </c>
      <c r="CP1366" s="65" t="n">
        <f aca="false">IF(CA1366=1,0,IFERROR(VLOOKUP(BY1366,'Gebinde-Kategorie'!$A$5:$N$45,5,0)+0,0))</f>
        <v>40</v>
      </c>
      <c r="CQ1366" s="65" t="n">
        <f aca="false">IFERROR(IF(OR(CF1366=1,CF1366=2,CF1366=3),N(INDEX(Parameter!$I$5:$I$7,CF1366)),0),0)</f>
        <v>0</v>
      </c>
      <c r="CR1366" s="64" t="n">
        <f aca="false">IF(AND(Parameter!$B$21="Ja",ISNUMBER(W1366),N(X1366)&gt;0),IFERROR(N(INDEX(Parameter!$L$5:$L$7,W1366))*INDEX(Parameter!$E$5:$E$7,W1366)*X1366/SUMIFS($X$7:$X$1843,$W$7:$W$1843,W1366),0),0)</f>
        <v>0</v>
      </c>
      <c r="CS1366" s="62" t="n">
        <f aca="false">IF(AND(OR(CG1366="L1",CG1366="L23",CG1366="LIFT"),H1366&gt;0),CC1366*IF(CR1366&gt;0,CR1366*MAX(1,H1366/X1366),IF(CA1366=1,CE1366,IF(R1366&gt;0,CN1366/R1366,0))/MAX(0.1,N(Parameter!$M$21))),"")</f>
        <v>145</v>
      </c>
      <c r="CT1366" s="64" t="n">
        <f aca="false">IF(CS1366="","",J1366/H1366)</f>
        <v>2.29411764705882</v>
      </c>
      <c r="CU1366" s="62" t="n">
        <f aca="false">IF(CS1366="","",H1366*G1366)</f>
        <v>6170.83</v>
      </c>
      <c r="CV1366" s="63" t="n">
        <f aca="false">IF(CS1366="","",(CL1366+ROUNDUP(CL1366+MAX(CM1366,2*(J1366/MAX(0.1,N(Einkauf!$C$6))-CL1366)),0))/2)</f>
        <v>12.5</v>
      </c>
      <c r="CW1366" s="62" t="n">
        <f aca="false">IF(CS1366="","",MAX(0,H1366-CV1366)*G1366)</f>
        <v>1633.455</v>
      </c>
      <c r="CX1366" s="62" t="n">
        <f aca="false">IF(CS1366="","",CS1366*MAX(0,1-CV1366/H1366))</f>
        <v>38.3823529411765</v>
      </c>
      <c r="CY1366" s="64" t="n">
        <f aca="false">IF(CS1366="","",PERCENTRANK($CS$7:$CS$1843,CS1366)+PERCENTRANK($CU$7:$CU$1843,CU1366)+1-PERCENTRANK($CT$7:$CT$1843,CT1366))</f>
        <v>2.058</v>
      </c>
      <c r="CZ1366" s="72" t="n">
        <f aca="false">IF(CS1366="","",CHOOSE(MATCH(Einkauf!$C$5,Parameter!$G$23:$G$27,0),CY1366,CS1366,CU1366,-CT1366,CW1366)+ROW()/1000000000)</f>
        <v>2.058001366</v>
      </c>
    </row>
    <row r="1367" customFormat="false" ht="15" hidden="false" customHeight="false" outlineLevel="0" collapsed="false">
      <c r="A1367" s="60" t="s">
        <v>2450</v>
      </c>
      <c r="B1367" s="60" t="s">
        <v>2451</v>
      </c>
      <c r="C1367" s="60" t="s">
        <v>206</v>
      </c>
      <c r="D1367" s="60" t="s">
        <v>226</v>
      </c>
      <c r="E1367" s="60" t="s">
        <v>227</v>
      </c>
      <c r="F1367" s="60" t="s">
        <v>260</v>
      </c>
      <c r="G1367" s="61" t="n">
        <v>24.67</v>
      </c>
      <c r="H1367" s="62" t="n">
        <f aca="false">MAX(0,IF(AND(Parameter!$B$21="Ja",ISNUMBER(Y1367)),Y1367,IF(Parameter!$B$20="Jahresanfang 2025 + Export",BS1367+BR1367,BR1367)))</f>
        <v>32</v>
      </c>
      <c r="I1367" s="62" t="n">
        <f aca="false">H1367*G1367</f>
        <v>789.44</v>
      </c>
      <c r="J1367" s="62" t="n">
        <f aca="false">BU1367*Parameter!$B$18</f>
        <v>22</v>
      </c>
      <c r="K1367" s="63" t="n">
        <v>121</v>
      </c>
      <c r="L1367" s="64" t="n">
        <v>0.181818181818182</v>
      </c>
      <c r="M1367" s="62" t="n">
        <v>1</v>
      </c>
      <c r="N1367" s="62" t="n">
        <v>20</v>
      </c>
      <c r="O1367" s="65" t="n">
        <v>28</v>
      </c>
      <c r="P1367" s="60" t="s">
        <v>344</v>
      </c>
      <c r="Q1367" s="62" t="n">
        <v>60</v>
      </c>
      <c r="R1367" s="65" t="n">
        <f aca="false">IF(CA1367=1,0,IFERROR(VLOOKUP(BY1367,'Gebinde-Kategorie'!$A$5:$N$45,13,0)+0,0))</f>
        <v>26</v>
      </c>
      <c r="S1367" s="66"/>
      <c r="T1367" s="67"/>
      <c r="U1367" s="67"/>
      <c r="V1367" s="67"/>
      <c r="W1367" s="60"/>
      <c r="X1367" s="62"/>
      <c r="Y1367" s="62"/>
      <c r="Z1367" s="60" t="n">
        <v>3</v>
      </c>
      <c r="AA1367" s="60" t="n">
        <f aca="false">IF(A1367="","",IF(AND(Parameter!$B$21="Ja",ISNUMBER(W1367)),W1367,IF(AND(Parameter!$E$27="Ja",ISNUMBER(Z1367),CD1367&lt;&gt;"Nein"),Z1367,IF(CD1367="2+3",IF(ISNUMBER(SEARCH("grosser Artikel",BV1367)),2,IFERROR(VLOOKUP(BY1367,Parameter!$F$35:$G$64,2,0),2)),IF(OR(CD1367="Nein",CD1367=""),"-",CD1367)))))</f>
        <v>3</v>
      </c>
      <c r="AB1367" s="67"/>
      <c r="AC1367" s="68"/>
      <c r="AD1367" s="62" t="n">
        <f aca="false">AW1367</f>
        <v>21</v>
      </c>
      <c r="AE1367" s="62" t="n">
        <f aca="false">MAX(AW1367,H1367)</f>
        <v>32</v>
      </c>
      <c r="AF1367" s="69"/>
      <c r="AG1367" s="62" t="n">
        <f aca="false">IF(LEFT(Cockpit!$C$5,1)="A",H1367,IF(Parameter!$E$30="MAX-Bestand",IF(CI1367=1,CJ1367,IF(LEFT(Cockpit!$C$5,1)="B",AM1367,MAX(AM1367,H1367))),ROUNDUP(AK1367,0)))</f>
        <v>32</v>
      </c>
      <c r="AH1367" s="62" t="n">
        <f aca="false">IF(CA1367=1,0,ROUNDUP(AG1367/BZ1367,0))</f>
        <v>1</v>
      </c>
      <c r="AI1367" s="64" t="n">
        <f aca="false">IF(CR1367&gt;0,CR1367*MAX(1,AG1367/X1367),IF(CA1367=1,IF(AG1367&lt;=0,0,CE1367*MAX(1,IF(H1367&gt;0,AG1367/H1367,1))),IF(R1367&gt;0,AH1367/R1367,0))/MAX(0.1,N(Parameter!$M$21)))</f>
        <v>0.0384615384615385</v>
      </c>
      <c r="AJ1367" s="62" t="n">
        <f aca="false">AI1367*CC1367</f>
        <v>5.96153846153846</v>
      </c>
      <c r="AK1367" s="63" t="n">
        <f aca="false">IF(LEFT(Cockpit!$C$5,1)="A",H1367,IF(CI1367=1,(CL1367+CJ1367)/2,IF(LEFT(Cockpit!$C$5,1)="B",(CL1367+AM1367)/2,MAX((CL1367+AM1367)/2,H1367))))</f>
        <v>32</v>
      </c>
      <c r="AL1367" s="62" t="n">
        <f aca="false">AK1367*G1367</f>
        <v>789.44</v>
      </c>
      <c r="AM1367" s="62" t="n">
        <f aca="false">ROUNDUP(CL1367+MAX(CM1367,2*(J1367/IF(CH1367&gt;0,CH1367,MAX(0.1,N(Cockpit!$C$6)))-CL1367)),0)</f>
        <v>21</v>
      </c>
      <c r="AN1367" s="63" t="n">
        <f aca="false">IF(AJ1367&gt;0,J1367/AJ1367,-1)</f>
        <v>3.69032258064516</v>
      </c>
      <c r="AO1367" s="63" t="n">
        <f aca="false">IF(AND(OR(CG1367="L1",CG1367="L23",CG1367="LIFT"),AJ1367&gt;0),SUMIFS($AJ$7:$AJ$1843,$CG$7:$CG$1843,CG1367,$AN$7:$AN$1843,"&gt;"&amp;AN1367)+SUMIFS($AJ$7:$AJ$1843,$CG$7:$CG$1843,CG1367,$AN$7:$AN$1843,AN1367,$BX$7:$BX$1843,"&lt;="&amp;BX1367),"")</f>
        <v>4778.73717948718</v>
      </c>
      <c r="AP1367" s="70" t="n">
        <f aca="false">IF(AO1367="",0,MAX(0,MIN(1,(IF(CG1367="L1",Parameter!$H$5,IF(CG1367="L23",Parameter!$H$6+Parameter!$H$7,Parameter!$H$5+Parameter!$H$6+Parameter!$H$7))-(AO1367-AJ1367))/AJ1367)))</f>
        <v>1</v>
      </c>
      <c r="AQ1367" s="62" t="n">
        <f aca="false">IF(LEFT(Cockpit!$I$5,1)="A",H1367,IF(Parameter!$E$30="MAX-Bestand",IF(CI1367=1,CJ1367,IF(LEFT(Cockpit!$I$5,1)="B",AW1367,MAX(AW1367,H1367))),ROUNDUP(AU1367,0)))</f>
        <v>32</v>
      </c>
      <c r="AR1367" s="62" t="n">
        <f aca="false">IF(CA1367=1,0,ROUNDUP(AQ1367/BZ1367,0))</f>
        <v>1</v>
      </c>
      <c r="AS1367" s="64" t="n">
        <f aca="false">IF(CR1367&gt;0,CR1367*MAX(1,AQ1367/X1367),IF(CA1367=1,IF(AQ1367&lt;=0,0,CE1367*MAX(1,IF(H1367&gt;0,AQ1367/H1367,1))),IF(R1367&gt;0,AR1367/R1367,0))/MAX(0.1,N(Parameter!$M$21)))</f>
        <v>0.0384615384615385</v>
      </c>
      <c r="AT1367" s="62" t="n">
        <f aca="false">AS1367*CC1367</f>
        <v>5.96153846153846</v>
      </c>
      <c r="AU1367" s="63" t="n">
        <f aca="false">IF(LEFT(Cockpit!$I$5,1)="A",H1367,IF(CI1367=1,(CL1367+CJ1367)/2,IF(LEFT(Cockpit!$I$5,1)="B",(CL1367+AW1367)/2,MAX((CL1367+AW1367)/2,H1367))))</f>
        <v>32</v>
      </c>
      <c r="AV1367" s="62" t="n">
        <f aca="false">AU1367*G1367</f>
        <v>789.44</v>
      </c>
      <c r="AW1367" s="62" t="n">
        <f aca="false">ROUNDUP(CL1367+MAX(CM1367,2*(J1367/IF(CH1367&gt;0,CH1367,MAX(0.1,N(Cockpit!$I$6)))-CL1367)),0)</f>
        <v>21</v>
      </c>
      <c r="AX1367" s="63" t="n">
        <f aca="false">IF(AT1367&gt;0,J1367/AT1367,-1)</f>
        <v>3.69032258064516</v>
      </c>
      <c r="AY1367" s="63" t="n">
        <f aca="false">IF(AND(OR(CG1367="L1",CG1367="L23",CG1367="LIFT"),AT1367&gt;0),SUMIFS($AT$7:$AT$1843,$CG$7:$CG$1843,CG1367,$AX$7:$AX$1843,"&gt;"&amp;AX1367)+SUMIFS($AT$7:$AT$1843,$CG$7:$CG$1843,CG1367,$AX$7:$AX$1843,AX1367,$BX$7:$BX$1843,"&lt;="&amp;BX1367),"")</f>
        <v>5397.15750915751</v>
      </c>
      <c r="AZ1367" s="70" t="n">
        <f aca="false">IF(AY1367="",0,MAX(0,MIN(1,(IF(CG1367="L1",Parameter!$H$5,IF(CG1367="L23",Parameter!$H$6+Parameter!$H$7,Parameter!$H$5+Parameter!$H$6+Parameter!$H$7))-(AY1367-AT1367))/AT1367)))</f>
        <v>1</v>
      </c>
      <c r="BA1367" s="62" t="n">
        <f aca="false">IF(LEFT(Cockpit!$O$5,1)="A",H1367,IF(Parameter!$E$30="MAX-Bestand",IF(CI1367=1,CJ1367,IF(LEFT(Cockpit!$O$5,1)="B",BG1367,MAX(BG1367,H1367))),ROUNDUP(BE1367,0)))</f>
        <v>11</v>
      </c>
      <c r="BB1367" s="62" t="n">
        <f aca="false">IF(CA1367=1,0,ROUNDUP(BA1367/BZ1367,0))</f>
        <v>1</v>
      </c>
      <c r="BC1367" s="64" t="n">
        <f aca="false">IF(CR1367&gt;0,CR1367*MAX(1,BA1367/X1367),IF(CA1367=1,IF(BA1367&lt;=0,0,CE1367*MAX(1,IF(H1367&gt;0,BA1367/H1367,1))),IF(R1367&gt;0,BB1367/R1367,0))/MAX(0.1,N(Parameter!$M$21)))</f>
        <v>0.0384615384615385</v>
      </c>
      <c r="BD1367" s="62" t="n">
        <f aca="false">BC1367*CC1367</f>
        <v>5.96153846153846</v>
      </c>
      <c r="BE1367" s="63" t="n">
        <f aca="false">IF(LEFT(Cockpit!$O$5,1)="A",H1367,IF(CI1367=1,(CL1367+CJ1367)/2,IF(LEFT(Cockpit!$O$5,1)="B",(CL1367+BG1367)/2,MAX((CL1367+BG1367)/2,H1367))))</f>
        <v>11</v>
      </c>
      <c r="BF1367" s="62" t="n">
        <f aca="false">BE1367*G1367</f>
        <v>271.37</v>
      </c>
      <c r="BG1367" s="62" t="n">
        <f aca="false">ROUNDUP(CL1367+MAX(CM1367,2*(J1367/IF(CH1367&gt;0,CH1367,MAX(0.1,N(Cockpit!$O$6)))-CL1367)),0)</f>
        <v>21</v>
      </c>
      <c r="BH1367" s="63" t="n">
        <f aca="false">IF(BD1367&gt;0,J1367/BD1367,-1)</f>
        <v>3.69032258064516</v>
      </c>
      <c r="BI1367" s="63" t="n">
        <f aca="false">IF(AND(OR(CG1367="L1",CG1367="L23",CG1367="LIFT"),BD1367&gt;0),SUMIFS($BD$7:$BD$1843,$CG$7:$CG$1843,CG1367,$BH$7:$BH$1843,"&gt;"&amp;BH1367)+SUMIFS($BD$7:$BD$1843,$CG$7:$CG$1843,CG1367,$BH$7:$BH$1843,BH1367,$BX$7:$BX$1843,"&lt;="&amp;BX1367),"")</f>
        <v>4415.5293040293</v>
      </c>
      <c r="BJ1367" s="70" t="n">
        <f aca="false">IF(BI1367="",0,MAX(0,MIN(1,(IF(CG1367="L1",Parameter!$H$5,IF(CG1367="L23",Parameter!$H$6+Parameter!$H$7,Parameter!$H$5+Parameter!$H$6+Parameter!$H$7))-(BI1367-BD1367))/BD1367)))</f>
        <v>1</v>
      </c>
      <c r="BK1367" s="60" t="str">
        <f aca="false">IF(AJ1367&lt;=0,"",IF(CG1367="Aussen","Aussenlager",IF(CG1367="-","Nicht im Lift",IF(AP1367&gt;=1,"Lift",IF(AP1367&lt;=0,"Aussenlager","teilweise")))))</f>
        <v>Lift</v>
      </c>
      <c r="BL1367" s="60" t="str">
        <f aca="false">IF(AT1367&lt;=0,"",IF(CG1367="Aussen","Aussenlager",IF(CG1367="-","Nicht im Lift",IF(AZ1367&gt;=1,"Lift",IF(AZ1367&lt;=0,"Aussenlager","teilweise")))))</f>
        <v>Lift</v>
      </c>
      <c r="BM1367" s="60" t="str">
        <f aca="false">IF(BD1367&lt;=0,"",IF(CG1367="Aussen","Aussenlager",IF(CG1367="-","Nicht im Lift",IF(BJ1367&gt;=1,"Lift",IF(BJ1367&lt;=0,"Aussenlager","teilweise")))))</f>
        <v>Lift</v>
      </c>
      <c r="BN1367" s="60" t="str">
        <f aca="false">IF(A1367="","",IF(BW1367=1,"Neu; ","")&amp;IF(AND(BW1367=0,BR1367&lt;0),"negativer Bestand (Export "&amp;BR1367&amp;"); ","")&amp;IF(J1367&lt;=0,"Kein Verbrauch; ","")&amp;IF(CR1367&gt;0,"Lift "&amp;W1367&amp;" lt. Liftbericht (Fach "&amp;X1367&amp;" Stk); ",IF(CB1367=1,"Gebinde geschätzt ("&amp;T1367&amp;"); ",IF(CA1367=1,"Lose – Tablare geschätzt; ","")))&amp;IF(H1367&gt;AW1367,"Überbestand "&amp;ROUND(H1367-AW1367,0)&amp;" Stk / CHF "&amp;ROUND((H1367-AW1367)*G1367,0)&amp;"; ","")&amp;IF(AND(CI1367=1,CJ1367&lt;CK1367),"MAX &lt; MB+LG; ","")&amp;IF(AND(CQ1367&gt;0,CP1367*10&gt;CQ1367),"zu hoch für Tablar; ","")&amp;IF(AND(BW1367=0,OR(CI1367=1,AB1367&lt;&gt;"",U1367&lt;&gt;"",V1367&lt;&gt;"",AC1367&lt;&gt;"")),"manuell übersteuert; ","")&amp;IF(AND(CA1367=0,R1367=0),"Gebinde unbekannt / Stellmass fehlt; ","")&amp;IF(AND(CA1367=0,N(V1367)&lt;=0,N(Q1367)&lt;=0),"Menge pro Gebinde fehlt (Ist = 1 Gebinde); ","")&amp;BV1367)</f>
        <v>negativer Bestand (Export -103); Überbestand 11 Stk / CHF 271; B&amp;R</v>
      </c>
      <c r="BO1367" s="60"/>
      <c r="BP1367" s="60"/>
      <c r="BQ1367" s="67"/>
      <c r="BR1367" s="62" t="n">
        <v>-103</v>
      </c>
      <c r="BS1367" s="62" t="n">
        <v>135</v>
      </c>
      <c r="BT1367" s="61" t="n">
        <v>-2541.01</v>
      </c>
      <c r="BU1367" s="62" t="n">
        <v>22</v>
      </c>
      <c r="BV1367" s="60" t="s">
        <v>2259</v>
      </c>
      <c r="BW1367" s="65" t="n">
        <v>0</v>
      </c>
      <c r="BX1367" s="65" t="n">
        <v>1367</v>
      </c>
      <c r="BY1367" s="60" t="str">
        <f aca="false">IF(U1367&lt;&gt;"",UPPER(TRIM(U1367)),IF(CB1367=1,UPPER(VLOOKUP(T1367,Parameter!$I$27:$K$29,2,0)),IF(P1367="","LOSE",P1367)))</f>
        <v>S51</v>
      </c>
      <c r="BZ1367" s="62" t="n">
        <f aca="false">IF(BY1367="LOSE",1,IF(N(V1367)&gt;0,V1367,IF(CB1367=1,MAX(1,N(VLOOKUP(T1367,Parameter!$I$27:$K$29,3,0)),H1367,N(N1367)),IF(N(Q1367)&gt;0,Q1367,MAX(1,H1367)))))</f>
        <v>60</v>
      </c>
      <c r="CA1367" s="65" t="n">
        <f aca="false">IF(BY1367="LOSE",1,0)</f>
        <v>0</v>
      </c>
      <c r="CB1367" s="65" t="n">
        <f aca="false">IF(AND(U1367="",OR(P1367="",P1367="LOSE"),T1367&lt;&gt;"",N(S1367)&lt;=0,ISNUMBER(MATCH(T1367,Parameter!$I$27:$I$29,0))),1,0)</f>
        <v>0</v>
      </c>
      <c r="CC1367" s="65" t="n">
        <f aca="false">IF(CR1367&gt;0,INDEX(Parameter!$H$5:$H$7,W1367)/INDEX(Parameter!$E$5:$E$7,W1367),IF(AND(CA1367=0,N(IFERROR(VLOOKUP(BY1367,'Gebinde-Kategorie'!$A$5:$N$45,14,0),0))&gt;0),VLOOKUP(BY1367,'Gebinde-Kategorie'!$A$5:$N$45,14,0)*10+Parameter!$M$23,Parameter!$M$24))</f>
        <v>155</v>
      </c>
      <c r="CD1367" s="60" t="str">
        <f aca="false">IF(AND(Parameter!$B$19="Ja",E1367&lt;&gt;"",ISNUMBER(MATCH(E1367,Parameter!$I$35:$I$52,0))),VLOOKUP(E1367,Parameter!$I$35:$J$52,2,0),IFERROR(VLOOKUP(D1367,Parameter!$A$35:$C$64,2,0),"Nein"))</f>
        <v>2+3</v>
      </c>
      <c r="CE1367" s="64" t="n">
        <f aca="false">IF(CA1367=0,0,IF(N(S1367)&gt;0,S1367,IFERROR(VLOOKUP(D1367,Parameter!$A$35:$C$64,3,0)+0,0)))</f>
        <v>0</v>
      </c>
      <c r="CF1367" s="60" t="n">
        <f aca="false">IF(AB1367&lt;&gt;"",AB1367,AA1367)</f>
        <v>3</v>
      </c>
      <c r="CG1367" s="60" t="str">
        <f aca="false">IF(OR(CF1367=1,CF1367=2,CF1367=3),IF(Parameter!$E$27="Ja","LIFT",IF(CF1367=1,"L1","L23")),IF(CF1367="Aussen","Aussen","-"))</f>
        <v>LIFT</v>
      </c>
      <c r="CH1367" s="71" t="n">
        <f aca="false">IF(N(AC1367)&gt;0,AC1367,0)</f>
        <v>0</v>
      </c>
      <c r="CI1367" s="65" t="n">
        <f aca="false">IF(ISNUMBER(AF1367),1,0)</f>
        <v>0</v>
      </c>
      <c r="CJ1367" s="62" t="n">
        <f aca="false">N(AF1367)</f>
        <v>0</v>
      </c>
      <c r="CK1367" s="62" t="n">
        <f aca="false">N(M1367)+N(N1367)</f>
        <v>21</v>
      </c>
      <c r="CL1367" s="62" t="n">
        <f aca="false">N(M1367)</f>
        <v>1</v>
      </c>
      <c r="CM1367" s="62" t="n">
        <f aca="false">N(N1367)</f>
        <v>20</v>
      </c>
      <c r="CN1367" s="62" t="n">
        <f aca="false">ROUNDUP(H1367/BZ1367,0)</f>
        <v>1</v>
      </c>
      <c r="CO1367" s="62" t="n">
        <f aca="false">ROUNDUP(CJ1367/BZ1367,0)</f>
        <v>0</v>
      </c>
      <c r="CP1367" s="65" t="n">
        <f aca="false">IF(CA1367=1,0,IFERROR(VLOOKUP(BY1367,'Gebinde-Kategorie'!$A$5:$N$45,5,0)+0,0))</f>
        <v>11</v>
      </c>
      <c r="CQ1367" s="65" t="n">
        <f aca="false">IFERROR(IF(OR(CF1367=1,CF1367=2,CF1367=3),N(INDEX(Parameter!$I$5:$I$7,CF1367)),0),0)</f>
        <v>0</v>
      </c>
      <c r="CR1367" s="64" t="n">
        <f aca="false">IF(AND(Parameter!$B$21="Ja",ISNUMBER(W1367),N(X1367)&gt;0),IFERROR(N(INDEX(Parameter!$L$5:$L$7,W1367))*INDEX(Parameter!$E$5:$E$7,W1367)*X1367/SUMIFS($X$7:$X$1843,$W$7:$W$1843,W1367),0),0)</f>
        <v>0</v>
      </c>
      <c r="CS1367" s="62" t="n">
        <f aca="false">IF(AND(OR(CG1367="L1",CG1367="L23",CG1367="LIFT"),H1367&gt;0),CC1367*IF(CR1367&gt;0,CR1367*MAX(1,H1367/X1367),IF(CA1367=1,CE1367,IF(R1367&gt;0,CN1367/R1367,0))/MAX(0.1,N(Parameter!$M$21))),"")</f>
        <v>5.96153846153846</v>
      </c>
      <c r="CT1367" s="64" t="n">
        <f aca="false">IF(CS1367="","",J1367/H1367)</f>
        <v>0.6875</v>
      </c>
      <c r="CU1367" s="62" t="n">
        <f aca="false">IF(CS1367="","",H1367*G1367)</f>
        <v>789.44</v>
      </c>
      <c r="CV1367" s="63" t="n">
        <f aca="false">IF(CS1367="","",(CL1367+ROUNDUP(CL1367+MAX(CM1367,2*(J1367/MAX(0.1,N(Einkauf!$C$6))-CL1367)),0))/2)</f>
        <v>11</v>
      </c>
      <c r="CW1367" s="62" t="n">
        <f aca="false">IF(CS1367="","",MAX(0,H1367-CV1367)*G1367)</f>
        <v>518.07</v>
      </c>
      <c r="CX1367" s="62" t="n">
        <f aca="false">IF(CS1367="","",CS1367*MAX(0,1-CV1367/H1367))</f>
        <v>3.91225961538462</v>
      </c>
      <c r="CY1367" s="64" t="n">
        <f aca="false">IF(CS1367="","",PERCENTRANK($CS$7:$CS$1843,CS1367)+PERCENTRANK($CU$7:$CU$1843,CU1367)+1-PERCENTRANK($CT$7:$CT$1843,CT1367))</f>
        <v>1.374</v>
      </c>
      <c r="CZ1367" s="72" t="n">
        <f aca="false">IF(CS1367="","",CHOOSE(MATCH(Einkauf!$C$5,Parameter!$G$23:$G$27,0),CY1367,CS1367,CU1367,-CT1367,CW1367)+ROW()/1000000000)</f>
        <v>1.374001367</v>
      </c>
    </row>
    <row r="1368" customFormat="false" ht="15" hidden="false" customHeight="false" outlineLevel="0" collapsed="false">
      <c r="A1368" s="60" t="s">
        <v>2452</v>
      </c>
      <c r="B1368" s="60" t="s">
        <v>2214</v>
      </c>
      <c r="C1368" s="60" t="s">
        <v>206</v>
      </c>
      <c r="D1368" s="60" t="s">
        <v>226</v>
      </c>
      <c r="E1368" s="60"/>
      <c r="F1368" s="60" t="s">
        <v>260</v>
      </c>
      <c r="G1368" s="61" t="n">
        <v>1272.53</v>
      </c>
      <c r="H1368" s="62" t="n">
        <f aca="false">MAX(0,IF(AND(Parameter!$B$21="Ja",ISNUMBER(Y1368)),Y1368,IF(Parameter!$B$20="Jahresanfang 2025 + Export",BS1368+BR1368,BR1368)))</f>
        <v>2</v>
      </c>
      <c r="I1368" s="62" t="n">
        <f aca="false">H1368*G1368</f>
        <v>2545.06</v>
      </c>
      <c r="J1368" s="62" t="n">
        <f aca="false">BU1368*Parameter!$B$18</f>
        <v>1</v>
      </c>
      <c r="K1368" s="63" t="n">
        <v>3.5</v>
      </c>
      <c r="L1368" s="64" t="n">
        <v>0.285714285714286</v>
      </c>
      <c r="M1368" s="62" t="n">
        <v>0</v>
      </c>
      <c r="N1368" s="62" t="n">
        <v>1</v>
      </c>
      <c r="O1368" s="65" t="n">
        <v>70</v>
      </c>
      <c r="P1368" s="60" t="s">
        <v>344</v>
      </c>
      <c r="Q1368" s="62" t="n">
        <v>3</v>
      </c>
      <c r="R1368" s="65" t="n">
        <f aca="false">IF(CA1368=1,0,IFERROR(VLOOKUP(BY1368,'Gebinde-Kategorie'!$A$5:$N$45,13,0)+0,0))</f>
        <v>26</v>
      </c>
      <c r="S1368" s="66"/>
      <c r="T1368" s="67"/>
      <c r="U1368" s="67"/>
      <c r="V1368" s="67"/>
      <c r="W1368" s="60"/>
      <c r="X1368" s="62"/>
      <c r="Y1368" s="62"/>
      <c r="Z1368" s="60" t="n">
        <v>3</v>
      </c>
      <c r="AA1368" s="60" t="n">
        <f aca="false">IF(A1368="","",IF(AND(Parameter!$B$21="Ja",ISNUMBER(W1368)),W1368,IF(AND(Parameter!$E$27="Ja",ISNUMBER(Z1368),CD1368&lt;&gt;"Nein"),Z1368,IF(CD1368="2+3",IF(ISNUMBER(SEARCH("grosser Artikel",BV1368)),2,IFERROR(VLOOKUP(BY1368,Parameter!$F$35:$G$64,2,0),2)),IF(OR(CD1368="Nein",CD1368=""),"-",CD1368)))))</f>
        <v>3</v>
      </c>
      <c r="AB1368" s="67"/>
      <c r="AC1368" s="68"/>
      <c r="AD1368" s="62" t="n">
        <f aca="false">AW1368</f>
        <v>1</v>
      </c>
      <c r="AE1368" s="62" t="n">
        <f aca="false">MAX(AW1368,H1368)</f>
        <v>2</v>
      </c>
      <c r="AF1368" s="69"/>
      <c r="AG1368" s="62" t="n">
        <f aca="false">IF(LEFT(Cockpit!$C$5,1)="A",H1368,IF(Parameter!$E$30="MAX-Bestand",IF(CI1368=1,CJ1368,IF(LEFT(Cockpit!$C$5,1)="B",AM1368,MAX(AM1368,H1368))),ROUNDUP(AK1368,0)))</f>
        <v>2</v>
      </c>
      <c r="AH1368" s="62" t="n">
        <f aca="false">IF(CA1368=1,0,ROUNDUP(AG1368/BZ1368,0))</f>
        <v>1</v>
      </c>
      <c r="AI1368" s="64" t="n">
        <f aca="false">IF(CR1368&gt;0,CR1368*MAX(1,AG1368/X1368),IF(CA1368=1,IF(AG1368&lt;=0,0,CE1368*MAX(1,IF(H1368&gt;0,AG1368/H1368,1))),IF(R1368&gt;0,AH1368/R1368,0))/MAX(0.1,N(Parameter!$M$21)))</f>
        <v>0.0384615384615385</v>
      </c>
      <c r="AJ1368" s="62" t="n">
        <f aca="false">AI1368*CC1368</f>
        <v>5.96153846153846</v>
      </c>
      <c r="AK1368" s="63" t="n">
        <f aca="false">IF(LEFT(Cockpit!$C$5,1)="A",H1368,IF(CI1368=1,(CL1368+CJ1368)/2,IF(LEFT(Cockpit!$C$5,1)="B",(CL1368+AM1368)/2,MAX((CL1368+AM1368)/2,H1368))))</f>
        <v>2</v>
      </c>
      <c r="AL1368" s="62" t="n">
        <f aca="false">AK1368*G1368</f>
        <v>2545.06</v>
      </c>
      <c r="AM1368" s="62" t="n">
        <f aca="false">ROUNDUP(CL1368+MAX(CM1368,2*(J1368/IF(CH1368&gt;0,CH1368,MAX(0.1,N(Cockpit!$C$6)))-CL1368)),0)</f>
        <v>1</v>
      </c>
      <c r="AN1368" s="63" t="n">
        <f aca="false">IF(AJ1368&gt;0,J1368/AJ1368,-1)</f>
        <v>0.167741935483871</v>
      </c>
      <c r="AO1368" s="63" t="n">
        <f aca="false">IF(AND(OR(CG1368="L1",CG1368="L23",CG1368="LIFT"),AJ1368&gt;0),SUMIFS($AJ$7:$AJ$1843,$CG$7:$CG$1843,CG1368,$AN$7:$AN$1843,"&gt;"&amp;AN1368)+SUMIFS($AJ$7:$AJ$1843,$CG$7:$CG$1843,CG1368,$AN$7:$AN$1843,AN1368,$BX$7:$BX$1843,"&lt;="&amp;BX1368),"")</f>
        <v>12769.1567977691</v>
      </c>
      <c r="AP1368" s="70" t="n">
        <f aca="false">IF(AO1368="",0,MAX(0,MIN(1,(IF(CG1368="L1",Parameter!$H$5,IF(CG1368="L23",Parameter!$H$6+Parameter!$H$7,Parameter!$H$5+Parameter!$H$6+Parameter!$H$7))-(AO1368-AJ1368))/AJ1368)))</f>
        <v>1</v>
      </c>
      <c r="AQ1368" s="62" t="n">
        <f aca="false">IF(LEFT(Cockpit!$I$5,1)="A",H1368,IF(Parameter!$E$30="MAX-Bestand",IF(CI1368=1,CJ1368,IF(LEFT(Cockpit!$I$5,1)="B",AW1368,MAX(AW1368,H1368))),ROUNDUP(AU1368,0)))</f>
        <v>2</v>
      </c>
      <c r="AR1368" s="62" t="n">
        <f aca="false">IF(CA1368=1,0,ROUNDUP(AQ1368/BZ1368,0))</f>
        <v>1</v>
      </c>
      <c r="AS1368" s="64" t="n">
        <f aca="false">IF(CR1368&gt;0,CR1368*MAX(1,AQ1368/X1368),IF(CA1368=1,IF(AQ1368&lt;=0,0,CE1368*MAX(1,IF(H1368&gt;0,AQ1368/H1368,1))),IF(R1368&gt;0,AR1368/R1368,0))/MAX(0.1,N(Parameter!$M$21)))</f>
        <v>0.0384615384615385</v>
      </c>
      <c r="AT1368" s="62" t="n">
        <f aca="false">AS1368*CC1368</f>
        <v>5.96153846153846</v>
      </c>
      <c r="AU1368" s="63" t="n">
        <f aca="false">IF(LEFT(Cockpit!$I$5,1)="A",H1368,IF(CI1368=1,(CL1368+CJ1368)/2,IF(LEFT(Cockpit!$I$5,1)="B",(CL1368+AW1368)/2,MAX((CL1368+AW1368)/2,H1368))))</f>
        <v>2</v>
      </c>
      <c r="AV1368" s="62" t="n">
        <f aca="false">AU1368*G1368</f>
        <v>2545.06</v>
      </c>
      <c r="AW1368" s="62" t="n">
        <f aca="false">ROUNDUP(CL1368+MAX(CM1368,2*(J1368/IF(CH1368&gt;0,CH1368,MAX(0.1,N(Cockpit!$I$6)))-CL1368)),0)</f>
        <v>1</v>
      </c>
      <c r="AX1368" s="63" t="n">
        <f aca="false">IF(AT1368&gt;0,J1368/AT1368,-1)</f>
        <v>0.167741935483871</v>
      </c>
      <c r="AY1368" s="63" t="n">
        <f aca="false">IF(AND(OR(CG1368="L1",CG1368="L23",CG1368="LIFT"),AT1368&gt;0),SUMIFS($AT$7:$AT$1843,$CG$7:$CG$1843,CG1368,$AX$7:$AX$1843,"&gt;"&amp;AX1368)+SUMIFS($AT$7:$AT$1843,$CG$7:$CG$1843,CG1368,$AX$7:$AX$1843,AX1368,$BX$7:$BX$1843,"&lt;="&amp;BX1368),"")</f>
        <v>15697.8374542125</v>
      </c>
      <c r="AZ1368" s="70" t="n">
        <f aca="false">IF(AY1368="",0,MAX(0,MIN(1,(IF(CG1368="L1",Parameter!$H$5,IF(CG1368="L23",Parameter!$H$6+Parameter!$H$7,Parameter!$H$5+Parameter!$H$6+Parameter!$H$7))-(AY1368-AT1368))/AT1368)))</f>
        <v>1</v>
      </c>
      <c r="BA1368" s="62" t="n">
        <f aca="false">IF(LEFT(Cockpit!$O$5,1)="A",H1368,IF(Parameter!$E$30="MAX-Bestand",IF(CI1368=1,CJ1368,IF(LEFT(Cockpit!$O$5,1)="B",BG1368,MAX(BG1368,H1368))),ROUNDUP(BE1368,0)))</f>
        <v>1</v>
      </c>
      <c r="BB1368" s="62" t="n">
        <f aca="false">IF(CA1368=1,0,ROUNDUP(BA1368/BZ1368,0))</f>
        <v>1</v>
      </c>
      <c r="BC1368" s="64" t="n">
        <f aca="false">IF(CR1368&gt;0,CR1368*MAX(1,BA1368/X1368),IF(CA1368=1,IF(BA1368&lt;=0,0,CE1368*MAX(1,IF(H1368&gt;0,BA1368/H1368,1))),IF(R1368&gt;0,BB1368/R1368,0))/MAX(0.1,N(Parameter!$M$21)))</f>
        <v>0.0384615384615385</v>
      </c>
      <c r="BD1368" s="62" t="n">
        <f aca="false">BC1368*CC1368</f>
        <v>5.96153846153846</v>
      </c>
      <c r="BE1368" s="63" t="n">
        <f aca="false">IF(LEFT(Cockpit!$O$5,1)="A",H1368,IF(CI1368=1,(CL1368+CJ1368)/2,IF(LEFT(Cockpit!$O$5,1)="B",(CL1368+BG1368)/2,MAX((CL1368+BG1368)/2,H1368))))</f>
        <v>0.5</v>
      </c>
      <c r="BF1368" s="62" t="n">
        <f aca="false">BE1368*G1368</f>
        <v>636.265</v>
      </c>
      <c r="BG1368" s="62" t="n">
        <f aca="false">ROUNDUP(CL1368+MAX(CM1368,2*(J1368/IF(CH1368&gt;0,CH1368,MAX(0.1,N(Cockpit!$O$6)))-CL1368)),0)</f>
        <v>1</v>
      </c>
      <c r="BH1368" s="63" t="n">
        <f aca="false">IF(BD1368&gt;0,J1368/BD1368,-1)</f>
        <v>0.167741935483871</v>
      </c>
      <c r="BI1368" s="63" t="n">
        <f aca="false">IF(AND(OR(CG1368="L1",CG1368="L23",CG1368="LIFT"),BD1368&gt;0),SUMIFS($BD$7:$BD$1843,$CG$7:$CG$1843,CG1368,$BH$7:$BH$1843,"&gt;"&amp;BH1368)+SUMIFS($BD$7:$BD$1843,$CG$7:$CG$1843,CG1368,$BH$7:$BH$1843,BH1368,$BX$7:$BX$1843,"&lt;="&amp;BX1368),"")</f>
        <v>13500.1372824445</v>
      </c>
      <c r="BJ1368" s="70" t="n">
        <f aca="false">IF(BI1368="",0,MAX(0,MIN(1,(IF(CG1368="L1",Parameter!$H$5,IF(CG1368="L23",Parameter!$H$6+Parameter!$H$7,Parameter!$H$5+Parameter!$H$6+Parameter!$H$7))-(BI1368-BD1368))/BD1368)))</f>
        <v>1</v>
      </c>
      <c r="BK1368" s="60" t="str">
        <f aca="false">IF(AJ1368&lt;=0,"",IF(CG1368="Aussen","Aussenlager",IF(CG1368="-","Nicht im Lift",IF(AP1368&gt;=1,"Lift",IF(AP1368&lt;=0,"Aussenlager","teilweise")))))</f>
        <v>Lift</v>
      </c>
      <c r="BL1368" s="60" t="str">
        <f aca="false">IF(AT1368&lt;=0,"",IF(CG1368="Aussen","Aussenlager",IF(CG1368="-","Nicht im Lift",IF(AZ1368&gt;=1,"Lift",IF(AZ1368&lt;=0,"Aussenlager","teilweise")))))</f>
        <v>Lift</v>
      </c>
      <c r="BM1368" s="60" t="str">
        <f aca="false">IF(BD1368&lt;=0,"",IF(CG1368="Aussen","Aussenlager",IF(CG1368="-","Nicht im Lift",IF(BJ1368&gt;=1,"Lift",IF(BJ1368&lt;=0,"Aussenlager","teilweise")))))</f>
        <v>Lift</v>
      </c>
      <c r="BN1368" s="60" t="str">
        <f aca="false">IF(A1368="","",IF(BW1368=1,"Neu; ","")&amp;IF(AND(BW1368=0,BR1368&lt;0),"negativer Bestand (Export "&amp;BR1368&amp;"); ","")&amp;IF(J1368&lt;=0,"Kein Verbrauch; ","")&amp;IF(CR1368&gt;0,"Lift "&amp;W1368&amp;" lt. Liftbericht (Fach "&amp;X1368&amp;" Stk); ",IF(CB1368=1,"Gebinde geschätzt ("&amp;T1368&amp;"); ",IF(CA1368=1,"Lose – Tablare geschätzt; ","")))&amp;IF(H1368&gt;AW1368,"Überbestand "&amp;ROUND(H1368-AW1368,0)&amp;" Stk / CHF "&amp;ROUND((H1368-AW1368)*G1368,0)&amp;"; ","")&amp;IF(AND(CI1368=1,CJ1368&lt;CK1368),"MAX &lt; MB+LG; ","")&amp;IF(AND(CQ1368&gt;0,CP1368*10&gt;CQ1368),"zu hoch für Tablar; ","")&amp;IF(AND(BW1368=0,OR(CI1368=1,AB1368&lt;&gt;"",U1368&lt;&gt;"",V1368&lt;&gt;"",AC1368&lt;&gt;"")),"manuell übersteuert; ","")&amp;IF(AND(CA1368=0,R1368=0),"Gebinde unbekannt / Stellmass fehlt; ","")&amp;IF(AND(CA1368=0,N(V1368)&lt;=0,N(Q1368)&lt;=0),"Menge pro Gebinde fehlt (Ist = 1 Gebinde); ","")&amp;BV1368)</f>
        <v>negativer Bestand (Export -2); Überbestand 1 Stk / CHF 1273; </v>
      </c>
      <c r="BO1368" s="60"/>
      <c r="BP1368" s="60"/>
      <c r="BQ1368" s="67"/>
      <c r="BR1368" s="62" t="n">
        <v>-2</v>
      </c>
      <c r="BS1368" s="62" t="n">
        <v>4</v>
      </c>
      <c r="BT1368" s="61" t="n">
        <v>-2545.06</v>
      </c>
      <c r="BU1368" s="62" t="n">
        <v>1</v>
      </c>
      <c r="BV1368" s="60"/>
      <c r="BW1368" s="65" t="n">
        <v>0</v>
      </c>
      <c r="BX1368" s="65" t="n">
        <v>1368</v>
      </c>
      <c r="BY1368" s="60" t="str">
        <f aca="false">IF(U1368&lt;&gt;"",UPPER(TRIM(U1368)),IF(CB1368=1,UPPER(VLOOKUP(T1368,Parameter!$I$27:$K$29,2,0)),IF(P1368="","LOSE",P1368)))</f>
        <v>S51</v>
      </c>
      <c r="BZ1368" s="62" t="n">
        <f aca="false">IF(BY1368="LOSE",1,IF(N(V1368)&gt;0,V1368,IF(CB1368=1,MAX(1,N(VLOOKUP(T1368,Parameter!$I$27:$K$29,3,0)),H1368,N(N1368)),IF(N(Q1368)&gt;0,Q1368,MAX(1,H1368)))))</f>
        <v>3</v>
      </c>
      <c r="CA1368" s="65" t="n">
        <f aca="false">IF(BY1368="LOSE",1,0)</f>
        <v>0</v>
      </c>
      <c r="CB1368" s="65" t="n">
        <f aca="false">IF(AND(U1368="",OR(P1368="",P1368="LOSE"),T1368&lt;&gt;"",N(S1368)&lt;=0,ISNUMBER(MATCH(T1368,Parameter!$I$27:$I$29,0))),1,0)</f>
        <v>0</v>
      </c>
      <c r="CC1368" s="65" t="n">
        <f aca="false">IF(CR1368&gt;0,INDEX(Parameter!$H$5:$H$7,W1368)/INDEX(Parameter!$E$5:$E$7,W1368),IF(AND(CA1368=0,N(IFERROR(VLOOKUP(BY1368,'Gebinde-Kategorie'!$A$5:$N$45,14,0),0))&gt;0),VLOOKUP(BY1368,'Gebinde-Kategorie'!$A$5:$N$45,14,0)*10+Parameter!$M$23,Parameter!$M$24))</f>
        <v>155</v>
      </c>
      <c r="CD1368" s="60" t="str">
        <f aca="false">IF(AND(Parameter!$B$19="Ja",E1368&lt;&gt;"",ISNUMBER(MATCH(E1368,Parameter!$I$35:$I$52,0))),VLOOKUP(E1368,Parameter!$I$35:$J$52,2,0),IFERROR(VLOOKUP(D1368,Parameter!$A$35:$C$64,2,0),"Nein"))</f>
        <v>2+3</v>
      </c>
      <c r="CE1368" s="64" t="n">
        <f aca="false">IF(CA1368=0,0,IF(N(S1368)&gt;0,S1368,IFERROR(VLOOKUP(D1368,Parameter!$A$35:$C$64,3,0)+0,0)))</f>
        <v>0</v>
      </c>
      <c r="CF1368" s="60" t="n">
        <f aca="false">IF(AB1368&lt;&gt;"",AB1368,AA1368)</f>
        <v>3</v>
      </c>
      <c r="CG1368" s="60" t="str">
        <f aca="false">IF(OR(CF1368=1,CF1368=2,CF1368=3),IF(Parameter!$E$27="Ja","LIFT",IF(CF1368=1,"L1","L23")),IF(CF1368="Aussen","Aussen","-"))</f>
        <v>LIFT</v>
      </c>
      <c r="CH1368" s="71" t="n">
        <f aca="false">IF(N(AC1368)&gt;0,AC1368,0)</f>
        <v>0</v>
      </c>
      <c r="CI1368" s="65" t="n">
        <f aca="false">IF(ISNUMBER(AF1368),1,0)</f>
        <v>0</v>
      </c>
      <c r="CJ1368" s="62" t="n">
        <f aca="false">N(AF1368)</f>
        <v>0</v>
      </c>
      <c r="CK1368" s="62" t="n">
        <f aca="false">N(M1368)+N(N1368)</f>
        <v>1</v>
      </c>
      <c r="CL1368" s="62" t="n">
        <f aca="false">N(M1368)</f>
        <v>0</v>
      </c>
      <c r="CM1368" s="62" t="n">
        <f aca="false">N(N1368)</f>
        <v>1</v>
      </c>
      <c r="CN1368" s="62" t="n">
        <f aca="false">ROUNDUP(H1368/BZ1368,0)</f>
        <v>1</v>
      </c>
      <c r="CO1368" s="62" t="n">
        <f aca="false">ROUNDUP(CJ1368/BZ1368,0)</f>
        <v>0</v>
      </c>
      <c r="CP1368" s="65" t="n">
        <f aca="false">IF(CA1368=1,0,IFERROR(VLOOKUP(BY1368,'Gebinde-Kategorie'!$A$5:$N$45,5,0)+0,0))</f>
        <v>11</v>
      </c>
      <c r="CQ1368" s="65" t="n">
        <f aca="false">IFERROR(IF(OR(CF1368=1,CF1368=2,CF1368=3),N(INDEX(Parameter!$I$5:$I$7,CF1368)),0),0)</f>
        <v>0</v>
      </c>
      <c r="CR1368" s="64" t="n">
        <f aca="false">IF(AND(Parameter!$B$21="Ja",ISNUMBER(W1368),N(X1368)&gt;0),IFERROR(N(INDEX(Parameter!$L$5:$L$7,W1368))*INDEX(Parameter!$E$5:$E$7,W1368)*X1368/SUMIFS($X$7:$X$1843,$W$7:$W$1843,W1368),0),0)</f>
        <v>0</v>
      </c>
      <c r="CS1368" s="62" t="n">
        <f aca="false">IF(AND(OR(CG1368="L1",CG1368="L23",CG1368="LIFT"),H1368&gt;0),CC1368*IF(CR1368&gt;0,CR1368*MAX(1,H1368/X1368),IF(CA1368=1,CE1368,IF(R1368&gt;0,CN1368/R1368,0))/MAX(0.1,N(Parameter!$M$21))),"")</f>
        <v>5.96153846153846</v>
      </c>
      <c r="CT1368" s="64" t="n">
        <f aca="false">IF(CS1368="","",J1368/H1368)</f>
        <v>0.5</v>
      </c>
      <c r="CU1368" s="62" t="n">
        <f aca="false">IF(CS1368="","",H1368*G1368)</f>
        <v>2545.06</v>
      </c>
      <c r="CV1368" s="63" t="n">
        <f aca="false">IF(CS1368="","",(CL1368+ROUNDUP(CL1368+MAX(CM1368,2*(J1368/MAX(0.1,N(Einkauf!$C$6))-CL1368)),0))/2)</f>
        <v>0.5</v>
      </c>
      <c r="CW1368" s="62" t="n">
        <f aca="false">IF(CS1368="","",MAX(0,H1368-CV1368)*G1368)</f>
        <v>1908.795</v>
      </c>
      <c r="CX1368" s="62" t="n">
        <f aca="false">IF(CS1368="","",CS1368*MAX(0,1-CV1368/H1368))</f>
        <v>4.47115384615385</v>
      </c>
      <c r="CY1368" s="64" t="n">
        <f aca="false">IF(CS1368="","",PERCENTRANK($CS$7:$CS$1843,CS1368)+PERCENTRANK($CU$7:$CU$1843,CU1368)+1-PERCENTRANK($CT$7:$CT$1843,CT1368))</f>
        <v>1.612</v>
      </c>
      <c r="CZ1368" s="72" t="n">
        <f aca="false">IF(CS1368="","",CHOOSE(MATCH(Einkauf!$C$5,Parameter!$G$23:$G$27,0),CY1368,CS1368,CU1368,-CT1368,CW1368)+ROW()/1000000000)</f>
        <v>1.612001368</v>
      </c>
    </row>
    <row r="1369" customFormat="false" ht="15" hidden="false" customHeight="false" outlineLevel="0" collapsed="false">
      <c r="A1369" s="60" t="s">
        <v>2453</v>
      </c>
      <c r="B1369" s="60" t="s">
        <v>2400</v>
      </c>
      <c r="C1369" s="60" t="s">
        <v>498</v>
      </c>
      <c r="D1369" s="60" t="s">
        <v>395</v>
      </c>
      <c r="E1369" s="60" t="s">
        <v>2290</v>
      </c>
      <c r="F1369" s="60" t="s">
        <v>260</v>
      </c>
      <c r="G1369" s="61" t="n">
        <v>1275.67</v>
      </c>
      <c r="H1369" s="62" t="n">
        <f aca="false">MAX(0,IF(AND(Parameter!$B$21="Ja",ISNUMBER(Y1369)),Y1369,IF(Parameter!$B$20="Jahresanfang 2025 + Export",BS1369+BR1369,BR1369)))</f>
        <v>0</v>
      </c>
      <c r="I1369" s="62" t="n">
        <f aca="false">H1369*G1369</f>
        <v>0</v>
      </c>
      <c r="J1369" s="62" t="n">
        <f aca="false">BU1369*Parameter!$B$18</f>
        <v>0</v>
      </c>
      <c r="K1369" s="63" t="n">
        <v>1</v>
      </c>
      <c r="L1369" s="64" t="n">
        <v>0</v>
      </c>
      <c r="M1369" s="62" t="n">
        <v>0</v>
      </c>
      <c r="N1369" s="62" t="n">
        <v>1</v>
      </c>
      <c r="O1369" s="65" t="n">
        <v>0</v>
      </c>
      <c r="P1369" s="60" t="s">
        <v>210</v>
      </c>
      <c r="Q1369" s="62"/>
      <c r="R1369" s="65" t="n">
        <f aca="false">IF(CA1369=1,0,IFERROR(VLOOKUP(BY1369,'Gebinde-Kategorie'!$A$5:$N$45,13,0)+0,0))</f>
        <v>0</v>
      </c>
      <c r="S1369" s="66"/>
      <c r="T1369" s="67"/>
      <c r="U1369" s="67"/>
      <c r="V1369" s="67"/>
      <c r="W1369" s="60"/>
      <c r="X1369" s="62"/>
      <c r="Y1369" s="62"/>
      <c r="Z1369" s="60"/>
      <c r="AA1369" s="60" t="str">
        <f aca="false">IF(A1369="","",IF(AND(Parameter!$B$21="Ja",ISNUMBER(W1369)),W1369,IF(AND(Parameter!$E$27="Ja",ISNUMBER(Z1369),CD1369&lt;&gt;"Nein"),Z1369,IF(CD1369="2+3",IF(ISNUMBER(SEARCH("grosser Artikel",BV1369)),2,IFERROR(VLOOKUP(BY1369,Parameter!$F$35:$G$64,2,0),2)),IF(OR(CD1369="Nein",CD1369=""),"-",CD1369)))))</f>
        <v>-</v>
      </c>
      <c r="AB1369" s="67"/>
      <c r="AC1369" s="68"/>
      <c r="AD1369" s="62" t="n">
        <f aca="false">AW1369</f>
        <v>1</v>
      </c>
      <c r="AE1369" s="62" t="n">
        <f aca="false">MAX(AW1369,H1369)</f>
        <v>1</v>
      </c>
      <c r="AF1369" s="69"/>
      <c r="AG1369" s="62" t="n">
        <f aca="false">IF(LEFT(Cockpit!$C$5,1)="A",H1369,IF(Parameter!$E$30="MAX-Bestand",IF(CI1369=1,CJ1369,IF(LEFT(Cockpit!$C$5,1)="B",AM1369,MAX(AM1369,H1369))),ROUNDUP(AK1369,0)))</f>
        <v>0</v>
      </c>
      <c r="AH1369" s="62" t="n">
        <f aca="false">IF(CA1369=1,0,ROUNDUP(AG1369/BZ1369,0))</f>
        <v>0</v>
      </c>
      <c r="AI1369" s="64" t="n">
        <f aca="false">IF(CR1369&gt;0,CR1369*MAX(1,AG1369/X1369),IF(CA1369=1,IF(AG1369&lt;=0,0,CE1369*MAX(1,IF(H1369&gt;0,AG1369/H1369,1))),IF(R1369&gt;0,AH1369/R1369,0))/MAX(0.1,N(Parameter!$M$21)))</f>
        <v>0</v>
      </c>
      <c r="AJ1369" s="62" t="n">
        <f aca="false">AI1369*CC1369</f>
        <v>0</v>
      </c>
      <c r="AK1369" s="63" t="n">
        <f aca="false">IF(LEFT(Cockpit!$C$5,1)="A",H1369,IF(CI1369=1,(CL1369+CJ1369)/2,IF(LEFT(Cockpit!$C$5,1)="B",(CL1369+AM1369)/2,MAX((CL1369+AM1369)/2,H1369))))</f>
        <v>0</v>
      </c>
      <c r="AL1369" s="62" t="n">
        <f aca="false">AK1369*G1369</f>
        <v>0</v>
      </c>
      <c r="AM1369" s="62" t="n">
        <f aca="false">ROUNDUP(CL1369+MAX(CM1369,2*(J1369/IF(CH1369&gt;0,CH1369,MAX(0.1,N(Cockpit!$C$6)))-CL1369)),0)</f>
        <v>1</v>
      </c>
      <c r="AN1369" s="63" t="n">
        <f aca="false">IF(AJ1369&gt;0,J1369/AJ1369,-1)</f>
        <v>-1</v>
      </c>
      <c r="AO1369" s="63" t="str">
        <f aca="false">IF(AND(OR(CG1369="L1",CG1369="L23",CG1369="LIFT"),AJ1369&gt;0),SUMIFS($AJ$7:$AJ$1843,$CG$7:$CG$1843,CG1369,$AN$7:$AN$1843,"&gt;"&amp;AN1369)+SUMIFS($AJ$7:$AJ$1843,$CG$7:$CG$1843,CG1369,$AN$7:$AN$1843,AN1369,$BX$7:$BX$1843,"&lt;="&amp;BX1369),"")</f>
        <v/>
      </c>
      <c r="AP1369" s="70" t="n">
        <f aca="false">IF(AO1369="",0,MAX(0,MIN(1,(IF(CG1369="L1",Parameter!$H$5,IF(CG1369="L23",Parameter!$H$6+Parameter!$H$7,Parameter!$H$5+Parameter!$H$6+Parameter!$H$7))-(AO1369-AJ1369))/AJ1369)))</f>
        <v>0</v>
      </c>
      <c r="AQ1369" s="62" t="n">
        <f aca="false">IF(LEFT(Cockpit!$I$5,1)="A",H1369,IF(Parameter!$E$30="MAX-Bestand",IF(CI1369=1,CJ1369,IF(LEFT(Cockpit!$I$5,1)="B",AW1369,MAX(AW1369,H1369))),ROUNDUP(AU1369,0)))</f>
        <v>1</v>
      </c>
      <c r="AR1369" s="62" t="n">
        <f aca="false">IF(CA1369=1,0,ROUNDUP(AQ1369/BZ1369,0))</f>
        <v>0</v>
      </c>
      <c r="AS1369" s="64" t="n">
        <f aca="false">IF(CR1369&gt;0,CR1369*MAX(1,AQ1369/X1369),IF(CA1369=1,IF(AQ1369&lt;=0,0,CE1369*MAX(1,IF(H1369&gt;0,AQ1369/H1369,1))),IF(R1369&gt;0,AR1369/R1369,0))/MAX(0.1,N(Parameter!$M$21)))</f>
        <v>0.15</v>
      </c>
      <c r="AT1369" s="62" t="n">
        <f aca="false">AS1369*CC1369</f>
        <v>35.25</v>
      </c>
      <c r="AU1369" s="63" t="n">
        <f aca="false">IF(LEFT(Cockpit!$I$5,1)="A",H1369,IF(CI1369=1,(CL1369+CJ1369)/2,IF(LEFT(Cockpit!$I$5,1)="B",(CL1369+AW1369)/2,MAX((CL1369+AW1369)/2,H1369))))</f>
        <v>0.5</v>
      </c>
      <c r="AV1369" s="62" t="n">
        <f aca="false">AU1369*G1369</f>
        <v>637.835</v>
      </c>
      <c r="AW1369" s="62" t="n">
        <f aca="false">ROUNDUP(CL1369+MAX(CM1369,2*(J1369/IF(CH1369&gt;0,CH1369,MAX(0.1,N(Cockpit!$I$6)))-CL1369)),0)</f>
        <v>1</v>
      </c>
      <c r="AX1369" s="63" t="n">
        <f aca="false">IF(AT1369&gt;0,J1369/AT1369,-1)</f>
        <v>0</v>
      </c>
      <c r="AY1369" s="63" t="str">
        <f aca="false">IF(AND(OR(CG1369="L1",CG1369="L23",CG1369="LIFT"),AT1369&gt;0),SUMIFS($AT$7:$AT$1843,$CG$7:$CG$1843,CG1369,$AX$7:$AX$1843,"&gt;"&amp;AX1369)+SUMIFS($AT$7:$AT$1843,$CG$7:$CG$1843,CG1369,$AX$7:$AX$1843,AX1369,$BX$7:$BX$1843,"&lt;="&amp;BX1369),"")</f>
        <v/>
      </c>
      <c r="AZ1369" s="70" t="n">
        <f aca="false">IF(AY1369="",0,MAX(0,MIN(1,(IF(CG1369="L1",Parameter!$H$5,IF(CG1369="L23",Parameter!$H$6+Parameter!$H$7,Parameter!$H$5+Parameter!$H$6+Parameter!$H$7))-(AY1369-AT1369))/AT1369)))</f>
        <v>0</v>
      </c>
      <c r="BA1369" s="62" t="n">
        <f aca="false">IF(LEFT(Cockpit!$O$5,1)="A",H1369,IF(Parameter!$E$30="MAX-Bestand",IF(CI1369=1,CJ1369,IF(LEFT(Cockpit!$O$5,1)="B",BG1369,MAX(BG1369,H1369))),ROUNDUP(BE1369,0)))</f>
        <v>1</v>
      </c>
      <c r="BB1369" s="62" t="n">
        <f aca="false">IF(CA1369=1,0,ROUNDUP(BA1369/BZ1369,0))</f>
        <v>0</v>
      </c>
      <c r="BC1369" s="64" t="n">
        <f aca="false">IF(CR1369&gt;0,CR1369*MAX(1,BA1369/X1369),IF(CA1369=1,IF(BA1369&lt;=0,0,CE1369*MAX(1,IF(H1369&gt;0,BA1369/H1369,1))),IF(R1369&gt;0,BB1369/R1369,0))/MAX(0.1,N(Parameter!$M$21)))</f>
        <v>0.15</v>
      </c>
      <c r="BD1369" s="62" t="n">
        <f aca="false">BC1369*CC1369</f>
        <v>35.25</v>
      </c>
      <c r="BE1369" s="63" t="n">
        <f aca="false">IF(LEFT(Cockpit!$O$5,1)="A",H1369,IF(CI1369=1,(CL1369+CJ1369)/2,IF(LEFT(Cockpit!$O$5,1)="B",(CL1369+BG1369)/2,MAX((CL1369+BG1369)/2,H1369))))</f>
        <v>0.5</v>
      </c>
      <c r="BF1369" s="62" t="n">
        <f aca="false">BE1369*G1369</f>
        <v>637.835</v>
      </c>
      <c r="BG1369" s="62" t="n">
        <f aca="false">ROUNDUP(CL1369+MAX(CM1369,2*(J1369/IF(CH1369&gt;0,CH1369,MAX(0.1,N(Cockpit!$O$6)))-CL1369)),0)</f>
        <v>1</v>
      </c>
      <c r="BH1369" s="63" t="n">
        <f aca="false">IF(BD1369&gt;0,J1369/BD1369,-1)</f>
        <v>0</v>
      </c>
      <c r="BI1369" s="63" t="str">
        <f aca="false">IF(AND(OR(CG1369="L1",CG1369="L23",CG1369="LIFT"),BD1369&gt;0),SUMIFS($BD$7:$BD$1843,$CG$7:$CG$1843,CG1369,$BH$7:$BH$1843,"&gt;"&amp;BH1369)+SUMIFS($BD$7:$BD$1843,$CG$7:$CG$1843,CG1369,$BH$7:$BH$1843,BH1369,$BX$7:$BX$1843,"&lt;="&amp;BX1369),"")</f>
        <v/>
      </c>
      <c r="BJ1369" s="70" t="n">
        <f aca="false">IF(BI1369="",0,MAX(0,MIN(1,(IF(CG1369="L1",Parameter!$H$5,IF(CG1369="L23",Parameter!$H$6+Parameter!$H$7,Parameter!$H$5+Parameter!$H$6+Parameter!$H$7))-(BI1369-BD1369))/BD1369)))</f>
        <v>0</v>
      </c>
      <c r="BK1369" s="60" t="str">
        <f aca="false">IF(AJ1369&lt;=0,"",IF(CG1369="Aussen","Aussenlager",IF(CG1369="-","Nicht im Lift",IF(AP1369&gt;=1,"Lift",IF(AP1369&lt;=0,"Aussenlager","teilweise")))))</f>
        <v/>
      </c>
      <c r="BL1369" s="60" t="str">
        <f aca="false">IF(AT1369&lt;=0,"",IF(CG1369="Aussen","Aussenlager",IF(CG1369="-","Nicht im Lift",IF(AZ1369&gt;=1,"Lift",IF(AZ1369&lt;=0,"Aussenlager","teilweise")))))</f>
        <v>Nicht im Lift</v>
      </c>
      <c r="BM1369" s="60" t="str">
        <f aca="false">IF(BD1369&lt;=0,"",IF(CG1369="Aussen","Aussenlager",IF(CG1369="-","Nicht im Lift",IF(BJ1369&gt;=1,"Lift",IF(BJ1369&lt;=0,"Aussenlager","teilweise")))))</f>
        <v>Nicht im Lift</v>
      </c>
      <c r="BN1369" s="60" t="str">
        <f aca="false">IF(A1369="","",IF(BW1369=1,"Neu; ","")&amp;IF(AND(BW1369=0,BR1369&lt;0),"negativer Bestand (Export "&amp;BR1369&amp;"); ","")&amp;IF(J1369&lt;=0,"Kein Verbrauch; ","")&amp;IF(CR1369&gt;0,"Lift "&amp;W1369&amp;" lt. Liftbericht (Fach "&amp;X1369&amp;" Stk); ",IF(CB1369=1,"Gebinde geschätzt ("&amp;T1369&amp;"); ",IF(CA1369=1,"Lose – Tablare geschätzt; ","")))&amp;IF(H1369&gt;AW1369,"Überbestand "&amp;ROUND(H1369-AW1369,0)&amp;" Stk / CHF "&amp;ROUND((H1369-AW1369)*G1369,0)&amp;"; ","")&amp;IF(AND(CI1369=1,CJ1369&lt;CK1369),"MAX &lt; MB+LG; ","")&amp;IF(AND(CQ1369&gt;0,CP1369*10&gt;CQ1369),"zu hoch für Tablar; ","")&amp;IF(AND(BW1369=0,OR(CI1369=1,AB1369&lt;&gt;"",U1369&lt;&gt;"",V1369&lt;&gt;"",AC1369&lt;&gt;"")),"manuell übersteuert; ","")&amp;IF(AND(CA1369=0,R1369=0),"Gebinde unbekannt / Stellmass fehlt; ","")&amp;IF(AND(CA1369=0,N(V1369)&lt;=0,N(Q1369)&lt;=0),"Menge pro Gebinde fehlt (Ist = 1 Gebinde); ","")&amp;BV1369)</f>
        <v>negativer Bestand (Export -2); Kein Verbrauch; Lose – Tablare geschätzt; </v>
      </c>
      <c r="BO1369" s="60"/>
      <c r="BP1369" s="60"/>
      <c r="BQ1369" s="67"/>
      <c r="BR1369" s="62" t="n">
        <v>-2</v>
      </c>
      <c r="BS1369" s="62" t="n">
        <v>2</v>
      </c>
      <c r="BT1369" s="61" t="n">
        <v>-2551.34</v>
      </c>
      <c r="BU1369" s="62" t="n">
        <v>0</v>
      </c>
      <c r="BV1369" s="60"/>
      <c r="BW1369" s="65" t="n">
        <v>0</v>
      </c>
      <c r="BX1369" s="65" t="n">
        <v>1369</v>
      </c>
      <c r="BY1369" s="60" t="str">
        <f aca="false">IF(U1369&lt;&gt;"",UPPER(TRIM(U1369)),IF(CB1369=1,UPPER(VLOOKUP(T1369,Parameter!$I$27:$K$29,2,0)),IF(P1369="","LOSE",P1369)))</f>
        <v>LOSE</v>
      </c>
      <c r="BZ1369" s="62" t="n">
        <f aca="false">IF(BY1369="LOSE",1,IF(N(V1369)&gt;0,V1369,IF(CB1369=1,MAX(1,N(VLOOKUP(T1369,Parameter!$I$27:$K$29,3,0)),H1369,N(N1369)),IF(N(Q1369)&gt;0,Q1369,MAX(1,H1369)))))</f>
        <v>1</v>
      </c>
      <c r="CA1369" s="65" t="n">
        <f aca="false">IF(BY1369="LOSE",1,0)</f>
        <v>1</v>
      </c>
      <c r="CB1369" s="65" t="n">
        <f aca="false">IF(AND(U1369="",OR(P1369="",P1369="LOSE"),T1369&lt;&gt;"",N(S1369)&lt;=0,ISNUMBER(MATCH(T1369,Parameter!$I$27:$I$29,0))),1,0)</f>
        <v>0</v>
      </c>
      <c r="CC1369" s="65" t="n">
        <f aca="false">IF(CR1369&gt;0,INDEX(Parameter!$H$5:$H$7,W1369)/INDEX(Parameter!$E$5:$E$7,W1369),IF(AND(CA1369=0,N(IFERROR(VLOOKUP(BY1369,'Gebinde-Kategorie'!$A$5:$N$45,14,0),0))&gt;0),VLOOKUP(BY1369,'Gebinde-Kategorie'!$A$5:$N$45,14,0)*10+Parameter!$M$23,Parameter!$M$24))</f>
        <v>235</v>
      </c>
      <c r="CD1369" s="60" t="str">
        <f aca="false">IF(AND(Parameter!$B$19="Ja",E1369&lt;&gt;"",ISNUMBER(MATCH(E1369,Parameter!$I$35:$I$52,0))),VLOOKUP(E1369,Parameter!$I$35:$J$52,2,0),IFERROR(VLOOKUP(D1369,Parameter!$A$35:$C$64,2,0),"Nein"))</f>
        <v>Nein</v>
      </c>
      <c r="CE1369" s="64" t="n">
        <f aca="false">IF(CA1369=0,0,IF(N(S1369)&gt;0,S1369,IFERROR(VLOOKUP(D1369,Parameter!$A$35:$C$64,3,0)+0,0)))</f>
        <v>0.15</v>
      </c>
      <c r="CF1369" s="60" t="str">
        <f aca="false">IF(AB1369&lt;&gt;"",AB1369,AA1369)</f>
        <v>-</v>
      </c>
      <c r="CG1369" s="60" t="str">
        <f aca="false">IF(OR(CF1369=1,CF1369=2,CF1369=3),IF(Parameter!$E$27="Ja","LIFT",IF(CF1369=1,"L1","L23")),IF(CF1369="Aussen","Aussen","-"))</f>
        <v>-</v>
      </c>
      <c r="CH1369" s="71" t="n">
        <f aca="false">IF(N(AC1369)&gt;0,AC1369,0)</f>
        <v>0</v>
      </c>
      <c r="CI1369" s="65" t="n">
        <f aca="false">IF(ISNUMBER(AF1369),1,0)</f>
        <v>0</v>
      </c>
      <c r="CJ1369" s="62" t="n">
        <f aca="false">N(AF1369)</f>
        <v>0</v>
      </c>
      <c r="CK1369" s="62" t="n">
        <f aca="false">N(M1369)+N(N1369)</f>
        <v>1</v>
      </c>
      <c r="CL1369" s="62" t="n">
        <f aca="false">N(M1369)</f>
        <v>0</v>
      </c>
      <c r="CM1369" s="62" t="n">
        <f aca="false">N(N1369)</f>
        <v>1</v>
      </c>
      <c r="CN1369" s="62" t="n">
        <f aca="false">ROUNDUP(H1369/BZ1369,0)</f>
        <v>0</v>
      </c>
      <c r="CO1369" s="62" t="n">
        <f aca="false">ROUNDUP(CJ1369/BZ1369,0)</f>
        <v>0</v>
      </c>
      <c r="CP1369" s="65" t="n">
        <f aca="false">IF(CA1369=1,0,IFERROR(VLOOKUP(BY1369,'Gebinde-Kategorie'!$A$5:$N$45,5,0)+0,0))</f>
        <v>0</v>
      </c>
      <c r="CQ1369" s="65" t="n">
        <f aca="false">IFERROR(IF(OR(CF1369=1,CF1369=2,CF1369=3),N(INDEX(Parameter!$I$5:$I$7,CF1369)),0),0)</f>
        <v>0</v>
      </c>
      <c r="CR1369" s="64" t="n">
        <f aca="false">IF(AND(Parameter!$B$21="Ja",ISNUMBER(W1369),N(X1369)&gt;0),IFERROR(N(INDEX(Parameter!$L$5:$L$7,W1369))*INDEX(Parameter!$E$5:$E$7,W1369)*X1369/SUMIFS($X$7:$X$1843,$W$7:$W$1843,W1369),0),0)</f>
        <v>0</v>
      </c>
      <c r="CS1369" s="62" t="str">
        <f aca="false">IF(AND(OR(CG1369="L1",CG1369="L23",CG1369="LIFT"),H1369&gt;0),CC1369*IF(CR1369&gt;0,CR1369*MAX(1,H1369/X1369),IF(CA1369=1,CE1369,IF(R1369&gt;0,CN1369/R1369,0))/MAX(0.1,N(Parameter!$M$21))),"")</f>
        <v/>
      </c>
      <c r="CT1369" s="64" t="str">
        <f aca="false">IF(CS1369="","",J1369/H1369)</f>
        <v/>
      </c>
      <c r="CU1369" s="62" t="str">
        <f aca="false">IF(CS1369="","",H1369*G1369)</f>
        <v/>
      </c>
      <c r="CV1369" s="63" t="str">
        <f aca="false">IF(CS1369="","",(CL1369+ROUNDUP(CL1369+MAX(CM1369,2*(J1369/MAX(0.1,N(Einkauf!$C$6))-CL1369)),0))/2)</f>
        <v/>
      </c>
      <c r="CW1369" s="62" t="str">
        <f aca="false">IF(CS1369="","",MAX(0,H1369-CV1369)*G1369)</f>
        <v/>
      </c>
      <c r="CX1369" s="62" t="str">
        <f aca="false">IF(CS1369="","",CS1369*MAX(0,1-CV1369/H1369))</f>
        <v/>
      </c>
      <c r="CY1369" s="64" t="str">
        <f aca="false">IF(CS1369="","",PERCENTRANK($CS$7:$CS$1843,CS1369)+PERCENTRANK($CU$7:$CU$1843,CU1369)+1-PERCENTRANK($CT$7:$CT$1843,CT1369))</f>
        <v/>
      </c>
      <c r="CZ1369" s="72" t="str">
        <f aca="false">IF(CS1369="","",CHOOSE(MATCH(Einkauf!$C$5,Parameter!$G$23:$G$27,0),CY1369,CS1369,CU1369,-CT1369,CW1369)+ROW()/1000000000)</f>
        <v/>
      </c>
    </row>
    <row r="1370" customFormat="false" ht="15" hidden="false" customHeight="false" outlineLevel="0" collapsed="false">
      <c r="A1370" s="60" t="s">
        <v>2454</v>
      </c>
      <c r="B1370" s="60" t="s">
        <v>2455</v>
      </c>
      <c r="C1370" s="60" t="s">
        <v>498</v>
      </c>
      <c r="D1370" s="60" t="s">
        <v>215</v>
      </c>
      <c r="E1370" s="60" t="s">
        <v>1521</v>
      </c>
      <c r="F1370" s="60" t="s">
        <v>260</v>
      </c>
      <c r="G1370" s="61" t="n">
        <v>99.31</v>
      </c>
      <c r="H1370" s="62" t="n">
        <f aca="false">MAX(0,IF(AND(Parameter!$B$21="Ja",ISNUMBER(Y1370)),Y1370,IF(Parameter!$B$20="Jahresanfang 2025 + Export",BS1370+BR1370,BR1370)))</f>
        <v>0</v>
      </c>
      <c r="I1370" s="62" t="n">
        <f aca="false">H1370*G1370</f>
        <v>0</v>
      </c>
      <c r="J1370" s="62" t="n">
        <f aca="false">BU1370*Parameter!$B$18</f>
        <v>0</v>
      </c>
      <c r="K1370" s="63" t="n">
        <v>21</v>
      </c>
      <c r="L1370" s="64" t="n">
        <v>0</v>
      </c>
      <c r="M1370" s="62" t="n">
        <v>0</v>
      </c>
      <c r="N1370" s="62" t="n">
        <v>1</v>
      </c>
      <c r="O1370" s="65" t="n">
        <v>56</v>
      </c>
      <c r="P1370" s="60" t="s">
        <v>210</v>
      </c>
      <c r="Q1370" s="62"/>
      <c r="R1370" s="65" t="n">
        <f aca="false">IF(CA1370=1,0,IFERROR(VLOOKUP(BY1370,'Gebinde-Kategorie'!$A$5:$N$45,13,0)+0,0))</f>
        <v>4</v>
      </c>
      <c r="S1370" s="66"/>
      <c r="T1370" s="67" t="s">
        <v>231</v>
      </c>
      <c r="U1370" s="67"/>
      <c r="V1370" s="67"/>
      <c r="W1370" s="60"/>
      <c r="X1370" s="62"/>
      <c r="Y1370" s="62"/>
      <c r="Z1370" s="60"/>
      <c r="AA1370" s="60" t="str">
        <f aca="false">IF(A1370="","",IF(AND(Parameter!$B$21="Ja",ISNUMBER(W1370)),W1370,IF(AND(Parameter!$E$27="Ja",ISNUMBER(Z1370),CD1370&lt;&gt;"Nein"),Z1370,IF(CD1370="2+3",IF(ISNUMBER(SEARCH("grosser Artikel",BV1370)),2,IFERROR(VLOOKUP(BY1370,Parameter!$F$35:$G$64,2,0),2)),IF(OR(CD1370="Nein",CD1370=""),"-",CD1370)))))</f>
        <v>-</v>
      </c>
      <c r="AB1370" s="67"/>
      <c r="AC1370" s="68"/>
      <c r="AD1370" s="62" t="n">
        <f aca="false">AW1370</f>
        <v>1</v>
      </c>
      <c r="AE1370" s="62" t="n">
        <f aca="false">MAX(AW1370,H1370)</f>
        <v>1</v>
      </c>
      <c r="AF1370" s="69"/>
      <c r="AG1370" s="62" t="n">
        <f aca="false">IF(LEFT(Cockpit!$C$5,1)="A",H1370,IF(Parameter!$E$30="MAX-Bestand",IF(CI1370=1,CJ1370,IF(LEFT(Cockpit!$C$5,1)="B",AM1370,MAX(AM1370,H1370))),ROUNDUP(AK1370,0)))</f>
        <v>0</v>
      </c>
      <c r="AH1370" s="62" t="n">
        <f aca="false">IF(CA1370=1,0,ROUNDUP(AG1370/BZ1370,0))</f>
        <v>0</v>
      </c>
      <c r="AI1370" s="64" t="n">
        <f aca="false">IF(CR1370&gt;0,CR1370*MAX(1,AG1370/X1370),IF(CA1370=1,IF(AG1370&lt;=0,0,CE1370*MAX(1,IF(H1370&gt;0,AG1370/H1370,1))),IF(R1370&gt;0,AH1370/R1370,0))/MAX(0.1,N(Parameter!$M$21)))</f>
        <v>0</v>
      </c>
      <c r="AJ1370" s="62" t="n">
        <f aca="false">AI1370*CC1370</f>
        <v>0</v>
      </c>
      <c r="AK1370" s="63" t="n">
        <f aca="false">IF(LEFT(Cockpit!$C$5,1)="A",H1370,IF(CI1370=1,(CL1370+CJ1370)/2,IF(LEFT(Cockpit!$C$5,1)="B",(CL1370+AM1370)/2,MAX((CL1370+AM1370)/2,H1370))))</f>
        <v>0</v>
      </c>
      <c r="AL1370" s="62" t="n">
        <f aca="false">AK1370*G1370</f>
        <v>0</v>
      </c>
      <c r="AM1370" s="62" t="n">
        <f aca="false">ROUNDUP(CL1370+MAX(CM1370,2*(J1370/IF(CH1370&gt;0,CH1370,MAX(0.1,N(Cockpit!$C$6)))-CL1370)),0)</f>
        <v>1</v>
      </c>
      <c r="AN1370" s="63" t="n">
        <f aca="false">IF(AJ1370&gt;0,J1370/AJ1370,-1)</f>
        <v>-1</v>
      </c>
      <c r="AO1370" s="63" t="str">
        <f aca="false">IF(AND(OR(CG1370="L1",CG1370="L23",CG1370="LIFT"),AJ1370&gt;0),SUMIFS($AJ$7:$AJ$1843,$CG$7:$CG$1843,CG1370,$AN$7:$AN$1843,"&gt;"&amp;AN1370)+SUMIFS($AJ$7:$AJ$1843,$CG$7:$CG$1843,CG1370,$AN$7:$AN$1843,AN1370,$BX$7:$BX$1843,"&lt;="&amp;BX1370),"")</f>
        <v/>
      </c>
      <c r="AP1370" s="70" t="n">
        <f aca="false">IF(AO1370="",0,MAX(0,MIN(1,(IF(CG1370="L1",Parameter!$H$5,IF(CG1370="L23",Parameter!$H$6+Parameter!$H$7,Parameter!$H$5+Parameter!$H$6+Parameter!$H$7))-(AO1370-AJ1370))/AJ1370)))</f>
        <v>0</v>
      </c>
      <c r="AQ1370" s="62" t="n">
        <f aca="false">IF(LEFT(Cockpit!$I$5,1)="A",H1370,IF(Parameter!$E$30="MAX-Bestand",IF(CI1370=1,CJ1370,IF(LEFT(Cockpit!$I$5,1)="B",AW1370,MAX(AW1370,H1370))),ROUNDUP(AU1370,0)))</f>
        <v>1</v>
      </c>
      <c r="AR1370" s="62" t="n">
        <f aca="false">IF(CA1370=1,0,ROUNDUP(AQ1370/BZ1370,0))</f>
        <v>1</v>
      </c>
      <c r="AS1370" s="64" t="n">
        <f aca="false">IF(CR1370&gt;0,CR1370*MAX(1,AQ1370/X1370),IF(CA1370=1,IF(AQ1370&lt;=0,0,CE1370*MAX(1,IF(H1370&gt;0,AQ1370/H1370,1))),IF(R1370&gt;0,AR1370/R1370,0))/MAX(0.1,N(Parameter!$M$21)))</f>
        <v>0.25</v>
      </c>
      <c r="AT1370" s="62" t="n">
        <f aca="false">AS1370*CC1370</f>
        <v>58.75</v>
      </c>
      <c r="AU1370" s="63" t="n">
        <f aca="false">IF(LEFT(Cockpit!$I$5,1)="A",H1370,IF(CI1370=1,(CL1370+CJ1370)/2,IF(LEFT(Cockpit!$I$5,1)="B",(CL1370+AW1370)/2,MAX((CL1370+AW1370)/2,H1370))))</f>
        <v>0.5</v>
      </c>
      <c r="AV1370" s="62" t="n">
        <f aca="false">AU1370*G1370</f>
        <v>49.655</v>
      </c>
      <c r="AW1370" s="62" t="n">
        <f aca="false">ROUNDUP(CL1370+MAX(CM1370,2*(J1370/IF(CH1370&gt;0,CH1370,MAX(0.1,N(Cockpit!$I$6)))-CL1370)),0)</f>
        <v>1</v>
      </c>
      <c r="AX1370" s="63" t="n">
        <f aca="false">IF(AT1370&gt;0,J1370/AT1370,-1)</f>
        <v>0</v>
      </c>
      <c r="AY1370" s="63" t="str">
        <f aca="false">IF(AND(OR(CG1370="L1",CG1370="L23",CG1370="LIFT"),AT1370&gt;0),SUMIFS($AT$7:$AT$1843,$CG$7:$CG$1843,CG1370,$AX$7:$AX$1843,"&gt;"&amp;AX1370)+SUMIFS($AT$7:$AT$1843,$CG$7:$CG$1843,CG1370,$AX$7:$AX$1843,AX1370,$BX$7:$BX$1843,"&lt;="&amp;BX1370),"")</f>
        <v/>
      </c>
      <c r="AZ1370" s="70" t="n">
        <f aca="false">IF(AY1370="",0,MAX(0,MIN(1,(IF(CG1370="L1",Parameter!$H$5,IF(CG1370="L23",Parameter!$H$6+Parameter!$H$7,Parameter!$H$5+Parameter!$H$6+Parameter!$H$7))-(AY1370-AT1370))/AT1370)))</f>
        <v>0</v>
      </c>
      <c r="BA1370" s="62" t="n">
        <f aca="false">IF(LEFT(Cockpit!$O$5,1)="A",H1370,IF(Parameter!$E$30="MAX-Bestand",IF(CI1370=1,CJ1370,IF(LEFT(Cockpit!$O$5,1)="B",BG1370,MAX(BG1370,H1370))),ROUNDUP(BE1370,0)))</f>
        <v>1</v>
      </c>
      <c r="BB1370" s="62" t="n">
        <f aca="false">IF(CA1370=1,0,ROUNDUP(BA1370/BZ1370,0))</f>
        <v>1</v>
      </c>
      <c r="BC1370" s="64" t="n">
        <f aca="false">IF(CR1370&gt;0,CR1370*MAX(1,BA1370/X1370),IF(CA1370=1,IF(BA1370&lt;=0,0,CE1370*MAX(1,IF(H1370&gt;0,BA1370/H1370,1))),IF(R1370&gt;0,BB1370/R1370,0))/MAX(0.1,N(Parameter!$M$21)))</f>
        <v>0.25</v>
      </c>
      <c r="BD1370" s="62" t="n">
        <f aca="false">BC1370*CC1370</f>
        <v>58.75</v>
      </c>
      <c r="BE1370" s="63" t="n">
        <f aca="false">IF(LEFT(Cockpit!$O$5,1)="A",H1370,IF(CI1370=1,(CL1370+CJ1370)/2,IF(LEFT(Cockpit!$O$5,1)="B",(CL1370+BG1370)/2,MAX((CL1370+BG1370)/2,H1370))))</f>
        <v>0.5</v>
      </c>
      <c r="BF1370" s="62" t="n">
        <f aca="false">BE1370*G1370</f>
        <v>49.655</v>
      </c>
      <c r="BG1370" s="62" t="n">
        <f aca="false">ROUNDUP(CL1370+MAX(CM1370,2*(J1370/IF(CH1370&gt;0,CH1370,MAX(0.1,N(Cockpit!$O$6)))-CL1370)),0)</f>
        <v>1</v>
      </c>
      <c r="BH1370" s="63" t="n">
        <f aca="false">IF(BD1370&gt;0,J1370/BD1370,-1)</f>
        <v>0</v>
      </c>
      <c r="BI1370" s="63" t="str">
        <f aca="false">IF(AND(OR(CG1370="L1",CG1370="L23",CG1370="LIFT"),BD1370&gt;0),SUMIFS($BD$7:$BD$1843,$CG$7:$CG$1843,CG1370,$BH$7:$BH$1843,"&gt;"&amp;BH1370)+SUMIFS($BD$7:$BD$1843,$CG$7:$CG$1843,CG1370,$BH$7:$BH$1843,BH1370,$BX$7:$BX$1843,"&lt;="&amp;BX1370),"")</f>
        <v/>
      </c>
      <c r="BJ1370" s="70" t="n">
        <f aca="false">IF(BI1370="",0,MAX(0,MIN(1,(IF(CG1370="L1",Parameter!$H$5,IF(CG1370="L23",Parameter!$H$6+Parameter!$H$7,Parameter!$H$5+Parameter!$H$6+Parameter!$H$7))-(BI1370-BD1370))/BD1370)))</f>
        <v>0</v>
      </c>
      <c r="BK1370" s="60" t="str">
        <f aca="false">IF(AJ1370&lt;=0,"",IF(CG1370="Aussen","Aussenlager",IF(CG1370="-","Nicht im Lift",IF(AP1370&gt;=1,"Lift",IF(AP1370&lt;=0,"Aussenlager","teilweise")))))</f>
        <v/>
      </c>
      <c r="BL1370" s="60" t="str">
        <f aca="false">IF(AT1370&lt;=0,"",IF(CG1370="Aussen","Aussenlager",IF(CG1370="-","Nicht im Lift",IF(AZ1370&gt;=1,"Lift",IF(AZ1370&lt;=0,"Aussenlager","teilweise")))))</f>
        <v>Nicht im Lift</v>
      </c>
      <c r="BM1370" s="60" t="str">
        <f aca="false">IF(BD1370&lt;=0,"",IF(CG1370="Aussen","Aussenlager",IF(CG1370="-","Nicht im Lift",IF(BJ1370&gt;=1,"Lift",IF(BJ1370&lt;=0,"Aussenlager","teilweise")))))</f>
        <v>Nicht im Lift</v>
      </c>
      <c r="BN1370" s="60" t="str">
        <f aca="false">IF(A1370="","",IF(BW1370=1,"Neu; ","")&amp;IF(AND(BW1370=0,BR1370&lt;0),"negativer Bestand (Export "&amp;BR1370&amp;"); ","")&amp;IF(J1370&lt;=0,"Kein Verbrauch; ","")&amp;IF(CR1370&gt;0,"Lift "&amp;W1370&amp;" lt. Liftbericht (Fach "&amp;X1370&amp;" Stk); ",IF(CB1370=1,"Gebinde geschätzt ("&amp;T1370&amp;"); ",IF(CA1370=1,"Lose – Tablare geschätzt; ","")))&amp;IF(H1370&gt;AW1370,"Überbestand "&amp;ROUND(H1370-AW1370,0)&amp;" Stk / CHF "&amp;ROUND((H1370-AW1370)*G1370,0)&amp;"; ","")&amp;IF(AND(CI1370=1,CJ1370&lt;CK1370),"MAX &lt; MB+LG; ","")&amp;IF(AND(CQ1370&gt;0,CP1370*10&gt;CQ1370),"zu hoch für Tablar; ","")&amp;IF(AND(BW1370=0,OR(CI1370=1,AB1370&lt;&gt;"",U1370&lt;&gt;"",V1370&lt;&gt;"",AC1370&lt;&gt;"")),"manuell übersteuert; ","")&amp;IF(AND(CA1370=0,R1370=0),"Gebinde unbekannt / Stellmass fehlt; ","")&amp;IF(AND(CA1370=0,N(V1370)&lt;=0,N(Q1370)&lt;=0),"Menge pro Gebinde fehlt (Ist = 1 Gebinde); ","")&amp;BV1370)</f>
        <v>negativer Bestand (Export -26); Kein Verbrauch; Gebinde geschätzt (Gross); Menge pro Gebinde fehlt (Ist = 1 Gebinde); </v>
      </c>
      <c r="BO1370" s="60"/>
      <c r="BP1370" s="60"/>
      <c r="BQ1370" s="67"/>
      <c r="BR1370" s="62" t="n">
        <v>-26</v>
      </c>
      <c r="BS1370" s="62" t="n">
        <v>26</v>
      </c>
      <c r="BT1370" s="61" t="n">
        <v>-2582.06</v>
      </c>
      <c r="BU1370" s="62" t="n">
        <v>0</v>
      </c>
      <c r="BV1370" s="60"/>
      <c r="BW1370" s="65" t="n">
        <v>0</v>
      </c>
      <c r="BX1370" s="65" t="n">
        <v>1370</v>
      </c>
      <c r="BY1370" s="60" t="str">
        <f aca="false">IF(U1370&lt;&gt;"",UPPER(TRIM(U1370)),IF(CB1370=1,UPPER(VLOOKUP(T1370,Parameter!$I$27:$K$29,2,0)),IF(P1370="","LOSE",P1370)))</f>
        <v>S81</v>
      </c>
      <c r="BZ1370" s="62" t="n">
        <f aca="false">IF(BY1370="LOSE",1,IF(N(V1370)&gt;0,V1370,IF(CB1370=1,MAX(1,N(VLOOKUP(T1370,Parameter!$I$27:$K$29,3,0)),H1370,N(N1370)),IF(N(Q1370)&gt;0,Q1370,MAX(1,H1370)))))</f>
        <v>2</v>
      </c>
      <c r="CA1370" s="65" t="n">
        <f aca="false">IF(BY1370="LOSE",1,0)</f>
        <v>0</v>
      </c>
      <c r="CB1370" s="65" t="n">
        <f aca="false">IF(AND(U1370="",OR(P1370="",P1370="LOSE"),T1370&lt;&gt;"",N(S1370)&lt;=0,ISNUMBER(MATCH(T1370,Parameter!$I$27:$I$29,0))),1,0)</f>
        <v>1</v>
      </c>
      <c r="CC1370" s="65" t="n">
        <f aca="false">IF(CR1370&gt;0,INDEX(Parameter!$H$5:$H$7,W1370)/INDEX(Parameter!$E$5:$E$7,W1370),IF(AND(CA1370=0,N(IFERROR(VLOOKUP(BY1370,'Gebinde-Kategorie'!$A$5:$N$45,14,0),0))&gt;0),VLOOKUP(BY1370,'Gebinde-Kategorie'!$A$5:$N$45,14,0)*10+Parameter!$M$23,Parameter!$M$24))</f>
        <v>235</v>
      </c>
      <c r="CD1370" s="60" t="str">
        <f aca="false">IF(AND(Parameter!$B$19="Ja",E1370&lt;&gt;"",ISNUMBER(MATCH(E1370,Parameter!$I$35:$I$52,0))),VLOOKUP(E1370,Parameter!$I$35:$J$52,2,0),IFERROR(VLOOKUP(D1370,Parameter!$A$35:$C$64,2,0),"Nein"))</f>
        <v>Nein</v>
      </c>
      <c r="CE1370" s="64" t="n">
        <f aca="false">IF(CA1370=0,0,IF(N(S1370)&gt;0,S1370,IFERROR(VLOOKUP(D1370,Parameter!$A$35:$C$64,3,0)+0,0)))</f>
        <v>0</v>
      </c>
      <c r="CF1370" s="60" t="str">
        <f aca="false">IF(AB1370&lt;&gt;"",AB1370,AA1370)</f>
        <v>-</v>
      </c>
      <c r="CG1370" s="60" t="str">
        <f aca="false">IF(OR(CF1370=1,CF1370=2,CF1370=3),IF(Parameter!$E$27="Ja","LIFT",IF(CF1370=1,"L1","L23")),IF(CF1370="Aussen","Aussen","-"))</f>
        <v>-</v>
      </c>
      <c r="CH1370" s="71" t="n">
        <f aca="false">IF(N(AC1370)&gt;0,AC1370,0)</f>
        <v>0</v>
      </c>
      <c r="CI1370" s="65" t="n">
        <f aca="false">IF(ISNUMBER(AF1370),1,0)</f>
        <v>0</v>
      </c>
      <c r="CJ1370" s="62" t="n">
        <f aca="false">N(AF1370)</f>
        <v>0</v>
      </c>
      <c r="CK1370" s="62" t="n">
        <f aca="false">N(M1370)+N(N1370)</f>
        <v>1</v>
      </c>
      <c r="CL1370" s="62" t="n">
        <f aca="false">N(M1370)</f>
        <v>0</v>
      </c>
      <c r="CM1370" s="62" t="n">
        <f aca="false">N(N1370)</f>
        <v>1</v>
      </c>
      <c r="CN1370" s="62" t="n">
        <f aca="false">ROUNDUP(H1370/BZ1370,0)</f>
        <v>0</v>
      </c>
      <c r="CO1370" s="62" t="n">
        <f aca="false">ROUNDUP(CJ1370/BZ1370,0)</f>
        <v>0</v>
      </c>
      <c r="CP1370" s="65" t="n">
        <f aca="false">IF(CA1370=1,0,IFERROR(VLOOKUP(BY1370,'Gebinde-Kategorie'!$A$5:$N$45,5,0)+0,0))</f>
        <v>20</v>
      </c>
      <c r="CQ1370" s="65" t="n">
        <f aca="false">IFERROR(IF(OR(CF1370=1,CF1370=2,CF1370=3),N(INDEX(Parameter!$I$5:$I$7,CF1370)),0),0)</f>
        <v>0</v>
      </c>
      <c r="CR1370" s="64" t="n">
        <f aca="false">IF(AND(Parameter!$B$21="Ja",ISNUMBER(W1370),N(X1370)&gt;0),IFERROR(N(INDEX(Parameter!$L$5:$L$7,W1370))*INDEX(Parameter!$E$5:$E$7,W1370)*X1370/SUMIFS($X$7:$X$1843,$W$7:$W$1843,W1370),0),0)</f>
        <v>0</v>
      </c>
      <c r="CS1370" s="62" t="str">
        <f aca="false">IF(AND(OR(CG1370="L1",CG1370="L23",CG1370="LIFT"),H1370&gt;0),CC1370*IF(CR1370&gt;0,CR1370*MAX(1,H1370/X1370),IF(CA1370=1,CE1370,IF(R1370&gt;0,CN1370/R1370,0))/MAX(0.1,N(Parameter!$M$21))),"")</f>
        <v/>
      </c>
      <c r="CT1370" s="64" t="str">
        <f aca="false">IF(CS1370="","",J1370/H1370)</f>
        <v/>
      </c>
      <c r="CU1370" s="62" t="str">
        <f aca="false">IF(CS1370="","",H1370*G1370)</f>
        <v/>
      </c>
      <c r="CV1370" s="63" t="str">
        <f aca="false">IF(CS1370="","",(CL1370+ROUNDUP(CL1370+MAX(CM1370,2*(J1370/MAX(0.1,N(Einkauf!$C$6))-CL1370)),0))/2)</f>
        <v/>
      </c>
      <c r="CW1370" s="62" t="str">
        <f aca="false">IF(CS1370="","",MAX(0,H1370-CV1370)*G1370)</f>
        <v/>
      </c>
      <c r="CX1370" s="62" t="str">
        <f aca="false">IF(CS1370="","",CS1370*MAX(0,1-CV1370/H1370))</f>
        <v/>
      </c>
      <c r="CY1370" s="64" t="str">
        <f aca="false">IF(CS1370="","",PERCENTRANK($CS$7:$CS$1843,CS1370)+PERCENTRANK($CU$7:$CU$1843,CU1370)+1-PERCENTRANK($CT$7:$CT$1843,CT1370))</f>
        <v/>
      </c>
      <c r="CZ1370" s="72" t="str">
        <f aca="false">IF(CS1370="","",CHOOSE(MATCH(Einkauf!$C$5,Parameter!$G$23:$G$27,0),CY1370,CS1370,CU1370,-CT1370,CW1370)+ROW()/1000000000)</f>
        <v/>
      </c>
    </row>
    <row r="1371" customFormat="false" ht="15" hidden="false" customHeight="false" outlineLevel="0" collapsed="false">
      <c r="A1371" s="60" t="s">
        <v>2456</v>
      </c>
      <c r="B1371" s="60" t="s">
        <v>2457</v>
      </c>
      <c r="C1371" s="60" t="s">
        <v>206</v>
      </c>
      <c r="D1371" s="60" t="s">
        <v>226</v>
      </c>
      <c r="E1371" s="60" t="s">
        <v>227</v>
      </c>
      <c r="F1371" s="60" t="s">
        <v>260</v>
      </c>
      <c r="G1371" s="61" t="n">
        <v>525.8</v>
      </c>
      <c r="H1371" s="62" t="n">
        <f aca="false">MAX(0,IF(AND(Parameter!$B$21="Ja",ISNUMBER(Y1371)),Y1371,IF(Parameter!$B$20="Jahresanfang 2025 + Export",BS1371+BR1371,BR1371)))</f>
        <v>2</v>
      </c>
      <c r="I1371" s="62" t="n">
        <f aca="false">H1371*G1371</f>
        <v>1051.6</v>
      </c>
      <c r="J1371" s="62" t="n">
        <f aca="false">BU1371*Parameter!$B$18</f>
        <v>22</v>
      </c>
      <c r="K1371" s="63" t="n">
        <v>8</v>
      </c>
      <c r="L1371" s="64" t="n">
        <v>2.75</v>
      </c>
      <c r="M1371" s="62" t="n">
        <v>1</v>
      </c>
      <c r="N1371" s="62" t="n">
        <v>10</v>
      </c>
      <c r="O1371" s="65" t="n">
        <v>21</v>
      </c>
      <c r="P1371" s="60" t="s">
        <v>268</v>
      </c>
      <c r="Q1371" s="62" t="n">
        <v>8</v>
      </c>
      <c r="R1371" s="65" t="n">
        <f aca="false">IF(CA1371=1,0,IFERROR(VLOOKUP(BY1371,'Gebinde-Kategorie'!$A$5:$N$45,13,0)+0,0))</f>
        <v>12</v>
      </c>
      <c r="S1371" s="66"/>
      <c r="T1371" s="67"/>
      <c r="U1371" s="67"/>
      <c r="V1371" s="67"/>
      <c r="W1371" s="60"/>
      <c r="X1371" s="62"/>
      <c r="Y1371" s="62"/>
      <c r="Z1371" s="60" t="n">
        <v>3</v>
      </c>
      <c r="AA1371" s="60" t="n">
        <f aca="false">IF(A1371="","",IF(AND(Parameter!$B$21="Ja",ISNUMBER(W1371)),W1371,IF(AND(Parameter!$E$27="Ja",ISNUMBER(Z1371),CD1371&lt;&gt;"Nein"),Z1371,IF(CD1371="2+3",IF(ISNUMBER(SEARCH("grosser Artikel",BV1371)),2,IFERROR(VLOOKUP(BY1371,Parameter!$F$35:$G$64,2,0),2)),IF(OR(CD1371="Nein",CD1371=""),"-",CD1371)))))</f>
        <v>3</v>
      </c>
      <c r="AB1371" s="67"/>
      <c r="AC1371" s="68"/>
      <c r="AD1371" s="62" t="n">
        <f aca="false">AW1371</f>
        <v>14</v>
      </c>
      <c r="AE1371" s="62" t="n">
        <f aca="false">MAX(AW1371,H1371)</f>
        <v>14</v>
      </c>
      <c r="AF1371" s="69"/>
      <c r="AG1371" s="62" t="n">
        <f aca="false">IF(LEFT(Cockpit!$C$5,1)="A",H1371,IF(Parameter!$E$30="MAX-Bestand",IF(CI1371=1,CJ1371,IF(LEFT(Cockpit!$C$5,1)="B",AM1371,MAX(AM1371,H1371))),ROUNDUP(AK1371,0)))</f>
        <v>2</v>
      </c>
      <c r="AH1371" s="62" t="n">
        <f aca="false">IF(CA1371=1,0,ROUNDUP(AG1371/BZ1371,0))</f>
        <v>1</v>
      </c>
      <c r="AI1371" s="64" t="n">
        <f aca="false">IF(CR1371&gt;0,CR1371*MAX(1,AG1371/X1371),IF(CA1371=1,IF(AG1371&lt;=0,0,CE1371*MAX(1,IF(H1371&gt;0,AG1371/H1371,1))),IF(R1371&gt;0,AH1371/R1371,0))/MAX(0.1,N(Parameter!$M$21)))</f>
        <v>0.0833333333333333</v>
      </c>
      <c r="AJ1371" s="62" t="n">
        <f aca="false">AI1371*CC1371</f>
        <v>28.75</v>
      </c>
      <c r="AK1371" s="63" t="n">
        <f aca="false">IF(LEFT(Cockpit!$C$5,1)="A",H1371,IF(CI1371=1,(CL1371+CJ1371)/2,IF(LEFT(Cockpit!$C$5,1)="B",(CL1371+AM1371)/2,MAX((CL1371+AM1371)/2,H1371))))</f>
        <v>2</v>
      </c>
      <c r="AL1371" s="62" t="n">
        <f aca="false">AK1371*G1371</f>
        <v>1051.6</v>
      </c>
      <c r="AM1371" s="62" t="n">
        <f aca="false">ROUNDUP(CL1371+MAX(CM1371,2*(J1371/IF(CH1371&gt;0,CH1371,MAX(0.1,N(Cockpit!$C$6)))-CL1371)),0)</f>
        <v>14</v>
      </c>
      <c r="AN1371" s="63" t="n">
        <f aca="false">IF(AJ1371&gt;0,J1371/AJ1371,-1)</f>
        <v>0.765217391304348</v>
      </c>
      <c r="AO1371" s="63" t="n">
        <f aca="false">IF(AND(OR(CG1371="L1",CG1371="L23",CG1371="LIFT"),AJ1371&gt;0),SUMIFS($AJ$7:$AJ$1843,$CG$7:$CG$1843,CG1371,$AN$7:$AN$1843,"&gt;"&amp;AN1371)+SUMIFS($AJ$7:$AJ$1843,$CG$7:$CG$1843,CG1371,$AN$7:$AN$1843,AN1371,$BX$7:$BX$1843,"&lt;="&amp;BX1371),"")</f>
        <v>8358.06730769231</v>
      </c>
      <c r="AP1371" s="70" t="n">
        <f aca="false">IF(AO1371="",0,MAX(0,MIN(1,(IF(CG1371="L1",Parameter!$H$5,IF(CG1371="L23",Parameter!$H$6+Parameter!$H$7,Parameter!$H$5+Parameter!$H$6+Parameter!$H$7))-(AO1371-AJ1371))/AJ1371)))</f>
        <v>1</v>
      </c>
      <c r="AQ1371" s="62" t="n">
        <f aca="false">IF(LEFT(Cockpit!$I$5,1)="A",H1371,IF(Parameter!$E$30="MAX-Bestand",IF(CI1371=1,CJ1371,IF(LEFT(Cockpit!$I$5,1)="B",AW1371,MAX(AW1371,H1371))),ROUNDUP(AU1371,0)))</f>
        <v>8</v>
      </c>
      <c r="AR1371" s="62" t="n">
        <f aca="false">IF(CA1371=1,0,ROUNDUP(AQ1371/BZ1371,0))</f>
        <v>1</v>
      </c>
      <c r="AS1371" s="64" t="n">
        <f aca="false">IF(CR1371&gt;0,CR1371*MAX(1,AQ1371/X1371),IF(CA1371=1,IF(AQ1371&lt;=0,0,CE1371*MAX(1,IF(H1371&gt;0,AQ1371/H1371,1))),IF(R1371&gt;0,AR1371/R1371,0))/MAX(0.1,N(Parameter!$M$21)))</f>
        <v>0.0833333333333333</v>
      </c>
      <c r="AT1371" s="62" t="n">
        <f aca="false">AS1371*CC1371</f>
        <v>28.75</v>
      </c>
      <c r="AU1371" s="63" t="n">
        <f aca="false">IF(LEFT(Cockpit!$I$5,1)="A",H1371,IF(CI1371=1,(CL1371+CJ1371)/2,IF(LEFT(Cockpit!$I$5,1)="B",(CL1371+AW1371)/2,MAX((CL1371+AW1371)/2,H1371))))</f>
        <v>7.5</v>
      </c>
      <c r="AV1371" s="62" t="n">
        <f aca="false">AU1371*G1371</f>
        <v>3943.5</v>
      </c>
      <c r="AW1371" s="62" t="n">
        <f aca="false">ROUNDUP(CL1371+MAX(CM1371,2*(J1371/IF(CH1371&gt;0,CH1371,MAX(0.1,N(Cockpit!$I$6)))-CL1371)),0)</f>
        <v>14</v>
      </c>
      <c r="AX1371" s="63" t="n">
        <f aca="false">IF(AT1371&gt;0,J1371/AT1371,-1)</f>
        <v>0.765217391304348</v>
      </c>
      <c r="AY1371" s="63" t="n">
        <f aca="false">IF(AND(OR(CG1371="L1",CG1371="L23",CG1371="LIFT"),AT1371&gt;0),SUMIFS($AT$7:$AT$1843,$CG$7:$CG$1843,CG1371,$AX$7:$AX$1843,"&gt;"&amp;AX1371)+SUMIFS($AT$7:$AT$1843,$CG$7:$CG$1843,CG1371,$AX$7:$AX$1843,AX1371,$BX$7:$BX$1843,"&lt;="&amp;BX1371),"")</f>
        <v>10617.6355311355</v>
      </c>
      <c r="AZ1371" s="70" t="n">
        <f aca="false">IF(AY1371="",0,MAX(0,MIN(1,(IF(CG1371="L1",Parameter!$H$5,IF(CG1371="L23",Parameter!$H$6+Parameter!$H$7,Parameter!$H$5+Parameter!$H$6+Parameter!$H$7))-(AY1371-AT1371))/AT1371)))</f>
        <v>1</v>
      </c>
      <c r="BA1371" s="62" t="n">
        <f aca="false">IF(LEFT(Cockpit!$O$5,1)="A",H1371,IF(Parameter!$E$30="MAX-Bestand",IF(CI1371=1,CJ1371,IF(LEFT(Cockpit!$O$5,1)="B",BG1371,MAX(BG1371,H1371))),ROUNDUP(BE1371,0)))</f>
        <v>6</v>
      </c>
      <c r="BB1371" s="62" t="n">
        <f aca="false">IF(CA1371=1,0,ROUNDUP(BA1371/BZ1371,0))</f>
        <v>1</v>
      </c>
      <c r="BC1371" s="64" t="n">
        <f aca="false">IF(CR1371&gt;0,CR1371*MAX(1,BA1371/X1371),IF(CA1371=1,IF(BA1371&lt;=0,0,CE1371*MAX(1,IF(H1371&gt;0,BA1371/H1371,1))),IF(R1371&gt;0,BB1371/R1371,0))/MAX(0.1,N(Parameter!$M$21)))</f>
        <v>0.0833333333333333</v>
      </c>
      <c r="BD1371" s="62" t="n">
        <f aca="false">BC1371*CC1371</f>
        <v>28.75</v>
      </c>
      <c r="BE1371" s="63" t="n">
        <f aca="false">IF(LEFT(Cockpit!$O$5,1)="A",H1371,IF(CI1371=1,(CL1371+CJ1371)/2,IF(LEFT(Cockpit!$O$5,1)="B",(CL1371+BG1371)/2,MAX((CL1371+BG1371)/2,H1371))))</f>
        <v>6</v>
      </c>
      <c r="BF1371" s="62" t="n">
        <f aca="false">BE1371*G1371</f>
        <v>3154.8</v>
      </c>
      <c r="BG1371" s="62" t="n">
        <f aca="false">ROUNDUP(CL1371+MAX(CM1371,2*(J1371/IF(CH1371&gt;0,CH1371,MAX(0.1,N(Cockpit!$O$6)))-CL1371)),0)</f>
        <v>11</v>
      </c>
      <c r="BH1371" s="63" t="n">
        <f aca="false">IF(BD1371&gt;0,J1371/BD1371,-1)</f>
        <v>0.765217391304348</v>
      </c>
      <c r="BI1371" s="63" t="n">
        <f aca="false">IF(AND(OR(CG1371="L1",CG1371="L23",CG1371="LIFT"),BD1371&gt;0),SUMIFS($BD$7:$BD$1843,$CG$7:$CG$1843,CG1371,$BH$7:$BH$1843,"&gt;"&amp;BH1371)+SUMIFS($BD$7:$BD$1843,$CG$7:$CG$1843,CG1371,$BH$7:$BH$1843,BH1371,$BX$7:$BX$1843,"&lt;="&amp;BX1371),"")</f>
        <v>9068.93635531135</v>
      </c>
      <c r="BJ1371" s="70" t="n">
        <f aca="false">IF(BI1371="",0,MAX(0,MIN(1,(IF(CG1371="L1",Parameter!$H$5,IF(CG1371="L23",Parameter!$H$6+Parameter!$H$7,Parameter!$H$5+Parameter!$H$6+Parameter!$H$7))-(BI1371-BD1371))/BD1371)))</f>
        <v>1</v>
      </c>
      <c r="BK1371" s="60" t="str">
        <f aca="false">IF(AJ1371&lt;=0,"",IF(CG1371="Aussen","Aussenlager",IF(CG1371="-","Nicht im Lift",IF(AP1371&gt;=1,"Lift",IF(AP1371&lt;=0,"Aussenlager","teilweise")))))</f>
        <v>Lift</v>
      </c>
      <c r="BL1371" s="60" t="str">
        <f aca="false">IF(AT1371&lt;=0,"",IF(CG1371="Aussen","Aussenlager",IF(CG1371="-","Nicht im Lift",IF(AZ1371&gt;=1,"Lift",IF(AZ1371&lt;=0,"Aussenlager","teilweise")))))</f>
        <v>Lift</v>
      </c>
      <c r="BM1371" s="60" t="str">
        <f aca="false">IF(BD1371&lt;=0,"",IF(CG1371="Aussen","Aussenlager",IF(CG1371="-","Nicht im Lift",IF(BJ1371&gt;=1,"Lift",IF(BJ1371&lt;=0,"Aussenlager","teilweise")))))</f>
        <v>Lift</v>
      </c>
      <c r="BN1371" s="60" t="str">
        <f aca="false">IF(A1371="","",IF(BW1371=1,"Neu; ","")&amp;IF(AND(BW1371=0,BR1371&lt;0),"negativer Bestand (Export "&amp;BR1371&amp;"); ","")&amp;IF(J1371&lt;=0,"Kein Verbrauch; ","")&amp;IF(CR1371&gt;0,"Lift "&amp;W1371&amp;" lt. Liftbericht (Fach "&amp;X1371&amp;" Stk); ",IF(CB1371=1,"Gebinde geschätzt ("&amp;T1371&amp;"); ",IF(CA1371=1,"Lose – Tablare geschätzt; ","")))&amp;IF(H1371&gt;AW1371,"Überbestand "&amp;ROUND(H1371-AW1371,0)&amp;" Stk / CHF "&amp;ROUND((H1371-AW1371)*G1371,0)&amp;"; ","")&amp;IF(AND(CI1371=1,CJ1371&lt;CK1371),"MAX &lt; MB+LG; ","")&amp;IF(AND(CQ1371&gt;0,CP1371*10&gt;CQ1371),"zu hoch für Tablar; ","")&amp;IF(AND(BW1371=0,OR(CI1371=1,AB1371&lt;&gt;"",U1371&lt;&gt;"",V1371&lt;&gt;"",AC1371&lt;&gt;"")),"manuell übersteuert; ","")&amp;IF(AND(CA1371=0,R1371=0),"Gebinde unbekannt / Stellmass fehlt; ","")&amp;IF(AND(CA1371=0,N(V1371)&lt;=0,N(Q1371)&lt;=0),"Menge pro Gebinde fehlt (Ist = 1 Gebinde); ","")&amp;BV1371)</f>
        <v>negativer Bestand (Export -6); </v>
      </c>
      <c r="BO1371" s="60"/>
      <c r="BP1371" s="60"/>
      <c r="BQ1371" s="67"/>
      <c r="BR1371" s="62" t="n">
        <v>-6</v>
      </c>
      <c r="BS1371" s="62" t="n">
        <v>8</v>
      </c>
      <c r="BT1371" s="61" t="n">
        <v>-2622.8</v>
      </c>
      <c r="BU1371" s="62" t="n">
        <v>22</v>
      </c>
      <c r="BV1371" s="60"/>
      <c r="BW1371" s="65" t="n">
        <v>0</v>
      </c>
      <c r="BX1371" s="65" t="n">
        <v>1371</v>
      </c>
      <c r="BY1371" s="60" t="str">
        <f aca="false">IF(U1371&lt;&gt;"",UPPER(TRIM(U1371)),IF(CB1371=1,UPPER(VLOOKUP(T1371,Parameter!$I$27:$K$29,2,0)),IF(P1371="","LOSE",P1371)))</f>
        <v>S63</v>
      </c>
      <c r="BZ1371" s="62" t="n">
        <f aca="false">IF(BY1371="LOSE",1,IF(N(V1371)&gt;0,V1371,IF(CB1371=1,MAX(1,N(VLOOKUP(T1371,Parameter!$I$27:$K$29,3,0)),H1371,N(N1371)),IF(N(Q1371)&gt;0,Q1371,MAX(1,H1371)))))</f>
        <v>8</v>
      </c>
      <c r="CA1371" s="65" t="n">
        <f aca="false">IF(BY1371="LOSE",1,0)</f>
        <v>0</v>
      </c>
      <c r="CB1371" s="65" t="n">
        <f aca="false">IF(AND(U1371="",OR(P1371="",P1371="LOSE"),T1371&lt;&gt;"",N(S1371)&lt;=0,ISNUMBER(MATCH(T1371,Parameter!$I$27:$I$29,0))),1,0)</f>
        <v>0</v>
      </c>
      <c r="CC1371" s="65" t="n">
        <f aca="false">IF(CR1371&gt;0,INDEX(Parameter!$H$5:$H$7,W1371)/INDEX(Parameter!$E$5:$E$7,W1371),IF(AND(CA1371=0,N(IFERROR(VLOOKUP(BY1371,'Gebinde-Kategorie'!$A$5:$N$45,14,0),0))&gt;0),VLOOKUP(BY1371,'Gebinde-Kategorie'!$A$5:$N$45,14,0)*10+Parameter!$M$23,Parameter!$M$24))</f>
        <v>345</v>
      </c>
      <c r="CD1371" s="60" t="str">
        <f aca="false">IF(AND(Parameter!$B$19="Ja",E1371&lt;&gt;"",ISNUMBER(MATCH(E1371,Parameter!$I$35:$I$52,0))),VLOOKUP(E1371,Parameter!$I$35:$J$52,2,0),IFERROR(VLOOKUP(D1371,Parameter!$A$35:$C$64,2,0),"Nein"))</f>
        <v>2+3</v>
      </c>
      <c r="CE1371" s="64" t="n">
        <f aca="false">IF(CA1371=0,0,IF(N(S1371)&gt;0,S1371,IFERROR(VLOOKUP(D1371,Parameter!$A$35:$C$64,3,0)+0,0)))</f>
        <v>0</v>
      </c>
      <c r="CF1371" s="60" t="n">
        <f aca="false">IF(AB1371&lt;&gt;"",AB1371,AA1371)</f>
        <v>3</v>
      </c>
      <c r="CG1371" s="60" t="str">
        <f aca="false">IF(OR(CF1371=1,CF1371=2,CF1371=3),IF(Parameter!$E$27="Ja","LIFT",IF(CF1371=1,"L1","L23")),IF(CF1371="Aussen","Aussen","-"))</f>
        <v>LIFT</v>
      </c>
      <c r="CH1371" s="71" t="n">
        <f aca="false">IF(N(AC1371)&gt;0,AC1371,0)</f>
        <v>0</v>
      </c>
      <c r="CI1371" s="65" t="n">
        <f aca="false">IF(ISNUMBER(AF1371),1,0)</f>
        <v>0</v>
      </c>
      <c r="CJ1371" s="62" t="n">
        <f aca="false">N(AF1371)</f>
        <v>0</v>
      </c>
      <c r="CK1371" s="62" t="n">
        <f aca="false">N(M1371)+N(N1371)</f>
        <v>11</v>
      </c>
      <c r="CL1371" s="62" t="n">
        <f aca="false">N(M1371)</f>
        <v>1</v>
      </c>
      <c r="CM1371" s="62" t="n">
        <f aca="false">N(N1371)</f>
        <v>10</v>
      </c>
      <c r="CN1371" s="62" t="n">
        <f aca="false">ROUNDUP(H1371/BZ1371,0)</f>
        <v>1</v>
      </c>
      <c r="CO1371" s="62" t="n">
        <f aca="false">ROUNDUP(CJ1371/BZ1371,0)</f>
        <v>0</v>
      </c>
      <c r="CP1371" s="65" t="n">
        <f aca="false">IF(CA1371=1,0,IFERROR(VLOOKUP(BY1371,'Gebinde-Kategorie'!$A$5:$N$45,5,0)+0,0))</f>
        <v>31</v>
      </c>
      <c r="CQ1371" s="65" t="n">
        <f aca="false">IFERROR(IF(OR(CF1371=1,CF1371=2,CF1371=3),N(INDEX(Parameter!$I$5:$I$7,CF1371)),0),0)</f>
        <v>0</v>
      </c>
      <c r="CR1371" s="64" t="n">
        <f aca="false">IF(AND(Parameter!$B$21="Ja",ISNUMBER(W1371),N(X1371)&gt;0),IFERROR(N(INDEX(Parameter!$L$5:$L$7,W1371))*INDEX(Parameter!$E$5:$E$7,W1371)*X1371/SUMIFS($X$7:$X$1843,$W$7:$W$1843,W1371),0),0)</f>
        <v>0</v>
      </c>
      <c r="CS1371" s="62" t="n">
        <f aca="false">IF(AND(OR(CG1371="L1",CG1371="L23",CG1371="LIFT"),H1371&gt;0),CC1371*IF(CR1371&gt;0,CR1371*MAX(1,H1371/X1371),IF(CA1371=1,CE1371,IF(R1371&gt;0,CN1371/R1371,0))/MAX(0.1,N(Parameter!$M$21))),"")</f>
        <v>28.75</v>
      </c>
      <c r="CT1371" s="64" t="n">
        <f aca="false">IF(CS1371="","",J1371/H1371)</f>
        <v>11</v>
      </c>
      <c r="CU1371" s="62" t="n">
        <f aca="false">IF(CS1371="","",H1371*G1371)</f>
        <v>1051.6</v>
      </c>
      <c r="CV1371" s="63" t="n">
        <f aca="false">IF(CS1371="","",(CL1371+ROUNDUP(CL1371+MAX(CM1371,2*(J1371/MAX(0.1,N(Einkauf!$C$6))-CL1371)),0))/2)</f>
        <v>6</v>
      </c>
      <c r="CW1371" s="62" t="n">
        <f aca="false">IF(CS1371="","",MAX(0,H1371-CV1371)*G1371)</f>
        <v>0</v>
      </c>
      <c r="CX1371" s="62" t="n">
        <f aca="false">IF(CS1371="","",CS1371*MAX(0,1-CV1371/H1371))</f>
        <v>0</v>
      </c>
      <c r="CY1371" s="64" t="n">
        <f aca="false">IF(CS1371="","",PERCENTRANK($CS$7:$CS$1843,CS1371)+PERCENTRANK($CU$7:$CU$1843,CU1371)+1-PERCENTRANK($CT$7:$CT$1843,CT1371))</f>
        <v>1.489</v>
      </c>
      <c r="CZ1371" s="72" t="n">
        <f aca="false">IF(CS1371="","",CHOOSE(MATCH(Einkauf!$C$5,Parameter!$G$23:$G$27,0),CY1371,CS1371,CU1371,-CT1371,CW1371)+ROW()/1000000000)</f>
        <v>1.489001371</v>
      </c>
    </row>
    <row r="1372" customFormat="false" ht="15" hidden="false" customHeight="false" outlineLevel="0" collapsed="false">
      <c r="A1372" s="60" t="s">
        <v>2458</v>
      </c>
      <c r="B1372" s="60" t="s">
        <v>2459</v>
      </c>
      <c r="C1372" s="60" t="s">
        <v>206</v>
      </c>
      <c r="D1372" s="60" t="s">
        <v>215</v>
      </c>
      <c r="E1372" s="60" t="s">
        <v>2460</v>
      </c>
      <c r="F1372" s="60" t="s">
        <v>260</v>
      </c>
      <c r="G1372" s="61" t="n">
        <v>3599.65</v>
      </c>
      <c r="H1372" s="62" t="n">
        <f aca="false">MAX(0,IF(AND(Parameter!$B$21="Ja",ISNUMBER(Y1372)),Y1372,IF(Parameter!$B$20="Jahresanfang 2025 + Export",BS1372+BR1372,BR1372)))</f>
        <v>6</v>
      </c>
      <c r="I1372" s="62" t="n">
        <f aca="false">H1372*G1372</f>
        <v>21597.9</v>
      </c>
      <c r="J1372" s="62" t="n">
        <f aca="false">BU1372*Parameter!$B$18</f>
        <v>13</v>
      </c>
      <c r="K1372" s="63" t="n">
        <v>8</v>
      </c>
      <c r="L1372" s="64" t="n">
        <v>1.625</v>
      </c>
      <c r="M1372" s="62" t="n">
        <v>0</v>
      </c>
      <c r="N1372" s="62" t="n">
        <v>1</v>
      </c>
      <c r="O1372" s="65" t="n">
        <v>60</v>
      </c>
      <c r="P1372" s="60" t="s">
        <v>210</v>
      </c>
      <c r="Q1372" s="62"/>
      <c r="R1372" s="65" t="n">
        <f aca="false">IF(CA1372=1,0,IFERROR(VLOOKUP(BY1372,'Gebinde-Kategorie'!$A$5:$N$45,13,0)+0,0))</f>
        <v>12</v>
      </c>
      <c r="S1372" s="66"/>
      <c r="T1372" s="67" t="s">
        <v>221</v>
      </c>
      <c r="U1372" s="67"/>
      <c r="V1372" s="67"/>
      <c r="W1372" s="60"/>
      <c r="X1372" s="62"/>
      <c r="Y1372" s="62"/>
      <c r="Z1372" s="60"/>
      <c r="AA1372" s="60" t="str">
        <f aca="false">IF(A1372="","",IF(AND(Parameter!$B$21="Ja",ISNUMBER(W1372)),W1372,IF(AND(Parameter!$E$27="Ja",ISNUMBER(Z1372),CD1372&lt;&gt;"Nein"),Z1372,IF(CD1372="2+3",IF(ISNUMBER(SEARCH("grosser Artikel",BV1372)),2,IFERROR(VLOOKUP(BY1372,Parameter!$F$35:$G$64,2,0),2)),IF(OR(CD1372="Nein",CD1372=""),"-",CD1372)))))</f>
        <v>-</v>
      </c>
      <c r="AB1372" s="67"/>
      <c r="AC1372" s="68"/>
      <c r="AD1372" s="62" t="n">
        <f aca="false">AW1372</f>
        <v>9</v>
      </c>
      <c r="AE1372" s="62" t="n">
        <f aca="false">MAX(AW1372,H1372)</f>
        <v>9</v>
      </c>
      <c r="AF1372" s="69"/>
      <c r="AG1372" s="62" t="n">
        <f aca="false">IF(LEFT(Cockpit!$C$5,1)="A",H1372,IF(Parameter!$E$30="MAX-Bestand",IF(CI1372=1,CJ1372,IF(LEFT(Cockpit!$C$5,1)="B",AM1372,MAX(AM1372,H1372))),ROUNDUP(AK1372,0)))</f>
        <v>6</v>
      </c>
      <c r="AH1372" s="62" t="n">
        <f aca="false">IF(CA1372=1,0,ROUNDUP(AG1372/BZ1372,0))</f>
        <v>1</v>
      </c>
      <c r="AI1372" s="64" t="n">
        <f aca="false">IF(CR1372&gt;0,CR1372*MAX(1,AG1372/X1372),IF(CA1372=1,IF(AG1372&lt;=0,0,CE1372*MAX(1,IF(H1372&gt;0,AG1372/H1372,1))),IF(R1372&gt;0,AH1372/R1372,0))/MAX(0.1,N(Parameter!$M$21)))</f>
        <v>0.0833333333333333</v>
      </c>
      <c r="AJ1372" s="62" t="n">
        <f aca="false">AI1372*CC1372</f>
        <v>12.0833333333333</v>
      </c>
      <c r="AK1372" s="63" t="n">
        <f aca="false">IF(LEFT(Cockpit!$C$5,1)="A",H1372,IF(CI1372=1,(CL1372+CJ1372)/2,IF(LEFT(Cockpit!$C$5,1)="B",(CL1372+AM1372)/2,MAX((CL1372+AM1372)/2,H1372))))</f>
        <v>6</v>
      </c>
      <c r="AL1372" s="62" t="n">
        <f aca="false">AK1372*G1372</f>
        <v>21597.9</v>
      </c>
      <c r="AM1372" s="62" t="n">
        <f aca="false">ROUNDUP(CL1372+MAX(CM1372,2*(J1372/IF(CH1372&gt;0,CH1372,MAX(0.1,N(Cockpit!$C$6)))-CL1372)),0)</f>
        <v>9</v>
      </c>
      <c r="AN1372" s="63" t="n">
        <f aca="false">IF(AJ1372&gt;0,J1372/AJ1372,-1)</f>
        <v>1.07586206896552</v>
      </c>
      <c r="AO1372" s="63" t="str">
        <f aca="false">IF(AND(OR(CG1372="L1",CG1372="L23",CG1372="LIFT"),AJ1372&gt;0),SUMIFS($AJ$7:$AJ$1843,$CG$7:$CG$1843,CG1372,$AN$7:$AN$1843,"&gt;"&amp;AN1372)+SUMIFS($AJ$7:$AJ$1843,$CG$7:$CG$1843,CG1372,$AN$7:$AN$1843,AN1372,$BX$7:$BX$1843,"&lt;="&amp;BX1372),"")</f>
        <v/>
      </c>
      <c r="AP1372" s="70" t="n">
        <f aca="false">IF(AO1372="",0,MAX(0,MIN(1,(IF(CG1372="L1",Parameter!$H$5,IF(CG1372="L23",Parameter!$H$6+Parameter!$H$7,Parameter!$H$5+Parameter!$H$6+Parameter!$H$7))-(AO1372-AJ1372))/AJ1372)))</f>
        <v>0</v>
      </c>
      <c r="AQ1372" s="62" t="n">
        <f aca="false">IF(LEFT(Cockpit!$I$5,1)="A",H1372,IF(Parameter!$E$30="MAX-Bestand",IF(CI1372=1,CJ1372,IF(LEFT(Cockpit!$I$5,1)="B",AW1372,MAX(AW1372,H1372))),ROUNDUP(AU1372,0)))</f>
        <v>6</v>
      </c>
      <c r="AR1372" s="62" t="n">
        <f aca="false">IF(CA1372=1,0,ROUNDUP(AQ1372/BZ1372,0))</f>
        <v>1</v>
      </c>
      <c r="AS1372" s="64" t="n">
        <f aca="false">IF(CR1372&gt;0,CR1372*MAX(1,AQ1372/X1372),IF(CA1372=1,IF(AQ1372&lt;=0,0,CE1372*MAX(1,IF(H1372&gt;0,AQ1372/H1372,1))),IF(R1372&gt;0,AR1372/R1372,0))/MAX(0.1,N(Parameter!$M$21)))</f>
        <v>0.0833333333333333</v>
      </c>
      <c r="AT1372" s="62" t="n">
        <f aca="false">AS1372*CC1372</f>
        <v>12.0833333333333</v>
      </c>
      <c r="AU1372" s="63" t="n">
        <f aca="false">IF(LEFT(Cockpit!$I$5,1)="A",H1372,IF(CI1372=1,(CL1372+CJ1372)/2,IF(LEFT(Cockpit!$I$5,1)="B",(CL1372+AW1372)/2,MAX((CL1372+AW1372)/2,H1372))))</f>
        <v>6</v>
      </c>
      <c r="AV1372" s="62" t="n">
        <f aca="false">AU1372*G1372</f>
        <v>21597.9</v>
      </c>
      <c r="AW1372" s="62" t="n">
        <f aca="false">ROUNDUP(CL1372+MAX(CM1372,2*(J1372/IF(CH1372&gt;0,CH1372,MAX(0.1,N(Cockpit!$I$6)))-CL1372)),0)</f>
        <v>9</v>
      </c>
      <c r="AX1372" s="63" t="n">
        <f aca="false">IF(AT1372&gt;0,J1372/AT1372,-1)</f>
        <v>1.07586206896552</v>
      </c>
      <c r="AY1372" s="63" t="str">
        <f aca="false">IF(AND(OR(CG1372="L1",CG1372="L23",CG1372="LIFT"),AT1372&gt;0),SUMIFS($AT$7:$AT$1843,$CG$7:$CG$1843,CG1372,$AX$7:$AX$1843,"&gt;"&amp;AX1372)+SUMIFS($AT$7:$AT$1843,$CG$7:$CG$1843,CG1372,$AX$7:$AX$1843,AX1372,$BX$7:$BX$1843,"&lt;="&amp;BX1372),"")</f>
        <v/>
      </c>
      <c r="AZ1372" s="70" t="n">
        <f aca="false">IF(AY1372="",0,MAX(0,MIN(1,(IF(CG1372="L1",Parameter!$H$5,IF(CG1372="L23",Parameter!$H$6+Parameter!$H$7,Parameter!$H$5+Parameter!$H$6+Parameter!$H$7))-(AY1372-AT1372))/AT1372)))</f>
        <v>0</v>
      </c>
      <c r="BA1372" s="62" t="n">
        <f aca="false">IF(LEFT(Cockpit!$O$5,1)="A",H1372,IF(Parameter!$E$30="MAX-Bestand",IF(CI1372=1,CJ1372,IF(LEFT(Cockpit!$O$5,1)="B",BG1372,MAX(BG1372,H1372))),ROUNDUP(BE1372,0)))</f>
        <v>4</v>
      </c>
      <c r="BB1372" s="62" t="n">
        <f aca="false">IF(CA1372=1,0,ROUNDUP(BA1372/BZ1372,0))</f>
        <v>1</v>
      </c>
      <c r="BC1372" s="64" t="n">
        <f aca="false">IF(CR1372&gt;0,CR1372*MAX(1,BA1372/X1372),IF(CA1372=1,IF(BA1372&lt;=0,0,CE1372*MAX(1,IF(H1372&gt;0,BA1372/H1372,1))),IF(R1372&gt;0,BB1372/R1372,0))/MAX(0.1,N(Parameter!$M$21)))</f>
        <v>0.0833333333333333</v>
      </c>
      <c r="BD1372" s="62" t="n">
        <f aca="false">BC1372*CC1372</f>
        <v>12.0833333333333</v>
      </c>
      <c r="BE1372" s="63" t="n">
        <f aca="false">IF(LEFT(Cockpit!$O$5,1)="A",H1372,IF(CI1372=1,(CL1372+CJ1372)/2,IF(LEFT(Cockpit!$O$5,1)="B",(CL1372+BG1372)/2,MAX((CL1372+BG1372)/2,H1372))))</f>
        <v>3.5</v>
      </c>
      <c r="BF1372" s="62" t="n">
        <f aca="false">BE1372*G1372</f>
        <v>12598.775</v>
      </c>
      <c r="BG1372" s="62" t="n">
        <f aca="false">ROUNDUP(CL1372+MAX(CM1372,2*(J1372/IF(CH1372&gt;0,CH1372,MAX(0.1,N(Cockpit!$O$6)))-CL1372)),0)</f>
        <v>7</v>
      </c>
      <c r="BH1372" s="63" t="n">
        <f aca="false">IF(BD1372&gt;0,J1372/BD1372,-1)</f>
        <v>1.07586206896552</v>
      </c>
      <c r="BI1372" s="63" t="str">
        <f aca="false">IF(AND(OR(CG1372="L1",CG1372="L23",CG1372="LIFT"),BD1372&gt;0),SUMIFS($BD$7:$BD$1843,$CG$7:$CG$1843,CG1372,$BH$7:$BH$1843,"&gt;"&amp;BH1372)+SUMIFS($BD$7:$BD$1843,$CG$7:$CG$1843,CG1372,$BH$7:$BH$1843,BH1372,$BX$7:$BX$1843,"&lt;="&amp;BX1372),"")</f>
        <v/>
      </c>
      <c r="BJ1372" s="70" t="n">
        <f aca="false">IF(BI1372="",0,MAX(0,MIN(1,(IF(CG1372="L1",Parameter!$H$5,IF(CG1372="L23",Parameter!$H$6+Parameter!$H$7,Parameter!$H$5+Parameter!$H$6+Parameter!$H$7))-(BI1372-BD1372))/BD1372)))</f>
        <v>0</v>
      </c>
      <c r="BK1372" s="60" t="str">
        <f aca="false">IF(AJ1372&lt;=0,"",IF(CG1372="Aussen","Aussenlager",IF(CG1372="-","Nicht im Lift",IF(AP1372&gt;=1,"Lift",IF(AP1372&lt;=0,"Aussenlager","teilweise")))))</f>
        <v>Nicht im Lift</v>
      </c>
      <c r="BL1372" s="60" t="str">
        <f aca="false">IF(AT1372&lt;=0,"",IF(CG1372="Aussen","Aussenlager",IF(CG1372="-","Nicht im Lift",IF(AZ1372&gt;=1,"Lift",IF(AZ1372&lt;=0,"Aussenlager","teilweise")))))</f>
        <v>Nicht im Lift</v>
      </c>
      <c r="BM1372" s="60" t="str">
        <f aca="false">IF(BD1372&lt;=0,"",IF(CG1372="Aussen","Aussenlager",IF(CG1372="-","Nicht im Lift",IF(BJ1372&gt;=1,"Lift",IF(BJ1372&lt;=0,"Aussenlager","teilweise")))))</f>
        <v>Nicht im Lift</v>
      </c>
      <c r="BN1372" s="60" t="str">
        <f aca="false">IF(A1372="","",IF(BW1372=1,"Neu; ","")&amp;IF(AND(BW1372=0,BR1372&lt;0),"negativer Bestand (Export "&amp;BR1372&amp;"); ","")&amp;IF(J1372&lt;=0,"Kein Verbrauch; ","")&amp;IF(CR1372&gt;0,"Lift "&amp;W1372&amp;" lt. Liftbericht (Fach "&amp;X1372&amp;" Stk); ",IF(CB1372=1,"Gebinde geschätzt ("&amp;T1372&amp;"); ",IF(CA1372=1,"Lose – Tablare geschätzt; ","")))&amp;IF(H1372&gt;AW1372,"Überbestand "&amp;ROUND(H1372-AW1372,0)&amp;" Stk / CHF "&amp;ROUND((H1372-AW1372)*G1372,0)&amp;"; ","")&amp;IF(AND(CI1372=1,CJ1372&lt;CK1372),"MAX &lt; MB+LG; ","")&amp;IF(AND(CQ1372&gt;0,CP1372*10&gt;CQ1372),"zu hoch für Tablar; ","")&amp;IF(AND(BW1372=0,OR(CI1372=1,AB1372&lt;&gt;"",U1372&lt;&gt;"",V1372&lt;&gt;"",AC1372&lt;&gt;"")),"manuell übersteuert; ","")&amp;IF(AND(CA1372=0,R1372=0),"Gebinde unbekannt / Stellmass fehlt; ","")&amp;IF(AND(CA1372=0,N(V1372)&lt;=0,N(Q1372)&lt;=0),"Menge pro Gebinde fehlt (Ist = 1 Gebinde); ","")&amp;BV1372)</f>
        <v>negativer Bestand (Export -2); Gebinde geschätzt (Mittel); Menge pro Gebinde fehlt (Ist = 1 Gebinde); </v>
      </c>
      <c r="BO1372" s="60"/>
      <c r="BP1372" s="60"/>
      <c r="BQ1372" s="67"/>
      <c r="BR1372" s="62" t="n">
        <v>-2</v>
      </c>
      <c r="BS1372" s="62" t="n">
        <v>8</v>
      </c>
      <c r="BT1372" s="61" t="n">
        <v>-2698.84000000002</v>
      </c>
      <c r="BU1372" s="62" t="n">
        <v>13</v>
      </c>
      <c r="BV1372" s="60"/>
      <c r="BW1372" s="65" t="n">
        <v>0</v>
      </c>
      <c r="BX1372" s="65" t="n">
        <v>1372</v>
      </c>
      <c r="BY1372" s="60" t="str">
        <f aca="false">IF(U1372&lt;&gt;"",UPPER(TRIM(U1372)),IF(CB1372=1,UPPER(VLOOKUP(T1372,Parameter!$I$27:$K$29,2,0)),IF(P1372="","LOSE",P1372)))</f>
        <v>S61</v>
      </c>
      <c r="BZ1372" s="62" t="n">
        <f aca="false">IF(BY1372="LOSE",1,IF(N(V1372)&gt;0,V1372,IF(CB1372=1,MAX(1,N(VLOOKUP(T1372,Parameter!$I$27:$K$29,3,0)),H1372,N(N1372)),IF(N(Q1372)&gt;0,Q1372,MAX(1,H1372)))))</f>
        <v>6</v>
      </c>
      <c r="CA1372" s="65" t="n">
        <f aca="false">IF(BY1372="LOSE",1,0)</f>
        <v>0</v>
      </c>
      <c r="CB1372" s="65" t="n">
        <f aca="false">IF(AND(U1372="",OR(P1372="",P1372="LOSE"),T1372&lt;&gt;"",N(S1372)&lt;=0,ISNUMBER(MATCH(T1372,Parameter!$I$27:$I$29,0))),1,0)</f>
        <v>1</v>
      </c>
      <c r="CC1372" s="65" t="n">
        <f aca="false">IF(CR1372&gt;0,INDEX(Parameter!$H$5:$H$7,W1372)/INDEX(Parameter!$E$5:$E$7,W1372),IF(AND(CA1372=0,N(IFERROR(VLOOKUP(BY1372,'Gebinde-Kategorie'!$A$5:$N$45,14,0),0))&gt;0),VLOOKUP(BY1372,'Gebinde-Kategorie'!$A$5:$N$45,14,0)*10+Parameter!$M$23,Parameter!$M$24))</f>
        <v>145</v>
      </c>
      <c r="CD1372" s="60" t="str">
        <f aca="false">IF(AND(Parameter!$B$19="Ja",E1372&lt;&gt;"",ISNUMBER(MATCH(E1372,Parameter!$I$35:$I$52,0))),VLOOKUP(E1372,Parameter!$I$35:$J$52,2,0),IFERROR(VLOOKUP(D1372,Parameter!$A$35:$C$64,2,0),"Nein"))</f>
        <v>Nein</v>
      </c>
      <c r="CE1372" s="64" t="n">
        <f aca="false">IF(CA1372=0,0,IF(N(S1372)&gt;0,S1372,IFERROR(VLOOKUP(D1372,Parameter!$A$35:$C$64,3,0)+0,0)))</f>
        <v>0</v>
      </c>
      <c r="CF1372" s="60" t="str">
        <f aca="false">IF(AB1372&lt;&gt;"",AB1372,AA1372)</f>
        <v>-</v>
      </c>
      <c r="CG1372" s="60" t="str">
        <f aca="false">IF(OR(CF1372=1,CF1372=2,CF1372=3),IF(Parameter!$E$27="Ja","LIFT",IF(CF1372=1,"L1","L23")),IF(CF1372="Aussen","Aussen","-"))</f>
        <v>-</v>
      </c>
      <c r="CH1372" s="71" t="n">
        <f aca="false">IF(N(AC1372)&gt;0,AC1372,0)</f>
        <v>0</v>
      </c>
      <c r="CI1372" s="65" t="n">
        <f aca="false">IF(ISNUMBER(AF1372),1,0)</f>
        <v>0</v>
      </c>
      <c r="CJ1372" s="62" t="n">
        <f aca="false">N(AF1372)</f>
        <v>0</v>
      </c>
      <c r="CK1372" s="62" t="n">
        <f aca="false">N(M1372)+N(N1372)</f>
        <v>1</v>
      </c>
      <c r="CL1372" s="62" t="n">
        <f aca="false">N(M1372)</f>
        <v>0</v>
      </c>
      <c r="CM1372" s="62" t="n">
        <f aca="false">N(N1372)</f>
        <v>1</v>
      </c>
      <c r="CN1372" s="62" t="n">
        <f aca="false">ROUNDUP(H1372/BZ1372,0)</f>
        <v>1</v>
      </c>
      <c r="CO1372" s="62" t="n">
        <f aca="false">ROUNDUP(CJ1372/BZ1372,0)</f>
        <v>0</v>
      </c>
      <c r="CP1372" s="65" t="n">
        <f aca="false">IF(CA1372=1,0,IFERROR(VLOOKUP(BY1372,'Gebinde-Kategorie'!$A$5:$N$45,5,0)+0,0))</f>
        <v>11</v>
      </c>
      <c r="CQ1372" s="65" t="n">
        <f aca="false">IFERROR(IF(OR(CF1372=1,CF1372=2,CF1372=3),N(INDEX(Parameter!$I$5:$I$7,CF1372)),0),0)</f>
        <v>0</v>
      </c>
      <c r="CR1372" s="64" t="n">
        <f aca="false">IF(AND(Parameter!$B$21="Ja",ISNUMBER(W1372),N(X1372)&gt;0),IFERROR(N(INDEX(Parameter!$L$5:$L$7,W1372))*INDEX(Parameter!$E$5:$E$7,W1372)*X1372/SUMIFS($X$7:$X$1843,$W$7:$W$1843,W1372),0),0)</f>
        <v>0</v>
      </c>
      <c r="CS1372" s="62" t="str">
        <f aca="false">IF(AND(OR(CG1372="L1",CG1372="L23",CG1372="LIFT"),H1372&gt;0),CC1372*IF(CR1372&gt;0,CR1372*MAX(1,H1372/X1372),IF(CA1372=1,CE1372,IF(R1372&gt;0,CN1372/R1372,0))/MAX(0.1,N(Parameter!$M$21))),"")</f>
        <v/>
      </c>
      <c r="CT1372" s="64" t="str">
        <f aca="false">IF(CS1372="","",J1372/H1372)</f>
        <v/>
      </c>
      <c r="CU1372" s="62" t="str">
        <f aca="false">IF(CS1372="","",H1372*G1372)</f>
        <v/>
      </c>
      <c r="CV1372" s="63" t="str">
        <f aca="false">IF(CS1372="","",(CL1372+ROUNDUP(CL1372+MAX(CM1372,2*(J1372/MAX(0.1,N(Einkauf!$C$6))-CL1372)),0))/2)</f>
        <v/>
      </c>
      <c r="CW1372" s="62" t="str">
        <f aca="false">IF(CS1372="","",MAX(0,H1372-CV1372)*G1372)</f>
        <v/>
      </c>
      <c r="CX1372" s="62" t="str">
        <f aca="false">IF(CS1372="","",CS1372*MAX(0,1-CV1372/H1372))</f>
        <v/>
      </c>
      <c r="CY1372" s="64" t="str">
        <f aca="false">IF(CS1372="","",PERCENTRANK($CS$7:$CS$1843,CS1372)+PERCENTRANK($CU$7:$CU$1843,CU1372)+1-PERCENTRANK($CT$7:$CT$1843,CT1372))</f>
        <v/>
      </c>
      <c r="CZ1372" s="72" t="str">
        <f aca="false">IF(CS1372="","",CHOOSE(MATCH(Einkauf!$C$5,Parameter!$G$23:$G$27,0),CY1372,CS1372,CU1372,-CT1372,CW1372)+ROW()/1000000000)</f>
        <v/>
      </c>
    </row>
    <row r="1373" customFormat="false" ht="15" hidden="false" customHeight="false" outlineLevel="0" collapsed="false">
      <c r="A1373" s="60" t="s">
        <v>2461</v>
      </c>
      <c r="B1373" s="60" t="s">
        <v>2462</v>
      </c>
      <c r="C1373" s="60" t="s">
        <v>206</v>
      </c>
      <c r="D1373" s="60" t="s">
        <v>226</v>
      </c>
      <c r="E1373" s="60" t="s">
        <v>227</v>
      </c>
      <c r="F1373" s="60" t="s">
        <v>260</v>
      </c>
      <c r="G1373" s="61" t="n">
        <v>208.24</v>
      </c>
      <c r="H1373" s="62" t="n">
        <f aca="false">MAX(0,IF(AND(Parameter!$B$21="Ja",ISNUMBER(Y1373)),Y1373,IF(Parameter!$B$20="Jahresanfang 2025 + Export",BS1373+BR1373,BR1373)))</f>
        <v>1</v>
      </c>
      <c r="I1373" s="62" t="n">
        <f aca="false">H1373*G1373</f>
        <v>208.24</v>
      </c>
      <c r="J1373" s="62" t="n">
        <f aca="false">BU1373*Parameter!$B$18</f>
        <v>6</v>
      </c>
      <c r="K1373" s="63" t="n">
        <v>10</v>
      </c>
      <c r="L1373" s="64" t="n">
        <v>0.6</v>
      </c>
      <c r="M1373" s="62" t="n">
        <v>0</v>
      </c>
      <c r="N1373" s="62" t="n">
        <v>5</v>
      </c>
      <c r="O1373" s="65" t="n">
        <v>21</v>
      </c>
      <c r="P1373" s="60" t="s">
        <v>518</v>
      </c>
      <c r="Q1373" s="62" t="n">
        <v>17</v>
      </c>
      <c r="R1373" s="65" t="n">
        <f aca="false">IF(CA1373=1,0,IFERROR(VLOOKUP(BY1373,'Gebinde-Kategorie'!$A$5:$N$45,13,0)+0,0))</f>
        <v>52</v>
      </c>
      <c r="S1373" s="66"/>
      <c r="T1373" s="67"/>
      <c r="U1373" s="67"/>
      <c r="V1373" s="67"/>
      <c r="W1373" s="60"/>
      <c r="X1373" s="62"/>
      <c r="Y1373" s="62"/>
      <c r="Z1373" s="60" t="n">
        <v>2</v>
      </c>
      <c r="AA1373" s="60" t="n">
        <f aca="false">IF(A1373="","",IF(AND(Parameter!$B$21="Ja",ISNUMBER(W1373)),W1373,IF(AND(Parameter!$E$27="Ja",ISNUMBER(Z1373),CD1373&lt;&gt;"Nein"),Z1373,IF(CD1373="2+3",IF(ISNUMBER(SEARCH("grosser Artikel",BV1373)),2,IFERROR(VLOOKUP(BY1373,Parameter!$F$35:$G$64,2,0),2)),IF(OR(CD1373="Nein",CD1373=""),"-",CD1373)))))</f>
        <v>2</v>
      </c>
      <c r="AB1373" s="67"/>
      <c r="AC1373" s="68"/>
      <c r="AD1373" s="62" t="n">
        <f aca="false">AW1373</f>
        <v>5</v>
      </c>
      <c r="AE1373" s="62" t="n">
        <f aca="false">MAX(AW1373,H1373)</f>
        <v>5</v>
      </c>
      <c r="AF1373" s="69"/>
      <c r="AG1373" s="62" t="n">
        <f aca="false">IF(LEFT(Cockpit!$C$5,1)="A",H1373,IF(Parameter!$E$30="MAX-Bestand",IF(CI1373=1,CJ1373,IF(LEFT(Cockpit!$C$5,1)="B",AM1373,MAX(AM1373,H1373))),ROUNDUP(AK1373,0)))</f>
        <v>1</v>
      </c>
      <c r="AH1373" s="62" t="n">
        <f aca="false">IF(CA1373=1,0,ROUNDUP(AG1373/BZ1373,0))</f>
        <v>1</v>
      </c>
      <c r="AI1373" s="64" t="n">
        <f aca="false">IF(CR1373&gt;0,CR1373*MAX(1,AG1373/X1373),IF(CA1373=1,IF(AG1373&lt;=0,0,CE1373*MAX(1,IF(H1373&gt;0,AG1373/H1373,1))),IF(R1373&gt;0,AH1373/R1373,0))/MAX(0.1,N(Parameter!$M$21)))</f>
        <v>0.0192307692307692</v>
      </c>
      <c r="AJ1373" s="62" t="n">
        <f aca="false">AI1373*CC1373</f>
        <v>2.98076923076923</v>
      </c>
      <c r="AK1373" s="63" t="n">
        <f aca="false">IF(LEFT(Cockpit!$C$5,1)="A",H1373,IF(CI1373=1,(CL1373+CJ1373)/2,IF(LEFT(Cockpit!$C$5,1)="B",(CL1373+AM1373)/2,MAX((CL1373+AM1373)/2,H1373))))</f>
        <v>1</v>
      </c>
      <c r="AL1373" s="62" t="n">
        <f aca="false">AK1373*G1373</f>
        <v>208.24</v>
      </c>
      <c r="AM1373" s="62" t="n">
        <f aca="false">ROUNDUP(CL1373+MAX(CM1373,2*(J1373/IF(CH1373&gt;0,CH1373,MAX(0.1,N(Cockpit!$C$6)))-CL1373)),0)</f>
        <v>5</v>
      </c>
      <c r="AN1373" s="63" t="n">
        <f aca="false">IF(AJ1373&gt;0,J1373/AJ1373,-1)</f>
        <v>2.01290322580645</v>
      </c>
      <c r="AO1373" s="63" t="n">
        <f aca="false">IF(AND(OR(CG1373="L1",CG1373="L23",CG1373="LIFT"),AJ1373&gt;0),SUMIFS($AJ$7:$AJ$1843,$CG$7:$CG$1843,CG1373,$AN$7:$AN$1843,"&gt;"&amp;AN1373)+SUMIFS($AJ$7:$AJ$1843,$CG$7:$CG$1843,CG1373,$AN$7:$AN$1843,AN1373,$BX$7:$BX$1843,"&lt;="&amp;BX1373),"")</f>
        <v>5831.0902014652</v>
      </c>
      <c r="AP1373" s="70" t="n">
        <f aca="false">IF(AO1373="",0,MAX(0,MIN(1,(IF(CG1373="L1",Parameter!$H$5,IF(CG1373="L23",Parameter!$H$6+Parameter!$H$7,Parameter!$H$5+Parameter!$H$6+Parameter!$H$7))-(AO1373-AJ1373))/AJ1373)))</f>
        <v>1</v>
      </c>
      <c r="AQ1373" s="62" t="n">
        <f aca="false">IF(LEFT(Cockpit!$I$5,1)="A",H1373,IF(Parameter!$E$30="MAX-Bestand",IF(CI1373=1,CJ1373,IF(LEFT(Cockpit!$I$5,1)="B",AW1373,MAX(AW1373,H1373))),ROUNDUP(AU1373,0)))</f>
        <v>3</v>
      </c>
      <c r="AR1373" s="62" t="n">
        <f aca="false">IF(CA1373=1,0,ROUNDUP(AQ1373/BZ1373,0))</f>
        <v>1</v>
      </c>
      <c r="AS1373" s="64" t="n">
        <f aca="false">IF(CR1373&gt;0,CR1373*MAX(1,AQ1373/X1373),IF(CA1373=1,IF(AQ1373&lt;=0,0,CE1373*MAX(1,IF(H1373&gt;0,AQ1373/H1373,1))),IF(R1373&gt;0,AR1373/R1373,0))/MAX(0.1,N(Parameter!$M$21)))</f>
        <v>0.0192307692307692</v>
      </c>
      <c r="AT1373" s="62" t="n">
        <f aca="false">AS1373*CC1373</f>
        <v>2.98076923076923</v>
      </c>
      <c r="AU1373" s="63" t="n">
        <f aca="false">IF(LEFT(Cockpit!$I$5,1)="A",H1373,IF(CI1373=1,(CL1373+CJ1373)/2,IF(LEFT(Cockpit!$I$5,1)="B",(CL1373+AW1373)/2,MAX((CL1373+AW1373)/2,H1373))))</f>
        <v>2.5</v>
      </c>
      <c r="AV1373" s="62" t="n">
        <f aca="false">AU1373*G1373</f>
        <v>520.6</v>
      </c>
      <c r="AW1373" s="62" t="n">
        <f aca="false">ROUNDUP(CL1373+MAX(CM1373,2*(J1373/IF(CH1373&gt;0,CH1373,MAX(0.1,N(Cockpit!$I$6)))-CL1373)),0)</f>
        <v>5</v>
      </c>
      <c r="AX1373" s="63" t="n">
        <f aca="false">IF(AT1373&gt;0,J1373/AT1373,-1)</f>
        <v>2.01290322580645</v>
      </c>
      <c r="AY1373" s="63" t="n">
        <f aca="false">IF(AND(OR(CG1373="L1",CG1373="L23",CG1373="LIFT"),AT1373&gt;0),SUMIFS($AT$7:$AT$1843,$CG$7:$CG$1843,CG1373,$AX$7:$AX$1843,"&gt;"&amp;AX1373)+SUMIFS($AT$7:$AT$1843,$CG$7:$CG$1843,CG1373,$AX$7:$AX$1843,AX1373,$BX$7:$BX$1843,"&lt;="&amp;BX1373),"")</f>
        <v>7199.02976190476</v>
      </c>
      <c r="AZ1373" s="70" t="n">
        <f aca="false">IF(AY1373="",0,MAX(0,MIN(1,(IF(CG1373="L1",Parameter!$H$5,IF(CG1373="L23",Parameter!$H$6+Parameter!$H$7,Parameter!$H$5+Parameter!$H$6+Parameter!$H$7))-(AY1373-AT1373))/AT1373)))</f>
        <v>1</v>
      </c>
      <c r="BA1373" s="62" t="n">
        <f aca="false">IF(LEFT(Cockpit!$O$5,1)="A",H1373,IF(Parameter!$E$30="MAX-Bestand",IF(CI1373=1,CJ1373,IF(LEFT(Cockpit!$O$5,1)="B",BG1373,MAX(BG1373,H1373))),ROUNDUP(BE1373,0)))</f>
        <v>3</v>
      </c>
      <c r="BB1373" s="62" t="n">
        <f aca="false">IF(CA1373=1,0,ROUNDUP(BA1373/BZ1373,0))</f>
        <v>1</v>
      </c>
      <c r="BC1373" s="64" t="n">
        <f aca="false">IF(CR1373&gt;0,CR1373*MAX(1,BA1373/X1373),IF(CA1373=1,IF(BA1373&lt;=0,0,CE1373*MAX(1,IF(H1373&gt;0,BA1373/H1373,1))),IF(R1373&gt;0,BB1373/R1373,0))/MAX(0.1,N(Parameter!$M$21)))</f>
        <v>0.0192307692307692</v>
      </c>
      <c r="BD1373" s="62" t="n">
        <f aca="false">BC1373*CC1373</f>
        <v>2.98076923076923</v>
      </c>
      <c r="BE1373" s="63" t="n">
        <f aca="false">IF(LEFT(Cockpit!$O$5,1)="A",H1373,IF(CI1373=1,(CL1373+CJ1373)/2,IF(LEFT(Cockpit!$O$5,1)="B",(CL1373+BG1373)/2,MAX((CL1373+BG1373)/2,H1373))))</f>
        <v>2.5</v>
      </c>
      <c r="BF1373" s="62" t="n">
        <f aca="false">BE1373*G1373</f>
        <v>520.6</v>
      </c>
      <c r="BG1373" s="62" t="n">
        <f aca="false">ROUNDUP(CL1373+MAX(CM1373,2*(J1373/IF(CH1373&gt;0,CH1373,MAX(0.1,N(Cockpit!$O$6)))-CL1373)),0)</f>
        <v>5</v>
      </c>
      <c r="BH1373" s="63" t="n">
        <f aca="false">IF(BD1373&gt;0,J1373/BD1373,-1)</f>
        <v>2.01290322580645</v>
      </c>
      <c r="BI1373" s="63" t="n">
        <f aca="false">IF(AND(OR(CG1373="L1",CG1373="L23",CG1373="LIFT"),BD1373&gt;0),SUMIFS($BD$7:$BD$1843,$CG$7:$CG$1843,CG1373,$BH$7:$BH$1843,"&gt;"&amp;BH1373)+SUMIFS($BD$7:$BD$1843,$CG$7:$CG$1843,CG1373,$BH$7:$BH$1843,BH1373,$BX$7:$BX$1843,"&lt;="&amp;BX1373),"")</f>
        <v>5896.39102564103</v>
      </c>
      <c r="BJ1373" s="70" t="n">
        <f aca="false">IF(BI1373="",0,MAX(0,MIN(1,(IF(CG1373="L1",Parameter!$H$5,IF(CG1373="L23",Parameter!$H$6+Parameter!$H$7,Parameter!$H$5+Parameter!$H$6+Parameter!$H$7))-(BI1373-BD1373))/BD1373)))</f>
        <v>1</v>
      </c>
      <c r="BK1373" s="60" t="str">
        <f aca="false">IF(AJ1373&lt;=0,"",IF(CG1373="Aussen","Aussenlager",IF(CG1373="-","Nicht im Lift",IF(AP1373&gt;=1,"Lift",IF(AP1373&lt;=0,"Aussenlager","teilweise")))))</f>
        <v>Lift</v>
      </c>
      <c r="BL1373" s="60" t="str">
        <f aca="false">IF(AT1373&lt;=0,"",IF(CG1373="Aussen","Aussenlager",IF(CG1373="-","Nicht im Lift",IF(AZ1373&gt;=1,"Lift",IF(AZ1373&lt;=0,"Aussenlager","teilweise")))))</f>
        <v>Lift</v>
      </c>
      <c r="BM1373" s="60" t="str">
        <f aca="false">IF(BD1373&lt;=0,"",IF(CG1373="Aussen","Aussenlager",IF(CG1373="-","Nicht im Lift",IF(BJ1373&gt;=1,"Lift",IF(BJ1373&lt;=0,"Aussenlager","teilweise")))))</f>
        <v>Lift</v>
      </c>
      <c r="BN1373" s="60" t="str">
        <f aca="false">IF(A1373="","",IF(BW1373=1,"Neu; ","")&amp;IF(AND(BW1373=0,BR1373&lt;0),"negativer Bestand (Export "&amp;BR1373&amp;"); ","")&amp;IF(J1373&lt;=0,"Kein Verbrauch; ","")&amp;IF(CR1373&gt;0,"Lift "&amp;W1373&amp;" lt. Liftbericht (Fach "&amp;X1373&amp;" Stk); ",IF(CB1373=1,"Gebinde geschätzt ("&amp;T1373&amp;"); ",IF(CA1373=1,"Lose – Tablare geschätzt; ","")))&amp;IF(H1373&gt;AW1373,"Überbestand "&amp;ROUND(H1373-AW1373,0)&amp;" Stk / CHF "&amp;ROUND((H1373-AW1373)*G1373,0)&amp;"; ","")&amp;IF(AND(CI1373=1,CJ1373&lt;CK1373),"MAX &lt; MB+LG; ","")&amp;IF(AND(CQ1373&gt;0,CP1373*10&gt;CQ1373),"zu hoch für Tablar; ","")&amp;IF(AND(BW1373=0,OR(CI1373=1,AB1373&lt;&gt;"",U1373&lt;&gt;"",V1373&lt;&gt;"",AC1373&lt;&gt;"")),"manuell übersteuert; ","")&amp;IF(AND(CA1373=0,R1373=0),"Gebinde unbekannt / Stellmass fehlt; ","")&amp;IF(AND(CA1373=0,N(V1373)&lt;=0,N(Q1373)&lt;=0),"Menge pro Gebinde fehlt (Ist = 1 Gebinde); ","")&amp;BV1373)</f>
        <v>negativer Bestand (Export -13); </v>
      </c>
      <c r="BO1373" s="60"/>
      <c r="BP1373" s="60"/>
      <c r="BQ1373" s="67"/>
      <c r="BR1373" s="62" t="n">
        <v>-13</v>
      </c>
      <c r="BS1373" s="62" t="n">
        <v>14</v>
      </c>
      <c r="BT1373" s="61" t="n">
        <v>-2707.12</v>
      </c>
      <c r="BU1373" s="62" t="n">
        <v>6</v>
      </c>
      <c r="BV1373" s="60"/>
      <c r="BW1373" s="65" t="n">
        <v>0</v>
      </c>
      <c r="BX1373" s="65" t="n">
        <v>1373</v>
      </c>
      <c r="BY1373" s="60" t="str">
        <f aca="false">IF(U1373&lt;&gt;"",UPPER(TRIM(U1373)),IF(CB1373=1,UPPER(VLOOKUP(T1373,Parameter!$I$27:$K$29,2,0)),IF(P1373="","LOSE",P1373)))</f>
        <v>S33</v>
      </c>
      <c r="BZ1373" s="62" t="n">
        <f aca="false">IF(BY1373="LOSE",1,IF(N(V1373)&gt;0,V1373,IF(CB1373=1,MAX(1,N(VLOOKUP(T1373,Parameter!$I$27:$K$29,3,0)),H1373,N(N1373)),IF(N(Q1373)&gt;0,Q1373,MAX(1,H1373)))))</f>
        <v>17</v>
      </c>
      <c r="CA1373" s="65" t="n">
        <f aca="false">IF(BY1373="LOSE",1,0)</f>
        <v>0</v>
      </c>
      <c r="CB1373" s="65" t="n">
        <f aca="false">IF(AND(U1373="",OR(P1373="",P1373="LOSE"),T1373&lt;&gt;"",N(S1373)&lt;=0,ISNUMBER(MATCH(T1373,Parameter!$I$27:$I$29,0))),1,0)</f>
        <v>0</v>
      </c>
      <c r="CC1373" s="65" t="n">
        <f aca="false">IF(CR1373&gt;0,INDEX(Parameter!$H$5:$H$7,W1373)/INDEX(Parameter!$E$5:$E$7,W1373),IF(AND(CA1373=0,N(IFERROR(VLOOKUP(BY1373,'Gebinde-Kategorie'!$A$5:$N$45,14,0),0))&gt;0),VLOOKUP(BY1373,'Gebinde-Kategorie'!$A$5:$N$45,14,0)*10+Parameter!$M$23,Parameter!$M$24))</f>
        <v>155</v>
      </c>
      <c r="CD1373" s="60" t="str">
        <f aca="false">IF(AND(Parameter!$B$19="Ja",E1373&lt;&gt;"",ISNUMBER(MATCH(E1373,Parameter!$I$35:$I$52,0))),VLOOKUP(E1373,Parameter!$I$35:$J$52,2,0),IFERROR(VLOOKUP(D1373,Parameter!$A$35:$C$64,2,0),"Nein"))</f>
        <v>2+3</v>
      </c>
      <c r="CE1373" s="64" t="n">
        <f aca="false">IF(CA1373=0,0,IF(N(S1373)&gt;0,S1373,IFERROR(VLOOKUP(D1373,Parameter!$A$35:$C$64,3,0)+0,0)))</f>
        <v>0</v>
      </c>
      <c r="CF1373" s="60" t="n">
        <f aca="false">IF(AB1373&lt;&gt;"",AB1373,AA1373)</f>
        <v>2</v>
      </c>
      <c r="CG1373" s="60" t="str">
        <f aca="false">IF(OR(CF1373=1,CF1373=2,CF1373=3),IF(Parameter!$E$27="Ja","LIFT",IF(CF1373=1,"L1","L23")),IF(CF1373="Aussen","Aussen","-"))</f>
        <v>LIFT</v>
      </c>
      <c r="CH1373" s="71" t="n">
        <f aca="false">IF(N(AC1373)&gt;0,AC1373,0)</f>
        <v>0</v>
      </c>
      <c r="CI1373" s="65" t="n">
        <f aca="false">IF(ISNUMBER(AF1373),1,0)</f>
        <v>0</v>
      </c>
      <c r="CJ1373" s="62" t="n">
        <f aca="false">N(AF1373)</f>
        <v>0</v>
      </c>
      <c r="CK1373" s="62" t="n">
        <f aca="false">N(M1373)+N(N1373)</f>
        <v>5</v>
      </c>
      <c r="CL1373" s="62" t="n">
        <f aca="false">N(M1373)</f>
        <v>0</v>
      </c>
      <c r="CM1373" s="62" t="n">
        <f aca="false">N(N1373)</f>
        <v>5</v>
      </c>
      <c r="CN1373" s="62" t="n">
        <f aca="false">ROUNDUP(H1373/BZ1373,0)</f>
        <v>1</v>
      </c>
      <c r="CO1373" s="62" t="n">
        <f aca="false">ROUNDUP(CJ1373/BZ1373,0)</f>
        <v>0</v>
      </c>
      <c r="CP1373" s="65" t="n">
        <f aca="false">IF(CA1373=1,0,IFERROR(VLOOKUP(BY1373,'Gebinde-Kategorie'!$A$5:$N$45,5,0)+0,0))</f>
        <v>8</v>
      </c>
      <c r="CQ1373" s="65" t="n">
        <f aca="false">IFERROR(IF(OR(CF1373=1,CF1373=2,CF1373=3),N(INDEX(Parameter!$I$5:$I$7,CF1373)),0),0)</f>
        <v>0</v>
      </c>
      <c r="CR1373" s="64" t="n">
        <f aca="false">IF(AND(Parameter!$B$21="Ja",ISNUMBER(W1373),N(X1373)&gt;0),IFERROR(N(INDEX(Parameter!$L$5:$L$7,W1373))*INDEX(Parameter!$E$5:$E$7,W1373)*X1373/SUMIFS($X$7:$X$1843,$W$7:$W$1843,W1373),0),0)</f>
        <v>0</v>
      </c>
      <c r="CS1373" s="62" t="n">
        <f aca="false">IF(AND(OR(CG1373="L1",CG1373="L23",CG1373="LIFT"),H1373&gt;0),CC1373*IF(CR1373&gt;0,CR1373*MAX(1,H1373/X1373),IF(CA1373=1,CE1373,IF(R1373&gt;0,CN1373/R1373,0))/MAX(0.1,N(Parameter!$M$21))),"")</f>
        <v>2.98076923076923</v>
      </c>
      <c r="CT1373" s="64" t="n">
        <f aca="false">IF(CS1373="","",J1373/H1373)</f>
        <v>6</v>
      </c>
      <c r="CU1373" s="62" t="n">
        <f aca="false">IF(CS1373="","",H1373*G1373)</f>
        <v>208.24</v>
      </c>
      <c r="CV1373" s="63" t="n">
        <f aca="false">IF(CS1373="","",(CL1373+ROUNDUP(CL1373+MAX(CM1373,2*(J1373/MAX(0.1,N(Einkauf!$C$6))-CL1373)),0))/2)</f>
        <v>2.5</v>
      </c>
      <c r="CW1373" s="62" t="n">
        <f aca="false">IF(CS1373="","",MAX(0,H1373-CV1373)*G1373)</f>
        <v>0</v>
      </c>
      <c r="CX1373" s="62" t="n">
        <f aca="false">IF(CS1373="","",CS1373*MAX(0,1-CV1373/H1373))</f>
        <v>0</v>
      </c>
      <c r="CY1373" s="64" t="n">
        <f aca="false">IF(CS1373="","",PERCENTRANK($CS$7:$CS$1843,CS1373)+PERCENTRANK($CU$7:$CU$1843,CU1373)+1-PERCENTRANK($CT$7:$CT$1843,CT1373))</f>
        <v>0.586</v>
      </c>
      <c r="CZ1373" s="72" t="n">
        <f aca="false">IF(CS1373="","",CHOOSE(MATCH(Einkauf!$C$5,Parameter!$G$23:$G$27,0),CY1373,CS1373,CU1373,-CT1373,CW1373)+ROW()/1000000000)</f>
        <v>0.586001373</v>
      </c>
    </row>
    <row r="1374" customFormat="false" ht="15" hidden="false" customHeight="false" outlineLevel="0" collapsed="false">
      <c r="A1374" s="60" t="s">
        <v>2463</v>
      </c>
      <c r="B1374" s="60" t="s">
        <v>2464</v>
      </c>
      <c r="C1374" s="60" t="s">
        <v>206</v>
      </c>
      <c r="D1374" s="60" t="s">
        <v>215</v>
      </c>
      <c r="E1374" s="60" t="s">
        <v>208</v>
      </c>
      <c r="F1374" s="60" t="s">
        <v>260</v>
      </c>
      <c r="G1374" s="61" t="n">
        <v>1780.49</v>
      </c>
      <c r="H1374" s="62" t="n">
        <f aca="false">MAX(0,IF(AND(Parameter!$B$21="Ja",ISNUMBER(Y1374)),Y1374,IF(Parameter!$B$20="Jahresanfang 2025 + Export",BS1374+BR1374,BR1374)))</f>
        <v>10</v>
      </c>
      <c r="I1374" s="62" t="n">
        <f aca="false">H1374*G1374</f>
        <v>17804.9</v>
      </c>
      <c r="J1374" s="62" t="n">
        <f aca="false">BU1374*Parameter!$B$18</f>
        <v>87</v>
      </c>
      <c r="K1374" s="63" t="n">
        <v>11</v>
      </c>
      <c r="L1374" s="64" t="n">
        <v>7.90909090909091</v>
      </c>
      <c r="M1374" s="62" t="n">
        <v>5</v>
      </c>
      <c r="N1374" s="62" t="n">
        <v>15</v>
      </c>
      <c r="O1374" s="65" t="n">
        <v>21</v>
      </c>
      <c r="P1374" s="60" t="s">
        <v>216</v>
      </c>
      <c r="Q1374" s="62" t="n">
        <v>8</v>
      </c>
      <c r="R1374" s="65" t="n">
        <f aca="false">IF(CA1374=1,0,IFERROR(VLOOKUP(BY1374,'Gebinde-Kategorie'!$A$5:$N$45,13,0)+0,0))</f>
        <v>6</v>
      </c>
      <c r="S1374" s="66"/>
      <c r="T1374" s="67"/>
      <c r="U1374" s="67"/>
      <c r="V1374" s="67"/>
      <c r="W1374" s="60"/>
      <c r="X1374" s="62"/>
      <c r="Y1374" s="62"/>
      <c r="Z1374" s="60" t="n">
        <v>2</v>
      </c>
      <c r="AA1374" s="60" t="n">
        <f aca="false">IF(A1374="","",IF(AND(Parameter!$B$21="Ja",ISNUMBER(W1374)),W1374,IF(AND(Parameter!$E$27="Ja",ISNUMBER(Z1374),CD1374&lt;&gt;"Nein"),Z1374,IF(CD1374="2+3",IF(ISNUMBER(SEARCH("grosser Artikel",BV1374)),2,IFERROR(VLOOKUP(BY1374,Parameter!$F$35:$G$64,2,0),2)),IF(OR(CD1374="Nein",CD1374=""),"-",CD1374)))))</f>
        <v>2</v>
      </c>
      <c r="AB1374" s="67"/>
      <c r="AC1374" s="68"/>
      <c r="AD1374" s="62" t="n">
        <f aca="false">AW1374</f>
        <v>53</v>
      </c>
      <c r="AE1374" s="62" t="n">
        <f aca="false">MAX(AW1374,H1374)</f>
        <v>53</v>
      </c>
      <c r="AF1374" s="69"/>
      <c r="AG1374" s="62" t="n">
        <f aca="false">IF(LEFT(Cockpit!$C$5,1)="A",H1374,IF(Parameter!$E$30="MAX-Bestand",IF(CI1374=1,CJ1374,IF(LEFT(Cockpit!$C$5,1)="B",AM1374,MAX(AM1374,H1374))),ROUNDUP(AK1374,0)))</f>
        <v>10</v>
      </c>
      <c r="AH1374" s="62" t="n">
        <f aca="false">IF(CA1374=1,0,ROUNDUP(AG1374/BZ1374,0))</f>
        <v>2</v>
      </c>
      <c r="AI1374" s="64" t="n">
        <f aca="false">IF(CR1374&gt;0,CR1374*MAX(1,AG1374/X1374),IF(CA1374=1,IF(AG1374&lt;=0,0,CE1374*MAX(1,IF(H1374&gt;0,AG1374/H1374,1))),IF(R1374&gt;0,AH1374/R1374,0))/MAX(0.1,N(Parameter!$M$21)))</f>
        <v>0.333333333333333</v>
      </c>
      <c r="AJ1374" s="62" t="n">
        <f aca="false">AI1374*CC1374</f>
        <v>78.3333333333333</v>
      </c>
      <c r="AK1374" s="63" t="n">
        <f aca="false">IF(LEFT(Cockpit!$C$5,1)="A",H1374,IF(CI1374=1,(CL1374+CJ1374)/2,IF(LEFT(Cockpit!$C$5,1)="B",(CL1374+AM1374)/2,MAX((CL1374+AM1374)/2,H1374))))</f>
        <v>10</v>
      </c>
      <c r="AL1374" s="62" t="n">
        <f aca="false">AK1374*G1374</f>
        <v>17804.9</v>
      </c>
      <c r="AM1374" s="62" t="n">
        <f aca="false">ROUNDUP(CL1374+MAX(CM1374,2*(J1374/IF(CH1374&gt;0,CH1374,MAX(0.1,N(Cockpit!$C$6)))-CL1374)),0)</f>
        <v>53</v>
      </c>
      <c r="AN1374" s="63" t="n">
        <f aca="false">IF(AJ1374&gt;0,J1374/AJ1374,-1)</f>
        <v>1.11063829787234</v>
      </c>
      <c r="AO1374" s="63" t="n">
        <f aca="false">IF(AND(OR(CG1374="L1",CG1374="L23",CG1374="LIFT"),AJ1374&gt;0),SUMIFS($AJ$7:$AJ$1843,$CG$7:$CG$1843,CG1374,$AN$7:$AN$1843,"&gt;"&amp;AN1374)+SUMIFS($AJ$7:$AJ$1843,$CG$7:$CG$1843,CG1374,$AN$7:$AN$1843,AN1374,$BX$7:$BX$1843,"&lt;="&amp;BX1374),"")</f>
        <v>6842.04532967033</v>
      </c>
      <c r="AP1374" s="70" t="n">
        <f aca="false">IF(AO1374="",0,MAX(0,MIN(1,(IF(CG1374="L1",Parameter!$H$5,IF(CG1374="L23",Parameter!$H$6+Parameter!$H$7,Parameter!$H$5+Parameter!$H$6+Parameter!$H$7))-(AO1374-AJ1374))/AJ1374)))</f>
        <v>1</v>
      </c>
      <c r="AQ1374" s="62" t="n">
        <f aca="false">IF(LEFT(Cockpit!$I$5,1)="A",H1374,IF(Parameter!$E$30="MAX-Bestand",IF(CI1374=1,CJ1374,IF(LEFT(Cockpit!$I$5,1)="B",AW1374,MAX(AW1374,H1374))),ROUNDUP(AU1374,0)))</f>
        <v>29</v>
      </c>
      <c r="AR1374" s="62" t="n">
        <f aca="false">IF(CA1374=1,0,ROUNDUP(AQ1374/BZ1374,0))</f>
        <v>4</v>
      </c>
      <c r="AS1374" s="64" t="n">
        <f aca="false">IF(CR1374&gt;0,CR1374*MAX(1,AQ1374/X1374),IF(CA1374=1,IF(AQ1374&lt;=0,0,CE1374*MAX(1,IF(H1374&gt;0,AQ1374/H1374,1))),IF(R1374&gt;0,AR1374/R1374,0))/MAX(0.1,N(Parameter!$M$21)))</f>
        <v>0.666666666666667</v>
      </c>
      <c r="AT1374" s="62" t="n">
        <f aca="false">AS1374*CC1374</f>
        <v>156.666666666667</v>
      </c>
      <c r="AU1374" s="63" t="n">
        <f aca="false">IF(LEFT(Cockpit!$I$5,1)="A",H1374,IF(CI1374=1,(CL1374+CJ1374)/2,IF(LEFT(Cockpit!$I$5,1)="B",(CL1374+AW1374)/2,MAX((CL1374+AW1374)/2,H1374))))</f>
        <v>29</v>
      </c>
      <c r="AV1374" s="62" t="n">
        <f aca="false">AU1374*G1374</f>
        <v>51634.21</v>
      </c>
      <c r="AW1374" s="62" t="n">
        <f aca="false">ROUNDUP(CL1374+MAX(CM1374,2*(J1374/IF(CH1374&gt;0,CH1374,MAX(0.1,N(Cockpit!$I$6)))-CL1374)),0)</f>
        <v>53</v>
      </c>
      <c r="AX1374" s="63" t="n">
        <f aca="false">IF(AT1374&gt;0,J1374/AT1374,-1)</f>
        <v>0.55531914893617</v>
      </c>
      <c r="AY1374" s="63" t="n">
        <f aca="false">IF(AND(OR(CG1374="L1",CG1374="L23",CG1374="LIFT"),AT1374&gt;0),SUMIFS($AT$7:$AT$1843,$CG$7:$CG$1843,CG1374,$AX$7:$AX$1843,"&gt;"&amp;AX1374)+SUMIFS($AT$7:$AT$1843,$CG$7:$CG$1843,CG1374,$AX$7:$AX$1843,AX1374,$BX$7:$BX$1843,"&lt;="&amp;BX1374),"")</f>
        <v>11702.1227106227</v>
      </c>
      <c r="AZ1374" s="70" t="n">
        <f aca="false">IF(AY1374="",0,MAX(0,MIN(1,(IF(CG1374="L1",Parameter!$H$5,IF(CG1374="L23",Parameter!$H$6+Parameter!$H$7,Parameter!$H$5+Parameter!$H$6+Parameter!$H$7))-(AY1374-AT1374))/AT1374)))</f>
        <v>1</v>
      </c>
      <c r="BA1374" s="62" t="n">
        <f aca="false">IF(LEFT(Cockpit!$O$5,1)="A",H1374,IF(Parameter!$E$30="MAX-Bestand",IF(CI1374=1,CJ1374,IF(LEFT(Cockpit!$O$5,1)="B",BG1374,MAX(BG1374,H1374))),ROUNDUP(BE1374,0)))</f>
        <v>22</v>
      </c>
      <c r="BB1374" s="62" t="n">
        <f aca="false">IF(CA1374=1,0,ROUNDUP(BA1374/BZ1374,0))</f>
        <v>3</v>
      </c>
      <c r="BC1374" s="64" t="n">
        <f aca="false">IF(CR1374&gt;0,CR1374*MAX(1,BA1374/X1374),IF(CA1374=1,IF(BA1374&lt;=0,0,CE1374*MAX(1,IF(H1374&gt;0,BA1374/H1374,1))),IF(R1374&gt;0,BB1374/R1374,0))/MAX(0.1,N(Parameter!$M$21)))</f>
        <v>0.5</v>
      </c>
      <c r="BD1374" s="62" t="n">
        <f aca="false">BC1374*CC1374</f>
        <v>117.5</v>
      </c>
      <c r="BE1374" s="63" t="n">
        <f aca="false">IF(LEFT(Cockpit!$O$5,1)="A",H1374,IF(CI1374=1,(CL1374+CJ1374)/2,IF(LEFT(Cockpit!$O$5,1)="B",(CL1374+BG1374)/2,MAX((CL1374+BG1374)/2,H1374))))</f>
        <v>22</v>
      </c>
      <c r="BF1374" s="62" t="n">
        <f aca="false">BE1374*G1374</f>
        <v>39170.78</v>
      </c>
      <c r="BG1374" s="62" t="n">
        <f aca="false">ROUNDUP(CL1374+MAX(CM1374,2*(J1374/IF(CH1374&gt;0,CH1374,MAX(0.1,N(Cockpit!$O$6)))-CL1374)),0)</f>
        <v>39</v>
      </c>
      <c r="BH1374" s="63" t="n">
        <f aca="false">IF(BD1374&gt;0,J1374/BD1374,-1)</f>
        <v>0.740425531914894</v>
      </c>
      <c r="BI1374" s="63" t="n">
        <f aca="false">IF(AND(OR(CG1374="L1",CG1374="L23",CG1374="LIFT"),BD1374&gt;0),SUMIFS($BD$7:$BD$1843,$CG$7:$CG$1843,CG1374,$BH$7:$BH$1843,"&gt;"&amp;BH1374)+SUMIFS($BD$7:$BD$1843,$CG$7:$CG$1843,CG1374,$BH$7:$BH$1843,BH1374,$BX$7:$BX$1843,"&lt;="&amp;BX1374),"")</f>
        <v>9238.87225274725</v>
      </c>
      <c r="BJ1374" s="70" t="n">
        <f aca="false">IF(BI1374="",0,MAX(0,MIN(1,(IF(CG1374="L1",Parameter!$H$5,IF(CG1374="L23",Parameter!$H$6+Parameter!$H$7,Parameter!$H$5+Parameter!$H$6+Parameter!$H$7))-(BI1374-BD1374))/BD1374)))</f>
        <v>1</v>
      </c>
      <c r="BK1374" s="60" t="str">
        <f aca="false">IF(AJ1374&lt;=0,"",IF(CG1374="Aussen","Aussenlager",IF(CG1374="-","Nicht im Lift",IF(AP1374&gt;=1,"Lift",IF(AP1374&lt;=0,"Aussenlager","teilweise")))))</f>
        <v>Lift</v>
      </c>
      <c r="BL1374" s="60" t="str">
        <f aca="false">IF(AT1374&lt;=0,"",IF(CG1374="Aussen","Aussenlager",IF(CG1374="-","Nicht im Lift",IF(AZ1374&gt;=1,"Lift",IF(AZ1374&lt;=0,"Aussenlager","teilweise")))))</f>
        <v>Lift</v>
      </c>
      <c r="BM1374" s="60" t="str">
        <f aca="false">IF(BD1374&lt;=0,"",IF(CG1374="Aussen","Aussenlager",IF(CG1374="-","Nicht im Lift",IF(BJ1374&gt;=1,"Lift",IF(BJ1374&lt;=0,"Aussenlager","teilweise")))))</f>
        <v>Lift</v>
      </c>
      <c r="BN1374" s="60" t="str">
        <f aca="false">IF(A1374="","",IF(BW1374=1,"Neu; ","")&amp;IF(AND(BW1374=0,BR1374&lt;0),"negativer Bestand (Export "&amp;BR1374&amp;"); ","")&amp;IF(J1374&lt;=0,"Kein Verbrauch; ","")&amp;IF(CR1374&gt;0,"Lift "&amp;W1374&amp;" lt. Liftbericht (Fach "&amp;X1374&amp;" Stk); ",IF(CB1374=1,"Gebinde geschätzt ("&amp;T1374&amp;"); ",IF(CA1374=1,"Lose – Tablare geschätzt; ","")))&amp;IF(H1374&gt;AW1374,"Überbestand "&amp;ROUND(H1374-AW1374,0)&amp;" Stk / CHF "&amp;ROUND((H1374-AW1374)*G1374,0)&amp;"; ","")&amp;IF(AND(CI1374=1,CJ1374&lt;CK1374),"MAX &lt; MB+LG; ","")&amp;IF(AND(CQ1374&gt;0,CP1374*10&gt;CQ1374),"zu hoch für Tablar; ","")&amp;IF(AND(BW1374=0,OR(CI1374=1,AB1374&lt;&gt;"",U1374&lt;&gt;"",V1374&lt;&gt;"",AC1374&lt;&gt;"")),"manuell übersteuert; ","")&amp;IF(AND(CA1374=0,R1374=0),"Gebinde unbekannt / Stellmass fehlt; ","")&amp;IF(AND(CA1374=0,N(V1374)&lt;=0,N(Q1374)&lt;=0),"Menge pro Gebinde fehlt (Ist = 1 Gebinde); ","")&amp;BV1374)</f>
        <v/>
      </c>
      <c r="BO1374" s="60"/>
      <c r="BP1374" s="60"/>
      <c r="BQ1374" s="67"/>
      <c r="BR1374" s="62" t="n">
        <v>0</v>
      </c>
      <c r="BS1374" s="62" t="n">
        <v>10</v>
      </c>
      <c r="BT1374" s="61" t="n">
        <v>-2746.34999999998</v>
      </c>
      <c r="BU1374" s="62" t="n">
        <v>87</v>
      </c>
      <c r="BV1374" s="60"/>
      <c r="BW1374" s="65" t="n">
        <v>0</v>
      </c>
      <c r="BX1374" s="65" t="n">
        <v>1374</v>
      </c>
      <c r="BY1374" s="60" t="str">
        <f aca="false">IF(U1374&lt;&gt;"",UPPER(TRIM(U1374)),IF(CB1374=1,UPPER(VLOOKUP(T1374,Parameter!$I$27:$K$29,2,0)),IF(P1374="","LOSE",P1374)))</f>
        <v>S71</v>
      </c>
      <c r="BZ1374" s="62" t="n">
        <f aca="false">IF(BY1374="LOSE",1,IF(N(V1374)&gt;0,V1374,IF(CB1374=1,MAX(1,N(VLOOKUP(T1374,Parameter!$I$27:$K$29,3,0)),H1374,N(N1374)),IF(N(Q1374)&gt;0,Q1374,MAX(1,H1374)))))</f>
        <v>8</v>
      </c>
      <c r="CA1374" s="65" t="n">
        <f aca="false">IF(BY1374="LOSE",1,0)</f>
        <v>0</v>
      </c>
      <c r="CB1374" s="65" t="n">
        <f aca="false">IF(AND(U1374="",OR(P1374="",P1374="LOSE"),T1374&lt;&gt;"",N(S1374)&lt;=0,ISNUMBER(MATCH(T1374,Parameter!$I$27:$I$29,0))),1,0)</f>
        <v>0</v>
      </c>
      <c r="CC1374" s="65" t="n">
        <f aca="false">IF(CR1374&gt;0,INDEX(Parameter!$H$5:$H$7,W1374)/INDEX(Parameter!$E$5:$E$7,W1374),IF(AND(CA1374=0,N(IFERROR(VLOOKUP(BY1374,'Gebinde-Kategorie'!$A$5:$N$45,14,0),0))&gt;0),VLOOKUP(BY1374,'Gebinde-Kategorie'!$A$5:$N$45,14,0)*10+Parameter!$M$23,Parameter!$M$24))</f>
        <v>235</v>
      </c>
      <c r="CD1374" s="60" t="n">
        <f aca="false">IF(AND(Parameter!$B$19="Ja",E1374&lt;&gt;"",ISNUMBER(MATCH(E1374,Parameter!$I$35:$I$52,0))),VLOOKUP(E1374,Parameter!$I$35:$J$52,2,0),IFERROR(VLOOKUP(D1374,Parameter!$A$35:$C$64,2,0),"Nein"))</f>
        <v>1</v>
      </c>
      <c r="CE1374" s="64" t="n">
        <f aca="false">IF(CA1374=0,0,IF(N(S1374)&gt;0,S1374,IFERROR(VLOOKUP(D1374,Parameter!$A$35:$C$64,3,0)+0,0)))</f>
        <v>0</v>
      </c>
      <c r="CF1374" s="60" t="n">
        <f aca="false">IF(AB1374&lt;&gt;"",AB1374,AA1374)</f>
        <v>2</v>
      </c>
      <c r="CG1374" s="60" t="str">
        <f aca="false">IF(OR(CF1374=1,CF1374=2,CF1374=3),IF(Parameter!$E$27="Ja","LIFT",IF(CF1374=1,"L1","L23")),IF(CF1374="Aussen","Aussen","-"))</f>
        <v>LIFT</v>
      </c>
      <c r="CH1374" s="71" t="n">
        <f aca="false">IF(N(AC1374)&gt;0,AC1374,0)</f>
        <v>0</v>
      </c>
      <c r="CI1374" s="65" t="n">
        <f aca="false">IF(ISNUMBER(AF1374),1,0)</f>
        <v>0</v>
      </c>
      <c r="CJ1374" s="62" t="n">
        <f aca="false">N(AF1374)</f>
        <v>0</v>
      </c>
      <c r="CK1374" s="62" t="n">
        <f aca="false">N(M1374)+N(N1374)</f>
        <v>20</v>
      </c>
      <c r="CL1374" s="62" t="n">
        <f aca="false">N(M1374)</f>
        <v>5</v>
      </c>
      <c r="CM1374" s="62" t="n">
        <f aca="false">N(N1374)</f>
        <v>15</v>
      </c>
      <c r="CN1374" s="62" t="n">
        <f aca="false">ROUNDUP(H1374/BZ1374,0)</f>
        <v>2</v>
      </c>
      <c r="CO1374" s="62" t="n">
        <f aca="false">ROUNDUP(CJ1374/BZ1374,0)</f>
        <v>0</v>
      </c>
      <c r="CP1374" s="65" t="n">
        <f aca="false">IF(CA1374=1,0,IFERROR(VLOOKUP(BY1374,'Gebinde-Kategorie'!$A$5:$N$45,5,0)+0,0))</f>
        <v>20</v>
      </c>
      <c r="CQ1374" s="65" t="n">
        <f aca="false">IFERROR(IF(OR(CF1374=1,CF1374=2,CF1374=3),N(INDEX(Parameter!$I$5:$I$7,CF1374)),0),0)</f>
        <v>0</v>
      </c>
      <c r="CR1374" s="64" t="n">
        <f aca="false">IF(AND(Parameter!$B$21="Ja",ISNUMBER(W1374),N(X1374)&gt;0),IFERROR(N(INDEX(Parameter!$L$5:$L$7,W1374))*INDEX(Parameter!$E$5:$E$7,W1374)*X1374/SUMIFS($X$7:$X$1843,$W$7:$W$1843,W1374),0),0)</f>
        <v>0</v>
      </c>
      <c r="CS1374" s="62" t="n">
        <f aca="false">IF(AND(OR(CG1374="L1",CG1374="L23",CG1374="LIFT"),H1374&gt;0),CC1374*IF(CR1374&gt;0,CR1374*MAX(1,H1374/X1374),IF(CA1374=1,CE1374,IF(R1374&gt;0,CN1374/R1374,0))/MAX(0.1,N(Parameter!$M$21))),"")</f>
        <v>78.3333333333333</v>
      </c>
      <c r="CT1374" s="64" t="n">
        <f aca="false">IF(CS1374="","",J1374/H1374)</f>
        <v>8.7</v>
      </c>
      <c r="CU1374" s="62" t="n">
        <f aca="false">IF(CS1374="","",H1374*G1374)</f>
        <v>17804.9</v>
      </c>
      <c r="CV1374" s="63" t="n">
        <f aca="false">IF(CS1374="","",(CL1374+ROUNDUP(CL1374+MAX(CM1374,2*(J1374/MAX(0.1,N(Einkauf!$C$6))-CL1374)),0))/2)</f>
        <v>22</v>
      </c>
      <c r="CW1374" s="62" t="n">
        <f aca="false">IF(CS1374="","",MAX(0,H1374-CV1374)*G1374)</f>
        <v>0</v>
      </c>
      <c r="CX1374" s="62" t="n">
        <f aca="false">IF(CS1374="","",CS1374*MAX(0,1-CV1374/H1374))</f>
        <v>0</v>
      </c>
      <c r="CY1374" s="64" t="n">
        <f aca="false">IF(CS1374="","",PERCENTRANK($CS$7:$CS$1843,CS1374)+PERCENTRANK($CU$7:$CU$1843,CU1374)+1-PERCENTRANK($CT$7:$CT$1843,CT1374))</f>
        <v>1.94</v>
      </c>
      <c r="CZ1374" s="72" t="n">
        <f aca="false">IF(CS1374="","",CHOOSE(MATCH(Einkauf!$C$5,Parameter!$G$23:$G$27,0),CY1374,CS1374,CU1374,-CT1374,CW1374)+ROW()/1000000000)</f>
        <v>1.940001374</v>
      </c>
    </row>
    <row r="1375" customFormat="false" ht="15" hidden="false" customHeight="false" outlineLevel="0" collapsed="false">
      <c r="A1375" s="60" t="s">
        <v>2465</v>
      </c>
      <c r="B1375" s="60" t="s">
        <v>2466</v>
      </c>
      <c r="C1375" s="60" t="s">
        <v>206</v>
      </c>
      <c r="D1375" s="60" t="s">
        <v>207</v>
      </c>
      <c r="E1375" s="60"/>
      <c r="F1375" s="60" t="s">
        <v>260</v>
      </c>
      <c r="G1375" s="61" t="n">
        <v>1385.5</v>
      </c>
      <c r="H1375" s="62" t="n">
        <f aca="false">MAX(0,IF(AND(Parameter!$B$21="Ja",ISNUMBER(Y1375)),Y1375,IF(Parameter!$B$20="Jahresanfang 2025 + Export",BS1375+BR1375,BR1375)))</f>
        <v>1</v>
      </c>
      <c r="I1375" s="62" t="n">
        <f aca="false">H1375*G1375</f>
        <v>1385.5</v>
      </c>
      <c r="J1375" s="62" t="n">
        <f aca="false">BU1375*Parameter!$B$18</f>
        <v>1</v>
      </c>
      <c r="K1375" s="63" t="n">
        <v>2.5</v>
      </c>
      <c r="L1375" s="64" t="n">
        <v>0.4</v>
      </c>
      <c r="M1375" s="62" t="n">
        <v>0</v>
      </c>
      <c r="N1375" s="62" t="n">
        <v>1</v>
      </c>
      <c r="O1375" s="65" t="n">
        <v>14</v>
      </c>
      <c r="P1375" s="60" t="s">
        <v>210</v>
      </c>
      <c r="Q1375" s="62"/>
      <c r="R1375" s="65" t="n">
        <f aca="false">IF(CA1375=1,0,IFERROR(VLOOKUP(BY1375,'Gebinde-Kategorie'!$A$5:$N$45,13,0)+0,0))</f>
        <v>0</v>
      </c>
      <c r="S1375" s="66"/>
      <c r="T1375" s="67"/>
      <c r="U1375" s="67"/>
      <c r="V1375" s="67"/>
      <c r="W1375" s="60" t="n">
        <v>1</v>
      </c>
      <c r="X1375" s="62" t="n">
        <v>2</v>
      </c>
      <c r="Y1375" s="62" t="n">
        <v>1</v>
      </c>
      <c r="Z1375" s="60" t="n">
        <v>1</v>
      </c>
      <c r="AA1375" s="60" t="n">
        <f aca="false">IF(A1375="","",IF(AND(Parameter!$B$21="Ja",ISNUMBER(W1375)),W1375,IF(AND(Parameter!$E$27="Ja",ISNUMBER(Z1375),CD1375&lt;&gt;"Nein"),Z1375,IF(CD1375="2+3",IF(ISNUMBER(SEARCH("grosser Artikel",BV1375)),2,IFERROR(VLOOKUP(BY1375,Parameter!$F$35:$G$64,2,0),2)),IF(OR(CD1375="Nein",CD1375=""),"-",CD1375)))))</f>
        <v>1</v>
      </c>
      <c r="AB1375" s="67"/>
      <c r="AC1375" s="68"/>
      <c r="AD1375" s="62" t="n">
        <f aca="false">AW1375</f>
        <v>1</v>
      </c>
      <c r="AE1375" s="62" t="n">
        <f aca="false">MAX(AW1375,H1375)</f>
        <v>1</v>
      </c>
      <c r="AF1375" s="69"/>
      <c r="AG1375" s="62" t="n">
        <f aca="false">IF(LEFT(Cockpit!$C$5,1)="A",H1375,IF(Parameter!$E$30="MAX-Bestand",IF(CI1375=1,CJ1375,IF(LEFT(Cockpit!$C$5,1)="B",AM1375,MAX(AM1375,H1375))),ROUNDUP(AK1375,0)))</f>
        <v>1</v>
      </c>
      <c r="AH1375" s="62" t="n">
        <f aca="false">IF(CA1375=1,0,ROUNDUP(AG1375/BZ1375,0))</f>
        <v>0</v>
      </c>
      <c r="AI1375" s="64" t="n">
        <f aca="false">IF(CR1375&gt;0,CR1375*MAX(1,AG1375/X1375),IF(CA1375=1,IF(AG1375&lt;=0,0,CE1375*MAX(1,IF(H1375&gt;0,AG1375/H1375,1))),IF(R1375&gt;0,AH1375/R1375,0))/MAX(0.1,N(Parameter!$M$21)))</f>
        <v>0.160075329566855</v>
      </c>
      <c r="AJ1375" s="62" t="n">
        <f aca="false">AI1375*CC1375</f>
        <v>38.0979284369115</v>
      </c>
      <c r="AK1375" s="63" t="n">
        <f aca="false">IF(LEFT(Cockpit!$C$5,1)="A",H1375,IF(CI1375=1,(CL1375+CJ1375)/2,IF(LEFT(Cockpit!$C$5,1)="B",(CL1375+AM1375)/2,MAX((CL1375+AM1375)/2,H1375))))</f>
        <v>1</v>
      </c>
      <c r="AL1375" s="62" t="n">
        <f aca="false">AK1375*G1375</f>
        <v>1385.5</v>
      </c>
      <c r="AM1375" s="62" t="n">
        <f aca="false">ROUNDUP(CL1375+MAX(CM1375,2*(J1375/IF(CH1375&gt;0,CH1375,MAX(0.1,N(Cockpit!$C$6)))-CL1375)),0)</f>
        <v>1</v>
      </c>
      <c r="AN1375" s="63" t="n">
        <f aca="false">IF(AJ1375&gt;0,J1375/AJ1375,-1)</f>
        <v>0.0262481463173505</v>
      </c>
      <c r="AO1375" s="63" t="n">
        <f aca="false">IF(AND(OR(CG1375="L1",CG1375="L23",CG1375="LIFT"),AJ1375&gt;0),SUMIFS($AJ$7:$AJ$1843,$CG$7:$CG$1843,CG1375,$AN$7:$AN$1843,"&gt;"&amp;AN1375)+SUMIFS($AJ$7:$AJ$1843,$CG$7:$CG$1843,CG1375,$AN$7:$AN$1843,AN1375,$BX$7:$BX$1843,"&lt;="&amp;BX1375),"")</f>
        <v>21729.6104048964</v>
      </c>
      <c r="AP1375" s="70" t="n">
        <f aca="false">IF(AO1375="",0,MAX(0,MIN(1,(IF(CG1375="L1",Parameter!$H$5,IF(CG1375="L23",Parameter!$H$6+Parameter!$H$7,Parameter!$H$5+Parameter!$H$6+Parameter!$H$7))-(AO1375-AJ1375))/AJ1375)))</f>
        <v>1</v>
      </c>
      <c r="AQ1375" s="62" t="n">
        <f aca="false">IF(LEFT(Cockpit!$I$5,1)="A",H1375,IF(Parameter!$E$30="MAX-Bestand",IF(CI1375=1,CJ1375,IF(LEFT(Cockpit!$I$5,1)="B",AW1375,MAX(AW1375,H1375))),ROUNDUP(AU1375,0)))</f>
        <v>1</v>
      </c>
      <c r="AR1375" s="62" t="n">
        <f aca="false">IF(CA1375=1,0,ROUNDUP(AQ1375/BZ1375,0))</f>
        <v>0</v>
      </c>
      <c r="AS1375" s="64" t="n">
        <f aca="false">IF(CR1375&gt;0,CR1375*MAX(1,AQ1375/X1375),IF(CA1375=1,IF(AQ1375&lt;=0,0,CE1375*MAX(1,IF(H1375&gt;0,AQ1375/H1375,1))),IF(R1375&gt;0,AR1375/R1375,0))/MAX(0.1,N(Parameter!$M$21)))</f>
        <v>0.160075329566855</v>
      </c>
      <c r="AT1375" s="62" t="n">
        <f aca="false">AS1375*CC1375</f>
        <v>38.0979284369115</v>
      </c>
      <c r="AU1375" s="63" t="n">
        <f aca="false">IF(LEFT(Cockpit!$I$5,1)="A",H1375,IF(CI1375=1,(CL1375+CJ1375)/2,IF(LEFT(Cockpit!$I$5,1)="B",(CL1375+AW1375)/2,MAX((CL1375+AW1375)/2,H1375))))</f>
        <v>1</v>
      </c>
      <c r="AV1375" s="62" t="n">
        <f aca="false">AU1375*G1375</f>
        <v>1385.5</v>
      </c>
      <c r="AW1375" s="62" t="n">
        <f aca="false">ROUNDUP(CL1375+MAX(CM1375,2*(J1375/IF(CH1375&gt;0,CH1375,MAX(0.1,N(Cockpit!$I$6)))-CL1375)),0)</f>
        <v>1</v>
      </c>
      <c r="AX1375" s="63" t="n">
        <f aca="false">IF(AT1375&gt;0,J1375/AT1375,-1)</f>
        <v>0.0262481463173505</v>
      </c>
      <c r="AY1375" s="63" t="n">
        <f aca="false">IF(AND(OR(CG1375="L1",CG1375="L23",CG1375="LIFT"),AT1375&gt;0),SUMIFS($AT$7:$AT$1843,$CG$7:$CG$1843,CG1375,$AX$7:$AX$1843,"&gt;"&amp;AX1375)+SUMIFS($AT$7:$AT$1843,$CG$7:$CG$1843,CG1375,$AX$7:$AX$1843,AX1375,$BX$7:$BX$1843,"&lt;="&amp;BX1375),"")</f>
        <v>26847.7590462739</v>
      </c>
      <c r="AZ1375" s="70" t="n">
        <f aca="false">IF(AY1375="",0,MAX(0,MIN(1,(IF(CG1375="L1",Parameter!$H$5,IF(CG1375="L23",Parameter!$H$6+Parameter!$H$7,Parameter!$H$5+Parameter!$H$6+Parameter!$H$7))-(AY1375-AT1375))/AT1375)))</f>
        <v>1</v>
      </c>
      <c r="BA1375" s="62" t="n">
        <f aca="false">IF(LEFT(Cockpit!$O$5,1)="A",H1375,IF(Parameter!$E$30="MAX-Bestand",IF(CI1375=1,CJ1375,IF(LEFT(Cockpit!$O$5,1)="B",BG1375,MAX(BG1375,H1375))),ROUNDUP(BE1375,0)))</f>
        <v>1</v>
      </c>
      <c r="BB1375" s="62" t="n">
        <f aca="false">IF(CA1375=1,0,ROUNDUP(BA1375/BZ1375,0))</f>
        <v>0</v>
      </c>
      <c r="BC1375" s="64" t="n">
        <f aca="false">IF(CR1375&gt;0,CR1375*MAX(1,BA1375/X1375),IF(CA1375=1,IF(BA1375&lt;=0,0,CE1375*MAX(1,IF(H1375&gt;0,BA1375/H1375,1))),IF(R1375&gt;0,BB1375/R1375,0))/MAX(0.1,N(Parameter!$M$21)))</f>
        <v>0.160075329566855</v>
      </c>
      <c r="BD1375" s="62" t="n">
        <f aca="false">BC1375*CC1375</f>
        <v>38.0979284369115</v>
      </c>
      <c r="BE1375" s="63" t="n">
        <f aca="false">IF(LEFT(Cockpit!$O$5,1)="A",H1375,IF(CI1375=1,(CL1375+CJ1375)/2,IF(LEFT(Cockpit!$O$5,1)="B",(CL1375+BG1375)/2,MAX((CL1375+BG1375)/2,H1375))))</f>
        <v>0.5</v>
      </c>
      <c r="BF1375" s="62" t="n">
        <f aca="false">BE1375*G1375</f>
        <v>692.75</v>
      </c>
      <c r="BG1375" s="62" t="n">
        <f aca="false">ROUNDUP(CL1375+MAX(CM1375,2*(J1375/IF(CH1375&gt;0,CH1375,MAX(0.1,N(Cockpit!$O$6)))-CL1375)),0)</f>
        <v>1</v>
      </c>
      <c r="BH1375" s="63" t="n">
        <f aca="false">IF(BD1375&gt;0,J1375/BD1375,-1)</f>
        <v>0.0262481463173505</v>
      </c>
      <c r="BI1375" s="63" t="n">
        <f aca="false">IF(AND(OR(CG1375="L1",CG1375="L23",CG1375="LIFT"),BD1375&gt;0),SUMIFS($BD$7:$BD$1843,$CG$7:$CG$1843,CG1375,$BH$7:$BH$1843,"&gt;"&amp;BH1375)+SUMIFS($BD$7:$BD$1843,$CG$7:$CG$1843,CG1375,$BH$7:$BH$1843,BH1375,$BX$7:$BX$1843,"&lt;="&amp;BX1375),"")</f>
        <v>22511.1998639308</v>
      </c>
      <c r="BJ1375" s="70" t="n">
        <f aca="false">IF(BI1375="",0,MAX(0,MIN(1,(IF(CG1375="L1",Parameter!$H$5,IF(CG1375="L23",Parameter!$H$6+Parameter!$H$7,Parameter!$H$5+Parameter!$H$6+Parameter!$H$7))-(BI1375-BD1375))/BD1375)))</f>
        <v>1</v>
      </c>
      <c r="BK1375" s="60" t="str">
        <f aca="false">IF(AJ1375&lt;=0,"",IF(CG1375="Aussen","Aussenlager",IF(CG1375="-","Nicht im Lift",IF(AP1375&gt;=1,"Lift",IF(AP1375&lt;=0,"Aussenlager","teilweise")))))</f>
        <v>Lift</v>
      </c>
      <c r="BL1375" s="60" t="str">
        <f aca="false">IF(AT1375&lt;=0,"",IF(CG1375="Aussen","Aussenlager",IF(CG1375="-","Nicht im Lift",IF(AZ1375&gt;=1,"Lift",IF(AZ1375&lt;=0,"Aussenlager","teilweise")))))</f>
        <v>Lift</v>
      </c>
      <c r="BM1375" s="60" t="str">
        <f aca="false">IF(BD1375&lt;=0,"",IF(CG1375="Aussen","Aussenlager",IF(CG1375="-","Nicht im Lift",IF(BJ1375&gt;=1,"Lift",IF(BJ1375&lt;=0,"Aussenlager","teilweise")))))</f>
        <v>Lift</v>
      </c>
      <c r="BN1375" s="60" t="str">
        <f aca="false">IF(A1375="","",IF(BW1375=1,"Neu; ","")&amp;IF(AND(BW1375=0,BR1375&lt;0),"negativer Bestand (Export "&amp;BR1375&amp;"); ","")&amp;IF(J1375&lt;=0,"Kein Verbrauch; ","")&amp;IF(CR1375&gt;0,"Lift "&amp;W1375&amp;" lt. Liftbericht (Fach "&amp;X1375&amp;" Stk); ",IF(CB1375=1,"Gebinde geschätzt ("&amp;T1375&amp;"); ",IF(CA1375=1,"Lose – Tablare geschätzt; ","")))&amp;IF(H1375&gt;AW1375,"Überbestand "&amp;ROUND(H1375-AW1375,0)&amp;" Stk / CHF "&amp;ROUND((H1375-AW1375)*G1375,0)&amp;"; ","")&amp;IF(AND(CI1375=1,CJ1375&lt;CK1375),"MAX &lt; MB+LG; ","")&amp;IF(AND(CQ1375&gt;0,CP1375*10&gt;CQ1375),"zu hoch für Tablar; ","")&amp;IF(AND(BW1375=0,OR(CI1375=1,AB1375&lt;&gt;"",U1375&lt;&gt;"",V1375&lt;&gt;"",AC1375&lt;&gt;"")),"manuell übersteuert; ","")&amp;IF(AND(CA1375=0,R1375=0),"Gebinde unbekannt / Stellmass fehlt; ","")&amp;IF(AND(CA1375=0,N(V1375)&lt;=0,N(Q1375)&lt;=0),"Menge pro Gebinde fehlt (Ist = 1 Gebinde); ","")&amp;BV1375)</f>
        <v>negativer Bestand (Export -2); Lift 1 lt. Liftbericht (Fach 2 Stk); </v>
      </c>
      <c r="BO1375" s="60"/>
      <c r="BP1375" s="60"/>
      <c r="BQ1375" s="67"/>
      <c r="BR1375" s="62" t="n">
        <v>-2</v>
      </c>
      <c r="BS1375" s="62" t="n">
        <v>3</v>
      </c>
      <c r="BT1375" s="61" t="n">
        <v>-2771</v>
      </c>
      <c r="BU1375" s="62" t="n">
        <v>1</v>
      </c>
      <c r="BV1375" s="60"/>
      <c r="BW1375" s="65" t="n">
        <v>0</v>
      </c>
      <c r="BX1375" s="65" t="n">
        <v>1375</v>
      </c>
      <c r="BY1375" s="60" t="str">
        <f aca="false">IF(U1375&lt;&gt;"",UPPER(TRIM(U1375)),IF(CB1375=1,UPPER(VLOOKUP(T1375,Parameter!$I$27:$K$29,2,0)),IF(P1375="","LOSE",P1375)))</f>
        <v>LOSE</v>
      </c>
      <c r="BZ1375" s="62" t="n">
        <f aca="false">IF(BY1375="LOSE",1,IF(N(V1375)&gt;0,V1375,IF(CB1375=1,MAX(1,N(VLOOKUP(T1375,Parameter!$I$27:$K$29,3,0)),H1375,N(N1375)),IF(N(Q1375)&gt;0,Q1375,MAX(1,H1375)))))</f>
        <v>1</v>
      </c>
      <c r="CA1375" s="65" t="n">
        <f aca="false">IF(BY1375="LOSE",1,0)</f>
        <v>1</v>
      </c>
      <c r="CB1375" s="65" t="n">
        <f aca="false">IF(AND(U1375="",OR(P1375="",P1375="LOSE"),T1375&lt;&gt;"",N(S1375)&lt;=0,ISNUMBER(MATCH(T1375,Parameter!$I$27:$I$29,0))),1,0)</f>
        <v>0</v>
      </c>
      <c r="CC1375" s="65" t="n">
        <f aca="false">IF(CR1375&gt;0,INDEX(Parameter!$H$5:$H$7,W1375)/INDEX(Parameter!$E$5:$E$7,W1375),IF(AND(CA1375=0,N(IFERROR(VLOOKUP(BY1375,'Gebinde-Kategorie'!$A$5:$N$45,14,0),0))&gt;0),VLOOKUP(BY1375,'Gebinde-Kategorie'!$A$5:$N$45,14,0)*10+Parameter!$M$23,Parameter!$M$24))</f>
        <v>238</v>
      </c>
      <c r="CD1375" s="60" t="n">
        <f aca="false">IF(AND(Parameter!$B$19="Ja",E1375&lt;&gt;"",ISNUMBER(MATCH(E1375,Parameter!$I$35:$I$52,0))),VLOOKUP(E1375,Parameter!$I$35:$J$52,2,0),IFERROR(VLOOKUP(D1375,Parameter!$A$35:$C$64,2,0),"Nein"))</f>
        <v>1</v>
      </c>
      <c r="CE1375" s="64" t="n">
        <f aca="false">IF(CA1375=0,0,IF(N(S1375)&gt;0,S1375,IFERROR(VLOOKUP(D1375,Parameter!$A$35:$C$64,3,0)+0,0)))</f>
        <v>1</v>
      </c>
      <c r="CF1375" s="60" t="n">
        <f aca="false">IF(AB1375&lt;&gt;"",AB1375,AA1375)</f>
        <v>1</v>
      </c>
      <c r="CG1375" s="60" t="str">
        <f aca="false">IF(OR(CF1375=1,CF1375=2,CF1375=3),IF(Parameter!$E$27="Ja","LIFT",IF(CF1375=1,"L1","L23")),IF(CF1375="Aussen","Aussen","-"))</f>
        <v>LIFT</v>
      </c>
      <c r="CH1375" s="71" t="n">
        <f aca="false">IF(N(AC1375)&gt;0,AC1375,0)</f>
        <v>0</v>
      </c>
      <c r="CI1375" s="65" t="n">
        <f aca="false">IF(ISNUMBER(AF1375),1,0)</f>
        <v>0</v>
      </c>
      <c r="CJ1375" s="62" t="n">
        <f aca="false">N(AF1375)</f>
        <v>0</v>
      </c>
      <c r="CK1375" s="62" t="n">
        <f aca="false">N(M1375)+N(N1375)</f>
        <v>1</v>
      </c>
      <c r="CL1375" s="62" t="n">
        <f aca="false">N(M1375)</f>
        <v>0</v>
      </c>
      <c r="CM1375" s="62" t="n">
        <f aca="false">N(N1375)</f>
        <v>1</v>
      </c>
      <c r="CN1375" s="62" t="n">
        <f aca="false">ROUNDUP(H1375/BZ1375,0)</f>
        <v>1</v>
      </c>
      <c r="CO1375" s="62" t="n">
        <f aca="false">ROUNDUP(CJ1375/BZ1375,0)</f>
        <v>0</v>
      </c>
      <c r="CP1375" s="65" t="n">
        <f aca="false">IF(CA1375=1,0,IFERROR(VLOOKUP(BY1375,'Gebinde-Kategorie'!$A$5:$N$45,5,0)+0,0))</f>
        <v>0</v>
      </c>
      <c r="CQ1375" s="65" t="n">
        <f aca="false">IFERROR(IF(OR(CF1375=1,CF1375=2,CF1375=3),N(INDEX(Parameter!$I$5:$I$7,CF1375)),0),0)</f>
        <v>0</v>
      </c>
      <c r="CR1375" s="64" t="n">
        <f aca="false">IF(AND(Parameter!$B$21="Ja",ISNUMBER(W1375),N(X1375)&gt;0),IFERROR(N(INDEX(Parameter!$L$5:$L$7,W1375))*INDEX(Parameter!$E$5:$E$7,W1375)*X1375/SUMIFS($X$7:$X$1843,$W$7:$W$1843,W1375),0),0)</f>
        <v>0.160075329566855</v>
      </c>
      <c r="CS1375" s="62" t="n">
        <f aca="false">IF(AND(OR(CG1375="L1",CG1375="L23",CG1375="LIFT"),H1375&gt;0),CC1375*IF(CR1375&gt;0,CR1375*MAX(1,H1375/X1375),IF(CA1375=1,CE1375,IF(R1375&gt;0,CN1375/R1375,0))/MAX(0.1,N(Parameter!$M$21))),"")</f>
        <v>38.0979284369115</v>
      </c>
      <c r="CT1375" s="64" t="n">
        <f aca="false">IF(CS1375="","",J1375/H1375)</f>
        <v>1</v>
      </c>
      <c r="CU1375" s="62" t="n">
        <f aca="false">IF(CS1375="","",H1375*G1375)</f>
        <v>1385.5</v>
      </c>
      <c r="CV1375" s="63" t="n">
        <f aca="false">IF(CS1375="","",(CL1375+ROUNDUP(CL1375+MAX(CM1375,2*(J1375/MAX(0.1,N(Einkauf!$C$6))-CL1375)),0))/2)</f>
        <v>0.5</v>
      </c>
      <c r="CW1375" s="62" t="n">
        <f aca="false">IF(CS1375="","",MAX(0,H1375-CV1375)*G1375)</f>
        <v>692.75</v>
      </c>
      <c r="CX1375" s="62" t="n">
        <f aca="false">IF(CS1375="","",CS1375*MAX(0,1-CV1375/H1375))</f>
        <v>19.0489642184557</v>
      </c>
      <c r="CY1375" s="64" t="n">
        <f aca="false">IF(CS1375="","",PERCENTRANK($CS$7:$CS$1843,CS1375)+PERCENTRANK($CU$7:$CU$1843,CU1375)+1-PERCENTRANK($CT$7:$CT$1843,CT1375))</f>
        <v>1.926</v>
      </c>
      <c r="CZ1375" s="72" t="n">
        <f aca="false">IF(CS1375="","",CHOOSE(MATCH(Einkauf!$C$5,Parameter!$G$23:$G$27,0),CY1375,CS1375,CU1375,-CT1375,CW1375)+ROW()/1000000000)</f>
        <v>1.926001375</v>
      </c>
    </row>
    <row r="1376" customFormat="false" ht="15" hidden="false" customHeight="false" outlineLevel="0" collapsed="false">
      <c r="A1376" s="60" t="s">
        <v>2467</v>
      </c>
      <c r="B1376" s="60" t="s">
        <v>2468</v>
      </c>
      <c r="C1376" s="60" t="s">
        <v>206</v>
      </c>
      <c r="D1376" s="60" t="s">
        <v>215</v>
      </c>
      <c r="E1376" s="60" t="s">
        <v>208</v>
      </c>
      <c r="F1376" s="60" t="s">
        <v>260</v>
      </c>
      <c r="G1376" s="61" t="n">
        <v>91.4</v>
      </c>
      <c r="H1376" s="62" t="n">
        <f aca="false">MAX(0,IF(AND(Parameter!$B$21="Ja",ISNUMBER(Y1376)),Y1376,IF(Parameter!$B$20="Jahresanfang 2025 + Export",BS1376+BR1376,BR1376)))</f>
        <v>21</v>
      </c>
      <c r="I1376" s="62" t="n">
        <f aca="false">H1376*G1376</f>
        <v>1919.4</v>
      </c>
      <c r="J1376" s="62" t="n">
        <f aca="false">BU1376*Parameter!$B$18</f>
        <v>145</v>
      </c>
      <c r="K1376" s="63" t="n">
        <v>42</v>
      </c>
      <c r="L1376" s="64" t="n">
        <v>3.45238095238095</v>
      </c>
      <c r="M1376" s="62" t="n">
        <v>8</v>
      </c>
      <c r="N1376" s="62" t="n">
        <v>50</v>
      </c>
      <c r="O1376" s="65" t="n">
        <v>21</v>
      </c>
      <c r="P1376" s="60" t="s">
        <v>216</v>
      </c>
      <c r="Q1376" s="62" t="n">
        <v>80</v>
      </c>
      <c r="R1376" s="65" t="n">
        <f aca="false">IF(CA1376=1,0,IFERROR(VLOOKUP(BY1376,'Gebinde-Kategorie'!$A$5:$N$45,13,0)+0,0))</f>
        <v>6</v>
      </c>
      <c r="S1376" s="66"/>
      <c r="T1376" s="67"/>
      <c r="U1376" s="67"/>
      <c r="V1376" s="67"/>
      <c r="W1376" s="60"/>
      <c r="X1376" s="62"/>
      <c r="Y1376" s="62"/>
      <c r="Z1376" s="60" t="n">
        <v>1</v>
      </c>
      <c r="AA1376" s="60" t="n">
        <f aca="false">IF(A1376="","",IF(AND(Parameter!$B$21="Ja",ISNUMBER(W1376)),W1376,IF(AND(Parameter!$E$27="Ja",ISNUMBER(Z1376),CD1376&lt;&gt;"Nein"),Z1376,IF(CD1376="2+3",IF(ISNUMBER(SEARCH("grosser Artikel",BV1376)),2,IFERROR(VLOOKUP(BY1376,Parameter!$F$35:$G$64,2,0),2)),IF(OR(CD1376="Nein",CD1376=""),"-",CD1376)))))</f>
        <v>1</v>
      </c>
      <c r="AB1376" s="67"/>
      <c r="AC1376" s="68"/>
      <c r="AD1376" s="62" t="n">
        <f aca="false">AW1376</f>
        <v>89</v>
      </c>
      <c r="AE1376" s="62" t="n">
        <f aca="false">MAX(AW1376,H1376)</f>
        <v>89</v>
      </c>
      <c r="AF1376" s="69"/>
      <c r="AG1376" s="62" t="n">
        <f aca="false">IF(LEFT(Cockpit!$C$5,1)="A",H1376,IF(Parameter!$E$30="MAX-Bestand",IF(CI1376=1,CJ1376,IF(LEFT(Cockpit!$C$5,1)="B",AM1376,MAX(AM1376,H1376))),ROUNDUP(AK1376,0)))</f>
        <v>21</v>
      </c>
      <c r="AH1376" s="62" t="n">
        <f aca="false">IF(CA1376=1,0,ROUNDUP(AG1376/BZ1376,0))</f>
        <v>1</v>
      </c>
      <c r="AI1376" s="64" t="n">
        <f aca="false">IF(CR1376&gt;0,CR1376*MAX(1,AG1376/X1376),IF(CA1376=1,IF(AG1376&lt;=0,0,CE1376*MAX(1,IF(H1376&gt;0,AG1376/H1376,1))),IF(R1376&gt;0,AH1376/R1376,0))/MAX(0.1,N(Parameter!$M$21)))</f>
        <v>0.166666666666667</v>
      </c>
      <c r="AJ1376" s="62" t="n">
        <f aca="false">AI1376*CC1376</f>
        <v>39.1666666666667</v>
      </c>
      <c r="AK1376" s="63" t="n">
        <f aca="false">IF(LEFT(Cockpit!$C$5,1)="A",H1376,IF(CI1376=1,(CL1376+CJ1376)/2,IF(LEFT(Cockpit!$C$5,1)="B",(CL1376+AM1376)/2,MAX((CL1376+AM1376)/2,H1376))))</f>
        <v>21</v>
      </c>
      <c r="AL1376" s="62" t="n">
        <f aca="false">AK1376*G1376</f>
        <v>1919.4</v>
      </c>
      <c r="AM1376" s="62" t="n">
        <f aca="false">ROUNDUP(CL1376+MAX(CM1376,2*(J1376/IF(CH1376&gt;0,CH1376,MAX(0.1,N(Cockpit!$C$6)))-CL1376)),0)</f>
        <v>89</v>
      </c>
      <c r="AN1376" s="63" t="n">
        <f aca="false">IF(AJ1376&gt;0,J1376/AJ1376,-1)</f>
        <v>3.70212765957447</v>
      </c>
      <c r="AO1376" s="63" t="n">
        <f aca="false">IF(AND(OR(CG1376="L1",CG1376="L23",CG1376="LIFT"),AJ1376&gt;0),SUMIFS($AJ$7:$AJ$1843,$CG$7:$CG$1843,CG1376,$AN$7:$AN$1843,"&gt;"&amp;AN1376)+SUMIFS($AJ$7:$AJ$1843,$CG$7:$CG$1843,CG1376,$AN$7:$AN$1843,AN1376,$BX$7:$BX$1843,"&lt;="&amp;BX1376),"")</f>
        <v>4766.8141025641</v>
      </c>
      <c r="AP1376" s="70" t="n">
        <f aca="false">IF(AO1376="",0,MAX(0,MIN(1,(IF(CG1376="L1",Parameter!$H$5,IF(CG1376="L23",Parameter!$H$6+Parameter!$H$7,Parameter!$H$5+Parameter!$H$6+Parameter!$H$7))-(AO1376-AJ1376))/AJ1376)))</f>
        <v>1</v>
      </c>
      <c r="AQ1376" s="62" t="n">
        <f aca="false">IF(LEFT(Cockpit!$I$5,1)="A",H1376,IF(Parameter!$E$30="MAX-Bestand",IF(CI1376=1,CJ1376,IF(LEFT(Cockpit!$I$5,1)="B",AW1376,MAX(AW1376,H1376))),ROUNDUP(AU1376,0)))</f>
        <v>49</v>
      </c>
      <c r="AR1376" s="62" t="n">
        <f aca="false">IF(CA1376=1,0,ROUNDUP(AQ1376/BZ1376,0))</f>
        <v>1</v>
      </c>
      <c r="AS1376" s="64" t="n">
        <f aca="false">IF(CR1376&gt;0,CR1376*MAX(1,AQ1376/X1376),IF(CA1376=1,IF(AQ1376&lt;=0,0,CE1376*MAX(1,IF(H1376&gt;0,AQ1376/H1376,1))),IF(R1376&gt;0,AR1376/R1376,0))/MAX(0.1,N(Parameter!$M$21)))</f>
        <v>0.166666666666667</v>
      </c>
      <c r="AT1376" s="62" t="n">
        <f aca="false">AS1376*CC1376</f>
        <v>39.1666666666667</v>
      </c>
      <c r="AU1376" s="63" t="n">
        <f aca="false">IF(LEFT(Cockpit!$I$5,1)="A",H1376,IF(CI1376=1,(CL1376+CJ1376)/2,IF(LEFT(Cockpit!$I$5,1)="B",(CL1376+AW1376)/2,MAX((CL1376+AW1376)/2,H1376))))</f>
        <v>48.5</v>
      </c>
      <c r="AV1376" s="62" t="n">
        <f aca="false">AU1376*G1376</f>
        <v>4432.9</v>
      </c>
      <c r="AW1376" s="62" t="n">
        <f aca="false">ROUNDUP(CL1376+MAX(CM1376,2*(J1376/IF(CH1376&gt;0,CH1376,MAX(0.1,N(Cockpit!$I$6)))-CL1376)),0)</f>
        <v>89</v>
      </c>
      <c r="AX1376" s="63" t="n">
        <f aca="false">IF(AT1376&gt;0,J1376/AT1376,-1)</f>
        <v>3.70212765957447</v>
      </c>
      <c r="AY1376" s="63" t="n">
        <f aca="false">IF(AND(OR(CG1376="L1",CG1376="L23",CG1376="LIFT"),AT1376&gt;0),SUMIFS($AT$7:$AT$1843,$CG$7:$CG$1843,CG1376,$AX$7:$AX$1843,"&gt;"&amp;AX1376)+SUMIFS($AT$7:$AT$1843,$CG$7:$CG$1843,CG1376,$AX$7:$AX$1843,AX1376,$BX$7:$BX$1843,"&lt;="&amp;BX1376),"")</f>
        <v>5385.23443223443</v>
      </c>
      <c r="AZ1376" s="70" t="n">
        <f aca="false">IF(AY1376="",0,MAX(0,MIN(1,(IF(CG1376="L1",Parameter!$H$5,IF(CG1376="L23",Parameter!$H$6+Parameter!$H$7,Parameter!$H$5+Parameter!$H$6+Parameter!$H$7))-(AY1376-AT1376))/AT1376)))</f>
        <v>1</v>
      </c>
      <c r="BA1376" s="62" t="n">
        <f aca="false">IF(LEFT(Cockpit!$O$5,1)="A",H1376,IF(Parameter!$E$30="MAX-Bestand",IF(CI1376=1,CJ1376,IF(LEFT(Cockpit!$O$5,1)="B",BG1376,MAX(BG1376,H1376))),ROUNDUP(BE1376,0)))</f>
        <v>37</v>
      </c>
      <c r="BB1376" s="62" t="n">
        <f aca="false">IF(CA1376=1,0,ROUNDUP(BA1376/BZ1376,0))</f>
        <v>1</v>
      </c>
      <c r="BC1376" s="64" t="n">
        <f aca="false">IF(CR1376&gt;0,CR1376*MAX(1,BA1376/X1376),IF(CA1376=1,IF(BA1376&lt;=0,0,CE1376*MAX(1,IF(H1376&gt;0,BA1376/H1376,1))),IF(R1376&gt;0,BB1376/R1376,0))/MAX(0.1,N(Parameter!$M$21)))</f>
        <v>0.166666666666667</v>
      </c>
      <c r="BD1376" s="62" t="n">
        <f aca="false">BC1376*CC1376</f>
        <v>39.1666666666667</v>
      </c>
      <c r="BE1376" s="63" t="n">
        <f aca="false">IF(LEFT(Cockpit!$O$5,1)="A",H1376,IF(CI1376=1,(CL1376+CJ1376)/2,IF(LEFT(Cockpit!$O$5,1)="B",(CL1376+BG1376)/2,MAX((CL1376+BG1376)/2,H1376))))</f>
        <v>36.5</v>
      </c>
      <c r="BF1376" s="62" t="n">
        <f aca="false">BE1376*G1376</f>
        <v>3336.1</v>
      </c>
      <c r="BG1376" s="62" t="n">
        <f aca="false">ROUNDUP(CL1376+MAX(CM1376,2*(J1376/IF(CH1376&gt;0,CH1376,MAX(0.1,N(Cockpit!$O$6)))-CL1376)),0)</f>
        <v>65</v>
      </c>
      <c r="BH1376" s="63" t="n">
        <f aca="false">IF(BD1376&gt;0,J1376/BD1376,-1)</f>
        <v>3.70212765957447</v>
      </c>
      <c r="BI1376" s="63" t="n">
        <f aca="false">IF(AND(OR(CG1376="L1",CG1376="L23",CG1376="LIFT"),BD1376&gt;0),SUMIFS($BD$7:$BD$1843,$CG$7:$CG$1843,CG1376,$BH$7:$BH$1843,"&gt;"&amp;BH1376)+SUMIFS($BD$7:$BD$1843,$CG$7:$CG$1843,CG1376,$BH$7:$BH$1843,BH1376,$BX$7:$BX$1843,"&lt;="&amp;BX1376),"")</f>
        <v>4403.60622710623</v>
      </c>
      <c r="BJ1376" s="70" t="n">
        <f aca="false">IF(BI1376="",0,MAX(0,MIN(1,(IF(CG1376="L1",Parameter!$H$5,IF(CG1376="L23",Parameter!$H$6+Parameter!$H$7,Parameter!$H$5+Parameter!$H$6+Parameter!$H$7))-(BI1376-BD1376))/BD1376)))</f>
        <v>1</v>
      </c>
      <c r="BK1376" s="60" t="str">
        <f aca="false">IF(AJ1376&lt;=0,"",IF(CG1376="Aussen","Aussenlager",IF(CG1376="-","Nicht im Lift",IF(AP1376&gt;=1,"Lift",IF(AP1376&lt;=0,"Aussenlager","teilweise")))))</f>
        <v>Lift</v>
      </c>
      <c r="BL1376" s="60" t="str">
        <f aca="false">IF(AT1376&lt;=0,"",IF(CG1376="Aussen","Aussenlager",IF(CG1376="-","Nicht im Lift",IF(AZ1376&gt;=1,"Lift",IF(AZ1376&lt;=0,"Aussenlager","teilweise")))))</f>
        <v>Lift</v>
      </c>
      <c r="BM1376" s="60" t="str">
        <f aca="false">IF(BD1376&lt;=0,"",IF(CG1376="Aussen","Aussenlager",IF(CG1376="-","Nicht im Lift",IF(BJ1376&gt;=1,"Lift",IF(BJ1376&lt;=0,"Aussenlager","teilweise")))))</f>
        <v>Lift</v>
      </c>
      <c r="BN1376" s="60" t="str">
        <f aca="false">IF(A1376="","",IF(BW1376=1,"Neu; ","")&amp;IF(AND(BW1376=0,BR1376&lt;0),"negativer Bestand (Export "&amp;BR1376&amp;"); ","")&amp;IF(J1376&lt;=0,"Kein Verbrauch; ","")&amp;IF(CR1376&gt;0,"Lift "&amp;W1376&amp;" lt. Liftbericht (Fach "&amp;X1376&amp;" Stk); ",IF(CB1376=1,"Gebinde geschätzt ("&amp;T1376&amp;"); ",IF(CA1376=1,"Lose – Tablare geschätzt; ","")))&amp;IF(H1376&gt;AW1376,"Überbestand "&amp;ROUND(H1376-AW1376,0)&amp;" Stk / CHF "&amp;ROUND((H1376-AW1376)*G1376,0)&amp;"; ","")&amp;IF(AND(CI1376=1,CJ1376&lt;CK1376),"MAX &lt; MB+LG; ","")&amp;IF(AND(CQ1376&gt;0,CP1376*10&gt;CQ1376),"zu hoch für Tablar; ","")&amp;IF(AND(BW1376=0,OR(CI1376=1,AB1376&lt;&gt;"",U1376&lt;&gt;"",V1376&lt;&gt;"",AC1376&lt;&gt;"")),"manuell übersteuert; ","")&amp;IF(AND(CA1376=0,R1376=0),"Gebinde unbekannt / Stellmass fehlt; ","")&amp;IF(AND(CA1376=0,N(V1376)&lt;=0,N(Q1376)&lt;=0),"Menge pro Gebinde fehlt (Ist = 1 Gebinde); ","")&amp;BV1376)</f>
        <v>negativer Bestand (Export -19); </v>
      </c>
      <c r="BO1376" s="60"/>
      <c r="BP1376" s="60"/>
      <c r="BQ1376" s="67"/>
      <c r="BR1376" s="62" t="n">
        <v>-19</v>
      </c>
      <c r="BS1376" s="62" t="n">
        <v>40</v>
      </c>
      <c r="BT1376" s="61" t="n">
        <v>-2789.00000000001</v>
      </c>
      <c r="BU1376" s="62" t="n">
        <v>145</v>
      </c>
      <c r="BV1376" s="60"/>
      <c r="BW1376" s="65" t="n">
        <v>0</v>
      </c>
      <c r="BX1376" s="65" t="n">
        <v>1376</v>
      </c>
      <c r="BY1376" s="60" t="str">
        <f aca="false">IF(U1376&lt;&gt;"",UPPER(TRIM(U1376)),IF(CB1376=1,UPPER(VLOOKUP(T1376,Parameter!$I$27:$K$29,2,0)),IF(P1376="","LOSE",P1376)))</f>
        <v>S71</v>
      </c>
      <c r="BZ1376" s="62" t="n">
        <f aca="false">IF(BY1376="LOSE",1,IF(N(V1376)&gt;0,V1376,IF(CB1376=1,MAX(1,N(VLOOKUP(T1376,Parameter!$I$27:$K$29,3,0)),H1376,N(N1376)),IF(N(Q1376)&gt;0,Q1376,MAX(1,H1376)))))</f>
        <v>80</v>
      </c>
      <c r="CA1376" s="65" t="n">
        <f aca="false">IF(BY1376="LOSE",1,0)</f>
        <v>0</v>
      </c>
      <c r="CB1376" s="65" t="n">
        <f aca="false">IF(AND(U1376="",OR(P1376="",P1376="LOSE"),T1376&lt;&gt;"",N(S1376)&lt;=0,ISNUMBER(MATCH(T1376,Parameter!$I$27:$I$29,0))),1,0)</f>
        <v>0</v>
      </c>
      <c r="CC1376" s="65" t="n">
        <f aca="false">IF(CR1376&gt;0,INDEX(Parameter!$H$5:$H$7,W1376)/INDEX(Parameter!$E$5:$E$7,W1376),IF(AND(CA1376=0,N(IFERROR(VLOOKUP(BY1376,'Gebinde-Kategorie'!$A$5:$N$45,14,0),0))&gt;0),VLOOKUP(BY1376,'Gebinde-Kategorie'!$A$5:$N$45,14,0)*10+Parameter!$M$23,Parameter!$M$24))</f>
        <v>235</v>
      </c>
      <c r="CD1376" s="60" t="n">
        <f aca="false">IF(AND(Parameter!$B$19="Ja",E1376&lt;&gt;"",ISNUMBER(MATCH(E1376,Parameter!$I$35:$I$52,0))),VLOOKUP(E1376,Parameter!$I$35:$J$52,2,0),IFERROR(VLOOKUP(D1376,Parameter!$A$35:$C$64,2,0),"Nein"))</f>
        <v>1</v>
      </c>
      <c r="CE1376" s="64" t="n">
        <f aca="false">IF(CA1376=0,0,IF(N(S1376)&gt;0,S1376,IFERROR(VLOOKUP(D1376,Parameter!$A$35:$C$64,3,0)+0,0)))</f>
        <v>0</v>
      </c>
      <c r="CF1376" s="60" t="n">
        <f aca="false">IF(AB1376&lt;&gt;"",AB1376,AA1376)</f>
        <v>1</v>
      </c>
      <c r="CG1376" s="60" t="str">
        <f aca="false">IF(OR(CF1376=1,CF1376=2,CF1376=3),IF(Parameter!$E$27="Ja","LIFT",IF(CF1376=1,"L1","L23")),IF(CF1376="Aussen","Aussen","-"))</f>
        <v>LIFT</v>
      </c>
      <c r="CH1376" s="71" t="n">
        <f aca="false">IF(N(AC1376)&gt;0,AC1376,0)</f>
        <v>0</v>
      </c>
      <c r="CI1376" s="65" t="n">
        <f aca="false">IF(ISNUMBER(AF1376),1,0)</f>
        <v>0</v>
      </c>
      <c r="CJ1376" s="62" t="n">
        <f aca="false">N(AF1376)</f>
        <v>0</v>
      </c>
      <c r="CK1376" s="62" t="n">
        <f aca="false">N(M1376)+N(N1376)</f>
        <v>58</v>
      </c>
      <c r="CL1376" s="62" t="n">
        <f aca="false">N(M1376)</f>
        <v>8</v>
      </c>
      <c r="CM1376" s="62" t="n">
        <f aca="false">N(N1376)</f>
        <v>50</v>
      </c>
      <c r="CN1376" s="62" t="n">
        <f aca="false">ROUNDUP(H1376/BZ1376,0)</f>
        <v>1</v>
      </c>
      <c r="CO1376" s="62" t="n">
        <f aca="false">ROUNDUP(CJ1376/BZ1376,0)</f>
        <v>0</v>
      </c>
      <c r="CP1376" s="65" t="n">
        <f aca="false">IF(CA1376=1,0,IFERROR(VLOOKUP(BY1376,'Gebinde-Kategorie'!$A$5:$N$45,5,0)+0,0))</f>
        <v>20</v>
      </c>
      <c r="CQ1376" s="65" t="n">
        <f aca="false">IFERROR(IF(OR(CF1376=1,CF1376=2,CF1376=3),N(INDEX(Parameter!$I$5:$I$7,CF1376)),0),0)</f>
        <v>0</v>
      </c>
      <c r="CR1376" s="64" t="n">
        <f aca="false">IF(AND(Parameter!$B$21="Ja",ISNUMBER(W1376),N(X1376)&gt;0),IFERROR(N(INDEX(Parameter!$L$5:$L$7,W1376))*INDEX(Parameter!$E$5:$E$7,W1376)*X1376/SUMIFS($X$7:$X$1843,$W$7:$W$1843,W1376),0),0)</f>
        <v>0</v>
      </c>
      <c r="CS1376" s="62" t="n">
        <f aca="false">IF(AND(OR(CG1376="L1",CG1376="L23",CG1376="LIFT"),H1376&gt;0),CC1376*IF(CR1376&gt;0,CR1376*MAX(1,H1376/X1376),IF(CA1376=1,CE1376,IF(R1376&gt;0,CN1376/R1376,0))/MAX(0.1,N(Parameter!$M$21))),"")</f>
        <v>39.1666666666667</v>
      </c>
      <c r="CT1376" s="64" t="n">
        <f aca="false">IF(CS1376="","",J1376/H1376)</f>
        <v>6.90476190476191</v>
      </c>
      <c r="CU1376" s="62" t="n">
        <f aca="false">IF(CS1376="","",H1376*G1376)</f>
        <v>1919.4</v>
      </c>
      <c r="CV1376" s="63" t="n">
        <f aca="false">IF(CS1376="","",(CL1376+ROUNDUP(CL1376+MAX(CM1376,2*(J1376/MAX(0.1,N(Einkauf!$C$6))-CL1376)),0))/2)</f>
        <v>36.5</v>
      </c>
      <c r="CW1376" s="62" t="n">
        <f aca="false">IF(CS1376="","",MAX(0,H1376-CV1376)*G1376)</f>
        <v>0</v>
      </c>
      <c r="CX1376" s="62" t="n">
        <f aca="false">IF(CS1376="","",CS1376*MAX(0,1-CV1376/H1376))</f>
        <v>0</v>
      </c>
      <c r="CY1376" s="64" t="n">
        <f aca="false">IF(CS1376="","",PERCENTRANK($CS$7:$CS$1843,CS1376)+PERCENTRANK($CU$7:$CU$1843,CU1376)+1-PERCENTRANK($CT$7:$CT$1843,CT1376))</f>
        <v>1.644</v>
      </c>
      <c r="CZ1376" s="72" t="n">
        <f aca="false">IF(CS1376="","",CHOOSE(MATCH(Einkauf!$C$5,Parameter!$G$23:$G$27,0),CY1376,CS1376,CU1376,-CT1376,CW1376)+ROW()/1000000000)</f>
        <v>1.644001376</v>
      </c>
    </row>
    <row r="1377" customFormat="false" ht="15" hidden="false" customHeight="false" outlineLevel="0" collapsed="false">
      <c r="A1377" s="60" t="s">
        <v>2469</v>
      </c>
      <c r="B1377" s="60" t="s">
        <v>2400</v>
      </c>
      <c r="C1377" s="60" t="s">
        <v>206</v>
      </c>
      <c r="D1377" s="60" t="s">
        <v>395</v>
      </c>
      <c r="E1377" s="60"/>
      <c r="F1377" s="60" t="s">
        <v>260</v>
      </c>
      <c r="G1377" s="61" t="n">
        <v>1410.11</v>
      </c>
      <c r="H1377" s="62" t="n">
        <f aca="false">MAX(0,IF(AND(Parameter!$B$21="Ja",ISNUMBER(Y1377)),Y1377,IF(Parameter!$B$20="Jahresanfang 2025 + Export",BS1377+BR1377,BR1377)))</f>
        <v>0</v>
      </c>
      <c r="I1377" s="62" t="n">
        <f aca="false">H1377*G1377</f>
        <v>0</v>
      </c>
      <c r="J1377" s="62" t="n">
        <f aca="false">BU1377*Parameter!$B$18</f>
        <v>0</v>
      </c>
      <c r="K1377" s="63" t="n">
        <v>1</v>
      </c>
      <c r="L1377" s="64" t="n">
        <v>0</v>
      </c>
      <c r="M1377" s="62" t="n">
        <v>0</v>
      </c>
      <c r="N1377" s="62" t="n">
        <v>1</v>
      </c>
      <c r="O1377" s="65" t="n">
        <v>0</v>
      </c>
      <c r="P1377" s="60" t="s">
        <v>210</v>
      </c>
      <c r="Q1377" s="62"/>
      <c r="R1377" s="65" t="n">
        <f aca="false">IF(CA1377=1,0,IFERROR(VLOOKUP(BY1377,'Gebinde-Kategorie'!$A$5:$N$45,13,0)+0,0))</f>
        <v>0</v>
      </c>
      <c r="S1377" s="66"/>
      <c r="T1377" s="67"/>
      <c r="U1377" s="67"/>
      <c r="V1377" s="67"/>
      <c r="W1377" s="60"/>
      <c r="X1377" s="62"/>
      <c r="Y1377" s="62"/>
      <c r="Z1377" s="60"/>
      <c r="AA1377" s="60" t="str">
        <f aca="false">IF(A1377="","",IF(AND(Parameter!$B$21="Ja",ISNUMBER(W1377)),W1377,IF(AND(Parameter!$E$27="Ja",ISNUMBER(Z1377),CD1377&lt;&gt;"Nein"),Z1377,IF(CD1377="2+3",IF(ISNUMBER(SEARCH("grosser Artikel",BV1377)),2,IFERROR(VLOOKUP(BY1377,Parameter!$F$35:$G$64,2,0),2)),IF(OR(CD1377="Nein",CD1377=""),"-",CD1377)))))</f>
        <v>-</v>
      </c>
      <c r="AB1377" s="67"/>
      <c r="AC1377" s="68"/>
      <c r="AD1377" s="62" t="n">
        <f aca="false">AW1377</f>
        <v>1</v>
      </c>
      <c r="AE1377" s="62" t="n">
        <f aca="false">MAX(AW1377,H1377)</f>
        <v>1</v>
      </c>
      <c r="AF1377" s="69"/>
      <c r="AG1377" s="62" t="n">
        <f aca="false">IF(LEFT(Cockpit!$C$5,1)="A",H1377,IF(Parameter!$E$30="MAX-Bestand",IF(CI1377=1,CJ1377,IF(LEFT(Cockpit!$C$5,1)="B",AM1377,MAX(AM1377,H1377))),ROUNDUP(AK1377,0)))</f>
        <v>0</v>
      </c>
      <c r="AH1377" s="62" t="n">
        <f aca="false">IF(CA1377=1,0,ROUNDUP(AG1377/BZ1377,0))</f>
        <v>0</v>
      </c>
      <c r="AI1377" s="64" t="n">
        <f aca="false">IF(CR1377&gt;0,CR1377*MAX(1,AG1377/X1377),IF(CA1377=1,IF(AG1377&lt;=0,0,CE1377*MAX(1,IF(H1377&gt;0,AG1377/H1377,1))),IF(R1377&gt;0,AH1377/R1377,0))/MAX(0.1,N(Parameter!$M$21)))</f>
        <v>0</v>
      </c>
      <c r="AJ1377" s="62" t="n">
        <f aca="false">AI1377*CC1377</f>
        <v>0</v>
      </c>
      <c r="AK1377" s="63" t="n">
        <f aca="false">IF(LEFT(Cockpit!$C$5,1)="A",H1377,IF(CI1377=1,(CL1377+CJ1377)/2,IF(LEFT(Cockpit!$C$5,1)="B",(CL1377+AM1377)/2,MAX((CL1377+AM1377)/2,H1377))))</f>
        <v>0</v>
      </c>
      <c r="AL1377" s="62" t="n">
        <f aca="false">AK1377*G1377</f>
        <v>0</v>
      </c>
      <c r="AM1377" s="62" t="n">
        <f aca="false">ROUNDUP(CL1377+MAX(CM1377,2*(J1377/IF(CH1377&gt;0,CH1377,MAX(0.1,N(Cockpit!$C$6)))-CL1377)),0)</f>
        <v>1</v>
      </c>
      <c r="AN1377" s="63" t="n">
        <f aca="false">IF(AJ1377&gt;0,J1377/AJ1377,-1)</f>
        <v>-1</v>
      </c>
      <c r="AO1377" s="63" t="str">
        <f aca="false">IF(AND(OR(CG1377="L1",CG1377="L23",CG1377="LIFT"),AJ1377&gt;0),SUMIFS($AJ$7:$AJ$1843,$CG$7:$CG$1843,CG1377,$AN$7:$AN$1843,"&gt;"&amp;AN1377)+SUMIFS($AJ$7:$AJ$1843,$CG$7:$CG$1843,CG1377,$AN$7:$AN$1843,AN1377,$BX$7:$BX$1843,"&lt;="&amp;BX1377),"")</f>
        <v/>
      </c>
      <c r="AP1377" s="70" t="n">
        <f aca="false">IF(AO1377="",0,MAX(0,MIN(1,(IF(CG1377="L1",Parameter!$H$5,IF(CG1377="L23",Parameter!$H$6+Parameter!$H$7,Parameter!$H$5+Parameter!$H$6+Parameter!$H$7))-(AO1377-AJ1377))/AJ1377)))</f>
        <v>0</v>
      </c>
      <c r="AQ1377" s="62" t="n">
        <f aca="false">IF(LEFT(Cockpit!$I$5,1)="A",H1377,IF(Parameter!$E$30="MAX-Bestand",IF(CI1377=1,CJ1377,IF(LEFT(Cockpit!$I$5,1)="B",AW1377,MAX(AW1377,H1377))),ROUNDUP(AU1377,0)))</f>
        <v>1</v>
      </c>
      <c r="AR1377" s="62" t="n">
        <f aca="false">IF(CA1377=1,0,ROUNDUP(AQ1377/BZ1377,0))</f>
        <v>0</v>
      </c>
      <c r="AS1377" s="64" t="n">
        <f aca="false">IF(CR1377&gt;0,CR1377*MAX(1,AQ1377/X1377),IF(CA1377=1,IF(AQ1377&lt;=0,0,CE1377*MAX(1,IF(H1377&gt;0,AQ1377/H1377,1))),IF(R1377&gt;0,AR1377/R1377,0))/MAX(0.1,N(Parameter!$M$21)))</f>
        <v>0.15</v>
      </c>
      <c r="AT1377" s="62" t="n">
        <f aca="false">AS1377*CC1377</f>
        <v>35.25</v>
      </c>
      <c r="AU1377" s="63" t="n">
        <f aca="false">IF(LEFT(Cockpit!$I$5,1)="A",H1377,IF(CI1377=1,(CL1377+CJ1377)/2,IF(LEFT(Cockpit!$I$5,1)="B",(CL1377+AW1377)/2,MAX((CL1377+AW1377)/2,H1377))))</f>
        <v>0.5</v>
      </c>
      <c r="AV1377" s="62" t="n">
        <f aca="false">AU1377*G1377</f>
        <v>705.055</v>
      </c>
      <c r="AW1377" s="62" t="n">
        <f aca="false">ROUNDUP(CL1377+MAX(CM1377,2*(J1377/IF(CH1377&gt;0,CH1377,MAX(0.1,N(Cockpit!$I$6)))-CL1377)),0)</f>
        <v>1</v>
      </c>
      <c r="AX1377" s="63" t="n">
        <f aca="false">IF(AT1377&gt;0,J1377/AT1377,-1)</f>
        <v>0</v>
      </c>
      <c r="AY1377" s="63" t="str">
        <f aca="false">IF(AND(OR(CG1377="L1",CG1377="L23",CG1377="LIFT"),AT1377&gt;0),SUMIFS($AT$7:$AT$1843,$CG$7:$CG$1843,CG1377,$AX$7:$AX$1843,"&gt;"&amp;AX1377)+SUMIFS($AT$7:$AT$1843,$CG$7:$CG$1843,CG1377,$AX$7:$AX$1843,AX1377,$BX$7:$BX$1843,"&lt;="&amp;BX1377),"")</f>
        <v/>
      </c>
      <c r="AZ1377" s="70" t="n">
        <f aca="false">IF(AY1377="",0,MAX(0,MIN(1,(IF(CG1377="L1",Parameter!$H$5,IF(CG1377="L23",Parameter!$H$6+Parameter!$H$7,Parameter!$H$5+Parameter!$H$6+Parameter!$H$7))-(AY1377-AT1377))/AT1377)))</f>
        <v>0</v>
      </c>
      <c r="BA1377" s="62" t="n">
        <f aca="false">IF(LEFT(Cockpit!$O$5,1)="A",H1377,IF(Parameter!$E$30="MAX-Bestand",IF(CI1377=1,CJ1377,IF(LEFT(Cockpit!$O$5,1)="B",BG1377,MAX(BG1377,H1377))),ROUNDUP(BE1377,0)))</f>
        <v>1</v>
      </c>
      <c r="BB1377" s="62" t="n">
        <f aca="false">IF(CA1377=1,0,ROUNDUP(BA1377/BZ1377,0))</f>
        <v>0</v>
      </c>
      <c r="BC1377" s="64" t="n">
        <f aca="false">IF(CR1377&gt;0,CR1377*MAX(1,BA1377/X1377),IF(CA1377=1,IF(BA1377&lt;=0,0,CE1377*MAX(1,IF(H1377&gt;0,BA1377/H1377,1))),IF(R1377&gt;0,BB1377/R1377,0))/MAX(0.1,N(Parameter!$M$21)))</f>
        <v>0.15</v>
      </c>
      <c r="BD1377" s="62" t="n">
        <f aca="false">BC1377*CC1377</f>
        <v>35.25</v>
      </c>
      <c r="BE1377" s="63" t="n">
        <f aca="false">IF(LEFT(Cockpit!$O$5,1)="A",H1377,IF(CI1377=1,(CL1377+CJ1377)/2,IF(LEFT(Cockpit!$O$5,1)="B",(CL1377+BG1377)/2,MAX((CL1377+BG1377)/2,H1377))))</f>
        <v>0.5</v>
      </c>
      <c r="BF1377" s="62" t="n">
        <f aca="false">BE1377*G1377</f>
        <v>705.055</v>
      </c>
      <c r="BG1377" s="62" t="n">
        <f aca="false">ROUNDUP(CL1377+MAX(CM1377,2*(J1377/IF(CH1377&gt;0,CH1377,MAX(0.1,N(Cockpit!$O$6)))-CL1377)),0)</f>
        <v>1</v>
      </c>
      <c r="BH1377" s="63" t="n">
        <f aca="false">IF(BD1377&gt;0,J1377/BD1377,-1)</f>
        <v>0</v>
      </c>
      <c r="BI1377" s="63" t="str">
        <f aca="false">IF(AND(OR(CG1377="L1",CG1377="L23",CG1377="LIFT"),BD1377&gt;0),SUMIFS($BD$7:$BD$1843,$CG$7:$CG$1843,CG1377,$BH$7:$BH$1843,"&gt;"&amp;BH1377)+SUMIFS($BD$7:$BD$1843,$CG$7:$CG$1843,CG1377,$BH$7:$BH$1843,BH1377,$BX$7:$BX$1843,"&lt;="&amp;BX1377),"")</f>
        <v/>
      </c>
      <c r="BJ1377" s="70" t="n">
        <f aca="false">IF(BI1377="",0,MAX(0,MIN(1,(IF(CG1377="L1",Parameter!$H$5,IF(CG1377="L23",Parameter!$H$6+Parameter!$H$7,Parameter!$H$5+Parameter!$H$6+Parameter!$H$7))-(BI1377-BD1377))/BD1377)))</f>
        <v>0</v>
      </c>
      <c r="BK1377" s="60" t="str">
        <f aca="false">IF(AJ1377&lt;=0,"",IF(CG1377="Aussen","Aussenlager",IF(CG1377="-","Nicht im Lift",IF(AP1377&gt;=1,"Lift",IF(AP1377&lt;=0,"Aussenlager","teilweise")))))</f>
        <v/>
      </c>
      <c r="BL1377" s="60" t="str">
        <f aca="false">IF(AT1377&lt;=0,"",IF(CG1377="Aussen","Aussenlager",IF(CG1377="-","Nicht im Lift",IF(AZ1377&gt;=1,"Lift",IF(AZ1377&lt;=0,"Aussenlager","teilweise")))))</f>
        <v>Nicht im Lift</v>
      </c>
      <c r="BM1377" s="60" t="str">
        <f aca="false">IF(BD1377&lt;=0,"",IF(CG1377="Aussen","Aussenlager",IF(CG1377="-","Nicht im Lift",IF(BJ1377&gt;=1,"Lift",IF(BJ1377&lt;=0,"Aussenlager","teilweise")))))</f>
        <v>Nicht im Lift</v>
      </c>
      <c r="BN1377" s="60" t="str">
        <f aca="false">IF(A1377="","",IF(BW1377=1,"Neu; ","")&amp;IF(AND(BW1377=0,BR1377&lt;0),"negativer Bestand (Export "&amp;BR1377&amp;"); ","")&amp;IF(J1377&lt;=0,"Kein Verbrauch; ","")&amp;IF(CR1377&gt;0,"Lift "&amp;W1377&amp;" lt. Liftbericht (Fach "&amp;X1377&amp;" Stk); ",IF(CB1377=1,"Gebinde geschätzt ("&amp;T1377&amp;"); ",IF(CA1377=1,"Lose – Tablare geschätzt; ","")))&amp;IF(H1377&gt;AW1377,"Überbestand "&amp;ROUND(H1377-AW1377,0)&amp;" Stk / CHF "&amp;ROUND((H1377-AW1377)*G1377,0)&amp;"; ","")&amp;IF(AND(CI1377=1,CJ1377&lt;CK1377),"MAX &lt; MB+LG; ","")&amp;IF(AND(CQ1377&gt;0,CP1377*10&gt;CQ1377),"zu hoch für Tablar; ","")&amp;IF(AND(BW1377=0,OR(CI1377=1,AB1377&lt;&gt;"",U1377&lt;&gt;"",V1377&lt;&gt;"",AC1377&lt;&gt;"")),"manuell übersteuert; ","")&amp;IF(AND(CA1377=0,R1377=0),"Gebinde unbekannt / Stellmass fehlt; ","")&amp;IF(AND(CA1377=0,N(V1377)&lt;=0,N(Q1377)&lt;=0),"Menge pro Gebinde fehlt (Ist = 1 Gebinde); ","")&amp;BV1377)</f>
        <v>negativer Bestand (Export -2); Kein Verbrauch; Lose – Tablare geschätzt; </v>
      </c>
      <c r="BO1377" s="60"/>
      <c r="BP1377" s="60"/>
      <c r="BQ1377" s="67"/>
      <c r="BR1377" s="62" t="n">
        <v>-2</v>
      </c>
      <c r="BS1377" s="62" t="n">
        <v>2</v>
      </c>
      <c r="BT1377" s="61" t="n">
        <v>-2820.22</v>
      </c>
      <c r="BU1377" s="62" t="n">
        <v>0</v>
      </c>
      <c r="BV1377" s="60"/>
      <c r="BW1377" s="65" t="n">
        <v>0</v>
      </c>
      <c r="BX1377" s="65" t="n">
        <v>1377</v>
      </c>
      <c r="BY1377" s="60" t="str">
        <f aca="false">IF(U1377&lt;&gt;"",UPPER(TRIM(U1377)),IF(CB1377=1,UPPER(VLOOKUP(T1377,Parameter!$I$27:$K$29,2,0)),IF(P1377="","LOSE",P1377)))</f>
        <v>LOSE</v>
      </c>
      <c r="BZ1377" s="62" t="n">
        <f aca="false">IF(BY1377="LOSE",1,IF(N(V1377)&gt;0,V1377,IF(CB1377=1,MAX(1,N(VLOOKUP(T1377,Parameter!$I$27:$K$29,3,0)),H1377,N(N1377)),IF(N(Q1377)&gt;0,Q1377,MAX(1,H1377)))))</f>
        <v>1</v>
      </c>
      <c r="CA1377" s="65" t="n">
        <f aca="false">IF(BY1377="LOSE",1,0)</f>
        <v>1</v>
      </c>
      <c r="CB1377" s="65" t="n">
        <f aca="false">IF(AND(U1377="",OR(P1377="",P1377="LOSE"),T1377&lt;&gt;"",N(S1377)&lt;=0,ISNUMBER(MATCH(T1377,Parameter!$I$27:$I$29,0))),1,0)</f>
        <v>0</v>
      </c>
      <c r="CC1377" s="65" t="n">
        <f aca="false">IF(CR1377&gt;0,INDEX(Parameter!$H$5:$H$7,W1377)/INDEX(Parameter!$E$5:$E$7,W1377),IF(AND(CA1377=0,N(IFERROR(VLOOKUP(BY1377,'Gebinde-Kategorie'!$A$5:$N$45,14,0),0))&gt;0),VLOOKUP(BY1377,'Gebinde-Kategorie'!$A$5:$N$45,14,0)*10+Parameter!$M$23,Parameter!$M$24))</f>
        <v>235</v>
      </c>
      <c r="CD1377" s="60" t="str">
        <f aca="false">IF(AND(Parameter!$B$19="Ja",E1377&lt;&gt;"",ISNUMBER(MATCH(E1377,Parameter!$I$35:$I$52,0))),VLOOKUP(E1377,Parameter!$I$35:$J$52,2,0),IFERROR(VLOOKUP(D1377,Parameter!$A$35:$C$64,2,0),"Nein"))</f>
        <v>Nein</v>
      </c>
      <c r="CE1377" s="64" t="n">
        <f aca="false">IF(CA1377=0,0,IF(N(S1377)&gt;0,S1377,IFERROR(VLOOKUP(D1377,Parameter!$A$35:$C$64,3,0)+0,0)))</f>
        <v>0.15</v>
      </c>
      <c r="CF1377" s="60" t="str">
        <f aca="false">IF(AB1377&lt;&gt;"",AB1377,AA1377)</f>
        <v>-</v>
      </c>
      <c r="CG1377" s="60" t="str">
        <f aca="false">IF(OR(CF1377=1,CF1377=2,CF1377=3),IF(Parameter!$E$27="Ja","LIFT",IF(CF1377=1,"L1","L23")),IF(CF1377="Aussen","Aussen","-"))</f>
        <v>-</v>
      </c>
      <c r="CH1377" s="71" t="n">
        <f aca="false">IF(N(AC1377)&gt;0,AC1377,0)</f>
        <v>0</v>
      </c>
      <c r="CI1377" s="65" t="n">
        <f aca="false">IF(ISNUMBER(AF1377),1,0)</f>
        <v>0</v>
      </c>
      <c r="CJ1377" s="62" t="n">
        <f aca="false">N(AF1377)</f>
        <v>0</v>
      </c>
      <c r="CK1377" s="62" t="n">
        <f aca="false">N(M1377)+N(N1377)</f>
        <v>1</v>
      </c>
      <c r="CL1377" s="62" t="n">
        <f aca="false">N(M1377)</f>
        <v>0</v>
      </c>
      <c r="CM1377" s="62" t="n">
        <f aca="false">N(N1377)</f>
        <v>1</v>
      </c>
      <c r="CN1377" s="62" t="n">
        <f aca="false">ROUNDUP(H1377/BZ1377,0)</f>
        <v>0</v>
      </c>
      <c r="CO1377" s="62" t="n">
        <f aca="false">ROUNDUP(CJ1377/BZ1377,0)</f>
        <v>0</v>
      </c>
      <c r="CP1377" s="65" t="n">
        <f aca="false">IF(CA1377=1,0,IFERROR(VLOOKUP(BY1377,'Gebinde-Kategorie'!$A$5:$N$45,5,0)+0,0))</f>
        <v>0</v>
      </c>
      <c r="CQ1377" s="65" t="n">
        <f aca="false">IFERROR(IF(OR(CF1377=1,CF1377=2,CF1377=3),N(INDEX(Parameter!$I$5:$I$7,CF1377)),0),0)</f>
        <v>0</v>
      </c>
      <c r="CR1377" s="64" t="n">
        <f aca="false">IF(AND(Parameter!$B$21="Ja",ISNUMBER(W1377),N(X1377)&gt;0),IFERROR(N(INDEX(Parameter!$L$5:$L$7,W1377))*INDEX(Parameter!$E$5:$E$7,W1377)*X1377/SUMIFS($X$7:$X$1843,$W$7:$W$1843,W1377),0),0)</f>
        <v>0</v>
      </c>
      <c r="CS1377" s="62" t="str">
        <f aca="false">IF(AND(OR(CG1377="L1",CG1377="L23",CG1377="LIFT"),H1377&gt;0),CC1377*IF(CR1377&gt;0,CR1377*MAX(1,H1377/X1377),IF(CA1377=1,CE1377,IF(R1377&gt;0,CN1377/R1377,0))/MAX(0.1,N(Parameter!$M$21))),"")</f>
        <v/>
      </c>
      <c r="CT1377" s="64" t="str">
        <f aca="false">IF(CS1377="","",J1377/H1377)</f>
        <v/>
      </c>
      <c r="CU1377" s="62" t="str">
        <f aca="false">IF(CS1377="","",H1377*G1377)</f>
        <v/>
      </c>
      <c r="CV1377" s="63" t="str">
        <f aca="false">IF(CS1377="","",(CL1377+ROUNDUP(CL1377+MAX(CM1377,2*(J1377/MAX(0.1,N(Einkauf!$C$6))-CL1377)),0))/2)</f>
        <v/>
      </c>
      <c r="CW1377" s="62" t="str">
        <f aca="false">IF(CS1377="","",MAX(0,H1377-CV1377)*G1377)</f>
        <v/>
      </c>
      <c r="CX1377" s="62" t="str">
        <f aca="false">IF(CS1377="","",CS1377*MAX(0,1-CV1377/H1377))</f>
        <v/>
      </c>
      <c r="CY1377" s="64" t="str">
        <f aca="false">IF(CS1377="","",PERCENTRANK($CS$7:$CS$1843,CS1377)+PERCENTRANK($CU$7:$CU$1843,CU1377)+1-PERCENTRANK($CT$7:$CT$1843,CT1377))</f>
        <v/>
      </c>
      <c r="CZ1377" s="72" t="str">
        <f aca="false">IF(CS1377="","",CHOOSE(MATCH(Einkauf!$C$5,Parameter!$G$23:$G$27,0),CY1377,CS1377,CU1377,-CT1377,CW1377)+ROW()/1000000000)</f>
        <v/>
      </c>
    </row>
    <row r="1378" customFormat="false" ht="15" hidden="false" customHeight="false" outlineLevel="0" collapsed="false">
      <c r="A1378" s="60" t="s">
        <v>2470</v>
      </c>
      <c r="B1378" s="60" t="s">
        <v>400</v>
      </c>
      <c r="C1378" s="60" t="s">
        <v>206</v>
      </c>
      <c r="D1378" s="60" t="s">
        <v>215</v>
      </c>
      <c r="E1378" s="60" t="s">
        <v>227</v>
      </c>
      <c r="F1378" s="60" t="s">
        <v>260</v>
      </c>
      <c r="G1378" s="61" t="n">
        <v>119.51</v>
      </c>
      <c r="H1378" s="62" t="n">
        <f aca="false">MAX(0,IF(AND(Parameter!$B$21="Ja",ISNUMBER(Y1378)),Y1378,IF(Parameter!$B$20="Jahresanfang 2025 + Export",BS1378+BR1378,BR1378)))</f>
        <v>20</v>
      </c>
      <c r="I1378" s="62" t="n">
        <f aca="false">H1378*G1378</f>
        <v>2390.2</v>
      </c>
      <c r="J1378" s="62" t="n">
        <f aca="false">BU1378*Parameter!$B$18</f>
        <v>19</v>
      </c>
      <c r="K1378" s="63" t="n">
        <v>47.5</v>
      </c>
      <c r="L1378" s="64" t="n">
        <v>0.4</v>
      </c>
      <c r="M1378" s="62" t="n">
        <v>2</v>
      </c>
      <c r="N1378" s="62" t="n">
        <v>30</v>
      </c>
      <c r="O1378" s="65" t="n">
        <v>49</v>
      </c>
      <c r="P1378" s="60" t="s">
        <v>216</v>
      </c>
      <c r="Q1378" s="62" t="n">
        <v>14</v>
      </c>
      <c r="R1378" s="65" t="n">
        <f aca="false">IF(CA1378=1,0,IFERROR(VLOOKUP(BY1378,'Gebinde-Kategorie'!$A$5:$N$45,13,0)+0,0))</f>
        <v>6</v>
      </c>
      <c r="S1378" s="66"/>
      <c r="T1378" s="67"/>
      <c r="U1378" s="67"/>
      <c r="V1378" s="67"/>
      <c r="W1378" s="60"/>
      <c r="X1378" s="62"/>
      <c r="Y1378" s="62"/>
      <c r="Z1378" s="60" t="n">
        <v>2</v>
      </c>
      <c r="AA1378" s="60" t="n">
        <f aca="false">IF(A1378="","",IF(AND(Parameter!$B$21="Ja",ISNUMBER(W1378)),W1378,IF(AND(Parameter!$E$27="Ja",ISNUMBER(Z1378),CD1378&lt;&gt;"Nein"),Z1378,IF(CD1378="2+3",IF(ISNUMBER(SEARCH("grosser Artikel",BV1378)),2,IFERROR(VLOOKUP(BY1378,Parameter!$F$35:$G$64,2,0),2)),IF(OR(CD1378="Nein",CD1378=""),"-",CD1378)))))</f>
        <v>2</v>
      </c>
      <c r="AB1378" s="67"/>
      <c r="AC1378" s="68"/>
      <c r="AD1378" s="62" t="n">
        <f aca="false">AW1378</f>
        <v>32</v>
      </c>
      <c r="AE1378" s="62" t="n">
        <f aca="false">MAX(AW1378,H1378)</f>
        <v>32</v>
      </c>
      <c r="AF1378" s="69"/>
      <c r="AG1378" s="62" t="n">
        <f aca="false">IF(LEFT(Cockpit!$C$5,1)="A",H1378,IF(Parameter!$E$30="MAX-Bestand",IF(CI1378=1,CJ1378,IF(LEFT(Cockpit!$C$5,1)="B",AM1378,MAX(AM1378,H1378))),ROUNDUP(AK1378,0)))</f>
        <v>20</v>
      </c>
      <c r="AH1378" s="62" t="n">
        <f aca="false">IF(CA1378=1,0,ROUNDUP(AG1378/BZ1378,0))</f>
        <v>2</v>
      </c>
      <c r="AI1378" s="64" t="n">
        <f aca="false">IF(CR1378&gt;0,CR1378*MAX(1,AG1378/X1378),IF(CA1378=1,IF(AG1378&lt;=0,0,CE1378*MAX(1,IF(H1378&gt;0,AG1378/H1378,1))),IF(R1378&gt;0,AH1378/R1378,0))/MAX(0.1,N(Parameter!$M$21)))</f>
        <v>0.333333333333333</v>
      </c>
      <c r="AJ1378" s="62" t="n">
        <f aca="false">AI1378*CC1378</f>
        <v>78.3333333333333</v>
      </c>
      <c r="AK1378" s="63" t="n">
        <f aca="false">IF(LEFT(Cockpit!$C$5,1)="A",H1378,IF(CI1378=1,(CL1378+CJ1378)/2,IF(LEFT(Cockpit!$C$5,1)="B",(CL1378+AM1378)/2,MAX((CL1378+AM1378)/2,H1378))))</f>
        <v>20</v>
      </c>
      <c r="AL1378" s="62" t="n">
        <f aca="false">AK1378*G1378</f>
        <v>2390.2</v>
      </c>
      <c r="AM1378" s="62" t="n">
        <f aca="false">ROUNDUP(CL1378+MAX(CM1378,2*(J1378/IF(CH1378&gt;0,CH1378,MAX(0.1,N(Cockpit!$C$6)))-CL1378)),0)</f>
        <v>32</v>
      </c>
      <c r="AN1378" s="63" t="n">
        <f aca="false">IF(AJ1378&gt;0,J1378/AJ1378,-1)</f>
        <v>0.242553191489362</v>
      </c>
      <c r="AO1378" s="63" t="n">
        <f aca="false">IF(AND(OR(CG1378="L1",CG1378="L23",CG1378="LIFT"),AJ1378&gt;0),SUMIFS($AJ$7:$AJ$1843,$CG$7:$CG$1843,CG1378,$AN$7:$AN$1843,"&gt;"&amp;AN1378)+SUMIFS($AJ$7:$AJ$1843,$CG$7:$CG$1843,CG1378,$AN$7:$AN$1843,AN1378,$BX$7:$BX$1843,"&lt;="&amp;BX1378),"")</f>
        <v>11991.5202629292</v>
      </c>
      <c r="AP1378" s="70" t="n">
        <f aca="false">IF(AO1378="",0,MAX(0,MIN(1,(IF(CG1378="L1",Parameter!$H$5,IF(CG1378="L23",Parameter!$H$6+Parameter!$H$7,Parameter!$H$5+Parameter!$H$6+Parameter!$H$7))-(AO1378-AJ1378))/AJ1378)))</f>
        <v>1</v>
      </c>
      <c r="AQ1378" s="62" t="n">
        <f aca="false">IF(LEFT(Cockpit!$I$5,1)="A",H1378,IF(Parameter!$E$30="MAX-Bestand",IF(CI1378=1,CJ1378,IF(LEFT(Cockpit!$I$5,1)="B",AW1378,MAX(AW1378,H1378))),ROUNDUP(AU1378,0)))</f>
        <v>20</v>
      </c>
      <c r="AR1378" s="62" t="n">
        <f aca="false">IF(CA1378=1,0,ROUNDUP(AQ1378/BZ1378,0))</f>
        <v>2</v>
      </c>
      <c r="AS1378" s="64" t="n">
        <f aca="false">IF(CR1378&gt;0,CR1378*MAX(1,AQ1378/X1378),IF(CA1378=1,IF(AQ1378&lt;=0,0,CE1378*MAX(1,IF(H1378&gt;0,AQ1378/H1378,1))),IF(R1378&gt;0,AR1378/R1378,0))/MAX(0.1,N(Parameter!$M$21)))</f>
        <v>0.333333333333333</v>
      </c>
      <c r="AT1378" s="62" t="n">
        <f aca="false">AS1378*CC1378</f>
        <v>78.3333333333333</v>
      </c>
      <c r="AU1378" s="63" t="n">
        <f aca="false">IF(LEFT(Cockpit!$I$5,1)="A",H1378,IF(CI1378=1,(CL1378+CJ1378)/2,IF(LEFT(Cockpit!$I$5,1)="B",(CL1378+AW1378)/2,MAX((CL1378+AW1378)/2,H1378))))</f>
        <v>20</v>
      </c>
      <c r="AV1378" s="62" t="n">
        <f aca="false">AU1378*G1378</f>
        <v>2390.2</v>
      </c>
      <c r="AW1378" s="62" t="n">
        <f aca="false">ROUNDUP(CL1378+MAX(CM1378,2*(J1378/IF(CH1378&gt;0,CH1378,MAX(0.1,N(Cockpit!$I$6)))-CL1378)),0)</f>
        <v>32</v>
      </c>
      <c r="AX1378" s="63" t="n">
        <f aca="false">IF(AT1378&gt;0,J1378/AT1378,-1)</f>
        <v>0.242553191489362</v>
      </c>
      <c r="AY1378" s="63" t="n">
        <f aca="false">IF(AND(OR(CG1378="L1",CG1378="L23",CG1378="LIFT"),AT1378&gt;0),SUMIFS($AT$7:$AT$1843,$CG$7:$CG$1843,CG1378,$AX$7:$AX$1843,"&gt;"&amp;AX1378)+SUMIFS($AT$7:$AT$1843,$CG$7:$CG$1843,CG1378,$AX$7:$AX$1843,AX1378,$BX$7:$BX$1843,"&lt;="&amp;BX1378),"")</f>
        <v>15068.4143772894</v>
      </c>
      <c r="AZ1378" s="70" t="n">
        <f aca="false">IF(AY1378="",0,MAX(0,MIN(1,(IF(CG1378="L1",Parameter!$H$5,IF(CG1378="L23",Parameter!$H$6+Parameter!$H$7,Parameter!$H$5+Parameter!$H$6+Parameter!$H$7))-(AY1378-AT1378))/AT1378)))</f>
        <v>1</v>
      </c>
      <c r="BA1378" s="62" t="n">
        <f aca="false">IF(LEFT(Cockpit!$O$5,1)="A",H1378,IF(Parameter!$E$30="MAX-Bestand",IF(CI1378=1,CJ1378,IF(LEFT(Cockpit!$O$5,1)="B",BG1378,MAX(BG1378,H1378))),ROUNDUP(BE1378,0)))</f>
        <v>17</v>
      </c>
      <c r="BB1378" s="62" t="n">
        <f aca="false">IF(CA1378=1,0,ROUNDUP(BA1378/BZ1378,0))</f>
        <v>2</v>
      </c>
      <c r="BC1378" s="64" t="n">
        <f aca="false">IF(CR1378&gt;0,CR1378*MAX(1,BA1378/X1378),IF(CA1378=1,IF(BA1378&lt;=0,0,CE1378*MAX(1,IF(H1378&gt;0,BA1378/H1378,1))),IF(R1378&gt;0,BB1378/R1378,0))/MAX(0.1,N(Parameter!$M$21)))</f>
        <v>0.333333333333333</v>
      </c>
      <c r="BD1378" s="62" t="n">
        <f aca="false">BC1378*CC1378</f>
        <v>78.3333333333333</v>
      </c>
      <c r="BE1378" s="63" t="n">
        <f aca="false">IF(LEFT(Cockpit!$O$5,1)="A",H1378,IF(CI1378=1,(CL1378+CJ1378)/2,IF(LEFT(Cockpit!$O$5,1)="B",(CL1378+BG1378)/2,MAX((CL1378+BG1378)/2,H1378))))</f>
        <v>17</v>
      </c>
      <c r="BF1378" s="62" t="n">
        <f aca="false">BE1378*G1378</f>
        <v>2031.67</v>
      </c>
      <c r="BG1378" s="62" t="n">
        <f aca="false">ROUNDUP(CL1378+MAX(CM1378,2*(J1378/IF(CH1378&gt;0,CH1378,MAX(0.1,N(Cockpit!$O$6)))-CL1378)),0)</f>
        <v>32</v>
      </c>
      <c r="BH1378" s="63" t="n">
        <f aca="false">IF(BD1378&gt;0,J1378/BD1378,-1)</f>
        <v>0.242553191489362</v>
      </c>
      <c r="BI1378" s="63" t="n">
        <f aca="false">IF(AND(OR(CG1378="L1",CG1378="L23",CG1378="LIFT"),BD1378&gt;0),SUMIFS($BD$7:$BD$1843,$CG$7:$CG$1843,CG1378,$BH$7:$BH$1843,"&gt;"&amp;BH1378)+SUMIFS($BD$7:$BD$1843,$CG$7:$CG$1843,CG1378,$BH$7:$BH$1843,BH1378,$BX$7:$BX$1843,"&lt;="&amp;BX1378),"")</f>
        <v>12219.6414835165</v>
      </c>
      <c r="BJ1378" s="70" t="n">
        <f aca="false">IF(BI1378="",0,MAX(0,MIN(1,(IF(CG1378="L1",Parameter!$H$5,IF(CG1378="L23",Parameter!$H$6+Parameter!$H$7,Parameter!$H$5+Parameter!$H$6+Parameter!$H$7))-(BI1378-BD1378))/BD1378)))</f>
        <v>1</v>
      </c>
      <c r="BK1378" s="60" t="str">
        <f aca="false">IF(AJ1378&lt;=0,"",IF(CG1378="Aussen","Aussenlager",IF(CG1378="-","Nicht im Lift",IF(AP1378&gt;=1,"Lift",IF(AP1378&lt;=0,"Aussenlager","teilweise")))))</f>
        <v>Lift</v>
      </c>
      <c r="BL1378" s="60" t="str">
        <f aca="false">IF(AT1378&lt;=0,"",IF(CG1378="Aussen","Aussenlager",IF(CG1378="-","Nicht im Lift",IF(AZ1378&gt;=1,"Lift",IF(AZ1378&lt;=0,"Aussenlager","teilweise")))))</f>
        <v>Lift</v>
      </c>
      <c r="BM1378" s="60" t="str">
        <f aca="false">IF(BD1378&lt;=0,"",IF(CG1378="Aussen","Aussenlager",IF(CG1378="-","Nicht im Lift",IF(BJ1378&gt;=1,"Lift",IF(BJ1378&lt;=0,"Aussenlager","teilweise")))))</f>
        <v>Lift</v>
      </c>
      <c r="BN1378" s="60" t="str">
        <f aca="false">IF(A1378="","",IF(BW1378=1,"Neu; ","")&amp;IF(AND(BW1378=0,BR1378&lt;0),"negativer Bestand (Export "&amp;BR1378&amp;"); ","")&amp;IF(J1378&lt;=0,"Kein Verbrauch; ","")&amp;IF(CR1378&gt;0,"Lift "&amp;W1378&amp;" lt. Liftbericht (Fach "&amp;X1378&amp;" Stk); ",IF(CB1378=1,"Gebinde geschätzt ("&amp;T1378&amp;"); ",IF(CA1378=1,"Lose – Tablare geschätzt; ","")))&amp;IF(H1378&gt;AW1378,"Überbestand "&amp;ROUND(H1378-AW1378,0)&amp;" Stk / CHF "&amp;ROUND((H1378-AW1378)*G1378,0)&amp;"; ","")&amp;IF(AND(CI1378=1,CJ1378&lt;CK1378),"MAX &lt; MB+LG; ","")&amp;IF(AND(CQ1378&gt;0,CP1378*10&gt;CQ1378),"zu hoch für Tablar; ","")&amp;IF(AND(BW1378=0,OR(CI1378=1,AB1378&lt;&gt;"",U1378&lt;&gt;"",V1378&lt;&gt;"",AC1378&lt;&gt;"")),"manuell übersteuert; ","")&amp;IF(AND(CA1378=0,R1378=0),"Gebinde unbekannt / Stellmass fehlt; ","")&amp;IF(AND(CA1378=0,N(V1378)&lt;=0,N(Q1378)&lt;=0),"Menge pro Gebinde fehlt (Ist = 1 Gebinde); ","")&amp;BV1378)</f>
        <v>negativer Bestand (Export -24); grosser Artikel &amp; nicht im KTL</v>
      </c>
      <c r="BO1378" s="60"/>
      <c r="BP1378" s="60"/>
      <c r="BQ1378" s="67"/>
      <c r="BR1378" s="62" t="n">
        <v>-24</v>
      </c>
      <c r="BS1378" s="62" t="n">
        <v>44</v>
      </c>
      <c r="BT1378" s="61" t="n">
        <v>-2826.44</v>
      </c>
      <c r="BU1378" s="62" t="n">
        <v>19</v>
      </c>
      <c r="BV1378" s="60" t="s">
        <v>303</v>
      </c>
      <c r="BW1378" s="65" t="n">
        <v>0</v>
      </c>
      <c r="BX1378" s="65" t="n">
        <v>1378</v>
      </c>
      <c r="BY1378" s="60" t="str">
        <f aca="false">IF(U1378&lt;&gt;"",UPPER(TRIM(U1378)),IF(CB1378=1,UPPER(VLOOKUP(T1378,Parameter!$I$27:$K$29,2,0)),IF(P1378="","LOSE",P1378)))</f>
        <v>S71</v>
      </c>
      <c r="BZ1378" s="62" t="n">
        <f aca="false">IF(BY1378="LOSE",1,IF(N(V1378)&gt;0,V1378,IF(CB1378=1,MAX(1,N(VLOOKUP(T1378,Parameter!$I$27:$K$29,3,0)),H1378,N(N1378)),IF(N(Q1378)&gt;0,Q1378,MAX(1,H1378)))))</f>
        <v>14</v>
      </c>
      <c r="CA1378" s="65" t="n">
        <f aca="false">IF(BY1378="LOSE",1,0)</f>
        <v>0</v>
      </c>
      <c r="CB1378" s="65" t="n">
        <f aca="false">IF(AND(U1378="",OR(P1378="",P1378="LOSE"),T1378&lt;&gt;"",N(S1378)&lt;=0,ISNUMBER(MATCH(T1378,Parameter!$I$27:$I$29,0))),1,0)</f>
        <v>0</v>
      </c>
      <c r="CC1378" s="65" t="n">
        <f aca="false">IF(CR1378&gt;0,INDEX(Parameter!$H$5:$H$7,W1378)/INDEX(Parameter!$E$5:$E$7,W1378),IF(AND(CA1378=0,N(IFERROR(VLOOKUP(BY1378,'Gebinde-Kategorie'!$A$5:$N$45,14,0),0))&gt;0),VLOOKUP(BY1378,'Gebinde-Kategorie'!$A$5:$N$45,14,0)*10+Parameter!$M$23,Parameter!$M$24))</f>
        <v>235</v>
      </c>
      <c r="CD1378" s="60" t="str">
        <f aca="false">IF(AND(Parameter!$B$19="Ja",E1378&lt;&gt;"",ISNUMBER(MATCH(E1378,Parameter!$I$35:$I$52,0))),VLOOKUP(E1378,Parameter!$I$35:$J$52,2,0),IFERROR(VLOOKUP(D1378,Parameter!$A$35:$C$64,2,0),"Nein"))</f>
        <v>2+3</v>
      </c>
      <c r="CE1378" s="64" t="n">
        <f aca="false">IF(CA1378=0,0,IF(N(S1378)&gt;0,S1378,IFERROR(VLOOKUP(D1378,Parameter!$A$35:$C$64,3,0)+0,0)))</f>
        <v>0</v>
      </c>
      <c r="CF1378" s="60" t="n">
        <f aca="false">IF(AB1378&lt;&gt;"",AB1378,AA1378)</f>
        <v>2</v>
      </c>
      <c r="CG1378" s="60" t="str">
        <f aca="false">IF(OR(CF1378=1,CF1378=2,CF1378=3),IF(Parameter!$E$27="Ja","LIFT",IF(CF1378=1,"L1","L23")),IF(CF1378="Aussen","Aussen","-"))</f>
        <v>LIFT</v>
      </c>
      <c r="CH1378" s="71" t="n">
        <f aca="false">IF(N(AC1378)&gt;0,AC1378,0)</f>
        <v>0</v>
      </c>
      <c r="CI1378" s="65" t="n">
        <f aca="false">IF(ISNUMBER(AF1378),1,0)</f>
        <v>0</v>
      </c>
      <c r="CJ1378" s="62" t="n">
        <f aca="false">N(AF1378)</f>
        <v>0</v>
      </c>
      <c r="CK1378" s="62" t="n">
        <f aca="false">N(M1378)+N(N1378)</f>
        <v>32</v>
      </c>
      <c r="CL1378" s="62" t="n">
        <f aca="false">N(M1378)</f>
        <v>2</v>
      </c>
      <c r="CM1378" s="62" t="n">
        <f aca="false">N(N1378)</f>
        <v>30</v>
      </c>
      <c r="CN1378" s="62" t="n">
        <f aca="false">ROUNDUP(H1378/BZ1378,0)</f>
        <v>2</v>
      </c>
      <c r="CO1378" s="62" t="n">
        <f aca="false">ROUNDUP(CJ1378/BZ1378,0)</f>
        <v>0</v>
      </c>
      <c r="CP1378" s="65" t="n">
        <f aca="false">IF(CA1378=1,0,IFERROR(VLOOKUP(BY1378,'Gebinde-Kategorie'!$A$5:$N$45,5,0)+0,0))</f>
        <v>20</v>
      </c>
      <c r="CQ1378" s="65" t="n">
        <f aca="false">IFERROR(IF(OR(CF1378=1,CF1378=2,CF1378=3),N(INDEX(Parameter!$I$5:$I$7,CF1378)),0),0)</f>
        <v>0</v>
      </c>
      <c r="CR1378" s="64" t="n">
        <f aca="false">IF(AND(Parameter!$B$21="Ja",ISNUMBER(W1378),N(X1378)&gt;0),IFERROR(N(INDEX(Parameter!$L$5:$L$7,W1378))*INDEX(Parameter!$E$5:$E$7,W1378)*X1378/SUMIFS($X$7:$X$1843,$W$7:$W$1843,W1378),0),0)</f>
        <v>0</v>
      </c>
      <c r="CS1378" s="62" t="n">
        <f aca="false">IF(AND(OR(CG1378="L1",CG1378="L23",CG1378="LIFT"),H1378&gt;0),CC1378*IF(CR1378&gt;0,CR1378*MAX(1,H1378/X1378),IF(CA1378=1,CE1378,IF(R1378&gt;0,CN1378/R1378,0))/MAX(0.1,N(Parameter!$M$21))),"")</f>
        <v>78.3333333333333</v>
      </c>
      <c r="CT1378" s="64" t="n">
        <f aca="false">IF(CS1378="","",J1378/H1378)</f>
        <v>0.95</v>
      </c>
      <c r="CU1378" s="62" t="n">
        <f aca="false">IF(CS1378="","",H1378*G1378)</f>
        <v>2390.2</v>
      </c>
      <c r="CV1378" s="63" t="n">
        <f aca="false">IF(CS1378="","",(CL1378+ROUNDUP(CL1378+MAX(CM1378,2*(J1378/MAX(0.1,N(Einkauf!$C$6))-CL1378)),0))/2)</f>
        <v>17</v>
      </c>
      <c r="CW1378" s="62" t="n">
        <f aca="false">IF(CS1378="","",MAX(0,H1378-CV1378)*G1378)</f>
        <v>358.53</v>
      </c>
      <c r="CX1378" s="62" t="n">
        <f aca="false">IF(CS1378="","",CS1378*MAX(0,1-CV1378/H1378))</f>
        <v>11.75</v>
      </c>
      <c r="CY1378" s="64" t="n">
        <f aca="false">IF(CS1378="","",PERCENTRANK($CS$7:$CS$1843,CS1378)+PERCENTRANK($CU$7:$CU$1843,CU1378)+1-PERCENTRANK($CT$7:$CT$1843,CT1378))</f>
        <v>2.119</v>
      </c>
      <c r="CZ1378" s="72" t="n">
        <f aca="false">IF(CS1378="","",CHOOSE(MATCH(Einkauf!$C$5,Parameter!$G$23:$G$27,0),CY1378,CS1378,CU1378,-CT1378,CW1378)+ROW()/1000000000)</f>
        <v>2.119001378</v>
      </c>
    </row>
    <row r="1379" customFormat="false" ht="15" hidden="false" customHeight="false" outlineLevel="0" collapsed="false">
      <c r="A1379" s="60" t="s">
        <v>2471</v>
      </c>
      <c r="B1379" s="60" t="s">
        <v>343</v>
      </c>
      <c r="C1379" s="60" t="s">
        <v>206</v>
      </c>
      <c r="D1379" s="60" t="s">
        <v>226</v>
      </c>
      <c r="E1379" s="60" t="s">
        <v>227</v>
      </c>
      <c r="F1379" s="60" t="s">
        <v>260</v>
      </c>
      <c r="G1379" s="61" t="n">
        <v>319</v>
      </c>
      <c r="H1379" s="62" t="n">
        <f aca="false">MAX(0,IF(AND(Parameter!$B$21="Ja",ISNUMBER(Y1379)),Y1379,IF(Parameter!$B$20="Jahresanfang 2025 + Export",BS1379+BR1379,BR1379)))</f>
        <v>7</v>
      </c>
      <c r="I1379" s="62" t="n">
        <f aca="false">H1379*G1379</f>
        <v>2233</v>
      </c>
      <c r="J1379" s="62" t="n">
        <f aca="false">BU1379*Parameter!$B$18</f>
        <v>14</v>
      </c>
      <c r="K1379" s="63" t="n">
        <v>12.5</v>
      </c>
      <c r="L1379" s="64" t="n">
        <v>1.12</v>
      </c>
      <c r="M1379" s="62" t="n">
        <v>1</v>
      </c>
      <c r="N1379" s="62" t="n">
        <v>10</v>
      </c>
      <c r="O1379" s="65" t="n">
        <v>31</v>
      </c>
      <c r="P1379" s="60" t="s">
        <v>275</v>
      </c>
      <c r="Q1379" s="62" t="n">
        <v>28</v>
      </c>
      <c r="R1379" s="65" t="n">
        <f aca="false">IF(CA1379=1,0,IFERROR(VLOOKUP(BY1379,'Gebinde-Kategorie'!$A$5:$N$45,13,0)+0,0))</f>
        <v>26</v>
      </c>
      <c r="S1379" s="66"/>
      <c r="T1379" s="67"/>
      <c r="U1379" s="67"/>
      <c r="V1379" s="67"/>
      <c r="W1379" s="60"/>
      <c r="X1379" s="62"/>
      <c r="Y1379" s="62"/>
      <c r="Z1379" s="60" t="n">
        <v>3</v>
      </c>
      <c r="AA1379" s="60" t="n">
        <f aca="false">IF(A1379="","",IF(AND(Parameter!$B$21="Ja",ISNUMBER(W1379)),W1379,IF(AND(Parameter!$E$27="Ja",ISNUMBER(Z1379),CD1379&lt;&gt;"Nein"),Z1379,IF(CD1379="2+3",IF(ISNUMBER(SEARCH("grosser Artikel",BV1379)),2,IFERROR(VLOOKUP(BY1379,Parameter!$F$35:$G$64,2,0),2)),IF(OR(CD1379="Nein",CD1379=""),"-",CD1379)))))</f>
        <v>3</v>
      </c>
      <c r="AB1379" s="67"/>
      <c r="AC1379" s="68"/>
      <c r="AD1379" s="62" t="n">
        <f aca="false">AW1379</f>
        <v>11</v>
      </c>
      <c r="AE1379" s="62" t="n">
        <f aca="false">MAX(AW1379,H1379)</f>
        <v>11</v>
      </c>
      <c r="AF1379" s="69"/>
      <c r="AG1379" s="62" t="n">
        <f aca="false">IF(LEFT(Cockpit!$C$5,1)="A",H1379,IF(Parameter!$E$30="MAX-Bestand",IF(CI1379=1,CJ1379,IF(LEFT(Cockpit!$C$5,1)="B",AM1379,MAX(AM1379,H1379))),ROUNDUP(AK1379,0)))</f>
        <v>7</v>
      </c>
      <c r="AH1379" s="62" t="n">
        <f aca="false">IF(CA1379=1,0,ROUNDUP(AG1379/BZ1379,0))</f>
        <v>1</v>
      </c>
      <c r="AI1379" s="64" t="n">
        <f aca="false">IF(CR1379&gt;0,CR1379*MAX(1,AG1379/X1379),IF(CA1379=1,IF(AG1379&lt;=0,0,CE1379*MAX(1,IF(H1379&gt;0,AG1379/H1379,1))),IF(R1379&gt;0,AH1379/R1379,0))/MAX(0.1,N(Parameter!$M$21)))</f>
        <v>0.0384615384615385</v>
      </c>
      <c r="AJ1379" s="62" t="n">
        <f aca="false">AI1379*CC1379</f>
        <v>9.42307692307692</v>
      </c>
      <c r="AK1379" s="63" t="n">
        <f aca="false">IF(LEFT(Cockpit!$C$5,1)="A",H1379,IF(CI1379=1,(CL1379+CJ1379)/2,IF(LEFT(Cockpit!$C$5,1)="B",(CL1379+AM1379)/2,MAX((CL1379+AM1379)/2,H1379))))</f>
        <v>7</v>
      </c>
      <c r="AL1379" s="62" t="n">
        <f aca="false">AK1379*G1379</f>
        <v>2233</v>
      </c>
      <c r="AM1379" s="62" t="n">
        <f aca="false">ROUNDUP(CL1379+MAX(CM1379,2*(J1379/IF(CH1379&gt;0,CH1379,MAX(0.1,N(Cockpit!$C$6)))-CL1379)),0)</f>
        <v>11</v>
      </c>
      <c r="AN1379" s="63" t="n">
        <f aca="false">IF(AJ1379&gt;0,J1379/AJ1379,-1)</f>
        <v>1.48571428571429</v>
      </c>
      <c r="AO1379" s="63" t="n">
        <f aca="false">IF(AND(OR(CG1379="L1",CG1379="L23",CG1379="LIFT"),AJ1379&gt;0),SUMIFS($AJ$7:$AJ$1843,$CG$7:$CG$1843,CG1379,$AN$7:$AN$1843,"&gt;"&amp;AN1379)+SUMIFS($AJ$7:$AJ$1843,$CG$7:$CG$1843,CG1379,$AN$7:$AN$1843,AN1379,$BX$7:$BX$1843,"&lt;="&amp;BX1379),"")</f>
        <v>6250.12225274725</v>
      </c>
      <c r="AP1379" s="70" t="n">
        <f aca="false">IF(AO1379="",0,MAX(0,MIN(1,(IF(CG1379="L1",Parameter!$H$5,IF(CG1379="L23",Parameter!$H$6+Parameter!$H$7,Parameter!$H$5+Parameter!$H$6+Parameter!$H$7))-(AO1379-AJ1379))/AJ1379)))</f>
        <v>1</v>
      </c>
      <c r="AQ1379" s="62" t="n">
        <f aca="false">IF(LEFT(Cockpit!$I$5,1)="A",H1379,IF(Parameter!$E$30="MAX-Bestand",IF(CI1379=1,CJ1379,IF(LEFT(Cockpit!$I$5,1)="B",AW1379,MAX(AW1379,H1379))),ROUNDUP(AU1379,0)))</f>
        <v>7</v>
      </c>
      <c r="AR1379" s="62" t="n">
        <f aca="false">IF(CA1379=1,0,ROUNDUP(AQ1379/BZ1379,0))</f>
        <v>1</v>
      </c>
      <c r="AS1379" s="64" t="n">
        <f aca="false">IF(CR1379&gt;0,CR1379*MAX(1,AQ1379/X1379),IF(CA1379=1,IF(AQ1379&lt;=0,0,CE1379*MAX(1,IF(H1379&gt;0,AQ1379/H1379,1))),IF(R1379&gt;0,AR1379/R1379,0))/MAX(0.1,N(Parameter!$M$21)))</f>
        <v>0.0384615384615385</v>
      </c>
      <c r="AT1379" s="62" t="n">
        <f aca="false">AS1379*CC1379</f>
        <v>9.42307692307692</v>
      </c>
      <c r="AU1379" s="63" t="n">
        <f aca="false">IF(LEFT(Cockpit!$I$5,1)="A",H1379,IF(CI1379=1,(CL1379+CJ1379)/2,IF(LEFT(Cockpit!$I$5,1)="B",(CL1379+AW1379)/2,MAX((CL1379+AW1379)/2,H1379))))</f>
        <v>7</v>
      </c>
      <c r="AV1379" s="62" t="n">
        <f aca="false">AU1379*G1379</f>
        <v>2233</v>
      </c>
      <c r="AW1379" s="62" t="n">
        <f aca="false">ROUNDUP(CL1379+MAX(CM1379,2*(J1379/IF(CH1379&gt;0,CH1379,MAX(0.1,N(Cockpit!$I$6)))-CL1379)),0)</f>
        <v>11</v>
      </c>
      <c r="AX1379" s="63" t="n">
        <f aca="false">IF(AT1379&gt;0,J1379/AT1379,-1)</f>
        <v>1.48571428571429</v>
      </c>
      <c r="AY1379" s="63" t="n">
        <f aca="false">IF(AND(OR(CG1379="L1",CG1379="L23",CG1379="LIFT"),AT1379&gt;0),SUMIFS($AT$7:$AT$1843,$CG$7:$CG$1843,CG1379,$AX$7:$AX$1843,"&gt;"&amp;AX1379)+SUMIFS($AT$7:$AT$1843,$CG$7:$CG$1843,CG1379,$AX$7:$AX$1843,AX1379,$BX$7:$BX$1843,"&lt;="&amp;BX1379),"")</f>
        <v>7768.34432234432</v>
      </c>
      <c r="AZ1379" s="70" t="n">
        <f aca="false">IF(AY1379="",0,MAX(0,MIN(1,(IF(CG1379="L1",Parameter!$H$5,IF(CG1379="L23",Parameter!$H$6+Parameter!$H$7,Parameter!$H$5+Parameter!$H$6+Parameter!$H$7))-(AY1379-AT1379))/AT1379)))</f>
        <v>1</v>
      </c>
      <c r="BA1379" s="62" t="n">
        <f aca="false">IF(LEFT(Cockpit!$O$5,1)="A",H1379,IF(Parameter!$E$30="MAX-Bestand",IF(CI1379=1,CJ1379,IF(LEFT(Cockpit!$O$5,1)="B",BG1379,MAX(BG1379,H1379))),ROUNDUP(BE1379,0)))</f>
        <v>6</v>
      </c>
      <c r="BB1379" s="62" t="n">
        <f aca="false">IF(CA1379=1,0,ROUNDUP(BA1379/BZ1379,0))</f>
        <v>1</v>
      </c>
      <c r="BC1379" s="64" t="n">
        <f aca="false">IF(CR1379&gt;0,CR1379*MAX(1,BA1379/X1379),IF(CA1379=1,IF(BA1379&lt;=0,0,CE1379*MAX(1,IF(H1379&gt;0,BA1379/H1379,1))),IF(R1379&gt;0,BB1379/R1379,0))/MAX(0.1,N(Parameter!$M$21)))</f>
        <v>0.0384615384615385</v>
      </c>
      <c r="BD1379" s="62" t="n">
        <f aca="false">BC1379*CC1379</f>
        <v>9.42307692307692</v>
      </c>
      <c r="BE1379" s="63" t="n">
        <f aca="false">IF(LEFT(Cockpit!$O$5,1)="A",H1379,IF(CI1379=1,(CL1379+CJ1379)/2,IF(LEFT(Cockpit!$O$5,1)="B",(CL1379+BG1379)/2,MAX((CL1379+BG1379)/2,H1379))))</f>
        <v>6</v>
      </c>
      <c r="BF1379" s="62" t="n">
        <f aca="false">BE1379*G1379</f>
        <v>1914</v>
      </c>
      <c r="BG1379" s="62" t="n">
        <f aca="false">ROUNDUP(CL1379+MAX(CM1379,2*(J1379/IF(CH1379&gt;0,CH1379,MAX(0.1,N(Cockpit!$O$6)))-CL1379)),0)</f>
        <v>11</v>
      </c>
      <c r="BH1379" s="63" t="n">
        <f aca="false">IF(BD1379&gt;0,J1379/BD1379,-1)</f>
        <v>1.48571428571429</v>
      </c>
      <c r="BI1379" s="63" t="n">
        <f aca="false">IF(AND(OR(CG1379="L1",CG1379="L23",CG1379="LIFT"),BD1379&gt;0),SUMIFS($BD$7:$BD$1843,$CG$7:$CG$1843,CG1379,$BH$7:$BH$1843,"&gt;"&amp;BH1379)+SUMIFS($BD$7:$BD$1843,$CG$7:$CG$1843,CG1379,$BH$7:$BH$1843,BH1379,$BX$7:$BX$1843,"&lt;="&amp;BX1379),"")</f>
        <v>6581.0086996337</v>
      </c>
      <c r="BJ1379" s="70" t="n">
        <f aca="false">IF(BI1379="",0,MAX(0,MIN(1,(IF(CG1379="L1",Parameter!$H$5,IF(CG1379="L23",Parameter!$H$6+Parameter!$H$7,Parameter!$H$5+Parameter!$H$6+Parameter!$H$7))-(BI1379-BD1379))/BD1379)))</f>
        <v>1</v>
      </c>
      <c r="BK1379" s="60" t="str">
        <f aca="false">IF(AJ1379&lt;=0,"",IF(CG1379="Aussen","Aussenlager",IF(CG1379="-","Nicht im Lift",IF(AP1379&gt;=1,"Lift",IF(AP1379&lt;=0,"Aussenlager","teilweise")))))</f>
        <v>Lift</v>
      </c>
      <c r="BL1379" s="60" t="str">
        <f aca="false">IF(AT1379&lt;=0,"",IF(CG1379="Aussen","Aussenlager",IF(CG1379="-","Nicht im Lift",IF(AZ1379&gt;=1,"Lift",IF(AZ1379&lt;=0,"Aussenlager","teilweise")))))</f>
        <v>Lift</v>
      </c>
      <c r="BM1379" s="60" t="str">
        <f aca="false">IF(BD1379&lt;=0,"",IF(CG1379="Aussen","Aussenlager",IF(CG1379="-","Nicht im Lift",IF(BJ1379&gt;=1,"Lift",IF(BJ1379&lt;=0,"Aussenlager","teilweise")))))</f>
        <v>Lift</v>
      </c>
      <c r="BN1379" s="60" t="str">
        <f aca="false">IF(A1379="","",IF(BW1379=1,"Neu; ","")&amp;IF(AND(BW1379=0,BR1379&lt;0),"negativer Bestand (Export "&amp;BR1379&amp;"); ","")&amp;IF(J1379&lt;=0,"Kein Verbrauch; ","")&amp;IF(CR1379&gt;0,"Lift "&amp;W1379&amp;" lt. Liftbericht (Fach "&amp;X1379&amp;" Stk); ",IF(CB1379=1,"Gebinde geschätzt ("&amp;T1379&amp;"); ",IF(CA1379=1,"Lose – Tablare geschätzt; ","")))&amp;IF(H1379&gt;AW1379,"Überbestand "&amp;ROUND(H1379-AW1379,0)&amp;" Stk / CHF "&amp;ROUND((H1379-AW1379)*G1379,0)&amp;"; ","")&amp;IF(AND(CI1379=1,CJ1379&lt;CK1379),"MAX &lt; MB+LG; ","")&amp;IF(AND(CQ1379&gt;0,CP1379*10&gt;CQ1379),"zu hoch für Tablar; ","")&amp;IF(AND(BW1379=0,OR(CI1379=1,AB1379&lt;&gt;"",U1379&lt;&gt;"",V1379&lt;&gt;"",AC1379&lt;&gt;"")),"manuell übersteuert; ","")&amp;IF(AND(CA1379=0,R1379=0),"Gebinde unbekannt / Stellmass fehlt; ","")&amp;IF(AND(CA1379=0,N(V1379)&lt;=0,N(Q1379)&lt;=0),"Menge pro Gebinde fehlt (Ist = 1 Gebinde); ","")&amp;BV1379)</f>
        <v>negativer Bestand (Export -9); Überbestand</v>
      </c>
      <c r="BO1379" s="60"/>
      <c r="BP1379" s="60"/>
      <c r="BQ1379" s="67"/>
      <c r="BR1379" s="62" t="n">
        <v>-9</v>
      </c>
      <c r="BS1379" s="62" t="n">
        <v>16</v>
      </c>
      <c r="BT1379" s="61" t="n">
        <v>-2871</v>
      </c>
      <c r="BU1379" s="62" t="n">
        <v>14</v>
      </c>
      <c r="BV1379" s="60" t="s">
        <v>434</v>
      </c>
      <c r="BW1379" s="65" t="n">
        <v>0</v>
      </c>
      <c r="BX1379" s="65" t="n">
        <v>1379</v>
      </c>
      <c r="BY1379" s="60" t="str">
        <f aca="false">IF(U1379&lt;&gt;"",UPPER(TRIM(U1379)),IF(CB1379=1,UPPER(VLOOKUP(T1379,Parameter!$I$27:$K$29,2,0)),IF(P1379="","LOSE",P1379)))</f>
        <v>S52</v>
      </c>
      <c r="BZ1379" s="62" t="n">
        <f aca="false">IF(BY1379="LOSE",1,IF(N(V1379)&gt;0,V1379,IF(CB1379=1,MAX(1,N(VLOOKUP(T1379,Parameter!$I$27:$K$29,3,0)),H1379,N(N1379)),IF(N(Q1379)&gt;0,Q1379,MAX(1,H1379)))))</f>
        <v>28</v>
      </c>
      <c r="CA1379" s="65" t="n">
        <f aca="false">IF(BY1379="LOSE",1,0)</f>
        <v>0</v>
      </c>
      <c r="CB1379" s="65" t="n">
        <f aca="false">IF(AND(U1379="",OR(P1379="",P1379="LOSE"),T1379&lt;&gt;"",N(S1379)&lt;=0,ISNUMBER(MATCH(T1379,Parameter!$I$27:$I$29,0))),1,0)</f>
        <v>0</v>
      </c>
      <c r="CC1379" s="65" t="n">
        <f aca="false">IF(CR1379&gt;0,INDEX(Parameter!$H$5:$H$7,W1379)/INDEX(Parameter!$E$5:$E$7,W1379),IF(AND(CA1379=0,N(IFERROR(VLOOKUP(BY1379,'Gebinde-Kategorie'!$A$5:$N$45,14,0),0))&gt;0),VLOOKUP(BY1379,'Gebinde-Kategorie'!$A$5:$N$45,14,0)*10+Parameter!$M$23,Parameter!$M$24))</f>
        <v>245</v>
      </c>
      <c r="CD1379" s="60" t="str">
        <f aca="false">IF(AND(Parameter!$B$19="Ja",E1379&lt;&gt;"",ISNUMBER(MATCH(E1379,Parameter!$I$35:$I$52,0))),VLOOKUP(E1379,Parameter!$I$35:$J$52,2,0),IFERROR(VLOOKUP(D1379,Parameter!$A$35:$C$64,2,0),"Nein"))</f>
        <v>2+3</v>
      </c>
      <c r="CE1379" s="64" t="n">
        <f aca="false">IF(CA1379=0,0,IF(N(S1379)&gt;0,S1379,IFERROR(VLOOKUP(D1379,Parameter!$A$35:$C$64,3,0)+0,0)))</f>
        <v>0</v>
      </c>
      <c r="CF1379" s="60" t="n">
        <f aca="false">IF(AB1379&lt;&gt;"",AB1379,AA1379)</f>
        <v>3</v>
      </c>
      <c r="CG1379" s="60" t="str">
        <f aca="false">IF(OR(CF1379=1,CF1379=2,CF1379=3),IF(Parameter!$E$27="Ja","LIFT",IF(CF1379=1,"L1","L23")),IF(CF1379="Aussen","Aussen","-"))</f>
        <v>LIFT</v>
      </c>
      <c r="CH1379" s="71" t="n">
        <f aca="false">IF(N(AC1379)&gt;0,AC1379,0)</f>
        <v>0</v>
      </c>
      <c r="CI1379" s="65" t="n">
        <f aca="false">IF(ISNUMBER(AF1379),1,0)</f>
        <v>0</v>
      </c>
      <c r="CJ1379" s="62" t="n">
        <f aca="false">N(AF1379)</f>
        <v>0</v>
      </c>
      <c r="CK1379" s="62" t="n">
        <f aca="false">N(M1379)+N(N1379)</f>
        <v>11</v>
      </c>
      <c r="CL1379" s="62" t="n">
        <f aca="false">N(M1379)</f>
        <v>1</v>
      </c>
      <c r="CM1379" s="62" t="n">
        <f aca="false">N(N1379)</f>
        <v>10</v>
      </c>
      <c r="CN1379" s="62" t="n">
        <f aca="false">ROUNDUP(H1379/BZ1379,0)</f>
        <v>1</v>
      </c>
      <c r="CO1379" s="62" t="n">
        <f aca="false">ROUNDUP(CJ1379/BZ1379,0)</f>
        <v>0</v>
      </c>
      <c r="CP1379" s="65" t="n">
        <f aca="false">IF(CA1379=1,0,IFERROR(VLOOKUP(BY1379,'Gebinde-Kategorie'!$A$5:$N$45,5,0)+0,0))</f>
        <v>21</v>
      </c>
      <c r="CQ1379" s="65" t="n">
        <f aca="false">IFERROR(IF(OR(CF1379=1,CF1379=2,CF1379=3),N(INDEX(Parameter!$I$5:$I$7,CF1379)),0),0)</f>
        <v>0</v>
      </c>
      <c r="CR1379" s="64" t="n">
        <f aca="false">IF(AND(Parameter!$B$21="Ja",ISNUMBER(W1379),N(X1379)&gt;0),IFERROR(N(INDEX(Parameter!$L$5:$L$7,W1379))*INDEX(Parameter!$E$5:$E$7,W1379)*X1379/SUMIFS($X$7:$X$1843,$W$7:$W$1843,W1379),0),0)</f>
        <v>0</v>
      </c>
      <c r="CS1379" s="62" t="n">
        <f aca="false">IF(AND(OR(CG1379="L1",CG1379="L23",CG1379="LIFT"),H1379&gt;0),CC1379*IF(CR1379&gt;0,CR1379*MAX(1,H1379/X1379),IF(CA1379=1,CE1379,IF(R1379&gt;0,CN1379/R1379,0))/MAX(0.1,N(Parameter!$M$21))),"")</f>
        <v>9.42307692307692</v>
      </c>
      <c r="CT1379" s="64" t="n">
        <f aca="false">IF(CS1379="","",J1379/H1379)</f>
        <v>2</v>
      </c>
      <c r="CU1379" s="62" t="n">
        <f aca="false">IF(CS1379="","",H1379*G1379)</f>
        <v>2233</v>
      </c>
      <c r="CV1379" s="63" t="n">
        <f aca="false">IF(CS1379="","",(CL1379+ROUNDUP(CL1379+MAX(CM1379,2*(J1379/MAX(0.1,N(Einkauf!$C$6))-CL1379)),0))/2)</f>
        <v>6</v>
      </c>
      <c r="CW1379" s="62" t="n">
        <f aca="false">IF(CS1379="","",MAX(0,H1379-CV1379)*G1379)</f>
        <v>319</v>
      </c>
      <c r="CX1379" s="62" t="n">
        <f aca="false">IF(CS1379="","",CS1379*MAX(0,1-CV1379/H1379))</f>
        <v>1.34615384615385</v>
      </c>
      <c r="CY1379" s="64" t="n">
        <f aca="false">IF(CS1379="","",PERCENTRANK($CS$7:$CS$1843,CS1379)+PERCENTRANK($CU$7:$CU$1843,CU1379)+1-PERCENTRANK($CT$7:$CT$1843,CT1379))</f>
        <v>1.559</v>
      </c>
      <c r="CZ1379" s="72" t="n">
        <f aca="false">IF(CS1379="","",CHOOSE(MATCH(Einkauf!$C$5,Parameter!$G$23:$G$27,0),CY1379,CS1379,CU1379,-CT1379,CW1379)+ROW()/1000000000)</f>
        <v>1.559001379</v>
      </c>
    </row>
    <row r="1380" customFormat="false" ht="15" hidden="false" customHeight="false" outlineLevel="0" collapsed="false">
      <c r="A1380" s="60" t="s">
        <v>2472</v>
      </c>
      <c r="B1380" s="60" t="s">
        <v>2321</v>
      </c>
      <c r="C1380" s="60" t="s">
        <v>206</v>
      </c>
      <c r="D1380" s="60" t="s">
        <v>215</v>
      </c>
      <c r="E1380" s="60" t="s">
        <v>227</v>
      </c>
      <c r="F1380" s="60" t="s">
        <v>260</v>
      </c>
      <c r="G1380" s="61" t="n">
        <v>164.4</v>
      </c>
      <c r="H1380" s="62" t="n">
        <f aca="false">MAX(0,IF(AND(Parameter!$B$21="Ja",ISNUMBER(Y1380)),Y1380,IF(Parameter!$B$20="Jahresanfang 2025 + Export",BS1380+BR1380,BR1380)))</f>
        <v>13</v>
      </c>
      <c r="I1380" s="62" t="n">
        <f aca="false">H1380*G1380</f>
        <v>2137.2</v>
      </c>
      <c r="J1380" s="62" t="n">
        <f aca="false">BU1380*Parameter!$B$18</f>
        <v>31</v>
      </c>
      <c r="K1380" s="63" t="n">
        <v>29</v>
      </c>
      <c r="L1380" s="64" t="n">
        <v>1.06896551724138</v>
      </c>
      <c r="M1380" s="62" t="n">
        <v>5</v>
      </c>
      <c r="N1380" s="62" t="n">
        <v>20</v>
      </c>
      <c r="O1380" s="65" t="n">
        <v>49</v>
      </c>
      <c r="P1380" s="60" t="s">
        <v>268</v>
      </c>
      <c r="Q1380" s="62" t="n">
        <v>14</v>
      </c>
      <c r="R1380" s="65" t="n">
        <f aca="false">IF(CA1380=1,0,IFERROR(VLOOKUP(BY1380,'Gebinde-Kategorie'!$A$5:$N$45,13,0)+0,0))</f>
        <v>12</v>
      </c>
      <c r="S1380" s="66"/>
      <c r="T1380" s="67"/>
      <c r="U1380" s="67"/>
      <c r="V1380" s="67"/>
      <c r="W1380" s="60"/>
      <c r="X1380" s="62"/>
      <c r="Y1380" s="62"/>
      <c r="Z1380" s="60" t="n">
        <v>3</v>
      </c>
      <c r="AA1380" s="60" t="n">
        <f aca="false">IF(A1380="","",IF(AND(Parameter!$B$21="Ja",ISNUMBER(W1380)),W1380,IF(AND(Parameter!$E$27="Ja",ISNUMBER(Z1380),CD1380&lt;&gt;"Nein"),Z1380,IF(CD1380="2+3",IF(ISNUMBER(SEARCH("grosser Artikel",BV1380)),2,IFERROR(VLOOKUP(BY1380,Parameter!$F$35:$G$64,2,0),2)),IF(OR(CD1380="Nein",CD1380=""),"-",CD1380)))))</f>
        <v>3</v>
      </c>
      <c r="AB1380" s="67"/>
      <c r="AC1380" s="68"/>
      <c r="AD1380" s="62" t="n">
        <f aca="false">AW1380</f>
        <v>25</v>
      </c>
      <c r="AE1380" s="62" t="n">
        <f aca="false">MAX(AW1380,H1380)</f>
        <v>25</v>
      </c>
      <c r="AF1380" s="69"/>
      <c r="AG1380" s="62" t="n">
        <f aca="false">IF(LEFT(Cockpit!$C$5,1)="A",H1380,IF(Parameter!$E$30="MAX-Bestand",IF(CI1380=1,CJ1380,IF(LEFT(Cockpit!$C$5,1)="B",AM1380,MAX(AM1380,H1380))),ROUNDUP(AK1380,0)))</f>
        <v>13</v>
      </c>
      <c r="AH1380" s="62" t="n">
        <f aca="false">IF(CA1380=1,0,ROUNDUP(AG1380/BZ1380,0))</f>
        <v>1</v>
      </c>
      <c r="AI1380" s="64" t="n">
        <f aca="false">IF(CR1380&gt;0,CR1380*MAX(1,AG1380/X1380),IF(CA1380=1,IF(AG1380&lt;=0,0,CE1380*MAX(1,IF(H1380&gt;0,AG1380/H1380,1))),IF(R1380&gt;0,AH1380/R1380,0))/MAX(0.1,N(Parameter!$M$21)))</f>
        <v>0.0833333333333333</v>
      </c>
      <c r="AJ1380" s="62" t="n">
        <f aca="false">AI1380*CC1380</f>
        <v>28.75</v>
      </c>
      <c r="AK1380" s="63" t="n">
        <f aca="false">IF(LEFT(Cockpit!$C$5,1)="A",H1380,IF(CI1380=1,(CL1380+CJ1380)/2,IF(LEFT(Cockpit!$C$5,1)="B",(CL1380+AM1380)/2,MAX((CL1380+AM1380)/2,H1380))))</f>
        <v>13</v>
      </c>
      <c r="AL1380" s="62" t="n">
        <f aca="false">AK1380*G1380</f>
        <v>2137.2</v>
      </c>
      <c r="AM1380" s="62" t="n">
        <f aca="false">ROUNDUP(CL1380+MAX(CM1380,2*(J1380/IF(CH1380&gt;0,CH1380,MAX(0.1,N(Cockpit!$C$6)))-CL1380)),0)</f>
        <v>25</v>
      </c>
      <c r="AN1380" s="63" t="n">
        <f aca="false">IF(AJ1380&gt;0,J1380/AJ1380,-1)</f>
        <v>1.07826086956522</v>
      </c>
      <c r="AO1380" s="63" t="n">
        <f aca="false">IF(AND(OR(CG1380="L1",CG1380="L23",CG1380="LIFT"),AJ1380&gt;0),SUMIFS($AJ$7:$AJ$1843,$CG$7:$CG$1843,CG1380,$AN$7:$AN$1843,"&gt;"&amp;AN1380)+SUMIFS($AJ$7:$AJ$1843,$CG$7:$CG$1843,CG1380,$AN$7:$AN$1843,AN1380,$BX$7:$BX$1843,"&lt;="&amp;BX1380),"")</f>
        <v>6882.71840659341</v>
      </c>
      <c r="AP1380" s="70" t="n">
        <f aca="false">IF(AO1380="",0,MAX(0,MIN(1,(IF(CG1380="L1",Parameter!$H$5,IF(CG1380="L23",Parameter!$H$6+Parameter!$H$7,Parameter!$H$5+Parameter!$H$6+Parameter!$H$7))-(AO1380-AJ1380))/AJ1380)))</f>
        <v>1</v>
      </c>
      <c r="AQ1380" s="62" t="n">
        <f aca="false">IF(LEFT(Cockpit!$I$5,1)="A",H1380,IF(Parameter!$E$30="MAX-Bestand",IF(CI1380=1,CJ1380,IF(LEFT(Cockpit!$I$5,1)="B",AW1380,MAX(AW1380,H1380))),ROUNDUP(AU1380,0)))</f>
        <v>15</v>
      </c>
      <c r="AR1380" s="62" t="n">
        <f aca="false">IF(CA1380=1,0,ROUNDUP(AQ1380/BZ1380,0))</f>
        <v>2</v>
      </c>
      <c r="AS1380" s="64" t="n">
        <f aca="false">IF(CR1380&gt;0,CR1380*MAX(1,AQ1380/X1380),IF(CA1380=1,IF(AQ1380&lt;=0,0,CE1380*MAX(1,IF(H1380&gt;0,AQ1380/H1380,1))),IF(R1380&gt;0,AR1380/R1380,0))/MAX(0.1,N(Parameter!$M$21)))</f>
        <v>0.166666666666667</v>
      </c>
      <c r="AT1380" s="62" t="n">
        <f aca="false">AS1380*CC1380</f>
        <v>57.5</v>
      </c>
      <c r="AU1380" s="63" t="n">
        <f aca="false">IF(LEFT(Cockpit!$I$5,1)="A",H1380,IF(CI1380=1,(CL1380+CJ1380)/2,IF(LEFT(Cockpit!$I$5,1)="B",(CL1380+AW1380)/2,MAX((CL1380+AW1380)/2,H1380))))</f>
        <v>15</v>
      </c>
      <c r="AV1380" s="62" t="n">
        <f aca="false">AU1380*G1380</f>
        <v>2466</v>
      </c>
      <c r="AW1380" s="62" t="n">
        <f aca="false">ROUNDUP(CL1380+MAX(CM1380,2*(J1380/IF(CH1380&gt;0,CH1380,MAX(0.1,N(Cockpit!$I$6)))-CL1380)),0)</f>
        <v>25</v>
      </c>
      <c r="AX1380" s="63" t="n">
        <f aca="false">IF(AT1380&gt;0,J1380/AT1380,-1)</f>
        <v>0.539130434782609</v>
      </c>
      <c r="AY1380" s="63" t="n">
        <f aca="false">IF(AND(OR(CG1380="L1",CG1380="L23",CG1380="LIFT"),AT1380&gt;0),SUMIFS($AT$7:$AT$1843,$CG$7:$CG$1843,CG1380,$AX$7:$AX$1843,"&gt;"&amp;AX1380)+SUMIFS($AT$7:$AT$1843,$CG$7:$CG$1843,CG1380,$AX$7:$AX$1843,AX1380,$BX$7:$BX$1843,"&lt;="&amp;BX1380),"")</f>
        <v>11818.3727106227</v>
      </c>
      <c r="AZ1380" s="70" t="n">
        <f aca="false">IF(AY1380="",0,MAX(0,MIN(1,(IF(CG1380="L1",Parameter!$H$5,IF(CG1380="L23",Parameter!$H$6+Parameter!$H$7,Parameter!$H$5+Parameter!$H$6+Parameter!$H$7))-(AY1380-AT1380))/AT1380)))</f>
        <v>1</v>
      </c>
      <c r="BA1380" s="62" t="n">
        <f aca="false">IF(LEFT(Cockpit!$O$5,1)="A",H1380,IF(Parameter!$E$30="MAX-Bestand",IF(CI1380=1,CJ1380,IF(LEFT(Cockpit!$O$5,1)="B",BG1380,MAX(BG1380,H1380))),ROUNDUP(BE1380,0)))</f>
        <v>15</v>
      </c>
      <c r="BB1380" s="62" t="n">
        <f aca="false">IF(CA1380=1,0,ROUNDUP(BA1380/BZ1380,0))</f>
        <v>2</v>
      </c>
      <c r="BC1380" s="64" t="n">
        <f aca="false">IF(CR1380&gt;0,CR1380*MAX(1,BA1380/X1380),IF(CA1380=1,IF(BA1380&lt;=0,0,CE1380*MAX(1,IF(H1380&gt;0,BA1380/H1380,1))),IF(R1380&gt;0,BB1380/R1380,0))/MAX(0.1,N(Parameter!$M$21)))</f>
        <v>0.166666666666667</v>
      </c>
      <c r="BD1380" s="62" t="n">
        <f aca="false">BC1380*CC1380</f>
        <v>57.5</v>
      </c>
      <c r="BE1380" s="63" t="n">
        <f aca="false">IF(LEFT(Cockpit!$O$5,1)="A",H1380,IF(CI1380=1,(CL1380+CJ1380)/2,IF(LEFT(Cockpit!$O$5,1)="B",(CL1380+BG1380)/2,MAX((CL1380+BG1380)/2,H1380))))</f>
        <v>15</v>
      </c>
      <c r="BF1380" s="62" t="n">
        <f aca="false">BE1380*G1380</f>
        <v>2466</v>
      </c>
      <c r="BG1380" s="62" t="n">
        <f aca="false">ROUNDUP(CL1380+MAX(CM1380,2*(J1380/IF(CH1380&gt;0,CH1380,MAX(0.1,N(Cockpit!$O$6)))-CL1380)),0)</f>
        <v>25</v>
      </c>
      <c r="BH1380" s="63" t="n">
        <f aca="false">IF(BD1380&gt;0,J1380/BD1380,-1)</f>
        <v>0.539130434782609</v>
      </c>
      <c r="BI1380" s="63" t="n">
        <f aca="false">IF(AND(OR(CG1380="L1",CG1380="L23",CG1380="LIFT"),BD1380&gt;0),SUMIFS($BD$7:$BD$1843,$CG$7:$CG$1843,CG1380,$BH$7:$BH$1843,"&gt;"&amp;BH1380)+SUMIFS($BD$7:$BD$1843,$CG$7:$CG$1843,CG1380,$BH$7:$BH$1843,BH1380,$BX$7:$BX$1843,"&lt;="&amp;BX1380),"")</f>
        <v>10205.9555860806</v>
      </c>
      <c r="BJ1380" s="70" t="n">
        <f aca="false">IF(BI1380="",0,MAX(0,MIN(1,(IF(CG1380="L1",Parameter!$H$5,IF(CG1380="L23",Parameter!$H$6+Parameter!$H$7,Parameter!$H$5+Parameter!$H$6+Parameter!$H$7))-(BI1380-BD1380))/BD1380)))</f>
        <v>1</v>
      </c>
      <c r="BK1380" s="60" t="str">
        <f aca="false">IF(AJ1380&lt;=0,"",IF(CG1380="Aussen","Aussenlager",IF(CG1380="-","Nicht im Lift",IF(AP1380&gt;=1,"Lift",IF(AP1380&lt;=0,"Aussenlager","teilweise")))))</f>
        <v>Lift</v>
      </c>
      <c r="BL1380" s="60" t="str">
        <f aca="false">IF(AT1380&lt;=0,"",IF(CG1380="Aussen","Aussenlager",IF(CG1380="-","Nicht im Lift",IF(AZ1380&gt;=1,"Lift",IF(AZ1380&lt;=0,"Aussenlager","teilweise")))))</f>
        <v>Lift</v>
      </c>
      <c r="BM1380" s="60" t="str">
        <f aca="false">IF(BD1380&lt;=0,"",IF(CG1380="Aussen","Aussenlager",IF(CG1380="-","Nicht im Lift",IF(BJ1380&gt;=1,"Lift",IF(BJ1380&lt;=0,"Aussenlager","teilweise")))))</f>
        <v>Lift</v>
      </c>
      <c r="BN1380" s="60" t="str">
        <f aca="false">IF(A1380="","",IF(BW1380=1,"Neu; ","")&amp;IF(AND(BW1380=0,BR1380&lt;0),"negativer Bestand (Export "&amp;BR1380&amp;"); ","")&amp;IF(J1380&lt;=0,"Kein Verbrauch; ","")&amp;IF(CR1380&gt;0,"Lift "&amp;W1380&amp;" lt. Liftbericht (Fach "&amp;X1380&amp;" Stk); ",IF(CB1380=1,"Gebinde geschätzt ("&amp;T1380&amp;"); ",IF(CA1380=1,"Lose – Tablare geschätzt; ","")))&amp;IF(H1380&gt;AW1380,"Überbestand "&amp;ROUND(H1380-AW1380,0)&amp;" Stk / CHF "&amp;ROUND((H1380-AW1380)*G1380,0)&amp;"; ","")&amp;IF(AND(CI1380=1,CJ1380&lt;CK1380),"MAX &lt; MB+LG; ","")&amp;IF(AND(CQ1380&gt;0,CP1380*10&gt;CQ1380),"zu hoch für Tablar; ","")&amp;IF(AND(BW1380=0,OR(CI1380=1,AB1380&lt;&gt;"",U1380&lt;&gt;"",V1380&lt;&gt;"",AC1380&lt;&gt;"")),"manuell übersteuert; ","")&amp;IF(AND(CA1380=0,R1380=0),"Gebinde unbekannt / Stellmass fehlt; ","")&amp;IF(AND(CA1380=0,N(V1380)&lt;=0,N(Q1380)&lt;=0),"Menge pro Gebinde fehlt (Ist = 1 Gebinde); ","")&amp;BV1380)</f>
        <v>negativer Bestand (Export -19); Neu</v>
      </c>
      <c r="BO1380" s="60"/>
      <c r="BP1380" s="60"/>
      <c r="BQ1380" s="67"/>
      <c r="BR1380" s="62" t="n">
        <v>-19</v>
      </c>
      <c r="BS1380" s="62" t="n">
        <v>32</v>
      </c>
      <c r="BT1380" s="61" t="n">
        <v>-2923.6</v>
      </c>
      <c r="BU1380" s="62" t="n">
        <v>31</v>
      </c>
      <c r="BV1380" s="60" t="s">
        <v>668</v>
      </c>
      <c r="BW1380" s="65" t="n">
        <v>0</v>
      </c>
      <c r="BX1380" s="65" t="n">
        <v>1380</v>
      </c>
      <c r="BY1380" s="60" t="str">
        <f aca="false">IF(U1380&lt;&gt;"",UPPER(TRIM(U1380)),IF(CB1380=1,UPPER(VLOOKUP(T1380,Parameter!$I$27:$K$29,2,0)),IF(P1380="","LOSE",P1380)))</f>
        <v>S63</v>
      </c>
      <c r="BZ1380" s="62" t="n">
        <f aca="false">IF(BY1380="LOSE",1,IF(N(V1380)&gt;0,V1380,IF(CB1380=1,MAX(1,N(VLOOKUP(T1380,Parameter!$I$27:$K$29,3,0)),H1380,N(N1380)),IF(N(Q1380)&gt;0,Q1380,MAX(1,H1380)))))</f>
        <v>14</v>
      </c>
      <c r="CA1380" s="65" t="n">
        <f aca="false">IF(BY1380="LOSE",1,0)</f>
        <v>0</v>
      </c>
      <c r="CB1380" s="65" t="n">
        <f aca="false">IF(AND(U1380="",OR(P1380="",P1380="LOSE"),T1380&lt;&gt;"",N(S1380)&lt;=0,ISNUMBER(MATCH(T1380,Parameter!$I$27:$I$29,0))),1,0)</f>
        <v>0</v>
      </c>
      <c r="CC1380" s="65" t="n">
        <f aca="false">IF(CR1380&gt;0,INDEX(Parameter!$H$5:$H$7,W1380)/INDEX(Parameter!$E$5:$E$7,W1380),IF(AND(CA1380=0,N(IFERROR(VLOOKUP(BY1380,'Gebinde-Kategorie'!$A$5:$N$45,14,0),0))&gt;0),VLOOKUP(BY1380,'Gebinde-Kategorie'!$A$5:$N$45,14,0)*10+Parameter!$M$23,Parameter!$M$24))</f>
        <v>345</v>
      </c>
      <c r="CD1380" s="60" t="str">
        <f aca="false">IF(AND(Parameter!$B$19="Ja",E1380&lt;&gt;"",ISNUMBER(MATCH(E1380,Parameter!$I$35:$I$52,0))),VLOOKUP(E1380,Parameter!$I$35:$J$52,2,0),IFERROR(VLOOKUP(D1380,Parameter!$A$35:$C$64,2,0),"Nein"))</f>
        <v>2+3</v>
      </c>
      <c r="CE1380" s="64" t="n">
        <f aca="false">IF(CA1380=0,0,IF(N(S1380)&gt;0,S1380,IFERROR(VLOOKUP(D1380,Parameter!$A$35:$C$64,3,0)+0,0)))</f>
        <v>0</v>
      </c>
      <c r="CF1380" s="60" t="n">
        <f aca="false">IF(AB1380&lt;&gt;"",AB1380,AA1380)</f>
        <v>3</v>
      </c>
      <c r="CG1380" s="60" t="str">
        <f aca="false">IF(OR(CF1380=1,CF1380=2,CF1380=3),IF(Parameter!$E$27="Ja","LIFT",IF(CF1380=1,"L1","L23")),IF(CF1380="Aussen","Aussen","-"))</f>
        <v>LIFT</v>
      </c>
      <c r="CH1380" s="71" t="n">
        <f aca="false">IF(N(AC1380)&gt;0,AC1380,0)</f>
        <v>0</v>
      </c>
      <c r="CI1380" s="65" t="n">
        <f aca="false">IF(ISNUMBER(AF1380),1,0)</f>
        <v>0</v>
      </c>
      <c r="CJ1380" s="62" t="n">
        <f aca="false">N(AF1380)</f>
        <v>0</v>
      </c>
      <c r="CK1380" s="62" t="n">
        <f aca="false">N(M1380)+N(N1380)</f>
        <v>25</v>
      </c>
      <c r="CL1380" s="62" t="n">
        <f aca="false">N(M1380)</f>
        <v>5</v>
      </c>
      <c r="CM1380" s="62" t="n">
        <f aca="false">N(N1380)</f>
        <v>20</v>
      </c>
      <c r="CN1380" s="62" t="n">
        <f aca="false">ROUNDUP(H1380/BZ1380,0)</f>
        <v>1</v>
      </c>
      <c r="CO1380" s="62" t="n">
        <f aca="false">ROUNDUP(CJ1380/BZ1380,0)</f>
        <v>0</v>
      </c>
      <c r="CP1380" s="65" t="n">
        <f aca="false">IF(CA1380=1,0,IFERROR(VLOOKUP(BY1380,'Gebinde-Kategorie'!$A$5:$N$45,5,0)+0,0))</f>
        <v>31</v>
      </c>
      <c r="CQ1380" s="65" t="n">
        <f aca="false">IFERROR(IF(OR(CF1380=1,CF1380=2,CF1380=3),N(INDEX(Parameter!$I$5:$I$7,CF1380)),0),0)</f>
        <v>0</v>
      </c>
      <c r="CR1380" s="64" t="n">
        <f aca="false">IF(AND(Parameter!$B$21="Ja",ISNUMBER(W1380),N(X1380)&gt;0),IFERROR(N(INDEX(Parameter!$L$5:$L$7,W1380))*INDEX(Parameter!$E$5:$E$7,W1380)*X1380/SUMIFS($X$7:$X$1843,$W$7:$W$1843,W1380),0),0)</f>
        <v>0</v>
      </c>
      <c r="CS1380" s="62" t="n">
        <f aca="false">IF(AND(OR(CG1380="L1",CG1380="L23",CG1380="LIFT"),H1380&gt;0),CC1380*IF(CR1380&gt;0,CR1380*MAX(1,H1380/X1380),IF(CA1380=1,CE1380,IF(R1380&gt;0,CN1380/R1380,0))/MAX(0.1,N(Parameter!$M$21))),"")</f>
        <v>28.75</v>
      </c>
      <c r="CT1380" s="64" t="n">
        <f aca="false">IF(CS1380="","",J1380/H1380)</f>
        <v>2.38461538461538</v>
      </c>
      <c r="CU1380" s="62" t="n">
        <f aca="false">IF(CS1380="","",H1380*G1380)</f>
        <v>2137.2</v>
      </c>
      <c r="CV1380" s="63" t="n">
        <f aca="false">IF(CS1380="","",(CL1380+ROUNDUP(CL1380+MAX(CM1380,2*(J1380/MAX(0.1,N(Einkauf!$C$6))-CL1380)),0))/2)</f>
        <v>15</v>
      </c>
      <c r="CW1380" s="62" t="n">
        <f aca="false">IF(CS1380="","",MAX(0,H1380-CV1380)*G1380)</f>
        <v>0</v>
      </c>
      <c r="CX1380" s="62" t="n">
        <f aca="false">IF(CS1380="","",CS1380*MAX(0,1-CV1380/H1380))</f>
        <v>0</v>
      </c>
      <c r="CY1380" s="64" t="n">
        <f aca="false">IF(CS1380="","",PERCENTRANK($CS$7:$CS$1843,CS1380)+PERCENTRANK($CU$7:$CU$1843,CU1380)+1-PERCENTRANK($CT$7:$CT$1843,CT1380))</f>
        <v>1.76</v>
      </c>
      <c r="CZ1380" s="72" t="n">
        <f aca="false">IF(CS1380="","",CHOOSE(MATCH(Einkauf!$C$5,Parameter!$G$23:$G$27,0),CY1380,CS1380,CU1380,-CT1380,CW1380)+ROW()/1000000000)</f>
        <v>1.76000138</v>
      </c>
    </row>
    <row r="1381" customFormat="false" ht="15" hidden="false" customHeight="false" outlineLevel="0" collapsed="false">
      <c r="A1381" s="60" t="s">
        <v>2473</v>
      </c>
      <c r="B1381" s="60" t="s">
        <v>1081</v>
      </c>
      <c r="C1381" s="60" t="s">
        <v>209</v>
      </c>
      <c r="D1381" s="60" t="s">
        <v>226</v>
      </c>
      <c r="E1381" s="60" t="s">
        <v>227</v>
      </c>
      <c r="F1381" s="60" t="s">
        <v>260</v>
      </c>
      <c r="G1381" s="61" t="n">
        <v>40.61</v>
      </c>
      <c r="H1381" s="62" t="n">
        <f aca="false">MAX(0,IF(AND(Parameter!$B$21="Ja",ISNUMBER(Y1381)),Y1381,IF(Parameter!$B$20="Jahresanfang 2025 + Export",BS1381+BR1381,BR1381)))</f>
        <v>20</v>
      </c>
      <c r="I1381" s="62" t="n">
        <f aca="false">H1381*G1381</f>
        <v>812.2</v>
      </c>
      <c r="J1381" s="62" t="n">
        <f aca="false">BU1381*Parameter!$B$18</f>
        <v>88</v>
      </c>
      <c r="K1381" s="63" t="n">
        <v>56</v>
      </c>
      <c r="L1381" s="64" t="n">
        <v>1.57142857142857</v>
      </c>
      <c r="M1381" s="62" t="n">
        <v>0</v>
      </c>
      <c r="N1381" s="62" t="n">
        <v>75</v>
      </c>
      <c r="O1381" s="65" t="n">
        <v>21</v>
      </c>
      <c r="P1381" s="60" t="s">
        <v>268</v>
      </c>
      <c r="Q1381" s="62" t="n">
        <v>130</v>
      </c>
      <c r="R1381" s="65" t="n">
        <f aca="false">IF(CA1381=1,0,IFERROR(VLOOKUP(BY1381,'Gebinde-Kategorie'!$A$5:$N$45,13,0)+0,0))</f>
        <v>12</v>
      </c>
      <c r="S1381" s="66"/>
      <c r="T1381" s="67"/>
      <c r="U1381" s="67"/>
      <c r="V1381" s="67"/>
      <c r="W1381" s="60"/>
      <c r="X1381" s="62"/>
      <c r="Y1381" s="62"/>
      <c r="Z1381" s="60" t="n">
        <v>3</v>
      </c>
      <c r="AA1381" s="60" t="n">
        <f aca="false">IF(A1381="","",IF(AND(Parameter!$B$21="Ja",ISNUMBER(W1381)),W1381,IF(AND(Parameter!$E$27="Ja",ISNUMBER(Z1381),CD1381&lt;&gt;"Nein"),Z1381,IF(CD1381="2+3",IF(ISNUMBER(SEARCH("grosser Artikel",BV1381)),2,IFERROR(VLOOKUP(BY1381,Parameter!$F$35:$G$64,2,0),2)),IF(OR(CD1381="Nein",CD1381=""),"-",CD1381)))))</f>
        <v>3</v>
      </c>
      <c r="AB1381" s="67"/>
      <c r="AC1381" s="68"/>
      <c r="AD1381" s="62" t="n">
        <f aca="false">AW1381</f>
        <v>75</v>
      </c>
      <c r="AE1381" s="62" t="n">
        <f aca="false">MAX(AW1381,H1381)</f>
        <v>75</v>
      </c>
      <c r="AF1381" s="69"/>
      <c r="AG1381" s="62" t="n">
        <f aca="false">IF(LEFT(Cockpit!$C$5,1)="A",H1381,IF(Parameter!$E$30="MAX-Bestand",IF(CI1381=1,CJ1381,IF(LEFT(Cockpit!$C$5,1)="B",AM1381,MAX(AM1381,H1381))),ROUNDUP(AK1381,0)))</f>
        <v>20</v>
      </c>
      <c r="AH1381" s="62" t="n">
        <f aca="false">IF(CA1381=1,0,ROUNDUP(AG1381/BZ1381,0))</f>
        <v>1</v>
      </c>
      <c r="AI1381" s="64" t="n">
        <f aca="false">IF(CR1381&gt;0,CR1381*MAX(1,AG1381/X1381),IF(CA1381=1,IF(AG1381&lt;=0,0,CE1381*MAX(1,IF(H1381&gt;0,AG1381/H1381,1))),IF(R1381&gt;0,AH1381/R1381,0))/MAX(0.1,N(Parameter!$M$21)))</f>
        <v>0.0833333333333333</v>
      </c>
      <c r="AJ1381" s="62" t="n">
        <f aca="false">AI1381*CC1381</f>
        <v>28.75</v>
      </c>
      <c r="AK1381" s="63" t="n">
        <f aca="false">IF(LEFT(Cockpit!$C$5,1)="A",H1381,IF(CI1381=1,(CL1381+CJ1381)/2,IF(LEFT(Cockpit!$C$5,1)="B",(CL1381+AM1381)/2,MAX((CL1381+AM1381)/2,H1381))))</f>
        <v>20</v>
      </c>
      <c r="AL1381" s="62" t="n">
        <f aca="false">AK1381*G1381</f>
        <v>812.2</v>
      </c>
      <c r="AM1381" s="62" t="n">
        <f aca="false">ROUNDUP(CL1381+MAX(CM1381,2*(J1381/IF(CH1381&gt;0,CH1381,MAX(0.1,N(Cockpit!$C$6)))-CL1381)),0)</f>
        <v>75</v>
      </c>
      <c r="AN1381" s="63" t="n">
        <f aca="false">IF(AJ1381&gt;0,J1381/AJ1381,-1)</f>
        <v>3.06086956521739</v>
      </c>
      <c r="AO1381" s="63" t="n">
        <f aca="false">IF(AND(OR(CG1381="L1",CG1381="L23",CG1381="LIFT"),AJ1381&gt;0),SUMIFS($AJ$7:$AJ$1843,$CG$7:$CG$1843,CG1381,$AN$7:$AN$1843,"&gt;"&amp;AN1381)+SUMIFS($AJ$7:$AJ$1843,$CG$7:$CG$1843,CG1381,$AN$7:$AN$1843,AN1381,$BX$7:$BX$1843,"&lt;="&amp;BX1381),"")</f>
        <v>5069.83470695971</v>
      </c>
      <c r="AP1381" s="70" t="n">
        <f aca="false">IF(AO1381="",0,MAX(0,MIN(1,(IF(CG1381="L1",Parameter!$H$5,IF(CG1381="L23",Parameter!$H$6+Parameter!$H$7,Parameter!$H$5+Parameter!$H$6+Parameter!$H$7))-(AO1381-AJ1381))/AJ1381)))</f>
        <v>1</v>
      </c>
      <c r="AQ1381" s="62" t="n">
        <f aca="false">IF(LEFT(Cockpit!$I$5,1)="A",H1381,IF(Parameter!$E$30="MAX-Bestand",IF(CI1381=1,CJ1381,IF(LEFT(Cockpit!$I$5,1)="B",AW1381,MAX(AW1381,H1381))),ROUNDUP(AU1381,0)))</f>
        <v>38</v>
      </c>
      <c r="AR1381" s="62" t="n">
        <f aca="false">IF(CA1381=1,0,ROUNDUP(AQ1381/BZ1381,0))</f>
        <v>1</v>
      </c>
      <c r="AS1381" s="64" t="n">
        <f aca="false">IF(CR1381&gt;0,CR1381*MAX(1,AQ1381/X1381),IF(CA1381=1,IF(AQ1381&lt;=0,0,CE1381*MAX(1,IF(H1381&gt;0,AQ1381/H1381,1))),IF(R1381&gt;0,AR1381/R1381,0))/MAX(0.1,N(Parameter!$M$21)))</f>
        <v>0.0833333333333333</v>
      </c>
      <c r="AT1381" s="62" t="n">
        <f aca="false">AS1381*CC1381</f>
        <v>28.75</v>
      </c>
      <c r="AU1381" s="63" t="n">
        <f aca="false">IF(LEFT(Cockpit!$I$5,1)="A",H1381,IF(CI1381=1,(CL1381+CJ1381)/2,IF(LEFT(Cockpit!$I$5,1)="B",(CL1381+AW1381)/2,MAX((CL1381+AW1381)/2,H1381))))</f>
        <v>37.5</v>
      </c>
      <c r="AV1381" s="62" t="n">
        <f aca="false">AU1381*G1381</f>
        <v>1522.875</v>
      </c>
      <c r="AW1381" s="62" t="n">
        <f aca="false">ROUNDUP(CL1381+MAX(CM1381,2*(J1381/IF(CH1381&gt;0,CH1381,MAX(0.1,N(Cockpit!$I$6)))-CL1381)),0)</f>
        <v>75</v>
      </c>
      <c r="AX1381" s="63" t="n">
        <f aca="false">IF(AT1381&gt;0,J1381/AT1381,-1)</f>
        <v>3.06086956521739</v>
      </c>
      <c r="AY1381" s="63" t="n">
        <f aca="false">IF(AND(OR(CG1381="L1",CG1381="L23",CG1381="LIFT"),AT1381&gt;0),SUMIFS($AT$7:$AT$1843,$CG$7:$CG$1843,CG1381,$AX$7:$AX$1843,"&gt;"&amp;AX1381)+SUMIFS($AT$7:$AT$1843,$CG$7:$CG$1843,CG1381,$AX$7:$AX$1843,AX1381,$BX$7:$BX$1843,"&lt;="&amp;BX1381),"")</f>
        <v>5825.88324175824</v>
      </c>
      <c r="AZ1381" s="70" t="n">
        <f aca="false">IF(AY1381="",0,MAX(0,MIN(1,(IF(CG1381="L1",Parameter!$H$5,IF(CG1381="L23",Parameter!$H$6+Parameter!$H$7,Parameter!$H$5+Parameter!$H$6+Parameter!$H$7))-(AY1381-AT1381))/AT1381)))</f>
        <v>1</v>
      </c>
      <c r="BA1381" s="62" t="n">
        <f aca="false">IF(LEFT(Cockpit!$O$5,1)="A",H1381,IF(Parameter!$E$30="MAX-Bestand",IF(CI1381=1,CJ1381,IF(LEFT(Cockpit!$O$5,1)="B",BG1381,MAX(BG1381,H1381))),ROUNDUP(BE1381,0)))</f>
        <v>38</v>
      </c>
      <c r="BB1381" s="62" t="n">
        <f aca="false">IF(CA1381=1,0,ROUNDUP(BA1381/BZ1381,0))</f>
        <v>1</v>
      </c>
      <c r="BC1381" s="64" t="n">
        <f aca="false">IF(CR1381&gt;0,CR1381*MAX(1,BA1381/X1381),IF(CA1381=1,IF(BA1381&lt;=0,0,CE1381*MAX(1,IF(H1381&gt;0,BA1381/H1381,1))),IF(R1381&gt;0,BB1381/R1381,0))/MAX(0.1,N(Parameter!$M$21)))</f>
        <v>0.0833333333333333</v>
      </c>
      <c r="BD1381" s="62" t="n">
        <f aca="false">BC1381*CC1381</f>
        <v>28.75</v>
      </c>
      <c r="BE1381" s="63" t="n">
        <f aca="false">IF(LEFT(Cockpit!$O$5,1)="A",H1381,IF(CI1381=1,(CL1381+CJ1381)/2,IF(LEFT(Cockpit!$O$5,1)="B",(CL1381+BG1381)/2,MAX((CL1381+BG1381)/2,H1381))))</f>
        <v>37.5</v>
      </c>
      <c r="BF1381" s="62" t="n">
        <f aca="false">BE1381*G1381</f>
        <v>1522.875</v>
      </c>
      <c r="BG1381" s="62" t="n">
        <f aca="false">ROUNDUP(CL1381+MAX(CM1381,2*(J1381/IF(CH1381&gt;0,CH1381,MAX(0.1,N(Cockpit!$O$6)))-CL1381)),0)</f>
        <v>75</v>
      </c>
      <c r="BH1381" s="63" t="n">
        <f aca="false">IF(BD1381&gt;0,J1381/BD1381,-1)</f>
        <v>3.06086956521739</v>
      </c>
      <c r="BI1381" s="63" t="n">
        <f aca="false">IF(AND(OR(CG1381="L1",CG1381="L23",CG1381="LIFT"),BD1381&gt;0),SUMIFS($BD$7:$BD$1843,$CG$7:$CG$1843,CG1381,$BH$7:$BH$1843,"&gt;"&amp;BH1381)+SUMIFS($BD$7:$BD$1843,$CG$7:$CG$1843,CG1381,$BH$7:$BH$1843,BH1381,$BX$7:$BX$1843,"&lt;="&amp;BX1381),"")</f>
        <v>4770.29990842491</v>
      </c>
      <c r="BJ1381" s="70" t="n">
        <f aca="false">IF(BI1381="",0,MAX(0,MIN(1,(IF(CG1381="L1",Parameter!$H$5,IF(CG1381="L23",Parameter!$H$6+Parameter!$H$7,Parameter!$H$5+Parameter!$H$6+Parameter!$H$7))-(BI1381-BD1381))/BD1381)))</f>
        <v>1</v>
      </c>
      <c r="BK1381" s="60" t="str">
        <f aca="false">IF(AJ1381&lt;=0,"",IF(CG1381="Aussen","Aussenlager",IF(CG1381="-","Nicht im Lift",IF(AP1381&gt;=1,"Lift",IF(AP1381&lt;=0,"Aussenlager","teilweise")))))</f>
        <v>Lift</v>
      </c>
      <c r="BL1381" s="60" t="str">
        <f aca="false">IF(AT1381&lt;=0,"",IF(CG1381="Aussen","Aussenlager",IF(CG1381="-","Nicht im Lift",IF(AZ1381&gt;=1,"Lift",IF(AZ1381&lt;=0,"Aussenlager","teilweise")))))</f>
        <v>Lift</v>
      </c>
      <c r="BM1381" s="60" t="str">
        <f aca="false">IF(BD1381&lt;=0,"",IF(CG1381="Aussen","Aussenlager",IF(CG1381="-","Nicht im Lift",IF(BJ1381&gt;=1,"Lift",IF(BJ1381&lt;=0,"Aussenlager","teilweise")))))</f>
        <v>Lift</v>
      </c>
      <c r="BN1381" s="60" t="str">
        <f aca="false">IF(A1381="","",IF(BW1381=1,"Neu; ","")&amp;IF(AND(BW1381=0,BR1381&lt;0),"negativer Bestand (Export "&amp;BR1381&amp;"); ","")&amp;IF(J1381&lt;=0,"Kein Verbrauch; ","")&amp;IF(CR1381&gt;0,"Lift "&amp;W1381&amp;" lt. Liftbericht (Fach "&amp;X1381&amp;" Stk); ",IF(CB1381=1,"Gebinde geschätzt ("&amp;T1381&amp;"); ",IF(CA1381=1,"Lose – Tablare geschätzt; ","")))&amp;IF(H1381&gt;AW1381,"Überbestand "&amp;ROUND(H1381-AW1381,0)&amp;" Stk / CHF "&amp;ROUND((H1381-AW1381)*G1381,0)&amp;"; ","")&amp;IF(AND(CI1381=1,CJ1381&lt;CK1381),"MAX &lt; MB+LG; ","")&amp;IF(AND(CQ1381&gt;0,CP1381*10&gt;CQ1381),"zu hoch für Tablar; ","")&amp;IF(AND(BW1381=0,OR(CI1381=1,AB1381&lt;&gt;"",U1381&lt;&gt;"",V1381&lt;&gt;"",AC1381&lt;&gt;"")),"manuell übersteuert; ","")&amp;IF(AND(CA1381=0,R1381=0),"Gebinde unbekannt / Stellmass fehlt; ","")&amp;IF(AND(CA1381=0,N(V1381)&lt;=0,N(Q1381)&lt;=0),"Menge pro Gebinde fehlt (Ist = 1 Gebinde); ","")&amp;BV1381)</f>
        <v>negativer Bestand (Export -72); </v>
      </c>
      <c r="BO1381" s="60"/>
      <c r="BP1381" s="60"/>
      <c r="BQ1381" s="67"/>
      <c r="BR1381" s="62" t="n">
        <v>-72</v>
      </c>
      <c r="BS1381" s="62" t="n">
        <v>92</v>
      </c>
      <c r="BT1381" s="61" t="n">
        <v>-2923.92</v>
      </c>
      <c r="BU1381" s="62" t="n">
        <v>88</v>
      </c>
      <c r="BV1381" s="60"/>
      <c r="BW1381" s="65" t="n">
        <v>0</v>
      </c>
      <c r="BX1381" s="65" t="n">
        <v>1381</v>
      </c>
      <c r="BY1381" s="60" t="str">
        <f aca="false">IF(U1381&lt;&gt;"",UPPER(TRIM(U1381)),IF(CB1381=1,UPPER(VLOOKUP(T1381,Parameter!$I$27:$K$29,2,0)),IF(P1381="","LOSE",P1381)))</f>
        <v>S63</v>
      </c>
      <c r="BZ1381" s="62" t="n">
        <f aca="false">IF(BY1381="LOSE",1,IF(N(V1381)&gt;0,V1381,IF(CB1381=1,MAX(1,N(VLOOKUP(T1381,Parameter!$I$27:$K$29,3,0)),H1381,N(N1381)),IF(N(Q1381)&gt;0,Q1381,MAX(1,H1381)))))</f>
        <v>130</v>
      </c>
      <c r="CA1381" s="65" t="n">
        <f aca="false">IF(BY1381="LOSE",1,0)</f>
        <v>0</v>
      </c>
      <c r="CB1381" s="65" t="n">
        <f aca="false">IF(AND(U1381="",OR(P1381="",P1381="LOSE"),T1381&lt;&gt;"",N(S1381)&lt;=0,ISNUMBER(MATCH(T1381,Parameter!$I$27:$I$29,0))),1,0)</f>
        <v>0</v>
      </c>
      <c r="CC1381" s="65" t="n">
        <f aca="false">IF(CR1381&gt;0,INDEX(Parameter!$H$5:$H$7,W1381)/INDEX(Parameter!$E$5:$E$7,W1381),IF(AND(CA1381=0,N(IFERROR(VLOOKUP(BY1381,'Gebinde-Kategorie'!$A$5:$N$45,14,0),0))&gt;0),VLOOKUP(BY1381,'Gebinde-Kategorie'!$A$5:$N$45,14,0)*10+Parameter!$M$23,Parameter!$M$24))</f>
        <v>345</v>
      </c>
      <c r="CD1381" s="60" t="str">
        <f aca="false">IF(AND(Parameter!$B$19="Ja",E1381&lt;&gt;"",ISNUMBER(MATCH(E1381,Parameter!$I$35:$I$52,0))),VLOOKUP(E1381,Parameter!$I$35:$J$52,2,0),IFERROR(VLOOKUP(D1381,Parameter!$A$35:$C$64,2,0),"Nein"))</f>
        <v>2+3</v>
      </c>
      <c r="CE1381" s="64" t="n">
        <f aca="false">IF(CA1381=0,0,IF(N(S1381)&gt;0,S1381,IFERROR(VLOOKUP(D1381,Parameter!$A$35:$C$64,3,0)+0,0)))</f>
        <v>0</v>
      </c>
      <c r="CF1381" s="60" t="n">
        <f aca="false">IF(AB1381&lt;&gt;"",AB1381,AA1381)</f>
        <v>3</v>
      </c>
      <c r="CG1381" s="60" t="str">
        <f aca="false">IF(OR(CF1381=1,CF1381=2,CF1381=3),IF(Parameter!$E$27="Ja","LIFT",IF(CF1381=1,"L1","L23")),IF(CF1381="Aussen","Aussen","-"))</f>
        <v>LIFT</v>
      </c>
      <c r="CH1381" s="71" t="n">
        <f aca="false">IF(N(AC1381)&gt;0,AC1381,0)</f>
        <v>0</v>
      </c>
      <c r="CI1381" s="65" t="n">
        <f aca="false">IF(ISNUMBER(AF1381),1,0)</f>
        <v>0</v>
      </c>
      <c r="CJ1381" s="62" t="n">
        <f aca="false">N(AF1381)</f>
        <v>0</v>
      </c>
      <c r="CK1381" s="62" t="n">
        <f aca="false">N(M1381)+N(N1381)</f>
        <v>75</v>
      </c>
      <c r="CL1381" s="62" t="n">
        <f aca="false">N(M1381)</f>
        <v>0</v>
      </c>
      <c r="CM1381" s="62" t="n">
        <f aca="false">N(N1381)</f>
        <v>75</v>
      </c>
      <c r="CN1381" s="62" t="n">
        <f aca="false">ROUNDUP(H1381/BZ1381,0)</f>
        <v>1</v>
      </c>
      <c r="CO1381" s="62" t="n">
        <f aca="false">ROUNDUP(CJ1381/BZ1381,0)</f>
        <v>0</v>
      </c>
      <c r="CP1381" s="65" t="n">
        <f aca="false">IF(CA1381=1,0,IFERROR(VLOOKUP(BY1381,'Gebinde-Kategorie'!$A$5:$N$45,5,0)+0,0))</f>
        <v>31</v>
      </c>
      <c r="CQ1381" s="65" t="n">
        <f aca="false">IFERROR(IF(OR(CF1381=1,CF1381=2,CF1381=3),N(INDEX(Parameter!$I$5:$I$7,CF1381)),0),0)</f>
        <v>0</v>
      </c>
      <c r="CR1381" s="64" t="n">
        <f aca="false">IF(AND(Parameter!$B$21="Ja",ISNUMBER(W1381),N(X1381)&gt;0),IFERROR(N(INDEX(Parameter!$L$5:$L$7,W1381))*INDEX(Parameter!$E$5:$E$7,W1381)*X1381/SUMIFS($X$7:$X$1843,$W$7:$W$1843,W1381),0),0)</f>
        <v>0</v>
      </c>
      <c r="CS1381" s="62" t="n">
        <f aca="false">IF(AND(OR(CG1381="L1",CG1381="L23",CG1381="LIFT"),H1381&gt;0),CC1381*IF(CR1381&gt;0,CR1381*MAX(1,H1381/X1381),IF(CA1381=1,CE1381,IF(R1381&gt;0,CN1381/R1381,0))/MAX(0.1,N(Parameter!$M$21))),"")</f>
        <v>28.75</v>
      </c>
      <c r="CT1381" s="64" t="n">
        <f aca="false">IF(CS1381="","",J1381/H1381)</f>
        <v>4.4</v>
      </c>
      <c r="CU1381" s="62" t="n">
        <f aca="false">IF(CS1381="","",H1381*G1381)</f>
        <v>812.2</v>
      </c>
      <c r="CV1381" s="63" t="n">
        <f aca="false">IF(CS1381="","",(CL1381+ROUNDUP(CL1381+MAX(CM1381,2*(J1381/MAX(0.1,N(Einkauf!$C$6))-CL1381)),0))/2)</f>
        <v>37.5</v>
      </c>
      <c r="CW1381" s="62" t="n">
        <f aca="false">IF(CS1381="","",MAX(0,H1381-CV1381)*G1381)</f>
        <v>0</v>
      </c>
      <c r="CX1381" s="62" t="n">
        <f aca="false">IF(CS1381="","",CS1381*MAX(0,1-CV1381/H1381))</f>
        <v>0</v>
      </c>
      <c r="CY1381" s="64" t="n">
        <f aca="false">IF(CS1381="","",PERCENTRANK($CS$7:$CS$1843,CS1381)+PERCENTRANK($CU$7:$CU$1843,CU1381)+1-PERCENTRANK($CT$7:$CT$1843,CT1381))</f>
        <v>1.484</v>
      </c>
      <c r="CZ1381" s="72" t="n">
        <f aca="false">IF(CS1381="","",CHOOSE(MATCH(Einkauf!$C$5,Parameter!$G$23:$G$27,0),CY1381,CS1381,CU1381,-CT1381,CW1381)+ROW()/1000000000)</f>
        <v>1.484001381</v>
      </c>
    </row>
    <row r="1382" customFormat="false" ht="15" hidden="false" customHeight="false" outlineLevel="0" collapsed="false">
      <c r="A1382" s="60" t="s">
        <v>2474</v>
      </c>
      <c r="B1382" s="60" t="s">
        <v>455</v>
      </c>
      <c r="C1382" s="60" t="s">
        <v>206</v>
      </c>
      <c r="D1382" s="60" t="s">
        <v>215</v>
      </c>
      <c r="E1382" s="60"/>
      <c r="F1382" s="60" t="s">
        <v>260</v>
      </c>
      <c r="G1382" s="61" t="n">
        <v>199.67</v>
      </c>
      <c r="H1382" s="62" t="n">
        <f aca="false">MAX(0,IF(AND(Parameter!$B$21="Ja",ISNUMBER(Y1382)),Y1382,IF(Parameter!$B$20="Jahresanfang 2025 + Export",BS1382+BR1382,BR1382)))</f>
        <v>0</v>
      </c>
      <c r="I1382" s="62" t="n">
        <f aca="false">H1382*G1382</f>
        <v>0</v>
      </c>
      <c r="J1382" s="62" t="n">
        <f aca="false">BU1382*Parameter!$B$18</f>
        <v>33</v>
      </c>
      <c r="K1382" s="63" t="n">
        <v>8</v>
      </c>
      <c r="L1382" s="64" t="n">
        <v>4.125</v>
      </c>
      <c r="M1382" s="62" t="n">
        <v>0</v>
      </c>
      <c r="N1382" s="62" t="n">
        <v>15</v>
      </c>
      <c r="O1382" s="65" t="n">
        <v>14</v>
      </c>
      <c r="P1382" s="60" t="s">
        <v>275</v>
      </c>
      <c r="Q1382" s="62" t="n">
        <v>6</v>
      </c>
      <c r="R1382" s="65" t="n">
        <f aca="false">IF(CA1382=1,0,IFERROR(VLOOKUP(BY1382,'Gebinde-Kategorie'!$A$5:$N$45,13,0)+0,0))</f>
        <v>26</v>
      </c>
      <c r="S1382" s="66"/>
      <c r="T1382" s="67"/>
      <c r="U1382" s="67"/>
      <c r="V1382" s="67"/>
      <c r="W1382" s="60"/>
      <c r="X1382" s="62"/>
      <c r="Y1382" s="62"/>
      <c r="Z1382" s="60" t="n">
        <v>3</v>
      </c>
      <c r="AA1382" s="60" t="n">
        <f aca="false">IF(A1382="","",IF(AND(Parameter!$B$21="Ja",ISNUMBER(W1382)),W1382,IF(AND(Parameter!$E$27="Ja",ISNUMBER(Z1382),CD1382&lt;&gt;"Nein"),Z1382,IF(CD1382="2+3",IF(ISNUMBER(SEARCH("grosser Artikel",BV1382)),2,IFERROR(VLOOKUP(BY1382,Parameter!$F$35:$G$64,2,0),2)),IF(OR(CD1382="Nein",CD1382=""),"-",CD1382)))))</f>
        <v>3</v>
      </c>
      <c r="AB1382" s="67"/>
      <c r="AC1382" s="68"/>
      <c r="AD1382" s="62" t="n">
        <f aca="false">AW1382</f>
        <v>22</v>
      </c>
      <c r="AE1382" s="62" t="n">
        <f aca="false">MAX(AW1382,H1382)</f>
        <v>22</v>
      </c>
      <c r="AF1382" s="69"/>
      <c r="AG1382" s="62" t="n">
        <f aca="false">IF(LEFT(Cockpit!$C$5,1)="A",H1382,IF(Parameter!$E$30="MAX-Bestand",IF(CI1382=1,CJ1382,IF(LEFT(Cockpit!$C$5,1)="B",AM1382,MAX(AM1382,H1382))),ROUNDUP(AK1382,0)))</f>
        <v>0</v>
      </c>
      <c r="AH1382" s="62" t="n">
        <f aca="false">IF(CA1382=1,0,ROUNDUP(AG1382/BZ1382,0))</f>
        <v>0</v>
      </c>
      <c r="AI1382" s="64" t="n">
        <f aca="false">IF(CR1382&gt;0,CR1382*MAX(1,AG1382/X1382),IF(CA1382=1,IF(AG1382&lt;=0,0,CE1382*MAX(1,IF(H1382&gt;0,AG1382/H1382,1))),IF(R1382&gt;0,AH1382/R1382,0))/MAX(0.1,N(Parameter!$M$21)))</f>
        <v>0</v>
      </c>
      <c r="AJ1382" s="62" t="n">
        <f aca="false">AI1382*CC1382</f>
        <v>0</v>
      </c>
      <c r="AK1382" s="63" t="n">
        <f aca="false">IF(LEFT(Cockpit!$C$5,1)="A",H1382,IF(CI1382=1,(CL1382+CJ1382)/2,IF(LEFT(Cockpit!$C$5,1)="B",(CL1382+AM1382)/2,MAX((CL1382+AM1382)/2,H1382))))</f>
        <v>0</v>
      </c>
      <c r="AL1382" s="62" t="n">
        <f aca="false">AK1382*G1382</f>
        <v>0</v>
      </c>
      <c r="AM1382" s="62" t="n">
        <f aca="false">ROUNDUP(CL1382+MAX(CM1382,2*(J1382/IF(CH1382&gt;0,CH1382,MAX(0.1,N(Cockpit!$C$6)))-CL1382)),0)</f>
        <v>22</v>
      </c>
      <c r="AN1382" s="63" t="n">
        <f aca="false">IF(AJ1382&gt;0,J1382/AJ1382,-1)</f>
        <v>-1</v>
      </c>
      <c r="AO1382" s="63" t="str">
        <f aca="false">IF(AND(OR(CG1382="L1",CG1382="L23",CG1382="LIFT"),AJ1382&gt;0),SUMIFS($AJ$7:$AJ$1843,$CG$7:$CG$1843,CG1382,$AN$7:$AN$1843,"&gt;"&amp;AN1382)+SUMIFS($AJ$7:$AJ$1843,$CG$7:$CG$1843,CG1382,$AN$7:$AN$1843,AN1382,$BX$7:$BX$1843,"&lt;="&amp;BX1382),"")</f>
        <v/>
      </c>
      <c r="AP1382" s="70" t="n">
        <f aca="false">IF(AO1382="",0,MAX(0,MIN(1,(IF(CG1382="L1",Parameter!$H$5,IF(CG1382="L23",Parameter!$H$6+Parameter!$H$7,Parameter!$H$5+Parameter!$H$6+Parameter!$H$7))-(AO1382-AJ1382))/AJ1382)))</f>
        <v>0</v>
      </c>
      <c r="AQ1382" s="62" t="n">
        <f aca="false">IF(LEFT(Cockpit!$I$5,1)="A",H1382,IF(Parameter!$E$30="MAX-Bestand",IF(CI1382=1,CJ1382,IF(LEFT(Cockpit!$I$5,1)="B",AW1382,MAX(AW1382,H1382))),ROUNDUP(AU1382,0)))</f>
        <v>11</v>
      </c>
      <c r="AR1382" s="62" t="n">
        <f aca="false">IF(CA1382=1,0,ROUNDUP(AQ1382/BZ1382,0))</f>
        <v>2</v>
      </c>
      <c r="AS1382" s="64" t="n">
        <f aca="false">IF(CR1382&gt;0,CR1382*MAX(1,AQ1382/X1382),IF(CA1382=1,IF(AQ1382&lt;=0,0,CE1382*MAX(1,IF(H1382&gt;0,AQ1382/H1382,1))),IF(R1382&gt;0,AR1382/R1382,0))/MAX(0.1,N(Parameter!$M$21)))</f>
        <v>0.0769230769230769</v>
      </c>
      <c r="AT1382" s="62" t="n">
        <f aca="false">AS1382*CC1382</f>
        <v>18.8461538461538</v>
      </c>
      <c r="AU1382" s="63" t="n">
        <f aca="false">IF(LEFT(Cockpit!$I$5,1)="A",H1382,IF(CI1382=1,(CL1382+CJ1382)/2,IF(LEFT(Cockpit!$I$5,1)="B",(CL1382+AW1382)/2,MAX((CL1382+AW1382)/2,H1382))))</f>
        <v>11</v>
      </c>
      <c r="AV1382" s="62" t="n">
        <f aca="false">AU1382*G1382</f>
        <v>2196.37</v>
      </c>
      <c r="AW1382" s="62" t="n">
        <f aca="false">ROUNDUP(CL1382+MAX(CM1382,2*(J1382/IF(CH1382&gt;0,CH1382,MAX(0.1,N(Cockpit!$I$6)))-CL1382)),0)</f>
        <v>22</v>
      </c>
      <c r="AX1382" s="63" t="n">
        <f aca="false">IF(AT1382&gt;0,J1382/AT1382,-1)</f>
        <v>1.75102040816327</v>
      </c>
      <c r="AY1382" s="63" t="n">
        <f aca="false">IF(AND(OR(CG1382="L1",CG1382="L23",CG1382="LIFT"),AT1382&gt;0),SUMIFS($AT$7:$AT$1843,$CG$7:$CG$1843,CG1382,$AX$7:$AX$1843,"&gt;"&amp;AX1382)+SUMIFS($AT$7:$AT$1843,$CG$7:$CG$1843,CG1382,$AX$7:$AX$1843,AX1382,$BX$7:$BX$1843,"&lt;="&amp;BX1382),"")</f>
        <v>7464.75457875458</v>
      </c>
      <c r="AZ1382" s="70" t="n">
        <f aca="false">IF(AY1382="",0,MAX(0,MIN(1,(IF(CG1382="L1",Parameter!$H$5,IF(CG1382="L23",Parameter!$H$6+Parameter!$H$7,Parameter!$H$5+Parameter!$H$6+Parameter!$H$7))-(AY1382-AT1382))/AT1382)))</f>
        <v>1</v>
      </c>
      <c r="BA1382" s="62" t="n">
        <f aca="false">IF(LEFT(Cockpit!$O$5,1)="A",H1382,IF(Parameter!$E$30="MAX-Bestand",IF(CI1382=1,CJ1382,IF(LEFT(Cockpit!$O$5,1)="B",BG1382,MAX(BG1382,H1382))),ROUNDUP(BE1382,0)))</f>
        <v>9</v>
      </c>
      <c r="BB1382" s="62" t="n">
        <f aca="false">IF(CA1382=1,0,ROUNDUP(BA1382/BZ1382,0))</f>
        <v>2</v>
      </c>
      <c r="BC1382" s="64" t="n">
        <f aca="false">IF(CR1382&gt;0,CR1382*MAX(1,BA1382/X1382),IF(CA1382=1,IF(BA1382&lt;=0,0,CE1382*MAX(1,IF(H1382&gt;0,BA1382/H1382,1))),IF(R1382&gt;0,BB1382/R1382,0))/MAX(0.1,N(Parameter!$M$21)))</f>
        <v>0.0769230769230769</v>
      </c>
      <c r="BD1382" s="62" t="n">
        <f aca="false">BC1382*CC1382</f>
        <v>18.8461538461538</v>
      </c>
      <c r="BE1382" s="63" t="n">
        <f aca="false">IF(LEFT(Cockpit!$O$5,1)="A",H1382,IF(CI1382=1,(CL1382+CJ1382)/2,IF(LEFT(Cockpit!$O$5,1)="B",(CL1382+BG1382)/2,MAX((CL1382+BG1382)/2,H1382))))</f>
        <v>8.5</v>
      </c>
      <c r="BF1382" s="62" t="n">
        <f aca="false">BE1382*G1382</f>
        <v>1697.195</v>
      </c>
      <c r="BG1382" s="62" t="n">
        <f aca="false">ROUNDUP(CL1382+MAX(CM1382,2*(J1382/IF(CH1382&gt;0,CH1382,MAX(0.1,N(Cockpit!$O$6)))-CL1382)),0)</f>
        <v>17</v>
      </c>
      <c r="BH1382" s="63" t="n">
        <f aca="false">IF(BD1382&gt;0,J1382/BD1382,-1)</f>
        <v>1.75102040816327</v>
      </c>
      <c r="BI1382" s="63" t="n">
        <f aca="false">IF(AND(OR(CG1382="L1",CG1382="L23",CG1382="LIFT"),BD1382&gt;0),SUMIFS($BD$7:$BD$1843,$CG$7:$CG$1843,CG1382,$BH$7:$BH$1843,"&gt;"&amp;BH1382)+SUMIFS($BD$7:$BD$1843,$CG$7:$CG$1843,CG1382,$BH$7:$BH$1843,BH1382,$BX$7:$BX$1843,"&lt;="&amp;BX1382),"")</f>
        <v>6270.17536630037</v>
      </c>
      <c r="BJ1382" s="70" t="n">
        <f aca="false">IF(BI1382="",0,MAX(0,MIN(1,(IF(CG1382="L1",Parameter!$H$5,IF(CG1382="L23",Parameter!$H$6+Parameter!$H$7,Parameter!$H$5+Parameter!$H$6+Parameter!$H$7))-(BI1382-BD1382))/BD1382)))</f>
        <v>1</v>
      </c>
      <c r="BK1382" s="60" t="str">
        <f aca="false">IF(AJ1382&lt;=0,"",IF(CG1382="Aussen","Aussenlager",IF(CG1382="-","Nicht im Lift",IF(AP1382&gt;=1,"Lift",IF(AP1382&lt;=0,"Aussenlager","teilweise")))))</f>
        <v/>
      </c>
      <c r="BL1382" s="60" t="str">
        <f aca="false">IF(AT1382&lt;=0,"",IF(CG1382="Aussen","Aussenlager",IF(CG1382="-","Nicht im Lift",IF(AZ1382&gt;=1,"Lift",IF(AZ1382&lt;=0,"Aussenlager","teilweise")))))</f>
        <v>Lift</v>
      </c>
      <c r="BM1382" s="60" t="str">
        <f aca="false">IF(BD1382&lt;=0,"",IF(CG1382="Aussen","Aussenlager",IF(CG1382="-","Nicht im Lift",IF(BJ1382&gt;=1,"Lift",IF(BJ1382&lt;=0,"Aussenlager","teilweise")))))</f>
        <v>Lift</v>
      </c>
      <c r="BN1382" s="60" t="str">
        <f aca="false">IF(A1382="","",IF(BW1382=1,"Neu; ","")&amp;IF(AND(BW1382=0,BR1382&lt;0),"negativer Bestand (Export "&amp;BR1382&amp;"); ","")&amp;IF(J1382&lt;=0,"Kein Verbrauch; ","")&amp;IF(CR1382&gt;0,"Lift "&amp;W1382&amp;" lt. Liftbericht (Fach "&amp;X1382&amp;" Stk); ",IF(CB1382=1,"Gebinde geschätzt ("&amp;T1382&amp;"); ",IF(CA1382=1,"Lose – Tablare geschätzt; ","")))&amp;IF(H1382&gt;AW1382,"Überbestand "&amp;ROUND(H1382-AW1382,0)&amp;" Stk / CHF "&amp;ROUND((H1382-AW1382)*G1382,0)&amp;"; ","")&amp;IF(AND(CI1382=1,CJ1382&lt;CK1382),"MAX &lt; MB+LG; ","")&amp;IF(AND(CQ1382&gt;0,CP1382*10&gt;CQ1382),"zu hoch für Tablar; ","")&amp;IF(AND(BW1382=0,OR(CI1382=1,AB1382&lt;&gt;"",U1382&lt;&gt;"",V1382&lt;&gt;"",AC1382&lt;&gt;"")),"manuell übersteuert; ","")&amp;IF(AND(CA1382=0,R1382=0),"Gebinde unbekannt / Stellmass fehlt; ","")&amp;IF(AND(CA1382=0,N(V1382)&lt;=0,N(Q1382)&lt;=0),"Menge pro Gebinde fehlt (Ist = 1 Gebinde); ","")&amp;BV1382)</f>
        <v>negativer Bestand (Export -16); </v>
      </c>
      <c r="BO1382" s="60"/>
      <c r="BP1382" s="60"/>
      <c r="BQ1382" s="67"/>
      <c r="BR1382" s="62" t="n">
        <v>-16</v>
      </c>
      <c r="BS1382" s="62" t="n">
        <v>16</v>
      </c>
      <c r="BT1382" s="61" t="n">
        <v>-3000</v>
      </c>
      <c r="BU1382" s="62" t="n">
        <v>33</v>
      </c>
      <c r="BV1382" s="60"/>
      <c r="BW1382" s="65" t="n">
        <v>0</v>
      </c>
      <c r="BX1382" s="65" t="n">
        <v>1382</v>
      </c>
      <c r="BY1382" s="60" t="str">
        <f aca="false">IF(U1382&lt;&gt;"",UPPER(TRIM(U1382)),IF(CB1382=1,UPPER(VLOOKUP(T1382,Parameter!$I$27:$K$29,2,0)),IF(P1382="","LOSE",P1382)))</f>
        <v>S52</v>
      </c>
      <c r="BZ1382" s="62" t="n">
        <f aca="false">IF(BY1382="LOSE",1,IF(N(V1382)&gt;0,V1382,IF(CB1382=1,MAX(1,N(VLOOKUP(T1382,Parameter!$I$27:$K$29,3,0)),H1382,N(N1382)),IF(N(Q1382)&gt;0,Q1382,MAX(1,H1382)))))</f>
        <v>6</v>
      </c>
      <c r="CA1382" s="65" t="n">
        <f aca="false">IF(BY1382="LOSE",1,0)</f>
        <v>0</v>
      </c>
      <c r="CB1382" s="65" t="n">
        <f aca="false">IF(AND(U1382="",OR(P1382="",P1382="LOSE"),T1382&lt;&gt;"",N(S1382)&lt;=0,ISNUMBER(MATCH(T1382,Parameter!$I$27:$I$29,0))),1,0)</f>
        <v>0</v>
      </c>
      <c r="CC1382" s="65" t="n">
        <f aca="false">IF(CR1382&gt;0,INDEX(Parameter!$H$5:$H$7,W1382)/INDEX(Parameter!$E$5:$E$7,W1382),IF(AND(CA1382=0,N(IFERROR(VLOOKUP(BY1382,'Gebinde-Kategorie'!$A$5:$N$45,14,0),0))&gt;0),VLOOKUP(BY1382,'Gebinde-Kategorie'!$A$5:$N$45,14,0)*10+Parameter!$M$23,Parameter!$M$24))</f>
        <v>245</v>
      </c>
      <c r="CD1382" s="60" t="str">
        <f aca="false">IF(AND(Parameter!$B$19="Ja",E1382&lt;&gt;"",ISNUMBER(MATCH(E1382,Parameter!$I$35:$I$52,0))),VLOOKUP(E1382,Parameter!$I$35:$J$52,2,0),IFERROR(VLOOKUP(D1382,Parameter!$A$35:$C$64,2,0),"Nein"))</f>
        <v>2+3</v>
      </c>
      <c r="CE1382" s="64" t="n">
        <f aca="false">IF(CA1382=0,0,IF(N(S1382)&gt;0,S1382,IFERROR(VLOOKUP(D1382,Parameter!$A$35:$C$64,3,0)+0,0)))</f>
        <v>0</v>
      </c>
      <c r="CF1382" s="60" t="n">
        <f aca="false">IF(AB1382&lt;&gt;"",AB1382,AA1382)</f>
        <v>3</v>
      </c>
      <c r="CG1382" s="60" t="str">
        <f aca="false">IF(OR(CF1382=1,CF1382=2,CF1382=3),IF(Parameter!$E$27="Ja","LIFT",IF(CF1382=1,"L1","L23")),IF(CF1382="Aussen","Aussen","-"))</f>
        <v>LIFT</v>
      </c>
      <c r="CH1382" s="71" t="n">
        <f aca="false">IF(N(AC1382)&gt;0,AC1382,0)</f>
        <v>0</v>
      </c>
      <c r="CI1382" s="65" t="n">
        <f aca="false">IF(ISNUMBER(AF1382),1,0)</f>
        <v>0</v>
      </c>
      <c r="CJ1382" s="62" t="n">
        <f aca="false">N(AF1382)</f>
        <v>0</v>
      </c>
      <c r="CK1382" s="62" t="n">
        <f aca="false">N(M1382)+N(N1382)</f>
        <v>15</v>
      </c>
      <c r="CL1382" s="62" t="n">
        <f aca="false">N(M1382)</f>
        <v>0</v>
      </c>
      <c r="CM1382" s="62" t="n">
        <f aca="false">N(N1382)</f>
        <v>15</v>
      </c>
      <c r="CN1382" s="62" t="n">
        <f aca="false">ROUNDUP(H1382/BZ1382,0)</f>
        <v>0</v>
      </c>
      <c r="CO1382" s="62" t="n">
        <f aca="false">ROUNDUP(CJ1382/BZ1382,0)</f>
        <v>0</v>
      </c>
      <c r="CP1382" s="65" t="n">
        <f aca="false">IF(CA1382=1,0,IFERROR(VLOOKUP(BY1382,'Gebinde-Kategorie'!$A$5:$N$45,5,0)+0,0))</f>
        <v>21</v>
      </c>
      <c r="CQ1382" s="65" t="n">
        <f aca="false">IFERROR(IF(OR(CF1382=1,CF1382=2,CF1382=3),N(INDEX(Parameter!$I$5:$I$7,CF1382)),0),0)</f>
        <v>0</v>
      </c>
      <c r="CR1382" s="64" t="n">
        <f aca="false">IF(AND(Parameter!$B$21="Ja",ISNUMBER(W1382),N(X1382)&gt;0),IFERROR(N(INDEX(Parameter!$L$5:$L$7,W1382))*INDEX(Parameter!$E$5:$E$7,W1382)*X1382/SUMIFS($X$7:$X$1843,$W$7:$W$1843,W1382),0),0)</f>
        <v>0</v>
      </c>
      <c r="CS1382" s="62" t="str">
        <f aca="false">IF(AND(OR(CG1382="L1",CG1382="L23",CG1382="LIFT"),H1382&gt;0),CC1382*IF(CR1382&gt;0,CR1382*MAX(1,H1382/X1382),IF(CA1382=1,CE1382,IF(R1382&gt;0,CN1382/R1382,0))/MAX(0.1,N(Parameter!$M$21))),"")</f>
        <v/>
      </c>
      <c r="CT1382" s="64" t="str">
        <f aca="false">IF(CS1382="","",J1382/H1382)</f>
        <v/>
      </c>
      <c r="CU1382" s="62" t="str">
        <f aca="false">IF(CS1382="","",H1382*G1382)</f>
        <v/>
      </c>
      <c r="CV1382" s="63" t="str">
        <f aca="false">IF(CS1382="","",(CL1382+ROUNDUP(CL1382+MAX(CM1382,2*(J1382/MAX(0.1,N(Einkauf!$C$6))-CL1382)),0))/2)</f>
        <v/>
      </c>
      <c r="CW1382" s="62" t="str">
        <f aca="false">IF(CS1382="","",MAX(0,H1382-CV1382)*G1382)</f>
        <v/>
      </c>
      <c r="CX1382" s="62" t="str">
        <f aca="false">IF(CS1382="","",CS1382*MAX(0,1-CV1382/H1382))</f>
        <v/>
      </c>
      <c r="CY1382" s="64" t="str">
        <f aca="false">IF(CS1382="","",PERCENTRANK($CS$7:$CS$1843,CS1382)+PERCENTRANK($CU$7:$CU$1843,CU1382)+1-PERCENTRANK($CT$7:$CT$1843,CT1382))</f>
        <v/>
      </c>
      <c r="CZ1382" s="72" t="str">
        <f aca="false">IF(CS1382="","",CHOOSE(MATCH(Einkauf!$C$5,Parameter!$G$23:$G$27,0),CY1382,CS1382,CU1382,-CT1382,CW1382)+ROW()/1000000000)</f>
        <v/>
      </c>
    </row>
    <row r="1383" customFormat="false" ht="15" hidden="false" customHeight="false" outlineLevel="0" collapsed="false">
      <c r="A1383" s="60" t="s">
        <v>2475</v>
      </c>
      <c r="B1383" s="60" t="s">
        <v>447</v>
      </c>
      <c r="C1383" s="60" t="s">
        <v>206</v>
      </c>
      <c r="D1383" s="60" t="s">
        <v>215</v>
      </c>
      <c r="E1383" s="60" t="s">
        <v>227</v>
      </c>
      <c r="F1383" s="60" t="s">
        <v>260</v>
      </c>
      <c r="G1383" s="61" t="n">
        <v>2.62</v>
      </c>
      <c r="H1383" s="62" t="n">
        <f aca="false">MAX(0,IF(AND(Parameter!$B$21="Ja",ISNUMBER(Y1383)),Y1383,IF(Parameter!$B$20="Jahresanfang 2025 + Export",BS1383+BR1383,BR1383)))</f>
        <v>1453</v>
      </c>
      <c r="I1383" s="62" t="n">
        <f aca="false">H1383*G1383</f>
        <v>3806.86</v>
      </c>
      <c r="J1383" s="62" t="n">
        <f aca="false">BU1383*Parameter!$B$18</f>
        <v>2095</v>
      </c>
      <c r="K1383" s="63" t="n">
        <v>1741</v>
      </c>
      <c r="L1383" s="64" t="n">
        <v>1.20333141872487</v>
      </c>
      <c r="M1383" s="62" t="n">
        <v>122</v>
      </c>
      <c r="N1383" s="62" t="n">
        <v>400</v>
      </c>
      <c r="O1383" s="65" t="n">
        <v>21</v>
      </c>
      <c r="P1383" s="60" t="s">
        <v>216</v>
      </c>
      <c r="Q1383" s="62" t="n">
        <v>576</v>
      </c>
      <c r="R1383" s="65" t="n">
        <f aca="false">IF(CA1383=1,0,IFERROR(VLOOKUP(BY1383,'Gebinde-Kategorie'!$A$5:$N$45,13,0)+0,0))</f>
        <v>6</v>
      </c>
      <c r="S1383" s="66"/>
      <c r="T1383" s="67"/>
      <c r="U1383" s="67"/>
      <c r="V1383" s="67"/>
      <c r="W1383" s="60"/>
      <c r="X1383" s="62"/>
      <c r="Y1383" s="62"/>
      <c r="Z1383" s="60" t="n">
        <v>2</v>
      </c>
      <c r="AA1383" s="60" t="n">
        <f aca="false">IF(A1383="","",IF(AND(Parameter!$B$21="Ja",ISNUMBER(W1383)),W1383,IF(AND(Parameter!$E$27="Ja",ISNUMBER(Z1383),CD1383&lt;&gt;"Nein"),Z1383,IF(CD1383="2+3",IF(ISNUMBER(SEARCH("grosser Artikel",BV1383)),2,IFERROR(VLOOKUP(BY1383,Parameter!$F$35:$G$64,2,0),2)),IF(OR(CD1383="Nein",CD1383=""),"-",CD1383)))))</f>
        <v>2</v>
      </c>
      <c r="AB1383" s="67"/>
      <c r="AC1383" s="68"/>
      <c r="AD1383" s="62" t="n">
        <f aca="false">AW1383</f>
        <v>1275</v>
      </c>
      <c r="AE1383" s="62" t="n">
        <f aca="false">MAX(AW1383,H1383)</f>
        <v>1453</v>
      </c>
      <c r="AF1383" s="69"/>
      <c r="AG1383" s="62" t="n">
        <f aca="false">IF(LEFT(Cockpit!$C$5,1)="A",H1383,IF(Parameter!$E$30="MAX-Bestand",IF(CI1383=1,CJ1383,IF(LEFT(Cockpit!$C$5,1)="B",AM1383,MAX(AM1383,H1383))),ROUNDUP(AK1383,0)))</f>
        <v>1453</v>
      </c>
      <c r="AH1383" s="62" t="n">
        <f aca="false">IF(CA1383=1,0,ROUNDUP(AG1383/BZ1383,0))</f>
        <v>3</v>
      </c>
      <c r="AI1383" s="64" t="n">
        <f aca="false">IF(CR1383&gt;0,CR1383*MAX(1,AG1383/X1383),IF(CA1383=1,IF(AG1383&lt;=0,0,CE1383*MAX(1,IF(H1383&gt;0,AG1383/H1383,1))),IF(R1383&gt;0,AH1383/R1383,0))/MAX(0.1,N(Parameter!$M$21)))</f>
        <v>0.5</v>
      </c>
      <c r="AJ1383" s="62" t="n">
        <f aca="false">AI1383*CC1383</f>
        <v>117.5</v>
      </c>
      <c r="AK1383" s="63" t="n">
        <f aca="false">IF(LEFT(Cockpit!$C$5,1)="A",H1383,IF(CI1383=1,(CL1383+CJ1383)/2,IF(LEFT(Cockpit!$C$5,1)="B",(CL1383+AM1383)/2,MAX((CL1383+AM1383)/2,H1383))))</f>
        <v>1453</v>
      </c>
      <c r="AL1383" s="62" t="n">
        <f aca="false">AK1383*G1383</f>
        <v>3806.86</v>
      </c>
      <c r="AM1383" s="62" t="n">
        <f aca="false">ROUNDUP(CL1383+MAX(CM1383,2*(J1383/IF(CH1383&gt;0,CH1383,MAX(0.1,N(Cockpit!$C$6)))-CL1383)),0)</f>
        <v>1275</v>
      </c>
      <c r="AN1383" s="63" t="n">
        <f aca="false">IF(AJ1383&gt;0,J1383/AJ1383,-1)</f>
        <v>17.8297872340426</v>
      </c>
      <c r="AO1383" s="63" t="n">
        <f aca="false">IF(AND(OR(CG1383="L1",CG1383="L23",CG1383="LIFT"),AJ1383&gt;0),SUMIFS($AJ$7:$AJ$1843,$CG$7:$CG$1843,CG1383,$AN$7:$AN$1843,"&gt;"&amp;AN1383)+SUMIFS($AJ$7:$AJ$1843,$CG$7:$CG$1843,CG1383,$AN$7:$AN$1843,AN1383,$BX$7:$BX$1843,"&lt;="&amp;BX1383),"")</f>
        <v>1889.42902930403</v>
      </c>
      <c r="AP1383" s="70" t="n">
        <f aca="false">IF(AO1383="",0,MAX(0,MIN(1,(IF(CG1383="L1",Parameter!$H$5,IF(CG1383="L23",Parameter!$H$6+Parameter!$H$7,Parameter!$H$5+Parameter!$H$6+Parameter!$H$7))-(AO1383-AJ1383))/AJ1383)))</f>
        <v>1</v>
      </c>
      <c r="AQ1383" s="62" t="n">
        <f aca="false">IF(LEFT(Cockpit!$I$5,1)="A",H1383,IF(Parameter!$E$30="MAX-Bestand",IF(CI1383=1,CJ1383,IF(LEFT(Cockpit!$I$5,1)="B",AW1383,MAX(AW1383,H1383))),ROUNDUP(AU1383,0)))</f>
        <v>1453</v>
      </c>
      <c r="AR1383" s="62" t="n">
        <f aca="false">IF(CA1383=1,0,ROUNDUP(AQ1383/BZ1383,0))</f>
        <v>3</v>
      </c>
      <c r="AS1383" s="64" t="n">
        <f aca="false">IF(CR1383&gt;0,CR1383*MAX(1,AQ1383/X1383),IF(CA1383=1,IF(AQ1383&lt;=0,0,CE1383*MAX(1,IF(H1383&gt;0,AQ1383/H1383,1))),IF(R1383&gt;0,AR1383/R1383,0))/MAX(0.1,N(Parameter!$M$21)))</f>
        <v>0.5</v>
      </c>
      <c r="AT1383" s="62" t="n">
        <f aca="false">AS1383*CC1383</f>
        <v>117.5</v>
      </c>
      <c r="AU1383" s="63" t="n">
        <f aca="false">IF(LEFT(Cockpit!$I$5,1)="A",H1383,IF(CI1383=1,(CL1383+CJ1383)/2,IF(LEFT(Cockpit!$I$5,1)="B",(CL1383+AW1383)/2,MAX((CL1383+AW1383)/2,H1383))))</f>
        <v>1453</v>
      </c>
      <c r="AV1383" s="62" t="n">
        <f aca="false">AU1383*G1383</f>
        <v>3806.86</v>
      </c>
      <c r="AW1383" s="62" t="n">
        <f aca="false">ROUNDUP(CL1383+MAX(CM1383,2*(J1383/IF(CH1383&gt;0,CH1383,MAX(0.1,N(Cockpit!$I$6)))-CL1383)),0)</f>
        <v>1275</v>
      </c>
      <c r="AX1383" s="63" t="n">
        <f aca="false">IF(AT1383&gt;0,J1383/AT1383,-1)</f>
        <v>17.8297872340426</v>
      </c>
      <c r="AY1383" s="63" t="n">
        <f aca="false">IF(AND(OR(CG1383="L1",CG1383="L23",CG1383="LIFT"),AT1383&gt;0),SUMIFS($AT$7:$AT$1843,$CG$7:$CG$1843,CG1383,$AX$7:$AX$1843,"&gt;"&amp;AX1383)+SUMIFS($AT$7:$AT$1843,$CG$7:$CG$1843,CG1383,$AX$7:$AX$1843,AX1383,$BX$7:$BX$1843,"&lt;="&amp;BX1383),"")</f>
        <v>2526.54990842491</v>
      </c>
      <c r="AZ1383" s="70" t="n">
        <f aca="false">IF(AY1383="",0,MAX(0,MIN(1,(IF(CG1383="L1",Parameter!$H$5,IF(CG1383="L23",Parameter!$H$6+Parameter!$H$7,Parameter!$H$5+Parameter!$H$6+Parameter!$H$7))-(AY1383-AT1383))/AT1383)))</f>
        <v>1</v>
      </c>
      <c r="BA1383" s="62" t="n">
        <f aca="false">IF(LEFT(Cockpit!$O$5,1)="A",H1383,IF(Parameter!$E$30="MAX-Bestand",IF(CI1383=1,CJ1383,IF(LEFT(Cockpit!$O$5,1)="B",BG1383,MAX(BG1383,H1383))),ROUNDUP(BE1383,0)))</f>
        <v>524</v>
      </c>
      <c r="BB1383" s="62" t="n">
        <f aca="false">IF(CA1383=1,0,ROUNDUP(BA1383/BZ1383,0))</f>
        <v>1</v>
      </c>
      <c r="BC1383" s="64" t="n">
        <f aca="false">IF(CR1383&gt;0,CR1383*MAX(1,BA1383/X1383),IF(CA1383=1,IF(BA1383&lt;=0,0,CE1383*MAX(1,IF(H1383&gt;0,BA1383/H1383,1))),IF(R1383&gt;0,BB1383/R1383,0))/MAX(0.1,N(Parameter!$M$21)))</f>
        <v>0.166666666666667</v>
      </c>
      <c r="BD1383" s="62" t="n">
        <f aca="false">BC1383*CC1383</f>
        <v>39.1666666666667</v>
      </c>
      <c r="BE1383" s="63" t="n">
        <f aca="false">IF(LEFT(Cockpit!$O$5,1)="A",H1383,IF(CI1383=1,(CL1383+CJ1383)/2,IF(LEFT(Cockpit!$O$5,1)="B",(CL1383+BG1383)/2,MAX((CL1383+BG1383)/2,H1383))))</f>
        <v>524</v>
      </c>
      <c r="BF1383" s="62" t="n">
        <f aca="false">BE1383*G1383</f>
        <v>1372.88</v>
      </c>
      <c r="BG1383" s="62" t="n">
        <f aca="false">ROUNDUP(CL1383+MAX(CM1383,2*(J1383/IF(CH1383&gt;0,CH1383,MAX(0.1,N(Cockpit!$O$6)))-CL1383)),0)</f>
        <v>926</v>
      </c>
      <c r="BH1383" s="63" t="n">
        <f aca="false">IF(BD1383&gt;0,J1383/BD1383,-1)</f>
        <v>53.4893617021277</v>
      </c>
      <c r="BI1383" s="63" t="n">
        <f aca="false">IF(AND(OR(CG1383="L1",CG1383="L23",CG1383="LIFT"),BD1383&gt;0),SUMIFS($BD$7:$BD$1843,$CG$7:$CG$1843,CG1383,$BH$7:$BH$1843,"&gt;"&amp;BH1383)+SUMIFS($BD$7:$BD$1843,$CG$7:$CG$1843,CG1383,$BH$7:$BH$1843,BH1383,$BX$7:$BX$1843,"&lt;="&amp;BX1383),"")</f>
        <v>1179.70054945055</v>
      </c>
      <c r="BJ1383" s="70" t="n">
        <f aca="false">IF(BI1383="",0,MAX(0,MIN(1,(IF(CG1383="L1",Parameter!$H$5,IF(CG1383="L23",Parameter!$H$6+Parameter!$H$7,Parameter!$H$5+Parameter!$H$6+Parameter!$H$7))-(BI1383-BD1383))/BD1383)))</f>
        <v>1</v>
      </c>
      <c r="BK1383" s="60" t="str">
        <f aca="false">IF(AJ1383&lt;=0,"",IF(CG1383="Aussen","Aussenlager",IF(CG1383="-","Nicht im Lift",IF(AP1383&gt;=1,"Lift",IF(AP1383&lt;=0,"Aussenlager","teilweise")))))</f>
        <v>Lift</v>
      </c>
      <c r="BL1383" s="60" t="str">
        <f aca="false">IF(AT1383&lt;=0,"",IF(CG1383="Aussen","Aussenlager",IF(CG1383="-","Nicht im Lift",IF(AZ1383&gt;=1,"Lift",IF(AZ1383&lt;=0,"Aussenlager","teilweise")))))</f>
        <v>Lift</v>
      </c>
      <c r="BM1383" s="60" t="str">
        <f aca="false">IF(BD1383&lt;=0,"",IF(CG1383="Aussen","Aussenlager",IF(CG1383="-","Nicht im Lift",IF(BJ1383&gt;=1,"Lift",IF(BJ1383&lt;=0,"Aussenlager","teilweise")))))</f>
        <v>Lift</v>
      </c>
      <c r="BN1383" s="60" t="str">
        <f aca="false">IF(A1383="","",IF(BW1383=1,"Neu; ","")&amp;IF(AND(BW1383=0,BR1383&lt;0),"negativer Bestand (Export "&amp;BR1383&amp;"); ","")&amp;IF(J1383&lt;=0,"Kein Verbrauch; ","")&amp;IF(CR1383&gt;0,"Lift "&amp;W1383&amp;" lt. Liftbericht (Fach "&amp;X1383&amp;" Stk); ",IF(CB1383=1,"Gebinde geschätzt ("&amp;T1383&amp;"); ",IF(CA1383=1,"Lose – Tablare geschätzt; ","")))&amp;IF(H1383&gt;AW1383,"Überbestand "&amp;ROUND(H1383-AW1383,0)&amp;" Stk / CHF "&amp;ROUND((H1383-AW1383)*G1383,0)&amp;"; ","")&amp;IF(AND(CI1383=1,CJ1383&lt;CK1383),"MAX &lt; MB+LG; ","")&amp;IF(AND(CQ1383&gt;0,CP1383*10&gt;CQ1383),"zu hoch für Tablar; ","")&amp;IF(AND(BW1383=0,OR(CI1383=1,AB1383&lt;&gt;"",U1383&lt;&gt;"",V1383&lt;&gt;"",AC1383&lt;&gt;"")),"manuell übersteuert; ","")&amp;IF(AND(CA1383=0,R1383=0),"Gebinde unbekannt / Stellmass fehlt; ","")&amp;IF(AND(CA1383=0,N(V1383)&lt;=0,N(Q1383)&lt;=0),"Menge pro Gebinde fehlt (Ist = 1 Gebinde); ","")&amp;BV1383)</f>
        <v>negativer Bestand (Export -1145); Überbestand 178 Stk / CHF 466; grosse  Artikelmenge</v>
      </c>
      <c r="BO1383" s="60"/>
      <c r="BP1383" s="60"/>
      <c r="BQ1383" s="67"/>
      <c r="BR1383" s="62" t="n">
        <v>-1145</v>
      </c>
      <c r="BS1383" s="62" t="n">
        <v>2598</v>
      </c>
      <c r="BT1383" s="61" t="n">
        <v>-3025.76</v>
      </c>
      <c r="BU1383" s="62" t="n">
        <v>2095</v>
      </c>
      <c r="BV1383" s="60" t="s">
        <v>1649</v>
      </c>
      <c r="BW1383" s="65" t="n">
        <v>0</v>
      </c>
      <c r="BX1383" s="65" t="n">
        <v>1383</v>
      </c>
      <c r="BY1383" s="60" t="str">
        <f aca="false">IF(U1383&lt;&gt;"",UPPER(TRIM(U1383)),IF(CB1383=1,UPPER(VLOOKUP(T1383,Parameter!$I$27:$K$29,2,0)),IF(P1383="","LOSE",P1383)))</f>
        <v>S71</v>
      </c>
      <c r="BZ1383" s="62" t="n">
        <f aca="false">IF(BY1383="LOSE",1,IF(N(V1383)&gt;0,V1383,IF(CB1383=1,MAX(1,N(VLOOKUP(T1383,Parameter!$I$27:$K$29,3,0)),H1383,N(N1383)),IF(N(Q1383)&gt;0,Q1383,MAX(1,H1383)))))</f>
        <v>576</v>
      </c>
      <c r="CA1383" s="65" t="n">
        <f aca="false">IF(BY1383="LOSE",1,0)</f>
        <v>0</v>
      </c>
      <c r="CB1383" s="65" t="n">
        <f aca="false">IF(AND(U1383="",OR(P1383="",P1383="LOSE"),T1383&lt;&gt;"",N(S1383)&lt;=0,ISNUMBER(MATCH(T1383,Parameter!$I$27:$I$29,0))),1,0)</f>
        <v>0</v>
      </c>
      <c r="CC1383" s="65" t="n">
        <f aca="false">IF(CR1383&gt;0,INDEX(Parameter!$H$5:$H$7,W1383)/INDEX(Parameter!$E$5:$E$7,W1383),IF(AND(CA1383=0,N(IFERROR(VLOOKUP(BY1383,'Gebinde-Kategorie'!$A$5:$N$45,14,0),0))&gt;0),VLOOKUP(BY1383,'Gebinde-Kategorie'!$A$5:$N$45,14,0)*10+Parameter!$M$23,Parameter!$M$24))</f>
        <v>235</v>
      </c>
      <c r="CD1383" s="60" t="str">
        <f aca="false">IF(AND(Parameter!$B$19="Ja",E1383&lt;&gt;"",ISNUMBER(MATCH(E1383,Parameter!$I$35:$I$52,0))),VLOOKUP(E1383,Parameter!$I$35:$J$52,2,0),IFERROR(VLOOKUP(D1383,Parameter!$A$35:$C$64,2,0),"Nein"))</f>
        <v>2+3</v>
      </c>
      <c r="CE1383" s="64" t="n">
        <f aca="false">IF(CA1383=0,0,IF(N(S1383)&gt;0,S1383,IFERROR(VLOOKUP(D1383,Parameter!$A$35:$C$64,3,0)+0,0)))</f>
        <v>0</v>
      </c>
      <c r="CF1383" s="60" t="n">
        <f aca="false">IF(AB1383&lt;&gt;"",AB1383,AA1383)</f>
        <v>2</v>
      </c>
      <c r="CG1383" s="60" t="str">
        <f aca="false">IF(OR(CF1383=1,CF1383=2,CF1383=3),IF(Parameter!$E$27="Ja","LIFT",IF(CF1383=1,"L1","L23")),IF(CF1383="Aussen","Aussen","-"))</f>
        <v>LIFT</v>
      </c>
      <c r="CH1383" s="71" t="n">
        <f aca="false">IF(N(AC1383)&gt;0,AC1383,0)</f>
        <v>0</v>
      </c>
      <c r="CI1383" s="65" t="n">
        <f aca="false">IF(ISNUMBER(AF1383),1,0)</f>
        <v>0</v>
      </c>
      <c r="CJ1383" s="62" t="n">
        <f aca="false">N(AF1383)</f>
        <v>0</v>
      </c>
      <c r="CK1383" s="62" t="n">
        <f aca="false">N(M1383)+N(N1383)</f>
        <v>522</v>
      </c>
      <c r="CL1383" s="62" t="n">
        <f aca="false">N(M1383)</f>
        <v>122</v>
      </c>
      <c r="CM1383" s="62" t="n">
        <f aca="false">N(N1383)</f>
        <v>400</v>
      </c>
      <c r="CN1383" s="62" t="n">
        <f aca="false">ROUNDUP(H1383/BZ1383,0)</f>
        <v>3</v>
      </c>
      <c r="CO1383" s="62" t="n">
        <f aca="false">ROUNDUP(CJ1383/BZ1383,0)</f>
        <v>0</v>
      </c>
      <c r="CP1383" s="65" t="n">
        <f aca="false">IF(CA1383=1,0,IFERROR(VLOOKUP(BY1383,'Gebinde-Kategorie'!$A$5:$N$45,5,0)+0,0))</f>
        <v>20</v>
      </c>
      <c r="CQ1383" s="65" t="n">
        <f aca="false">IFERROR(IF(OR(CF1383=1,CF1383=2,CF1383=3),N(INDEX(Parameter!$I$5:$I$7,CF1383)),0),0)</f>
        <v>0</v>
      </c>
      <c r="CR1383" s="64" t="n">
        <f aca="false">IF(AND(Parameter!$B$21="Ja",ISNUMBER(W1383),N(X1383)&gt;0),IFERROR(N(INDEX(Parameter!$L$5:$L$7,W1383))*INDEX(Parameter!$E$5:$E$7,W1383)*X1383/SUMIFS($X$7:$X$1843,$W$7:$W$1843,W1383),0),0)</f>
        <v>0</v>
      </c>
      <c r="CS1383" s="62" t="n">
        <f aca="false">IF(AND(OR(CG1383="L1",CG1383="L23",CG1383="LIFT"),H1383&gt;0),CC1383*IF(CR1383&gt;0,CR1383*MAX(1,H1383/X1383),IF(CA1383=1,CE1383,IF(R1383&gt;0,CN1383/R1383,0))/MAX(0.1,N(Parameter!$M$21))),"")</f>
        <v>117.5</v>
      </c>
      <c r="CT1383" s="64" t="n">
        <f aca="false">IF(CS1383="","",J1383/H1383)</f>
        <v>1.44184445973847</v>
      </c>
      <c r="CU1383" s="62" t="n">
        <f aca="false">IF(CS1383="","",H1383*G1383)</f>
        <v>3806.86</v>
      </c>
      <c r="CV1383" s="63" t="n">
        <f aca="false">IF(CS1383="","",(CL1383+ROUNDUP(CL1383+MAX(CM1383,2*(J1383/MAX(0.1,N(Einkauf!$C$6))-CL1383)),0))/2)</f>
        <v>524</v>
      </c>
      <c r="CW1383" s="62" t="n">
        <f aca="false">IF(CS1383="","",MAX(0,H1383-CV1383)*G1383)</f>
        <v>2433.98</v>
      </c>
      <c r="CX1383" s="62" t="n">
        <f aca="false">IF(CS1383="","",CS1383*MAX(0,1-CV1383/H1383))</f>
        <v>75.12560220234</v>
      </c>
      <c r="CY1383" s="64" t="n">
        <f aca="false">IF(CS1383="","",PERCENTRANK($CS$7:$CS$1843,CS1383)+PERCENTRANK($CU$7:$CU$1843,CU1383)+1-PERCENTRANK($CT$7:$CT$1843,CT1383))</f>
        <v>2.082</v>
      </c>
      <c r="CZ1383" s="72" t="n">
        <f aca="false">IF(CS1383="","",CHOOSE(MATCH(Einkauf!$C$5,Parameter!$G$23:$G$27,0),CY1383,CS1383,CU1383,-CT1383,CW1383)+ROW()/1000000000)</f>
        <v>2.082001383</v>
      </c>
    </row>
    <row r="1384" customFormat="false" ht="15" hidden="false" customHeight="false" outlineLevel="0" collapsed="false">
      <c r="A1384" s="60" t="s">
        <v>2476</v>
      </c>
      <c r="B1384" s="60" t="s">
        <v>2477</v>
      </c>
      <c r="C1384" s="60" t="s">
        <v>206</v>
      </c>
      <c r="D1384" s="60" t="s">
        <v>226</v>
      </c>
      <c r="E1384" s="60" t="s">
        <v>227</v>
      </c>
      <c r="F1384" s="60" t="s">
        <v>260</v>
      </c>
      <c r="G1384" s="61" t="n">
        <v>112.86</v>
      </c>
      <c r="H1384" s="62" t="n">
        <f aca="false">MAX(0,IF(AND(Parameter!$B$21="Ja",ISNUMBER(Y1384)),Y1384,IF(Parameter!$B$20="Jahresanfang 2025 + Export",BS1384+BR1384,BR1384)))</f>
        <v>125</v>
      </c>
      <c r="I1384" s="62" t="n">
        <f aca="false">H1384*G1384</f>
        <v>14107.5</v>
      </c>
      <c r="J1384" s="62" t="n">
        <f aca="false">BU1384*Parameter!$B$18</f>
        <v>528</v>
      </c>
      <c r="K1384" s="63" t="n">
        <v>137</v>
      </c>
      <c r="L1384" s="64" t="n">
        <v>3.85401459854015</v>
      </c>
      <c r="M1384" s="62" t="n">
        <v>30</v>
      </c>
      <c r="N1384" s="62" t="n">
        <v>100</v>
      </c>
      <c r="O1384" s="65" t="n">
        <v>21</v>
      </c>
      <c r="P1384" s="60" t="s">
        <v>344</v>
      </c>
      <c r="Q1384" s="62" t="n">
        <v>761</v>
      </c>
      <c r="R1384" s="65" t="n">
        <f aca="false">IF(CA1384=1,0,IFERROR(VLOOKUP(BY1384,'Gebinde-Kategorie'!$A$5:$N$45,13,0)+0,0))</f>
        <v>26</v>
      </c>
      <c r="S1384" s="66"/>
      <c r="T1384" s="67"/>
      <c r="U1384" s="67"/>
      <c r="V1384" s="67"/>
      <c r="W1384" s="60"/>
      <c r="X1384" s="62"/>
      <c r="Y1384" s="62"/>
      <c r="Z1384" s="60" t="n">
        <v>3</v>
      </c>
      <c r="AA1384" s="60" t="n">
        <f aca="false">IF(A1384="","",IF(AND(Parameter!$B$21="Ja",ISNUMBER(W1384)),W1384,IF(AND(Parameter!$E$27="Ja",ISNUMBER(Z1384),CD1384&lt;&gt;"Nein"),Z1384,IF(CD1384="2+3",IF(ISNUMBER(SEARCH("grosser Artikel",BV1384)),2,IFERROR(VLOOKUP(BY1384,Parameter!$F$35:$G$64,2,0),2)),IF(OR(CD1384="Nein",CD1384=""),"-",CD1384)))))</f>
        <v>3</v>
      </c>
      <c r="AB1384" s="67"/>
      <c r="AC1384" s="68"/>
      <c r="AD1384" s="62" t="n">
        <f aca="false">AW1384</f>
        <v>322</v>
      </c>
      <c r="AE1384" s="62" t="n">
        <f aca="false">MAX(AW1384,H1384)</f>
        <v>322</v>
      </c>
      <c r="AF1384" s="69"/>
      <c r="AG1384" s="62" t="n">
        <f aca="false">IF(LEFT(Cockpit!$C$5,1)="A",H1384,IF(Parameter!$E$30="MAX-Bestand",IF(CI1384=1,CJ1384,IF(LEFT(Cockpit!$C$5,1)="B",AM1384,MAX(AM1384,H1384))),ROUNDUP(AK1384,0)))</f>
        <v>125</v>
      </c>
      <c r="AH1384" s="62" t="n">
        <f aca="false">IF(CA1384=1,0,ROUNDUP(AG1384/BZ1384,0))</f>
        <v>1</v>
      </c>
      <c r="AI1384" s="64" t="n">
        <f aca="false">IF(CR1384&gt;0,CR1384*MAX(1,AG1384/X1384),IF(CA1384=1,IF(AG1384&lt;=0,0,CE1384*MAX(1,IF(H1384&gt;0,AG1384/H1384,1))),IF(R1384&gt;0,AH1384/R1384,0))/MAX(0.1,N(Parameter!$M$21)))</f>
        <v>0.0384615384615385</v>
      </c>
      <c r="AJ1384" s="62" t="n">
        <f aca="false">AI1384*CC1384</f>
        <v>5.96153846153846</v>
      </c>
      <c r="AK1384" s="63" t="n">
        <f aca="false">IF(LEFT(Cockpit!$C$5,1)="A",H1384,IF(CI1384=1,(CL1384+CJ1384)/2,IF(LEFT(Cockpit!$C$5,1)="B",(CL1384+AM1384)/2,MAX((CL1384+AM1384)/2,H1384))))</f>
        <v>125</v>
      </c>
      <c r="AL1384" s="62" t="n">
        <f aca="false">AK1384*G1384</f>
        <v>14107.5</v>
      </c>
      <c r="AM1384" s="62" t="n">
        <f aca="false">ROUNDUP(CL1384+MAX(CM1384,2*(J1384/IF(CH1384&gt;0,CH1384,MAX(0.1,N(Cockpit!$C$6)))-CL1384)),0)</f>
        <v>322</v>
      </c>
      <c r="AN1384" s="63" t="n">
        <f aca="false">IF(AJ1384&gt;0,J1384/AJ1384,-1)</f>
        <v>88.5677419354839</v>
      </c>
      <c r="AO1384" s="63" t="n">
        <f aca="false">IF(AND(OR(CG1384="L1",CG1384="L23",CG1384="LIFT"),AJ1384&gt;0),SUMIFS($AJ$7:$AJ$1843,$CG$7:$CG$1843,CG1384,$AN$7:$AN$1843,"&gt;"&amp;AN1384)+SUMIFS($AJ$7:$AJ$1843,$CG$7:$CG$1843,CG1384,$AN$7:$AN$1843,AN1384,$BX$7:$BX$1843,"&lt;="&amp;BX1384),"")</f>
        <v>827.93543956044</v>
      </c>
      <c r="AP1384" s="70" t="n">
        <f aca="false">IF(AO1384="",0,MAX(0,MIN(1,(IF(CG1384="L1",Parameter!$H$5,IF(CG1384="L23",Parameter!$H$6+Parameter!$H$7,Parameter!$H$5+Parameter!$H$6+Parameter!$H$7))-(AO1384-AJ1384))/AJ1384)))</f>
        <v>1</v>
      </c>
      <c r="AQ1384" s="62" t="n">
        <f aca="false">IF(LEFT(Cockpit!$I$5,1)="A",H1384,IF(Parameter!$E$30="MAX-Bestand",IF(CI1384=1,CJ1384,IF(LEFT(Cockpit!$I$5,1)="B",AW1384,MAX(AW1384,H1384))),ROUNDUP(AU1384,0)))</f>
        <v>176</v>
      </c>
      <c r="AR1384" s="62" t="n">
        <f aca="false">IF(CA1384=1,0,ROUNDUP(AQ1384/BZ1384,0))</f>
        <v>1</v>
      </c>
      <c r="AS1384" s="64" t="n">
        <f aca="false">IF(CR1384&gt;0,CR1384*MAX(1,AQ1384/X1384),IF(CA1384=1,IF(AQ1384&lt;=0,0,CE1384*MAX(1,IF(H1384&gt;0,AQ1384/H1384,1))),IF(R1384&gt;0,AR1384/R1384,0))/MAX(0.1,N(Parameter!$M$21)))</f>
        <v>0.0384615384615385</v>
      </c>
      <c r="AT1384" s="62" t="n">
        <f aca="false">AS1384*CC1384</f>
        <v>5.96153846153846</v>
      </c>
      <c r="AU1384" s="63" t="n">
        <f aca="false">IF(LEFT(Cockpit!$I$5,1)="A",H1384,IF(CI1384=1,(CL1384+CJ1384)/2,IF(LEFT(Cockpit!$I$5,1)="B",(CL1384+AW1384)/2,MAX((CL1384+AW1384)/2,H1384))))</f>
        <v>176</v>
      </c>
      <c r="AV1384" s="62" t="n">
        <f aca="false">AU1384*G1384</f>
        <v>19863.36</v>
      </c>
      <c r="AW1384" s="62" t="n">
        <f aca="false">ROUNDUP(CL1384+MAX(CM1384,2*(J1384/IF(CH1384&gt;0,CH1384,MAX(0.1,N(Cockpit!$I$6)))-CL1384)),0)</f>
        <v>322</v>
      </c>
      <c r="AX1384" s="63" t="n">
        <f aca="false">IF(AT1384&gt;0,J1384/AT1384,-1)</f>
        <v>88.5677419354839</v>
      </c>
      <c r="AY1384" s="63" t="n">
        <f aca="false">IF(AND(OR(CG1384="L1",CG1384="L23",CG1384="LIFT"),AT1384&gt;0),SUMIFS($AT$7:$AT$1843,$CG$7:$CG$1843,CG1384,$AX$7:$AX$1843,"&gt;"&amp;AX1384)+SUMIFS($AT$7:$AT$1843,$CG$7:$CG$1843,CG1384,$AX$7:$AX$1843,AX1384,$BX$7:$BX$1843,"&lt;="&amp;BX1384),"")</f>
        <v>1040.84752747253</v>
      </c>
      <c r="AZ1384" s="70" t="n">
        <f aca="false">IF(AY1384="",0,MAX(0,MIN(1,(IF(CG1384="L1",Parameter!$H$5,IF(CG1384="L23",Parameter!$H$6+Parameter!$H$7,Parameter!$H$5+Parameter!$H$6+Parameter!$H$7))-(AY1384-AT1384))/AT1384)))</f>
        <v>1</v>
      </c>
      <c r="BA1384" s="62" t="n">
        <f aca="false">IF(LEFT(Cockpit!$O$5,1)="A",H1384,IF(Parameter!$E$30="MAX-Bestand",IF(CI1384=1,CJ1384,IF(LEFT(Cockpit!$O$5,1)="B",BG1384,MAX(BG1384,H1384))),ROUNDUP(BE1384,0)))</f>
        <v>132</v>
      </c>
      <c r="BB1384" s="62" t="n">
        <f aca="false">IF(CA1384=1,0,ROUNDUP(BA1384/BZ1384,0))</f>
        <v>1</v>
      </c>
      <c r="BC1384" s="64" t="n">
        <f aca="false">IF(CR1384&gt;0,CR1384*MAX(1,BA1384/X1384),IF(CA1384=1,IF(BA1384&lt;=0,0,CE1384*MAX(1,IF(H1384&gt;0,BA1384/H1384,1))),IF(R1384&gt;0,BB1384/R1384,0))/MAX(0.1,N(Parameter!$M$21)))</f>
        <v>0.0384615384615385</v>
      </c>
      <c r="BD1384" s="62" t="n">
        <f aca="false">BC1384*CC1384</f>
        <v>5.96153846153846</v>
      </c>
      <c r="BE1384" s="63" t="n">
        <f aca="false">IF(LEFT(Cockpit!$O$5,1)="A",H1384,IF(CI1384=1,(CL1384+CJ1384)/2,IF(LEFT(Cockpit!$O$5,1)="B",(CL1384+BG1384)/2,MAX((CL1384+BG1384)/2,H1384))))</f>
        <v>132</v>
      </c>
      <c r="BF1384" s="62" t="n">
        <f aca="false">BE1384*G1384</f>
        <v>14897.52</v>
      </c>
      <c r="BG1384" s="62" t="n">
        <f aca="false">ROUNDUP(CL1384+MAX(CM1384,2*(J1384/IF(CH1384&gt;0,CH1384,MAX(0.1,N(Cockpit!$O$6)))-CL1384)),0)</f>
        <v>234</v>
      </c>
      <c r="BH1384" s="63" t="n">
        <f aca="false">IF(BD1384&gt;0,J1384/BD1384,-1)</f>
        <v>88.5677419354839</v>
      </c>
      <c r="BI1384" s="63" t="n">
        <f aca="false">IF(AND(OR(CG1384="L1",CG1384="L23",CG1384="LIFT"),BD1384&gt;0),SUMIFS($BD$7:$BD$1843,$CG$7:$CG$1843,CG1384,$BH$7:$BH$1843,"&gt;"&amp;BH1384)+SUMIFS($BD$7:$BD$1843,$CG$7:$CG$1843,CG1384,$BH$7:$BH$1843,BH1384,$BX$7:$BX$1843,"&lt;="&amp;BX1384),"")</f>
        <v>976.487179487179</v>
      </c>
      <c r="BJ1384" s="70" t="n">
        <f aca="false">IF(BI1384="",0,MAX(0,MIN(1,(IF(CG1384="L1",Parameter!$H$5,IF(CG1384="L23",Parameter!$H$6+Parameter!$H$7,Parameter!$H$5+Parameter!$H$6+Parameter!$H$7))-(BI1384-BD1384))/BD1384)))</f>
        <v>1</v>
      </c>
      <c r="BK1384" s="60" t="str">
        <f aca="false">IF(AJ1384&lt;=0,"",IF(CG1384="Aussen","Aussenlager",IF(CG1384="-","Nicht im Lift",IF(AP1384&gt;=1,"Lift",IF(AP1384&lt;=0,"Aussenlager","teilweise")))))</f>
        <v>Lift</v>
      </c>
      <c r="BL1384" s="60" t="str">
        <f aca="false">IF(AT1384&lt;=0,"",IF(CG1384="Aussen","Aussenlager",IF(CG1384="-","Nicht im Lift",IF(AZ1384&gt;=1,"Lift",IF(AZ1384&lt;=0,"Aussenlager","teilweise")))))</f>
        <v>Lift</v>
      </c>
      <c r="BM1384" s="60" t="str">
        <f aca="false">IF(BD1384&lt;=0,"",IF(CG1384="Aussen","Aussenlager",IF(CG1384="-","Nicht im Lift",IF(BJ1384&gt;=1,"Lift",IF(BJ1384&lt;=0,"Aussenlager","teilweise")))))</f>
        <v>Lift</v>
      </c>
      <c r="BN1384" s="60" t="str">
        <f aca="false">IF(A1384="","",IF(BW1384=1,"Neu; ","")&amp;IF(AND(BW1384=0,BR1384&lt;0),"negativer Bestand (Export "&amp;BR1384&amp;"); ","")&amp;IF(J1384&lt;=0,"Kein Verbrauch; ","")&amp;IF(CR1384&gt;0,"Lift "&amp;W1384&amp;" lt. Liftbericht (Fach "&amp;X1384&amp;" Stk); ",IF(CB1384=1,"Gebinde geschätzt ("&amp;T1384&amp;"); ",IF(CA1384=1,"Lose – Tablare geschätzt; ","")))&amp;IF(H1384&gt;AW1384,"Überbestand "&amp;ROUND(H1384-AW1384,0)&amp;" Stk / CHF "&amp;ROUND((H1384-AW1384)*G1384,0)&amp;"; ","")&amp;IF(AND(CI1384=1,CJ1384&lt;CK1384),"MAX &lt; MB+LG; ","")&amp;IF(AND(CQ1384&gt;0,CP1384*10&gt;CQ1384),"zu hoch für Tablar; ","")&amp;IF(AND(BW1384=0,OR(CI1384=1,AB1384&lt;&gt;"",U1384&lt;&gt;"",V1384&lt;&gt;"",AC1384&lt;&gt;"")),"manuell übersteuert; ","")&amp;IF(AND(CA1384=0,R1384=0),"Gebinde unbekannt / Stellmass fehlt; ","")&amp;IF(AND(CA1384=0,N(V1384)&lt;=0,N(Q1384)&lt;=0),"Menge pro Gebinde fehlt (Ist = 1 Gebinde); ","")&amp;BV1384)</f>
        <v>negativer Bestand (Export -28); </v>
      </c>
      <c r="BO1384" s="60"/>
      <c r="BP1384" s="60"/>
      <c r="BQ1384" s="67"/>
      <c r="BR1384" s="62" t="n">
        <v>-28</v>
      </c>
      <c r="BS1384" s="62" t="n">
        <v>153</v>
      </c>
      <c r="BT1384" s="61" t="n">
        <v>-3172.77000000002</v>
      </c>
      <c r="BU1384" s="62" t="n">
        <v>528</v>
      </c>
      <c r="BV1384" s="60"/>
      <c r="BW1384" s="65" t="n">
        <v>0</v>
      </c>
      <c r="BX1384" s="65" t="n">
        <v>1384</v>
      </c>
      <c r="BY1384" s="60" t="str">
        <f aca="false">IF(U1384&lt;&gt;"",UPPER(TRIM(U1384)),IF(CB1384=1,UPPER(VLOOKUP(T1384,Parameter!$I$27:$K$29,2,0)),IF(P1384="","LOSE",P1384)))</f>
        <v>S51</v>
      </c>
      <c r="BZ1384" s="62" t="n">
        <f aca="false">IF(BY1384="LOSE",1,IF(N(V1384)&gt;0,V1384,IF(CB1384=1,MAX(1,N(VLOOKUP(T1384,Parameter!$I$27:$K$29,3,0)),H1384,N(N1384)),IF(N(Q1384)&gt;0,Q1384,MAX(1,H1384)))))</f>
        <v>761</v>
      </c>
      <c r="CA1384" s="65" t="n">
        <f aca="false">IF(BY1384="LOSE",1,0)</f>
        <v>0</v>
      </c>
      <c r="CB1384" s="65" t="n">
        <f aca="false">IF(AND(U1384="",OR(P1384="",P1384="LOSE"),T1384&lt;&gt;"",N(S1384)&lt;=0,ISNUMBER(MATCH(T1384,Parameter!$I$27:$I$29,0))),1,0)</f>
        <v>0</v>
      </c>
      <c r="CC1384" s="65" t="n">
        <f aca="false">IF(CR1384&gt;0,INDEX(Parameter!$H$5:$H$7,W1384)/INDEX(Parameter!$E$5:$E$7,W1384),IF(AND(CA1384=0,N(IFERROR(VLOOKUP(BY1384,'Gebinde-Kategorie'!$A$5:$N$45,14,0),0))&gt;0),VLOOKUP(BY1384,'Gebinde-Kategorie'!$A$5:$N$45,14,0)*10+Parameter!$M$23,Parameter!$M$24))</f>
        <v>155</v>
      </c>
      <c r="CD1384" s="60" t="str">
        <f aca="false">IF(AND(Parameter!$B$19="Ja",E1384&lt;&gt;"",ISNUMBER(MATCH(E1384,Parameter!$I$35:$I$52,0))),VLOOKUP(E1384,Parameter!$I$35:$J$52,2,0),IFERROR(VLOOKUP(D1384,Parameter!$A$35:$C$64,2,0),"Nein"))</f>
        <v>2+3</v>
      </c>
      <c r="CE1384" s="64" t="n">
        <f aca="false">IF(CA1384=0,0,IF(N(S1384)&gt;0,S1384,IFERROR(VLOOKUP(D1384,Parameter!$A$35:$C$64,3,0)+0,0)))</f>
        <v>0</v>
      </c>
      <c r="CF1384" s="60" t="n">
        <f aca="false">IF(AB1384&lt;&gt;"",AB1384,AA1384)</f>
        <v>3</v>
      </c>
      <c r="CG1384" s="60" t="str">
        <f aca="false">IF(OR(CF1384=1,CF1384=2,CF1384=3),IF(Parameter!$E$27="Ja","LIFT",IF(CF1384=1,"L1","L23")),IF(CF1384="Aussen","Aussen","-"))</f>
        <v>LIFT</v>
      </c>
      <c r="CH1384" s="71" t="n">
        <f aca="false">IF(N(AC1384)&gt;0,AC1384,0)</f>
        <v>0</v>
      </c>
      <c r="CI1384" s="65" t="n">
        <f aca="false">IF(ISNUMBER(AF1384),1,0)</f>
        <v>0</v>
      </c>
      <c r="CJ1384" s="62" t="n">
        <f aca="false">N(AF1384)</f>
        <v>0</v>
      </c>
      <c r="CK1384" s="62" t="n">
        <f aca="false">N(M1384)+N(N1384)</f>
        <v>130</v>
      </c>
      <c r="CL1384" s="62" t="n">
        <f aca="false">N(M1384)</f>
        <v>30</v>
      </c>
      <c r="CM1384" s="62" t="n">
        <f aca="false">N(N1384)</f>
        <v>100</v>
      </c>
      <c r="CN1384" s="62" t="n">
        <f aca="false">ROUNDUP(H1384/BZ1384,0)</f>
        <v>1</v>
      </c>
      <c r="CO1384" s="62" t="n">
        <f aca="false">ROUNDUP(CJ1384/BZ1384,0)</f>
        <v>0</v>
      </c>
      <c r="CP1384" s="65" t="n">
        <f aca="false">IF(CA1384=1,0,IFERROR(VLOOKUP(BY1384,'Gebinde-Kategorie'!$A$5:$N$45,5,0)+0,0))</f>
        <v>11</v>
      </c>
      <c r="CQ1384" s="65" t="n">
        <f aca="false">IFERROR(IF(OR(CF1384=1,CF1384=2,CF1384=3),N(INDEX(Parameter!$I$5:$I$7,CF1384)),0),0)</f>
        <v>0</v>
      </c>
      <c r="CR1384" s="64" t="n">
        <f aca="false">IF(AND(Parameter!$B$21="Ja",ISNUMBER(W1384),N(X1384)&gt;0),IFERROR(N(INDEX(Parameter!$L$5:$L$7,W1384))*INDEX(Parameter!$E$5:$E$7,W1384)*X1384/SUMIFS($X$7:$X$1843,$W$7:$W$1843,W1384),0),0)</f>
        <v>0</v>
      </c>
      <c r="CS1384" s="62" t="n">
        <f aca="false">IF(AND(OR(CG1384="L1",CG1384="L23",CG1384="LIFT"),H1384&gt;0),CC1384*IF(CR1384&gt;0,CR1384*MAX(1,H1384/X1384),IF(CA1384=1,CE1384,IF(R1384&gt;0,CN1384/R1384,0))/MAX(0.1,N(Parameter!$M$21))),"")</f>
        <v>5.96153846153846</v>
      </c>
      <c r="CT1384" s="64" t="n">
        <f aca="false">IF(CS1384="","",J1384/H1384)</f>
        <v>4.224</v>
      </c>
      <c r="CU1384" s="62" t="n">
        <f aca="false">IF(CS1384="","",H1384*G1384)</f>
        <v>14107.5</v>
      </c>
      <c r="CV1384" s="63" t="n">
        <f aca="false">IF(CS1384="","",(CL1384+ROUNDUP(CL1384+MAX(CM1384,2*(J1384/MAX(0.1,N(Einkauf!$C$6))-CL1384)),0))/2)</f>
        <v>132</v>
      </c>
      <c r="CW1384" s="62" t="n">
        <f aca="false">IF(CS1384="","",MAX(0,H1384-CV1384)*G1384)</f>
        <v>0</v>
      </c>
      <c r="CX1384" s="62" t="n">
        <f aca="false">IF(CS1384="","",CS1384*MAX(0,1-CV1384/H1384))</f>
        <v>0</v>
      </c>
      <c r="CY1384" s="64" t="n">
        <f aca="false">IF(CS1384="","",PERCENTRANK($CS$7:$CS$1843,CS1384)+PERCENTRANK($CU$7:$CU$1843,CU1384)+1-PERCENTRANK($CT$7:$CT$1843,CT1384))</f>
        <v>1.38</v>
      </c>
      <c r="CZ1384" s="72" t="n">
        <f aca="false">IF(CS1384="","",CHOOSE(MATCH(Einkauf!$C$5,Parameter!$G$23:$G$27,0),CY1384,CS1384,CU1384,-CT1384,CW1384)+ROW()/1000000000)</f>
        <v>1.380001384</v>
      </c>
    </row>
    <row r="1385" customFormat="false" ht="15" hidden="false" customHeight="false" outlineLevel="0" collapsed="false">
      <c r="A1385" s="60" t="s">
        <v>2478</v>
      </c>
      <c r="B1385" s="60" t="s">
        <v>2479</v>
      </c>
      <c r="C1385" s="60" t="s">
        <v>206</v>
      </c>
      <c r="D1385" s="60" t="s">
        <v>226</v>
      </c>
      <c r="E1385" s="60" t="s">
        <v>227</v>
      </c>
      <c r="F1385" s="60" t="s">
        <v>260</v>
      </c>
      <c r="G1385" s="61" t="n">
        <v>1587.24</v>
      </c>
      <c r="H1385" s="62" t="n">
        <f aca="false">MAX(0,IF(AND(Parameter!$B$21="Ja",ISNUMBER(Y1385)),Y1385,IF(Parameter!$B$20="Jahresanfang 2025 + Export",BS1385+BR1385,BR1385)))</f>
        <v>3</v>
      </c>
      <c r="I1385" s="62" t="n">
        <f aca="false">H1385*G1385</f>
        <v>4761.72</v>
      </c>
      <c r="J1385" s="62" t="n">
        <f aca="false">BU1385*Parameter!$B$18</f>
        <v>1</v>
      </c>
      <c r="K1385" s="63" t="n">
        <v>4.5</v>
      </c>
      <c r="L1385" s="64" t="n">
        <v>0.222222222222222</v>
      </c>
      <c r="M1385" s="62" t="n">
        <v>0</v>
      </c>
      <c r="N1385" s="62" t="n">
        <v>1</v>
      </c>
      <c r="O1385" s="65" t="n">
        <v>28</v>
      </c>
      <c r="P1385" s="60" t="s">
        <v>268</v>
      </c>
      <c r="Q1385" s="62" t="n">
        <v>3</v>
      </c>
      <c r="R1385" s="65" t="n">
        <f aca="false">IF(CA1385=1,0,IFERROR(VLOOKUP(BY1385,'Gebinde-Kategorie'!$A$5:$N$45,13,0)+0,0))</f>
        <v>12</v>
      </c>
      <c r="S1385" s="66"/>
      <c r="T1385" s="67"/>
      <c r="U1385" s="67"/>
      <c r="V1385" s="67"/>
      <c r="W1385" s="60"/>
      <c r="X1385" s="62"/>
      <c r="Y1385" s="62"/>
      <c r="Z1385" s="60" t="n">
        <v>3</v>
      </c>
      <c r="AA1385" s="60" t="n">
        <f aca="false">IF(A1385="","",IF(AND(Parameter!$B$21="Ja",ISNUMBER(W1385)),W1385,IF(AND(Parameter!$E$27="Ja",ISNUMBER(Z1385),CD1385&lt;&gt;"Nein"),Z1385,IF(CD1385="2+3",IF(ISNUMBER(SEARCH("grosser Artikel",BV1385)),2,IFERROR(VLOOKUP(BY1385,Parameter!$F$35:$G$64,2,0),2)),IF(OR(CD1385="Nein",CD1385=""),"-",CD1385)))))</f>
        <v>3</v>
      </c>
      <c r="AB1385" s="67"/>
      <c r="AC1385" s="68"/>
      <c r="AD1385" s="62" t="n">
        <f aca="false">AW1385</f>
        <v>1</v>
      </c>
      <c r="AE1385" s="62" t="n">
        <f aca="false">MAX(AW1385,H1385)</f>
        <v>3</v>
      </c>
      <c r="AF1385" s="69"/>
      <c r="AG1385" s="62" t="n">
        <f aca="false">IF(LEFT(Cockpit!$C$5,1)="A",H1385,IF(Parameter!$E$30="MAX-Bestand",IF(CI1385=1,CJ1385,IF(LEFT(Cockpit!$C$5,1)="B",AM1385,MAX(AM1385,H1385))),ROUNDUP(AK1385,0)))</f>
        <v>3</v>
      </c>
      <c r="AH1385" s="62" t="n">
        <f aca="false">IF(CA1385=1,0,ROUNDUP(AG1385/BZ1385,0))</f>
        <v>1</v>
      </c>
      <c r="AI1385" s="64" t="n">
        <f aca="false">IF(CR1385&gt;0,CR1385*MAX(1,AG1385/X1385),IF(CA1385=1,IF(AG1385&lt;=0,0,CE1385*MAX(1,IF(H1385&gt;0,AG1385/H1385,1))),IF(R1385&gt;0,AH1385/R1385,0))/MAX(0.1,N(Parameter!$M$21)))</f>
        <v>0.0833333333333333</v>
      </c>
      <c r="AJ1385" s="62" t="n">
        <f aca="false">AI1385*CC1385</f>
        <v>28.75</v>
      </c>
      <c r="AK1385" s="63" t="n">
        <f aca="false">IF(LEFT(Cockpit!$C$5,1)="A",H1385,IF(CI1385=1,(CL1385+CJ1385)/2,IF(LEFT(Cockpit!$C$5,1)="B",(CL1385+AM1385)/2,MAX((CL1385+AM1385)/2,H1385))))</f>
        <v>3</v>
      </c>
      <c r="AL1385" s="62" t="n">
        <f aca="false">AK1385*G1385</f>
        <v>4761.72</v>
      </c>
      <c r="AM1385" s="62" t="n">
        <f aca="false">ROUNDUP(CL1385+MAX(CM1385,2*(J1385/IF(CH1385&gt;0,CH1385,MAX(0.1,N(Cockpit!$C$6)))-CL1385)),0)</f>
        <v>1</v>
      </c>
      <c r="AN1385" s="63" t="n">
        <f aca="false">IF(AJ1385&gt;0,J1385/AJ1385,-1)</f>
        <v>0.0347826086956522</v>
      </c>
      <c r="AO1385" s="63" t="n">
        <f aca="false">IF(AND(OR(CG1385="L1",CG1385="L23",CG1385="LIFT"),AJ1385&gt;0),SUMIFS($AJ$7:$AJ$1843,$CG$7:$CG$1843,CG1385,$AN$7:$AN$1843,"&gt;"&amp;AN1385)+SUMIFS($AJ$7:$AJ$1843,$CG$7:$CG$1843,CG1385,$AN$7:$AN$1843,AN1385,$BX$7:$BX$1843,"&lt;="&amp;BX1385),"")</f>
        <v>19981.1209800087</v>
      </c>
      <c r="AP1385" s="70" t="n">
        <f aca="false">IF(AO1385="",0,MAX(0,MIN(1,(IF(CG1385="L1",Parameter!$H$5,IF(CG1385="L23",Parameter!$H$6+Parameter!$H$7,Parameter!$H$5+Parameter!$H$6+Parameter!$H$7))-(AO1385-AJ1385))/AJ1385)))</f>
        <v>1</v>
      </c>
      <c r="AQ1385" s="62" t="n">
        <f aca="false">IF(LEFT(Cockpit!$I$5,1)="A",H1385,IF(Parameter!$E$30="MAX-Bestand",IF(CI1385=1,CJ1385,IF(LEFT(Cockpit!$I$5,1)="B",AW1385,MAX(AW1385,H1385))),ROUNDUP(AU1385,0)))</f>
        <v>3</v>
      </c>
      <c r="AR1385" s="62" t="n">
        <f aca="false">IF(CA1385=1,0,ROUNDUP(AQ1385/BZ1385,0))</f>
        <v>1</v>
      </c>
      <c r="AS1385" s="64" t="n">
        <f aca="false">IF(CR1385&gt;0,CR1385*MAX(1,AQ1385/X1385),IF(CA1385=1,IF(AQ1385&lt;=0,0,CE1385*MAX(1,IF(H1385&gt;0,AQ1385/H1385,1))),IF(R1385&gt;0,AR1385/R1385,0))/MAX(0.1,N(Parameter!$M$21)))</f>
        <v>0.0833333333333333</v>
      </c>
      <c r="AT1385" s="62" t="n">
        <f aca="false">AS1385*CC1385</f>
        <v>28.75</v>
      </c>
      <c r="AU1385" s="63" t="n">
        <f aca="false">IF(LEFT(Cockpit!$I$5,1)="A",H1385,IF(CI1385=1,(CL1385+CJ1385)/2,IF(LEFT(Cockpit!$I$5,1)="B",(CL1385+AW1385)/2,MAX((CL1385+AW1385)/2,H1385))))</f>
        <v>3</v>
      </c>
      <c r="AV1385" s="62" t="n">
        <f aca="false">AU1385*G1385</f>
        <v>4761.72</v>
      </c>
      <c r="AW1385" s="62" t="n">
        <f aca="false">ROUNDUP(CL1385+MAX(CM1385,2*(J1385/IF(CH1385&gt;0,CH1385,MAX(0.1,N(Cockpit!$I$6)))-CL1385)),0)</f>
        <v>1</v>
      </c>
      <c r="AX1385" s="63" t="n">
        <f aca="false">IF(AT1385&gt;0,J1385/AT1385,-1)</f>
        <v>0.0347826086956522</v>
      </c>
      <c r="AY1385" s="63" t="n">
        <f aca="false">IF(AND(OR(CG1385="L1",CG1385="L23",CG1385="LIFT"),AT1385&gt;0),SUMIFS($AT$7:$AT$1843,$CG$7:$CG$1843,CG1385,$AX$7:$AX$1843,"&gt;"&amp;AX1385)+SUMIFS($AT$7:$AT$1843,$CG$7:$CG$1843,CG1385,$AX$7:$AX$1843,AX1385,$BX$7:$BX$1843,"&lt;="&amp;BX1385),"")</f>
        <v>25040.5196213861</v>
      </c>
      <c r="AZ1385" s="70" t="n">
        <f aca="false">IF(AY1385="",0,MAX(0,MIN(1,(IF(CG1385="L1",Parameter!$H$5,IF(CG1385="L23",Parameter!$H$6+Parameter!$H$7,Parameter!$H$5+Parameter!$H$6+Parameter!$H$7))-(AY1385-AT1385))/AT1385)))</f>
        <v>1</v>
      </c>
      <c r="BA1385" s="62" t="n">
        <f aca="false">IF(LEFT(Cockpit!$O$5,1)="A",H1385,IF(Parameter!$E$30="MAX-Bestand",IF(CI1385=1,CJ1385,IF(LEFT(Cockpit!$O$5,1)="B",BG1385,MAX(BG1385,H1385))),ROUNDUP(BE1385,0)))</f>
        <v>1</v>
      </c>
      <c r="BB1385" s="62" t="n">
        <f aca="false">IF(CA1385=1,0,ROUNDUP(BA1385/BZ1385,0))</f>
        <v>1</v>
      </c>
      <c r="BC1385" s="64" t="n">
        <f aca="false">IF(CR1385&gt;0,CR1385*MAX(1,BA1385/X1385),IF(CA1385=1,IF(BA1385&lt;=0,0,CE1385*MAX(1,IF(H1385&gt;0,BA1385/H1385,1))),IF(R1385&gt;0,BB1385/R1385,0))/MAX(0.1,N(Parameter!$M$21)))</f>
        <v>0.0833333333333333</v>
      </c>
      <c r="BD1385" s="62" t="n">
        <f aca="false">BC1385*CC1385</f>
        <v>28.75</v>
      </c>
      <c r="BE1385" s="63" t="n">
        <f aca="false">IF(LEFT(Cockpit!$O$5,1)="A",H1385,IF(CI1385=1,(CL1385+CJ1385)/2,IF(LEFT(Cockpit!$O$5,1)="B",(CL1385+BG1385)/2,MAX((CL1385+BG1385)/2,H1385))))</f>
        <v>0.5</v>
      </c>
      <c r="BF1385" s="62" t="n">
        <f aca="false">BE1385*G1385</f>
        <v>793.62</v>
      </c>
      <c r="BG1385" s="62" t="n">
        <f aca="false">ROUNDUP(CL1385+MAX(CM1385,2*(J1385/IF(CH1385&gt;0,CH1385,MAX(0.1,N(Cockpit!$O$6)))-CL1385)),0)</f>
        <v>1</v>
      </c>
      <c r="BH1385" s="63" t="n">
        <f aca="false">IF(BD1385&gt;0,J1385/BD1385,-1)</f>
        <v>0.0347826086956522</v>
      </c>
      <c r="BI1385" s="63" t="n">
        <f aca="false">IF(AND(OR(CG1385="L1",CG1385="L23",CG1385="LIFT"),BD1385&gt;0),SUMIFS($BD$7:$BD$1843,$CG$7:$CG$1843,CG1385,$BH$7:$BH$1843,"&gt;"&amp;BH1385)+SUMIFS($BD$7:$BD$1843,$CG$7:$CG$1843,CG1385,$BH$7:$BH$1843,BH1385,$BX$7:$BX$1843,"&lt;="&amp;BX1385),"")</f>
        <v>20890.4347980174</v>
      </c>
      <c r="BJ1385" s="70" t="n">
        <f aca="false">IF(BI1385="",0,MAX(0,MIN(1,(IF(CG1385="L1",Parameter!$H$5,IF(CG1385="L23",Parameter!$H$6+Parameter!$H$7,Parameter!$H$5+Parameter!$H$6+Parameter!$H$7))-(BI1385-BD1385))/BD1385)))</f>
        <v>1</v>
      </c>
      <c r="BK1385" s="60" t="str">
        <f aca="false">IF(AJ1385&lt;=0,"",IF(CG1385="Aussen","Aussenlager",IF(CG1385="-","Nicht im Lift",IF(AP1385&gt;=1,"Lift",IF(AP1385&lt;=0,"Aussenlager","teilweise")))))</f>
        <v>Lift</v>
      </c>
      <c r="BL1385" s="60" t="str">
        <f aca="false">IF(AT1385&lt;=0,"",IF(CG1385="Aussen","Aussenlager",IF(CG1385="-","Nicht im Lift",IF(AZ1385&gt;=1,"Lift",IF(AZ1385&lt;=0,"Aussenlager","teilweise")))))</f>
        <v>Lift</v>
      </c>
      <c r="BM1385" s="60" t="str">
        <f aca="false">IF(BD1385&lt;=0,"",IF(CG1385="Aussen","Aussenlager",IF(CG1385="-","Nicht im Lift",IF(BJ1385&gt;=1,"Lift",IF(BJ1385&lt;=0,"Aussenlager","teilweise")))))</f>
        <v>Lift</v>
      </c>
      <c r="BN1385" s="60" t="str">
        <f aca="false">IF(A1385="","",IF(BW1385=1,"Neu; ","")&amp;IF(AND(BW1385=0,BR1385&lt;0),"negativer Bestand (Export "&amp;BR1385&amp;"); ","")&amp;IF(J1385&lt;=0,"Kein Verbrauch; ","")&amp;IF(CR1385&gt;0,"Lift "&amp;W1385&amp;" lt. Liftbericht (Fach "&amp;X1385&amp;" Stk); ",IF(CB1385=1,"Gebinde geschätzt ("&amp;T1385&amp;"); ",IF(CA1385=1,"Lose – Tablare geschätzt; ","")))&amp;IF(H1385&gt;AW1385,"Überbestand "&amp;ROUND(H1385-AW1385,0)&amp;" Stk / CHF "&amp;ROUND((H1385-AW1385)*G1385,0)&amp;"; ","")&amp;IF(AND(CI1385=1,CJ1385&lt;CK1385),"MAX &lt; MB+LG; ","")&amp;IF(AND(CQ1385&gt;0,CP1385*10&gt;CQ1385),"zu hoch für Tablar; ","")&amp;IF(AND(BW1385=0,OR(CI1385=1,AB1385&lt;&gt;"",U1385&lt;&gt;"",V1385&lt;&gt;"",AC1385&lt;&gt;"")),"manuell übersteuert; ","")&amp;IF(AND(CA1385=0,R1385=0),"Gebinde unbekannt / Stellmass fehlt; ","")&amp;IF(AND(CA1385=0,N(V1385)&lt;=0,N(Q1385)&lt;=0),"Menge pro Gebinde fehlt (Ist = 1 Gebinde); ","")&amp;BV1385)</f>
        <v>negativer Bestand (Export -2); Überbestand 2 Stk / CHF 3174; </v>
      </c>
      <c r="BO1385" s="60"/>
      <c r="BP1385" s="60"/>
      <c r="BQ1385" s="67"/>
      <c r="BR1385" s="62" t="n">
        <v>-2</v>
      </c>
      <c r="BS1385" s="62" t="n">
        <v>5</v>
      </c>
      <c r="BT1385" s="61" t="n">
        <v>-3174.48</v>
      </c>
      <c r="BU1385" s="62" t="n">
        <v>1</v>
      </c>
      <c r="BV1385" s="60"/>
      <c r="BW1385" s="65" t="n">
        <v>0</v>
      </c>
      <c r="BX1385" s="65" t="n">
        <v>1385</v>
      </c>
      <c r="BY1385" s="60" t="str">
        <f aca="false">IF(U1385&lt;&gt;"",UPPER(TRIM(U1385)),IF(CB1385=1,UPPER(VLOOKUP(T1385,Parameter!$I$27:$K$29,2,0)),IF(P1385="","LOSE",P1385)))</f>
        <v>S63</v>
      </c>
      <c r="BZ1385" s="62" t="n">
        <f aca="false">IF(BY1385="LOSE",1,IF(N(V1385)&gt;0,V1385,IF(CB1385=1,MAX(1,N(VLOOKUP(T1385,Parameter!$I$27:$K$29,3,0)),H1385,N(N1385)),IF(N(Q1385)&gt;0,Q1385,MAX(1,H1385)))))</f>
        <v>3</v>
      </c>
      <c r="CA1385" s="65" t="n">
        <f aca="false">IF(BY1385="LOSE",1,0)</f>
        <v>0</v>
      </c>
      <c r="CB1385" s="65" t="n">
        <f aca="false">IF(AND(U1385="",OR(P1385="",P1385="LOSE"),T1385&lt;&gt;"",N(S1385)&lt;=0,ISNUMBER(MATCH(T1385,Parameter!$I$27:$I$29,0))),1,0)</f>
        <v>0</v>
      </c>
      <c r="CC1385" s="65" t="n">
        <f aca="false">IF(CR1385&gt;0,INDEX(Parameter!$H$5:$H$7,W1385)/INDEX(Parameter!$E$5:$E$7,W1385),IF(AND(CA1385=0,N(IFERROR(VLOOKUP(BY1385,'Gebinde-Kategorie'!$A$5:$N$45,14,0),0))&gt;0),VLOOKUP(BY1385,'Gebinde-Kategorie'!$A$5:$N$45,14,0)*10+Parameter!$M$23,Parameter!$M$24))</f>
        <v>345</v>
      </c>
      <c r="CD1385" s="60" t="str">
        <f aca="false">IF(AND(Parameter!$B$19="Ja",E1385&lt;&gt;"",ISNUMBER(MATCH(E1385,Parameter!$I$35:$I$52,0))),VLOOKUP(E1385,Parameter!$I$35:$J$52,2,0),IFERROR(VLOOKUP(D1385,Parameter!$A$35:$C$64,2,0),"Nein"))</f>
        <v>2+3</v>
      </c>
      <c r="CE1385" s="64" t="n">
        <f aca="false">IF(CA1385=0,0,IF(N(S1385)&gt;0,S1385,IFERROR(VLOOKUP(D1385,Parameter!$A$35:$C$64,3,0)+0,0)))</f>
        <v>0</v>
      </c>
      <c r="CF1385" s="60" t="n">
        <f aca="false">IF(AB1385&lt;&gt;"",AB1385,AA1385)</f>
        <v>3</v>
      </c>
      <c r="CG1385" s="60" t="str">
        <f aca="false">IF(OR(CF1385=1,CF1385=2,CF1385=3),IF(Parameter!$E$27="Ja","LIFT",IF(CF1385=1,"L1","L23")),IF(CF1385="Aussen","Aussen","-"))</f>
        <v>LIFT</v>
      </c>
      <c r="CH1385" s="71" t="n">
        <f aca="false">IF(N(AC1385)&gt;0,AC1385,0)</f>
        <v>0</v>
      </c>
      <c r="CI1385" s="65" t="n">
        <f aca="false">IF(ISNUMBER(AF1385),1,0)</f>
        <v>0</v>
      </c>
      <c r="CJ1385" s="62" t="n">
        <f aca="false">N(AF1385)</f>
        <v>0</v>
      </c>
      <c r="CK1385" s="62" t="n">
        <f aca="false">N(M1385)+N(N1385)</f>
        <v>1</v>
      </c>
      <c r="CL1385" s="62" t="n">
        <f aca="false">N(M1385)</f>
        <v>0</v>
      </c>
      <c r="CM1385" s="62" t="n">
        <f aca="false">N(N1385)</f>
        <v>1</v>
      </c>
      <c r="CN1385" s="62" t="n">
        <f aca="false">ROUNDUP(H1385/BZ1385,0)</f>
        <v>1</v>
      </c>
      <c r="CO1385" s="62" t="n">
        <f aca="false">ROUNDUP(CJ1385/BZ1385,0)</f>
        <v>0</v>
      </c>
      <c r="CP1385" s="65" t="n">
        <f aca="false">IF(CA1385=1,0,IFERROR(VLOOKUP(BY1385,'Gebinde-Kategorie'!$A$5:$N$45,5,0)+0,0))</f>
        <v>31</v>
      </c>
      <c r="CQ1385" s="65" t="n">
        <f aca="false">IFERROR(IF(OR(CF1385=1,CF1385=2,CF1385=3),N(INDEX(Parameter!$I$5:$I$7,CF1385)),0),0)</f>
        <v>0</v>
      </c>
      <c r="CR1385" s="64" t="n">
        <f aca="false">IF(AND(Parameter!$B$21="Ja",ISNUMBER(W1385),N(X1385)&gt;0),IFERROR(N(INDEX(Parameter!$L$5:$L$7,W1385))*INDEX(Parameter!$E$5:$E$7,W1385)*X1385/SUMIFS($X$7:$X$1843,$W$7:$W$1843,W1385),0),0)</f>
        <v>0</v>
      </c>
      <c r="CS1385" s="62" t="n">
        <f aca="false">IF(AND(OR(CG1385="L1",CG1385="L23",CG1385="LIFT"),H1385&gt;0),CC1385*IF(CR1385&gt;0,CR1385*MAX(1,H1385/X1385),IF(CA1385=1,CE1385,IF(R1385&gt;0,CN1385/R1385,0))/MAX(0.1,N(Parameter!$M$21))),"")</f>
        <v>28.75</v>
      </c>
      <c r="CT1385" s="64" t="n">
        <f aca="false">IF(CS1385="","",J1385/H1385)</f>
        <v>0.333333333333333</v>
      </c>
      <c r="CU1385" s="62" t="n">
        <f aca="false">IF(CS1385="","",H1385*G1385)</f>
        <v>4761.72</v>
      </c>
      <c r="CV1385" s="63" t="n">
        <f aca="false">IF(CS1385="","",(CL1385+ROUNDUP(CL1385+MAX(CM1385,2*(J1385/MAX(0.1,N(Einkauf!$C$6))-CL1385)),0))/2)</f>
        <v>0.5</v>
      </c>
      <c r="CW1385" s="62" t="n">
        <f aca="false">IF(CS1385="","",MAX(0,H1385-CV1385)*G1385)</f>
        <v>3968.1</v>
      </c>
      <c r="CX1385" s="62" t="n">
        <f aca="false">IF(CS1385="","",CS1385*MAX(0,1-CV1385/H1385))</f>
        <v>23.9583333333333</v>
      </c>
      <c r="CY1385" s="64" t="n">
        <f aca="false">IF(CS1385="","",PERCENTRANK($CS$7:$CS$1843,CS1385)+PERCENTRANK($CU$7:$CU$1843,CU1385)+1-PERCENTRANK($CT$7:$CT$1843,CT1385))</f>
        <v>2.218</v>
      </c>
      <c r="CZ1385" s="72" t="n">
        <f aca="false">IF(CS1385="","",CHOOSE(MATCH(Einkauf!$C$5,Parameter!$G$23:$G$27,0),CY1385,CS1385,CU1385,-CT1385,CW1385)+ROW()/1000000000)</f>
        <v>2.218001385</v>
      </c>
    </row>
    <row r="1386" customFormat="false" ht="15" hidden="false" customHeight="false" outlineLevel="0" collapsed="false">
      <c r="A1386" s="60" t="s">
        <v>2480</v>
      </c>
      <c r="B1386" s="60" t="s">
        <v>2400</v>
      </c>
      <c r="C1386" s="60" t="s">
        <v>498</v>
      </c>
      <c r="D1386" s="60" t="s">
        <v>395</v>
      </c>
      <c r="E1386" s="60"/>
      <c r="F1386" s="60" t="s">
        <v>260</v>
      </c>
      <c r="G1386" s="61" t="n">
        <v>1598.96</v>
      </c>
      <c r="H1386" s="62" t="n">
        <f aca="false">MAX(0,IF(AND(Parameter!$B$21="Ja",ISNUMBER(Y1386)),Y1386,IF(Parameter!$B$20="Jahresanfang 2025 + Export",BS1386+BR1386,BR1386)))</f>
        <v>0</v>
      </c>
      <c r="I1386" s="62" t="n">
        <f aca="false">H1386*G1386</f>
        <v>0</v>
      </c>
      <c r="J1386" s="62" t="n">
        <f aca="false">BU1386*Parameter!$B$18</f>
        <v>0</v>
      </c>
      <c r="K1386" s="63" t="n">
        <v>1</v>
      </c>
      <c r="L1386" s="64" t="n">
        <v>0</v>
      </c>
      <c r="M1386" s="62" t="n">
        <v>0</v>
      </c>
      <c r="N1386" s="62" t="n">
        <v>1</v>
      </c>
      <c r="O1386" s="65" t="n">
        <v>0</v>
      </c>
      <c r="P1386" s="60" t="s">
        <v>210</v>
      </c>
      <c r="Q1386" s="62"/>
      <c r="R1386" s="65" t="n">
        <f aca="false">IF(CA1386=1,0,IFERROR(VLOOKUP(BY1386,'Gebinde-Kategorie'!$A$5:$N$45,13,0)+0,0))</f>
        <v>0</v>
      </c>
      <c r="S1386" s="66"/>
      <c r="T1386" s="67"/>
      <c r="U1386" s="67"/>
      <c r="V1386" s="67"/>
      <c r="W1386" s="60"/>
      <c r="X1386" s="62"/>
      <c r="Y1386" s="62"/>
      <c r="Z1386" s="60"/>
      <c r="AA1386" s="60" t="str">
        <f aca="false">IF(A1386="","",IF(AND(Parameter!$B$21="Ja",ISNUMBER(W1386)),W1386,IF(AND(Parameter!$E$27="Ja",ISNUMBER(Z1386),CD1386&lt;&gt;"Nein"),Z1386,IF(CD1386="2+3",IF(ISNUMBER(SEARCH("grosser Artikel",BV1386)),2,IFERROR(VLOOKUP(BY1386,Parameter!$F$35:$G$64,2,0),2)),IF(OR(CD1386="Nein",CD1386=""),"-",CD1386)))))</f>
        <v>-</v>
      </c>
      <c r="AB1386" s="67"/>
      <c r="AC1386" s="68"/>
      <c r="AD1386" s="62" t="n">
        <f aca="false">AW1386</f>
        <v>1</v>
      </c>
      <c r="AE1386" s="62" t="n">
        <f aca="false">MAX(AW1386,H1386)</f>
        <v>1</v>
      </c>
      <c r="AF1386" s="69"/>
      <c r="AG1386" s="62" t="n">
        <f aca="false">IF(LEFT(Cockpit!$C$5,1)="A",H1386,IF(Parameter!$E$30="MAX-Bestand",IF(CI1386=1,CJ1386,IF(LEFT(Cockpit!$C$5,1)="B",AM1386,MAX(AM1386,H1386))),ROUNDUP(AK1386,0)))</f>
        <v>0</v>
      </c>
      <c r="AH1386" s="62" t="n">
        <f aca="false">IF(CA1386=1,0,ROUNDUP(AG1386/BZ1386,0))</f>
        <v>0</v>
      </c>
      <c r="AI1386" s="64" t="n">
        <f aca="false">IF(CR1386&gt;0,CR1386*MAX(1,AG1386/X1386),IF(CA1386=1,IF(AG1386&lt;=0,0,CE1386*MAX(1,IF(H1386&gt;0,AG1386/H1386,1))),IF(R1386&gt;0,AH1386/R1386,0))/MAX(0.1,N(Parameter!$M$21)))</f>
        <v>0</v>
      </c>
      <c r="AJ1386" s="62" t="n">
        <f aca="false">AI1386*CC1386</f>
        <v>0</v>
      </c>
      <c r="AK1386" s="63" t="n">
        <f aca="false">IF(LEFT(Cockpit!$C$5,1)="A",H1386,IF(CI1386=1,(CL1386+CJ1386)/2,IF(LEFT(Cockpit!$C$5,1)="B",(CL1386+AM1386)/2,MAX((CL1386+AM1386)/2,H1386))))</f>
        <v>0</v>
      </c>
      <c r="AL1386" s="62" t="n">
        <f aca="false">AK1386*G1386</f>
        <v>0</v>
      </c>
      <c r="AM1386" s="62" t="n">
        <f aca="false">ROUNDUP(CL1386+MAX(CM1386,2*(J1386/IF(CH1386&gt;0,CH1386,MAX(0.1,N(Cockpit!$C$6)))-CL1386)),0)</f>
        <v>1</v>
      </c>
      <c r="AN1386" s="63" t="n">
        <f aca="false">IF(AJ1386&gt;0,J1386/AJ1386,-1)</f>
        <v>-1</v>
      </c>
      <c r="AO1386" s="63" t="str">
        <f aca="false">IF(AND(OR(CG1386="L1",CG1386="L23",CG1386="LIFT"),AJ1386&gt;0),SUMIFS($AJ$7:$AJ$1843,$CG$7:$CG$1843,CG1386,$AN$7:$AN$1843,"&gt;"&amp;AN1386)+SUMIFS($AJ$7:$AJ$1843,$CG$7:$CG$1843,CG1386,$AN$7:$AN$1843,AN1386,$BX$7:$BX$1843,"&lt;="&amp;BX1386),"")</f>
        <v/>
      </c>
      <c r="AP1386" s="70" t="n">
        <f aca="false">IF(AO1386="",0,MAX(0,MIN(1,(IF(CG1386="L1",Parameter!$H$5,IF(CG1386="L23",Parameter!$H$6+Parameter!$H$7,Parameter!$H$5+Parameter!$H$6+Parameter!$H$7))-(AO1386-AJ1386))/AJ1386)))</f>
        <v>0</v>
      </c>
      <c r="AQ1386" s="62" t="n">
        <f aca="false">IF(LEFT(Cockpit!$I$5,1)="A",H1386,IF(Parameter!$E$30="MAX-Bestand",IF(CI1386=1,CJ1386,IF(LEFT(Cockpit!$I$5,1)="B",AW1386,MAX(AW1386,H1386))),ROUNDUP(AU1386,0)))</f>
        <v>1</v>
      </c>
      <c r="AR1386" s="62" t="n">
        <f aca="false">IF(CA1386=1,0,ROUNDUP(AQ1386/BZ1386,0))</f>
        <v>0</v>
      </c>
      <c r="AS1386" s="64" t="n">
        <f aca="false">IF(CR1386&gt;0,CR1386*MAX(1,AQ1386/X1386),IF(CA1386=1,IF(AQ1386&lt;=0,0,CE1386*MAX(1,IF(H1386&gt;0,AQ1386/H1386,1))),IF(R1386&gt;0,AR1386/R1386,0))/MAX(0.1,N(Parameter!$M$21)))</f>
        <v>0.15</v>
      </c>
      <c r="AT1386" s="62" t="n">
        <f aca="false">AS1386*CC1386</f>
        <v>35.25</v>
      </c>
      <c r="AU1386" s="63" t="n">
        <f aca="false">IF(LEFT(Cockpit!$I$5,1)="A",H1386,IF(CI1386=1,(CL1386+CJ1386)/2,IF(LEFT(Cockpit!$I$5,1)="B",(CL1386+AW1386)/2,MAX((CL1386+AW1386)/2,H1386))))</f>
        <v>0.5</v>
      </c>
      <c r="AV1386" s="62" t="n">
        <f aca="false">AU1386*G1386</f>
        <v>799.48</v>
      </c>
      <c r="AW1386" s="62" t="n">
        <f aca="false">ROUNDUP(CL1386+MAX(CM1386,2*(J1386/IF(CH1386&gt;0,CH1386,MAX(0.1,N(Cockpit!$I$6)))-CL1386)),0)</f>
        <v>1</v>
      </c>
      <c r="AX1386" s="63" t="n">
        <f aca="false">IF(AT1386&gt;0,J1386/AT1386,-1)</f>
        <v>0</v>
      </c>
      <c r="AY1386" s="63" t="str">
        <f aca="false">IF(AND(OR(CG1386="L1",CG1386="L23",CG1386="LIFT"),AT1386&gt;0),SUMIFS($AT$7:$AT$1843,$CG$7:$CG$1843,CG1386,$AX$7:$AX$1843,"&gt;"&amp;AX1386)+SUMIFS($AT$7:$AT$1843,$CG$7:$CG$1843,CG1386,$AX$7:$AX$1843,AX1386,$BX$7:$BX$1843,"&lt;="&amp;BX1386),"")</f>
        <v/>
      </c>
      <c r="AZ1386" s="70" t="n">
        <f aca="false">IF(AY1386="",0,MAX(0,MIN(1,(IF(CG1386="L1",Parameter!$H$5,IF(CG1386="L23",Parameter!$H$6+Parameter!$H$7,Parameter!$H$5+Parameter!$H$6+Parameter!$H$7))-(AY1386-AT1386))/AT1386)))</f>
        <v>0</v>
      </c>
      <c r="BA1386" s="62" t="n">
        <f aca="false">IF(LEFT(Cockpit!$O$5,1)="A",H1386,IF(Parameter!$E$30="MAX-Bestand",IF(CI1386=1,CJ1386,IF(LEFT(Cockpit!$O$5,1)="B",BG1386,MAX(BG1386,H1386))),ROUNDUP(BE1386,0)))</f>
        <v>1</v>
      </c>
      <c r="BB1386" s="62" t="n">
        <f aca="false">IF(CA1386=1,0,ROUNDUP(BA1386/BZ1386,0))</f>
        <v>0</v>
      </c>
      <c r="BC1386" s="64" t="n">
        <f aca="false">IF(CR1386&gt;0,CR1386*MAX(1,BA1386/X1386),IF(CA1386=1,IF(BA1386&lt;=0,0,CE1386*MAX(1,IF(H1386&gt;0,BA1386/H1386,1))),IF(R1386&gt;0,BB1386/R1386,0))/MAX(0.1,N(Parameter!$M$21)))</f>
        <v>0.15</v>
      </c>
      <c r="BD1386" s="62" t="n">
        <f aca="false">BC1386*CC1386</f>
        <v>35.25</v>
      </c>
      <c r="BE1386" s="63" t="n">
        <f aca="false">IF(LEFT(Cockpit!$O$5,1)="A",H1386,IF(CI1386=1,(CL1386+CJ1386)/2,IF(LEFT(Cockpit!$O$5,1)="B",(CL1386+BG1386)/2,MAX((CL1386+BG1386)/2,H1386))))</f>
        <v>0.5</v>
      </c>
      <c r="BF1386" s="62" t="n">
        <f aca="false">BE1386*G1386</f>
        <v>799.48</v>
      </c>
      <c r="BG1386" s="62" t="n">
        <f aca="false">ROUNDUP(CL1386+MAX(CM1386,2*(J1386/IF(CH1386&gt;0,CH1386,MAX(0.1,N(Cockpit!$O$6)))-CL1386)),0)</f>
        <v>1</v>
      </c>
      <c r="BH1386" s="63" t="n">
        <f aca="false">IF(BD1386&gt;0,J1386/BD1386,-1)</f>
        <v>0</v>
      </c>
      <c r="BI1386" s="63" t="str">
        <f aca="false">IF(AND(OR(CG1386="L1",CG1386="L23",CG1386="LIFT"),BD1386&gt;0),SUMIFS($BD$7:$BD$1843,$CG$7:$CG$1843,CG1386,$BH$7:$BH$1843,"&gt;"&amp;BH1386)+SUMIFS($BD$7:$BD$1843,$CG$7:$CG$1843,CG1386,$BH$7:$BH$1843,BH1386,$BX$7:$BX$1843,"&lt;="&amp;BX1386),"")</f>
        <v/>
      </c>
      <c r="BJ1386" s="70" t="n">
        <f aca="false">IF(BI1386="",0,MAX(0,MIN(1,(IF(CG1386="L1",Parameter!$H$5,IF(CG1386="L23",Parameter!$H$6+Parameter!$H$7,Parameter!$H$5+Parameter!$H$6+Parameter!$H$7))-(BI1386-BD1386))/BD1386)))</f>
        <v>0</v>
      </c>
      <c r="BK1386" s="60" t="str">
        <f aca="false">IF(AJ1386&lt;=0,"",IF(CG1386="Aussen","Aussenlager",IF(CG1386="-","Nicht im Lift",IF(AP1386&gt;=1,"Lift",IF(AP1386&lt;=0,"Aussenlager","teilweise")))))</f>
        <v/>
      </c>
      <c r="BL1386" s="60" t="str">
        <f aca="false">IF(AT1386&lt;=0,"",IF(CG1386="Aussen","Aussenlager",IF(CG1386="-","Nicht im Lift",IF(AZ1386&gt;=1,"Lift",IF(AZ1386&lt;=0,"Aussenlager","teilweise")))))</f>
        <v>Nicht im Lift</v>
      </c>
      <c r="BM1386" s="60" t="str">
        <f aca="false">IF(BD1386&lt;=0,"",IF(CG1386="Aussen","Aussenlager",IF(CG1386="-","Nicht im Lift",IF(BJ1386&gt;=1,"Lift",IF(BJ1386&lt;=0,"Aussenlager","teilweise")))))</f>
        <v>Nicht im Lift</v>
      </c>
      <c r="BN1386" s="60" t="str">
        <f aca="false">IF(A1386="","",IF(BW1386=1,"Neu; ","")&amp;IF(AND(BW1386=0,BR1386&lt;0),"negativer Bestand (Export "&amp;BR1386&amp;"); ","")&amp;IF(J1386&lt;=0,"Kein Verbrauch; ","")&amp;IF(CR1386&gt;0,"Lift "&amp;W1386&amp;" lt. Liftbericht (Fach "&amp;X1386&amp;" Stk); ",IF(CB1386=1,"Gebinde geschätzt ("&amp;T1386&amp;"); ",IF(CA1386=1,"Lose – Tablare geschätzt; ","")))&amp;IF(H1386&gt;AW1386,"Überbestand "&amp;ROUND(H1386-AW1386,0)&amp;" Stk / CHF "&amp;ROUND((H1386-AW1386)*G1386,0)&amp;"; ","")&amp;IF(AND(CI1386=1,CJ1386&lt;CK1386),"MAX &lt; MB+LG; ","")&amp;IF(AND(CQ1386&gt;0,CP1386*10&gt;CQ1386),"zu hoch für Tablar; ","")&amp;IF(AND(BW1386=0,OR(CI1386=1,AB1386&lt;&gt;"",U1386&lt;&gt;"",V1386&lt;&gt;"",AC1386&lt;&gt;"")),"manuell übersteuert; ","")&amp;IF(AND(CA1386=0,R1386=0),"Gebinde unbekannt / Stellmass fehlt; ","")&amp;IF(AND(CA1386=0,N(V1386)&lt;=0,N(Q1386)&lt;=0),"Menge pro Gebinde fehlt (Ist = 1 Gebinde); ","")&amp;BV1386)</f>
        <v>negativer Bestand (Export -2); Kein Verbrauch; Lose – Tablare geschätzt; </v>
      </c>
      <c r="BO1386" s="60"/>
      <c r="BP1386" s="60"/>
      <c r="BQ1386" s="67"/>
      <c r="BR1386" s="62" t="n">
        <v>-2</v>
      </c>
      <c r="BS1386" s="62" t="n">
        <v>2</v>
      </c>
      <c r="BT1386" s="61" t="n">
        <v>-3197.92</v>
      </c>
      <c r="BU1386" s="62" t="n">
        <v>0</v>
      </c>
      <c r="BV1386" s="60"/>
      <c r="BW1386" s="65" t="n">
        <v>0</v>
      </c>
      <c r="BX1386" s="65" t="n">
        <v>1386</v>
      </c>
      <c r="BY1386" s="60" t="str">
        <f aca="false">IF(U1386&lt;&gt;"",UPPER(TRIM(U1386)),IF(CB1386=1,UPPER(VLOOKUP(T1386,Parameter!$I$27:$K$29,2,0)),IF(P1386="","LOSE",P1386)))</f>
        <v>LOSE</v>
      </c>
      <c r="BZ1386" s="62" t="n">
        <f aca="false">IF(BY1386="LOSE",1,IF(N(V1386)&gt;0,V1386,IF(CB1386=1,MAX(1,N(VLOOKUP(T1386,Parameter!$I$27:$K$29,3,0)),H1386,N(N1386)),IF(N(Q1386)&gt;0,Q1386,MAX(1,H1386)))))</f>
        <v>1</v>
      </c>
      <c r="CA1386" s="65" t="n">
        <f aca="false">IF(BY1386="LOSE",1,0)</f>
        <v>1</v>
      </c>
      <c r="CB1386" s="65" t="n">
        <f aca="false">IF(AND(U1386="",OR(P1386="",P1386="LOSE"),T1386&lt;&gt;"",N(S1386)&lt;=0,ISNUMBER(MATCH(T1386,Parameter!$I$27:$I$29,0))),1,0)</f>
        <v>0</v>
      </c>
      <c r="CC1386" s="65" t="n">
        <f aca="false">IF(CR1386&gt;0,INDEX(Parameter!$H$5:$H$7,W1386)/INDEX(Parameter!$E$5:$E$7,W1386),IF(AND(CA1386=0,N(IFERROR(VLOOKUP(BY1386,'Gebinde-Kategorie'!$A$5:$N$45,14,0),0))&gt;0),VLOOKUP(BY1386,'Gebinde-Kategorie'!$A$5:$N$45,14,0)*10+Parameter!$M$23,Parameter!$M$24))</f>
        <v>235</v>
      </c>
      <c r="CD1386" s="60" t="str">
        <f aca="false">IF(AND(Parameter!$B$19="Ja",E1386&lt;&gt;"",ISNUMBER(MATCH(E1386,Parameter!$I$35:$I$52,0))),VLOOKUP(E1386,Parameter!$I$35:$J$52,2,0),IFERROR(VLOOKUP(D1386,Parameter!$A$35:$C$64,2,0),"Nein"))</f>
        <v>Nein</v>
      </c>
      <c r="CE1386" s="64" t="n">
        <f aca="false">IF(CA1386=0,0,IF(N(S1386)&gt;0,S1386,IFERROR(VLOOKUP(D1386,Parameter!$A$35:$C$64,3,0)+0,0)))</f>
        <v>0.15</v>
      </c>
      <c r="CF1386" s="60" t="str">
        <f aca="false">IF(AB1386&lt;&gt;"",AB1386,AA1386)</f>
        <v>-</v>
      </c>
      <c r="CG1386" s="60" t="str">
        <f aca="false">IF(OR(CF1386=1,CF1386=2,CF1386=3),IF(Parameter!$E$27="Ja","LIFT",IF(CF1386=1,"L1","L23")),IF(CF1386="Aussen","Aussen","-"))</f>
        <v>-</v>
      </c>
      <c r="CH1386" s="71" t="n">
        <f aca="false">IF(N(AC1386)&gt;0,AC1386,0)</f>
        <v>0</v>
      </c>
      <c r="CI1386" s="65" t="n">
        <f aca="false">IF(ISNUMBER(AF1386),1,0)</f>
        <v>0</v>
      </c>
      <c r="CJ1386" s="62" t="n">
        <f aca="false">N(AF1386)</f>
        <v>0</v>
      </c>
      <c r="CK1386" s="62" t="n">
        <f aca="false">N(M1386)+N(N1386)</f>
        <v>1</v>
      </c>
      <c r="CL1386" s="62" t="n">
        <f aca="false">N(M1386)</f>
        <v>0</v>
      </c>
      <c r="CM1386" s="62" t="n">
        <f aca="false">N(N1386)</f>
        <v>1</v>
      </c>
      <c r="CN1386" s="62" t="n">
        <f aca="false">ROUNDUP(H1386/BZ1386,0)</f>
        <v>0</v>
      </c>
      <c r="CO1386" s="62" t="n">
        <f aca="false">ROUNDUP(CJ1386/BZ1386,0)</f>
        <v>0</v>
      </c>
      <c r="CP1386" s="65" t="n">
        <f aca="false">IF(CA1386=1,0,IFERROR(VLOOKUP(BY1386,'Gebinde-Kategorie'!$A$5:$N$45,5,0)+0,0))</f>
        <v>0</v>
      </c>
      <c r="CQ1386" s="65" t="n">
        <f aca="false">IFERROR(IF(OR(CF1386=1,CF1386=2,CF1386=3),N(INDEX(Parameter!$I$5:$I$7,CF1386)),0),0)</f>
        <v>0</v>
      </c>
      <c r="CR1386" s="64" t="n">
        <f aca="false">IF(AND(Parameter!$B$21="Ja",ISNUMBER(W1386),N(X1386)&gt;0),IFERROR(N(INDEX(Parameter!$L$5:$L$7,W1386))*INDEX(Parameter!$E$5:$E$7,W1386)*X1386/SUMIFS($X$7:$X$1843,$W$7:$W$1843,W1386),0),0)</f>
        <v>0</v>
      </c>
      <c r="CS1386" s="62" t="str">
        <f aca="false">IF(AND(OR(CG1386="L1",CG1386="L23",CG1386="LIFT"),H1386&gt;0),CC1386*IF(CR1386&gt;0,CR1386*MAX(1,H1386/X1386),IF(CA1386=1,CE1386,IF(R1386&gt;0,CN1386/R1386,0))/MAX(0.1,N(Parameter!$M$21))),"")</f>
        <v/>
      </c>
      <c r="CT1386" s="64" t="str">
        <f aca="false">IF(CS1386="","",J1386/H1386)</f>
        <v/>
      </c>
      <c r="CU1386" s="62" t="str">
        <f aca="false">IF(CS1386="","",H1386*G1386)</f>
        <v/>
      </c>
      <c r="CV1386" s="63" t="str">
        <f aca="false">IF(CS1386="","",(CL1386+ROUNDUP(CL1386+MAX(CM1386,2*(J1386/MAX(0.1,N(Einkauf!$C$6))-CL1386)),0))/2)</f>
        <v/>
      </c>
      <c r="CW1386" s="62" t="str">
        <f aca="false">IF(CS1386="","",MAX(0,H1386-CV1386)*G1386)</f>
        <v/>
      </c>
      <c r="CX1386" s="62" t="str">
        <f aca="false">IF(CS1386="","",CS1386*MAX(0,1-CV1386/H1386))</f>
        <v/>
      </c>
      <c r="CY1386" s="64" t="str">
        <f aca="false">IF(CS1386="","",PERCENTRANK($CS$7:$CS$1843,CS1386)+PERCENTRANK($CU$7:$CU$1843,CU1386)+1-PERCENTRANK($CT$7:$CT$1843,CT1386))</f>
        <v/>
      </c>
      <c r="CZ1386" s="72" t="str">
        <f aca="false">IF(CS1386="","",CHOOSE(MATCH(Einkauf!$C$5,Parameter!$G$23:$G$27,0),CY1386,CS1386,CU1386,-CT1386,CW1386)+ROW()/1000000000)</f>
        <v/>
      </c>
    </row>
    <row r="1387" customFormat="false" ht="15" hidden="false" customHeight="false" outlineLevel="0" collapsed="false">
      <c r="A1387" s="60" t="s">
        <v>2481</v>
      </c>
      <c r="B1387" s="60" t="s">
        <v>2482</v>
      </c>
      <c r="C1387" s="60" t="s">
        <v>206</v>
      </c>
      <c r="D1387" s="60" t="s">
        <v>215</v>
      </c>
      <c r="E1387" s="60" t="s">
        <v>215</v>
      </c>
      <c r="F1387" s="60" t="s">
        <v>260</v>
      </c>
      <c r="G1387" s="61" t="n">
        <v>570</v>
      </c>
      <c r="H1387" s="62" t="n">
        <f aca="false">MAX(0,IF(AND(Parameter!$B$21="Ja",ISNUMBER(Y1387)),Y1387,IF(Parameter!$B$20="Jahresanfang 2025 + Export",BS1387+BR1387,BR1387)))</f>
        <v>2</v>
      </c>
      <c r="I1387" s="62" t="n">
        <f aca="false">H1387*G1387</f>
        <v>1140</v>
      </c>
      <c r="J1387" s="62" t="n">
        <f aca="false">BU1387*Parameter!$B$18</f>
        <v>8</v>
      </c>
      <c r="K1387" s="63" t="n">
        <v>6.5</v>
      </c>
      <c r="L1387" s="64" t="n">
        <v>1.23076923076923</v>
      </c>
      <c r="M1387" s="62" t="n">
        <v>0</v>
      </c>
      <c r="N1387" s="62" t="n">
        <v>1</v>
      </c>
      <c r="O1387" s="65" t="n">
        <v>35</v>
      </c>
      <c r="P1387" s="60" t="s">
        <v>390</v>
      </c>
      <c r="Q1387" s="62" t="n">
        <v>4</v>
      </c>
      <c r="R1387" s="65" t="n">
        <f aca="false">IF(CA1387=1,0,IFERROR(VLOOKUP(BY1387,'Gebinde-Kategorie'!$A$5:$N$45,13,0)+0,0))</f>
        <v>4</v>
      </c>
      <c r="S1387" s="66"/>
      <c r="T1387" s="67"/>
      <c r="U1387" s="67"/>
      <c r="V1387" s="67"/>
      <c r="W1387" s="60"/>
      <c r="X1387" s="62"/>
      <c r="Y1387" s="62"/>
      <c r="Z1387" s="60"/>
      <c r="AA1387" s="60" t="str">
        <f aca="false">IF(A1387="","",IF(AND(Parameter!$B$21="Ja",ISNUMBER(W1387)),W1387,IF(AND(Parameter!$E$27="Ja",ISNUMBER(Z1387),CD1387&lt;&gt;"Nein"),Z1387,IF(CD1387="2+3",IF(ISNUMBER(SEARCH("grosser Artikel",BV1387)),2,IFERROR(VLOOKUP(BY1387,Parameter!$F$35:$G$64,2,0),2)),IF(OR(CD1387="Nein",CD1387=""),"-",CD1387)))))</f>
        <v>-</v>
      </c>
      <c r="AB1387" s="67"/>
      <c r="AC1387" s="68"/>
      <c r="AD1387" s="62" t="n">
        <f aca="false">AW1387</f>
        <v>6</v>
      </c>
      <c r="AE1387" s="62" t="n">
        <f aca="false">MAX(AW1387,H1387)</f>
        <v>6</v>
      </c>
      <c r="AF1387" s="69"/>
      <c r="AG1387" s="62" t="n">
        <f aca="false">IF(LEFT(Cockpit!$C$5,1)="A",H1387,IF(Parameter!$E$30="MAX-Bestand",IF(CI1387=1,CJ1387,IF(LEFT(Cockpit!$C$5,1)="B",AM1387,MAX(AM1387,H1387))),ROUNDUP(AK1387,0)))</f>
        <v>2</v>
      </c>
      <c r="AH1387" s="62" t="n">
        <f aca="false">IF(CA1387=1,0,ROUNDUP(AG1387/BZ1387,0))</f>
        <v>1</v>
      </c>
      <c r="AI1387" s="64" t="n">
        <f aca="false">IF(CR1387&gt;0,CR1387*MAX(1,AG1387/X1387),IF(CA1387=1,IF(AG1387&lt;=0,0,CE1387*MAX(1,IF(H1387&gt;0,AG1387/H1387,1))),IF(R1387&gt;0,AH1387/R1387,0))/MAX(0.1,N(Parameter!$M$21)))</f>
        <v>0.25</v>
      </c>
      <c r="AJ1387" s="62" t="n">
        <f aca="false">AI1387*CC1387</f>
        <v>108.75</v>
      </c>
      <c r="AK1387" s="63" t="n">
        <f aca="false">IF(LEFT(Cockpit!$C$5,1)="A",H1387,IF(CI1387=1,(CL1387+CJ1387)/2,IF(LEFT(Cockpit!$C$5,1)="B",(CL1387+AM1387)/2,MAX((CL1387+AM1387)/2,H1387))))</f>
        <v>2</v>
      </c>
      <c r="AL1387" s="62" t="n">
        <f aca="false">AK1387*G1387</f>
        <v>1140</v>
      </c>
      <c r="AM1387" s="62" t="n">
        <f aca="false">ROUNDUP(CL1387+MAX(CM1387,2*(J1387/IF(CH1387&gt;0,CH1387,MAX(0.1,N(Cockpit!$C$6)))-CL1387)),0)</f>
        <v>6</v>
      </c>
      <c r="AN1387" s="63" t="n">
        <f aca="false">IF(AJ1387&gt;0,J1387/AJ1387,-1)</f>
        <v>0.0735632183908046</v>
      </c>
      <c r="AO1387" s="63" t="str">
        <f aca="false">IF(AND(OR(CG1387="L1",CG1387="L23",CG1387="LIFT"),AJ1387&gt;0),SUMIFS($AJ$7:$AJ$1843,$CG$7:$CG$1843,CG1387,$AN$7:$AN$1843,"&gt;"&amp;AN1387)+SUMIFS($AJ$7:$AJ$1843,$CG$7:$CG$1843,CG1387,$AN$7:$AN$1843,AN1387,$BX$7:$BX$1843,"&lt;="&amp;BX1387),"")</f>
        <v/>
      </c>
      <c r="AP1387" s="70" t="n">
        <f aca="false">IF(AO1387="",0,MAX(0,MIN(1,(IF(CG1387="L1",Parameter!$H$5,IF(CG1387="L23",Parameter!$H$6+Parameter!$H$7,Parameter!$H$5+Parameter!$H$6+Parameter!$H$7))-(AO1387-AJ1387))/AJ1387)))</f>
        <v>0</v>
      </c>
      <c r="AQ1387" s="62" t="n">
        <f aca="false">IF(LEFT(Cockpit!$I$5,1)="A",H1387,IF(Parameter!$E$30="MAX-Bestand",IF(CI1387=1,CJ1387,IF(LEFT(Cockpit!$I$5,1)="B",AW1387,MAX(AW1387,H1387))),ROUNDUP(AU1387,0)))</f>
        <v>3</v>
      </c>
      <c r="AR1387" s="62" t="n">
        <f aca="false">IF(CA1387=1,0,ROUNDUP(AQ1387/BZ1387,0))</f>
        <v>1</v>
      </c>
      <c r="AS1387" s="64" t="n">
        <f aca="false">IF(CR1387&gt;0,CR1387*MAX(1,AQ1387/X1387),IF(CA1387=1,IF(AQ1387&lt;=0,0,CE1387*MAX(1,IF(H1387&gt;0,AQ1387/H1387,1))),IF(R1387&gt;0,AR1387/R1387,0))/MAX(0.1,N(Parameter!$M$21)))</f>
        <v>0.25</v>
      </c>
      <c r="AT1387" s="62" t="n">
        <f aca="false">AS1387*CC1387</f>
        <v>108.75</v>
      </c>
      <c r="AU1387" s="63" t="n">
        <f aca="false">IF(LEFT(Cockpit!$I$5,1)="A",H1387,IF(CI1387=1,(CL1387+CJ1387)/2,IF(LEFT(Cockpit!$I$5,1)="B",(CL1387+AW1387)/2,MAX((CL1387+AW1387)/2,H1387))))</f>
        <v>3</v>
      </c>
      <c r="AV1387" s="62" t="n">
        <f aca="false">AU1387*G1387</f>
        <v>1710</v>
      </c>
      <c r="AW1387" s="62" t="n">
        <f aca="false">ROUNDUP(CL1387+MAX(CM1387,2*(J1387/IF(CH1387&gt;0,CH1387,MAX(0.1,N(Cockpit!$I$6)))-CL1387)),0)</f>
        <v>6</v>
      </c>
      <c r="AX1387" s="63" t="n">
        <f aca="false">IF(AT1387&gt;0,J1387/AT1387,-1)</f>
        <v>0.0735632183908046</v>
      </c>
      <c r="AY1387" s="63" t="str">
        <f aca="false">IF(AND(OR(CG1387="L1",CG1387="L23",CG1387="LIFT"),AT1387&gt;0),SUMIFS($AT$7:$AT$1843,$CG$7:$CG$1843,CG1387,$AX$7:$AX$1843,"&gt;"&amp;AX1387)+SUMIFS($AT$7:$AT$1843,$CG$7:$CG$1843,CG1387,$AX$7:$AX$1843,AX1387,$BX$7:$BX$1843,"&lt;="&amp;BX1387),"")</f>
        <v/>
      </c>
      <c r="AZ1387" s="70" t="n">
        <f aca="false">IF(AY1387="",0,MAX(0,MIN(1,(IF(CG1387="L1",Parameter!$H$5,IF(CG1387="L23",Parameter!$H$6+Parameter!$H$7,Parameter!$H$5+Parameter!$H$6+Parameter!$H$7))-(AY1387-AT1387))/AT1387)))</f>
        <v>0</v>
      </c>
      <c r="BA1387" s="62" t="n">
        <f aca="false">IF(LEFT(Cockpit!$O$5,1)="A",H1387,IF(Parameter!$E$30="MAX-Bestand",IF(CI1387=1,CJ1387,IF(LEFT(Cockpit!$O$5,1)="B",BG1387,MAX(BG1387,H1387))),ROUNDUP(BE1387,0)))</f>
        <v>2</v>
      </c>
      <c r="BB1387" s="62" t="n">
        <f aca="false">IF(CA1387=1,0,ROUNDUP(BA1387/BZ1387,0))</f>
        <v>1</v>
      </c>
      <c r="BC1387" s="64" t="n">
        <f aca="false">IF(CR1387&gt;0,CR1387*MAX(1,BA1387/X1387),IF(CA1387=1,IF(BA1387&lt;=0,0,CE1387*MAX(1,IF(H1387&gt;0,BA1387/H1387,1))),IF(R1387&gt;0,BB1387/R1387,0))/MAX(0.1,N(Parameter!$M$21)))</f>
        <v>0.25</v>
      </c>
      <c r="BD1387" s="62" t="n">
        <f aca="false">BC1387*CC1387</f>
        <v>108.75</v>
      </c>
      <c r="BE1387" s="63" t="n">
        <f aca="false">IF(LEFT(Cockpit!$O$5,1)="A",H1387,IF(CI1387=1,(CL1387+CJ1387)/2,IF(LEFT(Cockpit!$O$5,1)="B",(CL1387+BG1387)/2,MAX((CL1387+BG1387)/2,H1387))))</f>
        <v>2</v>
      </c>
      <c r="BF1387" s="62" t="n">
        <f aca="false">BE1387*G1387</f>
        <v>1140</v>
      </c>
      <c r="BG1387" s="62" t="n">
        <f aca="false">ROUNDUP(CL1387+MAX(CM1387,2*(J1387/IF(CH1387&gt;0,CH1387,MAX(0.1,N(Cockpit!$O$6)))-CL1387)),0)</f>
        <v>4</v>
      </c>
      <c r="BH1387" s="63" t="n">
        <f aca="false">IF(BD1387&gt;0,J1387/BD1387,-1)</f>
        <v>0.0735632183908046</v>
      </c>
      <c r="BI1387" s="63" t="str">
        <f aca="false">IF(AND(OR(CG1387="L1",CG1387="L23",CG1387="LIFT"),BD1387&gt;0),SUMIFS($BD$7:$BD$1843,$CG$7:$CG$1843,CG1387,$BH$7:$BH$1843,"&gt;"&amp;BH1387)+SUMIFS($BD$7:$BD$1843,$CG$7:$CG$1843,CG1387,$BH$7:$BH$1843,BH1387,$BX$7:$BX$1843,"&lt;="&amp;BX1387),"")</f>
        <v/>
      </c>
      <c r="BJ1387" s="70" t="n">
        <f aca="false">IF(BI1387="",0,MAX(0,MIN(1,(IF(CG1387="L1",Parameter!$H$5,IF(CG1387="L23",Parameter!$H$6+Parameter!$H$7,Parameter!$H$5+Parameter!$H$6+Parameter!$H$7))-(BI1387-BD1387))/BD1387)))</f>
        <v>0</v>
      </c>
      <c r="BK1387" s="60" t="str">
        <f aca="false">IF(AJ1387&lt;=0,"",IF(CG1387="Aussen","Aussenlager",IF(CG1387="-","Nicht im Lift",IF(AP1387&gt;=1,"Lift",IF(AP1387&lt;=0,"Aussenlager","teilweise")))))</f>
        <v>Nicht im Lift</v>
      </c>
      <c r="BL1387" s="60" t="str">
        <f aca="false">IF(AT1387&lt;=0,"",IF(CG1387="Aussen","Aussenlager",IF(CG1387="-","Nicht im Lift",IF(AZ1387&gt;=1,"Lift",IF(AZ1387&lt;=0,"Aussenlager","teilweise")))))</f>
        <v>Nicht im Lift</v>
      </c>
      <c r="BM1387" s="60" t="str">
        <f aca="false">IF(BD1387&lt;=0,"",IF(CG1387="Aussen","Aussenlager",IF(CG1387="-","Nicht im Lift",IF(BJ1387&gt;=1,"Lift",IF(BJ1387&lt;=0,"Aussenlager","teilweise")))))</f>
        <v>Nicht im Lift</v>
      </c>
      <c r="BN1387" s="60" t="str">
        <f aca="false">IF(A1387="","",IF(BW1387=1,"Neu; ","")&amp;IF(AND(BW1387=0,BR1387&lt;0),"negativer Bestand (Export "&amp;BR1387&amp;"); ","")&amp;IF(J1387&lt;=0,"Kein Verbrauch; ","")&amp;IF(CR1387&gt;0,"Lift "&amp;W1387&amp;" lt. Liftbericht (Fach "&amp;X1387&amp;" Stk); ",IF(CB1387=1,"Gebinde geschätzt ("&amp;T1387&amp;"); ",IF(CA1387=1,"Lose – Tablare geschätzt; ","")))&amp;IF(H1387&gt;AW1387,"Überbestand "&amp;ROUND(H1387-AW1387,0)&amp;" Stk / CHF "&amp;ROUND((H1387-AW1387)*G1387,0)&amp;"; ","")&amp;IF(AND(CI1387=1,CJ1387&lt;CK1387),"MAX &lt; MB+LG; ","")&amp;IF(AND(CQ1387&gt;0,CP1387*10&gt;CQ1387),"zu hoch für Tablar; ","")&amp;IF(AND(BW1387=0,OR(CI1387=1,AB1387&lt;&gt;"",U1387&lt;&gt;"",V1387&lt;&gt;"",AC1387&lt;&gt;"")),"manuell übersteuert; ","")&amp;IF(AND(CA1387=0,R1387=0),"Gebinde unbekannt / Stellmass fehlt; ","")&amp;IF(AND(CA1387=0,N(V1387)&lt;=0,N(Q1387)&lt;=0),"Menge pro Gebinde fehlt (Ist = 1 Gebinde); ","")&amp;BV1387)</f>
        <v>negativer Bestand (Export -9); Neu</v>
      </c>
      <c r="BO1387" s="60"/>
      <c r="BP1387" s="60"/>
      <c r="BQ1387" s="67"/>
      <c r="BR1387" s="62" t="n">
        <v>-9</v>
      </c>
      <c r="BS1387" s="62" t="n">
        <v>11</v>
      </c>
      <c r="BT1387" s="61" t="n">
        <v>-3208.63</v>
      </c>
      <c r="BU1387" s="62" t="n">
        <v>8</v>
      </c>
      <c r="BV1387" s="60" t="s">
        <v>668</v>
      </c>
      <c r="BW1387" s="65" t="n">
        <v>0</v>
      </c>
      <c r="BX1387" s="65" t="n">
        <v>1387</v>
      </c>
      <c r="BY1387" s="60" t="str">
        <f aca="false">IF(U1387&lt;&gt;"",UPPER(TRIM(U1387)),IF(CB1387=1,UPPER(VLOOKUP(T1387,Parameter!$I$27:$K$29,2,0)),IF(P1387="","LOSE",P1387)))</f>
        <v>S82</v>
      </c>
      <c r="BZ1387" s="62" t="n">
        <f aca="false">IF(BY1387="LOSE",1,IF(N(V1387)&gt;0,V1387,IF(CB1387=1,MAX(1,N(VLOOKUP(T1387,Parameter!$I$27:$K$29,3,0)),H1387,N(N1387)),IF(N(Q1387)&gt;0,Q1387,MAX(1,H1387)))))</f>
        <v>4</v>
      </c>
      <c r="CA1387" s="65" t="n">
        <f aca="false">IF(BY1387="LOSE",1,0)</f>
        <v>0</v>
      </c>
      <c r="CB1387" s="65" t="n">
        <f aca="false">IF(AND(U1387="",OR(P1387="",P1387="LOSE"),T1387&lt;&gt;"",N(S1387)&lt;=0,ISNUMBER(MATCH(T1387,Parameter!$I$27:$I$29,0))),1,0)</f>
        <v>0</v>
      </c>
      <c r="CC1387" s="65" t="n">
        <f aca="false">IF(CR1387&gt;0,INDEX(Parameter!$H$5:$H$7,W1387)/INDEX(Parameter!$E$5:$E$7,W1387),IF(AND(CA1387=0,N(IFERROR(VLOOKUP(BY1387,'Gebinde-Kategorie'!$A$5:$N$45,14,0),0))&gt;0),VLOOKUP(BY1387,'Gebinde-Kategorie'!$A$5:$N$45,14,0)*10+Parameter!$M$23,Parameter!$M$24))</f>
        <v>435</v>
      </c>
      <c r="CD1387" s="60" t="str">
        <f aca="false">IF(AND(Parameter!$B$19="Ja",E1387&lt;&gt;"",ISNUMBER(MATCH(E1387,Parameter!$I$35:$I$52,0))),VLOOKUP(E1387,Parameter!$I$35:$J$52,2,0),IFERROR(VLOOKUP(D1387,Parameter!$A$35:$C$64,2,0),"Nein"))</f>
        <v>Nein</v>
      </c>
      <c r="CE1387" s="64" t="n">
        <f aca="false">IF(CA1387=0,0,IF(N(S1387)&gt;0,S1387,IFERROR(VLOOKUP(D1387,Parameter!$A$35:$C$64,3,0)+0,0)))</f>
        <v>0</v>
      </c>
      <c r="CF1387" s="60" t="str">
        <f aca="false">IF(AB1387&lt;&gt;"",AB1387,AA1387)</f>
        <v>-</v>
      </c>
      <c r="CG1387" s="60" t="str">
        <f aca="false">IF(OR(CF1387=1,CF1387=2,CF1387=3),IF(Parameter!$E$27="Ja","LIFT",IF(CF1387=1,"L1","L23")),IF(CF1387="Aussen","Aussen","-"))</f>
        <v>-</v>
      </c>
      <c r="CH1387" s="71" t="n">
        <f aca="false">IF(N(AC1387)&gt;0,AC1387,0)</f>
        <v>0</v>
      </c>
      <c r="CI1387" s="65" t="n">
        <f aca="false">IF(ISNUMBER(AF1387),1,0)</f>
        <v>0</v>
      </c>
      <c r="CJ1387" s="62" t="n">
        <f aca="false">N(AF1387)</f>
        <v>0</v>
      </c>
      <c r="CK1387" s="62" t="n">
        <f aca="false">N(M1387)+N(N1387)</f>
        <v>1</v>
      </c>
      <c r="CL1387" s="62" t="n">
        <f aca="false">N(M1387)</f>
        <v>0</v>
      </c>
      <c r="CM1387" s="62" t="n">
        <f aca="false">N(N1387)</f>
        <v>1</v>
      </c>
      <c r="CN1387" s="62" t="n">
        <f aca="false">ROUNDUP(H1387/BZ1387,0)</f>
        <v>1</v>
      </c>
      <c r="CO1387" s="62" t="n">
        <f aca="false">ROUNDUP(CJ1387/BZ1387,0)</f>
        <v>0</v>
      </c>
      <c r="CP1387" s="65" t="n">
        <f aca="false">IF(CA1387=1,0,IFERROR(VLOOKUP(BY1387,'Gebinde-Kategorie'!$A$5:$N$45,5,0)+0,0))</f>
        <v>40</v>
      </c>
      <c r="CQ1387" s="65" t="n">
        <f aca="false">IFERROR(IF(OR(CF1387=1,CF1387=2,CF1387=3),N(INDEX(Parameter!$I$5:$I$7,CF1387)),0),0)</f>
        <v>0</v>
      </c>
      <c r="CR1387" s="64" t="n">
        <f aca="false">IF(AND(Parameter!$B$21="Ja",ISNUMBER(W1387),N(X1387)&gt;0),IFERROR(N(INDEX(Parameter!$L$5:$L$7,W1387))*INDEX(Parameter!$E$5:$E$7,W1387)*X1387/SUMIFS($X$7:$X$1843,$W$7:$W$1843,W1387),0),0)</f>
        <v>0</v>
      </c>
      <c r="CS1387" s="62" t="str">
        <f aca="false">IF(AND(OR(CG1387="L1",CG1387="L23",CG1387="LIFT"),H1387&gt;0),CC1387*IF(CR1387&gt;0,CR1387*MAX(1,H1387/X1387),IF(CA1387=1,CE1387,IF(R1387&gt;0,CN1387/R1387,0))/MAX(0.1,N(Parameter!$M$21))),"")</f>
        <v/>
      </c>
      <c r="CT1387" s="64" t="str">
        <f aca="false">IF(CS1387="","",J1387/H1387)</f>
        <v/>
      </c>
      <c r="CU1387" s="62" t="str">
        <f aca="false">IF(CS1387="","",H1387*G1387)</f>
        <v/>
      </c>
      <c r="CV1387" s="63" t="str">
        <f aca="false">IF(CS1387="","",(CL1387+ROUNDUP(CL1387+MAX(CM1387,2*(J1387/MAX(0.1,N(Einkauf!$C$6))-CL1387)),0))/2)</f>
        <v/>
      </c>
      <c r="CW1387" s="62" t="str">
        <f aca="false">IF(CS1387="","",MAX(0,H1387-CV1387)*G1387)</f>
        <v/>
      </c>
      <c r="CX1387" s="62" t="str">
        <f aca="false">IF(CS1387="","",CS1387*MAX(0,1-CV1387/H1387))</f>
        <v/>
      </c>
      <c r="CY1387" s="64" t="str">
        <f aca="false">IF(CS1387="","",PERCENTRANK($CS$7:$CS$1843,CS1387)+PERCENTRANK($CU$7:$CU$1843,CU1387)+1-PERCENTRANK($CT$7:$CT$1843,CT1387))</f>
        <v/>
      </c>
      <c r="CZ1387" s="72" t="str">
        <f aca="false">IF(CS1387="","",CHOOSE(MATCH(Einkauf!$C$5,Parameter!$G$23:$G$27,0),CY1387,CS1387,CU1387,-CT1387,CW1387)+ROW()/1000000000)</f>
        <v/>
      </c>
    </row>
    <row r="1388" customFormat="false" ht="15" hidden="false" customHeight="false" outlineLevel="0" collapsed="false">
      <c r="A1388" s="60" t="s">
        <v>2483</v>
      </c>
      <c r="B1388" s="60" t="s">
        <v>2484</v>
      </c>
      <c r="C1388" s="60" t="s">
        <v>206</v>
      </c>
      <c r="D1388" s="60" t="s">
        <v>226</v>
      </c>
      <c r="E1388" s="60" t="s">
        <v>227</v>
      </c>
      <c r="F1388" s="60" t="s">
        <v>260</v>
      </c>
      <c r="G1388" s="61" t="n">
        <v>365.34</v>
      </c>
      <c r="H1388" s="62" t="n">
        <f aca="false">MAX(0,IF(AND(Parameter!$B$21="Ja",ISNUMBER(Y1388)),Y1388,IF(Parameter!$B$20="Jahresanfang 2025 + Export",BS1388+BR1388,BR1388)))</f>
        <v>15</v>
      </c>
      <c r="I1388" s="62" t="n">
        <f aca="false">H1388*G1388</f>
        <v>5480.1</v>
      </c>
      <c r="J1388" s="62" t="n">
        <f aca="false">BU1388*Parameter!$B$18</f>
        <v>20</v>
      </c>
      <c r="K1388" s="63" t="n">
        <v>20</v>
      </c>
      <c r="L1388" s="64" t="n">
        <v>1</v>
      </c>
      <c r="M1388" s="62" t="n">
        <v>1</v>
      </c>
      <c r="N1388" s="62" t="n">
        <v>10</v>
      </c>
      <c r="O1388" s="65" t="n">
        <v>21</v>
      </c>
      <c r="P1388" s="60" t="s">
        <v>275</v>
      </c>
      <c r="Q1388" s="62" t="n">
        <v>11</v>
      </c>
      <c r="R1388" s="65" t="n">
        <f aca="false">IF(CA1388=1,0,IFERROR(VLOOKUP(BY1388,'Gebinde-Kategorie'!$A$5:$N$45,13,0)+0,0))</f>
        <v>26</v>
      </c>
      <c r="S1388" s="66"/>
      <c r="T1388" s="67"/>
      <c r="U1388" s="67"/>
      <c r="V1388" s="67"/>
      <c r="W1388" s="60"/>
      <c r="X1388" s="62"/>
      <c r="Y1388" s="62"/>
      <c r="Z1388" s="60" t="n">
        <v>3</v>
      </c>
      <c r="AA1388" s="60" t="n">
        <f aca="false">IF(A1388="","",IF(AND(Parameter!$B$21="Ja",ISNUMBER(W1388)),W1388,IF(AND(Parameter!$E$27="Ja",ISNUMBER(Z1388),CD1388&lt;&gt;"Nein"),Z1388,IF(CD1388="2+3",IF(ISNUMBER(SEARCH("grosser Artikel",BV1388)),2,IFERROR(VLOOKUP(BY1388,Parameter!$F$35:$G$64,2,0),2)),IF(OR(CD1388="Nein",CD1388=""),"-",CD1388)))))</f>
        <v>3</v>
      </c>
      <c r="AB1388" s="67"/>
      <c r="AC1388" s="68"/>
      <c r="AD1388" s="62" t="n">
        <f aca="false">AW1388</f>
        <v>13</v>
      </c>
      <c r="AE1388" s="62" t="n">
        <f aca="false">MAX(AW1388,H1388)</f>
        <v>15</v>
      </c>
      <c r="AF1388" s="69"/>
      <c r="AG1388" s="62" t="n">
        <f aca="false">IF(LEFT(Cockpit!$C$5,1)="A",H1388,IF(Parameter!$E$30="MAX-Bestand",IF(CI1388=1,CJ1388,IF(LEFT(Cockpit!$C$5,1)="B",AM1388,MAX(AM1388,H1388))),ROUNDUP(AK1388,0)))</f>
        <v>15</v>
      </c>
      <c r="AH1388" s="62" t="n">
        <f aca="false">IF(CA1388=1,0,ROUNDUP(AG1388/BZ1388,0))</f>
        <v>2</v>
      </c>
      <c r="AI1388" s="64" t="n">
        <f aca="false">IF(CR1388&gt;0,CR1388*MAX(1,AG1388/X1388),IF(CA1388=1,IF(AG1388&lt;=0,0,CE1388*MAX(1,IF(H1388&gt;0,AG1388/H1388,1))),IF(R1388&gt;0,AH1388/R1388,0))/MAX(0.1,N(Parameter!$M$21)))</f>
        <v>0.0769230769230769</v>
      </c>
      <c r="AJ1388" s="62" t="n">
        <f aca="false">AI1388*CC1388</f>
        <v>18.8461538461538</v>
      </c>
      <c r="AK1388" s="63" t="n">
        <f aca="false">IF(LEFT(Cockpit!$C$5,1)="A",H1388,IF(CI1388=1,(CL1388+CJ1388)/2,IF(LEFT(Cockpit!$C$5,1)="B",(CL1388+AM1388)/2,MAX((CL1388+AM1388)/2,H1388))))</f>
        <v>15</v>
      </c>
      <c r="AL1388" s="62" t="n">
        <f aca="false">AK1388*G1388</f>
        <v>5480.1</v>
      </c>
      <c r="AM1388" s="62" t="n">
        <f aca="false">ROUNDUP(CL1388+MAX(CM1388,2*(J1388/IF(CH1388&gt;0,CH1388,MAX(0.1,N(Cockpit!$C$6)))-CL1388)),0)</f>
        <v>13</v>
      </c>
      <c r="AN1388" s="63" t="n">
        <f aca="false">IF(AJ1388&gt;0,J1388/AJ1388,-1)</f>
        <v>1.06122448979592</v>
      </c>
      <c r="AO1388" s="63" t="n">
        <f aca="false">IF(AND(OR(CG1388="L1",CG1388="L23",CG1388="LIFT"),AJ1388&gt;0),SUMIFS($AJ$7:$AJ$1843,$CG$7:$CG$1843,CG1388,$AN$7:$AN$1843,"&gt;"&amp;AN1388)+SUMIFS($AJ$7:$AJ$1843,$CG$7:$CG$1843,CG1388,$AN$7:$AN$1843,AN1388,$BX$7:$BX$1843,"&lt;="&amp;BX1388),"")</f>
        <v>6931.4043040293</v>
      </c>
      <c r="AP1388" s="70" t="n">
        <f aca="false">IF(AO1388="",0,MAX(0,MIN(1,(IF(CG1388="L1",Parameter!$H$5,IF(CG1388="L23",Parameter!$H$6+Parameter!$H$7,Parameter!$H$5+Parameter!$H$6+Parameter!$H$7))-(AO1388-AJ1388))/AJ1388)))</f>
        <v>1</v>
      </c>
      <c r="AQ1388" s="62" t="n">
        <f aca="false">IF(LEFT(Cockpit!$I$5,1)="A",H1388,IF(Parameter!$E$30="MAX-Bestand",IF(CI1388=1,CJ1388,IF(LEFT(Cockpit!$I$5,1)="B",AW1388,MAX(AW1388,H1388))),ROUNDUP(AU1388,0)))</f>
        <v>15</v>
      </c>
      <c r="AR1388" s="62" t="n">
        <f aca="false">IF(CA1388=1,0,ROUNDUP(AQ1388/BZ1388,0))</f>
        <v>2</v>
      </c>
      <c r="AS1388" s="64" t="n">
        <f aca="false">IF(CR1388&gt;0,CR1388*MAX(1,AQ1388/X1388),IF(CA1388=1,IF(AQ1388&lt;=0,0,CE1388*MAX(1,IF(H1388&gt;0,AQ1388/H1388,1))),IF(R1388&gt;0,AR1388/R1388,0))/MAX(0.1,N(Parameter!$M$21)))</f>
        <v>0.0769230769230769</v>
      </c>
      <c r="AT1388" s="62" t="n">
        <f aca="false">AS1388*CC1388</f>
        <v>18.8461538461538</v>
      </c>
      <c r="AU1388" s="63" t="n">
        <f aca="false">IF(LEFT(Cockpit!$I$5,1)="A",H1388,IF(CI1388=1,(CL1388+CJ1388)/2,IF(LEFT(Cockpit!$I$5,1)="B",(CL1388+AW1388)/2,MAX((CL1388+AW1388)/2,H1388))))</f>
        <v>15</v>
      </c>
      <c r="AV1388" s="62" t="n">
        <f aca="false">AU1388*G1388</f>
        <v>5480.1</v>
      </c>
      <c r="AW1388" s="62" t="n">
        <f aca="false">ROUNDUP(CL1388+MAX(CM1388,2*(J1388/IF(CH1388&gt;0,CH1388,MAX(0.1,N(Cockpit!$I$6)))-CL1388)),0)</f>
        <v>13</v>
      </c>
      <c r="AX1388" s="63" t="n">
        <f aca="false">IF(AT1388&gt;0,J1388/AT1388,-1)</f>
        <v>1.06122448979592</v>
      </c>
      <c r="AY1388" s="63" t="n">
        <f aca="false">IF(AND(OR(CG1388="L1",CG1388="L23",CG1388="LIFT"),AT1388&gt;0),SUMIFS($AT$7:$AT$1843,$CG$7:$CG$1843,CG1388,$AX$7:$AX$1843,"&gt;"&amp;AX1388)+SUMIFS($AT$7:$AT$1843,$CG$7:$CG$1843,CG1388,$AX$7:$AX$1843,AX1388,$BX$7:$BX$1843,"&lt;="&amp;BX1388),"")</f>
        <v>8281.90201465201</v>
      </c>
      <c r="AZ1388" s="70" t="n">
        <f aca="false">IF(AY1388="",0,MAX(0,MIN(1,(IF(CG1388="L1",Parameter!$H$5,IF(CG1388="L23",Parameter!$H$6+Parameter!$H$7,Parameter!$H$5+Parameter!$H$6+Parameter!$H$7))-(AY1388-AT1388))/AT1388)))</f>
        <v>1</v>
      </c>
      <c r="BA1388" s="62" t="n">
        <f aca="false">IF(LEFT(Cockpit!$O$5,1)="A",H1388,IF(Parameter!$E$30="MAX-Bestand",IF(CI1388=1,CJ1388,IF(LEFT(Cockpit!$O$5,1)="B",BG1388,MAX(BG1388,H1388))),ROUNDUP(BE1388,0)))</f>
        <v>6</v>
      </c>
      <c r="BB1388" s="62" t="n">
        <f aca="false">IF(CA1388=1,0,ROUNDUP(BA1388/BZ1388,0))</f>
        <v>1</v>
      </c>
      <c r="BC1388" s="64" t="n">
        <f aca="false">IF(CR1388&gt;0,CR1388*MAX(1,BA1388/X1388),IF(CA1388=1,IF(BA1388&lt;=0,0,CE1388*MAX(1,IF(H1388&gt;0,BA1388/H1388,1))),IF(R1388&gt;0,BB1388/R1388,0))/MAX(0.1,N(Parameter!$M$21)))</f>
        <v>0.0384615384615385</v>
      </c>
      <c r="BD1388" s="62" t="n">
        <f aca="false">BC1388*CC1388</f>
        <v>9.42307692307692</v>
      </c>
      <c r="BE1388" s="63" t="n">
        <f aca="false">IF(LEFT(Cockpit!$O$5,1)="A",H1388,IF(CI1388=1,(CL1388+CJ1388)/2,IF(LEFT(Cockpit!$O$5,1)="B",(CL1388+BG1388)/2,MAX((CL1388+BG1388)/2,H1388))))</f>
        <v>6</v>
      </c>
      <c r="BF1388" s="62" t="n">
        <f aca="false">BE1388*G1388</f>
        <v>2192.04</v>
      </c>
      <c r="BG1388" s="62" t="n">
        <f aca="false">ROUNDUP(CL1388+MAX(CM1388,2*(J1388/IF(CH1388&gt;0,CH1388,MAX(0.1,N(Cockpit!$O$6)))-CL1388)),0)</f>
        <v>11</v>
      </c>
      <c r="BH1388" s="63" t="n">
        <f aca="false">IF(BD1388&gt;0,J1388/BD1388,-1)</f>
        <v>2.12244897959184</v>
      </c>
      <c r="BI1388" s="63" t="n">
        <f aca="false">IF(AND(OR(CG1388="L1",CG1388="L23",CG1388="LIFT"),BD1388&gt;0),SUMIFS($BD$7:$BD$1843,$CG$7:$CG$1843,CG1388,$BH$7:$BH$1843,"&gt;"&amp;BH1388)+SUMIFS($BD$7:$BD$1843,$CG$7:$CG$1843,CG1388,$BH$7:$BH$1843,BH1388,$BX$7:$BX$1843,"&lt;="&amp;BX1388),"")</f>
        <v>5736.13461538462</v>
      </c>
      <c r="BJ1388" s="70" t="n">
        <f aca="false">IF(BI1388="",0,MAX(0,MIN(1,(IF(CG1388="L1",Parameter!$H$5,IF(CG1388="L23",Parameter!$H$6+Parameter!$H$7,Parameter!$H$5+Parameter!$H$6+Parameter!$H$7))-(BI1388-BD1388))/BD1388)))</f>
        <v>1</v>
      </c>
      <c r="BK1388" s="60" t="str">
        <f aca="false">IF(AJ1388&lt;=0,"",IF(CG1388="Aussen","Aussenlager",IF(CG1388="-","Nicht im Lift",IF(AP1388&gt;=1,"Lift",IF(AP1388&lt;=0,"Aussenlager","teilweise")))))</f>
        <v>Lift</v>
      </c>
      <c r="BL1388" s="60" t="str">
        <f aca="false">IF(AT1388&lt;=0,"",IF(CG1388="Aussen","Aussenlager",IF(CG1388="-","Nicht im Lift",IF(AZ1388&gt;=1,"Lift",IF(AZ1388&lt;=0,"Aussenlager","teilweise")))))</f>
        <v>Lift</v>
      </c>
      <c r="BM1388" s="60" t="str">
        <f aca="false">IF(BD1388&lt;=0,"",IF(CG1388="Aussen","Aussenlager",IF(CG1388="-","Nicht im Lift",IF(BJ1388&gt;=1,"Lift",IF(BJ1388&lt;=0,"Aussenlager","teilweise")))))</f>
        <v>Lift</v>
      </c>
      <c r="BN1388" s="60" t="str">
        <f aca="false">IF(A1388="","",IF(BW1388=1,"Neu; ","")&amp;IF(AND(BW1388=0,BR1388&lt;0),"negativer Bestand (Export "&amp;BR1388&amp;"); ","")&amp;IF(J1388&lt;=0,"Kein Verbrauch; ","")&amp;IF(CR1388&gt;0,"Lift "&amp;W1388&amp;" lt. Liftbericht (Fach "&amp;X1388&amp;" Stk); ",IF(CB1388=1,"Gebinde geschätzt ("&amp;T1388&amp;"); ",IF(CA1388=1,"Lose – Tablare geschätzt; ","")))&amp;IF(H1388&gt;AW1388,"Überbestand "&amp;ROUND(H1388-AW1388,0)&amp;" Stk / CHF "&amp;ROUND((H1388-AW1388)*G1388,0)&amp;"; ","")&amp;IF(AND(CI1388=1,CJ1388&lt;CK1388),"MAX &lt; MB+LG; ","")&amp;IF(AND(CQ1388&gt;0,CP1388*10&gt;CQ1388),"zu hoch für Tablar; ","")&amp;IF(AND(BW1388=0,OR(CI1388=1,AB1388&lt;&gt;"",U1388&lt;&gt;"",V1388&lt;&gt;"",AC1388&lt;&gt;"")),"manuell übersteuert; ","")&amp;IF(AND(CA1388=0,R1388=0),"Gebinde unbekannt / Stellmass fehlt; ","")&amp;IF(AND(CA1388=0,N(V1388)&lt;=0,N(Q1388)&lt;=0),"Menge pro Gebinde fehlt (Ist = 1 Gebinde); ","")&amp;BV1388)</f>
        <v>negativer Bestand (Export -10); Überbestand 2 Stk / CHF 731; </v>
      </c>
      <c r="BO1388" s="60"/>
      <c r="BP1388" s="60"/>
      <c r="BQ1388" s="67"/>
      <c r="BR1388" s="62" t="n">
        <v>-10</v>
      </c>
      <c r="BS1388" s="62" t="n">
        <v>25</v>
      </c>
      <c r="BT1388" s="61" t="n">
        <v>-3373.26</v>
      </c>
      <c r="BU1388" s="62" t="n">
        <v>20</v>
      </c>
      <c r="BV1388" s="60"/>
      <c r="BW1388" s="65" t="n">
        <v>0</v>
      </c>
      <c r="BX1388" s="65" t="n">
        <v>1388</v>
      </c>
      <c r="BY1388" s="60" t="str">
        <f aca="false">IF(U1388&lt;&gt;"",UPPER(TRIM(U1388)),IF(CB1388=1,UPPER(VLOOKUP(T1388,Parameter!$I$27:$K$29,2,0)),IF(P1388="","LOSE",P1388)))</f>
        <v>S52</v>
      </c>
      <c r="BZ1388" s="62" t="n">
        <f aca="false">IF(BY1388="LOSE",1,IF(N(V1388)&gt;0,V1388,IF(CB1388=1,MAX(1,N(VLOOKUP(T1388,Parameter!$I$27:$K$29,3,0)),H1388,N(N1388)),IF(N(Q1388)&gt;0,Q1388,MAX(1,H1388)))))</f>
        <v>11</v>
      </c>
      <c r="CA1388" s="65" t="n">
        <f aca="false">IF(BY1388="LOSE",1,0)</f>
        <v>0</v>
      </c>
      <c r="CB1388" s="65" t="n">
        <f aca="false">IF(AND(U1388="",OR(P1388="",P1388="LOSE"),T1388&lt;&gt;"",N(S1388)&lt;=0,ISNUMBER(MATCH(T1388,Parameter!$I$27:$I$29,0))),1,0)</f>
        <v>0</v>
      </c>
      <c r="CC1388" s="65" t="n">
        <f aca="false">IF(CR1388&gt;0,INDEX(Parameter!$H$5:$H$7,W1388)/INDEX(Parameter!$E$5:$E$7,W1388),IF(AND(CA1388=0,N(IFERROR(VLOOKUP(BY1388,'Gebinde-Kategorie'!$A$5:$N$45,14,0),0))&gt;0),VLOOKUP(BY1388,'Gebinde-Kategorie'!$A$5:$N$45,14,0)*10+Parameter!$M$23,Parameter!$M$24))</f>
        <v>245</v>
      </c>
      <c r="CD1388" s="60" t="str">
        <f aca="false">IF(AND(Parameter!$B$19="Ja",E1388&lt;&gt;"",ISNUMBER(MATCH(E1388,Parameter!$I$35:$I$52,0))),VLOOKUP(E1388,Parameter!$I$35:$J$52,2,0),IFERROR(VLOOKUP(D1388,Parameter!$A$35:$C$64,2,0),"Nein"))</f>
        <v>2+3</v>
      </c>
      <c r="CE1388" s="64" t="n">
        <f aca="false">IF(CA1388=0,0,IF(N(S1388)&gt;0,S1388,IFERROR(VLOOKUP(D1388,Parameter!$A$35:$C$64,3,0)+0,0)))</f>
        <v>0</v>
      </c>
      <c r="CF1388" s="60" t="n">
        <f aca="false">IF(AB1388&lt;&gt;"",AB1388,AA1388)</f>
        <v>3</v>
      </c>
      <c r="CG1388" s="60" t="str">
        <f aca="false">IF(OR(CF1388=1,CF1388=2,CF1388=3),IF(Parameter!$E$27="Ja","LIFT",IF(CF1388=1,"L1","L23")),IF(CF1388="Aussen","Aussen","-"))</f>
        <v>LIFT</v>
      </c>
      <c r="CH1388" s="71" t="n">
        <f aca="false">IF(N(AC1388)&gt;0,AC1388,0)</f>
        <v>0</v>
      </c>
      <c r="CI1388" s="65" t="n">
        <f aca="false">IF(ISNUMBER(AF1388),1,0)</f>
        <v>0</v>
      </c>
      <c r="CJ1388" s="62" t="n">
        <f aca="false">N(AF1388)</f>
        <v>0</v>
      </c>
      <c r="CK1388" s="62" t="n">
        <f aca="false">N(M1388)+N(N1388)</f>
        <v>11</v>
      </c>
      <c r="CL1388" s="62" t="n">
        <f aca="false">N(M1388)</f>
        <v>1</v>
      </c>
      <c r="CM1388" s="62" t="n">
        <f aca="false">N(N1388)</f>
        <v>10</v>
      </c>
      <c r="CN1388" s="62" t="n">
        <f aca="false">ROUNDUP(H1388/BZ1388,0)</f>
        <v>2</v>
      </c>
      <c r="CO1388" s="62" t="n">
        <f aca="false">ROUNDUP(CJ1388/BZ1388,0)</f>
        <v>0</v>
      </c>
      <c r="CP1388" s="65" t="n">
        <f aca="false">IF(CA1388=1,0,IFERROR(VLOOKUP(BY1388,'Gebinde-Kategorie'!$A$5:$N$45,5,0)+0,0))</f>
        <v>21</v>
      </c>
      <c r="CQ1388" s="65" t="n">
        <f aca="false">IFERROR(IF(OR(CF1388=1,CF1388=2,CF1388=3),N(INDEX(Parameter!$I$5:$I$7,CF1388)),0),0)</f>
        <v>0</v>
      </c>
      <c r="CR1388" s="64" t="n">
        <f aca="false">IF(AND(Parameter!$B$21="Ja",ISNUMBER(W1388),N(X1388)&gt;0),IFERROR(N(INDEX(Parameter!$L$5:$L$7,W1388))*INDEX(Parameter!$E$5:$E$7,W1388)*X1388/SUMIFS($X$7:$X$1843,$W$7:$W$1843,W1388),0),0)</f>
        <v>0</v>
      </c>
      <c r="CS1388" s="62" t="n">
        <f aca="false">IF(AND(OR(CG1388="L1",CG1388="L23",CG1388="LIFT"),H1388&gt;0),CC1388*IF(CR1388&gt;0,CR1388*MAX(1,H1388/X1388),IF(CA1388=1,CE1388,IF(R1388&gt;0,CN1388/R1388,0))/MAX(0.1,N(Parameter!$M$21))),"")</f>
        <v>18.8461538461538</v>
      </c>
      <c r="CT1388" s="64" t="n">
        <f aca="false">IF(CS1388="","",J1388/H1388)</f>
        <v>1.33333333333333</v>
      </c>
      <c r="CU1388" s="62" t="n">
        <f aca="false">IF(CS1388="","",H1388*G1388)</f>
        <v>5480.1</v>
      </c>
      <c r="CV1388" s="63" t="n">
        <f aca="false">IF(CS1388="","",(CL1388+ROUNDUP(CL1388+MAX(CM1388,2*(J1388/MAX(0.1,N(Einkauf!$C$6))-CL1388)),0))/2)</f>
        <v>6</v>
      </c>
      <c r="CW1388" s="62" t="n">
        <f aca="false">IF(CS1388="","",MAX(0,H1388-CV1388)*G1388)</f>
        <v>3288.06</v>
      </c>
      <c r="CX1388" s="62" t="n">
        <f aca="false">IF(CS1388="","",CS1388*MAX(0,1-CV1388/H1388))</f>
        <v>11.3076923076923</v>
      </c>
      <c r="CY1388" s="64" t="n">
        <f aca="false">IF(CS1388="","",PERCENTRANK($CS$7:$CS$1843,CS1388)+PERCENTRANK($CU$7:$CU$1843,CU1388)+1-PERCENTRANK($CT$7:$CT$1843,CT1388))</f>
        <v>1.94</v>
      </c>
      <c r="CZ1388" s="72" t="n">
        <f aca="false">IF(CS1388="","",CHOOSE(MATCH(Einkauf!$C$5,Parameter!$G$23:$G$27,0),CY1388,CS1388,CU1388,-CT1388,CW1388)+ROW()/1000000000)</f>
        <v>1.940001388</v>
      </c>
    </row>
    <row r="1389" customFormat="false" ht="15" hidden="false" customHeight="false" outlineLevel="0" collapsed="false">
      <c r="A1389" s="60" t="s">
        <v>2485</v>
      </c>
      <c r="B1389" s="60" t="s">
        <v>2445</v>
      </c>
      <c r="C1389" s="60" t="s">
        <v>206</v>
      </c>
      <c r="D1389" s="60" t="s">
        <v>215</v>
      </c>
      <c r="E1389" s="60" t="s">
        <v>227</v>
      </c>
      <c r="F1389" s="60" t="s">
        <v>260</v>
      </c>
      <c r="G1389" s="61" t="n">
        <v>202.04</v>
      </c>
      <c r="H1389" s="62" t="n">
        <f aca="false">MAX(0,IF(AND(Parameter!$B$21="Ja",ISNUMBER(Y1389)),Y1389,IF(Parameter!$B$20="Jahresanfang 2025 + Export",BS1389+BR1389,BR1389)))</f>
        <v>8</v>
      </c>
      <c r="I1389" s="62" t="n">
        <f aca="false">H1389*G1389</f>
        <v>1616.32</v>
      </c>
      <c r="J1389" s="62" t="n">
        <f aca="false">BU1389*Parameter!$B$18</f>
        <v>18</v>
      </c>
      <c r="K1389" s="63" t="n">
        <v>29.5</v>
      </c>
      <c r="L1389" s="64" t="n">
        <v>0.610169491525424</v>
      </c>
      <c r="M1389" s="62" t="n">
        <v>2</v>
      </c>
      <c r="N1389" s="62" t="n">
        <v>15</v>
      </c>
      <c r="O1389" s="65" t="n">
        <v>44</v>
      </c>
      <c r="P1389" s="60" t="s">
        <v>216</v>
      </c>
      <c r="Q1389" s="62" t="n">
        <v>15</v>
      </c>
      <c r="R1389" s="65" t="n">
        <f aca="false">IF(CA1389=1,0,IFERROR(VLOOKUP(BY1389,'Gebinde-Kategorie'!$A$5:$N$45,13,0)+0,0))</f>
        <v>6</v>
      </c>
      <c r="S1389" s="66"/>
      <c r="T1389" s="67"/>
      <c r="U1389" s="67"/>
      <c r="V1389" s="67"/>
      <c r="W1389" s="60"/>
      <c r="X1389" s="62"/>
      <c r="Y1389" s="62"/>
      <c r="Z1389" s="60" t="n">
        <v>2</v>
      </c>
      <c r="AA1389" s="60" t="n">
        <f aca="false">IF(A1389="","",IF(AND(Parameter!$B$21="Ja",ISNUMBER(W1389)),W1389,IF(AND(Parameter!$E$27="Ja",ISNUMBER(Z1389),CD1389&lt;&gt;"Nein"),Z1389,IF(CD1389="2+3",IF(ISNUMBER(SEARCH("grosser Artikel",BV1389)),2,IFERROR(VLOOKUP(BY1389,Parameter!$F$35:$G$64,2,0),2)),IF(OR(CD1389="Nein",CD1389=""),"-",CD1389)))))</f>
        <v>2</v>
      </c>
      <c r="AB1389" s="67"/>
      <c r="AC1389" s="68"/>
      <c r="AD1389" s="62" t="n">
        <f aca="false">AW1389</f>
        <v>17</v>
      </c>
      <c r="AE1389" s="62" t="n">
        <f aca="false">MAX(AW1389,H1389)</f>
        <v>17</v>
      </c>
      <c r="AF1389" s="69"/>
      <c r="AG1389" s="62" t="n">
        <f aca="false">IF(LEFT(Cockpit!$C$5,1)="A",H1389,IF(Parameter!$E$30="MAX-Bestand",IF(CI1389=1,CJ1389,IF(LEFT(Cockpit!$C$5,1)="B",AM1389,MAX(AM1389,H1389))),ROUNDUP(AK1389,0)))</f>
        <v>8</v>
      </c>
      <c r="AH1389" s="62" t="n">
        <f aca="false">IF(CA1389=1,0,ROUNDUP(AG1389/BZ1389,0))</f>
        <v>1</v>
      </c>
      <c r="AI1389" s="64" t="n">
        <f aca="false">IF(CR1389&gt;0,CR1389*MAX(1,AG1389/X1389),IF(CA1389=1,IF(AG1389&lt;=0,0,CE1389*MAX(1,IF(H1389&gt;0,AG1389/H1389,1))),IF(R1389&gt;0,AH1389/R1389,0))/MAX(0.1,N(Parameter!$M$21)))</f>
        <v>0.166666666666667</v>
      </c>
      <c r="AJ1389" s="62" t="n">
        <f aca="false">AI1389*CC1389</f>
        <v>39.1666666666667</v>
      </c>
      <c r="AK1389" s="63" t="n">
        <f aca="false">IF(LEFT(Cockpit!$C$5,1)="A",H1389,IF(CI1389=1,(CL1389+CJ1389)/2,IF(LEFT(Cockpit!$C$5,1)="B",(CL1389+AM1389)/2,MAX((CL1389+AM1389)/2,H1389))))</f>
        <v>8</v>
      </c>
      <c r="AL1389" s="62" t="n">
        <f aca="false">AK1389*G1389</f>
        <v>1616.32</v>
      </c>
      <c r="AM1389" s="62" t="n">
        <f aca="false">ROUNDUP(CL1389+MAX(CM1389,2*(J1389/IF(CH1389&gt;0,CH1389,MAX(0.1,N(Cockpit!$C$6)))-CL1389)),0)</f>
        <v>17</v>
      </c>
      <c r="AN1389" s="63" t="n">
        <f aca="false">IF(AJ1389&gt;0,J1389/AJ1389,-1)</f>
        <v>0.459574468085106</v>
      </c>
      <c r="AO1389" s="63" t="n">
        <f aca="false">IF(AND(OR(CG1389="L1",CG1389="L23",CG1389="LIFT"),AJ1389&gt;0),SUMIFS($AJ$7:$AJ$1843,$CG$7:$CG$1843,CG1389,$AN$7:$AN$1843,"&gt;"&amp;AN1389)+SUMIFS($AJ$7:$AJ$1843,$CG$7:$CG$1843,CG1389,$AN$7:$AN$1843,AN1389,$BX$7:$BX$1843,"&lt;="&amp;BX1389),"")</f>
        <v>9856.84383601333</v>
      </c>
      <c r="AP1389" s="70" t="n">
        <f aca="false">IF(AO1389="",0,MAX(0,MIN(1,(IF(CG1389="L1",Parameter!$H$5,IF(CG1389="L23",Parameter!$H$6+Parameter!$H$7,Parameter!$H$5+Parameter!$H$6+Parameter!$H$7))-(AO1389-AJ1389))/AJ1389)))</f>
        <v>1</v>
      </c>
      <c r="AQ1389" s="62" t="n">
        <f aca="false">IF(LEFT(Cockpit!$I$5,1)="A",H1389,IF(Parameter!$E$30="MAX-Bestand",IF(CI1389=1,CJ1389,IF(LEFT(Cockpit!$I$5,1)="B",AW1389,MAX(AW1389,H1389))),ROUNDUP(AU1389,0)))</f>
        <v>10</v>
      </c>
      <c r="AR1389" s="62" t="n">
        <f aca="false">IF(CA1389=1,0,ROUNDUP(AQ1389/BZ1389,0))</f>
        <v>1</v>
      </c>
      <c r="AS1389" s="64" t="n">
        <f aca="false">IF(CR1389&gt;0,CR1389*MAX(1,AQ1389/X1389),IF(CA1389=1,IF(AQ1389&lt;=0,0,CE1389*MAX(1,IF(H1389&gt;0,AQ1389/H1389,1))),IF(R1389&gt;0,AR1389/R1389,0))/MAX(0.1,N(Parameter!$M$21)))</f>
        <v>0.166666666666667</v>
      </c>
      <c r="AT1389" s="62" t="n">
        <f aca="false">AS1389*CC1389</f>
        <v>39.1666666666667</v>
      </c>
      <c r="AU1389" s="63" t="n">
        <f aca="false">IF(LEFT(Cockpit!$I$5,1)="A",H1389,IF(CI1389=1,(CL1389+CJ1389)/2,IF(LEFT(Cockpit!$I$5,1)="B",(CL1389+AW1389)/2,MAX((CL1389+AW1389)/2,H1389))))</f>
        <v>9.5</v>
      </c>
      <c r="AV1389" s="62" t="n">
        <f aca="false">AU1389*G1389</f>
        <v>1919.38</v>
      </c>
      <c r="AW1389" s="62" t="n">
        <f aca="false">ROUNDUP(CL1389+MAX(CM1389,2*(J1389/IF(CH1389&gt;0,CH1389,MAX(0.1,N(Cockpit!$I$6)))-CL1389)),0)</f>
        <v>17</v>
      </c>
      <c r="AX1389" s="63" t="n">
        <f aca="false">IF(AT1389&gt;0,J1389/AT1389,-1)</f>
        <v>0.459574468085106</v>
      </c>
      <c r="AY1389" s="63" t="n">
        <f aca="false">IF(AND(OR(CG1389="L1",CG1389="L23",CG1389="LIFT"),AT1389&gt;0),SUMIFS($AT$7:$AT$1843,$CG$7:$CG$1843,CG1389,$AX$7:$AX$1843,"&gt;"&amp;AX1389)+SUMIFS($AT$7:$AT$1843,$CG$7:$CG$1843,CG1389,$AX$7:$AX$1843,AX1389,$BX$7:$BX$1843,"&lt;="&amp;BX1389),"")</f>
        <v>12270.6804029304</v>
      </c>
      <c r="AZ1389" s="70" t="n">
        <f aca="false">IF(AY1389="",0,MAX(0,MIN(1,(IF(CG1389="L1",Parameter!$H$5,IF(CG1389="L23",Parameter!$H$6+Parameter!$H$7,Parameter!$H$5+Parameter!$H$6+Parameter!$H$7))-(AY1389-AT1389))/AT1389)))</f>
        <v>1</v>
      </c>
      <c r="BA1389" s="62" t="n">
        <f aca="false">IF(LEFT(Cockpit!$O$5,1)="A",H1389,IF(Parameter!$E$30="MAX-Bestand",IF(CI1389=1,CJ1389,IF(LEFT(Cockpit!$O$5,1)="B",BG1389,MAX(BG1389,H1389))),ROUNDUP(BE1389,0)))</f>
        <v>10</v>
      </c>
      <c r="BB1389" s="62" t="n">
        <f aca="false">IF(CA1389=1,0,ROUNDUP(BA1389/BZ1389,0))</f>
        <v>1</v>
      </c>
      <c r="BC1389" s="64" t="n">
        <f aca="false">IF(CR1389&gt;0,CR1389*MAX(1,BA1389/X1389),IF(CA1389=1,IF(BA1389&lt;=0,0,CE1389*MAX(1,IF(H1389&gt;0,BA1389/H1389,1))),IF(R1389&gt;0,BB1389/R1389,0))/MAX(0.1,N(Parameter!$M$21)))</f>
        <v>0.166666666666667</v>
      </c>
      <c r="BD1389" s="62" t="n">
        <f aca="false">BC1389*CC1389</f>
        <v>39.1666666666667</v>
      </c>
      <c r="BE1389" s="63" t="n">
        <f aca="false">IF(LEFT(Cockpit!$O$5,1)="A",H1389,IF(CI1389=1,(CL1389+CJ1389)/2,IF(LEFT(Cockpit!$O$5,1)="B",(CL1389+BG1389)/2,MAX((CL1389+BG1389)/2,H1389))))</f>
        <v>9.5</v>
      </c>
      <c r="BF1389" s="62" t="n">
        <f aca="false">BE1389*G1389</f>
        <v>1919.38</v>
      </c>
      <c r="BG1389" s="62" t="n">
        <f aca="false">ROUNDUP(CL1389+MAX(CM1389,2*(J1389/IF(CH1389&gt;0,CH1389,MAX(0.1,N(Cockpit!$O$6)))-CL1389)),0)</f>
        <v>17</v>
      </c>
      <c r="BH1389" s="63" t="n">
        <f aca="false">IF(BD1389&gt;0,J1389/BD1389,-1)</f>
        <v>0.459574468085106</v>
      </c>
      <c r="BI1389" s="63" t="n">
        <f aca="false">IF(AND(OR(CG1389="L1",CG1389="L23",CG1389="LIFT"),BD1389&gt;0),SUMIFS($BD$7:$BD$1843,$CG$7:$CG$1843,CG1389,$BH$7:$BH$1843,"&gt;"&amp;BH1389)+SUMIFS($BD$7:$BD$1843,$CG$7:$CG$1843,CG1389,$BH$7:$BH$1843,BH1389,$BX$7:$BX$1843,"&lt;="&amp;BX1389),"")</f>
        <v>10576.5966117216</v>
      </c>
      <c r="BJ1389" s="70" t="n">
        <f aca="false">IF(BI1389="",0,MAX(0,MIN(1,(IF(CG1389="L1",Parameter!$H$5,IF(CG1389="L23",Parameter!$H$6+Parameter!$H$7,Parameter!$H$5+Parameter!$H$6+Parameter!$H$7))-(BI1389-BD1389))/BD1389)))</f>
        <v>1</v>
      </c>
      <c r="BK1389" s="60" t="str">
        <f aca="false">IF(AJ1389&lt;=0,"",IF(CG1389="Aussen","Aussenlager",IF(CG1389="-","Nicht im Lift",IF(AP1389&gt;=1,"Lift",IF(AP1389&lt;=0,"Aussenlager","teilweise")))))</f>
        <v>Lift</v>
      </c>
      <c r="BL1389" s="60" t="str">
        <f aca="false">IF(AT1389&lt;=0,"",IF(CG1389="Aussen","Aussenlager",IF(CG1389="-","Nicht im Lift",IF(AZ1389&gt;=1,"Lift",IF(AZ1389&lt;=0,"Aussenlager","teilweise")))))</f>
        <v>Lift</v>
      </c>
      <c r="BM1389" s="60" t="str">
        <f aca="false">IF(BD1389&lt;=0,"",IF(CG1389="Aussen","Aussenlager",IF(CG1389="-","Nicht im Lift",IF(BJ1389&gt;=1,"Lift",IF(BJ1389&lt;=0,"Aussenlager","teilweise")))))</f>
        <v>Lift</v>
      </c>
      <c r="BN1389" s="60" t="str">
        <f aca="false">IF(A1389="","",IF(BW1389=1,"Neu; ","")&amp;IF(AND(BW1389=0,BR1389&lt;0),"negativer Bestand (Export "&amp;BR1389&amp;"); ","")&amp;IF(J1389&lt;=0,"Kein Verbrauch; ","")&amp;IF(CR1389&gt;0,"Lift "&amp;W1389&amp;" lt. Liftbericht (Fach "&amp;X1389&amp;" Stk); ",IF(CB1389=1,"Gebinde geschätzt ("&amp;T1389&amp;"); ",IF(CA1389=1,"Lose – Tablare geschätzt; ","")))&amp;IF(H1389&gt;AW1389,"Überbestand "&amp;ROUND(H1389-AW1389,0)&amp;" Stk / CHF "&amp;ROUND((H1389-AW1389)*G1389,0)&amp;"; ","")&amp;IF(AND(CI1389=1,CJ1389&lt;CK1389),"MAX &lt; MB+LG; ","")&amp;IF(AND(CQ1389&gt;0,CP1389*10&gt;CQ1389),"zu hoch für Tablar; ","")&amp;IF(AND(BW1389=0,OR(CI1389=1,AB1389&lt;&gt;"",U1389&lt;&gt;"",V1389&lt;&gt;"",AC1389&lt;&gt;"")),"manuell übersteuert; ","")&amp;IF(AND(CA1389=0,R1389=0),"Gebinde unbekannt / Stellmass fehlt; ","")&amp;IF(AND(CA1389=0,N(V1389)&lt;=0,N(Q1389)&lt;=0),"Menge pro Gebinde fehlt (Ist = 1 Gebinde); ","")&amp;BV1389)</f>
        <v>negativer Bestand (Export -20); grosser Artikel &amp; nicht im KTL</v>
      </c>
      <c r="BO1389" s="60"/>
      <c r="BP1389" s="60"/>
      <c r="BQ1389" s="67"/>
      <c r="BR1389" s="62" t="n">
        <v>-20</v>
      </c>
      <c r="BS1389" s="62" t="n">
        <v>28</v>
      </c>
      <c r="BT1389" s="61" t="n">
        <v>-3384.2</v>
      </c>
      <c r="BU1389" s="62" t="n">
        <v>18</v>
      </c>
      <c r="BV1389" s="60" t="s">
        <v>303</v>
      </c>
      <c r="BW1389" s="65" t="n">
        <v>0</v>
      </c>
      <c r="BX1389" s="65" t="n">
        <v>1389</v>
      </c>
      <c r="BY1389" s="60" t="str">
        <f aca="false">IF(U1389&lt;&gt;"",UPPER(TRIM(U1389)),IF(CB1389=1,UPPER(VLOOKUP(T1389,Parameter!$I$27:$K$29,2,0)),IF(P1389="","LOSE",P1389)))</f>
        <v>S71</v>
      </c>
      <c r="BZ1389" s="62" t="n">
        <f aca="false">IF(BY1389="LOSE",1,IF(N(V1389)&gt;0,V1389,IF(CB1389=1,MAX(1,N(VLOOKUP(T1389,Parameter!$I$27:$K$29,3,0)),H1389,N(N1389)),IF(N(Q1389)&gt;0,Q1389,MAX(1,H1389)))))</f>
        <v>15</v>
      </c>
      <c r="CA1389" s="65" t="n">
        <f aca="false">IF(BY1389="LOSE",1,0)</f>
        <v>0</v>
      </c>
      <c r="CB1389" s="65" t="n">
        <f aca="false">IF(AND(U1389="",OR(P1389="",P1389="LOSE"),T1389&lt;&gt;"",N(S1389)&lt;=0,ISNUMBER(MATCH(T1389,Parameter!$I$27:$I$29,0))),1,0)</f>
        <v>0</v>
      </c>
      <c r="CC1389" s="65" t="n">
        <f aca="false">IF(CR1389&gt;0,INDEX(Parameter!$H$5:$H$7,W1389)/INDEX(Parameter!$E$5:$E$7,W1389),IF(AND(CA1389=0,N(IFERROR(VLOOKUP(BY1389,'Gebinde-Kategorie'!$A$5:$N$45,14,0),0))&gt;0),VLOOKUP(BY1389,'Gebinde-Kategorie'!$A$5:$N$45,14,0)*10+Parameter!$M$23,Parameter!$M$24))</f>
        <v>235</v>
      </c>
      <c r="CD1389" s="60" t="str">
        <f aca="false">IF(AND(Parameter!$B$19="Ja",E1389&lt;&gt;"",ISNUMBER(MATCH(E1389,Parameter!$I$35:$I$52,0))),VLOOKUP(E1389,Parameter!$I$35:$J$52,2,0),IFERROR(VLOOKUP(D1389,Parameter!$A$35:$C$64,2,0),"Nein"))</f>
        <v>2+3</v>
      </c>
      <c r="CE1389" s="64" t="n">
        <f aca="false">IF(CA1389=0,0,IF(N(S1389)&gt;0,S1389,IFERROR(VLOOKUP(D1389,Parameter!$A$35:$C$64,3,0)+0,0)))</f>
        <v>0</v>
      </c>
      <c r="CF1389" s="60" t="n">
        <f aca="false">IF(AB1389&lt;&gt;"",AB1389,AA1389)</f>
        <v>2</v>
      </c>
      <c r="CG1389" s="60" t="str">
        <f aca="false">IF(OR(CF1389=1,CF1389=2,CF1389=3),IF(Parameter!$E$27="Ja","LIFT",IF(CF1389=1,"L1","L23")),IF(CF1389="Aussen","Aussen","-"))</f>
        <v>LIFT</v>
      </c>
      <c r="CH1389" s="71" t="n">
        <f aca="false">IF(N(AC1389)&gt;0,AC1389,0)</f>
        <v>0</v>
      </c>
      <c r="CI1389" s="65" t="n">
        <f aca="false">IF(ISNUMBER(AF1389),1,0)</f>
        <v>0</v>
      </c>
      <c r="CJ1389" s="62" t="n">
        <f aca="false">N(AF1389)</f>
        <v>0</v>
      </c>
      <c r="CK1389" s="62" t="n">
        <f aca="false">N(M1389)+N(N1389)</f>
        <v>17</v>
      </c>
      <c r="CL1389" s="62" t="n">
        <f aca="false">N(M1389)</f>
        <v>2</v>
      </c>
      <c r="CM1389" s="62" t="n">
        <f aca="false">N(N1389)</f>
        <v>15</v>
      </c>
      <c r="CN1389" s="62" t="n">
        <f aca="false">ROUNDUP(H1389/BZ1389,0)</f>
        <v>1</v>
      </c>
      <c r="CO1389" s="62" t="n">
        <f aca="false">ROUNDUP(CJ1389/BZ1389,0)</f>
        <v>0</v>
      </c>
      <c r="CP1389" s="65" t="n">
        <f aca="false">IF(CA1389=1,0,IFERROR(VLOOKUP(BY1389,'Gebinde-Kategorie'!$A$5:$N$45,5,0)+0,0))</f>
        <v>20</v>
      </c>
      <c r="CQ1389" s="65" t="n">
        <f aca="false">IFERROR(IF(OR(CF1389=1,CF1389=2,CF1389=3),N(INDEX(Parameter!$I$5:$I$7,CF1389)),0),0)</f>
        <v>0</v>
      </c>
      <c r="CR1389" s="64" t="n">
        <f aca="false">IF(AND(Parameter!$B$21="Ja",ISNUMBER(W1389),N(X1389)&gt;0),IFERROR(N(INDEX(Parameter!$L$5:$L$7,W1389))*INDEX(Parameter!$E$5:$E$7,W1389)*X1389/SUMIFS($X$7:$X$1843,$W$7:$W$1843,W1389),0),0)</f>
        <v>0</v>
      </c>
      <c r="CS1389" s="62" t="n">
        <f aca="false">IF(AND(OR(CG1389="L1",CG1389="L23",CG1389="LIFT"),H1389&gt;0),CC1389*IF(CR1389&gt;0,CR1389*MAX(1,H1389/X1389),IF(CA1389=1,CE1389,IF(R1389&gt;0,CN1389/R1389,0))/MAX(0.1,N(Parameter!$M$21))),"")</f>
        <v>39.1666666666667</v>
      </c>
      <c r="CT1389" s="64" t="n">
        <f aca="false">IF(CS1389="","",J1389/H1389)</f>
        <v>2.25</v>
      </c>
      <c r="CU1389" s="62" t="n">
        <f aca="false">IF(CS1389="","",H1389*G1389)</f>
        <v>1616.32</v>
      </c>
      <c r="CV1389" s="63" t="n">
        <f aca="false">IF(CS1389="","",(CL1389+ROUNDUP(CL1389+MAX(CM1389,2*(J1389/MAX(0.1,N(Einkauf!$C$6))-CL1389)),0))/2)</f>
        <v>9.5</v>
      </c>
      <c r="CW1389" s="62" t="n">
        <f aca="false">IF(CS1389="","",MAX(0,H1389-CV1389)*G1389)</f>
        <v>0</v>
      </c>
      <c r="CX1389" s="62" t="n">
        <f aca="false">IF(CS1389="","",CS1389*MAX(0,1-CV1389/H1389))</f>
        <v>0</v>
      </c>
      <c r="CY1389" s="64" t="n">
        <f aca="false">IF(CS1389="","",PERCENTRANK($CS$7:$CS$1843,CS1389)+PERCENTRANK($CU$7:$CU$1843,CU1389)+1-PERCENTRANK($CT$7:$CT$1843,CT1389))</f>
        <v>1.758</v>
      </c>
      <c r="CZ1389" s="72" t="n">
        <f aca="false">IF(CS1389="","",CHOOSE(MATCH(Einkauf!$C$5,Parameter!$G$23:$G$27,0),CY1389,CS1389,CU1389,-CT1389,CW1389)+ROW()/1000000000)</f>
        <v>1.758001389</v>
      </c>
    </row>
    <row r="1390" customFormat="false" ht="15" hidden="false" customHeight="false" outlineLevel="0" collapsed="false">
      <c r="A1390" s="60" t="s">
        <v>2486</v>
      </c>
      <c r="B1390" s="60" t="s">
        <v>487</v>
      </c>
      <c r="C1390" s="60" t="s">
        <v>206</v>
      </c>
      <c r="D1390" s="60" t="s">
        <v>215</v>
      </c>
      <c r="E1390" s="60" t="s">
        <v>227</v>
      </c>
      <c r="F1390" s="60" t="s">
        <v>260</v>
      </c>
      <c r="G1390" s="61" t="n">
        <v>162.98</v>
      </c>
      <c r="H1390" s="62" t="n">
        <f aca="false">MAX(0,IF(AND(Parameter!$B$21="Ja",ISNUMBER(Y1390)),Y1390,IF(Parameter!$B$20="Jahresanfang 2025 + Export",BS1390+BR1390,BR1390)))</f>
        <v>7</v>
      </c>
      <c r="I1390" s="62" t="n">
        <f aca="false">H1390*G1390</f>
        <v>1140.86</v>
      </c>
      <c r="J1390" s="62" t="n">
        <f aca="false">BU1390*Parameter!$B$18</f>
        <v>32</v>
      </c>
      <c r="K1390" s="63" t="n">
        <v>28.5</v>
      </c>
      <c r="L1390" s="64" t="n">
        <v>1.12280701754386</v>
      </c>
      <c r="M1390" s="62" t="n">
        <v>4</v>
      </c>
      <c r="N1390" s="62" t="n">
        <v>20</v>
      </c>
      <c r="O1390" s="65" t="n">
        <v>40</v>
      </c>
      <c r="P1390" s="60" t="s">
        <v>265</v>
      </c>
      <c r="Q1390" s="62" t="n">
        <v>17</v>
      </c>
      <c r="R1390" s="65" t="n">
        <f aca="false">IF(CA1390=1,0,IFERROR(VLOOKUP(BY1390,'Gebinde-Kategorie'!$A$5:$N$45,13,0)+0,0))</f>
        <v>4</v>
      </c>
      <c r="S1390" s="66"/>
      <c r="T1390" s="67"/>
      <c r="U1390" s="67"/>
      <c r="V1390" s="67"/>
      <c r="W1390" s="60"/>
      <c r="X1390" s="62"/>
      <c r="Y1390" s="62"/>
      <c r="Z1390" s="60" t="n">
        <v>2</v>
      </c>
      <c r="AA1390" s="60" t="n">
        <f aca="false">IF(A1390="","",IF(AND(Parameter!$B$21="Ja",ISNUMBER(W1390)),W1390,IF(AND(Parameter!$E$27="Ja",ISNUMBER(Z1390),CD1390&lt;&gt;"Nein"),Z1390,IF(CD1390="2+3",IF(ISNUMBER(SEARCH("grosser Artikel",BV1390)),2,IFERROR(VLOOKUP(BY1390,Parameter!$F$35:$G$64,2,0),2)),IF(OR(CD1390="Nein",CD1390=""),"-",CD1390)))))</f>
        <v>2</v>
      </c>
      <c r="AB1390" s="67"/>
      <c r="AC1390" s="68"/>
      <c r="AD1390" s="62" t="n">
        <f aca="false">AW1390</f>
        <v>24</v>
      </c>
      <c r="AE1390" s="62" t="n">
        <f aca="false">MAX(AW1390,H1390)</f>
        <v>24</v>
      </c>
      <c r="AF1390" s="69"/>
      <c r="AG1390" s="62" t="n">
        <f aca="false">IF(LEFT(Cockpit!$C$5,1)="A",H1390,IF(Parameter!$E$30="MAX-Bestand",IF(CI1390=1,CJ1390,IF(LEFT(Cockpit!$C$5,1)="B",AM1390,MAX(AM1390,H1390))),ROUNDUP(AK1390,0)))</f>
        <v>7</v>
      </c>
      <c r="AH1390" s="62" t="n">
        <f aca="false">IF(CA1390=1,0,ROUNDUP(AG1390/BZ1390,0))</f>
        <v>1</v>
      </c>
      <c r="AI1390" s="64" t="n">
        <f aca="false">IF(CR1390&gt;0,CR1390*MAX(1,AG1390/X1390),IF(CA1390=1,IF(AG1390&lt;=0,0,CE1390*MAX(1,IF(H1390&gt;0,AG1390/H1390,1))),IF(R1390&gt;0,AH1390/R1390,0))/MAX(0.1,N(Parameter!$M$21)))</f>
        <v>0.25</v>
      </c>
      <c r="AJ1390" s="62" t="n">
        <f aca="false">AI1390*CC1390</f>
        <v>58.75</v>
      </c>
      <c r="AK1390" s="63" t="n">
        <f aca="false">IF(LEFT(Cockpit!$C$5,1)="A",H1390,IF(CI1390=1,(CL1390+CJ1390)/2,IF(LEFT(Cockpit!$C$5,1)="B",(CL1390+AM1390)/2,MAX((CL1390+AM1390)/2,H1390))))</f>
        <v>7</v>
      </c>
      <c r="AL1390" s="62" t="n">
        <f aca="false">AK1390*G1390</f>
        <v>1140.86</v>
      </c>
      <c r="AM1390" s="62" t="n">
        <f aca="false">ROUNDUP(CL1390+MAX(CM1390,2*(J1390/IF(CH1390&gt;0,CH1390,MAX(0.1,N(Cockpit!$C$6)))-CL1390)),0)</f>
        <v>24</v>
      </c>
      <c r="AN1390" s="63" t="n">
        <f aca="false">IF(AJ1390&gt;0,J1390/AJ1390,-1)</f>
        <v>0.54468085106383</v>
      </c>
      <c r="AO1390" s="63" t="n">
        <f aca="false">IF(AND(OR(CG1390="L1",CG1390="L23",CG1390="LIFT"),AJ1390&gt;0),SUMIFS($AJ$7:$AJ$1843,$CG$7:$CG$1843,CG1390,$AN$7:$AN$1843,"&gt;"&amp;AN1390)+SUMIFS($AJ$7:$AJ$1843,$CG$7:$CG$1843,CG1390,$AN$7:$AN$1843,AN1390,$BX$7:$BX$1843,"&lt;="&amp;BX1390),"")</f>
        <v>9440.62588729538</v>
      </c>
      <c r="AP1390" s="70" t="n">
        <f aca="false">IF(AO1390="",0,MAX(0,MIN(1,(IF(CG1390="L1",Parameter!$H$5,IF(CG1390="L23",Parameter!$H$6+Parameter!$H$7,Parameter!$H$5+Parameter!$H$6+Parameter!$H$7))-(AO1390-AJ1390))/AJ1390)))</f>
        <v>1</v>
      </c>
      <c r="AQ1390" s="62" t="n">
        <f aca="false">IF(LEFT(Cockpit!$I$5,1)="A",H1390,IF(Parameter!$E$30="MAX-Bestand",IF(CI1390=1,CJ1390,IF(LEFT(Cockpit!$I$5,1)="B",AW1390,MAX(AW1390,H1390))),ROUNDUP(AU1390,0)))</f>
        <v>14</v>
      </c>
      <c r="AR1390" s="62" t="n">
        <f aca="false">IF(CA1390=1,0,ROUNDUP(AQ1390/BZ1390,0))</f>
        <v>1</v>
      </c>
      <c r="AS1390" s="64" t="n">
        <f aca="false">IF(CR1390&gt;0,CR1390*MAX(1,AQ1390/X1390),IF(CA1390=1,IF(AQ1390&lt;=0,0,CE1390*MAX(1,IF(H1390&gt;0,AQ1390/H1390,1))),IF(R1390&gt;0,AR1390/R1390,0))/MAX(0.1,N(Parameter!$M$21)))</f>
        <v>0.25</v>
      </c>
      <c r="AT1390" s="62" t="n">
        <f aca="false">AS1390*CC1390</f>
        <v>58.75</v>
      </c>
      <c r="AU1390" s="63" t="n">
        <f aca="false">IF(LEFT(Cockpit!$I$5,1)="A",H1390,IF(CI1390=1,(CL1390+CJ1390)/2,IF(LEFT(Cockpit!$I$5,1)="B",(CL1390+AW1390)/2,MAX((CL1390+AW1390)/2,H1390))))</f>
        <v>14</v>
      </c>
      <c r="AV1390" s="62" t="n">
        <f aca="false">AU1390*G1390</f>
        <v>2281.72</v>
      </c>
      <c r="AW1390" s="62" t="n">
        <f aca="false">ROUNDUP(CL1390+MAX(CM1390,2*(J1390/IF(CH1390&gt;0,CH1390,MAX(0.1,N(Cockpit!$I$6)))-CL1390)),0)</f>
        <v>24</v>
      </c>
      <c r="AX1390" s="63" t="n">
        <f aca="false">IF(AT1390&gt;0,J1390/AT1390,-1)</f>
        <v>0.54468085106383</v>
      </c>
      <c r="AY1390" s="63" t="n">
        <f aca="false">IF(AND(OR(CG1390="L1",CG1390="L23",CG1390="LIFT"),AT1390&gt;0),SUMIFS($AT$7:$AT$1843,$CG$7:$CG$1843,CG1390,$AX$7:$AX$1843,"&gt;"&amp;AX1390)+SUMIFS($AT$7:$AT$1843,$CG$7:$CG$1843,CG1390,$AX$7:$AX$1843,AX1390,$BX$7:$BX$1843,"&lt;="&amp;BX1390),"")</f>
        <v>11760.8727106227</v>
      </c>
      <c r="AZ1390" s="70" t="n">
        <f aca="false">IF(AY1390="",0,MAX(0,MIN(1,(IF(CG1390="L1",Parameter!$H$5,IF(CG1390="L23",Parameter!$H$6+Parameter!$H$7,Parameter!$H$5+Parameter!$H$6+Parameter!$H$7))-(AY1390-AT1390))/AT1390)))</f>
        <v>1</v>
      </c>
      <c r="BA1390" s="62" t="n">
        <f aca="false">IF(LEFT(Cockpit!$O$5,1)="A",H1390,IF(Parameter!$E$30="MAX-Bestand",IF(CI1390=1,CJ1390,IF(LEFT(Cockpit!$O$5,1)="B",BG1390,MAX(BG1390,H1390))),ROUNDUP(BE1390,0)))</f>
        <v>14</v>
      </c>
      <c r="BB1390" s="62" t="n">
        <f aca="false">IF(CA1390=1,0,ROUNDUP(BA1390/BZ1390,0))</f>
        <v>1</v>
      </c>
      <c r="BC1390" s="64" t="n">
        <f aca="false">IF(CR1390&gt;0,CR1390*MAX(1,BA1390/X1390),IF(CA1390=1,IF(BA1390&lt;=0,0,CE1390*MAX(1,IF(H1390&gt;0,BA1390/H1390,1))),IF(R1390&gt;0,BB1390/R1390,0))/MAX(0.1,N(Parameter!$M$21)))</f>
        <v>0.25</v>
      </c>
      <c r="BD1390" s="62" t="n">
        <f aca="false">BC1390*CC1390</f>
        <v>58.75</v>
      </c>
      <c r="BE1390" s="63" t="n">
        <f aca="false">IF(LEFT(Cockpit!$O$5,1)="A",H1390,IF(CI1390=1,(CL1390+CJ1390)/2,IF(LEFT(Cockpit!$O$5,1)="B",(CL1390+BG1390)/2,MAX((CL1390+BG1390)/2,H1390))))</f>
        <v>14</v>
      </c>
      <c r="BF1390" s="62" t="n">
        <f aca="false">BE1390*G1390</f>
        <v>2281.72</v>
      </c>
      <c r="BG1390" s="62" t="n">
        <f aca="false">ROUNDUP(CL1390+MAX(CM1390,2*(J1390/IF(CH1390&gt;0,CH1390,MAX(0.1,N(Cockpit!$O$6)))-CL1390)),0)</f>
        <v>24</v>
      </c>
      <c r="BH1390" s="63" t="n">
        <f aca="false">IF(BD1390&gt;0,J1390/BD1390,-1)</f>
        <v>0.54468085106383</v>
      </c>
      <c r="BI1390" s="63" t="n">
        <f aca="false">IF(AND(OR(CG1390="L1",CG1390="L23",CG1390="LIFT"),BD1390&gt;0),SUMIFS($BD$7:$BD$1843,$CG$7:$CG$1843,CG1390,$BH$7:$BH$1843,"&gt;"&amp;BH1390)+SUMIFS($BD$7:$BD$1843,$CG$7:$CG$1843,CG1390,$BH$7:$BH$1843,BH1390,$BX$7:$BX$1843,"&lt;="&amp;BX1390),"")</f>
        <v>10148.4555860806</v>
      </c>
      <c r="BJ1390" s="70" t="n">
        <f aca="false">IF(BI1390="",0,MAX(0,MIN(1,(IF(CG1390="L1",Parameter!$H$5,IF(CG1390="L23",Parameter!$H$6+Parameter!$H$7,Parameter!$H$5+Parameter!$H$6+Parameter!$H$7))-(BI1390-BD1390))/BD1390)))</f>
        <v>1</v>
      </c>
      <c r="BK1390" s="60" t="str">
        <f aca="false">IF(AJ1390&lt;=0,"",IF(CG1390="Aussen","Aussenlager",IF(CG1390="-","Nicht im Lift",IF(AP1390&gt;=1,"Lift",IF(AP1390&lt;=0,"Aussenlager","teilweise")))))</f>
        <v>Lift</v>
      </c>
      <c r="BL1390" s="60" t="str">
        <f aca="false">IF(AT1390&lt;=0,"",IF(CG1390="Aussen","Aussenlager",IF(CG1390="-","Nicht im Lift",IF(AZ1390&gt;=1,"Lift",IF(AZ1390&lt;=0,"Aussenlager","teilweise")))))</f>
        <v>Lift</v>
      </c>
      <c r="BM1390" s="60" t="str">
        <f aca="false">IF(BD1390&lt;=0,"",IF(CG1390="Aussen","Aussenlager",IF(CG1390="-","Nicht im Lift",IF(BJ1390&gt;=1,"Lift",IF(BJ1390&lt;=0,"Aussenlager","teilweise")))))</f>
        <v>Lift</v>
      </c>
      <c r="BN1390" s="60" t="str">
        <f aca="false">IF(A1390="","",IF(BW1390=1,"Neu; ","")&amp;IF(AND(BW1390=0,BR1390&lt;0),"negativer Bestand (Export "&amp;BR1390&amp;"); ","")&amp;IF(J1390&lt;=0,"Kein Verbrauch; ","")&amp;IF(CR1390&gt;0,"Lift "&amp;W1390&amp;" lt. Liftbericht (Fach "&amp;X1390&amp;" Stk); ",IF(CB1390=1,"Gebinde geschätzt ("&amp;T1390&amp;"); ",IF(CA1390=1,"Lose – Tablare geschätzt; ","")))&amp;IF(H1390&gt;AW1390,"Überbestand "&amp;ROUND(H1390-AW1390,0)&amp;" Stk / CHF "&amp;ROUND((H1390-AW1390)*G1390,0)&amp;"; ","")&amp;IF(AND(CI1390=1,CJ1390&lt;CK1390),"MAX &lt; MB+LG; ","")&amp;IF(AND(CQ1390&gt;0,CP1390*10&gt;CQ1390),"zu hoch für Tablar; ","")&amp;IF(AND(BW1390=0,OR(CI1390=1,AB1390&lt;&gt;"",U1390&lt;&gt;"",V1390&lt;&gt;"",AC1390&lt;&gt;"")),"manuell übersteuert; ","")&amp;IF(AND(CA1390=0,R1390=0),"Gebinde unbekannt / Stellmass fehlt; ","")&amp;IF(AND(CA1390=0,N(V1390)&lt;=0,N(Q1390)&lt;=0),"Menge pro Gebinde fehlt (Ist = 1 Gebinde); ","")&amp;BV1390)</f>
        <v>negativer Bestand (Export -22); grosser Artikel &amp; nicht im KTL</v>
      </c>
      <c r="BO1390" s="60"/>
      <c r="BP1390" s="60"/>
      <c r="BQ1390" s="67"/>
      <c r="BR1390" s="62" t="n">
        <v>-22</v>
      </c>
      <c r="BS1390" s="62" t="n">
        <v>29</v>
      </c>
      <c r="BT1390" s="61" t="n">
        <v>-3422.29</v>
      </c>
      <c r="BU1390" s="62" t="n">
        <v>32</v>
      </c>
      <c r="BV1390" s="60" t="s">
        <v>303</v>
      </c>
      <c r="BW1390" s="65" t="n">
        <v>0</v>
      </c>
      <c r="BX1390" s="65" t="n">
        <v>1390</v>
      </c>
      <c r="BY1390" s="60" t="str">
        <f aca="false">IF(U1390&lt;&gt;"",UPPER(TRIM(U1390)),IF(CB1390=1,UPPER(VLOOKUP(T1390,Parameter!$I$27:$K$29,2,0)),IF(P1390="","LOSE",P1390)))</f>
        <v>S81</v>
      </c>
      <c r="BZ1390" s="62" t="n">
        <f aca="false">IF(BY1390="LOSE",1,IF(N(V1390)&gt;0,V1390,IF(CB1390=1,MAX(1,N(VLOOKUP(T1390,Parameter!$I$27:$K$29,3,0)),H1390,N(N1390)),IF(N(Q1390)&gt;0,Q1390,MAX(1,H1390)))))</f>
        <v>17</v>
      </c>
      <c r="CA1390" s="65" t="n">
        <f aca="false">IF(BY1390="LOSE",1,0)</f>
        <v>0</v>
      </c>
      <c r="CB1390" s="65" t="n">
        <f aca="false">IF(AND(U1390="",OR(P1390="",P1390="LOSE"),T1390&lt;&gt;"",N(S1390)&lt;=0,ISNUMBER(MATCH(T1390,Parameter!$I$27:$I$29,0))),1,0)</f>
        <v>0</v>
      </c>
      <c r="CC1390" s="65" t="n">
        <f aca="false">IF(CR1390&gt;0,INDEX(Parameter!$H$5:$H$7,W1390)/INDEX(Parameter!$E$5:$E$7,W1390),IF(AND(CA1390=0,N(IFERROR(VLOOKUP(BY1390,'Gebinde-Kategorie'!$A$5:$N$45,14,0),0))&gt;0),VLOOKUP(BY1390,'Gebinde-Kategorie'!$A$5:$N$45,14,0)*10+Parameter!$M$23,Parameter!$M$24))</f>
        <v>235</v>
      </c>
      <c r="CD1390" s="60" t="str">
        <f aca="false">IF(AND(Parameter!$B$19="Ja",E1390&lt;&gt;"",ISNUMBER(MATCH(E1390,Parameter!$I$35:$I$52,0))),VLOOKUP(E1390,Parameter!$I$35:$J$52,2,0),IFERROR(VLOOKUP(D1390,Parameter!$A$35:$C$64,2,0),"Nein"))</f>
        <v>2+3</v>
      </c>
      <c r="CE1390" s="64" t="n">
        <f aca="false">IF(CA1390=0,0,IF(N(S1390)&gt;0,S1390,IFERROR(VLOOKUP(D1390,Parameter!$A$35:$C$64,3,0)+0,0)))</f>
        <v>0</v>
      </c>
      <c r="CF1390" s="60" t="n">
        <f aca="false">IF(AB1390&lt;&gt;"",AB1390,AA1390)</f>
        <v>2</v>
      </c>
      <c r="CG1390" s="60" t="str">
        <f aca="false">IF(OR(CF1390=1,CF1390=2,CF1390=3),IF(Parameter!$E$27="Ja","LIFT",IF(CF1390=1,"L1","L23")),IF(CF1390="Aussen","Aussen","-"))</f>
        <v>LIFT</v>
      </c>
      <c r="CH1390" s="71" t="n">
        <f aca="false">IF(N(AC1390)&gt;0,AC1390,0)</f>
        <v>0</v>
      </c>
      <c r="CI1390" s="65" t="n">
        <f aca="false">IF(ISNUMBER(AF1390),1,0)</f>
        <v>0</v>
      </c>
      <c r="CJ1390" s="62" t="n">
        <f aca="false">N(AF1390)</f>
        <v>0</v>
      </c>
      <c r="CK1390" s="62" t="n">
        <f aca="false">N(M1390)+N(N1390)</f>
        <v>24</v>
      </c>
      <c r="CL1390" s="62" t="n">
        <f aca="false">N(M1390)</f>
        <v>4</v>
      </c>
      <c r="CM1390" s="62" t="n">
        <f aca="false">N(N1390)</f>
        <v>20</v>
      </c>
      <c r="CN1390" s="62" t="n">
        <f aca="false">ROUNDUP(H1390/BZ1390,0)</f>
        <v>1</v>
      </c>
      <c r="CO1390" s="62" t="n">
        <f aca="false">ROUNDUP(CJ1390/BZ1390,0)</f>
        <v>0</v>
      </c>
      <c r="CP1390" s="65" t="n">
        <f aca="false">IF(CA1390=1,0,IFERROR(VLOOKUP(BY1390,'Gebinde-Kategorie'!$A$5:$N$45,5,0)+0,0))</f>
        <v>20</v>
      </c>
      <c r="CQ1390" s="65" t="n">
        <f aca="false">IFERROR(IF(OR(CF1390=1,CF1390=2,CF1390=3),N(INDEX(Parameter!$I$5:$I$7,CF1390)),0),0)</f>
        <v>0</v>
      </c>
      <c r="CR1390" s="64" t="n">
        <f aca="false">IF(AND(Parameter!$B$21="Ja",ISNUMBER(W1390),N(X1390)&gt;0),IFERROR(N(INDEX(Parameter!$L$5:$L$7,W1390))*INDEX(Parameter!$E$5:$E$7,W1390)*X1390/SUMIFS($X$7:$X$1843,$W$7:$W$1843,W1390),0),0)</f>
        <v>0</v>
      </c>
      <c r="CS1390" s="62" t="n">
        <f aca="false">IF(AND(OR(CG1390="L1",CG1390="L23",CG1390="LIFT"),H1390&gt;0),CC1390*IF(CR1390&gt;0,CR1390*MAX(1,H1390/X1390),IF(CA1390=1,CE1390,IF(R1390&gt;0,CN1390/R1390,0))/MAX(0.1,N(Parameter!$M$21))),"")</f>
        <v>58.75</v>
      </c>
      <c r="CT1390" s="64" t="n">
        <f aca="false">IF(CS1390="","",J1390/H1390)</f>
        <v>4.57142857142857</v>
      </c>
      <c r="CU1390" s="62" t="n">
        <f aca="false">IF(CS1390="","",H1390*G1390)</f>
        <v>1140.86</v>
      </c>
      <c r="CV1390" s="63" t="n">
        <f aca="false">IF(CS1390="","",(CL1390+ROUNDUP(CL1390+MAX(CM1390,2*(J1390/MAX(0.1,N(Einkauf!$C$6))-CL1390)),0))/2)</f>
        <v>14</v>
      </c>
      <c r="CW1390" s="62" t="n">
        <f aca="false">IF(CS1390="","",MAX(0,H1390-CV1390)*G1390)</f>
        <v>0</v>
      </c>
      <c r="CX1390" s="62" t="n">
        <f aca="false">IF(CS1390="","",CS1390*MAX(0,1-CV1390/H1390))</f>
        <v>0</v>
      </c>
      <c r="CY1390" s="64" t="n">
        <f aca="false">IF(CS1390="","",PERCENTRANK($CS$7:$CS$1843,CS1390)+PERCENTRANK($CU$7:$CU$1843,CU1390)+1-PERCENTRANK($CT$7:$CT$1843,CT1390))</f>
        <v>1.638</v>
      </c>
      <c r="CZ1390" s="72" t="n">
        <f aca="false">IF(CS1390="","",CHOOSE(MATCH(Einkauf!$C$5,Parameter!$G$23:$G$27,0),CY1390,CS1390,CU1390,-CT1390,CW1390)+ROW()/1000000000)</f>
        <v>1.63800139</v>
      </c>
    </row>
    <row r="1391" customFormat="false" ht="15" hidden="false" customHeight="false" outlineLevel="0" collapsed="false">
      <c r="A1391" s="60" t="s">
        <v>2487</v>
      </c>
      <c r="B1391" s="60" t="s">
        <v>2488</v>
      </c>
      <c r="C1391" s="60" t="s">
        <v>498</v>
      </c>
      <c r="D1391" s="60" t="s">
        <v>215</v>
      </c>
      <c r="E1391" s="60"/>
      <c r="F1391" s="60" t="s">
        <v>260</v>
      </c>
      <c r="G1391" s="61" t="n">
        <v>699.72</v>
      </c>
      <c r="H1391" s="62" t="n">
        <f aca="false">MAX(0,IF(AND(Parameter!$B$21="Ja",ISNUMBER(Y1391)),Y1391,IF(Parameter!$B$20="Jahresanfang 2025 + Export",BS1391+BR1391,BR1391)))</f>
        <v>0</v>
      </c>
      <c r="I1391" s="62" t="n">
        <f aca="false">H1391*G1391</f>
        <v>0</v>
      </c>
      <c r="J1391" s="62" t="n">
        <f aca="false">BU1391*Parameter!$B$18</f>
        <v>17</v>
      </c>
      <c r="K1391" s="63" t="n">
        <v>5</v>
      </c>
      <c r="L1391" s="64" t="n">
        <v>3.4</v>
      </c>
      <c r="M1391" s="62" t="n">
        <v>0</v>
      </c>
      <c r="N1391" s="62" t="n">
        <v>5</v>
      </c>
      <c r="O1391" s="65" t="n">
        <v>63</v>
      </c>
      <c r="P1391" s="60" t="s">
        <v>210</v>
      </c>
      <c r="Q1391" s="62"/>
      <c r="R1391" s="65" t="n">
        <f aca="false">IF(CA1391=1,0,IFERROR(VLOOKUP(BY1391,'Gebinde-Kategorie'!$A$5:$N$45,13,0)+0,0))</f>
        <v>12</v>
      </c>
      <c r="S1391" s="66"/>
      <c r="T1391" s="67" t="s">
        <v>221</v>
      </c>
      <c r="U1391" s="67"/>
      <c r="V1391" s="67"/>
      <c r="W1391" s="60"/>
      <c r="X1391" s="62"/>
      <c r="Y1391" s="62"/>
      <c r="Z1391" s="60" t="n">
        <v>3</v>
      </c>
      <c r="AA1391" s="60" t="n">
        <f aca="false">IF(A1391="","",IF(AND(Parameter!$B$21="Ja",ISNUMBER(W1391)),W1391,IF(AND(Parameter!$E$27="Ja",ISNUMBER(Z1391),CD1391&lt;&gt;"Nein"),Z1391,IF(CD1391="2+3",IF(ISNUMBER(SEARCH("grosser Artikel",BV1391)),2,IFERROR(VLOOKUP(BY1391,Parameter!$F$35:$G$64,2,0),2)),IF(OR(CD1391="Nein",CD1391=""),"-",CD1391)))))</f>
        <v>3</v>
      </c>
      <c r="AB1391" s="67"/>
      <c r="AC1391" s="68"/>
      <c r="AD1391" s="62" t="n">
        <f aca="false">AW1391</f>
        <v>12</v>
      </c>
      <c r="AE1391" s="62" t="n">
        <f aca="false">MAX(AW1391,H1391)</f>
        <v>12</v>
      </c>
      <c r="AF1391" s="69"/>
      <c r="AG1391" s="62" t="n">
        <f aca="false">IF(LEFT(Cockpit!$C$5,1)="A",H1391,IF(Parameter!$E$30="MAX-Bestand",IF(CI1391=1,CJ1391,IF(LEFT(Cockpit!$C$5,1)="B",AM1391,MAX(AM1391,H1391))),ROUNDUP(AK1391,0)))</f>
        <v>0</v>
      </c>
      <c r="AH1391" s="62" t="n">
        <f aca="false">IF(CA1391=1,0,ROUNDUP(AG1391/BZ1391,0))</f>
        <v>0</v>
      </c>
      <c r="AI1391" s="64" t="n">
        <f aca="false">IF(CR1391&gt;0,CR1391*MAX(1,AG1391/X1391),IF(CA1391=1,IF(AG1391&lt;=0,0,CE1391*MAX(1,IF(H1391&gt;0,AG1391/H1391,1))),IF(R1391&gt;0,AH1391/R1391,0))/MAX(0.1,N(Parameter!$M$21)))</f>
        <v>0</v>
      </c>
      <c r="AJ1391" s="62" t="n">
        <f aca="false">AI1391*CC1391</f>
        <v>0</v>
      </c>
      <c r="AK1391" s="63" t="n">
        <f aca="false">IF(LEFT(Cockpit!$C$5,1)="A",H1391,IF(CI1391=1,(CL1391+CJ1391)/2,IF(LEFT(Cockpit!$C$5,1)="B",(CL1391+AM1391)/2,MAX((CL1391+AM1391)/2,H1391))))</f>
        <v>0</v>
      </c>
      <c r="AL1391" s="62" t="n">
        <f aca="false">AK1391*G1391</f>
        <v>0</v>
      </c>
      <c r="AM1391" s="62" t="n">
        <f aca="false">ROUNDUP(CL1391+MAX(CM1391,2*(J1391/IF(CH1391&gt;0,CH1391,MAX(0.1,N(Cockpit!$C$6)))-CL1391)),0)</f>
        <v>12</v>
      </c>
      <c r="AN1391" s="63" t="n">
        <f aca="false">IF(AJ1391&gt;0,J1391/AJ1391,-1)</f>
        <v>-1</v>
      </c>
      <c r="AO1391" s="63" t="str">
        <f aca="false">IF(AND(OR(CG1391="L1",CG1391="L23",CG1391="LIFT"),AJ1391&gt;0),SUMIFS($AJ$7:$AJ$1843,$CG$7:$CG$1843,CG1391,$AN$7:$AN$1843,"&gt;"&amp;AN1391)+SUMIFS($AJ$7:$AJ$1843,$CG$7:$CG$1843,CG1391,$AN$7:$AN$1843,AN1391,$BX$7:$BX$1843,"&lt;="&amp;BX1391),"")</f>
        <v/>
      </c>
      <c r="AP1391" s="70" t="n">
        <f aca="false">IF(AO1391="",0,MAX(0,MIN(1,(IF(CG1391="L1",Parameter!$H$5,IF(CG1391="L23",Parameter!$H$6+Parameter!$H$7,Parameter!$H$5+Parameter!$H$6+Parameter!$H$7))-(AO1391-AJ1391))/AJ1391)))</f>
        <v>0</v>
      </c>
      <c r="AQ1391" s="62" t="n">
        <f aca="false">IF(LEFT(Cockpit!$I$5,1)="A",H1391,IF(Parameter!$E$30="MAX-Bestand",IF(CI1391=1,CJ1391,IF(LEFT(Cockpit!$I$5,1)="B",AW1391,MAX(AW1391,H1391))),ROUNDUP(AU1391,0)))</f>
        <v>6</v>
      </c>
      <c r="AR1391" s="62" t="n">
        <f aca="false">IF(CA1391=1,0,ROUNDUP(AQ1391/BZ1391,0))</f>
        <v>2</v>
      </c>
      <c r="AS1391" s="64" t="n">
        <f aca="false">IF(CR1391&gt;0,CR1391*MAX(1,AQ1391/X1391),IF(CA1391=1,IF(AQ1391&lt;=0,0,CE1391*MAX(1,IF(H1391&gt;0,AQ1391/H1391,1))),IF(R1391&gt;0,AR1391/R1391,0))/MAX(0.1,N(Parameter!$M$21)))</f>
        <v>0.166666666666667</v>
      </c>
      <c r="AT1391" s="62" t="n">
        <f aca="false">AS1391*CC1391</f>
        <v>24.1666666666667</v>
      </c>
      <c r="AU1391" s="63" t="n">
        <f aca="false">IF(LEFT(Cockpit!$I$5,1)="A",H1391,IF(CI1391=1,(CL1391+CJ1391)/2,IF(LEFT(Cockpit!$I$5,1)="B",(CL1391+AW1391)/2,MAX((CL1391+AW1391)/2,H1391))))</f>
        <v>6</v>
      </c>
      <c r="AV1391" s="62" t="n">
        <f aca="false">AU1391*G1391</f>
        <v>4198.32</v>
      </c>
      <c r="AW1391" s="62" t="n">
        <f aca="false">ROUNDUP(CL1391+MAX(CM1391,2*(J1391/IF(CH1391&gt;0,CH1391,MAX(0.1,N(Cockpit!$I$6)))-CL1391)),0)</f>
        <v>12</v>
      </c>
      <c r="AX1391" s="63" t="n">
        <f aca="false">IF(AT1391&gt;0,J1391/AT1391,-1)</f>
        <v>0.703448275862069</v>
      </c>
      <c r="AY1391" s="63" t="n">
        <f aca="false">IF(AND(OR(CG1391="L1",CG1391="L23",CG1391="LIFT"),AT1391&gt;0),SUMIFS($AT$7:$AT$1843,$CG$7:$CG$1843,CG1391,$AX$7:$AX$1843,"&gt;"&amp;AX1391)+SUMIFS($AT$7:$AT$1843,$CG$7:$CG$1843,CG1391,$AX$7:$AX$1843,AX1391,$BX$7:$BX$1843,"&lt;="&amp;BX1391),"")</f>
        <v>10739.6547619048</v>
      </c>
      <c r="AZ1391" s="70" t="n">
        <f aca="false">IF(AY1391="",0,MAX(0,MIN(1,(IF(CG1391="L1",Parameter!$H$5,IF(CG1391="L23",Parameter!$H$6+Parameter!$H$7,Parameter!$H$5+Parameter!$H$6+Parameter!$H$7))-(AY1391-AT1391))/AT1391)))</f>
        <v>1</v>
      </c>
      <c r="BA1391" s="62" t="n">
        <f aca="false">IF(LEFT(Cockpit!$O$5,1)="A",H1391,IF(Parameter!$E$30="MAX-Bestand",IF(CI1391=1,CJ1391,IF(LEFT(Cockpit!$O$5,1)="B",BG1391,MAX(BG1391,H1391))),ROUNDUP(BE1391,0)))</f>
        <v>5</v>
      </c>
      <c r="BB1391" s="62" t="n">
        <f aca="false">IF(CA1391=1,0,ROUNDUP(BA1391/BZ1391,0))</f>
        <v>1</v>
      </c>
      <c r="BC1391" s="64" t="n">
        <f aca="false">IF(CR1391&gt;0,CR1391*MAX(1,BA1391/X1391),IF(CA1391=1,IF(BA1391&lt;=0,0,CE1391*MAX(1,IF(H1391&gt;0,BA1391/H1391,1))),IF(R1391&gt;0,BB1391/R1391,0))/MAX(0.1,N(Parameter!$M$21)))</f>
        <v>0.0833333333333333</v>
      </c>
      <c r="BD1391" s="62" t="n">
        <f aca="false">BC1391*CC1391</f>
        <v>12.0833333333333</v>
      </c>
      <c r="BE1391" s="63" t="n">
        <f aca="false">IF(LEFT(Cockpit!$O$5,1)="A",H1391,IF(CI1391=1,(CL1391+CJ1391)/2,IF(LEFT(Cockpit!$O$5,1)="B",(CL1391+BG1391)/2,MAX((CL1391+BG1391)/2,H1391))))</f>
        <v>4.5</v>
      </c>
      <c r="BF1391" s="62" t="n">
        <f aca="false">BE1391*G1391</f>
        <v>3148.74</v>
      </c>
      <c r="BG1391" s="62" t="n">
        <f aca="false">ROUNDUP(CL1391+MAX(CM1391,2*(J1391/IF(CH1391&gt;0,CH1391,MAX(0.1,N(Cockpit!$O$6)))-CL1391)),0)</f>
        <v>9</v>
      </c>
      <c r="BH1391" s="63" t="n">
        <f aca="false">IF(BD1391&gt;0,J1391/BD1391,-1)</f>
        <v>1.40689655172414</v>
      </c>
      <c r="BI1391" s="63" t="n">
        <f aca="false">IF(AND(OR(CG1391="L1",CG1391="L23",CG1391="LIFT"),BD1391&gt;0),SUMIFS($BD$7:$BD$1843,$CG$7:$CG$1843,CG1391,$BH$7:$BH$1843,"&gt;"&amp;BH1391)+SUMIFS($BD$7:$BD$1843,$CG$7:$CG$1843,CG1391,$BH$7:$BH$1843,BH1391,$BX$7:$BX$1843,"&lt;="&amp;BX1391),"")</f>
        <v>6662.67536630037</v>
      </c>
      <c r="BJ1391" s="70" t="n">
        <f aca="false">IF(BI1391="",0,MAX(0,MIN(1,(IF(CG1391="L1",Parameter!$H$5,IF(CG1391="L23",Parameter!$H$6+Parameter!$H$7,Parameter!$H$5+Parameter!$H$6+Parameter!$H$7))-(BI1391-BD1391))/BD1391)))</f>
        <v>1</v>
      </c>
      <c r="BK1391" s="60" t="str">
        <f aca="false">IF(AJ1391&lt;=0,"",IF(CG1391="Aussen","Aussenlager",IF(CG1391="-","Nicht im Lift",IF(AP1391&gt;=1,"Lift",IF(AP1391&lt;=0,"Aussenlager","teilweise")))))</f>
        <v/>
      </c>
      <c r="BL1391" s="60" t="str">
        <f aca="false">IF(AT1391&lt;=0,"",IF(CG1391="Aussen","Aussenlager",IF(CG1391="-","Nicht im Lift",IF(AZ1391&gt;=1,"Lift",IF(AZ1391&lt;=0,"Aussenlager","teilweise")))))</f>
        <v>Lift</v>
      </c>
      <c r="BM1391" s="60" t="str">
        <f aca="false">IF(BD1391&lt;=0,"",IF(CG1391="Aussen","Aussenlager",IF(CG1391="-","Nicht im Lift",IF(BJ1391&gt;=1,"Lift",IF(BJ1391&lt;=0,"Aussenlager","teilweise")))))</f>
        <v>Lift</v>
      </c>
      <c r="BN1391" s="60" t="str">
        <f aca="false">IF(A1391="","",IF(BW1391=1,"Neu; ","")&amp;IF(AND(BW1391=0,BR1391&lt;0),"negativer Bestand (Export "&amp;BR1391&amp;"); ","")&amp;IF(J1391&lt;=0,"Kein Verbrauch; ","")&amp;IF(CR1391&gt;0,"Lift "&amp;W1391&amp;" lt. Liftbericht (Fach "&amp;X1391&amp;" Stk); ",IF(CB1391=1,"Gebinde geschätzt ("&amp;T1391&amp;"); ",IF(CA1391=1,"Lose – Tablare geschätzt; ","")))&amp;IF(H1391&gt;AW1391,"Überbestand "&amp;ROUND(H1391-AW1391,0)&amp;" Stk / CHF "&amp;ROUND((H1391-AW1391)*G1391,0)&amp;"; ","")&amp;IF(AND(CI1391=1,CJ1391&lt;CK1391),"MAX &lt; MB+LG; ","")&amp;IF(AND(CQ1391&gt;0,CP1391*10&gt;CQ1391),"zu hoch für Tablar; ","")&amp;IF(AND(BW1391=0,OR(CI1391=1,AB1391&lt;&gt;"",U1391&lt;&gt;"",V1391&lt;&gt;"",AC1391&lt;&gt;"")),"manuell übersteuert; ","")&amp;IF(AND(CA1391=0,R1391=0),"Gebinde unbekannt / Stellmass fehlt; ","")&amp;IF(AND(CA1391=0,N(V1391)&lt;=0,N(Q1391)&lt;=0),"Menge pro Gebinde fehlt (Ist = 1 Gebinde); ","")&amp;BV1391)</f>
        <v>negativer Bestand (Export -5); Gebinde geschätzt (Mittel); Menge pro Gebinde fehlt (Ist = 1 Gebinde); </v>
      </c>
      <c r="BO1391" s="60"/>
      <c r="BP1391" s="60"/>
      <c r="BQ1391" s="67"/>
      <c r="BR1391" s="62" t="n">
        <v>-5</v>
      </c>
      <c r="BS1391" s="62" t="n">
        <v>5</v>
      </c>
      <c r="BT1391" s="61" t="n">
        <v>-3532</v>
      </c>
      <c r="BU1391" s="62" t="n">
        <v>17</v>
      </c>
      <c r="BV1391" s="60"/>
      <c r="BW1391" s="65" t="n">
        <v>0</v>
      </c>
      <c r="BX1391" s="65" t="n">
        <v>1391</v>
      </c>
      <c r="BY1391" s="60" t="str">
        <f aca="false">IF(U1391&lt;&gt;"",UPPER(TRIM(U1391)),IF(CB1391=1,UPPER(VLOOKUP(T1391,Parameter!$I$27:$K$29,2,0)),IF(P1391="","LOSE",P1391)))</f>
        <v>S61</v>
      </c>
      <c r="BZ1391" s="62" t="n">
        <f aca="false">IF(BY1391="LOSE",1,IF(N(V1391)&gt;0,V1391,IF(CB1391=1,MAX(1,N(VLOOKUP(T1391,Parameter!$I$27:$K$29,3,0)),H1391,N(N1391)),IF(N(Q1391)&gt;0,Q1391,MAX(1,H1391)))))</f>
        <v>5</v>
      </c>
      <c r="CA1391" s="65" t="n">
        <f aca="false">IF(BY1391="LOSE",1,0)</f>
        <v>0</v>
      </c>
      <c r="CB1391" s="65" t="n">
        <f aca="false">IF(AND(U1391="",OR(P1391="",P1391="LOSE"),T1391&lt;&gt;"",N(S1391)&lt;=0,ISNUMBER(MATCH(T1391,Parameter!$I$27:$I$29,0))),1,0)</f>
        <v>1</v>
      </c>
      <c r="CC1391" s="65" t="n">
        <f aca="false">IF(CR1391&gt;0,INDEX(Parameter!$H$5:$H$7,W1391)/INDEX(Parameter!$E$5:$E$7,W1391),IF(AND(CA1391=0,N(IFERROR(VLOOKUP(BY1391,'Gebinde-Kategorie'!$A$5:$N$45,14,0),0))&gt;0),VLOOKUP(BY1391,'Gebinde-Kategorie'!$A$5:$N$45,14,0)*10+Parameter!$M$23,Parameter!$M$24))</f>
        <v>145</v>
      </c>
      <c r="CD1391" s="60" t="str">
        <f aca="false">IF(AND(Parameter!$B$19="Ja",E1391&lt;&gt;"",ISNUMBER(MATCH(E1391,Parameter!$I$35:$I$52,0))),VLOOKUP(E1391,Parameter!$I$35:$J$52,2,0),IFERROR(VLOOKUP(D1391,Parameter!$A$35:$C$64,2,0),"Nein"))</f>
        <v>2+3</v>
      </c>
      <c r="CE1391" s="64" t="n">
        <f aca="false">IF(CA1391=0,0,IF(N(S1391)&gt;0,S1391,IFERROR(VLOOKUP(D1391,Parameter!$A$35:$C$64,3,0)+0,0)))</f>
        <v>0</v>
      </c>
      <c r="CF1391" s="60" t="n">
        <f aca="false">IF(AB1391&lt;&gt;"",AB1391,AA1391)</f>
        <v>3</v>
      </c>
      <c r="CG1391" s="60" t="str">
        <f aca="false">IF(OR(CF1391=1,CF1391=2,CF1391=3),IF(Parameter!$E$27="Ja","LIFT",IF(CF1391=1,"L1","L23")),IF(CF1391="Aussen","Aussen","-"))</f>
        <v>LIFT</v>
      </c>
      <c r="CH1391" s="71" t="n">
        <f aca="false">IF(N(AC1391)&gt;0,AC1391,0)</f>
        <v>0</v>
      </c>
      <c r="CI1391" s="65" t="n">
        <f aca="false">IF(ISNUMBER(AF1391),1,0)</f>
        <v>0</v>
      </c>
      <c r="CJ1391" s="62" t="n">
        <f aca="false">N(AF1391)</f>
        <v>0</v>
      </c>
      <c r="CK1391" s="62" t="n">
        <f aca="false">N(M1391)+N(N1391)</f>
        <v>5</v>
      </c>
      <c r="CL1391" s="62" t="n">
        <f aca="false">N(M1391)</f>
        <v>0</v>
      </c>
      <c r="CM1391" s="62" t="n">
        <f aca="false">N(N1391)</f>
        <v>5</v>
      </c>
      <c r="CN1391" s="62" t="n">
        <f aca="false">ROUNDUP(H1391/BZ1391,0)</f>
        <v>0</v>
      </c>
      <c r="CO1391" s="62" t="n">
        <f aca="false">ROUNDUP(CJ1391/BZ1391,0)</f>
        <v>0</v>
      </c>
      <c r="CP1391" s="65" t="n">
        <f aca="false">IF(CA1391=1,0,IFERROR(VLOOKUP(BY1391,'Gebinde-Kategorie'!$A$5:$N$45,5,0)+0,0))</f>
        <v>11</v>
      </c>
      <c r="CQ1391" s="65" t="n">
        <f aca="false">IFERROR(IF(OR(CF1391=1,CF1391=2,CF1391=3),N(INDEX(Parameter!$I$5:$I$7,CF1391)),0),0)</f>
        <v>0</v>
      </c>
      <c r="CR1391" s="64" t="n">
        <f aca="false">IF(AND(Parameter!$B$21="Ja",ISNUMBER(W1391),N(X1391)&gt;0),IFERROR(N(INDEX(Parameter!$L$5:$L$7,W1391))*INDEX(Parameter!$E$5:$E$7,W1391)*X1391/SUMIFS($X$7:$X$1843,$W$7:$W$1843,W1391),0),0)</f>
        <v>0</v>
      </c>
      <c r="CS1391" s="62" t="str">
        <f aca="false">IF(AND(OR(CG1391="L1",CG1391="L23",CG1391="LIFT"),H1391&gt;0),CC1391*IF(CR1391&gt;0,CR1391*MAX(1,H1391/X1391),IF(CA1391=1,CE1391,IF(R1391&gt;0,CN1391/R1391,0))/MAX(0.1,N(Parameter!$M$21))),"")</f>
        <v/>
      </c>
      <c r="CT1391" s="64" t="str">
        <f aca="false">IF(CS1391="","",J1391/H1391)</f>
        <v/>
      </c>
      <c r="CU1391" s="62" t="str">
        <f aca="false">IF(CS1391="","",H1391*G1391)</f>
        <v/>
      </c>
      <c r="CV1391" s="63" t="str">
        <f aca="false">IF(CS1391="","",(CL1391+ROUNDUP(CL1391+MAX(CM1391,2*(J1391/MAX(0.1,N(Einkauf!$C$6))-CL1391)),0))/2)</f>
        <v/>
      </c>
      <c r="CW1391" s="62" t="str">
        <f aca="false">IF(CS1391="","",MAX(0,H1391-CV1391)*G1391)</f>
        <v/>
      </c>
      <c r="CX1391" s="62" t="str">
        <f aca="false">IF(CS1391="","",CS1391*MAX(0,1-CV1391/H1391))</f>
        <v/>
      </c>
      <c r="CY1391" s="64" t="str">
        <f aca="false">IF(CS1391="","",PERCENTRANK($CS$7:$CS$1843,CS1391)+PERCENTRANK($CU$7:$CU$1843,CU1391)+1-PERCENTRANK($CT$7:$CT$1843,CT1391))</f>
        <v/>
      </c>
      <c r="CZ1391" s="72" t="str">
        <f aca="false">IF(CS1391="","",CHOOSE(MATCH(Einkauf!$C$5,Parameter!$G$23:$G$27,0),CY1391,CS1391,CU1391,-CT1391,CW1391)+ROW()/1000000000)</f>
        <v/>
      </c>
    </row>
    <row r="1392" customFormat="false" ht="15" hidden="false" customHeight="false" outlineLevel="0" collapsed="false">
      <c r="A1392" s="60" t="s">
        <v>2489</v>
      </c>
      <c r="B1392" s="60" t="s">
        <v>2047</v>
      </c>
      <c r="C1392" s="60" t="s">
        <v>206</v>
      </c>
      <c r="D1392" s="60" t="s">
        <v>226</v>
      </c>
      <c r="E1392" s="60"/>
      <c r="F1392" s="60" t="s">
        <v>260</v>
      </c>
      <c r="G1392" s="61" t="n">
        <v>101.57</v>
      </c>
      <c r="H1392" s="62" t="n">
        <f aca="false">MAX(0,IF(AND(Parameter!$B$21="Ja",ISNUMBER(Y1392)),Y1392,IF(Parameter!$B$20="Jahresanfang 2025 + Export",BS1392+BR1392,BR1392)))</f>
        <v>16</v>
      </c>
      <c r="I1392" s="62" t="n">
        <f aca="false">H1392*G1392</f>
        <v>1625.12</v>
      </c>
      <c r="J1392" s="62" t="n">
        <f aca="false">BU1392*Parameter!$B$18</f>
        <v>2</v>
      </c>
      <c r="K1392" s="63" t="n">
        <v>54</v>
      </c>
      <c r="L1392" s="64" t="n">
        <v>0.037037037037037</v>
      </c>
      <c r="M1392" s="62" t="n">
        <v>0</v>
      </c>
      <c r="N1392" s="62" t="n">
        <v>1</v>
      </c>
      <c r="O1392" s="65" t="n">
        <v>63</v>
      </c>
      <c r="P1392" s="60" t="s">
        <v>275</v>
      </c>
      <c r="Q1392" s="62" t="n">
        <v>40</v>
      </c>
      <c r="R1392" s="65" t="n">
        <f aca="false">IF(CA1392=1,0,IFERROR(VLOOKUP(BY1392,'Gebinde-Kategorie'!$A$5:$N$45,13,0)+0,0))</f>
        <v>26</v>
      </c>
      <c r="S1392" s="66"/>
      <c r="T1392" s="67"/>
      <c r="U1392" s="67"/>
      <c r="V1392" s="67"/>
      <c r="W1392" s="60"/>
      <c r="X1392" s="62"/>
      <c r="Y1392" s="62"/>
      <c r="Z1392" s="60" t="n">
        <v>3</v>
      </c>
      <c r="AA1392" s="60" t="n">
        <f aca="false">IF(A1392="","",IF(AND(Parameter!$B$21="Ja",ISNUMBER(W1392)),W1392,IF(AND(Parameter!$E$27="Ja",ISNUMBER(Z1392),CD1392&lt;&gt;"Nein"),Z1392,IF(CD1392="2+3",IF(ISNUMBER(SEARCH("grosser Artikel",BV1392)),2,IFERROR(VLOOKUP(BY1392,Parameter!$F$35:$G$64,2,0),2)),IF(OR(CD1392="Nein",CD1392=""),"-",CD1392)))))</f>
        <v>3</v>
      </c>
      <c r="AB1392" s="67"/>
      <c r="AC1392" s="68"/>
      <c r="AD1392" s="62" t="n">
        <f aca="false">AW1392</f>
        <v>2</v>
      </c>
      <c r="AE1392" s="62" t="n">
        <f aca="false">MAX(AW1392,H1392)</f>
        <v>16</v>
      </c>
      <c r="AF1392" s="69"/>
      <c r="AG1392" s="62" t="n">
        <f aca="false">IF(LEFT(Cockpit!$C$5,1)="A",H1392,IF(Parameter!$E$30="MAX-Bestand",IF(CI1392=1,CJ1392,IF(LEFT(Cockpit!$C$5,1)="B",AM1392,MAX(AM1392,H1392))),ROUNDUP(AK1392,0)))</f>
        <v>16</v>
      </c>
      <c r="AH1392" s="62" t="n">
        <f aca="false">IF(CA1392=1,0,ROUNDUP(AG1392/BZ1392,0))</f>
        <v>1</v>
      </c>
      <c r="AI1392" s="64" t="n">
        <f aca="false">IF(CR1392&gt;0,CR1392*MAX(1,AG1392/X1392),IF(CA1392=1,IF(AG1392&lt;=0,0,CE1392*MAX(1,IF(H1392&gt;0,AG1392/H1392,1))),IF(R1392&gt;0,AH1392/R1392,0))/MAX(0.1,N(Parameter!$M$21)))</f>
        <v>0.0384615384615385</v>
      </c>
      <c r="AJ1392" s="62" t="n">
        <f aca="false">AI1392*CC1392</f>
        <v>9.42307692307692</v>
      </c>
      <c r="AK1392" s="63" t="n">
        <f aca="false">IF(LEFT(Cockpit!$C$5,1)="A",H1392,IF(CI1392=1,(CL1392+CJ1392)/2,IF(LEFT(Cockpit!$C$5,1)="B",(CL1392+AM1392)/2,MAX((CL1392+AM1392)/2,H1392))))</f>
        <v>16</v>
      </c>
      <c r="AL1392" s="62" t="n">
        <f aca="false">AK1392*G1392</f>
        <v>1625.12</v>
      </c>
      <c r="AM1392" s="62" t="n">
        <f aca="false">ROUNDUP(CL1392+MAX(CM1392,2*(J1392/IF(CH1392&gt;0,CH1392,MAX(0.1,N(Cockpit!$C$6)))-CL1392)),0)</f>
        <v>2</v>
      </c>
      <c r="AN1392" s="63" t="n">
        <f aca="false">IF(AJ1392&gt;0,J1392/AJ1392,-1)</f>
        <v>0.212244897959184</v>
      </c>
      <c r="AO1392" s="63" t="n">
        <f aca="false">IF(AND(OR(CG1392="L1",CG1392="L23",CG1392="LIFT"),AJ1392&gt;0),SUMIFS($AJ$7:$AJ$1843,$CG$7:$CG$1843,CG1392,$AN$7:$AN$1843,"&gt;"&amp;AN1392)+SUMIFS($AJ$7:$AJ$1843,$CG$7:$CG$1843,CG1392,$AN$7:$AN$1843,AN1392,$BX$7:$BX$1843,"&lt;="&amp;BX1392),"")</f>
        <v>12401.8170541793</v>
      </c>
      <c r="AP1392" s="70" t="n">
        <f aca="false">IF(AO1392="",0,MAX(0,MIN(1,(IF(CG1392="L1",Parameter!$H$5,IF(CG1392="L23",Parameter!$H$6+Parameter!$H$7,Parameter!$H$5+Parameter!$H$6+Parameter!$H$7))-(AO1392-AJ1392))/AJ1392)))</f>
        <v>1</v>
      </c>
      <c r="AQ1392" s="62" t="n">
        <f aca="false">IF(LEFT(Cockpit!$I$5,1)="A",H1392,IF(Parameter!$E$30="MAX-Bestand",IF(CI1392=1,CJ1392,IF(LEFT(Cockpit!$I$5,1)="B",AW1392,MAX(AW1392,H1392))),ROUNDUP(AU1392,0)))</f>
        <v>16</v>
      </c>
      <c r="AR1392" s="62" t="n">
        <f aca="false">IF(CA1392=1,0,ROUNDUP(AQ1392/BZ1392,0))</f>
        <v>1</v>
      </c>
      <c r="AS1392" s="64" t="n">
        <f aca="false">IF(CR1392&gt;0,CR1392*MAX(1,AQ1392/X1392),IF(CA1392=1,IF(AQ1392&lt;=0,0,CE1392*MAX(1,IF(H1392&gt;0,AQ1392/H1392,1))),IF(R1392&gt;0,AR1392/R1392,0))/MAX(0.1,N(Parameter!$M$21)))</f>
        <v>0.0384615384615385</v>
      </c>
      <c r="AT1392" s="62" t="n">
        <f aca="false">AS1392*CC1392</f>
        <v>9.42307692307692</v>
      </c>
      <c r="AU1392" s="63" t="n">
        <f aca="false">IF(LEFT(Cockpit!$I$5,1)="A",H1392,IF(CI1392=1,(CL1392+CJ1392)/2,IF(LEFT(Cockpit!$I$5,1)="B",(CL1392+AW1392)/2,MAX((CL1392+AW1392)/2,H1392))))</f>
        <v>16</v>
      </c>
      <c r="AV1392" s="62" t="n">
        <f aca="false">AU1392*G1392</f>
        <v>1625.12</v>
      </c>
      <c r="AW1392" s="62" t="n">
        <f aca="false">ROUNDUP(CL1392+MAX(CM1392,2*(J1392/IF(CH1392&gt;0,CH1392,MAX(0.1,N(Cockpit!$I$6)))-CL1392)),0)</f>
        <v>2</v>
      </c>
      <c r="AX1392" s="63" t="n">
        <f aca="false">IF(AT1392&gt;0,J1392/AT1392,-1)</f>
        <v>0.212244897959184</v>
      </c>
      <c r="AY1392" s="63" t="n">
        <f aca="false">IF(AND(OR(CG1392="L1",CG1392="L23",CG1392="LIFT"),AT1392&gt;0),SUMIFS($AT$7:$AT$1843,$CG$7:$CG$1843,CG1392,$AX$7:$AX$1843,"&gt;"&amp;AX1392)+SUMIFS($AT$7:$AT$1843,$CG$7:$CG$1843,CG1392,$AX$7:$AX$1843,AX1392,$BX$7:$BX$1843,"&lt;="&amp;BX1392),"")</f>
        <v>15231.0746336996</v>
      </c>
      <c r="AZ1392" s="70" t="n">
        <f aca="false">IF(AY1392="",0,MAX(0,MIN(1,(IF(CG1392="L1",Parameter!$H$5,IF(CG1392="L23",Parameter!$H$6+Parameter!$H$7,Parameter!$H$5+Parameter!$H$6+Parameter!$H$7))-(AY1392-AT1392))/AT1392)))</f>
        <v>1</v>
      </c>
      <c r="BA1392" s="62" t="n">
        <f aca="false">IF(LEFT(Cockpit!$O$5,1)="A",H1392,IF(Parameter!$E$30="MAX-Bestand",IF(CI1392=1,CJ1392,IF(LEFT(Cockpit!$O$5,1)="B",BG1392,MAX(BG1392,H1392))),ROUNDUP(BE1392,0)))</f>
        <v>1</v>
      </c>
      <c r="BB1392" s="62" t="n">
        <f aca="false">IF(CA1392=1,0,ROUNDUP(BA1392/BZ1392,0))</f>
        <v>1</v>
      </c>
      <c r="BC1392" s="64" t="n">
        <f aca="false">IF(CR1392&gt;0,CR1392*MAX(1,BA1392/X1392),IF(CA1392=1,IF(BA1392&lt;=0,0,CE1392*MAX(1,IF(H1392&gt;0,BA1392/H1392,1))),IF(R1392&gt;0,BB1392/R1392,0))/MAX(0.1,N(Parameter!$M$21)))</f>
        <v>0.0384615384615385</v>
      </c>
      <c r="BD1392" s="62" t="n">
        <f aca="false">BC1392*CC1392</f>
        <v>9.42307692307692</v>
      </c>
      <c r="BE1392" s="63" t="n">
        <f aca="false">IF(LEFT(Cockpit!$O$5,1)="A",H1392,IF(CI1392=1,(CL1392+CJ1392)/2,IF(LEFT(Cockpit!$O$5,1)="B",(CL1392+BG1392)/2,MAX((CL1392+BG1392)/2,H1392))))</f>
        <v>0.5</v>
      </c>
      <c r="BF1392" s="62" t="n">
        <f aca="false">BE1392*G1392</f>
        <v>50.785</v>
      </c>
      <c r="BG1392" s="62" t="n">
        <f aca="false">ROUNDUP(CL1392+MAX(CM1392,2*(J1392/IF(CH1392&gt;0,CH1392,MAX(0.1,N(Cockpit!$O$6)))-CL1392)),0)</f>
        <v>1</v>
      </c>
      <c r="BH1392" s="63" t="n">
        <f aca="false">IF(BD1392&gt;0,J1392/BD1392,-1)</f>
        <v>0.212244897959184</v>
      </c>
      <c r="BI1392" s="63" t="n">
        <f aca="false">IF(AND(OR(CG1392="L1",CG1392="L23",CG1392="LIFT"),BD1392&gt;0),SUMIFS($BD$7:$BD$1843,$CG$7:$CG$1843,CG1392,$BH$7:$BH$1843,"&gt;"&amp;BH1392)+SUMIFS($BD$7:$BD$1843,$CG$7:$CG$1843,CG1392,$BH$7:$BH$1843,BH1392,$BX$7:$BX$1843,"&lt;="&amp;BX1392),"")</f>
        <v>12382.7825091575</v>
      </c>
      <c r="BJ1392" s="70" t="n">
        <f aca="false">IF(BI1392="",0,MAX(0,MIN(1,(IF(CG1392="L1",Parameter!$H$5,IF(CG1392="L23",Parameter!$H$6+Parameter!$H$7,Parameter!$H$5+Parameter!$H$6+Parameter!$H$7))-(BI1392-BD1392))/BD1392)))</f>
        <v>1</v>
      </c>
      <c r="BK1392" s="60" t="str">
        <f aca="false">IF(AJ1392&lt;=0,"",IF(CG1392="Aussen","Aussenlager",IF(CG1392="-","Nicht im Lift",IF(AP1392&gt;=1,"Lift",IF(AP1392&lt;=0,"Aussenlager","teilweise")))))</f>
        <v>Lift</v>
      </c>
      <c r="BL1392" s="60" t="str">
        <f aca="false">IF(AT1392&lt;=0,"",IF(CG1392="Aussen","Aussenlager",IF(CG1392="-","Nicht im Lift",IF(AZ1392&gt;=1,"Lift",IF(AZ1392&lt;=0,"Aussenlager","teilweise")))))</f>
        <v>Lift</v>
      </c>
      <c r="BM1392" s="60" t="str">
        <f aca="false">IF(BD1392&lt;=0,"",IF(CG1392="Aussen","Aussenlager",IF(CG1392="-","Nicht im Lift",IF(BJ1392&gt;=1,"Lift",IF(BJ1392&lt;=0,"Aussenlager","teilweise")))))</f>
        <v>Lift</v>
      </c>
      <c r="BN1392" s="60" t="str">
        <f aca="false">IF(A1392="","",IF(BW1392=1,"Neu; ","")&amp;IF(AND(BW1392=0,BR1392&lt;0),"negativer Bestand (Export "&amp;BR1392&amp;"); ","")&amp;IF(J1392&lt;=0,"Kein Verbrauch; ","")&amp;IF(CR1392&gt;0,"Lift "&amp;W1392&amp;" lt. Liftbericht (Fach "&amp;X1392&amp;" Stk); ",IF(CB1392=1,"Gebinde geschätzt ("&amp;T1392&amp;"); ",IF(CA1392=1,"Lose – Tablare geschätzt; ","")))&amp;IF(H1392&gt;AW1392,"Überbestand "&amp;ROUND(H1392-AW1392,0)&amp;" Stk / CHF "&amp;ROUND((H1392-AW1392)*G1392,0)&amp;"; ","")&amp;IF(AND(CI1392=1,CJ1392&lt;CK1392),"MAX &lt; MB+LG; ","")&amp;IF(AND(CQ1392&gt;0,CP1392*10&gt;CQ1392),"zu hoch für Tablar; ","")&amp;IF(AND(BW1392=0,OR(CI1392=1,AB1392&lt;&gt;"",U1392&lt;&gt;"",V1392&lt;&gt;"",AC1392&lt;&gt;"")),"manuell übersteuert; ","")&amp;IF(AND(CA1392=0,R1392=0),"Gebinde unbekannt / Stellmass fehlt; ","")&amp;IF(AND(CA1392=0,N(V1392)&lt;=0,N(Q1392)&lt;=0),"Menge pro Gebinde fehlt (Ist = 1 Gebinde); ","")&amp;BV1392)</f>
        <v>negativer Bestand (Export -35); Überbestand 14 Stk / CHF 1422; i.o</v>
      </c>
      <c r="BO1392" s="60"/>
      <c r="BP1392" s="60"/>
      <c r="BQ1392" s="67"/>
      <c r="BR1392" s="62" t="n">
        <v>-35</v>
      </c>
      <c r="BS1392" s="62" t="n">
        <v>51</v>
      </c>
      <c r="BT1392" s="61" t="n">
        <v>-3554.95</v>
      </c>
      <c r="BU1392" s="62" t="n">
        <v>2</v>
      </c>
      <c r="BV1392" s="60" t="s">
        <v>578</v>
      </c>
      <c r="BW1392" s="65" t="n">
        <v>0</v>
      </c>
      <c r="BX1392" s="65" t="n">
        <v>1392</v>
      </c>
      <c r="BY1392" s="60" t="str">
        <f aca="false">IF(U1392&lt;&gt;"",UPPER(TRIM(U1392)),IF(CB1392=1,UPPER(VLOOKUP(T1392,Parameter!$I$27:$K$29,2,0)),IF(P1392="","LOSE",P1392)))</f>
        <v>S52</v>
      </c>
      <c r="BZ1392" s="62" t="n">
        <f aca="false">IF(BY1392="LOSE",1,IF(N(V1392)&gt;0,V1392,IF(CB1392=1,MAX(1,N(VLOOKUP(T1392,Parameter!$I$27:$K$29,3,0)),H1392,N(N1392)),IF(N(Q1392)&gt;0,Q1392,MAX(1,H1392)))))</f>
        <v>40</v>
      </c>
      <c r="CA1392" s="65" t="n">
        <f aca="false">IF(BY1392="LOSE",1,0)</f>
        <v>0</v>
      </c>
      <c r="CB1392" s="65" t="n">
        <f aca="false">IF(AND(U1392="",OR(P1392="",P1392="LOSE"),T1392&lt;&gt;"",N(S1392)&lt;=0,ISNUMBER(MATCH(T1392,Parameter!$I$27:$I$29,0))),1,0)</f>
        <v>0</v>
      </c>
      <c r="CC1392" s="65" t="n">
        <f aca="false">IF(CR1392&gt;0,INDEX(Parameter!$H$5:$H$7,W1392)/INDEX(Parameter!$E$5:$E$7,W1392),IF(AND(CA1392=0,N(IFERROR(VLOOKUP(BY1392,'Gebinde-Kategorie'!$A$5:$N$45,14,0),0))&gt;0),VLOOKUP(BY1392,'Gebinde-Kategorie'!$A$5:$N$45,14,0)*10+Parameter!$M$23,Parameter!$M$24))</f>
        <v>245</v>
      </c>
      <c r="CD1392" s="60" t="str">
        <f aca="false">IF(AND(Parameter!$B$19="Ja",E1392&lt;&gt;"",ISNUMBER(MATCH(E1392,Parameter!$I$35:$I$52,0))),VLOOKUP(E1392,Parameter!$I$35:$J$52,2,0),IFERROR(VLOOKUP(D1392,Parameter!$A$35:$C$64,2,0),"Nein"))</f>
        <v>2+3</v>
      </c>
      <c r="CE1392" s="64" t="n">
        <f aca="false">IF(CA1392=0,0,IF(N(S1392)&gt;0,S1392,IFERROR(VLOOKUP(D1392,Parameter!$A$35:$C$64,3,0)+0,0)))</f>
        <v>0</v>
      </c>
      <c r="CF1392" s="60" t="n">
        <f aca="false">IF(AB1392&lt;&gt;"",AB1392,AA1392)</f>
        <v>3</v>
      </c>
      <c r="CG1392" s="60" t="str">
        <f aca="false">IF(OR(CF1392=1,CF1392=2,CF1392=3),IF(Parameter!$E$27="Ja","LIFT",IF(CF1392=1,"L1","L23")),IF(CF1392="Aussen","Aussen","-"))</f>
        <v>LIFT</v>
      </c>
      <c r="CH1392" s="71" t="n">
        <f aca="false">IF(N(AC1392)&gt;0,AC1392,0)</f>
        <v>0</v>
      </c>
      <c r="CI1392" s="65" t="n">
        <f aca="false">IF(ISNUMBER(AF1392),1,0)</f>
        <v>0</v>
      </c>
      <c r="CJ1392" s="62" t="n">
        <f aca="false">N(AF1392)</f>
        <v>0</v>
      </c>
      <c r="CK1392" s="62" t="n">
        <f aca="false">N(M1392)+N(N1392)</f>
        <v>1</v>
      </c>
      <c r="CL1392" s="62" t="n">
        <f aca="false">N(M1392)</f>
        <v>0</v>
      </c>
      <c r="CM1392" s="62" t="n">
        <f aca="false">N(N1392)</f>
        <v>1</v>
      </c>
      <c r="CN1392" s="62" t="n">
        <f aca="false">ROUNDUP(H1392/BZ1392,0)</f>
        <v>1</v>
      </c>
      <c r="CO1392" s="62" t="n">
        <f aca="false">ROUNDUP(CJ1392/BZ1392,0)</f>
        <v>0</v>
      </c>
      <c r="CP1392" s="65" t="n">
        <f aca="false">IF(CA1392=1,0,IFERROR(VLOOKUP(BY1392,'Gebinde-Kategorie'!$A$5:$N$45,5,0)+0,0))</f>
        <v>21</v>
      </c>
      <c r="CQ1392" s="65" t="n">
        <f aca="false">IFERROR(IF(OR(CF1392=1,CF1392=2,CF1392=3),N(INDEX(Parameter!$I$5:$I$7,CF1392)),0),0)</f>
        <v>0</v>
      </c>
      <c r="CR1392" s="64" t="n">
        <f aca="false">IF(AND(Parameter!$B$21="Ja",ISNUMBER(W1392),N(X1392)&gt;0),IFERROR(N(INDEX(Parameter!$L$5:$L$7,W1392))*INDEX(Parameter!$E$5:$E$7,W1392)*X1392/SUMIFS($X$7:$X$1843,$W$7:$W$1843,W1392),0),0)</f>
        <v>0</v>
      </c>
      <c r="CS1392" s="62" t="n">
        <f aca="false">IF(AND(OR(CG1392="L1",CG1392="L23",CG1392="LIFT"),H1392&gt;0),CC1392*IF(CR1392&gt;0,CR1392*MAX(1,H1392/X1392),IF(CA1392=1,CE1392,IF(R1392&gt;0,CN1392/R1392,0))/MAX(0.1,N(Parameter!$M$21))),"")</f>
        <v>9.42307692307692</v>
      </c>
      <c r="CT1392" s="64" t="n">
        <f aca="false">IF(CS1392="","",J1392/H1392)</f>
        <v>0.125</v>
      </c>
      <c r="CU1392" s="62" t="n">
        <f aca="false">IF(CS1392="","",H1392*G1392)</f>
        <v>1625.12</v>
      </c>
      <c r="CV1392" s="63" t="n">
        <f aca="false">IF(CS1392="","",(CL1392+ROUNDUP(CL1392+MAX(CM1392,2*(J1392/MAX(0.1,N(Einkauf!$C$6))-CL1392)),0))/2)</f>
        <v>0.5</v>
      </c>
      <c r="CW1392" s="62" t="n">
        <f aca="false">IF(CS1392="","",MAX(0,H1392-CV1392)*G1392)</f>
        <v>1574.335</v>
      </c>
      <c r="CX1392" s="62" t="n">
        <f aca="false">IF(CS1392="","",CS1392*MAX(0,1-CV1392/H1392))</f>
        <v>9.12860576923077</v>
      </c>
      <c r="CY1392" s="64" t="n">
        <f aca="false">IF(CS1392="","",PERCENTRANK($CS$7:$CS$1843,CS1392)+PERCENTRANK($CU$7:$CU$1843,CU1392)+1-PERCENTRANK($CT$7:$CT$1843,CT1392))</f>
        <v>1.87</v>
      </c>
      <c r="CZ1392" s="72" t="n">
        <f aca="false">IF(CS1392="","",CHOOSE(MATCH(Einkauf!$C$5,Parameter!$G$23:$G$27,0),CY1392,CS1392,CU1392,-CT1392,CW1392)+ROW()/1000000000)</f>
        <v>1.870001392</v>
      </c>
    </row>
    <row r="1393" customFormat="false" ht="15" hidden="false" customHeight="false" outlineLevel="0" collapsed="false">
      <c r="A1393" s="60" t="s">
        <v>2490</v>
      </c>
      <c r="B1393" s="60" t="s">
        <v>2491</v>
      </c>
      <c r="C1393" s="60" t="s">
        <v>498</v>
      </c>
      <c r="D1393" s="60" t="s">
        <v>226</v>
      </c>
      <c r="E1393" s="60"/>
      <c r="F1393" s="60" t="s">
        <v>260</v>
      </c>
      <c r="G1393" s="61" t="n">
        <v>1.7</v>
      </c>
      <c r="H1393" s="62" t="n">
        <f aca="false">MAX(0,IF(AND(Parameter!$B$21="Ja",ISNUMBER(Y1393)),Y1393,IF(Parameter!$B$20="Jahresanfang 2025 + Export",BS1393+BR1393,BR1393)))</f>
        <v>2096</v>
      </c>
      <c r="I1393" s="62" t="n">
        <f aca="false">H1393*G1393</f>
        <v>3563.2</v>
      </c>
      <c r="J1393" s="62" t="n">
        <f aca="false">BU1393*Parameter!$B$18</f>
        <v>2096</v>
      </c>
      <c r="K1393" s="63" t="n">
        <v>2096</v>
      </c>
      <c r="L1393" s="64" t="n">
        <v>1</v>
      </c>
      <c r="M1393" s="62" t="n">
        <v>244</v>
      </c>
      <c r="N1393" s="62" t="n">
        <v>2095</v>
      </c>
      <c r="O1393" s="65" t="n">
        <v>42</v>
      </c>
      <c r="P1393" s="60" t="s">
        <v>210</v>
      </c>
      <c r="Q1393" s="62"/>
      <c r="R1393" s="65" t="n">
        <f aca="false">IF(CA1393=1,0,IFERROR(VLOOKUP(BY1393,'Gebinde-Kategorie'!$A$5:$N$45,13,0)+0,0))</f>
        <v>26</v>
      </c>
      <c r="S1393" s="66"/>
      <c r="T1393" s="67" t="s">
        <v>317</v>
      </c>
      <c r="U1393" s="67"/>
      <c r="V1393" s="67"/>
      <c r="W1393" s="60"/>
      <c r="X1393" s="62"/>
      <c r="Y1393" s="62"/>
      <c r="Z1393" s="60" t="n">
        <v>3</v>
      </c>
      <c r="AA1393" s="60" t="n">
        <f aca="false">IF(A1393="","",IF(AND(Parameter!$B$21="Ja",ISNUMBER(W1393)),W1393,IF(AND(Parameter!$E$27="Ja",ISNUMBER(Z1393),CD1393&lt;&gt;"Nein"),Z1393,IF(CD1393="2+3",IF(ISNUMBER(SEARCH("grosser Artikel",BV1393)),2,IFERROR(VLOOKUP(BY1393,Parameter!$F$35:$G$64,2,0),2)),IF(OR(CD1393="Nein",CD1393=""),"-",CD1393)))))</f>
        <v>3</v>
      </c>
      <c r="AB1393" s="67"/>
      <c r="AC1393" s="68"/>
      <c r="AD1393" s="62" t="n">
        <f aca="false">AW1393</f>
        <v>2339</v>
      </c>
      <c r="AE1393" s="62" t="n">
        <f aca="false">MAX(AW1393,H1393)</f>
        <v>2339</v>
      </c>
      <c r="AF1393" s="69"/>
      <c r="AG1393" s="62" t="n">
        <f aca="false">IF(LEFT(Cockpit!$C$5,1)="A",H1393,IF(Parameter!$E$30="MAX-Bestand",IF(CI1393=1,CJ1393,IF(LEFT(Cockpit!$C$5,1)="B",AM1393,MAX(AM1393,H1393))),ROUNDUP(AK1393,0)))</f>
        <v>2096</v>
      </c>
      <c r="AH1393" s="62" t="n">
        <f aca="false">IF(CA1393=1,0,ROUNDUP(AG1393/BZ1393,0))</f>
        <v>1</v>
      </c>
      <c r="AI1393" s="64" t="n">
        <f aca="false">IF(CR1393&gt;0,CR1393*MAX(1,AG1393/X1393),IF(CA1393=1,IF(AG1393&lt;=0,0,CE1393*MAX(1,IF(H1393&gt;0,AG1393/H1393,1))),IF(R1393&gt;0,AH1393/R1393,0))/MAX(0.1,N(Parameter!$M$21)))</f>
        <v>0.0384615384615385</v>
      </c>
      <c r="AJ1393" s="62" t="n">
        <f aca="false">AI1393*CC1393</f>
        <v>5.96153846153846</v>
      </c>
      <c r="AK1393" s="63" t="n">
        <f aca="false">IF(LEFT(Cockpit!$C$5,1)="A",H1393,IF(CI1393=1,(CL1393+CJ1393)/2,IF(LEFT(Cockpit!$C$5,1)="B",(CL1393+AM1393)/2,MAX((CL1393+AM1393)/2,H1393))))</f>
        <v>2096</v>
      </c>
      <c r="AL1393" s="62" t="n">
        <f aca="false">AK1393*G1393</f>
        <v>3563.2</v>
      </c>
      <c r="AM1393" s="62" t="n">
        <f aca="false">ROUNDUP(CL1393+MAX(CM1393,2*(J1393/IF(CH1393&gt;0,CH1393,MAX(0.1,N(Cockpit!$C$6)))-CL1393)),0)</f>
        <v>2339</v>
      </c>
      <c r="AN1393" s="63" t="n">
        <f aca="false">IF(AJ1393&gt;0,J1393/AJ1393,-1)</f>
        <v>351.587096774194</v>
      </c>
      <c r="AO1393" s="63" t="n">
        <f aca="false">IF(AND(OR(CG1393="L1",CG1393="L23",CG1393="LIFT"),AJ1393&gt;0),SUMIFS($AJ$7:$AJ$1843,$CG$7:$CG$1843,CG1393,$AN$7:$AN$1843,"&gt;"&amp;AN1393)+SUMIFS($AJ$7:$AJ$1843,$CG$7:$CG$1843,CG1393,$AN$7:$AN$1843,AN1393,$BX$7:$BX$1843,"&lt;="&amp;BX1393),"")</f>
        <v>225.324175824176</v>
      </c>
      <c r="AP1393" s="70" t="n">
        <f aca="false">IF(AO1393="",0,MAX(0,MIN(1,(IF(CG1393="L1",Parameter!$H$5,IF(CG1393="L23",Parameter!$H$6+Parameter!$H$7,Parameter!$H$5+Parameter!$H$6+Parameter!$H$7))-(AO1393-AJ1393))/AJ1393)))</f>
        <v>1</v>
      </c>
      <c r="AQ1393" s="62" t="n">
        <f aca="false">IF(LEFT(Cockpit!$I$5,1)="A",H1393,IF(Parameter!$E$30="MAX-Bestand",IF(CI1393=1,CJ1393,IF(LEFT(Cockpit!$I$5,1)="B",AW1393,MAX(AW1393,H1393))),ROUNDUP(AU1393,0)))</f>
        <v>2096</v>
      </c>
      <c r="AR1393" s="62" t="n">
        <f aca="false">IF(CA1393=1,0,ROUNDUP(AQ1393/BZ1393,0))</f>
        <v>1</v>
      </c>
      <c r="AS1393" s="64" t="n">
        <f aca="false">IF(CR1393&gt;0,CR1393*MAX(1,AQ1393/X1393),IF(CA1393=1,IF(AQ1393&lt;=0,0,CE1393*MAX(1,IF(H1393&gt;0,AQ1393/H1393,1))),IF(R1393&gt;0,AR1393/R1393,0))/MAX(0.1,N(Parameter!$M$21)))</f>
        <v>0.0384615384615385</v>
      </c>
      <c r="AT1393" s="62" t="n">
        <f aca="false">AS1393*CC1393</f>
        <v>5.96153846153846</v>
      </c>
      <c r="AU1393" s="63" t="n">
        <f aca="false">IF(LEFT(Cockpit!$I$5,1)="A",H1393,IF(CI1393=1,(CL1393+CJ1393)/2,IF(LEFT(Cockpit!$I$5,1)="B",(CL1393+AW1393)/2,MAX((CL1393+AW1393)/2,H1393))))</f>
        <v>2096</v>
      </c>
      <c r="AV1393" s="62" t="n">
        <f aca="false">AU1393*G1393</f>
        <v>3563.2</v>
      </c>
      <c r="AW1393" s="62" t="n">
        <f aca="false">ROUNDUP(CL1393+MAX(CM1393,2*(J1393/IF(CH1393&gt;0,CH1393,MAX(0.1,N(Cockpit!$I$6)))-CL1393)),0)</f>
        <v>2339</v>
      </c>
      <c r="AX1393" s="63" t="n">
        <f aca="false">IF(AT1393&gt;0,J1393/AT1393,-1)</f>
        <v>351.587096774194</v>
      </c>
      <c r="AY1393" s="63" t="n">
        <f aca="false">IF(AND(OR(CG1393="L1",CG1393="L23",CG1393="LIFT"),AT1393&gt;0),SUMIFS($AT$7:$AT$1843,$CG$7:$CG$1843,CG1393,$AX$7:$AX$1843,"&gt;"&amp;AX1393)+SUMIFS($AT$7:$AT$1843,$CG$7:$CG$1843,CG1393,$AX$7:$AX$1843,AX1393,$BX$7:$BX$1843,"&lt;="&amp;BX1393),"")</f>
        <v>159.540293040293</v>
      </c>
      <c r="AZ1393" s="70" t="n">
        <f aca="false">IF(AY1393="",0,MAX(0,MIN(1,(IF(CG1393="L1",Parameter!$H$5,IF(CG1393="L23",Parameter!$H$6+Parameter!$H$7,Parameter!$H$5+Parameter!$H$6+Parameter!$H$7))-(AY1393-AT1393))/AT1393)))</f>
        <v>1</v>
      </c>
      <c r="BA1393" s="62" t="n">
        <f aca="false">IF(LEFT(Cockpit!$O$5,1)="A",H1393,IF(Parameter!$E$30="MAX-Bestand",IF(CI1393=1,CJ1393,IF(LEFT(Cockpit!$O$5,1)="B",BG1393,MAX(BG1393,H1393))),ROUNDUP(BE1393,0)))</f>
        <v>1292</v>
      </c>
      <c r="BB1393" s="62" t="n">
        <f aca="false">IF(CA1393=1,0,ROUNDUP(BA1393/BZ1393,0))</f>
        <v>1</v>
      </c>
      <c r="BC1393" s="64" t="n">
        <f aca="false">IF(CR1393&gt;0,CR1393*MAX(1,BA1393/X1393),IF(CA1393=1,IF(BA1393&lt;=0,0,CE1393*MAX(1,IF(H1393&gt;0,BA1393/H1393,1))),IF(R1393&gt;0,BB1393/R1393,0))/MAX(0.1,N(Parameter!$M$21)))</f>
        <v>0.0384615384615385</v>
      </c>
      <c r="BD1393" s="62" t="n">
        <f aca="false">BC1393*CC1393</f>
        <v>5.96153846153846</v>
      </c>
      <c r="BE1393" s="63" t="n">
        <f aca="false">IF(LEFT(Cockpit!$O$5,1)="A",H1393,IF(CI1393=1,(CL1393+CJ1393)/2,IF(LEFT(Cockpit!$O$5,1)="B",(CL1393+BG1393)/2,MAX((CL1393+BG1393)/2,H1393))))</f>
        <v>1291.5</v>
      </c>
      <c r="BF1393" s="62" t="n">
        <f aca="false">BE1393*G1393</f>
        <v>2195.55</v>
      </c>
      <c r="BG1393" s="62" t="n">
        <f aca="false">ROUNDUP(CL1393+MAX(CM1393,2*(J1393/IF(CH1393&gt;0,CH1393,MAX(0.1,N(Cockpit!$O$6)))-CL1393)),0)</f>
        <v>2339</v>
      </c>
      <c r="BH1393" s="63" t="n">
        <f aca="false">IF(BD1393&gt;0,J1393/BD1393,-1)</f>
        <v>351.587096774194</v>
      </c>
      <c r="BI1393" s="63" t="n">
        <f aca="false">IF(AND(OR(CG1393="L1",CG1393="L23",CG1393="LIFT"),BD1393&gt;0),SUMIFS($BD$7:$BD$1843,$CG$7:$CG$1843,CG1393,$BH$7:$BH$1843,"&gt;"&amp;BH1393)+SUMIFS($BD$7:$BD$1843,$CG$7:$CG$1843,CG1393,$BH$7:$BH$1843,BH1393,$BX$7:$BX$1843,"&lt;="&amp;BX1393),"")</f>
        <v>234.733974358974</v>
      </c>
      <c r="BJ1393" s="70" t="n">
        <f aca="false">IF(BI1393="",0,MAX(0,MIN(1,(IF(CG1393="L1",Parameter!$H$5,IF(CG1393="L23",Parameter!$H$6+Parameter!$H$7,Parameter!$H$5+Parameter!$H$6+Parameter!$H$7))-(BI1393-BD1393))/BD1393)))</f>
        <v>1</v>
      </c>
      <c r="BK1393" s="60" t="str">
        <f aca="false">IF(AJ1393&lt;=0,"",IF(CG1393="Aussen","Aussenlager",IF(CG1393="-","Nicht im Lift",IF(AP1393&gt;=1,"Lift",IF(AP1393&lt;=0,"Aussenlager","teilweise")))))</f>
        <v>Lift</v>
      </c>
      <c r="BL1393" s="60" t="str">
        <f aca="false">IF(AT1393&lt;=0,"",IF(CG1393="Aussen","Aussenlager",IF(CG1393="-","Nicht im Lift",IF(AZ1393&gt;=1,"Lift",IF(AZ1393&lt;=0,"Aussenlager","teilweise")))))</f>
        <v>Lift</v>
      </c>
      <c r="BM1393" s="60" t="str">
        <f aca="false">IF(BD1393&lt;=0,"",IF(CG1393="Aussen","Aussenlager",IF(CG1393="-","Nicht im Lift",IF(BJ1393&gt;=1,"Lift",IF(BJ1393&lt;=0,"Aussenlager","teilweise")))))</f>
        <v>Lift</v>
      </c>
      <c r="BN1393" s="60" t="str">
        <f aca="false">IF(A1393="","",IF(BW1393=1,"Neu; ","")&amp;IF(AND(BW1393=0,BR1393&lt;0),"negativer Bestand (Export "&amp;BR1393&amp;"); ","")&amp;IF(J1393&lt;=0,"Kein Verbrauch; ","")&amp;IF(CR1393&gt;0,"Lift "&amp;W1393&amp;" lt. Liftbericht (Fach "&amp;X1393&amp;" Stk); ",IF(CB1393=1,"Gebinde geschätzt ("&amp;T1393&amp;"); ",IF(CA1393=1,"Lose – Tablare geschätzt; ","")))&amp;IF(H1393&gt;AW1393,"Überbestand "&amp;ROUND(H1393-AW1393,0)&amp;" Stk / CHF "&amp;ROUND((H1393-AW1393)*G1393,0)&amp;"; ","")&amp;IF(AND(CI1393=1,CJ1393&lt;CK1393),"MAX &lt; MB+LG; ","")&amp;IF(AND(CQ1393&gt;0,CP1393*10&gt;CQ1393),"zu hoch für Tablar; ","")&amp;IF(AND(BW1393=0,OR(CI1393=1,AB1393&lt;&gt;"",U1393&lt;&gt;"",V1393&lt;&gt;"",AC1393&lt;&gt;"")),"manuell übersteuert; ","")&amp;IF(AND(CA1393=0,R1393=0),"Gebinde unbekannt / Stellmass fehlt; ","")&amp;IF(AND(CA1393=0,N(V1393)&lt;=0,N(Q1393)&lt;=0),"Menge pro Gebinde fehlt (Ist = 1 Gebinde); ","")&amp;BV1393)</f>
        <v>negativer Bestand (Export -2096); Gebinde geschätzt (Klein); Menge pro Gebinde fehlt (Ist = 1 Gebinde); </v>
      </c>
      <c r="BO1393" s="60"/>
      <c r="BP1393" s="60"/>
      <c r="BQ1393" s="67"/>
      <c r="BR1393" s="62" t="n">
        <v>-2096</v>
      </c>
      <c r="BS1393" s="62" t="n">
        <v>4192</v>
      </c>
      <c r="BT1393" s="61" t="n">
        <v>-3563.2</v>
      </c>
      <c r="BU1393" s="62" t="n">
        <v>2096</v>
      </c>
      <c r="BV1393" s="60"/>
      <c r="BW1393" s="65" t="n">
        <v>0</v>
      </c>
      <c r="BX1393" s="65" t="n">
        <v>1393</v>
      </c>
      <c r="BY1393" s="60" t="str">
        <f aca="false">IF(U1393&lt;&gt;"",UPPER(TRIM(U1393)),IF(CB1393=1,UPPER(VLOOKUP(T1393,Parameter!$I$27:$K$29,2,0)),IF(P1393="","LOSE",P1393)))</f>
        <v>S51</v>
      </c>
      <c r="BZ1393" s="62" t="n">
        <f aca="false">IF(BY1393="LOSE",1,IF(N(V1393)&gt;0,V1393,IF(CB1393=1,MAX(1,N(VLOOKUP(T1393,Parameter!$I$27:$K$29,3,0)),H1393,N(N1393)),IF(N(Q1393)&gt;0,Q1393,MAX(1,H1393)))))</f>
        <v>2096</v>
      </c>
      <c r="CA1393" s="65" t="n">
        <f aca="false">IF(BY1393="LOSE",1,0)</f>
        <v>0</v>
      </c>
      <c r="CB1393" s="65" t="n">
        <f aca="false">IF(AND(U1393="",OR(P1393="",P1393="LOSE"),T1393&lt;&gt;"",N(S1393)&lt;=0,ISNUMBER(MATCH(T1393,Parameter!$I$27:$I$29,0))),1,0)</f>
        <v>1</v>
      </c>
      <c r="CC1393" s="65" t="n">
        <f aca="false">IF(CR1393&gt;0,INDEX(Parameter!$H$5:$H$7,W1393)/INDEX(Parameter!$E$5:$E$7,W1393),IF(AND(CA1393=0,N(IFERROR(VLOOKUP(BY1393,'Gebinde-Kategorie'!$A$5:$N$45,14,0),0))&gt;0),VLOOKUP(BY1393,'Gebinde-Kategorie'!$A$5:$N$45,14,0)*10+Parameter!$M$23,Parameter!$M$24))</f>
        <v>155</v>
      </c>
      <c r="CD1393" s="60" t="str">
        <f aca="false">IF(AND(Parameter!$B$19="Ja",E1393&lt;&gt;"",ISNUMBER(MATCH(E1393,Parameter!$I$35:$I$52,0))),VLOOKUP(E1393,Parameter!$I$35:$J$52,2,0),IFERROR(VLOOKUP(D1393,Parameter!$A$35:$C$64,2,0),"Nein"))</f>
        <v>2+3</v>
      </c>
      <c r="CE1393" s="64" t="n">
        <f aca="false">IF(CA1393=0,0,IF(N(S1393)&gt;0,S1393,IFERROR(VLOOKUP(D1393,Parameter!$A$35:$C$64,3,0)+0,0)))</f>
        <v>0</v>
      </c>
      <c r="CF1393" s="60" t="n">
        <f aca="false">IF(AB1393&lt;&gt;"",AB1393,AA1393)</f>
        <v>3</v>
      </c>
      <c r="CG1393" s="60" t="str">
        <f aca="false">IF(OR(CF1393=1,CF1393=2,CF1393=3),IF(Parameter!$E$27="Ja","LIFT",IF(CF1393=1,"L1","L23")),IF(CF1393="Aussen","Aussen","-"))</f>
        <v>LIFT</v>
      </c>
      <c r="CH1393" s="71" t="n">
        <f aca="false">IF(N(AC1393)&gt;0,AC1393,0)</f>
        <v>0</v>
      </c>
      <c r="CI1393" s="65" t="n">
        <f aca="false">IF(ISNUMBER(AF1393),1,0)</f>
        <v>0</v>
      </c>
      <c r="CJ1393" s="62" t="n">
        <f aca="false">N(AF1393)</f>
        <v>0</v>
      </c>
      <c r="CK1393" s="62" t="n">
        <f aca="false">N(M1393)+N(N1393)</f>
        <v>2339</v>
      </c>
      <c r="CL1393" s="62" t="n">
        <f aca="false">N(M1393)</f>
        <v>244</v>
      </c>
      <c r="CM1393" s="62" t="n">
        <f aca="false">N(N1393)</f>
        <v>2095</v>
      </c>
      <c r="CN1393" s="62" t="n">
        <f aca="false">ROUNDUP(H1393/BZ1393,0)</f>
        <v>1</v>
      </c>
      <c r="CO1393" s="62" t="n">
        <f aca="false">ROUNDUP(CJ1393/BZ1393,0)</f>
        <v>0</v>
      </c>
      <c r="CP1393" s="65" t="n">
        <f aca="false">IF(CA1393=1,0,IFERROR(VLOOKUP(BY1393,'Gebinde-Kategorie'!$A$5:$N$45,5,0)+0,0))</f>
        <v>11</v>
      </c>
      <c r="CQ1393" s="65" t="n">
        <f aca="false">IFERROR(IF(OR(CF1393=1,CF1393=2,CF1393=3),N(INDEX(Parameter!$I$5:$I$7,CF1393)),0),0)</f>
        <v>0</v>
      </c>
      <c r="CR1393" s="64" t="n">
        <f aca="false">IF(AND(Parameter!$B$21="Ja",ISNUMBER(W1393),N(X1393)&gt;0),IFERROR(N(INDEX(Parameter!$L$5:$L$7,W1393))*INDEX(Parameter!$E$5:$E$7,W1393)*X1393/SUMIFS($X$7:$X$1843,$W$7:$W$1843,W1393),0),0)</f>
        <v>0</v>
      </c>
      <c r="CS1393" s="62" t="n">
        <f aca="false">IF(AND(OR(CG1393="L1",CG1393="L23",CG1393="LIFT"),H1393&gt;0),CC1393*IF(CR1393&gt;0,CR1393*MAX(1,H1393/X1393),IF(CA1393=1,CE1393,IF(R1393&gt;0,CN1393/R1393,0))/MAX(0.1,N(Parameter!$M$21))),"")</f>
        <v>5.96153846153846</v>
      </c>
      <c r="CT1393" s="64" t="n">
        <f aca="false">IF(CS1393="","",J1393/H1393)</f>
        <v>1</v>
      </c>
      <c r="CU1393" s="62" t="n">
        <f aca="false">IF(CS1393="","",H1393*G1393)</f>
        <v>3563.2</v>
      </c>
      <c r="CV1393" s="63" t="n">
        <f aca="false">IF(CS1393="","",(CL1393+ROUNDUP(CL1393+MAX(CM1393,2*(J1393/MAX(0.1,N(Einkauf!$C$6))-CL1393)),0))/2)</f>
        <v>1291.5</v>
      </c>
      <c r="CW1393" s="62" t="n">
        <f aca="false">IF(CS1393="","",MAX(0,H1393-CV1393)*G1393)</f>
        <v>1367.65</v>
      </c>
      <c r="CX1393" s="62" t="n">
        <f aca="false">IF(CS1393="","",CS1393*MAX(0,1-CV1393/H1393))</f>
        <v>2.28819546388726</v>
      </c>
      <c r="CY1393" s="64" t="n">
        <f aca="false">IF(CS1393="","",PERCENTRANK($CS$7:$CS$1843,CS1393)+PERCENTRANK($CU$7:$CU$1843,CU1393)+1-PERCENTRANK($CT$7:$CT$1843,CT1393))</f>
        <v>1.584</v>
      </c>
      <c r="CZ1393" s="72" t="n">
        <f aca="false">IF(CS1393="","",CHOOSE(MATCH(Einkauf!$C$5,Parameter!$G$23:$G$27,0),CY1393,CS1393,CU1393,-CT1393,CW1393)+ROW()/1000000000)</f>
        <v>1.584001393</v>
      </c>
    </row>
    <row r="1394" customFormat="false" ht="15" hidden="false" customHeight="false" outlineLevel="0" collapsed="false">
      <c r="A1394" s="60" t="s">
        <v>2492</v>
      </c>
      <c r="B1394" s="60" t="s">
        <v>2493</v>
      </c>
      <c r="C1394" s="60" t="s">
        <v>206</v>
      </c>
      <c r="D1394" s="60" t="s">
        <v>215</v>
      </c>
      <c r="E1394" s="60" t="s">
        <v>227</v>
      </c>
      <c r="F1394" s="60" t="s">
        <v>260</v>
      </c>
      <c r="G1394" s="61" t="n">
        <v>603.8</v>
      </c>
      <c r="H1394" s="62" t="n">
        <f aca="false">MAX(0,IF(AND(Parameter!$B$21="Ja",ISNUMBER(Y1394)),Y1394,IF(Parameter!$B$20="Jahresanfang 2025 + Export",BS1394+BR1394,BR1394)))</f>
        <v>3</v>
      </c>
      <c r="I1394" s="62" t="n">
        <f aca="false">H1394*G1394</f>
        <v>1811.4</v>
      </c>
      <c r="J1394" s="62" t="n">
        <f aca="false">BU1394*Parameter!$B$18</f>
        <v>9</v>
      </c>
      <c r="K1394" s="63" t="n">
        <v>8.5</v>
      </c>
      <c r="L1394" s="64" t="n">
        <v>1.05882352941177</v>
      </c>
      <c r="M1394" s="62" t="n">
        <v>1</v>
      </c>
      <c r="N1394" s="62" t="n">
        <v>5</v>
      </c>
      <c r="O1394" s="65" t="n">
        <v>28</v>
      </c>
      <c r="P1394" s="60" t="s">
        <v>216</v>
      </c>
      <c r="Q1394" s="62" t="n">
        <v>4</v>
      </c>
      <c r="R1394" s="65" t="n">
        <f aca="false">IF(CA1394=1,0,IFERROR(VLOOKUP(BY1394,'Gebinde-Kategorie'!$A$5:$N$45,13,0)+0,0))</f>
        <v>6</v>
      </c>
      <c r="S1394" s="66"/>
      <c r="T1394" s="67"/>
      <c r="U1394" s="67"/>
      <c r="V1394" s="67"/>
      <c r="W1394" s="60"/>
      <c r="X1394" s="62"/>
      <c r="Y1394" s="62"/>
      <c r="Z1394" s="60" t="n">
        <v>1</v>
      </c>
      <c r="AA1394" s="60" t="n">
        <f aca="false">IF(A1394="","",IF(AND(Parameter!$B$21="Ja",ISNUMBER(W1394)),W1394,IF(AND(Parameter!$E$27="Ja",ISNUMBER(Z1394),CD1394&lt;&gt;"Nein"),Z1394,IF(CD1394="2+3",IF(ISNUMBER(SEARCH("grosser Artikel",BV1394)),2,IFERROR(VLOOKUP(BY1394,Parameter!$F$35:$G$64,2,0),2)),IF(OR(CD1394="Nein",CD1394=""),"-",CD1394)))))</f>
        <v>1</v>
      </c>
      <c r="AB1394" s="67"/>
      <c r="AC1394" s="68"/>
      <c r="AD1394" s="62" t="n">
        <f aca="false">AW1394</f>
        <v>6</v>
      </c>
      <c r="AE1394" s="62" t="n">
        <f aca="false">MAX(AW1394,H1394)</f>
        <v>6</v>
      </c>
      <c r="AF1394" s="69"/>
      <c r="AG1394" s="62" t="n">
        <f aca="false">IF(LEFT(Cockpit!$C$5,1)="A",H1394,IF(Parameter!$E$30="MAX-Bestand",IF(CI1394=1,CJ1394,IF(LEFT(Cockpit!$C$5,1)="B",AM1394,MAX(AM1394,H1394))),ROUNDUP(AK1394,0)))</f>
        <v>3</v>
      </c>
      <c r="AH1394" s="62" t="n">
        <f aca="false">IF(CA1394=1,0,ROUNDUP(AG1394/BZ1394,0))</f>
        <v>1</v>
      </c>
      <c r="AI1394" s="64" t="n">
        <f aca="false">IF(CR1394&gt;0,CR1394*MAX(1,AG1394/X1394),IF(CA1394=1,IF(AG1394&lt;=0,0,CE1394*MAX(1,IF(H1394&gt;0,AG1394/H1394,1))),IF(R1394&gt;0,AH1394/R1394,0))/MAX(0.1,N(Parameter!$M$21)))</f>
        <v>0.166666666666667</v>
      </c>
      <c r="AJ1394" s="62" t="n">
        <f aca="false">AI1394*CC1394</f>
        <v>39.1666666666667</v>
      </c>
      <c r="AK1394" s="63" t="n">
        <f aca="false">IF(LEFT(Cockpit!$C$5,1)="A",H1394,IF(CI1394=1,(CL1394+CJ1394)/2,IF(LEFT(Cockpit!$C$5,1)="B",(CL1394+AM1394)/2,MAX((CL1394+AM1394)/2,H1394))))</f>
        <v>3</v>
      </c>
      <c r="AL1394" s="62" t="n">
        <f aca="false">AK1394*G1394</f>
        <v>1811.4</v>
      </c>
      <c r="AM1394" s="62" t="n">
        <f aca="false">ROUNDUP(CL1394+MAX(CM1394,2*(J1394/IF(CH1394&gt;0,CH1394,MAX(0.1,N(Cockpit!$C$6)))-CL1394)),0)</f>
        <v>6</v>
      </c>
      <c r="AN1394" s="63" t="n">
        <f aca="false">IF(AJ1394&gt;0,J1394/AJ1394,-1)</f>
        <v>0.229787234042553</v>
      </c>
      <c r="AO1394" s="63" t="n">
        <f aca="false">IF(AND(OR(CG1394="L1",CG1394="L23",CG1394="LIFT"),AJ1394&gt;0),SUMIFS($AJ$7:$AJ$1843,$CG$7:$CG$1843,CG1394,$AN$7:$AN$1843,"&gt;"&amp;AN1394)+SUMIFS($AJ$7:$AJ$1843,$CG$7:$CG$1843,CG1394,$AN$7:$AN$1843,AN1394,$BX$7:$BX$1843,"&lt;="&amp;BX1394),"")</f>
        <v>12069.8535962625</v>
      </c>
      <c r="AP1394" s="70" t="n">
        <f aca="false">IF(AO1394="",0,MAX(0,MIN(1,(IF(CG1394="L1",Parameter!$H$5,IF(CG1394="L23",Parameter!$H$6+Parameter!$H$7,Parameter!$H$5+Parameter!$H$6+Parameter!$H$7))-(AO1394-AJ1394))/AJ1394)))</f>
        <v>1</v>
      </c>
      <c r="AQ1394" s="62" t="n">
        <f aca="false">IF(LEFT(Cockpit!$I$5,1)="A",H1394,IF(Parameter!$E$30="MAX-Bestand",IF(CI1394=1,CJ1394,IF(LEFT(Cockpit!$I$5,1)="B",AW1394,MAX(AW1394,H1394))),ROUNDUP(AU1394,0)))</f>
        <v>4</v>
      </c>
      <c r="AR1394" s="62" t="n">
        <f aca="false">IF(CA1394=1,0,ROUNDUP(AQ1394/BZ1394,0))</f>
        <v>1</v>
      </c>
      <c r="AS1394" s="64" t="n">
        <f aca="false">IF(CR1394&gt;0,CR1394*MAX(1,AQ1394/X1394),IF(CA1394=1,IF(AQ1394&lt;=0,0,CE1394*MAX(1,IF(H1394&gt;0,AQ1394/H1394,1))),IF(R1394&gt;0,AR1394/R1394,0))/MAX(0.1,N(Parameter!$M$21)))</f>
        <v>0.166666666666667</v>
      </c>
      <c r="AT1394" s="62" t="n">
        <f aca="false">AS1394*CC1394</f>
        <v>39.1666666666667</v>
      </c>
      <c r="AU1394" s="63" t="n">
        <f aca="false">IF(LEFT(Cockpit!$I$5,1)="A",H1394,IF(CI1394=1,(CL1394+CJ1394)/2,IF(LEFT(Cockpit!$I$5,1)="B",(CL1394+AW1394)/2,MAX((CL1394+AW1394)/2,H1394))))</f>
        <v>3.5</v>
      </c>
      <c r="AV1394" s="62" t="n">
        <f aca="false">AU1394*G1394</f>
        <v>2113.3</v>
      </c>
      <c r="AW1394" s="62" t="n">
        <f aca="false">ROUNDUP(CL1394+MAX(CM1394,2*(J1394/IF(CH1394&gt;0,CH1394,MAX(0.1,N(Cockpit!$I$6)))-CL1394)),0)</f>
        <v>6</v>
      </c>
      <c r="AX1394" s="63" t="n">
        <f aca="false">IF(AT1394&gt;0,J1394/AT1394,-1)</f>
        <v>0.229787234042553</v>
      </c>
      <c r="AY1394" s="63" t="n">
        <f aca="false">IF(AND(OR(CG1394="L1",CG1394="L23",CG1394="LIFT"),AT1394&gt;0),SUMIFS($AT$7:$AT$1843,$CG$7:$CG$1843,CG1394,$AX$7:$AX$1843,"&gt;"&amp;AX1394)+SUMIFS($AT$7:$AT$1843,$CG$7:$CG$1843,CG1394,$AX$7:$AX$1843,AX1394,$BX$7:$BX$1843,"&lt;="&amp;BX1394),"")</f>
        <v>15146.7477106227</v>
      </c>
      <c r="AZ1394" s="70" t="n">
        <f aca="false">IF(AY1394="",0,MAX(0,MIN(1,(IF(CG1394="L1",Parameter!$H$5,IF(CG1394="L23",Parameter!$H$6+Parameter!$H$7,Parameter!$H$5+Parameter!$H$6+Parameter!$H$7))-(AY1394-AT1394))/AT1394)))</f>
        <v>1</v>
      </c>
      <c r="BA1394" s="62" t="n">
        <f aca="false">IF(LEFT(Cockpit!$O$5,1)="A",H1394,IF(Parameter!$E$30="MAX-Bestand",IF(CI1394=1,CJ1394,IF(LEFT(Cockpit!$O$5,1)="B",BG1394,MAX(BG1394,H1394))),ROUNDUP(BE1394,0)))</f>
        <v>4</v>
      </c>
      <c r="BB1394" s="62" t="n">
        <f aca="false">IF(CA1394=1,0,ROUNDUP(BA1394/BZ1394,0))</f>
        <v>1</v>
      </c>
      <c r="BC1394" s="64" t="n">
        <f aca="false">IF(CR1394&gt;0,CR1394*MAX(1,BA1394/X1394),IF(CA1394=1,IF(BA1394&lt;=0,0,CE1394*MAX(1,IF(H1394&gt;0,BA1394/H1394,1))),IF(R1394&gt;0,BB1394/R1394,0))/MAX(0.1,N(Parameter!$M$21)))</f>
        <v>0.166666666666667</v>
      </c>
      <c r="BD1394" s="62" t="n">
        <f aca="false">BC1394*CC1394</f>
        <v>39.1666666666667</v>
      </c>
      <c r="BE1394" s="63" t="n">
        <f aca="false">IF(LEFT(Cockpit!$O$5,1)="A",H1394,IF(CI1394=1,(CL1394+CJ1394)/2,IF(LEFT(Cockpit!$O$5,1)="B",(CL1394+BG1394)/2,MAX((CL1394+BG1394)/2,H1394))))</f>
        <v>3.5</v>
      </c>
      <c r="BF1394" s="62" t="n">
        <f aca="false">BE1394*G1394</f>
        <v>2113.3</v>
      </c>
      <c r="BG1394" s="62" t="n">
        <f aca="false">ROUNDUP(CL1394+MAX(CM1394,2*(J1394/IF(CH1394&gt;0,CH1394,MAX(0.1,N(Cockpit!$O$6)))-CL1394)),0)</f>
        <v>6</v>
      </c>
      <c r="BH1394" s="63" t="n">
        <f aca="false">IF(BD1394&gt;0,J1394/BD1394,-1)</f>
        <v>0.229787234042553</v>
      </c>
      <c r="BI1394" s="63" t="n">
        <f aca="false">IF(AND(OR(CG1394="L1",CG1394="L23",CG1394="LIFT"),BD1394&gt;0),SUMIFS($BD$7:$BD$1843,$CG$7:$CG$1843,CG1394,$BH$7:$BH$1843,"&gt;"&amp;BH1394)+SUMIFS($BD$7:$BD$1843,$CG$7:$CG$1843,CG1394,$BH$7:$BH$1843,BH1394,$BX$7:$BX$1843,"&lt;="&amp;BX1394),"")</f>
        <v>12297.9748168498</v>
      </c>
      <c r="BJ1394" s="70" t="n">
        <f aca="false">IF(BI1394="",0,MAX(0,MIN(1,(IF(CG1394="L1",Parameter!$H$5,IF(CG1394="L23",Parameter!$H$6+Parameter!$H$7,Parameter!$H$5+Parameter!$H$6+Parameter!$H$7))-(BI1394-BD1394))/BD1394)))</f>
        <v>1</v>
      </c>
      <c r="BK1394" s="60" t="str">
        <f aca="false">IF(AJ1394&lt;=0,"",IF(CG1394="Aussen","Aussenlager",IF(CG1394="-","Nicht im Lift",IF(AP1394&gt;=1,"Lift",IF(AP1394&lt;=0,"Aussenlager","teilweise")))))</f>
        <v>Lift</v>
      </c>
      <c r="BL1394" s="60" t="str">
        <f aca="false">IF(AT1394&lt;=0,"",IF(CG1394="Aussen","Aussenlager",IF(CG1394="-","Nicht im Lift",IF(AZ1394&gt;=1,"Lift",IF(AZ1394&lt;=0,"Aussenlager","teilweise")))))</f>
        <v>Lift</v>
      </c>
      <c r="BM1394" s="60" t="str">
        <f aca="false">IF(BD1394&lt;=0,"",IF(CG1394="Aussen","Aussenlager",IF(CG1394="-","Nicht im Lift",IF(BJ1394&gt;=1,"Lift",IF(BJ1394&lt;=0,"Aussenlager","teilweise")))))</f>
        <v>Lift</v>
      </c>
      <c r="BN1394" s="60" t="str">
        <f aca="false">IF(A1394="","",IF(BW1394=1,"Neu; ","")&amp;IF(AND(BW1394=0,BR1394&lt;0),"negativer Bestand (Export "&amp;BR1394&amp;"); ","")&amp;IF(J1394&lt;=0,"Kein Verbrauch; ","")&amp;IF(CR1394&gt;0,"Lift "&amp;W1394&amp;" lt. Liftbericht (Fach "&amp;X1394&amp;" Stk); ",IF(CB1394=1,"Gebinde geschätzt ("&amp;T1394&amp;"); ",IF(CA1394=1,"Lose – Tablare geschätzt; ","")))&amp;IF(H1394&gt;AW1394,"Überbestand "&amp;ROUND(H1394-AW1394,0)&amp;" Stk / CHF "&amp;ROUND((H1394-AW1394)*G1394,0)&amp;"; ","")&amp;IF(AND(CI1394=1,CJ1394&lt;CK1394),"MAX &lt; MB+LG; ","")&amp;IF(AND(CQ1394&gt;0,CP1394*10&gt;CQ1394),"zu hoch für Tablar; ","")&amp;IF(AND(BW1394=0,OR(CI1394=1,AB1394&lt;&gt;"",U1394&lt;&gt;"",V1394&lt;&gt;"",AC1394&lt;&gt;"")),"manuell übersteuert; ","")&amp;IF(AND(CA1394=0,R1394=0),"Gebinde unbekannt / Stellmass fehlt; ","")&amp;IF(AND(CA1394=0,N(V1394)&lt;=0,N(Q1394)&lt;=0),"Menge pro Gebinde fehlt (Ist = 1 Gebinde); ","")&amp;BV1394)</f>
        <v>negativer Bestand (Export -6); nicht im KTL vorhanden</v>
      </c>
      <c r="BO1394" s="60"/>
      <c r="BP1394" s="60"/>
      <c r="BQ1394" s="67"/>
      <c r="BR1394" s="62" t="n">
        <v>-6</v>
      </c>
      <c r="BS1394" s="62" t="n">
        <v>9</v>
      </c>
      <c r="BT1394" s="61" t="n">
        <v>-3619.38</v>
      </c>
      <c r="BU1394" s="62" t="n">
        <v>9</v>
      </c>
      <c r="BV1394" s="60" t="s">
        <v>272</v>
      </c>
      <c r="BW1394" s="65" t="n">
        <v>0</v>
      </c>
      <c r="BX1394" s="65" t="n">
        <v>1394</v>
      </c>
      <c r="BY1394" s="60" t="str">
        <f aca="false">IF(U1394&lt;&gt;"",UPPER(TRIM(U1394)),IF(CB1394=1,UPPER(VLOOKUP(T1394,Parameter!$I$27:$K$29,2,0)),IF(P1394="","LOSE",P1394)))</f>
        <v>S71</v>
      </c>
      <c r="BZ1394" s="62" t="n">
        <f aca="false">IF(BY1394="LOSE",1,IF(N(V1394)&gt;0,V1394,IF(CB1394=1,MAX(1,N(VLOOKUP(T1394,Parameter!$I$27:$K$29,3,0)),H1394,N(N1394)),IF(N(Q1394)&gt;0,Q1394,MAX(1,H1394)))))</f>
        <v>4</v>
      </c>
      <c r="CA1394" s="65" t="n">
        <f aca="false">IF(BY1394="LOSE",1,0)</f>
        <v>0</v>
      </c>
      <c r="CB1394" s="65" t="n">
        <f aca="false">IF(AND(U1394="",OR(P1394="",P1394="LOSE"),T1394&lt;&gt;"",N(S1394)&lt;=0,ISNUMBER(MATCH(T1394,Parameter!$I$27:$I$29,0))),1,0)</f>
        <v>0</v>
      </c>
      <c r="CC1394" s="65" t="n">
        <f aca="false">IF(CR1394&gt;0,INDEX(Parameter!$H$5:$H$7,W1394)/INDEX(Parameter!$E$5:$E$7,W1394),IF(AND(CA1394=0,N(IFERROR(VLOOKUP(BY1394,'Gebinde-Kategorie'!$A$5:$N$45,14,0),0))&gt;0),VLOOKUP(BY1394,'Gebinde-Kategorie'!$A$5:$N$45,14,0)*10+Parameter!$M$23,Parameter!$M$24))</f>
        <v>235</v>
      </c>
      <c r="CD1394" s="60" t="str">
        <f aca="false">IF(AND(Parameter!$B$19="Ja",E1394&lt;&gt;"",ISNUMBER(MATCH(E1394,Parameter!$I$35:$I$52,0))),VLOOKUP(E1394,Parameter!$I$35:$J$52,2,0),IFERROR(VLOOKUP(D1394,Parameter!$A$35:$C$64,2,0),"Nein"))</f>
        <v>2+3</v>
      </c>
      <c r="CE1394" s="64" t="n">
        <f aca="false">IF(CA1394=0,0,IF(N(S1394)&gt;0,S1394,IFERROR(VLOOKUP(D1394,Parameter!$A$35:$C$64,3,0)+0,0)))</f>
        <v>0</v>
      </c>
      <c r="CF1394" s="60" t="n">
        <f aca="false">IF(AB1394&lt;&gt;"",AB1394,AA1394)</f>
        <v>1</v>
      </c>
      <c r="CG1394" s="60" t="str">
        <f aca="false">IF(OR(CF1394=1,CF1394=2,CF1394=3),IF(Parameter!$E$27="Ja","LIFT",IF(CF1394=1,"L1","L23")),IF(CF1394="Aussen","Aussen","-"))</f>
        <v>LIFT</v>
      </c>
      <c r="CH1394" s="71" t="n">
        <f aca="false">IF(N(AC1394)&gt;0,AC1394,0)</f>
        <v>0</v>
      </c>
      <c r="CI1394" s="65" t="n">
        <f aca="false">IF(ISNUMBER(AF1394),1,0)</f>
        <v>0</v>
      </c>
      <c r="CJ1394" s="62" t="n">
        <f aca="false">N(AF1394)</f>
        <v>0</v>
      </c>
      <c r="CK1394" s="62" t="n">
        <f aca="false">N(M1394)+N(N1394)</f>
        <v>6</v>
      </c>
      <c r="CL1394" s="62" t="n">
        <f aca="false">N(M1394)</f>
        <v>1</v>
      </c>
      <c r="CM1394" s="62" t="n">
        <f aca="false">N(N1394)</f>
        <v>5</v>
      </c>
      <c r="CN1394" s="62" t="n">
        <f aca="false">ROUNDUP(H1394/BZ1394,0)</f>
        <v>1</v>
      </c>
      <c r="CO1394" s="62" t="n">
        <f aca="false">ROUNDUP(CJ1394/BZ1394,0)</f>
        <v>0</v>
      </c>
      <c r="CP1394" s="65" t="n">
        <f aca="false">IF(CA1394=1,0,IFERROR(VLOOKUP(BY1394,'Gebinde-Kategorie'!$A$5:$N$45,5,0)+0,0))</f>
        <v>20</v>
      </c>
      <c r="CQ1394" s="65" t="n">
        <f aca="false">IFERROR(IF(OR(CF1394=1,CF1394=2,CF1394=3),N(INDEX(Parameter!$I$5:$I$7,CF1394)),0),0)</f>
        <v>0</v>
      </c>
      <c r="CR1394" s="64" t="n">
        <f aca="false">IF(AND(Parameter!$B$21="Ja",ISNUMBER(W1394),N(X1394)&gt;0),IFERROR(N(INDEX(Parameter!$L$5:$L$7,W1394))*INDEX(Parameter!$E$5:$E$7,W1394)*X1394/SUMIFS($X$7:$X$1843,$W$7:$W$1843,W1394),0),0)</f>
        <v>0</v>
      </c>
      <c r="CS1394" s="62" t="n">
        <f aca="false">IF(AND(OR(CG1394="L1",CG1394="L23",CG1394="LIFT"),H1394&gt;0),CC1394*IF(CR1394&gt;0,CR1394*MAX(1,H1394/X1394),IF(CA1394=1,CE1394,IF(R1394&gt;0,CN1394/R1394,0))/MAX(0.1,N(Parameter!$M$21))),"")</f>
        <v>39.1666666666667</v>
      </c>
      <c r="CT1394" s="64" t="n">
        <f aca="false">IF(CS1394="","",J1394/H1394)</f>
        <v>3</v>
      </c>
      <c r="CU1394" s="62" t="n">
        <f aca="false">IF(CS1394="","",H1394*G1394)</f>
        <v>1811.4</v>
      </c>
      <c r="CV1394" s="63" t="n">
        <f aca="false">IF(CS1394="","",(CL1394+ROUNDUP(CL1394+MAX(CM1394,2*(J1394/MAX(0.1,N(Einkauf!$C$6))-CL1394)),0))/2)</f>
        <v>3.5</v>
      </c>
      <c r="CW1394" s="62" t="n">
        <f aca="false">IF(CS1394="","",MAX(0,H1394-CV1394)*G1394)</f>
        <v>0</v>
      </c>
      <c r="CX1394" s="62" t="n">
        <f aca="false">IF(CS1394="","",CS1394*MAX(0,1-CV1394/H1394))</f>
        <v>0</v>
      </c>
      <c r="CY1394" s="64" t="n">
        <f aca="false">IF(CS1394="","",PERCENTRANK($CS$7:$CS$1843,CS1394)+PERCENTRANK($CU$7:$CU$1843,CU1394)+1-PERCENTRANK($CT$7:$CT$1843,CT1394))</f>
        <v>1.727</v>
      </c>
      <c r="CZ1394" s="72" t="n">
        <f aca="false">IF(CS1394="","",CHOOSE(MATCH(Einkauf!$C$5,Parameter!$G$23:$G$27,0),CY1394,CS1394,CU1394,-CT1394,CW1394)+ROW()/1000000000)</f>
        <v>1.727001394</v>
      </c>
    </row>
    <row r="1395" customFormat="false" ht="15" hidden="false" customHeight="false" outlineLevel="0" collapsed="false">
      <c r="A1395" s="60" t="s">
        <v>2494</v>
      </c>
      <c r="B1395" s="60" t="s">
        <v>2495</v>
      </c>
      <c r="C1395" s="60" t="s">
        <v>206</v>
      </c>
      <c r="D1395" s="60" t="s">
        <v>226</v>
      </c>
      <c r="E1395" s="60"/>
      <c r="F1395" s="60" t="s">
        <v>260</v>
      </c>
      <c r="G1395" s="61" t="n">
        <v>92.69</v>
      </c>
      <c r="H1395" s="62" t="n">
        <f aca="false">MAX(0,IF(AND(Parameter!$B$21="Ja",ISNUMBER(Y1395)),Y1395,IF(Parameter!$B$20="Jahresanfang 2025 + Export",BS1395+BR1395,BR1395)))</f>
        <v>35</v>
      </c>
      <c r="I1395" s="62" t="n">
        <f aca="false">H1395*G1395</f>
        <v>3244.15</v>
      </c>
      <c r="J1395" s="62" t="n">
        <f aca="false">BU1395*Parameter!$B$18</f>
        <v>2</v>
      </c>
      <c r="K1395" s="63" t="n">
        <v>76</v>
      </c>
      <c r="L1395" s="64" t="n">
        <v>0.0263157894736842</v>
      </c>
      <c r="M1395" s="62" t="n">
        <v>0</v>
      </c>
      <c r="N1395" s="62" t="n">
        <v>1</v>
      </c>
      <c r="O1395" s="65" t="n">
        <v>28</v>
      </c>
      <c r="P1395" s="60" t="s">
        <v>344</v>
      </c>
      <c r="Q1395" s="62" t="n">
        <v>60</v>
      </c>
      <c r="R1395" s="65" t="n">
        <f aca="false">IF(CA1395=1,0,IFERROR(VLOOKUP(BY1395,'Gebinde-Kategorie'!$A$5:$N$45,13,0)+0,0))</f>
        <v>26</v>
      </c>
      <c r="S1395" s="66"/>
      <c r="T1395" s="67"/>
      <c r="U1395" s="67"/>
      <c r="V1395" s="67"/>
      <c r="W1395" s="60"/>
      <c r="X1395" s="62"/>
      <c r="Y1395" s="62"/>
      <c r="Z1395" s="60" t="n">
        <v>3</v>
      </c>
      <c r="AA1395" s="60" t="n">
        <f aca="false">IF(A1395="","",IF(AND(Parameter!$B$21="Ja",ISNUMBER(W1395)),W1395,IF(AND(Parameter!$E$27="Ja",ISNUMBER(Z1395),CD1395&lt;&gt;"Nein"),Z1395,IF(CD1395="2+3",IF(ISNUMBER(SEARCH("grosser Artikel",BV1395)),2,IFERROR(VLOOKUP(BY1395,Parameter!$F$35:$G$64,2,0),2)),IF(OR(CD1395="Nein",CD1395=""),"-",CD1395)))))</f>
        <v>3</v>
      </c>
      <c r="AB1395" s="67"/>
      <c r="AC1395" s="68"/>
      <c r="AD1395" s="62" t="n">
        <f aca="false">AW1395</f>
        <v>2</v>
      </c>
      <c r="AE1395" s="62" t="n">
        <f aca="false">MAX(AW1395,H1395)</f>
        <v>35</v>
      </c>
      <c r="AF1395" s="69"/>
      <c r="AG1395" s="62" t="n">
        <f aca="false">IF(LEFT(Cockpit!$C$5,1)="A",H1395,IF(Parameter!$E$30="MAX-Bestand",IF(CI1395=1,CJ1395,IF(LEFT(Cockpit!$C$5,1)="B",AM1395,MAX(AM1395,H1395))),ROUNDUP(AK1395,0)))</f>
        <v>35</v>
      </c>
      <c r="AH1395" s="62" t="n">
        <f aca="false">IF(CA1395=1,0,ROUNDUP(AG1395/BZ1395,0))</f>
        <v>1</v>
      </c>
      <c r="AI1395" s="64" t="n">
        <f aca="false">IF(CR1395&gt;0,CR1395*MAX(1,AG1395/X1395),IF(CA1395=1,IF(AG1395&lt;=0,0,CE1395*MAX(1,IF(H1395&gt;0,AG1395/H1395,1))),IF(R1395&gt;0,AH1395/R1395,0))/MAX(0.1,N(Parameter!$M$21)))</f>
        <v>0.0384615384615385</v>
      </c>
      <c r="AJ1395" s="62" t="n">
        <f aca="false">AI1395*CC1395</f>
        <v>5.96153846153846</v>
      </c>
      <c r="AK1395" s="63" t="n">
        <f aca="false">IF(LEFT(Cockpit!$C$5,1)="A",H1395,IF(CI1395=1,(CL1395+CJ1395)/2,IF(LEFT(Cockpit!$C$5,1)="B",(CL1395+AM1395)/2,MAX((CL1395+AM1395)/2,H1395))))</f>
        <v>35</v>
      </c>
      <c r="AL1395" s="62" t="n">
        <f aca="false">AK1395*G1395</f>
        <v>3244.15</v>
      </c>
      <c r="AM1395" s="62" t="n">
        <f aca="false">ROUNDUP(CL1395+MAX(CM1395,2*(J1395/IF(CH1395&gt;0,CH1395,MAX(0.1,N(Cockpit!$C$6)))-CL1395)),0)</f>
        <v>2</v>
      </c>
      <c r="AN1395" s="63" t="n">
        <f aca="false">IF(AJ1395&gt;0,J1395/AJ1395,-1)</f>
        <v>0.335483870967742</v>
      </c>
      <c r="AO1395" s="63" t="n">
        <f aca="false">IF(AND(OR(CG1395="L1",CG1395="L23",CG1395="LIFT"),AJ1395&gt;0),SUMIFS($AJ$7:$AJ$1843,$CG$7:$CG$1843,CG1395,$AN$7:$AN$1843,"&gt;"&amp;AN1395)+SUMIFS($AJ$7:$AJ$1843,$CG$7:$CG$1843,CG1395,$AN$7:$AN$1843,AN1395,$BX$7:$BX$1843,"&lt;="&amp;BX1395),"")</f>
        <v>11248.6155010244</v>
      </c>
      <c r="AP1395" s="70" t="n">
        <f aca="false">IF(AO1395="",0,MAX(0,MIN(1,(IF(CG1395="L1",Parameter!$H$5,IF(CG1395="L23",Parameter!$H$6+Parameter!$H$7,Parameter!$H$5+Parameter!$H$6+Parameter!$H$7))-(AO1395-AJ1395))/AJ1395)))</f>
        <v>1</v>
      </c>
      <c r="AQ1395" s="62" t="n">
        <f aca="false">IF(LEFT(Cockpit!$I$5,1)="A",H1395,IF(Parameter!$E$30="MAX-Bestand",IF(CI1395=1,CJ1395,IF(LEFT(Cockpit!$I$5,1)="B",AW1395,MAX(AW1395,H1395))),ROUNDUP(AU1395,0)))</f>
        <v>35</v>
      </c>
      <c r="AR1395" s="62" t="n">
        <f aca="false">IF(CA1395=1,0,ROUNDUP(AQ1395/BZ1395,0))</f>
        <v>1</v>
      </c>
      <c r="AS1395" s="64" t="n">
        <f aca="false">IF(CR1395&gt;0,CR1395*MAX(1,AQ1395/X1395),IF(CA1395=1,IF(AQ1395&lt;=0,0,CE1395*MAX(1,IF(H1395&gt;0,AQ1395/H1395,1))),IF(R1395&gt;0,AR1395/R1395,0))/MAX(0.1,N(Parameter!$M$21)))</f>
        <v>0.0384615384615385</v>
      </c>
      <c r="AT1395" s="62" t="n">
        <f aca="false">AS1395*CC1395</f>
        <v>5.96153846153846</v>
      </c>
      <c r="AU1395" s="63" t="n">
        <f aca="false">IF(LEFT(Cockpit!$I$5,1)="A",H1395,IF(CI1395=1,(CL1395+CJ1395)/2,IF(LEFT(Cockpit!$I$5,1)="B",(CL1395+AW1395)/2,MAX((CL1395+AW1395)/2,H1395))))</f>
        <v>35</v>
      </c>
      <c r="AV1395" s="62" t="n">
        <f aca="false">AU1395*G1395</f>
        <v>3244.15</v>
      </c>
      <c r="AW1395" s="62" t="n">
        <f aca="false">ROUNDUP(CL1395+MAX(CM1395,2*(J1395/IF(CH1395&gt;0,CH1395,MAX(0.1,N(Cockpit!$I$6)))-CL1395)),0)</f>
        <v>2</v>
      </c>
      <c r="AX1395" s="63" t="n">
        <f aca="false">IF(AT1395&gt;0,J1395/AT1395,-1)</f>
        <v>0.335483870967742</v>
      </c>
      <c r="AY1395" s="63" t="n">
        <f aca="false">IF(AND(OR(CG1395="L1",CG1395="L23",CG1395="LIFT"),AT1395&gt;0),SUMIFS($AT$7:$AT$1843,$CG$7:$CG$1843,CG1395,$AX$7:$AX$1843,"&gt;"&amp;AX1395)+SUMIFS($AT$7:$AT$1843,$CG$7:$CG$1843,CG1395,$AX$7:$AX$1843,AX1395,$BX$7:$BX$1843,"&lt;="&amp;BX1395),"")</f>
        <v>13782.7532051282</v>
      </c>
      <c r="AZ1395" s="70" t="n">
        <f aca="false">IF(AY1395="",0,MAX(0,MIN(1,(IF(CG1395="L1",Parameter!$H$5,IF(CG1395="L23",Parameter!$H$6+Parameter!$H$7,Parameter!$H$5+Parameter!$H$6+Parameter!$H$7))-(AY1395-AT1395))/AT1395)))</f>
        <v>1</v>
      </c>
      <c r="BA1395" s="62" t="n">
        <f aca="false">IF(LEFT(Cockpit!$O$5,1)="A",H1395,IF(Parameter!$E$30="MAX-Bestand",IF(CI1395=1,CJ1395,IF(LEFT(Cockpit!$O$5,1)="B",BG1395,MAX(BG1395,H1395))),ROUNDUP(BE1395,0)))</f>
        <v>1</v>
      </c>
      <c r="BB1395" s="62" t="n">
        <f aca="false">IF(CA1395=1,0,ROUNDUP(BA1395/BZ1395,0))</f>
        <v>1</v>
      </c>
      <c r="BC1395" s="64" t="n">
        <f aca="false">IF(CR1395&gt;0,CR1395*MAX(1,BA1395/X1395),IF(CA1395=1,IF(BA1395&lt;=0,0,CE1395*MAX(1,IF(H1395&gt;0,BA1395/H1395,1))),IF(R1395&gt;0,BB1395/R1395,0))/MAX(0.1,N(Parameter!$M$21)))</f>
        <v>0.0384615384615385</v>
      </c>
      <c r="BD1395" s="62" t="n">
        <f aca="false">BC1395*CC1395</f>
        <v>5.96153846153846</v>
      </c>
      <c r="BE1395" s="63" t="n">
        <f aca="false">IF(LEFT(Cockpit!$O$5,1)="A",H1395,IF(CI1395=1,(CL1395+CJ1395)/2,IF(LEFT(Cockpit!$O$5,1)="B",(CL1395+BG1395)/2,MAX((CL1395+BG1395)/2,H1395))))</f>
        <v>0.5</v>
      </c>
      <c r="BF1395" s="62" t="n">
        <f aca="false">BE1395*G1395</f>
        <v>46.345</v>
      </c>
      <c r="BG1395" s="62" t="n">
        <f aca="false">ROUNDUP(CL1395+MAX(CM1395,2*(J1395/IF(CH1395&gt;0,CH1395,MAX(0.1,N(Cockpit!$O$6)))-CL1395)),0)</f>
        <v>1</v>
      </c>
      <c r="BH1395" s="63" t="n">
        <f aca="false">IF(BD1395&gt;0,J1395/BD1395,-1)</f>
        <v>0.335483870967742</v>
      </c>
      <c r="BI1395" s="63" t="n">
        <f aca="false">IF(AND(OR(CG1395="L1",CG1395="L23",CG1395="LIFT"),BD1395&gt;0),SUMIFS($BD$7:$BD$1843,$CG$7:$CG$1843,CG1395,$BH$7:$BH$1843,"&gt;"&amp;BH1395)+SUMIFS($BD$7:$BD$1843,$CG$7:$CG$1843,CG1395,$BH$7:$BH$1843,BH1395,$BX$7:$BX$1843,"&lt;="&amp;BX1395),"")</f>
        <v>11633.711996337</v>
      </c>
      <c r="BJ1395" s="70" t="n">
        <f aca="false">IF(BI1395="",0,MAX(0,MIN(1,(IF(CG1395="L1",Parameter!$H$5,IF(CG1395="L23",Parameter!$H$6+Parameter!$H$7,Parameter!$H$5+Parameter!$H$6+Parameter!$H$7))-(BI1395-BD1395))/BD1395)))</f>
        <v>1</v>
      </c>
      <c r="BK1395" s="60" t="str">
        <f aca="false">IF(AJ1395&lt;=0,"",IF(CG1395="Aussen","Aussenlager",IF(CG1395="-","Nicht im Lift",IF(AP1395&gt;=1,"Lift",IF(AP1395&lt;=0,"Aussenlager","teilweise")))))</f>
        <v>Lift</v>
      </c>
      <c r="BL1395" s="60" t="str">
        <f aca="false">IF(AT1395&lt;=0,"",IF(CG1395="Aussen","Aussenlager",IF(CG1395="-","Nicht im Lift",IF(AZ1395&gt;=1,"Lift",IF(AZ1395&lt;=0,"Aussenlager","teilweise")))))</f>
        <v>Lift</v>
      </c>
      <c r="BM1395" s="60" t="str">
        <f aca="false">IF(BD1395&lt;=0,"",IF(CG1395="Aussen","Aussenlager",IF(CG1395="-","Nicht im Lift",IF(BJ1395&gt;=1,"Lift",IF(BJ1395&lt;=0,"Aussenlager","teilweise")))))</f>
        <v>Lift</v>
      </c>
      <c r="BN1395" s="60" t="str">
        <f aca="false">IF(A1395="","",IF(BW1395=1,"Neu; ","")&amp;IF(AND(BW1395=0,BR1395&lt;0),"negativer Bestand (Export "&amp;BR1395&amp;"); ","")&amp;IF(J1395&lt;=0,"Kein Verbrauch; ","")&amp;IF(CR1395&gt;0,"Lift "&amp;W1395&amp;" lt. Liftbericht (Fach "&amp;X1395&amp;" Stk); ",IF(CB1395=1,"Gebinde geschätzt ("&amp;T1395&amp;"); ",IF(CA1395=1,"Lose – Tablare geschätzt; ","")))&amp;IF(H1395&gt;AW1395,"Überbestand "&amp;ROUND(H1395-AW1395,0)&amp;" Stk / CHF "&amp;ROUND((H1395-AW1395)*G1395,0)&amp;"; ","")&amp;IF(AND(CI1395=1,CJ1395&lt;CK1395),"MAX &lt; MB+LG; ","")&amp;IF(AND(CQ1395&gt;0,CP1395*10&gt;CQ1395),"zu hoch für Tablar; ","")&amp;IF(AND(BW1395=0,OR(CI1395=1,AB1395&lt;&gt;"",U1395&lt;&gt;"",V1395&lt;&gt;"",AC1395&lt;&gt;"")),"manuell übersteuert; ","")&amp;IF(AND(CA1395=0,R1395=0),"Gebinde unbekannt / Stellmass fehlt; ","")&amp;IF(AND(CA1395=0,N(V1395)&lt;=0,N(Q1395)&lt;=0),"Menge pro Gebinde fehlt (Ist = 1 Gebinde); ","")&amp;BV1395)</f>
        <v>negativer Bestand (Export -41); Überbestand 33 Stk / CHF 3059; </v>
      </c>
      <c r="BO1395" s="60"/>
      <c r="BP1395" s="60"/>
      <c r="BQ1395" s="67"/>
      <c r="BR1395" s="62" t="n">
        <v>-41</v>
      </c>
      <c r="BS1395" s="62" t="n">
        <v>76</v>
      </c>
      <c r="BT1395" s="61" t="n">
        <v>-3800.29</v>
      </c>
      <c r="BU1395" s="62" t="n">
        <v>2</v>
      </c>
      <c r="BV1395" s="60"/>
      <c r="BW1395" s="65" t="n">
        <v>0</v>
      </c>
      <c r="BX1395" s="65" t="n">
        <v>1395</v>
      </c>
      <c r="BY1395" s="60" t="str">
        <f aca="false">IF(U1395&lt;&gt;"",UPPER(TRIM(U1395)),IF(CB1395=1,UPPER(VLOOKUP(T1395,Parameter!$I$27:$K$29,2,0)),IF(P1395="","LOSE",P1395)))</f>
        <v>S51</v>
      </c>
      <c r="BZ1395" s="62" t="n">
        <f aca="false">IF(BY1395="LOSE",1,IF(N(V1395)&gt;0,V1395,IF(CB1395=1,MAX(1,N(VLOOKUP(T1395,Parameter!$I$27:$K$29,3,0)),H1395,N(N1395)),IF(N(Q1395)&gt;0,Q1395,MAX(1,H1395)))))</f>
        <v>60</v>
      </c>
      <c r="CA1395" s="65" t="n">
        <f aca="false">IF(BY1395="LOSE",1,0)</f>
        <v>0</v>
      </c>
      <c r="CB1395" s="65" t="n">
        <f aca="false">IF(AND(U1395="",OR(P1395="",P1395="LOSE"),T1395&lt;&gt;"",N(S1395)&lt;=0,ISNUMBER(MATCH(T1395,Parameter!$I$27:$I$29,0))),1,0)</f>
        <v>0</v>
      </c>
      <c r="CC1395" s="65" t="n">
        <f aca="false">IF(CR1395&gt;0,INDEX(Parameter!$H$5:$H$7,W1395)/INDEX(Parameter!$E$5:$E$7,W1395),IF(AND(CA1395=0,N(IFERROR(VLOOKUP(BY1395,'Gebinde-Kategorie'!$A$5:$N$45,14,0),0))&gt;0),VLOOKUP(BY1395,'Gebinde-Kategorie'!$A$5:$N$45,14,0)*10+Parameter!$M$23,Parameter!$M$24))</f>
        <v>155</v>
      </c>
      <c r="CD1395" s="60" t="str">
        <f aca="false">IF(AND(Parameter!$B$19="Ja",E1395&lt;&gt;"",ISNUMBER(MATCH(E1395,Parameter!$I$35:$I$52,0))),VLOOKUP(E1395,Parameter!$I$35:$J$52,2,0),IFERROR(VLOOKUP(D1395,Parameter!$A$35:$C$64,2,0),"Nein"))</f>
        <v>2+3</v>
      </c>
      <c r="CE1395" s="64" t="n">
        <f aca="false">IF(CA1395=0,0,IF(N(S1395)&gt;0,S1395,IFERROR(VLOOKUP(D1395,Parameter!$A$35:$C$64,3,0)+0,0)))</f>
        <v>0</v>
      </c>
      <c r="CF1395" s="60" t="n">
        <f aca="false">IF(AB1395&lt;&gt;"",AB1395,AA1395)</f>
        <v>3</v>
      </c>
      <c r="CG1395" s="60" t="str">
        <f aca="false">IF(OR(CF1395=1,CF1395=2,CF1395=3),IF(Parameter!$E$27="Ja","LIFT",IF(CF1395=1,"L1","L23")),IF(CF1395="Aussen","Aussen","-"))</f>
        <v>LIFT</v>
      </c>
      <c r="CH1395" s="71" t="n">
        <f aca="false">IF(N(AC1395)&gt;0,AC1395,0)</f>
        <v>0</v>
      </c>
      <c r="CI1395" s="65" t="n">
        <f aca="false">IF(ISNUMBER(AF1395),1,0)</f>
        <v>0</v>
      </c>
      <c r="CJ1395" s="62" t="n">
        <f aca="false">N(AF1395)</f>
        <v>0</v>
      </c>
      <c r="CK1395" s="62" t="n">
        <f aca="false">N(M1395)+N(N1395)</f>
        <v>1</v>
      </c>
      <c r="CL1395" s="62" t="n">
        <f aca="false">N(M1395)</f>
        <v>0</v>
      </c>
      <c r="CM1395" s="62" t="n">
        <f aca="false">N(N1395)</f>
        <v>1</v>
      </c>
      <c r="CN1395" s="62" t="n">
        <f aca="false">ROUNDUP(H1395/BZ1395,0)</f>
        <v>1</v>
      </c>
      <c r="CO1395" s="62" t="n">
        <f aca="false">ROUNDUP(CJ1395/BZ1395,0)</f>
        <v>0</v>
      </c>
      <c r="CP1395" s="65" t="n">
        <f aca="false">IF(CA1395=1,0,IFERROR(VLOOKUP(BY1395,'Gebinde-Kategorie'!$A$5:$N$45,5,0)+0,0))</f>
        <v>11</v>
      </c>
      <c r="CQ1395" s="65" t="n">
        <f aca="false">IFERROR(IF(OR(CF1395=1,CF1395=2,CF1395=3),N(INDEX(Parameter!$I$5:$I$7,CF1395)),0),0)</f>
        <v>0</v>
      </c>
      <c r="CR1395" s="64" t="n">
        <f aca="false">IF(AND(Parameter!$B$21="Ja",ISNUMBER(W1395),N(X1395)&gt;0),IFERROR(N(INDEX(Parameter!$L$5:$L$7,W1395))*INDEX(Parameter!$E$5:$E$7,W1395)*X1395/SUMIFS($X$7:$X$1843,$W$7:$W$1843,W1395),0),0)</f>
        <v>0</v>
      </c>
      <c r="CS1395" s="62" t="n">
        <f aca="false">IF(AND(OR(CG1395="L1",CG1395="L23",CG1395="LIFT"),H1395&gt;0),CC1395*IF(CR1395&gt;0,CR1395*MAX(1,H1395/X1395),IF(CA1395=1,CE1395,IF(R1395&gt;0,CN1395/R1395,0))/MAX(0.1,N(Parameter!$M$21))),"")</f>
        <v>5.96153846153846</v>
      </c>
      <c r="CT1395" s="64" t="n">
        <f aca="false">IF(CS1395="","",J1395/H1395)</f>
        <v>0.0571428571428571</v>
      </c>
      <c r="CU1395" s="62" t="n">
        <f aca="false">IF(CS1395="","",H1395*G1395)</f>
        <v>3244.15</v>
      </c>
      <c r="CV1395" s="63" t="n">
        <f aca="false">IF(CS1395="","",(CL1395+ROUNDUP(CL1395+MAX(CM1395,2*(J1395/MAX(0.1,N(Einkauf!$C$6))-CL1395)),0))/2)</f>
        <v>0.5</v>
      </c>
      <c r="CW1395" s="62" t="n">
        <f aca="false">IF(CS1395="","",MAX(0,H1395-CV1395)*G1395)</f>
        <v>3197.805</v>
      </c>
      <c r="CX1395" s="62" t="n">
        <f aca="false">IF(CS1395="","",CS1395*MAX(0,1-CV1395/H1395))</f>
        <v>5.87637362637363</v>
      </c>
      <c r="CY1395" s="64" t="n">
        <f aca="false">IF(CS1395="","",PERCENTRANK($CS$7:$CS$1843,CS1395)+PERCENTRANK($CU$7:$CU$1843,CU1395)+1-PERCENTRANK($CT$7:$CT$1843,CT1395))</f>
        <v>1.793</v>
      </c>
      <c r="CZ1395" s="72" t="n">
        <f aca="false">IF(CS1395="","",CHOOSE(MATCH(Einkauf!$C$5,Parameter!$G$23:$G$27,0),CY1395,CS1395,CU1395,-CT1395,CW1395)+ROW()/1000000000)</f>
        <v>1.793001395</v>
      </c>
    </row>
    <row r="1396" customFormat="false" ht="15" hidden="false" customHeight="false" outlineLevel="0" collapsed="false">
      <c r="A1396" s="60" t="s">
        <v>2496</v>
      </c>
      <c r="B1396" s="60" t="s">
        <v>2497</v>
      </c>
      <c r="C1396" s="60" t="s">
        <v>206</v>
      </c>
      <c r="D1396" s="60" t="s">
        <v>215</v>
      </c>
      <c r="E1396" s="60"/>
      <c r="F1396" s="60" t="s">
        <v>260</v>
      </c>
      <c r="G1396" s="61" t="n">
        <v>785</v>
      </c>
      <c r="H1396" s="62" t="n">
        <f aca="false">MAX(0,IF(AND(Parameter!$B$21="Ja",ISNUMBER(Y1396)),Y1396,IF(Parameter!$B$20="Jahresanfang 2025 + Export",BS1396+BR1396,BR1396)))</f>
        <v>2</v>
      </c>
      <c r="I1396" s="62" t="n">
        <f aca="false">H1396*G1396</f>
        <v>1570</v>
      </c>
      <c r="J1396" s="62" t="n">
        <f aca="false">BU1396*Parameter!$B$18</f>
        <v>3</v>
      </c>
      <c r="K1396" s="63" t="n">
        <v>4.5</v>
      </c>
      <c r="L1396" s="64" t="n">
        <v>0.666666666666667</v>
      </c>
      <c r="M1396" s="62" t="n">
        <v>1</v>
      </c>
      <c r="N1396" s="62" t="n">
        <v>5</v>
      </c>
      <c r="O1396" s="65" t="n">
        <v>140</v>
      </c>
      <c r="P1396" s="60" t="s">
        <v>265</v>
      </c>
      <c r="Q1396" s="62" t="n">
        <v>2</v>
      </c>
      <c r="R1396" s="65" t="n">
        <f aca="false">IF(CA1396=1,0,IFERROR(VLOOKUP(BY1396,'Gebinde-Kategorie'!$A$5:$N$45,13,0)+0,0))</f>
        <v>4</v>
      </c>
      <c r="S1396" s="66"/>
      <c r="T1396" s="67"/>
      <c r="U1396" s="67"/>
      <c r="V1396" s="67"/>
      <c r="W1396" s="60"/>
      <c r="X1396" s="62"/>
      <c r="Y1396" s="62"/>
      <c r="Z1396" s="60" t="n">
        <v>2</v>
      </c>
      <c r="AA1396" s="60" t="n">
        <f aca="false">IF(A1396="","",IF(AND(Parameter!$B$21="Ja",ISNUMBER(W1396)),W1396,IF(AND(Parameter!$E$27="Ja",ISNUMBER(Z1396),CD1396&lt;&gt;"Nein"),Z1396,IF(CD1396="2+3",IF(ISNUMBER(SEARCH("grosser Artikel",BV1396)),2,IFERROR(VLOOKUP(BY1396,Parameter!$F$35:$G$64,2,0),2)),IF(OR(CD1396="Nein",CD1396=""),"-",CD1396)))))</f>
        <v>2</v>
      </c>
      <c r="AB1396" s="67"/>
      <c r="AC1396" s="68"/>
      <c r="AD1396" s="62" t="n">
        <f aca="false">AW1396</f>
        <v>6</v>
      </c>
      <c r="AE1396" s="62" t="n">
        <f aca="false">MAX(AW1396,H1396)</f>
        <v>6</v>
      </c>
      <c r="AF1396" s="69"/>
      <c r="AG1396" s="62" t="n">
        <f aca="false">IF(LEFT(Cockpit!$C$5,1)="A",H1396,IF(Parameter!$E$30="MAX-Bestand",IF(CI1396=1,CJ1396,IF(LEFT(Cockpit!$C$5,1)="B",AM1396,MAX(AM1396,H1396))),ROUNDUP(AK1396,0)))</f>
        <v>2</v>
      </c>
      <c r="AH1396" s="62" t="n">
        <f aca="false">IF(CA1396=1,0,ROUNDUP(AG1396/BZ1396,0))</f>
        <v>1</v>
      </c>
      <c r="AI1396" s="64" t="n">
        <f aca="false">IF(CR1396&gt;0,CR1396*MAX(1,AG1396/X1396),IF(CA1396=1,IF(AG1396&lt;=0,0,CE1396*MAX(1,IF(H1396&gt;0,AG1396/H1396,1))),IF(R1396&gt;0,AH1396/R1396,0))/MAX(0.1,N(Parameter!$M$21)))</f>
        <v>0.25</v>
      </c>
      <c r="AJ1396" s="62" t="n">
        <f aca="false">AI1396*CC1396</f>
        <v>58.75</v>
      </c>
      <c r="AK1396" s="63" t="n">
        <f aca="false">IF(LEFT(Cockpit!$C$5,1)="A",H1396,IF(CI1396=1,(CL1396+CJ1396)/2,IF(LEFT(Cockpit!$C$5,1)="B",(CL1396+AM1396)/2,MAX((CL1396+AM1396)/2,H1396))))</f>
        <v>2</v>
      </c>
      <c r="AL1396" s="62" t="n">
        <f aca="false">AK1396*G1396</f>
        <v>1570</v>
      </c>
      <c r="AM1396" s="62" t="n">
        <f aca="false">ROUNDUP(CL1396+MAX(CM1396,2*(J1396/IF(CH1396&gt;0,CH1396,MAX(0.1,N(Cockpit!$C$6)))-CL1396)),0)</f>
        <v>6</v>
      </c>
      <c r="AN1396" s="63" t="n">
        <f aca="false">IF(AJ1396&gt;0,J1396/AJ1396,-1)</f>
        <v>0.051063829787234</v>
      </c>
      <c r="AO1396" s="63" t="n">
        <f aca="false">IF(AND(OR(CG1396="L1",CG1396="L23",CG1396="LIFT"),AJ1396&gt;0),SUMIFS($AJ$7:$AJ$1843,$CG$7:$CG$1843,CG1396,$AN$7:$AN$1843,"&gt;"&amp;AN1396)+SUMIFS($AJ$7:$AJ$1843,$CG$7:$CG$1843,CG1396,$AN$7:$AN$1843,AN1396,$BX$7:$BX$1843,"&lt;="&amp;BX1396),"")</f>
        <v>19278.6457880632</v>
      </c>
      <c r="AP1396" s="70" t="n">
        <f aca="false">IF(AO1396="",0,MAX(0,MIN(1,(IF(CG1396="L1",Parameter!$H$5,IF(CG1396="L23",Parameter!$H$6+Parameter!$H$7,Parameter!$H$5+Parameter!$H$6+Parameter!$H$7))-(AO1396-AJ1396))/AJ1396)))</f>
        <v>1</v>
      </c>
      <c r="AQ1396" s="62" t="n">
        <f aca="false">IF(LEFT(Cockpit!$I$5,1)="A",H1396,IF(Parameter!$E$30="MAX-Bestand",IF(CI1396=1,CJ1396,IF(LEFT(Cockpit!$I$5,1)="B",AW1396,MAX(AW1396,H1396))),ROUNDUP(AU1396,0)))</f>
        <v>4</v>
      </c>
      <c r="AR1396" s="62" t="n">
        <f aca="false">IF(CA1396=1,0,ROUNDUP(AQ1396/BZ1396,0))</f>
        <v>2</v>
      </c>
      <c r="AS1396" s="64" t="n">
        <f aca="false">IF(CR1396&gt;0,CR1396*MAX(1,AQ1396/X1396),IF(CA1396=1,IF(AQ1396&lt;=0,0,CE1396*MAX(1,IF(H1396&gt;0,AQ1396/H1396,1))),IF(R1396&gt;0,AR1396/R1396,0))/MAX(0.1,N(Parameter!$M$21)))</f>
        <v>0.5</v>
      </c>
      <c r="AT1396" s="62" t="n">
        <f aca="false">AS1396*CC1396</f>
        <v>117.5</v>
      </c>
      <c r="AU1396" s="63" t="n">
        <f aca="false">IF(LEFT(Cockpit!$I$5,1)="A",H1396,IF(CI1396=1,(CL1396+CJ1396)/2,IF(LEFT(Cockpit!$I$5,1)="B",(CL1396+AW1396)/2,MAX((CL1396+AW1396)/2,H1396))))</f>
        <v>3.5</v>
      </c>
      <c r="AV1396" s="62" t="n">
        <f aca="false">AU1396*G1396</f>
        <v>2747.5</v>
      </c>
      <c r="AW1396" s="62" t="n">
        <f aca="false">ROUNDUP(CL1396+MAX(CM1396,2*(J1396/IF(CH1396&gt;0,CH1396,MAX(0.1,N(Cockpit!$I$6)))-CL1396)),0)</f>
        <v>6</v>
      </c>
      <c r="AX1396" s="63" t="n">
        <f aca="false">IF(AT1396&gt;0,J1396/AT1396,-1)</f>
        <v>0.025531914893617</v>
      </c>
      <c r="AY1396" s="63" t="n">
        <f aca="false">IF(AND(OR(CG1396="L1",CG1396="L23",CG1396="LIFT"),AT1396&gt;0),SUMIFS($AT$7:$AT$1843,$CG$7:$CG$1843,CG1396,$AX$7:$AX$1843,"&gt;"&amp;AX1396)+SUMIFS($AT$7:$AT$1843,$CG$7:$CG$1843,CG1396,$AX$7:$AX$1843,AX1396,$BX$7:$BX$1843,"&lt;="&amp;BX1396),"")</f>
        <v>27200.2590462739</v>
      </c>
      <c r="AZ1396" s="70" t="n">
        <f aca="false">IF(AY1396="",0,MAX(0,MIN(1,(IF(CG1396="L1",Parameter!$H$5,IF(CG1396="L23",Parameter!$H$6+Parameter!$H$7,Parameter!$H$5+Parameter!$H$6+Parameter!$H$7))-(AY1396-AT1396))/AT1396)))</f>
        <v>1</v>
      </c>
      <c r="BA1396" s="62" t="n">
        <f aca="false">IF(LEFT(Cockpit!$O$5,1)="A",H1396,IF(Parameter!$E$30="MAX-Bestand",IF(CI1396=1,CJ1396,IF(LEFT(Cockpit!$O$5,1)="B",BG1396,MAX(BG1396,H1396))),ROUNDUP(BE1396,0)))</f>
        <v>4</v>
      </c>
      <c r="BB1396" s="62" t="n">
        <f aca="false">IF(CA1396=1,0,ROUNDUP(BA1396/BZ1396,0))</f>
        <v>2</v>
      </c>
      <c r="BC1396" s="64" t="n">
        <f aca="false">IF(CR1396&gt;0,CR1396*MAX(1,BA1396/X1396),IF(CA1396=1,IF(BA1396&lt;=0,0,CE1396*MAX(1,IF(H1396&gt;0,BA1396/H1396,1))),IF(R1396&gt;0,BB1396/R1396,0))/MAX(0.1,N(Parameter!$M$21)))</f>
        <v>0.5</v>
      </c>
      <c r="BD1396" s="62" t="n">
        <f aca="false">BC1396*CC1396</f>
        <v>117.5</v>
      </c>
      <c r="BE1396" s="63" t="n">
        <f aca="false">IF(LEFT(Cockpit!$O$5,1)="A",H1396,IF(CI1396=1,(CL1396+CJ1396)/2,IF(LEFT(Cockpit!$O$5,1)="B",(CL1396+BG1396)/2,MAX((CL1396+BG1396)/2,H1396))))</f>
        <v>3.5</v>
      </c>
      <c r="BF1396" s="62" t="n">
        <f aca="false">BE1396*G1396</f>
        <v>2747.5</v>
      </c>
      <c r="BG1396" s="62" t="n">
        <f aca="false">ROUNDUP(CL1396+MAX(CM1396,2*(J1396/IF(CH1396&gt;0,CH1396,MAX(0.1,N(Cockpit!$O$6)))-CL1396)),0)</f>
        <v>6</v>
      </c>
      <c r="BH1396" s="63" t="n">
        <f aca="false">IF(BD1396&gt;0,J1396/BD1396,-1)</f>
        <v>0.025531914893617</v>
      </c>
      <c r="BI1396" s="63" t="n">
        <f aca="false">IF(AND(OR(CG1396="L1",CG1396="L23",CG1396="LIFT"),BD1396&gt;0),SUMIFS($BD$7:$BD$1843,$CG$7:$CG$1843,CG1396,$BH$7:$BH$1843,"&gt;"&amp;BH1396)+SUMIFS($BD$7:$BD$1843,$CG$7:$CG$1843,CG1396,$BH$7:$BH$1843,BH1396,$BX$7:$BX$1843,"&lt;="&amp;BX1396),"")</f>
        <v>22824.5331972641</v>
      </c>
      <c r="BJ1396" s="70" t="n">
        <f aca="false">IF(BI1396="",0,MAX(0,MIN(1,(IF(CG1396="L1",Parameter!$H$5,IF(CG1396="L23",Parameter!$H$6+Parameter!$H$7,Parameter!$H$5+Parameter!$H$6+Parameter!$H$7))-(BI1396-BD1396))/BD1396)))</f>
        <v>1</v>
      </c>
      <c r="BK1396" s="60" t="str">
        <f aca="false">IF(AJ1396&lt;=0,"",IF(CG1396="Aussen","Aussenlager",IF(CG1396="-","Nicht im Lift",IF(AP1396&gt;=1,"Lift",IF(AP1396&lt;=0,"Aussenlager","teilweise")))))</f>
        <v>Lift</v>
      </c>
      <c r="BL1396" s="60" t="str">
        <f aca="false">IF(AT1396&lt;=0,"",IF(CG1396="Aussen","Aussenlager",IF(CG1396="-","Nicht im Lift",IF(AZ1396&gt;=1,"Lift",IF(AZ1396&lt;=0,"Aussenlager","teilweise")))))</f>
        <v>Lift</v>
      </c>
      <c r="BM1396" s="60" t="str">
        <f aca="false">IF(BD1396&lt;=0,"",IF(CG1396="Aussen","Aussenlager",IF(CG1396="-","Nicht im Lift",IF(BJ1396&gt;=1,"Lift",IF(BJ1396&lt;=0,"Aussenlager","teilweise")))))</f>
        <v>Lift</v>
      </c>
      <c r="BN1396" s="60" t="str">
        <f aca="false">IF(A1396="","",IF(BW1396=1,"Neu; ","")&amp;IF(AND(BW1396=0,BR1396&lt;0),"negativer Bestand (Export "&amp;BR1396&amp;"); ","")&amp;IF(J1396&lt;=0,"Kein Verbrauch; ","")&amp;IF(CR1396&gt;0,"Lift "&amp;W1396&amp;" lt. Liftbericht (Fach "&amp;X1396&amp;" Stk); ",IF(CB1396=1,"Gebinde geschätzt ("&amp;T1396&amp;"); ",IF(CA1396=1,"Lose – Tablare geschätzt; ","")))&amp;IF(H1396&gt;AW1396,"Überbestand "&amp;ROUND(H1396-AW1396,0)&amp;" Stk / CHF "&amp;ROUND((H1396-AW1396)*G1396,0)&amp;"; ","")&amp;IF(AND(CI1396=1,CJ1396&lt;CK1396),"MAX &lt; MB+LG; ","")&amp;IF(AND(CQ1396&gt;0,CP1396*10&gt;CQ1396),"zu hoch für Tablar; ","")&amp;IF(AND(BW1396=0,OR(CI1396=1,AB1396&lt;&gt;"",U1396&lt;&gt;"",V1396&lt;&gt;"",AC1396&lt;&gt;"")),"manuell übersteuert; ","")&amp;IF(AND(CA1396=0,R1396=0),"Gebinde unbekannt / Stellmass fehlt; ","")&amp;IF(AND(CA1396=0,N(V1396)&lt;=0,N(Q1396)&lt;=0),"Menge pro Gebinde fehlt (Ist = 1 Gebinde); ","")&amp;BV1396)</f>
        <v>negativer Bestand (Export -5); Neuer Art.</v>
      </c>
      <c r="BO1396" s="60"/>
      <c r="BP1396" s="60"/>
      <c r="BQ1396" s="67"/>
      <c r="BR1396" s="62" t="n">
        <v>-5</v>
      </c>
      <c r="BS1396" s="62" t="n">
        <v>7</v>
      </c>
      <c r="BT1396" s="61" t="n">
        <v>-3925</v>
      </c>
      <c r="BU1396" s="62" t="n">
        <v>3</v>
      </c>
      <c r="BV1396" s="60" t="s">
        <v>554</v>
      </c>
      <c r="BW1396" s="65" t="n">
        <v>0</v>
      </c>
      <c r="BX1396" s="65" t="n">
        <v>1396</v>
      </c>
      <c r="BY1396" s="60" t="str">
        <f aca="false">IF(U1396&lt;&gt;"",UPPER(TRIM(U1396)),IF(CB1396=1,UPPER(VLOOKUP(T1396,Parameter!$I$27:$K$29,2,0)),IF(P1396="","LOSE",P1396)))</f>
        <v>S81</v>
      </c>
      <c r="BZ1396" s="62" t="n">
        <f aca="false">IF(BY1396="LOSE",1,IF(N(V1396)&gt;0,V1396,IF(CB1396=1,MAX(1,N(VLOOKUP(T1396,Parameter!$I$27:$K$29,3,0)),H1396,N(N1396)),IF(N(Q1396)&gt;0,Q1396,MAX(1,H1396)))))</f>
        <v>2</v>
      </c>
      <c r="CA1396" s="65" t="n">
        <f aca="false">IF(BY1396="LOSE",1,0)</f>
        <v>0</v>
      </c>
      <c r="CB1396" s="65" t="n">
        <f aca="false">IF(AND(U1396="",OR(P1396="",P1396="LOSE"),T1396&lt;&gt;"",N(S1396)&lt;=0,ISNUMBER(MATCH(T1396,Parameter!$I$27:$I$29,0))),1,0)</f>
        <v>0</v>
      </c>
      <c r="CC1396" s="65" t="n">
        <f aca="false">IF(CR1396&gt;0,INDEX(Parameter!$H$5:$H$7,W1396)/INDEX(Parameter!$E$5:$E$7,W1396),IF(AND(CA1396=0,N(IFERROR(VLOOKUP(BY1396,'Gebinde-Kategorie'!$A$5:$N$45,14,0),0))&gt;0),VLOOKUP(BY1396,'Gebinde-Kategorie'!$A$5:$N$45,14,0)*10+Parameter!$M$23,Parameter!$M$24))</f>
        <v>235</v>
      </c>
      <c r="CD1396" s="60" t="str">
        <f aca="false">IF(AND(Parameter!$B$19="Ja",E1396&lt;&gt;"",ISNUMBER(MATCH(E1396,Parameter!$I$35:$I$52,0))),VLOOKUP(E1396,Parameter!$I$35:$J$52,2,0),IFERROR(VLOOKUP(D1396,Parameter!$A$35:$C$64,2,0),"Nein"))</f>
        <v>2+3</v>
      </c>
      <c r="CE1396" s="64" t="n">
        <f aca="false">IF(CA1396=0,0,IF(N(S1396)&gt;0,S1396,IFERROR(VLOOKUP(D1396,Parameter!$A$35:$C$64,3,0)+0,0)))</f>
        <v>0</v>
      </c>
      <c r="CF1396" s="60" t="n">
        <f aca="false">IF(AB1396&lt;&gt;"",AB1396,AA1396)</f>
        <v>2</v>
      </c>
      <c r="CG1396" s="60" t="str">
        <f aca="false">IF(OR(CF1396=1,CF1396=2,CF1396=3),IF(Parameter!$E$27="Ja","LIFT",IF(CF1396=1,"L1","L23")),IF(CF1396="Aussen","Aussen","-"))</f>
        <v>LIFT</v>
      </c>
      <c r="CH1396" s="71" t="n">
        <f aca="false">IF(N(AC1396)&gt;0,AC1396,0)</f>
        <v>0</v>
      </c>
      <c r="CI1396" s="65" t="n">
        <f aca="false">IF(ISNUMBER(AF1396),1,0)</f>
        <v>0</v>
      </c>
      <c r="CJ1396" s="62" t="n">
        <f aca="false">N(AF1396)</f>
        <v>0</v>
      </c>
      <c r="CK1396" s="62" t="n">
        <f aca="false">N(M1396)+N(N1396)</f>
        <v>6</v>
      </c>
      <c r="CL1396" s="62" t="n">
        <f aca="false">N(M1396)</f>
        <v>1</v>
      </c>
      <c r="CM1396" s="62" t="n">
        <f aca="false">N(N1396)</f>
        <v>5</v>
      </c>
      <c r="CN1396" s="62" t="n">
        <f aca="false">ROUNDUP(H1396/BZ1396,0)</f>
        <v>1</v>
      </c>
      <c r="CO1396" s="62" t="n">
        <f aca="false">ROUNDUP(CJ1396/BZ1396,0)</f>
        <v>0</v>
      </c>
      <c r="CP1396" s="65" t="n">
        <f aca="false">IF(CA1396=1,0,IFERROR(VLOOKUP(BY1396,'Gebinde-Kategorie'!$A$5:$N$45,5,0)+0,0))</f>
        <v>20</v>
      </c>
      <c r="CQ1396" s="65" t="n">
        <f aca="false">IFERROR(IF(OR(CF1396=1,CF1396=2,CF1396=3),N(INDEX(Parameter!$I$5:$I$7,CF1396)),0),0)</f>
        <v>0</v>
      </c>
      <c r="CR1396" s="64" t="n">
        <f aca="false">IF(AND(Parameter!$B$21="Ja",ISNUMBER(W1396),N(X1396)&gt;0),IFERROR(N(INDEX(Parameter!$L$5:$L$7,W1396))*INDEX(Parameter!$E$5:$E$7,W1396)*X1396/SUMIFS($X$7:$X$1843,$W$7:$W$1843,W1396),0),0)</f>
        <v>0</v>
      </c>
      <c r="CS1396" s="62" t="n">
        <f aca="false">IF(AND(OR(CG1396="L1",CG1396="L23",CG1396="LIFT"),H1396&gt;0),CC1396*IF(CR1396&gt;0,CR1396*MAX(1,H1396/X1396),IF(CA1396=1,CE1396,IF(R1396&gt;0,CN1396/R1396,0))/MAX(0.1,N(Parameter!$M$21))),"")</f>
        <v>58.75</v>
      </c>
      <c r="CT1396" s="64" t="n">
        <f aca="false">IF(CS1396="","",J1396/H1396)</f>
        <v>1.5</v>
      </c>
      <c r="CU1396" s="62" t="n">
        <f aca="false">IF(CS1396="","",H1396*G1396)</f>
        <v>1570</v>
      </c>
      <c r="CV1396" s="63" t="n">
        <f aca="false">IF(CS1396="","",(CL1396+ROUNDUP(CL1396+MAX(CM1396,2*(J1396/MAX(0.1,N(Einkauf!$C$6))-CL1396)),0))/2)</f>
        <v>3.5</v>
      </c>
      <c r="CW1396" s="62" t="n">
        <f aca="false">IF(CS1396="","",MAX(0,H1396-CV1396)*G1396)</f>
        <v>0</v>
      </c>
      <c r="CX1396" s="62" t="n">
        <f aca="false">IF(CS1396="","",CS1396*MAX(0,1-CV1396/H1396))</f>
        <v>0</v>
      </c>
      <c r="CY1396" s="64" t="n">
        <f aca="false">IF(CS1396="","",PERCENTRANK($CS$7:$CS$1843,CS1396)+PERCENTRANK($CU$7:$CU$1843,CU1396)+1-PERCENTRANK($CT$7:$CT$1843,CT1396))</f>
        <v>1.883</v>
      </c>
      <c r="CZ1396" s="72" t="n">
        <f aca="false">IF(CS1396="","",CHOOSE(MATCH(Einkauf!$C$5,Parameter!$G$23:$G$27,0),CY1396,CS1396,CU1396,-CT1396,CW1396)+ROW()/1000000000)</f>
        <v>1.883001396</v>
      </c>
    </row>
    <row r="1397" customFormat="false" ht="15" hidden="false" customHeight="false" outlineLevel="0" collapsed="false">
      <c r="A1397" s="60" t="s">
        <v>2498</v>
      </c>
      <c r="B1397" s="60" t="s">
        <v>295</v>
      </c>
      <c r="C1397" s="60" t="s">
        <v>209</v>
      </c>
      <c r="D1397" s="60" t="s">
        <v>207</v>
      </c>
      <c r="E1397" s="60" t="s">
        <v>208</v>
      </c>
      <c r="F1397" s="60" t="s">
        <v>260</v>
      </c>
      <c r="G1397" s="61" t="n">
        <v>1489.2</v>
      </c>
      <c r="H1397" s="62" t="n">
        <f aca="false">MAX(0,IF(AND(Parameter!$B$21="Ja",ISNUMBER(Y1397)),Y1397,IF(Parameter!$B$20="Jahresanfang 2025 + Export",BS1397+BR1397,BR1397)))</f>
        <v>0</v>
      </c>
      <c r="I1397" s="62" t="n">
        <f aca="false">H1397*G1397</f>
        <v>0</v>
      </c>
      <c r="J1397" s="62" t="n">
        <f aca="false">BU1397*Parameter!$B$18</f>
        <v>15</v>
      </c>
      <c r="K1397" s="63" t="n">
        <v>4.5</v>
      </c>
      <c r="L1397" s="64" t="n">
        <v>3.33333333333333</v>
      </c>
      <c r="M1397" s="62" t="n">
        <v>0</v>
      </c>
      <c r="N1397" s="62" t="n">
        <v>5</v>
      </c>
      <c r="O1397" s="65" t="n">
        <v>21</v>
      </c>
      <c r="P1397" s="60" t="s">
        <v>210</v>
      </c>
      <c r="Q1397" s="62"/>
      <c r="R1397" s="65" t="n">
        <f aca="false">IF(CA1397=1,0,IFERROR(VLOOKUP(BY1397,'Gebinde-Kategorie'!$A$5:$N$45,13,0)+0,0))</f>
        <v>0</v>
      </c>
      <c r="S1397" s="66"/>
      <c r="T1397" s="67"/>
      <c r="U1397" s="67"/>
      <c r="V1397" s="67"/>
      <c r="W1397" s="60" t="n">
        <v>1</v>
      </c>
      <c r="X1397" s="62" t="n">
        <v>6</v>
      </c>
      <c r="Y1397" s="62" t="n">
        <v>0</v>
      </c>
      <c r="Z1397" s="60" t="n">
        <v>1</v>
      </c>
      <c r="AA1397" s="60" t="n">
        <f aca="false">IF(A1397="","",IF(AND(Parameter!$B$21="Ja",ISNUMBER(W1397)),W1397,IF(AND(Parameter!$E$27="Ja",ISNUMBER(Z1397),CD1397&lt;&gt;"Nein"),Z1397,IF(CD1397="2+3",IF(ISNUMBER(SEARCH("grosser Artikel",BV1397)),2,IFERROR(VLOOKUP(BY1397,Parameter!$F$35:$G$64,2,0),2)),IF(OR(CD1397="Nein",CD1397=""),"-",CD1397)))))</f>
        <v>1</v>
      </c>
      <c r="AB1397" s="67"/>
      <c r="AC1397" s="68"/>
      <c r="AD1397" s="62" t="n">
        <f aca="false">AW1397</f>
        <v>10</v>
      </c>
      <c r="AE1397" s="62" t="n">
        <f aca="false">MAX(AW1397,H1397)</f>
        <v>10</v>
      </c>
      <c r="AF1397" s="69"/>
      <c r="AG1397" s="62" t="n">
        <f aca="false">IF(LEFT(Cockpit!$C$5,1)="A",H1397,IF(Parameter!$E$30="MAX-Bestand",IF(CI1397=1,CJ1397,IF(LEFT(Cockpit!$C$5,1)="B",AM1397,MAX(AM1397,H1397))),ROUNDUP(AK1397,0)))</f>
        <v>0</v>
      </c>
      <c r="AH1397" s="62" t="n">
        <f aca="false">IF(CA1397=1,0,ROUNDUP(AG1397/BZ1397,0))</f>
        <v>0</v>
      </c>
      <c r="AI1397" s="64" t="n">
        <f aca="false">IF(CR1397&gt;0,CR1397*MAX(1,AG1397/X1397),IF(CA1397=1,IF(AG1397&lt;=0,0,CE1397*MAX(1,IF(H1397&gt;0,AG1397/H1397,1))),IF(R1397&gt;0,AH1397/R1397,0))/MAX(0.1,N(Parameter!$M$21)))</f>
        <v>0.480225988700565</v>
      </c>
      <c r="AJ1397" s="62" t="n">
        <f aca="false">AI1397*CC1397</f>
        <v>114.293785310734</v>
      </c>
      <c r="AK1397" s="63" t="n">
        <f aca="false">IF(LEFT(Cockpit!$C$5,1)="A",H1397,IF(CI1397=1,(CL1397+CJ1397)/2,IF(LEFT(Cockpit!$C$5,1)="B",(CL1397+AM1397)/2,MAX((CL1397+AM1397)/2,H1397))))</f>
        <v>0</v>
      </c>
      <c r="AL1397" s="62" t="n">
        <f aca="false">AK1397*G1397</f>
        <v>0</v>
      </c>
      <c r="AM1397" s="62" t="n">
        <f aca="false">ROUNDUP(CL1397+MAX(CM1397,2*(J1397/IF(CH1397&gt;0,CH1397,MAX(0.1,N(Cockpit!$C$6)))-CL1397)),0)</f>
        <v>10</v>
      </c>
      <c r="AN1397" s="63" t="n">
        <f aca="false">IF(AJ1397&gt;0,J1397/AJ1397,-1)</f>
        <v>0.131240731586752</v>
      </c>
      <c r="AO1397" s="63" t="n">
        <f aca="false">IF(AND(OR(CG1397="L1",CG1397="L23",CG1397="LIFT"),AJ1397&gt;0),SUMIFS($AJ$7:$AJ$1843,$CG$7:$CG$1843,CG1397,$AN$7:$AN$1843,"&gt;"&amp;AN1397)+SUMIFS($AJ$7:$AJ$1843,$CG$7:$CG$1843,CG1397,$AN$7:$AN$1843,AN1397,$BX$7:$BX$1843,"&lt;="&amp;BX1397),"")</f>
        <v>13862.4636933217</v>
      </c>
      <c r="AP1397" s="70" t="n">
        <f aca="false">IF(AO1397="",0,MAX(0,MIN(1,(IF(CG1397="L1",Parameter!$H$5,IF(CG1397="L23",Parameter!$H$6+Parameter!$H$7,Parameter!$H$5+Parameter!$H$6+Parameter!$H$7))-(AO1397-AJ1397))/AJ1397)))</f>
        <v>1</v>
      </c>
      <c r="AQ1397" s="62" t="n">
        <f aca="false">IF(LEFT(Cockpit!$I$5,1)="A",H1397,IF(Parameter!$E$30="MAX-Bestand",IF(CI1397=1,CJ1397,IF(LEFT(Cockpit!$I$5,1)="B",AW1397,MAX(AW1397,H1397))),ROUNDUP(AU1397,0)))</f>
        <v>5</v>
      </c>
      <c r="AR1397" s="62" t="n">
        <f aca="false">IF(CA1397=1,0,ROUNDUP(AQ1397/BZ1397,0))</f>
        <v>0</v>
      </c>
      <c r="AS1397" s="64" t="n">
        <f aca="false">IF(CR1397&gt;0,CR1397*MAX(1,AQ1397/X1397),IF(CA1397=1,IF(AQ1397&lt;=0,0,CE1397*MAX(1,IF(H1397&gt;0,AQ1397/H1397,1))),IF(R1397&gt;0,AR1397/R1397,0))/MAX(0.1,N(Parameter!$M$21)))</f>
        <v>0.480225988700565</v>
      </c>
      <c r="AT1397" s="62" t="n">
        <f aca="false">AS1397*CC1397</f>
        <v>114.293785310734</v>
      </c>
      <c r="AU1397" s="63" t="n">
        <f aca="false">IF(LEFT(Cockpit!$I$5,1)="A",H1397,IF(CI1397=1,(CL1397+CJ1397)/2,IF(LEFT(Cockpit!$I$5,1)="B",(CL1397+AW1397)/2,MAX((CL1397+AW1397)/2,H1397))))</f>
        <v>5</v>
      </c>
      <c r="AV1397" s="62" t="n">
        <f aca="false">AU1397*G1397</f>
        <v>7446</v>
      </c>
      <c r="AW1397" s="62" t="n">
        <f aca="false">ROUNDUP(CL1397+MAX(CM1397,2*(J1397/IF(CH1397&gt;0,CH1397,MAX(0.1,N(Cockpit!$I$6)))-CL1397)),0)</f>
        <v>10</v>
      </c>
      <c r="AX1397" s="63" t="n">
        <f aca="false">IF(AT1397&gt;0,J1397/AT1397,-1)</f>
        <v>0.131240731586752</v>
      </c>
      <c r="AY1397" s="63" t="n">
        <f aca="false">IF(AND(OR(CG1397="L1",CG1397="L23",CG1397="LIFT"),AT1397&gt;0),SUMIFS($AT$7:$AT$1843,$CG$7:$CG$1843,CG1397,$AX$7:$AX$1843,"&gt;"&amp;AX1397)+SUMIFS($AT$7:$AT$1843,$CG$7:$CG$1843,CG1397,$AX$7:$AX$1843,AX1397,$BX$7:$BX$1843,"&lt;="&amp;BX1397),"")</f>
        <v>17886.8623346992</v>
      </c>
      <c r="AZ1397" s="70" t="n">
        <f aca="false">IF(AY1397="",0,MAX(0,MIN(1,(IF(CG1397="L1",Parameter!$H$5,IF(CG1397="L23",Parameter!$H$6+Parameter!$H$7,Parameter!$H$5+Parameter!$H$6+Parameter!$H$7))-(AY1397-AT1397))/AT1397)))</f>
        <v>1</v>
      </c>
      <c r="BA1397" s="62" t="n">
        <f aca="false">IF(LEFT(Cockpit!$O$5,1)="A",H1397,IF(Parameter!$E$30="MAX-Bestand",IF(CI1397=1,CJ1397,IF(LEFT(Cockpit!$O$5,1)="B",BG1397,MAX(BG1397,H1397))),ROUNDUP(BE1397,0)))</f>
        <v>4</v>
      </c>
      <c r="BB1397" s="62" t="n">
        <f aca="false">IF(CA1397=1,0,ROUNDUP(BA1397/BZ1397,0))</f>
        <v>0</v>
      </c>
      <c r="BC1397" s="64" t="n">
        <f aca="false">IF(CR1397&gt;0,CR1397*MAX(1,BA1397/X1397),IF(CA1397=1,IF(BA1397&lt;=0,0,CE1397*MAX(1,IF(H1397&gt;0,BA1397/H1397,1))),IF(R1397&gt;0,BB1397/R1397,0))/MAX(0.1,N(Parameter!$M$21)))</f>
        <v>0.480225988700565</v>
      </c>
      <c r="BD1397" s="62" t="n">
        <f aca="false">BC1397*CC1397</f>
        <v>114.293785310734</v>
      </c>
      <c r="BE1397" s="63" t="n">
        <f aca="false">IF(LEFT(Cockpit!$O$5,1)="A",H1397,IF(CI1397=1,(CL1397+CJ1397)/2,IF(LEFT(Cockpit!$O$5,1)="B",(CL1397+BG1397)/2,MAX((CL1397+BG1397)/2,H1397))))</f>
        <v>4</v>
      </c>
      <c r="BF1397" s="62" t="n">
        <f aca="false">BE1397*G1397</f>
        <v>5956.8</v>
      </c>
      <c r="BG1397" s="62" t="n">
        <f aca="false">ROUNDUP(CL1397+MAX(CM1397,2*(J1397/IF(CH1397&gt;0,CH1397,MAX(0.1,N(Cockpit!$O$6)))-CL1397)),0)</f>
        <v>8</v>
      </c>
      <c r="BH1397" s="63" t="n">
        <f aca="false">IF(BD1397&gt;0,J1397/BD1397,-1)</f>
        <v>0.131240731586752</v>
      </c>
      <c r="BI1397" s="63" t="n">
        <f aca="false">IF(AND(OR(CG1397="L1",CG1397="L23",CG1397="LIFT"),BD1397&gt;0),SUMIFS($BD$7:$BD$1843,$CG$7:$CG$1843,CG1397,$BH$7:$BH$1843,"&gt;"&amp;BH1397)+SUMIFS($BD$7:$BD$1843,$CG$7:$CG$1843,CG1397,$BH$7:$BH$1843,BH1397,$BX$7:$BX$1843,"&lt;="&amp;BX1397),"")</f>
        <v>15100.5916138946</v>
      </c>
      <c r="BJ1397" s="70" t="n">
        <f aca="false">IF(BI1397="",0,MAX(0,MIN(1,(IF(CG1397="L1",Parameter!$H$5,IF(CG1397="L23",Parameter!$H$6+Parameter!$H$7,Parameter!$H$5+Parameter!$H$6+Parameter!$H$7))-(BI1397-BD1397))/BD1397)))</f>
        <v>1</v>
      </c>
      <c r="BK1397" s="60" t="str">
        <f aca="false">IF(AJ1397&lt;=0,"",IF(CG1397="Aussen","Aussenlager",IF(CG1397="-","Nicht im Lift",IF(AP1397&gt;=1,"Lift",IF(AP1397&lt;=0,"Aussenlager","teilweise")))))</f>
        <v>Lift</v>
      </c>
      <c r="BL1397" s="60" t="str">
        <f aca="false">IF(AT1397&lt;=0,"",IF(CG1397="Aussen","Aussenlager",IF(CG1397="-","Nicht im Lift",IF(AZ1397&gt;=1,"Lift",IF(AZ1397&lt;=0,"Aussenlager","teilweise")))))</f>
        <v>Lift</v>
      </c>
      <c r="BM1397" s="60" t="str">
        <f aca="false">IF(BD1397&lt;=0,"",IF(CG1397="Aussen","Aussenlager",IF(CG1397="-","Nicht im Lift",IF(BJ1397&gt;=1,"Lift",IF(BJ1397&lt;=0,"Aussenlager","teilweise")))))</f>
        <v>Lift</v>
      </c>
      <c r="BN1397" s="60" t="str">
        <f aca="false">IF(A1397="","",IF(BW1397=1,"Neu; ","")&amp;IF(AND(BW1397=0,BR1397&lt;0),"negativer Bestand (Export "&amp;BR1397&amp;"); ","")&amp;IF(J1397&lt;=0,"Kein Verbrauch; ","")&amp;IF(CR1397&gt;0,"Lift "&amp;W1397&amp;" lt. Liftbericht (Fach "&amp;X1397&amp;" Stk); ",IF(CB1397=1,"Gebinde geschätzt ("&amp;T1397&amp;"); ",IF(CA1397=1,"Lose – Tablare geschätzt; ","")))&amp;IF(H1397&gt;AW1397,"Überbestand "&amp;ROUND(H1397-AW1397,0)&amp;" Stk / CHF "&amp;ROUND((H1397-AW1397)*G1397,0)&amp;"; ","")&amp;IF(AND(CI1397=1,CJ1397&lt;CK1397),"MAX &lt; MB+LG; ","")&amp;IF(AND(CQ1397&gt;0,CP1397*10&gt;CQ1397),"zu hoch für Tablar; ","")&amp;IF(AND(BW1397=0,OR(CI1397=1,AB1397&lt;&gt;"",U1397&lt;&gt;"",V1397&lt;&gt;"",AC1397&lt;&gt;"")),"manuell übersteuert; ","")&amp;IF(AND(CA1397=0,R1397=0),"Gebinde unbekannt / Stellmass fehlt; ","")&amp;IF(AND(CA1397=0,N(V1397)&lt;=0,N(Q1397)&lt;=0),"Menge pro Gebinde fehlt (Ist = 1 Gebinde); ","")&amp;BV1397)</f>
        <v>negativer Bestand (Export -3); Lift 1 lt. Liftbericht (Fach 6 Stk); </v>
      </c>
      <c r="BO1397" s="60"/>
      <c r="BP1397" s="60"/>
      <c r="BQ1397" s="67"/>
      <c r="BR1397" s="62" t="n">
        <v>-3</v>
      </c>
      <c r="BS1397" s="62" t="n">
        <v>3</v>
      </c>
      <c r="BT1397" s="61" t="n">
        <v>-3942.66</v>
      </c>
      <c r="BU1397" s="62" t="n">
        <v>15</v>
      </c>
      <c r="BV1397" s="60"/>
      <c r="BW1397" s="65" t="n">
        <v>0</v>
      </c>
      <c r="BX1397" s="65" t="n">
        <v>1397</v>
      </c>
      <c r="BY1397" s="60" t="str">
        <f aca="false">IF(U1397&lt;&gt;"",UPPER(TRIM(U1397)),IF(CB1397=1,UPPER(VLOOKUP(T1397,Parameter!$I$27:$K$29,2,0)),IF(P1397="","LOSE",P1397)))</f>
        <v>LOSE</v>
      </c>
      <c r="BZ1397" s="62" t="n">
        <f aca="false">IF(BY1397="LOSE",1,IF(N(V1397)&gt;0,V1397,IF(CB1397=1,MAX(1,N(VLOOKUP(T1397,Parameter!$I$27:$K$29,3,0)),H1397,N(N1397)),IF(N(Q1397)&gt;0,Q1397,MAX(1,H1397)))))</f>
        <v>1</v>
      </c>
      <c r="CA1397" s="65" t="n">
        <f aca="false">IF(BY1397="LOSE",1,0)</f>
        <v>1</v>
      </c>
      <c r="CB1397" s="65" t="n">
        <f aca="false">IF(AND(U1397="",OR(P1397="",P1397="LOSE"),T1397&lt;&gt;"",N(S1397)&lt;=0,ISNUMBER(MATCH(T1397,Parameter!$I$27:$I$29,0))),1,0)</f>
        <v>0</v>
      </c>
      <c r="CC1397" s="65" t="n">
        <f aca="false">IF(CR1397&gt;0,INDEX(Parameter!$H$5:$H$7,W1397)/INDEX(Parameter!$E$5:$E$7,W1397),IF(AND(CA1397=0,N(IFERROR(VLOOKUP(BY1397,'Gebinde-Kategorie'!$A$5:$N$45,14,0),0))&gt;0),VLOOKUP(BY1397,'Gebinde-Kategorie'!$A$5:$N$45,14,0)*10+Parameter!$M$23,Parameter!$M$24))</f>
        <v>238</v>
      </c>
      <c r="CD1397" s="60" t="n">
        <f aca="false">IF(AND(Parameter!$B$19="Ja",E1397&lt;&gt;"",ISNUMBER(MATCH(E1397,Parameter!$I$35:$I$52,0))),VLOOKUP(E1397,Parameter!$I$35:$J$52,2,0),IFERROR(VLOOKUP(D1397,Parameter!$A$35:$C$64,2,0),"Nein"))</f>
        <v>1</v>
      </c>
      <c r="CE1397" s="64" t="n">
        <f aca="false">IF(CA1397=0,0,IF(N(S1397)&gt;0,S1397,IFERROR(VLOOKUP(D1397,Parameter!$A$35:$C$64,3,0)+0,0)))</f>
        <v>1</v>
      </c>
      <c r="CF1397" s="60" t="n">
        <f aca="false">IF(AB1397&lt;&gt;"",AB1397,AA1397)</f>
        <v>1</v>
      </c>
      <c r="CG1397" s="60" t="str">
        <f aca="false">IF(OR(CF1397=1,CF1397=2,CF1397=3),IF(Parameter!$E$27="Ja","LIFT",IF(CF1397=1,"L1","L23")),IF(CF1397="Aussen","Aussen","-"))</f>
        <v>LIFT</v>
      </c>
      <c r="CH1397" s="71" t="n">
        <f aca="false">IF(N(AC1397)&gt;0,AC1397,0)</f>
        <v>0</v>
      </c>
      <c r="CI1397" s="65" t="n">
        <f aca="false">IF(ISNUMBER(AF1397),1,0)</f>
        <v>0</v>
      </c>
      <c r="CJ1397" s="62" t="n">
        <f aca="false">N(AF1397)</f>
        <v>0</v>
      </c>
      <c r="CK1397" s="62" t="n">
        <f aca="false">N(M1397)+N(N1397)</f>
        <v>5</v>
      </c>
      <c r="CL1397" s="62" t="n">
        <f aca="false">N(M1397)</f>
        <v>0</v>
      </c>
      <c r="CM1397" s="62" t="n">
        <f aca="false">N(N1397)</f>
        <v>5</v>
      </c>
      <c r="CN1397" s="62" t="n">
        <f aca="false">ROUNDUP(H1397/BZ1397,0)</f>
        <v>0</v>
      </c>
      <c r="CO1397" s="62" t="n">
        <f aca="false">ROUNDUP(CJ1397/BZ1397,0)</f>
        <v>0</v>
      </c>
      <c r="CP1397" s="65" t="n">
        <f aca="false">IF(CA1397=1,0,IFERROR(VLOOKUP(BY1397,'Gebinde-Kategorie'!$A$5:$N$45,5,0)+0,0))</f>
        <v>0</v>
      </c>
      <c r="CQ1397" s="65" t="n">
        <f aca="false">IFERROR(IF(OR(CF1397=1,CF1397=2,CF1397=3),N(INDEX(Parameter!$I$5:$I$7,CF1397)),0),0)</f>
        <v>0</v>
      </c>
      <c r="CR1397" s="64" t="n">
        <f aca="false">IF(AND(Parameter!$B$21="Ja",ISNUMBER(W1397),N(X1397)&gt;0),IFERROR(N(INDEX(Parameter!$L$5:$L$7,W1397))*INDEX(Parameter!$E$5:$E$7,W1397)*X1397/SUMIFS($X$7:$X$1843,$W$7:$W$1843,W1397),0),0)</f>
        <v>0.480225988700565</v>
      </c>
      <c r="CS1397" s="62" t="str">
        <f aca="false">IF(AND(OR(CG1397="L1",CG1397="L23",CG1397="LIFT"),H1397&gt;0),CC1397*IF(CR1397&gt;0,CR1397*MAX(1,H1397/X1397),IF(CA1397=1,CE1397,IF(R1397&gt;0,CN1397/R1397,0))/MAX(0.1,N(Parameter!$M$21))),"")</f>
        <v/>
      </c>
      <c r="CT1397" s="64" t="str">
        <f aca="false">IF(CS1397="","",J1397/H1397)</f>
        <v/>
      </c>
      <c r="CU1397" s="62" t="str">
        <f aca="false">IF(CS1397="","",H1397*G1397)</f>
        <v/>
      </c>
      <c r="CV1397" s="63" t="str">
        <f aca="false">IF(CS1397="","",(CL1397+ROUNDUP(CL1397+MAX(CM1397,2*(J1397/MAX(0.1,N(Einkauf!$C$6))-CL1397)),0))/2)</f>
        <v/>
      </c>
      <c r="CW1397" s="62" t="str">
        <f aca="false">IF(CS1397="","",MAX(0,H1397-CV1397)*G1397)</f>
        <v/>
      </c>
      <c r="CX1397" s="62" t="str">
        <f aca="false">IF(CS1397="","",CS1397*MAX(0,1-CV1397/H1397))</f>
        <v/>
      </c>
      <c r="CY1397" s="64" t="str">
        <f aca="false">IF(CS1397="","",PERCENTRANK($CS$7:$CS$1843,CS1397)+PERCENTRANK($CU$7:$CU$1843,CU1397)+1-PERCENTRANK($CT$7:$CT$1843,CT1397))</f>
        <v/>
      </c>
      <c r="CZ1397" s="72" t="str">
        <f aca="false">IF(CS1397="","",CHOOSE(MATCH(Einkauf!$C$5,Parameter!$G$23:$G$27,0),CY1397,CS1397,CU1397,-CT1397,CW1397)+ROW()/1000000000)</f>
        <v/>
      </c>
    </row>
    <row r="1398" customFormat="false" ht="15" hidden="false" customHeight="false" outlineLevel="0" collapsed="false">
      <c r="A1398" s="60" t="s">
        <v>2499</v>
      </c>
      <c r="B1398" s="60" t="s">
        <v>2500</v>
      </c>
      <c r="C1398" s="60" t="s">
        <v>206</v>
      </c>
      <c r="D1398" s="60" t="s">
        <v>215</v>
      </c>
      <c r="E1398" s="60" t="s">
        <v>208</v>
      </c>
      <c r="F1398" s="60" t="s">
        <v>260</v>
      </c>
      <c r="G1398" s="61" t="n">
        <v>1024.61</v>
      </c>
      <c r="H1398" s="62" t="n">
        <f aca="false">MAX(0,IF(AND(Parameter!$B$21="Ja",ISNUMBER(Y1398)),Y1398,IF(Parameter!$B$20="Jahresanfang 2025 + Export",BS1398+BR1398,BR1398)))</f>
        <v>17</v>
      </c>
      <c r="I1398" s="62" t="n">
        <f aca="false">H1398*G1398</f>
        <v>17418.37</v>
      </c>
      <c r="J1398" s="62" t="n">
        <f aca="false">BU1398*Parameter!$B$18</f>
        <v>160</v>
      </c>
      <c r="K1398" s="63" t="n">
        <v>23</v>
      </c>
      <c r="L1398" s="64" t="n">
        <v>6.95652173913044</v>
      </c>
      <c r="M1398" s="62" t="n">
        <v>9</v>
      </c>
      <c r="N1398" s="62" t="n">
        <v>16</v>
      </c>
      <c r="O1398" s="65" t="n">
        <v>21</v>
      </c>
      <c r="P1398" s="60" t="s">
        <v>216</v>
      </c>
      <c r="Q1398" s="62" t="n">
        <v>36</v>
      </c>
      <c r="R1398" s="65" t="n">
        <f aca="false">IF(CA1398=1,0,IFERROR(VLOOKUP(BY1398,'Gebinde-Kategorie'!$A$5:$N$45,13,0)+0,0))</f>
        <v>6</v>
      </c>
      <c r="S1398" s="66"/>
      <c r="T1398" s="67"/>
      <c r="U1398" s="67"/>
      <c r="V1398" s="67"/>
      <c r="W1398" s="60"/>
      <c r="X1398" s="62"/>
      <c r="Y1398" s="62"/>
      <c r="Z1398" s="60" t="n">
        <v>2</v>
      </c>
      <c r="AA1398" s="60" t="n">
        <f aca="false">IF(A1398="","",IF(AND(Parameter!$B$21="Ja",ISNUMBER(W1398)),W1398,IF(AND(Parameter!$E$27="Ja",ISNUMBER(Z1398),CD1398&lt;&gt;"Nein"),Z1398,IF(CD1398="2+3",IF(ISNUMBER(SEARCH("grosser Artikel",BV1398)),2,IFERROR(VLOOKUP(BY1398,Parameter!$F$35:$G$64,2,0),2)),IF(OR(CD1398="Nein",CD1398=""),"-",CD1398)))))</f>
        <v>2</v>
      </c>
      <c r="AB1398" s="67"/>
      <c r="AC1398" s="68"/>
      <c r="AD1398" s="62" t="n">
        <f aca="false">AW1398</f>
        <v>98</v>
      </c>
      <c r="AE1398" s="62" t="n">
        <f aca="false">MAX(AW1398,H1398)</f>
        <v>98</v>
      </c>
      <c r="AF1398" s="69"/>
      <c r="AG1398" s="62" t="n">
        <f aca="false">IF(LEFT(Cockpit!$C$5,1)="A",H1398,IF(Parameter!$E$30="MAX-Bestand",IF(CI1398=1,CJ1398,IF(LEFT(Cockpit!$C$5,1)="B",AM1398,MAX(AM1398,H1398))),ROUNDUP(AK1398,0)))</f>
        <v>17</v>
      </c>
      <c r="AH1398" s="62" t="n">
        <f aca="false">IF(CA1398=1,0,ROUNDUP(AG1398/BZ1398,0))</f>
        <v>1</v>
      </c>
      <c r="AI1398" s="64" t="n">
        <f aca="false">IF(CR1398&gt;0,CR1398*MAX(1,AG1398/X1398),IF(CA1398=1,IF(AG1398&lt;=0,0,CE1398*MAX(1,IF(H1398&gt;0,AG1398/H1398,1))),IF(R1398&gt;0,AH1398/R1398,0))/MAX(0.1,N(Parameter!$M$21)))</f>
        <v>0.166666666666667</v>
      </c>
      <c r="AJ1398" s="62" t="n">
        <f aca="false">AI1398*CC1398</f>
        <v>39.1666666666667</v>
      </c>
      <c r="AK1398" s="63" t="n">
        <f aca="false">IF(LEFT(Cockpit!$C$5,1)="A",H1398,IF(CI1398=1,(CL1398+CJ1398)/2,IF(LEFT(Cockpit!$C$5,1)="B",(CL1398+AM1398)/2,MAX((CL1398+AM1398)/2,H1398))))</f>
        <v>17</v>
      </c>
      <c r="AL1398" s="62" t="n">
        <f aca="false">AK1398*G1398</f>
        <v>17418.37</v>
      </c>
      <c r="AM1398" s="62" t="n">
        <f aca="false">ROUNDUP(CL1398+MAX(CM1398,2*(J1398/IF(CH1398&gt;0,CH1398,MAX(0.1,N(Cockpit!$C$6)))-CL1398)),0)</f>
        <v>98</v>
      </c>
      <c r="AN1398" s="63" t="n">
        <f aca="false">IF(AJ1398&gt;0,J1398/AJ1398,-1)</f>
        <v>4.08510638297872</v>
      </c>
      <c r="AO1398" s="63" t="n">
        <f aca="false">IF(AND(OR(CG1398="L1",CG1398="L23",CG1398="LIFT"),AJ1398&gt;0),SUMIFS($AJ$7:$AJ$1843,$CG$7:$CG$1843,CG1398,$AN$7:$AN$1843,"&gt;"&amp;AN1398)+SUMIFS($AJ$7:$AJ$1843,$CG$7:$CG$1843,CG1398,$AN$7:$AN$1843,AN1398,$BX$7:$BX$1843,"&lt;="&amp;BX1398),"")</f>
        <v>4237.66346153846</v>
      </c>
      <c r="AP1398" s="70" t="n">
        <f aca="false">IF(AO1398="",0,MAX(0,MIN(1,(IF(CG1398="L1",Parameter!$H$5,IF(CG1398="L23",Parameter!$H$6+Parameter!$H$7,Parameter!$H$5+Parameter!$H$6+Parameter!$H$7))-(AO1398-AJ1398))/AJ1398)))</f>
        <v>1</v>
      </c>
      <c r="AQ1398" s="62" t="n">
        <f aca="false">IF(LEFT(Cockpit!$I$5,1)="A",H1398,IF(Parameter!$E$30="MAX-Bestand",IF(CI1398=1,CJ1398,IF(LEFT(Cockpit!$I$5,1)="B",AW1398,MAX(AW1398,H1398))),ROUNDUP(AU1398,0)))</f>
        <v>54</v>
      </c>
      <c r="AR1398" s="62" t="n">
        <f aca="false">IF(CA1398=1,0,ROUNDUP(AQ1398/BZ1398,0))</f>
        <v>2</v>
      </c>
      <c r="AS1398" s="64" t="n">
        <f aca="false">IF(CR1398&gt;0,CR1398*MAX(1,AQ1398/X1398),IF(CA1398=1,IF(AQ1398&lt;=0,0,CE1398*MAX(1,IF(H1398&gt;0,AQ1398/H1398,1))),IF(R1398&gt;0,AR1398/R1398,0))/MAX(0.1,N(Parameter!$M$21)))</f>
        <v>0.333333333333333</v>
      </c>
      <c r="AT1398" s="62" t="n">
        <f aca="false">AS1398*CC1398</f>
        <v>78.3333333333333</v>
      </c>
      <c r="AU1398" s="63" t="n">
        <f aca="false">IF(LEFT(Cockpit!$I$5,1)="A",H1398,IF(CI1398=1,(CL1398+CJ1398)/2,IF(LEFT(Cockpit!$I$5,1)="B",(CL1398+AW1398)/2,MAX((CL1398+AW1398)/2,H1398))))</f>
        <v>53.5</v>
      </c>
      <c r="AV1398" s="62" t="n">
        <f aca="false">AU1398*G1398</f>
        <v>54816.635</v>
      </c>
      <c r="AW1398" s="62" t="n">
        <f aca="false">ROUNDUP(CL1398+MAX(CM1398,2*(J1398/IF(CH1398&gt;0,CH1398,MAX(0.1,N(Cockpit!$I$6)))-CL1398)),0)</f>
        <v>98</v>
      </c>
      <c r="AX1398" s="63" t="n">
        <f aca="false">IF(AT1398&gt;0,J1398/AT1398,-1)</f>
        <v>2.04255319148936</v>
      </c>
      <c r="AY1398" s="63" t="n">
        <f aca="false">IF(AND(OR(CG1398="L1",CG1398="L23",CG1398="LIFT"),AT1398&gt;0),SUMIFS($AT$7:$AT$1843,$CG$7:$CG$1843,CG1398,$AX$7:$AX$1843,"&gt;"&amp;AX1398)+SUMIFS($AT$7:$AT$1843,$CG$7:$CG$1843,CG1398,$AX$7:$AX$1843,AX1398,$BX$7:$BX$1843,"&lt;="&amp;BX1398),"")</f>
        <v>7118.54899267399</v>
      </c>
      <c r="AZ1398" s="70" t="n">
        <f aca="false">IF(AY1398="",0,MAX(0,MIN(1,(IF(CG1398="L1",Parameter!$H$5,IF(CG1398="L23",Parameter!$H$6+Parameter!$H$7,Parameter!$H$5+Parameter!$H$6+Parameter!$H$7))-(AY1398-AT1398))/AT1398)))</f>
        <v>1</v>
      </c>
      <c r="BA1398" s="62" t="n">
        <f aca="false">IF(LEFT(Cockpit!$O$5,1)="A",H1398,IF(Parameter!$E$30="MAX-Bestand",IF(CI1398=1,CJ1398,IF(LEFT(Cockpit!$O$5,1)="B",BG1398,MAX(BG1398,H1398))),ROUNDUP(BE1398,0)))</f>
        <v>40</v>
      </c>
      <c r="BB1398" s="62" t="n">
        <f aca="false">IF(CA1398=1,0,ROUNDUP(BA1398/BZ1398,0))</f>
        <v>2</v>
      </c>
      <c r="BC1398" s="64" t="n">
        <f aca="false">IF(CR1398&gt;0,CR1398*MAX(1,BA1398/X1398),IF(CA1398=1,IF(BA1398&lt;=0,0,CE1398*MAX(1,IF(H1398&gt;0,BA1398/H1398,1))),IF(R1398&gt;0,BB1398/R1398,0))/MAX(0.1,N(Parameter!$M$21)))</f>
        <v>0.333333333333333</v>
      </c>
      <c r="BD1398" s="62" t="n">
        <f aca="false">BC1398*CC1398</f>
        <v>78.3333333333333</v>
      </c>
      <c r="BE1398" s="63" t="n">
        <f aca="false">IF(LEFT(Cockpit!$O$5,1)="A",H1398,IF(CI1398=1,(CL1398+CJ1398)/2,IF(LEFT(Cockpit!$O$5,1)="B",(CL1398+BG1398)/2,MAX((CL1398+BG1398)/2,H1398))))</f>
        <v>40</v>
      </c>
      <c r="BF1398" s="62" t="n">
        <f aca="false">BE1398*G1398</f>
        <v>40984.4</v>
      </c>
      <c r="BG1398" s="62" t="n">
        <f aca="false">ROUNDUP(CL1398+MAX(CM1398,2*(J1398/IF(CH1398&gt;0,CH1398,MAX(0.1,N(Cockpit!$O$6)))-CL1398)),0)</f>
        <v>71</v>
      </c>
      <c r="BH1398" s="63" t="n">
        <f aca="false">IF(BD1398&gt;0,J1398/BD1398,-1)</f>
        <v>2.04255319148936</v>
      </c>
      <c r="BI1398" s="63" t="n">
        <f aca="false">IF(AND(OR(CG1398="L1",CG1398="L23",CG1398="LIFT"),BD1398&gt;0),SUMIFS($BD$7:$BD$1843,$CG$7:$CG$1843,CG1398,$BH$7:$BH$1843,"&gt;"&amp;BH1398)+SUMIFS($BD$7:$BD$1843,$CG$7:$CG$1843,CG1398,$BH$7:$BH$1843,BH1398,$BX$7:$BX$1843,"&lt;="&amp;BX1398),"")</f>
        <v>5842.73717948718</v>
      </c>
      <c r="BJ1398" s="70" t="n">
        <f aca="false">IF(BI1398="",0,MAX(0,MIN(1,(IF(CG1398="L1",Parameter!$H$5,IF(CG1398="L23",Parameter!$H$6+Parameter!$H$7,Parameter!$H$5+Parameter!$H$6+Parameter!$H$7))-(BI1398-BD1398))/BD1398)))</f>
        <v>1</v>
      </c>
      <c r="BK1398" s="60" t="str">
        <f aca="false">IF(AJ1398&lt;=0,"",IF(CG1398="Aussen","Aussenlager",IF(CG1398="-","Nicht im Lift",IF(AP1398&gt;=1,"Lift",IF(AP1398&lt;=0,"Aussenlager","teilweise")))))</f>
        <v>Lift</v>
      </c>
      <c r="BL1398" s="60" t="str">
        <f aca="false">IF(AT1398&lt;=0,"",IF(CG1398="Aussen","Aussenlager",IF(CG1398="-","Nicht im Lift",IF(AZ1398&gt;=1,"Lift",IF(AZ1398&lt;=0,"Aussenlager","teilweise")))))</f>
        <v>Lift</v>
      </c>
      <c r="BM1398" s="60" t="str">
        <f aca="false">IF(BD1398&lt;=0,"",IF(CG1398="Aussen","Aussenlager",IF(CG1398="-","Nicht im Lift",IF(BJ1398&gt;=1,"Lift",IF(BJ1398&lt;=0,"Aussenlager","teilweise")))))</f>
        <v>Lift</v>
      </c>
      <c r="BN1398" s="60" t="str">
        <f aca="false">IF(A1398="","",IF(BW1398=1,"Neu; ","")&amp;IF(AND(BW1398=0,BR1398&lt;0),"negativer Bestand (Export "&amp;BR1398&amp;"); ","")&amp;IF(J1398&lt;=0,"Kein Verbrauch; ","")&amp;IF(CR1398&gt;0,"Lift "&amp;W1398&amp;" lt. Liftbericht (Fach "&amp;X1398&amp;" Stk); ",IF(CB1398=1,"Gebinde geschätzt ("&amp;T1398&amp;"); ",IF(CA1398=1,"Lose – Tablare geschätzt; ","")))&amp;IF(H1398&gt;AW1398,"Überbestand "&amp;ROUND(H1398-AW1398,0)&amp;" Stk / CHF "&amp;ROUND((H1398-AW1398)*G1398,0)&amp;"; ","")&amp;IF(AND(CI1398=1,CJ1398&lt;CK1398),"MAX &lt; MB+LG; ","")&amp;IF(AND(CQ1398&gt;0,CP1398*10&gt;CQ1398),"zu hoch für Tablar; ","")&amp;IF(AND(BW1398=0,OR(CI1398=1,AB1398&lt;&gt;"",U1398&lt;&gt;"",V1398&lt;&gt;"",AC1398&lt;&gt;"")),"manuell übersteuert; ","")&amp;IF(AND(CA1398=0,R1398=0),"Gebinde unbekannt / Stellmass fehlt; ","")&amp;IF(AND(CA1398=0,N(V1398)&lt;=0,N(Q1398)&lt;=0),"Menge pro Gebinde fehlt (Ist = 1 Gebinde); ","")&amp;BV1398)</f>
        <v>negativer Bestand (Export -6); </v>
      </c>
      <c r="BO1398" s="60"/>
      <c r="BP1398" s="60"/>
      <c r="BQ1398" s="67"/>
      <c r="BR1398" s="62" t="n">
        <v>-6</v>
      </c>
      <c r="BS1398" s="62" t="n">
        <v>23</v>
      </c>
      <c r="BT1398" s="61" t="n">
        <v>-4018.54999999997</v>
      </c>
      <c r="BU1398" s="62" t="n">
        <v>160</v>
      </c>
      <c r="BV1398" s="60"/>
      <c r="BW1398" s="65" t="n">
        <v>0</v>
      </c>
      <c r="BX1398" s="65" t="n">
        <v>1398</v>
      </c>
      <c r="BY1398" s="60" t="str">
        <f aca="false">IF(U1398&lt;&gt;"",UPPER(TRIM(U1398)),IF(CB1398=1,UPPER(VLOOKUP(T1398,Parameter!$I$27:$K$29,2,0)),IF(P1398="","LOSE",P1398)))</f>
        <v>S71</v>
      </c>
      <c r="BZ1398" s="62" t="n">
        <f aca="false">IF(BY1398="LOSE",1,IF(N(V1398)&gt;0,V1398,IF(CB1398=1,MAX(1,N(VLOOKUP(T1398,Parameter!$I$27:$K$29,3,0)),H1398,N(N1398)),IF(N(Q1398)&gt;0,Q1398,MAX(1,H1398)))))</f>
        <v>36</v>
      </c>
      <c r="CA1398" s="65" t="n">
        <f aca="false">IF(BY1398="LOSE",1,0)</f>
        <v>0</v>
      </c>
      <c r="CB1398" s="65" t="n">
        <f aca="false">IF(AND(U1398="",OR(P1398="",P1398="LOSE"),T1398&lt;&gt;"",N(S1398)&lt;=0,ISNUMBER(MATCH(T1398,Parameter!$I$27:$I$29,0))),1,0)</f>
        <v>0</v>
      </c>
      <c r="CC1398" s="65" t="n">
        <f aca="false">IF(CR1398&gt;0,INDEX(Parameter!$H$5:$H$7,W1398)/INDEX(Parameter!$E$5:$E$7,W1398),IF(AND(CA1398=0,N(IFERROR(VLOOKUP(BY1398,'Gebinde-Kategorie'!$A$5:$N$45,14,0),0))&gt;0),VLOOKUP(BY1398,'Gebinde-Kategorie'!$A$5:$N$45,14,0)*10+Parameter!$M$23,Parameter!$M$24))</f>
        <v>235</v>
      </c>
      <c r="CD1398" s="60" t="n">
        <f aca="false">IF(AND(Parameter!$B$19="Ja",E1398&lt;&gt;"",ISNUMBER(MATCH(E1398,Parameter!$I$35:$I$52,0))),VLOOKUP(E1398,Parameter!$I$35:$J$52,2,0),IFERROR(VLOOKUP(D1398,Parameter!$A$35:$C$64,2,0),"Nein"))</f>
        <v>1</v>
      </c>
      <c r="CE1398" s="64" t="n">
        <f aca="false">IF(CA1398=0,0,IF(N(S1398)&gt;0,S1398,IFERROR(VLOOKUP(D1398,Parameter!$A$35:$C$64,3,0)+0,0)))</f>
        <v>0</v>
      </c>
      <c r="CF1398" s="60" t="n">
        <f aca="false">IF(AB1398&lt;&gt;"",AB1398,AA1398)</f>
        <v>2</v>
      </c>
      <c r="CG1398" s="60" t="str">
        <f aca="false">IF(OR(CF1398=1,CF1398=2,CF1398=3),IF(Parameter!$E$27="Ja","LIFT",IF(CF1398=1,"L1","L23")),IF(CF1398="Aussen","Aussen","-"))</f>
        <v>LIFT</v>
      </c>
      <c r="CH1398" s="71" t="n">
        <f aca="false">IF(N(AC1398)&gt;0,AC1398,0)</f>
        <v>0</v>
      </c>
      <c r="CI1398" s="65" t="n">
        <f aca="false">IF(ISNUMBER(AF1398),1,0)</f>
        <v>0</v>
      </c>
      <c r="CJ1398" s="62" t="n">
        <f aca="false">N(AF1398)</f>
        <v>0</v>
      </c>
      <c r="CK1398" s="62" t="n">
        <f aca="false">N(M1398)+N(N1398)</f>
        <v>25</v>
      </c>
      <c r="CL1398" s="62" t="n">
        <f aca="false">N(M1398)</f>
        <v>9</v>
      </c>
      <c r="CM1398" s="62" t="n">
        <f aca="false">N(N1398)</f>
        <v>16</v>
      </c>
      <c r="CN1398" s="62" t="n">
        <f aca="false">ROUNDUP(H1398/BZ1398,0)</f>
        <v>1</v>
      </c>
      <c r="CO1398" s="62" t="n">
        <f aca="false">ROUNDUP(CJ1398/BZ1398,0)</f>
        <v>0</v>
      </c>
      <c r="CP1398" s="65" t="n">
        <f aca="false">IF(CA1398=1,0,IFERROR(VLOOKUP(BY1398,'Gebinde-Kategorie'!$A$5:$N$45,5,0)+0,0))</f>
        <v>20</v>
      </c>
      <c r="CQ1398" s="65" t="n">
        <f aca="false">IFERROR(IF(OR(CF1398=1,CF1398=2,CF1398=3),N(INDEX(Parameter!$I$5:$I$7,CF1398)),0),0)</f>
        <v>0</v>
      </c>
      <c r="CR1398" s="64" t="n">
        <f aca="false">IF(AND(Parameter!$B$21="Ja",ISNUMBER(W1398),N(X1398)&gt;0),IFERROR(N(INDEX(Parameter!$L$5:$L$7,W1398))*INDEX(Parameter!$E$5:$E$7,W1398)*X1398/SUMIFS($X$7:$X$1843,$W$7:$W$1843,W1398),0),0)</f>
        <v>0</v>
      </c>
      <c r="CS1398" s="62" t="n">
        <f aca="false">IF(AND(OR(CG1398="L1",CG1398="L23",CG1398="LIFT"),H1398&gt;0),CC1398*IF(CR1398&gt;0,CR1398*MAX(1,H1398/X1398),IF(CA1398=1,CE1398,IF(R1398&gt;0,CN1398/R1398,0))/MAX(0.1,N(Parameter!$M$21))),"")</f>
        <v>39.1666666666667</v>
      </c>
      <c r="CT1398" s="64" t="n">
        <f aca="false">IF(CS1398="","",J1398/H1398)</f>
        <v>9.41176470588235</v>
      </c>
      <c r="CU1398" s="62" t="n">
        <f aca="false">IF(CS1398="","",H1398*G1398)</f>
        <v>17418.37</v>
      </c>
      <c r="CV1398" s="63" t="n">
        <f aca="false">IF(CS1398="","",(CL1398+ROUNDUP(CL1398+MAX(CM1398,2*(J1398/MAX(0.1,N(Einkauf!$C$6))-CL1398)),0))/2)</f>
        <v>40</v>
      </c>
      <c r="CW1398" s="62" t="n">
        <f aca="false">IF(CS1398="","",MAX(0,H1398-CV1398)*G1398)</f>
        <v>0</v>
      </c>
      <c r="CX1398" s="62" t="n">
        <f aca="false">IF(CS1398="","",CS1398*MAX(0,1-CV1398/H1398))</f>
        <v>0</v>
      </c>
      <c r="CY1398" s="64" t="n">
        <f aca="false">IF(CS1398="","",PERCENTRANK($CS$7:$CS$1843,CS1398)+PERCENTRANK($CU$7:$CU$1843,CU1398)+1-PERCENTRANK($CT$7:$CT$1843,CT1398))</f>
        <v>1.847</v>
      </c>
      <c r="CZ1398" s="72" t="n">
        <f aca="false">IF(CS1398="","",CHOOSE(MATCH(Einkauf!$C$5,Parameter!$G$23:$G$27,0),CY1398,CS1398,CU1398,-CT1398,CW1398)+ROW()/1000000000)</f>
        <v>1.847001398</v>
      </c>
    </row>
    <row r="1399" customFormat="false" ht="15" hidden="false" customHeight="false" outlineLevel="0" collapsed="false">
      <c r="A1399" s="60" t="s">
        <v>2501</v>
      </c>
      <c r="B1399" s="60" t="s">
        <v>2502</v>
      </c>
      <c r="C1399" s="60" t="s">
        <v>206</v>
      </c>
      <c r="D1399" s="60" t="s">
        <v>215</v>
      </c>
      <c r="E1399" s="60"/>
      <c r="F1399" s="60" t="s">
        <v>260</v>
      </c>
      <c r="G1399" s="61" t="n">
        <v>2012.56</v>
      </c>
      <c r="H1399" s="62" t="n">
        <f aca="false">MAX(0,IF(AND(Parameter!$B$21="Ja",ISNUMBER(Y1399)),Y1399,IF(Parameter!$B$20="Jahresanfang 2025 + Export",BS1399+BR1399,BR1399)))</f>
        <v>14</v>
      </c>
      <c r="I1399" s="62" t="n">
        <f aca="false">H1399*G1399</f>
        <v>28175.84</v>
      </c>
      <c r="J1399" s="62" t="n">
        <f aca="false">BU1399*Parameter!$B$18</f>
        <v>1</v>
      </c>
      <c r="K1399" s="63" t="n">
        <v>15.5</v>
      </c>
      <c r="L1399" s="64" t="n">
        <v>0.0645161290322581</v>
      </c>
      <c r="M1399" s="62" t="n">
        <v>0</v>
      </c>
      <c r="N1399" s="62" t="n">
        <v>1</v>
      </c>
      <c r="O1399" s="65" t="n">
        <v>112</v>
      </c>
      <c r="P1399" s="60" t="s">
        <v>216</v>
      </c>
      <c r="Q1399" s="62" t="n">
        <v>14</v>
      </c>
      <c r="R1399" s="65" t="n">
        <f aca="false">IF(CA1399=1,0,IFERROR(VLOOKUP(BY1399,'Gebinde-Kategorie'!$A$5:$N$45,13,0)+0,0))</f>
        <v>6</v>
      </c>
      <c r="S1399" s="66"/>
      <c r="T1399" s="67"/>
      <c r="U1399" s="67"/>
      <c r="V1399" s="67"/>
      <c r="W1399" s="60"/>
      <c r="X1399" s="62"/>
      <c r="Y1399" s="62"/>
      <c r="Z1399" s="60" t="n">
        <v>2</v>
      </c>
      <c r="AA1399" s="60" t="n">
        <f aca="false">IF(A1399="","",IF(AND(Parameter!$B$21="Ja",ISNUMBER(W1399)),W1399,IF(AND(Parameter!$E$27="Ja",ISNUMBER(Z1399),CD1399&lt;&gt;"Nein"),Z1399,IF(CD1399="2+3",IF(ISNUMBER(SEARCH("grosser Artikel",BV1399)),2,IFERROR(VLOOKUP(BY1399,Parameter!$F$35:$G$64,2,0),2)),IF(OR(CD1399="Nein",CD1399=""),"-",CD1399)))))</f>
        <v>2</v>
      </c>
      <c r="AB1399" s="67"/>
      <c r="AC1399" s="68"/>
      <c r="AD1399" s="62" t="n">
        <f aca="false">AW1399</f>
        <v>1</v>
      </c>
      <c r="AE1399" s="62" t="n">
        <f aca="false">MAX(AW1399,H1399)</f>
        <v>14</v>
      </c>
      <c r="AF1399" s="69"/>
      <c r="AG1399" s="62" t="n">
        <f aca="false">IF(LEFT(Cockpit!$C$5,1)="A",H1399,IF(Parameter!$E$30="MAX-Bestand",IF(CI1399=1,CJ1399,IF(LEFT(Cockpit!$C$5,1)="B",AM1399,MAX(AM1399,H1399))),ROUNDUP(AK1399,0)))</f>
        <v>14</v>
      </c>
      <c r="AH1399" s="62" t="n">
        <f aca="false">IF(CA1399=1,0,ROUNDUP(AG1399/BZ1399,0))</f>
        <v>1</v>
      </c>
      <c r="AI1399" s="64" t="n">
        <f aca="false">IF(CR1399&gt;0,CR1399*MAX(1,AG1399/X1399),IF(CA1399=1,IF(AG1399&lt;=0,0,CE1399*MAX(1,IF(H1399&gt;0,AG1399/H1399,1))),IF(R1399&gt;0,AH1399/R1399,0))/MAX(0.1,N(Parameter!$M$21)))</f>
        <v>0.166666666666667</v>
      </c>
      <c r="AJ1399" s="62" t="n">
        <f aca="false">AI1399*CC1399</f>
        <v>39.1666666666667</v>
      </c>
      <c r="AK1399" s="63" t="n">
        <f aca="false">IF(LEFT(Cockpit!$C$5,1)="A",H1399,IF(CI1399=1,(CL1399+CJ1399)/2,IF(LEFT(Cockpit!$C$5,1)="B",(CL1399+AM1399)/2,MAX((CL1399+AM1399)/2,H1399))))</f>
        <v>14</v>
      </c>
      <c r="AL1399" s="62" t="n">
        <f aca="false">AK1399*G1399</f>
        <v>28175.84</v>
      </c>
      <c r="AM1399" s="62" t="n">
        <f aca="false">ROUNDUP(CL1399+MAX(CM1399,2*(J1399/IF(CH1399&gt;0,CH1399,MAX(0.1,N(Cockpit!$C$6)))-CL1399)),0)</f>
        <v>1</v>
      </c>
      <c r="AN1399" s="63" t="n">
        <f aca="false">IF(AJ1399&gt;0,J1399/AJ1399,-1)</f>
        <v>0.025531914893617</v>
      </c>
      <c r="AO1399" s="63" t="n">
        <f aca="false">IF(AND(OR(CG1399="L1",CG1399="L23",CG1399="LIFT"),AJ1399&gt;0),SUMIFS($AJ$7:$AJ$1843,$CG$7:$CG$1843,CG1399,$AN$7:$AN$1843,"&gt;"&amp;AN1399)+SUMIFS($AJ$7:$AJ$1843,$CG$7:$CG$1843,CG1399,$AN$7:$AN$1843,AN1399,$BX$7:$BX$1843,"&lt;="&amp;BX1399),"")</f>
        <v>22003.7770715631</v>
      </c>
      <c r="AP1399" s="70" t="n">
        <f aca="false">IF(AO1399="",0,MAX(0,MIN(1,(IF(CG1399="L1",Parameter!$H$5,IF(CG1399="L23",Parameter!$H$6+Parameter!$H$7,Parameter!$H$5+Parameter!$H$6+Parameter!$H$7))-(AO1399-AJ1399))/AJ1399)))</f>
        <v>1</v>
      </c>
      <c r="AQ1399" s="62" t="n">
        <f aca="false">IF(LEFT(Cockpit!$I$5,1)="A",H1399,IF(Parameter!$E$30="MAX-Bestand",IF(CI1399=1,CJ1399,IF(LEFT(Cockpit!$I$5,1)="B",AW1399,MAX(AW1399,H1399))),ROUNDUP(AU1399,0)))</f>
        <v>14</v>
      </c>
      <c r="AR1399" s="62" t="n">
        <f aca="false">IF(CA1399=1,0,ROUNDUP(AQ1399/BZ1399,0))</f>
        <v>1</v>
      </c>
      <c r="AS1399" s="64" t="n">
        <f aca="false">IF(CR1399&gt;0,CR1399*MAX(1,AQ1399/X1399),IF(CA1399=1,IF(AQ1399&lt;=0,0,CE1399*MAX(1,IF(H1399&gt;0,AQ1399/H1399,1))),IF(R1399&gt;0,AR1399/R1399,0))/MAX(0.1,N(Parameter!$M$21)))</f>
        <v>0.166666666666667</v>
      </c>
      <c r="AT1399" s="62" t="n">
        <f aca="false">AS1399*CC1399</f>
        <v>39.1666666666667</v>
      </c>
      <c r="AU1399" s="63" t="n">
        <f aca="false">IF(LEFT(Cockpit!$I$5,1)="A",H1399,IF(CI1399=1,(CL1399+CJ1399)/2,IF(LEFT(Cockpit!$I$5,1)="B",(CL1399+AW1399)/2,MAX((CL1399+AW1399)/2,H1399))))</f>
        <v>14</v>
      </c>
      <c r="AV1399" s="62" t="n">
        <f aca="false">AU1399*G1399</f>
        <v>28175.84</v>
      </c>
      <c r="AW1399" s="62" t="n">
        <f aca="false">ROUNDUP(CL1399+MAX(CM1399,2*(J1399/IF(CH1399&gt;0,CH1399,MAX(0.1,N(Cockpit!$I$6)))-CL1399)),0)</f>
        <v>1</v>
      </c>
      <c r="AX1399" s="63" t="n">
        <f aca="false">IF(AT1399&gt;0,J1399/AT1399,-1)</f>
        <v>0.025531914893617</v>
      </c>
      <c r="AY1399" s="63" t="n">
        <f aca="false">IF(AND(OR(CG1399="L1",CG1399="L23",CG1399="LIFT"),AT1399&gt;0),SUMIFS($AT$7:$AT$1843,$CG$7:$CG$1843,CG1399,$AX$7:$AX$1843,"&gt;"&amp;AX1399)+SUMIFS($AT$7:$AT$1843,$CG$7:$CG$1843,CG1399,$AX$7:$AX$1843,AX1399,$BX$7:$BX$1843,"&lt;="&amp;BX1399),"")</f>
        <v>27239.4257129405</v>
      </c>
      <c r="AZ1399" s="70" t="n">
        <f aca="false">IF(AY1399="",0,MAX(0,MIN(1,(IF(CG1399="L1",Parameter!$H$5,IF(CG1399="L23",Parameter!$H$6+Parameter!$H$7,Parameter!$H$5+Parameter!$H$6+Parameter!$H$7))-(AY1399-AT1399))/AT1399)))</f>
        <v>1</v>
      </c>
      <c r="BA1399" s="62" t="n">
        <f aca="false">IF(LEFT(Cockpit!$O$5,1)="A",H1399,IF(Parameter!$E$30="MAX-Bestand",IF(CI1399=1,CJ1399,IF(LEFT(Cockpit!$O$5,1)="B",BG1399,MAX(BG1399,H1399))),ROUNDUP(BE1399,0)))</f>
        <v>1</v>
      </c>
      <c r="BB1399" s="62" t="n">
        <f aca="false">IF(CA1399=1,0,ROUNDUP(BA1399/BZ1399,0))</f>
        <v>1</v>
      </c>
      <c r="BC1399" s="64" t="n">
        <f aca="false">IF(CR1399&gt;0,CR1399*MAX(1,BA1399/X1399),IF(CA1399=1,IF(BA1399&lt;=0,0,CE1399*MAX(1,IF(H1399&gt;0,BA1399/H1399,1))),IF(R1399&gt;0,BB1399/R1399,0))/MAX(0.1,N(Parameter!$M$21)))</f>
        <v>0.166666666666667</v>
      </c>
      <c r="BD1399" s="62" t="n">
        <f aca="false">BC1399*CC1399</f>
        <v>39.1666666666667</v>
      </c>
      <c r="BE1399" s="63" t="n">
        <f aca="false">IF(LEFT(Cockpit!$O$5,1)="A",H1399,IF(CI1399=1,(CL1399+CJ1399)/2,IF(LEFT(Cockpit!$O$5,1)="B",(CL1399+BG1399)/2,MAX((CL1399+BG1399)/2,H1399))))</f>
        <v>0.5</v>
      </c>
      <c r="BF1399" s="62" t="n">
        <f aca="false">BE1399*G1399</f>
        <v>1006.28</v>
      </c>
      <c r="BG1399" s="62" t="n">
        <f aca="false">ROUNDUP(CL1399+MAX(CM1399,2*(J1399/IF(CH1399&gt;0,CH1399,MAX(0.1,N(Cockpit!$O$6)))-CL1399)),0)</f>
        <v>1</v>
      </c>
      <c r="BH1399" s="63" t="n">
        <f aca="false">IF(BD1399&gt;0,J1399/BD1399,-1)</f>
        <v>0.025531914893617</v>
      </c>
      <c r="BI1399" s="63" t="n">
        <f aca="false">IF(AND(OR(CG1399="L1",CG1399="L23",CG1399="LIFT"),BD1399&gt;0),SUMIFS($BD$7:$BD$1843,$CG$7:$CG$1843,CG1399,$BH$7:$BH$1843,"&gt;"&amp;BH1399)+SUMIFS($BD$7:$BD$1843,$CG$7:$CG$1843,CG1399,$BH$7:$BH$1843,BH1399,$BX$7:$BX$1843,"&lt;="&amp;BX1399),"")</f>
        <v>22863.6998639308</v>
      </c>
      <c r="BJ1399" s="70" t="n">
        <f aca="false">IF(BI1399="",0,MAX(0,MIN(1,(IF(CG1399="L1",Parameter!$H$5,IF(CG1399="L23",Parameter!$H$6+Parameter!$H$7,Parameter!$H$5+Parameter!$H$6+Parameter!$H$7))-(BI1399-BD1399))/BD1399)))</f>
        <v>1</v>
      </c>
      <c r="BK1399" s="60" t="str">
        <f aca="false">IF(AJ1399&lt;=0,"",IF(CG1399="Aussen","Aussenlager",IF(CG1399="-","Nicht im Lift",IF(AP1399&gt;=1,"Lift",IF(AP1399&lt;=0,"Aussenlager","teilweise")))))</f>
        <v>Lift</v>
      </c>
      <c r="BL1399" s="60" t="str">
        <f aca="false">IF(AT1399&lt;=0,"",IF(CG1399="Aussen","Aussenlager",IF(CG1399="-","Nicht im Lift",IF(AZ1399&gt;=1,"Lift",IF(AZ1399&lt;=0,"Aussenlager","teilweise")))))</f>
        <v>Lift</v>
      </c>
      <c r="BM1399" s="60" t="str">
        <f aca="false">IF(BD1399&lt;=0,"",IF(CG1399="Aussen","Aussenlager",IF(CG1399="-","Nicht im Lift",IF(BJ1399&gt;=1,"Lift",IF(BJ1399&lt;=0,"Aussenlager","teilweise")))))</f>
        <v>Lift</v>
      </c>
      <c r="BN1399" s="60" t="str">
        <f aca="false">IF(A1399="","",IF(BW1399=1,"Neu; ","")&amp;IF(AND(BW1399=0,BR1399&lt;0),"negativer Bestand (Export "&amp;BR1399&amp;"); ","")&amp;IF(J1399&lt;=0,"Kein Verbrauch; ","")&amp;IF(CR1399&gt;0,"Lift "&amp;W1399&amp;" lt. Liftbericht (Fach "&amp;X1399&amp;" Stk); ",IF(CB1399=1,"Gebinde geschätzt ("&amp;T1399&amp;"); ",IF(CA1399=1,"Lose – Tablare geschätzt; ","")))&amp;IF(H1399&gt;AW1399,"Überbestand "&amp;ROUND(H1399-AW1399,0)&amp;" Stk / CHF "&amp;ROUND((H1399-AW1399)*G1399,0)&amp;"; ","")&amp;IF(AND(CI1399=1,CJ1399&lt;CK1399),"MAX &lt; MB+LG; ","")&amp;IF(AND(CQ1399&gt;0,CP1399*10&gt;CQ1399),"zu hoch für Tablar; ","")&amp;IF(AND(BW1399=0,OR(CI1399=1,AB1399&lt;&gt;"",U1399&lt;&gt;"",V1399&lt;&gt;"",AC1399&lt;&gt;"")),"manuell übersteuert; ","")&amp;IF(AND(CA1399=0,R1399=0),"Gebinde unbekannt / Stellmass fehlt; ","")&amp;IF(AND(CA1399=0,N(V1399)&lt;=0,N(Q1399)&lt;=0),"Menge pro Gebinde fehlt (Ist = 1 Gebinde); ","")&amp;BV1399)</f>
        <v>negativer Bestand (Export -2); Überbestand 13 Stk / CHF 26163; </v>
      </c>
      <c r="BO1399" s="60"/>
      <c r="BP1399" s="60"/>
      <c r="BQ1399" s="67"/>
      <c r="BR1399" s="62" t="n">
        <v>-2</v>
      </c>
      <c r="BS1399" s="62" t="n">
        <v>16</v>
      </c>
      <c r="BT1399" s="61" t="n">
        <v>-4025.12</v>
      </c>
      <c r="BU1399" s="62" t="n">
        <v>1</v>
      </c>
      <c r="BV1399" s="60"/>
      <c r="BW1399" s="65" t="n">
        <v>0</v>
      </c>
      <c r="BX1399" s="65" t="n">
        <v>1399</v>
      </c>
      <c r="BY1399" s="60" t="str">
        <f aca="false">IF(U1399&lt;&gt;"",UPPER(TRIM(U1399)),IF(CB1399=1,UPPER(VLOOKUP(T1399,Parameter!$I$27:$K$29,2,0)),IF(P1399="","LOSE",P1399)))</f>
        <v>S71</v>
      </c>
      <c r="BZ1399" s="62" t="n">
        <f aca="false">IF(BY1399="LOSE",1,IF(N(V1399)&gt;0,V1399,IF(CB1399=1,MAX(1,N(VLOOKUP(T1399,Parameter!$I$27:$K$29,3,0)),H1399,N(N1399)),IF(N(Q1399)&gt;0,Q1399,MAX(1,H1399)))))</f>
        <v>14</v>
      </c>
      <c r="CA1399" s="65" t="n">
        <f aca="false">IF(BY1399="LOSE",1,0)</f>
        <v>0</v>
      </c>
      <c r="CB1399" s="65" t="n">
        <f aca="false">IF(AND(U1399="",OR(P1399="",P1399="LOSE"),T1399&lt;&gt;"",N(S1399)&lt;=0,ISNUMBER(MATCH(T1399,Parameter!$I$27:$I$29,0))),1,0)</f>
        <v>0</v>
      </c>
      <c r="CC1399" s="65" t="n">
        <f aca="false">IF(CR1399&gt;0,INDEX(Parameter!$H$5:$H$7,W1399)/INDEX(Parameter!$E$5:$E$7,W1399),IF(AND(CA1399=0,N(IFERROR(VLOOKUP(BY1399,'Gebinde-Kategorie'!$A$5:$N$45,14,0),0))&gt;0),VLOOKUP(BY1399,'Gebinde-Kategorie'!$A$5:$N$45,14,0)*10+Parameter!$M$23,Parameter!$M$24))</f>
        <v>235</v>
      </c>
      <c r="CD1399" s="60" t="str">
        <f aca="false">IF(AND(Parameter!$B$19="Ja",E1399&lt;&gt;"",ISNUMBER(MATCH(E1399,Parameter!$I$35:$I$52,0))),VLOOKUP(E1399,Parameter!$I$35:$J$52,2,0),IFERROR(VLOOKUP(D1399,Parameter!$A$35:$C$64,2,0),"Nein"))</f>
        <v>2+3</v>
      </c>
      <c r="CE1399" s="64" t="n">
        <f aca="false">IF(CA1399=0,0,IF(N(S1399)&gt;0,S1399,IFERROR(VLOOKUP(D1399,Parameter!$A$35:$C$64,3,0)+0,0)))</f>
        <v>0</v>
      </c>
      <c r="CF1399" s="60" t="n">
        <f aca="false">IF(AB1399&lt;&gt;"",AB1399,AA1399)</f>
        <v>2</v>
      </c>
      <c r="CG1399" s="60" t="str">
        <f aca="false">IF(OR(CF1399=1,CF1399=2,CF1399=3),IF(Parameter!$E$27="Ja","LIFT",IF(CF1399=1,"L1","L23")),IF(CF1399="Aussen","Aussen","-"))</f>
        <v>LIFT</v>
      </c>
      <c r="CH1399" s="71" t="n">
        <f aca="false">IF(N(AC1399)&gt;0,AC1399,0)</f>
        <v>0</v>
      </c>
      <c r="CI1399" s="65" t="n">
        <f aca="false">IF(ISNUMBER(AF1399),1,0)</f>
        <v>0</v>
      </c>
      <c r="CJ1399" s="62" t="n">
        <f aca="false">N(AF1399)</f>
        <v>0</v>
      </c>
      <c r="CK1399" s="62" t="n">
        <f aca="false">N(M1399)+N(N1399)</f>
        <v>1</v>
      </c>
      <c r="CL1399" s="62" t="n">
        <f aca="false">N(M1399)</f>
        <v>0</v>
      </c>
      <c r="CM1399" s="62" t="n">
        <f aca="false">N(N1399)</f>
        <v>1</v>
      </c>
      <c r="CN1399" s="62" t="n">
        <f aca="false">ROUNDUP(H1399/BZ1399,0)</f>
        <v>1</v>
      </c>
      <c r="CO1399" s="62" t="n">
        <f aca="false">ROUNDUP(CJ1399/BZ1399,0)</f>
        <v>0</v>
      </c>
      <c r="CP1399" s="65" t="n">
        <f aca="false">IF(CA1399=1,0,IFERROR(VLOOKUP(BY1399,'Gebinde-Kategorie'!$A$5:$N$45,5,0)+0,0))</f>
        <v>20</v>
      </c>
      <c r="CQ1399" s="65" t="n">
        <f aca="false">IFERROR(IF(OR(CF1399=1,CF1399=2,CF1399=3),N(INDEX(Parameter!$I$5:$I$7,CF1399)),0),0)</f>
        <v>0</v>
      </c>
      <c r="CR1399" s="64" t="n">
        <f aca="false">IF(AND(Parameter!$B$21="Ja",ISNUMBER(W1399),N(X1399)&gt;0),IFERROR(N(INDEX(Parameter!$L$5:$L$7,W1399))*INDEX(Parameter!$E$5:$E$7,W1399)*X1399/SUMIFS($X$7:$X$1843,$W$7:$W$1843,W1399),0),0)</f>
        <v>0</v>
      </c>
      <c r="CS1399" s="62" t="n">
        <f aca="false">IF(AND(OR(CG1399="L1",CG1399="L23",CG1399="LIFT"),H1399&gt;0),CC1399*IF(CR1399&gt;0,CR1399*MAX(1,H1399/X1399),IF(CA1399=1,CE1399,IF(R1399&gt;0,CN1399/R1399,0))/MAX(0.1,N(Parameter!$M$21))),"")</f>
        <v>39.1666666666667</v>
      </c>
      <c r="CT1399" s="64" t="n">
        <f aca="false">IF(CS1399="","",J1399/H1399)</f>
        <v>0.0714285714285714</v>
      </c>
      <c r="CU1399" s="62" t="n">
        <f aca="false">IF(CS1399="","",H1399*G1399)</f>
        <v>28175.84</v>
      </c>
      <c r="CV1399" s="63" t="n">
        <f aca="false">IF(CS1399="","",(CL1399+ROUNDUP(CL1399+MAX(CM1399,2*(J1399/MAX(0.1,N(Einkauf!$C$6))-CL1399)),0))/2)</f>
        <v>0.5</v>
      </c>
      <c r="CW1399" s="62" t="n">
        <f aca="false">IF(CS1399="","",MAX(0,H1399-CV1399)*G1399)</f>
        <v>27169.56</v>
      </c>
      <c r="CX1399" s="62" t="n">
        <f aca="false">IF(CS1399="","",CS1399*MAX(0,1-CV1399/H1399))</f>
        <v>37.7678571428571</v>
      </c>
      <c r="CY1399" s="64" t="n">
        <f aca="false">IF(CS1399="","",PERCENTRANK($CS$7:$CS$1843,CS1399)+PERCENTRANK($CU$7:$CU$1843,CU1399)+1-PERCENTRANK($CT$7:$CT$1843,CT1399))</f>
        <v>2.431</v>
      </c>
      <c r="CZ1399" s="72" t="n">
        <f aca="false">IF(CS1399="","",CHOOSE(MATCH(Einkauf!$C$5,Parameter!$G$23:$G$27,0),CY1399,CS1399,CU1399,-CT1399,CW1399)+ROW()/1000000000)</f>
        <v>2.431001399</v>
      </c>
    </row>
    <row r="1400" customFormat="false" ht="15" hidden="false" customHeight="false" outlineLevel="0" collapsed="false">
      <c r="A1400" s="60" t="s">
        <v>2503</v>
      </c>
      <c r="B1400" s="60" t="s">
        <v>473</v>
      </c>
      <c r="C1400" s="60" t="s">
        <v>206</v>
      </c>
      <c r="D1400" s="60" t="s">
        <v>226</v>
      </c>
      <c r="E1400" s="60" t="s">
        <v>227</v>
      </c>
      <c r="F1400" s="60" t="s">
        <v>260</v>
      </c>
      <c r="G1400" s="61" t="n">
        <v>374.8</v>
      </c>
      <c r="H1400" s="62" t="n">
        <f aca="false">MAX(0,IF(AND(Parameter!$B$21="Ja",ISNUMBER(Y1400)),Y1400,IF(Parameter!$B$20="Jahresanfang 2025 + Export",BS1400+BR1400,BR1400)))</f>
        <v>0</v>
      </c>
      <c r="I1400" s="62" t="n">
        <f aca="false">H1400*G1400</f>
        <v>0</v>
      </c>
      <c r="J1400" s="62" t="n">
        <f aca="false">BU1400*Parameter!$B$18</f>
        <v>0</v>
      </c>
      <c r="K1400" s="63" t="n">
        <v>11</v>
      </c>
      <c r="L1400" s="64" t="n">
        <v>0</v>
      </c>
      <c r="M1400" s="62" t="n">
        <v>0</v>
      </c>
      <c r="N1400" s="62" t="n">
        <v>1</v>
      </c>
      <c r="O1400" s="65" t="n">
        <v>56</v>
      </c>
      <c r="P1400" s="60" t="s">
        <v>275</v>
      </c>
      <c r="Q1400" s="62" t="n">
        <v>10</v>
      </c>
      <c r="R1400" s="65" t="n">
        <f aca="false">IF(CA1400=1,0,IFERROR(VLOOKUP(BY1400,'Gebinde-Kategorie'!$A$5:$N$45,13,0)+0,0))</f>
        <v>26</v>
      </c>
      <c r="S1400" s="66"/>
      <c r="T1400" s="67"/>
      <c r="U1400" s="67"/>
      <c r="V1400" s="67"/>
      <c r="W1400" s="60"/>
      <c r="X1400" s="62"/>
      <c r="Y1400" s="62"/>
      <c r="Z1400" s="60" t="n">
        <v>3</v>
      </c>
      <c r="AA1400" s="60" t="n">
        <f aca="false">IF(A1400="","",IF(AND(Parameter!$B$21="Ja",ISNUMBER(W1400)),W1400,IF(AND(Parameter!$E$27="Ja",ISNUMBER(Z1400),CD1400&lt;&gt;"Nein"),Z1400,IF(CD1400="2+3",IF(ISNUMBER(SEARCH("grosser Artikel",BV1400)),2,IFERROR(VLOOKUP(BY1400,Parameter!$F$35:$G$64,2,0),2)),IF(OR(CD1400="Nein",CD1400=""),"-",CD1400)))))</f>
        <v>3</v>
      </c>
      <c r="AB1400" s="67"/>
      <c r="AC1400" s="68"/>
      <c r="AD1400" s="62" t="n">
        <f aca="false">AW1400</f>
        <v>1</v>
      </c>
      <c r="AE1400" s="62" t="n">
        <f aca="false">MAX(AW1400,H1400)</f>
        <v>1</v>
      </c>
      <c r="AF1400" s="69"/>
      <c r="AG1400" s="62" t="n">
        <f aca="false">IF(LEFT(Cockpit!$C$5,1)="A",H1400,IF(Parameter!$E$30="MAX-Bestand",IF(CI1400=1,CJ1400,IF(LEFT(Cockpit!$C$5,1)="B",AM1400,MAX(AM1400,H1400))),ROUNDUP(AK1400,0)))</f>
        <v>0</v>
      </c>
      <c r="AH1400" s="62" t="n">
        <f aca="false">IF(CA1400=1,0,ROUNDUP(AG1400/BZ1400,0))</f>
        <v>0</v>
      </c>
      <c r="AI1400" s="64" t="n">
        <f aca="false">IF(CR1400&gt;0,CR1400*MAX(1,AG1400/X1400),IF(CA1400=1,IF(AG1400&lt;=0,0,CE1400*MAX(1,IF(H1400&gt;0,AG1400/H1400,1))),IF(R1400&gt;0,AH1400/R1400,0))/MAX(0.1,N(Parameter!$M$21)))</f>
        <v>0</v>
      </c>
      <c r="AJ1400" s="62" t="n">
        <f aca="false">AI1400*CC1400</f>
        <v>0</v>
      </c>
      <c r="AK1400" s="63" t="n">
        <f aca="false">IF(LEFT(Cockpit!$C$5,1)="A",H1400,IF(CI1400=1,(CL1400+CJ1400)/2,IF(LEFT(Cockpit!$C$5,1)="B",(CL1400+AM1400)/2,MAX((CL1400+AM1400)/2,H1400))))</f>
        <v>0</v>
      </c>
      <c r="AL1400" s="62" t="n">
        <f aca="false">AK1400*G1400</f>
        <v>0</v>
      </c>
      <c r="AM1400" s="62" t="n">
        <f aca="false">ROUNDUP(CL1400+MAX(CM1400,2*(J1400/IF(CH1400&gt;0,CH1400,MAX(0.1,N(Cockpit!$C$6)))-CL1400)),0)</f>
        <v>1</v>
      </c>
      <c r="AN1400" s="63" t="n">
        <f aca="false">IF(AJ1400&gt;0,J1400/AJ1400,-1)</f>
        <v>-1</v>
      </c>
      <c r="AO1400" s="63" t="str">
        <f aca="false">IF(AND(OR(CG1400="L1",CG1400="L23",CG1400="LIFT"),AJ1400&gt;0),SUMIFS($AJ$7:$AJ$1843,$CG$7:$CG$1843,CG1400,$AN$7:$AN$1843,"&gt;"&amp;AN1400)+SUMIFS($AJ$7:$AJ$1843,$CG$7:$CG$1843,CG1400,$AN$7:$AN$1843,AN1400,$BX$7:$BX$1843,"&lt;="&amp;BX1400),"")</f>
        <v/>
      </c>
      <c r="AP1400" s="70" t="n">
        <f aca="false">IF(AO1400="",0,MAX(0,MIN(1,(IF(CG1400="L1",Parameter!$H$5,IF(CG1400="L23",Parameter!$H$6+Parameter!$H$7,Parameter!$H$5+Parameter!$H$6+Parameter!$H$7))-(AO1400-AJ1400))/AJ1400)))</f>
        <v>0</v>
      </c>
      <c r="AQ1400" s="62" t="n">
        <f aca="false">IF(LEFT(Cockpit!$I$5,1)="A",H1400,IF(Parameter!$E$30="MAX-Bestand",IF(CI1400=1,CJ1400,IF(LEFT(Cockpit!$I$5,1)="B",AW1400,MAX(AW1400,H1400))),ROUNDUP(AU1400,0)))</f>
        <v>1</v>
      </c>
      <c r="AR1400" s="62" t="n">
        <f aca="false">IF(CA1400=1,0,ROUNDUP(AQ1400/BZ1400,0))</f>
        <v>1</v>
      </c>
      <c r="AS1400" s="64" t="n">
        <f aca="false">IF(CR1400&gt;0,CR1400*MAX(1,AQ1400/X1400),IF(CA1400=1,IF(AQ1400&lt;=0,0,CE1400*MAX(1,IF(H1400&gt;0,AQ1400/H1400,1))),IF(R1400&gt;0,AR1400/R1400,0))/MAX(0.1,N(Parameter!$M$21)))</f>
        <v>0.0384615384615385</v>
      </c>
      <c r="AT1400" s="62" t="n">
        <f aca="false">AS1400*CC1400</f>
        <v>9.42307692307692</v>
      </c>
      <c r="AU1400" s="63" t="n">
        <f aca="false">IF(LEFT(Cockpit!$I$5,1)="A",H1400,IF(CI1400=1,(CL1400+CJ1400)/2,IF(LEFT(Cockpit!$I$5,1)="B",(CL1400+AW1400)/2,MAX((CL1400+AW1400)/2,H1400))))</f>
        <v>0.5</v>
      </c>
      <c r="AV1400" s="62" t="n">
        <f aca="false">AU1400*G1400</f>
        <v>187.4</v>
      </c>
      <c r="AW1400" s="62" t="n">
        <f aca="false">ROUNDUP(CL1400+MAX(CM1400,2*(J1400/IF(CH1400&gt;0,CH1400,MAX(0.1,N(Cockpit!$I$6)))-CL1400)),0)</f>
        <v>1</v>
      </c>
      <c r="AX1400" s="63" t="n">
        <f aca="false">IF(AT1400&gt;0,J1400/AT1400,-1)</f>
        <v>0</v>
      </c>
      <c r="AY1400" s="63" t="n">
        <f aca="false">IF(AND(OR(CG1400="L1",CG1400="L23",CG1400="LIFT"),AT1400&gt;0),SUMIFS($AT$7:$AT$1843,$CG$7:$CG$1843,CG1400,$AX$7:$AX$1843,"&gt;"&amp;AX1400)+SUMIFS($AT$7:$AT$1843,$CG$7:$CG$1843,CG1400,$AX$7:$AX$1843,AX1400,$BX$7:$BX$1843,"&lt;="&amp;BX1400),"")</f>
        <v>35942.5454745349</v>
      </c>
      <c r="AZ1400" s="70" t="n">
        <f aca="false">IF(AY1400="",0,MAX(0,MIN(1,(IF(CG1400="L1",Parameter!$H$5,IF(CG1400="L23",Parameter!$H$6+Parameter!$H$7,Parameter!$H$5+Parameter!$H$6+Parameter!$H$7))-(AY1400-AT1400))/AT1400)))</f>
        <v>0</v>
      </c>
      <c r="BA1400" s="62" t="n">
        <f aca="false">IF(LEFT(Cockpit!$O$5,1)="A",H1400,IF(Parameter!$E$30="MAX-Bestand",IF(CI1400=1,CJ1400,IF(LEFT(Cockpit!$O$5,1)="B",BG1400,MAX(BG1400,H1400))),ROUNDUP(BE1400,0)))</f>
        <v>1</v>
      </c>
      <c r="BB1400" s="62" t="n">
        <f aca="false">IF(CA1400=1,0,ROUNDUP(BA1400/BZ1400,0))</f>
        <v>1</v>
      </c>
      <c r="BC1400" s="64" t="n">
        <f aca="false">IF(CR1400&gt;0,CR1400*MAX(1,BA1400/X1400),IF(CA1400=1,IF(BA1400&lt;=0,0,CE1400*MAX(1,IF(H1400&gt;0,BA1400/H1400,1))),IF(R1400&gt;0,BB1400/R1400,0))/MAX(0.1,N(Parameter!$M$21)))</f>
        <v>0.0384615384615385</v>
      </c>
      <c r="BD1400" s="62" t="n">
        <f aca="false">BC1400*CC1400</f>
        <v>9.42307692307692</v>
      </c>
      <c r="BE1400" s="63" t="n">
        <f aca="false">IF(LEFT(Cockpit!$O$5,1)="A",H1400,IF(CI1400=1,(CL1400+CJ1400)/2,IF(LEFT(Cockpit!$O$5,1)="B",(CL1400+BG1400)/2,MAX((CL1400+BG1400)/2,H1400))))</f>
        <v>0.5</v>
      </c>
      <c r="BF1400" s="62" t="n">
        <f aca="false">BE1400*G1400</f>
        <v>187.4</v>
      </c>
      <c r="BG1400" s="62" t="n">
        <f aca="false">ROUNDUP(CL1400+MAX(CM1400,2*(J1400/IF(CH1400&gt;0,CH1400,MAX(0.1,N(Cockpit!$O$6)))-CL1400)),0)</f>
        <v>1</v>
      </c>
      <c r="BH1400" s="63" t="n">
        <f aca="false">IF(BD1400&gt;0,J1400/BD1400,-1)</f>
        <v>0</v>
      </c>
      <c r="BI1400" s="63" t="n">
        <f aca="false">IF(AND(OR(CG1400="L1",CG1400="L23",CG1400="LIFT"),BD1400&gt;0),SUMIFS($BD$7:$BD$1843,$CG$7:$CG$1843,CG1400,$BH$7:$BH$1843,"&gt;"&amp;BH1400)+SUMIFS($BD$7:$BD$1843,$CG$7:$CG$1843,CG1400,$BH$7:$BH$1843,BH1400,$BX$7:$BX$1843,"&lt;="&amp;BX1400),"")</f>
        <v>29927.8521346826</v>
      </c>
      <c r="BJ1400" s="70" t="n">
        <f aca="false">IF(BI1400="",0,MAX(0,MIN(1,(IF(CG1400="L1",Parameter!$H$5,IF(CG1400="L23",Parameter!$H$6+Parameter!$H$7,Parameter!$H$5+Parameter!$H$6+Parameter!$H$7))-(BI1400-BD1400))/BD1400)))</f>
        <v>1</v>
      </c>
      <c r="BK1400" s="60" t="str">
        <f aca="false">IF(AJ1400&lt;=0,"",IF(CG1400="Aussen","Aussenlager",IF(CG1400="-","Nicht im Lift",IF(AP1400&gt;=1,"Lift",IF(AP1400&lt;=0,"Aussenlager","teilweise")))))</f>
        <v/>
      </c>
      <c r="BL1400" s="60" t="str">
        <f aca="false">IF(AT1400&lt;=0,"",IF(CG1400="Aussen","Aussenlager",IF(CG1400="-","Nicht im Lift",IF(AZ1400&gt;=1,"Lift",IF(AZ1400&lt;=0,"Aussenlager","teilweise")))))</f>
        <v>Aussenlager</v>
      </c>
      <c r="BM1400" s="60" t="str">
        <f aca="false">IF(BD1400&lt;=0,"",IF(CG1400="Aussen","Aussenlager",IF(CG1400="-","Nicht im Lift",IF(BJ1400&gt;=1,"Lift",IF(BJ1400&lt;=0,"Aussenlager","teilweise")))))</f>
        <v>Lift</v>
      </c>
      <c r="BN1400" s="60" t="str">
        <f aca="false">IF(A1400="","",IF(BW1400=1,"Neu; ","")&amp;IF(AND(BW1400=0,BR1400&lt;0),"negativer Bestand (Export "&amp;BR1400&amp;"); ","")&amp;IF(J1400&lt;=0,"Kein Verbrauch; ","")&amp;IF(CR1400&gt;0,"Lift "&amp;W1400&amp;" lt. Liftbericht (Fach "&amp;X1400&amp;" Stk); ",IF(CB1400=1,"Gebinde geschätzt ("&amp;T1400&amp;"); ",IF(CA1400=1,"Lose – Tablare geschätzt; ","")))&amp;IF(H1400&gt;AW1400,"Überbestand "&amp;ROUND(H1400-AW1400,0)&amp;" Stk / CHF "&amp;ROUND((H1400-AW1400)*G1400,0)&amp;"; ","")&amp;IF(AND(CI1400=1,CJ1400&lt;CK1400),"MAX &lt; MB+LG; ","")&amp;IF(AND(CQ1400&gt;0,CP1400*10&gt;CQ1400),"zu hoch für Tablar; ","")&amp;IF(AND(BW1400=0,OR(CI1400=1,AB1400&lt;&gt;"",U1400&lt;&gt;"",V1400&lt;&gt;"",AC1400&lt;&gt;"")),"manuell übersteuert; ","")&amp;IF(AND(CA1400=0,R1400=0),"Gebinde unbekannt / Stellmass fehlt; ","")&amp;IF(AND(CA1400=0,N(V1400)&lt;=0,N(Q1400)&lt;=0),"Menge pro Gebinde fehlt (Ist = 1 Gebinde); ","")&amp;BV1400)</f>
        <v>negativer Bestand (Export -11); Kein Verbrauch; </v>
      </c>
      <c r="BO1400" s="60"/>
      <c r="BP1400" s="60"/>
      <c r="BQ1400" s="67"/>
      <c r="BR1400" s="62" t="n">
        <v>-11</v>
      </c>
      <c r="BS1400" s="62" t="n">
        <v>11</v>
      </c>
      <c r="BT1400" s="61" t="n">
        <v>-4122.8</v>
      </c>
      <c r="BU1400" s="62" t="n">
        <v>0</v>
      </c>
      <c r="BV1400" s="60"/>
      <c r="BW1400" s="65" t="n">
        <v>0</v>
      </c>
      <c r="BX1400" s="65" t="n">
        <v>1400</v>
      </c>
      <c r="BY1400" s="60" t="str">
        <f aca="false">IF(U1400&lt;&gt;"",UPPER(TRIM(U1400)),IF(CB1400=1,UPPER(VLOOKUP(T1400,Parameter!$I$27:$K$29,2,0)),IF(P1400="","LOSE",P1400)))</f>
        <v>S52</v>
      </c>
      <c r="BZ1400" s="62" t="n">
        <f aca="false">IF(BY1400="LOSE",1,IF(N(V1400)&gt;0,V1400,IF(CB1400=1,MAX(1,N(VLOOKUP(T1400,Parameter!$I$27:$K$29,3,0)),H1400,N(N1400)),IF(N(Q1400)&gt;0,Q1400,MAX(1,H1400)))))</f>
        <v>10</v>
      </c>
      <c r="CA1400" s="65" t="n">
        <f aca="false">IF(BY1400="LOSE",1,0)</f>
        <v>0</v>
      </c>
      <c r="CB1400" s="65" t="n">
        <f aca="false">IF(AND(U1400="",OR(P1400="",P1400="LOSE"),T1400&lt;&gt;"",N(S1400)&lt;=0,ISNUMBER(MATCH(T1400,Parameter!$I$27:$I$29,0))),1,0)</f>
        <v>0</v>
      </c>
      <c r="CC1400" s="65" t="n">
        <f aca="false">IF(CR1400&gt;0,INDEX(Parameter!$H$5:$H$7,W1400)/INDEX(Parameter!$E$5:$E$7,W1400),IF(AND(CA1400=0,N(IFERROR(VLOOKUP(BY1400,'Gebinde-Kategorie'!$A$5:$N$45,14,0),0))&gt;0),VLOOKUP(BY1400,'Gebinde-Kategorie'!$A$5:$N$45,14,0)*10+Parameter!$M$23,Parameter!$M$24))</f>
        <v>245</v>
      </c>
      <c r="CD1400" s="60" t="str">
        <f aca="false">IF(AND(Parameter!$B$19="Ja",E1400&lt;&gt;"",ISNUMBER(MATCH(E1400,Parameter!$I$35:$I$52,0))),VLOOKUP(E1400,Parameter!$I$35:$J$52,2,0),IFERROR(VLOOKUP(D1400,Parameter!$A$35:$C$64,2,0),"Nein"))</f>
        <v>2+3</v>
      </c>
      <c r="CE1400" s="64" t="n">
        <f aca="false">IF(CA1400=0,0,IF(N(S1400)&gt;0,S1400,IFERROR(VLOOKUP(D1400,Parameter!$A$35:$C$64,3,0)+0,0)))</f>
        <v>0</v>
      </c>
      <c r="CF1400" s="60" t="n">
        <f aca="false">IF(AB1400&lt;&gt;"",AB1400,AA1400)</f>
        <v>3</v>
      </c>
      <c r="CG1400" s="60" t="str">
        <f aca="false">IF(OR(CF1400=1,CF1400=2,CF1400=3),IF(Parameter!$E$27="Ja","LIFT",IF(CF1400=1,"L1","L23")),IF(CF1400="Aussen","Aussen","-"))</f>
        <v>LIFT</v>
      </c>
      <c r="CH1400" s="71" t="n">
        <f aca="false">IF(N(AC1400)&gt;0,AC1400,0)</f>
        <v>0</v>
      </c>
      <c r="CI1400" s="65" t="n">
        <f aca="false">IF(ISNUMBER(AF1400),1,0)</f>
        <v>0</v>
      </c>
      <c r="CJ1400" s="62" t="n">
        <f aca="false">N(AF1400)</f>
        <v>0</v>
      </c>
      <c r="CK1400" s="62" t="n">
        <f aca="false">N(M1400)+N(N1400)</f>
        <v>1</v>
      </c>
      <c r="CL1400" s="62" t="n">
        <f aca="false">N(M1400)</f>
        <v>0</v>
      </c>
      <c r="CM1400" s="62" t="n">
        <f aca="false">N(N1400)</f>
        <v>1</v>
      </c>
      <c r="CN1400" s="62" t="n">
        <f aca="false">ROUNDUP(H1400/BZ1400,0)</f>
        <v>0</v>
      </c>
      <c r="CO1400" s="62" t="n">
        <f aca="false">ROUNDUP(CJ1400/BZ1400,0)</f>
        <v>0</v>
      </c>
      <c r="CP1400" s="65" t="n">
        <f aca="false">IF(CA1400=1,0,IFERROR(VLOOKUP(BY1400,'Gebinde-Kategorie'!$A$5:$N$45,5,0)+0,0))</f>
        <v>21</v>
      </c>
      <c r="CQ1400" s="65" t="n">
        <f aca="false">IFERROR(IF(OR(CF1400=1,CF1400=2,CF1400=3),N(INDEX(Parameter!$I$5:$I$7,CF1400)),0),0)</f>
        <v>0</v>
      </c>
      <c r="CR1400" s="64" t="n">
        <f aca="false">IF(AND(Parameter!$B$21="Ja",ISNUMBER(W1400),N(X1400)&gt;0),IFERROR(N(INDEX(Parameter!$L$5:$L$7,W1400))*INDEX(Parameter!$E$5:$E$7,W1400)*X1400/SUMIFS($X$7:$X$1843,$W$7:$W$1843,W1400),0),0)</f>
        <v>0</v>
      </c>
      <c r="CS1400" s="62" t="str">
        <f aca="false">IF(AND(OR(CG1400="L1",CG1400="L23",CG1400="LIFT"),H1400&gt;0),CC1400*IF(CR1400&gt;0,CR1400*MAX(1,H1400/X1400),IF(CA1400=1,CE1400,IF(R1400&gt;0,CN1400/R1400,0))/MAX(0.1,N(Parameter!$M$21))),"")</f>
        <v/>
      </c>
      <c r="CT1400" s="64" t="str">
        <f aca="false">IF(CS1400="","",J1400/H1400)</f>
        <v/>
      </c>
      <c r="CU1400" s="62" t="str">
        <f aca="false">IF(CS1400="","",H1400*G1400)</f>
        <v/>
      </c>
      <c r="CV1400" s="63" t="str">
        <f aca="false">IF(CS1400="","",(CL1400+ROUNDUP(CL1400+MAX(CM1400,2*(J1400/MAX(0.1,N(Einkauf!$C$6))-CL1400)),0))/2)</f>
        <v/>
      </c>
      <c r="CW1400" s="62" t="str">
        <f aca="false">IF(CS1400="","",MAX(0,H1400-CV1400)*G1400)</f>
        <v/>
      </c>
      <c r="CX1400" s="62" t="str">
        <f aca="false">IF(CS1400="","",CS1400*MAX(0,1-CV1400/H1400))</f>
        <v/>
      </c>
      <c r="CY1400" s="64" t="str">
        <f aca="false">IF(CS1400="","",PERCENTRANK($CS$7:$CS$1843,CS1400)+PERCENTRANK($CU$7:$CU$1843,CU1400)+1-PERCENTRANK($CT$7:$CT$1843,CT1400))</f>
        <v/>
      </c>
      <c r="CZ1400" s="72" t="str">
        <f aca="false">IF(CS1400="","",CHOOSE(MATCH(Einkauf!$C$5,Parameter!$G$23:$G$27,0),CY1400,CS1400,CU1400,-CT1400,CW1400)+ROW()/1000000000)</f>
        <v/>
      </c>
    </row>
    <row r="1401" customFormat="false" ht="15" hidden="false" customHeight="false" outlineLevel="0" collapsed="false">
      <c r="A1401" s="60" t="s">
        <v>2504</v>
      </c>
      <c r="B1401" s="60" t="s">
        <v>473</v>
      </c>
      <c r="C1401" s="60" t="s">
        <v>206</v>
      </c>
      <c r="D1401" s="60" t="s">
        <v>226</v>
      </c>
      <c r="E1401" s="60" t="s">
        <v>227</v>
      </c>
      <c r="F1401" s="60" t="s">
        <v>260</v>
      </c>
      <c r="G1401" s="61" t="n">
        <v>208.55</v>
      </c>
      <c r="H1401" s="62" t="n">
        <f aca="false">MAX(0,IF(AND(Parameter!$B$21="Ja",ISNUMBER(Y1401)),Y1401,IF(Parameter!$B$20="Jahresanfang 2025 + Export",BS1401+BR1401,BR1401)))</f>
        <v>47</v>
      </c>
      <c r="I1401" s="62" t="n">
        <f aca="false">H1401*G1401</f>
        <v>9801.85</v>
      </c>
      <c r="J1401" s="62" t="n">
        <f aca="false">BU1401*Parameter!$B$18</f>
        <v>164</v>
      </c>
      <c r="K1401" s="63" t="n">
        <v>49</v>
      </c>
      <c r="L1401" s="64" t="n">
        <v>3.3469387755102</v>
      </c>
      <c r="M1401" s="62" t="n">
        <v>10</v>
      </c>
      <c r="N1401" s="62" t="n">
        <v>40</v>
      </c>
      <c r="O1401" s="65" t="n">
        <v>21</v>
      </c>
      <c r="P1401" s="60" t="s">
        <v>268</v>
      </c>
      <c r="Q1401" s="62" t="n">
        <v>55</v>
      </c>
      <c r="R1401" s="65" t="n">
        <f aca="false">IF(CA1401=1,0,IFERROR(VLOOKUP(BY1401,'Gebinde-Kategorie'!$A$5:$N$45,13,0)+0,0))</f>
        <v>12</v>
      </c>
      <c r="S1401" s="66"/>
      <c r="T1401" s="67"/>
      <c r="U1401" s="67"/>
      <c r="V1401" s="67"/>
      <c r="W1401" s="60"/>
      <c r="X1401" s="62"/>
      <c r="Y1401" s="62"/>
      <c r="Z1401" s="60" t="n">
        <v>3</v>
      </c>
      <c r="AA1401" s="60" t="n">
        <f aca="false">IF(A1401="","",IF(AND(Parameter!$B$21="Ja",ISNUMBER(W1401)),W1401,IF(AND(Parameter!$E$27="Ja",ISNUMBER(Z1401),CD1401&lt;&gt;"Nein"),Z1401,IF(CD1401="2+3",IF(ISNUMBER(SEARCH("grosser Artikel",BV1401)),2,IFERROR(VLOOKUP(BY1401,Parameter!$F$35:$G$64,2,0),2)),IF(OR(CD1401="Nein",CD1401=""),"-",CD1401)))))</f>
        <v>3</v>
      </c>
      <c r="AB1401" s="67"/>
      <c r="AC1401" s="68"/>
      <c r="AD1401" s="62" t="n">
        <f aca="false">AW1401</f>
        <v>100</v>
      </c>
      <c r="AE1401" s="62" t="n">
        <f aca="false">MAX(AW1401,H1401)</f>
        <v>100</v>
      </c>
      <c r="AF1401" s="69"/>
      <c r="AG1401" s="62" t="n">
        <f aca="false">IF(LEFT(Cockpit!$C$5,1)="A",H1401,IF(Parameter!$E$30="MAX-Bestand",IF(CI1401=1,CJ1401,IF(LEFT(Cockpit!$C$5,1)="B",AM1401,MAX(AM1401,H1401))),ROUNDUP(AK1401,0)))</f>
        <v>47</v>
      </c>
      <c r="AH1401" s="62" t="n">
        <f aca="false">IF(CA1401=1,0,ROUNDUP(AG1401/BZ1401,0))</f>
        <v>1</v>
      </c>
      <c r="AI1401" s="64" t="n">
        <f aca="false">IF(CR1401&gt;0,CR1401*MAX(1,AG1401/X1401),IF(CA1401=1,IF(AG1401&lt;=0,0,CE1401*MAX(1,IF(H1401&gt;0,AG1401/H1401,1))),IF(R1401&gt;0,AH1401/R1401,0))/MAX(0.1,N(Parameter!$M$21)))</f>
        <v>0.0833333333333333</v>
      </c>
      <c r="AJ1401" s="62" t="n">
        <f aca="false">AI1401*CC1401</f>
        <v>28.75</v>
      </c>
      <c r="AK1401" s="63" t="n">
        <f aca="false">IF(LEFT(Cockpit!$C$5,1)="A",H1401,IF(CI1401=1,(CL1401+CJ1401)/2,IF(LEFT(Cockpit!$C$5,1)="B",(CL1401+AM1401)/2,MAX((CL1401+AM1401)/2,H1401))))</f>
        <v>47</v>
      </c>
      <c r="AL1401" s="62" t="n">
        <f aca="false">AK1401*G1401</f>
        <v>9801.85</v>
      </c>
      <c r="AM1401" s="62" t="n">
        <f aca="false">ROUNDUP(CL1401+MAX(CM1401,2*(J1401/IF(CH1401&gt;0,CH1401,MAX(0.1,N(Cockpit!$C$6)))-CL1401)),0)</f>
        <v>100</v>
      </c>
      <c r="AN1401" s="63" t="n">
        <f aca="false">IF(AJ1401&gt;0,J1401/AJ1401,-1)</f>
        <v>5.70434782608696</v>
      </c>
      <c r="AO1401" s="63" t="n">
        <f aca="false">IF(AND(OR(CG1401="L1",CG1401="L23",CG1401="LIFT"),AJ1401&gt;0),SUMIFS($AJ$7:$AJ$1843,$CG$7:$CG$1843,CG1401,$AN$7:$AN$1843,"&gt;"&amp;AN1401)+SUMIFS($AJ$7:$AJ$1843,$CG$7:$CG$1843,CG1401,$AN$7:$AN$1843,AN1401,$BX$7:$BX$1843,"&lt;="&amp;BX1401),"")</f>
        <v>3593.39148351648</v>
      </c>
      <c r="AP1401" s="70" t="n">
        <f aca="false">IF(AO1401="",0,MAX(0,MIN(1,(IF(CG1401="L1",Parameter!$H$5,IF(CG1401="L23",Parameter!$H$6+Parameter!$H$7,Parameter!$H$5+Parameter!$H$6+Parameter!$H$7))-(AO1401-AJ1401))/AJ1401)))</f>
        <v>1</v>
      </c>
      <c r="AQ1401" s="62" t="n">
        <f aca="false">IF(LEFT(Cockpit!$I$5,1)="A",H1401,IF(Parameter!$E$30="MAX-Bestand",IF(CI1401=1,CJ1401,IF(LEFT(Cockpit!$I$5,1)="B",AW1401,MAX(AW1401,H1401))),ROUNDUP(AU1401,0)))</f>
        <v>55</v>
      </c>
      <c r="AR1401" s="62" t="n">
        <f aca="false">IF(CA1401=1,0,ROUNDUP(AQ1401/BZ1401,0))</f>
        <v>1</v>
      </c>
      <c r="AS1401" s="64" t="n">
        <f aca="false">IF(CR1401&gt;0,CR1401*MAX(1,AQ1401/X1401),IF(CA1401=1,IF(AQ1401&lt;=0,0,CE1401*MAX(1,IF(H1401&gt;0,AQ1401/H1401,1))),IF(R1401&gt;0,AR1401/R1401,0))/MAX(0.1,N(Parameter!$M$21)))</f>
        <v>0.0833333333333333</v>
      </c>
      <c r="AT1401" s="62" t="n">
        <f aca="false">AS1401*CC1401</f>
        <v>28.75</v>
      </c>
      <c r="AU1401" s="63" t="n">
        <f aca="false">IF(LEFT(Cockpit!$I$5,1)="A",H1401,IF(CI1401=1,(CL1401+CJ1401)/2,IF(LEFT(Cockpit!$I$5,1)="B",(CL1401+AW1401)/2,MAX((CL1401+AW1401)/2,H1401))))</f>
        <v>55</v>
      </c>
      <c r="AV1401" s="62" t="n">
        <f aca="false">AU1401*G1401</f>
        <v>11470.25</v>
      </c>
      <c r="AW1401" s="62" t="n">
        <f aca="false">ROUNDUP(CL1401+MAX(CM1401,2*(J1401/IF(CH1401&gt;0,CH1401,MAX(0.1,N(Cockpit!$I$6)))-CL1401)),0)</f>
        <v>100</v>
      </c>
      <c r="AX1401" s="63" t="n">
        <f aca="false">IF(AT1401&gt;0,J1401/AT1401,-1)</f>
        <v>5.70434782608696</v>
      </c>
      <c r="AY1401" s="63" t="n">
        <f aca="false">IF(AND(OR(CG1401="L1",CG1401="L23",CG1401="LIFT"),AT1401&gt;0),SUMIFS($AT$7:$AT$1843,$CG$7:$CG$1843,CG1401,$AX$7:$AX$1843,"&gt;"&amp;AX1401)+SUMIFS($AT$7:$AT$1843,$CG$7:$CG$1843,CG1401,$AX$7:$AX$1843,AX1401,$BX$7:$BX$1843,"&lt;="&amp;BX1401),"")</f>
        <v>4247.13232600733</v>
      </c>
      <c r="AZ1401" s="70" t="n">
        <f aca="false">IF(AY1401="",0,MAX(0,MIN(1,(IF(CG1401="L1",Parameter!$H$5,IF(CG1401="L23",Parameter!$H$6+Parameter!$H$7,Parameter!$H$5+Parameter!$H$6+Parameter!$H$7))-(AY1401-AT1401))/AT1401)))</f>
        <v>1</v>
      </c>
      <c r="BA1401" s="62" t="n">
        <f aca="false">IF(LEFT(Cockpit!$O$5,1)="A",H1401,IF(Parameter!$E$30="MAX-Bestand",IF(CI1401=1,CJ1401,IF(LEFT(Cockpit!$O$5,1)="B",BG1401,MAX(BG1401,H1401))),ROUNDUP(BE1401,0)))</f>
        <v>41</v>
      </c>
      <c r="BB1401" s="62" t="n">
        <f aca="false">IF(CA1401=1,0,ROUNDUP(BA1401/BZ1401,0))</f>
        <v>1</v>
      </c>
      <c r="BC1401" s="64" t="n">
        <f aca="false">IF(CR1401&gt;0,CR1401*MAX(1,BA1401/X1401),IF(CA1401=1,IF(BA1401&lt;=0,0,CE1401*MAX(1,IF(H1401&gt;0,BA1401/H1401,1))),IF(R1401&gt;0,BB1401/R1401,0))/MAX(0.1,N(Parameter!$M$21)))</f>
        <v>0.0833333333333333</v>
      </c>
      <c r="BD1401" s="62" t="n">
        <f aca="false">BC1401*CC1401</f>
        <v>28.75</v>
      </c>
      <c r="BE1401" s="63" t="n">
        <f aca="false">IF(LEFT(Cockpit!$O$5,1)="A",H1401,IF(CI1401=1,(CL1401+CJ1401)/2,IF(LEFT(Cockpit!$O$5,1)="B",(CL1401+BG1401)/2,MAX((CL1401+BG1401)/2,H1401))))</f>
        <v>41</v>
      </c>
      <c r="BF1401" s="62" t="n">
        <f aca="false">BE1401*G1401</f>
        <v>8550.55</v>
      </c>
      <c r="BG1401" s="62" t="n">
        <f aca="false">ROUNDUP(CL1401+MAX(CM1401,2*(J1401/IF(CH1401&gt;0,CH1401,MAX(0.1,N(Cockpit!$O$6)))-CL1401)),0)</f>
        <v>72</v>
      </c>
      <c r="BH1401" s="63" t="n">
        <f aca="false">IF(BD1401&gt;0,J1401/BD1401,-1)</f>
        <v>5.70434782608696</v>
      </c>
      <c r="BI1401" s="63" t="n">
        <f aca="false">IF(AND(OR(CG1401="L1",CG1401="L23",CG1401="LIFT"),BD1401&gt;0),SUMIFS($BD$7:$BD$1843,$CG$7:$CG$1843,CG1401,$BH$7:$BH$1843,"&gt;"&amp;BH1401)+SUMIFS($BD$7:$BD$1843,$CG$7:$CG$1843,CG1401,$BH$7:$BH$1843,BH1401,$BX$7:$BX$1843,"&lt;="&amp;BX1401),"")</f>
        <v>3559.28250915751</v>
      </c>
      <c r="BJ1401" s="70" t="n">
        <f aca="false">IF(BI1401="",0,MAX(0,MIN(1,(IF(CG1401="L1",Parameter!$H$5,IF(CG1401="L23",Parameter!$H$6+Parameter!$H$7,Parameter!$H$5+Parameter!$H$6+Parameter!$H$7))-(BI1401-BD1401))/BD1401)))</f>
        <v>1</v>
      </c>
      <c r="BK1401" s="60" t="str">
        <f aca="false">IF(AJ1401&lt;=0,"",IF(CG1401="Aussen","Aussenlager",IF(CG1401="-","Nicht im Lift",IF(AP1401&gt;=1,"Lift",IF(AP1401&lt;=0,"Aussenlager","teilweise")))))</f>
        <v>Lift</v>
      </c>
      <c r="BL1401" s="60" t="str">
        <f aca="false">IF(AT1401&lt;=0,"",IF(CG1401="Aussen","Aussenlager",IF(CG1401="-","Nicht im Lift",IF(AZ1401&gt;=1,"Lift",IF(AZ1401&lt;=0,"Aussenlager","teilweise")))))</f>
        <v>Lift</v>
      </c>
      <c r="BM1401" s="60" t="str">
        <f aca="false">IF(BD1401&lt;=0,"",IF(CG1401="Aussen","Aussenlager",IF(CG1401="-","Nicht im Lift",IF(BJ1401&gt;=1,"Lift",IF(BJ1401&lt;=0,"Aussenlager","teilweise")))))</f>
        <v>Lift</v>
      </c>
      <c r="BN1401" s="60" t="str">
        <f aca="false">IF(A1401="","",IF(BW1401=1,"Neu; ","")&amp;IF(AND(BW1401=0,BR1401&lt;0),"negativer Bestand (Export "&amp;BR1401&amp;"); ","")&amp;IF(J1401&lt;=0,"Kein Verbrauch; ","")&amp;IF(CR1401&gt;0,"Lift "&amp;W1401&amp;" lt. Liftbericht (Fach "&amp;X1401&amp;" Stk); ",IF(CB1401=1,"Gebinde geschätzt ("&amp;T1401&amp;"); ",IF(CA1401=1,"Lose – Tablare geschätzt; ","")))&amp;IF(H1401&gt;AW1401,"Überbestand "&amp;ROUND(H1401-AW1401,0)&amp;" Stk / CHF "&amp;ROUND((H1401-AW1401)*G1401,0)&amp;"; ","")&amp;IF(AND(CI1401=1,CJ1401&lt;CK1401),"MAX &lt; MB+LG; ","")&amp;IF(AND(CQ1401&gt;0,CP1401*10&gt;CQ1401),"zu hoch für Tablar; ","")&amp;IF(AND(BW1401=0,OR(CI1401=1,AB1401&lt;&gt;"",U1401&lt;&gt;"",V1401&lt;&gt;"",AC1401&lt;&gt;"")),"manuell übersteuert; ","")&amp;IF(AND(CA1401=0,R1401=0),"Gebinde unbekannt / Stellmass fehlt; ","")&amp;IF(AND(CA1401=0,N(V1401)&lt;=0,N(Q1401)&lt;=0),"Menge pro Gebinde fehlt (Ist = 1 Gebinde); ","")&amp;BV1401)</f>
        <v>negativer Bestand (Export -14); </v>
      </c>
      <c r="BO1401" s="60"/>
      <c r="BP1401" s="60"/>
      <c r="BQ1401" s="67"/>
      <c r="BR1401" s="62" t="n">
        <v>-14</v>
      </c>
      <c r="BS1401" s="62" t="n">
        <v>61</v>
      </c>
      <c r="BT1401" s="61" t="n">
        <v>-4139.70000000001</v>
      </c>
      <c r="BU1401" s="62" t="n">
        <v>164</v>
      </c>
      <c r="BV1401" s="60"/>
      <c r="BW1401" s="65" t="n">
        <v>0</v>
      </c>
      <c r="BX1401" s="65" t="n">
        <v>1401</v>
      </c>
      <c r="BY1401" s="60" t="str">
        <f aca="false">IF(U1401&lt;&gt;"",UPPER(TRIM(U1401)),IF(CB1401=1,UPPER(VLOOKUP(T1401,Parameter!$I$27:$K$29,2,0)),IF(P1401="","LOSE",P1401)))</f>
        <v>S63</v>
      </c>
      <c r="BZ1401" s="62" t="n">
        <f aca="false">IF(BY1401="LOSE",1,IF(N(V1401)&gt;0,V1401,IF(CB1401=1,MAX(1,N(VLOOKUP(T1401,Parameter!$I$27:$K$29,3,0)),H1401,N(N1401)),IF(N(Q1401)&gt;0,Q1401,MAX(1,H1401)))))</f>
        <v>55</v>
      </c>
      <c r="CA1401" s="65" t="n">
        <f aca="false">IF(BY1401="LOSE",1,0)</f>
        <v>0</v>
      </c>
      <c r="CB1401" s="65" t="n">
        <f aca="false">IF(AND(U1401="",OR(P1401="",P1401="LOSE"),T1401&lt;&gt;"",N(S1401)&lt;=0,ISNUMBER(MATCH(T1401,Parameter!$I$27:$I$29,0))),1,0)</f>
        <v>0</v>
      </c>
      <c r="CC1401" s="65" t="n">
        <f aca="false">IF(CR1401&gt;0,INDEX(Parameter!$H$5:$H$7,W1401)/INDEX(Parameter!$E$5:$E$7,W1401),IF(AND(CA1401=0,N(IFERROR(VLOOKUP(BY1401,'Gebinde-Kategorie'!$A$5:$N$45,14,0),0))&gt;0),VLOOKUP(BY1401,'Gebinde-Kategorie'!$A$5:$N$45,14,0)*10+Parameter!$M$23,Parameter!$M$24))</f>
        <v>345</v>
      </c>
      <c r="CD1401" s="60" t="str">
        <f aca="false">IF(AND(Parameter!$B$19="Ja",E1401&lt;&gt;"",ISNUMBER(MATCH(E1401,Parameter!$I$35:$I$52,0))),VLOOKUP(E1401,Parameter!$I$35:$J$52,2,0),IFERROR(VLOOKUP(D1401,Parameter!$A$35:$C$64,2,0),"Nein"))</f>
        <v>2+3</v>
      </c>
      <c r="CE1401" s="64" t="n">
        <f aca="false">IF(CA1401=0,0,IF(N(S1401)&gt;0,S1401,IFERROR(VLOOKUP(D1401,Parameter!$A$35:$C$64,3,0)+0,0)))</f>
        <v>0</v>
      </c>
      <c r="CF1401" s="60" t="n">
        <f aca="false">IF(AB1401&lt;&gt;"",AB1401,AA1401)</f>
        <v>3</v>
      </c>
      <c r="CG1401" s="60" t="str">
        <f aca="false">IF(OR(CF1401=1,CF1401=2,CF1401=3),IF(Parameter!$E$27="Ja","LIFT",IF(CF1401=1,"L1","L23")),IF(CF1401="Aussen","Aussen","-"))</f>
        <v>LIFT</v>
      </c>
      <c r="CH1401" s="71" t="n">
        <f aca="false">IF(N(AC1401)&gt;0,AC1401,0)</f>
        <v>0</v>
      </c>
      <c r="CI1401" s="65" t="n">
        <f aca="false">IF(ISNUMBER(AF1401),1,0)</f>
        <v>0</v>
      </c>
      <c r="CJ1401" s="62" t="n">
        <f aca="false">N(AF1401)</f>
        <v>0</v>
      </c>
      <c r="CK1401" s="62" t="n">
        <f aca="false">N(M1401)+N(N1401)</f>
        <v>50</v>
      </c>
      <c r="CL1401" s="62" t="n">
        <f aca="false">N(M1401)</f>
        <v>10</v>
      </c>
      <c r="CM1401" s="62" t="n">
        <f aca="false">N(N1401)</f>
        <v>40</v>
      </c>
      <c r="CN1401" s="62" t="n">
        <f aca="false">ROUNDUP(H1401/BZ1401,0)</f>
        <v>1</v>
      </c>
      <c r="CO1401" s="62" t="n">
        <f aca="false">ROUNDUP(CJ1401/BZ1401,0)</f>
        <v>0</v>
      </c>
      <c r="CP1401" s="65" t="n">
        <f aca="false">IF(CA1401=1,0,IFERROR(VLOOKUP(BY1401,'Gebinde-Kategorie'!$A$5:$N$45,5,0)+0,0))</f>
        <v>31</v>
      </c>
      <c r="CQ1401" s="65" t="n">
        <f aca="false">IFERROR(IF(OR(CF1401=1,CF1401=2,CF1401=3),N(INDEX(Parameter!$I$5:$I$7,CF1401)),0),0)</f>
        <v>0</v>
      </c>
      <c r="CR1401" s="64" t="n">
        <f aca="false">IF(AND(Parameter!$B$21="Ja",ISNUMBER(W1401),N(X1401)&gt;0),IFERROR(N(INDEX(Parameter!$L$5:$L$7,W1401))*INDEX(Parameter!$E$5:$E$7,W1401)*X1401/SUMIFS($X$7:$X$1843,$W$7:$W$1843,W1401),0),0)</f>
        <v>0</v>
      </c>
      <c r="CS1401" s="62" t="n">
        <f aca="false">IF(AND(OR(CG1401="L1",CG1401="L23",CG1401="LIFT"),H1401&gt;0),CC1401*IF(CR1401&gt;0,CR1401*MAX(1,H1401/X1401),IF(CA1401=1,CE1401,IF(R1401&gt;0,CN1401/R1401,0))/MAX(0.1,N(Parameter!$M$21))),"")</f>
        <v>28.75</v>
      </c>
      <c r="CT1401" s="64" t="n">
        <f aca="false">IF(CS1401="","",J1401/H1401)</f>
        <v>3.48936170212766</v>
      </c>
      <c r="CU1401" s="62" t="n">
        <f aca="false">IF(CS1401="","",H1401*G1401)</f>
        <v>9801.85</v>
      </c>
      <c r="CV1401" s="63" t="n">
        <f aca="false">IF(CS1401="","",(CL1401+ROUNDUP(CL1401+MAX(CM1401,2*(J1401/MAX(0.1,N(Einkauf!$C$6))-CL1401)),0))/2)</f>
        <v>41</v>
      </c>
      <c r="CW1401" s="62" t="n">
        <f aca="false">IF(CS1401="","",MAX(0,H1401-CV1401)*G1401)</f>
        <v>1251.3</v>
      </c>
      <c r="CX1401" s="62" t="n">
        <f aca="false">IF(CS1401="","",CS1401*MAX(0,1-CV1401/H1401))</f>
        <v>3.67021276595745</v>
      </c>
      <c r="CY1401" s="64" t="n">
        <f aca="false">IF(CS1401="","",PERCENTRANK($CS$7:$CS$1843,CS1401)+PERCENTRANK($CU$7:$CU$1843,CU1401)+1-PERCENTRANK($CT$7:$CT$1843,CT1401))</f>
        <v>1.857</v>
      </c>
      <c r="CZ1401" s="72" t="n">
        <f aca="false">IF(CS1401="","",CHOOSE(MATCH(Einkauf!$C$5,Parameter!$G$23:$G$27,0),CY1401,CS1401,CU1401,-CT1401,CW1401)+ROW()/1000000000)</f>
        <v>1.857001401</v>
      </c>
    </row>
    <row r="1402" customFormat="false" ht="15" hidden="false" customHeight="false" outlineLevel="0" collapsed="false">
      <c r="A1402" s="60" t="s">
        <v>2505</v>
      </c>
      <c r="B1402" s="60" t="s">
        <v>2506</v>
      </c>
      <c r="C1402" s="60" t="s">
        <v>206</v>
      </c>
      <c r="D1402" s="60" t="s">
        <v>226</v>
      </c>
      <c r="E1402" s="60" t="s">
        <v>227</v>
      </c>
      <c r="F1402" s="60" t="s">
        <v>260</v>
      </c>
      <c r="G1402" s="61" t="n">
        <v>94.26</v>
      </c>
      <c r="H1402" s="62" t="n">
        <f aca="false">MAX(0,IF(AND(Parameter!$B$21="Ja",ISNUMBER(Y1402)),Y1402,IF(Parameter!$B$20="Jahresanfang 2025 + Export",BS1402+BR1402,BR1402)))</f>
        <v>11</v>
      </c>
      <c r="I1402" s="62" t="n">
        <f aca="false">H1402*G1402</f>
        <v>1036.86</v>
      </c>
      <c r="J1402" s="62" t="n">
        <f aca="false">BU1402*Parameter!$B$18</f>
        <v>2</v>
      </c>
      <c r="K1402" s="63" t="n">
        <v>53.5</v>
      </c>
      <c r="L1402" s="64" t="n">
        <v>0.0373831775700935</v>
      </c>
      <c r="M1402" s="62" t="n">
        <v>0</v>
      </c>
      <c r="N1402" s="62" t="n">
        <v>1</v>
      </c>
      <c r="O1402" s="65" t="n">
        <v>28</v>
      </c>
      <c r="P1402" s="60" t="s">
        <v>228</v>
      </c>
      <c r="Q1402" s="62" t="n">
        <v>35</v>
      </c>
      <c r="R1402" s="65" t="n">
        <f aca="false">IF(CA1402=1,0,IFERROR(VLOOKUP(BY1402,'Gebinde-Kategorie'!$A$5:$N$45,13,0)+0,0))</f>
        <v>12</v>
      </c>
      <c r="S1402" s="66"/>
      <c r="T1402" s="67"/>
      <c r="U1402" s="67"/>
      <c r="V1402" s="67"/>
      <c r="W1402" s="60"/>
      <c r="X1402" s="62"/>
      <c r="Y1402" s="62"/>
      <c r="Z1402" s="60" t="n">
        <v>3</v>
      </c>
      <c r="AA1402" s="60" t="n">
        <f aca="false">IF(A1402="","",IF(AND(Parameter!$B$21="Ja",ISNUMBER(W1402)),W1402,IF(AND(Parameter!$E$27="Ja",ISNUMBER(Z1402),CD1402&lt;&gt;"Nein"),Z1402,IF(CD1402="2+3",IF(ISNUMBER(SEARCH("grosser Artikel",BV1402)),2,IFERROR(VLOOKUP(BY1402,Parameter!$F$35:$G$64,2,0),2)),IF(OR(CD1402="Nein",CD1402=""),"-",CD1402)))))</f>
        <v>3</v>
      </c>
      <c r="AB1402" s="67"/>
      <c r="AC1402" s="68"/>
      <c r="AD1402" s="62" t="n">
        <f aca="false">AW1402</f>
        <v>2</v>
      </c>
      <c r="AE1402" s="62" t="n">
        <f aca="false">MAX(AW1402,H1402)</f>
        <v>11</v>
      </c>
      <c r="AF1402" s="69"/>
      <c r="AG1402" s="62" t="n">
        <f aca="false">IF(LEFT(Cockpit!$C$5,1)="A",H1402,IF(Parameter!$E$30="MAX-Bestand",IF(CI1402=1,CJ1402,IF(LEFT(Cockpit!$C$5,1)="B",AM1402,MAX(AM1402,H1402))),ROUNDUP(AK1402,0)))</f>
        <v>11</v>
      </c>
      <c r="AH1402" s="62" t="n">
        <f aca="false">IF(CA1402=1,0,ROUNDUP(AG1402/BZ1402,0))</f>
        <v>1</v>
      </c>
      <c r="AI1402" s="64" t="n">
        <f aca="false">IF(CR1402&gt;0,CR1402*MAX(1,AG1402/X1402),IF(CA1402=1,IF(AG1402&lt;=0,0,CE1402*MAX(1,IF(H1402&gt;0,AG1402/H1402,1))),IF(R1402&gt;0,AH1402/R1402,0))/MAX(0.1,N(Parameter!$M$21)))</f>
        <v>0.0833333333333333</v>
      </c>
      <c r="AJ1402" s="62" t="n">
        <f aca="false">AI1402*CC1402</f>
        <v>12.0833333333333</v>
      </c>
      <c r="AK1402" s="63" t="n">
        <f aca="false">IF(LEFT(Cockpit!$C$5,1)="A",H1402,IF(CI1402=1,(CL1402+CJ1402)/2,IF(LEFT(Cockpit!$C$5,1)="B",(CL1402+AM1402)/2,MAX((CL1402+AM1402)/2,H1402))))</f>
        <v>11</v>
      </c>
      <c r="AL1402" s="62" t="n">
        <f aca="false">AK1402*G1402</f>
        <v>1036.86</v>
      </c>
      <c r="AM1402" s="62" t="n">
        <f aca="false">ROUNDUP(CL1402+MAX(CM1402,2*(J1402/IF(CH1402&gt;0,CH1402,MAX(0.1,N(Cockpit!$C$6)))-CL1402)),0)</f>
        <v>2</v>
      </c>
      <c r="AN1402" s="63" t="n">
        <f aca="false">IF(AJ1402&gt;0,J1402/AJ1402,-1)</f>
        <v>0.16551724137931</v>
      </c>
      <c r="AO1402" s="63" t="n">
        <f aca="false">IF(AND(OR(CG1402="L1",CG1402="L23",CG1402="LIFT"),AJ1402&gt;0),SUMIFS($AJ$7:$AJ$1843,$CG$7:$CG$1843,CG1402,$AN$7:$AN$1843,"&gt;"&amp;AN1402)+SUMIFS($AJ$7:$AJ$1843,$CG$7:$CG$1843,CG1402,$AN$7:$AN$1843,AN1402,$BX$7:$BX$1843,"&lt;="&amp;BX1402),"")</f>
        <v>12865.8234644358</v>
      </c>
      <c r="AP1402" s="70" t="n">
        <f aca="false">IF(AO1402="",0,MAX(0,MIN(1,(IF(CG1402="L1",Parameter!$H$5,IF(CG1402="L23",Parameter!$H$6+Parameter!$H$7,Parameter!$H$5+Parameter!$H$6+Parameter!$H$7))-(AO1402-AJ1402))/AJ1402)))</f>
        <v>1</v>
      </c>
      <c r="AQ1402" s="62" t="n">
        <f aca="false">IF(LEFT(Cockpit!$I$5,1)="A",H1402,IF(Parameter!$E$30="MAX-Bestand",IF(CI1402=1,CJ1402,IF(LEFT(Cockpit!$I$5,1)="B",AW1402,MAX(AW1402,H1402))),ROUNDUP(AU1402,0)))</f>
        <v>11</v>
      </c>
      <c r="AR1402" s="62" t="n">
        <f aca="false">IF(CA1402=1,0,ROUNDUP(AQ1402/BZ1402,0))</f>
        <v>1</v>
      </c>
      <c r="AS1402" s="64" t="n">
        <f aca="false">IF(CR1402&gt;0,CR1402*MAX(1,AQ1402/X1402),IF(CA1402=1,IF(AQ1402&lt;=0,0,CE1402*MAX(1,IF(H1402&gt;0,AQ1402/H1402,1))),IF(R1402&gt;0,AR1402/R1402,0))/MAX(0.1,N(Parameter!$M$21)))</f>
        <v>0.0833333333333333</v>
      </c>
      <c r="AT1402" s="62" t="n">
        <f aca="false">AS1402*CC1402</f>
        <v>12.0833333333333</v>
      </c>
      <c r="AU1402" s="63" t="n">
        <f aca="false">IF(LEFT(Cockpit!$I$5,1)="A",H1402,IF(CI1402=1,(CL1402+CJ1402)/2,IF(LEFT(Cockpit!$I$5,1)="B",(CL1402+AW1402)/2,MAX((CL1402+AW1402)/2,H1402))))</f>
        <v>11</v>
      </c>
      <c r="AV1402" s="62" t="n">
        <f aca="false">AU1402*G1402</f>
        <v>1036.86</v>
      </c>
      <c r="AW1402" s="62" t="n">
        <f aca="false">ROUNDUP(CL1402+MAX(CM1402,2*(J1402/IF(CH1402&gt;0,CH1402,MAX(0.1,N(Cockpit!$I$6)))-CL1402)),0)</f>
        <v>2</v>
      </c>
      <c r="AX1402" s="63" t="n">
        <f aca="false">IF(AT1402&gt;0,J1402/AT1402,-1)</f>
        <v>0.16551724137931</v>
      </c>
      <c r="AY1402" s="63" t="n">
        <f aca="false">IF(AND(OR(CG1402="L1",CG1402="L23",CG1402="LIFT"),AT1402&gt;0),SUMIFS($AT$7:$AT$1843,$CG$7:$CG$1843,CG1402,$AX$7:$AX$1843,"&gt;"&amp;AX1402)+SUMIFS($AT$7:$AT$1843,$CG$7:$CG$1843,CG1402,$AX$7:$AX$1843,AX1402,$BX$7:$BX$1843,"&lt;="&amp;BX1402),"")</f>
        <v>15818.6707875458</v>
      </c>
      <c r="AZ1402" s="70" t="n">
        <f aca="false">IF(AY1402="",0,MAX(0,MIN(1,(IF(CG1402="L1",Parameter!$H$5,IF(CG1402="L23",Parameter!$H$6+Parameter!$H$7,Parameter!$H$5+Parameter!$H$6+Parameter!$H$7))-(AY1402-AT1402))/AT1402)))</f>
        <v>1</v>
      </c>
      <c r="BA1402" s="62" t="n">
        <f aca="false">IF(LEFT(Cockpit!$O$5,1)="A",H1402,IF(Parameter!$E$30="MAX-Bestand",IF(CI1402=1,CJ1402,IF(LEFT(Cockpit!$O$5,1)="B",BG1402,MAX(BG1402,H1402))),ROUNDUP(BE1402,0)))</f>
        <v>1</v>
      </c>
      <c r="BB1402" s="62" t="n">
        <f aca="false">IF(CA1402=1,0,ROUNDUP(BA1402/BZ1402,0))</f>
        <v>1</v>
      </c>
      <c r="BC1402" s="64" t="n">
        <f aca="false">IF(CR1402&gt;0,CR1402*MAX(1,BA1402/X1402),IF(CA1402=1,IF(BA1402&lt;=0,0,CE1402*MAX(1,IF(H1402&gt;0,BA1402/H1402,1))),IF(R1402&gt;0,BB1402/R1402,0))/MAX(0.1,N(Parameter!$M$21)))</f>
        <v>0.0833333333333333</v>
      </c>
      <c r="BD1402" s="62" t="n">
        <f aca="false">BC1402*CC1402</f>
        <v>12.0833333333333</v>
      </c>
      <c r="BE1402" s="63" t="n">
        <f aca="false">IF(LEFT(Cockpit!$O$5,1)="A",H1402,IF(CI1402=1,(CL1402+CJ1402)/2,IF(LEFT(Cockpit!$O$5,1)="B",(CL1402+BG1402)/2,MAX((CL1402+BG1402)/2,H1402))))</f>
        <v>0.5</v>
      </c>
      <c r="BF1402" s="62" t="n">
        <f aca="false">BE1402*G1402</f>
        <v>47.13</v>
      </c>
      <c r="BG1402" s="62" t="n">
        <f aca="false">ROUNDUP(CL1402+MAX(CM1402,2*(J1402/IF(CH1402&gt;0,CH1402,MAX(0.1,N(Cockpit!$O$6)))-CL1402)),0)</f>
        <v>1</v>
      </c>
      <c r="BH1402" s="63" t="n">
        <f aca="false">IF(BD1402&gt;0,J1402/BD1402,-1)</f>
        <v>0.16551724137931</v>
      </c>
      <c r="BI1402" s="63" t="n">
        <f aca="false">IF(AND(OR(CG1402="L1",CG1402="L23",CG1402="LIFT"),BD1402&gt;0),SUMIFS($BD$7:$BD$1843,$CG$7:$CG$1843,CG1402,$BH$7:$BH$1843,"&gt;"&amp;BH1402)+SUMIFS($BD$7:$BD$1843,$CG$7:$CG$1843,CG1402,$BH$7:$BH$1843,BH1402,$BX$7:$BX$1843,"&lt;="&amp;BX1402),"")</f>
        <v>13645.1372824445</v>
      </c>
      <c r="BJ1402" s="70" t="n">
        <f aca="false">IF(BI1402="",0,MAX(0,MIN(1,(IF(CG1402="L1",Parameter!$H$5,IF(CG1402="L23",Parameter!$H$6+Parameter!$H$7,Parameter!$H$5+Parameter!$H$6+Parameter!$H$7))-(BI1402-BD1402))/BD1402)))</f>
        <v>1</v>
      </c>
      <c r="BK1402" s="60" t="str">
        <f aca="false">IF(AJ1402&lt;=0,"",IF(CG1402="Aussen","Aussenlager",IF(CG1402="-","Nicht im Lift",IF(AP1402&gt;=1,"Lift",IF(AP1402&lt;=0,"Aussenlager","teilweise")))))</f>
        <v>Lift</v>
      </c>
      <c r="BL1402" s="60" t="str">
        <f aca="false">IF(AT1402&lt;=0,"",IF(CG1402="Aussen","Aussenlager",IF(CG1402="-","Nicht im Lift",IF(AZ1402&gt;=1,"Lift",IF(AZ1402&lt;=0,"Aussenlager","teilweise")))))</f>
        <v>Lift</v>
      </c>
      <c r="BM1402" s="60" t="str">
        <f aca="false">IF(BD1402&lt;=0,"",IF(CG1402="Aussen","Aussenlager",IF(CG1402="-","Nicht im Lift",IF(BJ1402&gt;=1,"Lift",IF(BJ1402&lt;=0,"Aussenlager","teilweise")))))</f>
        <v>Lift</v>
      </c>
      <c r="BN1402" s="60" t="str">
        <f aca="false">IF(A1402="","",IF(BW1402=1,"Neu; ","")&amp;IF(AND(BW1402=0,BR1402&lt;0),"negativer Bestand (Export "&amp;BR1402&amp;"); ","")&amp;IF(J1402&lt;=0,"Kein Verbrauch; ","")&amp;IF(CR1402&gt;0,"Lift "&amp;W1402&amp;" lt. Liftbericht (Fach "&amp;X1402&amp;" Stk); ",IF(CB1402=1,"Gebinde geschätzt ("&amp;T1402&amp;"); ",IF(CA1402=1,"Lose – Tablare geschätzt; ","")))&amp;IF(H1402&gt;AW1402,"Überbestand "&amp;ROUND(H1402-AW1402,0)&amp;" Stk / CHF "&amp;ROUND((H1402-AW1402)*G1402,0)&amp;"; ","")&amp;IF(AND(CI1402=1,CJ1402&lt;CK1402),"MAX &lt; MB+LG; ","")&amp;IF(AND(CQ1402&gt;0,CP1402*10&gt;CQ1402),"zu hoch für Tablar; ","")&amp;IF(AND(BW1402=0,OR(CI1402=1,AB1402&lt;&gt;"",U1402&lt;&gt;"",V1402&lt;&gt;"",AC1402&lt;&gt;"")),"manuell übersteuert; ","")&amp;IF(AND(CA1402=0,R1402=0),"Gebinde unbekannt / Stellmass fehlt; ","")&amp;IF(AND(CA1402=0,N(V1402)&lt;=0,N(Q1402)&lt;=0),"Menge pro Gebinde fehlt (Ist = 1 Gebinde); ","")&amp;BV1402)</f>
        <v>negativer Bestand (Export -44); Überbestand 9 Stk / CHF 848; </v>
      </c>
      <c r="BO1402" s="60"/>
      <c r="BP1402" s="60"/>
      <c r="BQ1402" s="67"/>
      <c r="BR1402" s="62" t="n">
        <v>-44</v>
      </c>
      <c r="BS1402" s="62" t="n">
        <v>55</v>
      </c>
      <c r="BT1402" s="61" t="n">
        <v>-4147.44</v>
      </c>
      <c r="BU1402" s="62" t="n">
        <v>2</v>
      </c>
      <c r="BV1402" s="60"/>
      <c r="BW1402" s="65" t="n">
        <v>0</v>
      </c>
      <c r="BX1402" s="65" t="n">
        <v>1402</v>
      </c>
      <c r="BY1402" s="60" t="str">
        <f aca="false">IF(U1402&lt;&gt;"",UPPER(TRIM(U1402)),IF(CB1402=1,UPPER(VLOOKUP(T1402,Parameter!$I$27:$K$29,2,0)),IF(P1402="","LOSE",P1402)))</f>
        <v>S61</v>
      </c>
      <c r="BZ1402" s="62" t="n">
        <f aca="false">IF(BY1402="LOSE",1,IF(N(V1402)&gt;0,V1402,IF(CB1402=1,MAX(1,N(VLOOKUP(T1402,Parameter!$I$27:$K$29,3,0)),H1402,N(N1402)),IF(N(Q1402)&gt;0,Q1402,MAX(1,H1402)))))</f>
        <v>35</v>
      </c>
      <c r="CA1402" s="65" t="n">
        <f aca="false">IF(BY1402="LOSE",1,0)</f>
        <v>0</v>
      </c>
      <c r="CB1402" s="65" t="n">
        <f aca="false">IF(AND(U1402="",OR(P1402="",P1402="LOSE"),T1402&lt;&gt;"",N(S1402)&lt;=0,ISNUMBER(MATCH(T1402,Parameter!$I$27:$I$29,0))),1,0)</f>
        <v>0</v>
      </c>
      <c r="CC1402" s="65" t="n">
        <f aca="false">IF(CR1402&gt;0,INDEX(Parameter!$H$5:$H$7,W1402)/INDEX(Parameter!$E$5:$E$7,W1402),IF(AND(CA1402=0,N(IFERROR(VLOOKUP(BY1402,'Gebinde-Kategorie'!$A$5:$N$45,14,0),0))&gt;0),VLOOKUP(BY1402,'Gebinde-Kategorie'!$A$5:$N$45,14,0)*10+Parameter!$M$23,Parameter!$M$24))</f>
        <v>145</v>
      </c>
      <c r="CD1402" s="60" t="str">
        <f aca="false">IF(AND(Parameter!$B$19="Ja",E1402&lt;&gt;"",ISNUMBER(MATCH(E1402,Parameter!$I$35:$I$52,0))),VLOOKUP(E1402,Parameter!$I$35:$J$52,2,0),IFERROR(VLOOKUP(D1402,Parameter!$A$35:$C$64,2,0),"Nein"))</f>
        <v>2+3</v>
      </c>
      <c r="CE1402" s="64" t="n">
        <f aca="false">IF(CA1402=0,0,IF(N(S1402)&gt;0,S1402,IFERROR(VLOOKUP(D1402,Parameter!$A$35:$C$64,3,0)+0,0)))</f>
        <v>0</v>
      </c>
      <c r="CF1402" s="60" t="n">
        <f aca="false">IF(AB1402&lt;&gt;"",AB1402,AA1402)</f>
        <v>3</v>
      </c>
      <c r="CG1402" s="60" t="str">
        <f aca="false">IF(OR(CF1402=1,CF1402=2,CF1402=3),IF(Parameter!$E$27="Ja","LIFT",IF(CF1402=1,"L1","L23")),IF(CF1402="Aussen","Aussen","-"))</f>
        <v>LIFT</v>
      </c>
      <c r="CH1402" s="71" t="n">
        <f aca="false">IF(N(AC1402)&gt;0,AC1402,0)</f>
        <v>0</v>
      </c>
      <c r="CI1402" s="65" t="n">
        <f aca="false">IF(ISNUMBER(AF1402),1,0)</f>
        <v>0</v>
      </c>
      <c r="CJ1402" s="62" t="n">
        <f aca="false">N(AF1402)</f>
        <v>0</v>
      </c>
      <c r="CK1402" s="62" t="n">
        <f aca="false">N(M1402)+N(N1402)</f>
        <v>1</v>
      </c>
      <c r="CL1402" s="62" t="n">
        <f aca="false">N(M1402)</f>
        <v>0</v>
      </c>
      <c r="CM1402" s="62" t="n">
        <f aca="false">N(N1402)</f>
        <v>1</v>
      </c>
      <c r="CN1402" s="62" t="n">
        <f aca="false">ROUNDUP(H1402/BZ1402,0)</f>
        <v>1</v>
      </c>
      <c r="CO1402" s="62" t="n">
        <f aca="false">ROUNDUP(CJ1402/BZ1402,0)</f>
        <v>0</v>
      </c>
      <c r="CP1402" s="65" t="n">
        <f aca="false">IF(CA1402=1,0,IFERROR(VLOOKUP(BY1402,'Gebinde-Kategorie'!$A$5:$N$45,5,0)+0,0))</f>
        <v>11</v>
      </c>
      <c r="CQ1402" s="65" t="n">
        <f aca="false">IFERROR(IF(OR(CF1402=1,CF1402=2,CF1402=3),N(INDEX(Parameter!$I$5:$I$7,CF1402)),0),0)</f>
        <v>0</v>
      </c>
      <c r="CR1402" s="64" t="n">
        <f aca="false">IF(AND(Parameter!$B$21="Ja",ISNUMBER(W1402),N(X1402)&gt;0),IFERROR(N(INDEX(Parameter!$L$5:$L$7,W1402))*INDEX(Parameter!$E$5:$E$7,W1402)*X1402/SUMIFS($X$7:$X$1843,$W$7:$W$1843,W1402),0),0)</f>
        <v>0</v>
      </c>
      <c r="CS1402" s="62" t="n">
        <f aca="false">IF(AND(OR(CG1402="L1",CG1402="L23",CG1402="LIFT"),H1402&gt;0),CC1402*IF(CR1402&gt;0,CR1402*MAX(1,H1402/X1402),IF(CA1402=1,CE1402,IF(R1402&gt;0,CN1402/R1402,0))/MAX(0.1,N(Parameter!$M$21))),"")</f>
        <v>12.0833333333333</v>
      </c>
      <c r="CT1402" s="64" t="n">
        <f aca="false">IF(CS1402="","",J1402/H1402)</f>
        <v>0.181818181818182</v>
      </c>
      <c r="CU1402" s="62" t="n">
        <f aca="false">IF(CS1402="","",H1402*G1402)</f>
        <v>1036.86</v>
      </c>
      <c r="CV1402" s="63" t="n">
        <f aca="false">IF(CS1402="","",(CL1402+ROUNDUP(CL1402+MAX(CM1402,2*(J1402/MAX(0.1,N(Einkauf!$C$6))-CL1402)),0))/2)</f>
        <v>0.5</v>
      </c>
      <c r="CW1402" s="62" t="n">
        <f aca="false">IF(CS1402="","",MAX(0,H1402-CV1402)*G1402)</f>
        <v>989.73</v>
      </c>
      <c r="CX1402" s="62" t="n">
        <f aca="false">IF(CS1402="","",CS1402*MAX(0,1-CV1402/H1402))</f>
        <v>11.5340909090909</v>
      </c>
      <c r="CY1402" s="64" t="n">
        <f aca="false">IF(CS1402="","",PERCENTRANK($CS$7:$CS$1843,CS1402)+PERCENTRANK($CU$7:$CU$1843,CU1402)+1-PERCENTRANK($CT$7:$CT$1843,CT1402))</f>
        <v>1.846</v>
      </c>
      <c r="CZ1402" s="72" t="n">
        <f aca="false">IF(CS1402="","",CHOOSE(MATCH(Einkauf!$C$5,Parameter!$G$23:$G$27,0),CY1402,CS1402,CU1402,-CT1402,CW1402)+ROW()/1000000000)</f>
        <v>1.846001402</v>
      </c>
    </row>
    <row r="1403" customFormat="false" ht="15" hidden="false" customHeight="false" outlineLevel="0" collapsed="false">
      <c r="A1403" s="60" t="s">
        <v>2507</v>
      </c>
      <c r="B1403" s="60" t="s">
        <v>447</v>
      </c>
      <c r="C1403" s="60" t="s">
        <v>206</v>
      </c>
      <c r="D1403" s="60" t="s">
        <v>226</v>
      </c>
      <c r="E1403" s="60"/>
      <c r="F1403" s="60" t="s">
        <v>260</v>
      </c>
      <c r="G1403" s="61" t="n">
        <v>3.25</v>
      </c>
      <c r="H1403" s="62" t="n">
        <f aca="false">MAX(0,IF(AND(Parameter!$B$21="Ja",ISNUMBER(Y1403)),Y1403,IF(Parameter!$B$20="Jahresanfang 2025 + Export",BS1403+BR1403,BR1403)))</f>
        <v>151</v>
      </c>
      <c r="I1403" s="62" t="n">
        <f aca="false">H1403*G1403</f>
        <v>490.75</v>
      </c>
      <c r="J1403" s="62" t="n">
        <f aca="false">BU1403*Parameter!$B$18</f>
        <v>966</v>
      </c>
      <c r="K1403" s="63" t="n">
        <v>1023.5</v>
      </c>
      <c r="L1403" s="64" t="n">
        <v>0.943820224719101</v>
      </c>
      <c r="M1403" s="62" t="n">
        <v>60</v>
      </c>
      <c r="N1403" s="62" t="n">
        <v>1500</v>
      </c>
      <c r="O1403" s="65" t="n">
        <v>56</v>
      </c>
      <c r="P1403" s="60" t="s">
        <v>210</v>
      </c>
      <c r="Q1403" s="62"/>
      <c r="R1403" s="65" t="n">
        <f aca="false">IF(CA1403=1,0,IFERROR(VLOOKUP(BY1403,'Gebinde-Kategorie'!$A$5:$N$45,13,0)+0,0))</f>
        <v>26</v>
      </c>
      <c r="S1403" s="66"/>
      <c r="T1403" s="67" t="s">
        <v>317</v>
      </c>
      <c r="U1403" s="67"/>
      <c r="V1403" s="67"/>
      <c r="W1403" s="60"/>
      <c r="X1403" s="62"/>
      <c r="Y1403" s="62"/>
      <c r="Z1403" s="60" t="n">
        <v>3</v>
      </c>
      <c r="AA1403" s="60" t="n">
        <f aca="false">IF(A1403="","",IF(AND(Parameter!$B$21="Ja",ISNUMBER(W1403)),W1403,IF(AND(Parameter!$E$27="Ja",ISNUMBER(Z1403),CD1403&lt;&gt;"Nein"),Z1403,IF(CD1403="2+3",IF(ISNUMBER(SEARCH("grosser Artikel",BV1403)),2,IFERROR(VLOOKUP(BY1403,Parameter!$F$35:$G$64,2,0),2)),IF(OR(CD1403="Nein",CD1403=""),"-",CD1403)))))</f>
        <v>3</v>
      </c>
      <c r="AB1403" s="67"/>
      <c r="AC1403" s="68"/>
      <c r="AD1403" s="62" t="n">
        <f aca="false">AW1403</f>
        <v>1560</v>
      </c>
      <c r="AE1403" s="62" t="n">
        <f aca="false">MAX(AW1403,H1403)</f>
        <v>1560</v>
      </c>
      <c r="AF1403" s="69"/>
      <c r="AG1403" s="62" t="n">
        <f aca="false">IF(LEFT(Cockpit!$C$5,1)="A",H1403,IF(Parameter!$E$30="MAX-Bestand",IF(CI1403=1,CJ1403,IF(LEFT(Cockpit!$C$5,1)="B",AM1403,MAX(AM1403,H1403))),ROUNDUP(AK1403,0)))</f>
        <v>151</v>
      </c>
      <c r="AH1403" s="62" t="n">
        <f aca="false">IF(CA1403=1,0,ROUNDUP(AG1403/BZ1403,0))</f>
        <v>1</v>
      </c>
      <c r="AI1403" s="64" t="n">
        <f aca="false">IF(CR1403&gt;0,CR1403*MAX(1,AG1403/X1403),IF(CA1403=1,IF(AG1403&lt;=0,0,CE1403*MAX(1,IF(H1403&gt;0,AG1403/H1403,1))),IF(R1403&gt;0,AH1403/R1403,0))/MAX(0.1,N(Parameter!$M$21)))</f>
        <v>0.0384615384615385</v>
      </c>
      <c r="AJ1403" s="62" t="n">
        <f aca="false">AI1403*CC1403</f>
        <v>5.96153846153846</v>
      </c>
      <c r="AK1403" s="63" t="n">
        <f aca="false">IF(LEFT(Cockpit!$C$5,1)="A",H1403,IF(CI1403=1,(CL1403+CJ1403)/2,IF(LEFT(Cockpit!$C$5,1)="B",(CL1403+AM1403)/2,MAX((CL1403+AM1403)/2,H1403))))</f>
        <v>151</v>
      </c>
      <c r="AL1403" s="62" t="n">
        <f aca="false">AK1403*G1403</f>
        <v>490.75</v>
      </c>
      <c r="AM1403" s="62" t="n">
        <f aca="false">ROUNDUP(CL1403+MAX(CM1403,2*(J1403/IF(CH1403&gt;0,CH1403,MAX(0.1,N(Cockpit!$C$6)))-CL1403)),0)</f>
        <v>1560</v>
      </c>
      <c r="AN1403" s="63" t="n">
        <f aca="false">IF(AJ1403&gt;0,J1403/AJ1403,-1)</f>
        <v>162.038709677419</v>
      </c>
      <c r="AO1403" s="63" t="n">
        <f aca="false">IF(AND(OR(CG1403="L1",CG1403="L23",CG1403="LIFT"),AJ1403&gt;0),SUMIFS($AJ$7:$AJ$1843,$CG$7:$CG$1843,CG1403,$AN$7:$AN$1843,"&gt;"&amp;AN1403)+SUMIFS($AJ$7:$AJ$1843,$CG$7:$CG$1843,CG1403,$AN$7:$AN$1843,AN1403,$BX$7:$BX$1843,"&lt;="&amp;BX1403),"")</f>
        <v>420.30815018315</v>
      </c>
      <c r="AP1403" s="70" t="n">
        <f aca="false">IF(AO1403="",0,MAX(0,MIN(1,(IF(CG1403="L1",Parameter!$H$5,IF(CG1403="L23",Parameter!$H$6+Parameter!$H$7,Parameter!$H$5+Parameter!$H$6+Parameter!$H$7))-(AO1403-AJ1403))/AJ1403)))</f>
        <v>1</v>
      </c>
      <c r="AQ1403" s="62" t="n">
        <f aca="false">IF(LEFT(Cockpit!$I$5,1)="A",H1403,IF(Parameter!$E$30="MAX-Bestand",IF(CI1403=1,CJ1403,IF(LEFT(Cockpit!$I$5,1)="B",AW1403,MAX(AW1403,H1403))),ROUNDUP(AU1403,0)))</f>
        <v>810</v>
      </c>
      <c r="AR1403" s="62" t="n">
        <f aca="false">IF(CA1403=1,0,ROUNDUP(AQ1403/BZ1403,0))</f>
        <v>1</v>
      </c>
      <c r="AS1403" s="64" t="n">
        <f aca="false">IF(CR1403&gt;0,CR1403*MAX(1,AQ1403/X1403),IF(CA1403=1,IF(AQ1403&lt;=0,0,CE1403*MAX(1,IF(H1403&gt;0,AQ1403/H1403,1))),IF(R1403&gt;0,AR1403/R1403,0))/MAX(0.1,N(Parameter!$M$21)))</f>
        <v>0.0384615384615385</v>
      </c>
      <c r="AT1403" s="62" t="n">
        <f aca="false">AS1403*CC1403</f>
        <v>5.96153846153846</v>
      </c>
      <c r="AU1403" s="63" t="n">
        <f aca="false">IF(LEFT(Cockpit!$I$5,1)="A",H1403,IF(CI1403=1,(CL1403+CJ1403)/2,IF(LEFT(Cockpit!$I$5,1)="B",(CL1403+AW1403)/2,MAX((CL1403+AW1403)/2,H1403))))</f>
        <v>810</v>
      </c>
      <c r="AV1403" s="62" t="n">
        <f aca="false">AU1403*G1403</f>
        <v>2632.5</v>
      </c>
      <c r="AW1403" s="62" t="n">
        <f aca="false">ROUNDUP(CL1403+MAX(CM1403,2*(J1403/IF(CH1403&gt;0,CH1403,MAX(0.1,N(Cockpit!$I$6)))-CL1403)),0)</f>
        <v>1560</v>
      </c>
      <c r="AX1403" s="63" t="n">
        <f aca="false">IF(AT1403&gt;0,J1403/AT1403,-1)</f>
        <v>162.038709677419</v>
      </c>
      <c r="AY1403" s="63" t="n">
        <f aca="false">IF(AND(OR(CG1403="L1",CG1403="L23",CG1403="LIFT"),AT1403&gt;0),SUMIFS($AT$7:$AT$1843,$CG$7:$CG$1843,CG1403,$AX$7:$AX$1843,"&gt;"&amp;AX1403)+SUMIFS($AT$7:$AT$1843,$CG$7:$CG$1843,CG1403,$AX$7:$AX$1843,AX1403,$BX$7:$BX$1843,"&lt;="&amp;BX1403),"")</f>
        <v>537.945054945055</v>
      </c>
      <c r="AZ1403" s="70" t="n">
        <f aca="false">IF(AY1403="",0,MAX(0,MIN(1,(IF(CG1403="L1",Parameter!$H$5,IF(CG1403="L23",Parameter!$H$6+Parameter!$H$7,Parameter!$H$5+Parameter!$H$6+Parameter!$H$7))-(AY1403-AT1403))/AT1403)))</f>
        <v>1</v>
      </c>
      <c r="BA1403" s="62" t="n">
        <f aca="false">IF(LEFT(Cockpit!$O$5,1)="A",H1403,IF(Parameter!$E$30="MAX-Bestand",IF(CI1403=1,CJ1403,IF(LEFT(Cockpit!$O$5,1)="B",BG1403,MAX(BG1403,H1403))),ROUNDUP(BE1403,0)))</f>
        <v>810</v>
      </c>
      <c r="BB1403" s="62" t="n">
        <f aca="false">IF(CA1403=1,0,ROUNDUP(BA1403/BZ1403,0))</f>
        <v>1</v>
      </c>
      <c r="BC1403" s="64" t="n">
        <f aca="false">IF(CR1403&gt;0,CR1403*MAX(1,BA1403/X1403),IF(CA1403=1,IF(BA1403&lt;=0,0,CE1403*MAX(1,IF(H1403&gt;0,BA1403/H1403,1))),IF(R1403&gt;0,BB1403/R1403,0))/MAX(0.1,N(Parameter!$M$21)))</f>
        <v>0.0384615384615385</v>
      </c>
      <c r="BD1403" s="62" t="n">
        <f aca="false">BC1403*CC1403</f>
        <v>5.96153846153846</v>
      </c>
      <c r="BE1403" s="63" t="n">
        <f aca="false">IF(LEFT(Cockpit!$O$5,1)="A",H1403,IF(CI1403=1,(CL1403+CJ1403)/2,IF(LEFT(Cockpit!$O$5,1)="B",(CL1403+BG1403)/2,MAX((CL1403+BG1403)/2,H1403))))</f>
        <v>810</v>
      </c>
      <c r="BF1403" s="62" t="n">
        <f aca="false">BE1403*G1403</f>
        <v>2632.5</v>
      </c>
      <c r="BG1403" s="62" t="n">
        <f aca="false">ROUNDUP(CL1403+MAX(CM1403,2*(J1403/IF(CH1403&gt;0,CH1403,MAX(0.1,N(Cockpit!$O$6)))-CL1403)),0)</f>
        <v>1560</v>
      </c>
      <c r="BH1403" s="63" t="n">
        <f aca="false">IF(BD1403&gt;0,J1403/BD1403,-1)</f>
        <v>162.038709677419</v>
      </c>
      <c r="BI1403" s="63" t="n">
        <f aca="false">IF(AND(OR(CG1403="L1",CG1403="L23",CG1403="LIFT"),BD1403&gt;0),SUMIFS($BD$7:$BD$1843,$CG$7:$CG$1843,CG1403,$BH$7:$BH$1843,"&gt;"&amp;BH1403)+SUMIFS($BD$7:$BD$1843,$CG$7:$CG$1843,CG1403,$BH$7:$BH$1843,BH1403,$BX$7:$BX$1843,"&lt;="&amp;BX1403),"")</f>
        <v>534.339285714286</v>
      </c>
      <c r="BJ1403" s="70" t="n">
        <f aca="false">IF(BI1403="",0,MAX(0,MIN(1,(IF(CG1403="L1",Parameter!$H$5,IF(CG1403="L23",Parameter!$H$6+Parameter!$H$7,Parameter!$H$5+Parameter!$H$6+Parameter!$H$7))-(BI1403-BD1403))/BD1403)))</f>
        <v>1</v>
      </c>
      <c r="BK1403" s="60" t="str">
        <f aca="false">IF(AJ1403&lt;=0,"",IF(CG1403="Aussen","Aussenlager",IF(CG1403="-","Nicht im Lift",IF(AP1403&gt;=1,"Lift",IF(AP1403&lt;=0,"Aussenlager","teilweise")))))</f>
        <v>Lift</v>
      </c>
      <c r="BL1403" s="60" t="str">
        <f aca="false">IF(AT1403&lt;=0,"",IF(CG1403="Aussen","Aussenlager",IF(CG1403="-","Nicht im Lift",IF(AZ1403&gt;=1,"Lift",IF(AZ1403&lt;=0,"Aussenlager","teilweise")))))</f>
        <v>Lift</v>
      </c>
      <c r="BM1403" s="60" t="str">
        <f aca="false">IF(BD1403&lt;=0,"",IF(CG1403="Aussen","Aussenlager",IF(CG1403="-","Nicht im Lift",IF(BJ1403&gt;=1,"Lift",IF(BJ1403&lt;=0,"Aussenlager","teilweise")))))</f>
        <v>Lift</v>
      </c>
      <c r="BN1403" s="60" t="str">
        <f aca="false">IF(A1403="","",IF(BW1403=1,"Neu; ","")&amp;IF(AND(BW1403=0,BR1403&lt;0),"negativer Bestand (Export "&amp;BR1403&amp;"); ","")&amp;IF(J1403&lt;=0,"Kein Verbrauch; ","")&amp;IF(CR1403&gt;0,"Lift "&amp;W1403&amp;" lt. Liftbericht (Fach "&amp;X1403&amp;" Stk); ",IF(CB1403=1,"Gebinde geschätzt ("&amp;T1403&amp;"); ",IF(CA1403=1,"Lose – Tablare geschätzt; ","")))&amp;IF(H1403&gt;AW1403,"Überbestand "&amp;ROUND(H1403-AW1403,0)&amp;" Stk / CHF "&amp;ROUND((H1403-AW1403)*G1403,0)&amp;"; ","")&amp;IF(AND(CI1403=1,CJ1403&lt;CK1403),"MAX &lt; MB+LG; ","")&amp;IF(AND(CQ1403&gt;0,CP1403*10&gt;CQ1403),"zu hoch für Tablar; ","")&amp;IF(AND(BW1403=0,OR(CI1403=1,AB1403&lt;&gt;"",U1403&lt;&gt;"",V1403&lt;&gt;"",AC1403&lt;&gt;"")),"manuell übersteuert; ","")&amp;IF(AND(CA1403=0,R1403=0),"Gebinde unbekannt / Stellmass fehlt; ","")&amp;IF(AND(CA1403=0,N(V1403)&lt;=0,N(Q1403)&lt;=0),"Menge pro Gebinde fehlt (Ist = 1 Gebinde); ","")&amp;BV1403)</f>
        <v>negativer Bestand (Export -1346); Gebinde geschätzt (Klein); Menge pro Gebinde fehlt (Ist = 1 Gebinde); </v>
      </c>
      <c r="BO1403" s="60"/>
      <c r="BP1403" s="60"/>
      <c r="BQ1403" s="67"/>
      <c r="BR1403" s="62" t="n">
        <v>-1346</v>
      </c>
      <c r="BS1403" s="62" t="n">
        <v>1497</v>
      </c>
      <c r="BT1403" s="61" t="n">
        <v>-4225.2</v>
      </c>
      <c r="BU1403" s="62" t="n">
        <v>966</v>
      </c>
      <c r="BV1403" s="60"/>
      <c r="BW1403" s="65" t="n">
        <v>0</v>
      </c>
      <c r="BX1403" s="65" t="n">
        <v>1403</v>
      </c>
      <c r="BY1403" s="60" t="str">
        <f aca="false">IF(U1403&lt;&gt;"",UPPER(TRIM(U1403)),IF(CB1403=1,UPPER(VLOOKUP(T1403,Parameter!$I$27:$K$29,2,0)),IF(P1403="","LOSE",P1403)))</f>
        <v>S51</v>
      </c>
      <c r="BZ1403" s="62" t="n">
        <f aca="false">IF(BY1403="LOSE",1,IF(N(V1403)&gt;0,V1403,IF(CB1403=1,MAX(1,N(VLOOKUP(T1403,Parameter!$I$27:$K$29,3,0)),H1403,N(N1403)),IF(N(Q1403)&gt;0,Q1403,MAX(1,H1403)))))</f>
        <v>1500</v>
      </c>
      <c r="CA1403" s="65" t="n">
        <f aca="false">IF(BY1403="LOSE",1,0)</f>
        <v>0</v>
      </c>
      <c r="CB1403" s="65" t="n">
        <f aca="false">IF(AND(U1403="",OR(P1403="",P1403="LOSE"),T1403&lt;&gt;"",N(S1403)&lt;=0,ISNUMBER(MATCH(T1403,Parameter!$I$27:$I$29,0))),1,0)</f>
        <v>1</v>
      </c>
      <c r="CC1403" s="65" t="n">
        <f aca="false">IF(CR1403&gt;0,INDEX(Parameter!$H$5:$H$7,W1403)/INDEX(Parameter!$E$5:$E$7,W1403),IF(AND(CA1403=0,N(IFERROR(VLOOKUP(BY1403,'Gebinde-Kategorie'!$A$5:$N$45,14,0),0))&gt;0),VLOOKUP(BY1403,'Gebinde-Kategorie'!$A$5:$N$45,14,0)*10+Parameter!$M$23,Parameter!$M$24))</f>
        <v>155</v>
      </c>
      <c r="CD1403" s="60" t="str">
        <f aca="false">IF(AND(Parameter!$B$19="Ja",E1403&lt;&gt;"",ISNUMBER(MATCH(E1403,Parameter!$I$35:$I$52,0))),VLOOKUP(E1403,Parameter!$I$35:$J$52,2,0),IFERROR(VLOOKUP(D1403,Parameter!$A$35:$C$64,2,0),"Nein"))</f>
        <v>2+3</v>
      </c>
      <c r="CE1403" s="64" t="n">
        <f aca="false">IF(CA1403=0,0,IF(N(S1403)&gt;0,S1403,IFERROR(VLOOKUP(D1403,Parameter!$A$35:$C$64,3,0)+0,0)))</f>
        <v>0</v>
      </c>
      <c r="CF1403" s="60" t="n">
        <f aca="false">IF(AB1403&lt;&gt;"",AB1403,AA1403)</f>
        <v>3</v>
      </c>
      <c r="CG1403" s="60" t="str">
        <f aca="false">IF(OR(CF1403=1,CF1403=2,CF1403=3),IF(Parameter!$E$27="Ja","LIFT",IF(CF1403=1,"L1","L23")),IF(CF1403="Aussen","Aussen","-"))</f>
        <v>LIFT</v>
      </c>
      <c r="CH1403" s="71" t="n">
        <f aca="false">IF(N(AC1403)&gt;0,AC1403,0)</f>
        <v>0</v>
      </c>
      <c r="CI1403" s="65" t="n">
        <f aca="false">IF(ISNUMBER(AF1403),1,0)</f>
        <v>0</v>
      </c>
      <c r="CJ1403" s="62" t="n">
        <f aca="false">N(AF1403)</f>
        <v>0</v>
      </c>
      <c r="CK1403" s="62" t="n">
        <f aca="false">N(M1403)+N(N1403)</f>
        <v>1560</v>
      </c>
      <c r="CL1403" s="62" t="n">
        <f aca="false">N(M1403)</f>
        <v>60</v>
      </c>
      <c r="CM1403" s="62" t="n">
        <f aca="false">N(N1403)</f>
        <v>1500</v>
      </c>
      <c r="CN1403" s="62" t="n">
        <f aca="false">ROUNDUP(H1403/BZ1403,0)</f>
        <v>1</v>
      </c>
      <c r="CO1403" s="62" t="n">
        <f aca="false">ROUNDUP(CJ1403/BZ1403,0)</f>
        <v>0</v>
      </c>
      <c r="CP1403" s="65" t="n">
        <f aca="false">IF(CA1403=1,0,IFERROR(VLOOKUP(BY1403,'Gebinde-Kategorie'!$A$5:$N$45,5,0)+0,0))</f>
        <v>11</v>
      </c>
      <c r="CQ1403" s="65" t="n">
        <f aca="false">IFERROR(IF(OR(CF1403=1,CF1403=2,CF1403=3),N(INDEX(Parameter!$I$5:$I$7,CF1403)),0),0)</f>
        <v>0</v>
      </c>
      <c r="CR1403" s="64" t="n">
        <f aca="false">IF(AND(Parameter!$B$21="Ja",ISNUMBER(W1403),N(X1403)&gt;0),IFERROR(N(INDEX(Parameter!$L$5:$L$7,W1403))*INDEX(Parameter!$E$5:$E$7,W1403)*X1403/SUMIFS($X$7:$X$1843,$W$7:$W$1843,W1403),0),0)</f>
        <v>0</v>
      </c>
      <c r="CS1403" s="62" t="n">
        <f aca="false">IF(AND(OR(CG1403="L1",CG1403="L23",CG1403="LIFT"),H1403&gt;0),CC1403*IF(CR1403&gt;0,CR1403*MAX(1,H1403/X1403),IF(CA1403=1,CE1403,IF(R1403&gt;0,CN1403/R1403,0))/MAX(0.1,N(Parameter!$M$21))),"")</f>
        <v>5.96153846153846</v>
      </c>
      <c r="CT1403" s="64" t="n">
        <f aca="false">IF(CS1403="","",J1403/H1403)</f>
        <v>6.39735099337748</v>
      </c>
      <c r="CU1403" s="62" t="n">
        <f aca="false">IF(CS1403="","",H1403*G1403)</f>
        <v>490.75</v>
      </c>
      <c r="CV1403" s="63" t="n">
        <f aca="false">IF(CS1403="","",(CL1403+ROUNDUP(CL1403+MAX(CM1403,2*(J1403/MAX(0.1,N(Einkauf!$C$6))-CL1403)),0))/2)</f>
        <v>810</v>
      </c>
      <c r="CW1403" s="62" t="n">
        <f aca="false">IF(CS1403="","",MAX(0,H1403-CV1403)*G1403)</f>
        <v>0</v>
      </c>
      <c r="CX1403" s="62" t="n">
        <f aca="false">IF(CS1403="","",CS1403*MAX(0,1-CV1403/H1403))</f>
        <v>0</v>
      </c>
      <c r="CY1403" s="64" t="n">
        <f aca="false">IF(CS1403="","",PERCENTRANK($CS$7:$CS$1843,CS1403)+PERCENTRANK($CU$7:$CU$1843,CU1403)+1-PERCENTRANK($CT$7:$CT$1843,CT1403))</f>
        <v>0.892</v>
      </c>
      <c r="CZ1403" s="72" t="n">
        <f aca="false">IF(CS1403="","",CHOOSE(MATCH(Einkauf!$C$5,Parameter!$G$23:$G$27,0),CY1403,CS1403,CU1403,-CT1403,CW1403)+ROW()/1000000000)</f>
        <v>0.892001403</v>
      </c>
    </row>
    <row r="1404" customFormat="false" ht="15" hidden="false" customHeight="false" outlineLevel="0" collapsed="false">
      <c r="A1404" s="60" t="s">
        <v>2508</v>
      </c>
      <c r="B1404" s="60" t="s">
        <v>856</v>
      </c>
      <c r="C1404" s="60" t="s">
        <v>206</v>
      </c>
      <c r="D1404" s="60" t="s">
        <v>226</v>
      </c>
      <c r="E1404" s="60" t="s">
        <v>227</v>
      </c>
      <c r="F1404" s="60" t="s">
        <v>260</v>
      </c>
      <c r="G1404" s="61" t="n">
        <v>120.36</v>
      </c>
      <c r="H1404" s="62" t="n">
        <f aca="false">MAX(0,IF(AND(Parameter!$B$21="Ja",ISNUMBER(Y1404)),Y1404,IF(Parameter!$B$20="Jahresanfang 2025 + Export",BS1404+BR1404,BR1404)))</f>
        <v>102</v>
      </c>
      <c r="I1404" s="62" t="n">
        <f aca="false">H1404*G1404</f>
        <v>12276.72</v>
      </c>
      <c r="J1404" s="62" t="n">
        <f aca="false">BU1404*Parameter!$B$18</f>
        <v>21</v>
      </c>
      <c r="K1404" s="63" t="n">
        <v>127.5</v>
      </c>
      <c r="L1404" s="64" t="n">
        <v>0.164705882352941</v>
      </c>
      <c r="M1404" s="62" t="n">
        <v>7</v>
      </c>
      <c r="N1404" s="62" t="n">
        <v>20</v>
      </c>
      <c r="O1404" s="65" t="n">
        <v>126</v>
      </c>
      <c r="P1404" s="60" t="s">
        <v>370</v>
      </c>
      <c r="Q1404" s="62" t="n">
        <v>90</v>
      </c>
      <c r="R1404" s="65" t="n">
        <f aca="false">IF(CA1404=1,0,IFERROR(VLOOKUP(BY1404,'Gebinde-Kategorie'!$A$5:$N$45,13,0)+0,0))</f>
        <v>52</v>
      </c>
      <c r="S1404" s="66"/>
      <c r="T1404" s="67"/>
      <c r="U1404" s="67"/>
      <c r="V1404" s="67"/>
      <c r="W1404" s="60"/>
      <c r="X1404" s="62"/>
      <c r="Y1404" s="62"/>
      <c r="Z1404" s="60" t="n">
        <v>3</v>
      </c>
      <c r="AA1404" s="60" t="n">
        <f aca="false">IF(A1404="","",IF(AND(Parameter!$B$21="Ja",ISNUMBER(W1404)),W1404,IF(AND(Parameter!$E$27="Ja",ISNUMBER(Z1404),CD1404&lt;&gt;"Nein"),Z1404,IF(CD1404="2+3",IF(ISNUMBER(SEARCH("grosser Artikel",BV1404)),2,IFERROR(VLOOKUP(BY1404,Parameter!$F$35:$G$64,2,0),2)),IF(OR(CD1404="Nein",CD1404=""),"-",CD1404)))))</f>
        <v>3</v>
      </c>
      <c r="AB1404" s="67"/>
      <c r="AC1404" s="68"/>
      <c r="AD1404" s="62" t="n">
        <f aca="false">AW1404</f>
        <v>27</v>
      </c>
      <c r="AE1404" s="62" t="n">
        <f aca="false">MAX(AW1404,H1404)</f>
        <v>102</v>
      </c>
      <c r="AF1404" s="69"/>
      <c r="AG1404" s="62" t="n">
        <f aca="false">IF(LEFT(Cockpit!$C$5,1)="A",H1404,IF(Parameter!$E$30="MAX-Bestand",IF(CI1404=1,CJ1404,IF(LEFT(Cockpit!$C$5,1)="B",AM1404,MAX(AM1404,H1404))),ROUNDUP(AK1404,0)))</f>
        <v>102</v>
      </c>
      <c r="AH1404" s="62" t="n">
        <f aca="false">IF(CA1404=1,0,ROUNDUP(AG1404/BZ1404,0))</f>
        <v>2</v>
      </c>
      <c r="AI1404" s="64" t="n">
        <f aca="false">IF(CR1404&gt;0,CR1404*MAX(1,AG1404/X1404),IF(CA1404=1,IF(AG1404&lt;=0,0,CE1404*MAX(1,IF(H1404&gt;0,AG1404/H1404,1))),IF(R1404&gt;0,AH1404/R1404,0))/MAX(0.1,N(Parameter!$M$21)))</f>
        <v>0.0384615384615385</v>
      </c>
      <c r="AJ1404" s="62" t="n">
        <f aca="false">AI1404*CC1404</f>
        <v>5.96153846153846</v>
      </c>
      <c r="AK1404" s="63" t="n">
        <f aca="false">IF(LEFT(Cockpit!$C$5,1)="A",H1404,IF(CI1404=1,(CL1404+CJ1404)/2,IF(LEFT(Cockpit!$C$5,1)="B",(CL1404+AM1404)/2,MAX((CL1404+AM1404)/2,H1404))))</f>
        <v>102</v>
      </c>
      <c r="AL1404" s="62" t="n">
        <f aca="false">AK1404*G1404</f>
        <v>12276.72</v>
      </c>
      <c r="AM1404" s="62" t="n">
        <f aca="false">ROUNDUP(CL1404+MAX(CM1404,2*(J1404/IF(CH1404&gt;0,CH1404,MAX(0.1,N(Cockpit!$C$6)))-CL1404)),0)</f>
        <v>27</v>
      </c>
      <c r="AN1404" s="63" t="n">
        <f aca="false">IF(AJ1404&gt;0,J1404/AJ1404,-1)</f>
        <v>3.52258064516129</v>
      </c>
      <c r="AO1404" s="63" t="n">
        <f aca="false">IF(AND(OR(CG1404="L1",CG1404="L23",CG1404="LIFT"),AJ1404&gt;0),SUMIFS($AJ$7:$AJ$1843,$CG$7:$CG$1843,CG1404,$AN$7:$AN$1843,"&gt;"&amp;AN1404)+SUMIFS($AJ$7:$AJ$1843,$CG$7:$CG$1843,CG1404,$AN$7:$AN$1843,AN1404,$BX$7:$BX$1843,"&lt;="&amp;BX1404),"")</f>
        <v>4900.44368131868</v>
      </c>
      <c r="AP1404" s="70" t="n">
        <f aca="false">IF(AO1404="",0,MAX(0,MIN(1,(IF(CG1404="L1",Parameter!$H$5,IF(CG1404="L23",Parameter!$H$6+Parameter!$H$7,Parameter!$H$5+Parameter!$H$6+Parameter!$H$7))-(AO1404-AJ1404))/AJ1404)))</f>
        <v>1</v>
      </c>
      <c r="AQ1404" s="62" t="n">
        <f aca="false">IF(LEFT(Cockpit!$I$5,1)="A",H1404,IF(Parameter!$E$30="MAX-Bestand",IF(CI1404=1,CJ1404,IF(LEFT(Cockpit!$I$5,1)="B",AW1404,MAX(AW1404,H1404))),ROUNDUP(AU1404,0)))</f>
        <v>102</v>
      </c>
      <c r="AR1404" s="62" t="n">
        <f aca="false">IF(CA1404=1,0,ROUNDUP(AQ1404/BZ1404,0))</f>
        <v>2</v>
      </c>
      <c r="AS1404" s="64" t="n">
        <f aca="false">IF(CR1404&gt;0,CR1404*MAX(1,AQ1404/X1404),IF(CA1404=1,IF(AQ1404&lt;=0,0,CE1404*MAX(1,IF(H1404&gt;0,AQ1404/H1404,1))),IF(R1404&gt;0,AR1404/R1404,0))/MAX(0.1,N(Parameter!$M$21)))</f>
        <v>0.0384615384615385</v>
      </c>
      <c r="AT1404" s="62" t="n">
        <f aca="false">AS1404*CC1404</f>
        <v>5.96153846153846</v>
      </c>
      <c r="AU1404" s="63" t="n">
        <f aca="false">IF(LEFT(Cockpit!$I$5,1)="A",H1404,IF(CI1404=1,(CL1404+CJ1404)/2,IF(LEFT(Cockpit!$I$5,1)="B",(CL1404+AW1404)/2,MAX((CL1404+AW1404)/2,H1404))))</f>
        <v>102</v>
      </c>
      <c r="AV1404" s="62" t="n">
        <f aca="false">AU1404*G1404</f>
        <v>12276.72</v>
      </c>
      <c r="AW1404" s="62" t="n">
        <f aca="false">ROUNDUP(CL1404+MAX(CM1404,2*(J1404/IF(CH1404&gt;0,CH1404,MAX(0.1,N(Cockpit!$I$6)))-CL1404)),0)</f>
        <v>27</v>
      </c>
      <c r="AX1404" s="63" t="n">
        <f aca="false">IF(AT1404&gt;0,J1404/AT1404,-1)</f>
        <v>3.52258064516129</v>
      </c>
      <c r="AY1404" s="63" t="n">
        <f aca="false">IF(AND(OR(CG1404="L1",CG1404="L23",CG1404="LIFT"),AT1404&gt;0),SUMIFS($AT$7:$AT$1843,$CG$7:$CG$1843,CG1404,$AX$7:$AX$1843,"&gt;"&amp;AX1404)+SUMIFS($AT$7:$AT$1843,$CG$7:$CG$1843,CG1404,$AX$7:$AX$1843,AX1404,$BX$7:$BX$1843,"&lt;="&amp;BX1404),"")</f>
        <v>5478.03067765568</v>
      </c>
      <c r="AZ1404" s="70" t="n">
        <f aca="false">IF(AY1404="",0,MAX(0,MIN(1,(IF(CG1404="L1",Parameter!$H$5,IF(CG1404="L23",Parameter!$H$6+Parameter!$H$7,Parameter!$H$5+Parameter!$H$6+Parameter!$H$7))-(AY1404-AT1404))/AT1404)))</f>
        <v>1</v>
      </c>
      <c r="BA1404" s="62" t="n">
        <f aca="false">IF(LEFT(Cockpit!$O$5,1)="A",H1404,IF(Parameter!$E$30="MAX-Bestand",IF(CI1404=1,CJ1404,IF(LEFT(Cockpit!$O$5,1)="B",BG1404,MAX(BG1404,H1404))),ROUNDUP(BE1404,0)))</f>
        <v>17</v>
      </c>
      <c r="BB1404" s="62" t="n">
        <f aca="false">IF(CA1404=1,0,ROUNDUP(BA1404/BZ1404,0))</f>
        <v>1</v>
      </c>
      <c r="BC1404" s="64" t="n">
        <f aca="false">IF(CR1404&gt;0,CR1404*MAX(1,BA1404/X1404),IF(CA1404=1,IF(BA1404&lt;=0,0,CE1404*MAX(1,IF(H1404&gt;0,BA1404/H1404,1))),IF(R1404&gt;0,BB1404/R1404,0))/MAX(0.1,N(Parameter!$M$21)))</f>
        <v>0.0192307692307692</v>
      </c>
      <c r="BD1404" s="62" t="n">
        <f aca="false">BC1404*CC1404</f>
        <v>2.98076923076923</v>
      </c>
      <c r="BE1404" s="63" t="n">
        <f aca="false">IF(LEFT(Cockpit!$O$5,1)="A",H1404,IF(CI1404=1,(CL1404+CJ1404)/2,IF(LEFT(Cockpit!$O$5,1)="B",(CL1404+BG1404)/2,MAX((CL1404+BG1404)/2,H1404))))</f>
        <v>17</v>
      </c>
      <c r="BF1404" s="62" t="n">
        <f aca="false">BE1404*G1404</f>
        <v>2046.12</v>
      </c>
      <c r="BG1404" s="62" t="n">
        <f aca="false">ROUNDUP(CL1404+MAX(CM1404,2*(J1404/IF(CH1404&gt;0,CH1404,MAX(0.1,N(Cockpit!$O$6)))-CL1404)),0)</f>
        <v>27</v>
      </c>
      <c r="BH1404" s="63" t="n">
        <f aca="false">IF(BD1404&gt;0,J1404/BD1404,-1)</f>
        <v>7.04516129032258</v>
      </c>
      <c r="BI1404" s="63" t="n">
        <f aca="false">IF(AND(OR(CG1404="L1",CG1404="L23",CG1404="LIFT"),BD1404&gt;0),SUMIFS($BD$7:$BD$1843,$CG$7:$CG$1843,CG1404,$BH$7:$BH$1843,"&gt;"&amp;BH1404)+SUMIFS($BD$7:$BD$1843,$CG$7:$CG$1843,CG1404,$BH$7:$BH$1843,BH1404,$BX$7:$BX$1843,"&lt;="&amp;BX1404),"")</f>
        <v>3283.84844322344</v>
      </c>
      <c r="BJ1404" s="70" t="n">
        <f aca="false">IF(BI1404="",0,MAX(0,MIN(1,(IF(CG1404="L1",Parameter!$H$5,IF(CG1404="L23",Parameter!$H$6+Parameter!$H$7,Parameter!$H$5+Parameter!$H$6+Parameter!$H$7))-(BI1404-BD1404))/BD1404)))</f>
        <v>1</v>
      </c>
      <c r="BK1404" s="60" t="str">
        <f aca="false">IF(AJ1404&lt;=0,"",IF(CG1404="Aussen","Aussenlager",IF(CG1404="-","Nicht im Lift",IF(AP1404&gt;=1,"Lift",IF(AP1404&lt;=0,"Aussenlager","teilweise")))))</f>
        <v>Lift</v>
      </c>
      <c r="BL1404" s="60" t="str">
        <f aca="false">IF(AT1404&lt;=0,"",IF(CG1404="Aussen","Aussenlager",IF(CG1404="-","Nicht im Lift",IF(AZ1404&gt;=1,"Lift",IF(AZ1404&lt;=0,"Aussenlager","teilweise")))))</f>
        <v>Lift</v>
      </c>
      <c r="BM1404" s="60" t="str">
        <f aca="false">IF(BD1404&lt;=0,"",IF(CG1404="Aussen","Aussenlager",IF(CG1404="-","Nicht im Lift",IF(BJ1404&gt;=1,"Lift",IF(BJ1404&lt;=0,"Aussenlager","teilweise")))))</f>
        <v>Lift</v>
      </c>
      <c r="BN1404" s="60" t="str">
        <f aca="false">IF(A1404="","",IF(BW1404=1,"Neu; ","")&amp;IF(AND(BW1404=0,BR1404&lt;0),"negativer Bestand (Export "&amp;BR1404&amp;"); ","")&amp;IF(J1404&lt;=0,"Kein Verbrauch; ","")&amp;IF(CR1404&gt;0,"Lift "&amp;W1404&amp;" lt. Liftbericht (Fach "&amp;X1404&amp;" Stk); ",IF(CB1404=1,"Gebinde geschätzt ("&amp;T1404&amp;"); ",IF(CA1404=1,"Lose – Tablare geschätzt; ","")))&amp;IF(H1404&gt;AW1404,"Überbestand "&amp;ROUND(H1404-AW1404,0)&amp;" Stk / CHF "&amp;ROUND((H1404-AW1404)*G1404,0)&amp;"; ","")&amp;IF(AND(CI1404=1,CJ1404&lt;CK1404),"MAX &lt; MB+LG; ","")&amp;IF(AND(CQ1404&gt;0,CP1404*10&gt;CQ1404),"zu hoch für Tablar; ","")&amp;IF(AND(BW1404=0,OR(CI1404=1,AB1404&lt;&gt;"",U1404&lt;&gt;"",V1404&lt;&gt;"",AC1404&lt;&gt;"")),"manuell übersteuert; ","")&amp;IF(AND(CA1404=0,R1404=0),"Gebinde unbekannt / Stellmass fehlt; ","")&amp;IF(AND(CA1404=0,N(V1404)&lt;=0,N(Q1404)&lt;=0),"Menge pro Gebinde fehlt (Ist = 1 Gebinde); ","")&amp;BV1404)</f>
        <v>negativer Bestand (Export -36); Überbestand 75 Stk / CHF 9027; </v>
      </c>
      <c r="BO1404" s="60"/>
      <c r="BP1404" s="60"/>
      <c r="BQ1404" s="67"/>
      <c r="BR1404" s="62" t="n">
        <v>-36</v>
      </c>
      <c r="BS1404" s="62" t="n">
        <v>138</v>
      </c>
      <c r="BT1404" s="61" t="n">
        <v>-4332.96</v>
      </c>
      <c r="BU1404" s="62" t="n">
        <v>21</v>
      </c>
      <c r="BV1404" s="60"/>
      <c r="BW1404" s="65" t="n">
        <v>0</v>
      </c>
      <c r="BX1404" s="65" t="n">
        <v>1404</v>
      </c>
      <c r="BY1404" s="60" t="str">
        <f aca="false">IF(U1404&lt;&gt;"",UPPER(TRIM(U1404)),IF(CB1404=1,UPPER(VLOOKUP(T1404,Parameter!$I$27:$K$29,2,0)),IF(P1404="","LOSE",P1404)))</f>
        <v>S41</v>
      </c>
      <c r="BZ1404" s="62" t="n">
        <f aca="false">IF(BY1404="LOSE",1,IF(N(V1404)&gt;0,V1404,IF(CB1404=1,MAX(1,N(VLOOKUP(T1404,Parameter!$I$27:$K$29,3,0)),H1404,N(N1404)),IF(N(Q1404)&gt;0,Q1404,MAX(1,H1404)))))</f>
        <v>90</v>
      </c>
      <c r="CA1404" s="65" t="n">
        <f aca="false">IF(BY1404="LOSE",1,0)</f>
        <v>0</v>
      </c>
      <c r="CB1404" s="65" t="n">
        <f aca="false">IF(AND(U1404="",OR(P1404="",P1404="LOSE"),T1404&lt;&gt;"",N(S1404)&lt;=0,ISNUMBER(MATCH(T1404,Parameter!$I$27:$I$29,0))),1,0)</f>
        <v>0</v>
      </c>
      <c r="CC1404" s="65" t="n">
        <f aca="false">IF(CR1404&gt;0,INDEX(Parameter!$H$5:$H$7,W1404)/INDEX(Parameter!$E$5:$E$7,W1404),IF(AND(CA1404=0,N(IFERROR(VLOOKUP(BY1404,'Gebinde-Kategorie'!$A$5:$N$45,14,0),0))&gt;0),VLOOKUP(BY1404,'Gebinde-Kategorie'!$A$5:$N$45,14,0)*10+Parameter!$M$23,Parameter!$M$24))</f>
        <v>155</v>
      </c>
      <c r="CD1404" s="60" t="str">
        <f aca="false">IF(AND(Parameter!$B$19="Ja",E1404&lt;&gt;"",ISNUMBER(MATCH(E1404,Parameter!$I$35:$I$52,0))),VLOOKUP(E1404,Parameter!$I$35:$J$52,2,0),IFERROR(VLOOKUP(D1404,Parameter!$A$35:$C$64,2,0),"Nein"))</f>
        <v>2+3</v>
      </c>
      <c r="CE1404" s="64" t="n">
        <f aca="false">IF(CA1404=0,0,IF(N(S1404)&gt;0,S1404,IFERROR(VLOOKUP(D1404,Parameter!$A$35:$C$64,3,0)+0,0)))</f>
        <v>0</v>
      </c>
      <c r="CF1404" s="60" t="n">
        <f aca="false">IF(AB1404&lt;&gt;"",AB1404,AA1404)</f>
        <v>3</v>
      </c>
      <c r="CG1404" s="60" t="str">
        <f aca="false">IF(OR(CF1404=1,CF1404=2,CF1404=3),IF(Parameter!$E$27="Ja","LIFT",IF(CF1404=1,"L1","L23")),IF(CF1404="Aussen","Aussen","-"))</f>
        <v>LIFT</v>
      </c>
      <c r="CH1404" s="71" t="n">
        <f aca="false">IF(N(AC1404)&gt;0,AC1404,0)</f>
        <v>0</v>
      </c>
      <c r="CI1404" s="65" t="n">
        <f aca="false">IF(ISNUMBER(AF1404),1,0)</f>
        <v>0</v>
      </c>
      <c r="CJ1404" s="62" t="n">
        <f aca="false">N(AF1404)</f>
        <v>0</v>
      </c>
      <c r="CK1404" s="62" t="n">
        <f aca="false">N(M1404)+N(N1404)</f>
        <v>27</v>
      </c>
      <c r="CL1404" s="62" t="n">
        <f aca="false">N(M1404)</f>
        <v>7</v>
      </c>
      <c r="CM1404" s="62" t="n">
        <f aca="false">N(N1404)</f>
        <v>20</v>
      </c>
      <c r="CN1404" s="62" t="n">
        <f aca="false">ROUNDUP(H1404/BZ1404,0)</f>
        <v>2</v>
      </c>
      <c r="CO1404" s="62" t="n">
        <f aca="false">ROUNDUP(CJ1404/BZ1404,0)</f>
        <v>0</v>
      </c>
      <c r="CP1404" s="65" t="n">
        <f aca="false">IF(CA1404=1,0,IFERROR(VLOOKUP(BY1404,'Gebinde-Kategorie'!$A$5:$N$45,5,0)+0,0))</f>
        <v>11</v>
      </c>
      <c r="CQ1404" s="65" t="n">
        <f aca="false">IFERROR(IF(OR(CF1404=1,CF1404=2,CF1404=3),N(INDEX(Parameter!$I$5:$I$7,CF1404)),0),0)</f>
        <v>0</v>
      </c>
      <c r="CR1404" s="64" t="n">
        <f aca="false">IF(AND(Parameter!$B$21="Ja",ISNUMBER(W1404),N(X1404)&gt;0),IFERROR(N(INDEX(Parameter!$L$5:$L$7,W1404))*INDEX(Parameter!$E$5:$E$7,W1404)*X1404/SUMIFS($X$7:$X$1843,$W$7:$W$1843,W1404),0),0)</f>
        <v>0</v>
      </c>
      <c r="CS1404" s="62" t="n">
        <f aca="false">IF(AND(OR(CG1404="L1",CG1404="L23",CG1404="LIFT"),H1404&gt;0),CC1404*IF(CR1404&gt;0,CR1404*MAX(1,H1404/X1404),IF(CA1404=1,CE1404,IF(R1404&gt;0,CN1404/R1404,0))/MAX(0.1,N(Parameter!$M$21))),"")</f>
        <v>5.96153846153846</v>
      </c>
      <c r="CT1404" s="64" t="n">
        <f aca="false">IF(CS1404="","",J1404/H1404)</f>
        <v>0.205882352941176</v>
      </c>
      <c r="CU1404" s="62" t="n">
        <f aca="false">IF(CS1404="","",H1404*G1404)</f>
        <v>12276.72</v>
      </c>
      <c r="CV1404" s="63" t="n">
        <f aca="false">IF(CS1404="","",(CL1404+ROUNDUP(CL1404+MAX(CM1404,2*(J1404/MAX(0.1,N(Einkauf!$C$6))-CL1404)),0))/2)</f>
        <v>17</v>
      </c>
      <c r="CW1404" s="62" t="n">
        <f aca="false">IF(CS1404="","",MAX(0,H1404-CV1404)*G1404)</f>
        <v>10230.6</v>
      </c>
      <c r="CX1404" s="62" t="n">
        <f aca="false">IF(CS1404="","",CS1404*MAX(0,1-CV1404/H1404))</f>
        <v>4.96794871794872</v>
      </c>
      <c r="CY1404" s="64" t="n">
        <f aca="false">IF(CS1404="","",PERCENTRANK($CS$7:$CS$1843,CS1404)+PERCENTRANK($CU$7:$CU$1843,CU1404)+1-PERCENTRANK($CT$7:$CT$1843,CT1404))</f>
        <v>1.842</v>
      </c>
      <c r="CZ1404" s="72" t="n">
        <f aca="false">IF(CS1404="","",CHOOSE(MATCH(Einkauf!$C$5,Parameter!$G$23:$G$27,0),CY1404,CS1404,CU1404,-CT1404,CW1404)+ROW()/1000000000)</f>
        <v>1.842001404</v>
      </c>
    </row>
    <row r="1405" customFormat="false" ht="15" hidden="false" customHeight="false" outlineLevel="0" collapsed="false">
      <c r="A1405" s="60" t="s">
        <v>2509</v>
      </c>
      <c r="B1405" s="60" t="s">
        <v>2510</v>
      </c>
      <c r="C1405" s="60" t="s">
        <v>206</v>
      </c>
      <c r="D1405" s="60" t="s">
        <v>226</v>
      </c>
      <c r="E1405" s="60" t="s">
        <v>227</v>
      </c>
      <c r="F1405" s="60" t="s">
        <v>260</v>
      </c>
      <c r="G1405" s="61" t="n">
        <v>32.26</v>
      </c>
      <c r="H1405" s="62" t="n">
        <f aca="false">MAX(0,IF(AND(Parameter!$B$21="Ja",ISNUMBER(Y1405)),Y1405,IF(Parameter!$B$20="Jahresanfang 2025 + Export",BS1405+BR1405,BR1405)))</f>
        <v>109</v>
      </c>
      <c r="I1405" s="62" t="n">
        <f aca="false">H1405*G1405</f>
        <v>3516.34</v>
      </c>
      <c r="J1405" s="62" t="n">
        <f aca="false">BU1405*Parameter!$B$18</f>
        <v>893</v>
      </c>
      <c r="K1405" s="63" t="n">
        <v>193.5</v>
      </c>
      <c r="L1405" s="64" t="n">
        <v>4.61498708010336</v>
      </c>
      <c r="M1405" s="62" t="n">
        <v>52</v>
      </c>
      <c r="N1405" s="62" t="n">
        <v>300</v>
      </c>
      <c r="O1405" s="65" t="n">
        <v>21</v>
      </c>
      <c r="P1405" s="60" t="s">
        <v>275</v>
      </c>
      <c r="Q1405" s="62" t="n">
        <v>301</v>
      </c>
      <c r="R1405" s="65" t="n">
        <f aca="false">IF(CA1405=1,0,IFERROR(VLOOKUP(BY1405,'Gebinde-Kategorie'!$A$5:$N$45,13,0)+0,0))</f>
        <v>26</v>
      </c>
      <c r="S1405" s="66"/>
      <c r="T1405" s="67"/>
      <c r="U1405" s="67"/>
      <c r="V1405" s="67"/>
      <c r="W1405" s="60"/>
      <c r="X1405" s="62"/>
      <c r="Y1405" s="62"/>
      <c r="Z1405" s="60" t="n">
        <v>3</v>
      </c>
      <c r="AA1405" s="60" t="n">
        <f aca="false">IF(A1405="","",IF(AND(Parameter!$B$21="Ja",ISNUMBER(W1405)),W1405,IF(AND(Parameter!$E$27="Ja",ISNUMBER(Z1405),CD1405&lt;&gt;"Nein"),Z1405,IF(CD1405="2+3",IF(ISNUMBER(SEARCH("grosser Artikel",BV1405)),2,IFERROR(VLOOKUP(BY1405,Parameter!$F$35:$G$64,2,0),2)),IF(OR(CD1405="Nein",CD1405=""),"-",CD1405)))))</f>
        <v>3</v>
      </c>
      <c r="AB1405" s="67"/>
      <c r="AC1405" s="68"/>
      <c r="AD1405" s="62" t="n">
        <f aca="false">AW1405</f>
        <v>544</v>
      </c>
      <c r="AE1405" s="62" t="n">
        <f aca="false">MAX(AW1405,H1405)</f>
        <v>544</v>
      </c>
      <c r="AF1405" s="69"/>
      <c r="AG1405" s="62" t="n">
        <f aca="false">IF(LEFT(Cockpit!$C$5,1)="A",H1405,IF(Parameter!$E$30="MAX-Bestand",IF(CI1405=1,CJ1405,IF(LEFT(Cockpit!$C$5,1)="B",AM1405,MAX(AM1405,H1405))),ROUNDUP(AK1405,0)))</f>
        <v>109</v>
      </c>
      <c r="AH1405" s="62" t="n">
        <f aca="false">IF(CA1405=1,0,ROUNDUP(AG1405/BZ1405,0))</f>
        <v>1</v>
      </c>
      <c r="AI1405" s="64" t="n">
        <f aca="false">IF(CR1405&gt;0,CR1405*MAX(1,AG1405/X1405),IF(CA1405=1,IF(AG1405&lt;=0,0,CE1405*MAX(1,IF(H1405&gt;0,AG1405/H1405,1))),IF(R1405&gt;0,AH1405/R1405,0))/MAX(0.1,N(Parameter!$M$21)))</f>
        <v>0.0384615384615385</v>
      </c>
      <c r="AJ1405" s="62" t="n">
        <f aca="false">AI1405*CC1405</f>
        <v>9.42307692307692</v>
      </c>
      <c r="AK1405" s="63" t="n">
        <f aca="false">IF(LEFT(Cockpit!$C$5,1)="A",H1405,IF(CI1405=1,(CL1405+CJ1405)/2,IF(LEFT(Cockpit!$C$5,1)="B",(CL1405+AM1405)/2,MAX((CL1405+AM1405)/2,H1405))))</f>
        <v>109</v>
      </c>
      <c r="AL1405" s="62" t="n">
        <f aca="false">AK1405*G1405</f>
        <v>3516.34</v>
      </c>
      <c r="AM1405" s="62" t="n">
        <f aca="false">ROUNDUP(CL1405+MAX(CM1405,2*(J1405/IF(CH1405&gt;0,CH1405,MAX(0.1,N(Cockpit!$C$6)))-CL1405)),0)</f>
        <v>544</v>
      </c>
      <c r="AN1405" s="63" t="n">
        <f aca="false">IF(AJ1405&gt;0,J1405/AJ1405,-1)</f>
        <v>94.7673469387755</v>
      </c>
      <c r="AO1405" s="63" t="n">
        <f aca="false">IF(AND(OR(CG1405="L1",CG1405="L23",CG1405="LIFT"),AJ1405&gt;0),SUMIFS($AJ$7:$AJ$1843,$CG$7:$CG$1843,CG1405,$AN$7:$AN$1843,"&gt;"&amp;AN1405)+SUMIFS($AJ$7:$AJ$1843,$CG$7:$CG$1843,CG1405,$AN$7:$AN$1843,AN1405,$BX$7:$BX$1843,"&lt;="&amp;BX1405),"")</f>
        <v>817.502747252747</v>
      </c>
      <c r="AP1405" s="70" t="n">
        <f aca="false">IF(AO1405="",0,MAX(0,MIN(1,(IF(CG1405="L1",Parameter!$H$5,IF(CG1405="L23",Parameter!$H$6+Parameter!$H$7,Parameter!$H$5+Parameter!$H$6+Parameter!$H$7))-(AO1405-AJ1405))/AJ1405)))</f>
        <v>1</v>
      </c>
      <c r="AQ1405" s="62" t="n">
        <f aca="false">IF(LEFT(Cockpit!$I$5,1)="A",H1405,IF(Parameter!$E$30="MAX-Bestand",IF(CI1405=1,CJ1405,IF(LEFT(Cockpit!$I$5,1)="B",AW1405,MAX(AW1405,H1405))),ROUNDUP(AU1405,0)))</f>
        <v>298</v>
      </c>
      <c r="AR1405" s="62" t="n">
        <f aca="false">IF(CA1405=1,0,ROUNDUP(AQ1405/BZ1405,0))</f>
        <v>1</v>
      </c>
      <c r="AS1405" s="64" t="n">
        <f aca="false">IF(CR1405&gt;0,CR1405*MAX(1,AQ1405/X1405),IF(CA1405=1,IF(AQ1405&lt;=0,0,CE1405*MAX(1,IF(H1405&gt;0,AQ1405/H1405,1))),IF(R1405&gt;0,AR1405/R1405,0))/MAX(0.1,N(Parameter!$M$21)))</f>
        <v>0.0384615384615385</v>
      </c>
      <c r="AT1405" s="62" t="n">
        <f aca="false">AS1405*CC1405</f>
        <v>9.42307692307692</v>
      </c>
      <c r="AU1405" s="63" t="n">
        <f aca="false">IF(LEFT(Cockpit!$I$5,1)="A",H1405,IF(CI1405=1,(CL1405+CJ1405)/2,IF(LEFT(Cockpit!$I$5,1)="B",(CL1405+AW1405)/2,MAX((CL1405+AW1405)/2,H1405))))</f>
        <v>298</v>
      </c>
      <c r="AV1405" s="62" t="n">
        <f aca="false">AU1405*G1405</f>
        <v>9613.48</v>
      </c>
      <c r="AW1405" s="62" t="n">
        <f aca="false">ROUNDUP(CL1405+MAX(CM1405,2*(J1405/IF(CH1405&gt;0,CH1405,MAX(0.1,N(Cockpit!$I$6)))-CL1405)),0)</f>
        <v>544</v>
      </c>
      <c r="AX1405" s="63" t="n">
        <f aca="false">IF(AT1405&gt;0,J1405/AT1405,-1)</f>
        <v>94.7673469387755</v>
      </c>
      <c r="AY1405" s="63" t="n">
        <f aca="false">IF(AND(OR(CG1405="L1",CG1405="L23",CG1405="LIFT"),AT1405&gt;0),SUMIFS($AT$7:$AT$1843,$CG$7:$CG$1843,CG1405,$AX$7:$AX$1843,"&gt;"&amp;AX1405)+SUMIFS($AT$7:$AT$1843,$CG$7:$CG$1843,CG1405,$AX$7:$AX$1843,AX1405,$BX$7:$BX$1843,"&lt;="&amp;BX1405),"")</f>
        <v>1031.90521978022</v>
      </c>
      <c r="AZ1405" s="70" t="n">
        <f aca="false">IF(AY1405="",0,MAX(0,MIN(1,(IF(CG1405="L1",Parameter!$H$5,IF(CG1405="L23",Parameter!$H$6+Parameter!$H$7,Parameter!$H$5+Parameter!$H$6+Parameter!$H$7))-(AY1405-AT1405))/AT1405)))</f>
        <v>1</v>
      </c>
      <c r="BA1405" s="62" t="n">
        <f aca="false">IF(LEFT(Cockpit!$O$5,1)="A",H1405,IF(Parameter!$E$30="MAX-Bestand",IF(CI1405=1,CJ1405,IF(LEFT(Cockpit!$O$5,1)="B",BG1405,MAX(BG1405,H1405))),ROUNDUP(BE1405,0)))</f>
        <v>224</v>
      </c>
      <c r="BB1405" s="62" t="n">
        <f aca="false">IF(CA1405=1,0,ROUNDUP(BA1405/BZ1405,0))</f>
        <v>1</v>
      </c>
      <c r="BC1405" s="64" t="n">
        <f aca="false">IF(CR1405&gt;0,CR1405*MAX(1,BA1405/X1405),IF(CA1405=1,IF(BA1405&lt;=0,0,CE1405*MAX(1,IF(H1405&gt;0,BA1405/H1405,1))),IF(R1405&gt;0,BB1405/R1405,0))/MAX(0.1,N(Parameter!$M$21)))</f>
        <v>0.0384615384615385</v>
      </c>
      <c r="BD1405" s="62" t="n">
        <f aca="false">BC1405*CC1405</f>
        <v>9.42307692307692</v>
      </c>
      <c r="BE1405" s="63" t="n">
        <f aca="false">IF(LEFT(Cockpit!$O$5,1)="A",H1405,IF(CI1405=1,(CL1405+CJ1405)/2,IF(LEFT(Cockpit!$O$5,1)="B",(CL1405+BG1405)/2,MAX((CL1405+BG1405)/2,H1405))))</f>
        <v>223.5</v>
      </c>
      <c r="BF1405" s="62" t="n">
        <f aca="false">BE1405*G1405</f>
        <v>7210.11</v>
      </c>
      <c r="BG1405" s="62" t="n">
        <f aca="false">ROUNDUP(CL1405+MAX(CM1405,2*(J1405/IF(CH1405&gt;0,CH1405,MAX(0.1,N(Cockpit!$O$6)))-CL1405)),0)</f>
        <v>395</v>
      </c>
      <c r="BH1405" s="63" t="n">
        <f aca="false">IF(BD1405&gt;0,J1405/BD1405,-1)</f>
        <v>94.7673469387755</v>
      </c>
      <c r="BI1405" s="63" t="n">
        <f aca="false">IF(AND(OR(CG1405="L1",CG1405="L23",CG1405="LIFT"),BD1405&gt;0),SUMIFS($BD$7:$BD$1843,$CG$7:$CG$1843,CG1405,$BH$7:$BH$1843,"&gt;"&amp;BH1405)+SUMIFS($BD$7:$BD$1843,$CG$7:$CG$1843,CG1405,$BH$7:$BH$1843,BH1405,$BX$7:$BX$1843,"&lt;="&amp;BX1405),"")</f>
        <v>964.947344322344</v>
      </c>
      <c r="BJ1405" s="70" t="n">
        <f aca="false">IF(BI1405="",0,MAX(0,MIN(1,(IF(CG1405="L1",Parameter!$H$5,IF(CG1405="L23",Parameter!$H$6+Parameter!$H$7,Parameter!$H$5+Parameter!$H$6+Parameter!$H$7))-(BI1405-BD1405))/BD1405)))</f>
        <v>1</v>
      </c>
      <c r="BK1405" s="60" t="str">
        <f aca="false">IF(AJ1405&lt;=0,"",IF(CG1405="Aussen","Aussenlager",IF(CG1405="-","Nicht im Lift",IF(AP1405&gt;=1,"Lift",IF(AP1405&lt;=0,"Aussenlager","teilweise")))))</f>
        <v>Lift</v>
      </c>
      <c r="BL1405" s="60" t="str">
        <f aca="false">IF(AT1405&lt;=0,"",IF(CG1405="Aussen","Aussenlager",IF(CG1405="-","Nicht im Lift",IF(AZ1405&gt;=1,"Lift",IF(AZ1405&lt;=0,"Aussenlager","teilweise")))))</f>
        <v>Lift</v>
      </c>
      <c r="BM1405" s="60" t="str">
        <f aca="false">IF(BD1405&lt;=0,"",IF(CG1405="Aussen","Aussenlager",IF(CG1405="-","Nicht im Lift",IF(BJ1405&gt;=1,"Lift",IF(BJ1405&lt;=0,"Aussenlager","teilweise")))))</f>
        <v>Lift</v>
      </c>
      <c r="BN1405" s="60" t="str">
        <f aca="false">IF(A1405="","",IF(BW1405=1,"Neu; ","")&amp;IF(AND(BW1405=0,BR1405&lt;0),"negativer Bestand (Export "&amp;BR1405&amp;"); ","")&amp;IF(J1405&lt;=0,"Kein Verbrauch; ","")&amp;IF(CR1405&gt;0,"Lift "&amp;W1405&amp;" lt. Liftbericht (Fach "&amp;X1405&amp;" Stk); ",IF(CB1405=1,"Gebinde geschätzt ("&amp;T1405&amp;"); ",IF(CA1405=1,"Lose – Tablare geschätzt; ","")))&amp;IF(H1405&gt;AW1405,"Überbestand "&amp;ROUND(H1405-AW1405,0)&amp;" Stk / CHF "&amp;ROUND((H1405-AW1405)*G1405,0)&amp;"; ","")&amp;IF(AND(CI1405=1,CJ1405&lt;CK1405),"MAX &lt; MB+LG; ","")&amp;IF(AND(CQ1405&gt;0,CP1405*10&gt;CQ1405),"zu hoch für Tablar; ","")&amp;IF(AND(BW1405=0,OR(CI1405=1,AB1405&lt;&gt;"",U1405&lt;&gt;"",V1405&lt;&gt;"",AC1405&lt;&gt;"")),"manuell übersteuert; ","")&amp;IF(AND(CA1405=0,R1405=0),"Gebinde unbekannt / Stellmass fehlt; ","")&amp;IF(AND(CA1405=0,N(V1405)&lt;=0,N(Q1405)&lt;=0),"Menge pro Gebinde fehlt (Ist = 1 Gebinde); ","")&amp;BV1405)</f>
        <v>negativer Bestand (Export -138); </v>
      </c>
      <c r="BO1405" s="60"/>
      <c r="BP1405" s="60"/>
      <c r="BQ1405" s="67"/>
      <c r="BR1405" s="62" t="n">
        <v>-138</v>
      </c>
      <c r="BS1405" s="62" t="n">
        <v>247</v>
      </c>
      <c r="BT1405" s="61" t="n">
        <v>-4334.27999999999</v>
      </c>
      <c r="BU1405" s="62" t="n">
        <v>893</v>
      </c>
      <c r="BV1405" s="60"/>
      <c r="BW1405" s="65" t="n">
        <v>0</v>
      </c>
      <c r="BX1405" s="65" t="n">
        <v>1405</v>
      </c>
      <c r="BY1405" s="60" t="str">
        <f aca="false">IF(U1405&lt;&gt;"",UPPER(TRIM(U1405)),IF(CB1405=1,UPPER(VLOOKUP(T1405,Parameter!$I$27:$K$29,2,0)),IF(P1405="","LOSE",P1405)))</f>
        <v>S52</v>
      </c>
      <c r="BZ1405" s="62" t="n">
        <f aca="false">IF(BY1405="LOSE",1,IF(N(V1405)&gt;0,V1405,IF(CB1405=1,MAX(1,N(VLOOKUP(T1405,Parameter!$I$27:$K$29,3,0)),H1405,N(N1405)),IF(N(Q1405)&gt;0,Q1405,MAX(1,H1405)))))</f>
        <v>301</v>
      </c>
      <c r="CA1405" s="65" t="n">
        <f aca="false">IF(BY1405="LOSE",1,0)</f>
        <v>0</v>
      </c>
      <c r="CB1405" s="65" t="n">
        <f aca="false">IF(AND(U1405="",OR(P1405="",P1405="LOSE"),T1405&lt;&gt;"",N(S1405)&lt;=0,ISNUMBER(MATCH(T1405,Parameter!$I$27:$I$29,0))),1,0)</f>
        <v>0</v>
      </c>
      <c r="CC1405" s="65" t="n">
        <f aca="false">IF(CR1405&gt;0,INDEX(Parameter!$H$5:$H$7,W1405)/INDEX(Parameter!$E$5:$E$7,W1405),IF(AND(CA1405=0,N(IFERROR(VLOOKUP(BY1405,'Gebinde-Kategorie'!$A$5:$N$45,14,0),0))&gt;0),VLOOKUP(BY1405,'Gebinde-Kategorie'!$A$5:$N$45,14,0)*10+Parameter!$M$23,Parameter!$M$24))</f>
        <v>245</v>
      </c>
      <c r="CD1405" s="60" t="str">
        <f aca="false">IF(AND(Parameter!$B$19="Ja",E1405&lt;&gt;"",ISNUMBER(MATCH(E1405,Parameter!$I$35:$I$52,0))),VLOOKUP(E1405,Parameter!$I$35:$J$52,2,0),IFERROR(VLOOKUP(D1405,Parameter!$A$35:$C$64,2,0),"Nein"))</f>
        <v>2+3</v>
      </c>
      <c r="CE1405" s="64" t="n">
        <f aca="false">IF(CA1405=0,0,IF(N(S1405)&gt;0,S1405,IFERROR(VLOOKUP(D1405,Parameter!$A$35:$C$64,3,0)+0,0)))</f>
        <v>0</v>
      </c>
      <c r="CF1405" s="60" t="n">
        <f aca="false">IF(AB1405&lt;&gt;"",AB1405,AA1405)</f>
        <v>3</v>
      </c>
      <c r="CG1405" s="60" t="str">
        <f aca="false">IF(OR(CF1405=1,CF1405=2,CF1405=3),IF(Parameter!$E$27="Ja","LIFT",IF(CF1405=1,"L1","L23")),IF(CF1405="Aussen","Aussen","-"))</f>
        <v>LIFT</v>
      </c>
      <c r="CH1405" s="71" t="n">
        <f aca="false">IF(N(AC1405)&gt;0,AC1405,0)</f>
        <v>0</v>
      </c>
      <c r="CI1405" s="65" t="n">
        <f aca="false">IF(ISNUMBER(AF1405),1,0)</f>
        <v>0</v>
      </c>
      <c r="CJ1405" s="62" t="n">
        <f aca="false">N(AF1405)</f>
        <v>0</v>
      </c>
      <c r="CK1405" s="62" t="n">
        <f aca="false">N(M1405)+N(N1405)</f>
        <v>352</v>
      </c>
      <c r="CL1405" s="62" t="n">
        <f aca="false">N(M1405)</f>
        <v>52</v>
      </c>
      <c r="CM1405" s="62" t="n">
        <f aca="false">N(N1405)</f>
        <v>300</v>
      </c>
      <c r="CN1405" s="62" t="n">
        <f aca="false">ROUNDUP(H1405/BZ1405,0)</f>
        <v>1</v>
      </c>
      <c r="CO1405" s="62" t="n">
        <f aca="false">ROUNDUP(CJ1405/BZ1405,0)</f>
        <v>0</v>
      </c>
      <c r="CP1405" s="65" t="n">
        <f aca="false">IF(CA1405=1,0,IFERROR(VLOOKUP(BY1405,'Gebinde-Kategorie'!$A$5:$N$45,5,0)+0,0))</f>
        <v>21</v>
      </c>
      <c r="CQ1405" s="65" t="n">
        <f aca="false">IFERROR(IF(OR(CF1405=1,CF1405=2,CF1405=3),N(INDEX(Parameter!$I$5:$I$7,CF1405)),0),0)</f>
        <v>0</v>
      </c>
      <c r="CR1405" s="64" t="n">
        <f aca="false">IF(AND(Parameter!$B$21="Ja",ISNUMBER(W1405),N(X1405)&gt;0),IFERROR(N(INDEX(Parameter!$L$5:$L$7,W1405))*INDEX(Parameter!$E$5:$E$7,W1405)*X1405/SUMIFS($X$7:$X$1843,$W$7:$W$1843,W1405),0),0)</f>
        <v>0</v>
      </c>
      <c r="CS1405" s="62" t="n">
        <f aca="false">IF(AND(OR(CG1405="L1",CG1405="L23",CG1405="LIFT"),H1405&gt;0),CC1405*IF(CR1405&gt;0,CR1405*MAX(1,H1405/X1405),IF(CA1405=1,CE1405,IF(R1405&gt;0,CN1405/R1405,0))/MAX(0.1,N(Parameter!$M$21))),"")</f>
        <v>9.42307692307692</v>
      </c>
      <c r="CT1405" s="64" t="n">
        <f aca="false">IF(CS1405="","",J1405/H1405)</f>
        <v>8.19266055045872</v>
      </c>
      <c r="CU1405" s="62" t="n">
        <f aca="false">IF(CS1405="","",H1405*G1405)</f>
        <v>3516.34</v>
      </c>
      <c r="CV1405" s="63" t="n">
        <f aca="false">IF(CS1405="","",(CL1405+ROUNDUP(CL1405+MAX(CM1405,2*(J1405/MAX(0.1,N(Einkauf!$C$6))-CL1405)),0))/2)</f>
        <v>223.5</v>
      </c>
      <c r="CW1405" s="62" t="n">
        <f aca="false">IF(CS1405="","",MAX(0,H1405-CV1405)*G1405)</f>
        <v>0</v>
      </c>
      <c r="CX1405" s="62" t="n">
        <f aca="false">IF(CS1405="","",CS1405*MAX(0,1-CV1405/H1405))</f>
        <v>0</v>
      </c>
      <c r="CY1405" s="64" t="n">
        <f aca="false">IF(CS1405="","",PERCENTRANK($CS$7:$CS$1843,CS1405)+PERCENTRANK($CU$7:$CU$1843,CU1405)+1-PERCENTRANK($CT$7:$CT$1843,CT1405))</f>
        <v>1.453</v>
      </c>
      <c r="CZ1405" s="72" t="n">
        <f aca="false">IF(CS1405="","",CHOOSE(MATCH(Einkauf!$C$5,Parameter!$G$23:$G$27,0),CY1405,CS1405,CU1405,-CT1405,CW1405)+ROW()/1000000000)</f>
        <v>1.453001405</v>
      </c>
    </row>
    <row r="1406" customFormat="false" ht="15" hidden="false" customHeight="false" outlineLevel="0" collapsed="false">
      <c r="A1406" s="60" t="s">
        <v>2511</v>
      </c>
      <c r="B1406" s="60" t="s">
        <v>2512</v>
      </c>
      <c r="C1406" s="60" t="s">
        <v>206</v>
      </c>
      <c r="D1406" s="60" t="s">
        <v>215</v>
      </c>
      <c r="E1406" s="60" t="s">
        <v>208</v>
      </c>
      <c r="F1406" s="60" t="s">
        <v>260</v>
      </c>
      <c r="G1406" s="61" t="n">
        <v>1473.76</v>
      </c>
      <c r="H1406" s="62" t="n">
        <f aca="false">MAX(0,IF(AND(Parameter!$B$21="Ja",ISNUMBER(Y1406)),Y1406,IF(Parameter!$B$20="Jahresanfang 2025 + Export",BS1406+BR1406,BR1406)))</f>
        <v>10</v>
      </c>
      <c r="I1406" s="62" t="n">
        <f aca="false">H1406*G1406</f>
        <v>14737.6</v>
      </c>
      <c r="J1406" s="62" t="n">
        <f aca="false">BU1406*Parameter!$B$18</f>
        <v>2</v>
      </c>
      <c r="K1406" s="63" t="n">
        <v>12</v>
      </c>
      <c r="L1406" s="64" t="n">
        <v>0.166666666666667</v>
      </c>
      <c r="M1406" s="62" t="n">
        <v>0</v>
      </c>
      <c r="N1406" s="62" t="n">
        <v>1</v>
      </c>
      <c r="O1406" s="65" t="n">
        <v>112</v>
      </c>
      <c r="P1406" s="60" t="s">
        <v>216</v>
      </c>
      <c r="Q1406" s="62" t="n">
        <v>10</v>
      </c>
      <c r="R1406" s="65" t="n">
        <f aca="false">IF(CA1406=1,0,IFERROR(VLOOKUP(BY1406,'Gebinde-Kategorie'!$A$5:$N$45,13,0)+0,0))</f>
        <v>6</v>
      </c>
      <c r="S1406" s="66"/>
      <c r="T1406" s="67"/>
      <c r="U1406" s="67"/>
      <c r="V1406" s="67"/>
      <c r="W1406" s="60"/>
      <c r="X1406" s="62"/>
      <c r="Y1406" s="62"/>
      <c r="Z1406" s="60" t="n">
        <v>1</v>
      </c>
      <c r="AA1406" s="60" t="n">
        <f aca="false">IF(A1406="","",IF(AND(Parameter!$B$21="Ja",ISNUMBER(W1406)),W1406,IF(AND(Parameter!$E$27="Ja",ISNUMBER(Z1406),CD1406&lt;&gt;"Nein"),Z1406,IF(CD1406="2+3",IF(ISNUMBER(SEARCH("grosser Artikel",BV1406)),2,IFERROR(VLOOKUP(BY1406,Parameter!$F$35:$G$64,2,0),2)),IF(OR(CD1406="Nein",CD1406=""),"-",CD1406)))))</f>
        <v>1</v>
      </c>
      <c r="AB1406" s="67"/>
      <c r="AC1406" s="68"/>
      <c r="AD1406" s="62" t="n">
        <f aca="false">AW1406</f>
        <v>2</v>
      </c>
      <c r="AE1406" s="62" t="n">
        <f aca="false">MAX(AW1406,H1406)</f>
        <v>10</v>
      </c>
      <c r="AF1406" s="69"/>
      <c r="AG1406" s="62" t="n">
        <f aca="false">IF(LEFT(Cockpit!$C$5,1)="A",H1406,IF(Parameter!$E$30="MAX-Bestand",IF(CI1406=1,CJ1406,IF(LEFT(Cockpit!$C$5,1)="B",AM1406,MAX(AM1406,H1406))),ROUNDUP(AK1406,0)))</f>
        <v>10</v>
      </c>
      <c r="AH1406" s="62" t="n">
        <f aca="false">IF(CA1406=1,0,ROUNDUP(AG1406/BZ1406,0))</f>
        <v>1</v>
      </c>
      <c r="AI1406" s="64" t="n">
        <f aca="false">IF(CR1406&gt;0,CR1406*MAX(1,AG1406/X1406),IF(CA1406=1,IF(AG1406&lt;=0,0,CE1406*MAX(1,IF(H1406&gt;0,AG1406/H1406,1))),IF(R1406&gt;0,AH1406/R1406,0))/MAX(0.1,N(Parameter!$M$21)))</f>
        <v>0.166666666666667</v>
      </c>
      <c r="AJ1406" s="62" t="n">
        <f aca="false">AI1406*CC1406</f>
        <v>39.1666666666667</v>
      </c>
      <c r="AK1406" s="63" t="n">
        <f aca="false">IF(LEFT(Cockpit!$C$5,1)="A",H1406,IF(CI1406=1,(CL1406+CJ1406)/2,IF(LEFT(Cockpit!$C$5,1)="B",(CL1406+AM1406)/2,MAX((CL1406+AM1406)/2,H1406))))</f>
        <v>10</v>
      </c>
      <c r="AL1406" s="62" t="n">
        <f aca="false">AK1406*G1406</f>
        <v>14737.6</v>
      </c>
      <c r="AM1406" s="62" t="n">
        <f aca="false">ROUNDUP(CL1406+MAX(CM1406,2*(J1406/IF(CH1406&gt;0,CH1406,MAX(0.1,N(Cockpit!$C$6)))-CL1406)),0)</f>
        <v>2</v>
      </c>
      <c r="AN1406" s="63" t="n">
        <f aca="false">IF(AJ1406&gt;0,J1406/AJ1406,-1)</f>
        <v>0.0510638297872341</v>
      </c>
      <c r="AO1406" s="63" t="n">
        <f aca="false">IF(AND(OR(CG1406="L1",CG1406="L23",CG1406="LIFT"),AJ1406&gt;0),SUMIFS($AJ$7:$AJ$1843,$CG$7:$CG$1843,CG1406,$AN$7:$AN$1843,"&gt;"&amp;AN1406)+SUMIFS($AJ$7:$AJ$1843,$CG$7:$CG$1843,CG1406,$AN$7:$AN$1843,AN1406,$BX$7:$BX$1843,"&lt;="&amp;BX1406),"")</f>
        <v>19317.8124547298</v>
      </c>
      <c r="AP1406" s="70" t="n">
        <f aca="false">IF(AO1406="",0,MAX(0,MIN(1,(IF(CG1406="L1",Parameter!$H$5,IF(CG1406="L23",Parameter!$H$6+Parameter!$H$7,Parameter!$H$5+Parameter!$H$6+Parameter!$H$7))-(AO1406-AJ1406))/AJ1406)))</f>
        <v>1</v>
      </c>
      <c r="AQ1406" s="62" t="n">
        <f aca="false">IF(LEFT(Cockpit!$I$5,1)="A",H1406,IF(Parameter!$E$30="MAX-Bestand",IF(CI1406=1,CJ1406,IF(LEFT(Cockpit!$I$5,1)="B",AW1406,MAX(AW1406,H1406))),ROUNDUP(AU1406,0)))</f>
        <v>10</v>
      </c>
      <c r="AR1406" s="62" t="n">
        <f aca="false">IF(CA1406=1,0,ROUNDUP(AQ1406/BZ1406,0))</f>
        <v>1</v>
      </c>
      <c r="AS1406" s="64" t="n">
        <f aca="false">IF(CR1406&gt;0,CR1406*MAX(1,AQ1406/X1406),IF(CA1406=1,IF(AQ1406&lt;=0,0,CE1406*MAX(1,IF(H1406&gt;0,AQ1406/H1406,1))),IF(R1406&gt;0,AR1406/R1406,0))/MAX(0.1,N(Parameter!$M$21)))</f>
        <v>0.166666666666667</v>
      </c>
      <c r="AT1406" s="62" t="n">
        <f aca="false">AS1406*CC1406</f>
        <v>39.1666666666667</v>
      </c>
      <c r="AU1406" s="63" t="n">
        <f aca="false">IF(LEFT(Cockpit!$I$5,1)="A",H1406,IF(CI1406=1,(CL1406+CJ1406)/2,IF(LEFT(Cockpit!$I$5,1)="B",(CL1406+AW1406)/2,MAX((CL1406+AW1406)/2,H1406))))</f>
        <v>10</v>
      </c>
      <c r="AV1406" s="62" t="n">
        <f aca="false">AU1406*G1406</f>
        <v>14737.6</v>
      </c>
      <c r="AW1406" s="62" t="n">
        <f aca="false">ROUNDUP(CL1406+MAX(CM1406,2*(J1406/IF(CH1406&gt;0,CH1406,MAX(0.1,N(Cockpit!$I$6)))-CL1406)),0)</f>
        <v>2</v>
      </c>
      <c r="AX1406" s="63" t="n">
        <f aca="false">IF(AT1406&gt;0,J1406/AT1406,-1)</f>
        <v>0.0510638297872341</v>
      </c>
      <c r="AY1406" s="63" t="n">
        <f aca="false">IF(AND(OR(CG1406="L1",CG1406="L23",CG1406="LIFT"),AT1406&gt;0),SUMIFS($AT$7:$AT$1843,$CG$7:$CG$1843,CG1406,$AX$7:$AX$1843,"&gt;"&amp;AX1406)+SUMIFS($AT$7:$AT$1843,$CG$7:$CG$1843,CG1406,$AX$7:$AX$1843,AX1406,$BX$7:$BX$1843,"&lt;="&amp;BX1406),"")</f>
        <v>24377.2110961073</v>
      </c>
      <c r="AZ1406" s="70" t="n">
        <f aca="false">IF(AY1406="",0,MAX(0,MIN(1,(IF(CG1406="L1",Parameter!$H$5,IF(CG1406="L23",Parameter!$H$6+Parameter!$H$7,Parameter!$H$5+Parameter!$H$6+Parameter!$H$7))-(AY1406-AT1406))/AT1406)))</f>
        <v>1</v>
      </c>
      <c r="BA1406" s="62" t="n">
        <f aca="false">IF(LEFT(Cockpit!$O$5,1)="A",H1406,IF(Parameter!$E$30="MAX-Bestand",IF(CI1406=1,CJ1406,IF(LEFT(Cockpit!$O$5,1)="B",BG1406,MAX(BG1406,H1406))),ROUNDUP(BE1406,0)))</f>
        <v>1</v>
      </c>
      <c r="BB1406" s="62" t="n">
        <f aca="false">IF(CA1406=1,0,ROUNDUP(BA1406/BZ1406,0))</f>
        <v>1</v>
      </c>
      <c r="BC1406" s="64" t="n">
        <f aca="false">IF(CR1406&gt;0,CR1406*MAX(1,BA1406/X1406),IF(CA1406=1,IF(BA1406&lt;=0,0,CE1406*MAX(1,IF(H1406&gt;0,BA1406/H1406,1))),IF(R1406&gt;0,BB1406/R1406,0))/MAX(0.1,N(Parameter!$M$21)))</f>
        <v>0.166666666666667</v>
      </c>
      <c r="BD1406" s="62" t="n">
        <f aca="false">BC1406*CC1406</f>
        <v>39.1666666666667</v>
      </c>
      <c r="BE1406" s="63" t="n">
        <f aca="false">IF(LEFT(Cockpit!$O$5,1)="A",H1406,IF(CI1406=1,(CL1406+CJ1406)/2,IF(LEFT(Cockpit!$O$5,1)="B",(CL1406+BG1406)/2,MAX((CL1406+BG1406)/2,H1406))))</f>
        <v>0.5</v>
      </c>
      <c r="BF1406" s="62" t="n">
        <f aca="false">BE1406*G1406</f>
        <v>736.88</v>
      </c>
      <c r="BG1406" s="62" t="n">
        <f aca="false">ROUNDUP(CL1406+MAX(CM1406,2*(J1406/IF(CH1406&gt;0,CH1406,MAX(0.1,N(Cockpit!$O$6)))-CL1406)),0)</f>
        <v>1</v>
      </c>
      <c r="BH1406" s="63" t="n">
        <f aca="false">IF(BD1406&gt;0,J1406/BD1406,-1)</f>
        <v>0.0510638297872341</v>
      </c>
      <c r="BI1406" s="63" t="n">
        <f aca="false">IF(AND(OR(CG1406="L1",CG1406="L23",CG1406="LIFT"),BD1406&gt;0),SUMIFS($BD$7:$BD$1843,$CG$7:$CG$1843,CG1406,$BH$7:$BH$1843,"&gt;"&amp;BH1406)+SUMIFS($BD$7:$BD$1843,$CG$7:$CG$1843,CG1406,$BH$7:$BH$1843,BH1406,$BX$7:$BX$1843,"&lt;="&amp;BX1406),"")</f>
        <v>20306.7096060719</v>
      </c>
      <c r="BJ1406" s="70" t="n">
        <f aca="false">IF(BI1406="",0,MAX(0,MIN(1,(IF(CG1406="L1",Parameter!$H$5,IF(CG1406="L23",Parameter!$H$6+Parameter!$H$7,Parameter!$H$5+Parameter!$H$6+Parameter!$H$7))-(BI1406-BD1406))/BD1406)))</f>
        <v>1</v>
      </c>
      <c r="BK1406" s="60" t="str">
        <f aca="false">IF(AJ1406&lt;=0,"",IF(CG1406="Aussen","Aussenlager",IF(CG1406="-","Nicht im Lift",IF(AP1406&gt;=1,"Lift",IF(AP1406&lt;=0,"Aussenlager","teilweise")))))</f>
        <v>Lift</v>
      </c>
      <c r="BL1406" s="60" t="str">
        <f aca="false">IF(AT1406&lt;=0,"",IF(CG1406="Aussen","Aussenlager",IF(CG1406="-","Nicht im Lift",IF(AZ1406&gt;=1,"Lift",IF(AZ1406&lt;=0,"Aussenlager","teilweise")))))</f>
        <v>Lift</v>
      </c>
      <c r="BM1406" s="60" t="str">
        <f aca="false">IF(BD1406&lt;=0,"",IF(CG1406="Aussen","Aussenlager",IF(CG1406="-","Nicht im Lift",IF(BJ1406&gt;=1,"Lift",IF(BJ1406&lt;=0,"Aussenlager","teilweise")))))</f>
        <v>Lift</v>
      </c>
      <c r="BN1406" s="60" t="str">
        <f aca="false">IF(A1406="","",IF(BW1406=1,"Neu; ","")&amp;IF(AND(BW1406=0,BR1406&lt;0),"negativer Bestand (Export "&amp;BR1406&amp;"); ","")&amp;IF(J1406&lt;=0,"Kein Verbrauch; ","")&amp;IF(CR1406&gt;0,"Lift "&amp;W1406&amp;" lt. Liftbericht (Fach "&amp;X1406&amp;" Stk); ",IF(CB1406=1,"Gebinde geschätzt ("&amp;T1406&amp;"); ",IF(CA1406=1,"Lose – Tablare geschätzt; ","")))&amp;IF(H1406&gt;AW1406,"Überbestand "&amp;ROUND(H1406-AW1406,0)&amp;" Stk / CHF "&amp;ROUND((H1406-AW1406)*G1406,0)&amp;"; ","")&amp;IF(AND(CI1406=1,CJ1406&lt;CK1406),"MAX &lt; MB+LG; ","")&amp;IF(AND(CQ1406&gt;0,CP1406*10&gt;CQ1406),"zu hoch für Tablar; ","")&amp;IF(AND(BW1406=0,OR(CI1406=1,AB1406&lt;&gt;"",U1406&lt;&gt;"",V1406&lt;&gt;"",AC1406&lt;&gt;"")),"manuell übersteuert; ","")&amp;IF(AND(CA1406=0,R1406=0),"Gebinde unbekannt / Stellmass fehlt; ","")&amp;IF(AND(CA1406=0,N(V1406)&lt;=0,N(Q1406)&lt;=0),"Menge pro Gebinde fehlt (Ist = 1 Gebinde); ","")&amp;BV1406)</f>
        <v>negativer Bestand (Export -3); Überbestand 8 Stk / CHF 11790; Twin</v>
      </c>
      <c r="BO1406" s="60"/>
      <c r="BP1406" s="60"/>
      <c r="BQ1406" s="67"/>
      <c r="BR1406" s="62" t="n">
        <v>-3</v>
      </c>
      <c r="BS1406" s="62" t="n">
        <v>13</v>
      </c>
      <c r="BT1406" s="61" t="n">
        <v>-4421.28</v>
      </c>
      <c r="BU1406" s="62" t="n">
        <v>2</v>
      </c>
      <c r="BV1406" s="60" t="s">
        <v>256</v>
      </c>
      <c r="BW1406" s="65" t="n">
        <v>0</v>
      </c>
      <c r="BX1406" s="65" t="n">
        <v>1406</v>
      </c>
      <c r="BY1406" s="60" t="str">
        <f aca="false">IF(U1406&lt;&gt;"",UPPER(TRIM(U1406)),IF(CB1406=1,UPPER(VLOOKUP(T1406,Parameter!$I$27:$K$29,2,0)),IF(P1406="","LOSE",P1406)))</f>
        <v>S71</v>
      </c>
      <c r="BZ1406" s="62" t="n">
        <f aca="false">IF(BY1406="LOSE",1,IF(N(V1406)&gt;0,V1406,IF(CB1406=1,MAX(1,N(VLOOKUP(T1406,Parameter!$I$27:$K$29,3,0)),H1406,N(N1406)),IF(N(Q1406)&gt;0,Q1406,MAX(1,H1406)))))</f>
        <v>10</v>
      </c>
      <c r="CA1406" s="65" t="n">
        <f aca="false">IF(BY1406="LOSE",1,0)</f>
        <v>0</v>
      </c>
      <c r="CB1406" s="65" t="n">
        <f aca="false">IF(AND(U1406="",OR(P1406="",P1406="LOSE"),T1406&lt;&gt;"",N(S1406)&lt;=0,ISNUMBER(MATCH(T1406,Parameter!$I$27:$I$29,0))),1,0)</f>
        <v>0</v>
      </c>
      <c r="CC1406" s="65" t="n">
        <f aca="false">IF(CR1406&gt;0,INDEX(Parameter!$H$5:$H$7,W1406)/INDEX(Parameter!$E$5:$E$7,W1406),IF(AND(CA1406=0,N(IFERROR(VLOOKUP(BY1406,'Gebinde-Kategorie'!$A$5:$N$45,14,0),0))&gt;0),VLOOKUP(BY1406,'Gebinde-Kategorie'!$A$5:$N$45,14,0)*10+Parameter!$M$23,Parameter!$M$24))</f>
        <v>235</v>
      </c>
      <c r="CD1406" s="60" t="n">
        <f aca="false">IF(AND(Parameter!$B$19="Ja",E1406&lt;&gt;"",ISNUMBER(MATCH(E1406,Parameter!$I$35:$I$52,0))),VLOOKUP(E1406,Parameter!$I$35:$J$52,2,0),IFERROR(VLOOKUP(D1406,Parameter!$A$35:$C$64,2,0),"Nein"))</f>
        <v>1</v>
      </c>
      <c r="CE1406" s="64" t="n">
        <f aca="false">IF(CA1406=0,0,IF(N(S1406)&gt;0,S1406,IFERROR(VLOOKUP(D1406,Parameter!$A$35:$C$64,3,0)+0,0)))</f>
        <v>0</v>
      </c>
      <c r="CF1406" s="60" t="n">
        <f aca="false">IF(AB1406&lt;&gt;"",AB1406,AA1406)</f>
        <v>1</v>
      </c>
      <c r="CG1406" s="60" t="str">
        <f aca="false">IF(OR(CF1406=1,CF1406=2,CF1406=3),IF(Parameter!$E$27="Ja","LIFT",IF(CF1406=1,"L1","L23")),IF(CF1406="Aussen","Aussen","-"))</f>
        <v>LIFT</v>
      </c>
      <c r="CH1406" s="71" t="n">
        <f aca="false">IF(N(AC1406)&gt;0,AC1406,0)</f>
        <v>0</v>
      </c>
      <c r="CI1406" s="65" t="n">
        <f aca="false">IF(ISNUMBER(AF1406),1,0)</f>
        <v>0</v>
      </c>
      <c r="CJ1406" s="62" t="n">
        <f aca="false">N(AF1406)</f>
        <v>0</v>
      </c>
      <c r="CK1406" s="62" t="n">
        <f aca="false">N(M1406)+N(N1406)</f>
        <v>1</v>
      </c>
      <c r="CL1406" s="62" t="n">
        <f aca="false">N(M1406)</f>
        <v>0</v>
      </c>
      <c r="CM1406" s="62" t="n">
        <f aca="false">N(N1406)</f>
        <v>1</v>
      </c>
      <c r="CN1406" s="62" t="n">
        <f aca="false">ROUNDUP(H1406/BZ1406,0)</f>
        <v>1</v>
      </c>
      <c r="CO1406" s="62" t="n">
        <f aca="false">ROUNDUP(CJ1406/BZ1406,0)</f>
        <v>0</v>
      </c>
      <c r="CP1406" s="65" t="n">
        <f aca="false">IF(CA1406=1,0,IFERROR(VLOOKUP(BY1406,'Gebinde-Kategorie'!$A$5:$N$45,5,0)+0,0))</f>
        <v>20</v>
      </c>
      <c r="CQ1406" s="65" t="n">
        <f aca="false">IFERROR(IF(OR(CF1406=1,CF1406=2,CF1406=3),N(INDEX(Parameter!$I$5:$I$7,CF1406)),0),0)</f>
        <v>0</v>
      </c>
      <c r="CR1406" s="64" t="n">
        <f aca="false">IF(AND(Parameter!$B$21="Ja",ISNUMBER(W1406),N(X1406)&gt;0),IFERROR(N(INDEX(Parameter!$L$5:$L$7,W1406))*INDEX(Parameter!$E$5:$E$7,W1406)*X1406/SUMIFS($X$7:$X$1843,$W$7:$W$1843,W1406),0),0)</f>
        <v>0</v>
      </c>
      <c r="CS1406" s="62" t="n">
        <f aca="false">IF(AND(OR(CG1406="L1",CG1406="L23",CG1406="LIFT"),H1406&gt;0),CC1406*IF(CR1406&gt;0,CR1406*MAX(1,H1406/X1406),IF(CA1406=1,CE1406,IF(R1406&gt;0,CN1406/R1406,0))/MAX(0.1,N(Parameter!$M$21))),"")</f>
        <v>39.1666666666667</v>
      </c>
      <c r="CT1406" s="64" t="n">
        <f aca="false">IF(CS1406="","",J1406/H1406)</f>
        <v>0.2</v>
      </c>
      <c r="CU1406" s="62" t="n">
        <f aca="false">IF(CS1406="","",H1406*G1406)</f>
        <v>14737.6</v>
      </c>
      <c r="CV1406" s="63" t="n">
        <f aca="false">IF(CS1406="","",(CL1406+ROUNDUP(CL1406+MAX(CM1406,2*(J1406/MAX(0.1,N(Einkauf!$C$6))-CL1406)),0))/2)</f>
        <v>0.5</v>
      </c>
      <c r="CW1406" s="62" t="n">
        <f aca="false">IF(CS1406="","",MAX(0,H1406-CV1406)*G1406)</f>
        <v>14000.72</v>
      </c>
      <c r="CX1406" s="62" t="n">
        <f aca="false">IF(CS1406="","",CS1406*MAX(0,1-CV1406/H1406))</f>
        <v>37.2083333333333</v>
      </c>
      <c r="CY1406" s="64" t="n">
        <f aca="false">IF(CS1406="","",PERCENTRANK($CS$7:$CS$1843,CS1406)+PERCENTRANK($CU$7:$CU$1843,CU1406)+1-PERCENTRANK($CT$7:$CT$1843,CT1406))</f>
        <v>2.355</v>
      </c>
      <c r="CZ1406" s="72" t="n">
        <f aca="false">IF(CS1406="","",CHOOSE(MATCH(Einkauf!$C$5,Parameter!$G$23:$G$27,0),CY1406,CS1406,CU1406,-CT1406,CW1406)+ROW()/1000000000)</f>
        <v>2.355001406</v>
      </c>
    </row>
    <row r="1407" customFormat="false" ht="15" hidden="false" customHeight="false" outlineLevel="0" collapsed="false">
      <c r="A1407" s="60" t="s">
        <v>2513</v>
      </c>
      <c r="B1407" s="60" t="s">
        <v>332</v>
      </c>
      <c r="C1407" s="60" t="s">
        <v>206</v>
      </c>
      <c r="D1407" s="60" t="s">
        <v>215</v>
      </c>
      <c r="E1407" s="60" t="s">
        <v>215</v>
      </c>
      <c r="F1407" s="60" t="s">
        <v>260</v>
      </c>
      <c r="G1407" s="61" t="n">
        <v>119.13</v>
      </c>
      <c r="H1407" s="62" t="n">
        <f aca="false">MAX(0,IF(AND(Parameter!$B$21="Ja",ISNUMBER(Y1407)),Y1407,IF(Parameter!$B$20="Jahresanfang 2025 + Export",BS1407+BR1407,BR1407)))</f>
        <v>28</v>
      </c>
      <c r="I1407" s="62" t="n">
        <f aca="false">H1407*G1407</f>
        <v>3335.64</v>
      </c>
      <c r="J1407" s="62" t="n">
        <f aca="false">BU1407*Parameter!$B$18</f>
        <v>20</v>
      </c>
      <c r="K1407" s="63" t="n">
        <v>63</v>
      </c>
      <c r="L1407" s="64" t="n">
        <v>0.317460317460317</v>
      </c>
      <c r="M1407" s="62" t="n">
        <v>3</v>
      </c>
      <c r="N1407" s="62" t="n">
        <v>20</v>
      </c>
      <c r="O1407" s="65" t="n">
        <v>56</v>
      </c>
      <c r="P1407" s="60" t="s">
        <v>265</v>
      </c>
      <c r="Q1407" s="62" t="n">
        <v>50</v>
      </c>
      <c r="R1407" s="65" t="n">
        <f aca="false">IF(CA1407=1,0,IFERROR(VLOOKUP(BY1407,'Gebinde-Kategorie'!$A$5:$N$45,13,0)+0,0))</f>
        <v>4</v>
      </c>
      <c r="S1407" s="66"/>
      <c r="T1407" s="67"/>
      <c r="U1407" s="67"/>
      <c r="V1407" s="67"/>
      <c r="W1407" s="60"/>
      <c r="X1407" s="62"/>
      <c r="Y1407" s="62"/>
      <c r="Z1407" s="60"/>
      <c r="AA1407" s="60" t="str">
        <f aca="false">IF(A1407="","",IF(AND(Parameter!$B$21="Ja",ISNUMBER(W1407)),W1407,IF(AND(Parameter!$E$27="Ja",ISNUMBER(Z1407),CD1407&lt;&gt;"Nein"),Z1407,IF(CD1407="2+3",IF(ISNUMBER(SEARCH("grosser Artikel",BV1407)),2,IFERROR(VLOOKUP(BY1407,Parameter!$F$35:$G$64,2,0),2)),IF(OR(CD1407="Nein",CD1407=""),"-",CD1407)))))</f>
        <v>-</v>
      </c>
      <c r="AB1407" s="67"/>
      <c r="AC1407" s="68"/>
      <c r="AD1407" s="62" t="n">
        <f aca="false">AW1407</f>
        <v>23</v>
      </c>
      <c r="AE1407" s="62" t="n">
        <f aca="false">MAX(AW1407,H1407)</f>
        <v>28</v>
      </c>
      <c r="AF1407" s="69"/>
      <c r="AG1407" s="62" t="n">
        <f aca="false">IF(LEFT(Cockpit!$C$5,1)="A",H1407,IF(Parameter!$E$30="MAX-Bestand",IF(CI1407=1,CJ1407,IF(LEFT(Cockpit!$C$5,1)="B",AM1407,MAX(AM1407,H1407))),ROUNDUP(AK1407,0)))</f>
        <v>28</v>
      </c>
      <c r="AH1407" s="62" t="n">
        <f aca="false">IF(CA1407=1,0,ROUNDUP(AG1407/BZ1407,0))</f>
        <v>1</v>
      </c>
      <c r="AI1407" s="64" t="n">
        <f aca="false">IF(CR1407&gt;0,CR1407*MAX(1,AG1407/X1407),IF(CA1407=1,IF(AG1407&lt;=0,0,CE1407*MAX(1,IF(H1407&gt;0,AG1407/H1407,1))),IF(R1407&gt;0,AH1407/R1407,0))/MAX(0.1,N(Parameter!$M$21)))</f>
        <v>0.25</v>
      </c>
      <c r="AJ1407" s="62" t="n">
        <f aca="false">AI1407*CC1407</f>
        <v>58.75</v>
      </c>
      <c r="AK1407" s="63" t="n">
        <f aca="false">IF(LEFT(Cockpit!$C$5,1)="A",H1407,IF(CI1407=1,(CL1407+CJ1407)/2,IF(LEFT(Cockpit!$C$5,1)="B",(CL1407+AM1407)/2,MAX((CL1407+AM1407)/2,H1407))))</f>
        <v>28</v>
      </c>
      <c r="AL1407" s="62" t="n">
        <f aca="false">AK1407*G1407</f>
        <v>3335.64</v>
      </c>
      <c r="AM1407" s="62" t="n">
        <f aca="false">ROUNDUP(CL1407+MAX(CM1407,2*(J1407/IF(CH1407&gt;0,CH1407,MAX(0.1,N(Cockpit!$C$6)))-CL1407)),0)</f>
        <v>23</v>
      </c>
      <c r="AN1407" s="63" t="n">
        <f aca="false">IF(AJ1407&gt;0,J1407/AJ1407,-1)</f>
        <v>0.340425531914894</v>
      </c>
      <c r="AO1407" s="63" t="str">
        <f aca="false">IF(AND(OR(CG1407="L1",CG1407="L23",CG1407="LIFT"),AJ1407&gt;0),SUMIFS($AJ$7:$AJ$1843,$CG$7:$CG$1843,CG1407,$AN$7:$AN$1843,"&gt;"&amp;AN1407)+SUMIFS($AJ$7:$AJ$1843,$CG$7:$CG$1843,CG1407,$AN$7:$AN$1843,AN1407,$BX$7:$BX$1843,"&lt;="&amp;BX1407),"")</f>
        <v/>
      </c>
      <c r="AP1407" s="70" t="n">
        <f aca="false">IF(AO1407="",0,MAX(0,MIN(1,(IF(CG1407="L1",Parameter!$H$5,IF(CG1407="L23",Parameter!$H$6+Parameter!$H$7,Parameter!$H$5+Parameter!$H$6+Parameter!$H$7))-(AO1407-AJ1407))/AJ1407)))</f>
        <v>0</v>
      </c>
      <c r="AQ1407" s="62" t="n">
        <f aca="false">IF(LEFT(Cockpit!$I$5,1)="A",H1407,IF(Parameter!$E$30="MAX-Bestand",IF(CI1407=1,CJ1407,IF(LEFT(Cockpit!$I$5,1)="B",AW1407,MAX(AW1407,H1407))),ROUNDUP(AU1407,0)))</f>
        <v>28</v>
      </c>
      <c r="AR1407" s="62" t="n">
        <f aca="false">IF(CA1407=1,0,ROUNDUP(AQ1407/BZ1407,0))</f>
        <v>1</v>
      </c>
      <c r="AS1407" s="64" t="n">
        <f aca="false">IF(CR1407&gt;0,CR1407*MAX(1,AQ1407/X1407),IF(CA1407=1,IF(AQ1407&lt;=0,0,CE1407*MAX(1,IF(H1407&gt;0,AQ1407/H1407,1))),IF(R1407&gt;0,AR1407/R1407,0))/MAX(0.1,N(Parameter!$M$21)))</f>
        <v>0.25</v>
      </c>
      <c r="AT1407" s="62" t="n">
        <f aca="false">AS1407*CC1407</f>
        <v>58.75</v>
      </c>
      <c r="AU1407" s="63" t="n">
        <f aca="false">IF(LEFT(Cockpit!$I$5,1)="A",H1407,IF(CI1407=1,(CL1407+CJ1407)/2,IF(LEFT(Cockpit!$I$5,1)="B",(CL1407+AW1407)/2,MAX((CL1407+AW1407)/2,H1407))))</f>
        <v>28</v>
      </c>
      <c r="AV1407" s="62" t="n">
        <f aca="false">AU1407*G1407</f>
        <v>3335.64</v>
      </c>
      <c r="AW1407" s="62" t="n">
        <f aca="false">ROUNDUP(CL1407+MAX(CM1407,2*(J1407/IF(CH1407&gt;0,CH1407,MAX(0.1,N(Cockpit!$I$6)))-CL1407)),0)</f>
        <v>23</v>
      </c>
      <c r="AX1407" s="63" t="n">
        <f aca="false">IF(AT1407&gt;0,J1407/AT1407,-1)</f>
        <v>0.340425531914894</v>
      </c>
      <c r="AY1407" s="63" t="str">
        <f aca="false">IF(AND(OR(CG1407="L1",CG1407="L23",CG1407="LIFT"),AT1407&gt;0),SUMIFS($AT$7:$AT$1843,$CG$7:$CG$1843,CG1407,$AX$7:$AX$1843,"&gt;"&amp;AX1407)+SUMIFS($AT$7:$AT$1843,$CG$7:$CG$1843,CG1407,$AX$7:$AX$1843,AX1407,$BX$7:$BX$1843,"&lt;="&amp;BX1407),"")</f>
        <v/>
      </c>
      <c r="AZ1407" s="70" t="n">
        <f aca="false">IF(AY1407="",0,MAX(0,MIN(1,(IF(CG1407="L1",Parameter!$H$5,IF(CG1407="L23",Parameter!$H$6+Parameter!$H$7,Parameter!$H$5+Parameter!$H$6+Parameter!$H$7))-(AY1407-AT1407))/AT1407)))</f>
        <v>0</v>
      </c>
      <c r="BA1407" s="62" t="n">
        <f aca="false">IF(LEFT(Cockpit!$O$5,1)="A",H1407,IF(Parameter!$E$30="MAX-Bestand",IF(CI1407=1,CJ1407,IF(LEFT(Cockpit!$O$5,1)="B",BG1407,MAX(BG1407,H1407))),ROUNDUP(BE1407,0)))</f>
        <v>13</v>
      </c>
      <c r="BB1407" s="62" t="n">
        <f aca="false">IF(CA1407=1,0,ROUNDUP(BA1407/BZ1407,0))</f>
        <v>1</v>
      </c>
      <c r="BC1407" s="64" t="n">
        <f aca="false">IF(CR1407&gt;0,CR1407*MAX(1,BA1407/X1407),IF(CA1407=1,IF(BA1407&lt;=0,0,CE1407*MAX(1,IF(H1407&gt;0,BA1407/H1407,1))),IF(R1407&gt;0,BB1407/R1407,0))/MAX(0.1,N(Parameter!$M$21)))</f>
        <v>0.25</v>
      </c>
      <c r="BD1407" s="62" t="n">
        <f aca="false">BC1407*CC1407</f>
        <v>58.75</v>
      </c>
      <c r="BE1407" s="63" t="n">
        <f aca="false">IF(LEFT(Cockpit!$O$5,1)="A",H1407,IF(CI1407=1,(CL1407+CJ1407)/2,IF(LEFT(Cockpit!$O$5,1)="B",(CL1407+BG1407)/2,MAX((CL1407+BG1407)/2,H1407))))</f>
        <v>13</v>
      </c>
      <c r="BF1407" s="62" t="n">
        <f aca="false">BE1407*G1407</f>
        <v>1548.69</v>
      </c>
      <c r="BG1407" s="62" t="n">
        <f aca="false">ROUNDUP(CL1407+MAX(CM1407,2*(J1407/IF(CH1407&gt;0,CH1407,MAX(0.1,N(Cockpit!$O$6)))-CL1407)),0)</f>
        <v>23</v>
      </c>
      <c r="BH1407" s="63" t="n">
        <f aca="false">IF(BD1407&gt;0,J1407/BD1407,-1)</f>
        <v>0.340425531914894</v>
      </c>
      <c r="BI1407" s="63" t="str">
        <f aca="false">IF(AND(OR(CG1407="L1",CG1407="L23",CG1407="LIFT"),BD1407&gt;0),SUMIFS($BD$7:$BD$1843,$CG$7:$CG$1843,CG1407,$BH$7:$BH$1843,"&gt;"&amp;BH1407)+SUMIFS($BD$7:$BD$1843,$CG$7:$CG$1843,CG1407,$BH$7:$BH$1843,BH1407,$BX$7:$BX$1843,"&lt;="&amp;BX1407),"")</f>
        <v/>
      </c>
      <c r="BJ1407" s="70" t="n">
        <f aca="false">IF(BI1407="",0,MAX(0,MIN(1,(IF(CG1407="L1",Parameter!$H$5,IF(CG1407="L23",Parameter!$H$6+Parameter!$H$7,Parameter!$H$5+Parameter!$H$6+Parameter!$H$7))-(BI1407-BD1407))/BD1407)))</f>
        <v>0</v>
      </c>
      <c r="BK1407" s="60" t="str">
        <f aca="false">IF(AJ1407&lt;=0,"",IF(CG1407="Aussen","Aussenlager",IF(CG1407="-","Nicht im Lift",IF(AP1407&gt;=1,"Lift",IF(AP1407&lt;=0,"Aussenlager","teilweise")))))</f>
        <v>Nicht im Lift</v>
      </c>
      <c r="BL1407" s="60" t="str">
        <f aca="false">IF(AT1407&lt;=0,"",IF(CG1407="Aussen","Aussenlager",IF(CG1407="-","Nicht im Lift",IF(AZ1407&gt;=1,"Lift",IF(AZ1407&lt;=0,"Aussenlager","teilweise")))))</f>
        <v>Nicht im Lift</v>
      </c>
      <c r="BM1407" s="60" t="str">
        <f aca="false">IF(BD1407&lt;=0,"",IF(CG1407="Aussen","Aussenlager",IF(CG1407="-","Nicht im Lift",IF(BJ1407&gt;=1,"Lift",IF(BJ1407&lt;=0,"Aussenlager","teilweise")))))</f>
        <v>Nicht im Lift</v>
      </c>
      <c r="BN1407" s="60" t="str">
        <f aca="false">IF(A1407="","",IF(BW1407=1,"Neu; ","")&amp;IF(AND(BW1407=0,BR1407&lt;0),"negativer Bestand (Export "&amp;BR1407&amp;"); ","")&amp;IF(J1407&lt;=0,"Kein Verbrauch; ","")&amp;IF(CR1407&gt;0,"Lift "&amp;W1407&amp;" lt. Liftbericht (Fach "&amp;X1407&amp;" Stk); ",IF(CB1407=1,"Gebinde geschätzt ("&amp;T1407&amp;"); ",IF(CA1407=1,"Lose – Tablare geschätzt; ","")))&amp;IF(H1407&gt;AW1407,"Überbestand "&amp;ROUND(H1407-AW1407,0)&amp;" Stk / CHF "&amp;ROUND((H1407-AW1407)*G1407,0)&amp;"; ","")&amp;IF(AND(CI1407=1,CJ1407&lt;CK1407),"MAX &lt; MB+LG; ","")&amp;IF(AND(CQ1407&gt;0,CP1407*10&gt;CQ1407),"zu hoch für Tablar; ","")&amp;IF(AND(BW1407=0,OR(CI1407=1,AB1407&lt;&gt;"",U1407&lt;&gt;"",V1407&lt;&gt;"",AC1407&lt;&gt;"")),"manuell übersteuert; ","")&amp;IF(AND(CA1407=0,R1407=0),"Gebinde unbekannt / Stellmass fehlt; ","")&amp;IF(AND(CA1407=0,N(V1407)&lt;=0,N(Q1407)&lt;=0),"Menge pro Gebinde fehlt (Ist = 1 Gebinde); ","")&amp;BV1407)</f>
        <v>negativer Bestand (Export -40); Überbestand 5 Stk / CHF 596; Neu</v>
      </c>
      <c r="BO1407" s="60"/>
      <c r="BP1407" s="60"/>
      <c r="BQ1407" s="67"/>
      <c r="BR1407" s="62" t="n">
        <v>-40</v>
      </c>
      <c r="BS1407" s="62" t="n">
        <v>68</v>
      </c>
      <c r="BT1407" s="61" t="n">
        <v>-4765.2</v>
      </c>
      <c r="BU1407" s="62" t="n">
        <v>20</v>
      </c>
      <c r="BV1407" s="60" t="s">
        <v>668</v>
      </c>
      <c r="BW1407" s="65" t="n">
        <v>0</v>
      </c>
      <c r="BX1407" s="65" t="n">
        <v>1407</v>
      </c>
      <c r="BY1407" s="60" t="str">
        <f aca="false">IF(U1407&lt;&gt;"",UPPER(TRIM(U1407)),IF(CB1407=1,UPPER(VLOOKUP(T1407,Parameter!$I$27:$K$29,2,0)),IF(P1407="","LOSE",P1407)))</f>
        <v>S81</v>
      </c>
      <c r="BZ1407" s="62" t="n">
        <f aca="false">IF(BY1407="LOSE",1,IF(N(V1407)&gt;0,V1407,IF(CB1407=1,MAX(1,N(VLOOKUP(T1407,Parameter!$I$27:$K$29,3,0)),H1407,N(N1407)),IF(N(Q1407)&gt;0,Q1407,MAX(1,H1407)))))</f>
        <v>50</v>
      </c>
      <c r="CA1407" s="65" t="n">
        <f aca="false">IF(BY1407="LOSE",1,0)</f>
        <v>0</v>
      </c>
      <c r="CB1407" s="65" t="n">
        <f aca="false">IF(AND(U1407="",OR(P1407="",P1407="LOSE"),T1407&lt;&gt;"",N(S1407)&lt;=0,ISNUMBER(MATCH(T1407,Parameter!$I$27:$I$29,0))),1,0)</f>
        <v>0</v>
      </c>
      <c r="CC1407" s="65" t="n">
        <f aca="false">IF(CR1407&gt;0,INDEX(Parameter!$H$5:$H$7,W1407)/INDEX(Parameter!$E$5:$E$7,W1407),IF(AND(CA1407=0,N(IFERROR(VLOOKUP(BY1407,'Gebinde-Kategorie'!$A$5:$N$45,14,0),0))&gt;0),VLOOKUP(BY1407,'Gebinde-Kategorie'!$A$5:$N$45,14,0)*10+Parameter!$M$23,Parameter!$M$24))</f>
        <v>235</v>
      </c>
      <c r="CD1407" s="60" t="str">
        <f aca="false">IF(AND(Parameter!$B$19="Ja",E1407&lt;&gt;"",ISNUMBER(MATCH(E1407,Parameter!$I$35:$I$52,0))),VLOOKUP(E1407,Parameter!$I$35:$J$52,2,0),IFERROR(VLOOKUP(D1407,Parameter!$A$35:$C$64,2,0),"Nein"))</f>
        <v>Nein</v>
      </c>
      <c r="CE1407" s="64" t="n">
        <f aca="false">IF(CA1407=0,0,IF(N(S1407)&gt;0,S1407,IFERROR(VLOOKUP(D1407,Parameter!$A$35:$C$64,3,0)+0,0)))</f>
        <v>0</v>
      </c>
      <c r="CF1407" s="60" t="str">
        <f aca="false">IF(AB1407&lt;&gt;"",AB1407,AA1407)</f>
        <v>-</v>
      </c>
      <c r="CG1407" s="60" t="str">
        <f aca="false">IF(OR(CF1407=1,CF1407=2,CF1407=3),IF(Parameter!$E$27="Ja","LIFT",IF(CF1407=1,"L1","L23")),IF(CF1407="Aussen","Aussen","-"))</f>
        <v>-</v>
      </c>
      <c r="CH1407" s="71" t="n">
        <f aca="false">IF(N(AC1407)&gt;0,AC1407,0)</f>
        <v>0</v>
      </c>
      <c r="CI1407" s="65" t="n">
        <f aca="false">IF(ISNUMBER(AF1407),1,0)</f>
        <v>0</v>
      </c>
      <c r="CJ1407" s="62" t="n">
        <f aca="false">N(AF1407)</f>
        <v>0</v>
      </c>
      <c r="CK1407" s="62" t="n">
        <f aca="false">N(M1407)+N(N1407)</f>
        <v>23</v>
      </c>
      <c r="CL1407" s="62" t="n">
        <f aca="false">N(M1407)</f>
        <v>3</v>
      </c>
      <c r="CM1407" s="62" t="n">
        <f aca="false">N(N1407)</f>
        <v>20</v>
      </c>
      <c r="CN1407" s="62" t="n">
        <f aca="false">ROUNDUP(H1407/BZ1407,0)</f>
        <v>1</v>
      </c>
      <c r="CO1407" s="62" t="n">
        <f aca="false">ROUNDUP(CJ1407/BZ1407,0)</f>
        <v>0</v>
      </c>
      <c r="CP1407" s="65" t="n">
        <f aca="false">IF(CA1407=1,0,IFERROR(VLOOKUP(BY1407,'Gebinde-Kategorie'!$A$5:$N$45,5,0)+0,0))</f>
        <v>20</v>
      </c>
      <c r="CQ1407" s="65" t="n">
        <f aca="false">IFERROR(IF(OR(CF1407=1,CF1407=2,CF1407=3),N(INDEX(Parameter!$I$5:$I$7,CF1407)),0),0)</f>
        <v>0</v>
      </c>
      <c r="CR1407" s="64" t="n">
        <f aca="false">IF(AND(Parameter!$B$21="Ja",ISNUMBER(W1407),N(X1407)&gt;0),IFERROR(N(INDEX(Parameter!$L$5:$L$7,W1407))*INDEX(Parameter!$E$5:$E$7,W1407)*X1407/SUMIFS($X$7:$X$1843,$W$7:$W$1843,W1407),0),0)</f>
        <v>0</v>
      </c>
      <c r="CS1407" s="62" t="str">
        <f aca="false">IF(AND(OR(CG1407="L1",CG1407="L23",CG1407="LIFT"),H1407&gt;0),CC1407*IF(CR1407&gt;0,CR1407*MAX(1,H1407/X1407),IF(CA1407=1,CE1407,IF(R1407&gt;0,CN1407/R1407,0))/MAX(0.1,N(Parameter!$M$21))),"")</f>
        <v/>
      </c>
      <c r="CT1407" s="64" t="str">
        <f aca="false">IF(CS1407="","",J1407/H1407)</f>
        <v/>
      </c>
      <c r="CU1407" s="62" t="str">
        <f aca="false">IF(CS1407="","",H1407*G1407)</f>
        <v/>
      </c>
      <c r="CV1407" s="63" t="str">
        <f aca="false">IF(CS1407="","",(CL1407+ROUNDUP(CL1407+MAX(CM1407,2*(J1407/MAX(0.1,N(Einkauf!$C$6))-CL1407)),0))/2)</f>
        <v/>
      </c>
      <c r="CW1407" s="62" t="str">
        <f aca="false">IF(CS1407="","",MAX(0,H1407-CV1407)*G1407)</f>
        <v/>
      </c>
      <c r="CX1407" s="62" t="str">
        <f aca="false">IF(CS1407="","",CS1407*MAX(0,1-CV1407/H1407))</f>
        <v/>
      </c>
      <c r="CY1407" s="64" t="str">
        <f aca="false">IF(CS1407="","",PERCENTRANK($CS$7:$CS$1843,CS1407)+PERCENTRANK($CU$7:$CU$1843,CU1407)+1-PERCENTRANK($CT$7:$CT$1843,CT1407))</f>
        <v/>
      </c>
      <c r="CZ1407" s="72" t="str">
        <f aca="false">IF(CS1407="","",CHOOSE(MATCH(Einkauf!$C$5,Parameter!$G$23:$G$27,0),CY1407,CS1407,CU1407,-CT1407,CW1407)+ROW()/1000000000)</f>
        <v/>
      </c>
    </row>
    <row r="1408" customFormat="false" ht="15" hidden="false" customHeight="false" outlineLevel="0" collapsed="false">
      <c r="A1408" s="60" t="s">
        <v>2514</v>
      </c>
      <c r="B1408" s="60" t="s">
        <v>2515</v>
      </c>
      <c r="C1408" s="60" t="s">
        <v>206</v>
      </c>
      <c r="D1408" s="60" t="s">
        <v>395</v>
      </c>
      <c r="E1408" s="60" t="s">
        <v>2290</v>
      </c>
      <c r="F1408" s="60" t="s">
        <v>260</v>
      </c>
      <c r="G1408" s="61" t="n">
        <v>2426.28</v>
      </c>
      <c r="H1408" s="62" t="n">
        <f aca="false">MAX(0,IF(AND(Parameter!$B$21="Ja",ISNUMBER(Y1408)),Y1408,IF(Parameter!$B$20="Jahresanfang 2025 + Export",BS1408+BR1408,BR1408)))</f>
        <v>0</v>
      </c>
      <c r="I1408" s="62" t="n">
        <f aca="false">H1408*G1408</f>
        <v>0</v>
      </c>
      <c r="J1408" s="62" t="n">
        <f aca="false">BU1408*Parameter!$B$18</f>
        <v>0</v>
      </c>
      <c r="K1408" s="63" t="n">
        <v>1</v>
      </c>
      <c r="L1408" s="64" t="n">
        <v>0</v>
      </c>
      <c r="M1408" s="62" t="n">
        <v>0</v>
      </c>
      <c r="N1408" s="62" t="n">
        <v>1</v>
      </c>
      <c r="O1408" s="65" t="n">
        <v>90</v>
      </c>
      <c r="P1408" s="60" t="s">
        <v>210</v>
      </c>
      <c r="Q1408" s="62"/>
      <c r="R1408" s="65" t="n">
        <f aca="false">IF(CA1408=1,0,IFERROR(VLOOKUP(BY1408,'Gebinde-Kategorie'!$A$5:$N$45,13,0)+0,0))</f>
        <v>0</v>
      </c>
      <c r="S1408" s="66"/>
      <c r="T1408" s="67"/>
      <c r="U1408" s="67"/>
      <c r="V1408" s="67"/>
      <c r="W1408" s="60"/>
      <c r="X1408" s="62"/>
      <c r="Y1408" s="62"/>
      <c r="Z1408" s="60"/>
      <c r="AA1408" s="60" t="str">
        <f aca="false">IF(A1408="","",IF(AND(Parameter!$B$21="Ja",ISNUMBER(W1408)),W1408,IF(AND(Parameter!$E$27="Ja",ISNUMBER(Z1408),CD1408&lt;&gt;"Nein"),Z1408,IF(CD1408="2+3",IF(ISNUMBER(SEARCH("grosser Artikel",BV1408)),2,IFERROR(VLOOKUP(BY1408,Parameter!$F$35:$G$64,2,0),2)),IF(OR(CD1408="Nein",CD1408=""),"-",CD1408)))))</f>
        <v>-</v>
      </c>
      <c r="AB1408" s="67"/>
      <c r="AC1408" s="68"/>
      <c r="AD1408" s="62" t="n">
        <f aca="false">AW1408</f>
        <v>1</v>
      </c>
      <c r="AE1408" s="62" t="n">
        <f aca="false">MAX(AW1408,H1408)</f>
        <v>1</v>
      </c>
      <c r="AF1408" s="69"/>
      <c r="AG1408" s="62" t="n">
        <f aca="false">IF(LEFT(Cockpit!$C$5,1)="A",H1408,IF(Parameter!$E$30="MAX-Bestand",IF(CI1408=1,CJ1408,IF(LEFT(Cockpit!$C$5,1)="B",AM1408,MAX(AM1408,H1408))),ROUNDUP(AK1408,0)))</f>
        <v>0</v>
      </c>
      <c r="AH1408" s="62" t="n">
        <f aca="false">IF(CA1408=1,0,ROUNDUP(AG1408/BZ1408,0))</f>
        <v>0</v>
      </c>
      <c r="AI1408" s="64" t="n">
        <f aca="false">IF(CR1408&gt;0,CR1408*MAX(1,AG1408/X1408),IF(CA1408=1,IF(AG1408&lt;=0,0,CE1408*MAX(1,IF(H1408&gt;0,AG1408/H1408,1))),IF(R1408&gt;0,AH1408/R1408,0))/MAX(0.1,N(Parameter!$M$21)))</f>
        <v>0</v>
      </c>
      <c r="AJ1408" s="62" t="n">
        <f aca="false">AI1408*CC1408</f>
        <v>0</v>
      </c>
      <c r="AK1408" s="63" t="n">
        <f aca="false">IF(LEFT(Cockpit!$C$5,1)="A",H1408,IF(CI1408=1,(CL1408+CJ1408)/2,IF(LEFT(Cockpit!$C$5,1)="B",(CL1408+AM1408)/2,MAX((CL1408+AM1408)/2,H1408))))</f>
        <v>0</v>
      </c>
      <c r="AL1408" s="62" t="n">
        <f aca="false">AK1408*G1408</f>
        <v>0</v>
      </c>
      <c r="AM1408" s="62" t="n">
        <f aca="false">ROUNDUP(CL1408+MAX(CM1408,2*(J1408/IF(CH1408&gt;0,CH1408,MAX(0.1,N(Cockpit!$C$6)))-CL1408)),0)</f>
        <v>1</v>
      </c>
      <c r="AN1408" s="63" t="n">
        <f aca="false">IF(AJ1408&gt;0,J1408/AJ1408,-1)</f>
        <v>-1</v>
      </c>
      <c r="AO1408" s="63" t="str">
        <f aca="false">IF(AND(OR(CG1408="L1",CG1408="L23",CG1408="LIFT"),AJ1408&gt;0),SUMIFS($AJ$7:$AJ$1843,$CG$7:$CG$1843,CG1408,$AN$7:$AN$1843,"&gt;"&amp;AN1408)+SUMIFS($AJ$7:$AJ$1843,$CG$7:$CG$1843,CG1408,$AN$7:$AN$1843,AN1408,$BX$7:$BX$1843,"&lt;="&amp;BX1408),"")</f>
        <v/>
      </c>
      <c r="AP1408" s="70" t="n">
        <f aca="false">IF(AO1408="",0,MAX(0,MIN(1,(IF(CG1408="L1",Parameter!$H$5,IF(CG1408="L23",Parameter!$H$6+Parameter!$H$7,Parameter!$H$5+Parameter!$H$6+Parameter!$H$7))-(AO1408-AJ1408))/AJ1408)))</f>
        <v>0</v>
      </c>
      <c r="AQ1408" s="62" t="n">
        <f aca="false">IF(LEFT(Cockpit!$I$5,1)="A",H1408,IF(Parameter!$E$30="MAX-Bestand",IF(CI1408=1,CJ1408,IF(LEFT(Cockpit!$I$5,1)="B",AW1408,MAX(AW1408,H1408))),ROUNDUP(AU1408,0)))</f>
        <v>1</v>
      </c>
      <c r="AR1408" s="62" t="n">
        <f aca="false">IF(CA1408=1,0,ROUNDUP(AQ1408/BZ1408,0))</f>
        <v>0</v>
      </c>
      <c r="AS1408" s="64" t="n">
        <f aca="false">IF(CR1408&gt;0,CR1408*MAX(1,AQ1408/X1408),IF(CA1408=1,IF(AQ1408&lt;=0,0,CE1408*MAX(1,IF(H1408&gt;0,AQ1408/H1408,1))),IF(R1408&gt;0,AR1408/R1408,0))/MAX(0.1,N(Parameter!$M$21)))</f>
        <v>0.15</v>
      </c>
      <c r="AT1408" s="62" t="n">
        <f aca="false">AS1408*CC1408</f>
        <v>35.25</v>
      </c>
      <c r="AU1408" s="63" t="n">
        <f aca="false">IF(LEFT(Cockpit!$I$5,1)="A",H1408,IF(CI1408=1,(CL1408+CJ1408)/2,IF(LEFT(Cockpit!$I$5,1)="B",(CL1408+AW1408)/2,MAX((CL1408+AW1408)/2,H1408))))</f>
        <v>0.5</v>
      </c>
      <c r="AV1408" s="62" t="n">
        <f aca="false">AU1408*G1408</f>
        <v>1213.14</v>
      </c>
      <c r="AW1408" s="62" t="n">
        <f aca="false">ROUNDUP(CL1408+MAX(CM1408,2*(J1408/IF(CH1408&gt;0,CH1408,MAX(0.1,N(Cockpit!$I$6)))-CL1408)),0)</f>
        <v>1</v>
      </c>
      <c r="AX1408" s="63" t="n">
        <f aca="false">IF(AT1408&gt;0,J1408/AT1408,-1)</f>
        <v>0</v>
      </c>
      <c r="AY1408" s="63" t="str">
        <f aca="false">IF(AND(OR(CG1408="L1",CG1408="L23",CG1408="LIFT"),AT1408&gt;0),SUMIFS($AT$7:$AT$1843,$CG$7:$CG$1843,CG1408,$AX$7:$AX$1843,"&gt;"&amp;AX1408)+SUMIFS($AT$7:$AT$1843,$CG$7:$CG$1843,CG1408,$AX$7:$AX$1843,AX1408,$BX$7:$BX$1843,"&lt;="&amp;BX1408),"")</f>
        <v/>
      </c>
      <c r="AZ1408" s="70" t="n">
        <f aca="false">IF(AY1408="",0,MAX(0,MIN(1,(IF(CG1408="L1",Parameter!$H$5,IF(CG1408="L23",Parameter!$H$6+Parameter!$H$7,Parameter!$H$5+Parameter!$H$6+Parameter!$H$7))-(AY1408-AT1408))/AT1408)))</f>
        <v>0</v>
      </c>
      <c r="BA1408" s="62" t="n">
        <f aca="false">IF(LEFT(Cockpit!$O$5,1)="A",H1408,IF(Parameter!$E$30="MAX-Bestand",IF(CI1408=1,CJ1408,IF(LEFT(Cockpit!$O$5,1)="B",BG1408,MAX(BG1408,H1408))),ROUNDUP(BE1408,0)))</f>
        <v>1</v>
      </c>
      <c r="BB1408" s="62" t="n">
        <f aca="false">IF(CA1408=1,0,ROUNDUP(BA1408/BZ1408,0))</f>
        <v>0</v>
      </c>
      <c r="BC1408" s="64" t="n">
        <f aca="false">IF(CR1408&gt;0,CR1408*MAX(1,BA1408/X1408),IF(CA1408=1,IF(BA1408&lt;=0,0,CE1408*MAX(1,IF(H1408&gt;0,BA1408/H1408,1))),IF(R1408&gt;0,BB1408/R1408,0))/MAX(0.1,N(Parameter!$M$21)))</f>
        <v>0.15</v>
      </c>
      <c r="BD1408" s="62" t="n">
        <f aca="false">BC1408*CC1408</f>
        <v>35.25</v>
      </c>
      <c r="BE1408" s="63" t="n">
        <f aca="false">IF(LEFT(Cockpit!$O$5,1)="A",H1408,IF(CI1408=1,(CL1408+CJ1408)/2,IF(LEFT(Cockpit!$O$5,1)="B",(CL1408+BG1408)/2,MAX((CL1408+BG1408)/2,H1408))))</f>
        <v>0.5</v>
      </c>
      <c r="BF1408" s="62" t="n">
        <f aca="false">BE1408*G1408</f>
        <v>1213.14</v>
      </c>
      <c r="BG1408" s="62" t="n">
        <f aca="false">ROUNDUP(CL1408+MAX(CM1408,2*(J1408/IF(CH1408&gt;0,CH1408,MAX(0.1,N(Cockpit!$O$6)))-CL1408)),0)</f>
        <v>1</v>
      </c>
      <c r="BH1408" s="63" t="n">
        <f aca="false">IF(BD1408&gt;0,J1408/BD1408,-1)</f>
        <v>0</v>
      </c>
      <c r="BI1408" s="63" t="str">
        <f aca="false">IF(AND(OR(CG1408="L1",CG1408="L23",CG1408="LIFT"),BD1408&gt;0),SUMIFS($BD$7:$BD$1843,$CG$7:$CG$1843,CG1408,$BH$7:$BH$1843,"&gt;"&amp;BH1408)+SUMIFS($BD$7:$BD$1843,$CG$7:$CG$1843,CG1408,$BH$7:$BH$1843,BH1408,$BX$7:$BX$1843,"&lt;="&amp;BX1408),"")</f>
        <v/>
      </c>
      <c r="BJ1408" s="70" t="n">
        <f aca="false">IF(BI1408="",0,MAX(0,MIN(1,(IF(CG1408="L1",Parameter!$H$5,IF(CG1408="L23",Parameter!$H$6+Parameter!$H$7,Parameter!$H$5+Parameter!$H$6+Parameter!$H$7))-(BI1408-BD1408))/BD1408)))</f>
        <v>0</v>
      </c>
      <c r="BK1408" s="60" t="str">
        <f aca="false">IF(AJ1408&lt;=0,"",IF(CG1408="Aussen","Aussenlager",IF(CG1408="-","Nicht im Lift",IF(AP1408&gt;=1,"Lift",IF(AP1408&lt;=0,"Aussenlager","teilweise")))))</f>
        <v/>
      </c>
      <c r="BL1408" s="60" t="str">
        <f aca="false">IF(AT1408&lt;=0,"",IF(CG1408="Aussen","Aussenlager",IF(CG1408="-","Nicht im Lift",IF(AZ1408&gt;=1,"Lift",IF(AZ1408&lt;=0,"Aussenlager","teilweise")))))</f>
        <v>Nicht im Lift</v>
      </c>
      <c r="BM1408" s="60" t="str">
        <f aca="false">IF(BD1408&lt;=0,"",IF(CG1408="Aussen","Aussenlager",IF(CG1408="-","Nicht im Lift",IF(BJ1408&gt;=1,"Lift",IF(BJ1408&lt;=0,"Aussenlager","teilweise")))))</f>
        <v>Nicht im Lift</v>
      </c>
      <c r="BN1408" s="60" t="str">
        <f aca="false">IF(A1408="","",IF(BW1408=1,"Neu; ","")&amp;IF(AND(BW1408=0,BR1408&lt;0),"negativer Bestand (Export "&amp;BR1408&amp;"); ","")&amp;IF(J1408&lt;=0,"Kein Verbrauch; ","")&amp;IF(CR1408&gt;0,"Lift "&amp;W1408&amp;" lt. Liftbericht (Fach "&amp;X1408&amp;" Stk); ",IF(CB1408=1,"Gebinde geschätzt ("&amp;T1408&amp;"); ",IF(CA1408=1,"Lose – Tablare geschätzt; ","")))&amp;IF(H1408&gt;AW1408,"Überbestand "&amp;ROUND(H1408-AW1408,0)&amp;" Stk / CHF "&amp;ROUND((H1408-AW1408)*G1408,0)&amp;"; ","")&amp;IF(AND(CI1408=1,CJ1408&lt;CK1408),"MAX &lt; MB+LG; ","")&amp;IF(AND(CQ1408&gt;0,CP1408*10&gt;CQ1408),"zu hoch für Tablar; ","")&amp;IF(AND(BW1408=0,OR(CI1408=1,AB1408&lt;&gt;"",U1408&lt;&gt;"",V1408&lt;&gt;"",AC1408&lt;&gt;"")),"manuell übersteuert; ","")&amp;IF(AND(CA1408=0,R1408=0),"Gebinde unbekannt / Stellmass fehlt; ","")&amp;IF(AND(CA1408=0,N(V1408)&lt;=0,N(Q1408)&lt;=0),"Menge pro Gebinde fehlt (Ist = 1 Gebinde); ","")&amp;BV1408)</f>
        <v>negativer Bestand (Export -2); Kein Verbrauch; Lose – Tablare geschätzt; </v>
      </c>
      <c r="BO1408" s="60"/>
      <c r="BP1408" s="60"/>
      <c r="BQ1408" s="67"/>
      <c r="BR1408" s="62" t="n">
        <v>-2</v>
      </c>
      <c r="BS1408" s="62" t="n">
        <v>2</v>
      </c>
      <c r="BT1408" s="61" t="n">
        <v>-4852.56</v>
      </c>
      <c r="BU1408" s="62" t="n">
        <v>0</v>
      </c>
      <c r="BV1408" s="60"/>
      <c r="BW1408" s="65" t="n">
        <v>0</v>
      </c>
      <c r="BX1408" s="65" t="n">
        <v>1408</v>
      </c>
      <c r="BY1408" s="60" t="str">
        <f aca="false">IF(U1408&lt;&gt;"",UPPER(TRIM(U1408)),IF(CB1408=1,UPPER(VLOOKUP(T1408,Parameter!$I$27:$K$29,2,0)),IF(P1408="","LOSE",P1408)))</f>
        <v>LOSE</v>
      </c>
      <c r="BZ1408" s="62" t="n">
        <f aca="false">IF(BY1408="LOSE",1,IF(N(V1408)&gt;0,V1408,IF(CB1408=1,MAX(1,N(VLOOKUP(T1408,Parameter!$I$27:$K$29,3,0)),H1408,N(N1408)),IF(N(Q1408)&gt;0,Q1408,MAX(1,H1408)))))</f>
        <v>1</v>
      </c>
      <c r="CA1408" s="65" t="n">
        <f aca="false">IF(BY1408="LOSE",1,0)</f>
        <v>1</v>
      </c>
      <c r="CB1408" s="65" t="n">
        <f aca="false">IF(AND(U1408="",OR(P1408="",P1408="LOSE"),T1408&lt;&gt;"",N(S1408)&lt;=0,ISNUMBER(MATCH(T1408,Parameter!$I$27:$I$29,0))),1,0)</f>
        <v>0</v>
      </c>
      <c r="CC1408" s="65" t="n">
        <f aca="false">IF(CR1408&gt;0,INDEX(Parameter!$H$5:$H$7,W1408)/INDEX(Parameter!$E$5:$E$7,W1408),IF(AND(CA1408=0,N(IFERROR(VLOOKUP(BY1408,'Gebinde-Kategorie'!$A$5:$N$45,14,0),0))&gt;0),VLOOKUP(BY1408,'Gebinde-Kategorie'!$A$5:$N$45,14,0)*10+Parameter!$M$23,Parameter!$M$24))</f>
        <v>235</v>
      </c>
      <c r="CD1408" s="60" t="str">
        <f aca="false">IF(AND(Parameter!$B$19="Ja",E1408&lt;&gt;"",ISNUMBER(MATCH(E1408,Parameter!$I$35:$I$52,0))),VLOOKUP(E1408,Parameter!$I$35:$J$52,2,0),IFERROR(VLOOKUP(D1408,Parameter!$A$35:$C$64,2,0),"Nein"))</f>
        <v>Nein</v>
      </c>
      <c r="CE1408" s="64" t="n">
        <f aca="false">IF(CA1408=0,0,IF(N(S1408)&gt;0,S1408,IFERROR(VLOOKUP(D1408,Parameter!$A$35:$C$64,3,0)+0,0)))</f>
        <v>0.15</v>
      </c>
      <c r="CF1408" s="60" t="str">
        <f aca="false">IF(AB1408&lt;&gt;"",AB1408,AA1408)</f>
        <v>-</v>
      </c>
      <c r="CG1408" s="60" t="str">
        <f aca="false">IF(OR(CF1408=1,CF1408=2,CF1408=3),IF(Parameter!$E$27="Ja","LIFT",IF(CF1408=1,"L1","L23")),IF(CF1408="Aussen","Aussen","-"))</f>
        <v>-</v>
      </c>
      <c r="CH1408" s="71" t="n">
        <f aca="false">IF(N(AC1408)&gt;0,AC1408,0)</f>
        <v>0</v>
      </c>
      <c r="CI1408" s="65" t="n">
        <f aca="false">IF(ISNUMBER(AF1408),1,0)</f>
        <v>0</v>
      </c>
      <c r="CJ1408" s="62" t="n">
        <f aca="false">N(AF1408)</f>
        <v>0</v>
      </c>
      <c r="CK1408" s="62" t="n">
        <f aca="false">N(M1408)+N(N1408)</f>
        <v>1</v>
      </c>
      <c r="CL1408" s="62" t="n">
        <f aca="false">N(M1408)</f>
        <v>0</v>
      </c>
      <c r="CM1408" s="62" t="n">
        <f aca="false">N(N1408)</f>
        <v>1</v>
      </c>
      <c r="CN1408" s="62" t="n">
        <f aca="false">ROUNDUP(H1408/BZ1408,0)</f>
        <v>0</v>
      </c>
      <c r="CO1408" s="62" t="n">
        <f aca="false">ROUNDUP(CJ1408/BZ1408,0)</f>
        <v>0</v>
      </c>
      <c r="CP1408" s="65" t="n">
        <f aca="false">IF(CA1408=1,0,IFERROR(VLOOKUP(BY1408,'Gebinde-Kategorie'!$A$5:$N$45,5,0)+0,0))</f>
        <v>0</v>
      </c>
      <c r="CQ1408" s="65" t="n">
        <f aca="false">IFERROR(IF(OR(CF1408=1,CF1408=2,CF1408=3),N(INDEX(Parameter!$I$5:$I$7,CF1408)),0),0)</f>
        <v>0</v>
      </c>
      <c r="CR1408" s="64" t="n">
        <f aca="false">IF(AND(Parameter!$B$21="Ja",ISNUMBER(W1408),N(X1408)&gt;0),IFERROR(N(INDEX(Parameter!$L$5:$L$7,W1408))*INDEX(Parameter!$E$5:$E$7,W1408)*X1408/SUMIFS($X$7:$X$1843,$W$7:$W$1843,W1408),0),0)</f>
        <v>0</v>
      </c>
      <c r="CS1408" s="62" t="str">
        <f aca="false">IF(AND(OR(CG1408="L1",CG1408="L23",CG1408="LIFT"),H1408&gt;0),CC1408*IF(CR1408&gt;0,CR1408*MAX(1,H1408/X1408),IF(CA1408=1,CE1408,IF(R1408&gt;0,CN1408/R1408,0))/MAX(0.1,N(Parameter!$M$21))),"")</f>
        <v/>
      </c>
      <c r="CT1408" s="64" t="str">
        <f aca="false">IF(CS1408="","",J1408/H1408)</f>
        <v/>
      </c>
      <c r="CU1408" s="62" t="str">
        <f aca="false">IF(CS1408="","",H1408*G1408)</f>
        <v/>
      </c>
      <c r="CV1408" s="63" t="str">
        <f aca="false">IF(CS1408="","",(CL1408+ROUNDUP(CL1408+MAX(CM1408,2*(J1408/MAX(0.1,N(Einkauf!$C$6))-CL1408)),0))/2)</f>
        <v/>
      </c>
      <c r="CW1408" s="62" t="str">
        <f aca="false">IF(CS1408="","",MAX(0,H1408-CV1408)*G1408)</f>
        <v/>
      </c>
      <c r="CX1408" s="62" t="str">
        <f aca="false">IF(CS1408="","",CS1408*MAX(0,1-CV1408/H1408))</f>
        <v/>
      </c>
      <c r="CY1408" s="64" t="str">
        <f aca="false">IF(CS1408="","",PERCENTRANK($CS$7:$CS$1843,CS1408)+PERCENTRANK($CU$7:$CU$1843,CU1408)+1-PERCENTRANK($CT$7:$CT$1843,CT1408))</f>
        <v/>
      </c>
      <c r="CZ1408" s="72" t="str">
        <f aca="false">IF(CS1408="","",CHOOSE(MATCH(Einkauf!$C$5,Parameter!$G$23:$G$27,0),CY1408,CS1408,CU1408,-CT1408,CW1408)+ROW()/1000000000)</f>
        <v/>
      </c>
    </row>
    <row r="1409" customFormat="false" ht="15" hidden="false" customHeight="false" outlineLevel="0" collapsed="false">
      <c r="A1409" s="60" t="s">
        <v>2516</v>
      </c>
      <c r="B1409" s="60" t="s">
        <v>381</v>
      </c>
      <c r="C1409" s="60" t="s">
        <v>498</v>
      </c>
      <c r="D1409" s="60" t="s">
        <v>215</v>
      </c>
      <c r="E1409" s="60" t="s">
        <v>208</v>
      </c>
      <c r="F1409" s="60" t="s">
        <v>260</v>
      </c>
      <c r="G1409" s="61" t="n">
        <v>377.8</v>
      </c>
      <c r="H1409" s="62" t="n">
        <f aca="false">MAX(0,IF(AND(Parameter!$B$21="Ja",ISNUMBER(Y1409)),Y1409,IF(Parameter!$B$20="Jahresanfang 2025 + Export",BS1409+BR1409,BR1409)))</f>
        <v>0</v>
      </c>
      <c r="I1409" s="62" t="n">
        <f aca="false">H1409*G1409</f>
        <v>0</v>
      </c>
      <c r="J1409" s="62" t="n">
        <f aca="false">BU1409*Parameter!$B$18</f>
        <v>13</v>
      </c>
      <c r="K1409" s="63" t="n">
        <v>6.5</v>
      </c>
      <c r="L1409" s="64" t="n">
        <v>2</v>
      </c>
      <c r="M1409" s="62" t="n">
        <v>1</v>
      </c>
      <c r="N1409" s="62" t="n">
        <v>15</v>
      </c>
      <c r="O1409" s="65" t="n">
        <v>35</v>
      </c>
      <c r="P1409" s="60" t="s">
        <v>210</v>
      </c>
      <c r="Q1409" s="62"/>
      <c r="R1409" s="65" t="n">
        <f aca="false">IF(CA1409=1,0,IFERROR(VLOOKUP(BY1409,'Gebinde-Kategorie'!$A$5:$N$45,13,0)+0,0))</f>
        <v>26</v>
      </c>
      <c r="S1409" s="66"/>
      <c r="T1409" s="67" t="s">
        <v>317</v>
      </c>
      <c r="U1409" s="67"/>
      <c r="V1409" s="67"/>
      <c r="W1409" s="60"/>
      <c r="X1409" s="62"/>
      <c r="Y1409" s="62"/>
      <c r="Z1409" s="60" t="n">
        <v>3</v>
      </c>
      <c r="AA1409" s="60" t="n">
        <f aca="false">IF(A1409="","",IF(AND(Parameter!$B$21="Ja",ISNUMBER(W1409)),W1409,IF(AND(Parameter!$E$27="Ja",ISNUMBER(Z1409),CD1409&lt;&gt;"Nein"),Z1409,IF(CD1409="2+3",IF(ISNUMBER(SEARCH("grosser Artikel",BV1409)),2,IFERROR(VLOOKUP(BY1409,Parameter!$F$35:$G$64,2,0),2)),IF(OR(CD1409="Nein",CD1409=""),"-",CD1409)))))</f>
        <v>3</v>
      </c>
      <c r="AB1409" s="67"/>
      <c r="AC1409" s="68"/>
      <c r="AD1409" s="62" t="n">
        <f aca="false">AW1409</f>
        <v>16</v>
      </c>
      <c r="AE1409" s="62" t="n">
        <f aca="false">MAX(AW1409,H1409)</f>
        <v>16</v>
      </c>
      <c r="AF1409" s="69"/>
      <c r="AG1409" s="62" t="n">
        <f aca="false">IF(LEFT(Cockpit!$C$5,1)="A",H1409,IF(Parameter!$E$30="MAX-Bestand",IF(CI1409=1,CJ1409,IF(LEFT(Cockpit!$C$5,1)="B",AM1409,MAX(AM1409,H1409))),ROUNDUP(AK1409,0)))</f>
        <v>0</v>
      </c>
      <c r="AH1409" s="62" t="n">
        <f aca="false">IF(CA1409=1,0,ROUNDUP(AG1409/BZ1409,0))</f>
        <v>0</v>
      </c>
      <c r="AI1409" s="64" t="n">
        <f aca="false">IF(CR1409&gt;0,CR1409*MAX(1,AG1409/X1409),IF(CA1409=1,IF(AG1409&lt;=0,0,CE1409*MAX(1,IF(H1409&gt;0,AG1409/H1409,1))),IF(R1409&gt;0,AH1409/R1409,0))/MAX(0.1,N(Parameter!$M$21)))</f>
        <v>0</v>
      </c>
      <c r="AJ1409" s="62" t="n">
        <f aca="false">AI1409*CC1409</f>
        <v>0</v>
      </c>
      <c r="AK1409" s="63" t="n">
        <f aca="false">IF(LEFT(Cockpit!$C$5,1)="A",H1409,IF(CI1409=1,(CL1409+CJ1409)/2,IF(LEFT(Cockpit!$C$5,1)="B",(CL1409+AM1409)/2,MAX((CL1409+AM1409)/2,H1409))))</f>
        <v>0</v>
      </c>
      <c r="AL1409" s="62" t="n">
        <f aca="false">AK1409*G1409</f>
        <v>0</v>
      </c>
      <c r="AM1409" s="62" t="n">
        <f aca="false">ROUNDUP(CL1409+MAX(CM1409,2*(J1409/IF(CH1409&gt;0,CH1409,MAX(0.1,N(Cockpit!$C$6)))-CL1409)),0)</f>
        <v>16</v>
      </c>
      <c r="AN1409" s="63" t="n">
        <f aca="false">IF(AJ1409&gt;0,J1409/AJ1409,-1)</f>
        <v>-1</v>
      </c>
      <c r="AO1409" s="63" t="str">
        <f aca="false">IF(AND(OR(CG1409="L1",CG1409="L23",CG1409="LIFT"),AJ1409&gt;0),SUMIFS($AJ$7:$AJ$1843,$CG$7:$CG$1843,CG1409,$AN$7:$AN$1843,"&gt;"&amp;AN1409)+SUMIFS($AJ$7:$AJ$1843,$CG$7:$CG$1843,CG1409,$AN$7:$AN$1843,AN1409,$BX$7:$BX$1843,"&lt;="&amp;BX1409),"")</f>
        <v/>
      </c>
      <c r="AP1409" s="70" t="n">
        <f aca="false">IF(AO1409="",0,MAX(0,MIN(1,(IF(CG1409="L1",Parameter!$H$5,IF(CG1409="L23",Parameter!$H$6+Parameter!$H$7,Parameter!$H$5+Parameter!$H$6+Parameter!$H$7))-(AO1409-AJ1409))/AJ1409)))</f>
        <v>0</v>
      </c>
      <c r="AQ1409" s="62" t="n">
        <f aca="false">IF(LEFT(Cockpit!$I$5,1)="A",H1409,IF(Parameter!$E$30="MAX-Bestand",IF(CI1409=1,CJ1409,IF(LEFT(Cockpit!$I$5,1)="B",AW1409,MAX(AW1409,H1409))),ROUNDUP(AU1409,0)))</f>
        <v>9</v>
      </c>
      <c r="AR1409" s="62" t="n">
        <f aca="false">IF(CA1409=1,0,ROUNDUP(AQ1409/BZ1409,0))</f>
        <v>1</v>
      </c>
      <c r="AS1409" s="64" t="n">
        <f aca="false">IF(CR1409&gt;0,CR1409*MAX(1,AQ1409/X1409),IF(CA1409=1,IF(AQ1409&lt;=0,0,CE1409*MAX(1,IF(H1409&gt;0,AQ1409/H1409,1))),IF(R1409&gt;0,AR1409/R1409,0))/MAX(0.1,N(Parameter!$M$21)))</f>
        <v>0.0384615384615385</v>
      </c>
      <c r="AT1409" s="62" t="n">
        <f aca="false">AS1409*CC1409</f>
        <v>5.96153846153846</v>
      </c>
      <c r="AU1409" s="63" t="n">
        <f aca="false">IF(LEFT(Cockpit!$I$5,1)="A",H1409,IF(CI1409=1,(CL1409+CJ1409)/2,IF(LEFT(Cockpit!$I$5,1)="B",(CL1409+AW1409)/2,MAX((CL1409+AW1409)/2,H1409))))</f>
        <v>8.5</v>
      </c>
      <c r="AV1409" s="62" t="n">
        <f aca="false">AU1409*G1409</f>
        <v>3211.3</v>
      </c>
      <c r="AW1409" s="62" t="n">
        <f aca="false">ROUNDUP(CL1409+MAX(CM1409,2*(J1409/IF(CH1409&gt;0,CH1409,MAX(0.1,N(Cockpit!$I$6)))-CL1409)),0)</f>
        <v>16</v>
      </c>
      <c r="AX1409" s="63" t="n">
        <f aca="false">IF(AT1409&gt;0,J1409/AT1409,-1)</f>
        <v>2.18064516129032</v>
      </c>
      <c r="AY1409" s="63" t="n">
        <f aca="false">IF(AND(OR(CG1409="L1",CG1409="L23",CG1409="LIFT"),AT1409&gt;0),SUMIFS($AT$7:$AT$1843,$CG$7:$CG$1843,CG1409,$AX$7:$AX$1843,"&gt;"&amp;AX1409)+SUMIFS($AT$7:$AT$1843,$CG$7:$CG$1843,CG1409,$AX$7:$AX$1843,AX1409,$BX$7:$BX$1843,"&lt;="&amp;BX1409),"")</f>
        <v>6639.12591575092</v>
      </c>
      <c r="AZ1409" s="70" t="n">
        <f aca="false">IF(AY1409="",0,MAX(0,MIN(1,(IF(CG1409="L1",Parameter!$H$5,IF(CG1409="L23",Parameter!$H$6+Parameter!$H$7,Parameter!$H$5+Parameter!$H$6+Parameter!$H$7))-(AY1409-AT1409))/AT1409)))</f>
        <v>1</v>
      </c>
      <c r="BA1409" s="62" t="n">
        <f aca="false">IF(LEFT(Cockpit!$O$5,1)="A",H1409,IF(Parameter!$E$30="MAX-Bestand",IF(CI1409=1,CJ1409,IF(LEFT(Cockpit!$O$5,1)="B",BG1409,MAX(BG1409,H1409))),ROUNDUP(BE1409,0)))</f>
        <v>9</v>
      </c>
      <c r="BB1409" s="62" t="n">
        <f aca="false">IF(CA1409=1,0,ROUNDUP(BA1409/BZ1409,0))</f>
        <v>1</v>
      </c>
      <c r="BC1409" s="64" t="n">
        <f aca="false">IF(CR1409&gt;0,CR1409*MAX(1,BA1409/X1409),IF(CA1409=1,IF(BA1409&lt;=0,0,CE1409*MAX(1,IF(H1409&gt;0,BA1409/H1409,1))),IF(R1409&gt;0,BB1409/R1409,0))/MAX(0.1,N(Parameter!$M$21)))</f>
        <v>0.0384615384615385</v>
      </c>
      <c r="BD1409" s="62" t="n">
        <f aca="false">BC1409*CC1409</f>
        <v>5.96153846153846</v>
      </c>
      <c r="BE1409" s="63" t="n">
        <f aca="false">IF(LEFT(Cockpit!$O$5,1)="A",H1409,IF(CI1409=1,(CL1409+CJ1409)/2,IF(LEFT(Cockpit!$O$5,1)="B",(CL1409+BG1409)/2,MAX((CL1409+BG1409)/2,H1409))))</f>
        <v>8.5</v>
      </c>
      <c r="BF1409" s="62" t="n">
        <f aca="false">BE1409*G1409</f>
        <v>3211.3</v>
      </c>
      <c r="BG1409" s="62" t="n">
        <f aca="false">ROUNDUP(CL1409+MAX(CM1409,2*(J1409/IF(CH1409&gt;0,CH1409,MAX(0.1,N(Cockpit!$O$6)))-CL1409)),0)</f>
        <v>16</v>
      </c>
      <c r="BH1409" s="63" t="n">
        <f aca="false">IF(BD1409&gt;0,J1409/BD1409,-1)</f>
        <v>2.18064516129032</v>
      </c>
      <c r="BI1409" s="63" t="n">
        <f aca="false">IF(AND(OR(CG1409="L1",CG1409="L23",CG1409="LIFT"),BD1409&gt;0),SUMIFS($BD$7:$BD$1843,$CG$7:$CG$1843,CG1409,$BH$7:$BH$1843,"&gt;"&amp;BH1409)+SUMIFS($BD$7:$BD$1843,$CG$7:$CG$1843,CG1409,$BH$7:$BH$1843,BH1409,$BX$7:$BX$1843,"&lt;="&amp;BX1409),"")</f>
        <v>5717.28846153846</v>
      </c>
      <c r="BJ1409" s="70" t="n">
        <f aca="false">IF(BI1409="",0,MAX(0,MIN(1,(IF(CG1409="L1",Parameter!$H$5,IF(CG1409="L23",Parameter!$H$6+Parameter!$H$7,Parameter!$H$5+Parameter!$H$6+Parameter!$H$7))-(BI1409-BD1409))/BD1409)))</f>
        <v>1</v>
      </c>
      <c r="BK1409" s="60" t="str">
        <f aca="false">IF(AJ1409&lt;=0,"",IF(CG1409="Aussen","Aussenlager",IF(CG1409="-","Nicht im Lift",IF(AP1409&gt;=1,"Lift",IF(AP1409&lt;=0,"Aussenlager","teilweise")))))</f>
        <v/>
      </c>
      <c r="BL1409" s="60" t="str">
        <f aca="false">IF(AT1409&lt;=0,"",IF(CG1409="Aussen","Aussenlager",IF(CG1409="-","Nicht im Lift",IF(AZ1409&gt;=1,"Lift",IF(AZ1409&lt;=0,"Aussenlager","teilweise")))))</f>
        <v>Lift</v>
      </c>
      <c r="BM1409" s="60" t="str">
        <f aca="false">IF(BD1409&lt;=0,"",IF(CG1409="Aussen","Aussenlager",IF(CG1409="-","Nicht im Lift",IF(BJ1409&gt;=1,"Lift",IF(BJ1409&lt;=0,"Aussenlager","teilweise")))))</f>
        <v>Lift</v>
      </c>
      <c r="BN1409" s="60" t="str">
        <f aca="false">IF(A1409="","",IF(BW1409=1,"Neu; ","")&amp;IF(AND(BW1409=0,BR1409&lt;0),"negativer Bestand (Export "&amp;BR1409&amp;"); ","")&amp;IF(J1409&lt;=0,"Kein Verbrauch; ","")&amp;IF(CR1409&gt;0,"Lift "&amp;W1409&amp;" lt. Liftbericht (Fach "&amp;X1409&amp;" Stk); ",IF(CB1409=1,"Gebinde geschätzt ("&amp;T1409&amp;"); ",IF(CA1409=1,"Lose – Tablare geschätzt; ","")))&amp;IF(H1409&gt;AW1409,"Überbestand "&amp;ROUND(H1409-AW1409,0)&amp;" Stk / CHF "&amp;ROUND((H1409-AW1409)*G1409,0)&amp;"; ","")&amp;IF(AND(CI1409=1,CJ1409&lt;CK1409),"MAX &lt; MB+LG; ","")&amp;IF(AND(CQ1409&gt;0,CP1409*10&gt;CQ1409),"zu hoch für Tablar; ","")&amp;IF(AND(BW1409=0,OR(CI1409=1,AB1409&lt;&gt;"",U1409&lt;&gt;"",V1409&lt;&gt;"",AC1409&lt;&gt;"")),"manuell übersteuert; ","")&amp;IF(AND(CA1409=0,R1409=0),"Gebinde unbekannt / Stellmass fehlt; ","")&amp;IF(AND(CA1409=0,N(V1409)&lt;=0,N(Q1409)&lt;=0),"Menge pro Gebinde fehlt (Ist = 1 Gebinde); ","")&amp;BV1409)</f>
        <v>negativer Bestand (Export -13); Gebinde geschätzt (Klein); Menge pro Gebinde fehlt (Ist = 1 Gebinde); Neu</v>
      </c>
      <c r="BO1409" s="60"/>
      <c r="BP1409" s="60"/>
      <c r="BQ1409" s="67"/>
      <c r="BR1409" s="62" t="n">
        <v>-13</v>
      </c>
      <c r="BS1409" s="62" t="n">
        <v>13</v>
      </c>
      <c r="BT1409" s="61" t="n">
        <v>-4911.4</v>
      </c>
      <c r="BU1409" s="62" t="n">
        <v>13</v>
      </c>
      <c r="BV1409" s="60" t="s">
        <v>668</v>
      </c>
      <c r="BW1409" s="65" t="n">
        <v>0</v>
      </c>
      <c r="BX1409" s="65" t="n">
        <v>1409</v>
      </c>
      <c r="BY1409" s="60" t="str">
        <f aca="false">IF(U1409&lt;&gt;"",UPPER(TRIM(U1409)),IF(CB1409=1,UPPER(VLOOKUP(T1409,Parameter!$I$27:$K$29,2,0)),IF(P1409="","LOSE",P1409)))</f>
        <v>S51</v>
      </c>
      <c r="BZ1409" s="62" t="n">
        <f aca="false">IF(BY1409="LOSE",1,IF(N(V1409)&gt;0,V1409,IF(CB1409=1,MAX(1,N(VLOOKUP(T1409,Parameter!$I$27:$K$29,3,0)),H1409,N(N1409)),IF(N(Q1409)&gt;0,Q1409,MAX(1,H1409)))))</f>
        <v>20</v>
      </c>
      <c r="CA1409" s="65" t="n">
        <f aca="false">IF(BY1409="LOSE",1,0)</f>
        <v>0</v>
      </c>
      <c r="CB1409" s="65" t="n">
        <f aca="false">IF(AND(U1409="",OR(P1409="",P1409="LOSE"),T1409&lt;&gt;"",N(S1409)&lt;=0,ISNUMBER(MATCH(T1409,Parameter!$I$27:$I$29,0))),1,0)</f>
        <v>1</v>
      </c>
      <c r="CC1409" s="65" t="n">
        <f aca="false">IF(CR1409&gt;0,INDEX(Parameter!$H$5:$H$7,W1409)/INDEX(Parameter!$E$5:$E$7,W1409),IF(AND(CA1409=0,N(IFERROR(VLOOKUP(BY1409,'Gebinde-Kategorie'!$A$5:$N$45,14,0),0))&gt;0),VLOOKUP(BY1409,'Gebinde-Kategorie'!$A$5:$N$45,14,0)*10+Parameter!$M$23,Parameter!$M$24))</f>
        <v>155</v>
      </c>
      <c r="CD1409" s="60" t="n">
        <f aca="false">IF(AND(Parameter!$B$19="Ja",E1409&lt;&gt;"",ISNUMBER(MATCH(E1409,Parameter!$I$35:$I$52,0))),VLOOKUP(E1409,Parameter!$I$35:$J$52,2,0),IFERROR(VLOOKUP(D1409,Parameter!$A$35:$C$64,2,0),"Nein"))</f>
        <v>1</v>
      </c>
      <c r="CE1409" s="64" t="n">
        <f aca="false">IF(CA1409=0,0,IF(N(S1409)&gt;0,S1409,IFERROR(VLOOKUP(D1409,Parameter!$A$35:$C$64,3,0)+0,0)))</f>
        <v>0</v>
      </c>
      <c r="CF1409" s="60" t="n">
        <f aca="false">IF(AB1409&lt;&gt;"",AB1409,AA1409)</f>
        <v>3</v>
      </c>
      <c r="CG1409" s="60" t="str">
        <f aca="false">IF(OR(CF1409=1,CF1409=2,CF1409=3),IF(Parameter!$E$27="Ja","LIFT",IF(CF1409=1,"L1","L23")),IF(CF1409="Aussen","Aussen","-"))</f>
        <v>LIFT</v>
      </c>
      <c r="CH1409" s="71" t="n">
        <f aca="false">IF(N(AC1409)&gt;0,AC1409,0)</f>
        <v>0</v>
      </c>
      <c r="CI1409" s="65" t="n">
        <f aca="false">IF(ISNUMBER(AF1409),1,0)</f>
        <v>0</v>
      </c>
      <c r="CJ1409" s="62" t="n">
        <f aca="false">N(AF1409)</f>
        <v>0</v>
      </c>
      <c r="CK1409" s="62" t="n">
        <f aca="false">N(M1409)+N(N1409)</f>
        <v>16</v>
      </c>
      <c r="CL1409" s="62" t="n">
        <f aca="false">N(M1409)</f>
        <v>1</v>
      </c>
      <c r="CM1409" s="62" t="n">
        <f aca="false">N(N1409)</f>
        <v>15</v>
      </c>
      <c r="CN1409" s="62" t="n">
        <f aca="false">ROUNDUP(H1409/BZ1409,0)</f>
        <v>0</v>
      </c>
      <c r="CO1409" s="62" t="n">
        <f aca="false">ROUNDUP(CJ1409/BZ1409,0)</f>
        <v>0</v>
      </c>
      <c r="CP1409" s="65" t="n">
        <f aca="false">IF(CA1409=1,0,IFERROR(VLOOKUP(BY1409,'Gebinde-Kategorie'!$A$5:$N$45,5,0)+0,0))</f>
        <v>11</v>
      </c>
      <c r="CQ1409" s="65" t="n">
        <f aca="false">IFERROR(IF(OR(CF1409=1,CF1409=2,CF1409=3),N(INDEX(Parameter!$I$5:$I$7,CF1409)),0),0)</f>
        <v>0</v>
      </c>
      <c r="CR1409" s="64" t="n">
        <f aca="false">IF(AND(Parameter!$B$21="Ja",ISNUMBER(W1409),N(X1409)&gt;0),IFERROR(N(INDEX(Parameter!$L$5:$L$7,W1409))*INDEX(Parameter!$E$5:$E$7,W1409)*X1409/SUMIFS($X$7:$X$1843,$W$7:$W$1843,W1409),0),0)</f>
        <v>0</v>
      </c>
      <c r="CS1409" s="62" t="str">
        <f aca="false">IF(AND(OR(CG1409="L1",CG1409="L23",CG1409="LIFT"),H1409&gt;0),CC1409*IF(CR1409&gt;0,CR1409*MAX(1,H1409/X1409),IF(CA1409=1,CE1409,IF(R1409&gt;0,CN1409/R1409,0))/MAX(0.1,N(Parameter!$M$21))),"")</f>
        <v/>
      </c>
      <c r="CT1409" s="64" t="str">
        <f aca="false">IF(CS1409="","",J1409/H1409)</f>
        <v/>
      </c>
      <c r="CU1409" s="62" t="str">
        <f aca="false">IF(CS1409="","",H1409*G1409)</f>
        <v/>
      </c>
      <c r="CV1409" s="63" t="str">
        <f aca="false">IF(CS1409="","",(CL1409+ROUNDUP(CL1409+MAX(CM1409,2*(J1409/MAX(0.1,N(Einkauf!$C$6))-CL1409)),0))/2)</f>
        <v/>
      </c>
      <c r="CW1409" s="62" t="str">
        <f aca="false">IF(CS1409="","",MAX(0,H1409-CV1409)*G1409)</f>
        <v/>
      </c>
      <c r="CX1409" s="62" t="str">
        <f aca="false">IF(CS1409="","",CS1409*MAX(0,1-CV1409/H1409))</f>
        <v/>
      </c>
      <c r="CY1409" s="64" t="str">
        <f aca="false">IF(CS1409="","",PERCENTRANK($CS$7:$CS$1843,CS1409)+PERCENTRANK($CU$7:$CU$1843,CU1409)+1-PERCENTRANK($CT$7:$CT$1843,CT1409))</f>
        <v/>
      </c>
      <c r="CZ1409" s="72" t="str">
        <f aca="false">IF(CS1409="","",CHOOSE(MATCH(Einkauf!$C$5,Parameter!$G$23:$G$27,0),CY1409,CS1409,CU1409,-CT1409,CW1409)+ROW()/1000000000)</f>
        <v/>
      </c>
    </row>
    <row r="1410" customFormat="false" ht="15" hidden="false" customHeight="false" outlineLevel="0" collapsed="false">
      <c r="A1410" s="60" t="s">
        <v>2517</v>
      </c>
      <c r="B1410" s="60" t="s">
        <v>2518</v>
      </c>
      <c r="C1410" s="60" t="s">
        <v>206</v>
      </c>
      <c r="D1410" s="60" t="s">
        <v>226</v>
      </c>
      <c r="E1410" s="60" t="s">
        <v>227</v>
      </c>
      <c r="F1410" s="60" t="s">
        <v>260</v>
      </c>
      <c r="G1410" s="61" t="n">
        <v>249</v>
      </c>
      <c r="H1410" s="62" t="n">
        <f aca="false">MAX(0,IF(AND(Parameter!$B$21="Ja",ISNUMBER(Y1410)),Y1410,IF(Parameter!$B$20="Jahresanfang 2025 + Export",BS1410+BR1410,BR1410)))</f>
        <v>21</v>
      </c>
      <c r="I1410" s="62" t="n">
        <f aca="false">H1410*G1410</f>
        <v>5229</v>
      </c>
      <c r="J1410" s="62" t="n">
        <f aca="false">BU1410*Parameter!$B$18</f>
        <v>225</v>
      </c>
      <c r="K1410" s="63" t="n">
        <v>53</v>
      </c>
      <c r="L1410" s="64" t="n">
        <v>4.24528301886793</v>
      </c>
      <c r="M1410" s="62" t="n">
        <v>13</v>
      </c>
      <c r="N1410" s="62" t="n">
        <v>25</v>
      </c>
      <c r="O1410" s="65" t="n">
        <v>21</v>
      </c>
      <c r="P1410" s="60" t="s">
        <v>275</v>
      </c>
      <c r="Q1410" s="62" t="n">
        <v>88</v>
      </c>
      <c r="R1410" s="65" t="n">
        <f aca="false">IF(CA1410=1,0,IFERROR(VLOOKUP(BY1410,'Gebinde-Kategorie'!$A$5:$N$45,13,0)+0,0))</f>
        <v>26</v>
      </c>
      <c r="S1410" s="66"/>
      <c r="T1410" s="67"/>
      <c r="U1410" s="67"/>
      <c r="V1410" s="67"/>
      <c r="W1410" s="60"/>
      <c r="X1410" s="62"/>
      <c r="Y1410" s="62"/>
      <c r="Z1410" s="60" t="n">
        <v>3</v>
      </c>
      <c r="AA1410" s="60" t="n">
        <f aca="false">IF(A1410="","",IF(AND(Parameter!$B$21="Ja",ISNUMBER(W1410)),W1410,IF(AND(Parameter!$E$27="Ja",ISNUMBER(Z1410),CD1410&lt;&gt;"Nein"),Z1410,IF(CD1410="2+3",IF(ISNUMBER(SEARCH("grosser Artikel",BV1410)),2,IFERROR(VLOOKUP(BY1410,Parameter!$F$35:$G$64,2,0),2)),IF(OR(CD1410="Nein",CD1410=""),"-",CD1410)))))</f>
        <v>3</v>
      </c>
      <c r="AB1410" s="67"/>
      <c r="AC1410" s="68"/>
      <c r="AD1410" s="62" t="n">
        <f aca="false">AW1410</f>
        <v>137</v>
      </c>
      <c r="AE1410" s="62" t="n">
        <f aca="false">MAX(AW1410,H1410)</f>
        <v>137</v>
      </c>
      <c r="AF1410" s="69"/>
      <c r="AG1410" s="62" t="n">
        <f aca="false">IF(LEFT(Cockpit!$C$5,1)="A",H1410,IF(Parameter!$E$30="MAX-Bestand",IF(CI1410=1,CJ1410,IF(LEFT(Cockpit!$C$5,1)="B",AM1410,MAX(AM1410,H1410))),ROUNDUP(AK1410,0)))</f>
        <v>21</v>
      </c>
      <c r="AH1410" s="62" t="n">
        <f aca="false">IF(CA1410=1,0,ROUNDUP(AG1410/BZ1410,0))</f>
        <v>1</v>
      </c>
      <c r="AI1410" s="64" t="n">
        <f aca="false">IF(CR1410&gt;0,CR1410*MAX(1,AG1410/X1410),IF(CA1410=1,IF(AG1410&lt;=0,0,CE1410*MAX(1,IF(H1410&gt;0,AG1410/H1410,1))),IF(R1410&gt;0,AH1410/R1410,0))/MAX(0.1,N(Parameter!$M$21)))</f>
        <v>0.0384615384615385</v>
      </c>
      <c r="AJ1410" s="62" t="n">
        <f aca="false">AI1410*CC1410</f>
        <v>9.42307692307692</v>
      </c>
      <c r="AK1410" s="63" t="n">
        <f aca="false">IF(LEFT(Cockpit!$C$5,1)="A",H1410,IF(CI1410=1,(CL1410+CJ1410)/2,IF(LEFT(Cockpit!$C$5,1)="B",(CL1410+AM1410)/2,MAX((CL1410+AM1410)/2,H1410))))</f>
        <v>21</v>
      </c>
      <c r="AL1410" s="62" t="n">
        <f aca="false">AK1410*G1410</f>
        <v>5229</v>
      </c>
      <c r="AM1410" s="62" t="n">
        <f aca="false">ROUNDUP(CL1410+MAX(CM1410,2*(J1410/IF(CH1410&gt;0,CH1410,MAX(0.1,N(Cockpit!$C$6)))-CL1410)),0)</f>
        <v>137</v>
      </c>
      <c r="AN1410" s="63" t="n">
        <f aca="false">IF(AJ1410&gt;0,J1410/AJ1410,-1)</f>
        <v>23.8775510204082</v>
      </c>
      <c r="AO1410" s="63" t="n">
        <f aca="false">IF(AND(OR(CG1410="L1",CG1410="L23",CG1410="LIFT"),AJ1410&gt;0),SUMIFS($AJ$7:$AJ$1843,$CG$7:$CG$1843,CG1410,$AN$7:$AN$1843,"&gt;"&amp;AN1410)+SUMIFS($AJ$7:$AJ$1843,$CG$7:$CG$1843,CG1410,$AN$7:$AN$1843,AN1410,$BX$7:$BX$1843,"&lt;="&amp;BX1410),"")</f>
        <v>1559.50228937729</v>
      </c>
      <c r="AP1410" s="70" t="n">
        <f aca="false">IF(AO1410="",0,MAX(0,MIN(1,(IF(CG1410="L1",Parameter!$H$5,IF(CG1410="L23",Parameter!$H$6+Parameter!$H$7,Parameter!$H$5+Parameter!$H$6+Parameter!$H$7))-(AO1410-AJ1410))/AJ1410)))</f>
        <v>1</v>
      </c>
      <c r="AQ1410" s="62" t="n">
        <f aca="false">IF(LEFT(Cockpit!$I$5,1)="A",H1410,IF(Parameter!$E$30="MAX-Bestand",IF(CI1410=1,CJ1410,IF(LEFT(Cockpit!$I$5,1)="B",AW1410,MAX(AW1410,H1410))),ROUNDUP(AU1410,0)))</f>
        <v>75</v>
      </c>
      <c r="AR1410" s="62" t="n">
        <f aca="false">IF(CA1410=1,0,ROUNDUP(AQ1410/BZ1410,0))</f>
        <v>1</v>
      </c>
      <c r="AS1410" s="64" t="n">
        <f aca="false">IF(CR1410&gt;0,CR1410*MAX(1,AQ1410/X1410),IF(CA1410=1,IF(AQ1410&lt;=0,0,CE1410*MAX(1,IF(H1410&gt;0,AQ1410/H1410,1))),IF(R1410&gt;0,AR1410/R1410,0))/MAX(0.1,N(Parameter!$M$21)))</f>
        <v>0.0384615384615385</v>
      </c>
      <c r="AT1410" s="62" t="n">
        <f aca="false">AS1410*CC1410</f>
        <v>9.42307692307692</v>
      </c>
      <c r="AU1410" s="63" t="n">
        <f aca="false">IF(LEFT(Cockpit!$I$5,1)="A",H1410,IF(CI1410=1,(CL1410+CJ1410)/2,IF(LEFT(Cockpit!$I$5,1)="B",(CL1410+AW1410)/2,MAX((CL1410+AW1410)/2,H1410))))</f>
        <v>75</v>
      </c>
      <c r="AV1410" s="62" t="n">
        <f aca="false">AU1410*G1410</f>
        <v>18675</v>
      </c>
      <c r="AW1410" s="62" t="n">
        <f aca="false">ROUNDUP(CL1410+MAX(CM1410,2*(J1410/IF(CH1410&gt;0,CH1410,MAX(0.1,N(Cockpit!$I$6)))-CL1410)),0)</f>
        <v>137</v>
      </c>
      <c r="AX1410" s="63" t="n">
        <f aca="false">IF(AT1410&gt;0,J1410/AT1410,-1)</f>
        <v>23.8775510204082</v>
      </c>
      <c r="AY1410" s="63" t="n">
        <f aca="false">IF(AND(OR(CG1410="L1",CG1410="L23",CG1410="LIFT"),AT1410&gt;0),SUMIFS($AT$7:$AT$1843,$CG$7:$CG$1843,CG1410,$AX$7:$AX$1843,"&gt;"&amp;AX1410)+SUMIFS($AT$7:$AT$1843,$CG$7:$CG$1843,CG1410,$AX$7:$AX$1843,AX1410,$BX$7:$BX$1843,"&lt;="&amp;BX1410),"")</f>
        <v>2185.34111721612</v>
      </c>
      <c r="AZ1410" s="70" t="n">
        <f aca="false">IF(AY1410="",0,MAX(0,MIN(1,(IF(CG1410="L1",Parameter!$H$5,IF(CG1410="L23",Parameter!$H$6+Parameter!$H$7,Parameter!$H$5+Parameter!$H$6+Parameter!$H$7))-(AY1410-AT1410))/AT1410)))</f>
        <v>1</v>
      </c>
      <c r="BA1410" s="62" t="n">
        <f aca="false">IF(LEFT(Cockpit!$O$5,1)="A",H1410,IF(Parameter!$E$30="MAX-Bestand",IF(CI1410=1,CJ1410,IF(LEFT(Cockpit!$O$5,1)="B",BG1410,MAX(BG1410,H1410))),ROUNDUP(BE1410,0)))</f>
        <v>57</v>
      </c>
      <c r="BB1410" s="62" t="n">
        <f aca="false">IF(CA1410=1,0,ROUNDUP(BA1410/BZ1410,0))</f>
        <v>1</v>
      </c>
      <c r="BC1410" s="64" t="n">
        <f aca="false">IF(CR1410&gt;0,CR1410*MAX(1,BA1410/X1410),IF(CA1410=1,IF(BA1410&lt;=0,0,CE1410*MAX(1,IF(H1410&gt;0,BA1410/H1410,1))),IF(R1410&gt;0,BB1410/R1410,0))/MAX(0.1,N(Parameter!$M$21)))</f>
        <v>0.0384615384615385</v>
      </c>
      <c r="BD1410" s="62" t="n">
        <f aca="false">BC1410*CC1410</f>
        <v>9.42307692307692</v>
      </c>
      <c r="BE1410" s="63" t="n">
        <f aca="false">IF(LEFT(Cockpit!$O$5,1)="A",H1410,IF(CI1410=1,(CL1410+CJ1410)/2,IF(LEFT(Cockpit!$O$5,1)="B",(CL1410+BG1410)/2,MAX((CL1410+BG1410)/2,H1410))))</f>
        <v>56.5</v>
      </c>
      <c r="BF1410" s="62" t="n">
        <f aca="false">BE1410*G1410</f>
        <v>14068.5</v>
      </c>
      <c r="BG1410" s="62" t="n">
        <f aca="false">ROUNDUP(CL1410+MAX(CM1410,2*(J1410/IF(CH1410&gt;0,CH1410,MAX(0.1,N(Cockpit!$O$6)))-CL1410)),0)</f>
        <v>100</v>
      </c>
      <c r="BH1410" s="63" t="n">
        <f aca="false">IF(BD1410&gt;0,J1410/BD1410,-1)</f>
        <v>23.8775510204082</v>
      </c>
      <c r="BI1410" s="63" t="n">
        <f aca="false">IF(AND(OR(CG1410="L1",CG1410="L23",CG1410="LIFT"),BD1410&gt;0),SUMIFS($BD$7:$BD$1843,$CG$7:$CG$1843,CG1410,$BH$7:$BH$1843,"&gt;"&amp;BH1410)+SUMIFS($BD$7:$BD$1843,$CG$7:$CG$1843,CG1410,$BH$7:$BH$1843,BH1410,$BX$7:$BX$1843,"&lt;="&amp;BX1410),"")</f>
        <v>2103.2967032967</v>
      </c>
      <c r="BJ1410" s="70" t="n">
        <f aca="false">IF(BI1410="",0,MAX(0,MIN(1,(IF(CG1410="L1",Parameter!$H$5,IF(CG1410="L23",Parameter!$H$6+Parameter!$H$7,Parameter!$H$5+Parameter!$H$6+Parameter!$H$7))-(BI1410-BD1410))/BD1410)))</f>
        <v>1</v>
      </c>
      <c r="BK1410" s="60" t="str">
        <f aca="false">IF(AJ1410&lt;=0,"",IF(CG1410="Aussen","Aussenlager",IF(CG1410="-","Nicht im Lift",IF(AP1410&gt;=1,"Lift",IF(AP1410&lt;=0,"Aussenlager","teilweise")))))</f>
        <v>Lift</v>
      </c>
      <c r="BL1410" s="60" t="str">
        <f aca="false">IF(AT1410&lt;=0,"",IF(CG1410="Aussen","Aussenlager",IF(CG1410="-","Nicht im Lift",IF(AZ1410&gt;=1,"Lift",IF(AZ1410&lt;=0,"Aussenlager","teilweise")))))</f>
        <v>Lift</v>
      </c>
      <c r="BM1410" s="60" t="str">
        <f aca="false">IF(BD1410&lt;=0,"",IF(CG1410="Aussen","Aussenlager",IF(CG1410="-","Nicht im Lift",IF(BJ1410&gt;=1,"Lift",IF(BJ1410&lt;=0,"Aussenlager","teilweise")))))</f>
        <v>Lift</v>
      </c>
      <c r="BN1410" s="60" t="str">
        <f aca="false">IF(A1410="","",IF(BW1410=1,"Neu; ","")&amp;IF(AND(BW1410=0,BR1410&lt;0),"negativer Bestand (Export "&amp;BR1410&amp;"); ","")&amp;IF(J1410&lt;=0,"Kein Verbrauch; ","")&amp;IF(CR1410&gt;0,"Lift "&amp;W1410&amp;" lt. Liftbericht (Fach "&amp;X1410&amp;" Stk); ",IF(CB1410=1,"Gebinde geschätzt ("&amp;T1410&amp;"); ",IF(CA1410=1,"Lose – Tablare geschätzt; ","")))&amp;IF(H1410&gt;AW1410,"Überbestand "&amp;ROUND(H1410-AW1410,0)&amp;" Stk / CHF "&amp;ROUND((H1410-AW1410)*G1410,0)&amp;"; ","")&amp;IF(AND(CI1410=1,CJ1410&lt;CK1410),"MAX &lt; MB+LG; ","")&amp;IF(AND(CQ1410&gt;0,CP1410*10&gt;CQ1410),"zu hoch für Tablar; ","")&amp;IF(AND(BW1410=0,OR(CI1410=1,AB1410&lt;&gt;"",U1410&lt;&gt;"",V1410&lt;&gt;"",AC1410&lt;&gt;"")),"manuell übersteuert; ","")&amp;IF(AND(CA1410=0,R1410=0),"Gebinde unbekannt / Stellmass fehlt; ","")&amp;IF(AND(CA1410=0,N(V1410)&lt;=0,N(Q1410)&lt;=0),"Menge pro Gebinde fehlt (Ist = 1 Gebinde); ","")&amp;BV1410)</f>
        <v>negativer Bestand (Export -22); </v>
      </c>
      <c r="BO1410" s="60"/>
      <c r="BP1410" s="60"/>
      <c r="BQ1410" s="67"/>
      <c r="BR1410" s="62" t="n">
        <v>-22</v>
      </c>
      <c r="BS1410" s="62" t="n">
        <v>43</v>
      </c>
      <c r="BT1410" s="61" t="n">
        <v>-4958.52999999999</v>
      </c>
      <c r="BU1410" s="62" t="n">
        <v>225</v>
      </c>
      <c r="BV1410" s="60"/>
      <c r="BW1410" s="65" t="n">
        <v>0</v>
      </c>
      <c r="BX1410" s="65" t="n">
        <v>1410</v>
      </c>
      <c r="BY1410" s="60" t="str">
        <f aca="false">IF(U1410&lt;&gt;"",UPPER(TRIM(U1410)),IF(CB1410=1,UPPER(VLOOKUP(T1410,Parameter!$I$27:$K$29,2,0)),IF(P1410="","LOSE",P1410)))</f>
        <v>S52</v>
      </c>
      <c r="BZ1410" s="62" t="n">
        <f aca="false">IF(BY1410="LOSE",1,IF(N(V1410)&gt;0,V1410,IF(CB1410=1,MAX(1,N(VLOOKUP(T1410,Parameter!$I$27:$K$29,3,0)),H1410,N(N1410)),IF(N(Q1410)&gt;0,Q1410,MAX(1,H1410)))))</f>
        <v>88</v>
      </c>
      <c r="CA1410" s="65" t="n">
        <f aca="false">IF(BY1410="LOSE",1,0)</f>
        <v>0</v>
      </c>
      <c r="CB1410" s="65" t="n">
        <f aca="false">IF(AND(U1410="",OR(P1410="",P1410="LOSE"),T1410&lt;&gt;"",N(S1410)&lt;=0,ISNUMBER(MATCH(T1410,Parameter!$I$27:$I$29,0))),1,0)</f>
        <v>0</v>
      </c>
      <c r="CC1410" s="65" t="n">
        <f aca="false">IF(CR1410&gt;0,INDEX(Parameter!$H$5:$H$7,W1410)/INDEX(Parameter!$E$5:$E$7,W1410),IF(AND(CA1410=0,N(IFERROR(VLOOKUP(BY1410,'Gebinde-Kategorie'!$A$5:$N$45,14,0),0))&gt;0),VLOOKUP(BY1410,'Gebinde-Kategorie'!$A$5:$N$45,14,0)*10+Parameter!$M$23,Parameter!$M$24))</f>
        <v>245</v>
      </c>
      <c r="CD1410" s="60" t="str">
        <f aca="false">IF(AND(Parameter!$B$19="Ja",E1410&lt;&gt;"",ISNUMBER(MATCH(E1410,Parameter!$I$35:$I$52,0))),VLOOKUP(E1410,Parameter!$I$35:$J$52,2,0),IFERROR(VLOOKUP(D1410,Parameter!$A$35:$C$64,2,0),"Nein"))</f>
        <v>2+3</v>
      </c>
      <c r="CE1410" s="64" t="n">
        <f aca="false">IF(CA1410=0,0,IF(N(S1410)&gt;0,S1410,IFERROR(VLOOKUP(D1410,Parameter!$A$35:$C$64,3,0)+0,0)))</f>
        <v>0</v>
      </c>
      <c r="CF1410" s="60" t="n">
        <f aca="false">IF(AB1410&lt;&gt;"",AB1410,AA1410)</f>
        <v>3</v>
      </c>
      <c r="CG1410" s="60" t="str">
        <f aca="false">IF(OR(CF1410=1,CF1410=2,CF1410=3),IF(Parameter!$E$27="Ja","LIFT",IF(CF1410=1,"L1","L23")),IF(CF1410="Aussen","Aussen","-"))</f>
        <v>LIFT</v>
      </c>
      <c r="CH1410" s="71" t="n">
        <f aca="false">IF(N(AC1410)&gt;0,AC1410,0)</f>
        <v>0</v>
      </c>
      <c r="CI1410" s="65" t="n">
        <f aca="false">IF(ISNUMBER(AF1410),1,0)</f>
        <v>0</v>
      </c>
      <c r="CJ1410" s="62" t="n">
        <f aca="false">N(AF1410)</f>
        <v>0</v>
      </c>
      <c r="CK1410" s="62" t="n">
        <f aca="false">N(M1410)+N(N1410)</f>
        <v>38</v>
      </c>
      <c r="CL1410" s="62" t="n">
        <f aca="false">N(M1410)</f>
        <v>13</v>
      </c>
      <c r="CM1410" s="62" t="n">
        <f aca="false">N(N1410)</f>
        <v>25</v>
      </c>
      <c r="CN1410" s="62" t="n">
        <f aca="false">ROUNDUP(H1410/BZ1410,0)</f>
        <v>1</v>
      </c>
      <c r="CO1410" s="62" t="n">
        <f aca="false">ROUNDUP(CJ1410/BZ1410,0)</f>
        <v>0</v>
      </c>
      <c r="CP1410" s="65" t="n">
        <f aca="false">IF(CA1410=1,0,IFERROR(VLOOKUP(BY1410,'Gebinde-Kategorie'!$A$5:$N$45,5,0)+0,0))</f>
        <v>21</v>
      </c>
      <c r="CQ1410" s="65" t="n">
        <f aca="false">IFERROR(IF(OR(CF1410=1,CF1410=2,CF1410=3),N(INDEX(Parameter!$I$5:$I$7,CF1410)),0),0)</f>
        <v>0</v>
      </c>
      <c r="CR1410" s="64" t="n">
        <f aca="false">IF(AND(Parameter!$B$21="Ja",ISNUMBER(W1410),N(X1410)&gt;0),IFERROR(N(INDEX(Parameter!$L$5:$L$7,W1410))*INDEX(Parameter!$E$5:$E$7,W1410)*X1410/SUMIFS($X$7:$X$1843,$W$7:$W$1843,W1410),0),0)</f>
        <v>0</v>
      </c>
      <c r="CS1410" s="62" t="n">
        <f aca="false">IF(AND(OR(CG1410="L1",CG1410="L23",CG1410="LIFT"),H1410&gt;0),CC1410*IF(CR1410&gt;0,CR1410*MAX(1,H1410/X1410),IF(CA1410=1,CE1410,IF(R1410&gt;0,CN1410/R1410,0))/MAX(0.1,N(Parameter!$M$21))),"")</f>
        <v>9.42307692307692</v>
      </c>
      <c r="CT1410" s="64" t="n">
        <f aca="false">IF(CS1410="","",J1410/H1410)</f>
        <v>10.7142857142857</v>
      </c>
      <c r="CU1410" s="62" t="n">
        <f aca="false">IF(CS1410="","",H1410*G1410)</f>
        <v>5229</v>
      </c>
      <c r="CV1410" s="63" t="n">
        <f aca="false">IF(CS1410="","",(CL1410+ROUNDUP(CL1410+MAX(CM1410,2*(J1410/MAX(0.1,N(Einkauf!$C$6))-CL1410)),0))/2)</f>
        <v>56.5</v>
      </c>
      <c r="CW1410" s="62" t="n">
        <f aca="false">IF(CS1410="","",MAX(0,H1410-CV1410)*G1410)</f>
        <v>0</v>
      </c>
      <c r="CX1410" s="62" t="n">
        <f aca="false">IF(CS1410="","",CS1410*MAX(0,1-CV1410/H1410))</f>
        <v>0</v>
      </c>
      <c r="CY1410" s="64" t="n">
        <f aca="false">IF(CS1410="","",PERCENTRANK($CS$7:$CS$1843,CS1410)+PERCENTRANK($CU$7:$CU$1843,CU1410)+1-PERCENTRANK($CT$7:$CT$1843,CT1410))</f>
        <v>1.494</v>
      </c>
      <c r="CZ1410" s="72" t="n">
        <f aca="false">IF(CS1410="","",CHOOSE(MATCH(Einkauf!$C$5,Parameter!$G$23:$G$27,0),CY1410,CS1410,CU1410,-CT1410,CW1410)+ROW()/1000000000)</f>
        <v>1.49400141</v>
      </c>
    </row>
    <row r="1411" customFormat="false" ht="15" hidden="false" customHeight="false" outlineLevel="0" collapsed="false">
      <c r="A1411" s="60" t="s">
        <v>2519</v>
      </c>
      <c r="B1411" s="60" t="s">
        <v>2520</v>
      </c>
      <c r="C1411" s="60" t="s">
        <v>206</v>
      </c>
      <c r="D1411" s="60" t="s">
        <v>215</v>
      </c>
      <c r="E1411" s="60" t="s">
        <v>208</v>
      </c>
      <c r="F1411" s="60" t="s">
        <v>260</v>
      </c>
      <c r="G1411" s="61" t="n">
        <v>136.16</v>
      </c>
      <c r="H1411" s="62" t="n">
        <f aca="false">MAX(0,IF(AND(Parameter!$B$21="Ja",ISNUMBER(Y1411)),Y1411,IF(Parameter!$B$20="Jahresanfang 2025 + Export",BS1411+BR1411,BR1411)))</f>
        <v>27</v>
      </c>
      <c r="I1411" s="62" t="n">
        <f aca="false">H1411*G1411</f>
        <v>3676.32</v>
      </c>
      <c r="J1411" s="62" t="n">
        <f aca="false">BU1411*Parameter!$B$18</f>
        <v>88</v>
      </c>
      <c r="K1411" s="63" t="n">
        <v>41.5</v>
      </c>
      <c r="L1411" s="64" t="n">
        <v>2.12048192771084</v>
      </c>
      <c r="M1411" s="62" t="n">
        <v>20</v>
      </c>
      <c r="N1411" s="62" t="n">
        <v>30</v>
      </c>
      <c r="O1411" s="65" t="n">
        <v>70</v>
      </c>
      <c r="P1411" s="60" t="s">
        <v>216</v>
      </c>
      <c r="Q1411" s="62" t="n">
        <v>80</v>
      </c>
      <c r="R1411" s="65" t="n">
        <f aca="false">IF(CA1411=1,0,IFERROR(VLOOKUP(BY1411,'Gebinde-Kategorie'!$A$5:$N$45,13,0)+0,0))</f>
        <v>6</v>
      </c>
      <c r="S1411" s="66"/>
      <c r="T1411" s="67"/>
      <c r="U1411" s="67"/>
      <c r="V1411" s="67"/>
      <c r="W1411" s="60"/>
      <c r="X1411" s="62"/>
      <c r="Y1411" s="62"/>
      <c r="Z1411" s="60" t="n">
        <v>2</v>
      </c>
      <c r="AA1411" s="60" t="n">
        <f aca="false">IF(A1411="","",IF(AND(Parameter!$B$21="Ja",ISNUMBER(W1411)),W1411,IF(AND(Parameter!$E$27="Ja",ISNUMBER(Z1411),CD1411&lt;&gt;"Nein"),Z1411,IF(CD1411="2+3",IF(ISNUMBER(SEARCH("grosser Artikel",BV1411)),2,IFERROR(VLOOKUP(BY1411,Parameter!$F$35:$G$64,2,0),2)),IF(OR(CD1411="Nein",CD1411=""),"-",CD1411)))))</f>
        <v>2</v>
      </c>
      <c r="AB1411" s="67"/>
      <c r="AC1411" s="68"/>
      <c r="AD1411" s="62" t="n">
        <f aca="false">AW1411</f>
        <v>50</v>
      </c>
      <c r="AE1411" s="62" t="n">
        <f aca="false">MAX(AW1411,H1411)</f>
        <v>50</v>
      </c>
      <c r="AF1411" s="69"/>
      <c r="AG1411" s="62" t="n">
        <f aca="false">IF(LEFT(Cockpit!$C$5,1)="A",H1411,IF(Parameter!$E$30="MAX-Bestand",IF(CI1411=1,CJ1411,IF(LEFT(Cockpit!$C$5,1)="B",AM1411,MAX(AM1411,H1411))),ROUNDUP(AK1411,0)))</f>
        <v>27</v>
      </c>
      <c r="AH1411" s="62" t="n">
        <f aca="false">IF(CA1411=1,0,ROUNDUP(AG1411/BZ1411,0))</f>
        <v>1</v>
      </c>
      <c r="AI1411" s="64" t="n">
        <f aca="false">IF(CR1411&gt;0,CR1411*MAX(1,AG1411/X1411),IF(CA1411=1,IF(AG1411&lt;=0,0,CE1411*MAX(1,IF(H1411&gt;0,AG1411/H1411,1))),IF(R1411&gt;0,AH1411/R1411,0))/MAX(0.1,N(Parameter!$M$21)))</f>
        <v>0.166666666666667</v>
      </c>
      <c r="AJ1411" s="62" t="n">
        <f aca="false">AI1411*CC1411</f>
        <v>39.1666666666667</v>
      </c>
      <c r="AK1411" s="63" t="n">
        <f aca="false">IF(LEFT(Cockpit!$C$5,1)="A",H1411,IF(CI1411=1,(CL1411+CJ1411)/2,IF(LEFT(Cockpit!$C$5,1)="B",(CL1411+AM1411)/2,MAX((CL1411+AM1411)/2,H1411))))</f>
        <v>27</v>
      </c>
      <c r="AL1411" s="62" t="n">
        <f aca="false">AK1411*G1411</f>
        <v>3676.32</v>
      </c>
      <c r="AM1411" s="62" t="n">
        <f aca="false">ROUNDUP(CL1411+MAX(CM1411,2*(J1411/IF(CH1411&gt;0,CH1411,MAX(0.1,N(Cockpit!$C$6)))-CL1411)),0)</f>
        <v>50</v>
      </c>
      <c r="AN1411" s="63" t="n">
        <f aca="false">IF(AJ1411&gt;0,J1411/AJ1411,-1)</f>
        <v>2.2468085106383</v>
      </c>
      <c r="AO1411" s="63" t="n">
        <f aca="false">IF(AND(OR(CG1411="L1",CG1411="L23",CG1411="LIFT"),AJ1411&gt;0),SUMIFS($AJ$7:$AJ$1843,$CG$7:$CG$1843,CG1411,$AN$7:$AN$1843,"&gt;"&amp;AN1411)+SUMIFS($AJ$7:$AJ$1843,$CG$7:$CG$1843,CG1411,$AN$7:$AN$1843,AN1411,$BX$7:$BX$1843,"&lt;="&amp;BX1411),"")</f>
        <v>5682.30815018315</v>
      </c>
      <c r="AP1411" s="70" t="n">
        <f aca="false">IF(AO1411="",0,MAX(0,MIN(1,(IF(CG1411="L1",Parameter!$H$5,IF(CG1411="L23",Parameter!$H$6+Parameter!$H$7,Parameter!$H$5+Parameter!$H$6+Parameter!$H$7))-(AO1411-AJ1411))/AJ1411)))</f>
        <v>1</v>
      </c>
      <c r="AQ1411" s="62" t="n">
        <f aca="false">IF(LEFT(Cockpit!$I$5,1)="A",H1411,IF(Parameter!$E$30="MAX-Bestand",IF(CI1411=1,CJ1411,IF(LEFT(Cockpit!$I$5,1)="B",AW1411,MAX(AW1411,H1411))),ROUNDUP(AU1411,0)))</f>
        <v>35</v>
      </c>
      <c r="AR1411" s="62" t="n">
        <f aca="false">IF(CA1411=1,0,ROUNDUP(AQ1411/BZ1411,0))</f>
        <v>1</v>
      </c>
      <c r="AS1411" s="64" t="n">
        <f aca="false">IF(CR1411&gt;0,CR1411*MAX(1,AQ1411/X1411),IF(CA1411=1,IF(AQ1411&lt;=0,0,CE1411*MAX(1,IF(H1411&gt;0,AQ1411/H1411,1))),IF(R1411&gt;0,AR1411/R1411,0))/MAX(0.1,N(Parameter!$M$21)))</f>
        <v>0.166666666666667</v>
      </c>
      <c r="AT1411" s="62" t="n">
        <f aca="false">AS1411*CC1411</f>
        <v>39.1666666666667</v>
      </c>
      <c r="AU1411" s="63" t="n">
        <f aca="false">IF(LEFT(Cockpit!$I$5,1)="A",H1411,IF(CI1411=1,(CL1411+CJ1411)/2,IF(LEFT(Cockpit!$I$5,1)="B",(CL1411+AW1411)/2,MAX((CL1411+AW1411)/2,H1411))))</f>
        <v>35</v>
      </c>
      <c r="AV1411" s="62" t="n">
        <f aca="false">AU1411*G1411</f>
        <v>4765.6</v>
      </c>
      <c r="AW1411" s="62" t="n">
        <f aca="false">ROUNDUP(CL1411+MAX(CM1411,2*(J1411/IF(CH1411&gt;0,CH1411,MAX(0.1,N(Cockpit!$I$6)))-CL1411)),0)</f>
        <v>50</v>
      </c>
      <c r="AX1411" s="63" t="n">
        <f aca="false">IF(AT1411&gt;0,J1411/AT1411,-1)</f>
        <v>2.2468085106383</v>
      </c>
      <c r="AY1411" s="63" t="n">
        <f aca="false">IF(AND(OR(CG1411="L1",CG1411="L23",CG1411="LIFT"),AT1411&gt;0),SUMIFS($AT$7:$AT$1843,$CG$7:$CG$1843,CG1411,$AX$7:$AX$1843,"&gt;"&amp;AX1411)+SUMIFS($AT$7:$AT$1843,$CG$7:$CG$1843,CG1411,$AX$7:$AX$1843,AX1411,$BX$7:$BX$1843,"&lt;="&amp;BX1411),"")</f>
        <v>6528.86950549451</v>
      </c>
      <c r="AZ1411" s="70" t="n">
        <f aca="false">IF(AY1411="",0,MAX(0,MIN(1,(IF(CG1411="L1",Parameter!$H$5,IF(CG1411="L23",Parameter!$H$6+Parameter!$H$7,Parameter!$H$5+Parameter!$H$6+Parameter!$H$7))-(AY1411-AT1411))/AT1411)))</f>
        <v>1</v>
      </c>
      <c r="BA1411" s="62" t="n">
        <f aca="false">IF(LEFT(Cockpit!$O$5,1)="A",H1411,IF(Parameter!$E$30="MAX-Bestand",IF(CI1411=1,CJ1411,IF(LEFT(Cockpit!$O$5,1)="B",BG1411,MAX(BG1411,H1411))),ROUNDUP(BE1411,0)))</f>
        <v>35</v>
      </c>
      <c r="BB1411" s="62" t="n">
        <f aca="false">IF(CA1411=1,0,ROUNDUP(BA1411/BZ1411,0))</f>
        <v>1</v>
      </c>
      <c r="BC1411" s="64" t="n">
        <f aca="false">IF(CR1411&gt;0,CR1411*MAX(1,BA1411/X1411),IF(CA1411=1,IF(BA1411&lt;=0,0,CE1411*MAX(1,IF(H1411&gt;0,BA1411/H1411,1))),IF(R1411&gt;0,BB1411/R1411,0))/MAX(0.1,N(Parameter!$M$21)))</f>
        <v>0.166666666666667</v>
      </c>
      <c r="BD1411" s="62" t="n">
        <f aca="false">BC1411*CC1411</f>
        <v>39.1666666666667</v>
      </c>
      <c r="BE1411" s="63" t="n">
        <f aca="false">IF(LEFT(Cockpit!$O$5,1)="A",H1411,IF(CI1411=1,(CL1411+CJ1411)/2,IF(LEFT(Cockpit!$O$5,1)="B",(CL1411+BG1411)/2,MAX((CL1411+BG1411)/2,H1411))))</f>
        <v>35</v>
      </c>
      <c r="BF1411" s="62" t="n">
        <f aca="false">BE1411*G1411</f>
        <v>4765.6</v>
      </c>
      <c r="BG1411" s="62" t="n">
        <f aca="false">ROUNDUP(CL1411+MAX(CM1411,2*(J1411/IF(CH1411&gt;0,CH1411,MAX(0.1,N(Cockpit!$O$6)))-CL1411)),0)</f>
        <v>50</v>
      </c>
      <c r="BH1411" s="63" t="n">
        <f aca="false">IF(BD1411&gt;0,J1411/BD1411,-1)</f>
        <v>2.2468085106383</v>
      </c>
      <c r="BI1411" s="63" t="n">
        <f aca="false">IF(AND(OR(CG1411="L1",CG1411="L23",CG1411="LIFT"),BD1411&gt;0),SUMIFS($BD$7:$BD$1843,$CG$7:$CG$1843,CG1411,$BH$7:$BH$1843,"&gt;"&amp;BH1411)+SUMIFS($BD$7:$BD$1843,$CG$7:$CG$1843,CG1411,$BH$7:$BH$1843,BH1411,$BX$7:$BX$1843,"&lt;="&amp;BX1411),"")</f>
        <v>5658.57051282051</v>
      </c>
      <c r="BJ1411" s="70" t="n">
        <f aca="false">IF(BI1411="",0,MAX(0,MIN(1,(IF(CG1411="L1",Parameter!$H$5,IF(CG1411="L23",Parameter!$H$6+Parameter!$H$7,Parameter!$H$5+Parameter!$H$6+Parameter!$H$7))-(BI1411-BD1411))/BD1411)))</f>
        <v>1</v>
      </c>
      <c r="BK1411" s="60" t="str">
        <f aca="false">IF(AJ1411&lt;=0,"",IF(CG1411="Aussen","Aussenlager",IF(CG1411="-","Nicht im Lift",IF(AP1411&gt;=1,"Lift",IF(AP1411&lt;=0,"Aussenlager","teilweise")))))</f>
        <v>Lift</v>
      </c>
      <c r="BL1411" s="60" t="str">
        <f aca="false">IF(AT1411&lt;=0,"",IF(CG1411="Aussen","Aussenlager",IF(CG1411="-","Nicht im Lift",IF(AZ1411&gt;=1,"Lift",IF(AZ1411&lt;=0,"Aussenlager","teilweise")))))</f>
        <v>Lift</v>
      </c>
      <c r="BM1411" s="60" t="str">
        <f aca="false">IF(BD1411&lt;=0,"",IF(CG1411="Aussen","Aussenlager",IF(CG1411="-","Nicht im Lift",IF(BJ1411&gt;=1,"Lift",IF(BJ1411&lt;=0,"Aussenlager","teilweise")))))</f>
        <v>Lift</v>
      </c>
      <c r="BN1411" s="60" t="str">
        <f aca="false">IF(A1411="","",IF(BW1411=1,"Neu; ","")&amp;IF(AND(BW1411=0,BR1411&lt;0),"negativer Bestand (Export "&amp;BR1411&amp;"); ","")&amp;IF(J1411&lt;=0,"Kein Verbrauch; ","")&amp;IF(CR1411&gt;0,"Lift "&amp;W1411&amp;" lt. Liftbericht (Fach "&amp;X1411&amp;" Stk); ",IF(CB1411=1,"Gebinde geschätzt ("&amp;T1411&amp;"); ",IF(CA1411=1,"Lose – Tablare geschätzt; ","")))&amp;IF(H1411&gt;AW1411,"Überbestand "&amp;ROUND(H1411-AW1411,0)&amp;" Stk / CHF "&amp;ROUND((H1411-AW1411)*G1411,0)&amp;"; ","")&amp;IF(AND(CI1411=1,CJ1411&lt;CK1411),"MAX &lt; MB+LG; ","")&amp;IF(AND(CQ1411&gt;0,CP1411*10&gt;CQ1411),"zu hoch für Tablar; ","")&amp;IF(AND(BW1411=0,OR(CI1411=1,AB1411&lt;&gt;"",U1411&lt;&gt;"",V1411&lt;&gt;"",AC1411&lt;&gt;"")),"manuell übersteuert; ","")&amp;IF(AND(CA1411=0,R1411=0),"Gebinde unbekannt / Stellmass fehlt; ","")&amp;IF(AND(CA1411=0,N(V1411)&lt;=0,N(Q1411)&lt;=0),"Menge pro Gebinde fehlt (Ist = 1 Gebinde); ","")&amp;BV1411)</f>
        <v>negativer Bestand (Export -33); </v>
      </c>
      <c r="BO1411" s="60"/>
      <c r="BP1411" s="60"/>
      <c r="BQ1411" s="67"/>
      <c r="BR1411" s="62" t="n">
        <v>-33</v>
      </c>
      <c r="BS1411" s="62" t="n">
        <v>60</v>
      </c>
      <c r="BT1411" s="61" t="n">
        <v>-5029.08</v>
      </c>
      <c r="BU1411" s="62" t="n">
        <v>88</v>
      </c>
      <c r="BV1411" s="60"/>
      <c r="BW1411" s="65" t="n">
        <v>0</v>
      </c>
      <c r="BX1411" s="65" t="n">
        <v>1411</v>
      </c>
      <c r="BY1411" s="60" t="str">
        <f aca="false">IF(U1411&lt;&gt;"",UPPER(TRIM(U1411)),IF(CB1411=1,UPPER(VLOOKUP(T1411,Parameter!$I$27:$K$29,2,0)),IF(P1411="","LOSE",P1411)))</f>
        <v>S71</v>
      </c>
      <c r="BZ1411" s="62" t="n">
        <f aca="false">IF(BY1411="LOSE",1,IF(N(V1411)&gt;0,V1411,IF(CB1411=1,MAX(1,N(VLOOKUP(T1411,Parameter!$I$27:$K$29,3,0)),H1411,N(N1411)),IF(N(Q1411)&gt;0,Q1411,MAX(1,H1411)))))</f>
        <v>80</v>
      </c>
      <c r="CA1411" s="65" t="n">
        <f aca="false">IF(BY1411="LOSE",1,0)</f>
        <v>0</v>
      </c>
      <c r="CB1411" s="65" t="n">
        <f aca="false">IF(AND(U1411="",OR(P1411="",P1411="LOSE"),T1411&lt;&gt;"",N(S1411)&lt;=0,ISNUMBER(MATCH(T1411,Parameter!$I$27:$I$29,0))),1,0)</f>
        <v>0</v>
      </c>
      <c r="CC1411" s="65" t="n">
        <f aca="false">IF(CR1411&gt;0,INDEX(Parameter!$H$5:$H$7,W1411)/INDEX(Parameter!$E$5:$E$7,W1411),IF(AND(CA1411=0,N(IFERROR(VLOOKUP(BY1411,'Gebinde-Kategorie'!$A$5:$N$45,14,0),0))&gt;0),VLOOKUP(BY1411,'Gebinde-Kategorie'!$A$5:$N$45,14,0)*10+Parameter!$M$23,Parameter!$M$24))</f>
        <v>235</v>
      </c>
      <c r="CD1411" s="60" t="n">
        <f aca="false">IF(AND(Parameter!$B$19="Ja",E1411&lt;&gt;"",ISNUMBER(MATCH(E1411,Parameter!$I$35:$I$52,0))),VLOOKUP(E1411,Parameter!$I$35:$J$52,2,0),IFERROR(VLOOKUP(D1411,Parameter!$A$35:$C$64,2,0),"Nein"))</f>
        <v>1</v>
      </c>
      <c r="CE1411" s="64" t="n">
        <f aca="false">IF(CA1411=0,0,IF(N(S1411)&gt;0,S1411,IFERROR(VLOOKUP(D1411,Parameter!$A$35:$C$64,3,0)+0,0)))</f>
        <v>0</v>
      </c>
      <c r="CF1411" s="60" t="n">
        <f aca="false">IF(AB1411&lt;&gt;"",AB1411,AA1411)</f>
        <v>2</v>
      </c>
      <c r="CG1411" s="60" t="str">
        <f aca="false">IF(OR(CF1411=1,CF1411=2,CF1411=3),IF(Parameter!$E$27="Ja","LIFT",IF(CF1411=1,"L1","L23")),IF(CF1411="Aussen","Aussen","-"))</f>
        <v>LIFT</v>
      </c>
      <c r="CH1411" s="71" t="n">
        <f aca="false">IF(N(AC1411)&gt;0,AC1411,0)</f>
        <v>0</v>
      </c>
      <c r="CI1411" s="65" t="n">
        <f aca="false">IF(ISNUMBER(AF1411),1,0)</f>
        <v>0</v>
      </c>
      <c r="CJ1411" s="62" t="n">
        <f aca="false">N(AF1411)</f>
        <v>0</v>
      </c>
      <c r="CK1411" s="62" t="n">
        <f aca="false">N(M1411)+N(N1411)</f>
        <v>50</v>
      </c>
      <c r="CL1411" s="62" t="n">
        <f aca="false">N(M1411)</f>
        <v>20</v>
      </c>
      <c r="CM1411" s="62" t="n">
        <f aca="false">N(N1411)</f>
        <v>30</v>
      </c>
      <c r="CN1411" s="62" t="n">
        <f aca="false">ROUNDUP(H1411/BZ1411,0)</f>
        <v>1</v>
      </c>
      <c r="CO1411" s="62" t="n">
        <f aca="false">ROUNDUP(CJ1411/BZ1411,0)</f>
        <v>0</v>
      </c>
      <c r="CP1411" s="65" t="n">
        <f aca="false">IF(CA1411=1,0,IFERROR(VLOOKUP(BY1411,'Gebinde-Kategorie'!$A$5:$N$45,5,0)+0,0))</f>
        <v>20</v>
      </c>
      <c r="CQ1411" s="65" t="n">
        <f aca="false">IFERROR(IF(OR(CF1411=1,CF1411=2,CF1411=3),N(INDEX(Parameter!$I$5:$I$7,CF1411)),0),0)</f>
        <v>0</v>
      </c>
      <c r="CR1411" s="64" t="n">
        <f aca="false">IF(AND(Parameter!$B$21="Ja",ISNUMBER(W1411),N(X1411)&gt;0),IFERROR(N(INDEX(Parameter!$L$5:$L$7,W1411))*INDEX(Parameter!$E$5:$E$7,W1411)*X1411/SUMIFS($X$7:$X$1843,$W$7:$W$1843,W1411),0),0)</f>
        <v>0</v>
      </c>
      <c r="CS1411" s="62" t="n">
        <f aca="false">IF(AND(OR(CG1411="L1",CG1411="L23",CG1411="LIFT"),H1411&gt;0),CC1411*IF(CR1411&gt;0,CR1411*MAX(1,H1411/X1411),IF(CA1411=1,CE1411,IF(R1411&gt;0,CN1411/R1411,0))/MAX(0.1,N(Parameter!$M$21))),"")</f>
        <v>39.1666666666667</v>
      </c>
      <c r="CT1411" s="64" t="n">
        <f aca="false">IF(CS1411="","",J1411/H1411)</f>
        <v>3.25925925925926</v>
      </c>
      <c r="CU1411" s="62" t="n">
        <f aca="false">IF(CS1411="","",H1411*G1411)</f>
        <v>3676.32</v>
      </c>
      <c r="CV1411" s="63" t="n">
        <f aca="false">IF(CS1411="","",(CL1411+ROUNDUP(CL1411+MAX(CM1411,2*(J1411/MAX(0.1,N(Einkauf!$C$6))-CL1411)),0))/2)</f>
        <v>35</v>
      </c>
      <c r="CW1411" s="62" t="n">
        <f aca="false">IF(CS1411="","",MAX(0,H1411-CV1411)*G1411)</f>
        <v>0</v>
      </c>
      <c r="CX1411" s="62" t="n">
        <f aca="false">IF(CS1411="","",CS1411*MAX(0,1-CV1411/H1411))</f>
        <v>0</v>
      </c>
      <c r="CY1411" s="64" t="n">
        <f aca="false">IF(CS1411="","",PERCENTRANK($CS$7:$CS$1843,CS1411)+PERCENTRANK($CU$7:$CU$1843,CU1411)+1-PERCENTRANK($CT$7:$CT$1843,CT1411))</f>
        <v>1.821</v>
      </c>
      <c r="CZ1411" s="72" t="n">
        <f aca="false">IF(CS1411="","",CHOOSE(MATCH(Einkauf!$C$5,Parameter!$G$23:$G$27,0),CY1411,CS1411,CU1411,-CT1411,CW1411)+ROW()/1000000000)</f>
        <v>1.821001411</v>
      </c>
    </row>
    <row r="1412" customFormat="false" ht="15" hidden="false" customHeight="false" outlineLevel="0" collapsed="false">
      <c r="A1412" s="60" t="s">
        <v>2521</v>
      </c>
      <c r="B1412" s="60" t="s">
        <v>2522</v>
      </c>
      <c r="C1412" s="60" t="s">
        <v>206</v>
      </c>
      <c r="D1412" s="60" t="s">
        <v>395</v>
      </c>
      <c r="E1412" s="60"/>
      <c r="F1412" s="60" t="s">
        <v>260</v>
      </c>
      <c r="G1412" s="61" t="n">
        <v>5062.98</v>
      </c>
      <c r="H1412" s="62" t="n">
        <f aca="false">MAX(0,IF(AND(Parameter!$B$21="Ja",ISNUMBER(Y1412)),Y1412,IF(Parameter!$B$20="Jahresanfang 2025 + Export",BS1412+BR1412,BR1412)))</f>
        <v>0</v>
      </c>
      <c r="I1412" s="62" t="n">
        <f aca="false">H1412*G1412</f>
        <v>0</v>
      </c>
      <c r="J1412" s="62" t="n">
        <f aca="false">BU1412*Parameter!$B$18</f>
        <v>1</v>
      </c>
      <c r="K1412" s="63" t="n">
        <v>0.5</v>
      </c>
      <c r="L1412" s="64" t="n">
        <v>2</v>
      </c>
      <c r="M1412" s="62" t="n">
        <v>0</v>
      </c>
      <c r="N1412" s="62" t="n">
        <v>1</v>
      </c>
      <c r="O1412" s="65" t="n">
        <v>0</v>
      </c>
      <c r="P1412" s="60" t="s">
        <v>210</v>
      </c>
      <c r="Q1412" s="62"/>
      <c r="R1412" s="65" t="n">
        <f aca="false">IF(CA1412=1,0,IFERROR(VLOOKUP(BY1412,'Gebinde-Kategorie'!$A$5:$N$45,13,0)+0,0))</f>
        <v>0</v>
      </c>
      <c r="S1412" s="66"/>
      <c r="T1412" s="67"/>
      <c r="U1412" s="67"/>
      <c r="V1412" s="67"/>
      <c r="W1412" s="60"/>
      <c r="X1412" s="62"/>
      <c r="Y1412" s="62"/>
      <c r="Z1412" s="60"/>
      <c r="AA1412" s="60" t="str">
        <f aca="false">IF(A1412="","",IF(AND(Parameter!$B$21="Ja",ISNUMBER(W1412)),W1412,IF(AND(Parameter!$E$27="Ja",ISNUMBER(Z1412),CD1412&lt;&gt;"Nein"),Z1412,IF(CD1412="2+3",IF(ISNUMBER(SEARCH("grosser Artikel",BV1412)),2,IFERROR(VLOOKUP(BY1412,Parameter!$F$35:$G$64,2,0),2)),IF(OR(CD1412="Nein",CD1412=""),"-",CD1412)))))</f>
        <v>-</v>
      </c>
      <c r="AB1412" s="67"/>
      <c r="AC1412" s="68"/>
      <c r="AD1412" s="62" t="n">
        <f aca="false">AW1412</f>
        <v>1</v>
      </c>
      <c r="AE1412" s="62" t="n">
        <f aca="false">MAX(AW1412,H1412)</f>
        <v>1</v>
      </c>
      <c r="AF1412" s="69"/>
      <c r="AG1412" s="62" t="n">
        <f aca="false">IF(LEFT(Cockpit!$C$5,1)="A",H1412,IF(Parameter!$E$30="MAX-Bestand",IF(CI1412=1,CJ1412,IF(LEFT(Cockpit!$C$5,1)="B",AM1412,MAX(AM1412,H1412))),ROUNDUP(AK1412,0)))</f>
        <v>0</v>
      </c>
      <c r="AH1412" s="62" t="n">
        <f aca="false">IF(CA1412=1,0,ROUNDUP(AG1412/BZ1412,0))</f>
        <v>0</v>
      </c>
      <c r="AI1412" s="64" t="n">
        <f aca="false">IF(CR1412&gt;0,CR1412*MAX(1,AG1412/X1412),IF(CA1412=1,IF(AG1412&lt;=0,0,CE1412*MAX(1,IF(H1412&gt;0,AG1412/H1412,1))),IF(R1412&gt;0,AH1412/R1412,0))/MAX(0.1,N(Parameter!$M$21)))</f>
        <v>0</v>
      </c>
      <c r="AJ1412" s="62" t="n">
        <f aca="false">AI1412*CC1412</f>
        <v>0</v>
      </c>
      <c r="AK1412" s="63" t="n">
        <f aca="false">IF(LEFT(Cockpit!$C$5,1)="A",H1412,IF(CI1412=1,(CL1412+CJ1412)/2,IF(LEFT(Cockpit!$C$5,1)="B",(CL1412+AM1412)/2,MAX((CL1412+AM1412)/2,H1412))))</f>
        <v>0</v>
      </c>
      <c r="AL1412" s="62" t="n">
        <f aca="false">AK1412*G1412</f>
        <v>0</v>
      </c>
      <c r="AM1412" s="62" t="n">
        <f aca="false">ROUNDUP(CL1412+MAX(CM1412,2*(J1412/IF(CH1412&gt;0,CH1412,MAX(0.1,N(Cockpit!$C$6)))-CL1412)),0)</f>
        <v>1</v>
      </c>
      <c r="AN1412" s="63" t="n">
        <f aca="false">IF(AJ1412&gt;0,J1412/AJ1412,-1)</f>
        <v>-1</v>
      </c>
      <c r="AO1412" s="63" t="str">
        <f aca="false">IF(AND(OR(CG1412="L1",CG1412="L23",CG1412="LIFT"),AJ1412&gt;0),SUMIFS($AJ$7:$AJ$1843,$CG$7:$CG$1843,CG1412,$AN$7:$AN$1843,"&gt;"&amp;AN1412)+SUMIFS($AJ$7:$AJ$1843,$CG$7:$CG$1843,CG1412,$AN$7:$AN$1843,AN1412,$BX$7:$BX$1843,"&lt;="&amp;BX1412),"")</f>
        <v/>
      </c>
      <c r="AP1412" s="70" t="n">
        <f aca="false">IF(AO1412="",0,MAX(0,MIN(1,(IF(CG1412="L1",Parameter!$H$5,IF(CG1412="L23",Parameter!$H$6+Parameter!$H$7,Parameter!$H$5+Parameter!$H$6+Parameter!$H$7))-(AO1412-AJ1412))/AJ1412)))</f>
        <v>0</v>
      </c>
      <c r="AQ1412" s="62" t="n">
        <f aca="false">IF(LEFT(Cockpit!$I$5,1)="A",H1412,IF(Parameter!$E$30="MAX-Bestand",IF(CI1412=1,CJ1412,IF(LEFT(Cockpit!$I$5,1)="B",AW1412,MAX(AW1412,H1412))),ROUNDUP(AU1412,0)))</f>
        <v>1</v>
      </c>
      <c r="AR1412" s="62" t="n">
        <f aca="false">IF(CA1412=1,0,ROUNDUP(AQ1412/BZ1412,0))</f>
        <v>0</v>
      </c>
      <c r="AS1412" s="64" t="n">
        <f aca="false">IF(CR1412&gt;0,CR1412*MAX(1,AQ1412/X1412),IF(CA1412=1,IF(AQ1412&lt;=0,0,CE1412*MAX(1,IF(H1412&gt;0,AQ1412/H1412,1))),IF(R1412&gt;0,AR1412/R1412,0))/MAX(0.1,N(Parameter!$M$21)))</f>
        <v>0.15</v>
      </c>
      <c r="AT1412" s="62" t="n">
        <f aca="false">AS1412*CC1412</f>
        <v>35.25</v>
      </c>
      <c r="AU1412" s="63" t="n">
        <f aca="false">IF(LEFT(Cockpit!$I$5,1)="A",H1412,IF(CI1412=1,(CL1412+CJ1412)/2,IF(LEFT(Cockpit!$I$5,1)="B",(CL1412+AW1412)/2,MAX((CL1412+AW1412)/2,H1412))))</f>
        <v>0.5</v>
      </c>
      <c r="AV1412" s="62" t="n">
        <f aca="false">AU1412*G1412</f>
        <v>2531.49</v>
      </c>
      <c r="AW1412" s="62" t="n">
        <f aca="false">ROUNDUP(CL1412+MAX(CM1412,2*(J1412/IF(CH1412&gt;0,CH1412,MAX(0.1,N(Cockpit!$I$6)))-CL1412)),0)</f>
        <v>1</v>
      </c>
      <c r="AX1412" s="63" t="n">
        <f aca="false">IF(AT1412&gt;0,J1412/AT1412,-1)</f>
        <v>0.0283687943262411</v>
      </c>
      <c r="AY1412" s="63" t="str">
        <f aca="false">IF(AND(OR(CG1412="L1",CG1412="L23",CG1412="LIFT"),AT1412&gt;0),SUMIFS($AT$7:$AT$1843,$CG$7:$CG$1843,CG1412,$AX$7:$AX$1843,"&gt;"&amp;AX1412)+SUMIFS($AT$7:$AT$1843,$CG$7:$CG$1843,CG1412,$AX$7:$AX$1843,AX1412,$BX$7:$BX$1843,"&lt;="&amp;BX1412),"")</f>
        <v/>
      </c>
      <c r="AZ1412" s="70" t="n">
        <f aca="false">IF(AY1412="",0,MAX(0,MIN(1,(IF(CG1412="L1",Parameter!$H$5,IF(CG1412="L23",Parameter!$H$6+Parameter!$H$7,Parameter!$H$5+Parameter!$H$6+Parameter!$H$7))-(AY1412-AT1412))/AT1412)))</f>
        <v>0</v>
      </c>
      <c r="BA1412" s="62" t="n">
        <f aca="false">IF(LEFT(Cockpit!$O$5,1)="A",H1412,IF(Parameter!$E$30="MAX-Bestand",IF(CI1412=1,CJ1412,IF(LEFT(Cockpit!$O$5,1)="B",BG1412,MAX(BG1412,H1412))),ROUNDUP(BE1412,0)))</f>
        <v>1</v>
      </c>
      <c r="BB1412" s="62" t="n">
        <f aca="false">IF(CA1412=1,0,ROUNDUP(BA1412/BZ1412,0))</f>
        <v>0</v>
      </c>
      <c r="BC1412" s="64" t="n">
        <f aca="false">IF(CR1412&gt;0,CR1412*MAX(1,BA1412/X1412),IF(CA1412=1,IF(BA1412&lt;=0,0,CE1412*MAX(1,IF(H1412&gt;0,BA1412/H1412,1))),IF(R1412&gt;0,BB1412/R1412,0))/MAX(0.1,N(Parameter!$M$21)))</f>
        <v>0.15</v>
      </c>
      <c r="BD1412" s="62" t="n">
        <f aca="false">BC1412*CC1412</f>
        <v>35.25</v>
      </c>
      <c r="BE1412" s="63" t="n">
        <f aca="false">IF(LEFT(Cockpit!$O$5,1)="A",H1412,IF(CI1412=1,(CL1412+CJ1412)/2,IF(LEFT(Cockpit!$O$5,1)="B",(CL1412+BG1412)/2,MAX((CL1412+BG1412)/2,H1412))))</f>
        <v>0.5</v>
      </c>
      <c r="BF1412" s="62" t="n">
        <f aca="false">BE1412*G1412</f>
        <v>2531.49</v>
      </c>
      <c r="BG1412" s="62" t="n">
        <f aca="false">ROUNDUP(CL1412+MAX(CM1412,2*(J1412/IF(CH1412&gt;0,CH1412,MAX(0.1,N(Cockpit!$O$6)))-CL1412)),0)</f>
        <v>1</v>
      </c>
      <c r="BH1412" s="63" t="n">
        <f aca="false">IF(BD1412&gt;0,J1412/BD1412,-1)</f>
        <v>0.0283687943262411</v>
      </c>
      <c r="BI1412" s="63" t="str">
        <f aca="false">IF(AND(OR(CG1412="L1",CG1412="L23",CG1412="LIFT"),BD1412&gt;0),SUMIFS($BD$7:$BD$1843,$CG$7:$CG$1843,CG1412,$BH$7:$BH$1843,"&gt;"&amp;BH1412)+SUMIFS($BD$7:$BD$1843,$CG$7:$CG$1843,CG1412,$BH$7:$BH$1843,BH1412,$BX$7:$BX$1843,"&lt;="&amp;BX1412),"")</f>
        <v/>
      </c>
      <c r="BJ1412" s="70" t="n">
        <f aca="false">IF(BI1412="",0,MAX(0,MIN(1,(IF(CG1412="L1",Parameter!$H$5,IF(CG1412="L23",Parameter!$H$6+Parameter!$H$7,Parameter!$H$5+Parameter!$H$6+Parameter!$H$7))-(BI1412-BD1412))/BD1412)))</f>
        <v>0</v>
      </c>
      <c r="BK1412" s="60" t="str">
        <f aca="false">IF(AJ1412&lt;=0,"",IF(CG1412="Aussen","Aussenlager",IF(CG1412="-","Nicht im Lift",IF(AP1412&gt;=1,"Lift",IF(AP1412&lt;=0,"Aussenlager","teilweise")))))</f>
        <v/>
      </c>
      <c r="BL1412" s="60" t="str">
        <f aca="false">IF(AT1412&lt;=0,"",IF(CG1412="Aussen","Aussenlager",IF(CG1412="-","Nicht im Lift",IF(AZ1412&gt;=1,"Lift",IF(AZ1412&lt;=0,"Aussenlager","teilweise")))))</f>
        <v>Nicht im Lift</v>
      </c>
      <c r="BM1412" s="60" t="str">
        <f aca="false">IF(BD1412&lt;=0,"",IF(CG1412="Aussen","Aussenlager",IF(CG1412="-","Nicht im Lift",IF(BJ1412&gt;=1,"Lift",IF(BJ1412&lt;=0,"Aussenlager","teilweise")))))</f>
        <v>Nicht im Lift</v>
      </c>
      <c r="BN1412" s="60" t="str">
        <f aca="false">IF(A1412="","",IF(BW1412=1,"Neu; ","")&amp;IF(AND(BW1412=0,BR1412&lt;0),"negativer Bestand (Export "&amp;BR1412&amp;"); ","")&amp;IF(J1412&lt;=0,"Kein Verbrauch; ","")&amp;IF(CR1412&gt;0,"Lift "&amp;W1412&amp;" lt. Liftbericht (Fach "&amp;X1412&amp;" Stk); ",IF(CB1412=1,"Gebinde geschätzt ("&amp;T1412&amp;"); ",IF(CA1412=1,"Lose – Tablare geschätzt; ","")))&amp;IF(H1412&gt;AW1412,"Überbestand "&amp;ROUND(H1412-AW1412,0)&amp;" Stk / CHF "&amp;ROUND((H1412-AW1412)*G1412,0)&amp;"; ","")&amp;IF(AND(CI1412=1,CJ1412&lt;CK1412),"MAX &lt; MB+LG; ","")&amp;IF(AND(CQ1412&gt;0,CP1412*10&gt;CQ1412),"zu hoch für Tablar; ","")&amp;IF(AND(BW1412=0,OR(CI1412=1,AB1412&lt;&gt;"",U1412&lt;&gt;"",V1412&lt;&gt;"",AC1412&lt;&gt;"")),"manuell übersteuert; ","")&amp;IF(AND(CA1412=0,R1412=0),"Gebinde unbekannt / Stellmass fehlt; ","")&amp;IF(AND(CA1412=0,N(V1412)&lt;=0,N(Q1412)&lt;=0),"Menge pro Gebinde fehlt (Ist = 1 Gebinde); ","")&amp;BV1412)</f>
        <v>negativer Bestand (Export -1); Lose – Tablare geschätzt; </v>
      </c>
      <c r="BO1412" s="60"/>
      <c r="BP1412" s="60"/>
      <c r="BQ1412" s="67"/>
      <c r="BR1412" s="62" t="n">
        <v>-1</v>
      </c>
      <c r="BS1412" s="62" t="n">
        <v>1</v>
      </c>
      <c r="BT1412" s="61" t="n">
        <v>-5062.98</v>
      </c>
      <c r="BU1412" s="62" t="n">
        <v>1</v>
      </c>
      <c r="BV1412" s="60"/>
      <c r="BW1412" s="65" t="n">
        <v>0</v>
      </c>
      <c r="BX1412" s="65" t="n">
        <v>1412</v>
      </c>
      <c r="BY1412" s="60" t="str">
        <f aca="false">IF(U1412&lt;&gt;"",UPPER(TRIM(U1412)),IF(CB1412=1,UPPER(VLOOKUP(T1412,Parameter!$I$27:$K$29,2,0)),IF(P1412="","LOSE",P1412)))</f>
        <v>LOSE</v>
      </c>
      <c r="BZ1412" s="62" t="n">
        <f aca="false">IF(BY1412="LOSE",1,IF(N(V1412)&gt;0,V1412,IF(CB1412=1,MAX(1,N(VLOOKUP(T1412,Parameter!$I$27:$K$29,3,0)),H1412,N(N1412)),IF(N(Q1412)&gt;0,Q1412,MAX(1,H1412)))))</f>
        <v>1</v>
      </c>
      <c r="CA1412" s="65" t="n">
        <f aca="false">IF(BY1412="LOSE",1,0)</f>
        <v>1</v>
      </c>
      <c r="CB1412" s="65" t="n">
        <f aca="false">IF(AND(U1412="",OR(P1412="",P1412="LOSE"),T1412&lt;&gt;"",N(S1412)&lt;=0,ISNUMBER(MATCH(T1412,Parameter!$I$27:$I$29,0))),1,0)</f>
        <v>0</v>
      </c>
      <c r="CC1412" s="65" t="n">
        <f aca="false">IF(CR1412&gt;0,INDEX(Parameter!$H$5:$H$7,W1412)/INDEX(Parameter!$E$5:$E$7,W1412),IF(AND(CA1412=0,N(IFERROR(VLOOKUP(BY1412,'Gebinde-Kategorie'!$A$5:$N$45,14,0),0))&gt;0),VLOOKUP(BY1412,'Gebinde-Kategorie'!$A$5:$N$45,14,0)*10+Parameter!$M$23,Parameter!$M$24))</f>
        <v>235</v>
      </c>
      <c r="CD1412" s="60" t="str">
        <f aca="false">IF(AND(Parameter!$B$19="Ja",E1412&lt;&gt;"",ISNUMBER(MATCH(E1412,Parameter!$I$35:$I$52,0))),VLOOKUP(E1412,Parameter!$I$35:$J$52,2,0),IFERROR(VLOOKUP(D1412,Parameter!$A$35:$C$64,2,0),"Nein"))</f>
        <v>Nein</v>
      </c>
      <c r="CE1412" s="64" t="n">
        <f aca="false">IF(CA1412=0,0,IF(N(S1412)&gt;0,S1412,IFERROR(VLOOKUP(D1412,Parameter!$A$35:$C$64,3,0)+0,0)))</f>
        <v>0.15</v>
      </c>
      <c r="CF1412" s="60" t="str">
        <f aca="false">IF(AB1412&lt;&gt;"",AB1412,AA1412)</f>
        <v>-</v>
      </c>
      <c r="CG1412" s="60" t="str">
        <f aca="false">IF(OR(CF1412=1,CF1412=2,CF1412=3),IF(Parameter!$E$27="Ja","LIFT",IF(CF1412=1,"L1","L23")),IF(CF1412="Aussen","Aussen","-"))</f>
        <v>-</v>
      </c>
      <c r="CH1412" s="71" t="n">
        <f aca="false">IF(N(AC1412)&gt;0,AC1412,0)</f>
        <v>0</v>
      </c>
      <c r="CI1412" s="65" t="n">
        <f aca="false">IF(ISNUMBER(AF1412),1,0)</f>
        <v>0</v>
      </c>
      <c r="CJ1412" s="62" t="n">
        <f aca="false">N(AF1412)</f>
        <v>0</v>
      </c>
      <c r="CK1412" s="62" t="n">
        <f aca="false">N(M1412)+N(N1412)</f>
        <v>1</v>
      </c>
      <c r="CL1412" s="62" t="n">
        <f aca="false">N(M1412)</f>
        <v>0</v>
      </c>
      <c r="CM1412" s="62" t="n">
        <f aca="false">N(N1412)</f>
        <v>1</v>
      </c>
      <c r="CN1412" s="62" t="n">
        <f aca="false">ROUNDUP(H1412/BZ1412,0)</f>
        <v>0</v>
      </c>
      <c r="CO1412" s="62" t="n">
        <f aca="false">ROUNDUP(CJ1412/BZ1412,0)</f>
        <v>0</v>
      </c>
      <c r="CP1412" s="65" t="n">
        <f aca="false">IF(CA1412=1,0,IFERROR(VLOOKUP(BY1412,'Gebinde-Kategorie'!$A$5:$N$45,5,0)+0,0))</f>
        <v>0</v>
      </c>
      <c r="CQ1412" s="65" t="n">
        <f aca="false">IFERROR(IF(OR(CF1412=1,CF1412=2,CF1412=3),N(INDEX(Parameter!$I$5:$I$7,CF1412)),0),0)</f>
        <v>0</v>
      </c>
      <c r="CR1412" s="64" t="n">
        <f aca="false">IF(AND(Parameter!$B$21="Ja",ISNUMBER(W1412),N(X1412)&gt;0),IFERROR(N(INDEX(Parameter!$L$5:$L$7,W1412))*INDEX(Parameter!$E$5:$E$7,W1412)*X1412/SUMIFS($X$7:$X$1843,$W$7:$W$1843,W1412),0),0)</f>
        <v>0</v>
      </c>
      <c r="CS1412" s="62" t="str">
        <f aca="false">IF(AND(OR(CG1412="L1",CG1412="L23",CG1412="LIFT"),H1412&gt;0),CC1412*IF(CR1412&gt;0,CR1412*MAX(1,H1412/X1412),IF(CA1412=1,CE1412,IF(R1412&gt;0,CN1412/R1412,0))/MAX(0.1,N(Parameter!$M$21))),"")</f>
        <v/>
      </c>
      <c r="CT1412" s="64" t="str">
        <f aca="false">IF(CS1412="","",J1412/H1412)</f>
        <v/>
      </c>
      <c r="CU1412" s="62" t="str">
        <f aca="false">IF(CS1412="","",H1412*G1412)</f>
        <v/>
      </c>
      <c r="CV1412" s="63" t="str">
        <f aca="false">IF(CS1412="","",(CL1412+ROUNDUP(CL1412+MAX(CM1412,2*(J1412/MAX(0.1,N(Einkauf!$C$6))-CL1412)),0))/2)</f>
        <v/>
      </c>
      <c r="CW1412" s="62" t="str">
        <f aca="false">IF(CS1412="","",MAX(0,H1412-CV1412)*G1412)</f>
        <v/>
      </c>
      <c r="CX1412" s="62" t="str">
        <f aca="false">IF(CS1412="","",CS1412*MAX(0,1-CV1412/H1412))</f>
        <v/>
      </c>
      <c r="CY1412" s="64" t="str">
        <f aca="false">IF(CS1412="","",PERCENTRANK($CS$7:$CS$1843,CS1412)+PERCENTRANK($CU$7:$CU$1843,CU1412)+1-PERCENTRANK($CT$7:$CT$1843,CT1412))</f>
        <v/>
      </c>
      <c r="CZ1412" s="72" t="str">
        <f aca="false">IF(CS1412="","",CHOOSE(MATCH(Einkauf!$C$5,Parameter!$G$23:$G$27,0),CY1412,CS1412,CU1412,-CT1412,CW1412)+ROW()/1000000000)</f>
        <v/>
      </c>
    </row>
    <row r="1413" customFormat="false" ht="15" hidden="false" customHeight="false" outlineLevel="0" collapsed="false">
      <c r="A1413" s="60" t="s">
        <v>2523</v>
      </c>
      <c r="B1413" s="60" t="s">
        <v>2524</v>
      </c>
      <c r="C1413" s="60" t="s">
        <v>206</v>
      </c>
      <c r="D1413" s="60" t="s">
        <v>226</v>
      </c>
      <c r="E1413" s="60" t="s">
        <v>227</v>
      </c>
      <c r="F1413" s="60" t="s">
        <v>260</v>
      </c>
      <c r="G1413" s="61" t="n">
        <v>88.93</v>
      </c>
      <c r="H1413" s="62" t="n">
        <f aca="false">MAX(0,IF(AND(Parameter!$B$21="Ja",ISNUMBER(Y1413)),Y1413,IF(Parameter!$B$20="Jahresanfang 2025 + Export",BS1413+BR1413,BR1413)))</f>
        <v>40</v>
      </c>
      <c r="I1413" s="62" t="n">
        <f aca="false">H1413*G1413</f>
        <v>3557.2</v>
      </c>
      <c r="J1413" s="62" t="n">
        <f aca="false">BU1413*Parameter!$B$18</f>
        <v>129</v>
      </c>
      <c r="K1413" s="63" t="n">
        <v>42.5</v>
      </c>
      <c r="L1413" s="64" t="n">
        <v>3.03529411764706</v>
      </c>
      <c r="M1413" s="62" t="n">
        <v>7</v>
      </c>
      <c r="N1413" s="62" t="n">
        <v>25</v>
      </c>
      <c r="O1413" s="65" t="n">
        <v>21</v>
      </c>
      <c r="P1413" s="60" t="s">
        <v>335</v>
      </c>
      <c r="Q1413" s="62" t="n">
        <v>40</v>
      </c>
      <c r="R1413" s="65" t="n">
        <f aca="false">IF(CA1413=1,0,IFERROR(VLOOKUP(BY1413,'Gebinde-Kategorie'!$A$5:$N$45,13,0)+0,0))</f>
        <v>12</v>
      </c>
      <c r="S1413" s="66"/>
      <c r="T1413" s="67"/>
      <c r="U1413" s="67"/>
      <c r="V1413" s="67"/>
      <c r="W1413" s="60"/>
      <c r="X1413" s="62"/>
      <c r="Y1413" s="62"/>
      <c r="Z1413" s="60" t="n">
        <v>3</v>
      </c>
      <c r="AA1413" s="60" t="n">
        <f aca="false">IF(A1413="","",IF(AND(Parameter!$B$21="Ja",ISNUMBER(W1413)),W1413,IF(AND(Parameter!$E$27="Ja",ISNUMBER(Z1413),CD1413&lt;&gt;"Nein"),Z1413,IF(CD1413="2+3",IF(ISNUMBER(SEARCH("grosser Artikel",BV1413)),2,IFERROR(VLOOKUP(BY1413,Parameter!$F$35:$G$64,2,0),2)),IF(OR(CD1413="Nein",CD1413=""),"-",CD1413)))))</f>
        <v>3</v>
      </c>
      <c r="AB1413" s="67"/>
      <c r="AC1413" s="68"/>
      <c r="AD1413" s="62" t="n">
        <f aca="false">AW1413</f>
        <v>79</v>
      </c>
      <c r="AE1413" s="62" t="n">
        <f aca="false">MAX(AW1413,H1413)</f>
        <v>79</v>
      </c>
      <c r="AF1413" s="69"/>
      <c r="AG1413" s="62" t="n">
        <f aca="false">IF(LEFT(Cockpit!$C$5,1)="A",H1413,IF(Parameter!$E$30="MAX-Bestand",IF(CI1413=1,CJ1413,IF(LEFT(Cockpit!$C$5,1)="B",AM1413,MAX(AM1413,H1413))),ROUNDUP(AK1413,0)))</f>
        <v>40</v>
      </c>
      <c r="AH1413" s="62" t="n">
        <f aca="false">IF(CA1413=1,0,ROUNDUP(AG1413/BZ1413,0))</f>
        <v>1</v>
      </c>
      <c r="AI1413" s="64" t="n">
        <f aca="false">IF(CR1413&gt;0,CR1413*MAX(1,AG1413/X1413),IF(CA1413=1,IF(AG1413&lt;=0,0,CE1413*MAX(1,IF(H1413&gt;0,AG1413/H1413,1))),IF(R1413&gt;0,AH1413/R1413,0))/MAX(0.1,N(Parameter!$M$21)))</f>
        <v>0.0833333333333333</v>
      </c>
      <c r="AJ1413" s="62" t="n">
        <f aca="false">AI1413*CC1413</f>
        <v>20.4166666666667</v>
      </c>
      <c r="AK1413" s="63" t="n">
        <f aca="false">IF(LEFT(Cockpit!$C$5,1)="A",H1413,IF(CI1413=1,(CL1413+CJ1413)/2,IF(LEFT(Cockpit!$C$5,1)="B",(CL1413+AM1413)/2,MAX((CL1413+AM1413)/2,H1413))))</f>
        <v>40</v>
      </c>
      <c r="AL1413" s="62" t="n">
        <f aca="false">AK1413*G1413</f>
        <v>3557.2</v>
      </c>
      <c r="AM1413" s="62" t="n">
        <f aca="false">ROUNDUP(CL1413+MAX(CM1413,2*(J1413/IF(CH1413&gt;0,CH1413,MAX(0.1,N(Cockpit!$C$6)))-CL1413)),0)</f>
        <v>79</v>
      </c>
      <c r="AN1413" s="63" t="n">
        <f aca="false">IF(AJ1413&gt;0,J1413/AJ1413,-1)</f>
        <v>6.31836734693878</v>
      </c>
      <c r="AO1413" s="63" t="n">
        <f aca="false">IF(AND(OR(CG1413="L1",CG1413="L23",CG1413="LIFT"),AJ1413&gt;0),SUMIFS($AJ$7:$AJ$1843,$CG$7:$CG$1843,CG1413,$AN$7:$AN$1843,"&gt;"&amp;AN1413)+SUMIFS($AJ$7:$AJ$1843,$CG$7:$CG$1843,CG1413,$AN$7:$AN$1843,AN1413,$BX$7:$BX$1843,"&lt;="&amp;BX1413),"")</f>
        <v>3472.20558608059</v>
      </c>
      <c r="AP1413" s="70" t="n">
        <f aca="false">IF(AO1413="",0,MAX(0,MIN(1,(IF(CG1413="L1",Parameter!$H$5,IF(CG1413="L23",Parameter!$H$6+Parameter!$H$7,Parameter!$H$5+Parameter!$H$6+Parameter!$H$7))-(AO1413-AJ1413))/AJ1413)))</f>
        <v>1</v>
      </c>
      <c r="AQ1413" s="62" t="n">
        <f aca="false">IF(LEFT(Cockpit!$I$5,1)="A",H1413,IF(Parameter!$E$30="MAX-Bestand",IF(CI1413=1,CJ1413,IF(LEFT(Cockpit!$I$5,1)="B",AW1413,MAX(AW1413,H1413))),ROUNDUP(AU1413,0)))</f>
        <v>43</v>
      </c>
      <c r="AR1413" s="62" t="n">
        <f aca="false">IF(CA1413=1,0,ROUNDUP(AQ1413/BZ1413,0))</f>
        <v>2</v>
      </c>
      <c r="AS1413" s="64" t="n">
        <f aca="false">IF(CR1413&gt;0,CR1413*MAX(1,AQ1413/X1413),IF(CA1413=1,IF(AQ1413&lt;=0,0,CE1413*MAX(1,IF(H1413&gt;0,AQ1413/H1413,1))),IF(R1413&gt;0,AR1413/R1413,0))/MAX(0.1,N(Parameter!$M$21)))</f>
        <v>0.166666666666667</v>
      </c>
      <c r="AT1413" s="62" t="n">
        <f aca="false">AS1413*CC1413</f>
        <v>40.8333333333333</v>
      </c>
      <c r="AU1413" s="63" t="n">
        <f aca="false">IF(LEFT(Cockpit!$I$5,1)="A",H1413,IF(CI1413=1,(CL1413+CJ1413)/2,IF(LEFT(Cockpit!$I$5,1)="B",(CL1413+AW1413)/2,MAX((CL1413+AW1413)/2,H1413))))</f>
        <v>43</v>
      </c>
      <c r="AV1413" s="62" t="n">
        <f aca="false">AU1413*G1413</f>
        <v>3823.99</v>
      </c>
      <c r="AW1413" s="62" t="n">
        <f aca="false">ROUNDUP(CL1413+MAX(CM1413,2*(J1413/IF(CH1413&gt;0,CH1413,MAX(0.1,N(Cockpit!$I$6)))-CL1413)),0)</f>
        <v>79</v>
      </c>
      <c r="AX1413" s="63" t="n">
        <f aca="false">IF(AT1413&gt;0,J1413/AT1413,-1)</f>
        <v>3.15918367346939</v>
      </c>
      <c r="AY1413" s="63" t="n">
        <f aca="false">IF(AND(OR(CG1413="L1",CG1413="L23",CG1413="LIFT"),AT1413&gt;0),SUMIFS($AT$7:$AT$1843,$CG$7:$CG$1843,CG1413,$AX$7:$AX$1843,"&gt;"&amp;AX1413)+SUMIFS($AT$7:$AT$1843,$CG$7:$CG$1843,CG1413,$AX$7:$AX$1843,AX1413,$BX$7:$BX$1843,"&lt;="&amp;BX1413),"")</f>
        <v>5731.1717032967</v>
      </c>
      <c r="AZ1413" s="70" t="n">
        <f aca="false">IF(AY1413="",0,MAX(0,MIN(1,(IF(CG1413="L1",Parameter!$H$5,IF(CG1413="L23",Parameter!$H$6+Parameter!$H$7,Parameter!$H$5+Parameter!$H$6+Parameter!$H$7))-(AY1413-AT1413))/AT1413)))</f>
        <v>1</v>
      </c>
      <c r="BA1413" s="62" t="n">
        <f aca="false">IF(LEFT(Cockpit!$O$5,1)="A",H1413,IF(Parameter!$E$30="MAX-Bestand",IF(CI1413=1,CJ1413,IF(LEFT(Cockpit!$O$5,1)="B",BG1413,MAX(BG1413,H1413))),ROUNDUP(BE1413,0)))</f>
        <v>33</v>
      </c>
      <c r="BB1413" s="62" t="n">
        <f aca="false">IF(CA1413=1,0,ROUNDUP(BA1413/BZ1413,0))</f>
        <v>1</v>
      </c>
      <c r="BC1413" s="64" t="n">
        <f aca="false">IF(CR1413&gt;0,CR1413*MAX(1,BA1413/X1413),IF(CA1413=1,IF(BA1413&lt;=0,0,CE1413*MAX(1,IF(H1413&gt;0,BA1413/H1413,1))),IF(R1413&gt;0,BB1413/R1413,0))/MAX(0.1,N(Parameter!$M$21)))</f>
        <v>0.0833333333333333</v>
      </c>
      <c r="BD1413" s="62" t="n">
        <f aca="false">BC1413*CC1413</f>
        <v>20.4166666666667</v>
      </c>
      <c r="BE1413" s="63" t="n">
        <f aca="false">IF(LEFT(Cockpit!$O$5,1)="A",H1413,IF(CI1413=1,(CL1413+CJ1413)/2,IF(LEFT(Cockpit!$O$5,1)="B",(CL1413+BG1413)/2,MAX((CL1413+BG1413)/2,H1413))))</f>
        <v>32.5</v>
      </c>
      <c r="BF1413" s="62" t="n">
        <f aca="false">BE1413*G1413</f>
        <v>2890.225</v>
      </c>
      <c r="BG1413" s="62" t="n">
        <f aca="false">ROUNDUP(CL1413+MAX(CM1413,2*(J1413/IF(CH1413&gt;0,CH1413,MAX(0.1,N(Cockpit!$O$6)))-CL1413)),0)</f>
        <v>58</v>
      </c>
      <c r="BH1413" s="63" t="n">
        <f aca="false">IF(BD1413&gt;0,J1413/BD1413,-1)</f>
        <v>6.31836734693878</v>
      </c>
      <c r="BI1413" s="63" t="n">
        <f aca="false">IF(AND(OR(CG1413="L1",CG1413="L23",CG1413="LIFT"),BD1413&gt;0),SUMIFS($BD$7:$BD$1843,$CG$7:$CG$1843,CG1413,$BH$7:$BH$1843,"&gt;"&amp;BH1413)+SUMIFS($BD$7:$BD$1843,$CG$7:$CG$1843,CG1413,$BH$7:$BH$1843,BH1413,$BX$7:$BX$1843,"&lt;="&amp;BX1413),"")</f>
        <v>3431.33379120879</v>
      </c>
      <c r="BJ1413" s="70" t="n">
        <f aca="false">IF(BI1413="",0,MAX(0,MIN(1,(IF(CG1413="L1",Parameter!$H$5,IF(CG1413="L23",Parameter!$H$6+Parameter!$H$7,Parameter!$H$5+Parameter!$H$6+Parameter!$H$7))-(BI1413-BD1413))/BD1413)))</f>
        <v>1</v>
      </c>
      <c r="BK1413" s="60" t="str">
        <f aca="false">IF(AJ1413&lt;=0,"",IF(CG1413="Aussen","Aussenlager",IF(CG1413="-","Nicht im Lift",IF(AP1413&gt;=1,"Lift",IF(AP1413&lt;=0,"Aussenlager","teilweise")))))</f>
        <v>Lift</v>
      </c>
      <c r="BL1413" s="60" t="str">
        <f aca="false">IF(AT1413&lt;=0,"",IF(CG1413="Aussen","Aussenlager",IF(CG1413="-","Nicht im Lift",IF(AZ1413&gt;=1,"Lift",IF(AZ1413&lt;=0,"Aussenlager","teilweise")))))</f>
        <v>Lift</v>
      </c>
      <c r="BM1413" s="60" t="str">
        <f aca="false">IF(BD1413&lt;=0,"",IF(CG1413="Aussen","Aussenlager",IF(CG1413="-","Nicht im Lift",IF(BJ1413&gt;=1,"Lift",IF(BJ1413&lt;=0,"Aussenlager","teilweise")))))</f>
        <v>Lift</v>
      </c>
      <c r="BN1413" s="60" t="str">
        <f aca="false">IF(A1413="","",IF(BW1413=1,"Neu; ","")&amp;IF(AND(BW1413=0,BR1413&lt;0),"negativer Bestand (Export "&amp;BR1413&amp;"); ","")&amp;IF(J1413&lt;=0,"Kein Verbrauch; ","")&amp;IF(CR1413&gt;0,"Lift "&amp;W1413&amp;" lt. Liftbericht (Fach "&amp;X1413&amp;" Stk); ",IF(CB1413=1,"Gebinde geschätzt ("&amp;T1413&amp;"); ",IF(CA1413=1,"Lose – Tablare geschätzt; ","")))&amp;IF(H1413&gt;AW1413,"Überbestand "&amp;ROUND(H1413-AW1413,0)&amp;" Stk / CHF "&amp;ROUND((H1413-AW1413)*G1413,0)&amp;"; ","")&amp;IF(AND(CI1413=1,CJ1413&lt;CK1413),"MAX &lt; MB+LG; ","")&amp;IF(AND(CQ1413&gt;0,CP1413*10&gt;CQ1413),"zu hoch für Tablar; ","")&amp;IF(AND(BW1413=0,OR(CI1413=1,AB1413&lt;&gt;"",U1413&lt;&gt;"",V1413&lt;&gt;"",AC1413&lt;&gt;"")),"manuell übersteuert; ","")&amp;IF(AND(CA1413=0,R1413=0),"Gebinde unbekannt / Stellmass fehlt; ","")&amp;IF(AND(CA1413=0,N(V1413)&lt;=0,N(Q1413)&lt;=0),"Menge pro Gebinde fehlt (Ist = 1 Gebinde); ","")&amp;BV1413)</f>
        <v>negativer Bestand (Export -21); </v>
      </c>
      <c r="BO1413" s="60"/>
      <c r="BP1413" s="60"/>
      <c r="BQ1413" s="67"/>
      <c r="BR1413" s="62" t="n">
        <v>-21</v>
      </c>
      <c r="BS1413" s="62" t="n">
        <v>61</v>
      </c>
      <c r="BT1413" s="61" t="n">
        <v>-5101.75</v>
      </c>
      <c r="BU1413" s="62" t="n">
        <v>129</v>
      </c>
      <c r="BV1413" s="60"/>
      <c r="BW1413" s="65" t="n">
        <v>0</v>
      </c>
      <c r="BX1413" s="65" t="n">
        <v>1413</v>
      </c>
      <c r="BY1413" s="60" t="str">
        <f aca="false">IF(U1413&lt;&gt;"",UPPER(TRIM(U1413)),IF(CB1413=1,UPPER(VLOOKUP(T1413,Parameter!$I$27:$K$29,2,0)),IF(P1413="","LOSE",P1413)))</f>
        <v>S62</v>
      </c>
      <c r="BZ1413" s="62" t="n">
        <f aca="false">IF(BY1413="LOSE",1,IF(N(V1413)&gt;0,V1413,IF(CB1413=1,MAX(1,N(VLOOKUP(T1413,Parameter!$I$27:$K$29,3,0)),H1413,N(N1413)),IF(N(Q1413)&gt;0,Q1413,MAX(1,H1413)))))</f>
        <v>40</v>
      </c>
      <c r="CA1413" s="65" t="n">
        <f aca="false">IF(BY1413="LOSE",1,0)</f>
        <v>0</v>
      </c>
      <c r="CB1413" s="65" t="n">
        <f aca="false">IF(AND(U1413="",OR(P1413="",P1413="LOSE"),T1413&lt;&gt;"",N(S1413)&lt;=0,ISNUMBER(MATCH(T1413,Parameter!$I$27:$I$29,0))),1,0)</f>
        <v>0</v>
      </c>
      <c r="CC1413" s="65" t="n">
        <f aca="false">IF(CR1413&gt;0,INDEX(Parameter!$H$5:$H$7,W1413)/INDEX(Parameter!$E$5:$E$7,W1413),IF(AND(CA1413=0,N(IFERROR(VLOOKUP(BY1413,'Gebinde-Kategorie'!$A$5:$N$45,14,0),0))&gt;0),VLOOKUP(BY1413,'Gebinde-Kategorie'!$A$5:$N$45,14,0)*10+Parameter!$M$23,Parameter!$M$24))</f>
        <v>245</v>
      </c>
      <c r="CD1413" s="60" t="str">
        <f aca="false">IF(AND(Parameter!$B$19="Ja",E1413&lt;&gt;"",ISNUMBER(MATCH(E1413,Parameter!$I$35:$I$52,0))),VLOOKUP(E1413,Parameter!$I$35:$J$52,2,0),IFERROR(VLOOKUP(D1413,Parameter!$A$35:$C$64,2,0),"Nein"))</f>
        <v>2+3</v>
      </c>
      <c r="CE1413" s="64" t="n">
        <f aca="false">IF(CA1413=0,0,IF(N(S1413)&gt;0,S1413,IFERROR(VLOOKUP(D1413,Parameter!$A$35:$C$64,3,0)+0,0)))</f>
        <v>0</v>
      </c>
      <c r="CF1413" s="60" t="n">
        <f aca="false">IF(AB1413&lt;&gt;"",AB1413,AA1413)</f>
        <v>3</v>
      </c>
      <c r="CG1413" s="60" t="str">
        <f aca="false">IF(OR(CF1413=1,CF1413=2,CF1413=3),IF(Parameter!$E$27="Ja","LIFT",IF(CF1413=1,"L1","L23")),IF(CF1413="Aussen","Aussen","-"))</f>
        <v>LIFT</v>
      </c>
      <c r="CH1413" s="71" t="n">
        <f aca="false">IF(N(AC1413)&gt;0,AC1413,0)</f>
        <v>0</v>
      </c>
      <c r="CI1413" s="65" t="n">
        <f aca="false">IF(ISNUMBER(AF1413),1,0)</f>
        <v>0</v>
      </c>
      <c r="CJ1413" s="62" t="n">
        <f aca="false">N(AF1413)</f>
        <v>0</v>
      </c>
      <c r="CK1413" s="62" t="n">
        <f aca="false">N(M1413)+N(N1413)</f>
        <v>32</v>
      </c>
      <c r="CL1413" s="62" t="n">
        <f aca="false">N(M1413)</f>
        <v>7</v>
      </c>
      <c r="CM1413" s="62" t="n">
        <f aca="false">N(N1413)</f>
        <v>25</v>
      </c>
      <c r="CN1413" s="62" t="n">
        <f aca="false">ROUNDUP(H1413/BZ1413,0)</f>
        <v>1</v>
      </c>
      <c r="CO1413" s="62" t="n">
        <f aca="false">ROUNDUP(CJ1413/BZ1413,0)</f>
        <v>0</v>
      </c>
      <c r="CP1413" s="65" t="n">
        <f aca="false">IF(CA1413=1,0,IFERROR(VLOOKUP(BY1413,'Gebinde-Kategorie'!$A$5:$N$45,5,0)+0,0))</f>
        <v>21</v>
      </c>
      <c r="CQ1413" s="65" t="n">
        <f aca="false">IFERROR(IF(OR(CF1413=1,CF1413=2,CF1413=3),N(INDEX(Parameter!$I$5:$I$7,CF1413)),0),0)</f>
        <v>0</v>
      </c>
      <c r="CR1413" s="64" t="n">
        <f aca="false">IF(AND(Parameter!$B$21="Ja",ISNUMBER(W1413),N(X1413)&gt;0),IFERROR(N(INDEX(Parameter!$L$5:$L$7,W1413))*INDEX(Parameter!$E$5:$E$7,W1413)*X1413/SUMIFS($X$7:$X$1843,$W$7:$W$1843,W1413),0),0)</f>
        <v>0</v>
      </c>
      <c r="CS1413" s="62" t="n">
        <f aca="false">IF(AND(OR(CG1413="L1",CG1413="L23",CG1413="LIFT"),H1413&gt;0),CC1413*IF(CR1413&gt;0,CR1413*MAX(1,H1413/X1413),IF(CA1413=1,CE1413,IF(R1413&gt;0,CN1413/R1413,0))/MAX(0.1,N(Parameter!$M$21))),"")</f>
        <v>20.4166666666667</v>
      </c>
      <c r="CT1413" s="64" t="n">
        <f aca="false">IF(CS1413="","",J1413/H1413)</f>
        <v>3.225</v>
      </c>
      <c r="CU1413" s="62" t="n">
        <f aca="false">IF(CS1413="","",H1413*G1413)</f>
        <v>3557.2</v>
      </c>
      <c r="CV1413" s="63" t="n">
        <f aca="false">IF(CS1413="","",(CL1413+ROUNDUP(CL1413+MAX(CM1413,2*(J1413/MAX(0.1,N(Einkauf!$C$6))-CL1413)),0))/2)</f>
        <v>32.5</v>
      </c>
      <c r="CW1413" s="62" t="n">
        <f aca="false">IF(CS1413="","",MAX(0,H1413-CV1413)*G1413)</f>
        <v>666.975</v>
      </c>
      <c r="CX1413" s="62" t="n">
        <f aca="false">IF(CS1413="","",CS1413*MAX(0,1-CV1413/H1413))</f>
        <v>3.828125</v>
      </c>
      <c r="CY1413" s="64" t="n">
        <f aca="false">IF(CS1413="","",PERCENTRANK($CS$7:$CS$1843,CS1413)+PERCENTRANK($CU$7:$CU$1843,CU1413)+1-PERCENTRANK($CT$7:$CT$1843,CT1413))</f>
        <v>1.74</v>
      </c>
      <c r="CZ1413" s="72" t="n">
        <f aca="false">IF(CS1413="","",CHOOSE(MATCH(Einkauf!$C$5,Parameter!$G$23:$G$27,0),CY1413,CS1413,CU1413,-CT1413,CW1413)+ROW()/1000000000)</f>
        <v>1.740001413</v>
      </c>
    </row>
    <row r="1414" customFormat="false" ht="15" hidden="false" customHeight="false" outlineLevel="0" collapsed="false">
      <c r="A1414" s="60" t="s">
        <v>2525</v>
      </c>
      <c r="B1414" s="60" t="s">
        <v>447</v>
      </c>
      <c r="C1414" s="60" t="s">
        <v>498</v>
      </c>
      <c r="D1414" s="60" t="s">
        <v>215</v>
      </c>
      <c r="E1414" s="60"/>
      <c r="F1414" s="60" t="s">
        <v>260</v>
      </c>
      <c r="G1414" s="61" t="n">
        <v>5.15</v>
      </c>
      <c r="H1414" s="62" t="n">
        <f aca="false">MAX(0,IF(AND(Parameter!$B$21="Ja",ISNUMBER(Y1414)),Y1414,IF(Parameter!$B$20="Jahresanfang 2025 + Export",BS1414+BR1414,BR1414)))</f>
        <v>1000</v>
      </c>
      <c r="I1414" s="62" t="n">
        <f aca="false">H1414*G1414</f>
        <v>5150</v>
      </c>
      <c r="J1414" s="62" t="n">
        <f aca="false">BU1414*Parameter!$B$18</f>
        <v>0</v>
      </c>
      <c r="K1414" s="63" t="n">
        <v>1000</v>
      </c>
      <c r="L1414" s="64" t="n">
        <v>0</v>
      </c>
      <c r="M1414" s="62" t="n">
        <v>58</v>
      </c>
      <c r="N1414" s="62" t="n">
        <v>700</v>
      </c>
      <c r="O1414" s="65" t="n">
        <v>21</v>
      </c>
      <c r="P1414" s="60" t="s">
        <v>210</v>
      </c>
      <c r="Q1414" s="62"/>
      <c r="R1414" s="65" t="n">
        <f aca="false">IF(CA1414=1,0,IFERROR(VLOOKUP(BY1414,'Gebinde-Kategorie'!$A$5:$N$45,13,0)+0,0))</f>
        <v>26</v>
      </c>
      <c r="S1414" s="66"/>
      <c r="T1414" s="67" t="s">
        <v>317</v>
      </c>
      <c r="U1414" s="67"/>
      <c r="V1414" s="67"/>
      <c r="W1414" s="60"/>
      <c r="X1414" s="62"/>
      <c r="Y1414" s="62"/>
      <c r="Z1414" s="60" t="n">
        <v>3</v>
      </c>
      <c r="AA1414" s="60" t="n">
        <f aca="false">IF(A1414="","",IF(AND(Parameter!$B$21="Ja",ISNUMBER(W1414)),W1414,IF(AND(Parameter!$E$27="Ja",ISNUMBER(Z1414),CD1414&lt;&gt;"Nein"),Z1414,IF(CD1414="2+3",IF(ISNUMBER(SEARCH("grosser Artikel",BV1414)),2,IFERROR(VLOOKUP(BY1414,Parameter!$F$35:$G$64,2,0),2)),IF(OR(CD1414="Nein",CD1414=""),"-",CD1414)))))</f>
        <v>3</v>
      </c>
      <c r="AB1414" s="67"/>
      <c r="AC1414" s="68"/>
      <c r="AD1414" s="62" t="n">
        <f aca="false">AW1414</f>
        <v>758</v>
      </c>
      <c r="AE1414" s="62" t="n">
        <f aca="false">MAX(AW1414,H1414)</f>
        <v>1000</v>
      </c>
      <c r="AF1414" s="69"/>
      <c r="AG1414" s="62" t="n">
        <f aca="false">IF(LEFT(Cockpit!$C$5,1)="A",H1414,IF(Parameter!$E$30="MAX-Bestand",IF(CI1414=1,CJ1414,IF(LEFT(Cockpit!$C$5,1)="B",AM1414,MAX(AM1414,H1414))),ROUNDUP(AK1414,0)))</f>
        <v>1000</v>
      </c>
      <c r="AH1414" s="62" t="n">
        <f aca="false">IF(CA1414=1,0,ROUNDUP(AG1414/BZ1414,0))</f>
        <v>1</v>
      </c>
      <c r="AI1414" s="64" t="n">
        <f aca="false">IF(CR1414&gt;0,CR1414*MAX(1,AG1414/X1414),IF(CA1414=1,IF(AG1414&lt;=0,0,CE1414*MAX(1,IF(H1414&gt;0,AG1414/H1414,1))),IF(R1414&gt;0,AH1414/R1414,0))/MAX(0.1,N(Parameter!$M$21)))</f>
        <v>0.0384615384615385</v>
      </c>
      <c r="AJ1414" s="62" t="n">
        <f aca="false">AI1414*CC1414</f>
        <v>5.96153846153846</v>
      </c>
      <c r="AK1414" s="63" t="n">
        <f aca="false">IF(LEFT(Cockpit!$C$5,1)="A",H1414,IF(CI1414=1,(CL1414+CJ1414)/2,IF(LEFT(Cockpit!$C$5,1)="B",(CL1414+AM1414)/2,MAX((CL1414+AM1414)/2,H1414))))</f>
        <v>1000</v>
      </c>
      <c r="AL1414" s="62" t="n">
        <f aca="false">AK1414*G1414</f>
        <v>5150</v>
      </c>
      <c r="AM1414" s="62" t="n">
        <f aca="false">ROUNDUP(CL1414+MAX(CM1414,2*(J1414/IF(CH1414&gt;0,CH1414,MAX(0.1,N(Cockpit!$C$6)))-CL1414)),0)</f>
        <v>758</v>
      </c>
      <c r="AN1414" s="63" t="n">
        <f aca="false">IF(AJ1414&gt;0,J1414/AJ1414,-1)</f>
        <v>0</v>
      </c>
      <c r="AO1414" s="63" t="n">
        <f aca="false">IF(AND(OR(CG1414="L1",CG1414="L23",CG1414="LIFT"),AJ1414&gt;0),SUMIFS($AJ$7:$AJ$1843,$CG$7:$CG$1843,CG1414,$AN$7:$AN$1843,"&gt;"&amp;AN1414)+SUMIFS($AJ$7:$AJ$1843,$CG$7:$CG$1843,CG1414,$AN$7:$AN$1843,AN1414,$BX$7:$BX$1843,"&lt;="&amp;BX1414),"")</f>
        <v>29696.1669796776</v>
      </c>
      <c r="AP1414" s="70" t="n">
        <f aca="false">IF(AO1414="",0,MAX(0,MIN(1,(IF(CG1414="L1",Parameter!$H$5,IF(CG1414="L23",Parameter!$H$6+Parameter!$H$7,Parameter!$H$5+Parameter!$H$6+Parameter!$H$7))-(AO1414-AJ1414))/AJ1414)))</f>
        <v>1</v>
      </c>
      <c r="AQ1414" s="62" t="n">
        <f aca="false">IF(LEFT(Cockpit!$I$5,1)="A",H1414,IF(Parameter!$E$30="MAX-Bestand",IF(CI1414=1,CJ1414,IF(LEFT(Cockpit!$I$5,1)="B",AW1414,MAX(AW1414,H1414))),ROUNDUP(AU1414,0)))</f>
        <v>1000</v>
      </c>
      <c r="AR1414" s="62" t="n">
        <f aca="false">IF(CA1414=1,0,ROUNDUP(AQ1414/BZ1414,0))</f>
        <v>1</v>
      </c>
      <c r="AS1414" s="64" t="n">
        <f aca="false">IF(CR1414&gt;0,CR1414*MAX(1,AQ1414/X1414),IF(CA1414=1,IF(AQ1414&lt;=0,0,CE1414*MAX(1,IF(H1414&gt;0,AQ1414/H1414,1))),IF(R1414&gt;0,AR1414/R1414,0))/MAX(0.1,N(Parameter!$M$21)))</f>
        <v>0.0384615384615385</v>
      </c>
      <c r="AT1414" s="62" t="n">
        <f aca="false">AS1414*CC1414</f>
        <v>5.96153846153846</v>
      </c>
      <c r="AU1414" s="63" t="n">
        <f aca="false">IF(LEFT(Cockpit!$I$5,1)="A",H1414,IF(CI1414=1,(CL1414+CJ1414)/2,IF(LEFT(Cockpit!$I$5,1)="B",(CL1414+AW1414)/2,MAX((CL1414+AW1414)/2,H1414))))</f>
        <v>1000</v>
      </c>
      <c r="AV1414" s="62" t="n">
        <f aca="false">AU1414*G1414</f>
        <v>5150</v>
      </c>
      <c r="AW1414" s="62" t="n">
        <f aca="false">ROUNDUP(CL1414+MAX(CM1414,2*(J1414/IF(CH1414&gt;0,CH1414,MAX(0.1,N(Cockpit!$I$6)))-CL1414)),0)</f>
        <v>758</v>
      </c>
      <c r="AX1414" s="63" t="n">
        <f aca="false">IF(AT1414&gt;0,J1414/AT1414,-1)</f>
        <v>0</v>
      </c>
      <c r="AY1414" s="63" t="n">
        <f aca="false">IF(AND(OR(CG1414="L1",CG1414="L23",CG1414="LIFT"),AT1414&gt;0),SUMIFS($AT$7:$AT$1843,$CG$7:$CG$1843,CG1414,$AX$7:$AX$1843,"&gt;"&amp;AX1414)+SUMIFS($AT$7:$AT$1843,$CG$7:$CG$1843,CG1414,$AX$7:$AX$1843,AX1414,$BX$7:$BX$1843,"&lt;="&amp;BX1414),"")</f>
        <v>35948.5070129964</v>
      </c>
      <c r="AZ1414" s="70" t="n">
        <f aca="false">IF(AY1414="",0,MAX(0,MIN(1,(IF(CG1414="L1",Parameter!$H$5,IF(CG1414="L23",Parameter!$H$6+Parameter!$H$7,Parameter!$H$5+Parameter!$H$6+Parameter!$H$7))-(AY1414-AT1414))/AT1414)))</f>
        <v>0</v>
      </c>
      <c r="BA1414" s="62" t="n">
        <f aca="false">IF(LEFT(Cockpit!$O$5,1)="A",H1414,IF(Parameter!$E$30="MAX-Bestand",IF(CI1414=1,CJ1414,IF(LEFT(Cockpit!$O$5,1)="B",BG1414,MAX(BG1414,H1414))),ROUNDUP(BE1414,0)))</f>
        <v>408</v>
      </c>
      <c r="BB1414" s="62" t="n">
        <f aca="false">IF(CA1414=1,0,ROUNDUP(BA1414/BZ1414,0))</f>
        <v>1</v>
      </c>
      <c r="BC1414" s="64" t="n">
        <f aca="false">IF(CR1414&gt;0,CR1414*MAX(1,BA1414/X1414),IF(CA1414=1,IF(BA1414&lt;=0,0,CE1414*MAX(1,IF(H1414&gt;0,BA1414/H1414,1))),IF(R1414&gt;0,BB1414/R1414,0))/MAX(0.1,N(Parameter!$M$21)))</f>
        <v>0.0384615384615385</v>
      </c>
      <c r="BD1414" s="62" t="n">
        <f aca="false">BC1414*CC1414</f>
        <v>5.96153846153846</v>
      </c>
      <c r="BE1414" s="63" t="n">
        <f aca="false">IF(LEFT(Cockpit!$O$5,1)="A",H1414,IF(CI1414=1,(CL1414+CJ1414)/2,IF(LEFT(Cockpit!$O$5,1)="B",(CL1414+BG1414)/2,MAX((CL1414+BG1414)/2,H1414))))</f>
        <v>408</v>
      </c>
      <c r="BF1414" s="62" t="n">
        <f aca="false">BE1414*G1414</f>
        <v>2101.2</v>
      </c>
      <c r="BG1414" s="62" t="n">
        <f aca="false">ROUNDUP(CL1414+MAX(CM1414,2*(J1414/IF(CH1414&gt;0,CH1414,MAX(0.1,N(Cockpit!$O$6)))-CL1414)),0)</f>
        <v>758</v>
      </c>
      <c r="BH1414" s="63" t="n">
        <f aca="false">IF(BD1414&gt;0,J1414/BD1414,-1)</f>
        <v>0</v>
      </c>
      <c r="BI1414" s="63" t="n">
        <f aca="false">IF(AND(OR(CG1414="L1",CG1414="L23",CG1414="LIFT"),BD1414&gt;0),SUMIFS($BD$7:$BD$1843,$CG$7:$CG$1843,CG1414,$BH$7:$BH$1843,"&gt;"&amp;BH1414)+SUMIFS($BD$7:$BD$1843,$CG$7:$CG$1843,CG1414,$BH$7:$BH$1843,BH1414,$BX$7:$BX$1843,"&lt;="&amp;BX1414),"")</f>
        <v>29933.8136731442</v>
      </c>
      <c r="BJ1414" s="70" t="n">
        <f aca="false">IF(BI1414="",0,MAX(0,MIN(1,(IF(CG1414="L1",Parameter!$H$5,IF(CG1414="L23",Parameter!$H$6+Parameter!$H$7,Parameter!$H$5+Parameter!$H$6+Parameter!$H$7))-(BI1414-BD1414))/BD1414)))</f>
        <v>1</v>
      </c>
      <c r="BK1414" s="60" t="str">
        <f aca="false">IF(AJ1414&lt;=0,"",IF(CG1414="Aussen","Aussenlager",IF(CG1414="-","Nicht im Lift",IF(AP1414&gt;=1,"Lift",IF(AP1414&lt;=0,"Aussenlager","teilweise")))))</f>
        <v>Lift</v>
      </c>
      <c r="BL1414" s="60" t="str">
        <f aca="false">IF(AT1414&lt;=0,"",IF(CG1414="Aussen","Aussenlager",IF(CG1414="-","Nicht im Lift",IF(AZ1414&gt;=1,"Lift",IF(AZ1414&lt;=0,"Aussenlager","teilweise")))))</f>
        <v>Aussenlager</v>
      </c>
      <c r="BM1414" s="60" t="str">
        <f aca="false">IF(BD1414&lt;=0,"",IF(CG1414="Aussen","Aussenlager",IF(CG1414="-","Nicht im Lift",IF(BJ1414&gt;=1,"Lift",IF(BJ1414&lt;=0,"Aussenlager","teilweise")))))</f>
        <v>Lift</v>
      </c>
      <c r="BN1414" s="60" t="str">
        <f aca="false">IF(A1414="","",IF(BW1414=1,"Neu; ","")&amp;IF(AND(BW1414=0,BR1414&lt;0),"negativer Bestand (Export "&amp;BR1414&amp;"); ","")&amp;IF(J1414&lt;=0,"Kein Verbrauch; ","")&amp;IF(CR1414&gt;0,"Lift "&amp;W1414&amp;" lt. Liftbericht (Fach "&amp;X1414&amp;" Stk); ",IF(CB1414=1,"Gebinde geschätzt ("&amp;T1414&amp;"); ",IF(CA1414=1,"Lose – Tablare geschätzt; ","")))&amp;IF(H1414&gt;AW1414,"Überbestand "&amp;ROUND(H1414-AW1414,0)&amp;" Stk / CHF "&amp;ROUND((H1414-AW1414)*G1414,0)&amp;"; ","")&amp;IF(AND(CI1414=1,CJ1414&lt;CK1414),"MAX &lt; MB+LG; ","")&amp;IF(AND(CQ1414&gt;0,CP1414*10&gt;CQ1414),"zu hoch für Tablar; ","")&amp;IF(AND(BW1414=0,OR(CI1414=1,AB1414&lt;&gt;"",U1414&lt;&gt;"",V1414&lt;&gt;"",AC1414&lt;&gt;"")),"manuell übersteuert; ","")&amp;IF(AND(CA1414=0,R1414=0),"Gebinde unbekannt / Stellmass fehlt; ","")&amp;IF(AND(CA1414=0,N(V1414)&lt;=0,N(Q1414)&lt;=0),"Menge pro Gebinde fehlt (Ist = 1 Gebinde); ","")&amp;BV1414)</f>
        <v>negativer Bestand (Export -1000); Kein Verbrauch; Gebinde geschätzt (Klein); Überbestand 242 Stk / CHF 1246; Menge pro Gebinde fehlt (Ist = 1 Gebinde); </v>
      </c>
      <c r="BO1414" s="60"/>
      <c r="BP1414" s="60"/>
      <c r="BQ1414" s="67"/>
      <c r="BR1414" s="62" t="n">
        <v>-1000</v>
      </c>
      <c r="BS1414" s="62" t="n">
        <v>2000</v>
      </c>
      <c r="BT1414" s="61" t="n">
        <v>-5150</v>
      </c>
      <c r="BU1414" s="62" t="n">
        <v>0</v>
      </c>
      <c r="BV1414" s="60"/>
      <c r="BW1414" s="65" t="n">
        <v>0</v>
      </c>
      <c r="BX1414" s="65" t="n">
        <v>1414</v>
      </c>
      <c r="BY1414" s="60" t="str">
        <f aca="false">IF(U1414&lt;&gt;"",UPPER(TRIM(U1414)),IF(CB1414=1,UPPER(VLOOKUP(T1414,Parameter!$I$27:$K$29,2,0)),IF(P1414="","LOSE",P1414)))</f>
        <v>S51</v>
      </c>
      <c r="BZ1414" s="62" t="n">
        <f aca="false">IF(BY1414="LOSE",1,IF(N(V1414)&gt;0,V1414,IF(CB1414=1,MAX(1,N(VLOOKUP(T1414,Parameter!$I$27:$K$29,3,0)),H1414,N(N1414)),IF(N(Q1414)&gt;0,Q1414,MAX(1,H1414)))))</f>
        <v>1000</v>
      </c>
      <c r="CA1414" s="65" t="n">
        <f aca="false">IF(BY1414="LOSE",1,0)</f>
        <v>0</v>
      </c>
      <c r="CB1414" s="65" t="n">
        <f aca="false">IF(AND(U1414="",OR(P1414="",P1414="LOSE"),T1414&lt;&gt;"",N(S1414)&lt;=0,ISNUMBER(MATCH(T1414,Parameter!$I$27:$I$29,0))),1,0)</f>
        <v>1</v>
      </c>
      <c r="CC1414" s="65" t="n">
        <f aca="false">IF(CR1414&gt;0,INDEX(Parameter!$H$5:$H$7,W1414)/INDEX(Parameter!$E$5:$E$7,W1414),IF(AND(CA1414=0,N(IFERROR(VLOOKUP(BY1414,'Gebinde-Kategorie'!$A$5:$N$45,14,0),0))&gt;0),VLOOKUP(BY1414,'Gebinde-Kategorie'!$A$5:$N$45,14,0)*10+Parameter!$M$23,Parameter!$M$24))</f>
        <v>155</v>
      </c>
      <c r="CD1414" s="60" t="str">
        <f aca="false">IF(AND(Parameter!$B$19="Ja",E1414&lt;&gt;"",ISNUMBER(MATCH(E1414,Parameter!$I$35:$I$52,0))),VLOOKUP(E1414,Parameter!$I$35:$J$52,2,0),IFERROR(VLOOKUP(D1414,Parameter!$A$35:$C$64,2,0),"Nein"))</f>
        <v>2+3</v>
      </c>
      <c r="CE1414" s="64" t="n">
        <f aca="false">IF(CA1414=0,0,IF(N(S1414)&gt;0,S1414,IFERROR(VLOOKUP(D1414,Parameter!$A$35:$C$64,3,0)+0,0)))</f>
        <v>0</v>
      </c>
      <c r="CF1414" s="60" t="n">
        <f aca="false">IF(AB1414&lt;&gt;"",AB1414,AA1414)</f>
        <v>3</v>
      </c>
      <c r="CG1414" s="60" t="str">
        <f aca="false">IF(OR(CF1414=1,CF1414=2,CF1414=3),IF(Parameter!$E$27="Ja","LIFT",IF(CF1414=1,"L1","L23")),IF(CF1414="Aussen","Aussen","-"))</f>
        <v>LIFT</v>
      </c>
      <c r="CH1414" s="71" t="n">
        <f aca="false">IF(N(AC1414)&gt;0,AC1414,0)</f>
        <v>0</v>
      </c>
      <c r="CI1414" s="65" t="n">
        <f aca="false">IF(ISNUMBER(AF1414),1,0)</f>
        <v>0</v>
      </c>
      <c r="CJ1414" s="62" t="n">
        <f aca="false">N(AF1414)</f>
        <v>0</v>
      </c>
      <c r="CK1414" s="62" t="n">
        <f aca="false">N(M1414)+N(N1414)</f>
        <v>758</v>
      </c>
      <c r="CL1414" s="62" t="n">
        <f aca="false">N(M1414)</f>
        <v>58</v>
      </c>
      <c r="CM1414" s="62" t="n">
        <f aca="false">N(N1414)</f>
        <v>700</v>
      </c>
      <c r="CN1414" s="62" t="n">
        <f aca="false">ROUNDUP(H1414/BZ1414,0)</f>
        <v>1</v>
      </c>
      <c r="CO1414" s="62" t="n">
        <f aca="false">ROUNDUP(CJ1414/BZ1414,0)</f>
        <v>0</v>
      </c>
      <c r="CP1414" s="65" t="n">
        <f aca="false">IF(CA1414=1,0,IFERROR(VLOOKUP(BY1414,'Gebinde-Kategorie'!$A$5:$N$45,5,0)+0,0))</f>
        <v>11</v>
      </c>
      <c r="CQ1414" s="65" t="n">
        <f aca="false">IFERROR(IF(OR(CF1414=1,CF1414=2,CF1414=3),N(INDEX(Parameter!$I$5:$I$7,CF1414)),0),0)</f>
        <v>0</v>
      </c>
      <c r="CR1414" s="64" t="n">
        <f aca="false">IF(AND(Parameter!$B$21="Ja",ISNUMBER(W1414),N(X1414)&gt;0),IFERROR(N(INDEX(Parameter!$L$5:$L$7,W1414))*INDEX(Parameter!$E$5:$E$7,W1414)*X1414/SUMIFS($X$7:$X$1843,$W$7:$W$1843,W1414),0),0)</f>
        <v>0</v>
      </c>
      <c r="CS1414" s="62" t="n">
        <f aca="false">IF(AND(OR(CG1414="L1",CG1414="L23",CG1414="LIFT"),H1414&gt;0),CC1414*IF(CR1414&gt;0,CR1414*MAX(1,H1414/X1414),IF(CA1414=1,CE1414,IF(R1414&gt;0,CN1414/R1414,0))/MAX(0.1,N(Parameter!$M$21))),"")</f>
        <v>5.96153846153846</v>
      </c>
      <c r="CT1414" s="64" t="n">
        <f aca="false">IF(CS1414="","",J1414/H1414)</f>
        <v>0</v>
      </c>
      <c r="CU1414" s="62" t="n">
        <f aca="false">IF(CS1414="","",H1414*G1414)</f>
        <v>5150</v>
      </c>
      <c r="CV1414" s="63" t="n">
        <f aca="false">IF(CS1414="","",(CL1414+ROUNDUP(CL1414+MAX(CM1414,2*(J1414/MAX(0.1,N(Einkauf!$C$6))-CL1414)),0))/2)</f>
        <v>408</v>
      </c>
      <c r="CW1414" s="62" t="n">
        <f aca="false">IF(CS1414="","",MAX(0,H1414-CV1414)*G1414)</f>
        <v>3048.8</v>
      </c>
      <c r="CX1414" s="62" t="n">
        <f aca="false">IF(CS1414="","",CS1414*MAX(0,1-CV1414/H1414))</f>
        <v>3.52923076923077</v>
      </c>
      <c r="CY1414" s="64" t="n">
        <f aca="false">IF(CS1414="","",PERCENTRANK($CS$7:$CS$1843,CS1414)+PERCENTRANK($CU$7:$CU$1843,CU1414)+1-PERCENTRANK($CT$7:$CT$1843,CT1414))</f>
        <v>2.264</v>
      </c>
      <c r="CZ1414" s="72" t="n">
        <f aca="false">IF(CS1414="","",CHOOSE(MATCH(Einkauf!$C$5,Parameter!$G$23:$G$27,0),CY1414,CS1414,CU1414,-CT1414,CW1414)+ROW()/1000000000)</f>
        <v>2.264001414</v>
      </c>
    </row>
    <row r="1415" customFormat="false" ht="15" hidden="false" customHeight="false" outlineLevel="0" collapsed="false">
      <c r="A1415" s="60" t="s">
        <v>2526</v>
      </c>
      <c r="B1415" s="60" t="s">
        <v>2426</v>
      </c>
      <c r="C1415" s="60" t="s">
        <v>206</v>
      </c>
      <c r="D1415" s="60" t="s">
        <v>207</v>
      </c>
      <c r="E1415" s="60"/>
      <c r="F1415" s="60" t="s">
        <v>260</v>
      </c>
      <c r="G1415" s="61" t="n">
        <v>2594.36</v>
      </c>
      <c r="H1415" s="62" t="n">
        <f aca="false">MAX(0,IF(AND(Parameter!$B$21="Ja",ISNUMBER(Y1415)),Y1415,IF(Parameter!$B$20="Jahresanfang 2025 + Export",BS1415+BR1415,BR1415)))</f>
        <v>6</v>
      </c>
      <c r="I1415" s="62" t="n">
        <f aca="false">H1415*G1415</f>
        <v>15566.16</v>
      </c>
      <c r="J1415" s="62" t="n">
        <f aca="false">BU1415*Parameter!$B$18</f>
        <v>2</v>
      </c>
      <c r="K1415" s="63" t="n">
        <v>7</v>
      </c>
      <c r="L1415" s="64" t="n">
        <v>0.285714285714286</v>
      </c>
      <c r="M1415" s="62" t="n">
        <v>1</v>
      </c>
      <c r="N1415" s="62" t="n">
        <v>5</v>
      </c>
      <c r="O1415" s="65" t="n">
        <v>88</v>
      </c>
      <c r="P1415" s="60" t="s">
        <v>210</v>
      </c>
      <c r="Q1415" s="62"/>
      <c r="R1415" s="65" t="n">
        <f aca="false">IF(CA1415=1,0,IFERROR(VLOOKUP(BY1415,'Gebinde-Kategorie'!$A$5:$N$45,13,0)+0,0))</f>
        <v>0</v>
      </c>
      <c r="S1415" s="66"/>
      <c r="T1415" s="67"/>
      <c r="U1415" s="67"/>
      <c r="V1415" s="67"/>
      <c r="W1415" s="60" t="n">
        <v>1</v>
      </c>
      <c r="X1415" s="62" t="n">
        <v>6</v>
      </c>
      <c r="Y1415" s="62" t="n">
        <v>6</v>
      </c>
      <c r="Z1415" s="60" t="n">
        <v>1</v>
      </c>
      <c r="AA1415" s="60" t="n">
        <f aca="false">IF(A1415="","",IF(AND(Parameter!$B$21="Ja",ISNUMBER(W1415)),W1415,IF(AND(Parameter!$E$27="Ja",ISNUMBER(Z1415),CD1415&lt;&gt;"Nein"),Z1415,IF(CD1415="2+3",IF(ISNUMBER(SEARCH("grosser Artikel",BV1415)),2,IFERROR(VLOOKUP(BY1415,Parameter!$F$35:$G$64,2,0),2)),IF(OR(CD1415="Nein",CD1415=""),"-",CD1415)))))</f>
        <v>1</v>
      </c>
      <c r="AB1415" s="67"/>
      <c r="AC1415" s="68"/>
      <c r="AD1415" s="62" t="n">
        <f aca="false">AW1415</f>
        <v>6</v>
      </c>
      <c r="AE1415" s="62" t="n">
        <f aca="false">MAX(AW1415,H1415)</f>
        <v>6</v>
      </c>
      <c r="AF1415" s="69"/>
      <c r="AG1415" s="62" t="n">
        <f aca="false">IF(LEFT(Cockpit!$C$5,1)="A",H1415,IF(Parameter!$E$30="MAX-Bestand",IF(CI1415=1,CJ1415,IF(LEFT(Cockpit!$C$5,1)="B",AM1415,MAX(AM1415,H1415))),ROUNDUP(AK1415,0)))</f>
        <v>6</v>
      </c>
      <c r="AH1415" s="62" t="n">
        <f aca="false">IF(CA1415=1,0,ROUNDUP(AG1415/BZ1415,0))</f>
        <v>0</v>
      </c>
      <c r="AI1415" s="64" t="n">
        <f aca="false">IF(CR1415&gt;0,CR1415*MAX(1,AG1415/X1415),IF(CA1415=1,IF(AG1415&lt;=0,0,CE1415*MAX(1,IF(H1415&gt;0,AG1415/H1415,1))),IF(R1415&gt;0,AH1415/R1415,0))/MAX(0.1,N(Parameter!$M$21)))</f>
        <v>0.480225988700565</v>
      </c>
      <c r="AJ1415" s="62" t="n">
        <f aca="false">AI1415*CC1415</f>
        <v>114.293785310734</v>
      </c>
      <c r="AK1415" s="63" t="n">
        <f aca="false">IF(LEFT(Cockpit!$C$5,1)="A",H1415,IF(CI1415=1,(CL1415+CJ1415)/2,IF(LEFT(Cockpit!$C$5,1)="B",(CL1415+AM1415)/2,MAX((CL1415+AM1415)/2,H1415))))</f>
        <v>6</v>
      </c>
      <c r="AL1415" s="62" t="n">
        <f aca="false">AK1415*G1415</f>
        <v>15566.16</v>
      </c>
      <c r="AM1415" s="62" t="n">
        <f aca="false">ROUNDUP(CL1415+MAX(CM1415,2*(J1415/IF(CH1415&gt;0,CH1415,MAX(0.1,N(Cockpit!$C$6)))-CL1415)),0)</f>
        <v>6</v>
      </c>
      <c r="AN1415" s="63" t="n">
        <f aca="false">IF(AJ1415&gt;0,J1415/AJ1415,-1)</f>
        <v>0.017498764211567</v>
      </c>
      <c r="AO1415" s="63" t="n">
        <f aca="false">IF(AND(OR(CG1415="L1",CG1415="L23",CG1415="LIFT"),AJ1415&gt;0),SUMIFS($AJ$7:$AJ$1843,$CG$7:$CG$1843,CG1415,$AN$7:$AN$1843,"&gt;"&amp;AN1415)+SUMIFS($AJ$7:$AJ$1843,$CG$7:$CG$1843,CG1415,$AN$7:$AN$1843,AN1415,$BX$7:$BX$1843,"&lt;="&amp;BX1415),"")</f>
        <v>23530.0239931914</v>
      </c>
      <c r="AP1415" s="70" t="n">
        <f aca="false">IF(AO1415="",0,MAX(0,MIN(1,(IF(CG1415="L1",Parameter!$H$5,IF(CG1415="L23",Parameter!$H$6+Parameter!$H$7,Parameter!$H$5+Parameter!$H$6+Parameter!$H$7))-(AO1415-AJ1415))/AJ1415)))</f>
        <v>1</v>
      </c>
      <c r="AQ1415" s="62" t="n">
        <f aca="false">IF(LEFT(Cockpit!$I$5,1)="A",H1415,IF(Parameter!$E$30="MAX-Bestand",IF(CI1415=1,CJ1415,IF(LEFT(Cockpit!$I$5,1)="B",AW1415,MAX(AW1415,H1415))),ROUNDUP(AU1415,0)))</f>
        <v>6</v>
      </c>
      <c r="AR1415" s="62" t="n">
        <f aca="false">IF(CA1415=1,0,ROUNDUP(AQ1415/BZ1415,0))</f>
        <v>0</v>
      </c>
      <c r="AS1415" s="64" t="n">
        <f aca="false">IF(CR1415&gt;0,CR1415*MAX(1,AQ1415/X1415),IF(CA1415=1,IF(AQ1415&lt;=0,0,CE1415*MAX(1,IF(H1415&gt;0,AQ1415/H1415,1))),IF(R1415&gt;0,AR1415/R1415,0))/MAX(0.1,N(Parameter!$M$21)))</f>
        <v>0.480225988700565</v>
      </c>
      <c r="AT1415" s="62" t="n">
        <f aca="false">AS1415*CC1415</f>
        <v>114.293785310734</v>
      </c>
      <c r="AU1415" s="63" t="n">
        <f aca="false">IF(LEFT(Cockpit!$I$5,1)="A",H1415,IF(CI1415=1,(CL1415+CJ1415)/2,IF(LEFT(Cockpit!$I$5,1)="B",(CL1415+AW1415)/2,MAX((CL1415+AW1415)/2,H1415))))</f>
        <v>6</v>
      </c>
      <c r="AV1415" s="62" t="n">
        <f aca="false">AU1415*G1415</f>
        <v>15566.16</v>
      </c>
      <c r="AW1415" s="62" t="n">
        <f aca="false">ROUNDUP(CL1415+MAX(CM1415,2*(J1415/IF(CH1415&gt;0,CH1415,MAX(0.1,N(Cockpit!$I$6)))-CL1415)),0)</f>
        <v>6</v>
      </c>
      <c r="AX1415" s="63" t="n">
        <f aca="false">IF(AT1415&gt;0,J1415/AT1415,-1)</f>
        <v>0.017498764211567</v>
      </c>
      <c r="AY1415" s="63" t="n">
        <f aca="false">IF(AND(OR(CG1415="L1",CG1415="L23",CG1415="LIFT"),AT1415&gt;0),SUMIFS($AT$7:$AT$1843,$CG$7:$CG$1843,CG1415,$AX$7:$AX$1843,"&gt;"&amp;AX1415)+SUMIFS($AT$7:$AT$1843,$CG$7:$CG$1843,CG1415,$AX$7:$AX$1843,AX1415,$BX$7:$BX$1843,"&lt;="&amp;BX1415),"")</f>
        <v>28765.6726345688</v>
      </c>
      <c r="AZ1415" s="70" t="n">
        <f aca="false">IF(AY1415="",0,MAX(0,MIN(1,(IF(CG1415="L1",Parameter!$H$5,IF(CG1415="L23",Parameter!$H$6+Parameter!$H$7,Parameter!$H$5+Parameter!$H$6+Parameter!$H$7))-(AY1415-AT1415))/AT1415)))</f>
        <v>1</v>
      </c>
      <c r="BA1415" s="62" t="n">
        <f aca="false">IF(LEFT(Cockpit!$O$5,1)="A",H1415,IF(Parameter!$E$30="MAX-Bestand",IF(CI1415=1,CJ1415,IF(LEFT(Cockpit!$O$5,1)="B",BG1415,MAX(BG1415,H1415))),ROUNDUP(BE1415,0)))</f>
        <v>4</v>
      </c>
      <c r="BB1415" s="62" t="n">
        <f aca="false">IF(CA1415=1,0,ROUNDUP(BA1415/BZ1415,0))</f>
        <v>0</v>
      </c>
      <c r="BC1415" s="64" t="n">
        <f aca="false">IF(CR1415&gt;0,CR1415*MAX(1,BA1415/X1415),IF(CA1415=1,IF(BA1415&lt;=0,0,CE1415*MAX(1,IF(H1415&gt;0,BA1415/H1415,1))),IF(R1415&gt;0,BB1415/R1415,0))/MAX(0.1,N(Parameter!$M$21)))</f>
        <v>0.480225988700565</v>
      </c>
      <c r="BD1415" s="62" t="n">
        <f aca="false">BC1415*CC1415</f>
        <v>114.293785310734</v>
      </c>
      <c r="BE1415" s="63" t="n">
        <f aca="false">IF(LEFT(Cockpit!$O$5,1)="A",H1415,IF(CI1415=1,(CL1415+CJ1415)/2,IF(LEFT(Cockpit!$O$5,1)="B",(CL1415+BG1415)/2,MAX((CL1415+BG1415)/2,H1415))))</f>
        <v>3.5</v>
      </c>
      <c r="BF1415" s="62" t="n">
        <f aca="false">BE1415*G1415</f>
        <v>9080.26</v>
      </c>
      <c r="BG1415" s="62" t="n">
        <f aca="false">ROUNDUP(CL1415+MAX(CM1415,2*(J1415/IF(CH1415&gt;0,CH1415,MAX(0.1,N(Cockpit!$O$6)))-CL1415)),0)</f>
        <v>6</v>
      </c>
      <c r="BH1415" s="63" t="n">
        <f aca="false">IF(BD1415&gt;0,J1415/BD1415,-1)</f>
        <v>0.017498764211567</v>
      </c>
      <c r="BI1415" s="63" t="n">
        <f aca="false">IF(AND(OR(CG1415="L1",CG1415="L23",CG1415="LIFT"),BD1415&gt;0),SUMIFS($BD$7:$BD$1843,$CG$7:$CG$1843,CG1415,$BH$7:$BH$1843,"&gt;"&amp;BH1415)+SUMIFS($BD$7:$BD$1843,$CG$7:$CG$1843,CG1415,$BH$7:$BH$1843,BH1415,$BX$7:$BX$1843,"&lt;="&amp;BX1415),"")</f>
        <v>24311.4211445334</v>
      </c>
      <c r="BJ1415" s="70" t="n">
        <f aca="false">IF(BI1415="",0,MAX(0,MIN(1,(IF(CG1415="L1",Parameter!$H$5,IF(CG1415="L23",Parameter!$H$6+Parameter!$H$7,Parameter!$H$5+Parameter!$H$6+Parameter!$H$7))-(BI1415-BD1415))/BD1415)))</f>
        <v>1</v>
      </c>
      <c r="BK1415" s="60" t="str">
        <f aca="false">IF(AJ1415&lt;=0,"",IF(CG1415="Aussen","Aussenlager",IF(CG1415="-","Nicht im Lift",IF(AP1415&gt;=1,"Lift",IF(AP1415&lt;=0,"Aussenlager","teilweise")))))</f>
        <v>Lift</v>
      </c>
      <c r="BL1415" s="60" t="str">
        <f aca="false">IF(AT1415&lt;=0,"",IF(CG1415="Aussen","Aussenlager",IF(CG1415="-","Nicht im Lift",IF(AZ1415&gt;=1,"Lift",IF(AZ1415&lt;=0,"Aussenlager","teilweise")))))</f>
        <v>Lift</v>
      </c>
      <c r="BM1415" s="60" t="str">
        <f aca="false">IF(BD1415&lt;=0,"",IF(CG1415="Aussen","Aussenlager",IF(CG1415="-","Nicht im Lift",IF(BJ1415&gt;=1,"Lift",IF(BJ1415&lt;=0,"Aussenlager","teilweise")))))</f>
        <v>Lift</v>
      </c>
      <c r="BN1415" s="60" t="str">
        <f aca="false">IF(A1415="","",IF(BW1415=1,"Neu; ","")&amp;IF(AND(BW1415=0,BR1415&lt;0),"negativer Bestand (Export "&amp;BR1415&amp;"); ","")&amp;IF(J1415&lt;=0,"Kein Verbrauch; ","")&amp;IF(CR1415&gt;0,"Lift "&amp;W1415&amp;" lt. Liftbericht (Fach "&amp;X1415&amp;" Stk); ",IF(CB1415=1,"Gebinde geschätzt ("&amp;T1415&amp;"); ",IF(CA1415=1,"Lose – Tablare geschätzt; ","")))&amp;IF(H1415&gt;AW1415,"Überbestand "&amp;ROUND(H1415-AW1415,0)&amp;" Stk / CHF "&amp;ROUND((H1415-AW1415)*G1415,0)&amp;"; ","")&amp;IF(AND(CI1415=1,CJ1415&lt;CK1415),"MAX &lt; MB+LG; ","")&amp;IF(AND(CQ1415&gt;0,CP1415*10&gt;CQ1415),"zu hoch für Tablar; ","")&amp;IF(AND(BW1415=0,OR(CI1415=1,AB1415&lt;&gt;"",U1415&lt;&gt;"",V1415&lt;&gt;"",AC1415&lt;&gt;"")),"manuell übersteuert; ","")&amp;IF(AND(CA1415=0,R1415=0),"Gebinde unbekannt / Stellmass fehlt; ","")&amp;IF(AND(CA1415=0,N(V1415)&lt;=0,N(Q1415)&lt;=0),"Menge pro Gebinde fehlt (Ist = 1 Gebinde); ","")&amp;BV1415)</f>
        <v>negativer Bestand (Export -2); Lift 1 lt. Liftbericht (Fach 6 Stk); </v>
      </c>
      <c r="BO1415" s="60"/>
      <c r="BP1415" s="60"/>
      <c r="BQ1415" s="67"/>
      <c r="BR1415" s="62" t="n">
        <v>-2</v>
      </c>
      <c r="BS1415" s="62" t="n">
        <v>8</v>
      </c>
      <c r="BT1415" s="61" t="n">
        <v>-5188.72</v>
      </c>
      <c r="BU1415" s="62" t="n">
        <v>2</v>
      </c>
      <c r="BV1415" s="60"/>
      <c r="BW1415" s="65" t="n">
        <v>0</v>
      </c>
      <c r="BX1415" s="65" t="n">
        <v>1415</v>
      </c>
      <c r="BY1415" s="60" t="str">
        <f aca="false">IF(U1415&lt;&gt;"",UPPER(TRIM(U1415)),IF(CB1415=1,UPPER(VLOOKUP(T1415,Parameter!$I$27:$K$29,2,0)),IF(P1415="","LOSE",P1415)))</f>
        <v>LOSE</v>
      </c>
      <c r="BZ1415" s="62" t="n">
        <f aca="false">IF(BY1415="LOSE",1,IF(N(V1415)&gt;0,V1415,IF(CB1415=1,MAX(1,N(VLOOKUP(T1415,Parameter!$I$27:$K$29,3,0)),H1415,N(N1415)),IF(N(Q1415)&gt;0,Q1415,MAX(1,H1415)))))</f>
        <v>1</v>
      </c>
      <c r="CA1415" s="65" t="n">
        <f aca="false">IF(BY1415="LOSE",1,0)</f>
        <v>1</v>
      </c>
      <c r="CB1415" s="65" t="n">
        <f aca="false">IF(AND(U1415="",OR(P1415="",P1415="LOSE"),T1415&lt;&gt;"",N(S1415)&lt;=0,ISNUMBER(MATCH(T1415,Parameter!$I$27:$I$29,0))),1,0)</f>
        <v>0</v>
      </c>
      <c r="CC1415" s="65" t="n">
        <f aca="false">IF(CR1415&gt;0,INDEX(Parameter!$H$5:$H$7,W1415)/INDEX(Parameter!$E$5:$E$7,W1415),IF(AND(CA1415=0,N(IFERROR(VLOOKUP(BY1415,'Gebinde-Kategorie'!$A$5:$N$45,14,0),0))&gt;0),VLOOKUP(BY1415,'Gebinde-Kategorie'!$A$5:$N$45,14,0)*10+Parameter!$M$23,Parameter!$M$24))</f>
        <v>238</v>
      </c>
      <c r="CD1415" s="60" t="n">
        <f aca="false">IF(AND(Parameter!$B$19="Ja",E1415&lt;&gt;"",ISNUMBER(MATCH(E1415,Parameter!$I$35:$I$52,0))),VLOOKUP(E1415,Parameter!$I$35:$J$52,2,0),IFERROR(VLOOKUP(D1415,Parameter!$A$35:$C$64,2,0),"Nein"))</f>
        <v>1</v>
      </c>
      <c r="CE1415" s="64" t="n">
        <f aca="false">IF(CA1415=0,0,IF(N(S1415)&gt;0,S1415,IFERROR(VLOOKUP(D1415,Parameter!$A$35:$C$64,3,0)+0,0)))</f>
        <v>1</v>
      </c>
      <c r="CF1415" s="60" t="n">
        <f aca="false">IF(AB1415&lt;&gt;"",AB1415,AA1415)</f>
        <v>1</v>
      </c>
      <c r="CG1415" s="60" t="str">
        <f aca="false">IF(OR(CF1415=1,CF1415=2,CF1415=3),IF(Parameter!$E$27="Ja","LIFT",IF(CF1415=1,"L1","L23")),IF(CF1415="Aussen","Aussen","-"))</f>
        <v>LIFT</v>
      </c>
      <c r="CH1415" s="71" t="n">
        <f aca="false">IF(N(AC1415)&gt;0,AC1415,0)</f>
        <v>0</v>
      </c>
      <c r="CI1415" s="65" t="n">
        <f aca="false">IF(ISNUMBER(AF1415),1,0)</f>
        <v>0</v>
      </c>
      <c r="CJ1415" s="62" t="n">
        <f aca="false">N(AF1415)</f>
        <v>0</v>
      </c>
      <c r="CK1415" s="62" t="n">
        <f aca="false">N(M1415)+N(N1415)</f>
        <v>6</v>
      </c>
      <c r="CL1415" s="62" t="n">
        <f aca="false">N(M1415)</f>
        <v>1</v>
      </c>
      <c r="CM1415" s="62" t="n">
        <f aca="false">N(N1415)</f>
        <v>5</v>
      </c>
      <c r="CN1415" s="62" t="n">
        <f aca="false">ROUNDUP(H1415/BZ1415,0)</f>
        <v>6</v>
      </c>
      <c r="CO1415" s="62" t="n">
        <f aca="false">ROUNDUP(CJ1415/BZ1415,0)</f>
        <v>0</v>
      </c>
      <c r="CP1415" s="65" t="n">
        <f aca="false">IF(CA1415=1,0,IFERROR(VLOOKUP(BY1415,'Gebinde-Kategorie'!$A$5:$N$45,5,0)+0,0))</f>
        <v>0</v>
      </c>
      <c r="CQ1415" s="65" t="n">
        <f aca="false">IFERROR(IF(OR(CF1415=1,CF1415=2,CF1415=3),N(INDEX(Parameter!$I$5:$I$7,CF1415)),0),0)</f>
        <v>0</v>
      </c>
      <c r="CR1415" s="64" t="n">
        <f aca="false">IF(AND(Parameter!$B$21="Ja",ISNUMBER(W1415),N(X1415)&gt;0),IFERROR(N(INDEX(Parameter!$L$5:$L$7,W1415))*INDEX(Parameter!$E$5:$E$7,W1415)*X1415/SUMIFS($X$7:$X$1843,$W$7:$W$1843,W1415),0),0)</f>
        <v>0.480225988700565</v>
      </c>
      <c r="CS1415" s="62" t="n">
        <f aca="false">IF(AND(OR(CG1415="L1",CG1415="L23",CG1415="LIFT"),H1415&gt;0),CC1415*IF(CR1415&gt;0,CR1415*MAX(1,H1415/X1415),IF(CA1415=1,CE1415,IF(R1415&gt;0,CN1415/R1415,0))/MAX(0.1,N(Parameter!$M$21))),"")</f>
        <v>114.293785310734</v>
      </c>
      <c r="CT1415" s="64" t="n">
        <f aca="false">IF(CS1415="","",J1415/H1415)</f>
        <v>0.333333333333333</v>
      </c>
      <c r="CU1415" s="62" t="n">
        <f aca="false">IF(CS1415="","",H1415*G1415)</f>
        <v>15566.16</v>
      </c>
      <c r="CV1415" s="63" t="n">
        <f aca="false">IF(CS1415="","",(CL1415+ROUNDUP(CL1415+MAX(CM1415,2*(J1415/MAX(0.1,N(Einkauf!$C$6))-CL1415)),0))/2)</f>
        <v>3.5</v>
      </c>
      <c r="CW1415" s="62" t="n">
        <f aca="false">IF(CS1415="","",MAX(0,H1415-CV1415)*G1415)</f>
        <v>6485.9</v>
      </c>
      <c r="CX1415" s="62" t="n">
        <f aca="false">IF(CS1415="","",CS1415*MAX(0,1-CV1415/H1415))</f>
        <v>47.6224105461394</v>
      </c>
      <c r="CY1415" s="64" t="n">
        <f aca="false">IF(CS1415="","",PERCENTRANK($CS$7:$CS$1843,CS1415)+PERCENTRANK($CU$7:$CU$1843,CU1415)+1-PERCENTRANK($CT$7:$CT$1843,CT1415))</f>
        <v>2.426</v>
      </c>
      <c r="CZ1415" s="72" t="n">
        <f aca="false">IF(CS1415="","",CHOOSE(MATCH(Einkauf!$C$5,Parameter!$G$23:$G$27,0),CY1415,CS1415,CU1415,-CT1415,CW1415)+ROW()/1000000000)</f>
        <v>2.426001415</v>
      </c>
    </row>
    <row r="1416" customFormat="false" ht="15" hidden="false" customHeight="false" outlineLevel="0" collapsed="false">
      <c r="A1416" s="60" t="s">
        <v>2527</v>
      </c>
      <c r="B1416" s="60" t="s">
        <v>2479</v>
      </c>
      <c r="C1416" s="60" t="s">
        <v>498</v>
      </c>
      <c r="D1416" s="60" t="s">
        <v>226</v>
      </c>
      <c r="E1416" s="60" t="s">
        <v>227</v>
      </c>
      <c r="F1416" s="60" t="s">
        <v>260</v>
      </c>
      <c r="G1416" s="61" t="n">
        <v>655.07</v>
      </c>
      <c r="H1416" s="62" t="n">
        <f aca="false">MAX(0,IF(AND(Parameter!$B$21="Ja",ISNUMBER(Y1416)),Y1416,IF(Parameter!$B$20="Jahresanfang 2025 + Export",BS1416+BR1416,BR1416)))</f>
        <v>0</v>
      </c>
      <c r="I1416" s="62" t="n">
        <f aca="false">H1416*G1416</f>
        <v>0</v>
      </c>
      <c r="J1416" s="62" t="n">
        <f aca="false">BU1416*Parameter!$B$18</f>
        <v>5</v>
      </c>
      <c r="K1416" s="63" t="n">
        <v>4</v>
      </c>
      <c r="L1416" s="64" t="n">
        <v>1.25</v>
      </c>
      <c r="M1416" s="62" t="n">
        <v>0</v>
      </c>
      <c r="N1416" s="62" t="n">
        <v>5</v>
      </c>
      <c r="O1416" s="65" t="n">
        <v>35</v>
      </c>
      <c r="P1416" s="60" t="s">
        <v>268</v>
      </c>
      <c r="Q1416" s="62" t="n">
        <v>11</v>
      </c>
      <c r="R1416" s="65" t="n">
        <f aca="false">IF(CA1416=1,0,IFERROR(VLOOKUP(BY1416,'Gebinde-Kategorie'!$A$5:$N$45,13,0)+0,0))</f>
        <v>12</v>
      </c>
      <c r="S1416" s="66"/>
      <c r="T1416" s="67"/>
      <c r="U1416" s="67"/>
      <c r="V1416" s="67"/>
      <c r="W1416" s="60"/>
      <c r="X1416" s="62"/>
      <c r="Y1416" s="62"/>
      <c r="Z1416" s="60" t="n">
        <v>3</v>
      </c>
      <c r="AA1416" s="60" t="n">
        <f aca="false">IF(A1416="","",IF(AND(Parameter!$B$21="Ja",ISNUMBER(W1416)),W1416,IF(AND(Parameter!$E$27="Ja",ISNUMBER(Z1416),CD1416&lt;&gt;"Nein"),Z1416,IF(CD1416="2+3",IF(ISNUMBER(SEARCH("grosser Artikel",BV1416)),2,IFERROR(VLOOKUP(BY1416,Parameter!$F$35:$G$64,2,0),2)),IF(OR(CD1416="Nein",CD1416=""),"-",CD1416)))))</f>
        <v>3</v>
      </c>
      <c r="AB1416" s="67"/>
      <c r="AC1416" s="68"/>
      <c r="AD1416" s="62" t="n">
        <f aca="false">AW1416</f>
        <v>5</v>
      </c>
      <c r="AE1416" s="62" t="n">
        <f aca="false">MAX(AW1416,H1416)</f>
        <v>5</v>
      </c>
      <c r="AF1416" s="69"/>
      <c r="AG1416" s="62" t="n">
        <f aca="false">IF(LEFT(Cockpit!$C$5,1)="A",H1416,IF(Parameter!$E$30="MAX-Bestand",IF(CI1416=1,CJ1416,IF(LEFT(Cockpit!$C$5,1)="B",AM1416,MAX(AM1416,H1416))),ROUNDUP(AK1416,0)))</f>
        <v>0</v>
      </c>
      <c r="AH1416" s="62" t="n">
        <f aca="false">IF(CA1416=1,0,ROUNDUP(AG1416/BZ1416,0))</f>
        <v>0</v>
      </c>
      <c r="AI1416" s="64" t="n">
        <f aca="false">IF(CR1416&gt;0,CR1416*MAX(1,AG1416/X1416),IF(CA1416=1,IF(AG1416&lt;=0,0,CE1416*MAX(1,IF(H1416&gt;0,AG1416/H1416,1))),IF(R1416&gt;0,AH1416/R1416,0))/MAX(0.1,N(Parameter!$M$21)))</f>
        <v>0</v>
      </c>
      <c r="AJ1416" s="62" t="n">
        <f aca="false">AI1416*CC1416</f>
        <v>0</v>
      </c>
      <c r="AK1416" s="63" t="n">
        <f aca="false">IF(LEFT(Cockpit!$C$5,1)="A",H1416,IF(CI1416=1,(CL1416+CJ1416)/2,IF(LEFT(Cockpit!$C$5,1)="B",(CL1416+AM1416)/2,MAX((CL1416+AM1416)/2,H1416))))</f>
        <v>0</v>
      </c>
      <c r="AL1416" s="62" t="n">
        <f aca="false">AK1416*G1416</f>
        <v>0</v>
      </c>
      <c r="AM1416" s="62" t="n">
        <f aca="false">ROUNDUP(CL1416+MAX(CM1416,2*(J1416/IF(CH1416&gt;0,CH1416,MAX(0.1,N(Cockpit!$C$6)))-CL1416)),0)</f>
        <v>5</v>
      </c>
      <c r="AN1416" s="63" t="n">
        <f aca="false">IF(AJ1416&gt;0,J1416/AJ1416,-1)</f>
        <v>-1</v>
      </c>
      <c r="AO1416" s="63" t="str">
        <f aca="false">IF(AND(OR(CG1416="L1",CG1416="L23",CG1416="LIFT"),AJ1416&gt;0),SUMIFS($AJ$7:$AJ$1843,$CG$7:$CG$1843,CG1416,$AN$7:$AN$1843,"&gt;"&amp;AN1416)+SUMIFS($AJ$7:$AJ$1843,$CG$7:$CG$1843,CG1416,$AN$7:$AN$1843,AN1416,$BX$7:$BX$1843,"&lt;="&amp;BX1416),"")</f>
        <v/>
      </c>
      <c r="AP1416" s="70" t="n">
        <f aca="false">IF(AO1416="",0,MAX(0,MIN(1,(IF(CG1416="L1",Parameter!$H$5,IF(CG1416="L23",Parameter!$H$6+Parameter!$H$7,Parameter!$H$5+Parameter!$H$6+Parameter!$H$7))-(AO1416-AJ1416))/AJ1416)))</f>
        <v>0</v>
      </c>
      <c r="AQ1416" s="62" t="n">
        <f aca="false">IF(LEFT(Cockpit!$I$5,1)="A",H1416,IF(Parameter!$E$30="MAX-Bestand",IF(CI1416=1,CJ1416,IF(LEFT(Cockpit!$I$5,1)="B",AW1416,MAX(AW1416,H1416))),ROUNDUP(AU1416,0)))</f>
        <v>3</v>
      </c>
      <c r="AR1416" s="62" t="n">
        <f aca="false">IF(CA1416=1,0,ROUNDUP(AQ1416/BZ1416,0))</f>
        <v>1</v>
      </c>
      <c r="AS1416" s="64" t="n">
        <f aca="false">IF(CR1416&gt;0,CR1416*MAX(1,AQ1416/X1416),IF(CA1416=1,IF(AQ1416&lt;=0,0,CE1416*MAX(1,IF(H1416&gt;0,AQ1416/H1416,1))),IF(R1416&gt;0,AR1416/R1416,0))/MAX(0.1,N(Parameter!$M$21)))</f>
        <v>0.0833333333333333</v>
      </c>
      <c r="AT1416" s="62" t="n">
        <f aca="false">AS1416*CC1416</f>
        <v>28.75</v>
      </c>
      <c r="AU1416" s="63" t="n">
        <f aca="false">IF(LEFT(Cockpit!$I$5,1)="A",H1416,IF(CI1416=1,(CL1416+CJ1416)/2,IF(LEFT(Cockpit!$I$5,1)="B",(CL1416+AW1416)/2,MAX((CL1416+AW1416)/2,H1416))))</f>
        <v>2.5</v>
      </c>
      <c r="AV1416" s="62" t="n">
        <f aca="false">AU1416*G1416</f>
        <v>1637.675</v>
      </c>
      <c r="AW1416" s="62" t="n">
        <f aca="false">ROUNDUP(CL1416+MAX(CM1416,2*(J1416/IF(CH1416&gt;0,CH1416,MAX(0.1,N(Cockpit!$I$6)))-CL1416)),0)</f>
        <v>5</v>
      </c>
      <c r="AX1416" s="63" t="n">
        <f aca="false">IF(AT1416&gt;0,J1416/AT1416,-1)</f>
        <v>0.173913043478261</v>
      </c>
      <c r="AY1416" s="63" t="n">
        <f aca="false">IF(AND(OR(CG1416="L1",CG1416="L23",CG1416="LIFT"),AT1416&gt;0),SUMIFS($AT$7:$AT$1843,$CG$7:$CG$1843,CG1416,$AX$7:$AX$1843,"&gt;"&amp;AX1416)+SUMIFS($AT$7:$AT$1843,$CG$7:$CG$1843,CG1416,$AX$7:$AX$1843,AX1416,$BX$7:$BX$1843,"&lt;="&amp;BX1416),"")</f>
        <v>15537.7413003663</v>
      </c>
      <c r="AZ1416" s="70" t="n">
        <f aca="false">IF(AY1416="",0,MAX(0,MIN(1,(IF(CG1416="L1",Parameter!$H$5,IF(CG1416="L23",Parameter!$H$6+Parameter!$H$7,Parameter!$H$5+Parameter!$H$6+Parameter!$H$7))-(AY1416-AT1416))/AT1416)))</f>
        <v>1</v>
      </c>
      <c r="BA1416" s="62" t="n">
        <f aca="false">IF(LEFT(Cockpit!$O$5,1)="A",H1416,IF(Parameter!$E$30="MAX-Bestand",IF(CI1416=1,CJ1416,IF(LEFT(Cockpit!$O$5,1)="B",BG1416,MAX(BG1416,H1416))),ROUNDUP(BE1416,0)))</f>
        <v>3</v>
      </c>
      <c r="BB1416" s="62" t="n">
        <f aca="false">IF(CA1416=1,0,ROUNDUP(BA1416/BZ1416,0))</f>
        <v>1</v>
      </c>
      <c r="BC1416" s="64" t="n">
        <f aca="false">IF(CR1416&gt;0,CR1416*MAX(1,BA1416/X1416),IF(CA1416=1,IF(BA1416&lt;=0,0,CE1416*MAX(1,IF(H1416&gt;0,BA1416/H1416,1))),IF(R1416&gt;0,BB1416/R1416,0))/MAX(0.1,N(Parameter!$M$21)))</f>
        <v>0.0833333333333333</v>
      </c>
      <c r="BD1416" s="62" t="n">
        <f aca="false">BC1416*CC1416</f>
        <v>28.75</v>
      </c>
      <c r="BE1416" s="63" t="n">
        <f aca="false">IF(LEFT(Cockpit!$O$5,1)="A",H1416,IF(CI1416=1,(CL1416+CJ1416)/2,IF(LEFT(Cockpit!$O$5,1)="B",(CL1416+BG1416)/2,MAX((CL1416+BG1416)/2,H1416))))</f>
        <v>2.5</v>
      </c>
      <c r="BF1416" s="62" t="n">
        <f aca="false">BE1416*G1416</f>
        <v>1637.675</v>
      </c>
      <c r="BG1416" s="62" t="n">
        <f aca="false">ROUNDUP(CL1416+MAX(CM1416,2*(J1416/IF(CH1416&gt;0,CH1416,MAX(0.1,N(Cockpit!$O$6)))-CL1416)),0)</f>
        <v>5</v>
      </c>
      <c r="BH1416" s="63" t="n">
        <f aca="false">IF(BD1416&gt;0,J1416/BD1416,-1)</f>
        <v>0.173913043478261</v>
      </c>
      <c r="BI1416" s="63" t="n">
        <f aca="false">IF(AND(OR(CG1416="L1",CG1416="L23",CG1416="LIFT"),BD1416&gt;0),SUMIFS($BD$7:$BD$1843,$CG$7:$CG$1843,CG1416,$BH$7:$BH$1843,"&gt;"&amp;BH1416)+SUMIFS($BD$7:$BD$1843,$CG$7:$CG$1843,CG1416,$BH$7:$BH$1843,BH1416,$BX$7:$BX$1843,"&lt;="&amp;BX1416),"")</f>
        <v>13334.0795901368</v>
      </c>
      <c r="BJ1416" s="70" t="n">
        <f aca="false">IF(BI1416="",0,MAX(0,MIN(1,(IF(CG1416="L1",Parameter!$H$5,IF(CG1416="L23",Parameter!$H$6+Parameter!$H$7,Parameter!$H$5+Parameter!$H$6+Parameter!$H$7))-(BI1416-BD1416))/BD1416)))</f>
        <v>1</v>
      </c>
      <c r="BK1416" s="60" t="str">
        <f aca="false">IF(AJ1416&lt;=0,"",IF(CG1416="Aussen","Aussenlager",IF(CG1416="-","Nicht im Lift",IF(AP1416&gt;=1,"Lift",IF(AP1416&lt;=0,"Aussenlager","teilweise")))))</f>
        <v/>
      </c>
      <c r="BL1416" s="60" t="str">
        <f aca="false">IF(AT1416&lt;=0,"",IF(CG1416="Aussen","Aussenlager",IF(CG1416="-","Nicht im Lift",IF(AZ1416&gt;=1,"Lift",IF(AZ1416&lt;=0,"Aussenlager","teilweise")))))</f>
        <v>Lift</v>
      </c>
      <c r="BM1416" s="60" t="str">
        <f aca="false">IF(BD1416&lt;=0,"",IF(CG1416="Aussen","Aussenlager",IF(CG1416="-","Nicht im Lift",IF(BJ1416&gt;=1,"Lift",IF(BJ1416&lt;=0,"Aussenlager","teilweise")))))</f>
        <v>Lift</v>
      </c>
      <c r="BN1416" s="60" t="str">
        <f aca="false">IF(A1416="","",IF(BW1416=1,"Neu; ","")&amp;IF(AND(BW1416=0,BR1416&lt;0),"negativer Bestand (Export "&amp;BR1416&amp;"); ","")&amp;IF(J1416&lt;=0,"Kein Verbrauch; ","")&amp;IF(CR1416&gt;0,"Lift "&amp;W1416&amp;" lt. Liftbericht (Fach "&amp;X1416&amp;" Stk); ",IF(CB1416=1,"Gebinde geschätzt ("&amp;T1416&amp;"); ",IF(CA1416=1,"Lose – Tablare geschätzt; ","")))&amp;IF(H1416&gt;AW1416,"Überbestand "&amp;ROUND(H1416-AW1416,0)&amp;" Stk / CHF "&amp;ROUND((H1416-AW1416)*G1416,0)&amp;"; ","")&amp;IF(AND(CI1416=1,CJ1416&lt;CK1416),"MAX &lt; MB+LG; ","")&amp;IF(AND(CQ1416&gt;0,CP1416*10&gt;CQ1416),"zu hoch für Tablar; ","")&amp;IF(AND(BW1416=0,OR(CI1416=1,AB1416&lt;&gt;"",U1416&lt;&gt;"",V1416&lt;&gt;"",AC1416&lt;&gt;"")),"manuell übersteuert; ","")&amp;IF(AND(CA1416=0,R1416=0),"Gebinde unbekannt / Stellmass fehlt; ","")&amp;IF(AND(CA1416=0,N(V1416)&lt;=0,N(Q1416)&lt;=0),"Menge pro Gebinde fehlt (Ist = 1 Gebinde); ","")&amp;BV1416)</f>
        <v>negativer Bestand (Export -8); </v>
      </c>
      <c r="BO1416" s="60"/>
      <c r="BP1416" s="60"/>
      <c r="BQ1416" s="67"/>
      <c r="BR1416" s="62" t="n">
        <v>-8</v>
      </c>
      <c r="BS1416" s="62" t="n">
        <v>8</v>
      </c>
      <c r="BT1416" s="61" t="n">
        <v>-5240.56</v>
      </c>
      <c r="BU1416" s="62" t="n">
        <v>5</v>
      </c>
      <c r="BV1416" s="60"/>
      <c r="BW1416" s="65" t="n">
        <v>0</v>
      </c>
      <c r="BX1416" s="65" t="n">
        <v>1416</v>
      </c>
      <c r="BY1416" s="60" t="str">
        <f aca="false">IF(U1416&lt;&gt;"",UPPER(TRIM(U1416)),IF(CB1416=1,UPPER(VLOOKUP(T1416,Parameter!$I$27:$K$29,2,0)),IF(P1416="","LOSE",P1416)))</f>
        <v>S63</v>
      </c>
      <c r="BZ1416" s="62" t="n">
        <f aca="false">IF(BY1416="LOSE",1,IF(N(V1416)&gt;0,V1416,IF(CB1416=1,MAX(1,N(VLOOKUP(T1416,Parameter!$I$27:$K$29,3,0)),H1416,N(N1416)),IF(N(Q1416)&gt;0,Q1416,MAX(1,H1416)))))</f>
        <v>11</v>
      </c>
      <c r="CA1416" s="65" t="n">
        <f aca="false">IF(BY1416="LOSE",1,0)</f>
        <v>0</v>
      </c>
      <c r="CB1416" s="65" t="n">
        <f aca="false">IF(AND(U1416="",OR(P1416="",P1416="LOSE"),T1416&lt;&gt;"",N(S1416)&lt;=0,ISNUMBER(MATCH(T1416,Parameter!$I$27:$I$29,0))),1,0)</f>
        <v>0</v>
      </c>
      <c r="CC1416" s="65" t="n">
        <f aca="false">IF(CR1416&gt;0,INDEX(Parameter!$H$5:$H$7,W1416)/INDEX(Parameter!$E$5:$E$7,W1416),IF(AND(CA1416=0,N(IFERROR(VLOOKUP(BY1416,'Gebinde-Kategorie'!$A$5:$N$45,14,0),0))&gt;0),VLOOKUP(BY1416,'Gebinde-Kategorie'!$A$5:$N$45,14,0)*10+Parameter!$M$23,Parameter!$M$24))</f>
        <v>345</v>
      </c>
      <c r="CD1416" s="60" t="str">
        <f aca="false">IF(AND(Parameter!$B$19="Ja",E1416&lt;&gt;"",ISNUMBER(MATCH(E1416,Parameter!$I$35:$I$52,0))),VLOOKUP(E1416,Parameter!$I$35:$J$52,2,0),IFERROR(VLOOKUP(D1416,Parameter!$A$35:$C$64,2,0),"Nein"))</f>
        <v>2+3</v>
      </c>
      <c r="CE1416" s="64" t="n">
        <f aca="false">IF(CA1416=0,0,IF(N(S1416)&gt;0,S1416,IFERROR(VLOOKUP(D1416,Parameter!$A$35:$C$64,3,0)+0,0)))</f>
        <v>0</v>
      </c>
      <c r="CF1416" s="60" t="n">
        <f aca="false">IF(AB1416&lt;&gt;"",AB1416,AA1416)</f>
        <v>3</v>
      </c>
      <c r="CG1416" s="60" t="str">
        <f aca="false">IF(OR(CF1416=1,CF1416=2,CF1416=3),IF(Parameter!$E$27="Ja","LIFT",IF(CF1416=1,"L1","L23")),IF(CF1416="Aussen","Aussen","-"))</f>
        <v>LIFT</v>
      </c>
      <c r="CH1416" s="71" t="n">
        <f aca="false">IF(N(AC1416)&gt;0,AC1416,0)</f>
        <v>0</v>
      </c>
      <c r="CI1416" s="65" t="n">
        <f aca="false">IF(ISNUMBER(AF1416),1,0)</f>
        <v>0</v>
      </c>
      <c r="CJ1416" s="62" t="n">
        <f aca="false">N(AF1416)</f>
        <v>0</v>
      </c>
      <c r="CK1416" s="62" t="n">
        <f aca="false">N(M1416)+N(N1416)</f>
        <v>5</v>
      </c>
      <c r="CL1416" s="62" t="n">
        <f aca="false">N(M1416)</f>
        <v>0</v>
      </c>
      <c r="CM1416" s="62" t="n">
        <f aca="false">N(N1416)</f>
        <v>5</v>
      </c>
      <c r="CN1416" s="62" t="n">
        <f aca="false">ROUNDUP(H1416/BZ1416,0)</f>
        <v>0</v>
      </c>
      <c r="CO1416" s="62" t="n">
        <f aca="false">ROUNDUP(CJ1416/BZ1416,0)</f>
        <v>0</v>
      </c>
      <c r="CP1416" s="65" t="n">
        <f aca="false">IF(CA1416=1,0,IFERROR(VLOOKUP(BY1416,'Gebinde-Kategorie'!$A$5:$N$45,5,0)+0,0))</f>
        <v>31</v>
      </c>
      <c r="CQ1416" s="65" t="n">
        <f aca="false">IFERROR(IF(OR(CF1416=1,CF1416=2,CF1416=3),N(INDEX(Parameter!$I$5:$I$7,CF1416)),0),0)</f>
        <v>0</v>
      </c>
      <c r="CR1416" s="64" t="n">
        <f aca="false">IF(AND(Parameter!$B$21="Ja",ISNUMBER(W1416),N(X1416)&gt;0),IFERROR(N(INDEX(Parameter!$L$5:$L$7,W1416))*INDEX(Parameter!$E$5:$E$7,W1416)*X1416/SUMIFS($X$7:$X$1843,$W$7:$W$1843,W1416),0),0)</f>
        <v>0</v>
      </c>
      <c r="CS1416" s="62" t="str">
        <f aca="false">IF(AND(OR(CG1416="L1",CG1416="L23",CG1416="LIFT"),H1416&gt;0),CC1416*IF(CR1416&gt;0,CR1416*MAX(1,H1416/X1416),IF(CA1416=1,CE1416,IF(R1416&gt;0,CN1416/R1416,0))/MAX(0.1,N(Parameter!$M$21))),"")</f>
        <v/>
      </c>
      <c r="CT1416" s="64" t="str">
        <f aca="false">IF(CS1416="","",J1416/H1416)</f>
        <v/>
      </c>
      <c r="CU1416" s="62" t="str">
        <f aca="false">IF(CS1416="","",H1416*G1416)</f>
        <v/>
      </c>
      <c r="CV1416" s="63" t="str">
        <f aca="false">IF(CS1416="","",(CL1416+ROUNDUP(CL1416+MAX(CM1416,2*(J1416/MAX(0.1,N(Einkauf!$C$6))-CL1416)),0))/2)</f>
        <v/>
      </c>
      <c r="CW1416" s="62" t="str">
        <f aca="false">IF(CS1416="","",MAX(0,H1416-CV1416)*G1416)</f>
        <v/>
      </c>
      <c r="CX1416" s="62" t="str">
        <f aca="false">IF(CS1416="","",CS1416*MAX(0,1-CV1416/H1416))</f>
        <v/>
      </c>
      <c r="CY1416" s="64" t="str">
        <f aca="false">IF(CS1416="","",PERCENTRANK($CS$7:$CS$1843,CS1416)+PERCENTRANK($CU$7:$CU$1843,CU1416)+1-PERCENTRANK($CT$7:$CT$1843,CT1416))</f>
        <v/>
      </c>
      <c r="CZ1416" s="72" t="str">
        <f aca="false">IF(CS1416="","",CHOOSE(MATCH(Einkauf!$C$5,Parameter!$G$23:$G$27,0),CY1416,CS1416,CU1416,-CT1416,CW1416)+ROW()/1000000000)</f>
        <v/>
      </c>
    </row>
    <row r="1417" customFormat="false" ht="15" hidden="false" customHeight="false" outlineLevel="0" collapsed="false">
      <c r="A1417" s="60" t="s">
        <v>2528</v>
      </c>
      <c r="B1417" s="60" t="s">
        <v>2529</v>
      </c>
      <c r="C1417" s="60" t="s">
        <v>209</v>
      </c>
      <c r="D1417" s="60" t="s">
        <v>215</v>
      </c>
      <c r="E1417" s="60"/>
      <c r="F1417" s="60" t="s">
        <v>260</v>
      </c>
      <c r="G1417" s="61" t="n">
        <v>34.75</v>
      </c>
      <c r="H1417" s="62" t="n">
        <f aca="false">MAX(0,IF(AND(Parameter!$B$21="Ja",ISNUMBER(Y1417)),Y1417,IF(Parameter!$B$20="Jahresanfang 2025 + Export",BS1417+BR1417,BR1417)))</f>
        <v>47</v>
      </c>
      <c r="I1417" s="62" t="n">
        <f aca="false">H1417*G1417</f>
        <v>1633.25</v>
      </c>
      <c r="J1417" s="62" t="n">
        <f aca="false">BU1417*Parameter!$B$18</f>
        <v>185</v>
      </c>
      <c r="K1417" s="63" t="n">
        <v>117.5</v>
      </c>
      <c r="L1417" s="64" t="n">
        <v>1.57446808510638</v>
      </c>
      <c r="M1417" s="62" t="n">
        <v>0</v>
      </c>
      <c r="N1417" s="62" t="n">
        <v>1</v>
      </c>
      <c r="O1417" s="65" t="n">
        <v>56</v>
      </c>
      <c r="P1417" s="60" t="s">
        <v>210</v>
      </c>
      <c r="Q1417" s="62"/>
      <c r="R1417" s="65" t="n">
        <f aca="false">IF(CA1417=1,0,IFERROR(VLOOKUP(BY1417,'Gebinde-Kategorie'!$A$5:$N$45,13,0)+0,0))</f>
        <v>26</v>
      </c>
      <c r="S1417" s="66"/>
      <c r="T1417" s="67" t="s">
        <v>317</v>
      </c>
      <c r="U1417" s="67"/>
      <c r="V1417" s="67"/>
      <c r="W1417" s="60"/>
      <c r="X1417" s="62"/>
      <c r="Y1417" s="62"/>
      <c r="Z1417" s="60" t="n">
        <v>3</v>
      </c>
      <c r="AA1417" s="60" t="n">
        <f aca="false">IF(A1417="","",IF(AND(Parameter!$B$21="Ja",ISNUMBER(W1417)),W1417,IF(AND(Parameter!$E$27="Ja",ISNUMBER(Z1417),CD1417&lt;&gt;"Nein"),Z1417,IF(CD1417="2+3",IF(ISNUMBER(SEARCH("grosser Artikel",BV1417)),2,IFERROR(VLOOKUP(BY1417,Parameter!$F$35:$G$64,2,0),2)),IF(OR(CD1417="Nein",CD1417=""),"-",CD1417)))))</f>
        <v>3</v>
      </c>
      <c r="AB1417" s="67"/>
      <c r="AC1417" s="68"/>
      <c r="AD1417" s="62" t="n">
        <f aca="false">AW1417</f>
        <v>124</v>
      </c>
      <c r="AE1417" s="62" t="n">
        <f aca="false">MAX(AW1417,H1417)</f>
        <v>124</v>
      </c>
      <c r="AF1417" s="69"/>
      <c r="AG1417" s="62" t="n">
        <f aca="false">IF(LEFT(Cockpit!$C$5,1)="A",H1417,IF(Parameter!$E$30="MAX-Bestand",IF(CI1417=1,CJ1417,IF(LEFT(Cockpit!$C$5,1)="B",AM1417,MAX(AM1417,H1417))),ROUNDUP(AK1417,0)))</f>
        <v>47</v>
      </c>
      <c r="AH1417" s="62" t="n">
        <f aca="false">IF(CA1417=1,0,ROUNDUP(AG1417/BZ1417,0))</f>
        <v>1</v>
      </c>
      <c r="AI1417" s="64" t="n">
        <f aca="false">IF(CR1417&gt;0,CR1417*MAX(1,AG1417/X1417),IF(CA1417=1,IF(AG1417&lt;=0,0,CE1417*MAX(1,IF(H1417&gt;0,AG1417/H1417,1))),IF(R1417&gt;0,AH1417/R1417,0))/MAX(0.1,N(Parameter!$M$21)))</f>
        <v>0.0384615384615385</v>
      </c>
      <c r="AJ1417" s="62" t="n">
        <f aca="false">AI1417*CC1417</f>
        <v>5.96153846153846</v>
      </c>
      <c r="AK1417" s="63" t="n">
        <f aca="false">IF(LEFT(Cockpit!$C$5,1)="A",H1417,IF(CI1417=1,(CL1417+CJ1417)/2,IF(LEFT(Cockpit!$C$5,1)="B",(CL1417+AM1417)/2,MAX((CL1417+AM1417)/2,H1417))))</f>
        <v>47</v>
      </c>
      <c r="AL1417" s="62" t="n">
        <f aca="false">AK1417*G1417</f>
        <v>1633.25</v>
      </c>
      <c r="AM1417" s="62" t="n">
        <f aca="false">ROUNDUP(CL1417+MAX(CM1417,2*(J1417/IF(CH1417&gt;0,CH1417,MAX(0.1,N(Cockpit!$C$6)))-CL1417)),0)</f>
        <v>124</v>
      </c>
      <c r="AN1417" s="63" t="n">
        <f aca="false">IF(AJ1417&gt;0,J1417/AJ1417,-1)</f>
        <v>31.0322580645161</v>
      </c>
      <c r="AO1417" s="63" t="n">
        <f aca="false">IF(AND(OR(CG1417="L1",CG1417="L23",CG1417="LIFT"),AJ1417&gt;0),SUMIFS($AJ$7:$AJ$1843,$CG$7:$CG$1843,CG1417,$AN$7:$AN$1843,"&gt;"&amp;AN1417)+SUMIFS($AJ$7:$AJ$1843,$CG$7:$CG$1843,CG1417,$AN$7:$AN$1843,AN1417,$BX$7:$BX$1843,"&lt;="&amp;BX1417),"")</f>
        <v>1393.92857142857</v>
      </c>
      <c r="AP1417" s="70" t="n">
        <f aca="false">IF(AO1417="",0,MAX(0,MIN(1,(IF(CG1417="L1",Parameter!$H$5,IF(CG1417="L23",Parameter!$H$6+Parameter!$H$7,Parameter!$H$5+Parameter!$H$6+Parameter!$H$7))-(AO1417-AJ1417))/AJ1417)))</f>
        <v>1</v>
      </c>
      <c r="AQ1417" s="62" t="n">
        <f aca="false">IF(LEFT(Cockpit!$I$5,1)="A",H1417,IF(Parameter!$E$30="MAX-Bestand",IF(CI1417=1,CJ1417,IF(LEFT(Cockpit!$I$5,1)="B",AW1417,MAX(AW1417,H1417))),ROUNDUP(AU1417,0)))</f>
        <v>62</v>
      </c>
      <c r="AR1417" s="62" t="n">
        <f aca="false">IF(CA1417=1,0,ROUNDUP(AQ1417/BZ1417,0))</f>
        <v>2</v>
      </c>
      <c r="AS1417" s="64" t="n">
        <f aca="false">IF(CR1417&gt;0,CR1417*MAX(1,AQ1417/X1417),IF(CA1417=1,IF(AQ1417&lt;=0,0,CE1417*MAX(1,IF(H1417&gt;0,AQ1417/H1417,1))),IF(R1417&gt;0,AR1417/R1417,0))/MAX(0.1,N(Parameter!$M$21)))</f>
        <v>0.0769230769230769</v>
      </c>
      <c r="AT1417" s="62" t="n">
        <f aca="false">AS1417*CC1417</f>
        <v>11.9230769230769</v>
      </c>
      <c r="AU1417" s="63" t="n">
        <f aca="false">IF(LEFT(Cockpit!$I$5,1)="A",H1417,IF(CI1417=1,(CL1417+CJ1417)/2,IF(LEFT(Cockpit!$I$5,1)="B",(CL1417+AW1417)/2,MAX((CL1417+AW1417)/2,H1417))))</f>
        <v>62</v>
      </c>
      <c r="AV1417" s="62" t="n">
        <f aca="false">AU1417*G1417</f>
        <v>2154.5</v>
      </c>
      <c r="AW1417" s="62" t="n">
        <f aca="false">ROUNDUP(CL1417+MAX(CM1417,2*(J1417/IF(CH1417&gt;0,CH1417,MAX(0.1,N(Cockpit!$I$6)))-CL1417)),0)</f>
        <v>124</v>
      </c>
      <c r="AX1417" s="63" t="n">
        <f aca="false">IF(AT1417&gt;0,J1417/AT1417,-1)</f>
        <v>15.5161290322581</v>
      </c>
      <c r="AY1417" s="63" t="n">
        <f aca="false">IF(AND(OR(CG1417="L1",CG1417="L23",CG1417="LIFT"),AT1417&gt;0),SUMIFS($AT$7:$AT$1843,$CG$7:$CG$1843,CG1417,$AX$7:$AX$1843,"&gt;"&amp;AX1417)+SUMIFS($AT$7:$AT$1843,$CG$7:$CG$1843,CG1417,$AX$7:$AX$1843,AX1417,$BX$7:$BX$1843,"&lt;="&amp;BX1417),"")</f>
        <v>2713.62591575092</v>
      </c>
      <c r="AZ1417" s="70" t="n">
        <f aca="false">IF(AY1417="",0,MAX(0,MIN(1,(IF(CG1417="L1",Parameter!$H$5,IF(CG1417="L23",Parameter!$H$6+Parameter!$H$7,Parameter!$H$5+Parameter!$H$6+Parameter!$H$7))-(AY1417-AT1417))/AT1417)))</f>
        <v>1</v>
      </c>
      <c r="BA1417" s="62" t="n">
        <f aca="false">IF(LEFT(Cockpit!$O$5,1)="A",H1417,IF(Parameter!$E$30="MAX-Bestand",IF(CI1417=1,CJ1417,IF(LEFT(Cockpit!$O$5,1)="B",BG1417,MAX(BG1417,H1417))),ROUNDUP(BE1417,0)))</f>
        <v>47</v>
      </c>
      <c r="BB1417" s="62" t="n">
        <f aca="false">IF(CA1417=1,0,ROUNDUP(BA1417/BZ1417,0))</f>
        <v>1</v>
      </c>
      <c r="BC1417" s="64" t="n">
        <f aca="false">IF(CR1417&gt;0,CR1417*MAX(1,BA1417/X1417),IF(CA1417=1,IF(BA1417&lt;=0,0,CE1417*MAX(1,IF(H1417&gt;0,BA1417/H1417,1))),IF(R1417&gt;0,BB1417/R1417,0))/MAX(0.1,N(Parameter!$M$21)))</f>
        <v>0.0384615384615385</v>
      </c>
      <c r="BD1417" s="62" t="n">
        <f aca="false">BC1417*CC1417</f>
        <v>5.96153846153846</v>
      </c>
      <c r="BE1417" s="63" t="n">
        <f aca="false">IF(LEFT(Cockpit!$O$5,1)="A",H1417,IF(CI1417=1,(CL1417+CJ1417)/2,IF(LEFT(Cockpit!$O$5,1)="B",(CL1417+BG1417)/2,MAX((CL1417+BG1417)/2,H1417))))</f>
        <v>46.5</v>
      </c>
      <c r="BF1417" s="62" t="n">
        <f aca="false">BE1417*G1417</f>
        <v>1615.875</v>
      </c>
      <c r="BG1417" s="62" t="n">
        <f aca="false">ROUNDUP(CL1417+MAX(CM1417,2*(J1417/IF(CH1417&gt;0,CH1417,MAX(0.1,N(Cockpit!$O$6)))-CL1417)),0)</f>
        <v>93</v>
      </c>
      <c r="BH1417" s="63" t="n">
        <f aca="false">IF(BD1417&gt;0,J1417/BD1417,-1)</f>
        <v>31.0322580645161</v>
      </c>
      <c r="BI1417" s="63" t="n">
        <f aca="false">IF(AND(OR(CG1417="L1",CG1417="L23",CG1417="LIFT"),BD1417&gt;0),SUMIFS($BD$7:$BD$1843,$CG$7:$CG$1843,CG1417,$BH$7:$BH$1843,"&gt;"&amp;BH1417)+SUMIFS($BD$7:$BD$1843,$CG$7:$CG$1843,CG1417,$BH$7:$BH$1843,BH1417,$BX$7:$BX$1843,"&lt;="&amp;BX1417),"")</f>
        <v>1755.42536630037</v>
      </c>
      <c r="BJ1417" s="70" t="n">
        <f aca="false">IF(BI1417="",0,MAX(0,MIN(1,(IF(CG1417="L1",Parameter!$H$5,IF(CG1417="L23",Parameter!$H$6+Parameter!$H$7,Parameter!$H$5+Parameter!$H$6+Parameter!$H$7))-(BI1417-BD1417))/BD1417)))</f>
        <v>1</v>
      </c>
      <c r="BK1417" s="60" t="str">
        <f aca="false">IF(AJ1417&lt;=0,"",IF(CG1417="Aussen","Aussenlager",IF(CG1417="-","Nicht im Lift",IF(AP1417&gt;=1,"Lift",IF(AP1417&lt;=0,"Aussenlager","teilweise")))))</f>
        <v>Lift</v>
      </c>
      <c r="BL1417" s="60" t="str">
        <f aca="false">IF(AT1417&lt;=0,"",IF(CG1417="Aussen","Aussenlager",IF(CG1417="-","Nicht im Lift",IF(AZ1417&gt;=1,"Lift",IF(AZ1417&lt;=0,"Aussenlager","teilweise")))))</f>
        <v>Lift</v>
      </c>
      <c r="BM1417" s="60" t="str">
        <f aca="false">IF(BD1417&lt;=0,"",IF(CG1417="Aussen","Aussenlager",IF(CG1417="-","Nicht im Lift",IF(BJ1417&gt;=1,"Lift",IF(BJ1417&lt;=0,"Aussenlager","teilweise")))))</f>
        <v>Lift</v>
      </c>
      <c r="BN1417" s="60" t="str">
        <f aca="false">IF(A1417="","",IF(BW1417=1,"Neu; ","")&amp;IF(AND(BW1417=0,BR1417&lt;0),"negativer Bestand (Export "&amp;BR1417&amp;"); ","")&amp;IF(J1417&lt;=0,"Kein Verbrauch; ","")&amp;IF(CR1417&gt;0,"Lift "&amp;W1417&amp;" lt. Liftbericht (Fach "&amp;X1417&amp;" Stk); ",IF(CB1417=1,"Gebinde geschätzt ("&amp;T1417&amp;"); ",IF(CA1417=1,"Lose – Tablare geschätzt; ","")))&amp;IF(H1417&gt;AW1417,"Überbestand "&amp;ROUND(H1417-AW1417,0)&amp;" Stk / CHF "&amp;ROUND((H1417-AW1417)*G1417,0)&amp;"; ","")&amp;IF(AND(CI1417=1,CJ1417&lt;CK1417),"MAX &lt; MB+LG; ","")&amp;IF(AND(CQ1417&gt;0,CP1417*10&gt;CQ1417),"zu hoch für Tablar; ","")&amp;IF(AND(BW1417=0,OR(CI1417=1,AB1417&lt;&gt;"",U1417&lt;&gt;"",V1417&lt;&gt;"",AC1417&lt;&gt;"")),"manuell übersteuert; ","")&amp;IF(AND(CA1417=0,R1417=0),"Gebinde unbekannt / Stellmass fehlt; ","")&amp;IF(AND(CA1417=0,N(V1417)&lt;=0,N(Q1417)&lt;=0),"Menge pro Gebinde fehlt (Ist = 1 Gebinde); ","")&amp;BV1417)</f>
        <v>negativer Bestand (Export -151); Gebinde geschätzt (Klein); Menge pro Gebinde fehlt (Ist = 1 Gebinde); </v>
      </c>
      <c r="BO1417" s="60"/>
      <c r="BP1417" s="60"/>
      <c r="BQ1417" s="67"/>
      <c r="BR1417" s="62" t="n">
        <v>-151</v>
      </c>
      <c r="BS1417" s="62" t="n">
        <v>198</v>
      </c>
      <c r="BT1417" s="61" t="n">
        <v>-5247.25</v>
      </c>
      <c r="BU1417" s="62" t="n">
        <v>185</v>
      </c>
      <c r="BV1417" s="60"/>
      <c r="BW1417" s="65" t="n">
        <v>0</v>
      </c>
      <c r="BX1417" s="65" t="n">
        <v>1417</v>
      </c>
      <c r="BY1417" s="60" t="str">
        <f aca="false">IF(U1417&lt;&gt;"",UPPER(TRIM(U1417)),IF(CB1417=1,UPPER(VLOOKUP(T1417,Parameter!$I$27:$K$29,2,0)),IF(P1417="","LOSE",P1417)))</f>
        <v>S51</v>
      </c>
      <c r="BZ1417" s="62" t="n">
        <f aca="false">IF(BY1417="LOSE",1,IF(N(V1417)&gt;0,V1417,IF(CB1417=1,MAX(1,N(VLOOKUP(T1417,Parameter!$I$27:$K$29,3,0)),H1417,N(N1417)),IF(N(Q1417)&gt;0,Q1417,MAX(1,H1417)))))</f>
        <v>47</v>
      </c>
      <c r="CA1417" s="65" t="n">
        <f aca="false">IF(BY1417="LOSE",1,0)</f>
        <v>0</v>
      </c>
      <c r="CB1417" s="65" t="n">
        <f aca="false">IF(AND(U1417="",OR(P1417="",P1417="LOSE"),T1417&lt;&gt;"",N(S1417)&lt;=0,ISNUMBER(MATCH(T1417,Parameter!$I$27:$I$29,0))),1,0)</f>
        <v>1</v>
      </c>
      <c r="CC1417" s="65" t="n">
        <f aca="false">IF(CR1417&gt;0,INDEX(Parameter!$H$5:$H$7,W1417)/INDEX(Parameter!$E$5:$E$7,W1417),IF(AND(CA1417=0,N(IFERROR(VLOOKUP(BY1417,'Gebinde-Kategorie'!$A$5:$N$45,14,0),0))&gt;0),VLOOKUP(BY1417,'Gebinde-Kategorie'!$A$5:$N$45,14,0)*10+Parameter!$M$23,Parameter!$M$24))</f>
        <v>155</v>
      </c>
      <c r="CD1417" s="60" t="str">
        <f aca="false">IF(AND(Parameter!$B$19="Ja",E1417&lt;&gt;"",ISNUMBER(MATCH(E1417,Parameter!$I$35:$I$52,0))),VLOOKUP(E1417,Parameter!$I$35:$J$52,2,0),IFERROR(VLOOKUP(D1417,Parameter!$A$35:$C$64,2,0),"Nein"))</f>
        <v>2+3</v>
      </c>
      <c r="CE1417" s="64" t="n">
        <f aca="false">IF(CA1417=0,0,IF(N(S1417)&gt;0,S1417,IFERROR(VLOOKUP(D1417,Parameter!$A$35:$C$64,3,0)+0,0)))</f>
        <v>0</v>
      </c>
      <c r="CF1417" s="60" t="n">
        <f aca="false">IF(AB1417&lt;&gt;"",AB1417,AA1417)</f>
        <v>3</v>
      </c>
      <c r="CG1417" s="60" t="str">
        <f aca="false">IF(OR(CF1417=1,CF1417=2,CF1417=3),IF(Parameter!$E$27="Ja","LIFT",IF(CF1417=1,"L1","L23")),IF(CF1417="Aussen","Aussen","-"))</f>
        <v>LIFT</v>
      </c>
      <c r="CH1417" s="71" t="n">
        <f aca="false">IF(N(AC1417)&gt;0,AC1417,0)</f>
        <v>0</v>
      </c>
      <c r="CI1417" s="65" t="n">
        <f aca="false">IF(ISNUMBER(AF1417),1,0)</f>
        <v>0</v>
      </c>
      <c r="CJ1417" s="62" t="n">
        <f aca="false">N(AF1417)</f>
        <v>0</v>
      </c>
      <c r="CK1417" s="62" t="n">
        <f aca="false">N(M1417)+N(N1417)</f>
        <v>1</v>
      </c>
      <c r="CL1417" s="62" t="n">
        <f aca="false">N(M1417)</f>
        <v>0</v>
      </c>
      <c r="CM1417" s="62" t="n">
        <f aca="false">N(N1417)</f>
        <v>1</v>
      </c>
      <c r="CN1417" s="62" t="n">
        <f aca="false">ROUNDUP(H1417/BZ1417,0)</f>
        <v>1</v>
      </c>
      <c r="CO1417" s="62" t="n">
        <f aca="false">ROUNDUP(CJ1417/BZ1417,0)</f>
        <v>0</v>
      </c>
      <c r="CP1417" s="65" t="n">
        <f aca="false">IF(CA1417=1,0,IFERROR(VLOOKUP(BY1417,'Gebinde-Kategorie'!$A$5:$N$45,5,0)+0,0))</f>
        <v>11</v>
      </c>
      <c r="CQ1417" s="65" t="n">
        <f aca="false">IFERROR(IF(OR(CF1417=1,CF1417=2,CF1417=3),N(INDEX(Parameter!$I$5:$I$7,CF1417)),0),0)</f>
        <v>0</v>
      </c>
      <c r="CR1417" s="64" t="n">
        <f aca="false">IF(AND(Parameter!$B$21="Ja",ISNUMBER(W1417),N(X1417)&gt;0),IFERROR(N(INDEX(Parameter!$L$5:$L$7,W1417))*INDEX(Parameter!$E$5:$E$7,W1417)*X1417/SUMIFS($X$7:$X$1843,$W$7:$W$1843,W1417),0),0)</f>
        <v>0</v>
      </c>
      <c r="CS1417" s="62" t="n">
        <f aca="false">IF(AND(OR(CG1417="L1",CG1417="L23",CG1417="LIFT"),H1417&gt;0),CC1417*IF(CR1417&gt;0,CR1417*MAX(1,H1417/X1417),IF(CA1417=1,CE1417,IF(R1417&gt;0,CN1417/R1417,0))/MAX(0.1,N(Parameter!$M$21))),"")</f>
        <v>5.96153846153846</v>
      </c>
      <c r="CT1417" s="64" t="n">
        <f aca="false">IF(CS1417="","",J1417/H1417)</f>
        <v>3.93617021276596</v>
      </c>
      <c r="CU1417" s="62" t="n">
        <f aca="false">IF(CS1417="","",H1417*G1417)</f>
        <v>1633.25</v>
      </c>
      <c r="CV1417" s="63" t="n">
        <f aca="false">IF(CS1417="","",(CL1417+ROUNDUP(CL1417+MAX(CM1417,2*(J1417/MAX(0.1,N(Einkauf!$C$6))-CL1417)),0))/2)</f>
        <v>46.5</v>
      </c>
      <c r="CW1417" s="62" t="n">
        <f aca="false">IF(CS1417="","",MAX(0,H1417-CV1417)*G1417)</f>
        <v>17.375</v>
      </c>
      <c r="CX1417" s="62" t="n">
        <f aca="false">IF(CS1417="","",CS1417*MAX(0,1-CV1417/H1417))</f>
        <v>0.06342062193126</v>
      </c>
      <c r="CY1417" s="64" t="n">
        <f aca="false">IF(CS1417="","",PERCENTRANK($CS$7:$CS$1843,CS1417)+PERCENTRANK($CU$7:$CU$1843,CU1417)+1-PERCENTRANK($CT$7:$CT$1843,CT1417))</f>
        <v>1.156</v>
      </c>
      <c r="CZ1417" s="72" t="n">
        <f aca="false">IF(CS1417="","",CHOOSE(MATCH(Einkauf!$C$5,Parameter!$G$23:$G$27,0),CY1417,CS1417,CU1417,-CT1417,CW1417)+ROW()/1000000000)</f>
        <v>1.156001417</v>
      </c>
    </row>
    <row r="1418" customFormat="false" ht="15" hidden="false" customHeight="false" outlineLevel="0" collapsed="false">
      <c r="A1418" s="60" t="s">
        <v>2530</v>
      </c>
      <c r="B1418" s="60" t="s">
        <v>2531</v>
      </c>
      <c r="C1418" s="60" t="s">
        <v>206</v>
      </c>
      <c r="D1418" s="60" t="s">
        <v>215</v>
      </c>
      <c r="E1418" s="60" t="s">
        <v>208</v>
      </c>
      <c r="F1418" s="60" t="s">
        <v>260</v>
      </c>
      <c r="G1418" s="61" t="n">
        <v>505.01</v>
      </c>
      <c r="H1418" s="62" t="n">
        <f aca="false">MAX(0,IF(AND(Parameter!$B$21="Ja",ISNUMBER(Y1418)),Y1418,IF(Parameter!$B$20="Jahresanfang 2025 + Export",BS1418+BR1418,BR1418)))</f>
        <v>13</v>
      </c>
      <c r="I1418" s="62" t="n">
        <f aca="false">H1418*G1418</f>
        <v>6565.13</v>
      </c>
      <c r="J1418" s="62" t="n">
        <f aca="false">BU1418*Parameter!$B$18</f>
        <v>33</v>
      </c>
      <c r="K1418" s="63" t="n">
        <v>27.5</v>
      </c>
      <c r="L1418" s="64" t="n">
        <v>1.2</v>
      </c>
      <c r="M1418" s="62" t="n">
        <v>5</v>
      </c>
      <c r="N1418" s="62" t="n">
        <v>10</v>
      </c>
      <c r="O1418" s="65" t="n">
        <v>98</v>
      </c>
      <c r="P1418" s="60" t="s">
        <v>216</v>
      </c>
      <c r="Q1418" s="62" t="n">
        <v>18</v>
      </c>
      <c r="R1418" s="65" t="n">
        <f aca="false">IF(CA1418=1,0,IFERROR(VLOOKUP(BY1418,'Gebinde-Kategorie'!$A$5:$N$45,13,0)+0,0))</f>
        <v>6</v>
      </c>
      <c r="S1418" s="66"/>
      <c r="T1418" s="67"/>
      <c r="U1418" s="67"/>
      <c r="V1418" s="67"/>
      <c r="W1418" s="60"/>
      <c r="X1418" s="62"/>
      <c r="Y1418" s="62"/>
      <c r="Z1418" s="60" t="n">
        <v>1</v>
      </c>
      <c r="AA1418" s="60" t="n">
        <f aca="false">IF(A1418="","",IF(AND(Parameter!$B$21="Ja",ISNUMBER(W1418)),W1418,IF(AND(Parameter!$E$27="Ja",ISNUMBER(Z1418),CD1418&lt;&gt;"Nein"),Z1418,IF(CD1418="2+3",IF(ISNUMBER(SEARCH("grosser Artikel",BV1418)),2,IFERROR(VLOOKUP(BY1418,Parameter!$F$35:$G$64,2,0),2)),IF(OR(CD1418="Nein",CD1418=""),"-",CD1418)))))</f>
        <v>1</v>
      </c>
      <c r="AB1418" s="67"/>
      <c r="AC1418" s="68"/>
      <c r="AD1418" s="62" t="n">
        <f aca="false">AW1418</f>
        <v>17</v>
      </c>
      <c r="AE1418" s="62" t="n">
        <f aca="false">MAX(AW1418,H1418)</f>
        <v>17</v>
      </c>
      <c r="AF1418" s="69"/>
      <c r="AG1418" s="62" t="n">
        <f aca="false">IF(LEFT(Cockpit!$C$5,1)="A",H1418,IF(Parameter!$E$30="MAX-Bestand",IF(CI1418=1,CJ1418,IF(LEFT(Cockpit!$C$5,1)="B",AM1418,MAX(AM1418,H1418))),ROUNDUP(AK1418,0)))</f>
        <v>13</v>
      </c>
      <c r="AH1418" s="62" t="n">
        <f aca="false">IF(CA1418=1,0,ROUNDUP(AG1418/BZ1418,0))</f>
        <v>1</v>
      </c>
      <c r="AI1418" s="64" t="n">
        <f aca="false">IF(CR1418&gt;0,CR1418*MAX(1,AG1418/X1418),IF(CA1418=1,IF(AG1418&lt;=0,0,CE1418*MAX(1,IF(H1418&gt;0,AG1418/H1418,1))),IF(R1418&gt;0,AH1418/R1418,0))/MAX(0.1,N(Parameter!$M$21)))</f>
        <v>0.166666666666667</v>
      </c>
      <c r="AJ1418" s="62" t="n">
        <f aca="false">AI1418*CC1418</f>
        <v>39.1666666666667</v>
      </c>
      <c r="AK1418" s="63" t="n">
        <f aca="false">IF(LEFT(Cockpit!$C$5,1)="A",H1418,IF(CI1418=1,(CL1418+CJ1418)/2,IF(LEFT(Cockpit!$C$5,1)="B",(CL1418+AM1418)/2,MAX((CL1418+AM1418)/2,H1418))))</f>
        <v>13</v>
      </c>
      <c r="AL1418" s="62" t="n">
        <f aca="false">AK1418*G1418</f>
        <v>6565.13</v>
      </c>
      <c r="AM1418" s="62" t="n">
        <f aca="false">ROUNDUP(CL1418+MAX(CM1418,2*(J1418/IF(CH1418&gt;0,CH1418,MAX(0.1,N(Cockpit!$C$6)))-CL1418)),0)</f>
        <v>17</v>
      </c>
      <c r="AN1418" s="63" t="n">
        <f aca="false">IF(AJ1418&gt;0,J1418/AJ1418,-1)</f>
        <v>0.842553191489362</v>
      </c>
      <c r="AO1418" s="63" t="n">
        <f aca="false">IF(AND(OR(CG1418="L1",CG1418="L23",CG1418="LIFT"),AJ1418&gt;0),SUMIFS($AJ$7:$AJ$1843,$CG$7:$CG$1843,CG1418,$AN$7:$AN$1843,"&gt;"&amp;AN1418)+SUMIFS($AJ$7:$AJ$1843,$CG$7:$CG$1843,CG1418,$AN$7:$AN$1843,AN1418,$BX$7:$BX$1843,"&lt;="&amp;BX1418),"")</f>
        <v>7872.77884615385</v>
      </c>
      <c r="AP1418" s="70" t="n">
        <f aca="false">IF(AO1418="",0,MAX(0,MIN(1,(IF(CG1418="L1",Parameter!$H$5,IF(CG1418="L23",Parameter!$H$6+Parameter!$H$7,Parameter!$H$5+Parameter!$H$6+Parameter!$H$7))-(AO1418-AJ1418))/AJ1418)))</f>
        <v>1</v>
      </c>
      <c r="AQ1418" s="62" t="n">
        <f aca="false">IF(LEFT(Cockpit!$I$5,1)="A",H1418,IF(Parameter!$E$30="MAX-Bestand",IF(CI1418=1,CJ1418,IF(LEFT(Cockpit!$I$5,1)="B",AW1418,MAX(AW1418,H1418))),ROUNDUP(AU1418,0)))</f>
        <v>13</v>
      </c>
      <c r="AR1418" s="62" t="n">
        <f aca="false">IF(CA1418=1,0,ROUNDUP(AQ1418/BZ1418,0))</f>
        <v>1</v>
      </c>
      <c r="AS1418" s="64" t="n">
        <f aca="false">IF(CR1418&gt;0,CR1418*MAX(1,AQ1418/X1418),IF(CA1418=1,IF(AQ1418&lt;=0,0,CE1418*MAX(1,IF(H1418&gt;0,AQ1418/H1418,1))),IF(R1418&gt;0,AR1418/R1418,0))/MAX(0.1,N(Parameter!$M$21)))</f>
        <v>0.166666666666667</v>
      </c>
      <c r="AT1418" s="62" t="n">
        <f aca="false">AS1418*CC1418</f>
        <v>39.1666666666667</v>
      </c>
      <c r="AU1418" s="63" t="n">
        <f aca="false">IF(LEFT(Cockpit!$I$5,1)="A",H1418,IF(CI1418=1,(CL1418+CJ1418)/2,IF(LEFT(Cockpit!$I$5,1)="B",(CL1418+AW1418)/2,MAX((CL1418+AW1418)/2,H1418))))</f>
        <v>13</v>
      </c>
      <c r="AV1418" s="62" t="n">
        <f aca="false">AU1418*G1418</f>
        <v>6565.13</v>
      </c>
      <c r="AW1418" s="62" t="n">
        <f aca="false">ROUNDUP(CL1418+MAX(CM1418,2*(J1418/IF(CH1418&gt;0,CH1418,MAX(0.1,N(Cockpit!$I$6)))-CL1418)),0)</f>
        <v>17</v>
      </c>
      <c r="AX1418" s="63" t="n">
        <f aca="false">IF(AT1418&gt;0,J1418/AT1418,-1)</f>
        <v>0.842553191489362</v>
      </c>
      <c r="AY1418" s="63" t="n">
        <f aca="false">IF(AND(OR(CG1418="L1",CG1418="L23",CG1418="LIFT"),AT1418&gt;0),SUMIFS($AT$7:$AT$1843,$CG$7:$CG$1843,CG1418,$AX$7:$AX$1843,"&gt;"&amp;AX1418)+SUMIFS($AT$7:$AT$1843,$CG$7:$CG$1843,CG1418,$AX$7:$AX$1843,AX1418,$BX$7:$BX$1843,"&lt;="&amp;BX1418),"")</f>
        <v>9622.21886446886</v>
      </c>
      <c r="AZ1418" s="70" t="n">
        <f aca="false">IF(AY1418="",0,MAX(0,MIN(1,(IF(CG1418="L1",Parameter!$H$5,IF(CG1418="L23",Parameter!$H$6+Parameter!$H$7,Parameter!$H$5+Parameter!$H$6+Parameter!$H$7))-(AY1418-AT1418))/AT1418)))</f>
        <v>1</v>
      </c>
      <c r="BA1418" s="62" t="n">
        <f aca="false">IF(LEFT(Cockpit!$O$5,1)="A",H1418,IF(Parameter!$E$30="MAX-Bestand",IF(CI1418=1,CJ1418,IF(LEFT(Cockpit!$O$5,1)="B",BG1418,MAX(BG1418,H1418))),ROUNDUP(BE1418,0)))</f>
        <v>10</v>
      </c>
      <c r="BB1418" s="62" t="n">
        <f aca="false">IF(CA1418=1,0,ROUNDUP(BA1418/BZ1418,0))</f>
        <v>1</v>
      </c>
      <c r="BC1418" s="64" t="n">
        <f aca="false">IF(CR1418&gt;0,CR1418*MAX(1,BA1418/X1418),IF(CA1418=1,IF(BA1418&lt;=0,0,CE1418*MAX(1,IF(H1418&gt;0,BA1418/H1418,1))),IF(R1418&gt;0,BB1418/R1418,0))/MAX(0.1,N(Parameter!$M$21)))</f>
        <v>0.166666666666667</v>
      </c>
      <c r="BD1418" s="62" t="n">
        <f aca="false">BC1418*CC1418</f>
        <v>39.1666666666667</v>
      </c>
      <c r="BE1418" s="63" t="n">
        <f aca="false">IF(LEFT(Cockpit!$O$5,1)="A",H1418,IF(CI1418=1,(CL1418+CJ1418)/2,IF(LEFT(Cockpit!$O$5,1)="B",(CL1418+BG1418)/2,MAX((CL1418+BG1418)/2,H1418))))</f>
        <v>10</v>
      </c>
      <c r="BF1418" s="62" t="n">
        <f aca="false">BE1418*G1418</f>
        <v>5050.1</v>
      </c>
      <c r="BG1418" s="62" t="n">
        <f aca="false">ROUNDUP(CL1418+MAX(CM1418,2*(J1418/IF(CH1418&gt;0,CH1418,MAX(0.1,N(Cockpit!$O$6)))-CL1418)),0)</f>
        <v>15</v>
      </c>
      <c r="BH1418" s="63" t="n">
        <f aca="false">IF(BD1418&gt;0,J1418/BD1418,-1)</f>
        <v>0.842553191489362</v>
      </c>
      <c r="BI1418" s="63" t="n">
        <f aca="false">IF(AND(OR(CG1418="L1",CG1418="L23",CG1418="LIFT"),BD1418&gt;0),SUMIFS($BD$7:$BD$1843,$CG$7:$CG$1843,CG1418,$BH$7:$BH$1843,"&gt;"&amp;BH1418)+SUMIFS($BD$7:$BD$1843,$CG$7:$CG$1843,CG1418,$BH$7:$BH$1843,BH1418,$BX$7:$BX$1843,"&lt;="&amp;BX1418),"")</f>
        <v>8589.25686813187</v>
      </c>
      <c r="BJ1418" s="70" t="n">
        <f aca="false">IF(BI1418="",0,MAX(0,MIN(1,(IF(CG1418="L1",Parameter!$H$5,IF(CG1418="L23",Parameter!$H$6+Parameter!$H$7,Parameter!$H$5+Parameter!$H$6+Parameter!$H$7))-(BI1418-BD1418))/BD1418)))</f>
        <v>1</v>
      </c>
      <c r="BK1418" s="60" t="str">
        <f aca="false">IF(AJ1418&lt;=0,"",IF(CG1418="Aussen","Aussenlager",IF(CG1418="-","Nicht im Lift",IF(AP1418&gt;=1,"Lift",IF(AP1418&lt;=0,"Aussenlager","teilweise")))))</f>
        <v>Lift</v>
      </c>
      <c r="BL1418" s="60" t="str">
        <f aca="false">IF(AT1418&lt;=0,"",IF(CG1418="Aussen","Aussenlager",IF(CG1418="-","Nicht im Lift",IF(AZ1418&gt;=1,"Lift",IF(AZ1418&lt;=0,"Aussenlager","teilweise")))))</f>
        <v>Lift</v>
      </c>
      <c r="BM1418" s="60" t="str">
        <f aca="false">IF(BD1418&lt;=0,"",IF(CG1418="Aussen","Aussenlager",IF(CG1418="-","Nicht im Lift",IF(BJ1418&gt;=1,"Lift",IF(BJ1418&lt;=0,"Aussenlager","teilweise")))))</f>
        <v>Lift</v>
      </c>
      <c r="BN1418" s="60" t="str">
        <f aca="false">IF(A1418="","",IF(BW1418=1,"Neu; ","")&amp;IF(AND(BW1418=0,BR1418&lt;0),"negativer Bestand (Export "&amp;BR1418&amp;"); ","")&amp;IF(J1418&lt;=0,"Kein Verbrauch; ","")&amp;IF(CR1418&gt;0,"Lift "&amp;W1418&amp;" lt. Liftbericht (Fach "&amp;X1418&amp;" Stk); ",IF(CB1418=1,"Gebinde geschätzt ("&amp;T1418&amp;"); ",IF(CA1418=1,"Lose – Tablare geschätzt; ","")))&amp;IF(H1418&gt;AW1418,"Überbestand "&amp;ROUND(H1418-AW1418,0)&amp;" Stk / CHF "&amp;ROUND((H1418-AW1418)*G1418,0)&amp;"; ","")&amp;IF(AND(CI1418=1,CJ1418&lt;CK1418),"MAX &lt; MB+LG; ","")&amp;IF(AND(CQ1418&gt;0,CP1418*10&gt;CQ1418),"zu hoch für Tablar; ","")&amp;IF(AND(BW1418=0,OR(CI1418=1,AB1418&lt;&gt;"",U1418&lt;&gt;"",V1418&lt;&gt;"",AC1418&lt;&gt;"")),"manuell übersteuert; ","")&amp;IF(AND(CA1418=0,R1418=0),"Gebinde unbekannt / Stellmass fehlt; ","")&amp;IF(AND(CA1418=0,N(V1418)&lt;=0,N(Q1418)&lt;=0),"Menge pro Gebinde fehlt (Ist = 1 Gebinde); ","")&amp;BV1418)</f>
        <v>negativer Bestand (Export -15); </v>
      </c>
      <c r="BO1418" s="60"/>
      <c r="BP1418" s="60"/>
      <c r="BQ1418" s="67"/>
      <c r="BR1418" s="62" t="n">
        <v>-15</v>
      </c>
      <c r="BS1418" s="62" t="n">
        <v>28</v>
      </c>
      <c r="BT1418" s="61" t="n">
        <v>-5279.71</v>
      </c>
      <c r="BU1418" s="62" t="n">
        <v>33</v>
      </c>
      <c r="BV1418" s="60"/>
      <c r="BW1418" s="65" t="n">
        <v>0</v>
      </c>
      <c r="BX1418" s="65" t="n">
        <v>1418</v>
      </c>
      <c r="BY1418" s="60" t="str">
        <f aca="false">IF(U1418&lt;&gt;"",UPPER(TRIM(U1418)),IF(CB1418=1,UPPER(VLOOKUP(T1418,Parameter!$I$27:$K$29,2,0)),IF(P1418="","LOSE",P1418)))</f>
        <v>S71</v>
      </c>
      <c r="BZ1418" s="62" t="n">
        <f aca="false">IF(BY1418="LOSE",1,IF(N(V1418)&gt;0,V1418,IF(CB1418=1,MAX(1,N(VLOOKUP(T1418,Parameter!$I$27:$K$29,3,0)),H1418,N(N1418)),IF(N(Q1418)&gt;0,Q1418,MAX(1,H1418)))))</f>
        <v>18</v>
      </c>
      <c r="CA1418" s="65" t="n">
        <f aca="false">IF(BY1418="LOSE",1,0)</f>
        <v>0</v>
      </c>
      <c r="CB1418" s="65" t="n">
        <f aca="false">IF(AND(U1418="",OR(P1418="",P1418="LOSE"),T1418&lt;&gt;"",N(S1418)&lt;=0,ISNUMBER(MATCH(T1418,Parameter!$I$27:$I$29,0))),1,0)</f>
        <v>0</v>
      </c>
      <c r="CC1418" s="65" t="n">
        <f aca="false">IF(CR1418&gt;0,INDEX(Parameter!$H$5:$H$7,W1418)/INDEX(Parameter!$E$5:$E$7,W1418),IF(AND(CA1418=0,N(IFERROR(VLOOKUP(BY1418,'Gebinde-Kategorie'!$A$5:$N$45,14,0),0))&gt;0),VLOOKUP(BY1418,'Gebinde-Kategorie'!$A$5:$N$45,14,0)*10+Parameter!$M$23,Parameter!$M$24))</f>
        <v>235</v>
      </c>
      <c r="CD1418" s="60" t="n">
        <f aca="false">IF(AND(Parameter!$B$19="Ja",E1418&lt;&gt;"",ISNUMBER(MATCH(E1418,Parameter!$I$35:$I$52,0))),VLOOKUP(E1418,Parameter!$I$35:$J$52,2,0),IFERROR(VLOOKUP(D1418,Parameter!$A$35:$C$64,2,0),"Nein"))</f>
        <v>1</v>
      </c>
      <c r="CE1418" s="64" t="n">
        <f aca="false">IF(CA1418=0,0,IF(N(S1418)&gt;0,S1418,IFERROR(VLOOKUP(D1418,Parameter!$A$35:$C$64,3,0)+0,0)))</f>
        <v>0</v>
      </c>
      <c r="CF1418" s="60" t="n">
        <f aca="false">IF(AB1418&lt;&gt;"",AB1418,AA1418)</f>
        <v>1</v>
      </c>
      <c r="CG1418" s="60" t="str">
        <f aca="false">IF(OR(CF1418=1,CF1418=2,CF1418=3),IF(Parameter!$E$27="Ja","LIFT",IF(CF1418=1,"L1","L23")),IF(CF1418="Aussen","Aussen","-"))</f>
        <v>LIFT</v>
      </c>
      <c r="CH1418" s="71" t="n">
        <f aca="false">IF(N(AC1418)&gt;0,AC1418,0)</f>
        <v>0</v>
      </c>
      <c r="CI1418" s="65" t="n">
        <f aca="false">IF(ISNUMBER(AF1418),1,0)</f>
        <v>0</v>
      </c>
      <c r="CJ1418" s="62" t="n">
        <f aca="false">N(AF1418)</f>
        <v>0</v>
      </c>
      <c r="CK1418" s="62" t="n">
        <f aca="false">N(M1418)+N(N1418)</f>
        <v>15</v>
      </c>
      <c r="CL1418" s="62" t="n">
        <f aca="false">N(M1418)</f>
        <v>5</v>
      </c>
      <c r="CM1418" s="62" t="n">
        <f aca="false">N(N1418)</f>
        <v>10</v>
      </c>
      <c r="CN1418" s="62" t="n">
        <f aca="false">ROUNDUP(H1418/BZ1418,0)</f>
        <v>1</v>
      </c>
      <c r="CO1418" s="62" t="n">
        <f aca="false">ROUNDUP(CJ1418/BZ1418,0)</f>
        <v>0</v>
      </c>
      <c r="CP1418" s="65" t="n">
        <f aca="false">IF(CA1418=1,0,IFERROR(VLOOKUP(BY1418,'Gebinde-Kategorie'!$A$5:$N$45,5,0)+0,0))</f>
        <v>20</v>
      </c>
      <c r="CQ1418" s="65" t="n">
        <f aca="false">IFERROR(IF(OR(CF1418=1,CF1418=2,CF1418=3),N(INDEX(Parameter!$I$5:$I$7,CF1418)),0),0)</f>
        <v>0</v>
      </c>
      <c r="CR1418" s="64" t="n">
        <f aca="false">IF(AND(Parameter!$B$21="Ja",ISNUMBER(W1418),N(X1418)&gt;0),IFERROR(N(INDEX(Parameter!$L$5:$L$7,W1418))*INDEX(Parameter!$E$5:$E$7,W1418)*X1418/SUMIFS($X$7:$X$1843,$W$7:$W$1843,W1418),0),0)</f>
        <v>0</v>
      </c>
      <c r="CS1418" s="62" t="n">
        <f aca="false">IF(AND(OR(CG1418="L1",CG1418="L23",CG1418="LIFT"),H1418&gt;0),CC1418*IF(CR1418&gt;0,CR1418*MAX(1,H1418/X1418),IF(CA1418=1,CE1418,IF(R1418&gt;0,CN1418/R1418,0))/MAX(0.1,N(Parameter!$M$21))),"")</f>
        <v>39.1666666666667</v>
      </c>
      <c r="CT1418" s="64" t="n">
        <f aca="false">IF(CS1418="","",J1418/H1418)</f>
        <v>2.53846153846154</v>
      </c>
      <c r="CU1418" s="62" t="n">
        <f aca="false">IF(CS1418="","",H1418*G1418)</f>
        <v>6565.13</v>
      </c>
      <c r="CV1418" s="63" t="n">
        <f aca="false">IF(CS1418="","",(CL1418+ROUNDUP(CL1418+MAX(CM1418,2*(J1418/MAX(0.1,N(Einkauf!$C$6))-CL1418)),0))/2)</f>
        <v>10</v>
      </c>
      <c r="CW1418" s="62" t="n">
        <f aca="false">IF(CS1418="","",MAX(0,H1418-CV1418)*G1418)</f>
        <v>1515.03</v>
      </c>
      <c r="CX1418" s="62" t="n">
        <f aca="false">IF(CS1418="","",CS1418*MAX(0,1-CV1418/H1418))</f>
        <v>9.03846153846154</v>
      </c>
      <c r="CY1418" s="64" t="n">
        <f aca="false">IF(CS1418="","",PERCENTRANK($CS$7:$CS$1843,CS1418)+PERCENTRANK($CU$7:$CU$1843,CU1418)+1-PERCENTRANK($CT$7:$CT$1843,CT1418))</f>
        <v>1.929</v>
      </c>
      <c r="CZ1418" s="72" t="n">
        <f aca="false">IF(CS1418="","",CHOOSE(MATCH(Einkauf!$C$5,Parameter!$G$23:$G$27,0),CY1418,CS1418,CU1418,-CT1418,CW1418)+ROW()/1000000000)</f>
        <v>1.929001418</v>
      </c>
    </row>
    <row r="1419" customFormat="false" ht="15" hidden="false" customHeight="false" outlineLevel="0" collapsed="false">
      <c r="A1419" s="60" t="s">
        <v>2532</v>
      </c>
      <c r="B1419" s="60" t="s">
        <v>2533</v>
      </c>
      <c r="C1419" s="60" t="s">
        <v>206</v>
      </c>
      <c r="D1419" s="60" t="s">
        <v>1037</v>
      </c>
      <c r="E1419" s="60"/>
      <c r="F1419" s="60" t="s">
        <v>260</v>
      </c>
      <c r="G1419" s="61" t="n">
        <v>609.56</v>
      </c>
      <c r="H1419" s="62" t="n">
        <f aca="false">MAX(0,IF(AND(Parameter!$B$21="Ja",ISNUMBER(Y1419)),Y1419,IF(Parameter!$B$20="Jahresanfang 2025 + Export",BS1419+BR1419,BR1419)))</f>
        <v>0</v>
      </c>
      <c r="I1419" s="62" t="n">
        <f aca="false">H1419*G1419</f>
        <v>0</v>
      </c>
      <c r="J1419" s="62" t="n">
        <f aca="false">BU1419*Parameter!$B$18</f>
        <v>3</v>
      </c>
      <c r="K1419" s="63" t="n">
        <v>13</v>
      </c>
      <c r="L1419" s="64" t="n">
        <v>0.230769230769231</v>
      </c>
      <c r="M1419" s="62" t="n">
        <v>0</v>
      </c>
      <c r="N1419" s="62" t="n">
        <v>1</v>
      </c>
      <c r="O1419" s="65" t="n">
        <v>14</v>
      </c>
      <c r="P1419" s="60" t="s">
        <v>210</v>
      </c>
      <c r="Q1419" s="62"/>
      <c r="R1419" s="65" t="n">
        <f aca="false">IF(CA1419=1,0,IFERROR(VLOOKUP(BY1419,'Gebinde-Kategorie'!$A$5:$N$45,13,0)+0,0))</f>
        <v>0</v>
      </c>
      <c r="S1419" s="66"/>
      <c r="T1419" s="67"/>
      <c r="U1419" s="67"/>
      <c r="V1419" s="67"/>
      <c r="W1419" s="60"/>
      <c r="X1419" s="62"/>
      <c r="Y1419" s="62"/>
      <c r="Z1419" s="60"/>
      <c r="AA1419" s="60" t="str">
        <f aca="false">IF(A1419="","",IF(AND(Parameter!$B$21="Ja",ISNUMBER(W1419)),W1419,IF(AND(Parameter!$E$27="Ja",ISNUMBER(Z1419),CD1419&lt;&gt;"Nein"),Z1419,IF(CD1419="2+3",IF(ISNUMBER(SEARCH("grosser Artikel",BV1419)),2,IFERROR(VLOOKUP(BY1419,Parameter!$F$35:$G$64,2,0),2)),IF(OR(CD1419="Nein",CD1419=""),"-",CD1419)))))</f>
        <v>-</v>
      </c>
      <c r="AB1419" s="67"/>
      <c r="AC1419" s="68"/>
      <c r="AD1419" s="62" t="n">
        <f aca="false">AW1419</f>
        <v>2</v>
      </c>
      <c r="AE1419" s="62" t="n">
        <f aca="false">MAX(AW1419,H1419)</f>
        <v>2</v>
      </c>
      <c r="AF1419" s="69"/>
      <c r="AG1419" s="62" t="n">
        <f aca="false">IF(LEFT(Cockpit!$C$5,1)="A",H1419,IF(Parameter!$E$30="MAX-Bestand",IF(CI1419=1,CJ1419,IF(LEFT(Cockpit!$C$5,1)="B",AM1419,MAX(AM1419,H1419))),ROUNDUP(AK1419,0)))</f>
        <v>0</v>
      </c>
      <c r="AH1419" s="62" t="n">
        <f aca="false">IF(CA1419=1,0,ROUNDUP(AG1419/BZ1419,0))</f>
        <v>0</v>
      </c>
      <c r="AI1419" s="64" t="n">
        <f aca="false">IF(CR1419&gt;0,CR1419*MAX(1,AG1419/X1419),IF(CA1419=1,IF(AG1419&lt;=0,0,CE1419*MAX(1,IF(H1419&gt;0,AG1419/H1419,1))),IF(R1419&gt;0,AH1419/R1419,0))/MAX(0.1,N(Parameter!$M$21)))</f>
        <v>0</v>
      </c>
      <c r="AJ1419" s="62" t="n">
        <f aca="false">AI1419*CC1419</f>
        <v>0</v>
      </c>
      <c r="AK1419" s="63" t="n">
        <f aca="false">IF(LEFT(Cockpit!$C$5,1)="A",H1419,IF(CI1419=1,(CL1419+CJ1419)/2,IF(LEFT(Cockpit!$C$5,1)="B",(CL1419+AM1419)/2,MAX((CL1419+AM1419)/2,H1419))))</f>
        <v>0</v>
      </c>
      <c r="AL1419" s="62" t="n">
        <f aca="false">AK1419*G1419</f>
        <v>0</v>
      </c>
      <c r="AM1419" s="62" t="n">
        <f aca="false">ROUNDUP(CL1419+MAX(CM1419,2*(J1419/IF(CH1419&gt;0,CH1419,MAX(0.1,N(Cockpit!$C$6)))-CL1419)),0)</f>
        <v>2</v>
      </c>
      <c r="AN1419" s="63" t="n">
        <f aca="false">IF(AJ1419&gt;0,J1419/AJ1419,-1)</f>
        <v>-1</v>
      </c>
      <c r="AO1419" s="63" t="str">
        <f aca="false">IF(AND(OR(CG1419="L1",CG1419="L23",CG1419="LIFT"),AJ1419&gt;0),SUMIFS($AJ$7:$AJ$1843,$CG$7:$CG$1843,CG1419,$AN$7:$AN$1843,"&gt;"&amp;AN1419)+SUMIFS($AJ$7:$AJ$1843,$CG$7:$CG$1843,CG1419,$AN$7:$AN$1843,AN1419,$BX$7:$BX$1843,"&lt;="&amp;BX1419),"")</f>
        <v/>
      </c>
      <c r="AP1419" s="70" t="n">
        <f aca="false">IF(AO1419="",0,MAX(0,MIN(1,(IF(CG1419="L1",Parameter!$H$5,IF(CG1419="L23",Parameter!$H$6+Parameter!$H$7,Parameter!$H$5+Parameter!$H$6+Parameter!$H$7))-(AO1419-AJ1419))/AJ1419)))</f>
        <v>0</v>
      </c>
      <c r="AQ1419" s="62" t="n">
        <f aca="false">IF(LEFT(Cockpit!$I$5,1)="A",H1419,IF(Parameter!$E$30="MAX-Bestand",IF(CI1419=1,CJ1419,IF(LEFT(Cockpit!$I$5,1)="B",AW1419,MAX(AW1419,H1419))),ROUNDUP(AU1419,0)))</f>
        <v>1</v>
      </c>
      <c r="AR1419" s="62" t="n">
        <f aca="false">IF(CA1419=1,0,ROUNDUP(AQ1419/BZ1419,0))</f>
        <v>0</v>
      </c>
      <c r="AS1419" s="64" t="n">
        <f aca="false">IF(CR1419&gt;0,CR1419*MAX(1,AQ1419/X1419),IF(CA1419=1,IF(AQ1419&lt;=0,0,CE1419*MAX(1,IF(H1419&gt;0,AQ1419/H1419,1))),IF(R1419&gt;0,AR1419/R1419,0))/MAX(0.1,N(Parameter!$M$21)))</f>
        <v>0.15</v>
      </c>
      <c r="AT1419" s="62" t="n">
        <f aca="false">AS1419*CC1419</f>
        <v>35.25</v>
      </c>
      <c r="AU1419" s="63" t="n">
        <f aca="false">IF(LEFT(Cockpit!$I$5,1)="A",H1419,IF(CI1419=1,(CL1419+CJ1419)/2,IF(LEFT(Cockpit!$I$5,1)="B",(CL1419+AW1419)/2,MAX((CL1419+AW1419)/2,H1419))))</f>
        <v>1</v>
      </c>
      <c r="AV1419" s="62" t="n">
        <f aca="false">AU1419*G1419</f>
        <v>609.56</v>
      </c>
      <c r="AW1419" s="62" t="n">
        <f aca="false">ROUNDUP(CL1419+MAX(CM1419,2*(J1419/IF(CH1419&gt;0,CH1419,MAX(0.1,N(Cockpit!$I$6)))-CL1419)),0)</f>
        <v>2</v>
      </c>
      <c r="AX1419" s="63" t="n">
        <f aca="false">IF(AT1419&gt;0,J1419/AT1419,-1)</f>
        <v>0.0851063829787234</v>
      </c>
      <c r="AY1419" s="63" t="str">
        <f aca="false">IF(AND(OR(CG1419="L1",CG1419="L23",CG1419="LIFT"),AT1419&gt;0),SUMIFS($AT$7:$AT$1843,$CG$7:$CG$1843,CG1419,$AX$7:$AX$1843,"&gt;"&amp;AX1419)+SUMIFS($AT$7:$AT$1843,$CG$7:$CG$1843,CG1419,$AX$7:$AX$1843,AX1419,$BX$7:$BX$1843,"&lt;="&amp;BX1419),"")</f>
        <v/>
      </c>
      <c r="AZ1419" s="70" t="n">
        <f aca="false">IF(AY1419="",0,MAX(0,MIN(1,(IF(CG1419="L1",Parameter!$H$5,IF(CG1419="L23",Parameter!$H$6+Parameter!$H$7,Parameter!$H$5+Parameter!$H$6+Parameter!$H$7))-(AY1419-AT1419))/AT1419)))</f>
        <v>0</v>
      </c>
      <c r="BA1419" s="62" t="n">
        <f aca="false">IF(LEFT(Cockpit!$O$5,1)="A",H1419,IF(Parameter!$E$30="MAX-Bestand",IF(CI1419=1,CJ1419,IF(LEFT(Cockpit!$O$5,1)="B",BG1419,MAX(BG1419,H1419))),ROUNDUP(BE1419,0)))</f>
        <v>1</v>
      </c>
      <c r="BB1419" s="62" t="n">
        <f aca="false">IF(CA1419=1,0,ROUNDUP(BA1419/BZ1419,0))</f>
        <v>0</v>
      </c>
      <c r="BC1419" s="64" t="n">
        <f aca="false">IF(CR1419&gt;0,CR1419*MAX(1,BA1419/X1419),IF(CA1419=1,IF(BA1419&lt;=0,0,CE1419*MAX(1,IF(H1419&gt;0,BA1419/H1419,1))),IF(R1419&gt;0,BB1419/R1419,0))/MAX(0.1,N(Parameter!$M$21)))</f>
        <v>0.15</v>
      </c>
      <c r="BD1419" s="62" t="n">
        <f aca="false">BC1419*CC1419</f>
        <v>35.25</v>
      </c>
      <c r="BE1419" s="63" t="n">
        <f aca="false">IF(LEFT(Cockpit!$O$5,1)="A",H1419,IF(CI1419=1,(CL1419+CJ1419)/2,IF(LEFT(Cockpit!$O$5,1)="B",(CL1419+BG1419)/2,MAX((CL1419+BG1419)/2,H1419))))</f>
        <v>1</v>
      </c>
      <c r="BF1419" s="62" t="n">
        <f aca="false">BE1419*G1419</f>
        <v>609.56</v>
      </c>
      <c r="BG1419" s="62" t="n">
        <f aca="false">ROUNDUP(CL1419+MAX(CM1419,2*(J1419/IF(CH1419&gt;0,CH1419,MAX(0.1,N(Cockpit!$O$6)))-CL1419)),0)</f>
        <v>2</v>
      </c>
      <c r="BH1419" s="63" t="n">
        <f aca="false">IF(BD1419&gt;0,J1419/BD1419,-1)</f>
        <v>0.0851063829787234</v>
      </c>
      <c r="BI1419" s="63" t="str">
        <f aca="false">IF(AND(OR(CG1419="L1",CG1419="L23",CG1419="LIFT"),BD1419&gt;0),SUMIFS($BD$7:$BD$1843,$CG$7:$CG$1843,CG1419,$BH$7:$BH$1843,"&gt;"&amp;BH1419)+SUMIFS($BD$7:$BD$1843,$CG$7:$CG$1843,CG1419,$BH$7:$BH$1843,BH1419,$BX$7:$BX$1843,"&lt;="&amp;BX1419),"")</f>
        <v/>
      </c>
      <c r="BJ1419" s="70" t="n">
        <f aca="false">IF(BI1419="",0,MAX(0,MIN(1,(IF(CG1419="L1",Parameter!$H$5,IF(CG1419="L23",Parameter!$H$6+Parameter!$H$7,Parameter!$H$5+Parameter!$H$6+Parameter!$H$7))-(BI1419-BD1419))/BD1419)))</f>
        <v>0</v>
      </c>
      <c r="BK1419" s="60" t="str">
        <f aca="false">IF(AJ1419&lt;=0,"",IF(CG1419="Aussen","Aussenlager",IF(CG1419="-","Nicht im Lift",IF(AP1419&gt;=1,"Lift",IF(AP1419&lt;=0,"Aussenlager","teilweise")))))</f>
        <v/>
      </c>
      <c r="BL1419" s="60" t="str">
        <f aca="false">IF(AT1419&lt;=0,"",IF(CG1419="Aussen","Aussenlager",IF(CG1419="-","Nicht im Lift",IF(AZ1419&gt;=1,"Lift",IF(AZ1419&lt;=0,"Aussenlager","teilweise")))))</f>
        <v>Nicht im Lift</v>
      </c>
      <c r="BM1419" s="60" t="str">
        <f aca="false">IF(BD1419&lt;=0,"",IF(CG1419="Aussen","Aussenlager",IF(CG1419="-","Nicht im Lift",IF(BJ1419&gt;=1,"Lift",IF(BJ1419&lt;=0,"Aussenlager","teilweise")))))</f>
        <v>Nicht im Lift</v>
      </c>
      <c r="BN1419" s="60" t="str">
        <f aca="false">IF(A1419="","",IF(BW1419=1,"Neu; ","")&amp;IF(AND(BW1419=0,BR1419&lt;0),"negativer Bestand (Export "&amp;BR1419&amp;"); ","")&amp;IF(J1419&lt;=0,"Kein Verbrauch; ","")&amp;IF(CR1419&gt;0,"Lift "&amp;W1419&amp;" lt. Liftbericht (Fach "&amp;X1419&amp;" Stk); ",IF(CB1419=1,"Gebinde geschätzt ("&amp;T1419&amp;"); ",IF(CA1419=1,"Lose – Tablare geschätzt; ","")))&amp;IF(H1419&gt;AW1419,"Überbestand "&amp;ROUND(H1419-AW1419,0)&amp;" Stk / CHF "&amp;ROUND((H1419-AW1419)*G1419,0)&amp;"; ","")&amp;IF(AND(CI1419=1,CJ1419&lt;CK1419),"MAX &lt; MB+LG; ","")&amp;IF(AND(CQ1419&gt;0,CP1419*10&gt;CQ1419),"zu hoch für Tablar; ","")&amp;IF(AND(BW1419=0,OR(CI1419=1,AB1419&lt;&gt;"",U1419&lt;&gt;"",V1419&lt;&gt;"",AC1419&lt;&gt;"")),"manuell übersteuert; ","")&amp;IF(AND(CA1419=0,R1419=0),"Gebinde unbekannt / Stellmass fehlt; ","")&amp;IF(AND(CA1419=0,N(V1419)&lt;=0,N(Q1419)&lt;=0),"Menge pro Gebinde fehlt (Ist = 1 Gebinde); ","")&amp;BV1419)</f>
        <v>negativer Bestand (Export -17); Lose – Tablare geschätzt; </v>
      </c>
      <c r="BO1419" s="60"/>
      <c r="BP1419" s="60"/>
      <c r="BQ1419" s="67"/>
      <c r="BR1419" s="62" t="n">
        <v>-17</v>
      </c>
      <c r="BS1419" s="62" t="n">
        <v>17</v>
      </c>
      <c r="BT1419" s="61" t="n">
        <v>-5283.94</v>
      </c>
      <c r="BU1419" s="62" t="n">
        <v>3</v>
      </c>
      <c r="BV1419" s="60"/>
      <c r="BW1419" s="65" t="n">
        <v>0</v>
      </c>
      <c r="BX1419" s="65" t="n">
        <v>1419</v>
      </c>
      <c r="BY1419" s="60" t="str">
        <f aca="false">IF(U1419&lt;&gt;"",UPPER(TRIM(U1419)),IF(CB1419=1,UPPER(VLOOKUP(T1419,Parameter!$I$27:$K$29,2,0)),IF(P1419="","LOSE",P1419)))</f>
        <v>LOSE</v>
      </c>
      <c r="BZ1419" s="62" t="n">
        <f aca="false">IF(BY1419="LOSE",1,IF(N(V1419)&gt;0,V1419,IF(CB1419=1,MAX(1,N(VLOOKUP(T1419,Parameter!$I$27:$K$29,3,0)),H1419,N(N1419)),IF(N(Q1419)&gt;0,Q1419,MAX(1,H1419)))))</f>
        <v>1</v>
      </c>
      <c r="CA1419" s="65" t="n">
        <f aca="false">IF(BY1419="LOSE",1,0)</f>
        <v>1</v>
      </c>
      <c r="CB1419" s="65" t="n">
        <f aca="false">IF(AND(U1419="",OR(P1419="",P1419="LOSE"),T1419&lt;&gt;"",N(S1419)&lt;=0,ISNUMBER(MATCH(T1419,Parameter!$I$27:$I$29,0))),1,0)</f>
        <v>0</v>
      </c>
      <c r="CC1419" s="65" t="n">
        <f aca="false">IF(CR1419&gt;0,INDEX(Parameter!$H$5:$H$7,W1419)/INDEX(Parameter!$E$5:$E$7,W1419),IF(AND(CA1419=0,N(IFERROR(VLOOKUP(BY1419,'Gebinde-Kategorie'!$A$5:$N$45,14,0),0))&gt;0),VLOOKUP(BY1419,'Gebinde-Kategorie'!$A$5:$N$45,14,0)*10+Parameter!$M$23,Parameter!$M$24))</f>
        <v>235</v>
      </c>
      <c r="CD1419" s="60" t="str">
        <f aca="false">IF(AND(Parameter!$B$19="Ja",E1419&lt;&gt;"",ISNUMBER(MATCH(E1419,Parameter!$I$35:$I$52,0))),VLOOKUP(E1419,Parameter!$I$35:$J$52,2,0),IFERROR(VLOOKUP(D1419,Parameter!$A$35:$C$64,2,0),"Nein"))</f>
        <v>Nein</v>
      </c>
      <c r="CE1419" s="64" t="n">
        <f aca="false">IF(CA1419=0,0,IF(N(S1419)&gt;0,S1419,IFERROR(VLOOKUP(D1419,Parameter!$A$35:$C$64,3,0)+0,0)))</f>
        <v>0.15</v>
      </c>
      <c r="CF1419" s="60" t="str">
        <f aca="false">IF(AB1419&lt;&gt;"",AB1419,AA1419)</f>
        <v>-</v>
      </c>
      <c r="CG1419" s="60" t="str">
        <f aca="false">IF(OR(CF1419=1,CF1419=2,CF1419=3),IF(Parameter!$E$27="Ja","LIFT",IF(CF1419=1,"L1","L23")),IF(CF1419="Aussen","Aussen","-"))</f>
        <v>-</v>
      </c>
      <c r="CH1419" s="71" t="n">
        <f aca="false">IF(N(AC1419)&gt;0,AC1419,0)</f>
        <v>0</v>
      </c>
      <c r="CI1419" s="65" t="n">
        <f aca="false">IF(ISNUMBER(AF1419),1,0)</f>
        <v>0</v>
      </c>
      <c r="CJ1419" s="62" t="n">
        <f aca="false">N(AF1419)</f>
        <v>0</v>
      </c>
      <c r="CK1419" s="62" t="n">
        <f aca="false">N(M1419)+N(N1419)</f>
        <v>1</v>
      </c>
      <c r="CL1419" s="62" t="n">
        <f aca="false">N(M1419)</f>
        <v>0</v>
      </c>
      <c r="CM1419" s="62" t="n">
        <f aca="false">N(N1419)</f>
        <v>1</v>
      </c>
      <c r="CN1419" s="62" t="n">
        <f aca="false">ROUNDUP(H1419/BZ1419,0)</f>
        <v>0</v>
      </c>
      <c r="CO1419" s="62" t="n">
        <f aca="false">ROUNDUP(CJ1419/BZ1419,0)</f>
        <v>0</v>
      </c>
      <c r="CP1419" s="65" t="n">
        <f aca="false">IF(CA1419=1,0,IFERROR(VLOOKUP(BY1419,'Gebinde-Kategorie'!$A$5:$N$45,5,0)+0,0))</f>
        <v>0</v>
      </c>
      <c r="CQ1419" s="65" t="n">
        <f aca="false">IFERROR(IF(OR(CF1419=1,CF1419=2,CF1419=3),N(INDEX(Parameter!$I$5:$I$7,CF1419)),0),0)</f>
        <v>0</v>
      </c>
      <c r="CR1419" s="64" t="n">
        <f aca="false">IF(AND(Parameter!$B$21="Ja",ISNUMBER(W1419),N(X1419)&gt;0),IFERROR(N(INDEX(Parameter!$L$5:$L$7,W1419))*INDEX(Parameter!$E$5:$E$7,W1419)*X1419/SUMIFS($X$7:$X$1843,$W$7:$W$1843,W1419),0),0)</f>
        <v>0</v>
      </c>
      <c r="CS1419" s="62" t="str">
        <f aca="false">IF(AND(OR(CG1419="L1",CG1419="L23",CG1419="LIFT"),H1419&gt;0),CC1419*IF(CR1419&gt;0,CR1419*MAX(1,H1419/X1419),IF(CA1419=1,CE1419,IF(R1419&gt;0,CN1419/R1419,0))/MAX(0.1,N(Parameter!$M$21))),"")</f>
        <v/>
      </c>
      <c r="CT1419" s="64" t="str">
        <f aca="false">IF(CS1419="","",J1419/H1419)</f>
        <v/>
      </c>
      <c r="CU1419" s="62" t="str">
        <f aca="false">IF(CS1419="","",H1419*G1419)</f>
        <v/>
      </c>
      <c r="CV1419" s="63" t="str">
        <f aca="false">IF(CS1419="","",(CL1419+ROUNDUP(CL1419+MAX(CM1419,2*(J1419/MAX(0.1,N(Einkauf!$C$6))-CL1419)),0))/2)</f>
        <v/>
      </c>
      <c r="CW1419" s="62" t="str">
        <f aca="false">IF(CS1419="","",MAX(0,H1419-CV1419)*G1419)</f>
        <v/>
      </c>
      <c r="CX1419" s="62" t="str">
        <f aca="false">IF(CS1419="","",CS1419*MAX(0,1-CV1419/H1419))</f>
        <v/>
      </c>
      <c r="CY1419" s="64" t="str">
        <f aca="false">IF(CS1419="","",PERCENTRANK($CS$7:$CS$1843,CS1419)+PERCENTRANK($CU$7:$CU$1843,CU1419)+1-PERCENTRANK($CT$7:$CT$1843,CT1419))</f>
        <v/>
      </c>
      <c r="CZ1419" s="72" t="str">
        <f aca="false">IF(CS1419="","",CHOOSE(MATCH(Einkauf!$C$5,Parameter!$G$23:$G$27,0),CY1419,CS1419,CU1419,-CT1419,CW1419)+ROW()/1000000000)</f>
        <v/>
      </c>
    </row>
    <row r="1420" customFormat="false" ht="15" hidden="false" customHeight="false" outlineLevel="0" collapsed="false">
      <c r="A1420" s="60" t="s">
        <v>2534</v>
      </c>
      <c r="B1420" s="60" t="s">
        <v>2535</v>
      </c>
      <c r="C1420" s="60" t="s">
        <v>206</v>
      </c>
      <c r="D1420" s="60" t="s">
        <v>226</v>
      </c>
      <c r="E1420" s="60" t="s">
        <v>227</v>
      </c>
      <c r="F1420" s="60" t="s">
        <v>260</v>
      </c>
      <c r="G1420" s="61" t="n">
        <v>126.08</v>
      </c>
      <c r="H1420" s="62" t="n">
        <f aca="false">MAX(0,IF(AND(Parameter!$B$21="Ja",ISNUMBER(Y1420)),Y1420,IF(Parameter!$B$20="Jahresanfang 2025 + Export",BS1420+BR1420,BR1420)))</f>
        <v>12</v>
      </c>
      <c r="I1420" s="62" t="n">
        <f aca="false">H1420*G1420</f>
        <v>1512.96</v>
      </c>
      <c r="J1420" s="62" t="n">
        <f aca="false">BU1420*Parameter!$B$18</f>
        <v>2</v>
      </c>
      <c r="K1420" s="63" t="n">
        <v>54</v>
      </c>
      <c r="L1420" s="64" t="n">
        <v>0.037037037037037</v>
      </c>
      <c r="M1420" s="62" t="n">
        <v>0</v>
      </c>
      <c r="N1420" s="62" t="n">
        <v>1</v>
      </c>
      <c r="O1420" s="65" t="n">
        <v>28</v>
      </c>
      <c r="P1420" s="60" t="s">
        <v>518</v>
      </c>
      <c r="Q1420" s="62" t="n">
        <v>5</v>
      </c>
      <c r="R1420" s="65" t="n">
        <f aca="false">IF(CA1420=1,0,IFERROR(VLOOKUP(BY1420,'Gebinde-Kategorie'!$A$5:$N$45,13,0)+0,0))</f>
        <v>52</v>
      </c>
      <c r="S1420" s="66"/>
      <c r="T1420" s="67"/>
      <c r="U1420" s="67"/>
      <c r="V1420" s="67"/>
      <c r="W1420" s="60"/>
      <c r="X1420" s="62"/>
      <c r="Y1420" s="62"/>
      <c r="Z1420" s="60" t="n">
        <v>3</v>
      </c>
      <c r="AA1420" s="60" t="n">
        <f aca="false">IF(A1420="","",IF(AND(Parameter!$B$21="Ja",ISNUMBER(W1420)),W1420,IF(AND(Parameter!$E$27="Ja",ISNUMBER(Z1420),CD1420&lt;&gt;"Nein"),Z1420,IF(CD1420="2+3",IF(ISNUMBER(SEARCH("grosser Artikel",BV1420)),2,IFERROR(VLOOKUP(BY1420,Parameter!$F$35:$G$64,2,0),2)),IF(OR(CD1420="Nein",CD1420=""),"-",CD1420)))))</f>
        <v>3</v>
      </c>
      <c r="AB1420" s="67"/>
      <c r="AC1420" s="68"/>
      <c r="AD1420" s="62" t="n">
        <f aca="false">AW1420</f>
        <v>2</v>
      </c>
      <c r="AE1420" s="62" t="n">
        <f aca="false">MAX(AW1420,H1420)</f>
        <v>12</v>
      </c>
      <c r="AF1420" s="69"/>
      <c r="AG1420" s="62" t="n">
        <f aca="false">IF(LEFT(Cockpit!$C$5,1)="A",H1420,IF(Parameter!$E$30="MAX-Bestand",IF(CI1420=1,CJ1420,IF(LEFT(Cockpit!$C$5,1)="B",AM1420,MAX(AM1420,H1420))),ROUNDUP(AK1420,0)))</f>
        <v>12</v>
      </c>
      <c r="AH1420" s="62" t="n">
        <f aca="false">IF(CA1420=1,0,ROUNDUP(AG1420/BZ1420,0))</f>
        <v>3</v>
      </c>
      <c r="AI1420" s="64" t="n">
        <f aca="false">IF(CR1420&gt;0,CR1420*MAX(1,AG1420/X1420),IF(CA1420=1,IF(AG1420&lt;=0,0,CE1420*MAX(1,IF(H1420&gt;0,AG1420/H1420,1))),IF(R1420&gt;0,AH1420/R1420,0))/MAX(0.1,N(Parameter!$M$21)))</f>
        <v>0.0576923076923077</v>
      </c>
      <c r="AJ1420" s="62" t="n">
        <f aca="false">AI1420*CC1420</f>
        <v>8.94230769230769</v>
      </c>
      <c r="AK1420" s="63" t="n">
        <f aca="false">IF(LEFT(Cockpit!$C$5,1)="A",H1420,IF(CI1420=1,(CL1420+CJ1420)/2,IF(LEFT(Cockpit!$C$5,1)="B",(CL1420+AM1420)/2,MAX((CL1420+AM1420)/2,H1420))))</f>
        <v>12</v>
      </c>
      <c r="AL1420" s="62" t="n">
        <f aca="false">AK1420*G1420</f>
        <v>1512.96</v>
      </c>
      <c r="AM1420" s="62" t="n">
        <f aca="false">ROUNDUP(CL1420+MAX(CM1420,2*(J1420/IF(CH1420&gt;0,CH1420,MAX(0.1,N(Cockpit!$C$6)))-CL1420)),0)</f>
        <v>2</v>
      </c>
      <c r="AN1420" s="63" t="n">
        <f aca="false">IF(AJ1420&gt;0,J1420/AJ1420,-1)</f>
        <v>0.223655913978495</v>
      </c>
      <c r="AO1420" s="63" t="n">
        <f aca="false">IF(AND(OR(CG1420="L1",CG1420="L23",CG1420="LIFT"),AJ1420&gt;0),SUMIFS($AJ$7:$AJ$1843,$CG$7:$CG$1843,CG1420,$AN$7:$AN$1843,"&gt;"&amp;AN1420)+SUMIFS($AJ$7:$AJ$1843,$CG$7:$CG$1843,CG1420,$AN$7:$AN$1843,AN1420,$BX$7:$BX$1843,"&lt;="&amp;BX1420),"")</f>
        <v>12078.7959039548</v>
      </c>
      <c r="AP1420" s="70" t="n">
        <f aca="false">IF(AO1420="",0,MAX(0,MIN(1,(IF(CG1420="L1",Parameter!$H$5,IF(CG1420="L23",Parameter!$H$6+Parameter!$H$7,Parameter!$H$5+Parameter!$H$6+Parameter!$H$7))-(AO1420-AJ1420))/AJ1420)))</f>
        <v>1</v>
      </c>
      <c r="AQ1420" s="62" t="n">
        <f aca="false">IF(LEFT(Cockpit!$I$5,1)="A",H1420,IF(Parameter!$E$30="MAX-Bestand",IF(CI1420=1,CJ1420,IF(LEFT(Cockpit!$I$5,1)="B",AW1420,MAX(AW1420,H1420))),ROUNDUP(AU1420,0)))</f>
        <v>12</v>
      </c>
      <c r="AR1420" s="62" t="n">
        <f aca="false">IF(CA1420=1,0,ROUNDUP(AQ1420/BZ1420,0))</f>
        <v>3</v>
      </c>
      <c r="AS1420" s="64" t="n">
        <f aca="false">IF(CR1420&gt;0,CR1420*MAX(1,AQ1420/X1420),IF(CA1420=1,IF(AQ1420&lt;=0,0,CE1420*MAX(1,IF(H1420&gt;0,AQ1420/H1420,1))),IF(R1420&gt;0,AR1420/R1420,0))/MAX(0.1,N(Parameter!$M$21)))</f>
        <v>0.0576923076923077</v>
      </c>
      <c r="AT1420" s="62" t="n">
        <f aca="false">AS1420*CC1420</f>
        <v>8.94230769230769</v>
      </c>
      <c r="AU1420" s="63" t="n">
        <f aca="false">IF(LEFT(Cockpit!$I$5,1)="A",H1420,IF(CI1420=1,(CL1420+CJ1420)/2,IF(LEFT(Cockpit!$I$5,1)="B",(CL1420+AW1420)/2,MAX((CL1420+AW1420)/2,H1420))))</f>
        <v>12</v>
      </c>
      <c r="AV1420" s="62" t="n">
        <f aca="false">AU1420*G1420</f>
        <v>1512.96</v>
      </c>
      <c r="AW1420" s="62" t="n">
        <f aca="false">ROUNDUP(CL1420+MAX(CM1420,2*(J1420/IF(CH1420&gt;0,CH1420,MAX(0.1,N(Cockpit!$I$6)))-CL1420)),0)</f>
        <v>2</v>
      </c>
      <c r="AX1420" s="63" t="n">
        <f aca="false">IF(AT1420&gt;0,J1420/AT1420,-1)</f>
        <v>0.223655913978495</v>
      </c>
      <c r="AY1420" s="63" t="n">
        <f aca="false">IF(AND(OR(CG1420="L1",CG1420="L23",CG1420="LIFT"),AT1420&gt;0),SUMIFS($AT$7:$AT$1843,$CG$7:$CG$1843,CG1420,$AX$7:$AX$1843,"&gt;"&amp;AX1420)+SUMIFS($AT$7:$AT$1843,$CG$7:$CG$1843,CG1420,$AX$7:$AX$1843,AX1420,$BX$7:$BX$1843,"&lt;="&amp;BX1420),"")</f>
        <v>15155.690018315</v>
      </c>
      <c r="AZ1420" s="70" t="n">
        <f aca="false">IF(AY1420="",0,MAX(0,MIN(1,(IF(CG1420="L1",Parameter!$H$5,IF(CG1420="L23",Parameter!$H$6+Parameter!$H$7,Parameter!$H$5+Parameter!$H$6+Parameter!$H$7))-(AY1420-AT1420))/AT1420)))</f>
        <v>1</v>
      </c>
      <c r="BA1420" s="62" t="n">
        <f aca="false">IF(LEFT(Cockpit!$O$5,1)="A",H1420,IF(Parameter!$E$30="MAX-Bestand",IF(CI1420=1,CJ1420,IF(LEFT(Cockpit!$O$5,1)="B",BG1420,MAX(BG1420,H1420))),ROUNDUP(BE1420,0)))</f>
        <v>1</v>
      </c>
      <c r="BB1420" s="62" t="n">
        <f aca="false">IF(CA1420=1,0,ROUNDUP(BA1420/BZ1420,0))</f>
        <v>1</v>
      </c>
      <c r="BC1420" s="64" t="n">
        <f aca="false">IF(CR1420&gt;0,CR1420*MAX(1,BA1420/X1420),IF(CA1420=1,IF(BA1420&lt;=0,0,CE1420*MAX(1,IF(H1420&gt;0,BA1420/H1420,1))),IF(R1420&gt;0,BB1420/R1420,0))/MAX(0.1,N(Parameter!$M$21)))</f>
        <v>0.0192307692307692</v>
      </c>
      <c r="BD1420" s="62" t="n">
        <f aca="false">BC1420*CC1420</f>
        <v>2.98076923076923</v>
      </c>
      <c r="BE1420" s="63" t="n">
        <f aca="false">IF(LEFT(Cockpit!$O$5,1)="A",H1420,IF(CI1420=1,(CL1420+CJ1420)/2,IF(LEFT(Cockpit!$O$5,1)="B",(CL1420+BG1420)/2,MAX((CL1420+BG1420)/2,H1420))))</f>
        <v>0.5</v>
      </c>
      <c r="BF1420" s="62" t="n">
        <f aca="false">BE1420*G1420</f>
        <v>63.04</v>
      </c>
      <c r="BG1420" s="62" t="n">
        <f aca="false">ROUNDUP(CL1420+MAX(CM1420,2*(J1420/IF(CH1420&gt;0,CH1420,MAX(0.1,N(Cockpit!$O$6)))-CL1420)),0)</f>
        <v>1</v>
      </c>
      <c r="BH1420" s="63" t="n">
        <f aca="false">IF(BD1420&gt;0,J1420/BD1420,-1)</f>
        <v>0.670967741935484</v>
      </c>
      <c r="BI1420" s="63" t="n">
        <f aca="false">IF(AND(OR(CG1420="L1",CG1420="L23",CG1420="LIFT"),BD1420&gt;0),SUMIFS($BD$7:$BD$1843,$CG$7:$CG$1843,CG1420,$BH$7:$BH$1843,"&gt;"&amp;BH1420)+SUMIFS($BD$7:$BD$1843,$CG$7:$CG$1843,CG1420,$BH$7:$BH$1843,BH1420,$BX$7:$BX$1843,"&lt;="&amp;BX1420),"")</f>
        <v>9560.1543040293</v>
      </c>
      <c r="BJ1420" s="70" t="n">
        <f aca="false">IF(BI1420="",0,MAX(0,MIN(1,(IF(CG1420="L1",Parameter!$H$5,IF(CG1420="L23",Parameter!$H$6+Parameter!$H$7,Parameter!$H$5+Parameter!$H$6+Parameter!$H$7))-(BI1420-BD1420))/BD1420)))</f>
        <v>1</v>
      </c>
      <c r="BK1420" s="60" t="str">
        <f aca="false">IF(AJ1420&lt;=0,"",IF(CG1420="Aussen","Aussenlager",IF(CG1420="-","Nicht im Lift",IF(AP1420&gt;=1,"Lift",IF(AP1420&lt;=0,"Aussenlager","teilweise")))))</f>
        <v>Lift</v>
      </c>
      <c r="BL1420" s="60" t="str">
        <f aca="false">IF(AT1420&lt;=0,"",IF(CG1420="Aussen","Aussenlager",IF(CG1420="-","Nicht im Lift",IF(AZ1420&gt;=1,"Lift",IF(AZ1420&lt;=0,"Aussenlager","teilweise")))))</f>
        <v>Lift</v>
      </c>
      <c r="BM1420" s="60" t="str">
        <f aca="false">IF(BD1420&lt;=0,"",IF(CG1420="Aussen","Aussenlager",IF(CG1420="-","Nicht im Lift",IF(BJ1420&gt;=1,"Lift",IF(BJ1420&lt;=0,"Aussenlager","teilweise")))))</f>
        <v>Lift</v>
      </c>
      <c r="BN1420" s="60" t="str">
        <f aca="false">IF(A1420="","",IF(BW1420=1,"Neu; ","")&amp;IF(AND(BW1420=0,BR1420&lt;0),"negativer Bestand (Export "&amp;BR1420&amp;"); ","")&amp;IF(J1420&lt;=0,"Kein Verbrauch; ","")&amp;IF(CR1420&gt;0,"Lift "&amp;W1420&amp;" lt. Liftbericht (Fach "&amp;X1420&amp;" Stk); ",IF(CB1420=1,"Gebinde geschätzt ("&amp;T1420&amp;"); ",IF(CA1420=1,"Lose – Tablare geschätzt; ","")))&amp;IF(H1420&gt;AW1420,"Überbestand "&amp;ROUND(H1420-AW1420,0)&amp;" Stk / CHF "&amp;ROUND((H1420-AW1420)*G1420,0)&amp;"; ","")&amp;IF(AND(CI1420=1,CJ1420&lt;CK1420),"MAX &lt; MB+LG; ","")&amp;IF(AND(CQ1420&gt;0,CP1420*10&gt;CQ1420),"zu hoch für Tablar; ","")&amp;IF(AND(BW1420=0,OR(CI1420=1,AB1420&lt;&gt;"",U1420&lt;&gt;"",V1420&lt;&gt;"",AC1420&lt;&gt;"")),"manuell übersteuert; ","")&amp;IF(AND(CA1420=0,R1420=0),"Gebinde unbekannt / Stellmass fehlt; ","")&amp;IF(AND(CA1420=0,N(V1420)&lt;=0,N(Q1420)&lt;=0),"Menge pro Gebinde fehlt (Ist = 1 Gebinde); ","")&amp;BV1420)</f>
        <v>negativer Bestand (Export -43); Überbestand 10 Stk / CHF 1261; </v>
      </c>
      <c r="BO1420" s="60"/>
      <c r="BP1420" s="60"/>
      <c r="BQ1420" s="67"/>
      <c r="BR1420" s="62" t="n">
        <v>-43</v>
      </c>
      <c r="BS1420" s="62" t="n">
        <v>55</v>
      </c>
      <c r="BT1420" s="61" t="n">
        <v>-5421.44</v>
      </c>
      <c r="BU1420" s="62" t="n">
        <v>2</v>
      </c>
      <c r="BV1420" s="60"/>
      <c r="BW1420" s="65" t="n">
        <v>0</v>
      </c>
      <c r="BX1420" s="65" t="n">
        <v>1420</v>
      </c>
      <c r="BY1420" s="60" t="str">
        <f aca="false">IF(U1420&lt;&gt;"",UPPER(TRIM(U1420)),IF(CB1420=1,UPPER(VLOOKUP(T1420,Parameter!$I$27:$K$29,2,0)),IF(P1420="","LOSE",P1420)))</f>
        <v>S33</v>
      </c>
      <c r="BZ1420" s="62" t="n">
        <f aca="false">IF(BY1420="LOSE",1,IF(N(V1420)&gt;0,V1420,IF(CB1420=1,MAX(1,N(VLOOKUP(T1420,Parameter!$I$27:$K$29,3,0)),H1420,N(N1420)),IF(N(Q1420)&gt;0,Q1420,MAX(1,H1420)))))</f>
        <v>5</v>
      </c>
      <c r="CA1420" s="65" t="n">
        <f aca="false">IF(BY1420="LOSE",1,0)</f>
        <v>0</v>
      </c>
      <c r="CB1420" s="65" t="n">
        <f aca="false">IF(AND(U1420="",OR(P1420="",P1420="LOSE"),T1420&lt;&gt;"",N(S1420)&lt;=0,ISNUMBER(MATCH(T1420,Parameter!$I$27:$I$29,0))),1,0)</f>
        <v>0</v>
      </c>
      <c r="CC1420" s="65" t="n">
        <f aca="false">IF(CR1420&gt;0,INDEX(Parameter!$H$5:$H$7,W1420)/INDEX(Parameter!$E$5:$E$7,W1420),IF(AND(CA1420=0,N(IFERROR(VLOOKUP(BY1420,'Gebinde-Kategorie'!$A$5:$N$45,14,0),0))&gt;0),VLOOKUP(BY1420,'Gebinde-Kategorie'!$A$5:$N$45,14,0)*10+Parameter!$M$23,Parameter!$M$24))</f>
        <v>155</v>
      </c>
      <c r="CD1420" s="60" t="str">
        <f aca="false">IF(AND(Parameter!$B$19="Ja",E1420&lt;&gt;"",ISNUMBER(MATCH(E1420,Parameter!$I$35:$I$52,0))),VLOOKUP(E1420,Parameter!$I$35:$J$52,2,0),IFERROR(VLOOKUP(D1420,Parameter!$A$35:$C$64,2,0),"Nein"))</f>
        <v>2+3</v>
      </c>
      <c r="CE1420" s="64" t="n">
        <f aca="false">IF(CA1420=0,0,IF(N(S1420)&gt;0,S1420,IFERROR(VLOOKUP(D1420,Parameter!$A$35:$C$64,3,0)+0,0)))</f>
        <v>0</v>
      </c>
      <c r="CF1420" s="60" t="n">
        <f aca="false">IF(AB1420&lt;&gt;"",AB1420,AA1420)</f>
        <v>3</v>
      </c>
      <c r="CG1420" s="60" t="str">
        <f aca="false">IF(OR(CF1420=1,CF1420=2,CF1420=3),IF(Parameter!$E$27="Ja","LIFT",IF(CF1420=1,"L1","L23")),IF(CF1420="Aussen","Aussen","-"))</f>
        <v>LIFT</v>
      </c>
      <c r="CH1420" s="71" t="n">
        <f aca="false">IF(N(AC1420)&gt;0,AC1420,0)</f>
        <v>0</v>
      </c>
      <c r="CI1420" s="65" t="n">
        <f aca="false">IF(ISNUMBER(AF1420),1,0)</f>
        <v>0</v>
      </c>
      <c r="CJ1420" s="62" t="n">
        <f aca="false">N(AF1420)</f>
        <v>0</v>
      </c>
      <c r="CK1420" s="62" t="n">
        <f aca="false">N(M1420)+N(N1420)</f>
        <v>1</v>
      </c>
      <c r="CL1420" s="62" t="n">
        <f aca="false">N(M1420)</f>
        <v>0</v>
      </c>
      <c r="CM1420" s="62" t="n">
        <f aca="false">N(N1420)</f>
        <v>1</v>
      </c>
      <c r="CN1420" s="62" t="n">
        <f aca="false">ROUNDUP(H1420/BZ1420,0)</f>
        <v>3</v>
      </c>
      <c r="CO1420" s="62" t="n">
        <f aca="false">ROUNDUP(CJ1420/BZ1420,0)</f>
        <v>0</v>
      </c>
      <c r="CP1420" s="65" t="n">
        <f aca="false">IF(CA1420=1,0,IFERROR(VLOOKUP(BY1420,'Gebinde-Kategorie'!$A$5:$N$45,5,0)+0,0))</f>
        <v>8</v>
      </c>
      <c r="CQ1420" s="65" t="n">
        <f aca="false">IFERROR(IF(OR(CF1420=1,CF1420=2,CF1420=3),N(INDEX(Parameter!$I$5:$I$7,CF1420)),0),0)</f>
        <v>0</v>
      </c>
      <c r="CR1420" s="64" t="n">
        <f aca="false">IF(AND(Parameter!$B$21="Ja",ISNUMBER(W1420),N(X1420)&gt;0),IFERROR(N(INDEX(Parameter!$L$5:$L$7,W1420))*INDEX(Parameter!$E$5:$E$7,W1420)*X1420/SUMIFS($X$7:$X$1843,$W$7:$W$1843,W1420),0),0)</f>
        <v>0</v>
      </c>
      <c r="CS1420" s="62" t="n">
        <f aca="false">IF(AND(OR(CG1420="L1",CG1420="L23",CG1420="LIFT"),H1420&gt;0),CC1420*IF(CR1420&gt;0,CR1420*MAX(1,H1420/X1420),IF(CA1420=1,CE1420,IF(R1420&gt;0,CN1420/R1420,0))/MAX(0.1,N(Parameter!$M$21))),"")</f>
        <v>8.94230769230769</v>
      </c>
      <c r="CT1420" s="64" t="n">
        <f aca="false">IF(CS1420="","",J1420/H1420)</f>
        <v>0.166666666666667</v>
      </c>
      <c r="CU1420" s="62" t="n">
        <f aca="false">IF(CS1420="","",H1420*G1420)</f>
        <v>1512.96</v>
      </c>
      <c r="CV1420" s="63" t="n">
        <f aca="false">IF(CS1420="","",(CL1420+ROUNDUP(CL1420+MAX(CM1420,2*(J1420/MAX(0.1,N(Einkauf!$C$6))-CL1420)),0))/2)</f>
        <v>0.5</v>
      </c>
      <c r="CW1420" s="62" t="n">
        <f aca="false">IF(CS1420="","",MAX(0,H1420-CV1420)*G1420)</f>
        <v>1449.92</v>
      </c>
      <c r="CX1420" s="62" t="n">
        <f aca="false">IF(CS1420="","",CS1420*MAX(0,1-CV1420/H1420))</f>
        <v>8.56971153846154</v>
      </c>
      <c r="CY1420" s="64" t="n">
        <f aca="false">IF(CS1420="","",PERCENTRANK($CS$7:$CS$1843,CS1420)+PERCENTRANK($CU$7:$CU$1843,CU1420)+1-PERCENTRANK($CT$7:$CT$1843,CT1420))</f>
        <v>1.827</v>
      </c>
      <c r="CZ1420" s="72" t="n">
        <f aca="false">IF(CS1420="","",CHOOSE(MATCH(Einkauf!$C$5,Parameter!$G$23:$G$27,0),CY1420,CS1420,CU1420,-CT1420,CW1420)+ROW()/1000000000)</f>
        <v>1.82700142</v>
      </c>
    </row>
    <row r="1421" customFormat="false" ht="15" hidden="false" customHeight="false" outlineLevel="0" collapsed="false">
      <c r="A1421" s="60" t="s">
        <v>2536</v>
      </c>
      <c r="B1421" s="60" t="s">
        <v>2537</v>
      </c>
      <c r="C1421" s="60" t="s">
        <v>206</v>
      </c>
      <c r="D1421" s="60" t="s">
        <v>215</v>
      </c>
      <c r="E1421" s="60" t="s">
        <v>227</v>
      </c>
      <c r="F1421" s="60" t="s">
        <v>260</v>
      </c>
      <c r="G1421" s="61" t="n">
        <v>699.44</v>
      </c>
      <c r="H1421" s="62" t="n">
        <f aca="false">MAX(0,IF(AND(Parameter!$B$21="Ja",ISNUMBER(Y1421)),Y1421,IF(Parameter!$B$20="Jahresanfang 2025 + Export",BS1421+BR1421,BR1421)))</f>
        <v>7</v>
      </c>
      <c r="I1421" s="62" t="n">
        <f aca="false">H1421*G1421</f>
        <v>4896.08</v>
      </c>
      <c r="J1421" s="62" t="n">
        <f aca="false">BU1421*Parameter!$B$18</f>
        <v>8</v>
      </c>
      <c r="K1421" s="63" t="n">
        <v>13.5</v>
      </c>
      <c r="L1421" s="64" t="n">
        <v>0.592592592592593</v>
      </c>
      <c r="M1421" s="62" t="n">
        <v>1</v>
      </c>
      <c r="N1421" s="62" t="n">
        <v>5</v>
      </c>
      <c r="O1421" s="65" t="n">
        <v>49</v>
      </c>
      <c r="P1421" s="60" t="s">
        <v>268</v>
      </c>
      <c r="Q1421" s="62" t="n">
        <v>7</v>
      </c>
      <c r="R1421" s="65" t="n">
        <f aca="false">IF(CA1421=1,0,IFERROR(VLOOKUP(BY1421,'Gebinde-Kategorie'!$A$5:$N$45,13,0)+0,0))</f>
        <v>12</v>
      </c>
      <c r="S1421" s="66"/>
      <c r="T1421" s="67"/>
      <c r="U1421" s="67"/>
      <c r="V1421" s="67"/>
      <c r="W1421" s="60"/>
      <c r="X1421" s="62"/>
      <c r="Y1421" s="62"/>
      <c r="Z1421" s="60" t="n">
        <v>3</v>
      </c>
      <c r="AA1421" s="60" t="n">
        <f aca="false">IF(A1421="","",IF(AND(Parameter!$B$21="Ja",ISNUMBER(W1421)),W1421,IF(AND(Parameter!$E$27="Ja",ISNUMBER(Z1421),CD1421&lt;&gt;"Nein"),Z1421,IF(CD1421="2+3",IF(ISNUMBER(SEARCH("grosser Artikel",BV1421)),2,IFERROR(VLOOKUP(BY1421,Parameter!$F$35:$G$64,2,0),2)),IF(OR(CD1421="Nein",CD1421=""),"-",CD1421)))))</f>
        <v>3</v>
      </c>
      <c r="AB1421" s="67"/>
      <c r="AC1421" s="68"/>
      <c r="AD1421" s="62" t="n">
        <f aca="false">AW1421</f>
        <v>6</v>
      </c>
      <c r="AE1421" s="62" t="n">
        <f aca="false">MAX(AW1421,H1421)</f>
        <v>7</v>
      </c>
      <c r="AF1421" s="69"/>
      <c r="AG1421" s="62" t="n">
        <f aca="false">IF(LEFT(Cockpit!$C$5,1)="A",H1421,IF(Parameter!$E$30="MAX-Bestand",IF(CI1421=1,CJ1421,IF(LEFT(Cockpit!$C$5,1)="B",AM1421,MAX(AM1421,H1421))),ROUNDUP(AK1421,0)))</f>
        <v>7</v>
      </c>
      <c r="AH1421" s="62" t="n">
        <f aca="false">IF(CA1421=1,0,ROUNDUP(AG1421/BZ1421,0))</f>
        <v>1</v>
      </c>
      <c r="AI1421" s="64" t="n">
        <f aca="false">IF(CR1421&gt;0,CR1421*MAX(1,AG1421/X1421),IF(CA1421=1,IF(AG1421&lt;=0,0,CE1421*MAX(1,IF(H1421&gt;0,AG1421/H1421,1))),IF(R1421&gt;0,AH1421/R1421,0))/MAX(0.1,N(Parameter!$M$21)))</f>
        <v>0.0833333333333333</v>
      </c>
      <c r="AJ1421" s="62" t="n">
        <f aca="false">AI1421*CC1421</f>
        <v>28.75</v>
      </c>
      <c r="AK1421" s="63" t="n">
        <f aca="false">IF(LEFT(Cockpit!$C$5,1)="A",H1421,IF(CI1421=1,(CL1421+CJ1421)/2,IF(LEFT(Cockpit!$C$5,1)="B",(CL1421+AM1421)/2,MAX((CL1421+AM1421)/2,H1421))))</f>
        <v>7</v>
      </c>
      <c r="AL1421" s="62" t="n">
        <f aca="false">AK1421*G1421</f>
        <v>4896.08</v>
      </c>
      <c r="AM1421" s="62" t="n">
        <f aca="false">ROUNDUP(CL1421+MAX(CM1421,2*(J1421/IF(CH1421&gt;0,CH1421,MAX(0.1,N(Cockpit!$C$6)))-CL1421)),0)</f>
        <v>6</v>
      </c>
      <c r="AN1421" s="63" t="n">
        <f aca="false">IF(AJ1421&gt;0,J1421/AJ1421,-1)</f>
        <v>0.278260869565217</v>
      </c>
      <c r="AO1421" s="63" t="n">
        <f aca="false">IF(AND(OR(CG1421="L1",CG1421="L23",CG1421="LIFT"),AJ1421&gt;0),SUMIFS($AJ$7:$AJ$1843,$CG$7:$CG$1843,CG1421,$AN$7:$AN$1843,"&gt;"&amp;AN1421)+SUMIFS($AJ$7:$AJ$1843,$CG$7:$CG$1843,CG1421,$AN$7:$AN$1843,AN1421,$BX$7:$BX$1843,"&lt;="&amp;BX1421),"")</f>
        <v>11649.0202629292</v>
      </c>
      <c r="AP1421" s="70" t="n">
        <f aca="false">IF(AO1421="",0,MAX(0,MIN(1,(IF(CG1421="L1",Parameter!$H$5,IF(CG1421="L23",Parameter!$H$6+Parameter!$H$7,Parameter!$H$5+Parameter!$H$6+Parameter!$H$7))-(AO1421-AJ1421))/AJ1421)))</f>
        <v>1</v>
      </c>
      <c r="AQ1421" s="62" t="n">
        <f aca="false">IF(LEFT(Cockpit!$I$5,1)="A",H1421,IF(Parameter!$E$30="MAX-Bestand",IF(CI1421=1,CJ1421,IF(LEFT(Cockpit!$I$5,1)="B",AW1421,MAX(AW1421,H1421))),ROUNDUP(AU1421,0)))</f>
        <v>7</v>
      </c>
      <c r="AR1421" s="62" t="n">
        <f aca="false">IF(CA1421=1,0,ROUNDUP(AQ1421/BZ1421,0))</f>
        <v>1</v>
      </c>
      <c r="AS1421" s="64" t="n">
        <f aca="false">IF(CR1421&gt;0,CR1421*MAX(1,AQ1421/X1421),IF(CA1421=1,IF(AQ1421&lt;=0,0,CE1421*MAX(1,IF(H1421&gt;0,AQ1421/H1421,1))),IF(R1421&gt;0,AR1421/R1421,0))/MAX(0.1,N(Parameter!$M$21)))</f>
        <v>0.0833333333333333</v>
      </c>
      <c r="AT1421" s="62" t="n">
        <f aca="false">AS1421*CC1421</f>
        <v>28.75</v>
      </c>
      <c r="AU1421" s="63" t="n">
        <f aca="false">IF(LEFT(Cockpit!$I$5,1)="A",H1421,IF(CI1421=1,(CL1421+CJ1421)/2,IF(LEFT(Cockpit!$I$5,1)="B",(CL1421+AW1421)/2,MAX((CL1421+AW1421)/2,H1421))))</f>
        <v>7</v>
      </c>
      <c r="AV1421" s="62" t="n">
        <f aca="false">AU1421*G1421</f>
        <v>4896.08</v>
      </c>
      <c r="AW1421" s="62" t="n">
        <f aca="false">ROUNDUP(CL1421+MAX(CM1421,2*(J1421/IF(CH1421&gt;0,CH1421,MAX(0.1,N(Cockpit!$I$6)))-CL1421)),0)</f>
        <v>6</v>
      </c>
      <c r="AX1421" s="63" t="n">
        <f aca="false">IF(AT1421&gt;0,J1421/AT1421,-1)</f>
        <v>0.278260869565217</v>
      </c>
      <c r="AY1421" s="63" t="n">
        <f aca="false">IF(AND(OR(CG1421="L1",CG1421="L23",CG1421="LIFT"),AT1421&gt;0),SUMIFS($AT$7:$AT$1843,$CG$7:$CG$1843,CG1421,$AX$7:$AX$1843,"&gt;"&amp;AX1421)+SUMIFS($AT$7:$AT$1843,$CG$7:$CG$1843,CG1421,$AX$7:$AX$1843,AX1421,$BX$7:$BX$1843,"&lt;="&amp;BX1421),"")</f>
        <v>14725.9143772894</v>
      </c>
      <c r="AZ1421" s="70" t="n">
        <f aca="false">IF(AY1421="",0,MAX(0,MIN(1,(IF(CG1421="L1",Parameter!$H$5,IF(CG1421="L23",Parameter!$H$6+Parameter!$H$7,Parameter!$H$5+Parameter!$H$6+Parameter!$H$7))-(AY1421-AT1421))/AT1421)))</f>
        <v>1</v>
      </c>
      <c r="BA1421" s="62" t="n">
        <f aca="false">IF(LEFT(Cockpit!$O$5,1)="A",H1421,IF(Parameter!$E$30="MAX-Bestand",IF(CI1421=1,CJ1421,IF(LEFT(Cockpit!$O$5,1)="B",BG1421,MAX(BG1421,H1421))),ROUNDUP(BE1421,0)))</f>
        <v>4</v>
      </c>
      <c r="BB1421" s="62" t="n">
        <f aca="false">IF(CA1421=1,0,ROUNDUP(BA1421/BZ1421,0))</f>
        <v>1</v>
      </c>
      <c r="BC1421" s="64" t="n">
        <f aca="false">IF(CR1421&gt;0,CR1421*MAX(1,BA1421/X1421),IF(CA1421=1,IF(BA1421&lt;=0,0,CE1421*MAX(1,IF(H1421&gt;0,BA1421/H1421,1))),IF(R1421&gt;0,BB1421/R1421,0))/MAX(0.1,N(Parameter!$M$21)))</f>
        <v>0.0833333333333333</v>
      </c>
      <c r="BD1421" s="62" t="n">
        <f aca="false">BC1421*CC1421</f>
        <v>28.75</v>
      </c>
      <c r="BE1421" s="63" t="n">
        <f aca="false">IF(LEFT(Cockpit!$O$5,1)="A",H1421,IF(CI1421=1,(CL1421+CJ1421)/2,IF(LEFT(Cockpit!$O$5,1)="B",(CL1421+BG1421)/2,MAX((CL1421+BG1421)/2,H1421))))</f>
        <v>3.5</v>
      </c>
      <c r="BF1421" s="62" t="n">
        <f aca="false">BE1421*G1421</f>
        <v>2448.04</v>
      </c>
      <c r="BG1421" s="62" t="n">
        <f aca="false">ROUNDUP(CL1421+MAX(CM1421,2*(J1421/IF(CH1421&gt;0,CH1421,MAX(0.1,N(Cockpit!$O$6)))-CL1421)),0)</f>
        <v>6</v>
      </c>
      <c r="BH1421" s="63" t="n">
        <f aca="false">IF(BD1421&gt;0,J1421/BD1421,-1)</f>
        <v>0.278260869565217</v>
      </c>
      <c r="BI1421" s="63" t="n">
        <f aca="false">IF(AND(OR(CG1421="L1",CG1421="L23",CG1421="LIFT"),BD1421&gt;0),SUMIFS($BD$7:$BD$1843,$CG$7:$CG$1843,CG1421,$BH$7:$BH$1843,"&gt;"&amp;BH1421)+SUMIFS($BD$7:$BD$1843,$CG$7:$CG$1843,CG1421,$BH$7:$BH$1843,BH1421,$BX$7:$BX$1843,"&lt;="&amp;BX1421),"")</f>
        <v>11901.3081501832</v>
      </c>
      <c r="BJ1421" s="70" t="n">
        <f aca="false">IF(BI1421="",0,MAX(0,MIN(1,(IF(CG1421="L1",Parameter!$H$5,IF(CG1421="L23",Parameter!$H$6+Parameter!$H$7,Parameter!$H$5+Parameter!$H$6+Parameter!$H$7))-(BI1421-BD1421))/BD1421)))</f>
        <v>1</v>
      </c>
      <c r="BK1421" s="60" t="str">
        <f aca="false">IF(AJ1421&lt;=0,"",IF(CG1421="Aussen","Aussenlager",IF(CG1421="-","Nicht im Lift",IF(AP1421&gt;=1,"Lift",IF(AP1421&lt;=0,"Aussenlager","teilweise")))))</f>
        <v>Lift</v>
      </c>
      <c r="BL1421" s="60" t="str">
        <f aca="false">IF(AT1421&lt;=0,"",IF(CG1421="Aussen","Aussenlager",IF(CG1421="-","Nicht im Lift",IF(AZ1421&gt;=1,"Lift",IF(AZ1421&lt;=0,"Aussenlager","teilweise")))))</f>
        <v>Lift</v>
      </c>
      <c r="BM1421" s="60" t="str">
        <f aca="false">IF(BD1421&lt;=0,"",IF(CG1421="Aussen","Aussenlager",IF(CG1421="-","Nicht im Lift",IF(BJ1421&gt;=1,"Lift",IF(BJ1421&lt;=0,"Aussenlager","teilweise")))))</f>
        <v>Lift</v>
      </c>
      <c r="BN1421" s="60" t="str">
        <f aca="false">IF(A1421="","",IF(BW1421=1,"Neu; ","")&amp;IF(AND(BW1421=0,BR1421&lt;0),"negativer Bestand (Export "&amp;BR1421&amp;"); ","")&amp;IF(J1421&lt;=0,"Kein Verbrauch; ","")&amp;IF(CR1421&gt;0,"Lift "&amp;W1421&amp;" lt. Liftbericht (Fach "&amp;X1421&amp;" Stk); ",IF(CB1421=1,"Gebinde geschätzt ("&amp;T1421&amp;"); ",IF(CA1421=1,"Lose – Tablare geschätzt; ","")))&amp;IF(H1421&gt;AW1421,"Überbestand "&amp;ROUND(H1421-AW1421,0)&amp;" Stk / CHF "&amp;ROUND((H1421-AW1421)*G1421,0)&amp;"; ","")&amp;IF(AND(CI1421=1,CJ1421&lt;CK1421),"MAX &lt; MB+LG; ","")&amp;IF(AND(CQ1421&gt;0,CP1421*10&gt;CQ1421),"zu hoch für Tablar; ","")&amp;IF(AND(BW1421=0,OR(CI1421=1,AB1421&lt;&gt;"",U1421&lt;&gt;"",V1421&lt;&gt;"",AC1421&lt;&gt;"")),"manuell übersteuert; ","")&amp;IF(AND(CA1421=0,R1421=0),"Gebinde unbekannt / Stellmass fehlt; ","")&amp;IF(AND(CA1421=0,N(V1421)&lt;=0,N(Q1421)&lt;=0),"Menge pro Gebinde fehlt (Ist = 1 Gebinde); ","")&amp;BV1421)</f>
        <v>negativer Bestand (Export -9); Überbestand 1 Stk / CHF 699; B&amp;R</v>
      </c>
      <c r="BO1421" s="60"/>
      <c r="BP1421" s="60"/>
      <c r="BQ1421" s="67"/>
      <c r="BR1421" s="62" t="n">
        <v>-9</v>
      </c>
      <c r="BS1421" s="62" t="n">
        <v>16</v>
      </c>
      <c r="BT1421" s="61" t="n">
        <v>-5673.52</v>
      </c>
      <c r="BU1421" s="62" t="n">
        <v>8</v>
      </c>
      <c r="BV1421" s="60" t="s">
        <v>2259</v>
      </c>
      <c r="BW1421" s="65" t="n">
        <v>0</v>
      </c>
      <c r="BX1421" s="65" t="n">
        <v>1421</v>
      </c>
      <c r="BY1421" s="60" t="str">
        <f aca="false">IF(U1421&lt;&gt;"",UPPER(TRIM(U1421)),IF(CB1421=1,UPPER(VLOOKUP(T1421,Parameter!$I$27:$K$29,2,0)),IF(P1421="","LOSE",P1421)))</f>
        <v>S63</v>
      </c>
      <c r="BZ1421" s="62" t="n">
        <f aca="false">IF(BY1421="LOSE",1,IF(N(V1421)&gt;0,V1421,IF(CB1421=1,MAX(1,N(VLOOKUP(T1421,Parameter!$I$27:$K$29,3,0)),H1421,N(N1421)),IF(N(Q1421)&gt;0,Q1421,MAX(1,H1421)))))</f>
        <v>7</v>
      </c>
      <c r="CA1421" s="65" t="n">
        <f aca="false">IF(BY1421="LOSE",1,0)</f>
        <v>0</v>
      </c>
      <c r="CB1421" s="65" t="n">
        <f aca="false">IF(AND(U1421="",OR(P1421="",P1421="LOSE"),T1421&lt;&gt;"",N(S1421)&lt;=0,ISNUMBER(MATCH(T1421,Parameter!$I$27:$I$29,0))),1,0)</f>
        <v>0</v>
      </c>
      <c r="CC1421" s="65" t="n">
        <f aca="false">IF(CR1421&gt;0,INDEX(Parameter!$H$5:$H$7,W1421)/INDEX(Parameter!$E$5:$E$7,W1421),IF(AND(CA1421=0,N(IFERROR(VLOOKUP(BY1421,'Gebinde-Kategorie'!$A$5:$N$45,14,0),0))&gt;0),VLOOKUP(BY1421,'Gebinde-Kategorie'!$A$5:$N$45,14,0)*10+Parameter!$M$23,Parameter!$M$24))</f>
        <v>345</v>
      </c>
      <c r="CD1421" s="60" t="str">
        <f aca="false">IF(AND(Parameter!$B$19="Ja",E1421&lt;&gt;"",ISNUMBER(MATCH(E1421,Parameter!$I$35:$I$52,0))),VLOOKUP(E1421,Parameter!$I$35:$J$52,2,0),IFERROR(VLOOKUP(D1421,Parameter!$A$35:$C$64,2,0),"Nein"))</f>
        <v>2+3</v>
      </c>
      <c r="CE1421" s="64" t="n">
        <f aca="false">IF(CA1421=0,0,IF(N(S1421)&gt;0,S1421,IFERROR(VLOOKUP(D1421,Parameter!$A$35:$C$64,3,0)+0,0)))</f>
        <v>0</v>
      </c>
      <c r="CF1421" s="60" t="n">
        <f aca="false">IF(AB1421&lt;&gt;"",AB1421,AA1421)</f>
        <v>3</v>
      </c>
      <c r="CG1421" s="60" t="str">
        <f aca="false">IF(OR(CF1421=1,CF1421=2,CF1421=3),IF(Parameter!$E$27="Ja","LIFT",IF(CF1421=1,"L1","L23")),IF(CF1421="Aussen","Aussen","-"))</f>
        <v>LIFT</v>
      </c>
      <c r="CH1421" s="71" t="n">
        <f aca="false">IF(N(AC1421)&gt;0,AC1421,0)</f>
        <v>0</v>
      </c>
      <c r="CI1421" s="65" t="n">
        <f aca="false">IF(ISNUMBER(AF1421),1,0)</f>
        <v>0</v>
      </c>
      <c r="CJ1421" s="62" t="n">
        <f aca="false">N(AF1421)</f>
        <v>0</v>
      </c>
      <c r="CK1421" s="62" t="n">
        <f aca="false">N(M1421)+N(N1421)</f>
        <v>6</v>
      </c>
      <c r="CL1421" s="62" t="n">
        <f aca="false">N(M1421)</f>
        <v>1</v>
      </c>
      <c r="CM1421" s="62" t="n">
        <f aca="false">N(N1421)</f>
        <v>5</v>
      </c>
      <c r="CN1421" s="62" t="n">
        <f aca="false">ROUNDUP(H1421/BZ1421,0)</f>
        <v>1</v>
      </c>
      <c r="CO1421" s="62" t="n">
        <f aca="false">ROUNDUP(CJ1421/BZ1421,0)</f>
        <v>0</v>
      </c>
      <c r="CP1421" s="65" t="n">
        <f aca="false">IF(CA1421=1,0,IFERROR(VLOOKUP(BY1421,'Gebinde-Kategorie'!$A$5:$N$45,5,0)+0,0))</f>
        <v>31</v>
      </c>
      <c r="CQ1421" s="65" t="n">
        <f aca="false">IFERROR(IF(OR(CF1421=1,CF1421=2,CF1421=3),N(INDEX(Parameter!$I$5:$I$7,CF1421)),0),0)</f>
        <v>0</v>
      </c>
      <c r="CR1421" s="64" t="n">
        <f aca="false">IF(AND(Parameter!$B$21="Ja",ISNUMBER(W1421),N(X1421)&gt;0),IFERROR(N(INDEX(Parameter!$L$5:$L$7,W1421))*INDEX(Parameter!$E$5:$E$7,W1421)*X1421/SUMIFS($X$7:$X$1843,$W$7:$W$1843,W1421),0),0)</f>
        <v>0</v>
      </c>
      <c r="CS1421" s="62" t="n">
        <f aca="false">IF(AND(OR(CG1421="L1",CG1421="L23",CG1421="LIFT"),H1421&gt;0),CC1421*IF(CR1421&gt;0,CR1421*MAX(1,H1421/X1421),IF(CA1421=1,CE1421,IF(R1421&gt;0,CN1421/R1421,0))/MAX(0.1,N(Parameter!$M$21))),"")</f>
        <v>28.75</v>
      </c>
      <c r="CT1421" s="64" t="n">
        <f aca="false">IF(CS1421="","",J1421/H1421)</f>
        <v>1.14285714285714</v>
      </c>
      <c r="CU1421" s="62" t="n">
        <f aca="false">IF(CS1421="","",H1421*G1421)</f>
        <v>4896.08</v>
      </c>
      <c r="CV1421" s="63" t="n">
        <f aca="false">IF(CS1421="","",(CL1421+ROUNDUP(CL1421+MAX(CM1421,2*(J1421/MAX(0.1,N(Einkauf!$C$6))-CL1421)),0))/2)</f>
        <v>3.5</v>
      </c>
      <c r="CW1421" s="62" t="n">
        <f aca="false">IF(CS1421="","",MAX(0,H1421-CV1421)*G1421)</f>
        <v>2448.04</v>
      </c>
      <c r="CX1421" s="62" t="n">
        <f aca="false">IF(CS1421="","",CS1421*MAX(0,1-CV1421/H1421))</f>
        <v>14.375</v>
      </c>
      <c r="CY1421" s="64" t="n">
        <f aca="false">IF(CS1421="","",PERCENTRANK($CS$7:$CS$1843,CS1421)+PERCENTRANK($CU$7:$CU$1843,CU1421)+1-PERCENTRANK($CT$7:$CT$1843,CT1421))</f>
        <v>2.026</v>
      </c>
      <c r="CZ1421" s="72" t="n">
        <f aca="false">IF(CS1421="","",CHOOSE(MATCH(Einkauf!$C$5,Parameter!$G$23:$G$27,0),CY1421,CS1421,CU1421,-CT1421,CW1421)+ROW()/1000000000)</f>
        <v>2.026001421</v>
      </c>
    </row>
    <row r="1422" customFormat="false" ht="15" hidden="false" customHeight="false" outlineLevel="0" collapsed="false">
      <c r="A1422" s="60" t="s">
        <v>2538</v>
      </c>
      <c r="B1422" s="60" t="s">
        <v>2214</v>
      </c>
      <c r="C1422" s="60" t="s">
        <v>206</v>
      </c>
      <c r="D1422" s="60" t="s">
        <v>226</v>
      </c>
      <c r="E1422" s="60"/>
      <c r="F1422" s="60" t="s">
        <v>260</v>
      </c>
      <c r="G1422" s="61" t="n">
        <v>671.53</v>
      </c>
      <c r="H1422" s="62" t="n">
        <f aca="false">MAX(0,IF(AND(Parameter!$B$21="Ja",ISNUMBER(Y1422)),Y1422,IF(Parameter!$B$20="Jahresanfang 2025 + Export",BS1422+BR1422,BR1422)))</f>
        <v>7</v>
      </c>
      <c r="I1422" s="62" t="n">
        <f aca="false">H1422*G1422</f>
        <v>4700.71</v>
      </c>
      <c r="J1422" s="62" t="n">
        <f aca="false">BU1422*Parameter!$B$18</f>
        <v>4</v>
      </c>
      <c r="K1422" s="63" t="n">
        <v>13</v>
      </c>
      <c r="L1422" s="64" t="n">
        <v>0.307692307692308</v>
      </c>
      <c r="M1422" s="62" t="n">
        <v>0</v>
      </c>
      <c r="N1422" s="62" t="n">
        <v>5</v>
      </c>
      <c r="O1422" s="65" t="n">
        <v>28</v>
      </c>
      <c r="P1422" s="60" t="s">
        <v>335</v>
      </c>
      <c r="Q1422" s="62" t="n">
        <v>8</v>
      </c>
      <c r="R1422" s="65" t="n">
        <f aca="false">IF(CA1422=1,0,IFERROR(VLOOKUP(BY1422,'Gebinde-Kategorie'!$A$5:$N$45,13,0)+0,0))</f>
        <v>12</v>
      </c>
      <c r="S1422" s="66"/>
      <c r="T1422" s="67"/>
      <c r="U1422" s="67"/>
      <c r="V1422" s="67"/>
      <c r="W1422" s="60"/>
      <c r="X1422" s="62"/>
      <c r="Y1422" s="62"/>
      <c r="Z1422" s="60" t="n">
        <v>3</v>
      </c>
      <c r="AA1422" s="60" t="n">
        <f aca="false">IF(A1422="","",IF(AND(Parameter!$B$21="Ja",ISNUMBER(W1422)),W1422,IF(AND(Parameter!$E$27="Ja",ISNUMBER(Z1422),CD1422&lt;&gt;"Nein"),Z1422,IF(CD1422="2+3",IF(ISNUMBER(SEARCH("grosser Artikel",BV1422)),2,IFERROR(VLOOKUP(BY1422,Parameter!$F$35:$G$64,2,0),2)),IF(OR(CD1422="Nein",CD1422=""),"-",CD1422)))))</f>
        <v>3</v>
      </c>
      <c r="AB1422" s="67"/>
      <c r="AC1422" s="68"/>
      <c r="AD1422" s="62" t="n">
        <f aca="false">AW1422</f>
        <v>5</v>
      </c>
      <c r="AE1422" s="62" t="n">
        <f aca="false">MAX(AW1422,H1422)</f>
        <v>7</v>
      </c>
      <c r="AF1422" s="69"/>
      <c r="AG1422" s="62" t="n">
        <f aca="false">IF(LEFT(Cockpit!$C$5,1)="A",H1422,IF(Parameter!$E$30="MAX-Bestand",IF(CI1422=1,CJ1422,IF(LEFT(Cockpit!$C$5,1)="B",AM1422,MAX(AM1422,H1422))),ROUNDUP(AK1422,0)))</f>
        <v>7</v>
      </c>
      <c r="AH1422" s="62" t="n">
        <f aca="false">IF(CA1422=1,0,ROUNDUP(AG1422/BZ1422,0))</f>
        <v>1</v>
      </c>
      <c r="AI1422" s="64" t="n">
        <f aca="false">IF(CR1422&gt;0,CR1422*MAX(1,AG1422/X1422),IF(CA1422=1,IF(AG1422&lt;=0,0,CE1422*MAX(1,IF(H1422&gt;0,AG1422/H1422,1))),IF(R1422&gt;0,AH1422/R1422,0))/MAX(0.1,N(Parameter!$M$21)))</f>
        <v>0.0833333333333333</v>
      </c>
      <c r="AJ1422" s="62" t="n">
        <f aca="false">AI1422*CC1422</f>
        <v>20.4166666666667</v>
      </c>
      <c r="AK1422" s="63" t="n">
        <f aca="false">IF(LEFT(Cockpit!$C$5,1)="A",H1422,IF(CI1422=1,(CL1422+CJ1422)/2,IF(LEFT(Cockpit!$C$5,1)="B",(CL1422+AM1422)/2,MAX((CL1422+AM1422)/2,H1422))))</f>
        <v>7</v>
      </c>
      <c r="AL1422" s="62" t="n">
        <f aca="false">AK1422*G1422</f>
        <v>4700.71</v>
      </c>
      <c r="AM1422" s="62" t="n">
        <f aca="false">ROUNDUP(CL1422+MAX(CM1422,2*(J1422/IF(CH1422&gt;0,CH1422,MAX(0.1,N(Cockpit!$C$6)))-CL1422)),0)</f>
        <v>5</v>
      </c>
      <c r="AN1422" s="63" t="n">
        <f aca="false">IF(AJ1422&gt;0,J1422/AJ1422,-1)</f>
        <v>0.195918367346939</v>
      </c>
      <c r="AO1422" s="63" t="n">
        <f aca="false">IF(AND(OR(CG1422="L1",CG1422="L23",CG1422="LIFT"),AJ1422&gt;0),SUMIFS($AJ$7:$AJ$1843,$CG$7:$CG$1843,CG1422,$AN$7:$AN$1843,"&gt;"&amp;AN1422)+SUMIFS($AJ$7:$AJ$1843,$CG$7:$CG$1843,CG1422,$AN$7:$AN$1843,AN1422,$BX$7:$BX$1843,"&lt;="&amp;BX1422),"")</f>
        <v>12622.233720846</v>
      </c>
      <c r="AP1422" s="70" t="n">
        <f aca="false">IF(AO1422="",0,MAX(0,MIN(1,(IF(CG1422="L1",Parameter!$H$5,IF(CG1422="L23",Parameter!$H$6+Parameter!$H$7,Parameter!$H$5+Parameter!$H$6+Parameter!$H$7))-(AO1422-AJ1422))/AJ1422)))</f>
        <v>1</v>
      </c>
      <c r="AQ1422" s="62" t="n">
        <f aca="false">IF(LEFT(Cockpit!$I$5,1)="A",H1422,IF(Parameter!$E$30="MAX-Bestand",IF(CI1422=1,CJ1422,IF(LEFT(Cockpit!$I$5,1)="B",AW1422,MAX(AW1422,H1422))),ROUNDUP(AU1422,0)))</f>
        <v>7</v>
      </c>
      <c r="AR1422" s="62" t="n">
        <f aca="false">IF(CA1422=1,0,ROUNDUP(AQ1422/BZ1422,0))</f>
        <v>1</v>
      </c>
      <c r="AS1422" s="64" t="n">
        <f aca="false">IF(CR1422&gt;0,CR1422*MAX(1,AQ1422/X1422),IF(CA1422=1,IF(AQ1422&lt;=0,0,CE1422*MAX(1,IF(H1422&gt;0,AQ1422/H1422,1))),IF(R1422&gt;0,AR1422/R1422,0))/MAX(0.1,N(Parameter!$M$21)))</f>
        <v>0.0833333333333333</v>
      </c>
      <c r="AT1422" s="62" t="n">
        <f aca="false">AS1422*CC1422</f>
        <v>20.4166666666667</v>
      </c>
      <c r="AU1422" s="63" t="n">
        <f aca="false">IF(LEFT(Cockpit!$I$5,1)="A",H1422,IF(CI1422=1,(CL1422+CJ1422)/2,IF(LEFT(Cockpit!$I$5,1)="B",(CL1422+AW1422)/2,MAX((CL1422+AW1422)/2,H1422))))</f>
        <v>7</v>
      </c>
      <c r="AV1422" s="62" t="n">
        <f aca="false">AU1422*G1422</f>
        <v>4700.71</v>
      </c>
      <c r="AW1422" s="62" t="n">
        <f aca="false">ROUNDUP(CL1422+MAX(CM1422,2*(J1422/IF(CH1422&gt;0,CH1422,MAX(0.1,N(Cockpit!$I$6)))-CL1422)),0)</f>
        <v>5</v>
      </c>
      <c r="AX1422" s="63" t="n">
        <f aca="false">IF(AT1422&gt;0,J1422/AT1422,-1)</f>
        <v>0.195918367346939</v>
      </c>
      <c r="AY1422" s="63" t="n">
        <f aca="false">IF(AND(OR(CG1422="L1",CG1422="L23",CG1422="LIFT"),AT1422&gt;0),SUMIFS($AT$7:$AT$1843,$CG$7:$CG$1843,CG1422,$AX$7:$AX$1843,"&gt;"&amp;AX1422)+SUMIFS($AT$7:$AT$1843,$CG$7:$CG$1843,CG1422,$AX$7:$AX$1843,AX1422,$BX$7:$BX$1843,"&lt;="&amp;BX1422),"")</f>
        <v>15451.4913003663</v>
      </c>
      <c r="AZ1422" s="70" t="n">
        <f aca="false">IF(AY1422="",0,MAX(0,MIN(1,(IF(CG1422="L1",Parameter!$H$5,IF(CG1422="L23",Parameter!$H$6+Parameter!$H$7,Parameter!$H$5+Parameter!$H$6+Parameter!$H$7))-(AY1422-AT1422))/AT1422)))</f>
        <v>1</v>
      </c>
      <c r="BA1422" s="62" t="n">
        <f aca="false">IF(LEFT(Cockpit!$O$5,1)="A",H1422,IF(Parameter!$E$30="MAX-Bestand",IF(CI1422=1,CJ1422,IF(LEFT(Cockpit!$O$5,1)="B",BG1422,MAX(BG1422,H1422))),ROUNDUP(BE1422,0)))</f>
        <v>3</v>
      </c>
      <c r="BB1422" s="62" t="n">
        <f aca="false">IF(CA1422=1,0,ROUNDUP(BA1422/BZ1422,0))</f>
        <v>1</v>
      </c>
      <c r="BC1422" s="64" t="n">
        <f aca="false">IF(CR1422&gt;0,CR1422*MAX(1,BA1422/X1422),IF(CA1422=1,IF(BA1422&lt;=0,0,CE1422*MAX(1,IF(H1422&gt;0,BA1422/H1422,1))),IF(R1422&gt;0,BB1422/R1422,0))/MAX(0.1,N(Parameter!$M$21)))</f>
        <v>0.0833333333333333</v>
      </c>
      <c r="BD1422" s="62" t="n">
        <f aca="false">BC1422*CC1422</f>
        <v>20.4166666666667</v>
      </c>
      <c r="BE1422" s="63" t="n">
        <f aca="false">IF(LEFT(Cockpit!$O$5,1)="A",H1422,IF(CI1422=1,(CL1422+CJ1422)/2,IF(LEFT(Cockpit!$O$5,1)="B",(CL1422+BG1422)/2,MAX((CL1422+BG1422)/2,H1422))))</f>
        <v>2.5</v>
      </c>
      <c r="BF1422" s="62" t="n">
        <f aca="false">BE1422*G1422</f>
        <v>1678.825</v>
      </c>
      <c r="BG1422" s="62" t="n">
        <f aca="false">ROUNDUP(CL1422+MAX(CM1422,2*(J1422/IF(CH1422&gt;0,CH1422,MAX(0.1,N(Cockpit!$O$6)))-CL1422)),0)</f>
        <v>5</v>
      </c>
      <c r="BH1422" s="63" t="n">
        <f aca="false">IF(BD1422&gt;0,J1422/BD1422,-1)</f>
        <v>0.195918367346939</v>
      </c>
      <c r="BI1422" s="63" t="n">
        <f aca="false">IF(AND(OR(CG1422="L1",CG1422="L23",CG1422="LIFT"),BD1422&gt;0),SUMIFS($BD$7:$BD$1843,$CG$7:$CG$1843,CG1422,$BH$7:$BH$1843,"&gt;"&amp;BH1422)+SUMIFS($BD$7:$BD$1843,$CG$7:$CG$1843,CG1422,$BH$7:$BH$1843,BH1422,$BX$7:$BX$1843,"&lt;="&amp;BX1422),"")</f>
        <v>13247.8295901368</v>
      </c>
      <c r="BJ1422" s="70" t="n">
        <f aca="false">IF(BI1422="",0,MAX(0,MIN(1,(IF(CG1422="L1",Parameter!$H$5,IF(CG1422="L23",Parameter!$H$6+Parameter!$H$7,Parameter!$H$5+Parameter!$H$6+Parameter!$H$7))-(BI1422-BD1422))/BD1422)))</f>
        <v>1</v>
      </c>
      <c r="BK1422" s="60" t="str">
        <f aca="false">IF(AJ1422&lt;=0,"",IF(CG1422="Aussen","Aussenlager",IF(CG1422="-","Nicht im Lift",IF(AP1422&gt;=1,"Lift",IF(AP1422&lt;=0,"Aussenlager","teilweise")))))</f>
        <v>Lift</v>
      </c>
      <c r="BL1422" s="60" t="str">
        <f aca="false">IF(AT1422&lt;=0,"",IF(CG1422="Aussen","Aussenlager",IF(CG1422="-","Nicht im Lift",IF(AZ1422&gt;=1,"Lift",IF(AZ1422&lt;=0,"Aussenlager","teilweise")))))</f>
        <v>Lift</v>
      </c>
      <c r="BM1422" s="60" t="str">
        <f aca="false">IF(BD1422&lt;=0,"",IF(CG1422="Aussen","Aussenlager",IF(CG1422="-","Nicht im Lift",IF(BJ1422&gt;=1,"Lift",IF(BJ1422&lt;=0,"Aussenlager","teilweise")))))</f>
        <v>Lift</v>
      </c>
      <c r="BN1422" s="60" t="str">
        <f aca="false">IF(A1422="","",IF(BW1422=1,"Neu; ","")&amp;IF(AND(BW1422=0,BR1422&lt;0),"negativer Bestand (Export "&amp;BR1422&amp;"); ","")&amp;IF(J1422&lt;=0,"Kein Verbrauch; ","")&amp;IF(CR1422&gt;0,"Lift "&amp;W1422&amp;" lt. Liftbericht (Fach "&amp;X1422&amp;" Stk); ",IF(CB1422=1,"Gebinde geschätzt ("&amp;T1422&amp;"); ",IF(CA1422=1,"Lose – Tablare geschätzt; ","")))&amp;IF(H1422&gt;AW1422,"Überbestand "&amp;ROUND(H1422-AW1422,0)&amp;" Stk / CHF "&amp;ROUND((H1422-AW1422)*G1422,0)&amp;"; ","")&amp;IF(AND(CI1422=1,CJ1422&lt;CK1422),"MAX &lt; MB+LG; ","")&amp;IF(AND(CQ1422&gt;0,CP1422*10&gt;CQ1422),"zu hoch für Tablar; ","")&amp;IF(AND(BW1422=0,OR(CI1422=1,AB1422&lt;&gt;"",U1422&lt;&gt;"",V1422&lt;&gt;"",AC1422&lt;&gt;"")),"manuell übersteuert; ","")&amp;IF(AND(CA1422=0,R1422=0),"Gebinde unbekannt / Stellmass fehlt; ","")&amp;IF(AND(CA1422=0,N(V1422)&lt;=0,N(Q1422)&lt;=0),"Menge pro Gebinde fehlt (Ist = 1 Gebinde); ","")&amp;BV1422)</f>
        <v>negativer Bestand (Export -9); Überbestand 2 Stk / CHF 1343; </v>
      </c>
      <c r="BO1422" s="60"/>
      <c r="BP1422" s="60"/>
      <c r="BQ1422" s="67"/>
      <c r="BR1422" s="62" t="n">
        <v>-9</v>
      </c>
      <c r="BS1422" s="62" t="n">
        <v>16</v>
      </c>
      <c r="BT1422" s="61" t="n">
        <v>-6043.77</v>
      </c>
      <c r="BU1422" s="62" t="n">
        <v>4</v>
      </c>
      <c r="BV1422" s="60"/>
      <c r="BW1422" s="65" t="n">
        <v>0</v>
      </c>
      <c r="BX1422" s="65" t="n">
        <v>1422</v>
      </c>
      <c r="BY1422" s="60" t="str">
        <f aca="false">IF(U1422&lt;&gt;"",UPPER(TRIM(U1422)),IF(CB1422=1,UPPER(VLOOKUP(T1422,Parameter!$I$27:$K$29,2,0)),IF(P1422="","LOSE",P1422)))</f>
        <v>S62</v>
      </c>
      <c r="BZ1422" s="62" t="n">
        <f aca="false">IF(BY1422="LOSE",1,IF(N(V1422)&gt;0,V1422,IF(CB1422=1,MAX(1,N(VLOOKUP(T1422,Parameter!$I$27:$K$29,3,0)),H1422,N(N1422)),IF(N(Q1422)&gt;0,Q1422,MAX(1,H1422)))))</f>
        <v>8</v>
      </c>
      <c r="CA1422" s="65" t="n">
        <f aca="false">IF(BY1422="LOSE",1,0)</f>
        <v>0</v>
      </c>
      <c r="CB1422" s="65" t="n">
        <f aca="false">IF(AND(U1422="",OR(P1422="",P1422="LOSE"),T1422&lt;&gt;"",N(S1422)&lt;=0,ISNUMBER(MATCH(T1422,Parameter!$I$27:$I$29,0))),1,0)</f>
        <v>0</v>
      </c>
      <c r="CC1422" s="65" t="n">
        <f aca="false">IF(CR1422&gt;0,INDEX(Parameter!$H$5:$H$7,W1422)/INDEX(Parameter!$E$5:$E$7,W1422),IF(AND(CA1422=0,N(IFERROR(VLOOKUP(BY1422,'Gebinde-Kategorie'!$A$5:$N$45,14,0),0))&gt;0),VLOOKUP(BY1422,'Gebinde-Kategorie'!$A$5:$N$45,14,0)*10+Parameter!$M$23,Parameter!$M$24))</f>
        <v>245</v>
      </c>
      <c r="CD1422" s="60" t="str">
        <f aca="false">IF(AND(Parameter!$B$19="Ja",E1422&lt;&gt;"",ISNUMBER(MATCH(E1422,Parameter!$I$35:$I$52,0))),VLOOKUP(E1422,Parameter!$I$35:$J$52,2,0),IFERROR(VLOOKUP(D1422,Parameter!$A$35:$C$64,2,0),"Nein"))</f>
        <v>2+3</v>
      </c>
      <c r="CE1422" s="64" t="n">
        <f aca="false">IF(CA1422=0,0,IF(N(S1422)&gt;0,S1422,IFERROR(VLOOKUP(D1422,Parameter!$A$35:$C$64,3,0)+0,0)))</f>
        <v>0</v>
      </c>
      <c r="CF1422" s="60" t="n">
        <f aca="false">IF(AB1422&lt;&gt;"",AB1422,AA1422)</f>
        <v>3</v>
      </c>
      <c r="CG1422" s="60" t="str">
        <f aca="false">IF(OR(CF1422=1,CF1422=2,CF1422=3),IF(Parameter!$E$27="Ja","LIFT",IF(CF1422=1,"L1","L23")),IF(CF1422="Aussen","Aussen","-"))</f>
        <v>LIFT</v>
      </c>
      <c r="CH1422" s="71" t="n">
        <f aca="false">IF(N(AC1422)&gt;0,AC1422,0)</f>
        <v>0</v>
      </c>
      <c r="CI1422" s="65" t="n">
        <f aca="false">IF(ISNUMBER(AF1422),1,0)</f>
        <v>0</v>
      </c>
      <c r="CJ1422" s="62" t="n">
        <f aca="false">N(AF1422)</f>
        <v>0</v>
      </c>
      <c r="CK1422" s="62" t="n">
        <f aca="false">N(M1422)+N(N1422)</f>
        <v>5</v>
      </c>
      <c r="CL1422" s="62" t="n">
        <f aca="false">N(M1422)</f>
        <v>0</v>
      </c>
      <c r="CM1422" s="62" t="n">
        <f aca="false">N(N1422)</f>
        <v>5</v>
      </c>
      <c r="CN1422" s="62" t="n">
        <f aca="false">ROUNDUP(H1422/BZ1422,0)</f>
        <v>1</v>
      </c>
      <c r="CO1422" s="62" t="n">
        <f aca="false">ROUNDUP(CJ1422/BZ1422,0)</f>
        <v>0</v>
      </c>
      <c r="CP1422" s="65" t="n">
        <f aca="false">IF(CA1422=1,0,IFERROR(VLOOKUP(BY1422,'Gebinde-Kategorie'!$A$5:$N$45,5,0)+0,0))</f>
        <v>21</v>
      </c>
      <c r="CQ1422" s="65" t="n">
        <f aca="false">IFERROR(IF(OR(CF1422=1,CF1422=2,CF1422=3),N(INDEX(Parameter!$I$5:$I$7,CF1422)),0),0)</f>
        <v>0</v>
      </c>
      <c r="CR1422" s="64" t="n">
        <f aca="false">IF(AND(Parameter!$B$21="Ja",ISNUMBER(W1422),N(X1422)&gt;0),IFERROR(N(INDEX(Parameter!$L$5:$L$7,W1422))*INDEX(Parameter!$E$5:$E$7,W1422)*X1422/SUMIFS($X$7:$X$1843,$W$7:$W$1843,W1422),0),0)</f>
        <v>0</v>
      </c>
      <c r="CS1422" s="62" t="n">
        <f aca="false">IF(AND(OR(CG1422="L1",CG1422="L23",CG1422="LIFT"),H1422&gt;0),CC1422*IF(CR1422&gt;0,CR1422*MAX(1,H1422/X1422),IF(CA1422=1,CE1422,IF(R1422&gt;0,CN1422/R1422,0))/MAX(0.1,N(Parameter!$M$21))),"")</f>
        <v>20.4166666666667</v>
      </c>
      <c r="CT1422" s="64" t="n">
        <f aca="false">IF(CS1422="","",J1422/H1422)</f>
        <v>0.571428571428571</v>
      </c>
      <c r="CU1422" s="62" t="n">
        <f aca="false">IF(CS1422="","",H1422*G1422)</f>
        <v>4700.71</v>
      </c>
      <c r="CV1422" s="63" t="n">
        <f aca="false">IF(CS1422="","",(CL1422+ROUNDUP(CL1422+MAX(CM1422,2*(J1422/MAX(0.1,N(Einkauf!$C$6))-CL1422)),0))/2)</f>
        <v>2.5</v>
      </c>
      <c r="CW1422" s="62" t="n">
        <f aca="false">IF(CS1422="","",MAX(0,H1422-CV1422)*G1422)</f>
        <v>3021.885</v>
      </c>
      <c r="CX1422" s="62" t="n">
        <f aca="false">IF(CS1422="","",CS1422*MAX(0,1-CV1422/H1422))</f>
        <v>13.125</v>
      </c>
      <c r="CY1422" s="64" t="n">
        <f aca="false">IF(CS1422="","",PERCENTRANK($CS$7:$CS$1843,CS1422)+PERCENTRANK($CU$7:$CU$1843,CU1422)+1-PERCENTRANK($CT$7:$CT$1843,CT1422))</f>
        <v>2.117</v>
      </c>
      <c r="CZ1422" s="72" t="n">
        <f aca="false">IF(CS1422="","",CHOOSE(MATCH(Einkauf!$C$5,Parameter!$G$23:$G$27,0),CY1422,CS1422,CU1422,-CT1422,CW1422)+ROW()/1000000000)</f>
        <v>2.117001422</v>
      </c>
    </row>
    <row r="1423" customFormat="false" ht="15" hidden="false" customHeight="false" outlineLevel="0" collapsed="false">
      <c r="A1423" s="60" t="s">
        <v>2539</v>
      </c>
      <c r="B1423" s="60" t="s">
        <v>295</v>
      </c>
      <c r="C1423" s="60" t="s">
        <v>206</v>
      </c>
      <c r="D1423" s="60" t="s">
        <v>215</v>
      </c>
      <c r="E1423" s="60" t="s">
        <v>208</v>
      </c>
      <c r="F1423" s="60" t="s">
        <v>260</v>
      </c>
      <c r="G1423" s="61" t="n">
        <v>1464.77</v>
      </c>
      <c r="H1423" s="62" t="n">
        <f aca="false">MAX(0,IF(AND(Parameter!$B$21="Ja",ISNUMBER(Y1423)),Y1423,IF(Parameter!$B$20="Jahresanfang 2025 + Export",BS1423+BR1423,BR1423)))</f>
        <v>7</v>
      </c>
      <c r="I1423" s="62" t="n">
        <f aca="false">H1423*G1423</f>
        <v>10253.39</v>
      </c>
      <c r="J1423" s="62" t="n">
        <f aca="false">BU1423*Parameter!$B$18</f>
        <v>16</v>
      </c>
      <c r="K1423" s="63" t="n">
        <v>8</v>
      </c>
      <c r="L1423" s="64" t="n">
        <v>2</v>
      </c>
      <c r="M1423" s="62" t="n">
        <v>3</v>
      </c>
      <c r="N1423" s="62" t="n">
        <v>5</v>
      </c>
      <c r="O1423" s="65" t="n">
        <v>70</v>
      </c>
      <c r="P1423" s="60" t="s">
        <v>210</v>
      </c>
      <c r="Q1423" s="62"/>
      <c r="R1423" s="65" t="n">
        <f aca="false">IF(CA1423=1,0,IFERROR(VLOOKUP(BY1423,'Gebinde-Kategorie'!$A$5:$N$45,13,0)+0,0))</f>
        <v>0</v>
      </c>
      <c r="S1423" s="66"/>
      <c r="T1423" s="67"/>
      <c r="U1423" s="67"/>
      <c r="V1423" s="67"/>
      <c r="W1423" s="60" t="n">
        <v>1</v>
      </c>
      <c r="X1423" s="62" t="n">
        <v>10</v>
      </c>
      <c r="Y1423" s="62" t="n">
        <v>7</v>
      </c>
      <c r="Z1423" s="60" t="n">
        <v>1</v>
      </c>
      <c r="AA1423" s="60" t="n">
        <f aca="false">IF(A1423="","",IF(AND(Parameter!$B$21="Ja",ISNUMBER(W1423)),W1423,IF(AND(Parameter!$E$27="Ja",ISNUMBER(Z1423),CD1423&lt;&gt;"Nein"),Z1423,IF(CD1423="2+3",IF(ISNUMBER(SEARCH("grosser Artikel",BV1423)),2,IFERROR(VLOOKUP(BY1423,Parameter!$F$35:$G$64,2,0),2)),IF(OR(CD1423="Nein",CD1423=""),"-",CD1423)))))</f>
        <v>1</v>
      </c>
      <c r="AB1423" s="67"/>
      <c r="AC1423" s="68"/>
      <c r="AD1423" s="62" t="n">
        <f aca="false">AW1423</f>
        <v>8</v>
      </c>
      <c r="AE1423" s="62" t="n">
        <f aca="false">MAX(AW1423,H1423)</f>
        <v>8</v>
      </c>
      <c r="AF1423" s="69"/>
      <c r="AG1423" s="62" t="n">
        <f aca="false">IF(LEFT(Cockpit!$C$5,1)="A",H1423,IF(Parameter!$E$30="MAX-Bestand",IF(CI1423=1,CJ1423,IF(LEFT(Cockpit!$C$5,1)="B",AM1423,MAX(AM1423,H1423))),ROUNDUP(AK1423,0)))</f>
        <v>7</v>
      </c>
      <c r="AH1423" s="62" t="n">
        <f aca="false">IF(CA1423=1,0,ROUNDUP(AG1423/BZ1423,0))</f>
        <v>0</v>
      </c>
      <c r="AI1423" s="64" t="n">
        <f aca="false">IF(CR1423&gt;0,CR1423*MAX(1,AG1423/X1423),IF(CA1423=1,IF(AG1423&lt;=0,0,CE1423*MAX(1,IF(H1423&gt;0,AG1423/H1423,1))),IF(R1423&gt;0,AH1423/R1423,0))/MAX(0.1,N(Parameter!$M$21)))</f>
        <v>0.800376647834275</v>
      </c>
      <c r="AJ1423" s="62" t="n">
        <f aca="false">AI1423*CC1423</f>
        <v>190.489642184557</v>
      </c>
      <c r="AK1423" s="63" t="n">
        <f aca="false">IF(LEFT(Cockpit!$C$5,1)="A",H1423,IF(CI1423=1,(CL1423+CJ1423)/2,IF(LEFT(Cockpit!$C$5,1)="B",(CL1423+AM1423)/2,MAX((CL1423+AM1423)/2,H1423))))</f>
        <v>7</v>
      </c>
      <c r="AL1423" s="62" t="n">
        <f aca="false">AK1423*G1423</f>
        <v>10253.39</v>
      </c>
      <c r="AM1423" s="62" t="n">
        <f aca="false">ROUNDUP(CL1423+MAX(CM1423,2*(J1423/IF(CH1423&gt;0,CH1423,MAX(0.1,N(Cockpit!$C$6)))-CL1423)),0)</f>
        <v>8</v>
      </c>
      <c r="AN1423" s="63" t="n">
        <f aca="false">IF(AJ1423&gt;0,J1423/AJ1423,-1)</f>
        <v>0.0839940682155215</v>
      </c>
      <c r="AO1423" s="63" t="n">
        <f aca="false">IF(AND(OR(CG1423="L1",CG1423="L23",CG1423="LIFT"),AJ1423&gt;0),SUMIFS($AJ$7:$AJ$1843,$CG$7:$CG$1843,CG1423,$AN$7:$AN$1843,"&gt;"&amp;AN1423)+SUMIFS($AJ$7:$AJ$1843,$CG$7:$CG$1843,CG1423,$AN$7:$AN$1843,AN1423,$BX$7:$BX$1843,"&lt;="&amp;BX1423),"")</f>
        <v>16638.4471425467</v>
      </c>
      <c r="AP1423" s="70" t="n">
        <f aca="false">IF(AO1423="",0,MAX(0,MIN(1,(IF(CG1423="L1",Parameter!$H$5,IF(CG1423="L23",Parameter!$H$6+Parameter!$H$7,Parameter!$H$5+Parameter!$H$6+Parameter!$H$7))-(AO1423-AJ1423))/AJ1423)))</f>
        <v>1</v>
      </c>
      <c r="AQ1423" s="62" t="n">
        <f aca="false">IF(LEFT(Cockpit!$I$5,1)="A",H1423,IF(Parameter!$E$30="MAX-Bestand",IF(CI1423=1,CJ1423,IF(LEFT(Cockpit!$I$5,1)="B",AW1423,MAX(AW1423,H1423))),ROUNDUP(AU1423,0)))</f>
        <v>7</v>
      </c>
      <c r="AR1423" s="62" t="n">
        <f aca="false">IF(CA1423=1,0,ROUNDUP(AQ1423/BZ1423,0))</f>
        <v>0</v>
      </c>
      <c r="AS1423" s="64" t="n">
        <f aca="false">IF(CR1423&gt;0,CR1423*MAX(1,AQ1423/X1423),IF(CA1423=1,IF(AQ1423&lt;=0,0,CE1423*MAX(1,IF(H1423&gt;0,AQ1423/H1423,1))),IF(R1423&gt;0,AR1423/R1423,0))/MAX(0.1,N(Parameter!$M$21)))</f>
        <v>0.800376647834275</v>
      </c>
      <c r="AT1423" s="62" t="n">
        <f aca="false">AS1423*CC1423</f>
        <v>190.489642184557</v>
      </c>
      <c r="AU1423" s="63" t="n">
        <f aca="false">IF(LEFT(Cockpit!$I$5,1)="A",H1423,IF(CI1423=1,(CL1423+CJ1423)/2,IF(LEFT(Cockpit!$I$5,1)="B",(CL1423+AW1423)/2,MAX((CL1423+AW1423)/2,H1423))))</f>
        <v>7</v>
      </c>
      <c r="AV1423" s="62" t="n">
        <f aca="false">AU1423*G1423</f>
        <v>10253.39</v>
      </c>
      <c r="AW1423" s="62" t="n">
        <f aca="false">ROUNDUP(CL1423+MAX(CM1423,2*(J1423/IF(CH1423&gt;0,CH1423,MAX(0.1,N(Cockpit!$I$6)))-CL1423)),0)</f>
        <v>8</v>
      </c>
      <c r="AX1423" s="63" t="n">
        <f aca="false">IF(AT1423&gt;0,J1423/AT1423,-1)</f>
        <v>0.0839940682155215</v>
      </c>
      <c r="AY1423" s="63" t="n">
        <f aca="false">IF(AND(OR(CG1423="L1",CG1423="L23",CG1423="LIFT"),AT1423&gt;0),SUMIFS($AT$7:$AT$1843,$CG$7:$CG$1843,CG1423,$AX$7:$AX$1843,"&gt;"&amp;AX1423)+SUMIFS($AT$7:$AT$1843,$CG$7:$CG$1843,CG1423,$AX$7:$AX$1843,AX1423,$BX$7:$BX$1843,"&lt;="&amp;BX1423),"")</f>
        <v>21661.5957839242</v>
      </c>
      <c r="AZ1423" s="70" t="n">
        <f aca="false">IF(AY1423="",0,MAX(0,MIN(1,(IF(CG1423="L1",Parameter!$H$5,IF(CG1423="L23",Parameter!$H$6+Parameter!$H$7,Parameter!$H$5+Parameter!$H$6+Parameter!$H$7))-(AY1423-AT1423))/AT1423)))</f>
        <v>1</v>
      </c>
      <c r="BA1423" s="62" t="n">
        <f aca="false">IF(LEFT(Cockpit!$O$5,1)="A",H1423,IF(Parameter!$E$30="MAX-Bestand",IF(CI1423=1,CJ1423,IF(LEFT(Cockpit!$O$5,1)="B",BG1423,MAX(BG1423,H1423))),ROUNDUP(BE1423,0)))</f>
        <v>6</v>
      </c>
      <c r="BB1423" s="62" t="n">
        <f aca="false">IF(CA1423=1,0,ROUNDUP(BA1423/BZ1423,0))</f>
        <v>0</v>
      </c>
      <c r="BC1423" s="64" t="n">
        <f aca="false">IF(CR1423&gt;0,CR1423*MAX(1,BA1423/X1423),IF(CA1423=1,IF(BA1423&lt;=0,0,CE1423*MAX(1,IF(H1423&gt;0,BA1423/H1423,1))),IF(R1423&gt;0,BB1423/R1423,0))/MAX(0.1,N(Parameter!$M$21)))</f>
        <v>0.800376647834275</v>
      </c>
      <c r="BD1423" s="62" t="n">
        <f aca="false">BC1423*CC1423</f>
        <v>190.489642184557</v>
      </c>
      <c r="BE1423" s="63" t="n">
        <f aca="false">IF(LEFT(Cockpit!$O$5,1)="A",H1423,IF(CI1423=1,(CL1423+CJ1423)/2,IF(LEFT(Cockpit!$O$5,1)="B",(CL1423+BG1423)/2,MAX((CL1423+BG1423)/2,H1423))))</f>
        <v>5.5</v>
      </c>
      <c r="BF1423" s="62" t="n">
        <f aca="false">BE1423*G1423</f>
        <v>8056.235</v>
      </c>
      <c r="BG1423" s="62" t="n">
        <f aca="false">ROUNDUP(CL1423+MAX(CM1423,2*(J1423/IF(CH1423&gt;0,CH1423,MAX(0.1,N(Cockpit!$O$6)))-CL1423)),0)</f>
        <v>8</v>
      </c>
      <c r="BH1423" s="63" t="n">
        <f aca="false">IF(BD1423&gt;0,J1423/BD1423,-1)</f>
        <v>0.0839940682155215</v>
      </c>
      <c r="BI1423" s="63" t="n">
        <f aca="false">IF(AND(OR(CG1423="L1",CG1423="L23",CG1423="LIFT"),BD1423&gt;0),SUMIFS($BD$7:$BD$1843,$CG$7:$CG$1843,CG1423,$BH$7:$BH$1843,"&gt;"&amp;BH1423)+SUMIFS($BD$7:$BD$1843,$CG$7:$CG$1843,CG1423,$BH$7:$BH$1843,BH1423,$BX$7:$BX$1843,"&lt;="&amp;BX1423),"")</f>
        <v>18223.4981400426</v>
      </c>
      <c r="BJ1423" s="70" t="n">
        <f aca="false">IF(BI1423="",0,MAX(0,MIN(1,(IF(CG1423="L1",Parameter!$H$5,IF(CG1423="L23",Parameter!$H$6+Parameter!$H$7,Parameter!$H$5+Parameter!$H$6+Parameter!$H$7))-(BI1423-BD1423))/BD1423)))</f>
        <v>1</v>
      </c>
      <c r="BK1423" s="60" t="str">
        <f aca="false">IF(AJ1423&lt;=0,"",IF(CG1423="Aussen","Aussenlager",IF(CG1423="-","Nicht im Lift",IF(AP1423&gt;=1,"Lift",IF(AP1423&lt;=0,"Aussenlager","teilweise")))))</f>
        <v>Lift</v>
      </c>
      <c r="BL1423" s="60" t="str">
        <f aca="false">IF(AT1423&lt;=0,"",IF(CG1423="Aussen","Aussenlager",IF(CG1423="-","Nicht im Lift",IF(AZ1423&gt;=1,"Lift",IF(AZ1423&lt;=0,"Aussenlager","teilweise")))))</f>
        <v>Lift</v>
      </c>
      <c r="BM1423" s="60" t="str">
        <f aca="false">IF(BD1423&lt;=0,"",IF(CG1423="Aussen","Aussenlager",IF(CG1423="-","Nicht im Lift",IF(BJ1423&gt;=1,"Lift",IF(BJ1423&lt;=0,"Aussenlager","teilweise")))))</f>
        <v>Lift</v>
      </c>
      <c r="BN1423" s="60" t="str">
        <f aca="false">IF(A1423="","",IF(BW1423=1,"Neu; ","")&amp;IF(AND(BW1423=0,BR1423&lt;0),"negativer Bestand (Export "&amp;BR1423&amp;"); ","")&amp;IF(J1423&lt;=0,"Kein Verbrauch; ","")&amp;IF(CR1423&gt;0,"Lift "&amp;W1423&amp;" lt. Liftbericht (Fach "&amp;X1423&amp;" Stk); ",IF(CB1423=1,"Gebinde geschätzt ("&amp;T1423&amp;"); ",IF(CA1423=1,"Lose – Tablare geschätzt; ","")))&amp;IF(H1423&gt;AW1423,"Überbestand "&amp;ROUND(H1423-AW1423,0)&amp;" Stk / CHF "&amp;ROUND((H1423-AW1423)*G1423,0)&amp;"; ","")&amp;IF(AND(CI1423=1,CJ1423&lt;CK1423),"MAX &lt; MB+LG; ","")&amp;IF(AND(CQ1423&gt;0,CP1423*10&gt;CQ1423),"zu hoch für Tablar; ","")&amp;IF(AND(BW1423=0,OR(CI1423=1,AB1423&lt;&gt;"",U1423&lt;&gt;"",V1423&lt;&gt;"",AC1423&lt;&gt;"")),"manuell übersteuert; ","")&amp;IF(AND(CA1423=0,R1423=0),"Gebinde unbekannt / Stellmass fehlt; ","")&amp;IF(AND(CA1423=0,N(V1423)&lt;=0,N(Q1423)&lt;=0),"Menge pro Gebinde fehlt (Ist = 1 Gebinde); ","")&amp;BV1423)</f>
        <v>negativer Bestand (Export -5); Lift 1 lt. Liftbericht (Fach 10 Stk); </v>
      </c>
      <c r="BO1423" s="60"/>
      <c r="BP1423" s="60"/>
      <c r="BQ1423" s="67"/>
      <c r="BR1423" s="62" t="n">
        <v>-5</v>
      </c>
      <c r="BS1423" s="62" t="n">
        <v>12</v>
      </c>
      <c r="BT1423" s="61" t="n">
        <v>-6065.88999999999</v>
      </c>
      <c r="BU1423" s="62" t="n">
        <v>16</v>
      </c>
      <c r="BV1423" s="60"/>
      <c r="BW1423" s="65" t="n">
        <v>0</v>
      </c>
      <c r="BX1423" s="65" t="n">
        <v>1423</v>
      </c>
      <c r="BY1423" s="60" t="str">
        <f aca="false">IF(U1423&lt;&gt;"",UPPER(TRIM(U1423)),IF(CB1423=1,UPPER(VLOOKUP(T1423,Parameter!$I$27:$K$29,2,0)),IF(P1423="","LOSE",P1423)))</f>
        <v>LOSE</v>
      </c>
      <c r="BZ1423" s="62" t="n">
        <f aca="false">IF(BY1423="LOSE",1,IF(N(V1423)&gt;0,V1423,IF(CB1423=1,MAX(1,N(VLOOKUP(T1423,Parameter!$I$27:$K$29,3,0)),H1423,N(N1423)),IF(N(Q1423)&gt;0,Q1423,MAX(1,H1423)))))</f>
        <v>1</v>
      </c>
      <c r="CA1423" s="65" t="n">
        <f aca="false">IF(BY1423="LOSE",1,0)</f>
        <v>1</v>
      </c>
      <c r="CB1423" s="65" t="n">
        <f aca="false">IF(AND(U1423="",OR(P1423="",P1423="LOSE"),T1423&lt;&gt;"",N(S1423)&lt;=0,ISNUMBER(MATCH(T1423,Parameter!$I$27:$I$29,0))),1,0)</f>
        <v>0</v>
      </c>
      <c r="CC1423" s="65" t="n">
        <f aca="false">IF(CR1423&gt;0,INDEX(Parameter!$H$5:$H$7,W1423)/INDEX(Parameter!$E$5:$E$7,W1423),IF(AND(CA1423=0,N(IFERROR(VLOOKUP(BY1423,'Gebinde-Kategorie'!$A$5:$N$45,14,0),0))&gt;0),VLOOKUP(BY1423,'Gebinde-Kategorie'!$A$5:$N$45,14,0)*10+Parameter!$M$23,Parameter!$M$24))</f>
        <v>238</v>
      </c>
      <c r="CD1423" s="60" t="n">
        <f aca="false">IF(AND(Parameter!$B$19="Ja",E1423&lt;&gt;"",ISNUMBER(MATCH(E1423,Parameter!$I$35:$I$52,0))),VLOOKUP(E1423,Parameter!$I$35:$J$52,2,0),IFERROR(VLOOKUP(D1423,Parameter!$A$35:$C$64,2,0),"Nein"))</f>
        <v>1</v>
      </c>
      <c r="CE1423" s="64" t="n">
        <f aca="false">IF(CA1423=0,0,IF(N(S1423)&gt;0,S1423,IFERROR(VLOOKUP(D1423,Parameter!$A$35:$C$64,3,0)+0,0)))</f>
        <v>0.15</v>
      </c>
      <c r="CF1423" s="60" t="n">
        <f aca="false">IF(AB1423&lt;&gt;"",AB1423,AA1423)</f>
        <v>1</v>
      </c>
      <c r="CG1423" s="60" t="str">
        <f aca="false">IF(OR(CF1423=1,CF1423=2,CF1423=3),IF(Parameter!$E$27="Ja","LIFT",IF(CF1423=1,"L1","L23")),IF(CF1423="Aussen","Aussen","-"))</f>
        <v>LIFT</v>
      </c>
      <c r="CH1423" s="71" t="n">
        <f aca="false">IF(N(AC1423)&gt;0,AC1423,0)</f>
        <v>0</v>
      </c>
      <c r="CI1423" s="65" t="n">
        <f aca="false">IF(ISNUMBER(AF1423),1,0)</f>
        <v>0</v>
      </c>
      <c r="CJ1423" s="62" t="n">
        <f aca="false">N(AF1423)</f>
        <v>0</v>
      </c>
      <c r="CK1423" s="62" t="n">
        <f aca="false">N(M1423)+N(N1423)</f>
        <v>8</v>
      </c>
      <c r="CL1423" s="62" t="n">
        <f aca="false">N(M1423)</f>
        <v>3</v>
      </c>
      <c r="CM1423" s="62" t="n">
        <f aca="false">N(N1423)</f>
        <v>5</v>
      </c>
      <c r="CN1423" s="62" t="n">
        <f aca="false">ROUNDUP(H1423/BZ1423,0)</f>
        <v>7</v>
      </c>
      <c r="CO1423" s="62" t="n">
        <f aca="false">ROUNDUP(CJ1423/BZ1423,0)</f>
        <v>0</v>
      </c>
      <c r="CP1423" s="65" t="n">
        <f aca="false">IF(CA1423=1,0,IFERROR(VLOOKUP(BY1423,'Gebinde-Kategorie'!$A$5:$N$45,5,0)+0,0))</f>
        <v>0</v>
      </c>
      <c r="CQ1423" s="65" t="n">
        <f aca="false">IFERROR(IF(OR(CF1423=1,CF1423=2,CF1423=3),N(INDEX(Parameter!$I$5:$I$7,CF1423)),0),0)</f>
        <v>0</v>
      </c>
      <c r="CR1423" s="64" t="n">
        <f aca="false">IF(AND(Parameter!$B$21="Ja",ISNUMBER(W1423),N(X1423)&gt;0),IFERROR(N(INDEX(Parameter!$L$5:$L$7,W1423))*INDEX(Parameter!$E$5:$E$7,W1423)*X1423/SUMIFS($X$7:$X$1843,$W$7:$W$1843,W1423),0),0)</f>
        <v>0.800376647834275</v>
      </c>
      <c r="CS1423" s="62" t="n">
        <f aca="false">IF(AND(OR(CG1423="L1",CG1423="L23",CG1423="LIFT"),H1423&gt;0),CC1423*IF(CR1423&gt;0,CR1423*MAX(1,H1423/X1423),IF(CA1423=1,CE1423,IF(R1423&gt;0,CN1423/R1423,0))/MAX(0.1,N(Parameter!$M$21))),"")</f>
        <v>190.489642184557</v>
      </c>
      <c r="CT1423" s="64" t="n">
        <f aca="false">IF(CS1423="","",J1423/H1423)</f>
        <v>2.28571428571429</v>
      </c>
      <c r="CU1423" s="62" t="n">
        <f aca="false">IF(CS1423="","",H1423*G1423)</f>
        <v>10253.39</v>
      </c>
      <c r="CV1423" s="63" t="n">
        <f aca="false">IF(CS1423="","",(CL1423+ROUNDUP(CL1423+MAX(CM1423,2*(J1423/MAX(0.1,N(Einkauf!$C$6))-CL1423)),0))/2)</f>
        <v>5.5</v>
      </c>
      <c r="CW1423" s="62" t="n">
        <f aca="false">IF(CS1423="","",MAX(0,H1423-CV1423)*G1423)</f>
        <v>2197.155</v>
      </c>
      <c r="CX1423" s="62" t="n">
        <f aca="false">IF(CS1423="","",CS1423*MAX(0,1-CV1423/H1423))</f>
        <v>40.819209039548</v>
      </c>
      <c r="CY1423" s="64" t="n">
        <f aca="false">IF(CS1423="","",PERCENTRANK($CS$7:$CS$1843,CS1423)+PERCENTRANK($CU$7:$CU$1843,CU1423)+1-PERCENTRANK($CT$7:$CT$1843,CT1423))</f>
        <v>2.096</v>
      </c>
      <c r="CZ1423" s="72" t="n">
        <f aca="false">IF(CS1423="","",CHOOSE(MATCH(Einkauf!$C$5,Parameter!$G$23:$G$27,0),CY1423,CS1423,CU1423,-CT1423,CW1423)+ROW()/1000000000)</f>
        <v>2.096001423</v>
      </c>
    </row>
    <row r="1424" customFormat="false" ht="15" hidden="false" customHeight="false" outlineLevel="0" collapsed="false">
      <c r="A1424" s="60" t="s">
        <v>2540</v>
      </c>
      <c r="B1424" s="60" t="s">
        <v>2541</v>
      </c>
      <c r="C1424" s="60" t="s">
        <v>206</v>
      </c>
      <c r="D1424" s="60" t="s">
        <v>207</v>
      </c>
      <c r="E1424" s="60"/>
      <c r="F1424" s="60" t="s">
        <v>260</v>
      </c>
      <c r="G1424" s="61" t="n">
        <v>2751.82</v>
      </c>
      <c r="H1424" s="62" t="n">
        <f aca="false">MAX(0,IF(AND(Parameter!$B$21="Ja",ISNUMBER(Y1424)),Y1424,IF(Parameter!$B$20="Jahresanfang 2025 + Export",BS1424+BR1424,BR1424)))</f>
        <v>0</v>
      </c>
      <c r="I1424" s="62" t="n">
        <f aca="false">H1424*G1424</f>
        <v>0</v>
      </c>
      <c r="J1424" s="62" t="n">
        <f aca="false">BU1424*Parameter!$B$18</f>
        <v>19</v>
      </c>
      <c r="K1424" s="63" t="n">
        <v>9.5</v>
      </c>
      <c r="L1424" s="64" t="n">
        <v>2</v>
      </c>
      <c r="M1424" s="62" t="n">
        <v>5</v>
      </c>
      <c r="N1424" s="62" t="n">
        <v>5</v>
      </c>
      <c r="O1424" s="65" t="n">
        <v>74</v>
      </c>
      <c r="P1424" s="60" t="s">
        <v>210</v>
      </c>
      <c r="Q1424" s="62"/>
      <c r="R1424" s="65" t="n">
        <f aca="false">IF(CA1424=1,0,IFERROR(VLOOKUP(BY1424,'Gebinde-Kategorie'!$A$5:$N$45,13,0)+0,0))</f>
        <v>0</v>
      </c>
      <c r="S1424" s="66"/>
      <c r="T1424" s="67"/>
      <c r="U1424" s="67"/>
      <c r="V1424" s="67"/>
      <c r="W1424" s="60" t="n">
        <v>1</v>
      </c>
      <c r="X1424" s="62" t="n">
        <v>11</v>
      </c>
      <c r="Y1424" s="62" t="n">
        <v>0</v>
      </c>
      <c r="Z1424" s="60" t="n">
        <v>1</v>
      </c>
      <c r="AA1424" s="60" t="n">
        <f aca="false">IF(A1424="","",IF(AND(Parameter!$B$21="Ja",ISNUMBER(W1424)),W1424,IF(AND(Parameter!$E$27="Ja",ISNUMBER(Z1424),CD1424&lt;&gt;"Nein"),Z1424,IF(CD1424="2+3",IF(ISNUMBER(SEARCH("grosser Artikel",BV1424)),2,IFERROR(VLOOKUP(BY1424,Parameter!$F$35:$G$64,2,0),2)),IF(OR(CD1424="Nein",CD1424=""),"-",CD1424)))))</f>
        <v>1</v>
      </c>
      <c r="AB1424" s="67"/>
      <c r="AC1424" s="68"/>
      <c r="AD1424" s="62" t="n">
        <f aca="false">AW1424</f>
        <v>10</v>
      </c>
      <c r="AE1424" s="62" t="n">
        <f aca="false">MAX(AW1424,H1424)</f>
        <v>10</v>
      </c>
      <c r="AF1424" s="69"/>
      <c r="AG1424" s="62" t="n">
        <f aca="false">IF(LEFT(Cockpit!$C$5,1)="A",H1424,IF(Parameter!$E$30="MAX-Bestand",IF(CI1424=1,CJ1424,IF(LEFT(Cockpit!$C$5,1)="B",AM1424,MAX(AM1424,H1424))),ROUNDUP(AK1424,0)))</f>
        <v>0</v>
      </c>
      <c r="AH1424" s="62" t="n">
        <f aca="false">IF(CA1424=1,0,ROUNDUP(AG1424/BZ1424,0))</f>
        <v>0</v>
      </c>
      <c r="AI1424" s="64" t="n">
        <f aca="false">IF(CR1424&gt;0,CR1424*MAX(1,AG1424/X1424),IF(CA1424=1,IF(AG1424&lt;=0,0,CE1424*MAX(1,IF(H1424&gt;0,AG1424/H1424,1))),IF(R1424&gt;0,AH1424/R1424,0))/MAX(0.1,N(Parameter!$M$21)))</f>
        <v>0.880414312617702</v>
      </c>
      <c r="AJ1424" s="62" t="n">
        <f aca="false">AI1424*CC1424</f>
        <v>209.538606403013</v>
      </c>
      <c r="AK1424" s="63" t="n">
        <f aca="false">IF(LEFT(Cockpit!$C$5,1)="A",H1424,IF(CI1424=1,(CL1424+CJ1424)/2,IF(LEFT(Cockpit!$C$5,1)="B",(CL1424+AM1424)/2,MAX((CL1424+AM1424)/2,H1424))))</f>
        <v>0</v>
      </c>
      <c r="AL1424" s="62" t="n">
        <f aca="false">AK1424*G1424</f>
        <v>0</v>
      </c>
      <c r="AM1424" s="62" t="n">
        <f aca="false">ROUNDUP(CL1424+MAX(CM1424,2*(J1424/IF(CH1424&gt;0,CH1424,MAX(0.1,N(Cockpit!$C$6)))-CL1424)),0)</f>
        <v>10</v>
      </c>
      <c r="AN1424" s="63" t="n">
        <f aca="false">IF(AJ1424&gt;0,J1424/AJ1424,-1)</f>
        <v>0.0906754145508471</v>
      </c>
      <c r="AO1424" s="63" t="n">
        <f aca="false">IF(AND(OR(CG1424="L1",CG1424="L23",CG1424="LIFT"),AJ1424&gt;0),SUMIFS($AJ$7:$AJ$1843,$CG$7:$CG$1843,CG1424,$AN$7:$AN$1843,"&gt;"&amp;AN1424)+SUMIFS($AJ$7:$AJ$1843,$CG$7:$CG$1843,CG1424,$AN$7:$AN$1843,AN1424,$BX$7:$BX$1843,"&lt;="&amp;BX1424),"")</f>
        <v>16389.2075003622</v>
      </c>
      <c r="AP1424" s="70" t="n">
        <f aca="false">IF(AO1424="",0,MAX(0,MIN(1,(IF(CG1424="L1",Parameter!$H$5,IF(CG1424="L23",Parameter!$H$6+Parameter!$H$7,Parameter!$H$5+Parameter!$H$6+Parameter!$H$7))-(AO1424-AJ1424))/AJ1424)))</f>
        <v>1</v>
      </c>
      <c r="AQ1424" s="62" t="n">
        <f aca="false">IF(LEFT(Cockpit!$I$5,1)="A",H1424,IF(Parameter!$E$30="MAX-Bestand",IF(CI1424=1,CJ1424,IF(LEFT(Cockpit!$I$5,1)="B",AW1424,MAX(AW1424,H1424))),ROUNDUP(AU1424,0)))</f>
        <v>8</v>
      </c>
      <c r="AR1424" s="62" t="n">
        <f aca="false">IF(CA1424=1,0,ROUNDUP(AQ1424/BZ1424,0))</f>
        <v>0</v>
      </c>
      <c r="AS1424" s="64" t="n">
        <f aca="false">IF(CR1424&gt;0,CR1424*MAX(1,AQ1424/X1424),IF(CA1424=1,IF(AQ1424&lt;=0,0,CE1424*MAX(1,IF(H1424&gt;0,AQ1424/H1424,1))),IF(R1424&gt;0,AR1424/R1424,0))/MAX(0.1,N(Parameter!$M$21)))</f>
        <v>0.880414312617702</v>
      </c>
      <c r="AT1424" s="62" t="n">
        <f aca="false">AS1424*CC1424</f>
        <v>209.538606403013</v>
      </c>
      <c r="AU1424" s="63" t="n">
        <f aca="false">IF(LEFT(Cockpit!$I$5,1)="A",H1424,IF(CI1424=1,(CL1424+CJ1424)/2,IF(LEFT(Cockpit!$I$5,1)="B",(CL1424+AW1424)/2,MAX((CL1424+AW1424)/2,H1424))))</f>
        <v>7.5</v>
      </c>
      <c r="AV1424" s="62" t="n">
        <f aca="false">AU1424*G1424</f>
        <v>20638.65</v>
      </c>
      <c r="AW1424" s="62" t="n">
        <f aca="false">ROUNDUP(CL1424+MAX(CM1424,2*(J1424/IF(CH1424&gt;0,CH1424,MAX(0.1,N(Cockpit!$I$6)))-CL1424)),0)</f>
        <v>10</v>
      </c>
      <c r="AX1424" s="63" t="n">
        <f aca="false">IF(AT1424&gt;0,J1424/AT1424,-1)</f>
        <v>0.0906754145508471</v>
      </c>
      <c r="AY1424" s="63" t="n">
        <f aca="false">IF(AND(OR(CG1424="L1",CG1424="L23",CG1424="LIFT"),AT1424&gt;0),SUMIFS($AT$7:$AT$1843,$CG$7:$CG$1843,CG1424,$AX$7:$AX$1843,"&gt;"&amp;AX1424)+SUMIFS($AT$7:$AT$1843,$CG$7:$CG$1843,CG1424,$AX$7:$AX$1843,AX1424,$BX$7:$BX$1843,"&lt;="&amp;BX1424),"")</f>
        <v>21412.3561417396</v>
      </c>
      <c r="AZ1424" s="70" t="n">
        <f aca="false">IF(AY1424="",0,MAX(0,MIN(1,(IF(CG1424="L1",Parameter!$H$5,IF(CG1424="L23",Parameter!$H$6+Parameter!$H$7,Parameter!$H$5+Parameter!$H$6+Parameter!$H$7))-(AY1424-AT1424))/AT1424)))</f>
        <v>1</v>
      </c>
      <c r="BA1424" s="62" t="n">
        <f aca="false">IF(LEFT(Cockpit!$O$5,1)="A",H1424,IF(Parameter!$E$30="MAX-Bestand",IF(CI1424=1,CJ1424,IF(LEFT(Cockpit!$O$5,1)="B",BG1424,MAX(BG1424,H1424))),ROUNDUP(BE1424,0)))</f>
        <v>8</v>
      </c>
      <c r="BB1424" s="62" t="n">
        <f aca="false">IF(CA1424=1,0,ROUNDUP(BA1424/BZ1424,0))</f>
        <v>0</v>
      </c>
      <c r="BC1424" s="64" t="n">
        <f aca="false">IF(CR1424&gt;0,CR1424*MAX(1,BA1424/X1424),IF(CA1424=1,IF(BA1424&lt;=0,0,CE1424*MAX(1,IF(H1424&gt;0,BA1424/H1424,1))),IF(R1424&gt;0,BB1424/R1424,0))/MAX(0.1,N(Parameter!$M$21)))</f>
        <v>0.880414312617702</v>
      </c>
      <c r="BD1424" s="62" t="n">
        <f aca="false">BC1424*CC1424</f>
        <v>209.538606403013</v>
      </c>
      <c r="BE1424" s="63" t="n">
        <f aca="false">IF(LEFT(Cockpit!$O$5,1)="A",H1424,IF(CI1424=1,(CL1424+CJ1424)/2,IF(LEFT(Cockpit!$O$5,1)="B",(CL1424+BG1424)/2,MAX((CL1424+BG1424)/2,H1424))))</f>
        <v>7.5</v>
      </c>
      <c r="BF1424" s="62" t="n">
        <f aca="false">BE1424*G1424</f>
        <v>20638.65</v>
      </c>
      <c r="BG1424" s="62" t="n">
        <f aca="false">ROUNDUP(CL1424+MAX(CM1424,2*(J1424/IF(CH1424&gt;0,CH1424,MAX(0.1,N(Cockpit!$O$6)))-CL1424)),0)</f>
        <v>10</v>
      </c>
      <c r="BH1424" s="63" t="n">
        <f aca="false">IF(BD1424&gt;0,J1424/BD1424,-1)</f>
        <v>0.0906754145508471</v>
      </c>
      <c r="BI1424" s="63" t="n">
        <f aca="false">IF(AND(OR(CG1424="L1",CG1424="L23",CG1424="LIFT"),BD1424&gt;0),SUMIFS($BD$7:$BD$1843,$CG$7:$CG$1843,CG1424,$BH$7:$BH$1843,"&gt;"&amp;BH1424)+SUMIFS($BD$7:$BD$1843,$CG$7:$CG$1843,CG1424,$BH$7:$BH$1843,BH1424,$BX$7:$BX$1843,"&lt;="&amp;BX1424),"")</f>
        <v>17964.835420935</v>
      </c>
      <c r="BJ1424" s="70" t="n">
        <f aca="false">IF(BI1424="",0,MAX(0,MIN(1,(IF(CG1424="L1",Parameter!$H$5,IF(CG1424="L23",Parameter!$H$6+Parameter!$H$7,Parameter!$H$5+Parameter!$H$6+Parameter!$H$7))-(BI1424-BD1424))/BD1424)))</f>
        <v>1</v>
      </c>
      <c r="BK1424" s="60" t="str">
        <f aca="false">IF(AJ1424&lt;=0,"",IF(CG1424="Aussen","Aussenlager",IF(CG1424="-","Nicht im Lift",IF(AP1424&gt;=1,"Lift",IF(AP1424&lt;=0,"Aussenlager","teilweise")))))</f>
        <v>Lift</v>
      </c>
      <c r="BL1424" s="60" t="str">
        <f aca="false">IF(AT1424&lt;=0,"",IF(CG1424="Aussen","Aussenlager",IF(CG1424="-","Nicht im Lift",IF(AZ1424&gt;=1,"Lift",IF(AZ1424&lt;=0,"Aussenlager","teilweise")))))</f>
        <v>Lift</v>
      </c>
      <c r="BM1424" s="60" t="str">
        <f aca="false">IF(BD1424&lt;=0,"",IF(CG1424="Aussen","Aussenlager",IF(CG1424="-","Nicht im Lift",IF(BJ1424&gt;=1,"Lift",IF(BJ1424&lt;=0,"Aussenlager","teilweise")))))</f>
        <v>Lift</v>
      </c>
      <c r="BN1424" s="60" t="str">
        <f aca="false">IF(A1424="","",IF(BW1424=1,"Neu; ","")&amp;IF(AND(BW1424=0,BR1424&lt;0),"negativer Bestand (Export "&amp;BR1424&amp;"); ","")&amp;IF(J1424&lt;=0,"Kein Verbrauch; ","")&amp;IF(CR1424&gt;0,"Lift "&amp;W1424&amp;" lt. Liftbericht (Fach "&amp;X1424&amp;" Stk); ",IF(CB1424=1,"Gebinde geschätzt ("&amp;T1424&amp;"); ",IF(CA1424=1,"Lose – Tablare geschätzt; ","")))&amp;IF(H1424&gt;AW1424,"Überbestand "&amp;ROUND(H1424-AW1424,0)&amp;" Stk / CHF "&amp;ROUND((H1424-AW1424)*G1424,0)&amp;"; ","")&amp;IF(AND(CI1424=1,CJ1424&lt;CK1424),"MAX &lt; MB+LG; ","")&amp;IF(AND(CQ1424&gt;0,CP1424*10&gt;CQ1424),"zu hoch für Tablar; ","")&amp;IF(AND(BW1424=0,OR(CI1424=1,AB1424&lt;&gt;"",U1424&lt;&gt;"",V1424&lt;&gt;"",AC1424&lt;&gt;"")),"manuell übersteuert; ","")&amp;IF(AND(CA1424=0,R1424=0),"Gebinde unbekannt / Stellmass fehlt; ","")&amp;IF(AND(CA1424=0,N(V1424)&lt;=0,N(Q1424)&lt;=0),"Menge pro Gebinde fehlt (Ist = 1 Gebinde); ","")&amp;BV1424)</f>
        <v>negativer Bestand (Export -4); Lift 1 lt. Liftbericht (Fach 11 Stk); </v>
      </c>
      <c r="BO1424" s="60"/>
      <c r="BP1424" s="60"/>
      <c r="BQ1424" s="67"/>
      <c r="BR1424" s="62" t="n">
        <v>-4</v>
      </c>
      <c r="BS1424" s="62" t="n">
        <v>7</v>
      </c>
      <c r="BT1424" s="61" t="n">
        <v>-6384.13</v>
      </c>
      <c r="BU1424" s="62" t="n">
        <v>19</v>
      </c>
      <c r="BV1424" s="60"/>
      <c r="BW1424" s="65" t="n">
        <v>0</v>
      </c>
      <c r="BX1424" s="65" t="n">
        <v>1424</v>
      </c>
      <c r="BY1424" s="60" t="str">
        <f aca="false">IF(U1424&lt;&gt;"",UPPER(TRIM(U1424)),IF(CB1424=1,UPPER(VLOOKUP(T1424,Parameter!$I$27:$K$29,2,0)),IF(P1424="","LOSE",P1424)))</f>
        <v>LOSE</v>
      </c>
      <c r="BZ1424" s="62" t="n">
        <f aca="false">IF(BY1424="LOSE",1,IF(N(V1424)&gt;0,V1424,IF(CB1424=1,MAX(1,N(VLOOKUP(T1424,Parameter!$I$27:$K$29,3,0)),H1424,N(N1424)),IF(N(Q1424)&gt;0,Q1424,MAX(1,H1424)))))</f>
        <v>1</v>
      </c>
      <c r="CA1424" s="65" t="n">
        <f aca="false">IF(BY1424="LOSE",1,0)</f>
        <v>1</v>
      </c>
      <c r="CB1424" s="65" t="n">
        <f aca="false">IF(AND(U1424="",OR(P1424="",P1424="LOSE"),T1424&lt;&gt;"",N(S1424)&lt;=0,ISNUMBER(MATCH(T1424,Parameter!$I$27:$I$29,0))),1,0)</f>
        <v>0</v>
      </c>
      <c r="CC1424" s="65" t="n">
        <f aca="false">IF(CR1424&gt;0,INDEX(Parameter!$H$5:$H$7,W1424)/INDEX(Parameter!$E$5:$E$7,W1424),IF(AND(CA1424=0,N(IFERROR(VLOOKUP(BY1424,'Gebinde-Kategorie'!$A$5:$N$45,14,0),0))&gt;0),VLOOKUP(BY1424,'Gebinde-Kategorie'!$A$5:$N$45,14,0)*10+Parameter!$M$23,Parameter!$M$24))</f>
        <v>238</v>
      </c>
      <c r="CD1424" s="60" t="n">
        <f aca="false">IF(AND(Parameter!$B$19="Ja",E1424&lt;&gt;"",ISNUMBER(MATCH(E1424,Parameter!$I$35:$I$52,0))),VLOOKUP(E1424,Parameter!$I$35:$J$52,2,0),IFERROR(VLOOKUP(D1424,Parameter!$A$35:$C$64,2,0),"Nein"))</f>
        <v>1</v>
      </c>
      <c r="CE1424" s="64" t="n">
        <f aca="false">IF(CA1424=0,0,IF(N(S1424)&gt;0,S1424,IFERROR(VLOOKUP(D1424,Parameter!$A$35:$C$64,3,0)+0,0)))</f>
        <v>1</v>
      </c>
      <c r="CF1424" s="60" t="n">
        <f aca="false">IF(AB1424&lt;&gt;"",AB1424,AA1424)</f>
        <v>1</v>
      </c>
      <c r="CG1424" s="60" t="str">
        <f aca="false">IF(OR(CF1424=1,CF1424=2,CF1424=3),IF(Parameter!$E$27="Ja","LIFT",IF(CF1424=1,"L1","L23")),IF(CF1424="Aussen","Aussen","-"))</f>
        <v>LIFT</v>
      </c>
      <c r="CH1424" s="71" t="n">
        <f aca="false">IF(N(AC1424)&gt;0,AC1424,0)</f>
        <v>0</v>
      </c>
      <c r="CI1424" s="65" t="n">
        <f aca="false">IF(ISNUMBER(AF1424),1,0)</f>
        <v>0</v>
      </c>
      <c r="CJ1424" s="62" t="n">
        <f aca="false">N(AF1424)</f>
        <v>0</v>
      </c>
      <c r="CK1424" s="62" t="n">
        <f aca="false">N(M1424)+N(N1424)</f>
        <v>10</v>
      </c>
      <c r="CL1424" s="62" t="n">
        <f aca="false">N(M1424)</f>
        <v>5</v>
      </c>
      <c r="CM1424" s="62" t="n">
        <f aca="false">N(N1424)</f>
        <v>5</v>
      </c>
      <c r="CN1424" s="62" t="n">
        <f aca="false">ROUNDUP(H1424/BZ1424,0)</f>
        <v>0</v>
      </c>
      <c r="CO1424" s="62" t="n">
        <f aca="false">ROUNDUP(CJ1424/BZ1424,0)</f>
        <v>0</v>
      </c>
      <c r="CP1424" s="65" t="n">
        <f aca="false">IF(CA1424=1,0,IFERROR(VLOOKUP(BY1424,'Gebinde-Kategorie'!$A$5:$N$45,5,0)+0,0))</f>
        <v>0</v>
      </c>
      <c r="CQ1424" s="65" t="n">
        <f aca="false">IFERROR(IF(OR(CF1424=1,CF1424=2,CF1424=3),N(INDEX(Parameter!$I$5:$I$7,CF1424)),0),0)</f>
        <v>0</v>
      </c>
      <c r="CR1424" s="64" t="n">
        <f aca="false">IF(AND(Parameter!$B$21="Ja",ISNUMBER(W1424),N(X1424)&gt;0),IFERROR(N(INDEX(Parameter!$L$5:$L$7,W1424))*INDEX(Parameter!$E$5:$E$7,W1424)*X1424/SUMIFS($X$7:$X$1843,$W$7:$W$1843,W1424),0),0)</f>
        <v>0.880414312617702</v>
      </c>
      <c r="CS1424" s="62" t="str">
        <f aca="false">IF(AND(OR(CG1424="L1",CG1424="L23",CG1424="LIFT"),H1424&gt;0),CC1424*IF(CR1424&gt;0,CR1424*MAX(1,H1424/X1424),IF(CA1424=1,CE1424,IF(R1424&gt;0,CN1424/R1424,0))/MAX(0.1,N(Parameter!$M$21))),"")</f>
        <v/>
      </c>
      <c r="CT1424" s="64" t="str">
        <f aca="false">IF(CS1424="","",J1424/H1424)</f>
        <v/>
      </c>
      <c r="CU1424" s="62" t="str">
        <f aca="false">IF(CS1424="","",H1424*G1424)</f>
        <v/>
      </c>
      <c r="CV1424" s="63" t="str">
        <f aca="false">IF(CS1424="","",(CL1424+ROUNDUP(CL1424+MAX(CM1424,2*(J1424/MAX(0.1,N(Einkauf!$C$6))-CL1424)),0))/2)</f>
        <v/>
      </c>
      <c r="CW1424" s="62" t="str">
        <f aca="false">IF(CS1424="","",MAX(0,H1424-CV1424)*G1424)</f>
        <v/>
      </c>
      <c r="CX1424" s="62" t="str">
        <f aca="false">IF(CS1424="","",CS1424*MAX(0,1-CV1424/H1424))</f>
        <v/>
      </c>
      <c r="CY1424" s="64" t="str">
        <f aca="false">IF(CS1424="","",PERCENTRANK($CS$7:$CS$1843,CS1424)+PERCENTRANK($CU$7:$CU$1843,CU1424)+1-PERCENTRANK($CT$7:$CT$1843,CT1424))</f>
        <v/>
      </c>
      <c r="CZ1424" s="72" t="str">
        <f aca="false">IF(CS1424="","",CHOOSE(MATCH(Einkauf!$C$5,Parameter!$G$23:$G$27,0),CY1424,CS1424,CU1424,-CT1424,CW1424)+ROW()/1000000000)</f>
        <v/>
      </c>
    </row>
    <row r="1425" customFormat="false" ht="15" hidden="false" customHeight="false" outlineLevel="0" collapsed="false">
      <c r="A1425" s="60" t="s">
        <v>2542</v>
      </c>
      <c r="B1425" s="60" t="s">
        <v>1956</v>
      </c>
      <c r="C1425" s="60" t="s">
        <v>498</v>
      </c>
      <c r="D1425" s="60" t="s">
        <v>226</v>
      </c>
      <c r="E1425" s="60"/>
      <c r="F1425" s="60" t="s">
        <v>260</v>
      </c>
      <c r="G1425" s="61" t="n">
        <v>639.83</v>
      </c>
      <c r="H1425" s="62" t="n">
        <f aca="false">MAX(0,IF(AND(Parameter!$B$21="Ja",ISNUMBER(Y1425)),Y1425,IF(Parameter!$B$20="Jahresanfang 2025 + Export",BS1425+BR1425,BR1425)))</f>
        <v>10</v>
      </c>
      <c r="I1425" s="62" t="n">
        <f aca="false">H1425*G1425</f>
        <v>6398.3</v>
      </c>
      <c r="J1425" s="62" t="n">
        <f aca="false">BU1425*Parameter!$B$18</f>
        <v>10</v>
      </c>
      <c r="K1425" s="63" t="n">
        <v>10</v>
      </c>
      <c r="L1425" s="64" t="n">
        <v>1</v>
      </c>
      <c r="M1425" s="62" t="n">
        <v>1</v>
      </c>
      <c r="N1425" s="62" t="n">
        <v>10</v>
      </c>
      <c r="O1425" s="65" t="n">
        <v>56</v>
      </c>
      <c r="P1425" s="60" t="s">
        <v>210</v>
      </c>
      <c r="Q1425" s="62"/>
      <c r="R1425" s="65" t="n">
        <f aca="false">IF(CA1425=1,0,IFERROR(VLOOKUP(BY1425,'Gebinde-Kategorie'!$A$5:$N$45,13,0)+0,0))</f>
        <v>12</v>
      </c>
      <c r="S1425" s="66"/>
      <c r="T1425" s="67" t="s">
        <v>221</v>
      </c>
      <c r="U1425" s="67"/>
      <c r="V1425" s="67"/>
      <c r="W1425" s="60"/>
      <c r="X1425" s="62"/>
      <c r="Y1425" s="62"/>
      <c r="Z1425" s="60" t="n">
        <v>3</v>
      </c>
      <c r="AA1425" s="60" t="n">
        <f aca="false">IF(A1425="","",IF(AND(Parameter!$B$21="Ja",ISNUMBER(W1425)),W1425,IF(AND(Parameter!$E$27="Ja",ISNUMBER(Z1425),CD1425&lt;&gt;"Nein"),Z1425,IF(CD1425="2+3",IF(ISNUMBER(SEARCH("grosser Artikel",BV1425)),2,IFERROR(VLOOKUP(BY1425,Parameter!$F$35:$G$64,2,0),2)),IF(OR(CD1425="Nein",CD1425=""),"-",CD1425)))))</f>
        <v>3</v>
      </c>
      <c r="AB1425" s="67"/>
      <c r="AC1425" s="68"/>
      <c r="AD1425" s="62" t="n">
        <f aca="false">AW1425</f>
        <v>11</v>
      </c>
      <c r="AE1425" s="62" t="n">
        <f aca="false">MAX(AW1425,H1425)</f>
        <v>11</v>
      </c>
      <c r="AF1425" s="69"/>
      <c r="AG1425" s="62" t="n">
        <f aca="false">IF(LEFT(Cockpit!$C$5,1)="A",H1425,IF(Parameter!$E$30="MAX-Bestand",IF(CI1425=1,CJ1425,IF(LEFT(Cockpit!$C$5,1)="B",AM1425,MAX(AM1425,H1425))),ROUNDUP(AK1425,0)))</f>
        <v>10</v>
      </c>
      <c r="AH1425" s="62" t="n">
        <f aca="false">IF(CA1425=1,0,ROUNDUP(AG1425/BZ1425,0))</f>
        <v>1</v>
      </c>
      <c r="AI1425" s="64" t="n">
        <f aca="false">IF(CR1425&gt;0,CR1425*MAX(1,AG1425/X1425),IF(CA1425=1,IF(AG1425&lt;=0,0,CE1425*MAX(1,IF(H1425&gt;0,AG1425/H1425,1))),IF(R1425&gt;0,AH1425/R1425,0))/MAX(0.1,N(Parameter!$M$21)))</f>
        <v>0.0833333333333333</v>
      </c>
      <c r="AJ1425" s="62" t="n">
        <f aca="false">AI1425*CC1425</f>
        <v>12.0833333333333</v>
      </c>
      <c r="AK1425" s="63" t="n">
        <f aca="false">IF(LEFT(Cockpit!$C$5,1)="A",H1425,IF(CI1425=1,(CL1425+CJ1425)/2,IF(LEFT(Cockpit!$C$5,1)="B",(CL1425+AM1425)/2,MAX((CL1425+AM1425)/2,H1425))))</f>
        <v>10</v>
      </c>
      <c r="AL1425" s="62" t="n">
        <f aca="false">AK1425*G1425</f>
        <v>6398.3</v>
      </c>
      <c r="AM1425" s="62" t="n">
        <f aca="false">ROUNDUP(CL1425+MAX(CM1425,2*(J1425/IF(CH1425&gt;0,CH1425,MAX(0.1,N(Cockpit!$C$6)))-CL1425)),0)</f>
        <v>11</v>
      </c>
      <c r="AN1425" s="63" t="n">
        <f aca="false">IF(AJ1425&gt;0,J1425/AJ1425,-1)</f>
        <v>0.827586206896552</v>
      </c>
      <c r="AO1425" s="63" t="n">
        <f aca="false">IF(AND(OR(CG1425="L1",CG1425="L23",CG1425="LIFT"),AJ1425&gt;0),SUMIFS($AJ$7:$AJ$1843,$CG$7:$CG$1843,CG1425,$AN$7:$AN$1843,"&gt;"&amp;AN1425)+SUMIFS($AJ$7:$AJ$1843,$CG$7:$CG$1843,CG1425,$AN$7:$AN$1843,AN1425,$BX$7:$BX$1843,"&lt;="&amp;BX1425),"")</f>
        <v>7978.29166666667</v>
      </c>
      <c r="AP1425" s="70" t="n">
        <f aca="false">IF(AO1425="",0,MAX(0,MIN(1,(IF(CG1425="L1",Parameter!$H$5,IF(CG1425="L23",Parameter!$H$6+Parameter!$H$7,Parameter!$H$5+Parameter!$H$6+Parameter!$H$7))-(AO1425-AJ1425))/AJ1425)))</f>
        <v>1</v>
      </c>
      <c r="AQ1425" s="62" t="n">
        <f aca="false">IF(LEFT(Cockpit!$I$5,1)="A",H1425,IF(Parameter!$E$30="MAX-Bestand",IF(CI1425=1,CJ1425,IF(LEFT(Cockpit!$I$5,1)="B",AW1425,MAX(AW1425,H1425))),ROUNDUP(AU1425,0)))</f>
        <v>10</v>
      </c>
      <c r="AR1425" s="62" t="n">
        <f aca="false">IF(CA1425=1,0,ROUNDUP(AQ1425/BZ1425,0))</f>
        <v>1</v>
      </c>
      <c r="AS1425" s="64" t="n">
        <f aca="false">IF(CR1425&gt;0,CR1425*MAX(1,AQ1425/X1425),IF(CA1425=1,IF(AQ1425&lt;=0,0,CE1425*MAX(1,IF(H1425&gt;0,AQ1425/H1425,1))),IF(R1425&gt;0,AR1425/R1425,0))/MAX(0.1,N(Parameter!$M$21)))</f>
        <v>0.0833333333333333</v>
      </c>
      <c r="AT1425" s="62" t="n">
        <f aca="false">AS1425*CC1425</f>
        <v>12.0833333333333</v>
      </c>
      <c r="AU1425" s="63" t="n">
        <f aca="false">IF(LEFT(Cockpit!$I$5,1)="A",H1425,IF(CI1425=1,(CL1425+CJ1425)/2,IF(LEFT(Cockpit!$I$5,1)="B",(CL1425+AW1425)/2,MAX((CL1425+AW1425)/2,H1425))))</f>
        <v>10</v>
      </c>
      <c r="AV1425" s="62" t="n">
        <f aca="false">AU1425*G1425</f>
        <v>6398.3</v>
      </c>
      <c r="AW1425" s="62" t="n">
        <f aca="false">ROUNDUP(CL1425+MAX(CM1425,2*(J1425/IF(CH1425&gt;0,CH1425,MAX(0.1,N(Cockpit!$I$6)))-CL1425)),0)</f>
        <v>11</v>
      </c>
      <c r="AX1425" s="63" t="n">
        <f aca="false">IF(AT1425&gt;0,J1425/AT1425,-1)</f>
        <v>0.827586206896552</v>
      </c>
      <c r="AY1425" s="63" t="n">
        <f aca="false">IF(AND(OR(CG1425="L1",CG1425="L23",CG1425="LIFT"),AT1425&gt;0),SUMIFS($AT$7:$AT$1843,$CG$7:$CG$1843,CG1425,$AX$7:$AX$1843,"&gt;"&amp;AX1425)+SUMIFS($AT$7:$AT$1843,$CG$7:$CG$1843,CG1425,$AX$7:$AX$1843,AX1425,$BX$7:$BX$1843,"&lt;="&amp;BX1425),"")</f>
        <v>9782.02655677656</v>
      </c>
      <c r="AZ1425" s="70" t="n">
        <f aca="false">IF(AY1425="",0,MAX(0,MIN(1,(IF(CG1425="L1",Parameter!$H$5,IF(CG1425="L23",Parameter!$H$6+Parameter!$H$7,Parameter!$H$5+Parameter!$H$6+Parameter!$H$7))-(AY1425-AT1425))/AT1425)))</f>
        <v>1</v>
      </c>
      <c r="BA1425" s="62" t="n">
        <f aca="false">IF(LEFT(Cockpit!$O$5,1)="A",H1425,IF(Parameter!$E$30="MAX-Bestand",IF(CI1425=1,CJ1425,IF(LEFT(Cockpit!$O$5,1)="B",BG1425,MAX(BG1425,H1425))),ROUNDUP(BE1425,0)))</f>
        <v>6</v>
      </c>
      <c r="BB1425" s="62" t="n">
        <f aca="false">IF(CA1425=1,0,ROUNDUP(BA1425/BZ1425,0))</f>
        <v>1</v>
      </c>
      <c r="BC1425" s="64" t="n">
        <f aca="false">IF(CR1425&gt;0,CR1425*MAX(1,BA1425/X1425),IF(CA1425=1,IF(BA1425&lt;=0,0,CE1425*MAX(1,IF(H1425&gt;0,BA1425/H1425,1))),IF(R1425&gt;0,BB1425/R1425,0))/MAX(0.1,N(Parameter!$M$21)))</f>
        <v>0.0833333333333333</v>
      </c>
      <c r="BD1425" s="62" t="n">
        <f aca="false">BC1425*CC1425</f>
        <v>12.0833333333333</v>
      </c>
      <c r="BE1425" s="63" t="n">
        <f aca="false">IF(LEFT(Cockpit!$O$5,1)="A",H1425,IF(CI1425=1,(CL1425+CJ1425)/2,IF(LEFT(Cockpit!$O$5,1)="B",(CL1425+BG1425)/2,MAX((CL1425+BG1425)/2,H1425))))</f>
        <v>6</v>
      </c>
      <c r="BF1425" s="62" t="n">
        <f aca="false">BE1425*G1425</f>
        <v>3838.98</v>
      </c>
      <c r="BG1425" s="62" t="n">
        <f aca="false">ROUNDUP(CL1425+MAX(CM1425,2*(J1425/IF(CH1425&gt;0,CH1425,MAX(0.1,N(Cockpit!$O$6)))-CL1425)),0)</f>
        <v>11</v>
      </c>
      <c r="BH1425" s="63" t="n">
        <f aca="false">IF(BD1425&gt;0,J1425/BD1425,-1)</f>
        <v>0.827586206896552</v>
      </c>
      <c r="BI1425" s="63" t="n">
        <f aca="false">IF(AND(OR(CG1425="L1",CG1425="L23",CG1425="LIFT"),BD1425&gt;0),SUMIFS($BD$7:$BD$1843,$CG$7:$CG$1843,CG1425,$BH$7:$BH$1843,"&gt;"&amp;BH1425)+SUMIFS($BD$7:$BD$1843,$CG$7:$CG$1843,CG1425,$BH$7:$BH$1843,BH1425,$BX$7:$BX$1843,"&lt;="&amp;BX1425),"")</f>
        <v>8637.26968864469</v>
      </c>
      <c r="BJ1425" s="70" t="n">
        <f aca="false">IF(BI1425="",0,MAX(0,MIN(1,(IF(CG1425="L1",Parameter!$H$5,IF(CG1425="L23",Parameter!$H$6+Parameter!$H$7,Parameter!$H$5+Parameter!$H$6+Parameter!$H$7))-(BI1425-BD1425))/BD1425)))</f>
        <v>1</v>
      </c>
      <c r="BK1425" s="60" t="str">
        <f aca="false">IF(AJ1425&lt;=0,"",IF(CG1425="Aussen","Aussenlager",IF(CG1425="-","Nicht im Lift",IF(AP1425&gt;=1,"Lift",IF(AP1425&lt;=0,"Aussenlager","teilweise")))))</f>
        <v>Lift</v>
      </c>
      <c r="BL1425" s="60" t="str">
        <f aca="false">IF(AT1425&lt;=0,"",IF(CG1425="Aussen","Aussenlager",IF(CG1425="-","Nicht im Lift",IF(AZ1425&gt;=1,"Lift",IF(AZ1425&lt;=0,"Aussenlager","teilweise")))))</f>
        <v>Lift</v>
      </c>
      <c r="BM1425" s="60" t="str">
        <f aca="false">IF(BD1425&lt;=0,"",IF(CG1425="Aussen","Aussenlager",IF(CG1425="-","Nicht im Lift",IF(BJ1425&gt;=1,"Lift",IF(BJ1425&lt;=0,"Aussenlager","teilweise")))))</f>
        <v>Lift</v>
      </c>
      <c r="BN1425" s="60" t="str">
        <f aca="false">IF(A1425="","",IF(BW1425=1,"Neu; ","")&amp;IF(AND(BW1425=0,BR1425&lt;0),"negativer Bestand (Export "&amp;BR1425&amp;"); ","")&amp;IF(J1425&lt;=0,"Kein Verbrauch; ","")&amp;IF(CR1425&gt;0,"Lift "&amp;W1425&amp;" lt. Liftbericht (Fach "&amp;X1425&amp;" Stk); ",IF(CB1425=1,"Gebinde geschätzt ("&amp;T1425&amp;"); ",IF(CA1425=1,"Lose – Tablare geschätzt; ","")))&amp;IF(H1425&gt;AW1425,"Überbestand "&amp;ROUND(H1425-AW1425,0)&amp;" Stk / CHF "&amp;ROUND((H1425-AW1425)*G1425,0)&amp;"; ","")&amp;IF(AND(CI1425=1,CJ1425&lt;CK1425),"MAX &lt; MB+LG; ","")&amp;IF(AND(CQ1425&gt;0,CP1425*10&gt;CQ1425),"zu hoch für Tablar; ","")&amp;IF(AND(BW1425=0,OR(CI1425=1,AB1425&lt;&gt;"",U1425&lt;&gt;"",V1425&lt;&gt;"",AC1425&lt;&gt;"")),"manuell übersteuert; ","")&amp;IF(AND(CA1425=0,R1425=0),"Gebinde unbekannt / Stellmass fehlt; ","")&amp;IF(AND(CA1425=0,N(V1425)&lt;=0,N(Q1425)&lt;=0),"Menge pro Gebinde fehlt (Ist = 1 Gebinde); ","")&amp;BV1425)</f>
        <v>negativer Bestand (Export -10); Gebinde geschätzt (Mittel); Menge pro Gebinde fehlt (Ist = 1 Gebinde); </v>
      </c>
      <c r="BO1425" s="60"/>
      <c r="BP1425" s="60"/>
      <c r="BQ1425" s="67"/>
      <c r="BR1425" s="62" t="n">
        <v>-10</v>
      </c>
      <c r="BS1425" s="62" t="n">
        <v>20</v>
      </c>
      <c r="BT1425" s="61" t="n">
        <v>-6398.3</v>
      </c>
      <c r="BU1425" s="62" t="n">
        <v>10</v>
      </c>
      <c r="BV1425" s="60"/>
      <c r="BW1425" s="65" t="n">
        <v>0</v>
      </c>
      <c r="BX1425" s="65" t="n">
        <v>1425</v>
      </c>
      <c r="BY1425" s="60" t="str">
        <f aca="false">IF(U1425&lt;&gt;"",UPPER(TRIM(U1425)),IF(CB1425=1,UPPER(VLOOKUP(T1425,Parameter!$I$27:$K$29,2,0)),IF(P1425="","LOSE",P1425)))</f>
        <v>S61</v>
      </c>
      <c r="BZ1425" s="62" t="n">
        <f aca="false">IF(BY1425="LOSE",1,IF(N(V1425)&gt;0,V1425,IF(CB1425=1,MAX(1,N(VLOOKUP(T1425,Parameter!$I$27:$K$29,3,0)),H1425,N(N1425)),IF(N(Q1425)&gt;0,Q1425,MAX(1,H1425)))))</f>
        <v>10</v>
      </c>
      <c r="CA1425" s="65" t="n">
        <f aca="false">IF(BY1425="LOSE",1,0)</f>
        <v>0</v>
      </c>
      <c r="CB1425" s="65" t="n">
        <f aca="false">IF(AND(U1425="",OR(P1425="",P1425="LOSE"),T1425&lt;&gt;"",N(S1425)&lt;=0,ISNUMBER(MATCH(T1425,Parameter!$I$27:$I$29,0))),1,0)</f>
        <v>1</v>
      </c>
      <c r="CC1425" s="65" t="n">
        <f aca="false">IF(CR1425&gt;0,INDEX(Parameter!$H$5:$H$7,W1425)/INDEX(Parameter!$E$5:$E$7,W1425),IF(AND(CA1425=0,N(IFERROR(VLOOKUP(BY1425,'Gebinde-Kategorie'!$A$5:$N$45,14,0),0))&gt;0),VLOOKUP(BY1425,'Gebinde-Kategorie'!$A$5:$N$45,14,0)*10+Parameter!$M$23,Parameter!$M$24))</f>
        <v>145</v>
      </c>
      <c r="CD1425" s="60" t="str">
        <f aca="false">IF(AND(Parameter!$B$19="Ja",E1425&lt;&gt;"",ISNUMBER(MATCH(E1425,Parameter!$I$35:$I$52,0))),VLOOKUP(E1425,Parameter!$I$35:$J$52,2,0),IFERROR(VLOOKUP(D1425,Parameter!$A$35:$C$64,2,0),"Nein"))</f>
        <v>2+3</v>
      </c>
      <c r="CE1425" s="64" t="n">
        <f aca="false">IF(CA1425=0,0,IF(N(S1425)&gt;0,S1425,IFERROR(VLOOKUP(D1425,Parameter!$A$35:$C$64,3,0)+0,0)))</f>
        <v>0</v>
      </c>
      <c r="CF1425" s="60" t="n">
        <f aca="false">IF(AB1425&lt;&gt;"",AB1425,AA1425)</f>
        <v>3</v>
      </c>
      <c r="CG1425" s="60" t="str">
        <f aca="false">IF(OR(CF1425=1,CF1425=2,CF1425=3),IF(Parameter!$E$27="Ja","LIFT",IF(CF1425=1,"L1","L23")),IF(CF1425="Aussen","Aussen","-"))</f>
        <v>LIFT</v>
      </c>
      <c r="CH1425" s="71" t="n">
        <f aca="false">IF(N(AC1425)&gt;0,AC1425,0)</f>
        <v>0</v>
      </c>
      <c r="CI1425" s="65" t="n">
        <f aca="false">IF(ISNUMBER(AF1425),1,0)</f>
        <v>0</v>
      </c>
      <c r="CJ1425" s="62" t="n">
        <f aca="false">N(AF1425)</f>
        <v>0</v>
      </c>
      <c r="CK1425" s="62" t="n">
        <f aca="false">N(M1425)+N(N1425)</f>
        <v>11</v>
      </c>
      <c r="CL1425" s="62" t="n">
        <f aca="false">N(M1425)</f>
        <v>1</v>
      </c>
      <c r="CM1425" s="62" t="n">
        <f aca="false">N(N1425)</f>
        <v>10</v>
      </c>
      <c r="CN1425" s="62" t="n">
        <f aca="false">ROUNDUP(H1425/BZ1425,0)</f>
        <v>1</v>
      </c>
      <c r="CO1425" s="62" t="n">
        <f aca="false">ROUNDUP(CJ1425/BZ1425,0)</f>
        <v>0</v>
      </c>
      <c r="CP1425" s="65" t="n">
        <f aca="false">IF(CA1425=1,0,IFERROR(VLOOKUP(BY1425,'Gebinde-Kategorie'!$A$5:$N$45,5,0)+0,0))</f>
        <v>11</v>
      </c>
      <c r="CQ1425" s="65" t="n">
        <f aca="false">IFERROR(IF(OR(CF1425=1,CF1425=2,CF1425=3),N(INDEX(Parameter!$I$5:$I$7,CF1425)),0),0)</f>
        <v>0</v>
      </c>
      <c r="CR1425" s="64" t="n">
        <f aca="false">IF(AND(Parameter!$B$21="Ja",ISNUMBER(W1425),N(X1425)&gt;0),IFERROR(N(INDEX(Parameter!$L$5:$L$7,W1425))*INDEX(Parameter!$E$5:$E$7,W1425)*X1425/SUMIFS($X$7:$X$1843,$W$7:$W$1843,W1425),0),0)</f>
        <v>0</v>
      </c>
      <c r="CS1425" s="62" t="n">
        <f aca="false">IF(AND(OR(CG1425="L1",CG1425="L23",CG1425="LIFT"),H1425&gt;0),CC1425*IF(CR1425&gt;0,CR1425*MAX(1,H1425/X1425),IF(CA1425=1,CE1425,IF(R1425&gt;0,CN1425/R1425,0))/MAX(0.1,N(Parameter!$M$21))),"")</f>
        <v>12.0833333333333</v>
      </c>
      <c r="CT1425" s="64" t="n">
        <f aca="false">IF(CS1425="","",J1425/H1425)</f>
        <v>1</v>
      </c>
      <c r="CU1425" s="62" t="n">
        <f aca="false">IF(CS1425="","",H1425*G1425)</f>
        <v>6398.3</v>
      </c>
      <c r="CV1425" s="63" t="n">
        <f aca="false">IF(CS1425="","",(CL1425+ROUNDUP(CL1425+MAX(CM1425,2*(J1425/MAX(0.1,N(Einkauf!$C$6))-CL1425)),0))/2)</f>
        <v>6</v>
      </c>
      <c r="CW1425" s="62" t="n">
        <f aca="false">IF(CS1425="","",MAX(0,H1425-CV1425)*G1425)</f>
        <v>2559.32</v>
      </c>
      <c r="CX1425" s="62" t="n">
        <f aca="false">IF(CS1425="","",CS1425*MAX(0,1-CV1425/H1425))</f>
        <v>4.83333333333333</v>
      </c>
      <c r="CY1425" s="64" t="n">
        <f aca="false">IF(CS1425="","",PERCENTRANK($CS$7:$CS$1843,CS1425)+PERCENTRANK($CU$7:$CU$1843,CU1425)+1-PERCENTRANK($CT$7:$CT$1843,CT1425))</f>
        <v>1.952</v>
      </c>
      <c r="CZ1425" s="72" t="n">
        <f aca="false">IF(CS1425="","",CHOOSE(MATCH(Einkauf!$C$5,Parameter!$G$23:$G$27,0),CY1425,CS1425,CU1425,-CT1425,CW1425)+ROW()/1000000000)</f>
        <v>1.952001425</v>
      </c>
    </row>
    <row r="1426" customFormat="false" ht="15" hidden="false" customHeight="false" outlineLevel="0" collapsed="false">
      <c r="A1426" s="60" t="s">
        <v>2543</v>
      </c>
      <c r="B1426" s="60" t="s">
        <v>2544</v>
      </c>
      <c r="C1426" s="60" t="s">
        <v>498</v>
      </c>
      <c r="D1426" s="60" t="s">
        <v>215</v>
      </c>
      <c r="E1426" s="60"/>
      <c r="F1426" s="60" t="s">
        <v>260</v>
      </c>
      <c r="G1426" s="61" t="n">
        <v>518.83</v>
      </c>
      <c r="H1426" s="62" t="n">
        <f aca="false">MAX(0,IF(AND(Parameter!$B$21="Ja",ISNUMBER(Y1426)),Y1426,IF(Parameter!$B$20="Jahresanfang 2025 + Export",BS1426+BR1426,BR1426)))</f>
        <v>0</v>
      </c>
      <c r="I1426" s="62" t="n">
        <f aca="false">H1426*G1426</f>
        <v>0</v>
      </c>
      <c r="J1426" s="62" t="n">
        <f aca="false">BU1426*Parameter!$B$18</f>
        <v>50</v>
      </c>
      <c r="K1426" s="63" t="n">
        <v>13</v>
      </c>
      <c r="L1426" s="64" t="n">
        <v>3.84615384615385</v>
      </c>
      <c r="M1426" s="62" t="n">
        <v>0</v>
      </c>
      <c r="N1426" s="62" t="n">
        <v>4</v>
      </c>
      <c r="O1426" s="65" t="n">
        <v>63</v>
      </c>
      <c r="P1426" s="60" t="s">
        <v>210</v>
      </c>
      <c r="Q1426" s="62"/>
      <c r="R1426" s="65" t="n">
        <f aca="false">IF(CA1426=1,0,IFERROR(VLOOKUP(BY1426,'Gebinde-Kategorie'!$A$5:$N$45,13,0)+0,0))</f>
        <v>12</v>
      </c>
      <c r="S1426" s="66"/>
      <c r="T1426" s="67" t="s">
        <v>221</v>
      </c>
      <c r="U1426" s="67"/>
      <c r="V1426" s="67"/>
      <c r="W1426" s="60"/>
      <c r="X1426" s="62"/>
      <c r="Y1426" s="62"/>
      <c r="Z1426" s="60" t="n">
        <v>3</v>
      </c>
      <c r="AA1426" s="60" t="n">
        <f aca="false">IF(A1426="","",IF(AND(Parameter!$B$21="Ja",ISNUMBER(W1426)),W1426,IF(AND(Parameter!$E$27="Ja",ISNUMBER(Z1426),CD1426&lt;&gt;"Nein"),Z1426,IF(CD1426="2+3",IF(ISNUMBER(SEARCH("grosser Artikel",BV1426)),2,IFERROR(VLOOKUP(BY1426,Parameter!$F$35:$G$64,2,0),2)),IF(OR(CD1426="Nein",CD1426=""),"-",CD1426)))))</f>
        <v>3</v>
      </c>
      <c r="AB1426" s="67"/>
      <c r="AC1426" s="68"/>
      <c r="AD1426" s="62" t="n">
        <f aca="false">AW1426</f>
        <v>34</v>
      </c>
      <c r="AE1426" s="62" t="n">
        <f aca="false">MAX(AW1426,H1426)</f>
        <v>34</v>
      </c>
      <c r="AF1426" s="69"/>
      <c r="AG1426" s="62" t="n">
        <f aca="false">IF(LEFT(Cockpit!$C$5,1)="A",H1426,IF(Parameter!$E$30="MAX-Bestand",IF(CI1426=1,CJ1426,IF(LEFT(Cockpit!$C$5,1)="B",AM1426,MAX(AM1426,H1426))),ROUNDUP(AK1426,0)))</f>
        <v>0</v>
      </c>
      <c r="AH1426" s="62" t="n">
        <f aca="false">IF(CA1426=1,0,ROUNDUP(AG1426/BZ1426,0))</f>
        <v>0</v>
      </c>
      <c r="AI1426" s="64" t="n">
        <f aca="false">IF(CR1426&gt;0,CR1426*MAX(1,AG1426/X1426),IF(CA1426=1,IF(AG1426&lt;=0,0,CE1426*MAX(1,IF(H1426&gt;0,AG1426/H1426,1))),IF(R1426&gt;0,AH1426/R1426,0))/MAX(0.1,N(Parameter!$M$21)))</f>
        <v>0</v>
      </c>
      <c r="AJ1426" s="62" t="n">
        <f aca="false">AI1426*CC1426</f>
        <v>0</v>
      </c>
      <c r="AK1426" s="63" t="n">
        <f aca="false">IF(LEFT(Cockpit!$C$5,1)="A",H1426,IF(CI1426=1,(CL1426+CJ1426)/2,IF(LEFT(Cockpit!$C$5,1)="B",(CL1426+AM1426)/2,MAX((CL1426+AM1426)/2,H1426))))</f>
        <v>0</v>
      </c>
      <c r="AL1426" s="62" t="n">
        <f aca="false">AK1426*G1426</f>
        <v>0</v>
      </c>
      <c r="AM1426" s="62" t="n">
        <f aca="false">ROUNDUP(CL1426+MAX(CM1426,2*(J1426/IF(CH1426&gt;0,CH1426,MAX(0.1,N(Cockpit!$C$6)))-CL1426)),0)</f>
        <v>34</v>
      </c>
      <c r="AN1426" s="63" t="n">
        <f aca="false">IF(AJ1426&gt;0,J1426/AJ1426,-1)</f>
        <v>-1</v>
      </c>
      <c r="AO1426" s="63" t="str">
        <f aca="false">IF(AND(OR(CG1426="L1",CG1426="L23",CG1426="LIFT"),AJ1426&gt;0),SUMIFS($AJ$7:$AJ$1843,$CG$7:$CG$1843,CG1426,$AN$7:$AN$1843,"&gt;"&amp;AN1426)+SUMIFS($AJ$7:$AJ$1843,$CG$7:$CG$1843,CG1426,$AN$7:$AN$1843,AN1426,$BX$7:$BX$1843,"&lt;="&amp;BX1426),"")</f>
        <v/>
      </c>
      <c r="AP1426" s="70" t="n">
        <f aca="false">IF(AO1426="",0,MAX(0,MIN(1,(IF(CG1426="L1",Parameter!$H$5,IF(CG1426="L23",Parameter!$H$6+Parameter!$H$7,Parameter!$H$5+Parameter!$H$6+Parameter!$H$7))-(AO1426-AJ1426))/AJ1426)))</f>
        <v>0</v>
      </c>
      <c r="AQ1426" s="62" t="n">
        <f aca="false">IF(LEFT(Cockpit!$I$5,1)="A",H1426,IF(Parameter!$E$30="MAX-Bestand",IF(CI1426=1,CJ1426,IF(LEFT(Cockpit!$I$5,1)="B",AW1426,MAX(AW1426,H1426))),ROUNDUP(AU1426,0)))</f>
        <v>17</v>
      </c>
      <c r="AR1426" s="62" t="n">
        <f aca="false">IF(CA1426=1,0,ROUNDUP(AQ1426/BZ1426,0))</f>
        <v>5</v>
      </c>
      <c r="AS1426" s="64" t="n">
        <f aca="false">IF(CR1426&gt;0,CR1426*MAX(1,AQ1426/X1426),IF(CA1426=1,IF(AQ1426&lt;=0,0,CE1426*MAX(1,IF(H1426&gt;0,AQ1426/H1426,1))),IF(R1426&gt;0,AR1426/R1426,0))/MAX(0.1,N(Parameter!$M$21)))</f>
        <v>0.416666666666667</v>
      </c>
      <c r="AT1426" s="62" t="n">
        <f aca="false">AS1426*CC1426</f>
        <v>60.4166666666667</v>
      </c>
      <c r="AU1426" s="63" t="n">
        <f aca="false">IF(LEFT(Cockpit!$I$5,1)="A",H1426,IF(CI1426=1,(CL1426+CJ1426)/2,IF(LEFT(Cockpit!$I$5,1)="B",(CL1426+AW1426)/2,MAX((CL1426+AW1426)/2,H1426))))</f>
        <v>17</v>
      </c>
      <c r="AV1426" s="62" t="n">
        <f aca="false">AU1426*G1426</f>
        <v>8820.11</v>
      </c>
      <c r="AW1426" s="62" t="n">
        <f aca="false">ROUNDUP(CL1426+MAX(CM1426,2*(J1426/IF(CH1426&gt;0,CH1426,MAX(0.1,N(Cockpit!$I$6)))-CL1426)),0)</f>
        <v>34</v>
      </c>
      <c r="AX1426" s="63" t="n">
        <f aca="false">IF(AT1426&gt;0,J1426/AT1426,-1)</f>
        <v>0.827586206896552</v>
      </c>
      <c r="AY1426" s="63" t="n">
        <f aca="false">IF(AND(OR(CG1426="L1",CG1426="L23",CG1426="LIFT"),AT1426&gt;0),SUMIFS($AT$7:$AT$1843,$CG$7:$CG$1843,CG1426,$AX$7:$AX$1843,"&gt;"&amp;AX1426)+SUMIFS($AT$7:$AT$1843,$CG$7:$CG$1843,CG1426,$AX$7:$AX$1843,AX1426,$BX$7:$BX$1843,"&lt;="&amp;BX1426),"")</f>
        <v>9842.44322344322</v>
      </c>
      <c r="AZ1426" s="70" t="n">
        <f aca="false">IF(AY1426="",0,MAX(0,MIN(1,(IF(CG1426="L1",Parameter!$H$5,IF(CG1426="L23",Parameter!$H$6+Parameter!$H$7,Parameter!$H$5+Parameter!$H$6+Parameter!$H$7))-(AY1426-AT1426))/AT1426)))</f>
        <v>1</v>
      </c>
      <c r="BA1426" s="62" t="n">
        <f aca="false">IF(LEFT(Cockpit!$O$5,1)="A",H1426,IF(Parameter!$E$30="MAX-Bestand",IF(CI1426=1,CJ1426,IF(LEFT(Cockpit!$O$5,1)="B",BG1426,MAX(BG1426,H1426))),ROUNDUP(BE1426,0)))</f>
        <v>13</v>
      </c>
      <c r="BB1426" s="62" t="n">
        <f aca="false">IF(CA1426=1,0,ROUNDUP(BA1426/BZ1426,0))</f>
        <v>4</v>
      </c>
      <c r="BC1426" s="64" t="n">
        <f aca="false">IF(CR1426&gt;0,CR1426*MAX(1,BA1426/X1426),IF(CA1426=1,IF(BA1426&lt;=0,0,CE1426*MAX(1,IF(H1426&gt;0,BA1426/H1426,1))),IF(R1426&gt;0,BB1426/R1426,0))/MAX(0.1,N(Parameter!$M$21)))</f>
        <v>0.333333333333333</v>
      </c>
      <c r="BD1426" s="62" t="n">
        <f aca="false">BC1426*CC1426</f>
        <v>48.3333333333333</v>
      </c>
      <c r="BE1426" s="63" t="n">
        <f aca="false">IF(LEFT(Cockpit!$O$5,1)="A",H1426,IF(CI1426=1,(CL1426+CJ1426)/2,IF(LEFT(Cockpit!$O$5,1)="B",(CL1426+BG1426)/2,MAX((CL1426+BG1426)/2,H1426))))</f>
        <v>12.5</v>
      </c>
      <c r="BF1426" s="62" t="n">
        <f aca="false">BE1426*G1426</f>
        <v>6485.375</v>
      </c>
      <c r="BG1426" s="62" t="n">
        <f aca="false">ROUNDUP(CL1426+MAX(CM1426,2*(J1426/IF(CH1426&gt;0,CH1426,MAX(0.1,N(Cockpit!$O$6)))-CL1426)),0)</f>
        <v>25</v>
      </c>
      <c r="BH1426" s="63" t="n">
        <f aca="false">IF(BD1426&gt;0,J1426/BD1426,-1)</f>
        <v>1.03448275862069</v>
      </c>
      <c r="BI1426" s="63" t="n">
        <f aca="false">IF(AND(OR(CG1426="L1",CG1426="L23",CG1426="LIFT"),BD1426&gt;0),SUMIFS($BD$7:$BD$1843,$CG$7:$CG$1843,CG1426,$BH$7:$BH$1843,"&gt;"&amp;BH1426)+SUMIFS($BD$7:$BD$1843,$CG$7:$CG$1843,CG1426,$BH$7:$BH$1843,BH1426,$BX$7:$BX$1843,"&lt;="&amp;BX1426),"")</f>
        <v>7530.55998168498</v>
      </c>
      <c r="BJ1426" s="70" t="n">
        <f aca="false">IF(BI1426="",0,MAX(0,MIN(1,(IF(CG1426="L1",Parameter!$H$5,IF(CG1426="L23",Parameter!$H$6+Parameter!$H$7,Parameter!$H$5+Parameter!$H$6+Parameter!$H$7))-(BI1426-BD1426))/BD1426)))</f>
        <v>1</v>
      </c>
      <c r="BK1426" s="60" t="str">
        <f aca="false">IF(AJ1426&lt;=0,"",IF(CG1426="Aussen","Aussenlager",IF(CG1426="-","Nicht im Lift",IF(AP1426&gt;=1,"Lift",IF(AP1426&lt;=0,"Aussenlager","teilweise")))))</f>
        <v/>
      </c>
      <c r="BL1426" s="60" t="str">
        <f aca="false">IF(AT1426&lt;=0,"",IF(CG1426="Aussen","Aussenlager",IF(CG1426="-","Nicht im Lift",IF(AZ1426&gt;=1,"Lift",IF(AZ1426&lt;=0,"Aussenlager","teilweise")))))</f>
        <v>Lift</v>
      </c>
      <c r="BM1426" s="60" t="str">
        <f aca="false">IF(BD1426&lt;=0,"",IF(CG1426="Aussen","Aussenlager",IF(CG1426="-","Nicht im Lift",IF(BJ1426&gt;=1,"Lift",IF(BJ1426&lt;=0,"Aussenlager","teilweise")))))</f>
        <v>Lift</v>
      </c>
      <c r="BN1426" s="60" t="str">
        <f aca="false">IF(A1426="","",IF(BW1426=1,"Neu; ","")&amp;IF(AND(BW1426=0,BR1426&lt;0),"negativer Bestand (Export "&amp;BR1426&amp;"); ","")&amp;IF(J1426&lt;=0,"Kein Verbrauch; ","")&amp;IF(CR1426&gt;0,"Lift "&amp;W1426&amp;" lt. Liftbericht (Fach "&amp;X1426&amp;" Stk); ",IF(CB1426=1,"Gebinde geschätzt ("&amp;T1426&amp;"); ",IF(CA1426=1,"Lose – Tablare geschätzt; ","")))&amp;IF(H1426&gt;AW1426,"Überbestand "&amp;ROUND(H1426-AW1426,0)&amp;" Stk / CHF "&amp;ROUND((H1426-AW1426)*G1426,0)&amp;"; ","")&amp;IF(AND(CI1426=1,CJ1426&lt;CK1426),"MAX &lt; MB+LG; ","")&amp;IF(AND(CQ1426&gt;0,CP1426*10&gt;CQ1426),"zu hoch für Tablar; ","")&amp;IF(AND(BW1426=0,OR(CI1426=1,AB1426&lt;&gt;"",U1426&lt;&gt;"",V1426&lt;&gt;"",AC1426&lt;&gt;"")),"manuell übersteuert; ","")&amp;IF(AND(CA1426=0,R1426=0),"Gebinde unbekannt / Stellmass fehlt; ","")&amp;IF(AND(CA1426=0,N(V1426)&lt;=0,N(Q1426)&lt;=0),"Menge pro Gebinde fehlt (Ist = 1 Gebinde); ","")&amp;BV1426)</f>
        <v>negativer Bestand (Export -12); Gebinde geschätzt (Mittel); Menge pro Gebinde fehlt (Ist = 1 Gebinde); </v>
      </c>
      <c r="BO1426" s="60"/>
      <c r="BP1426" s="60"/>
      <c r="BQ1426" s="67"/>
      <c r="BR1426" s="62" t="n">
        <v>-12</v>
      </c>
      <c r="BS1426" s="62" t="n">
        <v>12</v>
      </c>
      <c r="BT1426" s="61" t="n">
        <v>-6584.28</v>
      </c>
      <c r="BU1426" s="62" t="n">
        <v>50</v>
      </c>
      <c r="BV1426" s="60"/>
      <c r="BW1426" s="65" t="n">
        <v>0</v>
      </c>
      <c r="BX1426" s="65" t="n">
        <v>1426</v>
      </c>
      <c r="BY1426" s="60" t="str">
        <f aca="false">IF(U1426&lt;&gt;"",UPPER(TRIM(U1426)),IF(CB1426=1,UPPER(VLOOKUP(T1426,Parameter!$I$27:$K$29,2,0)),IF(P1426="","LOSE",P1426)))</f>
        <v>S61</v>
      </c>
      <c r="BZ1426" s="62" t="n">
        <f aca="false">IF(BY1426="LOSE",1,IF(N(V1426)&gt;0,V1426,IF(CB1426=1,MAX(1,N(VLOOKUP(T1426,Parameter!$I$27:$K$29,3,0)),H1426,N(N1426)),IF(N(Q1426)&gt;0,Q1426,MAX(1,H1426)))))</f>
        <v>4</v>
      </c>
      <c r="CA1426" s="65" t="n">
        <f aca="false">IF(BY1426="LOSE",1,0)</f>
        <v>0</v>
      </c>
      <c r="CB1426" s="65" t="n">
        <f aca="false">IF(AND(U1426="",OR(P1426="",P1426="LOSE"),T1426&lt;&gt;"",N(S1426)&lt;=0,ISNUMBER(MATCH(T1426,Parameter!$I$27:$I$29,0))),1,0)</f>
        <v>1</v>
      </c>
      <c r="CC1426" s="65" t="n">
        <f aca="false">IF(CR1426&gt;0,INDEX(Parameter!$H$5:$H$7,W1426)/INDEX(Parameter!$E$5:$E$7,W1426),IF(AND(CA1426=0,N(IFERROR(VLOOKUP(BY1426,'Gebinde-Kategorie'!$A$5:$N$45,14,0),0))&gt;0),VLOOKUP(BY1426,'Gebinde-Kategorie'!$A$5:$N$45,14,0)*10+Parameter!$M$23,Parameter!$M$24))</f>
        <v>145</v>
      </c>
      <c r="CD1426" s="60" t="str">
        <f aca="false">IF(AND(Parameter!$B$19="Ja",E1426&lt;&gt;"",ISNUMBER(MATCH(E1426,Parameter!$I$35:$I$52,0))),VLOOKUP(E1426,Parameter!$I$35:$J$52,2,0),IFERROR(VLOOKUP(D1426,Parameter!$A$35:$C$64,2,0),"Nein"))</f>
        <v>2+3</v>
      </c>
      <c r="CE1426" s="64" t="n">
        <f aca="false">IF(CA1426=0,0,IF(N(S1426)&gt;0,S1426,IFERROR(VLOOKUP(D1426,Parameter!$A$35:$C$64,3,0)+0,0)))</f>
        <v>0</v>
      </c>
      <c r="CF1426" s="60" t="n">
        <f aca="false">IF(AB1426&lt;&gt;"",AB1426,AA1426)</f>
        <v>3</v>
      </c>
      <c r="CG1426" s="60" t="str">
        <f aca="false">IF(OR(CF1426=1,CF1426=2,CF1426=3),IF(Parameter!$E$27="Ja","LIFT",IF(CF1426=1,"L1","L23")),IF(CF1426="Aussen","Aussen","-"))</f>
        <v>LIFT</v>
      </c>
      <c r="CH1426" s="71" t="n">
        <f aca="false">IF(N(AC1426)&gt;0,AC1426,0)</f>
        <v>0</v>
      </c>
      <c r="CI1426" s="65" t="n">
        <f aca="false">IF(ISNUMBER(AF1426),1,0)</f>
        <v>0</v>
      </c>
      <c r="CJ1426" s="62" t="n">
        <f aca="false">N(AF1426)</f>
        <v>0</v>
      </c>
      <c r="CK1426" s="62" t="n">
        <f aca="false">N(M1426)+N(N1426)</f>
        <v>4</v>
      </c>
      <c r="CL1426" s="62" t="n">
        <f aca="false">N(M1426)</f>
        <v>0</v>
      </c>
      <c r="CM1426" s="62" t="n">
        <f aca="false">N(N1426)</f>
        <v>4</v>
      </c>
      <c r="CN1426" s="62" t="n">
        <f aca="false">ROUNDUP(H1426/BZ1426,0)</f>
        <v>0</v>
      </c>
      <c r="CO1426" s="62" t="n">
        <f aca="false">ROUNDUP(CJ1426/BZ1426,0)</f>
        <v>0</v>
      </c>
      <c r="CP1426" s="65" t="n">
        <f aca="false">IF(CA1426=1,0,IFERROR(VLOOKUP(BY1426,'Gebinde-Kategorie'!$A$5:$N$45,5,0)+0,0))</f>
        <v>11</v>
      </c>
      <c r="CQ1426" s="65" t="n">
        <f aca="false">IFERROR(IF(OR(CF1426=1,CF1426=2,CF1426=3),N(INDEX(Parameter!$I$5:$I$7,CF1426)),0),0)</f>
        <v>0</v>
      </c>
      <c r="CR1426" s="64" t="n">
        <f aca="false">IF(AND(Parameter!$B$21="Ja",ISNUMBER(W1426),N(X1426)&gt;0),IFERROR(N(INDEX(Parameter!$L$5:$L$7,W1426))*INDEX(Parameter!$E$5:$E$7,W1426)*X1426/SUMIFS($X$7:$X$1843,$W$7:$W$1843,W1426),0),0)</f>
        <v>0</v>
      </c>
      <c r="CS1426" s="62" t="str">
        <f aca="false">IF(AND(OR(CG1426="L1",CG1426="L23",CG1426="LIFT"),H1426&gt;0),CC1426*IF(CR1426&gt;0,CR1426*MAX(1,H1426/X1426),IF(CA1426=1,CE1426,IF(R1426&gt;0,CN1426/R1426,0))/MAX(0.1,N(Parameter!$M$21))),"")</f>
        <v/>
      </c>
      <c r="CT1426" s="64" t="str">
        <f aca="false">IF(CS1426="","",J1426/H1426)</f>
        <v/>
      </c>
      <c r="CU1426" s="62" t="str">
        <f aca="false">IF(CS1426="","",H1426*G1426)</f>
        <v/>
      </c>
      <c r="CV1426" s="63" t="str">
        <f aca="false">IF(CS1426="","",(CL1426+ROUNDUP(CL1426+MAX(CM1426,2*(J1426/MAX(0.1,N(Einkauf!$C$6))-CL1426)),0))/2)</f>
        <v/>
      </c>
      <c r="CW1426" s="62" t="str">
        <f aca="false">IF(CS1426="","",MAX(0,H1426-CV1426)*G1426)</f>
        <v/>
      </c>
      <c r="CX1426" s="62" t="str">
        <f aca="false">IF(CS1426="","",CS1426*MAX(0,1-CV1426/H1426))</f>
        <v/>
      </c>
      <c r="CY1426" s="64" t="str">
        <f aca="false">IF(CS1426="","",PERCENTRANK($CS$7:$CS$1843,CS1426)+PERCENTRANK($CU$7:$CU$1843,CU1426)+1-PERCENTRANK($CT$7:$CT$1843,CT1426))</f>
        <v/>
      </c>
      <c r="CZ1426" s="72" t="str">
        <f aca="false">IF(CS1426="","",CHOOSE(MATCH(Einkauf!$C$5,Parameter!$G$23:$G$27,0),CY1426,CS1426,CU1426,-CT1426,CW1426)+ROW()/1000000000)</f>
        <v/>
      </c>
    </row>
    <row r="1427" customFormat="false" ht="15" hidden="false" customHeight="false" outlineLevel="0" collapsed="false">
      <c r="A1427" s="60" t="s">
        <v>2545</v>
      </c>
      <c r="B1427" s="60" t="s">
        <v>2510</v>
      </c>
      <c r="C1427" s="60" t="s">
        <v>206</v>
      </c>
      <c r="D1427" s="60" t="s">
        <v>226</v>
      </c>
      <c r="E1427" s="60" t="s">
        <v>227</v>
      </c>
      <c r="F1427" s="60" t="s">
        <v>260</v>
      </c>
      <c r="G1427" s="61" t="n">
        <v>24.77</v>
      </c>
      <c r="H1427" s="62" t="n">
        <f aca="false">MAX(0,IF(AND(Parameter!$B$21="Ja",ISNUMBER(Y1427)),Y1427,IF(Parameter!$B$20="Jahresanfang 2025 + Export",BS1427+BR1427,BR1427)))</f>
        <v>152</v>
      </c>
      <c r="I1427" s="62" t="n">
        <f aca="false">H1427*G1427</f>
        <v>3765.04</v>
      </c>
      <c r="J1427" s="62" t="n">
        <f aca="false">BU1427*Parameter!$B$18</f>
        <v>1802</v>
      </c>
      <c r="K1427" s="63" t="n">
        <v>434.5</v>
      </c>
      <c r="L1427" s="64" t="n">
        <v>4.14729574223245</v>
      </c>
      <c r="M1427" s="62" t="n">
        <v>105</v>
      </c>
      <c r="N1427" s="62" t="n">
        <v>300</v>
      </c>
      <c r="O1427" s="65" t="n">
        <v>21</v>
      </c>
      <c r="P1427" s="60" t="s">
        <v>275</v>
      </c>
      <c r="Q1427" s="62" t="n">
        <v>200</v>
      </c>
      <c r="R1427" s="65" t="n">
        <f aca="false">IF(CA1427=1,0,IFERROR(VLOOKUP(BY1427,'Gebinde-Kategorie'!$A$5:$N$45,13,0)+0,0))</f>
        <v>26</v>
      </c>
      <c r="S1427" s="66"/>
      <c r="T1427" s="67"/>
      <c r="U1427" s="67"/>
      <c r="V1427" s="67"/>
      <c r="W1427" s="60"/>
      <c r="X1427" s="62"/>
      <c r="Y1427" s="62"/>
      <c r="Z1427" s="60" t="n">
        <v>3</v>
      </c>
      <c r="AA1427" s="60" t="n">
        <f aca="false">IF(A1427="","",IF(AND(Parameter!$B$21="Ja",ISNUMBER(W1427)),W1427,IF(AND(Parameter!$E$27="Ja",ISNUMBER(Z1427),CD1427&lt;&gt;"Nein"),Z1427,IF(CD1427="2+3",IF(ISNUMBER(SEARCH("grosser Artikel",BV1427)),2,IFERROR(VLOOKUP(BY1427,Parameter!$F$35:$G$64,2,0),2)),IF(OR(CD1427="Nein",CD1427=""),"-",CD1427)))))</f>
        <v>3</v>
      </c>
      <c r="AB1427" s="67"/>
      <c r="AC1427" s="68"/>
      <c r="AD1427" s="62" t="n">
        <f aca="false">AW1427</f>
        <v>1097</v>
      </c>
      <c r="AE1427" s="62" t="n">
        <f aca="false">MAX(AW1427,H1427)</f>
        <v>1097</v>
      </c>
      <c r="AF1427" s="69"/>
      <c r="AG1427" s="62" t="n">
        <f aca="false">IF(LEFT(Cockpit!$C$5,1)="A",H1427,IF(Parameter!$E$30="MAX-Bestand",IF(CI1427=1,CJ1427,IF(LEFT(Cockpit!$C$5,1)="B",AM1427,MAX(AM1427,H1427))),ROUNDUP(AK1427,0)))</f>
        <v>152</v>
      </c>
      <c r="AH1427" s="62" t="n">
        <f aca="false">IF(CA1427=1,0,ROUNDUP(AG1427/BZ1427,0))</f>
        <v>1</v>
      </c>
      <c r="AI1427" s="64" t="n">
        <f aca="false">IF(CR1427&gt;0,CR1427*MAX(1,AG1427/X1427),IF(CA1427=1,IF(AG1427&lt;=0,0,CE1427*MAX(1,IF(H1427&gt;0,AG1427/H1427,1))),IF(R1427&gt;0,AH1427/R1427,0))/MAX(0.1,N(Parameter!$M$21)))</f>
        <v>0.0384615384615385</v>
      </c>
      <c r="AJ1427" s="62" t="n">
        <f aca="false">AI1427*CC1427</f>
        <v>9.42307692307692</v>
      </c>
      <c r="AK1427" s="63" t="n">
        <f aca="false">IF(LEFT(Cockpit!$C$5,1)="A",H1427,IF(CI1427=1,(CL1427+CJ1427)/2,IF(LEFT(Cockpit!$C$5,1)="B",(CL1427+AM1427)/2,MAX((CL1427+AM1427)/2,H1427))))</f>
        <v>152</v>
      </c>
      <c r="AL1427" s="62" t="n">
        <f aca="false">AK1427*G1427</f>
        <v>3765.04</v>
      </c>
      <c r="AM1427" s="62" t="n">
        <f aca="false">ROUNDUP(CL1427+MAX(CM1427,2*(J1427/IF(CH1427&gt;0,CH1427,MAX(0.1,N(Cockpit!$C$6)))-CL1427)),0)</f>
        <v>1097</v>
      </c>
      <c r="AN1427" s="63" t="n">
        <f aca="false">IF(AJ1427&gt;0,J1427/AJ1427,-1)</f>
        <v>191.232653061224</v>
      </c>
      <c r="AO1427" s="63" t="n">
        <f aca="false">IF(AND(OR(CG1427="L1",CG1427="L23",CG1427="LIFT"),AJ1427&gt;0),SUMIFS($AJ$7:$AJ$1843,$CG$7:$CG$1843,CG1427,$AN$7:$AN$1843,"&gt;"&amp;AN1427)+SUMIFS($AJ$7:$AJ$1843,$CG$7:$CG$1843,CG1427,$AN$7:$AN$1843,AN1427,$BX$7:$BX$1843,"&lt;="&amp;BX1427),"")</f>
        <v>364.312271062271</v>
      </c>
      <c r="AP1427" s="70" t="n">
        <f aca="false">IF(AO1427="",0,MAX(0,MIN(1,(IF(CG1427="L1",Parameter!$H$5,IF(CG1427="L23",Parameter!$H$6+Parameter!$H$7,Parameter!$H$5+Parameter!$H$6+Parameter!$H$7))-(AO1427-AJ1427))/AJ1427)))</f>
        <v>1</v>
      </c>
      <c r="AQ1427" s="62" t="n">
        <f aca="false">IF(LEFT(Cockpit!$I$5,1)="A",H1427,IF(Parameter!$E$30="MAX-Bestand",IF(CI1427=1,CJ1427,IF(LEFT(Cockpit!$I$5,1)="B",AW1427,MAX(AW1427,H1427))),ROUNDUP(AU1427,0)))</f>
        <v>601</v>
      </c>
      <c r="AR1427" s="62" t="n">
        <f aca="false">IF(CA1427=1,0,ROUNDUP(AQ1427/BZ1427,0))</f>
        <v>4</v>
      </c>
      <c r="AS1427" s="64" t="n">
        <f aca="false">IF(CR1427&gt;0,CR1427*MAX(1,AQ1427/X1427),IF(CA1427=1,IF(AQ1427&lt;=0,0,CE1427*MAX(1,IF(H1427&gt;0,AQ1427/H1427,1))),IF(R1427&gt;0,AR1427/R1427,0))/MAX(0.1,N(Parameter!$M$21)))</f>
        <v>0.153846153846154</v>
      </c>
      <c r="AT1427" s="62" t="n">
        <f aca="false">AS1427*CC1427</f>
        <v>37.6923076923077</v>
      </c>
      <c r="AU1427" s="63" t="n">
        <f aca="false">IF(LEFT(Cockpit!$I$5,1)="A",H1427,IF(CI1427=1,(CL1427+CJ1427)/2,IF(LEFT(Cockpit!$I$5,1)="B",(CL1427+AW1427)/2,MAX((CL1427+AW1427)/2,H1427))))</f>
        <v>601</v>
      </c>
      <c r="AV1427" s="62" t="n">
        <f aca="false">AU1427*G1427</f>
        <v>14886.77</v>
      </c>
      <c r="AW1427" s="62" t="n">
        <f aca="false">ROUNDUP(CL1427+MAX(CM1427,2*(J1427/IF(CH1427&gt;0,CH1427,MAX(0.1,N(Cockpit!$I$6)))-CL1427)),0)</f>
        <v>1097</v>
      </c>
      <c r="AX1427" s="63" t="n">
        <f aca="false">IF(AT1427&gt;0,J1427/AT1427,-1)</f>
        <v>47.8081632653061</v>
      </c>
      <c r="AY1427" s="63" t="n">
        <f aca="false">IF(AND(OR(CG1427="L1",CG1427="L23",CG1427="LIFT"),AT1427&gt;0),SUMIFS($AT$7:$AT$1843,$CG$7:$CG$1843,CG1427,$AX$7:$AX$1843,"&gt;"&amp;AX1427)+SUMIFS($AT$7:$AT$1843,$CG$7:$CG$1843,CG1427,$AX$7:$AX$1843,AX1427,$BX$7:$BX$1843,"&lt;="&amp;BX1427),"")</f>
        <v>1433.66529304029</v>
      </c>
      <c r="AZ1427" s="70" t="n">
        <f aca="false">IF(AY1427="",0,MAX(0,MIN(1,(IF(CG1427="L1",Parameter!$H$5,IF(CG1427="L23",Parameter!$H$6+Parameter!$H$7,Parameter!$H$5+Parameter!$H$6+Parameter!$H$7))-(AY1427-AT1427))/AT1427)))</f>
        <v>1</v>
      </c>
      <c r="BA1427" s="62" t="n">
        <f aca="false">IF(LEFT(Cockpit!$O$5,1)="A",H1427,IF(Parameter!$E$30="MAX-Bestand",IF(CI1427=1,CJ1427,IF(LEFT(Cockpit!$O$5,1)="B",BG1427,MAX(BG1427,H1427))),ROUNDUP(BE1427,0)))</f>
        <v>451</v>
      </c>
      <c r="BB1427" s="62" t="n">
        <f aca="false">IF(CA1427=1,0,ROUNDUP(BA1427/BZ1427,0))</f>
        <v>3</v>
      </c>
      <c r="BC1427" s="64" t="n">
        <f aca="false">IF(CR1427&gt;0,CR1427*MAX(1,BA1427/X1427),IF(CA1427=1,IF(BA1427&lt;=0,0,CE1427*MAX(1,IF(H1427&gt;0,BA1427/H1427,1))),IF(R1427&gt;0,BB1427/R1427,0))/MAX(0.1,N(Parameter!$M$21)))</f>
        <v>0.115384615384615</v>
      </c>
      <c r="BD1427" s="62" t="n">
        <f aca="false">BC1427*CC1427</f>
        <v>28.2692307692308</v>
      </c>
      <c r="BE1427" s="63" t="n">
        <f aca="false">IF(LEFT(Cockpit!$O$5,1)="A",H1427,IF(CI1427=1,(CL1427+CJ1427)/2,IF(LEFT(Cockpit!$O$5,1)="B",(CL1427+BG1427)/2,MAX((CL1427+BG1427)/2,H1427))))</f>
        <v>450.5</v>
      </c>
      <c r="BF1427" s="62" t="n">
        <f aca="false">BE1427*G1427</f>
        <v>11158.885</v>
      </c>
      <c r="BG1427" s="62" t="n">
        <f aca="false">ROUNDUP(CL1427+MAX(CM1427,2*(J1427/IF(CH1427&gt;0,CH1427,MAX(0.1,N(Cockpit!$O$6)))-CL1427)),0)</f>
        <v>796</v>
      </c>
      <c r="BH1427" s="63" t="n">
        <f aca="false">IF(BD1427&gt;0,J1427/BD1427,-1)</f>
        <v>63.7442176870748</v>
      </c>
      <c r="BI1427" s="63" t="n">
        <f aca="false">IF(AND(OR(CG1427="L1",CG1427="L23",CG1427="LIFT"),BD1427&gt;0),SUMIFS($BD$7:$BD$1843,$CG$7:$CG$1843,CG1427,$BH$7:$BH$1843,"&gt;"&amp;BH1427)+SUMIFS($BD$7:$BD$1843,$CG$7:$CG$1843,CG1427,$BH$7:$BH$1843,BH1427,$BX$7:$BX$1843,"&lt;="&amp;BX1427),"")</f>
        <v>1087.16575091575</v>
      </c>
      <c r="BJ1427" s="70" t="n">
        <f aca="false">IF(BI1427="",0,MAX(0,MIN(1,(IF(CG1427="L1",Parameter!$H$5,IF(CG1427="L23",Parameter!$H$6+Parameter!$H$7,Parameter!$H$5+Parameter!$H$6+Parameter!$H$7))-(BI1427-BD1427))/BD1427)))</f>
        <v>1</v>
      </c>
      <c r="BK1427" s="60" t="str">
        <f aca="false">IF(AJ1427&lt;=0,"",IF(CG1427="Aussen","Aussenlager",IF(CG1427="-","Nicht im Lift",IF(AP1427&gt;=1,"Lift",IF(AP1427&lt;=0,"Aussenlager","teilweise")))))</f>
        <v>Lift</v>
      </c>
      <c r="BL1427" s="60" t="str">
        <f aca="false">IF(AT1427&lt;=0,"",IF(CG1427="Aussen","Aussenlager",IF(CG1427="-","Nicht im Lift",IF(AZ1427&gt;=1,"Lift",IF(AZ1427&lt;=0,"Aussenlager","teilweise")))))</f>
        <v>Lift</v>
      </c>
      <c r="BM1427" s="60" t="str">
        <f aca="false">IF(BD1427&lt;=0,"",IF(CG1427="Aussen","Aussenlager",IF(CG1427="-","Nicht im Lift",IF(BJ1427&gt;=1,"Lift",IF(BJ1427&lt;=0,"Aussenlager","teilweise")))))</f>
        <v>Lift</v>
      </c>
      <c r="BN1427" s="60" t="str">
        <f aca="false">IF(A1427="","",IF(BW1427=1,"Neu; ","")&amp;IF(AND(BW1427=0,BR1427&lt;0),"negativer Bestand (Export "&amp;BR1427&amp;"); ","")&amp;IF(J1427&lt;=0,"Kein Verbrauch; ","")&amp;IF(CR1427&gt;0,"Lift "&amp;W1427&amp;" lt. Liftbericht (Fach "&amp;X1427&amp;" Stk); ",IF(CB1427=1,"Gebinde geschätzt ("&amp;T1427&amp;"); ",IF(CA1427=1,"Lose – Tablare geschätzt; ","")))&amp;IF(H1427&gt;AW1427,"Überbestand "&amp;ROUND(H1427-AW1427,0)&amp;" Stk / CHF "&amp;ROUND((H1427-AW1427)*G1427,0)&amp;"; ","")&amp;IF(AND(CI1427=1,CJ1427&lt;CK1427),"MAX &lt; MB+LG; ","")&amp;IF(AND(CQ1427&gt;0,CP1427*10&gt;CQ1427),"zu hoch für Tablar; ","")&amp;IF(AND(BW1427=0,OR(CI1427=1,AB1427&lt;&gt;"",U1427&lt;&gt;"",V1427&lt;&gt;"",AC1427&lt;&gt;"")),"manuell übersteuert; ","")&amp;IF(AND(CA1427=0,R1427=0),"Gebinde unbekannt / Stellmass fehlt; ","")&amp;IF(AND(CA1427=0,N(V1427)&lt;=0,N(Q1427)&lt;=0),"Menge pro Gebinde fehlt (Ist = 1 Gebinde); ","")&amp;BV1427)</f>
        <v>negativer Bestand (Export -213); </v>
      </c>
      <c r="BO1427" s="60"/>
      <c r="BP1427" s="60"/>
      <c r="BQ1427" s="67"/>
      <c r="BR1427" s="62" t="n">
        <v>-213</v>
      </c>
      <c r="BS1427" s="62" t="n">
        <v>365</v>
      </c>
      <c r="BT1427" s="61" t="n">
        <v>-6658.63999999999</v>
      </c>
      <c r="BU1427" s="62" t="n">
        <v>1802</v>
      </c>
      <c r="BV1427" s="60"/>
      <c r="BW1427" s="65" t="n">
        <v>0</v>
      </c>
      <c r="BX1427" s="65" t="n">
        <v>1427</v>
      </c>
      <c r="BY1427" s="60" t="str">
        <f aca="false">IF(U1427&lt;&gt;"",UPPER(TRIM(U1427)),IF(CB1427=1,UPPER(VLOOKUP(T1427,Parameter!$I$27:$K$29,2,0)),IF(P1427="","LOSE",P1427)))</f>
        <v>S52</v>
      </c>
      <c r="BZ1427" s="62" t="n">
        <f aca="false">IF(BY1427="LOSE",1,IF(N(V1427)&gt;0,V1427,IF(CB1427=1,MAX(1,N(VLOOKUP(T1427,Parameter!$I$27:$K$29,3,0)),H1427,N(N1427)),IF(N(Q1427)&gt;0,Q1427,MAX(1,H1427)))))</f>
        <v>200</v>
      </c>
      <c r="CA1427" s="65" t="n">
        <f aca="false">IF(BY1427="LOSE",1,0)</f>
        <v>0</v>
      </c>
      <c r="CB1427" s="65" t="n">
        <f aca="false">IF(AND(U1427="",OR(P1427="",P1427="LOSE"),T1427&lt;&gt;"",N(S1427)&lt;=0,ISNUMBER(MATCH(T1427,Parameter!$I$27:$I$29,0))),1,0)</f>
        <v>0</v>
      </c>
      <c r="CC1427" s="65" t="n">
        <f aca="false">IF(CR1427&gt;0,INDEX(Parameter!$H$5:$H$7,W1427)/INDEX(Parameter!$E$5:$E$7,W1427),IF(AND(CA1427=0,N(IFERROR(VLOOKUP(BY1427,'Gebinde-Kategorie'!$A$5:$N$45,14,0),0))&gt;0),VLOOKUP(BY1427,'Gebinde-Kategorie'!$A$5:$N$45,14,0)*10+Parameter!$M$23,Parameter!$M$24))</f>
        <v>245</v>
      </c>
      <c r="CD1427" s="60" t="str">
        <f aca="false">IF(AND(Parameter!$B$19="Ja",E1427&lt;&gt;"",ISNUMBER(MATCH(E1427,Parameter!$I$35:$I$52,0))),VLOOKUP(E1427,Parameter!$I$35:$J$52,2,0),IFERROR(VLOOKUP(D1427,Parameter!$A$35:$C$64,2,0),"Nein"))</f>
        <v>2+3</v>
      </c>
      <c r="CE1427" s="64" t="n">
        <f aca="false">IF(CA1427=0,0,IF(N(S1427)&gt;0,S1427,IFERROR(VLOOKUP(D1427,Parameter!$A$35:$C$64,3,0)+0,0)))</f>
        <v>0</v>
      </c>
      <c r="CF1427" s="60" t="n">
        <f aca="false">IF(AB1427&lt;&gt;"",AB1427,AA1427)</f>
        <v>3</v>
      </c>
      <c r="CG1427" s="60" t="str">
        <f aca="false">IF(OR(CF1427=1,CF1427=2,CF1427=3),IF(Parameter!$E$27="Ja","LIFT",IF(CF1427=1,"L1","L23")),IF(CF1427="Aussen","Aussen","-"))</f>
        <v>LIFT</v>
      </c>
      <c r="CH1427" s="71" t="n">
        <f aca="false">IF(N(AC1427)&gt;0,AC1427,0)</f>
        <v>0</v>
      </c>
      <c r="CI1427" s="65" t="n">
        <f aca="false">IF(ISNUMBER(AF1427),1,0)</f>
        <v>0</v>
      </c>
      <c r="CJ1427" s="62" t="n">
        <f aca="false">N(AF1427)</f>
        <v>0</v>
      </c>
      <c r="CK1427" s="62" t="n">
        <f aca="false">N(M1427)+N(N1427)</f>
        <v>405</v>
      </c>
      <c r="CL1427" s="62" t="n">
        <f aca="false">N(M1427)</f>
        <v>105</v>
      </c>
      <c r="CM1427" s="62" t="n">
        <f aca="false">N(N1427)</f>
        <v>300</v>
      </c>
      <c r="CN1427" s="62" t="n">
        <f aca="false">ROUNDUP(H1427/BZ1427,0)</f>
        <v>1</v>
      </c>
      <c r="CO1427" s="62" t="n">
        <f aca="false">ROUNDUP(CJ1427/BZ1427,0)</f>
        <v>0</v>
      </c>
      <c r="CP1427" s="65" t="n">
        <f aca="false">IF(CA1427=1,0,IFERROR(VLOOKUP(BY1427,'Gebinde-Kategorie'!$A$5:$N$45,5,0)+0,0))</f>
        <v>21</v>
      </c>
      <c r="CQ1427" s="65" t="n">
        <f aca="false">IFERROR(IF(OR(CF1427=1,CF1427=2,CF1427=3),N(INDEX(Parameter!$I$5:$I$7,CF1427)),0),0)</f>
        <v>0</v>
      </c>
      <c r="CR1427" s="64" t="n">
        <f aca="false">IF(AND(Parameter!$B$21="Ja",ISNUMBER(W1427),N(X1427)&gt;0),IFERROR(N(INDEX(Parameter!$L$5:$L$7,W1427))*INDEX(Parameter!$E$5:$E$7,W1427)*X1427/SUMIFS($X$7:$X$1843,$W$7:$W$1843,W1427),0),0)</f>
        <v>0</v>
      </c>
      <c r="CS1427" s="62" t="n">
        <f aca="false">IF(AND(OR(CG1427="L1",CG1427="L23",CG1427="LIFT"),H1427&gt;0),CC1427*IF(CR1427&gt;0,CR1427*MAX(1,H1427/X1427),IF(CA1427=1,CE1427,IF(R1427&gt;0,CN1427/R1427,0))/MAX(0.1,N(Parameter!$M$21))),"")</f>
        <v>9.42307692307692</v>
      </c>
      <c r="CT1427" s="64" t="n">
        <f aca="false">IF(CS1427="","",J1427/H1427)</f>
        <v>11.8552631578947</v>
      </c>
      <c r="CU1427" s="62" t="n">
        <f aca="false">IF(CS1427="","",H1427*G1427)</f>
        <v>3765.04</v>
      </c>
      <c r="CV1427" s="63" t="n">
        <f aca="false">IF(CS1427="","",(CL1427+ROUNDUP(CL1427+MAX(CM1427,2*(J1427/MAX(0.1,N(Einkauf!$C$6))-CL1427)),0))/2)</f>
        <v>450.5</v>
      </c>
      <c r="CW1427" s="62" t="n">
        <f aca="false">IF(CS1427="","",MAX(0,H1427-CV1427)*G1427)</f>
        <v>0</v>
      </c>
      <c r="CX1427" s="62" t="n">
        <f aca="false">IF(CS1427="","",CS1427*MAX(0,1-CV1427/H1427))</f>
        <v>0</v>
      </c>
      <c r="CY1427" s="64" t="n">
        <f aca="false">IF(CS1427="","",PERCENTRANK($CS$7:$CS$1843,CS1427)+PERCENTRANK($CU$7:$CU$1843,CU1427)+1-PERCENTRANK($CT$7:$CT$1843,CT1427))</f>
        <v>1.452</v>
      </c>
      <c r="CZ1427" s="72" t="n">
        <f aca="false">IF(CS1427="","",CHOOSE(MATCH(Einkauf!$C$5,Parameter!$G$23:$G$27,0),CY1427,CS1427,CU1427,-CT1427,CW1427)+ROW()/1000000000)</f>
        <v>1.452001427</v>
      </c>
    </row>
    <row r="1428" customFormat="false" ht="15" hidden="false" customHeight="false" outlineLevel="0" collapsed="false">
      <c r="A1428" s="60" t="s">
        <v>2546</v>
      </c>
      <c r="B1428" s="60" t="s">
        <v>2524</v>
      </c>
      <c r="C1428" s="60" t="s">
        <v>206</v>
      </c>
      <c r="D1428" s="60" t="s">
        <v>226</v>
      </c>
      <c r="E1428" s="60" t="s">
        <v>227</v>
      </c>
      <c r="F1428" s="60" t="s">
        <v>260</v>
      </c>
      <c r="G1428" s="61" t="n">
        <v>95.42</v>
      </c>
      <c r="H1428" s="62" t="n">
        <f aca="false">MAX(0,IF(AND(Parameter!$B$21="Ja",ISNUMBER(Y1428)),Y1428,IF(Parameter!$B$20="Jahresanfang 2025 + Export",BS1428+BR1428,BR1428)))</f>
        <v>38</v>
      </c>
      <c r="I1428" s="62" t="n">
        <f aca="false">H1428*G1428</f>
        <v>3625.96</v>
      </c>
      <c r="J1428" s="62" t="n">
        <f aca="false">BU1428*Parameter!$B$18</f>
        <v>145</v>
      </c>
      <c r="K1428" s="63" t="n">
        <v>46</v>
      </c>
      <c r="L1428" s="64" t="n">
        <v>3.15217391304348</v>
      </c>
      <c r="M1428" s="62" t="n">
        <v>8</v>
      </c>
      <c r="N1428" s="62" t="n">
        <v>25</v>
      </c>
      <c r="O1428" s="65" t="n">
        <v>21</v>
      </c>
      <c r="P1428" s="60" t="s">
        <v>335</v>
      </c>
      <c r="Q1428" s="62" t="n">
        <v>76</v>
      </c>
      <c r="R1428" s="65" t="n">
        <f aca="false">IF(CA1428=1,0,IFERROR(VLOOKUP(BY1428,'Gebinde-Kategorie'!$A$5:$N$45,13,0)+0,0))</f>
        <v>12</v>
      </c>
      <c r="S1428" s="66"/>
      <c r="T1428" s="67"/>
      <c r="U1428" s="67"/>
      <c r="V1428" s="67"/>
      <c r="W1428" s="60"/>
      <c r="X1428" s="62"/>
      <c r="Y1428" s="62"/>
      <c r="Z1428" s="60" t="n">
        <v>3</v>
      </c>
      <c r="AA1428" s="60" t="n">
        <f aca="false">IF(A1428="","",IF(AND(Parameter!$B$21="Ja",ISNUMBER(W1428)),W1428,IF(AND(Parameter!$E$27="Ja",ISNUMBER(Z1428),CD1428&lt;&gt;"Nein"),Z1428,IF(CD1428="2+3",IF(ISNUMBER(SEARCH("grosser Artikel",BV1428)),2,IFERROR(VLOOKUP(BY1428,Parameter!$F$35:$G$64,2,0),2)),IF(OR(CD1428="Nein",CD1428=""),"-",CD1428)))))</f>
        <v>3</v>
      </c>
      <c r="AB1428" s="67"/>
      <c r="AC1428" s="68"/>
      <c r="AD1428" s="62" t="n">
        <f aca="false">AW1428</f>
        <v>89</v>
      </c>
      <c r="AE1428" s="62" t="n">
        <f aca="false">MAX(AW1428,H1428)</f>
        <v>89</v>
      </c>
      <c r="AF1428" s="69"/>
      <c r="AG1428" s="62" t="n">
        <f aca="false">IF(LEFT(Cockpit!$C$5,1)="A",H1428,IF(Parameter!$E$30="MAX-Bestand",IF(CI1428=1,CJ1428,IF(LEFT(Cockpit!$C$5,1)="B",AM1428,MAX(AM1428,H1428))),ROUNDUP(AK1428,0)))</f>
        <v>38</v>
      </c>
      <c r="AH1428" s="62" t="n">
        <f aca="false">IF(CA1428=1,0,ROUNDUP(AG1428/BZ1428,0))</f>
        <v>1</v>
      </c>
      <c r="AI1428" s="64" t="n">
        <f aca="false">IF(CR1428&gt;0,CR1428*MAX(1,AG1428/X1428),IF(CA1428=1,IF(AG1428&lt;=0,0,CE1428*MAX(1,IF(H1428&gt;0,AG1428/H1428,1))),IF(R1428&gt;0,AH1428/R1428,0))/MAX(0.1,N(Parameter!$M$21)))</f>
        <v>0.0833333333333333</v>
      </c>
      <c r="AJ1428" s="62" t="n">
        <f aca="false">AI1428*CC1428</f>
        <v>20.4166666666667</v>
      </c>
      <c r="AK1428" s="63" t="n">
        <f aca="false">IF(LEFT(Cockpit!$C$5,1)="A",H1428,IF(CI1428=1,(CL1428+CJ1428)/2,IF(LEFT(Cockpit!$C$5,1)="B",(CL1428+AM1428)/2,MAX((CL1428+AM1428)/2,H1428))))</f>
        <v>38</v>
      </c>
      <c r="AL1428" s="62" t="n">
        <f aca="false">AK1428*G1428</f>
        <v>3625.96</v>
      </c>
      <c r="AM1428" s="62" t="n">
        <f aca="false">ROUNDUP(CL1428+MAX(CM1428,2*(J1428/IF(CH1428&gt;0,CH1428,MAX(0.1,N(Cockpit!$C$6)))-CL1428)),0)</f>
        <v>89</v>
      </c>
      <c r="AN1428" s="63" t="n">
        <f aca="false">IF(AJ1428&gt;0,J1428/AJ1428,-1)</f>
        <v>7.10204081632653</v>
      </c>
      <c r="AO1428" s="63" t="n">
        <f aca="false">IF(AND(OR(CG1428="L1",CG1428="L23",CG1428="LIFT"),AJ1428&gt;0),SUMIFS($AJ$7:$AJ$1843,$CG$7:$CG$1843,CG1428,$AN$7:$AN$1843,"&gt;"&amp;AN1428)+SUMIFS($AJ$7:$AJ$1843,$CG$7:$CG$1843,CG1428,$AN$7:$AN$1843,AN1428,$BX$7:$BX$1843,"&lt;="&amp;BX1428),"")</f>
        <v>3184.17536630037</v>
      </c>
      <c r="AP1428" s="70" t="n">
        <f aca="false">IF(AO1428="",0,MAX(0,MIN(1,(IF(CG1428="L1",Parameter!$H$5,IF(CG1428="L23",Parameter!$H$6+Parameter!$H$7,Parameter!$H$5+Parameter!$H$6+Parameter!$H$7))-(AO1428-AJ1428))/AJ1428)))</f>
        <v>1</v>
      </c>
      <c r="AQ1428" s="62" t="n">
        <f aca="false">IF(LEFT(Cockpit!$I$5,1)="A",H1428,IF(Parameter!$E$30="MAX-Bestand",IF(CI1428=1,CJ1428,IF(LEFT(Cockpit!$I$5,1)="B",AW1428,MAX(AW1428,H1428))),ROUNDUP(AU1428,0)))</f>
        <v>49</v>
      </c>
      <c r="AR1428" s="62" t="n">
        <f aca="false">IF(CA1428=1,0,ROUNDUP(AQ1428/BZ1428,0))</f>
        <v>1</v>
      </c>
      <c r="AS1428" s="64" t="n">
        <f aca="false">IF(CR1428&gt;0,CR1428*MAX(1,AQ1428/X1428),IF(CA1428=1,IF(AQ1428&lt;=0,0,CE1428*MAX(1,IF(H1428&gt;0,AQ1428/H1428,1))),IF(R1428&gt;0,AR1428/R1428,0))/MAX(0.1,N(Parameter!$M$21)))</f>
        <v>0.0833333333333333</v>
      </c>
      <c r="AT1428" s="62" t="n">
        <f aca="false">AS1428*CC1428</f>
        <v>20.4166666666667</v>
      </c>
      <c r="AU1428" s="63" t="n">
        <f aca="false">IF(LEFT(Cockpit!$I$5,1)="A",H1428,IF(CI1428=1,(CL1428+CJ1428)/2,IF(LEFT(Cockpit!$I$5,1)="B",(CL1428+AW1428)/2,MAX((CL1428+AW1428)/2,H1428))))</f>
        <v>48.5</v>
      </c>
      <c r="AV1428" s="62" t="n">
        <f aca="false">AU1428*G1428</f>
        <v>4627.87</v>
      </c>
      <c r="AW1428" s="62" t="n">
        <f aca="false">ROUNDUP(CL1428+MAX(CM1428,2*(J1428/IF(CH1428&gt;0,CH1428,MAX(0.1,N(Cockpit!$I$6)))-CL1428)),0)</f>
        <v>89</v>
      </c>
      <c r="AX1428" s="63" t="n">
        <f aca="false">IF(AT1428&gt;0,J1428/AT1428,-1)</f>
        <v>7.10204081632653</v>
      </c>
      <c r="AY1428" s="63" t="n">
        <f aca="false">IF(AND(OR(CG1428="L1",CG1428="L23",CG1428="LIFT"),AT1428&gt;0),SUMIFS($AT$7:$AT$1843,$CG$7:$CG$1843,CG1428,$AX$7:$AX$1843,"&gt;"&amp;AX1428)+SUMIFS($AT$7:$AT$1843,$CG$7:$CG$1843,CG1428,$AX$7:$AX$1843,AX1428,$BX$7:$BX$1843,"&lt;="&amp;BX1428),"")</f>
        <v>3844.48672161172</v>
      </c>
      <c r="AZ1428" s="70" t="n">
        <f aca="false">IF(AY1428="",0,MAX(0,MIN(1,(IF(CG1428="L1",Parameter!$H$5,IF(CG1428="L23",Parameter!$H$6+Parameter!$H$7,Parameter!$H$5+Parameter!$H$6+Parameter!$H$7))-(AY1428-AT1428))/AT1428)))</f>
        <v>1</v>
      </c>
      <c r="BA1428" s="62" t="n">
        <f aca="false">IF(LEFT(Cockpit!$O$5,1)="A",H1428,IF(Parameter!$E$30="MAX-Bestand",IF(CI1428=1,CJ1428,IF(LEFT(Cockpit!$O$5,1)="B",BG1428,MAX(BG1428,H1428))),ROUNDUP(BE1428,0)))</f>
        <v>37</v>
      </c>
      <c r="BB1428" s="62" t="n">
        <f aca="false">IF(CA1428=1,0,ROUNDUP(BA1428/BZ1428,0))</f>
        <v>1</v>
      </c>
      <c r="BC1428" s="64" t="n">
        <f aca="false">IF(CR1428&gt;0,CR1428*MAX(1,BA1428/X1428),IF(CA1428=1,IF(BA1428&lt;=0,0,CE1428*MAX(1,IF(H1428&gt;0,BA1428/H1428,1))),IF(R1428&gt;0,BB1428/R1428,0))/MAX(0.1,N(Parameter!$M$21)))</f>
        <v>0.0833333333333333</v>
      </c>
      <c r="BD1428" s="62" t="n">
        <f aca="false">BC1428*CC1428</f>
        <v>20.4166666666667</v>
      </c>
      <c r="BE1428" s="63" t="n">
        <f aca="false">IF(LEFT(Cockpit!$O$5,1)="A",H1428,IF(CI1428=1,(CL1428+CJ1428)/2,IF(LEFT(Cockpit!$O$5,1)="B",(CL1428+BG1428)/2,MAX((CL1428+BG1428)/2,H1428))))</f>
        <v>36.5</v>
      </c>
      <c r="BF1428" s="62" t="n">
        <f aca="false">BE1428*G1428</f>
        <v>3482.83</v>
      </c>
      <c r="BG1428" s="62" t="n">
        <f aca="false">ROUNDUP(CL1428+MAX(CM1428,2*(J1428/IF(CH1428&gt;0,CH1428,MAX(0.1,N(Cockpit!$O$6)))-CL1428)),0)</f>
        <v>65</v>
      </c>
      <c r="BH1428" s="63" t="n">
        <f aca="false">IF(BD1428&gt;0,J1428/BD1428,-1)</f>
        <v>7.10204081632653</v>
      </c>
      <c r="BI1428" s="63" t="n">
        <f aca="false">IF(AND(OR(CG1428="L1",CG1428="L23",CG1428="LIFT"),BD1428&gt;0),SUMIFS($BD$7:$BD$1843,$CG$7:$CG$1843,CG1428,$BH$7:$BH$1843,"&gt;"&amp;BH1428)+SUMIFS($BD$7:$BD$1843,$CG$7:$CG$1843,CG1428,$BH$7:$BH$1843,BH1428,$BX$7:$BX$1843,"&lt;="&amp;BX1428),"")</f>
        <v>3268.9445970696</v>
      </c>
      <c r="BJ1428" s="70" t="n">
        <f aca="false">IF(BI1428="",0,MAX(0,MIN(1,(IF(CG1428="L1",Parameter!$H$5,IF(CG1428="L23",Parameter!$H$6+Parameter!$H$7,Parameter!$H$5+Parameter!$H$6+Parameter!$H$7))-(BI1428-BD1428))/BD1428)))</f>
        <v>1</v>
      </c>
      <c r="BK1428" s="60" t="str">
        <f aca="false">IF(AJ1428&lt;=0,"",IF(CG1428="Aussen","Aussenlager",IF(CG1428="-","Nicht im Lift",IF(AP1428&gt;=1,"Lift",IF(AP1428&lt;=0,"Aussenlager","teilweise")))))</f>
        <v>Lift</v>
      </c>
      <c r="BL1428" s="60" t="str">
        <f aca="false">IF(AT1428&lt;=0,"",IF(CG1428="Aussen","Aussenlager",IF(CG1428="-","Nicht im Lift",IF(AZ1428&gt;=1,"Lift",IF(AZ1428&lt;=0,"Aussenlager","teilweise")))))</f>
        <v>Lift</v>
      </c>
      <c r="BM1428" s="60" t="str">
        <f aca="false">IF(BD1428&lt;=0,"",IF(CG1428="Aussen","Aussenlager",IF(CG1428="-","Nicht im Lift",IF(BJ1428&gt;=1,"Lift",IF(BJ1428&lt;=0,"Aussenlager","teilweise")))))</f>
        <v>Lift</v>
      </c>
      <c r="BN1428" s="60" t="str">
        <f aca="false">IF(A1428="","",IF(BW1428=1,"Neu; ","")&amp;IF(AND(BW1428=0,BR1428&lt;0),"negativer Bestand (Export "&amp;BR1428&amp;"); ","")&amp;IF(J1428&lt;=0,"Kein Verbrauch; ","")&amp;IF(CR1428&gt;0,"Lift "&amp;W1428&amp;" lt. Liftbericht (Fach "&amp;X1428&amp;" Stk); ",IF(CB1428=1,"Gebinde geschätzt ("&amp;T1428&amp;"); ",IF(CA1428=1,"Lose – Tablare geschätzt; ","")))&amp;IF(H1428&gt;AW1428,"Überbestand "&amp;ROUND(H1428-AW1428,0)&amp;" Stk / CHF "&amp;ROUND((H1428-AW1428)*G1428,0)&amp;"; ","")&amp;IF(AND(CI1428=1,CJ1428&lt;CK1428),"MAX &lt; MB+LG; ","")&amp;IF(AND(CQ1428&gt;0,CP1428*10&gt;CQ1428),"zu hoch für Tablar; ","")&amp;IF(AND(BW1428=0,OR(CI1428=1,AB1428&lt;&gt;"",U1428&lt;&gt;"",V1428&lt;&gt;"",AC1428&lt;&gt;"")),"manuell übersteuert; ","")&amp;IF(AND(CA1428=0,R1428=0),"Gebinde unbekannt / Stellmass fehlt; ","")&amp;IF(AND(CA1428=0,N(V1428)&lt;=0,N(Q1428)&lt;=0),"Menge pro Gebinde fehlt (Ist = 1 Gebinde); ","")&amp;BV1428)</f>
        <v>negativer Bestand (Export -31); </v>
      </c>
      <c r="BO1428" s="60"/>
      <c r="BP1428" s="60"/>
      <c r="BQ1428" s="67"/>
      <c r="BR1428" s="62" t="n">
        <v>-31</v>
      </c>
      <c r="BS1428" s="62" t="n">
        <v>69</v>
      </c>
      <c r="BT1428" s="61" t="n">
        <v>-6670.22000000001</v>
      </c>
      <c r="BU1428" s="62" t="n">
        <v>145</v>
      </c>
      <c r="BV1428" s="60"/>
      <c r="BW1428" s="65" t="n">
        <v>0</v>
      </c>
      <c r="BX1428" s="65" t="n">
        <v>1428</v>
      </c>
      <c r="BY1428" s="60" t="str">
        <f aca="false">IF(U1428&lt;&gt;"",UPPER(TRIM(U1428)),IF(CB1428=1,UPPER(VLOOKUP(T1428,Parameter!$I$27:$K$29,2,0)),IF(P1428="","LOSE",P1428)))</f>
        <v>S62</v>
      </c>
      <c r="BZ1428" s="62" t="n">
        <f aca="false">IF(BY1428="LOSE",1,IF(N(V1428)&gt;0,V1428,IF(CB1428=1,MAX(1,N(VLOOKUP(T1428,Parameter!$I$27:$K$29,3,0)),H1428,N(N1428)),IF(N(Q1428)&gt;0,Q1428,MAX(1,H1428)))))</f>
        <v>76</v>
      </c>
      <c r="CA1428" s="65" t="n">
        <f aca="false">IF(BY1428="LOSE",1,0)</f>
        <v>0</v>
      </c>
      <c r="CB1428" s="65" t="n">
        <f aca="false">IF(AND(U1428="",OR(P1428="",P1428="LOSE"),T1428&lt;&gt;"",N(S1428)&lt;=0,ISNUMBER(MATCH(T1428,Parameter!$I$27:$I$29,0))),1,0)</f>
        <v>0</v>
      </c>
      <c r="CC1428" s="65" t="n">
        <f aca="false">IF(CR1428&gt;0,INDEX(Parameter!$H$5:$H$7,W1428)/INDEX(Parameter!$E$5:$E$7,W1428),IF(AND(CA1428=0,N(IFERROR(VLOOKUP(BY1428,'Gebinde-Kategorie'!$A$5:$N$45,14,0),0))&gt;0),VLOOKUP(BY1428,'Gebinde-Kategorie'!$A$5:$N$45,14,0)*10+Parameter!$M$23,Parameter!$M$24))</f>
        <v>245</v>
      </c>
      <c r="CD1428" s="60" t="str">
        <f aca="false">IF(AND(Parameter!$B$19="Ja",E1428&lt;&gt;"",ISNUMBER(MATCH(E1428,Parameter!$I$35:$I$52,0))),VLOOKUP(E1428,Parameter!$I$35:$J$52,2,0),IFERROR(VLOOKUP(D1428,Parameter!$A$35:$C$64,2,0),"Nein"))</f>
        <v>2+3</v>
      </c>
      <c r="CE1428" s="64" t="n">
        <f aca="false">IF(CA1428=0,0,IF(N(S1428)&gt;0,S1428,IFERROR(VLOOKUP(D1428,Parameter!$A$35:$C$64,3,0)+0,0)))</f>
        <v>0</v>
      </c>
      <c r="CF1428" s="60" t="n">
        <f aca="false">IF(AB1428&lt;&gt;"",AB1428,AA1428)</f>
        <v>3</v>
      </c>
      <c r="CG1428" s="60" t="str">
        <f aca="false">IF(OR(CF1428=1,CF1428=2,CF1428=3),IF(Parameter!$E$27="Ja","LIFT",IF(CF1428=1,"L1","L23")),IF(CF1428="Aussen","Aussen","-"))</f>
        <v>LIFT</v>
      </c>
      <c r="CH1428" s="71" t="n">
        <f aca="false">IF(N(AC1428)&gt;0,AC1428,0)</f>
        <v>0</v>
      </c>
      <c r="CI1428" s="65" t="n">
        <f aca="false">IF(ISNUMBER(AF1428),1,0)</f>
        <v>0</v>
      </c>
      <c r="CJ1428" s="62" t="n">
        <f aca="false">N(AF1428)</f>
        <v>0</v>
      </c>
      <c r="CK1428" s="62" t="n">
        <f aca="false">N(M1428)+N(N1428)</f>
        <v>33</v>
      </c>
      <c r="CL1428" s="62" t="n">
        <f aca="false">N(M1428)</f>
        <v>8</v>
      </c>
      <c r="CM1428" s="62" t="n">
        <f aca="false">N(N1428)</f>
        <v>25</v>
      </c>
      <c r="CN1428" s="62" t="n">
        <f aca="false">ROUNDUP(H1428/BZ1428,0)</f>
        <v>1</v>
      </c>
      <c r="CO1428" s="62" t="n">
        <f aca="false">ROUNDUP(CJ1428/BZ1428,0)</f>
        <v>0</v>
      </c>
      <c r="CP1428" s="65" t="n">
        <f aca="false">IF(CA1428=1,0,IFERROR(VLOOKUP(BY1428,'Gebinde-Kategorie'!$A$5:$N$45,5,0)+0,0))</f>
        <v>21</v>
      </c>
      <c r="CQ1428" s="65" t="n">
        <f aca="false">IFERROR(IF(OR(CF1428=1,CF1428=2,CF1428=3),N(INDEX(Parameter!$I$5:$I$7,CF1428)),0),0)</f>
        <v>0</v>
      </c>
      <c r="CR1428" s="64" t="n">
        <f aca="false">IF(AND(Parameter!$B$21="Ja",ISNUMBER(W1428),N(X1428)&gt;0),IFERROR(N(INDEX(Parameter!$L$5:$L$7,W1428))*INDEX(Parameter!$E$5:$E$7,W1428)*X1428/SUMIFS($X$7:$X$1843,$W$7:$W$1843,W1428),0),0)</f>
        <v>0</v>
      </c>
      <c r="CS1428" s="62" t="n">
        <f aca="false">IF(AND(OR(CG1428="L1",CG1428="L23",CG1428="LIFT"),H1428&gt;0),CC1428*IF(CR1428&gt;0,CR1428*MAX(1,H1428/X1428),IF(CA1428=1,CE1428,IF(R1428&gt;0,CN1428/R1428,0))/MAX(0.1,N(Parameter!$M$21))),"")</f>
        <v>20.4166666666667</v>
      </c>
      <c r="CT1428" s="64" t="n">
        <f aca="false">IF(CS1428="","",J1428/H1428)</f>
        <v>3.81578947368421</v>
      </c>
      <c r="CU1428" s="62" t="n">
        <f aca="false">IF(CS1428="","",H1428*G1428)</f>
        <v>3625.96</v>
      </c>
      <c r="CV1428" s="63" t="n">
        <f aca="false">IF(CS1428="","",(CL1428+ROUNDUP(CL1428+MAX(CM1428,2*(J1428/MAX(0.1,N(Einkauf!$C$6))-CL1428)),0))/2)</f>
        <v>36.5</v>
      </c>
      <c r="CW1428" s="62" t="n">
        <f aca="false">IF(CS1428="","",MAX(0,H1428-CV1428)*G1428)</f>
        <v>143.13</v>
      </c>
      <c r="CX1428" s="62" t="n">
        <f aca="false">IF(CS1428="","",CS1428*MAX(0,1-CV1428/H1428))</f>
        <v>0.805921052631579</v>
      </c>
      <c r="CY1428" s="64" t="n">
        <f aca="false">IF(CS1428="","",PERCENTRANK($CS$7:$CS$1843,CS1428)+PERCENTRANK($CU$7:$CU$1843,CU1428)+1-PERCENTRANK($CT$7:$CT$1843,CT1428))</f>
        <v>1.717</v>
      </c>
      <c r="CZ1428" s="72" t="n">
        <f aca="false">IF(CS1428="","",CHOOSE(MATCH(Einkauf!$C$5,Parameter!$G$23:$G$27,0),CY1428,CS1428,CU1428,-CT1428,CW1428)+ROW()/1000000000)</f>
        <v>1.717001428</v>
      </c>
    </row>
    <row r="1429" customFormat="false" ht="15" hidden="false" customHeight="false" outlineLevel="0" collapsed="false">
      <c r="A1429" s="60" t="s">
        <v>2547</v>
      </c>
      <c r="B1429" s="60" t="s">
        <v>2153</v>
      </c>
      <c r="C1429" s="60" t="s">
        <v>206</v>
      </c>
      <c r="D1429" s="60" t="s">
        <v>215</v>
      </c>
      <c r="E1429" s="60" t="s">
        <v>227</v>
      </c>
      <c r="F1429" s="60" t="s">
        <v>260</v>
      </c>
      <c r="G1429" s="61" t="n">
        <v>353.57</v>
      </c>
      <c r="H1429" s="62" t="n">
        <f aca="false">MAX(0,IF(AND(Parameter!$B$21="Ja",ISNUMBER(Y1429)),Y1429,IF(Parameter!$B$20="Jahresanfang 2025 + Export",BS1429+BR1429,BR1429)))</f>
        <v>23</v>
      </c>
      <c r="I1429" s="62" t="n">
        <f aca="false">H1429*G1429</f>
        <v>8132.11</v>
      </c>
      <c r="J1429" s="62" t="n">
        <f aca="false">BU1429*Parameter!$B$18</f>
        <v>14</v>
      </c>
      <c r="K1429" s="63" t="n">
        <v>35</v>
      </c>
      <c r="L1429" s="64" t="n">
        <v>0.4</v>
      </c>
      <c r="M1429" s="62" t="n">
        <v>1</v>
      </c>
      <c r="N1429" s="62" t="n">
        <v>10</v>
      </c>
      <c r="O1429" s="65" t="n">
        <v>35</v>
      </c>
      <c r="P1429" s="60" t="s">
        <v>216</v>
      </c>
      <c r="Q1429" s="62" t="n">
        <v>36</v>
      </c>
      <c r="R1429" s="65" t="n">
        <f aca="false">IF(CA1429=1,0,IFERROR(VLOOKUP(BY1429,'Gebinde-Kategorie'!$A$5:$N$45,13,0)+0,0))</f>
        <v>6</v>
      </c>
      <c r="S1429" s="66"/>
      <c r="T1429" s="67"/>
      <c r="U1429" s="67"/>
      <c r="V1429" s="67"/>
      <c r="W1429" s="60"/>
      <c r="X1429" s="62"/>
      <c r="Y1429" s="62"/>
      <c r="Z1429" s="60" t="n">
        <v>2</v>
      </c>
      <c r="AA1429" s="60" t="n">
        <f aca="false">IF(A1429="","",IF(AND(Parameter!$B$21="Ja",ISNUMBER(W1429)),W1429,IF(AND(Parameter!$E$27="Ja",ISNUMBER(Z1429),CD1429&lt;&gt;"Nein"),Z1429,IF(CD1429="2+3",IF(ISNUMBER(SEARCH("grosser Artikel",BV1429)),2,IFERROR(VLOOKUP(BY1429,Parameter!$F$35:$G$64,2,0),2)),IF(OR(CD1429="Nein",CD1429=""),"-",CD1429)))))</f>
        <v>2</v>
      </c>
      <c r="AB1429" s="67"/>
      <c r="AC1429" s="68"/>
      <c r="AD1429" s="62" t="n">
        <f aca="false">AW1429</f>
        <v>11</v>
      </c>
      <c r="AE1429" s="62" t="n">
        <f aca="false">MAX(AW1429,H1429)</f>
        <v>23</v>
      </c>
      <c r="AF1429" s="69"/>
      <c r="AG1429" s="62" t="n">
        <f aca="false">IF(LEFT(Cockpit!$C$5,1)="A",H1429,IF(Parameter!$E$30="MAX-Bestand",IF(CI1429=1,CJ1429,IF(LEFT(Cockpit!$C$5,1)="B",AM1429,MAX(AM1429,H1429))),ROUNDUP(AK1429,0)))</f>
        <v>23</v>
      </c>
      <c r="AH1429" s="62" t="n">
        <f aca="false">IF(CA1429=1,0,ROUNDUP(AG1429/BZ1429,0))</f>
        <v>1</v>
      </c>
      <c r="AI1429" s="64" t="n">
        <f aca="false">IF(CR1429&gt;0,CR1429*MAX(1,AG1429/X1429),IF(CA1429=1,IF(AG1429&lt;=0,0,CE1429*MAX(1,IF(H1429&gt;0,AG1429/H1429,1))),IF(R1429&gt;0,AH1429/R1429,0))/MAX(0.1,N(Parameter!$M$21)))</f>
        <v>0.166666666666667</v>
      </c>
      <c r="AJ1429" s="62" t="n">
        <f aca="false">AI1429*CC1429</f>
        <v>39.1666666666667</v>
      </c>
      <c r="AK1429" s="63" t="n">
        <f aca="false">IF(LEFT(Cockpit!$C$5,1)="A",H1429,IF(CI1429=1,(CL1429+CJ1429)/2,IF(LEFT(Cockpit!$C$5,1)="B",(CL1429+AM1429)/2,MAX((CL1429+AM1429)/2,H1429))))</f>
        <v>23</v>
      </c>
      <c r="AL1429" s="62" t="n">
        <f aca="false">AK1429*G1429</f>
        <v>8132.11</v>
      </c>
      <c r="AM1429" s="62" t="n">
        <f aca="false">ROUNDUP(CL1429+MAX(CM1429,2*(J1429/IF(CH1429&gt;0,CH1429,MAX(0.1,N(Cockpit!$C$6)))-CL1429)),0)</f>
        <v>11</v>
      </c>
      <c r="AN1429" s="63" t="n">
        <f aca="false">IF(AJ1429&gt;0,J1429/AJ1429,-1)</f>
        <v>0.357446808510638</v>
      </c>
      <c r="AO1429" s="63" t="n">
        <f aca="false">IF(AND(OR(CG1429="L1",CG1429="L23",CG1429="LIFT"),AJ1429&gt;0),SUMIFS($AJ$7:$AJ$1843,$CG$7:$CG$1843,CG1429,$AN$7:$AN$1843,"&gt;"&amp;AN1429)+SUMIFS($AJ$7:$AJ$1843,$CG$7:$CG$1843,CG1429,$AN$7:$AN$1843,AN1429,$BX$7:$BX$1843,"&lt;="&amp;BX1429),"")</f>
        <v>10717.2499715445</v>
      </c>
      <c r="AP1429" s="70" t="n">
        <f aca="false">IF(AO1429="",0,MAX(0,MIN(1,(IF(CG1429="L1",Parameter!$H$5,IF(CG1429="L23",Parameter!$H$6+Parameter!$H$7,Parameter!$H$5+Parameter!$H$6+Parameter!$H$7))-(AO1429-AJ1429))/AJ1429)))</f>
        <v>1</v>
      </c>
      <c r="AQ1429" s="62" t="n">
        <f aca="false">IF(LEFT(Cockpit!$I$5,1)="A",H1429,IF(Parameter!$E$30="MAX-Bestand",IF(CI1429=1,CJ1429,IF(LEFT(Cockpit!$I$5,1)="B",AW1429,MAX(AW1429,H1429))),ROUNDUP(AU1429,0)))</f>
        <v>23</v>
      </c>
      <c r="AR1429" s="62" t="n">
        <f aca="false">IF(CA1429=1,0,ROUNDUP(AQ1429/BZ1429,0))</f>
        <v>1</v>
      </c>
      <c r="AS1429" s="64" t="n">
        <f aca="false">IF(CR1429&gt;0,CR1429*MAX(1,AQ1429/X1429),IF(CA1429=1,IF(AQ1429&lt;=0,0,CE1429*MAX(1,IF(H1429&gt;0,AQ1429/H1429,1))),IF(R1429&gt;0,AR1429/R1429,0))/MAX(0.1,N(Parameter!$M$21)))</f>
        <v>0.166666666666667</v>
      </c>
      <c r="AT1429" s="62" t="n">
        <f aca="false">AS1429*CC1429</f>
        <v>39.1666666666667</v>
      </c>
      <c r="AU1429" s="63" t="n">
        <f aca="false">IF(LEFT(Cockpit!$I$5,1)="A",H1429,IF(CI1429=1,(CL1429+CJ1429)/2,IF(LEFT(Cockpit!$I$5,1)="B",(CL1429+AW1429)/2,MAX((CL1429+AW1429)/2,H1429))))</f>
        <v>23</v>
      </c>
      <c r="AV1429" s="62" t="n">
        <f aca="false">AU1429*G1429</f>
        <v>8132.11</v>
      </c>
      <c r="AW1429" s="62" t="n">
        <f aca="false">ROUNDUP(CL1429+MAX(CM1429,2*(J1429/IF(CH1429&gt;0,CH1429,MAX(0.1,N(Cockpit!$I$6)))-CL1429)),0)</f>
        <v>11</v>
      </c>
      <c r="AX1429" s="63" t="n">
        <f aca="false">IF(AT1429&gt;0,J1429/AT1429,-1)</f>
        <v>0.357446808510638</v>
      </c>
      <c r="AY1429" s="63" t="n">
        <f aca="false">IF(AND(OR(CG1429="L1",CG1429="L23",CG1429="LIFT"),AT1429&gt;0),SUMIFS($AT$7:$AT$1843,$CG$7:$CG$1843,CG1429,$AX$7:$AX$1843,"&gt;"&amp;AX1429)+SUMIFS($AT$7:$AT$1843,$CG$7:$CG$1843,CG1429,$AX$7:$AX$1843,AX1429,$BX$7:$BX$1843,"&lt;="&amp;BX1429),"")</f>
        <v>13449.0032051282</v>
      </c>
      <c r="AZ1429" s="70" t="n">
        <f aca="false">IF(AY1429="",0,MAX(0,MIN(1,(IF(CG1429="L1",Parameter!$H$5,IF(CG1429="L23",Parameter!$H$6+Parameter!$H$7,Parameter!$H$5+Parameter!$H$6+Parameter!$H$7))-(AY1429-AT1429))/AT1429)))</f>
        <v>1</v>
      </c>
      <c r="BA1429" s="62" t="n">
        <f aca="false">IF(LEFT(Cockpit!$O$5,1)="A",H1429,IF(Parameter!$E$30="MAX-Bestand",IF(CI1429=1,CJ1429,IF(LEFT(Cockpit!$O$5,1)="B",BG1429,MAX(BG1429,H1429))),ROUNDUP(BE1429,0)))</f>
        <v>6</v>
      </c>
      <c r="BB1429" s="62" t="n">
        <f aca="false">IF(CA1429=1,0,ROUNDUP(BA1429/BZ1429,0))</f>
        <v>1</v>
      </c>
      <c r="BC1429" s="64" t="n">
        <f aca="false">IF(CR1429&gt;0,CR1429*MAX(1,BA1429/X1429),IF(CA1429=1,IF(BA1429&lt;=0,0,CE1429*MAX(1,IF(H1429&gt;0,BA1429/H1429,1))),IF(R1429&gt;0,BB1429/R1429,0))/MAX(0.1,N(Parameter!$M$21)))</f>
        <v>0.166666666666667</v>
      </c>
      <c r="BD1429" s="62" t="n">
        <f aca="false">BC1429*CC1429</f>
        <v>39.1666666666667</v>
      </c>
      <c r="BE1429" s="63" t="n">
        <f aca="false">IF(LEFT(Cockpit!$O$5,1)="A",H1429,IF(CI1429=1,(CL1429+CJ1429)/2,IF(LEFT(Cockpit!$O$5,1)="B",(CL1429+BG1429)/2,MAX((CL1429+BG1429)/2,H1429))))</f>
        <v>6</v>
      </c>
      <c r="BF1429" s="62" t="n">
        <f aca="false">BE1429*G1429</f>
        <v>2121.42</v>
      </c>
      <c r="BG1429" s="62" t="n">
        <f aca="false">ROUNDUP(CL1429+MAX(CM1429,2*(J1429/IF(CH1429&gt;0,CH1429,MAX(0.1,N(Cockpit!$O$6)))-CL1429)),0)</f>
        <v>11</v>
      </c>
      <c r="BH1429" s="63" t="n">
        <f aca="false">IF(BD1429&gt;0,J1429/BD1429,-1)</f>
        <v>0.357446808510638</v>
      </c>
      <c r="BI1429" s="63" t="n">
        <f aca="false">IF(AND(OR(CG1429="L1",CG1429="L23",CG1429="LIFT"),BD1429&gt;0),SUMIFS($BD$7:$BD$1843,$CG$7:$CG$1843,CG1429,$BH$7:$BH$1843,"&gt;"&amp;BH1429)+SUMIFS($BD$7:$BD$1843,$CG$7:$CG$1843,CG1429,$BH$7:$BH$1843,BH1429,$BX$7:$BX$1843,"&lt;="&amp;BX1429),"")</f>
        <v>11474.7696886447</v>
      </c>
      <c r="BJ1429" s="70" t="n">
        <f aca="false">IF(BI1429="",0,MAX(0,MIN(1,(IF(CG1429="L1",Parameter!$H$5,IF(CG1429="L23",Parameter!$H$6+Parameter!$H$7,Parameter!$H$5+Parameter!$H$6+Parameter!$H$7))-(BI1429-BD1429))/BD1429)))</f>
        <v>1</v>
      </c>
      <c r="BK1429" s="60" t="str">
        <f aca="false">IF(AJ1429&lt;=0,"",IF(CG1429="Aussen","Aussenlager",IF(CG1429="-","Nicht im Lift",IF(AP1429&gt;=1,"Lift",IF(AP1429&lt;=0,"Aussenlager","teilweise")))))</f>
        <v>Lift</v>
      </c>
      <c r="BL1429" s="60" t="str">
        <f aca="false">IF(AT1429&lt;=0,"",IF(CG1429="Aussen","Aussenlager",IF(CG1429="-","Nicht im Lift",IF(AZ1429&gt;=1,"Lift",IF(AZ1429&lt;=0,"Aussenlager","teilweise")))))</f>
        <v>Lift</v>
      </c>
      <c r="BM1429" s="60" t="str">
        <f aca="false">IF(BD1429&lt;=0,"",IF(CG1429="Aussen","Aussenlager",IF(CG1429="-","Nicht im Lift",IF(BJ1429&gt;=1,"Lift",IF(BJ1429&lt;=0,"Aussenlager","teilweise")))))</f>
        <v>Lift</v>
      </c>
      <c r="BN1429" s="60" t="str">
        <f aca="false">IF(A1429="","",IF(BW1429=1,"Neu; ","")&amp;IF(AND(BW1429=0,BR1429&lt;0),"negativer Bestand (Export "&amp;BR1429&amp;"); ","")&amp;IF(J1429&lt;=0,"Kein Verbrauch; ","")&amp;IF(CR1429&gt;0,"Lift "&amp;W1429&amp;" lt. Liftbericht (Fach "&amp;X1429&amp;" Stk); ",IF(CB1429=1,"Gebinde geschätzt ("&amp;T1429&amp;"); ",IF(CA1429=1,"Lose – Tablare geschätzt; ","")))&amp;IF(H1429&gt;AW1429,"Überbestand "&amp;ROUND(H1429-AW1429,0)&amp;" Stk / CHF "&amp;ROUND((H1429-AW1429)*G1429,0)&amp;"; ","")&amp;IF(AND(CI1429=1,CJ1429&lt;CK1429),"MAX &lt; MB+LG; ","")&amp;IF(AND(CQ1429&gt;0,CP1429*10&gt;CQ1429),"zu hoch für Tablar; ","")&amp;IF(AND(BW1429=0,OR(CI1429=1,AB1429&lt;&gt;"",U1429&lt;&gt;"",V1429&lt;&gt;"",AC1429&lt;&gt;"")),"manuell übersteuert; ","")&amp;IF(AND(CA1429=0,R1429=0),"Gebinde unbekannt / Stellmass fehlt; ","")&amp;IF(AND(CA1429=0,N(V1429)&lt;=0,N(Q1429)&lt;=0),"Menge pro Gebinde fehlt (Ist = 1 Gebinde); ","")&amp;BV1429)</f>
        <v>negativer Bestand (Export -19); Überbestand 12 Stk / CHF 4243; Neu; grosser Artikel &amp; nicht im KTL</v>
      </c>
      <c r="BO1429" s="60"/>
      <c r="BP1429" s="60"/>
      <c r="BQ1429" s="67"/>
      <c r="BR1429" s="62" t="n">
        <v>-19</v>
      </c>
      <c r="BS1429" s="62" t="n">
        <v>42</v>
      </c>
      <c r="BT1429" s="61" t="n">
        <v>-6717.83</v>
      </c>
      <c r="BU1429" s="62" t="n">
        <v>14</v>
      </c>
      <c r="BV1429" s="60" t="s">
        <v>2112</v>
      </c>
      <c r="BW1429" s="65" t="n">
        <v>0</v>
      </c>
      <c r="BX1429" s="65" t="n">
        <v>1429</v>
      </c>
      <c r="BY1429" s="60" t="str">
        <f aca="false">IF(U1429&lt;&gt;"",UPPER(TRIM(U1429)),IF(CB1429=1,UPPER(VLOOKUP(T1429,Parameter!$I$27:$K$29,2,0)),IF(P1429="","LOSE",P1429)))</f>
        <v>S71</v>
      </c>
      <c r="BZ1429" s="62" t="n">
        <f aca="false">IF(BY1429="LOSE",1,IF(N(V1429)&gt;0,V1429,IF(CB1429=1,MAX(1,N(VLOOKUP(T1429,Parameter!$I$27:$K$29,3,0)),H1429,N(N1429)),IF(N(Q1429)&gt;0,Q1429,MAX(1,H1429)))))</f>
        <v>36</v>
      </c>
      <c r="CA1429" s="65" t="n">
        <f aca="false">IF(BY1429="LOSE",1,0)</f>
        <v>0</v>
      </c>
      <c r="CB1429" s="65" t="n">
        <f aca="false">IF(AND(U1429="",OR(P1429="",P1429="LOSE"),T1429&lt;&gt;"",N(S1429)&lt;=0,ISNUMBER(MATCH(T1429,Parameter!$I$27:$I$29,0))),1,0)</f>
        <v>0</v>
      </c>
      <c r="CC1429" s="65" t="n">
        <f aca="false">IF(CR1429&gt;0,INDEX(Parameter!$H$5:$H$7,W1429)/INDEX(Parameter!$E$5:$E$7,W1429),IF(AND(CA1429=0,N(IFERROR(VLOOKUP(BY1429,'Gebinde-Kategorie'!$A$5:$N$45,14,0),0))&gt;0),VLOOKUP(BY1429,'Gebinde-Kategorie'!$A$5:$N$45,14,0)*10+Parameter!$M$23,Parameter!$M$24))</f>
        <v>235</v>
      </c>
      <c r="CD1429" s="60" t="str">
        <f aca="false">IF(AND(Parameter!$B$19="Ja",E1429&lt;&gt;"",ISNUMBER(MATCH(E1429,Parameter!$I$35:$I$52,0))),VLOOKUP(E1429,Parameter!$I$35:$J$52,2,0),IFERROR(VLOOKUP(D1429,Parameter!$A$35:$C$64,2,0),"Nein"))</f>
        <v>2+3</v>
      </c>
      <c r="CE1429" s="64" t="n">
        <f aca="false">IF(CA1429=0,0,IF(N(S1429)&gt;0,S1429,IFERROR(VLOOKUP(D1429,Parameter!$A$35:$C$64,3,0)+0,0)))</f>
        <v>0</v>
      </c>
      <c r="CF1429" s="60" t="n">
        <f aca="false">IF(AB1429&lt;&gt;"",AB1429,AA1429)</f>
        <v>2</v>
      </c>
      <c r="CG1429" s="60" t="str">
        <f aca="false">IF(OR(CF1429=1,CF1429=2,CF1429=3),IF(Parameter!$E$27="Ja","LIFT",IF(CF1429=1,"L1","L23")),IF(CF1429="Aussen","Aussen","-"))</f>
        <v>LIFT</v>
      </c>
      <c r="CH1429" s="71" t="n">
        <f aca="false">IF(N(AC1429)&gt;0,AC1429,0)</f>
        <v>0</v>
      </c>
      <c r="CI1429" s="65" t="n">
        <f aca="false">IF(ISNUMBER(AF1429),1,0)</f>
        <v>0</v>
      </c>
      <c r="CJ1429" s="62" t="n">
        <f aca="false">N(AF1429)</f>
        <v>0</v>
      </c>
      <c r="CK1429" s="62" t="n">
        <f aca="false">N(M1429)+N(N1429)</f>
        <v>11</v>
      </c>
      <c r="CL1429" s="62" t="n">
        <f aca="false">N(M1429)</f>
        <v>1</v>
      </c>
      <c r="CM1429" s="62" t="n">
        <f aca="false">N(N1429)</f>
        <v>10</v>
      </c>
      <c r="CN1429" s="62" t="n">
        <f aca="false">ROUNDUP(H1429/BZ1429,0)</f>
        <v>1</v>
      </c>
      <c r="CO1429" s="62" t="n">
        <f aca="false">ROUNDUP(CJ1429/BZ1429,0)</f>
        <v>0</v>
      </c>
      <c r="CP1429" s="65" t="n">
        <f aca="false">IF(CA1429=1,0,IFERROR(VLOOKUP(BY1429,'Gebinde-Kategorie'!$A$5:$N$45,5,0)+0,0))</f>
        <v>20</v>
      </c>
      <c r="CQ1429" s="65" t="n">
        <f aca="false">IFERROR(IF(OR(CF1429=1,CF1429=2,CF1429=3),N(INDEX(Parameter!$I$5:$I$7,CF1429)),0),0)</f>
        <v>0</v>
      </c>
      <c r="CR1429" s="64" t="n">
        <f aca="false">IF(AND(Parameter!$B$21="Ja",ISNUMBER(W1429),N(X1429)&gt;0),IFERROR(N(INDEX(Parameter!$L$5:$L$7,W1429))*INDEX(Parameter!$E$5:$E$7,W1429)*X1429/SUMIFS($X$7:$X$1843,$W$7:$W$1843,W1429),0),0)</f>
        <v>0</v>
      </c>
      <c r="CS1429" s="62" t="n">
        <f aca="false">IF(AND(OR(CG1429="L1",CG1429="L23",CG1429="LIFT"),H1429&gt;0),CC1429*IF(CR1429&gt;0,CR1429*MAX(1,H1429/X1429),IF(CA1429=1,CE1429,IF(R1429&gt;0,CN1429/R1429,0))/MAX(0.1,N(Parameter!$M$21))),"")</f>
        <v>39.1666666666667</v>
      </c>
      <c r="CT1429" s="64" t="n">
        <f aca="false">IF(CS1429="","",J1429/H1429)</f>
        <v>0.608695652173913</v>
      </c>
      <c r="CU1429" s="62" t="n">
        <f aca="false">IF(CS1429="","",H1429*G1429)</f>
        <v>8132.11</v>
      </c>
      <c r="CV1429" s="63" t="n">
        <f aca="false">IF(CS1429="","",(CL1429+ROUNDUP(CL1429+MAX(CM1429,2*(J1429/MAX(0.1,N(Einkauf!$C$6))-CL1429)),0))/2)</f>
        <v>6</v>
      </c>
      <c r="CW1429" s="62" t="n">
        <f aca="false">IF(CS1429="","",MAX(0,H1429-CV1429)*G1429)</f>
        <v>6010.69</v>
      </c>
      <c r="CX1429" s="62" t="n">
        <f aca="false">IF(CS1429="","",CS1429*MAX(0,1-CV1429/H1429))</f>
        <v>28.9492753623188</v>
      </c>
      <c r="CY1429" s="64" t="n">
        <f aca="false">IF(CS1429="","",PERCENTRANK($CS$7:$CS$1843,CS1429)+PERCENTRANK($CU$7:$CU$1843,CU1429)+1-PERCENTRANK($CT$7:$CT$1843,CT1429))</f>
        <v>2.231</v>
      </c>
      <c r="CZ1429" s="72" t="n">
        <f aca="false">IF(CS1429="","",CHOOSE(MATCH(Einkauf!$C$5,Parameter!$G$23:$G$27,0),CY1429,CS1429,CU1429,-CT1429,CW1429)+ROW()/1000000000)</f>
        <v>2.231001429</v>
      </c>
    </row>
    <row r="1430" customFormat="false" ht="15" hidden="false" customHeight="false" outlineLevel="0" collapsed="false">
      <c r="A1430" s="60" t="s">
        <v>2548</v>
      </c>
      <c r="B1430" s="60" t="s">
        <v>2549</v>
      </c>
      <c r="C1430" s="60" t="s">
        <v>206</v>
      </c>
      <c r="D1430" s="60" t="s">
        <v>226</v>
      </c>
      <c r="E1430" s="60" t="s">
        <v>227</v>
      </c>
      <c r="F1430" s="60" t="s">
        <v>260</v>
      </c>
      <c r="G1430" s="61" t="n">
        <v>116.4</v>
      </c>
      <c r="H1430" s="62" t="n">
        <f aca="false">MAX(0,IF(AND(Parameter!$B$21="Ja",ISNUMBER(Y1430)),Y1430,IF(Parameter!$B$20="Jahresanfang 2025 + Export",BS1430+BR1430,BR1430)))</f>
        <v>58</v>
      </c>
      <c r="I1430" s="62" t="n">
        <f aca="false">H1430*G1430</f>
        <v>6751.2</v>
      </c>
      <c r="J1430" s="62" t="n">
        <f aca="false">BU1430*Parameter!$B$18</f>
        <v>10</v>
      </c>
      <c r="K1430" s="63" t="n">
        <v>111</v>
      </c>
      <c r="L1430" s="64" t="n">
        <v>0.0900900900900901</v>
      </c>
      <c r="M1430" s="62" t="n">
        <v>0</v>
      </c>
      <c r="N1430" s="62" t="n">
        <v>10</v>
      </c>
      <c r="O1430" s="65" t="n">
        <v>28</v>
      </c>
      <c r="P1430" s="60" t="s">
        <v>335</v>
      </c>
      <c r="Q1430" s="62" t="n">
        <v>80</v>
      </c>
      <c r="R1430" s="65" t="n">
        <f aca="false">IF(CA1430=1,0,IFERROR(VLOOKUP(BY1430,'Gebinde-Kategorie'!$A$5:$N$45,13,0)+0,0))</f>
        <v>12</v>
      </c>
      <c r="S1430" s="66"/>
      <c r="T1430" s="67"/>
      <c r="U1430" s="67"/>
      <c r="V1430" s="67"/>
      <c r="W1430" s="60"/>
      <c r="X1430" s="62"/>
      <c r="Y1430" s="62"/>
      <c r="Z1430" s="60" t="n">
        <v>3</v>
      </c>
      <c r="AA1430" s="60" t="n">
        <f aca="false">IF(A1430="","",IF(AND(Parameter!$B$21="Ja",ISNUMBER(W1430)),W1430,IF(AND(Parameter!$E$27="Ja",ISNUMBER(Z1430),CD1430&lt;&gt;"Nein"),Z1430,IF(CD1430="2+3",IF(ISNUMBER(SEARCH("grosser Artikel",BV1430)),2,IFERROR(VLOOKUP(BY1430,Parameter!$F$35:$G$64,2,0),2)),IF(OR(CD1430="Nein",CD1430=""),"-",CD1430)))))</f>
        <v>3</v>
      </c>
      <c r="AB1430" s="67"/>
      <c r="AC1430" s="68"/>
      <c r="AD1430" s="62" t="n">
        <f aca="false">AW1430</f>
        <v>10</v>
      </c>
      <c r="AE1430" s="62" t="n">
        <f aca="false">MAX(AW1430,H1430)</f>
        <v>58</v>
      </c>
      <c r="AF1430" s="69"/>
      <c r="AG1430" s="62" t="n">
        <f aca="false">IF(LEFT(Cockpit!$C$5,1)="A",H1430,IF(Parameter!$E$30="MAX-Bestand",IF(CI1430=1,CJ1430,IF(LEFT(Cockpit!$C$5,1)="B",AM1430,MAX(AM1430,H1430))),ROUNDUP(AK1430,0)))</f>
        <v>58</v>
      </c>
      <c r="AH1430" s="62" t="n">
        <f aca="false">IF(CA1430=1,0,ROUNDUP(AG1430/BZ1430,0))</f>
        <v>1</v>
      </c>
      <c r="AI1430" s="64" t="n">
        <f aca="false">IF(CR1430&gt;0,CR1430*MAX(1,AG1430/X1430),IF(CA1430=1,IF(AG1430&lt;=0,0,CE1430*MAX(1,IF(H1430&gt;0,AG1430/H1430,1))),IF(R1430&gt;0,AH1430/R1430,0))/MAX(0.1,N(Parameter!$M$21)))</f>
        <v>0.0833333333333333</v>
      </c>
      <c r="AJ1430" s="62" t="n">
        <f aca="false">AI1430*CC1430</f>
        <v>20.4166666666667</v>
      </c>
      <c r="AK1430" s="63" t="n">
        <f aca="false">IF(LEFT(Cockpit!$C$5,1)="A",H1430,IF(CI1430=1,(CL1430+CJ1430)/2,IF(LEFT(Cockpit!$C$5,1)="B",(CL1430+AM1430)/2,MAX((CL1430+AM1430)/2,H1430))))</f>
        <v>58</v>
      </c>
      <c r="AL1430" s="62" t="n">
        <f aca="false">AK1430*G1430</f>
        <v>6751.2</v>
      </c>
      <c r="AM1430" s="62" t="n">
        <f aca="false">ROUNDUP(CL1430+MAX(CM1430,2*(J1430/IF(CH1430&gt;0,CH1430,MAX(0.1,N(Cockpit!$C$6)))-CL1430)),0)</f>
        <v>10</v>
      </c>
      <c r="AN1430" s="63" t="n">
        <f aca="false">IF(AJ1430&gt;0,J1430/AJ1430,-1)</f>
        <v>0.489795918367347</v>
      </c>
      <c r="AO1430" s="63" t="n">
        <f aca="false">IF(AND(OR(CG1430="L1",CG1430="L23",CG1430="LIFT"),AJ1430&gt;0),SUMIFS($AJ$7:$AJ$1843,$CG$7:$CG$1843,CG1430,$AN$7:$AN$1843,"&gt;"&amp;AN1430)+SUMIFS($AJ$7:$AJ$1843,$CG$7:$CG$1843,CG1430,$AN$7:$AN$1843,AN1430,$BX$7:$BX$1843,"&lt;="&amp;BX1430),"")</f>
        <v>9642.67716934666</v>
      </c>
      <c r="AP1430" s="70" t="n">
        <f aca="false">IF(AO1430="",0,MAX(0,MIN(1,(IF(CG1430="L1",Parameter!$H$5,IF(CG1430="L23",Parameter!$H$6+Parameter!$H$7,Parameter!$H$5+Parameter!$H$6+Parameter!$H$7))-(AO1430-AJ1430))/AJ1430)))</f>
        <v>1</v>
      </c>
      <c r="AQ1430" s="62" t="n">
        <f aca="false">IF(LEFT(Cockpit!$I$5,1)="A",H1430,IF(Parameter!$E$30="MAX-Bestand",IF(CI1430=1,CJ1430,IF(LEFT(Cockpit!$I$5,1)="B",AW1430,MAX(AW1430,H1430))),ROUNDUP(AU1430,0)))</f>
        <v>58</v>
      </c>
      <c r="AR1430" s="62" t="n">
        <f aca="false">IF(CA1430=1,0,ROUNDUP(AQ1430/BZ1430,0))</f>
        <v>1</v>
      </c>
      <c r="AS1430" s="64" t="n">
        <f aca="false">IF(CR1430&gt;0,CR1430*MAX(1,AQ1430/X1430),IF(CA1430=1,IF(AQ1430&lt;=0,0,CE1430*MAX(1,IF(H1430&gt;0,AQ1430/H1430,1))),IF(R1430&gt;0,AR1430/R1430,0))/MAX(0.1,N(Parameter!$M$21)))</f>
        <v>0.0833333333333333</v>
      </c>
      <c r="AT1430" s="62" t="n">
        <f aca="false">AS1430*CC1430</f>
        <v>20.4166666666667</v>
      </c>
      <c r="AU1430" s="63" t="n">
        <f aca="false">IF(LEFT(Cockpit!$I$5,1)="A",H1430,IF(CI1430=1,(CL1430+CJ1430)/2,IF(LEFT(Cockpit!$I$5,1)="B",(CL1430+AW1430)/2,MAX((CL1430+AW1430)/2,H1430))))</f>
        <v>58</v>
      </c>
      <c r="AV1430" s="62" t="n">
        <f aca="false">AU1430*G1430</f>
        <v>6751.2</v>
      </c>
      <c r="AW1430" s="62" t="n">
        <f aca="false">ROUNDUP(CL1430+MAX(CM1430,2*(J1430/IF(CH1430&gt;0,CH1430,MAX(0.1,N(Cockpit!$I$6)))-CL1430)),0)</f>
        <v>10</v>
      </c>
      <c r="AX1430" s="63" t="n">
        <f aca="false">IF(AT1430&gt;0,J1430/AT1430,-1)</f>
        <v>0.489795918367347</v>
      </c>
      <c r="AY1430" s="63" t="n">
        <f aca="false">IF(AND(OR(CG1430="L1",CG1430="L23",CG1430="LIFT"),AT1430&gt;0),SUMIFS($AT$7:$AT$1843,$CG$7:$CG$1843,CG1430,$AX$7:$AX$1843,"&gt;"&amp;AX1430)+SUMIFS($AT$7:$AT$1843,$CG$7:$CG$1843,CG1430,$AX$7:$AX$1843,AX1430,$BX$7:$BX$1843,"&lt;="&amp;BX1430),"")</f>
        <v>12056.5137362637</v>
      </c>
      <c r="AZ1430" s="70" t="n">
        <f aca="false">IF(AY1430="",0,MAX(0,MIN(1,(IF(CG1430="L1",Parameter!$H$5,IF(CG1430="L23",Parameter!$H$6+Parameter!$H$7,Parameter!$H$5+Parameter!$H$6+Parameter!$H$7))-(AY1430-AT1430))/AT1430)))</f>
        <v>1</v>
      </c>
      <c r="BA1430" s="62" t="n">
        <f aca="false">IF(LEFT(Cockpit!$O$5,1)="A",H1430,IF(Parameter!$E$30="MAX-Bestand",IF(CI1430=1,CJ1430,IF(LEFT(Cockpit!$O$5,1)="B",BG1430,MAX(BG1430,H1430))),ROUNDUP(BE1430,0)))</f>
        <v>5</v>
      </c>
      <c r="BB1430" s="62" t="n">
        <f aca="false">IF(CA1430=1,0,ROUNDUP(BA1430/BZ1430,0))</f>
        <v>1</v>
      </c>
      <c r="BC1430" s="64" t="n">
        <f aca="false">IF(CR1430&gt;0,CR1430*MAX(1,BA1430/X1430),IF(CA1430=1,IF(BA1430&lt;=0,0,CE1430*MAX(1,IF(H1430&gt;0,BA1430/H1430,1))),IF(R1430&gt;0,BB1430/R1430,0))/MAX(0.1,N(Parameter!$M$21)))</f>
        <v>0.0833333333333333</v>
      </c>
      <c r="BD1430" s="62" t="n">
        <f aca="false">BC1430*CC1430</f>
        <v>20.4166666666667</v>
      </c>
      <c r="BE1430" s="63" t="n">
        <f aca="false">IF(LEFT(Cockpit!$O$5,1)="A",H1430,IF(CI1430=1,(CL1430+CJ1430)/2,IF(LEFT(Cockpit!$O$5,1)="B",(CL1430+BG1430)/2,MAX((CL1430+BG1430)/2,H1430))))</f>
        <v>5</v>
      </c>
      <c r="BF1430" s="62" t="n">
        <f aca="false">BE1430*G1430</f>
        <v>582</v>
      </c>
      <c r="BG1430" s="62" t="n">
        <f aca="false">ROUNDUP(CL1430+MAX(CM1430,2*(J1430/IF(CH1430&gt;0,CH1430,MAX(0.1,N(Cockpit!$O$6)))-CL1430)),0)</f>
        <v>10</v>
      </c>
      <c r="BH1430" s="63" t="n">
        <f aca="false">IF(BD1430&gt;0,J1430/BD1430,-1)</f>
        <v>0.489795918367347</v>
      </c>
      <c r="BI1430" s="63" t="n">
        <f aca="false">IF(AND(OR(CG1430="L1",CG1430="L23",CG1430="LIFT"),BD1430&gt;0),SUMIFS($BD$7:$BD$1843,$CG$7:$CG$1843,CG1430,$BH$7:$BH$1843,"&gt;"&amp;BH1430)+SUMIFS($BD$7:$BD$1843,$CG$7:$CG$1843,CG1430,$BH$7:$BH$1843,BH1430,$BX$7:$BX$1843,"&lt;="&amp;BX1430),"")</f>
        <v>10419.9299450549</v>
      </c>
      <c r="BJ1430" s="70" t="n">
        <f aca="false">IF(BI1430="",0,MAX(0,MIN(1,(IF(CG1430="L1",Parameter!$H$5,IF(CG1430="L23",Parameter!$H$6+Parameter!$H$7,Parameter!$H$5+Parameter!$H$6+Parameter!$H$7))-(BI1430-BD1430))/BD1430)))</f>
        <v>1</v>
      </c>
      <c r="BK1430" s="60" t="str">
        <f aca="false">IF(AJ1430&lt;=0,"",IF(CG1430="Aussen","Aussenlager",IF(CG1430="-","Nicht im Lift",IF(AP1430&gt;=1,"Lift",IF(AP1430&lt;=0,"Aussenlager","teilweise")))))</f>
        <v>Lift</v>
      </c>
      <c r="BL1430" s="60" t="str">
        <f aca="false">IF(AT1430&lt;=0,"",IF(CG1430="Aussen","Aussenlager",IF(CG1430="-","Nicht im Lift",IF(AZ1430&gt;=1,"Lift",IF(AZ1430&lt;=0,"Aussenlager","teilweise")))))</f>
        <v>Lift</v>
      </c>
      <c r="BM1430" s="60" t="str">
        <f aca="false">IF(BD1430&lt;=0,"",IF(CG1430="Aussen","Aussenlager",IF(CG1430="-","Nicht im Lift",IF(BJ1430&gt;=1,"Lift",IF(BJ1430&lt;=0,"Aussenlager","teilweise")))))</f>
        <v>Lift</v>
      </c>
      <c r="BN1430" s="60" t="str">
        <f aca="false">IF(A1430="","",IF(BW1430=1,"Neu; ","")&amp;IF(AND(BW1430=0,BR1430&lt;0),"negativer Bestand (Export "&amp;BR1430&amp;"); ","")&amp;IF(J1430&lt;=0,"Kein Verbrauch; ","")&amp;IF(CR1430&gt;0,"Lift "&amp;W1430&amp;" lt. Liftbericht (Fach "&amp;X1430&amp;" Stk); ",IF(CB1430=1,"Gebinde geschätzt ("&amp;T1430&amp;"); ",IF(CA1430=1,"Lose – Tablare geschätzt; ","")))&amp;IF(H1430&gt;AW1430,"Überbestand "&amp;ROUND(H1430-AW1430,0)&amp;" Stk / CHF "&amp;ROUND((H1430-AW1430)*G1430,0)&amp;"; ","")&amp;IF(AND(CI1430=1,CJ1430&lt;CK1430),"MAX &lt; MB+LG; ","")&amp;IF(AND(CQ1430&gt;0,CP1430*10&gt;CQ1430),"zu hoch für Tablar; ","")&amp;IF(AND(BW1430=0,OR(CI1430=1,AB1430&lt;&gt;"",U1430&lt;&gt;"",V1430&lt;&gt;"",AC1430&lt;&gt;"")),"manuell übersteuert; ","")&amp;IF(AND(CA1430=0,R1430=0),"Gebinde unbekannt / Stellmass fehlt; ","")&amp;IF(AND(CA1430=0,N(V1430)&lt;=0,N(Q1430)&lt;=0),"Menge pro Gebinde fehlt (Ist = 1 Gebinde); ","")&amp;BV1430)</f>
        <v>negativer Bestand (Export -58); Überbestand 48 Stk / CHF 5587; </v>
      </c>
      <c r="BO1430" s="60"/>
      <c r="BP1430" s="60"/>
      <c r="BQ1430" s="67"/>
      <c r="BR1430" s="62" t="n">
        <v>-58</v>
      </c>
      <c r="BS1430" s="62" t="n">
        <v>116</v>
      </c>
      <c r="BT1430" s="61" t="n">
        <v>-6751.2</v>
      </c>
      <c r="BU1430" s="62" t="n">
        <v>10</v>
      </c>
      <c r="BV1430" s="60"/>
      <c r="BW1430" s="65" t="n">
        <v>0</v>
      </c>
      <c r="BX1430" s="65" t="n">
        <v>1430</v>
      </c>
      <c r="BY1430" s="60" t="str">
        <f aca="false">IF(U1430&lt;&gt;"",UPPER(TRIM(U1430)),IF(CB1430=1,UPPER(VLOOKUP(T1430,Parameter!$I$27:$K$29,2,0)),IF(P1430="","LOSE",P1430)))</f>
        <v>S62</v>
      </c>
      <c r="BZ1430" s="62" t="n">
        <f aca="false">IF(BY1430="LOSE",1,IF(N(V1430)&gt;0,V1430,IF(CB1430=1,MAX(1,N(VLOOKUP(T1430,Parameter!$I$27:$K$29,3,0)),H1430,N(N1430)),IF(N(Q1430)&gt;0,Q1430,MAX(1,H1430)))))</f>
        <v>80</v>
      </c>
      <c r="CA1430" s="65" t="n">
        <f aca="false">IF(BY1430="LOSE",1,0)</f>
        <v>0</v>
      </c>
      <c r="CB1430" s="65" t="n">
        <f aca="false">IF(AND(U1430="",OR(P1430="",P1430="LOSE"),T1430&lt;&gt;"",N(S1430)&lt;=0,ISNUMBER(MATCH(T1430,Parameter!$I$27:$I$29,0))),1,0)</f>
        <v>0</v>
      </c>
      <c r="CC1430" s="65" t="n">
        <f aca="false">IF(CR1430&gt;0,INDEX(Parameter!$H$5:$H$7,W1430)/INDEX(Parameter!$E$5:$E$7,W1430),IF(AND(CA1430=0,N(IFERROR(VLOOKUP(BY1430,'Gebinde-Kategorie'!$A$5:$N$45,14,0),0))&gt;0),VLOOKUP(BY1430,'Gebinde-Kategorie'!$A$5:$N$45,14,0)*10+Parameter!$M$23,Parameter!$M$24))</f>
        <v>245</v>
      </c>
      <c r="CD1430" s="60" t="str">
        <f aca="false">IF(AND(Parameter!$B$19="Ja",E1430&lt;&gt;"",ISNUMBER(MATCH(E1430,Parameter!$I$35:$I$52,0))),VLOOKUP(E1430,Parameter!$I$35:$J$52,2,0),IFERROR(VLOOKUP(D1430,Parameter!$A$35:$C$64,2,0),"Nein"))</f>
        <v>2+3</v>
      </c>
      <c r="CE1430" s="64" t="n">
        <f aca="false">IF(CA1430=0,0,IF(N(S1430)&gt;0,S1430,IFERROR(VLOOKUP(D1430,Parameter!$A$35:$C$64,3,0)+0,0)))</f>
        <v>0</v>
      </c>
      <c r="CF1430" s="60" t="n">
        <f aca="false">IF(AB1430&lt;&gt;"",AB1430,AA1430)</f>
        <v>3</v>
      </c>
      <c r="CG1430" s="60" t="str">
        <f aca="false">IF(OR(CF1430=1,CF1430=2,CF1430=3),IF(Parameter!$E$27="Ja","LIFT",IF(CF1430=1,"L1","L23")),IF(CF1430="Aussen","Aussen","-"))</f>
        <v>LIFT</v>
      </c>
      <c r="CH1430" s="71" t="n">
        <f aca="false">IF(N(AC1430)&gt;0,AC1430,0)</f>
        <v>0</v>
      </c>
      <c r="CI1430" s="65" t="n">
        <f aca="false">IF(ISNUMBER(AF1430),1,0)</f>
        <v>0</v>
      </c>
      <c r="CJ1430" s="62" t="n">
        <f aca="false">N(AF1430)</f>
        <v>0</v>
      </c>
      <c r="CK1430" s="62" t="n">
        <f aca="false">N(M1430)+N(N1430)</f>
        <v>10</v>
      </c>
      <c r="CL1430" s="62" t="n">
        <f aca="false">N(M1430)</f>
        <v>0</v>
      </c>
      <c r="CM1430" s="62" t="n">
        <f aca="false">N(N1430)</f>
        <v>10</v>
      </c>
      <c r="CN1430" s="62" t="n">
        <f aca="false">ROUNDUP(H1430/BZ1430,0)</f>
        <v>1</v>
      </c>
      <c r="CO1430" s="62" t="n">
        <f aca="false">ROUNDUP(CJ1430/BZ1430,0)</f>
        <v>0</v>
      </c>
      <c r="CP1430" s="65" t="n">
        <f aca="false">IF(CA1430=1,0,IFERROR(VLOOKUP(BY1430,'Gebinde-Kategorie'!$A$5:$N$45,5,0)+0,0))</f>
        <v>21</v>
      </c>
      <c r="CQ1430" s="65" t="n">
        <f aca="false">IFERROR(IF(OR(CF1430=1,CF1430=2,CF1430=3),N(INDEX(Parameter!$I$5:$I$7,CF1430)),0),0)</f>
        <v>0</v>
      </c>
      <c r="CR1430" s="64" t="n">
        <f aca="false">IF(AND(Parameter!$B$21="Ja",ISNUMBER(W1430),N(X1430)&gt;0),IFERROR(N(INDEX(Parameter!$L$5:$L$7,W1430))*INDEX(Parameter!$E$5:$E$7,W1430)*X1430/SUMIFS($X$7:$X$1843,$W$7:$W$1843,W1430),0),0)</f>
        <v>0</v>
      </c>
      <c r="CS1430" s="62" t="n">
        <f aca="false">IF(AND(OR(CG1430="L1",CG1430="L23",CG1430="LIFT"),H1430&gt;0),CC1430*IF(CR1430&gt;0,CR1430*MAX(1,H1430/X1430),IF(CA1430=1,CE1430,IF(R1430&gt;0,CN1430/R1430,0))/MAX(0.1,N(Parameter!$M$21))),"")</f>
        <v>20.4166666666667</v>
      </c>
      <c r="CT1430" s="64" t="n">
        <f aca="false">IF(CS1430="","",J1430/H1430)</f>
        <v>0.172413793103448</v>
      </c>
      <c r="CU1430" s="62" t="n">
        <f aca="false">IF(CS1430="","",H1430*G1430)</f>
        <v>6751.2</v>
      </c>
      <c r="CV1430" s="63" t="n">
        <f aca="false">IF(CS1430="","",(CL1430+ROUNDUP(CL1430+MAX(CM1430,2*(J1430/MAX(0.1,N(Einkauf!$C$6))-CL1430)),0))/2)</f>
        <v>5</v>
      </c>
      <c r="CW1430" s="62" t="n">
        <f aca="false">IF(CS1430="","",MAX(0,H1430-CV1430)*G1430)</f>
        <v>6169.2</v>
      </c>
      <c r="CX1430" s="62" t="n">
        <f aca="false">IF(CS1430="","",CS1430*MAX(0,1-CV1430/H1430))</f>
        <v>18.6566091954023</v>
      </c>
      <c r="CY1430" s="64" t="n">
        <f aca="false">IF(CS1430="","",PERCENTRANK($CS$7:$CS$1843,CS1430)+PERCENTRANK($CU$7:$CU$1843,CU1430)+1-PERCENTRANK($CT$7:$CT$1843,CT1430))</f>
        <v>2.245</v>
      </c>
      <c r="CZ1430" s="72" t="n">
        <f aca="false">IF(CS1430="","",CHOOSE(MATCH(Einkauf!$C$5,Parameter!$G$23:$G$27,0),CY1430,CS1430,CU1430,-CT1430,CW1430)+ROW()/1000000000)</f>
        <v>2.24500143</v>
      </c>
    </row>
    <row r="1431" customFormat="false" ht="15" hidden="false" customHeight="false" outlineLevel="0" collapsed="false">
      <c r="A1431" s="60" t="s">
        <v>2550</v>
      </c>
      <c r="B1431" s="60" t="s">
        <v>830</v>
      </c>
      <c r="C1431" s="60" t="s">
        <v>206</v>
      </c>
      <c r="D1431" s="60" t="s">
        <v>215</v>
      </c>
      <c r="E1431" s="60" t="s">
        <v>227</v>
      </c>
      <c r="F1431" s="60" t="s">
        <v>260</v>
      </c>
      <c r="G1431" s="61" t="n">
        <v>285.45</v>
      </c>
      <c r="H1431" s="62" t="n">
        <f aca="false">MAX(0,IF(AND(Parameter!$B$21="Ja",ISNUMBER(Y1431)),Y1431,IF(Parameter!$B$20="Jahresanfang 2025 + Export",BS1431+BR1431,BR1431)))</f>
        <v>52</v>
      </c>
      <c r="I1431" s="62" t="n">
        <f aca="false">H1431*G1431</f>
        <v>14843.4</v>
      </c>
      <c r="J1431" s="62" t="n">
        <f aca="false">BU1431*Parameter!$B$18</f>
        <v>310</v>
      </c>
      <c r="K1431" s="63" t="n">
        <v>64</v>
      </c>
      <c r="L1431" s="64" t="n">
        <v>4.84375</v>
      </c>
      <c r="M1431" s="62" t="n">
        <v>18</v>
      </c>
      <c r="N1431" s="62" t="n">
        <v>60</v>
      </c>
      <c r="O1431" s="65" t="n">
        <v>21</v>
      </c>
      <c r="P1431" s="60" t="s">
        <v>216</v>
      </c>
      <c r="Q1431" s="62" t="n">
        <v>112</v>
      </c>
      <c r="R1431" s="65" t="n">
        <f aca="false">IF(CA1431=1,0,IFERROR(VLOOKUP(BY1431,'Gebinde-Kategorie'!$A$5:$N$45,13,0)+0,0))</f>
        <v>6</v>
      </c>
      <c r="S1431" s="66"/>
      <c r="T1431" s="67"/>
      <c r="U1431" s="67"/>
      <c r="V1431" s="67"/>
      <c r="W1431" s="60"/>
      <c r="X1431" s="62"/>
      <c r="Y1431" s="62"/>
      <c r="Z1431" s="60" t="n">
        <v>1</v>
      </c>
      <c r="AA1431" s="60" t="n">
        <f aca="false">IF(A1431="","",IF(AND(Parameter!$B$21="Ja",ISNUMBER(W1431)),W1431,IF(AND(Parameter!$E$27="Ja",ISNUMBER(Z1431),CD1431&lt;&gt;"Nein"),Z1431,IF(CD1431="2+3",IF(ISNUMBER(SEARCH("grosser Artikel",BV1431)),2,IFERROR(VLOOKUP(BY1431,Parameter!$F$35:$G$64,2,0),2)),IF(OR(CD1431="Nein",CD1431=""),"-",CD1431)))))</f>
        <v>1</v>
      </c>
      <c r="AB1431" s="67"/>
      <c r="AC1431" s="68"/>
      <c r="AD1431" s="62" t="n">
        <f aca="false">AW1431</f>
        <v>189</v>
      </c>
      <c r="AE1431" s="62" t="n">
        <f aca="false">MAX(AW1431,H1431)</f>
        <v>189</v>
      </c>
      <c r="AF1431" s="69"/>
      <c r="AG1431" s="62" t="n">
        <f aca="false">IF(LEFT(Cockpit!$C$5,1)="A",H1431,IF(Parameter!$E$30="MAX-Bestand",IF(CI1431=1,CJ1431,IF(LEFT(Cockpit!$C$5,1)="B",AM1431,MAX(AM1431,H1431))),ROUNDUP(AK1431,0)))</f>
        <v>52</v>
      </c>
      <c r="AH1431" s="62" t="n">
        <f aca="false">IF(CA1431=1,0,ROUNDUP(AG1431/BZ1431,0))</f>
        <v>1</v>
      </c>
      <c r="AI1431" s="64" t="n">
        <f aca="false">IF(CR1431&gt;0,CR1431*MAX(1,AG1431/X1431),IF(CA1431=1,IF(AG1431&lt;=0,0,CE1431*MAX(1,IF(H1431&gt;0,AG1431/H1431,1))),IF(R1431&gt;0,AH1431/R1431,0))/MAX(0.1,N(Parameter!$M$21)))</f>
        <v>0.166666666666667</v>
      </c>
      <c r="AJ1431" s="62" t="n">
        <f aca="false">AI1431*CC1431</f>
        <v>39.1666666666667</v>
      </c>
      <c r="AK1431" s="63" t="n">
        <f aca="false">IF(LEFT(Cockpit!$C$5,1)="A",H1431,IF(CI1431=1,(CL1431+CJ1431)/2,IF(LEFT(Cockpit!$C$5,1)="B",(CL1431+AM1431)/2,MAX((CL1431+AM1431)/2,H1431))))</f>
        <v>52</v>
      </c>
      <c r="AL1431" s="62" t="n">
        <f aca="false">AK1431*G1431</f>
        <v>14843.4</v>
      </c>
      <c r="AM1431" s="62" t="n">
        <f aca="false">ROUNDUP(CL1431+MAX(CM1431,2*(J1431/IF(CH1431&gt;0,CH1431,MAX(0.1,N(Cockpit!$C$6)))-CL1431)),0)</f>
        <v>189</v>
      </c>
      <c r="AN1431" s="63" t="n">
        <f aca="false">IF(AJ1431&gt;0,J1431/AJ1431,-1)</f>
        <v>7.91489361702128</v>
      </c>
      <c r="AO1431" s="63" t="n">
        <f aca="false">IF(AND(OR(CG1431="L1",CG1431="L23",CG1431="LIFT"),AJ1431&gt;0),SUMIFS($AJ$7:$AJ$1843,$CG$7:$CG$1843,CG1431,$AN$7:$AN$1843,"&gt;"&amp;AN1431)+SUMIFS($AJ$7:$AJ$1843,$CG$7:$CG$1843,CG1431,$AN$7:$AN$1843,AN1431,$BX$7:$BX$1843,"&lt;="&amp;BX1431),"")</f>
        <v>3088.76923076923</v>
      </c>
      <c r="AP1431" s="70" t="n">
        <f aca="false">IF(AO1431="",0,MAX(0,MIN(1,(IF(CG1431="L1",Parameter!$H$5,IF(CG1431="L23",Parameter!$H$6+Parameter!$H$7,Parameter!$H$5+Parameter!$H$6+Parameter!$H$7))-(AO1431-AJ1431))/AJ1431)))</f>
        <v>1</v>
      </c>
      <c r="AQ1431" s="62" t="n">
        <f aca="false">IF(LEFT(Cockpit!$I$5,1)="A",H1431,IF(Parameter!$E$30="MAX-Bestand",IF(CI1431=1,CJ1431,IF(LEFT(Cockpit!$I$5,1)="B",AW1431,MAX(AW1431,H1431))),ROUNDUP(AU1431,0)))</f>
        <v>104</v>
      </c>
      <c r="AR1431" s="62" t="n">
        <f aca="false">IF(CA1431=1,0,ROUNDUP(AQ1431/BZ1431,0))</f>
        <v>1</v>
      </c>
      <c r="AS1431" s="64" t="n">
        <f aca="false">IF(CR1431&gt;0,CR1431*MAX(1,AQ1431/X1431),IF(CA1431=1,IF(AQ1431&lt;=0,0,CE1431*MAX(1,IF(H1431&gt;0,AQ1431/H1431,1))),IF(R1431&gt;0,AR1431/R1431,0))/MAX(0.1,N(Parameter!$M$21)))</f>
        <v>0.166666666666667</v>
      </c>
      <c r="AT1431" s="62" t="n">
        <f aca="false">AS1431*CC1431</f>
        <v>39.1666666666667</v>
      </c>
      <c r="AU1431" s="63" t="n">
        <f aca="false">IF(LEFT(Cockpit!$I$5,1)="A",H1431,IF(CI1431=1,(CL1431+CJ1431)/2,IF(LEFT(Cockpit!$I$5,1)="B",(CL1431+AW1431)/2,MAX((CL1431+AW1431)/2,H1431))))</f>
        <v>103.5</v>
      </c>
      <c r="AV1431" s="62" t="n">
        <f aca="false">AU1431*G1431</f>
        <v>29544.075</v>
      </c>
      <c r="AW1431" s="62" t="n">
        <f aca="false">ROUNDUP(CL1431+MAX(CM1431,2*(J1431/IF(CH1431&gt;0,CH1431,MAX(0.1,N(Cockpit!$I$6)))-CL1431)),0)</f>
        <v>189</v>
      </c>
      <c r="AX1431" s="63" t="n">
        <f aca="false">IF(AT1431&gt;0,J1431/AT1431,-1)</f>
        <v>7.91489361702128</v>
      </c>
      <c r="AY1431" s="63" t="n">
        <f aca="false">IF(AND(OR(CG1431="L1",CG1431="L23",CG1431="LIFT"),AT1431&gt;0),SUMIFS($AT$7:$AT$1843,$CG$7:$CG$1843,CG1431,$AX$7:$AX$1843,"&gt;"&amp;AX1431)+SUMIFS($AT$7:$AT$1843,$CG$7:$CG$1843,CG1431,$AX$7:$AX$1843,AX1431,$BX$7:$BX$1843,"&lt;="&amp;BX1431),"")</f>
        <v>3712.83058608059</v>
      </c>
      <c r="AZ1431" s="70" t="n">
        <f aca="false">IF(AY1431="",0,MAX(0,MIN(1,(IF(CG1431="L1",Parameter!$H$5,IF(CG1431="L23",Parameter!$H$6+Parameter!$H$7,Parameter!$H$5+Parameter!$H$6+Parameter!$H$7))-(AY1431-AT1431))/AT1431)))</f>
        <v>1</v>
      </c>
      <c r="BA1431" s="62" t="n">
        <f aca="false">IF(LEFT(Cockpit!$O$5,1)="A",H1431,IF(Parameter!$E$30="MAX-Bestand",IF(CI1431=1,CJ1431,IF(LEFT(Cockpit!$O$5,1)="B",BG1431,MAX(BG1431,H1431))),ROUNDUP(BE1431,0)))</f>
        <v>78</v>
      </c>
      <c r="BB1431" s="62" t="n">
        <f aca="false">IF(CA1431=1,0,ROUNDUP(BA1431/BZ1431,0))</f>
        <v>1</v>
      </c>
      <c r="BC1431" s="64" t="n">
        <f aca="false">IF(CR1431&gt;0,CR1431*MAX(1,BA1431/X1431),IF(CA1431=1,IF(BA1431&lt;=0,0,CE1431*MAX(1,IF(H1431&gt;0,BA1431/H1431,1))),IF(R1431&gt;0,BB1431/R1431,0))/MAX(0.1,N(Parameter!$M$21)))</f>
        <v>0.166666666666667</v>
      </c>
      <c r="BD1431" s="62" t="n">
        <f aca="false">BC1431*CC1431</f>
        <v>39.1666666666667</v>
      </c>
      <c r="BE1431" s="63" t="n">
        <f aca="false">IF(LEFT(Cockpit!$O$5,1)="A",H1431,IF(CI1431=1,(CL1431+CJ1431)/2,IF(LEFT(Cockpit!$O$5,1)="B",(CL1431+BG1431)/2,MAX((CL1431+BG1431)/2,H1431))))</f>
        <v>77.5</v>
      </c>
      <c r="BF1431" s="62" t="n">
        <f aca="false">BE1431*G1431</f>
        <v>22122.375</v>
      </c>
      <c r="BG1431" s="62" t="n">
        <f aca="false">ROUNDUP(CL1431+MAX(CM1431,2*(J1431/IF(CH1431&gt;0,CH1431,MAX(0.1,N(Cockpit!$O$6)))-CL1431)),0)</f>
        <v>137</v>
      </c>
      <c r="BH1431" s="63" t="n">
        <f aca="false">IF(BD1431&gt;0,J1431/BD1431,-1)</f>
        <v>7.91489361702128</v>
      </c>
      <c r="BI1431" s="63" t="n">
        <f aca="false">IF(AND(OR(CG1431="L1",CG1431="L23",CG1431="LIFT"),BD1431&gt;0),SUMIFS($BD$7:$BD$1843,$CG$7:$CG$1843,CG1431,$BH$7:$BH$1843,"&gt;"&amp;BH1431)+SUMIFS($BD$7:$BD$1843,$CG$7:$CG$1843,CG1431,$BH$7:$BH$1843,BH1431,$BX$7:$BX$1843,"&lt;="&amp;BX1431),"")</f>
        <v>3074.20009157509</v>
      </c>
      <c r="BJ1431" s="70" t="n">
        <f aca="false">IF(BI1431="",0,MAX(0,MIN(1,(IF(CG1431="L1",Parameter!$H$5,IF(CG1431="L23",Parameter!$H$6+Parameter!$H$7,Parameter!$H$5+Parameter!$H$6+Parameter!$H$7))-(BI1431-BD1431))/BD1431)))</f>
        <v>1</v>
      </c>
      <c r="BK1431" s="60" t="str">
        <f aca="false">IF(AJ1431&lt;=0,"",IF(CG1431="Aussen","Aussenlager",IF(CG1431="-","Nicht im Lift",IF(AP1431&gt;=1,"Lift",IF(AP1431&lt;=0,"Aussenlager","teilweise")))))</f>
        <v>Lift</v>
      </c>
      <c r="BL1431" s="60" t="str">
        <f aca="false">IF(AT1431&lt;=0,"",IF(CG1431="Aussen","Aussenlager",IF(CG1431="-","Nicht im Lift",IF(AZ1431&gt;=1,"Lift",IF(AZ1431&lt;=0,"Aussenlager","teilweise")))))</f>
        <v>Lift</v>
      </c>
      <c r="BM1431" s="60" t="str">
        <f aca="false">IF(BD1431&lt;=0,"",IF(CG1431="Aussen","Aussenlager",IF(CG1431="-","Nicht im Lift",IF(BJ1431&gt;=1,"Lift",IF(BJ1431&lt;=0,"Aussenlager","teilweise")))))</f>
        <v>Lift</v>
      </c>
      <c r="BN1431" s="60" t="str">
        <f aca="false">IF(A1431="","",IF(BW1431=1,"Neu; ","")&amp;IF(AND(BW1431=0,BR1431&lt;0),"negativer Bestand (Export "&amp;BR1431&amp;"); ","")&amp;IF(J1431&lt;=0,"Kein Verbrauch; ","")&amp;IF(CR1431&gt;0,"Lift "&amp;W1431&amp;" lt. Liftbericht (Fach "&amp;X1431&amp;" Stk); ",IF(CB1431=1,"Gebinde geschätzt ("&amp;T1431&amp;"); ",IF(CA1431=1,"Lose – Tablare geschätzt; ","")))&amp;IF(H1431&gt;AW1431,"Überbestand "&amp;ROUND(H1431-AW1431,0)&amp;" Stk / CHF "&amp;ROUND((H1431-AW1431)*G1431,0)&amp;"; ","")&amp;IF(AND(CI1431=1,CJ1431&lt;CK1431),"MAX &lt; MB+LG; ","")&amp;IF(AND(CQ1431&gt;0,CP1431*10&gt;CQ1431),"zu hoch für Tablar; ","")&amp;IF(AND(BW1431=0,OR(CI1431=1,AB1431&lt;&gt;"",U1431&lt;&gt;"",V1431&lt;&gt;"",AC1431&lt;&gt;"")),"manuell übersteuert; ","")&amp;IF(AND(CA1431=0,R1431=0),"Gebinde unbekannt / Stellmass fehlt; ","")&amp;IF(AND(CA1431=0,N(V1431)&lt;=0,N(Q1431)&lt;=0),"Menge pro Gebinde fehlt (Ist = 1 Gebinde); ","")&amp;BV1431)</f>
        <v>negativer Bestand (Export -14); grosser Artikel &amp; nicht im KTL</v>
      </c>
      <c r="BO1431" s="60"/>
      <c r="BP1431" s="60"/>
      <c r="BQ1431" s="67"/>
      <c r="BR1431" s="62" t="n">
        <v>-14</v>
      </c>
      <c r="BS1431" s="62" t="n">
        <v>66</v>
      </c>
      <c r="BT1431" s="61" t="n">
        <v>-6931.97999999999</v>
      </c>
      <c r="BU1431" s="62" t="n">
        <v>310</v>
      </c>
      <c r="BV1431" s="60" t="s">
        <v>303</v>
      </c>
      <c r="BW1431" s="65" t="n">
        <v>0</v>
      </c>
      <c r="BX1431" s="65" t="n">
        <v>1431</v>
      </c>
      <c r="BY1431" s="60" t="str">
        <f aca="false">IF(U1431&lt;&gt;"",UPPER(TRIM(U1431)),IF(CB1431=1,UPPER(VLOOKUP(T1431,Parameter!$I$27:$K$29,2,0)),IF(P1431="","LOSE",P1431)))</f>
        <v>S71</v>
      </c>
      <c r="BZ1431" s="62" t="n">
        <f aca="false">IF(BY1431="LOSE",1,IF(N(V1431)&gt;0,V1431,IF(CB1431=1,MAX(1,N(VLOOKUP(T1431,Parameter!$I$27:$K$29,3,0)),H1431,N(N1431)),IF(N(Q1431)&gt;0,Q1431,MAX(1,H1431)))))</f>
        <v>112</v>
      </c>
      <c r="CA1431" s="65" t="n">
        <f aca="false">IF(BY1431="LOSE",1,0)</f>
        <v>0</v>
      </c>
      <c r="CB1431" s="65" t="n">
        <f aca="false">IF(AND(U1431="",OR(P1431="",P1431="LOSE"),T1431&lt;&gt;"",N(S1431)&lt;=0,ISNUMBER(MATCH(T1431,Parameter!$I$27:$I$29,0))),1,0)</f>
        <v>0</v>
      </c>
      <c r="CC1431" s="65" t="n">
        <f aca="false">IF(CR1431&gt;0,INDEX(Parameter!$H$5:$H$7,W1431)/INDEX(Parameter!$E$5:$E$7,W1431),IF(AND(CA1431=0,N(IFERROR(VLOOKUP(BY1431,'Gebinde-Kategorie'!$A$5:$N$45,14,0),0))&gt;0),VLOOKUP(BY1431,'Gebinde-Kategorie'!$A$5:$N$45,14,0)*10+Parameter!$M$23,Parameter!$M$24))</f>
        <v>235</v>
      </c>
      <c r="CD1431" s="60" t="str">
        <f aca="false">IF(AND(Parameter!$B$19="Ja",E1431&lt;&gt;"",ISNUMBER(MATCH(E1431,Parameter!$I$35:$I$52,0))),VLOOKUP(E1431,Parameter!$I$35:$J$52,2,0),IFERROR(VLOOKUP(D1431,Parameter!$A$35:$C$64,2,0),"Nein"))</f>
        <v>2+3</v>
      </c>
      <c r="CE1431" s="64" t="n">
        <f aca="false">IF(CA1431=0,0,IF(N(S1431)&gt;0,S1431,IFERROR(VLOOKUP(D1431,Parameter!$A$35:$C$64,3,0)+0,0)))</f>
        <v>0</v>
      </c>
      <c r="CF1431" s="60" t="n">
        <f aca="false">IF(AB1431&lt;&gt;"",AB1431,AA1431)</f>
        <v>1</v>
      </c>
      <c r="CG1431" s="60" t="str">
        <f aca="false">IF(OR(CF1431=1,CF1431=2,CF1431=3),IF(Parameter!$E$27="Ja","LIFT",IF(CF1431=1,"L1","L23")),IF(CF1431="Aussen","Aussen","-"))</f>
        <v>LIFT</v>
      </c>
      <c r="CH1431" s="71" t="n">
        <f aca="false">IF(N(AC1431)&gt;0,AC1431,0)</f>
        <v>0</v>
      </c>
      <c r="CI1431" s="65" t="n">
        <f aca="false">IF(ISNUMBER(AF1431),1,0)</f>
        <v>0</v>
      </c>
      <c r="CJ1431" s="62" t="n">
        <f aca="false">N(AF1431)</f>
        <v>0</v>
      </c>
      <c r="CK1431" s="62" t="n">
        <f aca="false">N(M1431)+N(N1431)</f>
        <v>78</v>
      </c>
      <c r="CL1431" s="62" t="n">
        <f aca="false">N(M1431)</f>
        <v>18</v>
      </c>
      <c r="CM1431" s="62" t="n">
        <f aca="false">N(N1431)</f>
        <v>60</v>
      </c>
      <c r="CN1431" s="62" t="n">
        <f aca="false">ROUNDUP(H1431/BZ1431,0)</f>
        <v>1</v>
      </c>
      <c r="CO1431" s="62" t="n">
        <f aca="false">ROUNDUP(CJ1431/BZ1431,0)</f>
        <v>0</v>
      </c>
      <c r="CP1431" s="65" t="n">
        <f aca="false">IF(CA1431=1,0,IFERROR(VLOOKUP(BY1431,'Gebinde-Kategorie'!$A$5:$N$45,5,0)+0,0))</f>
        <v>20</v>
      </c>
      <c r="CQ1431" s="65" t="n">
        <f aca="false">IFERROR(IF(OR(CF1431=1,CF1431=2,CF1431=3),N(INDEX(Parameter!$I$5:$I$7,CF1431)),0),0)</f>
        <v>0</v>
      </c>
      <c r="CR1431" s="64" t="n">
        <f aca="false">IF(AND(Parameter!$B$21="Ja",ISNUMBER(W1431),N(X1431)&gt;0),IFERROR(N(INDEX(Parameter!$L$5:$L$7,W1431))*INDEX(Parameter!$E$5:$E$7,W1431)*X1431/SUMIFS($X$7:$X$1843,$W$7:$W$1843,W1431),0),0)</f>
        <v>0</v>
      </c>
      <c r="CS1431" s="62" t="n">
        <f aca="false">IF(AND(OR(CG1431="L1",CG1431="L23",CG1431="LIFT"),H1431&gt;0),CC1431*IF(CR1431&gt;0,CR1431*MAX(1,H1431/X1431),IF(CA1431=1,CE1431,IF(R1431&gt;0,CN1431/R1431,0))/MAX(0.1,N(Parameter!$M$21))),"")</f>
        <v>39.1666666666667</v>
      </c>
      <c r="CT1431" s="64" t="n">
        <f aca="false">IF(CS1431="","",J1431/H1431)</f>
        <v>5.96153846153846</v>
      </c>
      <c r="CU1431" s="62" t="n">
        <f aca="false">IF(CS1431="","",H1431*G1431)</f>
        <v>14843.4</v>
      </c>
      <c r="CV1431" s="63" t="n">
        <f aca="false">IF(CS1431="","",(CL1431+ROUNDUP(CL1431+MAX(CM1431,2*(J1431/MAX(0.1,N(Einkauf!$C$6))-CL1431)),0))/2)</f>
        <v>77.5</v>
      </c>
      <c r="CW1431" s="62" t="n">
        <f aca="false">IF(CS1431="","",MAX(0,H1431-CV1431)*G1431)</f>
        <v>0</v>
      </c>
      <c r="CX1431" s="62" t="n">
        <f aca="false">IF(CS1431="","",CS1431*MAX(0,1-CV1431/H1431))</f>
        <v>0</v>
      </c>
      <c r="CY1431" s="64" t="n">
        <f aca="false">IF(CS1431="","",PERCENTRANK($CS$7:$CS$1843,CS1431)+PERCENTRANK($CU$7:$CU$1843,CU1431)+1-PERCENTRANK($CT$7:$CT$1843,CT1431))</f>
        <v>1.859</v>
      </c>
      <c r="CZ1431" s="72" t="n">
        <f aca="false">IF(CS1431="","",CHOOSE(MATCH(Einkauf!$C$5,Parameter!$G$23:$G$27,0),CY1431,CS1431,CU1431,-CT1431,CW1431)+ROW()/1000000000)</f>
        <v>1.859001431</v>
      </c>
    </row>
    <row r="1432" customFormat="false" ht="15" hidden="false" customHeight="false" outlineLevel="0" collapsed="false">
      <c r="A1432" s="60" t="s">
        <v>2551</v>
      </c>
      <c r="B1432" s="60" t="s">
        <v>205</v>
      </c>
      <c r="C1432" s="60" t="s">
        <v>206</v>
      </c>
      <c r="D1432" s="60" t="s">
        <v>207</v>
      </c>
      <c r="E1432" s="60" t="s">
        <v>208</v>
      </c>
      <c r="F1432" s="60" t="s">
        <v>260</v>
      </c>
      <c r="G1432" s="61" t="n">
        <v>2330</v>
      </c>
      <c r="H1432" s="62" t="n">
        <f aca="false">MAX(0,IF(AND(Parameter!$B$21="Ja",ISNUMBER(Y1432)),Y1432,IF(Parameter!$B$20="Jahresanfang 2025 + Export",BS1432+BR1432,BR1432)))</f>
        <v>1</v>
      </c>
      <c r="I1432" s="62" t="n">
        <f aca="false">H1432*G1432</f>
        <v>2330</v>
      </c>
      <c r="J1432" s="62" t="n">
        <f aca="false">BU1432*Parameter!$B$18</f>
        <v>1</v>
      </c>
      <c r="K1432" s="63" t="n">
        <v>3.5</v>
      </c>
      <c r="L1432" s="64" t="n">
        <v>0.285714285714286</v>
      </c>
      <c r="M1432" s="62" t="n">
        <v>0</v>
      </c>
      <c r="N1432" s="62" t="n">
        <v>1</v>
      </c>
      <c r="O1432" s="65" t="n">
        <v>58</v>
      </c>
      <c r="P1432" s="60" t="s">
        <v>210</v>
      </c>
      <c r="Q1432" s="62"/>
      <c r="R1432" s="65" t="n">
        <f aca="false">IF(CA1432=1,0,IFERROR(VLOOKUP(BY1432,'Gebinde-Kategorie'!$A$5:$N$45,13,0)+0,0))</f>
        <v>0</v>
      </c>
      <c r="S1432" s="66"/>
      <c r="T1432" s="67"/>
      <c r="U1432" s="67"/>
      <c r="V1432" s="67"/>
      <c r="W1432" s="60" t="n">
        <v>1</v>
      </c>
      <c r="X1432" s="62" t="n">
        <v>3</v>
      </c>
      <c r="Y1432" s="62" t="n">
        <v>1</v>
      </c>
      <c r="Z1432" s="60" t="n">
        <v>1</v>
      </c>
      <c r="AA1432" s="60" t="n">
        <f aca="false">IF(A1432="","",IF(AND(Parameter!$B$21="Ja",ISNUMBER(W1432)),W1432,IF(AND(Parameter!$E$27="Ja",ISNUMBER(Z1432),CD1432&lt;&gt;"Nein"),Z1432,IF(CD1432="2+3",IF(ISNUMBER(SEARCH("grosser Artikel",BV1432)),2,IFERROR(VLOOKUP(BY1432,Parameter!$F$35:$G$64,2,0),2)),IF(OR(CD1432="Nein",CD1432=""),"-",CD1432)))))</f>
        <v>1</v>
      </c>
      <c r="AB1432" s="67"/>
      <c r="AC1432" s="68"/>
      <c r="AD1432" s="62" t="n">
        <f aca="false">AW1432</f>
        <v>1</v>
      </c>
      <c r="AE1432" s="62" t="n">
        <f aca="false">MAX(AW1432,H1432)</f>
        <v>1</v>
      </c>
      <c r="AF1432" s="69"/>
      <c r="AG1432" s="62" t="n">
        <f aca="false">IF(LEFT(Cockpit!$C$5,1)="A",H1432,IF(Parameter!$E$30="MAX-Bestand",IF(CI1432=1,CJ1432,IF(LEFT(Cockpit!$C$5,1)="B",AM1432,MAX(AM1432,H1432))),ROUNDUP(AK1432,0)))</f>
        <v>1</v>
      </c>
      <c r="AH1432" s="62" t="n">
        <f aca="false">IF(CA1432=1,0,ROUNDUP(AG1432/BZ1432,0))</f>
        <v>0</v>
      </c>
      <c r="AI1432" s="64" t="n">
        <f aca="false">IF(CR1432&gt;0,CR1432*MAX(1,AG1432/X1432),IF(CA1432=1,IF(AG1432&lt;=0,0,CE1432*MAX(1,IF(H1432&gt;0,AG1432/H1432,1))),IF(R1432&gt;0,AH1432/R1432,0))/MAX(0.1,N(Parameter!$M$21)))</f>
        <v>0.240112994350283</v>
      </c>
      <c r="AJ1432" s="62" t="n">
        <f aca="false">AI1432*CC1432</f>
        <v>57.1468926553672</v>
      </c>
      <c r="AK1432" s="63" t="n">
        <f aca="false">IF(LEFT(Cockpit!$C$5,1)="A",H1432,IF(CI1432=1,(CL1432+CJ1432)/2,IF(LEFT(Cockpit!$C$5,1)="B",(CL1432+AM1432)/2,MAX((CL1432+AM1432)/2,H1432))))</f>
        <v>1</v>
      </c>
      <c r="AL1432" s="62" t="n">
        <f aca="false">AK1432*G1432</f>
        <v>2330</v>
      </c>
      <c r="AM1432" s="62" t="n">
        <f aca="false">ROUNDUP(CL1432+MAX(CM1432,2*(J1432/IF(CH1432&gt;0,CH1432,MAX(0.1,N(Cockpit!$C$6)))-CL1432)),0)</f>
        <v>1</v>
      </c>
      <c r="AN1432" s="63" t="n">
        <f aca="false">IF(AJ1432&gt;0,J1432/AJ1432,-1)</f>
        <v>0.017498764211567</v>
      </c>
      <c r="AO1432" s="63" t="n">
        <f aca="false">IF(AND(OR(CG1432="L1",CG1432="L23",CG1432="LIFT"),AJ1432&gt;0),SUMIFS($AJ$7:$AJ$1843,$CG$7:$CG$1843,CG1432,$AN$7:$AN$1843,"&gt;"&amp;AN1432)+SUMIFS($AJ$7:$AJ$1843,$CG$7:$CG$1843,CG1432,$AN$7:$AN$1843,AN1432,$BX$7:$BX$1843,"&lt;="&amp;BX1432),"")</f>
        <v>23587.1708858467</v>
      </c>
      <c r="AP1432" s="70" t="n">
        <f aca="false">IF(AO1432="",0,MAX(0,MIN(1,(IF(CG1432="L1",Parameter!$H$5,IF(CG1432="L23",Parameter!$H$6+Parameter!$H$7,Parameter!$H$5+Parameter!$H$6+Parameter!$H$7))-(AO1432-AJ1432))/AJ1432)))</f>
        <v>1</v>
      </c>
      <c r="AQ1432" s="62" t="n">
        <f aca="false">IF(LEFT(Cockpit!$I$5,1)="A",H1432,IF(Parameter!$E$30="MAX-Bestand",IF(CI1432=1,CJ1432,IF(LEFT(Cockpit!$I$5,1)="B",AW1432,MAX(AW1432,H1432))),ROUNDUP(AU1432,0)))</f>
        <v>1</v>
      </c>
      <c r="AR1432" s="62" t="n">
        <f aca="false">IF(CA1432=1,0,ROUNDUP(AQ1432/BZ1432,0))</f>
        <v>0</v>
      </c>
      <c r="AS1432" s="64" t="n">
        <f aca="false">IF(CR1432&gt;0,CR1432*MAX(1,AQ1432/X1432),IF(CA1432=1,IF(AQ1432&lt;=0,0,CE1432*MAX(1,IF(H1432&gt;0,AQ1432/H1432,1))),IF(R1432&gt;0,AR1432/R1432,0))/MAX(0.1,N(Parameter!$M$21)))</f>
        <v>0.240112994350283</v>
      </c>
      <c r="AT1432" s="62" t="n">
        <f aca="false">AS1432*CC1432</f>
        <v>57.1468926553672</v>
      </c>
      <c r="AU1432" s="63" t="n">
        <f aca="false">IF(LEFT(Cockpit!$I$5,1)="A",H1432,IF(CI1432=1,(CL1432+CJ1432)/2,IF(LEFT(Cockpit!$I$5,1)="B",(CL1432+AW1432)/2,MAX((CL1432+AW1432)/2,H1432))))</f>
        <v>1</v>
      </c>
      <c r="AV1432" s="62" t="n">
        <f aca="false">AU1432*G1432</f>
        <v>2330</v>
      </c>
      <c r="AW1432" s="62" t="n">
        <f aca="false">ROUNDUP(CL1432+MAX(CM1432,2*(J1432/IF(CH1432&gt;0,CH1432,MAX(0.1,N(Cockpit!$I$6)))-CL1432)),0)</f>
        <v>1</v>
      </c>
      <c r="AX1432" s="63" t="n">
        <f aca="false">IF(AT1432&gt;0,J1432/AT1432,-1)</f>
        <v>0.017498764211567</v>
      </c>
      <c r="AY1432" s="63" t="n">
        <f aca="false">IF(AND(OR(CG1432="L1",CG1432="L23",CG1432="LIFT"),AT1432&gt;0),SUMIFS($AT$7:$AT$1843,$CG$7:$CG$1843,CG1432,$AX$7:$AX$1843,"&gt;"&amp;AX1432)+SUMIFS($AT$7:$AT$1843,$CG$7:$CG$1843,CG1432,$AX$7:$AX$1843,AX1432,$BX$7:$BX$1843,"&lt;="&amp;BX1432),"")</f>
        <v>28822.8195272242</v>
      </c>
      <c r="AZ1432" s="70" t="n">
        <f aca="false">IF(AY1432="",0,MAX(0,MIN(1,(IF(CG1432="L1",Parameter!$H$5,IF(CG1432="L23",Parameter!$H$6+Parameter!$H$7,Parameter!$H$5+Parameter!$H$6+Parameter!$H$7))-(AY1432-AT1432))/AT1432)))</f>
        <v>1</v>
      </c>
      <c r="BA1432" s="62" t="n">
        <f aca="false">IF(LEFT(Cockpit!$O$5,1)="A",H1432,IF(Parameter!$E$30="MAX-Bestand",IF(CI1432=1,CJ1432,IF(LEFT(Cockpit!$O$5,1)="B",BG1432,MAX(BG1432,H1432))),ROUNDUP(BE1432,0)))</f>
        <v>1</v>
      </c>
      <c r="BB1432" s="62" t="n">
        <f aca="false">IF(CA1432=1,0,ROUNDUP(BA1432/BZ1432,0))</f>
        <v>0</v>
      </c>
      <c r="BC1432" s="64" t="n">
        <f aca="false">IF(CR1432&gt;0,CR1432*MAX(1,BA1432/X1432),IF(CA1432=1,IF(BA1432&lt;=0,0,CE1432*MAX(1,IF(H1432&gt;0,BA1432/H1432,1))),IF(R1432&gt;0,BB1432/R1432,0))/MAX(0.1,N(Parameter!$M$21)))</f>
        <v>0.240112994350283</v>
      </c>
      <c r="BD1432" s="62" t="n">
        <f aca="false">BC1432*CC1432</f>
        <v>57.1468926553672</v>
      </c>
      <c r="BE1432" s="63" t="n">
        <f aca="false">IF(LEFT(Cockpit!$O$5,1)="A",H1432,IF(CI1432=1,(CL1432+CJ1432)/2,IF(LEFT(Cockpit!$O$5,1)="B",(CL1432+BG1432)/2,MAX((CL1432+BG1432)/2,H1432))))</f>
        <v>0.5</v>
      </c>
      <c r="BF1432" s="62" t="n">
        <f aca="false">BE1432*G1432</f>
        <v>1165</v>
      </c>
      <c r="BG1432" s="62" t="n">
        <f aca="false">ROUNDUP(CL1432+MAX(CM1432,2*(J1432/IF(CH1432&gt;0,CH1432,MAX(0.1,N(Cockpit!$O$6)))-CL1432)),0)</f>
        <v>1</v>
      </c>
      <c r="BH1432" s="63" t="n">
        <f aca="false">IF(BD1432&gt;0,J1432/BD1432,-1)</f>
        <v>0.017498764211567</v>
      </c>
      <c r="BI1432" s="63" t="n">
        <f aca="false">IF(AND(OR(CG1432="L1",CG1432="L23",CG1432="LIFT"),BD1432&gt;0),SUMIFS($BD$7:$BD$1843,$CG$7:$CG$1843,CG1432,$BH$7:$BH$1843,"&gt;"&amp;BH1432)+SUMIFS($BD$7:$BD$1843,$CG$7:$CG$1843,CG1432,$BH$7:$BH$1843,BH1432,$BX$7:$BX$1843,"&lt;="&amp;BX1432),"")</f>
        <v>24368.5680371888</v>
      </c>
      <c r="BJ1432" s="70" t="n">
        <f aca="false">IF(BI1432="",0,MAX(0,MIN(1,(IF(CG1432="L1",Parameter!$H$5,IF(CG1432="L23",Parameter!$H$6+Parameter!$H$7,Parameter!$H$5+Parameter!$H$6+Parameter!$H$7))-(BI1432-BD1432))/BD1432)))</f>
        <v>1</v>
      </c>
      <c r="BK1432" s="60" t="str">
        <f aca="false">IF(AJ1432&lt;=0,"",IF(CG1432="Aussen","Aussenlager",IF(CG1432="-","Nicht im Lift",IF(AP1432&gt;=1,"Lift",IF(AP1432&lt;=0,"Aussenlager","teilweise")))))</f>
        <v>Lift</v>
      </c>
      <c r="BL1432" s="60" t="str">
        <f aca="false">IF(AT1432&lt;=0,"",IF(CG1432="Aussen","Aussenlager",IF(CG1432="-","Nicht im Lift",IF(AZ1432&gt;=1,"Lift",IF(AZ1432&lt;=0,"Aussenlager","teilweise")))))</f>
        <v>Lift</v>
      </c>
      <c r="BM1432" s="60" t="str">
        <f aca="false">IF(BD1432&lt;=0,"",IF(CG1432="Aussen","Aussenlager",IF(CG1432="-","Nicht im Lift",IF(BJ1432&gt;=1,"Lift",IF(BJ1432&lt;=0,"Aussenlager","teilweise")))))</f>
        <v>Lift</v>
      </c>
      <c r="BN1432" s="60" t="str">
        <f aca="false">IF(A1432="","",IF(BW1432=1,"Neu; ","")&amp;IF(AND(BW1432=0,BR1432&lt;0),"negativer Bestand (Export "&amp;BR1432&amp;"); ","")&amp;IF(J1432&lt;=0,"Kein Verbrauch; ","")&amp;IF(CR1432&gt;0,"Lift "&amp;W1432&amp;" lt. Liftbericht (Fach "&amp;X1432&amp;" Stk); ",IF(CB1432=1,"Gebinde geschätzt ("&amp;T1432&amp;"); ",IF(CA1432=1,"Lose – Tablare geschätzt; ","")))&amp;IF(H1432&gt;AW1432,"Überbestand "&amp;ROUND(H1432-AW1432,0)&amp;" Stk / CHF "&amp;ROUND((H1432-AW1432)*G1432,0)&amp;"; ","")&amp;IF(AND(CI1432=1,CJ1432&lt;CK1432),"MAX &lt; MB+LG; ","")&amp;IF(AND(CQ1432&gt;0,CP1432*10&gt;CQ1432),"zu hoch für Tablar; ","")&amp;IF(AND(BW1432=0,OR(CI1432=1,AB1432&lt;&gt;"",U1432&lt;&gt;"",V1432&lt;&gt;"",AC1432&lt;&gt;"")),"manuell übersteuert; ","")&amp;IF(AND(CA1432=0,R1432=0),"Gebinde unbekannt / Stellmass fehlt; ","")&amp;IF(AND(CA1432=0,N(V1432)&lt;=0,N(Q1432)&lt;=0),"Menge pro Gebinde fehlt (Ist = 1 Gebinde); ","")&amp;BV1432)</f>
        <v>negativer Bestand (Export -3); Lift 1 lt. Liftbericht (Fach 3 Stk); Überbestand</v>
      </c>
      <c r="BO1432" s="60"/>
      <c r="BP1432" s="60"/>
      <c r="BQ1432" s="67"/>
      <c r="BR1432" s="62" t="n">
        <v>-3</v>
      </c>
      <c r="BS1432" s="62" t="n">
        <v>4</v>
      </c>
      <c r="BT1432" s="61" t="n">
        <v>-6990</v>
      </c>
      <c r="BU1432" s="62" t="n">
        <v>1</v>
      </c>
      <c r="BV1432" s="60" t="s">
        <v>434</v>
      </c>
      <c r="BW1432" s="65" t="n">
        <v>0</v>
      </c>
      <c r="BX1432" s="65" t="n">
        <v>1432</v>
      </c>
      <c r="BY1432" s="60" t="str">
        <f aca="false">IF(U1432&lt;&gt;"",UPPER(TRIM(U1432)),IF(CB1432=1,UPPER(VLOOKUP(T1432,Parameter!$I$27:$K$29,2,0)),IF(P1432="","LOSE",P1432)))</f>
        <v>LOSE</v>
      </c>
      <c r="BZ1432" s="62" t="n">
        <f aca="false">IF(BY1432="LOSE",1,IF(N(V1432)&gt;0,V1432,IF(CB1432=1,MAX(1,N(VLOOKUP(T1432,Parameter!$I$27:$K$29,3,0)),H1432,N(N1432)),IF(N(Q1432)&gt;0,Q1432,MAX(1,H1432)))))</f>
        <v>1</v>
      </c>
      <c r="CA1432" s="65" t="n">
        <f aca="false">IF(BY1432="LOSE",1,0)</f>
        <v>1</v>
      </c>
      <c r="CB1432" s="65" t="n">
        <f aca="false">IF(AND(U1432="",OR(P1432="",P1432="LOSE"),T1432&lt;&gt;"",N(S1432)&lt;=0,ISNUMBER(MATCH(T1432,Parameter!$I$27:$I$29,0))),1,0)</f>
        <v>0</v>
      </c>
      <c r="CC1432" s="65" t="n">
        <f aca="false">IF(CR1432&gt;0,INDEX(Parameter!$H$5:$H$7,W1432)/INDEX(Parameter!$E$5:$E$7,W1432),IF(AND(CA1432=0,N(IFERROR(VLOOKUP(BY1432,'Gebinde-Kategorie'!$A$5:$N$45,14,0),0))&gt;0),VLOOKUP(BY1432,'Gebinde-Kategorie'!$A$5:$N$45,14,0)*10+Parameter!$M$23,Parameter!$M$24))</f>
        <v>238</v>
      </c>
      <c r="CD1432" s="60" t="n">
        <f aca="false">IF(AND(Parameter!$B$19="Ja",E1432&lt;&gt;"",ISNUMBER(MATCH(E1432,Parameter!$I$35:$I$52,0))),VLOOKUP(E1432,Parameter!$I$35:$J$52,2,0),IFERROR(VLOOKUP(D1432,Parameter!$A$35:$C$64,2,0),"Nein"))</f>
        <v>1</v>
      </c>
      <c r="CE1432" s="64" t="n">
        <f aca="false">IF(CA1432=0,0,IF(N(S1432)&gt;0,S1432,IFERROR(VLOOKUP(D1432,Parameter!$A$35:$C$64,3,0)+0,0)))</f>
        <v>1</v>
      </c>
      <c r="CF1432" s="60" t="n">
        <f aca="false">IF(AB1432&lt;&gt;"",AB1432,AA1432)</f>
        <v>1</v>
      </c>
      <c r="CG1432" s="60" t="str">
        <f aca="false">IF(OR(CF1432=1,CF1432=2,CF1432=3),IF(Parameter!$E$27="Ja","LIFT",IF(CF1432=1,"L1","L23")),IF(CF1432="Aussen","Aussen","-"))</f>
        <v>LIFT</v>
      </c>
      <c r="CH1432" s="71" t="n">
        <f aca="false">IF(N(AC1432)&gt;0,AC1432,0)</f>
        <v>0</v>
      </c>
      <c r="CI1432" s="65" t="n">
        <f aca="false">IF(ISNUMBER(AF1432),1,0)</f>
        <v>0</v>
      </c>
      <c r="CJ1432" s="62" t="n">
        <f aca="false">N(AF1432)</f>
        <v>0</v>
      </c>
      <c r="CK1432" s="62" t="n">
        <f aca="false">N(M1432)+N(N1432)</f>
        <v>1</v>
      </c>
      <c r="CL1432" s="62" t="n">
        <f aca="false">N(M1432)</f>
        <v>0</v>
      </c>
      <c r="CM1432" s="62" t="n">
        <f aca="false">N(N1432)</f>
        <v>1</v>
      </c>
      <c r="CN1432" s="62" t="n">
        <f aca="false">ROUNDUP(H1432/BZ1432,0)</f>
        <v>1</v>
      </c>
      <c r="CO1432" s="62" t="n">
        <f aca="false">ROUNDUP(CJ1432/BZ1432,0)</f>
        <v>0</v>
      </c>
      <c r="CP1432" s="65" t="n">
        <f aca="false">IF(CA1432=1,0,IFERROR(VLOOKUP(BY1432,'Gebinde-Kategorie'!$A$5:$N$45,5,0)+0,0))</f>
        <v>0</v>
      </c>
      <c r="CQ1432" s="65" t="n">
        <f aca="false">IFERROR(IF(OR(CF1432=1,CF1432=2,CF1432=3),N(INDEX(Parameter!$I$5:$I$7,CF1432)),0),0)</f>
        <v>0</v>
      </c>
      <c r="CR1432" s="64" t="n">
        <f aca="false">IF(AND(Parameter!$B$21="Ja",ISNUMBER(W1432),N(X1432)&gt;0),IFERROR(N(INDEX(Parameter!$L$5:$L$7,W1432))*INDEX(Parameter!$E$5:$E$7,W1432)*X1432/SUMIFS($X$7:$X$1843,$W$7:$W$1843,W1432),0),0)</f>
        <v>0.240112994350283</v>
      </c>
      <c r="CS1432" s="62" t="n">
        <f aca="false">IF(AND(OR(CG1432="L1",CG1432="L23",CG1432="LIFT"),H1432&gt;0),CC1432*IF(CR1432&gt;0,CR1432*MAX(1,H1432/X1432),IF(CA1432=1,CE1432,IF(R1432&gt;0,CN1432/R1432,0))/MAX(0.1,N(Parameter!$M$21))),"")</f>
        <v>57.1468926553672</v>
      </c>
      <c r="CT1432" s="64" t="n">
        <f aca="false">IF(CS1432="","",J1432/H1432)</f>
        <v>1</v>
      </c>
      <c r="CU1432" s="62" t="n">
        <f aca="false">IF(CS1432="","",H1432*G1432)</f>
        <v>2330</v>
      </c>
      <c r="CV1432" s="63" t="n">
        <f aca="false">IF(CS1432="","",(CL1432+ROUNDUP(CL1432+MAX(CM1432,2*(J1432/MAX(0.1,N(Einkauf!$C$6))-CL1432)),0))/2)</f>
        <v>0.5</v>
      </c>
      <c r="CW1432" s="62" t="n">
        <f aca="false">IF(CS1432="","",MAX(0,H1432-CV1432)*G1432)</f>
        <v>1165</v>
      </c>
      <c r="CX1432" s="62" t="n">
        <f aca="false">IF(CS1432="","",CS1432*MAX(0,1-CV1432/H1432))</f>
        <v>28.5734463276836</v>
      </c>
      <c r="CY1432" s="64" t="n">
        <f aca="false">IF(CS1432="","",PERCENTRANK($CS$7:$CS$1843,CS1432)+PERCENTRANK($CU$7:$CU$1843,CU1432)+1-PERCENTRANK($CT$7:$CT$1843,CT1432))</f>
        <v>2.071</v>
      </c>
      <c r="CZ1432" s="72" t="n">
        <f aca="false">IF(CS1432="","",CHOOSE(MATCH(Einkauf!$C$5,Parameter!$G$23:$G$27,0),CY1432,CS1432,CU1432,-CT1432,CW1432)+ROW()/1000000000)</f>
        <v>2.071001432</v>
      </c>
    </row>
    <row r="1433" customFormat="false" ht="15" hidden="false" customHeight="false" outlineLevel="0" collapsed="false">
      <c r="A1433" s="60" t="s">
        <v>2552</v>
      </c>
      <c r="B1433" s="60" t="s">
        <v>2553</v>
      </c>
      <c r="C1433" s="60" t="s">
        <v>206</v>
      </c>
      <c r="D1433" s="60" t="s">
        <v>395</v>
      </c>
      <c r="E1433" s="60"/>
      <c r="F1433" s="60" t="s">
        <v>260</v>
      </c>
      <c r="G1433" s="61" t="n">
        <v>3532.08</v>
      </c>
      <c r="H1433" s="62" t="n">
        <f aca="false">MAX(0,IF(AND(Parameter!$B$21="Ja",ISNUMBER(Y1433)),Y1433,IF(Parameter!$B$20="Jahresanfang 2025 + Export",BS1433+BR1433,BR1433)))</f>
        <v>0</v>
      </c>
      <c r="I1433" s="62" t="n">
        <f aca="false">H1433*G1433</f>
        <v>0</v>
      </c>
      <c r="J1433" s="62" t="n">
        <f aca="false">BU1433*Parameter!$B$18</f>
        <v>0</v>
      </c>
      <c r="K1433" s="63" t="n">
        <v>1</v>
      </c>
      <c r="L1433" s="64" t="n">
        <v>0</v>
      </c>
      <c r="M1433" s="62" t="n">
        <v>0</v>
      </c>
      <c r="N1433" s="62" t="n">
        <v>1</v>
      </c>
      <c r="O1433" s="65" t="n">
        <v>90</v>
      </c>
      <c r="P1433" s="60" t="s">
        <v>210</v>
      </c>
      <c r="Q1433" s="62"/>
      <c r="R1433" s="65" t="n">
        <f aca="false">IF(CA1433=1,0,IFERROR(VLOOKUP(BY1433,'Gebinde-Kategorie'!$A$5:$N$45,13,0)+0,0))</f>
        <v>0</v>
      </c>
      <c r="S1433" s="66"/>
      <c r="T1433" s="67"/>
      <c r="U1433" s="67"/>
      <c r="V1433" s="67"/>
      <c r="W1433" s="60"/>
      <c r="X1433" s="62"/>
      <c r="Y1433" s="62"/>
      <c r="Z1433" s="60"/>
      <c r="AA1433" s="60" t="str">
        <f aca="false">IF(A1433="","",IF(AND(Parameter!$B$21="Ja",ISNUMBER(W1433)),W1433,IF(AND(Parameter!$E$27="Ja",ISNUMBER(Z1433),CD1433&lt;&gt;"Nein"),Z1433,IF(CD1433="2+3",IF(ISNUMBER(SEARCH("grosser Artikel",BV1433)),2,IFERROR(VLOOKUP(BY1433,Parameter!$F$35:$G$64,2,0),2)),IF(OR(CD1433="Nein",CD1433=""),"-",CD1433)))))</f>
        <v>-</v>
      </c>
      <c r="AB1433" s="67"/>
      <c r="AC1433" s="68"/>
      <c r="AD1433" s="62" t="n">
        <f aca="false">AW1433</f>
        <v>1</v>
      </c>
      <c r="AE1433" s="62" t="n">
        <f aca="false">MAX(AW1433,H1433)</f>
        <v>1</v>
      </c>
      <c r="AF1433" s="69"/>
      <c r="AG1433" s="62" t="n">
        <f aca="false">IF(LEFT(Cockpit!$C$5,1)="A",H1433,IF(Parameter!$E$30="MAX-Bestand",IF(CI1433=1,CJ1433,IF(LEFT(Cockpit!$C$5,1)="B",AM1433,MAX(AM1433,H1433))),ROUNDUP(AK1433,0)))</f>
        <v>0</v>
      </c>
      <c r="AH1433" s="62" t="n">
        <f aca="false">IF(CA1433=1,0,ROUNDUP(AG1433/BZ1433,0))</f>
        <v>0</v>
      </c>
      <c r="AI1433" s="64" t="n">
        <f aca="false">IF(CR1433&gt;0,CR1433*MAX(1,AG1433/X1433),IF(CA1433=1,IF(AG1433&lt;=0,0,CE1433*MAX(1,IF(H1433&gt;0,AG1433/H1433,1))),IF(R1433&gt;0,AH1433/R1433,0))/MAX(0.1,N(Parameter!$M$21)))</f>
        <v>0</v>
      </c>
      <c r="AJ1433" s="62" t="n">
        <f aca="false">AI1433*CC1433</f>
        <v>0</v>
      </c>
      <c r="AK1433" s="63" t="n">
        <f aca="false">IF(LEFT(Cockpit!$C$5,1)="A",H1433,IF(CI1433=1,(CL1433+CJ1433)/2,IF(LEFT(Cockpit!$C$5,1)="B",(CL1433+AM1433)/2,MAX((CL1433+AM1433)/2,H1433))))</f>
        <v>0</v>
      </c>
      <c r="AL1433" s="62" t="n">
        <f aca="false">AK1433*G1433</f>
        <v>0</v>
      </c>
      <c r="AM1433" s="62" t="n">
        <f aca="false">ROUNDUP(CL1433+MAX(CM1433,2*(J1433/IF(CH1433&gt;0,CH1433,MAX(0.1,N(Cockpit!$C$6)))-CL1433)),0)</f>
        <v>1</v>
      </c>
      <c r="AN1433" s="63" t="n">
        <f aca="false">IF(AJ1433&gt;0,J1433/AJ1433,-1)</f>
        <v>-1</v>
      </c>
      <c r="AO1433" s="63" t="str">
        <f aca="false">IF(AND(OR(CG1433="L1",CG1433="L23",CG1433="LIFT"),AJ1433&gt;0),SUMIFS($AJ$7:$AJ$1843,$CG$7:$CG$1843,CG1433,$AN$7:$AN$1843,"&gt;"&amp;AN1433)+SUMIFS($AJ$7:$AJ$1843,$CG$7:$CG$1843,CG1433,$AN$7:$AN$1843,AN1433,$BX$7:$BX$1843,"&lt;="&amp;BX1433),"")</f>
        <v/>
      </c>
      <c r="AP1433" s="70" t="n">
        <f aca="false">IF(AO1433="",0,MAX(0,MIN(1,(IF(CG1433="L1",Parameter!$H$5,IF(CG1433="L23",Parameter!$H$6+Parameter!$H$7,Parameter!$H$5+Parameter!$H$6+Parameter!$H$7))-(AO1433-AJ1433))/AJ1433)))</f>
        <v>0</v>
      </c>
      <c r="AQ1433" s="62" t="n">
        <f aca="false">IF(LEFT(Cockpit!$I$5,1)="A",H1433,IF(Parameter!$E$30="MAX-Bestand",IF(CI1433=1,CJ1433,IF(LEFT(Cockpit!$I$5,1)="B",AW1433,MAX(AW1433,H1433))),ROUNDUP(AU1433,0)))</f>
        <v>1</v>
      </c>
      <c r="AR1433" s="62" t="n">
        <f aca="false">IF(CA1433=1,0,ROUNDUP(AQ1433/BZ1433,0))</f>
        <v>0</v>
      </c>
      <c r="AS1433" s="64" t="n">
        <f aca="false">IF(CR1433&gt;0,CR1433*MAX(1,AQ1433/X1433),IF(CA1433=1,IF(AQ1433&lt;=0,0,CE1433*MAX(1,IF(H1433&gt;0,AQ1433/H1433,1))),IF(R1433&gt;0,AR1433/R1433,0))/MAX(0.1,N(Parameter!$M$21)))</f>
        <v>0.15</v>
      </c>
      <c r="AT1433" s="62" t="n">
        <f aca="false">AS1433*CC1433</f>
        <v>35.25</v>
      </c>
      <c r="AU1433" s="63" t="n">
        <f aca="false">IF(LEFT(Cockpit!$I$5,1)="A",H1433,IF(CI1433=1,(CL1433+CJ1433)/2,IF(LEFT(Cockpit!$I$5,1)="B",(CL1433+AW1433)/2,MAX((CL1433+AW1433)/2,H1433))))</f>
        <v>0.5</v>
      </c>
      <c r="AV1433" s="62" t="n">
        <f aca="false">AU1433*G1433</f>
        <v>1766.04</v>
      </c>
      <c r="AW1433" s="62" t="n">
        <f aca="false">ROUNDUP(CL1433+MAX(CM1433,2*(J1433/IF(CH1433&gt;0,CH1433,MAX(0.1,N(Cockpit!$I$6)))-CL1433)),0)</f>
        <v>1</v>
      </c>
      <c r="AX1433" s="63" t="n">
        <f aca="false">IF(AT1433&gt;0,J1433/AT1433,-1)</f>
        <v>0</v>
      </c>
      <c r="AY1433" s="63" t="str">
        <f aca="false">IF(AND(OR(CG1433="L1",CG1433="L23",CG1433="LIFT"),AT1433&gt;0),SUMIFS($AT$7:$AT$1843,$CG$7:$CG$1843,CG1433,$AX$7:$AX$1843,"&gt;"&amp;AX1433)+SUMIFS($AT$7:$AT$1843,$CG$7:$CG$1843,CG1433,$AX$7:$AX$1843,AX1433,$BX$7:$BX$1843,"&lt;="&amp;BX1433),"")</f>
        <v/>
      </c>
      <c r="AZ1433" s="70" t="n">
        <f aca="false">IF(AY1433="",0,MAX(0,MIN(1,(IF(CG1433="L1",Parameter!$H$5,IF(CG1433="L23",Parameter!$H$6+Parameter!$H$7,Parameter!$H$5+Parameter!$H$6+Parameter!$H$7))-(AY1433-AT1433))/AT1433)))</f>
        <v>0</v>
      </c>
      <c r="BA1433" s="62" t="n">
        <f aca="false">IF(LEFT(Cockpit!$O$5,1)="A",H1433,IF(Parameter!$E$30="MAX-Bestand",IF(CI1433=1,CJ1433,IF(LEFT(Cockpit!$O$5,1)="B",BG1433,MAX(BG1433,H1433))),ROUNDUP(BE1433,0)))</f>
        <v>1</v>
      </c>
      <c r="BB1433" s="62" t="n">
        <f aca="false">IF(CA1433=1,0,ROUNDUP(BA1433/BZ1433,0))</f>
        <v>0</v>
      </c>
      <c r="BC1433" s="64" t="n">
        <f aca="false">IF(CR1433&gt;0,CR1433*MAX(1,BA1433/X1433),IF(CA1433=1,IF(BA1433&lt;=0,0,CE1433*MAX(1,IF(H1433&gt;0,BA1433/H1433,1))),IF(R1433&gt;0,BB1433/R1433,0))/MAX(0.1,N(Parameter!$M$21)))</f>
        <v>0.15</v>
      </c>
      <c r="BD1433" s="62" t="n">
        <f aca="false">BC1433*CC1433</f>
        <v>35.25</v>
      </c>
      <c r="BE1433" s="63" t="n">
        <f aca="false">IF(LEFT(Cockpit!$O$5,1)="A",H1433,IF(CI1433=1,(CL1433+CJ1433)/2,IF(LEFT(Cockpit!$O$5,1)="B",(CL1433+BG1433)/2,MAX((CL1433+BG1433)/2,H1433))))</f>
        <v>0.5</v>
      </c>
      <c r="BF1433" s="62" t="n">
        <f aca="false">BE1433*G1433</f>
        <v>1766.04</v>
      </c>
      <c r="BG1433" s="62" t="n">
        <f aca="false">ROUNDUP(CL1433+MAX(CM1433,2*(J1433/IF(CH1433&gt;0,CH1433,MAX(0.1,N(Cockpit!$O$6)))-CL1433)),0)</f>
        <v>1</v>
      </c>
      <c r="BH1433" s="63" t="n">
        <f aca="false">IF(BD1433&gt;0,J1433/BD1433,-1)</f>
        <v>0</v>
      </c>
      <c r="BI1433" s="63" t="str">
        <f aca="false">IF(AND(OR(CG1433="L1",CG1433="L23",CG1433="LIFT"),BD1433&gt;0),SUMIFS($BD$7:$BD$1843,$CG$7:$CG$1843,CG1433,$BH$7:$BH$1843,"&gt;"&amp;BH1433)+SUMIFS($BD$7:$BD$1843,$CG$7:$CG$1843,CG1433,$BH$7:$BH$1843,BH1433,$BX$7:$BX$1843,"&lt;="&amp;BX1433),"")</f>
        <v/>
      </c>
      <c r="BJ1433" s="70" t="n">
        <f aca="false">IF(BI1433="",0,MAX(0,MIN(1,(IF(CG1433="L1",Parameter!$H$5,IF(CG1433="L23",Parameter!$H$6+Parameter!$H$7,Parameter!$H$5+Parameter!$H$6+Parameter!$H$7))-(BI1433-BD1433))/BD1433)))</f>
        <v>0</v>
      </c>
      <c r="BK1433" s="60" t="str">
        <f aca="false">IF(AJ1433&lt;=0,"",IF(CG1433="Aussen","Aussenlager",IF(CG1433="-","Nicht im Lift",IF(AP1433&gt;=1,"Lift",IF(AP1433&lt;=0,"Aussenlager","teilweise")))))</f>
        <v/>
      </c>
      <c r="BL1433" s="60" t="str">
        <f aca="false">IF(AT1433&lt;=0,"",IF(CG1433="Aussen","Aussenlager",IF(CG1433="-","Nicht im Lift",IF(AZ1433&gt;=1,"Lift",IF(AZ1433&lt;=0,"Aussenlager","teilweise")))))</f>
        <v>Nicht im Lift</v>
      </c>
      <c r="BM1433" s="60" t="str">
        <f aca="false">IF(BD1433&lt;=0,"",IF(CG1433="Aussen","Aussenlager",IF(CG1433="-","Nicht im Lift",IF(BJ1433&gt;=1,"Lift",IF(BJ1433&lt;=0,"Aussenlager","teilweise")))))</f>
        <v>Nicht im Lift</v>
      </c>
      <c r="BN1433" s="60" t="str">
        <f aca="false">IF(A1433="","",IF(BW1433=1,"Neu; ","")&amp;IF(AND(BW1433=0,BR1433&lt;0),"negativer Bestand (Export "&amp;BR1433&amp;"); ","")&amp;IF(J1433&lt;=0,"Kein Verbrauch; ","")&amp;IF(CR1433&gt;0,"Lift "&amp;W1433&amp;" lt. Liftbericht (Fach "&amp;X1433&amp;" Stk); ",IF(CB1433=1,"Gebinde geschätzt ("&amp;T1433&amp;"); ",IF(CA1433=1,"Lose – Tablare geschätzt; ","")))&amp;IF(H1433&gt;AW1433,"Überbestand "&amp;ROUND(H1433-AW1433,0)&amp;" Stk / CHF "&amp;ROUND((H1433-AW1433)*G1433,0)&amp;"; ","")&amp;IF(AND(CI1433=1,CJ1433&lt;CK1433),"MAX &lt; MB+LG; ","")&amp;IF(AND(CQ1433&gt;0,CP1433*10&gt;CQ1433),"zu hoch für Tablar; ","")&amp;IF(AND(BW1433=0,OR(CI1433=1,AB1433&lt;&gt;"",U1433&lt;&gt;"",V1433&lt;&gt;"",AC1433&lt;&gt;"")),"manuell übersteuert; ","")&amp;IF(AND(CA1433=0,R1433=0),"Gebinde unbekannt / Stellmass fehlt; ","")&amp;IF(AND(CA1433=0,N(V1433)&lt;=0,N(Q1433)&lt;=0),"Menge pro Gebinde fehlt (Ist = 1 Gebinde); ","")&amp;BV1433)</f>
        <v>negativer Bestand (Export -2); Kein Verbrauch; Lose – Tablare geschätzt; </v>
      </c>
      <c r="BO1433" s="60"/>
      <c r="BP1433" s="60"/>
      <c r="BQ1433" s="67"/>
      <c r="BR1433" s="62" t="n">
        <v>-2</v>
      </c>
      <c r="BS1433" s="62" t="n">
        <v>2</v>
      </c>
      <c r="BT1433" s="61" t="n">
        <v>-7064.16</v>
      </c>
      <c r="BU1433" s="62" t="n">
        <v>0</v>
      </c>
      <c r="BV1433" s="60"/>
      <c r="BW1433" s="65" t="n">
        <v>0</v>
      </c>
      <c r="BX1433" s="65" t="n">
        <v>1433</v>
      </c>
      <c r="BY1433" s="60" t="str">
        <f aca="false">IF(U1433&lt;&gt;"",UPPER(TRIM(U1433)),IF(CB1433=1,UPPER(VLOOKUP(T1433,Parameter!$I$27:$K$29,2,0)),IF(P1433="","LOSE",P1433)))</f>
        <v>LOSE</v>
      </c>
      <c r="BZ1433" s="62" t="n">
        <f aca="false">IF(BY1433="LOSE",1,IF(N(V1433)&gt;0,V1433,IF(CB1433=1,MAX(1,N(VLOOKUP(T1433,Parameter!$I$27:$K$29,3,0)),H1433,N(N1433)),IF(N(Q1433)&gt;0,Q1433,MAX(1,H1433)))))</f>
        <v>1</v>
      </c>
      <c r="CA1433" s="65" t="n">
        <f aca="false">IF(BY1433="LOSE",1,0)</f>
        <v>1</v>
      </c>
      <c r="CB1433" s="65" t="n">
        <f aca="false">IF(AND(U1433="",OR(P1433="",P1433="LOSE"),T1433&lt;&gt;"",N(S1433)&lt;=0,ISNUMBER(MATCH(T1433,Parameter!$I$27:$I$29,0))),1,0)</f>
        <v>0</v>
      </c>
      <c r="CC1433" s="65" t="n">
        <f aca="false">IF(CR1433&gt;0,INDEX(Parameter!$H$5:$H$7,W1433)/INDEX(Parameter!$E$5:$E$7,W1433),IF(AND(CA1433=0,N(IFERROR(VLOOKUP(BY1433,'Gebinde-Kategorie'!$A$5:$N$45,14,0),0))&gt;0),VLOOKUP(BY1433,'Gebinde-Kategorie'!$A$5:$N$45,14,0)*10+Parameter!$M$23,Parameter!$M$24))</f>
        <v>235</v>
      </c>
      <c r="CD1433" s="60" t="str">
        <f aca="false">IF(AND(Parameter!$B$19="Ja",E1433&lt;&gt;"",ISNUMBER(MATCH(E1433,Parameter!$I$35:$I$52,0))),VLOOKUP(E1433,Parameter!$I$35:$J$52,2,0),IFERROR(VLOOKUP(D1433,Parameter!$A$35:$C$64,2,0),"Nein"))</f>
        <v>Nein</v>
      </c>
      <c r="CE1433" s="64" t="n">
        <f aca="false">IF(CA1433=0,0,IF(N(S1433)&gt;0,S1433,IFERROR(VLOOKUP(D1433,Parameter!$A$35:$C$64,3,0)+0,0)))</f>
        <v>0.15</v>
      </c>
      <c r="CF1433" s="60" t="str">
        <f aca="false">IF(AB1433&lt;&gt;"",AB1433,AA1433)</f>
        <v>-</v>
      </c>
      <c r="CG1433" s="60" t="str">
        <f aca="false">IF(OR(CF1433=1,CF1433=2,CF1433=3),IF(Parameter!$E$27="Ja","LIFT",IF(CF1433=1,"L1","L23")),IF(CF1433="Aussen","Aussen","-"))</f>
        <v>-</v>
      </c>
      <c r="CH1433" s="71" t="n">
        <f aca="false">IF(N(AC1433)&gt;0,AC1433,0)</f>
        <v>0</v>
      </c>
      <c r="CI1433" s="65" t="n">
        <f aca="false">IF(ISNUMBER(AF1433),1,0)</f>
        <v>0</v>
      </c>
      <c r="CJ1433" s="62" t="n">
        <f aca="false">N(AF1433)</f>
        <v>0</v>
      </c>
      <c r="CK1433" s="62" t="n">
        <f aca="false">N(M1433)+N(N1433)</f>
        <v>1</v>
      </c>
      <c r="CL1433" s="62" t="n">
        <f aca="false">N(M1433)</f>
        <v>0</v>
      </c>
      <c r="CM1433" s="62" t="n">
        <f aca="false">N(N1433)</f>
        <v>1</v>
      </c>
      <c r="CN1433" s="62" t="n">
        <f aca="false">ROUNDUP(H1433/BZ1433,0)</f>
        <v>0</v>
      </c>
      <c r="CO1433" s="62" t="n">
        <f aca="false">ROUNDUP(CJ1433/BZ1433,0)</f>
        <v>0</v>
      </c>
      <c r="CP1433" s="65" t="n">
        <f aca="false">IF(CA1433=1,0,IFERROR(VLOOKUP(BY1433,'Gebinde-Kategorie'!$A$5:$N$45,5,0)+0,0))</f>
        <v>0</v>
      </c>
      <c r="CQ1433" s="65" t="n">
        <f aca="false">IFERROR(IF(OR(CF1433=1,CF1433=2,CF1433=3),N(INDEX(Parameter!$I$5:$I$7,CF1433)),0),0)</f>
        <v>0</v>
      </c>
      <c r="CR1433" s="64" t="n">
        <f aca="false">IF(AND(Parameter!$B$21="Ja",ISNUMBER(W1433),N(X1433)&gt;0),IFERROR(N(INDEX(Parameter!$L$5:$L$7,W1433))*INDEX(Parameter!$E$5:$E$7,W1433)*X1433/SUMIFS($X$7:$X$1843,$W$7:$W$1843,W1433),0),0)</f>
        <v>0</v>
      </c>
      <c r="CS1433" s="62" t="str">
        <f aca="false">IF(AND(OR(CG1433="L1",CG1433="L23",CG1433="LIFT"),H1433&gt;0),CC1433*IF(CR1433&gt;0,CR1433*MAX(1,H1433/X1433),IF(CA1433=1,CE1433,IF(R1433&gt;0,CN1433/R1433,0))/MAX(0.1,N(Parameter!$M$21))),"")</f>
        <v/>
      </c>
      <c r="CT1433" s="64" t="str">
        <f aca="false">IF(CS1433="","",J1433/H1433)</f>
        <v/>
      </c>
      <c r="CU1433" s="62" t="str">
        <f aca="false">IF(CS1433="","",H1433*G1433)</f>
        <v/>
      </c>
      <c r="CV1433" s="63" t="str">
        <f aca="false">IF(CS1433="","",(CL1433+ROUNDUP(CL1433+MAX(CM1433,2*(J1433/MAX(0.1,N(Einkauf!$C$6))-CL1433)),0))/2)</f>
        <v/>
      </c>
      <c r="CW1433" s="62" t="str">
        <f aca="false">IF(CS1433="","",MAX(0,H1433-CV1433)*G1433)</f>
        <v/>
      </c>
      <c r="CX1433" s="62" t="str">
        <f aca="false">IF(CS1433="","",CS1433*MAX(0,1-CV1433/H1433))</f>
        <v/>
      </c>
      <c r="CY1433" s="64" t="str">
        <f aca="false">IF(CS1433="","",PERCENTRANK($CS$7:$CS$1843,CS1433)+PERCENTRANK($CU$7:$CU$1843,CU1433)+1-PERCENTRANK($CT$7:$CT$1843,CT1433))</f>
        <v/>
      </c>
      <c r="CZ1433" s="72" t="str">
        <f aca="false">IF(CS1433="","",CHOOSE(MATCH(Einkauf!$C$5,Parameter!$G$23:$G$27,0),CY1433,CS1433,CU1433,-CT1433,CW1433)+ROW()/1000000000)</f>
        <v/>
      </c>
    </row>
    <row r="1434" customFormat="false" ht="15" hidden="false" customHeight="false" outlineLevel="0" collapsed="false">
      <c r="A1434" s="60" t="s">
        <v>2554</v>
      </c>
      <c r="B1434" s="60" t="s">
        <v>2192</v>
      </c>
      <c r="C1434" s="60" t="s">
        <v>498</v>
      </c>
      <c r="D1434" s="60" t="s">
        <v>215</v>
      </c>
      <c r="E1434" s="60" t="s">
        <v>215</v>
      </c>
      <c r="F1434" s="60" t="s">
        <v>260</v>
      </c>
      <c r="G1434" s="61" t="n">
        <v>358.12</v>
      </c>
      <c r="H1434" s="62" t="n">
        <f aca="false">MAX(0,IF(AND(Parameter!$B$21="Ja",ISNUMBER(Y1434)),Y1434,IF(Parameter!$B$20="Jahresanfang 2025 + Export",BS1434+BR1434,BR1434)))</f>
        <v>0</v>
      </c>
      <c r="I1434" s="62" t="n">
        <f aca="false">H1434*G1434</f>
        <v>0</v>
      </c>
      <c r="J1434" s="62" t="n">
        <f aca="false">BU1434*Parameter!$B$18</f>
        <v>0</v>
      </c>
      <c r="K1434" s="63" t="n">
        <v>20</v>
      </c>
      <c r="L1434" s="64" t="n">
        <v>0</v>
      </c>
      <c r="M1434" s="62" t="n">
        <v>0</v>
      </c>
      <c r="N1434" s="62" t="n">
        <v>1</v>
      </c>
      <c r="O1434" s="65" t="n">
        <v>77</v>
      </c>
      <c r="P1434" s="60" t="s">
        <v>210</v>
      </c>
      <c r="Q1434" s="62"/>
      <c r="R1434" s="65" t="n">
        <f aca="false">IF(CA1434=1,0,IFERROR(VLOOKUP(BY1434,'Gebinde-Kategorie'!$A$5:$N$45,13,0)+0,0))</f>
        <v>12</v>
      </c>
      <c r="S1434" s="66"/>
      <c r="T1434" s="67" t="s">
        <v>221</v>
      </c>
      <c r="U1434" s="67"/>
      <c r="V1434" s="67"/>
      <c r="W1434" s="60"/>
      <c r="X1434" s="62"/>
      <c r="Y1434" s="62"/>
      <c r="Z1434" s="60"/>
      <c r="AA1434" s="60" t="str">
        <f aca="false">IF(A1434="","",IF(AND(Parameter!$B$21="Ja",ISNUMBER(W1434)),W1434,IF(AND(Parameter!$E$27="Ja",ISNUMBER(Z1434),CD1434&lt;&gt;"Nein"),Z1434,IF(CD1434="2+3",IF(ISNUMBER(SEARCH("grosser Artikel",BV1434)),2,IFERROR(VLOOKUP(BY1434,Parameter!$F$35:$G$64,2,0),2)),IF(OR(CD1434="Nein",CD1434=""),"-",CD1434)))))</f>
        <v>-</v>
      </c>
      <c r="AB1434" s="67"/>
      <c r="AC1434" s="68"/>
      <c r="AD1434" s="62" t="n">
        <f aca="false">AW1434</f>
        <v>1</v>
      </c>
      <c r="AE1434" s="62" t="n">
        <f aca="false">MAX(AW1434,H1434)</f>
        <v>1</v>
      </c>
      <c r="AF1434" s="69"/>
      <c r="AG1434" s="62" t="n">
        <f aca="false">IF(LEFT(Cockpit!$C$5,1)="A",H1434,IF(Parameter!$E$30="MAX-Bestand",IF(CI1434=1,CJ1434,IF(LEFT(Cockpit!$C$5,1)="B",AM1434,MAX(AM1434,H1434))),ROUNDUP(AK1434,0)))</f>
        <v>0</v>
      </c>
      <c r="AH1434" s="62" t="n">
        <f aca="false">IF(CA1434=1,0,ROUNDUP(AG1434/BZ1434,0))</f>
        <v>0</v>
      </c>
      <c r="AI1434" s="64" t="n">
        <f aca="false">IF(CR1434&gt;0,CR1434*MAX(1,AG1434/X1434),IF(CA1434=1,IF(AG1434&lt;=0,0,CE1434*MAX(1,IF(H1434&gt;0,AG1434/H1434,1))),IF(R1434&gt;0,AH1434/R1434,0))/MAX(0.1,N(Parameter!$M$21)))</f>
        <v>0</v>
      </c>
      <c r="AJ1434" s="62" t="n">
        <f aca="false">AI1434*CC1434</f>
        <v>0</v>
      </c>
      <c r="AK1434" s="63" t="n">
        <f aca="false">IF(LEFT(Cockpit!$C$5,1)="A",H1434,IF(CI1434=1,(CL1434+CJ1434)/2,IF(LEFT(Cockpit!$C$5,1)="B",(CL1434+AM1434)/2,MAX((CL1434+AM1434)/2,H1434))))</f>
        <v>0</v>
      </c>
      <c r="AL1434" s="62" t="n">
        <f aca="false">AK1434*G1434</f>
        <v>0</v>
      </c>
      <c r="AM1434" s="62" t="n">
        <f aca="false">ROUNDUP(CL1434+MAX(CM1434,2*(J1434/IF(CH1434&gt;0,CH1434,MAX(0.1,N(Cockpit!$C$6)))-CL1434)),0)</f>
        <v>1</v>
      </c>
      <c r="AN1434" s="63" t="n">
        <f aca="false">IF(AJ1434&gt;0,J1434/AJ1434,-1)</f>
        <v>-1</v>
      </c>
      <c r="AO1434" s="63" t="str">
        <f aca="false">IF(AND(OR(CG1434="L1",CG1434="L23",CG1434="LIFT"),AJ1434&gt;0),SUMIFS($AJ$7:$AJ$1843,$CG$7:$CG$1843,CG1434,$AN$7:$AN$1843,"&gt;"&amp;AN1434)+SUMIFS($AJ$7:$AJ$1843,$CG$7:$CG$1843,CG1434,$AN$7:$AN$1843,AN1434,$BX$7:$BX$1843,"&lt;="&amp;BX1434),"")</f>
        <v/>
      </c>
      <c r="AP1434" s="70" t="n">
        <f aca="false">IF(AO1434="",0,MAX(0,MIN(1,(IF(CG1434="L1",Parameter!$H$5,IF(CG1434="L23",Parameter!$H$6+Parameter!$H$7,Parameter!$H$5+Parameter!$H$6+Parameter!$H$7))-(AO1434-AJ1434))/AJ1434)))</f>
        <v>0</v>
      </c>
      <c r="AQ1434" s="62" t="n">
        <f aca="false">IF(LEFT(Cockpit!$I$5,1)="A",H1434,IF(Parameter!$E$30="MAX-Bestand",IF(CI1434=1,CJ1434,IF(LEFT(Cockpit!$I$5,1)="B",AW1434,MAX(AW1434,H1434))),ROUNDUP(AU1434,0)))</f>
        <v>1</v>
      </c>
      <c r="AR1434" s="62" t="n">
        <f aca="false">IF(CA1434=1,0,ROUNDUP(AQ1434/BZ1434,0))</f>
        <v>1</v>
      </c>
      <c r="AS1434" s="64" t="n">
        <f aca="false">IF(CR1434&gt;0,CR1434*MAX(1,AQ1434/X1434),IF(CA1434=1,IF(AQ1434&lt;=0,0,CE1434*MAX(1,IF(H1434&gt;0,AQ1434/H1434,1))),IF(R1434&gt;0,AR1434/R1434,0))/MAX(0.1,N(Parameter!$M$21)))</f>
        <v>0.0833333333333333</v>
      </c>
      <c r="AT1434" s="62" t="n">
        <f aca="false">AS1434*CC1434</f>
        <v>12.0833333333333</v>
      </c>
      <c r="AU1434" s="63" t="n">
        <f aca="false">IF(LEFT(Cockpit!$I$5,1)="A",H1434,IF(CI1434=1,(CL1434+CJ1434)/2,IF(LEFT(Cockpit!$I$5,1)="B",(CL1434+AW1434)/2,MAX((CL1434+AW1434)/2,H1434))))</f>
        <v>0.5</v>
      </c>
      <c r="AV1434" s="62" t="n">
        <f aca="false">AU1434*G1434</f>
        <v>179.06</v>
      </c>
      <c r="AW1434" s="62" t="n">
        <f aca="false">ROUNDUP(CL1434+MAX(CM1434,2*(J1434/IF(CH1434&gt;0,CH1434,MAX(0.1,N(Cockpit!$I$6)))-CL1434)),0)</f>
        <v>1</v>
      </c>
      <c r="AX1434" s="63" t="n">
        <f aca="false">IF(AT1434&gt;0,J1434/AT1434,-1)</f>
        <v>0</v>
      </c>
      <c r="AY1434" s="63" t="str">
        <f aca="false">IF(AND(OR(CG1434="L1",CG1434="L23",CG1434="LIFT"),AT1434&gt;0),SUMIFS($AT$7:$AT$1843,$CG$7:$CG$1843,CG1434,$AX$7:$AX$1843,"&gt;"&amp;AX1434)+SUMIFS($AT$7:$AT$1843,$CG$7:$CG$1843,CG1434,$AX$7:$AX$1843,AX1434,$BX$7:$BX$1843,"&lt;="&amp;BX1434),"")</f>
        <v/>
      </c>
      <c r="AZ1434" s="70" t="n">
        <f aca="false">IF(AY1434="",0,MAX(0,MIN(1,(IF(CG1434="L1",Parameter!$H$5,IF(CG1434="L23",Parameter!$H$6+Parameter!$H$7,Parameter!$H$5+Parameter!$H$6+Parameter!$H$7))-(AY1434-AT1434))/AT1434)))</f>
        <v>0</v>
      </c>
      <c r="BA1434" s="62" t="n">
        <f aca="false">IF(LEFT(Cockpit!$O$5,1)="A",H1434,IF(Parameter!$E$30="MAX-Bestand",IF(CI1434=1,CJ1434,IF(LEFT(Cockpit!$O$5,1)="B",BG1434,MAX(BG1434,H1434))),ROUNDUP(BE1434,0)))</f>
        <v>1</v>
      </c>
      <c r="BB1434" s="62" t="n">
        <f aca="false">IF(CA1434=1,0,ROUNDUP(BA1434/BZ1434,0))</f>
        <v>1</v>
      </c>
      <c r="BC1434" s="64" t="n">
        <f aca="false">IF(CR1434&gt;0,CR1434*MAX(1,BA1434/X1434),IF(CA1434=1,IF(BA1434&lt;=0,0,CE1434*MAX(1,IF(H1434&gt;0,BA1434/H1434,1))),IF(R1434&gt;0,BB1434/R1434,0))/MAX(0.1,N(Parameter!$M$21)))</f>
        <v>0.0833333333333333</v>
      </c>
      <c r="BD1434" s="62" t="n">
        <f aca="false">BC1434*CC1434</f>
        <v>12.0833333333333</v>
      </c>
      <c r="BE1434" s="63" t="n">
        <f aca="false">IF(LEFT(Cockpit!$O$5,1)="A",H1434,IF(CI1434=1,(CL1434+CJ1434)/2,IF(LEFT(Cockpit!$O$5,1)="B",(CL1434+BG1434)/2,MAX((CL1434+BG1434)/2,H1434))))</f>
        <v>0.5</v>
      </c>
      <c r="BF1434" s="62" t="n">
        <f aca="false">BE1434*G1434</f>
        <v>179.06</v>
      </c>
      <c r="BG1434" s="62" t="n">
        <f aca="false">ROUNDUP(CL1434+MAX(CM1434,2*(J1434/IF(CH1434&gt;0,CH1434,MAX(0.1,N(Cockpit!$O$6)))-CL1434)),0)</f>
        <v>1</v>
      </c>
      <c r="BH1434" s="63" t="n">
        <f aca="false">IF(BD1434&gt;0,J1434/BD1434,-1)</f>
        <v>0</v>
      </c>
      <c r="BI1434" s="63" t="str">
        <f aca="false">IF(AND(OR(CG1434="L1",CG1434="L23",CG1434="LIFT"),BD1434&gt;0),SUMIFS($BD$7:$BD$1843,$CG$7:$CG$1843,CG1434,$BH$7:$BH$1843,"&gt;"&amp;BH1434)+SUMIFS($BD$7:$BD$1843,$CG$7:$CG$1843,CG1434,$BH$7:$BH$1843,BH1434,$BX$7:$BX$1843,"&lt;="&amp;BX1434),"")</f>
        <v/>
      </c>
      <c r="BJ1434" s="70" t="n">
        <f aca="false">IF(BI1434="",0,MAX(0,MIN(1,(IF(CG1434="L1",Parameter!$H$5,IF(CG1434="L23",Parameter!$H$6+Parameter!$H$7,Parameter!$H$5+Parameter!$H$6+Parameter!$H$7))-(BI1434-BD1434))/BD1434)))</f>
        <v>0</v>
      </c>
      <c r="BK1434" s="60" t="str">
        <f aca="false">IF(AJ1434&lt;=0,"",IF(CG1434="Aussen","Aussenlager",IF(CG1434="-","Nicht im Lift",IF(AP1434&gt;=1,"Lift",IF(AP1434&lt;=0,"Aussenlager","teilweise")))))</f>
        <v/>
      </c>
      <c r="BL1434" s="60" t="str">
        <f aca="false">IF(AT1434&lt;=0,"",IF(CG1434="Aussen","Aussenlager",IF(CG1434="-","Nicht im Lift",IF(AZ1434&gt;=1,"Lift",IF(AZ1434&lt;=0,"Aussenlager","teilweise")))))</f>
        <v>Nicht im Lift</v>
      </c>
      <c r="BM1434" s="60" t="str">
        <f aca="false">IF(BD1434&lt;=0,"",IF(CG1434="Aussen","Aussenlager",IF(CG1434="-","Nicht im Lift",IF(BJ1434&gt;=1,"Lift",IF(BJ1434&lt;=0,"Aussenlager","teilweise")))))</f>
        <v>Nicht im Lift</v>
      </c>
      <c r="BN1434" s="60" t="str">
        <f aca="false">IF(A1434="","",IF(BW1434=1,"Neu; ","")&amp;IF(AND(BW1434=0,BR1434&lt;0),"negativer Bestand (Export "&amp;BR1434&amp;"); ","")&amp;IF(J1434&lt;=0,"Kein Verbrauch; ","")&amp;IF(CR1434&gt;0,"Lift "&amp;W1434&amp;" lt. Liftbericht (Fach "&amp;X1434&amp;" Stk); ",IF(CB1434=1,"Gebinde geschätzt ("&amp;T1434&amp;"); ",IF(CA1434=1,"Lose – Tablare geschätzt; ","")))&amp;IF(H1434&gt;AW1434,"Überbestand "&amp;ROUND(H1434-AW1434,0)&amp;" Stk / CHF "&amp;ROUND((H1434-AW1434)*G1434,0)&amp;"; ","")&amp;IF(AND(CI1434=1,CJ1434&lt;CK1434),"MAX &lt; MB+LG; ","")&amp;IF(AND(CQ1434&gt;0,CP1434*10&gt;CQ1434),"zu hoch für Tablar; ","")&amp;IF(AND(BW1434=0,OR(CI1434=1,AB1434&lt;&gt;"",U1434&lt;&gt;"",V1434&lt;&gt;"",AC1434&lt;&gt;"")),"manuell übersteuert; ","")&amp;IF(AND(CA1434=0,R1434=0),"Gebinde unbekannt / Stellmass fehlt; ","")&amp;IF(AND(CA1434=0,N(V1434)&lt;=0,N(Q1434)&lt;=0),"Menge pro Gebinde fehlt (Ist = 1 Gebinde); ","")&amp;BV1434)</f>
        <v>negativer Bestand (Export -20); Kein Verbrauch; Gebinde geschätzt (Mittel); Menge pro Gebinde fehlt (Ist = 1 Gebinde); </v>
      </c>
      <c r="BO1434" s="60"/>
      <c r="BP1434" s="60"/>
      <c r="BQ1434" s="67"/>
      <c r="BR1434" s="62" t="n">
        <v>-20</v>
      </c>
      <c r="BS1434" s="62" t="n">
        <v>20</v>
      </c>
      <c r="BT1434" s="61" t="n">
        <v>-7162.4</v>
      </c>
      <c r="BU1434" s="62" t="n">
        <v>0</v>
      </c>
      <c r="BV1434" s="60"/>
      <c r="BW1434" s="65" t="n">
        <v>0</v>
      </c>
      <c r="BX1434" s="65" t="n">
        <v>1434</v>
      </c>
      <c r="BY1434" s="60" t="str">
        <f aca="false">IF(U1434&lt;&gt;"",UPPER(TRIM(U1434)),IF(CB1434=1,UPPER(VLOOKUP(T1434,Parameter!$I$27:$K$29,2,0)),IF(P1434="","LOSE",P1434)))</f>
        <v>S61</v>
      </c>
      <c r="BZ1434" s="62" t="n">
        <f aca="false">IF(BY1434="LOSE",1,IF(N(V1434)&gt;0,V1434,IF(CB1434=1,MAX(1,N(VLOOKUP(T1434,Parameter!$I$27:$K$29,3,0)),H1434,N(N1434)),IF(N(Q1434)&gt;0,Q1434,MAX(1,H1434)))))</f>
        <v>4</v>
      </c>
      <c r="CA1434" s="65" t="n">
        <f aca="false">IF(BY1434="LOSE",1,0)</f>
        <v>0</v>
      </c>
      <c r="CB1434" s="65" t="n">
        <f aca="false">IF(AND(U1434="",OR(P1434="",P1434="LOSE"),T1434&lt;&gt;"",N(S1434)&lt;=0,ISNUMBER(MATCH(T1434,Parameter!$I$27:$I$29,0))),1,0)</f>
        <v>1</v>
      </c>
      <c r="CC1434" s="65" t="n">
        <f aca="false">IF(CR1434&gt;0,INDEX(Parameter!$H$5:$H$7,W1434)/INDEX(Parameter!$E$5:$E$7,W1434),IF(AND(CA1434=0,N(IFERROR(VLOOKUP(BY1434,'Gebinde-Kategorie'!$A$5:$N$45,14,0),0))&gt;0),VLOOKUP(BY1434,'Gebinde-Kategorie'!$A$5:$N$45,14,0)*10+Parameter!$M$23,Parameter!$M$24))</f>
        <v>145</v>
      </c>
      <c r="CD1434" s="60" t="str">
        <f aca="false">IF(AND(Parameter!$B$19="Ja",E1434&lt;&gt;"",ISNUMBER(MATCH(E1434,Parameter!$I$35:$I$52,0))),VLOOKUP(E1434,Parameter!$I$35:$J$52,2,0),IFERROR(VLOOKUP(D1434,Parameter!$A$35:$C$64,2,0),"Nein"))</f>
        <v>Nein</v>
      </c>
      <c r="CE1434" s="64" t="n">
        <f aca="false">IF(CA1434=0,0,IF(N(S1434)&gt;0,S1434,IFERROR(VLOOKUP(D1434,Parameter!$A$35:$C$64,3,0)+0,0)))</f>
        <v>0</v>
      </c>
      <c r="CF1434" s="60" t="str">
        <f aca="false">IF(AB1434&lt;&gt;"",AB1434,AA1434)</f>
        <v>-</v>
      </c>
      <c r="CG1434" s="60" t="str">
        <f aca="false">IF(OR(CF1434=1,CF1434=2,CF1434=3),IF(Parameter!$E$27="Ja","LIFT",IF(CF1434=1,"L1","L23")),IF(CF1434="Aussen","Aussen","-"))</f>
        <v>-</v>
      </c>
      <c r="CH1434" s="71" t="n">
        <f aca="false">IF(N(AC1434)&gt;0,AC1434,0)</f>
        <v>0</v>
      </c>
      <c r="CI1434" s="65" t="n">
        <f aca="false">IF(ISNUMBER(AF1434),1,0)</f>
        <v>0</v>
      </c>
      <c r="CJ1434" s="62" t="n">
        <f aca="false">N(AF1434)</f>
        <v>0</v>
      </c>
      <c r="CK1434" s="62" t="n">
        <f aca="false">N(M1434)+N(N1434)</f>
        <v>1</v>
      </c>
      <c r="CL1434" s="62" t="n">
        <f aca="false">N(M1434)</f>
        <v>0</v>
      </c>
      <c r="CM1434" s="62" t="n">
        <f aca="false">N(N1434)</f>
        <v>1</v>
      </c>
      <c r="CN1434" s="62" t="n">
        <f aca="false">ROUNDUP(H1434/BZ1434,0)</f>
        <v>0</v>
      </c>
      <c r="CO1434" s="62" t="n">
        <f aca="false">ROUNDUP(CJ1434/BZ1434,0)</f>
        <v>0</v>
      </c>
      <c r="CP1434" s="65" t="n">
        <f aca="false">IF(CA1434=1,0,IFERROR(VLOOKUP(BY1434,'Gebinde-Kategorie'!$A$5:$N$45,5,0)+0,0))</f>
        <v>11</v>
      </c>
      <c r="CQ1434" s="65" t="n">
        <f aca="false">IFERROR(IF(OR(CF1434=1,CF1434=2,CF1434=3),N(INDEX(Parameter!$I$5:$I$7,CF1434)),0),0)</f>
        <v>0</v>
      </c>
      <c r="CR1434" s="64" t="n">
        <f aca="false">IF(AND(Parameter!$B$21="Ja",ISNUMBER(W1434),N(X1434)&gt;0),IFERROR(N(INDEX(Parameter!$L$5:$L$7,W1434))*INDEX(Parameter!$E$5:$E$7,W1434)*X1434/SUMIFS($X$7:$X$1843,$W$7:$W$1843,W1434),0),0)</f>
        <v>0</v>
      </c>
      <c r="CS1434" s="62" t="str">
        <f aca="false">IF(AND(OR(CG1434="L1",CG1434="L23",CG1434="LIFT"),H1434&gt;0),CC1434*IF(CR1434&gt;0,CR1434*MAX(1,H1434/X1434),IF(CA1434=1,CE1434,IF(R1434&gt;0,CN1434/R1434,0))/MAX(0.1,N(Parameter!$M$21))),"")</f>
        <v/>
      </c>
      <c r="CT1434" s="64" t="str">
        <f aca="false">IF(CS1434="","",J1434/H1434)</f>
        <v/>
      </c>
      <c r="CU1434" s="62" t="str">
        <f aca="false">IF(CS1434="","",H1434*G1434)</f>
        <v/>
      </c>
      <c r="CV1434" s="63" t="str">
        <f aca="false">IF(CS1434="","",(CL1434+ROUNDUP(CL1434+MAX(CM1434,2*(J1434/MAX(0.1,N(Einkauf!$C$6))-CL1434)),0))/2)</f>
        <v/>
      </c>
      <c r="CW1434" s="62" t="str">
        <f aca="false">IF(CS1434="","",MAX(0,H1434-CV1434)*G1434)</f>
        <v/>
      </c>
      <c r="CX1434" s="62" t="str">
        <f aca="false">IF(CS1434="","",CS1434*MAX(0,1-CV1434/H1434))</f>
        <v/>
      </c>
      <c r="CY1434" s="64" t="str">
        <f aca="false">IF(CS1434="","",PERCENTRANK($CS$7:$CS$1843,CS1434)+PERCENTRANK($CU$7:$CU$1843,CU1434)+1-PERCENTRANK($CT$7:$CT$1843,CT1434))</f>
        <v/>
      </c>
      <c r="CZ1434" s="72" t="str">
        <f aca="false">IF(CS1434="","",CHOOSE(MATCH(Einkauf!$C$5,Parameter!$G$23:$G$27,0),CY1434,CS1434,CU1434,-CT1434,CW1434)+ROW()/1000000000)</f>
        <v/>
      </c>
    </row>
    <row r="1435" customFormat="false" ht="15" hidden="false" customHeight="false" outlineLevel="0" collapsed="false">
      <c r="A1435" s="60" t="s">
        <v>2555</v>
      </c>
      <c r="B1435" s="60" t="s">
        <v>2556</v>
      </c>
      <c r="C1435" s="60" t="s">
        <v>498</v>
      </c>
      <c r="D1435" s="60" t="s">
        <v>215</v>
      </c>
      <c r="E1435" s="60"/>
      <c r="F1435" s="60" t="s">
        <v>260</v>
      </c>
      <c r="G1435" s="61" t="n">
        <v>700.22</v>
      </c>
      <c r="H1435" s="62" t="n">
        <f aca="false">MAX(0,IF(AND(Parameter!$B$21="Ja",ISNUMBER(Y1435)),Y1435,IF(Parameter!$B$20="Jahresanfang 2025 + Export",BS1435+BR1435,BR1435)))</f>
        <v>0</v>
      </c>
      <c r="I1435" s="62" t="n">
        <f aca="false">H1435*G1435</f>
        <v>0</v>
      </c>
      <c r="J1435" s="62" t="n">
        <f aca="false">BU1435*Parameter!$B$18</f>
        <v>21</v>
      </c>
      <c r="K1435" s="63" t="n">
        <v>12.5</v>
      </c>
      <c r="L1435" s="64" t="n">
        <v>1.68</v>
      </c>
      <c r="M1435" s="62" t="n">
        <v>0</v>
      </c>
      <c r="N1435" s="62" t="n">
        <v>10</v>
      </c>
      <c r="O1435" s="65" t="n">
        <v>63</v>
      </c>
      <c r="P1435" s="60" t="s">
        <v>210</v>
      </c>
      <c r="Q1435" s="62"/>
      <c r="R1435" s="65" t="n">
        <f aca="false">IF(CA1435=1,0,IFERROR(VLOOKUP(BY1435,'Gebinde-Kategorie'!$A$5:$N$45,13,0)+0,0))</f>
        <v>12</v>
      </c>
      <c r="S1435" s="66"/>
      <c r="T1435" s="67" t="s">
        <v>221</v>
      </c>
      <c r="U1435" s="67"/>
      <c r="V1435" s="67"/>
      <c r="W1435" s="60"/>
      <c r="X1435" s="62"/>
      <c r="Y1435" s="62"/>
      <c r="Z1435" s="60" t="n">
        <v>3</v>
      </c>
      <c r="AA1435" s="60" t="n">
        <f aca="false">IF(A1435="","",IF(AND(Parameter!$B$21="Ja",ISNUMBER(W1435)),W1435,IF(AND(Parameter!$E$27="Ja",ISNUMBER(Z1435),CD1435&lt;&gt;"Nein"),Z1435,IF(CD1435="2+3",IF(ISNUMBER(SEARCH("grosser Artikel",BV1435)),2,IFERROR(VLOOKUP(BY1435,Parameter!$F$35:$G$64,2,0),2)),IF(OR(CD1435="Nein",CD1435=""),"-",CD1435)))))</f>
        <v>3</v>
      </c>
      <c r="AB1435" s="67"/>
      <c r="AC1435" s="68"/>
      <c r="AD1435" s="62" t="n">
        <f aca="false">AW1435</f>
        <v>14</v>
      </c>
      <c r="AE1435" s="62" t="n">
        <f aca="false">MAX(AW1435,H1435)</f>
        <v>14</v>
      </c>
      <c r="AF1435" s="69"/>
      <c r="AG1435" s="62" t="n">
        <f aca="false">IF(LEFT(Cockpit!$C$5,1)="A",H1435,IF(Parameter!$E$30="MAX-Bestand",IF(CI1435=1,CJ1435,IF(LEFT(Cockpit!$C$5,1)="B",AM1435,MAX(AM1435,H1435))),ROUNDUP(AK1435,0)))</f>
        <v>0</v>
      </c>
      <c r="AH1435" s="62" t="n">
        <f aca="false">IF(CA1435=1,0,ROUNDUP(AG1435/BZ1435,0))</f>
        <v>0</v>
      </c>
      <c r="AI1435" s="64" t="n">
        <f aca="false">IF(CR1435&gt;0,CR1435*MAX(1,AG1435/X1435),IF(CA1435=1,IF(AG1435&lt;=0,0,CE1435*MAX(1,IF(H1435&gt;0,AG1435/H1435,1))),IF(R1435&gt;0,AH1435/R1435,0))/MAX(0.1,N(Parameter!$M$21)))</f>
        <v>0</v>
      </c>
      <c r="AJ1435" s="62" t="n">
        <f aca="false">AI1435*CC1435</f>
        <v>0</v>
      </c>
      <c r="AK1435" s="63" t="n">
        <f aca="false">IF(LEFT(Cockpit!$C$5,1)="A",H1435,IF(CI1435=1,(CL1435+CJ1435)/2,IF(LEFT(Cockpit!$C$5,1)="B",(CL1435+AM1435)/2,MAX((CL1435+AM1435)/2,H1435))))</f>
        <v>0</v>
      </c>
      <c r="AL1435" s="62" t="n">
        <f aca="false">AK1435*G1435</f>
        <v>0</v>
      </c>
      <c r="AM1435" s="62" t="n">
        <f aca="false">ROUNDUP(CL1435+MAX(CM1435,2*(J1435/IF(CH1435&gt;0,CH1435,MAX(0.1,N(Cockpit!$C$6)))-CL1435)),0)</f>
        <v>14</v>
      </c>
      <c r="AN1435" s="63" t="n">
        <f aca="false">IF(AJ1435&gt;0,J1435/AJ1435,-1)</f>
        <v>-1</v>
      </c>
      <c r="AO1435" s="63" t="str">
        <f aca="false">IF(AND(OR(CG1435="L1",CG1435="L23",CG1435="LIFT"),AJ1435&gt;0),SUMIFS($AJ$7:$AJ$1843,$CG$7:$CG$1843,CG1435,$AN$7:$AN$1843,"&gt;"&amp;AN1435)+SUMIFS($AJ$7:$AJ$1843,$CG$7:$CG$1843,CG1435,$AN$7:$AN$1843,AN1435,$BX$7:$BX$1843,"&lt;="&amp;BX1435),"")</f>
        <v/>
      </c>
      <c r="AP1435" s="70" t="n">
        <f aca="false">IF(AO1435="",0,MAX(0,MIN(1,(IF(CG1435="L1",Parameter!$H$5,IF(CG1435="L23",Parameter!$H$6+Parameter!$H$7,Parameter!$H$5+Parameter!$H$6+Parameter!$H$7))-(AO1435-AJ1435))/AJ1435)))</f>
        <v>0</v>
      </c>
      <c r="AQ1435" s="62" t="n">
        <f aca="false">IF(LEFT(Cockpit!$I$5,1)="A",H1435,IF(Parameter!$E$30="MAX-Bestand",IF(CI1435=1,CJ1435,IF(LEFT(Cockpit!$I$5,1)="B",AW1435,MAX(AW1435,H1435))),ROUNDUP(AU1435,0)))</f>
        <v>7</v>
      </c>
      <c r="AR1435" s="62" t="n">
        <f aca="false">IF(CA1435=1,0,ROUNDUP(AQ1435/BZ1435,0))</f>
        <v>1</v>
      </c>
      <c r="AS1435" s="64" t="n">
        <f aca="false">IF(CR1435&gt;0,CR1435*MAX(1,AQ1435/X1435),IF(CA1435=1,IF(AQ1435&lt;=0,0,CE1435*MAX(1,IF(H1435&gt;0,AQ1435/H1435,1))),IF(R1435&gt;0,AR1435/R1435,0))/MAX(0.1,N(Parameter!$M$21)))</f>
        <v>0.0833333333333333</v>
      </c>
      <c r="AT1435" s="62" t="n">
        <f aca="false">AS1435*CC1435</f>
        <v>12.0833333333333</v>
      </c>
      <c r="AU1435" s="63" t="n">
        <f aca="false">IF(LEFT(Cockpit!$I$5,1)="A",H1435,IF(CI1435=1,(CL1435+CJ1435)/2,IF(LEFT(Cockpit!$I$5,1)="B",(CL1435+AW1435)/2,MAX((CL1435+AW1435)/2,H1435))))</f>
        <v>7</v>
      </c>
      <c r="AV1435" s="62" t="n">
        <f aca="false">AU1435*G1435</f>
        <v>4901.54</v>
      </c>
      <c r="AW1435" s="62" t="n">
        <f aca="false">ROUNDUP(CL1435+MAX(CM1435,2*(J1435/IF(CH1435&gt;0,CH1435,MAX(0.1,N(Cockpit!$I$6)))-CL1435)),0)</f>
        <v>14</v>
      </c>
      <c r="AX1435" s="63" t="n">
        <f aca="false">IF(AT1435&gt;0,J1435/AT1435,-1)</f>
        <v>1.73793103448276</v>
      </c>
      <c r="AY1435" s="63" t="n">
        <f aca="false">IF(AND(OR(CG1435="L1",CG1435="L23",CG1435="LIFT"),AT1435&gt;0),SUMIFS($AT$7:$AT$1843,$CG$7:$CG$1843,CG1435,$AX$7:$AX$1843,"&gt;"&amp;AX1435)+SUMIFS($AT$7:$AT$1843,$CG$7:$CG$1843,CG1435,$AX$7:$AX$1843,AX1435,$BX$7:$BX$1843,"&lt;="&amp;BX1435),"")</f>
        <v>7476.83791208791</v>
      </c>
      <c r="AZ1435" s="70" t="n">
        <f aca="false">IF(AY1435="",0,MAX(0,MIN(1,(IF(CG1435="L1",Parameter!$H$5,IF(CG1435="L23",Parameter!$H$6+Parameter!$H$7,Parameter!$H$5+Parameter!$H$6+Parameter!$H$7))-(AY1435-AT1435))/AT1435)))</f>
        <v>1</v>
      </c>
      <c r="BA1435" s="62" t="n">
        <f aca="false">IF(LEFT(Cockpit!$O$5,1)="A",H1435,IF(Parameter!$E$30="MAX-Bestand",IF(CI1435=1,CJ1435,IF(LEFT(Cockpit!$O$5,1)="B",BG1435,MAX(BG1435,H1435))),ROUNDUP(BE1435,0)))</f>
        <v>6</v>
      </c>
      <c r="BB1435" s="62" t="n">
        <f aca="false">IF(CA1435=1,0,ROUNDUP(BA1435/BZ1435,0))</f>
        <v>1</v>
      </c>
      <c r="BC1435" s="64" t="n">
        <f aca="false">IF(CR1435&gt;0,CR1435*MAX(1,BA1435/X1435),IF(CA1435=1,IF(BA1435&lt;=0,0,CE1435*MAX(1,IF(H1435&gt;0,BA1435/H1435,1))),IF(R1435&gt;0,BB1435/R1435,0))/MAX(0.1,N(Parameter!$M$21)))</f>
        <v>0.0833333333333333</v>
      </c>
      <c r="BD1435" s="62" t="n">
        <f aca="false">BC1435*CC1435</f>
        <v>12.0833333333333</v>
      </c>
      <c r="BE1435" s="63" t="n">
        <f aca="false">IF(LEFT(Cockpit!$O$5,1)="A",H1435,IF(CI1435=1,(CL1435+CJ1435)/2,IF(LEFT(Cockpit!$O$5,1)="B",(CL1435+BG1435)/2,MAX((CL1435+BG1435)/2,H1435))))</f>
        <v>5.5</v>
      </c>
      <c r="BF1435" s="62" t="n">
        <f aca="false">BE1435*G1435</f>
        <v>3851.21</v>
      </c>
      <c r="BG1435" s="62" t="n">
        <f aca="false">ROUNDUP(CL1435+MAX(CM1435,2*(J1435/IF(CH1435&gt;0,CH1435,MAX(0.1,N(Cockpit!$O$6)))-CL1435)),0)</f>
        <v>11</v>
      </c>
      <c r="BH1435" s="63" t="n">
        <f aca="false">IF(BD1435&gt;0,J1435/BD1435,-1)</f>
        <v>1.73793103448276</v>
      </c>
      <c r="BI1435" s="63" t="n">
        <f aca="false">IF(AND(OR(CG1435="L1",CG1435="L23",CG1435="LIFT"),BD1435&gt;0),SUMIFS($BD$7:$BD$1843,$CG$7:$CG$1843,CG1435,$BH$7:$BH$1843,"&gt;"&amp;BH1435)+SUMIFS($BD$7:$BD$1843,$CG$7:$CG$1843,CG1435,$BH$7:$BH$1843,BH1435,$BX$7:$BX$1843,"&lt;="&amp;BX1435),"")</f>
        <v>6282.2586996337</v>
      </c>
      <c r="BJ1435" s="70" t="n">
        <f aca="false">IF(BI1435="",0,MAX(0,MIN(1,(IF(CG1435="L1",Parameter!$H$5,IF(CG1435="L23",Parameter!$H$6+Parameter!$H$7,Parameter!$H$5+Parameter!$H$6+Parameter!$H$7))-(BI1435-BD1435))/BD1435)))</f>
        <v>1</v>
      </c>
      <c r="BK1435" s="60" t="str">
        <f aca="false">IF(AJ1435&lt;=0,"",IF(CG1435="Aussen","Aussenlager",IF(CG1435="-","Nicht im Lift",IF(AP1435&gt;=1,"Lift",IF(AP1435&lt;=0,"Aussenlager","teilweise")))))</f>
        <v/>
      </c>
      <c r="BL1435" s="60" t="str">
        <f aca="false">IF(AT1435&lt;=0,"",IF(CG1435="Aussen","Aussenlager",IF(CG1435="-","Nicht im Lift",IF(AZ1435&gt;=1,"Lift",IF(AZ1435&lt;=0,"Aussenlager","teilweise")))))</f>
        <v>Lift</v>
      </c>
      <c r="BM1435" s="60" t="str">
        <f aca="false">IF(BD1435&lt;=0,"",IF(CG1435="Aussen","Aussenlager",IF(CG1435="-","Nicht im Lift",IF(BJ1435&gt;=1,"Lift",IF(BJ1435&lt;=0,"Aussenlager","teilweise")))))</f>
        <v>Lift</v>
      </c>
      <c r="BN1435" s="60" t="str">
        <f aca="false">IF(A1435="","",IF(BW1435=1,"Neu; ","")&amp;IF(AND(BW1435=0,BR1435&lt;0),"negativer Bestand (Export "&amp;BR1435&amp;"); ","")&amp;IF(J1435&lt;=0,"Kein Verbrauch; ","")&amp;IF(CR1435&gt;0,"Lift "&amp;W1435&amp;" lt. Liftbericht (Fach "&amp;X1435&amp;" Stk); ",IF(CB1435=1,"Gebinde geschätzt ("&amp;T1435&amp;"); ",IF(CA1435=1,"Lose – Tablare geschätzt; ","")))&amp;IF(H1435&gt;AW1435,"Überbestand "&amp;ROUND(H1435-AW1435,0)&amp;" Stk / CHF "&amp;ROUND((H1435-AW1435)*G1435,0)&amp;"; ","")&amp;IF(AND(CI1435=1,CJ1435&lt;CK1435),"MAX &lt; MB+LG; ","")&amp;IF(AND(CQ1435&gt;0,CP1435*10&gt;CQ1435),"zu hoch für Tablar; ","")&amp;IF(AND(BW1435=0,OR(CI1435=1,AB1435&lt;&gt;"",U1435&lt;&gt;"",V1435&lt;&gt;"",AC1435&lt;&gt;"")),"manuell übersteuert; ","")&amp;IF(AND(CA1435=0,R1435=0),"Gebinde unbekannt / Stellmass fehlt; ","")&amp;IF(AND(CA1435=0,N(V1435)&lt;=0,N(Q1435)&lt;=0),"Menge pro Gebinde fehlt (Ist = 1 Gebinde); ","")&amp;BV1435)</f>
        <v>negativer Bestand (Export -11); Gebinde geschätzt (Mittel); Menge pro Gebinde fehlt (Ist = 1 Gebinde); </v>
      </c>
      <c r="BO1435" s="60"/>
      <c r="BP1435" s="60"/>
      <c r="BQ1435" s="67"/>
      <c r="BR1435" s="62" t="n">
        <v>-11</v>
      </c>
      <c r="BS1435" s="62" t="n">
        <v>11</v>
      </c>
      <c r="BT1435" s="61" t="n">
        <v>-7934.19</v>
      </c>
      <c r="BU1435" s="62" t="n">
        <v>21</v>
      </c>
      <c r="BV1435" s="60"/>
      <c r="BW1435" s="65" t="n">
        <v>0</v>
      </c>
      <c r="BX1435" s="65" t="n">
        <v>1435</v>
      </c>
      <c r="BY1435" s="60" t="str">
        <f aca="false">IF(U1435&lt;&gt;"",UPPER(TRIM(U1435)),IF(CB1435=1,UPPER(VLOOKUP(T1435,Parameter!$I$27:$K$29,2,0)),IF(P1435="","LOSE",P1435)))</f>
        <v>S61</v>
      </c>
      <c r="BZ1435" s="62" t="n">
        <f aca="false">IF(BY1435="LOSE",1,IF(N(V1435)&gt;0,V1435,IF(CB1435=1,MAX(1,N(VLOOKUP(T1435,Parameter!$I$27:$K$29,3,0)),H1435,N(N1435)),IF(N(Q1435)&gt;0,Q1435,MAX(1,H1435)))))</f>
        <v>10</v>
      </c>
      <c r="CA1435" s="65" t="n">
        <f aca="false">IF(BY1435="LOSE",1,0)</f>
        <v>0</v>
      </c>
      <c r="CB1435" s="65" t="n">
        <f aca="false">IF(AND(U1435="",OR(P1435="",P1435="LOSE"),T1435&lt;&gt;"",N(S1435)&lt;=0,ISNUMBER(MATCH(T1435,Parameter!$I$27:$I$29,0))),1,0)</f>
        <v>1</v>
      </c>
      <c r="CC1435" s="65" t="n">
        <f aca="false">IF(CR1435&gt;0,INDEX(Parameter!$H$5:$H$7,W1435)/INDEX(Parameter!$E$5:$E$7,W1435),IF(AND(CA1435=0,N(IFERROR(VLOOKUP(BY1435,'Gebinde-Kategorie'!$A$5:$N$45,14,0),0))&gt;0),VLOOKUP(BY1435,'Gebinde-Kategorie'!$A$5:$N$45,14,0)*10+Parameter!$M$23,Parameter!$M$24))</f>
        <v>145</v>
      </c>
      <c r="CD1435" s="60" t="str">
        <f aca="false">IF(AND(Parameter!$B$19="Ja",E1435&lt;&gt;"",ISNUMBER(MATCH(E1435,Parameter!$I$35:$I$52,0))),VLOOKUP(E1435,Parameter!$I$35:$J$52,2,0),IFERROR(VLOOKUP(D1435,Parameter!$A$35:$C$64,2,0),"Nein"))</f>
        <v>2+3</v>
      </c>
      <c r="CE1435" s="64" t="n">
        <f aca="false">IF(CA1435=0,0,IF(N(S1435)&gt;0,S1435,IFERROR(VLOOKUP(D1435,Parameter!$A$35:$C$64,3,0)+0,0)))</f>
        <v>0</v>
      </c>
      <c r="CF1435" s="60" t="n">
        <f aca="false">IF(AB1435&lt;&gt;"",AB1435,AA1435)</f>
        <v>3</v>
      </c>
      <c r="CG1435" s="60" t="str">
        <f aca="false">IF(OR(CF1435=1,CF1435=2,CF1435=3),IF(Parameter!$E$27="Ja","LIFT",IF(CF1435=1,"L1","L23")),IF(CF1435="Aussen","Aussen","-"))</f>
        <v>LIFT</v>
      </c>
      <c r="CH1435" s="71" t="n">
        <f aca="false">IF(N(AC1435)&gt;0,AC1435,0)</f>
        <v>0</v>
      </c>
      <c r="CI1435" s="65" t="n">
        <f aca="false">IF(ISNUMBER(AF1435),1,0)</f>
        <v>0</v>
      </c>
      <c r="CJ1435" s="62" t="n">
        <f aca="false">N(AF1435)</f>
        <v>0</v>
      </c>
      <c r="CK1435" s="62" t="n">
        <f aca="false">N(M1435)+N(N1435)</f>
        <v>10</v>
      </c>
      <c r="CL1435" s="62" t="n">
        <f aca="false">N(M1435)</f>
        <v>0</v>
      </c>
      <c r="CM1435" s="62" t="n">
        <f aca="false">N(N1435)</f>
        <v>10</v>
      </c>
      <c r="CN1435" s="62" t="n">
        <f aca="false">ROUNDUP(H1435/BZ1435,0)</f>
        <v>0</v>
      </c>
      <c r="CO1435" s="62" t="n">
        <f aca="false">ROUNDUP(CJ1435/BZ1435,0)</f>
        <v>0</v>
      </c>
      <c r="CP1435" s="65" t="n">
        <f aca="false">IF(CA1435=1,0,IFERROR(VLOOKUP(BY1435,'Gebinde-Kategorie'!$A$5:$N$45,5,0)+0,0))</f>
        <v>11</v>
      </c>
      <c r="CQ1435" s="65" t="n">
        <f aca="false">IFERROR(IF(OR(CF1435=1,CF1435=2,CF1435=3),N(INDEX(Parameter!$I$5:$I$7,CF1435)),0),0)</f>
        <v>0</v>
      </c>
      <c r="CR1435" s="64" t="n">
        <f aca="false">IF(AND(Parameter!$B$21="Ja",ISNUMBER(W1435),N(X1435)&gt;0),IFERROR(N(INDEX(Parameter!$L$5:$L$7,W1435))*INDEX(Parameter!$E$5:$E$7,W1435)*X1435/SUMIFS($X$7:$X$1843,$W$7:$W$1843,W1435),0),0)</f>
        <v>0</v>
      </c>
      <c r="CS1435" s="62" t="str">
        <f aca="false">IF(AND(OR(CG1435="L1",CG1435="L23",CG1435="LIFT"),H1435&gt;0),CC1435*IF(CR1435&gt;0,CR1435*MAX(1,H1435/X1435),IF(CA1435=1,CE1435,IF(R1435&gt;0,CN1435/R1435,0))/MAX(0.1,N(Parameter!$M$21))),"")</f>
        <v/>
      </c>
      <c r="CT1435" s="64" t="str">
        <f aca="false">IF(CS1435="","",J1435/H1435)</f>
        <v/>
      </c>
      <c r="CU1435" s="62" t="str">
        <f aca="false">IF(CS1435="","",H1435*G1435)</f>
        <v/>
      </c>
      <c r="CV1435" s="63" t="str">
        <f aca="false">IF(CS1435="","",(CL1435+ROUNDUP(CL1435+MAX(CM1435,2*(J1435/MAX(0.1,N(Einkauf!$C$6))-CL1435)),0))/2)</f>
        <v/>
      </c>
      <c r="CW1435" s="62" t="str">
        <f aca="false">IF(CS1435="","",MAX(0,H1435-CV1435)*G1435)</f>
        <v/>
      </c>
      <c r="CX1435" s="62" t="str">
        <f aca="false">IF(CS1435="","",CS1435*MAX(0,1-CV1435/H1435))</f>
        <v/>
      </c>
      <c r="CY1435" s="64" t="str">
        <f aca="false">IF(CS1435="","",PERCENTRANK($CS$7:$CS$1843,CS1435)+PERCENTRANK($CU$7:$CU$1843,CU1435)+1-PERCENTRANK($CT$7:$CT$1843,CT1435))</f>
        <v/>
      </c>
      <c r="CZ1435" s="72" t="str">
        <f aca="false">IF(CS1435="","",CHOOSE(MATCH(Einkauf!$C$5,Parameter!$G$23:$G$27,0),CY1435,CS1435,CU1435,-CT1435,CW1435)+ROW()/1000000000)</f>
        <v/>
      </c>
    </row>
    <row r="1436" customFormat="false" ht="15" hidden="false" customHeight="false" outlineLevel="0" collapsed="false">
      <c r="A1436" s="60" t="s">
        <v>2557</v>
      </c>
      <c r="B1436" s="60" t="s">
        <v>2558</v>
      </c>
      <c r="C1436" s="60" t="s">
        <v>206</v>
      </c>
      <c r="D1436" s="60" t="s">
        <v>215</v>
      </c>
      <c r="E1436" s="60"/>
      <c r="F1436" s="60" t="s">
        <v>260</v>
      </c>
      <c r="G1436" s="61" t="n">
        <v>338.86</v>
      </c>
      <c r="H1436" s="62" t="n">
        <f aca="false">MAX(0,IF(AND(Parameter!$B$21="Ja",ISNUMBER(Y1436)),Y1436,IF(Parameter!$B$20="Jahresanfang 2025 + Export",BS1436+BR1436,BR1436)))</f>
        <v>15</v>
      </c>
      <c r="I1436" s="62" t="n">
        <f aca="false">H1436*G1436</f>
        <v>5082.9</v>
      </c>
      <c r="J1436" s="62" t="n">
        <f aca="false">BU1436*Parameter!$B$18</f>
        <v>36</v>
      </c>
      <c r="K1436" s="63" t="n">
        <v>27</v>
      </c>
      <c r="L1436" s="64" t="n">
        <v>1.33333333333333</v>
      </c>
      <c r="M1436" s="62" t="n">
        <v>2</v>
      </c>
      <c r="N1436" s="62" t="n">
        <v>15</v>
      </c>
      <c r="O1436" s="65" t="n">
        <v>21</v>
      </c>
      <c r="P1436" s="60" t="s">
        <v>216</v>
      </c>
      <c r="Q1436" s="62" t="n">
        <v>18</v>
      </c>
      <c r="R1436" s="65" t="n">
        <f aca="false">IF(CA1436=1,0,IFERROR(VLOOKUP(BY1436,'Gebinde-Kategorie'!$A$5:$N$45,13,0)+0,0))</f>
        <v>6</v>
      </c>
      <c r="S1436" s="66"/>
      <c r="T1436" s="67"/>
      <c r="U1436" s="67"/>
      <c r="V1436" s="67"/>
      <c r="W1436" s="60"/>
      <c r="X1436" s="62"/>
      <c r="Y1436" s="62"/>
      <c r="Z1436" s="60" t="n">
        <v>2</v>
      </c>
      <c r="AA1436" s="60" t="n">
        <f aca="false">IF(A1436="","",IF(AND(Parameter!$B$21="Ja",ISNUMBER(W1436)),W1436,IF(AND(Parameter!$E$27="Ja",ISNUMBER(Z1436),CD1436&lt;&gt;"Nein"),Z1436,IF(CD1436="2+3",IF(ISNUMBER(SEARCH("grosser Artikel",BV1436)),2,IFERROR(VLOOKUP(BY1436,Parameter!$F$35:$G$64,2,0),2)),IF(OR(CD1436="Nein",CD1436=""),"-",CD1436)))))</f>
        <v>2</v>
      </c>
      <c r="AB1436" s="67"/>
      <c r="AC1436" s="68"/>
      <c r="AD1436" s="62" t="n">
        <f aca="false">AW1436</f>
        <v>22</v>
      </c>
      <c r="AE1436" s="62" t="n">
        <f aca="false">MAX(AW1436,H1436)</f>
        <v>22</v>
      </c>
      <c r="AF1436" s="69"/>
      <c r="AG1436" s="62" t="n">
        <f aca="false">IF(LEFT(Cockpit!$C$5,1)="A",H1436,IF(Parameter!$E$30="MAX-Bestand",IF(CI1436=1,CJ1436,IF(LEFT(Cockpit!$C$5,1)="B",AM1436,MAX(AM1436,H1436))),ROUNDUP(AK1436,0)))</f>
        <v>15</v>
      </c>
      <c r="AH1436" s="62" t="n">
        <f aca="false">IF(CA1436=1,0,ROUNDUP(AG1436/BZ1436,0))</f>
        <v>1</v>
      </c>
      <c r="AI1436" s="64" t="n">
        <f aca="false">IF(CR1436&gt;0,CR1436*MAX(1,AG1436/X1436),IF(CA1436=1,IF(AG1436&lt;=0,0,CE1436*MAX(1,IF(H1436&gt;0,AG1436/H1436,1))),IF(R1436&gt;0,AH1436/R1436,0))/MAX(0.1,N(Parameter!$M$21)))</f>
        <v>0.166666666666667</v>
      </c>
      <c r="AJ1436" s="62" t="n">
        <f aca="false">AI1436*CC1436</f>
        <v>39.1666666666667</v>
      </c>
      <c r="AK1436" s="63" t="n">
        <f aca="false">IF(LEFT(Cockpit!$C$5,1)="A",H1436,IF(CI1436=1,(CL1436+CJ1436)/2,IF(LEFT(Cockpit!$C$5,1)="B",(CL1436+AM1436)/2,MAX((CL1436+AM1436)/2,H1436))))</f>
        <v>15</v>
      </c>
      <c r="AL1436" s="62" t="n">
        <f aca="false">AK1436*G1436</f>
        <v>5082.9</v>
      </c>
      <c r="AM1436" s="62" t="n">
        <f aca="false">ROUNDUP(CL1436+MAX(CM1436,2*(J1436/IF(CH1436&gt;0,CH1436,MAX(0.1,N(Cockpit!$C$6)))-CL1436)),0)</f>
        <v>22</v>
      </c>
      <c r="AN1436" s="63" t="n">
        <f aca="false">IF(AJ1436&gt;0,J1436/AJ1436,-1)</f>
        <v>0.919148936170213</v>
      </c>
      <c r="AO1436" s="63" t="n">
        <f aca="false">IF(AND(OR(CG1436="L1",CG1436="L23",CG1436="LIFT"),AJ1436&gt;0),SUMIFS($AJ$7:$AJ$1843,$CG$7:$CG$1843,CG1436,$AN$7:$AN$1843,"&gt;"&amp;AN1436)+SUMIFS($AJ$7:$AJ$1843,$CG$7:$CG$1843,CG1436,$AN$7:$AN$1843,AN1436,$BX$7:$BX$1843,"&lt;="&amp;BX1436),"")</f>
        <v>7394.70558608059</v>
      </c>
      <c r="AP1436" s="70" t="n">
        <f aca="false">IF(AO1436="",0,MAX(0,MIN(1,(IF(CG1436="L1",Parameter!$H$5,IF(CG1436="L23",Parameter!$H$6+Parameter!$H$7,Parameter!$H$5+Parameter!$H$6+Parameter!$H$7))-(AO1436-AJ1436))/AJ1436)))</f>
        <v>1</v>
      </c>
      <c r="AQ1436" s="62" t="n">
        <f aca="false">IF(LEFT(Cockpit!$I$5,1)="A",H1436,IF(Parameter!$E$30="MAX-Bestand",IF(CI1436=1,CJ1436,IF(LEFT(Cockpit!$I$5,1)="B",AW1436,MAX(AW1436,H1436))),ROUNDUP(AU1436,0)))</f>
        <v>15</v>
      </c>
      <c r="AR1436" s="62" t="n">
        <f aca="false">IF(CA1436=1,0,ROUNDUP(AQ1436/BZ1436,0))</f>
        <v>1</v>
      </c>
      <c r="AS1436" s="64" t="n">
        <f aca="false">IF(CR1436&gt;0,CR1436*MAX(1,AQ1436/X1436),IF(CA1436=1,IF(AQ1436&lt;=0,0,CE1436*MAX(1,IF(H1436&gt;0,AQ1436/H1436,1))),IF(R1436&gt;0,AR1436/R1436,0))/MAX(0.1,N(Parameter!$M$21)))</f>
        <v>0.166666666666667</v>
      </c>
      <c r="AT1436" s="62" t="n">
        <f aca="false">AS1436*CC1436</f>
        <v>39.1666666666667</v>
      </c>
      <c r="AU1436" s="63" t="n">
        <f aca="false">IF(LEFT(Cockpit!$I$5,1)="A",H1436,IF(CI1436=1,(CL1436+CJ1436)/2,IF(LEFT(Cockpit!$I$5,1)="B",(CL1436+AW1436)/2,MAX((CL1436+AW1436)/2,H1436))))</f>
        <v>15</v>
      </c>
      <c r="AV1436" s="62" t="n">
        <f aca="false">AU1436*G1436</f>
        <v>5082.9</v>
      </c>
      <c r="AW1436" s="62" t="n">
        <f aca="false">ROUNDUP(CL1436+MAX(CM1436,2*(J1436/IF(CH1436&gt;0,CH1436,MAX(0.1,N(Cockpit!$I$6)))-CL1436)),0)</f>
        <v>22</v>
      </c>
      <c r="AX1436" s="63" t="n">
        <f aca="false">IF(AT1436&gt;0,J1436/AT1436,-1)</f>
        <v>0.919148936170213</v>
      </c>
      <c r="AY1436" s="63" t="n">
        <f aca="false">IF(AND(OR(CG1436="L1",CG1436="L23",CG1436="LIFT"),AT1436&gt;0),SUMIFS($AT$7:$AT$1843,$CG$7:$CG$1843,CG1436,$AX$7:$AX$1843,"&gt;"&amp;AX1436)+SUMIFS($AT$7:$AT$1843,$CG$7:$CG$1843,CG1436,$AX$7:$AX$1843,AX1436,$BX$7:$BX$1843,"&lt;="&amp;BX1436),"")</f>
        <v>8969.1456043956</v>
      </c>
      <c r="AZ1436" s="70" t="n">
        <f aca="false">IF(AY1436="",0,MAX(0,MIN(1,(IF(CG1436="L1",Parameter!$H$5,IF(CG1436="L23",Parameter!$H$6+Parameter!$H$7,Parameter!$H$5+Parameter!$H$6+Parameter!$H$7))-(AY1436-AT1436))/AT1436)))</f>
        <v>1</v>
      </c>
      <c r="BA1436" s="62" t="n">
        <f aca="false">IF(LEFT(Cockpit!$O$5,1)="A",H1436,IF(Parameter!$E$30="MAX-Bestand",IF(CI1436=1,CJ1436,IF(LEFT(Cockpit!$O$5,1)="B",BG1436,MAX(BG1436,H1436))),ROUNDUP(BE1436,0)))</f>
        <v>10</v>
      </c>
      <c r="BB1436" s="62" t="n">
        <f aca="false">IF(CA1436=1,0,ROUNDUP(BA1436/BZ1436,0))</f>
        <v>1</v>
      </c>
      <c r="BC1436" s="64" t="n">
        <f aca="false">IF(CR1436&gt;0,CR1436*MAX(1,BA1436/X1436),IF(CA1436=1,IF(BA1436&lt;=0,0,CE1436*MAX(1,IF(H1436&gt;0,BA1436/H1436,1))),IF(R1436&gt;0,BB1436/R1436,0))/MAX(0.1,N(Parameter!$M$21)))</f>
        <v>0.166666666666667</v>
      </c>
      <c r="BD1436" s="62" t="n">
        <f aca="false">BC1436*CC1436</f>
        <v>39.1666666666667</v>
      </c>
      <c r="BE1436" s="63" t="n">
        <f aca="false">IF(LEFT(Cockpit!$O$5,1)="A",H1436,IF(CI1436=1,(CL1436+CJ1436)/2,IF(LEFT(Cockpit!$O$5,1)="B",(CL1436+BG1436)/2,MAX((CL1436+BG1436)/2,H1436))))</f>
        <v>9.5</v>
      </c>
      <c r="BF1436" s="62" t="n">
        <f aca="false">BE1436*G1436</f>
        <v>3219.17</v>
      </c>
      <c r="BG1436" s="62" t="n">
        <f aca="false">ROUNDUP(CL1436+MAX(CM1436,2*(J1436/IF(CH1436&gt;0,CH1436,MAX(0.1,N(Cockpit!$O$6)))-CL1436)),0)</f>
        <v>17</v>
      </c>
      <c r="BH1436" s="63" t="n">
        <f aca="false">IF(BD1436&gt;0,J1436/BD1436,-1)</f>
        <v>0.919148936170213</v>
      </c>
      <c r="BI1436" s="63" t="n">
        <f aca="false">IF(AND(OR(CG1436="L1",CG1436="L23",CG1436="LIFT"),BD1436&gt;0),SUMIFS($BD$7:$BD$1843,$CG$7:$CG$1843,CG1436,$BH$7:$BH$1843,"&gt;"&amp;BH1436)+SUMIFS($BD$7:$BD$1843,$CG$7:$CG$1843,CG1436,$BH$7:$BH$1843,BH1436,$BX$7:$BX$1843,"&lt;="&amp;BX1436),"")</f>
        <v>8167.57921245421</v>
      </c>
      <c r="BJ1436" s="70" t="n">
        <f aca="false">IF(BI1436="",0,MAX(0,MIN(1,(IF(CG1436="L1",Parameter!$H$5,IF(CG1436="L23",Parameter!$H$6+Parameter!$H$7,Parameter!$H$5+Parameter!$H$6+Parameter!$H$7))-(BI1436-BD1436))/BD1436)))</f>
        <v>1</v>
      </c>
      <c r="BK1436" s="60" t="str">
        <f aca="false">IF(AJ1436&lt;=0,"",IF(CG1436="Aussen","Aussenlager",IF(CG1436="-","Nicht im Lift",IF(AP1436&gt;=1,"Lift",IF(AP1436&lt;=0,"Aussenlager","teilweise")))))</f>
        <v>Lift</v>
      </c>
      <c r="BL1436" s="60" t="str">
        <f aca="false">IF(AT1436&lt;=0,"",IF(CG1436="Aussen","Aussenlager",IF(CG1436="-","Nicht im Lift",IF(AZ1436&gt;=1,"Lift",IF(AZ1436&lt;=0,"Aussenlager","teilweise")))))</f>
        <v>Lift</v>
      </c>
      <c r="BM1436" s="60" t="str">
        <f aca="false">IF(BD1436&lt;=0,"",IF(CG1436="Aussen","Aussenlager",IF(CG1436="-","Nicht im Lift",IF(BJ1436&gt;=1,"Lift",IF(BJ1436&lt;=0,"Aussenlager","teilweise")))))</f>
        <v>Lift</v>
      </c>
      <c r="BN1436" s="60" t="str">
        <f aca="false">IF(A1436="","",IF(BW1436=1,"Neu; ","")&amp;IF(AND(BW1436=0,BR1436&lt;0),"negativer Bestand (Export "&amp;BR1436&amp;"); ","")&amp;IF(J1436&lt;=0,"Kein Verbrauch; ","")&amp;IF(CR1436&gt;0,"Lift "&amp;W1436&amp;" lt. Liftbericht (Fach "&amp;X1436&amp;" Stk); ",IF(CB1436=1,"Gebinde geschätzt ("&amp;T1436&amp;"); ",IF(CA1436=1,"Lose – Tablare geschätzt; ","")))&amp;IF(H1436&gt;AW1436,"Überbestand "&amp;ROUND(H1436-AW1436,0)&amp;" Stk / CHF "&amp;ROUND((H1436-AW1436)*G1436,0)&amp;"; ","")&amp;IF(AND(CI1436=1,CJ1436&lt;CK1436),"MAX &lt; MB+LG; ","")&amp;IF(AND(CQ1436&gt;0,CP1436*10&gt;CQ1436),"zu hoch für Tablar; ","")&amp;IF(AND(BW1436=0,OR(CI1436=1,AB1436&lt;&gt;"",U1436&lt;&gt;"",V1436&lt;&gt;"",AC1436&lt;&gt;"")),"manuell übersteuert; ","")&amp;IF(AND(CA1436=0,R1436=0),"Gebinde unbekannt / Stellmass fehlt; ","")&amp;IF(AND(CA1436=0,N(V1436)&lt;=0,N(Q1436)&lt;=0),"Menge pro Gebinde fehlt (Ist = 1 Gebinde); ","")&amp;BV1436)</f>
        <v>negativer Bestand (Export -22); </v>
      </c>
      <c r="BO1436" s="60"/>
      <c r="BP1436" s="60"/>
      <c r="BQ1436" s="67"/>
      <c r="BR1436" s="62" t="n">
        <v>-22</v>
      </c>
      <c r="BS1436" s="62" t="n">
        <v>37</v>
      </c>
      <c r="BT1436" s="61" t="n">
        <v>-8095.76</v>
      </c>
      <c r="BU1436" s="62" t="n">
        <v>36</v>
      </c>
      <c r="BV1436" s="60"/>
      <c r="BW1436" s="65" t="n">
        <v>0</v>
      </c>
      <c r="BX1436" s="65" t="n">
        <v>1436</v>
      </c>
      <c r="BY1436" s="60" t="str">
        <f aca="false">IF(U1436&lt;&gt;"",UPPER(TRIM(U1436)),IF(CB1436=1,UPPER(VLOOKUP(T1436,Parameter!$I$27:$K$29,2,0)),IF(P1436="","LOSE",P1436)))</f>
        <v>S71</v>
      </c>
      <c r="BZ1436" s="62" t="n">
        <f aca="false">IF(BY1436="LOSE",1,IF(N(V1436)&gt;0,V1436,IF(CB1436=1,MAX(1,N(VLOOKUP(T1436,Parameter!$I$27:$K$29,3,0)),H1436,N(N1436)),IF(N(Q1436)&gt;0,Q1436,MAX(1,H1436)))))</f>
        <v>18</v>
      </c>
      <c r="CA1436" s="65" t="n">
        <f aca="false">IF(BY1436="LOSE",1,0)</f>
        <v>0</v>
      </c>
      <c r="CB1436" s="65" t="n">
        <f aca="false">IF(AND(U1436="",OR(P1436="",P1436="LOSE"),T1436&lt;&gt;"",N(S1436)&lt;=0,ISNUMBER(MATCH(T1436,Parameter!$I$27:$I$29,0))),1,0)</f>
        <v>0</v>
      </c>
      <c r="CC1436" s="65" t="n">
        <f aca="false">IF(CR1436&gt;0,INDEX(Parameter!$H$5:$H$7,W1436)/INDEX(Parameter!$E$5:$E$7,W1436),IF(AND(CA1436=0,N(IFERROR(VLOOKUP(BY1436,'Gebinde-Kategorie'!$A$5:$N$45,14,0),0))&gt;0),VLOOKUP(BY1436,'Gebinde-Kategorie'!$A$5:$N$45,14,0)*10+Parameter!$M$23,Parameter!$M$24))</f>
        <v>235</v>
      </c>
      <c r="CD1436" s="60" t="str">
        <f aca="false">IF(AND(Parameter!$B$19="Ja",E1436&lt;&gt;"",ISNUMBER(MATCH(E1436,Parameter!$I$35:$I$52,0))),VLOOKUP(E1436,Parameter!$I$35:$J$52,2,0),IFERROR(VLOOKUP(D1436,Parameter!$A$35:$C$64,2,0),"Nein"))</f>
        <v>2+3</v>
      </c>
      <c r="CE1436" s="64" t="n">
        <f aca="false">IF(CA1436=0,0,IF(N(S1436)&gt;0,S1436,IFERROR(VLOOKUP(D1436,Parameter!$A$35:$C$64,3,0)+0,0)))</f>
        <v>0</v>
      </c>
      <c r="CF1436" s="60" t="n">
        <f aca="false">IF(AB1436&lt;&gt;"",AB1436,AA1436)</f>
        <v>2</v>
      </c>
      <c r="CG1436" s="60" t="str">
        <f aca="false">IF(OR(CF1436=1,CF1436=2,CF1436=3),IF(Parameter!$E$27="Ja","LIFT",IF(CF1436=1,"L1","L23")),IF(CF1436="Aussen","Aussen","-"))</f>
        <v>LIFT</v>
      </c>
      <c r="CH1436" s="71" t="n">
        <f aca="false">IF(N(AC1436)&gt;0,AC1436,0)</f>
        <v>0</v>
      </c>
      <c r="CI1436" s="65" t="n">
        <f aca="false">IF(ISNUMBER(AF1436),1,0)</f>
        <v>0</v>
      </c>
      <c r="CJ1436" s="62" t="n">
        <f aca="false">N(AF1436)</f>
        <v>0</v>
      </c>
      <c r="CK1436" s="62" t="n">
        <f aca="false">N(M1436)+N(N1436)</f>
        <v>17</v>
      </c>
      <c r="CL1436" s="62" t="n">
        <f aca="false">N(M1436)</f>
        <v>2</v>
      </c>
      <c r="CM1436" s="62" t="n">
        <f aca="false">N(N1436)</f>
        <v>15</v>
      </c>
      <c r="CN1436" s="62" t="n">
        <f aca="false">ROUNDUP(H1436/BZ1436,0)</f>
        <v>1</v>
      </c>
      <c r="CO1436" s="62" t="n">
        <f aca="false">ROUNDUP(CJ1436/BZ1436,0)</f>
        <v>0</v>
      </c>
      <c r="CP1436" s="65" t="n">
        <f aca="false">IF(CA1436=1,0,IFERROR(VLOOKUP(BY1436,'Gebinde-Kategorie'!$A$5:$N$45,5,0)+0,0))</f>
        <v>20</v>
      </c>
      <c r="CQ1436" s="65" t="n">
        <f aca="false">IFERROR(IF(OR(CF1436=1,CF1436=2,CF1436=3),N(INDEX(Parameter!$I$5:$I$7,CF1436)),0),0)</f>
        <v>0</v>
      </c>
      <c r="CR1436" s="64" t="n">
        <f aca="false">IF(AND(Parameter!$B$21="Ja",ISNUMBER(W1436),N(X1436)&gt;0),IFERROR(N(INDEX(Parameter!$L$5:$L$7,W1436))*INDEX(Parameter!$E$5:$E$7,W1436)*X1436/SUMIFS($X$7:$X$1843,$W$7:$W$1843,W1436),0),0)</f>
        <v>0</v>
      </c>
      <c r="CS1436" s="62" t="n">
        <f aca="false">IF(AND(OR(CG1436="L1",CG1436="L23",CG1436="LIFT"),H1436&gt;0),CC1436*IF(CR1436&gt;0,CR1436*MAX(1,H1436/X1436),IF(CA1436=1,CE1436,IF(R1436&gt;0,CN1436/R1436,0))/MAX(0.1,N(Parameter!$M$21))),"")</f>
        <v>39.1666666666667</v>
      </c>
      <c r="CT1436" s="64" t="n">
        <f aca="false">IF(CS1436="","",J1436/H1436)</f>
        <v>2.4</v>
      </c>
      <c r="CU1436" s="62" t="n">
        <f aca="false">IF(CS1436="","",H1436*G1436)</f>
        <v>5082.9</v>
      </c>
      <c r="CV1436" s="63" t="n">
        <f aca="false">IF(CS1436="","",(CL1436+ROUNDUP(CL1436+MAX(CM1436,2*(J1436/MAX(0.1,N(Einkauf!$C$6))-CL1436)),0))/2)</f>
        <v>9.5</v>
      </c>
      <c r="CW1436" s="62" t="n">
        <f aca="false">IF(CS1436="","",MAX(0,H1436-CV1436)*G1436)</f>
        <v>1863.73</v>
      </c>
      <c r="CX1436" s="62" t="n">
        <f aca="false">IF(CS1436="","",CS1436*MAX(0,1-CV1436/H1436))</f>
        <v>14.3611111111111</v>
      </c>
      <c r="CY1436" s="64" t="n">
        <f aca="false">IF(CS1436="","",PERCENTRANK($CS$7:$CS$1843,CS1436)+PERCENTRANK($CU$7:$CU$1843,CU1436)+1-PERCENTRANK($CT$7:$CT$1843,CT1436))</f>
        <v>1.918</v>
      </c>
      <c r="CZ1436" s="72" t="n">
        <f aca="false">IF(CS1436="","",CHOOSE(MATCH(Einkauf!$C$5,Parameter!$G$23:$G$27,0),CY1436,CS1436,CU1436,-CT1436,CW1436)+ROW()/1000000000)</f>
        <v>1.918001436</v>
      </c>
    </row>
    <row r="1437" customFormat="false" ht="15" hidden="false" customHeight="false" outlineLevel="0" collapsed="false">
      <c r="A1437" s="60" t="s">
        <v>2559</v>
      </c>
      <c r="B1437" s="60" t="s">
        <v>2560</v>
      </c>
      <c r="C1437" s="60" t="s">
        <v>206</v>
      </c>
      <c r="D1437" s="60" t="s">
        <v>215</v>
      </c>
      <c r="E1437" s="60" t="s">
        <v>208</v>
      </c>
      <c r="F1437" s="60" t="s">
        <v>260</v>
      </c>
      <c r="G1437" s="61" t="n">
        <v>559.54</v>
      </c>
      <c r="H1437" s="62" t="n">
        <f aca="false">MAX(0,IF(AND(Parameter!$B$21="Ja",ISNUMBER(Y1437)),Y1437,IF(Parameter!$B$20="Jahresanfang 2025 + Export",BS1437+BR1437,BR1437)))</f>
        <v>13</v>
      </c>
      <c r="I1437" s="62" t="n">
        <f aca="false">H1437*G1437</f>
        <v>7274.02</v>
      </c>
      <c r="J1437" s="62" t="n">
        <f aca="false">BU1437*Parameter!$B$18</f>
        <v>29</v>
      </c>
      <c r="K1437" s="63" t="n">
        <v>37.5</v>
      </c>
      <c r="L1437" s="64" t="n">
        <v>0.773333333333333</v>
      </c>
      <c r="M1437" s="62" t="n">
        <v>1</v>
      </c>
      <c r="N1437" s="62" t="n">
        <v>20</v>
      </c>
      <c r="O1437" s="65" t="n">
        <v>21</v>
      </c>
      <c r="P1437" s="60" t="s">
        <v>216</v>
      </c>
      <c r="Q1437" s="62" t="n">
        <v>12</v>
      </c>
      <c r="R1437" s="65" t="n">
        <f aca="false">IF(CA1437=1,0,IFERROR(VLOOKUP(BY1437,'Gebinde-Kategorie'!$A$5:$N$45,13,0)+0,0))</f>
        <v>6</v>
      </c>
      <c r="S1437" s="66"/>
      <c r="T1437" s="67"/>
      <c r="U1437" s="67"/>
      <c r="V1437" s="67"/>
      <c r="W1437" s="60"/>
      <c r="X1437" s="62"/>
      <c r="Y1437" s="62"/>
      <c r="Z1437" s="60" t="n">
        <v>2</v>
      </c>
      <c r="AA1437" s="60" t="n">
        <f aca="false">IF(A1437="","",IF(AND(Parameter!$B$21="Ja",ISNUMBER(W1437)),W1437,IF(AND(Parameter!$E$27="Ja",ISNUMBER(Z1437),CD1437&lt;&gt;"Nein"),Z1437,IF(CD1437="2+3",IF(ISNUMBER(SEARCH("grosser Artikel",BV1437)),2,IFERROR(VLOOKUP(BY1437,Parameter!$F$35:$G$64,2,0),2)),IF(OR(CD1437="Nein",CD1437=""),"-",CD1437)))))</f>
        <v>2</v>
      </c>
      <c r="AB1437" s="67"/>
      <c r="AC1437" s="68"/>
      <c r="AD1437" s="62" t="n">
        <f aca="false">AW1437</f>
        <v>21</v>
      </c>
      <c r="AE1437" s="62" t="n">
        <f aca="false">MAX(AW1437,H1437)</f>
        <v>21</v>
      </c>
      <c r="AF1437" s="69"/>
      <c r="AG1437" s="62" t="n">
        <f aca="false">IF(LEFT(Cockpit!$C$5,1)="A",H1437,IF(Parameter!$E$30="MAX-Bestand",IF(CI1437=1,CJ1437,IF(LEFT(Cockpit!$C$5,1)="B",AM1437,MAX(AM1437,H1437))),ROUNDUP(AK1437,0)))</f>
        <v>13</v>
      </c>
      <c r="AH1437" s="62" t="n">
        <f aca="false">IF(CA1437=1,0,ROUNDUP(AG1437/BZ1437,0))</f>
        <v>2</v>
      </c>
      <c r="AI1437" s="64" t="n">
        <f aca="false">IF(CR1437&gt;0,CR1437*MAX(1,AG1437/X1437),IF(CA1437=1,IF(AG1437&lt;=0,0,CE1437*MAX(1,IF(H1437&gt;0,AG1437/H1437,1))),IF(R1437&gt;0,AH1437/R1437,0))/MAX(0.1,N(Parameter!$M$21)))</f>
        <v>0.333333333333333</v>
      </c>
      <c r="AJ1437" s="62" t="n">
        <f aca="false">AI1437*CC1437</f>
        <v>78.3333333333333</v>
      </c>
      <c r="AK1437" s="63" t="n">
        <f aca="false">IF(LEFT(Cockpit!$C$5,1)="A",H1437,IF(CI1437=1,(CL1437+CJ1437)/2,IF(LEFT(Cockpit!$C$5,1)="B",(CL1437+AM1437)/2,MAX((CL1437+AM1437)/2,H1437))))</f>
        <v>13</v>
      </c>
      <c r="AL1437" s="62" t="n">
        <f aca="false">AK1437*G1437</f>
        <v>7274.02</v>
      </c>
      <c r="AM1437" s="62" t="n">
        <f aca="false">ROUNDUP(CL1437+MAX(CM1437,2*(J1437/IF(CH1437&gt;0,CH1437,MAX(0.1,N(Cockpit!$C$6)))-CL1437)),0)</f>
        <v>21</v>
      </c>
      <c r="AN1437" s="63" t="n">
        <f aca="false">IF(AJ1437&gt;0,J1437/AJ1437,-1)</f>
        <v>0.370212765957447</v>
      </c>
      <c r="AO1437" s="63" t="n">
        <f aca="false">IF(AND(OR(CG1437="L1",CG1437="L23",CG1437="LIFT"),AJ1437&gt;0),SUMIFS($AJ$7:$AJ$1843,$CG$7:$CG$1843,CG1437,$AN$7:$AN$1843,"&gt;"&amp;AN1437)+SUMIFS($AJ$7:$AJ$1843,$CG$7:$CG$1843,CG1437,$AN$7:$AN$1843,AN1437,$BX$7:$BX$1843,"&lt;="&amp;BX1437),"")</f>
        <v>10459.3333048778</v>
      </c>
      <c r="AP1437" s="70" t="n">
        <f aca="false">IF(AO1437="",0,MAX(0,MIN(1,(IF(CG1437="L1",Parameter!$H$5,IF(CG1437="L23",Parameter!$H$6+Parameter!$H$7,Parameter!$H$5+Parameter!$H$6+Parameter!$H$7))-(AO1437-AJ1437))/AJ1437)))</f>
        <v>1</v>
      </c>
      <c r="AQ1437" s="62" t="n">
        <f aca="false">IF(LEFT(Cockpit!$I$5,1)="A",H1437,IF(Parameter!$E$30="MAX-Bestand",IF(CI1437=1,CJ1437,IF(LEFT(Cockpit!$I$5,1)="B",AW1437,MAX(AW1437,H1437))),ROUNDUP(AU1437,0)))</f>
        <v>13</v>
      </c>
      <c r="AR1437" s="62" t="n">
        <f aca="false">IF(CA1437=1,0,ROUNDUP(AQ1437/BZ1437,0))</f>
        <v>2</v>
      </c>
      <c r="AS1437" s="64" t="n">
        <f aca="false">IF(CR1437&gt;0,CR1437*MAX(1,AQ1437/X1437),IF(CA1437=1,IF(AQ1437&lt;=0,0,CE1437*MAX(1,IF(H1437&gt;0,AQ1437/H1437,1))),IF(R1437&gt;0,AR1437/R1437,0))/MAX(0.1,N(Parameter!$M$21)))</f>
        <v>0.333333333333333</v>
      </c>
      <c r="AT1437" s="62" t="n">
        <f aca="false">AS1437*CC1437</f>
        <v>78.3333333333333</v>
      </c>
      <c r="AU1437" s="63" t="n">
        <f aca="false">IF(LEFT(Cockpit!$I$5,1)="A",H1437,IF(CI1437=1,(CL1437+CJ1437)/2,IF(LEFT(Cockpit!$I$5,1)="B",(CL1437+AW1437)/2,MAX((CL1437+AW1437)/2,H1437))))</f>
        <v>13</v>
      </c>
      <c r="AV1437" s="62" t="n">
        <f aca="false">AU1437*G1437</f>
        <v>7274.02</v>
      </c>
      <c r="AW1437" s="62" t="n">
        <f aca="false">ROUNDUP(CL1437+MAX(CM1437,2*(J1437/IF(CH1437&gt;0,CH1437,MAX(0.1,N(Cockpit!$I$6)))-CL1437)),0)</f>
        <v>21</v>
      </c>
      <c r="AX1437" s="63" t="n">
        <f aca="false">IF(AT1437&gt;0,J1437/AT1437,-1)</f>
        <v>0.370212765957447</v>
      </c>
      <c r="AY1437" s="63" t="n">
        <f aca="false">IF(AND(OR(CG1437="L1",CG1437="L23",CG1437="LIFT"),AT1437&gt;0),SUMIFS($AT$7:$AT$1843,$CG$7:$CG$1843,CG1437,$AX$7:$AX$1843,"&gt;"&amp;AX1437)+SUMIFS($AT$7:$AT$1843,$CG$7:$CG$1843,CG1437,$AX$7:$AX$1843,AX1437,$BX$7:$BX$1843,"&lt;="&amp;BX1437),"")</f>
        <v>13191.0865384615</v>
      </c>
      <c r="AZ1437" s="70" t="n">
        <f aca="false">IF(AY1437="",0,MAX(0,MIN(1,(IF(CG1437="L1",Parameter!$H$5,IF(CG1437="L23",Parameter!$H$6+Parameter!$H$7,Parameter!$H$5+Parameter!$H$6+Parameter!$H$7))-(AY1437-AT1437))/AT1437)))</f>
        <v>1</v>
      </c>
      <c r="BA1437" s="62" t="n">
        <f aca="false">IF(LEFT(Cockpit!$O$5,1)="A",H1437,IF(Parameter!$E$30="MAX-Bestand",IF(CI1437=1,CJ1437,IF(LEFT(Cockpit!$O$5,1)="B",BG1437,MAX(BG1437,H1437))),ROUNDUP(BE1437,0)))</f>
        <v>11</v>
      </c>
      <c r="BB1437" s="62" t="n">
        <f aca="false">IF(CA1437=1,0,ROUNDUP(BA1437/BZ1437,0))</f>
        <v>1</v>
      </c>
      <c r="BC1437" s="64" t="n">
        <f aca="false">IF(CR1437&gt;0,CR1437*MAX(1,BA1437/X1437),IF(CA1437=1,IF(BA1437&lt;=0,0,CE1437*MAX(1,IF(H1437&gt;0,BA1437/H1437,1))),IF(R1437&gt;0,BB1437/R1437,0))/MAX(0.1,N(Parameter!$M$21)))</f>
        <v>0.166666666666667</v>
      </c>
      <c r="BD1437" s="62" t="n">
        <f aca="false">BC1437*CC1437</f>
        <v>39.1666666666667</v>
      </c>
      <c r="BE1437" s="63" t="n">
        <f aca="false">IF(LEFT(Cockpit!$O$5,1)="A",H1437,IF(CI1437=1,(CL1437+CJ1437)/2,IF(LEFT(Cockpit!$O$5,1)="B",(CL1437+BG1437)/2,MAX((CL1437+BG1437)/2,H1437))))</f>
        <v>11</v>
      </c>
      <c r="BF1437" s="62" t="n">
        <f aca="false">BE1437*G1437</f>
        <v>6154.94</v>
      </c>
      <c r="BG1437" s="62" t="n">
        <f aca="false">ROUNDUP(CL1437+MAX(CM1437,2*(J1437/IF(CH1437&gt;0,CH1437,MAX(0.1,N(Cockpit!$O$6)))-CL1437)),0)</f>
        <v>21</v>
      </c>
      <c r="BH1437" s="63" t="n">
        <f aca="false">IF(BD1437&gt;0,J1437/BD1437,-1)</f>
        <v>0.740425531914894</v>
      </c>
      <c r="BI1437" s="63" t="n">
        <f aca="false">IF(AND(OR(CG1437="L1",CG1437="L23",CG1437="LIFT"),BD1437&gt;0),SUMIFS($BD$7:$BD$1843,$CG$7:$CG$1843,CG1437,$BH$7:$BH$1843,"&gt;"&amp;BH1437)+SUMIFS($BD$7:$BD$1843,$CG$7:$CG$1843,CG1437,$BH$7:$BH$1843,BH1437,$BX$7:$BX$1843,"&lt;="&amp;BX1437),"")</f>
        <v>9278.03891941392</v>
      </c>
      <c r="BJ1437" s="70" t="n">
        <f aca="false">IF(BI1437="",0,MAX(0,MIN(1,(IF(CG1437="L1",Parameter!$H$5,IF(CG1437="L23",Parameter!$H$6+Parameter!$H$7,Parameter!$H$5+Parameter!$H$6+Parameter!$H$7))-(BI1437-BD1437))/BD1437)))</f>
        <v>1</v>
      </c>
      <c r="BK1437" s="60" t="str">
        <f aca="false">IF(AJ1437&lt;=0,"",IF(CG1437="Aussen","Aussenlager",IF(CG1437="-","Nicht im Lift",IF(AP1437&gt;=1,"Lift",IF(AP1437&lt;=0,"Aussenlager","teilweise")))))</f>
        <v>Lift</v>
      </c>
      <c r="BL1437" s="60" t="str">
        <f aca="false">IF(AT1437&lt;=0,"",IF(CG1437="Aussen","Aussenlager",IF(CG1437="-","Nicht im Lift",IF(AZ1437&gt;=1,"Lift",IF(AZ1437&lt;=0,"Aussenlager","teilweise")))))</f>
        <v>Lift</v>
      </c>
      <c r="BM1437" s="60" t="str">
        <f aca="false">IF(BD1437&lt;=0,"",IF(CG1437="Aussen","Aussenlager",IF(CG1437="-","Nicht im Lift",IF(BJ1437&gt;=1,"Lift",IF(BJ1437&lt;=0,"Aussenlager","teilweise")))))</f>
        <v>Lift</v>
      </c>
      <c r="BN1437" s="60" t="str">
        <f aca="false">IF(A1437="","",IF(BW1437=1,"Neu; ","")&amp;IF(AND(BW1437=0,BR1437&lt;0),"negativer Bestand (Export "&amp;BR1437&amp;"); ","")&amp;IF(J1437&lt;=0,"Kein Verbrauch; ","")&amp;IF(CR1437&gt;0,"Lift "&amp;W1437&amp;" lt. Liftbericht (Fach "&amp;X1437&amp;" Stk); ",IF(CB1437=1,"Gebinde geschätzt ("&amp;T1437&amp;"); ",IF(CA1437=1,"Lose – Tablare geschätzt; ","")))&amp;IF(H1437&gt;AW1437,"Überbestand "&amp;ROUND(H1437-AW1437,0)&amp;" Stk / CHF "&amp;ROUND((H1437-AW1437)*G1437,0)&amp;"; ","")&amp;IF(AND(CI1437=1,CJ1437&lt;CK1437),"MAX &lt; MB+LG; ","")&amp;IF(AND(CQ1437&gt;0,CP1437*10&gt;CQ1437),"zu hoch für Tablar; ","")&amp;IF(AND(BW1437=0,OR(CI1437=1,AB1437&lt;&gt;"",U1437&lt;&gt;"",V1437&lt;&gt;"",AC1437&lt;&gt;"")),"manuell übersteuert; ","")&amp;IF(AND(CA1437=0,R1437=0),"Gebinde unbekannt / Stellmass fehlt; ","")&amp;IF(AND(CA1437=0,N(V1437)&lt;=0,N(Q1437)&lt;=0),"Menge pro Gebinde fehlt (Ist = 1 Gebinde); ","")&amp;BV1437)</f>
        <v>negativer Bestand (Export -19); </v>
      </c>
      <c r="BO1437" s="60"/>
      <c r="BP1437" s="60"/>
      <c r="BQ1437" s="67"/>
      <c r="BR1437" s="62" t="n">
        <v>-19</v>
      </c>
      <c r="BS1437" s="62" t="n">
        <v>32</v>
      </c>
      <c r="BT1437" s="61" t="n">
        <v>-8101.02</v>
      </c>
      <c r="BU1437" s="62" t="n">
        <v>29</v>
      </c>
      <c r="BV1437" s="60"/>
      <c r="BW1437" s="65" t="n">
        <v>0</v>
      </c>
      <c r="BX1437" s="65" t="n">
        <v>1437</v>
      </c>
      <c r="BY1437" s="60" t="str">
        <f aca="false">IF(U1437&lt;&gt;"",UPPER(TRIM(U1437)),IF(CB1437=1,UPPER(VLOOKUP(T1437,Parameter!$I$27:$K$29,2,0)),IF(P1437="","LOSE",P1437)))</f>
        <v>S71</v>
      </c>
      <c r="BZ1437" s="62" t="n">
        <f aca="false">IF(BY1437="LOSE",1,IF(N(V1437)&gt;0,V1437,IF(CB1437=1,MAX(1,N(VLOOKUP(T1437,Parameter!$I$27:$K$29,3,0)),H1437,N(N1437)),IF(N(Q1437)&gt;0,Q1437,MAX(1,H1437)))))</f>
        <v>12</v>
      </c>
      <c r="CA1437" s="65" t="n">
        <f aca="false">IF(BY1437="LOSE",1,0)</f>
        <v>0</v>
      </c>
      <c r="CB1437" s="65" t="n">
        <f aca="false">IF(AND(U1437="",OR(P1437="",P1437="LOSE"),T1437&lt;&gt;"",N(S1437)&lt;=0,ISNUMBER(MATCH(T1437,Parameter!$I$27:$I$29,0))),1,0)</f>
        <v>0</v>
      </c>
      <c r="CC1437" s="65" t="n">
        <f aca="false">IF(CR1437&gt;0,INDEX(Parameter!$H$5:$H$7,W1437)/INDEX(Parameter!$E$5:$E$7,W1437),IF(AND(CA1437=0,N(IFERROR(VLOOKUP(BY1437,'Gebinde-Kategorie'!$A$5:$N$45,14,0),0))&gt;0),VLOOKUP(BY1437,'Gebinde-Kategorie'!$A$5:$N$45,14,0)*10+Parameter!$M$23,Parameter!$M$24))</f>
        <v>235</v>
      </c>
      <c r="CD1437" s="60" t="n">
        <f aca="false">IF(AND(Parameter!$B$19="Ja",E1437&lt;&gt;"",ISNUMBER(MATCH(E1437,Parameter!$I$35:$I$52,0))),VLOOKUP(E1437,Parameter!$I$35:$J$52,2,0),IFERROR(VLOOKUP(D1437,Parameter!$A$35:$C$64,2,0),"Nein"))</f>
        <v>1</v>
      </c>
      <c r="CE1437" s="64" t="n">
        <f aca="false">IF(CA1437=0,0,IF(N(S1437)&gt;0,S1437,IFERROR(VLOOKUP(D1437,Parameter!$A$35:$C$64,3,0)+0,0)))</f>
        <v>0</v>
      </c>
      <c r="CF1437" s="60" t="n">
        <f aca="false">IF(AB1437&lt;&gt;"",AB1437,AA1437)</f>
        <v>2</v>
      </c>
      <c r="CG1437" s="60" t="str">
        <f aca="false">IF(OR(CF1437=1,CF1437=2,CF1437=3),IF(Parameter!$E$27="Ja","LIFT",IF(CF1437=1,"L1","L23")),IF(CF1437="Aussen","Aussen","-"))</f>
        <v>LIFT</v>
      </c>
      <c r="CH1437" s="71" t="n">
        <f aca="false">IF(N(AC1437)&gt;0,AC1437,0)</f>
        <v>0</v>
      </c>
      <c r="CI1437" s="65" t="n">
        <f aca="false">IF(ISNUMBER(AF1437),1,0)</f>
        <v>0</v>
      </c>
      <c r="CJ1437" s="62" t="n">
        <f aca="false">N(AF1437)</f>
        <v>0</v>
      </c>
      <c r="CK1437" s="62" t="n">
        <f aca="false">N(M1437)+N(N1437)</f>
        <v>21</v>
      </c>
      <c r="CL1437" s="62" t="n">
        <f aca="false">N(M1437)</f>
        <v>1</v>
      </c>
      <c r="CM1437" s="62" t="n">
        <f aca="false">N(N1437)</f>
        <v>20</v>
      </c>
      <c r="CN1437" s="62" t="n">
        <f aca="false">ROUNDUP(H1437/BZ1437,0)</f>
        <v>2</v>
      </c>
      <c r="CO1437" s="62" t="n">
        <f aca="false">ROUNDUP(CJ1437/BZ1437,0)</f>
        <v>0</v>
      </c>
      <c r="CP1437" s="65" t="n">
        <f aca="false">IF(CA1437=1,0,IFERROR(VLOOKUP(BY1437,'Gebinde-Kategorie'!$A$5:$N$45,5,0)+0,0))</f>
        <v>20</v>
      </c>
      <c r="CQ1437" s="65" t="n">
        <f aca="false">IFERROR(IF(OR(CF1437=1,CF1437=2,CF1437=3),N(INDEX(Parameter!$I$5:$I$7,CF1437)),0),0)</f>
        <v>0</v>
      </c>
      <c r="CR1437" s="64" t="n">
        <f aca="false">IF(AND(Parameter!$B$21="Ja",ISNUMBER(W1437),N(X1437)&gt;0),IFERROR(N(INDEX(Parameter!$L$5:$L$7,W1437))*INDEX(Parameter!$E$5:$E$7,W1437)*X1437/SUMIFS($X$7:$X$1843,$W$7:$W$1843,W1437),0),0)</f>
        <v>0</v>
      </c>
      <c r="CS1437" s="62" t="n">
        <f aca="false">IF(AND(OR(CG1437="L1",CG1437="L23",CG1437="LIFT"),H1437&gt;0),CC1437*IF(CR1437&gt;0,CR1437*MAX(1,H1437/X1437),IF(CA1437=1,CE1437,IF(R1437&gt;0,CN1437/R1437,0))/MAX(0.1,N(Parameter!$M$21))),"")</f>
        <v>78.3333333333333</v>
      </c>
      <c r="CT1437" s="64" t="n">
        <f aca="false">IF(CS1437="","",J1437/H1437)</f>
        <v>2.23076923076923</v>
      </c>
      <c r="CU1437" s="62" t="n">
        <f aca="false">IF(CS1437="","",H1437*G1437)</f>
        <v>7274.02</v>
      </c>
      <c r="CV1437" s="63" t="n">
        <f aca="false">IF(CS1437="","",(CL1437+ROUNDUP(CL1437+MAX(CM1437,2*(J1437/MAX(0.1,N(Einkauf!$C$6))-CL1437)),0))/2)</f>
        <v>11</v>
      </c>
      <c r="CW1437" s="62" t="n">
        <f aca="false">IF(CS1437="","",MAX(0,H1437-CV1437)*G1437)</f>
        <v>1119.08</v>
      </c>
      <c r="CX1437" s="62" t="n">
        <f aca="false">IF(CS1437="","",CS1437*MAX(0,1-CV1437/H1437))</f>
        <v>12.0512820512821</v>
      </c>
      <c r="CY1437" s="64" t="n">
        <f aca="false">IF(CS1437="","",PERCENTRANK($CS$7:$CS$1843,CS1437)+PERCENTRANK($CU$7:$CU$1843,CU1437)+1-PERCENTRANK($CT$7:$CT$1843,CT1437))</f>
        <v>2.056</v>
      </c>
      <c r="CZ1437" s="72" t="n">
        <f aca="false">IF(CS1437="","",CHOOSE(MATCH(Einkauf!$C$5,Parameter!$G$23:$G$27,0),CY1437,CS1437,CU1437,-CT1437,CW1437)+ROW()/1000000000)</f>
        <v>2.056001437</v>
      </c>
    </row>
    <row r="1438" customFormat="false" ht="15" hidden="false" customHeight="false" outlineLevel="0" collapsed="false">
      <c r="A1438" s="60" t="s">
        <v>2561</v>
      </c>
      <c r="B1438" s="60" t="s">
        <v>2562</v>
      </c>
      <c r="C1438" s="60" t="s">
        <v>206</v>
      </c>
      <c r="D1438" s="60" t="s">
        <v>215</v>
      </c>
      <c r="E1438" s="60" t="s">
        <v>208</v>
      </c>
      <c r="F1438" s="60" t="s">
        <v>260</v>
      </c>
      <c r="G1438" s="61" t="n">
        <v>154.27</v>
      </c>
      <c r="H1438" s="62" t="n">
        <f aca="false">MAX(0,IF(AND(Parameter!$B$21="Ja",ISNUMBER(Y1438)),Y1438,IF(Parameter!$B$20="Jahresanfang 2025 + Export",BS1438+BR1438,BR1438)))</f>
        <v>60</v>
      </c>
      <c r="I1438" s="62" t="n">
        <f aca="false">H1438*G1438</f>
        <v>9256.2</v>
      </c>
      <c r="J1438" s="62" t="n">
        <f aca="false">BU1438*Parameter!$B$18</f>
        <v>222</v>
      </c>
      <c r="K1438" s="63" t="n">
        <v>124.5</v>
      </c>
      <c r="L1438" s="64" t="n">
        <v>1.78313253012048</v>
      </c>
      <c r="M1438" s="62" t="n">
        <v>22</v>
      </c>
      <c r="N1438" s="62" t="n">
        <v>65</v>
      </c>
      <c r="O1438" s="65" t="n">
        <v>84</v>
      </c>
      <c r="P1438" s="60" t="s">
        <v>216</v>
      </c>
      <c r="Q1438" s="62" t="n">
        <v>80</v>
      </c>
      <c r="R1438" s="65" t="n">
        <f aca="false">IF(CA1438=1,0,IFERROR(VLOOKUP(BY1438,'Gebinde-Kategorie'!$A$5:$N$45,13,0)+0,0))</f>
        <v>6</v>
      </c>
      <c r="S1438" s="66"/>
      <c r="T1438" s="67"/>
      <c r="U1438" s="67"/>
      <c r="V1438" s="67"/>
      <c r="W1438" s="60"/>
      <c r="X1438" s="62"/>
      <c r="Y1438" s="62"/>
      <c r="Z1438" s="60" t="n">
        <v>1</v>
      </c>
      <c r="AA1438" s="60" t="n">
        <f aca="false">IF(A1438="","",IF(AND(Parameter!$B$21="Ja",ISNUMBER(W1438)),W1438,IF(AND(Parameter!$E$27="Ja",ISNUMBER(Z1438),CD1438&lt;&gt;"Nein"),Z1438,IF(CD1438="2+3",IF(ISNUMBER(SEARCH("grosser Artikel",BV1438)),2,IFERROR(VLOOKUP(BY1438,Parameter!$F$35:$G$64,2,0),2)),IF(OR(CD1438="Nein",CD1438=""),"-",CD1438)))))</f>
        <v>1</v>
      </c>
      <c r="AB1438" s="67"/>
      <c r="AC1438" s="68"/>
      <c r="AD1438" s="62" t="n">
        <f aca="false">AW1438</f>
        <v>126</v>
      </c>
      <c r="AE1438" s="62" t="n">
        <f aca="false">MAX(AW1438,H1438)</f>
        <v>126</v>
      </c>
      <c r="AF1438" s="69"/>
      <c r="AG1438" s="62" t="n">
        <f aca="false">IF(LEFT(Cockpit!$C$5,1)="A",H1438,IF(Parameter!$E$30="MAX-Bestand",IF(CI1438=1,CJ1438,IF(LEFT(Cockpit!$C$5,1)="B",AM1438,MAX(AM1438,H1438))),ROUNDUP(AK1438,0)))</f>
        <v>60</v>
      </c>
      <c r="AH1438" s="62" t="n">
        <f aca="false">IF(CA1438=1,0,ROUNDUP(AG1438/BZ1438,0))</f>
        <v>1</v>
      </c>
      <c r="AI1438" s="64" t="n">
        <f aca="false">IF(CR1438&gt;0,CR1438*MAX(1,AG1438/X1438),IF(CA1438=1,IF(AG1438&lt;=0,0,CE1438*MAX(1,IF(H1438&gt;0,AG1438/H1438,1))),IF(R1438&gt;0,AH1438/R1438,0))/MAX(0.1,N(Parameter!$M$21)))</f>
        <v>0.166666666666667</v>
      </c>
      <c r="AJ1438" s="62" t="n">
        <f aca="false">AI1438*CC1438</f>
        <v>39.1666666666667</v>
      </c>
      <c r="AK1438" s="63" t="n">
        <f aca="false">IF(LEFT(Cockpit!$C$5,1)="A",H1438,IF(CI1438=1,(CL1438+CJ1438)/2,IF(LEFT(Cockpit!$C$5,1)="B",(CL1438+AM1438)/2,MAX((CL1438+AM1438)/2,H1438))))</f>
        <v>60</v>
      </c>
      <c r="AL1438" s="62" t="n">
        <f aca="false">AK1438*G1438</f>
        <v>9256.2</v>
      </c>
      <c r="AM1438" s="62" t="n">
        <f aca="false">ROUNDUP(CL1438+MAX(CM1438,2*(J1438/IF(CH1438&gt;0,CH1438,MAX(0.1,N(Cockpit!$C$6)))-CL1438)),0)</f>
        <v>126</v>
      </c>
      <c r="AN1438" s="63" t="n">
        <f aca="false">IF(AJ1438&gt;0,J1438/AJ1438,-1)</f>
        <v>5.66808510638298</v>
      </c>
      <c r="AO1438" s="63" t="n">
        <f aca="false">IF(AND(OR(CG1438="L1",CG1438="L23",CG1438="LIFT"),AJ1438&gt;0),SUMIFS($AJ$7:$AJ$1843,$CG$7:$CG$1843,CG1438,$AN$7:$AN$1843,"&gt;"&amp;AN1438)+SUMIFS($AJ$7:$AJ$1843,$CG$7:$CG$1843,CG1438,$AN$7:$AN$1843,AN1438,$BX$7:$BX$1843,"&lt;="&amp;BX1438),"")</f>
        <v>3660.82738095238</v>
      </c>
      <c r="AP1438" s="70" t="n">
        <f aca="false">IF(AO1438="",0,MAX(0,MIN(1,(IF(CG1438="L1",Parameter!$H$5,IF(CG1438="L23",Parameter!$H$6+Parameter!$H$7,Parameter!$H$5+Parameter!$H$6+Parameter!$H$7))-(AO1438-AJ1438))/AJ1438)))</f>
        <v>1</v>
      </c>
      <c r="AQ1438" s="62" t="n">
        <f aca="false">IF(LEFT(Cockpit!$I$5,1)="A",H1438,IF(Parameter!$E$30="MAX-Bestand",IF(CI1438=1,CJ1438,IF(LEFT(Cockpit!$I$5,1)="B",AW1438,MAX(AW1438,H1438))),ROUNDUP(AU1438,0)))</f>
        <v>74</v>
      </c>
      <c r="AR1438" s="62" t="n">
        <f aca="false">IF(CA1438=1,0,ROUNDUP(AQ1438/BZ1438,0))</f>
        <v>1</v>
      </c>
      <c r="AS1438" s="64" t="n">
        <f aca="false">IF(CR1438&gt;0,CR1438*MAX(1,AQ1438/X1438),IF(CA1438=1,IF(AQ1438&lt;=0,0,CE1438*MAX(1,IF(H1438&gt;0,AQ1438/H1438,1))),IF(R1438&gt;0,AR1438/R1438,0))/MAX(0.1,N(Parameter!$M$21)))</f>
        <v>0.166666666666667</v>
      </c>
      <c r="AT1438" s="62" t="n">
        <f aca="false">AS1438*CC1438</f>
        <v>39.1666666666667</v>
      </c>
      <c r="AU1438" s="63" t="n">
        <f aca="false">IF(LEFT(Cockpit!$I$5,1)="A",H1438,IF(CI1438=1,(CL1438+CJ1438)/2,IF(LEFT(Cockpit!$I$5,1)="B",(CL1438+AW1438)/2,MAX((CL1438+AW1438)/2,H1438))))</f>
        <v>74</v>
      </c>
      <c r="AV1438" s="62" t="n">
        <f aca="false">AU1438*G1438</f>
        <v>11415.98</v>
      </c>
      <c r="AW1438" s="62" t="n">
        <f aca="false">ROUNDUP(CL1438+MAX(CM1438,2*(J1438/IF(CH1438&gt;0,CH1438,MAX(0.1,N(Cockpit!$I$6)))-CL1438)),0)</f>
        <v>126</v>
      </c>
      <c r="AX1438" s="63" t="n">
        <f aca="false">IF(AT1438&gt;0,J1438/AT1438,-1)</f>
        <v>5.66808510638298</v>
      </c>
      <c r="AY1438" s="63" t="n">
        <f aca="false">IF(AND(OR(CG1438="L1",CG1438="L23",CG1438="LIFT"),AT1438&gt;0),SUMIFS($AT$7:$AT$1843,$CG$7:$CG$1843,CG1438,$AX$7:$AX$1843,"&gt;"&amp;AX1438)+SUMIFS($AT$7:$AT$1843,$CG$7:$CG$1843,CG1438,$AX$7:$AX$1843,AX1438,$BX$7:$BX$1843,"&lt;="&amp;BX1438),"")</f>
        <v>4314.56822344322</v>
      </c>
      <c r="AZ1438" s="70" t="n">
        <f aca="false">IF(AY1438="",0,MAX(0,MIN(1,(IF(CG1438="L1",Parameter!$H$5,IF(CG1438="L23",Parameter!$H$6+Parameter!$H$7,Parameter!$H$5+Parameter!$H$6+Parameter!$H$7))-(AY1438-AT1438))/AT1438)))</f>
        <v>1</v>
      </c>
      <c r="BA1438" s="62" t="n">
        <f aca="false">IF(LEFT(Cockpit!$O$5,1)="A",H1438,IF(Parameter!$E$30="MAX-Bestand",IF(CI1438=1,CJ1438,IF(LEFT(Cockpit!$O$5,1)="B",BG1438,MAX(BG1438,H1438))),ROUNDUP(BE1438,0)))</f>
        <v>56</v>
      </c>
      <c r="BB1438" s="62" t="n">
        <f aca="false">IF(CA1438=1,0,ROUNDUP(BA1438/BZ1438,0))</f>
        <v>1</v>
      </c>
      <c r="BC1438" s="64" t="n">
        <f aca="false">IF(CR1438&gt;0,CR1438*MAX(1,BA1438/X1438),IF(CA1438=1,IF(BA1438&lt;=0,0,CE1438*MAX(1,IF(H1438&gt;0,BA1438/H1438,1))),IF(R1438&gt;0,BB1438/R1438,0))/MAX(0.1,N(Parameter!$M$21)))</f>
        <v>0.166666666666667</v>
      </c>
      <c r="BD1438" s="62" t="n">
        <f aca="false">BC1438*CC1438</f>
        <v>39.1666666666667</v>
      </c>
      <c r="BE1438" s="63" t="n">
        <f aca="false">IF(LEFT(Cockpit!$O$5,1)="A",H1438,IF(CI1438=1,(CL1438+CJ1438)/2,IF(LEFT(Cockpit!$O$5,1)="B",(CL1438+BG1438)/2,MAX((CL1438+BG1438)/2,H1438))))</f>
        <v>55.5</v>
      </c>
      <c r="BF1438" s="62" t="n">
        <f aca="false">BE1438*G1438</f>
        <v>8561.985</v>
      </c>
      <c r="BG1438" s="62" t="n">
        <f aca="false">ROUNDUP(CL1438+MAX(CM1438,2*(J1438/IF(CH1438&gt;0,CH1438,MAX(0.1,N(Cockpit!$O$6)))-CL1438)),0)</f>
        <v>89</v>
      </c>
      <c r="BH1438" s="63" t="n">
        <f aca="false">IF(BD1438&gt;0,J1438/BD1438,-1)</f>
        <v>5.66808510638298</v>
      </c>
      <c r="BI1438" s="63" t="n">
        <f aca="false">IF(AND(OR(CG1438="L1",CG1438="L23",CG1438="LIFT"),BD1438&gt;0),SUMIFS($BD$7:$BD$1843,$CG$7:$CG$1843,CG1438,$BH$7:$BH$1843,"&gt;"&amp;BH1438)+SUMIFS($BD$7:$BD$1843,$CG$7:$CG$1843,CG1438,$BH$7:$BH$1843,BH1438,$BX$7:$BX$1843,"&lt;="&amp;BX1438),"")</f>
        <v>3676.78250915751</v>
      </c>
      <c r="BJ1438" s="70" t="n">
        <f aca="false">IF(BI1438="",0,MAX(0,MIN(1,(IF(CG1438="L1",Parameter!$H$5,IF(CG1438="L23",Parameter!$H$6+Parameter!$H$7,Parameter!$H$5+Parameter!$H$6+Parameter!$H$7))-(BI1438-BD1438))/BD1438)))</f>
        <v>1</v>
      </c>
      <c r="BK1438" s="60" t="str">
        <f aca="false">IF(AJ1438&lt;=0,"",IF(CG1438="Aussen","Aussenlager",IF(CG1438="-","Nicht im Lift",IF(AP1438&gt;=1,"Lift",IF(AP1438&lt;=0,"Aussenlager","teilweise")))))</f>
        <v>Lift</v>
      </c>
      <c r="BL1438" s="60" t="str">
        <f aca="false">IF(AT1438&lt;=0,"",IF(CG1438="Aussen","Aussenlager",IF(CG1438="-","Nicht im Lift",IF(AZ1438&gt;=1,"Lift",IF(AZ1438&lt;=0,"Aussenlager","teilweise")))))</f>
        <v>Lift</v>
      </c>
      <c r="BM1438" s="60" t="str">
        <f aca="false">IF(BD1438&lt;=0,"",IF(CG1438="Aussen","Aussenlager",IF(CG1438="-","Nicht im Lift",IF(BJ1438&gt;=1,"Lift",IF(BJ1438&lt;=0,"Aussenlager","teilweise")))))</f>
        <v>Lift</v>
      </c>
      <c r="BN1438" s="60" t="str">
        <f aca="false">IF(A1438="","",IF(BW1438=1,"Neu; ","")&amp;IF(AND(BW1438=0,BR1438&lt;0),"negativer Bestand (Export "&amp;BR1438&amp;"); ","")&amp;IF(J1438&lt;=0,"Kein Verbrauch; ","")&amp;IF(CR1438&gt;0,"Lift "&amp;W1438&amp;" lt. Liftbericht (Fach "&amp;X1438&amp;" Stk); ",IF(CB1438=1,"Gebinde geschätzt ("&amp;T1438&amp;"); ",IF(CA1438=1,"Lose – Tablare geschätzt; ","")))&amp;IF(H1438&gt;AW1438,"Überbestand "&amp;ROUND(H1438-AW1438,0)&amp;" Stk / CHF "&amp;ROUND((H1438-AW1438)*G1438,0)&amp;"; ","")&amp;IF(AND(CI1438=1,CJ1438&lt;CK1438),"MAX &lt; MB+LG; ","")&amp;IF(AND(CQ1438&gt;0,CP1438*10&gt;CQ1438),"zu hoch für Tablar; ","")&amp;IF(AND(BW1438=0,OR(CI1438=1,AB1438&lt;&gt;"",U1438&lt;&gt;"",V1438&lt;&gt;"",AC1438&lt;&gt;"")),"manuell übersteuert; ","")&amp;IF(AND(CA1438=0,R1438=0),"Gebinde unbekannt / Stellmass fehlt; ","")&amp;IF(AND(CA1438=0,N(V1438)&lt;=0,N(Q1438)&lt;=0),"Menge pro Gebinde fehlt (Ist = 1 Gebinde); ","")&amp;BV1438)</f>
        <v>negativer Bestand (Export -50); </v>
      </c>
      <c r="BO1438" s="60"/>
      <c r="BP1438" s="60"/>
      <c r="BQ1438" s="67"/>
      <c r="BR1438" s="62" t="n">
        <v>-50</v>
      </c>
      <c r="BS1438" s="62" t="n">
        <v>110</v>
      </c>
      <c r="BT1438" s="61" t="n">
        <v>-8512.09999999997</v>
      </c>
      <c r="BU1438" s="62" t="n">
        <v>222</v>
      </c>
      <c r="BV1438" s="60"/>
      <c r="BW1438" s="65" t="n">
        <v>0</v>
      </c>
      <c r="BX1438" s="65" t="n">
        <v>1438</v>
      </c>
      <c r="BY1438" s="60" t="str">
        <f aca="false">IF(U1438&lt;&gt;"",UPPER(TRIM(U1438)),IF(CB1438=1,UPPER(VLOOKUP(T1438,Parameter!$I$27:$K$29,2,0)),IF(P1438="","LOSE",P1438)))</f>
        <v>S71</v>
      </c>
      <c r="BZ1438" s="62" t="n">
        <f aca="false">IF(BY1438="LOSE",1,IF(N(V1438)&gt;0,V1438,IF(CB1438=1,MAX(1,N(VLOOKUP(T1438,Parameter!$I$27:$K$29,3,0)),H1438,N(N1438)),IF(N(Q1438)&gt;0,Q1438,MAX(1,H1438)))))</f>
        <v>80</v>
      </c>
      <c r="CA1438" s="65" t="n">
        <f aca="false">IF(BY1438="LOSE",1,0)</f>
        <v>0</v>
      </c>
      <c r="CB1438" s="65" t="n">
        <f aca="false">IF(AND(U1438="",OR(P1438="",P1438="LOSE"),T1438&lt;&gt;"",N(S1438)&lt;=0,ISNUMBER(MATCH(T1438,Parameter!$I$27:$I$29,0))),1,0)</f>
        <v>0</v>
      </c>
      <c r="CC1438" s="65" t="n">
        <f aca="false">IF(CR1438&gt;0,INDEX(Parameter!$H$5:$H$7,W1438)/INDEX(Parameter!$E$5:$E$7,W1438),IF(AND(CA1438=0,N(IFERROR(VLOOKUP(BY1438,'Gebinde-Kategorie'!$A$5:$N$45,14,0),0))&gt;0),VLOOKUP(BY1438,'Gebinde-Kategorie'!$A$5:$N$45,14,0)*10+Parameter!$M$23,Parameter!$M$24))</f>
        <v>235</v>
      </c>
      <c r="CD1438" s="60" t="n">
        <f aca="false">IF(AND(Parameter!$B$19="Ja",E1438&lt;&gt;"",ISNUMBER(MATCH(E1438,Parameter!$I$35:$I$52,0))),VLOOKUP(E1438,Parameter!$I$35:$J$52,2,0),IFERROR(VLOOKUP(D1438,Parameter!$A$35:$C$64,2,0),"Nein"))</f>
        <v>1</v>
      </c>
      <c r="CE1438" s="64" t="n">
        <f aca="false">IF(CA1438=0,0,IF(N(S1438)&gt;0,S1438,IFERROR(VLOOKUP(D1438,Parameter!$A$35:$C$64,3,0)+0,0)))</f>
        <v>0</v>
      </c>
      <c r="CF1438" s="60" t="n">
        <f aca="false">IF(AB1438&lt;&gt;"",AB1438,AA1438)</f>
        <v>1</v>
      </c>
      <c r="CG1438" s="60" t="str">
        <f aca="false">IF(OR(CF1438=1,CF1438=2,CF1438=3),IF(Parameter!$E$27="Ja","LIFT",IF(CF1438=1,"L1","L23")),IF(CF1438="Aussen","Aussen","-"))</f>
        <v>LIFT</v>
      </c>
      <c r="CH1438" s="71" t="n">
        <f aca="false">IF(N(AC1438)&gt;0,AC1438,0)</f>
        <v>0</v>
      </c>
      <c r="CI1438" s="65" t="n">
        <f aca="false">IF(ISNUMBER(AF1438),1,0)</f>
        <v>0</v>
      </c>
      <c r="CJ1438" s="62" t="n">
        <f aca="false">N(AF1438)</f>
        <v>0</v>
      </c>
      <c r="CK1438" s="62" t="n">
        <f aca="false">N(M1438)+N(N1438)</f>
        <v>87</v>
      </c>
      <c r="CL1438" s="62" t="n">
        <f aca="false">N(M1438)</f>
        <v>22</v>
      </c>
      <c r="CM1438" s="62" t="n">
        <f aca="false">N(N1438)</f>
        <v>65</v>
      </c>
      <c r="CN1438" s="62" t="n">
        <f aca="false">ROUNDUP(H1438/BZ1438,0)</f>
        <v>1</v>
      </c>
      <c r="CO1438" s="62" t="n">
        <f aca="false">ROUNDUP(CJ1438/BZ1438,0)</f>
        <v>0</v>
      </c>
      <c r="CP1438" s="65" t="n">
        <f aca="false">IF(CA1438=1,0,IFERROR(VLOOKUP(BY1438,'Gebinde-Kategorie'!$A$5:$N$45,5,0)+0,0))</f>
        <v>20</v>
      </c>
      <c r="CQ1438" s="65" t="n">
        <f aca="false">IFERROR(IF(OR(CF1438=1,CF1438=2,CF1438=3),N(INDEX(Parameter!$I$5:$I$7,CF1438)),0),0)</f>
        <v>0</v>
      </c>
      <c r="CR1438" s="64" t="n">
        <f aca="false">IF(AND(Parameter!$B$21="Ja",ISNUMBER(W1438),N(X1438)&gt;0),IFERROR(N(INDEX(Parameter!$L$5:$L$7,W1438))*INDEX(Parameter!$E$5:$E$7,W1438)*X1438/SUMIFS($X$7:$X$1843,$W$7:$W$1843,W1438),0),0)</f>
        <v>0</v>
      </c>
      <c r="CS1438" s="62" t="n">
        <f aca="false">IF(AND(OR(CG1438="L1",CG1438="L23",CG1438="LIFT"),H1438&gt;0),CC1438*IF(CR1438&gt;0,CR1438*MAX(1,H1438/X1438),IF(CA1438=1,CE1438,IF(R1438&gt;0,CN1438/R1438,0))/MAX(0.1,N(Parameter!$M$21))),"")</f>
        <v>39.1666666666667</v>
      </c>
      <c r="CT1438" s="64" t="n">
        <f aca="false">IF(CS1438="","",J1438/H1438)</f>
        <v>3.7</v>
      </c>
      <c r="CU1438" s="62" t="n">
        <f aca="false">IF(CS1438="","",H1438*G1438)</f>
        <v>9256.2</v>
      </c>
      <c r="CV1438" s="63" t="n">
        <f aca="false">IF(CS1438="","",(CL1438+ROUNDUP(CL1438+MAX(CM1438,2*(J1438/MAX(0.1,N(Einkauf!$C$6))-CL1438)),0))/2)</f>
        <v>55.5</v>
      </c>
      <c r="CW1438" s="62" t="n">
        <f aca="false">IF(CS1438="","",MAX(0,H1438-CV1438)*G1438)</f>
        <v>694.215</v>
      </c>
      <c r="CX1438" s="62" t="n">
        <f aca="false">IF(CS1438="","",CS1438*MAX(0,1-CV1438/H1438))</f>
        <v>2.9375</v>
      </c>
      <c r="CY1438" s="64" t="n">
        <f aca="false">IF(CS1438="","",PERCENTRANK($CS$7:$CS$1843,CS1438)+PERCENTRANK($CU$7:$CU$1843,CU1438)+1-PERCENTRANK($CT$7:$CT$1843,CT1438))</f>
        <v>1.879</v>
      </c>
      <c r="CZ1438" s="72" t="n">
        <f aca="false">IF(CS1438="","",CHOOSE(MATCH(Einkauf!$C$5,Parameter!$G$23:$G$27,0),CY1438,CS1438,CU1438,-CT1438,CW1438)+ROW()/1000000000)</f>
        <v>1.879001438</v>
      </c>
    </row>
    <row r="1439" customFormat="false" ht="15" hidden="false" customHeight="false" outlineLevel="0" collapsed="false">
      <c r="A1439" s="60" t="s">
        <v>2563</v>
      </c>
      <c r="B1439" s="60" t="s">
        <v>487</v>
      </c>
      <c r="C1439" s="60" t="s">
        <v>206</v>
      </c>
      <c r="D1439" s="60" t="s">
        <v>215</v>
      </c>
      <c r="E1439" s="60" t="s">
        <v>215</v>
      </c>
      <c r="F1439" s="60" t="s">
        <v>260</v>
      </c>
      <c r="G1439" s="61" t="n">
        <v>157.67</v>
      </c>
      <c r="H1439" s="62" t="n">
        <f aca="false">MAX(0,IF(AND(Parameter!$B$21="Ja",ISNUMBER(Y1439)),Y1439,IF(Parameter!$B$20="Jahresanfang 2025 + Export",BS1439+BR1439,BR1439)))</f>
        <v>12</v>
      </c>
      <c r="I1439" s="62" t="n">
        <f aca="false">H1439*G1439</f>
        <v>1892.04</v>
      </c>
      <c r="J1439" s="62" t="n">
        <f aca="false">BU1439*Parameter!$B$18</f>
        <v>86</v>
      </c>
      <c r="K1439" s="63" t="n">
        <v>55.5</v>
      </c>
      <c r="L1439" s="64" t="n">
        <v>1.54954954954955</v>
      </c>
      <c r="M1439" s="62" t="n">
        <v>5</v>
      </c>
      <c r="N1439" s="62" t="n">
        <v>25</v>
      </c>
      <c r="O1439" s="65" t="n">
        <v>21</v>
      </c>
      <c r="P1439" s="60" t="s">
        <v>390</v>
      </c>
      <c r="Q1439" s="62" t="n">
        <v>22</v>
      </c>
      <c r="R1439" s="65" t="n">
        <f aca="false">IF(CA1439=1,0,IFERROR(VLOOKUP(BY1439,'Gebinde-Kategorie'!$A$5:$N$45,13,0)+0,0))</f>
        <v>4</v>
      </c>
      <c r="S1439" s="66"/>
      <c r="T1439" s="67"/>
      <c r="U1439" s="67"/>
      <c r="V1439" s="67"/>
      <c r="W1439" s="60"/>
      <c r="X1439" s="62"/>
      <c r="Y1439" s="62"/>
      <c r="Z1439" s="60"/>
      <c r="AA1439" s="60" t="str">
        <f aca="false">IF(A1439="","",IF(AND(Parameter!$B$21="Ja",ISNUMBER(W1439)),W1439,IF(AND(Parameter!$E$27="Ja",ISNUMBER(Z1439),CD1439&lt;&gt;"Nein"),Z1439,IF(CD1439="2+3",IF(ISNUMBER(SEARCH("grosser Artikel",BV1439)),2,IFERROR(VLOOKUP(BY1439,Parameter!$F$35:$G$64,2,0),2)),IF(OR(CD1439="Nein",CD1439=""),"-",CD1439)))))</f>
        <v>-</v>
      </c>
      <c r="AB1439" s="67"/>
      <c r="AC1439" s="68"/>
      <c r="AD1439" s="62" t="n">
        <f aca="false">AW1439</f>
        <v>53</v>
      </c>
      <c r="AE1439" s="62" t="n">
        <f aca="false">MAX(AW1439,H1439)</f>
        <v>53</v>
      </c>
      <c r="AF1439" s="69"/>
      <c r="AG1439" s="62" t="n">
        <f aca="false">IF(LEFT(Cockpit!$C$5,1)="A",H1439,IF(Parameter!$E$30="MAX-Bestand",IF(CI1439=1,CJ1439,IF(LEFT(Cockpit!$C$5,1)="B",AM1439,MAX(AM1439,H1439))),ROUNDUP(AK1439,0)))</f>
        <v>12</v>
      </c>
      <c r="AH1439" s="62" t="n">
        <f aca="false">IF(CA1439=1,0,ROUNDUP(AG1439/BZ1439,0))</f>
        <v>1</v>
      </c>
      <c r="AI1439" s="64" t="n">
        <f aca="false">IF(CR1439&gt;0,CR1439*MAX(1,AG1439/X1439),IF(CA1439=1,IF(AG1439&lt;=0,0,CE1439*MAX(1,IF(H1439&gt;0,AG1439/H1439,1))),IF(R1439&gt;0,AH1439/R1439,0))/MAX(0.1,N(Parameter!$M$21)))</f>
        <v>0.25</v>
      </c>
      <c r="AJ1439" s="62" t="n">
        <f aca="false">AI1439*CC1439</f>
        <v>108.75</v>
      </c>
      <c r="AK1439" s="63" t="n">
        <f aca="false">IF(LEFT(Cockpit!$C$5,1)="A",H1439,IF(CI1439=1,(CL1439+CJ1439)/2,IF(LEFT(Cockpit!$C$5,1)="B",(CL1439+AM1439)/2,MAX((CL1439+AM1439)/2,H1439))))</f>
        <v>12</v>
      </c>
      <c r="AL1439" s="62" t="n">
        <f aca="false">AK1439*G1439</f>
        <v>1892.04</v>
      </c>
      <c r="AM1439" s="62" t="n">
        <f aca="false">ROUNDUP(CL1439+MAX(CM1439,2*(J1439/IF(CH1439&gt;0,CH1439,MAX(0.1,N(Cockpit!$C$6)))-CL1439)),0)</f>
        <v>53</v>
      </c>
      <c r="AN1439" s="63" t="n">
        <f aca="false">IF(AJ1439&gt;0,J1439/AJ1439,-1)</f>
        <v>0.790804597701149</v>
      </c>
      <c r="AO1439" s="63" t="str">
        <f aca="false">IF(AND(OR(CG1439="L1",CG1439="L23",CG1439="LIFT"),AJ1439&gt;0),SUMIFS($AJ$7:$AJ$1843,$CG$7:$CG$1843,CG1439,$AN$7:$AN$1843,"&gt;"&amp;AN1439)+SUMIFS($AJ$7:$AJ$1843,$CG$7:$CG$1843,CG1439,$AN$7:$AN$1843,AN1439,$BX$7:$BX$1843,"&lt;="&amp;BX1439),"")</f>
        <v/>
      </c>
      <c r="AP1439" s="70" t="n">
        <f aca="false">IF(AO1439="",0,MAX(0,MIN(1,(IF(CG1439="L1",Parameter!$H$5,IF(CG1439="L23",Parameter!$H$6+Parameter!$H$7,Parameter!$H$5+Parameter!$H$6+Parameter!$H$7))-(AO1439-AJ1439))/AJ1439)))</f>
        <v>0</v>
      </c>
      <c r="AQ1439" s="62" t="n">
        <f aca="false">IF(LEFT(Cockpit!$I$5,1)="A",H1439,IF(Parameter!$E$30="MAX-Bestand",IF(CI1439=1,CJ1439,IF(LEFT(Cockpit!$I$5,1)="B",AW1439,MAX(AW1439,H1439))),ROUNDUP(AU1439,0)))</f>
        <v>29</v>
      </c>
      <c r="AR1439" s="62" t="n">
        <f aca="false">IF(CA1439=1,0,ROUNDUP(AQ1439/BZ1439,0))</f>
        <v>2</v>
      </c>
      <c r="AS1439" s="64" t="n">
        <f aca="false">IF(CR1439&gt;0,CR1439*MAX(1,AQ1439/X1439),IF(CA1439=1,IF(AQ1439&lt;=0,0,CE1439*MAX(1,IF(H1439&gt;0,AQ1439/H1439,1))),IF(R1439&gt;0,AR1439/R1439,0))/MAX(0.1,N(Parameter!$M$21)))</f>
        <v>0.5</v>
      </c>
      <c r="AT1439" s="62" t="n">
        <f aca="false">AS1439*CC1439</f>
        <v>217.5</v>
      </c>
      <c r="AU1439" s="63" t="n">
        <f aca="false">IF(LEFT(Cockpit!$I$5,1)="A",H1439,IF(CI1439=1,(CL1439+CJ1439)/2,IF(LEFT(Cockpit!$I$5,1)="B",(CL1439+AW1439)/2,MAX((CL1439+AW1439)/2,H1439))))</f>
        <v>29</v>
      </c>
      <c r="AV1439" s="62" t="n">
        <f aca="false">AU1439*G1439</f>
        <v>4572.43</v>
      </c>
      <c r="AW1439" s="62" t="n">
        <f aca="false">ROUNDUP(CL1439+MAX(CM1439,2*(J1439/IF(CH1439&gt;0,CH1439,MAX(0.1,N(Cockpit!$I$6)))-CL1439)),0)</f>
        <v>53</v>
      </c>
      <c r="AX1439" s="63" t="n">
        <f aca="false">IF(AT1439&gt;0,J1439/AT1439,-1)</f>
        <v>0.395402298850575</v>
      </c>
      <c r="AY1439" s="63" t="str">
        <f aca="false">IF(AND(OR(CG1439="L1",CG1439="L23",CG1439="LIFT"),AT1439&gt;0),SUMIFS($AT$7:$AT$1843,$CG$7:$CG$1843,CG1439,$AX$7:$AX$1843,"&gt;"&amp;AX1439)+SUMIFS($AT$7:$AT$1843,$CG$7:$CG$1843,CG1439,$AX$7:$AX$1843,AX1439,$BX$7:$BX$1843,"&lt;="&amp;BX1439),"")</f>
        <v/>
      </c>
      <c r="AZ1439" s="70" t="n">
        <f aca="false">IF(AY1439="",0,MAX(0,MIN(1,(IF(CG1439="L1",Parameter!$H$5,IF(CG1439="L23",Parameter!$H$6+Parameter!$H$7,Parameter!$H$5+Parameter!$H$6+Parameter!$H$7))-(AY1439-AT1439))/AT1439)))</f>
        <v>0</v>
      </c>
      <c r="BA1439" s="62" t="n">
        <f aca="false">IF(LEFT(Cockpit!$O$5,1)="A",H1439,IF(Parameter!$E$30="MAX-Bestand",IF(CI1439=1,CJ1439,IF(LEFT(Cockpit!$O$5,1)="B",BG1439,MAX(BG1439,H1439))),ROUNDUP(BE1439,0)))</f>
        <v>22</v>
      </c>
      <c r="BB1439" s="62" t="n">
        <f aca="false">IF(CA1439=1,0,ROUNDUP(BA1439/BZ1439,0))</f>
        <v>1</v>
      </c>
      <c r="BC1439" s="64" t="n">
        <f aca="false">IF(CR1439&gt;0,CR1439*MAX(1,BA1439/X1439),IF(CA1439=1,IF(BA1439&lt;=0,0,CE1439*MAX(1,IF(H1439&gt;0,BA1439/H1439,1))),IF(R1439&gt;0,BB1439/R1439,0))/MAX(0.1,N(Parameter!$M$21)))</f>
        <v>0.25</v>
      </c>
      <c r="BD1439" s="62" t="n">
        <f aca="false">BC1439*CC1439</f>
        <v>108.75</v>
      </c>
      <c r="BE1439" s="63" t="n">
        <f aca="false">IF(LEFT(Cockpit!$O$5,1)="A",H1439,IF(CI1439=1,(CL1439+CJ1439)/2,IF(LEFT(Cockpit!$O$5,1)="B",(CL1439+BG1439)/2,MAX((CL1439+BG1439)/2,H1439))))</f>
        <v>21.5</v>
      </c>
      <c r="BF1439" s="62" t="n">
        <f aca="false">BE1439*G1439</f>
        <v>3389.905</v>
      </c>
      <c r="BG1439" s="62" t="n">
        <f aca="false">ROUNDUP(CL1439+MAX(CM1439,2*(J1439/IF(CH1439&gt;0,CH1439,MAX(0.1,N(Cockpit!$O$6)))-CL1439)),0)</f>
        <v>38</v>
      </c>
      <c r="BH1439" s="63" t="n">
        <f aca="false">IF(BD1439&gt;0,J1439/BD1439,-1)</f>
        <v>0.790804597701149</v>
      </c>
      <c r="BI1439" s="63" t="str">
        <f aca="false">IF(AND(OR(CG1439="L1",CG1439="L23",CG1439="LIFT"),BD1439&gt;0),SUMIFS($BD$7:$BD$1843,$CG$7:$CG$1843,CG1439,$BH$7:$BH$1843,"&gt;"&amp;BH1439)+SUMIFS($BD$7:$BD$1843,$CG$7:$CG$1843,CG1439,$BH$7:$BH$1843,BH1439,$BX$7:$BX$1843,"&lt;="&amp;BX1439),"")</f>
        <v/>
      </c>
      <c r="BJ1439" s="70" t="n">
        <f aca="false">IF(BI1439="",0,MAX(0,MIN(1,(IF(CG1439="L1",Parameter!$H$5,IF(CG1439="L23",Parameter!$H$6+Parameter!$H$7,Parameter!$H$5+Parameter!$H$6+Parameter!$H$7))-(BI1439-BD1439))/BD1439)))</f>
        <v>0</v>
      </c>
      <c r="BK1439" s="60" t="str">
        <f aca="false">IF(AJ1439&lt;=0,"",IF(CG1439="Aussen","Aussenlager",IF(CG1439="-","Nicht im Lift",IF(AP1439&gt;=1,"Lift",IF(AP1439&lt;=0,"Aussenlager","teilweise")))))</f>
        <v>Nicht im Lift</v>
      </c>
      <c r="BL1439" s="60" t="str">
        <f aca="false">IF(AT1439&lt;=0,"",IF(CG1439="Aussen","Aussenlager",IF(CG1439="-","Nicht im Lift",IF(AZ1439&gt;=1,"Lift",IF(AZ1439&lt;=0,"Aussenlager","teilweise")))))</f>
        <v>Nicht im Lift</v>
      </c>
      <c r="BM1439" s="60" t="str">
        <f aca="false">IF(BD1439&lt;=0,"",IF(CG1439="Aussen","Aussenlager",IF(CG1439="-","Nicht im Lift",IF(BJ1439&gt;=1,"Lift",IF(BJ1439&lt;=0,"Aussenlager","teilweise")))))</f>
        <v>Nicht im Lift</v>
      </c>
      <c r="BN1439" s="60" t="str">
        <f aca="false">IF(A1439="","",IF(BW1439=1,"Neu; ","")&amp;IF(AND(BW1439=0,BR1439&lt;0),"negativer Bestand (Export "&amp;BR1439&amp;"); ","")&amp;IF(J1439&lt;=0,"Kein Verbrauch; ","")&amp;IF(CR1439&gt;0,"Lift "&amp;W1439&amp;" lt. Liftbericht (Fach "&amp;X1439&amp;" Stk); ",IF(CB1439=1,"Gebinde geschätzt ("&amp;T1439&amp;"); ",IF(CA1439=1,"Lose – Tablare geschätzt; ","")))&amp;IF(H1439&gt;AW1439,"Überbestand "&amp;ROUND(H1439-AW1439,0)&amp;" Stk / CHF "&amp;ROUND((H1439-AW1439)*G1439,0)&amp;"; ","")&amp;IF(AND(CI1439=1,CJ1439&lt;CK1439),"MAX &lt; MB+LG; ","")&amp;IF(AND(CQ1439&gt;0,CP1439*10&gt;CQ1439),"zu hoch für Tablar; ","")&amp;IF(AND(BW1439=0,OR(CI1439=1,AB1439&lt;&gt;"",U1439&lt;&gt;"",V1439&lt;&gt;"",AC1439&lt;&gt;"")),"manuell übersteuert; ","")&amp;IF(AND(CA1439=0,R1439=0),"Gebinde unbekannt / Stellmass fehlt; ","")&amp;IF(AND(CA1439=0,N(V1439)&lt;=0,N(Q1439)&lt;=0),"Menge pro Gebinde fehlt (Ist = 1 Gebinde); ","")&amp;BV1439)</f>
        <v>negativer Bestand (Export -56); </v>
      </c>
      <c r="BO1439" s="60"/>
      <c r="BP1439" s="60"/>
      <c r="BQ1439" s="67"/>
      <c r="BR1439" s="62" t="n">
        <v>-56</v>
      </c>
      <c r="BS1439" s="62" t="n">
        <v>68</v>
      </c>
      <c r="BT1439" s="61" t="n">
        <v>-8826.12</v>
      </c>
      <c r="BU1439" s="62" t="n">
        <v>86</v>
      </c>
      <c r="BV1439" s="60"/>
      <c r="BW1439" s="65" t="n">
        <v>0</v>
      </c>
      <c r="BX1439" s="65" t="n">
        <v>1439</v>
      </c>
      <c r="BY1439" s="60" t="str">
        <f aca="false">IF(U1439&lt;&gt;"",UPPER(TRIM(U1439)),IF(CB1439=1,UPPER(VLOOKUP(T1439,Parameter!$I$27:$K$29,2,0)),IF(P1439="","LOSE",P1439)))</f>
        <v>S82</v>
      </c>
      <c r="BZ1439" s="62" t="n">
        <f aca="false">IF(BY1439="LOSE",1,IF(N(V1439)&gt;0,V1439,IF(CB1439=1,MAX(1,N(VLOOKUP(T1439,Parameter!$I$27:$K$29,3,0)),H1439,N(N1439)),IF(N(Q1439)&gt;0,Q1439,MAX(1,H1439)))))</f>
        <v>22</v>
      </c>
      <c r="CA1439" s="65" t="n">
        <f aca="false">IF(BY1439="LOSE",1,0)</f>
        <v>0</v>
      </c>
      <c r="CB1439" s="65" t="n">
        <f aca="false">IF(AND(U1439="",OR(P1439="",P1439="LOSE"),T1439&lt;&gt;"",N(S1439)&lt;=0,ISNUMBER(MATCH(T1439,Parameter!$I$27:$I$29,0))),1,0)</f>
        <v>0</v>
      </c>
      <c r="CC1439" s="65" t="n">
        <f aca="false">IF(CR1439&gt;0,INDEX(Parameter!$H$5:$H$7,W1439)/INDEX(Parameter!$E$5:$E$7,W1439),IF(AND(CA1439=0,N(IFERROR(VLOOKUP(BY1439,'Gebinde-Kategorie'!$A$5:$N$45,14,0),0))&gt;0),VLOOKUP(BY1439,'Gebinde-Kategorie'!$A$5:$N$45,14,0)*10+Parameter!$M$23,Parameter!$M$24))</f>
        <v>435</v>
      </c>
      <c r="CD1439" s="60" t="str">
        <f aca="false">IF(AND(Parameter!$B$19="Ja",E1439&lt;&gt;"",ISNUMBER(MATCH(E1439,Parameter!$I$35:$I$52,0))),VLOOKUP(E1439,Parameter!$I$35:$J$52,2,0),IFERROR(VLOOKUP(D1439,Parameter!$A$35:$C$64,2,0),"Nein"))</f>
        <v>Nein</v>
      </c>
      <c r="CE1439" s="64" t="n">
        <f aca="false">IF(CA1439=0,0,IF(N(S1439)&gt;0,S1439,IFERROR(VLOOKUP(D1439,Parameter!$A$35:$C$64,3,0)+0,0)))</f>
        <v>0</v>
      </c>
      <c r="CF1439" s="60" t="str">
        <f aca="false">IF(AB1439&lt;&gt;"",AB1439,AA1439)</f>
        <v>-</v>
      </c>
      <c r="CG1439" s="60" t="str">
        <f aca="false">IF(OR(CF1439=1,CF1439=2,CF1439=3),IF(Parameter!$E$27="Ja","LIFT",IF(CF1439=1,"L1","L23")),IF(CF1439="Aussen","Aussen","-"))</f>
        <v>-</v>
      </c>
      <c r="CH1439" s="71" t="n">
        <f aca="false">IF(N(AC1439)&gt;0,AC1439,0)</f>
        <v>0</v>
      </c>
      <c r="CI1439" s="65" t="n">
        <f aca="false">IF(ISNUMBER(AF1439),1,0)</f>
        <v>0</v>
      </c>
      <c r="CJ1439" s="62" t="n">
        <f aca="false">N(AF1439)</f>
        <v>0</v>
      </c>
      <c r="CK1439" s="62" t="n">
        <f aca="false">N(M1439)+N(N1439)</f>
        <v>30</v>
      </c>
      <c r="CL1439" s="62" t="n">
        <f aca="false">N(M1439)</f>
        <v>5</v>
      </c>
      <c r="CM1439" s="62" t="n">
        <f aca="false">N(N1439)</f>
        <v>25</v>
      </c>
      <c r="CN1439" s="62" t="n">
        <f aca="false">ROUNDUP(H1439/BZ1439,0)</f>
        <v>1</v>
      </c>
      <c r="CO1439" s="62" t="n">
        <f aca="false">ROUNDUP(CJ1439/BZ1439,0)</f>
        <v>0</v>
      </c>
      <c r="CP1439" s="65" t="n">
        <f aca="false">IF(CA1439=1,0,IFERROR(VLOOKUP(BY1439,'Gebinde-Kategorie'!$A$5:$N$45,5,0)+0,0))</f>
        <v>40</v>
      </c>
      <c r="CQ1439" s="65" t="n">
        <f aca="false">IFERROR(IF(OR(CF1439=1,CF1439=2,CF1439=3),N(INDEX(Parameter!$I$5:$I$7,CF1439)),0),0)</f>
        <v>0</v>
      </c>
      <c r="CR1439" s="64" t="n">
        <f aca="false">IF(AND(Parameter!$B$21="Ja",ISNUMBER(W1439),N(X1439)&gt;0),IFERROR(N(INDEX(Parameter!$L$5:$L$7,W1439))*INDEX(Parameter!$E$5:$E$7,W1439)*X1439/SUMIFS($X$7:$X$1843,$W$7:$W$1843,W1439),0),0)</f>
        <v>0</v>
      </c>
      <c r="CS1439" s="62" t="str">
        <f aca="false">IF(AND(OR(CG1439="L1",CG1439="L23",CG1439="LIFT"),H1439&gt;0),CC1439*IF(CR1439&gt;0,CR1439*MAX(1,H1439/X1439),IF(CA1439=1,CE1439,IF(R1439&gt;0,CN1439/R1439,0))/MAX(0.1,N(Parameter!$M$21))),"")</f>
        <v/>
      </c>
      <c r="CT1439" s="64" t="str">
        <f aca="false">IF(CS1439="","",J1439/H1439)</f>
        <v/>
      </c>
      <c r="CU1439" s="62" t="str">
        <f aca="false">IF(CS1439="","",H1439*G1439)</f>
        <v/>
      </c>
      <c r="CV1439" s="63" t="str">
        <f aca="false">IF(CS1439="","",(CL1439+ROUNDUP(CL1439+MAX(CM1439,2*(J1439/MAX(0.1,N(Einkauf!$C$6))-CL1439)),0))/2)</f>
        <v/>
      </c>
      <c r="CW1439" s="62" t="str">
        <f aca="false">IF(CS1439="","",MAX(0,H1439-CV1439)*G1439)</f>
        <v/>
      </c>
      <c r="CX1439" s="62" t="str">
        <f aca="false">IF(CS1439="","",CS1439*MAX(0,1-CV1439/H1439))</f>
        <v/>
      </c>
      <c r="CY1439" s="64" t="str">
        <f aca="false">IF(CS1439="","",PERCENTRANK($CS$7:$CS$1843,CS1439)+PERCENTRANK($CU$7:$CU$1843,CU1439)+1-PERCENTRANK($CT$7:$CT$1843,CT1439))</f>
        <v/>
      </c>
      <c r="CZ1439" s="72" t="str">
        <f aca="false">IF(CS1439="","",CHOOSE(MATCH(Einkauf!$C$5,Parameter!$G$23:$G$27,0),CY1439,CS1439,CU1439,-CT1439,CW1439)+ROW()/1000000000)</f>
        <v/>
      </c>
    </row>
    <row r="1440" customFormat="false" ht="15" hidden="false" customHeight="false" outlineLevel="0" collapsed="false">
      <c r="A1440" s="60" t="s">
        <v>2564</v>
      </c>
      <c r="B1440" s="60" t="s">
        <v>2565</v>
      </c>
      <c r="C1440" s="60" t="s">
        <v>206</v>
      </c>
      <c r="D1440" s="60" t="s">
        <v>395</v>
      </c>
      <c r="E1440" s="60"/>
      <c r="F1440" s="60"/>
      <c r="G1440" s="61" t="n">
        <v>4421.95</v>
      </c>
      <c r="H1440" s="62" t="n">
        <f aca="false">MAX(0,IF(AND(Parameter!$B$21="Ja",ISNUMBER(Y1440)),Y1440,IF(Parameter!$B$20="Jahresanfang 2025 + Export",BS1440+BR1440,BR1440)))</f>
        <v>0</v>
      </c>
      <c r="I1440" s="62" t="n">
        <f aca="false">H1440*G1440</f>
        <v>0</v>
      </c>
      <c r="J1440" s="62" t="n">
        <f aca="false">BU1440*Parameter!$B$18</f>
        <v>2</v>
      </c>
      <c r="K1440" s="63"/>
      <c r="L1440" s="64"/>
      <c r="M1440" s="62" t="n">
        <v>0</v>
      </c>
      <c r="N1440" s="62" t="n">
        <v>1</v>
      </c>
      <c r="O1440" s="65"/>
      <c r="P1440" s="60" t="s">
        <v>210</v>
      </c>
      <c r="Q1440" s="62"/>
      <c r="R1440" s="65" t="n">
        <f aca="false">IF(CA1440=1,0,IFERROR(VLOOKUP(BY1440,'Gebinde-Kategorie'!$A$5:$N$45,13,0)+0,0))</f>
        <v>0</v>
      </c>
      <c r="S1440" s="66"/>
      <c r="T1440" s="67"/>
      <c r="U1440" s="67"/>
      <c r="V1440" s="67"/>
      <c r="W1440" s="60"/>
      <c r="X1440" s="62"/>
      <c r="Y1440" s="62"/>
      <c r="Z1440" s="60"/>
      <c r="AA1440" s="60" t="str">
        <f aca="false">IF(A1440="","",IF(AND(Parameter!$B$21="Ja",ISNUMBER(W1440)),W1440,IF(AND(Parameter!$E$27="Ja",ISNUMBER(Z1440),CD1440&lt;&gt;"Nein"),Z1440,IF(CD1440="2+3",IF(ISNUMBER(SEARCH("grosser Artikel",BV1440)),2,IFERROR(VLOOKUP(BY1440,Parameter!$F$35:$G$64,2,0),2)),IF(OR(CD1440="Nein",CD1440=""),"-",CD1440)))))</f>
        <v>-</v>
      </c>
      <c r="AB1440" s="67"/>
      <c r="AC1440" s="68"/>
      <c r="AD1440" s="62" t="n">
        <f aca="false">AW1440</f>
        <v>2</v>
      </c>
      <c r="AE1440" s="62" t="n">
        <f aca="false">MAX(AW1440,H1440)</f>
        <v>2</v>
      </c>
      <c r="AF1440" s="69"/>
      <c r="AG1440" s="62" t="n">
        <f aca="false">IF(LEFT(Cockpit!$C$5,1)="A",H1440,IF(Parameter!$E$30="MAX-Bestand",IF(CI1440=1,CJ1440,IF(LEFT(Cockpit!$C$5,1)="B",AM1440,MAX(AM1440,H1440))),ROUNDUP(AK1440,0)))</f>
        <v>0</v>
      </c>
      <c r="AH1440" s="62" t="n">
        <f aca="false">IF(CA1440=1,0,ROUNDUP(AG1440/BZ1440,0))</f>
        <v>0</v>
      </c>
      <c r="AI1440" s="64" t="n">
        <f aca="false">IF(CR1440&gt;0,CR1440*MAX(1,AG1440/X1440),IF(CA1440=1,IF(AG1440&lt;=0,0,CE1440*MAX(1,IF(H1440&gt;0,AG1440/H1440,1))),IF(R1440&gt;0,AH1440/R1440,0))/MAX(0.1,N(Parameter!$M$21)))</f>
        <v>0</v>
      </c>
      <c r="AJ1440" s="62" t="n">
        <f aca="false">AI1440*CC1440</f>
        <v>0</v>
      </c>
      <c r="AK1440" s="63" t="n">
        <f aca="false">IF(LEFT(Cockpit!$C$5,1)="A",H1440,IF(CI1440=1,(CL1440+CJ1440)/2,IF(LEFT(Cockpit!$C$5,1)="B",(CL1440+AM1440)/2,MAX((CL1440+AM1440)/2,H1440))))</f>
        <v>0</v>
      </c>
      <c r="AL1440" s="62" t="n">
        <f aca="false">AK1440*G1440</f>
        <v>0</v>
      </c>
      <c r="AM1440" s="62" t="n">
        <f aca="false">ROUNDUP(CL1440+MAX(CM1440,2*(J1440/IF(CH1440&gt;0,CH1440,MAX(0.1,N(Cockpit!$C$6)))-CL1440)),0)</f>
        <v>2</v>
      </c>
      <c r="AN1440" s="63" t="n">
        <f aca="false">IF(AJ1440&gt;0,J1440/AJ1440,-1)</f>
        <v>-1</v>
      </c>
      <c r="AO1440" s="63" t="str">
        <f aca="false">IF(AND(OR(CG1440="L1",CG1440="L23",CG1440="LIFT"),AJ1440&gt;0),SUMIFS($AJ$7:$AJ$1843,$CG$7:$CG$1843,CG1440,$AN$7:$AN$1843,"&gt;"&amp;AN1440)+SUMIFS($AJ$7:$AJ$1843,$CG$7:$CG$1843,CG1440,$AN$7:$AN$1843,AN1440,$BX$7:$BX$1843,"&lt;="&amp;BX1440),"")</f>
        <v/>
      </c>
      <c r="AP1440" s="70" t="n">
        <f aca="false">IF(AO1440="",0,MAX(0,MIN(1,(IF(CG1440="L1",Parameter!$H$5,IF(CG1440="L23",Parameter!$H$6+Parameter!$H$7,Parameter!$H$5+Parameter!$H$6+Parameter!$H$7))-(AO1440-AJ1440))/AJ1440)))</f>
        <v>0</v>
      </c>
      <c r="AQ1440" s="62" t="n">
        <f aca="false">IF(LEFT(Cockpit!$I$5,1)="A",H1440,IF(Parameter!$E$30="MAX-Bestand",IF(CI1440=1,CJ1440,IF(LEFT(Cockpit!$I$5,1)="B",AW1440,MAX(AW1440,H1440))),ROUNDUP(AU1440,0)))</f>
        <v>1</v>
      </c>
      <c r="AR1440" s="62" t="n">
        <f aca="false">IF(CA1440=1,0,ROUNDUP(AQ1440/BZ1440,0))</f>
        <v>0</v>
      </c>
      <c r="AS1440" s="64" t="n">
        <f aca="false">IF(CR1440&gt;0,CR1440*MAX(1,AQ1440/X1440),IF(CA1440=1,IF(AQ1440&lt;=0,0,CE1440*MAX(1,IF(H1440&gt;0,AQ1440/H1440,1))),IF(R1440&gt;0,AR1440/R1440,0))/MAX(0.1,N(Parameter!$M$21)))</f>
        <v>0.15</v>
      </c>
      <c r="AT1440" s="62" t="n">
        <f aca="false">AS1440*CC1440</f>
        <v>35.25</v>
      </c>
      <c r="AU1440" s="63" t="n">
        <f aca="false">IF(LEFT(Cockpit!$I$5,1)="A",H1440,IF(CI1440=1,(CL1440+CJ1440)/2,IF(LEFT(Cockpit!$I$5,1)="B",(CL1440+AW1440)/2,MAX((CL1440+AW1440)/2,H1440))))</f>
        <v>1</v>
      </c>
      <c r="AV1440" s="62" t="n">
        <f aca="false">AU1440*G1440</f>
        <v>4421.95</v>
      </c>
      <c r="AW1440" s="62" t="n">
        <f aca="false">ROUNDUP(CL1440+MAX(CM1440,2*(J1440/IF(CH1440&gt;0,CH1440,MAX(0.1,N(Cockpit!$I$6)))-CL1440)),0)</f>
        <v>2</v>
      </c>
      <c r="AX1440" s="63" t="n">
        <f aca="false">IF(AT1440&gt;0,J1440/AT1440,-1)</f>
        <v>0.0567375886524823</v>
      </c>
      <c r="AY1440" s="63" t="str">
        <f aca="false">IF(AND(OR(CG1440="L1",CG1440="L23",CG1440="LIFT"),AT1440&gt;0),SUMIFS($AT$7:$AT$1843,$CG$7:$CG$1843,CG1440,$AX$7:$AX$1843,"&gt;"&amp;AX1440)+SUMIFS($AT$7:$AT$1843,$CG$7:$CG$1843,CG1440,$AX$7:$AX$1843,AX1440,$BX$7:$BX$1843,"&lt;="&amp;BX1440),"")</f>
        <v/>
      </c>
      <c r="AZ1440" s="70" t="n">
        <f aca="false">IF(AY1440="",0,MAX(0,MIN(1,(IF(CG1440="L1",Parameter!$H$5,IF(CG1440="L23",Parameter!$H$6+Parameter!$H$7,Parameter!$H$5+Parameter!$H$6+Parameter!$H$7))-(AY1440-AT1440))/AT1440)))</f>
        <v>0</v>
      </c>
      <c r="BA1440" s="62" t="n">
        <f aca="false">IF(LEFT(Cockpit!$O$5,1)="A",H1440,IF(Parameter!$E$30="MAX-Bestand",IF(CI1440=1,CJ1440,IF(LEFT(Cockpit!$O$5,1)="B",BG1440,MAX(BG1440,H1440))),ROUNDUP(BE1440,0)))</f>
        <v>1</v>
      </c>
      <c r="BB1440" s="62" t="n">
        <f aca="false">IF(CA1440=1,0,ROUNDUP(BA1440/BZ1440,0))</f>
        <v>0</v>
      </c>
      <c r="BC1440" s="64" t="n">
        <f aca="false">IF(CR1440&gt;0,CR1440*MAX(1,BA1440/X1440),IF(CA1440=1,IF(BA1440&lt;=0,0,CE1440*MAX(1,IF(H1440&gt;0,BA1440/H1440,1))),IF(R1440&gt;0,BB1440/R1440,0))/MAX(0.1,N(Parameter!$M$21)))</f>
        <v>0.15</v>
      </c>
      <c r="BD1440" s="62" t="n">
        <f aca="false">BC1440*CC1440</f>
        <v>35.25</v>
      </c>
      <c r="BE1440" s="63" t="n">
        <f aca="false">IF(LEFT(Cockpit!$O$5,1)="A",H1440,IF(CI1440=1,(CL1440+CJ1440)/2,IF(LEFT(Cockpit!$O$5,1)="B",(CL1440+BG1440)/2,MAX((CL1440+BG1440)/2,H1440))))</f>
        <v>0.5</v>
      </c>
      <c r="BF1440" s="62" t="n">
        <f aca="false">BE1440*G1440</f>
        <v>2210.975</v>
      </c>
      <c r="BG1440" s="62" t="n">
        <f aca="false">ROUNDUP(CL1440+MAX(CM1440,2*(J1440/IF(CH1440&gt;0,CH1440,MAX(0.1,N(Cockpit!$O$6)))-CL1440)),0)</f>
        <v>1</v>
      </c>
      <c r="BH1440" s="63" t="n">
        <f aca="false">IF(BD1440&gt;0,J1440/BD1440,-1)</f>
        <v>0.0567375886524823</v>
      </c>
      <c r="BI1440" s="63" t="str">
        <f aca="false">IF(AND(OR(CG1440="L1",CG1440="L23",CG1440="LIFT"),BD1440&gt;0),SUMIFS($BD$7:$BD$1843,$CG$7:$CG$1843,CG1440,$BH$7:$BH$1843,"&gt;"&amp;BH1440)+SUMIFS($BD$7:$BD$1843,$CG$7:$CG$1843,CG1440,$BH$7:$BH$1843,BH1440,$BX$7:$BX$1843,"&lt;="&amp;BX1440),"")</f>
        <v/>
      </c>
      <c r="BJ1440" s="70" t="n">
        <f aca="false">IF(BI1440="",0,MAX(0,MIN(1,(IF(CG1440="L1",Parameter!$H$5,IF(CG1440="L23",Parameter!$H$6+Parameter!$H$7,Parameter!$H$5+Parameter!$H$6+Parameter!$H$7))-(BI1440-BD1440))/BD1440)))</f>
        <v>0</v>
      </c>
      <c r="BK1440" s="60" t="str">
        <f aca="false">IF(AJ1440&lt;=0,"",IF(CG1440="Aussen","Aussenlager",IF(CG1440="-","Nicht im Lift",IF(AP1440&gt;=1,"Lift",IF(AP1440&lt;=0,"Aussenlager","teilweise")))))</f>
        <v/>
      </c>
      <c r="BL1440" s="60" t="str">
        <f aca="false">IF(AT1440&lt;=0,"",IF(CG1440="Aussen","Aussenlager",IF(CG1440="-","Nicht im Lift",IF(AZ1440&gt;=1,"Lift",IF(AZ1440&lt;=0,"Aussenlager","teilweise")))))</f>
        <v>Nicht im Lift</v>
      </c>
      <c r="BM1440" s="60" t="str">
        <f aca="false">IF(BD1440&lt;=0,"",IF(CG1440="Aussen","Aussenlager",IF(CG1440="-","Nicht im Lift",IF(BJ1440&gt;=1,"Lift",IF(BJ1440&lt;=0,"Aussenlager","teilweise")))))</f>
        <v>Nicht im Lift</v>
      </c>
      <c r="BN1440" s="60" t="str">
        <f aca="false">IF(A1440="","",IF(BW1440=1,"Neu; ","")&amp;IF(AND(BW1440=0,BR1440&lt;0),"negativer Bestand (Export "&amp;BR1440&amp;"); ","")&amp;IF(J1440&lt;=0,"Kein Verbrauch; ","")&amp;IF(CR1440&gt;0,"Lift "&amp;W1440&amp;" lt. Liftbericht (Fach "&amp;X1440&amp;" Stk); ",IF(CB1440=1,"Gebinde geschätzt ("&amp;T1440&amp;"); ",IF(CA1440=1,"Lose – Tablare geschätzt; ","")))&amp;IF(H1440&gt;AW1440,"Überbestand "&amp;ROUND(H1440-AW1440,0)&amp;" Stk / CHF "&amp;ROUND((H1440-AW1440)*G1440,0)&amp;"; ","")&amp;IF(AND(CI1440=1,CJ1440&lt;CK1440),"MAX &lt; MB+LG; ","")&amp;IF(AND(CQ1440&gt;0,CP1440*10&gt;CQ1440),"zu hoch für Tablar; ","")&amp;IF(AND(BW1440=0,OR(CI1440=1,AB1440&lt;&gt;"",U1440&lt;&gt;"",V1440&lt;&gt;"",AC1440&lt;&gt;"")),"manuell übersteuert; ","")&amp;IF(AND(CA1440=0,R1440=0),"Gebinde unbekannt / Stellmass fehlt; ","")&amp;IF(AND(CA1440=0,N(V1440)&lt;=0,N(Q1440)&lt;=0),"Menge pro Gebinde fehlt (Ist = 1 Gebinde); ","")&amp;BV1440)</f>
        <v>negativer Bestand (Export -2); Lose – Tablare geschätzt; </v>
      </c>
      <c r="BO1440" s="60"/>
      <c r="BP1440" s="60"/>
      <c r="BQ1440" s="67"/>
      <c r="BR1440" s="62" t="n">
        <v>-2</v>
      </c>
      <c r="BS1440" s="62" t="n">
        <v>0</v>
      </c>
      <c r="BT1440" s="61" t="n">
        <v>-8843.9</v>
      </c>
      <c r="BU1440" s="62" t="n">
        <v>2</v>
      </c>
      <c r="BV1440" s="60"/>
      <c r="BW1440" s="65" t="n">
        <v>0</v>
      </c>
      <c r="BX1440" s="65" t="n">
        <v>1440</v>
      </c>
      <c r="BY1440" s="60" t="str">
        <f aca="false">IF(U1440&lt;&gt;"",UPPER(TRIM(U1440)),IF(CB1440=1,UPPER(VLOOKUP(T1440,Parameter!$I$27:$K$29,2,0)),IF(P1440="","LOSE",P1440)))</f>
        <v>LOSE</v>
      </c>
      <c r="BZ1440" s="62" t="n">
        <f aca="false">IF(BY1440="LOSE",1,IF(N(V1440)&gt;0,V1440,IF(CB1440=1,MAX(1,N(VLOOKUP(T1440,Parameter!$I$27:$K$29,3,0)),H1440,N(N1440)),IF(N(Q1440)&gt;0,Q1440,MAX(1,H1440)))))</f>
        <v>1</v>
      </c>
      <c r="CA1440" s="65" t="n">
        <f aca="false">IF(BY1440="LOSE",1,0)</f>
        <v>1</v>
      </c>
      <c r="CB1440" s="65" t="n">
        <f aca="false">IF(AND(U1440="",OR(P1440="",P1440="LOSE"),T1440&lt;&gt;"",N(S1440)&lt;=0,ISNUMBER(MATCH(T1440,Parameter!$I$27:$I$29,0))),1,0)</f>
        <v>0</v>
      </c>
      <c r="CC1440" s="65" t="n">
        <f aca="false">IF(CR1440&gt;0,INDEX(Parameter!$H$5:$H$7,W1440)/INDEX(Parameter!$E$5:$E$7,W1440),IF(AND(CA1440=0,N(IFERROR(VLOOKUP(BY1440,'Gebinde-Kategorie'!$A$5:$N$45,14,0),0))&gt;0),VLOOKUP(BY1440,'Gebinde-Kategorie'!$A$5:$N$45,14,0)*10+Parameter!$M$23,Parameter!$M$24))</f>
        <v>235</v>
      </c>
      <c r="CD1440" s="60" t="str">
        <f aca="false">IF(AND(Parameter!$B$19="Ja",E1440&lt;&gt;"",ISNUMBER(MATCH(E1440,Parameter!$I$35:$I$52,0))),VLOOKUP(E1440,Parameter!$I$35:$J$52,2,0),IFERROR(VLOOKUP(D1440,Parameter!$A$35:$C$64,2,0),"Nein"))</f>
        <v>Nein</v>
      </c>
      <c r="CE1440" s="64" t="n">
        <f aca="false">IF(CA1440=0,0,IF(N(S1440)&gt;0,S1440,IFERROR(VLOOKUP(D1440,Parameter!$A$35:$C$64,3,0)+0,0)))</f>
        <v>0.15</v>
      </c>
      <c r="CF1440" s="60" t="str">
        <f aca="false">IF(AB1440&lt;&gt;"",AB1440,AA1440)</f>
        <v>-</v>
      </c>
      <c r="CG1440" s="60" t="str">
        <f aca="false">IF(OR(CF1440=1,CF1440=2,CF1440=3),IF(Parameter!$E$27="Ja","LIFT",IF(CF1440=1,"L1","L23")),IF(CF1440="Aussen","Aussen","-"))</f>
        <v>-</v>
      </c>
      <c r="CH1440" s="71" t="n">
        <f aca="false">IF(N(AC1440)&gt;0,AC1440,0)</f>
        <v>0</v>
      </c>
      <c r="CI1440" s="65" t="n">
        <f aca="false">IF(ISNUMBER(AF1440),1,0)</f>
        <v>0</v>
      </c>
      <c r="CJ1440" s="62" t="n">
        <f aca="false">N(AF1440)</f>
        <v>0</v>
      </c>
      <c r="CK1440" s="62" t="n">
        <f aca="false">N(M1440)+N(N1440)</f>
        <v>1</v>
      </c>
      <c r="CL1440" s="62" t="n">
        <f aca="false">N(M1440)</f>
        <v>0</v>
      </c>
      <c r="CM1440" s="62" t="n">
        <f aca="false">N(N1440)</f>
        <v>1</v>
      </c>
      <c r="CN1440" s="62" t="n">
        <f aca="false">ROUNDUP(H1440/BZ1440,0)</f>
        <v>0</v>
      </c>
      <c r="CO1440" s="62" t="n">
        <f aca="false">ROUNDUP(CJ1440/BZ1440,0)</f>
        <v>0</v>
      </c>
      <c r="CP1440" s="65" t="n">
        <f aca="false">IF(CA1440=1,0,IFERROR(VLOOKUP(BY1440,'Gebinde-Kategorie'!$A$5:$N$45,5,0)+0,0))</f>
        <v>0</v>
      </c>
      <c r="CQ1440" s="65" t="n">
        <f aca="false">IFERROR(IF(OR(CF1440=1,CF1440=2,CF1440=3),N(INDEX(Parameter!$I$5:$I$7,CF1440)),0),0)</f>
        <v>0</v>
      </c>
      <c r="CR1440" s="64" t="n">
        <f aca="false">IF(AND(Parameter!$B$21="Ja",ISNUMBER(W1440),N(X1440)&gt;0),IFERROR(N(INDEX(Parameter!$L$5:$L$7,W1440))*INDEX(Parameter!$E$5:$E$7,W1440)*X1440/SUMIFS($X$7:$X$1843,$W$7:$W$1843,W1440),0),0)</f>
        <v>0</v>
      </c>
      <c r="CS1440" s="62" t="str">
        <f aca="false">IF(AND(OR(CG1440="L1",CG1440="L23",CG1440="LIFT"),H1440&gt;0),CC1440*IF(CR1440&gt;0,CR1440*MAX(1,H1440/X1440),IF(CA1440=1,CE1440,IF(R1440&gt;0,CN1440/R1440,0))/MAX(0.1,N(Parameter!$M$21))),"")</f>
        <v/>
      </c>
      <c r="CT1440" s="64" t="str">
        <f aca="false">IF(CS1440="","",J1440/H1440)</f>
        <v/>
      </c>
      <c r="CU1440" s="62" t="str">
        <f aca="false">IF(CS1440="","",H1440*G1440)</f>
        <v/>
      </c>
      <c r="CV1440" s="63" t="str">
        <f aca="false">IF(CS1440="","",(CL1440+ROUNDUP(CL1440+MAX(CM1440,2*(J1440/MAX(0.1,N(Einkauf!$C$6))-CL1440)),0))/2)</f>
        <v/>
      </c>
      <c r="CW1440" s="62" t="str">
        <f aca="false">IF(CS1440="","",MAX(0,H1440-CV1440)*G1440)</f>
        <v/>
      </c>
      <c r="CX1440" s="62" t="str">
        <f aca="false">IF(CS1440="","",CS1440*MAX(0,1-CV1440/H1440))</f>
        <v/>
      </c>
      <c r="CY1440" s="64" t="str">
        <f aca="false">IF(CS1440="","",PERCENTRANK($CS$7:$CS$1843,CS1440)+PERCENTRANK($CU$7:$CU$1843,CU1440)+1-PERCENTRANK($CT$7:$CT$1843,CT1440))</f>
        <v/>
      </c>
      <c r="CZ1440" s="72" t="str">
        <f aca="false">IF(CS1440="","",CHOOSE(MATCH(Einkauf!$C$5,Parameter!$G$23:$G$27,0),CY1440,CS1440,CU1440,-CT1440,CW1440)+ROW()/1000000000)</f>
        <v/>
      </c>
    </row>
    <row r="1441" customFormat="false" ht="15" hidden="false" customHeight="false" outlineLevel="0" collapsed="false">
      <c r="A1441" s="60" t="s">
        <v>2566</v>
      </c>
      <c r="B1441" s="60" t="s">
        <v>2567</v>
      </c>
      <c r="C1441" s="60" t="s">
        <v>206</v>
      </c>
      <c r="D1441" s="60" t="s">
        <v>215</v>
      </c>
      <c r="E1441" s="60" t="s">
        <v>227</v>
      </c>
      <c r="F1441" s="60"/>
      <c r="G1441" s="61" t="n">
        <v>234.8</v>
      </c>
      <c r="H1441" s="62" t="n">
        <f aca="false">MAX(0,IF(AND(Parameter!$B$21="Ja",ISNUMBER(Y1441)),Y1441,IF(Parameter!$B$20="Jahresanfang 2025 + Export",BS1441+BR1441,BR1441)))</f>
        <v>0</v>
      </c>
      <c r="I1441" s="62" t="n">
        <f aca="false">H1441*G1441</f>
        <v>0</v>
      </c>
      <c r="J1441" s="62" t="n">
        <f aca="false">BU1441*Parameter!$B$18</f>
        <v>207</v>
      </c>
      <c r="K1441" s="63"/>
      <c r="L1441" s="64"/>
      <c r="M1441" s="62" t="n">
        <v>12</v>
      </c>
      <c r="N1441" s="62" t="n">
        <v>80</v>
      </c>
      <c r="O1441" s="65"/>
      <c r="P1441" s="60" t="s">
        <v>216</v>
      </c>
      <c r="Q1441" s="62" t="n">
        <v>20</v>
      </c>
      <c r="R1441" s="65" t="n">
        <f aca="false">IF(CA1441=1,0,IFERROR(VLOOKUP(BY1441,'Gebinde-Kategorie'!$A$5:$N$45,13,0)+0,0))</f>
        <v>6</v>
      </c>
      <c r="S1441" s="66"/>
      <c r="T1441" s="67"/>
      <c r="U1441" s="67"/>
      <c r="V1441" s="67"/>
      <c r="W1441" s="60"/>
      <c r="X1441" s="62"/>
      <c r="Y1441" s="62"/>
      <c r="Z1441" s="60" t="n">
        <v>2</v>
      </c>
      <c r="AA1441" s="60" t="n">
        <f aca="false">IF(A1441="","",IF(AND(Parameter!$B$21="Ja",ISNUMBER(W1441)),W1441,IF(AND(Parameter!$E$27="Ja",ISNUMBER(Z1441),CD1441&lt;&gt;"Nein"),Z1441,IF(CD1441="2+3",IF(ISNUMBER(SEARCH("grosser Artikel",BV1441)),2,IFERROR(VLOOKUP(BY1441,Parameter!$F$35:$G$64,2,0),2)),IF(OR(CD1441="Nein",CD1441=""),"-",CD1441)))))</f>
        <v>2</v>
      </c>
      <c r="AB1441" s="67"/>
      <c r="AC1441" s="68"/>
      <c r="AD1441" s="62" t="n">
        <f aca="false">AW1441</f>
        <v>126</v>
      </c>
      <c r="AE1441" s="62" t="n">
        <f aca="false">MAX(AW1441,H1441)</f>
        <v>126</v>
      </c>
      <c r="AF1441" s="69"/>
      <c r="AG1441" s="62" t="n">
        <f aca="false">IF(LEFT(Cockpit!$C$5,1)="A",H1441,IF(Parameter!$E$30="MAX-Bestand",IF(CI1441=1,CJ1441,IF(LEFT(Cockpit!$C$5,1)="B",AM1441,MAX(AM1441,H1441))),ROUNDUP(AK1441,0)))</f>
        <v>0</v>
      </c>
      <c r="AH1441" s="62" t="n">
        <f aca="false">IF(CA1441=1,0,ROUNDUP(AG1441/BZ1441,0))</f>
        <v>0</v>
      </c>
      <c r="AI1441" s="64" t="n">
        <f aca="false">IF(CR1441&gt;0,CR1441*MAX(1,AG1441/X1441),IF(CA1441=1,IF(AG1441&lt;=0,0,CE1441*MAX(1,IF(H1441&gt;0,AG1441/H1441,1))),IF(R1441&gt;0,AH1441/R1441,0))/MAX(0.1,N(Parameter!$M$21)))</f>
        <v>0</v>
      </c>
      <c r="AJ1441" s="62" t="n">
        <f aca="false">AI1441*CC1441</f>
        <v>0</v>
      </c>
      <c r="AK1441" s="63" t="n">
        <f aca="false">IF(LEFT(Cockpit!$C$5,1)="A",H1441,IF(CI1441=1,(CL1441+CJ1441)/2,IF(LEFT(Cockpit!$C$5,1)="B",(CL1441+AM1441)/2,MAX((CL1441+AM1441)/2,H1441))))</f>
        <v>0</v>
      </c>
      <c r="AL1441" s="62" t="n">
        <f aca="false">AK1441*G1441</f>
        <v>0</v>
      </c>
      <c r="AM1441" s="62" t="n">
        <f aca="false">ROUNDUP(CL1441+MAX(CM1441,2*(J1441/IF(CH1441&gt;0,CH1441,MAX(0.1,N(Cockpit!$C$6)))-CL1441)),0)</f>
        <v>126</v>
      </c>
      <c r="AN1441" s="63" t="n">
        <f aca="false">IF(AJ1441&gt;0,J1441/AJ1441,-1)</f>
        <v>-1</v>
      </c>
      <c r="AO1441" s="63" t="str">
        <f aca="false">IF(AND(OR(CG1441="L1",CG1441="L23",CG1441="LIFT"),AJ1441&gt;0),SUMIFS($AJ$7:$AJ$1843,$CG$7:$CG$1843,CG1441,$AN$7:$AN$1843,"&gt;"&amp;AN1441)+SUMIFS($AJ$7:$AJ$1843,$CG$7:$CG$1843,CG1441,$AN$7:$AN$1843,AN1441,$BX$7:$BX$1843,"&lt;="&amp;BX1441),"")</f>
        <v/>
      </c>
      <c r="AP1441" s="70" t="n">
        <f aca="false">IF(AO1441="",0,MAX(0,MIN(1,(IF(CG1441="L1",Parameter!$H$5,IF(CG1441="L23",Parameter!$H$6+Parameter!$H$7,Parameter!$H$5+Parameter!$H$6+Parameter!$H$7))-(AO1441-AJ1441))/AJ1441)))</f>
        <v>0</v>
      </c>
      <c r="AQ1441" s="62" t="n">
        <f aca="false">IF(LEFT(Cockpit!$I$5,1)="A",H1441,IF(Parameter!$E$30="MAX-Bestand",IF(CI1441=1,CJ1441,IF(LEFT(Cockpit!$I$5,1)="B",AW1441,MAX(AW1441,H1441))),ROUNDUP(AU1441,0)))</f>
        <v>69</v>
      </c>
      <c r="AR1441" s="62" t="n">
        <f aca="false">IF(CA1441=1,0,ROUNDUP(AQ1441/BZ1441,0))</f>
        <v>4</v>
      </c>
      <c r="AS1441" s="64" t="n">
        <f aca="false">IF(CR1441&gt;0,CR1441*MAX(1,AQ1441/X1441),IF(CA1441=1,IF(AQ1441&lt;=0,0,CE1441*MAX(1,IF(H1441&gt;0,AQ1441/H1441,1))),IF(R1441&gt;0,AR1441/R1441,0))/MAX(0.1,N(Parameter!$M$21)))</f>
        <v>0.666666666666667</v>
      </c>
      <c r="AT1441" s="62" t="n">
        <f aca="false">AS1441*CC1441</f>
        <v>156.666666666667</v>
      </c>
      <c r="AU1441" s="63" t="n">
        <f aca="false">IF(LEFT(Cockpit!$I$5,1)="A",H1441,IF(CI1441=1,(CL1441+CJ1441)/2,IF(LEFT(Cockpit!$I$5,1)="B",(CL1441+AW1441)/2,MAX((CL1441+AW1441)/2,H1441))))</f>
        <v>69</v>
      </c>
      <c r="AV1441" s="62" t="n">
        <f aca="false">AU1441*G1441</f>
        <v>16201.2</v>
      </c>
      <c r="AW1441" s="62" t="n">
        <f aca="false">ROUNDUP(CL1441+MAX(CM1441,2*(J1441/IF(CH1441&gt;0,CH1441,MAX(0.1,N(Cockpit!$I$6)))-CL1441)),0)</f>
        <v>126</v>
      </c>
      <c r="AX1441" s="63" t="n">
        <f aca="false">IF(AT1441&gt;0,J1441/AT1441,-1)</f>
        <v>1.32127659574468</v>
      </c>
      <c r="AY1441" s="63" t="n">
        <f aca="false">IF(AND(OR(CG1441="L1",CG1441="L23",CG1441="LIFT"),AT1441&gt;0),SUMIFS($AT$7:$AT$1843,$CG$7:$CG$1843,CG1441,$AX$7:$AX$1843,"&gt;"&amp;AX1441)+SUMIFS($AT$7:$AT$1843,$CG$7:$CG$1843,CG1441,$AX$7:$AX$1843,AX1441,$BX$7:$BX$1843,"&lt;="&amp;BX1441),"")</f>
        <v>8047.7673992674</v>
      </c>
      <c r="AZ1441" s="70" t="n">
        <f aca="false">IF(AY1441="",0,MAX(0,MIN(1,(IF(CG1441="L1",Parameter!$H$5,IF(CG1441="L23",Parameter!$H$6+Parameter!$H$7,Parameter!$H$5+Parameter!$H$6+Parameter!$H$7))-(AY1441-AT1441))/AT1441)))</f>
        <v>1</v>
      </c>
      <c r="BA1441" s="62" t="n">
        <f aca="false">IF(LEFT(Cockpit!$O$5,1)="A",H1441,IF(Parameter!$E$30="MAX-Bestand",IF(CI1441=1,CJ1441,IF(LEFT(Cockpit!$O$5,1)="B",BG1441,MAX(BG1441,H1441))),ROUNDUP(BE1441,0)))</f>
        <v>52</v>
      </c>
      <c r="BB1441" s="62" t="n">
        <f aca="false">IF(CA1441=1,0,ROUNDUP(BA1441/BZ1441,0))</f>
        <v>3</v>
      </c>
      <c r="BC1441" s="64" t="n">
        <f aca="false">IF(CR1441&gt;0,CR1441*MAX(1,BA1441/X1441),IF(CA1441=1,IF(BA1441&lt;=0,0,CE1441*MAX(1,IF(H1441&gt;0,BA1441/H1441,1))),IF(R1441&gt;0,BB1441/R1441,0))/MAX(0.1,N(Parameter!$M$21)))</f>
        <v>0.5</v>
      </c>
      <c r="BD1441" s="62" t="n">
        <f aca="false">BC1441*CC1441</f>
        <v>117.5</v>
      </c>
      <c r="BE1441" s="63" t="n">
        <f aca="false">IF(LEFT(Cockpit!$O$5,1)="A",H1441,IF(CI1441=1,(CL1441+CJ1441)/2,IF(LEFT(Cockpit!$O$5,1)="B",(CL1441+BG1441)/2,MAX((CL1441+BG1441)/2,H1441))))</f>
        <v>52</v>
      </c>
      <c r="BF1441" s="62" t="n">
        <f aca="false">BE1441*G1441</f>
        <v>12209.6</v>
      </c>
      <c r="BG1441" s="62" t="n">
        <f aca="false">ROUNDUP(CL1441+MAX(CM1441,2*(J1441/IF(CH1441&gt;0,CH1441,MAX(0.1,N(Cockpit!$O$6)))-CL1441)),0)</f>
        <v>92</v>
      </c>
      <c r="BH1441" s="63" t="n">
        <f aca="false">IF(BD1441&gt;0,J1441/BD1441,-1)</f>
        <v>1.76170212765957</v>
      </c>
      <c r="BI1441" s="63" t="n">
        <f aca="false">IF(AND(OR(CG1441="L1",CG1441="L23",CG1441="LIFT"),BD1441&gt;0),SUMIFS($BD$7:$BD$1843,$CG$7:$CG$1843,CG1441,$BH$7:$BH$1843,"&gt;"&amp;BH1441)+SUMIFS($BD$7:$BD$1843,$CG$7:$CG$1843,CG1441,$BH$7:$BH$1843,BH1441,$BX$7:$BX$1843,"&lt;="&amp;BX1441),"")</f>
        <v>6251.32921245421</v>
      </c>
      <c r="BJ1441" s="70" t="n">
        <f aca="false">IF(BI1441="",0,MAX(0,MIN(1,(IF(CG1441="L1",Parameter!$H$5,IF(CG1441="L23",Parameter!$H$6+Parameter!$H$7,Parameter!$H$5+Parameter!$H$6+Parameter!$H$7))-(BI1441-BD1441))/BD1441)))</f>
        <v>1</v>
      </c>
      <c r="BK1441" s="60" t="str">
        <f aca="false">IF(AJ1441&lt;=0,"",IF(CG1441="Aussen","Aussenlager",IF(CG1441="-","Nicht im Lift",IF(AP1441&gt;=1,"Lift",IF(AP1441&lt;=0,"Aussenlager","teilweise")))))</f>
        <v/>
      </c>
      <c r="BL1441" s="60" t="str">
        <f aca="false">IF(AT1441&lt;=0,"",IF(CG1441="Aussen","Aussenlager",IF(CG1441="-","Nicht im Lift",IF(AZ1441&gt;=1,"Lift",IF(AZ1441&lt;=0,"Aussenlager","teilweise")))))</f>
        <v>Lift</v>
      </c>
      <c r="BM1441" s="60" t="str">
        <f aca="false">IF(BD1441&lt;=0,"",IF(CG1441="Aussen","Aussenlager",IF(CG1441="-","Nicht im Lift",IF(BJ1441&gt;=1,"Lift",IF(BJ1441&lt;=0,"Aussenlager","teilweise")))))</f>
        <v>Lift</v>
      </c>
      <c r="BN1441" s="60" t="str">
        <f aca="false">IF(A1441="","",IF(BW1441=1,"Neu; ","")&amp;IF(AND(BW1441=0,BR1441&lt;0),"negativer Bestand (Export "&amp;BR1441&amp;"); ","")&amp;IF(J1441&lt;=0,"Kein Verbrauch; ","")&amp;IF(CR1441&gt;0,"Lift "&amp;W1441&amp;" lt. Liftbericht (Fach "&amp;X1441&amp;" Stk); ",IF(CB1441=1,"Gebinde geschätzt ("&amp;T1441&amp;"); ",IF(CA1441=1,"Lose – Tablare geschätzt; ","")))&amp;IF(H1441&gt;AW1441,"Überbestand "&amp;ROUND(H1441-AW1441,0)&amp;" Stk / CHF "&amp;ROUND((H1441-AW1441)*G1441,0)&amp;"; ","")&amp;IF(AND(CI1441=1,CJ1441&lt;CK1441),"MAX &lt; MB+LG; ","")&amp;IF(AND(CQ1441&gt;0,CP1441*10&gt;CQ1441),"zu hoch für Tablar; ","")&amp;IF(AND(BW1441=0,OR(CI1441=1,AB1441&lt;&gt;"",U1441&lt;&gt;"",V1441&lt;&gt;"",AC1441&lt;&gt;"")),"manuell übersteuert; ","")&amp;IF(AND(CA1441=0,R1441=0),"Gebinde unbekannt / Stellmass fehlt; ","")&amp;IF(AND(CA1441=0,N(V1441)&lt;=0,N(Q1441)&lt;=0),"Menge pro Gebinde fehlt (Ist = 1 Gebinde); ","")&amp;BV1441)</f>
        <v>negativer Bestand (Export -43); grosser Artikel &amp; nicht im KTL</v>
      </c>
      <c r="BO1441" s="60"/>
      <c r="BP1441" s="60"/>
      <c r="BQ1441" s="67"/>
      <c r="BR1441" s="62" t="n">
        <v>-43</v>
      </c>
      <c r="BS1441" s="62" t="n">
        <v>0</v>
      </c>
      <c r="BT1441" s="61" t="n">
        <v>-8983.15</v>
      </c>
      <c r="BU1441" s="62" t="n">
        <v>207</v>
      </c>
      <c r="BV1441" s="60" t="s">
        <v>303</v>
      </c>
      <c r="BW1441" s="65" t="n">
        <v>0</v>
      </c>
      <c r="BX1441" s="65" t="n">
        <v>1441</v>
      </c>
      <c r="BY1441" s="60" t="str">
        <f aca="false">IF(U1441&lt;&gt;"",UPPER(TRIM(U1441)),IF(CB1441=1,UPPER(VLOOKUP(T1441,Parameter!$I$27:$K$29,2,0)),IF(P1441="","LOSE",P1441)))</f>
        <v>S71</v>
      </c>
      <c r="BZ1441" s="62" t="n">
        <f aca="false">IF(BY1441="LOSE",1,IF(N(V1441)&gt;0,V1441,IF(CB1441=1,MAX(1,N(VLOOKUP(T1441,Parameter!$I$27:$K$29,3,0)),H1441,N(N1441)),IF(N(Q1441)&gt;0,Q1441,MAX(1,H1441)))))</f>
        <v>20</v>
      </c>
      <c r="CA1441" s="65" t="n">
        <f aca="false">IF(BY1441="LOSE",1,0)</f>
        <v>0</v>
      </c>
      <c r="CB1441" s="65" t="n">
        <f aca="false">IF(AND(U1441="",OR(P1441="",P1441="LOSE"),T1441&lt;&gt;"",N(S1441)&lt;=0,ISNUMBER(MATCH(T1441,Parameter!$I$27:$I$29,0))),1,0)</f>
        <v>0</v>
      </c>
      <c r="CC1441" s="65" t="n">
        <f aca="false">IF(CR1441&gt;0,INDEX(Parameter!$H$5:$H$7,W1441)/INDEX(Parameter!$E$5:$E$7,W1441),IF(AND(CA1441=0,N(IFERROR(VLOOKUP(BY1441,'Gebinde-Kategorie'!$A$5:$N$45,14,0),0))&gt;0),VLOOKUP(BY1441,'Gebinde-Kategorie'!$A$5:$N$45,14,0)*10+Parameter!$M$23,Parameter!$M$24))</f>
        <v>235</v>
      </c>
      <c r="CD1441" s="60" t="str">
        <f aca="false">IF(AND(Parameter!$B$19="Ja",E1441&lt;&gt;"",ISNUMBER(MATCH(E1441,Parameter!$I$35:$I$52,0))),VLOOKUP(E1441,Parameter!$I$35:$J$52,2,0),IFERROR(VLOOKUP(D1441,Parameter!$A$35:$C$64,2,0),"Nein"))</f>
        <v>2+3</v>
      </c>
      <c r="CE1441" s="64" t="n">
        <f aca="false">IF(CA1441=0,0,IF(N(S1441)&gt;0,S1441,IFERROR(VLOOKUP(D1441,Parameter!$A$35:$C$64,3,0)+0,0)))</f>
        <v>0</v>
      </c>
      <c r="CF1441" s="60" t="n">
        <f aca="false">IF(AB1441&lt;&gt;"",AB1441,AA1441)</f>
        <v>2</v>
      </c>
      <c r="CG1441" s="60" t="str">
        <f aca="false">IF(OR(CF1441=1,CF1441=2,CF1441=3),IF(Parameter!$E$27="Ja","LIFT",IF(CF1441=1,"L1","L23")),IF(CF1441="Aussen","Aussen","-"))</f>
        <v>LIFT</v>
      </c>
      <c r="CH1441" s="71" t="n">
        <f aca="false">IF(N(AC1441)&gt;0,AC1441,0)</f>
        <v>0</v>
      </c>
      <c r="CI1441" s="65" t="n">
        <f aca="false">IF(ISNUMBER(AF1441),1,0)</f>
        <v>0</v>
      </c>
      <c r="CJ1441" s="62" t="n">
        <f aca="false">N(AF1441)</f>
        <v>0</v>
      </c>
      <c r="CK1441" s="62" t="n">
        <f aca="false">N(M1441)+N(N1441)</f>
        <v>92</v>
      </c>
      <c r="CL1441" s="62" t="n">
        <f aca="false">N(M1441)</f>
        <v>12</v>
      </c>
      <c r="CM1441" s="62" t="n">
        <f aca="false">N(N1441)</f>
        <v>80</v>
      </c>
      <c r="CN1441" s="62" t="n">
        <f aca="false">ROUNDUP(H1441/BZ1441,0)</f>
        <v>0</v>
      </c>
      <c r="CO1441" s="62" t="n">
        <f aca="false">ROUNDUP(CJ1441/BZ1441,0)</f>
        <v>0</v>
      </c>
      <c r="CP1441" s="65" t="n">
        <f aca="false">IF(CA1441=1,0,IFERROR(VLOOKUP(BY1441,'Gebinde-Kategorie'!$A$5:$N$45,5,0)+0,0))</f>
        <v>20</v>
      </c>
      <c r="CQ1441" s="65" t="n">
        <f aca="false">IFERROR(IF(OR(CF1441=1,CF1441=2,CF1441=3),N(INDEX(Parameter!$I$5:$I$7,CF1441)),0),0)</f>
        <v>0</v>
      </c>
      <c r="CR1441" s="64" t="n">
        <f aca="false">IF(AND(Parameter!$B$21="Ja",ISNUMBER(W1441),N(X1441)&gt;0),IFERROR(N(INDEX(Parameter!$L$5:$L$7,W1441))*INDEX(Parameter!$E$5:$E$7,W1441)*X1441/SUMIFS($X$7:$X$1843,$W$7:$W$1843,W1441),0),0)</f>
        <v>0</v>
      </c>
      <c r="CS1441" s="62" t="str">
        <f aca="false">IF(AND(OR(CG1441="L1",CG1441="L23",CG1441="LIFT"),H1441&gt;0),CC1441*IF(CR1441&gt;0,CR1441*MAX(1,H1441/X1441),IF(CA1441=1,CE1441,IF(R1441&gt;0,CN1441/R1441,0))/MAX(0.1,N(Parameter!$M$21))),"")</f>
        <v/>
      </c>
      <c r="CT1441" s="64" t="str">
        <f aca="false">IF(CS1441="","",J1441/H1441)</f>
        <v/>
      </c>
      <c r="CU1441" s="62" t="str">
        <f aca="false">IF(CS1441="","",H1441*G1441)</f>
        <v/>
      </c>
      <c r="CV1441" s="63" t="str">
        <f aca="false">IF(CS1441="","",(CL1441+ROUNDUP(CL1441+MAX(CM1441,2*(J1441/MAX(0.1,N(Einkauf!$C$6))-CL1441)),0))/2)</f>
        <v/>
      </c>
      <c r="CW1441" s="62" t="str">
        <f aca="false">IF(CS1441="","",MAX(0,H1441-CV1441)*G1441)</f>
        <v/>
      </c>
      <c r="CX1441" s="62" t="str">
        <f aca="false">IF(CS1441="","",CS1441*MAX(0,1-CV1441/H1441))</f>
        <v/>
      </c>
      <c r="CY1441" s="64" t="str">
        <f aca="false">IF(CS1441="","",PERCENTRANK($CS$7:$CS$1843,CS1441)+PERCENTRANK($CU$7:$CU$1843,CU1441)+1-PERCENTRANK($CT$7:$CT$1843,CT1441))</f>
        <v/>
      </c>
      <c r="CZ1441" s="72" t="str">
        <f aca="false">IF(CS1441="","",CHOOSE(MATCH(Einkauf!$C$5,Parameter!$G$23:$G$27,0),CY1441,CS1441,CU1441,-CT1441,CW1441)+ROW()/1000000000)</f>
        <v/>
      </c>
    </row>
    <row r="1442" customFormat="false" ht="15" hidden="false" customHeight="false" outlineLevel="0" collapsed="false">
      <c r="A1442" s="60" t="s">
        <v>2568</v>
      </c>
      <c r="B1442" s="60" t="s">
        <v>2569</v>
      </c>
      <c r="C1442" s="60" t="s">
        <v>209</v>
      </c>
      <c r="D1442" s="60" t="s">
        <v>207</v>
      </c>
      <c r="E1442" s="60"/>
      <c r="F1442" s="60"/>
      <c r="G1442" s="61" t="n">
        <v>1549.14</v>
      </c>
      <c r="H1442" s="62" t="n">
        <f aca="false">MAX(0,IF(AND(Parameter!$B$21="Ja",ISNUMBER(Y1442)),Y1442,IF(Parameter!$B$20="Jahresanfang 2025 + Export",BS1442+BR1442,BR1442)))</f>
        <v>8</v>
      </c>
      <c r="I1442" s="62" t="n">
        <f aca="false">H1442*G1442</f>
        <v>12393.12</v>
      </c>
      <c r="J1442" s="62" t="n">
        <f aca="false">BU1442*Parameter!$B$18</f>
        <v>13</v>
      </c>
      <c r="K1442" s="63"/>
      <c r="L1442" s="64"/>
      <c r="M1442" s="62" t="n">
        <v>3</v>
      </c>
      <c r="N1442" s="62" t="n">
        <v>3</v>
      </c>
      <c r="O1442" s="65"/>
      <c r="P1442" s="60" t="s">
        <v>210</v>
      </c>
      <c r="Q1442" s="62"/>
      <c r="R1442" s="65" t="n">
        <f aca="false">IF(CA1442=1,0,IFERROR(VLOOKUP(BY1442,'Gebinde-Kategorie'!$A$5:$N$45,13,0)+0,0))</f>
        <v>0</v>
      </c>
      <c r="S1442" s="66"/>
      <c r="T1442" s="67"/>
      <c r="U1442" s="67"/>
      <c r="V1442" s="67"/>
      <c r="W1442" s="60" t="n">
        <v>1</v>
      </c>
      <c r="X1442" s="62" t="n">
        <v>20</v>
      </c>
      <c r="Y1442" s="62" t="n">
        <v>8</v>
      </c>
      <c r="Z1442" s="60" t="n">
        <v>1</v>
      </c>
      <c r="AA1442" s="60" t="n">
        <f aca="false">IF(A1442="","",IF(AND(Parameter!$B$21="Ja",ISNUMBER(W1442)),W1442,IF(AND(Parameter!$E$27="Ja",ISNUMBER(Z1442),CD1442&lt;&gt;"Nein"),Z1442,IF(CD1442="2+3",IF(ISNUMBER(SEARCH("grosser Artikel",BV1442)),2,IFERROR(VLOOKUP(BY1442,Parameter!$F$35:$G$64,2,0),2)),IF(OR(CD1442="Nein",CD1442=""),"-",CD1442)))))</f>
        <v>1</v>
      </c>
      <c r="AB1442" s="67"/>
      <c r="AC1442" s="68"/>
      <c r="AD1442" s="62" t="n">
        <f aca="false">AW1442</f>
        <v>6</v>
      </c>
      <c r="AE1442" s="62" t="n">
        <f aca="false">MAX(AW1442,H1442)</f>
        <v>8</v>
      </c>
      <c r="AF1442" s="69"/>
      <c r="AG1442" s="62" t="n">
        <f aca="false">IF(LEFT(Cockpit!$C$5,1)="A",H1442,IF(Parameter!$E$30="MAX-Bestand",IF(CI1442=1,CJ1442,IF(LEFT(Cockpit!$C$5,1)="B",AM1442,MAX(AM1442,H1442))),ROUNDUP(AK1442,0)))</f>
        <v>8</v>
      </c>
      <c r="AH1442" s="62" t="n">
        <f aca="false">IF(CA1442=1,0,ROUNDUP(AG1442/BZ1442,0))</f>
        <v>0</v>
      </c>
      <c r="AI1442" s="64" t="n">
        <f aca="false">IF(CR1442&gt;0,CR1442*MAX(1,AG1442/X1442),IF(CA1442=1,IF(AG1442&lt;=0,0,CE1442*MAX(1,IF(H1442&gt;0,AG1442/H1442,1))),IF(R1442&gt;0,AH1442/R1442,0))/MAX(0.1,N(Parameter!$M$21)))</f>
        <v>1.60075329566855</v>
      </c>
      <c r="AJ1442" s="62" t="n">
        <f aca="false">AI1442*CC1442</f>
        <v>380.979284369115</v>
      </c>
      <c r="AK1442" s="63" t="n">
        <f aca="false">IF(LEFT(Cockpit!$C$5,1)="A",H1442,IF(CI1442=1,(CL1442+CJ1442)/2,IF(LEFT(Cockpit!$C$5,1)="B",(CL1442+AM1442)/2,MAX((CL1442+AM1442)/2,H1442))))</f>
        <v>8</v>
      </c>
      <c r="AL1442" s="62" t="n">
        <f aca="false">AK1442*G1442</f>
        <v>12393.12</v>
      </c>
      <c r="AM1442" s="62" t="n">
        <f aca="false">ROUNDUP(CL1442+MAX(CM1442,2*(J1442/IF(CH1442&gt;0,CH1442,MAX(0.1,N(Cockpit!$C$6)))-CL1442)),0)</f>
        <v>6</v>
      </c>
      <c r="AN1442" s="63" t="n">
        <f aca="false">IF(AJ1442&gt;0,J1442/AJ1442,-1)</f>
        <v>0.0341225902125556</v>
      </c>
      <c r="AO1442" s="63" t="n">
        <f aca="false">IF(AND(OR(CG1442="L1",CG1442="L23",CG1442="LIFT"),AJ1442&gt;0),SUMIFS($AJ$7:$AJ$1843,$CG$7:$CG$1843,CG1442,$AN$7:$AN$1843,"&gt;"&amp;AN1442)+SUMIFS($AJ$7:$AJ$1843,$CG$7:$CG$1843,CG1442,$AN$7:$AN$1843,AN1442,$BX$7:$BX$1843,"&lt;="&amp;BX1442),"")</f>
        <v>20362.1002643778</v>
      </c>
      <c r="AP1442" s="70" t="n">
        <f aca="false">IF(AO1442="",0,MAX(0,MIN(1,(IF(CG1442="L1",Parameter!$H$5,IF(CG1442="L23",Parameter!$H$6+Parameter!$H$7,Parameter!$H$5+Parameter!$H$6+Parameter!$H$7))-(AO1442-AJ1442))/AJ1442)))</f>
        <v>1</v>
      </c>
      <c r="AQ1442" s="62" t="n">
        <f aca="false">IF(LEFT(Cockpit!$I$5,1)="A",H1442,IF(Parameter!$E$30="MAX-Bestand",IF(CI1442=1,CJ1442,IF(LEFT(Cockpit!$I$5,1)="B",AW1442,MAX(AW1442,H1442))),ROUNDUP(AU1442,0)))</f>
        <v>8</v>
      </c>
      <c r="AR1442" s="62" t="n">
        <f aca="false">IF(CA1442=1,0,ROUNDUP(AQ1442/BZ1442,0))</f>
        <v>0</v>
      </c>
      <c r="AS1442" s="64" t="n">
        <f aca="false">IF(CR1442&gt;0,CR1442*MAX(1,AQ1442/X1442),IF(CA1442=1,IF(AQ1442&lt;=0,0,CE1442*MAX(1,IF(H1442&gt;0,AQ1442/H1442,1))),IF(R1442&gt;0,AR1442/R1442,0))/MAX(0.1,N(Parameter!$M$21)))</f>
        <v>1.60075329566855</v>
      </c>
      <c r="AT1442" s="62" t="n">
        <f aca="false">AS1442*CC1442</f>
        <v>380.979284369115</v>
      </c>
      <c r="AU1442" s="63" t="n">
        <f aca="false">IF(LEFT(Cockpit!$I$5,1)="A",H1442,IF(CI1442=1,(CL1442+CJ1442)/2,IF(LEFT(Cockpit!$I$5,1)="B",(CL1442+AW1442)/2,MAX((CL1442+AW1442)/2,H1442))))</f>
        <v>8</v>
      </c>
      <c r="AV1442" s="62" t="n">
        <f aca="false">AU1442*G1442</f>
        <v>12393.12</v>
      </c>
      <c r="AW1442" s="62" t="n">
        <f aca="false">ROUNDUP(CL1442+MAX(CM1442,2*(J1442/IF(CH1442&gt;0,CH1442,MAX(0.1,N(Cockpit!$I$6)))-CL1442)),0)</f>
        <v>6</v>
      </c>
      <c r="AX1442" s="63" t="n">
        <f aca="false">IF(AT1442&gt;0,J1442/AT1442,-1)</f>
        <v>0.0341225902125556</v>
      </c>
      <c r="AY1442" s="63" t="n">
        <f aca="false">IF(AND(OR(CG1442="L1",CG1442="L23",CG1442="LIFT"),AT1442&gt;0),SUMIFS($AT$7:$AT$1843,$CG$7:$CG$1843,CG1442,$AX$7:$AX$1843,"&gt;"&amp;AX1442)+SUMIFS($AT$7:$AT$1843,$CG$7:$CG$1843,CG1442,$AX$7:$AX$1843,AX1442,$BX$7:$BX$1843,"&lt;="&amp;BX1442),"")</f>
        <v>25421.4989057553</v>
      </c>
      <c r="AZ1442" s="70" t="n">
        <f aca="false">IF(AY1442="",0,MAX(0,MIN(1,(IF(CG1442="L1",Parameter!$H$5,IF(CG1442="L23",Parameter!$H$6+Parameter!$H$7,Parameter!$H$5+Parameter!$H$6+Parameter!$H$7))-(AY1442-AT1442))/AT1442)))</f>
        <v>1</v>
      </c>
      <c r="BA1442" s="62" t="n">
        <f aca="false">IF(LEFT(Cockpit!$O$5,1)="A",H1442,IF(Parameter!$E$30="MAX-Bestand",IF(CI1442=1,CJ1442,IF(LEFT(Cockpit!$O$5,1)="B",BG1442,MAX(BG1442,H1442))),ROUNDUP(BE1442,0)))</f>
        <v>5</v>
      </c>
      <c r="BB1442" s="62" t="n">
        <f aca="false">IF(CA1442=1,0,ROUNDUP(BA1442/BZ1442,0))</f>
        <v>0</v>
      </c>
      <c r="BC1442" s="64" t="n">
        <f aca="false">IF(CR1442&gt;0,CR1442*MAX(1,BA1442/X1442),IF(CA1442=1,IF(BA1442&lt;=0,0,CE1442*MAX(1,IF(H1442&gt;0,BA1442/H1442,1))),IF(R1442&gt;0,BB1442/R1442,0))/MAX(0.1,N(Parameter!$M$21)))</f>
        <v>1.60075329566855</v>
      </c>
      <c r="BD1442" s="62" t="n">
        <f aca="false">BC1442*CC1442</f>
        <v>380.979284369115</v>
      </c>
      <c r="BE1442" s="63" t="n">
        <f aca="false">IF(LEFT(Cockpit!$O$5,1)="A",H1442,IF(CI1442=1,(CL1442+CJ1442)/2,IF(LEFT(Cockpit!$O$5,1)="B",(CL1442+BG1442)/2,MAX((CL1442+BG1442)/2,H1442))))</f>
        <v>4.5</v>
      </c>
      <c r="BF1442" s="62" t="n">
        <f aca="false">BE1442*G1442</f>
        <v>6971.13</v>
      </c>
      <c r="BG1442" s="62" t="n">
        <f aca="false">ROUNDUP(CL1442+MAX(CM1442,2*(J1442/IF(CH1442&gt;0,CH1442,MAX(0.1,N(Cockpit!$O$6)))-CL1442)),0)</f>
        <v>6</v>
      </c>
      <c r="BH1442" s="63" t="n">
        <f aca="false">IF(BD1442&gt;0,J1442/BD1442,-1)</f>
        <v>0.0341225902125556</v>
      </c>
      <c r="BI1442" s="63" t="n">
        <f aca="false">IF(AND(OR(CG1442="L1",CG1442="L23",CG1442="LIFT"),BD1442&gt;0),SUMIFS($BD$7:$BD$1843,$CG$7:$CG$1843,CG1442,$BH$7:$BH$1843,"&gt;"&amp;BH1442)+SUMIFS($BD$7:$BD$1843,$CG$7:$CG$1843,CG1442,$BH$7:$BH$1843,BH1442,$BX$7:$BX$1843,"&lt;="&amp;BX1442),"")</f>
        <v>21271.4140823865</v>
      </c>
      <c r="BJ1442" s="70" t="n">
        <f aca="false">IF(BI1442="",0,MAX(0,MIN(1,(IF(CG1442="L1",Parameter!$H$5,IF(CG1442="L23",Parameter!$H$6+Parameter!$H$7,Parameter!$H$5+Parameter!$H$6+Parameter!$H$7))-(BI1442-BD1442))/BD1442)))</f>
        <v>1</v>
      </c>
      <c r="BK1442" s="60" t="str">
        <f aca="false">IF(AJ1442&lt;=0,"",IF(CG1442="Aussen","Aussenlager",IF(CG1442="-","Nicht im Lift",IF(AP1442&gt;=1,"Lift",IF(AP1442&lt;=0,"Aussenlager","teilweise")))))</f>
        <v>Lift</v>
      </c>
      <c r="BL1442" s="60" t="str">
        <f aca="false">IF(AT1442&lt;=0,"",IF(CG1442="Aussen","Aussenlager",IF(CG1442="-","Nicht im Lift",IF(AZ1442&gt;=1,"Lift",IF(AZ1442&lt;=0,"Aussenlager","teilweise")))))</f>
        <v>Lift</v>
      </c>
      <c r="BM1442" s="60" t="str">
        <f aca="false">IF(BD1442&lt;=0,"",IF(CG1442="Aussen","Aussenlager",IF(CG1442="-","Nicht im Lift",IF(BJ1442&gt;=1,"Lift",IF(BJ1442&lt;=0,"Aussenlager","teilweise")))))</f>
        <v>Lift</v>
      </c>
      <c r="BN1442" s="60" t="str">
        <f aca="false">IF(A1442="","",IF(BW1442=1,"Neu; ","")&amp;IF(AND(BW1442=0,BR1442&lt;0),"negativer Bestand (Export "&amp;BR1442&amp;"); ","")&amp;IF(J1442&lt;=0,"Kein Verbrauch; ","")&amp;IF(CR1442&gt;0,"Lift "&amp;W1442&amp;" lt. Liftbericht (Fach "&amp;X1442&amp;" Stk); ",IF(CB1442=1,"Gebinde geschätzt ("&amp;T1442&amp;"); ",IF(CA1442=1,"Lose – Tablare geschätzt; ","")))&amp;IF(H1442&gt;AW1442,"Überbestand "&amp;ROUND(H1442-AW1442,0)&amp;" Stk / CHF "&amp;ROUND((H1442-AW1442)*G1442,0)&amp;"; ","")&amp;IF(AND(CI1442=1,CJ1442&lt;CK1442),"MAX &lt; MB+LG; ","")&amp;IF(AND(CQ1442&gt;0,CP1442*10&gt;CQ1442),"zu hoch für Tablar; ","")&amp;IF(AND(BW1442=0,OR(CI1442=1,AB1442&lt;&gt;"",U1442&lt;&gt;"",V1442&lt;&gt;"",AC1442&lt;&gt;"")),"manuell übersteuert; ","")&amp;IF(AND(CA1442=0,R1442=0),"Gebinde unbekannt / Stellmass fehlt; ","")&amp;IF(AND(CA1442=0,N(V1442)&lt;=0,N(Q1442)&lt;=0),"Menge pro Gebinde fehlt (Ist = 1 Gebinde); ","")&amp;BV1442)</f>
        <v>negativer Bestand (Export -6); Lift 1 lt. Liftbericht (Fach 20 Stk); Überbestand 2 Stk / CHF 3098; </v>
      </c>
      <c r="BO1442" s="60"/>
      <c r="BP1442" s="60"/>
      <c r="BQ1442" s="67"/>
      <c r="BR1442" s="62" t="n">
        <v>-6</v>
      </c>
      <c r="BS1442" s="62" t="n">
        <v>0</v>
      </c>
      <c r="BT1442" s="61" t="n">
        <v>-9049.02</v>
      </c>
      <c r="BU1442" s="62" t="n">
        <v>13</v>
      </c>
      <c r="BV1442" s="60"/>
      <c r="BW1442" s="65" t="n">
        <v>0</v>
      </c>
      <c r="BX1442" s="65" t="n">
        <v>1442</v>
      </c>
      <c r="BY1442" s="60" t="str">
        <f aca="false">IF(U1442&lt;&gt;"",UPPER(TRIM(U1442)),IF(CB1442=1,UPPER(VLOOKUP(T1442,Parameter!$I$27:$K$29,2,0)),IF(P1442="","LOSE",P1442)))</f>
        <v>LOSE</v>
      </c>
      <c r="BZ1442" s="62" t="n">
        <f aca="false">IF(BY1442="LOSE",1,IF(N(V1442)&gt;0,V1442,IF(CB1442=1,MAX(1,N(VLOOKUP(T1442,Parameter!$I$27:$K$29,3,0)),H1442,N(N1442)),IF(N(Q1442)&gt;0,Q1442,MAX(1,H1442)))))</f>
        <v>1</v>
      </c>
      <c r="CA1442" s="65" t="n">
        <f aca="false">IF(BY1442="LOSE",1,0)</f>
        <v>1</v>
      </c>
      <c r="CB1442" s="65" t="n">
        <f aca="false">IF(AND(U1442="",OR(P1442="",P1442="LOSE"),T1442&lt;&gt;"",N(S1442)&lt;=0,ISNUMBER(MATCH(T1442,Parameter!$I$27:$I$29,0))),1,0)</f>
        <v>0</v>
      </c>
      <c r="CC1442" s="65" t="n">
        <f aca="false">IF(CR1442&gt;0,INDEX(Parameter!$H$5:$H$7,W1442)/INDEX(Parameter!$E$5:$E$7,W1442),IF(AND(CA1442=0,N(IFERROR(VLOOKUP(BY1442,'Gebinde-Kategorie'!$A$5:$N$45,14,0),0))&gt;0),VLOOKUP(BY1442,'Gebinde-Kategorie'!$A$5:$N$45,14,0)*10+Parameter!$M$23,Parameter!$M$24))</f>
        <v>238</v>
      </c>
      <c r="CD1442" s="60" t="n">
        <f aca="false">IF(AND(Parameter!$B$19="Ja",E1442&lt;&gt;"",ISNUMBER(MATCH(E1442,Parameter!$I$35:$I$52,0))),VLOOKUP(E1442,Parameter!$I$35:$J$52,2,0),IFERROR(VLOOKUP(D1442,Parameter!$A$35:$C$64,2,0),"Nein"))</f>
        <v>1</v>
      </c>
      <c r="CE1442" s="64" t="n">
        <f aca="false">IF(CA1442=0,0,IF(N(S1442)&gt;0,S1442,IFERROR(VLOOKUP(D1442,Parameter!$A$35:$C$64,3,0)+0,0)))</f>
        <v>1</v>
      </c>
      <c r="CF1442" s="60" t="n">
        <f aca="false">IF(AB1442&lt;&gt;"",AB1442,AA1442)</f>
        <v>1</v>
      </c>
      <c r="CG1442" s="60" t="str">
        <f aca="false">IF(OR(CF1442=1,CF1442=2,CF1442=3),IF(Parameter!$E$27="Ja","LIFT",IF(CF1442=1,"L1","L23")),IF(CF1442="Aussen","Aussen","-"))</f>
        <v>LIFT</v>
      </c>
      <c r="CH1442" s="71" t="n">
        <f aca="false">IF(N(AC1442)&gt;0,AC1442,0)</f>
        <v>0</v>
      </c>
      <c r="CI1442" s="65" t="n">
        <f aca="false">IF(ISNUMBER(AF1442),1,0)</f>
        <v>0</v>
      </c>
      <c r="CJ1442" s="62" t="n">
        <f aca="false">N(AF1442)</f>
        <v>0</v>
      </c>
      <c r="CK1442" s="62" t="n">
        <f aca="false">N(M1442)+N(N1442)</f>
        <v>6</v>
      </c>
      <c r="CL1442" s="62" t="n">
        <f aca="false">N(M1442)</f>
        <v>3</v>
      </c>
      <c r="CM1442" s="62" t="n">
        <f aca="false">N(N1442)</f>
        <v>3</v>
      </c>
      <c r="CN1442" s="62" t="n">
        <f aca="false">ROUNDUP(H1442/BZ1442,0)</f>
        <v>8</v>
      </c>
      <c r="CO1442" s="62" t="n">
        <f aca="false">ROUNDUP(CJ1442/BZ1442,0)</f>
        <v>0</v>
      </c>
      <c r="CP1442" s="65" t="n">
        <f aca="false">IF(CA1442=1,0,IFERROR(VLOOKUP(BY1442,'Gebinde-Kategorie'!$A$5:$N$45,5,0)+0,0))</f>
        <v>0</v>
      </c>
      <c r="CQ1442" s="65" t="n">
        <f aca="false">IFERROR(IF(OR(CF1442=1,CF1442=2,CF1442=3),N(INDEX(Parameter!$I$5:$I$7,CF1442)),0),0)</f>
        <v>0</v>
      </c>
      <c r="CR1442" s="64" t="n">
        <f aca="false">IF(AND(Parameter!$B$21="Ja",ISNUMBER(W1442),N(X1442)&gt;0),IFERROR(N(INDEX(Parameter!$L$5:$L$7,W1442))*INDEX(Parameter!$E$5:$E$7,W1442)*X1442/SUMIFS($X$7:$X$1843,$W$7:$W$1843,W1442),0),0)</f>
        <v>1.60075329566855</v>
      </c>
      <c r="CS1442" s="62" t="n">
        <f aca="false">IF(AND(OR(CG1442="L1",CG1442="L23",CG1442="LIFT"),H1442&gt;0),CC1442*IF(CR1442&gt;0,CR1442*MAX(1,H1442/X1442),IF(CA1442=1,CE1442,IF(R1442&gt;0,CN1442/R1442,0))/MAX(0.1,N(Parameter!$M$21))),"")</f>
        <v>380.979284369115</v>
      </c>
      <c r="CT1442" s="64" t="n">
        <f aca="false">IF(CS1442="","",J1442/H1442)</f>
        <v>1.625</v>
      </c>
      <c r="CU1442" s="62" t="n">
        <f aca="false">IF(CS1442="","",H1442*G1442)</f>
        <v>12393.12</v>
      </c>
      <c r="CV1442" s="63" t="n">
        <f aca="false">IF(CS1442="","",(CL1442+ROUNDUP(CL1442+MAX(CM1442,2*(J1442/MAX(0.1,N(Einkauf!$C$6))-CL1442)),0))/2)</f>
        <v>4.5</v>
      </c>
      <c r="CW1442" s="62" t="n">
        <f aca="false">IF(CS1442="","",MAX(0,H1442-CV1442)*G1442)</f>
        <v>5421.99</v>
      </c>
      <c r="CX1442" s="62" t="n">
        <f aca="false">IF(CS1442="","",CS1442*MAX(0,1-CV1442/H1442))</f>
        <v>166.678436911488</v>
      </c>
      <c r="CY1442" s="64" t="n">
        <f aca="false">IF(CS1442="","",PERCENTRANK($CS$7:$CS$1843,CS1442)+PERCENTRANK($CU$7:$CU$1843,CU1442)+1-PERCENTRANK($CT$7:$CT$1843,CT1442))</f>
        <v>2.175</v>
      </c>
      <c r="CZ1442" s="72" t="n">
        <f aca="false">IF(CS1442="","",CHOOSE(MATCH(Einkauf!$C$5,Parameter!$G$23:$G$27,0),CY1442,CS1442,CU1442,-CT1442,CW1442)+ROW()/1000000000)</f>
        <v>2.175001442</v>
      </c>
    </row>
    <row r="1443" customFormat="false" ht="15" hidden="false" customHeight="false" outlineLevel="0" collapsed="false">
      <c r="A1443" s="60" t="s">
        <v>2570</v>
      </c>
      <c r="B1443" s="60" t="s">
        <v>473</v>
      </c>
      <c r="C1443" s="60" t="s">
        <v>498</v>
      </c>
      <c r="D1443" s="60" t="s">
        <v>215</v>
      </c>
      <c r="E1443" s="60"/>
      <c r="F1443" s="60"/>
      <c r="G1443" s="61" t="n">
        <v>77.09</v>
      </c>
      <c r="H1443" s="62" t="n">
        <f aca="false">MAX(0,IF(AND(Parameter!$B$21="Ja",ISNUMBER(Y1443)),Y1443,IF(Parameter!$B$20="Jahresanfang 2025 + Export",BS1443+BR1443,BR1443)))</f>
        <v>0</v>
      </c>
      <c r="I1443" s="62" t="n">
        <f aca="false">H1443*G1443</f>
        <v>0</v>
      </c>
      <c r="J1443" s="62" t="n">
        <f aca="false">BU1443*Parameter!$B$18</f>
        <v>53</v>
      </c>
      <c r="K1443" s="63"/>
      <c r="L1443" s="64"/>
      <c r="M1443" s="62" t="n">
        <v>0</v>
      </c>
      <c r="N1443" s="62" t="n">
        <v>1</v>
      </c>
      <c r="O1443" s="65"/>
      <c r="P1443" s="60" t="s">
        <v>210</v>
      </c>
      <c r="Q1443" s="62"/>
      <c r="R1443" s="65" t="n">
        <f aca="false">IF(CA1443=1,0,IFERROR(VLOOKUP(BY1443,'Gebinde-Kategorie'!$A$5:$N$45,13,0)+0,0))</f>
        <v>12</v>
      </c>
      <c r="S1443" s="66"/>
      <c r="T1443" s="67" t="s">
        <v>221</v>
      </c>
      <c r="U1443" s="67"/>
      <c r="V1443" s="67"/>
      <c r="W1443" s="60"/>
      <c r="X1443" s="62"/>
      <c r="Y1443" s="62"/>
      <c r="Z1443" s="60" t="n">
        <v>3</v>
      </c>
      <c r="AA1443" s="60" t="n">
        <f aca="false">IF(A1443="","",IF(AND(Parameter!$B$21="Ja",ISNUMBER(W1443)),W1443,IF(AND(Parameter!$E$27="Ja",ISNUMBER(Z1443),CD1443&lt;&gt;"Nein"),Z1443,IF(CD1443="2+3",IF(ISNUMBER(SEARCH("grosser Artikel",BV1443)),2,IFERROR(VLOOKUP(BY1443,Parameter!$F$35:$G$64,2,0),2)),IF(OR(CD1443="Nein",CD1443=""),"-",CD1443)))))</f>
        <v>3</v>
      </c>
      <c r="AB1443" s="67"/>
      <c r="AC1443" s="68"/>
      <c r="AD1443" s="62" t="n">
        <f aca="false">AW1443</f>
        <v>36</v>
      </c>
      <c r="AE1443" s="62" t="n">
        <f aca="false">MAX(AW1443,H1443)</f>
        <v>36</v>
      </c>
      <c r="AF1443" s="69"/>
      <c r="AG1443" s="62" t="n">
        <f aca="false">IF(LEFT(Cockpit!$C$5,1)="A",H1443,IF(Parameter!$E$30="MAX-Bestand",IF(CI1443=1,CJ1443,IF(LEFT(Cockpit!$C$5,1)="B",AM1443,MAX(AM1443,H1443))),ROUNDUP(AK1443,0)))</f>
        <v>0</v>
      </c>
      <c r="AH1443" s="62" t="n">
        <f aca="false">IF(CA1443=1,0,ROUNDUP(AG1443/BZ1443,0))</f>
        <v>0</v>
      </c>
      <c r="AI1443" s="64" t="n">
        <f aca="false">IF(CR1443&gt;0,CR1443*MAX(1,AG1443/X1443),IF(CA1443=1,IF(AG1443&lt;=0,0,CE1443*MAX(1,IF(H1443&gt;0,AG1443/H1443,1))),IF(R1443&gt;0,AH1443/R1443,0))/MAX(0.1,N(Parameter!$M$21)))</f>
        <v>0</v>
      </c>
      <c r="AJ1443" s="62" t="n">
        <f aca="false">AI1443*CC1443</f>
        <v>0</v>
      </c>
      <c r="AK1443" s="63" t="n">
        <f aca="false">IF(LEFT(Cockpit!$C$5,1)="A",H1443,IF(CI1443=1,(CL1443+CJ1443)/2,IF(LEFT(Cockpit!$C$5,1)="B",(CL1443+AM1443)/2,MAX((CL1443+AM1443)/2,H1443))))</f>
        <v>0</v>
      </c>
      <c r="AL1443" s="62" t="n">
        <f aca="false">AK1443*G1443</f>
        <v>0</v>
      </c>
      <c r="AM1443" s="62" t="n">
        <f aca="false">ROUNDUP(CL1443+MAX(CM1443,2*(J1443/IF(CH1443&gt;0,CH1443,MAX(0.1,N(Cockpit!$C$6)))-CL1443)),0)</f>
        <v>36</v>
      </c>
      <c r="AN1443" s="63" t="n">
        <f aca="false">IF(AJ1443&gt;0,J1443/AJ1443,-1)</f>
        <v>-1</v>
      </c>
      <c r="AO1443" s="63" t="str">
        <f aca="false">IF(AND(OR(CG1443="L1",CG1443="L23",CG1443="LIFT"),AJ1443&gt;0),SUMIFS($AJ$7:$AJ$1843,$CG$7:$CG$1843,CG1443,$AN$7:$AN$1843,"&gt;"&amp;AN1443)+SUMIFS($AJ$7:$AJ$1843,$CG$7:$CG$1843,CG1443,$AN$7:$AN$1843,AN1443,$BX$7:$BX$1843,"&lt;="&amp;BX1443),"")</f>
        <v/>
      </c>
      <c r="AP1443" s="70" t="n">
        <f aca="false">IF(AO1443="",0,MAX(0,MIN(1,(IF(CG1443="L1",Parameter!$H$5,IF(CG1443="L23",Parameter!$H$6+Parameter!$H$7,Parameter!$H$5+Parameter!$H$6+Parameter!$H$7))-(AO1443-AJ1443))/AJ1443)))</f>
        <v>0</v>
      </c>
      <c r="AQ1443" s="62" t="n">
        <f aca="false">IF(LEFT(Cockpit!$I$5,1)="A",H1443,IF(Parameter!$E$30="MAX-Bestand",IF(CI1443=1,CJ1443,IF(LEFT(Cockpit!$I$5,1)="B",AW1443,MAX(AW1443,H1443))),ROUNDUP(AU1443,0)))</f>
        <v>18</v>
      </c>
      <c r="AR1443" s="62" t="n">
        <f aca="false">IF(CA1443=1,0,ROUNDUP(AQ1443/BZ1443,0))</f>
        <v>5</v>
      </c>
      <c r="AS1443" s="64" t="n">
        <f aca="false">IF(CR1443&gt;0,CR1443*MAX(1,AQ1443/X1443),IF(CA1443=1,IF(AQ1443&lt;=0,0,CE1443*MAX(1,IF(H1443&gt;0,AQ1443/H1443,1))),IF(R1443&gt;0,AR1443/R1443,0))/MAX(0.1,N(Parameter!$M$21)))</f>
        <v>0.416666666666667</v>
      </c>
      <c r="AT1443" s="62" t="n">
        <f aca="false">AS1443*CC1443</f>
        <v>60.4166666666667</v>
      </c>
      <c r="AU1443" s="63" t="n">
        <f aca="false">IF(LEFT(Cockpit!$I$5,1)="A",H1443,IF(CI1443=1,(CL1443+CJ1443)/2,IF(LEFT(Cockpit!$I$5,1)="B",(CL1443+AW1443)/2,MAX((CL1443+AW1443)/2,H1443))))</f>
        <v>18</v>
      </c>
      <c r="AV1443" s="62" t="n">
        <f aca="false">AU1443*G1443</f>
        <v>1387.62</v>
      </c>
      <c r="AW1443" s="62" t="n">
        <f aca="false">ROUNDUP(CL1443+MAX(CM1443,2*(J1443/IF(CH1443&gt;0,CH1443,MAX(0.1,N(Cockpit!$I$6)))-CL1443)),0)</f>
        <v>36</v>
      </c>
      <c r="AX1443" s="63" t="n">
        <f aca="false">IF(AT1443&gt;0,J1443/AT1443,-1)</f>
        <v>0.877241379310345</v>
      </c>
      <c r="AY1443" s="63" t="n">
        <f aca="false">IF(AND(OR(CG1443="L1",CG1443="L23",CG1443="LIFT"),AT1443&gt;0),SUMIFS($AT$7:$AT$1843,$CG$7:$CG$1843,CG1443,$AX$7:$AX$1843,"&gt;"&amp;AX1443)+SUMIFS($AT$7:$AT$1843,$CG$7:$CG$1843,CG1443,$AX$7:$AX$1843,AX1443,$BX$7:$BX$1843,"&lt;="&amp;BX1443),"")</f>
        <v>9286.38553113553</v>
      </c>
      <c r="AZ1443" s="70" t="n">
        <f aca="false">IF(AY1443="",0,MAX(0,MIN(1,(IF(CG1443="L1",Parameter!$H$5,IF(CG1443="L23",Parameter!$H$6+Parameter!$H$7,Parameter!$H$5+Parameter!$H$6+Parameter!$H$7))-(AY1443-AT1443))/AT1443)))</f>
        <v>1</v>
      </c>
      <c r="BA1443" s="62" t="n">
        <f aca="false">IF(LEFT(Cockpit!$O$5,1)="A",H1443,IF(Parameter!$E$30="MAX-Bestand",IF(CI1443=1,CJ1443,IF(LEFT(Cockpit!$O$5,1)="B",BG1443,MAX(BG1443,H1443))),ROUNDUP(BE1443,0)))</f>
        <v>14</v>
      </c>
      <c r="BB1443" s="62" t="n">
        <f aca="false">IF(CA1443=1,0,ROUNDUP(BA1443/BZ1443,0))</f>
        <v>4</v>
      </c>
      <c r="BC1443" s="64" t="n">
        <f aca="false">IF(CR1443&gt;0,CR1443*MAX(1,BA1443/X1443),IF(CA1443=1,IF(BA1443&lt;=0,0,CE1443*MAX(1,IF(H1443&gt;0,BA1443/H1443,1))),IF(R1443&gt;0,BB1443/R1443,0))/MAX(0.1,N(Parameter!$M$21)))</f>
        <v>0.333333333333333</v>
      </c>
      <c r="BD1443" s="62" t="n">
        <f aca="false">BC1443*CC1443</f>
        <v>48.3333333333333</v>
      </c>
      <c r="BE1443" s="63" t="n">
        <f aca="false">IF(LEFT(Cockpit!$O$5,1)="A",H1443,IF(CI1443=1,(CL1443+CJ1443)/2,IF(LEFT(Cockpit!$O$5,1)="B",(CL1443+BG1443)/2,MAX((CL1443+BG1443)/2,H1443))))</f>
        <v>13.5</v>
      </c>
      <c r="BF1443" s="62" t="n">
        <f aca="false">BE1443*G1443</f>
        <v>1040.715</v>
      </c>
      <c r="BG1443" s="62" t="n">
        <f aca="false">ROUNDUP(CL1443+MAX(CM1443,2*(J1443/IF(CH1443&gt;0,CH1443,MAX(0.1,N(Cockpit!$O$6)))-CL1443)),0)</f>
        <v>27</v>
      </c>
      <c r="BH1443" s="63" t="n">
        <f aca="false">IF(BD1443&gt;0,J1443/BD1443,-1)</f>
        <v>1.09655172413793</v>
      </c>
      <c r="BI1443" s="63" t="n">
        <f aca="false">IF(AND(OR(CG1443="L1",CG1443="L23",CG1443="LIFT"),BD1443&gt;0),SUMIFS($BD$7:$BD$1843,$CG$7:$CG$1843,CG1443,$BH$7:$BH$1843,"&gt;"&amp;BH1443)+SUMIFS($BD$7:$BD$1843,$CG$7:$CG$1843,CG1443,$BH$7:$BH$1843,BH1443,$BX$7:$BX$1843,"&lt;="&amp;BX1443),"")</f>
        <v>7387.38690476191</v>
      </c>
      <c r="BJ1443" s="70" t="n">
        <f aca="false">IF(BI1443="",0,MAX(0,MIN(1,(IF(CG1443="L1",Parameter!$H$5,IF(CG1443="L23",Parameter!$H$6+Parameter!$H$7,Parameter!$H$5+Parameter!$H$6+Parameter!$H$7))-(BI1443-BD1443))/BD1443)))</f>
        <v>1</v>
      </c>
      <c r="BK1443" s="60" t="str">
        <f aca="false">IF(AJ1443&lt;=0,"",IF(CG1443="Aussen","Aussenlager",IF(CG1443="-","Nicht im Lift",IF(AP1443&gt;=1,"Lift",IF(AP1443&lt;=0,"Aussenlager","teilweise")))))</f>
        <v/>
      </c>
      <c r="BL1443" s="60" t="str">
        <f aca="false">IF(AT1443&lt;=0,"",IF(CG1443="Aussen","Aussenlager",IF(CG1443="-","Nicht im Lift",IF(AZ1443&gt;=1,"Lift",IF(AZ1443&lt;=0,"Aussenlager","teilweise")))))</f>
        <v>Lift</v>
      </c>
      <c r="BM1443" s="60" t="str">
        <f aca="false">IF(BD1443&lt;=0,"",IF(CG1443="Aussen","Aussenlager",IF(CG1443="-","Nicht im Lift",IF(BJ1443&gt;=1,"Lift",IF(BJ1443&lt;=0,"Aussenlager","teilweise")))))</f>
        <v>Lift</v>
      </c>
      <c r="BN1443" s="60" t="str">
        <f aca="false">IF(A1443="","",IF(BW1443=1,"Neu; ","")&amp;IF(AND(BW1443=0,BR1443&lt;0),"negativer Bestand (Export "&amp;BR1443&amp;"); ","")&amp;IF(J1443&lt;=0,"Kein Verbrauch; ","")&amp;IF(CR1443&gt;0,"Lift "&amp;W1443&amp;" lt. Liftbericht (Fach "&amp;X1443&amp;" Stk); ",IF(CB1443=1,"Gebinde geschätzt ("&amp;T1443&amp;"); ",IF(CA1443=1,"Lose – Tablare geschätzt; ","")))&amp;IF(H1443&gt;AW1443,"Überbestand "&amp;ROUND(H1443-AW1443,0)&amp;" Stk / CHF "&amp;ROUND((H1443-AW1443)*G1443,0)&amp;"; ","")&amp;IF(AND(CI1443=1,CJ1443&lt;CK1443),"MAX &lt; MB+LG; ","")&amp;IF(AND(CQ1443&gt;0,CP1443*10&gt;CQ1443),"zu hoch für Tablar; ","")&amp;IF(AND(BW1443=0,OR(CI1443=1,AB1443&lt;&gt;"",U1443&lt;&gt;"",V1443&lt;&gt;"",AC1443&lt;&gt;"")),"manuell übersteuert; ","")&amp;IF(AND(CA1443=0,R1443=0),"Gebinde unbekannt / Stellmass fehlt; ","")&amp;IF(AND(CA1443=0,N(V1443)&lt;=0,N(Q1443)&lt;=0),"Menge pro Gebinde fehlt (Ist = 1 Gebinde); ","")&amp;BV1443)</f>
        <v>negativer Bestand (Export -124); Gebinde geschätzt (Mittel); Menge pro Gebinde fehlt (Ist = 1 Gebinde); </v>
      </c>
      <c r="BO1443" s="60"/>
      <c r="BP1443" s="60"/>
      <c r="BQ1443" s="67"/>
      <c r="BR1443" s="62" t="n">
        <v>-124</v>
      </c>
      <c r="BS1443" s="62" t="n">
        <v>0</v>
      </c>
      <c r="BT1443" s="61" t="n">
        <v>-9566.6</v>
      </c>
      <c r="BU1443" s="62" t="n">
        <v>53</v>
      </c>
      <c r="BV1443" s="60"/>
      <c r="BW1443" s="65" t="n">
        <v>0</v>
      </c>
      <c r="BX1443" s="65" t="n">
        <v>1443</v>
      </c>
      <c r="BY1443" s="60" t="str">
        <f aca="false">IF(U1443&lt;&gt;"",UPPER(TRIM(U1443)),IF(CB1443=1,UPPER(VLOOKUP(T1443,Parameter!$I$27:$K$29,2,0)),IF(P1443="","LOSE",P1443)))</f>
        <v>S61</v>
      </c>
      <c r="BZ1443" s="62" t="n">
        <f aca="false">IF(BY1443="LOSE",1,IF(N(V1443)&gt;0,V1443,IF(CB1443=1,MAX(1,N(VLOOKUP(T1443,Parameter!$I$27:$K$29,3,0)),H1443,N(N1443)),IF(N(Q1443)&gt;0,Q1443,MAX(1,H1443)))))</f>
        <v>4</v>
      </c>
      <c r="CA1443" s="65" t="n">
        <f aca="false">IF(BY1443="LOSE",1,0)</f>
        <v>0</v>
      </c>
      <c r="CB1443" s="65" t="n">
        <f aca="false">IF(AND(U1443="",OR(P1443="",P1443="LOSE"),T1443&lt;&gt;"",N(S1443)&lt;=0,ISNUMBER(MATCH(T1443,Parameter!$I$27:$I$29,0))),1,0)</f>
        <v>1</v>
      </c>
      <c r="CC1443" s="65" t="n">
        <f aca="false">IF(CR1443&gt;0,INDEX(Parameter!$H$5:$H$7,W1443)/INDEX(Parameter!$E$5:$E$7,W1443),IF(AND(CA1443=0,N(IFERROR(VLOOKUP(BY1443,'Gebinde-Kategorie'!$A$5:$N$45,14,0),0))&gt;0),VLOOKUP(BY1443,'Gebinde-Kategorie'!$A$5:$N$45,14,0)*10+Parameter!$M$23,Parameter!$M$24))</f>
        <v>145</v>
      </c>
      <c r="CD1443" s="60" t="str">
        <f aca="false">IF(AND(Parameter!$B$19="Ja",E1443&lt;&gt;"",ISNUMBER(MATCH(E1443,Parameter!$I$35:$I$52,0))),VLOOKUP(E1443,Parameter!$I$35:$J$52,2,0),IFERROR(VLOOKUP(D1443,Parameter!$A$35:$C$64,2,0),"Nein"))</f>
        <v>2+3</v>
      </c>
      <c r="CE1443" s="64" t="n">
        <f aca="false">IF(CA1443=0,0,IF(N(S1443)&gt;0,S1443,IFERROR(VLOOKUP(D1443,Parameter!$A$35:$C$64,3,0)+0,0)))</f>
        <v>0</v>
      </c>
      <c r="CF1443" s="60" t="n">
        <f aca="false">IF(AB1443&lt;&gt;"",AB1443,AA1443)</f>
        <v>3</v>
      </c>
      <c r="CG1443" s="60" t="str">
        <f aca="false">IF(OR(CF1443=1,CF1443=2,CF1443=3),IF(Parameter!$E$27="Ja","LIFT",IF(CF1443=1,"L1","L23")),IF(CF1443="Aussen","Aussen","-"))</f>
        <v>LIFT</v>
      </c>
      <c r="CH1443" s="71" t="n">
        <f aca="false">IF(N(AC1443)&gt;0,AC1443,0)</f>
        <v>0</v>
      </c>
      <c r="CI1443" s="65" t="n">
        <f aca="false">IF(ISNUMBER(AF1443),1,0)</f>
        <v>0</v>
      </c>
      <c r="CJ1443" s="62" t="n">
        <f aca="false">N(AF1443)</f>
        <v>0</v>
      </c>
      <c r="CK1443" s="62" t="n">
        <f aca="false">N(M1443)+N(N1443)</f>
        <v>1</v>
      </c>
      <c r="CL1443" s="62" t="n">
        <f aca="false">N(M1443)</f>
        <v>0</v>
      </c>
      <c r="CM1443" s="62" t="n">
        <f aca="false">N(N1443)</f>
        <v>1</v>
      </c>
      <c r="CN1443" s="62" t="n">
        <f aca="false">ROUNDUP(H1443/BZ1443,0)</f>
        <v>0</v>
      </c>
      <c r="CO1443" s="62" t="n">
        <f aca="false">ROUNDUP(CJ1443/BZ1443,0)</f>
        <v>0</v>
      </c>
      <c r="CP1443" s="65" t="n">
        <f aca="false">IF(CA1443=1,0,IFERROR(VLOOKUP(BY1443,'Gebinde-Kategorie'!$A$5:$N$45,5,0)+0,0))</f>
        <v>11</v>
      </c>
      <c r="CQ1443" s="65" t="n">
        <f aca="false">IFERROR(IF(OR(CF1443=1,CF1443=2,CF1443=3),N(INDEX(Parameter!$I$5:$I$7,CF1443)),0),0)</f>
        <v>0</v>
      </c>
      <c r="CR1443" s="64" t="n">
        <f aca="false">IF(AND(Parameter!$B$21="Ja",ISNUMBER(W1443),N(X1443)&gt;0),IFERROR(N(INDEX(Parameter!$L$5:$L$7,W1443))*INDEX(Parameter!$E$5:$E$7,W1443)*X1443/SUMIFS($X$7:$X$1843,$W$7:$W$1843,W1443),0),0)</f>
        <v>0</v>
      </c>
      <c r="CS1443" s="62" t="str">
        <f aca="false">IF(AND(OR(CG1443="L1",CG1443="L23",CG1443="LIFT"),H1443&gt;0),CC1443*IF(CR1443&gt;0,CR1443*MAX(1,H1443/X1443),IF(CA1443=1,CE1443,IF(R1443&gt;0,CN1443/R1443,0))/MAX(0.1,N(Parameter!$M$21))),"")</f>
        <v/>
      </c>
      <c r="CT1443" s="64" t="str">
        <f aca="false">IF(CS1443="","",J1443/H1443)</f>
        <v/>
      </c>
      <c r="CU1443" s="62" t="str">
        <f aca="false">IF(CS1443="","",H1443*G1443)</f>
        <v/>
      </c>
      <c r="CV1443" s="63" t="str">
        <f aca="false">IF(CS1443="","",(CL1443+ROUNDUP(CL1443+MAX(CM1443,2*(J1443/MAX(0.1,N(Einkauf!$C$6))-CL1443)),0))/2)</f>
        <v/>
      </c>
      <c r="CW1443" s="62" t="str">
        <f aca="false">IF(CS1443="","",MAX(0,H1443-CV1443)*G1443)</f>
        <v/>
      </c>
      <c r="CX1443" s="62" t="str">
        <f aca="false">IF(CS1443="","",CS1443*MAX(0,1-CV1443/H1443))</f>
        <v/>
      </c>
      <c r="CY1443" s="64" t="str">
        <f aca="false">IF(CS1443="","",PERCENTRANK($CS$7:$CS$1843,CS1443)+PERCENTRANK($CU$7:$CU$1843,CU1443)+1-PERCENTRANK($CT$7:$CT$1843,CT1443))</f>
        <v/>
      </c>
      <c r="CZ1443" s="72" t="str">
        <f aca="false">IF(CS1443="","",CHOOSE(MATCH(Einkauf!$C$5,Parameter!$G$23:$G$27,0),CY1443,CS1443,CU1443,-CT1443,CW1443)+ROW()/1000000000)</f>
        <v/>
      </c>
    </row>
    <row r="1444" customFormat="false" ht="15" hidden="false" customHeight="false" outlineLevel="0" collapsed="false">
      <c r="A1444" s="60" t="s">
        <v>2571</v>
      </c>
      <c r="B1444" s="60" t="s">
        <v>2572</v>
      </c>
      <c r="C1444" s="60" t="s">
        <v>206</v>
      </c>
      <c r="D1444" s="60" t="s">
        <v>215</v>
      </c>
      <c r="E1444" s="60" t="s">
        <v>208</v>
      </c>
      <c r="F1444" s="60"/>
      <c r="G1444" s="61" t="n">
        <v>1459.89</v>
      </c>
      <c r="H1444" s="62" t="n">
        <f aca="false">MAX(0,IF(AND(Parameter!$B$21="Ja",ISNUMBER(Y1444)),Y1444,IF(Parameter!$B$20="Jahresanfang 2025 + Export",BS1444+BR1444,BR1444)))</f>
        <v>0</v>
      </c>
      <c r="I1444" s="62" t="n">
        <f aca="false">H1444*G1444</f>
        <v>0</v>
      </c>
      <c r="J1444" s="62" t="n">
        <f aca="false">BU1444*Parameter!$B$18</f>
        <v>125</v>
      </c>
      <c r="K1444" s="63"/>
      <c r="L1444" s="64"/>
      <c r="M1444" s="62" t="n">
        <v>7</v>
      </c>
      <c r="N1444" s="62" t="n">
        <v>20</v>
      </c>
      <c r="O1444" s="65"/>
      <c r="P1444" s="60" t="s">
        <v>216</v>
      </c>
      <c r="Q1444" s="62" t="n">
        <v>4</v>
      </c>
      <c r="R1444" s="65" t="n">
        <f aca="false">IF(CA1444=1,0,IFERROR(VLOOKUP(BY1444,'Gebinde-Kategorie'!$A$5:$N$45,13,0)+0,0))</f>
        <v>6</v>
      </c>
      <c r="S1444" s="66"/>
      <c r="T1444" s="67"/>
      <c r="U1444" s="67"/>
      <c r="V1444" s="67"/>
      <c r="W1444" s="60"/>
      <c r="X1444" s="62"/>
      <c r="Y1444" s="62"/>
      <c r="Z1444" s="60" t="n">
        <v>2</v>
      </c>
      <c r="AA1444" s="60" t="n">
        <f aca="false">IF(A1444="","",IF(AND(Parameter!$B$21="Ja",ISNUMBER(W1444)),W1444,IF(AND(Parameter!$E$27="Ja",ISNUMBER(Z1444),CD1444&lt;&gt;"Nein"),Z1444,IF(CD1444="2+3",IF(ISNUMBER(SEARCH("grosser Artikel",BV1444)),2,IFERROR(VLOOKUP(BY1444,Parameter!$F$35:$G$64,2,0),2)),IF(OR(CD1444="Nein",CD1444=""),"-",CD1444)))))</f>
        <v>2</v>
      </c>
      <c r="AB1444" s="67"/>
      <c r="AC1444" s="68"/>
      <c r="AD1444" s="62" t="n">
        <f aca="false">AW1444</f>
        <v>77</v>
      </c>
      <c r="AE1444" s="62" t="n">
        <f aca="false">MAX(AW1444,H1444)</f>
        <v>77</v>
      </c>
      <c r="AF1444" s="69"/>
      <c r="AG1444" s="62" t="n">
        <f aca="false">IF(LEFT(Cockpit!$C$5,1)="A",H1444,IF(Parameter!$E$30="MAX-Bestand",IF(CI1444=1,CJ1444,IF(LEFT(Cockpit!$C$5,1)="B",AM1444,MAX(AM1444,H1444))),ROUNDUP(AK1444,0)))</f>
        <v>0</v>
      </c>
      <c r="AH1444" s="62" t="n">
        <f aca="false">IF(CA1444=1,0,ROUNDUP(AG1444/BZ1444,0))</f>
        <v>0</v>
      </c>
      <c r="AI1444" s="64" t="n">
        <f aca="false">IF(CR1444&gt;0,CR1444*MAX(1,AG1444/X1444),IF(CA1444=1,IF(AG1444&lt;=0,0,CE1444*MAX(1,IF(H1444&gt;0,AG1444/H1444,1))),IF(R1444&gt;0,AH1444/R1444,0))/MAX(0.1,N(Parameter!$M$21)))</f>
        <v>0</v>
      </c>
      <c r="AJ1444" s="62" t="n">
        <f aca="false">AI1444*CC1444</f>
        <v>0</v>
      </c>
      <c r="AK1444" s="63" t="n">
        <f aca="false">IF(LEFT(Cockpit!$C$5,1)="A",H1444,IF(CI1444=1,(CL1444+CJ1444)/2,IF(LEFT(Cockpit!$C$5,1)="B",(CL1444+AM1444)/2,MAX((CL1444+AM1444)/2,H1444))))</f>
        <v>0</v>
      </c>
      <c r="AL1444" s="62" t="n">
        <f aca="false">AK1444*G1444</f>
        <v>0</v>
      </c>
      <c r="AM1444" s="62" t="n">
        <f aca="false">ROUNDUP(CL1444+MAX(CM1444,2*(J1444/IF(CH1444&gt;0,CH1444,MAX(0.1,N(Cockpit!$C$6)))-CL1444)),0)</f>
        <v>77</v>
      </c>
      <c r="AN1444" s="63" t="n">
        <f aca="false">IF(AJ1444&gt;0,J1444/AJ1444,-1)</f>
        <v>-1</v>
      </c>
      <c r="AO1444" s="63" t="str">
        <f aca="false">IF(AND(OR(CG1444="L1",CG1444="L23",CG1444="LIFT"),AJ1444&gt;0),SUMIFS($AJ$7:$AJ$1843,$CG$7:$CG$1843,CG1444,$AN$7:$AN$1843,"&gt;"&amp;AN1444)+SUMIFS($AJ$7:$AJ$1843,$CG$7:$CG$1843,CG1444,$AN$7:$AN$1843,AN1444,$BX$7:$BX$1843,"&lt;="&amp;BX1444),"")</f>
        <v/>
      </c>
      <c r="AP1444" s="70" t="n">
        <f aca="false">IF(AO1444="",0,MAX(0,MIN(1,(IF(CG1444="L1",Parameter!$H$5,IF(CG1444="L23",Parameter!$H$6+Parameter!$H$7,Parameter!$H$5+Parameter!$H$6+Parameter!$H$7))-(AO1444-AJ1444))/AJ1444)))</f>
        <v>0</v>
      </c>
      <c r="AQ1444" s="62" t="n">
        <f aca="false">IF(LEFT(Cockpit!$I$5,1)="A",H1444,IF(Parameter!$E$30="MAX-Bestand",IF(CI1444=1,CJ1444,IF(LEFT(Cockpit!$I$5,1)="B",AW1444,MAX(AW1444,H1444))),ROUNDUP(AU1444,0)))</f>
        <v>42</v>
      </c>
      <c r="AR1444" s="62" t="n">
        <f aca="false">IF(CA1444=1,0,ROUNDUP(AQ1444/BZ1444,0))</f>
        <v>11</v>
      </c>
      <c r="AS1444" s="64" t="n">
        <f aca="false">IF(CR1444&gt;0,CR1444*MAX(1,AQ1444/X1444),IF(CA1444=1,IF(AQ1444&lt;=0,0,CE1444*MAX(1,IF(H1444&gt;0,AQ1444/H1444,1))),IF(R1444&gt;0,AR1444/R1444,0))/MAX(0.1,N(Parameter!$M$21)))</f>
        <v>1.83333333333333</v>
      </c>
      <c r="AT1444" s="62" t="n">
        <f aca="false">AS1444*CC1444</f>
        <v>430.833333333333</v>
      </c>
      <c r="AU1444" s="63" t="n">
        <f aca="false">IF(LEFT(Cockpit!$I$5,1)="A",H1444,IF(CI1444=1,(CL1444+CJ1444)/2,IF(LEFT(Cockpit!$I$5,1)="B",(CL1444+AW1444)/2,MAX((CL1444+AW1444)/2,H1444))))</f>
        <v>42</v>
      </c>
      <c r="AV1444" s="62" t="n">
        <f aca="false">AU1444*G1444</f>
        <v>61315.38</v>
      </c>
      <c r="AW1444" s="62" t="n">
        <f aca="false">ROUNDUP(CL1444+MAX(CM1444,2*(J1444/IF(CH1444&gt;0,CH1444,MAX(0.1,N(Cockpit!$I$6)))-CL1444)),0)</f>
        <v>77</v>
      </c>
      <c r="AX1444" s="63" t="n">
        <f aca="false">IF(AT1444&gt;0,J1444/AT1444,-1)</f>
        <v>0.290135396518375</v>
      </c>
      <c r="AY1444" s="63" t="n">
        <f aca="false">IF(AND(OR(CG1444="L1",CG1444="L23",CG1444="LIFT"),AT1444&gt;0),SUMIFS($AT$7:$AT$1843,$CG$7:$CG$1843,CG1444,$AX$7:$AX$1843,"&gt;"&amp;AX1444)+SUMIFS($AT$7:$AT$1843,$CG$7:$CG$1843,CG1444,$AX$7:$AX$1843,AX1444,$BX$7:$BX$1843,"&lt;="&amp;BX1444),"")</f>
        <v>14524.6643772894</v>
      </c>
      <c r="AZ1444" s="70" t="n">
        <f aca="false">IF(AY1444="",0,MAX(0,MIN(1,(IF(CG1444="L1",Parameter!$H$5,IF(CG1444="L23",Parameter!$H$6+Parameter!$H$7,Parameter!$H$5+Parameter!$H$6+Parameter!$H$7))-(AY1444-AT1444))/AT1444)))</f>
        <v>1</v>
      </c>
      <c r="BA1444" s="62" t="n">
        <f aca="false">IF(LEFT(Cockpit!$O$5,1)="A",H1444,IF(Parameter!$E$30="MAX-Bestand",IF(CI1444=1,CJ1444,IF(LEFT(Cockpit!$O$5,1)="B",BG1444,MAX(BG1444,H1444))),ROUNDUP(BE1444,0)))</f>
        <v>32</v>
      </c>
      <c r="BB1444" s="62" t="n">
        <f aca="false">IF(CA1444=1,0,ROUNDUP(BA1444/BZ1444,0))</f>
        <v>8</v>
      </c>
      <c r="BC1444" s="64" t="n">
        <f aca="false">IF(CR1444&gt;0,CR1444*MAX(1,BA1444/X1444),IF(CA1444=1,IF(BA1444&lt;=0,0,CE1444*MAX(1,IF(H1444&gt;0,BA1444/H1444,1))),IF(R1444&gt;0,BB1444/R1444,0))/MAX(0.1,N(Parameter!$M$21)))</f>
        <v>1.33333333333333</v>
      </c>
      <c r="BD1444" s="62" t="n">
        <f aca="false">BC1444*CC1444</f>
        <v>313.333333333333</v>
      </c>
      <c r="BE1444" s="63" t="n">
        <f aca="false">IF(LEFT(Cockpit!$O$5,1)="A",H1444,IF(CI1444=1,(CL1444+CJ1444)/2,IF(LEFT(Cockpit!$O$5,1)="B",(CL1444+BG1444)/2,MAX((CL1444+BG1444)/2,H1444))))</f>
        <v>31.5</v>
      </c>
      <c r="BF1444" s="62" t="n">
        <f aca="false">BE1444*G1444</f>
        <v>45986.535</v>
      </c>
      <c r="BG1444" s="62" t="n">
        <f aca="false">ROUNDUP(CL1444+MAX(CM1444,2*(J1444/IF(CH1444&gt;0,CH1444,MAX(0.1,N(Cockpit!$O$6)))-CL1444)),0)</f>
        <v>56</v>
      </c>
      <c r="BH1444" s="63" t="n">
        <f aca="false">IF(BD1444&gt;0,J1444/BD1444,-1)</f>
        <v>0.398936170212766</v>
      </c>
      <c r="BI1444" s="63" t="n">
        <f aca="false">IF(AND(OR(CG1444="L1",CG1444="L23",CG1444="LIFT"),BD1444&gt;0),SUMIFS($BD$7:$BD$1843,$CG$7:$CG$1843,CG1444,$BH$7:$BH$1843,"&gt;"&amp;BH1444)+SUMIFS($BD$7:$BD$1843,$CG$7:$CG$1843,CG1444,$BH$7:$BH$1843,BH1444,$BX$7:$BX$1843,"&lt;="&amp;BX1444),"")</f>
        <v>11376.853021978</v>
      </c>
      <c r="BJ1444" s="70" t="n">
        <f aca="false">IF(BI1444="",0,MAX(0,MIN(1,(IF(CG1444="L1",Parameter!$H$5,IF(CG1444="L23",Parameter!$H$6+Parameter!$H$7,Parameter!$H$5+Parameter!$H$6+Parameter!$H$7))-(BI1444-BD1444))/BD1444)))</f>
        <v>1</v>
      </c>
      <c r="BK1444" s="60" t="str">
        <f aca="false">IF(AJ1444&lt;=0,"",IF(CG1444="Aussen","Aussenlager",IF(CG1444="-","Nicht im Lift",IF(AP1444&gt;=1,"Lift",IF(AP1444&lt;=0,"Aussenlager","teilweise")))))</f>
        <v/>
      </c>
      <c r="BL1444" s="60" t="str">
        <f aca="false">IF(AT1444&lt;=0,"",IF(CG1444="Aussen","Aussenlager",IF(CG1444="-","Nicht im Lift",IF(AZ1444&gt;=1,"Lift",IF(AZ1444&lt;=0,"Aussenlager","teilweise")))))</f>
        <v>Lift</v>
      </c>
      <c r="BM1444" s="60" t="str">
        <f aca="false">IF(BD1444&lt;=0,"",IF(CG1444="Aussen","Aussenlager",IF(CG1444="-","Nicht im Lift",IF(BJ1444&gt;=1,"Lift",IF(BJ1444&lt;=0,"Aussenlager","teilweise")))))</f>
        <v>Lift</v>
      </c>
      <c r="BN1444" s="60" t="str">
        <f aca="false">IF(A1444="","",IF(BW1444=1,"Neu; ","")&amp;IF(AND(BW1444=0,BR1444&lt;0),"negativer Bestand (Export "&amp;BR1444&amp;"); ","")&amp;IF(J1444&lt;=0,"Kein Verbrauch; ","")&amp;IF(CR1444&gt;0,"Lift "&amp;W1444&amp;" lt. Liftbericht (Fach "&amp;X1444&amp;" Stk); ",IF(CB1444=1,"Gebinde geschätzt ("&amp;T1444&amp;"); ",IF(CA1444=1,"Lose – Tablare geschätzt; ","")))&amp;IF(H1444&gt;AW1444,"Überbestand "&amp;ROUND(H1444-AW1444,0)&amp;" Stk / CHF "&amp;ROUND((H1444-AW1444)*G1444,0)&amp;"; ","")&amp;IF(AND(CI1444=1,CJ1444&lt;CK1444),"MAX &lt; MB+LG; ","")&amp;IF(AND(CQ1444&gt;0,CP1444*10&gt;CQ1444),"zu hoch für Tablar; ","")&amp;IF(AND(BW1444=0,OR(CI1444=1,AB1444&lt;&gt;"",U1444&lt;&gt;"",V1444&lt;&gt;"",AC1444&lt;&gt;"")),"manuell übersteuert; ","")&amp;IF(AND(CA1444=0,R1444=0),"Gebinde unbekannt / Stellmass fehlt; ","")&amp;IF(AND(CA1444=0,N(V1444)&lt;=0,N(Q1444)&lt;=0),"Menge pro Gebinde fehlt (Ist = 1 Gebinde); ","")&amp;BV1444)</f>
        <v>negativer Bestand (Export -7); </v>
      </c>
      <c r="BO1444" s="60"/>
      <c r="BP1444" s="60"/>
      <c r="BQ1444" s="67"/>
      <c r="BR1444" s="62" t="n">
        <v>-7</v>
      </c>
      <c r="BS1444" s="62" t="n">
        <v>0</v>
      </c>
      <c r="BT1444" s="61" t="n">
        <v>-9808.88999999994</v>
      </c>
      <c r="BU1444" s="62" t="n">
        <v>125</v>
      </c>
      <c r="BV1444" s="60"/>
      <c r="BW1444" s="65" t="n">
        <v>0</v>
      </c>
      <c r="BX1444" s="65" t="n">
        <v>1444</v>
      </c>
      <c r="BY1444" s="60" t="str">
        <f aca="false">IF(U1444&lt;&gt;"",UPPER(TRIM(U1444)),IF(CB1444=1,UPPER(VLOOKUP(T1444,Parameter!$I$27:$K$29,2,0)),IF(P1444="","LOSE",P1444)))</f>
        <v>S71</v>
      </c>
      <c r="BZ1444" s="62" t="n">
        <f aca="false">IF(BY1444="LOSE",1,IF(N(V1444)&gt;0,V1444,IF(CB1444=1,MAX(1,N(VLOOKUP(T1444,Parameter!$I$27:$K$29,3,0)),H1444,N(N1444)),IF(N(Q1444)&gt;0,Q1444,MAX(1,H1444)))))</f>
        <v>4</v>
      </c>
      <c r="CA1444" s="65" t="n">
        <f aca="false">IF(BY1444="LOSE",1,0)</f>
        <v>0</v>
      </c>
      <c r="CB1444" s="65" t="n">
        <f aca="false">IF(AND(U1444="",OR(P1444="",P1444="LOSE"),T1444&lt;&gt;"",N(S1444)&lt;=0,ISNUMBER(MATCH(T1444,Parameter!$I$27:$I$29,0))),1,0)</f>
        <v>0</v>
      </c>
      <c r="CC1444" s="65" t="n">
        <f aca="false">IF(CR1444&gt;0,INDEX(Parameter!$H$5:$H$7,W1444)/INDEX(Parameter!$E$5:$E$7,W1444),IF(AND(CA1444=0,N(IFERROR(VLOOKUP(BY1444,'Gebinde-Kategorie'!$A$5:$N$45,14,0),0))&gt;0),VLOOKUP(BY1444,'Gebinde-Kategorie'!$A$5:$N$45,14,0)*10+Parameter!$M$23,Parameter!$M$24))</f>
        <v>235</v>
      </c>
      <c r="CD1444" s="60" t="n">
        <f aca="false">IF(AND(Parameter!$B$19="Ja",E1444&lt;&gt;"",ISNUMBER(MATCH(E1444,Parameter!$I$35:$I$52,0))),VLOOKUP(E1444,Parameter!$I$35:$J$52,2,0),IFERROR(VLOOKUP(D1444,Parameter!$A$35:$C$64,2,0),"Nein"))</f>
        <v>1</v>
      </c>
      <c r="CE1444" s="64" t="n">
        <f aca="false">IF(CA1444=0,0,IF(N(S1444)&gt;0,S1444,IFERROR(VLOOKUP(D1444,Parameter!$A$35:$C$64,3,0)+0,0)))</f>
        <v>0</v>
      </c>
      <c r="CF1444" s="60" t="n">
        <f aca="false">IF(AB1444&lt;&gt;"",AB1444,AA1444)</f>
        <v>2</v>
      </c>
      <c r="CG1444" s="60" t="str">
        <f aca="false">IF(OR(CF1444=1,CF1444=2,CF1444=3),IF(Parameter!$E$27="Ja","LIFT",IF(CF1444=1,"L1","L23")),IF(CF1444="Aussen","Aussen","-"))</f>
        <v>LIFT</v>
      </c>
      <c r="CH1444" s="71" t="n">
        <f aca="false">IF(N(AC1444)&gt;0,AC1444,0)</f>
        <v>0</v>
      </c>
      <c r="CI1444" s="65" t="n">
        <f aca="false">IF(ISNUMBER(AF1444),1,0)</f>
        <v>0</v>
      </c>
      <c r="CJ1444" s="62" t="n">
        <f aca="false">N(AF1444)</f>
        <v>0</v>
      </c>
      <c r="CK1444" s="62" t="n">
        <f aca="false">N(M1444)+N(N1444)</f>
        <v>27</v>
      </c>
      <c r="CL1444" s="62" t="n">
        <f aca="false">N(M1444)</f>
        <v>7</v>
      </c>
      <c r="CM1444" s="62" t="n">
        <f aca="false">N(N1444)</f>
        <v>20</v>
      </c>
      <c r="CN1444" s="62" t="n">
        <f aca="false">ROUNDUP(H1444/BZ1444,0)</f>
        <v>0</v>
      </c>
      <c r="CO1444" s="62" t="n">
        <f aca="false">ROUNDUP(CJ1444/BZ1444,0)</f>
        <v>0</v>
      </c>
      <c r="CP1444" s="65" t="n">
        <f aca="false">IF(CA1444=1,0,IFERROR(VLOOKUP(BY1444,'Gebinde-Kategorie'!$A$5:$N$45,5,0)+0,0))</f>
        <v>20</v>
      </c>
      <c r="CQ1444" s="65" t="n">
        <f aca="false">IFERROR(IF(OR(CF1444=1,CF1444=2,CF1444=3),N(INDEX(Parameter!$I$5:$I$7,CF1444)),0),0)</f>
        <v>0</v>
      </c>
      <c r="CR1444" s="64" t="n">
        <f aca="false">IF(AND(Parameter!$B$21="Ja",ISNUMBER(W1444),N(X1444)&gt;0),IFERROR(N(INDEX(Parameter!$L$5:$L$7,W1444))*INDEX(Parameter!$E$5:$E$7,W1444)*X1444/SUMIFS($X$7:$X$1843,$W$7:$W$1843,W1444),0),0)</f>
        <v>0</v>
      </c>
      <c r="CS1444" s="62" t="str">
        <f aca="false">IF(AND(OR(CG1444="L1",CG1444="L23",CG1444="LIFT"),H1444&gt;0),CC1444*IF(CR1444&gt;0,CR1444*MAX(1,H1444/X1444),IF(CA1444=1,CE1444,IF(R1444&gt;0,CN1444/R1444,0))/MAX(0.1,N(Parameter!$M$21))),"")</f>
        <v/>
      </c>
      <c r="CT1444" s="64" t="str">
        <f aca="false">IF(CS1444="","",J1444/H1444)</f>
        <v/>
      </c>
      <c r="CU1444" s="62" t="str">
        <f aca="false">IF(CS1444="","",H1444*G1444)</f>
        <v/>
      </c>
      <c r="CV1444" s="63" t="str">
        <f aca="false">IF(CS1444="","",(CL1444+ROUNDUP(CL1444+MAX(CM1444,2*(J1444/MAX(0.1,N(Einkauf!$C$6))-CL1444)),0))/2)</f>
        <v/>
      </c>
      <c r="CW1444" s="62" t="str">
        <f aca="false">IF(CS1444="","",MAX(0,H1444-CV1444)*G1444)</f>
        <v/>
      </c>
      <c r="CX1444" s="62" t="str">
        <f aca="false">IF(CS1444="","",CS1444*MAX(0,1-CV1444/H1444))</f>
        <v/>
      </c>
      <c r="CY1444" s="64" t="str">
        <f aca="false">IF(CS1444="","",PERCENTRANK($CS$7:$CS$1843,CS1444)+PERCENTRANK($CU$7:$CU$1843,CU1444)+1-PERCENTRANK($CT$7:$CT$1843,CT1444))</f>
        <v/>
      </c>
      <c r="CZ1444" s="72" t="str">
        <f aca="false">IF(CS1444="","",CHOOSE(MATCH(Einkauf!$C$5,Parameter!$G$23:$G$27,0),CY1444,CS1444,CU1444,-CT1444,CW1444)+ROW()/1000000000)</f>
        <v/>
      </c>
    </row>
    <row r="1445" customFormat="false" ht="15" hidden="false" customHeight="false" outlineLevel="0" collapsed="false">
      <c r="A1445" s="60" t="s">
        <v>2573</v>
      </c>
      <c r="B1445" s="60" t="s">
        <v>2574</v>
      </c>
      <c r="C1445" s="60" t="s">
        <v>498</v>
      </c>
      <c r="D1445" s="60" t="s">
        <v>215</v>
      </c>
      <c r="E1445" s="60" t="s">
        <v>215</v>
      </c>
      <c r="F1445" s="60"/>
      <c r="G1445" s="61" t="n">
        <v>3326.28</v>
      </c>
      <c r="H1445" s="62" t="n">
        <f aca="false">MAX(0,IF(AND(Parameter!$B$21="Ja",ISNUMBER(Y1445)),Y1445,IF(Parameter!$B$20="Jahresanfang 2025 + Export",BS1445+BR1445,BR1445)))</f>
        <v>0</v>
      </c>
      <c r="I1445" s="62" t="n">
        <f aca="false">H1445*G1445</f>
        <v>0</v>
      </c>
      <c r="J1445" s="62" t="n">
        <f aca="false">BU1445*Parameter!$B$18</f>
        <v>0</v>
      </c>
      <c r="K1445" s="63"/>
      <c r="L1445" s="64"/>
      <c r="M1445" s="62" t="n">
        <v>0</v>
      </c>
      <c r="N1445" s="62" t="n">
        <v>1</v>
      </c>
      <c r="O1445" s="65"/>
      <c r="P1445" s="60" t="s">
        <v>210</v>
      </c>
      <c r="Q1445" s="62"/>
      <c r="R1445" s="65" t="n">
        <f aca="false">IF(CA1445=1,0,IFERROR(VLOOKUP(BY1445,'Gebinde-Kategorie'!$A$5:$N$45,13,0)+0,0))</f>
        <v>12</v>
      </c>
      <c r="S1445" s="66"/>
      <c r="T1445" s="67" t="s">
        <v>221</v>
      </c>
      <c r="U1445" s="67"/>
      <c r="V1445" s="67"/>
      <c r="W1445" s="60"/>
      <c r="X1445" s="62"/>
      <c r="Y1445" s="62"/>
      <c r="Z1445" s="60"/>
      <c r="AA1445" s="60" t="str">
        <f aca="false">IF(A1445="","",IF(AND(Parameter!$B$21="Ja",ISNUMBER(W1445)),W1445,IF(AND(Parameter!$E$27="Ja",ISNUMBER(Z1445),CD1445&lt;&gt;"Nein"),Z1445,IF(CD1445="2+3",IF(ISNUMBER(SEARCH("grosser Artikel",BV1445)),2,IFERROR(VLOOKUP(BY1445,Parameter!$F$35:$G$64,2,0),2)),IF(OR(CD1445="Nein",CD1445=""),"-",CD1445)))))</f>
        <v>-</v>
      </c>
      <c r="AB1445" s="67"/>
      <c r="AC1445" s="68"/>
      <c r="AD1445" s="62" t="n">
        <f aca="false">AW1445</f>
        <v>1</v>
      </c>
      <c r="AE1445" s="62" t="n">
        <f aca="false">MAX(AW1445,H1445)</f>
        <v>1</v>
      </c>
      <c r="AF1445" s="69"/>
      <c r="AG1445" s="62" t="n">
        <f aca="false">IF(LEFT(Cockpit!$C$5,1)="A",H1445,IF(Parameter!$E$30="MAX-Bestand",IF(CI1445=1,CJ1445,IF(LEFT(Cockpit!$C$5,1)="B",AM1445,MAX(AM1445,H1445))),ROUNDUP(AK1445,0)))</f>
        <v>0</v>
      </c>
      <c r="AH1445" s="62" t="n">
        <f aca="false">IF(CA1445=1,0,ROUNDUP(AG1445/BZ1445,0))</f>
        <v>0</v>
      </c>
      <c r="AI1445" s="64" t="n">
        <f aca="false">IF(CR1445&gt;0,CR1445*MAX(1,AG1445/X1445),IF(CA1445=1,IF(AG1445&lt;=0,0,CE1445*MAX(1,IF(H1445&gt;0,AG1445/H1445,1))),IF(R1445&gt;0,AH1445/R1445,0))/MAX(0.1,N(Parameter!$M$21)))</f>
        <v>0</v>
      </c>
      <c r="AJ1445" s="62" t="n">
        <f aca="false">AI1445*CC1445</f>
        <v>0</v>
      </c>
      <c r="AK1445" s="63" t="n">
        <f aca="false">IF(LEFT(Cockpit!$C$5,1)="A",H1445,IF(CI1445=1,(CL1445+CJ1445)/2,IF(LEFT(Cockpit!$C$5,1)="B",(CL1445+AM1445)/2,MAX((CL1445+AM1445)/2,H1445))))</f>
        <v>0</v>
      </c>
      <c r="AL1445" s="62" t="n">
        <f aca="false">AK1445*G1445</f>
        <v>0</v>
      </c>
      <c r="AM1445" s="62" t="n">
        <f aca="false">ROUNDUP(CL1445+MAX(CM1445,2*(J1445/IF(CH1445&gt;0,CH1445,MAX(0.1,N(Cockpit!$C$6)))-CL1445)),0)</f>
        <v>1</v>
      </c>
      <c r="AN1445" s="63" t="n">
        <f aca="false">IF(AJ1445&gt;0,J1445/AJ1445,-1)</f>
        <v>-1</v>
      </c>
      <c r="AO1445" s="63" t="str">
        <f aca="false">IF(AND(OR(CG1445="L1",CG1445="L23",CG1445="LIFT"),AJ1445&gt;0),SUMIFS($AJ$7:$AJ$1843,$CG$7:$CG$1843,CG1445,$AN$7:$AN$1843,"&gt;"&amp;AN1445)+SUMIFS($AJ$7:$AJ$1843,$CG$7:$CG$1843,CG1445,$AN$7:$AN$1843,AN1445,$BX$7:$BX$1843,"&lt;="&amp;BX1445),"")</f>
        <v/>
      </c>
      <c r="AP1445" s="70" t="n">
        <f aca="false">IF(AO1445="",0,MAX(0,MIN(1,(IF(CG1445="L1",Parameter!$H$5,IF(CG1445="L23",Parameter!$H$6+Parameter!$H$7,Parameter!$H$5+Parameter!$H$6+Parameter!$H$7))-(AO1445-AJ1445))/AJ1445)))</f>
        <v>0</v>
      </c>
      <c r="AQ1445" s="62" t="n">
        <f aca="false">IF(LEFT(Cockpit!$I$5,1)="A",H1445,IF(Parameter!$E$30="MAX-Bestand",IF(CI1445=1,CJ1445,IF(LEFT(Cockpit!$I$5,1)="B",AW1445,MAX(AW1445,H1445))),ROUNDUP(AU1445,0)))</f>
        <v>1</v>
      </c>
      <c r="AR1445" s="62" t="n">
        <f aca="false">IF(CA1445=1,0,ROUNDUP(AQ1445/BZ1445,0))</f>
        <v>1</v>
      </c>
      <c r="AS1445" s="64" t="n">
        <f aca="false">IF(CR1445&gt;0,CR1445*MAX(1,AQ1445/X1445),IF(CA1445=1,IF(AQ1445&lt;=0,0,CE1445*MAX(1,IF(H1445&gt;0,AQ1445/H1445,1))),IF(R1445&gt;0,AR1445/R1445,0))/MAX(0.1,N(Parameter!$M$21)))</f>
        <v>0.0833333333333333</v>
      </c>
      <c r="AT1445" s="62" t="n">
        <f aca="false">AS1445*CC1445</f>
        <v>12.0833333333333</v>
      </c>
      <c r="AU1445" s="63" t="n">
        <f aca="false">IF(LEFT(Cockpit!$I$5,1)="A",H1445,IF(CI1445=1,(CL1445+CJ1445)/2,IF(LEFT(Cockpit!$I$5,1)="B",(CL1445+AW1445)/2,MAX((CL1445+AW1445)/2,H1445))))</f>
        <v>0.5</v>
      </c>
      <c r="AV1445" s="62" t="n">
        <f aca="false">AU1445*G1445</f>
        <v>1663.14</v>
      </c>
      <c r="AW1445" s="62" t="n">
        <f aca="false">ROUNDUP(CL1445+MAX(CM1445,2*(J1445/IF(CH1445&gt;0,CH1445,MAX(0.1,N(Cockpit!$I$6)))-CL1445)),0)</f>
        <v>1</v>
      </c>
      <c r="AX1445" s="63" t="n">
        <f aca="false">IF(AT1445&gt;0,J1445/AT1445,-1)</f>
        <v>0</v>
      </c>
      <c r="AY1445" s="63" t="str">
        <f aca="false">IF(AND(OR(CG1445="L1",CG1445="L23",CG1445="LIFT"),AT1445&gt;0),SUMIFS($AT$7:$AT$1843,$CG$7:$CG$1843,CG1445,$AX$7:$AX$1843,"&gt;"&amp;AX1445)+SUMIFS($AT$7:$AT$1843,$CG$7:$CG$1843,CG1445,$AX$7:$AX$1843,AX1445,$BX$7:$BX$1843,"&lt;="&amp;BX1445),"")</f>
        <v/>
      </c>
      <c r="AZ1445" s="70" t="n">
        <f aca="false">IF(AY1445="",0,MAX(0,MIN(1,(IF(CG1445="L1",Parameter!$H$5,IF(CG1445="L23",Parameter!$H$6+Parameter!$H$7,Parameter!$H$5+Parameter!$H$6+Parameter!$H$7))-(AY1445-AT1445))/AT1445)))</f>
        <v>0</v>
      </c>
      <c r="BA1445" s="62" t="n">
        <f aca="false">IF(LEFT(Cockpit!$O$5,1)="A",H1445,IF(Parameter!$E$30="MAX-Bestand",IF(CI1445=1,CJ1445,IF(LEFT(Cockpit!$O$5,1)="B",BG1445,MAX(BG1445,H1445))),ROUNDUP(BE1445,0)))</f>
        <v>1</v>
      </c>
      <c r="BB1445" s="62" t="n">
        <f aca="false">IF(CA1445=1,0,ROUNDUP(BA1445/BZ1445,0))</f>
        <v>1</v>
      </c>
      <c r="BC1445" s="64" t="n">
        <f aca="false">IF(CR1445&gt;0,CR1445*MAX(1,BA1445/X1445),IF(CA1445=1,IF(BA1445&lt;=0,0,CE1445*MAX(1,IF(H1445&gt;0,BA1445/H1445,1))),IF(R1445&gt;0,BB1445/R1445,0))/MAX(0.1,N(Parameter!$M$21)))</f>
        <v>0.0833333333333333</v>
      </c>
      <c r="BD1445" s="62" t="n">
        <f aca="false">BC1445*CC1445</f>
        <v>12.0833333333333</v>
      </c>
      <c r="BE1445" s="63" t="n">
        <f aca="false">IF(LEFT(Cockpit!$O$5,1)="A",H1445,IF(CI1445=1,(CL1445+CJ1445)/2,IF(LEFT(Cockpit!$O$5,1)="B",(CL1445+BG1445)/2,MAX((CL1445+BG1445)/2,H1445))))</f>
        <v>0.5</v>
      </c>
      <c r="BF1445" s="62" t="n">
        <f aca="false">BE1445*G1445</f>
        <v>1663.14</v>
      </c>
      <c r="BG1445" s="62" t="n">
        <f aca="false">ROUNDUP(CL1445+MAX(CM1445,2*(J1445/IF(CH1445&gt;0,CH1445,MAX(0.1,N(Cockpit!$O$6)))-CL1445)),0)</f>
        <v>1</v>
      </c>
      <c r="BH1445" s="63" t="n">
        <f aca="false">IF(BD1445&gt;0,J1445/BD1445,-1)</f>
        <v>0</v>
      </c>
      <c r="BI1445" s="63" t="str">
        <f aca="false">IF(AND(OR(CG1445="L1",CG1445="L23",CG1445="LIFT"),BD1445&gt;0),SUMIFS($BD$7:$BD$1843,$CG$7:$CG$1843,CG1445,$BH$7:$BH$1843,"&gt;"&amp;BH1445)+SUMIFS($BD$7:$BD$1843,$CG$7:$CG$1843,CG1445,$BH$7:$BH$1843,BH1445,$BX$7:$BX$1843,"&lt;="&amp;BX1445),"")</f>
        <v/>
      </c>
      <c r="BJ1445" s="70" t="n">
        <f aca="false">IF(BI1445="",0,MAX(0,MIN(1,(IF(CG1445="L1",Parameter!$H$5,IF(CG1445="L23",Parameter!$H$6+Parameter!$H$7,Parameter!$H$5+Parameter!$H$6+Parameter!$H$7))-(BI1445-BD1445))/BD1445)))</f>
        <v>0</v>
      </c>
      <c r="BK1445" s="60" t="str">
        <f aca="false">IF(AJ1445&lt;=0,"",IF(CG1445="Aussen","Aussenlager",IF(CG1445="-","Nicht im Lift",IF(AP1445&gt;=1,"Lift",IF(AP1445&lt;=0,"Aussenlager","teilweise")))))</f>
        <v/>
      </c>
      <c r="BL1445" s="60" t="str">
        <f aca="false">IF(AT1445&lt;=0,"",IF(CG1445="Aussen","Aussenlager",IF(CG1445="-","Nicht im Lift",IF(AZ1445&gt;=1,"Lift",IF(AZ1445&lt;=0,"Aussenlager","teilweise")))))</f>
        <v>Nicht im Lift</v>
      </c>
      <c r="BM1445" s="60" t="str">
        <f aca="false">IF(BD1445&lt;=0,"",IF(CG1445="Aussen","Aussenlager",IF(CG1445="-","Nicht im Lift",IF(BJ1445&gt;=1,"Lift",IF(BJ1445&lt;=0,"Aussenlager","teilweise")))))</f>
        <v>Nicht im Lift</v>
      </c>
      <c r="BN1445" s="60" t="str">
        <f aca="false">IF(A1445="","",IF(BW1445=1,"Neu; ","")&amp;IF(AND(BW1445=0,BR1445&lt;0),"negativer Bestand (Export "&amp;BR1445&amp;"); ","")&amp;IF(J1445&lt;=0,"Kein Verbrauch; ","")&amp;IF(CR1445&gt;0,"Lift "&amp;W1445&amp;" lt. Liftbericht (Fach "&amp;X1445&amp;" Stk); ",IF(CB1445=1,"Gebinde geschätzt ("&amp;T1445&amp;"); ",IF(CA1445=1,"Lose – Tablare geschätzt; ","")))&amp;IF(H1445&gt;AW1445,"Überbestand "&amp;ROUND(H1445-AW1445,0)&amp;" Stk / CHF "&amp;ROUND((H1445-AW1445)*G1445,0)&amp;"; ","")&amp;IF(AND(CI1445=1,CJ1445&lt;CK1445),"MAX &lt; MB+LG; ","")&amp;IF(AND(CQ1445&gt;0,CP1445*10&gt;CQ1445),"zu hoch für Tablar; ","")&amp;IF(AND(BW1445=0,OR(CI1445=1,AB1445&lt;&gt;"",U1445&lt;&gt;"",V1445&lt;&gt;"",AC1445&lt;&gt;"")),"manuell übersteuert; ","")&amp;IF(AND(CA1445=0,R1445=0),"Gebinde unbekannt / Stellmass fehlt; ","")&amp;IF(AND(CA1445=0,N(V1445)&lt;=0,N(Q1445)&lt;=0),"Menge pro Gebinde fehlt (Ist = 1 Gebinde); ","")&amp;BV1445)</f>
        <v>negativer Bestand (Export -3); Kein Verbrauch; Gebinde geschätzt (Mittel); Menge pro Gebinde fehlt (Ist = 1 Gebinde); </v>
      </c>
      <c r="BO1445" s="60"/>
      <c r="BP1445" s="60"/>
      <c r="BQ1445" s="67"/>
      <c r="BR1445" s="62" t="n">
        <v>-3</v>
      </c>
      <c r="BS1445" s="62" t="n">
        <v>0</v>
      </c>
      <c r="BT1445" s="61" t="n">
        <v>-9978.84</v>
      </c>
      <c r="BU1445" s="62" t="n">
        <v>0</v>
      </c>
      <c r="BV1445" s="60"/>
      <c r="BW1445" s="65" t="n">
        <v>0</v>
      </c>
      <c r="BX1445" s="65" t="n">
        <v>1445</v>
      </c>
      <c r="BY1445" s="60" t="str">
        <f aca="false">IF(U1445&lt;&gt;"",UPPER(TRIM(U1445)),IF(CB1445=1,UPPER(VLOOKUP(T1445,Parameter!$I$27:$K$29,2,0)),IF(P1445="","LOSE",P1445)))</f>
        <v>S61</v>
      </c>
      <c r="BZ1445" s="62" t="n">
        <f aca="false">IF(BY1445="LOSE",1,IF(N(V1445)&gt;0,V1445,IF(CB1445=1,MAX(1,N(VLOOKUP(T1445,Parameter!$I$27:$K$29,3,0)),H1445,N(N1445)),IF(N(Q1445)&gt;0,Q1445,MAX(1,H1445)))))</f>
        <v>4</v>
      </c>
      <c r="CA1445" s="65" t="n">
        <f aca="false">IF(BY1445="LOSE",1,0)</f>
        <v>0</v>
      </c>
      <c r="CB1445" s="65" t="n">
        <f aca="false">IF(AND(U1445="",OR(P1445="",P1445="LOSE"),T1445&lt;&gt;"",N(S1445)&lt;=0,ISNUMBER(MATCH(T1445,Parameter!$I$27:$I$29,0))),1,0)</f>
        <v>1</v>
      </c>
      <c r="CC1445" s="65" t="n">
        <f aca="false">IF(CR1445&gt;0,INDEX(Parameter!$H$5:$H$7,W1445)/INDEX(Parameter!$E$5:$E$7,W1445),IF(AND(CA1445=0,N(IFERROR(VLOOKUP(BY1445,'Gebinde-Kategorie'!$A$5:$N$45,14,0),0))&gt;0),VLOOKUP(BY1445,'Gebinde-Kategorie'!$A$5:$N$45,14,0)*10+Parameter!$M$23,Parameter!$M$24))</f>
        <v>145</v>
      </c>
      <c r="CD1445" s="60" t="str">
        <f aca="false">IF(AND(Parameter!$B$19="Ja",E1445&lt;&gt;"",ISNUMBER(MATCH(E1445,Parameter!$I$35:$I$52,0))),VLOOKUP(E1445,Parameter!$I$35:$J$52,2,0),IFERROR(VLOOKUP(D1445,Parameter!$A$35:$C$64,2,0),"Nein"))</f>
        <v>Nein</v>
      </c>
      <c r="CE1445" s="64" t="n">
        <f aca="false">IF(CA1445=0,0,IF(N(S1445)&gt;0,S1445,IFERROR(VLOOKUP(D1445,Parameter!$A$35:$C$64,3,0)+0,0)))</f>
        <v>0</v>
      </c>
      <c r="CF1445" s="60" t="str">
        <f aca="false">IF(AB1445&lt;&gt;"",AB1445,AA1445)</f>
        <v>-</v>
      </c>
      <c r="CG1445" s="60" t="str">
        <f aca="false">IF(OR(CF1445=1,CF1445=2,CF1445=3),IF(Parameter!$E$27="Ja","LIFT",IF(CF1445=1,"L1","L23")),IF(CF1445="Aussen","Aussen","-"))</f>
        <v>-</v>
      </c>
      <c r="CH1445" s="71" t="n">
        <f aca="false">IF(N(AC1445)&gt;0,AC1445,0)</f>
        <v>0</v>
      </c>
      <c r="CI1445" s="65" t="n">
        <f aca="false">IF(ISNUMBER(AF1445),1,0)</f>
        <v>0</v>
      </c>
      <c r="CJ1445" s="62" t="n">
        <f aca="false">N(AF1445)</f>
        <v>0</v>
      </c>
      <c r="CK1445" s="62" t="n">
        <f aca="false">N(M1445)+N(N1445)</f>
        <v>1</v>
      </c>
      <c r="CL1445" s="62" t="n">
        <f aca="false">N(M1445)</f>
        <v>0</v>
      </c>
      <c r="CM1445" s="62" t="n">
        <f aca="false">N(N1445)</f>
        <v>1</v>
      </c>
      <c r="CN1445" s="62" t="n">
        <f aca="false">ROUNDUP(H1445/BZ1445,0)</f>
        <v>0</v>
      </c>
      <c r="CO1445" s="62" t="n">
        <f aca="false">ROUNDUP(CJ1445/BZ1445,0)</f>
        <v>0</v>
      </c>
      <c r="CP1445" s="65" t="n">
        <f aca="false">IF(CA1445=1,0,IFERROR(VLOOKUP(BY1445,'Gebinde-Kategorie'!$A$5:$N$45,5,0)+0,0))</f>
        <v>11</v>
      </c>
      <c r="CQ1445" s="65" t="n">
        <f aca="false">IFERROR(IF(OR(CF1445=1,CF1445=2,CF1445=3),N(INDEX(Parameter!$I$5:$I$7,CF1445)),0),0)</f>
        <v>0</v>
      </c>
      <c r="CR1445" s="64" t="n">
        <f aca="false">IF(AND(Parameter!$B$21="Ja",ISNUMBER(W1445),N(X1445)&gt;0),IFERROR(N(INDEX(Parameter!$L$5:$L$7,W1445))*INDEX(Parameter!$E$5:$E$7,W1445)*X1445/SUMIFS($X$7:$X$1843,$W$7:$W$1843,W1445),0),0)</f>
        <v>0</v>
      </c>
      <c r="CS1445" s="62" t="str">
        <f aca="false">IF(AND(OR(CG1445="L1",CG1445="L23",CG1445="LIFT"),H1445&gt;0),CC1445*IF(CR1445&gt;0,CR1445*MAX(1,H1445/X1445),IF(CA1445=1,CE1445,IF(R1445&gt;0,CN1445/R1445,0))/MAX(0.1,N(Parameter!$M$21))),"")</f>
        <v/>
      </c>
      <c r="CT1445" s="64" t="str">
        <f aca="false">IF(CS1445="","",J1445/H1445)</f>
        <v/>
      </c>
      <c r="CU1445" s="62" t="str">
        <f aca="false">IF(CS1445="","",H1445*G1445)</f>
        <v/>
      </c>
      <c r="CV1445" s="63" t="str">
        <f aca="false">IF(CS1445="","",(CL1445+ROUNDUP(CL1445+MAX(CM1445,2*(J1445/MAX(0.1,N(Einkauf!$C$6))-CL1445)),0))/2)</f>
        <v/>
      </c>
      <c r="CW1445" s="62" t="str">
        <f aca="false">IF(CS1445="","",MAX(0,H1445-CV1445)*G1445)</f>
        <v/>
      </c>
      <c r="CX1445" s="62" t="str">
        <f aca="false">IF(CS1445="","",CS1445*MAX(0,1-CV1445/H1445))</f>
        <v/>
      </c>
      <c r="CY1445" s="64" t="str">
        <f aca="false">IF(CS1445="","",PERCENTRANK($CS$7:$CS$1843,CS1445)+PERCENTRANK($CU$7:$CU$1843,CU1445)+1-PERCENTRANK($CT$7:$CT$1843,CT1445))</f>
        <v/>
      </c>
      <c r="CZ1445" s="72" t="str">
        <f aca="false">IF(CS1445="","",CHOOSE(MATCH(Einkauf!$C$5,Parameter!$G$23:$G$27,0),CY1445,CS1445,CU1445,-CT1445,CW1445)+ROW()/1000000000)</f>
        <v/>
      </c>
    </row>
    <row r="1446" customFormat="false" ht="15" hidden="false" customHeight="false" outlineLevel="0" collapsed="false">
      <c r="A1446" s="60" t="s">
        <v>2575</v>
      </c>
      <c r="B1446" s="60" t="s">
        <v>467</v>
      </c>
      <c r="C1446" s="60" t="s">
        <v>206</v>
      </c>
      <c r="D1446" s="60" t="s">
        <v>226</v>
      </c>
      <c r="E1446" s="60"/>
      <c r="F1446" s="60"/>
      <c r="G1446" s="61" t="n">
        <v>52.49</v>
      </c>
      <c r="H1446" s="62" t="n">
        <f aca="false">MAX(0,IF(AND(Parameter!$B$21="Ja",ISNUMBER(Y1446)),Y1446,IF(Parameter!$B$20="Jahresanfang 2025 + Export",BS1446+BR1446,BR1446)))</f>
        <v>0</v>
      </c>
      <c r="I1446" s="62" t="n">
        <f aca="false">H1446*G1446</f>
        <v>0</v>
      </c>
      <c r="J1446" s="62" t="n">
        <f aca="false">BU1446*Parameter!$B$18</f>
        <v>859</v>
      </c>
      <c r="K1446" s="63"/>
      <c r="L1446" s="64"/>
      <c r="M1446" s="62" t="n">
        <v>50</v>
      </c>
      <c r="N1446" s="62" t="n">
        <v>100</v>
      </c>
      <c r="O1446" s="65"/>
      <c r="P1446" s="60" t="s">
        <v>335</v>
      </c>
      <c r="Q1446" s="62" t="n">
        <v>430</v>
      </c>
      <c r="R1446" s="65" t="n">
        <f aca="false">IF(CA1446=1,0,IFERROR(VLOOKUP(BY1446,'Gebinde-Kategorie'!$A$5:$N$45,13,0)+0,0))</f>
        <v>12</v>
      </c>
      <c r="S1446" s="66"/>
      <c r="T1446" s="67"/>
      <c r="U1446" s="67"/>
      <c r="V1446" s="67"/>
      <c r="W1446" s="60"/>
      <c r="X1446" s="62"/>
      <c r="Y1446" s="62"/>
      <c r="Z1446" s="60" t="n">
        <v>3</v>
      </c>
      <c r="AA1446" s="60" t="n">
        <f aca="false">IF(A1446="","",IF(AND(Parameter!$B$21="Ja",ISNUMBER(W1446)),W1446,IF(AND(Parameter!$E$27="Ja",ISNUMBER(Z1446),CD1446&lt;&gt;"Nein"),Z1446,IF(CD1446="2+3",IF(ISNUMBER(SEARCH("grosser Artikel",BV1446)),2,IFERROR(VLOOKUP(BY1446,Parameter!$F$35:$G$64,2,0),2)),IF(OR(CD1446="Nein",CD1446=""),"-",CD1446)))))</f>
        <v>3</v>
      </c>
      <c r="AB1446" s="67"/>
      <c r="AC1446" s="68"/>
      <c r="AD1446" s="62" t="n">
        <f aca="false">AW1446</f>
        <v>523</v>
      </c>
      <c r="AE1446" s="62" t="n">
        <f aca="false">MAX(AW1446,H1446)</f>
        <v>523</v>
      </c>
      <c r="AF1446" s="69"/>
      <c r="AG1446" s="62" t="n">
        <f aca="false">IF(LEFT(Cockpit!$C$5,1)="A",H1446,IF(Parameter!$E$30="MAX-Bestand",IF(CI1446=1,CJ1446,IF(LEFT(Cockpit!$C$5,1)="B",AM1446,MAX(AM1446,H1446))),ROUNDUP(AK1446,0)))</f>
        <v>0</v>
      </c>
      <c r="AH1446" s="62" t="n">
        <f aca="false">IF(CA1446=1,0,ROUNDUP(AG1446/BZ1446,0))</f>
        <v>0</v>
      </c>
      <c r="AI1446" s="64" t="n">
        <f aca="false">IF(CR1446&gt;0,CR1446*MAX(1,AG1446/X1446),IF(CA1446=1,IF(AG1446&lt;=0,0,CE1446*MAX(1,IF(H1446&gt;0,AG1446/H1446,1))),IF(R1446&gt;0,AH1446/R1446,0))/MAX(0.1,N(Parameter!$M$21)))</f>
        <v>0</v>
      </c>
      <c r="AJ1446" s="62" t="n">
        <f aca="false">AI1446*CC1446</f>
        <v>0</v>
      </c>
      <c r="AK1446" s="63" t="n">
        <f aca="false">IF(LEFT(Cockpit!$C$5,1)="A",H1446,IF(CI1446=1,(CL1446+CJ1446)/2,IF(LEFT(Cockpit!$C$5,1)="B",(CL1446+AM1446)/2,MAX((CL1446+AM1446)/2,H1446))))</f>
        <v>0</v>
      </c>
      <c r="AL1446" s="62" t="n">
        <f aca="false">AK1446*G1446</f>
        <v>0</v>
      </c>
      <c r="AM1446" s="62" t="n">
        <f aca="false">ROUNDUP(CL1446+MAX(CM1446,2*(J1446/IF(CH1446&gt;0,CH1446,MAX(0.1,N(Cockpit!$C$6)))-CL1446)),0)</f>
        <v>523</v>
      </c>
      <c r="AN1446" s="63" t="n">
        <f aca="false">IF(AJ1446&gt;0,J1446/AJ1446,-1)</f>
        <v>-1</v>
      </c>
      <c r="AO1446" s="63" t="str">
        <f aca="false">IF(AND(OR(CG1446="L1",CG1446="L23",CG1446="LIFT"),AJ1446&gt;0),SUMIFS($AJ$7:$AJ$1843,$CG$7:$CG$1843,CG1446,$AN$7:$AN$1843,"&gt;"&amp;AN1446)+SUMIFS($AJ$7:$AJ$1843,$CG$7:$CG$1843,CG1446,$AN$7:$AN$1843,AN1446,$BX$7:$BX$1843,"&lt;="&amp;BX1446),"")</f>
        <v/>
      </c>
      <c r="AP1446" s="70" t="n">
        <f aca="false">IF(AO1446="",0,MAX(0,MIN(1,(IF(CG1446="L1",Parameter!$H$5,IF(CG1446="L23",Parameter!$H$6+Parameter!$H$7,Parameter!$H$5+Parameter!$H$6+Parameter!$H$7))-(AO1446-AJ1446))/AJ1446)))</f>
        <v>0</v>
      </c>
      <c r="AQ1446" s="62" t="n">
        <f aca="false">IF(LEFT(Cockpit!$I$5,1)="A",H1446,IF(Parameter!$E$30="MAX-Bestand",IF(CI1446=1,CJ1446,IF(LEFT(Cockpit!$I$5,1)="B",AW1446,MAX(AW1446,H1446))),ROUNDUP(AU1446,0)))</f>
        <v>287</v>
      </c>
      <c r="AR1446" s="62" t="n">
        <f aca="false">IF(CA1446=1,0,ROUNDUP(AQ1446/BZ1446,0))</f>
        <v>1</v>
      </c>
      <c r="AS1446" s="64" t="n">
        <f aca="false">IF(CR1446&gt;0,CR1446*MAX(1,AQ1446/X1446),IF(CA1446=1,IF(AQ1446&lt;=0,0,CE1446*MAX(1,IF(H1446&gt;0,AQ1446/H1446,1))),IF(R1446&gt;0,AR1446/R1446,0))/MAX(0.1,N(Parameter!$M$21)))</f>
        <v>0.0833333333333333</v>
      </c>
      <c r="AT1446" s="62" t="n">
        <f aca="false">AS1446*CC1446</f>
        <v>20.4166666666667</v>
      </c>
      <c r="AU1446" s="63" t="n">
        <f aca="false">IF(LEFT(Cockpit!$I$5,1)="A",H1446,IF(CI1446=1,(CL1446+CJ1446)/2,IF(LEFT(Cockpit!$I$5,1)="B",(CL1446+AW1446)/2,MAX((CL1446+AW1446)/2,H1446))))</f>
        <v>286.5</v>
      </c>
      <c r="AV1446" s="62" t="n">
        <f aca="false">AU1446*G1446</f>
        <v>15038.385</v>
      </c>
      <c r="AW1446" s="62" t="n">
        <f aca="false">ROUNDUP(CL1446+MAX(CM1446,2*(J1446/IF(CH1446&gt;0,CH1446,MAX(0.1,N(Cockpit!$I$6)))-CL1446)),0)</f>
        <v>523</v>
      </c>
      <c r="AX1446" s="63" t="n">
        <f aca="false">IF(AT1446&gt;0,J1446/AT1446,-1)</f>
        <v>42.0734693877551</v>
      </c>
      <c r="AY1446" s="63" t="n">
        <f aca="false">IF(AND(OR(CG1446="L1",CG1446="L23",CG1446="LIFT"),AT1446&gt;0),SUMIFS($AT$7:$AT$1843,$CG$7:$CG$1843,CG1446,$AX$7:$AX$1843,"&gt;"&amp;AX1446)+SUMIFS($AT$7:$AT$1843,$CG$7:$CG$1843,CG1446,$AX$7:$AX$1843,AX1446,$BX$7:$BX$1843,"&lt;="&amp;BX1446),"")</f>
        <v>1482.18635531136</v>
      </c>
      <c r="AZ1446" s="70" t="n">
        <f aca="false">IF(AY1446="",0,MAX(0,MIN(1,(IF(CG1446="L1",Parameter!$H$5,IF(CG1446="L23",Parameter!$H$6+Parameter!$H$7,Parameter!$H$5+Parameter!$H$6+Parameter!$H$7))-(AY1446-AT1446))/AT1446)))</f>
        <v>1</v>
      </c>
      <c r="BA1446" s="62" t="n">
        <f aca="false">IF(LEFT(Cockpit!$O$5,1)="A",H1446,IF(Parameter!$E$30="MAX-Bestand",IF(CI1446=1,CJ1446,IF(LEFT(Cockpit!$O$5,1)="B",BG1446,MAX(BG1446,H1446))),ROUNDUP(BE1446,0)))</f>
        <v>215</v>
      </c>
      <c r="BB1446" s="62" t="n">
        <f aca="false">IF(CA1446=1,0,ROUNDUP(BA1446/BZ1446,0))</f>
        <v>1</v>
      </c>
      <c r="BC1446" s="64" t="n">
        <f aca="false">IF(CR1446&gt;0,CR1446*MAX(1,BA1446/X1446),IF(CA1446=1,IF(BA1446&lt;=0,0,CE1446*MAX(1,IF(H1446&gt;0,BA1446/H1446,1))),IF(R1446&gt;0,BB1446/R1446,0))/MAX(0.1,N(Parameter!$M$21)))</f>
        <v>0.0833333333333333</v>
      </c>
      <c r="BD1446" s="62" t="n">
        <f aca="false">BC1446*CC1446</f>
        <v>20.4166666666667</v>
      </c>
      <c r="BE1446" s="63" t="n">
        <f aca="false">IF(LEFT(Cockpit!$O$5,1)="A",H1446,IF(CI1446=1,(CL1446+CJ1446)/2,IF(LEFT(Cockpit!$O$5,1)="B",(CL1446+BG1446)/2,MAX((CL1446+BG1446)/2,H1446))))</f>
        <v>215</v>
      </c>
      <c r="BF1446" s="62" t="n">
        <f aca="false">BE1446*G1446</f>
        <v>11285.35</v>
      </c>
      <c r="BG1446" s="62" t="n">
        <f aca="false">ROUNDUP(CL1446+MAX(CM1446,2*(J1446/IF(CH1446&gt;0,CH1446,MAX(0.1,N(Cockpit!$O$6)))-CL1446)),0)</f>
        <v>380</v>
      </c>
      <c r="BH1446" s="63" t="n">
        <f aca="false">IF(BD1446&gt;0,J1446/BD1446,-1)</f>
        <v>42.0734693877551</v>
      </c>
      <c r="BI1446" s="63" t="n">
        <f aca="false">IF(AND(OR(CG1446="L1",CG1446="L23",CG1446="LIFT"),BD1446&gt;0),SUMIFS($BD$7:$BD$1843,$CG$7:$CG$1843,CG1446,$BH$7:$BH$1843,"&gt;"&amp;BH1446)+SUMIFS($BD$7:$BD$1843,$CG$7:$CG$1843,CG1446,$BH$7:$BH$1843,BH1446,$BX$7:$BX$1843,"&lt;="&amp;BX1446),"")</f>
        <v>1257.9565018315</v>
      </c>
      <c r="BJ1446" s="70" t="n">
        <f aca="false">IF(BI1446="",0,MAX(0,MIN(1,(IF(CG1446="L1",Parameter!$H$5,IF(CG1446="L23",Parameter!$H$6+Parameter!$H$7,Parameter!$H$5+Parameter!$H$6+Parameter!$H$7))-(BI1446-BD1446))/BD1446)))</f>
        <v>1</v>
      </c>
      <c r="BK1446" s="60" t="str">
        <f aca="false">IF(AJ1446&lt;=0,"",IF(CG1446="Aussen","Aussenlager",IF(CG1446="-","Nicht im Lift",IF(AP1446&gt;=1,"Lift",IF(AP1446&lt;=0,"Aussenlager","teilweise")))))</f>
        <v/>
      </c>
      <c r="BL1446" s="60" t="str">
        <f aca="false">IF(AT1446&lt;=0,"",IF(CG1446="Aussen","Aussenlager",IF(CG1446="-","Nicht im Lift",IF(AZ1446&gt;=1,"Lift",IF(AZ1446&lt;=0,"Aussenlager","teilweise")))))</f>
        <v>Lift</v>
      </c>
      <c r="BM1446" s="60" t="str">
        <f aca="false">IF(BD1446&lt;=0,"",IF(CG1446="Aussen","Aussenlager",IF(CG1446="-","Nicht im Lift",IF(BJ1446&gt;=1,"Lift",IF(BJ1446&lt;=0,"Aussenlager","teilweise")))))</f>
        <v>Lift</v>
      </c>
      <c r="BN1446" s="60" t="str">
        <f aca="false">IF(A1446="","",IF(BW1446=1,"Neu; ","")&amp;IF(AND(BW1446=0,BR1446&lt;0),"negativer Bestand (Export "&amp;BR1446&amp;"); ","")&amp;IF(J1446&lt;=0,"Kein Verbrauch; ","")&amp;IF(CR1446&gt;0,"Lift "&amp;W1446&amp;" lt. Liftbericht (Fach "&amp;X1446&amp;" Stk); ",IF(CB1446=1,"Gebinde geschätzt ("&amp;T1446&amp;"); ",IF(CA1446=1,"Lose – Tablare geschätzt; ","")))&amp;IF(H1446&gt;AW1446,"Überbestand "&amp;ROUND(H1446-AW1446,0)&amp;" Stk / CHF "&amp;ROUND((H1446-AW1446)*G1446,0)&amp;"; ","")&amp;IF(AND(CI1446=1,CJ1446&lt;CK1446),"MAX &lt; MB+LG; ","")&amp;IF(AND(CQ1446&gt;0,CP1446*10&gt;CQ1446),"zu hoch für Tablar; ","")&amp;IF(AND(BW1446=0,OR(CI1446=1,AB1446&lt;&gt;"",U1446&lt;&gt;"",V1446&lt;&gt;"",AC1446&lt;&gt;"")),"manuell übersteuert; ","")&amp;IF(AND(CA1446=0,R1446=0),"Gebinde unbekannt / Stellmass fehlt; ","")&amp;IF(AND(CA1446=0,N(V1446)&lt;=0,N(Q1446)&lt;=0),"Menge pro Gebinde fehlt (Ist = 1 Gebinde); ","")&amp;BV1446)</f>
        <v>negativer Bestand (Export -228); Neuer Art.</v>
      </c>
      <c r="BO1446" s="60"/>
      <c r="BP1446" s="60"/>
      <c r="BQ1446" s="67"/>
      <c r="BR1446" s="62" t="n">
        <v>-228</v>
      </c>
      <c r="BS1446" s="62" t="n">
        <v>0</v>
      </c>
      <c r="BT1446" s="61" t="n">
        <v>-10655.48</v>
      </c>
      <c r="BU1446" s="62" t="n">
        <v>859</v>
      </c>
      <c r="BV1446" s="60" t="s">
        <v>554</v>
      </c>
      <c r="BW1446" s="65" t="n">
        <v>0</v>
      </c>
      <c r="BX1446" s="65" t="n">
        <v>1446</v>
      </c>
      <c r="BY1446" s="60" t="str">
        <f aca="false">IF(U1446&lt;&gt;"",UPPER(TRIM(U1446)),IF(CB1446=1,UPPER(VLOOKUP(T1446,Parameter!$I$27:$K$29,2,0)),IF(P1446="","LOSE",P1446)))</f>
        <v>S62</v>
      </c>
      <c r="BZ1446" s="62" t="n">
        <f aca="false">IF(BY1446="LOSE",1,IF(N(V1446)&gt;0,V1446,IF(CB1446=1,MAX(1,N(VLOOKUP(T1446,Parameter!$I$27:$K$29,3,0)),H1446,N(N1446)),IF(N(Q1446)&gt;0,Q1446,MAX(1,H1446)))))</f>
        <v>430</v>
      </c>
      <c r="CA1446" s="65" t="n">
        <f aca="false">IF(BY1446="LOSE",1,0)</f>
        <v>0</v>
      </c>
      <c r="CB1446" s="65" t="n">
        <f aca="false">IF(AND(U1446="",OR(P1446="",P1446="LOSE"),T1446&lt;&gt;"",N(S1446)&lt;=0,ISNUMBER(MATCH(T1446,Parameter!$I$27:$I$29,0))),1,0)</f>
        <v>0</v>
      </c>
      <c r="CC1446" s="65" t="n">
        <f aca="false">IF(CR1446&gt;0,INDEX(Parameter!$H$5:$H$7,W1446)/INDEX(Parameter!$E$5:$E$7,W1446),IF(AND(CA1446=0,N(IFERROR(VLOOKUP(BY1446,'Gebinde-Kategorie'!$A$5:$N$45,14,0),0))&gt;0),VLOOKUP(BY1446,'Gebinde-Kategorie'!$A$5:$N$45,14,0)*10+Parameter!$M$23,Parameter!$M$24))</f>
        <v>245</v>
      </c>
      <c r="CD1446" s="60" t="str">
        <f aca="false">IF(AND(Parameter!$B$19="Ja",E1446&lt;&gt;"",ISNUMBER(MATCH(E1446,Parameter!$I$35:$I$52,0))),VLOOKUP(E1446,Parameter!$I$35:$J$52,2,0),IFERROR(VLOOKUP(D1446,Parameter!$A$35:$C$64,2,0),"Nein"))</f>
        <v>2+3</v>
      </c>
      <c r="CE1446" s="64" t="n">
        <f aca="false">IF(CA1446=0,0,IF(N(S1446)&gt;0,S1446,IFERROR(VLOOKUP(D1446,Parameter!$A$35:$C$64,3,0)+0,0)))</f>
        <v>0</v>
      </c>
      <c r="CF1446" s="60" t="n">
        <f aca="false">IF(AB1446&lt;&gt;"",AB1446,AA1446)</f>
        <v>3</v>
      </c>
      <c r="CG1446" s="60" t="str">
        <f aca="false">IF(OR(CF1446=1,CF1446=2,CF1446=3),IF(Parameter!$E$27="Ja","LIFT",IF(CF1446=1,"L1","L23")),IF(CF1446="Aussen","Aussen","-"))</f>
        <v>LIFT</v>
      </c>
      <c r="CH1446" s="71" t="n">
        <f aca="false">IF(N(AC1446)&gt;0,AC1446,0)</f>
        <v>0</v>
      </c>
      <c r="CI1446" s="65" t="n">
        <f aca="false">IF(ISNUMBER(AF1446),1,0)</f>
        <v>0</v>
      </c>
      <c r="CJ1446" s="62" t="n">
        <f aca="false">N(AF1446)</f>
        <v>0</v>
      </c>
      <c r="CK1446" s="62" t="n">
        <f aca="false">N(M1446)+N(N1446)</f>
        <v>150</v>
      </c>
      <c r="CL1446" s="62" t="n">
        <f aca="false">N(M1446)</f>
        <v>50</v>
      </c>
      <c r="CM1446" s="62" t="n">
        <f aca="false">N(N1446)</f>
        <v>100</v>
      </c>
      <c r="CN1446" s="62" t="n">
        <f aca="false">ROUNDUP(H1446/BZ1446,0)</f>
        <v>0</v>
      </c>
      <c r="CO1446" s="62" t="n">
        <f aca="false">ROUNDUP(CJ1446/BZ1446,0)</f>
        <v>0</v>
      </c>
      <c r="CP1446" s="65" t="n">
        <f aca="false">IF(CA1446=1,0,IFERROR(VLOOKUP(BY1446,'Gebinde-Kategorie'!$A$5:$N$45,5,0)+0,0))</f>
        <v>21</v>
      </c>
      <c r="CQ1446" s="65" t="n">
        <f aca="false">IFERROR(IF(OR(CF1446=1,CF1446=2,CF1446=3),N(INDEX(Parameter!$I$5:$I$7,CF1446)),0),0)</f>
        <v>0</v>
      </c>
      <c r="CR1446" s="64" t="n">
        <f aca="false">IF(AND(Parameter!$B$21="Ja",ISNUMBER(W1446),N(X1446)&gt;0),IFERROR(N(INDEX(Parameter!$L$5:$L$7,W1446))*INDEX(Parameter!$E$5:$E$7,W1446)*X1446/SUMIFS($X$7:$X$1843,$W$7:$W$1843,W1446),0),0)</f>
        <v>0</v>
      </c>
      <c r="CS1446" s="62" t="str">
        <f aca="false">IF(AND(OR(CG1446="L1",CG1446="L23",CG1446="LIFT"),H1446&gt;0),CC1446*IF(CR1446&gt;0,CR1446*MAX(1,H1446/X1446),IF(CA1446=1,CE1446,IF(R1446&gt;0,CN1446/R1446,0))/MAX(0.1,N(Parameter!$M$21))),"")</f>
        <v/>
      </c>
      <c r="CT1446" s="64" t="str">
        <f aca="false">IF(CS1446="","",J1446/H1446)</f>
        <v/>
      </c>
      <c r="CU1446" s="62" t="str">
        <f aca="false">IF(CS1446="","",H1446*G1446)</f>
        <v/>
      </c>
      <c r="CV1446" s="63" t="str">
        <f aca="false">IF(CS1446="","",(CL1446+ROUNDUP(CL1446+MAX(CM1446,2*(J1446/MAX(0.1,N(Einkauf!$C$6))-CL1446)),0))/2)</f>
        <v/>
      </c>
      <c r="CW1446" s="62" t="str">
        <f aca="false">IF(CS1446="","",MAX(0,H1446-CV1446)*G1446)</f>
        <v/>
      </c>
      <c r="CX1446" s="62" t="str">
        <f aca="false">IF(CS1446="","",CS1446*MAX(0,1-CV1446/H1446))</f>
        <v/>
      </c>
      <c r="CY1446" s="64" t="str">
        <f aca="false">IF(CS1446="","",PERCENTRANK($CS$7:$CS$1843,CS1446)+PERCENTRANK($CU$7:$CU$1843,CU1446)+1-PERCENTRANK($CT$7:$CT$1843,CT1446))</f>
        <v/>
      </c>
      <c r="CZ1446" s="72" t="str">
        <f aca="false">IF(CS1446="","",CHOOSE(MATCH(Einkauf!$C$5,Parameter!$G$23:$G$27,0),CY1446,CS1446,CU1446,-CT1446,CW1446)+ROW()/1000000000)</f>
        <v/>
      </c>
    </row>
    <row r="1447" customFormat="false" ht="15" hidden="false" customHeight="false" outlineLevel="0" collapsed="false">
      <c r="A1447" s="60" t="s">
        <v>2576</v>
      </c>
      <c r="B1447" s="60" t="s">
        <v>2577</v>
      </c>
      <c r="C1447" s="60" t="s">
        <v>206</v>
      </c>
      <c r="D1447" s="60" t="s">
        <v>226</v>
      </c>
      <c r="E1447" s="60" t="s">
        <v>227</v>
      </c>
      <c r="F1447" s="60"/>
      <c r="G1447" s="61" t="n">
        <v>315</v>
      </c>
      <c r="H1447" s="62" t="n">
        <f aca="false">MAX(0,IF(AND(Parameter!$B$21="Ja",ISNUMBER(Y1447)),Y1447,IF(Parameter!$B$20="Jahresanfang 2025 + Export",BS1447+BR1447,BR1447)))</f>
        <v>0</v>
      </c>
      <c r="I1447" s="62" t="n">
        <f aca="false">H1447*G1447</f>
        <v>0</v>
      </c>
      <c r="J1447" s="62" t="n">
        <f aca="false">BU1447*Parameter!$B$18</f>
        <v>37</v>
      </c>
      <c r="K1447" s="63"/>
      <c r="L1447" s="64"/>
      <c r="M1447" s="62" t="n">
        <v>5</v>
      </c>
      <c r="N1447" s="62" t="n">
        <v>1</v>
      </c>
      <c r="O1447" s="65"/>
      <c r="P1447" s="60" t="s">
        <v>275</v>
      </c>
      <c r="Q1447" s="62" t="n">
        <v>50</v>
      </c>
      <c r="R1447" s="65" t="n">
        <f aca="false">IF(CA1447=1,0,IFERROR(VLOOKUP(BY1447,'Gebinde-Kategorie'!$A$5:$N$45,13,0)+0,0))</f>
        <v>26</v>
      </c>
      <c r="S1447" s="66"/>
      <c r="T1447" s="67"/>
      <c r="U1447" s="67"/>
      <c r="V1447" s="67"/>
      <c r="W1447" s="60"/>
      <c r="X1447" s="62"/>
      <c r="Y1447" s="62"/>
      <c r="Z1447" s="60" t="n">
        <v>3</v>
      </c>
      <c r="AA1447" s="60" t="n">
        <f aca="false">IF(A1447="","",IF(AND(Parameter!$B$21="Ja",ISNUMBER(W1447)),W1447,IF(AND(Parameter!$E$27="Ja",ISNUMBER(Z1447),CD1447&lt;&gt;"Nein"),Z1447,IF(CD1447="2+3",IF(ISNUMBER(SEARCH("grosser Artikel",BV1447)),2,IFERROR(VLOOKUP(BY1447,Parameter!$F$35:$G$64,2,0),2)),IF(OR(CD1447="Nein",CD1447=""),"-",CD1447)))))</f>
        <v>3</v>
      </c>
      <c r="AB1447" s="67"/>
      <c r="AC1447" s="68"/>
      <c r="AD1447" s="62" t="n">
        <f aca="false">AW1447</f>
        <v>20</v>
      </c>
      <c r="AE1447" s="62" t="n">
        <f aca="false">MAX(AW1447,H1447)</f>
        <v>20</v>
      </c>
      <c r="AF1447" s="69"/>
      <c r="AG1447" s="62" t="n">
        <f aca="false">IF(LEFT(Cockpit!$C$5,1)="A",H1447,IF(Parameter!$E$30="MAX-Bestand",IF(CI1447=1,CJ1447,IF(LEFT(Cockpit!$C$5,1)="B",AM1447,MAX(AM1447,H1447))),ROUNDUP(AK1447,0)))</f>
        <v>0</v>
      </c>
      <c r="AH1447" s="62" t="n">
        <f aca="false">IF(CA1447=1,0,ROUNDUP(AG1447/BZ1447,0))</f>
        <v>0</v>
      </c>
      <c r="AI1447" s="64" t="n">
        <f aca="false">IF(CR1447&gt;0,CR1447*MAX(1,AG1447/X1447),IF(CA1447=1,IF(AG1447&lt;=0,0,CE1447*MAX(1,IF(H1447&gt;0,AG1447/H1447,1))),IF(R1447&gt;0,AH1447/R1447,0))/MAX(0.1,N(Parameter!$M$21)))</f>
        <v>0</v>
      </c>
      <c r="AJ1447" s="62" t="n">
        <f aca="false">AI1447*CC1447</f>
        <v>0</v>
      </c>
      <c r="AK1447" s="63" t="n">
        <f aca="false">IF(LEFT(Cockpit!$C$5,1)="A",H1447,IF(CI1447=1,(CL1447+CJ1447)/2,IF(LEFT(Cockpit!$C$5,1)="B",(CL1447+AM1447)/2,MAX((CL1447+AM1447)/2,H1447))))</f>
        <v>0</v>
      </c>
      <c r="AL1447" s="62" t="n">
        <f aca="false">AK1447*G1447</f>
        <v>0</v>
      </c>
      <c r="AM1447" s="62" t="n">
        <f aca="false">ROUNDUP(CL1447+MAX(CM1447,2*(J1447/IF(CH1447&gt;0,CH1447,MAX(0.1,N(Cockpit!$C$6)))-CL1447)),0)</f>
        <v>20</v>
      </c>
      <c r="AN1447" s="63" t="n">
        <f aca="false">IF(AJ1447&gt;0,J1447/AJ1447,-1)</f>
        <v>-1</v>
      </c>
      <c r="AO1447" s="63" t="str">
        <f aca="false">IF(AND(OR(CG1447="L1",CG1447="L23",CG1447="LIFT"),AJ1447&gt;0),SUMIFS($AJ$7:$AJ$1843,$CG$7:$CG$1843,CG1447,$AN$7:$AN$1843,"&gt;"&amp;AN1447)+SUMIFS($AJ$7:$AJ$1843,$CG$7:$CG$1843,CG1447,$AN$7:$AN$1843,AN1447,$BX$7:$BX$1843,"&lt;="&amp;BX1447),"")</f>
        <v/>
      </c>
      <c r="AP1447" s="70" t="n">
        <f aca="false">IF(AO1447="",0,MAX(0,MIN(1,(IF(CG1447="L1",Parameter!$H$5,IF(CG1447="L23",Parameter!$H$6+Parameter!$H$7,Parameter!$H$5+Parameter!$H$6+Parameter!$H$7))-(AO1447-AJ1447))/AJ1447)))</f>
        <v>0</v>
      </c>
      <c r="AQ1447" s="62" t="n">
        <f aca="false">IF(LEFT(Cockpit!$I$5,1)="A",H1447,IF(Parameter!$E$30="MAX-Bestand",IF(CI1447=1,CJ1447,IF(LEFT(Cockpit!$I$5,1)="B",AW1447,MAX(AW1447,H1447))),ROUNDUP(AU1447,0)))</f>
        <v>13</v>
      </c>
      <c r="AR1447" s="62" t="n">
        <f aca="false">IF(CA1447=1,0,ROUNDUP(AQ1447/BZ1447,0))</f>
        <v>1</v>
      </c>
      <c r="AS1447" s="64" t="n">
        <f aca="false">IF(CR1447&gt;0,CR1447*MAX(1,AQ1447/X1447),IF(CA1447=1,IF(AQ1447&lt;=0,0,CE1447*MAX(1,IF(H1447&gt;0,AQ1447/H1447,1))),IF(R1447&gt;0,AR1447/R1447,0))/MAX(0.1,N(Parameter!$M$21)))</f>
        <v>0.0384615384615385</v>
      </c>
      <c r="AT1447" s="62" t="n">
        <f aca="false">AS1447*CC1447</f>
        <v>9.42307692307692</v>
      </c>
      <c r="AU1447" s="63" t="n">
        <f aca="false">IF(LEFT(Cockpit!$I$5,1)="A",H1447,IF(CI1447=1,(CL1447+CJ1447)/2,IF(LEFT(Cockpit!$I$5,1)="B",(CL1447+AW1447)/2,MAX((CL1447+AW1447)/2,H1447))))</f>
        <v>12.5</v>
      </c>
      <c r="AV1447" s="62" t="n">
        <f aca="false">AU1447*G1447</f>
        <v>3937.5</v>
      </c>
      <c r="AW1447" s="62" t="n">
        <f aca="false">ROUNDUP(CL1447+MAX(CM1447,2*(J1447/IF(CH1447&gt;0,CH1447,MAX(0.1,N(Cockpit!$I$6)))-CL1447)),0)</f>
        <v>20</v>
      </c>
      <c r="AX1447" s="63" t="n">
        <f aca="false">IF(AT1447&gt;0,J1447/AT1447,-1)</f>
        <v>3.9265306122449</v>
      </c>
      <c r="AY1447" s="63" t="n">
        <f aca="false">IF(AND(OR(CG1447="L1",CG1447="L23",CG1447="LIFT"),AT1447&gt;0),SUMIFS($AT$7:$AT$1843,$CG$7:$CG$1843,CG1447,$AX$7:$AX$1843,"&gt;"&amp;AX1447)+SUMIFS($AT$7:$AT$1843,$CG$7:$CG$1843,CG1447,$AX$7:$AX$1843,AX1447,$BX$7:$BX$1843,"&lt;="&amp;BX1447),"")</f>
        <v>5044.59340659341</v>
      </c>
      <c r="AZ1447" s="70" t="n">
        <f aca="false">IF(AY1447="",0,MAX(0,MIN(1,(IF(CG1447="L1",Parameter!$H$5,IF(CG1447="L23",Parameter!$H$6+Parameter!$H$7,Parameter!$H$5+Parameter!$H$6+Parameter!$H$7))-(AY1447-AT1447))/AT1447)))</f>
        <v>1</v>
      </c>
      <c r="BA1447" s="62" t="n">
        <f aca="false">IF(LEFT(Cockpit!$O$5,1)="A",H1447,IF(Parameter!$E$30="MAX-Bestand",IF(CI1447=1,CJ1447,IF(LEFT(Cockpit!$O$5,1)="B",BG1447,MAX(BG1447,H1447))),ROUNDUP(BE1447,0)))</f>
        <v>10</v>
      </c>
      <c r="BB1447" s="62" t="n">
        <f aca="false">IF(CA1447=1,0,ROUNDUP(BA1447/BZ1447,0))</f>
        <v>1</v>
      </c>
      <c r="BC1447" s="64" t="n">
        <f aca="false">IF(CR1447&gt;0,CR1447*MAX(1,BA1447/X1447),IF(CA1447=1,IF(BA1447&lt;=0,0,CE1447*MAX(1,IF(H1447&gt;0,BA1447/H1447,1))),IF(R1447&gt;0,BB1447/R1447,0))/MAX(0.1,N(Parameter!$M$21)))</f>
        <v>0.0384615384615385</v>
      </c>
      <c r="BD1447" s="62" t="n">
        <f aca="false">BC1447*CC1447</f>
        <v>9.42307692307692</v>
      </c>
      <c r="BE1447" s="63" t="n">
        <f aca="false">IF(LEFT(Cockpit!$O$5,1)="A",H1447,IF(CI1447=1,(CL1447+CJ1447)/2,IF(LEFT(Cockpit!$O$5,1)="B",(CL1447+BG1447)/2,MAX((CL1447+BG1447)/2,H1447))))</f>
        <v>9.5</v>
      </c>
      <c r="BF1447" s="62" t="n">
        <f aca="false">BE1447*G1447</f>
        <v>2992.5</v>
      </c>
      <c r="BG1447" s="62" t="n">
        <f aca="false">ROUNDUP(CL1447+MAX(CM1447,2*(J1447/IF(CH1447&gt;0,CH1447,MAX(0.1,N(Cockpit!$O$6)))-CL1447)),0)</f>
        <v>14</v>
      </c>
      <c r="BH1447" s="63" t="n">
        <f aca="false">IF(BD1447&gt;0,J1447/BD1447,-1)</f>
        <v>3.9265306122449</v>
      </c>
      <c r="BI1447" s="63" t="n">
        <f aca="false">IF(AND(OR(CG1447="L1",CG1447="L23",CG1447="LIFT"),BD1447&gt;0),SUMIFS($BD$7:$BD$1843,$CG$7:$CG$1843,CG1447,$BH$7:$BH$1843,"&gt;"&amp;BH1447)+SUMIFS($BD$7:$BD$1843,$CG$7:$CG$1843,CG1447,$BH$7:$BH$1843,BH1447,$BX$7:$BX$1843,"&lt;="&amp;BX1447),"")</f>
        <v>4147.26007326007</v>
      </c>
      <c r="BJ1447" s="70" t="n">
        <f aca="false">IF(BI1447="",0,MAX(0,MIN(1,(IF(CG1447="L1",Parameter!$H$5,IF(CG1447="L23",Parameter!$H$6+Parameter!$H$7,Parameter!$H$5+Parameter!$H$6+Parameter!$H$7))-(BI1447-BD1447))/BD1447)))</f>
        <v>1</v>
      </c>
      <c r="BK1447" s="60" t="str">
        <f aca="false">IF(AJ1447&lt;=0,"",IF(CG1447="Aussen","Aussenlager",IF(CG1447="-","Nicht im Lift",IF(AP1447&gt;=1,"Lift",IF(AP1447&lt;=0,"Aussenlager","teilweise")))))</f>
        <v/>
      </c>
      <c r="BL1447" s="60" t="str">
        <f aca="false">IF(AT1447&lt;=0,"",IF(CG1447="Aussen","Aussenlager",IF(CG1447="-","Nicht im Lift",IF(AZ1447&gt;=1,"Lift",IF(AZ1447&lt;=0,"Aussenlager","teilweise")))))</f>
        <v>Lift</v>
      </c>
      <c r="BM1447" s="60" t="str">
        <f aca="false">IF(BD1447&lt;=0,"",IF(CG1447="Aussen","Aussenlager",IF(CG1447="-","Nicht im Lift",IF(BJ1447&gt;=1,"Lift",IF(BJ1447&lt;=0,"Aussenlager","teilweise")))))</f>
        <v>Lift</v>
      </c>
      <c r="BN1447" s="60" t="str">
        <f aca="false">IF(A1447="","",IF(BW1447=1,"Neu; ","")&amp;IF(AND(BW1447=0,BR1447&lt;0),"negativer Bestand (Export "&amp;BR1447&amp;"); ","")&amp;IF(J1447&lt;=0,"Kein Verbrauch; ","")&amp;IF(CR1447&gt;0,"Lift "&amp;W1447&amp;" lt. Liftbericht (Fach "&amp;X1447&amp;" Stk); ",IF(CB1447=1,"Gebinde geschätzt ("&amp;T1447&amp;"); ",IF(CA1447=1,"Lose – Tablare geschätzt; ","")))&amp;IF(H1447&gt;AW1447,"Überbestand "&amp;ROUND(H1447-AW1447,0)&amp;" Stk / CHF "&amp;ROUND((H1447-AW1447)*G1447,0)&amp;"; ","")&amp;IF(AND(CI1447=1,CJ1447&lt;CK1447),"MAX &lt; MB+LG; ","")&amp;IF(AND(CQ1447&gt;0,CP1447*10&gt;CQ1447),"zu hoch für Tablar; ","")&amp;IF(AND(BW1447=0,OR(CI1447=1,AB1447&lt;&gt;"",U1447&lt;&gt;"",V1447&lt;&gt;"",AC1447&lt;&gt;"")),"manuell übersteuert; ","")&amp;IF(AND(CA1447=0,R1447=0),"Gebinde unbekannt / Stellmass fehlt; ","")&amp;IF(AND(CA1447=0,N(V1447)&lt;=0,N(Q1447)&lt;=0),"Menge pro Gebinde fehlt (Ist = 1 Gebinde); ","")&amp;BV1447)</f>
        <v>negativer Bestand (Export -37); </v>
      </c>
      <c r="BO1447" s="60"/>
      <c r="BP1447" s="60"/>
      <c r="BQ1447" s="67"/>
      <c r="BR1447" s="62" t="n">
        <v>-37</v>
      </c>
      <c r="BS1447" s="62" t="n">
        <v>0</v>
      </c>
      <c r="BT1447" s="61" t="n">
        <v>-11655</v>
      </c>
      <c r="BU1447" s="62" t="n">
        <v>37</v>
      </c>
      <c r="BV1447" s="60"/>
      <c r="BW1447" s="65" t="n">
        <v>0</v>
      </c>
      <c r="BX1447" s="65" t="n">
        <v>1447</v>
      </c>
      <c r="BY1447" s="60" t="str">
        <f aca="false">IF(U1447&lt;&gt;"",UPPER(TRIM(U1447)),IF(CB1447=1,UPPER(VLOOKUP(T1447,Parameter!$I$27:$K$29,2,0)),IF(P1447="","LOSE",P1447)))</f>
        <v>S52</v>
      </c>
      <c r="BZ1447" s="62" t="n">
        <f aca="false">IF(BY1447="LOSE",1,IF(N(V1447)&gt;0,V1447,IF(CB1447=1,MAX(1,N(VLOOKUP(T1447,Parameter!$I$27:$K$29,3,0)),H1447,N(N1447)),IF(N(Q1447)&gt;0,Q1447,MAX(1,H1447)))))</f>
        <v>50</v>
      </c>
      <c r="CA1447" s="65" t="n">
        <f aca="false">IF(BY1447="LOSE",1,0)</f>
        <v>0</v>
      </c>
      <c r="CB1447" s="65" t="n">
        <f aca="false">IF(AND(U1447="",OR(P1447="",P1447="LOSE"),T1447&lt;&gt;"",N(S1447)&lt;=0,ISNUMBER(MATCH(T1447,Parameter!$I$27:$I$29,0))),1,0)</f>
        <v>0</v>
      </c>
      <c r="CC1447" s="65" t="n">
        <f aca="false">IF(CR1447&gt;0,INDEX(Parameter!$H$5:$H$7,W1447)/INDEX(Parameter!$E$5:$E$7,W1447),IF(AND(CA1447=0,N(IFERROR(VLOOKUP(BY1447,'Gebinde-Kategorie'!$A$5:$N$45,14,0),0))&gt;0),VLOOKUP(BY1447,'Gebinde-Kategorie'!$A$5:$N$45,14,0)*10+Parameter!$M$23,Parameter!$M$24))</f>
        <v>245</v>
      </c>
      <c r="CD1447" s="60" t="str">
        <f aca="false">IF(AND(Parameter!$B$19="Ja",E1447&lt;&gt;"",ISNUMBER(MATCH(E1447,Parameter!$I$35:$I$52,0))),VLOOKUP(E1447,Parameter!$I$35:$J$52,2,0),IFERROR(VLOOKUP(D1447,Parameter!$A$35:$C$64,2,0),"Nein"))</f>
        <v>2+3</v>
      </c>
      <c r="CE1447" s="64" t="n">
        <f aca="false">IF(CA1447=0,0,IF(N(S1447)&gt;0,S1447,IFERROR(VLOOKUP(D1447,Parameter!$A$35:$C$64,3,0)+0,0)))</f>
        <v>0</v>
      </c>
      <c r="CF1447" s="60" t="n">
        <f aca="false">IF(AB1447&lt;&gt;"",AB1447,AA1447)</f>
        <v>3</v>
      </c>
      <c r="CG1447" s="60" t="str">
        <f aca="false">IF(OR(CF1447=1,CF1447=2,CF1447=3),IF(Parameter!$E$27="Ja","LIFT",IF(CF1447=1,"L1","L23")),IF(CF1447="Aussen","Aussen","-"))</f>
        <v>LIFT</v>
      </c>
      <c r="CH1447" s="71" t="n">
        <f aca="false">IF(N(AC1447)&gt;0,AC1447,0)</f>
        <v>0</v>
      </c>
      <c r="CI1447" s="65" t="n">
        <f aca="false">IF(ISNUMBER(AF1447),1,0)</f>
        <v>0</v>
      </c>
      <c r="CJ1447" s="62" t="n">
        <f aca="false">N(AF1447)</f>
        <v>0</v>
      </c>
      <c r="CK1447" s="62" t="n">
        <f aca="false">N(M1447)+N(N1447)</f>
        <v>6</v>
      </c>
      <c r="CL1447" s="62" t="n">
        <f aca="false">N(M1447)</f>
        <v>5</v>
      </c>
      <c r="CM1447" s="62" t="n">
        <f aca="false">N(N1447)</f>
        <v>1</v>
      </c>
      <c r="CN1447" s="62" t="n">
        <f aca="false">ROUNDUP(H1447/BZ1447,0)</f>
        <v>0</v>
      </c>
      <c r="CO1447" s="62" t="n">
        <f aca="false">ROUNDUP(CJ1447/BZ1447,0)</f>
        <v>0</v>
      </c>
      <c r="CP1447" s="65" t="n">
        <f aca="false">IF(CA1447=1,0,IFERROR(VLOOKUP(BY1447,'Gebinde-Kategorie'!$A$5:$N$45,5,0)+0,0))</f>
        <v>21</v>
      </c>
      <c r="CQ1447" s="65" t="n">
        <f aca="false">IFERROR(IF(OR(CF1447=1,CF1447=2,CF1447=3),N(INDEX(Parameter!$I$5:$I$7,CF1447)),0),0)</f>
        <v>0</v>
      </c>
      <c r="CR1447" s="64" t="n">
        <f aca="false">IF(AND(Parameter!$B$21="Ja",ISNUMBER(W1447),N(X1447)&gt;0),IFERROR(N(INDEX(Parameter!$L$5:$L$7,W1447))*INDEX(Parameter!$E$5:$E$7,W1447)*X1447/SUMIFS($X$7:$X$1843,$W$7:$W$1843,W1447),0),0)</f>
        <v>0</v>
      </c>
      <c r="CS1447" s="62" t="str">
        <f aca="false">IF(AND(OR(CG1447="L1",CG1447="L23",CG1447="LIFT"),H1447&gt;0),CC1447*IF(CR1447&gt;0,CR1447*MAX(1,H1447/X1447),IF(CA1447=1,CE1447,IF(R1447&gt;0,CN1447/R1447,0))/MAX(0.1,N(Parameter!$M$21))),"")</f>
        <v/>
      </c>
      <c r="CT1447" s="64" t="str">
        <f aca="false">IF(CS1447="","",J1447/H1447)</f>
        <v/>
      </c>
      <c r="CU1447" s="62" t="str">
        <f aca="false">IF(CS1447="","",H1447*G1447)</f>
        <v/>
      </c>
      <c r="CV1447" s="63" t="str">
        <f aca="false">IF(CS1447="","",(CL1447+ROUNDUP(CL1447+MAX(CM1447,2*(J1447/MAX(0.1,N(Einkauf!$C$6))-CL1447)),0))/2)</f>
        <v/>
      </c>
      <c r="CW1447" s="62" t="str">
        <f aca="false">IF(CS1447="","",MAX(0,H1447-CV1447)*G1447)</f>
        <v/>
      </c>
      <c r="CX1447" s="62" t="str">
        <f aca="false">IF(CS1447="","",CS1447*MAX(0,1-CV1447/H1447))</f>
        <v/>
      </c>
      <c r="CY1447" s="64" t="str">
        <f aca="false">IF(CS1447="","",PERCENTRANK($CS$7:$CS$1843,CS1447)+PERCENTRANK($CU$7:$CU$1843,CU1447)+1-PERCENTRANK($CT$7:$CT$1843,CT1447))</f>
        <v/>
      </c>
      <c r="CZ1447" s="72" t="str">
        <f aca="false">IF(CS1447="","",CHOOSE(MATCH(Einkauf!$C$5,Parameter!$G$23:$G$27,0),CY1447,CS1447,CU1447,-CT1447,CW1447)+ROW()/1000000000)</f>
        <v/>
      </c>
    </row>
    <row r="1448" customFormat="false" ht="15" hidden="false" customHeight="false" outlineLevel="0" collapsed="false">
      <c r="A1448" s="60" t="s">
        <v>2578</v>
      </c>
      <c r="B1448" s="60" t="s">
        <v>447</v>
      </c>
      <c r="C1448" s="60" t="s">
        <v>206</v>
      </c>
      <c r="D1448" s="60" t="s">
        <v>226</v>
      </c>
      <c r="E1448" s="60" t="s">
        <v>227</v>
      </c>
      <c r="F1448" s="60"/>
      <c r="G1448" s="61" t="n">
        <v>3.25</v>
      </c>
      <c r="H1448" s="62" t="n">
        <f aca="false">MAX(0,IF(AND(Parameter!$B$21="Ja",ISNUMBER(Y1448)),Y1448,IF(Parameter!$B$20="Jahresanfang 2025 + Export",BS1448+BR1448,BR1448)))</f>
        <v>0</v>
      </c>
      <c r="I1448" s="62" t="n">
        <f aca="false">H1448*G1448</f>
        <v>0</v>
      </c>
      <c r="J1448" s="62" t="n">
        <f aca="false">BU1448*Parameter!$B$18</f>
        <v>2410</v>
      </c>
      <c r="K1448" s="63"/>
      <c r="L1448" s="64"/>
      <c r="M1448" s="62" t="n">
        <v>150</v>
      </c>
      <c r="N1448" s="62" t="n">
        <v>500</v>
      </c>
      <c r="O1448" s="65"/>
      <c r="P1448" s="60" t="s">
        <v>301</v>
      </c>
      <c r="Q1448" s="62" t="n">
        <v>1200</v>
      </c>
      <c r="R1448" s="65" t="n">
        <f aca="false">IF(CA1448=1,0,IFERROR(VLOOKUP(BY1448,'Gebinde-Kategorie'!$A$5:$N$45,13,0)+0,0))</f>
        <v>6</v>
      </c>
      <c r="S1448" s="66"/>
      <c r="T1448" s="67"/>
      <c r="U1448" s="67"/>
      <c r="V1448" s="67"/>
      <c r="W1448" s="60"/>
      <c r="X1448" s="62"/>
      <c r="Y1448" s="62"/>
      <c r="Z1448" s="60" t="n">
        <v>2</v>
      </c>
      <c r="AA1448" s="60" t="n">
        <f aca="false">IF(A1448="","",IF(AND(Parameter!$B$21="Ja",ISNUMBER(W1448)),W1448,IF(AND(Parameter!$E$27="Ja",ISNUMBER(Z1448),CD1448&lt;&gt;"Nein"),Z1448,IF(CD1448="2+3",IF(ISNUMBER(SEARCH("grosser Artikel",BV1448)),2,IFERROR(VLOOKUP(BY1448,Parameter!$F$35:$G$64,2,0),2)),IF(OR(CD1448="Nein",CD1448=""),"-",CD1448)))))</f>
        <v>2</v>
      </c>
      <c r="AB1448" s="67"/>
      <c r="AC1448" s="68"/>
      <c r="AD1448" s="62" t="n">
        <f aca="false">AW1448</f>
        <v>1457</v>
      </c>
      <c r="AE1448" s="62" t="n">
        <f aca="false">MAX(AW1448,H1448)</f>
        <v>1457</v>
      </c>
      <c r="AF1448" s="69"/>
      <c r="AG1448" s="62" t="n">
        <f aca="false">IF(LEFT(Cockpit!$C$5,1)="A",H1448,IF(Parameter!$E$30="MAX-Bestand",IF(CI1448=1,CJ1448,IF(LEFT(Cockpit!$C$5,1)="B",AM1448,MAX(AM1448,H1448))),ROUNDUP(AK1448,0)))</f>
        <v>0</v>
      </c>
      <c r="AH1448" s="62" t="n">
        <f aca="false">IF(CA1448=1,0,ROUNDUP(AG1448/BZ1448,0))</f>
        <v>0</v>
      </c>
      <c r="AI1448" s="64" t="n">
        <f aca="false">IF(CR1448&gt;0,CR1448*MAX(1,AG1448/X1448),IF(CA1448=1,IF(AG1448&lt;=0,0,CE1448*MAX(1,IF(H1448&gt;0,AG1448/H1448,1))),IF(R1448&gt;0,AH1448/R1448,0))/MAX(0.1,N(Parameter!$M$21)))</f>
        <v>0</v>
      </c>
      <c r="AJ1448" s="62" t="n">
        <f aca="false">AI1448*CC1448</f>
        <v>0</v>
      </c>
      <c r="AK1448" s="63" t="n">
        <f aca="false">IF(LEFT(Cockpit!$C$5,1)="A",H1448,IF(CI1448=1,(CL1448+CJ1448)/2,IF(LEFT(Cockpit!$C$5,1)="B",(CL1448+AM1448)/2,MAX((CL1448+AM1448)/2,H1448))))</f>
        <v>0</v>
      </c>
      <c r="AL1448" s="62" t="n">
        <f aca="false">AK1448*G1448</f>
        <v>0</v>
      </c>
      <c r="AM1448" s="62" t="n">
        <f aca="false">ROUNDUP(CL1448+MAX(CM1448,2*(J1448/IF(CH1448&gt;0,CH1448,MAX(0.1,N(Cockpit!$C$6)))-CL1448)),0)</f>
        <v>1457</v>
      </c>
      <c r="AN1448" s="63" t="n">
        <f aca="false">IF(AJ1448&gt;0,J1448/AJ1448,-1)</f>
        <v>-1</v>
      </c>
      <c r="AO1448" s="63" t="str">
        <f aca="false">IF(AND(OR(CG1448="L1",CG1448="L23",CG1448="LIFT"),AJ1448&gt;0),SUMIFS($AJ$7:$AJ$1843,$CG$7:$CG$1843,CG1448,$AN$7:$AN$1843,"&gt;"&amp;AN1448)+SUMIFS($AJ$7:$AJ$1843,$CG$7:$CG$1843,CG1448,$AN$7:$AN$1843,AN1448,$BX$7:$BX$1843,"&lt;="&amp;BX1448),"")</f>
        <v/>
      </c>
      <c r="AP1448" s="70" t="n">
        <f aca="false">IF(AO1448="",0,MAX(0,MIN(1,(IF(CG1448="L1",Parameter!$H$5,IF(CG1448="L23",Parameter!$H$6+Parameter!$H$7,Parameter!$H$5+Parameter!$H$6+Parameter!$H$7))-(AO1448-AJ1448))/AJ1448)))</f>
        <v>0</v>
      </c>
      <c r="AQ1448" s="62" t="n">
        <f aca="false">IF(LEFT(Cockpit!$I$5,1)="A",H1448,IF(Parameter!$E$30="MAX-Bestand",IF(CI1448=1,CJ1448,IF(LEFT(Cockpit!$I$5,1)="B",AW1448,MAX(AW1448,H1448))),ROUNDUP(AU1448,0)))</f>
        <v>804</v>
      </c>
      <c r="AR1448" s="62" t="n">
        <f aca="false">IF(CA1448=1,0,ROUNDUP(AQ1448/BZ1448,0))</f>
        <v>1</v>
      </c>
      <c r="AS1448" s="64" t="n">
        <f aca="false">IF(CR1448&gt;0,CR1448*MAX(1,AQ1448/X1448),IF(CA1448=1,IF(AQ1448&lt;=0,0,CE1448*MAX(1,IF(H1448&gt;0,AQ1448/H1448,1))),IF(R1448&gt;0,AR1448/R1448,0))/MAX(0.1,N(Parameter!$M$21)))</f>
        <v>0.166666666666667</v>
      </c>
      <c r="AT1448" s="62" t="n">
        <f aca="false">AS1448*CC1448</f>
        <v>72.5</v>
      </c>
      <c r="AU1448" s="63" t="n">
        <f aca="false">IF(LEFT(Cockpit!$I$5,1)="A",H1448,IF(CI1448=1,(CL1448+CJ1448)/2,IF(LEFT(Cockpit!$I$5,1)="B",(CL1448+AW1448)/2,MAX((CL1448+AW1448)/2,H1448))))</f>
        <v>803.5</v>
      </c>
      <c r="AV1448" s="62" t="n">
        <f aca="false">AU1448*G1448</f>
        <v>2611.375</v>
      </c>
      <c r="AW1448" s="62" t="n">
        <f aca="false">ROUNDUP(CL1448+MAX(CM1448,2*(J1448/IF(CH1448&gt;0,CH1448,MAX(0.1,N(Cockpit!$I$6)))-CL1448)),0)</f>
        <v>1457</v>
      </c>
      <c r="AX1448" s="63" t="n">
        <f aca="false">IF(AT1448&gt;0,J1448/AT1448,-1)</f>
        <v>33.2413793103448</v>
      </c>
      <c r="AY1448" s="63" t="n">
        <f aca="false">IF(AND(OR(CG1448="L1",CG1448="L23",CG1448="LIFT"),AT1448&gt;0),SUMIFS($AT$7:$AT$1843,$CG$7:$CG$1843,CG1448,$AX$7:$AX$1843,"&gt;"&amp;AX1448)+SUMIFS($AT$7:$AT$1843,$CG$7:$CG$1843,CG1448,$AX$7:$AX$1843,AX1448,$BX$7:$BX$1843,"&lt;="&amp;BX1448),"")</f>
        <v>1715.86904761905</v>
      </c>
      <c r="AZ1448" s="70" t="n">
        <f aca="false">IF(AY1448="",0,MAX(0,MIN(1,(IF(CG1448="L1",Parameter!$H$5,IF(CG1448="L23",Parameter!$H$6+Parameter!$H$7,Parameter!$H$5+Parameter!$H$6+Parameter!$H$7))-(AY1448-AT1448))/AT1448)))</f>
        <v>1</v>
      </c>
      <c r="BA1448" s="62" t="n">
        <f aca="false">IF(LEFT(Cockpit!$O$5,1)="A",H1448,IF(Parameter!$E$30="MAX-Bestand",IF(CI1448=1,CJ1448,IF(LEFT(Cockpit!$O$5,1)="B",BG1448,MAX(BG1448,H1448))),ROUNDUP(BE1448,0)))</f>
        <v>603</v>
      </c>
      <c r="BB1448" s="62" t="n">
        <f aca="false">IF(CA1448=1,0,ROUNDUP(BA1448/BZ1448,0))</f>
        <v>1</v>
      </c>
      <c r="BC1448" s="64" t="n">
        <f aca="false">IF(CR1448&gt;0,CR1448*MAX(1,BA1448/X1448),IF(CA1448=1,IF(BA1448&lt;=0,0,CE1448*MAX(1,IF(H1448&gt;0,BA1448/H1448,1))),IF(R1448&gt;0,BB1448/R1448,0))/MAX(0.1,N(Parameter!$M$21)))</f>
        <v>0.166666666666667</v>
      </c>
      <c r="BD1448" s="62" t="n">
        <f aca="false">BC1448*CC1448</f>
        <v>72.5</v>
      </c>
      <c r="BE1448" s="63" t="n">
        <f aca="false">IF(LEFT(Cockpit!$O$5,1)="A",H1448,IF(CI1448=1,(CL1448+CJ1448)/2,IF(LEFT(Cockpit!$O$5,1)="B",(CL1448+BG1448)/2,MAX((CL1448+BG1448)/2,H1448))))</f>
        <v>602.5</v>
      </c>
      <c r="BF1448" s="62" t="n">
        <f aca="false">BE1448*G1448</f>
        <v>1958.125</v>
      </c>
      <c r="BG1448" s="62" t="n">
        <f aca="false">ROUNDUP(CL1448+MAX(CM1448,2*(J1448/IF(CH1448&gt;0,CH1448,MAX(0.1,N(Cockpit!$O$6)))-CL1448)),0)</f>
        <v>1055</v>
      </c>
      <c r="BH1448" s="63" t="n">
        <f aca="false">IF(BD1448&gt;0,J1448/BD1448,-1)</f>
        <v>33.2413793103448</v>
      </c>
      <c r="BI1448" s="63" t="n">
        <f aca="false">IF(AND(OR(CG1448="L1",CG1448="L23",CG1448="LIFT"),BD1448&gt;0),SUMIFS($BD$7:$BD$1843,$CG$7:$CG$1843,CG1448,$BH$7:$BH$1843,"&gt;"&amp;BH1448)+SUMIFS($BD$7:$BD$1843,$CG$7:$CG$1843,CG1448,$BH$7:$BH$1843,BH1448,$BX$7:$BX$1843,"&lt;="&amp;BX1448),"")</f>
        <v>1649.58333333333</v>
      </c>
      <c r="BJ1448" s="70" t="n">
        <f aca="false">IF(BI1448="",0,MAX(0,MIN(1,(IF(CG1448="L1",Parameter!$H$5,IF(CG1448="L23",Parameter!$H$6+Parameter!$H$7,Parameter!$H$5+Parameter!$H$6+Parameter!$H$7))-(BI1448-BD1448))/BD1448)))</f>
        <v>1</v>
      </c>
      <c r="BK1448" s="60" t="str">
        <f aca="false">IF(AJ1448&lt;=0,"",IF(CG1448="Aussen","Aussenlager",IF(CG1448="-","Nicht im Lift",IF(AP1448&gt;=1,"Lift",IF(AP1448&lt;=0,"Aussenlager","teilweise")))))</f>
        <v/>
      </c>
      <c r="BL1448" s="60" t="str">
        <f aca="false">IF(AT1448&lt;=0,"",IF(CG1448="Aussen","Aussenlager",IF(CG1448="-","Nicht im Lift",IF(AZ1448&gt;=1,"Lift",IF(AZ1448&lt;=0,"Aussenlager","teilweise")))))</f>
        <v>Lift</v>
      </c>
      <c r="BM1448" s="60" t="str">
        <f aca="false">IF(BD1448&lt;=0,"",IF(CG1448="Aussen","Aussenlager",IF(CG1448="-","Nicht im Lift",IF(BJ1448&gt;=1,"Lift",IF(BJ1448&lt;=0,"Aussenlager","teilweise")))))</f>
        <v>Lift</v>
      </c>
      <c r="BN1448" s="60" t="str">
        <f aca="false">IF(A1448="","",IF(BW1448=1,"Neu; ","")&amp;IF(AND(BW1448=0,BR1448&lt;0),"negativer Bestand (Export "&amp;BR1448&amp;"); ","")&amp;IF(J1448&lt;=0,"Kein Verbrauch; ","")&amp;IF(CR1448&gt;0,"Lift "&amp;W1448&amp;" lt. Liftbericht (Fach "&amp;X1448&amp;" Stk); ",IF(CB1448=1,"Gebinde geschätzt ("&amp;T1448&amp;"); ",IF(CA1448=1,"Lose – Tablare geschätzt; ","")))&amp;IF(H1448&gt;AW1448,"Überbestand "&amp;ROUND(H1448-AW1448,0)&amp;" Stk / CHF "&amp;ROUND((H1448-AW1448)*G1448,0)&amp;"; ","")&amp;IF(AND(CI1448=1,CJ1448&lt;CK1448),"MAX &lt; MB+LG; ","")&amp;IF(AND(CQ1448&gt;0,CP1448*10&gt;CQ1448),"zu hoch für Tablar; ","")&amp;IF(AND(BW1448=0,OR(CI1448=1,AB1448&lt;&gt;"",U1448&lt;&gt;"",V1448&lt;&gt;"",AC1448&lt;&gt;"")),"manuell übersteuert; ","")&amp;IF(AND(CA1448=0,R1448=0),"Gebinde unbekannt / Stellmass fehlt; ","")&amp;IF(AND(CA1448=0,N(V1448)&lt;=0,N(Q1448)&lt;=0),"Menge pro Gebinde fehlt (Ist = 1 Gebinde); ","")&amp;BV1448)</f>
        <v>negativer Bestand (Export -3665); grosse  Artikelmenge</v>
      </c>
      <c r="BO1448" s="60"/>
      <c r="BP1448" s="60"/>
      <c r="BQ1448" s="67"/>
      <c r="BR1448" s="62" t="n">
        <v>-3665</v>
      </c>
      <c r="BS1448" s="62" t="n">
        <v>0</v>
      </c>
      <c r="BT1448" s="61" t="n">
        <v>-11911.25</v>
      </c>
      <c r="BU1448" s="62" t="n">
        <v>2410</v>
      </c>
      <c r="BV1448" s="60" t="s">
        <v>1649</v>
      </c>
      <c r="BW1448" s="65" t="n">
        <v>0</v>
      </c>
      <c r="BX1448" s="65" t="n">
        <v>1448</v>
      </c>
      <c r="BY1448" s="60" t="str">
        <f aca="false">IF(U1448&lt;&gt;"",UPPER(TRIM(U1448)),IF(CB1448=1,UPPER(VLOOKUP(T1448,Parameter!$I$27:$K$29,2,0)),IF(P1448="","LOSE",P1448)))</f>
        <v>S72</v>
      </c>
      <c r="BZ1448" s="62" t="n">
        <f aca="false">IF(BY1448="LOSE",1,IF(N(V1448)&gt;0,V1448,IF(CB1448=1,MAX(1,N(VLOOKUP(T1448,Parameter!$I$27:$K$29,3,0)),H1448,N(N1448)),IF(N(Q1448)&gt;0,Q1448,MAX(1,H1448)))))</f>
        <v>1200</v>
      </c>
      <c r="CA1448" s="65" t="n">
        <f aca="false">IF(BY1448="LOSE",1,0)</f>
        <v>0</v>
      </c>
      <c r="CB1448" s="65" t="n">
        <f aca="false">IF(AND(U1448="",OR(P1448="",P1448="LOSE"),T1448&lt;&gt;"",N(S1448)&lt;=0,ISNUMBER(MATCH(T1448,Parameter!$I$27:$I$29,0))),1,0)</f>
        <v>0</v>
      </c>
      <c r="CC1448" s="65" t="n">
        <f aca="false">IF(CR1448&gt;0,INDEX(Parameter!$H$5:$H$7,W1448)/INDEX(Parameter!$E$5:$E$7,W1448),IF(AND(CA1448=0,N(IFERROR(VLOOKUP(BY1448,'Gebinde-Kategorie'!$A$5:$N$45,14,0),0))&gt;0),VLOOKUP(BY1448,'Gebinde-Kategorie'!$A$5:$N$45,14,0)*10+Parameter!$M$23,Parameter!$M$24))</f>
        <v>435</v>
      </c>
      <c r="CD1448" s="60" t="str">
        <f aca="false">IF(AND(Parameter!$B$19="Ja",E1448&lt;&gt;"",ISNUMBER(MATCH(E1448,Parameter!$I$35:$I$52,0))),VLOOKUP(E1448,Parameter!$I$35:$J$52,2,0),IFERROR(VLOOKUP(D1448,Parameter!$A$35:$C$64,2,0),"Nein"))</f>
        <v>2+3</v>
      </c>
      <c r="CE1448" s="64" t="n">
        <f aca="false">IF(CA1448=0,0,IF(N(S1448)&gt;0,S1448,IFERROR(VLOOKUP(D1448,Parameter!$A$35:$C$64,3,0)+0,0)))</f>
        <v>0</v>
      </c>
      <c r="CF1448" s="60" t="n">
        <f aca="false">IF(AB1448&lt;&gt;"",AB1448,AA1448)</f>
        <v>2</v>
      </c>
      <c r="CG1448" s="60" t="str">
        <f aca="false">IF(OR(CF1448=1,CF1448=2,CF1448=3),IF(Parameter!$E$27="Ja","LIFT",IF(CF1448=1,"L1","L23")),IF(CF1448="Aussen","Aussen","-"))</f>
        <v>LIFT</v>
      </c>
      <c r="CH1448" s="71" t="n">
        <f aca="false">IF(N(AC1448)&gt;0,AC1448,0)</f>
        <v>0</v>
      </c>
      <c r="CI1448" s="65" t="n">
        <f aca="false">IF(ISNUMBER(AF1448),1,0)</f>
        <v>0</v>
      </c>
      <c r="CJ1448" s="62" t="n">
        <f aca="false">N(AF1448)</f>
        <v>0</v>
      </c>
      <c r="CK1448" s="62" t="n">
        <f aca="false">N(M1448)+N(N1448)</f>
        <v>650</v>
      </c>
      <c r="CL1448" s="62" t="n">
        <f aca="false">N(M1448)</f>
        <v>150</v>
      </c>
      <c r="CM1448" s="62" t="n">
        <f aca="false">N(N1448)</f>
        <v>500</v>
      </c>
      <c r="CN1448" s="62" t="n">
        <f aca="false">ROUNDUP(H1448/BZ1448,0)</f>
        <v>0</v>
      </c>
      <c r="CO1448" s="62" t="n">
        <f aca="false">ROUNDUP(CJ1448/BZ1448,0)</f>
        <v>0</v>
      </c>
      <c r="CP1448" s="65" t="n">
        <f aca="false">IF(CA1448=1,0,IFERROR(VLOOKUP(BY1448,'Gebinde-Kategorie'!$A$5:$N$45,5,0)+0,0))</f>
        <v>40</v>
      </c>
      <c r="CQ1448" s="65" t="n">
        <f aca="false">IFERROR(IF(OR(CF1448=1,CF1448=2,CF1448=3),N(INDEX(Parameter!$I$5:$I$7,CF1448)),0),0)</f>
        <v>0</v>
      </c>
      <c r="CR1448" s="64" t="n">
        <f aca="false">IF(AND(Parameter!$B$21="Ja",ISNUMBER(W1448),N(X1448)&gt;0),IFERROR(N(INDEX(Parameter!$L$5:$L$7,W1448))*INDEX(Parameter!$E$5:$E$7,W1448)*X1448/SUMIFS($X$7:$X$1843,$W$7:$W$1843,W1448),0),0)</f>
        <v>0</v>
      </c>
      <c r="CS1448" s="62" t="str">
        <f aca="false">IF(AND(OR(CG1448="L1",CG1448="L23",CG1448="LIFT"),H1448&gt;0),CC1448*IF(CR1448&gt;0,CR1448*MAX(1,H1448/X1448),IF(CA1448=1,CE1448,IF(R1448&gt;0,CN1448/R1448,0))/MAX(0.1,N(Parameter!$M$21))),"")</f>
        <v/>
      </c>
      <c r="CT1448" s="64" t="str">
        <f aca="false">IF(CS1448="","",J1448/H1448)</f>
        <v/>
      </c>
      <c r="CU1448" s="62" t="str">
        <f aca="false">IF(CS1448="","",H1448*G1448)</f>
        <v/>
      </c>
      <c r="CV1448" s="63" t="str">
        <f aca="false">IF(CS1448="","",(CL1448+ROUNDUP(CL1448+MAX(CM1448,2*(J1448/MAX(0.1,N(Einkauf!$C$6))-CL1448)),0))/2)</f>
        <v/>
      </c>
      <c r="CW1448" s="62" t="str">
        <f aca="false">IF(CS1448="","",MAX(0,H1448-CV1448)*G1448)</f>
        <v/>
      </c>
      <c r="CX1448" s="62" t="str">
        <f aca="false">IF(CS1448="","",CS1448*MAX(0,1-CV1448/H1448))</f>
        <v/>
      </c>
      <c r="CY1448" s="64" t="str">
        <f aca="false">IF(CS1448="","",PERCENTRANK($CS$7:$CS$1843,CS1448)+PERCENTRANK($CU$7:$CU$1843,CU1448)+1-PERCENTRANK($CT$7:$CT$1843,CT1448))</f>
        <v/>
      </c>
      <c r="CZ1448" s="72" t="str">
        <f aca="false">IF(CS1448="","",CHOOSE(MATCH(Einkauf!$C$5,Parameter!$G$23:$G$27,0),CY1448,CS1448,CU1448,-CT1448,CW1448)+ROW()/1000000000)</f>
        <v/>
      </c>
    </row>
    <row r="1449" customFormat="false" ht="15" hidden="false" customHeight="false" outlineLevel="0" collapsed="false">
      <c r="A1449" s="60" t="s">
        <v>2579</v>
      </c>
      <c r="B1449" s="60" t="s">
        <v>2426</v>
      </c>
      <c r="C1449" s="60" t="s">
        <v>206</v>
      </c>
      <c r="D1449" s="60" t="s">
        <v>207</v>
      </c>
      <c r="E1449" s="60" t="s">
        <v>208</v>
      </c>
      <c r="F1449" s="60"/>
      <c r="G1449" s="61" t="n">
        <v>2608.01</v>
      </c>
      <c r="H1449" s="62" t="n">
        <f aca="false">MAX(0,IF(AND(Parameter!$B$21="Ja",ISNUMBER(Y1449)),Y1449,IF(Parameter!$B$20="Jahresanfang 2025 + Export",BS1449+BR1449,BR1449)))</f>
        <v>6</v>
      </c>
      <c r="I1449" s="62" t="n">
        <f aca="false">H1449*G1449</f>
        <v>15648.06</v>
      </c>
      <c r="J1449" s="62" t="n">
        <f aca="false">BU1449*Parameter!$B$18</f>
        <v>30</v>
      </c>
      <c r="K1449" s="63"/>
      <c r="L1449" s="64"/>
      <c r="M1449" s="62" t="n">
        <v>1</v>
      </c>
      <c r="N1449" s="62" t="n">
        <v>5</v>
      </c>
      <c r="O1449" s="65"/>
      <c r="P1449" s="60" t="s">
        <v>210</v>
      </c>
      <c r="Q1449" s="62"/>
      <c r="R1449" s="65" t="n">
        <f aca="false">IF(CA1449=1,0,IFERROR(VLOOKUP(BY1449,'Gebinde-Kategorie'!$A$5:$N$45,13,0)+0,0))</f>
        <v>0</v>
      </c>
      <c r="S1449" s="66"/>
      <c r="T1449" s="67"/>
      <c r="U1449" s="67"/>
      <c r="V1449" s="67"/>
      <c r="W1449" s="60" t="n">
        <v>1</v>
      </c>
      <c r="X1449" s="62" t="n">
        <v>13</v>
      </c>
      <c r="Y1449" s="62" t="n">
        <v>6</v>
      </c>
      <c r="Z1449" s="60" t="n">
        <v>1</v>
      </c>
      <c r="AA1449" s="60" t="n">
        <f aca="false">IF(A1449="","",IF(AND(Parameter!$B$21="Ja",ISNUMBER(W1449)),W1449,IF(AND(Parameter!$E$27="Ja",ISNUMBER(Z1449),CD1449&lt;&gt;"Nein"),Z1449,IF(CD1449="2+3",IF(ISNUMBER(SEARCH("grosser Artikel",BV1449)),2,IFERROR(VLOOKUP(BY1449,Parameter!$F$35:$G$64,2,0),2)),IF(OR(CD1449="Nein",CD1449=""),"-",CD1449)))))</f>
        <v>1</v>
      </c>
      <c r="AB1449" s="67"/>
      <c r="AC1449" s="68"/>
      <c r="AD1449" s="62" t="n">
        <f aca="false">AW1449</f>
        <v>19</v>
      </c>
      <c r="AE1449" s="62" t="n">
        <f aca="false">MAX(AW1449,H1449)</f>
        <v>19</v>
      </c>
      <c r="AF1449" s="69"/>
      <c r="AG1449" s="62" t="n">
        <f aca="false">IF(LEFT(Cockpit!$C$5,1)="A",H1449,IF(Parameter!$E$30="MAX-Bestand",IF(CI1449=1,CJ1449,IF(LEFT(Cockpit!$C$5,1)="B",AM1449,MAX(AM1449,H1449))),ROUNDUP(AK1449,0)))</f>
        <v>6</v>
      </c>
      <c r="AH1449" s="62" t="n">
        <f aca="false">IF(CA1449=1,0,ROUNDUP(AG1449/BZ1449,0))</f>
        <v>0</v>
      </c>
      <c r="AI1449" s="64" t="n">
        <f aca="false">IF(CR1449&gt;0,CR1449*MAX(1,AG1449/X1449),IF(CA1449=1,IF(AG1449&lt;=0,0,CE1449*MAX(1,IF(H1449&gt;0,AG1449/H1449,1))),IF(R1449&gt;0,AH1449/R1449,0))/MAX(0.1,N(Parameter!$M$21)))</f>
        <v>1.04048964218456</v>
      </c>
      <c r="AJ1449" s="62" t="n">
        <f aca="false">AI1449*CC1449</f>
        <v>247.636534839925</v>
      </c>
      <c r="AK1449" s="63" t="n">
        <f aca="false">IF(LEFT(Cockpit!$C$5,1)="A",H1449,IF(CI1449=1,(CL1449+CJ1449)/2,IF(LEFT(Cockpit!$C$5,1)="B",(CL1449+AM1449)/2,MAX((CL1449+AM1449)/2,H1449))))</f>
        <v>6</v>
      </c>
      <c r="AL1449" s="62" t="n">
        <f aca="false">AK1449*G1449</f>
        <v>15648.06</v>
      </c>
      <c r="AM1449" s="62" t="n">
        <f aca="false">ROUNDUP(CL1449+MAX(CM1449,2*(J1449/IF(CH1449&gt;0,CH1449,MAX(0.1,N(Cockpit!$C$6)))-CL1449)),0)</f>
        <v>19</v>
      </c>
      <c r="AN1449" s="63" t="n">
        <f aca="false">IF(AJ1449&gt;0,J1449/AJ1449,-1)</f>
        <v>0.121145290695464</v>
      </c>
      <c r="AO1449" s="63" t="n">
        <f aca="false">IF(AND(OR(CG1449="L1",CG1449="L23",CG1449="LIFT"),AJ1449&gt;0),SUMIFS($AJ$7:$AJ$1843,$CG$7:$CG$1843,CG1449,$AN$7:$AN$1843,"&gt;"&amp;AN1449)+SUMIFS($AJ$7:$AJ$1843,$CG$7:$CG$1843,CG1449,$AN$7:$AN$1843,AN1449,$BX$7:$BX$1843,"&lt;="&amp;BX1449),"")</f>
        <v>14363.9232036796</v>
      </c>
      <c r="AP1449" s="70" t="n">
        <f aca="false">IF(AO1449="",0,MAX(0,MIN(1,(IF(CG1449="L1",Parameter!$H$5,IF(CG1449="L23",Parameter!$H$6+Parameter!$H$7,Parameter!$H$5+Parameter!$H$6+Parameter!$H$7))-(AO1449-AJ1449))/AJ1449)))</f>
        <v>1</v>
      </c>
      <c r="AQ1449" s="62" t="n">
        <f aca="false">IF(LEFT(Cockpit!$I$5,1)="A",H1449,IF(Parameter!$E$30="MAX-Bestand",IF(CI1449=1,CJ1449,IF(LEFT(Cockpit!$I$5,1)="B",AW1449,MAX(AW1449,H1449))),ROUNDUP(AU1449,0)))</f>
        <v>10</v>
      </c>
      <c r="AR1449" s="62" t="n">
        <f aca="false">IF(CA1449=1,0,ROUNDUP(AQ1449/BZ1449,0))</f>
        <v>0</v>
      </c>
      <c r="AS1449" s="64" t="n">
        <f aca="false">IF(CR1449&gt;0,CR1449*MAX(1,AQ1449/X1449),IF(CA1449=1,IF(AQ1449&lt;=0,0,CE1449*MAX(1,IF(H1449&gt;0,AQ1449/H1449,1))),IF(R1449&gt;0,AR1449/R1449,0))/MAX(0.1,N(Parameter!$M$21)))</f>
        <v>1.04048964218456</v>
      </c>
      <c r="AT1449" s="62" t="n">
        <f aca="false">AS1449*CC1449</f>
        <v>247.636534839925</v>
      </c>
      <c r="AU1449" s="63" t="n">
        <f aca="false">IF(LEFT(Cockpit!$I$5,1)="A",H1449,IF(CI1449=1,(CL1449+CJ1449)/2,IF(LEFT(Cockpit!$I$5,1)="B",(CL1449+AW1449)/2,MAX((CL1449+AW1449)/2,H1449))))</f>
        <v>10</v>
      </c>
      <c r="AV1449" s="62" t="n">
        <f aca="false">AU1449*G1449</f>
        <v>26080.1</v>
      </c>
      <c r="AW1449" s="62" t="n">
        <f aca="false">ROUNDUP(CL1449+MAX(CM1449,2*(J1449/IF(CH1449&gt;0,CH1449,MAX(0.1,N(Cockpit!$I$6)))-CL1449)),0)</f>
        <v>19</v>
      </c>
      <c r="AX1449" s="63" t="n">
        <f aca="false">IF(AT1449&gt;0,J1449/AT1449,-1)</f>
        <v>0.121145290695464</v>
      </c>
      <c r="AY1449" s="63" t="n">
        <f aca="false">IF(AND(OR(CG1449="L1",CG1449="L23",CG1449="LIFT"),AT1449&gt;0),SUMIFS($AT$7:$AT$1843,$CG$7:$CG$1843,CG1449,$AX$7:$AX$1843,"&gt;"&amp;AX1449)+SUMIFS($AT$7:$AT$1843,$CG$7:$CG$1843,CG1449,$AX$7:$AX$1843,AX1449,$BX$7:$BX$1843,"&lt;="&amp;BX1449),"")</f>
        <v>18388.321845057</v>
      </c>
      <c r="AZ1449" s="70" t="n">
        <f aca="false">IF(AY1449="",0,MAX(0,MIN(1,(IF(CG1449="L1",Parameter!$H$5,IF(CG1449="L23",Parameter!$H$6+Parameter!$H$7,Parameter!$H$5+Parameter!$H$6+Parameter!$H$7))-(AY1449-AT1449))/AT1449)))</f>
        <v>1</v>
      </c>
      <c r="BA1449" s="62" t="n">
        <f aca="false">IF(LEFT(Cockpit!$O$5,1)="A",H1449,IF(Parameter!$E$30="MAX-Bestand",IF(CI1449=1,CJ1449,IF(LEFT(Cockpit!$O$5,1)="B",BG1449,MAX(BG1449,H1449))),ROUNDUP(BE1449,0)))</f>
        <v>8</v>
      </c>
      <c r="BB1449" s="62" t="n">
        <f aca="false">IF(CA1449=1,0,ROUNDUP(BA1449/BZ1449,0))</f>
        <v>0</v>
      </c>
      <c r="BC1449" s="64" t="n">
        <f aca="false">IF(CR1449&gt;0,CR1449*MAX(1,BA1449/X1449),IF(CA1449=1,IF(BA1449&lt;=0,0,CE1449*MAX(1,IF(H1449&gt;0,BA1449/H1449,1))),IF(R1449&gt;0,BB1449/R1449,0))/MAX(0.1,N(Parameter!$M$21)))</f>
        <v>1.04048964218456</v>
      </c>
      <c r="BD1449" s="62" t="n">
        <f aca="false">BC1449*CC1449</f>
        <v>247.636534839925</v>
      </c>
      <c r="BE1449" s="63" t="n">
        <f aca="false">IF(LEFT(Cockpit!$O$5,1)="A",H1449,IF(CI1449=1,(CL1449+CJ1449)/2,IF(LEFT(Cockpit!$O$5,1)="B",(CL1449+BG1449)/2,MAX((CL1449+BG1449)/2,H1449))))</f>
        <v>7.5</v>
      </c>
      <c r="BF1449" s="62" t="n">
        <f aca="false">BE1449*G1449</f>
        <v>19560.075</v>
      </c>
      <c r="BG1449" s="62" t="n">
        <f aca="false">ROUNDUP(CL1449+MAX(CM1449,2*(J1449/IF(CH1449&gt;0,CH1449,MAX(0.1,N(Cockpit!$O$6)))-CL1449)),0)</f>
        <v>14</v>
      </c>
      <c r="BH1449" s="63" t="n">
        <f aca="false">IF(BD1449&gt;0,J1449/BD1449,-1)</f>
        <v>0.121145290695464</v>
      </c>
      <c r="BI1449" s="63" t="n">
        <f aca="false">IF(AND(OR(CG1449="L1",CG1449="L23",CG1449="LIFT"),BD1449&gt;0),SUMIFS($BD$7:$BD$1843,$CG$7:$CG$1843,CG1449,$BH$7:$BH$1843,"&gt;"&amp;BH1449)+SUMIFS($BD$7:$BD$1843,$CG$7:$CG$1843,CG1449,$BH$7:$BH$1843,BH1449,$BX$7:$BX$1843,"&lt;="&amp;BX1449),"")</f>
        <v>15989.1344575857</v>
      </c>
      <c r="BJ1449" s="70" t="n">
        <f aca="false">IF(BI1449="",0,MAX(0,MIN(1,(IF(CG1449="L1",Parameter!$H$5,IF(CG1449="L23",Parameter!$H$6+Parameter!$H$7,Parameter!$H$5+Parameter!$H$6+Parameter!$H$7))-(BI1449-BD1449))/BD1449)))</f>
        <v>1</v>
      </c>
      <c r="BK1449" s="60" t="str">
        <f aca="false">IF(AJ1449&lt;=0,"",IF(CG1449="Aussen","Aussenlager",IF(CG1449="-","Nicht im Lift",IF(AP1449&gt;=1,"Lift",IF(AP1449&lt;=0,"Aussenlager","teilweise")))))</f>
        <v>Lift</v>
      </c>
      <c r="BL1449" s="60" t="str">
        <f aca="false">IF(AT1449&lt;=0,"",IF(CG1449="Aussen","Aussenlager",IF(CG1449="-","Nicht im Lift",IF(AZ1449&gt;=1,"Lift",IF(AZ1449&lt;=0,"Aussenlager","teilweise")))))</f>
        <v>Lift</v>
      </c>
      <c r="BM1449" s="60" t="str">
        <f aca="false">IF(BD1449&lt;=0,"",IF(CG1449="Aussen","Aussenlager",IF(CG1449="-","Nicht im Lift",IF(BJ1449&gt;=1,"Lift",IF(BJ1449&lt;=0,"Aussenlager","teilweise")))))</f>
        <v>Lift</v>
      </c>
      <c r="BN1449" s="60" t="str">
        <f aca="false">IF(A1449="","",IF(BW1449=1,"Neu; ","")&amp;IF(AND(BW1449=0,BR1449&lt;0),"negativer Bestand (Export "&amp;BR1449&amp;"); ","")&amp;IF(J1449&lt;=0,"Kein Verbrauch; ","")&amp;IF(CR1449&gt;0,"Lift "&amp;W1449&amp;" lt. Liftbericht (Fach "&amp;X1449&amp;" Stk); ",IF(CB1449=1,"Gebinde geschätzt ("&amp;T1449&amp;"); ",IF(CA1449=1,"Lose – Tablare geschätzt; ","")))&amp;IF(H1449&gt;AW1449,"Überbestand "&amp;ROUND(H1449-AW1449,0)&amp;" Stk / CHF "&amp;ROUND((H1449-AW1449)*G1449,0)&amp;"; ","")&amp;IF(AND(CI1449=1,CJ1449&lt;CK1449),"MAX &lt; MB+LG; ","")&amp;IF(AND(CQ1449&gt;0,CP1449*10&gt;CQ1449),"zu hoch für Tablar; ","")&amp;IF(AND(BW1449=0,OR(CI1449=1,AB1449&lt;&gt;"",U1449&lt;&gt;"",V1449&lt;&gt;"",AC1449&lt;&gt;"")),"manuell übersteuert; ","")&amp;IF(AND(CA1449=0,R1449=0),"Gebinde unbekannt / Stellmass fehlt; ","")&amp;IF(AND(CA1449=0,N(V1449)&lt;=0,N(Q1449)&lt;=0),"Menge pro Gebinde fehlt (Ist = 1 Gebinde); ","")&amp;BV1449)</f>
        <v>negativer Bestand (Export -3); Lift 1 lt. Liftbericht (Fach 13 Stk); </v>
      </c>
      <c r="BO1449" s="60"/>
      <c r="BP1449" s="60"/>
      <c r="BQ1449" s="67"/>
      <c r="BR1449" s="62" t="n">
        <v>-3</v>
      </c>
      <c r="BS1449" s="62" t="n">
        <v>0</v>
      </c>
      <c r="BT1449" s="61" t="n">
        <v>-12165.3900000001</v>
      </c>
      <c r="BU1449" s="62" t="n">
        <v>30</v>
      </c>
      <c r="BV1449" s="60"/>
      <c r="BW1449" s="65" t="n">
        <v>0</v>
      </c>
      <c r="BX1449" s="65" t="n">
        <v>1449</v>
      </c>
      <c r="BY1449" s="60" t="str">
        <f aca="false">IF(U1449&lt;&gt;"",UPPER(TRIM(U1449)),IF(CB1449=1,UPPER(VLOOKUP(T1449,Parameter!$I$27:$K$29,2,0)),IF(P1449="","LOSE",P1449)))</f>
        <v>LOSE</v>
      </c>
      <c r="BZ1449" s="62" t="n">
        <f aca="false">IF(BY1449="LOSE",1,IF(N(V1449)&gt;0,V1449,IF(CB1449=1,MAX(1,N(VLOOKUP(T1449,Parameter!$I$27:$K$29,3,0)),H1449,N(N1449)),IF(N(Q1449)&gt;0,Q1449,MAX(1,H1449)))))</f>
        <v>1</v>
      </c>
      <c r="CA1449" s="65" t="n">
        <f aca="false">IF(BY1449="LOSE",1,0)</f>
        <v>1</v>
      </c>
      <c r="CB1449" s="65" t="n">
        <f aca="false">IF(AND(U1449="",OR(P1449="",P1449="LOSE"),T1449&lt;&gt;"",N(S1449)&lt;=0,ISNUMBER(MATCH(T1449,Parameter!$I$27:$I$29,0))),1,0)</f>
        <v>0</v>
      </c>
      <c r="CC1449" s="65" t="n">
        <f aca="false">IF(CR1449&gt;0,INDEX(Parameter!$H$5:$H$7,W1449)/INDEX(Parameter!$E$5:$E$7,W1449),IF(AND(CA1449=0,N(IFERROR(VLOOKUP(BY1449,'Gebinde-Kategorie'!$A$5:$N$45,14,0),0))&gt;0),VLOOKUP(BY1449,'Gebinde-Kategorie'!$A$5:$N$45,14,0)*10+Parameter!$M$23,Parameter!$M$24))</f>
        <v>238</v>
      </c>
      <c r="CD1449" s="60" t="n">
        <f aca="false">IF(AND(Parameter!$B$19="Ja",E1449&lt;&gt;"",ISNUMBER(MATCH(E1449,Parameter!$I$35:$I$52,0))),VLOOKUP(E1449,Parameter!$I$35:$J$52,2,0),IFERROR(VLOOKUP(D1449,Parameter!$A$35:$C$64,2,0),"Nein"))</f>
        <v>1</v>
      </c>
      <c r="CE1449" s="64" t="n">
        <f aca="false">IF(CA1449=0,0,IF(N(S1449)&gt;0,S1449,IFERROR(VLOOKUP(D1449,Parameter!$A$35:$C$64,3,0)+0,0)))</f>
        <v>1</v>
      </c>
      <c r="CF1449" s="60" t="n">
        <f aca="false">IF(AB1449&lt;&gt;"",AB1449,AA1449)</f>
        <v>1</v>
      </c>
      <c r="CG1449" s="60" t="str">
        <f aca="false">IF(OR(CF1449=1,CF1449=2,CF1449=3),IF(Parameter!$E$27="Ja","LIFT",IF(CF1449=1,"L1","L23")),IF(CF1449="Aussen","Aussen","-"))</f>
        <v>LIFT</v>
      </c>
      <c r="CH1449" s="71" t="n">
        <f aca="false">IF(N(AC1449)&gt;0,AC1449,0)</f>
        <v>0</v>
      </c>
      <c r="CI1449" s="65" t="n">
        <f aca="false">IF(ISNUMBER(AF1449),1,0)</f>
        <v>0</v>
      </c>
      <c r="CJ1449" s="62" t="n">
        <f aca="false">N(AF1449)</f>
        <v>0</v>
      </c>
      <c r="CK1449" s="62" t="n">
        <f aca="false">N(M1449)+N(N1449)</f>
        <v>6</v>
      </c>
      <c r="CL1449" s="62" t="n">
        <f aca="false">N(M1449)</f>
        <v>1</v>
      </c>
      <c r="CM1449" s="62" t="n">
        <f aca="false">N(N1449)</f>
        <v>5</v>
      </c>
      <c r="CN1449" s="62" t="n">
        <f aca="false">ROUNDUP(H1449/BZ1449,0)</f>
        <v>6</v>
      </c>
      <c r="CO1449" s="62" t="n">
        <f aca="false">ROUNDUP(CJ1449/BZ1449,0)</f>
        <v>0</v>
      </c>
      <c r="CP1449" s="65" t="n">
        <f aca="false">IF(CA1449=1,0,IFERROR(VLOOKUP(BY1449,'Gebinde-Kategorie'!$A$5:$N$45,5,0)+0,0))</f>
        <v>0</v>
      </c>
      <c r="CQ1449" s="65" t="n">
        <f aca="false">IFERROR(IF(OR(CF1449=1,CF1449=2,CF1449=3),N(INDEX(Parameter!$I$5:$I$7,CF1449)),0),0)</f>
        <v>0</v>
      </c>
      <c r="CR1449" s="64" t="n">
        <f aca="false">IF(AND(Parameter!$B$21="Ja",ISNUMBER(W1449),N(X1449)&gt;0),IFERROR(N(INDEX(Parameter!$L$5:$L$7,W1449))*INDEX(Parameter!$E$5:$E$7,W1449)*X1449/SUMIFS($X$7:$X$1843,$W$7:$W$1843,W1449),0),0)</f>
        <v>1.04048964218456</v>
      </c>
      <c r="CS1449" s="62" t="n">
        <f aca="false">IF(AND(OR(CG1449="L1",CG1449="L23",CG1449="LIFT"),H1449&gt;0),CC1449*IF(CR1449&gt;0,CR1449*MAX(1,H1449/X1449),IF(CA1449=1,CE1449,IF(R1449&gt;0,CN1449/R1449,0))/MAX(0.1,N(Parameter!$M$21))),"")</f>
        <v>247.636534839925</v>
      </c>
      <c r="CT1449" s="64" t="n">
        <f aca="false">IF(CS1449="","",J1449/H1449)</f>
        <v>5</v>
      </c>
      <c r="CU1449" s="62" t="n">
        <f aca="false">IF(CS1449="","",H1449*G1449)</f>
        <v>15648.06</v>
      </c>
      <c r="CV1449" s="63" t="n">
        <f aca="false">IF(CS1449="","",(CL1449+ROUNDUP(CL1449+MAX(CM1449,2*(J1449/MAX(0.1,N(Einkauf!$C$6))-CL1449)),0))/2)</f>
        <v>7.5</v>
      </c>
      <c r="CW1449" s="62" t="n">
        <f aca="false">IF(CS1449="","",MAX(0,H1449-CV1449)*G1449)</f>
        <v>0</v>
      </c>
      <c r="CX1449" s="62" t="n">
        <f aca="false">IF(CS1449="","",CS1449*MAX(0,1-CV1449/H1449))</f>
        <v>0</v>
      </c>
      <c r="CY1449" s="64" t="n">
        <f aca="false">IF(CS1449="","",PERCENTRANK($CS$7:$CS$1843,CS1449)+PERCENTRANK($CU$7:$CU$1843,CU1449)+1-PERCENTRANK($CT$7:$CT$1843,CT1449))</f>
        <v>2.001</v>
      </c>
      <c r="CZ1449" s="72" t="n">
        <f aca="false">IF(CS1449="","",CHOOSE(MATCH(Einkauf!$C$5,Parameter!$G$23:$G$27,0),CY1449,CS1449,CU1449,-CT1449,CW1449)+ROW()/1000000000)</f>
        <v>2.001001449</v>
      </c>
    </row>
    <row r="1450" customFormat="false" ht="15" hidden="false" customHeight="false" outlineLevel="0" collapsed="false">
      <c r="A1450" s="60" t="s">
        <v>2580</v>
      </c>
      <c r="B1450" s="60" t="s">
        <v>473</v>
      </c>
      <c r="C1450" s="60" t="s">
        <v>206</v>
      </c>
      <c r="D1450" s="60" t="s">
        <v>226</v>
      </c>
      <c r="E1450" s="60" t="s">
        <v>227</v>
      </c>
      <c r="F1450" s="60"/>
      <c r="G1450" s="61" t="n">
        <v>456.15</v>
      </c>
      <c r="H1450" s="62" t="n">
        <f aca="false">MAX(0,IF(AND(Parameter!$B$21="Ja",ISNUMBER(Y1450)),Y1450,IF(Parameter!$B$20="Jahresanfang 2025 + Export",BS1450+BR1450,BR1450)))</f>
        <v>0</v>
      </c>
      <c r="I1450" s="62" t="n">
        <f aca="false">H1450*G1450</f>
        <v>0</v>
      </c>
      <c r="J1450" s="62" t="n">
        <f aca="false">BU1450*Parameter!$B$18</f>
        <v>9</v>
      </c>
      <c r="K1450" s="63"/>
      <c r="L1450" s="64"/>
      <c r="M1450" s="62" t="n">
        <v>1</v>
      </c>
      <c r="N1450" s="62" t="n">
        <v>20</v>
      </c>
      <c r="O1450" s="65"/>
      <c r="P1450" s="60" t="s">
        <v>275</v>
      </c>
      <c r="Q1450" s="62" t="n">
        <v>24</v>
      </c>
      <c r="R1450" s="65" t="n">
        <f aca="false">IF(CA1450=1,0,IFERROR(VLOOKUP(BY1450,'Gebinde-Kategorie'!$A$5:$N$45,13,0)+0,0))</f>
        <v>26</v>
      </c>
      <c r="S1450" s="66"/>
      <c r="T1450" s="67"/>
      <c r="U1450" s="67"/>
      <c r="V1450" s="67"/>
      <c r="W1450" s="60"/>
      <c r="X1450" s="62"/>
      <c r="Y1450" s="62"/>
      <c r="Z1450" s="60" t="n">
        <v>3</v>
      </c>
      <c r="AA1450" s="60" t="n">
        <f aca="false">IF(A1450="","",IF(AND(Parameter!$B$21="Ja",ISNUMBER(W1450)),W1450,IF(AND(Parameter!$E$27="Ja",ISNUMBER(Z1450),CD1450&lt;&gt;"Nein"),Z1450,IF(CD1450="2+3",IF(ISNUMBER(SEARCH("grosser Artikel",BV1450)),2,IFERROR(VLOOKUP(BY1450,Parameter!$F$35:$G$64,2,0),2)),IF(OR(CD1450="Nein",CD1450=""),"-",CD1450)))))</f>
        <v>3</v>
      </c>
      <c r="AB1450" s="67"/>
      <c r="AC1450" s="68"/>
      <c r="AD1450" s="62" t="n">
        <f aca="false">AW1450</f>
        <v>21</v>
      </c>
      <c r="AE1450" s="62" t="n">
        <f aca="false">MAX(AW1450,H1450)</f>
        <v>21</v>
      </c>
      <c r="AF1450" s="69"/>
      <c r="AG1450" s="62" t="n">
        <f aca="false">IF(LEFT(Cockpit!$C$5,1)="A",H1450,IF(Parameter!$E$30="MAX-Bestand",IF(CI1450=1,CJ1450,IF(LEFT(Cockpit!$C$5,1)="B",AM1450,MAX(AM1450,H1450))),ROUNDUP(AK1450,0)))</f>
        <v>0</v>
      </c>
      <c r="AH1450" s="62" t="n">
        <f aca="false">IF(CA1450=1,0,ROUNDUP(AG1450/BZ1450,0))</f>
        <v>0</v>
      </c>
      <c r="AI1450" s="64" t="n">
        <f aca="false">IF(CR1450&gt;0,CR1450*MAX(1,AG1450/X1450),IF(CA1450=1,IF(AG1450&lt;=0,0,CE1450*MAX(1,IF(H1450&gt;0,AG1450/H1450,1))),IF(R1450&gt;0,AH1450/R1450,0))/MAX(0.1,N(Parameter!$M$21)))</f>
        <v>0</v>
      </c>
      <c r="AJ1450" s="62" t="n">
        <f aca="false">AI1450*CC1450</f>
        <v>0</v>
      </c>
      <c r="AK1450" s="63" t="n">
        <f aca="false">IF(LEFT(Cockpit!$C$5,1)="A",H1450,IF(CI1450=1,(CL1450+CJ1450)/2,IF(LEFT(Cockpit!$C$5,1)="B",(CL1450+AM1450)/2,MAX((CL1450+AM1450)/2,H1450))))</f>
        <v>0</v>
      </c>
      <c r="AL1450" s="62" t="n">
        <f aca="false">AK1450*G1450</f>
        <v>0</v>
      </c>
      <c r="AM1450" s="62" t="n">
        <f aca="false">ROUNDUP(CL1450+MAX(CM1450,2*(J1450/IF(CH1450&gt;0,CH1450,MAX(0.1,N(Cockpit!$C$6)))-CL1450)),0)</f>
        <v>21</v>
      </c>
      <c r="AN1450" s="63" t="n">
        <f aca="false">IF(AJ1450&gt;0,J1450/AJ1450,-1)</f>
        <v>-1</v>
      </c>
      <c r="AO1450" s="63" t="str">
        <f aca="false">IF(AND(OR(CG1450="L1",CG1450="L23",CG1450="LIFT"),AJ1450&gt;0),SUMIFS($AJ$7:$AJ$1843,$CG$7:$CG$1843,CG1450,$AN$7:$AN$1843,"&gt;"&amp;AN1450)+SUMIFS($AJ$7:$AJ$1843,$CG$7:$CG$1843,CG1450,$AN$7:$AN$1843,AN1450,$BX$7:$BX$1843,"&lt;="&amp;BX1450),"")</f>
        <v/>
      </c>
      <c r="AP1450" s="70" t="n">
        <f aca="false">IF(AO1450="",0,MAX(0,MIN(1,(IF(CG1450="L1",Parameter!$H$5,IF(CG1450="L23",Parameter!$H$6+Parameter!$H$7,Parameter!$H$5+Parameter!$H$6+Parameter!$H$7))-(AO1450-AJ1450))/AJ1450)))</f>
        <v>0</v>
      </c>
      <c r="AQ1450" s="62" t="n">
        <f aca="false">IF(LEFT(Cockpit!$I$5,1)="A",H1450,IF(Parameter!$E$30="MAX-Bestand",IF(CI1450=1,CJ1450,IF(LEFT(Cockpit!$I$5,1)="B",AW1450,MAX(AW1450,H1450))),ROUNDUP(AU1450,0)))</f>
        <v>11</v>
      </c>
      <c r="AR1450" s="62" t="n">
        <f aca="false">IF(CA1450=1,0,ROUNDUP(AQ1450/BZ1450,0))</f>
        <v>1</v>
      </c>
      <c r="AS1450" s="64" t="n">
        <f aca="false">IF(CR1450&gt;0,CR1450*MAX(1,AQ1450/X1450),IF(CA1450=1,IF(AQ1450&lt;=0,0,CE1450*MAX(1,IF(H1450&gt;0,AQ1450/H1450,1))),IF(R1450&gt;0,AR1450/R1450,0))/MAX(0.1,N(Parameter!$M$21)))</f>
        <v>0.0384615384615385</v>
      </c>
      <c r="AT1450" s="62" t="n">
        <f aca="false">AS1450*CC1450</f>
        <v>9.42307692307692</v>
      </c>
      <c r="AU1450" s="63" t="n">
        <f aca="false">IF(LEFT(Cockpit!$I$5,1)="A",H1450,IF(CI1450=1,(CL1450+CJ1450)/2,IF(LEFT(Cockpit!$I$5,1)="B",(CL1450+AW1450)/2,MAX((CL1450+AW1450)/2,H1450))))</f>
        <v>11</v>
      </c>
      <c r="AV1450" s="62" t="n">
        <f aca="false">AU1450*G1450</f>
        <v>5017.65</v>
      </c>
      <c r="AW1450" s="62" t="n">
        <f aca="false">ROUNDUP(CL1450+MAX(CM1450,2*(J1450/IF(CH1450&gt;0,CH1450,MAX(0.1,N(Cockpit!$I$6)))-CL1450)),0)</f>
        <v>21</v>
      </c>
      <c r="AX1450" s="63" t="n">
        <f aca="false">IF(AT1450&gt;0,J1450/AT1450,-1)</f>
        <v>0.955102040816327</v>
      </c>
      <c r="AY1450" s="63" t="n">
        <f aca="false">IF(AND(OR(CG1450="L1",CG1450="L23",CG1450="LIFT"),AT1450&gt;0),SUMIFS($AT$7:$AT$1843,$CG$7:$CG$1843,CG1450,$AX$7:$AX$1843,"&gt;"&amp;AX1450)+SUMIFS($AT$7:$AT$1843,$CG$7:$CG$1843,CG1450,$AX$7:$AX$1843,AX1450,$BX$7:$BX$1843,"&lt;="&amp;BX1450),"")</f>
        <v>8626.22893772894</v>
      </c>
      <c r="AZ1450" s="70" t="n">
        <f aca="false">IF(AY1450="",0,MAX(0,MIN(1,(IF(CG1450="L1",Parameter!$H$5,IF(CG1450="L23",Parameter!$H$6+Parameter!$H$7,Parameter!$H$5+Parameter!$H$6+Parameter!$H$7))-(AY1450-AT1450))/AT1450)))</f>
        <v>1</v>
      </c>
      <c r="BA1450" s="62" t="n">
        <f aca="false">IF(LEFT(Cockpit!$O$5,1)="A",H1450,IF(Parameter!$E$30="MAX-Bestand",IF(CI1450=1,CJ1450,IF(LEFT(Cockpit!$O$5,1)="B",BG1450,MAX(BG1450,H1450))),ROUNDUP(BE1450,0)))</f>
        <v>11</v>
      </c>
      <c r="BB1450" s="62" t="n">
        <f aca="false">IF(CA1450=1,0,ROUNDUP(BA1450/BZ1450,0))</f>
        <v>1</v>
      </c>
      <c r="BC1450" s="64" t="n">
        <f aca="false">IF(CR1450&gt;0,CR1450*MAX(1,BA1450/X1450),IF(CA1450=1,IF(BA1450&lt;=0,0,CE1450*MAX(1,IF(H1450&gt;0,BA1450/H1450,1))),IF(R1450&gt;0,BB1450/R1450,0))/MAX(0.1,N(Parameter!$M$21)))</f>
        <v>0.0384615384615385</v>
      </c>
      <c r="BD1450" s="62" t="n">
        <f aca="false">BC1450*CC1450</f>
        <v>9.42307692307692</v>
      </c>
      <c r="BE1450" s="63" t="n">
        <f aca="false">IF(LEFT(Cockpit!$O$5,1)="A",H1450,IF(CI1450=1,(CL1450+CJ1450)/2,IF(LEFT(Cockpit!$O$5,1)="B",(CL1450+BG1450)/2,MAX((CL1450+BG1450)/2,H1450))))</f>
        <v>11</v>
      </c>
      <c r="BF1450" s="62" t="n">
        <f aca="false">BE1450*G1450</f>
        <v>5017.65</v>
      </c>
      <c r="BG1450" s="62" t="n">
        <f aca="false">ROUNDUP(CL1450+MAX(CM1450,2*(J1450/IF(CH1450&gt;0,CH1450,MAX(0.1,N(Cockpit!$O$6)))-CL1450)),0)</f>
        <v>21</v>
      </c>
      <c r="BH1450" s="63" t="n">
        <f aca="false">IF(BD1450&gt;0,J1450/BD1450,-1)</f>
        <v>0.955102040816327</v>
      </c>
      <c r="BI1450" s="63" t="n">
        <f aca="false">IF(AND(OR(CG1450="L1",CG1450="L23",CG1450="LIFT"),BD1450&gt;0),SUMIFS($BD$7:$BD$1843,$CG$7:$CG$1843,CG1450,$BH$7:$BH$1843,"&gt;"&amp;BH1450)+SUMIFS($BD$7:$BD$1843,$CG$7:$CG$1843,CG1450,$BH$7:$BH$1843,BH1450,$BX$7:$BX$1843,"&lt;="&amp;BX1450),"")</f>
        <v>8002.16254578755</v>
      </c>
      <c r="BJ1450" s="70" t="n">
        <f aca="false">IF(BI1450="",0,MAX(0,MIN(1,(IF(CG1450="L1",Parameter!$H$5,IF(CG1450="L23",Parameter!$H$6+Parameter!$H$7,Parameter!$H$5+Parameter!$H$6+Parameter!$H$7))-(BI1450-BD1450))/BD1450)))</f>
        <v>1</v>
      </c>
      <c r="BK1450" s="60" t="str">
        <f aca="false">IF(AJ1450&lt;=0,"",IF(CG1450="Aussen","Aussenlager",IF(CG1450="-","Nicht im Lift",IF(AP1450&gt;=1,"Lift",IF(AP1450&lt;=0,"Aussenlager","teilweise")))))</f>
        <v/>
      </c>
      <c r="BL1450" s="60" t="str">
        <f aca="false">IF(AT1450&lt;=0,"",IF(CG1450="Aussen","Aussenlager",IF(CG1450="-","Nicht im Lift",IF(AZ1450&gt;=1,"Lift",IF(AZ1450&lt;=0,"Aussenlager","teilweise")))))</f>
        <v>Lift</v>
      </c>
      <c r="BM1450" s="60" t="str">
        <f aca="false">IF(BD1450&lt;=0,"",IF(CG1450="Aussen","Aussenlager",IF(CG1450="-","Nicht im Lift",IF(BJ1450&gt;=1,"Lift",IF(BJ1450&lt;=0,"Aussenlager","teilweise")))))</f>
        <v>Lift</v>
      </c>
      <c r="BN1450" s="60" t="str">
        <f aca="false">IF(A1450="","",IF(BW1450=1,"Neu; ","")&amp;IF(AND(BW1450=0,BR1450&lt;0),"negativer Bestand (Export "&amp;BR1450&amp;"); ","")&amp;IF(J1450&lt;=0,"Kein Verbrauch; ","")&amp;IF(CR1450&gt;0,"Lift "&amp;W1450&amp;" lt. Liftbericht (Fach "&amp;X1450&amp;" Stk); ",IF(CB1450=1,"Gebinde geschätzt ("&amp;T1450&amp;"); ",IF(CA1450=1,"Lose – Tablare geschätzt; ","")))&amp;IF(H1450&gt;AW1450,"Überbestand "&amp;ROUND(H1450-AW1450,0)&amp;" Stk / CHF "&amp;ROUND((H1450-AW1450)*G1450,0)&amp;"; ","")&amp;IF(AND(CI1450=1,CJ1450&lt;CK1450),"MAX &lt; MB+LG; ","")&amp;IF(AND(CQ1450&gt;0,CP1450*10&gt;CQ1450),"zu hoch für Tablar; ","")&amp;IF(AND(BW1450=0,OR(CI1450=1,AB1450&lt;&gt;"",U1450&lt;&gt;"",V1450&lt;&gt;"",AC1450&lt;&gt;"")),"manuell übersteuert; ","")&amp;IF(AND(CA1450=0,R1450=0),"Gebinde unbekannt / Stellmass fehlt; ","")&amp;IF(AND(CA1450=0,N(V1450)&lt;=0,N(Q1450)&lt;=0),"Menge pro Gebinde fehlt (Ist = 1 Gebinde); ","")&amp;BV1450)</f>
        <v>negativer Bestand (Export -33); twin</v>
      </c>
      <c r="BO1450" s="60"/>
      <c r="BP1450" s="60"/>
      <c r="BQ1450" s="67"/>
      <c r="BR1450" s="62" t="n">
        <v>-33</v>
      </c>
      <c r="BS1450" s="62" t="n">
        <v>0</v>
      </c>
      <c r="BT1450" s="61" t="n">
        <v>-12841.95</v>
      </c>
      <c r="BU1450" s="62" t="n">
        <v>9</v>
      </c>
      <c r="BV1450" s="60" t="s">
        <v>1783</v>
      </c>
      <c r="BW1450" s="65" t="n">
        <v>0</v>
      </c>
      <c r="BX1450" s="65" t="n">
        <v>1450</v>
      </c>
      <c r="BY1450" s="60" t="str">
        <f aca="false">IF(U1450&lt;&gt;"",UPPER(TRIM(U1450)),IF(CB1450=1,UPPER(VLOOKUP(T1450,Parameter!$I$27:$K$29,2,0)),IF(P1450="","LOSE",P1450)))</f>
        <v>S52</v>
      </c>
      <c r="BZ1450" s="62" t="n">
        <f aca="false">IF(BY1450="LOSE",1,IF(N(V1450)&gt;0,V1450,IF(CB1450=1,MAX(1,N(VLOOKUP(T1450,Parameter!$I$27:$K$29,3,0)),H1450,N(N1450)),IF(N(Q1450)&gt;0,Q1450,MAX(1,H1450)))))</f>
        <v>24</v>
      </c>
      <c r="CA1450" s="65" t="n">
        <f aca="false">IF(BY1450="LOSE",1,0)</f>
        <v>0</v>
      </c>
      <c r="CB1450" s="65" t="n">
        <f aca="false">IF(AND(U1450="",OR(P1450="",P1450="LOSE"),T1450&lt;&gt;"",N(S1450)&lt;=0,ISNUMBER(MATCH(T1450,Parameter!$I$27:$I$29,0))),1,0)</f>
        <v>0</v>
      </c>
      <c r="CC1450" s="65" t="n">
        <f aca="false">IF(CR1450&gt;0,INDEX(Parameter!$H$5:$H$7,W1450)/INDEX(Parameter!$E$5:$E$7,W1450),IF(AND(CA1450=0,N(IFERROR(VLOOKUP(BY1450,'Gebinde-Kategorie'!$A$5:$N$45,14,0),0))&gt;0),VLOOKUP(BY1450,'Gebinde-Kategorie'!$A$5:$N$45,14,0)*10+Parameter!$M$23,Parameter!$M$24))</f>
        <v>245</v>
      </c>
      <c r="CD1450" s="60" t="str">
        <f aca="false">IF(AND(Parameter!$B$19="Ja",E1450&lt;&gt;"",ISNUMBER(MATCH(E1450,Parameter!$I$35:$I$52,0))),VLOOKUP(E1450,Parameter!$I$35:$J$52,2,0),IFERROR(VLOOKUP(D1450,Parameter!$A$35:$C$64,2,0),"Nein"))</f>
        <v>2+3</v>
      </c>
      <c r="CE1450" s="64" t="n">
        <f aca="false">IF(CA1450=0,0,IF(N(S1450)&gt;0,S1450,IFERROR(VLOOKUP(D1450,Parameter!$A$35:$C$64,3,0)+0,0)))</f>
        <v>0</v>
      </c>
      <c r="CF1450" s="60" t="n">
        <f aca="false">IF(AB1450&lt;&gt;"",AB1450,AA1450)</f>
        <v>3</v>
      </c>
      <c r="CG1450" s="60" t="str">
        <f aca="false">IF(OR(CF1450=1,CF1450=2,CF1450=3),IF(Parameter!$E$27="Ja","LIFT",IF(CF1450=1,"L1","L23")),IF(CF1450="Aussen","Aussen","-"))</f>
        <v>LIFT</v>
      </c>
      <c r="CH1450" s="71" t="n">
        <f aca="false">IF(N(AC1450)&gt;0,AC1450,0)</f>
        <v>0</v>
      </c>
      <c r="CI1450" s="65" t="n">
        <f aca="false">IF(ISNUMBER(AF1450),1,0)</f>
        <v>0</v>
      </c>
      <c r="CJ1450" s="62" t="n">
        <f aca="false">N(AF1450)</f>
        <v>0</v>
      </c>
      <c r="CK1450" s="62" t="n">
        <f aca="false">N(M1450)+N(N1450)</f>
        <v>21</v>
      </c>
      <c r="CL1450" s="62" t="n">
        <f aca="false">N(M1450)</f>
        <v>1</v>
      </c>
      <c r="CM1450" s="62" t="n">
        <f aca="false">N(N1450)</f>
        <v>20</v>
      </c>
      <c r="CN1450" s="62" t="n">
        <f aca="false">ROUNDUP(H1450/BZ1450,0)</f>
        <v>0</v>
      </c>
      <c r="CO1450" s="62" t="n">
        <f aca="false">ROUNDUP(CJ1450/BZ1450,0)</f>
        <v>0</v>
      </c>
      <c r="CP1450" s="65" t="n">
        <f aca="false">IF(CA1450=1,0,IFERROR(VLOOKUP(BY1450,'Gebinde-Kategorie'!$A$5:$N$45,5,0)+0,0))</f>
        <v>21</v>
      </c>
      <c r="CQ1450" s="65" t="n">
        <f aca="false">IFERROR(IF(OR(CF1450=1,CF1450=2,CF1450=3),N(INDEX(Parameter!$I$5:$I$7,CF1450)),0),0)</f>
        <v>0</v>
      </c>
      <c r="CR1450" s="64" t="n">
        <f aca="false">IF(AND(Parameter!$B$21="Ja",ISNUMBER(W1450),N(X1450)&gt;0),IFERROR(N(INDEX(Parameter!$L$5:$L$7,W1450))*INDEX(Parameter!$E$5:$E$7,W1450)*X1450/SUMIFS($X$7:$X$1843,$W$7:$W$1843,W1450),0),0)</f>
        <v>0</v>
      </c>
      <c r="CS1450" s="62" t="str">
        <f aca="false">IF(AND(OR(CG1450="L1",CG1450="L23",CG1450="LIFT"),H1450&gt;0),CC1450*IF(CR1450&gt;0,CR1450*MAX(1,H1450/X1450),IF(CA1450=1,CE1450,IF(R1450&gt;0,CN1450/R1450,0))/MAX(0.1,N(Parameter!$M$21))),"")</f>
        <v/>
      </c>
      <c r="CT1450" s="64" t="str">
        <f aca="false">IF(CS1450="","",J1450/H1450)</f>
        <v/>
      </c>
      <c r="CU1450" s="62" t="str">
        <f aca="false">IF(CS1450="","",H1450*G1450)</f>
        <v/>
      </c>
      <c r="CV1450" s="63" t="str">
        <f aca="false">IF(CS1450="","",(CL1450+ROUNDUP(CL1450+MAX(CM1450,2*(J1450/MAX(0.1,N(Einkauf!$C$6))-CL1450)),0))/2)</f>
        <v/>
      </c>
      <c r="CW1450" s="62" t="str">
        <f aca="false">IF(CS1450="","",MAX(0,H1450-CV1450)*G1450)</f>
        <v/>
      </c>
      <c r="CX1450" s="62" t="str">
        <f aca="false">IF(CS1450="","",CS1450*MAX(0,1-CV1450/H1450))</f>
        <v/>
      </c>
      <c r="CY1450" s="64" t="str">
        <f aca="false">IF(CS1450="","",PERCENTRANK($CS$7:$CS$1843,CS1450)+PERCENTRANK($CU$7:$CU$1843,CU1450)+1-PERCENTRANK($CT$7:$CT$1843,CT1450))</f>
        <v/>
      </c>
      <c r="CZ1450" s="72" t="str">
        <f aca="false">IF(CS1450="","",CHOOSE(MATCH(Einkauf!$C$5,Parameter!$G$23:$G$27,0),CY1450,CS1450,CU1450,-CT1450,CW1450)+ROW()/1000000000)</f>
        <v/>
      </c>
    </row>
    <row r="1451" customFormat="false" ht="15" hidden="false" customHeight="false" outlineLevel="0" collapsed="false">
      <c r="A1451" s="60" t="s">
        <v>2581</v>
      </c>
      <c r="B1451" s="60" t="s">
        <v>2582</v>
      </c>
      <c r="C1451" s="60" t="s">
        <v>206</v>
      </c>
      <c r="D1451" s="60" t="s">
        <v>215</v>
      </c>
      <c r="E1451" s="60" t="s">
        <v>227</v>
      </c>
      <c r="F1451" s="60"/>
      <c r="G1451" s="61" t="n">
        <v>216.49</v>
      </c>
      <c r="H1451" s="62" t="n">
        <f aca="false">MAX(0,IF(AND(Parameter!$B$21="Ja",ISNUMBER(Y1451)),Y1451,IF(Parameter!$B$20="Jahresanfang 2025 + Export",BS1451+BR1451,BR1451)))</f>
        <v>0</v>
      </c>
      <c r="I1451" s="62" t="n">
        <f aca="false">H1451*G1451</f>
        <v>0</v>
      </c>
      <c r="J1451" s="62" t="n">
        <f aca="false">BU1451*Parameter!$B$18</f>
        <v>849</v>
      </c>
      <c r="K1451" s="63"/>
      <c r="L1451" s="64"/>
      <c r="M1451" s="62" t="n">
        <v>49</v>
      </c>
      <c r="N1451" s="62" t="n">
        <v>90</v>
      </c>
      <c r="O1451" s="65"/>
      <c r="P1451" s="60" t="s">
        <v>216</v>
      </c>
      <c r="Q1451" s="62" t="n">
        <v>30</v>
      </c>
      <c r="R1451" s="65" t="n">
        <f aca="false">IF(CA1451=1,0,IFERROR(VLOOKUP(BY1451,'Gebinde-Kategorie'!$A$5:$N$45,13,0)+0,0))</f>
        <v>6</v>
      </c>
      <c r="S1451" s="66"/>
      <c r="T1451" s="67"/>
      <c r="U1451" s="67"/>
      <c r="V1451" s="67"/>
      <c r="W1451" s="60"/>
      <c r="X1451" s="62"/>
      <c r="Y1451" s="62"/>
      <c r="Z1451" s="60" t="n">
        <v>2</v>
      </c>
      <c r="AA1451" s="60" t="n">
        <f aca="false">IF(A1451="","",IF(AND(Parameter!$B$21="Ja",ISNUMBER(W1451)),W1451,IF(AND(Parameter!$E$27="Ja",ISNUMBER(Z1451),CD1451&lt;&gt;"Nein"),Z1451,IF(CD1451="2+3",IF(ISNUMBER(SEARCH("grosser Artikel",BV1451)),2,IFERROR(VLOOKUP(BY1451,Parameter!$F$35:$G$64,2,0),2)),IF(OR(CD1451="Nein",CD1451=""),"-",CD1451)))))</f>
        <v>2</v>
      </c>
      <c r="AB1451" s="67"/>
      <c r="AC1451" s="68"/>
      <c r="AD1451" s="62" t="n">
        <f aca="false">AW1451</f>
        <v>517</v>
      </c>
      <c r="AE1451" s="62" t="n">
        <f aca="false">MAX(AW1451,H1451)</f>
        <v>517</v>
      </c>
      <c r="AF1451" s="69"/>
      <c r="AG1451" s="62" t="n">
        <f aca="false">IF(LEFT(Cockpit!$C$5,1)="A",H1451,IF(Parameter!$E$30="MAX-Bestand",IF(CI1451=1,CJ1451,IF(LEFT(Cockpit!$C$5,1)="B",AM1451,MAX(AM1451,H1451))),ROUNDUP(AK1451,0)))</f>
        <v>0</v>
      </c>
      <c r="AH1451" s="62" t="n">
        <f aca="false">IF(CA1451=1,0,ROUNDUP(AG1451/BZ1451,0))</f>
        <v>0</v>
      </c>
      <c r="AI1451" s="64" t="n">
        <f aca="false">IF(CR1451&gt;0,CR1451*MAX(1,AG1451/X1451),IF(CA1451=1,IF(AG1451&lt;=0,0,CE1451*MAX(1,IF(H1451&gt;0,AG1451/H1451,1))),IF(R1451&gt;0,AH1451/R1451,0))/MAX(0.1,N(Parameter!$M$21)))</f>
        <v>0</v>
      </c>
      <c r="AJ1451" s="62" t="n">
        <f aca="false">AI1451*CC1451</f>
        <v>0</v>
      </c>
      <c r="AK1451" s="63" t="n">
        <f aca="false">IF(LEFT(Cockpit!$C$5,1)="A",H1451,IF(CI1451=1,(CL1451+CJ1451)/2,IF(LEFT(Cockpit!$C$5,1)="B",(CL1451+AM1451)/2,MAX((CL1451+AM1451)/2,H1451))))</f>
        <v>0</v>
      </c>
      <c r="AL1451" s="62" t="n">
        <f aca="false">AK1451*G1451</f>
        <v>0</v>
      </c>
      <c r="AM1451" s="62" t="n">
        <f aca="false">ROUNDUP(CL1451+MAX(CM1451,2*(J1451/IF(CH1451&gt;0,CH1451,MAX(0.1,N(Cockpit!$C$6)))-CL1451)),0)</f>
        <v>517</v>
      </c>
      <c r="AN1451" s="63" t="n">
        <f aca="false">IF(AJ1451&gt;0,J1451/AJ1451,-1)</f>
        <v>-1</v>
      </c>
      <c r="AO1451" s="63" t="str">
        <f aca="false">IF(AND(OR(CG1451="L1",CG1451="L23",CG1451="LIFT"),AJ1451&gt;0),SUMIFS($AJ$7:$AJ$1843,$CG$7:$CG$1843,CG1451,$AN$7:$AN$1843,"&gt;"&amp;AN1451)+SUMIFS($AJ$7:$AJ$1843,$CG$7:$CG$1843,CG1451,$AN$7:$AN$1843,AN1451,$BX$7:$BX$1843,"&lt;="&amp;BX1451),"")</f>
        <v/>
      </c>
      <c r="AP1451" s="70" t="n">
        <f aca="false">IF(AO1451="",0,MAX(0,MIN(1,(IF(CG1451="L1",Parameter!$H$5,IF(CG1451="L23",Parameter!$H$6+Parameter!$H$7,Parameter!$H$5+Parameter!$H$6+Parameter!$H$7))-(AO1451-AJ1451))/AJ1451)))</f>
        <v>0</v>
      </c>
      <c r="AQ1451" s="62" t="n">
        <f aca="false">IF(LEFT(Cockpit!$I$5,1)="A",H1451,IF(Parameter!$E$30="MAX-Bestand",IF(CI1451=1,CJ1451,IF(LEFT(Cockpit!$I$5,1)="B",AW1451,MAX(AW1451,H1451))),ROUNDUP(AU1451,0)))</f>
        <v>283</v>
      </c>
      <c r="AR1451" s="62" t="n">
        <f aca="false">IF(CA1451=1,0,ROUNDUP(AQ1451/BZ1451,0))</f>
        <v>10</v>
      </c>
      <c r="AS1451" s="64" t="n">
        <f aca="false">IF(CR1451&gt;0,CR1451*MAX(1,AQ1451/X1451),IF(CA1451=1,IF(AQ1451&lt;=0,0,CE1451*MAX(1,IF(H1451&gt;0,AQ1451/H1451,1))),IF(R1451&gt;0,AR1451/R1451,0))/MAX(0.1,N(Parameter!$M$21)))</f>
        <v>1.66666666666667</v>
      </c>
      <c r="AT1451" s="62" t="n">
        <f aca="false">AS1451*CC1451</f>
        <v>391.666666666667</v>
      </c>
      <c r="AU1451" s="63" t="n">
        <f aca="false">IF(LEFT(Cockpit!$I$5,1)="A",H1451,IF(CI1451=1,(CL1451+CJ1451)/2,IF(LEFT(Cockpit!$I$5,1)="B",(CL1451+AW1451)/2,MAX((CL1451+AW1451)/2,H1451))))</f>
        <v>283</v>
      </c>
      <c r="AV1451" s="62" t="n">
        <f aca="false">AU1451*G1451</f>
        <v>61266.67</v>
      </c>
      <c r="AW1451" s="62" t="n">
        <f aca="false">ROUNDUP(CL1451+MAX(CM1451,2*(J1451/IF(CH1451&gt;0,CH1451,MAX(0.1,N(Cockpit!$I$6)))-CL1451)),0)</f>
        <v>517</v>
      </c>
      <c r="AX1451" s="63" t="n">
        <f aca="false">IF(AT1451&gt;0,J1451/AT1451,-1)</f>
        <v>2.16765957446809</v>
      </c>
      <c r="AY1451" s="63" t="n">
        <f aca="false">IF(AND(OR(CG1451="L1",CG1451="L23",CG1451="LIFT"),AT1451&gt;0),SUMIFS($AT$7:$AT$1843,$CG$7:$CG$1843,CG1451,$AX$7:$AX$1843,"&gt;"&amp;AX1451)+SUMIFS($AT$7:$AT$1843,$CG$7:$CG$1843,CG1451,$AX$7:$AX$1843,AX1451,$BX$7:$BX$1843,"&lt;="&amp;BX1451),"")</f>
        <v>7030.79258241758</v>
      </c>
      <c r="AZ1451" s="70" t="n">
        <f aca="false">IF(AY1451="",0,MAX(0,MIN(1,(IF(CG1451="L1",Parameter!$H$5,IF(CG1451="L23",Parameter!$H$6+Parameter!$H$7,Parameter!$H$5+Parameter!$H$6+Parameter!$H$7))-(AY1451-AT1451))/AT1451)))</f>
        <v>1</v>
      </c>
      <c r="BA1451" s="62" t="n">
        <f aca="false">IF(LEFT(Cockpit!$O$5,1)="A",H1451,IF(Parameter!$E$30="MAX-Bestand",IF(CI1451=1,CJ1451,IF(LEFT(Cockpit!$O$5,1)="B",BG1451,MAX(BG1451,H1451))),ROUNDUP(BE1451,0)))</f>
        <v>213</v>
      </c>
      <c r="BB1451" s="62" t="n">
        <f aca="false">IF(CA1451=1,0,ROUNDUP(BA1451/BZ1451,0))</f>
        <v>8</v>
      </c>
      <c r="BC1451" s="64" t="n">
        <f aca="false">IF(CR1451&gt;0,CR1451*MAX(1,BA1451/X1451),IF(CA1451=1,IF(BA1451&lt;=0,0,CE1451*MAX(1,IF(H1451&gt;0,BA1451/H1451,1))),IF(R1451&gt;0,BB1451/R1451,0))/MAX(0.1,N(Parameter!$M$21)))</f>
        <v>1.33333333333333</v>
      </c>
      <c r="BD1451" s="62" t="n">
        <f aca="false">BC1451*CC1451</f>
        <v>313.333333333333</v>
      </c>
      <c r="BE1451" s="63" t="n">
        <f aca="false">IF(LEFT(Cockpit!$O$5,1)="A",H1451,IF(CI1451=1,(CL1451+CJ1451)/2,IF(LEFT(Cockpit!$O$5,1)="B",(CL1451+BG1451)/2,MAX((CL1451+BG1451)/2,H1451))))</f>
        <v>212.5</v>
      </c>
      <c r="BF1451" s="62" t="n">
        <f aca="false">BE1451*G1451</f>
        <v>46004.125</v>
      </c>
      <c r="BG1451" s="62" t="n">
        <f aca="false">ROUNDUP(CL1451+MAX(CM1451,2*(J1451/IF(CH1451&gt;0,CH1451,MAX(0.1,N(Cockpit!$O$6)))-CL1451)),0)</f>
        <v>376</v>
      </c>
      <c r="BH1451" s="63" t="n">
        <f aca="false">IF(BD1451&gt;0,J1451/BD1451,-1)</f>
        <v>2.70957446808511</v>
      </c>
      <c r="BI1451" s="63" t="n">
        <f aca="false">IF(AND(OR(CG1451="L1",CG1451="L23",CG1451="LIFT"),BD1451&gt;0),SUMIFS($BD$7:$BD$1843,$CG$7:$CG$1843,CG1451,$BH$7:$BH$1843,"&gt;"&amp;BH1451)+SUMIFS($BD$7:$BD$1843,$CG$7:$CG$1843,CG1451,$BH$7:$BH$1843,BH1451,$BX$7:$BX$1843,"&lt;="&amp;BX1451),"")</f>
        <v>5330.02884615385</v>
      </c>
      <c r="BJ1451" s="70" t="n">
        <f aca="false">IF(BI1451="",0,MAX(0,MIN(1,(IF(CG1451="L1",Parameter!$H$5,IF(CG1451="L23",Parameter!$H$6+Parameter!$H$7,Parameter!$H$5+Parameter!$H$6+Parameter!$H$7))-(BI1451-BD1451))/BD1451)))</f>
        <v>1</v>
      </c>
      <c r="BK1451" s="60" t="str">
        <f aca="false">IF(AJ1451&lt;=0,"",IF(CG1451="Aussen","Aussenlager",IF(CG1451="-","Nicht im Lift",IF(AP1451&gt;=1,"Lift",IF(AP1451&lt;=0,"Aussenlager","teilweise")))))</f>
        <v/>
      </c>
      <c r="BL1451" s="60" t="str">
        <f aca="false">IF(AT1451&lt;=0,"",IF(CG1451="Aussen","Aussenlager",IF(CG1451="-","Nicht im Lift",IF(AZ1451&gt;=1,"Lift",IF(AZ1451&lt;=0,"Aussenlager","teilweise")))))</f>
        <v>Lift</v>
      </c>
      <c r="BM1451" s="60" t="str">
        <f aca="false">IF(BD1451&lt;=0,"",IF(CG1451="Aussen","Aussenlager",IF(CG1451="-","Nicht im Lift",IF(BJ1451&gt;=1,"Lift",IF(BJ1451&lt;=0,"Aussenlager","teilweise")))))</f>
        <v>Lift</v>
      </c>
      <c r="BN1451" s="60" t="str">
        <f aca="false">IF(A1451="","",IF(BW1451=1,"Neu; ","")&amp;IF(AND(BW1451=0,BR1451&lt;0),"negativer Bestand (Export "&amp;BR1451&amp;"); ","")&amp;IF(J1451&lt;=0,"Kein Verbrauch; ","")&amp;IF(CR1451&gt;0,"Lift "&amp;W1451&amp;" lt. Liftbericht (Fach "&amp;X1451&amp;" Stk); ",IF(CB1451=1,"Gebinde geschätzt ("&amp;T1451&amp;"); ",IF(CA1451=1,"Lose – Tablare geschätzt; ","")))&amp;IF(H1451&gt;AW1451,"Überbestand "&amp;ROUND(H1451-AW1451,0)&amp;" Stk / CHF "&amp;ROUND((H1451-AW1451)*G1451,0)&amp;"; ","")&amp;IF(AND(CI1451=1,CJ1451&lt;CK1451),"MAX &lt; MB+LG; ","")&amp;IF(AND(CQ1451&gt;0,CP1451*10&gt;CQ1451),"zu hoch für Tablar; ","")&amp;IF(AND(BW1451=0,OR(CI1451=1,AB1451&lt;&gt;"",U1451&lt;&gt;"",V1451&lt;&gt;"",AC1451&lt;&gt;"")),"manuell übersteuert; ","")&amp;IF(AND(CA1451=0,R1451=0),"Gebinde unbekannt / Stellmass fehlt; ","")&amp;IF(AND(CA1451=0,N(V1451)&lt;=0,N(Q1451)&lt;=0),"Menge pro Gebinde fehlt (Ist = 1 Gebinde); ","")&amp;BV1451)</f>
        <v>negativer Bestand (Export -57); grosser Artikel &amp; nicht im KTL</v>
      </c>
      <c r="BO1451" s="60"/>
      <c r="BP1451" s="60"/>
      <c r="BQ1451" s="67"/>
      <c r="BR1451" s="62" t="n">
        <v>-57</v>
      </c>
      <c r="BS1451" s="62" t="n">
        <v>0</v>
      </c>
      <c r="BT1451" s="61" t="n">
        <v>-12923.04</v>
      </c>
      <c r="BU1451" s="62" t="n">
        <v>849</v>
      </c>
      <c r="BV1451" s="60" t="s">
        <v>303</v>
      </c>
      <c r="BW1451" s="65" t="n">
        <v>0</v>
      </c>
      <c r="BX1451" s="65" t="n">
        <v>1451</v>
      </c>
      <c r="BY1451" s="60" t="str">
        <f aca="false">IF(U1451&lt;&gt;"",UPPER(TRIM(U1451)),IF(CB1451=1,UPPER(VLOOKUP(T1451,Parameter!$I$27:$K$29,2,0)),IF(P1451="","LOSE",P1451)))</f>
        <v>S71</v>
      </c>
      <c r="BZ1451" s="62" t="n">
        <f aca="false">IF(BY1451="LOSE",1,IF(N(V1451)&gt;0,V1451,IF(CB1451=1,MAX(1,N(VLOOKUP(T1451,Parameter!$I$27:$K$29,3,0)),H1451,N(N1451)),IF(N(Q1451)&gt;0,Q1451,MAX(1,H1451)))))</f>
        <v>30</v>
      </c>
      <c r="CA1451" s="65" t="n">
        <f aca="false">IF(BY1451="LOSE",1,0)</f>
        <v>0</v>
      </c>
      <c r="CB1451" s="65" t="n">
        <f aca="false">IF(AND(U1451="",OR(P1451="",P1451="LOSE"),T1451&lt;&gt;"",N(S1451)&lt;=0,ISNUMBER(MATCH(T1451,Parameter!$I$27:$I$29,0))),1,0)</f>
        <v>0</v>
      </c>
      <c r="CC1451" s="65" t="n">
        <f aca="false">IF(CR1451&gt;0,INDEX(Parameter!$H$5:$H$7,W1451)/INDEX(Parameter!$E$5:$E$7,W1451),IF(AND(CA1451=0,N(IFERROR(VLOOKUP(BY1451,'Gebinde-Kategorie'!$A$5:$N$45,14,0),0))&gt;0),VLOOKUP(BY1451,'Gebinde-Kategorie'!$A$5:$N$45,14,0)*10+Parameter!$M$23,Parameter!$M$24))</f>
        <v>235</v>
      </c>
      <c r="CD1451" s="60" t="str">
        <f aca="false">IF(AND(Parameter!$B$19="Ja",E1451&lt;&gt;"",ISNUMBER(MATCH(E1451,Parameter!$I$35:$I$52,0))),VLOOKUP(E1451,Parameter!$I$35:$J$52,2,0),IFERROR(VLOOKUP(D1451,Parameter!$A$35:$C$64,2,0),"Nein"))</f>
        <v>2+3</v>
      </c>
      <c r="CE1451" s="64" t="n">
        <f aca="false">IF(CA1451=0,0,IF(N(S1451)&gt;0,S1451,IFERROR(VLOOKUP(D1451,Parameter!$A$35:$C$64,3,0)+0,0)))</f>
        <v>0</v>
      </c>
      <c r="CF1451" s="60" t="n">
        <f aca="false">IF(AB1451&lt;&gt;"",AB1451,AA1451)</f>
        <v>2</v>
      </c>
      <c r="CG1451" s="60" t="str">
        <f aca="false">IF(OR(CF1451=1,CF1451=2,CF1451=3),IF(Parameter!$E$27="Ja","LIFT",IF(CF1451=1,"L1","L23")),IF(CF1451="Aussen","Aussen","-"))</f>
        <v>LIFT</v>
      </c>
      <c r="CH1451" s="71" t="n">
        <f aca="false">IF(N(AC1451)&gt;0,AC1451,0)</f>
        <v>0</v>
      </c>
      <c r="CI1451" s="65" t="n">
        <f aca="false">IF(ISNUMBER(AF1451),1,0)</f>
        <v>0</v>
      </c>
      <c r="CJ1451" s="62" t="n">
        <f aca="false">N(AF1451)</f>
        <v>0</v>
      </c>
      <c r="CK1451" s="62" t="n">
        <f aca="false">N(M1451)+N(N1451)</f>
        <v>139</v>
      </c>
      <c r="CL1451" s="62" t="n">
        <f aca="false">N(M1451)</f>
        <v>49</v>
      </c>
      <c r="CM1451" s="62" t="n">
        <f aca="false">N(N1451)</f>
        <v>90</v>
      </c>
      <c r="CN1451" s="62" t="n">
        <f aca="false">ROUNDUP(H1451/BZ1451,0)</f>
        <v>0</v>
      </c>
      <c r="CO1451" s="62" t="n">
        <f aca="false">ROUNDUP(CJ1451/BZ1451,0)</f>
        <v>0</v>
      </c>
      <c r="CP1451" s="65" t="n">
        <f aca="false">IF(CA1451=1,0,IFERROR(VLOOKUP(BY1451,'Gebinde-Kategorie'!$A$5:$N$45,5,0)+0,0))</f>
        <v>20</v>
      </c>
      <c r="CQ1451" s="65" t="n">
        <f aca="false">IFERROR(IF(OR(CF1451=1,CF1451=2,CF1451=3),N(INDEX(Parameter!$I$5:$I$7,CF1451)),0),0)</f>
        <v>0</v>
      </c>
      <c r="CR1451" s="64" t="n">
        <f aca="false">IF(AND(Parameter!$B$21="Ja",ISNUMBER(W1451),N(X1451)&gt;0),IFERROR(N(INDEX(Parameter!$L$5:$L$7,W1451))*INDEX(Parameter!$E$5:$E$7,W1451)*X1451/SUMIFS($X$7:$X$1843,$W$7:$W$1843,W1451),0),0)</f>
        <v>0</v>
      </c>
      <c r="CS1451" s="62" t="str">
        <f aca="false">IF(AND(OR(CG1451="L1",CG1451="L23",CG1451="LIFT"),H1451&gt;0),CC1451*IF(CR1451&gt;0,CR1451*MAX(1,H1451/X1451),IF(CA1451=1,CE1451,IF(R1451&gt;0,CN1451/R1451,0))/MAX(0.1,N(Parameter!$M$21))),"")</f>
        <v/>
      </c>
      <c r="CT1451" s="64" t="str">
        <f aca="false">IF(CS1451="","",J1451/H1451)</f>
        <v/>
      </c>
      <c r="CU1451" s="62" t="str">
        <f aca="false">IF(CS1451="","",H1451*G1451)</f>
        <v/>
      </c>
      <c r="CV1451" s="63" t="str">
        <f aca="false">IF(CS1451="","",(CL1451+ROUNDUP(CL1451+MAX(CM1451,2*(J1451/MAX(0.1,N(Einkauf!$C$6))-CL1451)),0))/2)</f>
        <v/>
      </c>
      <c r="CW1451" s="62" t="str">
        <f aca="false">IF(CS1451="","",MAX(0,H1451-CV1451)*G1451)</f>
        <v/>
      </c>
      <c r="CX1451" s="62" t="str">
        <f aca="false">IF(CS1451="","",CS1451*MAX(0,1-CV1451/H1451))</f>
        <v/>
      </c>
      <c r="CY1451" s="64" t="str">
        <f aca="false">IF(CS1451="","",PERCENTRANK($CS$7:$CS$1843,CS1451)+PERCENTRANK($CU$7:$CU$1843,CU1451)+1-PERCENTRANK($CT$7:$CT$1843,CT1451))</f>
        <v/>
      </c>
      <c r="CZ1451" s="72" t="str">
        <f aca="false">IF(CS1451="","",CHOOSE(MATCH(Einkauf!$C$5,Parameter!$G$23:$G$27,0),CY1451,CS1451,CU1451,-CT1451,CW1451)+ROW()/1000000000)</f>
        <v/>
      </c>
    </row>
    <row r="1452" customFormat="false" ht="15" hidden="false" customHeight="false" outlineLevel="0" collapsed="false">
      <c r="A1452" s="60" t="s">
        <v>2583</v>
      </c>
      <c r="B1452" s="60" t="s">
        <v>381</v>
      </c>
      <c r="C1452" s="60" t="s">
        <v>206</v>
      </c>
      <c r="D1452" s="60" t="s">
        <v>215</v>
      </c>
      <c r="E1452" s="60" t="s">
        <v>208</v>
      </c>
      <c r="F1452" s="60"/>
      <c r="G1452" s="61" t="n">
        <v>457</v>
      </c>
      <c r="H1452" s="62" t="n">
        <f aca="false">MAX(0,IF(AND(Parameter!$B$21="Ja",ISNUMBER(Y1452)),Y1452,IF(Parameter!$B$20="Jahresanfang 2025 + Export",BS1452+BR1452,BR1452)))</f>
        <v>0</v>
      </c>
      <c r="I1452" s="62" t="n">
        <f aca="false">H1452*G1452</f>
        <v>0</v>
      </c>
      <c r="J1452" s="62" t="n">
        <f aca="false">BU1452*Parameter!$B$18</f>
        <v>0</v>
      </c>
      <c r="K1452" s="63"/>
      <c r="L1452" s="64"/>
      <c r="M1452" s="62" t="n">
        <v>0</v>
      </c>
      <c r="N1452" s="62" t="n">
        <v>1</v>
      </c>
      <c r="O1452" s="65"/>
      <c r="P1452" s="60" t="s">
        <v>216</v>
      </c>
      <c r="Q1452" s="62" t="n">
        <v>4</v>
      </c>
      <c r="R1452" s="65" t="n">
        <f aca="false">IF(CA1452=1,0,IFERROR(VLOOKUP(BY1452,'Gebinde-Kategorie'!$A$5:$N$45,13,0)+0,0))</f>
        <v>6</v>
      </c>
      <c r="S1452" s="66"/>
      <c r="T1452" s="67"/>
      <c r="U1452" s="67"/>
      <c r="V1452" s="67"/>
      <c r="W1452" s="60"/>
      <c r="X1452" s="62"/>
      <c r="Y1452" s="62"/>
      <c r="Z1452" s="60" t="n">
        <v>2</v>
      </c>
      <c r="AA1452" s="60" t="n">
        <f aca="false">IF(A1452="","",IF(AND(Parameter!$B$21="Ja",ISNUMBER(W1452)),W1452,IF(AND(Parameter!$E$27="Ja",ISNUMBER(Z1452),CD1452&lt;&gt;"Nein"),Z1452,IF(CD1452="2+3",IF(ISNUMBER(SEARCH("grosser Artikel",BV1452)),2,IFERROR(VLOOKUP(BY1452,Parameter!$F$35:$G$64,2,0),2)),IF(OR(CD1452="Nein",CD1452=""),"-",CD1452)))))</f>
        <v>2</v>
      </c>
      <c r="AB1452" s="67"/>
      <c r="AC1452" s="68"/>
      <c r="AD1452" s="62" t="n">
        <f aca="false">AW1452</f>
        <v>1</v>
      </c>
      <c r="AE1452" s="62" t="n">
        <f aca="false">MAX(AW1452,H1452)</f>
        <v>1</v>
      </c>
      <c r="AF1452" s="69"/>
      <c r="AG1452" s="62" t="n">
        <f aca="false">IF(LEFT(Cockpit!$C$5,1)="A",H1452,IF(Parameter!$E$30="MAX-Bestand",IF(CI1452=1,CJ1452,IF(LEFT(Cockpit!$C$5,1)="B",AM1452,MAX(AM1452,H1452))),ROUNDUP(AK1452,0)))</f>
        <v>0</v>
      </c>
      <c r="AH1452" s="62" t="n">
        <f aca="false">IF(CA1452=1,0,ROUNDUP(AG1452/BZ1452,0))</f>
        <v>0</v>
      </c>
      <c r="AI1452" s="64" t="n">
        <f aca="false">IF(CR1452&gt;0,CR1452*MAX(1,AG1452/X1452),IF(CA1452=1,IF(AG1452&lt;=0,0,CE1452*MAX(1,IF(H1452&gt;0,AG1452/H1452,1))),IF(R1452&gt;0,AH1452/R1452,0))/MAX(0.1,N(Parameter!$M$21)))</f>
        <v>0</v>
      </c>
      <c r="AJ1452" s="62" t="n">
        <f aca="false">AI1452*CC1452</f>
        <v>0</v>
      </c>
      <c r="AK1452" s="63" t="n">
        <f aca="false">IF(LEFT(Cockpit!$C$5,1)="A",H1452,IF(CI1452=1,(CL1452+CJ1452)/2,IF(LEFT(Cockpit!$C$5,1)="B",(CL1452+AM1452)/2,MAX((CL1452+AM1452)/2,H1452))))</f>
        <v>0</v>
      </c>
      <c r="AL1452" s="62" t="n">
        <f aca="false">AK1452*G1452</f>
        <v>0</v>
      </c>
      <c r="AM1452" s="62" t="n">
        <f aca="false">ROUNDUP(CL1452+MAX(CM1452,2*(J1452/IF(CH1452&gt;0,CH1452,MAX(0.1,N(Cockpit!$C$6)))-CL1452)),0)</f>
        <v>1</v>
      </c>
      <c r="AN1452" s="63" t="n">
        <f aca="false">IF(AJ1452&gt;0,J1452/AJ1452,-1)</f>
        <v>-1</v>
      </c>
      <c r="AO1452" s="63" t="str">
        <f aca="false">IF(AND(OR(CG1452="L1",CG1452="L23",CG1452="LIFT"),AJ1452&gt;0),SUMIFS($AJ$7:$AJ$1843,$CG$7:$CG$1843,CG1452,$AN$7:$AN$1843,"&gt;"&amp;AN1452)+SUMIFS($AJ$7:$AJ$1843,$CG$7:$CG$1843,CG1452,$AN$7:$AN$1843,AN1452,$BX$7:$BX$1843,"&lt;="&amp;BX1452),"")</f>
        <v/>
      </c>
      <c r="AP1452" s="70" t="n">
        <f aca="false">IF(AO1452="",0,MAX(0,MIN(1,(IF(CG1452="L1",Parameter!$H$5,IF(CG1452="L23",Parameter!$H$6+Parameter!$H$7,Parameter!$H$5+Parameter!$H$6+Parameter!$H$7))-(AO1452-AJ1452))/AJ1452)))</f>
        <v>0</v>
      </c>
      <c r="AQ1452" s="62" t="n">
        <f aca="false">IF(LEFT(Cockpit!$I$5,1)="A",H1452,IF(Parameter!$E$30="MAX-Bestand",IF(CI1452=1,CJ1452,IF(LEFT(Cockpit!$I$5,1)="B",AW1452,MAX(AW1452,H1452))),ROUNDUP(AU1452,0)))</f>
        <v>1</v>
      </c>
      <c r="AR1452" s="62" t="n">
        <f aca="false">IF(CA1452=1,0,ROUNDUP(AQ1452/BZ1452,0))</f>
        <v>1</v>
      </c>
      <c r="AS1452" s="64" t="n">
        <f aca="false">IF(CR1452&gt;0,CR1452*MAX(1,AQ1452/X1452),IF(CA1452=1,IF(AQ1452&lt;=0,0,CE1452*MAX(1,IF(H1452&gt;0,AQ1452/H1452,1))),IF(R1452&gt;0,AR1452/R1452,0))/MAX(0.1,N(Parameter!$M$21)))</f>
        <v>0.166666666666667</v>
      </c>
      <c r="AT1452" s="62" t="n">
        <f aca="false">AS1452*CC1452</f>
        <v>39.1666666666667</v>
      </c>
      <c r="AU1452" s="63" t="n">
        <f aca="false">IF(LEFT(Cockpit!$I$5,1)="A",H1452,IF(CI1452=1,(CL1452+CJ1452)/2,IF(LEFT(Cockpit!$I$5,1)="B",(CL1452+AW1452)/2,MAX((CL1452+AW1452)/2,H1452))))</f>
        <v>0.5</v>
      </c>
      <c r="AV1452" s="62" t="n">
        <f aca="false">AU1452*G1452</f>
        <v>228.5</v>
      </c>
      <c r="AW1452" s="62" t="n">
        <f aca="false">ROUNDUP(CL1452+MAX(CM1452,2*(J1452/IF(CH1452&gt;0,CH1452,MAX(0.1,N(Cockpit!$I$6)))-CL1452)),0)</f>
        <v>1</v>
      </c>
      <c r="AX1452" s="63" t="n">
        <f aca="false">IF(AT1452&gt;0,J1452/AT1452,-1)</f>
        <v>0</v>
      </c>
      <c r="AY1452" s="63" t="n">
        <f aca="false">IF(AND(OR(CG1452="L1",CG1452="L23",CG1452="LIFT"),AT1452&gt;0),SUMIFS($AT$7:$AT$1843,$CG$7:$CG$1843,CG1452,$AX$7:$AX$1843,"&gt;"&amp;AX1452)+SUMIFS($AT$7:$AT$1843,$CG$7:$CG$1843,CG1452,$AX$7:$AX$1843,AX1452,$BX$7:$BX$1843,"&lt;="&amp;BX1452),"")</f>
        <v>35987.6736796631</v>
      </c>
      <c r="AZ1452" s="70" t="n">
        <f aca="false">IF(AY1452="",0,MAX(0,MIN(1,(IF(CG1452="L1",Parameter!$H$5,IF(CG1452="L23",Parameter!$H$6+Parameter!$H$7,Parameter!$H$5+Parameter!$H$6+Parameter!$H$7))-(AY1452-AT1452))/AT1452)))</f>
        <v>0</v>
      </c>
      <c r="BA1452" s="62" t="n">
        <f aca="false">IF(LEFT(Cockpit!$O$5,1)="A",H1452,IF(Parameter!$E$30="MAX-Bestand",IF(CI1452=1,CJ1452,IF(LEFT(Cockpit!$O$5,1)="B",BG1452,MAX(BG1452,H1452))),ROUNDUP(BE1452,0)))</f>
        <v>1</v>
      </c>
      <c r="BB1452" s="62" t="n">
        <f aca="false">IF(CA1452=1,0,ROUNDUP(BA1452/BZ1452,0))</f>
        <v>1</v>
      </c>
      <c r="BC1452" s="64" t="n">
        <f aca="false">IF(CR1452&gt;0,CR1452*MAX(1,BA1452/X1452),IF(CA1452=1,IF(BA1452&lt;=0,0,CE1452*MAX(1,IF(H1452&gt;0,BA1452/H1452,1))),IF(R1452&gt;0,BB1452/R1452,0))/MAX(0.1,N(Parameter!$M$21)))</f>
        <v>0.166666666666667</v>
      </c>
      <c r="BD1452" s="62" t="n">
        <f aca="false">BC1452*CC1452</f>
        <v>39.1666666666667</v>
      </c>
      <c r="BE1452" s="63" t="n">
        <f aca="false">IF(LEFT(Cockpit!$O$5,1)="A",H1452,IF(CI1452=1,(CL1452+CJ1452)/2,IF(LEFT(Cockpit!$O$5,1)="B",(CL1452+BG1452)/2,MAX((CL1452+BG1452)/2,H1452))))</f>
        <v>0.5</v>
      </c>
      <c r="BF1452" s="62" t="n">
        <f aca="false">BE1452*G1452</f>
        <v>228.5</v>
      </c>
      <c r="BG1452" s="62" t="n">
        <f aca="false">ROUNDUP(CL1452+MAX(CM1452,2*(J1452/IF(CH1452&gt;0,CH1452,MAX(0.1,N(Cockpit!$O$6)))-CL1452)),0)</f>
        <v>1</v>
      </c>
      <c r="BH1452" s="63" t="n">
        <f aca="false">IF(BD1452&gt;0,J1452/BD1452,-1)</f>
        <v>0</v>
      </c>
      <c r="BI1452" s="63" t="n">
        <f aca="false">IF(AND(OR(CG1452="L1",CG1452="L23",CG1452="LIFT"),BD1452&gt;0),SUMIFS($BD$7:$BD$1843,$CG$7:$CG$1843,CG1452,$BH$7:$BH$1843,"&gt;"&amp;BH1452)+SUMIFS($BD$7:$BD$1843,$CG$7:$CG$1843,CG1452,$BH$7:$BH$1843,BH1452,$BX$7:$BX$1843,"&lt;="&amp;BX1452),"")</f>
        <v>29972.9803398109</v>
      </c>
      <c r="BJ1452" s="70" t="n">
        <f aca="false">IF(BI1452="",0,MAX(0,MIN(1,(IF(CG1452="L1",Parameter!$H$5,IF(CG1452="L23",Parameter!$H$6+Parameter!$H$7,Parameter!$H$5+Parameter!$H$6+Parameter!$H$7))-(BI1452-BD1452))/BD1452)))</f>
        <v>1</v>
      </c>
      <c r="BK1452" s="60" t="str">
        <f aca="false">IF(AJ1452&lt;=0,"",IF(CG1452="Aussen","Aussenlager",IF(CG1452="-","Nicht im Lift",IF(AP1452&gt;=1,"Lift",IF(AP1452&lt;=0,"Aussenlager","teilweise")))))</f>
        <v/>
      </c>
      <c r="BL1452" s="60" t="str">
        <f aca="false">IF(AT1452&lt;=0,"",IF(CG1452="Aussen","Aussenlager",IF(CG1452="-","Nicht im Lift",IF(AZ1452&gt;=1,"Lift",IF(AZ1452&lt;=0,"Aussenlager","teilweise")))))</f>
        <v>Aussenlager</v>
      </c>
      <c r="BM1452" s="60" t="str">
        <f aca="false">IF(BD1452&lt;=0,"",IF(CG1452="Aussen","Aussenlager",IF(CG1452="-","Nicht im Lift",IF(BJ1452&gt;=1,"Lift",IF(BJ1452&lt;=0,"Aussenlager","teilweise")))))</f>
        <v>Lift</v>
      </c>
      <c r="BN1452" s="60" t="str">
        <f aca="false">IF(A1452="","",IF(BW1452=1,"Neu; ","")&amp;IF(AND(BW1452=0,BR1452&lt;0),"negativer Bestand (Export "&amp;BR1452&amp;"); ","")&amp;IF(J1452&lt;=0,"Kein Verbrauch; ","")&amp;IF(CR1452&gt;0,"Lift "&amp;W1452&amp;" lt. Liftbericht (Fach "&amp;X1452&amp;" Stk); ",IF(CB1452=1,"Gebinde geschätzt ("&amp;T1452&amp;"); ",IF(CA1452=1,"Lose – Tablare geschätzt; ","")))&amp;IF(H1452&gt;AW1452,"Überbestand "&amp;ROUND(H1452-AW1452,0)&amp;" Stk / CHF "&amp;ROUND((H1452-AW1452)*G1452,0)&amp;"; ","")&amp;IF(AND(CI1452=1,CJ1452&lt;CK1452),"MAX &lt; MB+LG; ","")&amp;IF(AND(CQ1452&gt;0,CP1452*10&gt;CQ1452),"zu hoch für Tablar; ","")&amp;IF(AND(BW1452=0,OR(CI1452=1,AB1452&lt;&gt;"",U1452&lt;&gt;"",V1452&lt;&gt;"",AC1452&lt;&gt;"")),"manuell übersteuert; ","")&amp;IF(AND(CA1452=0,R1452=0),"Gebinde unbekannt / Stellmass fehlt; ","")&amp;IF(AND(CA1452=0,N(V1452)&lt;=0,N(Q1452)&lt;=0),"Menge pro Gebinde fehlt (Ist = 1 Gebinde); ","")&amp;BV1452)</f>
        <v>negativer Bestand (Export -29); Kein Verbrauch; </v>
      </c>
      <c r="BO1452" s="60"/>
      <c r="BP1452" s="60"/>
      <c r="BQ1452" s="67"/>
      <c r="BR1452" s="62" t="n">
        <v>-29</v>
      </c>
      <c r="BS1452" s="62" t="n">
        <v>0</v>
      </c>
      <c r="BT1452" s="61" t="n">
        <v>-13253</v>
      </c>
      <c r="BU1452" s="62" t="n">
        <v>0</v>
      </c>
      <c r="BV1452" s="60"/>
      <c r="BW1452" s="65" t="n">
        <v>0</v>
      </c>
      <c r="BX1452" s="65" t="n">
        <v>1452</v>
      </c>
      <c r="BY1452" s="60" t="str">
        <f aca="false">IF(U1452&lt;&gt;"",UPPER(TRIM(U1452)),IF(CB1452=1,UPPER(VLOOKUP(T1452,Parameter!$I$27:$K$29,2,0)),IF(P1452="","LOSE",P1452)))</f>
        <v>S71</v>
      </c>
      <c r="BZ1452" s="62" t="n">
        <f aca="false">IF(BY1452="LOSE",1,IF(N(V1452)&gt;0,V1452,IF(CB1452=1,MAX(1,N(VLOOKUP(T1452,Parameter!$I$27:$K$29,3,0)),H1452,N(N1452)),IF(N(Q1452)&gt;0,Q1452,MAX(1,H1452)))))</f>
        <v>4</v>
      </c>
      <c r="CA1452" s="65" t="n">
        <f aca="false">IF(BY1452="LOSE",1,0)</f>
        <v>0</v>
      </c>
      <c r="CB1452" s="65" t="n">
        <f aca="false">IF(AND(U1452="",OR(P1452="",P1452="LOSE"),T1452&lt;&gt;"",N(S1452)&lt;=0,ISNUMBER(MATCH(T1452,Parameter!$I$27:$I$29,0))),1,0)</f>
        <v>0</v>
      </c>
      <c r="CC1452" s="65" t="n">
        <f aca="false">IF(CR1452&gt;0,INDEX(Parameter!$H$5:$H$7,W1452)/INDEX(Parameter!$E$5:$E$7,W1452),IF(AND(CA1452=0,N(IFERROR(VLOOKUP(BY1452,'Gebinde-Kategorie'!$A$5:$N$45,14,0),0))&gt;0),VLOOKUP(BY1452,'Gebinde-Kategorie'!$A$5:$N$45,14,0)*10+Parameter!$M$23,Parameter!$M$24))</f>
        <v>235</v>
      </c>
      <c r="CD1452" s="60" t="n">
        <f aca="false">IF(AND(Parameter!$B$19="Ja",E1452&lt;&gt;"",ISNUMBER(MATCH(E1452,Parameter!$I$35:$I$52,0))),VLOOKUP(E1452,Parameter!$I$35:$J$52,2,0),IFERROR(VLOOKUP(D1452,Parameter!$A$35:$C$64,2,0),"Nein"))</f>
        <v>1</v>
      </c>
      <c r="CE1452" s="64" t="n">
        <f aca="false">IF(CA1452=0,0,IF(N(S1452)&gt;0,S1452,IFERROR(VLOOKUP(D1452,Parameter!$A$35:$C$64,3,0)+0,0)))</f>
        <v>0</v>
      </c>
      <c r="CF1452" s="60" t="n">
        <f aca="false">IF(AB1452&lt;&gt;"",AB1452,AA1452)</f>
        <v>2</v>
      </c>
      <c r="CG1452" s="60" t="str">
        <f aca="false">IF(OR(CF1452=1,CF1452=2,CF1452=3),IF(Parameter!$E$27="Ja","LIFT",IF(CF1452=1,"L1","L23")),IF(CF1452="Aussen","Aussen","-"))</f>
        <v>LIFT</v>
      </c>
      <c r="CH1452" s="71" t="n">
        <f aca="false">IF(N(AC1452)&gt;0,AC1452,0)</f>
        <v>0</v>
      </c>
      <c r="CI1452" s="65" t="n">
        <f aca="false">IF(ISNUMBER(AF1452),1,0)</f>
        <v>0</v>
      </c>
      <c r="CJ1452" s="62" t="n">
        <f aca="false">N(AF1452)</f>
        <v>0</v>
      </c>
      <c r="CK1452" s="62" t="n">
        <f aca="false">N(M1452)+N(N1452)</f>
        <v>1</v>
      </c>
      <c r="CL1452" s="62" t="n">
        <f aca="false">N(M1452)</f>
        <v>0</v>
      </c>
      <c r="CM1452" s="62" t="n">
        <f aca="false">N(N1452)</f>
        <v>1</v>
      </c>
      <c r="CN1452" s="62" t="n">
        <f aca="false">ROUNDUP(H1452/BZ1452,0)</f>
        <v>0</v>
      </c>
      <c r="CO1452" s="62" t="n">
        <f aca="false">ROUNDUP(CJ1452/BZ1452,0)</f>
        <v>0</v>
      </c>
      <c r="CP1452" s="65" t="n">
        <f aca="false">IF(CA1452=1,0,IFERROR(VLOOKUP(BY1452,'Gebinde-Kategorie'!$A$5:$N$45,5,0)+0,0))</f>
        <v>20</v>
      </c>
      <c r="CQ1452" s="65" t="n">
        <f aca="false">IFERROR(IF(OR(CF1452=1,CF1452=2,CF1452=3),N(INDEX(Parameter!$I$5:$I$7,CF1452)),0),0)</f>
        <v>0</v>
      </c>
      <c r="CR1452" s="64" t="n">
        <f aca="false">IF(AND(Parameter!$B$21="Ja",ISNUMBER(W1452),N(X1452)&gt;0),IFERROR(N(INDEX(Parameter!$L$5:$L$7,W1452))*INDEX(Parameter!$E$5:$E$7,W1452)*X1452/SUMIFS($X$7:$X$1843,$W$7:$W$1843,W1452),0),0)</f>
        <v>0</v>
      </c>
      <c r="CS1452" s="62" t="str">
        <f aca="false">IF(AND(OR(CG1452="L1",CG1452="L23",CG1452="LIFT"),H1452&gt;0),CC1452*IF(CR1452&gt;0,CR1452*MAX(1,H1452/X1452),IF(CA1452=1,CE1452,IF(R1452&gt;0,CN1452/R1452,0))/MAX(0.1,N(Parameter!$M$21))),"")</f>
        <v/>
      </c>
      <c r="CT1452" s="64" t="str">
        <f aca="false">IF(CS1452="","",J1452/H1452)</f>
        <v/>
      </c>
      <c r="CU1452" s="62" t="str">
        <f aca="false">IF(CS1452="","",H1452*G1452)</f>
        <v/>
      </c>
      <c r="CV1452" s="63" t="str">
        <f aca="false">IF(CS1452="","",(CL1452+ROUNDUP(CL1452+MAX(CM1452,2*(J1452/MAX(0.1,N(Einkauf!$C$6))-CL1452)),0))/2)</f>
        <v/>
      </c>
      <c r="CW1452" s="62" t="str">
        <f aca="false">IF(CS1452="","",MAX(0,H1452-CV1452)*G1452)</f>
        <v/>
      </c>
      <c r="CX1452" s="62" t="str">
        <f aca="false">IF(CS1452="","",CS1452*MAX(0,1-CV1452/H1452))</f>
        <v/>
      </c>
      <c r="CY1452" s="64" t="str">
        <f aca="false">IF(CS1452="","",PERCENTRANK($CS$7:$CS$1843,CS1452)+PERCENTRANK($CU$7:$CU$1843,CU1452)+1-PERCENTRANK($CT$7:$CT$1843,CT1452))</f>
        <v/>
      </c>
      <c r="CZ1452" s="72" t="str">
        <f aca="false">IF(CS1452="","",CHOOSE(MATCH(Einkauf!$C$5,Parameter!$G$23:$G$27,0),CY1452,CS1452,CU1452,-CT1452,CW1452)+ROW()/1000000000)</f>
        <v/>
      </c>
    </row>
    <row r="1453" customFormat="false" ht="15" hidden="false" customHeight="false" outlineLevel="0" collapsed="false">
      <c r="A1453" s="60" t="s">
        <v>2584</v>
      </c>
      <c r="B1453" s="60" t="s">
        <v>2214</v>
      </c>
      <c r="C1453" s="60" t="s">
        <v>206</v>
      </c>
      <c r="D1453" s="60" t="s">
        <v>226</v>
      </c>
      <c r="E1453" s="60"/>
      <c r="F1453" s="60"/>
      <c r="G1453" s="61" t="n">
        <v>1521.29</v>
      </c>
      <c r="H1453" s="62" t="n">
        <f aca="false">MAX(0,IF(AND(Parameter!$B$21="Ja",ISNUMBER(Y1453)),Y1453,IF(Parameter!$B$20="Jahresanfang 2025 + Export",BS1453+BR1453,BR1453)))</f>
        <v>0</v>
      </c>
      <c r="I1453" s="62" t="n">
        <f aca="false">H1453*G1453</f>
        <v>0</v>
      </c>
      <c r="J1453" s="62" t="n">
        <f aca="false">BU1453*Parameter!$B$18</f>
        <v>0</v>
      </c>
      <c r="K1453" s="63"/>
      <c r="L1453" s="64"/>
      <c r="M1453" s="62" t="n">
        <v>0</v>
      </c>
      <c r="N1453" s="62" t="n">
        <v>1</v>
      </c>
      <c r="O1453" s="65"/>
      <c r="P1453" s="60" t="s">
        <v>210</v>
      </c>
      <c r="Q1453" s="62"/>
      <c r="R1453" s="65" t="n">
        <f aca="false">IF(CA1453=1,0,IFERROR(VLOOKUP(BY1453,'Gebinde-Kategorie'!$A$5:$N$45,13,0)+0,0))</f>
        <v>12</v>
      </c>
      <c r="S1453" s="66"/>
      <c r="T1453" s="67" t="s">
        <v>221</v>
      </c>
      <c r="U1453" s="67"/>
      <c r="V1453" s="67"/>
      <c r="W1453" s="60"/>
      <c r="X1453" s="62"/>
      <c r="Y1453" s="62"/>
      <c r="Z1453" s="60" t="n">
        <v>3</v>
      </c>
      <c r="AA1453" s="60" t="n">
        <f aca="false">IF(A1453="","",IF(AND(Parameter!$B$21="Ja",ISNUMBER(W1453)),W1453,IF(AND(Parameter!$E$27="Ja",ISNUMBER(Z1453),CD1453&lt;&gt;"Nein"),Z1453,IF(CD1453="2+3",IF(ISNUMBER(SEARCH("grosser Artikel",BV1453)),2,IFERROR(VLOOKUP(BY1453,Parameter!$F$35:$G$64,2,0),2)),IF(OR(CD1453="Nein",CD1453=""),"-",CD1453)))))</f>
        <v>3</v>
      </c>
      <c r="AB1453" s="67"/>
      <c r="AC1453" s="68"/>
      <c r="AD1453" s="62" t="n">
        <f aca="false">AW1453</f>
        <v>1</v>
      </c>
      <c r="AE1453" s="62" t="n">
        <f aca="false">MAX(AW1453,H1453)</f>
        <v>1</v>
      </c>
      <c r="AF1453" s="69"/>
      <c r="AG1453" s="62" t="n">
        <f aca="false">IF(LEFT(Cockpit!$C$5,1)="A",H1453,IF(Parameter!$E$30="MAX-Bestand",IF(CI1453=1,CJ1453,IF(LEFT(Cockpit!$C$5,1)="B",AM1453,MAX(AM1453,H1453))),ROUNDUP(AK1453,0)))</f>
        <v>0</v>
      </c>
      <c r="AH1453" s="62" t="n">
        <f aca="false">IF(CA1453=1,0,ROUNDUP(AG1453/BZ1453,0))</f>
        <v>0</v>
      </c>
      <c r="AI1453" s="64" t="n">
        <f aca="false">IF(CR1453&gt;0,CR1453*MAX(1,AG1453/X1453),IF(CA1453=1,IF(AG1453&lt;=0,0,CE1453*MAX(1,IF(H1453&gt;0,AG1453/H1453,1))),IF(R1453&gt;0,AH1453/R1453,0))/MAX(0.1,N(Parameter!$M$21)))</f>
        <v>0</v>
      </c>
      <c r="AJ1453" s="62" t="n">
        <f aca="false">AI1453*CC1453</f>
        <v>0</v>
      </c>
      <c r="AK1453" s="63" t="n">
        <f aca="false">IF(LEFT(Cockpit!$C$5,1)="A",H1453,IF(CI1453=1,(CL1453+CJ1453)/2,IF(LEFT(Cockpit!$C$5,1)="B",(CL1453+AM1453)/2,MAX((CL1453+AM1453)/2,H1453))))</f>
        <v>0</v>
      </c>
      <c r="AL1453" s="62" t="n">
        <f aca="false">AK1453*G1453</f>
        <v>0</v>
      </c>
      <c r="AM1453" s="62" t="n">
        <f aca="false">ROUNDUP(CL1453+MAX(CM1453,2*(J1453/IF(CH1453&gt;0,CH1453,MAX(0.1,N(Cockpit!$C$6)))-CL1453)),0)</f>
        <v>1</v>
      </c>
      <c r="AN1453" s="63" t="n">
        <f aca="false">IF(AJ1453&gt;0,J1453/AJ1453,-1)</f>
        <v>-1</v>
      </c>
      <c r="AO1453" s="63" t="str">
        <f aca="false">IF(AND(OR(CG1453="L1",CG1453="L23",CG1453="LIFT"),AJ1453&gt;0),SUMIFS($AJ$7:$AJ$1843,$CG$7:$CG$1843,CG1453,$AN$7:$AN$1843,"&gt;"&amp;AN1453)+SUMIFS($AJ$7:$AJ$1843,$CG$7:$CG$1843,CG1453,$AN$7:$AN$1843,AN1453,$BX$7:$BX$1843,"&lt;="&amp;BX1453),"")</f>
        <v/>
      </c>
      <c r="AP1453" s="70" t="n">
        <f aca="false">IF(AO1453="",0,MAX(0,MIN(1,(IF(CG1453="L1",Parameter!$H$5,IF(CG1453="L23",Parameter!$H$6+Parameter!$H$7,Parameter!$H$5+Parameter!$H$6+Parameter!$H$7))-(AO1453-AJ1453))/AJ1453)))</f>
        <v>0</v>
      </c>
      <c r="AQ1453" s="62" t="n">
        <f aca="false">IF(LEFT(Cockpit!$I$5,1)="A",H1453,IF(Parameter!$E$30="MAX-Bestand",IF(CI1453=1,CJ1453,IF(LEFT(Cockpit!$I$5,1)="B",AW1453,MAX(AW1453,H1453))),ROUNDUP(AU1453,0)))</f>
        <v>1</v>
      </c>
      <c r="AR1453" s="62" t="n">
        <f aca="false">IF(CA1453=1,0,ROUNDUP(AQ1453/BZ1453,0))</f>
        <v>1</v>
      </c>
      <c r="AS1453" s="64" t="n">
        <f aca="false">IF(CR1453&gt;0,CR1453*MAX(1,AQ1453/X1453),IF(CA1453=1,IF(AQ1453&lt;=0,0,CE1453*MAX(1,IF(H1453&gt;0,AQ1453/H1453,1))),IF(R1453&gt;0,AR1453/R1453,0))/MAX(0.1,N(Parameter!$M$21)))</f>
        <v>0.0833333333333333</v>
      </c>
      <c r="AT1453" s="62" t="n">
        <f aca="false">AS1453*CC1453</f>
        <v>12.0833333333333</v>
      </c>
      <c r="AU1453" s="63" t="n">
        <f aca="false">IF(LEFT(Cockpit!$I$5,1)="A",H1453,IF(CI1453=1,(CL1453+CJ1453)/2,IF(LEFT(Cockpit!$I$5,1)="B",(CL1453+AW1453)/2,MAX((CL1453+AW1453)/2,H1453))))</f>
        <v>0.5</v>
      </c>
      <c r="AV1453" s="62" t="n">
        <f aca="false">AU1453*G1453</f>
        <v>760.645</v>
      </c>
      <c r="AW1453" s="62" t="n">
        <f aca="false">ROUNDUP(CL1453+MAX(CM1453,2*(J1453/IF(CH1453&gt;0,CH1453,MAX(0.1,N(Cockpit!$I$6)))-CL1453)),0)</f>
        <v>1</v>
      </c>
      <c r="AX1453" s="63" t="n">
        <f aca="false">IF(AT1453&gt;0,J1453/AT1453,-1)</f>
        <v>0</v>
      </c>
      <c r="AY1453" s="63" t="n">
        <f aca="false">IF(AND(OR(CG1453="L1",CG1453="L23",CG1453="LIFT"),AT1453&gt;0),SUMIFS($AT$7:$AT$1843,$CG$7:$CG$1843,CG1453,$AX$7:$AX$1843,"&gt;"&amp;AX1453)+SUMIFS($AT$7:$AT$1843,$CG$7:$CG$1843,CG1453,$AX$7:$AX$1843,AX1453,$BX$7:$BX$1843,"&lt;="&amp;BX1453),"")</f>
        <v>35999.7570129964</v>
      </c>
      <c r="AZ1453" s="70" t="n">
        <f aca="false">IF(AY1453="",0,MAX(0,MIN(1,(IF(CG1453="L1",Parameter!$H$5,IF(CG1453="L23",Parameter!$H$6+Parameter!$H$7,Parameter!$H$5+Parameter!$H$6+Parameter!$H$7))-(AY1453-AT1453))/AT1453)))</f>
        <v>0</v>
      </c>
      <c r="BA1453" s="62" t="n">
        <f aca="false">IF(LEFT(Cockpit!$O$5,1)="A",H1453,IF(Parameter!$E$30="MAX-Bestand",IF(CI1453=1,CJ1453,IF(LEFT(Cockpit!$O$5,1)="B",BG1453,MAX(BG1453,H1453))),ROUNDUP(BE1453,0)))</f>
        <v>1</v>
      </c>
      <c r="BB1453" s="62" t="n">
        <f aca="false">IF(CA1453=1,0,ROUNDUP(BA1453/BZ1453,0))</f>
        <v>1</v>
      </c>
      <c r="BC1453" s="64" t="n">
        <f aca="false">IF(CR1453&gt;0,CR1453*MAX(1,BA1453/X1453),IF(CA1453=1,IF(BA1453&lt;=0,0,CE1453*MAX(1,IF(H1453&gt;0,BA1453/H1453,1))),IF(R1453&gt;0,BB1453/R1453,0))/MAX(0.1,N(Parameter!$M$21)))</f>
        <v>0.0833333333333333</v>
      </c>
      <c r="BD1453" s="62" t="n">
        <f aca="false">BC1453*CC1453</f>
        <v>12.0833333333333</v>
      </c>
      <c r="BE1453" s="63" t="n">
        <f aca="false">IF(LEFT(Cockpit!$O$5,1)="A",H1453,IF(CI1453=1,(CL1453+CJ1453)/2,IF(LEFT(Cockpit!$O$5,1)="B",(CL1453+BG1453)/2,MAX((CL1453+BG1453)/2,H1453))))</f>
        <v>0.5</v>
      </c>
      <c r="BF1453" s="62" t="n">
        <f aca="false">BE1453*G1453</f>
        <v>760.645</v>
      </c>
      <c r="BG1453" s="62" t="n">
        <f aca="false">ROUNDUP(CL1453+MAX(CM1453,2*(J1453/IF(CH1453&gt;0,CH1453,MAX(0.1,N(Cockpit!$O$6)))-CL1453)),0)</f>
        <v>1</v>
      </c>
      <c r="BH1453" s="63" t="n">
        <f aca="false">IF(BD1453&gt;0,J1453/BD1453,-1)</f>
        <v>0</v>
      </c>
      <c r="BI1453" s="63" t="n">
        <f aca="false">IF(AND(OR(CG1453="L1",CG1453="L23",CG1453="LIFT"),BD1453&gt;0),SUMIFS($BD$7:$BD$1843,$CG$7:$CG$1843,CG1453,$BH$7:$BH$1843,"&gt;"&amp;BH1453)+SUMIFS($BD$7:$BD$1843,$CG$7:$CG$1843,CG1453,$BH$7:$BH$1843,BH1453,$BX$7:$BX$1843,"&lt;="&amp;BX1453),"")</f>
        <v>29985.0636731442</v>
      </c>
      <c r="BJ1453" s="70" t="n">
        <f aca="false">IF(BI1453="",0,MAX(0,MIN(1,(IF(CG1453="L1",Parameter!$H$5,IF(CG1453="L23",Parameter!$H$6+Parameter!$H$7,Parameter!$H$5+Parameter!$H$6+Parameter!$H$7))-(BI1453-BD1453))/BD1453)))</f>
        <v>1</v>
      </c>
      <c r="BK1453" s="60" t="str">
        <f aca="false">IF(AJ1453&lt;=0,"",IF(CG1453="Aussen","Aussenlager",IF(CG1453="-","Nicht im Lift",IF(AP1453&gt;=1,"Lift",IF(AP1453&lt;=0,"Aussenlager","teilweise")))))</f>
        <v/>
      </c>
      <c r="BL1453" s="60" t="str">
        <f aca="false">IF(AT1453&lt;=0,"",IF(CG1453="Aussen","Aussenlager",IF(CG1453="-","Nicht im Lift",IF(AZ1453&gt;=1,"Lift",IF(AZ1453&lt;=0,"Aussenlager","teilweise")))))</f>
        <v>Aussenlager</v>
      </c>
      <c r="BM1453" s="60" t="str">
        <f aca="false">IF(BD1453&lt;=0,"",IF(CG1453="Aussen","Aussenlager",IF(CG1453="-","Nicht im Lift",IF(BJ1453&gt;=1,"Lift",IF(BJ1453&lt;=0,"Aussenlager","teilweise")))))</f>
        <v>Lift</v>
      </c>
      <c r="BN1453" s="60" t="str">
        <f aca="false">IF(A1453="","",IF(BW1453=1,"Neu; ","")&amp;IF(AND(BW1453=0,BR1453&lt;0),"negativer Bestand (Export "&amp;BR1453&amp;"); ","")&amp;IF(J1453&lt;=0,"Kein Verbrauch; ","")&amp;IF(CR1453&gt;0,"Lift "&amp;W1453&amp;" lt. Liftbericht (Fach "&amp;X1453&amp;" Stk); ",IF(CB1453=1,"Gebinde geschätzt ("&amp;T1453&amp;"); ",IF(CA1453=1,"Lose – Tablare geschätzt; ","")))&amp;IF(H1453&gt;AW1453,"Überbestand "&amp;ROUND(H1453-AW1453,0)&amp;" Stk / CHF "&amp;ROUND((H1453-AW1453)*G1453,0)&amp;"; ","")&amp;IF(AND(CI1453=1,CJ1453&lt;CK1453),"MAX &lt; MB+LG; ","")&amp;IF(AND(CQ1453&gt;0,CP1453*10&gt;CQ1453),"zu hoch für Tablar; ","")&amp;IF(AND(BW1453=0,OR(CI1453=1,AB1453&lt;&gt;"",U1453&lt;&gt;"",V1453&lt;&gt;"",AC1453&lt;&gt;"")),"manuell übersteuert; ","")&amp;IF(AND(CA1453=0,R1453=0),"Gebinde unbekannt / Stellmass fehlt; ","")&amp;IF(AND(CA1453=0,N(V1453)&lt;=0,N(Q1453)&lt;=0),"Menge pro Gebinde fehlt (Ist = 1 Gebinde); ","")&amp;BV1453)</f>
        <v>negativer Bestand (Export -9); Kein Verbrauch; Gebinde geschätzt (Mittel); Menge pro Gebinde fehlt (Ist = 1 Gebinde); </v>
      </c>
      <c r="BO1453" s="60"/>
      <c r="BP1453" s="60"/>
      <c r="BQ1453" s="67"/>
      <c r="BR1453" s="62" t="n">
        <v>-9</v>
      </c>
      <c r="BS1453" s="62" t="n">
        <v>0</v>
      </c>
      <c r="BT1453" s="61" t="n">
        <v>-13691.61</v>
      </c>
      <c r="BU1453" s="62" t="n">
        <v>0</v>
      </c>
      <c r="BV1453" s="60"/>
      <c r="BW1453" s="65" t="n">
        <v>0</v>
      </c>
      <c r="BX1453" s="65" t="n">
        <v>1453</v>
      </c>
      <c r="BY1453" s="60" t="str">
        <f aca="false">IF(U1453&lt;&gt;"",UPPER(TRIM(U1453)),IF(CB1453=1,UPPER(VLOOKUP(T1453,Parameter!$I$27:$K$29,2,0)),IF(P1453="","LOSE",P1453)))</f>
        <v>S61</v>
      </c>
      <c r="BZ1453" s="62" t="n">
        <f aca="false">IF(BY1453="LOSE",1,IF(N(V1453)&gt;0,V1453,IF(CB1453=1,MAX(1,N(VLOOKUP(T1453,Parameter!$I$27:$K$29,3,0)),H1453,N(N1453)),IF(N(Q1453)&gt;0,Q1453,MAX(1,H1453)))))</f>
        <v>4</v>
      </c>
      <c r="CA1453" s="65" t="n">
        <f aca="false">IF(BY1453="LOSE",1,0)</f>
        <v>0</v>
      </c>
      <c r="CB1453" s="65" t="n">
        <f aca="false">IF(AND(U1453="",OR(P1453="",P1453="LOSE"),T1453&lt;&gt;"",N(S1453)&lt;=0,ISNUMBER(MATCH(T1453,Parameter!$I$27:$I$29,0))),1,0)</f>
        <v>1</v>
      </c>
      <c r="CC1453" s="65" t="n">
        <f aca="false">IF(CR1453&gt;0,INDEX(Parameter!$H$5:$H$7,W1453)/INDEX(Parameter!$E$5:$E$7,W1453),IF(AND(CA1453=0,N(IFERROR(VLOOKUP(BY1453,'Gebinde-Kategorie'!$A$5:$N$45,14,0),0))&gt;0),VLOOKUP(BY1453,'Gebinde-Kategorie'!$A$5:$N$45,14,0)*10+Parameter!$M$23,Parameter!$M$24))</f>
        <v>145</v>
      </c>
      <c r="CD1453" s="60" t="str">
        <f aca="false">IF(AND(Parameter!$B$19="Ja",E1453&lt;&gt;"",ISNUMBER(MATCH(E1453,Parameter!$I$35:$I$52,0))),VLOOKUP(E1453,Parameter!$I$35:$J$52,2,0),IFERROR(VLOOKUP(D1453,Parameter!$A$35:$C$64,2,0),"Nein"))</f>
        <v>2+3</v>
      </c>
      <c r="CE1453" s="64" t="n">
        <f aca="false">IF(CA1453=0,0,IF(N(S1453)&gt;0,S1453,IFERROR(VLOOKUP(D1453,Parameter!$A$35:$C$64,3,0)+0,0)))</f>
        <v>0</v>
      </c>
      <c r="CF1453" s="60" t="n">
        <f aca="false">IF(AB1453&lt;&gt;"",AB1453,AA1453)</f>
        <v>3</v>
      </c>
      <c r="CG1453" s="60" t="str">
        <f aca="false">IF(OR(CF1453=1,CF1453=2,CF1453=3),IF(Parameter!$E$27="Ja","LIFT",IF(CF1453=1,"L1","L23")),IF(CF1453="Aussen","Aussen","-"))</f>
        <v>LIFT</v>
      </c>
      <c r="CH1453" s="71" t="n">
        <f aca="false">IF(N(AC1453)&gt;0,AC1453,0)</f>
        <v>0</v>
      </c>
      <c r="CI1453" s="65" t="n">
        <f aca="false">IF(ISNUMBER(AF1453),1,0)</f>
        <v>0</v>
      </c>
      <c r="CJ1453" s="62" t="n">
        <f aca="false">N(AF1453)</f>
        <v>0</v>
      </c>
      <c r="CK1453" s="62" t="n">
        <f aca="false">N(M1453)+N(N1453)</f>
        <v>1</v>
      </c>
      <c r="CL1453" s="62" t="n">
        <f aca="false">N(M1453)</f>
        <v>0</v>
      </c>
      <c r="CM1453" s="62" t="n">
        <f aca="false">N(N1453)</f>
        <v>1</v>
      </c>
      <c r="CN1453" s="62" t="n">
        <f aca="false">ROUNDUP(H1453/BZ1453,0)</f>
        <v>0</v>
      </c>
      <c r="CO1453" s="62" t="n">
        <f aca="false">ROUNDUP(CJ1453/BZ1453,0)</f>
        <v>0</v>
      </c>
      <c r="CP1453" s="65" t="n">
        <f aca="false">IF(CA1453=1,0,IFERROR(VLOOKUP(BY1453,'Gebinde-Kategorie'!$A$5:$N$45,5,0)+0,0))</f>
        <v>11</v>
      </c>
      <c r="CQ1453" s="65" t="n">
        <f aca="false">IFERROR(IF(OR(CF1453=1,CF1453=2,CF1453=3),N(INDEX(Parameter!$I$5:$I$7,CF1453)),0),0)</f>
        <v>0</v>
      </c>
      <c r="CR1453" s="64" t="n">
        <f aca="false">IF(AND(Parameter!$B$21="Ja",ISNUMBER(W1453),N(X1453)&gt;0),IFERROR(N(INDEX(Parameter!$L$5:$L$7,W1453))*INDEX(Parameter!$E$5:$E$7,W1453)*X1453/SUMIFS($X$7:$X$1843,$W$7:$W$1843,W1453),0),0)</f>
        <v>0</v>
      </c>
      <c r="CS1453" s="62" t="str">
        <f aca="false">IF(AND(OR(CG1453="L1",CG1453="L23",CG1453="LIFT"),H1453&gt;0),CC1453*IF(CR1453&gt;0,CR1453*MAX(1,H1453/X1453),IF(CA1453=1,CE1453,IF(R1453&gt;0,CN1453/R1453,0))/MAX(0.1,N(Parameter!$M$21))),"")</f>
        <v/>
      </c>
      <c r="CT1453" s="64" t="str">
        <f aca="false">IF(CS1453="","",J1453/H1453)</f>
        <v/>
      </c>
      <c r="CU1453" s="62" t="str">
        <f aca="false">IF(CS1453="","",H1453*G1453)</f>
        <v/>
      </c>
      <c r="CV1453" s="63" t="str">
        <f aca="false">IF(CS1453="","",(CL1453+ROUNDUP(CL1453+MAX(CM1453,2*(J1453/MAX(0.1,N(Einkauf!$C$6))-CL1453)),0))/2)</f>
        <v/>
      </c>
      <c r="CW1453" s="62" t="str">
        <f aca="false">IF(CS1453="","",MAX(0,H1453-CV1453)*G1453)</f>
        <v/>
      </c>
      <c r="CX1453" s="62" t="str">
        <f aca="false">IF(CS1453="","",CS1453*MAX(0,1-CV1453/H1453))</f>
        <v/>
      </c>
      <c r="CY1453" s="64" t="str">
        <f aca="false">IF(CS1453="","",PERCENTRANK($CS$7:$CS$1843,CS1453)+PERCENTRANK($CU$7:$CU$1843,CU1453)+1-PERCENTRANK($CT$7:$CT$1843,CT1453))</f>
        <v/>
      </c>
      <c r="CZ1453" s="72" t="str">
        <f aca="false">IF(CS1453="","",CHOOSE(MATCH(Einkauf!$C$5,Parameter!$G$23:$G$27,0),CY1453,CS1453,CU1453,-CT1453,CW1453)+ROW()/1000000000)</f>
        <v/>
      </c>
    </row>
    <row r="1454" customFormat="false" ht="15" hidden="false" customHeight="false" outlineLevel="0" collapsed="false">
      <c r="A1454" s="60" t="s">
        <v>2585</v>
      </c>
      <c r="B1454" s="60" t="s">
        <v>2261</v>
      </c>
      <c r="C1454" s="60" t="s">
        <v>206</v>
      </c>
      <c r="D1454" s="60" t="s">
        <v>226</v>
      </c>
      <c r="E1454" s="60" t="s">
        <v>227</v>
      </c>
      <c r="F1454" s="60"/>
      <c r="G1454" s="61" t="n">
        <v>167.8</v>
      </c>
      <c r="H1454" s="62" t="n">
        <f aca="false">MAX(0,IF(AND(Parameter!$B$21="Ja",ISNUMBER(Y1454)),Y1454,IF(Parameter!$B$20="Jahresanfang 2025 + Export",BS1454+BR1454,BR1454)))</f>
        <v>0</v>
      </c>
      <c r="I1454" s="62" t="n">
        <f aca="false">H1454*G1454</f>
        <v>0</v>
      </c>
      <c r="J1454" s="62" t="n">
        <f aca="false">BU1454*Parameter!$B$18</f>
        <v>4</v>
      </c>
      <c r="K1454" s="63"/>
      <c r="L1454" s="64"/>
      <c r="M1454" s="62" t="n">
        <v>0</v>
      </c>
      <c r="N1454" s="62" t="n">
        <v>5</v>
      </c>
      <c r="O1454" s="65"/>
      <c r="P1454" s="60" t="s">
        <v>344</v>
      </c>
      <c r="Q1454" s="62" t="n">
        <v>10</v>
      </c>
      <c r="R1454" s="65" t="n">
        <f aca="false">IF(CA1454=1,0,IFERROR(VLOOKUP(BY1454,'Gebinde-Kategorie'!$A$5:$N$45,13,0)+0,0))</f>
        <v>26</v>
      </c>
      <c r="S1454" s="66"/>
      <c r="T1454" s="67"/>
      <c r="U1454" s="67"/>
      <c r="V1454" s="67"/>
      <c r="W1454" s="60"/>
      <c r="X1454" s="62"/>
      <c r="Y1454" s="62"/>
      <c r="Z1454" s="60" t="n">
        <v>3</v>
      </c>
      <c r="AA1454" s="60" t="n">
        <f aca="false">IF(A1454="","",IF(AND(Parameter!$B$21="Ja",ISNUMBER(W1454)),W1454,IF(AND(Parameter!$E$27="Ja",ISNUMBER(Z1454),CD1454&lt;&gt;"Nein"),Z1454,IF(CD1454="2+3",IF(ISNUMBER(SEARCH("grosser Artikel",BV1454)),2,IFERROR(VLOOKUP(BY1454,Parameter!$F$35:$G$64,2,0),2)),IF(OR(CD1454="Nein",CD1454=""),"-",CD1454)))))</f>
        <v>3</v>
      </c>
      <c r="AB1454" s="67"/>
      <c r="AC1454" s="68"/>
      <c r="AD1454" s="62" t="n">
        <f aca="false">AW1454</f>
        <v>5</v>
      </c>
      <c r="AE1454" s="62" t="n">
        <f aca="false">MAX(AW1454,H1454)</f>
        <v>5</v>
      </c>
      <c r="AF1454" s="69"/>
      <c r="AG1454" s="62" t="n">
        <f aca="false">IF(LEFT(Cockpit!$C$5,1)="A",H1454,IF(Parameter!$E$30="MAX-Bestand",IF(CI1454=1,CJ1454,IF(LEFT(Cockpit!$C$5,1)="B",AM1454,MAX(AM1454,H1454))),ROUNDUP(AK1454,0)))</f>
        <v>0</v>
      </c>
      <c r="AH1454" s="62" t="n">
        <f aca="false">IF(CA1454=1,0,ROUNDUP(AG1454/BZ1454,0))</f>
        <v>0</v>
      </c>
      <c r="AI1454" s="64" t="n">
        <f aca="false">IF(CR1454&gt;0,CR1454*MAX(1,AG1454/X1454),IF(CA1454=1,IF(AG1454&lt;=0,0,CE1454*MAX(1,IF(H1454&gt;0,AG1454/H1454,1))),IF(R1454&gt;0,AH1454/R1454,0))/MAX(0.1,N(Parameter!$M$21)))</f>
        <v>0</v>
      </c>
      <c r="AJ1454" s="62" t="n">
        <f aca="false">AI1454*CC1454</f>
        <v>0</v>
      </c>
      <c r="AK1454" s="63" t="n">
        <f aca="false">IF(LEFT(Cockpit!$C$5,1)="A",H1454,IF(CI1454=1,(CL1454+CJ1454)/2,IF(LEFT(Cockpit!$C$5,1)="B",(CL1454+AM1454)/2,MAX((CL1454+AM1454)/2,H1454))))</f>
        <v>0</v>
      </c>
      <c r="AL1454" s="62" t="n">
        <f aca="false">AK1454*G1454</f>
        <v>0</v>
      </c>
      <c r="AM1454" s="62" t="n">
        <f aca="false">ROUNDUP(CL1454+MAX(CM1454,2*(J1454/IF(CH1454&gt;0,CH1454,MAX(0.1,N(Cockpit!$C$6)))-CL1454)),0)</f>
        <v>5</v>
      </c>
      <c r="AN1454" s="63" t="n">
        <f aca="false">IF(AJ1454&gt;0,J1454/AJ1454,-1)</f>
        <v>-1</v>
      </c>
      <c r="AO1454" s="63" t="str">
        <f aca="false">IF(AND(OR(CG1454="L1",CG1454="L23",CG1454="LIFT"),AJ1454&gt;0),SUMIFS($AJ$7:$AJ$1843,$CG$7:$CG$1843,CG1454,$AN$7:$AN$1843,"&gt;"&amp;AN1454)+SUMIFS($AJ$7:$AJ$1843,$CG$7:$CG$1843,CG1454,$AN$7:$AN$1843,AN1454,$BX$7:$BX$1843,"&lt;="&amp;BX1454),"")</f>
        <v/>
      </c>
      <c r="AP1454" s="70" t="n">
        <f aca="false">IF(AO1454="",0,MAX(0,MIN(1,(IF(CG1454="L1",Parameter!$H$5,IF(CG1454="L23",Parameter!$H$6+Parameter!$H$7,Parameter!$H$5+Parameter!$H$6+Parameter!$H$7))-(AO1454-AJ1454))/AJ1454)))</f>
        <v>0</v>
      </c>
      <c r="AQ1454" s="62" t="n">
        <f aca="false">IF(LEFT(Cockpit!$I$5,1)="A",H1454,IF(Parameter!$E$30="MAX-Bestand",IF(CI1454=1,CJ1454,IF(LEFT(Cockpit!$I$5,1)="B",AW1454,MAX(AW1454,H1454))),ROUNDUP(AU1454,0)))</f>
        <v>3</v>
      </c>
      <c r="AR1454" s="62" t="n">
        <f aca="false">IF(CA1454=1,0,ROUNDUP(AQ1454/BZ1454,0))</f>
        <v>1</v>
      </c>
      <c r="AS1454" s="64" t="n">
        <f aca="false">IF(CR1454&gt;0,CR1454*MAX(1,AQ1454/X1454),IF(CA1454=1,IF(AQ1454&lt;=0,0,CE1454*MAX(1,IF(H1454&gt;0,AQ1454/H1454,1))),IF(R1454&gt;0,AR1454/R1454,0))/MAX(0.1,N(Parameter!$M$21)))</f>
        <v>0.0384615384615385</v>
      </c>
      <c r="AT1454" s="62" t="n">
        <f aca="false">AS1454*CC1454</f>
        <v>5.96153846153846</v>
      </c>
      <c r="AU1454" s="63" t="n">
        <f aca="false">IF(LEFT(Cockpit!$I$5,1)="A",H1454,IF(CI1454=1,(CL1454+CJ1454)/2,IF(LEFT(Cockpit!$I$5,1)="B",(CL1454+AW1454)/2,MAX((CL1454+AW1454)/2,H1454))))</f>
        <v>2.5</v>
      </c>
      <c r="AV1454" s="62" t="n">
        <f aca="false">AU1454*G1454</f>
        <v>419.5</v>
      </c>
      <c r="AW1454" s="62" t="n">
        <f aca="false">ROUNDUP(CL1454+MAX(CM1454,2*(J1454/IF(CH1454&gt;0,CH1454,MAX(0.1,N(Cockpit!$I$6)))-CL1454)),0)</f>
        <v>5</v>
      </c>
      <c r="AX1454" s="63" t="n">
        <f aca="false">IF(AT1454&gt;0,J1454/AT1454,-1)</f>
        <v>0.670967741935484</v>
      </c>
      <c r="AY1454" s="63" t="n">
        <f aca="false">IF(AND(OR(CG1454="L1",CG1454="L23",CG1454="LIFT"),AT1454&gt;0),SUMIFS($AT$7:$AT$1843,$CG$7:$CG$1843,CG1454,$AX$7:$AX$1843,"&gt;"&amp;AX1454)+SUMIFS($AT$7:$AT$1843,$CG$7:$CG$1843,CG1454,$AX$7:$AX$1843,AX1454,$BX$7:$BX$1843,"&lt;="&amp;BX1454),"")</f>
        <v>10953.5009157509</v>
      </c>
      <c r="AZ1454" s="70" t="n">
        <f aca="false">IF(AY1454="",0,MAX(0,MIN(1,(IF(CG1454="L1",Parameter!$H$5,IF(CG1454="L23",Parameter!$H$6+Parameter!$H$7,Parameter!$H$5+Parameter!$H$6+Parameter!$H$7))-(AY1454-AT1454))/AT1454)))</f>
        <v>1</v>
      </c>
      <c r="BA1454" s="62" t="n">
        <f aca="false">IF(LEFT(Cockpit!$O$5,1)="A",H1454,IF(Parameter!$E$30="MAX-Bestand",IF(CI1454=1,CJ1454,IF(LEFT(Cockpit!$O$5,1)="B",BG1454,MAX(BG1454,H1454))),ROUNDUP(BE1454,0)))</f>
        <v>3</v>
      </c>
      <c r="BB1454" s="62" t="n">
        <f aca="false">IF(CA1454=1,0,ROUNDUP(BA1454/BZ1454,0))</f>
        <v>1</v>
      </c>
      <c r="BC1454" s="64" t="n">
        <f aca="false">IF(CR1454&gt;0,CR1454*MAX(1,BA1454/X1454),IF(CA1454=1,IF(BA1454&lt;=0,0,CE1454*MAX(1,IF(H1454&gt;0,BA1454/H1454,1))),IF(R1454&gt;0,BB1454/R1454,0))/MAX(0.1,N(Parameter!$M$21)))</f>
        <v>0.0384615384615385</v>
      </c>
      <c r="BD1454" s="62" t="n">
        <f aca="false">BC1454*CC1454</f>
        <v>5.96153846153846</v>
      </c>
      <c r="BE1454" s="63" t="n">
        <f aca="false">IF(LEFT(Cockpit!$O$5,1)="A",H1454,IF(CI1454=1,(CL1454+CJ1454)/2,IF(LEFT(Cockpit!$O$5,1)="B",(CL1454+BG1454)/2,MAX((CL1454+BG1454)/2,H1454))))</f>
        <v>2.5</v>
      </c>
      <c r="BF1454" s="62" t="n">
        <f aca="false">BE1454*G1454</f>
        <v>419.5</v>
      </c>
      <c r="BG1454" s="62" t="n">
        <f aca="false">ROUNDUP(CL1454+MAX(CM1454,2*(J1454/IF(CH1454&gt;0,CH1454,MAX(0.1,N(Cockpit!$O$6)))-CL1454)),0)</f>
        <v>5</v>
      </c>
      <c r="BH1454" s="63" t="n">
        <f aca="false">IF(BD1454&gt;0,J1454/BD1454,-1)</f>
        <v>0.670967741935484</v>
      </c>
      <c r="BI1454" s="63" t="n">
        <f aca="false">IF(AND(OR(CG1454="L1",CG1454="L23",CG1454="LIFT"),BD1454&gt;0),SUMIFS($BD$7:$BD$1843,$CG$7:$CG$1843,CG1454,$BH$7:$BH$1843,"&gt;"&amp;BH1454)+SUMIFS($BD$7:$BD$1843,$CG$7:$CG$1843,CG1454,$BH$7:$BH$1843,BH1454,$BX$7:$BX$1843,"&lt;="&amp;BX1454),"")</f>
        <v>9566.11584249084</v>
      </c>
      <c r="BJ1454" s="70" t="n">
        <f aca="false">IF(BI1454="",0,MAX(0,MIN(1,(IF(CG1454="L1",Parameter!$H$5,IF(CG1454="L23",Parameter!$H$6+Parameter!$H$7,Parameter!$H$5+Parameter!$H$6+Parameter!$H$7))-(BI1454-BD1454))/BD1454)))</f>
        <v>1</v>
      </c>
      <c r="BK1454" s="60" t="str">
        <f aca="false">IF(AJ1454&lt;=0,"",IF(CG1454="Aussen","Aussenlager",IF(CG1454="-","Nicht im Lift",IF(AP1454&gt;=1,"Lift",IF(AP1454&lt;=0,"Aussenlager","teilweise")))))</f>
        <v/>
      </c>
      <c r="BL1454" s="60" t="str">
        <f aca="false">IF(AT1454&lt;=0,"",IF(CG1454="Aussen","Aussenlager",IF(CG1454="-","Nicht im Lift",IF(AZ1454&gt;=1,"Lift",IF(AZ1454&lt;=0,"Aussenlager","teilweise")))))</f>
        <v>Lift</v>
      </c>
      <c r="BM1454" s="60" t="str">
        <f aca="false">IF(BD1454&lt;=0,"",IF(CG1454="Aussen","Aussenlager",IF(CG1454="-","Nicht im Lift",IF(BJ1454&gt;=1,"Lift",IF(BJ1454&lt;=0,"Aussenlager","teilweise")))))</f>
        <v>Lift</v>
      </c>
      <c r="BN1454" s="60" t="str">
        <f aca="false">IF(A1454="","",IF(BW1454=1,"Neu; ","")&amp;IF(AND(BW1454=0,BR1454&lt;0),"negativer Bestand (Export "&amp;BR1454&amp;"); ","")&amp;IF(J1454&lt;=0,"Kein Verbrauch; ","")&amp;IF(CR1454&gt;0,"Lift "&amp;W1454&amp;" lt. Liftbericht (Fach "&amp;X1454&amp;" Stk); ",IF(CB1454=1,"Gebinde geschätzt ("&amp;T1454&amp;"); ",IF(CA1454=1,"Lose – Tablare geschätzt; ","")))&amp;IF(H1454&gt;AW1454,"Überbestand "&amp;ROUND(H1454-AW1454,0)&amp;" Stk / CHF "&amp;ROUND((H1454-AW1454)*G1454,0)&amp;"; ","")&amp;IF(AND(CI1454=1,CJ1454&lt;CK1454),"MAX &lt; MB+LG; ","")&amp;IF(AND(CQ1454&gt;0,CP1454*10&gt;CQ1454),"zu hoch für Tablar; ","")&amp;IF(AND(BW1454=0,OR(CI1454=1,AB1454&lt;&gt;"",U1454&lt;&gt;"",V1454&lt;&gt;"",AC1454&lt;&gt;"")),"manuell übersteuert; ","")&amp;IF(AND(CA1454=0,R1454=0),"Gebinde unbekannt / Stellmass fehlt; ","")&amp;IF(AND(CA1454=0,N(V1454)&lt;=0,N(Q1454)&lt;=0),"Menge pro Gebinde fehlt (Ist = 1 Gebinde); ","")&amp;BV1454)</f>
        <v>negativer Bestand (Export -89); Neu</v>
      </c>
      <c r="BO1454" s="60"/>
      <c r="BP1454" s="60"/>
      <c r="BQ1454" s="67"/>
      <c r="BR1454" s="62" t="n">
        <v>-89</v>
      </c>
      <c r="BS1454" s="62" t="n">
        <v>0</v>
      </c>
      <c r="BT1454" s="61" t="n">
        <v>-14934.2</v>
      </c>
      <c r="BU1454" s="62" t="n">
        <v>4</v>
      </c>
      <c r="BV1454" s="60" t="s">
        <v>668</v>
      </c>
      <c r="BW1454" s="65" t="n">
        <v>0</v>
      </c>
      <c r="BX1454" s="65" t="n">
        <v>1454</v>
      </c>
      <c r="BY1454" s="60" t="str">
        <f aca="false">IF(U1454&lt;&gt;"",UPPER(TRIM(U1454)),IF(CB1454=1,UPPER(VLOOKUP(T1454,Parameter!$I$27:$K$29,2,0)),IF(P1454="","LOSE",P1454)))</f>
        <v>S51</v>
      </c>
      <c r="BZ1454" s="62" t="n">
        <f aca="false">IF(BY1454="LOSE",1,IF(N(V1454)&gt;0,V1454,IF(CB1454=1,MAX(1,N(VLOOKUP(T1454,Parameter!$I$27:$K$29,3,0)),H1454,N(N1454)),IF(N(Q1454)&gt;0,Q1454,MAX(1,H1454)))))</f>
        <v>10</v>
      </c>
      <c r="CA1454" s="65" t="n">
        <f aca="false">IF(BY1454="LOSE",1,0)</f>
        <v>0</v>
      </c>
      <c r="CB1454" s="65" t="n">
        <f aca="false">IF(AND(U1454="",OR(P1454="",P1454="LOSE"),T1454&lt;&gt;"",N(S1454)&lt;=0,ISNUMBER(MATCH(T1454,Parameter!$I$27:$I$29,0))),1,0)</f>
        <v>0</v>
      </c>
      <c r="CC1454" s="65" t="n">
        <f aca="false">IF(CR1454&gt;0,INDEX(Parameter!$H$5:$H$7,W1454)/INDEX(Parameter!$E$5:$E$7,W1454),IF(AND(CA1454=0,N(IFERROR(VLOOKUP(BY1454,'Gebinde-Kategorie'!$A$5:$N$45,14,0),0))&gt;0),VLOOKUP(BY1454,'Gebinde-Kategorie'!$A$5:$N$45,14,0)*10+Parameter!$M$23,Parameter!$M$24))</f>
        <v>155</v>
      </c>
      <c r="CD1454" s="60" t="str">
        <f aca="false">IF(AND(Parameter!$B$19="Ja",E1454&lt;&gt;"",ISNUMBER(MATCH(E1454,Parameter!$I$35:$I$52,0))),VLOOKUP(E1454,Parameter!$I$35:$J$52,2,0),IFERROR(VLOOKUP(D1454,Parameter!$A$35:$C$64,2,0),"Nein"))</f>
        <v>2+3</v>
      </c>
      <c r="CE1454" s="64" t="n">
        <f aca="false">IF(CA1454=0,0,IF(N(S1454)&gt;0,S1454,IFERROR(VLOOKUP(D1454,Parameter!$A$35:$C$64,3,0)+0,0)))</f>
        <v>0</v>
      </c>
      <c r="CF1454" s="60" t="n">
        <f aca="false">IF(AB1454&lt;&gt;"",AB1454,AA1454)</f>
        <v>3</v>
      </c>
      <c r="CG1454" s="60" t="str">
        <f aca="false">IF(OR(CF1454=1,CF1454=2,CF1454=3),IF(Parameter!$E$27="Ja","LIFT",IF(CF1454=1,"L1","L23")),IF(CF1454="Aussen","Aussen","-"))</f>
        <v>LIFT</v>
      </c>
      <c r="CH1454" s="71" t="n">
        <f aca="false">IF(N(AC1454)&gt;0,AC1454,0)</f>
        <v>0</v>
      </c>
      <c r="CI1454" s="65" t="n">
        <f aca="false">IF(ISNUMBER(AF1454),1,0)</f>
        <v>0</v>
      </c>
      <c r="CJ1454" s="62" t="n">
        <f aca="false">N(AF1454)</f>
        <v>0</v>
      </c>
      <c r="CK1454" s="62" t="n">
        <f aca="false">N(M1454)+N(N1454)</f>
        <v>5</v>
      </c>
      <c r="CL1454" s="62" t="n">
        <f aca="false">N(M1454)</f>
        <v>0</v>
      </c>
      <c r="CM1454" s="62" t="n">
        <f aca="false">N(N1454)</f>
        <v>5</v>
      </c>
      <c r="CN1454" s="62" t="n">
        <f aca="false">ROUNDUP(H1454/BZ1454,0)</f>
        <v>0</v>
      </c>
      <c r="CO1454" s="62" t="n">
        <f aca="false">ROUNDUP(CJ1454/BZ1454,0)</f>
        <v>0</v>
      </c>
      <c r="CP1454" s="65" t="n">
        <f aca="false">IF(CA1454=1,0,IFERROR(VLOOKUP(BY1454,'Gebinde-Kategorie'!$A$5:$N$45,5,0)+0,0))</f>
        <v>11</v>
      </c>
      <c r="CQ1454" s="65" t="n">
        <f aca="false">IFERROR(IF(OR(CF1454=1,CF1454=2,CF1454=3),N(INDEX(Parameter!$I$5:$I$7,CF1454)),0),0)</f>
        <v>0</v>
      </c>
      <c r="CR1454" s="64" t="n">
        <f aca="false">IF(AND(Parameter!$B$21="Ja",ISNUMBER(W1454),N(X1454)&gt;0),IFERROR(N(INDEX(Parameter!$L$5:$L$7,W1454))*INDEX(Parameter!$E$5:$E$7,W1454)*X1454/SUMIFS($X$7:$X$1843,$W$7:$W$1843,W1454),0),0)</f>
        <v>0</v>
      </c>
      <c r="CS1454" s="62" t="str">
        <f aca="false">IF(AND(OR(CG1454="L1",CG1454="L23",CG1454="LIFT"),H1454&gt;0),CC1454*IF(CR1454&gt;0,CR1454*MAX(1,H1454/X1454),IF(CA1454=1,CE1454,IF(R1454&gt;0,CN1454/R1454,0))/MAX(0.1,N(Parameter!$M$21))),"")</f>
        <v/>
      </c>
      <c r="CT1454" s="64" t="str">
        <f aca="false">IF(CS1454="","",J1454/H1454)</f>
        <v/>
      </c>
      <c r="CU1454" s="62" t="str">
        <f aca="false">IF(CS1454="","",H1454*G1454)</f>
        <v/>
      </c>
      <c r="CV1454" s="63" t="str">
        <f aca="false">IF(CS1454="","",(CL1454+ROUNDUP(CL1454+MAX(CM1454,2*(J1454/MAX(0.1,N(Einkauf!$C$6))-CL1454)),0))/2)</f>
        <v/>
      </c>
      <c r="CW1454" s="62" t="str">
        <f aca="false">IF(CS1454="","",MAX(0,H1454-CV1454)*G1454)</f>
        <v/>
      </c>
      <c r="CX1454" s="62" t="str">
        <f aca="false">IF(CS1454="","",CS1454*MAX(0,1-CV1454/H1454))</f>
        <v/>
      </c>
      <c r="CY1454" s="64" t="str">
        <f aca="false">IF(CS1454="","",PERCENTRANK($CS$7:$CS$1843,CS1454)+PERCENTRANK($CU$7:$CU$1843,CU1454)+1-PERCENTRANK($CT$7:$CT$1843,CT1454))</f>
        <v/>
      </c>
      <c r="CZ1454" s="72" t="str">
        <f aca="false">IF(CS1454="","",CHOOSE(MATCH(Einkauf!$C$5,Parameter!$G$23:$G$27,0),CY1454,CS1454,CU1454,-CT1454,CW1454)+ROW()/1000000000)</f>
        <v/>
      </c>
    </row>
    <row r="1455" customFormat="false" ht="15" hidden="false" customHeight="false" outlineLevel="0" collapsed="false">
      <c r="A1455" s="60" t="s">
        <v>2586</v>
      </c>
      <c r="B1455" s="60" t="s">
        <v>2587</v>
      </c>
      <c r="C1455" s="60" t="s">
        <v>209</v>
      </c>
      <c r="D1455" s="60" t="s">
        <v>1430</v>
      </c>
      <c r="E1455" s="60" t="s">
        <v>1521</v>
      </c>
      <c r="F1455" s="60"/>
      <c r="G1455" s="61" t="n">
        <v>3762.62</v>
      </c>
      <c r="H1455" s="62" t="n">
        <f aca="false">MAX(0,IF(AND(Parameter!$B$21="Ja",ISNUMBER(Y1455)),Y1455,IF(Parameter!$B$20="Jahresanfang 2025 + Export",BS1455+BR1455,BR1455)))</f>
        <v>0</v>
      </c>
      <c r="I1455" s="62" t="n">
        <f aca="false">H1455*G1455</f>
        <v>0</v>
      </c>
      <c r="J1455" s="62" t="n">
        <f aca="false">BU1455*Parameter!$B$18</f>
        <v>20</v>
      </c>
      <c r="K1455" s="63"/>
      <c r="L1455" s="64"/>
      <c r="M1455" s="62" t="n">
        <v>0</v>
      </c>
      <c r="N1455" s="62" t="n">
        <v>1</v>
      </c>
      <c r="O1455" s="65"/>
      <c r="P1455" s="60" t="s">
        <v>210</v>
      </c>
      <c r="Q1455" s="62"/>
      <c r="R1455" s="65" t="n">
        <f aca="false">IF(CA1455=1,0,IFERROR(VLOOKUP(BY1455,'Gebinde-Kategorie'!$A$5:$N$45,13,0)+0,0))</f>
        <v>0</v>
      </c>
      <c r="S1455" s="66"/>
      <c r="T1455" s="67"/>
      <c r="U1455" s="67"/>
      <c r="V1455" s="67"/>
      <c r="W1455" s="60"/>
      <c r="X1455" s="62"/>
      <c r="Y1455" s="62"/>
      <c r="Z1455" s="60"/>
      <c r="AA1455" s="60" t="str">
        <f aca="false">IF(A1455="","",IF(AND(Parameter!$B$21="Ja",ISNUMBER(W1455)),W1455,IF(AND(Parameter!$E$27="Ja",ISNUMBER(Z1455),CD1455&lt;&gt;"Nein"),Z1455,IF(CD1455="2+3",IF(ISNUMBER(SEARCH("grosser Artikel",BV1455)),2,IFERROR(VLOOKUP(BY1455,Parameter!$F$35:$G$64,2,0),2)),IF(OR(CD1455="Nein",CD1455=""),"-",CD1455)))))</f>
        <v>-</v>
      </c>
      <c r="AB1455" s="67"/>
      <c r="AC1455" s="68"/>
      <c r="AD1455" s="62" t="n">
        <f aca="false">AW1455</f>
        <v>14</v>
      </c>
      <c r="AE1455" s="62" t="n">
        <f aca="false">MAX(AW1455,H1455)</f>
        <v>14</v>
      </c>
      <c r="AF1455" s="69"/>
      <c r="AG1455" s="62" t="n">
        <f aca="false">IF(LEFT(Cockpit!$C$5,1)="A",H1455,IF(Parameter!$E$30="MAX-Bestand",IF(CI1455=1,CJ1455,IF(LEFT(Cockpit!$C$5,1)="B",AM1455,MAX(AM1455,H1455))),ROUNDUP(AK1455,0)))</f>
        <v>0</v>
      </c>
      <c r="AH1455" s="62" t="n">
        <f aca="false">IF(CA1455=1,0,ROUNDUP(AG1455/BZ1455,0))</f>
        <v>0</v>
      </c>
      <c r="AI1455" s="64" t="n">
        <f aca="false">IF(CR1455&gt;0,CR1455*MAX(1,AG1455/X1455),IF(CA1455=1,IF(AG1455&lt;=0,0,CE1455*MAX(1,IF(H1455&gt;0,AG1455/H1455,1))),IF(R1455&gt;0,AH1455/R1455,0))/MAX(0.1,N(Parameter!$M$21)))</f>
        <v>0</v>
      </c>
      <c r="AJ1455" s="62" t="n">
        <f aca="false">AI1455*CC1455</f>
        <v>0</v>
      </c>
      <c r="AK1455" s="63" t="n">
        <f aca="false">IF(LEFT(Cockpit!$C$5,1)="A",H1455,IF(CI1455=1,(CL1455+CJ1455)/2,IF(LEFT(Cockpit!$C$5,1)="B",(CL1455+AM1455)/2,MAX((CL1455+AM1455)/2,H1455))))</f>
        <v>0</v>
      </c>
      <c r="AL1455" s="62" t="n">
        <f aca="false">AK1455*G1455</f>
        <v>0</v>
      </c>
      <c r="AM1455" s="62" t="n">
        <f aca="false">ROUNDUP(CL1455+MAX(CM1455,2*(J1455/IF(CH1455&gt;0,CH1455,MAX(0.1,N(Cockpit!$C$6)))-CL1455)),0)</f>
        <v>14</v>
      </c>
      <c r="AN1455" s="63" t="n">
        <f aca="false">IF(AJ1455&gt;0,J1455/AJ1455,-1)</f>
        <v>-1</v>
      </c>
      <c r="AO1455" s="63" t="str">
        <f aca="false">IF(AND(OR(CG1455="L1",CG1455="L23",CG1455="LIFT"),AJ1455&gt;0),SUMIFS($AJ$7:$AJ$1843,$CG$7:$CG$1843,CG1455,$AN$7:$AN$1843,"&gt;"&amp;AN1455)+SUMIFS($AJ$7:$AJ$1843,$CG$7:$CG$1843,CG1455,$AN$7:$AN$1843,AN1455,$BX$7:$BX$1843,"&lt;="&amp;BX1455),"")</f>
        <v/>
      </c>
      <c r="AP1455" s="70" t="n">
        <f aca="false">IF(AO1455="",0,MAX(0,MIN(1,(IF(CG1455="L1",Parameter!$H$5,IF(CG1455="L23",Parameter!$H$6+Parameter!$H$7,Parameter!$H$5+Parameter!$H$6+Parameter!$H$7))-(AO1455-AJ1455))/AJ1455)))</f>
        <v>0</v>
      </c>
      <c r="AQ1455" s="62" t="n">
        <f aca="false">IF(LEFT(Cockpit!$I$5,1)="A",H1455,IF(Parameter!$E$30="MAX-Bestand",IF(CI1455=1,CJ1455,IF(LEFT(Cockpit!$I$5,1)="B",AW1455,MAX(AW1455,H1455))),ROUNDUP(AU1455,0)))</f>
        <v>7</v>
      </c>
      <c r="AR1455" s="62" t="n">
        <f aca="false">IF(CA1455=1,0,ROUNDUP(AQ1455/BZ1455,0))</f>
        <v>0</v>
      </c>
      <c r="AS1455" s="64" t="n">
        <f aca="false">IF(CR1455&gt;0,CR1455*MAX(1,AQ1455/X1455),IF(CA1455=1,IF(AQ1455&lt;=0,0,CE1455*MAX(1,IF(H1455&gt;0,AQ1455/H1455,1))),IF(R1455&gt;0,AR1455/R1455,0))/MAX(0.1,N(Parameter!$M$21)))</f>
        <v>0.15</v>
      </c>
      <c r="AT1455" s="62" t="n">
        <f aca="false">AS1455*CC1455</f>
        <v>35.25</v>
      </c>
      <c r="AU1455" s="63" t="n">
        <f aca="false">IF(LEFT(Cockpit!$I$5,1)="A",H1455,IF(CI1455=1,(CL1455+CJ1455)/2,IF(LEFT(Cockpit!$I$5,1)="B",(CL1455+AW1455)/2,MAX((CL1455+AW1455)/2,H1455))))</f>
        <v>7</v>
      </c>
      <c r="AV1455" s="62" t="n">
        <f aca="false">AU1455*G1455</f>
        <v>26338.34</v>
      </c>
      <c r="AW1455" s="62" t="n">
        <f aca="false">ROUNDUP(CL1455+MAX(CM1455,2*(J1455/IF(CH1455&gt;0,CH1455,MAX(0.1,N(Cockpit!$I$6)))-CL1455)),0)</f>
        <v>14</v>
      </c>
      <c r="AX1455" s="63" t="n">
        <f aca="false">IF(AT1455&gt;0,J1455/AT1455,-1)</f>
        <v>0.567375886524823</v>
      </c>
      <c r="AY1455" s="63" t="str">
        <f aca="false">IF(AND(OR(CG1455="L1",CG1455="L23",CG1455="LIFT"),AT1455&gt;0),SUMIFS($AT$7:$AT$1843,$CG$7:$CG$1843,CG1455,$AX$7:$AX$1843,"&gt;"&amp;AX1455)+SUMIFS($AT$7:$AT$1843,$CG$7:$CG$1843,CG1455,$AX$7:$AX$1843,AX1455,$BX$7:$BX$1843,"&lt;="&amp;BX1455),"")</f>
        <v/>
      </c>
      <c r="AZ1455" s="70" t="n">
        <f aca="false">IF(AY1455="",0,MAX(0,MIN(1,(IF(CG1455="L1",Parameter!$H$5,IF(CG1455="L23",Parameter!$H$6+Parameter!$H$7,Parameter!$H$5+Parameter!$H$6+Parameter!$H$7))-(AY1455-AT1455))/AT1455)))</f>
        <v>0</v>
      </c>
      <c r="BA1455" s="62" t="n">
        <f aca="false">IF(LEFT(Cockpit!$O$5,1)="A",H1455,IF(Parameter!$E$30="MAX-Bestand",IF(CI1455=1,CJ1455,IF(LEFT(Cockpit!$O$5,1)="B",BG1455,MAX(BG1455,H1455))),ROUNDUP(BE1455,0)))</f>
        <v>5</v>
      </c>
      <c r="BB1455" s="62" t="n">
        <f aca="false">IF(CA1455=1,0,ROUNDUP(BA1455/BZ1455,0))</f>
        <v>0</v>
      </c>
      <c r="BC1455" s="64" t="n">
        <f aca="false">IF(CR1455&gt;0,CR1455*MAX(1,BA1455/X1455),IF(CA1455=1,IF(BA1455&lt;=0,0,CE1455*MAX(1,IF(H1455&gt;0,BA1455/H1455,1))),IF(R1455&gt;0,BB1455/R1455,0))/MAX(0.1,N(Parameter!$M$21)))</f>
        <v>0.15</v>
      </c>
      <c r="BD1455" s="62" t="n">
        <f aca="false">BC1455*CC1455</f>
        <v>35.25</v>
      </c>
      <c r="BE1455" s="63" t="n">
        <f aca="false">IF(LEFT(Cockpit!$O$5,1)="A",H1455,IF(CI1455=1,(CL1455+CJ1455)/2,IF(LEFT(Cockpit!$O$5,1)="B",(CL1455+BG1455)/2,MAX((CL1455+BG1455)/2,H1455))))</f>
        <v>5</v>
      </c>
      <c r="BF1455" s="62" t="n">
        <f aca="false">BE1455*G1455</f>
        <v>18813.1</v>
      </c>
      <c r="BG1455" s="62" t="n">
        <f aca="false">ROUNDUP(CL1455+MAX(CM1455,2*(J1455/IF(CH1455&gt;0,CH1455,MAX(0.1,N(Cockpit!$O$6)))-CL1455)),0)</f>
        <v>10</v>
      </c>
      <c r="BH1455" s="63" t="n">
        <f aca="false">IF(BD1455&gt;0,J1455/BD1455,-1)</f>
        <v>0.567375886524823</v>
      </c>
      <c r="BI1455" s="63" t="str">
        <f aca="false">IF(AND(OR(CG1455="L1",CG1455="L23",CG1455="LIFT"),BD1455&gt;0),SUMIFS($BD$7:$BD$1843,$CG$7:$CG$1843,CG1455,$BH$7:$BH$1843,"&gt;"&amp;BH1455)+SUMIFS($BD$7:$BD$1843,$CG$7:$CG$1843,CG1455,$BH$7:$BH$1843,BH1455,$BX$7:$BX$1843,"&lt;="&amp;BX1455),"")</f>
        <v/>
      </c>
      <c r="BJ1455" s="70" t="n">
        <f aca="false">IF(BI1455="",0,MAX(0,MIN(1,(IF(CG1455="L1",Parameter!$H$5,IF(CG1455="L23",Parameter!$H$6+Parameter!$H$7,Parameter!$H$5+Parameter!$H$6+Parameter!$H$7))-(BI1455-BD1455))/BD1455)))</f>
        <v>0</v>
      </c>
      <c r="BK1455" s="60" t="str">
        <f aca="false">IF(AJ1455&lt;=0,"",IF(CG1455="Aussen","Aussenlager",IF(CG1455="-","Nicht im Lift",IF(AP1455&gt;=1,"Lift",IF(AP1455&lt;=0,"Aussenlager","teilweise")))))</f>
        <v/>
      </c>
      <c r="BL1455" s="60" t="str">
        <f aca="false">IF(AT1455&lt;=0,"",IF(CG1455="Aussen","Aussenlager",IF(CG1455="-","Nicht im Lift",IF(AZ1455&gt;=1,"Lift",IF(AZ1455&lt;=0,"Aussenlager","teilweise")))))</f>
        <v>Nicht im Lift</v>
      </c>
      <c r="BM1455" s="60" t="str">
        <f aca="false">IF(BD1455&lt;=0,"",IF(CG1455="Aussen","Aussenlager",IF(CG1455="-","Nicht im Lift",IF(BJ1455&gt;=1,"Lift",IF(BJ1455&lt;=0,"Aussenlager","teilweise")))))</f>
        <v>Nicht im Lift</v>
      </c>
      <c r="BN1455" s="60" t="str">
        <f aca="false">IF(A1455="","",IF(BW1455=1,"Neu; ","")&amp;IF(AND(BW1455=0,BR1455&lt;0),"negativer Bestand (Export "&amp;BR1455&amp;"); ","")&amp;IF(J1455&lt;=0,"Kein Verbrauch; ","")&amp;IF(CR1455&gt;0,"Lift "&amp;W1455&amp;" lt. Liftbericht (Fach "&amp;X1455&amp;" Stk); ",IF(CB1455=1,"Gebinde geschätzt ("&amp;T1455&amp;"); ",IF(CA1455=1,"Lose – Tablare geschätzt; ","")))&amp;IF(H1455&gt;AW1455,"Überbestand "&amp;ROUND(H1455-AW1455,0)&amp;" Stk / CHF "&amp;ROUND((H1455-AW1455)*G1455,0)&amp;"; ","")&amp;IF(AND(CI1455=1,CJ1455&lt;CK1455),"MAX &lt; MB+LG; ","")&amp;IF(AND(CQ1455&gt;0,CP1455*10&gt;CQ1455),"zu hoch für Tablar; ","")&amp;IF(AND(BW1455=0,OR(CI1455=1,AB1455&lt;&gt;"",U1455&lt;&gt;"",V1455&lt;&gt;"",AC1455&lt;&gt;"")),"manuell übersteuert; ","")&amp;IF(AND(CA1455=0,R1455=0),"Gebinde unbekannt / Stellmass fehlt; ","")&amp;IF(AND(CA1455=0,N(V1455)&lt;=0,N(Q1455)&lt;=0),"Menge pro Gebinde fehlt (Ist = 1 Gebinde); ","")&amp;BV1455)</f>
        <v>negativer Bestand (Export -4); Lose – Tablare geschätzt; </v>
      </c>
      <c r="BO1455" s="60"/>
      <c r="BP1455" s="60"/>
      <c r="BQ1455" s="67"/>
      <c r="BR1455" s="62" t="n">
        <v>-4</v>
      </c>
      <c r="BS1455" s="62" t="n">
        <v>0</v>
      </c>
      <c r="BT1455" s="61" t="n">
        <v>-15318.52</v>
      </c>
      <c r="BU1455" s="62" t="n">
        <v>20</v>
      </c>
      <c r="BV1455" s="60"/>
      <c r="BW1455" s="65" t="n">
        <v>0</v>
      </c>
      <c r="BX1455" s="65" t="n">
        <v>1455</v>
      </c>
      <c r="BY1455" s="60" t="str">
        <f aca="false">IF(U1455&lt;&gt;"",UPPER(TRIM(U1455)),IF(CB1455=1,UPPER(VLOOKUP(T1455,Parameter!$I$27:$K$29,2,0)),IF(P1455="","LOSE",P1455)))</f>
        <v>LOSE</v>
      </c>
      <c r="BZ1455" s="62" t="n">
        <f aca="false">IF(BY1455="LOSE",1,IF(N(V1455)&gt;0,V1455,IF(CB1455=1,MAX(1,N(VLOOKUP(T1455,Parameter!$I$27:$K$29,3,0)),H1455,N(N1455)),IF(N(Q1455)&gt;0,Q1455,MAX(1,H1455)))))</f>
        <v>1</v>
      </c>
      <c r="CA1455" s="65" t="n">
        <f aca="false">IF(BY1455="LOSE",1,0)</f>
        <v>1</v>
      </c>
      <c r="CB1455" s="65" t="n">
        <f aca="false">IF(AND(U1455="",OR(P1455="",P1455="LOSE"),T1455&lt;&gt;"",N(S1455)&lt;=0,ISNUMBER(MATCH(T1455,Parameter!$I$27:$I$29,0))),1,0)</f>
        <v>0</v>
      </c>
      <c r="CC1455" s="65" t="n">
        <f aca="false">IF(CR1455&gt;0,INDEX(Parameter!$H$5:$H$7,W1455)/INDEX(Parameter!$E$5:$E$7,W1455),IF(AND(CA1455=0,N(IFERROR(VLOOKUP(BY1455,'Gebinde-Kategorie'!$A$5:$N$45,14,0),0))&gt;0),VLOOKUP(BY1455,'Gebinde-Kategorie'!$A$5:$N$45,14,0)*10+Parameter!$M$23,Parameter!$M$24))</f>
        <v>235</v>
      </c>
      <c r="CD1455" s="60" t="str">
        <f aca="false">IF(AND(Parameter!$B$19="Ja",E1455&lt;&gt;"",ISNUMBER(MATCH(E1455,Parameter!$I$35:$I$52,0))),VLOOKUP(E1455,Parameter!$I$35:$J$52,2,0),IFERROR(VLOOKUP(D1455,Parameter!$A$35:$C$64,2,0),"Nein"))</f>
        <v>Nein</v>
      </c>
      <c r="CE1455" s="64" t="n">
        <f aca="false">IF(CA1455=0,0,IF(N(S1455)&gt;0,S1455,IFERROR(VLOOKUP(D1455,Parameter!$A$35:$C$64,3,0)+0,0)))</f>
        <v>0.15</v>
      </c>
      <c r="CF1455" s="60" t="str">
        <f aca="false">IF(AB1455&lt;&gt;"",AB1455,AA1455)</f>
        <v>-</v>
      </c>
      <c r="CG1455" s="60" t="str">
        <f aca="false">IF(OR(CF1455=1,CF1455=2,CF1455=3),IF(Parameter!$E$27="Ja","LIFT",IF(CF1455=1,"L1","L23")),IF(CF1455="Aussen","Aussen","-"))</f>
        <v>-</v>
      </c>
      <c r="CH1455" s="71" t="n">
        <f aca="false">IF(N(AC1455)&gt;0,AC1455,0)</f>
        <v>0</v>
      </c>
      <c r="CI1455" s="65" t="n">
        <f aca="false">IF(ISNUMBER(AF1455),1,0)</f>
        <v>0</v>
      </c>
      <c r="CJ1455" s="62" t="n">
        <f aca="false">N(AF1455)</f>
        <v>0</v>
      </c>
      <c r="CK1455" s="62" t="n">
        <f aca="false">N(M1455)+N(N1455)</f>
        <v>1</v>
      </c>
      <c r="CL1455" s="62" t="n">
        <f aca="false">N(M1455)</f>
        <v>0</v>
      </c>
      <c r="CM1455" s="62" t="n">
        <f aca="false">N(N1455)</f>
        <v>1</v>
      </c>
      <c r="CN1455" s="62" t="n">
        <f aca="false">ROUNDUP(H1455/BZ1455,0)</f>
        <v>0</v>
      </c>
      <c r="CO1455" s="62" t="n">
        <f aca="false">ROUNDUP(CJ1455/BZ1455,0)</f>
        <v>0</v>
      </c>
      <c r="CP1455" s="65" t="n">
        <f aca="false">IF(CA1455=1,0,IFERROR(VLOOKUP(BY1455,'Gebinde-Kategorie'!$A$5:$N$45,5,0)+0,0))</f>
        <v>0</v>
      </c>
      <c r="CQ1455" s="65" t="n">
        <f aca="false">IFERROR(IF(OR(CF1455=1,CF1455=2,CF1455=3),N(INDEX(Parameter!$I$5:$I$7,CF1455)),0),0)</f>
        <v>0</v>
      </c>
      <c r="CR1455" s="64" t="n">
        <f aca="false">IF(AND(Parameter!$B$21="Ja",ISNUMBER(W1455),N(X1455)&gt;0),IFERROR(N(INDEX(Parameter!$L$5:$L$7,W1455))*INDEX(Parameter!$E$5:$E$7,W1455)*X1455/SUMIFS($X$7:$X$1843,$W$7:$W$1843,W1455),0),0)</f>
        <v>0</v>
      </c>
      <c r="CS1455" s="62" t="str">
        <f aca="false">IF(AND(OR(CG1455="L1",CG1455="L23",CG1455="LIFT"),H1455&gt;0),CC1455*IF(CR1455&gt;0,CR1455*MAX(1,H1455/X1455),IF(CA1455=1,CE1455,IF(R1455&gt;0,CN1455/R1455,0))/MAX(0.1,N(Parameter!$M$21))),"")</f>
        <v/>
      </c>
      <c r="CT1455" s="64" t="str">
        <f aca="false">IF(CS1455="","",J1455/H1455)</f>
        <v/>
      </c>
      <c r="CU1455" s="62" t="str">
        <f aca="false">IF(CS1455="","",H1455*G1455)</f>
        <v/>
      </c>
      <c r="CV1455" s="63" t="str">
        <f aca="false">IF(CS1455="","",(CL1455+ROUNDUP(CL1455+MAX(CM1455,2*(J1455/MAX(0.1,N(Einkauf!$C$6))-CL1455)),0))/2)</f>
        <v/>
      </c>
      <c r="CW1455" s="62" t="str">
        <f aca="false">IF(CS1455="","",MAX(0,H1455-CV1455)*G1455)</f>
        <v/>
      </c>
      <c r="CX1455" s="62" t="str">
        <f aca="false">IF(CS1455="","",CS1455*MAX(0,1-CV1455/H1455))</f>
        <v/>
      </c>
      <c r="CY1455" s="64" t="str">
        <f aca="false">IF(CS1455="","",PERCENTRANK($CS$7:$CS$1843,CS1455)+PERCENTRANK($CU$7:$CU$1843,CU1455)+1-PERCENTRANK($CT$7:$CT$1843,CT1455))</f>
        <v/>
      </c>
      <c r="CZ1455" s="72" t="str">
        <f aca="false">IF(CS1455="","",CHOOSE(MATCH(Einkauf!$C$5,Parameter!$G$23:$G$27,0),CY1455,CS1455,CU1455,-CT1455,CW1455)+ROW()/1000000000)</f>
        <v/>
      </c>
    </row>
    <row r="1456" customFormat="false" ht="15" hidden="false" customHeight="false" outlineLevel="0" collapsed="false">
      <c r="A1456" s="60" t="s">
        <v>2588</v>
      </c>
      <c r="B1456" s="60" t="s">
        <v>2589</v>
      </c>
      <c r="C1456" s="60" t="s">
        <v>206</v>
      </c>
      <c r="D1456" s="60" t="s">
        <v>207</v>
      </c>
      <c r="E1456" s="60"/>
      <c r="F1456" s="60"/>
      <c r="G1456" s="61" t="n">
        <v>2011.57</v>
      </c>
      <c r="H1456" s="62" t="n">
        <f aca="false">MAX(0,IF(AND(Parameter!$B$21="Ja",ISNUMBER(Y1456)),Y1456,IF(Parameter!$B$20="Jahresanfang 2025 + Export",BS1456+BR1456,BR1456)))</f>
        <v>9</v>
      </c>
      <c r="I1456" s="62" t="n">
        <f aca="false">H1456*G1456</f>
        <v>18104.13</v>
      </c>
      <c r="J1456" s="62" t="n">
        <f aca="false">BU1456*Parameter!$B$18</f>
        <v>12</v>
      </c>
      <c r="K1456" s="63"/>
      <c r="L1456" s="64"/>
      <c r="M1456" s="62" t="n">
        <v>2</v>
      </c>
      <c r="N1456" s="62" t="n">
        <v>3</v>
      </c>
      <c r="O1456" s="65"/>
      <c r="P1456" s="60" t="s">
        <v>210</v>
      </c>
      <c r="Q1456" s="62"/>
      <c r="R1456" s="65" t="n">
        <f aca="false">IF(CA1456=1,0,IFERROR(VLOOKUP(BY1456,'Gebinde-Kategorie'!$A$5:$N$45,13,0)+0,0))</f>
        <v>0</v>
      </c>
      <c r="S1456" s="66"/>
      <c r="T1456" s="67"/>
      <c r="U1456" s="67"/>
      <c r="V1456" s="67"/>
      <c r="W1456" s="60" t="n">
        <v>1</v>
      </c>
      <c r="X1456" s="62" t="n">
        <v>29</v>
      </c>
      <c r="Y1456" s="62" t="n">
        <v>9</v>
      </c>
      <c r="Z1456" s="60" t="n">
        <v>1</v>
      </c>
      <c r="AA1456" s="60" t="n">
        <f aca="false">IF(A1456="","",IF(AND(Parameter!$B$21="Ja",ISNUMBER(W1456)),W1456,IF(AND(Parameter!$E$27="Ja",ISNUMBER(Z1456),CD1456&lt;&gt;"Nein"),Z1456,IF(CD1456="2+3",IF(ISNUMBER(SEARCH("grosser Artikel",BV1456)),2,IFERROR(VLOOKUP(BY1456,Parameter!$F$35:$G$64,2,0),2)),IF(OR(CD1456="Nein",CD1456=""),"-",CD1456)))))</f>
        <v>1</v>
      </c>
      <c r="AB1456" s="67"/>
      <c r="AC1456" s="68"/>
      <c r="AD1456" s="62" t="n">
        <f aca="false">AW1456</f>
        <v>6</v>
      </c>
      <c r="AE1456" s="62" t="n">
        <f aca="false">MAX(AW1456,H1456)</f>
        <v>9</v>
      </c>
      <c r="AF1456" s="69"/>
      <c r="AG1456" s="62" t="n">
        <f aca="false">IF(LEFT(Cockpit!$C$5,1)="A",H1456,IF(Parameter!$E$30="MAX-Bestand",IF(CI1456=1,CJ1456,IF(LEFT(Cockpit!$C$5,1)="B",AM1456,MAX(AM1456,H1456))),ROUNDUP(AK1456,0)))</f>
        <v>9</v>
      </c>
      <c r="AH1456" s="62" t="n">
        <f aca="false">IF(CA1456=1,0,ROUNDUP(AG1456/BZ1456,0))</f>
        <v>0</v>
      </c>
      <c r="AI1456" s="64" t="n">
        <f aca="false">IF(CR1456&gt;0,CR1456*MAX(1,AG1456/X1456),IF(CA1456=1,IF(AG1456&lt;=0,0,CE1456*MAX(1,IF(H1456&gt;0,AG1456/H1456,1))),IF(R1456&gt;0,AH1456/R1456,0))/MAX(0.1,N(Parameter!$M$21)))</f>
        <v>2.3210922787194</v>
      </c>
      <c r="AJ1456" s="62" t="n">
        <f aca="false">AI1456*CC1456</f>
        <v>552.419962335217</v>
      </c>
      <c r="AK1456" s="63" t="n">
        <f aca="false">IF(LEFT(Cockpit!$C$5,1)="A",H1456,IF(CI1456=1,(CL1456+CJ1456)/2,IF(LEFT(Cockpit!$C$5,1)="B",(CL1456+AM1456)/2,MAX((CL1456+AM1456)/2,H1456))))</f>
        <v>9</v>
      </c>
      <c r="AL1456" s="62" t="n">
        <f aca="false">AK1456*G1456</f>
        <v>18104.13</v>
      </c>
      <c r="AM1456" s="62" t="n">
        <f aca="false">ROUNDUP(CL1456+MAX(CM1456,2*(J1456/IF(CH1456&gt;0,CH1456,MAX(0.1,N(Cockpit!$C$6)))-CL1456)),0)</f>
        <v>6</v>
      </c>
      <c r="AN1456" s="63" t="n">
        <f aca="false">IF(AJ1456&gt;0,J1456/AJ1456,-1)</f>
        <v>0.0217226038488418</v>
      </c>
      <c r="AO1456" s="63" t="n">
        <f aca="false">IF(AND(OR(CG1456="L1",CG1456="L23",CG1456="LIFT"),AJ1456&gt;0),SUMIFS($AJ$7:$AJ$1843,$CG$7:$CG$1843,CG1456,$AN$7:$AN$1843,"&gt;"&amp;AN1456)+SUMIFS($AJ$7:$AJ$1843,$CG$7:$CG$1843,CG1456,$AN$7:$AN$1843,AN1456,$BX$7:$BX$1843,"&lt;="&amp;BX1456),"")</f>
        <v>23263.7441148776</v>
      </c>
      <c r="AP1456" s="70" t="n">
        <f aca="false">IF(AO1456="",0,MAX(0,MIN(1,(IF(CG1456="L1",Parameter!$H$5,IF(CG1456="L23",Parameter!$H$6+Parameter!$H$7,Parameter!$H$5+Parameter!$H$6+Parameter!$H$7))-(AO1456-AJ1456))/AJ1456)))</f>
        <v>1</v>
      </c>
      <c r="AQ1456" s="62" t="n">
        <f aca="false">IF(LEFT(Cockpit!$I$5,1)="A",H1456,IF(Parameter!$E$30="MAX-Bestand",IF(CI1456=1,CJ1456,IF(LEFT(Cockpit!$I$5,1)="B",AW1456,MAX(AW1456,H1456))),ROUNDUP(AU1456,0)))</f>
        <v>9</v>
      </c>
      <c r="AR1456" s="62" t="n">
        <f aca="false">IF(CA1456=1,0,ROUNDUP(AQ1456/BZ1456,0))</f>
        <v>0</v>
      </c>
      <c r="AS1456" s="64" t="n">
        <f aca="false">IF(CR1456&gt;0,CR1456*MAX(1,AQ1456/X1456),IF(CA1456=1,IF(AQ1456&lt;=0,0,CE1456*MAX(1,IF(H1456&gt;0,AQ1456/H1456,1))),IF(R1456&gt;0,AR1456/R1456,0))/MAX(0.1,N(Parameter!$M$21)))</f>
        <v>2.3210922787194</v>
      </c>
      <c r="AT1456" s="62" t="n">
        <f aca="false">AS1456*CC1456</f>
        <v>552.419962335217</v>
      </c>
      <c r="AU1456" s="63" t="n">
        <f aca="false">IF(LEFT(Cockpit!$I$5,1)="A",H1456,IF(CI1456=1,(CL1456+CJ1456)/2,IF(LEFT(Cockpit!$I$5,1)="B",(CL1456+AW1456)/2,MAX((CL1456+AW1456)/2,H1456))))</f>
        <v>9</v>
      </c>
      <c r="AV1456" s="62" t="n">
        <f aca="false">AU1456*G1456</f>
        <v>18104.13</v>
      </c>
      <c r="AW1456" s="62" t="n">
        <f aca="false">ROUNDUP(CL1456+MAX(CM1456,2*(J1456/IF(CH1456&gt;0,CH1456,MAX(0.1,N(Cockpit!$I$6)))-CL1456)),0)</f>
        <v>6</v>
      </c>
      <c r="AX1456" s="63" t="n">
        <f aca="false">IF(AT1456&gt;0,J1456/AT1456,-1)</f>
        <v>0.0217226038488418</v>
      </c>
      <c r="AY1456" s="63" t="n">
        <f aca="false">IF(AND(OR(CG1456="L1",CG1456="L23",CG1456="LIFT"),AT1456&gt;0),SUMIFS($AT$7:$AT$1843,$CG$7:$CG$1843,CG1456,$AX$7:$AX$1843,"&gt;"&amp;AX1456)+SUMIFS($AT$7:$AT$1843,$CG$7:$CG$1843,CG1456,$AX$7:$AX$1843,AX1456,$BX$7:$BX$1843,"&lt;="&amp;BX1456),"")</f>
        <v>28499.392756255</v>
      </c>
      <c r="AZ1456" s="70" t="n">
        <f aca="false">IF(AY1456="",0,MAX(0,MIN(1,(IF(CG1456="L1",Parameter!$H$5,IF(CG1456="L23",Parameter!$H$6+Parameter!$H$7,Parameter!$H$5+Parameter!$H$6+Parameter!$H$7))-(AY1456-AT1456))/AT1456)))</f>
        <v>1</v>
      </c>
      <c r="BA1456" s="62" t="n">
        <f aca="false">IF(LEFT(Cockpit!$O$5,1)="A",H1456,IF(Parameter!$E$30="MAX-Bestand",IF(CI1456=1,CJ1456,IF(LEFT(Cockpit!$O$5,1)="B",BG1456,MAX(BG1456,H1456))),ROUNDUP(BE1456,0)))</f>
        <v>4</v>
      </c>
      <c r="BB1456" s="62" t="n">
        <f aca="false">IF(CA1456=1,0,ROUNDUP(BA1456/BZ1456,0))</f>
        <v>0</v>
      </c>
      <c r="BC1456" s="64" t="n">
        <f aca="false">IF(CR1456&gt;0,CR1456*MAX(1,BA1456/X1456),IF(CA1456=1,IF(BA1456&lt;=0,0,CE1456*MAX(1,IF(H1456&gt;0,BA1456/H1456,1))),IF(R1456&gt;0,BB1456/R1456,0))/MAX(0.1,N(Parameter!$M$21)))</f>
        <v>2.3210922787194</v>
      </c>
      <c r="BD1456" s="62" t="n">
        <f aca="false">BC1456*CC1456</f>
        <v>552.419962335217</v>
      </c>
      <c r="BE1456" s="63" t="n">
        <f aca="false">IF(LEFT(Cockpit!$O$5,1)="A",H1456,IF(CI1456=1,(CL1456+CJ1456)/2,IF(LEFT(Cockpit!$O$5,1)="B",(CL1456+BG1456)/2,MAX((CL1456+BG1456)/2,H1456))))</f>
        <v>3.5</v>
      </c>
      <c r="BF1456" s="62" t="n">
        <f aca="false">BE1456*G1456</f>
        <v>7040.495</v>
      </c>
      <c r="BG1456" s="62" t="n">
        <f aca="false">ROUNDUP(CL1456+MAX(CM1456,2*(J1456/IF(CH1456&gt;0,CH1456,MAX(0.1,N(Cockpit!$O$6)))-CL1456)),0)</f>
        <v>5</v>
      </c>
      <c r="BH1456" s="63" t="n">
        <f aca="false">IF(BD1456&gt;0,J1456/BD1456,-1)</f>
        <v>0.0217226038488418</v>
      </c>
      <c r="BI1456" s="63" t="n">
        <f aca="false">IF(AND(OR(CG1456="L1",CG1456="L23",CG1456="LIFT"),BD1456&gt;0),SUMIFS($BD$7:$BD$1843,$CG$7:$CG$1843,CG1456,$BH$7:$BH$1843,"&gt;"&amp;BH1456)+SUMIFS($BD$7:$BD$1843,$CG$7:$CG$1843,CG1456,$BH$7:$BH$1843,BH1456,$BX$7:$BX$1843,"&lt;="&amp;BX1456),"")</f>
        <v>24082.833573912</v>
      </c>
      <c r="BJ1456" s="70" t="n">
        <f aca="false">IF(BI1456="",0,MAX(0,MIN(1,(IF(CG1456="L1",Parameter!$H$5,IF(CG1456="L23",Parameter!$H$6+Parameter!$H$7,Parameter!$H$5+Parameter!$H$6+Parameter!$H$7))-(BI1456-BD1456))/BD1456)))</f>
        <v>1</v>
      </c>
      <c r="BK1456" s="60" t="str">
        <f aca="false">IF(AJ1456&lt;=0,"",IF(CG1456="Aussen","Aussenlager",IF(CG1456="-","Nicht im Lift",IF(AP1456&gt;=1,"Lift",IF(AP1456&lt;=0,"Aussenlager","teilweise")))))</f>
        <v>Lift</v>
      </c>
      <c r="BL1456" s="60" t="str">
        <f aca="false">IF(AT1456&lt;=0,"",IF(CG1456="Aussen","Aussenlager",IF(CG1456="-","Nicht im Lift",IF(AZ1456&gt;=1,"Lift",IF(AZ1456&lt;=0,"Aussenlager","teilweise")))))</f>
        <v>Lift</v>
      </c>
      <c r="BM1456" s="60" t="str">
        <f aca="false">IF(BD1456&lt;=0,"",IF(CG1456="Aussen","Aussenlager",IF(CG1456="-","Nicht im Lift",IF(BJ1456&gt;=1,"Lift",IF(BJ1456&lt;=0,"Aussenlager","teilweise")))))</f>
        <v>Lift</v>
      </c>
      <c r="BN1456" s="60" t="str">
        <f aca="false">IF(A1456="","",IF(BW1456=1,"Neu; ","")&amp;IF(AND(BW1456=0,BR1456&lt;0),"negativer Bestand (Export "&amp;BR1456&amp;"); ","")&amp;IF(J1456&lt;=0,"Kein Verbrauch; ","")&amp;IF(CR1456&gt;0,"Lift "&amp;W1456&amp;" lt. Liftbericht (Fach "&amp;X1456&amp;" Stk); ",IF(CB1456=1,"Gebinde geschätzt ("&amp;T1456&amp;"); ",IF(CA1456=1,"Lose – Tablare geschätzt; ","")))&amp;IF(H1456&gt;AW1456,"Überbestand "&amp;ROUND(H1456-AW1456,0)&amp;" Stk / CHF "&amp;ROUND((H1456-AW1456)*G1456,0)&amp;"; ","")&amp;IF(AND(CI1456=1,CJ1456&lt;CK1456),"MAX &lt; MB+LG; ","")&amp;IF(AND(CQ1456&gt;0,CP1456*10&gt;CQ1456),"zu hoch für Tablar; ","")&amp;IF(AND(BW1456=0,OR(CI1456=1,AB1456&lt;&gt;"",U1456&lt;&gt;"",V1456&lt;&gt;"",AC1456&lt;&gt;"")),"manuell übersteuert; ","")&amp;IF(AND(CA1456=0,R1456=0),"Gebinde unbekannt / Stellmass fehlt; ","")&amp;IF(AND(CA1456=0,N(V1456)&lt;=0,N(Q1456)&lt;=0),"Menge pro Gebinde fehlt (Ist = 1 Gebinde); ","")&amp;BV1456)</f>
        <v>negativer Bestand (Export -8); Lift 1 lt. Liftbericht (Fach 29 Stk); Überbestand 3 Stk / CHF 6035; </v>
      </c>
      <c r="BO1456" s="60"/>
      <c r="BP1456" s="60"/>
      <c r="BQ1456" s="67"/>
      <c r="BR1456" s="62" t="n">
        <v>-8</v>
      </c>
      <c r="BS1456" s="62" t="n">
        <v>0</v>
      </c>
      <c r="BT1456" s="61" t="n">
        <v>-15753.9</v>
      </c>
      <c r="BU1456" s="62" t="n">
        <v>12</v>
      </c>
      <c r="BV1456" s="60"/>
      <c r="BW1456" s="65" t="n">
        <v>0</v>
      </c>
      <c r="BX1456" s="65" t="n">
        <v>1456</v>
      </c>
      <c r="BY1456" s="60" t="str">
        <f aca="false">IF(U1456&lt;&gt;"",UPPER(TRIM(U1456)),IF(CB1456=1,UPPER(VLOOKUP(T1456,Parameter!$I$27:$K$29,2,0)),IF(P1456="","LOSE",P1456)))</f>
        <v>LOSE</v>
      </c>
      <c r="BZ1456" s="62" t="n">
        <f aca="false">IF(BY1456="LOSE",1,IF(N(V1456)&gt;0,V1456,IF(CB1456=1,MAX(1,N(VLOOKUP(T1456,Parameter!$I$27:$K$29,3,0)),H1456,N(N1456)),IF(N(Q1456)&gt;0,Q1456,MAX(1,H1456)))))</f>
        <v>1</v>
      </c>
      <c r="CA1456" s="65" t="n">
        <f aca="false">IF(BY1456="LOSE",1,0)</f>
        <v>1</v>
      </c>
      <c r="CB1456" s="65" t="n">
        <f aca="false">IF(AND(U1456="",OR(P1456="",P1456="LOSE"),T1456&lt;&gt;"",N(S1456)&lt;=0,ISNUMBER(MATCH(T1456,Parameter!$I$27:$I$29,0))),1,0)</f>
        <v>0</v>
      </c>
      <c r="CC1456" s="65" t="n">
        <f aca="false">IF(CR1456&gt;0,INDEX(Parameter!$H$5:$H$7,W1456)/INDEX(Parameter!$E$5:$E$7,W1456),IF(AND(CA1456=0,N(IFERROR(VLOOKUP(BY1456,'Gebinde-Kategorie'!$A$5:$N$45,14,0),0))&gt;0),VLOOKUP(BY1456,'Gebinde-Kategorie'!$A$5:$N$45,14,0)*10+Parameter!$M$23,Parameter!$M$24))</f>
        <v>238</v>
      </c>
      <c r="CD1456" s="60" t="n">
        <f aca="false">IF(AND(Parameter!$B$19="Ja",E1456&lt;&gt;"",ISNUMBER(MATCH(E1456,Parameter!$I$35:$I$52,0))),VLOOKUP(E1456,Parameter!$I$35:$J$52,2,0),IFERROR(VLOOKUP(D1456,Parameter!$A$35:$C$64,2,0),"Nein"))</f>
        <v>1</v>
      </c>
      <c r="CE1456" s="64" t="n">
        <f aca="false">IF(CA1456=0,0,IF(N(S1456)&gt;0,S1456,IFERROR(VLOOKUP(D1456,Parameter!$A$35:$C$64,3,0)+0,0)))</f>
        <v>1</v>
      </c>
      <c r="CF1456" s="60" t="n">
        <f aca="false">IF(AB1456&lt;&gt;"",AB1456,AA1456)</f>
        <v>1</v>
      </c>
      <c r="CG1456" s="60" t="str">
        <f aca="false">IF(OR(CF1456=1,CF1456=2,CF1456=3),IF(Parameter!$E$27="Ja","LIFT",IF(CF1456=1,"L1","L23")),IF(CF1456="Aussen","Aussen","-"))</f>
        <v>LIFT</v>
      </c>
      <c r="CH1456" s="71" t="n">
        <f aca="false">IF(N(AC1456)&gt;0,AC1456,0)</f>
        <v>0</v>
      </c>
      <c r="CI1456" s="65" t="n">
        <f aca="false">IF(ISNUMBER(AF1456),1,0)</f>
        <v>0</v>
      </c>
      <c r="CJ1456" s="62" t="n">
        <f aca="false">N(AF1456)</f>
        <v>0</v>
      </c>
      <c r="CK1456" s="62" t="n">
        <f aca="false">N(M1456)+N(N1456)</f>
        <v>5</v>
      </c>
      <c r="CL1456" s="62" t="n">
        <f aca="false">N(M1456)</f>
        <v>2</v>
      </c>
      <c r="CM1456" s="62" t="n">
        <f aca="false">N(N1456)</f>
        <v>3</v>
      </c>
      <c r="CN1456" s="62" t="n">
        <f aca="false">ROUNDUP(H1456/BZ1456,0)</f>
        <v>9</v>
      </c>
      <c r="CO1456" s="62" t="n">
        <f aca="false">ROUNDUP(CJ1456/BZ1456,0)</f>
        <v>0</v>
      </c>
      <c r="CP1456" s="65" t="n">
        <f aca="false">IF(CA1456=1,0,IFERROR(VLOOKUP(BY1456,'Gebinde-Kategorie'!$A$5:$N$45,5,0)+0,0))</f>
        <v>0</v>
      </c>
      <c r="CQ1456" s="65" t="n">
        <f aca="false">IFERROR(IF(OR(CF1456=1,CF1456=2,CF1456=3),N(INDEX(Parameter!$I$5:$I$7,CF1456)),0),0)</f>
        <v>0</v>
      </c>
      <c r="CR1456" s="64" t="n">
        <f aca="false">IF(AND(Parameter!$B$21="Ja",ISNUMBER(W1456),N(X1456)&gt;0),IFERROR(N(INDEX(Parameter!$L$5:$L$7,W1456))*INDEX(Parameter!$E$5:$E$7,W1456)*X1456/SUMIFS($X$7:$X$1843,$W$7:$W$1843,W1456),0),0)</f>
        <v>2.3210922787194</v>
      </c>
      <c r="CS1456" s="62" t="n">
        <f aca="false">IF(AND(OR(CG1456="L1",CG1456="L23",CG1456="LIFT"),H1456&gt;0),CC1456*IF(CR1456&gt;0,CR1456*MAX(1,H1456/X1456),IF(CA1456=1,CE1456,IF(R1456&gt;0,CN1456/R1456,0))/MAX(0.1,N(Parameter!$M$21))),"")</f>
        <v>552.419962335217</v>
      </c>
      <c r="CT1456" s="64" t="n">
        <f aca="false">IF(CS1456="","",J1456/H1456)</f>
        <v>1.33333333333333</v>
      </c>
      <c r="CU1456" s="62" t="n">
        <f aca="false">IF(CS1456="","",H1456*G1456)</f>
        <v>18104.13</v>
      </c>
      <c r="CV1456" s="63" t="n">
        <f aca="false">IF(CS1456="","",(CL1456+ROUNDUP(CL1456+MAX(CM1456,2*(J1456/MAX(0.1,N(Einkauf!$C$6))-CL1456)),0))/2)</f>
        <v>3.5</v>
      </c>
      <c r="CW1456" s="62" t="n">
        <f aca="false">IF(CS1456="","",MAX(0,H1456-CV1456)*G1456)</f>
        <v>11063.635</v>
      </c>
      <c r="CX1456" s="62" t="n">
        <f aca="false">IF(CS1456="","",CS1456*MAX(0,1-CV1456/H1456))</f>
        <v>337.589976982632</v>
      </c>
      <c r="CY1456" s="64" t="n">
        <f aca="false">IF(CS1456="","",PERCENTRANK($CS$7:$CS$1843,CS1456)+PERCENTRANK($CU$7:$CU$1843,CU1456)+1-PERCENTRANK($CT$7:$CT$1843,CT1456))</f>
        <v>2.243</v>
      </c>
      <c r="CZ1456" s="72" t="n">
        <f aca="false">IF(CS1456="","",CHOOSE(MATCH(Einkauf!$C$5,Parameter!$G$23:$G$27,0),CY1456,CS1456,CU1456,-CT1456,CW1456)+ROW()/1000000000)</f>
        <v>2.243001456</v>
      </c>
    </row>
    <row r="1457" customFormat="false" ht="15" hidden="false" customHeight="false" outlineLevel="0" collapsed="false">
      <c r="A1457" s="60" t="s">
        <v>2590</v>
      </c>
      <c r="B1457" s="60" t="s">
        <v>223</v>
      </c>
      <c r="C1457" s="60" t="s">
        <v>498</v>
      </c>
      <c r="D1457" s="60" t="s">
        <v>215</v>
      </c>
      <c r="E1457" s="60" t="s">
        <v>227</v>
      </c>
      <c r="F1457" s="60"/>
      <c r="G1457" s="61" t="n">
        <v>5331</v>
      </c>
      <c r="H1457" s="62" t="n">
        <f aca="false">MAX(0,IF(AND(Parameter!$B$21="Ja",ISNUMBER(Y1457)),Y1457,IF(Parameter!$B$20="Jahresanfang 2025 + Export",BS1457+BR1457,BR1457)))</f>
        <v>0</v>
      </c>
      <c r="I1457" s="62" t="n">
        <f aca="false">H1457*G1457</f>
        <v>0</v>
      </c>
      <c r="J1457" s="62" t="n">
        <f aca="false">BU1457*Parameter!$B$18</f>
        <v>5</v>
      </c>
      <c r="K1457" s="63"/>
      <c r="L1457" s="64"/>
      <c r="M1457" s="62" t="n">
        <v>0</v>
      </c>
      <c r="N1457" s="62" t="n">
        <v>1</v>
      </c>
      <c r="O1457" s="65"/>
      <c r="P1457" s="60" t="s">
        <v>210</v>
      </c>
      <c r="Q1457" s="62"/>
      <c r="R1457" s="65" t="n">
        <f aca="false">IF(CA1457=1,0,IFERROR(VLOOKUP(BY1457,'Gebinde-Kategorie'!$A$5:$N$45,13,0)+0,0))</f>
        <v>12</v>
      </c>
      <c r="S1457" s="66"/>
      <c r="T1457" s="67" t="s">
        <v>221</v>
      </c>
      <c r="U1457" s="67"/>
      <c r="V1457" s="67"/>
      <c r="W1457" s="60"/>
      <c r="X1457" s="62"/>
      <c r="Y1457" s="62"/>
      <c r="Z1457" s="60" t="n">
        <v>3</v>
      </c>
      <c r="AA1457" s="60" t="n">
        <f aca="false">IF(A1457="","",IF(AND(Parameter!$B$21="Ja",ISNUMBER(W1457)),W1457,IF(AND(Parameter!$E$27="Ja",ISNUMBER(Z1457),CD1457&lt;&gt;"Nein"),Z1457,IF(CD1457="2+3",IF(ISNUMBER(SEARCH("grosser Artikel",BV1457)),2,IFERROR(VLOOKUP(BY1457,Parameter!$F$35:$G$64,2,0),2)),IF(OR(CD1457="Nein",CD1457=""),"-",CD1457)))))</f>
        <v>3</v>
      </c>
      <c r="AB1457" s="67"/>
      <c r="AC1457" s="68"/>
      <c r="AD1457" s="62" t="n">
        <f aca="false">AW1457</f>
        <v>4</v>
      </c>
      <c r="AE1457" s="62" t="n">
        <f aca="false">MAX(AW1457,H1457)</f>
        <v>4</v>
      </c>
      <c r="AF1457" s="69"/>
      <c r="AG1457" s="62" t="n">
        <f aca="false">IF(LEFT(Cockpit!$C$5,1)="A",H1457,IF(Parameter!$E$30="MAX-Bestand",IF(CI1457=1,CJ1457,IF(LEFT(Cockpit!$C$5,1)="B",AM1457,MAX(AM1457,H1457))),ROUNDUP(AK1457,0)))</f>
        <v>0</v>
      </c>
      <c r="AH1457" s="62" t="n">
        <f aca="false">IF(CA1457=1,0,ROUNDUP(AG1457/BZ1457,0))</f>
        <v>0</v>
      </c>
      <c r="AI1457" s="64" t="n">
        <f aca="false">IF(CR1457&gt;0,CR1457*MAX(1,AG1457/X1457),IF(CA1457=1,IF(AG1457&lt;=0,0,CE1457*MAX(1,IF(H1457&gt;0,AG1457/H1457,1))),IF(R1457&gt;0,AH1457/R1457,0))/MAX(0.1,N(Parameter!$M$21)))</f>
        <v>0</v>
      </c>
      <c r="AJ1457" s="62" t="n">
        <f aca="false">AI1457*CC1457</f>
        <v>0</v>
      </c>
      <c r="AK1457" s="63" t="n">
        <f aca="false">IF(LEFT(Cockpit!$C$5,1)="A",H1457,IF(CI1457=1,(CL1457+CJ1457)/2,IF(LEFT(Cockpit!$C$5,1)="B",(CL1457+AM1457)/2,MAX((CL1457+AM1457)/2,H1457))))</f>
        <v>0</v>
      </c>
      <c r="AL1457" s="62" t="n">
        <f aca="false">AK1457*G1457</f>
        <v>0</v>
      </c>
      <c r="AM1457" s="62" t="n">
        <f aca="false">ROUNDUP(CL1457+MAX(CM1457,2*(J1457/IF(CH1457&gt;0,CH1457,MAX(0.1,N(Cockpit!$C$6)))-CL1457)),0)</f>
        <v>4</v>
      </c>
      <c r="AN1457" s="63" t="n">
        <f aca="false">IF(AJ1457&gt;0,J1457/AJ1457,-1)</f>
        <v>-1</v>
      </c>
      <c r="AO1457" s="63" t="str">
        <f aca="false">IF(AND(OR(CG1457="L1",CG1457="L23",CG1457="LIFT"),AJ1457&gt;0),SUMIFS($AJ$7:$AJ$1843,$CG$7:$CG$1843,CG1457,$AN$7:$AN$1843,"&gt;"&amp;AN1457)+SUMIFS($AJ$7:$AJ$1843,$CG$7:$CG$1843,CG1457,$AN$7:$AN$1843,AN1457,$BX$7:$BX$1843,"&lt;="&amp;BX1457),"")</f>
        <v/>
      </c>
      <c r="AP1457" s="70" t="n">
        <f aca="false">IF(AO1457="",0,MAX(0,MIN(1,(IF(CG1457="L1",Parameter!$H$5,IF(CG1457="L23",Parameter!$H$6+Parameter!$H$7,Parameter!$H$5+Parameter!$H$6+Parameter!$H$7))-(AO1457-AJ1457))/AJ1457)))</f>
        <v>0</v>
      </c>
      <c r="AQ1457" s="62" t="n">
        <f aca="false">IF(LEFT(Cockpit!$I$5,1)="A",H1457,IF(Parameter!$E$30="MAX-Bestand",IF(CI1457=1,CJ1457,IF(LEFT(Cockpit!$I$5,1)="B",AW1457,MAX(AW1457,H1457))),ROUNDUP(AU1457,0)))</f>
        <v>2</v>
      </c>
      <c r="AR1457" s="62" t="n">
        <f aca="false">IF(CA1457=1,0,ROUNDUP(AQ1457/BZ1457,0))</f>
        <v>1</v>
      </c>
      <c r="AS1457" s="64" t="n">
        <f aca="false">IF(CR1457&gt;0,CR1457*MAX(1,AQ1457/X1457),IF(CA1457=1,IF(AQ1457&lt;=0,0,CE1457*MAX(1,IF(H1457&gt;0,AQ1457/H1457,1))),IF(R1457&gt;0,AR1457/R1457,0))/MAX(0.1,N(Parameter!$M$21)))</f>
        <v>0.0833333333333333</v>
      </c>
      <c r="AT1457" s="62" t="n">
        <f aca="false">AS1457*CC1457</f>
        <v>12.0833333333333</v>
      </c>
      <c r="AU1457" s="63" t="n">
        <f aca="false">IF(LEFT(Cockpit!$I$5,1)="A",H1457,IF(CI1457=1,(CL1457+CJ1457)/2,IF(LEFT(Cockpit!$I$5,1)="B",(CL1457+AW1457)/2,MAX((CL1457+AW1457)/2,H1457))))</f>
        <v>2</v>
      </c>
      <c r="AV1457" s="62" t="n">
        <f aca="false">AU1457*G1457</f>
        <v>10662</v>
      </c>
      <c r="AW1457" s="62" t="n">
        <f aca="false">ROUNDUP(CL1457+MAX(CM1457,2*(J1457/IF(CH1457&gt;0,CH1457,MAX(0.1,N(Cockpit!$I$6)))-CL1457)),0)</f>
        <v>4</v>
      </c>
      <c r="AX1457" s="63" t="n">
        <f aca="false">IF(AT1457&gt;0,J1457/AT1457,-1)</f>
        <v>0.413793103448276</v>
      </c>
      <c r="AY1457" s="63" t="n">
        <f aca="false">IF(AND(OR(CG1457="L1",CG1457="L23",CG1457="LIFT"),AT1457&gt;0),SUMIFS($AT$7:$AT$1843,$CG$7:$CG$1843,CG1457,$AX$7:$AX$1843,"&gt;"&amp;AX1457)+SUMIFS($AT$7:$AT$1843,$CG$7:$CG$1843,CG1457,$AX$7:$AX$1843,AX1457,$BX$7:$BX$1843,"&lt;="&amp;BX1457),"")</f>
        <v>12482.8493589744</v>
      </c>
      <c r="AZ1457" s="70" t="n">
        <f aca="false">IF(AY1457="",0,MAX(0,MIN(1,(IF(CG1457="L1",Parameter!$H$5,IF(CG1457="L23",Parameter!$H$6+Parameter!$H$7,Parameter!$H$5+Parameter!$H$6+Parameter!$H$7))-(AY1457-AT1457))/AT1457)))</f>
        <v>1</v>
      </c>
      <c r="BA1457" s="62" t="n">
        <f aca="false">IF(LEFT(Cockpit!$O$5,1)="A",H1457,IF(Parameter!$E$30="MAX-Bestand",IF(CI1457=1,CJ1457,IF(LEFT(Cockpit!$O$5,1)="B",BG1457,MAX(BG1457,H1457))),ROUNDUP(BE1457,0)))</f>
        <v>2</v>
      </c>
      <c r="BB1457" s="62" t="n">
        <f aca="false">IF(CA1457=1,0,ROUNDUP(BA1457/BZ1457,0))</f>
        <v>1</v>
      </c>
      <c r="BC1457" s="64" t="n">
        <f aca="false">IF(CR1457&gt;0,CR1457*MAX(1,BA1457/X1457),IF(CA1457=1,IF(BA1457&lt;=0,0,CE1457*MAX(1,IF(H1457&gt;0,BA1457/H1457,1))),IF(R1457&gt;0,BB1457/R1457,0))/MAX(0.1,N(Parameter!$M$21)))</f>
        <v>0.0833333333333333</v>
      </c>
      <c r="BD1457" s="62" t="n">
        <f aca="false">BC1457*CC1457</f>
        <v>12.0833333333333</v>
      </c>
      <c r="BE1457" s="63" t="n">
        <f aca="false">IF(LEFT(Cockpit!$O$5,1)="A",H1457,IF(CI1457=1,(CL1457+CJ1457)/2,IF(LEFT(Cockpit!$O$5,1)="B",(CL1457+BG1457)/2,MAX((CL1457+BG1457)/2,H1457))))</f>
        <v>1.5</v>
      </c>
      <c r="BF1457" s="62" t="n">
        <f aca="false">BE1457*G1457</f>
        <v>7996.5</v>
      </c>
      <c r="BG1457" s="62" t="n">
        <f aca="false">ROUNDUP(CL1457+MAX(CM1457,2*(J1457/IF(CH1457&gt;0,CH1457,MAX(0.1,N(Cockpit!$O$6)))-CL1457)),0)</f>
        <v>3</v>
      </c>
      <c r="BH1457" s="63" t="n">
        <f aca="false">IF(BD1457&gt;0,J1457/BD1457,-1)</f>
        <v>0.413793103448276</v>
      </c>
      <c r="BI1457" s="63" t="n">
        <f aca="false">IF(AND(OR(CG1457="L1",CG1457="L23",CG1457="LIFT"),BD1457&gt;0),SUMIFS($BD$7:$BD$1843,$CG$7:$CG$1843,CG1457,$BH$7:$BH$1843,"&gt;"&amp;BH1457)+SUMIFS($BD$7:$BD$1843,$CG$7:$CG$1843,CG1457,$BH$7:$BH$1843,BH1457,$BX$7:$BX$1843,"&lt;="&amp;BX1457),"")</f>
        <v>10703.103021978</v>
      </c>
      <c r="BJ1457" s="70" t="n">
        <f aca="false">IF(BI1457="",0,MAX(0,MIN(1,(IF(CG1457="L1",Parameter!$H$5,IF(CG1457="L23",Parameter!$H$6+Parameter!$H$7,Parameter!$H$5+Parameter!$H$6+Parameter!$H$7))-(BI1457-BD1457))/BD1457)))</f>
        <v>1</v>
      </c>
      <c r="BK1457" s="60" t="str">
        <f aca="false">IF(AJ1457&lt;=0,"",IF(CG1457="Aussen","Aussenlager",IF(CG1457="-","Nicht im Lift",IF(AP1457&gt;=1,"Lift",IF(AP1457&lt;=0,"Aussenlager","teilweise")))))</f>
        <v/>
      </c>
      <c r="BL1457" s="60" t="str">
        <f aca="false">IF(AT1457&lt;=0,"",IF(CG1457="Aussen","Aussenlager",IF(CG1457="-","Nicht im Lift",IF(AZ1457&gt;=1,"Lift",IF(AZ1457&lt;=0,"Aussenlager","teilweise")))))</f>
        <v>Lift</v>
      </c>
      <c r="BM1457" s="60" t="str">
        <f aca="false">IF(BD1457&lt;=0,"",IF(CG1457="Aussen","Aussenlager",IF(CG1457="-","Nicht im Lift",IF(BJ1457&gt;=1,"Lift",IF(BJ1457&lt;=0,"Aussenlager","teilweise")))))</f>
        <v>Lift</v>
      </c>
      <c r="BN1457" s="60" t="str">
        <f aca="false">IF(A1457="","",IF(BW1457=1,"Neu; ","")&amp;IF(AND(BW1457=0,BR1457&lt;0),"negativer Bestand (Export "&amp;BR1457&amp;"); ","")&amp;IF(J1457&lt;=0,"Kein Verbrauch; ","")&amp;IF(CR1457&gt;0,"Lift "&amp;W1457&amp;" lt. Liftbericht (Fach "&amp;X1457&amp;" Stk); ",IF(CB1457=1,"Gebinde geschätzt ("&amp;T1457&amp;"); ",IF(CA1457=1,"Lose – Tablare geschätzt; ","")))&amp;IF(H1457&gt;AW1457,"Überbestand "&amp;ROUND(H1457-AW1457,0)&amp;" Stk / CHF "&amp;ROUND((H1457-AW1457)*G1457,0)&amp;"; ","")&amp;IF(AND(CI1457=1,CJ1457&lt;CK1457),"MAX &lt; MB+LG; ","")&amp;IF(AND(CQ1457&gt;0,CP1457*10&gt;CQ1457),"zu hoch für Tablar; ","")&amp;IF(AND(BW1457=0,OR(CI1457=1,AB1457&lt;&gt;"",U1457&lt;&gt;"",V1457&lt;&gt;"",AC1457&lt;&gt;"")),"manuell übersteuert; ","")&amp;IF(AND(CA1457=0,R1457=0),"Gebinde unbekannt / Stellmass fehlt; ","")&amp;IF(AND(CA1457=0,N(V1457)&lt;=0,N(Q1457)&lt;=0),"Menge pro Gebinde fehlt (Ist = 1 Gebinde); ","")&amp;BV1457)</f>
        <v>negativer Bestand (Export -3); Gebinde geschätzt (Mittel); Menge pro Gebinde fehlt (Ist = 1 Gebinde); grosser Artikel &amp; nicht im KTL</v>
      </c>
      <c r="BO1457" s="60"/>
      <c r="BP1457" s="60"/>
      <c r="BQ1457" s="67"/>
      <c r="BR1457" s="62" t="n">
        <v>-3</v>
      </c>
      <c r="BS1457" s="62" t="n">
        <v>0</v>
      </c>
      <c r="BT1457" s="61" t="n">
        <v>-15993</v>
      </c>
      <c r="BU1457" s="62" t="n">
        <v>5</v>
      </c>
      <c r="BV1457" s="60" t="s">
        <v>303</v>
      </c>
      <c r="BW1457" s="65" t="n">
        <v>0</v>
      </c>
      <c r="BX1457" s="65" t="n">
        <v>1457</v>
      </c>
      <c r="BY1457" s="60" t="str">
        <f aca="false">IF(U1457&lt;&gt;"",UPPER(TRIM(U1457)),IF(CB1457=1,UPPER(VLOOKUP(T1457,Parameter!$I$27:$K$29,2,0)),IF(P1457="","LOSE",P1457)))</f>
        <v>S61</v>
      </c>
      <c r="BZ1457" s="62" t="n">
        <f aca="false">IF(BY1457="LOSE",1,IF(N(V1457)&gt;0,V1457,IF(CB1457=1,MAX(1,N(VLOOKUP(T1457,Parameter!$I$27:$K$29,3,0)),H1457,N(N1457)),IF(N(Q1457)&gt;0,Q1457,MAX(1,H1457)))))</f>
        <v>4</v>
      </c>
      <c r="CA1457" s="65" t="n">
        <f aca="false">IF(BY1457="LOSE",1,0)</f>
        <v>0</v>
      </c>
      <c r="CB1457" s="65" t="n">
        <f aca="false">IF(AND(U1457="",OR(P1457="",P1457="LOSE"),T1457&lt;&gt;"",N(S1457)&lt;=0,ISNUMBER(MATCH(T1457,Parameter!$I$27:$I$29,0))),1,0)</f>
        <v>1</v>
      </c>
      <c r="CC1457" s="65" t="n">
        <f aca="false">IF(CR1457&gt;0,INDEX(Parameter!$H$5:$H$7,W1457)/INDEX(Parameter!$E$5:$E$7,W1457),IF(AND(CA1457=0,N(IFERROR(VLOOKUP(BY1457,'Gebinde-Kategorie'!$A$5:$N$45,14,0),0))&gt;0),VLOOKUP(BY1457,'Gebinde-Kategorie'!$A$5:$N$45,14,0)*10+Parameter!$M$23,Parameter!$M$24))</f>
        <v>145</v>
      </c>
      <c r="CD1457" s="60" t="str">
        <f aca="false">IF(AND(Parameter!$B$19="Ja",E1457&lt;&gt;"",ISNUMBER(MATCH(E1457,Parameter!$I$35:$I$52,0))),VLOOKUP(E1457,Parameter!$I$35:$J$52,2,0),IFERROR(VLOOKUP(D1457,Parameter!$A$35:$C$64,2,0),"Nein"))</f>
        <v>2+3</v>
      </c>
      <c r="CE1457" s="64" t="n">
        <f aca="false">IF(CA1457=0,0,IF(N(S1457)&gt;0,S1457,IFERROR(VLOOKUP(D1457,Parameter!$A$35:$C$64,3,0)+0,0)))</f>
        <v>0</v>
      </c>
      <c r="CF1457" s="60" t="n">
        <f aca="false">IF(AB1457&lt;&gt;"",AB1457,AA1457)</f>
        <v>3</v>
      </c>
      <c r="CG1457" s="60" t="str">
        <f aca="false">IF(OR(CF1457=1,CF1457=2,CF1457=3),IF(Parameter!$E$27="Ja","LIFT",IF(CF1457=1,"L1","L23")),IF(CF1457="Aussen","Aussen","-"))</f>
        <v>LIFT</v>
      </c>
      <c r="CH1457" s="71" t="n">
        <f aca="false">IF(N(AC1457)&gt;0,AC1457,0)</f>
        <v>0</v>
      </c>
      <c r="CI1457" s="65" t="n">
        <f aca="false">IF(ISNUMBER(AF1457),1,0)</f>
        <v>0</v>
      </c>
      <c r="CJ1457" s="62" t="n">
        <f aca="false">N(AF1457)</f>
        <v>0</v>
      </c>
      <c r="CK1457" s="62" t="n">
        <f aca="false">N(M1457)+N(N1457)</f>
        <v>1</v>
      </c>
      <c r="CL1457" s="62" t="n">
        <f aca="false">N(M1457)</f>
        <v>0</v>
      </c>
      <c r="CM1457" s="62" t="n">
        <f aca="false">N(N1457)</f>
        <v>1</v>
      </c>
      <c r="CN1457" s="62" t="n">
        <f aca="false">ROUNDUP(H1457/BZ1457,0)</f>
        <v>0</v>
      </c>
      <c r="CO1457" s="62" t="n">
        <f aca="false">ROUNDUP(CJ1457/BZ1457,0)</f>
        <v>0</v>
      </c>
      <c r="CP1457" s="65" t="n">
        <f aca="false">IF(CA1457=1,0,IFERROR(VLOOKUP(BY1457,'Gebinde-Kategorie'!$A$5:$N$45,5,0)+0,0))</f>
        <v>11</v>
      </c>
      <c r="CQ1457" s="65" t="n">
        <f aca="false">IFERROR(IF(OR(CF1457=1,CF1457=2,CF1457=3),N(INDEX(Parameter!$I$5:$I$7,CF1457)),0),0)</f>
        <v>0</v>
      </c>
      <c r="CR1457" s="64" t="n">
        <f aca="false">IF(AND(Parameter!$B$21="Ja",ISNUMBER(W1457),N(X1457)&gt;0),IFERROR(N(INDEX(Parameter!$L$5:$L$7,W1457))*INDEX(Parameter!$E$5:$E$7,W1457)*X1457/SUMIFS($X$7:$X$1843,$W$7:$W$1843,W1457),0),0)</f>
        <v>0</v>
      </c>
      <c r="CS1457" s="62" t="str">
        <f aca="false">IF(AND(OR(CG1457="L1",CG1457="L23",CG1457="LIFT"),H1457&gt;0),CC1457*IF(CR1457&gt;0,CR1457*MAX(1,H1457/X1457),IF(CA1457=1,CE1457,IF(R1457&gt;0,CN1457/R1457,0))/MAX(0.1,N(Parameter!$M$21))),"")</f>
        <v/>
      </c>
      <c r="CT1457" s="64" t="str">
        <f aca="false">IF(CS1457="","",J1457/H1457)</f>
        <v/>
      </c>
      <c r="CU1457" s="62" t="str">
        <f aca="false">IF(CS1457="","",H1457*G1457)</f>
        <v/>
      </c>
      <c r="CV1457" s="63" t="str">
        <f aca="false">IF(CS1457="","",(CL1457+ROUNDUP(CL1457+MAX(CM1457,2*(J1457/MAX(0.1,N(Einkauf!$C$6))-CL1457)),0))/2)</f>
        <v/>
      </c>
      <c r="CW1457" s="62" t="str">
        <f aca="false">IF(CS1457="","",MAX(0,H1457-CV1457)*G1457)</f>
        <v/>
      </c>
      <c r="CX1457" s="62" t="str">
        <f aca="false">IF(CS1457="","",CS1457*MAX(0,1-CV1457/H1457))</f>
        <v/>
      </c>
      <c r="CY1457" s="64" t="str">
        <f aca="false">IF(CS1457="","",PERCENTRANK($CS$7:$CS$1843,CS1457)+PERCENTRANK($CU$7:$CU$1843,CU1457)+1-PERCENTRANK($CT$7:$CT$1843,CT1457))</f>
        <v/>
      </c>
      <c r="CZ1457" s="72" t="str">
        <f aca="false">IF(CS1457="","",CHOOSE(MATCH(Einkauf!$C$5,Parameter!$G$23:$G$27,0),CY1457,CS1457,CU1457,-CT1457,CW1457)+ROW()/1000000000)</f>
        <v/>
      </c>
    </row>
    <row r="1458" customFormat="false" ht="15" hidden="false" customHeight="false" outlineLevel="0" collapsed="false">
      <c r="A1458" s="60" t="s">
        <v>2591</v>
      </c>
      <c r="B1458" s="60" t="s">
        <v>2592</v>
      </c>
      <c r="C1458" s="60" t="s">
        <v>206</v>
      </c>
      <c r="D1458" s="60" t="s">
        <v>215</v>
      </c>
      <c r="E1458" s="60" t="s">
        <v>208</v>
      </c>
      <c r="F1458" s="60"/>
      <c r="G1458" s="61" t="n">
        <v>1180.4</v>
      </c>
      <c r="H1458" s="62" t="n">
        <f aca="false">MAX(0,IF(AND(Parameter!$B$21="Ja",ISNUMBER(Y1458)),Y1458,IF(Parameter!$B$20="Jahresanfang 2025 + Export",BS1458+BR1458,BR1458)))</f>
        <v>0</v>
      </c>
      <c r="I1458" s="62" t="n">
        <f aca="false">H1458*G1458</f>
        <v>0</v>
      </c>
      <c r="J1458" s="62" t="n">
        <f aca="false">BU1458*Parameter!$B$18</f>
        <v>55</v>
      </c>
      <c r="K1458" s="63"/>
      <c r="L1458" s="64"/>
      <c r="M1458" s="62" t="n">
        <v>3</v>
      </c>
      <c r="N1458" s="62" t="n">
        <v>15</v>
      </c>
      <c r="O1458" s="65"/>
      <c r="P1458" s="60" t="s">
        <v>210</v>
      </c>
      <c r="Q1458" s="62"/>
      <c r="R1458" s="65" t="n">
        <f aca="false">IF(CA1458=1,0,IFERROR(VLOOKUP(BY1458,'Gebinde-Kategorie'!$A$5:$N$45,13,0)+0,0))</f>
        <v>12</v>
      </c>
      <c r="S1458" s="66"/>
      <c r="T1458" s="67" t="s">
        <v>221</v>
      </c>
      <c r="U1458" s="67"/>
      <c r="V1458" s="67"/>
      <c r="W1458" s="60"/>
      <c r="X1458" s="62"/>
      <c r="Y1458" s="62"/>
      <c r="Z1458" s="60" t="n">
        <v>3</v>
      </c>
      <c r="AA1458" s="60" t="n">
        <f aca="false">IF(A1458="","",IF(AND(Parameter!$B$21="Ja",ISNUMBER(W1458)),W1458,IF(AND(Parameter!$E$27="Ja",ISNUMBER(Z1458),CD1458&lt;&gt;"Nein"),Z1458,IF(CD1458="2+3",IF(ISNUMBER(SEARCH("grosser Artikel",BV1458)),2,IFERROR(VLOOKUP(BY1458,Parameter!$F$35:$G$64,2,0),2)),IF(OR(CD1458="Nein",CD1458=""),"-",CD1458)))))</f>
        <v>3</v>
      </c>
      <c r="AB1458" s="67"/>
      <c r="AC1458" s="68"/>
      <c r="AD1458" s="62" t="n">
        <f aca="false">AW1458</f>
        <v>34</v>
      </c>
      <c r="AE1458" s="62" t="n">
        <f aca="false">MAX(AW1458,H1458)</f>
        <v>34</v>
      </c>
      <c r="AF1458" s="69"/>
      <c r="AG1458" s="62" t="n">
        <f aca="false">IF(LEFT(Cockpit!$C$5,1)="A",H1458,IF(Parameter!$E$30="MAX-Bestand",IF(CI1458=1,CJ1458,IF(LEFT(Cockpit!$C$5,1)="B",AM1458,MAX(AM1458,H1458))),ROUNDUP(AK1458,0)))</f>
        <v>0</v>
      </c>
      <c r="AH1458" s="62" t="n">
        <f aca="false">IF(CA1458=1,0,ROUNDUP(AG1458/BZ1458,0))</f>
        <v>0</v>
      </c>
      <c r="AI1458" s="64" t="n">
        <f aca="false">IF(CR1458&gt;0,CR1458*MAX(1,AG1458/X1458),IF(CA1458=1,IF(AG1458&lt;=0,0,CE1458*MAX(1,IF(H1458&gt;0,AG1458/H1458,1))),IF(R1458&gt;0,AH1458/R1458,0))/MAX(0.1,N(Parameter!$M$21)))</f>
        <v>0</v>
      </c>
      <c r="AJ1458" s="62" t="n">
        <f aca="false">AI1458*CC1458</f>
        <v>0</v>
      </c>
      <c r="AK1458" s="63" t="n">
        <f aca="false">IF(LEFT(Cockpit!$C$5,1)="A",H1458,IF(CI1458=1,(CL1458+CJ1458)/2,IF(LEFT(Cockpit!$C$5,1)="B",(CL1458+AM1458)/2,MAX((CL1458+AM1458)/2,H1458))))</f>
        <v>0</v>
      </c>
      <c r="AL1458" s="62" t="n">
        <f aca="false">AK1458*G1458</f>
        <v>0</v>
      </c>
      <c r="AM1458" s="62" t="n">
        <f aca="false">ROUNDUP(CL1458+MAX(CM1458,2*(J1458/IF(CH1458&gt;0,CH1458,MAX(0.1,N(Cockpit!$C$6)))-CL1458)),0)</f>
        <v>34</v>
      </c>
      <c r="AN1458" s="63" t="n">
        <f aca="false">IF(AJ1458&gt;0,J1458/AJ1458,-1)</f>
        <v>-1</v>
      </c>
      <c r="AO1458" s="63" t="str">
        <f aca="false">IF(AND(OR(CG1458="L1",CG1458="L23",CG1458="LIFT"),AJ1458&gt;0),SUMIFS($AJ$7:$AJ$1843,$CG$7:$CG$1843,CG1458,$AN$7:$AN$1843,"&gt;"&amp;AN1458)+SUMIFS($AJ$7:$AJ$1843,$CG$7:$CG$1843,CG1458,$AN$7:$AN$1843,AN1458,$BX$7:$BX$1843,"&lt;="&amp;BX1458),"")</f>
        <v/>
      </c>
      <c r="AP1458" s="70" t="n">
        <f aca="false">IF(AO1458="",0,MAX(0,MIN(1,(IF(CG1458="L1",Parameter!$H$5,IF(CG1458="L23",Parameter!$H$6+Parameter!$H$7,Parameter!$H$5+Parameter!$H$6+Parameter!$H$7))-(AO1458-AJ1458))/AJ1458)))</f>
        <v>0</v>
      </c>
      <c r="AQ1458" s="62" t="n">
        <f aca="false">IF(LEFT(Cockpit!$I$5,1)="A",H1458,IF(Parameter!$E$30="MAX-Bestand",IF(CI1458=1,CJ1458,IF(LEFT(Cockpit!$I$5,1)="B",AW1458,MAX(AW1458,H1458))),ROUNDUP(AU1458,0)))</f>
        <v>19</v>
      </c>
      <c r="AR1458" s="62" t="n">
        <f aca="false">IF(CA1458=1,0,ROUNDUP(AQ1458/BZ1458,0))</f>
        <v>2</v>
      </c>
      <c r="AS1458" s="64" t="n">
        <f aca="false">IF(CR1458&gt;0,CR1458*MAX(1,AQ1458/X1458),IF(CA1458=1,IF(AQ1458&lt;=0,0,CE1458*MAX(1,IF(H1458&gt;0,AQ1458/H1458,1))),IF(R1458&gt;0,AR1458/R1458,0))/MAX(0.1,N(Parameter!$M$21)))</f>
        <v>0.166666666666667</v>
      </c>
      <c r="AT1458" s="62" t="n">
        <f aca="false">AS1458*CC1458</f>
        <v>24.1666666666667</v>
      </c>
      <c r="AU1458" s="63" t="n">
        <f aca="false">IF(LEFT(Cockpit!$I$5,1)="A",H1458,IF(CI1458=1,(CL1458+CJ1458)/2,IF(LEFT(Cockpit!$I$5,1)="B",(CL1458+AW1458)/2,MAX((CL1458+AW1458)/2,H1458))))</f>
        <v>18.5</v>
      </c>
      <c r="AV1458" s="62" t="n">
        <f aca="false">AU1458*G1458</f>
        <v>21837.4</v>
      </c>
      <c r="AW1458" s="62" t="n">
        <f aca="false">ROUNDUP(CL1458+MAX(CM1458,2*(J1458/IF(CH1458&gt;0,CH1458,MAX(0.1,N(Cockpit!$I$6)))-CL1458)),0)</f>
        <v>34</v>
      </c>
      <c r="AX1458" s="63" t="n">
        <f aca="false">IF(AT1458&gt;0,J1458/AT1458,-1)</f>
        <v>2.27586206896552</v>
      </c>
      <c r="AY1458" s="63" t="n">
        <f aca="false">IF(AND(OR(CG1458="L1",CG1458="L23",CG1458="LIFT"),AT1458&gt;0),SUMIFS($AT$7:$AT$1843,$CG$7:$CG$1843,CG1458,$AX$7:$AX$1843,"&gt;"&amp;AX1458)+SUMIFS($AT$7:$AT$1843,$CG$7:$CG$1843,CG1458,$AX$7:$AX$1843,AX1458,$BX$7:$BX$1843,"&lt;="&amp;BX1458),"")</f>
        <v>6489.70283882784</v>
      </c>
      <c r="AZ1458" s="70" t="n">
        <f aca="false">IF(AY1458="",0,MAX(0,MIN(1,(IF(CG1458="L1",Parameter!$H$5,IF(CG1458="L23",Parameter!$H$6+Parameter!$H$7,Parameter!$H$5+Parameter!$H$6+Parameter!$H$7))-(AY1458-AT1458))/AT1458)))</f>
        <v>1</v>
      </c>
      <c r="BA1458" s="62" t="n">
        <f aca="false">IF(LEFT(Cockpit!$O$5,1)="A",H1458,IF(Parameter!$E$30="MAX-Bestand",IF(CI1458=1,CJ1458,IF(LEFT(Cockpit!$O$5,1)="B",BG1458,MAX(BG1458,H1458))),ROUNDUP(BE1458,0)))</f>
        <v>14</v>
      </c>
      <c r="BB1458" s="62" t="n">
        <f aca="false">IF(CA1458=1,0,ROUNDUP(BA1458/BZ1458,0))</f>
        <v>1</v>
      </c>
      <c r="BC1458" s="64" t="n">
        <f aca="false">IF(CR1458&gt;0,CR1458*MAX(1,BA1458/X1458),IF(CA1458=1,IF(BA1458&lt;=0,0,CE1458*MAX(1,IF(H1458&gt;0,BA1458/H1458,1))),IF(R1458&gt;0,BB1458/R1458,0))/MAX(0.1,N(Parameter!$M$21)))</f>
        <v>0.0833333333333333</v>
      </c>
      <c r="BD1458" s="62" t="n">
        <f aca="false">BC1458*CC1458</f>
        <v>12.0833333333333</v>
      </c>
      <c r="BE1458" s="63" t="n">
        <f aca="false">IF(LEFT(Cockpit!$O$5,1)="A",H1458,IF(CI1458=1,(CL1458+CJ1458)/2,IF(LEFT(Cockpit!$O$5,1)="B",(CL1458+BG1458)/2,MAX((CL1458+BG1458)/2,H1458))))</f>
        <v>14</v>
      </c>
      <c r="BF1458" s="62" t="n">
        <f aca="false">BE1458*G1458</f>
        <v>16525.6</v>
      </c>
      <c r="BG1458" s="62" t="n">
        <f aca="false">ROUNDUP(CL1458+MAX(CM1458,2*(J1458/IF(CH1458&gt;0,CH1458,MAX(0.1,N(Cockpit!$O$6)))-CL1458)),0)</f>
        <v>25</v>
      </c>
      <c r="BH1458" s="63" t="n">
        <f aca="false">IF(BD1458&gt;0,J1458/BD1458,-1)</f>
        <v>4.55172413793104</v>
      </c>
      <c r="BI1458" s="63" t="n">
        <f aca="false">IF(AND(OR(CG1458="L1",CG1458="L23",CG1458="LIFT"),BD1458&gt;0),SUMIFS($BD$7:$BD$1843,$CG$7:$CG$1843,CG1458,$BH$7:$BH$1843,"&gt;"&amp;BH1458)+SUMIFS($BD$7:$BD$1843,$CG$7:$CG$1843,CG1458,$BH$7:$BH$1843,BH1458,$BX$7:$BX$1843,"&lt;="&amp;BX1458),"")</f>
        <v>3905.89652014652</v>
      </c>
      <c r="BJ1458" s="70" t="n">
        <f aca="false">IF(BI1458="",0,MAX(0,MIN(1,(IF(CG1458="L1",Parameter!$H$5,IF(CG1458="L23",Parameter!$H$6+Parameter!$H$7,Parameter!$H$5+Parameter!$H$6+Parameter!$H$7))-(BI1458-BD1458))/BD1458)))</f>
        <v>1</v>
      </c>
      <c r="BK1458" s="60" t="str">
        <f aca="false">IF(AJ1458&lt;=0,"",IF(CG1458="Aussen","Aussenlager",IF(CG1458="-","Nicht im Lift",IF(AP1458&gt;=1,"Lift",IF(AP1458&lt;=0,"Aussenlager","teilweise")))))</f>
        <v/>
      </c>
      <c r="BL1458" s="60" t="str">
        <f aca="false">IF(AT1458&lt;=0,"",IF(CG1458="Aussen","Aussenlager",IF(CG1458="-","Nicht im Lift",IF(AZ1458&gt;=1,"Lift",IF(AZ1458&lt;=0,"Aussenlager","teilweise")))))</f>
        <v>Lift</v>
      </c>
      <c r="BM1458" s="60" t="str">
        <f aca="false">IF(BD1458&lt;=0,"",IF(CG1458="Aussen","Aussenlager",IF(CG1458="-","Nicht im Lift",IF(BJ1458&gt;=1,"Lift",IF(BJ1458&lt;=0,"Aussenlager","teilweise")))))</f>
        <v>Lift</v>
      </c>
      <c r="BN1458" s="60" t="str">
        <f aca="false">IF(A1458="","",IF(BW1458=1,"Neu; ","")&amp;IF(AND(BW1458=0,BR1458&lt;0),"negativer Bestand (Export "&amp;BR1458&amp;"); ","")&amp;IF(J1458&lt;=0,"Kein Verbrauch; ","")&amp;IF(CR1458&gt;0,"Lift "&amp;W1458&amp;" lt. Liftbericht (Fach "&amp;X1458&amp;" Stk); ",IF(CB1458=1,"Gebinde geschätzt ("&amp;T1458&amp;"); ",IF(CA1458=1,"Lose – Tablare geschätzt; ","")))&amp;IF(H1458&gt;AW1458,"Überbestand "&amp;ROUND(H1458-AW1458,0)&amp;" Stk / CHF "&amp;ROUND((H1458-AW1458)*G1458,0)&amp;"; ","")&amp;IF(AND(CI1458=1,CJ1458&lt;CK1458),"MAX &lt; MB+LG; ","")&amp;IF(AND(CQ1458&gt;0,CP1458*10&gt;CQ1458),"zu hoch für Tablar; ","")&amp;IF(AND(BW1458=0,OR(CI1458=1,AB1458&lt;&gt;"",U1458&lt;&gt;"",V1458&lt;&gt;"",AC1458&lt;&gt;"")),"manuell übersteuert; ","")&amp;IF(AND(CA1458=0,R1458=0),"Gebinde unbekannt / Stellmass fehlt; ","")&amp;IF(AND(CA1458=0,N(V1458)&lt;=0,N(Q1458)&lt;=0),"Menge pro Gebinde fehlt (Ist = 1 Gebinde); ","")&amp;BV1458)</f>
        <v>negativer Bestand (Export -13); Gebinde geschätzt (Mittel); Menge pro Gebinde fehlt (Ist = 1 Gebinde); </v>
      </c>
      <c r="BO1458" s="60"/>
      <c r="BP1458" s="60"/>
      <c r="BQ1458" s="67"/>
      <c r="BR1458" s="62" t="n">
        <v>-13</v>
      </c>
      <c r="BS1458" s="62" t="n">
        <v>0</v>
      </c>
      <c r="BT1458" s="61" t="n">
        <v>-18093.29</v>
      </c>
      <c r="BU1458" s="62" t="n">
        <v>55</v>
      </c>
      <c r="BV1458" s="60"/>
      <c r="BW1458" s="65" t="n">
        <v>0</v>
      </c>
      <c r="BX1458" s="65" t="n">
        <v>1458</v>
      </c>
      <c r="BY1458" s="60" t="str">
        <f aca="false">IF(U1458&lt;&gt;"",UPPER(TRIM(U1458)),IF(CB1458=1,UPPER(VLOOKUP(T1458,Parameter!$I$27:$K$29,2,0)),IF(P1458="","LOSE",P1458)))</f>
        <v>S61</v>
      </c>
      <c r="BZ1458" s="62" t="n">
        <f aca="false">IF(BY1458="LOSE",1,IF(N(V1458)&gt;0,V1458,IF(CB1458=1,MAX(1,N(VLOOKUP(T1458,Parameter!$I$27:$K$29,3,0)),H1458,N(N1458)),IF(N(Q1458)&gt;0,Q1458,MAX(1,H1458)))))</f>
        <v>15</v>
      </c>
      <c r="CA1458" s="65" t="n">
        <f aca="false">IF(BY1458="LOSE",1,0)</f>
        <v>0</v>
      </c>
      <c r="CB1458" s="65" t="n">
        <f aca="false">IF(AND(U1458="",OR(P1458="",P1458="LOSE"),T1458&lt;&gt;"",N(S1458)&lt;=0,ISNUMBER(MATCH(T1458,Parameter!$I$27:$I$29,0))),1,0)</f>
        <v>1</v>
      </c>
      <c r="CC1458" s="65" t="n">
        <f aca="false">IF(CR1458&gt;0,INDEX(Parameter!$H$5:$H$7,W1458)/INDEX(Parameter!$E$5:$E$7,W1458),IF(AND(CA1458=0,N(IFERROR(VLOOKUP(BY1458,'Gebinde-Kategorie'!$A$5:$N$45,14,0),0))&gt;0),VLOOKUP(BY1458,'Gebinde-Kategorie'!$A$5:$N$45,14,0)*10+Parameter!$M$23,Parameter!$M$24))</f>
        <v>145</v>
      </c>
      <c r="CD1458" s="60" t="n">
        <f aca="false">IF(AND(Parameter!$B$19="Ja",E1458&lt;&gt;"",ISNUMBER(MATCH(E1458,Parameter!$I$35:$I$52,0))),VLOOKUP(E1458,Parameter!$I$35:$J$52,2,0),IFERROR(VLOOKUP(D1458,Parameter!$A$35:$C$64,2,0),"Nein"))</f>
        <v>1</v>
      </c>
      <c r="CE1458" s="64" t="n">
        <f aca="false">IF(CA1458=0,0,IF(N(S1458)&gt;0,S1458,IFERROR(VLOOKUP(D1458,Parameter!$A$35:$C$64,3,0)+0,0)))</f>
        <v>0</v>
      </c>
      <c r="CF1458" s="60" t="n">
        <f aca="false">IF(AB1458&lt;&gt;"",AB1458,AA1458)</f>
        <v>3</v>
      </c>
      <c r="CG1458" s="60" t="str">
        <f aca="false">IF(OR(CF1458=1,CF1458=2,CF1458=3),IF(Parameter!$E$27="Ja","LIFT",IF(CF1458=1,"L1","L23")),IF(CF1458="Aussen","Aussen","-"))</f>
        <v>LIFT</v>
      </c>
      <c r="CH1458" s="71" t="n">
        <f aca="false">IF(N(AC1458)&gt;0,AC1458,0)</f>
        <v>0</v>
      </c>
      <c r="CI1458" s="65" t="n">
        <f aca="false">IF(ISNUMBER(AF1458),1,0)</f>
        <v>0</v>
      </c>
      <c r="CJ1458" s="62" t="n">
        <f aca="false">N(AF1458)</f>
        <v>0</v>
      </c>
      <c r="CK1458" s="62" t="n">
        <f aca="false">N(M1458)+N(N1458)</f>
        <v>18</v>
      </c>
      <c r="CL1458" s="62" t="n">
        <f aca="false">N(M1458)</f>
        <v>3</v>
      </c>
      <c r="CM1458" s="62" t="n">
        <f aca="false">N(N1458)</f>
        <v>15</v>
      </c>
      <c r="CN1458" s="62" t="n">
        <f aca="false">ROUNDUP(H1458/BZ1458,0)</f>
        <v>0</v>
      </c>
      <c r="CO1458" s="62" t="n">
        <f aca="false">ROUNDUP(CJ1458/BZ1458,0)</f>
        <v>0</v>
      </c>
      <c r="CP1458" s="65" t="n">
        <f aca="false">IF(CA1458=1,0,IFERROR(VLOOKUP(BY1458,'Gebinde-Kategorie'!$A$5:$N$45,5,0)+0,0))</f>
        <v>11</v>
      </c>
      <c r="CQ1458" s="65" t="n">
        <f aca="false">IFERROR(IF(OR(CF1458=1,CF1458=2,CF1458=3),N(INDEX(Parameter!$I$5:$I$7,CF1458)),0),0)</f>
        <v>0</v>
      </c>
      <c r="CR1458" s="64" t="n">
        <f aca="false">IF(AND(Parameter!$B$21="Ja",ISNUMBER(W1458),N(X1458)&gt;0),IFERROR(N(INDEX(Parameter!$L$5:$L$7,W1458))*INDEX(Parameter!$E$5:$E$7,W1458)*X1458/SUMIFS($X$7:$X$1843,$W$7:$W$1843,W1458),0),0)</f>
        <v>0</v>
      </c>
      <c r="CS1458" s="62" t="str">
        <f aca="false">IF(AND(OR(CG1458="L1",CG1458="L23",CG1458="LIFT"),H1458&gt;0),CC1458*IF(CR1458&gt;0,CR1458*MAX(1,H1458/X1458),IF(CA1458=1,CE1458,IF(R1458&gt;0,CN1458/R1458,0))/MAX(0.1,N(Parameter!$M$21))),"")</f>
        <v/>
      </c>
      <c r="CT1458" s="64" t="str">
        <f aca="false">IF(CS1458="","",J1458/H1458)</f>
        <v/>
      </c>
      <c r="CU1458" s="62" t="str">
        <f aca="false">IF(CS1458="","",H1458*G1458)</f>
        <v/>
      </c>
      <c r="CV1458" s="63" t="str">
        <f aca="false">IF(CS1458="","",(CL1458+ROUNDUP(CL1458+MAX(CM1458,2*(J1458/MAX(0.1,N(Einkauf!$C$6))-CL1458)),0))/2)</f>
        <v/>
      </c>
      <c r="CW1458" s="62" t="str">
        <f aca="false">IF(CS1458="","",MAX(0,H1458-CV1458)*G1458)</f>
        <v/>
      </c>
      <c r="CX1458" s="62" t="str">
        <f aca="false">IF(CS1458="","",CS1458*MAX(0,1-CV1458/H1458))</f>
        <v/>
      </c>
      <c r="CY1458" s="64" t="str">
        <f aca="false">IF(CS1458="","",PERCENTRANK($CS$7:$CS$1843,CS1458)+PERCENTRANK($CU$7:$CU$1843,CU1458)+1-PERCENTRANK($CT$7:$CT$1843,CT1458))</f>
        <v/>
      </c>
      <c r="CZ1458" s="72" t="str">
        <f aca="false">IF(CS1458="","",CHOOSE(MATCH(Einkauf!$C$5,Parameter!$G$23:$G$27,0),CY1458,CS1458,CU1458,-CT1458,CW1458)+ROW()/1000000000)</f>
        <v/>
      </c>
    </row>
    <row r="1459" customFormat="false" ht="15" hidden="false" customHeight="false" outlineLevel="0" collapsed="false">
      <c r="A1459" s="60" t="s">
        <v>2593</v>
      </c>
      <c r="B1459" s="60" t="s">
        <v>2594</v>
      </c>
      <c r="C1459" s="60" t="s">
        <v>206</v>
      </c>
      <c r="D1459" s="60" t="s">
        <v>215</v>
      </c>
      <c r="E1459" s="60" t="s">
        <v>208</v>
      </c>
      <c r="F1459" s="60"/>
      <c r="G1459" s="61" t="n">
        <v>286.19</v>
      </c>
      <c r="H1459" s="62" t="n">
        <f aca="false">MAX(0,IF(AND(Parameter!$B$21="Ja",ISNUMBER(Y1459)),Y1459,IF(Parameter!$B$20="Jahresanfang 2025 + Export",BS1459+BR1459,BR1459)))</f>
        <v>0</v>
      </c>
      <c r="I1459" s="62" t="n">
        <f aca="false">H1459*G1459</f>
        <v>0</v>
      </c>
      <c r="J1459" s="62" t="n">
        <f aca="false">BU1459*Parameter!$B$18</f>
        <v>44</v>
      </c>
      <c r="K1459" s="63"/>
      <c r="L1459" s="64"/>
      <c r="M1459" s="62" t="n">
        <v>2</v>
      </c>
      <c r="N1459" s="62" t="n">
        <v>35</v>
      </c>
      <c r="O1459" s="65"/>
      <c r="P1459" s="60" t="s">
        <v>216</v>
      </c>
      <c r="Q1459" s="62" t="n">
        <v>36</v>
      </c>
      <c r="R1459" s="65" t="n">
        <f aca="false">IF(CA1459=1,0,IFERROR(VLOOKUP(BY1459,'Gebinde-Kategorie'!$A$5:$N$45,13,0)+0,0))</f>
        <v>6</v>
      </c>
      <c r="S1459" s="66"/>
      <c r="T1459" s="67"/>
      <c r="U1459" s="67"/>
      <c r="V1459" s="67"/>
      <c r="W1459" s="60"/>
      <c r="X1459" s="62"/>
      <c r="Y1459" s="62"/>
      <c r="Z1459" s="60" t="n">
        <v>1</v>
      </c>
      <c r="AA1459" s="60" t="n">
        <f aca="false">IF(A1459="","",IF(AND(Parameter!$B$21="Ja",ISNUMBER(W1459)),W1459,IF(AND(Parameter!$E$27="Ja",ISNUMBER(Z1459),CD1459&lt;&gt;"Nein"),Z1459,IF(CD1459="2+3",IF(ISNUMBER(SEARCH("grosser Artikel",BV1459)),2,IFERROR(VLOOKUP(BY1459,Parameter!$F$35:$G$64,2,0),2)),IF(OR(CD1459="Nein",CD1459=""),"-",CD1459)))))</f>
        <v>1</v>
      </c>
      <c r="AB1459" s="67"/>
      <c r="AC1459" s="68"/>
      <c r="AD1459" s="62" t="n">
        <f aca="false">AW1459</f>
        <v>37</v>
      </c>
      <c r="AE1459" s="62" t="n">
        <f aca="false">MAX(AW1459,H1459)</f>
        <v>37</v>
      </c>
      <c r="AF1459" s="69"/>
      <c r="AG1459" s="62" t="n">
        <f aca="false">IF(LEFT(Cockpit!$C$5,1)="A",H1459,IF(Parameter!$E$30="MAX-Bestand",IF(CI1459=1,CJ1459,IF(LEFT(Cockpit!$C$5,1)="B",AM1459,MAX(AM1459,H1459))),ROUNDUP(AK1459,0)))</f>
        <v>0</v>
      </c>
      <c r="AH1459" s="62" t="n">
        <f aca="false">IF(CA1459=1,0,ROUNDUP(AG1459/BZ1459,0))</f>
        <v>0</v>
      </c>
      <c r="AI1459" s="64" t="n">
        <f aca="false">IF(CR1459&gt;0,CR1459*MAX(1,AG1459/X1459),IF(CA1459=1,IF(AG1459&lt;=0,0,CE1459*MAX(1,IF(H1459&gt;0,AG1459/H1459,1))),IF(R1459&gt;0,AH1459/R1459,0))/MAX(0.1,N(Parameter!$M$21)))</f>
        <v>0</v>
      </c>
      <c r="AJ1459" s="62" t="n">
        <f aca="false">AI1459*CC1459</f>
        <v>0</v>
      </c>
      <c r="AK1459" s="63" t="n">
        <f aca="false">IF(LEFT(Cockpit!$C$5,1)="A",H1459,IF(CI1459=1,(CL1459+CJ1459)/2,IF(LEFT(Cockpit!$C$5,1)="B",(CL1459+AM1459)/2,MAX((CL1459+AM1459)/2,H1459))))</f>
        <v>0</v>
      </c>
      <c r="AL1459" s="62" t="n">
        <f aca="false">AK1459*G1459</f>
        <v>0</v>
      </c>
      <c r="AM1459" s="62" t="n">
        <f aca="false">ROUNDUP(CL1459+MAX(CM1459,2*(J1459/IF(CH1459&gt;0,CH1459,MAX(0.1,N(Cockpit!$C$6)))-CL1459)),0)</f>
        <v>37</v>
      </c>
      <c r="AN1459" s="63" t="n">
        <f aca="false">IF(AJ1459&gt;0,J1459/AJ1459,-1)</f>
        <v>-1</v>
      </c>
      <c r="AO1459" s="63" t="str">
        <f aca="false">IF(AND(OR(CG1459="L1",CG1459="L23",CG1459="LIFT"),AJ1459&gt;0),SUMIFS($AJ$7:$AJ$1843,$CG$7:$CG$1843,CG1459,$AN$7:$AN$1843,"&gt;"&amp;AN1459)+SUMIFS($AJ$7:$AJ$1843,$CG$7:$CG$1843,CG1459,$AN$7:$AN$1843,AN1459,$BX$7:$BX$1843,"&lt;="&amp;BX1459),"")</f>
        <v/>
      </c>
      <c r="AP1459" s="70" t="n">
        <f aca="false">IF(AO1459="",0,MAX(0,MIN(1,(IF(CG1459="L1",Parameter!$H$5,IF(CG1459="L23",Parameter!$H$6+Parameter!$H$7,Parameter!$H$5+Parameter!$H$6+Parameter!$H$7))-(AO1459-AJ1459))/AJ1459)))</f>
        <v>0</v>
      </c>
      <c r="AQ1459" s="62" t="n">
        <f aca="false">IF(LEFT(Cockpit!$I$5,1)="A",H1459,IF(Parameter!$E$30="MAX-Bestand",IF(CI1459=1,CJ1459,IF(LEFT(Cockpit!$I$5,1)="B",AW1459,MAX(AW1459,H1459))),ROUNDUP(AU1459,0)))</f>
        <v>20</v>
      </c>
      <c r="AR1459" s="62" t="n">
        <f aca="false">IF(CA1459=1,0,ROUNDUP(AQ1459/BZ1459,0))</f>
        <v>1</v>
      </c>
      <c r="AS1459" s="64" t="n">
        <f aca="false">IF(CR1459&gt;0,CR1459*MAX(1,AQ1459/X1459),IF(CA1459=1,IF(AQ1459&lt;=0,0,CE1459*MAX(1,IF(H1459&gt;0,AQ1459/H1459,1))),IF(R1459&gt;0,AR1459/R1459,0))/MAX(0.1,N(Parameter!$M$21)))</f>
        <v>0.166666666666667</v>
      </c>
      <c r="AT1459" s="62" t="n">
        <f aca="false">AS1459*CC1459</f>
        <v>39.1666666666667</v>
      </c>
      <c r="AU1459" s="63" t="n">
        <f aca="false">IF(LEFT(Cockpit!$I$5,1)="A",H1459,IF(CI1459=1,(CL1459+CJ1459)/2,IF(LEFT(Cockpit!$I$5,1)="B",(CL1459+AW1459)/2,MAX((CL1459+AW1459)/2,H1459))))</f>
        <v>19.5</v>
      </c>
      <c r="AV1459" s="62" t="n">
        <f aca="false">AU1459*G1459</f>
        <v>5580.705</v>
      </c>
      <c r="AW1459" s="62" t="n">
        <f aca="false">ROUNDUP(CL1459+MAX(CM1459,2*(J1459/IF(CH1459&gt;0,CH1459,MAX(0.1,N(Cockpit!$I$6)))-CL1459)),0)</f>
        <v>37</v>
      </c>
      <c r="AX1459" s="63" t="n">
        <f aca="false">IF(AT1459&gt;0,J1459/AT1459,-1)</f>
        <v>1.12340425531915</v>
      </c>
      <c r="AY1459" s="63" t="n">
        <f aca="false">IF(AND(OR(CG1459="L1",CG1459="L23",CG1459="LIFT"),AT1459&gt;0),SUMIFS($AT$7:$AT$1843,$CG$7:$CG$1843,CG1459,$AX$7:$AX$1843,"&gt;"&amp;AX1459)+SUMIFS($AT$7:$AT$1843,$CG$7:$CG$1843,CG1459,$AX$7:$AX$1843,AX1459,$BX$7:$BX$1843,"&lt;="&amp;BX1459),"")</f>
        <v>8212.35073260073</v>
      </c>
      <c r="AZ1459" s="70" t="n">
        <f aca="false">IF(AY1459="",0,MAX(0,MIN(1,(IF(CG1459="L1",Parameter!$H$5,IF(CG1459="L23",Parameter!$H$6+Parameter!$H$7,Parameter!$H$5+Parameter!$H$6+Parameter!$H$7))-(AY1459-AT1459))/AT1459)))</f>
        <v>1</v>
      </c>
      <c r="BA1459" s="62" t="n">
        <f aca="false">IF(LEFT(Cockpit!$O$5,1)="A",H1459,IF(Parameter!$E$30="MAX-Bestand",IF(CI1459=1,CJ1459,IF(LEFT(Cockpit!$O$5,1)="B",BG1459,MAX(BG1459,H1459))),ROUNDUP(BE1459,0)))</f>
        <v>20</v>
      </c>
      <c r="BB1459" s="62" t="n">
        <f aca="false">IF(CA1459=1,0,ROUNDUP(BA1459/BZ1459,0))</f>
        <v>1</v>
      </c>
      <c r="BC1459" s="64" t="n">
        <f aca="false">IF(CR1459&gt;0,CR1459*MAX(1,BA1459/X1459),IF(CA1459=1,IF(BA1459&lt;=0,0,CE1459*MAX(1,IF(H1459&gt;0,BA1459/H1459,1))),IF(R1459&gt;0,BB1459/R1459,0))/MAX(0.1,N(Parameter!$M$21)))</f>
        <v>0.166666666666667</v>
      </c>
      <c r="BD1459" s="62" t="n">
        <f aca="false">BC1459*CC1459</f>
        <v>39.1666666666667</v>
      </c>
      <c r="BE1459" s="63" t="n">
        <f aca="false">IF(LEFT(Cockpit!$O$5,1)="A",H1459,IF(CI1459=1,(CL1459+CJ1459)/2,IF(LEFT(Cockpit!$O$5,1)="B",(CL1459+BG1459)/2,MAX((CL1459+BG1459)/2,H1459))))</f>
        <v>19.5</v>
      </c>
      <c r="BF1459" s="62" t="n">
        <f aca="false">BE1459*G1459</f>
        <v>5580.705</v>
      </c>
      <c r="BG1459" s="62" t="n">
        <f aca="false">ROUNDUP(CL1459+MAX(CM1459,2*(J1459/IF(CH1459&gt;0,CH1459,MAX(0.1,N(Cockpit!$O$6)))-CL1459)),0)</f>
        <v>37</v>
      </c>
      <c r="BH1459" s="63" t="n">
        <f aca="false">IF(BD1459&gt;0,J1459/BD1459,-1)</f>
        <v>1.12340425531915</v>
      </c>
      <c r="BI1459" s="63" t="n">
        <f aca="false">IF(AND(OR(CG1459="L1",CG1459="L23",CG1459="LIFT"),BD1459&gt;0),SUMIFS($BD$7:$BD$1843,$CG$7:$CG$1843,CG1459,$BH$7:$BH$1843,"&gt;"&amp;BH1459)+SUMIFS($BD$7:$BD$1843,$CG$7:$CG$1843,CG1459,$BH$7:$BH$1843,BH1459,$BX$7:$BX$1843,"&lt;="&amp;BX1459),"")</f>
        <v>7302.80357142857</v>
      </c>
      <c r="BJ1459" s="70" t="n">
        <f aca="false">IF(BI1459="",0,MAX(0,MIN(1,(IF(CG1459="L1",Parameter!$H$5,IF(CG1459="L23",Parameter!$H$6+Parameter!$H$7,Parameter!$H$5+Parameter!$H$6+Parameter!$H$7))-(BI1459-BD1459))/BD1459)))</f>
        <v>1</v>
      </c>
      <c r="BK1459" s="60" t="str">
        <f aca="false">IF(AJ1459&lt;=0,"",IF(CG1459="Aussen","Aussenlager",IF(CG1459="-","Nicht im Lift",IF(AP1459&gt;=1,"Lift",IF(AP1459&lt;=0,"Aussenlager","teilweise")))))</f>
        <v/>
      </c>
      <c r="BL1459" s="60" t="str">
        <f aca="false">IF(AT1459&lt;=0,"",IF(CG1459="Aussen","Aussenlager",IF(CG1459="-","Nicht im Lift",IF(AZ1459&gt;=1,"Lift",IF(AZ1459&lt;=0,"Aussenlager","teilweise")))))</f>
        <v>Lift</v>
      </c>
      <c r="BM1459" s="60" t="str">
        <f aca="false">IF(BD1459&lt;=0,"",IF(CG1459="Aussen","Aussenlager",IF(CG1459="-","Nicht im Lift",IF(BJ1459&gt;=1,"Lift",IF(BJ1459&lt;=0,"Aussenlager","teilweise")))))</f>
        <v>Lift</v>
      </c>
      <c r="BN1459" s="60" t="str">
        <f aca="false">IF(A1459="","",IF(BW1459=1,"Neu; ","")&amp;IF(AND(BW1459=0,BR1459&lt;0),"negativer Bestand (Export "&amp;BR1459&amp;"); ","")&amp;IF(J1459&lt;=0,"Kein Verbrauch; ","")&amp;IF(CR1459&gt;0,"Lift "&amp;W1459&amp;" lt. Liftbericht (Fach "&amp;X1459&amp;" Stk); ",IF(CB1459=1,"Gebinde geschätzt ("&amp;T1459&amp;"); ",IF(CA1459=1,"Lose – Tablare geschätzt; ","")))&amp;IF(H1459&gt;AW1459,"Überbestand "&amp;ROUND(H1459-AW1459,0)&amp;" Stk / CHF "&amp;ROUND((H1459-AW1459)*G1459,0)&amp;"; ","")&amp;IF(AND(CI1459=1,CJ1459&lt;CK1459),"MAX &lt; MB+LG; ","")&amp;IF(AND(CQ1459&gt;0,CP1459*10&gt;CQ1459),"zu hoch für Tablar; ","")&amp;IF(AND(BW1459=0,OR(CI1459=1,AB1459&lt;&gt;"",U1459&lt;&gt;"",V1459&lt;&gt;"",AC1459&lt;&gt;"")),"manuell übersteuert; ","")&amp;IF(AND(CA1459=0,R1459=0),"Gebinde unbekannt / Stellmass fehlt; ","")&amp;IF(AND(CA1459=0,N(V1459)&lt;=0,N(Q1459)&lt;=0),"Menge pro Gebinde fehlt (Ist = 1 Gebinde); ","")&amp;BV1459)</f>
        <v>negativer Bestand (Export -61); Neu</v>
      </c>
      <c r="BO1459" s="60"/>
      <c r="BP1459" s="60"/>
      <c r="BQ1459" s="67"/>
      <c r="BR1459" s="62" t="n">
        <v>-61</v>
      </c>
      <c r="BS1459" s="62" t="n">
        <v>0</v>
      </c>
      <c r="BT1459" s="61" t="n">
        <v>-18618.23</v>
      </c>
      <c r="BU1459" s="62" t="n">
        <v>44</v>
      </c>
      <c r="BV1459" s="60" t="s">
        <v>668</v>
      </c>
      <c r="BW1459" s="65" t="n">
        <v>0</v>
      </c>
      <c r="BX1459" s="65" t="n">
        <v>1459</v>
      </c>
      <c r="BY1459" s="60" t="str">
        <f aca="false">IF(U1459&lt;&gt;"",UPPER(TRIM(U1459)),IF(CB1459=1,UPPER(VLOOKUP(T1459,Parameter!$I$27:$K$29,2,0)),IF(P1459="","LOSE",P1459)))</f>
        <v>S71</v>
      </c>
      <c r="BZ1459" s="62" t="n">
        <f aca="false">IF(BY1459="LOSE",1,IF(N(V1459)&gt;0,V1459,IF(CB1459=1,MAX(1,N(VLOOKUP(T1459,Parameter!$I$27:$K$29,3,0)),H1459,N(N1459)),IF(N(Q1459)&gt;0,Q1459,MAX(1,H1459)))))</f>
        <v>36</v>
      </c>
      <c r="CA1459" s="65" t="n">
        <f aca="false">IF(BY1459="LOSE",1,0)</f>
        <v>0</v>
      </c>
      <c r="CB1459" s="65" t="n">
        <f aca="false">IF(AND(U1459="",OR(P1459="",P1459="LOSE"),T1459&lt;&gt;"",N(S1459)&lt;=0,ISNUMBER(MATCH(T1459,Parameter!$I$27:$I$29,0))),1,0)</f>
        <v>0</v>
      </c>
      <c r="CC1459" s="65" t="n">
        <f aca="false">IF(CR1459&gt;0,INDEX(Parameter!$H$5:$H$7,W1459)/INDEX(Parameter!$E$5:$E$7,W1459),IF(AND(CA1459=0,N(IFERROR(VLOOKUP(BY1459,'Gebinde-Kategorie'!$A$5:$N$45,14,0),0))&gt;0),VLOOKUP(BY1459,'Gebinde-Kategorie'!$A$5:$N$45,14,0)*10+Parameter!$M$23,Parameter!$M$24))</f>
        <v>235</v>
      </c>
      <c r="CD1459" s="60" t="n">
        <f aca="false">IF(AND(Parameter!$B$19="Ja",E1459&lt;&gt;"",ISNUMBER(MATCH(E1459,Parameter!$I$35:$I$52,0))),VLOOKUP(E1459,Parameter!$I$35:$J$52,2,0),IFERROR(VLOOKUP(D1459,Parameter!$A$35:$C$64,2,0),"Nein"))</f>
        <v>1</v>
      </c>
      <c r="CE1459" s="64" t="n">
        <f aca="false">IF(CA1459=0,0,IF(N(S1459)&gt;0,S1459,IFERROR(VLOOKUP(D1459,Parameter!$A$35:$C$64,3,0)+0,0)))</f>
        <v>0</v>
      </c>
      <c r="CF1459" s="60" t="n">
        <f aca="false">IF(AB1459&lt;&gt;"",AB1459,AA1459)</f>
        <v>1</v>
      </c>
      <c r="CG1459" s="60" t="str">
        <f aca="false">IF(OR(CF1459=1,CF1459=2,CF1459=3),IF(Parameter!$E$27="Ja","LIFT",IF(CF1459=1,"L1","L23")),IF(CF1459="Aussen","Aussen","-"))</f>
        <v>LIFT</v>
      </c>
      <c r="CH1459" s="71" t="n">
        <f aca="false">IF(N(AC1459)&gt;0,AC1459,0)</f>
        <v>0</v>
      </c>
      <c r="CI1459" s="65" t="n">
        <f aca="false">IF(ISNUMBER(AF1459),1,0)</f>
        <v>0</v>
      </c>
      <c r="CJ1459" s="62" t="n">
        <f aca="false">N(AF1459)</f>
        <v>0</v>
      </c>
      <c r="CK1459" s="62" t="n">
        <f aca="false">N(M1459)+N(N1459)</f>
        <v>37</v>
      </c>
      <c r="CL1459" s="62" t="n">
        <f aca="false">N(M1459)</f>
        <v>2</v>
      </c>
      <c r="CM1459" s="62" t="n">
        <f aca="false">N(N1459)</f>
        <v>35</v>
      </c>
      <c r="CN1459" s="62" t="n">
        <f aca="false">ROUNDUP(H1459/BZ1459,0)</f>
        <v>0</v>
      </c>
      <c r="CO1459" s="62" t="n">
        <f aca="false">ROUNDUP(CJ1459/BZ1459,0)</f>
        <v>0</v>
      </c>
      <c r="CP1459" s="65" t="n">
        <f aca="false">IF(CA1459=1,0,IFERROR(VLOOKUP(BY1459,'Gebinde-Kategorie'!$A$5:$N$45,5,0)+0,0))</f>
        <v>20</v>
      </c>
      <c r="CQ1459" s="65" t="n">
        <f aca="false">IFERROR(IF(OR(CF1459=1,CF1459=2,CF1459=3),N(INDEX(Parameter!$I$5:$I$7,CF1459)),0),0)</f>
        <v>0</v>
      </c>
      <c r="CR1459" s="64" t="n">
        <f aca="false">IF(AND(Parameter!$B$21="Ja",ISNUMBER(W1459),N(X1459)&gt;0),IFERROR(N(INDEX(Parameter!$L$5:$L$7,W1459))*INDEX(Parameter!$E$5:$E$7,W1459)*X1459/SUMIFS($X$7:$X$1843,$W$7:$W$1843,W1459),0),0)</f>
        <v>0</v>
      </c>
      <c r="CS1459" s="62" t="str">
        <f aca="false">IF(AND(OR(CG1459="L1",CG1459="L23",CG1459="LIFT"),H1459&gt;0),CC1459*IF(CR1459&gt;0,CR1459*MAX(1,H1459/X1459),IF(CA1459=1,CE1459,IF(R1459&gt;0,CN1459/R1459,0))/MAX(0.1,N(Parameter!$M$21))),"")</f>
        <v/>
      </c>
      <c r="CT1459" s="64" t="str">
        <f aca="false">IF(CS1459="","",J1459/H1459)</f>
        <v/>
      </c>
      <c r="CU1459" s="62" t="str">
        <f aca="false">IF(CS1459="","",H1459*G1459)</f>
        <v/>
      </c>
      <c r="CV1459" s="63" t="str">
        <f aca="false">IF(CS1459="","",(CL1459+ROUNDUP(CL1459+MAX(CM1459,2*(J1459/MAX(0.1,N(Einkauf!$C$6))-CL1459)),0))/2)</f>
        <v/>
      </c>
      <c r="CW1459" s="62" t="str">
        <f aca="false">IF(CS1459="","",MAX(0,H1459-CV1459)*G1459)</f>
        <v/>
      </c>
      <c r="CX1459" s="62" t="str">
        <f aca="false">IF(CS1459="","",CS1459*MAX(0,1-CV1459/H1459))</f>
        <v/>
      </c>
      <c r="CY1459" s="64" t="str">
        <f aca="false">IF(CS1459="","",PERCENTRANK($CS$7:$CS$1843,CS1459)+PERCENTRANK($CU$7:$CU$1843,CU1459)+1-PERCENTRANK($CT$7:$CT$1843,CT1459))</f>
        <v/>
      </c>
      <c r="CZ1459" s="72" t="str">
        <f aca="false">IF(CS1459="","",CHOOSE(MATCH(Einkauf!$C$5,Parameter!$G$23:$G$27,0),CY1459,CS1459,CU1459,-CT1459,CW1459)+ROW()/1000000000)</f>
        <v/>
      </c>
    </row>
    <row r="1460" customFormat="false" ht="15" hidden="false" customHeight="false" outlineLevel="0" collapsed="false">
      <c r="A1460" s="60" t="s">
        <v>2595</v>
      </c>
      <c r="B1460" s="60" t="s">
        <v>447</v>
      </c>
      <c r="C1460" s="60" t="s">
        <v>498</v>
      </c>
      <c r="D1460" s="60" t="s">
        <v>215</v>
      </c>
      <c r="E1460" s="60"/>
      <c r="F1460" s="60"/>
      <c r="G1460" s="61" t="n">
        <v>5.53</v>
      </c>
      <c r="H1460" s="62" t="n">
        <f aca="false">MAX(0,IF(AND(Parameter!$B$21="Ja",ISNUMBER(Y1460)),Y1460,IF(Parameter!$B$20="Jahresanfang 2025 + Export",BS1460+BR1460,BR1460)))</f>
        <v>0</v>
      </c>
      <c r="I1460" s="62" t="n">
        <f aca="false">H1460*G1460</f>
        <v>0</v>
      </c>
      <c r="J1460" s="62" t="n">
        <f aca="false">BU1460*Parameter!$B$18</f>
        <v>3500</v>
      </c>
      <c r="K1460" s="63"/>
      <c r="L1460" s="64"/>
      <c r="M1460" s="62" t="n">
        <v>2041</v>
      </c>
      <c r="N1460" s="62" t="n">
        <v>1265</v>
      </c>
      <c r="O1460" s="65"/>
      <c r="P1460" s="60" t="s">
        <v>210</v>
      </c>
      <c r="Q1460" s="62"/>
      <c r="R1460" s="65" t="n">
        <f aca="false">IF(CA1460=1,0,IFERROR(VLOOKUP(BY1460,'Gebinde-Kategorie'!$A$5:$N$45,13,0)+0,0))</f>
        <v>26</v>
      </c>
      <c r="S1460" s="66"/>
      <c r="T1460" s="67" t="s">
        <v>317</v>
      </c>
      <c r="U1460" s="67"/>
      <c r="V1460" s="67"/>
      <c r="W1460" s="60"/>
      <c r="X1460" s="62"/>
      <c r="Y1460" s="62"/>
      <c r="Z1460" s="60" t="n">
        <v>3</v>
      </c>
      <c r="AA1460" s="60" t="n">
        <f aca="false">IF(A1460="","",IF(AND(Parameter!$B$21="Ja",ISNUMBER(W1460)),W1460,IF(AND(Parameter!$E$27="Ja",ISNUMBER(Z1460),CD1460&lt;&gt;"Nein"),Z1460,IF(CD1460="2+3",IF(ISNUMBER(SEARCH("grosser Artikel",BV1460)),2,IFERROR(VLOOKUP(BY1460,Parameter!$F$35:$G$64,2,0),2)),IF(OR(CD1460="Nein",CD1460=""),"-",CD1460)))))</f>
        <v>3</v>
      </c>
      <c r="AB1460" s="67"/>
      <c r="AC1460" s="68"/>
      <c r="AD1460" s="62" t="n">
        <f aca="false">AW1460</f>
        <v>3306</v>
      </c>
      <c r="AE1460" s="62" t="n">
        <f aca="false">MAX(AW1460,H1460)</f>
        <v>3306</v>
      </c>
      <c r="AF1460" s="69"/>
      <c r="AG1460" s="62" t="n">
        <f aca="false">IF(LEFT(Cockpit!$C$5,1)="A",H1460,IF(Parameter!$E$30="MAX-Bestand",IF(CI1460=1,CJ1460,IF(LEFT(Cockpit!$C$5,1)="B",AM1460,MAX(AM1460,H1460))),ROUNDUP(AK1460,0)))</f>
        <v>0</v>
      </c>
      <c r="AH1460" s="62" t="n">
        <f aca="false">IF(CA1460=1,0,ROUNDUP(AG1460/BZ1460,0))</f>
        <v>0</v>
      </c>
      <c r="AI1460" s="64" t="n">
        <f aca="false">IF(CR1460&gt;0,CR1460*MAX(1,AG1460/X1460),IF(CA1460=1,IF(AG1460&lt;=0,0,CE1460*MAX(1,IF(H1460&gt;0,AG1460/H1460,1))),IF(R1460&gt;0,AH1460/R1460,0))/MAX(0.1,N(Parameter!$M$21)))</f>
        <v>0</v>
      </c>
      <c r="AJ1460" s="62" t="n">
        <f aca="false">AI1460*CC1460</f>
        <v>0</v>
      </c>
      <c r="AK1460" s="63" t="n">
        <f aca="false">IF(LEFT(Cockpit!$C$5,1)="A",H1460,IF(CI1460=1,(CL1460+CJ1460)/2,IF(LEFT(Cockpit!$C$5,1)="B",(CL1460+AM1460)/2,MAX((CL1460+AM1460)/2,H1460))))</f>
        <v>0</v>
      </c>
      <c r="AL1460" s="62" t="n">
        <f aca="false">AK1460*G1460</f>
        <v>0</v>
      </c>
      <c r="AM1460" s="62" t="n">
        <f aca="false">ROUNDUP(CL1460+MAX(CM1460,2*(J1460/IF(CH1460&gt;0,CH1460,MAX(0.1,N(Cockpit!$C$6)))-CL1460)),0)</f>
        <v>3306</v>
      </c>
      <c r="AN1460" s="63" t="n">
        <f aca="false">IF(AJ1460&gt;0,J1460/AJ1460,-1)</f>
        <v>-1</v>
      </c>
      <c r="AO1460" s="63" t="str">
        <f aca="false">IF(AND(OR(CG1460="L1",CG1460="L23",CG1460="LIFT"),AJ1460&gt;0),SUMIFS($AJ$7:$AJ$1843,$CG$7:$CG$1843,CG1460,$AN$7:$AN$1843,"&gt;"&amp;AN1460)+SUMIFS($AJ$7:$AJ$1843,$CG$7:$CG$1843,CG1460,$AN$7:$AN$1843,AN1460,$BX$7:$BX$1843,"&lt;="&amp;BX1460),"")</f>
        <v/>
      </c>
      <c r="AP1460" s="70" t="n">
        <f aca="false">IF(AO1460="",0,MAX(0,MIN(1,(IF(CG1460="L1",Parameter!$H$5,IF(CG1460="L23",Parameter!$H$6+Parameter!$H$7,Parameter!$H$5+Parameter!$H$6+Parameter!$H$7))-(AO1460-AJ1460))/AJ1460)))</f>
        <v>0</v>
      </c>
      <c r="AQ1460" s="62" t="n">
        <f aca="false">IF(LEFT(Cockpit!$I$5,1)="A",H1460,IF(Parameter!$E$30="MAX-Bestand",IF(CI1460=1,CJ1460,IF(LEFT(Cockpit!$I$5,1)="B",AW1460,MAX(AW1460,H1460))),ROUNDUP(AU1460,0)))</f>
        <v>2674</v>
      </c>
      <c r="AR1460" s="62" t="n">
        <f aca="false">IF(CA1460=1,0,ROUNDUP(AQ1460/BZ1460,0))</f>
        <v>3</v>
      </c>
      <c r="AS1460" s="64" t="n">
        <f aca="false">IF(CR1460&gt;0,CR1460*MAX(1,AQ1460/X1460),IF(CA1460=1,IF(AQ1460&lt;=0,0,CE1460*MAX(1,IF(H1460&gt;0,AQ1460/H1460,1))),IF(R1460&gt;0,AR1460/R1460,0))/MAX(0.1,N(Parameter!$M$21)))</f>
        <v>0.115384615384615</v>
      </c>
      <c r="AT1460" s="62" t="n">
        <f aca="false">AS1460*CC1460</f>
        <v>17.8846153846154</v>
      </c>
      <c r="AU1460" s="63" t="n">
        <f aca="false">IF(LEFT(Cockpit!$I$5,1)="A",H1460,IF(CI1460=1,(CL1460+CJ1460)/2,IF(LEFT(Cockpit!$I$5,1)="B",(CL1460+AW1460)/2,MAX((CL1460+AW1460)/2,H1460))))</f>
        <v>2673.5</v>
      </c>
      <c r="AV1460" s="62" t="n">
        <f aca="false">AU1460*G1460</f>
        <v>14784.455</v>
      </c>
      <c r="AW1460" s="62" t="n">
        <f aca="false">ROUNDUP(CL1460+MAX(CM1460,2*(J1460/IF(CH1460&gt;0,CH1460,MAX(0.1,N(Cockpit!$I$6)))-CL1460)),0)</f>
        <v>3306</v>
      </c>
      <c r="AX1460" s="63" t="n">
        <f aca="false">IF(AT1460&gt;0,J1460/AT1460,-1)</f>
        <v>195.698924731183</v>
      </c>
      <c r="AY1460" s="63" t="n">
        <f aca="false">IF(AND(OR(CG1460="L1",CG1460="L23",CG1460="LIFT"),AT1460&gt;0),SUMIFS($AT$7:$AT$1843,$CG$7:$CG$1843,CG1460,$AX$7:$AX$1843,"&gt;"&amp;AX1460)+SUMIFS($AT$7:$AT$1843,$CG$7:$CG$1843,CG1460,$AX$7:$AX$1843,AX1460,$BX$7:$BX$1843,"&lt;="&amp;BX1460),"")</f>
        <v>472.526098901099</v>
      </c>
      <c r="AZ1460" s="70" t="n">
        <f aca="false">IF(AY1460="",0,MAX(0,MIN(1,(IF(CG1460="L1",Parameter!$H$5,IF(CG1460="L23",Parameter!$H$6+Parameter!$H$7,Parameter!$H$5+Parameter!$H$6+Parameter!$H$7))-(AY1460-AT1460))/AT1460)))</f>
        <v>1</v>
      </c>
      <c r="BA1460" s="62" t="n">
        <f aca="false">IF(LEFT(Cockpit!$O$5,1)="A",H1460,IF(Parameter!$E$30="MAX-Bestand",IF(CI1460=1,CJ1460,IF(LEFT(Cockpit!$O$5,1)="B",BG1460,MAX(BG1460,H1460))),ROUNDUP(BE1460,0)))</f>
        <v>2674</v>
      </c>
      <c r="BB1460" s="62" t="n">
        <f aca="false">IF(CA1460=1,0,ROUNDUP(BA1460/BZ1460,0))</f>
        <v>3</v>
      </c>
      <c r="BC1460" s="64" t="n">
        <f aca="false">IF(CR1460&gt;0,CR1460*MAX(1,BA1460/X1460),IF(CA1460=1,IF(BA1460&lt;=0,0,CE1460*MAX(1,IF(H1460&gt;0,BA1460/H1460,1))),IF(R1460&gt;0,BB1460/R1460,0))/MAX(0.1,N(Parameter!$M$21)))</f>
        <v>0.115384615384615</v>
      </c>
      <c r="BD1460" s="62" t="n">
        <f aca="false">BC1460*CC1460</f>
        <v>17.8846153846154</v>
      </c>
      <c r="BE1460" s="63" t="n">
        <f aca="false">IF(LEFT(Cockpit!$O$5,1)="A",H1460,IF(CI1460=1,(CL1460+CJ1460)/2,IF(LEFT(Cockpit!$O$5,1)="B",(CL1460+BG1460)/2,MAX((CL1460+BG1460)/2,H1460))))</f>
        <v>2673.5</v>
      </c>
      <c r="BF1460" s="62" t="n">
        <f aca="false">BE1460*G1460</f>
        <v>14784.455</v>
      </c>
      <c r="BG1460" s="62" t="n">
        <f aca="false">ROUNDUP(CL1460+MAX(CM1460,2*(J1460/IF(CH1460&gt;0,CH1460,MAX(0.1,N(Cockpit!$O$6)))-CL1460)),0)</f>
        <v>3306</v>
      </c>
      <c r="BH1460" s="63" t="n">
        <f aca="false">IF(BD1460&gt;0,J1460/BD1460,-1)</f>
        <v>195.698924731183</v>
      </c>
      <c r="BI1460" s="63" t="n">
        <f aca="false">IF(AND(OR(CG1460="L1",CG1460="L23",CG1460="LIFT"),BD1460&gt;0),SUMIFS($BD$7:$BD$1843,$CG$7:$CG$1843,CG1460,$BH$7:$BH$1843,"&gt;"&amp;BH1460)+SUMIFS($BD$7:$BD$1843,$CG$7:$CG$1843,CG1460,$BH$7:$BH$1843,BH1460,$BX$7:$BX$1843,"&lt;="&amp;BX1460),"")</f>
        <v>471.177197802198</v>
      </c>
      <c r="BJ1460" s="70" t="n">
        <f aca="false">IF(BI1460="",0,MAX(0,MIN(1,(IF(CG1460="L1",Parameter!$H$5,IF(CG1460="L23",Parameter!$H$6+Parameter!$H$7,Parameter!$H$5+Parameter!$H$6+Parameter!$H$7))-(BI1460-BD1460))/BD1460)))</f>
        <v>1</v>
      </c>
      <c r="BK1460" s="60" t="str">
        <f aca="false">IF(AJ1460&lt;=0,"",IF(CG1460="Aussen","Aussenlager",IF(CG1460="-","Nicht im Lift",IF(AP1460&gt;=1,"Lift",IF(AP1460&lt;=0,"Aussenlager","teilweise")))))</f>
        <v/>
      </c>
      <c r="BL1460" s="60" t="str">
        <f aca="false">IF(AT1460&lt;=0,"",IF(CG1460="Aussen","Aussenlager",IF(CG1460="-","Nicht im Lift",IF(AZ1460&gt;=1,"Lift",IF(AZ1460&lt;=0,"Aussenlager","teilweise")))))</f>
        <v>Lift</v>
      </c>
      <c r="BM1460" s="60" t="str">
        <f aca="false">IF(BD1460&lt;=0,"",IF(CG1460="Aussen","Aussenlager",IF(CG1460="-","Nicht im Lift",IF(BJ1460&gt;=1,"Lift",IF(BJ1460&lt;=0,"Aussenlager","teilweise")))))</f>
        <v>Lift</v>
      </c>
      <c r="BN1460" s="60" t="str">
        <f aca="false">IF(A1460="","",IF(BW1460=1,"Neu; ","")&amp;IF(AND(BW1460=0,BR1460&lt;0),"negativer Bestand (Export "&amp;BR1460&amp;"); ","")&amp;IF(J1460&lt;=0,"Kein Verbrauch; ","")&amp;IF(CR1460&gt;0,"Lift "&amp;W1460&amp;" lt. Liftbericht (Fach "&amp;X1460&amp;" Stk); ",IF(CB1460=1,"Gebinde geschätzt ("&amp;T1460&amp;"); ",IF(CA1460=1,"Lose – Tablare geschätzt; ","")))&amp;IF(H1460&gt;AW1460,"Überbestand "&amp;ROUND(H1460-AW1460,0)&amp;" Stk / CHF "&amp;ROUND((H1460-AW1460)*G1460,0)&amp;"; ","")&amp;IF(AND(CI1460=1,CJ1460&lt;CK1460),"MAX &lt; MB+LG; ","")&amp;IF(AND(CQ1460&gt;0,CP1460*10&gt;CQ1460),"zu hoch für Tablar; ","")&amp;IF(AND(BW1460=0,OR(CI1460=1,AB1460&lt;&gt;"",U1460&lt;&gt;"",V1460&lt;&gt;"",AC1460&lt;&gt;"")),"manuell übersteuert; ","")&amp;IF(AND(CA1460=0,R1460=0),"Gebinde unbekannt / Stellmass fehlt; ","")&amp;IF(AND(CA1460=0,N(V1460)&lt;=0,N(Q1460)&lt;=0),"Menge pro Gebinde fehlt (Ist = 1 Gebinde); ","")&amp;BV1460)</f>
        <v>negativer Bestand (Export -3500); Gebinde geschätzt (Klein); Menge pro Gebinde fehlt (Ist = 1 Gebinde); </v>
      </c>
      <c r="BO1460" s="60"/>
      <c r="BP1460" s="60"/>
      <c r="BQ1460" s="67"/>
      <c r="BR1460" s="62" t="n">
        <v>-3500</v>
      </c>
      <c r="BS1460" s="62" t="n">
        <v>0</v>
      </c>
      <c r="BT1460" s="61" t="n">
        <v>-19355</v>
      </c>
      <c r="BU1460" s="62" t="n">
        <v>3500</v>
      </c>
      <c r="BV1460" s="60"/>
      <c r="BW1460" s="65" t="n">
        <v>0</v>
      </c>
      <c r="BX1460" s="65" t="n">
        <v>1460</v>
      </c>
      <c r="BY1460" s="60" t="str">
        <f aca="false">IF(U1460&lt;&gt;"",UPPER(TRIM(U1460)),IF(CB1460=1,UPPER(VLOOKUP(T1460,Parameter!$I$27:$K$29,2,0)),IF(P1460="","LOSE",P1460)))</f>
        <v>S51</v>
      </c>
      <c r="BZ1460" s="62" t="n">
        <f aca="false">IF(BY1460="LOSE",1,IF(N(V1460)&gt;0,V1460,IF(CB1460=1,MAX(1,N(VLOOKUP(T1460,Parameter!$I$27:$K$29,3,0)),H1460,N(N1460)),IF(N(Q1460)&gt;0,Q1460,MAX(1,H1460)))))</f>
        <v>1265</v>
      </c>
      <c r="CA1460" s="65" t="n">
        <f aca="false">IF(BY1460="LOSE",1,0)</f>
        <v>0</v>
      </c>
      <c r="CB1460" s="65" t="n">
        <f aca="false">IF(AND(U1460="",OR(P1460="",P1460="LOSE"),T1460&lt;&gt;"",N(S1460)&lt;=0,ISNUMBER(MATCH(T1460,Parameter!$I$27:$I$29,0))),1,0)</f>
        <v>1</v>
      </c>
      <c r="CC1460" s="65" t="n">
        <f aca="false">IF(CR1460&gt;0,INDEX(Parameter!$H$5:$H$7,W1460)/INDEX(Parameter!$E$5:$E$7,W1460),IF(AND(CA1460=0,N(IFERROR(VLOOKUP(BY1460,'Gebinde-Kategorie'!$A$5:$N$45,14,0),0))&gt;0),VLOOKUP(BY1460,'Gebinde-Kategorie'!$A$5:$N$45,14,0)*10+Parameter!$M$23,Parameter!$M$24))</f>
        <v>155</v>
      </c>
      <c r="CD1460" s="60" t="str">
        <f aca="false">IF(AND(Parameter!$B$19="Ja",E1460&lt;&gt;"",ISNUMBER(MATCH(E1460,Parameter!$I$35:$I$52,0))),VLOOKUP(E1460,Parameter!$I$35:$J$52,2,0),IFERROR(VLOOKUP(D1460,Parameter!$A$35:$C$64,2,0),"Nein"))</f>
        <v>2+3</v>
      </c>
      <c r="CE1460" s="64" t="n">
        <f aca="false">IF(CA1460=0,0,IF(N(S1460)&gt;0,S1460,IFERROR(VLOOKUP(D1460,Parameter!$A$35:$C$64,3,0)+0,0)))</f>
        <v>0</v>
      </c>
      <c r="CF1460" s="60" t="n">
        <f aca="false">IF(AB1460&lt;&gt;"",AB1460,AA1460)</f>
        <v>3</v>
      </c>
      <c r="CG1460" s="60" t="str">
        <f aca="false">IF(OR(CF1460=1,CF1460=2,CF1460=3),IF(Parameter!$E$27="Ja","LIFT",IF(CF1460=1,"L1","L23")),IF(CF1460="Aussen","Aussen","-"))</f>
        <v>LIFT</v>
      </c>
      <c r="CH1460" s="71" t="n">
        <f aca="false">IF(N(AC1460)&gt;0,AC1460,0)</f>
        <v>0</v>
      </c>
      <c r="CI1460" s="65" t="n">
        <f aca="false">IF(ISNUMBER(AF1460),1,0)</f>
        <v>0</v>
      </c>
      <c r="CJ1460" s="62" t="n">
        <f aca="false">N(AF1460)</f>
        <v>0</v>
      </c>
      <c r="CK1460" s="62" t="n">
        <f aca="false">N(M1460)+N(N1460)</f>
        <v>3306</v>
      </c>
      <c r="CL1460" s="62" t="n">
        <f aca="false">N(M1460)</f>
        <v>2041</v>
      </c>
      <c r="CM1460" s="62" t="n">
        <f aca="false">N(N1460)</f>
        <v>1265</v>
      </c>
      <c r="CN1460" s="62" t="n">
        <f aca="false">ROUNDUP(H1460/BZ1460,0)</f>
        <v>0</v>
      </c>
      <c r="CO1460" s="62" t="n">
        <f aca="false">ROUNDUP(CJ1460/BZ1460,0)</f>
        <v>0</v>
      </c>
      <c r="CP1460" s="65" t="n">
        <f aca="false">IF(CA1460=1,0,IFERROR(VLOOKUP(BY1460,'Gebinde-Kategorie'!$A$5:$N$45,5,0)+0,0))</f>
        <v>11</v>
      </c>
      <c r="CQ1460" s="65" t="n">
        <f aca="false">IFERROR(IF(OR(CF1460=1,CF1460=2,CF1460=3),N(INDEX(Parameter!$I$5:$I$7,CF1460)),0),0)</f>
        <v>0</v>
      </c>
      <c r="CR1460" s="64" t="n">
        <f aca="false">IF(AND(Parameter!$B$21="Ja",ISNUMBER(W1460),N(X1460)&gt;0),IFERROR(N(INDEX(Parameter!$L$5:$L$7,W1460))*INDEX(Parameter!$E$5:$E$7,W1460)*X1460/SUMIFS($X$7:$X$1843,$W$7:$W$1843,W1460),0),0)</f>
        <v>0</v>
      </c>
      <c r="CS1460" s="62" t="str">
        <f aca="false">IF(AND(OR(CG1460="L1",CG1460="L23",CG1460="LIFT"),H1460&gt;0),CC1460*IF(CR1460&gt;0,CR1460*MAX(1,H1460/X1460),IF(CA1460=1,CE1460,IF(R1460&gt;0,CN1460/R1460,0))/MAX(0.1,N(Parameter!$M$21))),"")</f>
        <v/>
      </c>
      <c r="CT1460" s="64" t="str">
        <f aca="false">IF(CS1460="","",J1460/H1460)</f>
        <v/>
      </c>
      <c r="CU1460" s="62" t="str">
        <f aca="false">IF(CS1460="","",H1460*G1460)</f>
        <v/>
      </c>
      <c r="CV1460" s="63" t="str">
        <f aca="false">IF(CS1460="","",(CL1460+ROUNDUP(CL1460+MAX(CM1460,2*(J1460/MAX(0.1,N(Einkauf!$C$6))-CL1460)),0))/2)</f>
        <v/>
      </c>
      <c r="CW1460" s="62" t="str">
        <f aca="false">IF(CS1460="","",MAX(0,H1460-CV1460)*G1460)</f>
        <v/>
      </c>
      <c r="CX1460" s="62" t="str">
        <f aca="false">IF(CS1460="","",CS1460*MAX(0,1-CV1460/H1460))</f>
        <v/>
      </c>
      <c r="CY1460" s="64" t="str">
        <f aca="false">IF(CS1460="","",PERCENTRANK($CS$7:$CS$1843,CS1460)+PERCENTRANK($CU$7:$CU$1843,CU1460)+1-PERCENTRANK($CT$7:$CT$1843,CT1460))</f>
        <v/>
      </c>
      <c r="CZ1460" s="72" t="str">
        <f aca="false">IF(CS1460="","",CHOOSE(MATCH(Einkauf!$C$5,Parameter!$G$23:$G$27,0),CY1460,CS1460,CU1460,-CT1460,CW1460)+ROW()/1000000000)</f>
        <v/>
      </c>
    </row>
    <row r="1461" customFormat="false" ht="15" hidden="false" customHeight="false" outlineLevel="0" collapsed="false">
      <c r="A1461" s="60" t="s">
        <v>2596</v>
      </c>
      <c r="B1461" s="60" t="s">
        <v>2597</v>
      </c>
      <c r="C1461" s="60" t="s">
        <v>498</v>
      </c>
      <c r="D1461" s="60" t="s">
        <v>215</v>
      </c>
      <c r="E1461" s="60"/>
      <c r="F1461" s="60"/>
      <c r="G1461" s="61" t="n">
        <v>513.92</v>
      </c>
      <c r="H1461" s="62" t="n">
        <f aca="false">MAX(0,IF(AND(Parameter!$B$21="Ja",ISNUMBER(Y1461)),Y1461,IF(Parameter!$B$20="Jahresanfang 2025 + Export",BS1461+BR1461,BR1461)))</f>
        <v>0</v>
      </c>
      <c r="I1461" s="62" t="n">
        <f aca="false">H1461*G1461</f>
        <v>0</v>
      </c>
      <c r="J1461" s="62" t="n">
        <f aca="false">BU1461*Parameter!$B$18</f>
        <v>135</v>
      </c>
      <c r="K1461" s="63"/>
      <c r="L1461" s="64"/>
      <c r="M1461" s="62" t="n">
        <v>0</v>
      </c>
      <c r="N1461" s="62" t="n">
        <v>4</v>
      </c>
      <c r="O1461" s="65"/>
      <c r="P1461" s="60" t="s">
        <v>210</v>
      </c>
      <c r="Q1461" s="62"/>
      <c r="R1461" s="65" t="n">
        <f aca="false">IF(CA1461=1,0,IFERROR(VLOOKUP(BY1461,'Gebinde-Kategorie'!$A$5:$N$45,13,0)+0,0))</f>
        <v>12</v>
      </c>
      <c r="S1461" s="66"/>
      <c r="T1461" s="67" t="s">
        <v>221</v>
      </c>
      <c r="U1461" s="67"/>
      <c r="V1461" s="67"/>
      <c r="W1461" s="60"/>
      <c r="X1461" s="62"/>
      <c r="Y1461" s="62"/>
      <c r="Z1461" s="60" t="n">
        <v>3</v>
      </c>
      <c r="AA1461" s="60" t="n">
        <f aca="false">IF(A1461="","",IF(AND(Parameter!$B$21="Ja",ISNUMBER(W1461)),W1461,IF(AND(Parameter!$E$27="Ja",ISNUMBER(Z1461),CD1461&lt;&gt;"Nein"),Z1461,IF(CD1461="2+3",IF(ISNUMBER(SEARCH("grosser Artikel",BV1461)),2,IFERROR(VLOOKUP(BY1461,Parameter!$F$35:$G$64,2,0),2)),IF(OR(CD1461="Nein",CD1461=""),"-",CD1461)))))</f>
        <v>3</v>
      </c>
      <c r="AB1461" s="67"/>
      <c r="AC1461" s="68"/>
      <c r="AD1461" s="62" t="n">
        <f aca="false">AW1461</f>
        <v>90</v>
      </c>
      <c r="AE1461" s="62" t="n">
        <f aca="false">MAX(AW1461,H1461)</f>
        <v>90</v>
      </c>
      <c r="AF1461" s="69"/>
      <c r="AG1461" s="62" t="n">
        <f aca="false">IF(LEFT(Cockpit!$C$5,1)="A",H1461,IF(Parameter!$E$30="MAX-Bestand",IF(CI1461=1,CJ1461,IF(LEFT(Cockpit!$C$5,1)="B",AM1461,MAX(AM1461,H1461))),ROUNDUP(AK1461,0)))</f>
        <v>0</v>
      </c>
      <c r="AH1461" s="62" t="n">
        <f aca="false">IF(CA1461=1,0,ROUNDUP(AG1461/BZ1461,0))</f>
        <v>0</v>
      </c>
      <c r="AI1461" s="64" t="n">
        <f aca="false">IF(CR1461&gt;0,CR1461*MAX(1,AG1461/X1461),IF(CA1461=1,IF(AG1461&lt;=0,0,CE1461*MAX(1,IF(H1461&gt;0,AG1461/H1461,1))),IF(R1461&gt;0,AH1461/R1461,0))/MAX(0.1,N(Parameter!$M$21)))</f>
        <v>0</v>
      </c>
      <c r="AJ1461" s="62" t="n">
        <f aca="false">AI1461*CC1461</f>
        <v>0</v>
      </c>
      <c r="AK1461" s="63" t="n">
        <f aca="false">IF(LEFT(Cockpit!$C$5,1)="A",H1461,IF(CI1461=1,(CL1461+CJ1461)/2,IF(LEFT(Cockpit!$C$5,1)="B",(CL1461+AM1461)/2,MAX((CL1461+AM1461)/2,H1461))))</f>
        <v>0</v>
      </c>
      <c r="AL1461" s="62" t="n">
        <f aca="false">AK1461*G1461</f>
        <v>0</v>
      </c>
      <c r="AM1461" s="62" t="n">
        <f aca="false">ROUNDUP(CL1461+MAX(CM1461,2*(J1461/IF(CH1461&gt;0,CH1461,MAX(0.1,N(Cockpit!$C$6)))-CL1461)),0)</f>
        <v>90</v>
      </c>
      <c r="AN1461" s="63" t="n">
        <f aca="false">IF(AJ1461&gt;0,J1461/AJ1461,-1)</f>
        <v>-1</v>
      </c>
      <c r="AO1461" s="63" t="str">
        <f aca="false">IF(AND(OR(CG1461="L1",CG1461="L23",CG1461="LIFT"),AJ1461&gt;0),SUMIFS($AJ$7:$AJ$1843,$CG$7:$CG$1843,CG1461,$AN$7:$AN$1843,"&gt;"&amp;AN1461)+SUMIFS($AJ$7:$AJ$1843,$CG$7:$CG$1843,CG1461,$AN$7:$AN$1843,AN1461,$BX$7:$BX$1843,"&lt;="&amp;BX1461),"")</f>
        <v/>
      </c>
      <c r="AP1461" s="70" t="n">
        <f aca="false">IF(AO1461="",0,MAX(0,MIN(1,(IF(CG1461="L1",Parameter!$H$5,IF(CG1461="L23",Parameter!$H$6+Parameter!$H$7,Parameter!$H$5+Parameter!$H$6+Parameter!$H$7))-(AO1461-AJ1461))/AJ1461)))</f>
        <v>0</v>
      </c>
      <c r="AQ1461" s="62" t="n">
        <f aca="false">IF(LEFT(Cockpit!$I$5,1)="A",H1461,IF(Parameter!$E$30="MAX-Bestand",IF(CI1461=1,CJ1461,IF(LEFT(Cockpit!$I$5,1)="B",AW1461,MAX(AW1461,H1461))),ROUNDUP(AU1461,0)))</f>
        <v>45</v>
      </c>
      <c r="AR1461" s="62" t="n">
        <f aca="false">IF(CA1461=1,0,ROUNDUP(AQ1461/BZ1461,0))</f>
        <v>12</v>
      </c>
      <c r="AS1461" s="64" t="n">
        <f aca="false">IF(CR1461&gt;0,CR1461*MAX(1,AQ1461/X1461),IF(CA1461=1,IF(AQ1461&lt;=0,0,CE1461*MAX(1,IF(H1461&gt;0,AQ1461/H1461,1))),IF(R1461&gt;0,AR1461/R1461,0))/MAX(0.1,N(Parameter!$M$21)))</f>
        <v>1</v>
      </c>
      <c r="AT1461" s="62" t="n">
        <f aca="false">AS1461*CC1461</f>
        <v>145</v>
      </c>
      <c r="AU1461" s="63" t="n">
        <f aca="false">IF(LEFT(Cockpit!$I$5,1)="A",H1461,IF(CI1461=1,(CL1461+CJ1461)/2,IF(LEFT(Cockpit!$I$5,1)="B",(CL1461+AW1461)/2,MAX((CL1461+AW1461)/2,H1461))))</f>
        <v>45</v>
      </c>
      <c r="AV1461" s="62" t="n">
        <f aca="false">AU1461*G1461</f>
        <v>23126.4</v>
      </c>
      <c r="AW1461" s="62" t="n">
        <f aca="false">ROUNDUP(CL1461+MAX(CM1461,2*(J1461/IF(CH1461&gt;0,CH1461,MAX(0.1,N(Cockpit!$I$6)))-CL1461)),0)</f>
        <v>90</v>
      </c>
      <c r="AX1461" s="63" t="n">
        <f aca="false">IF(AT1461&gt;0,J1461/AT1461,-1)</f>
        <v>0.931034482758621</v>
      </c>
      <c r="AY1461" s="63" t="n">
        <f aca="false">IF(AND(OR(CG1461="L1",CG1461="L23",CG1461="LIFT"),AT1461&gt;0),SUMIFS($AT$7:$AT$1843,$CG$7:$CG$1843,CG1461,$AX$7:$AX$1843,"&gt;"&amp;AX1461)+SUMIFS($AT$7:$AT$1843,$CG$7:$CG$1843,CG1461,$AX$7:$AX$1843,AX1461,$BX$7:$BX$1843,"&lt;="&amp;BX1461),"")</f>
        <v>8909.56227106227</v>
      </c>
      <c r="AZ1461" s="70" t="n">
        <f aca="false">IF(AY1461="",0,MAX(0,MIN(1,(IF(CG1461="L1",Parameter!$H$5,IF(CG1461="L23",Parameter!$H$6+Parameter!$H$7,Parameter!$H$5+Parameter!$H$6+Parameter!$H$7))-(AY1461-AT1461))/AT1461)))</f>
        <v>1</v>
      </c>
      <c r="BA1461" s="62" t="n">
        <f aca="false">IF(LEFT(Cockpit!$O$5,1)="A",H1461,IF(Parameter!$E$30="MAX-Bestand",IF(CI1461=1,CJ1461,IF(LEFT(Cockpit!$O$5,1)="B",BG1461,MAX(BG1461,H1461))),ROUNDUP(BE1461,0)))</f>
        <v>34</v>
      </c>
      <c r="BB1461" s="62" t="n">
        <f aca="false">IF(CA1461=1,0,ROUNDUP(BA1461/BZ1461,0))</f>
        <v>9</v>
      </c>
      <c r="BC1461" s="64" t="n">
        <f aca="false">IF(CR1461&gt;0,CR1461*MAX(1,BA1461/X1461),IF(CA1461=1,IF(BA1461&lt;=0,0,CE1461*MAX(1,IF(H1461&gt;0,BA1461/H1461,1))),IF(R1461&gt;0,BB1461/R1461,0))/MAX(0.1,N(Parameter!$M$21)))</f>
        <v>0.75</v>
      </c>
      <c r="BD1461" s="62" t="n">
        <f aca="false">BC1461*CC1461</f>
        <v>108.75</v>
      </c>
      <c r="BE1461" s="63" t="n">
        <f aca="false">IF(LEFT(Cockpit!$O$5,1)="A",H1461,IF(CI1461=1,(CL1461+CJ1461)/2,IF(LEFT(Cockpit!$O$5,1)="B",(CL1461+BG1461)/2,MAX((CL1461+BG1461)/2,H1461))))</f>
        <v>34</v>
      </c>
      <c r="BF1461" s="62" t="n">
        <f aca="false">BE1461*G1461</f>
        <v>17473.28</v>
      </c>
      <c r="BG1461" s="62" t="n">
        <f aca="false">ROUNDUP(CL1461+MAX(CM1461,2*(J1461/IF(CH1461&gt;0,CH1461,MAX(0.1,N(Cockpit!$O$6)))-CL1461)),0)</f>
        <v>68</v>
      </c>
      <c r="BH1461" s="63" t="n">
        <f aca="false">IF(BD1461&gt;0,J1461/BD1461,-1)</f>
        <v>1.24137931034483</v>
      </c>
      <c r="BI1461" s="63" t="n">
        <f aca="false">IF(AND(OR(CG1461="L1",CG1461="L23",CG1461="LIFT"),BD1461&gt;0),SUMIFS($BD$7:$BD$1843,$CG$7:$CG$1843,CG1461,$BH$7:$BH$1843,"&gt;"&amp;BH1461)+SUMIFS($BD$7:$BD$1843,$CG$7:$CG$1843,CG1461,$BH$7:$BH$1843,BH1461,$BX$7:$BX$1843,"&lt;="&amp;BX1461),"")</f>
        <v>7001.58562271062</v>
      </c>
      <c r="BJ1461" s="70" t="n">
        <f aca="false">IF(BI1461="",0,MAX(0,MIN(1,(IF(CG1461="L1",Parameter!$H$5,IF(CG1461="L23",Parameter!$H$6+Parameter!$H$7,Parameter!$H$5+Parameter!$H$6+Parameter!$H$7))-(BI1461-BD1461))/BD1461)))</f>
        <v>1</v>
      </c>
      <c r="BK1461" s="60" t="str">
        <f aca="false">IF(AJ1461&lt;=0,"",IF(CG1461="Aussen","Aussenlager",IF(CG1461="-","Nicht im Lift",IF(AP1461&gt;=1,"Lift",IF(AP1461&lt;=0,"Aussenlager","teilweise")))))</f>
        <v/>
      </c>
      <c r="BL1461" s="60" t="str">
        <f aca="false">IF(AT1461&lt;=0,"",IF(CG1461="Aussen","Aussenlager",IF(CG1461="-","Nicht im Lift",IF(AZ1461&gt;=1,"Lift",IF(AZ1461&lt;=0,"Aussenlager","teilweise")))))</f>
        <v>Lift</v>
      </c>
      <c r="BM1461" s="60" t="str">
        <f aca="false">IF(BD1461&lt;=0,"",IF(CG1461="Aussen","Aussenlager",IF(CG1461="-","Nicht im Lift",IF(BJ1461&gt;=1,"Lift",IF(BJ1461&lt;=0,"Aussenlager","teilweise")))))</f>
        <v>Lift</v>
      </c>
      <c r="BN1461" s="60" t="str">
        <f aca="false">IF(A1461="","",IF(BW1461=1,"Neu; ","")&amp;IF(AND(BW1461=0,BR1461&lt;0),"negativer Bestand (Export "&amp;BR1461&amp;"); ","")&amp;IF(J1461&lt;=0,"Kein Verbrauch; ","")&amp;IF(CR1461&gt;0,"Lift "&amp;W1461&amp;" lt. Liftbericht (Fach "&amp;X1461&amp;" Stk); ",IF(CB1461=1,"Gebinde geschätzt ("&amp;T1461&amp;"); ",IF(CA1461=1,"Lose – Tablare geschätzt; ","")))&amp;IF(H1461&gt;AW1461,"Überbestand "&amp;ROUND(H1461-AW1461,0)&amp;" Stk / CHF "&amp;ROUND((H1461-AW1461)*G1461,0)&amp;"; ","")&amp;IF(AND(CI1461=1,CJ1461&lt;CK1461),"MAX &lt; MB+LG; ","")&amp;IF(AND(CQ1461&gt;0,CP1461*10&gt;CQ1461),"zu hoch für Tablar; ","")&amp;IF(AND(BW1461=0,OR(CI1461=1,AB1461&lt;&gt;"",U1461&lt;&gt;"",V1461&lt;&gt;"",AC1461&lt;&gt;"")),"manuell übersteuert; ","")&amp;IF(AND(CA1461=0,R1461=0),"Gebinde unbekannt / Stellmass fehlt; ","")&amp;IF(AND(CA1461=0,N(V1461)&lt;=0,N(Q1461)&lt;=0),"Menge pro Gebinde fehlt (Ist = 1 Gebinde); ","")&amp;BV1461)</f>
        <v>negativer Bestand (Export -40); Gebinde geschätzt (Mittel); Menge pro Gebinde fehlt (Ist = 1 Gebinde); </v>
      </c>
      <c r="BO1461" s="60"/>
      <c r="BP1461" s="60"/>
      <c r="BQ1461" s="67"/>
      <c r="BR1461" s="62" t="n">
        <v>-40</v>
      </c>
      <c r="BS1461" s="62" t="n">
        <v>0</v>
      </c>
      <c r="BT1461" s="61" t="n">
        <v>-21904</v>
      </c>
      <c r="BU1461" s="62" t="n">
        <v>135</v>
      </c>
      <c r="BV1461" s="60"/>
      <c r="BW1461" s="65" t="n">
        <v>0</v>
      </c>
      <c r="BX1461" s="65" t="n">
        <v>1461</v>
      </c>
      <c r="BY1461" s="60" t="str">
        <f aca="false">IF(U1461&lt;&gt;"",UPPER(TRIM(U1461)),IF(CB1461=1,UPPER(VLOOKUP(T1461,Parameter!$I$27:$K$29,2,0)),IF(P1461="","LOSE",P1461)))</f>
        <v>S61</v>
      </c>
      <c r="BZ1461" s="62" t="n">
        <f aca="false">IF(BY1461="LOSE",1,IF(N(V1461)&gt;0,V1461,IF(CB1461=1,MAX(1,N(VLOOKUP(T1461,Parameter!$I$27:$K$29,3,0)),H1461,N(N1461)),IF(N(Q1461)&gt;0,Q1461,MAX(1,H1461)))))</f>
        <v>4</v>
      </c>
      <c r="CA1461" s="65" t="n">
        <f aca="false">IF(BY1461="LOSE",1,0)</f>
        <v>0</v>
      </c>
      <c r="CB1461" s="65" t="n">
        <f aca="false">IF(AND(U1461="",OR(P1461="",P1461="LOSE"),T1461&lt;&gt;"",N(S1461)&lt;=0,ISNUMBER(MATCH(T1461,Parameter!$I$27:$I$29,0))),1,0)</f>
        <v>1</v>
      </c>
      <c r="CC1461" s="65" t="n">
        <f aca="false">IF(CR1461&gt;0,INDEX(Parameter!$H$5:$H$7,W1461)/INDEX(Parameter!$E$5:$E$7,W1461),IF(AND(CA1461=0,N(IFERROR(VLOOKUP(BY1461,'Gebinde-Kategorie'!$A$5:$N$45,14,0),0))&gt;0),VLOOKUP(BY1461,'Gebinde-Kategorie'!$A$5:$N$45,14,0)*10+Parameter!$M$23,Parameter!$M$24))</f>
        <v>145</v>
      </c>
      <c r="CD1461" s="60" t="str">
        <f aca="false">IF(AND(Parameter!$B$19="Ja",E1461&lt;&gt;"",ISNUMBER(MATCH(E1461,Parameter!$I$35:$I$52,0))),VLOOKUP(E1461,Parameter!$I$35:$J$52,2,0),IFERROR(VLOOKUP(D1461,Parameter!$A$35:$C$64,2,0),"Nein"))</f>
        <v>2+3</v>
      </c>
      <c r="CE1461" s="64" t="n">
        <f aca="false">IF(CA1461=0,0,IF(N(S1461)&gt;0,S1461,IFERROR(VLOOKUP(D1461,Parameter!$A$35:$C$64,3,0)+0,0)))</f>
        <v>0</v>
      </c>
      <c r="CF1461" s="60" t="n">
        <f aca="false">IF(AB1461&lt;&gt;"",AB1461,AA1461)</f>
        <v>3</v>
      </c>
      <c r="CG1461" s="60" t="str">
        <f aca="false">IF(OR(CF1461=1,CF1461=2,CF1461=3),IF(Parameter!$E$27="Ja","LIFT",IF(CF1461=1,"L1","L23")),IF(CF1461="Aussen","Aussen","-"))</f>
        <v>LIFT</v>
      </c>
      <c r="CH1461" s="71" t="n">
        <f aca="false">IF(N(AC1461)&gt;0,AC1461,0)</f>
        <v>0</v>
      </c>
      <c r="CI1461" s="65" t="n">
        <f aca="false">IF(ISNUMBER(AF1461),1,0)</f>
        <v>0</v>
      </c>
      <c r="CJ1461" s="62" t="n">
        <f aca="false">N(AF1461)</f>
        <v>0</v>
      </c>
      <c r="CK1461" s="62" t="n">
        <f aca="false">N(M1461)+N(N1461)</f>
        <v>4</v>
      </c>
      <c r="CL1461" s="62" t="n">
        <f aca="false">N(M1461)</f>
        <v>0</v>
      </c>
      <c r="CM1461" s="62" t="n">
        <f aca="false">N(N1461)</f>
        <v>4</v>
      </c>
      <c r="CN1461" s="62" t="n">
        <f aca="false">ROUNDUP(H1461/BZ1461,0)</f>
        <v>0</v>
      </c>
      <c r="CO1461" s="62" t="n">
        <f aca="false">ROUNDUP(CJ1461/BZ1461,0)</f>
        <v>0</v>
      </c>
      <c r="CP1461" s="65" t="n">
        <f aca="false">IF(CA1461=1,0,IFERROR(VLOOKUP(BY1461,'Gebinde-Kategorie'!$A$5:$N$45,5,0)+0,0))</f>
        <v>11</v>
      </c>
      <c r="CQ1461" s="65" t="n">
        <f aca="false">IFERROR(IF(OR(CF1461=1,CF1461=2,CF1461=3),N(INDEX(Parameter!$I$5:$I$7,CF1461)),0),0)</f>
        <v>0</v>
      </c>
      <c r="CR1461" s="64" t="n">
        <f aca="false">IF(AND(Parameter!$B$21="Ja",ISNUMBER(W1461),N(X1461)&gt;0),IFERROR(N(INDEX(Parameter!$L$5:$L$7,W1461))*INDEX(Parameter!$E$5:$E$7,W1461)*X1461/SUMIFS($X$7:$X$1843,$W$7:$W$1843,W1461),0),0)</f>
        <v>0</v>
      </c>
      <c r="CS1461" s="62" t="str">
        <f aca="false">IF(AND(OR(CG1461="L1",CG1461="L23",CG1461="LIFT"),H1461&gt;0),CC1461*IF(CR1461&gt;0,CR1461*MAX(1,H1461/X1461),IF(CA1461=1,CE1461,IF(R1461&gt;0,CN1461/R1461,0))/MAX(0.1,N(Parameter!$M$21))),"")</f>
        <v/>
      </c>
      <c r="CT1461" s="64" t="str">
        <f aca="false">IF(CS1461="","",J1461/H1461)</f>
        <v/>
      </c>
      <c r="CU1461" s="62" t="str">
        <f aca="false">IF(CS1461="","",H1461*G1461)</f>
        <v/>
      </c>
      <c r="CV1461" s="63" t="str">
        <f aca="false">IF(CS1461="","",(CL1461+ROUNDUP(CL1461+MAX(CM1461,2*(J1461/MAX(0.1,N(Einkauf!$C$6))-CL1461)),0))/2)</f>
        <v/>
      </c>
      <c r="CW1461" s="62" t="str">
        <f aca="false">IF(CS1461="","",MAX(0,H1461-CV1461)*G1461)</f>
        <v/>
      </c>
      <c r="CX1461" s="62" t="str">
        <f aca="false">IF(CS1461="","",CS1461*MAX(0,1-CV1461/H1461))</f>
        <v/>
      </c>
      <c r="CY1461" s="64" t="str">
        <f aca="false">IF(CS1461="","",PERCENTRANK($CS$7:$CS$1843,CS1461)+PERCENTRANK($CU$7:$CU$1843,CU1461)+1-PERCENTRANK($CT$7:$CT$1843,CT1461))</f>
        <v/>
      </c>
      <c r="CZ1461" s="72" t="str">
        <f aca="false">IF(CS1461="","",CHOOSE(MATCH(Einkauf!$C$5,Parameter!$G$23:$G$27,0),CY1461,CS1461,CU1461,-CT1461,CW1461)+ROW()/1000000000)</f>
        <v/>
      </c>
    </row>
    <row r="1462" customFormat="false" ht="15" hidden="false" customHeight="false" outlineLevel="0" collapsed="false">
      <c r="A1462" s="60" t="s">
        <v>2598</v>
      </c>
      <c r="B1462" s="60" t="s">
        <v>2426</v>
      </c>
      <c r="C1462" s="60" t="s">
        <v>206</v>
      </c>
      <c r="D1462" s="60" t="s">
        <v>207</v>
      </c>
      <c r="E1462" s="60" t="s">
        <v>208</v>
      </c>
      <c r="F1462" s="60"/>
      <c r="G1462" s="61" t="n">
        <v>2045.23</v>
      </c>
      <c r="H1462" s="62" t="n">
        <f aca="false">MAX(0,IF(AND(Parameter!$B$21="Ja",ISNUMBER(Y1462)),Y1462,IF(Parameter!$B$20="Jahresanfang 2025 + Export",BS1462+BR1462,BR1462)))</f>
        <v>10</v>
      </c>
      <c r="I1462" s="62" t="n">
        <f aca="false">H1462*G1462</f>
        <v>20452.3</v>
      </c>
      <c r="J1462" s="62" t="n">
        <f aca="false">BU1462*Parameter!$B$18</f>
        <v>55</v>
      </c>
      <c r="K1462" s="63"/>
      <c r="L1462" s="64"/>
      <c r="M1462" s="62" t="n">
        <v>2</v>
      </c>
      <c r="N1462" s="62" t="n">
        <v>10</v>
      </c>
      <c r="O1462" s="65"/>
      <c r="P1462" s="60" t="s">
        <v>210</v>
      </c>
      <c r="Q1462" s="62"/>
      <c r="R1462" s="65" t="n">
        <f aca="false">IF(CA1462=1,0,IFERROR(VLOOKUP(BY1462,'Gebinde-Kategorie'!$A$5:$N$45,13,0)+0,0))</f>
        <v>0</v>
      </c>
      <c r="S1462" s="66"/>
      <c r="T1462" s="67"/>
      <c r="U1462" s="67"/>
      <c r="V1462" s="67"/>
      <c r="W1462" s="60" t="n">
        <v>1</v>
      </c>
      <c r="X1462" s="62" t="n">
        <v>13</v>
      </c>
      <c r="Y1462" s="62" t="n">
        <v>10</v>
      </c>
      <c r="Z1462" s="60" t="n">
        <v>1</v>
      </c>
      <c r="AA1462" s="60" t="n">
        <f aca="false">IF(A1462="","",IF(AND(Parameter!$B$21="Ja",ISNUMBER(W1462)),W1462,IF(AND(Parameter!$E$27="Ja",ISNUMBER(Z1462),CD1462&lt;&gt;"Nein"),Z1462,IF(CD1462="2+3",IF(ISNUMBER(SEARCH("grosser Artikel",BV1462)),2,IFERROR(VLOOKUP(BY1462,Parameter!$F$35:$G$64,2,0),2)),IF(OR(CD1462="Nein",CD1462=""),"-",CD1462)))))</f>
        <v>1</v>
      </c>
      <c r="AB1462" s="67"/>
      <c r="AC1462" s="68"/>
      <c r="AD1462" s="62" t="n">
        <f aca="false">AW1462</f>
        <v>35</v>
      </c>
      <c r="AE1462" s="62" t="n">
        <f aca="false">MAX(AW1462,H1462)</f>
        <v>35</v>
      </c>
      <c r="AF1462" s="69"/>
      <c r="AG1462" s="62" t="n">
        <f aca="false">IF(LEFT(Cockpit!$C$5,1)="A",H1462,IF(Parameter!$E$30="MAX-Bestand",IF(CI1462=1,CJ1462,IF(LEFT(Cockpit!$C$5,1)="B",AM1462,MAX(AM1462,H1462))),ROUNDUP(AK1462,0)))</f>
        <v>10</v>
      </c>
      <c r="AH1462" s="62" t="n">
        <f aca="false">IF(CA1462=1,0,ROUNDUP(AG1462/BZ1462,0))</f>
        <v>0</v>
      </c>
      <c r="AI1462" s="64" t="n">
        <f aca="false">IF(CR1462&gt;0,CR1462*MAX(1,AG1462/X1462),IF(CA1462=1,IF(AG1462&lt;=0,0,CE1462*MAX(1,IF(H1462&gt;0,AG1462/H1462,1))),IF(R1462&gt;0,AH1462/R1462,0))/MAX(0.1,N(Parameter!$M$21)))</f>
        <v>1.04048964218456</v>
      </c>
      <c r="AJ1462" s="62" t="n">
        <f aca="false">AI1462*CC1462</f>
        <v>247.636534839925</v>
      </c>
      <c r="AK1462" s="63" t="n">
        <f aca="false">IF(LEFT(Cockpit!$C$5,1)="A",H1462,IF(CI1462=1,(CL1462+CJ1462)/2,IF(LEFT(Cockpit!$C$5,1)="B",(CL1462+AM1462)/2,MAX((CL1462+AM1462)/2,H1462))))</f>
        <v>10</v>
      </c>
      <c r="AL1462" s="62" t="n">
        <f aca="false">AK1462*G1462</f>
        <v>20452.3</v>
      </c>
      <c r="AM1462" s="62" t="n">
        <f aca="false">ROUNDUP(CL1462+MAX(CM1462,2*(J1462/IF(CH1462&gt;0,CH1462,MAX(0.1,N(Cockpit!$C$6)))-CL1462)),0)</f>
        <v>35</v>
      </c>
      <c r="AN1462" s="63" t="n">
        <f aca="false">IF(AJ1462&gt;0,J1462/AJ1462,-1)</f>
        <v>0.22209969960835</v>
      </c>
      <c r="AO1462" s="63" t="n">
        <f aca="false">IF(AND(OR(CG1462="L1",CG1462="L23",CG1462="LIFT"),AJ1462&gt;0),SUMIFS($AJ$7:$AJ$1843,$CG$7:$CG$1843,CG1462,$AN$7:$AN$1843,"&gt;"&amp;AN1462)+SUMIFS($AJ$7:$AJ$1843,$CG$7:$CG$1843,CG1462,$AN$7:$AN$1843,AN1462,$BX$7:$BX$1843,"&lt;="&amp;BX1462),"")</f>
        <v>12326.4324387947</v>
      </c>
      <c r="AP1462" s="70" t="n">
        <f aca="false">IF(AO1462="",0,MAX(0,MIN(1,(IF(CG1462="L1",Parameter!$H$5,IF(CG1462="L23",Parameter!$H$6+Parameter!$H$7,Parameter!$H$5+Parameter!$H$6+Parameter!$H$7))-(AO1462-AJ1462))/AJ1462)))</f>
        <v>1</v>
      </c>
      <c r="AQ1462" s="62" t="n">
        <f aca="false">IF(LEFT(Cockpit!$I$5,1)="A",H1462,IF(Parameter!$E$30="MAX-Bestand",IF(CI1462=1,CJ1462,IF(LEFT(Cockpit!$I$5,1)="B",AW1462,MAX(AW1462,H1462))),ROUNDUP(AU1462,0)))</f>
        <v>19</v>
      </c>
      <c r="AR1462" s="62" t="n">
        <f aca="false">IF(CA1462=1,0,ROUNDUP(AQ1462/BZ1462,0))</f>
        <v>0</v>
      </c>
      <c r="AS1462" s="64" t="n">
        <f aca="false">IF(CR1462&gt;0,CR1462*MAX(1,AQ1462/X1462),IF(CA1462=1,IF(AQ1462&lt;=0,0,CE1462*MAX(1,IF(H1462&gt;0,AQ1462/H1462,1))),IF(R1462&gt;0,AR1462/R1462,0))/MAX(0.1,N(Parameter!$M$21)))</f>
        <v>1.52071563088512</v>
      </c>
      <c r="AT1462" s="62" t="n">
        <f aca="false">AS1462*CC1462</f>
        <v>361.930320150659</v>
      </c>
      <c r="AU1462" s="63" t="n">
        <f aca="false">IF(LEFT(Cockpit!$I$5,1)="A",H1462,IF(CI1462=1,(CL1462+CJ1462)/2,IF(LEFT(Cockpit!$I$5,1)="B",(CL1462+AW1462)/2,MAX((CL1462+AW1462)/2,H1462))))</f>
        <v>18.5</v>
      </c>
      <c r="AV1462" s="62" t="n">
        <f aca="false">AU1462*G1462</f>
        <v>37836.755</v>
      </c>
      <c r="AW1462" s="62" t="n">
        <f aca="false">ROUNDUP(CL1462+MAX(CM1462,2*(J1462/IF(CH1462&gt;0,CH1462,MAX(0.1,N(Cockpit!$I$6)))-CL1462)),0)</f>
        <v>35</v>
      </c>
      <c r="AX1462" s="63" t="n">
        <f aca="false">IF(AT1462&gt;0,J1462/AT1462,-1)</f>
        <v>0.151962952363608</v>
      </c>
      <c r="AY1462" s="63" t="n">
        <f aca="false">IF(AND(OR(CG1462="L1",CG1462="L23",CG1462="LIFT"),AT1462&gt;0),SUMIFS($AT$7:$AT$1843,$CG$7:$CG$1843,CG1462,$AX$7:$AX$1843,"&gt;"&amp;AX1462)+SUMIFS($AT$7:$AT$1843,$CG$7:$CG$1843,CG1462,$AX$7:$AX$1843,AX1462,$BX$7:$BX$1843,"&lt;="&amp;BX1462),"")</f>
        <v>16870.6387724799</v>
      </c>
      <c r="AZ1462" s="70" t="n">
        <f aca="false">IF(AY1462="",0,MAX(0,MIN(1,(IF(CG1462="L1",Parameter!$H$5,IF(CG1462="L23",Parameter!$H$6+Parameter!$H$7,Parameter!$H$5+Parameter!$H$6+Parameter!$H$7))-(AY1462-AT1462))/AT1462)))</f>
        <v>1</v>
      </c>
      <c r="BA1462" s="62" t="n">
        <f aca="false">IF(LEFT(Cockpit!$O$5,1)="A",H1462,IF(Parameter!$E$30="MAX-Bestand",IF(CI1462=1,CJ1462,IF(LEFT(Cockpit!$O$5,1)="B",BG1462,MAX(BG1462,H1462))),ROUNDUP(BE1462,0)))</f>
        <v>14</v>
      </c>
      <c r="BB1462" s="62" t="n">
        <f aca="false">IF(CA1462=1,0,ROUNDUP(BA1462/BZ1462,0))</f>
        <v>0</v>
      </c>
      <c r="BC1462" s="64" t="n">
        <f aca="false">IF(CR1462&gt;0,CR1462*MAX(1,BA1462/X1462),IF(CA1462=1,IF(BA1462&lt;=0,0,CE1462*MAX(1,IF(H1462&gt;0,BA1462/H1462,1))),IF(R1462&gt;0,BB1462/R1462,0))/MAX(0.1,N(Parameter!$M$21)))</f>
        <v>1.12052730696799</v>
      </c>
      <c r="BD1462" s="62" t="n">
        <f aca="false">BC1462*CC1462</f>
        <v>266.68549905838</v>
      </c>
      <c r="BE1462" s="63" t="n">
        <f aca="false">IF(LEFT(Cockpit!$O$5,1)="A",H1462,IF(CI1462=1,(CL1462+CJ1462)/2,IF(LEFT(Cockpit!$O$5,1)="B",(CL1462+BG1462)/2,MAX((CL1462+BG1462)/2,H1462))))</f>
        <v>14</v>
      </c>
      <c r="BF1462" s="62" t="n">
        <f aca="false">BE1462*G1462</f>
        <v>28633.22</v>
      </c>
      <c r="BG1462" s="62" t="n">
        <f aca="false">ROUNDUP(CL1462+MAX(CM1462,2*(J1462/IF(CH1462&gt;0,CH1462,MAX(0.1,N(Cockpit!$O$6)))-CL1462)),0)</f>
        <v>26</v>
      </c>
      <c r="BH1462" s="63" t="n">
        <f aca="false">IF(BD1462&gt;0,J1462/BD1462,-1)</f>
        <v>0.206235435350611</v>
      </c>
      <c r="BI1462" s="63" t="n">
        <f aca="false">IF(AND(OR(CG1462="L1",CG1462="L23",CG1462="LIFT"),BD1462&gt;0),SUMIFS($BD$7:$BD$1843,$CG$7:$CG$1843,CG1462,$BH$7:$BH$1843,"&gt;"&amp;BH1462)+SUMIFS($BD$7:$BD$1843,$CG$7:$CG$1843,CG1462,$BH$7:$BH$1843,BH1462,$BX$7:$BX$1843,"&lt;="&amp;BX1462),"")</f>
        <v>13049.4962568035</v>
      </c>
      <c r="BJ1462" s="70" t="n">
        <f aca="false">IF(BI1462="",0,MAX(0,MIN(1,(IF(CG1462="L1",Parameter!$H$5,IF(CG1462="L23",Parameter!$H$6+Parameter!$H$7,Parameter!$H$5+Parameter!$H$6+Parameter!$H$7))-(BI1462-BD1462))/BD1462)))</f>
        <v>1</v>
      </c>
      <c r="BK1462" s="60" t="str">
        <f aca="false">IF(AJ1462&lt;=0,"",IF(CG1462="Aussen","Aussenlager",IF(CG1462="-","Nicht im Lift",IF(AP1462&gt;=1,"Lift",IF(AP1462&lt;=0,"Aussenlager","teilweise")))))</f>
        <v>Lift</v>
      </c>
      <c r="BL1462" s="60" t="str">
        <f aca="false">IF(AT1462&lt;=0,"",IF(CG1462="Aussen","Aussenlager",IF(CG1462="-","Nicht im Lift",IF(AZ1462&gt;=1,"Lift",IF(AZ1462&lt;=0,"Aussenlager","teilweise")))))</f>
        <v>Lift</v>
      </c>
      <c r="BM1462" s="60" t="str">
        <f aca="false">IF(BD1462&lt;=0,"",IF(CG1462="Aussen","Aussenlager",IF(CG1462="-","Nicht im Lift",IF(BJ1462&gt;=1,"Lift",IF(BJ1462&lt;=0,"Aussenlager","teilweise")))))</f>
        <v>Lift</v>
      </c>
      <c r="BN1462" s="60" t="str">
        <f aca="false">IF(A1462="","",IF(BW1462=1,"Neu; ","")&amp;IF(AND(BW1462=0,BR1462&lt;0),"negativer Bestand (Export "&amp;BR1462&amp;"); ","")&amp;IF(J1462&lt;=0,"Kein Verbrauch; ","")&amp;IF(CR1462&gt;0,"Lift "&amp;W1462&amp;" lt. Liftbericht (Fach "&amp;X1462&amp;" Stk); ",IF(CB1462=1,"Gebinde geschätzt ("&amp;T1462&amp;"); ",IF(CA1462=1,"Lose – Tablare geschätzt; ","")))&amp;IF(H1462&gt;AW1462,"Überbestand "&amp;ROUND(H1462-AW1462,0)&amp;" Stk / CHF "&amp;ROUND((H1462-AW1462)*G1462,0)&amp;"; ","")&amp;IF(AND(CI1462=1,CJ1462&lt;CK1462),"MAX &lt; MB+LG; ","")&amp;IF(AND(CQ1462&gt;0,CP1462*10&gt;CQ1462),"zu hoch für Tablar; ","")&amp;IF(AND(BW1462=0,OR(CI1462=1,AB1462&lt;&gt;"",U1462&lt;&gt;"",V1462&lt;&gt;"",AC1462&lt;&gt;"")),"manuell übersteuert; ","")&amp;IF(AND(CA1462=0,R1462=0),"Gebinde unbekannt / Stellmass fehlt; ","")&amp;IF(AND(CA1462=0,N(V1462)&lt;=0,N(Q1462)&lt;=0),"Menge pro Gebinde fehlt (Ist = 1 Gebinde); ","")&amp;BV1462)</f>
        <v>negativer Bestand (Export -24); Lift 1 lt. Liftbericht (Fach 13 Stk); Standartdüse</v>
      </c>
      <c r="BO1462" s="60"/>
      <c r="BP1462" s="60"/>
      <c r="BQ1462" s="67"/>
      <c r="BR1462" s="62" t="n">
        <v>-24</v>
      </c>
      <c r="BS1462" s="62" t="n">
        <v>0</v>
      </c>
      <c r="BT1462" s="61" t="n">
        <v>-22105.84</v>
      </c>
      <c r="BU1462" s="62" t="n">
        <v>55</v>
      </c>
      <c r="BV1462" s="60" t="s">
        <v>2440</v>
      </c>
      <c r="BW1462" s="65" t="n">
        <v>0</v>
      </c>
      <c r="BX1462" s="65" t="n">
        <v>1462</v>
      </c>
      <c r="BY1462" s="60" t="str">
        <f aca="false">IF(U1462&lt;&gt;"",UPPER(TRIM(U1462)),IF(CB1462=1,UPPER(VLOOKUP(T1462,Parameter!$I$27:$K$29,2,0)),IF(P1462="","LOSE",P1462)))</f>
        <v>LOSE</v>
      </c>
      <c r="BZ1462" s="62" t="n">
        <f aca="false">IF(BY1462="LOSE",1,IF(N(V1462)&gt;0,V1462,IF(CB1462=1,MAX(1,N(VLOOKUP(T1462,Parameter!$I$27:$K$29,3,0)),H1462,N(N1462)),IF(N(Q1462)&gt;0,Q1462,MAX(1,H1462)))))</f>
        <v>1</v>
      </c>
      <c r="CA1462" s="65" t="n">
        <f aca="false">IF(BY1462="LOSE",1,0)</f>
        <v>1</v>
      </c>
      <c r="CB1462" s="65" t="n">
        <f aca="false">IF(AND(U1462="",OR(P1462="",P1462="LOSE"),T1462&lt;&gt;"",N(S1462)&lt;=0,ISNUMBER(MATCH(T1462,Parameter!$I$27:$I$29,0))),1,0)</f>
        <v>0</v>
      </c>
      <c r="CC1462" s="65" t="n">
        <f aca="false">IF(CR1462&gt;0,INDEX(Parameter!$H$5:$H$7,W1462)/INDEX(Parameter!$E$5:$E$7,W1462),IF(AND(CA1462=0,N(IFERROR(VLOOKUP(BY1462,'Gebinde-Kategorie'!$A$5:$N$45,14,0),0))&gt;0),VLOOKUP(BY1462,'Gebinde-Kategorie'!$A$5:$N$45,14,0)*10+Parameter!$M$23,Parameter!$M$24))</f>
        <v>238</v>
      </c>
      <c r="CD1462" s="60" t="n">
        <f aca="false">IF(AND(Parameter!$B$19="Ja",E1462&lt;&gt;"",ISNUMBER(MATCH(E1462,Parameter!$I$35:$I$52,0))),VLOOKUP(E1462,Parameter!$I$35:$J$52,2,0),IFERROR(VLOOKUP(D1462,Parameter!$A$35:$C$64,2,0),"Nein"))</f>
        <v>1</v>
      </c>
      <c r="CE1462" s="64" t="n">
        <f aca="false">IF(CA1462=0,0,IF(N(S1462)&gt;0,S1462,IFERROR(VLOOKUP(D1462,Parameter!$A$35:$C$64,3,0)+0,0)))</f>
        <v>1</v>
      </c>
      <c r="CF1462" s="60" t="n">
        <f aca="false">IF(AB1462&lt;&gt;"",AB1462,AA1462)</f>
        <v>1</v>
      </c>
      <c r="CG1462" s="60" t="str">
        <f aca="false">IF(OR(CF1462=1,CF1462=2,CF1462=3),IF(Parameter!$E$27="Ja","LIFT",IF(CF1462=1,"L1","L23")),IF(CF1462="Aussen","Aussen","-"))</f>
        <v>LIFT</v>
      </c>
      <c r="CH1462" s="71" t="n">
        <f aca="false">IF(N(AC1462)&gt;0,AC1462,0)</f>
        <v>0</v>
      </c>
      <c r="CI1462" s="65" t="n">
        <f aca="false">IF(ISNUMBER(AF1462),1,0)</f>
        <v>0</v>
      </c>
      <c r="CJ1462" s="62" t="n">
        <f aca="false">N(AF1462)</f>
        <v>0</v>
      </c>
      <c r="CK1462" s="62" t="n">
        <f aca="false">N(M1462)+N(N1462)</f>
        <v>12</v>
      </c>
      <c r="CL1462" s="62" t="n">
        <f aca="false">N(M1462)</f>
        <v>2</v>
      </c>
      <c r="CM1462" s="62" t="n">
        <f aca="false">N(N1462)</f>
        <v>10</v>
      </c>
      <c r="CN1462" s="62" t="n">
        <f aca="false">ROUNDUP(H1462/BZ1462,0)</f>
        <v>10</v>
      </c>
      <c r="CO1462" s="62" t="n">
        <f aca="false">ROUNDUP(CJ1462/BZ1462,0)</f>
        <v>0</v>
      </c>
      <c r="CP1462" s="65" t="n">
        <f aca="false">IF(CA1462=1,0,IFERROR(VLOOKUP(BY1462,'Gebinde-Kategorie'!$A$5:$N$45,5,0)+0,0))</f>
        <v>0</v>
      </c>
      <c r="CQ1462" s="65" t="n">
        <f aca="false">IFERROR(IF(OR(CF1462=1,CF1462=2,CF1462=3),N(INDEX(Parameter!$I$5:$I$7,CF1462)),0),0)</f>
        <v>0</v>
      </c>
      <c r="CR1462" s="64" t="n">
        <f aca="false">IF(AND(Parameter!$B$21="Ja",ISNUMBER(W1462),N(X1462)&gt;0),IFERROR(N(INDEX(Parameter!$L$5:$L$7,W1462))*INDEX(Parameter!$E$5:$E$7,W1462)*X1462/SUMIFS($X$7:$X$1843,$W$7:$W$1843,W1462),0),0)</f>
        <v>1.04048964218456</v>
      </c>
      <c r="CS1462" s="62" t="n">
        <f aca="false">IF(AND(OR(CG1462="L1",CG1462="L23",CG1462="LIFT"),H1462&gt;0),CC1462*IF(CR1462&gt;0,CR1462*MAX(1,H1462/X1462),IF(CA1462=1,CE1462,IF(R1462&gt;0,CN1462/R1462,0))/MAX(0.1,N(Parameter!$M$21))),"")</f>
        <v>247.636534839925</v>
      </c>
      <c r="CT1462" s="64" t="n">
        <f aca="false">IF(CS1462="","",J1462/H1462)</f>
        <v>5.5</v>
      </c>
      <c r="CU1462" s="62" t="n">
        <f aca="false">IF(CS1462="","",H1462*G1462)</f>
        <v>20452.3</v>
      </c>
      <c r="CV1462" s="63" t="n">
        <f aca="false">IF(CS1462="","",(CL1462+ROUNDUP(CL1462+MAX(CM1462,2*(J1462/MAX(0.1,N(Einkauf!$C$6))-CL1462)),0))/2)</f>
        <v>14</v>
      </c>
      <c r="CW1462" s="62" t="n">
        <f aca="false">IF(CS1462="","",MAX(0,H1462-CV1462)*G1462)</f>
        <v>0</v>
      </c>
      <c r="CX1462" s="62" t="n">
        <f aca="false">IF(CS1462="","",CS1462*MAX(0,1-CV1462/H1462))</f>
        <v>0</v>
      </c>
      <c r="CY1462" s="64" t="n">
        <f aca="false">IF(CS1462="","",PERCENTRANK($CS$7:$CS$1843,CS1462)+PERCENTRANK($CU$7:$CU$1843,CU1462)+1-PERCENTRANK($CT$7:$CT$1843,CT1462))</f>
        <v>2.004</v>
      </c>
      <c r="CZ1462" s="72" t="n">
        <f aca="false">IF(CS1462="","",CHOOSE(MATCH(Einkauf!$C$5,Parameter!$G$23:$G$27,0),CY1462,CS1462,CU1462,-CT1462,CW1462)+ROW()/1000000000)</f>
        <v>2.004001462</v>
      </c>
    </row>
    <row r="1463" customFormat="false" ht="15" hidden="false" customHeight="false" outlineLevel="0" collapsed="false">
      <c r="A1463" s="60" t="s">
        <v>2599</v>
      </c>
      <c r="B1463" s="60" t="s">
        <v>2600</v>
      </c>
      <c r="C1463" s="60" t="s">
        <v>209</v>
      </c>
      <c r="D1463" s="60" t="s">
        <v>1430</v>
      </c>
      <c r="E1463" s="60"/>
      <c r="F1463" s="60"/>
      <c r="G1463" s="61" t="n">
        <v>4524.05</v>
      </c>
      <c r="H1463" s="62" t="n">
        <f aca="false">MAX(0,IF(AND(Parameter!$B$21="Ja",ISNUMBER(Y1463)),Y1463,IF(Parameter!$B$20="Jahresanfang 2025 + Export",BS1463+BR1463,BR1463)))</f>
        <v>0</v>
      </c>
      <c r="I1463" s="62" t="n">
        <f aca="false">H1463*G1463</f>
        <v>0</v>
      </c>
      <c r="J1463" s="62" t="n">
        <f aca="false">BU1463*Parameter!$B$18</f>
        <v>16</v>
      </c>
      <c r="K1463" s="63"/>
      <c r="L1463" s="64"/>
      <c r="M1463" s="62" t="n">
        <v>0</v>
      </c>
      <c r="N1463" s="62" t="n">
        <v>1</v>
      </c>
      <c r="O1463" s="65"/>
      <c r="P1463" s="60" t="s">
        <v>210</v>
      </c>
      <c r="Q1463" s="62"/>
      <c r="R1463" s="65" t="n">
        <f aca="false">IF(CA1463=1,0,IFERROR(VLOOKUP(BY1463,'Gebinde-Kategorie'!$A$5:$N$45,13,0)+0,0))</f>
        <v>0</v>
      </c>
      <c r="S1463" s="66"/>
      <c r="T1463" s="67"/>
      <c r="U1463" s="67"/>
      <c r="V1463" s="67"/>
      <c r="W1463" s="60"/>
      <c r="X1463" s="62"/>
      <c r="Y1463" s="62"/>
      <c r="Z1463" s="60"/>
      <c r="AA1463" s="60" t="str">
        <f aca="false">IF(A1463="","",IF(AND(Parameter!$B$21="Ja",ISNUMBER(W1463)),W1463,IF(AND(Parameter!$E$27="Ja",ISNUMBER(Z1463),CD1463&lt;&gt;"Nein"),Z1463,IF(CD1463="2+3",IF(ISNUMBER(SEARCH("grosser Artikel",BV1463)),2,IFERROR(VLOOKUP(BY1463,Parameter!$F$35:$G$64,2,0),2)),IF(OR(CD1463="Nein",CD1463=""),"-",CD1463)))))</f>
        <v>-</v>
      </c>
      <c r="AB1463" s="67"/>
      <c r="AC1463" s="68"/>
      <c r="AD1463" s="62" t="n">
        <f aca="false">AW1463</f>
        <v>11</v>
      </c>
      <c r="AE1463" s="62" t="n">
        <f aca="false">MAX(AW1463,H1463)</f>
        <v>11</v>
      </c>
      <c r="AF1463" s="69"/>
      <c r="AG1463" s="62" t="n">
        <f aca="false">IF(LEFT(Cockpit!$C$5,1)="A",H1463,IF(Parameter!$E$30="MAX-Bestand",IF(CI1463=1,CJ1463,IF(LEFT(Cockpit!$C$5,1)="B",AM1463,MAX(AM1463,H1463))),ROUNDUP(AK1463,0)))</f>
        <v>0</v>
      </c>
      <c r="AH1463" s="62" t="n">
        <f aca="false">IF(CA1463=1,0,ROUNDUP(AG1463/BZ1463,0))</f>
        <v>0</v>
      </c>
      <c r="AI1463" s="64" t="n">
        <f aca="false">IF(CR1463&gt;0,CR1463*MAX(1,AG1463/X1463),IF(CA1463=1,IF(AG1463&lt;=0,0,CE1463*MAX(1,IF(H1463&gt;0,AG1463/H1463,1))),IF(R1463&gt;0,AH1463/R1463,0))/MAX(0.1,N(Parameter!$M$21)))</f>
        <v>0</v>
      </c>
      <c r="AJ1463" s="62" t="n">
        <f aca="false">AI1463*CC1463</f>
        <v>0</v>
      </c>
      <c r="AK1463" s="63" t="n">
        <f aca="false">IF(LEFT(Cockpit!$C$5,1)="A",H1463,IF(CI1463=1,(CL1463+CJ1463)/2,IF(LEFT(Cockpit!$C$5,1)="B",(CL1463+AM1463)/2,MAX((CL1463+AM1463)/2,H1463))))</f>
        <v>0</v>
      </c>
      <c r="AL1463" s="62" t="n">
        <f aca="false">AK1463*G1463</f>
        <v>0</v>
      </c>
      <c r="AM1463" s="62" t="n">
        <f aca="false">ROUNDUP(CL1463+MAX(CM1463,2*(J1463/IF(CH1463&gt;0,CH1463,MAX(0.1,N(Cockpit!$C$6)))-CL1463)),0)</f>
        <v>11</v>
      </c>
      <c r="AN1463" s="63" t="n">
        <f aca="false">IF(AJ1463&gt;0,J1463/AJ1463,-1)</f>
        <v>-1</v>
      </c>
      <c r="AO1463" s="63" t="str">
        <f aca="false">IF(AND(OR(CG1463="L1",CG1463="L23",CG1463="LIFT"),AJ1463&gt;0),SUMIFS($AJ$7:$AJ$1843,$CG$7:$CG$1843,CG1463,$AN$7:$AN$1843,"&gt;"&amp;AN1463)+SUMIFS($AJ$7:$AJ$1843,$CG$7:$CG$1843,CG1463,$AN$7:$AN$1843,AN1463,$BX$7:$BX$1843,"&lt;="&amp;BX1463),"")</f>
        <v/>
      </c>
      <c r="AP1463" s="70" t="n">
        <f aca="false">IF(AO1463="",0,MAX(0,MIN(1,(IF(CG1463="L1",Parameter!$H$5,IF(CG1463="L23",Parameter!$H$6+Parameter!$H$7,Parameter!$H$5+Parameter!$H$6+Parameter!$H$7))-(AO1463-AJ1463))/AJ1463)))</f>
        <v>0</v>
      </c>
      <c r="AQ1463" s="62" t="n">
        <f aca="false">IF(LEFT(Cockpit!$I$5,1)="A",H1463,IF(Parameter!$E$30="MAX-Bestand",IF(CI1463=1,CJ1463,IF(LEFT(Cockpit!$I$5,1)="B",AW1463,MAX(AW1463,H1463))),ROUNDUP(AU1463,0)))</f>
        <v>6</v>
      </c>
      <c r="AR1463" s="62" t="n">
        <f aca="false">IF(CA1463=1,0,ROUNDUP(AQ1463/BZ1463,0))</f>
        <v>0</v>
      </c>
      <c r="AS1463" s="64" t="n">
        <f aca="false">IF(CR1463&gt;0,CR1463*MAX(1,AQ1463/X1463),IF(CA1463=1,IF(AQ1463&lt;=0,0,CE1463*MAX(1,IF(H1463&gt;0,AQ1463/H1463,1))),IF(R1463&gt;0,AR1463/R1463,0))/MAX(0.1,N(Parameter!$M$21)))</f>
        <v>0.15</v>
      </c>
      <c r="AT1463" s="62" t="n">
        <f aca="false">AS1463*CC1463</f>
        <v>35.25</v>
      </c>
      <c r="AU1463" s="63" t="n">
        <f aca="false">IF(LEFT(Cockpit!$I$5,1)="A",H1463,IF(CI1463=1,(CL1463+CJ1463)/2,IF(LEFT(Cockpit!$I$5,1)="B",(CL1463+AW1463)/2,MAX((CL1463+AW1463)/2,H1463))))</f>
        <v>5.5</v>
      </c>
      <c r="AV1463" s="62" t="n">
        <f aca="false">AU1463*G1463</f>
        <v>24882.275</v>
      </c>
      <c r="AW1463" s="62" t="n">
        <f aca="false">ROUNDUP(CL1463+MAX(CM1463,2*(J1463/IF(CH1463&gt;0,CH1463,MAX(0.1,N(Cockpit!$I$6)))-CL1463)),0)</f>
        <v>11</v>
      </c>
      <c r="AX1463" s="63" t="n">
        <f aca="false">IF(AT1463&gt;0,J1463/AT1463,-1)</f>
        <v>0.453900709219858</v>
      </c>
      <c r="AY1463" s="63" t="str">
        <f aca="false">IF(AND(OR(CG1463="L1",CG1463="L23",CG1463="LIFT"),AT1463&gt;0),SUMIFS($AT$7:$AT$1843,$CG$7:$CG$1843,CG1463,$AX$7:$AX$1843,"&gt;"&amp;AX1463)+SUMIFS($AT$7:$AT$1843,$CG$7:$CG$1843,CG1463,$AX$7:$AX$1843,AX1463,$BX$7:$BX$1843,"&lt;="&amp;BX1463),"")</f>
        <v/>
      </c>
      <c r="AZ1463" s="70" t="n">
        <f aca="false">IF(AY1463="",0,MAX(0,MIN(1,(IF(CG1463="L1",Parameter!$H$5,IF(CG1463="L23",Parameter!$H$6+Parameter!$H$7,Parameter!$H$5+Parameter!$H$6+Parameter!$H$7))-(AY1463-AT1463))/AT1463)))</f>
        <v>0</v>
      </c>
      <c r="BA1463" s="62" t="n">
        <f aca="false">IF(LEFT(Cockpit!$O$5,1)="A",H1463,IF(Parameter!$E$30="MAX-Bestand",IF(CI1463=1,CJ1463,IF(LEFT(Cockpit!$O$5,1)="B",BG1463,MAX(BG1463,H1463))),ROUNDUP(BE1463,0)))</f>
        <v>4</v>
      </c>
      <c r="BB1463" s="62" t="n">
        <f aca="false">IF(CA1463=1,0,ROUNDUP(BA1463/BZ1463,0))</f>
        <v>0</v>
      </c>
      <c r="BC1463" s="64" t="n">
        <f aca="false">IF(CR1463&gt;0,CR1463*MAX(1,BA1463/X1463),IF(CA1463=1,IF(BA1463&lt;=0,0,CE1463*MAX(1,IF(H1463&gt;0,BA1463/H1463,1))),IF(R1463&gt;0,BB1463/R1463,0))/MAX(0.1,N(Parameter!$M$21)))</f>
        <v>0.15</v>
      </c>
      <c r="BD1463" s="62" t="n">
        <f aca="false">BC1463*CC1463</f>
        <v>35.25</v>
      </c>
      <c r="BE1463" s="63" t="n">
        <f aca="false">IF(LEFT(Cockpit!$O$5,1)="A",H1463,IF(CI1463=1,(CL1463+CJ1463)/2,IF(LEFT(Cockpit!$O$5,1)="B",(CL1463+BG1463)/2,MAX((CL1463+BG1463)/2,H1463))))</f>
        <v>4</v>
      </c>
      <c r="BF1463" s="62" t="n">
        <f aca="false">BE1463*G1463</f>
        <v>18096.2</v>
      </c>
      <c r="BG1463" s="62" t="n">
        <f aca="false">ROUNDUP(CL1463+MAX(CM1463,2*(J1463/IF(CH1463&gt;0,CH1463,MAX(0.1,N(Cockpit!$O$6)))-CL1463)),0)</f>
        <v>8</v>
      </c>
      <c r="BH1463" s="63" t="n">
        <f aca="false">IF(BD1463&gt;0,J1463/BD1463,-1)</f>
        <v>0.453900709219858</v>
      </c>
      <c r="BI1463" s="63" t="str">
        <f aca="false">IF(AND(OR(CG1463="L1",CG1463="L23",CG1463="LIFT"),BD1463&gt;0),SUMIFS($BD$7:$BD$1843,$CG$7:$CG$1843,CG1463,$BH$7:$BH$1843,"&gt;"&amp;BH1463)+SUMIFS($BD$7:$BD$1843,$CG$7:$CG$1843,CG1463,$BH$7:$BH$1843,BH1463,$BX$7:$BX$1843,"&lt;="&amp;BX1463),"")</f>
        <v/>
      </c>
      <c r="BJ1463" s="70" t="n">
        <f aca="false">IF(BI1463="",0,MAX(0,MIN(1,(IF(CG1463="L1",Parameter!$H$5,IF(CG1463="L23",Parameter!$H$6+Parameter!$H$7,Parameter!$H$5+Parameter!$H$6+Parameter!$H$7))-(BI1463-BD1463))/BD1463)))</f>
        <v>0</v>
      </c>
      <c r="BK1463" s="60" t="str">
        <f aca="false">IF(AJ1463&lt;=0,"",IF(CG1463="Aussen","Aussenlager",IF(CG1463="-","Nicht im Lift",IF(AP1463&gt;=1,"Lift",IF(AP1463&lt;=0,"Aussenlager","teilweise")))))</f>
        <v/>
      </c>
      <c r="BL1463" s="60" t="str">
        <f aca="false">IF(AT1463&lt;=0,"",IF(CG1463="Aussen","Aussenlager",IF(CG1463="-","Nicht im Lift",IF(AZ1463&gt;=1,"Lift",IF(AZ1463&lt;=0,"Aussenlager","teilweise")))))</f>
        <v>Nicht im Lift</v>
      </c>
      <c r="BM1463" s="60" t="str">
        <f aca="false">IF(BD1463&lt;=0,"",IF(CG1463="Aussen","Aussenlager",IF(CG1463="-","Nicht im Lift",IF(BJ1463&gt;=1,"Lift",IF(BJ1463&lt;=0,"Aussenlager","teilweise")))))</f>
        <v>Nicht im Lift</v>
      </c>
      <c r="BN1463" s="60" t="str">
        <f aca="false">IF(A1463="","",IF(BW1463=1,"Neu; ","")&amp;IF(AND(BW1463=0,BR1463&lt;0),"negativer Bestand (Export "&amp;BR1463&amp;"); ","")&amp;IF(J1463&lt;=0,"Kein Verbrauch; ","")&amp;IF(CR1463&gt;0,"Lift "&amp;W1463&amp;" lt. Liftbericht (Fach "&amp;X1463&amp;" Stk); ",IF(CB1463=1,"Gebinde geschätzt ("&amp;T1463&amp;"); ",IF(CA1463=1,"Lose – Tablare geschätzt; ","")))&amp;IF(H1463&gt;AW1463,"Überbestand "&amp;ROUND(H1463-AW1463,0)&amp;" Stk / CHF "&amp;ROUND((H1463-AW1463)*G1463,0)&amp;"; ","")&amp;IF(AND(CI1463=1,CJ1463&lt;CK1463),"MAX &lt; MB+LG; ","")&amp;IF(AND(CQ1463&gt;0,CP1463*10&gt;CQ1463),"zu hoch für Tablar; ","")&amp;IF(AND(BW1463=0,OR(CI1463=1,AB1463&lt;&gt;"",U1463&lt;&gt;"",V1463&lt;&gt;"",AC1463&lt;&gt;"")),"manuell übersteuert; ","")&amp;IF(AND(CA1463=0,R1463=0),"Gebinde unbekannt / Stellmass fehlt; ","")&amp;IF(AND(CA1463=0,N(V1463)&lt;=0,N(Q1463)&lt;=0),"Menge pro Gebinde fehlt (Ist = 1 Gebinde); ","")&amp;BV1463)</f>
        <v>negativer Bestand (Export -6); Lose – Tablare geschätzt; Neuer Art.</v>
      </c>
      <c r="BO1463" s="60"/>
      <c r="BP1463" s="60"/>
      <c r="BQ1463" s="67"/>
      <c r="BR1463" s="62" t="n">
        <v>-6</v>
      </c>
      <c r="BS1463" s="62" t="n">
        <v>0</v>
      </c>
      <c r="BT1463" s="61" t="n">
        <v>-26487.18</v>
      </c>
      <c r="BU1463" s="62" t="n">
        <v>16</v>
      </c>
      <c r="BV1463" s="60" t="s">
        <v>554</v>
      </c>
      <c r="BW1463" s="65" t="n">
        <v>0</v>
      </c>
      <c r="BX1463" s="65" t="n">
        <v>1463</v>
      </c>
      <c r="BY1463" s="60" t="str">
        <f aca="false">IF(U1463&lt;&gt;"",UPPER(TRIM(U1463)),IF(CB1463=1,UPPER(VLOOKUP(T1463,Parameter!$I$27:$K$29,2,0)),IF(P1463="","LOSE",P1463)))</f>
        <v>LOSE</v>
      </c>
      <c r="BZ1463" s="62" t="n">
        <f aca="false">IF(BY1463="LOSE",1,IF(N(V1463)&gt;0,V1463,IF(CB1463=1,MAX(1,N(VLOOKUP(T1463,Parameter!$I$27:$K$29,3,0)),H1463,N(N1463)),IF(N(Q1463)&gt;0,Q1463,MAX(1,H1463)))))</f>
        <v>1</v>
      </c>
      <c r="CA1463" s="65" t="n">
        <f aca="false">IF(BY1463="LOSE",1,0)</f>
        <v>1</v>
      </c>
      <c r="CB1463" s="65" t="n">
        <f aca="false">IF(AND(U1463="",OR(P1463="",P1463="LOSE"),T1463&lt;&gt;"",N(S1463)&lt;=0,ISNUMBER(MATCH(T1463,Parameter!$I$27:$I$29,0))),1,0)</f>
        <v>0</v>
      </c>
      <c r="CC1463" s="65" t="n">
        <f aca="false">IF(CR1463&gt;0,INDEX(Parameter!$H$5:$H$7,W1463)/INDEX(Parameter!$E$5:$E$7,W1463),IF(AND(CA1463=0,N(IFERROR(VLOOKUP(BY1463,'Gebinde-Kategorie'!$A$5:$N$45,14,0),0))&gt;0),VLOOKUP(BY1463,'Gebinde-Kategorie'!$A$5:$N$45,14,0)*10+Parameter!$M$23,Parameter!$M$24))</f>
        <v>235</v>
      </c>
      <c r="CD1463" s="60" t="str">
        <f aca="false">IF(AND(Parameter!$B$19="Ja",E1463&lt;&gt;"",ISNUMBER(MATCH(E1463,Parameter!$I$35:$I$52,0))),VLOOKUP(E1463,Parameter!$I$35:$J$52,2,0),IFERROR(VLOOKUP(D1463,Parameter!$A$35:$C$64,2,0),"Nein"))</f>
        <v>Nein</v>
      </c>
      <c r="CE1463" s="64" t="n">
        <f aca="false">IF(CA1463=0,0,IF(N(S1463)&gt;0,S1463,IFERROR(VLOOKUP(D1463,Parameter!$A$35:$C$64,3,0)+0,0)))</f>
        <v>0.15</v>
      </c>
      <c r="CF1463" s="60" t="str">
        <f aca="false">IF(AB1463&lt;&gt;"",AB1463,AA1463)</f>
        <v>-</v>
      </c>
      <c r="CG1463" s="60" t="str">
        <f aca="false">IF(OR(CF1463=1,CF1463=2,CF1463=3),IF(Parameter!$E$27="Ja","LIFT",IF(CF1463=1,"L1","L23")),IF(CF1463="Aussen","Aussen","-"))</f>
        <v>-</v>
      </c>
      <c r="CH1463" s="71" t="n">
        <f aca="false">IF(N(AC1463)&gt;0,AC1463,0)</f>
        <v>0</v>
      </c>
      <c r="CI1463" s="65" t="n">
        <f aca="false">IF(ISNUMBER(AF1463),1,0)</f>
        <v>0</v>
      </c>
      <c r="CJ1463" s="62" t="n">
        <f aca="false">N(AF1463)</f>
        <v>0</v>
      </c>
      <c r="CK1463" s="62" t="n">
        <f aca="false">N(M1463)+N(N1463)</f>
        <v>1</v>
      </c>
      <c r="CL1463" s="62" t="n">
        <f aca="false">N(M1463)</f>
        <v>0</v>
      </c>
      <c r="CM1463" s="62" t="n">
        <f aca="false">N(N1463)</f>
        <v>1</v>
      </c>
      <c r="CN1463" s="62" t="n">
        <f aca="false">ROUNDUP(H1463/BZ1463,0)</f>
        <v>0</v>
      </c>
      <c r="CO1463" s="62" t="n">
        <f aca="false">ROUNDUP(CJ1463/BZ1463,0)</f>
        <v>0</v>
      </c>
      <c r="CP1463" s="65" t="n">
        <f aca="false">IF(CA1463=1,0,IFERROR(VLOOKUP(BY1463,'Gebinde-Kategorie'!$A$5:$N$45,5,0)+0,0))</f>
        <v>0</v>
      </c>
      <c r="CQ1463" s="65" t="n">
        <f aca="false">IFERROR(IF(OR(CF1463=1,CF1463=2,CF1463=3),N(INDEX(Parameter!$I$5:$I$7,CF1463)),0),0)</f>
        <v>0</v>
      </c>
      <c r="CR1463" s="64" t="n">
        <f aca="false">IF(AND(Parameter!$B$21="Ja",ISNUMBER(W1463),N(X1463)&gt;0),IFERROR(N(INDEX(Parameter!$L$5:$L$7,W1463))*INDEX(Parameter!$E$5:$E$7,W1463)*X1463/SUMIFS($X$7:$X$1843,$W$7:$W$1843,W1463),0),0)</f>
        <v>0</v>
      </c>
      <c r="CS1463" s="62" t="str">
        <f aca="false">IF(AND(OR(CG1463="L1",CG1463="L23",CG1463="LIFT"),H1463&gt;0),CC1463*IF(CR1463&gt;0,CR1463*MAX(1,H1463/X1463),IF(CA1463=1,CE1463,IF(R1463&gt;0,CN1463/R1463,0))/MAX(0.1,N(Parameter!$M$21))),"")</f>
        <v/>
      </c>
      <c r="CT1463" s="64" t="str">
        <f aca="false">IF(CS1463="","",J1463/H1463)</f>
        <v/>
      </c>
      <c r="CU1463" s="62" t="str">
        <f aca="false">IF(CS1463="","",H1463*G1463)</f>
        <v/>
      </c>
      <c r="CV1463" s="63" t="str">
        <f aca="false">IF(CS1463="","",(CL1463+ROUNDUP(CL1463+MAX(CM1463,2*(J1463/MAX(0.1,N(Einkauf!$C$6))-CL1463)),0))/2)</f>
        <v/>
      </c>
      <c r="CW1463" s="62" t="str">
        <f aca="false">IF(CS1463="","",MAX(0,H1463-CV1463)*G1463)</f>
        <v/>
      </c>
      <c r="CX1463" s="62" t="str">
        <f aca="false">IF(CS1463="","",CS1463*MAX(0,1-CV1463/H1463))</f>
        <v/>
      </c>
      <c r="CY1463" s="64" t="str">
        <f aca="false">IF(CS1463="","",PERCENTRANK($CS$7:$CS$1843,CS1463)+PERCENTRANK($CU$7:$CU$1843,CU1463)+1-PERCENTRANK($CT$7:$CT$1843,CT1463))</f>
        <v/>
      </c>
      <c r="CZ1463" s="72" t="str">
        <f aca="false">IF(CS1463="","",CHOOSE(MATCH(Einkauf!$C$5,Parameter!$G$23:$G$27,0),CY1463,CS1463,CU1463,-CT1463,CW1463)+ROW()/1000000000)</f>
        <v/>
      </c>
    </row>
    <row r="1464" customFormat="false" ht="15" hidden="false" customHeight="false" outlineLevel="0" collapsed="false">
      <c r="A1464" s="60" t="s">
        <v>2601</v>
      </c>
      <c r="B1464" s="60" t="s">
        <v>447</v>
      </c>
      <c r="C1464" s="60" t="s">
        <v>498</v>
      </c>
      <c r="D1464" s="60" t="s">
        <v>215</v>
      </c>
      <c r="E1464" s="60"/>
      <c r="F1464" s="60"/>
      <c r="G1464" s="61" t="n">
        <v>7.96</v>
      </c>
      <c r="H1464" s="62" t="n">
        <f aca="false">MAX(0,IF(AND(Parameter!$B$21="Ja",ISNUMBER(Y1464)),Y1464,IF(Parameter!$B$20="Jahresanfang 2025 + Export",BS1464+BR1464,BR1464)))</f>
        <v>0</v>
      </c>
      <c r="I1464" s="62" t="n">
        <f aca="false">H1464*G1464</f>
        <v>0</v>
      </c>
      <c r="J1464" s="62" t="n">
        <f aca="false">BU1464*Parameter!$B$18</f>
        <v>6500</v>
      </c>
      <c r="K1464" s="63"/>
      <c r="L1464" s="64"/>
      <c r="M1464" s="62" t="n">
        <v>379</v>
      </c>
      <c r="N1464" s="62" t="n">
        <v>1435</v>
      </c>
      <c r="O1464" s="65"/>
      <c r="P1464" s="60" t="s">
        <v>210</v>
      </c>
      <c r="Q1464" s="62"/>
      <c r="R1464" s="65" t="n">
        <f aca="false">IF(CA1464=1,0,IFERROR(VLOOKUP(BY1464,'Gebinde-Kategorie'!$A$5:$N$45,13,0)+0,0))</f>
        <v>26</v>
      </c>
      <c r="S1464" s="66"/>
      <c r="T1464" s="67" t="s">
        <v>317</v>
      </c>
      <c r="U1464" s="67"/>
      <c r="V1464" s="67"/>
      <c r="W1464" s="60"/>
      <c r="X1464" s="62"/>
      <c r="Y1464" s="62"/>
      <c r="Z1464" s="60" t="n">
        <v>3</v>
      </c>
      <c r="AA1464" s="60" t="n">
        <f aca="false">IF(A1464="","",IF(AND(Parameter!$B$21="Ja",ISNUMBER(W1464)),W1464,IF(AND(Parameter!$E$27="Ja",ISNUMBER(Z1464),CD1464&lt;&gt;"Nein"),Z1464,IF(CD1464="2+3",IF(ISNUMBER(SEARCH("grosser Artikel",BV1464)),2,IFERROR(VLOOKUP(BY1464,Parameter!$F$35:$G$64,2,0),2)),IF(OR(CD1464="Nein",CD1464=""),"-",CD1464)))))</f>
        <v>3</v>
      </c>
      <c r="AB1464" s="67"/>
      <c r="AC1464" s="68"/>
      <c r="AD1464" s="62" t="n">
        <f aca="false">AW1464</f>
        <v>3955</v>
      </c>
      <c r="AE1464" s="62" t="n">
        <f aca="false">MAX(AW1464,H1464)</f>
        <v>3955</v>
      </c>
      <c r="AF1464" s="69"/>
      <c r="AG1464" s="62" t="n">
        <f aca="false">IF(LEFT(Cockpit!$C$5,1)="A",H1464,IF(Parameter!$E$30="MAX-Bestand",IF(CI1464=1,CJ1464,IF(LEFT(Cockpit!$C$5,1)="B",AM1464,MAX(AM1464,H1464))),ROUNDUP(AK1464,0)))</f>
        <v>0</v>
      </c>
      <c r="AH1464" s="62" t="n">
        <f aca="false">IF(CA1464=1,0,ROUNDUP(AG1464/BZ1464,0))</f>
        <v>0</v>
      </c>
      <c r="AI1464" s="64" t="n">
        <f aca="false">IF(CR1464&gt;0,CR1464*MAX(1,AG1464/X1464),IF(CA1464=1,IF(AG1464&lt;=0,0,CE1464*MAX(1,IF(H1464&gt;0,AG1464/H1464,1))),IF(R1464&gt;0,AH1464/R1464,0))/MAX(0.1,N(Parameter!$M$21)))</f>
        <v>0</v>
      </c>
      <c r="AJ1464" s="62" t="n">
        <f aca="false">AI1464*CC1464</f>
        <v>0</v>
      </c>
      <c r="AK1464" s="63" t="n">
        <f aca="false">IF(LEFT(Cockpit!$C$5,1)="A",H1464,IF(CI1464=1,(CL1464+CJ1464)/2,IF(LEFT(Cockpit!$C$5,1)="B",(CL1464+AM1464)/2,MAX((CL1464+AM1464)/2,H1464))))</f>
        <v>0</v>
      </c>
      <c r="AL1464" s="62" t="n">
        <f aca="false">AK1464*G1464</f>
        <v>0</v>
      </c>
      <c r="AM1464" s="62" t="n">
        <f aca="false">ROUNDUP(CL1464+MAX(CM1464,2*(J1464/IF(CH1464&gt;0,CH1464,MAX(0.1,N(Cockpit!$C$6)))-CL1464)),0)</f>
        <v>3955</v>
      </c>
      <c r="AN1464" s="63" t="n">
        <f aca="false">IF(AJ1464&gt;0,J1464/AJ1464,-1)</f>
        <v>-1</v>
      </c>
      <c r="AO1464" s="63" t="str">
        <f aca="false">IF(AND(OR(CG1464="L1",CG1464="L23",CG1464="LIFT"),AJ1464&gt;0),SUMIFS($AJ$7:$AJ$1843,$CG$7:$CG$1843,CG1464,$AN$7:$AN$1843,"&gt;"&amp;AN1464)+SUMIFS($AJ$7:$AJ$1843,$CG$7:$CG$1843,CG1464,$AN$7:$AN$1843,AN1464,$BX$7:$BX$1843,"&lt;="&amp;BX1464),"")</f>
        <v/>
      </c>
      <c r="AP1464" s="70" t="n">
        <f aca="false">IF(AO1464="",0,MAX(0,MIN(1,(IF(CG1464="L1",Parameter!$H$5,IF(CG1464="L23",Parameter!$H$6+Parameter!$H$7,Parameter!$H$5+Parameter!$H$6+Parameter!$H$7))-(AO1464-AJ1464))/AJ1464)))</f>
        <v>0</v>
      </c>
      <c r="AQ1464" s="62" t="n">
        <f aca="false">IF(LEFT(Cockpit!$I$5,1)="A",H1464,IF(Parameter!$E$30="MAX-Bestand",IF(CI1464=1,CJ1464,IF(LEFT(Cockpit!$I$5,1)="B",AW1464,MAX(AW1464,H1464))),ROUNDUP(AU1464,0)))</f>
        <v>2167</v>
      </c>
      <c r="AR1464" s="62" t="n">
        <f aca="false">IF(CA1464=1,0,ROUNDUP(AQ1464/BZ1464,0))</f>
        <v>2</v>
      </c>
      <c r="AS1464" s="64" t="n">
        <f aca="false">IF(CR1464&gt;0,CR1464*MAX(1,AQ1464/X1464),IF(CA1464=1,IF(AQ1464&lt;=0,0,CE1464*MAX(1,IF(H1464&gt;0,AQ1464/H1464,1))),IF(R1464&gt;0,AR1464/R1464,0))/MAX(0.1,N(Parameter!$M$21)))</f>
        <v>0.0769230769230769</v>
      </c>
      <c r="AT1464" s="62" t="n">
        <f aca="false">AS1464*CC1464</f>
        <v>11.9230769230769</v>
      </c>
      <c r="AU1464" s="63" t="n">
        <f aca="false">IF(LEFT(Cockpit!$I$5,1)="A",H1464,IF(CI1464=1,(CL1464+CJ1464)/2,IF(LEFT(Cockpit!$I$5,1)="B",(CL1464+AW1464)/2,MAX((CL1464+AW1464)/2,H1464))))</f>
        <v>2167</v>
      </c>
      <c r="AV1464" s="62" t="n">
        <f aca="false">AU1464*G1464</f>
        <v>17249.32</v>
      </c>
      <c r="AW1464" s="62" t="n">
        <f aca="false">ROUNDUP(CL1464+MAX(CM1464,2*(J1464/IF(CH1464&gt;0,CH1464,MAX(0.1,N(Cockpit!$I$6)))-CL1464)),0)</f>
        <v>3955</v>
      </c>
      <c r="AX1464" s="63" t="n">
        <f aca="false">IF(AT1464&gt;0,J1464/AT1464,-1)</f>
        <v>545.161290322581</v>
      </c>
      <c r="AY1464" s="63" t="n">
        <f aca="false">IF(AND(OR(CG1464="L1",CG1464="L23",CG1464="LIFT"),AT1464&gt;0),SUMIFS($AT$7:$AT$1843,$CG$7:$CG$1843,CG1464,$AX$7:$AX$1843,"&gt;"&amp;AX1464)+SUMIFS($AT$7:$AT$1843,$CG$7:$CG$1843,CG1464,$AX$7:$AX$1843,AX1464,$BX$7:$BX$1843,"&lt;="&amp;BX1464),"")</f>
        <v>85.8956043956044</v>
      </c>
      <c r="AZ1464" s="70" t="n">
        <f aca="false">IF(AY1464="",0,MAX(0,MIN(1,(IF(CG1464="L1",Parameter!$H$5,IF(CG1464="L23",Parameter!$H$6+Parameter!$H$7,Parameter!$H$5+Parameter!$H$6+Parameter!$H$7))-(AY1464-AT1464))/AT1464)))</f>
        <v>1</v>
      </c>
      <c r="BA1464" s="62" t="n">
        <f aca="false">IF(LEFT(Cockpit!$O$5,1)="A",H1464,IF(Parameter!$E$30="MAX-Bestand",IF(CI1464=1,CJ1464,IF(LEFT(Cockpit!$O$5,1)="B",BG1464,MAX(BG1464,H1464))),ROUNDUP(BE1464,0)))</f>
        <v>1625</v>
      </c>
      <c r="BB1464" s="62" t="n">
        <f aca="false">IF(CA1464=1,0,ROUNDUP(BA1464/BZ1464,0))</f>
        <v>2</v>
      </c>
      <c r="BC1464" s="64" t="n">
        <f aca="false">IF(CR1464&gt;0,CR1464*MAX(1,BA1464/X1464),IF(CA1464=1,IF(BA1464&lt;=0,0,CE1464*MAX(1,IF(H1464&gt;0,BA1464/H1464,1))),IF(R1464&gt;0,BB1464/R1464,0))/MAX(0.1,N(Parameter!$M$21)))</f>
        <v>0.0769230769230769</v>
      </c>
      <c r="BD1464" s="62" t="n">
        <f aca="false">BC1464*CC1464</f>
        <v>11.9230769230769</v>
      </c>
      <c r="BE1464" s="63" t="n">
        <f aca="false">IF(LEFT(Cockpit!$O$5,1)="A",H1464,IF(CI1464=1,(CL1464+CJ1464)/2,IF(LEFT(Cockpit!$O$5,1)="B",(CL1464+BG1464)/2,MAX((CL1464+BG1464)/2,H1464))))</f>
        <v>1625</v>
      </c>
      <c r="BF1464" s="62" t="n">
        <f aca="false">BE1464*G1464</f>
        <v>12935</v>
      </c>
      <c r="BG1464" s="62" t="n">
        <f aca="false">ROUNDUP(CL1464+MAX(CM1464,2*(J1464/IF(CH1464&gt;0,CH1464,MAX(0.1,N(Cockpit!$O$6)))-CL1464)),0)</f>
        <v>2871</v>
      </c>
      <c r="BH1464" s="63" t="n">
        <f aca="false">IF(BD1464&gt;0,J1464/BD1464,-1)</f>
        <v>545.161290322581</v>
      </c>
      <c r="BI1464" s="63" t="n">
        <f aca="false">IF(AND(OR(CG1464="L1",CG1464="L23",CG1464="LIFT"),BD1464&gt;0),SUMIFS($BD$7:$BD$1843,$CG$7:$CG$1843,CG1464,$BH$7:$BH$1843,"&gt;"&amp;BH1464)+SUMIFS($BD$7:$BD$1843,$CG$7:$CG$1843,CG1464,$BH$7:$BH$1843,BH1464,$BX$7:$BX$1843,"&lt;="&amp;BX1464),"")</f>
        <v>106.538003663004</v>
      </c>
      <c r="BJ1464" s="70" t="n">
        <f aca="false">IF(BI1464="",0,MAX(0,MIN(1,(IF(CG1464="L1",Parameter!$H$5,IF(CG1464="L23",Parameter!$H$6+Parameter!$H$7,Parameter!$H$5+Parameter!$H$6+Parameter!$H$7))-(BI1464-BD1464))/BD1464)))</f>
        <v>1</v>
      </c>
      <c r="BK1464" s="60" t="str">
        <f aca="false">IF(AJ1464&lt;=0,"",IF(CG1464="Aussen","Aussenlager",IF(CG1464="-","Nicht im Lift",IF(AP1464&gt;=1,"Lift",IF(AP1464&lt;=0,"Aussenlager","teilweise")))))</f>
        <v/>
      </c>
      <c r="BL1464" s="60" t="str">
        <f aca="false">IF(AT1464&lt;=0,"",IF(CG1464="Aussen","Aussenlager",IF(CG1464="-","Nicht im Lift",IF(AZ1464&gt;=1,"Lift",IF(AZ1464&lt;=0,"Aussenlager","teilweise")))))</f>
        <v>Lift</v>
      </c>
      <c r="BM1464" s="60" t="str">
        <f aca="false">IF(BD1464&lt;=0,"",IF(CG1464="Aussen","Aussenlager",IF(CG1464="-","Nicht im Lift",IF(BJ1464&gt;=1,"Lift",IF(BJ1464&lt;=0,"Aussenlager","teilweise")))))</f>
        <v>Lift</v>
      </c>
      <c r="BN1464" s="60" t="str">
        <f aca="false">IF(A1464="","",IF(BW1464=1,"Neu; ","")&amp;IF(AND(BW1464=0,BR1464&lt;0),"negativer Bestand (Export "&amp;BR1464&amp;"); ","")&amp;IF(J1464&lt;=0,"Kein Verbrauch; ","")&amp;IF(CR1464&gt;0,"Lift "&amp;W1464&amp;" lt. Liftbericht (Fach "&amp;X1464&amp;" Stk); ",IF(CB1464=1,"Gebinde geschätzt ("&amp;T1464&amp;"); ",IF(CA1464=1,"Lose – Tablare geschätzt; ","")))&amp;IF(H1464&gt;AW1464,"Überbestand "&amp;ROUND(H1464-AW1464,0)&amp;" Stk / CHF "&amp;ROUND((H1464-AW1464)*G1464,0)&amp;"; ","")&amp;IF(AND(CI1464=1,CJ1464&lt;CK1464),"MAX &lt; MB+LG; ","")&amp;IF(AND(CQ1464&gt;0,CP1464*10&gt;CQ1464),"zu hoch für Tablar; ","")&amp;IF(AND(BW1464=0,OR(CI1464=1,AB1464&lt;&gt;"",U1464&lt;&gt;"",V1464&lt;&gt;"",AC1464&lt;&gt;"")),"manuell übersteuert; ","")&amp;IF(AND(CA1464=0,R1464=0),"Gebinde unbekannt / Stellmass fehlt; ","")&amp;IF(AND(CA1464=0,N(V1464)&lt;=0,N(Q1464)&lt;=0),"Menge pro Gebinde fehlt (Ist = 1 Gebinde); ","")&amp;BV1464)</f>
        <v>negativer Bestand (Export -3000); Gebinde geschätzt (Klein); Menge pro Gebinde fehlt (Ist = 1 Gebinde); </v>
      </c>
      <c r="BO1464" s="60"/>
      <c r="BP1464" s="60"/>
      <c r="BQ1464" s="67"/>
      <c r="BR1464" s="62" t="n">
        <v>-3000</v>
      </c>
      <c r="BS1464" s="62" t="n">
        <v>0</v>
      </c>
      <c r="BT1464" s="61" t="n">
        <v>-26550</v>
      </c>
      <c r="BU1464" s="62" t="n">
        <v>6500</v>
      </c>
      <c r="BV1464" s="60"/>
      <c r="BW1464" s="65" t="n">
        <v>0</v>
      </c>
      <c r="BX1464" s="65" t="n">
        <v>1464</v>
      </c>
      <c r="BY1464" s="60" t="str">
        <f aca="false">IF(U1464&lt;&gt;"",UPPER(TRIM(U1464)),IF(CB1464=1,UPPER(VLOOKUP(T1464,Parameter!$I$27:$K$29,2,0)),IF(P1464="","LOSE",P1464)))</f>
        <v>S51</v>
      </c>
      <c r="BZ1464" s="62" t="n">
        <f aca="false">IF(BY1464="LOSE",1,IF(N(V1464)&gt;0,V1464,IF(CB1464=1,MAX(1,N(VLOOKUP(T1464,Parameter!$I$27:$K$29,3,0)),H1464,N(N1464)),IF(N(Q1464)&gt;0,Q1464,MAX(1,H1464)))))</f>
        <v>1435</v>
      </c>
      <c r="CA1464" s="65" t="n">
        <f aca="false">IF(BY1464="LOSE",1,0)</f>
        <v>0</v>
      </c>
      <c r="CB1464" s="65" t="n">
        <f aca="false">IF(AND(U1464="",OR(P1464="",P1464="LOSE"),T1464&lt;&gt;"",N(S1464)&lt;=0,ISNUMBER(MATCH(T1464,Parameter!$I$27:$I$29,0))),1,0)</f>
        <v>1</v>
      </c>
      <c r="CC1464" s="65" t="n">
        <f aca="false">IF(CR1464&gt;0,INDEX(Parameter!$H$5:$H$7,W1464)/INDEX(Parameter!$E$5:$E$7,W1464),IF(AND(CA1464=0,N(IFERROR(VLOOKUP(BY1464,'Gebinde-Kategorie'!$A$5:$N$45,14,0),0))&gt;0),VLOOKUP(BY1464,'Gebinde-Kategorie'!$A$5:$N$45,14,0)*10+Parameter!$M$23,Parameter!$M$24))</f>
        <v>155</v>
      </c>
      <c r="CD1464" s="60" t="str">
        <f aca="false">IF(AND(Parameter!$B$19="Ja",E1464&lt;&gt;"",ISNUMBER(MATCH(E1464,Parameter!$I$35:$I$52,0))),VLOOKUP(E1464,Parameter!$I$35:$J$52,2,0),IFERROR(VLOOKUP(D1464,Parameter!$A$35:$C$64,2,0),"Nein"))</f>
        <v>2+3</v>
      </c>
      <c r="CE1464" s="64" t="n">
        <f aca="false">IF(CA1464=0,0,IF(N(S1464)&gt;0,S1464,IFERROR(VLOOKUP(D1464,Parameter!$A$35:$C$64,3,0)+0,0)))</f>
        <v>0</v>
      </c>
      <c r="CF1464" s="60" t="n">
        <f aca="false">IF(AB1464&lt;&gt;"",AB1464,AA1464)</f>
        <v>3</v>
      </c>
      <c r="CG1464" s="60" t="str">
        <f aca="false">IF(OR(CF1464=1,CF1464=2,CF1464=3),IF(Parameter!$E$27="Ja","LIFT",IF(CF1464=1,"L1","L23")),IF(CF1464="Aussen","Aussen","-"))</f>
        <v>LIFT</v>
      </c>
      <c r="CH1464" s="71" t="n">
        <f aca="false">IF(N(AC1464)&gt;0,AC1464,0)</f>
        <v>0</v>
      </c>
      <c r="CI1464" s="65" t="n">
        <f aca="false">IF(ISNUMBER(AF1464),1,0)</f>
        <v>0</v>
      </c>
      <c r="CJ1464" s="62" t="n">
        <f aca="false">N(AF1464)</f>
        <v>0</v>
      </c>
      <c r="CK1464" s="62" t="n">
        <f aca="false">N(M1464)+N(N1464)</f>
        <v>1814</v>
      </c>
      <c r="CL1464" s="62" t="n">
        <f aca="false">N(M1464)</f>
        <v>379</v>
      </c>
      <c r="CM1464" s="62" t="n">
        <f aca="false">N(N1464)</f>
        <v>1435</v>
      </c>
      <c r="CN1464" s="62" t="n">
        <f aca="false">ROUNDUP(H1464/BZ1464,0)</f>
        <v>0</v>
      </c>
      <c r="CO1464" s="62" t="n">
        <f aca="false">ROUNDUP(CJ1464/BZ1464,0)</f>
        <v>0</v>
      </c>
      <c r="CP1464" s="65" t="n">
        <f aca="false">IF(CA1464=1,0,IFERROR(VLOOKUP(BY1464,'Gebinde-Kategorie'!$A$5:$N$45,5,0)+0,0))</f>
        <v>11</v>
      </c>
      <c r="CQ1464" s="65" t="n">
        <f aca="false">IFERROR(IF(OR(CF1464=1,CF1464=2,CF1464=3),N(INDEX(Parameter!$I$5:$I$7,CF1464)),0),0)</f>
        <v>0</v>
      </c>
      <c r="CR1464" s="64" t="n">
        <f aca="false">IF(AND(Parameter!$B$21="Ja",ISNUMBER(W1464),N(X1464)&gt;0),IFERROR(N(INDEX(Parameter!$L$5:$L$7,W1464))*INDEX(Parameter!$E$5:$E$7,W1464)*X1464/SUMIFS($X$7:$X$1843,$W$7:$W$1843,W1464),0),0)</f>
        <v>0</v>
      </c>
      <c r="CS1464" s="62" t="str">
        <f aca="false">IF(AND(OR(CG1464="L1",CG1464="L23",CG1464="LIFT"),H1464&gt;0),CC1464*IF(CR1464&gt;0,CR1464*MAX(1,H1464/X1464),IF(CA1464=1,CE1464,IF(R1464&gt;0,CN1464/R1464,0))/MAX(0.1,N(Parameter!$M$21))),"")</f>
        <v/>
      </c>
      <c r="CT1464" s="64" t="str">
        <f aca="false">IF(CS1464="","",J1464/H1464)</f>
        <v/>
      </c>
      <c r="CU1464" s="62" t="str">
        <f aca="false">IF(CS1464="","",H1464*G1464)</f>
        <v/>
      </c>
      <c r="CV1464" s="63" t="str">
        <f aca="false">IF(CS1464="","",(CL1464+ROUNDUP(CL1464+MAX(CM1464,2*(J1464/MAX(0.1,N(Einkauf!$C$6))-CL1464)),0))/2)</f>
        <v/>
      </c>
      <c r="CW1464" s="62" t="str">
        <f aca="false">IF(CS1464="","",MAX(0,H1464-CV1464)*G1464)</f>
        <v/>
      </c>
      <c r="CX1464" s="62" t="str">
        <f aca="false">IF(CS1464="","",CS1464*MAX(0,1-CV1464/H1464))</f>
        <v/>
      </c>
      <c r="CY1464" s="64" t="str">
        <f aca="false">IF(CS1464="","",PERCENTRANK($CS$7:$CS$1843,CS1464)+PERCENTRANK($CU$7:$CU$1843,CU1464)+1-PERCENTRANK($CT$7:$CT$1843,CT1464))</f>
        <v/>
      </c>
      <c r="CZ1464" s="72" t="str">
        <f aca="false">IF(CS1464="","",CHOOSE(MATCH(Einkauf!$C$5,Parameter!$G$23:$G$27,0),CY1464,CS1464,CU1464,-CT1464,CW1464)+ROW()/1000000000)</f>
        <v/>
      </c>
    </row>
    <row r="1465" customFormat="false" ht="15" hidden="false" customHeight="false" outlineLevel="0" collapsed="false">
      <c r="A1465" s="60" t="s">
        <v>2602</v>
      </c>
      <c r="B1465" s="60" t="s">
        <v>205</v>
      </c>
      <c r="C1465" s="60" t="s">
        <v>206</v>
      </c>
      <c r="D1465" s="60" t="s">
        <v>207</v>
      </c>
      <c r="E1465" s="60" t="s">
        <v>208</v>
      </c>
      <c r="F1465" s="60"/>
      <c r="G1465" s="61" t="n">
        <v>4042.46</v>
      </c>
      <c r="H1465" s="62" t="n">
        <f aca="false">MAX(0,IF(AND(Parameter!$B$21="Ja",ISNUMBER(Y1465)),Y1465,IF(Parameter!$B$20="Jahresanfang 2025 + Export",BS1465+BR1465,BR1465)))</f>
        <v>8</v>
      </c>
      <c r="I1465" s="62" t="n">
        <f aca="false">H1465*G1465</f>
        <v>32339.68</v>
      </c>
      <c r="J1465" s="62" t="n">
        <f aca="false">BU1465*Parameter!$B$18</f>
        <v>71</v>
      </c>
      <c r="K1465" s="63"/>
      <c r="L1465" s="64"/>
      <c r="M1465" s="62" t="n">
        <v>4</v>
      </c>
      <c r="N1465" s="62" t="n">
        <v>8</v>
      </c>
      <c r="O1465" s="65"/>
      <c r="P1465" s="60" t="s">
        <v>210</v>
      </c>
      <c r="Q1465" s="62"/>
      <c r="R1465" s="65" t="n">
        <f aca="false">IF(CA1465=1,0,IFERROR(VLOOKUP(BY1465,'Gebinde-Kategorie'!$A$5:$N$45,13,0)+0,0))</f>
        <v>0</v>
      </c>
      <c r="S1465" s="66"/>
      <c r="T1465" s="67"/>
      <c r="U1465" s="67"/>
      <c r="V1465" s="67"/>
      <c r="W1465" s="60" t="n">
        <v>1</v>
      </c>
      <c r="X1465" s="62" t="n">
        <v>11</v>
      </c>
      <c r="Y1465" s="62" t="n">
        <v>8</v>
      </c>
      <c r="Z1465" s="60" t="n">
        <v>1</v>
      </c>
      <c r="AA1465" s="60" t="n">
        <f aca="false">IF(A1465="","",IF(AND(Parameter!$B$21="Ja",ISNUMBER(W1465)),W1465,IF(AND(Parameter!$E$27="Ja",ISNUMBER(Z1465),CD1465&lt;&gt;"Nein"),Z1465,IF(CD1465="2+3",IF(ISNUMBER(SEARCH("grosser Artikel",BV1465)),2,IFERROR(VLOOKUP(BY1465,Parameter!$F$35:$G$64,2,0),2)),IF(OR(CD1465="Nein",CD1465=""),"-",CD1465)))))</f>
        <v>1</v>
      </c>
      <c r="AB1465" s="67"/>
      <c r="AC1465" s="68"/>
      <c r="AD1465" s="62" t="n">
        <f aca="false">AW1465</f>
        <v>44</v>
      </c>
      <c r="AE1465" s="62" t="n">
        <f aca="false">MAX(AW1465,H1465)</f>
        <v>44</v>
      </c>
      <c r="AF1465" s="69"/>
      <c r="AG1465" s="62" t="n">
        <f aca="false">IF(LEFT(Cockpit!$C$5,1)="A",H1465,IF(Parameter!$E$30="MAX-Bestand",IF(CI1465=1,CJ1465,IF(LEFT(Cockpit!$C$5,1)="B",AM1465,MAX(AM1465,H1465))),ROUNDUP(AK1465,0)))</f>
        <v>8</v>
      </c>
      <c r="AH1465" s="62" t="n">
        <f aca="false">IF(CA1465=1,0,ROUNDUP(AG1465/BZ1465,0))</f>
        <v>0</v>
      </c>
      <c r="AI1465" s="64" t="n">
        <f aca="false">IF(CR1465&gt;0,CR1465*MAX(1,AG1465/X1465),IF(CA1465=1,IF(AG1465&lt;=0,0,CE1465*MAX(1,IF(H1465&gt;0,AG1465/H1465,1))),IF(R1465&gt;0,AH1465/R1465,0))/MAX(0.1,N(Parameter!$M$21)))</f>
        <v>0.880414312617702</v>
      </c>
      <c r="AJ1465" s="62" t="n">
        <f aca="false">AI1465*CC1465</f>
        <v>209.538606403013</v>
      </c>
      <c r="AK1465" s="63" t="n">
        <f aca="false">IF(LEFT(Cockpit!$C$5,1)="A",H1465,IF(CI1465=1,(CL1465+CJ1465)/2,IF(LEFT(Cockpit!$C$5,1)="B",(CL1465+AM1465)/2,MAX((CL1465+AM1465)/2,H1465))))</f>
        <v>8</v>
      </c>
      <c r="AL1465" s="62" t="n">
        <f aca="false">AK1465*G1465</f>
        <v>32339.68</v>
      </c>
      <c r="AM1465" s="62" t="n">
        <f aca="false">ROUNDUP(CL1465+MAX(CM1465,2*(J1465/IF(CH1465&gt;0,CH1465,MAX(0.1,N(Cockpit!$C$6)))-CL1465)),0)</f>
        <v>44</v>
      </c>
      <c r="AN1465" s="63" t="n">
        <f aca="false">IF(AJ1465&gt;0,J1465/AJ1465,-1)</f>
        <v>0.338839707005797</v>
      </c>
      <c r="AO1465" s="63" t="n">
        <f aca="false">IF(AND(OR(CG1465="L1",CG1465="L23",CG1465="LIFT"),AJ1465&gt;0),SUMIFS($AJ$7:$AJ$1843,$CG$7:$CG$1843,CG1465,$AN$7:$AN$1843,"&gt;"&amp;AN1465)+SUMIFS($AJ$7:$AJ$1843,$CG$7:$CG$1843,CG1465,$AN$7:$AN$1843,AN1465,$BX$7:$BX$1843,"&lt;="&amp;BX1465),"")</f>
        <v>11144.2885779475</v>
      </c>
      <c r="AP1465" s="70" t="n">
        <f aca="false">IF(AO1465="",0,MAX(0,MIN(1,(IF(CG1465="L1",Parameter!$H$5,IF(CG1465="L23",Parameter!$H$6+Parameter!$H$7,Parameter!$H$5+Parameter!$H$6+Parameter!$H$7))-(AO1465-AJ1465))/AJ1465)))</f>
        <v>1</v>
      </c>
      <c r="AQ1465" s="62" t="n">
        <f aca="false">IF(LEFT(Cockpit!$I$5,1)="A",H1465,IF(Parameter!$E$30="MAX-Bestand",IF(CI1465=1,CJ1465,IF(LEFT(Cockpit!$I$5,1)="B",AW1465,MAX(AW1465,H1465))),ROUNDUP(AU1465,0)))</f>
        <v>24</v>
      </c>
      <c r="AR1465" s="62" t="n">
        <f aca="false">IF(CA1465=1,0,ROUNDUP(AQ1465/BZ1465,0))</f>
        <v>0</v>
      </c>
      <c r="AS1465" s="64" t="n">
        <f aca="false">IF(CR1465&gt;0,CR1465*MAX(1,AQ1465/X1465),IF(CA1465=1,IF(AQ1465&lt;=0,0,CE1465*MAX(1,IF(H1465&gt;0,AQ1465/H1465,1))),IF(R1465&gt;0,AR1465/R1465,0))/MAX(0.1,N(Parameter!$M$21)))</f>
        <v>1.92090395480226</v>
      </c>
      <c r="AT1465" s="62" t="n">
        <f aca="false">AS1465*CC1465</f>
        <v>457.175141242938</v>
      </c>
      <c r="AU1465" s="63" t="n">
        <f aca="false">IF(LEFT(Cockpit!$I$5,1)="A",H1465,IF(CI1465=1,(CL1465+CJ1465)/2,IF(LEFT(Cockpit!$I$5,1)="B",(CL1465+AW1465)/2,MAX((CL1465+AW1465)/2,H1465))))</f>
        <v>24</v>
      </c>
      <c r="AV1465" s="62" t="n">
        <f aca="false">AU1465*G1465</f>
        <v>97019.04</v>
      </c>
      <c r="AW1465" s="62" t="n">
        <f aca="false">ROUNDUP(CL1465+MAX(CM1465,2*(J1465/IF(CH1465&gt;0,CH1465,MAX(0.1,N(Cockpit!$I$6)))-CL1465)),0)</f>
        <v>44</v>
      </c>
      <c r="AX1465" s="63" t="n">
        <f aca="false">IF(AT1465&gt;0,J1465/AT1465,-1)</f>
        <v>0.155301532377657</v>
      </c>
      <c r="AY1465" s="63" t="n">
        <f aca="false">IF(AND(OR(CG1465="L1",CG1465="L23",CG1465="LIFT"),AT1465&gt;0),SUMIFS($AT$7:$AT$1843,$CG$7:$CG$1843,CG1465,$AX$7:$AX$1843,"&gt;"&amp;AX1465)+SUMIFS($AT$7:$AT$1843,$CG$7:$CG$1843,CG1465,$AX$7:$AX$1843,AX1465,$BX$7:$BX$1843,"&lt;="&amp;BX1465),"")</f>
        <v>16508.7084523292</v>
      </c>
      <c r="AZ1465" s="70" t="n">
        <f aca="false">IF(AY1465="",0,MAX(0,MIN(1,(IF(CG1465="L1",Parameter!$H$5,IF(CG1465="L23",Parameter!$H$6+Parameter!$H$7,Parameter!$H$5+Parameter!$H$6+Parameter!$H$7))-(AY1465-AT1465))/AT1465)))</f>
        <v>1</v>
      </c>
      <c r="BA1465" s="62" t="n">
        <f aca="false">IF(LEFT(Cockpit!$O$5,1)="A",H1465,IF(Parameter!$E$30="MAX-Bestand",IF(CI1465=1,CJ1465,IF(LEFT(Cockpit!$O$5,1)="B",BG1465,MAX(BG1465,H1465))),ROUNDUP(BE1465,0)))</f>
        <v>18</v>
      </c>
      <c r="BB1465" s="62" t="n">
        <f aca="false">IF(CA1465=1,0,ROUNDUP(BA1465/BZ1465,0))</f>
        <v>0</v>
      </c>
      <c r="BC1465" s="64" t="n">
        <f aca="false">IF(CR1465&gt;0,CR1465*MAX(1,BA1465/X1465),IF(CA1465=1,IF(BA1465&lt;=0,0,CE1465*MAX(1,IF(H1465&gt;0,BA1465/H1465,1))),IF(R1465&gt;0,BB1465/R1465,0))/MAX(0.1,N(Parameter!$M$21)))</f>
        <v>1.44067796610169</v>
      </c>
      <c r="BD1465" s="62" t="n">
        <f aca="false">BC1465*CC1465</f>
        <v>342.881355932203</v>
      </c>
      <c r="BE1465" s="63" t="n">
        <f aca="false">IF(LEFT(Cockpit!$O$5,1)="A",H1465,IF(CI1465=1,(CL1465+CJ1465)/2,IF(LEFT(Cockpit!$O$5,1)="B",(CL1465+BG1465)/2,MAX((CL1465+BG1465)/2,H1465))))</f>
        <v>18</v>
      </c>
      <c r="BF1465" s="62" t="n">
        <f aca="false">BE1465*G1465</f>
        <v>72764.28</v>
      </c>
      <c r="BG1465" s="62" t="n">
        <f aca="false">ROUNDUP(CL1465+MAX(CM1465,2*(J1465/IF(CH1465&gt;0,CH1465,MAX(0.1,N(Cockpit!$O$6)))-CL1465)),0)</f>
        <v>32</v>
      </c>
      <c r="BH1465" s="63" t="n">
        <f aca="false">IF(BD1465&gt;0,J1465/BD1465,-1)</f>
        <v>0.207068709836876</v>
      </c>
      <c r="BI1465" s="63" t="n">
        <f aca="false">IF(AND(OR(CG1465="L1",CG1465="L23",CG1465="LIFT"),BD1465&gt;0),SUMIFS($BD$7:$BD$1843,$CG$7:$CG$1843,CG1465,$BH$7:$BH$1843,"&gt;"&amp;BH1465)+SUMIFS($BD$7:$BD$1843,$CG$7:$CG$1843,CG1465,$BH$7:$BH$1843,BH1465,$BX$7:$BX$1843,"&lt;="&amp;BX1465),"")</f>
        <v>12782.8107577451</v>
      </c>
      <c r="BJ1465" s="70" t="n">
        <f aca="false">IF(BI1465="",0,MAX(0,MIN(1,(IF(CG1465="L1",Parameter!$H$5,IF(CG1465="L23",Parameter!$H$6+Parameter!$H$7,Parameter!$H$5+Parameter!$H$6+Parameter!$H$7))-(BI1465-BD1465))/BD1465)))</f>
        <v>1</v>
      </c>
      <c r="BK1465" s="60" t="str">
        <f aca="false">IF(AJ1465&lt;=0,"",IF(CG1465="Aussen","Aussenlager",IF(CG1465="-","Nicht im Lift",IF(AP1465&gt;=1,"Lift",IF(AP1465&lt;=0,"Aussenlager","teilweise")))))</f>
        <v>Lift</v>
      </c>
      <c r="BL1465" s="60" t="str">
        <f aca="false">IF(AT1465&lt;=0,"",IF(CG1465="Aussen","Aussenlager",IF(CG1465="-","Nicht im Lift",IF(AZ1465&gt;=1,"Lift",IF(AZ1465&lt;=0,"Aussenlager","teilweise")))))</f>
        <v>Lift</v>
      </c>
      <c r="BM1465" s="60" t="str">
        <f aca="false">IF(BD1465&lt;=0,"",IF(CG1465="Aussen","Aussenlager",IF(CG1465="-","Nicht im Lift",IF(BJ1465&gt;=1,"Lift",IF(BJ1465&lt;=0,"Aussenlager","teilweise")))))</f>
        <v>Lift</v>
      </c>
      <c r="BN1465" s="60" t="str">
        <f aca="false">IF(A1465="","",IF(BW1465=1,"Neu; ","")&amp;IF(AND(BW1465=0,BR1465&lt;0),"negativer Bestand (Export "&amp;BR1465&amp;"); ","")&amp;IF(J1465&lt;=0,"Kein Verbrauch; ","")&amp;IF(CR1465&gt;0,"Lift "&amp;W1465&amp;" lt. Liftbericht (Fach "&amp;X1465&amp;" Stk); ",IF(CB1465=1,"Gebinde geschätzt ("&amp;T1465&amp;"); ",IF(CA1465=1,"Lose – Tablare geschätzt; ","")))&amp;IF(H1465&gt;AW1465,"Überbestand "&amp;ROUND(H1465-AW1465,0)&amp;" Stk / CHF "&amp;ROUND((H1465-AW1465)*G1465,0)&amp;"; ","")&amp;IF(AND(CI1465=1,CJ1465&lt;CK1465),"MAX &lt; MB+LG; ","")&amp;IF(AND(CQ1465&gt;0,CP1465*10&gt;CQ1465),"zu hoch für Tablar; ","")&amp;IF(AND(BW1465=0,OR(CI1465=1,AB1465&lt;&gt;"",U1465&lt;&gt;"",V1465&lt;&gt;"",AC1465&lt;&gt;"")),"manuell übersteuert; ","")&amp;IF(AND(CA1465=0,R1465=0),"Gebinde unbekannt / Stellmass fehlt; ","")&amp;IF(AND(CA1465=0,N(V1465)&lt;=0,N(Q1465)&lt;=0),"Menge pro Gebinde fehlt (Ist = 1 Gebinde); ","")&amp;BV1465)</f>
        <v>negativer Bestand (Export -4); Lift 1 lt. Liftbericht (Fach 11 Stk); </v>
      </c>
      <c r="BO1465" s="60"/>
      <c r="BP1465" s="60"/>
      <c r="BQ1465" s="67"/>
      <c r="BR1465" s="62" t="n">
        <v>-4</v>
      </c>
      <c r="BS1465" s="62" t="n">
        <v>0</v>
      </c>
      <c r="BT1465" s="61" t="n">
        <v>-28135.8199999999</v>
      </c>
      <c r="BU1465" s="62" t="n">
        <v>71</v>
      </c>
      <c r="BV1465" s="60"/>
      <c r="BW1465" s="65" t="n">
        <v>0</v>
      </c>
      <c r="BX1465" s="65" t="n">
        <v>1465</v>
      </c>
      <c r="BY1465" s="60" t="str">
        <f aca="false">IF(U1465&lt;&gt;"",UPPER(TRIM(U1465)),IF(CB1465=1,UPPER(VLOOKUP(T1465,Parameter!$I$27:$K$29,2,0)),IF(P1465="","LOSE",P1465)))</f>
        <v>LOSE</v>
      </c>
      <c r="BZ1465" s="62" t="n">
        <f aca="false">IF(BY1465="LOSE",1,IF(N(V1465)&gt;0,V1465,IF(CB1465=1,MAX(1,N(VLOOKUP(T1465,Parameter!$I$27:$K$29,3,0)),H1465,N(N1465)),IF(N(Q1465)&gt;0,Q1465,MAX(1,H1465)))))</f>
        <v>1</v>
      </c>
      <c r="CA1465" s="65" t="n">
        <f aca="false">IF(BY1465="LOSE",1,0)</f>
        <v>1</v>
      </c>
      <c r="CB1465" s="65" t="n">
        <f aca="false">IF(AND(U1465="",OR(P1465="",P1465="LOSE"),T1465&lt;&gt;"",N(S1465)&lt;=0,ISNUMBER(MATCH(T1465,Parameter!$I$27:$I$29,0))),1,0)</f>
        <v>0</v>
      </c>
      <c r="CC1465" s="65" t="n">
        <f aca="false">IF(CR1465&gt;0,INDEX(Parameter!$H$5:$H$7,W1465)/INDEX(Parameter!$E$5:$E$7,W1465),IF(AND(CA1465=0,N(IFERROR(VLOOKUP(BY1465,'Gebinde-Kategorie'!$A$5:$N$45,14,0),0))&gt;0),VLOOKUP(BY1465,'Gebinde-Kategorie'!$A$5:$N$45,14,0)*10+Parameter!$M$23,Parameter!$M$24))</f>
        <v>238</v>
      </c>
      <c r="CD1465" s="60" t="n">
        <f aca="false">IF(AND(Parameter!$B$19="Ja",E1465&lt;&gt;"",ISNUMBER(MATCH(E1465,Parameter!$I$35:$I$52,0))),VLOOKUP(E1465,Parameter!$I$35:$J$52,2,0),IFERROR(VLOOKUP(D1465,Parameter!$A$35:$C$64,2,0),"Nein"))</f>
        <v>1</v>
      </c>
      <c r="CE1465" s="64" t="n">
        <f aca="false">IF(CA1465=0,0,IF(N(S1465)&gt;0,S1465,IFERROR(VLOOKUP(D1465,Parameter!$A$35:$C$64,3,0)+0,0)))</f>
        <v>1</v>
      </c>
      <c r="CF1465" s="60" t="n">
        <f aca="false">IF(AB1465&lt;&gt;"",AB1465,AA1465)</f>
        <v>1</v>
      </c>
      <c r="CG1465" s="60" t="str">
        <f aca="false">IF(OR(CF1465=1,CF1465=2,CF1465=3),IF(Parameter!$E$27="Ja","LIFT",IF(CF1465=1,"L1","L23")),IF(CF1465="Aussen","Aussen","-"))</f>
        <v>LIFT</v>
      </c>
      <c r="CH1465" s="71" t="n">
        <f aca="false">IF(N(AC1465)&gt;0,AC1465,0)</f>
        <v>0</v>
      </c>
      <c r="CI1465" s="65" t="n">
        <f aca="false">IF(ISNUMBER(AF1465),1,0)</f>
        <v>0</v>
      </c>
      <c r="CJ1465" s="62" t="n">
        <f aca="false">N(AF1465)</f>
        <v>0</v>
      </c>
      <c r="CK1465" s="62" t="n">
        <f aca="false">N(M1465)+N(N1465)</f>
        <v>12</v>
      </c>
      <c r="CL1465" s="62" t="n">
        <f aca="false">N(M1465)</f>
        <v>4</v>
      </c>
      <c r="CM1465" s="62" t="n">
        <f aca="false">N(N1465)</f>
        <v>8</v>
      </c>
      <c r="CN1465" s="62" t="n">
        <f aca="false">ROUNDUP(H1465/BZ1465,0)</f>
        <v>8</v>
      </c>
      <c r="CO1465" s="62" t="n">
        <f aca="false">ROUNDUP(CJ1465/BZ1465,0)</f>
        <v>0</v>
      </c>
      <c r="CP1465" s="65" t="n">
        <f aca="false">IF(CA1465=1,0,IFERROR(VLOOKUP(BY1465,'Gebinde-Kategorie'!$A$5:$N$45,5,0)+0,0))</f>
        <v>0</v>
      </c>
      <c r="CQ1465" s="65" t="n">
        <f aca="false">IFERROR(IF(OR(CF1465=1,CF1465=2,CF1465=3),N(INDEX(Parameter!$I$5:$I$7,CF1465)),0),0)</f>
        <v>0</v>
      </c>
      <c r="CR1465" s="64" t="n">
        <f aca="false">IF(AND(Parameter!$B$21="Ja",ISNUMBER(W1465),N(X1465)&gt;0),IFERROR(N(INDEX(Parameter!$L$5:$L$7,W1465))*INDEX(Parameter!$E$5:$E$7,W1465)*X1465/SUMIFS($X$7:$X$1843,$W$7:$W$1843,W1465),0),0)</f>
        <v>0.880414312617702</v>
      </c>
      <c r="CS1465" s="62" t="n">
        <f aca="false">IF(AND(OR(CG1465="L1",CG1465="L23",CG1465="LIFT"),H1465&gt;0),CC1465*IF(CR1465&gt;0,CR1465*MAX(1,H1465/X1465),IF(CA1465=1,CE1465,IF(R1465&gt;0,CN1465/R1465,0))/MAX(0.1,N(Parameter!$M$21))),"")</f>
        <v>209.538606403013</v>
      </c>
      <c r="CT1465" s="64" t="n">
        <f aca="false">IF(CS1465="","",J1465/H1465)</f>
        <v>8.875</v>
      </c>
      <c r="CU1465" s="62" t="n">
        <f aca="false">IF(CS1465="","",H1465*G1465)</f>
        <v>32339.68</v>
      </c>
      <c r="CV1465" s="63" t="n">
        <f aca="false">IF(CS1465="","",(CL1465+ROUNDUP(CL1465+MAX(CM1465,2*(J1465/MAX(0.1,N(Einkauf!$C$6))-CL1465)),0))/2)</f>
        <v>18</v>
      </c>
      <c r="CW1465" s="62" t="n">
        <f aca="false">IF(CS1465="","",MAX(0,H1465-CV1465)*G1465)</f>
        <v>0</v>
      </c>
      <c r="CX1465" s="62" t="n">
        <f aca="false">IF(CS1465="","",CS1465*MAX(0,1-CV1465/H1465))</f>
        <v>0</v>
      </c>
      <c r="CY1465" s="64" t="n">
        <f aca="false">IF(CS1465="","",PERCENTRANK($CS$7:$CS$1843,CS1465)+PERCENTRANK($CU$7:$CU$1843,CU1465)+1-PERCENTRANK($CT$7:$CT$1843,CT1465))</f>
        <v>1.989</v>
      </c>
      <c r="CZ1465" s="72" t="n">
        <f aca="false">IF(CS1465="","",CHOOSE(MATCH(Einkauf!$C$5,Parameter!$G$23:$G$27,0),CY1465,CS1465,CU1465,-CT1465,CW1465)+ROW()/1000000000)</f>
        <v>1.989001465</v>
      </c>
    </row>
    <row r="1466" customFormat="false" ht="15" hidden="false" customHeight="false" outlineLevel="0" collapsed="false">
      <c r="A1466" s="60" t="s">
        <v>2603</v>
      </c>
      <c r="B1466" s="60" t="s">
        <v>223</v>
      </c>
      <c r="C1466" s="60" t="s">
        <v>498</v>
      </c>
      <c r="D1466" s="60" t="s">
        <v>215</v>
      </c>
      <c r="E1466" s="60" t="s">
        <v>208</v>
      </c>
      <c r="F1466" s="60"/>
      <c r="G1466" s="61" t="n">
        <v>4933</v>
      </c>
      <c r="H1466" s="62" t="n">
        <f aca="false">MAX(0,IF(AND(Parameter!$B$21="Ja",ISNUMBER(Y1466)),Y1466,IF(Parameter!$B$20="Jahresanfang 2025 + Export",BS1466+BR1466,BR1466)))</f>
        <v>0</v>
      </c>
      <c r="I1466" s="62" t="n">
        <f aca="false">H1466*G1466</f>
        <v>0</v>
      </c>
      <c r="J1466" s="62" t="n">
        <f aca="false">BU1466*Parameter!$B$18</f>
        <v>23</v>
      </c>
      <c r="K1466" s="63"/>
      <c r="L1466" s="64"/>
      <c r="M1466" s="62" t="n">
        <v>0</v>
      </c>
      <c r="N1466" s="62" t="n">
        <v>3</v>
      </c>
      <c r="O1466" s="65"/>
      <c r="P1466" s="60" t="s">
        <v>210</v>
      </c>
      <c r="Q1466" s="62"/>
      <c r="R1466" s="65" t="n">
        <f aca="false">IF(CA1466=1,0,IFERROR(VLOOKUP(BY1466,'Gebinde-Kategorie'!$A$5:$N$45,13,0)+0,0))</f>
        <v>12</v>
      </c>
      <c r="S1466" s="66"/>
      <c r="T1466" s="67" t="s">
        <v>221</v>
      </c>
      <c r="U1466" s="67"/>
      <c r="V1466" s="67"/>
      <c r="W1466" s="60"/>
      <c r="X1466" s="62"/>
      <c r="Y1466" s="62"/>
      <c r="Z1466" s="60" t="n">
        <v>3</v>
      </c>
      <c r="AA1466" s="60" t="n">
        <f aca="false">IF(A1466="","",IF(AND(Parameter!$B$21="Ja",ISNUMBER(W1466)),W1466,IF(AND(Parameter!$E$27="Ja",ISNUMBER(Z1466),CD1466&lt;&gt;"Nein"),Z1466,IF(CD1466="2+3",IF(ISNUMBER(SEARCH("grosser Artikel",BV1466)),2,IFERROR(VLOOKUP(BY1466,Parameter!$F$35:$G$64,2,0),2)),IF(OR(CD1466="Nein",CD1466=""),"-",CD1466)))))</f>
        <v>3</v>
      </c>
      <c r="AB1466" s="67"/>
      <c r="AC1466" s="68"/>
      <c r="AD1466" s="62" t="n">
        <f aca="false">AW1466</f>
        <v>16</v>
      </c>
      <c r="AE1466" s="62" t="n">
        <f aca="false">MAX(AW1466,H1466)</f>
        <v>16</v>
      </c>
      <c r="AF1466" s="69"/>
      <c r="AG1466" s="62" t="n">
        <f aca="false">IF(LEFT(Cockpit!$C$5,1)="A",H1466,IF(Parameter!$E$30="MAX-Bestand",IF(CI1466=1,CJ1466,IF(LEFT(Cockpit!$C$5,1)="B",AM1466,MAX(AM1466,H1466))),ROUNDUP(AK1466,0)))</f>
        <v>0</v>
      </c>
      <c r="AH1466" s="62" t="n">
        <f aca="false">IF(CA1466=1,0,ROUNDUP(AG1466/BZ1466,0))</f>
        <v>0</v>
      </c>
      <c r="AI1466" s="64" t="n">
        <f aca="false">IF(CR1466&gt;0,CR1466*MAX(1,AG1466/X1466),IF(CA1466=1,IF(AG1466&lt;=0,0,CE1466*MAX(1,IF(H1466&gt;0,AG1466/H1466,1))),IF(R1466&gt;0,AH1466/R1466,0))/MAX(0.1,N(Parameter!$M$21)))</f>
        <v>0</v>
      </c>
      <c r="AJ1466" s="62" t="n">
        <f aca="false">AI1466*CC1466</f>
        <v>0</v>
      </c>
      <c r="AK1466" s="63" t="n">
        <f aca="false">IF(LEFT(Cockpit!$C$5,1)="A",H1466,IF(CI1466=1,(CL1466+CJ1466)/2,IF(LEFT(Cockpit!$C$5,1)="B",(CL1466+AM1466)/2,MAX((CL1466+AM1466)/2,H1466))))</f>
        <v>0</v>
      </c>
      <c r="AL1466" s="62" t="n">
        <f aca="false">AK1466*G1466</f>
        <v>0</v>
      </c>
      <c r="AM1466" s="62" t="n">
        <f aca="false">ROUNDUP(CL1466+MAX(CM1466,2*(J1466/IF(CH1466&gt;0,CH1466,MAX(0.1,N(Cockpit!$C$6)))-CL1466)),0)</f>
        <v>16</v>
      </c>
      <c r="AN1466" s="63" t="n">
        <f aca="false">IF(AJ1466&gt;0,J1466/AJ1466,-1)</f>
        <v>-1</v>
      </c>
      <c r="AO1466" s="63" t="str">
        <f aca="false">IF(AND(OR(CG1466="L1",CG1466="L23",CG1466="LIFT"),AJ1466&gt;0),SUMIFS($AJ$7:$AJ$1843,$CG$7:$CG$1843,CG1466,$AN$7:$AN$1843,"&gt;"&amp;AN1466)+SUMIFS($AJ$7:$AJ$1843,$CG$7:$CG$1843,CG1466,$AN$7:$AN$1843,AN1466,$BX$7:$BX$1843,"&lt;="&amp;BX1466),"")</f>
        <v/>
      </c>
      <c r="AP1466" s="70" t="n">
        <f aca="false">IF(AO1466="",0,MAX(0,MIN(1,(IF(CG1466="L1",Parameter!$H$5,IF(CG1466="L23",Parameter!$H$6+Parameter!$H$7,Parameter!$H$5+Parameter!$H$6+Parameter!$H$7))-(AO1466-AJ1466))/AJ1466)))</f>
        <v>0</v>
      </c>
      <c r="AQ1466" s="62" t="n">
        <f aca="false">IF(LEFT(Cockpit!$I$5,1)="A",H1466,IF(Parameter!$E$30="MAX-Bestand",IF(CI1466=1,CJ1466,IF(LEFT(Cockpit!$I$5,1)="B",AW1466,MAX(AW1466,H1466))),ROUNDUP(AU1466,0)))</f>
        <v>8</v>
      </c>
      <c r="AR1466" s="62" t="n">
        <f aca="false">IF(CA1466=1,0,ROUNDUP(AQ1466/BZ1466,0))</f>
        <v>2</v>
      </c>
      <c r="AS1466" s="64" t="n">
        <f aca="false">IF(CR1466&gt;0,CR1466*MAX(1,AQ1466/X1466),IF(CA1466=1,IF(AQ1466&lt;=0,0,CE1466*MAX(1,IF(H1466&gt;0,AQ1466/H1466,1))),IF(R1466&gt;0,AR1466/R1466,0))/MAX(0.1,N(Parameter!$M$21)))</f>
        <v>0.166666666666667</v>
      </c>
      <c r="AT1466" s="62" t="n">
        <f aca="false">AS1466*CC1466</f>
        <v>24.1666666666667</v>
      </c>
      <c r="AU1466" s="63" t="n">
        <f aca="false">IF(LEFT(Cockpit!$I$5,1)="A",H1466,IF(CI1466=1,(CL1466+CJ1466)/2,IF(LEFT(Cockpit!$I$5,1)="B",(CL1466+AW1466)/2,MAX((CL1466+AW1466)/2,H1466))))</f>
        <v>8</v>
      </c>
      <c r="AV1466" s="62" t="n">
        <f aca="false">AU1466*G1466</f>
        <v>39464</v>
      </c>
      <c r="AW1466" s="62" t="n">
        <f aca="false">ROUNDUP(CL1466+MAX(CM1466,2*(J1466/IF(CH1466&gt;0,CH1466,MAX(0.1,N(Cockpit!$I$6)))-CL1466)),0)</f>
        <v>16</v>
      </c>
      <c r="AX1466" s="63" t="n">
        <f aca="false">IF(AT1466&gt;0,J1466/AT1466,-1)</f>
        <v>0.951724137931035</v>
      </c>
      <c r="AY1466" s="63" t="n">
        <f aca="false">IF(AND(OR(CG1466="L1",CG1466="L23",CG1466="LIFT"),AT1466&gt;0),SUMIFS($AT$7:$AT$1843,$CG$7:$CG$1843,CG1466,$AX$7:$AX$1843,"&gt;"&amp;AX1466)+SUMIFS($AT$7:$AT$1843,$CG$7:$CG$1843,CG1466,$AX$7:$AX$1843,AX1466,$BX$7:$BX$1843,"&lt;="&amp;BX1466),"")</f>
        <v>8674.56227106227</v>
      </c>
      <c r="AZ1466" s="70" t="n">
        <f aca="false">IF(AY1466="",0,MAX(0,MIN(1,(IF(CG1466="L1",Parameter!$H$5,IF(CG1466="L23",Parameter!$H$6+Parameter!$H$7,Parameter!$H$5+Parameter!$H$6+Parameter!$H$7))-(AY1466-AT1466))/AT1466)))</f>
        <v>1</v>
      </c>
      <c r="BA1466" s="62" t="n">
        <f aca="false">IF(LEFT(Cockpit!$O$5,1)="A",H1466,IF(Parameter!$E$30="MAX-Bestand",IF(CI1466=1,CJ1466,IF(LEFT(Cockpit!$O$5,1)="B",BG1466,MAX(BG1466,H1466))),ROUNDUP(BE1466,0)))</f>
        <v>6</v>
      </c>
      <c r="BB1466" s="62" t="n">
        <f aca="false">IF(CA1466=1,0,ROUNDUP(BA1466/BZ1466,0))</f>
        <v>2</v>
      </c>
      <c r="BC1466" s="64" t="n">
        <f aca="false">IF(CR1466&gt;0,CR1466*MAX(1,BA1466/X1466),IF(CA1466=1,IF(BA1466&lt;=0,0,CE1466*MAX(1,IF(H1466&gt;0,BA1466/H1466,1))),IF(R1466&gt;0,BB1466/R1466,0))/MAX(0.1,N(Parameter!$M$21)))</f>
        <v>0.166666666666667</v>
      </c>
      <c r="BD1466" s="62" t="n">
        <f aca="false">BC1466*CC1466</f>
        <v>24.1666666666667</v>
      </c>
      <c r="BE1466" s="63" t="n">
        <f aca="false">IF(LEFT(Cockpit!$O$5,1)="A",H1466,IF(CI1466=1,(CL1466+CJ1466)/2,IF(LEFT(Cockpit!$O$5,1)="B",(CL1466+BG1466)/2,MAX((CL1466+BG1466)/2,H1466))))</f>
        <v>6</v>
      </c>
      <c r="BF1466" s="62" t="n">
        <f aca="false">BE1466*G1466</f>
        <v>29598</v>
      </c>
      <c r="BG1466" s="62" t="n">
        <f aca="false">ROUNDUP(CL1466+MAX(CM1466,2*(J1466/IF(CH1466&gt;0,CH1466,MAX(0.1,N(Cockpit!$O$6)))-CL1466)),0)</f>
        <v>12</v>
      </c>
      <c r="BH1466" s="63" t="n">
        <f aca="false">IF(BD1466&gt;0,J1466/BD1466,-1)</f>
        <v>0.951724137931035</v>
      </c>
      <c r="BI1466" s="63" t="n">
        <f aca="false">IF(AND(OR(CG1466="L1",CG1466="L23",CG1466="LIFT"),BD1466&gt;0),SUMIFS($BD$7:$BD$1843,$CG$7:$CG$1843,CG1466,$BH$7:$BH$1843,"&gt;"&amp;BH1466)+SUMIFS($BD$7:$BD$1843,$CG$7:$CG$1843,CG1466,$BH$7:$BH$1843,BH1466,$BX$7:$BX$1843,"&lt;="&amp;BX1466),"")</f>
        <v>8050.49587912088</v>
      </c>
      <c r="BJ1466" s="70" t="n">
        <f aca="false">IF(BI1466="",0,MAX(0,MIN(1,(IF(CG1466="L1",Parameter!$H$5,IF(CG1466="L23",Parameter!$H$6+Parameter!$H$7,Parameter!$H$5+Parameter!$H$6+Parameter!$H$7))-(BI1466-BD1466))/BD1466)))</f>
        <v>1</v>
      </c>
      <c r="BK1466" s="60" t="str">
        <f aca="false">IF(AJ1466&lt;=0,"",IF(CG1466="Aussen","Aussenlager",IF(CG1466="-","Nicht im Lift",IF(AP1466&gt;=1,"Lift",IF(AP1466&lt;=0,"Aussenlager","teilweise")))))</f>
        <v/>
      </c>
      <c r="BL1466" s="60" t="str">
        <f aca="false">IF(AT1466&lt;=0,"",IF(CG1466="Aussen","Aussenlager",IF(CG1466="-","Nicht im Lift",IF(AZ1466&gt;=1,"Lift",IF(AZ1466&lt;=0,"Aussenlager","teilweise")))))</f>
        <v>Lift</v>
      </c>
      <c r="BM1466" s="60" t="str">
        <f aca="false">IF(BD1466&lt;=0,"",IF(CG1466="Aussen","Aussenlager",IF(CG1466="-","Nicht im Lift",IF(BJ1466&gt;=1,"Lift",IF(BJ1466&lt;=0,"Aussenlager","teilweise")))))</f>
        <v>Lift</v>
      </c>
      <c r="BN1466" s="60" t="str">
        <f aca="false">IF(A1466="","",IF(BW1466=1,"Neu; ","")&amp;IF(AND(BW1466=0,BR1466&lt;0),"negativer Bestand (Export "&amp;BR1466&amp;"); ","")&amp;IF(J1466&lt;=0,"Kein Verbrauch; ","")&amp;IF(CR1466&gt;0,"Lift "&amp;W1466&amp;" lt. Liftbericht (Fach "&amp;X1466&amp;" Stk); ",IF(CB1466=1,"Gebinde geschätzt ("&amp;T1466&amp;"); ",IF(CA1466=1,"Lose – Tablare geschätzt; ","")))&amp;IF(H1466&gt;AW1466,"Überbestand "&amp;ROUND(H1466-AW1466,0)&amp;" Stk / CHF "&amp;ROUND((H1466-AW1466)*G1466,0)&amp;"; ","")&amp;IF(AND(CI1466=1,CJ1466&lt;CK1466),"MAX &lt; MB+LG; ","")&amp;IF(AND(CQ1466&gt;0,CP1466*10&gt;CQ1466),"zu hoch für Tablar; ","")&amp;IF(AND(BW1466=0,OR(CI1466=1,AB1466&lt;&gt;"",U1466&lt;&gt;"",V1466&lt;&gt;"",AC1466&lt;&gt;"")),"manuell übersteuert; ","")&amp;IF(AND(CA1466=0,R1466=0),"Gebinde unbekannt / Stellmass fehlt; ","")&amp;IF(AND(CA1466=0,N(V1466)&lt;=0,N(Q1466)&lt;=0),"Menge pro Gebinde fehlt (Ist = 1 Gebinde); ","")&amp;BV1466)</f>
        <v>negativer Bestand (Export -6); Gebinde geschätzt (Mittel); Menge pro Gebinde fehlt (Ist = 1 Gebinde); </v>
      </c>
      <c r="BO1466" s="60"/>
      <c r="BP1466" s="60"/>
      <c r="BQ1466" s="67"/>
      <c r="BR1466" s="62" t="n">
        <v>-6</v>
      </c>
      <c r="BS1466" s="62" t="n">
        <v>0</v>
      </c>
      <c r="BT1466" s="61" t="n">
        <v>-29571.19</v>
      </c>
      <c r="BU1466" s="62" t="n">
        <v>23</v>
      </c>
      <c r="BV1466" s="60"/>
      <c r="BW1466" s="65" t="n">
        <v>0</v>
      </c>
      <c r="BX1466" s="65" t="n">
        <v>1466</v>
      </c>
      <c r="BY1466" s="60" t="str">
        <f aca="false">IF(U1466&lt;&gt;"",UPPER(TRIM(U1466)),IF(CB1466=1,UPPER(VLOOKUP(T1466,Parameter!$I$27:$K$29,2,0)),IF(P1466="","LOSE",P1466)))</f>
        <v>S61</v>
      </c>
      <c r="BZ1466" s="62" t="n">
        <f aca="false">IF(BY1466="LOSE",1,IF(N(V1466)&gt;0,V1466,IF(CB1466=1,MAX(1,N(VLOOKUP(T1466,Parameter!$I$27:$K$29,3,0)),H1466,N(N1466)),IF(N(Q1466)&gt;0,Q1466,MAX(1,H1466)))))</f>
        <v>4</v>
      </c>
      <c r="CA1466" s="65" t="n">
        <f aca="false">IF(BY1466="LOSE",1,0)</f>
        <v>0</v>
      </c>
      <c r="CB1466" s="65" t="n">
        <f aca="false">IF(AND(U1466="",OR(P1466="",P1466="LOSE"),T1466&lt;&gt;"",N(S1466)&lt;=0,ISNUMBER(MATCH(T1466,Parameter!$I$27:$I$29,0))),1,0)</f>
        <v>1</v>
      </c>
      <c r="CC1466" s="65" t="n">
        <f aca="false">IF(CR1466&gt;0,INDEX(Parameter!$H$5:$H$7,W1466)/INDEX(Parameter!$E$5:$E$7,W1466),IF(AND(CA1466=0,N(IFERROR(VLOOKUP(BY1466,'Gebinde-Kategorie'!$A$5:$N$45,14,0),0))&gt;0),VLOOKUP(BY1466,'Gebinde-Kategorie'!$A$5:$N$45,14,0)*10+Parameter!$M$23,Parameter!$M$24))</f>
        <v>145</v>
      </c>
      <c r="CD1466" s="60" t="n">
        <f aca="false">IF(AND(Parameter!$B$19="Ja",E1466&lt;&gt;"",ISNUMBER(MATCH(E1466,Parameter!$I$35:$I$52,0))),VLOOKUP(E1466,Parameter!$I$35:$J$52,2,0),IFERROR(VLOOKUP(D1466,Parameter!$A$35:$C$64,2,0),"Nein"))</f>
        <v>1</v>
      </c>
      <c r="CE1466" s="64" t="n">
        <f aca="false">IF(CA1466=0,0,IF(N(S1466)&gt;0,S1466,IFERROR(VLOOKUP(D1466,Parameter!$A$35:$C$64,3,0)+0,0)))</f>
        <v>0</v>
      </c>
      <c r="CF1466" s="60" t="n">
        <f aca="false">IF(AB1466&lt;&gt;"",AB1466,AA1466)</f>
        <v>3</v>
      </c>
      <c r="CG1466" s="60" t="str">
        <f aca="false">IF(OR(CF1466=1,CF1466=2,CF1466=3),IF(Parameter!$E$27="Ja","LIFT",IF(CF1466=1,"L1","L23")),IF(CF1466="Aussen","Aussen","-"))</f>
        <v>LIFT</v>
      </c>
      <c r="CH1466" s="71" t="n">
        <f aca="false">IF(N(AC1466)&gt;0,AC1466,0)</f>
        <v>0</v>
      </c>
      <c r="CI1466" s="65" t="n">
        <f aca="false">IF(ISNUMBER(AF1466),1,0)</f>
        <v>0</v>
      </c>
      <c r="CJ1466" s="62" t="n">
        <f aca="false">N(AF1466)</f>
        <v>0</v>
      </c>
      <c r="CK1466" s="62" t="n">
        <f aca="false">N(M1466)+N(N1466)</f>
        <v>3</v>
      </c>
      <c r="CL1466" s="62" t="n">
        <f aca="false">N(M1466)</f>
        <v>0</v>
      </c>
      <c r="CM1466" s="62" t="n">
        <f aca="false">N(N1466)</f>
        <v>3</v>
      </c>
      <c r="CN1466" s="62" t="n">
        <f aca="false">ROUNDUP(H1466/BZ1466,0)</f>
        <v>0</v>
      </c>
      <c r="CO1466" s="62" t="n">
        <f aca="false">ROUNDUP(CJ1466/BZ1466,0)</f>
        <v>0</v>
      </c>
      <c r="CP1466" s="65" t="n">
        <f aca="false">IF(CA1466=1,0,IFERROR(VLOOKUP(BY1466,'Gebinde-Kategorie'!$A$5:$N$45,5,0)+0,0))</f>
        <v>11</v>
      </c>
      <c r="CQ1466" s="65" t="n">
        <f aca="false">IFERROR(IF(OR(CF1466=1,CF1466=2,CF1466=3),N(INDEX(Parameter!$I$5:$I$7,CF1466)),0),0)</f>
        <v>0</v>
      </c>
      <c r="CR1466" s="64" t="n">
        <f aca="false">IF(AND(Parameter!$B$21="Ja",ISNUMBER(W1466),N(X1466)&gt;0),IFERROR(N(INDEX(Parameter!$L$5:$L$7,W1466))*INDEX(Parameter!$E$5:$E$7,W1466)*X1466/SUMIFS($X$7:$X$1843,$W$7:$W$1843,W1466),0),0)</f>
        <v>0</v>
      </c>
      <c r="CS1466" s="62" t="str">
        <f aca="false">IF(AND(OR(CG1466="L1",CG1466="L23",CG1466="LIFT"),H1466&gt;0),CC1466*IF(CR1466&gt;0,CR1466*MAX(1,H1466/X1466),IF(CA1466=1,CE1466,IF(R1466&gt;0,CN1466/R1466,0))/MAX(0.1,N(Parameter!$M$21))),"")</f>
        <v/>
      </c>
      <c r="CT1466" s="64" t="str">
        <f aca="false">IF(CS1466="","",J1466/H1466)</f>
        <v/>
      </c>
      <c r="CU1466" s="62" t="str">
        <f aca="false">IF(CS1466="","",H1466*G1466)</f>
        <v/>
      </c>
      <c r="CV1466" s="63" t="str">
        <f aca="false">IF(CS1466="","",(CL1466+ROUNDUP(CL1466+MAX(CM1466,2*(J1466/MAX(0.1,N(Einkauf!$C$6))-CL1466)),0))/2)</f>
        <v/>
      </c>
      <c r="CW1466" s="62" t="str">
        <f aca="false">IF(CS1466="","",MAX(0,H1466-CV1466)*G1466)</f>
        <v/>
      </c>
      <c r="CX1466" s="62" t="str">
        <f aca="false">IF(CS1466="","",CS1466*MAX(0,1-CV1466/H1466))</f>
        <v/>
      </c>
      <c r="CY1466" s="64" t="str">
        <f aca="false">IF(CS1466="","",PERCENTRANK($CS$7:$CS$1843,CS1466)+PERCENTRANK($CU$7:$CU$1843,CU1466)+1-PERCENTRANK($CT$7:$CT$1843,CT1466))</f>
        <v/>
      </c>
      <c r="CZ1466" s="72" t="str">
        <f aca="false">IF(CS1466="","",CHOOSE(MATCH(Einkauf!$C$5,Parameter!$G$23:$G$27,0),CY1466,CS1466,CU1466,-CT1466,CW1466)+ROW()/1000000000)</f>
        <v/>
      </c>
    </row>
    <row r="1467" customFormat="false" ht="15" hidden="false" customHeight="false" outlineLevel="0" collapsed="false">
      <c r="A1467" s="60" t="s">
        <v>2604</v>
      </c>
      <c r="B1467" s="60" t="s">
        <v>2605</v>
      </c>
      <c r="C1467" s="60" t="s">
        <v>206</v>
      </c>
      <c r="D1467" s="60" t="s">
        <v>226</v>
      </c>
      <c r="E1467" s="60"/>
      <c r="F1467" s="60"/>
      <c r="G1467" s="61" t="n">
        <v>388.42</v>
      </c>
      <c r="H1467" s="62" t="n">
        <f aca="false">MAX(0,IF(AND(Parameter!$B$21="Ja",ISNUMBER(Y1467)),Y1467,IF(Parameter!$B$20="Jahresanfang 2025 + Export",BS1467+BR1467,BR1467)))</f>
        <v>0</v>
      </c>
      <c r="I1467" s="62" t="n">
        <f aca="false">H1467*G1467</f>
        <v>0</v>
      </c>
      <c r="J1467" s="62" t="n">
        <f aca="false">BU1467*Parameter!$B$18</f>
        <v>185</v>
      </c>
      <c r="K1467" s="63"/>
      <c r="L1467" s="64"/>
      <c r="M1467" s="62" t="n">
        <v>0</v>
      </c>
      <c r="N1467" s="62" t="n">
        <v>35</v>
      </c>
      <c r="O1467" s="65"/>
      <c r="P1467" s="60" t="s">
        <v>275</v>
      </c>
      <c r="Q1467" s="62" t="n">
        <v>60</v>
      </c>
      <c r="R1467" s="65" t="n">
        <f aca="false">IF(CA1467=1,0,IFERROR(VLOOKUP(BY1467,'Gebinde-Kategorie'!$A$5:$N$45,13,0)+0,0))</f>
        <v>26</v>
      </c>
      <c r="S1467" s="66"/>
      <c r="T1467" s="67"/>
      <c r="U1467" s="67"/>
      <c r="V1467" s="67"/>
      <c r="W1467" s="60"/>
      <c r="X1467" s="62"/>
      <c r="Y1467" s="62"/>
      <c r="Z1467" s="60" t="n">
        <v>3</v>
      </c>
      <c r="AA1467" s="60" t="n">
        <f aca="false">IF(A1467="","",IF(AND(Parameter!$B$21="Ja",ISNUMBER(W1467)),W1467,IF(AND(Parameter!$E$27="Ja",ISNUMBER(Z1467),CD1467&lt;&gt;"Nein"),Z1467,IF(CD1467="2+3",IF(ISNUMBER(SEARCH("grosser Artikel",BV1467)),2,IFERROR(VLOOKUP(BY1467,Parameter!$F$35:$G$64,2,0),2)),IF(OR(CD1467="Nein",CD1467=""),"-",CD1467)))))</f>
        <v>3</v>
      </c>
      <c r="AB1467" s="67"/>
      <c r="AC1467" s="68"/>
      <c r="AD1467" s="62" t="n">
        <f aca="false">AW1467</f>
        <v>124</v>
      </c>
      <c r="AE1467" s="62" t="n">
        <f aca="false">MAX(AW1467,H1467)</f>
        <v>124</v>
      </c>
      <c r="AF1467" s="69"/>
      <c r="AG1467" s="62" t="n">
        <f aca="false">IF(LEFT(Cockpit!$C$5,1)="A",H1467,IF(Parameter!$E$30="MAX-Bestand",IF(CI1467=1,CJ1467,IF(LEFT(Cockpit!$C$5,1)="B",AM1467,MAX(AM1467,H1467))),ROUNDUP(AK1467,0)))</f>
        <v>0</v>
      </c>
      <c r="AH1467" s="62" t="n">
        <f aca="false">IF(CA1467=1,0,ROUNDUP(AG1467/BZ1467,0))</f>
        <v>0</v>
      </c>
      <c r="AI1467" s="64" t="n">
        <f aca="false">IF(CR1467&gt;0,CR1467*MAX(1,AG1467/X1467),IF(CA1467=1,IF(AG1467&lt;=0,0,CE1467*MAX(1,IF(H1467&gt;0,AG1467/H1467,1))),IF(R1467&gt;0,AH1467/R1467,0))/MAX(0.1,N(Parameter!$M$21)))</f>
        <v>0</v>
      </c>
      <c r="AJ1467" s="62" t="n">
        <f aca="false">AI1467*CC1467</f>
        <v>0</v>
      </c>
      <c r="AK1467" s="63" t="n">
        <f aca="false">IF(LEFT(Cockpit!$C$5,1)="A",H1467,IF(CI1467=1,(CL1467+CJ1467)/2,IF(LEFT(Cockpit!$C$5,1)="B",(CL1467+AM1467)/2,MAX((CL1467+AM1467)/2,H1467))))</f>
        <v>0</v>
      </c>
      <c r="AL1467" s="62" t="n">
        <f aca="false">AK1467*G1467</f>
        <v>0</v>
      </c>
      <c r="AM1467" s="62" t="n">
        <f aca="false">ROUNDUP(CL1467+MAX(CM1467,2*(J1467/IF(CH1467&gt;0,CH1467,MAX(0.1,N(Cockpit!$C$6)))-CL1467)),0)</f>
        <v>124</v>
      </c>
      <c r="AN1467" s="63" t="n">
        <f aca="false">IF(AJ1467&gt;0,J1467/AJ1467,-1)</f>
        <v>-1</v>
      </c>
      <c r="AO1467" s="63" t="str">
        <f aca="false">IF(AND(OR(CG1467="L1",CG1467="L23",CG1467="LIFT"),AJ1467&gt;0),SUMIFS($AJ$7:$AJ$1843,$CG$7:$CG$1843,CG1467,$AN$7:$AN$1843,"&gt;"&amp;AN1467)+SUMIFS($AJ$7:$AJ$1843,$CG$7:$CG$1843,CG1467,$AN$7:$AN$1843,AN1467,$BX$7:$BX$1843,"&lt;="&amp;BX1467),"")</f>
        <v/>
      </c>
      <c r="AP1467" s="70" t="n">
        <f aca="false">IF(AO1467="",0,MAX(0,MIN(1,(IF(CG1467="L1",Parameter!$H$5,IF(CG1467="L23",Parameter!$H$6+Parameter!$H$7,Parameter!$H$5+Parameter!$H$6+Parameter!$H$7))-(AO1467-AJ1467))/AJ1467)))</f>
        <v>0</v>
      </c>
      <c r="AQ1467" s="62" t="n">
        <f aca="false">IF(LEFT(Cockpit!$I$5,1)="A",H1467,IF(Parameter!$E$30="MAX-Bestand",IF(CI1467=1,CJ1467,IF(LEFT(Cockpit!$I$5,1)="B",AW1467,MAX(AW1467,H1467))),ROUNDUP(AU1467,0)))</f>
        <v>62</v>
      </c>
      <c r="AR1467" s="62" t="n">
        <f aca="false">IF(CA1467=1,0,ROUNDUP(AQ1467/BZ1467,0))</f>
        <v>2</v>
      </c>
      <c r="AS1467" s="64" t="n">
        <f aca="false">IF(CR1467&gt;0,CR1467*MAX(1,AQ1467/X1467),IF(CA1467=1,IF(AQ1467&lt;=0,0,CE1467*MAX(1,IF(H1467&gt;0,AQ1467/H1467,1))),IF(R1467&gt;0,AR1467/R1467,0))/MAX(0.1,N(Parameter!$M$21)))</f>
        <v>0.0769230769230769</v>
      </c>
      <c r="AT1467" s="62" t="n">
        <f aca="false">AS1467*CC1467</f>
        <v>18.8461538461538</v>
      </c>
      <c r="AU1467" s="63" t="n">
        <f aca="false">IF(LEFT(Cockpit!$I$5,1)="A",H1467,IF(CI1467=1,(CL1467+CJ1467)/2,IF(LEFT(Cockpit!$I$5,1)="B",(CL1467+AW1467)/2,MAX((CL1467+AW1467)/2,H1467))))</f>
        <v>62</v>
      </c>
      <c r="AV1467" s="62" t="n">
        <f aca="false">AU1467*G1467</f>
        <v>24082.04</v>
      </c>
      <c r="AW1467" s="62" t="n">
        <f aca="false">ROUNDUP(CL1467+MAX(CM1467,2*(J1467/IF(CH1467&gt;0,CH1467,MAX(0.1,N(Cockpit!$I$6)))-CL1467)),0)</f>
        <v>124</v>
      </c>
      <c r="AX1467" s="63" t="n">
        <f aca="false">IF(AT1467&gt;0,J1467/AT1467,-1)</f>
        <v>9.81632653061224</v>
      </c>
      <c r="AY1467" s="63" t="n">
        <f aca="false">IF(AND(OR(CG1467="L1",CG1467="L23",CG1467="LIFT"),AT1467&gt;0),SUMIFS($AT$7:$AT$1843,$CG$7:$CG$1843,CG1467,$AX$7:$AX$1843,"&gt;"&amp;AX1467)+SUMIFS($AT$7:$AT$1843,$CG$7:$CG$1843,CG1467,$AX$7:$AX$1843,AX1467,$BX$7:$BX$1843,"&lt;="&amp;BX1467),"")</f>
        <v>3487.39423076923</v>
      </c>
      <c r="AZ1467" s="70" t="n">
        <f aca="false">IF(AY1467="",0,MAX(0,MIN(1,(IF(CG1467="L1",Parameter!$H$5,IF(CG1467="L23",Parameter!$H$6+Parameter!$H$7,Parameter!$H$5+Parameter!$H$6+Parameter!$H$7))-(AY1467-AT1467))/AT1467)))</f>
        <v>1</v>
      </c>
      <c r="BA1467" s="62" t="n">
        <f aca="false">IF(LEFT(Cockpit!$O$5,1)="A",H1467,IF(Parameter!$E$30="MAX-Bestand",IF(CI1467=1,CJ1467,IF(LEFT(Cockpit!$O$5,1)="B",BG1467,MAX(BG1467,H1467))),ROUNDUP(BE1467,0)))</f>
        <v>47</v>
      </c>
      <c r="BB1467" s="62" t="n">
        <f aca="false">IF(CA1467=1,0,ROUNDUP(BA1467/BZ1467,0))</f>
        <v>1</v>
      </c>
      <c r="BC1467" s="64" t="n">
        <f aca="false">IF(CR1467&gt;0,CR1467*MAX(1,BA1467/X1467),IF(CA1467=1,IF(BA1467&lt;=0,0,CE1467*MAX(1,IF(H1467&gt;0,BA1467/H1467,1))),IF(R1467&gt;0,BB1467/R1467,0))/MAX(0.1,N(Parameter!$M$21)))</f>
        <v>0.0384615384615385</v>
      </c>
      <c r="BD1467" s="62" t="n">
        <f aca="false">BC1467*CC1467</f>
        <v>9.42307692307692</v>
      </c>
      <c r="BE1467" s="63" t="n">
        <f aca="false">IF(LEFT(Cockpit!$O$5,1)="A",H1467,IF(CI1467=1,(CL1467+CJ1467)/2,IF(LEFT(Cockpit!$O$5,1)="B",(CL1467+BG1467)/2,MAX((CL1467+BG1467)/2,H1467))))</f>
        <v>46.5</v>
      </c>
      <c r="BF1467" s="62" t="n">
        <f aca="false">BE1467*G1467</f>
        <v>18061.53</v>
      </c>
      <c r="BG1467" s="62" t="n">
        <f aca="false">ROUNDUP(CL1467+MAX(CM1467,2*(J1467/IF(CH1467&gt;0,CH1467,MAX(0.1,N(Cockpit!$O$6)))-CL1467)),0)</f>
        <v>93</v>
      </c>
      <c r="BH1467" s="63" t="n">
        <f aca="false">IF(BD1467&gt;0,J1467/BD1467,-1)</f>
        <v>19.6326530612245</v>
      </c>
      <c r="BI1467" s="63" t="n">
        <f aca="false">IF(AND(OR(CG1467="L1",CG1467="L23",CG1467="LIFT"),BD1467&gt;0),SUMIFS($BD$7:$BD$1843,$CG$7:$CG$1843,CG1467,$BH$7:$BH$1843,"&gt;"&amp;BH1467)+SUMIFS($BD$7:$BD$1843,$CG$7:$CG$1843,CG1467,$BH$7:$BH$1843,BH1467,$BX$7:$BX$1843,"&lt;="&amp;BX1467),"")</f>
        <v>2235.70467032967</v>
      </c>
      <c r="BJ1467" s="70" t="n">
        <f aca="false">IF(BI1467="",0,MAX(0,MIN(1,(IF(CG1467="L1",Parameter!$H$5,IF(CG1467="L23",Parameter!$H$6+Parameter!$H$7,Parameter!$H$5+Parameter!$H$6+Parameter!$H$7))-(BI1467-BD1467))/BD1467)))</f>
        <v>1</v>
      </c>
      <c r="BK1467" s="60" t="str">
        <f aca="false">IF(AJ1467&lt;=0,"",IF(CG1467="Aussen","Aussenlager",IF(CG1467="-","Nicht im Lift",IF(AP1467&gt;=1,"Lift",IF(AP1467&lt;=0,"Aussenlager","teilweise")))))</f>
        <v/>
      </c>
      <c r="BL1467" s="60" t="str">
        <f aca="false">IF(AT1467&lt;=0,"",IF(CG1467="Aussen","Aussenlager",IF(CG1467="-","Nicht im Lift",IF(AZ1467&gt;=1,"Lift",IF(AZ1467&lt;=0,"Aussenlager","teilweise")))))</f>
        <v>Lift</v>
      </c>
      <c r="BM1467" s="60" t="str">
        <f aca="false">IF(BD1467&lt;=0,"",IF(CG1467="Aussen","Aussenlager",IF(CG1467="-","Nicht im Lift",IF(BJ1467&gt;=1,"Lift",IF(BJ1467&lt;=0,"Aussenlager","teilweise")))))</f>
        <v>Lift</v>
      </c>
      <c r="BN1467" s="60" t="str">
        <f aca="false">IF(A1467="","",IF(BW1467=1,"Neu; ","")&amp;IF(AND(BW1467=0,BR1467&lt;0),"negativer Bestand (Export "&amp;BR1467&amp;"); ","")&amp;IF(J1467&lt;=0,"Kein Verbrauch; ","")&amp;IF(CR1467&gt;0,"Lift "&amp;W1467&amp;" lt. Liftbericht (Fach "&amp;X1467&amp;" Stk); ",IF(CB1467=1,"Gebinde geschätzt ("&amp;T1467&amp;"); ",IF(CA1467=1,"Lose – Tablare geschätzt; ","")))&amp;IF(H1467&gt;AW1467,"Überbestand "&amp;ROUND(H1467-AW1467,0)&amp;" Stk / CHF "&amp;ROUND((H1467-AW1467)*G1467,0)&amp;"; ","")&amp;IF(AND(CI1467=1,CJ1467&lt;CK1467),"MAX &lt; MB+LG; ","")&amp;IF(AND(CQ1467&gt;0,CP1467*10&gt;CQ1467),"zu hoch für Tablar; ","")&amp;IF(AND(BW1467=0,OR(CI1467=1,AB1467&lt;&gt;"",U1467&lt;&gt;"",V1467&lt;&gt;"",AC1467&lt;&gt;"")),"manuell übersteuert; ","")&amp;IF(AND(CA1467=0,R1467=0),"Gebinde unbekannt / Stellmass fehlt; ","")&amp;IF(AND(CA1467=0,N(V1467)&lt;=0,N(Q1467)&lt;=0),"Menge pro Gebinde fehlt (Ist = 1 Gebinde); ","")&amp;BV1467)</f>
        <v>negativer Bestand (Export -86); </v>
      </c>
      <c r="BO1467" s="60"/>
      <c r="BP1467" s="60"/>
      <c r="BQ1467" s="67"/>
      <c r="BR1467" s="62" t="n">
        <v>-86</v>
      </c>
      <c r="BS1467" s="62" t="n">
        <v>0</v>
      </c>
      <c r="BT1467" s="61" t="n">
        <v>-33137.78</v>
      </c>
      <c r="BU1467" s="62" t="n">
        <v>185</v>
      </c>
      <c r="BV1467" s="60"/>
      <c r="BW1467" s="65" t="n">
        <v>0</v>
      </c>
      <c r="BX1467" s="65" t="n">
        <v>1467</v>
      </c>
      <c r="BY1467" s="60" t="str">
        <f aca="false">IF(U1467&lt;&gt;"",UPPER(TRIM(U1467)),IF(CB1467=1,UPPER(VLOOKUP(T1467,Parameter!$I$27:$K$29,2,0)),IF(P1467="","LOSE",P1467)))</f>
        <v>S52</v>
      </c>
      <c r="BZ1467" s="62" t="n">
        <f aca="false">IF(BY1467="LOSE",1,IF(N(V1467)&gt;0,V1467,IF(CB1467=1,MAX(1,N(VLOOKUP(T1467,Parameter!$I$27:$K$29,3,0)),H1467,N(N1467)),IF(N(Q1467)&gt;0,Q1467,MAX(1,H1467)))))</f>
        <v>60</v>
      </c>
      <c r="CA1467" s="65" t="n">
        <f aca="false">IF(BY1467="LOSE",1,0)</f>
        <v>0</v>
      </c>
      <c r="CB1467" s="65" t="n">
        <f aca="false">IF(AND(U1467="",OR(P1467="",P1467="LOSE"),T1467&lt;&gt;"",N(S1467)&lt;=0,ISNUMBER(MATCH(T1467,Parameter!$I$27:$I$29,0))),1,0)</f>
        <v>0</v>
      </c>
      <c r="CC1467" s="65" t="n">
        <f aca="false">IF(CR1467&gt;0,INDEX(Parameter!$H$5:$H$7,W1467)/INDEX(Parameter!$E$5:$E$7,W1467),IF(AND(CA1467=0,N(IFERROR(VLOOKUP(BY1467,'Gebinde-Kategorie'!$A$5:$N$45,14,0),0))&gt;0),VLOOKUP(BY1467,'Gebinde-Kategorie'!$A$5:$N$45,14,0)*10+Parameter!$M$23,Parameter!$M$24))</f>
        <v>245</v>
      </c>
      <c r="CD1467" s="60" t="str">
        <f aca="false">IF(AND(Parameter!$B$19="Ja",E1467&lt;&gt;"",ISNUMBER(MATCH(E1467,Parameter!$I$35:$I$52,0))),VLOOKUP(E1467,Parameter!$I$35:$J$52,2,0),IFERROR(VLOOKUP(D1467,Parameter!$A$35:$C$64,2,0),"Nein"))</f>
        <v>2+3</v>
      </c>
      <c r="CE1467" s="64" t="n">
        <f aca="false">IF(CA1467=0,0,IF(N(S1467)&gt;0,S1467,IFERROR(VLOOKUP(D1467,Parameter!$A$35:$C$64,3,0)+0,0)))</f>
        <v>0</v>
      </c>
      <c r="CF1467" s="60" t="n">
        <f aca="false">IF(AB1467&lt;&gt;"",AB1467,AA1467)</f>
        <v>3</v>
      </c>
      <c r="CG1467" s="60" t="str">
        <f aca="false">IF(OR(CF1467=1,CF1467=2,CF1467=3),IF(Parameter!$E$27="Ja","LIFT",IF(CF1467=1,"L1","L23")),IF(CF1467="Aussen","Aussen","-"))</f>
        <v>LIFT</v>
      </c>
      <c r="CH1467" s="71" t="n">
        <f aca="false">IF(N(AC1467)&gt;0,AC1467,0)</f>
        <v>0</v>
      </c>
      <c r="CI1467" s="65" t="n">
        <f aca="false">IF(ISNUMBER(AF1467),1,0)</f>
        <v>0</v>
      </c>
      <c r="CJ1467" s="62" t="n">
        <f aca="false">N(AF1467)</f>
        <v>0</v>
      </c>
      <c r="CK1467" s="62" t="n">
        <f aca="false">N(M1467)+N(N1467)</f>
        <v>35</v>
      </c>
      <c r="CL1467" s="62" t="n">
        <f aca="false">N(M1467)</f>
        <v>0</v>
      </c>
      <c r="CM1467" s="62" t="n">
        <f aca="false">N(N1467)</f>
        <v>35</v>
      </c>
      <c r="CN1467" s="62" t="n">
        <f aca="false">ROUNDUP(H1467/BZ1467,0)</f>
        <v>0</v>
      </c>
      <c r="CO1467" s="62" t="n">
        <f aca="false">ROUNDUP(CJ1467/BZ1467,0)</f>
        <v>0</v>
      </c>
      <c r="CP1467" s="65" t="n">
        <f aca="false">IF(CA1467=1,0,IFERROR(VLOOKUP(BY1467,'Gebinde-Kategorie'!$A$5:$N$45,5,0)+0,0))</f>
        <v>21</v>
      </c>
      <c r="CQ1467" s="65" t="n">
        <f aca="false">IFERROR(IF(OR(CF1467=1,CF1467=2,CF1467=3),N(INDEX(Parameter!$I$5:$I$7,CF1467)),0),0)</f>
        <v>0</v>
      </c>
      <c r="CR1467" s="64" t="n">
        <f aca="false">IF(AND(Parameter!$B$21="Ja",ISNUMBER(W1467),N(X1467)&gt;0),IFERROR(N(INDEX(Parameter!$L$5:$L$7,W1467))*INDEX(Parameter!$E$5:$E$7,W1467)*X1467/SUMIFS($X$7:$X$1843,$W$7:$W$1843,W1467),0),0)</f>
        <v>0</v>
      </c>
      <c r="CS1467" s="62" t="str">
        <f aca="false">IF(AND(OR(CG1467="L1",CG1467="L23",CG1467="LIFT"),H1467&gt;0),CC1467*IF(CR1467&gt;0,CR1467*MAX(1,H1467/X1467),IF(CA1467=1,CE1467,IF(R1467&gt;0,CN1467/R1467,0))/MAX(0.1,N(Parameter!$M$21))),"")</f>
        <v/>
      </c>
      <c r="CT1467" s="64" t="str">
        <f aca="false">IF(CS1467="","",J1467/H1467)</f>
        <v/>
      </c>
      <c r="CU1467" s="62" t="str">
        <f aca="false">IF(CS1467="","",H1467*G1467)</f>
        <v/>
      </c>
      <c r="CV1467" s="63" t="str">
        <f aca="false">IF(CS1467="","",(CL1467+ROUNDUP(CL1467+MAX(CM1467,2*(J1467/MAX(0.1,N(Einkauf!$C$6))-CL1467)),0))/2)</f>
        <v/>
      </c>
      <c r="CW1467" s="62" t="str">
        <f aca="false">IF(CS1467="","",MAX(0,H1467-CV1467)*G1467)</f>
        <v/>
      </c>
      <c r="CX1467" s="62" t="str">
        <f aca="false">IF(CS1467="","",CS1467*MAX(0,1-CV1467/H1467))</f>
        <v/>
      </c>
      <c r="CY1467" s="64" t="str">
        <f aca="false">IF(CS1467="","",PERCENTRANK($CS$7:$CS$1843,CS1467)+PERCENTRANK($CU$7:$CU$1843,CU1467)+1-PERCENTRANK($CT$7:$CT$1843,CT1467))</f>
        <v/>
      </c>
      <c r="CZ1467" s="72" t="str">
        <f aca="false">IF(CS1467="","",CHOOSE(MATCH(Einkauf!$C$5,Parameter!$G$23:$G$27,0),CY1467,CS1467,CU1467,-CT1467,CW1467)+ROW()/1000000000)</f>
        <v/>
      </c>
    </row>
    <row r="1468" customFormat="false" ht="15" hidden="false" customHeight="false" outlineLevel="0" collapsed="false">
      <c r="A1468" s="60" t="s">
        <v>2606</v>
      </c>
      <c r="B1468" s="60" t="s">
        <v>238</v>
      </c>
      <c r="C1468" s="60" t="s">
        <v>498</v>
      </c>
      <c r="D1468" s="60" t="s">
        <v>215</v>
      </c>
      <c r="E1468" s="60" t="s">
        <v>208</v>
      </c>
      <c r="F1468" s="60"/>
      <c r="G1468" s="61" t="n">
        <v>5022.3</v>
      </c>
      <c r="H1468" s="62" t="n">
        <f aca="false">MAX(0,IF(AND(Parameter!$B$21="Ja",ISNUMBER(Y1468)),Y1468,IF(Parameter!$B$20="Jahresanfang 2025 + Export",BS1468+BR1468,BR1468)))</f>
        <v>0</v>
      </c>
      <c r="I1468" s="62" t="n">
        <f aca="false">H1468*G1468</f>
        <v>0</v>
      </c>
      <c r="J1468" s="62" t="n">
        <f aca="false">BU1468*Parameter!$B$18</f>
        <v>13</v>
      </c>
      <c r="K1468" s="63"/>
      <c r="L1468" s="64"/>
      <c r="M1468" s="62" t="n">
        <v>0</v>
      </c>
      <c r="N1468" s="62" t="n">
        <v>1</v>
      </c>
      <c r="O1468" s="65"/>
      <c r="P1468" s="60" t="s">
        <v>210</v>
      </c>
      <c r="Q1468" s="62"/>
      <c r="R1468" s="65" t="n">
        <f aca="false">IF(CA1468=1,0,IFERROR(VLOOKUP(BY1468,'Gebinde-Kategorie'!$A$5:$N$45,13,0)+0,0))</f>
        <v>12</v>
      </c>
      <c r="S1468" s="66"/>
      <c r="T1468" s="67" t="s">
        <v>221</v>
      </c>
      <c r="U1468" s="67"/>
      <c r="V1468" s="67"/>
      <c r="W1468" s="60"/>
      <c r="X1468" s="62"/>
      <c r="Y1468" s="62"/>
      <c r="Z1468" s="60" t="n">
        <v>3</v>
      </c>
      <c r="AA1468" s="60" t="n">
        <f aca="false">IF(A1468="","",IF(AND(Parameter!$B$21="Ja",ISNUMBER(W1468)),W1468,IF(AND(Parameter!$E$27="Ja",ISNUMBER(Z1468),CD1468&lt;&gt;"Nein"),Z1468,IF(CD1468="2+3",IF(ISNUMBER(SEARCH("grosser Artikel",BV1468)),2,IFERROR(VLOOKUP(BY1468,Parameter!$F$35:$G$64,2,0),2)),IF(OR(CD1468="Nein",CD1468=""),"-",CD1468)))))</f>
        <v>3</v>
      </c>
      <c r="AB1468" s="67"/>
      <c r="AC1468" s="68"/>
      <c r="AD1468" s="62" t="n">
        <f aca="false">AW1468</f>
        <v>9</v>
      </c>
      <c r="AE1468" s="62" t="n">
        <f aca="false">MAX(AW1468,H1468)</f>
        <v>9</v>
      </c>
      <c r="AF1468" s="69"/>
      <c r="AG1468" s="62" t="n">
        <f aca="false">IF(LEFT(Cockpit!$C$5,1)="A",H1468,IF(Parameter!$E$30="MAX-Bestand",IF(CI1468=1,CJ1468,IF(LEFT(Cockpit!$C$5,1)="B",AM1468,MAX(AM1468,H1468))),ROUNDUP(AK1468,0)))</f>
        <v>0</v>
      </c>
      <c r="AH1468" s="62" t="n">
        <f aca="false">IF(CA1468=1,0,ROUNDUP(AG1468/BZ1468,0))</f>
        <v>0</v>
      </c>
      <c r="AI1468" s="64" t="n">
        <f aca="false">IF(CR1468&gt;0,CR1468*MAX(1,AG1468/X1468),IF(CA1468=1,IF(AG1468&lt;=0,0,CE1468*MAX(1,IF(H1468&gt;0,AG1468/H1468,1))),IF(R1468&gt;0,AH1468/R1468,0))/MAX(0.1,N(Parameter!$M$21)))</f>
        <v>0</v>
      </c>
      <c r="AJ1468" s="62" t="n">
        <f aca="false">AI1468*CC1468</f>
        <v>0</v>
      </c>
      <c r="AK1468" s="63" t="n">
        <f aca="false">IF(LEFT(Cockpit!$C$5,1)="A",H1468,IF(CI1468=1,(CL1468+CJ1468)/2,IF(LEFT(Cockpit!$C$5,1)="B",(CL1468+AM1468)/2,MAX((CL1468+AM1468)/2,H1468))))</f>
        <v>0</v>
      </c>
      <c r="AL1468" s="62" t="n">
        <f aca="false">AK1468*G1468</f>
        <v>0</v>
      </c>
      <c r="AM1468" s="62" t="n">
        <f aca="false">ROUNDUP(CL1468+MAX(CM1468,2*(J1468/IF(CH1468&gt;0,CH1468,MAX(0.1,N(Cockpit!$C$6)))-CL1468)),0)</f>
        <v>9</v>
      </c>
      <c r="AN1468" s="63" t="n">
        <f aca="false">IF(AJ1468&gt;0,J1468/AJ1468,-1)</f>
        <v>-1</v>
      </c>
      <c r="AO1468" s="63" t="str">
        <f aca="false">IF(AND(OR(CG1468="L1",CG1468="L23",CG1468="LIFT"),AJ1468&gt;0),SUMIFS($AJ$7:$AJ$1843,$CG$7:$CG$1843,CG1468,$AN$7:$AN$1843,"&gt;"&amp;AN1468)+SUMIFS($AJ$7:$AJ$1843,$CG$7:$CG$1843,CG1468,$AN$7:$AN$1843,AN1468,$BX$7:$BX$1843,"&lt;="&amp;BX1468),"")</f>
        <v/>
      </c>
      <c r="AP1468" s="70" t="n">
        <f aca="false">IF(AO1468="",0,MAX(0,MIN(1,(IF(CG1468="L1",Parameter!$H$5,IF(CG1468="L23",Parameter!$H$6+Parameter!$H$7,Parameter!$H$5+Parameter!$H$6+Parameter!$H$7))-(AO1468-AJ1468))/AJ1468)))</f>
        <v>0</v>
      </c>
      <c r="AQ1468" s="62" t="n">
        <f aca="false">IF(LEFT(Cockpit!$I$5,1)="A",H1468,IF(Parameter!$E$30="MAX-Bestand",IF(CI1468=1,CJ1468,IF(LEFT(Cockpit!$I$5,1)="B",AW1468,MAX(AW1468,H1468))),ROUNDUP(AU1468,0)))</f>
        <v>5</v>
      </c>
      <c r="AR1468" s="62" t="n">
        <f aca="false">IF(CA1468=1,0,ROUNDUP(AQ1468/BZ1468,0))</f>
        <v>2</v>
      </c>
      <c r="AS1468" s="64" t="n">
        <f aca="false">IF(CR1468&gt;0,CR1468*MAX(1,AQ1468/X1468),IF(CA1468=1,IF(AQ1468&lt;=0,0,CE1468*MAX(1,IF(H1468&gt;0,AQ1468/H1468,1))),IF(R1468&gt;0,AR1468/R1468,0))/MAX(0.1,N(Parameter!$M$21)))</f>
        <v>0.166666666666667</v>
      </c>
      <c r="AT1468" s="62" t="n">
        <f aca="false">AS1468*CC1468</f>
        <v>24.1666666666667</v>
      </c>
      <c r="AU1468" s="63" t="n">
        <f aca="false">IF(LEFT(Cockpit!$I$5,1)="A",H1468,IF(CI1468=1,(CL1468+CJ1468)/2,IF(LEFT(Cockpit!$I$5,1)="B",(CL1468+AW1468)/2,MAX((CL1468+AW1468)/2,H1468))))</f>
        <v>4.5</v>
      </c>
      <c r="AV1468" s="62" t="n">
        <f aca="false">AU1468*G1468</f>
        <v>22600.35</v>
      </c>
      <c r="AW1468" s="62" t="n">
        <f aca="false">ROUNDUP(CL1468+MAX(CM1468,2*(J1468/IF(CH1468&gt;0,CH1468,MAX(0.1,N(Cockpit!$I$6)))-CL1468)),0)</f>
        <v>9</v>
      </c>
      <c r="AX1468" s="63" t="n">
        <f aca="false">IF(AT1468&gt;0,J1468/AT1468,-1)</f>
        <v>0.537931034482759</v>
      </c>
      <c r="AY1468" s="63" t="n">
        <f aca="false">IF(AND(OR(CG1468="L1",CG1468="L23",CG1468="LIFT"),AT1468&gt;0),SUMIFS($AT$7:$AT$1843,$CG$7:$CG$1843,CG1468,$AX$7:$AX$1843,"&gt;"&amp;AX1468)+SUMIFS($AT$7:$AT$1843,$CG$7:$CG$1843,CG1468,$AX$7:$AX$1843,AX1468,$BX$7:$BX$1843,"&lt;="&amp;BX1468),"")</f>
        <v>11862.956043956</v>
      </c>
      <c r="AZ1468" s="70" t="n">
        <f aca="false">IF(AY1468="",0,MAX(0,MIN(1,(IF(CG1468="L1",Parameter!$H$5,IF(CG1468="L23",Parameter!$H$6+Parameter!$H$7,Parameter!$H$5+Parameter!$H$6+Parameter!$H$7))-(AY1468-AT1468))/AT1468)))</f>
        <v>1</v>
      </c>
      <c r="BA1468" s="62" t="n">
        <f aca="false">IF(LEFT(Cockpit!$O$5,1)="A",H1468,IF(Parameter!$E$30="MAX-Bestand",IF(CI1468=1,CJ1468,IF(LEFT(Cockpit!$O$5,1)="B",BG1468,MAX(BG1468,H1468))),ROUNDUP(BE1468,0)))</f>
        <v>4</v>
      </c>
      <c r="BB1468" s="62" t="n">
        <f aca="false">IF(CA1468=1,0,ROUNDUP(BA1468/BZ1468,0))</f>
        <v>1</v>
      </c>
      <c r="BC1468" s="64" t="n">
        <f aca="false">IF(CR1468&gt;0,CR1468*MAX(1,BA1468/X1468),IF(CA1468=1,IF(BA1468&lt;=0,0,CE1468*MAX(1,IF(H1468&gt;0,BA1468/H1468,1))),IF(R1468&gt;0,BB1468/R1468,0))/MAX(0.1,N(Parameter!$M$21)))</f>
        <v>0.0833333333333333</v>
      </c>
      <c r="BD1468" s="62" t="n">
        <f aca="false">BC1468*CC1468</f>
        <v>12.0833333333333</v>
      </c>
      <c r="BE1468" s="63" t="n">
        <f aca="false">IF(LEFT(Cockpit!$O$5,1)="A",H1468,IF(CI1468=1,(CL1468+CJ1468)/2,IF(LEFT(Cockpit!$O$5,1)="B",(CL1468+BG1468)/2,MAX((CL1468+BG1468)/2,H1468))))</f>
        <v>3.5</v>
      </c>
      <c r="BF1468" s="62" t="n">
        <f aca="false">BE1468*G1468</f>
        <v>17578.05</v>
      </c>
      <c r="BG1468" s="62" t="n">
        <f aca="false">ROUNDUP(CL1468+MAX(CM1468,2*(J1468/IF(CH1468&gt;0,CH1468,MAX(0.1,N(Cockpit!$O$6)))-CL1468)),0)</f>
        <v>7</v>
      </c>
      <c r="BH1468" s="63" t="n">
        <f aca="false">IF(BD1468&gt;0,J1468/BD1468,-1)</f>
        <v>1.07586206896552</v>
      </c>
      <c r="BI1468" s="63" t="n">
        <f aca="false">IF(AND(OR(CG1468="L1",CG1468="L23",CG1468="LIFT"),BD1468&gt;0),SUMIFS($BD$7:$BD$1843,$CG$7:$CG$1843,CG1468,$BH$7:$BH$1843,"&gt;"&amp;BH1468)+SUMIFS($BD$7:$BD$1843,$CG$7:$CG$1843,CG1468,$BH$7:$BH$1843,BH1468,$BX$7:$BX$1843,"&lt;="&amp;BX1468),"")</f>
        <v>7419.88690476191</v>
      </c>
      <c r="BJ1468" s="70" t="n">
        <f aca="false">IF(BI1468="",0,MAX(0,MIN(1,(IF(CG1468="L1",Parameter!$H$5,IF(CG1468="L23",Parameter!$H$6+Parameter!$H$7,Parameter!$H$5+Parameter!$H$6+Parameter!$H$7))-(BI1468-BD1468))/BD1468)))</f>
        <v>1</v>
      </c>
      <c r="BK1468" s="60" t="str">
        <f aca="false">IF(AJ1468&lt;=0,"",IF(CG1468="Aussen","Aussenlager",IF(CG1468="-","Nicht im Lift",IF(AP1468&gt;=1,"Lift",IF(AP1468&lt;=0,"Aussenlager","teilweise")))))</f>
        <v/>
      </c>
      <c r="BL1468" s="60" t="str">
        <f aca="false">IF(AT1468&lt;=0,"",IF(CG1468="Aussen","Aussenlager",IF(CG1468="-","Nicht im Lift",IF(AZ1468&gt;=1,"Lift",IF(AZ1468&lt;=0,"Aussenlager","teilweise")))))</f>
        <v>Lift</v>
      </c>
      <c r="BM1468" s="60" t="str">
        <f aca="false">IF(BD1468&lt;=0,"",IF(CG1468="Aussen","Aussenlager",IF(CG1468="-","Nicht im Lift",IF(BJ1468&gt;=1,"Lift",IF(BJ1468&lt;=0,"Aussenlager","teilweise")))))</f>
        <v>Lift</v>
      </c>
      <c r="BN1468" s="60" t="str">
        <f aca="false">IF(A1468="","",IF(BW1468=1,"Neu; ","")&amp;IF(AND(BW1468=0,BR1468&lt;0),"negativer Bestand (Export "&amp;BR1468&amp;"); ","")&amp;IF(J1468&lt;=0,"Kein Verbrauch; ","")&amp;IF(CR1468&gt;0,"Lift "&amp;W1468&amp;" lt. Liftbericht (Fach "&amp;X1468&amp;" Stk); ",IF(CB1468=1,"Gebinde geschätzt ("&amp;T1468&amp;"); ",IF(CA1468=1,"Lose – Tablare geschätzt; ","")))&amp;IF(H1468&gt;AW1468,"Überbestand "&amp;ROUND(H1468-AW1468,0)&amp;" Stk / CHF "&amp;ROUND((H1468-AW1468)*G1468,0)&amp;"; ","")&amp;IF(AND(CI1468=1,CJ1468&lt;CK1468),"MAX &lt; MB+LG; ","")&amp;IF(AND(CQ1468&gt;0,CP1468*10&gt;CQ1468),"zu hoch für Tablar; ","")&amp;IF(AND(BW1468=0,OR(CI1468=1,AB1468&lt;&gt;"",U1468&lt;&gt;"",V1468&lt;&gt;"",AC1468&lt;&gt;"")),"manuell übersteuert; ","")&amp;IF(AND(CA1468=0,R1468=0),"Gebinde unbekannt / Stellmass fehlt; ","")&amp;IF(AND(CA1468=0,N(V1468)&lt;=0,N(Q1468)&lt;=0),"Menge pro Gebinde fehlt (Ist = 1 Gebinde); ","")&amp;BV1468)</f>
        <v>negativer Bestand (Export -13); Gebinde geschätzt (Mittel); Menge pro Gebinde fehlt (Ist = 1 Gebinde); </v>
      </c>
      <c r="BO1468" s="60"/>
      <c r="BP1468" s="60"/>
      <c r="BQ1468" s="67"/>
      <c r="BR1468" s="62" t="n">
        <v>-13</v>
      </c>
      <c r="BS1468" s="62" t="n">
        <v>0</v>
      </c>
      <c r="BT1468" s="61" t="n">
        <v>-64779</v>
      </c>
      <c r="BU1468" s="62" t="n">
        <v>13</v>
      </c>
      <c r="BV1468" s="60"/>
      <c r="BW1468" s="65" t="n">
        <v>0</v>
      </c>
      <c r="BX1468" s="65" t="n">
        <v>1468</v>
      </c>
      <c r="BY1468" s="60" t="str">
        <f aca="false">IF(U1468&lt;&gt;"",UPPER(TRIM(U1468)),IF(CB1468=1,UPPER(VLOOKUP(T1468,Parameter!$I$27:$K$29,2,0)),IF(P1468="","LOSE",P1468)))</f>
        <v>S61</v>
      </c>
      <c r="BZ1468" s="62" t="n">
        <f aca="false">IF(BY1468="LOSE",1,IF(N(V1468)&gt;0,V1468,IF(CB1468=1,MAX(1,N(VLOOKUP(T1468,Parameter!$I$27:$K$29,3,0)),H1468,N(N1468)),IF(N(Q1468)&gt;0,Q1468,MAX(1,H1468)))))</f>
        <v>4</v>
      </c>
      <c r="CA1468" s="65" t="n">
        <f aca="false">IF(BY1468="LOSE",1,0)</f>
        <v>0</v>
      </c>
      <c r="CB1468" s="65" t="n">
        <f aca="false">IF(AND(U1468="",OR(P1468="",P1468="LOSE"),T1468&lt;&gt;"",N(S1468)&lt;=0,ISNUMBER(MATCH(T1468,Parameter!$I$27:$I$29,0))),1,0)</f>
        <v>1</v>
      </c>
      <c r="CC1468" s="65" t="n">
        <f aca="false">IF(CR1468&gt;0,INDEX(Parameter!$H$5:$H$7,W1468)/INDEX(Parameter!$E$5:$E$7,W1468),IF(AND(CA1468=0,N(IFERROR(VLOOKUP(BY1468,'Gebinde-Kategorie'!$A$5:$N$45,14,0),0))&gt;0),VLOOKUP(BY1468,'Gebinde-Kategorie'!$A$5:$N$45,14,0)*10+Parameter!$M$23,Parameter!$M$24))</f>
        <v>145</v>
      </c>
      <c r="CD1468" s="60" t="n">
        <f aca="false">IF(AND(Parameter!$B$19="Ja",E1468&lt;&gt;"",ISNUMBER(MATCH(E1468,Parameter!$I$35:$I$52,0))),VLOOKUP(E1468,Parameter!$I$35:$J$52,2,0),IFERROR(VLOOKUP(D1468,Parameter!$A$35:$C$64,2,0),"Nein"))</f>
        <v>1</v>
      </c>
      <c r="CE1468" s="64" t="n">
        <f aca="false">IF(CA1468=0,0,IF(N(S1468)&gt;0,S1468,IFERROR(VLOOKUP(D1468,Parameter!$A$35:$C$64,3,0)+0,0)))</f>
        <v>0</v>
      </c>
      <c r="CF1468" s="60" t="n">
        <f aca="false">IF(AB1468&lt;&gt;"",AB1468,AA1468)</f>
        <v>3</v>
      </c>
      <c r="CG1468" s="60" t="str">
        <f aca="false">IF(OR(CF1468=1,CF1468=2,CF1468=3),IF(Parameter!$E$27="Ja","LIFT",IF(CF1468=1,"L1","L23")),IF(CF1468="Aussen","Aussen","-"))</f>
        <v>LIFT</v>
      </c>
      <c r="CH1468" s="71" t="n">
        <f aca="false">IF(N(AC1468)&gt;0,AC1468,0)</f>
        <v>0</v>
      </c>
      <c r="CI1468" s="65" t="n">
        <f aca="false">IF(ISNUMBER(AF1468),1,0)</f>
        <v>0</v>
      </c>
      <c r="CJ1468" s="62" t="n">
        <f aca="false">N(AF1468)</f>
        <v>0</v>
      </c>
      <c r="CK1468" s="62" t="n">
        <f aca="false">N(M1468)+N(N1468)</f>
        <v>1</v>
      </c>
      <c r="CL1468" s="62" t="n">
        <f aca="false">N(M1468)</f>
        <v>0</v>
      </c>
      <c r="CM1468" s="62" t="n">
        <f aca="false">N(N1468)</f>
        <v>1</v>
      </c>
      <c r="CN1468" s="62" t="n">
        <f aca="false">ROUNDUP(H1468/BZ1468,0)</f>
        <v>0</v>
      </c>
      <c r="CO1468" s="62" t="n">
        <f aca="false">ROUNDUP(CJ1468/BZ1468,0)</f>
        <v>0</v>
      </c>
      <c r="CP1468" s="65" t="n">
        <f aca="false">IF(CA1468=1,0,IFERROR(VLOOKUP(BY1468,'Gebinde-Kategorie'!$A$5:$N$45,5,0)+0,0))</f>
        <v>11</v>
      </c>
      <c r="CQ1468" s="65" t="n">
        <f aca="false">IFERROR(IF(OR(CF1468=1,CF1468=2,CF1468=3),N(INDEX(Parameter!$I$5:$I$7,CF1468)),0),0)</f>
        <v>0</v>
      </c>
      <c r="CR1468" s="64" t="n">
        <f aca="false">IF(AND(Parameter!$B$21="Ja",ISNUMBER(W1468),N(X1468)&gt;0),IFERROR(N(INDEX(Parameter!$L$5:$L$7,W1468))*INDEX(Parameter!$E$5:$E$7,W1468)*X1468/SUMIFS($X$7:$X$1843,$W$7:$W$1843,W1468),0),0)</f>
        <v>0</v>
      </c>
      <c r="CS1468" s="62" t="str">
        <f aca="false">IF(AND(OR(CG1468="L1",CG1468="L23",CG1468="LIFT"),H1468&gt;0),CC1468*IF(CR1468&gt;0,CR1468*MAX(1,H1468/X1468),IF(CA1468=1,CE1468,IF(R1468&gt;0,CN1468/R1468,0))/MAX(0.1,N(Parameter!$M$21))),"")</f>
        <v/>
      </c>
      <c r="CT1468" s="64" t="str">
        <f aca="false">IF(CS1468="","",J1468/H1468)</f>
        <v/>
      </c>
      <c r="CU1468" s="62" t="str">
        <f aca="false">IF(CS1468="","",H1468*G1468)</f>
        <v/>
      </c>
      <c r="CV1468" s="63" t="str">
        <f aca="false">IF(CS1468="","",(CL1468+ROUNDUP(CL1468+MAX(CM1468,2*(J1468/MAX(0.1,N(Einkauf!$C$6))-CL1468)),0))/2)</f>
        <v/>
      </c>
      <c r="CW1468" s="62" t="str">
        <f aca="false">IF(CS1468="","",MAX(0,H1468-CV1468)*G1468)</f>
        <v/>
      </c>
      <c r="CX1468" s="62" t="str">
        <f aca="false">IF(CS1468="","",CS1468*MAX(0,1-CV1468/H1468))</f>
        <v/>
      </c>
      <c r="CY1468" s="64" t="str">
        <f aca="false">IF(CS1468="","",PERCENTRANK($CS$7:$CS$1843,CS1468)+PERCENTRANK($CU$7:$CU$1843,CU1468)+1-PERCENTRANK($CT$7:$CT$1843,CT1468))</f>
        <v/>
      </c>
      <c r="CZ1468" s="72" t="str">
        <f aca="false">IF(CS1468="","",CHOOSE(MATCH(Einkauf!$C$5,Parameter!$G$23:$G$27,0),CY1468,CS1468,CU1468,-CT1468,CW1468)+ROW()/1000000000)</f>
        <v/>
      </c>
    </row>
    <row r="1469" customFormat="false" ht="15" hidden="false" customHeight="false" outlineLevel="0" collapsed="false">
      <c r="A1469" s="60" t="s">
        <v>2607</v>
      </c>
      <c r="B1469" s="60" t="s">
        <v>1425</v>
      </c>
      <c r="C1469" s="60" t="s">
        <v>206</v>
      </c>
      <c r="D1469" s="60" t="s">
        <v>215</v>
      </c>
      <c r="E1469" s="60" t="s">
        <v>2460</v>
      </c>
      <c r="F1469" s="60"/>
      <c r="G1469" s="61" t="n">
        <v>11412.99</v>
      </c>
      <c r="H1469" s="62" t="n">
        <f aca="false">MAX(0,IF(AND(Parameter!$B$21="Ja",ISNUMBER(Y1469)),Y1469,IF(Parameter!$B$20="Jahresanfang 2025 + Export",BS1469+BR1469,BR1469)))</f>
        <v>0</v>
      </c>
      <c r="I1469" s="62" t="n">
        <f aca="false">H1469*G1469</f>
        <v>0</v>
      </c>
      <c r="J1469" s="62" t="n">
        <f aca="false">BU1469*Parameter!$B$18</f>
        <v>12</v>
      </c>
      <c r="K1469" s="63"/>
      <c r="L1469" s="64"/>
      <c r="M1469" s="62" t="n">
        <v>2</v>
      </c>
      <c r="N1469" s="62" t="n">
        <v>1</v>
      </c>
      <c r="O1469" s="65"/>
      <c r="P1469" s="60" t="s">
        <v>210</v>
      </c>
      <c r="Q1469" s="62"/>
      <c r="R1469" s="65" t="n">
        <f aca="false">IF(CA1469=1,0,IFERROR(VLOOKUP(BY1469,'Gebinde-Kategorie'!$A$5:$N$45,13,0)+0,0))</f>
        <v>4</v>
      </c>
      <c r="S1469" s="66"/>
      <c r="T1469" s="67" t="s">
        <v>231</v>
      </c>
      <c r="U1469" s="67"/>
      <c r="V1469" s="67"/>
      <c r="W1469" s="60"/>
      <c r="X1469" s="62"/>
      <c r="Y1469" s="62"/>
      <c r="Z1469" s="60"/>
      <c r="AA1469" s="60" t="str">
        <f aca="false">IF(A1469="","",IF(AND(Parameter!$B$21="Ja",ISNUMBER(W1469)),W1469,IF(AND(Parameter!$E$27="Ja",ISNUMBER(Z1469),CD1469&lt;&gt;"Nein"),Z1469,IF(CD1469="2+3",IF(ISNUMBER(SEARCH("grosser Artikel",BV1469)),2,IFERROR(VLOOKUP(BY1469,Parameter!$F$35:$G$64,2,0),2)),IF(OR(CD1469="Nein",CD1469=""),"-",CD1469)))))</f>
        <v>-</v>
      </c>
      <c r="AB1469" s="67"/>
      <c r="AC1469" s="68"/>
      <c r="AD1469" s="62" t="n">
        <f aca="false">AW1469</f>
        <v>6</v>
      </c>
      <c r="AE1469" s="62" t="n">
        <f aca="false">MAX(AW1469,H1469)</f>
        <v>6</v>
      </c>
      <c r="AF1469" s="69"/>
      <c r="AG1469" s="62" t="n">
        <f aca="false">IF(LEFT(Cockpit!$C$5,1)="A",H1469,IF(Parameter!$E$30="MAX-Bestand",IF(CI1469=1,CJ1469,IF(LEFT(Cockpit!$C$5,1)="B",AM1469,MAX(AM1469,H1469))),ROUNDUP(AK1469,0)))</f>
        <v>0</v>
      </c>
      <c r="AH1469" s="62" t="n">
        <f aca="false">IF(CA1469=1,0,ROUNDUP(AG1469/BZ1469,0))</f>
        <v>0</v>
      </c>
      <c r="AI1469" s="64" t="n">
        <f aca="false">IF(CR1469&gt;0,CR1469*MAX(1,AG1469/X1469),IF(CA1469=1,IF(AG1469&lt;=0,0,CE1469*MAX(1,IF(H1469&gt;0,AG1469/H1469,1))),IF(R1469&gt;0,AH1469/R1469,0))/MAX(0.1,N(Parameter!$M$21)))</f>
        <v>0</v>
      </c>
      <c r="AJ1469" s="62" t="n">
        <f aca="false">AI1469*CC1469</f>
        <v>0</v>
      </c>
      <c r="AK1469" s="63" t="n">
        <f aca="false">IF(LEFT(Cockpit!$C$5,1)="A",H1469,IF(CI1469=1,(CL1469+CJ1469)/2,IF(LEFT(Cockpit!$C$5,1)="B",(CL1469+AM1469)/2,MAX((CL1469+AM1469)/2,H1469))))</f>
        <v>0</v>
      </c>
      <c r="AL1469" s="62" t="n">
        <f aca="false">AK1469*G1469</f>
        <v>0</v>
      </c>
      <c r="AM1469" s="62" t="n">
        <f aca="false">ROUNDUP(CL1469+MAX(CM1469,2*(J1469/IF(CH1469&gt;0,CH1469,MAX(0.1,N(Cockpit!$C$6)))-CL1469)),0)</f>
        <v>6</v>
      </c>
      <c r="AN1469" s="63" t="n">
        <f aca="false">IF(AJ1469&gt;0,J1469/AJ1469,-1)</f>
        <v>-1</v>
      </c>
      <c r="AO1469" s="63" t="str">
        <f aca="false">IF(AND(OR(CG1469="L1",CG1469="L23",CG1469="LIFT"),AJ1469&gt;0),SUMIFS($AJ$7:$AJ$1843,$CG$7:$CG$1843,CG1469,$AN$7:$AN$1843,"&gt;"&amp;AN1469)+SUMIFS($AJ$7:$AJ$1843,$CG$7:$CG$1843,CG1469,$AN$7:$AN$1843,AN1469,$BX$7:$BX$1843,"&lt;="&amp;BX1469),"")</f>
        <v/>
      </c>
      <c r="AP1469" s="70" t="n">
        <f aca="false">IF(AO1469="",0,MAX(0,MIN(1,(IF(CG1469="L1",Parameter!$H$5,IF(CG1469="L23",Parameter!$H$6+Parameter!$H$7,Parameter!$H$5+Parameter!$H$6+Parameter!$H$7))-(AO1469-AJ1469))/AJ1469)))</f>
        <v>0</v>
      </c>
      <c r="AQ1469" s="62" t="n">
        <f aca="false">IF(LEFT(Cockpit!$I$5,1)="A",H1469,IF(Parameter!$E$30="MAX-Bestand",IF(CI1469=1,CJ1469,IF(LEFT(Cockpit!$I$5,1)="B",AW1469,MAX(AW1469,H1469))),ROUNDUP(AU1469,0)))</f>
        <v>4</v>
      </c>
      <c r="AR1469" s="62" t="n">
        <f aca="false">IF(CA1469=1,0,ROUNDUP(AQ1469/BZ1469,0))</f>
        <v>2</v>
      </c>
      <c r="AS1469" s="64" t="n">
        <f aca="false">IF(CR1469&gt;0,CR1469*MAX(1,AQ1469/X1469),IF(CA1469=1,IF(AQ1469&lt;=0,0,CE1469*MAX(1,IF(H1469&gt;0,AQ1469/H1469,1))),IF(R1469&gt;0,AR1469/R1469,0))/MAX(0.1,N(Parameter!$M$21)))</f>
        <v>0.5</v>
      </c>
      <c r="AT1469" s="62" t="n">
        <f aca="false">AS1469*CC1469</f>
        <v>117.5</v>
      </c>
      <c r="AU1469" s="63" t="n">
        <f aca="false">IF(LEFT(Cockpit!$I$5,1)="A",H1469,IF(CI1469=1,(CL1469+CJ1469)/2,IF(LEFT(Cockpit!$I$5,1)="B",(CL1469+AW1469)/2,MAX((CL1469+AW1469)/2,H1469))))</f>
        <v>4</v>
      </c>
      <c r="AV1469" s="62" t="n">
        <f aca="false">AU1469*G1469</f>
        <v>45651.96</v>
      </c>
      <c r="AW1469" s="62" t="n">
        <f aca="false">ROUNDUP(CL1469+MAX(CM1469,2*(J1469/IF(CH1469&gt;0,CH1469,MAX(0.1,N(Cockpit!$I$6)))-CL1469)),0)</f>
        <v>6</v>
      </c>
      <c r="AX1469" s="63" t="n">
        <f aca="false">IF(AT1469&gt;0,J1469/AT1469,-1)</f>
        <v>0.102127659574468</v>
      </c>
      <c r="AY1469" s="63" t="str">
        <f aca="false">IF(AND(OR(CG1469="L1",CG1469="L23",CG1469="LIFT"),AT1469&gt;0),SUMIFS($AT$7:$AT$1843,$CG$7:$CG$1843,CG1469,$AX$7:$AX$1843,"&gt;"&amp;AX1469)+SUMIFS($AT$7:$AT$1843,$CG$7:$CG$1843,CG1469,$AX$7:$AX$1843,AX1469,$BX$7:$BX$1843,"&lt;="&amp;BX1469),"")</f>
        <v/>
      </c>
      <c r="AZ1469" s="70" t="n">
        <f aca="false">IF(AY1469="",0,MAX(0,MIN(1,(IF(CG1469="L1",Parameter!$H$5,IF(CG1469="L23",Parameter!$H$6+Parameter!$H$7,Parameter!$H$5+Parameter!$H$6+Parameter!$H$7))-(AY1469-AT1469))/AT1469)))</f>
        <v>0</v>
      </c>
      <c r="BA1469" s="62" t="n">
        <f aca="false">IF(LEFT(Cockpit!$O$5,1)="A",H1469,IF(Parameter!$E$30="MAX-Bestand",IF(CI1469=1,CJ1469,IF(LEFT(Cockpit!$O$5,1)="B",BG1469,MAX(BG1469,H1469))),ROUNDUP(BE1469,0)))</f>
        <v>3</v>
      </c>
      <c r="BB1469" s="62" t="n">
        <f aca="false">IF(CA1469=1,0,ROUNDUP(BA1469/BZ1469,0))</f>
        <v>2</v>
      </c>
      <c r="BC1469" s="64" t="n">
        <f aca="false">IF(CR1469&gt;0,CR1469*MAX(1,BA1469/X1469),IF(CA1469=1,IF(BA1469&lt;=0,0,CE1469*MAX(1,IF(H1469&gt;0,BA1469/H1469,1))),IF(R1469&gt;0,BB1469/R1469,0))/MAX(0.1,N(Parameter!$M$21)))</f>
        <v>0.5</v>
      </c>
      <c r="BD1469" s="62" t="n">
        <f aca="false">BC1469*CC1469</f>
        <v>117.5</v>
      </c>
      <c r="BE1469" s="63" t="n">
        <f aca="false">IF(LEFT(Cockpit!$O$5,1)="A",H1469,IF(CI1469=1,(CL1469+CJ1469)/2,IF(LEFT(Cockpit!$O$5,1)="B",(CL1469+BG1469)/2,MAX((CL1469+BG1469)/2,H1469))))</f>
        <v>3</v>
      </c>
      <c r="BF1469" s="62" t="n">
        <f aca="false">BE1469*G1469</f>
        <v>34238.97</v>
      </c>
      <c r="BG1469" s="62" t="n">
        <f aca="false">ROUNDUP(CL1469+MAX(CM1469,2*(J1469/IF(CH1469&gt;0,CH1469,MAX(0.1,N(Cockpit!$O$6)))-CL1469)),0)</f>
        <v>4</v>
      </c>
      <c r="BH1469" s="63" t="n">
        <f aca="false">IF(BD1469&gt;0,J1469/BD1469,-1)</f>
        <v>0.102127659574468</v>
      </c>
      <c r="BI1469" s="63" t="str">
        <f aca="false">IF(AND(OR(CG1469="L1",CG1469="L23",CG1469="LIFT"),BD1469&gt;0),SUMIFS($BD$7:$BD$1843,$CG$7:$CG$1843,CG1469,$BH$7:$BH$1843,"&gt;"&amp;BH1469)+SUMIFS($BD$7:$BD$1843,$CG$7:$CG$1843,CG1469,$BH$7:$BH$1843,BH1469,$BX$7:$BX$1843,"&lt;="&amp;BX1469),"")</f>
        <v/>
      </c>
      <c r="BJ1469" s="70" t="n">
        <f aca="false">IF(BI1469="",0,MAX(0,MIN(1,(IF(CG1469="L1",Parameter!$H$5,IF(CG1469="L23",Parameter!$H$6+Parameter!$H$7,Parameter!$H$5+Parameter!$H$6+Parameter!$H$7))-(BI1469-BD1469))/BD1469)))</f>
        <v>0</v>
      </c>
      <c r="BK1469" s="60" t="str">
        <f aca="false">IF(AJ1469&lt;=0,"",IF(CG1469="Aussen","Aussenlager",IF(CG1469="-","Nicht im Lift",IF(AP1469&gt;=1,"Lift",IF(AP1469&lt;=0,"Aussenlager","teilweise")))))</f>
        <v/>
      </c>
      <c r="BL1469" s="60" t="str">
        <f aca="false">IF(AT1469&lt;=0,"",IF(CG1469="Aussen","Aussenlager",IF(CG1469="-","Nicht im Lift",IF(AZ1469&gt;=1,"Lift",IF(AZ1469&lt;=0,"Aussenlager","teilweise")))))</f>
        <v>Nicht im Lift</v>
      </c>
      <c r="BM1469" s="60" t="str">
        <f aca="false">IF(BD1469&lt;=0,"",IF(CG1469="Aussen","Aussenlager",IF(CG1469="-","Nicht im Lift",IF(BJ1469&gt;=1,"Lift",IF(BJ1469&lt;=0,"Aussenlager","teilweise")))))</f>
        <v>Nicht im Lift</v>
      </c>
      <c r="BN1469" s="60" t="str">
        <f aca="false">IF(A1469="","",IF(BW1469=1,"Neu; ","")&amp;IF(AND(BW1469=0,BR1469&lt;0),"negativer Bestand (Export "&amp;BR1469&amp;"); ","")&amp;IF(J1469&lt;=0,"Kein Verbrauch; ","")&amp;IF(CR1469&gt;0,"Lift "&amp;W1469&amp;" lt. Liftbericht (Fach "&amp;X1469&amp;" Stk); ",IF(CB1469=1,"Gebinde geschätzt ("&amp;T1469&amp;"); ",IF(CA1469=1,"Lose – Tablare geschätzt; ","")))&amp;IF(H1469&gt;AW1469,"Überbestand "&amp;ROUND(H1469-AW1469,0)&amp;" Stk / CHF "&amp;ROUND((H1469-AW1469)*G1469,0)&amp;"; ","")&amp;IF(AND(CI1469=1,CJ1469&lt;CK1469),"MAX &lt; MB+LG; ","")&amp;IF(AND(CQ1469&gt;0,CP1469*10&gt;CQ1469),"zu hoch für Tablar; ","")&amp;IF(AND(BW1469=0,OR(CI1469=1,AB1469&lt;&gt;"",U1469&lt;&gt;"",V1469&lt;&gt;"",AC1469&lt;&gt;"")),"manuell übersteuert; ","")&amp;IF(AND(CA1469=0,R1469=0),"Gebinde unbekannt / Stellmass fehlt; ","")&amp;IF(AND(CA1469=0,N(V1469)&lt;=0,N(Q1469)&lt;=0),"Menge pro Gebinde fehlt (Ist = 1 Gebinde); ","")&amp;BV1469)</f>
        <v>negativer Bestand (Export -7); Gebinde geschätzt (Gross); Menge pro Gebinde fehlt (Ist = 1 Gebinde); </v>
      </c>
      <c r="BO1469" s="60"/>
      <c r="BP1469" s="60"/>
      <c r="BQ1469" s="67"/>
      <c r="BR1469" s="62" t="n">
        <v>-7</v>
      </c>
      <c r="BS1469" s="62" t="n">
        <v>0</v>
      </c>
      <c r="BT1469" s="61" t="n">
        <v>-66765.84</v>
      </c>
      <c r="BU1469" s="62" t="n">
        <v>12</v>
      </c>
      <c r="BV1469" s="60"/>
      <c r="BW1469" s="65" t="n">
        <v>0</v>
      </c>
      <c r="BX1469" s="65" t="n">
        <v>1469</v>
      </c>
      <c r="BY1469" s="60" t="str">
        <f aca="false">IF(U1469&lt;&gt;"",UPPER(TRIM(U1469)),IF(CB1469=1,UPPER(VLOOKUP(T1469,Parameter!$I$27:$K$29,2,0)),IF(P1469="","LOSE",P1469)))</f>
        <v>S81</v>
      </c>
      <c r="BZ1469" s="62" t="n">
        <f aca="false">IF(BY1469="LOSE",1,IF(N(V1469)&gt;0,V1469,IF(CB1469=1,MAX(1,N(VLOOKUP(T1469,Parameter!$I$27:$K$29,3,0)),H1469,N(N1469)),IF(N(Q1469)&gt;0,Q1469,MAX(1,H1469)))))</f>
        <v>2</v>
      </c>
      <c r="CA1469" s="65" t="n">
        <f aca="false">IF(BY1469="LOSE",1,0)</f>
        <v>0</v>
      </c>
      <c r="CB1469" s="65" t="n">
        <f aca="false">IF(AND(U1469="",OR(P1469="",P1469="LOSE"),T1469&lt;&gt;"",N(S1469)&lt;=0,ISNUMBER(MATCH(T1469,Parameter!$I$27:$I$29,0))),1,0)</f>
        <v>1</v>
      </c>
      <c r="CC1469" s="65" t="n">
        <f aca="false">IF(CR1469&gt;0,INDEX(Parameter!$H$5:$H$7,W1469)/INDEX(Parameter!$E$5:$E$7,W1469),IF(AND(CA1469=0,N(IFERROR(VLOOKUP(BY1469,'Gebinde-Kategorie'!$A$5:$N$45,14,0),0))&gt;0),VLOOKUP(BY1469,'Gebinde-Kategorie'!$A$5:$N$45,14,0)*10+Parameter!$M$23,Parameter!$M$24))</f>
        <v>235</v>
      </c>
      <c r="CD1469" s="60" t="str">
        <f aca="false">IF(AND(Parameter!$B$19="Ja",E1469&lt;&gt;"",ISNUMBER(MATCH(E1469,Parameter!$I$35:$I$52,0))),VLOOKUP(E1469,Parameter!$I$35:$J$52,2,0),IFERROR(VLOOKUP(D1469,Parameter!$A$35:$C$64,2,0),"Nein"))</f>
        <v>Nein</v>
      </c>
      <c r="CE1469" s="64" t="n">
        <f aca="false">IF(CA1469=0,0,IF(N(S1469)&gt;0,S1469,IFERROR(VLOOKUP(D1469,Parameter!$A$35:$C$64,3,0)+0,0)))</f>
        <v>0</v>
      </c>
      <c r="CF1469" s="60" t="str">
        <f aca="false">IF(AB1469&lt;&gt;"",AB1469,AA1469)</f>
        <v>-</v>
      </c>
      <c r="CG1469" s="60" t="str">
        <f aca="false">IF(OR(CF1469=1,CF1469=2,CF1469=3),IF(Parameter!$E$27="Ja","LIFT",IF(CF1469=1,"L1","L23")),IF(CF1469="Aussen","Aussen","-"))</f>
        <v>-</v>
      </c>
      <c r="CH1469" s="71" t="n">
        <f aca="false">IF(N(AC1469)&gt;0,AC1469,0)</f>
        <v>0</v>
      </c>
      <c r="CI1469" s="65" t="n">
        <f aca="false">IF(ISNUMBER(AF1469),1,0)</f>
        <v>0</v>
      </c>
      <c r="CJ1469" s="62" t="n">
        <f aca="false">N(AF1469)</f>
        <v>0</v>
      </c>
      <c r="CK1469" s="62" t="n">
        <f aca="false">N(M1469)+N(N1469)</f>
        <v>3</v>
      </c>
      <c r="CL1469" s="62" t="n">
        <f aca="false">N(M1469)</f>
        <v>2</v>
      </c>
      <c r="CM1469" s="62" t="n">
        <f aca="false">N(N1469)</f>
        <v>1</v>
      </c>
      <c r="CN1469" s="62" t="n">
        <f aca="false">ROUNDUP(H1469/BZ1469,0)</f>
        <v>0</v>
      </c>
      <c r="CO1469" s="62" t="n">
        <f aca="false">ROUNDUP(CJ1469/BZ1469,0)</f>
        <v>0</v>
      </c>
      <c r="CP1469" s="65" t="n">
        <f aca="false">IF(CA1469=1,0,IFERROR(VLOOKUP(BY1469,'Gebinde-Kategorie'!$A$5:$N$45,5,0)+0,0))</f>
        <v>20</v>
      </c>
      <c r="CQ1469" s="65" t="n">
        <f aca="false">IFERROR(IF(OR(CF1469=1,CF1469=2,CF1469=3),N(INDEX(Parameter!$I$5:$I$7,CF1469)),0),0)</f>
        <v>0</v>
      </c>
      <c r="CR1469" s="64" t="n">
        <f aca="false">IF(AND(Parameter!$B$21="Ja",ISNUMBER(W1469),N(X1469)&gt;0),IFERROR(N(INDEX(Parameter!$L$5:$L$7,W1469))*INDEX(Parameter!$E$5:$E$7,W1469)*X1469/SUMIFS($X$7:$X$1843,$W$7:$W$1843,W1469),0),0)</f>
        <v>0</v>
      </c>
      <c r="CS1469" s="62" t="str">
        <f aca="false">IF(AND(OR(CG1469="L1",CG1469="L23",CG1469="LIFT"),H1469&gt;0),CC1469*IF(CR1469&gt;0,CR1469*MAX(1,H1469/X1469),IF(CA1469=1,CE1469,IF(R1469&gt;0,CN1469/R1469,0))/MAX(0.1,N(Parameter!$M$21))),"")</f>
        <v/>
      </c>
      <c r="CT1469" s="64" t="str">
        <f aca="false">IF(CS1469="","",J1469/H1469)</f>
        <v/>
      </c>
      <c r="CU1469" s="62" t="str">
        <f aca="false">IF(CS1469="","",H1469*G1469)</f>
        <v/>
      </c>
      <c r="CV1469" s="63" t="str">
        <f aca="false">IF(CS1469="","",(CL1469+ROUNDUP(CL1469+MAX(CM1469,2*(J1469/MAX(0.1,N(Einkauf!$C$6))-CL1469)),0))/2)</f>
        <v/>
      </c>
      <c r="CW1469" s="62" t="str">
        <f aca="false">IF(CS1469="","",MAX(0,H1469-CV1469)*G1469)</f>
        <v/>
      </c>
      <c r="CX1469" s="62" t="str">
        <f aca="false">IF(CS1469="","",CS1469*MAX(0,1-CV1469/H1469))</f>
        <v/>
      </c>
      <c r="CY1469" s="64" t="str">
        <f aca="false">IF(CS1469="","",PERCENTRANK($CS$7:$CS$1843,CS1469)+PERCENTRANK($CU$7:$CU$1843,CU1469)+1-PERCENTRANK($CT$7:$CT$1843,CT1469))</f>
        <v/>
      </c>
      <c r="CZ1469" s="72" t="str">
        <f aca="false">IF(CS1469="","",CHOOSE(MATCH(Einkauf!$C$5,Parameter!$G$23:$G$27,0),CY1469,CS1469,CU1469,-CT1469,CW1469)+ROW()/1000000000)</f>
        <v/>
      </c>
    </row>
    <row r="1470" customFormat="false" ht="15" hidden="false" customHeight="false" outlineLevel="0" collapsed="false">
      <c r="A1470" s="60" t="s">
        <v>2608</v>
      </c>
      <c r="B1470" s="60" t="s">
        <v>238</v>
      </c>
      <c r="C1470" s="60" t="s">
        <v>498</v>
      </c>
      <c r="D1470" s="60" t="s">
        <v>215</v>
      </c>
      <c r="E1470" s="60" t="s">
        <v>208</v>
      </c>
      <c r="F1470" s="60"/>
      <c r="G1470" s="61" t="n">
        <v>4545.65</v>
      </c>
      <c r="H1470" s="62" t="n">
        <f aca="false">MAX(0,IF(AND(Parameter!$B$21="Ja",ISNUMBER(Y1470)),Y1470,IF(Parameter!$B$20="Jahresanfang 2025 + Export",BS1470+BR1470,BR1470)))</f>
        <v>0</v>
      </c>
      <c r="I1470" s="62" t="n">
        <f aca="false">H1470*G1470</f>
        <v>0</v>
      </c>
      <c r="J1470" s="62" t="n">
        <f aca="false">BU1470*Parameter!$B$18</f>
        <v>49</v>
      </c>
      <c r="K1470" s="63"/>
      <c r="L1470" s="64"/>
      <c r="M1470" s="62" t="n">
        <v>0</v>
      </c>
      <c r="N1470" s="62" t="n">
        <v>3</v>
      </c>
      <c r="O1470" s="65"/>
      <c r="P1470" s="60" t="s">
        <v>210</v>
      </c>
      <c r="Q1470" s="62"/>
      <c r="R1470" s="65" t="n">
        <f aca="false">IF(CA1470=1,0,IFERROR(VLOOKUP(BY1470,'Gebinde-Kategorie'!$A$5:$N$45,13,0)+0,0))</f>
        <v>12</v>
      </c>
      <c r="S1470" s="66"/>
      <c r="T1470" s="67" t="s">
        <v>221</v>
      </c>
      <c r="U1470" s="67"/>
      <c r="V1470" s="67"/>
      <c r="W1470" s="60"/>
      <c r="X1470" s="62"/>
      <c r="Y1470" s="62"/>
      <c r="Z1470" s="60" t="n">
        <v>3</v>
      </c>
      <c r="AA1470" s="60" t="n">
        <f aca="false">IF(A1470="","",IF(AND(Parameter!$B$21="Ja",ISNUMBER(W1470)),W1470,IF(AND(Parameter!$E$27="Ja",ISNUMBER(Z1470),CD1470&lt;&gt;"Nein"),Z1470,IF(CD1470="2+3",IF(ISNUMBER(SEARCH("grosser Artikel",BV1470)),2,IFERROR(VLOOKUP(BY1470,Parameter!$F$35:$G$64,2,0),2)),IF(OR(CD1470="Nein",CD1470=""),"-",CD1470)))))</f>
        <v>3</v>
      </c>
      <c r="AB1470" s="67"/>
      <c r="AC1470" s="68"/>
      <c r="AD1470" s="62" t="n">
        <f aca="false">AW1470</f>
        <v>33</v>
      </c>
      <c r="AE1470" s="62" t="n">
        <f aca="false">MAX(AW1470,H1470)</f>
        <v>33</v>
      </c>
      <c r="AF1470" s="69"/>
      <c r="AG1470" s="62" t="n">
        <f aca="false">IF(LEFT(Cockpit!$C$5,1)="A",H1470,IF(Parameter!$E$30="MAX-Bestand",IF(CI1470=1,CJ1470,IF(LEFT(Cockpit!$C$5,1)="B",AM1470,MAX(AM1470,H1470))),ROUNDUP(AK1470,0)))</f>
        <v>0</v>
      </c>
      <c r="AH1470" s="62" t="n">
        <f aca="false">IF(CA1470=1,0,ROUNDUP(AG1470/BZ1470,0))</f>
        <v>0</v>
      </c>
      <c r="AI1470" s="64" t="n">
        <f aca="false">IF(CR1470&gt;0,CR1470*MAX(1,AG1470/X1470),IF(CA1470=1,IF(AG1470&lt;=0,0,CE1470*MAX(1,IF(H1470&gt;0,AG1470/H1470,1))),IF(R1470&gt;0,AH1470/R1470,0))/MAX(0.1,N(Parameter!$M$21)))</f>
        <v>0</v>
      </c>
      <c r="AJ1470" s="62" t="n">
        <f aca="false">AI1470*CC1470</f>
        <v>0</v>
      </c>
      <c r="AK1470" s="63" t="n">
        <f aca="false">IF(LEFT(Cockpit!$C$5,1)="A",H1470,IF(CI1470=1,(CL1470+CJ1470)/2,IF(LEFT(Cockpit!$C$5,1)="B",(CL1470+AM1470)/2,MAX((CL1470+AM1470)/2,H1470))))</f>
        <v>0</v>
      </c>
      <c r="AL1470" s="62" t="n">
        <f aca="false">AK1470*G1470</f>
        <v>0</v>
      </c>
      <c r="AM1470" s="62" t="n">
        <f aca="false">ROUNDUP(CL1470+MAX(CM1470,2*(J1470/IF(CH1470&gt;0,CH1470,MAX(0.1,N(Cockpit!$C$6)))-CL1470)),0)</f>
        <v>33</v>
      </c>
      <c r="AN1470" s="63" t="n">
        <f aca="false">IF(AJ1470&gt;0,J1470/AJ1470,-1)</f>
        <v>-1</v>
      </c>
      <c r="AO1470" s="63" t="str">
        <f aca="false">IF(AND(OR(CG1470="L1",CG1470="L23",CG1470="LIFT"),AJ1470&gt;0),SUMIFS($AJ$7:$AJ$1843,$CG$7:$CG$1843,CG1470,$AN$7:$AN$1843,"&gt;"&amp;AN1470)+SUMIFS($AJ$7:$AJ$1843,$CG$7:$CG$1843,CG1470,$AN$7:$AN$1843,AN1470,$BX$7:$BX$1843,"&lt;="&amp;BX1470),"")</f>
        <v/>
      </c>
      <c r="AP1470" s="70" t="n">
        <f aca="false">IF(AO1470="",0,MAX(0,MIN(1,(IF(CG1470="L1",Parameter!$H$5,IF(CG1470="L23",Parameter!$H$6+Parameter!$H$7,Parameter!$H$5+Parameter!$H$6+Parameter!$H$7))-(AO1470-AJ1470))/AJ1470)))</f>
        <v>0</v>
      </c>
      <c r="AQ1470" s="62" t="n">
        <f aca="false">IF(LEFT(Cockpit!$I$5,1)="A",H1470,IF(Parameter!$E$30="MAX-Bestand",IF(CI1470=1,CJ1470,IF(LEFT(Cockpit!$I$5,1)="B",AW1470,MAX(AW1470,H1470))),ROUNDUP(AU1470,0)))</f>
        <v>17</v>
      </c>
      <c r="AR1470" s="62" t="n">
        <f aca="false">IF(CA1470=1,0,ROUNDUP(AQ1470/BZ1470,0))</f>
        <v>5</v>
      </c>
      <c r="AS1470" s="64" t="n">
        <f aca="false">IF(CR1470&gt;0,CR1470*MAX(1,AQ1470/X1470),IF(CA1470=1,IF(AQ1470&lt;=0,0,CE1470*MAX(1,IF(H1470&gt;0,AQ1470/H1470,1))),IF(R1470&gt;0,AR1470/R1470,0))/MAX(0.1,N(Parameter!$M$21)))</f>
        <v>0.416666666666667</v>
      </c>
      <c r="AT1470" s="62" t="n">
        <f aca="false">AS1470*CC1470</f>
        <v>60.4166666666667</v>
      </c>
      <c r="AU1470" s="63" t="n">
        <f aca="false">IF(LEFT(Cockpit!$I$5,1)="A",H1470,IF(CI1470=1,(CL1470+CJ1470)/2,IF(LEFT(Cockpit!$I$5,1)="B",(CL1470+AW1470)/2,MAX((CL1470+AW1470)/2,H1470))))</f>
        <v>16.5</v>
      </c>
      <c r="AV1470" s="62" t="n">
        <f aca="false">AU1470*G1470</f>
        <v>75003.225</v>
      </c>
      <c r="AW1470" s="62" t="n">
        <f aca="false">ROUNDUP(CL1470+MAX(CM1470,2*(J1470/IF(CH1470&gt;0,CH1470,MAX(0.1,N(Cockpit!$I$6)))-CL1470)),0)</f>
        <v>33</v>
      </c>
      <c r="AX1470" s="63" t="n">
        <f aca="false">IF(AT1470&gt;0,J1470/AT1470,-1)</f>
        <v>0.811034482758621</v>
      </c>
      <c r="AY1470" s="63" t="n">
        <f aca="false">IF(AND(OR(CG1470="L1",CG1470="L23",CG1470="LIFT"),AT1470&gt;0),SUMIFS($AT$7:$AT$1843,$CG$7:$CG$1843,CG1470,$AX$7:$AX$1843,"&gt;"&amp;AX1470)+SUMIFS($AT$7:$AT$1843,$CG$7:$CG$1843,CG1470,$AX$7:$AX$1843,AX1470,$BX$7:$BX$1843,"&lt;="&amp;BX1470),"")</f>
        <v>10159.5265567766</v>
      </c>
      <c r="AZ1470" s="70" t="n">
        <f aca="false">IF(AY1470="",0,MAX(0,MIN(1,(IF(CG1470="L1",Parameter!$H$5,IF(CG1470="L23",Parameter!$H$6+Parameter!$H$7,Parameter!$H$5+Parameter!$H$6+Parameter!$H$7))-(AY1470-AT1470))/AT1470)))</f>
        <v>1</v>
      </c>
      <c r="BA1470" s="62" t="n">
        <f aca="false">IF(LEFT(Cockpit!$O$5,1)="A",H1470,IF(Parameter!$E$30="MAX-Bestand",IF(CI1470=1,CJ1470,IF(LEFT(Cockpit!$O$5,1)="B",BG1470,MAX(BG1470,H1470))),ROUNDUP(BE1470,0)))</f>
        <v>13</v>
      </c>
      <c r="BB1470" s="62" t="n">
        <f aca="false">IF(CA1470=1,0,ROUNDUP(BA1470/BZ1470,0))</f>
        <v>4</v>
      </c>
      <c r="BC1470" s="64" t="n">
        <f aca="false">IF(CR1470&gt;0,CR1470*MAX(1,BA1470/X1470),IF(CA1470=1,IF(BA1470&lt;=0,0,CE1470*MAX(1,IF(H1470&gt;0,BA1470/H1470,1))),IF(R1470&gt;0,BB1470/R1470,0))/MAX(0.1,N(Parameter!$M$21)))</f>
        <v>0.333333333333333</v>
      </c>
      <c r="BD1470" s="62" t="n">
        <f aca="false">BC1470*CC1470</f>
        <v>48.3333333333333</v>
      </c>
      <c r="BE1470" s="63" t="n">
        <f aca="false">IF(LEFT(Cockpit!$O$5,1)="A",H1470,IF(CI1470=1,(CL1470+CJ1470)/2,IF(LEFT(Cockpit!$O$5,1)="B",(CL1470+BG1470)/2,MAX((CL1470+BG1470)/2,H1470))))</f>
        <v>12.5</v>
      </c>
      <c r="BF1470" s="62" t="n">
        <f aca="false">BE1470*G1470</f>
        <v>56820.625</v>
      </c>
      <c r="BG1470" s="62" t="n">
        <f aca="false">ROUNDUP(CL1470+MAX(CM1470,2*(J1470/IF(CH1470&gt;0,CH1470,MAX(0.1,N(Cockpit!$O$6)))-CL1470)),0)</f>
        <v>25</v>
      </c>
      <c r="BH1470" s="63" t="n">
        <f aca="false">IF(BD1470&gt;0,J1470/BD1470,-1)</f>
        <v>1.01379310344828</v>
      </c>
      <c r="BI1470" s="63" t="n">
        <f aca="false">IF(AND(OR(CG1470="L1",CG1470="L23",CG1470="LIFT"),BD1470&gt;0),SUMIFS($BD$7:$BD$1843,$CG$7:$CG$1843,CG1470,$BH$7:$BH$1843,"&gt;"&amp;BH1470)+SUMIFS($BD$7:$BD$1843,$CG$7:$CG$1843,CG1470,$BH$7:$BH$1843,BH1470,$BX$7:$BX$1843,"&lt;="&amp;BX1470),"")</f>
        <v>7578.89331501832</v>
      </c>
      <c r="BJ1470" s="70" t="n">
        <f aca="false">IF(BI1470="",0,MAX(0,MIN(1,(IF(CG1470="L1",Parameter!$H$5,IF(CG1470="L23",Parameter!$H$6+Parameter!$H$7,Parameter!$H$5+Parameter!$H$6+Parameter!$H$7))-(BI1470-BD1470))/BD1470)))</f>
        <v>1</v>
      </c>
      <c r="BK1470" s="60" t="str">
        <f aca="false">IF(AJ1470&lt;=0,"",IF(CG1470="Aussen","Aussenlager",IF(CG1470="-","Nicht im Lift",IF(AP1470&gt;=1,"Lift",IF(AP1470&lt;=0,"Aussenlager","teilweise")))))</f>
        <v/>
      </c>
      <c r="BL1470" s="60" t="str">
        <f aca="false">IF(AT1470&lt;=0,"",IF(CG1470="Aussen","Aussenlager",IF(CG1470="-","Nicht im Lift",IF(AZ1470&gt;=1,"Lift",IF(AZ1470&lt;=0,"Aussenlager","teilweise")))))</f>
        <v>Lift</v>
      </c>
      <c r="BM1470" s="60" t="str">
        <f aca="false">IF(BD1470&lt;=0,"",IF(CG1470="Aussen","Aussenlager",IF(CG1470="-","Nicht im Lift",IF(BJ1470&gt;=1,"Lift",IF(BJ1470&lt;=0,"Aussenlager","teilweise")))))</f>
        <v>Lift</v>
      </c>
      <c r="BN1470" s="60" t="str">
        <f aca="false">IF(A1470="","",IF(BW1470=1,"Neu; ","")&amp;IF(AND(BW1470=0,BR1470&lt;0),"negativer Bestand (Export "&amp;BR1470&amp;"); ","")&amp;IF(J1470&lt;=0,"Kein Verbrauch; ","")&amp;IF(CR1470&gt;0,"Lift "&amp;W1470&amp;" lt. Liftbericht (Fach "&amp;X1470&amp;" Stk); ",IF(CB1470=1,"Gebinde geschätzt ("&amp;T1470&amp;"); ",IF(CA1470=1,"Lose – Tablare geschätzt; ","")))&amp;IF(H1470&gt;AW1470,"Überbestand "&amp;ROUND(H1470-AW1470,0)&amp;" Stk / CHF "&amp;ROUND((H1470-AW1470)*G1470,0)&amp;"; ","")&amp;IF(AND(CI1470=1,CJ1470&lt;CK1470),"MAX &lt; MB+LG; ","")&amp;IF(AND(CQ1470&gt;0,CP1470*10&gt;CQ1470),"zu hoch für Tablar; ","")&amp;IF(AND(BW1470=0,OR(CI1470=1,AB1470&lt;&gt;"",U1470&lt;&gt;"",V1470&lt;&gt;"",AC1470&lt;&gt;"")),"manuell übersteuert; ","")&amp;IF(AND(CA1470=0,R1470=0),"Gebinde unbekannt / Stellmass fehlt; ","")&amp;IF(AND(CA1470=0,N(V1470)&lt;=0,N(Q1470)&lt;=0),"Menge pro Gebinde fehlt (Ist = 1 Gebinde); ","")&amp;BV1470)</f>
        <v>negativer Bestand (Export -21); Gebinde geschätzt (Mittel); Menge pro Gebinde fehlt (Ist = 1 Gebinde); </v>
      </c>
      <c r="BO1470" s="60"/>
      <c r="BP1470" s="60"/>
      <c r="BQ1470" s="67"/>
      <c r="BR1470" s="62" t="n">
        <v>-21</v>
      </c>
      <c r="BS1470" s="62" t="n">
        <v>0</v>
      </c>
      <c r="BT1470" s="61" t="n">
        <v>-95302.94</v>
      </c>
      <c r="BU1470" s="62" t="n">
        <v>49</v>
      </c>
      <c r="BV1470" s="60"/>
      <c r="BW1470" s="65" t="n">
        <v>0</v>
      </c>
      <c r="BX1470" s="65" t="n">
        <v>1470</v>
      </c>
      <c r="BY1470" s="60" t="str">
        <f aca="false">IF(U1470&lt;&gt;"",UPPER(TRIM(U1470)),IF(CB1470=1,UPPER(VLOOKUP(T1470,Parameter!$I$27:$K$29,2,0)),IF(P1470="","LOSE",P1470)))</f>
        <v>S61</v>
      </c>
      <c r="BZ1470" s="62" t="n">
        <f aca="false">IF(BY1470="LOSE",1,IF(N(V1470)&gt;0,V1470,IF(CB1470=1,MAX(1,N(VLOOKUP(T1470,Parameter!$I$27:$K$29,3,0)),H1470,N(N1470)),IF(N(Q1470)&gt;0,Q1470,MAX(1,H1470)))))</f>
        <v>4</v>
      </c>
      <c r="CA1470" s="65" t="n">
        <f aca="false">IF(BY1470="LOSE",1,0)</f>
        <v>0</v>
      </c>
      <c r="CB1470" s="65" t="n">
        <f aca="false">IF(AND(U1470="",OR(P1470="",P1470="LOSE"),T1470&lt;&gt;"",N(S1470)&lt;=0,ISNUMBER(MATCH(T1470,Parameter!$I$27:$I$29,0))),1,0)</f>
        <v>1</v>
      </c>
      <c r="CC1470" s="65" t="n">
        <f aca="false">IF(CR1470&gt;0,INDEX(Parameter!$H$5:$H$7,W1470)/INDEX(Parameter!$E$5:$E$7,W1470),IF(AND(CA1470=0,N(IFERROR(VLOOKUP(BY1470,'Gebinde-Kategorie'!$A$5:$N$45,14,0),0))&gt;0),VLOOKUP(BY1470,'Gebinde-Kategorie'!$A$5:$N$45,14,0)*10+Parameter!$M$23,Parameter!$M$24))</f>
        <v>145</v>
      </c>
      <c r="CD1470" s="60" t="n">
        <f aca="false">IF(AND(Parameter!$B$19="Ja",E1470&lt;&gt;"",ISNUMBER(MATCH(E1470,Parameter!$I$35:$I$52,0))),VLOOKUP(E1470,Parameter!$I$35:$J$52,2,0),IFERROR(VLOOKUP(D1470,Parameter!$A$35:$C$64,2,0),"Nein"))</f>
        <v>1</v>
      </c>
      <c r="CE1470" s="64" t="n">
        <f aca="false">IF(CA1470=0,0,IF(N(S1470)&gt;0,S1470,IFERROR(VLOOKUP(D1470,Parameter!$A$35:$C$64,3,0)+0,0)))</f>
        <v>0</v>
      </c>
      <c r="CF1470" s="60" t="n">
        <f aca="false">IF(AB1470&lt;&gt;"",AB1470,AA1470)</f>
        <v>3</v>
      </c>
      <c r="CG1470" s="60" t="str">
        <f aca="false">IF(OR(CF1470=1,CF1470=2,CF1470=3),IF(Parameter!$E$27="Ja","LIFT",IF(CF1470=1,"L1","L23")),IF(CF1470="Aussen","Aussen","-"))</f>
        <v>LIFT</v>
      </c>
      <c r="CH1470" s="71" t="n">
        <f aca="false">IF(N(AC1470)&gt;0,AC1470,0)</f>
        <v>0</v>
      </c>
      <c r="CI1470" s="65" t="n">
        <f aca="false">IF(ISNUMBER(AF1470),1,0)</f>
        <v>0</v>
      </c>
      <c r="CJ1470" s="62" t="n">
        <f aca="false">N(AF1470)</f>
        <v>0</v>
      </c>
      <c r="CK1470" s="62" t="n">
        <f aca="false">N(M1470)+N(N1470)</f>
        <v>3</v>
      </c>
      <c r="CL1470" s="62" t="n">
        <f aca="false">N(M1470)</f>
        <v>0</v>
      </c>
      <c r="CM1470" s="62" t="n">
        <f aca="false">N(N1470)</f>
        <v>3</v>
      </c>
      <c r="CN1470" s="62" t="n">
        <f aca="false">ROUNDUP(H1470/BZ1470,0)</f>
        <v>0</v>
      </c>
      <c r="CO1470" s="62" t="n">
        <f aca="false">ROUNDUP(CJ1470/BZ1470,0)</f>
        <v>0</v>
      </c>
      <c r="CP1470" s="65" t="n">
        <f aca="false">IF(CA1470=1,0,IFERROR(VLOOKUP(BY1470,'Gebinde-Kategorie'!$A$5:$N$45,5,0)+0,0))</f>
        <v>11</v>
      </c>
      <c r="CQ1470" s="65" t="n">
        <f aca="false">IFERROR(IF(OR(CF1470=1,CF1470=2,CF1470=3),N(INDEX(Parameter!$I$5:$I$7,CF1470)),0),0)</f>
        <v>0</v>
      </c>
      <c r="CR1470" s="64" t="n">
        <f aca="false">IF(AND(Parameter!$B$21="Ja",ISNUMBER(W1470),N(X1470)&gt;0),IFERROR(N(INDEX(Parameter!$L$5:$L$7,W1470))*INDEX(Parameter!$E$5:$E$7,W1470)*X1470/SUMIFS($X$7:$X$1843,$W$7:$W$1843,W1470),0),0)</f>
        <v>0</v>
      </c>
      <c r="CS1470" s="62" t="str">
        <f aca="false">IF(AND(OR(CG1470="L1",CG1470="L23",CG1470="LIFT"),H1470&gt;0),CC1470*IF(CR1470&gt;0,CR1470*MAX(1,H1470/X1470),IF(CA1470=1,CE1470,IF(R1470&gt;0,CN1470/R1470,0))/MAX(0.1,N(Parameter!$M$21))),"")</f>
        <v/>
      </c>
      <c r="CT1470" s="64" t="str">
        <f aca="false">IF(CS1470="","",J1470/H1470)</f>
        <v/>
      </c>
      <c r="CU1470" s="62" t="str">
        <f aca="false">IF(CS1470="","",H1470*G1470)</f>
        <v/>
      </c>
      <c r="CV1470" s="63" t="str">
        <f aca="false">IF(CS1470="","",(CL1470+ROUNDUP(CL1470+MAX(CM1470,2*(J1470/MAX(0.1,N(Einkauf!$C$6))-CL1470)),0))/2)</f>
        <v/>
      </c>
      <c r="CW1470" s="62" t="str">
        <f aca="false">IF(CS1470="","",MAX(0,H1470-CV1470)*G1470)</f>
        <v/>
      </c>
      <c r="CX1470" s="62" t="str">
        <f aca="false">IF(CS1470="","",CS1470*MAX(0,1-CV1470/H1470))</f>
        <v/>
      </c>
      <c r="CY1470" s="64" t="str">
        <f aca="false">IF(CS1470="","",PERCENTRANK($CS$7:$CS$1843,CS1470)+PERCENTRANK($CU$7:$CU$1843,CU1470)+1-PERCENTRANK($CT$7:$CT$1843,CT1470))</f>
        <v/>
      </c>
      <c r="CZ1470" s="72" t="str">
        <f aca="false">IF(CS1470="","",CHOOSE(MATCH(Einkauf!$C$5,Parameter!$G$23:$G$27,0),CY1470,CS1470,CU1470,-CT1470,CW1470)+ROW()/1000000000)</f>
        <v/>
      </c>
    </row>
    <row r="1471" customFormat="false" ht="15" hidden="false" customHeight="false" outlineLevel="0" collapsed="false">
      <c r="A1471" s="60" t="s">
        <v>2609</v>
      </c>
      <c r="B1471" s="60" t="s">
        <v>2610</v>
      </c>
      <c r="C1471" s="60" t="s">
        <v>206</v>
      </c>
      <c r="D1471" s="60" t="s">
        <v>226</v>
      </c>
      <c r="E1471" s="60" t="s">
        <v>227</v>
      </c>
      <c r="F1471" s="60"/>
      <c r="G1471" s="61" t="n">
        <v>6.47</v>
      </c>
      <c r="H1471" s="62" t="n">
        <f aca="false">MAX(0,IF(AND(Parameter!$B$21="Ja",ISNUMBER(Y1471)),Y1471,IF(Parameter!$B$20="Jahresanfang 2025 + Export",BS1471+BR1471,BR1471)))</f>
        <v>34</v>
      </c>
      <c r="I1471" s="62" t="n">
        <f aca="false">H1471*G1471</f>
        <v>219.98</v>
      </c>
      <c r="J1471" s="62" t="n">
        <f aca="false">BU1471*Parameter!$B$18</f>
        <v>0</v>
      </c>
      <c r="K1471" s="63"/>
      <c r="L1471" s="64"/>
      <c r="M1471" s="62" t="n">
        <v>0</v>
      </c>
      <c r="N1471" s="62" t="n">
        <v>50</v>
      </c>
      <c r="O1471" s="65" t="n">
        <v>21</v>
      </c>
      <c r="P1471" s="60" t="s">
        <v>344</v>
      </c>
      <c r="Q1471" s="62" t="n">
        <v>34</v>
      </c>
      <c r="R1471" s="65" t="n">
        <f aca="false">IF(CA1471=1,0,IFERROR(VLOOKUP(BY1471,'Gebinde-Kategorie'!$A$5:$N$45,13,0)+0,0))</f>
        <v>26</v>
      </c>
      <c r="S1471" s="66"/>
      <c r="T1471" s="67"/>
      <c r="U1471" s="67"/>
      <c r="V1471" s="67"/>
      <c r="W1471" s="60"/>
      <c r="X1471" s="62"/>
      <c r="Y1471" s="62"/>
      <c r="Z1471" s="60" t="n">
        <v>3</v>
      </c>
      <c r="AA1471" s="60" t="n">
        <f aca="false">IF(A1471="","",IF(AND(Parameter!$B$21="Ja",ISNUMBER(W1471)),W1471,IF(AND(Parameter!$E$27="Ja",ISNUMBER(Z1471),CD1471&lt;&gt;"Nein"),Z1471,IF(CD1471="2+3",IF(ISNUMBER(SEARCH("grosser Artikel",BV1471)),2,IFERROR(VLOOKUP(BY1471,Parameter!$F$35:$G$64,2,0),2)),IF(OR(CD1471="Nein",CD1471=""),"-",CD1471)))))</f>
        <v>3</v>
      </c>
      <c r="AB1471" s="67"/>
      <c r="AC1471" s="68"/>
      <c r="AD1471" s="62" t="n">
        <f aca="false">AW1471</f>
        <v>50</v>
      </c>
      <c r="AE1471" s="62" t="n">
        <f aca="false">MAX(AW1471,H1471)</f>
        <v>50</v>
      </c>
      <c r="AF1471" s="69"/>
      <c r="AG1471" s="62" t="n">
        <f aca="false">IF(LEFT(Cockpit!$C$5,1)="A",H1471,IF(Parameter!$E$30="MAX-Bestand",IF(CI1471=1,CJ1471,IF(LEFT(Cockpit!$C$5,1)="B",AM1471,MAX(AM1471,H1471))),ROUNDUP(AK1471,0)))</f>
        <v>34</v>
      </c>
      <c r="AH1471" s="62" t="n">
        <f aca="false">IF(CA1471=1,0,ROUNDUP(AG1471/BZ1471,0))</f>
        <v>1</v>
      </c>
      <c r="AI1471" s="64" t="n">
        <f aca="false">IF(CR1471&gt;0,CR1471*MAX(1,AG1471/X1471),IF(CA1471=1,IF(AG1471&lt;=0,0,CE1471*MAX(1,IF(H1471&gt;0,AG1471/H1471,1))),IF(R1471&gt;0,AH1471/R1471,0))/MAX(0.1,N(Parameter!$M$21)))</f>
        <v>0.0384615384615385</v>
      </c>
      <c r="AJ1471" s="62" t="n">
        <f aca="false">AI1471*CC1471</f>
        <v>5.96153846153846</v>
      </c>
      <c r="AK1471" s="63" t="n">
        <f aca="false">IF(LEFT(Cockpit!$C$5,1)="A",H1471,IF(CI1471=1,(CL1471+CJ1471)/2,IF(LEFT(Cockpit!$C$5,1)="B",(CL1471+AM1471)/2,MAX((CL1471+AM1471)/2,H1471))))</f>
        <v>34</v>
      </c>
      <c r="AL1471" s="62" t="n">
        <f aca="false">AK1471*G1471</f>
        <v>219.98</v>
      </c>
      <c r="AM1471" s="62" t="n">
        <f aca="false">ROUNDUP(CL1471+MAX(CM1471,2*(J1471/IF(CH1471&gt;0,CH1471,MAX(0.1,N(Cockpit!$C$6)))-CL1471)),0)</f>
        <v>50</v>
      </c>
      <c r="AN1471" s="63" t="n">
        <f aca="false">IF(AJ1471&gt;0,J1471/AJ1471,-1)</f>
        <v>0</v>
      </c>
      <c r="AO1471" s="63" t="n">
        <f aca="false">IF(AND(OR(CG1471="L1",CG1471="L23",CG1471="LIFT"),AJ1471&gt;0),SUMIFS($AJ$7:$AJ$1843,$CG$7:$CG$1843,CG1471,$AN$7:$AN$1843,"&gt;"&amp;AN1471)+SUMIFS($AJ$7:$AJ$1843,$CG$7:$CG$1843,CG1471,$AN$7:$AN$1843,AN1471,$BX$7:$BX$1843,"&lt;="&amp;BX1471),"")</f>
        <v>29702.1285181391</v>
      </c>
      <c r="AP1471" s="70" t="n">
        <f aca="false">IF(AO1471="",0,MAX(0,MIN(1,(IF(CG1471="L1",Parameter!$H$5,IF(CG1471="L23",Parameter!$H$6+Parameter!$H$7,Parameter!$H$5+Parameter!$H$6+Parameter!$H$7))-(AO1471-AJ1471))/AJ1471)))</f>
        <v>1</v>
      </c>
      <c r="AQ1471" s="62" t="n">
        <f aca="false">IF(LEFT(Cockpit!$I$5,1)="A",H1471,IF(Parameter!$E$30="MAX-Bestand",IF(CI1471=1,CJ1471,IF(LEFT(Cockpit!$I$5,1)="B",AW1471,MAX(AW1471,H1471))),ROUNDUP(AU1471,0)))</f>
        <v>34</v>
      </c>
      <c r="AR1471" s="62" t="n">
        <f aca="false">IF(CA1471=1,0,ROUNDUP(AQ1471/BZ1471,0))</f>
        <v>1</v>
      </c>
      <c r="AS1471" s="64" t="n">
        <f aca="false">IF(CR1471&gt;0,CR1471*MAX(1,AQ1471/X1471),IF(CA1471=1,IF(AQ1471&lt;=0,0,CE1471*MAX(1,IF(H1471&gt;0,AQ1471/H1471,1))),IF(R1471&gt;0,AR1471/R1471,0))/MAX(0.1,N(Parameter!$M$21)))</f>
        <v>0.0384615384615385</v>
      </c>
      <c r="AT1471" s="62" t="n">
        <f aca="false">AS1471*CC1471</f>
        <v>5.96153846153846</v>
      </c>
      <c r="AU1471" s="63" t="n">
        <f aca="false">IF(LEFT(Cockpit!$I$5,1)="A",H1471,IF(CI1471=1,(CL1471+CJ1471)/2,IF(LEFT(Cockpit!$I$5,1)="B",(CL1471+AW1471)/2,MAX((CL1471+AW1471)/2,H1471))))</f>
        <v>34</v>
      </c>
      <c r="AV1471" s="62" t="n">
        <f aca="false">AU1471*G1471</f>
        <v>219.98</v>
      </c>
      <c r="AW1471" s="62" t="n">
        <f aca="false">ROUNDUP(CL1471+MAX(CM1471,2*(J1471/IF(CH1471&gt;0,CH1471,MAX(0.1,N(Cockpit!$I$6)))-CL1471)),0)</f>
        <v>50</v>
      </c>
      <c r="AX1471" s="63" t="n">
        <f aca="false">IF(AT1471&gt;0,J1471/AT1471,-1)</f>
        <v>0</v>
      </c>
      <c r="AY1471" s="63" t="n">
        <f aca="false">IF(AND(OR(CG1471="L1",CG1471="L23",CG1471="LIFT"),AT1471&gt;0),SUMIFS($AT$7:$AT$1843,$CG$7:$CG$1843,CG1471,$AX$7:$AX$1843,"&gt;"&amp;AX1471)+SUMIFS($AT$7:$AT$1843,$CG$7:$CG$1843,CG1471,$AX$7:$AX$1843,AX1471,$BX$7:$BX$1843,"&lt;="&amp;BX1471),"")</f>
        <v>36005.718551458</v>
      </c>
      <c r="AZ1471" s="70" t="n">
        <f aca="false">IF(AY1471="",0,MAX(0,MIN(1,(IF(CG1471="L1",Parameter!$H$5,IF(CG1471="L23",Parameter!$H$6+Parameter!$H$7,Parameter!$H$5+Parameter!$H$6+Parameter!$H$7))-(AY1471-AT1471))/AT1471)))</f>
        <v>0</v>
      </c>
      <c r="BA1471" s="62" t="n">
        <f aca="false">IF(LEFT(Cockpit!$O$5,1)="A",H1471,IF(Parameter!$E$30="MAX-Bestand",IF(CI1471=1,CJ1471,IF(LEFT(Cockpit!$O$5,1)="B",BG1471,MAX(BG1471,H1471))),ROUNDUP(BE1471,0)))</f>
        <v>25</v>
      </c>
      <c r="BB1471" s="62" t="n">
        <f aca="false">IF(CA1471=1,0,ROUNDUP(BA1471/BZ1471,0))</f>
        <v>1</v>
      </c>
      <c r="BC1471" s="64" t="n">
        <f aca="false">IF(CR1471&gt;0,CR1471*MAX(1,BA1471/X1471),IF(CA1471=1,IF(BA1471&lt;=0,0,CE1471*MAX(1,IF(H1471&gt;0,BA1471/H1471,1))),IF(R1471&gt;0,BB1471/R1471,0))/MAX(0.1,N(Parameter!$M$21)))</f>
        <v>0.0384615384615385</v>
      </c>
      <c r="BD1471" s="62" t="n">
        <f aca="false">BC1471*CC1471</f>
        <v>5.96153846153846</v>
      </c>
      <c r="BE1471" s="63" t="n">
        <f aca="false">IF(LEFT(Cockpit!$O$5,1)="A",H1471,IF(CI1471=1,(CL1471+CJ1471)/2,IF(LEFT(Cockpit!$O$5,1)="B",(CL1471+BG1471)/2,MAX((CL1471+BG1471)/2,H1471))))</f>
        <v>25</v>
      </c>
      <c r="BF1471" s="62" t="n">
        <f aca="false">BE1471*G1471</f>
        <v>161.75</v>
      </c>
      <c r="BG1471" s="62" t="n">
        <f aca="false">ROUNDUP(CL1471+MAX(CM1471,2*(J1471/IF(CH1471&gt;0,CH1471,MAX(0.1,N(Cockpit!$O$6)))-CL1471)),0)</f>
        <v>50</v>
      </c>
      <c r="BH1471" s="63" t="n">
        <f aca="false">IF(BD1471&gt;0,J1471/BD1471,-1)</f>
        <v>0</v>
      </c>
      <c r="BI1471" s="63" t="n">
        <f aca="false">IF(AND(OR(CG1471="L1",CG1471="L23",CG1471="LIFT"),BD1471&gt;0),SUMIFS($BD$7:$BD$1843,$CG$7:$CG$1843,CG1471,$BH$7:$BH$1843,"&gt;"&amp;BH1471)+SUMIFS($BD$7:$BD$1843,$CG$7:$CG$1843,CG1471,$BH$7:$BH$1843,BH1471,$BX$7:$BX$1843,"&lt;="&amp;BX1471),"")</f>
        <v>29991.0252116057</v>
      </c>
      <c r="BJ1471" s="70" t="n">
        <f aca="false">IF(BI1471="",0,MAX(0,MIN(1,(IF(CG1471="L1",Parameter!$H$5,IF(CG1471="L23",Parameter!$H$6+Parameter!$H$7,Parameter!$H$5+Parameter!$H$6+Parameter!$H$7))-(BI1471-BD1471))/BD1471)))</f>
        <v>1</v>
      </c>
      <c r="BK1471" s="60" t="str">
        <f aca="false">IF(AJ1471&lt;=0,"",IF(CG1471="Aussen","Aussenlager",IF(CG1471="-","Nicht im Lift",IF(AP1471&gt;=1,"Lift",IF(AP1471&lt;=0,"Aussenlager","teilweise")))))</f>
        <v>Lift</v>
      </c>
      <c r="BL1471" s="60" t="str">
        <f aca="false">IF(AT1471&lt;=0,"",IF(CG1471="Aussen","Aussenlager",IF(CG1471="-","Nicht im Lift",IF(AZ1471&gt;=1,"Lift",IF(AZ1471&lt;=0,"Aussenlager","teilweise")))))</f>
        <v>Aussenlager</v>
      </c>
      <c r="BM1471" s="60" t="str">
        <f aca="false">IF(BD1471&lt;=0,"",IF(CG1471="Aussen","Aussenlager",IF(CG1471="-","Nicht im Lift",IF(BJ1471&gt;=1,"Lift",IF(BJ1471&lt;=0,"Aussenlager","teilweise")))))</f>
        <v>Lift</v>
      </c>
      <c r="BN1471" s="60" t="str">
        <f aca="false">IF(A1471="","",IF(BW1471=1,"Neu; ","")&amp;IF(AND(BW1471=0,BR1471&lt;0),"negativer Bestand (Export "&amp;BR1471&amp;"); ","")&amp;IF(J1471&lt;=0,"Kein Verbrauch; ","")&amp;IF(CR1471&gt;0,"Lift "&amp;W1471&amp;" lt. Liftbericht (Fach "&amp;X1471&amp;" Stk); ",IF(CB1471=1,"Gebinde geschätzt ("&amp;T1471&amp;"); ",IF(CA1471=1,"Lose – Tablare geschätzt; ","")))&amp;IF(H1471&gt;AW1471,"Überbestand "&amp;ROUND(H1471-AW1471,0)&amp;" Stk / CHF "&amp;ROUND((H1471-AW1471)*G1471,0)&amp;"; ","")&amp;IF(AND(CI1471=1,CJ1471&lt;CK1471),"MAX &lt; MB+LG; ","")&amp;IF(AND(CQ1471&gt;0,CP1471*10&gt;CQ1471),"zu hoch für Tablar; ","")&amp;IF(AND(BW1471=0,OR(CI1471=1,AB1471&lt;&gt;"",U1471&lt;&gt;"",V1471&lt;&gt;"",AC1471&lt;&gt;"")),"manuell übersteuert; ","")&amp;IF(AND(CA1471=0,R1471=0),"Gebinde unbekannt / Stellmass fehlt; ","")&amp;IF(AND(CA1471=0,N(V1471)&lt;=0,N(Q1471)&lt;=0),"Menge pro Gebinde fehlt (Ist = 1 Gebinde); ","")&amp;BV1471)</f>
        <v>Kein Verbrauch; nur im Artikelstamm (Bestand 23.06.2026); Verb.Lager</v>
      </c>
      <c r="BO1471" s="60"/>
      <c r="BP1471" s="60"/>
      <c r="BQ1471" s="67"/>
      <c r="BR1471" s="62" t="n">
        <v>34</v>
      </c>
      <c r="BS1471" s="62" t="n">
        <v>0</v>
      </c>
      <c r="BT1471" s="61" t="n">
        <v>0</v>
      </c>
      <c r="BU1471" s="62" t="n">
        <v>0</v>
      </c>
      <c r="BV1471" s="60" t="s">
        <v>2611</v>
      </c>
      <c r="BW1471" s="65" t="n">
        <v>0</v>
      </c>
      <c r="BX1471" s="65" t="n">
        <v>1471</v>
      </c>
      <c r="BY1471" s="60" t="str">
        <f aca="false">IF(U1471&lt;&gt;"",UPPER(TRIM(U1471)),IF(CB1471=1,UPPER(VLOOKUP(T1471,Parameter!$I$27:$K$29,2,0)),IF(P1471="","LOSE",P1471)))</f>
        <v>S51</v>
      </c>
      <c r="BZ1471" s="62" t="n">
        <f aca="false">IF(BY1471="LOSE",1,IF(N(V1471)&gt;0,V1471,IF(CB1471=1,MAX(1,N(VLOOKUP(T1471,Parameter!$I$27:$K$29,3,0)),H1471,N(N1471)),IF(N(Q1471)&gt;0,Q1471,MAX(1,H1471)))))</f>
        <v>34</v>
      </c>
      <c r="CA1471" s="65" t="n">
        <f aca="false">IF(BY1471="LOSE",1,0)</f>
        <v>0</v>
      </c>
      <c r="CB1471" s="65" t="n">
        <f aca="false">IF(AND(U1471="",OR(P1471="",P1471="LOSE"),T1471&lt;&gt;"",N(S1471)&lt;=0,ISNUMBER(MATCH(T1471,Parameter!$I$27:$I$29,0))),1,0)</f>
        <v>0</v>
      </c>
      <c r="CC1471" s="65" t="n">
        <f aca="false">IF(CR1471&gt;0,INDEX(Parameter!$H$5:$H$7,W1471)/INDEX(Parameter!$E$5:$E$7,W1471),IF(AND(CA1471=0,N(IFERROR(VLOOKUP(BY1471,'Gebinde-Kategorie'!$A$5:$N$45,14,0),0))&gt;0),VLOOKUP(BY1471,'Gebinde-Kategorie'!$A$5:$N$45,14,0)*10+Parameter!$M$23,Parameter!$M$24))</f>
        <v>155</v>
      </c>
      <c r="CD1471" s="60" t="str">
        <f aca="false">IF(AND(Parameter!$B$19="Ja",E1471&lt;&gt;"",ISNUMBER(MATCH(E1471,Parameter!$I$35:$I$52,0))),VLOOKUP(E1471,Parameter!$I$35:$J$52,2,0),IFERROR(VLOOKUP(D1471,Parameter!$A$35:$C$64,2,0),"Nein"))</f>
        <v>2+3</v>
      </c>
      <c r="CE1471" s="64" t="n">
        <f aca="false">IF(CA1471=0,0,IF(N(S1471)&gt;0,S1471,IFERROR(VLOOKUP(D1471,Parameter!$A$35:$C$64,3,0)+0,0)))</f>
        <v>0</v>
      </c>
      <c r="CF1471" s="60" t="n">
        <f aca="false">IF(AB1471&lt;&gt;"",AB1471,AA1471)</f>
        <v>3</v>
      </c>
      <c r="CG1471" s="60" t="str">
        <f aca="false">IF(OR(CF1471=1,CF1471=2,CF1471=3),IF(Parameter!$E$27="Ja","LIFT",IF(CF1471=1,"L1","L23")),IF(CF1471="Aussen","Aussen","-"))</f>
        <v>LIFT</v>
      </c>
      <c r="CH1471" s="71" t="n">
        <f aca="false">IF(N(AC1471)&gt;0,AC1471,0)</f>
        <v>0</v>
      </c>
      <c r="CI1471" s="65" t="n">
        <f aca="false">IF(ISNUMBER(AF1471),1,0)</f>
        <v>0</v>
      </c>
      <c r="CJ1471" s="62" t="n">
        <f aca="false">N(AF1471)</f>
        <v>0</v>
      </c>
      <c r="CK1471" s="62" t="n">
        <f aca="false">N(M1471)+N(N1471)</f>
        <v>50</v>
      </c>
      <c r="CL1471" s="62" t="n">
        <f aca="false">N(M1471)</f>
        <v>0</v>
      </c>
      <c r="CM1471" s="62" t="n">
        <f aca="false">N(N1471)</f>
        <v>50</v>
      </c>
      <c r="CN1471" s="62" t="n">
        <f aca="false">ROUNDUP(H1471/BZ1471,0)</f>
        <v>1</v>
      </c>
      <c r="CO1471" s="62" t="n">
        <f aca="false">ROUNDUP(CJ1471/BZ1471,0)</f>
        <v>0</v>
      </c>
      <c r="CP1471" s="65" t="n">
        <f aca="false">IF(CA1471=1,0,IFERROR(VLOOKUP(BY1471,'Gebinde-Kategorie'!$A$5:$N$45,5,0)+0,0))</f>
        <v>11</v>
      </c>
      <c r="CQ1471" s="65" t="n">
        <f aca="false">IFERROR(IF(OR(CF1471=1,CF1471=2,CF1471=3),N(INDEX(Parameter!$I$5:$I$7,CF1471)),0),0)</f>
        <v>0</v>
      </c>
      <c r="CR1471" s="64" t="n">
        <f aca="false">IF(AND(Parameter!$B$21="Ja",ISNUMBER(W1471),N(X1471)&gt;0),IFERROR(N(INDEX(Parameter!$L$5:$L$7,W1471))*INDEX(Parameter!$E$5:$E$7,W1471)*X1471/SUMIFS($X$7:$X$1843,$W$7:$W$1843,W1471),0),0)</f>
        <v>0</v>
      </c>
      <c r="CS1471" s="62" t="n">
        <f aca="false">IF(AND(OR(CG1471="L1",CG1471="L23",CG1471="LIFT"),H1471&gt;0),CC1471*IF(CR1471&gt;0,CR1471*MAX(1,H1471/X1471),IF(CA1471=1,CE1471,IF(R1471&gt;0,CN1471/R1471,0))/MAX(0.1,N(Parameter!$M$21))),"")</f>
        <v>5.96153846153846</v>
      </c>
      <c r="CT1471" s="64" t="n">
        <f aca="false">IF(CS1471="","",J1471/H1471)</f>
        <v>0</v>
      </c>
      <c r="CU1471" s="62" t="n">
        <f aca="false">IF(CS1471="","",H1471*G1471)</f>
        <v>219.98</v>
      </c>
      <c r="CV1471" s="63" t="n">
        <f aca="false">IF(CS1471="","",(CL1471+ROUNDUP(CL1471+MAX(CM1471,2*(J1471/MAX(0.1,N(Einkauf!$C$6))-CL1471)),0))/2)</f>
        <v>25</v>
      </c>
      <c r="CW1471" s="62" t="n">
        <f aca="false">IF(CS1471="","",MAX(0,H1471-CV1471)*G1471)</f>
        <v>58.23</v>
      </c>
      <c r="CX1471" s="62" t="n">
        <f aca="false">IF(CS1471="","",CS1471*MAX(0,1-CV1471/H1471))</f>
        <v>1.57805429864253</v>
      </c>
      <c r="CY1471" s="64" t="n">
        <f aca="false">IF(CS1471="","",PERCENTRANK($CS$7:$CS$1843,CS1471)+PERCENTRANK($CU$7:$CU$1843,CU1471)+1-PERCENTRANK($CT$7:$CT$1843,CT1471))</f>
        <v>1.71</v>
      </c>
      <c r="CZ1471" s="72" t="n">
        <f aca="false">IF(CS1471="","",CHOOSE(MATCH(Einkauf!$C$5,Parameter!$G$23:$G$27,0),CY1471,CS1471,CU1471,-CT1471,CW1471)+ROW()/1000000000)</f>
        <v>1.710001471</v>
      </c>
    </row>
    <row r="1472" customFormat="false" ht="15" hidden="false" customHeight="false" outlineLevel="0" collapsed="false">
      <c r="A1472" s="60" t="s">
        <v>2612</v>
      </c>
      <c r="B1472" s="60" t="s">
        <v>2613</v>
      </c>
      <c r="C1472" s="60" t="s">
        <v>206</v>
      </c>
      <c r="D1472" s="60" t="s">
        <v>226</v>
      </c>
      <c r="E1472" s="60" t="s">
        <v>227</v>
      </c>
      <c r="F1472" s="60"/>
      <c r="G1472" s="61" t="n">
        <v>150.1</v>
      </c>
      <c r="H1472" s="62" t="n">
        <f aca="false">MAX(0,IF(AND(Parameter!$B$21="Ja",ISNUMBER(Y1472)),Y1472,IF(Parameter!$B$20="Jahresanfang 2025 + Export",BS1472+BR1472,BR1472)))</f>
        <v>13</v>
      </c>
      <c r="I1472" s="62" t="n">
        <f aca="false">H1472*G1472</f>
        <v>1951.3</v>
      </c>
      <c r="J1472" s="62" t="n">
        <f aca="false">BU1472*Parameter!$B$18</f>
        <v>0</v>
      </c>
      <c r="K1472" s="63"/>
      <c r="L1472" s="64"/>
      <c r="M1472" s="62" t="n">
        <v>0</v>
      </c>
      <c r="N1472" s="62" t="n">
        <v>1</v>
      </c>
      <c r="O1472" s="65" t="n">
        <v>21</v>
      </c>
      <c r="P1472" s="60" t="s">
        <v>370</v>
      </c>
      <c r="Q1472" s="62" t="n">
        <v>13</v>
      </c>
      <c r="R1472" s="65" t="n">
        <f aca="false">IF(CA1472=1,0,IFERROR(VLOOKUP(BY1472,'Gebinde-Kategorie'!$A$5:$N$45,13,0)+0,0))</f>
        <v>52</v>
      </c>
      <c r="S1472" s="66"/>
      <c r="T1472" s="67"/>
      <c r="U1472" s="67"/>
      <c r="V1472" s="67"/>
      <c r="W1472" s="60"/>
      <c r="X1472" s="62"/>
      <c r="Y1472" s="62"/>
      <c r="Z1472" s="60" t="n">
        <v>2</v>
      </c>
      <c r="AA1472" s="60" t="n">
        <f aca="false">IF(A1472="","",IF(AND(Parameter!$B$21="Ja",ISNUMBER(W1472)),W1472,IF(AND(Parameter!$E$27="Ja",ISNUMBER(Z1472),CD1472&lt;&gt;"Nein"),Z1472,IF(CD1472="2+3",IF(ISNUMBER(SEARCH("grosser Artikel",BV1472)),2,IFERROR(VLOOKUP(BY1472,Parameter!$F$35:$G$64,2,0),2)),IF(OR(CD1472="Nein",CD1472=""),"-",CD1472)))))</f>
        <v>2</v>
      </c>
      <c r="AB1472" s="67"/>
      <c r="AC1472" s="68"/>
      <c r="AD1472" s="62" t="n">
        <f aca="false">AW1472</f>
        <v>1</v>
      </c>
      <c r="AE1472" s="62" t="n">
        <f aca="false">MAX(AW1472,H1472)</f>
        <v>13</v>
      </c>
      <c r="AF1472" s="69"/>
      <c r="AG1472" s="62" t="n">
        <f aca="false">IF(LEFT(Cockpit!$C$5,1)="A",H1472,IF(Parameter!$E$30="MAX-Bestand",IF(CI1472=1,CJ1472,IF(LEFT(Cockpit!$C$5,1)="B",AM1472,MAX(AM1472,H1472))),ROUNDUP(AK1472,0)))</f>
        <v>13</v>
      </c>
      <c r="AH1472" s="62" t="n">
        <f aca="false">IF(CA1472=1,0,ROUNDUP(AG1472/BZ1472,0))</f>
        <v>1</v>
      </c>
      <c r="AI1472" s="64" t="n">
        <f aca="false">IF(CR1472&gt;0,CR1472*MAX(1,AG1472/X1472),IF(CA1472=1,IF(AG1472&lt;=0,0,CE1472*MAX(1,IF(H1472&gt;0,AG1472/H1472,1))),IF(R1472&gt;0,AH1472/R1472,0))/MAX(0.1,N(Parameter!$M$21)))</f>
        <v>0.0192307692307692</v>
      </c>
      <c r="AJ1472" s="62" t="n">
        <f aca="false">AI1472*CC1472</f>
        <v>2.98076923076923</v>
      </c>
      <c r="AK1472" s="63" t="n">
        <f aca="false">IF(LEFT(Cockpit!$C$5,1)="A",H1472,IF(CI1472=1,(CL1472+CJ1472)/2,IF(LEFT(Cockpit!$C$5,1)="B",(CL1472+AM1472)/2,MAX((CL1472+AM1472)/2,H1472))))</f>
        <v>13</v>
      </c>
      <c r="AL1472" s="62" t="n">
        <f aca="false">AK1472*G1472</f>
        <v>1951.3</v>
      </c>
      <c r="AM1472" s="62" t="n">
        <f aca="false">ROUNDUP(CL1472+MAX(CM1472,2*(J1472/IF(CH1472&gt;0,CH1472,MAX(0.1,N(Cockpit!$C$6)))-CL1472)),0)</f>
        <v>1</v>
      </c>
      <c r="AN1472" s="63" t="n">
        <f aca="false">IF(AJ1472&gt;0,J1472/AJ1472,-1)</f>
        <v>0</v>
      </c>
      <c r="AO1472" s="63" t="n">
        <f aca="false">IF(AND(OR(CG1472="L1",CG1472="L23",CG1472="LIFT"),AJ1472&gt;0),SUMIFS($AJ$7:$AJ$1843,$CG$7:$CG$1843,CG1472,$AN$7:$AN$1843,"&gt;"&amp;AN1472)+SUMIFS($AJ$7:$AJ$1843,$CG$7:$CG$1843,CG1472,$AN$7:$AN$1843,AN1472,$BX$7:$BX$1843,"&lt;="&amp;BX1472),"")</f>
        <v>29705.1092873699</v>
      </c>
      <c r="AP1472" s="70" t="n">
        <f aca="false">IF(AO1472="",0,MAX(0,MIN(1,(IF(CG1472="L1",Parameter!$H$5,IF(CG1472="L23",Parameter!$H$6+Parameter!$H$7,Parameter!$H$5+Parameter!$H$6+Parameter!$H$7))-(AO1472-AJ1472))/AJ1472)))</f>
        <v>1</v>
      </c>
      <c r="AQ1472" s="62" t="n">
        <f aca="false">IF(LEFT(Cockpit!$I$5,1)="A",H1472,IF(Parameter!$E$30="MAX-Bestand",IF(CI1472=1,CJ1472,IF(LEFT(Cockpit!$I$5,1)="B",AW1472,MAX(AW1472,H1472))),ROUNDUP(AU1472,0)))</f>
        <v>13</v>
      </c>
      <c r="AR1472" s="62" t="n">
        <f aca="false">IF(CA1472=1,0,ROUNDUP(AQ1472/BZ1472,0))</f>
        <v>1</v>
      </c>
      <c r="AS1472" s="64" t="n">
        <f aca="false">IF(CR1472&gt;0,CR1472*MAX(1,AQ1472/X1472),IF(CA1472=1,IF(AQ1472&lt;=0,0,CE1472*MAX(1,IF(H1472&gt;0,AQ1472/H1472,1))),IF(R1472&gt;0,AR1472/R1472,0))/MAX(0.1,N(Parameter!$M$21)))</f>
        <v>0.0192307692307692</v>
      </c>
      <c r="AT1472" s="62" t="n">
        <f aca="false">AS1472*CC1472</f>
        <v>2.98076923076923</v>
      </c>
      <c r="AU1472" s="63" t="n">
        <f aca="false">IF(LEFT(Cockpit!$I$5,1)="A",H1472,IF(CI1472=1,(CL1472+CJ1472)/2,IF(LEFT(Cockpit!$I$5,1)="B",(CL1472+AW1472)/2,MAX((CL1472+AW1472)/2,H1472))))</f>
        <v>13</v>
      </c>
      <c r="AV1472" s="62" t="n">
        <f aca="false">AU1472*G1472</f>
        <v>1951.3</v>
      </c>
      <c r="AW1472" s="62" t="n">
        <f aca="false">ROUNDUP(CL1472+MAX(CM1472,2*(J1472/IF(CH1472&gt;0,CH1472,MAX(0.1,N(Cockpit!$I$6)))-CL1472)),0)</f>
        <v>1</v>
      </c>
      <c r="AX1472" s="63" t="n">
        <f aca="false">IF(AT1472&gt;0,J1472/AT1472,-1)</f>
        <v>0</v>
      </c>
      <c r="AY1472" s="63" t="n">
        <f aca="false">IF(AND(OR(CG1472="L1",CG1472="L23",CG1472="LIFT"),AT1472&gt;0),SUMIFS($AT$7:$AT$1843,$CG$7:$CG$1843,CG1472,$AX$7:$AX$1843,"&gt;"&amp;AX1472)+SUMIFS($AT$7:$AT$1843,$CG$7:$CG$1843,CG1472,$AX$7:$AX$1843,AX1472,$BX$7:$BX$1843,"&lt;="&amp;BX1472),"")</f>
        <v>36008.6993206887</v>
      </c>
      <c r="AZ1472" s="70" t="n">
        <f aca="false">IF(AY1472="",0,MAX(0,MIN(1,(IF(CG1472="L1",Parameter!$H$5,IF(CG1472="L23",Parameter!$H$6+Parameter!$H$7,Parameter!$H$5+Parameter!$H$6+Parameter!$H$7))-(AY1472-AT1472))/AT1472)))</f>
        <v>0</v>
      </c>
      <c r="BA1472" s="62" t="n">
        <f aca="false">IF(LEFT(Cockpit!$O$5,1)="A",H1472,IF(Parameter!$E$30="MAX-Bestand",IF(CI1472=1,CJ1472,IF(LEFT(Cockpit!$O$5,1)="B",BG1472,MAX(BG1472,H1472))),ROUNDUP(BE1472,0)))</f>
        <v>1</v>
      </c>
      <c r="BB1472" s="62" t="n">
        <f aca="false">IF(CA1472=1,0,ROUNDUP(BA1472/BZ1472,0))</f>
        <v>1</v>
      </c>
      <c r="BC1472" s="64" t="n">
        <f aca="false">IF(CR1472&gt;0,CR1472*MAX(1,BA1472/X1472),IF(CA1472=1,IF(BA1472&lt;=0,0,CE1472*MAX(1,IF(H1472&gt;0,BA1472/H1472,1))),IF(R1472&gt;0,BB1472/R1472,0))/MAX(0.1,N(Parameter!$M$21)))</f>
        <v>0.0192307692307692</v>
      </c>
      <c r="BD1472" s="62" t="n">
        <f aca="false">BC1472*CC1472</f>
        <v>2.98076923076923</v>
      </c>
      <c r="BE1472" s="63" t="n">
        <f aca="false">IF(LEFT(Cockpit!$O$5,1)="A",H1472,IF(CI1472=1,(CL1472+CJ1472)/2,IF(LEFT(Cockpit!$O$5,1)="B",(CL1472+BG1472)/2,MAX((CL1472+BG1472)/2,H1472))))</f>
        <v>0.5</v>
      </c>
      <c r="BF1472" s="62" t="n">
        <f aca="false">BE1472*G1472</f>
        <v>75.05</v>
      </c>
      <c r="BG1472" s="62" t="n">
        <f aca="false">ROUNDUP(CL1472+MAX(CM1472,2*(J1472/IF(CH1472&gt;0,CH1472,MAX(0.1,N(Cockpit!$O$6)))-CL1472)),0)</f>
        <v>1</v>
      </c>
      <c r="BH1472" s="63" t="n">
        <f aca="false">IF(BD1472&gt;0,J1472/BD1472,-1)</f>
        <v>0</v>
      </c>
      <c r="BI1472" s="63" t="n">
        <f aca="false">IF(AND(OR(CG1472="L1",CG1472="L23",CG1472="LIFT"),BD1472&gt;0),SUMIFS($BD$7:$BD$1843,$CG$7:$CG$1843,CG1472,$BH$7:$BH$1843,"&gt;"&amp;BH1472)+SUMIFS($BD$7:$BD$1843,$CG$7:$CG$1843,CG1472,$BH$7:$BH$1843,BH1472,$BX$7:$BX$1843,"&lt;="&amp;BX1472),"")</f>
        <v>29994.0059808365</v>
      </c>
      <c r="BJ1472" s="70" t="n">
        <f aca="false">IF(BI1472="",0,MAX(0,MIN(1,(IF(CG1472="L1",Parameter!$H$5,IF(CG1472="L23",Parameter!$H$6+Parameter!$H$7,Parameter!$H$5+Parameter!$H$6+Parameter!$H$7))-(BI1472-BD1472))/BD1472)))</f>
        <v>1</v>
      </c>
      <c r="BK1472" s="60" t="str">
        <f aca="false">IF(AJ1472&lt;=0,"",IF(CG1472="Aussen","Aussenlager",IF(CG1472="-","Nicht im Lift",IF(AP1472&gt;=1,"Lift",IF(AP1472&lt;=0,"Aussenlager","teilweise")))))</f>
        <v>Lift</v>
      </c>
      <c r="BL1472" s="60" t="str">
        <f aca="false">IF(AT1472&lt;=0,"",IF(CG1472="Aussen","Aussenlager",IF(CG1472="-","Nicht im Lift",IF(AZ1472&gt;=1,"Lift",IF(AZ1472&lt;=0,"Aussenlager","teilweise")))))</f>
        <v>Aussenlager</v>
      </c>
      <c r="BM1472" s="60" t="str">
        <f aca="false">IF(BD1472&lt;=0,"",IF(CG1472="Aussen","Aussenlager",IF(CG1472="-","Nicht im Lift",IF(BJ1472&gt;=1,"Lift",IF(BJ1472&lt;=0,"Aussenlager","teilweise")))))</f>
        <v>Lift</v>
      </c>
      <c r="BN1472" s="60" t="str">
        <f aca="false">IF(A1472="","",IF(BW1472=1,"Neu; ","")&amp;IF(AND(BW1472=0,BR1472&lt;0),"negativer Bestand (Export "&amp;BR1472&amp;"); ","")&amp;IF(J1472&lt;=0,"Kein Verbrauch; ","")&amp;IF(CR1472&gt;0,"Lift "&amp;W1472&amp;" lt. Liftbericht (Fach "&amp;X1472&amp;" Stk); ",IF(CB1472=1,"Gebinde geschätzt ("&amp;T1472&amp;"); ",IF(CA1472=1,"Lose – Tablare geschätzt; ","")))&amp;IF(H1472&gt;AW1472,"Überbestand "&amp;ROUND(H1472-AW1472,0)&amp;" Stk / CHF "&amp;ROUND((H1472-AW1472)*G1472,0)&amp;"; ","")&amp;IF(AND(CI1472=1,CJ1472&lt;CK1472),"MAX &lt; MB+LG; ","")&amp;IF(AND(CQ1472&gt;0,CP1472*10&gt;CQ1472),"zu hoch für Tablar; ","")&amp;IF(AND(BW1472=0,OR(CI1472=1,AB1472&lt;&gt;"",U1472&lt;&gt;"",V1472&lt;&gt;"",AC1472&lt;&gt;"")),"manuell übersteuert; ","")&amp;IF(AND(CA1472=0,R1472=0),"Gebinde unbekannt / Stellmass fehlt; ","")&amp;IF(AND(CA1472=0,N(V1472)&lt;=0,N(Q1472)&lt;=0),"Menge pro Gebinde fehlt (Ist = 1 Gebinde); ","")&amp;BV1472)</f>
        <v>Kein Verbrauch; Überbestand 12 Stk / CHF 1801; nur im Artikelstamm (Bestand 23.06.2026); Überbestand</v>
      </c>
      <c r="BO1472" s="60"/>
      <c r="BP1472" s="60"/>
      <c r="BQ1472" s="67"/>
      <c r="BR1472" s="62" t="n">
        <v>13</v>
      </c>
      <c r="BS1472" s="62" t="n">
        <v>0</v>
      </c>
      <c r="BT1472" s="61" t="n">
        <v>0</v>
      </c>
      <c r="BU1472" s="62" t="n">
        <v>0</v>
      </c>
      <c r="BV1472" s="60" t="s">
        <v>2614</v>
      </c>
      <c r="BW1472" s="65" t="n">
        <v>0</v>
      </c>
      <c r="BX1472" s="65" t="n">
        <v>1472</v>
      </c>
      <c r="BY1472" s="60" t="str">
        <f aca="false">IF(U1472&lt;&gt;"",UPPER(TRIM(U1472)),IF(CB1472=1,UPPER(VLOOKUP(T1472,Parameter!$I$27:$K$29,2,0)),IF(P1472="","LOSE",P1472)))</f>
        <v>S41</v>
      </c>
      <c r="BZ1472" s="62" t="n">
        <f aca="false">IF(BY1472="LOSE",1,IF(N(V1472)&gt;0,V1472,IF(CB1472=1,MAX(1,N(VLOOKUP(T1472,Parameter!$I$27:$K$29,3,0)),H1472,N(N1472)),IF(N(Q1472)&gt;0,Q1472,MAX(1,H1472)))))</f>
        <v>13</v>
      </c>
      <c r="CA1472" s="65" t="n">
        <f aca="false">IF(BY1472="LOSE",1,0)</f>
        <v>0</v>
      </c>
      <c r="CB1472" s="65" t="n">
        <f aca="false">IF(AND(U1472="",OR(P1472="",P1472="LOSE"),T1472&lt;&gt;"",N(S1472)&lt;=0,ISNUMBER(MATCH(T1472,Parameter!$I$27:$I$29,0))),1,0)</f>
        <v>0</v>
      </c>
      <c r="CC1472" s="65" t="n">
        <f aca="false">IF(CR1472&gt;0,INDEX(Parameter!$H$5:$H$7,W1472)/INDEX(Parameter!$E$5:$E$7,W1472),IF(AND(CA1472=0,N(IFERROR(VLOOKUP(BY1472,'Gebinde-Kategorie'!$A$5:$N$45,14,0),0))&gt;0),VLOOKUP(BY1472,'Gebinde-Kategorie'!$A$5:$N$45,14,0)*10+Parameter!$M$23,Parameter!$M$24))</f>
        <v>155</v>
      </c>
      <c r="CD1472" s="60" t="str">
        <f aca="false">IF(AND(Parameter!$B$19="Ja",E1472&lt;&gt;"",ISNUMBER(MATCH(E1472,Parameter!$I$35:$I$52,0))),VLOOKUP(E1472,Parameter!$I$35:$J$52,2,0),IFERROR(VLOOKUP(D1472,Parameter!$A$35:$C$64,2,0),"Nein"))</f>
        <v>2+3</v>
      </c>
      <c r="CE1472" s="64" t="n">
        <f aca="false">IF(CA1472=0,0,IF(N(S1472)&gt;0,S1472,IFERROR(VLOOKUP(D1472,Parameter!$A$35:$C$64,3,0)+0,0)))</f>
        <v>0</v>
      </c>
      <c r="CF1472" s="60" t="n">
        <f aca="false">IF(AB1472&lt;&gt;"",AB1472,AA1472)</f>
        <v>2</v>
      </c>
      <c r="CG1472" s="60" t="str">
        <f aca="false">IF(OR(CF1472=1,CF1472=2,CF1472=3),IF(Parameter!$E$27="Ja","LIFT",IF(CF1472=1,"L1","L23")),IF(CF1472="Aussen","Aussen","-"))</f>
        <v>LIFT</v>
      </c>
      <c r="CH1472" s="71" t="n">
        <f aca="false">IF(N(AC1472)&gt;0,AC1472,0)</f>
        <v>0</v>
      </c>
      <c r="CI1472" s="65" t="n">
        <f aca="false">IF(ISNUMBER(AF1472),1,0)</f>
        <v>0</v>
      </c>
      <c r="CJ1472" s="62" t="n">
        <f aca="false">N(AF1472)</f>
        <v>0</v>
      </c>
      <c r="CK1472" s="62" t="n">
        <f aca="false">N(M1472)+N(N1472)</f>
        <v>1</v>
      </c>
      <c r="CL1472" s="62" t="n">
        <f aca="false">N(M1472)</f>
        <v>0</v>
      </c>
      <c r="CM1472" s="62" t="n">
        <f aca="false">N(N1472)</f>
        <v>1</v>
      </c>
      <c r="CN1472" s="62" t="n">
        <f aca="false">ROUNDUP(H1472/BZ1472,0)</f>
        <v>1</v>
      </c>
      <c r="CO1472" s="62" t="n">
        <f aca="false">ROUNDUP(CJ1472/BZ1472,0)</f>
        <v>0</v>
      </c>
      <c r="CP1472" s="65" t="n">
        <f aca="false">IF(CA1472=1,0,IFERROR(VLOOKUP(BY1472,'Gebinde-Kategorie'!$A$5:$N$45,5,0)+0,0))</f>
        <v>11</v>
      </c>
      <c r="CQ1472" s="65" t="n">
        <f aca="false">IFERROR(IF(OR(CF1472=1,CF1472=2,CF1472=3),N(INDEX(Parameter!$I$5:$I$7,CF1472)),0),0)</f>
        <v>0</v>
      </c>
      <c r="CR1472" s="64" t="n">
        <f aca="false">IF(AND(Parameter!$B$21="Ja",ISNUMBER(W1472),N(X1472)&gt;0),IFERROR(N(INDEX(Parameter!$L$5:$L$7,W1472))*INDEX(Parameter!$E$5:$E$7,W1472)*X1472/SUMIFS($X$7:$X$1843,$W$7:$W$1843,W1472),0),0)</f>
        <v>0</v>
      </c>
      <c r="CS1472" s="62" t="n">
        <f aca="false">IF(AND(OR(CG1472="L1",CG1472="L23",CG1472="LIFT"),H1472&gt;0),CC1472*IF(CR1472&gt;0,CR1472*MAX(1,H1472/X1472),IF(CA1472=1,CE1472,IF(R1472&gt;0,CN1472/R1472,0))/MAX(0.1,N(Parameter!$M$21))),"")</f>
        <v>2.98076923076923</v>
      </c>
      <c r="CT1472" s="64" t="n">
        <f aca="false">IF(CS1472="","",J1472/H1472)</f>
        <v>0</v>
      </c>
      <c r="CU1472" s="62" t="n">
        <f aca="false">IF(CS1472="","",H1472*G1472)</f>
        <v>1951.3</v>
      </c>
      <c r="CV1472" s="63" t="n">
        <f aca="false">IF(CS1472="","",(CL1472+ROUNDUP(CL1472+MAX(CM1472,2*(J1472/MAX(0.1,N(Einkauf!$C$6))-CL1472)),0))/2)</f>
        <v>0.5</v>
      </c>
      <c r="CW1472" s="62" t="n">
        <f aca="false">IF(CS1472="","",MAX(0,H1472-CV1472)*G1472)</f>
        <v>1876.25</v>
      </c>
      <c r="CX1472" s="62" t="n">
        <f aca="false">IF(CS1472="","",CS1472*MAX(0,1-CV1472/H1472))</f>
        <v>2.86612426035503</v>
      </c>
      <c r="CY1472" s="64" t="n">
        <f aca="false">IF(CS1472="","",PERCENTRANK($CS$7:$CS$1843,CS1472)+PERCENTRANK($CU$7:$CU$1843,CU1472)+1-PERCENTRANK($CT$7:$CT$1843,CT1472))</f>
        <v>1.981</v>
      </c>
      <c r="CZ1472" s="72" t="n">
        <f aca="false">IF(CS1472="","",CHOOSE(MATCH(Einkauf!$C$5,Parameter!$G$23:$G$27,0),CY1472,CS1472,CU1472,-CT1472,CW1472)+ROW()/1000000000)</f>
        <v>1.981001472</v>
      </c>
    </row>
    <row r="1473" customFormat="false" ht="15" hidden="false" customHeight="false" outlineLevel="0" collapsed="false">
      <c r="A1473" s="60" t="s">
        <v>2615</v>
      </c>
      <c r="B1473" s="60" t="s">
        <v>2616</v>
      </c>
      <c r="C1473" s="60" t="s">
        <v>209</v>
      </c>
      <c r="D1473" s="60" t="s">
        <v>226</v>
      </c>
      <c r="E1473" s="60" t="s">
        <v>227</v>
      </c>
      <c r="F1473" s="60"/>
      <c r="G1473" s="61" t="n">
        <v>15.99</v>
      </c>
      <c r="H1473" s="62" t="n">
        <f aca="false">MAX(0,IF(AND(Parameter!$B$21="Ja",ISNUMBER(Y1473)),Y1473,IF(Parameter!$B$20="Jahresanfang 2025 + Export",BS1473+BR1473,BR1473)))</f>
        <v>9</v>
      </c>
      <c r="I1473" s="62" t="n">
        <f aca="false">H1473*G1473</f>
        <v>143.91</v>
      </c>
      <c r="J1473" s="62" t="n">
        <f aca="false">BU1473*Parameter!$B$18</f>
        <v>0</v>
      </c>
      <c r="K1473" s="63"/>
      <c r="L1473" s="64"/>
      <c r="M1473" s="62" t="n">
        <v>0</v>
      </c>
      <c r="N1473" s="62" t="n">
        <v>20</v>
      </c>
      <c r="O1473" s="65" t="n">
        <v>14</v>
      </c>
      <c r="P1473" s="60" t="s">
        <v>518</v>
      </c>
      <c r="Q1473" s="62" t="n">
        <v>9</v>
      </c>
      <c r="R1473" s="65" t="n">
        <f aca="false">IF(CA1473=1,0,IFERROR(VLOOKUP(BY1473,'Gebinde-Kategorie'!$A$5:$N$45,13,0)+0,0))</f>
        <v>52</v>
      </c>
      <c r="S1473" s="66"/>
      <c r="T1473" s="67"/>
      <c r="U1473" s="67"/>
      <c r="V1473" s="67"/>
      <c r="W1473" s="60"/>
      <c r="X1473" s="62"/>
      <c r="Y1473" s="62"/>
      <c r="Z1473" s="60" t="n">
        <v>3</v>
      </c>
      <c r="AA1473" s="60" t="n">
        <f aca="false">IF(A1473="","",IF(AND(Parameter!$B$21="Ja",ISNUMBER(W1473)),W1473,IF(AND(Parameter!$E$27="Ja",ISNUMBER(Z1473),CD1473&lt;&gt;"Nein"),Z1473,IF(CD1473="2+3",IF(ISNUMBER(SEARCH("grosser Artikel",BV1473)),2,IFERROR(VLOOKUP(BY1473,Parameter!$F$35:$G$64,2,0),2)),IF(OR(CD1473="Nein",CD1473=""),"-",CD1473)))))</f>
        <v>3</v>
      </c>
      <c r="AB1473" s="67"/>
      <c r="AC1473" s="68"/>
      <c r="AD1473" s="62" t="n">
        <f aca="false">AW1473</f>
        <v>20</v>
      </c>
      <c r="AE1473" s="62" t="n">
        <f aca="false">MAX(AW1473,H1473)</f>
        <v>20</v>
      </c>
      <c r="AF1473" s="69"/>
      <c r="AG1473" s="62" t="n">
        <f aca="false">IF(LEFT(Cockpit!$C$5,1)="A",H1473,IF(Parameter!$E$30="MAX-Bestand",IF(CI1473=1,CJ1473,IF(LEFT(Cockpit!$C$5,1)="B",AM1473,MAX(AM1473,H1473))),ROUNDUP(AK1473,0)))</f>
        <v>9</v>
      </c>
      <c r="AH1473" s="62" t="n">
        <f aca="false">IF(CA1473=1,0,ROUNDUP(AG1473/BZ1473,0))</f>
        <v>1</v>
      </c>
      <c r="AI1473" s="64" t="n">
        <f aca="false">IF(CR1473&gt;0,CR1473*MAX(1,AG1473/X1473),IF(CA1473=1,IF(AG1473&lt;=0,0,CE1473*MAX(1,IF(H1473&gt;0,AG1473/H1473,1))),IF(R1473&gt;0,AH1473/R1473,0))/MAX(0.1,N(Parameter!$M$21)))</f>
        <v>0.0192307692307692</v>
      </c>
      <c r="AJ1473" s="62" t="n">
        <f aca="false">AI1473*CC1473</f>
        <v>2.98076923076923</v>
      </c>
      <c r="AK1473" s="63" t="n">
        <f aca="false">IF(LEFT(Cockpit!$C$5,1)="A",H1473,IF(CI1473=1,(CL1473+CJ1473)/2,IF(LEFT(Cockpit!$C$5,1)="B",(CL1473+AM1473)/2,MAX((CL1473+AM1473)/2,H1473))))</f>
        <v>9</v>
      </c>
      <c r="AL1473" s="62" t="n">
        <f aca="false">AK1473*G1473</f>
        <v>143.91</v>
      </c>
      <c r="AM1473" s="62" t="n">
        <f aca="false">ROUNDUP(CL1473+MAX(CM1473,2*(J1473/IF(CH1473&gt;0,CH1473,MAX(0.1,N(Cockpit!$C$6)))-CL1473)),0)</f>
        <v>20</v>
      </c>
      <c r="AN1473" s="63" t="n">
        <f aca="false">IF(AJ1473&gt;0,J1473/AJ1473,-1)</f>
        <v>0</v>
      </c>
      <c r="AO1473" s="63" t="n">
        <f aca="false">IF(AND(OR(CG1473="L1",CG1473="L23",CG1473="LIFT"),AJ1473&gt;0),SUMIFS($AJ$7:$AJ$1843,$CG$7:$CG$1843,CG1473,$AN$7:$AN$1843,"&gt;"&amp;AN1473)+SUMIFS($AJ$7:$AJ$1843,$CG$7:$CG$1843,CG1473,$AN$7:$AN$1843,AN1473,$BX$7:$BX$1843,"&lt;="&amp;BX1473),"")</f>
        <v>29708.0900566007</v>
      </c>
      <c r="AP1473" s="70" t="n">
        <f aca="false">IF(AO1473="",0,MAX(0,MIN(1,(IF(CG1473="L1",Parameter!$H$5,IF(CG1473="L23",Parameter!$H$6+Parameter!$H$7,Parameter!$H$5+Parameter!$H$6+Parameter!$H$7))-(AO1473-AJ1473))/AJ1473)))</f>
        <v>1</v>
      </c>
      <c r="AQ1473" s="62" t="n">
        <f aca="false">IF(LEFT(Cockpit!$I$5,1)="A",H1473,IF(Parameter!$E$30="MAX-Bestand",IF(CI1473=1,CJ1473,IF(LEFT(Cockpit!$I$5,1)="B",AW1473,MAX(AW1473,H1473))),ROUNDUP(AU1473,0)))</f>
        <v>10</v>
      </c>
      <c r="AR1473" s="62" t="n">
        <f aca="false">IF(CA1473=1,0,ROUNDUP(AQ1473/BZ1473,0))</f>
        <v>2</v>
      </c>
      <c r="AS1473" s="64" t="n">
        <f aca="false">IF(CR1473&gt;0,CR1473*MAX(1,AQ1473/X1473),IF(CA1473=1,IF(AQ1473&lt;=0,0,CE1473*MAX(1,IF(H1473&gt;0,AQ1473/H1473,1))),IF(R1473&gt;0,AR1473/R1473,0))/MAX(0.1,N(Parameter!$M$21)))</f>
        <v>0.0384615384615385</v>
      </c>
      <c r="AT1473" s="62" t="n">
        <f aca="false">AS1473*CC1473</f>
        <v>5.96153846153846</v>
      </c>
      <c r="AU1473" s="63" t="n">
        <f aca="false">IF(LEFT(Cockpit!$I$5,1)="A",H1473,IF(CI1473=1,(CL1473+CJ1473)/2,IF(LEFT(Cockpit!$I$5,1)="B",(CL1473+AW1473)/2,MAX((CL1473+AW1473)/2,H1473))))</f>
        <v>10</v>
      </c>
      <c r="AV1473" s="62" t="n">
        <f aca="false">AU1473*G1473</f>
        <v>159.9</v>
      </c>
      <c r="AW1473" s="62" t="n">
        <f aca="false">ROUNDUP(CL1473+MAX(CM1473,2*(J1473/IF(CH1473&gt;0,CH1473,MAX(0.1,N(Cockpit!$I$6)))-CL1473)),0)</f>
        <v>20</v>
      </c>
      <c r="AX1473" s="63" t="n">
        <f aca="false">IF(AT1473&gt;0,J1473/AT1473,-1)</f>
        <v>0</v>
      </c>
      <c r="AY1473" s="63" t="n">
        <f aca="false">IF(AND(OR(CG1473="L1",CG1473="L23",CG1473="LIFT"),AT1473&gt;0),SUMIFS($AT$7:$AT$1843,$CG$7:$CG$1843,CG1473,$AX$7:$AX$1843,"&gt;"&amp;AX1473)+SUMIFS($AT$7:$AT$1843,$CG$7:$CG$1843,CG1473,$AX$7:$AX$1843,AX1473,$BX$7:$BX$1843,"&lt;="&amp;BX1473),"")</f>
        <v>36014.6608591503</v>
      </c>
      <c r="AZ1473" s="70" t="n">
        <f aca="false">IF(AY1473="",0,MAX(0,MIN(1,(IF(CG1473="L1",Parameter!$H$5,IF(CG1473="L23",Parameter!$H$6+Parameter!$H$7,Parameter!$H$5+Parameter!$H$6+Parameter!$H$7))-(AY1473-AT1473))/AT1473)))</f>
        <v>0</v>
      </c>
      <c r="BA1473" s="62" t="n">
        <f aca="false">IF(LEFT(Cockpit!$O$5,1)="A",H1473,IF(Parameter!$E$30="MAX-Bestand",IF(CI1473=1,CJ1473,IF(LEFT(Cockpit!$O$5,1)="B",BG1473,MAX(BG1473,H1473))),ROUNDUP(BE1473,0)))</f>
        <v>10</v>
      </c>
      <c r="BB1473" s="62" t="n">
        <f aca="false">IF(CA1473=1,0,ROUNDUP(BA1473/BZ1473,0))</f>
        <v>2</v>
      </c>
      <c r="BC1473" s="64" t="n">
        <f aca="false">IF(CR1473&gt;0,CR1473*MAX(1,BA1473/X1473),IF(CA1473=1,IF(BA1473&lt;=0,0,CE1473*MAX(1,IF(H1473&gt;0,BA1473/H1473,1))),IF(R1473&gt;0,BB1473/R1473,0))/MAX(0.1,N(Parameter!$M$21)))</f>
        <v>0.0384615384615385</v>
      </c>
      <c r="BD1473" s="62" t="n">
        <f aca="false">BC1473*CC1473</f>
        <v>5.96153846153846</v>
      </c>
      <c r="BE1473" s="63" t="n">
        <f aca="false">IF(LEFT(Cockpit!$O$5,1)="A",H1473,IF(CI1473=1,(CL1473+CJ1473)/2,IF(LEFT(Cockpit!$O$5,1)="B",(CL1473+BG1473)/2,MAX((CL1473+BG1473)/2,H1473))))</f>
        <v>10</v>
      </c>
      <c r="BF1473" s="62" t="n">
        <f aca="false">BE1473*G1473</f>
        <v>159.9</v>
      </c>
      <c r="BG1473" s="62" t="n">
        <f aca="false">ROUNDUP(CL1473+MAX(CM1473,2*(J1473/IF(CH1473&gt;0,CH1473,MAX(0.1,N(Cockpit!$O$6)))-CL1473)),0)</f>
        <v>20</v>
      </c>
      <c r="BH1473" s="63" t="n">
        <f aca="false">IF(BD1473&gt;0,J1473/BD1473,-1)</f>
        <v>0</v>
      </c>
      <c r="BI1473" s="63" t="n">
        <f aca="false">IF(AND(OR(CG1473="L1",CG1473="L23",CG1473="LIFT"),BD1473&gt;0),SUMIFS($BD$7:$BD$1843,$CG$7:$CG$1843,CG1473,$BH$7:$BH$1843,"&gt;"&amp;BH1473)+SUMIFS($BD$7:$BD$1843,$CG$7:$CG$1843,CG1473,$BH$7:$BH$1843,BH1473,$BX$7:$BX$1843,"&lt;="&amp;BX1473),"")</f>
        <v>29999.967519298</v>
      </c>
      <c r="BJ1473" s="70" t="n">
        <f aca="false">IF(BI1473="",0,MAX(0,MIN(1,(IF(CG1473="L1",Parameter!$H$5,IF(CG1473="L23",Parameter!$H$6+Parameter!$H$7,Parameter!$H$5+Parameter!$H$6+Parameter!$H$7))-(BI1473-BD1473))/BD1473)))</f>
        <v>1</v>
      </c>
      <c r="BK1473" s="60" t="str">
        <f aca="false">IF(AJ1473&lt;=0,"",IF(CG1473="Aussen","Aussenlager",IF(CG1473="-","Nicht im Lift",IF(AP1473&gt;=1,"Lift",IF(AP1473&lt;=0,"Aussenlager","teilweise")))))</f>
        <v>Lift</v>
      </c>
      <c r="BL1473" s="60" t="str">
        <f aca="false">IF(AT1473&lt;=0,"",IF(CG1473="Aussen","Aussenlager",IF(CG1473="-","Nicht im Lift",IF(AZ1473&gt;=1,"Lift",IF(AZ1473&lt;=0,"Aussenlager","teilweise")))))</f>
        <v>Aussenlager</v>
      </c>
      <c r="BM1473" s="60" t="str">
        <f aca="false">IF(BD1473&lt;=0,"",IF(CG1473="Aussen","Aussenlager",IF(CG1473="-","Nicht im Lift",IF(BJ1473&gt;=1,"Lift",IF(BJ1473&lt;=0,"Aussenlager","teilweise")))))</f>
        <v>Lift</v>
      </c>
      <c r="BN1473" s="60" t="str">
        <f aca="false">IF(A1473="","",IF(BW1473=1,"Neu; ","")&amp;IF(AND(BW1473=0,BR1473&lt;0),"negativer Bestand (Export "&amp;BR1473&amp;"); ","")&amp;IF(J1473&lt;=0,"Kein Verbrauch; ","")&amp;IF(CR1473&gt;0,"Lift "&amp;W1473&amp;" lt. Liftbericht (Fach "&amp;X1473&amp;" Stk); ",IF(CB1473=1,"Gebinde geschätzt ("&amp;T1473&amp;"); ",IF(CA1473=1,"Lose – Tablare geschätzt; ","")))&amp;IF(H1473&gt;AW1473,"Überbestand "&amp;ROUND(H1473-AW1473,0)&amp;" Stk / CHF "&amp;ROUND((H1473-AW1473)*G1473,0)&amp;"; ","")&amp;IF(AND(CI1473=1,CJ1473&lt;CK1473),"MAX &lt; MB+LG; ","")&amp;IF(AND(CQ1473&gt;0,CP1473*10&gt;CQ1473),"zu hoch für Tablar; ","")&amp;IF(AND(BW1473=0,OR(CI1473=1,AB1473&lt;&gt;"",U1473&lt;&gt;"",V1473&lt;&gt;"",AC1473&lt;&gt;"")),"manuell übersteuert; ","")&amp;IF(AND(CA1473=0,R1473=0),"Gebinde unbekannt / Stellmass fehlt; ","")&amp;IF(AND(CA1473=0,N(V1473)&lt;=0,N(Q1473)&lt;=0),"Menge pro Gebinde fehlt (Ist = 1 Gebinde); ","")&amp;BV1473)</f>
        <v>Kein Verbrauch; nur im Artikelstamm (Bestand 23.06.2026)</v>
      </c>
      <c r="BO1473" s="60"/>
      <c r="BP1473" s="60"/>
      <c r="BQ1473" s="67"/>
      <c r="BR1473" s="62" t="n">
        <v>9</v>
      </c>
      <c r="BS1473" s="62" t="n">
        <v>0</v>
      </c>
      <c r="BT1473" s="61" t="n">
        <v>0</v>
      </c>
      <c r="BU1473" s="62" t="n">
        <v>0</v>
      </c>
      <c r="BV1473" s="60" t="s">
        <v>2617</v>
      </c>
      <c r="BW1473" s="65" t="n">
        <v>0</v>
      </c>
      <c r="BX1473" s="65" t="n">
        <v>1473</v>
      </c>
      <c r="BY1473" s="60" t="str">
        <f aca="false">IF(U1473&lt;&gt;"",UPPER(TRIM(U1473)),IF(CB1473=1,UPPER(VLOOKUP(T1473,Parameter!$I$27:$K$29,2,0)),IF(P1473="","LOSE",P1473)))</f>
        <v>S33</v>
      </c>
      <c r="BZ1473" s="62" t="n">
        <f aca="false">IF(BY1473="LOSE",1,IF(N(V1473)&gt;0,V1473,IF(CB1473=1,MAX(1,N(VLOOKUP(T1473,Parameter!$I$27:$K$29,3,0)),H1473,N(N1473)),IF(N(Q1473)&gt;0,Q1473,MAX(1,H1473)))))</f>
        <v>9</v>
      </c>
      <c r="CA1473" s="65" t="n">
        <f aca="false">IF(BY1473="LOSE",1,0)</f>
        <v>0</v>
      </c>
      <c r="CB1473" s="65" t="n">
        <f aca="false">IF(AND(U1473="",OR(P1473="",P1473="LOSE"),T1473&lt;&gt;"",N(S1473)&lt;=0,ISNUMBER(MATCH(T1473,Parameter!$I$27:$I$29,0))),1,0)</f>
        <v>0</v>
      </c>
      <c r="CC1473" s="65" t="n">
        <f aca="false">IF(CR1473&gt;0,INDEX(Parameter!$H$5:$H$7,W1473)/INDEX(Parameter!$E$5:$E$7,W1473),IF(AND(CA1473=0,N(IFERROR(VLOOKUP(BY1473,'Gebinde-Kategorie'!$A$5:$N$45,14,0),0))&gt;0),VLOOKUP(BY1473,'Gebinde-Kategorie'!$A$5:$N$45,14,0)*10+Parameter!$M$23,Parameter!$M$24))</f>
        <v>155</v>
      </c>
      <c r="CD1473" s="60" t="str">
        <f aca="false">IF(AND(Parameter!$B$19="Ja",E1473&lt;&gt;"",ISNUMBER(MATCH(E1473,Parameter!$I$35:$I$52,0))),VLOOKUP(E1473,Parameter!$I$35:$J$52,2,0),IFERROR(VLOOKUP(D1473,Parameter!$A$35:$C$64,2,0),"Nein"))</f>
        <v>2+3</v>
      </c>
      <c r="CE1473" s="64" t="n">
        <f aca="false">IF(CA1473=0,0,IF(N(S1473)&gt;0,S1473,IFERROR(VLOOKUP(D1473,Parameter!$A$35:$C$64,3,0)+0,0)))</f>
        <v>0</v>
      </c>
      <c r="CF1473" s="60" t="n">
        <f aca="false">IF(AB1473&lt;&gt;"",AB1473,AA1473)</f>
        <v>3</v>
      </c>
      <c r="CG1473" s="60" t="str">
        <f aca="false">IF(OR(CF1473=1,CF1473=2,CF1473=3),IF(Parameter!$E$27="Ja","LIFT",IF(CF1473=1,"L1","L23")),IF(CF1473="Aussen","Aussen","-"))</f>
        <v>LIFT</v>
      </c>
      <c r="CH1473" s="71" t="n">
        <f aca="false">IF(N(AC1473)&gt;0,AC1473,0)</f>
        <v>0</v>
      </c>
      <c r="CI1473" s="65" t="n">
        <f aca="false">IF(ISNUMBER(AF1473),1,0)</f>
        <v>0</v>
      </c>
      <c r="CJ1473" s="62" t="n">
        <f aca="false">N(AF1473)</f>
        <v>0</v>
      </c>
      <c r="CK1473" s="62" t="n">
        <f aca="false">N(M1473)+N(N1473)</f>
        <v>20</v>
      </c>
      <c r="CL1473" s="62" t="n">
        <f aca="false">N(M1473)</f>
        <v>0</v>
      </c>
      <c r="CM1473" s="62" t="n">
        <f aca="false">N(N1473)</f>
        <v>20</v>
      </c>
      <c r="CN1473" s="62" t="n">
        <f aca="false">ROUNDUP(H1473/BZ1473,0)</f>
        <v>1</v>
      </c>
      <c r="CO1473" s="62" t="n">
        <f aca="false">ROUNDUP(CJ1473/BZ1473,0)</f>
        <v>0</v>
      </c>
      <c r="CP1473" s="65" t="n">
        <f aca="false">IF(CA1473=1,0,IFERROR(VLOOKUP(BY1473,'Gebinde-Kategorie'!$A$5:$N$45,5,0)+0,0))</f>
        <v>8</v>
      </c>
      <c r="CQ1473" s="65" t="n">
        <f aca="false">IFERROR(IF(OR(CF1473=1,CF1473=2,CF1473=3),N(INDEX(Parameter!$I$5:$I$7,CF1473)),0),0)</f>
        <v>0</v>
      </c>
      <c r="CR1473" s="64" t="n">
        <f aca="false">IF(AND(Parameter!$B$21="Ja",ISNUMBER(W1473),N(X1473)&gt;0),IFERROR(N(INDEX(Parameter!$L$5:$L$7,W1473))*INDEX(Parameter!$E$5:$E$7,W1473)*X1473/SUMIFS($X$7:$X$1843,$W$7:$W$1843,W1473),0),0)</f>
        <v>0</v>
      </c>
      <c r="CS1473" s="62" t="n">
        <f aca="false">IF(AND(OR(CG1473="L1",CG1473="L23",CG1473="LIFT"),H1473&gt;0),CC1473*IF(CR1473&gt;0,CR1473*MAX(1,H1473/X1473),IF(CA1473=1,CE1473,IF(R1473&gt;0,CN1473/R1473,0))/MAX(0.1,N(Parameter!$M$21))),"")</f>
        <v>2.98076923076923</v>
      </c>
      <c r="CT1473" s="64" t="n">
        <f aca="false">IF(CS1473="","",J1473/H1473)</f>
        <v>0</v>
      </c>
      <c r="CU1473" s="62" t="n">
        <f aca="false">IF(CS1473="","",H1473*G1473)</f>
        <v>143.91</v>
      </c>
      <c r="CV1473" s="63" t="n">
        <f aca="false">IF(CS1473="","",(CL1473+ROUNDUP(CL1473+MAX(CM1473,2*(J1473/MAX(0.1,N(Einkauf!$C$6))-CL1473)),0))/2)</f>
        <v>10</v>
      </c>
      <c r="CW1473" s="62" t="n">
        <f aca="false">IF(CS1473="","",MAX(0,H1473-CV1473)*G1473)</f>
        <v>0</v>
      </c>
      <c r="CX1473" s="62" t="n">
        <f aca="false">IF(CS1473="","",CS1473*MAX(0,1-CV1473/H1473))</f>
        <v>0</v>
      </c>
      <c r="CY1473" s="64" t="n">
        <f aca="false">IF(CS1473="","",PERCENTRANK($CS$7:$CS$1843,CS1473)+PERCENTRANK($CU$7:$CU$1843,CU1473)+1-PERCENTRANK($CT$7:$CT$1843,CT1473))</f>
        <v>1.504</v>
      </c>
      <c r="CZ1473" s="72" t="n">
        <f aca="false">IF(CS1473="","",CHOOSE(MATCH(Einkauf!$C$5,Parameter!$G$23:$G$27,0),CY1473,CS1473,CU1473,-CT1473,CW1473)+ROW()/1000000000)</f>
        <v>1.504001473</v>
      </c>
    </row>
    <row r="1474" customFormat="false" ht="15" hidden="false" customHeight="false" outlineLevel="0" collapsed="false">
      <c r="A1474" s="60" t="s">
        <v>2618</v>
      </c>
      <c r="B1474" s="60" t="s">
        <v>2619</v>
      </c>
      <c r="C1474" s="60" t="s">
        <v>206</v>
      </c>
      <c r="D1474" s="60" t="s">
        <v>226</v>
      </c>
      <c r="E1474" s="60" t="s">
        <v>227</v>
      </c>
      <c r="F1474" s="60"/>
      <c r="G1474" s="61" t="n">
        <v>57.38</v>
      </c>
      <c r="H1474" s="62" t="n">
        <f aca="false">MAX(0,IF(AND(Parameter!$B$21="Ja",ISNUMBER(Y1474)),Y1474,IF(Parameter!$B$20="Jahresanfang 2025 + Export",BS1474+BR1474,BR1474)))</f>
        <v>4</v>
      </c>
      <c r="I1474" s="62" t="n">
        <f aca="false">H1474*G1474</f>
        <v>229.52</v>
      </c>
      <c r="J1474" s="62" t="n">
        <f aca="false">BU1474*Parameter!$B$18</f>
        <v>0</v>
      </c>
      <c r="K1474" s="63"/>
      <c r="L1474" s="64"/>
      <c r="M1474" s="62" t="n">
        <v>0</v>
      </c>
      <c r="N1474" s="62" t="n">
        <v>10</v>
      </c>
      <c r="O1474" s="65" t="n">
        <v>14</v>
      </c>
      <c r="P1474" s="60" t="s">
        <v>468</v>
      </c>
      <c r="Q1474" s="62" t="n">
        <v>6</v>
      </c>
      <c r="R1474" s="65" t="n">
        <f aca="false">IF(CA1474=1,0,IFERROR(VLOOKUP(BY1474,'Gebinde-Kategorie'!$A$5:$N$45,13,0)+0,0))</f>
        <v>140</v>
      </c>
      <c r="S1474" s="66"/>
      <c r="T1474" s="67"/>
      <c r="U1474" s="67"/>
      <c r="V1474" s="67"/>
      <c r="W1474" s="60"/>
      <c r="X1474" s="62"/>
      <c r="Y1474" s="62"/>
      <c r="Z1474" s="60" t="n">
        <v>3</v>
      </c>
      <c r="AA1474" s="60" t="n">
        <f aca="false">IF(A1474="","",IF(AND(Parameter!$B$21="Ja",ISNUMBER(W1474)),W1474,IF(AND(Parameter!$E$27="Ja",ISNUMBER(Z1474),CD1474&lt;&gt;"Nein"),Z1474,IF(CD1474="2+3",IF(ISNUMBER(SEARCH("grosser Artikel",BV1474)),2,IFERROR(VLOOKUP(BY1474,Parameter!$F$35:$G$64,2,0),2)),IF(OR(CD1474="Nein",CD1474=""),"-",CD1474)))))</f>
        <v>3</v>
      </c>
      <c r="AB1474" s="67"/>
      <c r="AC1474" s="68"/>
      <c r="AD1474" s="62" t="n">
        <f aca="false">AW1474</f>
        <v>10</v>
      </c>
      <c r="AE1474" s="62" t="n">
        <f aca="false">MAX(AW1474,H1474)</f>
        <v>10</v>
      </c>
      <c r="AF1474" s="69"/>
      <c r="AG1474" s="62" t="n">
        <f aca="false">IF(LEFT(Cockpit!$C$5,1)="A",H1474,IF(Parameter!$E$30="MAX-Bestand",IF(CI1474=1,CJ1474,IF(LEFT(Cockpit!$C$5,1)="B",AM1474,MAX(AM1474,H1474))),ROUNDUP(AK1474,0)))</f>
        <v>4</v>
      </c>
      <c r="AH1474" s="62" t="n">
        <f aca="false">IF(CA1474=1,0,ROUNDUP(AG1474/BZ1474,0))</f>
        <v>1</v>
      </c>
      <c r="AI1474" s="64" t="n">
        <f aca="false">IF(CR1474&gt;0,CR1474*MAX(1,AG1474/X1474),IF(CA1474=1,IF(AG1474&lt;=0,0,CE1474*MAX(1,IF(H1474&gt;0,AG1474/H1474,1))),IF(R1474&gt;0,AH1474/R1474,0))/MAX(0.1,N(Parameter!$M$21)))</f>
        <v>0.00714285714285714</v>
      </c>
      <c r="AJ1474" s="62" t="n">
        <f aca="false">AI1474*CC1474</f>
        <v>1.10714285714286</v>
      </c>
      <c r="AK1474" s="63" t="n">
        <f aca="false">IF(LEFT(Cockpit!$C$5,1)="A",H1474,IF(CI1474=1,(CL1474+CJ1474)/2,IF(LEFT(Cockpit!$C$5,1)="B",(CL1474+AM1474)/2,MAX((CL1474+AM1474)/2,H1474))))</f>
        <v>4</v>
      </c>
      <c r="AL1474" s="62" t="n">
        <f aca="false">AK1474*G1474</f>
        <v>229.52</v>
      </c>
      <c r="AM1474" s="62" t="n">
        <f aca="false">ROUNDUP(CL1474+MAX(CM1474,2*(J1474/IF(CH1474&gt;0,CH1474,MAX(0.1,N(Cockpit!$C$6)))-CL1474)),0)</f>
        <v>10</v>
      </c>
      <c r="AN1474" s="63" t="n">
        <f aca="false">IF(AJ1474&gt;0,J1474/AJ1474,-1)</f>
        <v>0</v>
      </c>
      <c r="AO1474" s="63" t="n">
        <f aca="false">IF(AND(OR(CG1474="L1",CG1474="L23",CG1474="LIFT"),AJ1474&gt;0),SUMIFS($AJ$7:$AJ$1843,$CG$7:$CG$1843,CG1474,$AN$7:$AN$1843,"&gt;"&amp;AN1474)+SUMIFS($AJ$7:$AJ$1843,$CG$7:$CG$1843,CG1474,$AN$7:$AN$1843,AN1474,$BX$7:$BX$1843,"&lt;="&amp;BX1474),"")</f>
        <v>29709.1971994578</v>
      </c>
      <c r="AP1474" s="70" t="n">
        <f aca="false">IF(AO1474="",0,MAX(0,MIN(1,(IF(CG1474="L1",Parameter!$H$5,IF(CG1474="L23",Parameter!$H$6+Parameter!$H$7,Parameter!$H$5+Parameter!$H$6+Parameter!$H$7))-(AO1474-AJ1474))/AJ1474)))</f>
        <v>1</v>
      </c>
      <c r="AQ1474" s="62" t="n">
        <f aca="false">IF(LEFT(Cockpit!$I$5,1)="A",H1474,IF(Parameter!$E$30="MAX-Bestand",IF(CI1474=1,CJ1474,IF(LEFT(Cockpit!$I$5,1)="B",AW1474,MAX(AW1474,H1474))),ROUNDUP(AU1474,0)))</f>
        <v>5</v>
      </c>
      <c r="AR1474" s="62" t="n">
        <f aca="false">IF(CA1474=1,0,ROUNDUP(AQ1474/BZ1474,0))</f>
        <v>1</v>
      </c>
      <c r="AS1474" s="64" t="n">
        <f aca="false">IF(CR1474&gt;0,CR1474*MAX(1,AQ1474/X1474),IF(CA1474=1,IF(AQ1474&lt;=0,0,CE1474*MAX(1,IF(H1474&gt;0,AQ1474/H1474,1))),IF(R1474&gt;0,AR1474/R1474,0))/MAX(0.1,N(Parameter!$M$21)))</f>
        <v>0.00714285714285714</v>
      </c>
      <c r="AT1474" s="62" t="n">
        <f aca="false">AS1474*CC1474</f>
        <v>1.10714285714286</v>
      </c>
      <c r="AU1474" s="63" t="n">
        <f aca="false">IF(LEFT(Cockpit!$I$5,1)="A",H1474,IF(CI1474=1,(CL1474+CJ1474)/2,IF(LEFT(Cockpit!$I$5,1)="B",(CL1474+AW1474)/2,MAX((CL1474+AW1474)/2,H1474))))</f>
        <v>5</v>
      </c>
      <c r="AV1474" s="62" t="n">
        <f aca="false">AU1474*G1474</f>
        <v>286.9</v>
      </c>
      <c r="AW1474" s="62" t="n">
        <f aca="false">ROUNDUP(CL1474+MAX(CM1474,2*(J1474/IF(CH1474&gt;0,CH1474,MAX(0.1,N(Cockpit!$I$6)))-CL1474)),0)</f>
        <v>10</v>
      </c>
      <c r="AX1474" s="63" t="n">
        <f aca="false">IF(AT1474&gt;0,J1474/AT1474,-1)</f>
        <v>0</v>
      </c>
      <c r="AY1474" s="63" t="n">
        <f aca="false">IF(AND(OR(CG1474="L1",CG1474="L23",CG1474="LIFT"),AT1474&gt;0),SUMIFS($AT$7:$AT$1843,$CG$7:$CG$1843,CG1474,$AX$7:$AX$1843,"&gt;"&amp;AX1474)+SUMIFS($AT$7:$AT$1843,$CG$7:$CG$1843,CG1474,$AX$7:$AX$1843,AX1474,$BX$7:$BX$1843,"&lt;="&amp;BX1474),"")</f>
        <v>36015.7680020074</v>
      </c>
      <c r="AZ1474" s="70" t="n">
        <f aca="false">IF(AY1474="",0,MAX(0,MIN(1,(IF(CG1474="L1",Parameter!$H$5,IF(CG1474="L23",Parameter!$H$6+Parameter!$H$7,Parameter!$H$5+Parameter!$H$6+Parameter!$H$7))-(AY1474-AT1474))/AT1474)))</f>
        <v>0</v>
      </c>
      <c r="BA1474" s="62" t="n">
        <f aca="false">IF(LEFT(Cockpit!$O$5,1)="A",H1474,IF(Parameter!$E$30="MAX-Bestand",IF(CI1474=1,CJ1474,IF(LEFT(Cockpit!$O$5,1)="B",BG1474,MAX(BG1474,H1474))),ROUNDUP(BE1474,0)))</f>
        <v>5</v>
      </c>
      <c r="BB1474" s="62" t="n">
        <f aca="false">IF(CA1474=1,0,ROUNDUP(BA1474/BZ1474,0))</f>
        <v>1</v>
      </c>
      <c r="BC1474" s="64" t="n">
        <f aca="false">IF(CR1474&gt;0,CR1474*MAX(1,BA1474/X1474),IF(CA1474=1,IF(BA1474&lt;=0,0,CE1474*MAX(1,IF(H1474&gt;0,BA1474/H1474,1))),IF(R1474&gt;0,BB1474/R1474,0))/MAX(0.1,N(Parameter!$M$21)))</f>
        <v>0.00714285714285714</v>
      </c>
      <c r="BD1474" s="62" t="n">
        <f aca="false">BC1474*CC1474</f>
        <v>1.10714285714286</v>
      </c>
      <c r="BE1474" s="63" t="n">
        <f aca="false">IF(LEFT(Cockpit!$O$5,1)="A",H1474,IF(CI1474=1,(CL1474+CJ1474)/2,IF(LEFT(Cockpit!$O$5,1)="B",(CL1474+BG1474)/2,MAX((CL1474+BG1474)/2,H1474))))</f>
        <v>5</v>
      </c>
      <c r="BF1474" s="62" t="n">
        <f aca="false">BE1474*G1474</f>
        <v>286.9</v>
      </c>
      <c r="BG1474" s="62" t="n">
        <f aca="false">ROUNDUP(CL1474+MAX(CM1474,2*(J1474/IF(CH1474&gt;0,CH1474,MAX(0.1,N(Cockpit!$O$6)))-CL1474)),0)</f>
        <v>10</v>
      </c>
      <c r="BH1474" s="63" t="n">
        <f aca="false">IF(BD1474&gt;0,J1474/BD1474,-1)</f>
        <v>0</v>
      </c>
      <c r="BI1474" s="63" t="n">
        <f aca="false">IF(AND(OR(CG1474="L1",CG1474="L23",CG1474="LIFT"),BD1474&gt;0),SUMIFS($BD$7:$BD$1843,$CG$7:$CG$1843,CG1474,$BH$7:$BH$1843,"&gt;"&amp;BH1474)+SUMIFS($BD$7:$BD$1843,$CG$7:$CG$1843,CG1474,$BH$7:$BH$1843,BH1474,$BX$7:$BX$1843,"&lt;="&amp;BX1474),"")</f>
        <v>30001.0746621552</v>
      </c>
      <c r="BJ1474" s="70" t="n">
        <f aca="false">IF(BI1474="",0,MAX(0,MIN(1,(IF(CG1474="L1",Parameter!$H$5,IF(CG1474="L23",Parameter!$H$6+Parameter!$H$7,Parameter!$H$5+Parameter!$H$6+Parameter!$H$7))-(BI1474-BD1474))/BD1474)))</f>
        <v>1</v>
      </c>
      <c r="BK1474" s="60" t="str">
        <f aca="false">IF(AJ1474&lt;=0,"",IF(CG1474="Aussen","Aussenlager",IF(CG1474="-","Nicht im Lift",IF(AP1474&gt;=1,"Lift",IF(AP1474&lt;=0,"Aussenlager","teilweise")))))</f>
        <v>Lift</v>
      </c>
      <c r="BL1474" s="60" t="str">
        <f aca="false">IF(AT1474&lt;=0,"",IF(CG1474="Aussen","Aussenlager",IF(CG1474="-","Nicht im Lift",IF(AZ1474&gt;=1,"Lift",IF(AZ1474&lt;=0,"Aussenlager","teilweise")))))</f>
        <v>Aussenlager</v>
      </c>
      <c r="BM1474" s="60" t="str">
        <f aca="false">IF(BD1474&lt;=0,"",IF(CG1474="Aussen","Aussenlager",IF(CG1474="-","Nicht im Lift",IF(BJ1474&gt;=1,"Lift",IF(BJ1474&lt;=0,"Aussenlager","teilweise")))))</f>
        <v>Lift</v>
      </c>
      <c r="BN1474" s="60" t="str">
        <f aca="false">IF(A1474="","",IF(BW1474=1,"Neu; ","")&amp;IF(AND(BW1474=0,BR1474&lt;0),"negativer Bestand (Export "&amp;BR1474&amp;"); ","")&amp;IF(J1474&lt;=0,"Kein Verbrauch; ","")&amp;IF(CR1474&gt;0,"Lift "&amp;W1474&amp;" lt. Liftbericht (Fach "&amp;X1474&amp;" Stk); ",IF(CB1474=1,"Gebinde geschätzt ("&amp;T1474&amp;"); ",IF(CA1474=1,"Lose – Tablare geschätzt; ","")))&amp;IF(H1474&gt;AW1474,"Überbestand "&amp;ROUND(H1474-AW1474,0)&amp;" Stk / CHF "&amp;ROUND((H1474-AW1474)*G1474,0)&amp;"; ","")&amp;IF(AND(CI1474=1,CJ1474&lt;CK1474),"MAX &lt; MB+LG; ","")&amp;IF(AND(CQ1474&gt;0,CP1474*10&gt;CQ1474),"zu hoch für Tablar; ","")&amp;IF(AND(BW1474=0,OR(CI1474=1,AB1474&lt;&gt;"",U1474&lt;&gt;"",V1474&lt;&gt;"",AC1474&lt;&gt;"")),"manuell übersteuert; ","")&amp;IF(AND(CA1474=0,R1474=0),"Gebinde unbekannt / Stellmass fehlt; ","")&amp;IF(AND(CA1474=0,N(V1474)&lt;=0,N(Q1474)&lt;=0),"Menge pro Gebinde fehlt (Ist = 1 Gebinde); ","")&amp;BV1474)</f>
        <v>Kein Verbrauch; nur im Artikelstamm (Bestand 23.06.2026); Verb.Lager</v>
      </c>
      <c r="BO1474" s="60"/>
      <c r="BP1474" s="60"/>
      <c r="BQ1474" s="67"/>
      <c r="BR1474" s="62" t="n">
        <v>4</v>
      </c>
      <c r="BS1474" s="62" t="n">
        <v>0</v>
      </c>
      <c r="BT1474" s="61" t="n">
        <v>0</v>
      </c>
      <c r="BU1474" s="62" t="n">
        <v>0</v>
      </c>
      <c r="BV1474" s="60" t="s">
        <v>2611</v>
      </c>
      <c r="BW1474" s="65" t="n">
        <v>0</v>
      </c>
      <c r="BX1474" s="65" t="n">
        <v>1474</v>
      </c>
      <c r="BY1474" s="60" t="str">
        <f aca="false">IF(U1474&lt;&gt;"",UPPER(TRIM(U1474)),IF(CB1474=1,UPPER(VLOOKUP(T1474,Parameter!$I$27:$K$29,2,0)),IF(P1474="","LOSE",P1474)))</f>
        <v>S22</v>
      </c>
      <c r="BZ1474" s="62" t="n">
        <f aca="false">IF(BY1474="LOSE",1,IF(N(V1474)&gt;0,V1474,IF(CB1474=1,MAX(1,N(VLOOKUP(T1474,Parameter!$I$27:$K$29,3,0)),H1474,N(N1474)),IF(N(Q1474)&gt;0,Q1474,MAX(1,H1474)))))</f>
        <v>6</v>
      </c>
      <c r="CA1474" s="65" t="n">
        <f aca="false">IF(BY1474="LOSE",1,0)</f>
        <v>0</v>
      </c>
      <c r="CB1474" s="65" t="n">
        <f aca="false">IF(AND(U1474="",OR(P1474="",P1474="LOSE"),T1474&lt;&gt;"",N(S1474)&lt;=0,ISNUMBER(MATCH(T1474,Parameter!$I$27:$I$29,0))),1,0)</f>
        <v>0</v>
      </c>
      <c r="CC1474" s="65" t="n">
        <f aca="false">IF(CR1474&gt;0,INDEX(Parameter!$H$5:$H$7,W1474)/INDEX(Parameter!$E$5:$E$7,W1474),IF(AND(CA1474=0,N(IFERROR(VLOOKUP(BY1474,'Gebinde-Kategorie'!$A$5:$N$45,14,0),0))&gt;0),VLOOKUP(BY1474,'Gebinde-Kategorie'!$A$5:$N$45,14,0)*10+Parameter!$M$23,Parameter!$M$24))</f>
        <v>155</v>
      </c>
      <c r="CD1474" s="60" t="str">
        <f aca="false">IF(AND(Parameter!$B$19="Ja",E1474&lt;&gt;"",ISNUMBER(MATCH(E1474,Parameter!$I$35:$I$52,0))),VLOOKUP(E1474,Parameter!$I$35:$J$52,2,0),IFERROR(VLOOKUP(D1474,Parameter!$A$35:$C$64,2,0),"Nein"))</f>
        <v>2+3</v>
      </c>
      <c r="CE1474" s="64" t="n">
        <f aca="false">IF(CA1474=0,0,IF(N(S1474)&gt;0,S1474,IFERROR(VLOOKUP(D1474,Parameter!$A$35:$C$64,3,0)+0,0)))</f>
        <v>0</v>
      </c>
      <c r="CF1474" s="60" t="n">
        <f aca="false">IF(AB1474&lt;&gt;"",AB1474,AA1474)</f>
        <v>3</v>
      </c>
      <c r="CG1474" s="60" t="str">
        <f aca="false">IF(OR(CF1474=1,CF1474=2,CF1474=3),IF(Parameter!$E$27="Ja","LIFT",IF(CF1474=1,"L1","L23")),IF(CF1474="Aussen","Aussen","-"))</f>
        <v>LIFT</v>
      </c>
      <c r="CH1474" s="71" t="n">
        <f aca="false">IF(N(AC1474)&gt;0,AC1474,0)</f>
        <v>0</v>
      </c>
      <c r="CI1474" s="65" t="n">
        <f aca="false">IF(ISNUMBER(AF1474),1,0)</f>
        <v>0</v>
      </c>
      <c r="CJ1474" s="62" t="n">
        <f aca="false">N(AF1474)</f>
        <v>0</v>
      </c>
      <c r="CK1474" s="62" t="n">
        <f aca="false">N(M1474)+N(N1474)</f>
        <v>10</v>
      </c>
      <c r="CL1474" s="62" t="n">
        <f aca="false">N(M1474)</f>
        <v>0</v>
      </c>
      <c r="CM1474" s="62" t="n">
        <f aca="false">N(N1474)</f>
        <v>10</v>
      </c>
      <c r="CN1474" s="62" t="n">
        <f aca="false">ROUNDUP(H1474/BZ1474,0)</f>
        <v>1</v>
      </c>
      <c r="CO1474" s="62" t="n">
        <f aca="false">ROUNDUP(CJ1474/BZ1474,0)</f>
        <v>0</v>
      </c>
      <c r="CP1474" s="65" t="n">
        <f aca="false">IF(CA1474=1,0,IFERROR(VLOOKUP(BY1474,'Gebinde-Kategorie'!$A$5:$N$45,5,0)+0,0))</f>
        <v>8</v>
      </c>
      <c r="CQ1474" s="65" t="n">
        <f aca="false">IFERROR(IF(OR(CF1474=1,CF1474=2,CF1474=3),N(INDEX(Parameter!$I$5:$I$7,CF1474)),0),0)</f>
        <v>0</v>
      </c>
      <c r="CR1474" s="64" t="n">
        <f aca="false">IF(AND(Parameter!$B$21="Ja",ISNUMBER(W1474),N(X1474)&gt;0),IFERROR(N(INDEX(Parameter!$L$5:$L$7,W1474))*INDEX(Parameter!$E$5:$E$7,W1474)*X1474/SUMIFS($X$7:$X$1843,$W$7:$W$1843,W1474),0),0)</f>
        <v>0</v>
      </c>
      <c r="CS1474" s="62" t="n">
        <f aca="false">IF(AND(OR(CG1474="L1",CG1474="L23",CG1474="LIFT"),H1474&gt;0),CC1474*IF(CR1474&gt;0,CR1474*MAX(1,H1474/X1474),IF(CA1474=1,CE1474,IF(R1474&gt;0,CN1474/R1474,0))/MAX(0.1,N(Parameter!$M$21))),"")</f>
        <v>1.10714285714286</v>
      </c>
      <c r="CT1474" s="64" t="n">
        <f aca="false">IF(CS1474="","",J1474/H1474)</f>
        <v>0</v>
      </c>
      <c r="CU1474" s="62" t="n">
        <f aca="false">IF(CS1474="","",H1474*G1474)</f>
        <v>229.52</v>
      </c>
      <c r="CV1474" s="63" t="n">
        <f aca="false">IF(CS1474="","",(CL1474+ROUNDUP(CL1474+MAX(CM1474,2*(J1474/MAX(0.1,N(Einkauf!$C$6))-CL1474)),0))/2)</f>
        <v>5</v>
      </c>
      <c r="CW1474" s="62" t="n">
        <f aca="false">IF(CS1474="","",MAX(0,H1474-CV1474)*G1474)</f>
        <v>0</v>
      </c>
      <c r="CX1474" s="62" t="n">
        <f aca="false">IF(CS1474="","",CS1474*MAX(0,1-CV1474/H1474))</f>
        <v>0</v>
      </c>
      <c r="CY1474" s="64" t="n">
        <f aca="false">IF(CS1474="","",PERCENTRANK($CS$7:$CS$1843,CS1474)+PERCENTRANK($CU$7:$CU$1843,CU1474)+1-PERCENTRANK($CT$7:$CT$1843,CT1474))</f>
        <v>1.4184</v>
      </c>
      <c r="CZ1474" s="72" t="n">
        <f aca="false">IF(CS1474="","",CHOOSE(MATCH(Einkauf!$C$5,Parameter!$G$23:$G$27,0),CY1474,CS1474,CU1474,-CT1474,CW1474)+ROW()/1000000000)</f>
        <v>1.418401474</v>
      </c>
    </row>
    <row r="1475" customFormat="false" ht="15" hidden="false" customHeight="false" outlineLevel="0" collapsed="false">
      <c r="A1475" s="60" t="s">
        <v>2620</v>
      </c>
      <c r="B1475" s="60" t="s">
        <v>2621</v>
      </c>
      <c r="C1475" s="60" t="s">
        <v>206</v>
      </c>
      <c r="D1475" s="60" t="s">
        <v>226</v>
      </c>
      <c r="E1475" s="60" t="s">
        <v>227</v>
      </c>
      <c r="F1475" s="60"/>
      <c r="G1475" s="61" t="n">
        <v>70.21</v>
      </c>
      <c r="H1475" s="62" t="n">
        <f aca="false">MAX(0,IF(AND(Parameter!$B$21="Ja",ISNUMBER(Y1475)),Y1475,IF(Parameter!$B$20="Jahresanfang 2025 + Export",BS1475+BR1475,BR1475)))</f>
        <v>4</v>
      </c>
      <c r="I1475" s="62" t="n">
        <f aca="false">H1475*G1475</f>
        <v>280.84</v>
      </c>
      <c r="J1475" s="62" t="n">
        <f aca="false">BU1475*Parameter!$B$18</f>
        <v>0</v>
      </c>
      <c r="K1475" s="63"/>
      <c r="L1475" s="64"/>
      <c r="M1475" s="62" t="n">
        <v>0</v>
      </c>
      <c r="N1475" s="62" t="n">
        <v>5</v>
      </c>
      <c r="O1475" s="65" t="n">
        <v>14</v>
      </c>
      <c r="P1475" s="60" t="s">
        <v>370</v>
      </c>
      <c r="Q1475" s="62" t="n">
        <v>4</v>
      </c>
      <c r="R1475" s="65" t="n">
        <f aca="false">IF(CA1475=1,0,IFERROR(VLOOKUP(BY1475,'Gebinde-Kategorie'!$A$5:$N$45,13,0)+0,0))</f>
        <v>52</v>
      </c>
      <c r="S1475" s="66"/>
      <c r="T1475" s="67"/>
      <c r="U1475" s="67"/>
      <c r="V1475" s="67"/>
      <c r="W1475" s="60"/>
      <c r="X1475" s="62"/>
      <c r="Y1475" s="62"/>
      <c r="Z1475" s="60" t="n">
        <v>1</v>
      </c>
      <c r="AA1475" s="60" t="n">
        <f aca="false">IF(A1475="","",IF(AND(Parameter!$B$21="Ja",ISNUMBER(W1475)),W1475,IF(AND(Parameter!$E$27="Ja",ISNUMBER(Z1475),CD1475&lt;&gt;"Nein"),Z1475,IF(CD1475="2+3",IF(ISNUMBER(SEARCH("grosser Artikel",BV1475)),2,IFERROR(VLOOKUP(BY1475,Parameter!$F$35:$G$64,2,0),2)),IF(OR(CD1475="Nein",CD1475=""),"-",CD1475)))))</f>
        <v>1</v>
      </c>
      <c r="AB1475" s="67"/>
      <c r="AC1475" s="68"/>
      <c r="AD1475" s="62" t="n">
        <f aca="false">AW1475</f>
        <v>5</v>
      </c>
      <c r="AE1475" s="62" t="n">
        <f aca="false">MAX(AW1475,H1475)</f>
        <v>5</v>
      </c>
      <c r="AF1475" s="69"/>
      <c r="AG1475" s="62" t="n">
        <f aca="false">IF(LEFT(Cockpit!$C$5,1)="A",H1475,IF(Parameter!$E$30="MAX-Bestand",IF(CI1475=1,CJ1475,IF(LEFT(Cockpit!$C$5,1)="B",AM1475,MAX(AM1475,H1475))),ROUNDUP(AK1475,0)))</f>
        <v>4</v>
      </c>
      <c r="AH1475" s="62" t="n">
        <f aca="false">IF(CA1475=1,0,ROUNDUP(AG1475/BZ1475,0))</f>
        <v>1</v>
      </c>
      <c r="AI1475" s="64" t="n">
        <f aca="false">IF(CR1475&gt;0,CR1475*MAX(1,AG1475/X1475),IF(CA1475=1,IF(AG1475&lt;=0,0,CE1475*MAX(1,IF(H1475&gt;0,AG1475/H1475,1))),IF(R1475&gt;0,AH1475/R1475,0))/MAX(0.1,N(Parameter!$M$21)))</f>
        <v>0.0192307692307692</v>
      </c>
      <c r="AJ1475" s="62" t="n">
        <f aca="false">AI1475*CC1475</f>
        <v>2.98076923076923</v>
      </c>
      <c r="AK1475" s="63" t="n">
        <f aca="false">IF(LEFT(Cockpit!$C$5,1)="A",H1475,IF(CI1475=1,(CL1475+CJ1475)/2,IF(LEFT(Cockpit!$C$5,1)="B",(CL1475+AM1475)/2,MAX((CL1475+AM1475)/2,H1475))))</f>
        <v>4</v>
      </c>
      <c r="AL1475" s="62" t="n">
        <f aca="false">AK1475*G1475</f>
        <v>280.84</v>
      </c>
      <c r="AM1475" s="62" t="n">
        <f aca="false">ROUNDUP(CL1475+MAX(CM1475,2*(J1475/IF(CH1475&gt;0,CH1475,MAX(0.1,N(Cockpit!$C$6)))-CL1475)),0)</f>
        <v>5</v>
      </c>
      <c r="AN1475" s="63" t="n">
        <f aca="false">IF(AJ1475&gt;0,J1475/AJ1475,-1)</f>
        <v>0</v>
      </c>
      <c r="AO1475" s="63" t="n">
        <f aca="false">IF(AND(OR(CG1475="L1",CG1475="L23",CG1475="LIFT"),AJ1475&gt;0),SUMIFS($AJ$7:$AJ$1843,$CG$7:$CG$1843,CG1475,$AN$7:$AN$1843,"&gt;"&amp;AN1475)+SUMIFS($AJ$7:$AJ$1843,$CG$7:$CG$1843,CG1475,$AN$7:$AN$1843,AN1475,$BX$7:$BX$1843,"&lt;="&amp;BX1475),"")</f>
        <v>29712.1779686886</v>
      </c>
      <c r="AP1475" s="70" t="n">
        <f aca="false">IF(AO1475="",0,MAX(0,MIN(1,(IF(CG1475="L1",Parameter!$H$5,IF(CG1475="L23",Parameter!$H$6+Parameter!$H$7,Parameter!$H$5+Parameter!$H$6+Parameter!$H$7))-(AO1475-AJ1475))/AJ1475)))</f>
        <v>1</v>
      </c>
      <c r="AQ1475" s="62" t="n">
        <f aca="false">IF(LEFT(Cockpit!$I$5,1)="A",H1475,IF(Parameter!$E$30="MAX-Bestand",IF(CI1475=1,CJ1475,IF(LEFT(Cockpit!$I$5,1)="B",AW1475,MAX(AW1475,H1475))),ROUNDUP(AU1475,0)))</f>
        <v>4</v>
      </c>
      <c r="AR1475" s="62" t="n">
        <f aca="false">IF(CA1475=1,0,ROUNDUP(AQ1475/BZ1475,0))</f>
        <v>1</v>
      </c>
      <c r="AS1475" s="64" t="n">
        <f aca="false">IF(CR1475&gt;0,CR1475*MAX(1,AQ1475/X1475),IF(CA1475=1,IF(AQ1475&lt;=0,0,CE1475*MAX(1,IF(H1475&gt;0,AQ1475/H1475,1))),IF(R1475&gt;0,AR1475/R1475,0))/MAX(0.1,N(Parameter!$M$21)))</f>
        <v>0.0192307692307692</v>
      </c>
      <c r="AT1475" s="62" t="n">
        <f aca="false">AS1475*CC1475</f>
        <v>2.98076923076923</v>
      </c>
      <c r="AU1475" s="63" t="n">
        <f aca="false">IF(LEFT(Cockpit!$I$5,1)="A",H1475,IF(CI1475=1,(CL1475+CJ1475)/2,IF(LEFT(Cockpit!$I$5,1)="B",(CL1475+AW1475)/2,MAX((CL1475+AW1475)/2,H1475))))</f>
        <v>4</v>
      </c>
      <c r="AV1475" s="62" t="n">
        <f aca="false">AU1475*G1475</f>
        <v>280.84</v>
      </c>
      <c r="AW1475" s="62" t="n">
        <f aca="false">ROUNDUP(CL1475+MAX(CM1475,2*(J1475/IF(CH1475&gt;0,CH1475,MAX(0.1,N(Cockpit!$I$6)))-CL1475)),0)</f>
        <v>5</v>
      </c>
      <c r="AX1475" s="63" t="n">
        <f aca="false">IF(AT1475&gt;0,J1475/AT1475,-1)</f>
        <v>0</v>
      </c>
      <c r="AY1475" s="63" t="n">
        <f aca="false">IF(AND(OR(CG1475="L1",CG1475="L23",CG1475="LIFT"),AT1475&gt;0),SUMIFS($AT$7:$AT$1843,$CG$7:$CG$1843,CG1475,$AX$7:$AX$1843,"&gt;"&amp;AX1475)+SUMIFS($AT$7:$AT$1843,$CG$7:$CG$1843,CG1475,$AX$7:$AX$1843,AX1475,$BX$7:$BX$1843,"&lt;="&amp;BX1475),"")</f>
        <v>36018.7487712382</v>
      </c>
      <c r="AZ1475" s="70" t="n">
        <f aca="false">IF(AY1475="",0,MAX(0,MIN(1,(IF(CG1475="L1",Parameter!$H$5,IF(CG1475="L23",Parameter!$H$6+Parameter!$H$7,Parameter!$H$5+Parameter!$H$6+Parameter!$H$7))-(AY1475-AT1475))/AT1475)))</f>
        <v>0</v>
      </c>
      <c r="BA1475" s="62" t="n">
        <f aca="false">IF(LEFT(Cockpit!$O$5,1)="A",H1475,IF(Parameter!$E$30="MAX-Bestand",IF(CI1475=1,CJ1475,IF(LEFT(Cockpit!$O$5,1)="B",BG1475,MAX(BG1475,H1475))),ROUNDUP(BE1475,0)))</f>
        <v>3</v>
      </c>
      <c r="BB1475" s="62" t="n">
        <f aca="false">IF(CA1475=1,0,ROUNDUP(BA1475/BZ1475,0))</f>
        <v>1</v>
      </c>
      <c r="BC1475" s="64" t="n">
        <f aca="false">IF(CR1475&gt;0,CR1475*MAX(1,BA1475/X1475),IF(CA1475=1,IF(BA1475&lt;=0,0,CE1475*MAX(1,IF(H1475&gt;0,BA1475/H1475,1))),IF(R1475&gt;0,BB1475/R1475,0))/MAX(0.1,N(Parameter!$M$21)))</f>
        <v>0.0192307692307692</v>
      </c>
      <c r="BD1475" s="62" t="n">
        <f aca="false">BC1475*CC1475</f>
        <v>2.98076923076923</v>
      </c>
      <c r="BE1475" s="63" t="n">
        <f aca="false">IF(LEFT(Cockpit!$O$5,1)="A",H1475,IF(CI1475=1,(CL1475+CJ1475)/2,IF(LEFT(Cockpit!$O$5,1)="B",(CL1475+BG1475)/2,MAX((CL1475+BG1475)/2,H1475))))</f>
        <v>2.5</v>
      </c>
      <c r="BF1475" s="62" t="n">
        <f aca="false">BE1475*G1475</f>
        <v>175.525</v>
      </c>
      <c r="BG1475" s="62" t="n">
        <f aca="false">ROUNDUP(CL1475+MAX(CM1475,2*(J1475/IF(CH1475&gt;0,CH1475,MAX(0.1,N(Cockpit!$O$6)))-CL1475)),0)</f>
        <v>5</v>
      </c>
      <c r="BH1475" s="63" t="n">
        <f aca="false">IF(BD1475&gt;0,J1475/BD1475,-1)</f>
        <v>0</v>
      </c>
      <c r="BI1475" s="63" t="n">
        <f aca="false">IF(AND(OR(CG1475="L1",CG1475="L23",CG1475="LIFT"),BD1475&gt;0),SUMIFS($BD$7:$BD$1843,$CG$7:$CG$1843,CG1475,$BH$7:$BH$1843,"&gt;"&amp;BH1475)+SUMIFS($BD$7:$BD$1843,$CG$7:$CG$1843,CG1475,$BH$7:$BH$1843,BH1475,$BX$7:$BX$1843,"&lt;="&amp;BX1475),"")</f>
        <v>30004.0554313859</v>
      </c>
      <c r="BJ1475" s="70" t="n">
        <f aca="false">IF(BI1475="",0,MAX(0,MIN(1,(IF(CG1475="L1",Parameter!$H$5,IF(CG1475="L23",Parameter!$H$6+Parameter!$H$7,Parameter!$H$5+Parameter!$H$6+Parameter!$H$7))-(BI1475-BD1475))/BD1475)))</f>
        <v>1</v>
      </c>
      <c r="BK1475" s="60" t="str">
        <f aca="false">IF(AJ1475&lt;=0,"",IF(CG1475="Aussen","Aussenlager",IF(CG1475="-","Nicht im Lift",IF(AP1475&gt;=1,"Lift",IF(AP1475&lt;=0,"Aussenlager","teilweise")))))</f>
        <v>Lift</v>
      </c>
      <c r="BL1475" s="60" t="str">
        <f aca="false">IF(AT1475&lt;=0,"",IF(CG1475="Aussen","Aussenlager",IF(CG1475="-","Nicht im Lift",IF(AZ1475&gt;=1,"Lift",IF(AZ1475&lt;=0,"Aussenlager","teilweise")))))</f>
        <v>Aussenlager</v>
      </c>
      <c r="BM1475" s="60" t="str">
        <f aca="false">IF(BD1475&lt;=0,"",IF(CG1475="Aussen","Aussenlager",IF(CG1475="-","Nicht im Lift",IF(BJ1475&gt;=1,"Lift",IF(BJ1475&lt;=0,"Aussenlager","teilweise")))))</f>
        <v>Lift</v>
      </c>
      <c r="BN1475" s="60" t="str">
        <f aca="false">IF(A1475="","",IF(BW1475=1,"Neu; ","")&amp;IF(AND(BW1475=0,BR1475&lt;0),"negativer Bestand (Export "&amp;BR1475&amp;"); ","")&amp;IF(J1475&lt;=0,"Kein Verbrauch; ","")&amp;IF(CR1475&gt;0,"Lift "&amp;W1475&amp;" lt. Liftbericht (Fach "&amp;X1475&amp;" Stk); ",IF(CB1475=1,"Gebinde geschätzt ("&amp;T1475&amp;"); ",IF(CA1475=1,"Lose – Tablare geschätzt; ","")))&amp;IF(H1475&gt;AW1475,"Überbestand "&amp;ROUND(H1475-AW1475,0)&amp;" Stk / CHF "&amp;ROUND((H1475-AW1475)*G1475,0)&amp;"; ","")&amp;IF(AND(CI1475=1,CJ1475&lt;CK1475),"MAX &lt; MB+LG; ","")&amp;IF(AND(CQ1475&gt;0,CP1475*10&gt;CQ1475),"zu hoch für Tablar; ","")&amp;IF(AND(BW1475=0,OR(CI1475=1,AB1475&lt;&gt;"",U1475&lt;&gt;"",V1475&lt;&gt;"",AC1475&lt;&gt;"")),"manuell übersteuert; ","")&amp;IF(AND(CA1475=0,R1475=0),"Gebinde unbekannt / Stellmass fehlt; ","")&amp;IF(AND(CA1475=0,N(V1475)&lt;=0,N(Q1475)&lt;=0),"Menge pro Gebinde fehlt (Ist = 1 Gebinde); ","")&amp;BV1475)</f>
        <v>Kein Verbrauch; nur im Artikelstamm (Bestand 23.06.2026)</v>
      </c>
      <c r="BO1475" s="60"/>
      <c r="BP1475" s="60"/>
      <c r="BQ1475" s="67"/>
      <c r="BR1475" s="62" t="n">
        <v>4</v>
      </c>
      <c r="BS1475" s="62" t="n">
        <v>0</v>
      </c>
      <c r="BT1475" s="61" t="n">
        <v>0</v>
      </c>
      <c r="BU1475" s="62" t="n">
        <v>0</v>
      </c>
      <c r="BV1475" s="60" t="s">
        <v>2617</v>
      </c>
      <c r="BW1475" s="65" t="n">
        <v>0</v>
      </c>
      <c r="BX1475" s="65" t="n">
        <v>1475</v>
      </c>
      <c r="BY1475" s="60" t="str">
        <f aca="false">IF(U1475&lt;&gt;"",UPPER(TRIM(U1475)),IF(CB1475=1,UPPER(VLOOKUP(T1475,Parameter!$I$27:$K$29,2,0)),IF(P1475="","LOSE",P1475)))</f>
        <v>S41</v>
      </c>
      <c r="BZ1475" s="62" t="n">
        <f aca="false">IF(BY1475="LOSE",1,IF(N(V1475)&gt;0,V1475,IF(CB1475=1,MAX(1,N(VLOOKUP(T1475,Parameter!$I$27:$K$29,3,0)),H1475,N(N1475)),IF(N(Q1475)&gt;0,Q1475,MAX(1,H1475)))))</f>
        <v>4</v>
      </c>
      <c r="CA1475" s="65" t="n">
        <f aca="false">IF(BY1475="LOSE",1,0)</f>
        <v>0</v>
      </c>
      <c r="CB1475" s="65" t="n">
        <f aca="false">IF(AND(U1475="",OR(P1475="",P1475="LOSE"),T1475&lt;&gt;"",N(S1475)&lt;=0,ISNUMBER(MATCH(T1475,Parameter!$I$27:$I$29,0))),1,0)</f>
        <v>0</v>
      </c>
      <c r="CC1475" s="65" t="n">
        <f aca="false">IF(CR1475&gt;0,INDEX(Parameter!$H$5:$H$7,W1475)/INDEX(Parameter!$E$5:$E$7,W1475),IF(AND(CA1475=0,N(IFERROR(VLOOKUP(BY1475,'Gebinde-Kategorie'!$A$5:$N$45,14,0),0))&gt;0),VLOOKUP(BY1475,'Gebinde-Kategorie'!$A$5:$N$45,14,0)*10+Parameter!$M$23,Parameter!$M$24))</f>
        <v>155</v>
      </c>
      <c r="CD1475" s="60" t="str">
        <f aca="false">IF(AND(Parameter!$B$19="Ja",E1475&lt;&gt;"",ISNUMBER(MATCH(E1475,Parameter!$I$35:$I$52,0))),VLOOKUP(E1475,Parameter!$I$35:$J$52,2,0),IFERROR(VLOOKUP(D1475,Parameter!$A$35:$C$64,2,0),"Nein"))</f>
        <v>2+3</v>
      </c>
      <c r="CE1475" s="64" t="n">
        <f aca="false">IF(CA1475=0,0,IF(N(S1475)&gt;0,S1475,IFERROR(VLOOKUP(D1475,Parameter!$A$35:$C$64,3,0)+0,0)))</f>
        <v>0</v>
      </c>
      <c r="CF1475" s="60" t="n">
        <f aca="false">IF(AB1475&lt;&gt;"",AB1475,AA1475)</f>
        <v>1</v>
      </c>
      <c r="CG1475" s="60" t="str">
        <f aca="false">IF(OR(CF1475=1,CF1475=2,CF1475=3),IF(Parameter!$E$27="Ja","LIFT",IF(CF1475=1,"L1","L23")),IF(CF1475="Aussen","Aussen","-"))</f>
        <v>LIFT</v>
      </c>
      <c r="CH1475" s="71" t="n">
        <f aca="false">IF(N(AC1475)&gt;0,AC1475,0)</f>
        <v>0</v>
      </c>
      <c r="CI1475" s="65" t="n">
        <f aca="false">IF(ISNUMBER(AF1475),1,0)</f>
        <v>0</v>
      </c>
      <c r="CJ1475" s="62" t="n">
        <f aca="false">N(AF1475)</f>
        <v>0</v>
      </c>
      <c r="CK1475" s="62" t="n">
        <f aca="false">N(M1475)+N(N1475)</f>
        <v>5</v>
      </c>
      <c r="CL1475" s="62" t="n">
        <f aca="false">N(M1475)</f>
        <v>0</v>
      </c>
      <c r="CM1475" s="62" t="n">
        <f aca="false">N(N1475)</f>
        <v>5</v>
      </c>
      <c r="CN1475" s="62" t="n">
        <f aca="false">ROUNDUP(H1475/BZ1475,0)</f>
        <v>1</v>
      </c>
      <c r="CO1475" s="62" t="n">
        <f aca="false">ROUNDUP(CJ1475/BZ1475,0)</f>
        <v>0</v>
      </c>
      <c r="CP1475" s="65" t="n">
        <f aca="false">IF(CA1475=1,0,IFERROR(VLOOKUP(BY1475,'Gebinde-Kategorie'!$A$5:$N$45,5,0)+0,0))</f>
        <v>11</v>
      </c>
      <c r="CQ1475" s="65" t="n">
        <f aca="false">IFERROR(IF(OR(CF1475=1,CF1475=2,CF1475=3),N(INDEX(Parameter!$I$5:$I$7,CF1475)),0),0)</f>
        <v>0</v>
      </c>
      <c r="CR1475" s="64" t="n">
        <f aca="false">IF(AND(Parameter!$B$21="Ja",ISNUMBER(W1475),N(X1475)&gt;0),IFERROR(N(INDEX(Parameter!$L$5:$L$7,W1475))*INDEX(Parameter!$E$5:$E$7,W1475)*X1475/SUMIFS($X$7:$X$1843,$W$7:$W$1843,W1475),0),0)</f>
        <v>0</v>
      </c>
      <c r="CS1475" s="62" t="n">
        <f aca="false">IF(AND(OR(CG1475="L1",CG1475="L23",CG1475="LIFT"),H1475&gt;0),CC1475*IF(CR1475&gt;0,CR1475*MAX(1,H1475/X1475),IF(CA1475=1,CE1475,IF(R1475&gt;0,CN1475/R1475,0))/MAX(0.1,N(Parameter!$M$21))),"")</f>
        <v>2.98076923076923</v>
      </c>
      <c r="CT1475" s="64" t="n">
        <f aca="false">IF(CS1475="","",J1475/H1475)</f>
        <v>0</v>
      </c>
      <c r="CU1475" s="62" t="n">
        <f aca="false">IF(CS1475="","",H1475*G1475)</f>
        <v>280.84</v>
      </c>
      <c r="CV1475" s="63" t="n">
        <f aca="false">IF(CS1475="","",(CL1475+ROUNDUP(CL1475+MAX(CM1475,2*(J1475/MAX(0.1,N(Einkauf!$C$6))-CL1475)),0))/2)</f>
        <v>2.5</v>
      </c>
      <c r="CW1475" s="62" t="n">
        <f aca="false">IF(CS1475="","",MAX(0,H1475-CV1475)*G1475)</f>
        <v>105.315</v>
      </c>
      <c r="CX1475" s="62" t="n">
        <f aca="false">IF(CS1475="","",CS1475*MAX(0,1-CV1475/H1475))</f>
        <v>1.11778846153846</v>
      </c>
      <c r="CY1475" s="64" t="n">
        <f aca="false">IF(CS1475="","",PERCENTRANK($CS$7:$CS$1843,CS1475)+PERCENTRANK($CU$7:$CU$1843,CU1475)+1-PERCENTRANK($CT$7:$CT$1843,CT1475))</f>
        <v>1.615</v>
      </c>
      <c r="CZ1475" s="72" t="n">
        <f aca="false">IF(CS1475="","",CHOOSE(MATCH(Einkauf!$C$5,Parameter!$G$23:$G$27,0),CY1475,CS1475,CU1475,-CT1475,CW1475)+ROW()/1000000000)</f>
        <v>1.615001475</v>
      </c>
    </row>
    <row r="1476" customFormat="false" ht="15" hidden="false" customHeight="false" outlineLevel="0" collapsed="false">
      <c r="A1476" s="60" t="s">
        <v>2622</v>
      </c>
      <c r="B1476" s="60" t="s">
        <v>2623</v>
      </c>
      <c r="C1476" s="60" t="s">
        <v>206</v>
      </c>
      <c r="D1476" s="60" t="s">
        <v>226</v>
      </c>
      <c r="E1476" s="60" t="s">
        <v>227</v>
      </c>
      <c r="F1476" s="60"/>
      <c r="G1476" s="61" t="n">
        <v>33.07</v>
      </c>
      <c r="H1476" s="62" t="n">
        <f aca="false">MAX(0,IF(AND(Parameter!$B$21="Ja",ISNUMBER(Y1476)),Y1476,IF(Parameter!$B$20="Jahresanfang 2025 + Export",BS1476+BR1476,BR1476)))</f>
        <v>7</v>
      </c>
      <c r="I1476" s="62" t="n">
        <f aca="false">H1476*G1476</f>
        <v>231.49</v>
      </c>
      <c r="J1476" s="62" t="n">
        <f aca="false">BU1476*Parameter!$B$18</f>
        <v>0</v>
      </c>
      <c r="K1476" s="63"/>
      <c r="L1476" s="64"/>
      <c r="M1476" s="62" t="n">
        <v>0</v>
      </c>
      <c r="N1476" s="62" t="n">
        <v>5</v>
      </c>
      <c r="O1476" s="65" t="n">
        <v>14</v>
      </c>
      <c r="P1476" s="60" t="s">
        <v>344</v>
      </c>
      <c r="Q1476" s="62" t="n">
        <v>8</v>
      </c>
      <c r="R1476" s="65" t="n">
        <f aca="false">IF(CA1476=1,0,IFERROR(VLOOKUP(BY1476,'Gebinde-Kategorie'!$A$5:$N$45,13,0)+0,0))</f>
        <v>26</v>
      </c>
      <c r="S1476" s="66"/>
      <c r="T1476" s="67"/>
      <c r="U1476" s="67"/>
      <c r="V1476" s="67"/>
      <c r="W1476" s="60"/>
      <c r="X1476" s="62"/>
      <c r="Y1476" s="62"/>
      <c r="Z1476" s="60" t="n">
        <v>3</v>
      </c>
      <c r="AA1476" s="60" t="n">
        <f aca="false">IF(A1476="","",IF(AND(Parameter!$B$21="Ja",ISNUMBER(W1476)),W1476,IF(AND(Parameter!$E$27="Ja",ISNUMBER(Z1476),CD1476&lt;&gt;"Nein"),Z1476,IF(CD1476="2+3",IF(ISNUMBER(SEARCH("grosser Artikel",BV1476)),2,IFERROR(VLOOKUP(BY1476,Parameter!$F$35:$G$64,2,0),2)),IF(OR(CD1476="Nein",CD1476=""),"-",CD1476)))))</f>
        <v>3</v>
      </c>
      <c r="AB1476" s="67"/>
      <c r="AC1476" s="68"/>
      <c r="AD1476" s="62" t="n">
        <f aca="false">AW1476</f>
        <v>5</v>
      </c>
      <c r="AE1476" s="62" t="n">
        <f aca="false">MAX(AW1476,H1476)</f>
        <v>7</v>
      </c>
      <c r="AF1476" s="69"/>
      <c r="AG1476" s="62" t="n">
        <f aca="false">IF(LEFT(Cockpit!$C$5,1)="A",H1476,IF(Parameter!$E$30="MAX-Bestand",IF(CI1476=1,CJ1476,IF(LEFT(Cockpit!$C$5,1)="B",AM1476,MAX(AM1476,H1476))),ROUNDUP(AK1476,0)))</f>
        <v>7</v>
      </c>
      <c r="AH1476" s="62" t="n">
        <f aca="false">IF(CA1476=1,0,ROUNDUP(AG1476/BZ1476,0))</f>
        <v>1</v>
      </c>
      <c r="AI1476" s="64" t="n">
        <f aca="false">IF(CR1476&gt;0,CR1476*MAX(1,AG1476/X1476),IF(CA1476=1,IF(AG1476&lt;=0,0,CE1476*MAX(1,IF(H1476&gt;0,AG1476/H1476,1))),IF(R1476&gt;0,AH1476/R1476,0))/MAX(0.1,N(Parameter!$M$21)))</f>
        <v>0.0384615384615385</v>
      </c>
      <c r="AJ1476" s="62" t="n">
        <f aca="false">AI1476*CC1476</f>
        <v>5.96153846153846</v>
      </c>
      <c r="AK1476" s="63" t="n">
        <f aca="false">IF(LEFT(Cockpit!$C$5,1)="A",H1476,IF(CI1476=1,(CL1476+CJ1476)/2,IF(LEFT(Cockpit!$C$5,1)="B",(CL1476+AM1476)/2,MAX((CL1476+AM1476)/2,H1476))))</f>
        <v>7</v>
      </c>
      <c r="AL1476" s="62" t="n">
        <f aca="false">AK1476*G1476</f>
        <v>231.49</v>
      </c>
      <c r="AM1476" s="62" t="n">
        <f aca="false">ROUNDUP(CL1476+MAX(CM1476,2*(J1476/IF(CH1476&gt;0,CH1476,MAX(0.1,N(Cockpit!$C$6)))-CL1476)),0)</f>
        <v>5</v>
      </c>
      <c r="AN1476" s="63" t="n">
        <f aca="false">IF(AJ1476&gt;0,J1476/AJ1476,-1)</f>
        <v>0</v>
      </c>
      <c r="AO1476" s="63" t="n">
        <f aca="false">IF(AND(OR(CG1476="L1",CG1476="L23",CG1476="LIFT"),AJ1476&gt;0),SUMIFS($AJ$7:$AJ$1843,$CG$7:$CG$1843,CG1476,$AN$7:$AN$1843,"&gt;"&amp;AN1476)+SUMIFS($AJ$7:$AJ$1843,$CG$7:$CG$1843,CG1476,$AN$7:$AN$1843,AN1476,$BX$7:$BX$1843,"&lt;="&amp;BX1476),"")</f>
        <v>29718.1395071501</v>
      </c>
      <c r="AP1476" s="70" t="n">
        <f aca="false">IF(AO1476="",0,MAX(0,MIN(1,(IF(CG1476="L1",Parameter!$H$5,IF(CG1476="L23",Parameter!$H$6+Parameter!$H$7,Parameter!$H$5+Parameter!$H$6+Parameter!$H$7))-(AO1476-AJ1476))/AJ1476)))</f>
        <v>1</v>
      </c>
      <c r="AQ1476" s="62" t="n">
        <f aca="false">IF(LEFT(Cockpit!$I$5,1)="A",H1476,IF(Parameter!$E$30="MAX-Bestand",IF(CI1476=1,CJ1476,IF(LEFT(Cockpit!$I$5,1)="B",AW1476,MAX(AW1476,H1476))),ROUNDUP(AU1476,0)))</f>
        <v>7</v>
      </c>
      <c r="AR1476" s="62" t="n">
        <f aca="false">IF(CA1476=1,0,ROUNDUP(AQ1476/BZ1476,0))</f>
        <v>1</v>
      </c>
      <c r="AS1476" s="64" t="n">
        <f aca="false">IF(CR1476&gt;0,CR1476*MAX(1,AQ1476/X1476),IF(CA1476=1,IF(AQ1476&lt;=0,0,CE1476*MAX(1,IF(H1476&gt;0,AQ1476/H1476,1))),IF(R1476&gt;0,AR1476/R1476,0))/MAX(0.1,N(Parameter!$M$21)))</f>
        <v>0.0384615384615385</v>
      </c>
      <c r="AT1476" s="62" t="n">
        <f aca="false">AS1476*CC1476</f>
        <v>5.96153846153846</v>
      </c>
      <c r="AU1476" s="63" t="n">
        <f aca="false">IF(LEFT(Cockpit!$I$5,1)="A",H1476,IF(CI1476=1,(CL1476+CJ1476)/2,IF(LEFT(Cockpit!$I$5,1)="B",(CL1476+AW1476)/2,MAX((CL1476+AW1476)/2,H1476))))</f>
        <v>7</v>
      </c>
      <c r="AV1476" s="62" t="n">
        <f aca="false">AU1476*G1476</f>
        <v>231.49</v>
      </c>
      <c r="AW1476" s="62" t="n">
        <f aca="false">ROUNDUP(CL1476+MAX(CM1476,2*(J1476/IF(CH1476&gt;0,CH1476,MAX(0.1,N(Cockpit!$I$6)))-CL1476)),0)</f>
        <v>5</v>
      </c>
      <c r="AX1476" s="63" t="n">
        <f aca="false">IF(AT1476&gt;0,J1476/AT1476,-1)</f>
        <v>0</v>
      </c>
      <c r="AY1476" s="63" t="n">
        <f aca="false">IF(AND(OR(CG1476="L1",CG1476="L23",CG1476="LIFT"),AT1476&gt;0),SUMIFS($AT$7:$AT$1843,$CG$7:$CG$1843,CG1476,$AX$7:$AX$1843,"&gt;"&amp;AX1476)+SUMIFS($AT$7:$AT$1843,$CG$7:$CG$1843,CG1476,$AX$7:$AX$1843,AX1476,$BX$7:$BX$1843,"&lt;="&amp;BX1476),"")</f>
        <v>36024.7103096997</v>
      </c>
      <c r="AZ1476" s="70" t="n">
        <f aca="false">IF(AY1476="",0,MAX(0,MIN(1,(IF(CG1476="L1",Parameter!$H$5,IF(CG1476="L23",Parameter!$H$6+Parameter!$H$7,Parameter!$H$5+Parameter!$H$6+Parameter!$H$7))-(AY1476-AT1476))/AT1476)))</f>
        <v>0</v>
      </c>
      <c r="BA1476" s="62" t="n">
        <f aca="false">IF(LEFT(Cockpit!$O$5,1)="A",H1476,IF(Parameter!$E$30="MAX-Bestand",IF(CI1476=1,CJ1476,IF(LEFT(Cockpit!$O$5,1)="B",BG1476,MAX(BG1476,H1476))),ROUNDUP(BE1476,0)))</f>
        <v>3</v>
      </c>
      <c r="BB1476" s="62" t="n">
        <f aca="false">IF(CA1476=1,0,ROUNDUP(BA1476/BZ1476,0))</f>
        <v>1</v>
      </c>
      <c r="BC1476" s="64" t="n">
        <f aca="false">IF(CR1476&gt;0,CR1476*MAX(1,BA1476/X1476),IF(CA1476=1,IF(BA1476&lt;=0,0,CE1476*MAX(1,IF(H1476&gt;0,BA1476/H1476,1))),IF(R1476&gt;0,BB1476/R1476,0))/MAX(0.1,N(Parameter!$M$21)))</f>
        <v>0.0384615384615385</v>
      </c>
      <c r="BD1476" s="62" t="n">
        <f aca="false">BC1476*CC1476</f>
        <v>5.96153846153846</v>
      </c>
      <c r="BE1476" s="63" t="n">
        <f aca="false">IF(LEFT(Cockpit!$O$5,1)="A",H1476,IF(CI1476=1,(CL1476+CJ1476)/2,IF(LEFT(Cockpit!$O$5,1)="B",(CL1476+BG1476)/2,MAX((CL1476+BG1476)/2,H1476))))</f>
        <v>2.5</v>
      </c>
      <c r="BF1476" s="62" t="n">
        <f aca="false">BE1476*G1476</f>
        <v>82.675</v>
      </c>
      <c r="BG1476" s="62" t="n">
        <f aca="false">ROUNDUP(CL1476+MAX(CM1476,2*(J1476/IF(CH1476&gt;0,CH1476,MAX(0.1,N(Cockpit!$O$6)))-CL1476)),0)</f>
        <v>5</v>
      </c>
      <c r="BH1476" s="63" t="n">
        <f aca="false">IF(BD1476&gt;0,J1476/BD1476,-1)</f>
        <v>0</v>
      </c>
      <c r="BI1476" s="63" t="n">
        <f aca="false">IF(AND(OR(CG1476="L1",CG1476="L23",CG1476="LIFT"),BD1476&gt;0),SUMIFS($BD$7:$BD$1843,$CG$7:$CG$1843,CG1476,$BH$7:$BH$1843,"&gt;"&amp;BH1476)+SUMIFS($BD$7:$BD$1843,$CG$7:$CG$1843,CG1476,$BH$7:$BH$1843,BH1476,$BX$7:$BX$1843,"&lt;="&amp;BX1476),"")</f>
        <v>30010.0169698475</v>
      </c>
      <c r="BJ1476" s="70" t="n">
        <f aca="false">IF(BI1476="",0,MAX(0,MIN(1,(IF(CG1476="L1",Parameter!$H$5,IF(CG1476="L23",Parameter!$H$6+Parameter!$H$7,Parameter!$H$5+Parameter!$H$6+Parameter!$H$7))-(BI1476-BD1476))/BD1476)))</f>
        <v>1</v>
      </c>
      <c r="BK1476" s="60" t="str">
        <f aca="false">IF(AJ1476&lt;=0,"",IF(CG1476="Aussen","Aussenlager",IF(CG1476="-","Nicht im Lift",IF(AP1476&gt;=1,"Lift",IF(AP1476&lt;=0,"Aussenlager","teilweise")))))</f>
        <v>Lift</v>
      </c>
      <c r="BL1476" s="60" t="str">
        <f aca="false">IF(AT1476&lt;=0,"",IF(CG1476="Aussen","Aussenlager",IF(CG1476="-","Nicht im Lift",IF(AZ1476&gt;=1,"Lift",IF(AZ1476&lt;=0,"Aussenlager","teilweise")))))</f>
        <v>Aussenlager</v>
      </c>
      <c r="BM1476" s="60" t="str">
        <f aca="false">IF(BD1476&lt;=0,"",IF(CG1476="Aussen","Aussenlager",IF(CG1476="-","Nicht im Lift",IF(BJ1476&gt;=1,"Lift",IF(BJ1476&lt;=0,"Aussenlager","teilweise")))))</f>
        <v>Lift</v>
      </c>
      <c r="BN1476" s="60" t="str">
        <f aca="false">IF(A1476="","",IF(BW1476=1,"Neu; ","")&amp;IF(AND(BW1476=0,BR1476&lt;0),"negativer Bestand (Export "&amp;BR1476&amp;"); ","")&amp;IF(J1476&lt;=0,"Kein Verbrauch; ","")&amp;IF(CR1476&gt;0,"Lift "&amp;W1476&amp;" lt. Liftbericht (Fach "&amp;X1476&amp;" Stk); ",IF(CB1476=1,"Gebinde geschätzt ("&amp;T1476&amp;"); ",IF(CA1476=1,"Lose – Tablare geschätzt; ","")))&amp;IF(H1476&gt;AW1476,"Überbestand "&amp;ROUND(H1476-AW1476,0)&amp;" Stk / CHF "&amp;ROUND((H1476-AW1476)*G1476,0)&amp;"; ","")&amp;IF(AND(CI1476=1,CJ1476&lt;CK1476),"MAX &lt; MB+LG; ","")&amp;IF(AND(CQ1476&gt;0,CP1476*10&gt;CQ1476),"zu hoch für Tablar; ","")&amp;IF(AND(BW1476=0,OR(CI1476=1,AB1476&lt;&gt;"",U1476&lt;&gt;"",V1476&lt;&gt;"",AC1476&lt;&gt;"")),"manuell übersteuert; ","")&amp;IF(AND(CA1476=0,R1476=0),"Gebinde unbekannt / Stellmass fehlt; ","")&amp;IF(AND(CA1476=0,N(V1476)&lt;=0,N(Q1476)&lt;=0),"Menge pro Gebinde fehlt (Ist = 1 Gebinde); ","")&amp;BV1476)</f>
        <v>Kein Verbrauch; Überbestand 2 Stk / CHF 66; nur im Artikelstamm (Bestand 23.06.2026)</v>
      </c>
      <c r="BO1476" s="60"/>
      <c r="BP1476" s="60"/>
      <c r="BQ1476" s="67"/>
      <c r="BR1476" s="62" t="n">
        <v>7</v>
      </c>
      <c r="BS1476" s="62" t="n">
        <v>0</v>
      </c>
      <c r="BT1476" s="61" t="n">
        <v>0</v>
      </c>
      <c r="BU1476" s="62" t="n">
        <v>0</v>
      </c>
      <c r="BV1476" s="60" t="s">
        <v>2617</v>
      </c>
      <c r="BW1476" s="65" t="n">
        <v>0</v>
      </c>
      <c r="BX1476" s="65" t="n">
        <v>1476</v>
      </c>
      <c r="BY1476" s="60" t="str">
        <f aca="false">IF(U1476&lt;&gt;"",UPPER(TRIM(U1476)),IF(CB1476=1,UPPER(VLOOKUP(T1476,Parameter!$I$27:$K$29,2,0)),IF(P1476="","LOSE",P1476)))</f>
        <v>S51</v>
      </c>
      <c r="BZ1476" s="62" t="n">
        <f aca="false">IF(BY1476="LOSE",1,IF(N(V1476)&gt;0,V1476,IF(CB1476=1,MAX(1,N(VLOOKUP(T1476,Parameter!$I$27:$K$29,3,0)),H1476,N(N1476)),IF(N(Q1476)&gt;0,Q1476,MAX(1,H1476)))))</f>
        <v>8</v>
      </c>
      <c r="CA1476" s="65" t="n">
        <f aca="false">IF(BY1476="LOSE",1,0)</f>
        <v>0</v>
      </c>
      <c r="CB1476" s="65" t="n">
        <f aca="false">IF(AND(U1476="",OR(P1476="",P1476="LOSE"),T1476&lt;&gt;"",N(S1476)&lt;=0,ISNUMBER(MATCH(T1476,Parameter!$I$27:$I$29,0))),1,0)</f>
        <v>0</v>
      </c>
      <c r="CC1476" s="65" t="n">
        <f aca="false">IF(CR1476&gt;0,INDEX(Parameter!$H$5:$H$7,W1476)/INDEX(Parameter!$E$5:$E$7,W1476),IF(AND(CA1476=0,N(IFERROR(VLOOKUP(BY1476,'Gebinde-Kategorie'!$A$5:$N$45,14,0),0))&gt;0),VLOOKUP(BY1476,'Gebinde-Kategorie'!$A$5:$N$45,14,0)*10+Parameter!$M$23,Parameter!$M$24))</f>
        <v>155</v>
      </c>
      <c r="CD1476" s="60" t="str">
        <f aca="false">IF(AND(Parameter!$B$19="Ja",E1476&lt;&gt;"",ISNUMBER(MATCH(E1476,Parameter!$I$35:$I$52,0))),VLOOKUP(E1476,Parameter!$I$35:$J$52,2,0),IFERROR(VLOOKUP(D1476,Parameter!$A$35:$C$64,2,0),"Nein"))</f>
        <v>2+3</v>
      </c>
      <c r="CE1476" s="64" t="n">
        <f aca="false">IF(CA1476=0,0,IF(N(S1476)&gt;0,S1476,IFERROR(VLOOKUP(D1476,Parameter!$A$35:$C$64,3,0)+0,0)))</f>
        <v>0</v>
      </c>
      <c r="CF1476" s="60" t="n">
        <f aca="false">IF(AB1476&lt;&gt;"",AB1476,AA1476)</f>
        <v>3</v>
      </c>
      <c r="CG1476" s="60" t="str">
        <f aca="false">IF(OR(CF1476=1,CF1476=2,CF1476=3),IF(Parameter!$E$27="Ja","LIFT",IF(CF1476=1,"L1","L23")),IF(CF1476="Aussen","Aussen","-"))</f>
        <v>LIFT</v>
      </c>
      <c r="CH1476" s="71" t="n">
        <f aca="false">IF(N(AC1476)&gt;0,AC1476,0)</f>
        <v>0</v>
      </c>
      <c r="CI1476" s="65" t="n">
        <f aca="false">IF(ISNUMBER(AF1476),1,0)</f>
        <v>0</v>
      </c>
      <c r="CJ1476" s="62" t="n">
        <f aca="false">N(AF1476)</f>
        <v>0</v>
      </c>
      <c r="CK1476" s="62" t="n">
        <f aca="false">N(M1476)+N(N1476)</f>
        <v>5</v>
      </c>
      <c r="CL1476" s="62" t="n">
        <f aca="false">N(M1476)</f>
        <v>0</v>
      </c>
      <c r="CM1476" s="62" t="n">
        <f aca="false">N(N1476)</f>
        <v>5</v>
      </c>
      <c r="CN1476" s="62" t="n">
        <f aca="false">ROUNDUP(H1476/BZ1476,0)</f>
        <v>1</v>
      </c>
      <c r="CO1476" s="62" t="n">
        <f aca="false">ROUNDUP(CJ1476/BZ1476,0)</f>
        <v>0</v>
      </c>
      <c r="CP1476" s="65" t="n">
        <f aca="false">IF(CA1476=1,0,IFERROR(VLOOKUP(BY1476,'Gebinde-Kategorie'!$A$5:$N$45,5,0)+0,0))</f>
        <v>11</v>
      </c>
      <c r="CQ1476" s="65" t="n">
        <f aca="false">IFERROR(IF(OR(CF1476=1,CF1476=2,CF1476=3),N(INDEX(Parameter!$I$5:$I$7,CF1476)),0),0)</f>
        <v>0</v>
      </c>
      <c r="CR1476" s="64" t="n">
        <f aca="false">IF(AND(Parameter!$B$21="Ja",ISNUMBER(W1476),N(X1476)&gt;0),IFERROR(N(INDEX(Parameter!$L$5:$L$7,W1476))*INDEX(Parameter!$E$5:$E$7,W1476)*X1476/SUMIFS($X$7:$X$1843,$W$7:$W$1843,W1476),0),0)</f>
        <v>0</v>
      </c>
      <c r="CS1476" s="62" t="n">
        <f aca="false">IF(AND(OR(CG1476="L1",CG1476="L23",CG1476="LIFT"),H1476&gt;0),CC1476*IF(CR1476&gt;0,CR1476*MAX(1,H1476/X1476),IF(CA1476=1,CE1476,IF(R1476&gt;0,CN1476/R1476,0))/MAX(0.1,N(Parameter!$M$21))),"")</f>
        <v>5.96153846153846</v>
      </c>
      <c r="CT1476" s="64" t="n">
        <f aca="false">IF(CS1476="","",J1476/H1476)</f>
        <v>0</v>
      </c>
      <c r="CU1476" s="62" t="n">
        <f aca="false">IF(CS1476="","",H1476*G1476)</f>
        <v>231.49</v>
      </c>
      <c r="CV1476" s="63" t="n">
        <f aca="false">IF(CS1476="","",(CL1476+ROUNDUP(CL1476+MAX(CM1476,2*(J1476/MAX(0.1,N(Einkauf!$C$6))-CL1476)),0))/2)</f>
        <v>2.5</v>
      </c>
      <c r="CW1476" s="62" t="n">
        <f aca="false">IF(CS1476="","",MAX(0,H1476-CV1476)*G1476)</f>
        <v>148.815</v>
      </c>
      <c r="CX1476" s="62" t="n">
        <f aca="false">IF(CS1476="","",CS1476*MAX(0,1-CV1476/H1476))</f>
        <v>3.83241758241758</v>
      </c>
      <c r="CY1476" s="64" t="n">
        <f aca="false">IF(CS1476="","",PERCENTRANK($CS$7:$CS$1843,CS1476)+PERCENTRANK($CU$7:$CU$1843,CU1476)+1-PERCENTRANK($CT$7:$CT$1843,CT1476))</f>
        <v>1.721</v>
      </c>
      <c r="CZ1476" s="72" t="n">
        <f aca="false">IF(CS1476="","",CHOOSE(MATCH(Einkauf!$C$5,Parameter!$G$23:$G$27,0),CY1476,CS1476,CU1476,-CT1476,CW1476)+ROW()/1000000000)</f>
        <v>1.721001476</v>
      </c>
    </row>
    <row r="1477" customFormat="false" ht="15" hidden="false" customHeight="false" outlineLevel="0" collapsed="false">
      <c r="A1477" s="60" t="s">
        <v>2624</v>
      </c>
      <c r="B1477" s="60" t="s">
        <v>2625</v>
      </c>
      <c r="C1477" s="60" t="s">
        <v>206</v>
      </c>
      <c r="D1477" s="60" t="s">
        <v>226</v>
      </c>
      <c r="E1477" s="60" t="s">
        <v>227</v>
      </c>
      <c r="F1477" s="60"/>
      <c r="G1477" s="61" t="n">
        <v>158.01</v>
      </c>
      <c r="H1477" s="62" t="n">
        <f aca="false">MAX(0,IF(AND(Parameter!$B$21="Ja",ISNUMBER(Y1477)),Y1477,IF(Parameter!$B$20="Jahresanfang 2025 + Export",BS1477+BR1477,BR1477)))</f>
        <v>6</v>
      </c>
      <c r="I1477" s="62" t="n">
        <f aca="false">H1477*G1477</f>
        <v>948.06</v>
      </c>
      <c r="J1477" s="62" t="n">
        <f aca="false">BU1477*Parameter!$B$18</f>
        <v>0</v>
      </c>
      <c r="K1477" s="63"/>
      <c r="L1477" s="64"/>
      <c r="M1477" s="62" t="n">
        <v>0</v>
      </c>
      <c r="N1477" s="62" t="n">
        <v>2</v>
      </c>
      <c r="O1477" s="65" t="n">
        <v>14</v>
      </c>
      <c r="P1477" s="60" t="s">
        <v>344</v>
      </c>
      <c r="Q1477" s="62" t="n">
        <v>6</v>
      </c>
      <c r="R1477" s="65" t="n">
        <f aca="false">IF(CA1477=1,0,IFERROR(VLOOKUP(BY1477,'Gebinde-Kategorie'!$A$5:$N$45,13,0)+0,0))</f>
        <v>26</v>
      </c>
      <c r="S1477" s="66"/>
      <c r="T1477" s="67"/>
      <c r="U1477" s="67"/>
      <c r="V1477" s="67"/>
      <c r="W1477" s="60"/>
      <c r="X1477" s="62"/>
      <c r="Y1477" s="62"/>
      <c r="Z1477" s="60" t="n">
        <v>3</v>
      </c>
      <c r="AA1477" s="60" t="n">
        <f aca="false">IF(A1477="","",IF(AND(Parameter!$B$21="Ja",ISNUMBER(W1477)),W1477,IF(AND(Parameter!$E$27="Ja",ISNUMBER(Z1477),CD1477&lt;&gt;"Nein"),Z1477,IF(CD1477="2+3",IF(ISNUMBER(SEARCH("grosser Artikel",BV1477)),2,IFERROR(VLOOKUP(BY1477,Parameter!$F$35:$G$64,2,0),2)),IF(OR(CD1477="Nein",CD1477=""),"-",CD1477)))))</f>
        <v>3</v>
      </c>
      <c r="AB1477" s="67"/>
      <c r="AC1477" s="68"/>
      <c r="AD1477" s="62" t="n">
        <f aca="false">AW1477</f>
        <v>2</v>
      </c>
      <c r="AE1477" s="62" t="n">
        <f aca="false">MAX(AW1477,H1477)</f>
        <v>6</v>
      </c>
      <c r="AF1477" s="69"/>
      <c r="AG1477" s="62" t="n">
        <f aca="false">IF(LEFT(Cockpit!$C$5,1)="A",H1477,IF(Parameter!$E$30="MAX-Bestand",IF(CI1477=1,CJ1477,IF(LEFT(Cockpit!$C$5,1)="B",AM1477,MAX(AM1477,H1477))),ROUNDUP(AK1477,0)))</f>
        <v>6</v>
      </c>
      <c r="AH1477" s="62" t="n">
        <f aca="false">IF(CA1477=1,0,ROUNDUP(AG1477/BZ1477,0))</f>
        <v>1</v>
      </c>
      <c r="AI1477" s="64" t="n">
        <f aca="false">IF(CR1477&gt;0,CR1477*MAX(1,AG1477/X1477),IF(CA1477=1,IF(AG1477&lt;=0,0,CE1477*MAX(1,IF(H1477&gt;0,AG1477/H1477,1))),IF(R1477&gt;0,AH1477/R1477,0))/MAX(0.1,N(Parameter!$M$21)))</f>
        <v>0.0384615384615385</v>
      </c>
      <c r="AJ1477" s="62" t="n">
        <f aca="false">AI1477*CC1477</f>
        <v>5.96153846153846</v>
      </c>
      <c r="AK1477" s="63" t="n">
        <f aca="false">IF(LEFT(Cockpit!$C$5,1)="A",H1477,IF(CI1477=1,(CL1477+CJ1477)/2,IF(LEFT(Cockpit!$C$5,1)="B",(CL1477+AM1477)/2,MAX((CL1477+AM1477)/2,H1477))))</f>
        <v>6</v>
      </c>
      <c r="AL1477" s="62" t="n">
        <f aca="false">AK1477*G1477</f>
        <v>948.06</v>
      </c>
      <c r="AM1477" s="62" t="n">
        <f aca="false">ROUNDUP(CL1477+MAX(CM1477,2*(J1477/IF(CH1477&gt;0,CH1477,MAX(0.1,N(Cockpit!$C$6)))-CL1477)),0)</f>
        <v>2</v>
      </c>
      <c r="AN1477" s="63" t="n">
        <f aca="false">IF(AJ1477&gt;0,J1477/AJ1477,-1)</f>
        <v>0</v>
      </c>
      <c r="AO1477" s="63" t="n">
        <f aca="false">IF(AND(OR(CG1477="L1",CG1477="L23",CG1477="LIFT"),AJ1477&gt;0),SUMIFS($AJ$7:$AJ$1843,$CG$7:$CG$1843,CG1477,$AN$7:$AN$1843,"&gt;"&amp;AN1477)+SUMIFS($AJ$7:$AJ$1843,$CG$7:$CG$1843,CG1477,$AN$7:$AN$1843,AN1477,$BX$7:$BX$1843,"&lt;="&amp;BX1477),"")</f>
        <v>29724.1010456116</v>
      </c>
      <c r="AP1477" s="70" t="n">
        <f aca="false">IF(AO1477="",0,MAX(0,MIN(1,(IF(CG1477="L1",Parameter!$H$5,IF(CG1477="L23",Parameter!$H$6+Parameter!$H$7,Parameter!$H$5+Parameter!$H$6+Parameter!$H$7))-(AO1477-AJ1477))/AJ1477)))</f>
        <v>1</v>
      </c>
      <c r="AQ1477" s="62" t="n">
        <f aca="false">IF(LEFT(Cockpit!$I$5,1)="A",H1477,IF(Parameter!$E$30="MAX-Bestand",IF(CI1477=1,CJ1477,IF(LEFT(Cockpit!$I$5,1)="B",AW1477,MAX(AW1477,H1477))),ROUNDUP(AU1477,0)))</f>
        <v>6</v>
      </c>
      <c r="AR1477" s="62" t="n">
        <f aca="false">IF(CA1477=1,0,ROUNDUP(AQ1477/BZ1477,0))</f>
        <v>1</v>
      </c>
      <c r="AS1477" s="64" t="n">
        <f aca="false">IF(CR1477&gt;0,CR1477*MAX(1,AQ1477/X1477),IF(CA1477=1,IF(AQ1477&lt;=0,0,CE1477*MAX(1,IF(H1477&gt;0,AQ1477/H1477,1))),IF(R1477&gt;0,AR1477/R1477,0))/MAX(0.1,N(Parameter!$M$21)))</f>
        <v>0.0384615384615385</v>
      </c>
      <c r="AT1477" s="62" t="n">
        <f aca="false">AS1477*CC1477</f>
        <v>5.96153846153846</v>
      </c>
      <c r="AU1477" s="63" t="n">
        <f aca="false">IF(LEFT(Cockpit!$I$5,1)="A",H1477,IF(CI1477=1,(CL1477+CJ1477)/2,IF(LEFT(Cockpit!$I$5,1)="B",(CL1477+AW1477)/2,MAX((CL1477+AW1477)/2,H1477))))</f>
        <v>6</v>
      </c>
      <c r="AV1477" s="62" t="n">
        <f aca="false">AU1477*G1477</f>
        <v>948.06</v>
      </c>
      <c r="AW1477" s="62" t="n">
        <f aca="false">ROUNDUP(CL1477+MAX(CM1477,2*(J1477/IF(CH1477&gt;0,CH1477,MAX(0.1,N(Cockpit!$I$6)))-CL1477)),0)</f>
        <v>2</v>
      </c>
      <c r="AX1477" s="63" t="n">
        <f aca="false">IF(AT1477&gt;0,J1477/AT1477,-1)</f>
        <v>0</v>
      </c>
      <c r="AY1477" s="63" t="n">
        <f aca="false">IF(AND(OR(CG1477="L1",CG1477="L23",CG1477="LIFT"),AT1477&gt;0),SUMIFS($AT$7:$AT$1843,$CG$7:$CG$1843,CG1477,$AX$7:$AX$1843,"&gt;"&amp;AX1477)+SUMIFS($AT$7:$AT$1843,$CG$7:$CG$1843,CG1477,$AX$7:$AX$1843,AX1477,$BX$7:$BX$1843,"&lt;="&amp;BX1477),"")</f>
        <v>36030.6718481613</v>
      </c>
      <c r="AZ1477" s="70" t="n">
        <f aca="false">IF(AY1477="",0,MAX(0,MIN(1,(IF(CG1477="L1",Parameter!$H$5,IF(CG1477="L23",Parameter!$H$6+Parameter!$H$7,Parameter!$H$5+Parameter!$H$6+Parameter!$H$7))-(AY1477-AT1477))/AT1477)))</f>
        <v>0</v>
      </c>
      <c r="BA1477" s="62" t="n">
        <f aca="false">IF(LEFT(Cockpit!$O$5,1)="A",H1477,IF(Parameter!$E$30="MAX-Bestand",IF(CI1477=1,CJ1477,IF(LEFT(Cockpit!$O$5,1)="B",BG1477,MAX(BG1477,H1477))),ROUNDUP(BE1477,0)))</f>
        <v>1</v>
      </c>
      <c r="BB1477" s="62" t="n">
        <f aca="false">IF(CA1477=1,0,ROUNDUP(BA1477/BZ1477,0))</f>
        <v>1</v>
      </c>
      <c r="BC1477" s="64" t="n">
        <f aca="false">IF(CR1477&gt;0,CR1477*MAX(1,BA1477/X1477),IF(CA1477=1,IF(BA1477&lt;=0,0,CE1477*MAX(1,IF(H1477&gt;0,BA1477/H1477,1))),IF(R1477&gt;0,BB1477/R1477,0))/MAX(0.1,N(Parameter!$M$21)))</f>
        <v>0.0384615384615385</v>
      </c>
      <c r="BD1477" s="62" t="n">
        <f aca="false">BC1477*CC1477</f>
        <v>5.96153846153846</v>
      </c>
      <c r="BE1477" s="63" t="n">
        <f aca="false">IF(LEFT(Cockpit!$O$5,1)="A",H1477,IF(CI1477=1,(CL1477+CJ1477)/2,IF(LEFT(Cockpit!$O$5,1)="B",(CL1477+BG1477)/2,MAX((CL1477+BG1477)/2,H1477))))</f>
        <v>1</v>
      </c>
      <c r="BF1477" s="62" t="n">
        <f aca="false">BE1477*G1477</f>
        <v>158.01</v>
      </c>
      <c r="BG1477" s="62" t="n">
        <f aca="false">ROUNDUP(CL1477+MAX(CM1477,2*(J1477/IF(CH1477&gt;0,CH1477,MAX(0.1,N(Cockpit!$O$6)))-CL1477)),0)</f>
        <v>2</v>
      </c>
      <c r="BH1477" s="63" t="n">
        <f aca="false">IF(BD1477&gt;0,J1477/BD1477,-1)</f>
        <v>0</v>
      </c>
      <c r="BI1477" s="63" t="n">
        <f aca="false">IF(AND(OR(CG1477="L1",CG1477="L23",CG1477="LIFT"),BD1477&gt;0),SUMIFS($BD$7:$BD$1843,$CG$7:$CG$1843,CG1477,$BH$7:$BH$1843,"&gt;"&amp;BH1477)+SUMIFS($BD$7:$BD$1843,$CG$7:$CG$1843,CG1477,$BH$7:$BH$1843,BH1477,$BX$7:$BX$1843,"&lt;="&amp;BX1477),"")</f>
        <v>30015.978508309</v>
      </c>
      <c r="BJ1477" s="70" t="n">
        <f aca="false">IF(BI1477="",0,MAX(0,MIN(1,(IF(CG1477="L1",Parameter!$H$5,IF(CG1477="L23",Parameter!$H$6+Parameter!$H$7,Parameter!$H$5+Parameter!$H$6+Parameter!$H$7))-(BI1477-BD1477))/BD1477)))</f>
        <v>1</v>
      </c>
      <c r="BK1477" s="60" t="str">
        <f aca="false">IF(AJ1477&lt;=0,"",IF(CG1477="Aussen","Aussenlager",IF(CG1477="-","Nicht im Lift",IF(AP1477&gt;=1,"Lift",IF(AP1477&lt;=0,"Aussenlager","teilweise")))))</f>
        <v>Lift</v>
      </c>
      <c r="BL1477" s="60" t="str">
        <f aca="false">IF(AT1477&lt;=0,"",IF(CG1477="Aussen","Aussenlager",IF(CG1477="-","Nicht im Lift",IF(AZ1477&gt;=1,"Lift",IF(AZ1477&lt;=0,"Aussenlager","teilweise")))))</f>
        <v>Aussenlager</v>
      </c>
      <c r="BM1477" s="60" t="str">
        <f aca="false">IF(BD1477&lt;=0,"",IF(CG1477="Aussen","Aussenlager",IF(CG1477="-","Nicht im Lift",IF(BJ1477&gt;=1,"Lift",IF(BJ1477&lt;=0,"Aussenlager","teilweise")))))</f>
        <v>Lift</v>
      </c>
      <c r="BN1477" s="60" t="str">
        <f aca="false">IF(A1477="","",IF(BW1477=1,"Neu; ","")&amp;IF(AND(BW1477=0,BR1477&lt;0),"negativer Bestand (Export "&amp;BR1477&amp;"); ","")&amp;IF(J1477&lt;=0,"Kein Verbrauch; ","")&amp;IF(CR1477&gt;0,"Lift "&amp;W1477&amp;" lt. Liftbericht (Fach "&amp;X1477&amp;" Stk); ",IF(CB1477=1,"Gebinde geschätzt ("&amp;T1477&amp;"); ",IF(CA1477=1,"Lose – Tablare geschätzt; ","")))&amp;IF(H1477&gt;AW1477,"Überbestand "&amp;ROUND(H1477-AW1477,0)&amp;" Stk / CHF "&amp;ROUND((H1477-AW1477)*G1477,0)&amp;"; ","")&amp;IF(AND(CI1477=1,CJ1477&lt;CK1477),"MAX &lt; MB+LG; ","")&amp;IF(AND(CQ1477&gt;0,CP1477*10&gt;CQ1477),"zu hoch für Tablar; ","")&amp;IF(AND(BW1477=0,OR(CI1477=1,AB1477&lt;&gt;"",U1477&lt;&gt;"",V1477&lt;&gt;"",AC1477&lt;&gt;"")),"manuell übersteuert; ","")&amp;IF(AND(CA1477=0,R1477=0),"Gebinde unbekannt / Stellmass fehlt; ","")&amp;IF(AND(CA1477=0,N(V1477)&lt;=0,N(Q1477)&lt;=0),"Menge pro Gebinde fehlt (Ist = 1 Gebinde); ","")&amp;BV1477)</f>
        <v>Kein Verbrauch; Überbestand 4 Stk / CHF 632; nur im Artikelstamm (Bestand 23.06.2026)</v>
      </c>
      <c r="BO1477" s="60"/>
      <c r="BP1477" s="60"/>
      <c r="BQ1477" s="67"/>
      <c r="BR1477" s="62" t="n">
        <v>6</v>
      </c>
      <c r="BS1477" s="62" t="n">
        <v>0</v>
      </c>
      <c r="BT1477" s="61" t="n">
        <v>0</v>
      </c>
      <c r="BU1477" s="62" t="n">
        <v>0</v>
      </c>
      <c r="BV1477" s="60" t="s">
        <v>2617</v>
      </c>
      <c r="BW1477" s="65" t="n">
        <v>0</v>
      </c>
      <c r="BX1477" s="65" t="n">
        <v>1477</v>
      </c>
      <c r="BY1477" s="60" t="str">
        <f aca="false">IF(U1477&lt;&gt;"",UPPER(TRIM(U1477)),IF(CB1477=1,UPPER(VLOOKUP(T1477,Parameter!$I$27:$K$29,2,0)),IF(P1477="","LOSE",P1477)))</f>
        <v>S51</v>
      </c>
      <c r="BZ1477" s="62" t="n">
        <f aca="false">IF(BY1477="LOSE",1,IF(N(V1477)&gt;0,V1477,IF(CB1477=1,MAX(1,N(VLOOKUP(T1477,Parameter!$I$27:$K$29,3,0)),H1477,N(N1477)),IF(N(Q1477)&gt;0,Q1477,MAX(1,H1477)))))</f>
        <v>6</v>
      </c>
      <c r="CA1477" s="65" t="n">
        <f aca="false">IF(BY1477="LOSE",1,0)</f>
        <v>0</v>
      </c>
      <c r="CB1477" s="65" t="n">
        <f aca="false">IF(AND(U1477="",OR(P1477="",P1477="LOSE"),T1477&lt;&gt;"",N(S1477)&lt;=0,ISNUMBER(MATCH(T1477,Parameter!$I$27:$I$29,0))),1,0)</f>
        <v>0</v>
      </c>
      <c r="CC1477" s="65" t="n">
        <f aca="false">IF(CR1477&gt;0,INDEX(Parameter!$H$5:$H$7,W1477)/INDEX(Parameter!$E$5:$E$7,W1477),IF(AND(CA1477=0,N(IFERROR(VLOOKUP(BY1477,'Gebinde-Kategorie'!$A$5:$N$45,14,0),0))&gt;0),VLOOKUP(BY1477,'Gebinde-Kategorie'!$A$5:$N$45,14,0)*10+Parameter!$M$23,Parameter!$M$24))</f>
        <v>155</v>
      </c>
      <c r="CD1477" s="60" t="str">
        <f aca="false">IF(AND(Parameter!$B$19="Ja",E1477&lt;&gt;"",ISNUMBER(MATCH(E1477,Parameter!$I$35:$I$52,0))),VLOOKUP(E1477,Parameter!$I$35:$J$52,2,0),IFERROR(VLOOKUP(D1477,Parameter!$A$35:$C$64,2,0),"Nein"))</f>
        <v>2+3</v>
      </c>
      <c r="CE1477" s="64" t="n">
        <f aca="false">IF(CA1477=0,0,IF(N(S1477)&gt;0,S1477,IFERROR(VLOOKUP(D1477,Parameter!$A$35:$C$64,3,0)+0,0)))</f>
        <v>0</v>
      </c>
      <c r="CF1477" s="60" t="n">
        <f aca="false">IF(AB1477&lt;&gt;"",AB1477,AA1477)</f>
        <v>3</v>
      </c>
      <c r="CG1477" s="60" t="str">
        <f aca="false">IF(OR(CF1477=1,CF1477=2,CF1477=3),IF(Parameter!$E$27="Ja","LIFT",IF(CF1477=1,"L1","L23")),IF(CF1477="Aussen","Aussen","-"))</f>
        <v>LIFT</v>
      </c>
      <c r="CH1477" s="71" t="n">
        <f aca="false">IF(N(AC1477)&gt;0,AC1477,0)</f>
        <v>0</v>
      </c>
      <c r="CI1477" s="65" t="n">
        <f aca="false">IF(ISNUMBER(AF1477),1,0)</f>
        <v>0</v>
      </c>
      <c r="CJ1477" s="62" t="n">
        <f aca="false">N(AF1477)</f>
        <v>0</v>
      </c>
      <c r="CK1477" s="62" t="n">
        <f aca="false">N(M1477)+N(N1477)</f>
        <v>2</v>
      </c>
      <c r="CL1477" s="62" t="n">
        <f aca="false">N(M1477)</f>
        <v>0</v>
      </c>
      <c r="CM1477" s="62" t="n">
        <f aca="false">N(N1477)</f>
        <v>2</v>
      </c>
      <c r="CN1477" s="62" t="n">
        <f aca="false">ROUNDUP(H1477/BZ1477,0)</f>
        <v>1</v>
      </c>
      <c r="CO1477" s="62" t="n">
        <f aca="false">ROUNDUP(CJ1477/BZ1477,0)</f>
        <v>0</v>
      </c>
      <c r="CP1477" s="65" t="n">
        <f aca="false">IF(CA1477=1,0,IFERROR(VLOOKUP(BY1477,'Gebinde-Kategorie'!$A$5:$N$45,5,0)+0,0))</f>
        <v>11</v>
      </c>
      <c r="CQ1477" s="65" t="n">
        <f aca="false">IFERROR(IF(OR(CF1477=1,CF1477=2,CF1477=3),N(INDEX(Parameter!$I$5:$I$7,CF1477)),0),0)</f>
        <v>0</v>
      </c>
      <c r="CR1477" s="64" t="n">
        <f aca="false">IF(AND(Parameter!$B$21="Ja",ISNUMBER(W1477),N(X1477)&gt;0),IFERROR(N(INDEX(Parameter!$L$5:$L$7,W1477))*INDEX(Parameter!$E$5:$E$7,W1477)*X1477/SUMIFS($X$7:$X$1843,$W$7:$W$1843,W1477),0),0)</f>
        <v>0</v>
      </c>
      <c r="CS1477" s="62" t="n">
        <f aca="false">IF(AND(OR(CG1477="L1",CG1477="L23",CG1477="LIFT"),H1477&gt;0),CC1477*IF(CR1477&gt;0,CR1477*MAX(1,H1477/X1477),IF(CA1477=1,CE1477,IF(R1477&gt;0,CN1477/R1477,0))/MAX(0.1,N(Parameter!$M$21))),"")</f>
        <v>5.96153846153846</v>
      </c>
      <c r="CT1477" s="64" t="n">
        <f aca="false">IF(CS1477="","",J1477/H1477)</f>
        <v>0</v>
      </c>
      <c r="CU1477" s="62" t="n">
        <f aca="false">IF(CS1477="","",H1477*G1477)</f>
        <v>948.06</v>
      </c>
      <c r="CV1477" s="63" t="n">
        <f aca="false">IF(CS1477="","",(CL1477+ROUNDUP(CL1477+MAX(CM1477,2*(J1477/MAX(0.1,N(Einkauf!$C$6))-CL1477)),0))/2)</f>
        <v>1</v>
      </c>
      <c r="CW1477" s="62" t="n">
        <f aca="false">IF(CS1477="","",MAX(0,H1477-CV1477)*G1477)</f>
        <v>790.05</v>
      </c>
      <c r="CX1477" s="62" t="n">
        <f aca="false">IF(CS1477="","",CS1477*MAX(0,1-CV1477/H1477))</f>
        <v>4.96794871794872</v>
      </c>
      <c r="CY1477" s="64" t="n">
        <f aca="false">IF(CS1477="","",PERCENTRANK($CS$7:$CS$1843,CS1477)+PERCENTRANK($CU$7:$CU$1843,CU1477)+1-PERCENTRANK($CT$7:$CT$1843,CT1477))</f>
        <v>1.997</v>
      </c>
      <c r="CZ1477" s="72" t="n">
        <f aca="false">IF(CS1477="","",CHOOSE(MATCH(Einkauf!$C$5,Parameter!$G$23:$G$27,0),CY1477,CS1477,CU1477,-CT1477,CW1477)+ROW()/1000000000)</f>
        <v>1.997001477</v>
      </c>
    </row>
    <row r="1478" customFormat="false" ht="15" hidden="false" customHeight="false" outlineLevel="0" collapsed="false">
      <c r="A1478" s="60" t="s">
        <v>2626</v>
      </c>
      <c r="B1478" s="60" t="s">
        <v>2627</v>
      </c>
      <c r="C1478" s="60" t="s">
        <v>206</v>
      </c>
      <c r="D1478" s="60" t="s">
        <v>226</v>
      </c>
      <c r="E1478" s="60" t="s">
        <v>227</v>
      </c>
      <c r="F1478" s="60"/>
      <c r="G1478" s="61" t="n">
        <v>11.85</v>
      </c>
      <c r="H1478" s="62" t="n">
        <f aca="false">MAX(0,IF(AND(Parameter!$B$21="Ja",ISNUMBER(Y1478)),Y1478,IF(Parameter!$B$20="Jahresanfang 2025 + Export",BS1478+BR1478,BR1478)))</f>
        <v>6</v>
      </c>
      <c r="I1478" s="62" t="n">
        <f aca="false">H1478*G1478</f>
        <v>71.1</v>
      </c>
      <c r="J1478" s="62" t="n">
        <f aca="false">BU1478*Parameter!$B$18</f>
        <v>0</v>
      </c>
      <c r="K1478" s="63"/>
      <c r="L1478" s="64"/>
      <c r="M1478" s="62" t="n">
        <v>0</v>
      </c>
      <c r="N1478" s="62" t="n">
        <v>5</v>
      </c>
      <c r="O1478" s="65" t="n">
        <v>56</v>
      </c>
      <c r="P1478" s="60" t="s">
        <v>468</v>
      </c>
      <c r="Q1478" s="62" t="n">
        <v>6</v>
      </c>
      <c r="R1478" s="65" t="n">
        <f aca="false">IF(CA1478=1,0,IFERROR(VLOOKUP(BY1478,'Gebinde-Kategorie'!$A$5:$N$45,13,0)+0,0))</f>
        <v>140</v>
      </c>
      <c r="S1478" s="66"/>
      <c r="T1478" s="67"/>
      <c r="U1478" s="67"/>
      <c r="V1478" s="67"/>
      <c r="W1478" s="60"/>
      <c r="X1478" s="62"/>
      <c r="Y1478" s="62"/>
      <c r="Z1478" s="60" t="n">
        <v>2</v>
      </c>
      <c r="AA1478" s="60" t="n">
        <f aca="false">IF(A1478="","",IF(AND(Parameter!$B$21="Ja",ISNUMBER(W1478)),W1478,IF(AND(Parameter!$E$27="Ja",ISNUMBER(Z1478),CD1478&lt;&gt;"Nein"),Z1478,IF(CD1478="2+3",IF(ISNUMBER(SEARCH("grosser Artikel",BV1478)),2,IFERROR(VLOOKUP(BY1478,Parameter!$F$35:$G$64,2,0),2)),IF(OR(CD1478="Nein",CD1478=""),"-",CD1478)))))</f>
        <v>2</v>
      </c>
      <c r="AB1478" s="67"/>
      <c r="AC1478" s="68"/>
      <c r="AD1478" s="62" t="n">
        <f aca="false">AW1478</f>
        <v>5</v>
      </c>
      <c r="AE1478" s="62" t="n">
        <f aca="false">MAX(AW1478,H1478)</f>
        <v>6</v>
      </c>
      <c r="AF1478" s="69"/>
      <c r="AG1478" s="62" t="n">
        <f aca="false">IF(LEFT(Cockpit!$C$5,1)="A",H1478,IF(Parameter!$E$30="MAX-Bestand",IF(CI1478=1,CJ1478,IF(LEFT(Cockpit!$C$5,1)="B",AM1478,MAX(AM1478,H1478))),ROUNDUP(AK1478,0)))</f>
        <v>6</v>
      </c>
      <c r="AH1478" s="62" t="n">
        <f aca="false">IF(CA1478=1,0,ROUNDUP(AG1478/BZ1478,0))</f>
        <v>1</v>
      </c>
      <c r="AI1478" s="64" t="n">
        <f aca="false">IF(CR1478&gt;0,CR1478*MAX(1,AG1478/X1478),IF(CA1478=1,IF(AG1478&lt;=0,0,CE1478*MAX(1,IF(H1478&gt;0,AG1478/H1478,1))),IF(R1478&gt;0,AH1478/R1478,0))/MAX(0.1,N(Parameter!$M$21)))</f>
        <v>0.00714285714285714</v>
      </c>
      <c r="AJ1478" s="62" t="n">
        <f aca="false">AI1478*CC1478</f>
        <v>1.10714285714286</v>
      </c>
      <c r="AK1478" s="63" t="n">
        <f aca="false">IF(LEFT(Cockpit!$C$5,1)="A",H1478,IF(CI1478=1,(CL1478+CJ1478)/2,IF(LEFT(Cockpit!$C$5,1)="B",(CL1478+AM1478)/2,MAX((CL1478+AM1478)/2,H1478))))</f>
        <v>6</v>
      </c>
      <c r="AL1478" s="62" t="n">
        <f aca="false">AK1478*G1478</f>
        <v>71.1</v>
      </c>
      <c r="AM1478" s="62" t="n">
        <f aca="false">ROUNDUP(CL1478+MAX(CM1478,2*(J1478/IF(CH1478&gt;0,CH1478,MAX(0.1,N(Cockpit!$C$6)))-CL1478)),0)</f>
        <v>5</v>
      </c>
      <c r="AN1478" s="63" t="n">
        <f aca="false">IF(AJ1478&gt;0,J1478/AJ1478,-1)</f>
        <v>0</v>
      </c>
      <c r="AO1478" s="63" t="n">
        <f aca="false">IF(AND(OR(CG1478="L1",CG1478="L23",CG1478="LIFT"),AJ1478&gt;0),SUMIFS($AJ$7:$AJ$1843,$CG$7:$CG$1843,CG1478,$AN$7:$AN$1843,"&gt;"&amp;AN1478)+SUMIFS($AJ$7:$AJ$1843,$CG$7:$CG$1843,CG1478,$AN$7:$AN$1843,AN1478,$BX$7:$BX$1843,"&lt;="&amp;BX1478),"")</f>
        <v>29725.2081884688</v>
      </c>
      <c r="AP1478" s="70" t="n">
        <f aca="false">IF(AO1478="",0,MAX(0,MIN(1,(IF(CG1478="L1",Parameter!$H$5,IF(CG1478="L23",Parameter!$H$6+Parameter!$H$7,Parameter!$H$5+Parameter!$H$6+Parameter!$H$7))-(AO1478-AJ1478))/AJ1478)))</f>
        <v>1</v>
      </c>
      <c r="AQ1478" s="62" t="n">
        <f aca="false">IF(LEFT(Cockpit!$I$5,1)="A",H1478,IF(Parameter!$E$30="MAX-Bestand",IF(CI1478=1,CJ1478,IF(LEFT(Cockpit!$I$5,1)="B",AW1478,MAX(AW1478,H1478))),ROUNDUP(AU1478,0)))</f>
        <v>6</v>
      </c>
      <c r="AR1478" s="62" t="n">
        <f aca="false">IF(CA1478=1,0,ROUNDUP(AQ1478/BZ1478,0))</f>
        <v>1</v>
      </c>
      <c r="AS1478" s="64" t="n">
        <f aca="false">IF(CR1478&gt;0,CR1478*MAX(1,AQ1478/X1478),IF(CA1478=1,IF(AQ1478&lt;=0,0,CE1478*MAX(1,IF(H1478&gt;0,AQ1478/H1478,1))),IF(R1478&gt;0,AR1478/R1478,0))/MAX(0.1,N(Parameter!$M$21)))</f>
        <v>0.00714285714285714</v>
      </c>
      <c r="AT1478" s="62" t="n">
        <f aca="false">AS1478*CC1478</f>
        <v>1.10714285714286</v>
      </c>
      <c r="AU1478" s="63" t="n">
        <f aca="false">IF(LEFT(Cockpit!$I$5,1)="A",H1478,IF(CI1478=1,(CL1478+CJ1478)/2,IF(LEFT(Cockpit!$I$5,1)="B",(CL1478+AW1478)/2,MAX((CL1478+AW1478)/2,H1478))))</f>
        <v>6</v>
      </c>
      <c r="AV1478" s="62" t="n">
        <f aca="false">AU1478*G1478</f>
        <v>71.1</v>
      </c>
      <c r="AW1478" s="62" t="n">
        <f aca="false">ROUNDUP(CL1478+MAX(CM1478,2*(J1478/IF(CH1478&gt;0,CH1478,MAX(0.1,N(Cockpit!$I$6)))-CL1478)),0)</f>
        <v>5</v>
      </c>
      <c r="AX1478" s="63" t="n">
        <f aca="false">IF(AT1478&gt;0,J1478/AT1478,-1)</f>
        <v>0</v>
      </c>
      <c r="AY1478" s="63" t="n">
        <f aca="false">IF(AND(OR(CG1478="L1",CG1478="L23",CG1478="LIFT"),AT1478&gt;0),SUMIFS($AT$7:$AT$1843,$CG$7:$CG$1843,CG1478,$AX$7:$AX$1843,"&gt;"&amp;AX1478)+SUMIFS($AT$7:$AT$1843,$CG$7:$CG$1843,CG1478,$AX$7:$AX$1843,AX1478,$BX$7:$BX$1843,"&lt;="&amp;BX1478),"")</f>
        <v>36031.7789910184</v>
      </c>
      <c r="AZ1478" s="70" t="n">
        <f aca="false">IF(AY1478="",0,MAX(0,MIN(1,(IF(CG1478="L1",Parameter!$H$5,IF(CG1478="L23",Parameter!$H$6+Parameter!$H$7,Parameter!$H$5+Parameter!$H$6+Parameter!$H$7))-(AY1478-AT1478))/AT1478)))</f>
        <v>0</v>
      </c>
      <c r="BA1478" s="62" t="n">
        <f aca="false">IF(LEFT(Cockpit!$O$5,1)="A",H1478,IF(Parameter!$E$30="MAX-Bestand",IF(CI1478=1,CJ1478,IF(LEFT(Cockpit!$O$5,1)="B",BG1478,MAX(BG1478,H1478))),ROUNDUP(BE1478,0)))</f>
        <v>3</v>
      </c>
      <c r="BB1478" s="62" t="n">
        <f aca="false">IF(CA1478=1,0,ROUNDUP(BA1478/BZ1478,0))</f>
        <v>1</v>
      </c>
      <c r="BC1478" s="64" t="n">
        <f aca="false">IF(CR1478&gt;0,CR1478*MAX(1,BA1478/X1478),IF(CA1478=1,IF(BA1478&lt;=0,0,CE1478*MAX(1,IF(H1478&gt;0,BA1478/H1478,1))),IF(R1478&gt;0,BB1478/R1478,0))/MAX(0.1,N(Parameter!$M$21)))</f>
        <v>0.00714285714285714</v>
      </c>
      <c r="BD1478" s="62" t="n">
        <f aca="false">BC1478*CC1478</f>
        <v>1.10714285714286</v>
      </c>
      <c r="BE1478" s="63" t="n">
        <f aca="false">IF(LEFT(Cockpit!$O$5,1)="A",H1478,IF(CI1478=1,(CL1478+CJ1478)/2,IF(LEFT(Cockpit!$O$5,1)="B",(CL1478+BG1478)/2,MAX((CL1478+BG1478)/2,H1478))))</f>
        <v>2.5</v>
      </c>
      <c r="BF1478" s="62" t="n">
        <f aca="false">BE1478*G1478</f>
        <v>29.625</v>
      </c>
      <c r="BG1478" s="62" t="n">
        <f aca="false">ROUNDUP(CL1478+MAX(CM1478,2*(J1478/IF(CH1478&gt;0,CH1478,MAX(0.1,N(Cockpit!$O$6)))-CL1478)),0)</f>
        <v>5</v>
      </c>
      <c r="BH1478" s="63" t="n">
        <f aca="false">IF(BD1478&gt;0,J1478/BD1478,-1)</f>
        <v>0</v>
      </c>
      <c r="BI1478" s="63" t="n">
        <f aca="false">IF(AND(OR(CG1478="L1",CG1478="L23",CG1478="LIFT"),BD1478&gt;0),SUMIFS($BD$7:$BD$1843,$CG$7:$CG$1843,CG1478,$BH$7:$BH$1843,"&gt;"&amp;BH1478)+SUMIFS($BD$7:$BD$1843,$CG$7:$CG$1843,CG1478,$BH$7:$BH$1843,BH1478,$BX$7:$BX$1843,"&lt;="&amp;BX1478),"")</f>
        <v>30017.0856511662</v>
      </c>
      <c r="BJ1478" s="70" t="n">
        <f aca="false">IF(BI1478="",0,MAX(0,MIN(1,(IF(CG1478="L1",Parameter!$H$5,IF(CG1478="L23",Parameter!$H$6+Parameter!$H$7,Parameter!$H$5+Parameter!$H$6+Parameter!$H$7))-(BI1478-BD1478))/BD1478)))</f>
        <v>1</v>
      </c>
      <c r="BK1478" s="60" t="str">
        <f aca="false">IF(AJ1478&lt;=0,"",IF(CG1478="Aussen","Aussenlager",IF(CG1478="-","Nicht im Lift",IF(AP1478&gt;=1,"Lift",IF(AP1478&lt;=0,"Aussenlager","teilweise")))))</f>
        <v>Lift</v>
      </c>
      <c r="BL1478" s="60" t="str">
        <f aca="false">IF(AT1478&lt;=0,"",IF(CG1478="Aussen","Aussenlager",IF(CG1478="-","Nicht im Lift",IF(AZ1478&gt;=1,"Lift",IF(AZ1478&lt;=0,"Aussenlager","teilweise")))))</f>
        <v>Aussenlager</v>
      </c>
      <c r="BM1478" s="60" t="str">
        <f aca="false">IF(BD1478&lt;=0,"",IF(CG1478="Aussen","Aussenlager",IF(CG1478="-","Nicht im Lift",IF(BJ1478&gt;=1,"Lift",IF(BJ1478&lt;=0,"Aussenlager","teilweise")))))</f>
        <v>Lift</v>
      </c>
      <c r="BN1478" s="60" t="str">
        <f aca="false">IF(A1478="","",IF(BW1478=1,"Neu; ","")&amp;IF(AND(BW1478=0,BR1478&lt;0),"negativer Bestand (Export "&amp;BR1478&amp;"); ","")&amp;IF(J1478&lt;=0,"Kein Verbrauch; ","")&amp;IF(CR1478&gt;0,"Lift "&amp;W1478&amp;" lt. Liftbericht (Fach "&amp;X1478&amp;" Stk); ",IF(CB1478=1,"Gebinde geschätzt ("&amp;T1478&amp;"); ",IF(CA1478=1,"Lose – Tablare geschätzt; ","")))&amp;IF(H1478&gt;AW1478,"Überbestand "&amp;ROUND(H1478-AW1478,0)&amp;" Stk / CHF "&amp;ROUND((H1478-AW1478)*G1478,0)&amp;"; ","")&amp;IF(AND(CI1478=1,CJ1478&lt;CK1478),"MAX &lt; MB+LG; ","")&amp;IF(AND(CQ1478&gt;0,CP1478*10&gt;CQ1478),"zu hoch für Tablar; ","")&amp;IF(AND(BW1478=0,OR(CI1478=1,AB1478&lt;&gt;"",U1478&lt;&gt;"",V1478&lt;&gt;"",AC1478&lt;&gt;"")),"manuell übersteuert; ","")&amp;IF(AND(CA1478=0,R1478=0),"Gebinde unbekannt / Stellmass fehlt; ","")&amp;IF(AND(CA1478=0,N(V1478)&lt;=0,N(Q1478)&lt;=0),"Menge pro Gebinde fehlt (Ist = 1 Gebinde); ","")&amp;BV1478)</f>
        <v>Kein Verbrauch; Überbestand 1 Stk / CHF 12; nur im Artikelstamm (Bestand 23.06.2026)</v>
      </c>
      <c r="BO1478" s="60"/>
      <c r="BP1478" s="60"/>
      <c r="BQ1478" s="67"/>
      <c r="BR1478" s="62" t="n">
        <v>6</v>
      </c>
      <c r="BS1478" s="62" t="n">
        <v>0</v>
      </c>
      <c r="BT1478" s="61" t="n">
        <v>0</v>
      </c>
      <c r="BU1478" s="62" t="n">
        <v>0</v>
      </c>
      <c r="BV1478" s="60" t="s">
        <v>2617</v>
      </c>
      <c r="BW1478" s="65" t="n">
        <v>0</v>
      </c>
      <c r="BX1478" s="65" t="n">
        <v>1478</v>
      </c>
      <c r="BY1478" s="60" t="str">
        <f aca="false">IF(U1478&lt;&gt;"",UPPER(TRIM(U1478)),IF(CB1478=1,UPPER(VLOOKUP(T1478,Parameter!$I$27:$K$29,2,0)),IF(P1478="","LOSE",P1478)))</f>
        <v>S22</v>
      </c>
      <c r="BZ1478" s="62" t="n">
        <f aca="false">IF(BY1478="LOSE",1,IF(N(V1478)&gt;0,V1478,IF(CB1478=1,MAX(1,N(VLOOKUP(T1478,Parameter!$I$27:$K$29,3,0)),H1478,N(N1478)),IF(N(Q1478)&gt;0,Q1478,MAX(1,H1478)))))</f>
        <v>6</v>
      </c>
      <c r="CA1478" s="65" t="n">
        <f aca="false">IF(BY1478="LOSE",1,0)</f>
        <v>0</v>
      </c>
      <c r="CB1478" s="65" t="n">
        <f aca="false">IF(AND(U1478="",OR(P1478="",P1478="LOSE"),T1478&lt;&gt;"",N(S1478)&lt;=0,ISNUMBER(MATCH(T1478,Parameter!$I$27:$I$29,0))),1,0)</f>
        <v>0</v>
      </c>
      <c r="CC1478" s="65" t="n">
        <f aca="false">IF(CR1478&gt;0,INDEX(Parameter!$H$5:$H$7,W1478)/INDEX(Parameter!$E$5:$E$7,W1478),IF(AND(CA1478=0,N(IFERROR(VLOOKUP(BY1478,'Gebinde-Kategorie'!$A$5:$N$45,14,0),0))&gt;0),VLOOKUP(BY1478,'Gebinde-Kategorie'!$A$5:$N$45,14,0)*10+Parameter!$M$23,Parameter!$M$24))</f>
        <v>155</v>
      </c>
      <c r="CD1478" s="60" t="str">
        <f aca="false">IF(AND(Parameter!$B$19="Ja",E1478&lt;&gt;"",ISNUMBER(MATCH(E1478,Parameter!$I$35:$I$52,0))),VLOOKUP(E1478,Parameter!$I$35:$J$52,2,0),IFERROR(VLOOKUP(D1478,Parameter!$A$35:$C$64,2,0),"Nein"))</f>
        <v>2+3</v>
      </c>
      <c r="CE1478" s="64" t="n">
        <f aca="false">IF(CA1478=0,0,IF(N(S1478)&gt;0,S1478,IFERROR(VLOOKUP(D1478,Parameter!$A$35:$C$64,3,0)+0,0)))</f>
        <v>0</v>
      </c>
      <c r="CF1478" s="60" t="n">
        <f aca="false">IF(AB1478&lt;&gt;"",AB1478,AA1478)</f>
        <v>2</v>
      </c>
      <c r="CG1478" s="60" t="str">
        <f aca="false">IF(OR(CF1478=1,CF1478=2,CF1478=3),IF(Parameter!$E$27="Ja","LIFT",IF(CF1478=1,"L1","L23")),IF(CF1478="Aussen","Aussen","-"))</f>
        <v>LIFT</v>
      </c>
      <c r="CH1478" s="71" t="n">
        <f aca="false">IF(N(AC1478)&gt;0,AC1478,0)</f>
        <v>0</v>
      </c>
      <c r="CI1478" s="65" t="n">
        <f aca="false">IF(ISNUMBER(AF1478),1,0)</f>
        <v>0</v>
      </c>
      <c r="CJ1478" s="62" t="n">
        <f aca="false">N(AF1478)</f>
        <v>0</v>
      </c>
      <c r="CK1478" s="62" t="n">
        <f aca="false">N(M1478)+N(N1478)</f>
        <v>5</v>
      </c>
      <c r="CL1478" s="62" t="n">
        <f aca="false">N(M1478)</f>
        <v>0</v>
      </c>
      <c r="CM1478" s="62" t="n">
        <f aca="false">N(N1478)</f>
        <v>5</v>
      </c>
      <c r="CN1478" s="62" t="n">
        <f aca="false">ROUNDUP(H1478/BZ1478,0)</f>
        <v>1</v>
      </c>
      <c r="CO1478" s="62" t="n">
        <f aca="false">ROUNDUP(CJ1478/BZ1478,0)</f>
        <v>0</v>
      </c>
      <c r="CP1478" s="65" t="n">
        <f aca="false">IF(CA1478=1,0,IFERROR(VLOOKUP(BY1478,'Gebinde-Kategorie'!$A$5:$N$45,5,0)+0,0))</f>
        <v>8</v>
      </c>
      <c r="CQ1478" s="65" t="n">
        <f aca="false">IFERROR(IF(OR(CF1478=1,CF1478=2,CF1478=3),N(INDEX(Parameter!$I$5:$I$7,CF1478)),0),0)</f>
        <v>0</v>
      </c>
      <c r="CR1478" s="64" t="n">
        <f aca="false">IF(AND(Parameter!$B$21="Ja",ISNUMBER(W1478),N(X1478)&gt;0),IFERROR(N(INDEX(Parameter!$L$5:$L$7,W1478))*INDEX(Parameter!$E$5:$E$7,W1478)*X1478/SUMIFS($X$7:$X$1843,$W$7:$W$1843,W1478),0),0)</f>
        <v>0</v>
      </c>
      <c r="CS1478" s="62" t="n">
        <f aca="false">IF(AND(OR(CG1478="L1",CG1478="L23",CG1478="LIFT"),H1478&gt;0),CC1478*IF(CR1478&gt;0,CR1478*MAX(1,H1478/X1478),IF(CA1478=1,CE1478,IF(R1478&gt;0,CN1478/R1478,0))/MAX(0.1,N(Parameter!$M$21))),"")</f>
        <v>1.10714285714286</v>
      </c>
      <c r="CT1478" s="64" t="n">
        <f aca="false">IF(CS1478="","",J1478/H1478)</f>
        <v>0</v>
      </c>
      <c r="CU1478" s="62" t="n">
        <f aca="false">IF(CS1478="","",H1478*G1478)</f>
        <v>71.1</v>
      </c>
      <c r="CV1478" s="63" t="n">
        <f aca="false">IF(CS1478="","",(CL1478+ROUNDUP(CL1478+MAX(CM1478,2*(J1478/MAX(0.1,N(Einkauf!$C$6))-CL1478)),0))/2)</f>
        <v>2.5</v>
      </c>
      <c r="CW1478" s="62" t="n">
        <f aca="false">IF(CS1478="","",MAX(0,H1478-CV1478)*G1478)</f>
        <v>41.475</v>
      </c>
      <c r="CX1478" s="62" t="n">
        <f aca="false">IF(CS1478="","",CS1478*MAX(0,1-CV1478/H1478))</f>
        <v>0.645833333333333</v>
      </c>
      <c r="CY1478" s="64" t="n">
        <f aca="false">IF(CS1478="","",PERCENTRANK($CS$7:$CS$1843,CS1478)+PERCENTRANK($CU$7:$CU$1843,CU1478)+1-PERCENTRANK($CT$7:$CT$1843,CT1478))</f>
        <v>1.2404</v>
      </c>
      <c r="CZ1478" s="72" t="n">
        <f aca="false">IF(CS1478="","",CHOOSE(MATCH(Einkauf!$C$5,Parameter!$G$23:$G$27,0),CY1478,CS1478,CU1478,-CT1478,CW1478)+ROW()/1000000000)</f>
        <v>1.240401478</v>
      </c>
    </row>
    <row r="1479" customFormat="false" ht="15" hidden="false" customHeight="false" outlineLevel="0" collapsed="false">
      <c r="A1479" s="60" t="s">
        <v>2628</v>
      </c>
      <c r="B1479" s="60" t="s">
        <v>2629</v>
      </c>
      <c r="C1479" s="60" t="s">
        <v>206</v>
      </c>
      <c r="D1479" s="60" t="s">
        <v>226</v>
      </c>
      <c r="E1479" s="60" t="s">
        <v>227</v>
      </c>
      <c r="F1479" s="60"/>
      <c r="G1479" s="61" t="n">
        <v>8.4</v>
      </c>
      <c r="H1479" s="62" t="n">
        <f aca="false">MAX(0,IF(AND(Parameter!$B$21="Ja",ISNUMBER(Y1479)),Y1479,IF(Parameter!$B$20="Jahresanfang 2025 + Export",BS1479+BR1479,BR1479)))</f>
        <v>9</v>
      </c>
      <c r="I1479" s="62" t="n">
        <f aca="false">H1479*G1479</f>
        <v>75.6</v>
      </c>
      <c r="J1479" s="62" t="n">
        <f aca="false">BU1479*Parameter!$B$18</f>
        <v>0</v>
      </c>
      <c r="K1479" s="63"/>
      <c r="L1479" s="64"/>
      <c r="M1479" s="62" t="n">
        <v>0</v>
      </c>
      <c r="N1479" s="62" t="n">
        <v>6</v>
      </c>
      <c r="O1479" s="65" t="n">
        <v>35</v>
      </c>
      <c r="P1479" s="60" t="s">
        <v>468</v>
      </c>
      <c r="Q1479" s="62" t="n">
        <v>9</v>
      </c>
      <c r="R1479" s="65" t="n">
        <f aca="false">IF(CA1479=1,0,IFERROR(VLOOKUP(BY1479,'Gebinde-Kategorie'!$A$5:$N$45,13,0)+0,0))</f>
        <v>140</v>
      </c>
      <c r="S1479" s="66"/>
      <c r="T1479" s="67"/>
      <c r="U1479" s="67"/>
      <c r="V1479" s="67"/>
      <c r="W1479" s="60"/>
      <c r="X1479" s="62"/>
      <c r="Y1479" s="62"/>
      <c r="Z1479" s="60" t="n">
        <v>2</v>
      </c>
      <c r="AA1479" s="60" t="n">
        <f aca="false">IF(A1479="","",IF(AND(Parameter!$B$21="Ja",ISNUMBER(W1479)),W1479,IF(AND(Parameter!$E$27="Ja",ISNUMBER(Z1479),CD1479&lt;&gt;"Nein"),Z1479,IF(CD1479="2+3",IF(ISNUMBER(SEARCH("grosser Artikel",BV1479)),2,IFERROR(VLOOKUP(BY1479,Parameter!$F$35:$G$64,2,0),2)),IF(OR(CD1479="Nein",CD1479=""),"-",CD1479)))))</f>
        <v>2</v>
      </c>
      <c r="AB1479" s="67"/>
      <c r="AC1479" s="68"/>
      <c r="AD1479" s="62" t="n">
        <f aca="false">AW1479</f>
        <v>6</v>
      </c>
      <c r="AE1479" s="62" t="n">
        <f aca="false">MAX(AW1479,H1479)</f>
        <v>9</v>
      </c>
      <c r="AF1479" s="69"/>
      <c r="AG1479" s="62" t="n">
        <f aca="false">IF(LEFT(Cockpit!$C$5,1)="A",H1479,IF(Parameter!$E$30="MAX-Bestand",IF(CI1479=1,CJ1479,IF(LEFT(Cockpit!$C$5,1)="B",AM1479,MAX(AM1479,H1479))),ROUNDUP(AK1479,0)))</f>
        <v>9</v>
      </c>
      <c r="AH1479" s="62" t="n">
        <f aca="false">IF(CA1479=1,0,ROUNDUP(AG1479/BZ1479,0))</f>
        <v>1</v>
      </c>
      <c r="AI1479" s="64" t="n">
        <f aca="false">IF(CR1479&gt;0,CR1479*MAX(1,AG1479/X1479),IF(CA1479=1,IF(AG1479&lt;=0,0,CE1479*MAX(1,IF(H1479&gt;0,AG1479/H1479,1))),IF(R1479&gt;0,AH1479/R1479,0))/MAX(0.1,N(Parameter!$M$21)))</f>
        <v>0.00714285714285714</v>
      </c>
      <c r="AJ1479" s="62" t="n">
        <f aca="false">AI1479*CC1479</f>
        <v>1.10714285714286</v>
      </c>
      <c r="AK1479" s="63" t="n">
        <f aca="false">IF(LEFT(Cockpit!$C$5,1)="A",H1479,IF(CI1479=1,(CL1479+CJ1479)/2,IF(LEFT(Cockpit!$C$5,1)="B",(CL1479+AM1479)/2,MAX((CL1479+AM1479)/2,H1479))))</f>
        <v>9</v>
      </c>
      <c r="AL1479" s="62" t="n">
        <f aca="false">AK1479*G1479</f>
        <v>75.6</v>
      </c>
      <c r="AM1479" s="62" t="n">
        <f aca="false">ROUNDUP(CL1479+MAX(CM1479,2*(J1479/IF(CH1479&gt;0,CH1479,MAX(0.1,N(Cockpit!$C$6)))-CL1479)),0)</f>
        <v>6</v>
      </c>
      <c r="AN1479" s="63" t="n">
        <f aca="false">IF(AJ1479&gt;0,J1479/AJ1479,-1)</f>
        <v>0</v>
      </c>
      <c r="AO1479" s="63" t="n">
        <f aca="false">IF(AND(OR(CG1479="L1",CG1479="L23",CG1479="LIFT"),AJ1479&gt;0),SUMIFS($AJ$7:$AJ$1843,$CG$7:$CG$1843,CG1479,$AN$7:$AN$1843,"&gt;"&amp;AN1479)+SUMIFS($AJ$7:$AJ$1843,$CG$7:$CG$1843,CG1479,$AN$7:$AN$1843,AN1479,$BX$7:$BX$1843,"&lt;="&amp;BX1479),"")</f>
        <v>29726.3153313259</v>
      </c>
      <c r="AP1479" s="70" t="n">
        <f aca="false">IF(AO1479="",0,MAX(0,MIN(1,(IF(CG1479="L1",Parameter!$H$5,IF(CG1479="L23",Parameter!$H$6+Parameter!$H$7,Parameter!$H$5+Parameter!$H$6+Parameter!$H$7))-(AO1479-AJ1479))/AJ1479)))</f>
        <v>1</v>
      </c>
      <c r="AQ1479" s="62" t="n">
        <f aca="false">IF(LEFT(Cockpit!$I$5,1)="A",H1479,IF(Parameter!$E$30="MAX-Bestand",IF(CI1479=1,CJ1479,IF(LEFT(Cockpit!$I$5,1)="B",AW1479,MAX(AW1479,H1479))),ROUNDUP(AU1479,0)))</f>
        <v>9</v>
      </c>
      <c r="AR1479" s="62" t="n">
        <f aca="false">IF(CA1479=1,0,ROUNDUP(AQ1479/BZ1479,0))</f>
        <v>1</v>
      </c>
      <c r="AS1479" s="64" t="n">
        <f aca="false">IF(CR1479&gt;0,CR1479*MAX(1,AQ1479/X1479),IF(CA1479=1,IF(AQ1479&lt;=0,0,CE1479*MAX(1,IF(H1479&gt;0,AQ1479/H1479,1))),IF(R1479&gt;0,AR1479/R1479,0))/MAX(0.1,N(Parameter!$M$21)))</f>
        <v>0.00714285714285714</v>
      </c>
      <c r="AT1479" s="62" t="n">
        <f aca="false">AS1479*CC1479</f>
        <v>1.10714285714286</v>
      </c>
      <c r="AU1479" s="63" t="n">
        <f aca="false">IF(LEFT(Cockpit!$I$5,1)="A",H1479,IF(CI1479=1,(CL1479+CJ1479)/2,IF(LEFT(Cockpit!$I$5,1)="B",(CL1479+AW1479)/2,MAX((CL1479+AW1479)/2,H1479))))</f>
        <v>9</v>
      </c>
      <c r="AV1479" s="62" t="n">
        <f aca="false">AU1479*G1479</f>
        <v>75.6</v>
      </c>
      <c r="AW1479" s="62" t="n">
        <f aca="false">ROUNDUP(CL1479+MAX(CM1479,2*(J1479/IF(CH1479&gt;0,CH1479,MAX(0.1,N(Cockpit!$I$6)))-CL1479)),0)</f>
        <v>6</v>
      </c>
      <c r="AX1479" s="63" t="n">
        <f aca="false">IF(AT1479&gt;0,J1479/AT1479,-1)</f>
        <v>0</v>
      </c>
      <c r="AY1479" s="63" t="n">
        <f aca="false">IF(AND(OR(CG1479="L1",CG1479="L23",CG1479="LIFT"),AT1479&gt;0),SUMIFS($AT$7:$AT$1843,$CG$7:$CG$1843,CG1479,$AX$7:$AX$1843,"&gt;"&amp;AX1479)+SUMIFS($AT$7:$AT$1843,$CG$7:$CG$1843,CG1479,$AX$7:$AX$1843,AX1479,$BX$7:$BX$1843,"&lt;="&amp;BX1479),"")</f>
        <v>36032.8861338755</v>
      </c>
      <c r="AZ1479" s="70" t="n">
        <f aca="false">IF(AY1479="",0,MAX(0,MIN(1,(IF(CG1479="L1",Parameter!$H$5,IF(CG1479="L23",Parameter!$H$6+Parameter!$H$7,Parameter!$H$5+Parameter!$H$6+Parameter!$H$7))-(AY1479-AT1479))/AT1479)))</f>
        <v>0</v>
      </c>
      <c r="BA1479" s="62" t="n">
        <f aca="false">IF(LEFT(Cockpit!$O$5,1)="A",H1479,IF(Parameter!$E$30="MAX-Bestand",IF(CI1479=1,CJ1479,IF(LEFT(Cockpit!$O$5,1)="B",BG1479,MAX(BG1479,H1479))),ROUNDUP(BE1479,0)))</f>
        <v>3</v>
      </c>
      <c r="BB1479" s="62" t="n">
        <f aca="false">IF(CA1479=1,0,ROUNDUP(BA1479/BZ1479,0))</f>
        <v>1</v>
      </c>
      <c r="BC1479" s="64" t="n">
        <f aca="false">IF(CR1479&gt;0,CR1479*MAX(1,BA1479/X1479),IF(CA1479=1,IF(BA1479&lt;=0,0,CE1479*MAX(1,IF(H1479&gt;0,BA1479/H1479,1))),IF(R1479&gt;0,BB1479/R1479,0))/MAX(0.1,N(Parameter!$M$21)))</f>
        <v>0.00714285714285714</v>
      </c>
      <c r="BD1479" s="62" t="n">
        <f aca="false">BC1479*CC1479</f>
        <v>1.10714285714286</v>
      </c>
      <c r="BE1479" s="63" t="n">
        <f aca="false">IF(LEFT(Cockpit!$O$5,1)="A",H1479,IF(CI1479=1,(CL1479+CJ1479)/2,IF(LEFT(Cockpit!$O$5,1)="B",(CL1479+BG1479)/2,MAX((CL1479+BG1479)/2,H1479))))</f>
        <v>3</v>
      </c>
      <c r="BF1479" s="62" t="n">
        <f aca="false">BE1479*G1479</f>
        <v>25.2</v>
      </c>
      <c r="BG1479" s="62" t="n">
        <f aca="false">ROUNDUP(CL1479+MAX(CM1479,2*(J1479/IF(CH1479&gt;0,CH1479,MAX(0.1,N(Cockpit!$O$6)))-CL1479)),0)</f>
        <v>6</v>
      </c>
      <c r="BH1479" s="63" t="n">
        <f aca="false">IF(BD1479&gt;0,J1479/BD1479,-1)</f>
        <v>0</v>
      </c>
      <c r="BI1479" s="63" t="n">
        <f aca="false">IF(AND(OR(CG1479="L1",CG1479="L23",CG1479="LIFT"),BD1479&gt;0),SUMIFS($BD$7:$BD$1843,$CG$7:$CG$1843,CG1479,$BH$7:$BH$1843,"&gt;"&amp;BH1479)+SUMIFS($BD$7:$BD$1843,$CG$7:$CG$1843,CG1479,$BH$7:$BH$1843,BH1479,$BX$7:$BX$1843,"&lt;="&amp;BX1479),"")</f>
        <v>30018.1927940233</v>
      </c>
      <c r="BJ1479" s="70" t="n">
        <f aca="false">IF(BI1479="",0,MAX(0,MIN(1,(IF(CG1479="L1",Parameter!$H$5,IF(CG1479="L23",Parameter!$H$6+Parameter!$H$7,Parameter!$H$5+Parameter!$H$6+Parameter!$H$7))-(BI1479-BD1479))/BD1479)))</f>
        <v>1</v>
      </c>
      <c r="BK1479" s="60" t="str">
        <f aca="false">IF(AJ1479&lt;=0,"",IF(CG1479="Aussen","Aussenlager",IF(CG1479="-","Nicht im Lift",IF(AP1479&gt;=1,"Lift",IF(AP1479&lt;=0,"Aussenlager","teilweise")))))</f>
        <v>Lift</v>
      </c>
      <c r="BL1479" s="60" t="str">
        <f aca="false">IF(AT1479&lt;=0,"",IF(CG1479="Aussen","Aussenlager",IF(CG1479="-","Nicht im Lift",IF(AZ1479&gt;=1,"Lift",IF(AZ1479&lt;=0,"Aussenlager","teilweise")))))</f>
        <v>Aussenlager</v>
      </c>
      <c r="BM1479" s="60" t="str">
        <f aca="false">IF(BD1479&lt;=0,"",IF(CG1479="Aussen","Aussenlager",IF(CG1479="-","Nicht im Lift",IF(BJ1479&gt;=1,"Lift",IF(BJ1479&lt;=0,"Aussenlager","teilweise")))))</f>
        <v>Lift</v>
      </c>
      <c r="BN1479" s="60" t="str">
        <f aca="false">IF(A1479="","",IF(BW1479=1,"Neu; ","")&amp;IF(AND(BW1479=0,BR1479&lt;0),"negativer Bestand (Export "&amp;BR1479&amp;"); ","")&amp;IF(J1479&lt;=0,"Kein Verbrauch; ","")&amp;IF(CR1479&gt;0,"Lift "&amp;W1479&amp;" lt. Liftbericht (Fach "&amp;X1479&amp;" Stk); ",IF(CB1479=1,"Gebinde geschätzt ("&amp;T1479&amp;"); ",IF(CA1479=1,"Lose – Tablare geschätzt; ","")))&amp;IF(H1479&gt;AW1479,"Überbestand "&amp;ROUND(H1479-AW1479,0)&amp;" Stk / CHF "&amp;ROUND((H1479-AW1479)*G1479,0)&amp;"; ","")&amp;IF(AND(CI1479=1,CJ1479&lt;CK1479),"MAX &lt; MB+LG; ","")&amp;IF(AND(CQ1479&gt;0,CP1479*10&gt;CQ1479),"zu hoch für Tablar; ","")&amp;IF(AND(BW1479=0,OR(CI1479=1,AB1479&lt;&gt;"",U1479&lt;&gt;"",V1479&lt;&gt;"",AC1479&lt;&gt;"")),"manuell übersteuert; ","")&amp;IF(AND(CA1479=0,R1479=0),"Gebinde unbekannt / Stellmass fehlt; ","")&amp;IF(AND(CA1479=0,N(V1479)&lt;=0,N(Q1479)&lt;=0),"Menge pro Gebinde fehlt (Ist = 1 Gebinde); ","")&amp;BV1479)</f>
        <v>Kein Verbrauch; Überbestand 3 Stk / CHF 25; nur im Artikelstamm (Bestand 23.06.2026)</v>
      </c>
      <c r="BO1479" s="60"/>
      <c r="BP1479" s="60"/>
      <c r="BQ1479" s="67"/>
      <c r="BR1479" s="62" t="n">
        <v>9</v>
      </c>
      <c r="BS1479" s="62" t="n">
        <v>0</v>
      </c>
      <c r="BT1479" s="61" t="n">
        <v>0</v>
      </c>
      <c r="BU1479" s="62" t="n">
        <v>0</v>
      </c>
      <c r="BV1479" s="60" t="s">
        <v>2617</v>
      </c>
      <c r="BW1479" s="65" t="n">
        <v>0</v>
      </c>
      <c r="BX1479" s="65" t="n">
        <v>1479</v>
      </c>
      <c r="BY1479" s="60" t="str">
        <f aca="false">IF(U1479&lt;&gt;"",UPPER(TRIM(U1479)),IF(CB1479=1,UPPER(VLOOKUP(T1479,Parameter!$I$27:$K$29,2,0)),IF(P1479="","LOSE",P1479)))</f>
        <v>S22</v>
      </c>
      <c r="BZ1479" s="62" t="n">
        <f aca="false">IF(BY1479="LOSE",1,IF(N(V1479)&gt;0,V1479,IF(CB1479=1,MAX(1,N(VLOOKUP(T1479,Parameter!$I$27:$K$29,3,0)),H1479,N(N1479)),IF(N(Q1479)&gt;0,Q1479,MAX(1,H1479)))))</f>
        <v>9</v>
      </c>
      <c r="CA1479" s="65" t="n">
        <f aca="false">IF(BY1479="LOSE",1,0)</f>
        <v>0</v>
      </c>
      <c r="CB1479" s="65" t="n">
        <f aca="false">IF(AND(U1479="",OR(P1479="",P1479="LOSE"),T1479&lt;&gt;"",N(S1479)&lt;=0,ISNUMBER(MATCH(T1479,Parameter!$I$27:$I$29,0))),1,0)</f>
        <v>0</v>
      </c>
      <c r="CC1479" s="65" t="n">
        <f aca="false">IF(CR1479&gt;0,INDEX(Parameter!$H$5:$H$7,W1479)/INDEX(Parameter!$E$5:$E$7,W1479),IF(AND(CA1479=0,N(IFERROR(VLOOKUP(BY1479,'Gebinde-Kategorie'!$A$5:$N$45,14,0),0))&gt;0),VLOOKUP(BY1479,'Gebinde-Kategorie'!$A$5:$N$45,14,0)*10+Parameter!$M$23,Parameter!$M$24))</f>
        <v>155</v>
      </c>
      <c r="CD1479" s="60" t="str">
        <f aca="false">IF(AND(Parameter!$B$19="Ja",E1479&lt;&gt;"",ISNUMBER(MATCH(E1479,Parameter!$I$35:$I$52,0))),VLOOKUP(E1479,Parameter!$I$35:$J$52,2,0),IFERROR(VLOOKUP(D1479,Parameter!$A$35:$C$64,2,0),"Nein"))</f>
        <v>2+3</v>
      </c>
      <c r="CE1479" s="64" t="n">
        <f aca="false">IF(CA1479=0,0,IF(N(S1479)&gt;0,S1479,IFERROR(VLOOKUP(D1479,Parameter!$A$35:$C$64,3,0)+0,0)))</f>
        <v>0</v>
      </c>
      <c r="CF1479" s="60" t="n">
        <f aca="false">IF(AB1479&lt;&gt;"",AB1479,AA1479)</f>
        <v>2</v>
      </c>
      <c r="CG1479" s="60" t="str">
        <f aca="false">IF(OR(CF1479=1,CF1479=2,CF1479=3),IF(Parameter!$E$27="Ja","LIFT",IF(CF1479=1,"L1","L23")),IF(CF1479="Aussen","Aussen","-"))</f>
        <v>LIFT</v>
      </c>
      <c r="CH1479" s="71" t="n">
        <f aca="false">IF(N(AC1479)&gt;0,AC1479,0)</f>
        <v>0</v>
      </c>
      <c r="CI1479" s="65" t="n">
        <f aca="false">IF(ISNUMBER(AF1479),1,0)</f>
        <v>0</v>
      </c>
      <c r="CJ1479" s="62" t="n">
        <f aca="false">N(AF1479)</f>
        <v>0</v>
      </c>
      <c r="CK1479" s="62" t="n">
        <f aca="false">N(M1479)+N(N1479)</f>
        <v>6</v>
      </c>
      <c r="CL1479" s="62" t="n">
        <f aca="false">N(M1479)</f>
        <v>0</v>
      </c>
      <c r="CM1479" s="62" t="n">
        <f aca="false">N(N1479)</f>
        <v>6</v>
      </c>
      <c r="CN1479" s="62" t="n">
        <f aca="false">ROUNDUP(H1479/BZ1479,0)</f>
        <v>1</v>
      </c>
      <c r="CO1479" s="62" t="n">
        <f aca="false">ROUNDUP(CJ1479/BZ1479,0)</f>
        <v>0</v>
      </c>
      <c r="CP1479" s="65" t="n">
        <f aca="false">IF(CA1479=1,0,IFERROR(VLOOKUP(BY1479,'Gebinde-Kategorie'!$A$5:$N$45,5,0)+0,0))</f>
        <v>8</v>
      </c>
      <c r="CQ1479" s="65" t="n">
        <f aca="false">IFERROR(IF(OR(CF1479=1,CF1479=2,CF1479=3),N(INDEX(Parameter!$I$5:$I$7,CF1479)),0),0)</f>
        <v>0</v>
      </c>
      <c r="CR1479" s="64" t="n">
        <f aca="false">IF(AND(Parameter!$B$21="Ja",ISNUMBER(W1479),N(X1479)&gt;0),IFERROR(N(INDEX(Parameter!$L$5:$L$7,W1479))*INDEX(Parameter!$E$5:$E$7,W1479)*X1479/SUMIFS($X$7:$X$1843,$W$7:$W$1843,W1479),0),0)</f>
        <v>0</v>
      </c>
      <c r="CS1479" s="62" t="n">
        <f aca="false">IF(AND(OR(CG1479="L1",CG1479="L23",CG1479="LIFT"),H1479&gt;0),CC1479*IF(CR1479&gt;0,CR1479*MAX(1,H1479/X1479),IF(CA1479=1,CE1479,IF(R1479&gt;0,CN1479/R1479,0))/MAX(0.1,N(Parameter!$M$21))),"")</f>
        <v>1.10714285714286</v>
      </c>
      <c r="CT1479" s="64" t="n">
        <f aca="false">IF(CS1479="","",J1479/H1479)</f>
        <v>0</v>
      </c>
      <c r="CU1479" s="62" t="n">
        <f aca="false">IF(CS1479="","",H1479*G1479)</f>
        <v>75.6</v>
      </c>
      <c r="CV1479" s="63" t="n">
        <f aca="false">IF(CS1479="","",(CL1479+ROUNDUP(CL1479+MAX(CM1479,2*(J1479/MAX(0.1,N(Einkauf!$C$6))-CL1479)),0))/2)</f>
        <v>3</v>
      </c>
      <c r="CW1479" s="62" t="n">
        <f aca="false">IF(CS1479="","",MAX(0,H1479-CV1479)*G1479)</f>
        <v>50.4</v>
      </c>
      <c r="CX1479" s="62" t="n">
        <f aca="false">IF(CS1479="","",CS1479*MAX(0,1-CV1479/H1479))</f>
        <v>0.738095238095238</v>
      </c>
      <c r="CY1479" s="64" t="n">
        <f aca="false">IF(CS1479="","",PERCENTRANK($CS$7:$CS$1843,CS1479)+PERCENTRANK($CU$7:$CU$1843,CU1479)+1-PERCENTRANK($CT$7:$CT$1843,CT1479))</f>
        <v>1.2474</v>
      </c>
      <c r="CZ1479" s="72" t="n">
        <f aca="false">IF(CS1479="","",CHOOSE(MATCH(Einkauf!$C$5,Parameter!$G$23:$G$27,0),CY1479,CS1479,CU1479,-CT1479,CW1479)+ROW()/1000000000)</f>
        <v>1.247401479</v>
      </c>
    </row>
    <row r="1480" customFormat="false" ht="15" hidden="false" customHeight="false" outlineLevel="0" collapsed="false">
      <c r="A1480" s="60" t="s">
        <v>2630</v>
      </c>
      <c r="B1480" s="60" t="s">
        <v>2631</v>
      </c>
      <c r="C1480" s="60" t="s">
        <v>206</v>
      </c>
      <c r="D1480" s="60" t="s">
        <v>226</v>
      </c>
      <c r="E1480" s="60" t="s">
        <v>227</v>
      </c>
      <c r="F1480" s="60"/>
      <c r="G1480" s="61" t="n">
        <v>186.49</v>
      </c>
      <c r="H1480" s="62" t="n">
        <f aca="false">MAX(0,IF(AND(Parameter!$B$21="Ja",ISNUMBER(Y1480)),Y1480,IF(Parameter!$B$20="Jahresanfang 2025 + Export",BS1480+BR1480,BR1480)))</f>
        <v>3</v>
      </c>
      <c r="I1480" s="62" t="n">
        <f aca="false">H1480*G1480</f>
        <v>559.47</v>
      </c>
      <c r="J1480" s="62" t="n">
        <f aca="false">BU1480*Parameter!$B$18</f>
        <v>0</v>
      </c>
      <c r="K1480" s="63"/>
      <c r="L1480" s="64"/>
      <c r="M1480" s="62" t="n">
        <v>0</v>
      </c>
      <c r="N1480" s="62" t="n">
        <v>3</v>
      </c>
      <c r="O1480" s="65" t="n">
        <v>0</v>
      </c>
      <c r="P1480" s="60" t="s">
        <v>275</v>
      </c>
      <c r="Q1480" s="62" t="n">
        <v>3</v>
      </c>
      <c r="R1480" s="65" t="n">
        <f aca="false">IF(CA1480=1,0,IFERROR(VLOOKUP(BY1480,'Gebinde-Kategorie'!$A$5:$N$45,13,0)+0,0))</f>
        <v>26</v>
      </c>
      <c r="S1480" s="66"/>
      <c r="T1480" s="67"/>
      <c r="U1480" s="67"/>
      <c r="V1480" s="67"/>
      <c r="W1480" s="60"/>
      <c r="X1480" s="62"/>
      <c r="Y1480" s="62"/>
      <c r="Z1480" s="60" t="n">
        <v>3</v>
      </c>
      <c r="AA1480" s="60" t="n">
        <f aca="false">IF(A1480="","",IF(AND(Parameter!$B$21="Ja",ISNUMBER(W1480)),W1480,IF(AND(Parameter!$E$27="Ja",ISNUMBER(Z1480),CD1480&lt;&gt;"Nein"),Z1480,IF(CD1480="2+3",IF(ISNUMBER(SEARCH("grosser Artikel",BV1480)),2,IFERROR(VLOOKUP(BY1480,Parameter!$F$35:$G$64,2,0),2)),IF(OR(CD1480="Nein",CD1480=""),"-",CD1480)))))</f>
        <v>3</v>
      </c>
      <c r="AB1480" s="67"/>
      <c r="AC1480" s="68"/>
      <c r="AD1480" s="62" t="n">
        <f aca="false">AW1480</f>
        <v>3</v>
      </c>
      <c r="AE1480" s="62" t="n">
        <f aca="false">MAX(AW1480,H1480)</f>
        <v>3</v>
      </c>
      <c r="AF1480" s="69"/>
      <c r="AG1480" s="62" t="n">
        <f aca="false">IF(LEFT(Cockpit!$C$5,1)="A",H1480,IF(Parameter!$E$30="MAX-Bestand",IF(CI1480=1,CJ1480,IF(LEFT(Cockpit!$C$5,1)="B",AM1480,MAX(AM1480,H1480))),ROUNDUP(AK1480,0)))</f>
        <v>3</v>
      </c>
      <c r="AH1480" s="62" t="n">
        <f aca="false">IF(CA1480=1,0,ROUNDUP(AG1480/BZ1480,0))</f>
        <v>1</v>
      </c>
      <c r="AI1480" s="64" t="n">
        <f aca="false">IF(CR1480&gt;0,CR1480*MAX(1,AG1480/X1480),IF(CA1480=1,IF(AG1480&lt;=0,0,CE1480*MAX(1,IF(H1480&gt;0,AG1480/H1480,1))),IF(R1480&gt;0,AH1480/R1480,0))/MAX(0.1,N(Parameter!$M$21)))</f>
        <v>0.0384615384615385</v>
      </c>
      <c r="AJ1480" s="62" t="n">
        <f aca="false">AI1480*CC1480</f>
        <v>9.42307692307692</v>
      </c>
      <c r="AK1480" s="63" t="n">
        <f aca="false">IF(LEFT(Cockpit!$C$5,1)="A",H1480,IF(CI1480=1,(CL1480+CJ1480)/2,IF(LEFT(Cockpit!$C$5,1)="B",(CL1480+AM1480)/2,MAX((CL1480+AM1480)/2,H1480))))</f>
        <v>3</v>
      </c>
      <c r="AL1480" s="62" t="n">
        <f aca="false">AK1480*G1480</f>
        <v>559.47</v>
      </c>
      <c r="AM1480" s="62" t="n">
        <f aca="false">ROUNDUP(CL1480+MAX(CM1480,2*(J1480/IF(CH1480&gt;0,CH1480,MAX(0.1,N(Cockpit!$C$6)))-CL1480)),0)</f>
        <v>3</v>
      </c>
      <c r="AN1480" s="63" t="n">
        <f aca="false">IF(AJ1480&gt;0,J1480/AJ1480,-1)</f>
        <v>0</v>
      </c>
      <c r="AO1480" s="63" t="n">
        <f aca="false">IF(AND(OR(CG1480="L1",CG1480="L23",CG1480="LIFT"),AJ1480&gt;0),SUMIFS($AJ$7:$AJ$1843,$CG$7:$CG$1843,CG1480,$AN$7:$AN$1843,"&gt;"&amp;AN1480)+SUMIFS($AJ$7:$AJ$1843,$CG$7:$CG$1843,CG1480,$AN$7:$AN$1843,AN1480,$BX$7:$BX$1843,"&lt;="&amp;BX1480),"")</f>
        <v>29735.738408249</v>
      </c>
      <c r="AP1480" s="70" t="n">
        <f aca="false">IF(AO1480="",0,MAX(0,MIN(1,(IF(CG1480="L1",Parameter!$H$5,IF(CG1480="L23",Parameter!$H$6+Parameter!$H$7,Parameter!$H$5+Parameter!$H$6+Parameter!$H$7))-(AO1480-AJ1480))/AJ1480)))</f>
        <v>1</v>
      </c>
      <c r="AQ1480" s="62" t="n">
        <f aca="false">IF(LEFT(Cockpit!$I$5,1)="A",H1480,IF(Parameter!$E$30="MAX-Bestand",IF(CI1480=1,CJ1480,IF(LEFT(Cockpit!$I$5,1)="B",AW1480,MAX(AW1480,H1480))),ROUNDUP(AU1480,0)))</f>
        <v>3</v>
      </c>
      <c r="AR1480" s="62" t="n">
        <f aca="false">IF(CA1480=1,0,ROUNDUP(AQ1480/BZ1480,0))</f>
        <v>1</v>
      </c>
      <c r="AS1480" s="64" t="n">
        <f aca="false">IF(CR1480&gt;0,CR1480*MAX(1,AQ1480/X1480),IF(CA1480=1,IF(AQ1480&lt;=0,0,CE1480*MAX(1,IF(H1480&gt;0,AQ1480/H1480,1))),IF(R1480&gt;0,AR1480/R1480,0))/MAX(0.1,N(Parameter!$M$21)))</f>
        <v>0.0384615384615385</v>
      </c>
      <c r="AT1480" s="62" t="n">
        <f aca="false">AS1480*CC1480</f>
        <v>9.42307692307692</v>
      </c>
      <c r="AU1480" s="63" t="n">
        <f aca="false">IF(LEFT(Cockpit!$I$5,1)="A",H1480,IF(CI1480=1,(CL1480+CJ1480)/2,IF(LEFT(Cockpit!$I$5,1)="B",(CL1480+AW1480)/2,MAX((CL1480+AW1480)/2,H1480))))</f>
        <v>3</v>
      </c>
      <c r="AV1480" s="62" t="n">
        <f aca="false">AU1480*G1480</f>
        <v>559.47</v>
      </c>
      <c r="AW1480" s="62" t="n">
        <f aca="false">ROUNDUP(CL1480+MAX(CM1480,2*(J1480/IF(CH1480&gt;0,CH1480,MAX(0.1,N(Cockpit!$I$6)))-CL1480)),0)</f>
        <v>3</v>
      </c>
      <c r="AX1480" s="63" t="n">
        <f aca="false">IF(AT1480&gt;0,J1480/AT1480,-1)</f>
        <v>0</v>
      </c>
      <c r="AY1480" s="63" t="n">
        <f aca="false">IF(AND(OR(CG1480="L1",CG1480="L23",CG1480="LIFT"),AT1480&gt;0),SUMIFS($AT$7:$AT$1843,$CG$7:$CG$1843,CG1480,$AX$7:$AX$1843,"&gt;"&amp;AX1480)+SUMIFS($AT$7:$AT$1843,$CG$7:$CG$1843,CG1480,$AX$7:$AX$1843,AX1480,$BX$7:$BX$1843,"&lt;="&amp;BX1480),"")</f>
        <v>36042.3092107986</v>
      </c>
      <c r="AZ1480" s="70" t="n">
        <f aca="false">IF(AY1480="",0,MAX(0,MIN(1,(IF(CG1480="L1",Parameter!$H$5,IF(CG1480="L23",Parameter!$H$6+Parameter!$H$7,Parameter!$H$5+Parameter!$H$6+Parameter!$H$7))-(AY1480-AT1480))/AT1480)))</f>
        <v>0</v>
      </c>
      <c r="BA1480" s="62" t="n">
        <f aca="false">IF(LEFT(Cockpit!$O$5,1)="A",H1480,IF(Parameter!$E$30="MAX-Bestand",IF(CI1480=1,CJ1480,IF(LEFT(Cockpit!$O$5,1)="B",BG1480,MAX(BG1480,H1480))),ROUNDUP(BE1480,0)))</f>
        <v>2</v>
      </c>
      <c r="BB1480" s="62" t="n">
        <f aca="false">IF(CA1480=1,0,ROUNDUP(BA1480/BZ1480,0))</f>
        <v>1</v>
      </c>
      <c r="BC1480" s="64" t="n">
        <f aca="false">IF(CR1480&gt;0,CR1480*MAX(1,BA1480/X1480),IF(CA1480=1,IF(BA1480&lt;=0,0,CE1480*MAX(1,IF(H1480&gt;0,BA1480/H1480,1))),IF(R1480&gt;0,BB1480/R1480,0))/MAX(0.1,N(Parameter!$M$21)))</f>
        <v>0.0384615384615385</v>
      </c>
      <c r="BD1480" s="62" t="n">
        <f aca="false">BC1480*CC1480</f>
        <v>9.42307692307692</v>
      </c>
      <c r="BE1480" s="63" t="n">
        <f aca="false">IF(LEFT(Cockpit!$O$5,1)="A",H1480,IF(CI1480=1,(CL1480+CJ1480)/2,IF(LEFT(Cockpit!$O$5,1)="B",(CL1480+BG1480)/2,MAX((CL1480+BG1480)/2,H1480))))</f>
        <v>1.5</v>
      </c>
      <c r="BF1480" s="62" t="n">
        <f aca="false">BE1480*G1480</f>
        <v>279.735</v>
      </c>
      <c r="BG1480" s="62" t="n">
        <f aca="false">ROUNDUP(CL1480+MAX(CM1480,2*(J1480/IF(CH1480&gt;0,CH1480,MAX(0.1,N(Cockpit!$O$6)))-CL1480)),0)</f>
        <v>3</v>
      </c>
      <c r="BH1480" s="63" t="n">
        <f aca="false">IF(BD1480&gt;0,J1480/BD1480,-1)</f>
        <v>0</v>
      </c>
      <c r="BI1480" s="63" t="n">
        <f aca="false">IF(AND(OR(CG1480="L1",CG1480="L23",CG1480="LIFT"),BD1480&gt;0),SUMIFS($BD$7:$BD$1843,$CG$7:$CG$1843,CG1480,$BH$7:$BH$1843,"&gt;"&amp;BH1480)+SUMIFS($BD$7:$BD$1843,$CG$7:$CG$1843,CG1480,$BH$7:$BH$1843,BH1480,$BX$7:$BX$1843,"&lt;="&amp;BX1480),"")</f>
        <v>30027.6158709464</v>
      </c>
      <c r="BJ1480" s="70" t="n">
        <f aca="false">IF(BI1480="",0,MAX(0,MIN(1,(IF(CG1480="L1",Parameter!$H$5,IF(CG1480="L23",Parameter!$H$6+Parameter!$H$7,Parameter!$H$5+Parameter!$H$6+Parameter!$H$7))-(BI1480-BD1480))/BD1480)))</f>
        <v>1</v>
      </c>
      <c r="BK1480" s="60" t="str">
        <f aca="false">IF(AJ1480&lt;=0,"",IF(CG1480="Aussen","Aussenlager",IF(CG1480="-","Nicht im Lift",IF(AP1480&gt;=1,"Lift",IF(AP1480&lt;=0,"Aussenlager","teilweise")))))</f>
        <v>Lift</v>
      </c>
      <c r="BL1480" s="60" t="str">
        <f aca="false">IF(AT1480&lt;=0,"",IF(CG1480="Aussen","Aussenlager",IF(CG1480="-","Nicht im Lift",IF(AZ1480&gt;=1,"Lift",IF(AZ1480&lt;=0,"Aussenlager","teilweise")))))</f>
        <v>Aussenlager</v>
      </c>
      <c r="BM1480" s="60" t="str">
        <f aca="false">IF(BD1480&lt;=0,"",IF(CG1480="Aussen","Aussenlager",IF(CG1480="-","Nicht im Lift",IF(BJ1480&gt;=1,"Lift",IF(BJ1480&lt;=0,"Aussenlager","teilweise")))))</f>
        <v>Lift</v>
      </c>
      <c r="BN1480" s="60" t="str">
        <f aca="false">IF(A1480="","",IF(BW1480=1,"Neu; ","")&amp;IF(AND(BW1480=0,BR1480&lt;0),"negativer Bestand (Export "&amp;BR1480&amp;"); ","")&amp;IF(J1480&lt;=0,"Kein Verbrauch; ","")&amp;IF(CR1480&gt;0,"Lift "&amp;W1480&amp;" lt. Liftbericht (Fach "&amp;X1480&amp;" Stk); ",IF(CB1480=1,"Gebinde geschätzt ("&amp;T1480&amp;"); ",IF(CA1480=1,"Lose – Tablare geschätzt; ","")))&amp;IF(H1480&gt;AW1480,"Überbestand "&amp;ROUND(H1480-AW1480,0)&amp;" Stk / CHF "&amp;ROUND((H1480-AW1480)*G1480,0)&amp;"; ","")&amp;IF(AND(CI1480=1,CJ1480&lt;CK1480),"MAX &lt; MB+LG; ","")&amp;IF(AND(CQ1480&gt;0,CP1480*10&gt;CQ1480),"zu hoch für Tablar; ","")&amp;IF(AND(BW1480=0,OR(CI1480=1,AB1480&lt;&gt;"",U1480&lt;&gt;"",V1480&lt;&gt;"",AC1480&lt;&gt;"")),"manuell übersteuert; ","")&amp;IF(AND(CA1480=0,R1480=0),"Gebinde unbekannt / Stellmass fehlt; ","")&amp;IF(AND(CA1480=0,N(V1480)&lt;=0,N(Q1480)&lt;=0),"Menge pro Gebinde fehlt (Ist = 1 Gebinde); ","")&amp;BV1480)</f>
        <v>Kein Verbrauch; nur im Artikelstamm (Bestand 23.06.2026)</v>
      </c>
      <c r="BO1480" s="60"/>
      <c r="BP1480" s="60"/>
      <c r="BQ1480" s="67"/>
      <c r="BR1480" s="62" t="n">
        <v>3</v>
      </c>
      <c r="BS1480" s="62" t="n">
        <v>0</v>
      </c>
      <c r="BT1480" s="61" t="n">
        <v>0</v>
      </c>
      <c r="BU1480" s="62" t="n">
        <v>0</v>
      </c>
      <c r="BV1480" s="60" t="s">
        <v>2617</v>
      </c>
      <c r="BW1480" s="65" t="n">
        <v>0</v>
      </c>
      <c r="BX1480" s="65" t="n">
        <v>1480</v>
      </c>
      <c r="BY1480" s="60" t="str">
        <f aca="false">IF(U1480&lt;&gt;"",UPPER(TRIM(U1480)),IF(CB1480=1,UPPER(VLOOKUP(T1480,Parameter!$I$27:$K$29,2,0)),IF(P1480="","LOSE",P1480)))</f>
        <v>S52</v>
      </c>
      <c r="BZ1480" s="62" t="n">
        <f aca="false">IF(BY1480="LOSE",1,IF(N(V1480)&gt;0,V1480,IF(CB1480=1,MAX(1,N(VLOOKUP(T1480,Parameter!$I$27:$K$29,3,0)),H1480,N(N1480)),IF(N(Q1480)&gt;0,Q1480,MAX(1,H1480)))))</f>
        <v>3</v>
      </c>
      <c r="CA1480" s="65" t="n">
        <f aca="false">IF(BY1480="LOSE",1,0)</f>
        <v>0</v>
      </c>
      <c r="CB1480" s="65" t="n">
        <f aca="false">IF(AND(U1480="",OR(P1480="",P1480="LOSE"),T1480&lt;&gt;"",N(S1480)&lt;=0,ISNUMBER(MATCH(T1480,Parameter!$I$27:$I$29,0))),1,0)</f>
        <v>0</v>
      </c>
      <c r="CC1480" s="65" t="n">
        <f aca="false">IF(CR1480&gt;0,INDEX(Parameter!$H$5:$H$7,W1480)/INDEX(Parameter!$E$5:$E$7,W1480),IF(AND(CA1480=0,N(IFERROR(VLOOKUP(BY1480,'Gebinde-Kategorie'!$A$5:$N$45,14,0),0))&gt;0),VLOOKUP(BY1480,'Gebinde-Kategorie'!$A$5:$N$45,14,0)*10+Parameter!$M$23,Parameter!$M$24))</f>
        <v>245</v>
      </c>
      <c r="CD1480" s="60" t="str">
        <f aca="false">IF(AND(Parameter!$B$19="Ja",E1480&lt;&gt;"",ISNUMBER(MATCH(E1480,Parameter!$I$35:$I$52,0))),VLOOKUP(E1480,Parameter!$I$35:$J$52,2,0),IFERROR(VLOOKUP(D1480,Parameter!$A$35:$C$64,2,0),"Nein"))</f>
        <v>2+3</v>
      </c>
      <c r="CE1480" s="64" t="n">
        <f aca="false">IF(CA1480=0,0,IF(N(S1480)&gt;0,S1480,IFERROR(VLOOKUP(D1480,Parameter!$A$35:$C$64,3,0)+0,0)))</f>
        <v>0</v>
      </c>
      <c r="CF1480" s="60" t="n">
        <f aca="false">IF(AB1480&lt;&gt;"",AB1480,AA1480)</f>
        <v>3</v>
      </c>
      <c r="CG1480" s="60" t="str">
        <f aca="false">IF(OR(CF1480=1,CF1480=2,CF1480=3),IF(Parameter!$E$27="Ja","LIFT",IF(CF1480=1,"L1","L23")),IF(CF1480="Aussen","Aussen","-"))</f>
        <v>LIFT</v>
      </c>
      <c r="CH1480" s="71" t="n">
        <f aca="false">IF(N(AC1480)&gt;0,AC1480,0)</f>
        <v>0</v>
      </c>
      <c r="CI1480" s="65" t="n">
        <f aca="false">IF(ISNUMBER(AF1480),1,0)</f>
        <v>0</v>
      </c>
      <c r="CJ1480" s="62" t="n">
        <f aca="false">N(AF1480)</f>
        <v>0</v>
      </c>
      <c r="CK1480" s="62" t="n">
        <f aca="false">N(M1480)+N(N1480)</f>
        <v>3</v>
      </c>
      <c r="CL1480" s="62" t="n">
        <f aca="false">N(M1480)</f>
        <v>0</v>
      </c>
      <c r="CM1480" s="62" t="n">
        <f aca="false">N(N1480)</f>
        <v>3</v>
      </c>
      <c r="CN1480" s="62" t="n">
        <f aca="false">ROUNDUP(H1480/BZ1480,0)</f>
        <v>1</v>
      </c>
      <c r="CO1480" s="62" t="n">
        <f aca="false">ROUNDUP(CJ1480/BZ1480,0)</f>
        <v>0</v>
      </c>
      <c r="CP1480" s="65" t="n">
        <f aca="false">IF(CA1480=1,0,IFERROR(VLOOKUP(BY1480,'Gebinde-Kategorie'!$A$5:$N$45,5,0)+0,0))</f>
        <v>21</v>
      </c>
      <c r="CQ1480" s="65" t="n">
        <f aca="false">IFERROR(IF(OR(CF1480=1,CF1480=2,CF1480=3),N(INDEX(Parameter!$I$5:$I$7,CF1480)),0),0)</f>
        <v>0</v>
      </c>
      <c r="CR1480" s="64" t="n">
        <f aca="false">IF(AND(Parameter!$B$21="Ja",ISNUMBER(W1480),N(X1480)&gt;0),IFERROR(N(INDEX(Parameter!$L$5:$L$7,W1480))*INDEX(Parameter!$E$5:$E$7,W1480)*X1480/SUMIFS($X$7:$X$1843,$W$7:$W$1843,W1480),0),0)</f>
        <v>0</v>
      </c>
      <c r="CS1480" s="62" t="n">
        <f aca="false">IF(AND(OR(CG1480="L1",CG1480="L23",CG1480="LIFT"),H1480&gt;0),CC1480*IF(CR1480&gt;0,CR1480*MAX(1,H1480/X1480),IF(CA1480=1,CE1480,IF(R1480&gt;0,CN1480/R1480,0))/MAX(0.1,N(Parameter!$M$21))),"")</f>
        <v>9.42307692307692</v>
      </c>
      <c r="CT1480" s="64" t="n">
        <f aca="false">IF(CS1480="","",J1480/H1480)</f>
        <v>0</v>
      </c>
      <c r="CU1480" s="62" t="n">
        <f aca="false">IF(CS1480="","",H1480*G1480)</f>
        <v>559.47</v>
      </c>
      <c r="CV1480" s="63" t="n">
        <f aca="false">IF(CS1480="","",(CL1480+ROUNDUP(CL1480+MAX(CM1480,2*(J1480/MAX(0.1,N(Einkauf!$C$6))-CL1480)),0))/2)</f>
        <v>1.5</v>
      </c>
      <c r="CW1480" s="62" t="n">
        <f aca="false">IF(CS1480="","",MAX(0,H1480-CV1480)*G1480)</f>
        <v>279.735</v>
      </c>
      <c r="CX1480" s="62" t="n">
        <f aca="false">IF(CS1480="","",CS1480*MAX(0,1-CV1480/H1480))</f>
        <v>4.71153846153846</v>
      </c>
      <c r="CY1480" s="64" t="n">
        <f aca="false">IF(CS1480="","",PERCENTRANK($CS$7:$CS$1843,CS1480)+PERCENTRANK($CU$7:$CU$1843,CU1480)+1-PERCENTRANK($CT$7:$CT$1843,CT1480))</f>
        <v>2.113</v>
      </c>
      <c r="CZ1480" s="72" t="n">
        <f aca="false">IF(CS1480="","",CHOOSE(MATCH(Einkauf!$C$5,Parameter!$G$23:$G$27,0),CY1480,CS1480,CU1480,-CT1480,CW1480)+ROW()/1000000000)</f>
        <v>2.11300148</v>
      </c>
    </row>
    <row r="1481" customFormat="false" ht="15" hidden="false" customHeight="false" outlineLevel="0" collapsed="false">
      <c r="A1481" s="60" t="s">
        <v>2632</v>
      </c>
      <c r="B1481" s="60" t="s">
        <v>1176</v>
      </c>
      <c r="C1481" s="60" t="s">
        <v>206</v>
      </c>
      <c r="D1481" s="60" t="s">
        <v>226</v>
      </c>
      <c r="E1481" s="60" t="s">
        <v>227</v>
      </c>
      <c r="F1481" s="60"/>
      <c r="G1481" s="61" t="n">
        <v>93.6</v>
      </c>
      <c r="H1481" s="62" t="n">
        <f aca="false">MAX(0,IF(AND(Parameter!$B$21="Ja",ISNUMBER(Y1481)),Y1481,IF(Parameter!$B$20="Jahresanfang 2025 + Export",BS1481+BR1481,BR1481)))</f>
        <v>3</v>
      </c>
      <c r="I1481" s="62" t="n">
        <f aca="false">H1481*G1481</f>
        <v>280.8</v>
      </c>
      <c r="J1481" s="62" t="n">
        <f aca="false">BU1481*Parameter!$B$18</f>
        <v>0</v>
      </c>
      <c r="K1481" s="63"/>
      <c r="L1481" s="64"/>
      <c r="M1481" s="62" t="n">
        <v>0</v>
      </c>
      <c r="N1481" s="62" t="n">
        <v>6</v>
      </c>
      <c r="O1481" s="65" t="n">
        <v>0</v>
      </c>
      <c r="P1481" s="60" t="s">
        <v>344</v>
      </c>
      <c r="Q1481" s="62" t="n">
        <v>3</v>
      </c>
      <c r="R1481" s="65" t="n">
        <f aca="false">IF(CA1481=1,0,IFERROR(VLOOKUP(BY1481,'Gebinde-Kategorie'!$A$5:$N$45,13,0)+0,0))</f>
        <v>26</v>
      </c>
      <c r="S1481" s="66"/>
      <c r="T1481" s="67"/>
      <c r="U1481" s="67"/>
      <c r="V1481" s="67"/>
      <c r="W1481" s="60"/>
      <c r="X1481" s="62"/>
      <c r="Y1481" s="62"/>
      <c r="Z1481" s="60" t="n">
        <v>3</v>
      </c>
      <c r="AA1481" s="60" t="n">
        <f aca="false">IF(A1481="","",IF(AND(Parameter!$B$21="Ja",ISNUMBER(W1481)),W1481,IF(AND(Parameter!$E$27="Ja",ISNUMBER(Z1481),CD1481&lt;&gt;"Nein"),Z1481,IF(CD1481="2+3",IF(ISNUMBER(SEARCH("grosser Artikel",BV1481)),2,IFERROR(VLOOKUP(BY1481,Parameter!$F$35:$G$64,2,0),2)),IF(OR(CD1481="Nein",CD1481=""),"-",CD1481)))))</f>
        <v>3</v>
      </c>
      <c r="AB1481" s="67"/>
      <c r="AC1481" s="68"/>
      <c r="AD1481" s="62" t="n">
        <f aca="false">AW1481</f>
        <v>6</v>
      </c>
      <c r="AE1481" s="62" t="n">
        <f aca="false">MAX(AW1481,H1481)</f>
        <v>6</v>
      </c>
      <c r="AF1481" s="69"/>
      <c r="AG1481" s="62" t="n">
        <f aca="false">IF(LEFT(Cockpit!$C$5,1)="A",H1481,IF(Parameter!$E$30="MAX-Bestand",IF(CI1481=1,CJ1481,IF(LEFT(Cockpit!$C$5,1)="B",AM1481,MAX(AM1481,H1481))),ROUNDUP(AK1481,0)))</f>
        <v>3</v>
      </c>
      <c r="AH1481" s="62" t="n">
        <f aca="false">IF(CA1481=1,0,ROUNDUP(AG1481/BZ1481,0))</f>
        <v>1</v>
      </c>
      <c r="AI1481" s="64" t="n">
        <f aca="false">IF(CR1481&gt;0,CR1481*MAX(1,AG1481/X1481),IF(CA1481=1,IF(AG1481&lt;=0,0,CE1481*MAX(1,IF(H1481&gt;0,AG1481/H1481,1))),IF(R1481&gt;0,AH1481/R1481,0))/MAX(0.1,N(Parameter!$M$21)))</f>
        <v>0.0384615384615385</v>
      </c>
      <c r="AJ1481" s="62" t="n">
        <f aca="false">AI1481*CC1481</f>
        <v>5.96153846153846</v>
      </c>
      <c r="AK1481" s="63" t="n">
        <f aca="false">IF(LEFT(Cockpit!$C$5,1)="A",H1481,IF(CI1481=1,(CL1481+CJ1481)/2,IF(LEFT(Cockpit!$C$5,1)="B",(CL1481+AM1481)/2,MAX((CL1481+AM1481)/2,H1481))))</f>
        <v>3</v>
      </c>
      <c r="AL1481" s="62" t="n">
        <f aca="false">AK1481*G1481</f>
        <v>280.8</v>
      </c>
      <c r="AM1481" s="62" t="n">
        <f aca="false">ROUNDUP(CL1481+MAX(CM1481,2*(J1481/IF(CH1481&gt;0,CH1481,MAX(0.1,N(Cockpit!$C$6)))-CL1481)),0)</f>
        <v>6</v>
      </c>
      <c r="AN1481" s="63" t="n">
        <f aca="false">IF(AJ1481&gt;0,J1481/AJ1481,-1)</f>
        <v>0</v>
      </c>
      <c r="AO1481" s="63" t="n">
        <f aca="false">IF(AND(OR(CG1481="L1",CG1481="L23",CG1481="LIFT"),AJ1481&gt;0),SUMIFS($AJ$7:$AJ$1843,$CG$7:$CG$1843,CG1481,$AN$7:$AN$1843,"&gt;"&amp;AN1481)+SUMIFS($AJ$7:$AJ$1843,$CG$7:$CG$1843,CG1481,$AN$7:$AN$1843,AN1481,$BX$7:$BX$1843,"&lt;="&amp;BX1481),"")</f>
        <v>29741.6999467105</v>
      </c>
      <c r="AP1481" s="70" t="n">
        <f aca="false">IF(AO1481="",0,MAX(0,MIN(1,(IF(CG1481="L1",Parameter!$H$5,IF(CG1481="L23",Parameter!$H$6+Parameter!$H$7,Parameter!$H$5+Parameter!$H$6+Parameter!$H$7))-(AO1481-AJ1481))/AJ1481)))</f>
        <v>1</v>
      </c>
      <c r="AQ1481" s="62" t="n">
        <f aca="false">IF(LEFT(Cockpit!$I$5,1)="A",H1481,IF(Parameter!$E$30="MAX-Bestand",IF(CI1481=1,CJ1481,IF(LEFT(Cockpit!$I$5,1)="B",AW1481,MAX(AW1481,H1481))),ROUNDUP(AU1481,0)))</f>
        <v>3</v>
      </c>
      <c r="AR1481" s="62" t="n">
        <f aca="false">IF(CA1481=1,0,ROUNDUP(AQ1481/BZ1481,0))</f>
        <v>1</v>
      </c>
      <c r="AS1481" s="64" t="n">
        <f aca="false">IF(CR1481&gt;0,CR1481*MAX(1,AQ1481/X1481),IF(CA1481=1,IF(AQ1481&lt;=0,0,CE1481*MAX(1,IF(H1481&gt;0,AQ1481/H1481,1))),IF(R1481&gt;0,AR1481/R1481,0))/MAX(0.1,N(Parameter!$M$21)))</f>
        <v>0.0384615384615385</v>
      </c>
      <c r="AT1481" s="62" t="n">
        <f aca="false">AS1481*CC1481</f>
        <v>5.96153846153846</v>
      </c>
      <c r="AU1481" s="63" t="n">
        <f aca="false">IF(LEFT(Cockpit!$I$5,1)="A",H1481,IF(CI1481=1,(CL1481+CJ1481)/2,IF(LEFT(Cockpit!$I$5,1)="B",(CL1481+AW1481)/2,MAX((CL1481+AW1481)/2,H1481))))</f>
        <v>3</v>
      </c>
      <c r="AV1481" s="62" t="n">
        <f aca="false">AU1481*G1481</f>
        <v>280.8</v>
      </c>
      <c r="AW1481" s="62" t="n">
        <f aca="false">ROUNDUP(CL1481+MAX(CM1481,2*(J1481/IF(CH1481&gt;0,CH1481,MAX(0.1,N(Cockpit!$I$6)))-CL1481)),0)</f>
        <v>6</v>
      </c>
      <c r="AX1481" s="63" t="n">
        <f aca="false">IF(AT1481&gt;0,J1481/AT1481,-1)</f>
        <v>0</v>
      </c>
      <c r="AY1481" s="63" t="n">
        <f aca="false">IF(AND(OR(CG1481="L1",CG1481="L23",CG1481="LIFT"),AT1481&gt;0),SUMIFS($AT$7:$AT$1843,$CG$7:$CG$1843,CG1481,$AX$7:$AX$1843,"&gt;"&amp;AX1481)+SUMIFS($AT$7:$AT$1843,$CG$7:$CG$1843,CG1481,$AX$7:$AX$1843,AX1481,$BX$7:$BX$1843,"&lt;="&amp;BX1481),"")</f>
        <v>36048.2707492602</v>
      </c>
      <c r="AZ1481" s="70" t="n">
        <f aca="false">IF(AY1481="",0,MAX(0,MIN(1,(IF(CG1481="L1",Parameter!$H$5,IF(CG1481="L23",Parameter!$H$6+Parameter!$H$7,Parameter!$H$5+Parameter!$H$6+Parameter!$H$7))-(AY1481-AT1481))/AT1481)))</f>
        <v>0</v>
      </c>
      <c r="BA1481" s="62" t="n">
        <f aca="false">IF(LEFT(Cockpit!$O$5,1)="A",H1481,IF(Parameter!$E$30="MAX-Bestand",IF(CI1481=1,CJ1481,IF(LEFT(Cockpit!$O$5,1)="B",BG1481,MAX(BG1481,H1481))),ROUNDUP(BE1481,0)))</f>
        <v>3</v>
      </c>
      <c r="BB1481" s="62" t="n">
        <f aca="false">IF(CA1481=1,0,ROUNDUP(BA1481/BZ1481,0))</f>
        <v>1</v>
      </c>
      <c r="BC1481" s="64" t="n">
        <f aca="false">IF(CR1481&gt;0,CR1481*MAX(1,BA1481/X1481),IF(CA1481=1,IF(BA1481&lt;=0,0,CE1481*MAX(1,IF(H1481&gt;0,BA1481/H1481,1))),IF(R1481&gt;0,BB1481/R1481,0))/MAX(0.1,N(Parameter!$M$21)))</f>
        <v>0.0384615384615385</v>
      </c>
      <c r="BD1481" s="62" t="n">
        <f aca="false">BC1481*CC1481</f>
        <v>5.96153846153846</v>
      </c>
      <c r="BE1481" s="63" t="n">
        <f aca="false">IF(LEFT(Cockpit!$O$5,1)="A",H1481,IF(CI1481=1,(CL1481+CJ1481)/2,IF(LEFT(Cockpit!$O$5,1)="B",(CL1481+BG1481)/2,MAX((CL1481+BG1481)/2,H1481))))</f>
        <v>3</v>
      </c>
      <c r="BF1481" s="62" t="n">
        <f aca="false">BE1481*G1481</f>
        <v>280.8</v>
      </c>
      <c r="BG1481" s="62" t="n">
        <f aca="false">ROUNDUP(CL1481+MAX(CM1481,2*(J1481/IF(CH1481&gt;0,CH1481,MAX(0.1,N(Cockpit!$O$6)))-CL1481)),0)</f>
        <v>6</v>
      </c>
      <c r="BH1481" s="63" t="n">
        <f aca="false">IF(BD1481&gt;0,J1481/BD1481,-1)</f>
        <v>0</v>
      </c>
      <c r="BI1481" s="63" t="n">
        <f aca="false">IF(AND(OR(CG1481="L1",CG1481="L23",CG1481="LIFT"),BD1481&gt;0),SUMIFS($BD$7:$BD$1843,$CG$7:$CG$1843,CG1481,$BH$7:$BH$1843,"&gt;"&amp;BH1481)+SUMIFS($BD$7:$BD$1843,$CG$7:$CG$1843,CG1481,$BH$7:$BH$1843,BH1481,$BX$7:$BX$1843,"&lt;="&amp;BX1481),"")</f>
        <v>30033.5774094079</v>
      </c>
      <c r="BJ1481" s="70" t="n">
        <f aca="false">IF(BI1481="",0,MAX(0,MIN(1,(IF(CG1481="L1",Parameter!$H$5,IF(CG1481="L23",Parameter!$H$6+Parameter!$H$7,Parameter!$H$5+Parameter!$H$6+Parameter!$H$7))-(BI1481-BD1481))/BD1481)))</f>
        <v>1</v>
      </c>
      <c r="BK1481" s="60" t="str">
        <f aca="false">IF(AJ1481&lt;=0,"",IF(CG1481="Aussen","Aussenlager",IF(CG1481="-","Nicht im Lift",IF(AP1481&gt;=1,"Lift",IF(AP1481&lt;=0,"Aussenlager","teilweise")))))</f>
        <v>Lift</v>
      </c>
      <c r="BL1481" s="60" t="str">
        <f aca="false">IF(AT1481&lt;=0,"",IF(CG1481="Aussen","Aussenlager",IF(CG1481="-","Nicht im Lift",IF(AZ1481&gt;=1,"Lift",IF(AZ1481&lt;=0,"Aussenlager","teilweise")))))</f>
        <v>Aussenlager</v>
      </c>
      <c r="BM1481" s="60" t="str">
        <f aca="false">IF(BD1481&lt;=0,"",IF(CG1481="Aussen","Aussenlager",IF(CG1481="-","Nicht im Lift",IF(BJ1481&gt;=1,"Lift",IF(BJ1481&lt;=0,"Aussenlager","teilweise")))))</f>
        <v>Lift</v>
      </c>
      <c r="BN1481" s="60" t="str">
        <f aca="false">IF(A1481="","",IF(BW1481=1,"Neu; ","")&amp;IF(AND(BW1481=0,BR1481&lt;0),"negativer Bestand (Export "&amp;BR1481&amp;"); ","")&amp;IF(J1481&lt;=0,"Kein Verbrauch; ","")&amp;IF(CR1481&gt;0,"Lift "&amp;W1481&amp;" lt. Liftbericht (Fach "&amp;X1481&amp;" Stk); ",IF(CB1481=1,"Gebinde geschätzt ("&amp;T1481&amp;"); ",IF(CA1481=1,"Lose – Tablare geschätzt; ","")))&amp;IF(H1481&gt;AW1481,"Überbestand "&amp;ROUND(H1481-AW1481,0)&amp;" Stk / CHF "&amp;ROUND((H1481-AW1481)*G1481,0)&amp;"; ","")&amp;IF(AND(CI1481=1,CJ1481&lt;CK1481),"MAX &lt; MB+LG; ","")&amp;IF(AND(CQ1481&gt;0,CP1481*10&gt;CQ1481),"zu hoch für Tablar; ","")&amp;IF(AND(BW1481=0,OR(CI1481=1,AB1481&lt;&gt;"",U1481&lt;&gt;"",V1481&lt;&gt;"",AC1481&lt;&gt;"")),"manuell übersteuert; ","")&amp;IF(AND(CA1481=0,R1481=0),"Gebinde unbekannt / Stellmass fehlt; ","")&amp;IF(AND(CA1481=0,N(V1481)&lt;=0,N(Q1481)&lt;=0),"Menge pro Gebinde fehlt (Ist = 1 Gebinde); ","")&amp;BV1481)</f>
        <v>Kein Verbrauch; nur im Artikelstamm (Bestand 23.06.2026)</v>
      </c>
      <c r="BO1481" s="60"/>
      <c r="BP1481" s="60"/>
      <c r="BQ1481" s="67"/>
      <c r="BR1481" s="62" t="n">
        <v>3</v>
      </c>
      <c r="BS1481" s="62" t="n">
        <v>0</v>
      </c>
      <c r="BT1481" s="61" t="n">
        <v>0</v>
      </c>
      <c r="BU1481" s="62" t="n">
        <v>0</v>
      </c>
      <c r="BV1481" s="60" t="s">
        <v>2617</v>
      </c>
      <c r="BW1481" s="65" t="n">
        <v>0</v>
      </c>
      <c r="BX1481" s="65" t="n">
        <v>1481</v>
      </c>
      <c r="BY1481" s="60" t="str">
        <f aca="false">IF(U1481&lt;&gt;"",UPPER(TRIM(U1481)),IF(CB1481=1,UPPER(VLOOKUP(T1481,Parameter!$I$27:$K$29,2,0)),IF(P1481="","LOSE",P1481)))</f>
        <v>S51</v>
      </c>
      <c r="BZ1481" s="62" t="n">
        <f aca="false">IF(BY1481="LOSE",1,IF(N(V1481)&gt;0,V1481,IF(CB1481=1,MAX(1,N(VLOOKUP(T1481,Parameter!$I$27:$K$29,3,0)),H1481,N(N1481)),IF(N(Q1481)&gt;0,Q1481,MAX(1,H1481)))))</f>
        <v>3</v>
      </c>
      <c r="CA1481" s="65" t="n">
        <f aca="false">IF(BY1481="LOSE",1,0)</f>
        <v>0</v>
      </c>
      <c r="CB1481" s="65" t="n">
        <f aca="false">IF(AND(U1481="",OR(P1481="",P1481="LOSE"),T1481&lt;&gt;"",N(S1481)&lt;=0,ISNUMBER(MATCH(T1481,Parameter!$I$27:$I$29,0))),1,0)</f>
        <v>0</v>
      </c>
      <c r="CC1481" s="65" t="n">
        <f aca="false">IF(CR1481&gt;0,INDEX(Parameter!$H$5:$H$7,W1481)/INDEX(Parameter!$E$5:$E$7,W1481),IF(AND(CA1481=0,N(IFERROR(VLOOKUP(BY1481,'Gebinde-Kategorie'!$A$5:$N$45,14,0),0))&gt;0),VLOOKUP(BY1481,'Gebinde-Kategorie'!$A$5:$N$45,14,0)*10+Parameter!$M$23,Parameter!$M$24))</f>
        <v>155</v>
      </c>
      <c r="CD1481" s="60" t="str">
        <f aca="false">IF(AND(Parameter!$B$19="Ja",E1481&lt;&gt;"",ISNUMBER(MATCH(E1481,Parameter!$I$35:$I$52,0))),VLOOKUP(E1481,Parameter!$I$35:$J$52,2,0),IFERROR(VLOOKUP(D1481,Parameter!$A$35:$C$64,2,0),"Nein"))</f>
        <v>2+3</v>
      </c>
      <c r="CE1481" s="64" t="n">
        <f aca="false">IF(CA1481=0,0,IF(N(S1481)&gt;0,S1481,IFERROR(VLOOKUP(D1481,Parameter!$A$35:$C$64,3,0)+0,0)))</f>
        <v>0</v>
      </c>
      <c r="CF1481" s="60" t="n">
        <f aca="false">IF(AB1481&lt;&gt;"",AB1481,AA1481)</f>
        <v>3</v>
      </c>
      <c r="CG1481" s="60" t="str">
        <f aca="false">IF(OR(CF1481=1,CF1481=2,CF1481=3),IF(Parameter!$E$27="Ja","LIFT",IF(CF1481=1,"L1","L23")),IF(CF1481="Aussen","Aussen","-"))</f>
        <v>LIFT</v>
      </c>
      <c r="CH1481" s="71" t="n">
        <f aca="false">IF(N(AC1481)&gt;0,AC1481,0)</f>
        <v>0</v>
      </c>
      <c r="CI1481" s="65" t="n">
        <f aca="false">IF(ISNUMBER(AF1481),1,0)</f>
        <v>0</v>
      </c>
      <c r="CJ1481" s="62" t="n">
        <f aca="false">N(AF1481)</f>
        <v>0</v>
      </c>
      <c r="CK1481" s="62" t="n">
        <f aca="false">N(M1481)+N(N1481)</f>
        <v>6</v>
      </c>
      <c r="CL1481" s="62" t="n">
        <f aca="false">N(M1481)</f>
        <v>0</v>
      </c>
      <c r="CM1481" s="62" t="n">
        <f aca="false">N(N1481)</f>
        <v>6</v>
      </c>
      <c r="CN1481" s="62" t="n">
        <f aca="false">ROUNDUP(H1481/BZ1481,0)</f>
        <v>1</v>
      </c>
      <c r="CO1481" s="62" t="n">
        <f aca="false">ROUNDUP(CJ1481/BZ1481,0)</f>
        <v>0</v>
      </c>
      <c r="CP1481" s="65" t="n">
        <f aca="false">IF(CA1481=1,0,IFERROR(VLOOKUP(BY1481,'Gebinde-Kategorie'!$A$5:$N$45,5,0)+0,0))</f>
        <v>11</v>
      </c>
      <c r="CQ1481" s="65" t="n">
        <f aca="false">IFERROR(IF(OR(CF1481=1,CF1481=2,CF1481=3),N(INDEX(Parameter!$I$5:$I$7,CF1481)),0),0)</f>
        <v>0</v>
      </c>
      <c r="CR1481" s="64" t="n">
        <f aca="false">IF(AND(Parameter!$B$21="Ja",ISNUMBER(W1481),N(X1481)&gt;0),IFERROR(N(INDEX(Parameter!$L$5:$L$7,W1481))*INDEX(Parameter!$E$5:$E$7,W1481)*X1481/SUMIFS($X$7:$X$1843,$W$7:$W$1843,W1481),0),0)</f>
        <v>0</v>
      </c>
      <c r="CS1481" s="62" t="n">
        <f aca="false">IF(AND(OR(CG1481="L1",CG1481="L23",CG1481="LIFT"),H1481&gt;0),CC1481*IF(CR1481&gt;0,CR1481*MAX(1,H1481/X1481),IF(CA1481=1,CE1481,IF(R1481&gt;0,CN1481/R1481,0))/MAX(0.1,N(Parameter!$M$21))),"")</f>
        <v>5.96153846153846</v>
      </c>
      <c r="CT1481" s="64" t="n">
        <f aca="false">IF(CS1481="","",J1481/H1481)</f>
        <v>0</v>
      </c>
      <c r="CU1481" s="62" t="n">
        <f aca="false">IF(CS1481="","",H1481*G1481)</f>
        <v>280.8</v>
      </c>
      <c r="CV1481" s="63" t="n">
        <f aca="false">IF(CS1481="","",(CL1481+ROUNDUP(CL1481+MAX(CM1481,2*(J1481/MAX(0.1,N(Einkauf!$C$6))-CL1481)),0))/2)</f>
        <v>3</v>
      </c>
      <c r="CW1481" s="62" t="n">
        <f aca="false">IF(CS1481="","",MAX(0,H1481-CV1481)*G1481)</f>
        <v>0</v>
      </c>
      <c r="CX1481" s="62" t="n">
        <f aca="false">IF(CS1481="","",CS1481*MAX(0,1-CV1481/H1481))</f>
        <v>0</v>
      </c>
      <c r="CY1481" s="64" t="n">
        <f aca="false">IF(CS1481="","",PERCENTRANK($CS$7:$CS$1843,CS1481)+PERCENTRANK($CU$7:$CU$1843,CU1481)+1-PERCENTRANK($CT$7:$CT$1843,CT1481))</f>
        <v>1.758</v>
      </c>
      <c r="CZ1481" s="72" t="n">
        <f aca="false">IF(CS1481="","",CHOOSE(MATCH(Einkauf!$C$5,Parameter!$G$23:$G$27,0),CY1481,CS1481,CU1481,-CT1481,CW1481)+ROW()/1000000000)</f>
        <v>1.758001481</v>
      </c>
    </row>
    <row r="1482" customFormat="false" ht="15" hidden="false" customHeight="false" outlineLevel="0" collapsed="false">
      <c r="A1482" s="60" t="s">
        <v>2633</v>
      </c>
      <c r="B1482" s="60" t="s">
        <v>2634</v>
      </c>
      <c r="C1482" s="60" t="s">
        <v>206</v>
      </c>
      <c r="D1482" s="60" t="s">
        <v>226</v>
      </c>
      <c r="E1482" s="60" t="s">
        <v>227</v>
      </c>
      <c r="F1482" s="60"/>
      <c r="G1482" s="61" t="n">
        <v>46.18</v>
      </c>
      <c r="H1482" s="62" t="n">
        <f aca="false">MAX(0,IF(AND(Parameter!$B$21="Ja",ISNUMBER(Y1482)),Y1482,IF(Parameter!$B$20="Jahresanfang 2025 + Export",BS1482+BR1482,BR1482)))</f>
        <v>20</v>
      </c>
      <c r="I1482" s="62" t="n">
        <f aca="false">H1482*G1482</f>
        <v>923.6</v>
      </c>
      <c r="J1482" s="62" t="n">
        <f aca="false">BU1482*Parameter!$B$18</f>
        <v>0</v>
      </c>
      <c r="K1482" s="63"/>
      <c r="L1482" s="64"/>
      <c r="M1482" s="62" t="n">
        <v>0</v>
      </c>
      <c r="N1482" s="62" t="n">
        <v>4</v>
      </c>
      <c r="O1482" s="65" t="n">
        <v>56</v>
      </c>
      <c r="P1482" s="60" t="s">
        <v>344</v>
      </c>
      <c r="Q1482" s="62" t="n">
        <v>20</v>
      </c>
      <c r="R1482" s="65" t="n">
        <f aca="false">IF(CA1482=1,0,IFERROR(VLOOKUP(BY1482,'Gebinde-Kategorie'!$A$5:$N$45,13,0)+0,0))</f>
        <v>26</v>
      </c>
      <c r="S1482" s="66"/>
      <c r="T1482" s="67"/>
      <c r="U1482" s="67"/>
      <c r="V1482" s="67"/>
      <c r="W1482" s="60"/>
      <c r="X1482" s="62"/>
      <c r="Y1482" s="62"/>
      <c r="Z1482" s="60" t="n">
        <v>3</v>
      </c>
      <c r="AA1482" s="60" t="n">
        <f aca="false">IF(A1482="","",IF(AND(Parameter!$B$21="Ja",ISNUMBER(W1482)),W1482,IF(AND(Parameter!$E$27="Ja",ISNUMBER(Z1482),CD1482&lt;&gt;"Nein"),Z1482,IF(CD1482="2+3",IF(ISNUMBER(SEARCH("grosser Artikel",BV1482)),2,IFERROR(VLOOKUP(BY1482,Parameter!$F$35:$G$64,2,0),2)),IF(OR(CD1482="Nein",CD1482=""),"-",CD1482)))))</f>
        <v>3</v>
      </c>
      <c r="AB1482" s="67"/>
      <c r="AC1482" s="68"/>
      <c r="AD1482" s="62" t="n">
        <f aca="false">AW1482</f>
        <v>4</v>
      </c>
      <c r="AE1482" s="62" t="n">
        <f aca="false">MAX(AW1482,H1482)</f>
        <v>20</v>
      </c>
      <c r="AF1482" s="69"/>
      <c r="AG1482" s="62" t="n">
        <f aca="false">IF(LEFT(Cockpit!$C$5,1)="A",H1482,IF(Parameter!$E$30="MAX-Bestand",IF(CI1482=1,CJ1482,IF(LEFT(Cockpit!$C$5,1)="B",AM1482,MAX(AM1482,H1482))),ROUNDUP(AK1482,0)))</f>
        <v>20</v>
      </c>
      <c r="AH1482" s="62" t="n">
        <f aca="false">IF(CA1482=1,0,ROUNDUP(AG1482/BZ1482,0))</f>
        <v>1</v>
      </c>
      <c r="AI1482" s="64" t="n">
        <f aca="false">IF(CR1482&gt;0,CR1482*MAX(1,AG1482/X1482),IF(CA1482=1,IF(AG1482&lt;=0,0,CE1482*MAX(1,IF(H1482&gt;0,AG1482/H1482,1))),IF(R1482&gt;0,AH1482/R1482,0))/MAX(0.1,N(Parameter!$M$21)))</f>
        <v>0.0384615384615385</v>
      </c>
      <c r="AJ1482" s="62" t="n">
        <f aca="false">AI1482*CC1482</f>
        <v>5.96153846153846</v>
      </c>
      <c r="AK1482" s="63" t="n">
        <f aca="false">IF(LEFT(Cockpit!$C$5,1)="A",H1482,IF(CI1482=1,(CL1482+CJ1482)/2,IF(LEFT(Cockpit!$C$5,1)="B",(CL1482+AM1482)/2,MAX((CL1482+AM1482)/2,H1482))))</f>
        <v>20</v>
      </c>
      <c r="AL1482" s="62" t="n">
        <f aca="false">AK1482*G1482</f>
        <v>923.6</v>
      </c>
      <c r="AM1482" s="62" t="n">
        <f aca="false">ROUNDUP(CL1482+MAX(CM1482,2*(J1482/IF(CH1482&gt;0,CH1482,MAX(0.1,N(Cockpit!$C$6)))-CL1482)),0)</f>
        <v>4</v>
      </c>
      <c r="AN1482" s="63" t="n">
        <f aca="false">IF(AJ1482&gt;0,J1482/AJ1482,-1)</f>
        <v>0</v>
      </c>
      <c r="AO1482" s="63" t="n">
        <f aca="false">IF(AND(OR(CG1482="L1",CG1482="L23",CG1482="LIFT"),AJ1482&gt;0),SUMIFS($AJ$7:$AJ$1843,$CG$7:$CG$1843,CG1482,$AN$7:$AN$1843,"&gt;"&amp;AN1482)+SUMIFS($AJ$7:$AJ$1843,$CG$7:$CG$1843,CG1482,$AN$7:$AN$1843,AN1482,$BX$7:$BX$1843,"&lt;="&amp;BX1482),"")</f>
        <v>29747.6614851721</v>
      </c>
      <c r="AP1482" s="70" t="n">
        <f aca="false">IF(AO1482="",0,MAX(0,MIN(1,(IF(CG1482="L1",Parameter!$H$5,IF(CG1482="L23",Parameter!$H$6+Parameter!$H$7,Parameter!$H$5+Parameter!$H$6+Parameter!$H$7))-(AO1482-AJ1482))/AJ1482)))</f>
        <v>1</v>
      </c>
      <c r="AQ1482" s="62" t="n">
        <f aca="false">IF(LEFT(Cockpit!$I$5,1)="A",H1482,IF(Parameter!$E$30="MAX-Bestand",IF(CI1482=1,CJ1482,IF(LEFT(Cockpit!$I$5,1)="B",AW1482,MAX(AW1482,H1482))),ROUNDUP(AU1482,0)))</f>
        <v>20</v>
      </c>
      <c r="AR1482" s="62" t="n">
        <f aca="false">IF(CA1482=1,0,ROUNDUP(AQ1482/BZ1482,0))</f>
        <v>1</v>
      </c>
      <c r="AS1482" s="64" t="n">
        <f aca="false">IF(CR1482&gt;0,CR1482*MAX(1,AQ1482/X1482),IF(CA1482=1,IF(AQ1482&lt;=0,0,CE1482*MAX(1,IF(H1482&gt;0,AQ1482/H1482,1))),IF(R1482&gt;0,AR1482/R1482,0))/MAX(0.1,N(Parameter!$M$21)))</f>
        <v>0.0384615384615385</v>
      </c>
      <c r="AT1482" s="62" t="n">
        <f aca="false">AS1482*CC1482</f>
        <v>5.96153846153846</v>
      </c>
      <c r="AU1482" s="63" t="n">
        <f aca="false">IF(LEFT(Cockpit!$I$5,1)="A",H1482,IF(CI1482=1,(CL1482+CJ1482)/2,IF(LEFT(Cockpit!$I$5,1)="B",(CL1482+AW1482)/2,MAX((CL1482+AW1482)/2,H1482))))</f>
        <v>20</v>
      </c>
      <c r="AV1482" s="62" t="n">
        <f aca="false">AU1482*G1482</f>
        <v>923.6</v>
      </c>
      <c r="AW1482" s="62" t="n">
        <f aca="false">ROUNDUP(CL1482+MAX(CM1482,2*(J1482/IF(CH1482&gt;0,CH1482,MAX(0.1,N(Cockpit!$I$6)))-CL1482)),0)</f>
        <v>4</v>
      </c>
      <c r="AX1482" s="63" t="n">
        <f aca="false">IF(AT1482&gt;0,J1482/AT1482,-1)</f>
        <v>0</v>
      </c>
      <c r="AY1482" s="63" t="n">
        <f aca="false">IF(AND(OR(CG1482="L1",CG1482="L23",CG1482="LIFT"),AT1482&gt;0),SUMIFS($AT$7:$AT$1843,$CG$7:$CG$1843,CG1482,$AX$7:$AX$1843,"&gt;"&amp;AX1482)+SUMIFS($AT$7:$AT$1843,$CG$7:$CG$1843,CG1482,$AX$7:$AX$1843,AX1482,$BX$7:$BX$1843,"&lt;="&amp;BX1482),"")</f>
        <v>36054.2322877217</v>
      </c>
      <c r="AZ1482" s="70" t="n">
        <f aca="false">IF(AY1482="",0,MAX(0,MIN(1,(IF(CG1482="L1",Parameter!$H$5,IF(CG1482="L23",Parameter!$H$6+Parameter!$H$7,Parameter!$H$5+Parameter!$H$6+Parameter!$H$7))-(AY1482-AT1482))/AT1482)))</f>
        <v>0</v>
      </c>
      <c r="BA1482" s="62" t="n">
        <f aca="false">IF(LEFT(Cockpit!$O$5,1)="A",H1482,IF(Parameter!$E$30="MAX-Bestand",IF(CI1482=1,CJ1482,IF(LEFT(Cockpit!$O$5,1)="B",BG1482,MAX(BG1482,H1482))),ROUNDUP(BE1482,0)))</f>
        <v>2</v>
      </c>
      <c r="BB1482" s="62" t="n">
        <f aca="false">IF(CA1482=1,0,ROUNDUP(BA1482/BZ1482,0))</f>
        <v>1</v>
      </c>
      <c r="BC1482" s="64" t="n">
        <f aca="false">IF(CR1482&gt;0,CR1482*MAX(1,BA1482/X1482),IF(CA1482=1,IF(BA1482&lt;=0,0,CE1482*MAX(1,IF(H1482&gt;0,BA1482/H1482,1))),IF(R1482&gt;0,BB1482/R1482,0))/MAX(0.1,N(Parameter!$M$21)))</f>
        <v>0.0384615384615385</v>
      </c>
      <c r="BD1482" s="62" t="n">
        <f aca="false">BC1482*CC1482</f>
        <v>5.96153846153846</v>
      </c>
      <c r="BE1482" s="63" t="n">
        <f aca="false">IF(LEFT(Cockpit!$O$5,1)="A",H1482,IF(CI1482=1,(CL1482+CJ1482)/2,IF(LEFT(Cockpit!$O$5,1)="B",(CL1482+BG1482)/2,MAX((CL1482+BG1482)/2,H1482))))</f>
        <v>2</v>
      </c>
      <c r="BF1482" s="62" t="n">
        <f aca="false">BE1482*G1482</f>
        <v>92.36</v>
      </c>
      <c r="BG1482" s="62" t="n">
        <f aca="false">ROUNDUP(CL1482+MAX(CM1482,2*(J1482/IF(CH1482&gt;0,CH1482,MAX(0.1,N(Cockpit!$O$6)))-CL1482)),0)</f>
        <v>4</v>
      </c>
      <c r="BH1482" s="63" t="n">
        <f aca="false">IF(BD1482&gt;0,J1482/BD1482,-1)</f>
        <v>0</v>
      </c>
      <c r="BI1482" s="63" t="n">
        <f aca="false">IF(AND(OR(CG1482="L1",CG1482="L23",CG1482="LIFT"),BD1482&gt;0),SUMIFS($BD$7:$BD$1843,$CG$7:$CG$1843,CG1482,$BH$7:$BH$1843,"&gt;"&amp;BH1482)+SUMIFS($BD$7:$BD$1843,$CG$7:$CG$1843,CG1482,$BH$7:$BH$1843,BH1482,$BX$7:$BX$1843,"&lt;="&amp;BX1482),"")</f>
        <v>30039.5389478695</v>
      </c>
      <c r="BJ1482" s="70" t="n">
        <f aca="false">IF(BI1482="",0,MAX(0,MIN(1,(IF(CG1482="L1",Parameter!$H$5,IF(CG1482="L23",Parameter!$H$6+Parameter!$H$7,Parameter!$H$5+Parameter!$H$6+Parameter!$H$7))-(BI1482-BD1482))/BD1482)))</f>
        <v>1</v>
      </c>
      <c r="BK1482" s="60" t="str">
        <f aca="false">IF(AJ1482&lt;=0,"",IF(CG1482="Aussen","Aussenlager",IF(CG1482="-","Nicht im Lift",IF(AP1482&gt;=1,"Lift",IF(AP1482&lt;=0,"Aussenlager","teilweise")))))</f>
        <v>Lift</v>
      </c>
      <c r="BL1482" s="60" t="str">
        <f aca="false">IF(AT1482&lt;=0,"",IF(CG1482="Aussen","Aussenlager",IF(CG1482="-","Nicht im Lift",IF(AZ1482&gt;=1,"Lift",IF(AZ1482&lt;=0,"Aussenlager","teilweise")))))</f>
        <v>Aussenlager</v>
      </c>
      <c r="BM1482" s="60" t="str">
        <f aca="false">IF(BD1482&lt;=0,"",IF(CG1482="Aussen","Aussenlager",IF(CG1482="-","Nicht im Lift",IF(BJ1482&gt;=1,"Lift",IF(BJ1482&lt;=0,"Aussenlager","teilweise")))))</f>
        <v>Lift</v>
      </c>
      <c r="BN1482" s="60" t="str">
        <f aca="false">IF(A1482="","",IF(BW1482=1,"Neu; ","")&amp;IF(AND(BW1482=0,BR1482&lt;0),"negativer Bestand (Export "&amp;BR1482&amp;"); ","")&amp;IF(J1482&lt;=0,"Kein Verbrauch; ","")&amp;IF(CR1482&gt;0,"Lift "&amp;W1482&amp;" lt. Liftbericht (Fach "&amp;X1482&amp;" Stk); ",IF(CB1482=1,"Gebinde geschätzt ("&amp;T1482&amp;"); ",IF(CA1482=1,"Lose – Tablare geschätzt; ","")))&amp;IF(H1482&gt;AW1482,"Überbestand "&amp;ROUND(H1482-AW1482,0)&amp;" Stk / CHF "&amp;ROUND((H1482-AW1482)*G1482,0)&amp;"; ","")&amp;IF(AND(CI1482=1,CJ1482&lt;CK1482),"MAX &lt; MB+LG; ","")&amp;IF(AND(CQ1482&gt;0,CP1482*10&gt;CQ1482),"zu hoch für Tablar; ","")&amp;IF(AND(BW1482=0,OR(CI1482=1,AB1482&lt;&gt;"",U1482&lt;&gt;"",V1482&lt;&gt;"",AC1482&lt;&gt;"")),"manuell übersteuert; ","")&amp;IF(AND(CA1482=0,R1482=0),"Gebinde unbekannt / Stellmass fehlt; ","")&amp;IF(AND(CA1482=0,N(V1482)&lt;=0,N(Q1482)&lt;=0),"Menge pro Gebinde fehlt (Ist = 1 Gebinde); ","")&amp;BV1482)</f>
        <v>Kein Verbrauch; Überbestand 16 Stk / CHF 739; nur im Artikelstamm (Bestand 23.06.2026)</v>
      </c>
      <c r="BO1482" s="60"/>
      <c r="BP1482" s="60"/>
      <c r="BQ1482" s="67"/>
      <c r="BR1482" s="62" t="n">
        <v>20</v>
      </c>
      <c r="BS1482" s="62" t="n">
        <v>0</v>
      </c>
      <c r="BT1482" s="61" t="n">
        <v>0</v>
      </c>
      <c r="BU1482" s="62" t="n">
        <v>0</v>
      </c>
      <c r="BV1482" s="60" t="s">
        <v>2617</v>
      </c>
      <c r="BW1482" s="65" t="n">
        <v>0</v>
      </c>
      <c r="BX1482" s="65" t="n">
        <v>1482</v>
      </c>
      <c r="BY1482" s="60" t="str">
        <f aca="false">IF(U1482&lt;&gt;"",UPPER(TRIM(U1482)),IF(CB1482=1,UPPER(VLOOKUP(T1482,Parameter!$I$27:$K$29,2,0)),IF(P1482="","LOSE",P1482)))</f>
        <v>S51</v>
      </c>
      <c r="BZ1482" s="62" t="n">
        <f aca="false">IF(BY1482="LOSE",1,IF(N(V1482)&gt;0,V1482,IF(CB1482=1,MAX(1,N(VLOOKUP(T1482,Parameter!$I$27:$K$29,3,0)),H1482,N(N1482)),IF(N(Q1482)&gt;0,Q1482,MAX(1,H1482)))))</f>
        <v>20</v>
      </c>
      <c r="CA1482" s="65" t="n">
        <f aca="false">IF(BY1482="LOSE",1,0)</f>
        <v>0</v>
      </c>
      <c r="CB1482" s="65" t="n">
        <f aca="false">IF(AND(U1482="",OR(P1482="",P1482="LOSE"),T1482&lt;&gt;"",N(S1482)&lt;=0,ISNUMBER(MATCH(T1482,Parameter!$I$27:$I$29,0))),1,0)</f>
        <v>0</v>
      </c>
      <c r="CC1482" s="65" t="n">
        <f aca="false">IF(CR1482&gt;0,INDEX(Parameter!$H$5:$H$7,W1482)/INDEX(Parameter!$E$5:$E$7,W1482),IF(AND(CA1482=0,N(IFERROR(VLOOKUP(BY1482,'Gebinde-Kategorie'!$A$5:$N$45,14,0),0))&gt;0),VLOOKUP(BY1482,'Gebinde-Kategorie'!$A$5:$N$45,14,0)*10+Parameter!$M$23,Parameter!$M$24))</f>
        <v>155</v>
      </c>
      <c r="CD1482" s="60" t="str">
        <f aca="false">IF(AND(Parameter!$B$19="Ja",E1482&lt;&gt;"",ISNUMBER(MATCH(E1482,Parameter!$I$35:$I$52,0))),VLOOKUP(E1482,Parameter!$I$35:$J$52,2,0),IFERROR(VLOOKUP(D1482,Parameter!$A$35:$C$64,2,0),"Nein"))</f>
        <v>2+3</v>
      </c>
      <c r="CE1482" s="64" t="n">
        <f aca="false">IF(CA1482=0,0,IF(N(S1482)&gt;0,S1482,IFERROR(VLOOKUP(D1482,Parameter!$A$35:$C$64,3,0)+0,0)))</f>
        <v>0</v>
      </c>
      <c r="CF1482" s="60" t="n">
        <f aca="false">IF(AB1482&lt;&gt;"",AB1482,AA1482)</f>
        <v>3</v>
      </c>
      <c r="CG1482" s="60" t="str">
        <f aca="false">IF(OR(CF1482=1,CF1482=2,CF1482=3),IF(Parameter!$E$27="Ja","LIFT",IF(CF1482=1,"L1","L23")),IF(CF1482="Aussen","Aussen","-"))</f>
        <v>LIFT</v>
      </c>
      <c r="CH1482" s="71" t="n">
        <f aca="false">IF(N(AC1482)&gt;0,AC1482,0)</f>
        <v>0</v>
      </c>
      <c r="CI1482" s="65" t="n">
        <f aca="false">IF(ISNUMBER(AF1482),1,0)</f>
        <v>0</v>
      </c>
      <c r="CJ1482" s="62" t="n">
        <f aca="false">N(AF1482)</f>
        <v>0</v>
      </c>
      <c r="CK1482" s="62" t="n">
        <f aca="false">N(M1482)+N(N1482)</f>
        <v>4</v>
      </c>
      <c r="CL1482" s="62" t="n">
        <f aca="false">N(M1482)</f>
        <v>0</v>
      </c>
      <c r="CM1482" s="62" t="n">
        <f aca="false">N(N1482)</f>
        <v>4</v>
      </c>
      <c r="CN1482" s="62" t="n">
        <f aca="false">ROUNDUP(H1482/BZ1482,0)</f>
        <v>1</v>
      </c>
      <c r="CO1482" s="62" t="n">
        <f aca="false">ROUNDUP(CJ1482/BZ1482,0)</f>
        <v>0</v>
      </c>
      <c r="CP1482" s="65" t="n">
        <f aca="false">IF(CA1482=1,0,IFERROR(VLOOKUP(BY1482,'Gebinde-Kategorie'!$A$5:$N$45,5,0)+0,0))</f>
        <v>11</v>
      </c>
      <c r="CQ1482" s="65" t="n">
        <f aca="false">IFERROR(IF(OR(CF1482=1,CF1482=2,CF1482=3),N(INDEX(Parameter!$I$5:$I$7,CF1482)),0),0)</f>
        <v>0</v>
      </c>
      <c r="CR1482" s="64" t="n">
        <f aca="false">IF(AND(Parameter!$B$21="Ja",ISNUMBER(W1482),N(X1482)&gt;0),IFERROR(N(INDEX(Parameter!$L$5:$L$7,W1482))*INDEX(Parameter!$E$5:$E$7,W1482)*X1482/SUMIFS($X$7:$X$1843,$W$7:$W$1843,W1482),0),0)</f>
        <v>0</v>
      </c>
      <c r="CS1482" s="62" t="n">
        <f aca="false">IF(AND(OR(CG1482="L1",CG1482="L23",CG1482="LIFT"),H1482&gt;0),CC1482*IF(CR1482&gt;0,CR1482*MAX(1,H1482/X1482),IF(CA1482=1,CE1482,IF(R1482&gt;0,CN1482/R1482,0))/MAX(0.1,N(Parameter!$M$21))),"")</f>
        <v>5.96153846153846</v>
      </c>
      <c r="CT1482" s="64" t="n">
        <f aca="false">IF(CS1482="","",J1482/H1482)</f>
        <v>0</v>
      </c>
      <c r="CU1482" s="62" t="n">
        <f aca="false">IF(CS1482="","",H1482*G1482)</f>
        <v>923.6</v>
      </c>
      <c r="CV1482" s="63" t="n">
        <f aca="false">IF(CS1482="","",(CL1482+ROUNDUP(CL1482+MAX(CM1482,2*(J1482/MAX(0.1,N(Einkauf!$C$6))-CL1482)),0))/2)</f>
        <v>2</v>
      </c>
      <c r="CW1482" s="62" t="n">
        <f aca="false">IF(CS1482="","",MAX(0,H1482-CV1482)*G1482)</f>
        <v>831.24</v>
      </c>
      <c r="CX1482" s="62" t="n">
        <f aca="false">IF(CS1482="","",CS1482*MAX(0,1-CV1482/H1482))</f>
        <v>5.36538461538462</v>
      </c>
      <c r="CY1482" s="64" t="n">
        <f aca="false">IF(CS1482="","",PERCENTRANK($CS$7:$CS$1843,CS1482)+PERCENTRANK($CU$7:$CU$1843,CU1482)+1-PERCENTRANK($CT$7:$CT$1843,CT1482))</f>
        <v>1.991</v>
      </c>
      <c r="CZ1482" s="72" t="n">
        <f aca="false">IF(CS1482="","",CHOOSE(MATCH(Einkauf!$C$5,Parameter!$G$23:$G$27,0),CY1482,CS1482,CU1482,-CT1482,CW1482)+ROW()/1000000000)</f>
        <v>1.991001482</v>
      </c>
    </row>
    <row r="1483" customFormat="false" ht="15" hidden="false" customHeight="false" outlineLevel="0" collapsed="false">
      <c r="A1483" s="60" t="s">
        <v>2635</v>
      </c>
      <c r="B1483" s="60" t="s">
        <v>2636</v>
      </c>
      <c r="C1483" s="60" t="s">
        <v>206</v>
      </c>
      <c r="D1483" s="60" t="s">
        <v>226</v>
      </c>
      <c r="E1483" s="60" t="s">
        <v>227</v>
      </c>
      <c r="F1483" s="60"/>
      <c r="G1483" s="61" t="n">
        <v>23.89</v>
      </c>
      <c r="H1483" s="62" t="n">
        <f aca="false">MAX(0,IF(AND(Parameter!$B$21="Ja",ISNUMBER(Y1483)),Y1483,IF(Parameter!$B$20="Jahresanfang 2025 + Export",BS1483+BR1483,BR1483)))</f>
        <v>6</v>
      </c>
      <c r="I1483" s="62" t="n">
        <f aca="false">H1483*G1483</f>
        <v>143.34</v>
      </c>
      <c r="J1483" s="62" t="n">
        <f aca="false">BU1483*Parameter!$B$18</f>
        <v>0</v>
      </c>
      <c r="K1483" s="63"/>
      <c r="L1483" s="64"/>
      <c r="M1483" s="62" t="n">
        <v>0</v>
      </c>
      <c r="N1483" s="62" t="n">
        <v>5</v>
      </c>
      <c r="O1483" s="65" t="n">
        <v>28</v>
      </c>
      <c r="P1483" s="60" t="s">
        <v>463</v>
      </c>
      <c r="Q1483" s="62" t="n">
        <v>6</v>
      </c>
      <c r="R1483" s="65" t="n">
        <f aca="false">IF(CA1483=1,0,IFERROR(VLOOKUP(BY1483,'Gebinde-Kategorie'!$A$5:$N$45,13,0)+0,0))</f>
        <v>104</v>
      </c>
      <c r="S1483" s="66"/>
      <c r="T1483" s="67"/>
      <c r="U1483" s="67"/>
      <c r="V1483" s="67"/>
      <c r="W1483" s="60"/>
      <c r="X1483" s="62"/>
      <c r="Y1483" s="62"/>
      <c r="Z1483" s="60" t="n">
        <v>2</v>
      </c>
      <c r="AA1483" s="60" t="n">
        <f aca="false">IF(A1483="","",IF(AND(Parameter!$B$21="Ja",ISNUMBER(W1483)),W1483,IF(AND(Parameter!$E$27="Ja",ISNUMBER(Z1483),CD1483&lt;&gt;"Nein"),Z1483,IF(CD1483="2+3",IF(ISNUMBER(SEARCH("grosser Artikel",BV1483)),2,IFERROR(VLOOKUP(BY1483,Parameter!$F$35:$G$64,2,0),2)),IF(OR(CD1483="Nein",CD1483=""),"-",CD1483)))))</f>
        <v>2</v>
      </c>
      <c r="AB1483" s="67"/>
      <c r="AC1483" s="68"/>
      <c r="AD1483" s="62" t="n">
        <f aca="false">AW1483</f>
        <v>5</v>
      </c>
      <c r="AE1483" s="62" t="n">
        <f aca="false">MAX(AW1483,H1483)</f>
        <v>6</v>
      </c>
      <c r="AF1483" s="69"/>
      <c r="AG1483" s="62" t="n">
        <f aca="false">IF(LEFT(Cockpit!$C$5,1)="A",H1483,IF(Parameter!$E$30="MAX-Bestand",IF(CI1483=1,CJ1483,IF(LEFT(Cockpit!$C$5,1)="B",AM1483,MAX(AM1483,H1483))),ROUNDUP(AK1483,0)))</f>
        <v>6</v>
      </c>
      <c r="AH1483" s="62" t="n">
        <f aca="false">IF(CA1483=1,0,ROUNDUP(AG1483/BZ1483,0))</f>
        <v>1</v>
      </c>
      <c r="AI1483" s="64" t="n">
        <f aca="false">IF(CR1483&gt;0,CR1483*MAX(1,AG1483/X1483),IF(CA1483=1,IF(AG1483&lt;=0,0,CE1483*MAX(1,IF(H1483&gt;0,AG1483/H1483,1))),IF(R1483&gt;0,AH1483/R1483,0))/MAX(0.1,N(Parameter!$M$21)))</f>
        <v>0.00961538461538462</v>
      </c>
      <c r="AJ1483" s="62" t="n">
        <f aca="false">AI1483*CC1483</f>
        <v>1.49038461538462</v>
      </c>
      <c r="AK1483" s="63" t="n">
        <f aca="false">IF(LEFT(Cockpit!$C$5,1)="A",H1483,IF(CI1483=1,(CL1483+CJ1483)/2,IF(LEFT(Cockpit!$C$5,1)="B",(CL1483+AM1483)/2,MAX((CL1483+AM1483)/2,H1483))))</f>
        <v>6</v>
      </c>
      <c r="AL1483" s="62" t="n">
        <f aca="false">AK1483*G1483</f>
        <v>143.34</v>
      </c>
      <c r="AM1483" s="62" t="n">
        <f aca="false">ROUNDUP(CL1483+MAX(CM1483,2*(J1483/IF(CH1483&gt;0,CH1483,MAX(0.1,N(Cockpit!$C$6)))-CL1483)),0)</f>
        <v>5</v>
      </c>
      <c r="AN1483" s="63" t="n">
        <f aca="false">IF(AJ1483&gt;0,J1483/AJ1483,-1)</f>
        <v>0</v>
      </c>
      <c r="AO1483" s="63" t="n">
        <f aca="false">IF(AND(OR(CG1483="L1",CG1483="L23",CG1483="LIFT"),AJ1483&gt;0),SUMIFS($AJ$7:$AJ$1843,$CG$7:$CG$1843,CG1483,$AN$7:$AN$1843,"&gt;"&amp;AN1483)+SUMIFS($AJ$7:$AJ$1843,$CG$7:$CG$1843,CG1483,$AN$7:$AN$1843,AN1483,$BX$7:$BX$1843,"&lt;="&amp;BX1483),"")</f>
        <v>29749.1518697875</v>
      </c>
      <c r="AP1483" s="70" t="n">
        <f aca="false">IF(AO1483="",0,MAX(0,MIN(1,(IF(CG1483="L1",Parameter!$H$5,IF(CG1483="L23",Parameter!$H$6+Parameter!$H$7,Parameter!$H$5+Parameter!$H$6+Parameter!$H$7))-(AO1483-AJ1483))/AJ1483)))</f>
        <v>1</v>
      </c>
      <c r="AQ1483" s="62" t="n">
        <f aca="false">IF(LEFT(Cockpit!$I$5,1)="A",H1483,IF(Parameter!$E$30="MAX-Bestand",IF(CI1483=1,CJ1483,IF(LEFT(Cockpit!$I$5,1)="B",AW1483,MAX(AW1483,H1483))),ROUNDUP(AU1483,0)))</f>
        <v>6</v>
      </c>
      <c r="AR1483" s="62" t="n">
        <f aca="false">IF(CA1483=1,0,ROUNDUP(AQ1483/BZ1483,0))</f>
        <v>1</v>
      </c>
      <c r="AS1483" s="64" t="n">
        <f aca="false">IF(CR1483&gt;0,CR1483*MAX(1,AQ1483/X1483),IF(CA1483=1,IF(AQ1483&lt;=0,0,CE1483*MAX(1,IF(H1483&gt;0,AQ1483/H1483,1))),IF(R1483&gt;0,AR1483/R1483,0))/MAX(0.1,N(Parameter!$M$21)))</f>
        <v>0.00961538461538462</v>
      </c>
      <c r="AT1483" s="62" t="n">
        <f aca="false">AS1483*CC1483</f>
        <v>1.49038461538462</v>
      </c>
      <c r="AU1483" s="63" t="n">
        <f aca="false">IF(LEFT(Cockpit!$I$5,1)="A",H1483,IF(CI1483=1,(CL1483+CJ1483)/2,IF(LEFT(Cockpit!$I$5,1)="B",(CL1483+AW1483)/2,MAX((CL1483+AW1483)/2,H1483))))</f>
        <v>6</v>
      </c>
      <c r="AV1483" s="62" t="n">
        <f aca="false">AU1483*G1483</f>
        <v>143.34</v>
      </c>
      <c r="AW1483" s="62" t="n">
        <f aca="false">ROUNDUP(CL1483+MAX(CM1483,2*(J1483/IF(CH1483&gt;0,CH1483,MAX(0.1,N(Cockpit!$I$6)))-CL1483)),0)</f>
        <v>5</v>
      </c>
      <c r="AX1483" s="63" t="n">
        <f aca="false">IF(AT1483&gt;0,J1483/AT1483,-1)</f>
        <v>0</v>
      </c>
      <c r="AY1483" s="63" t="n">
        <f aca="false">IF(AND(OR(CG1483="L1",CG1483="L23",CG1483="LIFT"),AT1483&gt;0),SUMIFS($AT$7:$AT$1843,$CG$7:$CG$1843,CG1483,$AX$7:$AX$1843,"&gt;"&amp;AX1483)+SUMIFS($AT$7:$AT$1843,$CG$7:$CG$1843,CG1483,$AX$7:$AX$1843,AX1483,$BX$7:$BX$1843,"&lt;="&amp;BX1483),"")</f>
        <v>36055.7226723371</v>
      </c>
      <c r="AZ1483" s="70" t="n">
        <f aca="false">IF(AY1483="",0,MAX(0,MIN(1,(IF(CG1483="L1",Parameter!$H$5,IF(CG1483="L23",Parameter!$H$6+Parameter!$H$7,Parameter!$H$5+Parameter!$H$6+Parameter!$H$7))-(AY1483-AT1483))/AT1483)))</f>
        <v>0</v>
      </c>
      <c r="BA1483" s="62" t="n">
        <f aca="false">IF(LEFT(Cockpit!$O$5,1)="A",H1483,IF(Parameter!$E$30="MAX-Bestand",IF(CI1483=1,CJ1483,IF(LEFT(Cockpit!$O$5,1)="B",BG1483,MAX(BG1483,H1483))),ROUNDUP(BE1483,0)))</f>
        <v>3</v>
      </c>
      <c r="BB1483" s="62" t="n">
        <f aca="false">IF(CA1483=1,0,ROUNDUP(BA1483/BZ1483,0))</f>
        <v>1</v>
      </c>
      <c r="BC1483" s="64" t="n">
        <f aca="false">IF(CR1483&gt;0,CR1483*MAX(1,BA1483/X1483),IF(CA1483=1,IF(BA1483&lt;=0,0,CE1483*MAX(1,IF(H1483&gt;0,BA1483/H1483,1))),IF(R1483&gt;0,BB1483/R1483,0))/MAX(0.1,N(Parameter!$M$21)))</f>
        <v>0.00961538461538462</v>
      </c>
      <c r="BD1483" s="62" t="n">
        <f aca="false">BC1483*CC1483</f>
        <v>1.49038461538462</v>
      </c>
      <c r="BE1483" s="63" t="n">
        <f aca="false">IF(LEFT(Cockpit!$O$5,1)="A",H1483,IF(CI1483=1,(CL1483+CJ1483)/2,IF(LEFT(Cockpit!$O$5,1)="B",(CL1483+BG1483)/2,MAX((CL1483+BG1483)/2,H1483))))</f>
        <v>2.5</v>
      </c>
      <c r="BF1483" s="62" t="n">
        <f aca="false">BE1483*G1483</f>
        <v>59.725</v>
      </c>
      <c r="BG1483" s="62" t="n">
        <f aca="false">ROUNDUP(CL1483+MAX(CM1483,2*(J1483/IF(CH1483&gt;0,CH1483,MAX(0.1,N(Cockpit!$O$6)))-CL1483)),0)</f>
        <v>5</v>
      </c>
      <c r="BH1483" s="63" t="n">
        <f aca="false">IF(BD1483&gt;0,J1483/BD1483,-1)</f>
        <v>0</v>
      </c>
      <c r="BI1483" s="63" t="n">
        <f aca="false">IF(AND(OR(CG1483="L1",CG1483="L23",CG1483="LIFT"),BD1483&gt;0),SUMIFS($BD$7:$BD$1843,$CG$7:$CG$1843,CG1483,$BH$7:$BH$1843,"&gt;"&amp;BH1483)+SUMIFS($BD$7:$BD$1843,$CG$7:$CG$1843,CG1483,$BH$7:$BH$1843,BH1483,$BX$7:$BX$1843,"&lt;="&amp;BX1483),"")</f>
        <v>30041.0293324848</v>
      </c>
      <c r="BJ1483" s="70" t="n">
        <f aca="false">IF(BI1483="",0,MAX(0,MIN(1,(IF(CG1483="L1",Parameter!$H$5,IF(CG1483="L23",Parameter!$H$6+Parameter!$H$7,Parameter!$H$5+Parameter!$H$6+Parameter!$H$7))-(BI1483-BD1483))/BD1483)))</f>
        <v>1</v>
      </c>
      <c r="BK1483" s="60" t="str">
        <f aca="false">IF(AJ1483&lt;=0,"",IF(CG1483="Aussen","Aussenlager",IF(CG1483="-","Nicht im Lift",IF(AP1483&gt;=1,"Lift",IF(AP1483&lt;=0,"Aussenlager","teilweise")))))</f>
        <v>Lift</v>
      </c>
      <c r="BL1483" s="60" t="str">
        <f aca="false">IF(AT1483&lt;=0,"",IF(CG1483="Aussen","Aussenlager",IF(CG1483="-","Nicht im Lift",IF(AZ1483&gt;=1,"Lift",IF(AZ1483&lt;=0,"Aussenlager","teilweise")))))</f>
        <v>Aussenlager</v>
      </c>
      <c r="BM1483" s="60" t="str">
        <f aca="false">IF(BD1483&lt;=0,"",IF(CG1483="Aussen","Aussenlager",IF(CG1483="-","Nicht im Lift",IF(BJ1483&gt;=1,"Lift",IF(BJ1483&lt;=0,"Aussenlager","teilweise")))))</f>
        <v>Lift</v>
      </c>
      <c r="BN1483" s="60" t="str">
        <f aca="false">IF(A1483="","",IF(BW1483=1,"Neu; ","")&amp;IF(AND(BW1483=0,BR1483&lt;0),"negativer Bestand (Export "&amp;BR1483&amp;"); ","")&amp;IF(J1483&lt;=0,"Kein Verbrauch; ","")&amp;IF(CR1483&gt;0,"Lift "&amp;W1483&amp;" lt. Liftbericht (Fach "&amp;X1483&amp;" Stk); ",IF(CB1483=1,"Gebinde geschätzt ("&amp;T1483&amp;"); ",IF(CA1483=1,"Lose – Tablare geschätzt; ","")))&amp;IF(H1483&gt;AW1483,"Überbestand "&amp;ROUND(H1483-AW1483,0)&amp;" Stk / CHF "&amp;ROUND((H1483-AW1483)*G1483,0)&amp;"; ","")&amp;IF(AND(CI1483=1,CJ1483&lt;CK1483),"MAX &lt; MB+LG; ","")&amp;IF(AND(CQ1483&gt;0,CP1483*10&gt;CQ1483),"zu hoch für Tablar; ","")&amp;IF(AND(BW1483=0,OR(CI1483=1,AB1483&lt;&gt;"",U1483&lt;&gt;"",V1483&lt;&gt;"",AC1483&lt;&gt;"")),"manuell übersteuert; ","")&amp;IF(AND(CA1483=0,R1483=0),"Gebinde unbekannt / Stellmass fehlt; ","")&amp;IF(AND(CA1483=0,N(V1483)&lt;=0,N(Q1483)&lt;=0),"Menge pro Gebinde fehlt (Ist = 1 Gebinde); ","")&amp;BV1483)</f>
        <v>Kein Verbrauch; Überbestand 1 Stk / CHF 24; nur im Artikelstamm (Bestand 23.06.2026)</v>
      </c>
      <c r="BO1483" s="60"/>
      <c r="BP1483" s="60"/>
      <c r="BQ1483" s="67"/>
      <c r="BR1483" s="62" t="n">
        <v>6</v>
      </c>
      <c r="BS1483" s="62" t="n">
        <v>0</v>
      </c>
      <c r="BT1483" s="61" t="n">
        <v>0</v>
      </c>
      <c r="BU1483" s="62" t="n">
        <v>0</v>
      </c>
      <c r="BV1483" s="60" t="s">
        <v>2617</v>
      </c>
      <c r="BW1483" s="65" t="n">
        <v>0</v>
      </c>
      <c r="BX1483" s="65" t="n">
        <v>1483</v>
      </c>
      <c r="BY1483" s="60" t="str">
        <f aca="false">IF(U1483&lt;&gt;"",UPPER(TRIM(U1483)),IF(CB1483=1,UPPER(VLOOKUP(T1483,Parameter!$I$27:$K$29,2,0)),IF(P1483="","LOSE",P1483)))</f>
        <v>S32</v>
      </c>
      <c r="BZ1483" s="62" t="n">
        <f aca="false">IF(BY1483="LOSE",1,IF(N(V1483)&gt;0,V1483,IF(CB1483=1,MAX(1,N(VLOOKUP(T1483,Parameter!$I$27:$K$29,3,0)),H1483,N(N1483)),IF(N(Q1483)&gt;0,Q1483,MAX(1,H1483)))))</f>
        <v>6</v>
      </c>
      <c r="CA1483" s="65" t="n">
        <f aca="false">IF(BY1483="LOSE",1,0)</f>
        <v>0</v>
      </c>
      <c r="CB1483" s="65" t="n">
        <f aca="false">IF(AND(U1483="",OR(P1483="",P1483="LOSE"),T1483&lt;&gt;"",N(S1483)&lt;=0,ISNUMBER(MATCH(T1483,Parameter!$I$27:$I$29,0))),1,0)</f>
        <v>0</v>
      </c>
      <c r="CC1483" s="65" t="n">
        <f aca="false">IF(CR1483&gt;0,INDEX(Parameter!$H$5:$H$7,W1483)/INDEX(Parameter!$E$5:$E$7,W1483),IF(AND(CA1483=0,N(IFERROR(VLOOKUP(BY1483,'Gebinde-Kategorie'!$A$5:$N$45,14,0),0))&gt;0),VLOOKUP(BY1483,'Gebinde-Kategorie'!$A$5:$N$45,14,0)*10+Parameter!$M$23,Parameter!$M$24))</f>
        <v>155</v>
      </c>
      <c r="CD1483" s="60" t="str">
        <f aca="false">IF(AND(Parameter!$B$19="Ja",E1483&lt;&gt;"",ISNUMBER(MATCH(E1483,Parameter!$I$35:$I$52,0))),VLOOKUP(E1483,Parameter!$I$35:$J$52,2,0),IFERROR(VLOOKUP(D1483,Parameter!$A$35:$C$64,2,0),"Nein"))</f>
        <v>2+3</v>
      </c>
      <c r="CE1483" s="64" t="n">
        <f aca="false">IF(CA1483=0,0,IF(N(S1483)&gt;0,S1483,IFERROR(VLOOKUP(D1483,Parameter!$A$35:$C$64,3,0)+0,0)))</f>
        <v>0</v>
      </c>
      <c r="CF1483" s="60" t="n">
        <f aca="false">IF(AB1483&lt;&gt;"",AB1483,AA1483)</f>
        <v>2</v>
      </c>
      <c r="CG1483" s="60" t="str">
        <f aca="false">IF(OR(CF1483=1,CF1483=2,CF1483=3),IF(Parameter!$E$27="Ja","LIFT",IF(CF1483=1,"L1","L23")),IF(CF1483="Aussen","Aussen","-"))</f>
        <v>LIFT</v>
      </c>
      <c r="CH1483" s="71" t="n">
        <f aca="false">IF(N(AC1483)&gt;0,AC1483,0)</f>
        <v>0</v>
      </c>
      <c r="CI1483" s="65" t="n">
        <f aca="false">IF(ISNUMBER(AF1483),1,0)</f>
        <v>0</v>
      </c>
      <c r="CJ1483" s="62" t="n">
        <f aca="false">N(AF1483)</f>
        <v>0</v>
      </c>
      <c r="CK1483" s="62" t="n">
        <f aca="false">N(M1483)+N(N1483)</f>
        <v>5</v>
      </c>
      <c r="CL1483" s="62" t="n">
        <f aca="false">N(M1483)</f>
        <v>0</v>
      </c>
      <c r="CM1483" s="62" t="n">
        <f aca="false">N(N1483)</f>
        <v>5</v>
      </c>
      <c r="CN1483" s="62" t="n">
        <f aca="false">ROUNDUP(H1483/BZ1483,0)</f>
        <v>1</v>
      </c>
      <c r="CO1483" s="62" t="n">
        <f aca="false">ROUNDUP(CJ1483/BZ1483,0)</f>
        <v>0</v>
      </c>
      <c r="CP1483" s="65" t="n">
        <f aca="false">IF(CA1483=1,0,IFERROR(VLOOKUP(BY1483,'Gebinde-Kategorie'!$A$5:$N$45,5,0)+0,0))</f>
        <v>8</v>
      </c>
      <c r="CQ1483" s="65" t="n">
        <f aca="false">IFERROR(IF(OR(CF1483=1,CF1483=2,CF1483=3),N(INDEX(Parameter!$I$5:$I$7,CF1483)),0),0)</f>
        <v>0</v>
      </c>
      <c r="CR1483" s="64" t="n">
        <f aca="false">IF(AND(Parameter!$B$21="Ja",ISNUMBER(W1483),N(X1483)&gt;0),IFERROR(N(INDEX(Parameter!$L$5:$L$7,W1483))*INDEX(Parameter!$E$5:$E$7,W1483)*X1483/SUMIFS($X$7:$X$1843,$W$7:$W$1843,W1483),0),0)</f>
        <v>0</v>
      </c>
      <c r="CS1483" s="62" t="n">
        <f aca="false">IF(AND(OR(CG1483="L1",CG1483="L23",CG1483="LIFT"),H1483&gt;0),CC1483*IF(CR1483&gt;0,CR1483*MAX(1,H1483/X1483),IF(CA1483=1,CE1483,IF(R1483&gt;0,CN1483/R1483,0))/MAX(0.1,N(Parameter!$M$21))),"")</f>
        <v>1.49038461538462</v>
      </c>
      <c r="CT1483" s="64" t="n">
        <f aca="false">IF(CS1483="","",J1483/H1483)</f>
        <v>0</v>
      </c>
      <c r="CU1483" s="62" t="n">
        <f aca="false">IF(CS1483="","",H1483*G1483)</f>
        <v>143.34</v>
      </c>
      <c r="CV1483" s="63" t="n">
        <f aca="false">IF(CS1483="","",(CL1483+ROUNDUP(CL1483+MAX(CM1483,2*(J1483/MAX(0.1,N(Einkauf!$C$6))-CL1483)),0))/2)</f>
        <v>2.5</v>
      </c>
      <c r="CW1483" s="62" t="n">
        <f aca="false">IF(CS1483="","",MAX(0,H1483-CV1483)*G1483)</f>
        <v>83.615</v>
      </c>
      <c r="CX1483" s="62" t="n">
        <f aca="false">IF(CS1483="","",CS1483*MAX(0,1-CV1483/H1483))</f>
        <v>0.869391025641026</v>
      </c>
      <c r="CY1483" s="64" t="n">
        <f aca="false">IF(CS1483="","",PERCENTRANK($CS$7:$CS$1843,CS1483)+PERCENTRANK($CU$7:$CU$1843,CU1483)+1-PERCENTRANK($CT$7:$CT$1843,CT1483))</f>
        <v>1.407</v>
      </c>
      <c r="CZ1483" s="72" t="n">
        <f aca="false">IF(CS1483="","",CHOOSE(MATCH(Einkauf!$C$5,Parameter!$G$23:$G$27,0),CY1483,CS1483,CU1483,-CT1483,CW1483)+ROW()/1000000000)</f>
        <v>1.407001483</v>
      </c>
    </row>
    <row r="1484" customFormat="false" ht="15" hidden="false" customHeight="false" outlineLevel="0" collapsed="false">
      <c r="A1484" s="60" t="s">
        <v>2637</v>
      </c>
      <c r="B1484" s="60" t="s">
        <v>2638</v>
      </c>
      <c r="C1484" s="60" t="s">
        <v>206</v>
      </c>
      <c r="D1484" s="60" t="s">
        <v>226</v>
      </c>
      <c r="E1484" s="60" t="s">
        <v>227</v>
      </c>
      <c r="F1484" s="60"/>
      <c r="G1484" s="61" t="n">
        <v>8.7</v>
      </c>
      <c r="H1484" s="62" t="n">
        <f aca="false">MAX(0,IF(AND(Parameter!$B$21="Ja",ISNUMBER(Y1484)),Y1484,IF(Parameter!$B$20="Jahresanfang 2025 + Export",BS1484+BR1484,BR1484)))</f>
        <v>20</v>
      </c>
      <c r="I1484" s="62" t="n">
        <f aca="false">H1484*G1484</f>
        <v>174</v>
      </c>
      <c r="J1484" s="62" t="n">
        <f aca="false">BU1484*Parameter!$B$18</f>
        <v>0</v>
      </c>
      <c r="K1484" s="63"/>
      <c r="L1484" s="64"/>
      <c r="M1484" s="62" t="n">
        <v>0</v>
      </c>
      <c r="N1484" s="62" t="n">
        <v>10</v>
      </c>
      <c r="O1484" s="65" t="n">
        <v>0</v>
      </c>
      <c r="P1484" s="60" t="s">
        <v>468</v>
      </c>
      <c r="Q1484" s="62" t="n">
        <v>20</v>
      </c>
      <c r="R1484" s="65" t="n">
        <f aca="false">IF(CA1484=1,0,IFERROR(VLOOKUP(BY1484,'Gebinde-Kategorie'!$A$5:$N$45,13,0)+0,0))</f>
        <v>140</v>
      </c>
      <c r="S1484" s="66"/>
      <c r="T1484" s="67"/>
      <c r="U1484" s="67"/>
      <c r="V1484" s="67"/>
      <c r="W1484" s="60"/>
      <c r="X1484" s="62"/>
      <c r="Y1484" s="62"/>
      <c r="Z1484" s="60" t="n">
        <v>2</v>
      </c>
      <c r="AA1484" s="60" t="n">
        <f aca="false">IF(A1484="","",IF(AND(Parameter!$B$21="Ja",ISNUMBER(W1484)),W1484,IF(AND(Parameter!$E$27="Ja",ISNUMBER(Z1484),CD1484&lt;&gt;"Nein"),Z1484,IF(CD1484="2+3",IF(ISNUMBER(SEARCH("grosser Artikel",BV1484)),2,IFERROR(VLOOKUP(BY1484,Parameter!$F$35:$G$64,2,0),2)),IF(OR(CD1484="Nein",CD1484=""),"-",CD1484)))))</f>
        <v>2</v>
      </c>
      <c r="AB1484" s="67"/>
      <c r="AC1484" s="68"/>
      <c r="AD1484" s="62" t="n">
        <f aca="false">AW1484</f>
        <v>10</v>
      </c>
      <c r="AE1484" s="62" t="n">
        <f aca="false">MAX(AW1484,H1484)</f>
        <v>20</v>
      </c>
      <c r="AF1484" s="69"/>
      <c r="AG1484" s="62" t="n">
        <f aca="false">IF(LEFT(Cockpit!$C$5,1)="A",H1484,IF(Parameter!$E$30="MAX-Bestand",IF(CI1484=1,CJ1484,IF(LEFT(Cockpit!$C$5,1)="B",AM1484,MAX(AM1484,H1484))),ROUNDUP(AK1484,0)))</f>
        <v>20</v>
      </c>
      <c r="AH1484" s="62" t="n">
        <f aca="false">IF(CA1484=1,0,ROUNDUP(AG1484/BZ1484,0))</f>
        <v>1</v>
      </c>
      <c r="AI1484" s="64" t="n">
        <f aca="false">IF(CR1484&gt;0,CR1484*MAX(1,AG1484/X1484),IF(CA1484=1,IF(AG1484&lt;=0,0,CE1484*MAX(1,IF(H1484&gt;0,AG1484/H1484,1))),IF(R1484&gt;0,AH1484/R1484,0))/MAX(0.1,N(Parameter!$M$21)))</f>
        <v>0.00714285714285714</v>
      </c>
      <c r="AJ1484" s="62" t="n">
        <f aca="false">AI1484*CC1484</f>
        <v>1.10714285714286</v>
      </c>
      <c r="AK1484" s="63" t="n">
        <f aca="false">IF(LEFT(Cockpit!$C$5,1)="A",H1484,IF(CI1484=1,(CL1484+CJ1484)/2,IF(LEFT(Cockpit!$C$5,1)="B",(CL1484+AM1484)/2,MAX((CL1484+AM1484)/2,H1484))))</f>
        <v>20</v>
      </c>
      <c r="AL1484" s="62" t="n">
        <f aca="false">AK1484*G1484</f>
        <v>174</v>
      </c>
      <c r="AM1484" s="62" t="n">
        <f aca="false">ROUNDUP(CL1484+MAX(CM1484,2*(J1484/IF(CH1484&gt;0,CH1484,MAX(0.1,N(Cockpit!$C$6)))-CL1484)),0)</f>
        <v>10</v>
      </c>
      <c r="AN1484" s="63" t="n">
        <f aca="false">IF(AJ1484&gt;0,J1484/AJ1484,-1)</f>
        <v>0</v>
      </c>
      <c r="AO1484" s="63" t="n">
        <f aca="false">IF(AND(OR(CG1484="L1",CG1484="L23",CG1484="LIFT"),AJ1484&gt;0),SUMIFS($AJ$7:$AJ$1843,$CG$7:$CG$1843,CG1484,$AN$7:$AN$1843,"&gt;"&amp;AN1484)+SUMIFS($AJ$7:$AJ$1843,$CG$7:$CG$1843,CG1484,$AN$7:$AN$1843,AN1484,$BX$7:$BX$1843,"&lt;="&amp;BX1484),"")</f>
        <v>29750.2590126446</v>
      </c>
      <c r="AP1484" s="70" t="n">
        <f aca="false">IF(AO1484="",0,MAX(0,MIN(1,(IF(CG1484="L1",Parameter!$H$5,IF(CG1484="L23",Parameter!$H$6+Parameter!$H$7,Parameter!$H$5+Parameter!$H$6+Parameter!$H$7))-(AO1484-AJ1484))/AJ1484)))</f>
        <v>1</v>
      </c>
      <c r="AQ1484" s="62" t="n">
        <f aca="false">IF(LEFT(Cockpit!$I$5,1)="A",H1484,IF(Parameter!$E$30="MAX-Bestand",IF(CI1484=1,CJ1484,IF(LEFT(Cockpit!$I$5,1)="B",AW1484,MAX(AW1484,H1484))),ROUNDUP(AU1484,0)))</f>
        <v>20</v>
      </c>
      <c r="AR1484" s="62" t="n">
        <f aca="false">IF(CA1484=1,0,ROUNDUP(AQ1484/BZ1484,0))</f>
        <v>1</v>
      </c>
      <c r="AS1484" s="64" t="n">
        <f aca="false">IF(CR1484&gt;0,CR1484*MAX(1,AQ1484/X1484),IF(CA1484=1,IF(AQ1484&lt;=0,0,CE1484*MAX(1,IF(H1484&gt;0,AQ1484/H1484,1))),IF(R1484&gt;0,AR1484/R1484,0))/MAX(0.1,N(Parameter!$M$21)))</f>
        <v>0.00714285714285714</v>
      </c>
      <c r="AT1484" s="62" t="n">
        <f aca="false">AS1484*CC1484</f>
        <v>1.10714285714286</v>
      </c>
      <c r="AU1484" s="63" t="n">
        <f aca="false">IF(LEFT(Cockpit!$I$5,1)="A",H1484,IF(CI1484=1,(CL1484+CJ1484)/2,IF(LEFT(Cockpit!$I$5,1)="B",(CL1484+AW1484)/2,MAX((CL1484+AW1484)/2,H1484))))</f>
        <v>20</v>
      </c>
      <c r="AV1484" s="62" t="n">
        <f aca="false">AU1484*G1484</f>
        <v>174</v>
      </c>
      <c r="AW1484" s="62" t="n">
        <f aca="false">ROUNDUP(CL1484+MAX(CM1484,2*(J1484/IF(CH1484&gt;0,CH1484,MAX(0.1,N(Cockpit!$I$6)))-CL1484)),0)</f>
        <v>10</v>
      </c>
      <c r="AX1484" s="63" t="n">
        <f aca="false">IF(AT1484&gt;0,J1484/AT1484,-1)</f>
        <v>0</v>
      </c>
      <c r="AY1484" s="63" t="n">
        <f aca="false">IF(AND(OR(CG1484="L1",CG1484="L23",CG1484="LIFT"),AT1484&gt;0),SUMIFS($AT$7:$AT$1843,$CG$7:$CG$1843,CG1484,$AX$7:$AX$1843,"&gt;"&amp;AX1484)+SUMIFS($AT$7:$AT$1843,$CG$7:$CG$1843,CG1484,$AX$7:$AX$1843,AX1484,$BX$7:$BX$1843,"&lt;="&amp;BX1484),"")</f>
        <v>36056.8298151942</v>
      </c>
      <c r="AZ1484" s="70" t="n">
        <f aca="false">IF(AY1484="",0,MAX(0,MIN(1,(IF(CG1484="L1",Parameter!$H$5,IF(CG1484="L23",Parameter!$H$6+Parameter!$H$7,Parameter!$H$5+Parameter!$H$6+Parameter!$H$7))-(AY1484-AT1484))/AT1484)))</f>
        <v>0</v>
      </c>
      <c r="BA1484" s="62" t="n">
        <f aca="false">IF(LEFT(Cockpit!$O$5,1)="A",H1484,IF(Parameter!$E$30="MAX-Bestand",IF(CI1484=1,CJ1484,IF(LEFT(Cockpit!$O$5,1)="B",BG1484,MAX(BG1484,H1484))),ROUNDUP(BE1484,0)))</f>
        <v>5</v>
      </c>
      <c r="BB1484" s="62" t="n">
        <f aca="false">IF(CA1484=1,0,ROUNDUP(BA1484/BZ1484,0))</f>
        <v>1</v>
      </c>
      <c r="BC1484" s="64" t="n">
        <f aca="false">IF(CR1484&gt;0,CR1484*MAX(1,BA1484/X1484),IF(CA1484=1,IF(BA1484&lt;=0,0,CE1484*MAX(1,IF(H1484&gt;0,BA1484/H1484,1))),IF(R1484&gt;0,BB1484/R1484,0))/MAX(0.1,N(Parameter!$M$21)))</f>
        <v>0.00714285714285714</v>
      </c>
      <c r="BD1484" s="62" t="n">
        <f aca="false">BC1484*CC1484</f>
        <v>1.10714285714286</v>
      </c>
      <c r="BE1484" s="63" t="n">
        <f aca="false">IF(LEFT(Cockpit!$O$5,1)="A",H1484,IF(CI1484=1,(CL1484+CJ1484)/2,IF(LEFT(Cockpit!$O$5,1)="B",(CL1484+BG1484)/2,MAX((CL1484+BG1484)/2,H1484))))</f>
        <v>5</v>
      </c>
      <c r="BF1484" s="62" t="n">
        <f aca="false">BE1484*G1484</f>
        <v>43.5</v>
      </c>
      <c r="BG1484" s="62" t="n">
        <f aca="false">ROUNDUP(CL1484+MAX(CM1484,2*(J1484/IF(CH1484&gt;0,CH1484,MAX(0.1,N(Cockpit!$O$6)))-CL1484)),0)</f>
        <v>10</v>
      </c>
      <c r="BH1484" s="63" t="n">
        <f aca="false">IF(BD1484&gt;0,J1484/BD1484,-1)</f>
        <v>0</v>
      </c>
      <c r="BI1484" s="63" t="n">
        <f aca="false">IF(AND(OR(CG1484="L1",CG1484="L23",CG1484="LIFT"),BD1484&gt;0),SUMIFS($BD$7:$BD$1843,$CG$7:$CG$1843,CG1484,$BH$7:$BH$1843,"&gt;"&amp;BH1484)+SUMIFS($BD$7:$BD$1843,$CG$7:$CG$1843,CG1484,$BH$7:$BH$1843,BH1484,$BX$7:$BX$1843,"&lt;="&amp;BX1484),"")</f>
        <v>30042.136475342</v>
      </c>
      <c r="BJ1484" s="70" t="n">
        <f aca="false">IF(BI1484="",0,MAX(0,MIN(1,(IF(CG1484="L1",Parameter!$H$5,IF(CG1484="L23",Parameter!$H$6+Parameter!$H$7,Parameter!$H$5+Parameter!$H$6+Parameter!$H$7))-(BI1484-BD1484))/BD1484)))</f>
        <v>1</v>
      </c>
      <c r="BK1484" s="60" t="str">
        <f aca="false">IF(AJ1484&lt;=0,"",IF(CG1484="Aussen","Aussenlager",IF(CG1484="-","Nicht im Lift",IF(AP1484&gt;=1,"Lift",IF(AP1484&lt;=0,"Aussenlager","teilweise")))))</f>
        <v>Lift</v>
      </c>
      <c r="BL1484" s="60" t="str">
        <f aca="false">IF(AT1484&lt;=0,"",IF(CG1484="Aussen","Aussenlager",IF(CG1484="-","Nicht im Lift",IF(AZ1484&gt;=1,"Lift",IF(AZ1484&lt;=0,"Aussenlager","teilweise")))))</f>
        <v>Aussenlager</v>
      </c>
      <c r="BM1484" s="60" t="str">
        <f aca="false">IF(BD1484&lt;=0,"",IF(CG1484="Aussen","Aussenlager",IF(CG1484="-","Nicht im Lift",IF(BJ1484&gt;=1,"Lift",IF(BJ1484&lt;=0,"Aussenlager","teilweise")))))</f>
        <v>Lift</v>
      </c>
      <c r="BN1484" s="60" t="str">
        <f aca="false">IF(A1484="","",IF(BW1484=1,"Neu; ","")&amp;IF(AND(BW1484=0,BR1484&lt;0),"negativer Bestand (Export "&amp;BR1484&amp;"); ","")&amp;IF(J1484&lt;=0,"Kein Verbrauch; ","")&amp;IF(CR1484&gt;0,"Lift "&amp;W1484&amp;" lt. Liftbericht (Fach "&amp;X1484&amp;" Stk); ",IF(CB1484=1,"Gebinde geschätzt ("&amp;T1484&amp;"); ",IF(CA1484=1,"Lose – Tablare geschätzt; ","")))&amp;IF(H1484&gt;AW1484,"Überbestand "&amp;ROUND(H1484-AW1484,0)&amp;" Stk / CHF "&amp;ROUND((H1484-AW1484)*G1484,0)&amp;"; ","")&amp;IF(AND(CI1484=1,CJ1484&lt;CK1484),"MAX &lt; MB+LG; ","")&amp;IF(AND(CQ1484&gt;0,CP1484*10&gt;CQ1484),"zu hoch für Tablar; ","")&amp;IF(AND(BW1484=0,OR(CI1484=1,AB1484&lt;&gt;"",U1484&lt;&gt;"",V1484&lt;&gt;"",AC1484&lt;&gt;"")),"manuell übersteuert; ","")&amp;IF(AND(CA1484=0,R1484=0),"Gebinde unbekannt / Stellmass fehlt; ","")&amp;IF(AND(CA1484=0,N(V1484)&lt;=0,N(Q1484)&lt;=0),"Menge pro Gebinde fehlt (Ist = 1 Gebinde); ","")&amp;BV1484)</f>
        <v>Kein Verbrauch; Überbestand 10 Stk / CHF 87; nur im Artikelstamm (Bestand 23.06.2026)</v>
      </c>
      <c r="BO1484" s="60"/>
      <c r="BP1484" s="60"/>
      <c r="BQ1484" s="67"/>
      <c r="BR1484" s="62" t="n">
        <v>20</v>
      </c>
      <c r="BS1484" s="62" t="n">
        <v>0</v>
      </c>
      <c r="BT1484" s="61" t="n">
        <v>0</v>
      </c>
      <c r="BU1484" s="62" t="n">
        <v>0</v>
      </c>
      <c r="BV1484" s="60" t="s">
        <v>2617</v>
      </c>
      <c r="BW1484" s="65" t="n">
        <v>0</v>
      </c>
      <c r="BX1484" s="65" t="n">
        <v>1484</v>
      </c>
      <c r="BY1484" s="60" t="str">
        <f aca="false">IF(U1484&lt;&gt;"",UPPER(TRIM(U1484)),IF(CB1484=1,UPPER(VLOOKUP(T1484,Parameter!$I$27:$K$29,2,0)),IF(P1484="","LOSE",P1484)))</f>
        <v>S22</v>
      </c>
      <c r="BZ1484" s="62" t="n">
        <f aca="false">IF(BY1484="LOSE",1,IF(N(V1484)&gt;0,V1484,IF(CB1484=1,MAX(1,N(VLOOKUP(T1484,Parameter!$I$27:$K$29,3,0)),H1484,N(N1484)),IF(N(Q1484)&gt;0,Q1484,MAX(1,H1484)))))</f>
        <v>20</v>
      </c>
      <c r="CA1484" s="65" t="n">
        <f aca="false">IF(BY1484="LOSE",1,0)</f>
        <v>0</v>
      </c>
      <c r="CB1484" s="65" t="n">
        <f aca="false">IF(AND(U1484="",OR(P1484="",P1484="LOSE"),T1484&lt;&gt;"",N(S1484)&lt;=0,ISNUMBER(MATCH(T1484,Parameter!$I$27:$I$29,0))),1,0)</f>
        <v>0</v>
      </c>
      <c r="CC1484" s="65" t="n">
        <f aca="false">IF(CR1484&gt;0,INDEX(Parameter!$H$5:$H$7,W1484)/INDEX(Parameter!$E$5:$E$7,W1484),IF(AND(CA1484=0,N(IFERROR(VLOOKUP(BY1484,'Gebinde-Kategorie'!$A$5:$N$45,14,0),0))&gt;0),VLOOKUP(BY1484,'Gebinde-Kategorie'!$A$5:$N$45,14,0)*10+Parameter!$M$23,Parameter!$M$24))</f>
        <v>155</v>
      </c>
      <c r="CD1484" s="60" t="str">
        <f aca="false">IF(AND(Parameter!$B$19="Ja",E1484&lt;&gt;"",ISNUMBER(MATCH(E1484,Parameter!$I$35:$I$52,0))),VLOOKUP(E1484,Parameter!$I$35:$J$52,2,0),IFERROR(VLOOKUP(D1484,Parameter!$A$35:$C$64,2,0),"Nein"))</f>
        <v>2+3</v>
      </c>
      <c r="CE1484" s="64" t="n">
        <f aca="false">IF(CA1484=0,0,IF(N(S1484)&gt;0,S1484,IFERROR(VLOOKUP(D1484,Parameter!$A$35:$C$64,3,0)+0,0)))</f>
        <v>0</v>
      </c>
      <c r="CF1484" s="60" t="n">
        <f aca="false">IF(AB1484&lt;&gt;"",AB1484,AA1484)</f>
        <v>2</v>
      </c>
      <c r="CG1484" s="60" t="str">
        <f aca="false">IF(OR(CF1484=1,CF1484=2,CF1484=3),IF(Parameter!$E$27="Ja","LIFT",IF(CF1484=1,"L1","L23")),IF(CF1484="Aussen","Aussen","-"))</f>
        <v>LIFT</v>
      </c>
      <c r="CH1484" s="71" t="n">
        <f aca="false">IF(N(AC1484)&gt;0,AC1484,0)</f>
        <v>0</v>
      </c>
      <c r="CI1484" s="65" t="n">
        <f aca="false">IF(ISNUMBER(AF1484),1,0)</f>
        <v>0</v>
      </c>
      <c r="CJ1484" s="62" t="n">
        <f aca="false">N(AF1484)</f>
        <v>0</v>
      </c>
      <c r="CK1484" s="62" t="n">
        <f aca="false">N(M1484)+N(N1484)</f>
        <v>10</v>
      </c>
      <c r="CL1484" s="62" t="n">
        <f aca="false">N(M1484)</f>
        <v>0</v>
      </c>
      <c r="CM1484" s="62" t="n">
        <f aca="false">N(N1484)</f>
        <v>10</v>
      </c>
      <c r="CN1484" s="62" t="n">
        <f aca="false">ROUNDUP(H1484/BZ1484,0)</f>
        <v>1</v>
      </c>
      <c r="CO1484" s="62" t="n">
        <f aca="false">ROUNDUP(CJ1484/BZ1484,0)</f>
        <v>0</v>
      </c>
      <c r="CP1484" s="65" t="n">
        <f aca="false">IF(CA1484=1,0,IFERROR(VLOOKUP(BY1484,'Gebinde-Kategorie'!$A$5:$N$45,5,0)+0,0))</f>
        <v>8</v>
      </c>
      <c r="CQ1484" s="65" t="n">
        <f aca="false">IFERROR(IF(OR(CF1484=1,CF1484=2,CF1484=3),N(INDEX(Parameter!$I$5:$I$7,CF1484)),0),0)</f>
        <v>0</v>
      </c>
      <c r="CR1484" s="64" t="n">
        <f aca="false">IF(AND(Parameter!$B$21="Ja",ISNUMBER(W1484),N(X1484)&gt;0),IFERROR(N(INDEX(Parameter!$L$5:$L$7,W1484))*INDEX(Parameter!$E$5:$E$7,W1484)*X1484/SUMIFS($X$7:$X$1843,$W$7:$W$1843,W1484),0),0)</f>
        <v>0</v>
      </c>
      <c r="CS1484" s="62" t="n">
        <f aca="false">IF(AND(OR(CG1484="L1",CG1484="L23",CG1484="LIFT"),H1484&gt;0),CC1484*IF(CR1484&gt;0,CR1484*MAX(1,H1484/X1484),IF(CA1484=1,CE1484,IF(R1484&gt;0,CN1484/R1484,0))/MAX(0.1,N(Parameter!$M$21))),"")</f>
        <v>1.10714285714286</v>
      </c>
      <c r="CT1484" s="64" t="n">
        <f aca="false">IF(CS1484="","",J1484/H1484)</f>
        <v>0</v>
      </c>
      <c r="CU1484" s="62" t="n">
        <f aca="false">IF(CS1484="","",H1484*G1484)</f>
        <v>174</v>
      </c>
      <c r="CV1484" s="63" t="n">
        <f aca="false">IF(CS1484="","",(CL1484+ROUNDUP(CL1484+MAX(CM1484,2*(J1484/MAX(0.1,N(Einkauf!$C$6))-CL1484)),0))/2)</f>
        <v>5</v>
      </c>
      <c r="CW1484" s="62" t="n">
        <f aca="false">IF(CS1484="","",MAX(0,H1484-CV1484)*G1484)</f>
        <v>130.5</v>
      </c>
      <c r="CX1484" s="62" t="n">
        <f aca="false">IF(CS1484="","",CS1484*MAX(0,1-CV1484/H1484))</f>
        <v>0.830357142857143</v>
      </c>
      <c r="CY1484" s="64" t="n">
        <f aca="false">IF(CS1484="","",PERCENTRANK($CS$7:$CS$1843,CS1484)+PERCENTRANK($CU$7:$CU$1843,CU1484)+1-PERCENTRANK($CT$7:$CT$1843,CT1484))</f>
        <v>1.3754</v>
      </c>
      <c r="CZ1484" s="72" t="n">
        <f aca="false">IF(CS1484="","",CHOOSE(MATCH(Einkauf!$C$5,Parameter!$G$23:$G$27,0),CY1484,CS1484,CU1484,-CT1484,CW1484)+ROW()/1000000000)</f>
        <v>1.375401484</v>
      </c>
    </row>
    <row r="1485" customFormat="false" ht="15" hidden="false" customHeight="false" outlineLevel="0" collapsed="false">
      <c r="A1485" s="60" t="s">
        <v>2639</v>
      </c>
      <c r="B1485" s="60" t="s">
        <v>2171</v>
      </c>
      <c r="C1485" s="60" t="s">
        <v>206</v>
      </c>
      <c r="D1485" s="60" t="s">
        <v>226</v>
      </c>
      <c r="E1485" s="60" t="s">
        <v>227</v>
      </c>
      <c r="F1485" s="60"/>
      <c r="G1485" s="61" t="n">
        <v>172.47</v>
      </c>
      <c r="H1485" s="62" t="n">
        <f aca="false">MAX(0,IF(AND(Parameter!$B$21="Ja",ISNUMBER(Y1485)),Y1485,IF(Parameter!$B$20="Jahresanfang 2025 + Export",BS1485+BR1485,BR1485)))</f>
        <v>12</v>
      </c>
      <c r="I1485" s="62" t="n">
        <f aca="false">H1485*G1485</f>
        <v>2069.64</v>
      </c>
      <c r="J1485" s="62" t="n">
        <f aca="false">BU1485*Parameter!$B$18</f>
        <v>0</v>
      </c>
      <c r="K1485" s="63"/>
      <c r="L1485" s="64"/>
      <c r="M1485" s="62" t="n">
        <v>0</v>
      </c>
      <c r="N1485" s="62" t="n">
        <v>4</v>
      </c>
      <c r="O1485" s="65" t="n">
        <v>70</v>
      </c>
      <c r="P1485" s="60" t="s">
        <v>344</v>
      </c>
      <c r="Q1485" s="62" t="n">
        <v>12</v>
      </c>
      <c r="R1485" s="65" t="n">
        <f aca="false">IF(CA1485=1,0,IFERROR(VLOOKUP(BY1485,'Gebinde-Kategorie'!$A$5:$N$45,13,0)+0,0))</f>
        <v>26</v>
      </c>
      <c r="S1485" s="66"/>
      <c r="T1485" s="67"/>
      <c r="U1485" s="67"/>
      <c r="V1485" s="67"/>
      <c r="W1485" s="60"/>
      <c r="X1485" s="62"/>
      <c r="Y1485" s="62"/>
      <c r="Z1485" s="60" t="n">
        <v>3</v>
      </c>
      <c r="AA1485" s="60" t="n">
        <f aca="false">IF(A1485="","",IF(AND(Parameter!$B$21="Ja",ISNUMBER(W1485)),W1485,IF(AND(Parameter!$E$27="Ja",ISNUMBER(Z1485),CD1485&lt;&gt;"Nein"),Z1485,IF(CD1485="2+3",IF(ISNUMBER(SEARCH("grosser Artikel",BV1485)),2,IFERROR(VLOOKUP(BY1485,Parameter!$F$35:$G$64,2,0),2)),IF(OR(CD1485="Nein",CD1485=""),"-",CD1485)))))</f>
        <v>3</v>
      </c>
      <c r="AB1485" s="67"/>
      <c r="AC1485" s="68"/>
      <c r="AD1485" s="62" t="n">
        <f aca="false">AW1485</f>
        <v>4</v>
      </c>
      <c r="AE1485" s="62" t="n">
        <f aca="false">MAX(AW1485,H1485)</f>
        <v>12</v>
      </c>
      <c r="AF1485" s="69"/>
      <c r="AG1485" s="62" t="n">
        <f aca="false">IF(LEFT(Cockpit!$C$5,1)="A",H1485,IF(Parameter!$E$30="MAX-Bestand",IF(CI1485=1,CJ1485,IF(LEFT(Cockpit!$C$5,1)="B",AM1485,MAX(AM1485,H1485))),ROUNDUP(AK1485,0)))</f>
        <v>12</v>
      </c>
      <c r="AH1485" s="62" t="n">
        <f aca="false">IF(CA1485=1,0,ROUNDUP(AG1485/BZ1485,0))</f>
        <v>1</v>
      </c>
      <c r="AI1485" s="64" t="n">
        <f aca="false">IF(CR1485&gt;0,CR1485*MAX(1,AG1485/X1485),IF(CA1485=1,IF(AG1485&lt;=0,0,CE1485*MAX(1,IF(H1485&gt;0,AG1485/H1485,1))),IF(R1485&gt;0,AH1485/R1485,0))/MAX(0.1,N(Parameter!$M$21)))</f>
        <v>0.0384615384615385</v>
      </c>
      <c r="AJ1485" s="62" t="n">
        <f aca="false">AI1485*CC1485</f>
        <v>5.96153846153846</v>
      </c>
      <c r="AK1485" s="63" t="n">
        <f aca="false">IF(LEFT(Cockpit!$C$5,1)="A",H1485,IF(CI1485=1,(CL1485+CJ1485)/2,IF(LEFT(Cockpit!$C$5,1)="B",(CL1485+AM1485)/2,MAX((CL1485+AM1485)/2,H1485))))</f>
        <v>12</v>
      </c>
      <c r="AL1485" s="62" t="n">
        <f aca="false">AK1485*G1485</f>
        <v>2069.64</v>
      </c>
      <c r="AM1485" s="62" t="n">
        <f aca="false">ROUNDUP(CL1485+MAX(CM1485,2*(J1485/IF(CH1485&gt;0,CH1485,MAX(0.1,N(Cockpit!$C$6)))-CL1485)),0)</f>
        <v>4</v>
      </c>
      <c r="AN1485" s="63" t="n">
        <f aca="false">IF(AJ1485&gt;0,J1485/AJ1485,-1)</f>
        <v>0</v>
      </c>
      <c r="AO1485" s="63" t="n">
        <f aca="false">IF(AND(OR(CG1485="L1",CG1485="L23",CG1485="LIFT"),AJ1485&gt;0),SUMIFS($AJ$7:$AJ$1843,$CG$7:$CG$1843,CG1485,$AN$7:$AN$1843,"&gt;"&amp;AN1485)+SUMIFS($AJ$7:$AJ$1843,$CG$7:$CG$1843,CG1485,$AN$7:$AN$1843,AN1485,$BX$7:$BX$1843,"&lt;="&amp;BX1485),"")</f>
        <v>29756.2205511061</v>
      </c>
      <c r="AP1485" s="70" t="n">
        <f aca="false">IF(AO1485="",0,MAX(0,MIN(1,(IF(CG1485="L1",Parameter!$H$5,IF(CG1485="L23",Parameter!$H$6+Parameter!$H$7,Parameter!$H$5+Parameter!$H$6+Parameter!$H$7))-(AO1485-AJ1485))/AJ1485)))</f>
        <v>1</v>
      </c>
      <c r="AQ1485" s="62" t="n">
        <f aca="false">IF(LEFT(Cockpit!$I$5,1)="A",H1485,IF(Parameter!$E$30="MAX-Bestand",IF(CI1485=1,CJ1485,IF(LEFT(Cockpit!$I$5,1)="B",AW1485,MAX(AW1485,H1485))),ROUNDUP(AU1485,0)))</f>
        <v>12</v>
      </c>
      <c r="AR1485" s="62" t="n">
        <f aca="false">IF(CA1485=1,0,ROUNDUP(AQ1485/BZ1485,0))</f>
        <v>1</v>
      </c>
      <c r="AS1485" s="64" t="n">
        <f aca="false">IF(CR1485&gt;0,CR1485*MAX(1,AQ1485/X1485),IF(CA1485=1,IF(AQ1485&lt;=0,0,CE1485*MAX(1,IF(H1485&gt;0,AQ1485/H1485,1))),IF(R1485&gt;0,AR1485/R1485,0))/MAX(0.1,N(Parameter!$M$21)))</f>
        <v>0.0384615384615385</v>
      </c>
      <c r="AT1485" s="62" t="n">
        <f aca="false">AS1485*CC1485</f>
        <v>5.96153846153846</v>
      </c>
      <c r="AU1485" s="63" t="n">
        <f aca="false">IF(LEFT(Cockpit!$I$5,1)="A",H1485,IF(CI1485=1,(CL1485+CJ1485)/2,IF(LEFT(Cockpit!$I$5,1)="B",(CL1485+AW1485)/2,MAX((CL1485+AW1485)/2,H1485))))</f>
        <v>12</v>
      </c>
      <c r="AV1485" s="62" t="n">
        <f aca="false">AU1485*G1485</f>
        <v>2069.64</v>
      </c>
      <c r="AW1485" s="62" t="n">
        <f aca="false">ROUNDUP(CL1485+MAX(CM1485,2*(J1485/IF(CH1485&gt;0,CH1485,MAX(0.1,N(Cockpit!$I$6)))-CL1485)),0)</f>
        <v>4</v>
      </c>
      <c r="AX1485" s="63" t="n">
        <f aca="false">IF(AT1485&gt;0,J1485/AT1485,-1)</f>
        <v>0</v>
      </c>
      <c r="AY1485" s="63" t="n">
        <f aca="false">IF(AND(OR(CG1485="L1",CG1485="L23",CG1485="LIFT"),AT1485&gt;0),SUMIFS($AT$7:$AT$1843,$CG$7:$CG$1843,CG1485,$AX$7:$AX$1843,"&gt;"&amp;AX1485)+SUMIFS($AT$7:$AT$1843,$CG$7:$CG$1843,CG1485,$AX$7:$AX$1843,AX1485,$BX$7:$BX$1843,"&lt;="&amp;BX1485),"")</f>
        <v>36062.7913536558</v>
      </c>
      <c r="AZ1485" s="70" t="n">
        <f aca="false">IF(AY1485="",0,MAX(0,MIN(1,(IF(CG1485="L1",Parameter!$H$5,IF(CG1485="L23",Parameter!$H$6+Parameter!$H$7,Parameter!$H$5+Parameter!$H$6+Parameter!$H$7))-(AY1485-AT1485))/AT1485)))</f>
        <v>0</v>
      </c>
      <c r="BA1485" s="62" t="n">
        <f aca="false">IF(LEFT(Cockpit!$O$5,1)="A",H1485,IF(Parameter!$E$30="MAX-Bestand",IF(CI1485=1,CJ1485,IF(LEFT(Cockpit!$O$5,1)="B",BG1485,MAX(BG1485,H1485))),ROUNDUP(BE1485,0)))</f>
        <v>2</v>
      </c>
      <c r="BB1485" s="62" t="n">
        <f aca="false">IF(CA1485=1,0,ROUNDUP(BA1485/BZ1485,0))</f>
        <v>1</v>
      </c>
      <c r="BC1485" s="64" t="n">
        <f aca="false">IF(CR1485&gt;0,CR1485*MAX(1,BA1485/X1485),IF(CA1485=1,IF(BA1485&lt;=0,0,CE1485*MAX(1,IF(H1485&gt;0,BA1485/H1485,1))),IF(R1485&gt;0,BB1485/R1485,0))/MAX(0.1,N(Parameter!$M$21)))</f>
        <v>0.0384615384615385</v>
      </c>
      <c r="BD1485" s="62" t="n">
        <f aca="false">BC1485*CC1485</f>
        <v>5.96153846153846</v>
      </c>
      <c r="BE1485" s="63" t="n">
        <f aca="false">IF(LEFT(Cockpit!$O$5,1)="A",H1485,IF(CI1485=1,(CL1485+CJ1485)/2,IF(LEFT(Cockpit!$O$5,1)="B",(CL1485+BG1485)/2,MAX((CL1485+BG1485)/2,H1485))))</f>
        <v>2</v>
      </c>
      <c r="BF1485" s="62" t="n">
        <f aca="false">BE1485*G1485</f>
        <v>344.94</v>
      </c>
      <c r="BG1485" s="62" t="n">
        <f aca="false">ROUNDUP(CL1485+MAX(CM1485,2*(J1485/IF(CH1485&gt;0,CH1485,MAX(0.1,N(Cockpit!$O$6)))-CL1485)),0)</f>
        <v>4</v>
      </c>
      <c r="BH1485" s="63" t="n">
        <f aca="false">IF(BD1485&gt;0,J1485/BD1485,-1)</f>
        <v>0</v>
      </c>
      <c r="BI1485" s="63" t="n">
        <f aca="false">IF(AND(OR(CG1485="L1",CG1485="L23",CG1485="LIFT"),BD1485&gt;0),SUMIFS($BD$7:$BD$1843,$CG$7:$CG$1843,CG1485,$BH$7:$BH$1843,"&gt;"&amp;BH1485)+SUMIFS($BD$7:$BD$1843,$CG$7:$CG$1843,CG1485,$BH$7:$BH$1843,BH1485,$BX$7:$BX$1843,"&lt;="&amp;BX1485),"")</f>
        <v>30048.0980138035</v>
      </c>
      <c r="BJ1485" s="70" t="n">
        <f aca="false">IF(BI1485="",0,MAX(0,MIN(1,(IF(CG1485="L1",Parameter!$H$5,IF(CG1485="L23",Parameter!$H$6+Parameter!$H$7,Parameter!$H$5+Parameter!$H$6+Parameter!$H$7))-(BI1485-BD1485))/BD1485)))</f>
        <v>1</v>
      </c>
      <c r="BK1485" s="60" t="str">
        <f aca="false">IF(AJ1485&lt;=0,"",IF(CG1485="Aussen","Aussenlager",IF(CG1485="-","Nicht im Lift",IF(AP1485&gt;=1,"Lift",IF(AP1485&lt;=0,"Aussenlager","teilweise")))))</f>
        <v>Lift</v>
      </c>
      <c r="BL1485" s="60" t="str">
        <f aca="false">IF(AT1485&lt;=0,"",IF(CG1485="Aussen","Aussenlager",IF(CG1485="-","Nicht im Lift",IF(AZ1485&gt;=1,"Lift",IF(AZ1485&lt;=0,"Aussenlager","teilweise")))))</f>
        <v>Aussenlager</v>
      </c>
      <c r="BM1485" s="60" t="str">
        <f aca="false">IF(BD1485&lt;=0,"",IF(CG1485="Aussen","Aussenlager",IF(CG1485="-","Nicht im Lift",IF(BJ1485&gt;=1,"Lift",IF(BJ1485&lt;=0,"Aussenlager","teilweise")))))</f>
        <v>Lift</v>
      </c>
      <c r="BN1485" s="60" t="str">
        <f aca="false">IF(A1485="","",IF(BW1485=1,"Neu; ","")&amp;IF(AND(BW1485=0,BR1485&lt;0),"negativer Bestand (Export "&amp;BR1485&amp;"); ","")&amp;IF(J1485&lt;=0,"Kein Verbrauch; ","")&amp;IF(CR1485&gt;0,"Lift "&amp;W1485&amp;" lt. Liftbericht (Fach "&amp;X1485&amp;" Stk); ",IF(CB1485=1,"Gebinde geschätzt ("&amp;T1485&amp;"); ",IF(CA1485=1,"Lose – Tablare geschätzt; ","")))&amp;IF(H1485&gt;AW1485,"Überbestand "&amp;ROUND(H1485-AW1485,0)&amp;" Stk / CHF "&amp;ROUND((H1485-AW1485)*G1485,0)&amp;"; ","")&amp;IF(AND(CI1485=1,CJ1485&lt;CK1485),"MAX &lt; MB+LG; ","")&amp;IF(AND(CQ1485&gt;0,CP1485*10&gt;CQ1485),"zu hoch für Tablar; ","")&amp;IF(AND(BW1485=0,OR(CI1485=1,AB1485&lt;&gt;"",U1485&lt;&gt;"",V1485&lt;&gt;"",AC1485&lt;&gt;"")),"manuell übersteuert; ","")&amp;IF(AND(CA1485=0,R1485=0),"Gebinde unbekannt / Stellmass fehlt; ","")&amp;IF(AND(CA1485=0,N(V1485)&lt;=0,N(Q1485)&lt;=0),"Menge pro Gebinde fehlt (Ist = 1 Gebinde); ","")&amp;BV1485)</f>
        <v>Kein Verbrauch; Überbestand 8 Stk / CHF 1380; nur im Artikelstamm (Bestand 23.06.2026)</v>
      </c>
      <c r="BO1485" s="60"/>
      <c r="BP1485" s="60"/>
      <c r="BQ1485" s="67"/>
      <c r="BR1485" s="62" t="n">
        <v>12</v>
      </c>
      <c r="BS1485" s="62" t="n">
        <v>0</v>
      </c>
      <c r="BT1485" s="61" t="n">
        <v>0</v>
      </c>
      <c r="BU1485" s="62" t="n">
        <v>0</v>
      </c>
      <c r="BV1485" s="60" t="s">
        <v>2617</v>
      </c>
      <c r="BW1485" s="65" t="n">
        <v>0</v>
      </c>
      <c r="BX1485" s="65" t="n">
        <v>1485</v>
      </c>
      <c r="BY1485" s="60" t="str">
        <f aca="false">IF(U1485&lt;&gt;"",UPPER(TRIM(U1485)),IF(CB1485=1,UPPER(VLOOKUP(T1485,Parameter!$I$27:$K$29,2,0)),IF(P1485="","LOSE",P1485)))</f>
        <v>S51</v>
      </c>
      <c r="BZ1485" s="62" t="n">
        <f aca="false">IF(BY1485="LOSE",1,IF(N(V1485)&gt;0,V1485,IF(CB1485=1,MAX(1,N(VLOOKUP(T1485,Parameter!$I$27:$K$29,3,0)),H1485,N(N1485)),IF(N(Q1485)&gt;0,Q1485,MAX(1,H1485)))))</f>
        <v>12</v>
      </c>
      <c r="CA1485" s="65" t="n">
        <f aca="false">IF(BY1485="LOSE",1,0)</f>
        <v>0</v>
      </c>
      <c r="CB1485" s="65" t="n">
        <f aca="false">IF(AND(U1485="",OR(P1485="",P1485="LOSE"),T1485&lt;&gt;"",N(S1485)&lt;=0,ISNUMBER(MATCH(T1485,Parameter!$I$27:$I$29,0))),1,0)</f>
        <v>0</v>
      </c>
      <c r="CC1485" s="65" t="n">
        <f aca="false">IF(CR1485&gt;0,INDEX(Parameter!$H$5:$H$7,W1485)/INDEX(Parameter!$E$5:$E$7,W1485),IF(AND(CA1485=0,N(IFERROR(VLOOKUP(BY1485,'Gebinde-Kategorie'!$A$5:$N$45,14,0),0))&gt;0),VLOOKUP(BY1485,'Gebinde-Kategorie'!$A$5:$N$45,14,0)*10+Parameter!$M$23,Parameter!$M$24))</f>
        <v>155</v>
      </c>
      <c r="CD1485" s="60" t="str">
        <f aca="false">IF(AND(Parameter!$B$19="Ja",E1485&lt;&gt;"",ISNUMBER(MATCH(E1485,Parameter!$I$35:$I$52,0))),VLOOKUP(E1485,Parameter!$I$35:$J$52,2,0),IFERROR(VLOOKUP(D1485,Parameter!$A$35:$C$64,2,0),"Nein"))</f>
        <v>2+3</v>
      </c>
      <c r="CE1485" s="64" t="n">
        <f aca="false">IF(CA1485=0,0,IF(N(S1485)&gt;0,S1485,IFERROR(VLOOKUP(D1485,Parameter!$A$35:$C$64,3,0)+0,0)))</f>
        <v>0</v>
      </c>
      <c r="CF1485" s="60" t="n">
        <f aca="false">IF(AB1485&lt;&gt;"",AB1485,AA1485)</f>
        <v>3</v>
      </c>
      <c r="CG1485" s="60" t="str">
        <f aca="false">IF(OR(CF1485=1,CF1485=2,CF1485=3),IF(Parameter!$E$27="Ja","LIFT",IF(CF1485=1,"L1","L23")),IF(CF1485="Aussen","Aussen","-"))</f>
        <v>LIFT</v>
      </c>
      <c r="CH1485" s="71" t="n">
        <f aca="false">IF(N(AC1485)&gt;0,AC1485,0)</f>
        <v>0</v>
      </c>
      <c r="CI1485" s="65" t="n">
        <f aca="false">IF(ISNUMBER(AF1485),1,0)</f>
        <v>0</v>
      </c>
      <c r="CJ1485" s="62" t="n">
        <f aca="false">N(AF1485)</f>
        <v>0</v>
      </c>
      <c r="CK1485" s="62" t="n">
        <f aca="false">N(M1485)+N(N1485)</f>
        <v>4</v>
      </c>
      <c r="CL1485" s="62" t="n">
        <f aca="false">N(M1485)</f>
        <v>0</v>
      </c>
      <c r="CM1485" s="62" t="n">
        <f aca="false">N(N1485)</f>
        <v>4</v>
      </c>
      <c r="CN1485" s="62" t="n">
        <f aca="false">ROUNDUP(H1485/BZ1485,0)</f>
        <v>1</v>
      </c>
      <c r="CO1485" s="62" t="n">
        <f aca="false">ROUNDUP(CJ1485/BZ1485,0)</f>
        <v>0</v>
      </c>
      <c r="CP1485" s="65" t="n">
        <f aca="false">IF(CA1485=1,0,IFERROR(VLOOKUP(BY1485,'Gebinde-Kategorie'!$A$5:$N$45,5,0)+0,0))</f>
        <v>11</v>
      </c>
      <c r="CQ1485" s="65" t="n">
        <f aca="false">IFERROR(IF(OR(CF1485=1,CF1485=2,CF1485=3),N(INDEX(Parameter!$I$5:$I$7,CF1485)),0),0)</f>
        <v>0</v>
      </c>
      <c r="CR1485" s="64" t="n">
        <f aca="false">IF(AND(Parameter!$B$21="Ja",ISNUMBER(W1485),N(X1485)&gt;0),IFERROR(N(INDEX(Parameter!$L$5:$L$7,W1485))*INDEX(Parameter!$E$5:$E$7,W1485)*X1485/SUMIFS($X$7:$X$1843,$W$7:$W$1843,W1485),0),0)</f>
        <v>0</v>
      </c>
      <c r="CS1485" s="62" t="n">
        <f aca="false">IF(AND(OR(CG1485="L1",CG1485="L23",CG1485="LIFT"),H1485&gt;0),CC1485*IF(CR1485&gt;0,CR1485*MAX(1,H1485/X1485),IF(CA1485=1,CE1485,IF(R1485&gt;0,CN1485/R1485,0))/MAX(0.1,N(Parameter!$M$21))),"")</f>
        <v>5.96153846153846</v>
      </c>
      <c r="CT1485" s="64" t="n">
        <f aca="false">IF(CS1485="","",J1485/H1485)</f>
        <v>0</v>
      </c>
      <c r="CU1485" s="62" t="n">
        <f aca="false">IF(CS1485="","",H1485*G1485)</f>
        <v>2069.64</v>
      </c>
      <c r="CV1485" s="63" t="n">
        <f aca="false">IF(CS1485="","",(CL1485+ROUNDUP(CL1485+MAX(CM1485,2*(J1485/MAX(0.1,N(Einkauf!$C$6))-CL1485)),0))/2)</f>
        <v>2</v>
      </c>
      <c r="CW1485" s="62" t="n">
        <f aca="false">IF(CS1485="","",MAX(0,H1485-CV1485)*G1485)</f>
        <v>1724.7</v>
      </c>
      <c r="CX1485" s="62" t="n">
        <f aca="false">IF(CS1485="","",CS1485*MAX(0,1-CV1485/H1485))</f>
        <v>4.96794871794872</v>
      </c>
      <c r="CY1485" s="64" t="n">
        <f aca="false">IF(CS1485="","",PERCENTRANK($CS$7:$CS$1843,CS1485)+PERCENTRANK($CU$7:$CU$1843,CU1485)+1-PERCENTRANK($CT$7:$CT$1843,CT1485))</f>
        <v>2.134</v>
      </c>
      <c r="CZ1485" s="72" t="n">
        <f aca="false">IF(CS1485="","",CHOOSE(MATCH(Einkauf!$C$5,Parameter!$G$23:$G$27,0),CY1485,CS1485,CU1485,-CT1485,CW1485)+ROW()/1000000000)</f>
        <v>2.134001485</v>
      </c>
    </row>
    <row r="1486" customFormat="false" ht="15" hidden="false" customHeight="false" outlineLevel="0" collapsed="false">
      <c r="A1486" s="60" t="s">
        <v>2640</v>
      </c>
      <c r="B1486" s="60" t="s">
        <v>2641</v>
      </c>
      <c r="C1486" s="60" t="s">
        <v>206</v>
      </c>
      <c r="D1486" s="60" t="s">
        <v>226</v>
      </c>
      <c r="E1486" s="60" t="s">
        <v>227</v>
      </c>
      <c r="F1486" s="60"/>
      <c r="G1486" s="61" t="n">
        <v>78.1</v>
      </c>
      <c r="H1486" s="62" t="n">
        <f aca="false">MAX(0,IF(AND(Parameter!$B$21="Ja",ISNUMBER(Y1486)),Y1486,IF(Parameter!$B$20="Jahresanfang 2025 + Export",BS1486+BR1486,BR1486)))</f>
        <v>2</v>
      </c>
      <c r="I1486" s="62" t="n">
        <f aca="false">H1486*G1486</f>
        <v>156.2</v>
      </c>
      <c r="J1486" s="62" t="n">
        <f aca="false">BU1486*Parameter!$B$18</f>
        <v>0</v>
      </c>
      <c r="K1486" s="63"/>
      <c r="L1486" s="64"/>
      <c r="M1486" s="62" t="n">
        <v>0</v>
      </c>
      <c r="N1486" s="62" t="n">
        <v>1</v>
      </c>
      <c r="O1486" s="65" t="n">
        <v>21</v>
      </c>
      <c r="P1486" s="60" t="s">
        <v>468</v>
      </c>
      <c r="Q1486" s="62" t="n">
        <v>2</v>
      </c>
      <c r="R1486" s="65" t="n">
        <f aca="false">IF(CA1486=1,0,IFERROR(VLOOKUP(BY1486,'Gebinde-Kategorie'!$A$5:$N$45,13,0)+0,0))</f>
        <v>140</v>
      </c>
      <c r="S1486" s="66"/>
      <c r="T1486" s="67"/>
      <c r="U1486" s="67"/>
      <c r="V1486" s="67"/>
      <c r="W1486" s="60"/>
      <c r="X1486" s="62"/>
      <c r="Y1486" s="62"/>
      <c r="Z1486" s="60" t="n">
        <v>2</v>
      </c>
      <c r="AA1486" s="60" t="n">
        <f aca="false">IF(A1486="","",IF(AND(Parameter!$B$21="Ja",ISNUMBER(W1486)),W1486,IF(AND(Parameter!$E$27="Ja",ISNUMBER(Z1486),CD1486&lt;&gt;"Nein"),Z1486,IF(CD1486="2+3",IF(ISNUMBER(SEARCH("grosser Artikel",BV1486)),2,IFERROR(VLOOKUP(BY1486,Parameter!$F$35:$G$64,2,0),2)),IF(OR(CD1486="Nein",CD1486=""),"-",CD1486)))))</f>
        <v>2</v>
      </c>
      <c r="AB1486" s="67"/>
      <c r="AC1486" s="68"/>
      <c r="AD1486" s="62" t="n">
        <f aca="false">AW1486</f>
        <v>1</v>
      </c>
      <c r="AE1486" s="62" t="n">
        <f aca="false">MAX(AW1486,H1486)</f>
        <v>2</v>
      </c>
      <c r="AF1486" s="69"/>
      <c r="AG1486" s="62" t="n">
        <f aca="false">IF(LEFT(Cockpit!$C$5,1)="A",H1486,IF(Parameter!$E$30="MAX-Bestand",IF(CI1486=1,CJ1486,IF(LEFT(Cockpit!$C$5,1)="B",AM1486,MAX(AM1486,H1486))),ROUNDUP(AK1486,0)))</f>
        <v>2</v>
      </c>
      <c r="AH1486" s="62" t="n">
        <f aca="false">IF(CA1486=1,0,ROUNDUP(AG1486/BZ1486,0))</f>
        <v>1</v>
      </c>
      <c r="AI1486" s="64" t="n">
        <f aca="false">IF(CR1486&gt;0,CR1486*MAX(1,AG1486/X1486),IF(CA1486=1,IF(AG1486&lt;=0,0,CE1486*MAX(1,IF(H1486&gt;0,AG1486/H1486,1))),IF(R1486&gt;0,AH1486/R1486,0))/MAX(0.1,N(Parameter!$M$21)))</f>
        <v>0.00714285714285714</v>
      </c>
      <c r="AJ1486" s="62" t="n">
        <f aca="false">AI1486*CC1486</f>
        <v>1.10714285714286</v>
      </c>
      <c r="AK1486" s="63" t="n">
        <f aca="false">IF(LEFT(Cockpit!$C$5,1)="A",H1486,IF(CI1486=1,(CL1486+CJ1486)/2,IF(LEFT(Cockpit!$C$5,1)="B",(CL1486+AM1486)/2,MAX((CL1486+AM1486)/2,H1486))))</f>
        <v>2</v>
      </c>
      <c r="AL1486" s="62" t="n">
        <f aca="false">AK1486*G1486</f>
        <v>156.2</v>
      </c>
      <c r="AM1486" s="62" t="n">
        <f aca="false">ROUNDUP(CL1486+MAX(CM1486,2*(J1486/IF(CH1486&gt;0,CH1486,MAX(0.1,N(Cockpit!$C$6)))-CL1486)),0)</f>
        <v>1</v>
      </c>
      <c r="AN1486" s="63" t="n">
        <f aca="false">IF(AJ1486&gt;0,J1486/AJ1486,-1)</f>
        <v>0</v>
      </c>
      <c r="AO1486" s="63" t="n">
        <f aca="false">IF(AND(OR(CG1486="L1",CG1486="L23",CG1486="LIFT"),AJ1486&gt;0),SUMIFS($AJ$7:$AJ$1843,$CG$7:$CG$1843,CG1486,$AN$7:$AN$1843,"&gt;"&amp;AN1486)+SUMIFS($AJ$7:$AJ$1843,$CG$7:$CG$1843,CG1486,$AN$7:$AN$1843,AN1486,$BX$7:$BX$1843,"&lt;="&amp;BX1486),"")</f>
        <v>29757.3276939633</v>
      </c>
      <c r="AP1486" s="70" t="n">
        <f aca="false">IF(AO1486="",0,MAX(0,MIN(1,(IF(CG1486="L1",Parameter!$H$5,IF(CG1486="L23",Parameter!$H$6+Parameter!$H$7,Parameter!$H$5+Parameter!$H$6+Parameter!$H$7))-(AO1486-AJ1486))/AJ1486)))</f>
        <v>1</v>
      </c>
      <c r="AQ1486" s="62" t="n">
        <f aca="false">IF(LEFT(Cockpit!$I$5,1)="A",H1486,IF(Parameter!$E$30="MAX-Bestand",IF(CI1486=1,CJ1486,IF(LEFT(Cockpit!$I$5,1)="B",AW1486,MAX(AW1486,H1486))),ROUNDUP(AU1486,0)))</f>
        <v>2</v>
      </c>
      <c r="AR1486" s="62" t="n">
        <f aca="false">IF(CA1486=1,0,ROUNDUP(AQ1486/BZ1486,0))</f>
        <v>1</v>
      </c>
      <c r="AS1486" s="64" t="n">
        <f aca="false">IF(CR1486&gt;0,CR1486*MAX(1,AQ1486/X1486),IF(CA1486=1,IF(AQ1486&lt;=0,0,CE1486*MAX(1,IF(H1486&gt;0,AQ1486/H1486,1))),IF(R1486&gt;0,AR1486/R1486,0))/MAX(0.1,N(Parameter!$M$21)))</f>
        <v>0.00714285714285714</v>
      </c>
      <c r="AT1486" s="62" t="n">
        <f aca="false">AS1486*CC1486</f>
        <v>1.10714285714286</v>
      </c>
      <c r="AU1486" s="63" t="n">
        <f aca="false">IF(LEFT(Cockpit!$I$5,1)="A",H1486,IF(CI1486=1,(CL1486+CJ1486)/2,IF(LEFT(Cockpit!$I$5,1)="B",(CL1486+AW1486)/2,MAX((CL1486+AW1486)/2,H1486))))</f>
        <v>2</v>
      </c>
      <c r="AV1486" s="62" t="n">
        <f aca="false">AU1486*G1486</f>
        <v>156.2</v>
      </c>
      <c r="AW1486" s="62" t="n">
        <f aca="false">ROUNDUP(CL1486+MAX(CM1486,2*(J1486/IF(CH1486&gt;0,CH1486,MAX(0.1,N(Cockpit!$I$6)))-CL1486)),0)</f>
        <v>1</v>
      </c>
      <c r="AX1486" s="63" t="n">
        <f aca="false">IF(AT1486&gt;0,J1486/AT1486,-1)</f>
        <v>0</v>
      </c>
      <c r="AY1486" s="63" t="n">
        <f aca="false">IF(AND(OR(CG1486="L1",CG1486="L23",CG1486="LIFT"),AT1486&gt;0),SUMIFS($AT$7:$AT$1843,$CG$7:$CG$1843,CG1486,$AX$7:$AX$1843,"&gt;"&amp;AX1486)+SUMIFS($AT$7:$AT$1843,$CG$7:$CG$1843,CG1486,$AX$7:$AX$1843,AX1486,$BX$7:$BX$1843,"&lt;="&amp;BX1486),"")</f>
        <v>36063.8984965129</v>
      </c>
      <c r="AZ1486" s="70" t="n">
        <f aca="false">IF(AY1486="",0,MAX(0,MIN(1,(IF(CG1486="L1",Parameter!$H$5,IF(CG1486="L23",Parameter!$H$6+Parameter!$H$7,Parameter!$H$5+Parameter!$H$6+Parameter!$H$7))-(AY1486-AT1486))/AT1486)))</f>
        <v>0</v>
      </c>
      <c r="BA1486" s="62" t="n">
        <f aca="false">IF(LEFT(Cockpit!$O$5,1)="A",H1486,IF(Parameter!$E$30="MAX-Bestand",IF(CI1486=1,CJ1486,IF(LEFT(Cockpit!$O$5,1)="B",BG1486,MAX(BG1486,H1486))),ROUNDUP(BE1486,0)))</f>
        <v>1</v>
      </c>
      <c r="BB1486" s="62" t="n">
        <f aca="false">IF(CA1486=1,0,ROUNDUP(BA1486/BZ1486,0))</f>
        <v>1</v>
      </c>
      <c r="BC1486" s="64" t="n">
        <f aca="false">IF(CR1486&gt;0,CR1486*MAX(1,BA1486/X1486),IF(CA1486=1,IF(BA1486&lt;=0,0,CE1486*MAX(1,IF(H1486&gt;0,BA1486/H1486,1))),IF(R1486&gt;0,BB1486/R1486,0))/MAX(0.1,N(Parameter!$M$21)))</f>
        <v>0.00714285714285714</v>
      </c>
      <c r="BD1486" s="62" t="n">
        <f aca="false">BC1486*CC1486</f>
        <v>1.10714285714286</v>
      </c>
      <c r="BE1486" s="63" t="n">
        <f aca="false">IF(LEFT(Cockpit!$O$5,1)="A",H1486,IF(CI1486=1,(CL1486+CJ1486)/2,IF(LEFT(Cockpit!$O$5,1)="B",(CL1486+BG1486)/2,MAX((CL1486+BG1486)/2,H1486))))</f>
        <v>0.5</v>
      </c>
      <c r="BF1486" s="62" t="n">
        <f aca="false">BE1486*G1486</f>
        <v>39.05</v>
      </c>
      <c r="BG1486" s="62" t="n">
        <f aca="false">ROUNDUP(CL1486+MAX(CM1486,2*(J1486/IF(CH1486&gt;0,CH1486,MAX(0.1,N(Cockpit!$O$6)))-CL1486)),0)</f>
        <v>1</v>
      </c>
      <c r="BH1486" s="63" t="n">
        <f aca="false">IF(BD1486&gt;0,J1486/BD1486,-1)</f>
        <v>0</v>
      </c>
      <c r="BI1486" s="63" t="n">
        <f aca="false">IF(AND(OR(CG1486="L1",CG1486="L23",CG1486="LIFT"),BD1486&gt;0),SUMIFS($BD$7:$BD$1843,$CG$7:$CG$1843,CG1486,$BH$7:$BH$1843,"&gt;"&amp;BH1486)+SUMIFS($BD$7:$BD$1843,$CG$7:$CG$1843,CG1486,$BH$7:$BH$1843,BH1486,$BX$7:$BX$1843,"&lt;="&amp;BX1486),"")</f>
        <v>30049.2051566607</v>
      </c>
      <c r="BJ1486" s="70" t="n">
        <f aca="false">IF(BI1486="",0,MAX(0,MIN(1,(IF(CG1486="L1",Parameter!$H$5,IF(CG1486="L23",Parameter!$H$6+Parameter!$H$7,Parameter!$H$5+Parameter!$H$6+Parameter!$H$7))-(BI1486-BD1486))/BD1486)))</f>
        <v>1</v>
      </c>
      <c r="BK1486" s="60" t="str">
        <f aca="false">IF(AJ1486&lt;=0,"",IF(CG1486="Aussen","Aussenlager",IF(CG1486="-","Nicht im Lift",IF(AP1486&gt;=1,"Lift",IF(AP1486&lt;=0,"Aussenlager","teilweise")))))</f>
        <v>Lift</v>
      </c>
      <c r="BL1486" s="60" t="str">
        <f aca="false">IF(AT1486&lt;=0,"",IF(CG1486="Aussen","Aussenlager",IF(CG1486="-","Nicht im Lift",IF(AZ1486&gt;=1,"Lift",IF(AZ1486&lt;=0,"Aussenlager","teilweise")))))</f>
        <v>Aussenlager</v>
      </c>
      <c r="BM1486" s="60" t="str">
        <f aca="false">IF(BD1486&lt;=0,"",IF(CG1486="Aussen","Aussenlager",IF(CG1486="-","Nicht im Lift",IF(BJ1486&gt;=1,"Lift",IF(BJ1486&lt;=0,"Aussenlager","teilweise")))))</f>
        <v>Lift</v>
      </c>
      <c r="BN1486" s="60" t="str">
        <f aca="false">IF(A1486="","",IF(BW1486=1,"Neu; ","")&amp;IF(AND(BW1486=0,BR1486&lt;0),"negativer Bestand (Export "&amp;BR1486&amp;"); ","")&amp;IF(J1486&lt;=0,"Kein Verbrauch; ","")&amp;IF(CR1486&gt;0,"Lift "&amp;W1486&amp;" lt. Liftbericht (Fach "&amp;X1486&amp;" Stk); ",IF(CB1486=1,"Gebinde geschätzt ("&amp;T1486&amp;"); ",IF(CA1486=1,"Lose – Tablare geschätzt; ","")))&amp;IF(H1486&gt;AW1486,"Überbestand "&amp;ROUND(H1486-AW1486,0)&amp;" Stk / CHF "&amp;ROUND((H1486-AW1486)*G1486,0)&amp;"; ","")&amp;IF(AND(CI1486=1,CJ1486&lt;CK1486),"MAX &lt; MB+LG; ","")&amp;IF(AND(CQ1486&gt;0,CP1486*10&gt;CQ1486),"zu hoch für Tablar; ","")&amp;IF(AND(BW1486=0,OR(CI1486=1,AB1486&lt;&gt;"",U1486&lt;&gt;"",V1486&lt;&gt;"",AC1486&lt;&gt;"")),"manuell übersteuert; ","")&amp;IF(AND(CA1486=0,R1486=0),"Gebinde unbekannt / Stellmass fehlt; ","")&amp;IF(AND(CA1486=0,N(V1486)&lt;=0,N(Q1486)&lt;=0),"Menge pro Gebinde fehlt (Ist = 1 Gebinde); ","")&amp;BV1486)</f>
        <v>Kein Verbrauch; Überbestand 1 Stk / CHF 78; nur im Artikelstamm (Bestand 23.06.2026)</v>
      </c>
      <c r="BO1486" s="60"/>
      <c r="BP1486" s="60"/>
      <c r="BQ1486" s="67"/>
      <c r="BR1486" s="62" t="n">
        <v>2</v>
      </c>
      <c r="BS1486" s="62" t="n">
        <v>0</v>
      </c>
      <c r="BT1486" s="61" t="n">
        <v>0</v>
      </c>
      <c r="BU1486" s="62" t="n">
        <v>0</v>
      </c>
      <c r="BV1486" s="60" t="s">
        <v>2617</v>
      </c>
      <c r="BW1486" s="65" t="n">
        <v>0</v>
      </c>
      <c r="BX1486" s="65" t="n">
        <v>1486</v>
      </c>
      <c r="BY1486" s="60" t="str">
        <f aca="false">IF(U1486&lt;&gt;"",UPPER(TRIM(U1486)),IF(CB1486=1,UPPER(VLOOKUP(T1486,Parameter!$I$27:$K$29,2,0)),IF(P1486="","LOSE",P1486)))</f>
        <v>S22</v>
      </c>
      <c r="BZ1486" s="62" t="n">
        <f aca="false">IF(BY1486="LOSE",1,IF(N(V1486)&gt;0,V1486,IF(CB1486=1,MAX(1,N(VLOOKUP(T1486,Parameter!$I$27:$K$29,3,0)),H1486,N(N1486)),IF(N(Q1486)&gt;0,Q1486,MAX(1,H1486)))))</f>
        <v>2</v>
      </c>
      <c r="CA1486" s="65" t="n">
        <f aca="false">IF(BY1486="LOSE",1,0)</f>
        <v>0</v>
      </c>
      <c r="CB1486" s="65" t="n">
        <f aca="false">IF(AND(U1486="",OR(P1486="",P1486="LOSE"),T1486&lt;&gt;"",N(S1486)&lt;=0,ISNUMBER(MATCH(T1486,Parameter!$I$27:$I$29,0))),1,0)</f>
        <v>0</v>
      </c>
      <c r="CC1486" s="65" t="n">
        <f aca="false">IF(CR1486&gt;0,INDEX(Parameter!$H$5:$H$7,W1486)/INDEX(Parameter!$E$5:$E$7,W1486),IF(AND(CA1486=0,N(IFERROR(VLOOKUP(BY1486,'Gebinde-Kategorie'!$A$5:$N$45,14,0),0))&gt;0),VLOOKUP(BY1486,'Gebinde-Kategorie'!$A$5:$N$45,14,0)*10+Parameter!$M$23,Parameter!$M$24))</f>
        <v>155</v>
      </c>
      <c r="CD1486" s="60" t="str">
        <f aca="false">IF(AND(Parameter!$B$19="Ja",E1486&lt;&gt;"",ISNUMBER(MATCH(E1486,Parameter!$I$35:$I$52,0))),VLOOKUP(E1486,Parameter!$I$35:$J$52,2,0),IFERROR(VLOOKUP(D1486,Parameter!$A$35:$C$64,2,0),"Nein"))</f>
        <v>2+3</v>
      </c>
      <c r="CE1486" s="64" t="n">
        <f aca="false">IF(CA1486=0,0,IF(N(S1486)&gt;0,S1486,IFERROR(VLOOKUP(D1486,Parameter!$A$35:$C$64,3,0)+0,0)))</f>
        <v>0</v>
      </c>
      <c r="CF1486" s="60" t="n">
        <f aca="false">IF(AB1486&lt;&gt;"",AB1486,AA1486)</f>
        <v>2</v>
      </c>
      <c r="CG1486" s="60" t="str">
        <f aca="false">IF(OR(CF1486=1,CF1486=2,CF1486=3),IF(Parameter!$E$27="Ja","LIFT",IF(CF1486=1,"L1","L23")),IF(CF1486="Aussen","Aussen","-"))</f>
        <v>LIFT</v>
      </c>
      <c r="CH1486" s="71" t="n">
        <f aca="false">IF(N(AC1486)&gt;0,AC1486,0)</f>
        <v>0</v>
      </c>
      <c r="CI1486" s="65" t="n">
        <f aca="false">IF(ISNUMBER(AF1486),1,0)</f>
        <v>0</v>
      </c>
      <c r="CJ1486" s="62" t="n">
        <f aca="false">N(AF1486)</f>
        <v>0</v>
      </c>
      <c r="CK1486" s="62" t="n">
        <f aca="false">N(M1486)+N(N1486)</f>
        <v>1</v>
      </c>
      <c r="CL1486" s="62" t="n">
        <f aca="false">N(M1486)</f>
        <v>0</v>
      </c>
      <c r="CM1486" s="62" t="n">
        <f aca="false">N(N1486)</f>
        <v>1</v>
      </c>
      <c r="CN1486" s="62" t="n">
        <f aca="false">ROUNDUP(H1486/BZ1486,0)</f>
        <v>1</v>
      </c>
      <c r="CO1486" s="62" t="n">
        <f aca="false">ROUNDUP(CJ1486/BZ1486,0)</f>
        <v>0</v>
      </c>
      <c r="CP1486" s="65" t="n">
        <f aca="false">IF(CA1486=1,0,IFERROR(VLOOKUP(BY1486,'Gebinde-Kategorie'!$A$5:$N$45,5,0)+0,0))</f>
        <v>8</v>
      </c>
      <c r="CQ1486" s="65" t="n">
        <f aca="false">IFERROR(IF(OR(CF1486=1,CF1486=2,CF1486=3),N(INDEX(Parameter!$I$5:$I$7,CF1486)),0),0)</f>
        <v>0</v>
      </c>
      <c r="CR1486" s="64" t="n">
        <f aca="false">IF(AND(Parameter!$B$21="Ja",ISNUMBER(W1486),N(X1486)&gt;0),IFERROR(N(INDEX(Parameter!$L$5:$L$7,W1486))*INDEX(Parameter!$E$5:$E$7,W1486)*X1486/SUMIFS($X$7:$X$1843,$W$7:$W$1843,W1486),0),0)</f>
        <v>0</v>
      </c>
      <c r="CS1486" s="62" t="n">
        <f aca="false">IF(AND(OR(CG1486="L1",CG1486="L23",CG1486="LIFT"),H1486&gt;0),CC1486*IF(CR1486&gt;0,CR1486*MAX(1,H1486/X1486),IF(CA1486=1,CE1486,IF(R1486&gt;0,CN1486/R1486,0))/MAX(0.1,N(Parameter!$M$21))),"")</f>
        <v>1.10714285714286</v>
      </c>
      <c r="CT1486" s="64" t="n">
        <f aca="false">IF(CS1486="","",J1486/H1486)</f>
        <v>0</v>
      </c>
      <c r="CU1486" s="62" t="n">
        <f aca="false">IF(CS1486="","",H1486*G1486)</f>
        <v>156.2</v>
      </c>
      <c r="CV1486" s="63" t="n">
        <f aca="false">IF(CS1486="","",(CL1486+ROUNDUP(CL1486+MAX(CM1486,2*(J1486/MAX(0.1,N(Einkauf!$C$6))-CL1486)),0))/2)</f>
        <v>0.5</v>
      </c>
      <c r="CW1486" s="62" t="n">
        <f aca="false">IF(CS1486="","",MAX(0,H1486-CV1486)*G1486)</f>
        <v>117.15</v>
      </c>
      <c r="CX1486" s="62" t="n">
        <f aca="false">IF(CS1486="","",CS1486*MAX(0,1-CV1486/H1486))</f>
        <v>0.830357142857143</v>
      </c>
      <c r="CY1486" s="64" t="n">
        <f aca="false">IF(CS1486="","",PERCENTRANK($CS$7:$CS$1843,CS1486)+PERCENTRANK($CU$7:$CU$1843,CU1486)+1-PERCENTRANK($CT$7:$CT$1843,CT1486))</f>
        <v>1.3574</v>
      </c>
      <c r="CZ1486" s="72" t="n">
        <f aca="false">IF(CS1486="","",CHOOSE(MATCH(Einkauf!$C$5,Parameter!$G$23:$G$27,0),CY1486,CS1486,CU1486,-CT1486,CW1486)+ROW()/1000000000)</f>
        <v>1.357401486</v>
      </c>
    </row>
    <row r="1487" customFormat="false" ht="15" hidden="false" customHeight="false" outlineLevel="0" collapsed="false">
      <c r="A1487" s="60" t="s">
        <v>2642</v>
      </c>
      <c r="B1487" s="60" t="s">
        <v>1775</v>
      </c>
      <c r="C1487" s="60" t="s">
        <v>206</v>
      </c>
      <c r="D1487" s="60" t="s">
        <v>226</v>
      </c>
      <c r="E1487" s="60" t="s">
        <v>227</v>
      </c>
      <c r="F1487" s="60"/>
      <c r="G1487" s="61" t="n">
        <v>16.36</v>
      </c>
      <c r="H1487" s="62" t="n">
        <f aca="false">MAX(0,IF(AND(Parameter!$B$21="Ja",ISNUMBER(Y1487)),Y1487,IF(Parameter!$B$20="Jahresanfang 2025 + Export",BS1487+BR1487,BR1487)))</f>
        <v>7</v>
      </c>
      <c r="I1487" s="62" t="n">
        <f aca="false">H1487*G1487</f>
        <v>114.52</v>
      </c>
      <c r="J1487" s="62" t="n">
        <f aca="false">BU1487*Parameter!$B$18</f>
        <v>0</v>
      </c>
      <c r="K1487" s="63"/>
      <c r="L1487" s="64"/>
      <c r="M1487" s="62" t="n">
        <v>0</v>
      </c>
      <c r="N1487" s="62" t="n">
        <v>5</v>
      </c>
      <c r="O1487" s="65" t="n">
        <v>28</v>
      </c>
      <c r="P1487" s="60" t="s">
        <v>463</v>
      </c>
      <c r="Q1487" s="62" t="n">
        <v>7</v>
      </c>
      <c r="R1487" s="65" t="n">
        <f aca="false">IF(CA1487=1,0,IFERROR(VLOOKUP(BY1487,'Gebinde-Kategorie'!$A$5:$N$45,13,0)+0,0))</f>
        <v>104</v>
      </c>
      <c r="S1487" s="66"/>
      <c r="T1487" s="67"/>
      <c r="U1487" s="67"/>
      <c r="V1487" s="67"/>
      <c r="W1487" s="60"/>
      <c r="X1487" s="62"/>
      <c r="Y1487" s="62"/>
      <c r="Z1487" s="60" t="n">
        <v>1</v>
      </c>
      <c r="AA1487" s="60" t="n">
        <f aca="false">IF(A1487="","",IF(AND(Parameter!$B$21="Ja",ISNUMBER(W1487)),W1487,IF(AND(Parameter!$E$27="Ja",ISNUMBER(Z1487),CD1487&lt;&gt;"Nein"),Z1487,IF(CD1487="2+3",IF(ISNUMBER(SEARCH("grosser Artikel",BV1487)),2,IFERROR(VLOOKUP(BY1487,Parameter!$F$35:$G$64,2,0),2)),IF(OR(CD1487="Nein",CD1487=""),"-",CD1487)))))</f>
        <v>1</v>
      </c>
      <c r="AB1487" s="67"/>
      <c r="AC1487" s="68"/>
      <c r="AD1487" s="62" t="n">
        <f aca="false">AW1487</f>
        <v>5</v>
      </c>
      <c r="AE1487" s="62" t="n">
        <f aca="false">MAX(AW1487,H1487)</f>
        <v>7</v>
      </c>
      <c r="AF1487" s="69"/>
      <c r="AG1487" s="62" t="n">
        <f aca="false">IF(LEFT(Cockpit!$C$5,1)="A",H1487,IF(Parameter!$E$30="MAX-Bestand",IF(CI1487=1,CJ1487,IF(LEFT(Cockpit!$C$5,1)="B",AM1487,MAX(AM1487,H1487))),ROUNDUP(AK1487,0)))</f>
        <v>7</v>
      </c>
      <c r="AH1487" s="62" t="n">
        <f aca="false">IF(CA1487=1,0,ROUNDUP(AG1487/BZ1487,0))</f>
        <v>1</v>
      </c>
      <c r="AI1487" s="64" t="n">
        <f aca="false">IF(CR1487&gt;0,CR1487*MAX(1,AG1487/X1487),IF(CA1487=1,IF(AG1487&lt;=0,0,CE1487*MAX(1,IF(H1487&gt;0,AG1487/H1487,1))),IF(R1487&gt;0,AH1487/R1487,0))/MAX(0.1,N(Parameter!$M$21)))</f>
        <v>0.00961538461538462</v>
      </c>
      <c r="AJ1487" s="62" t="n">
        <f aca="false">AI1487*CC1487</f>
        <v>1.49038461538462</v>
      </c>
      <c r="AK1487" s="63" t="n">
        <f aca="false">IF(LEFT(Cockpit!$C$5,1)="A",H1487,IF(CI1487=1,(CL1487+CJ1487)/2,IF(LEFT(Cockpit!$C$5,1)="B",(CL1487+AM1487)/2,MAX((CL1487+AM1487)/2,H1487))))</f>
        <v>7</v>
      </c>
      <c r="AL1487" s="62" t="n">
        <f aca="false">AK1487*G1487</f>
        <v>114.52</v>
      </c>
      <c r="AM1487" s="62" t="n">
        <f aca="false">ROUNDUP(CL1487+MAX(CM1487,2*(J1487/IF(CH1487&gt;0,CH1487,MAX(0.1,N(Cockpit!$C$6)))-CL1487)),0)</f>
        <v>5</v>
      </c>
      <c r="AN1487" s="63" t="n">
        <f aca="false">IF(AJ1487&gt;0,J1487/AJ1487,-1)</f>
        <v>0</v>
      </c>
      <c r="AO1487" s="63" t="n">
        <f aca="false">IF(AND(OR(CG1487="L1",CG1487="L23",CG1487="LIFT"),AJ1487&gt;0),SUMIFS($AJ$7:$AJ$1843,$CG$7:$CG$1843,CG1487,$AN$7:$AN$1843,"&gt;"&amp;AN1487)+SUMIFS($AJ$7:$AJ$1843,$CG$7:$CG$1843,CG1487,$AN$7:$AN$1843,AN1487,$BX$7:$BX$1843,"&lt;="&amp;BX1487),"")</f>
        <v>29758.8180785787</v>
      </c>
      <c r="AP1487" s="70" t="n">
        <f aca="false">IF(AO1487="",0,MAX(0,MIN(1,(IF(CG1487="L1",Parameter!$H$5,IF(CG1487="L23",Parameter!$H$6+Parameter!$H$7,Parameter!$H$5+Parameter!$H$6+Parameter!$H$7))-(AO1487-AJ1487))/AJ1487)))</f>
        <v>1</v>
      </c>
      <c r="AQ1487" s="62" t="n">
        <f aca="false">IF(LEFT(Cockpit!$I$5,1)="A",H1487,IF(Parameter!$E$30="MAX-Bestand",IF(CI1487=1,CJ1487,IF(LEFT(Cockpit!$I$5,1)="B",AW1487,MAX(AW1487,H1487))),ROUNDUP(AU1487,0)))</f>
        <v>7</v>
      </c>
      <c r="AR1487" s="62" t="n">
        <f aca="false">IF(CA1487=1,0,ROUNDUP(AQ1487/BZ1487,0))</f>
        <v>1</v>
      </c>
      <c r="AS1487" s="64" t="n">
        <f aca="false">IF(CR1487&gt;0,CR1487*MAX(1,AQ1487/X1487),IF(CA1487=1,IF(AQ1487&lt;=0,0,CE1487*MAX(1,IF(H1487&gt;0,AQ1487/H1487,1))),IF(R1487&gt;0,AR1487/R1487,0))/MAX(0.1,N(Parameter!$M$21)))</f>
        <v>0.00961538461538462</v>
      </c>
      <c r="AT1487" s="62" t="n">
        <f aca="false">AS1487*CC1487</f>
        <v>1.49038461538462</v>
      </c>
      <c r="AU1487" s="63" t="n">
        <f aca="false">IF(LEFT(Cockpit!$I$5,1)="A",H1487,IF(CI1487=1,(CL1487+CJ1487)/2,IF(LEFT(Cockpit!$I$5,1)="B",(CL1487+AW1487)/2,MAX((CL1487+AW1487)/2,H1487))))</f>
        <v>7</v>
      </c>
      <c r="AV1487" s="62" t="n">
        <f aca="false">AU1487*G1487</f>
        <v>114.52</v>
      </c>
      <c r="AW1487" s="62" t="n">
        <f aca="false">ROUNDUP(CL1487+MAX(CM1487,2*(J1487/IF(CH1487&gt;0,CH1487,MAX(0.1,N(Cockpit!$I$6)))-CL1487)),0)</f>
        <v>5</v>
      </c>
      <c r="AX1487" s="63" t="n">
        <f aca="false">IF(AT1487&gt;0,J1487/AT1487,-1)</f>
        <v>0</v>
      </c>
      <c r="AY1487" s="63" t="n">
        <f aca="false">IF(AND(OR(CG1487="L1",CG1487="L23",CG1487="LIFT"),AT1487&gt;0),SUMIFS($AT$7:$AT$1843,$CG$7:$CG$1843,CG1487,$AX$7:$AX$1843,"&gt;"&amp;AX1487)+SUMIFS($AT$7:$AT$1843,$CG$7:$CG$1843,CG1487,$AX$7:$AX$1843,AX1487,$BX$7:$BX$1843,"&lt;="&amp;BX1487),"")</f>
        <v>36065.3888811283</v>
      </c>
      <c r="AZ1487" s="70" t="n">
        <f aca="false">IF(AY1487="",0,MAX(0,MIN(1,(IF(CG1487="L1",Parameter!$H$5,IF(CG1487="L23",Parameter!$H$6+Parameter!$H$7,Parameter!$H$5+Parameter!$H$6+Parameter!$H$7))-(AY1487-AT1487))/AT1487)))</f>
        <v>0</v>
      </c>
      <c r="BA1487" s="62" t="n">
        <f aca="false">IF(LEFT(Cockpit!$O$5,1)="A",H1487,IF(Parameter!$E$30="MAX-Bestand",IF(CI1487=1,CJ1487,IF(LEFT(Cockpit!$O$5,1)="B",BG1487,MAX(BG1487,H1487))),ROUNDUP(BE1487,0)))</f>
        <v>3</v>
      </c>
      <c r="BB1487" s="62" t="n">
        <f aca="false">IF(CA1487=1,0,ROUNDUP(BA1487/BZ1487,0))</f>
        <v>1</v>
      </c>
      <c r="BC1487" s="64" t="n">
        <f aca="false">IF(CR1487&gt;0,CR1487*MAX(1,BA1487/X1487),IF(CA1487=1,IF(BA1487&lt;=0,0,CE1487*MAX(1,IF(H1487&gt;0,BA1487/H1487,1))),IF(R1487&gt;0,BB1487/R1487,0))/MAX(0.1,N(Parameter!$M$21)))</f>
        <v>0.00961538461538462</v>
      </c>
      <c r="BD1487" s="62" t="n">
        <f aca="false">BC1487*CC1487</f>
        <v>1.49038461538462</v>
      </c>
      <c r="BE1487" s="63" t="n">
        <f aca="false">IF(LEFT(Cockpit!$O$5,1)="A",H1487,IF(CI1487=1,(CL1487+CJ1487)/2,IF(LEFT(Cockpit!$O$5,1)="B",(CL1487+BG1487)/2,MAX((CL1487+BG1487)/2,H1487))))</f>
        <v>2.5</v>
      </c>
      <c r="BF1487" s="62" t="n">
        <f aca="false">BE1487*G1487</f>
        <v>40.9</v>
      </c>
      <c r="BG1487" s="62" t="n">
        <f aca="false">ROUNDUP(CL1487+MAX(CM1487,2*(J1487/IF(CH1487&gt;0,CH1487,MAX(0.1,N(Cockpit!$O$6)))-CL1487)),0)</f>
        <v>5</v>
      </c>
      <c r="BH1487" s="63" t="n">
        <f aca="false">IF(BD1487&gt;0,J1487/BD1487,-1)</f>
        <v>0</v>
      </c>
      <c r="BI1487" s="63" t="n">
        <f aca="false">IF(AND(OR(CG1487="L1",CG1487="L23",CG1487="LIFT"),BD1487&gt;0),SUMIFS($BD$7:$BD$1843,$CG$7:$CG$1843,CG1487,$BH$7:$BH$1843,"&gt;"&amp;BH1487)+SUMIFS($BD$7:$BD$1843,$CG$7:$CG$1843,CG1487,$BH$7:$BH$1843,BH1487,$BX$7:$BX$1843,"&lt;="&amp;BX1487),"")</f>
        <v>30050.6955412761</v>
      </c>
      <c r="BJ1487" s="70" t="n">
        <f aca="false">IF(BI1487="",0,MAX(0,MIN(1,(IF(CG1487="L1",Parameter!$H$5,IF(CG1487="L23",Parameter!$H$6+Parameter!$H$7,Parameter!$H$5+Parameter!$H$6+Parameter!$H$7))-(BI1487-BD1487))/BD1487)))</f>
        <v>1</v>
      </c>
      <c r="BK1487" s="60" t="str">
        <f aca="false">IF(AJ1487&lt;=0,"",IF(CG1487="Aussen","Aussenlager",IF(CG1487="-","Nicht im Lift",IF(AP1487&gt;=1,"Lift",IF(AP1487&lt;=0,"Aussenlager","teilweise")))))</f>
        <v>Lift</v>
      </c>
      <c r="BL1487" s="60" t="str">
        <f aca="false">IF(AT1487&lt;=0,"",IF(CG1487="Aussen","Aussenlager",IF(CG1487="-","Nicht im Lift",IF(AZ1487&gt;=1,"Lift",IF(AZ1487&lt;=0,"Aussenlager","teilweise")))))</f>
        <v>Aussenlager</v>
      </c>
      <c r="BM1487" s="60" t="str">
        <f aca="false">IF(BD1487&lt;=0,"",IF(CG1487="Aussen","Aussenlager",IF(CG1487="-","Nicht im Lift",IF(BJ1487&gt;=1,"Lift",IF(BJ1487&lt;=0,"Aussenlager","teilweise")))))</f>
        <v>Lift</v>
      </c>
      <c r="BN1487" s="60" t="str">
        <f aca="false">IF(A1487="","",IF(BW1487=1,"Neu; ","")&amp;IF(AND(BW1487=0,BR1487&lt;0),"negativer Bestand (Export "&amp;BR1487&amp;"); ","")&amp;IF(J1487&lt;=0,"Kein Verbrauch; ","")&amp;IF(CR1487&gt;0,"Lift "&amp;W1487&amp;" lt. Liftbericht (Fach "&amp;X1487&amp;" Stk); ",IF(CB1487=1,"Gebinde geschätzt ("&amp;T1487&amp;"); ",IF(CA1487=1,"Lose – Tablare geschätzt; ","")))&amp;IF(H1487&gt;AW1487,"Überbestand "&amp;ROUND(H1487-AW1487,0)&amp;" Stk / CHF "&amp;ROUND((H1487-AW1487)*G1487,0)&amp;"; ","")&amp;IF(AND(CI1487=1,CJ1487&lt;CK1487),"MAX &lt; MB+LG; ","")&amp;IF(AND(CQ1487&gt;0,CP1487*10&gt;CQ1487),"zu hoch für Tablar; ","")&amp;IF(AND(BW1487=0,OR(CI1487=1,AB1487&lt;&gt;"",U1487&lt;&gt;"",V1487&lt;&gt;"",AC1487&lt;&gt;"")),"manuell übersteuert; ","")&amp;IF(AND(CA1487=0,R1487=0),"Gebinde unbekannt / Stellmass fehlt; ","")&amp;IF(AND(CA1487=0,N(V1487)&lt;=0,N(Q1487)&lt;=0),"Menge pro Gebinde fehlt (Ist = 1 Gebinde); ","")&amp;BV1487)</f>
        <v>Kein Verbrauch; Überbestand 2 Stk / CHF 33; nur im Artikelstamm (Bestand 23.06.2026); Verb.Lager</v>
      </c>
      <c r="BO1487" s="60"/>
      <c r="BP1487" s="60"/>
      <c r="BQ1487" s="67"/>
      <c r="BR1487" s="62" t="n">
        <v>7</v>
      </c>
      <c r="BS1487" s="62" t="n">
        <v>0</v>
      </c>
      <c r="BT1487" s="61" t="n">
        <v>0</v>
      </c>
      <c r="BU1487" s="62" t="n">
        <v>0</v>
      </c>
      <c r="BV1487" s="60" t="s">
        <v>2611</v>
      </c>
      <c r="BW1487" s="65" t="n">
        <v>0</v>
      </c>
      <c r="BX1487" s="65" t="n">
        <v>1487</v>
      </c>
      <c r="BY1487" s="60" t="str">
        <f aca="false">IF(U1487&lt;&gt;"",UPPER(TRIM(U1487)),IF(CB1487=1,UPPER(VLOOKUP(T1487,Parameter!$I$27:$K$29,2,0)),IF(P1487="","LOSE",P1487)))</f>
        <v>S32</v>
      </c>
      <c r="BZ1487" s="62" t="n">
        <f aca="false">IF(BY1487="LOSE",1,IF(N(V1487)&gt;0,V1487,IF(CB1487=1,MAX(1,N(VLOOKUP(T1487,Parameter!$I$27:$K$29,3,0)),H1487,N(N1487)),IF(N(Q1487)&gt;0,Q1487,MAX(1,H1487)))))</f>
        <v>7</v>
      </c>
      <c r="CA1487" s="65" t="n">
        <f aca="false">IF(BY1487="LOSE",1,0)</f>
        <v>0</v>
      </c>
      <c r="CB1487" s="65" t="n">
        <f aca="false">IF(AND(U1487="",OR(P1487="",P1487="LOSE"),T1487&lt;&gt;"",N(S1487)&lt;=0,ISNUMBER(MATCH(T1487,Parameter!$I$27:$I$29,0))),1,0)</f>
        <v>0</v>
      </c>
      <c r="CC1487" s="65" t="n">
        <f aca="false">IF(CR1487&gt;0,INDEX(Parameter!$H$5:$H$7,W1487)/INDEX(Parameter!$E$5:$E$7,W1487),IF(AND(CA1487=0,N(IFERROR(VLOOKUP(BY1487,'Gebinde-Kategorie'!$A$5:$N$45,14,0),0))&gt;0),VLOOKUP(BY1487,'Gebinde-Kategorie'!$A$5:$N$45,14,0)*10+Parameter!$M$23,Parameter!$M$24))</f>
        <v>155</v>
      </c>
      <c r="CD1487" s="60" t="str">
        <f aca="false">IF(AND(Parameter!$B$19="Ja",E1487&lt;&gt;"",ISNUMBER(MATCH(E1487,Parameter!$I$35:$I$52,0))),VLOOKUP(E1487,Parameter!$I$35:$J$52,2,0),IFERROR(VLOOKUP(D1487,Parameter!$A$35:$C$64,2,0),"Nein"))</f>
        <v>2+3</v>
      </c>
      <c r="CE1487" s="64" t="n">
        <f aca="false">IF(CA1487=0,0,IF(N(S1487)&gt;0,S1487,IFERROR(VLOOKUP(D1487,Parameter!$A$35:$C$64,3,0)+0,0)))</f>
        <v>0</v>
      </c>
      <c r="CF1487" s="60" t="n">
        <f aca="false">IF(AB1487&lt;&gt;"",AB1487,AA1487)</f>
        <v>1</v>
      </c>
      <c r="CG1487" s="60" t="str">
        <f aca="false">IF(OR(CF1487=1,CF1487=2,CF1487=3),IF(Parameter!$E$27="Ja","LIFT",IF(CF1487=1,"L1","L23")),IF(CF1487="Aussen","Aussen","-"))</f>
        <v>LIFT</v>
      </c>
      <c r="CH1487" s="71" t="n">
        <f aca="false">IF(N(AC1487)&gt;0,AC1487,0)</f>
        <v>0</v>
      </c>
      <c r="CI1487" s="65" t="n">
        <f aca="false">IF(ISNUMBER(AF1487),1,0)</f>
        <v>0</v>
      </c>
      <c r="CJ1487" s="62" t="n">
        <f aca="false">N(AF1487)</f>
        <v>0</v>
      </c>
      <c r="CK1487" s="62" t="n">
        <f aca="false">N(M1487)+N(N1487)</f>
        <v>5</v>
      </c>
      <c r="CL1487" s="62" t="n">
        <f aca="false">N(M1487)</f>
        <v>0</v>
      </c>
      <c r="CM1487" s="62" t="n">
        <f aca="false">N(N1487)</f>
        <v>5</v>
      </c>
      <c r="CN1487" s="62" t="n">
        <f aca="false">ROUNDUP(H1487/BZ1487,0)</f>
        <v>1</v>
      </c>
      <c r="CO1487" s="62" t="n">
        <f aca="false">ROUNDUP(CJ1487/BZ1487,0)</f>
        <v>0</v>
      </c>
      <c r="CP1487" s="65" t="n">
        <f aca="false">IF(CA1487=1,0,IFERROR(VLOOKUP(BY1487,'Gebinde-Kategorie'!$A$5:$N$45,5,0)+0,0))</f>
        <v>8</v>
      </c>
      <c r="CQ1487" s="65" t="n">
        <f aca="false">IFERROR(IF(OR(CF1487=1,CF1487=2,CF1487=3),N(INDEX(Parameter!$I$5:$I$7,CF1487)),0),0)</f>
        <v>0</v>
      </c>
      <c r="CR1487" s="64" t="n">
        <f aca="false">IF(AND(Parameter!$B$21="Ja",ISNUMBER(W1487),N(X1487)&gt;0),IFERROR(N(INDEX(Parameter!$L$5:$L$7,W1487))*INDEX(Parameter!$E$5:$E$7,W1487)*X1487/SUMIFS($X$7:$X$1843,$W$7:$W$1843,W1487),0),0)</f>
        <v>0</v>
      </c>
      <c r="CS1487" s="62" t="n">
        <f aca="false">IF(AND(OR(CG1487="L1",CG1487="L23",CG1487="LIFT"),H1487&gt;0),CC1487*IF(CR1487&gt;0,CR1487*MAX(1,H1487/X1487),IF(CA1487=1,CE1487,IF(R1487&gt;0,CN1487/R1487,0))/MAX(0.1,N(Parameter!$M$21))),"")</f>
        <v>1.49038461538462</v>
      </c>
      <c r="CT1487" s="64" t="n">
        <f aca="false">IF(CS1487="","",J1487/H1487)</f>
        <v>0</v>
      </c>
      <c r="CU1487" s="62" t="n">
        <f aca="false">IF(CS1487="","",H1487*G1487)</f>
        <v>114.52</v>
      </c>
      <c r="CV1487" s="63" t="n">
        <f aca="false">IF(CS1487="","",(CL1487+ROUNDUP(CL1487+MAX(CM1487,2*(J1487/MAX(0.1,N(Einkauf!$C$6))-CL1487)),0))/2)</f>
        <v>2.5</v>
      </c>
      <c r="CW1487" s="62" t="n">
        <f aca="false">IF(CS1487="","",MAX(0,H1487-CV1487)*G1487)</f>
        <v>73.62</v>
      </c>
      <c r="CX1487" s="62" t="n">
        <f aca="false">IF(CS1487="","",CS1487*MAX(0,1-CV1487/H1487))</f>
        <v>0.958104395604396</v>
      </c>
      <c r="CY1487" s="64" t="n">
        <f aca="false">IF(CS1487="","",PERCENTRANK($CS$7:$CS$1843,CS1487)+PERCENTRANK($CU$7:$CU$1843,CU1487)+1-PERCENTRANK($CT$7:$CT$1843,CT1487))</f>
        <v>1.368</v>
      </c>
      <c r="CZ1487" s="72" t="n">
        <f aca="false">IF(CS1487="","",CHOOSE(MATCH(Einkauf!$C$5,Parameter!$G$23:$G$27,0),CY1487,CS1487,CU1487,-CT1487,CW1487)+ROW()/1000000000)</f>
        <v>1.368001487</v>
      </c>
    </row>
    <row r="1488" customFormat="false" ht="15" hidden="false" customHeight="false" outlineLevel="0" collapsed="false">
      <c r="A1488" s="60" t="s">
        <v>2643</v>
      </c>
      <c r="B1488" s="60" t="s">
        <v>447</v>
      </c>
      <c r="C1488" s="60" t="s">
        <v>206</v>
      </c>
      <c r="D1488" s="60" t="s">
        <v>226</v>
      </c>
      <c r="E1488" s="60" t="s">
        <v>227</v>
      </c>
      <c r="F1488" s="60"/>
      <c r="G1488" s="61" t="n">
        <v>2.8</v>
      </c>
      <c r="H1488" s="62" t="n">
        <f aca="false">MAX(0,IF(AND(Parameter!$B$21="Ja",ISNUMBER(Y1488)),Y1488,IF(Parameter!$B$20="Jahresanfang 2025 + Export",BS1488+BR1488,BR1488)))</f>
        <v>102</v>
      </c>
      <c r="I1488" s="62" t="n">
        <f aca="false">H1488*G1488</f>
        <v>285.6</v>
      </c>
      <c r="J1488" s="62" t="n">
        <f aca="false">BU1488*Parameter!$B$18</f>
        <v>0</v>
      </c>
      <c r="K1488" s="63"/>
      <c r="L1488" s="64"/>
      <c r="M1488" s="62" t="n">
        <v>0</v>
      </c>
      <c r="N1488" s="62" t="n">
        <v>100</v>
      </c>
      <c r="O1488" s="65" t="n">
        <v>21</v>
      </c>
      <c r="P1488" s="60" t="s">
        <v>344</v>
      </c>
      <c r="Q1488" s="62" t="n">
        <v>102</v>
      </c>
      <c r="R1488" s="65" t="n">
        <f aca="false">IF(CA1488=1,0,IFERROR(VLOOKUP(BY1488,'Gebinde-Kategorie'!$A$5:$N$45,13,0)+0,0))</f>
        <v>26</v>
      </c>
      <c r="S1488" s="66"/>
      <c r="T1488" s="67"/>
      <c r="U1488" s="67"/>
      <c r="V1488" s="67"/>
      <c r="W1488" s="60"/>
      <c r="X1488" s="62"/>
      <c r="Y1488" s="62"/>
      <c r="Z1488" s="60" t="n">
        <v>3</v>
      </c>
      <c r="AA1488" s="60" t="n">
        <f aca="false">IF(A1488="","",IF(AND(Parameter!$B$21="Ja",ISNUMBER(W1488)),W1488,IF(AND(Parameter!$E$27="Ja",ISNUMBER(Z1488),CD1488&lt;&gt;"Nein"),Z1488,IF(CD1488="2+3",IF(ISNUMBER(SEARCH("grosser Artikel",BV1488)),2,IFERROR(VLOOKUP(BY1488,Parameter!$F$35:$G$64,2,0),2)),IF(OR(CD1488="Nein",CD1488=""),"-",CD1488)))))</f>
        <v>3</v>
      </c>
      <c r="AB1488" s="67"/>
      <c r="AC1488" s="68"/>
      <c r="AD1488" s="62" t="n">
        <f aca="false">AW1488</f>
        <v>100</v>
      </c>
      <c r="AE1488" s="62" t="n">
        <f aca="false">MAX(AW1488,H1488)</f>
        <v>102</v>
      </c>
      <c r="AF1488" s="69"/>
      <c r="AG1488" s="62" t="n">
        <f aca="false">IF(LEFT(Cockpit!$C$5,1)="A",H1488,IF(Parameter!$E$30="MAX-Bestand",IF(CI1488=1,CJ1488,IF(LEFT(Cockpit!$C$5,1)="B",AM1488,MAX(AM1488,H1488))),ROUNDUP(AK1488,0)))</f>
        <v>102</v>
      </c>
      <c r="AH1488" s="62" t="n">
        <f aca="false">IF(CA1488=1,0,ROUNDUP(AG1488/BZ1488,0))</f>
        <v>1</v>
      </c>
      <c r="AI1488" s="64" t="n">
        <f aca="false">IF(CR1488&gt;0,CR1488*MAX(1,AG1488/X1488),IF(CA1488=1,IF(AG1488&lt;=0,0,CE1488*MAX(1,IF(H1488&gt;0,AG1488/H1488,1))),IF(R1488&gt;0,AH1488/R1488,0))/MAX(0.1,N(Parameter!$M$21)))</f>
        <v>0.0384615384615385</v>
      </c>
      <c r="AJ1488" s="62" t="n">
        <f aca="false">AI1488*CC1488</f>
        <v>5.96153846153846</v>
      </c>
      <c r="AK1488" s="63" t="n">
        <f aca="false">IF(LEFT(Cockpit!$C$5,1)="A",H1488,IF(CI1488=1,(CL1488+CJ1488)/2,IF(LEFT(Cockpit!$C$5,1)="B",(CL1488+AM1488)/2,MAX((CL1488+AM1488)/2,H1488))))</f>
        <v>102</v>
      </c>
      <c r="AL1488" s="62" t="n">
        <f aca="false">AK1488*G1488</f>
        <v>285.6</v>
      </c>
      <c r="AM1488" s="62" t="n">
        <f aca="false">ROUNDUP(CL1488+MAX(CM1488,2*(J1488/IF(CH1488&gt;0,CH1488,MAX(0.1,N(Cockpit!$C$6)))-CL1488)),0)</f>
        <v>100</v>
      </c>
      <c r="AN1488" s="63" t="n">
        <f aca="false">IF(AJ1488&gt;0,J1488/AJ1488,-1)</f>
        <v>0</v>
      </c>
      <c r="AO1488" s="63" t="n">
        <f aca="false">IF(AND(OR(CG1488="L1",CG1488="L23",CG1488="LIFT"),AJ1488&gt;0),SUMIFS($AJ$7:$AJ$1843,$CG$7:$CG$1843,CG1488,$AN$7:$AN$1843,"&gt;"&amp;AN1488)+SUMIFS($AJ$7:$AJ$1843,$CG$7:$CG$1843,CG1488,$AN$7:$AN$1843,AN1488,$BX$7:$BX$1843,"&lt;="&amp;BX1488),"")</f>
        <v>29764.7796170402</v>
      </c>
      <c r="AP1488" s="70" t="n">
        <f aca="false">IF(AO1488="",0,MAX(0,MIN(1,(IF(CG1488="L1",Parameter!$H$5,IF(CG1488="L23",Parameter!$H$6+Parameter!$H$7,Parameter!$H$5+Parameter!$H$6+Parameter!$H$7))-(AO1488-AJ1488))/AJ1488)))</f>
        <v>1</v>
      </c>
      <c r="AQ1488" s="62" t="n">
        <f aca="false">IF(LEFT(Cockpit!$I$5,1)="A",H1488,IF(Parameter!$E$30="MAX-Bestand",IF(CI1488=1,CJ1488,IF(LEFT(Cockpit!$I$5,1)="B",AW1488,MAX(AW1488,H1488))),ROUNDUP(AU1488,0)))</f>
        <v>102</v>
      </c>
      <c r="AR1488" s="62" t="n">
        <f aca="false">IF(CA1488=1,0,ROUNDUP(AQ1488/BZ1488,0))</f>
        <v>1</v>
      </c>
      <c r="AS1488" s="64" t="n">
        <f aca="false">IF(CR1488&gt;0,CR1488*MAX(1,AQ1488/X1488),IF(CA1488=1,IF(AQ1488&lt;=0,0,CE1488*MAX(1,IF(H1488&gt;0,AQ1488/H1488,1))),IF(R1488&gt;0,AR1488/R1488,0))/MAX(0.1,N(Parameter!$M$21)))</f>
        <v>0.0384615384615385</v>
      </c>
      <c r="AT1488" s="62" t="n">
        <f aca="false">AS1488*CC1488</f>
        <v>5.96153846153846</v>
      </c>
      <c r="AU1488" s="63" t="n">
        <f aca="false">IF(LEFT(Cockpit!$I$5,1)="A",H1488,IF(CI1488=1,(CL1488+CJ1488)/2,IF(LEFT(Cockpit!$I$5,1)="B",(CL1488+AW1488)/2,MAX((CL1488+AW1488)/2,H1488))))</f>
        <v>102</v>
      </c>
      <c r="AV1488" s="62" t="n">
        <f aca="false">AU1488*G1488</f>
        <v>285.6</v>
      </c>
      <c r="AW1488" s="62" t="n">
        <f aca="false">ROUNDUP(CL1488+MAX(CM1488,2*(J1488/IF(CH1488&gt;0,CH1488,MAX(0.1,N(Cockpit!$I$6)))-CL1488)),0)</f>
        <v>100</v>
      </c>
      <c r="AX1488" s="63" t="n">
        <f aca="false">IF(AT1488&gt;0,J1488/AT1488,-1)</f>
        <v>0</v>
      </c>
      <c r="AY1488" s="63" t="n">
        <f aca="false">IF(AND(OR(CG1488="L1",CG1488="L23",CG1488="LIFT"),AT1488&gt;0),SUMIFS($AT$7:$AT$1843,$CG$7:$CG$1843,CG1488,$AX$7:$AX$1843,"&gt;"&amp;AX1488)+SUMIFS($AT$7:$AT$1843,$CG$7:$CG$1843,CG1488,$AX$7:$AX$1843,AX1488,$BX$7:$BX$1843,"&lt;="&amp;BX1488),"")</f>
        <v>36071.3504195898</v>
      </c>
      <c r="AZ1488" s="70" t="n">
        <f aca="false">IF(AY1488="",0,MAX(0,MIN(1,(IF(CG1488="L1",Parameter!$H$5,IF(CG1488="L23",Parameter!$H$6+Parameter!$H$7,Parameter!$H$5+Parameter!$H$6+Parameter!$H$7))-(AY1488-AT1488))/AT1488)))</f>
        <v>0</v>
      </c>
      <c r="BA1488" s="62" t="n">
        <f aca="false">IF(LEFT(Cockpit!$O$5,1)="A",H1488,IF(Parameter!$E$30="MAX-Bestand",IF(CI1488=1,CJ1488,IF(LEFT(Cockpit!$O$5,1)="B",BG1488,MAX(BG1488,H1488))),ROUNDUP(BE1488,0)))</f>
        <v>50</v>
      </c>
      <c r="BB1488" s="62" t="n">
        <f aca="false">IF(CA1488=1,0,ROUNDUP(BA1488/BZ1488,0))</f>
        <v>1</v>
      </c>
      <c r="BC1488" s="64" t="n">
        <f aca="false">IF(CR1488&gt;0,CR1488*MAX(1,BA1488/X1488),IF(CA1488=1,IF(BA1488&lt;=0,0,CE1488*MAX(1,IF(H1488&gt;0,BA1488/H1488,1))),IF(R1488&gt;0,BB1488/R1488,0))/MAX(0.1,N(Parameter!$M$21)))</f>
        <v>0.0384615384615385</v>
      </c>
      <c r="BD1488" s="62" t="n">
        <f aca="false">BC1488*CC1488</f>
        <v>5.96153846153846</v>
      </c>
      <c r="BE1488" s="63" t="n">
        <f aca="false">IF(LEFT(Cockpit!$O$5,1)="A",H1488,IF(CI1488=1,(CL1488+CJ1488)/2,IF(LEFT(Cockpit!$O$5,1)="B",(CL1488+BG1488)/2,MAX((CL1488+BG1488)/2,H1488))))</f>
        <v>50</v>
      </c>
      <c r="BF1488" s="62" t="n">
        <f aca="false">BE1488*G1488</f>
        <v>140</v>
      </c>
      <c r="BG1488" s="62" t="n">
        <f aca="false">ROUNDUP(CL1488+MAX(CM1488,2*(J1488/IF(CH1488&gt;0,CH1488,MAX(0.1,N(Cockpit!$O$6)))-CL1488)),0)</f>
        <v>100</v>
      </c>
      <c r="BH1488" s="63" t="n">
        <f aca="false">IF(BD1488&gt;0,J1488/BD1488,-1)</f>
        <v>0</v>
      </c>
      <c r="BI1488" s="63" t="n">
        <f aca="false">IF(AND(OR(CG1488="L1",CG1488="L23",CG1488="LIFT"),BD1488&gt;0),SUMIFS($BD$7:$BD$1843,$CG$7:$CG$1843,CG1488,$BH$7:$BH$1843,"&gt;"&amp;BH1488)+SUMIFS($BD$7:$BD$1843,$CG$7:$CG$1843,CG1488,$BH$7:$BH$1843,BH1488,$BX$7:$BX$1843,"&lt;="&amp;BX1488),"")</f>
        <v>30056.6570797376</v>
      </c>
      <c r="BJ1488" s="70" t="n">
        <f aca="false">IF(BI1488="",0,MAX(0,MIN(1,(IF(CG1488="L1",Parameter!$H$5,IF(CG1488="L23",Parameter!$H$6+Parameter!$H$7,Parameter!$H$5+Parameter!$H$6+Parameter!$H$7))-(BI1488-BD1488))/BD1488)))</f>
        <v>1</v>
      </c>
      <c r="BK1488" s="60" t="str">
        <f aca="false">IF(AJ1488&lt;=0,"",IF(CG1488="Aussen","Aussenlager",IF(CG1488="-","Nicht im Lift",IF(AP1488&gt;=1,"Lift",IF(AP1488&lt;=0,"Aussenlager","teilweise")))))</f>
        <v>Lift</v>
      </c>
      <c r="BL1488" s="60" t="str">
        <f aca="false">IF(AT1488&lt;=0,"",IF(CG1488="Aussen","Aussenlager",IF(CG1488="-","Nicht im Lift",IF(AZ1488&gt;=1,"Lift",IF(AZ1488&lt;=0,"Aussenlager","teilweise")))))</f>
        <v>Aussenlager</v>
      </c>
      <c r="BM1488" s="60" t="str">
        <f aca="false">IF(BD1488&lt;=0,"",IF(CG1488="Aussen","Aussenlager",IF(CG1488="-","Nicht im Lift",IF(BJ1488&gt;=1,"Lift",IF(BJ1488&lt;=0,"Aussenlager","teilweise")))))</f>
        <v>Lift</v>
      </c>
      <c r="BN1488" s="60" t="str">
        <f aca="false">IF(A1488="","",IF(BW1488=1,"Neu; ","")&amp;IF(AND(BW1488=0,BR1488&lt;0),"negativer Bestand (Export "&amp;BR1488&amp;"); ","")&amp;IF(J1488&lt;=0,"Kein Verbrauch; ","")&amp;IF(CR1488&gt;0,"Lift "&amp;W1488&amp;" lt. Liftbericht (Fach "&amp;X1488&amp;" Stk); ",IF(CB1488=1,"Gebinde geschätzt ("&amp;T1488&amp;"); ",IF(CA1488=1,"Lose – Tablare geschätzt; ","")))&amp;IF(H1488&gt;AW1488,"Überbestand "&amp;ROUND(H1488-AW1488,0)&amp;" Stk / CHF "&amp;ROUND((H1488-AW1488)*G1488,0)&amp;"; ","")&amp;IF(AND(CI1488=1,CJ1488&lt;CK1488),"MAX &lt; MB+LG; ","")&amp;IF(AND(CQ1488&gt;0,CP1488*10&gt;CQ1488),"zu hoch für Tablar; ","")&amp;IF(AND(BW1488=0,OR(CI1488=1,AB1488&lt;&gt;"",U1488&lt;&gt;"",V1488&lt;&gt;"",AC1488&lt;&gt;"")),"manuell übersteuert; ","")&amp;IF(AND(CA1488=0,R1488=0),"Gebinde unbekannt / Stellmass fehlt; ","")&amp;IF(AND(CA1488=0,N(V1488)&lt;=0,N(Q1488)&lt;=0),"Menge pro Gebinde fehlt (Ist = 1 Gebinde); ","")&amp;BV1488)</f>
        <v>Kein Verbrauch; Überbestand 2 Stk / CHF 6; nur im Artikelstamm (Bestand 23.06.2026)</v>
      </c>
      <c r="BO1488" s="60"/>
      <c r="BP1488" s="60"/>
      <c r="BQ1488" s="67"/>
      <c r="BR1488" s="62" t="n">
        <v>102</v>
      </c>
      <c r="BS1488" s="62" t="n">
        <v>0</v>
      </c>
      <c r="BT1488" s="61" t="n">
        <v>0</v>
      </c>
      <c r="BU1488" s="62" t="n">
        <v>0</v>
      </c>
      <c r="BV1488" s="60" t="s">
        <v>2617</v>
      </c>
      <c r="BW1488" s="65" t="n">
        <v>0</v>
      </c>
      <c r="BX1488" s="65" t="n">
        <v>1488</v>
      </c>
      <c r="BY1488" s="60" t="str">
        <f aca="false">IF(U1488&lt;&gt;"",UPPER(TRIM(U1488)),IF(CB1488=1,UPPER(VLOOKUP(T1488,Parameter!$I$27:$K$29,2,0)),IF(P1488="","LOSE",P1488)))</f>
        <v>S51</v>
      </c>
      <c r="BZ1488" s="62" t="n">
        <f aca="false">IF(BY1488="LOSE",1,IF(N(V1488)&gt;0,V1488,IF(CB1488=1,MAX(1,N(VLOOKUP(T1488,Parameter!$I$27:$K$29,3,0)),H1488,N(N1488)),IF(N(Q1488)&gt;0,Q1488,MAX(1,H1488)))))</f>
        <v>102</v>
      </c>
      <c r="CA1488" s="65" t="n">
        <f aca="false">IF(BY1488="LOSE",1,0)</f>
        <v>0</v>
      </c>
      <c r="CB1488" s="65" t="n">
        <f aca="false">IF(AND(U1488="",OR(P1488="",P1488="LOSE"),T1488&lt;&gt;"",N(S1488)&lt;=0,ISNUMBER(MATCH(T1488,Parameter!$I$27:$I$29,0))),1,0)</f>
        <v>0</v>
      </c>
      <c r="CC1488" s="65" t="n">
        <f aca="false">IF(CR1488&gt;0,INDEX(Parameter!$H$5:$H$7,W1488)/INDEX(Parameter!$E$5:$E$7,W1488),IF(AND(CA1488=0,N(IFERROR(VLOOKUP(BY1488,'Gebinde-Kategorie'!$A$5:$N$45,14,0),0))&gt;0),VLOOKUP(BY1488,'Gebinde-Kategorie'!$A$5:$N$45,14,0)*10+Parameter!$M$23,Parameter!$M$24))</f>
        <v>155</v>
      </c>
      <c r="CD1488" s="60" t="str">
        <f aca="false">IF(AND(Parameter!$B$19="Ja",E1488&lt;&gt;"",ISNUMBER(MATCH(E1488,Parameter!$I$35:$I$52,0))),VLOOKUP(E1488,Parameter!$I$35:$J$52,2,0),IFERROR(VLOOKUP(D1488,Parameter!$A$35:$C$64,2,0),"Nein"))</f>
        <v>2+3</v>
      </c>
      <c r="CE1488" s="64" t="n">
        <f aca="false">IF(CA1488=0,0,IF(N(S1488)&gt;0,S1488,IFERROR(VLOOKUP(D1488,Parameter!$A$35:$C$64,3,0)+0,0)))</f>
        <v>0</v>
      </c>
      <c r="CF1488" s="60" t="n">
        <f aca="false">IF(AB1488&lt;&gt;"",AB1488,AA1488)</f>
        <v>3</v>
      </c>
      <c r="CG1488" s="60" t="str">
        <f aca="false">IF(OR(CF1488=1,CF1488=2,CF1488=3),IF(Parameter!$E$27="Ja","LIFT",IF(CF1488=1,"L1","L23")),IF(CF1488="Aussen","Aussen","-"))</f>
        <v>LIFT</v>
      </c>
      <c r="CH1488" s="71" t="n">
        <f aca="false">IF(N(AC1488)&gt;0,AC1488,0)</f>
        <v>0</v>
      </c>
      <c r="CI1488" s="65" t="n">
        <f aca="false">IF(ISNUMBER(AF1488),1,0)</f>
        <v>0</v>
      </c>
      <c r="CJ1488" s="62" t="n">
        <f aca="false">N(AF1488)</f>
        <v>0</v>
      </c>
      <c r="CK1488" s="62" t="n">
        <f aca="false">N(M1488)+N(N1488)</f>
        <v>100</v>
      </c>
      <c r="CL1488" s="62" t="n">
        <f aca="false">N(M1488)</f>
        <v>0</v>
      </c>
      <c r="CM1488" s="62" t="n">
        <f aca="false">N(N1488)</f>
        <v>100</v>
      </c>
      <c r="CN1488" s="62" t="n">
        <f aca="false">ROUNDUP(H1488/BZ1488,0)</f>
        <v>1</v>
      </c>
      <c r="CO1488" s="62" t="n">
        <f aca="false">ROUNDUP(CJ1488/BZ1488,0)</f>
        <v>0</v>
      </c>
      <c r="CP1488" s="65" t="n">
        <f aca="false">IF(CA1488=1,0,IFERROR(VLOOKUP(BY1488,'Gebinde-Kategorie'!$A$5:$N$45,5,0)+0,0))</f>
        <v>11</v>
      </c>
      <c r="CQ1488" s="65" t="n">
        <f aca="false">IFERROR(IF(OR(CF1488=1,CF1488=2,CF1488=3),N(INDEX(Parameter!$I$5:$I$7,CF1488)),0),0)</f>
        <v>0</v>
      </c>
      <c r="CR1488" s="64" t="n">
        <f aca="false">IF(AND(Parameter!$B$21="Ja",ISNUMBER(W1488),N(X1488)&gt;0),IFERROR(N(INDEX(Parameter!$L$5:$L$7,W1488))*INDEX(Parameter!$E$5:$E$7,W1488)*X1488/SUMIFS($X$7:$X$1843,$W$7:$W$1843,W1488),0),0)</f>
        <v>0</v>
      </c>
      <c r="CS1488" s="62" t="n">
        <f aca="false">IF(AND(OR(CG1488="L1",CG1488="L23",CG1488="LIFT"),H1488&gt;0),CC1488*IF(CR1488&gt;0,CR1488*MAX(1,H1488/X1488),IF(CA1488=1,CE1488,IF(R1488&gt;0,CN1488/R1488,0))/MAX(0.1,N(Parameter!$M$21))),"")</f>
        <v>5.96153846153846</v>
      </c>
      <c r="CT1488" s="64" t="n">
        <f aca="false">IF(CS1488="","",J1488/H1488)</f>
        <v>0</v>
      </c>
      <c r="CU1488" s="62" t="n">
        <f aca="false">IF(CS1488="","",H1488*G1488)</f>
        <v>285.6</v>
      </c>
      <c r="CV1488" s="63" t="n">
        <f aca="false">IF(CS1488="","",(CL1488+ROUNDUP(CL1488+MAX(CM1488,2*(J1488/MAX(0.1,N(Einkauf!$C$6))-CL1488)),0))/2)</f>
        <v>50</v>
      </c>
      <c r="CW1488" s="62" t="n">
        <f aca="false">IF(CS1488="","",MAX(0,H1488-CV1488)*G1488)</f>
        <v>145.6</v>
      </c>
      <c r="CX1488" s="62" t="n">
        <f aca="false">IF(CS1488="","",CS1488*MAX(0,1-CV1488/H1488))</f>
        <v>3.03921568627451</v>
      </c>
      <c r="CY1488" s="64" t="n">
        <f aca="false">IF(CS1488="","",PERCENTRANK($CS$7:$CS$1843,CS1488)+PERCENTRANK($CU$7:$CU$1843,CU1488)+1-PERCENTRANK($CT$7:$CT$1843,CT1488))</f>
        <v>1.762</v>
      </c>
      <c r="CZ1488" s="72" t="n">
        <f aca="false">IF(CS1488="","",CHOOSE(MATCH(Einkauf!$C$5,Parameter!$G$23:$G$27,0),CY1488,CS1488,CU1488,-CT1488,CW1488)+ROW()/1000000000)</f>
        <v>1.762001488</v>
      </c>
    </row>
    <row r="1489" customFormat="false" ht="15" hidden="false" customHeight="false" outlineLevel="0" collapsed="false">
      <c r="A1489" s="60" t="s">
        <v>2644</v>
      </c>
      <c r="B1489" s="60" t="s">
        <v>2645</v>
      </c>
      <c r="C1489" s="60" t="s">
        <v>206</v>
      </c>
      <c r="D1489" s="60" t="s">
        <v>226</v>
      </c>
      <c r="E1489" s="60" t="s">
        <v>227</v>
      </c>
      <c r="F1489" s="60"/>
      <c r="G1489" s="61" t="n">
        <v>84.57</v>
      </c>
      <c r="H1489" s="62" t="n">
        <f aca="false">MAX(0,IF(AND(Parameter!$B$21="Ja",ISNUMBER(Y1489)),Y1489,IF(Parameter!$B$20="Jahresanfang 2025 + Export",BS1489+BR1489,BR1489)))</f>
        <v>4</v>
      </c>
      <c r="I1489" s="62" t="n">
        <f aca="false">H1489*G1489</f>
        <v>338.28</v>
      </c>
      <c r="J1489" s="62" t="n">
        <f aca="false">BU1489*Parameter!$B$18</f>
        <v>0</v>
      </c>
      <c r="K1489" s="63"/>
      <c r="L1489" s="64"/>
      <c r="M1489" s="62" t="n">
        <v>0</v>
      </c>
      <c r="N1489" s="62" t="n">
        <v>1</v>
      </c>
      <c r="O1489" s="65" t="n">
        <v>14</v>
      </c>
      <c r="P1489" s="60" t="s">
        <v>370</v>
      </c>
      <c r="Q1489" s="62" t="n">
        <v>4</v>
      </c>
      <c r="R1489" s="65" t="n">
        <f aca="false">IF(CA1489=1,0,IFERROR(VLOOKUP(BY1489,'Gebinde-Kategorie'!$A$5:$N$45,13,0)+0,0))</f>
        <v>52</v>
      </c>
      <c r="S1489" s="66"/>
      <c r="T1489" s="67"/>
      <c r="U1489" s="67"/>
      <c r="V1489" s="67"/>
      <c r="W1489" s="60"/>
      <c r="X1489" s="62"/>
      <c r="Y1489" s="62"/>
      <c r="Z1489" s="60" t="n">
        <v>1</v>
      </c>
      <c r="AA1489" s="60" t="n">
        <f aca="false">IF(A1489="","",IF(AND(Parameter!$B$21="Ja",ISNUMBER(W1489)),W1489,IF(AND(Parameter!$E$27="Ja",ISNUMBER(Z1489),CD1489&lt;&gt;"Nein"),Z1489,IF(CD1489="2+3",IF(ISNUMBER(SEARCH("grosser Artikel",BV1489)),2,IFERROR(VLOOKUP(BY1489,Parameter!$F$35:$G$64,2,0),2)),IF(OR(CD1489="Nein",CD1489=""),"-",CD1489)))))</f>
        <v>1</v>
      </c>
      <c r="AB1489" s="67"/>
      <c r="AC1489" s="68"/>
      <c r="AD1489" s="62" t="n">
        <f aca="false">AW1489</f>
        <v>1</v>
      </c>
      <c r="AE1489" s="62" t="n">
        <f aca="false">MAX(AW1489,H1489)</f>
        <v>4</v>
      </c>
      <c r="AF1489" s="69"/>
      <c r="AG1489" s="62" t="n">
        <f aca="false">IF(LEFT(Cockpit!$C$5,1)="A",H1489,IF(Parameter!$E$30="MAX-Bestand",IF(CI1489=1,CJ1489,IF(LEFT(Cockpit!$C$5,1)="B",AM1489,MAX(AM1489,H1489))),ROUNDUP(AK1489,0)))</f>
        <v>4</v>
      </c>
      <c r="AH1489" s="62" t="n">
        <f aca="false">IF(CA1489=1,0,ROUNDUP(AG1489/BZ1489,0))</f>
        <v>1</v>
      </c>
      <c r="AI1489" s="64" t="n">
        <f aca="false">IF(CR1489&gt;0,CR1489*MAX(1,AG1489/X1489),IF(CA1489=1,IF(AG1489&lt;=0,0,CE1489*MAX(1,IF(H1489&gt;0,AG1489/H1489,1))),IF(R1489&gt;0,AH1489/R1489,0))/MAX(0.1,N(Parameter!$M$21)))</f>
        <v>0.0192307692307692</v>
      </c>
      <c r="AJ1489" s="62" t="n">
        <f aca="false">AI1489*CC1489</f>
        <v>2.98076923076923</v>
      </c>
      <c r="AK1489" s="63" t="n">
        <f aca="false">IF(LEFT(Cockpit!$C$5,1)="A",H1489,IF(CI1489=1,(CL1489+CJ1489)/2,IF(LEFT(Cockpit!$C$5,1)="B",(CL1489+AM1489)/2,MAX((CL1489+AM1489)/2,H1489))))</f>
        <v>4</v>
      </c>
      <c r="AL1489" s="62" t="n">
        <f aca="false">AK1489*G1489</f>
        <v>338.28</v>
      </c>
      <c r="AM1489" s="62" t="n">
        <f aca="false">ROUNDUP(CL1489+MAX(CM1489,2*(J1489/IF(CH1489&gt;0,CH1489,MAX(0.1,N(Cockpit!$C$6)))-CL1489)),0)</f>
        <v>1</v>
      </c>
      <c r="AN1489" s="63" t="n">
        <f aca="false">IF(AJ1489&gt;0,J1489/AJ1489,-1)</f>
        <v>0</v>
      </c>
      <c r="AO1489" s="63" t="n">
        <f aca="false">IF(AND(OR(CG1489="L1",CG1489="L23",CG1489="LIFT"),AJ1489&gt;0),SUMIFS($AJ$7:$AJ$1843,$CG$7:$CG$1843,CG1489,$AN$7:$AN$1843,"&gt;"&amp;AN1489)+SUMIFS($AJ$7:$AJ$1843,$CG$7:$CG$1843,CG1489,$AN$7:$AN$1843,AN1489,$BX$7:$BX$1843,"&lt;="&amp;BX1489),"")</f>
        <v>29767.760386271</v>
      </c>
      <c r="AP1489" s="70" t="n">
        <f aca="false">IF(AO1489="",0,MAX(0,MIN(1,(IF(CG1489="L1",Parameter!$H$5,IF(CG1489="L23",Parameter!$H$6+Parameter!$H$7,Parameter!$H$5+Parameter!$H$6+Parameter!$H$7))-(AO1489-AJ1489))/AJ1489)))</f>
        <v>1</v>
      </c>
      <c r="AQ1489" s="62" t="n">
        <f aca="false">IF(LEFT(Cockpit!$I$5,1)="A",H1489,IF(Parameter!$E$30="MAX-Bestand",IF(CI1489=1,CJ1489,IF(LEFT(Cockpit!$I$5,1)="B",AW1489,MAX(AW1489,H1489))),ROUNDUP(AU1489,0)))</f>
        <v>4</v>
      </c>
      <c r="AR1489" s="62" t="n">
        <f aca="false">IF(CA1489=1,0,ROUNDUP(AQ1489/BZ1489,0))</f>
        <v>1</v>
      </c>
      <c r="AS1489" s="64" t="n">
        <f aca="false">IF(CR1489&gt;0,CR1489*MAX(1,AQ1489/X1489),IF(CA1489=1,IF(AQ1489&lt;=0,0,CE1489*MAX(1,IF(H1489&gt;0,AQ1489/H1489,1))),IF(R1489&gt;0,AR1489/R1489,0))/MAX(0.1,N(Parameter!$M$21)))</f>
        <v>0.0192307692307692</v>
      </c>
      <c r="AT1489" s="62" t="n">
        <f aca="false">AS1489*CC1489</f>
        <v>2.98076923076923</v>
      </c>
      <c r="AU1489" s="63" t="n">
        <f aca="false">IF(LEFT(Cockpit!$I$5,1)="A",H1489,IF(CI1489=1,(CL1489+CJ1489)/2,IF(LEFT(Cockpit!$I$5,1)="B",(CL1489+AW1489)/2,MAX((CL1489+AW1489)/2,H1489))))</f>
        <v>4</v>
      </c>
      <c r="AV1489" s="62" t="n">
        <f aca="false">AU1489*G1489</f>
        <v>338.28</v>
      </c>
      <c r="AW1489" s="62" t="n">
        <f aca="false">ROUNDUP(CL1489+MAX(CM1489,2*(J1489/IF(CH1489&gt;0,CH1489,MAX(0.1,N(Cockpit!$I$6)))-CL1489)),0)</f>
        <v>1</v>
      </c>
      <c r="AX1489" s="63" t="n">
        <f aca="false">IF(AT1489&gt;0,J1489/AT1489,-1)</f>
        <v>0</v>
      </c>
      <c r="AY1489" s="63" t="n">
        <f aca="false">IF(AND(OR(CG1489="L1",CG1489="L23",CG1489="LIFT"),AT1489&gt;0),SUMIFS($AT$7:$AT$1843,$CG$7:$CG$1843,CG1489,$AX$7:$AX$1843,"&gt;"&amp;AX1489)+SUMIFS($AT$7:$AT$1843,$CG$7:$CG$1843,CG1489,$AX$7:$AX$1843,AX1489,$BX$7:$BX$1843,"&lt;="&amp;BX1489),"")</f>
        <v>36074.3311888206</v>
      </c>
      <c r="AZ1489" s="70" t="n">
        <f aca="false">IF(AY1489="",0,MAX(0,MIN(1,(IF(CG1489="L1",Parameter!$H$5,IF(CG1489="L23",Parameter!$H$6+Parameter!$H$7,Parameter!$H$5+Parameter!$H$6+Parameter!$H$7))-(AY1489-AT1489))/AT1489)))</f>
        <v>0</v>
      </c>
      <c r="BA1489" s="62" t="n">
        <f aca="false">IF(LEFT(Cockpit!$O$5,1)="A",H1489,IF(Parameter!$E$30="MAX-Bestand",IF(CI1489=1,CJ1489,IF(LEFT(Cockpit!$O$5,1)="B",BG1489,MAX(BG1489,H1489))),ROUNDUP(BE1489,0)))</f>
        <v>1</v>
      </c>
      <c r="BB1489" s="62" t="n">
        <f aca="false">IF(CA1489=1,0,ROUNDUP(BA1489/BZ1489,0))</f>
        <v>1</v>
      </c>
      <c r="BC1489" s="64" t="n">
        <f aca="false">IF(CR1489&gt;0,CR1489*MAX(1,BA1489/X1489),IF(CA1489=1,IF(BA1489&lt;=0,0,CE1489*MAX(1,IF(H1489&gt;0,BA1489/H1489,1))),IF(R1489&gt;0,BB1489/R1489,0))/MAX(0.1,N(Parameter!$M$21)))</f>
        <v>0.0192307692307692</v>
      </c>
      <c r="BD1489" s="62" t="n">
        <f aca="false">BC1489*CC1489</f>
        <v>2.98076923076923</v>
      </c>
      <c r="BE1489" s="63" t="n">
        <f aca="false">IF(LEFT(Cockpit!$O$5,1)="A",H1489,IF(CI1489=1,(CL1489+CJ1489)/2,IF(LEFT(Cockpit!$O$5,1)="B",(CL1489+BG1489)/2,MAX((CL1489+BG1489)/2,H1489))))</f>
        <v>0.5</v>
      </c>
      <c r="BF1489" s="62" t="n">
        <f aca="false">BE1489*G1489</f>
        <v>42.285</v>
      </c>
      <c r="BG1489" s="62" t="n">
        <f aca="false">ROUNDUP(CL1489+MAX(CM1489,2*(J1489/IF(CH1489&gt;0,CH1489,MAX(0.1,N(Cockpit!$O$6)))-CL1489)),0)</f>
        <v>1</v>
      </c>
      <c r="BH1489" s="63" t="n">
        <f aca="false">IF(BD1489&gt;0,J1489/BD1489,-1)</f>
        <v>0</v>
      </c>
      <c r="BI1489" s="63" t="n">
        <f aca="false">IF(AND(OR(CG1489="L1",CG1489="L23",CG1489="LIFT"),BD1489&gt;0),SUMIFS($BD$7:$BD$1843,$CG$7:$CG$1843,CG1489,$BH$7:$BH$1843,"&gt;"&amp;BH1489)+SUMIFS($BD$7:$BD$1843,$CG$7:$CG$1843,CG1489,$BH$7:$BH$1843,BH1489,$BX$7:$BX$1843,"&lt;="&amp;BX1489),"")</f>
        <v>30059.6378489684</v>
      </c>
      <c r="BJ1489" s="70" t="n">
        <f aca="false">IF(BI1489="",0,MAX(0,MIN(1,(IF(CG1489="L1",Parameter!$H$5,IF(CG1489="L23",Parameter!$H$6+Parameter!$H$7,Parameter!$H$5+Parameter!$H$6+Parameter!$H$7))-(BI1489-BD1489))/BD1489)))</f>
        <v>1</v>
      </c>
      <c r="BK1489" s="60" t="str">
        <f aca="false">IF(AJ1489&lt;=0,"",IF(CG1489="Aussen","Aussenlager",IF(CG1489="-","Nicht im Lift",IF(AP1489&gt;=1,"Lift",IF(AP1489&lt;=0,"Aussenlager","teilweise")))))</f>
        <v>Lift</v>
      </c>
      <c r="BL1489" s="60" t="str">
        <f aca="false">IF(AT1489&lt;=0,"",IF(CG1489="Aussen","Aussenlager",IF(CG1489="-","Nicht im Lift",IF(AZ1489&gt;=1,"Lift",IF(AZ1489&lt;=0,"Aussenlager","teilweise")))))</f>
        <v>Aussenlager</v>
      </c>
      <c r="BM1489" s="60" t="str">
        <f aca="false">IF(BD1489&lt;=0,"",IF(CG1489="Aussen","Aussenlager",IF(CG1489="-","Nicht im Lift",IF(BJ1489&gt;=1,"Lift",IF(BJ1489&lt;=0,"Aussenlager","teilweise")))))</f>
        <v>Lift</v>
      </c>
      <c r="BN1489" s="60" t="str">
        <f aca="false">IF(A1489="","",IF(BW1489=1,"Neu; ","")&amp;IF(AND(BW1489=0,BR1489&lt;0),"negativer Bestand (Export "&amp;BR1489&amp;"); ","")&amp;IF(J1489&lt;=0,"Kein Verbrauch; ","")&amp;IF(CR1489&gt;0,"Lift "&amp;W1489&amp;" lt. Liftbericht (Fach "&amp;X1489&amp;" Stk); ",IF(CB1489=1,"Gebinde geschätzt ("&amp;T1489&amp;"); ",IF(CA1489=1,"Lose – Tablare geschätzt; ","")))&amp;IF(H1489&gt;AW1489,"Überbestand "&amp;ROUND(H1489-AW1489,0)&amp;" Stk / CHF "&amp;ROUND((H1489-AW1489)*G1489,0)&amp;"; ","")&amp;IF(AND(CI1489=1,CJ1489&lt;CK1489),"MAX &lt; MB+LG; ","")&amp;IF(AND(CQ1489&gt;0,CP1489*10&gt;CQ1489),"zu hoch für Tablar; ","")&amp;IF(AND(BW1489=0,OR(CI1489=1,AB1489&lt;&gt;"",U1489&lt;&gt;"",V1489&lt;&gt;"",AC1489&lt;&gt;"")),"manuell übersteuert; ","")&amp;IF(AND(CA1489=0,R1489=0),"Gebinde unbekannt / Stellmass fehlt; ","")&amp;IF(AND(CA1489=0,N(V1489)&lt;=0,N(Q1489)&lt;=0),"Menge pro Gebinde fehlt (Ist = 1 Gebinde); ","")&amp;BV1489)</f>
        <v>Kein Verbrauch; Überbestand 3 Stk / CHF 254; nur im Artikelstamm (Bestand 23.06.2026)</v>
      </c>
      <c r="BO1489" s="60"/>
      <c r="BP1489" s="60"/>
      <c r="BQ1489" s="67"/>
      <c r="BR1489" s="62" t="n">
        <v>4</v>
      </c>
      <c r="BS1489" s="62" t="n">
        <v>0</v>
      </c>
      <c r="BT1489" s="61" t="n">
        <v>0</v>
      </c>
      <c r="BU1489" s="62" t="n">
        <v>0</v>
      </c>
      <c r="BV1489" s="60" t="s">
        <v>2617</v>
      </c>
      <c r="BW1489" s="65" t="n">
        <v>0</v>
      </c>
      <c r="BX1489" s="65" t="n">
        <v>1489</v>
      </c>
      <c r="BY1489" s="60" t="str">
        <f aca="false">IF(U1489&lt;&gt;"",UPPER(TRIM(U1489)),IF(CB1489=1,UPPER(VLOOKUP(T1489,Parameter!$I$27:$K$29,2,0)),IF(P1489="","LOSE",P1489)))</f>
        <v>S41</v>
      </c>
      <c r="BZ1489" s="62" t="n">
        <f aca="false">IF(BY1489="LOSE",1,IF(N(V1489)&gt;0,V1489,IF(CB1489=1,MAX(1,N(VLOOKUP(T1489,Parameter!$I$27:$K$29,3,0)),H1489,N(N1489)),IF(N(Q1489)&gt;0,Q1489,MAX(1,H1489)))))</f>
        <v>4</v>
      </c>
      <c r="CA1489" s="65" t="n">
        <f aca="false">IF(BY1489="LOSE",1,0)</f>
        <v>0</v>
      </c>
      <c r="CB1489" s="65" t="n">
        <f aca="false">IF(AND(U1489="",OR(P1489="",P1489="LOSE"),T1489&lt;&gt;"",N(S1489)&lt;=0,ISNUMBER(MATCH(T1489,Parameter!$I$27:$I$29,0))),1,0)</f>
        <v>0</v>
      </c>
      <c r="CC1489" s="65" t="n">
        <f aca="false">IF(CR1489&gt;0,INDEX(Parameter!$H$5:$H$7,W1489)/INDEX(Parameter!$E$5:$E$7,W1489),IF(AND(CA1489=0,N(IFERROR(VLOOKUP(BY1489,'Gebinde-Kategorie'!$A$5:$N$45,14,0),0))&gt;0),VLOOKUP(BY1489,'Gebinde-Kategorie'!$A$5:$N$45,14,0)*10+Parameter!$M$23,Parameter!$M$24))</f>
        <v>155</v>
      </c>
      <c r="CD1489" s="60" t="str">
        <f aca="false">IF(AND(Parameter!$B$19="Ja",E1489&lt;&gt;"",ISNUMBER(MATCH(E1489,Parameter!$I$35:$I$52,0))),VLOOKUP(E1489,Parameter!$I$35:$J$52,2,0),IFERROR(VLOOKUP(D1489,Parameter!$A$35:$C$64,2,0),"Nein"))</f>
        <v>2+3</v>
      </c>
      <c r="CE1489" s="64" t="n">
        <f aca="false">IF(CA1489=0,0,IF(N(S1489)&gt;0,S1489,IFERROR(VLOOKUP(D1489,Parameter!$A$35:$C$64,3,0)+0,0)))</f>
        <v>0</v>
      </c>
      <c r="CF1489" s="60" t="n">
        <f aca="false">IF(AB1489&lt;&gt;"",AB1489,AA1489)</f>
        <v>1</v>
      </c>
      <c r="CG1489" s="60" t="str">
        <f aca="false">IF(OR(CF1489=1,CF1489=2,CF1489=3),IF(Parameter!$E$27="Ja","LIFT",IF(CF1489=1,"L1","L23")),IF(CF1489="Aussen","Aussen","-"))</f>
        <v>LIFT</v>
      </c>
      <c r="CH1489" s="71" t="n">
        <f aca="false">IF(N(AC1489)&gt;0,AC1489,0)</f>
        <v>0</v>
      </c>
      <c r="CI1489" s="65" t="n">
        <f aca="false">IF(ISNUMBER(AF1489),1,0)</f>
        <v>0</v>
      </c>
      <c r="CJ1489" s="62" t="n">
        <f aca="false">N(AF1489)</f>
        <v>0</v>
      </c>
      <c r="CK1489" s="62" t="n">
        <f aca="false">N(M1489)+N(N1489)</f>
        <v>1</v>
      </c>
      <c r="CL1489" s="62" t="n">
        <f aca="false">N(M1489)</f>
        <v>0</v>
      </c>
      <c r="CM1489" s="62" t="n">
        <f aca="false">N(N1489)</f>
        <v>1</v>
      </c>
      <c r="CN1489" s="62" t="n">
        <f aca="false">ROUNDUP(H1489/BZ1489,0)</f>
        <v>1</v>
      </c>
      <c r="CO1489" s="62" t="n">
        <f aca="false">ROUNDUP(CJ1489/BZ1489,0)</f>
        <v>0</v>
      </c>
      <c r="CP1489" s="65" t="n">
        <f aca="false">IF(CA1489=1,0,IFERROR(VLOOKUP(BY1489,'Gebinde-Kategorie'!$A$5:$N$45,5,0)+0,0))</f>
        <v>11</v>
      </c>
      <c r="CQ1489" s="65" t="n">
        <f aca="false">IFERROR(IF(OR(CF1489=1,CF1489=2,CF1489=3),N(INDEX(Parameter!$I$5:$I$7,CF1489)),0),0)</f>
        <v>0</v>
      </c>
      <c r="CR1489" s="64" t="n">
        <f aca="false">IF(AND(Parameter!$B$21="Ja",ISNUMBER(W1489),N(X1489)&gt;0),IFERROR(N(INDEX(Parameter!$L$5:$L$7,W1489))*INDEX(Parameter!$E$5:$E$7,W1489)*X1489/SUMIFS($X$7:$X$1843,$W$7:$W$1843,W1489),0),0)</f>
        <v>0</v>
      </c>
      <c r="CS1489" s="62" t="n">
        <f aca="false">IF(AND(OR(CG1489="L1",CG1489="L23",CG1489="LIFT"),H1489&gt;0),CC1489*IF(CR1489&gt;0,CR1489*MAX(1,H1489/X1489),IF(CA1489=1,CE1489,IF(R1489&gt;0,CN1489/R1489,0))/MAX(0.1,N(Parameter!$M$21))),"")</f>
        <v>2.98076923076923</v>
      </c>
      <c r="CT1489" s="64" t="n">
        <f aca="false">IF(CS1489="","",J1489/H1489)</f>
        <v>0</v>
      </c>
      <c r="CU1489" s="62" t="n">
        <f aca="false">IF(CS1489="","",H1489*G1489)</f>
        <v>338.28</v>
      </c>
      <c r="CV1489" s="63" t="n">
        <f aca="false">IF(CS1489="","",(CL1489+ROUNDUP(CL1489+MAX(CM1489,2*(J1489/MAX(0.1,N(Einkauf!$C$6))-CL1489)),0))/2)</f>
        <v>0.5</v>
      </c>
      <c r="CW1489" s="62" t="n">
        <f aca="false">IF(CS1489="","",MAX(0,H1489-CV1489)*G1489)</f>
        <v>295.995</v>
      </c>
      <c r="CX1489" s="62" t="n">
        <f aca="false">IF(CS1489="","",CS1489*MAX(0,1-CV1489/H1489))</f>
        <v>2.60817307692308</v>
      </c>
      <c r="CY1489" s="64" t="n">
        <f aca="false">IF(CS1489="","",PERCENTRANK($CS$7:$CS$1843,CS1489)+PERCENTRANK($CU$7:$CU$1843,CU1489)+1-PERCENTRANK($CT$7:$CT$1843,CT1489))</f>
        <v>1.66</v>
      </c>
      <c r="CZ1489" s="72" t="n">
        <f aca="false">IF(CS1489="","",CHOOSE(MATCH(Einkauf!$C$5,Parameter!$G$23:$G$27,0),CY1489,CS1489,CU1489,-CT1489,CW1489)+ROW()/1000000000)</f>
        <v>1.660001489</v>
      </c>
    </row>
    <row r="1490" customFormat="false" ht="15" hidden="false" customHeight="false" outlineLevel="0" collapsed="false">
      <c r="A1490" s="60" t="s">
        <v>2646</v>
      </c>
      <c r="B1490" s="60" t="s">
        <v>2647</v>
      </c>
      <c r="C1490" s="60" t="s">
        <v>206</v>
      </c>
      <c r="D1490" s="60" t="s">
        <v>226</v>
      </c>
      <c r="E1490" s="60" t="s">
        <v>227</v>
      </c>
      <c r="F1490" s="60"/>
      <c r="G1490" s="61" t="n">
        <v>3.88</v>
      </c>
      <c r="H1490" s="62" t="n">
        <f aca="false">MAX(0,IF(AND(Parameter!$B$21="Ja",ISNUMBER(Y1490)),Y1490,IF(Parameter!$B$20="Jahresanfang 2025 + Export",BS1490+BR1490,BR1490)))</f>
        <v>34</v>
      </c>
      <c r="I1490" s="62" t="n">
        <f aca="false">H1490*G1490</f>
        <v>131.92</v>
      </c>
      <c r="J1490" s="62" t="n">
        <f aca="false">BU1490*Parameter!$B$18</f>
        <v>0</v>
      </c>
      <c r="K1490" s="63"/>
      <c r="L1490" s="64"/>
      <c r="M1490" s="62" t="n">
        <v>0</v>
      </c>
      <c r="N1490" s="62" t="n">
        <v>10</v>
      </c>
      <c r="O1490" s="65" t="n">
        <v>28</v>
      </c>
      <c r="P1490" s="60" t="s">
        <v>518</v>
      </c>
      <c r="Q1490" s="62" t="n">
        <v>34</v>
      </c>
      <c r="R1490" s="65" t="n">
        <f aca="false">IF(CA1490=1,0,IFERROR(VLOOKUP(BY1490,'Gebinde-Kategorie'!$A$5:$N$45,13,0)+0,0))</f>
        <v>52</v>
      </c>
      <c r="S1490" s="66"/>
      <c r="T1490" s="67"/>
      <c r="U1490" s="67"/>
      <c r="V1490" s="67"/>
      <c r="W1490" s="60"/>
      <c r="X1490" s="62"/>
      <c r="Y1490" s="62"/>
      <c r="Z1490" s="60" t="n">
        <v>1</v>
      </c>
      <c r="AA1490" s="60" t="n">
        <f aca="false">IF(A1490="","",IF(AND(Parameter!$B$21="Ja",ISNUMBER(W1490)),W1490,IF(AND(Parameter!$E$27="Ja",ISNUMBER(Z1490),CD1490&lt;&gt;"Nein"),Z1490,IF(CD1490="2+3",IF(ISNUMBER(SEARCH("grosser Artikel",BV1490)),2,IFERROR(VLOOKUP(BY1490,Parameter!$F$35:$G$64,2,0),2)),IF(OR(CD1490="Nein",CD1490=""),"-",CD1490)))))</f>
        <v>1</v>
      </c>
      <c r="AB1490" s="67"/>
      <c r="AC1490" s="68"/>
      <c r="AD1490" s="62" t="n">
        <f aca="false">AW1490</f>
        <v>10</v>
      </c>
      <c r="AE1490" s="62" t="n">
        <f aca="false">MAX(AW1490,H1490)</f>
        <v>34</v>
      </c>
      <c r="AF1490" s="69"/>
      <c r="AG1490" s="62" t="n">
        <f aca="false">IF(LEFT(Cockpit!$C$5,1)="A",H1490,IF(Parameter!$E$30="MAX-Bestand",IF(CI1490=1,CJ1490,IF(LEFT(Cockpit!$C$5,1)="B",AM1490,MAX(AM1490,H1490))),ROUNDUP(AK1490,0)))</f>
        <v>34</v>
      </c>
      <c r="AH1490" s="62" t="n">
        <f aca="false">IF(CA1490=1,0,ROUNDUP(AG1490/BZ1490,0))</f>
        <v>1</v>
      </c>
      <c r="AI1490" s="64" t="n">
        <f aca="false">IF(CR1490&gt;0,CR1490*MAX(1,AG1490/X1490),IF(CA1490=1,IF(AG1490&lt;=0,0,CE1490*MAX(1,IF(H1490&gt;0,AG1490/H1490,1))),IF(R1490&gt;0,AH1490/R1490,0))/MAX(0.1,N(Parameter!$M$21)))</f>
        <v>0.0192307692307692</v>
      </c>
      <c r="AJ1490" s="62" t="n">
        <f aca="false">AI1490*CC1490</f>
        <v>2.98076923076923</v>
      </c>
      <c r="AK1490" s="63" t="n">
        <f aca="false">IF(LEFT(Cockpit!$C$5,1)="A",H1490,IF(CI1490=1,(CL1490+CJ1490)/2,IF(LEFT(Cockpit!$C$5,1)="B",(CL1490+AM1490)/2,MAX((CL1490+AM1490)/2,H1490))))</f>
        <v>34</v>
      </c>
      <c r="AL1490" s="62" t="n">
        <f aca="false">AK1490*G1490</f>
        <v>131.92</v>
      </c>
      <c r="AM1490" s="62" t="n">
        <f aca="false">ROUNDUP(CL1490+MAX(CM1490,2*(J1490/IF(CH1490&gt;0,CH1490,MAX(0.1,N(Cockpit!$C$6)))-CL1490)),0)</f>
        <v>10</v>
      </c>
      <c r="AN1490" s="63" t="n">
        <f aca="false">IF(AJ1490&gt;0,J1490/AJ1490,-1)</f>
        <v>0</v>
      </c>
      <c r="AO1490" s="63" t="n">
        <f aca="false">IF(AND(OR(CG1490="L1",CG1490="L23",CG1490="LIFT"),AJ1490&gt;0),SUMIFS($AJ$7:$AJ$1843,$CG$7:$CG$1843,CG1490,$AN$7:$AN$1843,"&gt;"&amp;AN1490)+SUMIFS($AJ$7:$AJ$1843,$CG$7:$CG$1843,CG1490,$AN$7:$AN$1843,AN1490,$BX$7:$BX$1843,"&lt;="&amp;BX1490),"")</f>
        <v>29770.7411555017</v>
      </c>
      <c r="AP1490" s="70" t="n">
        <f aca="false">IF(AO1490="",0,MAX(0,MIN(1,(IF(CG1490="L1",Parameter!$H$5,IF(CG1490="L23",Parameter!$H$6+Parameter!$H$7,Parameter!$H$5+Parameter!$H$6+Parameter!$H$7))-(AO1490-AJ1490))/AJ1490)))</f>
        <v>1</v>
      </c>
      <c r="AQ1490" s="62" t="n">
        <f aca="false">IF(LEFT(Cockpit!$I$5,1)="A",H1490,IF(Parameter!$E$30="MAX-Bestand",IF(CI1490=1,CJ1490,IF(LEFT(Cockpit!$I$5,1)="B",AW1490,MAX(AW1490,H1490))),ROUNDUP(AU1490,0)))</f>
        <v>34</v>
      </c>
      <c r="AR1490" s="62" t="n">
        <f aca="false">IF(CA1490=1,0,ROUNDUP(AQ1490/BZ1490,0))</f>
        <v>1</v>
      </c>
      <c r="AS1490" s="64" t="n">
        <f aca="false">IF(CR1490&gt;0,CR1490*MAX(1,AQ1490/X1490),IF(CA1490=1,IF(AQ1490&lt;=0,0,CE1490*MAX(1,IF(H1490&gt;0,AQ1490/H1490,1))),IF(R1490&gt;0,AR1490/R1490,0))/MAX(0.1,N(Parameter!$M$21)))</f>
        <v>0.0192307692307692</v>
      </c>
      <c r="AT1490" s="62" t="n">
        <f aca="false">AS1490*CC1490</f>
        <v>2.98076923076923</v>
      </c>
      <c r="AU1490" s="63" t="n">
        <f aca="false">IF(LEFT(Cockpit!$I$5,1)="A",H1490,IF(CI1490=1,(CL1490+CJ1490)/2,IF(LEFT(Cockpit!$I$5,1)="B",(CL1490+AW1490)/2,MAX((CL1490+AW1490)/2,H1490))))</f>
        <v>34</v>
      </c>
      <c r="AV1490" s="62" t="n">
        <f aca="false">AU1490*G1490</f>
        <v>131.92</v>
      </c>
      <c r="AW1490" s="62" t="n">
        <f aca="false">ROUNDUP(CL1490+MAX(CM1490,2*(J1490/IF(CH1490&gt;0,CH1490,MAX(0.1,N(Cockpit!$I$6)))-CL1490)),0)</f>
        <v>10</v>
      </c>
      <c r="AX1490" s="63" t="n">
        <f aca="false">IF(AT1490&gt;0,J1490/AT1490,-1)</f>
        <v>0</v>
      </c>
      <c r="AY1490" s="63" t="n">
        <f aca="false">IF(AND(OR(CG1490="L1",CG1490="L23",CG1490="LIFT"),AT1490&gt;0),SUMIFS($AT$7:$AT$1843,$CG$7:$CG$1843,CG1490,$AX$7:$AX$1843,"&gt;"&amp;AX1490)+SUMIFS($AT$7:$AT$1843,$CG$7:$CG$1843,CG1490,$AX$7:$AX$1843,AX1490,$BX$7:$BX$1843,"&lt;="&amp;BX1490),"")</f>
        <v>36077.3119580514</v>
      </c>
      <c r="AZ1490" s="70" t="n">
        <f aca="false">IF(AY1490="",0,MAX(0,MIN(1,(IF(CG1490="L1",Parameter!$H$5,IF(CG1490="L23",Parameter!$H$6+Parameter!$H$7,Parameter!$H$5+Parameter!$H$6+Parameter!$H$7))-(AY1490-AT1490))/AT1490)))</f>
        <v>0</v>
      </c>
      <c r="BA1490" s="62" t="n">
        <f aca="false">IF(LEFT(Cockpit!$O$5,1)="A",H1490,IF(Parameter!$E$30="MAX-Bestand",IF(CI1490=1,CJ1490,IF(LEFT(Cockpit!$O$5,1)="B",BG1490,MAX(BG1490,H1490))),ROUNDUP(BE1490,0)))</f>
        <v>5</v>
      </c>
      <c r="BB1490" s="62" t="n">
        <f aca="false">IF(CA1490=1,0,ROUNDUP(BA1490/BZ1490,0))</f>
        <v>1</v>
      </c>
      <c r="BC1490" s="64" t="n">
        <f aca="false">IF(CR1490&gt;0,CR1490*MAX(1,BA1490/X1490),IF(CA1490=1,IF(BA1490&lt;=0,0,CE1490*MAX(1,IF(H1490&gt;0,BA1490/H1490,1))),IF(R1490&gt;0,BB1490/R1490,0))/MAX(0.1,N(Parameter!$M$21)))</f>
        <v>0.0192307692307692</v>
      </c>
      <c r="BD1490" s="62" t="n">
        <f aca="false">BC1490*CC1490</f>
        <v>2.98076923076923</v>
      </c>
      <c r="BE1490" s="63" t="n">
        <f aca="false">IF(LEFT(Cockpit!$O$5,1)="A",H1490,IF(CI1490=1,(CL1490+CJ1490)/2,IF(LEFT(Cockpit!$O$5,1)="B",(CL1490+BG1490)/2,MAX((CL1490+BG1490)/2,H1490))))</f>
        <v>5</v>
      </c>
      <c r="BF1490" s="62" t="n">
        <f aca="false">BE1490*G1490</f>
        <v>19.4</v>
      </c>
      <c r="BG1490" s="62" t="n">
        <f aca="false">ROUNDUP(CL1490+MAX(CM1490,2*(J1490/IF(CH1490&gt;0,CH1490,MAX(0.1,N(Cockpit!$O$6)))-CL1490)),0)</f>
        <v>10</v>
      </c>
      <c r="BH1490" s="63" t="n">
        <f aca="false">IF(BD1490&gt;0,J1490/BD1490,-1)</f>
        <v>0</v>
      </c>
      <c r="BI1490" s="63" t="n">
        <f aca="false">IF(AND(OR(CG1490="L1",CG1490="L23",CG1490="LIFT"),BD1490&gt;0),SUMIFS($BD$7:$BD$1843,$CG$7:$CG$1843,CG1490,$BH$7:$BH$1843,"&gt;"&amp;BH1490)+SUMIFS($BD$7:$BD$1843,$CG$7:$CG$1843,CG1490,$BH$7:$BH$1843,BH1490,$BX$7:$BX$1843,"&lt;="&amp;BX1490),"")</f>
        <v>30062.6186181991</v>
      </c>
      <c r="BJ1490" s="70" t="n">
        <f aca="false">IF(BI1490="",0,MAX(0,MIN(1,(IF(CG1490="L1",Parameter!$H$5,IF(CG1490="L23",Parameter!$H$6+Parameter!$H$7,Parameter!$H$5+Parameter!$H$6+Parameter!$H$7))-(BI1490-BD1490))/BD1490)))</f>
        <v>1</v>
      </c>
      <c r="BK1490" s="60" t="str">
        <f aca="false">IF(AJ1490&lt;=0,"",IF(CG1490="Aussen","Aussenlager",IF(CG1490="-","Nicht im Lift",IF(AP1490&gt;=1,"Lift",IF(AP1490&lt;=0,"Aussenlager","teilweise")))))</f>
        <v>Lift</v>
      </c>
      <c r="BL1490" s="60" t="str">
        <f aca="false">IF(AT1490&lt;=0,"",IF(CG1490="Aussen","Aussenlager",IF(CG1490="-","Nicht im Lift",IF(AZ1490&gt;=1,"Lift",IF(AZ1490&lt;=0,"Aussenlager","teilweise")))))</f>
        <v>Aussenlager</v>
      </c>
      <c r="BM1490" s="60" t="str">
        <f aca="false">IF(BD1490&lt;=0,"",IF(CG1490="Aussen","Aussenlager",IF(CG1490="-","Nicht im Lift",IF(BJ1490&gt;=1,"Lift",IF(BJ1490&lt;=0,"Aussenlager","teilweise")))))</f>
        <v>Lift</v>
      </c>
      <c r="BN1490" s="60" t="str">
        <f aca="false">IF(A1490="","",IF(BW1490=1,"Neu; ","")&amp;IF(AND(BW1490=0,BR1490&lt;0),"negativer Bestand (Export "&amp;BR1490&amp;"); ","")&amp;IF(J1490&lt;=0,"Kein Verbrauch; ","")&amp;IF(CR1490&gt;0,"Lift "&amp;W1490&amp;" lt. Liftbericht (Fach "&amp;X1490&amp;" Stk); ",IF(CB1490=1,"Gebinde geschätzt ("&amp;T1490&amp;"); ",IF(CA1490=1,"Lose – Tablare geschätzt; ","")))&amp;IF(H1490&gt;AW1490,"Überbestand "&amp;ROUND(H1490-AW1490,0)&amp;" Stk / CHF "&amp;ROUND((H1490-AW1490)*G1490,0)&amp;"; ","")&amp;IF(AND(CI1490=1,CJ1490&lt;CK1490),"MAX &lt; MB+LG; ","")&amp;IF(AND(CQ1490&gt;0,CP1490*10&gt;CQ1490),"zu hoch für Tablar; ","")&amp;IF(AND(BW1490=0,OR(CI1490=1,AB1490&lt;&gt;"",U1490&lt;&gt;"",V1490&lt;&gt;"",AC1490&lt;&gt;"")),"manuell übersteuert; ","")&amp;IF(AND(CA1490=0,R1490=0),"Gebinde unbekannt / Stellmass fehlt; ","")&amp;IF(AND(CA1490=0,N(V1490)&lt;=0,N(Q1490)&lt;=0),"Menge pro Gebinde fehlt (Ist = 1 Gebinde); ","")&amp;BV1490)</f>
        <v>Kein Verbrauch; Überbestand 24 Stk / CHF 93; nur im Artikelstamm (Bestand 23.06.2026)</v>
      </c>
      <c r="BO1490" s="60"/>
      <c r="BP1490" s="60"/>
      <c r="BQ1490" s="67"/>
      <c r="BR1490" s="62" t="n">
        <v>34</v>
      </c>
      <c r="BS1490" s="62" t="n">
        <v>0</v>
      </c>
      <c r="BT1490" s="61" t="n">
        <v>0</v>
      </c>
      <c r="BU1490" s="62" t="n">
        <v>0</v>
      </c>
      <c r="BV1490" s="60" t="s">
        <v>2617</v>
      </c>
      <c r="BW1490" s="65" t="n">
        <v>0</v>
      </c>
      <c r="BX1490" s="65" t="n">
        <v>1490</v>
      </c>
      <c r="BY1490" s="60" t="str">
        <f aca="false">IF(U1490&lt;&gt;"",UPPER(TRIM(U1490)),IF(CB1490=1,UPPER(VLOOKUP(T1490,Parameter!$I$27:$K$29,2,0)),IF(P1490="","LOSE",P1490)))</f>
        <v>S33</v>
      </c>
      <c r="BZ1490" s="62" t="n">
        <f aca="false">IF(BY1490="LOSE",1,IF(N(V1490)&gt;0,V1490,IF(CB1490=1,MAX(1,N(VLOOKUP(T1490,Parameter!$I$27:$K$29,3,0)),H1490,N(N1490)),IF(N(Q1490)&gt;0,Q1490,MAX(1,H1490)))))</f>
        <v>34</v>
      </c>
      <c r="CA1490" s="65" t="n">
        <f aca="false">IF(BY1490="LOSE",1,0)</f>
        <v>0</v>
      </c>
      <c r="CB1490" s="65" t="n">
        <f aca="false">IF(AND(U1490="",OR(P1490="",P1490="LOSE"),T1490&lt;&gt;"",N(S1490)&lt;=0,ISNUMBER(MATCH(T1490,Parameter!$I$27:$I$29,0))),1,0)</f>
        <v>0</v>
      </c>
      <c r="CC1490" s="65" t="n">
        <f aca="false">IF(CR1490&gt;0,INDEX(Parameter!$H$5:$H$7,W1490)/INDEX(Parameter!$E$5:$E$7,W1490),IF(AND(CA1490=0,N(IFERROR(VLOOKUP(BY1490,'Gebinde-Kategorie'!$A$5:$N$45,14,0),0))&gt;0),VLOOKUP(BY1490,'Gebinde-Kategorie'!$A$5:$N$45,14,0)*10+Parameter!$M$23,Parameter!$M$24))</f>
        <v>155</v>
      </c>
      <c r="CD1490" s="60" t="str">
        <f aca="false">IF(AND(Parameter!$B$19="Ja",E1490&lt;&gt;"",ISNUMBER(MATCH(E1490,Parameter!$I$35:$I$52,0))),VLOOKUP(E1490,Parameter!$I$35:$J$52,2,0),IFERROR(VLOOKUP(D1490,Parameter!$A$35:$C$64,2,0),"Nein"))</f>
        <v>2+3</v>
      </c>
      <c r="CE1490" s="64" t="n">
        <f aca="false">IF(CA1490=0,0,IF(N(S1490)&gt;0,S1490,IFERROR(VLOOKUP(D1490,Parameter!$A$35:$C$64,3,0)+0,0)))</f>
        <v>0</v>
      </c>
      <c r="CF1490" s="60" t="n">
        <f aca="false">IF(AB1490&lt;&gt;"",AB1490,AA1490)</f>
        <v>1</v>
      </c>
      <c r="CG1490" s="60" t="str">
        <f aca="false">IF(OR(CF1490=1,CF1490=2,CF1490=3),IF(Parameter!$E$27="Ja","LIFT",IF(CF1490=1,"L1","L23")),IF(CF1490="Aussen","Aussen","-"))</f>
        <v>LIFT</v>
      </c>
      <c r="CH1490" s="71" t="n">
        <f aca="false">IF(N(AC1490)&gt;0,AC1490,0)</f>
        <v>0</v>
      </c>
      <c r="CI1490" s="65" t="n">
        <f aca="false">IF(ISNUMBER(AF1490),1,0)</f>
        <v>0</v>
      </c>
      <c r="CJ1490" s="62" t="n">
        <f aca="false">N(AF1490)</f>
        <v>0</v>
      </c>
      <c r="CK1490" s="62" t="n">
        <f aca="false">N(M1490)+N(N1490)</f>
        <v>10</v>
      </c>
      <c r="CL1490" s="62" t="n">
        <f aca="false">N(M1490)</f>
        <v>0</v>
      </c>
      <c r="CM1490" s="62" t="n">
        <f aca="false">N(N1490)</f>
        <v>10</v>
      </c>
      <c r="CN1490" s="62" t="n">
        <f aca="false">ROUNDUP(H1490/BZ1490,0)</f>
        <v>1</v>
      </c>
      <c r="CO1490" s="62" t="n">
        <f aca="false">ROUNDUP(CJ1490/BZ1490,0)</f>
        <v>0</v>
      </c>
      <c r="CP1490" s="65" t="n">
        <f aca="false">IF(CA1490=1,0,IFERROR(VLOOKUP(BY1490,'Gebinde-Kategorie'!$A$5:$N$45,5,0)+0,0))</f>
        <v>8</v>
      </c>
      <c r="CQ1490" s="65" t="n">
        <f aca="false">IFERROR(IF(OR(CF1490=1,CF1490=2,CF1490=3),N(INDEX(Parameter!$I$5:$I$7,CF1490)),0),0)</f>
        <v>0</v>
      </c>
      <c r="CR1490" s="64" t="n">
        <f aca="false">IF(AND(Parameter!$B$21="Ja",ISNUMBER(W1490),N(X1490)&gt;0),IFERROR(N(INDEX(Parameter!$L$5:$L$7,W1490))*INDEX(Parameter!$E$5:$E$7,W1490)*X1490/SUMIFS($X$7:$X$1843,$W$7:$W$1843,W1490),0),0)</f>
        <v>0</v>
      </c>
      <c r="CS1490" s="62" t="n">
        <f aca="false">IF(AND(OR(CG1490="L1",CG1490="L23",CG1490="LIFT"),H1490&gt;0),CC1490*IF(CR1490&gt;0,CR1490*MAX(1,H1490/X1490),IF(CA1490=1,CE1490,IF(R1490&gt;0,CN1490/R1490,0))/MAX(0.1,N(Parameter!$M$21))),"")</f>
        <v>2.98076923076923</v>
      </c>
      <c r="CT1490" s="64" t="n">
        <f aca="false">IF(CS1490="","",J1490/H1490)</f>
        <v>0</v>
      </c>
      <c r="CU1490" s="62" t="n">
        <f aca="false">IF(CS1490="","",H1490*G1490)</f>
        <v>131.92</v>
      </c>
      <c r="CV1490" s="63" t="n">
        <f aca="false">IF(CS1490="","",(CL1490+ROUNDUP(CL1490+MAX(CM1490,2*(J1490/MAX(0.1,N(Einkauf!$C$6))-CL1490)),0))/2)</f>
        <v>5</v>
      </c>
      <c r="CW1490" s="62" t="n">
        <f aca="false">IF(CS1490="","",MAX(0,H1490-CV1490)*G1490)</f>
        <v>112.52</v>
      </c>
      <c r="CX1490" s="62" t="n">
        <f aca="false">IF(CS1490="","",CS1490*MAX(0,1-CV1490/H1490))</f>
        <v>2.54242081447964</v>
      </c>
      <c r="CY1490" s="64" t="n">
        <f aca="false">IF(CS1490="","",PERCENTRANK($CS$7:$CS$1843,CS1490)+PERCENTRANK($CU$7:$CU$1843,CU1490)+1-PERCENTRANK($CT$7:$CT$1843,CT1490))</f>
        <v>1.487</v>
      </c>
      <c r="CZ1490" s="72" t="n">
        <f aca="false">IF(CS1490="","",CHOOSE(MATCH(Einkauf!$C$5,Parameter!$G$23:$G$27,0),CY1490,CS1490,CU1490,-CT1490,CW1490)+ROW()/1000000000)</f>
        <v>1.48700149</v>
      </c>
    </row>
    <row r="1491" customFormat="false" ht="15" hidden="false" customHeight="false" outlineLevel="0" collapsed="false">
      <c r="A1491" s="60" t="s">
        <v>2648</v>
      </c>
      <c r="B1491" s="60" t="s">
        <v>2649</v>
      </c>
      <c r="C1491" s="60" t="s">
        <v>206</v>
      </c>
      <c r="D1491" s="60" t="s">
        <v>226</v>
      </c>
      <c r="E1491" s="60" t="s">
        <v>227</v>
      </c>
      <c r="F1491" s="60"/>
      <c r="G1491" s="61" t="n">
        <v>96.34</v>
      </c>
      <c r="H1491" s="62" t="n">
        <f aca="false">MAX(0,IF(AND(Parameter!$B$21="Ja",ISNUMBER(Y1491)),Y1491,IF(Parameter!$B$20="Jahresanfang 2025 + Export",BS1491+BR1491,BR1491)))</f>
        <v>8</v>
      </c>
      <c r="I1491" s="62" t="n">
        <f aca="false">H1491*G1491</f>
        <v>770.72</v>
      </c>
      <c r="J1491" s="62" t="n">
        <f aca="false">BU1491*Parameter!$B$18</f>
        <v>0</v>
      </c>
      <c r="K1491" s="63"/>
      <c r="L1491" s="64"/>
      <c r="M1491" s="62" t="n">
        <v>0</v>
      </c>
      <c r="N1491" s="62" t="n">
        <v>5</v>
      </c>
      <c r="O1491" s="65" t="n">
        <v>168</v>
      </c>
      <c r="P1491" s="60" t="s">
        <v>344</v>
      </c>
      <c r="Q1491" s="62" t="n">
        <v>8</v>
      </c>
      <c r="R1491" s="65" t="n">
        <f aca="false">IF(CA1491=1,0,IFERROR(VLOOKUP(BY1491,'Gebinde-Kategorie'!$A$5:$N$45,13,0)+0,0))</f>
        <v>26</v>
      </c>
      <c r="S1491" s="66"/>
      <c r="T1491" s="67"/>
      <c r="U1491" s="67"/>
      <c r="V1491" s="67"/>
      <c r="W1491" s="60"/>
      <c r="X1491" s="62"/>
      <c r="Y1491" s="62"/>
      <c r="Z1491" s="60" t="n">
        <v>3</v>
      </c>
      <c r="AA1491" s="60" t="n">
        <f aca="false">IF(A1491="","",IF(AND(Parameter!$B$21="Ja",ISNUMBER(W1491)),W1491,IF(AND(Parameter!$E$27="Ja",ISNUMBER(Z1491),CD1491&lt;&gt;"Nein"),Z1491,IF(CD1491="2+3",IF(ISNUMBER(SEARCH("grosser Artikel",BV1491)),2,IFERROR(VLOOKUP(BY1491,Parameter!$F$35:$G$64,2,0),2)),IF(OR(CD1491="Nein",CD1491=""),"-",CD1491)))))</f>
        <v>3</v>
      </c>
      <c r="AB1491" s="67"/>
      <c r="AC1491" s="68"/>
      <c r="AD1491" s="62" t="n">
        <f aca="false">AW1491</f>
        <v>5</v>
      </c>
      <c r="AE1491" s="62" t="n">
        <f aca="false">MAX(AW1491,H1491)</f>
        <v>8</v>
      </c>
      <c r="AF1491" s="69"/>
      <c r="AG1491" s="62" t="n">
        <f aca="false">IF(LEFT(Cockpit!$C$5,1)="A",H1491,IF(Parameter!$E$30="MAX-Bestand",IF(CI1491=1,CJ1491,IF(LEFT(Cockpit!$C$5,1)="B",AM1491,MAX(AM1491,H1491))),ROUNDUP(AK1491,0)))</f>
        <v>8</v>
      </c>
      <c r="AH1491" s="62" t="n">
        <f aca="false">IF(CA1491=1,0,ROUNDUP(AG1491/BZ1491,0))</f>
        <v>1</v>
      </c>
      <c r="AI1491" s="64" t="n">
        <f aca="false">IF(CR1491&gt;0,CR1491*MAX(1,AG1491/X1491),IF(CA1491=1,IF(AG1491&lt;=0,0,CE1491*MAX(1,IF(H1491&gt;0,AG1491/H1491,1))),IF(R1491&gt;0,AH1491/R1491,0))/MAX(0.1,N(Parameter!$M$21)))</f>
        <v>0.0384615384615385</v>
      </c>
      <c r="AJ1491" s="62" t="n">
        <f aca="false">AI1491*CC1491</f>
        <v>5.96153846153846</v>
      </c>
      <c r="AK1491" s="63" t="n">
        <f aca="false">IF(LEFT(Cockpit!$C$5,1)="A",H1491,IF(CI1491=1,(CL1491+CJ1491)/2,IF(LEFT(Cockpit!$C$5,1)="B",(CL1491+AM1491)/2,MAX((CL1491+AM1491)/2,H1491))))</f>
        <v>8</v>
      </c>
      <c r="AL1491" s="62" t="n">
        <f aca="false">AK1491*G1491</f>
        <v>770.72</v>
      </c>
      <c r="AM1491" s="62" t="n">
        <f aca="false">ROUNDUP(CL1491+MAX(CM1491,2*(J1491/IF(CH1491&gt;0,CH1491,MAX(0.1,N(Cockpit!$C$6)))-CL1491)),0)</f>
        <v>5</v>
      </c>
      <c r="AN1491" s="63" t="n">
        <f aca="false">IF(AJ1491&gt;0,J1491/AJ1491,-1)</f>
        <v>0</v>
      </c>
      <c r="AO1491" s="63" t="n">
        <f aca="false">IF(AND(OR(CG1491="L1",CG1491="L23",CG1491="LIFT"),AJ1491&gt;0),SUMIFS($AJ$7:$AJ$1843,$CG$7:$CG$1843,CG1491,$AN$7:$AN$1843,"&gt;"&amp;AN1491)+SUMIFS($AJ$7:$AJ$1843,$CG$7:$CG$1843,CG1491,$AN$7:$AN$1843,AN1491,$BX$7:$BX$1843,"&lt;="&amp;BX1491),"")</f>
        <v>29776.7026939633</v>
      </c>
      <c r="AP1491" s="70" t="n">
        <f aca="false">IF(AO1491="",0,MAX(0,MIN(1,(IF(CG1491="L1",Parameter!$H$5,IF(CG1491="L23",Parameter!$H$6+Parameter!$H$7,Parameter!$H$5+Parameter!$H$6+Parameter!$H$7))-(AO1491-AJ1491))/AJ1491)))</f>
        <v>1</v>
      </c>
      <c r="AQ1491" s="62" t="n">
        <f aca="false">IF(LEFT(Cockpit!$I$5,1)="A",H1491,IF(Parameter!$E$30="MAX-Bestand",IF(CI1491=1,CJ1491,IF(LEFT(Cockpit!$I$5,1)="B",AW1491,MAX(AW1491,H1491))),ROUNDUP(AU1491,0)))</f>
        <v>8</v>
      </c>
      <c r="AR1491" s="62" t="n">
        <f aca="false">IF(CA1491=1,0,ROUNDUP(AQ1491/BZ1491,0))</f>
        <v>1</v>
      </c>
      <c r="AS1491" s="64" t="n">
        <f aca="false">IF(CR1491&gt;0,CR1491*MAX(1,AQ1491/X1491),IF(CA1491=1,IF(AQ1491&lt;=0,0,CE1491*MAX(1,IF(H1491&gt;0,AQ1491/H1491,1))),IF(R1491&gt;0,AR1491/R1491,0))/MAX(0.1,N(Parameter!$M$21)))</f>
        <v>0.0384615384615385</v>
      </c>
      <c r="AT1491" s="62" t="n">
        <f aca="false">AS1491*CC1491</f>
        <v>5.96153846153846</v>
      </c>
      <c r="AU1491" s="63" t="n">
        <f aca="false">IF(LEFT(Cockpit!$I$5,1)="A",H1491,IF(CI1491=1,(CL1491+CJ1491)/2,IF(LEFT(Cockpit!$I$5,1)="B",(CL1491+AW1491)/2,MAX((CL1491+AW1491)/2,H1491))))</f>
        <v>8</v>
      </c>
      <c r="AV1491" s="62" t="n">
        <f aca="false">AU1491*G1491</f>
        <v>770.72</v>
      </c>
      <c r="AW1491" s="62" t="n">
        <f aca="false">ROUNDUP(CL1491+MAX(CM1491,2*(J1491/IF(CH1491&gt;0,CH1491,MAX(0.1,N(Cockpit!$I$6)))-CL1491)),0)</f>
        <v>5</v>
      </c>
      <c r="AX1491" s="63" t="n">
        <f aca="false">IF(AT1491&gt;0,J1491/AT1491,-1)</f>
        <v>0</v>
      </c>
      <c r="AY1491" s="63" t="n">
        <f aca="false">IF(AND(OR(CG1491="L1",CG1491="L23",CG1491="LIFT"),AT1491&gt;0),SUMIFS($AT$7:$AT$1843,$CG$7:$CG$1843,CG1491,$AX$7:$AX$1843,"&gt;"&amp;AX1491)+SUMIFS($AT$7:$AT$1843,$CG$7:$CG$1843,CG1491,$AX$7:$AX$1843,AX1491,$BX$7:$BX$1843,"&lt;="&amp;BX1491),"")</f>
        <v>36083.2734965129</v>
      </c>
      <c r="AZ1491" s="70" t="n">
        <f aca="false">IF(AY1491="",0,MAX(0,MIN(1,(IF(CG1491="L1",Parameter!$H$5,IF(CG1491="L23",Parameter!$H$6+Parameter!$H$7,Parameter!$H$5+Parameter!$H$6+Parameter!$H$7))-(AY1491-AT1491))/AT1491)))</f>
        <v>0</v>
      </c>
      <c r="BA1491" s="62" t="n">
        <f aca="false">IF(LEFT(Cockpit!$O$5,1)="A",H1491,IF(Parameter!$E$30="MAX-Bestand",IF(CI1491=1,CJ1491,IF(LEFT(Cockpit!$O$5,1)="B",BG1491,MAX(BG1491,H1491))),ROUNDUP(BE1491,0)))</f>
        <v>3</v>
      </c>
      <c r="BB1491" s="62" t="n">
        <f aca="false">IF(CA1491=1,0,ROUNDUP(BA1491/BZ1491,0))</f>
        <v>1</v>
      </c>
      <c r="BC1491" s="64" t="n">
        <f aca="false">IF(CR1491&gt;0,CR1491*MAX(1,BA1491/X1491),IF(CA1491=1,IF(BA1491&lt;=0,0,CE1491*MAX(1,IF(H1491&gt;0,BA1491/H1491,1))),IF(R1491&gt;0,BB1491/R1491,0))/MAX(0.1,N(Parameter!$M$21)))</f>
        <v>0.0384615384615385</v>
      </c>
      <c r="BD1491" s="62" t="n">
        <f aca="false">BC1491*CC1491</f>
        <v>5.96153846153846</v>
      </c>
      <c r="BE1491" s="63" t="n">
        <f aca="false">IF(LEFT(Cockpit!$O$5,1)="A",H1491,IF(CI1491=1,(CL1491+CJ1491)/2,IF(LEFT(Cockpit!$O$5,1)="B",(CL1491+BG1491)/2,MAX((CL1491+BG1491)/2,H1491))))</f>
        <v>2.5</v>
      </c>
      <c r="BF1491" s="62" t="n">
        <f aca="false">BE1491*G1491</f>
        <v>240.85</v>
      </c>
      <c r="BG1491" s="62" t="n">
        <f aca="false">ROUNDUP(CL1491+MAX(CM1491,2*(J1491/IF(CH1491&gt;0,CH1491,MAX(0.1,N(Cockpit!$O$6)))-CL1491)),0)</f>
        <v>5</v>
      </c>
      <c r="BH1491" s="63" t="n">
        <f aca="false">IF(BD1491&gt;0,J1491/BD1491,-1)</f>
        <v>0</v>
      </c>
      <c r="BI1491" s="63" t="n">
        <f aca="false">IF(AND(OR(CG1491="L1",CG1491="L23",CG1491="LIFT"),BD1491&gt;0),SUMIFS($BD$7:$BD$1843,$CG$7:$CG$1843,CG1491,$BH$7:$BH$1843,"&gt;"&amp;BH1491)+SUMIFS($BD$7:$BD$1843,$CG$7:$CG$1843,CG1491,$BH$7:$BH$1843,BH1491,$BX$7:$BX$1843,"&lt;="&amp;BX1491),"")</f>
        <v>30068.5801566607</v>
      </c>
      <c r="BJ1491" s="70" t="n">
        <f aca="false">IF(BI1491="",0,MAX(0,MIN(1,(IF(CG1491="L1",Parameter!$H$5,IF(CG1491="L23",Parameter!$H$6+Parameter!$H$7,Parameter!$H$5+Parameter!$H$6+Parameter!$H$7))-(BI1491-BD1491))/BD1491)))</f>
        <v>1</v>
      </c>
      <c r="BK1491" s="60" t="str">
        <f aca="false">IF(AJ1491&lt;=0,"",IF(CG1491="Aussen","Aussenlager",IF(CG1491="-","Nicht im Lift",IF(AP1491&gt;=1,"Lift",IF(AP1491&lt;=0,"Aussenlager","teilweise")))))</f>
        <v>Lift</v>
      </c>
      <c r="BL1491" s="60" t="str">
        <f aca="false">IF(AT1491&lt;=0,"",IF(CG1491="Aussen","Aussenlager",IF(CG1491="-","Nicht im Lift",IF(AZ1491&gt;=1,"Lift",IF(AZ1491&lt;=0,"Aussenlager","teilweise")))))</f>
        <v>Aussenlager</v>
      </c>
      <c r="BM1491" s="60" t="str">
        <f aca="false">IF(BD1491&lt;=0,"",IF(CG1491="Aussen","Aussenlager",IF(CG1491="-","Nicht im Lift",IF(BJ1491&gt;=1,"Lift",IF(BJ1491&lt;=0,"Aussenlager","teilweise")))))</f>
        <v>Lift</v>
      </c>
      <c r="BN1491" s="60" t="str">
        <f aca="false">IF(A1491="","",IF(BW1491=1,"Neu; ","")&amp;IF(AND(BW1491=0,BR1491&lt;0),"negativer Bestand (Export "&amp;BR1491&amp;"); ","")&amp;IF(J1491&lt;=0,"Kein Verbrauch; ","")&amp;IF(CR1491&gt;0,"Lift "&amp;W1491&amp;" lt. Liftbericht (Fach "&amp;X1491&amp;" Stk); ",IF(CB1491=1,"Gebinde geschätzt ("&amp;T1491&amp;"); ",IF(CA1491=1,"Lose – Tablare geschätzt; ","")))&amp;IF(H1491&gt;AW1491,"Überbestand "&amp;ROUND(H1491-AW1491,0)&amp;" Stk / CHF "&amp;ROUND((H1491-AW1491)*G1491,0)&amp;"; ","")&amp;IF(AND(CI1491=1,CJ1491&lt;CK1491),"MAX &lt; MB+LG; ","")&amp;IF(AND(CQ1491&gt;0,CP1491*10&gt;CQ1491),"zu hoch für Tablar; ","")&amp;IF(AND(BW1491=0,OR(CI1491=1,AB1491&lt;&gt;"",U1491&lt;&gt;"",V1491&lt;&gt;"",AC1491&lt;&gt;"")),"manuell übersteuert; ","")&amp;IF(AND(CA1491=0,R1491=0),"Gebinde unbekannt / Stellmass fehlt; ","")&amp;IF(AND(CA1491=0,N(V1491)&lt;=0,N(Q1491)&lt;=0),"Menge pro Gebinde fehlt (Ist = 1 Gebinde); ","")&amp;BV1491)</f>
        <v>Kein Verbrauch; Überbestand 3 Stk / CHF 289; nur im Artikelstamm (Bestand 23.06.2026)</v>
      </c>
      <c r="BO1491" s="60"/>
      <c r="BP1491" s="60"/>
      <c r="BQ1491" s="67"/>
      <c r="BR1491" s="62" t="n">
        <v>8</v>
      </c>
      <c r="BS1491" s="62" t="n">
        <v>0</v>
      </c>
      <c r="BT1491" s="61" t="n">
        <v>0</v>
      </c>
      <c r="BU1491" s="62" t="n">
        <v>0</v>
      </c>
      <c r="BV1491" s="60" t="s">
        <v>2617</v>
      </c>
      <c r="BW1491" s="65" t="n">
        <v>0</v>
      </c>
      <c r="BX1491" s="65" t="n">
        <v>1491</v>
      </c>
      <c r="BY1491" s="60" t="str">
        <f aca="false">IF(U1491&lt;&gt;"",UPPER(TRIM(U1491)),IF(CB1491=1,UPPER(VLOOKUP(T1491,Parameter!$I$27:$K$29,2,0)),IF(P1491="","LOSE",P1491)))</f>
        <v>S51</v>
      </c>
      <c r="BZ1491" s="62" t="n">
        <f aca="false">IF(BY1491="LOSE",1,IF(N(V1491)&gt;0,V1491,IF(CB1491=1,MAX(1,N(VLOOKUP(T1491,Parameter!$I$27:$K$29,3,0)),H1491,N(N1491)),IF(N(Q1491)&gt;0,Q1491,MAX(1,H1491)))))</f>
        <v>8</v>
      </c>
      <c r="CA1491" s="65" t="n">
        <f aca="false">IF(BY1491="LOSE",1,0)</f>
        <v>0</v>
      </c>
      <c r="CB1491" s="65" t="n">
        <f aca="false">IF(AND(U1491="",OR(P1491="",P1491="LOSE"),T1491&lt;&gt;"",N(S1491)&lt;=0,ISNUMBER(MATCH(T1491,Parameter!$I$27:$I$29,0))),1,0)</f>
        <v>0</v>
      </c>
      <c r="CC1491" s="65" t="n">
        <f aca="false">IF(CR1491&gt;0,INDEX(Parameter!$H$5:$H$7,W1491)/INDEX(Parameter!$E$5:$E$7,W1491),IF(AND(CA1491=0,N(IFERROR(VLOOKUP(BY1491,'Gebinde-Kategorie'!$A$5:$N$45,14,0),0))&gt;0),VLOOKUP(BY1491,'Gebinde-Kategorie'!$A$5:$N$45,14,0)*10+Parameter!$M$23,Parameter!$M$24))</f>
        <v>155</v>
      </c>
      <c r="CD1491" s="60" t="str">
        <f aca="false">IF(AND(Parameter!$B$19="Ja",E1491&lt;&gt;"",ISNUMBER(MATCH(E1491,Parameter!$I$35:$I$52,0))),VLOOKUP(E1491,Parameter!$I$35:$J$52,2,0),IFERROR(VLOOKUP(D1491,Parameter!$A$35:$C$64,2,0),"Nein"))</f>
        <v>2+3</v>
      </c>
      <c r="CE1491" s="64" t="n">
        <f aca="false">IF(CA1491=0,0,IF(N(S1491)&gt;0,S1491,IFERROR(VLOOKUP(D1491,Parameter!$A$35:$C$64,3,0)+0,0)))</f>
        <v>0</v>
      </c>
      <c r="CF1491" s="60" t="n">
        <f aca="false">IF(AB1491&lt;&gt;"",AB1491,AA1491)</f>
        <v>3</v>
      </c>
      <c r="CG1491" s="60" t="str">
        <f aca="false">IF(OR(CF1491=1,CF1491=2,CF1491=3),IF(Parameter!$E$27="Ja","LIFT",IF(CF1491=1,"L1","L23")),IF(CF1491="Aussen","Aussen","-"))</f>
        <v>LIFT</v>
      </c>
      <c r="CH1491" s="71" t="n">
        <f aca="false">IF(N(AC1491)&gt;0,AC1491,0)</f>
        <v>0</v>
      </c>
      <c r="CI1491" s="65" t="n">
        <f aca="false">IF(ISNUMBER(AF1491),1,0)</f>
        <v>0</v>
      </c>
      <c r="CJ1491" s="62" t="n">
        <f aca="false">N(AF1491)</f>
        <v>0</v>
      </c>
      <c r="CK1491" s="62" t="n">
        <f aca="false">N(M1491)+N(N1491)</f>
        <v>5</v>
      </c>
      <c r="CL1491" s="62" t="n">
        <f aca="false">N(M1491)</f>
        <v>0</v>
      </c>
      <c r="CM1491" s="62" t="n">
        <f aca="false">N(N1491)</f>
        <v>5</v>
      </c>
      <c r="CN1491" s="62" t="n">
        <f aca="false">ROUNDUP(H1491/BZ1491,0)</f>
        <v>1</v>
      </c>
      <c r="CO1491" s="62" t="n">
        <f aca="false">ROUNDUP(CJ1491/BZ1491,0)</f>
        <v>0</v>
      </c>
      <c r="CP1491" s="65" t="n">
        <f aca="false">IF(CA1491=1,0,IFERROR(VLOOKUP(BY1491,'Gebinde-Kategorie'!$A$5:$N$45,5,0)+0,0))</f>
        <v>11</v>
      </c>
      <c r="CQ1491" s="65" t="n">
        <f aca="false">IFERROR(IF(OR(CF1491=1,CF1491=2,CF1491=3),N(INDEX(Parameter!$I$5:$I$7,CF1491)),0),0)</f>
        <v>0</v>
      </c>
      <c r="CR1491" s="64" t="n">
        <f aca="false">IF(AND(Parameter!$B$21="Ja",ISNUMBER(W1491),N(X1491)&gt;0),IFERROR(N(INDEX(Parameter!$L$5:$L$7,W1491))*INDEX(Parameter!$E$5:$E$7,W1491)*X1491/SUMIFS($X$7:$X$1843,$W$7:$W$1843,W1491),0),0)</f>
        <v>0</v>
      </c>
      <c r="CS1491" s="62" t="n">
        <f aca="false">IF(AND(OR(CG1491="L1",CG1491="L23",CG1491="LIFT"),H1491&gt;0),CC1491*IF(CR1491&gt;0,CR1491*MAX(1,H1491/X1491),IF(CA1491=1,CE1491,IF(R1491&gt;0,CN1491/R1491,0))/MAX(0.1,N(Parameter!$M$21))),"")</f>
        <v>5.96153846153846</v>
      </c>
      <c r="CT1491" s="64" t="n">
        <f aca="false">IF(CS1491="","",J1491/H1491)</f>
        <v>0</v>
      </c>
      <c r="CU1491" s="62" t="n">
        <f aca="false">IF(CS1491="","",H1491*G1491)</f>
        <v>770.72</v>
      </c>
      <c r="CV1491" s="63" t="n">
        <f aca="false">IF(CS1491="","",(CL1491+ROUNDUP(CL1491+MAX(CM1491,2*(J1491/MAX(0.1,N(Einkauf!$C$6))-CL1491)),0))/2)</f>
        <v>2.5</v>
      </c>
      <c r="CW1491" s="62" t="n">
        <f aca="false">IF(CS1491="","",MAX(0,H1491-CV1491)*G1491)</f>
        <v>529.87</v>
      </c>
      <c r="CX1491" s="62" t="n">
        <f aca="false">IF(CS1491="","",CS1491*MAX(0,1-CV1491/H1491))</f>
        <v>4.09855769230769</v>
      </c>
      <c r="CY1491" s="64" t="n">
        <f aca="false">IF(CS1491="","",PERCENTRANK($CS$7:$CS$1843,CS1491)+PERCENTRANK($CU$7:$CU$1843,CU1491)+1-PERCENTRANK($CT$7:$CT$1843,CT1491))</f>
        <v>1.954</v>
      </c>
      <c r="CZ1491" s="72" t="n">
        <f aca="false">IF(CS1491="","",CHOOSE(MATCH(Einkauf!$C$5,Parameter!$G$23:$G$27,0),CY1491,CS1491,CU1491,-CT1491,CW1491)+ROW()/1000000000)</f>
        <v>1.954001491</v>
      </c>
    </row>
    <row r="1492" customFormat="false" ht="15" hidden="false" customHeight="false" outlineLevel="0" collapsed="false">
      <c r="A1492" s="60" t="s">
        <v>2650</v>
      </c>
      <c r="B1492" s="60" t="s">
        <v>1906</v>
      </c>
      <c r="C1492" s="60" t="s">
        <v>206</v>
      </c>
      <c r="D1492" s="60" t="s">
        <v>215</v>
      </c>
      <c r="E1492" s="60" t="s">
        <v>227</v>
      </c>
      <c r="F1492" s="60"/>
      <c r="G1492" s="61" t="n">
        <v>27.41</v>
      </c>
      <c r="H1492" s="62" t="n">
        <f aca="false">MAX(0,IF(AND(Parameter!$B$21="Ja",ISNUMBER(Y1492)),Y1492,IF(Parameter!$B$20="Jahresanfang 2025 + Export",BS1492+BR1492,BR1492)))</f>
        <v>10</v>
      </c>
      <c r="I1492" s="62" t="n">
        <f aca="false">H1492*G1492</f>
        <v>274.1</v>
      </c>
      <c r="J1492" s="62" t="n">
        <f aca="false">BU1492*Parameter!$B$18</f>
        <v>0</v>
      </c>
      <c r="K1492" s="63"/>
      <c r="L1492" s="64"/>
      <c r="M1492" s="62" t="n">
        <v>0</v>
      </c>
      <c r="N1492" s="62" t="n">
        <v>1</v>
      </c>
      <c r="O1492" s="65" t="n">
        <v>0</v>
      </c>
      <c r="P1492" s="60" t="s">
        <v>335</v>
      </c>
      <c r="Q1492" s="62" t="n">
        <v>10</v>
      </c>
      <c r="R1492" s="65" t="n">
        <f aca="false">IF(CA1492=1,0,IFERROR(VLOOKUP(BY1492,'Gebinde-Kategorie'!$A$5:$N$45,13,0)+0,0))</f>
        <v>12</v>
      </c>
      <c r="S1492" s="66"/>
      <c r="T1492" s="67"/>
      <c r="U1492" s="67"/>
      <c r="V1492" s="67"/>
      <c r="W1492" s="60"/>
      <c r="X1492" s="62"/>
      <c r="Y1492" s="62"/>
      <c r="Z1492" s="60" t="n">
        <v>3</v>
      </c>
      <c r="AA1492" s="60" t="n">
        <f aca="false">IF(A1492="","",IF(AND(Parameter!$B$21="Ja",ISNUMBER(W1492)),W1492,IF(AND(Parameter!$E$27="Ja",ISNUMBER(Z1492),CD1492&lt;&gt;"Nein"),Z1492,IF(CD1492="2+3",IF(ISNUMBER(SEARCH("grosser Artikel",BV1492)),2,IFERROR(VLOOKUP(BY1492,Parameter!$F$35:$G$64,2,0),2)),IF(OR(CD1492="Nein",CD1492=""),"-",CD1492)))))</f>
        <v>3</v>
      </c>
      <c r="AB1492" s="67"/>
      <c r="AC1492" s="68"/>
      <c r="AD1492" s="62" t="n">
        <f aca="false">AW1492</f>
        <v>1</v>
      </c>
      <c r="AE1492" s="62" t="n">
        <f aca="false">MAX(AW1492,H1492)</f>
        <v>10</v>
      </c>
      <c r="AF1492" s="69"/>
      <c r="AG1492" s="62" t="n">
        <f aca="false">IF(LEFT(Cockpit!$C$5,1)="A",H1492,IF(Parameter!$E$30="MAX-Bestand",IF(CI1492=1,CJ1492,IF(LEFT(Cockpit!$C$5,1)="B",AM1492,MAX(AM1492,H1492))),ROUNDUP(AK1492,0)))</f>
        <v>10</v>
      </c>
      <c r="AH1492" s="62" t="n">
        <f aca="false">IF(CA1492=1,0,ROUNDUP(AG1492/BZ1492,0))</f>
        <v>1</v>
      </c>
      <c r="AI1492" s="64" t="n">
        <f aca="false">IF(CR1492&gt;0,CR1492*MAX(1,AG1492/X1492),IF(CA1492=1,IF(AG1492&lt;=0,0,CE1492*MAX(1,IF(H1492&gt;0,AG1492/H1492,1))),IF(R1492&gt;0,AH1492/R1492,0))/MAX(0.1,N(Parameter!$M$21)))</f>
        <v>0.0833333333333333</v>
      </c>
      <c r="AJ1492" s="62" t="n">
        <f aca="false">AI1492*CC1492</f>
        <v>20.4166666666667</v>
      </c>
      <c r="AK1492" s="63" t="n">
        <f aca="false">IF(LEFT(Cockpit!$C$5,1)="A",H1492,IF(CI1492=1,(CL1492+CJ1492)/2,IF(LEFT(Cockpit!$C$5,1)="B",(CL1492+AM1492)/2,MAX((CL1492+AM1492)/2,H1492))))</f>
        <v>10</v>
      </c>
      <c r="AL1492" s="62" t="n">
        <f aca="false">AK1492*G1492</f>
        <v>274.1</v>
      </c>
      <c r="AM1492" s="62" t="n">
        <f aca="false">ROUNDUP(CL1492+MAX(CM1492,2*(J1492/IF(CH1492&gt;0,CH1492,MAX(0.1,N(Cockpit!$C$6)))-CL1492)),0)</f>
        <v>1</v>
      </c>
      <c r="AN1492" s="63" t="n">
        <f aca="false">IF(AJ1492&gt;0,J1492/AJ1492,-1)</f>
        <v>0</v>
      </c>
      <c r="AO1492" s="63" t="n">
        <f aca="false">IF(AND(OR(CG1492="L1",CG1492="L23",CG1492="LIFT"),AJ1492&gt;0),SUMIFS($AJ$7:$AJ$1843,$CG$7:$CG$1843,CG1492,$AN$7:$AN$1843,"&gt;"&amp;AN1492)+SUMIFS($AJ$7:$AJ$1843,$CG$7:$CG$1843,CG1492,$AN$7:$AN$1843,AN1492,$BX$7:$BX$1843,"&lt;="&amp;BX1492),"")</f>
        <v>29797.11936063</v>
      </c>
      <c r="AP1492" s="70" t="n">
        <f aca="false">IF(AO1492="",0,MAX(0,MIN(1,(IF(CG1492="L1",Parameter!$H$5,IF(CG1492="L23",Parameter!$H$6+Parameter!$H$7,Parameter!$H$5+Parameter!$H$6+Parameter!$H$7))-(AO1492-AJ1492))/AJ1492)))</f>
        <v>1</v>
      </c>
      <c r="AQ1492" s="62" t="n">
        <f aca="false">IF(LEFT(Cockpit!$I$5,1)="A",H1492,IF(Parameter!$E$30="MAX-Bestand",IF(CI1492=1,CJ1492,IF(LEFT(Cockpit!$I$5,1)="B",AW1492,MAX(AW1492,H1492))),ROUNDUP(AU1492,0)))</f>
        <v>10</v>
      </c>
      <c r="AR1492" s="62" t="n">
        <f aca="false">IF(CA1492=1,0,ROUNDUP(AQ1492/BZ1492,0))</f>
        <v>1</v>
      </c>
      <c r="AS1492" s="64" t="n">
        <f aca="false">IF(CR1492&gt;0,CR1492*MAX(1,AQ1492/X1492),IF(CA1492=1,IF(AQ1492&lt;=0,0,CE1492*MAX(1,IF(H1492&gt;0,AQ1492/H1492,1))),IF(R1492&gt;0,AR1492/R1492,0))/MAX(0.1,N(Parameter!$M$21)))</f>
        <v>0.0833333333333333</v>
      </c>
      <c r="AT1492" s="62" t="n">
        <f aca="false">AS1492*CC1492</f>
        <v>20.4166666666667</v>
      </c>
      <c r="AU1492" s="63" t="n">
        <f aca="false">IF(LEFT(Cockpit!$I$5,1)="A",H1492,IF(CI1492=1,(CL1492+CJ1492)/2,IF(LEFT(Cockpit!$I$5,1)="B",(CL1492+AW1492)/2,MAX((CL1492+AW1492)/2,H1492))))</f>
        <v>10</v>
      </c>
      <c r="AV1492" s="62" t="n">
        <f aca="false">AU1492*G1492</f>
        <v>274.1</v>
      </c>
      <c r="AW1492" s="62" t="n">
        <f aca="false">ROUNDUP(CL1492+MAX(CM1492,2*(J1492/IF(CH1492&gt;0,CH1492,MAX(0.1,N(Cockpit!$I$6)))-CL1492)),0)</f>
        <v>1</v>
      </c>
      <c r="AX1492" s="63" t="n">
        <f aca="false">IF(AT1492&gt;0,J1492/AT1492,-1)</f>
        <v>0</v>
      </c>
      <c r="AY1492" s="63" t="n">
        <f aca="false">IF(AND(OR(CG1492="L1",CG1492="L23",CG1492="LIFT"),AT1492&gt;0),SUMIFS($AT$7:$AT$1843,$CG$7:$CG$1843,CG1492,$AX$7:$AX$1843,"&gt;"&amp;AX1492)+SUMIFS($AT$7:$AT$1843,$CG$7:$CG$1843,CG1492,$AX$7:$AX$1843,AX1492,$BX$7:$BX$1843,"&lt;="&amp;BX1492),"")</f>
        <v>36103.6901631796</v>
      </c>
      <c r="AZ1492" s="70" t="n">
        <f aca="false">IF(AY1492="",0,MAX(0,MIN(1,(IF(CG1492="L1",Parameter!$H$5,IF(CG1492="L23",Parameter!$H$6+Parameter!$H$7,Parameter!$H$5+Parameter!$H$6+Parameter!$H$7))-(AY1492-AT1492))/AT1492)))</f>
        <v>0</v>
      </c>
      <c r="BA1492" s="62" t="n">
        <f aca="false">IF(LEFT(Cockpit!$O$5,1)="A",H1492,IF(Parameter!$E$30="MAX-Bestand",IF(CI1492=1,CJ1492,IF(LEFT(Cockpit!$O$5,1)="B",BG1492,MAX(BG1492,H1492))),ROUNDUP(BE1492,0)))</f>
        <v>1</v>
      </c>
      <c r="BB1492" s="62" t="n">
        <f aca="false">IF(CA1492=1,0,ROUNDUP(BA1492/BZ1492,0))</f>
        <v>1</v>
      </c>
      <c r="BC1492" s="64" t="n">
        <f aca="false">IF(CR1492&gt;0,CR1492*MAX(1,BA1492/X1492),IF(CA1492=1,IF(BA1492&lt;=0,0,CE1492*MAX(1,IF(H1492&gt;0,BA1492/H1492,1))),IF(R1492&gt;0,BB1492/R1492,0))/MAX(0.1,N(Parameter!$M$21)))</f>
        <v>0.0833333333333333</v>
      </c>
      <c r="BD1492" s="62" t="n">
        <f aca="false">BC1492*CC1492</f>
        <v>20.4166666666667</v>
      </c>
      <c r="BE1492" s="63" t="n">
        <f aca="false">IF(LEFT(Cockpit!$O$5,1)="A",H1492,IF(CI1492=1,(CL1492+CJ1492)/2,IF(LEFT(Cockpit!$O$5,1)="B",(CL1492+BG1492)/2,MAX((CL1492+BG1492)/2,H1492))))</f>
        <v>0.5</v>
      </c>
      <c r="BF1492" s="62" t="n">
        <f aca="false">BE1492*G1492</f>
        <v>13.705</v>
      </c>
      <c r="BG1492" s="62" t="n">
        <f aca="false">ROUNDUP(CL1492+MAX(CM1492,2*(J1492/IF(CH1492&gt;0,CH1492,MAX(0.1,N(Cockpit!$O$6)))-CL1492)),0)</f>
        <v>1</v>
      </c>
      <c r="BH1492" s="63" t="n">
        <f aca="false">IF(BD1492&gt;0,J1492/BD1492,-1)</f>
        <v>0</v>
      </c>
      <c r="BI1492" s="63" t="n">
        <f aca="false">IF(AND(OR(CG1492="L1",CG1492="L23",CG1492="LIFT"),BD1492&gt;0),SUMIFS($BD$7:$BD$1843,$CG$7:$CG$1843,CG1492,$BH$7:$BH$1843,"&gt;"&amp;BH1492)+SUMIFS($BD$7:$BD$1843,$CG$7:$CG$1843,CG1492,$BH$7:$BH$1843,BH1492,$BX$7:$BX$1843,"&lt;="&amp;BX1492),"")</f>
        <v>30088.9968233273</v>
      </c>
      <c r="BJ1492" s="70" t="n">
        <f aca="false">IF(BI1492="",0,MAX(0,MIN(1,(IF(CG1492="L1",Parameter!$H$5,IF(CG1492="L23",Parameter!$H$6+Parameter!$H$7,Parameter!$H$5+Parameter!$H$6+Parameter!$H$7))-(BI1492-BD1492))/BD1492)))</f>
        <v>1</v>
      </c>
      <c r="BK1492" s="60" t="str">
        <f aca="false">IF(AJ1492&lt;=0,"",IF(CG1492="Aussen","Aussenlager",IF(CG1492="-","Nicht im Lift",IF(AP1492&gt;=1,"Lift",IF(AP1492&lt;=0,"Aussenlager","teilweise")))))</f>
        <v>Lift</v>
      </c>
      <c r="BL1492" s="60" t="str">
        <f aca="false">IF(AT1492&lt;=0,"",IF(CG1492="Aussen","Aussenlager",IF(CG1492="-","Nicht im Lift",IF(AZ1492&gt;=1,"Lift",IF(AZ1492&lt;=0,"Aussenlager","teilweise")))))</f>
        <v>Aussenlager</v>
      </c>
      <c r="BM1492" s="60" t="str">
        <f aca="false">IF(BD1492&lt;=0,"",IF(CG1492="Aussen","Aussenlager",IF(CG1492="-","Nicht im Lift",IF(BJ1492&gt;=1,"Lift",IF(BJ1492&lt;=0,"Aussenlager","teilweise")))))</f>
        <v>Lift</v>
      </c>
      <c r="BN1492" s="60" t="str">
        <f aca="false">IF(A1492="","",IF(BW1492=1,"Neu; ","")&amp;IF(AND(BW1492=0,BR1492&lt;0),"negativer Bestand (Export "&amp;BR1492&amp;"); ","")&amp;IF(J1492&lt;=0,"Kein Verbrauch; ","")&amp;IF(CR1492&gt;0,"Lift "&amp;W1492&amp;" lt. Liftbericht (Fach "&amp;X1492&amp;" Stk); ",IF(CB1492=1,"Gebinde geschätzt ("&amp;T1492&amp;"); ",IF(CA1492=1,"Lose – Tablare geschätzt; ","")))&amp;IF(H1492&gt;AW1492,"Überbestand "&amp;ROUND(H1492-AW1492,0)&amp;" Stk / CHF "&amp;ROUND((H1492-AW1492)*G1492,0)&amp;"; ","")&amp;IF(AND(CI1492=1,CJ1492&lt;CK1492),"MAX &lt; MB+LG; ","")&amp;IF(AND(CQ1492&gt;0,CP1492*10&gt;CQ1492),"zu hoch für Tablar; ","")&amp;IF(AND(BW1492=0,OR(CI1492=1,AB1492&lt;&gt;"",U1492&lt;&gt;"",V1492&lt;&gt;"",AC1492&lt;&gt;"")),"manuell übersteuert; ","")&amp;IF(AND(CA1492=0,R1492=0),"Gebinde unbekannt / Stellmass fehlt; ","")&amp;IF(AND(CA1492=0,N(V1492)&lt;=0,N(Q1492)&lt;=0),"Menge pro Gebinde fehlt (Ist = 1 Gebinde); ","")&amp;BV1492)</f>
        <v>Kein Verbrauch; Überbestand 9 Stk / CHF 247; nur im Artikelstamm (Bestand 23.06.2026)</v>
      </c>
      <c r="BO1492" s="60"/>
      <c r="BP1492" s="60"/>
      <c r="BQ1492" s="67"/>
      <c r="BR1492" s="62" t="n">
        <v>10</v>
      </c>
      <c r="BS1492" s="62" t="n">
        <v>0</v>
      </c>
      <c r="BT1492" s="61" t="n">
        <v>0</v>
      </c>
      <c r="BU1492" s="62" t="n">
        <v>0</v>
      </c>
      <c r="BV1492" s="60" t="s">
        <v>2617</v>
      </c>
      <c r="BW1492" s="65" t="n">
        <v>0</v>
      </c>
      <c r="BX1492" s="65" t="n">
        <v>1492</v>
      </c>
      <c r="BY1492" s="60" t="str">
        <f aca="false">IF(U1492&lt;&gt;"",UPPER(TRIM(U1492)),IF(CB1492=1,UPPER(VLOOKUP(T1492,Parameter!$I$27:$K$29,2,0)),IF(P1492="","LOSE",P1492)))</f>
        <v>S62</v>
      </c>
      <c r="BZ1492" s="62" t="n">
        <f aca="false">IF(BY1492="LOSE",1,IF(N(V1492)&gt;0,V1492,IF(CB1492=1,MAX(1,N(VLOOKUP(T1492,Parameter!$I$27:$K$29,3,0)),H1492,N(N1492)),IF(N(Q1492)&gt;0,Q1492,MAX(1,H1492)))))</f>
        <v>10</v>
      </c>
      <c r="CA1492" s="65" t="n">
        <f aca="false">IF(BY1492="LOSE",1,0)</f>
        <v>0</v>
      </c>
      <c r="CB1492" s="65" t="n">
        <f aca="false">IF(AND(U1492="",OR(P1492="",P1492="LOSE"),T1492&lt;&gt;"",N(S1492)&lt;=0,ISNUMBER(MATCH(T1492,Parameter!$I$27:$I$29,0))),1,0)</f>
        <v>0</v>
      </c>
      <c r="CC1492" s="65" t="n">
        <f aca="false">IF(CR1492&gt;0,INDEX(Parameter!$H$5:$H$7,W1492)/INDEX(Parameter!$E$5:$E$7,W1492),IF(AND(CA1492=0,N(IFERROR(VLOOKUP(BY1492,'Gebinde-Kategorie'!$A$5:$N$45,14,0),0))&gt;0),VLOOKUP(BY1492,'Gebinde-Kategorie'!$A$5:$N$45,14,0)*10+Parameter!$M$23,Parameter!$M$24))</f>
        <v>245</v>
      </c>
      <c r="CD1492" s="60" t="str">
        <f aca="false">IF(AND(Parameter!$B$19="Ja",E1492&lt;&gt;"",ISNUMBER(MATCH(E1492,Parameter!$I$35:$I$52,0))),VLOOKUP(E1492,Parameter!$I$35:$J$52,2,0),IFERROR(VLOOKUP(D1492,Parameter!$A$35:$C$64,2,0),"Nein"))</f>
        <v>2+3</v>
      </c>
      <c r="CE1492" s="64" t="n">
        <f aca="false">IF(CA1492=0,0,IF(N(S1492)&gt;0,S1492,IFERROR(VLOOKUP(D1492,Parameter!$A$35:$C$64,3,0)+0,0)))</f>
        <v>0</v>
      </c>
      <c r="CF1492" s="60" t="n">
        <f aca="false">IF(AB1492&lt;&gt;"",AB1492,AA1492)</f>
        <v>3</v>
      </c>
      <c r="CG1492" s="60" t="str">
        <f aca="false">IF(OR(CF1492=1,CF1492=2,CF1492=3),IF(Parameter!$E$27="Ja","LIFT",IF(CF1492=1,"L1","L23")),IF(CF1492="Aussen","Aussen","-"))</f>
        <v>LIFT</v>
      </c>
      <c r="CH1492" s="71" t="n">
        <f aca="false">IF(N(AC1492)&gt;0,AC1492,0)</f>
        <v>0</v>
      </c>
      <c r="CI1492" s="65" t="n">
        <f aca="false">IF(ISNUMBER(AF1492),1,0)</f>
        <v>0</v>
      </c>
      <c r="CJ1492" s="62" t="n">
        <f aca="false">N(AF1492)</f>
        <v>0</v>
      </c>
      <c r="CK1492" s="62" t="n">
        <f aca="false">N(M1492)+N(N1492)</f>
        <v>1</v>
      </c>
      <c r="CL1492" s="62" t="n">
        <f aca="false">N(M1492)</f>
        <v>0</v>
      </c>
      <c r="CM1492" s="62" t="n">
        <f aca="false">N(N1492)</f>
        <v>1</v>
      </c>
      <c r="CN1492" s="62" t="n">
        <f aca="false">ROUNDUP(H1492/BZ1492,0)</f>
        <v>1</v>
      </c>
      <c r="CO1492" s="62" t="n">
        <f aca="false">ROUNDUP(CJ1492/BZ1492,0)</f>
        <v>0</v>
      </c>
      <c r="CP1492" s="65" t="n">
        <f aca="false">IF(CA1492=1,0,IFERROR(VLOOKUP(BY1492,'Gebinde-Kategorie'!$A$5:$N$45,5,0)+0,0))</f>
        <v>21</v>
      </c>
      <c r="CQ1492" s="65" t="n">
        <f aca="false">IFERROR(IF(OR(CF1492=1,CF1492=2,CF1492=3),N(INDEX(Parameter!$I$5:$I$7,CF1492)),0),0)</f>
        <v>0</v>
      </c>
      <c r="CR1492" s="64" t="n">
        <f aca="false">IF(AND(Parameter!$B$21="Ja",ISNUMBER(W1492),N(X1492)&gt;0),IFERROR(N(INDEX(Parameter!$L$5:$L$7,W1492))*INDEX(Parameter!$E$5:$E$7,W1492)*X1492/SUMIFS($X$7:$X$1843,$W$7:$W$1843,W1492),0),0)</f>
        <v>0</v>
      </c>
      <c r="CS1492" s="62" t="n">
        <f aca="false">IF(AND(OR(CG1492="L1",CG1492="L23",CG1492="LIFT"),H1492&gt;0),CC1492*IF(CR1492&gt;0,CR1492*MAX(1,H1492/X1492),IF(CA1492=1,CE1492,IF(R1492&gt;0,CN1492/R1492,0))/MAX(0.1,N(Parameter!$M$21))),"")</f>
        <v>20.4166666666667</v>
      </c>
      <c r="CT1492" s="64" t="n">
        <f aca="false">IF(CS1492="","",J1492/H1492)</f>
        <v>0</v>
      </c>
      <c r="CU1492" s="62" t="n">
        <f aca="false">IF(CS1492="","",H1492*G1492)</f>
        <v>274.1</v>
      </c>
      <c r="CV1492" s="63" t="n">
        <f aca="false">IF(CS1492="","",(CL1492+ROUNDUP(CL1492+MAX(CM1492,2*(J1492/MAX(0.1,N(Einkauf!$C$6))-CL1492)),0))/2)</f>
        <v>0.5</v>
      </c>
      <c r="CW1492" s="62" t="n">
        <f aca="false">IF(CS1492="","",MAX(0,H1492-CV1492)*G1492)</f>
        <v>260.395</v>
      </c>
      <c r="CX1492" s="62" t="n">
        <f aca="false">IF(CS1492="","",CS1492*MAX(0,1-CV1492/H1492))</f>
        <v>19.3958333333333</v>
      </c>
      <c r="CY1492" s="64" t="n">
        <f aca="false">IF(CS1492="","",PERCENTRANK($CS$7:$CS$1843,CS1492)+PERCENTRANK($CU$7:$CU$1843,CU1492)+1-PERCENTRANK($CT$7:$CT$1843,CT1492))</f>
        <v>2.179</v>
      </c>
      <c r="CZ1492" s="72" t="n">
        <f aca="false">IF(CS1492="","",CHOOSE(MATCH(Einkauf!$C$5,Parameter!$G$23:$G$27,0),CY1492,CS1492,CU1492,-CT1492,CW1492)+ROW()/1000000000)</f>
        <v>2.179001492</v>
      </c>
    </row>
    <row r="1493" customFormat="false" ht="15" hidden="false" customHeight="false" outlineLevel="0" collapsed="false">
      <c r="A1493" s="60" t="s">
        <v>2651</v>
      </c>
      <c r="B1493" s="60" t="s">
        <v>2652</v>
      </c>
      <c r="C1493" s="60" t="s">
        <v>206</v>
      </c>
      <c r="D1493" s="60" t="s">
        <v>215</v>
      </c>
      <c r="E1493" s="60" t="s">
        <v>227</v>
      </c>
      <c r="F1493" s="60"/>
      <c r="G1493" s="61" t="n">
        <v>11.83</v>
      </c>
      <c r="H1493" s="62" t="n">
        <f aca="false">MAX(0,IF(AND(Parameter!$B$21="Ja",ISNUMBER(Y1493)),Y1493,IF(Parameter!$B$20="Jahresanfang 2025 + Export",BS1493+BR1493,BR1493)))</f>
        <v>14</v>
      </c>
      <c r="I1493" s="62" t="n">
        <f aca="false">H1493*G1493</f>
        <v>165.62</v>
      </c>
      <c r="J1493" s="62" t="n">
        <f aca="false">BU1493*Parameter!$B$18</f>
        <v>0</v>
      </c>
      <c r="K1493" s="63"/>
      <c r="L1493" s="64"/>
      <c r="M1493" s="62" t="n">
        <v>0</v>
      </c>
      <c r="N1493" s="62" t="n">
        <v>2</v>
      </c>
      <c r="O1493" s="65" t="n">
        <v>0</v>
      </c>
      <c r="P1493" s="60" t="s">
        <v>275</v>
      </c>
      <c r="Q1493" s="62" t="n">
        <v>14</v>
      </c>
      <c r="R1493" s="65" t="n">
        <f aca="false">IF(CA1493=1,0,IFERROR(VLOOKUP(BY1493,'Gebinde-Kategorie'!$A$5:$N$45,13,0)+0,0))</f>
        <v>26</v>
      </c>
      <c r="S1493" s="66"/>
      <c r="T1493" s="67"/>
      <c r="U1493" s="67"/>
      <c r="V1493" s="67"/>
      <c r="W1493" s="60"/>
      <c r="X1493" s="62"/>
      <c r="Y1493" s="62"/>
      <c r="Z1493" s="60" t="n">
        <v>3</v>
      </c>
      <c r="AA1493" s="60" t="n">
        <f aca="false">IF(A1493="","",IF(AND(Parameter!$B$21="Ja",ISNUMBER(W1493)),W1493,IF(AND(Parameter!$E$27="Ja",ISNUMBER(Z1493),CD1493&lt;&gt;"Nein"),Z1493,IF(CD1493="2+3",IF(ISNUMBER(SEARCH("grosser Artikel",BV1493)),2,IFERROR(VLOOKUP(BY1493,Parameter!$F$35:$G$64,2,0),2)),IF(OR(CD1493="Nein",CD1493=""),"-",CD1493)))))</f>
        <v>3</v>
      </c>
      <c r="AB1493" s="67"/>
      <c r="AC1493" s="68"/>
      <c r="AD1493" s="62" t="n">
        <f aca="false">AW1493</f>
        <v>2</v>
      </c>
      <c r="AE1493" s="62" t="n">
        <f aca="false">MAX(AW1493,H1493)</f>
        <v>14</v>
      </c>
      <c r="AF1493" s="69"/>
      <c r="AG1493" s="62" t="n">
        <f aca="false">IF(LEFT(Cockpit!$C$5,1)="A",H1493,IF(Parameter!$E$30="MAX-Bestand",IF(CI1493=1,CJ1493,IF(LEFT(Cockpit!$C$5,1)="B",AM1493,MAX(AM1493,H1493))),ROUNDUP(AK1493,0)))</f>
        <v>14</v>
      </c>
      <c r="AH1493" s="62" t="n">
        <f aca="false">IF(CA1493=1,0,ROUNDUP(AG1493/BZ1493,0))</f>
        <v>1</v>
      </c>
      <c r="AI1493" s="64" t="n">
        <f aca="false">IF(CR1493&gt;0,CR1493*MAX(1,AG1493/X1493),IF(CA1493=1,IF(AG1493&lt;=0,0,CE1493*MAX(1,IF(H1493&gt;0,AG1493/H1493,1))),IF(R1493&gt;0,AH1493/R1493,0))/MAX(0.1,N(Parameter!$M$21)))</f>
        <v>0.0384615384615385</v>
      </c>
      <c r="AJ1493" s="62" t="n">
        <f aca="false">AI1493*CC1493</f>
        <v>9.42307692307692</v>
      </c>
      <c r="AK1493" s="63" t="n">
        <f aca="false">IF(LEFT(Cockpit!$C$5,1)="A",H1493,IF(CI1493=1,(CL1493+CJ1493)/2,IF(LEFT(Cockpit!$C$5,1)="B",(CL1493+AM1493)/2,MAX((CL1493+AM1493)/2,H1493))))</f>
        <v>14</v>
      </c>
      <c r="AL1493" s="62" t="n">
        <f aca="false">AK1493*G1493</f>
        <v>165.62</v>
      </c>
      <c r="AM1493" s="62" t="n">
        <f aca="false">ROUNDUP(CL1493+MAX(CM1493,2*(J1493/IF(CH1493&gt;0,CH1493,MAX(0.1,N(Cockpit!$C$6)))-CL1493)),0)</f>
        <v>2</v>
      </c>
      <c r="AN1493" s="63" t="n">
        <f aca="false">IF(AJ1493&gt;0,J1493/AJ1493,-1)</f>
        <v>0</v>
      </c>
      <c r="AO1493" s="63" t="n">
        <f aca="false">IF(AND(OR(CG1493="L1",CG1493="L23",CG1493="LIFT"),AJ1493&gt;0),SUMIFS($AJ$7:$AJ$1843,$CG$7:$CG$1843,CG1493,$AN$7:$AN$1843,"&gt;"&amp;AN1493)+SUMIFS($AJ$7:$AJ$1843,$CG$7:$CG$1843,CG1493,$AN$7:$AN$1843,AN1493,$BX$7:$BX$1843,"&lt;="&amp;BX1493),"")</f>
        <v>29806.542437553</v>
      </c>
      <c r="AP1493" s="70" t="n">
        <f aca="false">IF(AO1493="",0,MAX(0,MIN(1,(IF(CG1493="L1",Parameter!$H$5,IF(CG1493="L23",Parameter!$H$6+Parameter!$H$7,Parameter!$H$5+Parameter!$H$6+Parameter!$H$7))-(AO1493-AJ1493))/AJ1493)))</f>
        <v>1</v>
      </c>
      <c r="AQ1493" s="62" t="n">
        <f aca="false">IF(LEFT(Cockpit!$I$5,1)="A",H1493,IF(Parameter!$E$30="MAX-Bestand",IF(CI1493=1,CJ1493,IF(LEFT(Cockpit!$I$5,1)="B",AW1493,MAX(AW1493,H1493))),ROUNDUP(AU1493,0)))</f>
        <v>14</v>
      </c>
      <c r="AR1493" s="62" t="n">
        <f aca="false">IF(CA1493=1,0,ROUNDUP(AQ1493/BZ1493,0))</f>
        <v>1</v>
      </c>
      <c r="AS1493" s="64" t="n">
        <f aca="false">IF(CR1493&gt;0,CR1493*MAX(1,AQ1493/X1493),IF(CA1493=1,IF(AQ1493&lt;=0,0,CE1493*MAX(1,IF(H1493&gt;0,AQ1493/H1493,1))),IF(R1493&gt;0,AR1493/R1493,0))/MAX(0.1,N(Parameter!$M$21)))</f>
        <v>0.0384615384615385</v>
      </c>
      <c r="AT1493" s="62" t="n">
        <f aca="false">AS1493*CC1493</f>
        <v>9.42307692307692</v>
      </c>
      <c r="AU1493" s="63" t="n">
        <f aca="false">IF(LEFT(Cockpit!$I$5,1)="A",H1493,IF(CI1493=1,(CL1493+CJ1493)/2,IF(LEFT(Cockpit!$I$5,1)="B",(CL1493+AW1493)/2,MAX((CL1493+AW1493)/2,H1493))))</f>
        <v>14</v>
      </c>
      <c r="AV1493" s="62" t="n">
        <f aca="false">AU1493*G1493</f>
        <v>165.62</v>
      </c>
      <c r="AW1493" s="62" t="n">
        <f aca="false">ROUNDUP(CL1493+MAX(CM1493,2*(J1493/IF(CH1493&gt;0,CH1493,MAX(0.1,N(Cockpit!$I$6)))-CL1493)),0)</f>
        <v>2</v>
      </c>
      <c r="AX1493" s="63" t="n">
        <f aca="false">IF(AT1493&gt;0,J1493/AT1493,-1)</f>
        <v>0</v>
      </c>
      <c r="AY1493" s="63" t="n">
        <f aca="false">IF(AND(OR(CG1493="L1",CG1493="L23",CG1493="LIFT"),AT1493&gt;0),SUMIFS($AT$7:$AT$1843,$CG$7:$CG$1843,CG1493,$AX$7:$AX$1843,"&gt;"&amp;AX1493)+SUMIFS($AT$7:$AT$1843,$CG$7:$CG$1843,CG1493,$AX$7:$AX$1843,AX1493,$BX$7:$BX$1843,"&lt;="&amp;BX1493),"")</f>
        <v>36113.1132401027</v>
      </c>
      <c r="AZ1493" s="70" t="n">
        <f aca="false">IF(AY1493="",0,MAX(0,MIN(1,(IF(CG1493="L1",Parameter!$H$5,IF(CG1493="L23",Parameter!$H$6+Parameter!$H$7,Parameter!$H$5+Parameter!$H$6+Parameter!$H$7))-(AY1493-AT1493))/AT1493)))</f>
        <v>0</v>
      </c>
      <c r="BA1493" s="62" t="n">
        <f aca="false">IF(LEFT(Cockpit!$O$5,1)="A",H1493,IF(Parameter!$E$30="MAX-Bestand",IF(CI1493=1,CJ1493,IF(LEFT(Cockpit!$O$5,1)="B",BG1493,MAX(BG1493,H1493))),ROUNDUP(BE1493,0)))</f>
        <v>1</v>
      </c>
      <c r="BB1493" s="62" t="n">
        <f aca="false">IF(CA1493=1,0,ROUNDUP(BA1493/BZ1493,0))</f>
        <v>1</v>
      </c>
      <c r="BC1493" s="64" t="n">
        <f aca="false">IF(CR1493&gt;0,CR1493*MAX(1,BA1493/X1493),IF(CA1493=1,IF(BA1493&lt;=0,0,CE1493*MAX(1,IF(H1493&gt;0,BA1493/H1493,1))),IF(R1493&gt;0,BB1493/R1493,0))/MAX(0.1,N(Parameter!$M$21)))</f>
        <v>0.0384615384615385</v>
      </c>
      <c r="BD1493" s="62" t="n">
        <f aca="false">BC1493*CC1493</f>
        <v>9.42307692307692</v>
      </c>
      <c r="BE1493" s="63" t="n">
        <f aca="false">IF(LEFT(Cockpit!$O$5,1)="A",H1493,IF(CI1493=1,(CL1493+CJ1493)/2,IF(LEFT(Cockpit!$O$5,1)="B",(CL1493+BG1493)/2,MAX((CL1493+BG1493)/2,H1493))))</f>
        <v>1</v>
      </c>
      <c r="BF1493" s="62" t="n">
        <f aca="false">BE1493*G1493</f>
        <v>11.83</v>
      </c>
      <c r="BG1493" s="62" t="n">
        <f aca="false">ROUNDUP(CL1493+MAX(CM1493,2*(J1493/IF(CH1493&gt;0,CH1493,MAX(0.1,N(Cockpit!$O$6)))-CL1493)),0)</f>
        <v>2</v>
      </c>
      <c r="BH1493" s="63" t="n">
        <f aca="false">IF(BD1493&gt;0,J1493/BD1493,-1)</f>
        <v>0</v>
      </c>
      <c r="BI1493" s="63" t="n">
        <f aca="false">IF(AND(OR(CG1493="L1",CG1493="L23",CG1493="LIFT"),BD1493&gt;0),SUMIFS($BD$7:$BD$1843,$CG$7:$CG$1843,CG1493,$BH$7:$BH$1843,"&gt;"&amp;BH1493)+SUMIFS($BD$7:$BD$1843,$CG$7:$CG$1843,CG1493,$BH$7:$BH$1843,BH1493,$BX$7:$BX$1843,"&lt;="&amp;BX1493),"")</f>
        <v>30098.4199002504</v>
      </c>
      <c r="BJ1493" s="70" t="n">
        <f aca="false">IF(BI1493="",0,MAX(0,MIN(1,(IF(CG1493="L1",Parameter!$H$5,IF(CG1493="L23",Parameter!$H$6+Parameter!$H$7,Parameter!$H$5+Parameter!$H$6+Parameter!$H$7))-(BI1493-BD1493))/BD1493)))</f>
        <v>1</v>
      </c>
      <c r="BK1493" s="60" t="str">
        <f aca="false">IF(AJ1493&lt;=0,"",IF(CG1493="Aussen","Aussenlager",IF(CG1493="-","Nicht im Lift",IF(AP1493&gt;=1,"Lift",IF(AP1493&lt;=0,"Aussenlager","teilweise")))))</f>
        <v>Lift</v>
      </c>
      <c r="BL1493" s="60" t="str">
        <f aca="false">IF(AT1493&lt;=0,"",IF(CG1493="Aussen","Aussenlager",IF(CG1493="-","Nicht im Lift",IF(AZ1493&gt;=1,"Lift",IF(AZ1493&lt;=0,"Aussenlager","teilweise")))))</f>
        <v>Aussenlager</v>
      </c>
      <c r="BM1493" s="60" t="str">
        <f aca="false">IF(BD1493&lt;=0,"",IF(CG1493="Aussen","Aussenlager",IF(CG1493="-","Nicht im Lift",IF(BJ1493&gt;=1,"Lift",IF(BJ1493&lt;=0,"Aussenlager","teilweise")))))</f>
        <v>Lift</v>
      </c>
      <c r="BN1493" s="60" t="str">
        <f aca="false">IF(A1493="","",IF(BW1493=1,"Neu; ","")&amp;IF(AND(BW1493=0,BR1493&lt;0),"negativer Bestand (Export "&amp;BR1493&amp;"); ","")&amp;IF(J1493&lt;=0,"Kein Verbrauch; ","")&amp;IF(CR1493&gt;0,"Lift "&amp;W1493&amp;" lt. Liftbericht (Fach "&amp;X1493&amp;" Stk); ",IF(CB1493=1,"Gebinde geschätzt ("&amp;T1493&amp;"); ",IF(CA1493=1,"Lose – Tablare geschätzt; ","")))&amp;IF(H1493&gt;AW1493,"Überbestand "&amp;ROUND(H1493-AW1493,0)&amp;" Stk / CHF "&amp;ROUND((H1493-AW1493)*G1493,0)&amp;"; ","")&amp;IF(AND(CI1493=1,CJ1493&lt;CK1493),"MAX &lt; MB+LG; ","")&amp;IF(AND(CQ1493&gt;0,CP1493*10&gt;CQ1493),"zu hoch für Tablar; ","")&amp;IF(AND(BW1493=0,OR(CI1493=1,AB1493&lt;&gt;"",U1493&lt;&gt;"",V1493&lt;&gt;"",AC1493&lt;&gt;"")),"manuell übersteuert; ","")&amp;IF(AND(CA1493=0,R1493=0),"Gebinde unbekannt / Stellmass fehlt; ","")&amp;IF(AND(CA1493=0,N(V1493)&lt;=0,N(Q1493)&lt;=0),"Menge pro Gebinde fehlt (Ist = 1 Gebinde); ","")&amp;BV1493)</f>
        <v>Kein Verbrauch; Überbestand 12 Stk / CHF 142; nur im Artikelstamm (Bestand 23.06.2026)</v>
      </c>
      <c r="BO1493" s="60"/>
      <c r="BP1493" s="60"/>
      <c r="BQ1493" s="67"/>
      <c r="BR1493" s="62" t="n">
        <v>14</v>
      </c>
      <c r="BS1493" s="62" t="n">
        <v>0</v>
      </c>
      <c r="BT1493" s="61" t="n">
        <v>0</v>
      </c>
      <c r="BU1493" s="62" t="n">
        <v>0</v>
      </c>
      <c r="BV1493" s="60" t="s">
        <v>2617</v>
      </c>
      <c r="BW1493" s="65" t="n">
        <v>0</v>
      </c>
      <c r="BX1493" s="65" t="n">
        <v>1493</v>
      </c>
      <c r="BY1493" s="60" t="str">
        <f aca="false">IF(U1493&lt;&gt;"",UPPER(TRIM(U1493)),IF(CB1493=1,UPPER(VLOOKUP(T1493,Parameter!$I$27:$K$29,2,0)),IF(P1493="","LOSE",P1493)))</f>
        <v>S52</v>
      </c>
      <c r="BZ1493" s="62" t="n">
        <f aca="false">IF(BY1493="LOSE",1,IF(N(V1493)&gt;0,V1493,IF(CB1493=1,MAX(1,N(VLOOKUP(T1493,Parameter!$I$27:$K$29,3,0)),H1493,N(N1493)),IF(N(Q1493)&gt;0,Q1493,MAX(1,H1493)))))</f>
        <v>14</v>
      </c>
      <c r="CA1493" s="65" t="n">
        <f aca="false">IF(BY1493="LOSE",1,0)</f>
        <v>0</v>
      </c>
      <c r="CB1493" s="65" t="n">
        <f aca="false">IF(AND(U1493="",OR(P1493="",P1493="LOSE"),T1493&lt;&gt;"",N(S1493)&lt;=0,ISNUMBER(MATCH(T1493,Parameter!$I$27:$I$29,0))),1,0)</f>
        <v>0</v>
      </c>
      <c r="CC1493" s="65" t="n">
        <f aca="false">IF(CR1493&gt;0,INDEX(Parameter!$H$5:$H$7,W1493)/INDEX(Parameter!$E$5:$E$7,W1493),IF(AND(CA1493=0,N(IFERROR(VLOOKUP(BY1493,'Gebinde-Kategorie'!$A$5:$N$45,14,0),0))&gt;0),VLOOKUP(BY1493,'Gebinde-Kategorie'!$A$5:$N$45,14,0)*10+Parameter!$M$23,Parameter!$M$24))</f>
        <v>245</v>
      </c>
      <c r="CD1493" s="60" t="str">
        <f aca="false">IF(AND(Parameter!$B$19="Ja",E1493&lt;&gt;"",ISNUMBER(MATCH(E1493,Parameter!$I$35:$I$52,0))),VLOOKUP(E1493,Parameter!$I$35:$J$52,2,0),IFERROR(VLOOKUP(D1493,Parameter!$A$35:$C$64,2,0),"Nein"))</f>
        <v>2+3</v>
      </c>
      <c r="CE1493" s="64" t="n">
        <f aca="false">IF(CA1493=0,0,IF(N(S1493)&gt;0,S1493,IFERROR(VLOOKUP(D1493,Parameter!$A$35:$C$64,3,0)+0,0)))</f>
        <v>0</v>
      </c>
      <c r="CF1493" s="60" t="n">
        <f aca="false">IF(AB1493&lt;&gt;"",AB1493,AA1493)</f>
        <v>3</v>
      </c>
      <c r="CG1493" s="60" t="str">
        <f aca="false">IF(OR(CF1493=1,CF1493=2,CF1493=3),IF(Parameter!$E$27="Ja","LIFT",IF(CF1493=1,"L1","L23")),IF(CF1493="Aussen","Aussen","-"))</f>
        <v>LIFT</v>
      </c>
      <c r="CH1493" s="71" t="n">
        <f aca="false">IF(N(AC1493)&gt;0,AC1493,0)</f>
        <v>0</v>
      </c>
      <c r="CI1493" s="65" t="n">
        <f aca="false">IF(ISNUMBER(AF1493),1,0)</f>
        <v>0</v>
      </c>
      <c r="CJ1493" s="62" t="n">
        <f aca="false">N(AF1493)</f>
        <v>0</v>
      </c>
      <c r="CK1493" s="62" t="n">
        <f aca="false">N(M1493)+N(N1493)</f>
        <v>2</v>
      </c>
      <c r="CL1493" s="62" t="n">
        <f aca="false">N(M1493)</f>
        <v>0</v>
      </c>
      <c r="CM1493" s="62" t="n">
        <f aca="false">N(N1493)</f>
        <v>2</v>
      </c>
      <c r="CN1493" s="62" t="n">
        <f aca="false">ROUNDUP(H1493/BZ1493,0)</f>
        <v>1</v>
      </c>
      <c r="CO1493" s="62" t="n">
        <f aca="false">ROUNDUP(CJ1493/BZ1493,0)</f>
        <v>0</v>
      </c>
      <c r="CP1493" s="65" t="n">
        <f aca="false">IF(CA1493=1,0,IFERROR(VLOOKUP(BY1493,'Gebinde-Kategorie'!$A$5:$N$45,5,0)+0,0))</f>
        <v>21</v>
      </c>
      <c r="CQ1493" s="65" t="n">
        <f aca="false">IFERROR(IF(OR(CF1493=1,CF1493=2,CF1493=3),N(INDEX(Parameter!$I$5:$I$7,CF1493)),0),0)</f>
        <v>0</v>
      </c>
      <c r="CR1493" s="64" t="n">
        <f aca="false">IF(AND(Parameter!$B$21="Ja",ISNUMBER(W1493),N(X1493)&gt;0),IFERROR(N(INDEX(Parameter!$L$5:$L$7,W1493))*INDEX(Parameter!$E$5:$E$7,W1493)*X1493/SUMIFS($X$7:$X$1843,$W$7:$W$1843,W1493),0),0)</f>
        <v>0</v>
      </c>
      <c r="CS1493" s="62" t="n">
        <f aca="false">IF(AND(OR(CG1493="L1",CG1493="L23",CG1493="LIFT"),H1493&gt;0),CC1493*IF(CR1493&gt;0,CR1493*MAX(1,H1493/X1493),IF(CA1493=1,CE1493,IF(R1493&gt;0,CN1493/R1493,0))/MAX(0.1,N(Parameter!$M$21))),"")</f>
        <v>9.42307692307692</v>
      </c>
      <c r="CT1493" s="64" t="n">
        <f aca="false">IF(CS1493="","",J1493/H1493)</f>
        <v>0</v>
      </c>
      <c r="CU1493" s="62" t="n">
        <f aca="false">IF(CS1493="","",H1493*G1493)</f>
        <v>165.62</v>
      </c>
      <c r="CV1493" s="63" t="n">
        <f aca="false">IF(CS1493="","",(CL1493+ROUNDUP(CL1493+MAX(CM1493,2*(J1493/MAX(0.1,N(Einkauf!$C$6))-CL1493)),0))/2)</f>
        <v>1</v>
      </c>
      <c r="CW1493" s="62" t="n">
        <f aca="false">IF(CS1493="","",MAX(0,H1493-CV1493)*G1493)</f>
        <v>153.79</v>
      </c>
      <c r="CX1493" s="62" t="n">
        <f aca="false">IF(CS1493="","",CS1493*MAX(0,1-CV1493/H1493))</f>
        <v>8.75</v>
      </c>
      <c r="CY1493" s="64" t="n">
        <f aca="false">IF(CS1493="","",PERCENTRANK($CS$7:$CS$1843,CS1493)+PERCENTRANK($CU$7:$CU$1843,CU1493)+1-PERCENTRANK($CT$7:$CT$1843,CT1493))</f>
        <v>1.885</v>
      </c>
      <c r="CZ1493" s="72" t="n">
        <f aca="false">IF(CS1493="","",CHOOSE(MATCH(Einkauf!$C$5,Parameter!$G$23:$G$27,0),CY1493,CS1493,CU1493,-CT1493,CW1493)+ROW()/1000000000)</f>
        <v>1.885001493</v>
      </c>
    </row>
    <row r="1494" customFormat="false" ht="15" hidden="false" customHeight="false" outlineLevel="0" collapsed="false">
      <c r="A1494" s="60" t="s">
        <v>2653</v>
      </c>
      <c r="B1494" s="60" t="s">
        <v>2652</v>
      </c>
      <c r="C1494" s="60" t="s">
        <v>206</v>
      </c>
      <c r="D1494" s="60" t="s">
        <v>215</v>
      </c>
      <c r="E1494" s="60" t="s">
        <v>227</v>
      </c>
      <c r="F1494" s="60"/>
      <c r="G1494" s="61" t="n">
        <v>13.79</v>
      </c>
      <c r="H1494" s="62" t="n">
        <f aca="false">MAX(0,IF(AND(Parameter!$B$21="Ja",ISNUMBER(Y1494)),Y1494,IF(Parameter!$B$20="Jahresanfang 2025 + Export",BS1494+BR1494,BR1494)))</f>
        <v>24</v>
      </c>
      <c r="I1494" s="62" t="n">
        <f aca="false">H1494*G1494</f>
        <v>330.96</v>
      </c>
      <c r="J1494" s="62" t="n">
        <f aca="false">BU1494*Parameter!$B$18</f>
        <v>0</v>
      </c>
      <c r="K1494" s="63"/>
      <c r="L1494" s="64"/>
      <c r="M1494" s="62" t="n">
        <v>0</v>
      </c>
      <c r="N1494" s="62" t="n">
        <v>2</v>
      </c>
      <c r="O1494" s="65" t="n">
        <v>0</v>
      </c>
      <c r="P1494" s="60" t="s">
        <v>275</v>
      </c>
      <c r="Q1494" s="62" t="n">
        <v>24</v>
      </c>
      <c r="R1494" s="65" t="n">
        <f aca="false">IF(CA1494=1,0,IFERROR(VLOOKUP(BY1494,'Gebinde-Kategorie'!$A$5:$N$45,13,0)+0,0))</f>
        <v>26</v>
      </c>
      <c r="S1494" s="66"/>
      <c r="T1494" s="67"/>
      <c r="U1494" s="67"/>
      <c r="V1494" s="67"/>
      <c r="W1494" s="60"/>
      <c r="X1494" s="62"/>
      <c r="Y1494" s="62"/>
      <c r="Z1494" s="60" t="n">
        <v>3</v>
      </c>
      <c r="AA1494" s="60" t="n">
        <f aca="false">IF(A1494="","",IF(AND(Parameter!$B$21="Ja",ISNUMBER(W1494)),W1494,IF(AND(Parameter!$E$27="Ja",ISNUMBER(Z1494),CD1494&lt;&gt;"Nein"),Z1494,IF(CD1494="2+3",IF(ISNUMBER(SEARCH("grosser Artikel",BV1494)),2,IFERROR(VLOOKUP(BY1494,Parameter!$F$35:$G$64,2,0),2)),IF(OR(CD1494="Nein",CD1494=""),"-",CD1494)))))</f>
        <v>3</v>
      </c>
      <c r="AB1494" s="67"/>
      <c r="AC1494" s="68"/>
      <c r="AD1494" s="62" t="n">
        <f aca="false">AW1494</f>
        <v>2</v>
      </c>
      <c r="AE1494" s="62" t="n">
        <f aca="false">MAX(AW1494,H1494)</f>
        <v>24</v>
      </c>
      <c r="AF1494" s="69"/>
      <c r="AG1494" s="62" t="n">
        <f aca="false">IF(LEFT(Cockpit!$C$5,1)="A",H1494,IF(Parameter!$E$30="MAX-Bestand",IF(CI1494=1,CJ1494,IF(LEFT(Cockpit!$C$5,1)="B",AM1494,MAX(AM1494,H1494))),ROUNDUP(AK1494,0)))</f>
        <v>24</v>
      </c>
      <c r="AH1494" s="62" t="n">
        <f aca="false">IF(CA1494=1,0,ROUNDUP(AG1494/BZ1494,0))</f>
        <v>1</v>
      </c>
      <c r="AI1494" s="64" t="n">
        <f aca="false">IF(CR1494&gt;0,CR1494*MAX(1,AG1494/X1494),IF(CA1494=1,IF(AG1494&lt;=0,0,CE1494*MAX(1,IF(H1494&gt;0,AG1494/H1494,1))),IF(R1494&gt;0,AH1494/R1494,0))/MAX(0.1,N(Parameter!$M$21)))</f>
        <v>0.0384615384615385</v>
      </c>
      <c r="AJ1494" s="62" t="n">
        <f aca="false">AI1494*CC1494</f>
        <v>9.42307692307692</v>
      </c>
      <c r="AK1494" s="63" t="n">
        <f aca="false">IF(LEFT(Cockpit!$C$5,1)="A",H1494,IF(CI1494=1,(CL1494+CJ1494)/2,IF(LEFT(Cockpit!$C$5,1)="B",(CL1494+AM1494)/2,MAX((CL1494+AM1494)/2,H1494))))</f>
        <v>24</v>
      </c>
      <c r="AL1494" s="62" t="n">
        <f aca="false">AK1494*G1494</f>
        <v>330.96</v>
      </c>
      <c r="AM1494" s="62" t="n">
        <f aca="false">ROUNDUP(CL1494+MAX(CM1494,2*(J1494/IF(CH1494&gt;0,CH1494,MAX(0.1,N(Cockpit!$C$6)))-CL1494)),0)</f>
        <v>2</v>
      </c>
      <c r="AN1494" s="63" t="n">
        <f aca="false">IF(AJ1494&gt;0,J1494/AJ1494,-1)</f>
        <v>0</v>
      </c>
      <c r="AO1494" s="63" t="n">
        <f aca="false">IF(AND(OR(CG1494="L1",CG1494="L23",CG1494="LIFT"),AJ1494&gt;0),SUMIFS($AJ$7:$AJ$1843,$CG$7:$CG$1843,CG1494,$AN$7:$AN$1843,"&gt;"&amp;AN1494)+SUMIFS($AJ$7:$AJ$1843,$CG$7:$CG$1843,CG1494,$AN$7:$AN$1843,AN1494,$BX$7:$BX$1843,"&lt;="&amp;BX1494),"")</f>
        <v>29815.9655144761</v>
      </c>
      <c r="AP1494" s="70" t="n">
        <f aca="false">IF(AO1494="",0,MAX(0,MIN(1,(IF(CG1494="L1",Parameter!$H$5,IF(CG1494="L23",Parameter!$H$6+Parameter!$H$7,Parameter!$H$5+Parameter!$H$6+Parameter!$H$7))-(AO1494-AJ1494))/AJ1494)))</f>
        <v>1</v>
      </c>
      <c r="AQ1494" s="62" t="n">
        <f aca="false">IF(LEFT(Cockpit!$I$5,1)="A",H1494,IF(Parameter!$E$30="MAX-Bestand",IF(CI1494=1,CJ1494,IF(LEFT(Cockpit!$I$5,1)="B",AW1494,MAX(AW1494,H1494))),ROUNDUP(AU1494,0)))</f>
        <v>24</v>
      </c>
      <c r="AR1494" s="62" t="n">
        <f aca="false">IF(CA1494=1,0,ROUNDUP(AQ1494/BZ1494,0))</f>
        <v>1</v>
      </c>
      <c r="AS1494" s="64" t="n">
        <f aca="false">IF(CR1494&gt;0,CR1494*MAX(1,AQ1494/X1494),IF(CA1494=1,IF(AQ1494&lt;=0,0,CE1494*MAX(1,IF(H1494&gt;0,AQ1494/H1494,1))),IF(R1494&gt;0,AR1494/R1494,0))/MAX(0.1,N(Parameter!$M$21)))</f>
        <v>0.0384615384615385</v>
      </c>
      <c r="AT1494" s="62" t="n">
        <f aca="false">AS1494*CC1494</f>
        <v>9.42307692307692</v>
      </c>
      <c r="AU1494" s="63" t="n">
        <f aca="false">IF(LEFT(Cockpit!$I$5,1)="A",H1494,IF(CI1494=1,(CL1494+CJ1494)/2,IF(LEFT(Cockpit!$I$5,1)="B",(CL1494+AW1494)/2,MAX((CL1494+AW1494)/2,H1494))))</f>
        <v>24</v>
      </c>
      <c r="AV1494" s="62" t="n">
        <f aca="false">AU1494*G1494</f>
        <v>330.96</v>
      </c>
      <c r="AW1494" s="62" t="n">
        <f aca="false">ROUNDUP(CL1494+MAX(CM1494,2*(J1494/IF(CH1494&gt;0,CH1494,MAX(0.1,N(Cockpit!$I$6)))-CL1494)),0)</f>
        <v>2</v>
      </c>
      <c r="AX1494" s="63" t="n">
        <f aca="false">IF(AT1494&gt;0,J1494/AT1494,-1)</f>
        <v>0</v>
      </c>
      <c r="AY1494" s="63" t="n">
        <f aca="false">IF(AND(OR(CG1494="L1",CG1494="L23",CG1494="LIFT"),AT1494&gt;0),SUMIFS($AT$7:$AT$1843,$CG$7:$CG$1843,CG1494,$AX$7:$AX$1843,"&gt;"&amp;AX1494)+SUMIFS($AT$7:$AT$1843,$CG$7:$CG$1843,CG1494,$AX$7:$AX$1843,AX1494,$BX$7:$BX$1843,"&lt;="&amp;BX1494),"")</f>
        <v>36122.5363170257</v>
      </c>
      <c r="AZ1494" s="70" t="n">
        <f aca="false">IF(AY1494="",0,MAX(0,MIN(1,(IF(CG1494="L1",Parameter!$H$5,IF(CG1494="L23",Parameter!$H$6+Parameter!$H$7,Parameter!$H$5+Parameter!$H$6+Parameter!$H$7))-(AY1494-AT1494))/AT1494)))</f>
        <v>0</v>
      </c>
      <c r="BA1494" s="62" t="n">
        <f aca="false">IF(LEFT(Cockpit!$O$5,1)="A",H1494,IF(Parameter!$E$30="MAX-Bestand",IF(CI1494=1,CJ1494,IF(LEFT(Cockpit!$O$5,1)="B",BG1494,MAX(BG1494,H1494))),ROUNDUP(BE1494,0)))</f>
        <v>1</v>
      </c>
      <c r="BB1494" s="62" t="n">
        <f aca="false">IF(CA1494=1,0,ROUNDUP(BA1494/BZ1494,0))</f>
        <v>1</v>
      </c>
      <c r="BC1494" s="64" t="n">
        <f aca="false">IF(CR1494&gt;0,CR1494*MAX(1,BA1494/X1494),IF(CA1494=1,IF(BA1494&lt;=0,0,CE1494*MAX(1,IF(H1494&gt;0,BA1494/H1494,1))),IF(R1494&gt;0,BB1494/R1494,0))/MAX(0.1,N(Parameter!$M$21)))</f>
        <v>0.0384615384615385</v>
      </c>
      <c r="BD1494" s="62" t="n">
        <f aca="false">BC1494*CC1494</f>
        <v>9.42307692307692</v>
      </c>
      <c r="BE1494" s="63" t="n">
        <f aca="false">IF(LEFT(Cockpit!$O$5,1)="A",H1494,IF(CI1494=1,(CL1494+CJ1494)/2,IF(LEFT(Cockpit!$O$5,1)="B",(CL1494+BG1494)/2,MAX((CL1494+BG1494)/2,H1494))))</f>
        <v>1</v>
      </c>
      <c r="BF1494" s="62" t="n">
        <f aca="false">BE1494*G1494</f>
        <v>13.79</v>
      </c>
      <c r="BG1494" s="62" t="n">
        <f aca="false">ROUNDUP(CL1494+MAX(CM1494,2*(J1494/IF(CH1494&gt;0,CH1494,MAX(0.1,N(Cockpit!$O$6)))-CL1494)),0)</f>
        <v>2</v>
      </c>
      <c r="BH1494" s="63" t="n">
        <f aca="false">IF(BD1494&gt;0,J1494/BD1494,-1)</f>
        <v>0</v>
      </c>
      <c r="BI1494" s="63" t="n">
        <f aca="false">IF(AND(OR(CG1494="L1",CG1494="L23",CG1494="LIFT"),BD1494&gt;0),SUMIFS($BD$7:$BD$1843,$CG$7:$CG$1843,CG1494,$BH$7:$BH$1843,"&gt;"&amp;BH1494)+SUMIFS($BD$7:$BD$1843,$CG$7:$CG$1843,CG1494,$BH$7:$BH$1843,BH1494,$BX$7:$BX$1843,"&lt;="&amp;BX1494),"")</f>
        <v>30107.8429771735</v>
      </c>
      <c r="BJ1494" s="70" t="n">
        <f aca="false">IF(BI1494="",0,MAX(0,MIN(1,(IF(CG1494="L1",Parameter!$H$5,IF(CG1494="L23",Parameter!$H$6+Parameter!$H$7,Parameter!$H$5+Parameter!$H$6+Parameter!$H$7))-(BI1494-BD1494))/BD1494)))</f>
        <v>1</v>
      </c>
      <c r="BK1494" s="60" t="str">
        <f aca="false">IF(AJ1494&lt;=0,"",IF(CG1494="Aussen","Aussenlager",IF(CG1494="-","Nicht im Lift",IF(AP1494&gt;=1,"Lift",IF(AP1494&lt;=0,"Aussenlager","teilweise")))))</f>
        <v>Lift</v>
      </c>
      <c r="BL1494" s="60" t="str">
        <f aca="false">IF(AT1494&lt;=0,"",IF(CG1494="Aussen","Aussenlager",IF(CG1494="-","Nicht im Lift",IF(AZ1494&gt;=1,"Lift",IF(AZ1494&lt;=0,"Aussenlager","teilweise")))))</f>
        <v>Aussenlager</v>
      </c>
      <c r="BM1494" s="60" t="str">
        <f aca="false">IF(BD1494&lt;=0,"",IF(CG1494="Aussen","Aussenlager",IF(CG1494="-","Nicht im Lift",IF(BJ1494&gt;=1,"Lift",IF(BJ1494&lt;=0,"Aussenlager","teilweise")))))</f>
        <v>Lift</v>
      </c>
      <c r="BN1494" s="60" t="str">
        <f aca="false">IF(A1494="","",IF(BW1494=1,"Neu; ","")&amp;IF(AND(BW1494=0,BR1494&lt;0),"negativer Bestand (Export "&amp;BR1494&amp;"); ","")&amp;IF(J1494&lt;=0,"Kein Verbrauch; ","")&amp;IF(CR1494&gt;0,"Lift "&amp;W1494&amp;" lt. Liftbericht (Fach "&amp;X1494&amp;" Stk); ",IF(CB1494=1,"Gebinde geschätzt ("&amp;T1494&amp;"); ",IF(CA1494=1,"Lose – Tablare geschätzt; ","")))&amp;IF(H1494&gt;AW1494,"Überbestand "&amp;ROUND(H1494-AW1494,0)&amp;" Stk / CHF "&amp;ROUND((H1494-AW1494)*G1494,0)&amp;"; ","")&amp;IF(AND(CI1494=1,CJ1494&lt;CK1494),"MAX &lt; MB+LG; ","")&amp;IF(AND(CQ1494&gt;0,CP1494*10&gt;CQ1494),"zu hoch für Tablar; ","")&amp;IF(AND(BW1494=0,OR(CI1494=1,AB1494&lt;&gt;"",U1494&lt;&gt;"",V1494&lt;&gt;"",AC1494&lt;&gt;"")),"manuell übersteuert; ","")&amp;IF(AND(CA1494=0,R1494=0),"Gebinde unbekannt / Stellmass fehlt; ","")&amp;IF(AND(CA1494=0,N(V1494)&lt;=0,N(Q1494)&lt;=0),"Menge pro Gebinde fehlt (Ist = 1 Gebinde); ","")&amp;BV1494)</f>
        <v>Kein Verbrauch; Überbestand 22 Stk / CHF 303; nur im Artikelstamm (Bestand 23.06.2026)</v>
      </c>
      <c r="BO1494" s="60"/>
      <c r="BP1494" s="60"/>
      <c r="BQ1494" s="67"/>
      <c r="BR1494" s="62" t="n">
        <v>24</v>
      </c>
      <c r="BS1494" s="62" t="n">
        <v>0</v>
      </c>
      <c r="BT1494" s="61" t="n">
        <v>0</v>
      </c>
      <c r="BU1494" s="62" t="n">
        <v>0</v>
      </c>
      <c r="BV1494" s="60" t="s">
        <v>2617</v>
      </c>
      <c r="BW1494" s="65" t="n">
        <v>0</v>
      </c>
      <c r="BX1494" s="65" t="n">
        <v>1494</v>
      </c>
      <c r="BY1494" s="60" t="str">
        <f aca="false">IF(U1494&lt;&gt;"",UPPER(TRIM(U1494)),IF(CB1494=1,UPPER(VLOOKUP(T1494,Parameter!$I$27:$K$29,2,0)),IF(P1494="","LOSE",P1494)))</f>
        <v>S52</v>
      </c>
      <c r="BZ1494" s="62" t="n">
        <f aca="false">IF(BY1494="LOSE",1,IF(N(V1494)&gt;0,V1494,IF(CB1494=1,MAX(1,N(VLOOKUP(T1494,Parameter!$I$27:$K$29,3,0)),H1494,N(N1494)),IF(N(Q1494)&gt;0,Q1494,MAX(1,H1494)))))</f>
        <v>24</v>
      </c>
      <c r="CA1494" s="65" t="n">
        <f aca="false">IF(BY1494="LOSE",1,0)</f>
        <v>0</v>
      </c>
      <c r="CB1494" s="65" t="n">
        <f aca="false">IF(AND(U1494="",OR(P1494="",P1494="LOSE"),T1494&lt;&gt;"",N(S1494)&lt;=0,ISNUMBER(MATCH(T1494,Parameter!$I$27:$I$29,0))),1,0)</f>
        <v>0</v>
      </c>
      <c r="CC1494" s="65" t="n">
        <f aca="false">IF(CR1494&gt;0,INDEX(Parameter!$H$5:$H$7,W1494)/INDEX(Parameter!$E$5:$E$7,W1494),IF(AND(CA1494=0,N(IFERROR(VLOOKUP(BY1494,'Gebinde-Kategorie'!$A$5:$N$45,14,0),0))&gt;0),VLOOKUP(BY1494,'Gebinde-Kategorie'!$A$5:$N$45,14,0)*10+Parameter!$M$23,Parameter!$M$24))</f>
        <v>245</v>
      </c>
      <c r="CD1494" s="60" t="str">
        <f aca="false">IF(AND(Parameter!$B$19="Ja",E1494&lt;&gt;"",ISNUMBER(MATCH(E1494,Parameter!$I$35:$I$52,0))),VLOOKUP(E1494,Parameter!$I$35:$J$52,2,0),IFERROR(VLOOKUP(D1494,Parameter!$A$35:$C$64,2,0),"Nein"))</f>
        <v>2+3</v>
      </c>
      <c r="CE1494" s="64" t="n">
        <f aca="false">IF(CA1494=0,0,IF(N(S1494)&gt;0,S1494,IFERROR(VLOOKUP(D1494,Parameter!$A$35:$C$64,3,0)+0,0)))</f>
        <v>0</v>
      </c>
      <c r="CF1494" s="60" t="n">
        <f aca="false">IF(AB1494&lt;&gt;"",AB1494,AA1494)</f>
        <v>3</v>
      </c>
      <c r="CG1494" s="60" t="str">
        <f aca="false">IF(OR(CF1494=1,CF1494=2,CF1494=3),IF(Parameter!$E$27="Ja","LIFT",IF(CF1494=1,"L1","L23")),IF(CF1494="Aussen","Aussen","-"))</f>
        <v>LIFT</v>
      </c>
      <c r="CH1494" s="71" t="n">
        <f aca="false">IF(N(AC1494)&gt;0,AC1494,0)</f>
        <v>0</v>
      </c>
      <c r="CI1494" s="65" t="n">
        <f aca="false">IF(ISNUMBER(AF1494),1,0)</f>
        <v>0</v>
      </c>
      <c r="CJ1494" s="62" t="n">
        <f aca="false">N(AF1494)</f>
        <v>0</v>
      </c>
      <c r="CK1494" s="62" t="n">
        <f aca="false">N(M1494)+N(N1494)</f>
        <v>2</v>
      </c>
      <c r="CL1494" s="62" t="n">
        <f aca="false">N(M1494)</f>
        <v>0</v>
      </c>
      <c r="CM1494" s="62" t="n">
        <f aca="false">N(N1494)</f>
        <v>2</v>
      </c>
      <c r="CN1494" s="62" t="n">
        <f aca="false">ROUNDUP(H1494/BZ1494,0)</f>
        <v>1</v>
      </c>
      <c r="CO1494" s="62" t="n">
        <f aca="false">ROUNDUP(CJ1494/BZ1494,0)</f>
        <v>0</v>
      </c>
      <c r="CP1494" s="65" t="n">
        <f aca="false">IF(CA1494=1,0,IFERROR(VLOOKUP(BY1494,'Gebinde-Kategorie'!$A$5:$N$45,5,0)+0,0))</f>
        <v>21</v>
      </c>
      <c r="CQ1494" s="65" t="n">
        <f aca="false">IFERROR(IF(OR(CF1494=1,CF1494=2,CF1494=3),N(INDEX(Parameter!$I$5:$I$7,CF1494)),0),0)</f>
        <v>0</v>
      </c>
      <c r="CR1494" s="64" t="n">
        <f aca="false">IF(AND(Parameter!$B$21="Ja",ISNUMBER(W1494),N(X1494)&gt;0),IFERROR(N(INDEX(Parameter!$L$5:$L$7,W1494))*INDEX(Parameter!$E$5:$E$7,W1494)*X1494/SUMIFS($X$7:$X$1843,$W$7:$W$1843,W1494),0),0)</f>
        <v>0</v>
      </c>
      <c r="CS1494" s="62" t="n">
        <f aca="false">IF(AND(OR(CG1494="L1",CG1494="L23",CG1494="LIFT"),H1494&gt;0),CC1494*IF(CR1494&gt;0,CR1494*MAX(1,H1494/X1494),IF(CA1494=1,CE1494,IF(R1494&gt;0,CN1494/R1494,0))/MAX(0.1,N(Parameter!$M$21))),"")</f>
        <v>9.42307692307692</v>
      </c>
      <c r="CT1494" s="64" t="n">
        <f aca="false">IF(CS1494="","",J1494/H1494)</f>
        <v>0</v>
      </c>
      <c r="CU1494" s="62" t="n">
        <f aca="false">IF(CS1494="","",H1494*G1494)</f>
        <v>330.96</v>
      </c>
      <c r="CV1494" s="63" t="n">
        <f aca="false">IF(CS1494="","",(CL1494+ROUNDUP(CL1494+MAX(CM1494,2*(J1494/MAX(0.1,N(Einkauf!$C$6))-CL1494)),0))/2)</f>
        <v>1</v>
      </c>
      <c r="CW1494" s="62" t="n">
        <f aca="false">IF(CS1494="","",MAX(0,H1494-CV1494)*G1494)</f>
        <v>317.17</v>
      </c>
      <c r="CX1494" s="62" t="n">
        <f aca="false">IF(CS1494="","",CS1494*MAX(0,1-CV1494/H1494))</f>
        <v>9.03044871794872</v>
      </c>
      <c r="CY1494" s="64" t="n">
        <f aca="false">IF(CS1494="","",PERCENTRANK($CS$7:$CS$1843,CS1494)+PERCENTRANK($CU$7:$CU$1843,CU1494)+1-PERCENTRANK($CT$7:$CT$1843,CT1494))</f>
        <v>2.02</v>
      </c>
      <c r="CZ1494" s="72" t="n">
        <f aca="false">IF(CS1494="","",CHOOSE(MATCH(Einkauf!$C$5,Parameter!$G$23:$G$27,0),CY1494,CS1494,CU1494,-CT1494,CW1494)+ROW()/1000000000)</f>
        <v>2.020001494</v>
      </c>
    </row>
    <row r="1495" customFormat="false" ht="15" hidden="false" customHeight="false" outlineLevel="0" collapsed="false">
      <c r="A1495" s="60" t="s">
        <v>2654</v>
      </c>
      <c r="B1495" s="60" t="s">
        <v>2655</v>
      </c>
      <c r="C1495" s="60" t="s">
        <v>206</v>
      </c>
      <c r="D1495" s="60" t="s">
        <v>226</v>
      </c>
      <c r="E1495" s="60" t="s">
        <v>227</v>
      </c>
      <c r="F1495" s="60"/>
      <c r="G1495" s="61" t="n">
        <v>5.3</v>
      </c>
      <c r="H1495" s="62" t="n">
        <f aca="false">MAX(0,IF(AND(Parameter!$B$21="Ja",ISNUMBER(Y1495)),Y1495,IF(Parameter!$B$20="Jahresanfang 2025 + Export",BS1495+BR1495,BR1495)))</f>
        <v>18</v>
      </c>
      <c r="I1495" s="62" t="n">
        <f aca="false">H1495*G1495</f>
        <v>95.4</v>
      </c>
      <c r="J1495" s="62" t="n">
        <f aca="false">BU1495*Parameter!$B$18</f>
        <v>0</v>
      </c>
      <c r="K1495" s="63"/>
      <c r="L1495" s="64"/>
      <c r="M1495" s="62" t="n">
        <v>0</v>
      </c>
      <c r="N1495" s="62" t="n">
        <v>10</v>
      </c>
      <c r="O1495" s="65" t="n">
        <v>14</v>
      </c>
      <c r="P1495" s="60" t="s">
        <v>443</v>
      </c>
      <c r="Q1495" s="62" t="n">
        <v>18</v>
      </c>
      <c r="R1495" s="65" t="n">
        <f aca="false">IF(CA1495=1,0,IFERROR(VLOOKUP(BY1495,'Gebinde-Kategorie'!$A$5:$N$45,13,0)+0,0))</f>
        <v>280</v>
      </c>
      <c r="S1495" s="66"/>
      <c r="T1495" s="67"/>
      <c r="U1495" s="67"/>
      <c r="V1495" s="67"/>
      <c r="W1495" s="60"/>
      <c r="X1495" s="62"/>
      <c r="Y1495" s="62"/>
      <c r="Z1495" s="60" t="n">
        <v>1</v>
      </c>
      <c r="AA1495" s="60" t="n">
        <f aca="false">IF(A1495="","",IF(AND(Parameter!$B$21="Ja",ISNUMBER(W1495)),W1495,IF(AND(Parameter!$E$27="Ja",ISNUMBER(Z1495),CD1495&lt;&gt;"Nein"),Z1495,IF(CD1495="2+3",IF(ISNUMBER(SEARCH("grosser Artikel",BV1495)),2,IFERROR(VLOOKUP(BY1495,Parameter!$F$35:$G$64,2,0),2)),IF(OR(CD1495="Nein",CD1495=""),"-",CD1495)))))</f>
        <v>1</v>
      </c>
      <c r="AB1495" s="67"/>
      <c r="AC1495" s="68"/>
      <c r="AD1495" s="62" t="n">
        <f aca="false">AW1495</f>
        <v>10</v>
      </c>
      <c r="AE1495" s="62" t="n">
        <f aca="false">MAX(AW1495,H1495)</f>
        <v>18</v>
      </c>
      <c r="AF1495" s="69"/>
      <c r="AG1495" s="62" t="n">
        <f aca="false">IF(LEFT(Cockpit!$C$5,1)="A",H1495,IF(Parameter!$E$30="MAX-Bestand",IF(CI1495=1,CJ1495,IF(LEFT(Cockpit!$C$5,1)="B",AM1495,MAX(AM1495,H1495))),ROUNDUP(AK1495,0)))</f>
        <v>18</v>
      </c>
      <c r="AH1495" s="62" t="n">
        <f aca="false">IF(CA1495=1,0,ROUNDUP(AG1495/BZ1495,0))</f>
        <v>1</v>
      </c>
      <c r="AI1495" s="64" t="n">
        <f aca="false">IF(CR1495&gt;0,CR1495*MAX(1,AG1495/X1495),IF(CA1495=1,IF(AG1495&lt;=0,0,CE1495*MAX(1,IF(H1495&gt;0,AG1495/H1495,1))),IF(R1495&gt;0,AH1495/R1495,0))/MAX(0.1,N(Parameter!$M$21)))</f>
        <v>0.00357142857142857</v>
      </c>
      <c r="AJ1495" s="62" t="n">
        <f aca="false">AI1495*CC1495</f>
        <v>0.553571428571429</v>
      </c>
      <c r="AK1495" s="63" t="n">
        <f aca="false">IF(LEFT(Cockpit!$C$5,1)="A",H1495,IF(CI1495=1,(CL1495+CJ1495)/2,IF(LEFT(Cockpit!$C$5,1)="B",(CL1495+AM1495)/2,MAX((CL1495+AM1495)/2,H1495))))</f>
        <v>18</v>
      </c>
      <c r="AL1495" s="62" t="n">
        <f aca="false">AK1495*G1495</f>
        <v>95.4</v>
      </c>
      <c r="AM1495" s="62" t="n">
        <f aca="false">ROUNDUP(CL1495+MAX(CM1495,2*(J1495/IF(CH1495&gt;0,CH1495,MAX(0.1,N(Cockpit!$C$6)))-CL1495)),0)</f>
        <v>10</v>
      </c>
      <c r="AN1495" s="63" t="n">
        <f aca="false">IF(AJ1495&gt;0,J1495/AJ1495,-1)</f>
        <v>0</v>
      </c>
      <c r="AO1495" s="63" t="n">
        <f aca="false">IF(AND(OR(CG1495="L1",CG1495="L23",CG1495="LIFT"),AJ1495&gt;0),SUMIFS($AJ$7:$AJ$1843,$CG$7:$CG$1843,CG1495,$AN$7:$AN$1843,"&gt;"&amp;AN1495)+SUMIFS($AJ$7:$AJ$1843,$CG$7:$CG$1843,CG1495,$AN$7:$AN$1843,AN1495,$BX$7:$BX$1843,"&lt;="&amp;BX1495),"")</f>
        <v>29816.5190859047</v>
      </c>
      <c r="AP1495" s="70" t="n">
        <f aca="false">IF(AO1495="",0,MAX(0,MIN(1,(IF(CG1495="L1",Parameter!$H$5,IF(CG1495="L23",Parameter!$H$6+Parameter!$H$7,Parameter!$H$5+Parameter!$H$6+Parameter!$H$7))-(AO1495-AJ1495))/AJ1495)))</f>
        <v>1</v>
      </c>
      <c r="AQ1495" s="62" t="n">
        <f aca="false">IF(LEFT(Cockpit!$I$5,1)="A",H1495,IF(Parameter!$E$30="MAX-Bestand",IF(CI1495=1,CJ1495,IF(LEFT(Cockpit!$I$5,1)="B",AW1495,MAX(AW1495,H1495))),ROUNDUP(AU1495,0)))</f>
        <v>18</v>
      </c>
      <c r="AR1495" s="62" t="n">
        <f aca="false">IF(CA1495=1,0,ROUNDUP(AQ1495/BZ1495,0))</f>
        <v>1</v>
      </c>
      <c r="AS1495" s="64" t="n">
        <f aca="false">IF(CR1495&gt;0,CR1495*MAX(1,AQ1495/X1495),IF(CA1495=1,IF(AQ1495&lt;=0,0,CE1495*MAX(1,IF(H1495&gt;0,AQ1495/H1495,1))),IF(R1495&gt;0,AR1495/R1495,0))/MAX(0.1,N(Parameter!$M$21)))</f>
        <v>0.00357142857142857</v>
      </c>
      <c r="AT1495" s="62" t="n">
        <f aca="false">AS1495*CC1495</f>
        <v>0.553571428571429</v>
      </c>
      <c r="AU1495" s="63" t="n">
        <f aca="false">IF(LEFT(Cockpit!$I$5,1)="A",H1495,IF(CI1495=1,(CL1495+CJ1495)/2,IF(LEFT(Cockpit!$I$5,1)="B",(CL1495+AW1495)/2,MAX((CL1495+AW1495)/2,H1495))))</f>
        <v>18</v>
      </c>
      <c r="AV1495" s="62" t="n">
        <f aca="false">AU1495*G1495</f>
        <v>95.4</v>
      </c>
      <c r="AW1495" s="62" t="n">
        <f aca="false">ROUNDUP(CL1495+MAX(CM1495,2*(J1495/IF(CH1495&gt;0,CH1495,MAX(0.1,N(Cockpit!$I$6)))-CL1495)),0)</f>
        <v>10</v>
      </c>
      <c r="AX1495" s="63" t="n">
        <f aca="false">IF(AT1495&gt;0,J1495/AT1495,-1)</f>
        <v>0</v>
      </c>
      <c r="AY1495" s="63" t="n">
        <f aca="false">IF(AND(OR(CG1495="L1",CG1495="L23",CG1495="LIFT"),AT1495&gt;0),SUMIFS($AT$7:$AT$1843,$CG$7:$CG$1843,CG1495,$AX$7:$AX$1843,"&gt;"&amp;AX1495)+SUMIFS($AT$7:$AT$1843,$CG$7:$CG$1843,CG1495,$AX$7:$AX$1843,AX1495,$BX$7:$BX$1843,"&lt;="&amp;BX1495),"")</f>
        <v>36123.0898884543</v>
      </c>
      <c r="AZ1495" s="70" t="n">
        <f aca="false">IF(AY1495="",0,MAX(0,MIN(1,(IF(CG1495="L1",Parameter!$H$5,IF(CG1495="L23",Parameter!$H$6+Parameter!$H$7,Parameter!$H$5+Parameter!$H$6+Parameter!$H$7))-(AY1495-AT1495))/AT1495)))</f>
        <v>0</v>
      </c>
      <c r="BA1495" s="62" t="n">
        <f aca="false">IF(LEFT(Cockpit!$O$5,1)="A",H1495,IF(Parameter!$E$30="MAX-Bestand",IF(CI1495=1,CJ1495,IF(LEFT(Cockpit!$O$5,1)="B",BG1495,MAX(BG1495,H1495))),ROUNDUP(BE1495,0)))</f>
        <v>5</v>
      </c>
      <c r="BB1495" s="62" t="n">
        <f aca="false">IF(CA1495=1,0,ROUNDUP(BA1495/BZ1495,0))</f>
        <v>1</v>
      </c>
      <c r="BC1495" s="64" t="n">
        <f aca="false">IF(CR1495&gt;0,CR1495*MAX(1,BA1495/X1495),IF(CA1495=1,IF(BA1495&lt;=0,0,CE1495*MAX(1,IF(H1495&gt;0,BA1495/H1495,1))),IF(R1495&gt;0,BB1495/R1495,0))/MAX(0.1,N(Parameter!$M$21)))</f>
        <v>0.00357142857142857</v>
      </c>
      <c r="BD1495" s="62" t="n">
        <f aca="false">BC1495*CC1495</f>
        <v>0.553571428571429</v>
      </c>
      <c r="BE1495" s="63" t="n">
        <f aca="false">IF(LEFT(Cockpit!$O$5,1)="A",H1495,IF(CI1495=1,(CL1495+CJ1495)/2,IF(LEFT(Cockpit!$O$5,1)="B",(CL1495+BG1495)/2,MAX((CL1495+BG1495)/2,H1495))))</f>
        <v>5</v>
      </c>
      <c r="BF1495" s="62" t="n">
        <f aca="false">BE1495*G1495</f>
        <v>26.5</v>
      </c>
      <c r="BG1495" s="62" t="n">
        <f aca="false">ROUNDUP(CL1495+MAX(CM1495,2*(J1495/IF(CH1495&gt;0,CH1495,MAX(0.1,N(Cockpit!$O$6)))-CL1495)),0)</f>
        <v>10</v>
      </c>
      <c r="BH1495" s="63" t="n">
        <f aca="false">IF(BD1495&gt;0,J1495/BD1495,-1)</f>
        <v>0</v>
      </c>
      <c r="BI1495" s="63" t="n">
        <f aca="false">IF(AND(OR(CG1495="L1",CG1495="L23",CG1495="LIFT"),BD1495&gt;0),SUMIFS($BD$7:$BD$1843,$CG$7:$CG$1843,CG1495,$BH$7:$BH$1843,"&gt;"&amp;BH1495)+SUMIFS($BD$7:$BD$1843,$CG$7:$CG$1843,CG1495,$BH$7:$BH$1843,BH1495,$BX$7:$BX$1843,"&lt;="&amp;BX1495),"")</f>
        <v>30108.3965486021</v>
      </c>
      <c r="BJ1495" s="70" t="n">
        <f aca="false">IF(BI1495="",0,MAX(0,MIN(1,(IF(CG1495="L1",Parameter!$H$5,IF(CG1495="L23",Parameter!$H$6+Parameter!$H$7,Parameter!$H$5+Parameter!$H$6+Parameter!$H$7))-(BI1495-BD1495))/BD1495)))</f>
        <v>1</v>
      </c>
      <c r="BK1495" s="60" t="str">
        <f aca="false">IF(AJ1495&lt;=0,"",IF(CG1495="Aussen","Aussenlager",IF(CG1495="-","Nicht im Lift",IF(AP1495&gt;=1,"Lift",IF(AP1495&lt;=0,"Aussenlager","teilweise")))))</f>
        <v>Lift</v>
      </c>
      <c r="BL1495" s="60" t="str">
        <f aca="false">IF(AT1495&lt;=0,"",IF(CG1495="Aussen","Aussenlager",IF(CG1495="-","Nicht im Lift",IF(AZ1495&gt;=1,"Lift",IF(AZ1495&lt;=0,"Aussenlager","teilweise")))))</f>
        <v>Aussenlager</v>
      </c>
      <c r="BM1495" s="60" t="str">
        <f aca="false">IF(BD1495&lt;=0,"",IF(CG1495="Aussen","Aussenlager",IF(CG1495="-","Nicht im Lift",IF(BJ1495&gt;=1,"Lift",IF(BJ1495&lt;=0,"Aussenlager","teilweise")))))</f>
        <v>Lift</v>
      </c>
      <c r="BN1495" s="60" t="str">
        <f aca="false">IF(A1495="","",IF(BW1495=1,"Neu; ","")&amp;IF(AND(BW1495=0,BR1495&lt;0),"negativer Bestand (Export "&amp;BR1495&amp;"); ","")&amp;IF(J1495&lt;=0,"Kein Verbrauch; ","")&amp;IF(CR1495&gt;0,"Lift "&amp;W1495&amp;" lt. Liftbericht (Fach "&amp;X1495&amp;" Stk); ",IF(CB1495=1,"Gebinde geschätzt ("&amp;T1495&amp;"); ",IF(CA1495=1,"Lose – Tablare geschätzt; ","")))&amp;IF(H1495&gt;AW1495,"Überbestand "&amp;ROUND(H1495-AW1495,0)&amp;" Stk / CHF "&amp;ROUND((H1495-AW1495)*G1495,0)&amp;"; ","")&amp;IF(AND(CI1495=1,CJ1495&lt;CK1495),"MAX &lt; MB+LG; ","")&amp;IF(AND(CQ1495&gt;0,CP1495*10&gt;CQ1495),"zu hoch für Tablar; ","")&amp;IF(AND(BW1495=0,OR(CI1495=1,AB1495&lt;&gt;"",U1495&lt;&gt;"",V1495&lt;&gt;"",AC1495&lt;&gt;"")),"manuell übersteuert; ","")&amp;IF(AND(CA1495=0,R1495=0),"Gebinde unbekannt / Stellmass fehlt; ","")&amp;IF(AND(CA1495=0,N(V1495)&lt;=0,N(Q1495)&lt;=0),"Menge pro Gebinde fehlt (Ist = 1 Gebinde); ","")&amp;BV1495)</f>
        <v>Kein Verbrauch; Überbestand 8 Stk / CHF 42; nur im Artikelstamm (Bestand 23.06.2026)</v>
      </c>
      <c r="BO1495" s="60"/>
      <c r="BP1495" s="60"/>
      <c r="BQ1495" s="67"/>
      <c r="BR1495" s="62" t="n">
        <v>18</v>
      </c>
      <c r="BS1495" s="62" t="n">
        <v>0</v>
      </c>
      <c r="BT1495" s="61" t="n">
        <v>0</v>
      </c>
      <c r="BU1495" s="62" t="n">
        <v>0</v>
      </c>
      <c r="BV1495" s="60" t="s">
        <v>2617</v>
      </c>
      <c r="BW1495" s="65" t="n">
        <v>0</v>
      </c>
      <c r="BX1495" s="65" t="n">
        <v>1495</v>
      </c>
      <c r="BY1495" s="60" t="str">
        <f aca="false">IF(U1495&lt;&gt;"",UPPER(TRIM(U1495)),IF(CB1495=1,UPPER(VLOOKUP(T1495,Parameter!$I$27:$K$29,2,0)),IF(P1495="","LOSE",P1495)))</f>
        <v>S21</v>
      </c>
      <c r="BZ1495" s="62" t="n">
        <f aca="false">IF(BY1495="LOSE",1,IF(N(V1495)&gt;0,V1495,IF(CB1495=1,MAX(1,N(VLOOKUP(T1495,Parameter!$I$27:$K$29,3,0)),H1495,N(N1495)),IF(N(Q1495)&gt;0,Q1495,MAX(1,H1495)))))</f>
        <v>18</v>
      </c>
      <c r="CA1495" s="65" t="n">
        <f aca="false">IF(BY1495="LOSE",1,0)</f>
        <v>0</v>
      </c>
      <c r="CB1495" s="65" t="n">
        <f aca="false">IF(AND(U1495="",OR(P1495="",P1495="LOSE"),T1495&lt;&gt;"",N(S1495)&lt;=0,ISNUMBER(MATCH(T1495,Parameter!$I$27:$I$29,0))),1,0)</f>
        <v>0</v>
      </c>
      <c r="CC1495" s="65" t="n">
        <f aca="false">IF(CR1495&gt;0,INDEX(Parameter!$H$5:$H$7,W1495)/INDEX(Parameter!$E$5:$E$7,W1495),IF(AND(CA1495=0,N(IFERROR(VLOOKUP(BY1495,'Gebinde-Kategorie'!$A$5:$N$45,14,0),0))&gt;0),VLOOKUP(BY1495,'Gebinde-Kategorie'!$A$5:$N$45,14,0)*10+Parameter!$M$23,Parameter!$M$24))</f>
        <v>155</v>
      </c>
      <c r="CD1495" s="60" t="str">
        <f aca="false">IF(AND(Parameter!$B$19="Ja",E1495&lt;&gt;"",ISNUMBER(MATCH(E1495,Parameter!$I$35:$I$52,0))),VLOOKUP(E1495,Parameter!$I$35:$J$52,2,0),IFERROR(VLOOKUP(D1495,Parameter!$A$35:$C$64,2,0),"Nein"))</f>
        <v>2+3</v>
      </c>
      <c r="CE1495" s="64" t="n">
        <f aca="false">IF(CA1495=0,0,IF(N(S1495)&gt;0,S1495,IFERROR(VLOOKUP(D1495,Parameter!$A$35:$C$64,3,0)+0,0)))</f>
        <v>0</v>
      </c>
      <c r="CF1495" s="60" t="n">
        <f aca="false">IF(AB1495&lt;&gt;"",AB1495,AA1495)</f>
        <v>1</v>
      </c>
      <c r="CG1495" s="60" t="str">
        <f aca="false">IF(OR(CF1495=1,CF1495=2,CF1495=3),IF(Parameter!$E$27="Ja","LIFT",IF(CF1495=1,"L1","L23")),IF(CF1495="Aussen","Aussen","-"))</f>
        <v>LIFT</v>
      </c>
      <c r="CH1495" s="71" t="n">
        <f aca="false">IF(N(AC1495)&gt;0,AC1495,0)</f>
        <v>0</v>
      </c>
      <c r="CI1495" s="65" t="n">
        <f aca="false">IF(ISNUMBER(AF1495),1,0)</f>
        <v>0</v>
      </c>
      <c r="CJ1495" s="62" t="n">
        <f aca="false">N(AF1495)</f>
        <v>0</v>
      </c>
      <c r="CK1495" s="62" t="n">
        <f aca="false">N(M1495)+N(N1495)</f>
        <v>10</v>
      </c>
      <c r="CL1495" s="62" t="n">
        <f aca="false">N(M1495)</f>
        <v>0</v>
      </c>
      <c r="CM1495" s="62" t="n">
        <f aca="false">N(N1495)</f>
        <v>10</v>
      </c>
      <c r="CN1495" s="62" t="n">
        <f aca="false">ROUNDUP(H1495/BZ1495,0)</f>
        <v>1</v>
      </c>
      <c r="CO1495" s="62" t="n">
        <f aca="false">ROUNDUP(CJ1495/BZ1495,0)</f>
        <v>0</v>
      </c>
      <c r="CP1495" s="65" t="n">
        <f aca="false">IF(CA1495=1,0,IFERROR(VLOOKUP(BY1495,'Gebinde-Kategorie'!$A$5:$N$45,5,0)+0,0))</f>
        <v>8</v>
      </c>
      <c r="CQ1495" s="65" t="n">
        <f aca="false">IFERROR(IF(OR(CF1495=1,CF1495=2,CF1495=3),N(INDEX(Parameter!$I$5:$I$7,CF1495)),0),0)</f>
        <v>0</v>
      </c>
      <c r="CR1495" s="64" t="n">
        <f aca="false">IF(AND(Parameter!$B$21="Ja",ISNUMBER(W1495),N(X1495)&gt;0),IFERROR(N(INDEX(Parameter!$L$5:$L$7,W1495))*INDEX(Parameter!$E$5:$E$7,W1495)*X1495/SUMIFS($X$7:$X$1843,$W$7:$W$1843,W1495),0),0)</f>
        <v>0</v>
      </c>
      <c r="CS1495" s="62" t="n">
        <f aca="false">IF(AND(OR(CG1495="L1",CG1495="L23",CG1495="LIFT"),H1495&gt;0),CC1495*IF(CR1495&gt;0,CR1495*MAX(1,H1495/X1495),IF(CA1495=1,CE1495,IF(R1495&gt;0,CN1495/R1495,0))/MAX(0.1,N(Parameter!$M$21))),"")</f>
        <v>0.553571428571429</v>
      </c>
      <c r="CT1495" s="64" t="n">
        <f aca="false">IF(CS1495="","",J1495/H1495)</f>
        <v>0</v>
      </c>
      <c r="CU1495" s="62" t="n">
        <f aca="false">IF(CS1495="","",H1495*G1495)</f>
        <v>95.4</v>
      </c>
      <c r="CV1495" s="63" t="n">
        <f aca="false">IF(CS1495="","",(CL1495+ROUNDUP(CL1495+MAX(CM1495,2*(J1495/MAX(0.1,N(Einkauf!$C$6))-CL1495)),0))/2)</f>
        <v>5</v>
      </c>
      <c r="CW1495" s="62" t="n">
        <f aca="false">IF(CS1495="","",MAX(0,H1495-CV1495)*G1495)</f>
        <v>68.9</v>
      </c>
      <c r="CX1495" s="62" t="n">
        <f aca="false">IF(CS1495="","",CS1495*MAX(0,1-CV1495/H1495))</f>
        <v>0.399801587301587</v>
      </c>
      <c r="CY1495" s="64" t="n">
        <f aca="false">IF(CS1495="","",PERCENTRANK($CS$7:$CS$1843,CS1495)+PERCENTRANK($CU$7:$CU$1843,CU1495)+1-PERCENTRANK($CT$7:$CT$1843,CT1495))</f>
        <v>1.228</v>
      </c>
      <c r="CZ1495" s="72" t="n">
        <f aca="false">IF(CS1495="","",CHOOSE(MATCH(Einkauf!$C$5,Parameter!$G$23:$G$27,0),CY1495,CS1495,CU1495,-CT1495,CW1495)+ROW()/1000000000)</f>
        <v>1.228001495</v>
      </c>
    </row>
    <row r="1496" customFormat="false" ht="15" hidden="false" customHeight="false" outlineLevel="0" collapsed="false">
      <c r="A1496" s="60" t="s">
        <v>2656</v>
      </c>
      <c r="B1496" s="60" t="s">
        <v>2657</v>
      </c>
      <c r="C1496" s="60" t="s">
        <v>206</v>
      </c>
      <c r="D1496" s="60" t="s">
        <v>226</v>
      </c>
      <c r="E1496" s="60" t="s">
        <v>227</v>
      </c>
      <c r="F1496" s="60"/>
      <c r="G1496" s="61" t="n">
        <v>1.94</v>
      </c>
      <c r="H1496" s="62" t="n">
        <f aca="false">MAX(0,IF(AND(Parameter!$B$21="Ja",ISNUMBER(Y1496)),Y1496,IF(Parameter!$B$20="Jahresanfang 2025 + Export",BS1496+BR1496,BR1496)))</f>
        <v>21</v>
      </c>
      <c r="I1496" s="62" t="n">
        <f aca="false">H1496*G1496</f>
        <v>40.74</v>
      </c>
      <c r="J1496" s="62" t="n">
        <f aca="false">BU1496*Parameter!$B$18</f>
        <v>0</v>
      </c>
      <c r="K1496" s="63"/>
      <c r="L1496" s="64"/>
      <c r="M1496" s="62" t="n">
        <v>0</v>
      </c>
      <c r="N1496" s="62" t="n">
        <v>20</v>
      </c>
      <c r="O1496" s="65" t="n">
        <v>14</v>
      </c>
      <c r="P1496" s="60" t="s">
        <v>443</v>
      </c>
      <c r="Q1496" s="62" t="n">
        <v>21</v>
      </c>
      <c r="R1496" s="65" t="n">
        <f aca="false">IF(CA1496=1,0,IFERROR(VLOOKUP(BY1496,'Gebinde-Kategorie'!$A$5:$N$45,13,0)+0,0))</f>
        <v>280</v>
      </c>
      <c r="S1496" s="66"/>
      <c r="T1496" s="67"/>
      <c r="U1496" s="67"/>
      <c r="V1496" s="67"/>
      <c r="W1496" s="60"/>
      <c r="X1496" s="62"/>
      <c r="Y1496" s="62"/>
      <c r="Z1496" s="60" t="n">
        <v>1</v>
      </c>
      <c r="AA1496" s="60" t="n">
        <f aca="false">IF(A1496="","",IF(AND(Parameter!$B$21="Ja",ISNUMBER(W1496)),W1496,IF(AND(Parameter!$E$27="Ja",ISNUMBER(Z1496),CD1496&lt;&gt;"Nein"),Z1496,IF(CD1496="2+3",IF(ISNUMBER(SEARCH("grosser Artikel",BV1496)),2,IFERROR(VLOOKUP(BY1496,Parameter!$F$35:$G$64,2,0),2)),IF(OR(CD1496="Nein",CD1496=""),"-",CD1496)))))</f>
        <v>1</v>
      </c>
      <c r="AB1496" s="67"/>
      <c r="AC1496" s="68"/>
      <c r="AD1496" s="62" t="n">
        <f aca="false">AW1496</f>
        <v>20</v>
      </c>
      <c r="AE1496" s="62" t="n">
        <f aca="false">MAX(AW1496,H1496)</f>
        <v>21</v>
      </c>
      <c r="AF1496" s="69"/>
      <c r="AG1496" s="62" t="n">
        <f aca="false">IF(LEFT(Cockpit!$C$5,1)="A",H1496,IF(Parameter!$E$30="MAX-Bestand",IF(CI1496=1,CJ1496,IF(LEFT(Cockpit!$C$5,1)="B",AM1496,MAX(AM1496,H1496))),ROUNDUP(AK1496,0)))</f>
        <v>21</v>
      </c>
      <c r="AH1496" s="62" t="n">
        <f aca="false">IF(CA1496=1,0,ROUNDUP(AG1496/BZ1496,0))</f>
        <v>1</v>
      </c>
      <c r="AI1496" s="64" t="n">
        <f aca="false">IF(CR1496&gt;0,CR1496*MAX(1,AG1496/X1496),IF(CA1496=1,IF(AG1496&lt;=0,0,CE1496*MAX(1,IF(H1496&gt;0,AG1496/H1496,1))),IF(R1496&gt;0,AH1496/R1496,0))/MAX(0.1,N(Parameter!$M$21)))</f>
        <v>0.00357142857142857</v>
      </c>
      <c r="AJ1496" s="62" t="n">
        <f aca="false">AI1496*CC1496</f>
        <v>0.553571428571429</v>
      </c>
      <c r="AK1496" s="63" t="n">
        <f aca="false">IF(LEFT(Cockpit!$C$5,1)="A",H1496,IF(CI1496=1,(CL1496+CJ1496)/2,IF(LEFT(Cockpit!$C$5,1)="B",(CL1496+AM1496)/2,MAX((CL1496+AM1496)/2,H1496))))</f>
        <v>21</v>
      </c>
      <c r="AL1496" s="62" t="n">
        <f aca="false">AK1496*G1496</f>
        <v>40.74</v>
      </c>
      <c r="AM1496" s="62" t="n">
        <f aca="false">ROUNDUP(CL1496+MAX(CM1496,2*(J1496/IF(CH1496&gt;0,CH1496,MAX(0.1,N(Cockpit!$C$6)))-CL1496)),0)</f>
        <v>20</v>
      </c>
      <c r="AN1496" s="63" t="n">
        <f aca="false">IF(AJ1496&gt;0,J1496/AJ1496,-1)</f>
        <v>0</v>
      </c>
      <c r="AO1496" s="63" t="n">
        <f aca="false">IF(AND(OR(CG1496="L1",CG1496="L23",CG1496="LIFT"),AJ1496&gt;0),SUMIFS($AJ$7:$AJ$1843,$CG$7:$CG$1843,CG1496,$AN$7:$AN$1843,"&gt;"&amp;AN1496)+SUMIFS($AJ$7:$AJ$1843,$CG$7:$CG$1843,CG1496,$AN$7:$AN$1843,AN1496,$BX$7:$BX$1843,"&lt;="&amp;BX1496),"")</f>
        <v>29817.0726573333</v>
      </c>
      <c r="AP1496" s="70" t="n">
        <f aca="false">IF(AO1496="",0,MAX(0,MIN(1,(IF(CG1496="L1",Parameter!$H$5,IF(CG1496="L23",Parameter!$H$6+Parameter!$H$7,Parameter!$H$5+Parameter!$H$6+Parameter!$H$7))-(AO1496-AJ1496))/AJ1496)))</f>
        <v>1</v>
      </c>
      <c r="AQ1496" s="62" t="n">
        <f aca="false">IF(LEFT(Cockpit!$I$5,1)="A",H1496,IF(Parameter!$E$30="MAX-Bestand",IF(CI1496=1,CJ1496,IF(LEFT(Cockpit!$I$5,1)="B",AW1496,MAX(AW1496,H1496))),ROUNDUP(AU1496,0)))</f>
        <v>21</v>
      </c>
      <c r="AR1496" s="62" t="n">
        <f aca="false">IF(CA1496=1,0,ROUNDUP(AQ1496/BZ1496,0))</f>
        <v>1</v>
      </c>
      <c r="AS1496" s="64" t="n">
        <f aca="false">IF(CR1496&gt;0,CR1496*MAX(1,AQ1496/X1496),IF(CA1496=1,IF(AQ1496&lt;=0,0,CE1496*MAX(1,IF(H1496&gt;0,AQ1496/H1496,1))),IF(R1496&gt;0,AR1496/R1496,0))/MAX(0.1,N(Parameter!$M$21)))</f>
        <v>0.00357142857142857</v>
      </c>
      <c r="AT1496" s="62" t="n">
        <f aca="false">AS1496*CC1496</f>
        <v>0.553571428571429</v>
      </c>
      <c r="AU1496" s="63" t="n">
        <f aca="false">IF(LEFT(Cockpit!$I$5,1)="A",H1496,IF(CI1496=1,(CL1496+CJ1496)/2,IF(LEFT(Cockpit!$I$5,1)="B",(CL1496+AW1496)/2,MAX((CL1496+AW1496)/2,H1496))))</f>
        <v>21</v>
      </c>
      <c r="AV1496" s="62" t="n">
        <f aca="false">AU1496*G1496</f>
        <v>40.74</v>
      </c>
      <c r="AW1496" s="62" t="n">
        <f aca="false">ROUNDUP(CL1496+MAX(CM1496,2*(J1496/IF(CH1496&gt;0,CH1496,MAX(0.1,N(Cockpit!$I$6)))-CL1496)),0)</f>
        <v>20</v>
      </c>
      <c r="AX1496" s="63" t="n">
        <f aca="false">IF(AT1496&gt;0,J1496/AT1496,-1)</f>
        <v>0</v>
      </c>
      <c r="AY1496" s="63" t="n">
        <f aca="false">IF(AND(OR(CG1496="L1",CG1496="L23",CG1496="LIFT"),AT1496&gt;0),SUMIFS($AT$7:$AT$1843,$CG$7:$CG$1843,CG1496,$AX$7:$AX$1843,"&gt;"&amp;AX1496)+SUMIFS($AT$7:$AT$1843,$CG$7:$CG$1843,CG1496,$AX$7:$AX$1843,AX1496,$BX$7:$BX$1843,"&lt;="&amp;BX1496),"")</f>
        <v>36123.6434598829</v>
      </c>
      <c r="AZ1496" s="70" t="n">
        <f aca="false">IF(AY1496="",0,MAX(0,MIN(1,(IF(CG1496="L1",Parameter!$H$5,IF(CG1496="L23",Parameter!$H$6+Parameter!$H$7,Parameter!$H$5+Parameter!$H$6+Parameter!$H$7))-(AY1496-AT1496))/AT1496)))</f>
        <v>0</v>
      </c>
      <c r="BA1496" s="62" t="n">
        <f aca="false">IF(LEFT(Cockpit!$O$5,1)="A",H1496,IF(Parameter!$E$30="MAX-Bestand",IF(CI1496=1,CJ1496,IF(LEFT(Cockpit!$O$5,1)="B",BG1496,MAX(BG1496,H1496))),ROUNDUP(BE1496,0)))</f>
        <v>10</v>
      </c>
      <c r="BB1496" s="62" t="n">
        <f aca="false">IF(CA1496=1,0,ROUNDUP(BA1496/BZ1496,0))</f>
        <v>1</v>
      </c>
      <c r="BC1496" s="64" t="n">
        <f aca="false">IF(CR1496&gt;0,CR1496*MAX(1,BA1496/X1496),IF(CA1496=1,IF(BA1496&lt;=0,0,CE1496*MAX(1,IF(H1496&gt;0,BA1496/H1496,1))),IF(R1496&gt;0,BB1496/R1496,0))/MAX(0.1,N(Parameter!$M$21)))</f>
        <v>0.00357142857142857</v>
      </c>
      <c r="BD1496" s="62" t="n">
        <f aca="false">BC1496*CC1496</f>
        <v>0.553571428571429</v>
      </c>
      <c r="BE1496" s="63" t="n">
        <f aca="false">IF(LEFT(Cockpit!$O$5,1)="A",H1496,IF(CI1496=1,(CL1496+CJ1496)/2,IF(LEFT(Cockpit!$O$5,1)="B",(CL1496+BG1496)/2,MAX((CL1496+BG1496)/2,H1496))))</f>
        <v>10</v>
      </c>
      <c r="BF1496" s="62" t="n">
        <f aca="false">BE1496*G1496</f>
        <v>19.4</v>
      </c>
      <c r="BG1496" s="62" t="n">
        <f aca="false">ROUNDUP(CL1496+MAX(CM1496,2*(J1496/IF(CH1496&gt;0,CH1496,MAX(0.1,N(Cockpit!$O$6)))-CL1496)),0)</f>
        <v>20</v>
      </c>
      <c r="BH1496" s="63" t="n">
        <f aca="false">IF(BD1496&gt;0,J1496/BD1496,-1)</f>
        <v>0</v>
      </c>
      <c r="BI1496" s="63" t="n">
        <f aca="false">IF(AND(OR(CG1496="L1",CG1496="L23",CG1496="LIFT"),BD1496&gt;0),SUMIFS($BD$7:$BD$1843,$CG$7:$CG$1843,CG1496,$BH$7:$BH$1843,"&gt;"&amp;BH1496)+SUMIFS($BD$7:$BD$1843,$CG$7:$CG$1843,CG1496,$BH$7:$BH$1843,BH1496,$BX$7:$BX$1843,"&lt;="&amp;BX1496),"")</f>
        <v>30108.9501200306</v>
      </c>
      <c r="BJ1496" s="70" t="n">
        <f aca="false">IF(BI1496="",0,MAX(0,MIN(1,(IF(CG1496="L1",Parameter!$H$5,IF(CG1496="L23",Parameter!$H$6+Parameter!$H$7,Parameter!$H$5+Parameter!$H$6+Parameter!$H$7))-(BI1496-BD1496))/BD1496)))</f>
        <v>1</v>
      </c>
      <c r="BK1496" s="60" t="str">
        <f aca="false">IF(AJ1496&lt;=0,"",IF(CG1496="Aussen","Aussenlager",IF(CG1496="-","Nicht im Lift",IF(AP1496&gt;=1,"Lift",IF(AP1496&lt;=0,"Aussenlager","teilweise")))))</f>
        <v>Lift</v>
      </c>
      <c r="BL1496" s="60" t="str">
        <f aca="false">IF(AT1496&lt;=0,"",IF(CG1496="Aussen","Aussenlager",IF(CG1496="-","Nicht im Lift",IF(AZ1496&gt;=1,"Lift",IF(AZ1496&lt;=0,"Aussenlager","teilweise")))))</f>
        <v>Aussenlager</v>
      </c>
      <c r="BM1496" s="60" t="str">
        <f aca="false">IF(BD1496&lt;=0,"",IF(CG1496="Aussen","Aussenlager",IF(CG1496="-","Nicht im Lift",IF(BJ1496&gt;=1,"Lift",IF(BJ1496&lt;=0,"Aussenlager","teilweise")))))</f>
        <v>Lift</v>
      </c>
      <c r="BN1496" s="60" t="str">
        <f aca="false">IF(A1496="","",IF(BW1496=1,"Neu; ","")&amp;IF(AND(BW1496=0,BR1496&lt;0),"negativer Bestand (Export "&amp;BR1496&amp;"); ","")&amp;IF(J1496&lt;=0,"Kein Verbrauch; ","")&amp;IF(CR1496&gt;0,"Lift "&amp;W1496&amp;" lt. Liftbericht (Fach "&amp;X1496&amp;" Stk); ",IF(CB1496=1,"Gebinde geschätzt ("&amp;T1496&amp;"); ",IF(CA1496=1,"Lose – Tablare geschätzt; ","")))&amp;IF(H1496&gt;AW1496,"Überbestand "&amp;ROUND(H1496-AW1496,0)&amp;" Stk / CHF "&amp;ROUND((H1496-AW1496)*G1496,0)&amp;"; ","")&amp;IF(AND(CI1496=1,CJ1496&lt;CK1496),"MAX &lt; MB+LG; ","")&amp;IF(AND(CQ1496&gt;0,CP1496*10&gt;CQ1496),"zu hoch für Tablar; ","")&amp;IF(AND(BW1496=0,OR(CI1496=1,AB1496&lt;&gt;"",U1496&lt;&gt;"",V1496&lt;&gt;"",AC1496&lt;&gt;"")),"manuell übersteuert; ","")&amp;IF(AND(CA1496=0,R1496=0),"Gebinde unbekannt / Stellmass fehlt; ","")&amp;IF(AND(CA1496=0,N(V1496)&lt;=0,N(Q1496)&lt;=0),"Menge pro Gebinde fehlt (Ist = 1 Gebinde); ","")&amp;BV1496)</f>
        <v>Kein Verbrauch; Überbestand 1 Stk / CHF 2; nur im Artikelstamm (Bestand 23.06.2026)</v>
      </c>
      <c r="BO1496" s="60"/>
      <c r="BP1496" s="60"/>
      <c r="BQ1496" s="67"/>
      <c r="BR1496" s="62" t="n">
        <v>21</v>
      </c>
      <c r="BS1496" s="62" t="n">
        <v>0</v>
      </c>
      <c r="BT1496" s="61" t="n">
        <v>0</v>
      </c>
      <c r="BU1496" s="62" t="n">
        <v>0</v>
      </c>
      <c r="BV1496" s="60" t="s">
        <v>2617</v>
      </c>
      <c r="BW1496" s="65" t="n">
        <v>0</v>
      </c>
      <c r="BX1496" s="65" t="n">
        <v>1496</v>
      </c>
      <c r="BY1496" s="60" t="str">
        <f aca="false">IF(U1496&lt;&gt;"",UPPER(TRIM(U1496)),IF(CB1496=1,UPPER(VLOOKUP(T1496,Parameter!$I$27:$K$29,2,0)),IF(P1496="","LOSE",P1496)))</f>
        <v>S21</v>
      </c>
      <c r="BZ1496" s="62" t="n">
        <f aca="false">IF(BY1496="LOSE",1,IF(N(V1496)&gt;0,V1496,IF(CB1496=1,MAX(1,N(VLOOKUP(T1496,Parameter!$I$27:$K$29,3,0)),H1496,N(N1496)),IF(N(Q1496)&gt;0,Q1496,MAX(1,H1496)))))</f>
        <v>21</v>
      </c>
      <c r="CA1496" s="65" t="n">
        <f aca="false">IF(BY1496="LOSE",1,0)</f>
        <v>0</v>
      </c>
      <c r="CB1496" s="65" t="n">
        <f aca="false">IF(AND(U1496="",OR(P1496="",P1496="LOSE"),T1496&lt;&gt;"",N(S1496)&lt;=0,ISNUMBER(MATCH(T1496,Parameter!$I$27:$I$29,0))),1,0)</f>
        <v>0</v>
      </c>
      <c r="CC1496" s="65" t="n">
        <f aca="false">IF(CR1496&gt;0,INDEX(Parameter!$H$5:$H$7,W1496)/INDEX(Parameter!$E$5:$E$7,W1496),IF(AND(CA1496=0,N(IFERROR(VLOOKUP(BY1496,'Gebinde-Kategorie'!$A$5:$N$45,14,0),0))&gt;0),VLOOKUP(BY1496,'Gebinde-Kategorie'!$A$5:$N$45,14,0)*10+Parameter!$M$23,Parameter!$M$24))</f>
        <v>155</v>
      </c>
      <c r="CD1496" s="60" t="str">
        <f aca="false">IF(AND(Parameter!$B$19="Ja",E1496&lt;&gt;"",ISNUMBER(MATCH(E1496,Parameter!$I$35:$I$52,0))),VLOOKUP(E1496,Parameter!$I$35:$J$52,2,0),IFERROR(VLOOKUP(D1496,Parameter!$A$35:$C$64,2,0),"Nein"))</f>
        <v>2+3</v>
      </c>
      <c r="CE1496" s="64" t="n">
        <f aca="false">IF(CA1496=0,0,IF(N(S1496)&gt;0,S1496,IFERROR(VLOOKUP(D1496,Parameter!$A$35:$C$64,3,0)+0,0)))</f>
        <v>0</v>
      </c>
      <c r="CF1496" s="60" t="n">
        <f aca="false">IF(AB1496&lt;&gt;"",AB1496,AA1496)</f>
        <v>1</v>
      </c>
      <c r="CG1496" s="60" t="str">
        <f aca="false">IF(OR(CF1496=1,CF1496=2,CF1496=3),IF(Parameter!$E$27="Ja","LIFT",IF(CF1496=1,"L1","L23")),IF(CF1496="Aussen","Aussen","-"))</f>
        <v>LIFT</v>
      </c>
      <c r="CH1496" s="71" t="n">
        <f aca="false">IF(N(AC1496)&gt;0,AC1496,0)</f>
        <v>0</v>
      </c>
      <c r="CI1496" s="65" t="n">
        <f aca="false">IF(ISNUMBER(AF1496),1,0)</f>
        <v>0</v>
      </c>
      <c r="CJ1496" s="62" t="n">
        <f aca="false">N(AF1496)</f>
        <v>0</v>
      </c>
      <c r="CK1496" s="62" t="n">
        <f aca="false">N(M1496)+N(N1496)</f>
        <v>20</v>
      </c>
      <c r="CL1496" s="62" t="n">
        <f aca="false">N(M1496)</f>
        <v>0</v>
      </c>
      <c r="CM1496" s="62" t="n">
        <f aca="false">N(N1496)</f>
        <v>20</v>
      </c>
      <c r="CN1496" s="62" t="n">
        <f aca="false">ROUNDUP(H1496/BZ1496,0)</f>
        <v>1</v>
      </c>
      <c r="CO1496" s="62" t="n">
        <f aca="false">ROUNDUP(CJ1496/BZ1496,0)</f>
        <v>0</v>
      </c>
      <c r="CP1496" s="65" t="n">
        <f aca="false">IF(CA1496=1,0,IFERROR(VLOOKUP(BY1496,'Gebinde-Kategorie'!$A$5:$N$45,5,0)+0,0))</f>
        <v>8</v>
      </c>
      <c r="CQ1496" s="65" t="n">
        <f aca="false">IFERROR(IF(OR(CF1496=1,CF1496=2,CF1496=3),N(INDEX(Parameter!$I$5:$I$7,CF1496)),0),0)</f>
        <v>0</v>
      </c>
      <c r="CR1496" s="64" t="n">
        <f aca="false">IF(AND(Parameter!$B$21="Ja",ISNUMBER(W1496),N(X1496)&gt;0),IFERROR(N(INDEX(Parameter!$L$5:$L$7,W1496))*INDEX(Parameter!$E$5:$E$7,W1496)*X1496/SUMIFS($X$7:$X$1843,$W$7:$W$1843,W1496),0),0)</f>
        <v>0</v>
      </c>
      <c r="CS1496" s="62" t="n">
        <f aca="false">IF(AND(OR(CG1496="L1",CG1496="L23",CG1496="LIFT"),H1496&gt;0),CC1496*IF(CR1496&gt;0,CR1496*MAX(1,H1496/X1496),IF(CA1496=1,CE1496,IF(R1496&gt;0,CN1496/R1496,0))/MAX(0.1,N(Parameter!$M$21))),"")</f>
        <v>0.553571428571429</v>
      </c>
      <c r="CT1496" s="64" t="n">
        <f aca="false">IF(CS1496="","",J1496/H1496)</f>
        <v>0</v>
      </c>
      <c r="CU1496" s="62" t="n">
        <f aca="false">IF(CS1496="","",H1496*G1496)</f>
        <v>40.74</v>
      </c>
      <c r="CV1496" s="63" t="n">
        <f aca="false">IF(CS1496="","",(CL1496+ROUNDUP(CL1496+MAX(CM1496,2*(J1496/MAX(0.1,N(Einkauf!$C$6))-CL1496)),0))/2)</f>
        <v>10</v>
      </c>
      <c r="CW1496" s="62" t="n">
        <f aca="false">IF(CS1496="","",MAX(0,H1496-CV1496)*G1496)</f>
        <v>21.34</v>
      </c>
      <c r="CX1496" s="62" t="n">
        <f aca="false">IF(CS1496="","",CS1496*MAX(0,1-CV1496/H1496))</f>
        <v>0.289965986394558</v>
      </c>
      <c r="CY1496" s="64" t="n">
        <f aca="false">IF(CS1496="","",PERCENTRANK($CS$7:$CS$1843,CS1496)+PERCENTRANK($CU$7:$CU$1843,CU1496)+1-PERCENTRANK($CT$7:$CT$1843,CT1496))</f>
        <v>1.137</v>
      </c>
      <c r="CZ1496" s="72" t="n">
        <f aca="false">IF(CS1496="","",CHOOSE(MATCH(Einkauf!$C$5,Parameter!$G$23:$G$27,0),CY1496,CS1496,CU1496,-CT1496,CW1496)+ROW()/1000000000)</f>
        <v>1.137001496</v>
      </c>
    </row>
    <row r="1497" customFormat="false" ht="15" hidden="false" customHeight="false" outlineLevel="0" collapsed="false">
      <c r="A1497" s="60" t="s">
        <v>2658</v>
      </c>
      <c r="B1497" s="60" t="s">
        <v>2659</v>
      </c>
      <c r="C1497" s="60" t="s">
        <v>206</v>
      </c>
      <c r="D1497" s="60" t="s">
        <v>226</v>
      </c>
      <c r="E1497" s="60" t="s">
        <v>227</v>
      </c>
      <c r="F1497" s="60"/>
      <c r="G1497" s="61" t="n">
        <v>9.06</v>
      </c>
      <c r="H1497" s="62" t="n">
        <f aca="false">MAX(0,IF(AND(Parameter!$B$21="Ja",ISNUMBER(Y1497)),Y1497,IF(Parameter!$B$20="Jahresanfang 2025 + Export",BS1497+BR1497,BR1497)))</f>
        <v>16</v>
      </c>
      <c r="I1497" s="62" t="n">
        <f aca="false">H1497*G1497</f>
        <v>144.96</v>
      </c>
      <c r="J1497" s="62" t="n">
        <f aca="false">BU1497*Parameter!$B$18</f>
        <v>0</v>
      </c>
      <c r="K1497" s="63"/>
      <c r="L1497" s="64"/>
      <c r="M1497" s="62" t="n">
        <v>0</v>
      </c>
      <c r="N1497" s="62" t="n">
        <v>20</v>
      </c>
      <c r="O1497" s="65" t="n">
        <v>14</v>
      </c>
      <c r="P1497" s="60" t="s">
        <v>443</v>
      </c>
      <c r="Q1497" s="62" t="n">
        <v>16</v>
      </c>
      <c r="R1497" s="65" t="n">
        <f aca="false">IF(CA1497=1,0,IFERROR(VLOOKUP(BY1497,'Gebinde-Kategorie'!$A$5:$N$45,13,0)+0,0))</f>
        <v>280</v>
      </c>
      <c r="S1497" s="66"/>
      <c r="T1497" s="67"/>
      <c r="U1497" s="67"/>
      <c r="V1497" s="67"/>
      <c r="W1497" s="60"/>
      <c r="X1497" s="62"/>
      <c r="Y1497" s="62"/>
      <c r="Z1497" s="60" t="n">
        <v>1</v>
      </c>
      <c r="AA1497" s="60" t="n">
        <f aca="false">IF(A1497="","",IF(AND(Parameter!$B$21="Ja",ISNUMBER(W1497)),W1497,IF(AND(Parameter!$E$27="Ja",ISNUMBER(Z1497),CD1497&lt;&gt;"Nein"),Z1497,IF(CD1497="2+3",IF(ISNUMBER(SEARCH("grosser Artikel",BV1497)),2,IFERROR(VLOOKUP(BY1497,Parameter!$F$35:$G$64,2,0),2)),IF(OR(CD1497="Nein",CD1497=""),"-",CD1497)))))</f>
        <v>1</v>
      </c>
      <c r="AB1497" s="67"/>
      <c r="AC1497" s="68"/>
      <c r="AD1497" s="62" t="n">
        <f aca="false">AW1497</f>
        <v>20</v>
      </c>
      <c r="AE1497" s="62" t="n">
        <f aca="false">MAX(AW1497,H1497)</f>
        <v>20</v>
      </c>
      <c r="AF1497" s="69"/>
      <c r="AG1497" s="62" t="n">
        <f aca="false">IF(LEFT(Cockpit!$C$5,1)="A",H1497,IF(Parameter!$E$30="MAX-Bestand",IF(CI1497=1,CJ1497,IF(LEFT(Cockpit!$C$5,1)="B",AM1497,MAX(AM1497,H1497))),ROUNDUP(AK1497,0)))</f>
        <v>16</v>
      </c>
      <c r="AH1497" s="62" t="n">
        <f aca="false">IF(CA1497=1,0,ROUNDUP(AG1497/BZ1497,0))</f>
        <v>1</v>
      </c>
      <c r="AI1497" s="64" t="n">
        <f aca="false">IF(CR1497&gt;0,CR1497*MAX(1,AG1497/X1497),IF(CA1497=1,IF(AG1497&lt;=0,0,CE1497*MAX(1,IF(H1497&gt;0,AG1497/H1497,1))),IF(R1497&gt;0,AH1497/R1497,0))/MAX(0.1,N(Parameter!$M$21)))</f>
        <v>0.00357142857142857</v>
      </c>
      <c r="AJ1497" s="62" t="n">
        <f aca="false">AI1497*CC1497</f>
        <v>0.553571428571429</v>
      </c>
      <c r="AK1497" s="63" t="n">
        <f aca="false">IF(LEFT(Cockpit!$C$5,1)="A",H1497,IF(CI1497=1,(CL1497+CJ1497)/2,IF(LEFT(Cockpit!$C$5,1)="B",(CL1497+AM1497)/2,MAX((CL1497+AM1497)/2,H1497))))</f>
        <v>16</v>
      </c>
      <c r="AL1497" s="62" t="n">
        <f aca="false">AK1497*G1497</f>
        <v>144.96</v>
      </c>
      <c r="AM1497" s="62" t="n">
        <f aca="false">ROUNDUP(CL1497+MAX(CM1497,2*(J1497/IF(CH1497&gt;0,CH1497,MAX(0.1,N(Cockpit!$C$6)))-CL1497)),0)</f>
        <v>20</v>
      </c>
      <c r="AN1497" s="63" t="n">
        <f aca="false">IF(AJ1497&gt;0,J1497/AJ1497,-1)</f>
        <v>0</v>
      </c>
      <c r="AO1497" s="63" t="n">
        <f aca="false">IF(AND(OR(CG1497="L1",CG1497="L23",CG1497="LIFT"),AJ1497&gt;0),SUMIFS($AJ$7:$AJ$1843,$CG$7:$CG$1843,CG1497,$AN$7:$AN$1843,"&gt;"&amp;AN1497)+SUMIFS($AJ$7:$AJ$1843,$CG$7:$CG$1843,CG1497,$AN$7:$AN$1843,AN1497,$BX$7:$BX$1843,"&lt;="&amp;BX1497),"")</f>
        <v>29817.6262287618</v>
      </c>
      <c r="AP1497" s="70" t="n">
        <f aca="false">IF(AO1497="",0,MAX(0,MIN(1,(IF(CG1497="L1",Parameter!$H$5,IF(CG1497="L23",Parameter!$H$6+Parameter!$H$7,Parameter!$H$5+Parameter!$H$6+Parameter!$H$7))-(AO1497-AJ1497))/AJ1497)))</f>
        <v>1</v>
      </c>
      <c r="AQ1497" s="62" t="n">
        <f aca="false">IF(LEFT(Cockpit!$I$5,1)="A",H1497,IF(Parameter!$E$30="MAX-Bestand",IF(CI1497=1,CJ1497,IF(LEFT(Cockpit!$I$5,1)="B",AW1497,MAX(AW1497,H1497))),ROUNDUP(AU1497,0)))</f>
        <v>16</v>
      </c>
      <c r="AR1497" s="62" t="n">
        <f aca="false">IF(CA1497=1,0,ROUNDUP(AQ1497/BZ1497,0))</f>
        <v>1</v>
      </c>
      <c r="AS1497" s="64" t="n">
        <f aca="false">IF(CR1497&gt;0,CR1497*MAX(1,AQ1497/X1497),IF(CA1497=1,IF(AQ1497&lt;=0,0,CE1497*MAX(1,IF(H1497&gt;0,AQ1497/H1497,1))),IF(R1497&gt;0,AR1497/R1497,0))/MAX(0.1,N(Parameter!$M$21)))</f>
        <v>0.00357142857142857</v>
      </c>
      <c r="AT1497" s="62" t="n">
        <f aca="false">AS1497*CC1497</f>
        <v>0.553571428571429</v>
      </c>
      <c r="AU1497" s="63" t="n">
        <f aca="false">IF(LEFT(Cockpit!$I$5,1)="A",H1497,IF(CI1497=1,(CL1497+CJ1497)/2,IF(LEFT(Cockpit!$I$5,1)="B",(CL1497+AW1497)/2,MAX((CL1497+AW1497)/2,H1497))))</f>
        <v>16</v>
      </c>
      <c r="AV1497" s="62" t="n">
        <f aca="false">AU1497*G1497</f>
        <v>144.96</v>
      </c>
      <c r="AW1497" s="62" t="n">
        <f aca="false">ROUNDUP(CL1497+MAX(CM1497,2*(J1497/IF(CH1497&gt;0,CH1497,MAX(0.1,N(Cockpit!$I$6)))-CL1497)),0)</f>
        <v>20</v>
      </c>
      <c r="AX1497" s="63" t="n">
        <f aca="false">IF(AT1497&gt;0,J1497/AT1497,-1)</f>
        <v>0</v>
      </c>
      <c r="AY1497" s="63" t="n">
        <f aca="false">IF(AND(OR(CG1497="L1",CG1497="L23",CG1497="LIFT"),AT1497&gt;0),SUMIFS($AT$7:$AT$1843,$CG$7:$CG$1843,CG1497,$AX$7:$AX$1843,"&gt;"&amp;AX1497)+SUMIFS($AT$7:$AT$1843,$CG$7:$CG$1843,CG1497,$AX$7:$AX$1843,AX1497,$BX$7:$BX$1843,"&lt;="&amp;BX1497),"")</f>
        <v>36124.1970313114</v>
      </c>
      <c r="AZ1497" s="70" t="n">
        <f aca="false">IF(AY1497="",0,MAX(0,MIN(1,(IF(CG1497="L1",Parameter!$H$5,IF(CG1497="L23",Parameter!$H$6+Parameter!$H$7,Parameter!$H$5+Parameter!$H$6+Parameter!$H$7))-(AY1497-AT1497))/AT1497)))</f>
        <v>0</v>
      </c>
      <c r="BA1497" s="62" t="n">
        <f aca="false">IF(LEFT(Cockpit!$O$5,1)="A",H1497,IF(Parameter!$E$30="MAX-Bestand",IF(CI1497=1,CJ1497,IF(LEFT(Cockpit!$O$5,1)="B",BG1497,MAX(BG1497,H1497))),ROUNDUP(BE1497,0)))</f>
        <v>10</v>
      </c>
      <c r="BB1497" s="62" t="n">
        <f aca="false">IF(CA1497=1,0,ROUNDUP(BA1497/BZ1497,0))</f>
        <v>1</v>
      </c>
      <c r="BC1497" s="64" t="n">
        <f aca="false">IF(CR1497&gt;0,CR1497*MAX(1,BA1497/X1497),IF(CA1497=1,IF(BA1497&lt;=0,0,CE1497*MAX(1,IF(H1497&gt;0,BA1497/H1497,1))),IF(R1497&gt;0,BB1497/R1497,0))/MAX(0.1,N(Parameter!$M$21)))</f>
        <v>0.00357142857142857</v>
      </c>
      <c r="BD1497" s="62" t="n">
        <f aca="false">BC1497*CC1497</f>
        <v>0.553571428571429</v>
      </c>
      <c r="BE1497" s="63" t="n">
        <f aca="false">IF(LEFT(Cockpit!$O$5,1)="A",H1497,IF(CI1497=1,(CL1497+CJ1497)/2,IF(LEFT(Cockpit!$O$5,1)="B",(CL1497+BG1497)/2,MAX((CL1497+BG1497)/2,H1497))))</f>
        <v>10</v>
      </c>
      <c r="BF1497" s="62" t="n">
        <f aca="false">BE1497*G1497</f>
        <v>90.6</v>
      </c>
      <c r="BG1497" s="62" t="n">
        <f aca="false">ROUNDUP(CL1497+MAX(CM1497,2*(J1497/IF(CH1497&gt;0,CH1497,MAX(0.1,N(Cockpit!$O$6)))-CL1497)),0)</f>
        <v>20</v>
      </c>
      <c r="BH1497" s="63" t="n">
        <f aca="false">IF(BD1497&gt;0,J1497/BD1497,-1)</f>
        <v>0</v>
      </c>
      <c r="BI1497" s="63" t="n">
        <f aca="false">IF(AND(OR(CG1497="L1",CG1497="L23",CG1497="LIFT"),BD1497&gt;0),SUMIFS($BD$7:$BD$1843,$CG$7:$CG$1843,CG1497,$BH$7:$BH$1843,"&gt;"&amp;BH1497)+SUMIFS($BD$7:$BD$1843,$CG$7:$CG$1843,CG1497,$BH$7:$BH$1843,BH1497,$BX$7:$BX$1843,"&lt;="&amp;BX1497),"")</f>
        <v>30109.5036914592</v>
      </c>
      <c r="BJ1497" s="70" t="n">
        <f aca="false">IF(BI1497="",0,MAX(0,MIN(1,(IF(CG1497="L1",Parameter!$H$5,IF(CG1497="L23",Parameter!$H$6+Parameter!$H$7,Parameter!$H$5+Parameter!$H$6+Parameter!$H$7))-(BI1497-BD1497))/BD1497)))</f>
        <v>1</v>
      </c>
      <c r="BK1497" s="60" t="str">
        <f aca="false">IF(AJ1497&lt;=0,"",IF(CG1497="Aussen","Aussenlager",IF(CG1497="-","Nicht im Lift",IF(AP1497&gt;=1,"Lift",IF(AP1497&lt;=0,"Aussenlager","teilweise")))))</f>
        <v>Lift</v>
      </c>
      <c r="BL1497" s="60" t="str">
        <f aca="false">IF(AT1497&lt;=0,"",IF(CG1497="Aussen","Aussenlager",IF(CG1497="-","Nicht im Lift",IF(AZ1497&gt;=1,"Lift",IF(AZ1497&lt;=0,"Aussenlager","teilweise")))))</f>
        <v>Aussenlager</v>
      </c>
      <c r="BM1497" s="60" t="str">
        <f aca="false">IF(BD1497&lt;=0,"",IF(CG1497="Aussen","Aussenlager",IF(CG1497="-","Nicht im Lift",IF(BJ1497&gt;=1,"Lift",IF(BJ1497&lt;=0,"Aussenlager","teilweise")))))</f>
        <v>Lift</v>
      </c>
      <c r="BN1497" s="60" t="str">
        <f aca="false">IF(A1497="","",IF(BW1497=1,"Neu; ","")&amp;IF(AND(BW1497=0,BR1497&lt;0),"negativer Bestand (Export "&amp;BR1497&amp;"); ","")&amp;IF(J1497&lt;=0,"Kein Verbrauch; ","")&amp;IF(CR1497&gt;0,"Lift "&amp;W1497&amp;" lt. Liftbericht (Fach "&amp;X1497&amp;" Stk); ",IF(CB1497=1,"Gebinde geschätzt ("&amp;T1497&amp;"); ",IF(CA1497=1,"Lose – Tablare geschätzt; ","")))&amp;IF(H1497&gt;AW1497,"Überbestand "&amp;ROUND(H1497-AW1497,0)&amp;" Stk / CHF "&amp;ROUND((H1497-AW1497)*G1497,0)&amp;"; ","")&amp;IF(AND(CI1497=1,CJ1497&lt;CK1497),"MAX &lt; MB+LG; ","")&amp;IF(AND(CQ1497&gt;0,CP1497*10&gt;CQ1497),"zu hoch für Tablar; ","")&amp;IF(AND(BW1497=0,OR(CI1497=1,AB1497&lt;&gt;"",U1497&lt;&gt;"",V1497&lt;&gt;"",AC1497&lt;&gt;"")),"manuell übersteuert; ","")&amp;IF(AND(CA1497=0,R1497=0),"Gebinde unbekannt / Stellmass fehlt; ","")&amp;IF(AND(CA1497=0,N(V1497)&lt;=0,N(Q1497)&lt;=0),"Menge pro Gebinde fehlt (Ist = 1 Gebinde); ","")&amp;BV1497)</f>
        <v>Kein Verbrauch; nur im Artikelstamm (Bestand 23.06.2026)</v>
      </c>
      <c r="BO1497" s="60"/>
      <c r="BP1497" s="60"/>
      <c r="BQ1497" s="67"/>
      <c r="BR1497" s="62" t="n">
        <v>16</v>
      </c>
      <c r="BS1497" s="62" t="n">
        <v>0</v>
      </c>
      <c r="BT1497" s="61" t="n">
        <v>0</v>
      </c>
      <c r="BU1497" s="62" t="n">
        <v>0</v>
      </c>
      <c r="BV1497" s="60" t="s">
        <v>2617</v>
      </c>
      <c r="BW1497" s="65" t="n">
        <v>0</v>
      </c>
      <c r="BX1497" s="65" t="n">
        <v>1497</v>
      </c>
      <c r="BY1497" s="60" t="str">
        <f aca="false">IF(U1497&lt;&gt;"",UPPER(TRIM(U1497)),IF(CB1497=1,UPPER(VLOOKUP(T1497,Parameter!$I$27:$K$29,2,0)),IF(P1497="","LOSE",P1497)))</f>
        <v>S21</v>
      </c>
      <c r="BZ1497" s="62" t="n">
        <f aca="false">IF(BY1497="LOSE",1,IF(N(V1497)&gt;0,V1497,IF(CB1497=1,MAX(1,N(VLOOKUP(T1497,Parameter!$I$27:$K$29,3,0)),H1497,N(N1497)),IF(N(Q1497)&gt;0,Q1497,MAX(1,H1497)))))</f>
        <v>16</v>
      </c>
      <c r="CA1497" s="65" t="n">
        <f aca="false">IF(BY1497="LOSE",1,0)</f>
        <v>0</v>
      </c>
      <c r="CB1497" s="65" t="n">
        <f aca="false">IF(AND(U1497="",OR(P1497="",P1497="LOSE"),T1497&lt;&gt;"",N(S1497)&lt;=0,ISNUMBER(MATCH(T1497,Parameter!$I$27:$I$29,0))),1,0)</f>
        <v>0</v>
      </c>
      <c r="CC1497" s="65" t="n">
        <f aca="false">IF(CR1497&gt;0,INDEX(Parameter!$H$5:$H$7,W1497)/INDEX(Parameter!$E$5:$E$7,W1497),IF(AND(CA1497=0,N(IFERROR(VLOOKUP(BY1497,'Gebinde-Kategorie'!$A$5:$N$45,14,0),0))&gt;0),VLOOKUP(BY1497,'Gebinde-Kategorie'!$A$5:$N$45,14,0)*10+Parameter!$M$23,Parameter!$M$24))</f>
        <v>155</v>
      </c>
      <c r="CD1497" s="60" t="str">
        <f aca="false">IF(AND(Parameter!$B$19="Ja",E1497&lt;&gt;"",ISNUMBER(MATCH(E1497,Parameter!$I$35:$I$52,0))),VLOOKUP(E1497,Parameter!$I$35:$J$52,2,0),IFERROR(VLOOKUP(D1497,Parameter!$A$35:$C$64,2,0),"Nein"))</f>
        <v>2+3</v>
      </c>
      <c r="CE1497" s="64" t="n">
        <f aca="false">IF(CA1497=0,0,IF(N(S1497)&gt;0,S1497,IFERROR(VLOOKUP(D1497,Parameter!$A$35:$C$64,3,0)+0,0)))</f>
        <v>0</v>
      </c>
      <c r="CF1497" s="60" t="n">
        <f aca="false">IF(AB1497&lt;&gt;"",AB1497,AA1497)</f>
        <v>1</v>
      </c>
      <c r="CG1497" s="60" t="str">
        <f aca="false">IF(OR(CF1497=1,CF1497=2,CF1497=3),IF(Parameter!$E$27="Ja","LIFT",IF(CF1497=1,"L1","L23")),IF(CF1497="Aussen","Aussen","-"))</f>
        <v>LIFT</v>
      </c>
      <c r="CH1497" s="71" t="n">
        <f aca="false">IF(N(AC1497)&gt;0,AC1497,0)</f>
        <v>0</v>
      </c>
      <c r="CI1497" s="65" t="n">
        <f aca="false">IF(ISNUMBER(AF1497),1,0)</f>
        <v>0</v>
      </c>
      <c r="CJ1497" s="62" t="n">
        <f aca="false">N(AF1497)</f>
        <v>0</v>
      </c>
      <c r="CK1497" s="62" t="n">
        <f aca="false">N(M1497)+N(N1497)</f>
        <v>20</v>
      </c>
      <c r="CL1497" s="62" t="n">
        <f aca="false">N(M1497)</f>
        <v>0</v>
      </c>
      <c r="CM1497" s="62" t="n">
        <f aca="false">N(N1497)</f>
        <v>20</v>
      </c>
      <c r="CN1497" s="62" t="n">
        <f aca="false">ROUNDUP(H1497/BZ1497,0)</f>
        <v>1</v>
      </c>
      <c r="CO1497" s="62" t="n">
        <f aca="false">ROUNDUP(CJ1497/BZ1497,0)</f>
        <v>0</v>
      </c>
      <c r="CP1497" s="65" t="n">
        <f aca="false">IF(CA1497=1,0,IFERROR(VLOOKUP(BY1497,'Gebinde-Kategorie'!$A$5:$N$45,5,0)+0,0))</f>
        <v>8</v>
      </c>
      <c r="CQ1497" s="65" t="n">
        <f aca="false">IFERROR(IF(OR(CF1497=1,CF1497=2,CF1497=3),N(INDEX(Parameter!$I$5:$I$7,CF1497)),0),0)</f>
        <v>0</v>
      </c>
      <c r="CR1497" s="64" t="n">
        <f aca="false">IF(AND(Parameter!$B$21="Ja",ISNUMBER(W1497),N(X1497)&gt;0),IFERROR(N(INDEX(Parameter!$L$5:$L$7,W1497))*INDEX(Parameter!$E$5:$E$7,W1497)*X1497/SUMIFS($X$7:$X$1843,$W$7:$W$1843,W1497),0),0)</f>
        <v>0</v>
      </c>
      <c r="CS1497" s="62" t="n">
        <f aca="false">IF(AND(OR(CG1497="L1",CG1497="L23",CG1497="LIFT"),H1497&gt;0),CC1497*IF(CR1497&gt;0,CR1497*MAX(1,H1497/X1497),IF(CA1497=1,CE1497,IF(R1497&gt;0,CN1497/R1497,0))/MAX(0.1,N(Parameter!$M$21))),"")</f>
        <v>0.553571428571429</v>
      </c>
      <c r="CT1497" s="64" t="n">
        <f aca="false">IF(CS1497="","",J1497/H1497)</f>
        <v>0</v>
      </c>
      <c r="CU1497" s="62" t="n">
        <f aca="false">IF(CS1497="","",H1497*G1497)</f>
        <v>144.96</v>
      </c>
      <c r="CV1497" s="63" t="n">
        <f aca="false">IF(CS1497="","",(CL1497+ROUNDUP(CL1497+MAX(CM1497,2*(J1497/MAX(0.1,N(Einkauf!$C$6))-CL1497)),0))/2)</f>
        <v>10</v>
      </c>
      <c r="CW1497" s="62" t="n">
        <f aca="false">IF(CS1497="","",MAX(0,H1497-CV1497)*G1497)</f>
        <v>54.36</v>
      </c>
      <c r="CX1497" s="62" t="n">
        <f aca="false">IF(CS1497="","",CS1497*MAX(0,1-CV1497/H1497))</f>
        <v>0.207589285714286</v>
      </c>
      <c r="CY1497" s="64" t="n">
        <f aca="false">IF(CS1497="","",PERCENTRANK($CS$7:$CS$1843,CS1497)+PERCENTRANK($CU$7:$CU$1843,CU1497)+1-PERCENTRANK($CT$7:$CT$1843,CT1497))</f>
        <v>1.294</v>
      </c>
      <c r="CZ1497" s="72" t="n">
        <f aca="false">IF(CS1497="","",CHOOSE(MATCH(Einkauf!$C$5,Parameter!$G$23:$G$27,0),CY1497,CS1497,CU1497,-CT1497,CW1497)+ROW()/1000000000)</f>
        <v>1.294001497</v>
      </c>
    </row>
    <row r="1498" customFormat="false" ht="15" hidden="false" customHeight="false" outlineLevel="0" collapsed="false">
      <c r="A1498" s="60" t="s">
        <v>2660</v>
      </c>
      <c r="B1498" s="60" t="s">
        <v>2661</v>
      </c>
      <c r="C1498" s="60" t="s">
        <v>206</v>
      </c>
      <c r="D1498" s="60" t="s">
        <v>226</v>
      </c>
      <c r="E1498" s="60" t="s">
        <v>227</v>
      </c>
      <c r="F1498" s="60"/>
      <c r="G1498" s="61" t="n">
        <v>5.21</v>
      </c>
      <c r="H1498" s="62" t="n">
        <f aca="false">MAX(0,IF(AND(Parameter!$B$21="Ja",ISNUMBER(Y1498)),Y1498,IF(Parameter!$B$20="Jahresanfang 2025 + Export",BS1498+BR1498,BR1498)))</f>
        <v>14</v>
      </c>
      <c r="I1498" s="62" t="n">
        <f aca="false">H1498*G1498</f>
        <v>72.94</v>
      </c>
      <c r="J1498" s="62" t="n">
        <f aca="false">BU1498*Parameter!$B$18</f>
        <v>0</v>
      </c>
      <c r="K1498" s="63"/>
      <c r="L1498" s="64"/>
      <c r="M1498" s="62" t="n">
        <v>0</v>
      </c>
      <c r="N1498" s="62" t="n">
        <v>10</v>
      </c>
      <c r="O1498" s="65" t="n">
        <v>14</v>
      </c>
      <c r="P1498" s="60" t="s">
        <v>443</v>
      </c>
      <c r="Q1498" s="62" t="n">
        <v>14</v>
      </c>
      <c r="R1498" s="65" t="n">
        <f aca="false">IF(CA1498=1,0,IFERROR(VLOOKUP(BY1498,'Gebinde-Kategorie'!$A$5:$N$45,13,0)+0,0))</f>
        <v>280</v>
      </c>
      <c r="S1498" s="66"/>
      <c r="T1498" s="67"/>
      <c r="U1498" s="67"/>
      <c r="V1498" s="67"/>
      <c r="W1498" s="60"/>
      <c r="X1498" s="62"/>
      <c r="Y1498" s="62"/>
      <c r="Z1498" s="60" t="n">
        <v>1</v>
      </c>
      <c r="AA1498" s="60" t="n">
        <f aca="false">IF(A1498="","",IF(AND(Parameter!$B$21="Ja",ISNUMBER(W1498)),W1498,IF(AND(Parameter!$E$27="Ja",ISNUMBER(Z1498),CD1498&lt;&gt;"Nein"),Z1498,IF(CD1498="2+3",IF(ISNUMBER(SEARCH("grosser Artikel",BV1498)),2,IFERROR(VLOOKUP(BY1498,Parameter!$F$35:$G$64,2,0),2)),IF(OR(CD1498="Nein",CD1498=""),"-",CD1498)))))</f>
        <v>1</v>
      </c>
      <c r="AB1498" s="67"/>
      <c r="AC1498" s="68"/>
      <c r="AD1498" s="62" t="n">
        <f aca="false">AW1498</f>
        <v>10</v>
      </c>
      <c r="AE1498" s="62" t="n">
        <f aca="false">MAX(AW1498,H1498)</f>
        <v>14</v>
      </c>
      <c r="AF1498" s="69"/>
      <c r="AG1498" s="62" t="n">
        <f aca="false">IF(LEFT(Cockpit!$C$5,1)="A",H1498,IF(Parameter!$E$30="MAX-Bestand",IF(CI1498=1,CJ1498,IF(LEFT(Cockpit!$C$5,1)="B",AM1498,MAX(AM1498,H1498))),ROUNDUP(AK1498,0)))</f>
        <v>14</v>
      </c>
      <c r="AH1498" s="62" t="n">
        <f aca="false">IF(CA1498=1,0,ROUNDUP(AG1498/BZ1498,0))</f>
        <v>1</v>
      </c>
      <c r="AI1498" s="64" t="n">
        <f aca="false">IF(CR1498&gt;0,CR1498*MAX(1,AG1498/X1498),IF(CA1498=1,IF(AG1498&lt;=0,0,CE1498*MAX(1,IF(H1498&gt;0,AG1498/H1498,1))),IF(R1498&gt;0,AH1498/R1498,0))/MAX(0.1,N(Parameter!$M$21)))</f>
        <v>0.00357142857142857</v>
      </c>
      <c r="AJ1498" s="62" t="n">
        <f aca="false">AI1498*CC1498</f>
        <v>0.553571428571429</v>
      </c>
      <c r="AK1498" s="63" t="n">
        <f aca="false">IF(LEFT(Cockpit!$C$5,1)="A",H1498,IF(CI1498=1,(CL1498+CJ1498)/2,IF(LEFT(Cockpit!$C$5,1)="B",(CL1498+AM1498)/2,MAX((CL1498+AM1498)/2,H1498))))</f>
        <v>14</v>
      </c>
      <c r="AL1498" s="62" t="n">
        <f aca="false">AK1498*G1498</f>
        <v>72.94</v>
      </c>
      <c r="AM1498" s="62" t="n">
        <f aca="false">ROUNDUP(CL1498+MAX(CM1498,2*(J1498/IF(CH1498&gt;0,CH1498,MAX(0.1,N(Cockpit!$C$6)))-CL1498)),0)</f>
        <v>10</v>
      </c>
      <c r="AN1498" s="63" t="n">
        <f aca="false">IF(AJ1498&gt;0,J1498/AJ1498,-1)</f>
        <v>0</v>
      </c>
      <c r="AO1498" s="63" t="n">
        <f aca="false">IF(AND(OR(CG1498="L1",CG1498="L23",CG1498="LIFT"),AJ1498&gt;0),SUMIFS($AJ$7:$AJ$1843,$CG$7:$CG$1843,CG1498,$AN$7:$AN$1843,"&gt;"&amp;AN1498)+SUMIFS($AJ$7:$AJ$1843,$CG$7:$CG$1843,CG1498,$AN$7:$AN$1843,AN1498,$BX$7:$BX$1843,"&lt;="&amp;BX1498),"")</f>
        <v>29818.1798001904</v>
      </c>
      <c r="AP1498" s="70" t="n">
        <f aca="false">IF(AO1498="",0,MAX(0,MIN(1,(IF(CG1498="L1",Parameter!$H$5,IF(CG1498="L23",Parameter!$H$6+Parameter!$H$7,Parameter!$H$5+Parameter!$H$6+Parameter!$H$7))-(AO1498-AJ1498))/AJ1498)))</f>
        <v>1</v>
      </c>
      <c r="AQ1498" s="62" t="n">
        <f aca="false">IF(LEFT(Cockpit!$I$5,1)="A",H1498,IF(Parameter!$E$30="MAX-Bestand",IF(CI1498=1,CJ1498,IF(LEFT(Cockpit!$I$5,1)="B",AW1498,MAX(AW1498,H1498))),ROUNDUP(AU1498,0)))</f>
        <v>14</v>
      </c>
      <c r="AR1498" s="62" t="n">
        <f aca="false">IF(CA1498=1,0,ROUNDUP(AQ1498/BZ1498,0))</f>
        <v>1</v>
      </c>
      <c r="AS1498" s="64" t="n">
        <f aca="false">IF(CR1498&gt;0,CR1498*MAX(1,AQ1498/X1498),IF(CA1498=1,IF(AQ1498&lt;=0,0,CE1498*MAX(1,IF(H1498&gt;0,AQ1498/H1498,1))),IF(R1498&gt;0,AR1498/R1498,0))/MAX(0.1,N(Parameter!$M$21)))</f>
        <v>0.00357142857142857</v>
      </c>
      <c r="AT1498" s="62" t="n">
        <f aca="false">AS1498*CC1498</f>
        <v>0.553571428571429</v>
      </c>
      <c r="AU1498" s="63" t="n">
        <f aca="false">IF(LEFT(Cockpit!$I$5,1)="A",H1498,IF(CI1498=1,(CL1498+CJ1498)/2,IF(LEFT(Cockpit!$I$5,1)="B",(CL1498+AW1498)/2,MAX((CL1498+AW1498)/2,H1498))))</f>
        <v>14</v>
      </c>
      <c r="AV1498" s="62" t="n">
        <f aca="false">AU1498*G1498</f>
        <v>72.94</v>
      </c>
      <c r="AW1498" s="62" t="n">
        <f aca="false">ROUNDUP(CL1498+MAX(CM1498,2*(J1498/IF(CH1498&gt;0,CH1498,MAX(0.1,N(Cockpit!$I$6)))-CL1498)),0)</f>
        <v>10</v>
      </c>
      <c r="AX1498" s="63" t="n">
        <f aca="false">IF(AT1498&gt;0,J1498/AT1498,-1)</f>
        <v>0</v>
      </c>
      <c r="AY1498" s="63" t="n">
        <f aca="false">IF(AND(OR(CG1498="L1",CG1498="L23",CG1498="LIFT"),AT1498&gt;0),SUMIFS($AT$7:$AT$1843,$CG$7:$CG$1843,CG1498,$AX$7:$AX$1843,"&gt;"&amp;AX1498)+SUMIFS($AT$7:$AT$1843,$CG$7:$CG$1843,CG1498,$AX$7:$AX$1843,AX1498,$BX$7:$BX$1843,"&lt;="&amp;BX1498),"")</f>
        <v>36124.75060274</v>
      </c>
      <c r="AZ1498" s="70" t="n">
        <f aca="false">IF(AY1498="",0,MAX(0,MIN(1,(IF(CG1498="L1",Parameter!$H$5,IF(CG1498="L23",Parameter!$H$6+Parameter!$H$7,Parameter!$H$5+Parameter!$H$6+Parameter!$H$7))-(AY1498-AT1498))/AT1498)))</f>
        <v>0</v>
      </c>
      <c r="BA1498" s="62" t="n">
        <f aca="false">IF(LEFT(Cockpit!$O$5,1)="A",H1498,IF(Parameter!$E$30="MAX-Bestand",IF(CI1498=1,CJ1498,IF(LEFT(Cockpit!$O$5,1)="B",BG1498,MAX(BG1498,H1498))),ROUNDUP(BE1498,0)))</f>
        <v>5</v>
      </c>
      <c r="BB1498" s="62" t="n">
        <f aca="false">IF(CA1498=1,0,ROUNDUP(BA1498/BZ1498,0))</f>
        <v>1</v>
      </c>
      <c r="BC1498" s="64" t="n">
        <f aca="false">IF(CR1498&gt;0,CR1498*MAX(1,BA1498/X1498),IF(CA1498=1,IF(BA1498&lt;=0,0,CE1498*MAX(1,IF(H1498&gt;0,BA1498/H1498,1))),IF(R1498&gt;0,BB1498/R1498,0))/MAX(0.1,N(Parameter!$M$21)))</f>
        <v>0.00357142857142857</v>
      </c>
      <c r="BD1498" s="62" t="n">
        <f aca="false">BC1498*CC1498</f>
        <v>0.553571428571429</v>
      </c>
      <c r="BE1498" s="63" t="n">
        <f aca="false">IF(LEFT(Cockpit!$O$5,1)="A",H1498,IF(CI1498=1,(CL1498+CJ1498)/2,IF(LEFT(Cockpit!$O$5,1)="B",(CL1498+BG1498)/2,MAX((CL1498+BG1498)/2,H1498))))</f>
        <v>5</v>
      </c>
      <c r="BF1498" s="62" t="n">
        <f aca="false">BE1498*G1498</f>
        <v>26.05</v>
      </c>
      <c r="BG1498" s="62" t="n">
        <f aca="false">ROUNDUP(CL1498+MAX(CM1498,2*(J1498/IF(CH1498&gt;0,CH1498,MAX(0.1,N(Cockpit!$O$6)))-CL1498)),0)</f>
        <v>10</v>
      </c>
      <c r="BH1498" s="63" t="n">
        <f aca="false">IF(BD1498&gt;0,J1498/BD1498,-1)</f>
        <v>0</v>
      </c>
      <c r="BI1498" s="63" t="n">
        <f aca="false">IF(AND(OR(CG1498="L1",CG1498="L23",CG1498="LIFT"),BD1498&gt;0),SUMIFS($BD$7:$BD$1843,$CG$7:$CG$1843,CG1498,$BH$7:$BH$1843,"&gt;"&amp;BH1498)+SUMIFS($BD$7:$BD$1843,$CG$7:$CG$1843,CG1498,$BH$7:$BH$1843,BH1498,$BX$7:$BX$1843,"&lt;="&amp;BX1498),"")</f>
        <v>30110.0572628878</v>
      </c>
      <c r="BJ1498" s="70" t="n">
        <f aca="false">IF(BI1498="",0,MAX(0,MIN(1,(IF(CG1498="L1",Parameter!$H$5,IF(CG1498="L23",Parameter!$H$6+Parameter!$H$7,Parameter!$H$5+Parameter!$H$6+Parameter!$H$7))-(BI1498-BD1498))/BD1498)))</f>
        <v>1</v>
      </c>
      <c r="BK1498" s="60" t="str">
        <f aca="false">IF(AJ1498&lt;=0,"",IF(CG1498="Aussen","Aussenlager",IF(CG1498="-","Nicht im Lift",IF(AP1498&gt;=1,"Lift",IF(AP1498&lt;=0,"Aussenlager","teilweise")))))</f>
        <v>Lift</v>
      </c>
      <c r="BL1498" s="60" t="str">
        <f aca="false">IF(AT1498&lt;=0,"",IF(CG1498="Aussen","Aussenlager",IF(CG1498="-","Nicht im Lift",IF(AZ1498&gt;=1,"Lift",IF(AZ1498&lt;=0,"Aussenlager","teilweise")))))</f>
        <v>Aussenlager</v>
      </c>
      <c r="BM1498" s="60" t="str">
        <f aca="false">IF(BD1498&lt;=0,"",IF(CG1498="Aussen","Aussenlager",IF(CG1498="-","Nicht im Lift",IF(BJ1498&gt;=1,"Lift",IF(BJ1498&lt;=0,"Aussenlager","teilweise")))))</f>
        <v>Lift</v>
      </c>
      <c r="BN1498" s="60" t="str">
        <f aca="false">IF(A1498="","",IF(BW1498=1,"Neu; ","")&amp;IF(AND(BW1498=0,BR1498&lt;0),"negativer Bestand (Export "&amp;BR1498&amp;"); ","")&amp;IF(J1498&lt;=0,"Kein Verbrauch; ","")&amp;IF(CR1498&gt;0,"Lift "&amp;W1498&amp;" lt. Liftbericht (Fach "&amp;X1498&amp;" Stk); ",IF(CB1498=1,"Gebinde geschätzt ("&amp;T1498&amp;"); ",IF(CA1498=1,"Lose – Tablare geschätzt; ","")))&amp;IF(H1498&gt;AW1498,"Überbestand "&amp;ROUND(H1498-AW1498,0)&amp;" Stk / CHF "&amp;ROUND((H1498-AW1498)*G1498,0)&amp;"; ","")&amp;IF(AND(CI1498=1,CJ1498&lt;CK1498),"MAX &lt; MB+LG; ","")&amp;IF(AND(CQ1498&gt;0,CP1498*10&gt;CQ1498),"zu hoch für Tablar; ","")&amp;IF(AND(BW1498=0,OR(CI1498=1,AB1498&lt;&gt;"",U1498&lt;&gt;"",V1498&lt;&gt;"",AC1498&lt;&gt;"")),"manuell übersteuert; ","")&amp;IF(AND(CA1498=0,R1498=0),"Gebinde unbekannt / Stellmass fehlt; ","")&amp;IF(AND(CA1498=0,N(V1498)&lt;=0,N(Q1498)&lt;=0),"Menge pro Gebinde fehlt (Ist = 1 Gebinde); ","")&amp;BV1498)</f>
        <v>Kein Verbrauch; Überbestand 4 Stk / CHF 21; nur im Artikelstamm (Bestand 23.06.2026)</v>
      </c>
      <c r="BO1498" s="60"/>
      <c r="BP1498" s="60"/>
      <c r="BQ1498" s="67"/>
      <c r="BR1498" s="62" t="n">
        <v>14</v>
      </c>
      <c r="BS1498" s="62" t="n">
        <v>0</v>
      </c>
      <c r="BT1498" s="61" t="n">
        <v>0</v>
      </c>
      <c r="BU1498" s="62" t="n">
        <v>0</v>
      </c>
      <c r="BV1498" s="60" t="s">
        <v>2617</v>
      </c>
      <c r="BW1498" s="65" t="n">
        <v>0</v>
      </c>
      <c r="BX1498" s="65" t="n">
        <v>1498</v>
      </c>
      <c r="BY1498" s="60" t="str">
        <f aca="false">IF(U1498&lt;&gt;"",UPPER(TRIM(U1498)),IF(CB1498=1,UPPER(VLOOKUP(T1498,Parameter!$I$27:$K$29,2,0)),IF(P1498="","LOSE",P1498)))</f>
        <v>S21</v>
      </c>
      <c r="BZ1498" s="62" t="n">
        <f aca="false">IF(BY1498="LOSE",1,IF(N(V1498)&gt;0,V1498,IF(CB1498=1,MAX(1,N(VLOOKUP(T1498,Parameter!$I$27:$K$29,3,0)),H1498,N(N1498)),IF(N(Q1498)&gt;0,Q1498,MAX(1,H1498)))))</f>
        <v>14</v>
      </c>
      <c r="CA1498" s="65" t="n">
        <f aca="false">IF(BY1498="LOSE",1,0)</f>
        <v>0</v>
      </c>
      <c r="CB1498" s="65" t="n">
        <f aca="false">IF(AND(U1498="",OR(P1498="",P1498="LOSE"),T1498&lt;&gt;"",N(S1498)&lt;=0,ISNUMBER(MATCH(T1498,Parameter!$I$27:$I$29,0))),1,0)</f>
        <v>0</v>
      </c>
      <c r="CC1498" s="65" t="n">
        <f aca="false">IF(CR1498&gt;0,INDEX(Parameter!$H$5:$H$7,W1498)/INDEX(Parameter!$E$5:$E$7,W1498),IF(AND(CA1498=0,N(IFERROR(VLOOKUP(BY1498,'Gebinde-Kategorie'!$A$5:$N$45,14,0),0))&gt;0),VLOOKUP(BY1498,'Gebinde-Kategorie'!$A$5:$N$45,14,0)*10+Parameter!$M$23,Parameter!$M$24))</f>
        <v>155</v>
      </c>
      <c r="CD1498" s="60" t="str">
        <f aca="false">IF(AND(Parameter!$B$19="Ja",E1498&lt;&gt;"",ISNUMBER(MATCH(E1498,Parameter!$I$35:$I$52,0))),VLOOKUP(E1498,Parameter!$I$35:$J$52,2,0),IFERROR(VLOOKUP(D1498,Parameter!$A$35:$C$64,2,0),"Nein"))</f>
        <v>2+3</v>
      </c>
      <c r="CE1498" s="64" t="n">
        <f aca="false">IF(CA1498=0,0,IF(N(S1498)&gt;0,S1498,IFERROR(VLOOKUP(D1498,Parameter!$A$35:$C$64,3,0)+0,0)))</f>
        <v>0</v>
      </c>
      <c r="CF1498" s="60" t="n">
        <f aca="false">IF(AB1498&lt;&gt;"",AB1498,AA1498)</f>
        <v>1</v>
      </c>
      <c r="CG1498" s="60" t="str">
        <f aca="false">IF(OR(CF1498=1,CF1498=2,CF1498=3),IF(Parameter!$E$27="Ja","LIFT",IF(CF1498=1,"L1","L23")),IF(CF1498="Aussen","Aussen","-"))</f>
        <v>LIFT</v>
      </c>
      <c r="CH1498" s="71" t="n">
        <f aca="false">IF(N(AC1498)&gt;0,AC1498,0)</f>
        <v>0</v>
      </c>
      <c r="CI1498" s="65" t="n">
        <f aca="false">IF(ISNUMBER(AF1498),1,0)</f>
        <v>0</v>
      </c>
      <c r="CJ1498" s="62" t="n">
        <f aca="false">N(AF1498)</f>
        <v>0</v>
      </c>
      <c r="CK1498" s="62" t="n">
        <f aca="false">N(M1498)+N(N1498)</f>
        <v>10</v>
      </c>
      <c r="CL1498" s="62" t="n">
        <f aca="false">N(M1498)</f>
        <v>0</v>
      </c>
      <c r="CM1498" s="62" t="n">
        <f aca="false">N(N1498)</f>
        <v>10</v>
      </c>
      <c r="CN1498" s="62" t="n">
        <f aca="false">ROUNDUP(H1498/BZ1498,0)</f>
        <v>1</v>
      </c>
      <c r="CO1498" s="62" t="n">
        <f aca="false">ROUNDUP(CJ1498/BZ1498,0)</f>
        <v>0</v>
      </c>
      <c r="CP1498" s="65" t="n">
        <f aca="false">IF(CA1498=1,0,IFERROR(VLOOKUP(BY1498,'Gebinde-Kategorie'!$A$5:$N$45,5,0)+0,0))</f>
        <v>8</v>
      </c>
      <c r="CQ1498" s="65" t="n">
        <f aca="false">IFERROR(IF(OR(CF1498=1,CF1498=2,CF1498=3),N(INDEX(Parameter!$I$5:$I$7,CF1498)),0),0)</f>
        <v>0</v>
      </c>
      <c r="CR1498" s="64" t="n">
        <f aca="false">IF(AND(Parameter!$B$21="Ja",ISNUMBER(W1498),N(X1498)&gt;0),IFERROR(N(INDEX(Parameter!$L$5:$L$7,W1498))*INDEX(Parameter!$E$5:$E$7,W1498)*X1498/SUMIFS($X$7:$X$1843,$W$7:$W$1843,W1498),0),0)</f>
        <v>0</v>
      </c>
      <c r="CS1498" s="62" t="n">
        <f aca="false">IF(AND(OR(CG1498="L1",CG1498="L23",CG1498="LIFT"),H1498&gt;0),CC1498*IF(CR1498&gt;0,CR1498*MAX(1,H1498/X1498),IF(CA1498=1,CE1498,IF(R1498&gt;0,CN1498/R1498,0))/MAX(0.1,N(Parameter!$M$21))),"")</f>
        <v>0.553571428571429</v>
      </c>
      <c r="CT1498" s="64" t="n">
        <f aca="false">IF(CS1498="","",J1498/H1498)</f>
        <v>0</v>
      </c>
      <c r="CU1498" s="62" t="n">
        <f aca="false">IF(CS1498="","",H1498*G1498)</f>
        <v>72.94</v>
      </c>
      <c r="CV1498" s="63" t="n">
        <f aca="false">IF(CS1498="","",(CL1498+ROUNDUP(CL1498+MAX(CM1498,2*(J1498/MAX(0.1,N(Einkauf!$C$6))-CL1498)),0))/2)</f>
        <v>5</v>
      </c>
      <c r="CW1498" s="62" t="n">
        <f aca="false">IF(CS1498="","",MAX(0,H1498-CV1498)*G1498)</f>
        <v>46.89</v>
      </c>
      <c r="CX1498" s="62" t="n">
        <f aca="false">IF(CS1498="","",CS1498*MAX(0,1-CV1498/H1498))</f>
        <v>0.355867346938776</v>
      </c>
      <c r="CY1498" s="64" t="n">
        <f aca="false">IF(CS1498="","",PERCENTRANK($CS$7:$CS$1843,CS1498)+PERCENTRANK($CU$7:$CU$1843,CU1498)+1-PERCENTRANK($CT$7:$CT$1843,CT1498))</f>
        <v>1.187</v>
      </c>
      <c r="CZ1498" s="72" t="n">
        <f aca="false">IF(CS1498="","",CHOOSE(MATCH(Einkauf!$C$5,Parameter!$G$23:$G$27,0),CY1498,CS1498,CU1498,-CT1498,CW1498)+ROW()/1000000000)</f>
        <v>1.187001498</v>
      </c>
    </row>
    <row r="1499" customFormat="false" ht="15" hidden="false" customHeight="false" outlineLevel="0" collapsed="false">
      <c r="A1499" s="60" t="s">
        <v>2662</v>
      </c>
      <c r="B1499" s="60" t="s">
        <v>2663</v>
      </c>
      <c r="C1499" s="60" t="s">
        <v>206</v>
      </c>
      <c r="D1499" s="60" t="s">
        <v>215</v>
      </c>
      <c r="E1499" s="60" t="s">
        <v>227</v>
      </c>
      <c r="F1499" s="60"/>
      <c r="G1499" s="61" t="n">
        <v>4.7</v>
      </c>
      <c r="H1499" s="62" t="n">
        <f aca="false">MAX(0,IF(AND(Parameter!$B$21="Ja",ISNUMBER(Y1499)),Y1499,IF(Parameter!$B$20="Jahresanfang 2025 + Export",BS1499+BR1499,BR1499)))</f>
        <v>17</v>
      </c>
      <c r="I1499" s="62" t="n">
        <f aca="false">H1499*G1499</f>
        <v>79.9</v>
      </c>
      <c r="J1499" s="62" t="n">
        <f aca="false">BU1499*Parameter!$B$18</f>
        <v>0</v>
      </c>
      <c r="K1499" s="63"/>
      <c r="L1499" s="64"/>
      <c r="M1499" s="62" t="n">
        <v>0</v>
      </c>
      <c r="N1499" s="62" t="n">
        <v>1</v>
      </c>
      <c r="O1499" s="65" t="n">
        <v>14</v>
      </c>
      <c r="P1499" s="60" t="s">
        <v>344</v>
      </c>
      <c r="Q1499" s="62" t="n">
        <v>17</v>
      </c>
      <c r="R1499" s="65" t="n">
        <f aca="false">IF(CA1499=1,0,IFERROR(VLOOKUP(BY1499,'Gebinde-Kategorie'!$A$5:$N$45,13,0)+0,0))</f>
        <v>26</v>
      </c>
      <c r="S1499" s="66"/>
      <c r="T1499" s="67"/>
      <c r="U1499" s="67"/>
      <c r="V1499" s="67"/>
      <c r="W1499" s="60"/>
      <c r="X1499" s="62"/>
      <c r="Y1499" s="62"/>
      <c r="Z1499" s="60" t="n">
        <v>3</v>
      </c>
      <c r="AA1499" s="60" t="n">
        <f aca="false">IF(A1499="","",IF(AND(Parameter!$B$21="Ja",ISNUMBER(W1499)),W1499,IF(AND(Parameter!$E$27="Ja",ISNUMBER(Z1499),CD1499&lt;&gt;"Nein"),Z1499,IF(CD1499="2+3",IF(ISNUMBER(SEARCH("grosser Artikel",BV1499)),2,IFERROR(VLOOKUP(BY1499,Parameter!$F$35:$G$64,2,0),2)),IF(OR(CD1499="Nein",CD1499=""),"-",CD1499)))))</f>
        <v>3</v>
      </c>
      <c r="AB1499" s="67"/>
      <c r="AC1499" s="68"/>
      <c r="AD1499" s="62" t="n">
        <f aca="false">AW1499</f>
        <v>1</v>
      </c>
      <c r="AE1499" s="62" t="n">
        <f aca="false">MAX(AW1499,H1499)</f>
        <v>17</v>
      </c>
      <c r="AF1499" s="69"/>
      <c r="AG1499" s="62" t="n">
        <f aca="false">IF(LEFT(Cockpit!$C$5,1)="A",H1499,IF(Parameter!$E$30="MAX-Bestand",IF(CI1499=1,CJ1499,IF(LEFT(Cockpit!$C$5,1)="B",AM1499,MAX(AM1499,H1499))),ROUNDUP(AK1499,0)))</f>
        <v>17</v>
      </c>
      <c r="AH1499" s="62" t="n">
        <f aca="false">IF(CA1499=1,0,ROUNDUP(AG1499/BZ1499,0))</f>
        <v>1</v>
      </c>
      <c r="AI1499" s="64" t="n">
        <f aca="false">IF(CR1499&gt;0,CR1499*MAX(1,AG1499/X1499),IF(CA1499=1,IF(AG1499&lt;=0,0,CE1499*MAX(1,IF(H1499&gt;0,AG1499/H1499,1))),IF(R1499&gt;0,AH1499/R1499,0))/MAX(0.1,N(Parameter!$M$21)))</f>
        <v>0.0384615384615385</v>
      </c>
      <c r="AJ1499" s="62" t="n">
        <f aca="false">AI1499*CC1499</f>
        <v>5.96153846153846</v>
      </c>
      <c r="AK1499" s="63" t="n">
        <f aca="false">IF(LEFT(Cockpit!$C$5,1)="A",H1499,IF(CI1499=1,(CL1499+CJ1499)/2,IF(LEFT(Cockpit!$C$5,1)="B",(CL1499+AM1499)/2,MAX((CL1499+AM1499)/2,H1499))))</f>
        <v>17</v>
      </c>
      <c r="AL1499" s="62" t="n">
        <f aca="false">AK1499*G1499</f>
        <v>79.9</v>
      </c>
      <c r="AM1499" s="62" t="n">
        <f aca="false">ROUNDUP(CL1499+MAX(CM1499,2*(J1499/IF(CH1499&gt;0,CH1499,MAX(0.1,N(Cockpit!$C$6)))-CL1499)),0)</f>
        <v>1</v>
      </c>
      <c r="AN1499" s="63" t="n">
        <f aca="false">IF(AJ1499&gt;0,J1499/AJ1499,-1)</f>
        <v>0</v>
      </c>
      <c r="AO1499" s="63" t="n">
        <f aca="false">IF(AND(OR(CG1499="L1",CG1499="L23",CG1499="LIFT"),AJ1499&gt;0),SUMIFS($AJ$7:$AJ$1843,$CG$7:$CG$1843,CG1499,$AN$7:$AN$1843,"&gt;"&amp;AN1499)+SUMIFS($AJ$7:$AJ$1843,$CG$7:$CG$1843,CG1499,$AN$7:$AN$1843,AN1499,$BX$7:$BX$1843,"&lt;="&amp;BX1499),"")</f>
        <v>29824.1413386519</v>
      </c>
      <c r="AP1499" s="70" t="n">
        <f aca="false">IF(AO1499="",0,MAX(0,MIN(1,(IF(CG1499="L1",Parameter!$H$5,IF(CG1499="L23",Parameter!$H$6+Parameter!$H$7,Parameter!$H$5+Parameter!$H$6+Parameter!$H$7))-(AO1499-AJ1499))/AJ1499)))</f>
        <v>1</v>
      </c>
      <c r="AQ1499" s="62" t="n">
        <f aca="false">IF(LEFT(Cockpit!$I$5,1)="A",H1499,IF(Parameter!$E$30="MAX-Bestand",IF(CI1499=1,CJ1499,IF(LEFT(Cockpit!$I$5,1)="B",AW1499,MAX(AW1499,H1499))),ROUNDUP(AU1499,0)))</f>
        <v>17</v>
      </c>
      <c r="AR1499" s="62" t="n">
        <f aca="false">IF(CA1499=1,0,ROUNDUP(AQ1499/BZ1499,0))</f>
        <v>1</v>
      </c>
      <c r="AS1499" s="64" t="n">
        <f aca="false">IF(CR1499&gt;0,CR1499*MAX(1,AQ1499/X1499),IF(CA1499=1,IF(AQ1499&lt;=0,0,CE1499*MAX(1,IF(H1499&gt;0,AQ1499/H1499,1))),IF(R1499&gt;0,AR1499/R1499,0))/MAX(0.1,N(Parameter!$M$21)))</f>
        <v>0.0384615384615385</v>
      </c>
      <c r="AT1499" s="62" t="n">
        <f aca="false">AS1499*CC1499</f>
        <v>5.96153846153846</v>
      </c>
      <c r="AU1499" s="63" t="n">
        <f aca="false">IF(LEFT(Cockpit!$I$5,1)="A",H1499,IF(CI1499=1,(CL1499+CJ1499)/2,IF(LEFT(Cockpit!$I$5,1)="B",(CL1499+AW1499)/2,MAX((CL1499+AW1499)/2,H1499))))</f>
        <v>17</v>
      </c>
      <c r="AV1499" s="62" t="n">
        <f aca="false">AU1499*G1499</f>
        <v>79.9</v>
      </c>
      <c r="AW1499" s="62" t="n">
        <f aca="false">ROUNDUP(CL1499+MAX(CM1499,2*(J1499/IF(CH1499&gt;0,CH1499,MAX(0.1,N(Cockpit!$I$6)))-CL1499)),0)</f>
        <v>1</v>
      </c>
      <c r="AX1499" s="63" t="n">
        <f aca="false">IF(AT1499&gt;0,J1499/AT1499,-1)</f>
        <v>0</v>
      </c>
      <c r="AY1499" s="63" t="n">
        <f aca="false">IF(AND(OR(CG1499="L1",CG1499="L23",CG1499="LIFT"),AT1499&gt;0),SUMIFS($AT$7:$AT$1843,$CG$7:$CG$1843,CG1499,$AX$7:$AX$1843,"&gt;"&amp;AX1499)+SUMIFS($AT$7:$AT$1843,$CG$7:$CG$1843,CG1499,$AX$7:$AX$1843,AX1499,$BX$7:$BX$1843,"&lt;="&amp;BX1499),"")</f>
        <v>36130.7121412016</v>
      </c>
      <c r="AZ1499" s="70" t="n">
        <f aca="false">IF(AY1499="",0,MAX(0,MIN(1,(IF(CG1499="L1",Parameter!$H$5,IF(CG1499="L23",Parameter!$H$6+Parameter!$H$7,Parameter!$H$5+Parameter!$H$6+Parameter!$H$7))-(AY1499-AT1499))/AT1499)))</f>
        <v>0</v>
      </c>
      <c r="BA1499" s="62" t="n">
        <f aca="false">IF(LEFT(Cockpit!$O$5,1)="A",H1499,IF(Parameter!$E$30="MAX-Bestand",IF(CI1499=1,CJ1499,IF(LEFT(Cockpit!$O$5,1)="B",BG1499,MAX(BG1499,H1499))),ROUNDUP(BE1499,0)))</f>
        <v>1</v>
      </c>
      <c r="BB1499" s="62" t="n">
        <f aca="false">IF(CA1499=1,0,ROUNDUP(BA1499/BZ1499,0))</f>
        <v>1</v>
      </c>
      <c r="BC1499" s="64" t="n">
        <f aca="false">IF(CR1499&gt;0,CR1499*MAX(1,BA1499/X1499),IF(CA1499=1,IF(BA1499&lt;=0,0,CE1499*MAX(1,IF(H1499&gt;0,BA1499/H1499,1))),IF(R1499&gt;0,BB1499/R1499,0))/MAX(0.1,N(Parameter!$M$21)))</f>
        <v>0.0384615384615385</v>
      </c>
      <c r="BD1499" s="62" t="n">
        <f aca="false">BC1499*CC1499</f>
        <v>5.96153846153846</v>
      </c>
      <c r="BE1499" s="63" t="n">
        <f aca="false">IF(LEFT(Cockpit!$O$5,1)="A",H1499,IF(CI1499=1,(CL1499+CJ1499)/2,IF(LEFT(Cockpit!$O$5,1)="B",(CL1499+BG1499)/2,MAX((CL1499+BG1499)/2,H1499))))</f>
        <v>0.5</v>
      </c>
      <c r="BF1499" s="62" t="n">
        <f aca="false">BE1499*G1499</f>
        <v>2.35</v>
      </c>
      <c r="BG1499" s="62" t="n">
        <f aca="false">ROUNDUP(CL1499+MAX(CM1499,2*(J1499/IF(CH1499&gt;0,CH1499,MAX(0.1,N(Cockpit!$O$6)))-CL1499)),0)</f>
        <v>1</v>
      </c>
      <c r="BH1499" s="63" t="n">
        <f aca="false">IF(BD1499&gt;0,J1499/BD1499,-1)</f>
        <v>0</v>
      </c>
      <c r="BI1499" s="63" t="n">
        <f aca="false">IF(AND(OR(CG1499="L1",CG1499="L23",CG1499="LIFT"),BD1499&gt;0),SUMIFS($BD$7:$BD$1843,$CG$7:$CG$1843,CG1499,$BH$7:$BH$1843,"&gt;"&amp;BH1499)+SUMIFS($BD$7:$BD$1843,$CG$7:$CG$1843,CG1499,$BH$7:$BH$1843,BH1499,$BX$7:$BX$1843,"&lt;="&amp;BX1499),"")</f>
        <v>30116.0188013493</v>
      </c>
      <c r="BJ1499" s="70" t="n">
        <f aca="false">IF(BI1499="",0,MAX(0,MIN(1,(IF(CG1499="L1",Parameter!$H$5,IF(CG1499="L23",Parameter!$H$6+Parameter!$H$7,Parameter!$H$5+Parameter!$H$6+Parameter!$H$7))-(BI1499-BD1499))/BD1499)))</f>
        <v>1</v>
      </c>
      <c r="BK1499" s="60" t="str">
        <f aca="false">IF(AJ1499&lt;=0,"",IF(CG1499="Aussen","Aussenlager",IF(CG1499="-","Nicht im Lift",IF(AP1499&gt;=1,"Lift",IF(AP1499&lt;=0,"Aussenlager","teilweise")))))</f>
        <v>Lift</v>
      </c>
      <c r="BL1499" s="60" t="str">
        <f aca="false">IF(AT1499&lt;=0,"",IF(CG1499="Aussen","Aussenlager",IF(CG1499="-","Nicht im Lift",IF(AZ1499&gt;=1,"Lift",IF(AZ1499&lt;=0,"Aussenlager","teilweise")))))</f>
        <v>Aussenlager</v>
      </c>
      <c r="BM1499" s="60" t="str">
        <f aca="false">IF(BD1499&lt;=0,"",IF(CG1499="Aussen","Aussenlager",IF(CG1499="-","Nicht im Lift",IF(BJ1499&gt;=1,"Lift",IF(BJ1499&lt;=0,"Aussenlager","teilweise")))))</f>
        <v>Lift</v>
      </c>
      <c r="BN1499" s="60" t="str">
        <f aca="false">IF(A1499="","",IF(BW1499=1,"Neu; ","")&amp;IF(AND(BW1499=0,BR1499&lt;0),"negativer Bestand (Export "&amp;BR1499&amp;"); ","")&amp;IF(J1499&lt;=0,"Kein Verbrauch; ","")&amp;IF(CR1499&gt;0,"Lift "&amp;W1499&amp;" lt. Liftbericht (Fach "&amp;X1499&amp;" Stk); ",IF(CB1499=1,"Gebinde geschätzt ("&amp;T1499&amp;"); ",IF(CA1499=1,"Lose – Tablare geschätzt; ","")))&amp;IF(H1499&gt;AW1499,"Überbestand "&amp;ROUND(H1499-AW1499,0)&amp;" Stk / CHF "&amp;ROUND((H1499-AW1499)*G1499,0)&amp;"; ","")&amp;IF(AND(CI1499=1,CJ1499&lt;CK1499),"MAX &lt; MB+LG; ","")&amp;IF(AND(CQ1499&gt;0,CP1499*10&gt;CQ1499),"zu hoch für Tablar; ","")&amp;IF(AND(BW1499=0,OR(CI1499=1,AB1499&lt;&gt;"",U1499&lt;&gt;"",V1499&lt;&gt;"",AC1499&lt;&gt;"")),"manuell übersteuert; ","")&amp;IF(AND(CA1499=0,R1499=0),"Gebinde unbekannt / Stellmass fehlt; ","")&amp;IF(AND(CA1499=0,N(V1499)&lt;=0,N(Q1499)&lt;=0),"Menge pro Gebinde fehlt (Ist = 1 Gebinde); ","")&amp;BV1499)</f>
        <v>Kein Verbrauch; Überbestand 16 Stk / CHF 75; nur im Artikelstamm (Bestand 23.06.2026); Überbestand</v>
      </c>
      <c r="BO1499" s="60"/>
      <c r="BP1499" s="60"/>
      <c r="BQ1499" s="67"/>
      <c r="BR1499" s="62" t="n">
        <v>17</v>
      </c>
      <c r="BS1499" s="62" t="n">
        <v>0</v>
      </c>
      <c r="BT1499" s="61" t="n">
        <v>0</v>
      </c>
      <c r="BU1499" s="62" t="n">
        <v>0</v>
      </c>
      <c r="BV1499" s="60" t="s">
        <v>2614</v>
      </c>
      <c r="BW1499" s="65" t="n">
        <v>0</v>
      </c>
      <c r="BX1499" s="65" t="n">
        <v>1499</v>
      </c>
      <c r="BY1499" s="60" t="str">
        <f aca="false">IF(U1499&lt;&gt;"",UPPER(TRIM(U1499)),IF(CB1499=1,UPPER(VLOOKUP(T1499,Parameter!$I$27:$K$29,2,0)),IF(P1499="","LOSE",P1499)))</f>
        <v>S51</v>
      </c>
      <c r="BZ1499" s="62" t="n">
        <f aca="false">IF(BY1499="LOSE",1,IF(N(V1499)&gt;0,V1499,IF(CB1499=1,MAX(1,N(VLOOKUP(T1499,Parameter!$I$27:$K$29,3,0)),H1499,N(N1499)),IF(N(Q1499)&gt;0,Q1499,MAX(1,H1499)))))</f>
        <v>17</v>
      </c>
      <c r="CA1499" s="65" t="n">
        <f aca="false">IF(BY1499="LOSE",1,0)</f>
        <v>0</v>
      </c>
      <c r="CB1499" s="65" t="n">
        <f aca="false">IF(AND(U1499="",OR(P1499="",P1499="LOSE"),T1499&lt;&gt;"",N(S1499)&lt;=0,ISNUMBER(MATCH(T1499,Parameter!$I$27:$I$29,0))),1,0)</f>
        <v>0</v>
      </c>
      <c r="CC1499" s="65" t="n">
        <f aca="false">IF(CR1499&gt;0,INDEX(Parameter!$H$5:$H$7,W1499)/INDEX(Parameter!$E$5:$E$7,W1499),IF(AND(CA1499=0,N(IFERROR(VLOOKUP(BY1499,'Gebinde-Kategorie'!$A$5:$N$45,14,0),0))&gt;0),VLOOKUP(BY1499,'Gebinde-Kategorie'!$A$5:$N$45,14,0)*10+Parameter!$M$23,Parameter!$M$24))</f>
        <v>155</v>
      </c>
      <c r="CD1499" s="60" t="str">
        <f aca="false">IF(AND(Parameter!$B$19="Ja",E1499&lt;&gt;"",ISNUMBER(MATCH(E1499,Parameter!$I$35:$I$52,0))),VLOOKUP(E1499,Parameter!$I$35:$J$52,2,0),IFERROR(VLOOKUP(D1499,Parameter!$A$35:$C$64,2,0),"Nein"))</f>
        <v>2+3</v>
      </c>
      <c r="CE1499" s="64" t="n">
        <f aca="false">IF(CA1499=0,0,IF(N(S1499)&gt;0,S1499,IFERROR(VLOOKUP(D1499,Parameter!$A$35:$C$64,3,0)+0,0)))</f>
        <v>0</v>
      </c>
      <c r="CF1499" s="60" t="n">
        <f aca="false">IF(AB1499&lt;&gt;"",AB1499,AA1499)</f>
        <v>3</v>
      </c>
      <c r="CG1499" s="60" t="str">
        <f aca="false">IF(OR(CF1499=1,CF1499=2,CF1499=3),IF(Parameter!$E$27="Ja","LIFT",IF(CF1499=1,"L1","L23")),IF(CF1499="Aussen","Aussen","-"))</f>
        <v>LIFT</v>
      </c>
      <c r="CH1499" s="71" t="n">
        <f aca="false">IF(N(AC1499)&gt;0,AC1499,0)</f>
        <v>0</v>
      </c>
      <c r="CI1499" s="65" t="n">
        <f aca="false">IF(ISNUMBER(AF1499),1,0)</f>
        <v>0</v>
      </c>
      <c r="CJ1499" s="62" t="n">
        <f aca="false">N(AF1499)</f>
        <v>0</v>
      </c>
      <c r="CK1499" s="62" t="n">
        <f aca="false">N(M1499)+N(N1499)</f>
        <v>1</v>
      </c>
      <c r="CL1499" s="62" t="n">
        <f aca="false">N(M1499)</f>
        <v>0</v>
      </c>
      <c r="CM1499" s="62" t="n">
        <f aca="false">N(N1499)</f>
        <v>1</v>
      </c>
      <c r="CN1499" s="62" t="n">
        <f aca="false">ROUNDUP(H1499/BZ1499,0)</f>
        <v>1</v>
      </c>
      <c r="CO1499" s="62" t="n">
        <f aca="false">ROUNDUP(CJ1499/BZ1499,0)</f>
        <v>0</v>
      </c>
      <c r="CP1499" s="65" t="n">
        <f aca="false">IF(CA1499=1,0,IFERROR(VLOOKUP(BY1499,'Gebinde-Kategorie'!$A$5:$N$45,5,0)+0,0))</f>
        <v>11</v>
      </c>
      <c r="CQ1499" s="65" t="n">
        <f aca="false">IFERROR(IF(OR(CF1499=1,CF1499=2,CF1499=3),N(INDEX(Parameter!$I$5:$I$7,CF1499)),0),0)</f>
        <v>0</v>
      </c>
      <c r="CR1499" s="64" t="n">
        <f aca="false">IF(AND(Parameter!$B$21="Ja",ISNUMBER(W1499),N(X1499)&gt;0),IFERROR(N(INDEX(Parameter!$L$5:$L$7,W1499))*INDEX(Parameter!$E$5:$E$7,W1499)*X1499/SUMIFS($X$7:$X$1843,$W$7:$W$1843,W1499),0),0)</f>
        <v>0</v>
      </c>
      <c r="CS1499" s="62" t="n">
        <f aca="false">IF(AND(OR(CG1499="L1",CG1499="L23",CG1499="LIFT"),H1499&gt;0),CC1499*IF(CR1499&gt;0,CR1499*MAX(1,H1499/X1499),IF(CA1499=1,CE1499,IF(R1499&gt;0,CN1499/R1499,0))/MAX(0.1,N(Parameter!$M$21))),"")</f>
        <v>5.96153846153846</v>
      </c>
      <c r="CT1499" s="64" t="n">
        <f aca="false">IF(CS1499="","",J1499/H1499)</f>
        <v>0</v>
      </c>
      <c r="CU1499" s="62" t="n">
        <f aca="false">IF(CS1499="","",H1499*G1499)</f>
        <v>79.9</v>
      </c>
      <c r="CV1499" s="63" t="n">
        <f aca="false">IF(CS1499="","",(CL1499+ROUNDUP(CL1499+MAX(CM1499,2*(J1499/MAX(0.1,N(Einkauf!$C$6))-CL1499)),0))/2)</f>
        <v>0.5</v>
      </c>
      <c r="CW1499" s="62" t="n">
        <f aca="false">IF(CS1499="","",MAX(0,H1499-CV1499)*G1499)</f>
        <v>77.55</v>
      </c>
      <c r="CX1499" s="62" t="n">
        <f aca="false">IF(CS1499="","",CS1499*MAX(0,1-CV1499/H1499))</f>
        <v>5.78619909502262</v>
      </c>
      <c r="CY1499" s="64" t="n">
        <f aca="false">IF(CS1499="","",PERCENTRANK($CS$7:$CS$1843,CS1499)+PERCENTRANK($CU$7:$CU$1843,CU1499)+1-PERCENTRANK($CT$7:$CT$1843,CT1499))</f>
        <v>1.554</v>
      </c>
      <c r="CZ1499" s="72" t="n">
        <f aca="false">IF(CS1499="","",CHOOSE(MATCH(Einkauf!$C$5,Parameter!$G$23:$G$27,0),CY1499,CS1499,CU1499,-CT1499,CW1499)+ROW()/1000000000)</f>
        <v>1.554001499</v>
      </c>
    </row>
    <row r="1500" customFormat="false" ht="15" hidden="false" customHeight="false" outlineLevel="0" collapsed="false">
      <c r="A1500" s="60" t="s">
        <v>2664</v>
      </c>
      <c r="B1500" s="60" t="s">
        <v>2665</v>
      </c>
      <c r="C1500" s="60" t="s">
        <v>206</v>
      </c>
      <c r="D1500" s="60" t="s">
        <v>226</v>
      </c>
      <c r="E1500" s="60" t="s">
        <v>227</v>
      </c>
      <c r="F1500" s="60"/>
      <c r="G1500" s="61" t="n">
        <v>21.51</v>
      </c>
      <c r="H1500" s="62" t="n">
        <f aca="false">MAX(0,IF(AND(Parameter!$B$21="Ja",ISNUMBER(Y1500)),Y1500,IF(Parameter!$B$20="Jahresanfang 2025 + Export",BS1500+BR1500,BR1500)))</f>
        <v>6</v>
      </c>
      <c r="I1500" s="62" t="n">
        <f aca="false">H1500*G1500</f>
        <v>129.06</v>
      </c>
      <c r="J1500" s="62" t="n">
        <f aca="false">BU1500*Parameter!$B$18</f>
        <v>0</v>
      </c>
      <c r="K1500" s="63"/>
      <c r="L1500" s="64"/>
      <c r="M1500" s="62" t="n">
        <v>0</v>
      </c>
      <c r="N1500" s="62" t="n">
        <v>1</v>
      </c>
      <c r="O1500" s="65" t="n">
        <v>14</v>
      </c>
      <c r="P1500" s="60" t="s">
        <v>275</v>
      </c>
      <c r="Q1500" s="62" t="n">
        <v>1</v>
      </c>
      <c r="R1500" s="65" t="n">
        <f aca="false">IF(CA1500=1,0,IFERROR(VLOOKUP(BY1500,'Gebinde-Kategorie'!$A$5:$N$45,13,0)+0,0))</f>
        <v>26</v>
      </c>
      <c r="S1500" s="66"/>
      <c r="T1500" s="67"/>
      <c r="U1500" s="67"/>
      <c r="V1500" s="67"/>
      <c r="W1500" s="60"/>
      <c r="X1500" s="62"/>
      <c r="Y1500" s="62"/>
      <c r="Z1500" s="60" t="n">
        <v>3</v>
      </c>
      <c r="AA1500" s="60" t="n">
        <f aca="false">IF(A1500="","",IF(AND(Parameter!$B$21="Ja",ISNUMBER(W1500)),W1500,IF(AND(Parameter!$E$27="Ja",ISNUMBER(Z1500),CD1500&lt;&gt;"Nein"),Z1500,IF(CD1500="2+3",IF(ISNUMBER(SEARCH("grosser Artikel",BV1500)),2,IFERROR(VLOOKUP(BY1500,Parameter!$F$35:$G$64,2,0),2)),IF(OR(CD1500="Nein",CD1500=""),"-",CD1500)))))</f>
        <v>3</v>
      </c>
      <c r="AB1500" s="67"/>
      <c r="AC1500" s="68"/>
      <c r="AD1500" s="62" t="n">
        <f aca="false">AW1500</f>
        <v>1</v>
      </c>
      <c r="AE1500" s="62" t="n">
        <f aca="false">MAX(AW1500,H1500)</f>
        <v>6</v>
      </c>
      <c r="AF1500" s="69"/>
      <c r="AG1500" s="62" t="n">
        <f aca="false">IF(LEFT(Cockpit!$C$5,1)="A",H1500,IF(Parameter!$E$30="MAX-Bestand",IF(CI1500=1,CJ1500,IF(LEFT(Cockpit!$C$5,1)="B",AM1500,MAX(AM1500,H1500))),ROUNDUP(AK1500,0)))</f>
        <v>6</v>
      </c>
      <c r="AH1500" s="62" t="n">
        <f aca="false">IF(CA1500=1,0,ROUNDUP(AG1500/BZ1500,0))</f>
        <v>6</v>
      </c>
      <c r="AI1500" s="64" t="n">
        <f aca="false">IF(CR1500&gt;0,CR1500*MAX(1,AG1500/X1500),IF(CA1500=1,IF(AG1500&lt;=0,0,CE1500*MAX(1,IF(H1500&gt;0,AG1500/H1500,1))),IF(R1500&gt;0,AH1500/R1500,0))/MAX(0.1,N(Parameter!$M$21)))</f>
        <v>0.230769230769231</v>
      </c>
      <c r="AJ1500" s="62" t="n">
        <f aca="false">AI1500*CC1500</f>
        <v>56.5384615384615</v>
      </c>
      <c r="AK1500" s="63" t="n">
        <f aca="false">IF(LEFT(Cockpit!$C$5,1)="A",H1500,IF(CI1500=1,(CL1500+CJ1500)/2,IF(LEFT(Cockpit!$C$5,1)="B",(CL1500+AM1500)/2,MAX((CL1500+AM1500)/2,H1500))))</f>
        <v>6</v>
      </c>
      <c r="AL1500" s="62" t="n">
        <f aca="false">AK1500*G1500</f>
        <v>129.06</v>
      </c>
      <c r="AM1500" s="62" t="n">
        <f aca="false">ROUNDUP(CL1500+MAX(CM1500,2*(J1500/IF(CH1500&gt;0,CH1500,MAX(0.1,N(Cockpit!$C$6)))-CL1500)),0)</f>
        <v>1</v>
      </c>
      <c r="AN1500" s="63" t="n">
        <f aca="false">IF(AJ1500&gt;0,J1500/AJ1500,-1)</f>
        <v>0</v>
      </c>
      <c r="AO1500" s="63" t="n">
        <f aca="false">IF(AND(OR(CG1500="L1",CG1500="L23",CG1500="LIFT"),AJ1500&gt;0),SUMIFS($AJ$7:$AJ$1843,$CG$7:$CG$1843,CG1500,$AN$7:$AN$1843,"&gt;"&amp;AN1500)+SUMIFS($AJ$7:$AJ$1843,$CG$7:$CG$1843,CG1500,$AN$7:$AN$1843,AN1500,$BX$7:$BX$1843,"&lt;="&amp;BX1500),"")</f>
        <v>29880.6798001904</v>
      </c>
      <c r="AP1500" s="70" t="n">
        <f aca="false">IF(AO1500="",0,MAX(0,MIN(1,(IF(CG1500="L1",Parameter!$H$5,IF(CG1500="L23",Parameter!$H$6+Parameter!$H$7,Parameter!$H$5+Parameter!$H$6+Parameter!$H$7))-(AO1500-AJ1500))/AJ1500)))</f>
        <v>1</v>
      </c>
      <c r="AQ1500" s="62" t="n">
        <f aca="false">IF(LEFT(Cockpit!$I$5,1)="A",H1500,IF(Parameter!$E$30="MAX-Bestand",IF(CI1500=1,CJ1500,IF(LEFT(Cockpit!$I$5,1)="B",AW1500,MAX(AW1500,H1500))),ROUNDUP(AU1500,0)))</f>
        <v>6</v>
      </c>
      <c r="AR1500" s="62" t="n">
        <f aca="false">IF(CA1500=1,0,ROUNDUP(AQ1500/BZ1500,0))</f>
        <v>6</v>
      </c>
      <c r="AS1500" s="64" t="n">
        <f aca="false">IF(CR1500&gt;0,CR1500*MAX(1,AQ1500/X1500),IF(CA1500=1,IF(AQ1500&lt;=0,0,CE1500*MAX(1,IF(H1500&gt;0,AQ1500/H1500,1))),IF(R1500&gt;0,AR1500/R1500,0))/MAX(0.1,N(Parameter!$M$21)))</f>
        <v>0.230769230769231</v>
      </c>
      <c r="AT1500" s="62" t="n">
        <f aca="false">AS1500*CC1500</f>
        <v>56.5384615384615</v>
      </c>
      <c r="AU1500" s="63" t="n">
        <f aca="false">IF(LEFT(Cockpit!$I$5,1)="A",H1500,IF(CI1500=1,(CL1500+CJ1500)/2,IF(LEFT(Cockpit!$I$5,1)="B",(CL1500+AW1500)/2,MAX((CL1500+AW1500)/2,H1500))))</f>
        <v>6</v>
      </c>
      <c r="AV1500" s="62" t="n">
        <f aca="false">AU1500*G1500</f>
        <v>129.06</v>
      </c>
      <c r="AW1500" s="62" t="n">
        <f aca="false">ROUNDUP(CL1500+MAX(CM1500,2*(J1500/IF(CH1500&gt;0,CH1500,MAX(0.1,N(Cockpit!$I$6)))-CL1500)),0)</f>
        <v>1</v>
      </c>
      <c r="AX1500" s="63" t="n">
        <f aca="false">IF(AT1500&gt;0,J1500/AT1500,-1)</f>
        <v>0</v>
      </c>
      <c r="AY1500" s="63" t="n">
        <f aca="false">IF(AND(OR(CG1500="L1",CG1500="L23",CG1500="LIFT"),AT1500&gt;0),SUMIFS($AT$7:$AT$1843,$CG$7:$CG$1843,CG1500,$AX$7:$AX$1843,"&gt;"&amp;AX1500)+SUMIFS($AT$7:$AT$1843,$CG$7:$CG$1843,CG1500,$AX$7:$AX$1843,AX1500,$BX$7:$BX$1843,"&lt;="&amp;BX1500),"")</f>
        <v>36187.25060274</v>
      </c>
      <c r="AZ1500" s="70" t="n">
        <f aca="false">IF(AY1500="",0,MAX(0,MIN(1,(IF(CG1500="L1",Parameter!$H$5,IF(CG1500="L23",Parameter!$H$6+Parameter!$H$7,Parameter!$H$5+Parameter!$H$6+Parameter!$H$7))-(AY1500-AT1500))/AT1500)))</f>
        <v>0</v>
      </c>
      <c r="BA1500" s="62" t="n">
        <f aca="false">IF(LEFT(Cockpit!$O$5,1)="A",H1500,IF(Parameter!$E$30="MAX-Bestand",IF(CI1500=1,CJ1500,IF(LEFT(Cockpit!$O$5,1)="B",BG1500,MAX(BG1500,H1500))),ROUNDUP(BE1500,0)))</f>
        <v>1</v>
      </c>
      <c r="BB1500" s="62" t="n">
        <f aca="false">IF(CA1500=1,0,ROUNDUP(BA1500/BZ1500,0))</f>
        <v>1</v>
      </c>
      <c r="BC1500" s="64" t="n">
        <f aca="false">IF(CR1500&gt;0,CR1500*MAX(1,BA1500/X1500),IF(CA1500=1,IF(BA1500&lt;=0,0,CE1500*MAX(1,IF(H1500&gt;0,BA1500/H1500,1))),IF(R1500&gt;0,BB1500/R1500,0))/MAX(0.1,N(Parameter!$M$21)))</f>
        <v>0.0384615384615385</v>
      </c>
      <c r="BD1500" s="62" t="n">
        <f aca="false">BC1500*CC1500</f>
        <v>9.42307692307692</v>
      </c>
      <c r="BE1500" s="63" t="n">
        <f aca="false">IF(LEFT(Cockpit!$O$5,1)="A",H1500,IF(CI1500=1,(CL1500+CJ1500)/2,IF(LEFT(Cockpit!$O$5,1)="B",(CL1500+BG1500)/2,MAX((CL1500+BG1500)/2,H1500))))</f>
        <v>0.5</v>
      </c>
      <c r="BF1500" s="62" t="n">
        <f aca="false">BE1500*G1500</f>
        <v>10.755</v>
      </c>
      <c r="BG1500" s="62" t="n">
        <f aca="false">ROUNDUP(CL1500+MAX(CM1500,2*(J1500/IF(CH1500&gt;0,CH1500,MAX(0.1,N(Cockpit!$O$6)))-CL1500)),0)</f>
        <v>1</v>
      </c>
      <c r="BH1500" s="63" t="n">
        <f aca="false">IF(BD1500&gt;0,J1500/BD1500,-1)</f>
        <v>0</v>
      </c>
      <c r="BI1500" s="63" t="n">
        <f aca="false">IF(AND(OR(CG1500="L1",CG1500="L23",CG1500="LIFT"),BD1500&gt;0),SUMIFS($BD$7:$BD$1843,$CG$7:$CG$1843,CG1500,$BH$7:$BH$1843,"&gt;"&amp;BH1500)+SUMIFS($BD$7:$BD$1843,$CG$7:$CG$1843,CG1500,$BH$7:$BH$1843,BH1500,$BX$7:$BX$1843,"&lt;="&amp;BX1500),"")</f>
        <v>30125.4418782724</v>
      </c>
      <c r="BJ1500" s="70" t="n">
        <f aca="false">IF(BI1500="",0,MAX(0,MIN(1,(IF(CG1500="L1",Parameter!$H$5,IF(CG1500="L23",Parameter!$H$6+Parameter!$H$7,Parameter!$H$5+Parameter!$H$6+Parameter!$H$7))-(BI1500-BD1500))/BD1500)))</f>
        <v>1</v>
      </c>
      <c r="BK1500" s="60" t="str">
        <f aca="false">IF(AJ1500&lt;=0,"",IF(CG1500="Aussen","Aussenlager",IF(CG1500="-","Nicht im Lift",IF(AP1500&gt;=1,"Lift",IF(AP1500&lt;=0,"Aussenlager","teilweise")))))</f>
        <v>Lift</v>
      </c>
      <c r="BL1500" s="60" t="str">
        <f aca="false">IF(AT1500&lt;=0,"",IF(CG1500="Aussen","Aussenlager",IF(CG1500="-","Nicht im Lift",IF(AZ1500&gt;=1,"Lift",IF(AZ1500&lt;=0,"Aussenlager","teilweise")))))</f>
        <v>Aussenlager</v>
      </c>
      <c r="BM1500" s="60" t="str">
        <f aca="false">IF(BD1500&lt;=0,"",IF(CG1500="Aussen","Aussenlager",IF(CG1500="-","Nicht im Lift",IF(BJ1500&gt;=1,"Lift",IF(BJ1500&lt;=0,"Aussenlager","teilweise")))))</f>
        <v>Lift</v>
      </c>
      <c r="BN1500" s="60" t="str">
        <f aca="false">IF(A1500="","",IF(BW1500=1,"Neu; ","")&amp;IF(AND(BW1500=0,BR1500&lt;0),"negativer Bestand (Export "&amp;BR1500&amp;"); ","")&amp;IF(J1500&lt;=0,"Kein Verbrauch; ","")&amp;IF(CR1500&gt;0,"Lift "&amp;W1500&amp;" lt. Liftbericht (Fach "&amp;X1500&amp;" Stk); ",IF(CB1500=1,"Gebinde geschätzt ("&amp;T1500&amp;"); ",IF(CA1500=1,"Lose – Tablare geschätzt; ","")))&amp;IF(H1500&gt;AW1500,"Überbestand "&amp;ROUND(H1500-AW1500,0)&amp;" Stk / CHF "&amp;ROUND((H1500-AW1500)*G1500,0)&amp;"; ","")&amp;IF(AND(CI1500=1,CJ1500&lt;CK1500),"MAX &lt; MB+LG; ","")&amp;IF(AND(CQ1500&gt;0,CP1500*10&gt;CQ1500),"zu hoch für Tablar; ","")&amp;IF(AND(BW1500=0,OR(CI1500=1,AB1500&lt;&gt;"",U1500&lt;&gt;"",V1500&lt;&gt;"",AC1500&lt;&gt;"")),"manuell übersteuert; ","")&amp;IF(AND(CA1500=0,R1500=0),"Gebinde unbekannt / Stellmass fehlt; ","")&amp;IF(AND(CA1500=0,N(V1500)&lt;=0,N(Q1500)&lt;=0),"Menge pro Gebinde fehlt (Ist = 1 Gebinde); ","")&amp;BV1500)</f>
        <v>Kein Verbrauch; Überbestand 5 Stk / CHF 108; nur im Artikelstamm (Bestand 23.06.2026)</v>
      </c>
      <c r="BO1500" s="60"/>
      <c r="BP1500" s="60"/>
      <c r="BQ1500" s="67"/>
      <c r="BR1500" s="62" t="n">
        <v>6</v>
      </c>
      <c r="BS1500" s="62" t="n">
        <v>0</v>
      </c>
      <c r="BT1500" s="61" t="n">
        <v>0</v>
      </c>
      <c r="BU1500" s="62" t="n">
        <v>0</v>
      </c>
      <c r="BV1500" s="60" t="s">
        <v>2617</v>
      </c>
      <c r="BW1500" s="65" t="n">
        <v>0</v>
      </c>
      <c r="BX1500" s="65" t="n">
        <v>1500</v>
      </c>
      <c r="BY1500" s="60" t="str">
        <f aca="false">IF(U1500&lt;&gt;"",UPPER(TRIM(U1500)),IF(CB1500=1,UPPER(VLOOKUP(T1500,Parameter!$I$27:$K$29,2,0)),IF(P1500="","LOSE",P1500)))</f>
        <v>S52</v>
      </c>
      <c r="BZ1500" s="62" t="n">
        <f aca="false">IF(BY1500="LOSE",1,IF(N(V1500)&gt;0,V1500,IF(CB1500=1,MAX(1,N(VLOOKUP(T1500,Parameter!$I$27:$K$29,3,0)),H1500,N(N1500)),IF(N(Q1500)&gt;0,Q1500,MAX(1,H1500)))))</f>
        <v>1</v>
      </c>
      <c r="CA1500" s="65" t="n">
        <f aca="false">IF(BY1500="LOSE",1,0)</f>
        <v>0</v>
      </c>
      <c r="CB1500" s="65" t="n">
        <f aca="false">IF(AND(U1500="",OR(P1500="",P1500="LOSE"),T1500&lt;&gt;"",N(S1500)&lt;=0,ISNUMBER(MATCH(T1500,Parameter!$I$27:$I$29,0))),1,0)</f>
        <v>0</v>
      </c>
      <c r="CC1500" s="65" t="n">
        <f aca="false">IF(CR1500&gt;0,INDEX(Parameter!$H$5:$H$7,W1500)/INDEX(Parameter!$E$5:$E$7,W1500),IF(AND(CA1500=0,N(IFERROR(VLOOKUP(BY1500,'Gebinde-Kategorie'!$A$5:$N$45,14,0),0))&gt;0),VLOOKUP(BY1500,'Gebinde-Kategorie'!$A$5:$N$45,14,0)*10+Parameter!$M$23,Parameter!$M$24))</f>
        <v>245</v>
      </c>
      <c r="CD1500" s="60" t="str">
        <f aca="false">IF(AND(Parameter!$B$19="Ja",E1500&lt;&gt;"",ISNUMBER(MATCH(E1500,Parameter!$I$35:$I$52,0))),VLOOKUP(E1500,Parameter!$I$35:$J$52,2,0),IFERROR(VLOOKUP(D1500,Parameter!$A$35:$C$64,2,0),"Nein"))</f>
        <v>2+3</v>
      </c>
      <c r="CE1500" s="64" t="n">
        <f aca="false">IF(CA1500=0,0,IF(N(S1500)&gt;0,S1500,IFERROR(VLOOKUP(D1500,Parameter!$A$35:$C$64,3,0)+0,0)))</f>
        <v>0</v>
      </c>
      <c r="CF1500" s="60" t="n">
        <f aca="false">IF(AB1500&lt;&gt;"",AB1500,AA1500)</f>
        <v>3</v>
      </c>
      <c r="CG1500" s="60" t="str">
        <f aca="false">IF(OR(CF1500=1,CF1500=2,CF1500=3),IF(Parameter!$E$27="Ja","LIFT",IF(CF1500=1,"L1","L23")),IF(CF1500="Aussen","Aussen","-"))</f>
        <v>LIFT</v>
      </c>
      <c r="CH1500" s="71" t="n">
        <f aca="false">IF(N(AC1500)&gt;0,AC1500,0)</f>
        <v>0</v>
      </c>
      <c r="CI1500" s="65" t="n">
        <f aca="false">IF(ISNUMBER(AF1500),1,0)</f>
        <v>0</v>
      </c>
      <c r="CJ1500" s="62" t="n">
        <f aca="false">N(AF1500)</f>
        <v>0</v>
      </c>
      <c r="CK1500" s="62" t="n">
        <f aca="false">N(M1500)+N(N1500)</f>
        <v>1</v>
      </c>
      <c r="CL1500" s="62" t="n">
        <f aca="false">N(M1500)</f>
        <v>0</v>
      </c>
      <c r="CM1500" s="62" t="n">
        <f aca="false">N(N1500)</f>
        <v>1</v>
      </c>
      <c r="CN1500" s="62" t="n">
        <f aca="false">ROUNDUP(H1500/BZ1500,0)</f>
        <v>6</v>
      </c>
      <c r="CO1500" s="62" t="n">
        <f aca="false">ROUNDUP(CJ1500/BZ1500,0)</f>
        <v>0</v>
      </c>
      <c r="CP1500" s="65" t="n">
        <f aca="false">IF(CA1500=1,0,IFERROR(VLOOKUP(BY1500,'Gebinde-Kategorie'!$A$5:$N$45,5,0)+0,0))</f>
        <v>21</v>
      </c>
      <c r="CQ1500" s="65" t="n">
        <f aca="false">IFERROR(IF(OR(CF1500=1,CF1500=2,CF1500=3),N(INDEX(Parameter!$I$5:$I$7,CF1500)),0),0)</f>
        <v>0</v>
      </c>
      <c r="CR1500" s="64" t="n">
        <f aca="false">IF(AND(Parameter!$B$21="Ja",ISNUMBER(W1500),N(X1500)&gt;0),IFERROR(N(INDEX(Parameter!$L$5:$L$7,W1500))*INDEX(Parameter!$E$5:$E$7,W1500)*X1500/SUMIFS($X$7:$X$1843,$W$7:$W$1843,W1500),0),0)</f>
        <v>0</v>
      </c>
      <c r="CS1500" s="62" t="n">
        <f aca="false">IF(AND(OR(CG1500="L1",CG1500="L23",CG1500="LIFT"),H1500&gt;0),CC1500*IF(CR1500&gt;0,CR1500*MAX(1,H1500/X1500),IF(CA1500=1,CE1500,IF(R1500&gt;0,CN1500/R1500,0))/MAX(0.1,N(Parameter!$M$21))),"")</f>
        <v>56.5384615384615</v>
      </c>
      <c r="CT1500" s="64" t="n">
        <f aca="false">IF(CS1500="","",J1500/H1500)</f>
        <v>0</v>
      </c>
      <c r="CU1500" s="62" t="n">
        <f aca="false">IF(CS1500="","",H1500*G1500)</f>
        <v>129.06</v>
      </c>
      <c r="CV1500" s="63" t="n">
        <f aca="false">IF(CS1500="","",(CL1500+ROUNDUP(CL1500+MAX(CM1500,2*(J1500/MAX(0.1,N(Einkauf!$C$6))-CL1500)),0))/2)</f>
        <v>0.5</v>
      </c>
      <c r="CW1500" s="62" t="n">
        <f aca="false">IF(CS1500="","",MAX(0,H1500-CV1500)*G1500)</f>
        <v>118.305</v>
      </c>
      <c r="CX1500" s="62" t="n">
        <f aca="false">IF(CS1500="","",CS1500*MAX(0,1-CV1500/H1500))</f>
        <v>51.8269230769231</v>
      </c>
      <c r="CY1500" s="64" t="n">
        <f aca="false">IF(CS1500="","",PERCENTRANK($CS$7:$CS$1843,CS1500)+PERCENTRANK($CU$7:$CU$1843,CU1500)+1-PERCENTRANK($CT$7:$CT$1843,CT1500))</f>
        <v>2.176</v>
      </c>
      <c r="CZ1500" s="72" t="n">
        <f aca="false">IF(CS1500="","",CHOOSE(MATCH(Einkauf!$C$5,Parameter!$G$23:$G$27,0),CY1500,CS1500,CU1500,-CT1500,CW1500)+ROW()/1000000000)</f>
        <v>2.1760015</v>
      </c>
    </row>
    <row r="1501" customFormat="false" ht="15" hidden="false" customHeight="false" outlineLevel="0" collapsed="false">
      <c r="A1501" s="60" t="s">
        <v>2666</v>
      </c>
      <c r="B1501" s="60" t="s">
        <v>2667</v>
      </c>
      <c r="C1501" s="60" t="s">
        <v>206</v>
      </c>
      <c r="D1501" s="60" t="s">
        <v>226</v>
      </c>
      <c r="E1501" s="60" t="s">
        <v>227</v>
      </c>
      <c r="F1501" s="60"/>
      <c r="G1501" s="61" t="n">
        <v>97.63</v>
      </c>
      <c r="H1501" s="62" t="n">
        <f aca="false">MAX(0,IF(AND(Parameter!$B$21="Ja",ISNUMBER(Y1501)),Y1501,IF(Parameter!$B$20="Jahresanfang 2025 + Export",BS1501+BR1501,BR1501)))</f>
        <v>5</v>
      </c>
      <c r="I1501" s="62" t="n">
        <f aca="false">H1501*G1501</f>
        <v>488.15</v>
      </c>
      <c r="J1501" s="62" t="n">
        <f aca="false">BU1501*Parameter!$B$18</f>
        <v>0</v>
      </c>
      <c r="K1501" s="63"/>
      <c r="L1501" s="64"/>
      <c r="M1501" s="62" t="n">
        <v>0</v>
      </c>
      <c r="N1501" s="62" t="n">
        <v>3</v>
      </c>
      <c r="O1501" s="65" t="n">
        <v>77</v>
      </c>
      <c r="P1501" s="60" t="s">
        <v>344</v>
      </c>
      <c r="Q1501" s="62" t="n">
        <v>5</v>
      </c>
      <c r="R1501" s="65" t="n">
        <f aca="false">IF(CA1501=1,0,IFERROR(VLOOKUP(BY1501,'Gebinde-Kategorie'!$A$5:$N$45,13,0)+0,0))</f>
        <v>26</v>
      </c>
      <c r="S1501" s="66"/>
      <c r="T1501" s="67"/>
      <c r="U1501" s="67"/>
      <c r="V1501" s="67"/>
      <c r="W1501" s="60"/>
      <c r="X1501" s="62"/>
      <c r="Y1501" s="62"/>
      <c r="Z1501" s="60" t="n">
        <v>3</v>
      </c>
      <c r="AA1501" s="60" t="n">
        <f aca="false">IF(A1501="","",IF(AND(Parameter!$B$21="Ja",ISNUMBER(W1501)),W1501,IF(AND(Parameter!$E$27="Ja",ISNUMBER(Z1501),CD1501&lt;&gt;"Nein"),Z1501,IF(CD1501="2+3",IF(ISNUMBER(SEARCH("grosser Artikel",BV1501)),2,IFERROR(VLOOKUP(BY1501,Parameter!$F$35:$G$64,2,0),2)),IF(OR(CD1501="Nein",CD1501=""),"-",CD1501)))))</f>
        <v>3</v>
      </c>
      <c r="AB1501" s="67"/>
      <c r="AC1501" s="68"/>
      <c r="AD1501" s="62" t="n">
        <f aca="false">AW1501</f>
        <v>3</v>
      </c>
      <c r="AE1501" s="62" t="n">
        <f aca="false">MAX(AW1501,H1501)</f>
        <v>5</v>
      </c>
      <c r="AF1501" s="69"/>
      <c r="AG1501" s="62" t="n">
        <f aca="false">IF(LEFT(Cockpit!$C$5,1)="A",H1501,IF(Parameter!$E$30="MAX-Bestand",IF(CI1501=1,CJ1501,IF(LEFT(Cockpit!$C$5,1)="B",AM1501,MAX(AM1501,H1501))),ROUNDUP(AK1501,0)))</f>
        <v>5</v>
      </c>
      <c r="AH1501" s="62" t="n">
        <f aca="false">IF(CA1501=1,0,ROUNDUP(AG1501/BZ1501,0))</f>
        <v>1</v>
      </c>
      <c r="AI1501" s="64" t="n">
        <f aca="false">IF(CR1501&gt;0,CR1501*MAX(1,AG1501/X1501),IF(CA1501=1,IF(AG1501&lt;=0,0,CE1501*MAX(1,IF(H1501&gt;0,AG1501/H1501,1))),IF(R1501&gt;0,AH1501/R1501,0))/MAX(0.1,N(Parameter!$M$21)))</f>
        <v>0.0384615384615385</v>
      </c>
      <c r="AJ1501" s="62" t="n">
        <f aca="false">AI1501*CC1501</f>
        <v>5.96153846153846</v>
      </c>
      <c r="AK1501" s="63" t="n">
        <f aca="false">IF(LEFT(Cockpit!$C$5,1)="A",H1501,IF(CI1501=1,(CL1501+CJ1501)/2,IF(LEFT(Cockpit!$C$5,1)="B",(CL1501+AM1501)/2,MAX((CL1501+AM1501)/2,H1501))))</f>
        <v>5</v>
      </c>
      <c r="AL1501" s="62" t="n">
        <f aca="false">AK1501*G1501</f>
        <v>488.15</v>
      </c>
      <c r="AM1501" s="62" t="n">
        <f aca="false">ROUNDUP(CL1501+MAX(CM1501,2*(J1501/IF(CH1501&gt;0,CH1501,MAX(0.1,N(Cockpit!$C$6)))-CL1501)),0)</f>
        <v>3</v>
      </c>
      <c r="AN1501" s="63" t="n">
        <f aca="false">IF(AJ1501&gt;0,J1501/AJ1501,-1)</f>
        <v>0</v>
      </c>
      <c r="AO1501" s="63" t="n">
        <f aca="false">IF(AND(OR(CG1501="L1",CG1501="L23",CG1501="LIFT"),AJ1501&gt;0),SUMIFS($AJ$7:$AJ$1843,$CG$7:$CG$1843,CG1501,$AN$7:$AN$1843,"&gt;"&amp;AN1501)+SUMIFS($AJ$7:$AJ$1843,$CG$7:$CG$1843,CG1501,$AN$7:$AN$1843,AN1501,$BX$7:$BX$1843,"&lt;="&amp;BX1501),"")</f>
        <v>29886.6413386519</v>
      </c>
      <c r="AP1501" s="70" t="n">
        <f aca="false">IF(AO1501="",0,MAX(0,MIN(1,(IF(CG1501="L1",Parameter!$H$5,IF(CG1501="L23",Parameter!$H$6+Parameter!$H$7,Parameter!$H$5+Parameter!$H$6+Parameter!$H$7))-(AO1501-AJ1501))/AJ1501)))</f>
        <v>1</v>
      </c>
      <c r="AQ1501" s="62" t="n">
        <f aca="false">IF(LEFT(Cockpit!$I$5,1)="A",H1501,IF(Parameter!$E$30="MAX-Bestand",IF(CI1501=1,CJ1501,IF(LEFT(Cockpit!$I$5,1)="B",AW1501,MAX(AW1501,H1501))),ROUNDUP(AU1501,0)))</f>
        <v>5</v>
      </c>
      <c r="AR1501" s="62" t="n">
        <f aca="false">IF(CA1501=1,0,ROUNDUP(AQ1501/BZ1501,0))</f>
        <v>1</v>
      </c>
      <c r="AS1501" s="64" t="n">
        <f aca="false">IF(CR1501&gt;0,CR1501*MAX(1,AQ1501/X1501),IF(CA1501=1,IF(AQ1501&lt;=0,0,CE1501*MAX(1,IF(H1501&gt;0,AQ1501/H1501,1))),IF(R1501&gt;0,AR1501/R1501,0))/MAX(0.1,N(Parameter!$M$21)))</f>
        <v>0.0384615384615385</v>
      </c>
      <c r="AT1501" s="62" t="n">
        <f aca="false">AS1501*CC1501</f>
        <v>5.96153846153846</v>
      </c>
      <c r="AU1501" s="63" t="n">
        <f aca="false">IF(LEFT(Cockpit!$I$5,1)="A",H1501,IF(CI1501=1,(CL1501+CJ1501)/2,IF(LEFT(Cockpit!$I$5,1)="B",(CL1501+AW1501)/2,MAX((CL1501+AW1501)/2,H1501))))</f>
        <v>5</v>
      </c>
      <c r="AV1501" s="62" t="n">
        <f aca="false">AU1501*G1501</f>
        <v>488.15</v>
      </c>
      <c r="AW1501" s="62" t="n">
        <f aca="false">ROUNDUP(CL1501+MAX(CM1501,2*(J1501/IF(CH1501&gt;0,CH1501,MAX(0.1,N(Cockpit!$I$6)))-CL1501)),0)</f>
        <v>3</v>
      </c>
      <c r="AX1501" s="63" t="n">
        <f aca="false">IF(AT1501&gt;0,J1501/AT1501,-1)</f>
        <v>0</v>
      </c>
      <c r="AY1501" s="63" t="n">
        <f aca="false">IF(AND(OR(CG1501="L1",CG1501="L23",CG1501="LIFT"),AT1501&gt;0),SUMIFS($AT$7:$AT$1843,$CG$7:$CG$1843,CG1501,$AX$7:$AX$1843,"&gt;"&amp;AX1501)+SUMIFS($AT$7:$AT$1843,$CG$7:$CG$1843,CG1501,$AX$7:$AX$1843,AX1501,$BX$7:$BX$1843,"&lt;="&amp;BX1501),"")</f>
        <v>36193.2121412016</v>
      </c>
      <c r="AZ1501" s="70" t="n">
        <f aca="false">IF(AY1501="",0,MAX(0,MIN(1,(IF(CG1501="L1",Parameter!$H$5,IF(CG1501="L23",Parameter!$H$6+Parameter!$H$7,Parameter!$H$5+Parameter!$H$6+Parameter!$H$7))-(AY1501-AT1501))/AT1501)))</f>
        <v>0</v>
      </c>
      <c r="BA1501" s="62" t="n">
        <f aca="false">IF(LEFT(Cockpit!$O$5,1)="A",H1501,IF(Parameter!$E$30="MAX-Bestand",IF(CI1501=1,CJ1501,IF(LEFT(Cockpit!$O$5,1)="B",BG1501,MAX(BG1501,H1501))),ROUNDUP(BE1501,0)))</f>
        <v>2</v>
      </c>
      <c r="BB1501" s="62" t="n">
        <f aca="false">IF(CA1501=1,0,ROUNDUP(BA1501/BZ1501,0))</f>
        <v>1</v>
      </c>
      <c r="BC1501" s="64" t="n">
        <f aca="false">IF(CR1501&gt;0,CR1501*MAX(1,BA1501/X1501),IF(CA1501=1,IF(BA1501&lt;=0,0,CE1501*MAX(1,IF(H1501&gt;0,BA1501/H1501,1))),IF(R1501&gt;0,BB1501/R1501,0))/MAX(0.1,N(Parameter!$M$21)))</f>
        <v>0.0384615384615385</v>
      </c>
      <c r="BD1501" s="62" t="n">
        <f aca="false">BC1501*CC1501</f>
        <v>5.96153846153846</v>
      </c>
      <c r="BE1501" s="63" t="n">
        <f aca="false">IF(LEFT(Cockpit!$O$5,1)="A",H1501,IF(CI1501=1,(CL1501+CJ1501)/2,IF(LEFT(Cockpit!$O$5,1)="B",(CL1501+BG1501)/2,MAX((CL1501+BG1501)/2,H1501))))</f>
        <v>1.5</v>
      </c>
      <c r="BF1501" s="62" t="n">
        <f aca="false">BE1501*G1501</f>
        <v>146.445</v>
      </c>
      <c r="BG1501" s="62" t="n">
        <f aca="false">ROUNDUP(CL1501+MAX(CM1501,2*(J1501/IF(CH1501&gt;0,CH1501,MAX(0.1,N(Cockpit!$O$6)))-CL1501)),0)</f>
        <v>3</v>
      </c>
      <c r="BH1501" s="63" t="n">
        <f aca="false">IF(BD1501&gt;0,J1501/BD1501,-1)</f>
        <v>0</v>
      </c>
      <c r="BI1501" s="63" t="n">
        <f aca="false">IF(AND(OR(CG1501="L1",CG1501="L23",CG1501="LIFT"),BD1501&gt;0),SUMIFS($BD$7:$BD$1843,$CG$7:$CG$1843,CG1501,$BH$7:$BH$1843,"&gt;"&amp;BH1501)+SUMIFS($BD$7:$BD$1843,$CG$7:$CG$1843,CG1501,$BH$7:$BH$1843,BH1501,$BX$7:$BX$1843,"&lt;="&amp;BX1501),"")</f>
        <v>30131.4034167339</v>
      </c>
      <c r="BJ1501" s="70" t="n">
        <f aca="false">IF(BI1501="",0,MAX(0,MIN(1,(IF(CG1501="L1",Parameter!$H$5,IF(CG1501="L23",Parameter!$H$6+Parameter!$H$7,Parameter!$H$5+Parameter!$H$6+Parameter!$H$7))-(BI1501-BD1501))/BD1501)))</f>
        <v>1</v>
      </c>
      <c r="BK1501" s="60" t="str">
        <f aca="false">IF(AJ1501&lt;=0,"",IF(CG1501="Aussen","Aussenlager",IF(CG1501="-","Nicht im Lift",IF(AP1501&gt;=1,"Lift",IF(AP1501&lt;=0,"Aussenlager","teilweise")))))</f>
        <v>Lift</v>
      </c>
      <c r="BL1501" s="60" t="str">
        <f aca="false">IF(AT1501&lt;=0,"",IF(CG1501="Aussen","Aussenlager",IF(CG1501="-","Nicht im Lift",IF(AZ1501&gt;=1,"Lift",IF(AZ1501&lt;=0,"Aussenlager","teilweise")))))</f>
        <v>Aussenlager</v>
      </c>
      <c r="BM1501" s="60" t="str">
        <f aca="false">IF(BD1501&lt;=0,"",IF(CG1501="Aussen","Aussenlager",IF(CG1501="-","Nicht im Lift",IF(BJ1501&gt;=1,"Lift",IF(BJ1501&lt;=0,"Aussenlager","teilweise")))))</f>
        <v>Lift</v>
      </c>
      <c r="BN1501" s="60" t="str">
        <f aca="false">IF(A1501="","",IF(BW1501=1,"Neu; ","")&amp;IF(AND(BW1501=0,BR1501&lt;0),"negativer Bestand (Export "&amp;BR1501&amp;"); ","")&amp;IF(J1501&lt;=0,"Kein Verbrauch; ","")&amp;IF(CR1501&gt;0,"Lift "&amp;W1501&amp;" lt. Liftbericht (Fach "&amp;X1501&amp;" Stk); ",IF(CB1501=1,"Gebinde geschätzt ("&amp;T1501&amp;"); ",IF(CA1501=1,"Lose – Tablare geschätzt; ","")))&amp;IF(H1501&gt;AW1501,"Überbestand "&amp;ROUND(H1501-AW1501,0)&amp;" Stk / CHF "&amp;ROUND((H1501-AW1501)*G1501,0)&amp;"; ","")&amp;IF(AND(CI1501=1,CJ1501&lt;CK1501),"MAX &lt; MB+LG; ","")&amp;IF(AND(CQ1501&gt;0,CP1501*10&gt;CQ1501),"zu hoch für Tablar; ","")&amp;IF(AND(BW1501=0,OR(CI1501=1,AB1501&lt;&gt;"",U1501&lt;&gt;"",V1501&lt;&gt;"",AC1501&lt;&gt;"")),"manuell übersteuert; ","")&amp;IF(AND(CA1501=0,R1501=0),"Gebinde unbekannt / Stellmass fehlt; ","")&amp;IF(AND(CA1501=0,N(V1501)&lt;=0,N(Q1501)&lt;=0),"Menge pro Gebinde fehlt (Ist = 1 Gebinde); ","")&amp;BV1501)</f>
        <v>Kein Verbrauch; Überbestand 2 Stk / CHF 195; nur im Artikelstamm (Bestand 23.06.2026); Überbestand</v>
      </c>
      <c r="BO1501" s="60"/>
      <c r="BP1501" s="60"/>
      <c r="BQ1501" s="67"/>
      <c r="BR1501" s="62" t="n">
        <v>5</v>
      </c>
      <c r="BS1501" s="62" t="n">
        <v>0</v>
      </c>
      <c r="BT1501" s="61" t="n">
        <v>0</v>
      </c>
      <c r="BU1501" s="62" t="n">
        <v>0</v>
      </c>
      <c r="BV1501" s="60" t="s">
        <v>2614</v>
      </c>
      <c r="BW1501" s="65" t="n">
        <v>0</v>
      </c>
      <c r="BX1501" s="65" t="n">
        <v>1501</v>
      </c>
      <c r="BY1501" s="60" t="str">
        <f aca="false">IF(U1501&lt;&gt;"",UPPER(TRIM(U1501)),IF(CB1501=1,UPPER(VLOOKUP(T1501,Parameter!$I$27:$K$29,2,0)),IF(P1501="","LOSE",P1501)))</f>
        <v>S51</v>
      </c>
      <c r="BZ1501" s="62" t="n">
        <f aca="false">IF(BY1501="LOSE",1,IF(N(V1501)&gt;0,V1501,IF(CB1501=1,MAX(1,N(VLOOKUP(T1501,Parameter!$I$27:$K$29,3,0)),H1501,N(N1501)),IF(N(Q1501)&gt;0,Q1501,MAX(1,H1501)))))</f>
        <v>5</v>
      </c>
      <c r="CA1501" s="65" t="n">
        <f aca="false">IF(BY1501="LOSE",1,0)</f>
        <v>0</v>
      </c>
      <c r="CB1501" s="65" t="n">
        <f aca="false">IF(AND(U1501="",OR(P1501="",P1501="LOSE"),T1501&lt;&gt;"",N(S1501)&lt;=0,ISNUMBER(MATCH(T1501,Parameter!$I$27:$I$29,0))),1,0)</f>
        <v>0</v>
      </c>
      <c r="CC1501" s="65" t="n">
        <f aca="false">IF(CR1501&gt;0,INDEX(Parameter!$H$5:$H$7,W1501)/INDEX(Parameter!$E$5:$E$7,W1501),IF(AND(CA1501=0,N(IFERROR(VLOOKUP(BY1501,'Gebinde-Kategorie'!$A$5:$N$45,14,0),0))&gt;0),VLOOKUP(BY1501,'Gebinde-Kategorie'!$A$5:$N$45,14,0)*10+Parameter!$M$23,Parameter!$M$24))</f>
        <v>155</v>
      </c>
      <c r="CD1501" s="60" t="str">
        <f aca="false">IF(AND(Parameter!$B$19="Ja",E1501&lt;&gt;"",ISNUMBER(MATCH(E1501,Parameter!$I$35:$I$52,0))),VLOOKUP(E1501,Parameter!$I$35:$J$52,2,0),IFERROR(VLOOKUP(D1501,Parameter!$A$35:$C$64,2,0),"Nein"))</f>
        <v>2+3</v>
      </c>
      <c r="CE1501" s="64" t="n">
        <f aca="false">IF(CA1501=0,0,IF(N(S1501)&gt;0,S1501,IFERROR(VLOOKUP(D1501,Parameter!$A$35:$C$64,3,0)+0,0)))</f>
        <v>0</v>
      </c>
      <c r="CF1501" s="60" t="n">
        <f aca="false">IF(AB1501&lt;&gt;"",AB1501,AA1501)</f>
        <v>3</v>
      </c>
      <c r="CG1501" s="60" t="str">
        <f aca="false">IF(OR(CF1501=1,CF1501=2,CF1501=3),IF(Parameter!$E$27="Ja","LIFT",IF(CF1501=1,"L1","L23")),IF(CF1501="Aussen","Aussen","-"))</f>
        <v>LIFT</v>
      </c>
      <c r="CH1501" s="71" t="n">
        <f aca="false">IF(N(AC1501)&gt;0,AC1501,0)</f>
        <v>0</v>
      </c>
      <c r="CI1501" s="65" t="n">
        <f aca="false">IF(ISNUMBER(AF1501),1,0)</f>
        <v>0</v>
      </c>
      <c r="CJ1501" s="62" t="n">
        <f aca="false">N(AF1501)</f>
        <v>0</v>
      </c>
      <c r="CK1501" s="62" t="n">
        <f aca="false">N(M1501)+N(N1501)</f>
        <v>3</v>
      </c>
      <c r="CL1501" s="62" t="n">
        <f aca="false">N(M1501)</f>
        <v>0</v>
      </c>
      <c r="CM1501" s="62" t="n">
        <f aca="false">N(N1501)</f>
        <v>3</v>
      </c>
      <c r="CN1501" s="62" t="n">
        <f aca="false">ROUNDUP(H1501/BZ1501,0)</f>
        <v>1</v>
      </c>
      <c r="CO1501" s="62" t="n">
        <f aca="false">ROUNDUP(CJ1501/BZ1501,0)</f>
        <v>0</v>
      </c>
      <c r="CP1501" s="65" t="n">
        <f aca="false">IF(CA1501=1,0,IFERROR(VLOOKUP(BY1501,'Gebinde-Kategorie'!$A$5:$N$45,5,0)+0,0))</f>
        <v>11</v>
      </c>
      <c r="CQ1501" s="65" t="n">
        <f aca="false">IFERROR(IF(OR(CF1501=1,CF1501=2,CF1501=3),N(INDEX(Parameter!$I$5:$I$7,CF1501)),0),0)</f>
        <v>0</v>
      </c>
      <c r="CR1501" s="64" t="n">
        <f aca="false">IF(AND(Parameter!$B$21="Ja",ISNUMBER(W1501),N(X1501)&gt;0),IFERROR(N(INDEX(Parameter!$L$5:$L$7,W1501))*INDEX(Parameter!$E$5:$E$7,W1501)*X1501/SUMIFS($X$7:$X$1843,$W$7:$W$1843,W1501),0),0)</f>
        <v>0</v>
      </c>
      <c r="CS1501" s="62" t="n">
        <f aca="false">IF(AND(OR(CG1501="L1",CG1501="L23",CG1501="LIFT"),H1501&gt;0),CC1501*IF(CR1501&gt;0,CR1501*MAX(1,H1501/X1501),IF(CA1501=1,CE1501,IF(R1501&gt;0,CN1501/R1501,0))/MAX(0.1,N(Parameter!$M$21))),"")</f>
        <v>5.96153846153846</v>
      </c>
      <c r="CT1501" s="64" t="n">
        <f aca="false">IF(CS1501="","",J1501/H1501)</f>
        <v>0</v>
      </c>
      <c r="CU1501" s="62" t="n">
        <f aca="false">IF(CS1501="","",H1501*G1501)</f>
        <v>488.15</v>
      </c>
      <c r="CV1501" s="63" t="n">
        <f aca="false">IF(CS1501="","",(CL1501+ROUNDUP(CL1501+MAX(CM1501,2*(J1501/MAX(0.1,N(Einkauf!$C$6))-CL1501)),0))/2)</f>
        <v>1.5</v>
      </c>
      <c r="CW1501" s="62" t="n">
        <f aca="false">IF(CS1501="","",MAX(0,H1501-CV1501)*G1501)</f>
        <v>341.705</v>
      </c>
      <c r="CX1501" s="62" t="n">
        <f aca="false">IF(CS1501="","",CS1501*MAX(0,1-CV1501/H1501))</f>
        <v>4.17307692307692</v>
      </c>
      <c r="CY1501" s="64" t="n">
        <f aca="false">IF(CS1501="","",PERCENTRANK($CS$7:$CS$1843,CS1501)+PERCENTRANK($CU$7:$CU$1843,CU1501)+1-PERCENTRANK($CT$7:$CT$1843,CT1501))</f>
        <v>1.864</v>
      </c>
      <c r="CZ1501" s="72" t="n">
        <f aca="false">IF(CS1501="","",CHOOSE(MATCH(Einkauf!$C$5,Parameter!$G$23:$G$27,0),CY1501,CS1501,CU1501,-CT1501,CW1501)+ROW()/1000000000)</f>
        <v>1.864001501</v>
      </c>
    </row>
    <row r="1502" customFormat="false" ht="15" hidden="false" customHeight="false" outlineLevel="0" collapsed="false">
      <c r="A1502" s="60" t="s">
        <v>2668</v>
      </c>
      <c r="B1502" s="60" t="s">
        <v>2669</v>
      </c>
      <c r="C1502" s="60" t="s">
        <v>206</v>
      </c>
      <c r="D1502" s="60" t="s">
        <v>226</v>
      </c>
      <c r="E1502" s="60" t="s">
        <v>227</v>
      </c>
      <c r="F1502" s="60"/>
      <c r="G1502" s="61" t="n">
        <v>26.48</v>
      </c>
      <c r="H1502" s="62" t="n">
        <f aca="false">MAX(0,IF(AND(Parameter!$B$21="Ja",ISNUMBER(Y1502)),Y1502,IF(Parameter!$B$20="Jahresanfang 2025 + Export",BS1502+BR1502,BR1502)))</f>
        <v>8</v>
      </c>
      <c r="I1502" s="62" t="n">
        <f aca="false">H1502*G1502</f>
        <v>211.84</v>
      </c>
      <c r="J1502" s="62" t="n">
        <f aca="false">BU1502*Parameter!$B$18</f>
        <v>0</v>
      </c>
      <c r="K1502" s="63"/>
      <c r="L1502" s="64"/>
      <c r="M1502" s="62" t="n">
        <v>0</v>
      </c>
      <c r="N1502" s="62" t="n">
        <v>1</v>
      </c>
      <c r="O1502" s="65" t="n">
        <v>0</v>
      </c>
      <c r="P1502" s="60" t="s">
        <v>518</v>
      </c>
      <c r="Q1502" s="62" t="n">
        <v>8</v>
      </c>
      <c r="R1502" s="65" t="n">
        <f aca="false">IF(CA1502=1,0,IFERROR(VLOOKUP(BY1502,'Gebinde-Kategorie'!$A$5:$N$45,13,0)+0,0))</f>
        <v>52</v>
      </c>
      <c r="S1502" s="66"/>
      <c r="T1502" s="67"/>
      <c r="U1502" s="67"/>
      <c r="V1502" s="67"/>
      <c r="W1502" s="60"/>
      <c r="X1502" s="62"/>
      <c r="Y1502" s="62"/>
      <c r="Z1502" s="60" t="n">
        <v>1</v>
      </c>
      <c r="AA1502" s="60" t="n">
        <f aca="false">IF(A1502="","",IF(AND(Parameter!$B$21="Ja",ISNUMBER(W1502)),W1502,IF(AND(Parameter!$E$27="Ja",ISNUMBER(Z1502),CD1502&lt;&gt;"Nein"),Z1502,IF(CD1502="2+3",IF(ISNUMBER(SEARCH("grosser Artikel",BV1502)),2,IFERROR(VLOOKUP(BY1502,Parameter!$F$35:$G$64,2,0),2)),IF(OR(CD1502="Nein",CD1502=""),"-",CD1502)))))</f>
        <v>1</v>
      </c>
      <c r="AB1502" s="67"/>
      <c r="AC1502" s="68"/>
      <c r="AD1502" s="62" t="n">
        <f aca="false">AW1502</f>
        <v>1</v>
      </c>
      <c r="AE1502" s="62" t="n">
        <f aca="false">MAX(AW1502,H1502)</f>
        <v>8</v>
      </c>
      <c r="AF1502" s="69"/>
      <c r="AG1502" s="62" t="n">
        <f aca="false">IF(LEFT(Cockpit!$C$5,1)="A",H1502,IF(Parameter!$E$30="MAX-Bestand",IF(CI1502=1,CJ1502,IF(LEFT(Cockpit!$C$5,1)="B",AM1502,MAX(AM1502,H1502))),ROUNDUP(AK1502,0)))</f>
        <v>8</v>
      </c>
      <c r="AH1502" s="62" t="n">
        <f aca="false">IF(CA1502=1,0,ROUNDUP(AG1502/BZ1502,0))</f>
        <v>1</v>
      </c>
      <c r="AI1502" s="64" t="n">
        <f aca="false">IF(CR1502&gt;0,CR1502*MAX(1,AG1502/X1502),IF(CA1502=1,IF(AG1502&lt;=0,0,CE1502*MAX(1,IF(H1502&gt;0,AG1502/H1502,1))),IF(R1502&gt;0,AH1502/R1502,0))/MAX(0.1,N(Parameter!$M$21)))</f>
        <v>0.0192307692307692</v>
      </c>
      <c r="AJ1502" s="62" t="n">
        <f aca="false">AI1502*CC1502</f>
        <v>2.98076923076923</v>
      </c>
      <c r="AK1502" s="63" t="n">
        <f aca="false">IF(LEFT(Cockpit!$C$5,1)="A",H1502,IF(CI1502=1,(CL1502+CJ1502)/2,IF(LEFT(Cockpit!$C$5,1)="B",(CL1502+AM1502)/2,MAX((CL1502+AM1502)/2,H1502))))</f>
        <v>8</v>
      </c>
      <c r="AL1502" s="62" t="n">
        <f aca="false">AK1502*G1502</f>
        <v>211.84</v>
      </c>
      <c r="AM1502" s="62" t="n">
        <f aca="false">ROUNDUP(CL1502+MAX(CM1502,2*(J1502/IF(CH1502&gt;0,CH1502,MAX(0.1,N(Cockpit!$C$6)))-CL1502)),0)</f>
        <v>1</v>
      </c>
      <c r="AN1502" s="63" t="n">
        <f aca="false">IF(AJ1502&gt;0,J1502/AJ1502,-1)</f>
        <v>0</v>
      </c>
      <c r="AO1502" s="63" t="n">
        <f aca="false">IF(AND(OR(CG1502="L1",CG1502="L23",CG1502="LIFT"),AJ1502&gt;0),SUMIFS($AJ$7:$AJ$1843,$CG$7:$CG$1843,CG1502,$AN$7:$AN$1843,"&gt;"&amp;AN1502)+SUMIFS($AJ$7:$AJ$1843,$CG$7:$CG$1843,CG1502,$AN$7:$AN$1843,AN1502,$BX$7:$BX$1843,"&lt;="&amp;BX1502),"")</f>
        <v>29889.6221078827</v>
      </c>
      <c r="AP1502" s="70" t="n">
        <f aca="false">IF(AO1502="",0,MAX(0,MIN(1,(IF(CG1502="L1",Parameter!$H$5,IF(CG1502="L23",Parameter!$H$6+Parameter!$H$7,Parameter!$H$5+Parameter!$H$6+Parameter!$H$7))-(AO1502-AJ1502))/AJ1502)))</f>
        <v>1</v>
      </c>
      <c r="AQ1502" s="62" t="n">
        <f aca="false">IF(LEFT(Cockpit!$I$5,1)="A",H1502,IF(Parameter!$E$30="MAX-Bestand",IF(CI1502=1,CJ1502,IF(LEFT(Cockpit!$I$5,1)="B",AW1502,MAX(AW1502,H1502))),ROUNDUP(AU1502,0)))</f>
        <v>8</v>
      </c>
      <c r="AR1502" s="62" t="n">
        <f aca="false">IF(CA1502=1,0,ROUNDUP(AQ1502/BZ1502,0))</f>
        <v>1</v>
      </c>
      <c r="AS1502" s="64" t="n">
        <f aca="false">IF(CR1502&gt;0,CR1502*MAX(1,AQ1502/X1502),IF(CA1502=1,IF(AQ1502&lt;=0,0,CE1502*MAX(1,IF(H1502&gt;0,AQ1502/H1502,1))),IF(R1502&gt;0,AR1502/R1502,0))/MAX(0.1,N(Parameter!$M$21)))</f>
        <v>0.0192307692307692</v>
      </c>
      <c r="AT1502" s="62" t="n">
        <f aca="false">AS1502*CC1502</f>
        <v>2.98076923076923</v>
      </c>
      <c r="AU1502" s="63" t="n">
        <f aca="false">IF(LEFT(Cockpit!$I$5,1)="A",H1502,IF(CI1502=1,(CL1502+CJ1502)/2,IF(LEFT(Cockpit!$I$5,1)="B",(CL1502+AW1502)/2,MAX((CL1502+AW1502)/2,H1502))))</f>
        <v>8</v>
      </c>
      <c r="AV1502" s="62" t="n">
        <f aca="false">AU1502*G1502</f>
        <v>211.84</v>
      </c>
      <c r="AW1502" s="62" t="n">
        <f aca="false">ROUNDUP(CL1502+MAX(CM1502,2*(J1502/IF(CH1502&gt;0,CH1502,MAX(0.1,N(Cockpit!$I$6)))-CL1502)),0)</f>
        <v>1</v>
      </c>
      <c r="AX1502" s="63" t="n">
        <f aca="false">IF(AT1502&gt;0,J1502/AT1502,-1)</f>
        <v>0</v>
      </c>
      <c r="AY1502" s="63" t="n">
        <f aca="false">IF(AND(OR(CG1502="L1",CG1502="L23",CG1502="LIFT"),AT1502&gt;0),SUMIFS($AT$7:$AT$1843,$CG$7:$CG$1843,CG1502,$AX$7:$AX$1843,"&gt;"&amp;AX1502)+SUMIFS($AT$7:$AT$1843,$CG$7:$CG$1843,CG1502,$AX$7:$AX$1843,AX1502,$BX$7:$BX$1843,"&lt;="&amp;BX1502),"")</f>
        <v>36196.1929104323</v>
      </c>
      <c r="AZ1502" s="70" t="n">
        <f aca="false">IF(AY1502="",0,MAX(0,MIN(1,(IF(CG1502="L1",Parameter!$H$5,IF(CG1502="L23",Parameter!$H$6+Parameter!$H$7,Parameter!$H$5+Parameter!$H$6+Parameter!$H$7))-(AY1502-AT1502))/AT1502)))</f>
        <v>0</v>
      </c>
      <c r="BA1502" s="62" t="n">
        <f aca="false">IF(LEFT(Cockpit!$O$5,1)="A",H1502,IF(Parameter!$E$30="MAX-Bestand",IF(CI1502=1,CJ1502,IF(LEFT(Cockpit!$O$5,1)="B",BG1502,MAX(BG1502,H1502))),ROUNDUP(BE1502,0)))</f>
        <v>1</v>
      </c>
      <c r="BB1502" s="62" t="n">
        <f aca="false">IF(CA1502=1,0,ROUNDUP(BA1502/BZ1502,0))</f>
        <v>1</v>
      </c>
      <c r="BC1502" s="64" t="n">
        <f aca="false">IF(CR1502&gt;0,CR1502*MAX(1,BA1502/X1502),IF(CA1502=1,IF(BA1502&lt;=0,0,CE1502*MAX(1,IF(H1502&gt;0,BA1502/H1502,1))),IF(R1502&gt;0,BB1502/R1502,0))/MAX(0.1,N(Parameter!$M$21)))</f>
        <v>0.0192307692307692</v>
      </c>
      <c r="BD1502" s="62" t="n">
        <f aca="false">BC1502*CC1502</f>
        <v>2.98076923076923</v>
      </c>
      <c r="BE1502" s="63" t="n">
        <f aca="false">IF(LEFT(Cockpit!$O$5,1)="A",H1502,IF(CI1502=1,(CL1502+CJ1502)/2,IF(LEFT(Cockpit!$O$5,1)="B",(CL1502+BG1502)/2,MAX((CL1502+BG1502)/2,H1502))))</f>
        <v>0.5</v>
      </c>
      <c r="BF1502" s="62" t="n">
        <f aca="false">BE1502*G1502</f>
        <v>13.24</v>
      </c>
      <c r="BG1502" s="62" t="n">
        <f aca="false">ROUNDUP(CL1502+MAX(CM1502,2*(J1502/IF(CH1502&gt;0,CH1502,MAX(0.1,N(Cockpit!$O$6)))-CL1502)),0)</f>
        <v>1</v>
      </c>
      <c r="BH1502" s="63" t="n">
        <f aca="false">IF(BD1502&gt;0,J1502/BD1502,-1)</f>
        <v>0</v>
      </c>
      <c r="BI1502" s="63" t="n">
        <f aca="false">IF(AND(OR(CG1502="L1",CG1502="L23",CG1502="LIFT"),BD1502&gt;0),SUMIFS($BD$7:$BD$1843,$CG$7:$CG$1843,CG1502,$BH$7:$BH$1843,"&gt;"&amp;BH1502)+SUMIFS($BD$7:$BD$1843,$CG$7:$CG$1843,CG1502,$BH$7:$BH$1843,BH1502,$BX$7:$BX$1843,"&lt;="&amp;BX1502),"")</f>
        <v>30134.3841859647</v>
      </c>
      <c r="BJ1502" s="70" t="n">
        <f aca="false">IF(BI1502="",0,MAX(0,MIN(1,(IF(CG1502="L1",Parameter!$H$5,IF(CG1502="L23",Parameter!$H$6+Parameter!$H$7,Parameter!$H$5+Parameter!$H$6+Parameter!$H$7))-(BI1502-BD1502))/BD1502)))</f>
        <v>1</v>
      </c>
      <c r="BK1502" s="60" t="str">
        <f aca="false">IF(AJ1502&lt;=0,"",IF(CG1502="Aussen","Aussenlager",IF(CG1502="-","Nicht im Lift",IF(AP1502&gt;=1,"Lift",IF(AP1502&lt;=0,"Aussenlager","teilweise")))))</f>
        <v>Lift</v>
      </c>
      <c r="BL1502" s="60" t="str">
        <f aca="false">IF(AT1502&lt;=0,"",IF(CG1502="Aussen","Aussenlager",IF(CG1502="-","Nicht im Lift",IF(AZ1502&gt;=1,"Lift",IF(AZ1502&lt;=0,"Aussenlager","teilweise")))))</f>
        <v>Aussenlager</v>
      </c>
      <c r="BM1502" s="60" t="str">
        <f aca="false">IF(BD1502&lt;=0,"",IF(CG1502="Aussen","Aussenlager",IF(CG1502="-","Nicht im Lift",IF(BJ1502&gt;=1,"Lift",IF(BJ1502&lt;=0,"Aussenlager","teilweise")))))</f>
        <v>Lift</v>
      </c>
      <c r="BN1502" s="60" t="str">
        <f aca="false">IF(A1502="","",IF(BW1502=1,"Neu; ","")&amp;IF(AND(BW1502=0,BR1502&lt;0),"negativer Bestand (Export "&amp;BR1502&amp;"); ","")&amp;IF(J1502&lt;=0,"Kein Verbrauch; ","")&amp;IF(CR1502&gt;0,"Lift "&amp;W1502&amp;" lt. Liftbericht (Fach "&amp;X1502&amp;" Stk); ",IF(CB1502=1,"Gebinde geschätzt ("&amp;T1502&amp;"); ",IF(CA1502=1,"Lose – Tablare geschätzt; ","")))&amp;IF(H1502&gt;AW1502,"Überbestand "&amp;ROUND(H1502-AW1502,0)&amp;" Stk / CHF "&amp;ROUND((H1502-AW1502)*G1502,0)&amp;"; ","")&amp;IF(AND(CI1502=1,CJ1502&lt;CK1502),"MAX &lt; MB+LG; ","")&amp;IF(AND(CQ1502&gt;0,CP1502*10&gt;CQ1502),"zu hoch für Tablar; ","")&amp;IF(AND(BW1502=0,OR(CI1502=1,AB1502&lt;&gt;"",U1502&lt;&gt;"",V1502&lt;&gt;"",AC1502&lt;&gt;"")),"manuell übersteuert; ","")&amp;IF(AND(CA1502=0,R1502=0),"Gebinde unbekannt / Stellmass fehlt; ","")&amp;IF(AND(CA1502=0,N(V1502)&lt;=0,N(Q1502)&lt;=0),"Menge pro Gebinde fehlt (Ist = 1 Gebinde); ","")&amp;BV1502)</f>
        <v>Kein Verbrauch; Überbestand 7 Stk / CHF 185; nur im Artikelstamm (Bestand 23.06.2026)</v>
      </c>
      <c r="BO1502" s="60"/>
      <c r="BP1502" s="60"/>
      <c r="BQ1502" s="67"/>
      <c r="BR1502" s="62" t="n">
        <v>8</v>
      </c>
      <c r="BS1502" s="62" t="n">
        <v>0</v>
      </c>
      <c r="BT1502" s="61" t="n">
        <v>0</v>
      </c>
      <c r="BU1502" s="62" t="n">
        <v>0</v>
      </c>
      <c r="BV1502" s="60" t="s">
        <v>2617</v>
      </c>
      <c r="BW1502" s="65" t="n">
        <v>0</v>
      </c>
      <c r="BX1502" s="65" t="n">
        <v>1502</v>
      </c>
      <c r="BY1502" s="60" t="str">
        <f aca="false">IF(U1502&lt;&gt;"",UPPER(TRIM(U1502)),IF(CB1502=1,UPPER(VLOOKUP(T1502,Parameter!$I$27:$K$29,2,0)),IF(P1502="","LOSE",P1502)))</f>
        <v>S33</v>
      </c>
      <c r="BZ1502" s="62" t="n">
        <f aca="false">IF(BY1502="LOSE",1,IF(N(V1502)&gt;0,V1502,IF(CB1502=1,MAX(1,N(VLOOKUP(T1502,Parameter!$I$27:$K$29,3,0)),H1502,N(N1502)),IF(N(Q1502)&gt;0,Q1502,MAX(1,H1502)))))</f>
        <v>8</v>
      </c>
      <c r="CA1502" s="65" t="n">
        <f aca="false">IF(BY1502="LOSE",1,0)</f>
        <v>0</v>
      </c>
      <c r="CB1502" s="65" t="n">
        <f aca="false">IF(AND(U1502="",OR(P1502="",P1502="LOSE"),T1502&lt;&gt;"",N(S1502)&lt;=0,ISNUMBER(MATCH(T1502,Parameter!$I$27:$I$29,0))),1,0)</f>
        <v>0</v>
      </c>
      <c r="CC1502" s="65" t="n">
        <f aca="false">IF(CR1502&gt;0,INDEX(Parameter!$H$5:$H$7,W1502)/INDEX(Parameter!$E$5:$E$7,W1502),IF(AND(CA1502=0,N(IFERROR(VLOOKUP(BY1502,'Gebinde-Kategorie'!$A$5:$N$45,14,0),0))&gt;0),VLOOKUP(BY1502,'Gebinde-Kategorie'!$A$5:$N$45,14,0)*10+Parameter!$M$23,Parameter!$M$24))</f>
        <v>155</v>
      </c>
      <c r="CD1502" s="60" t="str">
        <f aca="false">IF(AND(Parameter!$B$19="Ja",E1502&lt;&gt;"",ISNUMBER(MATCH(E1502,Parameter!$I$35:$I$52,0))),VLOOKUP(E1502,Parameter!$I$35:$J$52,2,0),IFERROR(VLOOKUP(D1502,Parameter!$A$35:$C$64,2,0),"Nein"))</f>
        <v>2+3</v>
      </c>
      <c r="CE1502" s="64" t="n">
        <f aca="false">IF(CA1502=0,0,IF(N(S1502)&gt;0,S1502,IFERROR(VLOOKUP(D1502,Parameter!$A$35:$C$64,3,0)+0,0)))</f>
        <v>0</v>
      </c>
      <c r="CF1502" s="60" t="n">
        <f aca="false">IF(AB1502&lt;&gt;"",AB1502,AA1502)</f>
        <v>1</v>
      </c>
      <c r="CG1502" s="60" t="str">
        <f aca="false">IF(OR(CF1502=1,CF1502=2,CF1502=3),IF(Parameter!$E$27="Ja","LIFT",IF(CF1502=1,"L1","L23")),IF(CF1502="Aussen","Aussen","-"))</f>
        <v>LIFT</v>
      </c>
      <c r="CH1502" s="71" t="n">
        <f aca="false">IF(N(AC1502)&gt;0,AC1502,0)</f>
        <v>0</v>
      </c>
      <c r="CI1502" s="65" t="n">
        <f aca="false">IF(ISNUMBER(AF1502),1,0)</f>
        <v>0</v>
      </c>
      <c r="CJ1502" s="62" t="n">
        <f aca="false">N(AF1502)</f>
        <v>0</v>
      </c>
      <c r="CK1502" s="62" t="n">
        <f aca="false">N(M1502)+N(N1502)</f>
        <v>1</v>
      </c>
      <c r="CL1502" s="62" t="n">
        <f aca="false">N(M1502)</f>
        <v>0</v>
      </c>
      <c r="CM1502" s="62" t="n">
        <f aca="false">N(N1502)</f>
        <v>1</v>
      </c>
      <c r="CN1502" s="62" t="n">
        <f aca="false">ROUNDUP(H1502/BZ1502,0)</f>
        <v>1</v>
      </c>
      <c r="CO1502" s="62" t="n">
        <f aca="false">ROUNDUP(CJ1502/BZ1502,0)</f>
        <v>0</v>
      </c>
      <c r="CP1502" s="65" t="n">
        <f aca="false">IF(CA1502=1,0,IFERROR(VLOOKUP(BY1502,'Gebinde-Kategorie'!$A$5:$N$45,5,0)+0,0))</f>
        <v>8</v>
      </c>
      <c r="CQ1502" s="65" t="n">
        <f aca="false">IFERROR(IF(OR(CF1502=1,CF1502=2,CF1502=3),N(INDEX(Parameter!$I$5:$I$7,CF1502)),0),0)</f>
        <v>0</v>
      </c>
      <c r="CR1502" s="64" t="n">
        <f aca="false">IF(AND(Parameter!$B$21="Ja",ISNUMBER(W1502),N(X1502)&gt;0),IFERROR(N(INDEX(Parameter!$L$5:$L$7,W1502))*INDEX(Parameter!$E$5:$E$7,W1502)*X1502/SUMIFS($X$7:$X$1843,$W$7:$W$1843,W1502),0),0)</f>
        <v>0</v>
      </c>
      <c r="CS1502" s="62" t="n">
        <f aca="false">IF(AND(OR(CG1502="L1",CG1502="L23",CG1502="LIFT"),H1502&gt;0),CC1502*IF(CR1502&gt;0,CR1502*MAX(1,H1502/X1502),IF(CA1502=1,CE1502,IF(R1502&gt;0,CN1502/R1502,0))/MAX(0.1,N(Parameter!$M$21))),"")</f>
        <v>2.98076923076923</v>
      </c>
      <c r="CT1502" s="64" t="n">
        <f aca="false">IF(CS1502="","",J1502/H1502)</f>
        <v>0</v>
      </c>
      <c r="CU1502" s="62" t="n">
        <f aca="false">IF(CS1502="","",H1502*G1502)</f>
        <v>211.84</v>
      </c>
      <c r="CV1502" s="63" t="n">
        <f aca="false">IF(CS1502="","",(CL1502+ROUNDUP(CL1502+MAX(CM1502,2*(J1502/MAX(0.1,N(Einkauf!$C$6))-CL1502)),0))/2)</f>
        <v>0.5</v>
      </c>
      <c r="CW1502" s="62" t="n">
        <f aca="false">IF(CS1502="","",MAX(0,H1502-CV1502)*G1502)</f>
        <v>198.6</v>
      </c>
      <c r="CX1502" s="62" t="n">
        <f aca="false">IF(CS1502="","",CS1502*MAX(0,1-CV1502/H1502))</f>
        <v>2.79447115384615</v>
      </c>
      <c r="CY1502" s="64" t="n">
        <f aca="false">IF(CS1502="","",PERCENTRANK($CS$7:$CS$1843,CS1502)+PERCENTRANK($CU$7:$CU$1843,CU1502)+1-PERCENTRANK($CT$7:$CT$1843,CT1502))</f>
        <v>1.56</v>
      </c>
      <c r="CZ1502" s="72" t="n">
        <f aca="false">IF(CS1502="","",CHOOSE(MATCH(Einkauf!$C$5,Parameter!$G$23:$G$27,0),CY1502,CS1502,CU1502,-CT1502,CW1502)+ROW()/1000000000)</f>
        <v>1.560001502</v>
      </c>
    </row>
    <row r="1503" customFormat="false" ht="15" hidden="false" customHeight="false" outlineLevel="0" collapsed="false">
      <c r="A1503" s="60" t="s">
        <v>2670</v>
      </c>
      <c r="B1503" s="60" t="s">
        <v>2671</v>
      </c>
      <c r="C1503" s="60" t="s">
        <v>206</v>
      </c>
      <c r="D1503" s="60" t="s">
        <v>226</v>
      </c>
      <c r="E1503" s="60" t="s">
        <v>227</v>
      </c>
      <c r="F1503" s="60"/>
      <c r="G1503" s="61" t="n">
        <v>4.5</v>
      </c>
      <c r="H1503" s="62" t="n">
        <f aca="false">MAX(0,IF(AND(Parameter!$B$21="Ja",ISNUMBER(Y1503)),Y1503,IF(Parameter!$B$20="Jahresanfang 2025 + Export",BS1503+BR1503,BR1503)))</f>
        <v>11</v>
      </c>
      <c r="I1503" s="62" t="n">
        <f aca="false">H1503*G1503</f>
        <v>49.5</v>
      </c>
      <c r="J1503" s="62" t="n">
        <f aca="false">BU1503*Parameter!$B$18</f>
        <v>0</v>
      </c>
      <c r="K1503" s="63"/>
      <c r="L1503" s="64"/>
      <c r="M1503" s="62" t="n">
        <v>0</v>
      </c>
      <c r="N1503" s="62" t="n">
        <v>10</v>
      </c>
      <c r="O1503" s="65" t="n">
        <v>14</v>
      </c>
      <c r="P1503" s="60" t="s">
        <v>443</v>
      </c>
      <c r="Q1503" s="62" t="n">
        <v>11</v>
      </c>
      <c r="R1503" s="65" t="n">
        <f aca="false">IF(CA1503=1,0,IFERROR(VLOOKUP(BY1503,'Gebinde-Kategorie'!$A$5:$N$45,13,0)+0,0))</f>
        <v>280</v>
      </c>
      <c r="S1503" s="66"/>
      <c r="T1503" s="67"/>
      <c r="U1503" s="67"/>
      <c r="V1503" s="67"/>
      <c r="W1503" s="60"/>
      <c r="X1503" s="62"/>
      <c r="Y1503" s="62"/>
      <c r="Z1503" s="60" t="n">
        <v>1</v>
      </c>
      <c r="AA1503" s="60" t="n">
        <f aca="false">IF(A1503="","",IF(AND(Parameter!$B$21="Ja",ISNUMBER(W1503)),W1503,IF(AND(Parameter!$E$27="Ja",ISNUMBER(Z1503),CD1503&lt;&gt;"Nein"),Z1503,IF(CD1503="2+3",IF(ISNUMBER(SEARCH("grosser Artikel",BV1503)),2,IFERROR(VLOOKUP(BY1503,Parameter!$F$35:$G$64,2,0),2)),IF(OR(CD1503="Nein",CD1503=""),"-",CD1503)))))</f>
        <v>1</v>
      </c>
      <c r="AB1503" s="67"/>
      <c r="AC1503" s="68"/>
      <c r="AD1503" s="62" t="n">
        <f aca="false">AW1503</f>
        <v>10</v>
      </c>
      <c r="AE1503" s="62" t="n">
        <f aca="false">MAX(AW1503,H1503)</f>
        <v>11</v>
      </c>
      <c r="AF1503" s="69"/>
      <c r="AG1503" s="62" t="n">
        <f aca="false">IF(LEFT(Cockpit!$C$5,1)="A",H1503,IF(Parameter!$E$30="MAX-Bestand",IF(CI1503=1,CJ1503,IF(LEFT(Cockpit!$C$5,1)="B",AM1503,MAX(AM1503,H1503))),ROUNDUP(AK1503,0)))</f>
        <v>11</v>
      </c>
      <c r="AH1503" s="62" t="n">
        <f aca="false">IF(CA1503=1,0,ROUNDUP(AG1503/BZ1503,0))</f>
        <v>1</v>
      </c>
      <c r="AI1503" s="64" t="n">
        <f aca="false">IF(CR1503&gt;0,CR1503*MAX(1,AG1503/X1503),IF(CA1503=1,IF(AG1503&lt;=0,0,CE1503*MAX(1,IF(H1503&gt;0,AG1503/H1503,1))),IF(R1503&gt;0,AH1503/R1503,0))/MAX(0.1,N(Parameter!$M$21)))</f>
        <v>0.00357142857142857</v>
      </c>
      <c r="AJ1503" s="62" t="n">
        <f aca="false">AI1503*CC1503</f>
        <v>0.553571428571429</v>
      </c>
      <c r="AK1503" s="63" t="n">
        <f aca="false">IF(LEFT(Cockpit!$C$5,1)="A",H1503,IF(CI1503=1,(CL1503+CJ1503)/2,IF(LEFT(Cockpit!$C$5,1)="B",(CL1503+AM1503)/2,MAX((CL1503+AM1503)/2,H1503))))</f>
        <v>11</v>
      </c>
      <c r="AL1503" s="62" t="n">
        <f aca="false">AK1503*G1503</f>
        <v>49.5</v>
      </c>
      <c r="AM1503" s="62" t="n">
        <f aca="false">ROUNDUP(CL1503+MAX(CM1503,2*(J1503/IF(CH1503&gt;0,CH1503,MAX(0.1,N(Cockpit!$C$6)))-CL1503)),0)</f>
        <v>10</v>
      </c>
      <c r="AN1503" s="63" t="n">
        <f aca="false">IF(AJ1503&gt;0,J1503/AJ1503,-1)</f>
        <v>0</v>
      </c>
      <c r="AO1503" s="63" t="n">
        <f aca="false">IF(AND(OR(CG1503="L1",CG1503="L23",CG1503="LIFT"),AJ1503&gt;0),SUMIFS($AJ$7:$AJ$1843,$CG$7:$CG$1843,CG1503,$AN$7:$AN$1843,"&gt;"&amp;AN1503)+SUMIFS($AJ$7:$AJ$1843,$CG$7:$CG$1843,CG1503,$AN$7:$AN$1843,AN1503,$BX$7:$BX$1843,"&lt;="&amp;BX1503),"")</f>
        <v>29890.1756793113</v>
      </c>
      <c r="AP1503" s="70" t="n">
        <f aca="false">IF(AO1503="",0,MAX(0,MIN(1,(IF(CG1503="L1",Parameter!$H$5,IF(CG1503="L23",Parameter!$H$6+Parameter!$H$7,Parameter!$H$5+Parameter!$H$6+Parameter!$H$7))-(AO1503-AJ1503))/AJ1503)))</f>
        <v>1</v>
      </c>
      <c r="AQ1503" s="62" t="n">
        <f aca="false">IF(LEFT(Cockpit!$I$5,1)="A",H1503,IF(Parameter!$E$30="MAX-Bestand",IF(CI1503=1,CJ1503,IF(LEFT(Cockpit!$I$5,1)="B",AW1503,MAX(AW1503,H1503))),ROUNDUP(AU1503,0)))</f>
        <v>11</v>
      </c>
      <c r="AR1503" s="62" t="n">
        <f aca="false">IF(CA1503=1,0,ROUNDUP(AQ1503/BZ1503,0))</f>
        <v>1</v>
      </c>
      <c r="AS1503" s="64" t="n">
        <f aca="false">IF(CR1503&gt;0,CR1503*MAX(1,AQ1503/X1503),IF(CA1503=1,IF(AQ1503&lt;=0,0,CE1503*MAX(1,IF(H1503&gt;0,AQ1503/H1503,1))),IF(R1503&gt;0,AR1503/R1503,0))/MAX(0.1,N(Parameter!$M$21)))</f>
        <v>0.00357142857142857</v>
      </c>
      <c r="AT1503" s="62" t="n">
        <f aca="false">AS1503*CC1503</f>
        <v>0.553571428571429</v>
      </c>
      <c r="AU1503" s="63" t="n">
        <f aca="false">IF(LEFT(Cockpit!$I$5,1)="A",H1503,IF(CI1503=1,(CL1503+CJ1503)/2,IF(LEFT(Cockpit!$I$5,1)="B",(CL1503+AW1503)/2,MAX((CL1503+AW1503)/2,H1503))))</f>
        <v>11</v>
      </c>
      <c r="AV1503" s="62" t="n">
        <f aca="false">AU1503*G1503</f>
        <v>49.5</v>
      </c>
      <c r="AW1503" s="62" t="n">
        <f aca="false">ROUNDUP(CL1503+MAX(CM1503,2*(J1503/IF(CH1503&gt;0,CH1503,MAX(0.1,N(Cockpit!$I$6)))-CL1503)),0)</f>
        <v>10</v>
      </c>
      <c r="AX1503" s="63" t="n">
        <f aca="false">IF(AT1503&gt;0,J1503/AT1503,-1)</f>
        <v>0</v>
      </c>
      <c r="AY1503" s="63" t="n">
        <f aca="false">IF(AND(OR(CG1503="L1",CG1503="L23",CG1503="LIFT"),AT1503&gt;0),SUMIFS($AT$7:$AT$1843,$CG$7:$CG$1843,CG1503,$AX$7:$AX$1843,"&gt;"&amp;AX1503)+SUMIFS($AT$7:$AT$1843,$CG$7:$CG$1843,CG1503,$AX$7:$AX$1843,AX1503,$BX$7:$BX$1843,"&lt;="&amp;BX1503),"")</f>
        <v>36196.7464818609</v>
      </c>
      <c r="AZ1503" s="70" t="n">
        <f aca="false">IF(AY1503="",0,MAX(0,MIN(1,(IF(CG1503="L1",Parameter!$H$5,IF(CG1503="L23",Parameter!$H$6+Parameter!$H$7,Parameter!$H$5+Parameter!$H$6+Parameter!$H$7))-(AY1503-AT1503))/AT1503)))</f>
        <v>0</v>
      </c>
      <c r="BA1503" s="62" t="n">
        <f aca="false">IF(LEFT(Cockpit!$O$5,1)="A",H1503,IF(Parameter!$E$30="MAX-Bestand",IF(CI1503=1,CJ1503,IF(LEFT(Cockpit!$O$5,1)="B",BG1503,MAX(BG1503,H1503))),ROUNDUP(BE1503,0)))</f>
        <v>5</v>
      </c>
      <c r="BB1503" s="62" t="n">
        <f aca="false">IF(CA1503=1,0,ROUNDUP(BA1503/BZ1503,0))</f>
        <v>1</v>
      </c>
      <c r="BC1503" s="64" t="n">
        <f aca="false">IF(CR1503&gt;0,CR1503*MAX(1,BA1503/X1503),IF(CA1503=1,IF(BA1503&lt;=0,0,CE1503*MAX(1,IF(H1503&gt;0,BA1503/H1503,1))),IF(R1503&gt;0,BB1503/R1503,0))/MAX(0.1,N(Parameter!$M$21)))</f>
        <v>0.00357142857142857</v>
      </c>
      <c r="BD1503" s="62" t="n">
        <f aca="false">BC1503*CC1503</f>
        <v>0.553571428571429</v>
      </c>
      <c r="BE1503" s="63" t="n">
        <f aca="false">IF(LEFT(Cockpit!$O$5,1)="A",H1503,IF(CI1503=1,(CL1503+CJ1503)/2,IF(LEFT(Cockpit!$O$5,1)="B",(CL1503+BG1503)/2,MAX((CL1503+BG1503)/2,H1503))))</f>
        <v>5</v>
      </c>
      <c r="BF1503" s="62" t="n">
        <f aca="false">BE1503*G1503</f>
        <v>22.5</v>
      </c>
      <c r="BG1503" s="62" t="n">
        <f aca="false">ROUNDUP(CL1503+MAX(CM1503,2*(J1503/IF(CH1503&gt;0,CH1503,MAX(0.1,N(Cockpit!$O$6)))-CL1503)),0)</f>
        <v>10</v>
      </c>
      <c r="BH1503" s="63" t="n">
        <f aca="false">IF(BD1503&gt;0,J1503/BD1503,-1)</f>
        <v>0</v>
      </c>
      <c r="BI1503" s="63" t="n">
        <f aca="false">IF(AND(OR(CG1503="L1",CG1503="L23",CG1503="LIFT"),BD1503&gt;0),SUMIFS($BD$7:$BD$1843,$CG$7:$CG$1843,CG1503,$BH$7:$BH$1843,"&gt;"&amp;BH1503)+SUMIFS($BD$7:$BD$1843,$CG$7:$CG$1843,CG1503,$BH$7:$BH$1843,BH1503,$BX$7:$BX$1843,"&lt;="&amp;BX1503),"")</f>
        <v>30134.9377573933</v>
      </c>
      <c r="BJ1503" s="70" t="n">
        <f aca="false">IF(BI1503="",0,MAX(0,MIN(1,(IF(CG1503="L1",Parameter!$H$5,IF(CG1503="L23",Parameter!$H$6+Parameter!$H$7,Parameter!$H$5+Parameter!$H$6+Parameter!$H$7))-(BI1503-BD1503))/BD1503)))</f>
        <v>1</v>
      </c>
      <c r="BK1503" s="60" t="str">
        <f aca="false">IF(AJ1503&lt;=0,"",IF(CG1503="Aussen","Aussenlager",IF(CG1503="-","Nicht im Lift",IF(AP1503&gt;=1,"Lift",IF(AP1503&lt;=0,"Aussenlager","teilweise")))))</f>
        <v>Lift</v>
      </c>
      <c r="BL1503" s="60" t="str">
        <f aca="false">IF(AT1503&lt;=0,"",IF(CG1503="Aussen","Aussenlager",IF(CG1503="-","Nicht im Lift",IF(AZ1503&gt;=1,"Lift",IF(AZ1503&lt;=0,"Aussenlager","teilweise")))))</f>
        <v>Aussenlager</v>
      </c>
      <c r="BM1503" s="60" t="str">
        <f aca="false">IF(BD1503&lt;=0,"",IF(CG1503="Aussen","Aussenlager",IF(CG1503="-","Nicht im Lift",IF(BJ1503&gt;=1,"Lift",IF(BJ1503&lt;=0,"Aussenlager","teilweise")))))</f>
        <v>Lift</v>
      </c>
      <c r="BN1503" s="60" t="str">
        <f aca="false">IF(A1503="","",IF(BW1503=1,"Neu; ","")&amp;IF(AND(BW1503=0,BR1503&lt;0),"negativer Bestand (Export "&amp;BR1503&amp;"); ","")&amp;IF(J1503&lt;=0,"Kein Verbrauch; ","")&amp;IF(CR1503&gt;0,"Lift "&amp;W1503&amp;" lt. Liftbericht (Fach "&amp;X1503&amp;" Stk); ",IF(CB1503=1,"Gebinde geschätzt ("&amp;T1503&amp;"); ",IF(CA1503=1,"Lose – Tablare geschätzt; ","")))&amp;IF(H1503&gt;AW1503,"Überbestand "&amp;ROUND(H1503-AW1503,0)&amp;" Stk / CHF "&amp;ROUND((H1503-AW1503)*G1503,0)&amp;"; ","")&amp;IF(AND(CI1503=1,CJ1503&lt;CK1503),"MAX &lt; MB+LG; ","")&amp;IF(AND(CQ1503&gt;0,CP1503*10&gt;CQ1503),"zu hoch für Tablar; ","")&amp;IF(AND(BW1503=0,OR(CI1503=1,AB1503&lt;&gt;"",U1503&lt;&gt;"",V1503&lt;&gt;"",AC1503&lt;&gt;"")),"manuell übersteuert; ","")&amp;IF(AND(CA1503=0,R1503=0),"Gebinde unbekannt / Stellmass fehlt; ","")&amp;IF(AND(CA1503=0,N(V1503)&lt;=0,N(Q1503)&lt;=0),"Menge pro Gebinde fehlt (Ist = 1 Gebinde); ","")&amp;BV1503)</f>
        <v>Kein Verbrauch; Überbestand 1 Stk / CHF 5; nur im Artikelstamm (Bestand 23.06.2026)</v>
      </c>
      <c r="BO1503" s="60"/>
      <c r="BP1503" s="60"/>
      <c r="BQ1503" s="67"/>
      <c r="BR1503" s="62" t="n">
        <v>11</v>
      </c>
      <c r="BS1503" s="62" t="n">
        <v>0</v>
      </c>
      <c r="BT1503" s="61" t="n">
        <v>0</v>
      </c>
      <c r="BU1503" s="62" t="n">
        <v>0</v>
      </c>
      <c r="BV1503" s="60" t="s">
        <v>2617</v>
      </c>
      <c r="BW1503" s="65" t="n">
        <v>0</v>
      </c>
      <c r="BX1503" s="65" t="n">
        <v>1503</v>
      </c>
      <c r="BY1503" s="60" t="str">
        <f aca="false">IF(U1503&lt;&gt;"",UPPER(TRIM(U1503)),IF(CB1503=1,UPPER(VLOOKUP(T1503,Parameter!$I$27:$K$29,2,0)),IF(P1503="","LOSE",P1503)))</f>
        <v>S21</v>
      </c>
      <c r="BZ1503" s="62" t="n">
        <f aca="false">IF(BY1503="LOSE",1,IF(N(V1503)&gt;0,V1503,IF(CB1503=1,MAX(1,N(VLOOKUP(T1503,Parameter!$I$27:$K$29,3,0)),H1503,N(N1503)),IF(N(Q1503)&gt;0,Q1503,MAX(1,H1503)))))</f>
        <v>11</v>
      </c>
      <c r="CA1503" s="65" t="n">
        <f aca="false">IF(BY1503="LOSE",1,0)</f>
        <v>0</v>
      </c>
      <c r="CB1503" s="65" t="n">
        <f aca="false">IF(AND(U1503="",OR(P1503="",P1503="LOSE"),T1503&lt;&gt;"",N(S1503)&lt;=0,ISNUMBER(MATCH(T1503,Parameter!$I$27:$I$29,0))),1,0)</f>
        <v>0</v>
      </c>
      <c r="CC1503" s="65" t="n">
        <f aca="false">IF(CR1503&gt;0,INDEX(Parameter!$H$5:$H$7,W1503)/INDEX(Parameter!$E$5:$E$7,W1503),IF(AND(CA1503=0,N(IFERROR(VLOOKUP(BY1503,'Gebinde-Kategorie'!$A$5:$N$45,14,0),0))&gt;0),VLOOKUP(BY1503,'Gebinde-Kategorie'!$A$5:$N$45,14,0)*10+Parameter!$M$23,Parameter!$M$24))</f>
        <v>155</v>
      </c>
      <c r="CD1503" s="60" t="str">
        <f aca="false">IF(AND(Parameter!$B$19="Ja",E1503&lt;&gt;"",ISNUMBER(MATCH(E1503,Parameter!$I$35:$I$52,0))),VLOOKUP(E1503,Parameter!$I$35:$J$52,2,0),IFERROR(VLOOKUP(D1503,Parameter!$A$35:$C$64,2,0),"Nein"))</f>
        <v>2+3</v>
      </c>
      <c r="CE1503" s="64" t="n">
        <f aca="false">IF(CA1503=0,0,IF(N(S1503)&gt;0,S1503,IFERROR(VLOOKUP(D1503,Parameter!$A$35:$C$64,3,0)+0,0)))</f>
        <v>0</v>
      </c>
      <c r="CF1503" s="60" t="n">
        <f aca="false">IF(AB1503&lt;&gt;"",AB1503,AA1503)</f>
        <v>1</v>
      </c>
      <c r="CG1503" s="60" t="str">
        <f aca="false">IF(OR(CF1503=1,CF1503=2,CF1503=3),IF(Parameter!$E$27="Ja","LIFT",IF(CF1503=1,"L1","L23")),IF(CF1503="Aussen","Aussen","-"))</f>
        <v>LIFT</v>
      </c>
      <c r="CH1503" s="71" t="n">
        <f aca="false">IF(N(AC1503)&gt;0,AC1503,0)</f>
        <v>0</v>
      </c>
      <c r="CI1503" s="65" t="n">
        <f aca="false">IF(ISNUMBER(AF1503),1,0)</f>
        <v>0</v>
      </c>
      <c r="CJ1503" s="62" t="n">
        <f aca="false">N(AF1503)</f>
        <v>0</v>
      </c>
      <c r="CK1503" s="62" t="n">
        <f aca="false">N(M1503)+N(N1503)</f>
        <v>10</v>
      </c>
      <c r="CL1503" s="62" t="n">
        <f aca="false">N(M1503)</f>
        <v>0</v>
      </c>
      <c r="CM1503" s="62" t="n">
        <f aca="false">N(N1503)</f>
        <v>10</v>
      </c>
      <c r="CN1503" s="62" t="n">
        <f aca="false">ROUNDUP(H1503/BZ1503,0)</f>
        <v>1</v>
      </c>
      <c r="CO1503" s="62" t="n">
        <f aca="false">ROUNDUP(CJ1503/BZ1503,0)</f>
        <v>0</v>
      </c>
      <c r="CP1503" s="65" t="n">
        <f aca="false">IF(CA1503=1,0,IFERROR(VLOOKUP(BY1503,'Gebinde-Kategorie'!$A$5:$N$45,5,0)+0,0))</f>
        <v>8</v>
      </c>
      <c r="CQ1503" s="65" t="n">
        <f aca="false">IFERROR(IF(OR(CF1503=1,CF1503=2,CF1503=3),N(INDEX(Parameter!$I$5:$I$7,CF1503)),0),0)</f>
        <v>0</v>
      </c>
      <c r="CR1503" s="64" t="n">
        <f aca="false">IF(AND(Parameter!$B$21="Ja",ISNUMBER(W1503),N(X1503)&gt;0),IFERROR(N(INDEX(Parameter!$L$5:$L$7,W1503))*INDEX(Parameter!$E$5:$E$7,W1503)*X1503/SUMIFS($X$7:$X$1843,$W$7:$W$1843,W1503),0),0)</f>
        <v>0</v>
      </c>
      <c r="CS1503" s="62" t="n">
        <f aca="false">IF(AND(OR(CG1503="L1",CG1503="L23",CG1503="LIFT"),H1503&gt;0),CC1503*IF(CR1503&gt;0,CR1503*MAX(1,H1503/X1503),IF(CA1503=1,CE1503,IF(R1503&gt;0,CN1503/R1503,0))/MAX(0.1,N(Parameter!$M$21))),"")</f>
        <v>0.553571428571429</v>
      </c>
      <c r="CT1503" s="64" t="n">
        <f aca="false">IF(CS1503="","",J1503/H1503)</f>
        <v>0</v>
      </c>
      <c r="CU1503" s="62" t="n">
        <f aca="false">IF(CS1503="","",H1503*G1503)</f>
        <v>49.5</v>
      </c>
      <c r="CV1503" s="63" t="n">
        <f aca="false">IF(CS1503="","",(CL1503+ROUNDUP(CL1503+MAX(CM1503,2*(J1503/MAX(0.1,N(Einkauf!$C$6))-CL1503)),0))/2)</f>
        <v>5</v>
      </c>
      <c r="CW1503" s="62" t="n">
        <f aca="false">IF(CS1503="","",MAX(0,H1503-CV1503)*G1503)</f>
        <v>27</v>
      </c>
      <c r="CX1503" s="62" t="n">
        <f aca="false">IF(CS1503="","",CS1503*MAX(0,1-CV1503/H1503))</f>
        <v>0.301948051948052</v>
      </c>
      <c r="CY1503" s="64" t="n">
        <f aca="false">IF(CS1503="","",PERCENTRANK($CS$7:$CS$1843,CS1503)+PERCENTRANK($CU$7:$CU$1843,CU1503)+1-PERCENTRANK($CT$7:$CT$1843,CT1503))</f>
        <v>1.151</v>
      </c>
      <c r="CZ1503" s="72" t="n">
        <f aca="false">IF(CS1503="","",CHOOSE(MATCH(Einkauf!$C$5,Parameter!$G$23:$G$27,0),CY1503,CS1503,CU1503,-CT1503,CW1503)+ROW()/1000000000)</f>
        <v>1.151001503</v>
      </c>
    </row>
    <row r="1504" customFormat="false" ht="15" hidden="false" customHeight="false" outlineLevel="0" collapsed="false">
      <c r="A1504" s="60" t="s">
        <v>2672</v>
      </c>
      <c r="B1504" s="60" t="s">
        <v>2673</v>
      </c>
      <c r="C1504" s="60" t="s">
        <v>206</v>
      </c>
      <c r="D1504" s="60" t="s">
        <v>226</v>
      </c>
      <c r="E1504" s="60" t="s">
        <v>227</v>
      </c>
      <c r="F1504" s="60"/>
      <c r="G1504" s="61" t="n">
        <v>43.8</v>
      </c>
      <c r="H1504" s="62" t="n">
        <f aca="false">MAX(0,IF(AND(Parameter!$B$21="Ja",ISNUMBER(Y1504)),Y1504,IF(Parameter!$B$20="Jahresanfang 2025 + Export",BS1504+BR1504,BR1504)))</f>
        <v>10</v>
      </c>
      <c r="I1504" s="62" t="n">
        <f aca="false">H1504*G1504</f>
        <v>438</v>
      </c>
      <c r="J1504" s="62" t="n">
        <f aca="false">BU1504*Parameter!$B$18</f>
        <v>0</v>
      </c>
      <c r="K1504" s="63"/>
      <c r="L1504" s="64"/>
      <c r="M1504" s="62" t="n">
        <v>0</v>
      </c>
      <c r="N1504" s="62" t="n">
        <v>10</v>
      </c>
      <c r="O1504" s="65" t="n">
        <v>14</v>
      </c>
      <c r="P1504" s="60" t="s">
        <v>518</v>
      </c>
      <c r="Q1504" s="62" t="n">
        <v>10</v>
      </c>
      <c r="R1504" s="65" t="n">
        <f aca="false">IF(CA1504=1,0,IFERROR(VLOOKUP(BY1504,'Gebinde-Kategorie'!$A$5:$N$45,13,0)+0,0))</f>
        <v>52</v>
      </c>
      <c r="S1504" s="66"/>
      <c r="T1504" s="67"/>
      <c r="U1504" s="67"/>
      <c r="V1504" s="67"/>
      <c r="W1504" s="60"/>
      <c r="X1504" s="62"/>
      <c r="Y1504" s="62"/>
      <c r="Z1504" s="60" t="n">
        <v>3</v>
      </c>
      <c r="AA1504" s="60" t="n">
        <f aca="false">IF(A1504="","",IF(AND(Parameter!$B$21="Ja",ISNUMBER(W1504)),W1504,IF(AND(Parameter!$E$27="Ja",ISNUMBER(Z1504),CD1504&lt;&gt;"Nein"),Z1504,IF(CD1504="2+3",IF(ISNUMBER(SEARCH("grosser Artikel",BV1504)),2,IFERROR(VLOOKUP(BY1504,Parameter!$F$35:$G$64,2,0),2)),IF(OR(CD1504="Nein",CD1504=""),"-",CD1504)))))</f>
        <v>3</v>
      </c>
      <c r="AB1504" s="67"/>
      <c r="AC1504" s="68"/>
      <c r="AD1504" s="62" t="n">
        <f aca="false">AW1504</f>
        <v>10</v>
      </c>
      <c r="AE1504" s="62" t="n">
        <f aca="false">MAX(AW1504,H1504)</f>
        <v>10</v>
      </c>
      <c r="AF1504" s="69"/>
      <c r="AG1504" s="62" t="n">
        <f aca="false">IF(LEFT(Cockpit!$C$5,1)="A",H1504,IF(Parameter!$E$30="MAX-Bestand",IF(CI1504=1,CJ1504,IF(LEFT(Cockpit!$C$5,1)="B",AM1504,MAX(AM1504,H1504))),ROUNDUP(AK1504,0)))</f>
        <v>10</v>
      </c>
      <c r="AH1504" s="62" t="n">
        <f aca="false">IF(CA1504=1,0,ROUNDUP(AG1504/BZ1504,0))</f>
        <v>1</v>
      </c>
      <c r="AI1504" s="64" t="n">
        <f aca="false">IF(CR1504&gt;0,CR1504*MAX(1,AG1504/X1504),IF(CA1504=1,IF(AG1504&lt;=0,0,CE1504*MAX(1,IF(H1504&gt;0,AG1504/H1504,1))),IF(R1504&gt;0,AH1504/R1504,0))/MAX(0.1,N(Parameter!$M$21)))</f>
        <v>0.0192307692307692</v>
      </c>
      <c r="AJ1504" s="62" t="n">
        <f aca="false">AI1504*CC1504</f>
        <v>2.98076923076923</v>
      </c>
      <c r="AK1504" s="63" t="n">
        <f aca="false">IF(LEFT(Cockpit!$C$5,1)="A",H1504,IF(CI1504=1,(CL1504+CJ1504)/2,IF(LEFT(Cockpit!$C$5,1)="B",(CL1504+AM1504)/2,MAX((CL1504+AM1504)/2,H1504))))</f>
        <v>10</v>
      </c>
      <c r="AL1504" s="62" t="n">
        <f aca="false">AK1504*G1504</f>
        <v>438</v>
      </c>
      <c r="AM1504" s="62" t="n">
        <f aca="false">ROUNDUP(CL1504+MAX(CM1504,2*(J1504/IF(CH1504&gt;0,CH1504,MAX(0.1,N(Cockpit!$C$6)))-CL1504)),0)</f>
        <v>10</v>
      </c>
      <c r="AN1504" s="63" t="n">
        <f aca="false">IF(AJ1504&gt;0,J1504/AJ1504,-1)</f>
        <v>0</v>
      </c>
      <c r="AO1504" s="63" t="n">
        <f aca="false">IF(AND(OR(CG1504="L1",CG1504="L23",CG1504="LIFT"),AJ1504&gt;0),SUMIFS($AJ$7:$AJ$1843,$CG$7:$CG$1843,CG1504,$AN$7:$AN$1843,"&gt;"&amp;AN1504)+SUMIFS($AJ$7:$AJ$1843,$CG$7:$CG$1843,CG1504,$AN$7:$AN$1843,AN1504,$BX$7:$BX$1843,"&lt;="&amp;BX1504),"")</f>
        <v>29893.156448542</v>
      </c>
      <c r="AP1504" s="70" t="n">
        <f aca="false">IF(AO1504="",0,MAX(0,MIN(1,(IF(CG1504="L1",Parameter!$H$5,IF(CG1504="L23",Parameter!$H$6+Parameter!$H$7,Parameter!$H$5+Parameter!$H$6+Parameter!$H$7))-(AO1504-AJ1504))/AJ1504)))</f>
        <v>1</v>
      </c>
      <c r="AQ1504" s="62" t="n">
        <f aca="false">IF(LEFT(Cockpit!$I$5,1)="A",H1504,IF(Parameter!$E$30="MAX-Bestand",IF(CI1504=1,CJ1504,IF(LEFT(Cockpit!$I$5,1)="B",AW1504,MAX(AW1504,H1504))),ROUNDUP(AU1504,0)))</f>
        <v>10</v>
      </c>
      <c r="AR1504" s="62" t="n">
        <f aca="false">IF(CA1504=1,0,ROUNDUP(AQ1504/BZ1504,0))</f>
        <v>1</v>
      </c>
      <c r="AS1504" s="64" t="n">
        <f aca="false">IF(CR1504&gt;0,CR1504*MAX(1,AQ1504/X1504),IF(CA1504=1,IF(AQ1504&lt;=0,0,CE1504*MAX(1,IF(H1504&gt;0,AQ1504/H1504,1))),IF(R1504&gt;0,AR1504/R1504,0))/MAX(0.1,N(Parameter!$M$21)))</f>
        <v>0.0192307692307692</v>
      </c>
      <c r="AT1504" s="62" t="n">
        <f aca="false">AS1504*CC1504</f>
        <v>2.98076923076923</v>
      </c>
      <c r="AU1504" s="63" t="n">
        <f aca="false">IF(LEFT(Cockpit!$I$5,1)="A",H1504,IF(CI1504=1,(CL1504+CJ1504)/2,IF(LEFT(Cockpit!$I$5,1)="B",(CL1504+AW1504)/2,MAX((CL1504+AW1504)/2,H1504))))</f>
        <v>10</v>
      </c>
      <c r="AV1504" s="62" t="n">
        <f aca="false">AU1504*G1504</f>
        <v>438</v>
      </c>
      <c r="AW1504" s="62" t="n">
        <f aca="false">ROUNDUP(CL1504+MAX(CM1504,2*(J1504/IF(CH1504&gt;0,CH1504,MAX(0.1,N(Cockpit!$I$6)))-CL1504)),0)</f>
        <v>10</v>
      </c>
      <c r="AX1504" s="63" t="n">
        <f aca="false">IF(AT1504&gt;0,J1504/AT1504,-1)</f>
        <v>0</v>
      </c>
      <c r="AY1504" s="63" t="n">
        <f aca="false">IF(AND(OR(CG1504="L1",CG1504="L23",CG1504="LIFT"),AT1504&gt;0),SUMIFS($AT$7:$AT$1843,$CG$7:$CG$1843,CG1504,$AX$7:$AX$1843,"&gt;"&amp;AX1504)+SUMIFS($AT$7:$AT$1843,$CG$7:$CG$1843,CG1504,$AX$7:$AX$1843,AX1504,$BX$7:$BX$1843,"&lt;="&amp;BX1504),"")</f>
        <v>36199.7272510917</v>
      </c>
      <c r="AZ1504" s="70" t="n">
        <f aca="false">IF(AY1504="",0,MAX(0,MIN(1,(IF(CG1504="L1",Parameter!$H$5,IF(CG1504="L23",Parameter!$H$6+Parameter!$H$7,Parameter!$H$5+Parameter!$H$6+Parameter!$H$7))-(AY1504-AT1504))/AT1504)))</f>
        <v>0</v>
      </c>
      <c r="BA1504" s="62" t="n">
        <f aca="false">IF(LEFT(Cockpit!$O$5,1)="A",H1504,IF(Parameter!$E$30="MAX-Bestand",IF(CI1504=1,CJ1504,IF(LEFT(Cockpit!$O$5,1)="B",BG1504,MAX(BG1504,H1504))),ROUNDUP(BE1504,0)))</f>
        <v>5</v>
      </c>
      <c r="BB1504" s="62" t="n">
        <f aca="false">IF(CA1504=1,0,ROUNDUP(BA1504/BZ1504,0))</f>
        <v>1</v>
      </c>
      <c r="BC1504" s="64" t="n">
        <f aca="false">IF(CR1504&gt;0,CR1504*MAX(1,BA1504/X1504),IF(CA1504=1,IF(BA1504&lt;=0,0,CE1504*MAX(1,IF(H1504&gt;0,BA1504/H1504,1))),IF(R1504&gt;0,BB1504/R1504,0))/MAX(0.1,N(Parameter!$M$21)))</f>
        <v>0.0192307692307692</v>
      </c>
      <c r="BD1504" s="62" t="n">
        <f aca="false">BC1504*CC1504</f>
        <v>2.98076923076923</v>
      </c>
      <c r="BE1504" s="63" t="n">
        <f aca="false">IF(LEFT(Cockpit!$O$5,1)="A",H1504,IF(CI1504=1,(CL1504+CJ1504)/2,IF(LEFT(Cockpit!$O$5,1)="B",(CL1504+BG1504)/2,MAX((CL1504+BG1504)/2,H1504))))</f>
        <v>5</v>
      </c>
      <c r="BF1504" s="62" t="n">
        <f aca="false">BE1504*G1504</f>
        <v>219</v>
      </c>
      <c r="BG1504" s="62" t="n">
        <f aca="false">ROUNDUP(CL1504+MAX(CM1504,2*(J1504/IF(CH1504&gt;0,CH1504,MAX(0.1,N(Cockpit!$O$6)))-CL1504)),0)</f>
        <v>10</v>
      </c>
      <c r="BH1504" s="63" t="n">
        <f aca="false">IF(BD1504&gt;0,J1504/BD1504,-1)</f>
        <v>0</v>
      </c>
      <c r="BI1504" s="63" t="n">
        <f aca="false">IF(AND(OR(CG1504="L1",CG1504="L23",CG1504="LIFT"),BD1504&gt;0),SUMIFS($BD$7:$BD$1843,$CG$7:$CG$1843,CG1504,$BH$7:$BH$1843,"&gt;"&amp;BH1504)+SUMIFS($BD$7:$BD$1843,$CG$7:$CG$1843,CG1504,$BH$7:$BH$1843,BH1504,$BX$7:$BX$1843,"&lt;="&amp;BX1504),"")</f>
        <v>30137.918526624</v>
      </c>
      <c r="BJ1504" s="70" t="n">
        <f aca="false">IF(BI1504="",0,MAX(0,MIN(1,(IF(CG1504="L1",Parameter!$H$5,IF(CG1504="L23",Parameter!$H$6+Parameter!$H$7,Parameter!$H$5+Parameter!$H$6+Parameter!$H$7))-(BI1504-BD1504))/BD1504)))</f>
        <v>1</v>
      </c>
      <c r="BK1504" s="60" t="str">
        <f aca="false">IF(AJ1504&lt;=0,"",IF(CG1504="Aussen","Aussenlager",IF(CG1504="-","Nicht im Lift",IF(AP1504&gt;=1,"Lift",IF(AP1504&lt;=0,"Aussenlager","teilweise")))))</f>
        <v>Lift</v>
      </c>
      <c r="BL1504" s="60" t="str">
        <f aca="false">IF(AT1504&lt;=0,"",IF(CG1504="Aussen","Aussenlager",IF(CG1504="-","Nicht im Lift",IF(AZ1504&gt;=1,"Lift",IF(AZ1504&lt;=0,"Aussenlager","teilweise")))))</f>
        <v>Aussenlager</v>
      </c>
      <c r="BM1504" s="60" t="str">
        <f aca="false">IF(BD1504&lt;=0,"",IF(CG1504="Aussen","Aussenlager",IF(CG1504="-","Nicht im Lift",IF(BJ1504&gt;=1,"Lift",IF(BJ1504&lt;=0,"Aussenlager","teilweise")))))</f>
        <v>Lift</v>
      </c>
      <c r="BN1504" s="60" t="str">
        <f aca="false">IF(A1504="","",IF(BW1504=1,"Neu; ","")&amp;IF(AND(BW1504=0,BR1504&lt;0),"negativer Bestand (Export "&amp;BR1504&amp;"); ","")&amp;IF(J1504&lt;=0,"Kein Verbrauch; ","")&amp;IF(CR1504&gt;0,"Lift "&amp;W1504&amp;" lt. Liftbericht (Fach "&amp;X1504&amp;" Stk); ",IF(CB1504=1,"Gebinde geschätzt ("&amp;T1504&amp;"); ",IF(CA1504=1,"Lose – Tablare geschätzt; ","")))&amp;IF(H1504&gt;AW1504,"Überbestand "&amp;ROUND(H1504-AW1504,0)&amp;" Stk / CHF "&amp;ROUND((H1504-AW1504)*G1504,0)&amp;"; ","")&amp;IF(AND(CI1504=1,CJ1504&lt;CK1504),"MAX &lt; MB+LG; ","")&amp;IF(AND(CQ1504&gt;0,CP1504*10&gt;CQ1504),"zu hoch für Tablar; ","")&amp;IF(AND(BW1504=0,OR(CI1504=1,AB1504&lt;&gt;"",U1504&lt;&gt;"",V1504&lt;&gt;"",AC1504&lt;&gt;"")),"manuell übersteuert; ","")&amp;IF(AND(CA1504=0,R1504=0),"Gebinde unbekannt / Stellmass fehlt; ","")&amp;IF(AND(CA1504=0,N(V1504)&lt;=0,N(Q1504)&lt;=0),"Menge pro Gebinde fehlt (Ist = 1 Gebinde); ","")&amp;BV1504)</f>
        <v>Kein Verbrauch; nur im Artikelstamm (Bestand 23.06.2026); Überbestand</v>
      </c>
      <c r="BO1504" s="60"/>
      <c r="BP1504" s="60"/>
      <c r="BQ1504" s="67"/>
      <c r="BR1504" s="62" t="n">
        <v>10</v>
      </c>
      <c r="BS1504" s="62" t="n">
        <v>0</v>
      </c>
      <c r="BT1504" s="61" t="n">
        <v>0</v>
      </c>
      <c r="BU1504" s="62" t="n">
        <v>0</v>
      </c>
      <c r="BV1504" s="60" t="s">
        <v>2614</v>
      </c>
      <c r="BW1504" s="65" t="n">
        <v>0</v>
      </c>
      <c r="BX1504" s="65" t="n">
        <v>1504</v>
      </c>
      <c r="BY1504" s="60" t="str">
        <f aca="false">IF(U1504&lt;&gt;"",UPPER(TRIM(U1504)),IF(CB1504=1,UPPER(VLOOKUP(T1504,Parameter!$I$27:$K$29,2,0)),IF(P1504="","LOSE",P1504)))</f>
        <v>S33</v>
      </c>
      <c r="BZ1504" s="62" t="n">
        <f aca="false">IF(BY1504="LOSE",1,IF(N(V1504)&gt;0,V1504,IF(CB1504=1,MAX(1,N(VLOOKUP(T1504,Parameter!$I$27:$K$29,3,0)),H1504,N(N1504)),IF(N(Q1504)&gt;0,Q1504,MAX(1,H1504)))))</f>
        <v>10</v>
      </c>
      <c r="CA1504" s="65" t="n">
        <f aca="false">IF(BY1504="LOSE",1,0)</f>
        <v>0</v>
      </c>
      <c r="CB1504" s="65" t="n">
        <f aca="false">IF(AND(U1504="",OR(P1504="",P1504="LOSE"),T1504&lt;&gt;"",N(S1504)&lt;=0,ISNUMBER(MATCH(T1504,Parameter!$I$27:$I$29,0))),1,0)</f>
        <v>0</v>
      </c>
      <c r="CC1504" s="65" t="n">
        <f aca="false">IF(CR1504&gt;0,INDEX(Parameter!$H$5:$H$7,W1504)/INDEX(Parameter!$E$5:$E$7,W1504),IF(AND(CA1504=0,N(IFERROR(VLOOKUP(BY1504,'Gebinde-Kategorie'!$A$5:$N$45,14,0),0))&gt;0),VLOOKUP(BY1504,'Gebinde-Kategorie'!$A$5:$N$45,14,0)*10+Parameter!$M$23,Parameter!$M$24))</f>
        <v>155</v>
      </c>
      <c r="CD1504" s="60" t="str">
        <f aca="false">IF(AND(Parameter!$B$19="Ja",E1504&lt;&gt;"",ISNUMBER(MATCH(E1504,Parameter!$I$35:$I$52,0))),VLOOKUP(E1504,Parameter!$I$35:$J$52,2,0),IFERROR(VLOOKUP(D1504,Parameter!$A$35:$C$64,2,0),"Nein"))</f>
        <v>2+3</v>
      </c>
      <c r="CE1504" s="64" t="n">
        <f aca="false">IF(CA1504=0,0,IF(N(S1504)&gt;0,S1504,IFERROR(VLOOKUP(D1504,Parameter!$A$35:$C$64,3,0)+0,0)))</f>
        <v>0</v>
      </c>
      <c r="CF1504" s="60" t="n">
        <f aca="false">IF(AB1504&lt;&gt;"",AB1504,AA1504)</f>
        <v>3</v>
      </c>
      <c r="CG1504" s="60" t="str">
        <f aca="false">IF(OR(CF1504=1,CF1504=2,CF1504=3),IF(Parameter!$E$27="Ja","LIFT",IF(CF1504=1,"L1","L23")),IF(CF1504="Aussen","Aussen","-"))</f>
        <v>LIFT</v>
      </c>
      <c r="CH1504" s="71" t="n">
        <f aca="false">IF(N(AC1504)&gt;0,AC1504,0)</f>
        <v>0</v>
      </c>
      <c r="CI1504" s="65" t="n">
        <f aca="false">IF(ISNUMBER(AF1504),1,0)</f>
        <v>0</v>
      </c>
      <c r="CJ1504" s="62" t="n">
        <f aca="false">N(AF1504)</f>
        <v>0</v>
      </c>
      <c r="CK1504" s="62" t="n">
        <f aca="false">N(M1504)+N(N1504)</f>
        <v>10</v>
      </c>
      <c r="CL1504" s="62" t="n">
        <f aca="false">N(M1504)</f>
        <v>0</v>
      </c>
      <c r="CM1504" s="62" t="n">
        <f aca="false">N(N1504)</f>
        <v>10</v>
      </c>
      <c r="CN1504" s="62" t="n">
        <f aca="false">ROUNDUP(H1504/BZ1504,0)</f>
        <v>1</v>
      </c>
      <c r="CO1504" s="62" t="n">
        <f aca="false">ROUNDUP(CJ1504/BZ1504,0)</f>
        <v>0</v>
      </c>
      <c r="CP1504" s="65" t="n">
        <f aca="false">IF(CA1504=1,0,IFERROR(VLOOKUP(BY1504,'Gebinde-Kategorie'!$A$5:$N$45,5,0)+0,0))</f>
        <v>8</v>
      </c>
      <c r="CQ1504" s="65" t="n">
        <f aca="false">IFERROR(IF(OR(CF1504=1,CF1504=2,CF1504=3),N(INDEX(Parameter!$I$5:$I$7,CF1504)),0),0)</f>
        <v>0</v>
      </c>
      <c r="CR1504" s="64" t="n">
        <f aca="false">IF(AND(Parameter!$B$21="Ja",ISNUMBER(W1504),N(X1504)&gt;0),IFERROR(N(INDEX(Parameter!$L$5:$L$7,W1504))*INDEX(Parameter!$E$5:$E$7,W1504)*X1504/SUMIFS($X$7:$X$1843,$W$7:$W$1843,W1504),0),0)</f>
        <v>0</v>
      </c>
      <c r="CS1504" s="62" t="n">
        <f aca="false">IF(AND(OR(CG1504="L1",CG1504="L23",CG1504="LIFT"),H1504&gt;0),CC1504*IF(CR1504&gt;0,CR1504*MAX(1,H1504/X1504),IF(CA1504=1,CE1504,IF(R1504&gt;0,CN1504/R1504,0))/MAX(0.1,N(Parameter!$M$21))),"")</f>
        <v>2.98076923076923</v>
      </c>
      <c r="CT1504" s="64" t="n">
        <f aca="false">IF(CS1504="","",J1504/H1504)</f>
        <v>0</v>
      </c>
      <c r="CU1504" s="62" t="n">
        <f aca="false">IF(CS1504="","",H1504*G1504)</f>
        <v>438</v>
      </c>
      <c r="CV1504" s="63" t="n">
        <f aca="false">IF(CS1504="","",(CL1504+ROUNDUP(CL1504+MAX(CM1504,2*(J1504/MAX(0.1,N(Einkauf!$C$6))-CL1504)),0))/2)</f>
        <v>5</v>
      </c>
      <c r="CW1504" s="62" t="n">
        <f aca="false">IF(CS1504="","",MAX(0,H1504-CV1504)*G1504)</f>
        <v>219</v>
      </c>
      <c r="CX1504" s="62" t="n">
        <f aca="false">IF(CS1504="","",CS1504*MAX(0,1-CV1504/H1504))</f>
        <v>1.49038461538462</v>
      </c>
      <c r="CY1504" s="64" t="n">
        <f aca="false">IF(CS1504="","",PERCENTRANK($CS$7:$CS$1843,CS1504)+PERCENTRANK($CU$7:$CU$1843,CU1504)+1-PERCENTRANK($CT$7:$CT$1843,CT1504))</f>
        <v>1.703</v>
      </c>
      <c r="CZ1504" s="72" t="n">
        <f aca="false">IF(CS1504="","",CHOOSE(MATCH(Einkauf!$C$5,Parameter!$G$23:$G$27,0),CY1504,CS1504,CU1504,-CT1504,CW1504)+ROW()/1000000000)</f>
        <v>1.703001504</v>
      </c>
    </row>
    <row r="1505" customFormat="false" ht="15" hidden="false" customHeight="false" outlineLevel="0" collapsed="false">
      <c r="A1505" s="60" t="s">
        <v>2674</v>
      </c>
      <c r="B1505" s="60" t="s">
        <v>1332</v>
      </c>
      <c r="C1505" s="60" t="s">
        <v>206</v>
      </c>
      <c r="D1505" s="60" t="s">
        <v>226</v>
      </c>
      <c r="E1505" s="60" t="s">
        <v>227</v>
      </c>
      <c r="F1505" s="60"/>
      <c r="G1505" s="61" t="n">
        <v>0.43</v>
      </c>
      <c r="H1505" s="62" t="n">
        <f aca="false">MAX(0,IF(AND(Parameter!$B$21="Ja",ISNUMBER(Y1505)),Y1505,IF(Parameter!$B$20="Jahresanfang 2025 + Export",BS1505+BR1505,BR1505)))</f>
        <v>643</v>
      </c>
      <c r="I1505" s="62" t="n">
        <f aca="false">H1505*G1505</f>
        <v>276.49</v>
      </c>
      <c r="J1505" s="62" t="n">
        <f aca="false">BU1505*Parameter!$B$18</f>
        <v>0</v>
      </c>
      <c r="K1505" s="63"/>
      <c r="L1505" s="64"/>
      <c r="M1505" s="62" t="n">
        <v>0</v>
      </c>
      <c r="N1505" s="62" t="n">
        <v>500</v>
      </c>
      <c r="O1505" s="65" t="n">
        <v>21</v>
      </c>
      <c r="P1505" s="60" t="s">
        <v>344</v>
      </c>
      <c r="Q1505" s="62" t="n">
        <v>643</v>
      </c>
      <c r="R1505" s="65" t="n">
        <f aca="false">IF(CA1505=1,0,IFERROR(VLOOKUP(BY1505,'Gebinde-Kategorie'!$A$5:$N$45,13,0)+0,0))</f>
        <v>26</v>
      </c>
      <c r="S1505" s="66"/>
      <c r="T1505" s="67"/>
      <c r="U1505" s="67"/>
      <c r="V1505" s="67"/>
      <c r="W1505" s="60"/>
      <c r="X1505" s="62"/>
      <c r="Y1505" s="62"/>
      <c r="Z1505" s="60" t="n">
        <v>3</v>
      </c>
      <c r="AA1505" s="60" t="n">
        <f aca="false">IF(A1505="","",IF(AND(Parameter!$B$21="Ja",ISNUMBER(W1505)),W1505,IF(AND(Parameter!$E$27="Ja",ISNUMBER(Z1505),CD1505&lt;&gt;"Nein"),Z1505,IF(CD1505="2+3",IF(ISNUMBER(SEARCH("grosser Artikel",BV1505)),2,IFERROR(VLOOKUP(BY1505,Parameter!$F$35:$G$64,2,0),2)),IF(OR(CD1505="Nein",CD1505=""),"-",CD1505)))))</f>
        <v>3</v>
      </c>
      <c r="AB1505" s="67"/>
      <c r="AC1505" s="68"/>
      <c r="AD1505" s="62" t="n">
        <f aca="false">AW1505</f>
        <v>500</v>
      </c>
      <c r="AE1505" s="62" t="n">
        <f aca="false">MAX(AW1505,H1505)</f>
        <v>643</v>
      </c>
      <c r="AF1505" s="69"/>
      <c r="AG1505" s="62" t="n">
        <f aca="false">IF(LEFT(Cockpit!$C$5,1)="A",H1505,IF(Parameter!$E$30="MAX-Bestand",IF(CI1505=1,CJ1505,IF(LEFT(Cockpit!$C$5,1)="B",AM1505,MAX(AM1505,H1505))),ROUNDUP(AK1505,0)))</f>
        <v>643</v>
      </c>
      <c r="AH1505" s="62" t="n">
        <f aca="false">IF(CA1505=1,0,ROUNDUP(AG1505/BZ1505,0))</f>
        <v>1</v>
      </c>
      <c r="AI1505" s="64" t="n">
        <f aca="false">IF(CR1505&gt;0,CR1505*MAX(1,AG1505/X1505),IF(CA1505=1,IF(AG1505&lt;=0,0,CE1505*MAX(1,IF(H1505&gt;0,AG1505/H1505,1))),IF(R1505&gt;0,AH1505/R1505,0))/MAX(0.1,N(Parameter!$M$21)))</f>
        <v>0.0384615384615385</v>
      </c>
      <c r="AJ1505" s="62" t="n">
        <f aca="false">AI1505*CC1505</f>
        <v>5.96153846153846</v>
      </c>
      <c r="AK1505" s="63" t="n">
        <f aca="false">IF(LEFT(Cockpit!$C$5,1)="A",H1505,IF(CI1505=1,(CL1505+CJ1505)/2,IF(LEFT(Cockpit!$C$5,1)="B",(CL1505+AM1505)/2,MAX((CL1505+AM1505)/2,H1505))))</f>
        <v>643</v>
      </c>
      <c r="AL1505" s="62" t="n">
        <f aca="false">AK1505*G1505</f>
        <v>276.49</v>
      </c>
      <c r="AM1505" s="62" t="n">
        <f aca="false">ROUNDUP(CL1505+MAX(CM1505,2*(J1505/IF(CH1505&gt;0,CH1505,MAX(0.1,N(Cockpit!$C$6)))-CL1505)),0)</f>
        <v>500</v>
      </c>
      <c r="AN1505" s="63" t="n">
        <f aca="false">IF(AJ1505&gt;0,J1505/AJ1505,-1)</f>
        <v>0</v>
      </c>
      <c r="AO1505" s="63" t="n">
        <f aca="false">IF(AND(OR(CG1505="L1",CG1505="L23",CG1505="LIFT"),AJ1505&gt;0),SUMIFS($AJ$7:$AJ$1843,$CG$7:$CG$1843,CG1505,$AN$7:$AN$1843,"&gt;"&amp;AN1505)+SUMIFS($AJ$7:$AJ$1843,$CG$7:$CG$1843,CG1505,$AN$7:$AN$1843,AN1505,$BX$7:$BX$1843,"&lt;="&amp;BX1505),"")</f>
        <v>29899.1179870036</v>
      </c>
      <c r="AP1505" s="70" t="n">
        <f aca="false">IF(AO1505="",0,MAX(0,MIN(1,(IF(CG1505="L1",Parameter!$H$5,IF(CG1505="L23",Parameter!$H$6+Parameter!$H$7,Parameter!$H$5+Parameter!$H$6+Parameter!$H$7))-(AO1505-AJ1505))/AJ1505)))</f>
        <v>1</v>
      </c>
      <c r="AQ1505" s="62" t="n">
        <f aca="false">IF(LEFT(Cockpit!$I$5,1)="A",H1505,IF(Parameter!$E$30="MAX-Bestand",IF(CI1505=1,CJ1505,IF(LEFT(Cockpit!$I$5,1)="B",AW1505,MAX(AW1505,H1505))),ROUNDUP(AU1505,0)))</f>
        <v>643</v>
      </c>
      <c r="AR1505" s="62" t="n">
        <f aca="false">IF(CA1505=1,0,ROUNDUP(AQ1505/BZ1505,0))</f>
        <v>1</v>
      </c>
      <c r="AS1505" s="64" t="n">
        <f aca="false">IF(CR1505&gt;0,CR1505*MAX(1,AQ1505/X1505),IF(CA1505=1,IF(AQ1505&lt;=0,0,CE1505*MAX(1,IF(H1505&gt;0,AQ1505/H1505,1))),IF(R1505&gt;0,AR1505/R1505,0))/MAX(0.1,N(Parameter!$M$21)))</f>
        <v>0.0384615384615385</v>
      </c>
      <c r="AT1505" s="62" t="n">
        <f aca="false">AS1505*CC1505</f>
        <v>5.96153846153846</v>
      </c>
      <c r="AU1505" s="63" t="n">
        <f aca="false">IF(LEFT(Cockpit!$I$5,1)="A",H1505,IF(CI1505=1,(CL1505+CJ1505)/2,IF(LEFT(Cockpit!$I$5,1)="B",(CL1505+AW1505)/2,MAX((CL1505+AW1505)/2,H1505))))</f>
        <v>643</v>
      </c>
      <c r="AV1505" s="62" t="n">
        <f aca="false">AU1505*G1505</f>
        <v>276.49</v>
      </c>
      <c r="AW1505" s="62" t="n">
        <f aca="false">ROUNDUP(CL1505+MAX(CM1505,2*(J1505/IF(CH1505&gt;0,CH1505,MAX(0.1,N(Cockpit!$I$6)))-CL1505)),0)</f>
        <v>500</v>
      </c>
      <c r="AX1505" s="63" t="n">
        <f aca="false">IF(AT1505&gt;0,J1505/AT1505,-1)</f>
        <v>0</v>
      </c>
      <c r="AY1505" s="63" t="n">
        <f aca="false">IF(AND(OR(CG1505="L1",CG1505="L23",CG1505="LIFT"),AT1505&gt;0),SUMIFS($AT$7:$AT$1843,$CG$7:$CG$1843,CG1505,$AX$7:$AX$1843,"&gt;"&amp;AX1505)+SUMIFS($AT$7:$AT$1843,$CG$7:$CG$1843,CG1505,$AX$7:$AX$1843,AX1505,$BX$7:$BX$1843,"&lt;="&amp;BX1505),"")</f>
        <v>36205.6887895532</v>
      </c>
      <c r="AZ1505" s="70" t="n">
        <f aca="false">IF(AY1505="",0,MAX(0,MIN(1,(IF(CG1505="L1",Parameter!$H$5,IF(CG1505="L23",Parameter!$H$6+Parameter!$H$7,Parameter!$H$5+Parameter!$H$6+Parameter!$H$7))-(AY1505-AT1505))/AT1505)))</f>
        <v>0</v>
      </c>
      <c r="BA1505" s="62" t="n">
        <f aca="false">IF(LEFT(Cockpit!$O$5,1)="A",H1505,IF(Parameter!$E$30="MAX-Bestand",IF(CI1505=1,CJ1505,IF(LEFT(Cockpit!$O$5,1)="B",BG1505,MAX(BG1505,H1505))),ROUNDUP(BE1505,0)))</f>
        <v>250</v>
      </c>
      <c r="BB1505" s="62" t="n">
        <f aca="false">IF(CA1505=1,0,ROUNDUP(BA1505/BZ1505,0))</f>
        <v>1</v>
      </c>
      <c r="BC1505" s="64" t="n">
        <f aca="false">IF(CR1505&gt;0,CR1505*MAX(1,BA1505/X1505),IF(CA1505=1,IF(BA1505&lt;=0,0,CE1505*MAX(1,IF(H1505&gt;0,BA1505/H1505,1))),IF(R1505&gt;0,BB1505/R1505,0))/MAX(0.1,N(Parameter!$M$21)))</f>
        <v>0.0384615384615385</v>
      </c>
      <c r="BD1505" s="62" t="n">
        <f aca="false">BC1505*CC1505</f>
        <v>5.96153846153846</v>
      </c>
      <c r="BE1505" s="63" t="n">
        <f aca="false">IF(LEFT(Cockpit!$O$5,1)="A",H1505,IF(CI1505=1,(CL1505+CJ1505)/2,IF(LEFT(Cockpit!$O$5,1)="B",(CL1505+BG1505)/2,MAX((CL1505+BG1505)/2,H1505))))</f>
        <v>250</v>
      </c>
      <c r="BF1505" s="62" t="n">
        <f aca="false">BE1505*G1505</f>
        <v>107.5</v>
      </c>
      <c r="BG1505" s="62" t="n">
        <f aca="false">ROUNDUP(CL1505+MAX(CM1505,2*(J1505/IF(CH1505&gt;0,CH1505,MAX(0.1,N(Cockpit!$O$6)))-CL1505)),0)</f>
        <v>500</v>
      </c>
      <c r="BH1505" s="63" t="n">
        <f aca="false">IF(BD1505&gt;0,J1505/BD1505,-1)</f>
        <v>0</v>
      </c>
      <c r="BI1505" s="63" t="n">
        <f aca="false">IF(AND(OR(CG1505="L1",CG1505="L23",CG1505="LIFT"),BD1505&gt;0),SUMIFS($BD$7:$BD$1843,$CG$7:$CG$1843,CG1505,$BH$7:$BH$1843,"&gt;"&amp;BH1505)+SUMIFS($BD$7:$BD$1843,$CG$7:$CG$1843,CG1505,$BH$7:$BH$1843,BH1505,$BX$7:$BX$1843,"&lt;="&amp;BX1505),"")</f>
        <v>30143.8800650856</v>
      </c>
      <c r="BJ1505" s="70" t="n">
        <f aca="false">IF(BI1505="",0,MAX(0,MIN(1,(IF(CG1505="L1",Parameter!$H$5,IF(CG1505="L23",Parameter!$H$6+Parameter!$H$7,Parameter!$H$5+Parameter!$H$6+Parameter!$H$7))-(BI1505-BD1505))/BD1505)))</f>
        <v>1</v>
      </c>
      <c r="BK1505" s="60" t="str">
        <f aca="false">IF(AJ1505&lt;=0,"",IF(CG1505="Aussen","Aussenlager",IF(CG1505="-","Nicht im Lift",IF(AP1505&gt;=1,"Lift",IF(AP1505&lt;=0,"Aussenlager","teilweise")))))</f>
        <v>Lift</v>
      </c>
      <c r="BL1505" s="60" t="str">
        <f aca="false">IF(AT1505&lt;=0,"",IF(CG1505="Aussen","Aussenlager",IF(CG1505="-","Nicht im Lift",IF(AZ1505&gt;=1,"Lift",IF(AZ1505&lt;=0,"Aussenlager","teilweise")))))</f>
        <v>Aussenlager</v>
      </c>
      <c r="BM1505" s="60" t="str">
        <f aca="false">IF(BD1505&lt;=0,"",IF(CG1505="Aussen","Aussenlager",IF(CG1505="-","Nicht im Lift",IF(BJ1505&gt;=1,"Lift",IF(BJ1505&lt;=0,"Aussenlager","teilweise")))))</f>
        <v>Lift</v>
      </c>
      <c r="BN1505" s="60" t="str">
        <f aca="false">IF(A1505="","",IF(BW1505=1,"Neu; ","")&amp;IF(AND(BW1505=0,BR1505&lt;0),"negativer Bestand (Export "&amp;BR1505&amp;"); ","")&amp;IF(J1505&lt;=0,"Kein Verbrauch; ","")&amp;IF(CR1505&gt;0,"Lift "&amp;W1505&amp;" lt. Liftbericht (Fach "&amp;X1505&amp;" Stk); ",IF(CB1505=1,"Gebinde geschätzt ("&amp;T1505&amp;"); ",IF(CA1505=1,"Lose – Tablare geschätzt; ","")))&amp;IF(H1505&gt;AW1505,"Überbestand "&amp;ROUND(H1505-AW1505,0)&amp;" Stk / CHF "&amp;ROUND((H1505-AW1505)*G1505,0)&amp;"; ","")&amp;IF(AND(CI1505=1,CJ1505&lt;CK1505),"MAX &lt; MB+LG; ","")&amp;IF(AND(CQ1505&gt;0,CP1505*10&gt;CQ1505),"zu hoch für Tablar; ","")&amp;IF(AND(BW1505=0,OR(CI1505=1,AB1505&lt;&gt;"",U1505&lt;&gt;"",V1505&lt;&gt;"",AC1505&lt;&gt;"")),"manuell übersteuert; ","")&amp;IF(AND(CA1505=0,R1505=0),"Gebinde unbekannt / Stellmass fehlt; ","")&amp;IF(AND(CA1505=0,N(V1505)&lt;=0,N(Q1505)&lt;=0),"Menge pro Gebinde fehlt (Ist = 1 Gebinde); ","")&amp;BV1505)</f>
        <v>Kein Verbrauch; Überbestand 143 Stk / CHF 61; nur im Artikelstamm (Bestand 23.06.2026); Handlager</v>
      </c>
      <c r="BO1505" s="60"/>
      <c r="BP1505" s="60"/>
      <c r="BQ1505" s="67"/>
      <c r="BR1505" s="62" t="n">
        <v>643</v>
      </c>
      <c r="BS1505" s="62" t="n">
        <v>0</v>
      </c>
      <c r="BT1505" s="61" t="n">
        <v>0</v>
      </c>
      <c r="BU1505" s="62" t="n">
        <v>0</v>
      </c>
      <c r="BV1505" s="60" t="s">
        <v>2675</v>
      </c>
      <c r="BW1505" s="65" t="n">
        <v>0</v>
      </c>
      <c r="BX1505" s="65" t="n">
        <v>1505</v>
      </c>
      <c r="BY1505" s="60" t="str">
        <f aca="false">IF(U1505&lt;&gt;"",UPPER(TRIM(U1505)),IF(CB1505=1,UPPER(VLOOKUP(T1505,Parameter!$I$27:$K$29,2,0)),IF(P1505="","LOSE",P1505)))</f>
        <v>S51</v>
      </c>
      <c r="BZ1505" s="62" t="n">
        <f aca="false">IF(BY1505="LOSE",1,IF(N(V1505)&gt;0,V1505,IF(CB1505=1,MAX(1,N(VLOOKUP(T1505,Parameter!$I$27:$K$29,3,0)),H1505,N(N1505)),IF(N(Q1505)&gt;0,Q1505,MAX(1,H1505)))))</f>
        <v>643</v>
      </c>
      <c r="CA1505" s="65" t="n">
        <f aca="false">IF(BY1505="LOSE",1,0)</f>
        <v>0</v>
      </c>
      <c r="CB1505" s="65" t="n">
        <f aca="false">IF(AND(U1505="",OR(P1505="",P1505="LOSE"),T1505&lt;&gt;"",N(S1505)&lt;=0,ISNUMBER(MATCH(T1505,Parameter!$I$27:$I$29,0))),1,0)</f>
        <v>0</v>
      </c>
      <c r="CC1505" s="65" t="n">
        <f aca="false">IF(CR1505&gt;0,INDEX(Parameter!$H$5:$H$7,W1505)/INDEX(Parameter!$E$5:$E$7,W1505),IF(AND(CA1505=0,N(IFERROR(VLOOKUP(BY1505,'Gebinde-Kategorie'!$A$5:$N$45,14,0),0))&gt;0),VLOOKUP(BY1505,'Gebinde-Kategorie'!$A$5:$N$45,14,0)*10+Parameter!$M$23,Parameter!$M$24))</f>
        <v>155</v>
      </c>
      <c r="CD1505" s="60" t="str">
        <f aca="false">IF(AND(Parameter!$B$19="Ja",E1505&lt;&gt;"",ISNUMBER(MATCH(E1505,Parameter!$I$35:$I$52,0))),VLOOKUP(E1505,Parameter!$I$35:$J$52,2,0),IFERROR(VLOOKUP(D1505,Parameter!$A$35:$C$64,2,0),"Nein"))</f>
        <v>2+3</v>
      </c>
      <c r="CE1505" s="64" t="n">
        <f aca="false">IF(CA1505=0,0,IF(N(S1505)&gt;0,S1505,IFERROR(VLOOKUP(D1505,Parameter!$A$35:$C$64,3,0)+0,0)))</f>
        <v>0</v>
      </c>
      <c r="CF1505" s="60" t="n">
        <f aca="false">IF(AB1505&lt;&gt;"",AB1505,AA1505)</f>
        <v>3</v>
      </c>
      <c r="CG1505" s="60" t="str">
        <f aca="false">IF(OR(CF1505=1,CF1505=2,CF1505=3),IF(Parameter!$E$27="Ja","LIFT",IF(CF1505=1,"L1","L23")),IF(CF1505="Aussen","Aussen","-"))</f>
        <v>LIFT</v>
      </c>
      <c r="CH1505" s="71" t="n">
        <f aca="false">IF(N(AC1505)&gt;0,AC1505,0)</f>
        <v>0</v>
      </c>
      <c r="CI1505" s="65" t="n">
        <f aca="false">IF(ISNUMBER(AF1505),1,0)</f>
        <v>0</v>
      </c>
      <c r="CJ1505" s="62" t="n">
        <f aca="false">N(AF1505)</f>
        <v>0</v>
      </c>
      <c r="CK1505" s="62" t="n">
        <f aca="false">N(M1505)+N(N1505)</f>
        <v>500</v>
      </c>
      <c r="CL1505" s="62" t="n">
        <f aca="false">N(M1505)</f>
        <v>0</v>
      </c>
      <c r="CM1505" s="62" t="n">
        <f aca="false">N(N1505)</f>
        <v>500</v>
      </c>
      <c r="CN1505" s="62" t="n">
        <f aca="false">ROUNDUP(H1505/BZ1505,0)</f>
        <v>1</v>
      </c>
      <c r="CO1505" s="62" t="n">
        <f aca="false">ROUNDUP(CJ1505/BZ1505,0)</f>
        <v>0</v>
      </c>
      <c r="CP1505" s="65" t="n">
        <f aca="false">IF(CA1505=1,0,IFERROR(VLOOKUP(BY1505,'Gebinde-Kategorie'!$A$5:$N$45,5,0)+0,0))</f>
        <v>11</v>
      </c>
      <c r="CQ1505" s="65" t="n">
        <f aca="false">IFERROR(IF(OR(CF1505=1,CF1505=2,CF1505=3),N(INDEX(Parameter!$I$5:$I$7,CF1505)),0),0)</f>
        <v>0</v>
      </c>
      <c r="CR1505" s="64" t="n">
        <f aca="false">IF(AND(Parameter!$B$21="Ja",ISNUMBER(W1505),N(X1505)&gt;0),IFERROR(N(INDEX(Parameter!$L$5:$L$7,W1505))*INDEX(Parameter!$E$5:$E$7,W1505)*X1505/SUMIFS($X$7:$X$1843,$W$7:$W$1843,W1505),0),0)</f>
        <v>0</v>
      </c>
      <c r="CS1505" s="62" t="n">
        <f aca="false">IF(AND(OR(CG1505="L1",CG1505="L23",CG1505="LIFT"),H1505&gt;0),CC1505*IF(CR1505&gt;0,CR1505*MAX(1,H1505/X1505),IF(CA1505=1,CE1505,IF(R1505&gt;0,CN1505/R1505,0))/MAX(0.1,N(Parameter!$M$21))),"")</f>
        <v>5.96153846153846</v>
      </c>
      <c r="CT1505" s="64" t="n">
        <f aca="false">IF(CS1505="","",J1505/H1505)</f>
        <v>0</v>
      </c>
      <c r="CU1505" s="62" t="n">
        <f aca="false">IF(CS1505="","",H1505*G1505)</f>
        <v>276.49</v>
      </c>
      <c r="CV1505" s="63" t="n">
        <f aca="false">IF(CS1505="","",(CL1505+ROUNDUP(CL1505+MAX(CM1505,2*(J1505/MAX(0.1,N(Einkauf!$C$6))-CL1505)),0))/2)</f>
        <v>250</v>
      </c>
      <c r="CW1505" s="62" t="n">
        <f aca="false">IF(CS1505="","",MAX(0,H1505-CV1505)*G1505)</f>
        <v>168.99</v>
      </c>
      <c r="CX1505" s="62" t="n">
        <f aca="false">IF(CS1505="","",CS1505*MAX(0,1-CV1505/H1505))</f>
        <v>3.64367747338198</v>
      </c>
      <c r="CY1505" s="64" t="n">
        <f aca="false">IF(CS1505="","",PERCENTRANK($CS$7:$CS$1843,CS1505)+PERCENTRANK($CU$7:$CU$1843,CU1505)+1-PERCENTRANK($CT$7:$CT$1843,CT1505))</f>
        <v>1.757</v>
      </c>
      <c r="CZ1505" s="72" t="n">
        <f aca="false">IF(CS1505="","",CHOOSE(MATCH(Einkauf!$C$5,Parameter!$G$23:$G$27,0),CY1505,CS1505,CU1505,-CT1505,CW1505)+ROW()/1000000000)</f>
        <v>1.757001505</v>
      </c>
    </row>
    <row r="1506" customFormat="false" ht="15" hidden="false" customHeight="false" outlineLevel="0" collapsed="false">
      <c r="A1506" s="60" t="s">
        <v>2676</v>
      </c>
      <c r="B1506" s="60" t="s">
        <v>2677</v>
      </c>
      <c r="C1506" s="60" t="s">
        <v>206</v>
      </c>
      <c r="D1506" s="60" t="s">
        <v>226</v>
      </c>
      <c r="E1506" s="60" t="s">
        <v>227</v>
      </c>
      <c r="F1506" s="60"/>
      <c r="G1506" s="61" t="n">
        <v>333.8</v>
      </c>
      <c r="H1506" s="62" t="n">
        <f aca="false">MAX(0,IF(AND(Parameter!$B$21="Ja",ISNUMBER(Y1506)),Y1506,IF(Parameter!$B$20="Jahresanfang 2025 + Export",BS1506+BR1506,BR1506)))</f>
        <v>17</v>
      </c>
      <c r="I1506" s="62" t="n">
        <f aca="false">H1506*G1506</f>
        <v>5674.6</v>
      </c>
      <c r="J1506" s="62" t="n">
        <f aca="false">BU1506*Parameter!$B$18</f>
        <v>0</v>
      </c>
      <c r="K1506" s="63"/>
      <c r="L1506" s="64"/>
      <c r="M1506" s="62" t="n">
        <v>0</v>
      </c>
      <c r="N1506" s="62" t="n">
        <v>10</v>
      </c>
      <c r="O1506" s="65" t="n">
        <v>28</v>
      </c>
      <c r="P1506" s="60" t="s">
        <v>275</v>
      </c>
      <c r="Q1506" s="62" t="n">
        <v>17</v>
      </c>
      <c r="R1506" s="65" t="n">
        <f aca="false">IF(CA1506=1,0,IFERROR(VLOOKUP(BY1506,'Gebinde-Kategorie'!$A$5:$N$45,13,0)+0,0))</f>
        <v>26</v>
      </c>
      <c r="S1506" s="66"/>
      <c r="T1506" s="67"/>
      <c r="U1506" s="67"/>
      <c r="V1506" s="67"/>
      <c r="W1506" s="60"/>
      <c r="X1506" s="62"/>
      <c r="Y1506" s="62"/>
      <c r="Z1506" s="60" t="n">
        <v>3</v>
      </c>
      <c r="AA1506" s="60" t="n">
        <f aca="false">IF(A1506="","",IF(AND(Parameter!$B$21="Ja",ISNUMBER(W1506)),W1506,IF(AND(Parameter!$E$27="Ja",ISNUMBER(Z1506),CD1506&lt;&gt;"Nein"),Z1506,IF(CD1506="2+3",IF(ISNUMBER(SEARCH("grosser Artikel",BV1506)),2,IFERROR(VLOOKUP(BY1506,Parameter!$F$35:$G$64,2,0),2)),IF(OR(CD1506="Nein",CD1506=""),"-",CD1506)))))</f>
        <v>3</v>
      </c>
      <c r="AB1506" s="67"/>
      <c r="AC1506" s="68"/>
      <c r="AD1506" s="62" t="n">
        <f aca="false">AW1506</f>
        <v>10</v>
      </c>
      <c r="AE1506" s="62" t="n">
        <f aca="false">MAX(AW1506,H1506)</f>
        <v>17</v>
      </c>
      <c r="AF1506" s="69"/>
      <c r="AG1506" s="62" t="n">
        <f aca="false">IF(LEFT(Cockpit!$C$5,1)="A",H1506,IF(Parameter!$E$30="MAX-Bestand",IF(CI1506=1,CJ1506,IF(LEFT(Cockpit!$C$5,1)="B",AM1506,MAX(AM1506,H1506))),ROUNDUP(AK1506,0)))</f>
        <v>17</v>
      </c>
      <c r="AH1506" s="62" t="n">
        <f aca="false">IF(CA1506=1,0,ROUNDUP(AG1506/BZ1506,0))</f>
        <v>1</v>
      </c>
      <c r="AI1506" s="64" t="n">
        <f aca="false">IF(CR1506&gt;0,CR1506*MAX(1,AG1506/X1506),IF(CA1506=1,IF(AG1506&lt;=0,0,CE1506*MAX(1,IF(H1506&gt;0,AG1506/H1506,1))),IF(R1506&gt;0,AH1506/R1506,0))/MAX(0.1,N(Parameter!$M$21)))</f>
        <v>0.0384615384615385</v>
      </c>
      <c r="AJ1506" s="62" t="n">
        <f aca="false">AI1506*CC1506</f>
        <v>9.42307692307692</v>
      </c>
      <c r="AK1506" s="63" t="n">
        <f aca="false">IF(LEFT(Cockpit!$C$5,1)="A",H1506,IF(CI1506=1,(CL1506+CJ1506)/2,IF(LEFT(Cockpit!$C$5,1)="B",(CL1506+AM1506)/2,MAX((CL1506+AM1506)/2,H1506))))</f>
        <v>17</v>
      </c>
      <c r="AL1506" s="62" t="n">
        <f aca="false">AK1506*G1506</f>
        <v>5674.6</v>
      </c>
      <c r="AM1506" s="62" t="n">
        <f aca="false">ROUNDUP(CL1506+MAX(CM1506,2*(J1506/IF(CH1506&gt;0,CH1506,MAX(0.1,N(Cockpit!$C$6)))-CL1506)),0)</f>
        <v>10</v>
      </c>
      <c r="AN1506" s="63" t="n">
        <f aca="false">IF(AJ1506&gt;0,J1506/AJ1506,-1)</f>
        <v>0</v>
      </c>
      <c r="AO1506" s="63" t="n">
        <f aca="false">IF(AND(OR(CG1506="L1",CG1506="L23",CG1506="LIFT"),AJ1506&gt;0),SUMIFS($AJ$7:$AJ$1843,$CG$7:$CG$1843,CG1506,$AN$7:$AN$1843,"&gt;"&amp;AN1506)+SUMIFS($AJ$7:$AJ$1843,$CG$7:$CG$1843,CG1506,$AN$7:$AN$1843,AN1506,$BX$7:$BX$1843,"&lt;="&amp;BX1506),"")</f>
        <v>29908.5410639267</v>
      </c>
      <c r="AP1506" s="70" t="n">
        <f aca="false">IF(AO1506="",0,MAX(0,MIN(1,(IF(CG1506="L1",Parameter!$H$5,IF(CG1506="L23",Parameter!$H$6+Parameter!$H$7,Parameter!$H$5+Parameter!$H$6+Parameter!$H$7))-(AO1506-AJ1506))/AJ1506)))</f>
        <v>1</v>
      </c>
      <c r="AQ1506" s="62" t="n">
        <f aca="false">IF(LEFT(Cockpit!$I$5,1)="A",H1506,IF(Parameter!$E$30="MAX-Bestand",IF(CI1506=1,CJ1506,IF(LEFT(Cockpit!$I$5,1)="B",AW1506,MAX(AW1506,H1506))),ROUNDUP(AU1506,0)))</f>
        <v>17</v>
      </c>
      <c r="AR1506" s="62" t="n">
        <f aca="false">IF(CA1506=1,0,ROUNDUP(AQ1506/BZ1506,0))</f>
        <v>1</v>
      </c>
      <c r="AS1506" s="64" t="n">
        <f aca="false">IF(CR1506&gt;0,CR1506*MAX(1,AQ1506/X1506),IF(CA1506=1,IF(AQ1506&lt;=0,0,CE1506*MAX(1,IF(H1506&gt;0,AQ1506/H1506,1))),IF(R1506&gt;0,AR1506/R1506,0))/MAX(0.1,N(Parameter!$M$21)))</f>
        <v>0.0384615384615385</v>
      </c>
      <c r="AT1506" s="62" t="n">
        <f aca="false">AS1506*CC1506</f>
        <v>9.42307692307692</v>
      </c>
      <c r="AU1506" s="63" t="n">
        <f aca="false">IF(LEFT(Cockpit!$I$5,1)="A",H1506,IF(CI1506=1,(CL1506+CJ1506)/2,IF(LEFT(Cockpit!$I$5,1)="B",(CL1506+AW1506)/2,MAX((CL1506+AW1506)/2,H1506))))</f>
        <v>17</v>
      </c>
      <c r="AV1506" s="62" t="n">
        <f aca="false">AU1506*G1506</f>
        <v>5674.6</v>
      </c>
      <c r="AW1506" s="62" t="n">
        <f aca="false">ROUNDUP(CL1506+MAX(CM1506,2*(J1506/IF(CH1506&gt;0,CH1506,MAX(0.1,N(Cockpit!$I$6)))-CL1506)),0)</f>
        <v>10</v>
      </c>
      <c r="AX1506" s="63" t="n">
        <f aca="false">IF(AT1506&gt;0,J1506/AT1506,-1)</f>
        <v>0</v>
      </c>
      <c r="AY1506" s="63" t="n">
        <f aca="false">IF(AND(OR(CG1506="L1",CG1506="L23",CG1506="LIFT"),AT1506&gt;0),SUMIFS($AT$7:$AT$1843,$CG$7:$CG$1843,CG1506,$AX$7:$AX$1843,"&gt;"&amp;AX1506)+SUMIFS($AT$7:$AT$1843,$CG$7:$CG$1843,CG1506,$AX$7:$AX$1843,AX1506,$BX$7:$BX$1843,"&lt;="&amp;BX1506),"")</f>
        <v>36215.1118664763</v>
      </c>
      <c r="AZ1506" s="70" t="n">
        <f aca="false">IF(AY1506="",0,MAX(0,MIN(1,(IF(CG1506="L1",Parameter!$H$5,IF(CG1506="L23",Parameter!$H$6+Parameter!$H$7,Parameter!$H$5+Parameter!$H$6+Parameter!$H$7))-(AY1506-AT1506))/AT1506)))</f>
        <v>0</v>
      </c>
      <c r="BA1506" s="62" t="n">
        <f aca="false">IF(LEFT(Cockpit!$O$5,1)="A",H1506,IF(Parameter!$E$30="MAX-Bestand",IF(CI1506=1,CJ1506,IF(LEFT(Cockpit!$O$5,1)="B",BG1506,MAX(BG1506,H1506))),ROUNDUP(BE1506,0)))</f>
        <v>5</v>
      </c>
      <c r="BB1506" s="62" t="n">
        <f aca="false">IF(CA1506=1,0,ROUNDUP(BA1506/BZ1506,0))</f>
        <v>1</v>
      </c>
      <c r="BC1506" s="64" t="n">
        <f aca="false">IF(CR1506&gt;0,CR1506*MAX(1,BA1506/X1506),IF(CA1506=1,IF(BA1506&lt;=0,0,CE1506*MAX(1,IF(H1506&gt;0,BA1506/H1506,1))),IF(R1506&gt;0,BB1506/R1506,0))/MAX(0.1,N(Parameter!$M$21)))</f>
        <v>0.0384615384615385</v>
      </c>
      <c r="BD1506" s="62" t="n">
        <f aca="false">BC1506*CC1506</f>
        <v>9.42307692307692</v>
      </c>
      <c r="BE1506" s="63" t="n">
        <f aca="false">IF(LEFT(Cockpit!$O$5,1)="A",H1506,IF(CI1506=1,(CL1506+CJ1506)/2,IF(LEFT(Cockpit!$O$5,1)="B",(CL1506+BG1506)/2,MAX((CL1506+BG1506)/2,H1506))))</f>
        <v>5</v>
      </c>
      <c r="BF1506" s="62" t="n">
        <f aca="false">BE1506*G1506</f>
        <v>1669</v>
      </c>
      <c r="BG1506" s="62" t="n">
        <f aca="false">ROUNDUP(CL1506+MAX(CM1506,2*(J1506/IF(CH1506&gt;0,CH1506,MAX(0.1,N(Cockpit!$O$6)))-CL1506)),0)</f>
        <v>10</v>
      </c>
      <c r="BH1506" s="63" t="n">
        <f aca="false">IF(BD1506&gt;0,J1506/BD1506,-1)</f>
        <v>0</v>
      </c>
      <c r="BI1506" s="63" t="n">
        <f aca="false">IF(AND(OR(CG1506="L1",CG1506="L23",CG1506="LIFT"),BD1506&gt;0),SUMIFS($BD$7:$BD$1843,$CG$7:$CG$1843,CG1506,$BH$7:$BH$1843,"&gt;"&amp;BH1506)+SUMIFS($BD$7:$BD$1843,$CG$7:$CG$1843,CG1506,$BH$7:$BH$1843,BH1506,$BX$7:$BX$1843,"&lt;="&amp;BX1506),"")</f>
        <v>30153.3031420087</v>
      </c>
      <c r="BJ1506" s="70" t="n">
        <f aca="false">IF(BI1506="",0,MAX(0,MIN(1,(IF(CG1506="L1",Parameter!$H$5,IF(CG1506="L23",Parameter!$H$6+Parameter!$H$7,Parameter!$H$5+Parameter!$H$6+Parameter!$H$7))-(BI1506-BD1506))/BD1506)))</f>
        <v>1</v>
      </c>
      <c r="BK1506" s="60" t="str">
        <f aca="false">IF(AJ1506&lt;=0,"",IF(CG1506="Aussen","Aussenlager",IF(CG1506="-","Nicht im Lift",IF(AP1506&gt;=1,"Lift",IF(AP1506&lt;=0,"Aussenlager","teilweise")))))</f>
        <v>Lift</v>
      </c>
      <c r="BL1506" s="60" t="str">
        <f aca="false">IF(AT1506&lt;=0,"",IF(CG1506="Aussen","Aussenlager",IF(CG1506="-","Nicht im Lift",IF(AZ1506&gt;=1,"Lift",IF(AZ1506&lt;=0,"Aussenlager","teilweise")))))</f>
        <v>Aussenlager</v>
      </c>
      <c r="BM1506" s="60" t="str">
        <f aca="false">IF(BD1506&lt;=0,"",IF(CG1506="Aussen","Aussenlager",IF(CG1506="-","Nicht im Lift",IF(BJ1506&gt;=1,"Lift",IF(BJ1506&lt;=0,"Aussenlager","teilweise")))))</f>
        <v>Lift</v>
      </c>
      <c r="BN1506" s="60" t="str">
        <f aca="false">IF(A1506="","",IF(BW1506=1,"Neu; ","")&amp;IF(AND(BW1506=0,BR1506&lt;0),"negativer Bestand (Export "&amp;BR1506&amp;"); ","")&amp;IF(J1506&lt;=0,"Kein Verbrauch; ","")&amp;IF(CR1506&gt;0,"Lift "&amp;W1506&amp;" lt. Liftbericht (Fach "&amp;X1506&amp;" Stk); ",IF(CB1506=1,"Gebinde geschätzt ("&amp;T1506&amp;"); ",IF(CA1506=1,"Lose – Tablare geschätzt; ","")))&amp;IF(H1506&gt;AW1506,"Überbestand "&amp;ROUND(H1506-AW1506,0)&amp;" Stk / CHF "&amp;ROUND((H1506-AW1506)*G1506,0)&amp;"; ","")&amp;IF(AND(CI1506=1,CJ1506&lt;CK1506),"MAX &lt; MB+LG; ","")&amp;IF(AND(CQ1506&gt;0,CP1506*10&gt;CQ1506),"zu hoch für Tablar; ","")&amp;IF(AND(BW1506=0,OR(CI1506=1,AB1506&lt;&gt;"",U1506&lt;&gt;"",V1506&lt;&gt;"",AC1506&lt;&gt;"")),"manuell übersteuert; ","")&amp;IF(AND(CA1506=0,R1506=0),"Gebinde unbekannt / Stellmass fehlt; ","")&amp;IF(AND(CA1506=0,N(V1506)&lt;=0,N(Q1506)&lt;=0),"Menge pro Gebinde fehlt (Ist = 1 Gebinde); ","")&amp;BV1506)</f>
        <v>Kein Verbrauch; Überbestand 7 Stk / CHF 2337; nur im Artikelstamm (Bestand 23.06.2026)</v>
      </c>
      <c r="BO1506" s="60"/>
      <c r="BP1506" s="60"/>
      <c r="BQ1506" s="67"/>
      <c r="BR1506" s="62" t="n">
        <v>17</v>
      </c>
      <c r="BS1506" s="62" t="n">
        <v>0</v>
      </c>
      <c r="BT1506" s="61" t="n">
        <v>0</v>
      </c>
      <c r="BU1506" s="62" t="n">
        <v>0</v>
      </c>
      <c r="BV1506" s="60" t="s">
        <v>2617</v>
      </c>
      <c r="BW1506" s="65" t="n">
        <v>0</v>
      </c>
      <c r="BX1506" s="65" t="n">
        <v>1506</v>
      </c>
      <c r="BY1506" s="60" t="str">
        <f aca="false">IF(U1506&lt;&gt;"",UPPER(TRIM(U1506)),IF(CB1506=1,UPPER(VLOOKUP(T1506,Parameter!$I$27:$K$29,2,0)),IF(P1506="","LOSE",P1506)))</f>
        <v>S52</v>
      </c>
      <c r="BZ1506" s="62" t="n">
        <f aca="false">IF(BY1506="LOSE",1,IF(N(V1506)&gt;0,V1506,IF(CB1506=1,MAX(1,N(VLOOKUP(T1506,Parameter!$I$27:$K$29,3,0)),H1506,N(N1506)),IF(N(Q1506)&gt;0,Q1506,MAX(1,H1506)))))</f>
        <v>17</v>
      </c>
      <c r="CA1506" s="65" t="n">
        <f aca="false">IF(BY1506="LOSE",1,0)</f>
        <v>0</v>
      </c>
      <c r="CB1506" s="65" t="n">
        <f aca="false">IF(AND(U1506="",OR(P1506="",P1506="LOSE"),T1506&lt;&gt;"",N(S1506)&lt;=0,ISNUMBER(MATCH(T1506,Parameter!$I$27:$I$29,0))),1,0)</f>
        <v>0</v>
      </c>
      <c r="CC1506" s="65" t="n">
        <f aca="false">IF(CR1506&gt;0,INDEX(Parameter!$H$5:$H$7,W1506)/INDEX(Parameter!$E$5:$E$7,W1506),IF(AND(CA1506=0,N(IFERROR(VLOOKUP(BY1506,'Gebinde-Kategorie'!$A$5:$N$45,14,0),0))&gt;0),VLOOKUP(BY1506,'Gebinde-Kategorie'!$A$5:$N$45,14,0)*10+Parameter!$M$23,Parameter!$M$24))</f>
        <v>245</v>
      </c>
      <c r="CD1506" s="60" t="str">
        <f aca="false">IF(AND(Parameter!$B$19="Ja",E1506&lt;&gt;"",ISNUMBER(MATCH(E1506,Parameter!$I$35:$I$52,0))),VLOOKUP(E1506,Parameter!$I$35:$J$52,2,0),IFERROR(VLOOKUP(D1506,Parameter!$A$35:$C$64,2,0),"Nein"))</f>
        <v>2+3</v>
      </c>
      <c r="CE1506" s="64" t="n">
        <f aca="false">IF(CA1506=0,0,IF(N(S1506)&gt;0,S1506,IFERROR(VLOOKUP(D1506,Parameter!$A$35:$C$64,3,0)+0,0)))</f>
        <v>0</v>
      </c>
      <c r="CF1506" s="60" t="n">
        <f aca="false">IF(AB1506&lt;&gt;"",AB1506,AA1506)</f>
        <v>3</v>
      </c>
      <c r="CG1506" s="60" t="str">
        <f aca="false">IF(OR(CF1506=1,CF1506=2,CF1506=3),IF(Parameter!$E$27="Ja","LIFT",IF(CF1506=1,"L1","L23")),IF(CF1506="Aussen","Aussen","-"))</f>
        <v>LIFT</v>
      </c>
      <c r="CH1506" s="71" t="n">
        <f aca="false">IF(N(AC1506)&gt;0,AC1506,0)</f>
        <v>0</v>
      </c>
      <c r="CI1506" s="65" t="n">
        <f aca="false">IF(ISNUMBER(AF1506),1,0)</f>
        <v>0</v>
      </c>
      <c r="CJ1506" s="62" t="n">
        <f aca="false">N(AF1506)</f>
        <v>0</v>
      </c>
      <c r="CK1506" s="62" t="n">
        <f aca="false">N(M1506)+N(N1506)</f>
        <v>10</v>
      </c>
      <c r="CL1506" s="62" t="n">
        <f aca="false">N(M1506)</f>
        <v>0</v>
      </c>
      <c r="CM1506" s="62" t="n">
        <f aca="false">N(N1506)</f>
        <v>10</v>
      </c>
      <c r="CN1506" s="62" t="n">
        <f aca="false">ROUNDUP(H1506/BZ1506,0)</f>
        <v>1</v>
      </c>
      <c r="CO1506" s="62" t="n">
        <f aca="false">ROUNDUP(CJ1506/BZ1506,0)</f>
        <v>0</v>
      </c>
      <c r="CP1506" s="65" t="n">
        <f aca="false">IF(CA1506=1,0,IFERROR(VLOOKUP(BY1506,'Gebinde-Kategorie'!$A$5:$N$45,5,0)+0,0))</f>
        <v>21</v>
      </c>
      <c r="CQ1506" s="65" t="n">
        <f aca="false">IFERROR(IF(OR(CF1506=1,CF1506=2,CF1506=3),N(INDEX(Parameter!$I$5:$I$7,CF1506)),0),0)</f>
        <v>0</v>
      </c>
      <c r="CR1506" s="64" t="n">
        <f aca="false">IF(AND(Parameter!$B$21="Ja",ISNUMBER(W1506),N(X1506)&gt;0),IFERROR(N(INDEX(Parameter!$L$5:$L$7,W1506))*INDEX(Parameter!$E$5:$E$7,W1506)*X1506/SUMIFS($X$7:$X$1843,$W$7:$W$1843,W1506),0),0)</f>
        <v>0</v>
      </c>
      <c r="CS1506" s="62" t="n">
        <f aca="false">IF(AND(OR(CG1506="L1",CG1506="L23",CG1506="LIFT"),H1506&gt;0),CC1506*IF(CR1506&gt;0,CR1506*MAX(1,H1506/X1506),IF(CA1506=1,CE1506,IF(R1506&gt;0,CN1506/R1506,0))/MAX(0.1,N(Parameter!$M$21))),"")</f>
        <v>9.42307692307692</v>
      </c>
      <c r="CT1506" s="64" t="n">
        <f aca="false">IF(CS1506="","",J1506/H1506)</f>
        <v>0</v>
      </c>
      <c r="CU1506" s="62" t="n">
        <f aca="false">IF(CS1506="","",H1506*G1506)</f>
        <v>5674.6</v>
      </c>
      <c r="CV1506" s="63" t="n">
        <f aca="false">IF(CS1506="","",(CL1506+ROUNDUP(CL1506+MAX(CM1506,2*(J1506/MAX(0.1,N(Einkauf!$C$6))-CL1506)),0))/2)</f>
        <v>5</v>
      </c>
      <c r="CW1506" s="62" t="n">
        <f aca="false">IF(CS1506="","",MAX(0,H1506-CV1506)*G1506)</f>
        <v>4005.6</v>
      </c>
      <c r="CX1506" s="62" t="n">
        <f aca="false">IF(CS1506="","",CS1506*MAX(0,1-CV1506/H1506))</f>
        <v>6.65158371040724</v>
      </c>
      <c r="CY1506" s="64" t="n">
        <f aca="false">IF(CS1506="","",PERCENTRANK($CS$7:$CS$1843,CS1506)+PERCENTRANK($CU$7:$CU$1843,CU1506)+1-PERCENTRANK($CT$7:$CT$1843,CT1506))</f>
        <v>2.494</v>
      </c>
      <c r="CZ1506" s="72" t="n">
        <f aca="false">IF(CS1506="","",CHOOSE(MATCH(Einkauf!$C$5,Parameter!$G$23:$G$27,0),CY1506,CS1506,CU1506,-CT1506,CW1506)+ROW()/1000000000)</f>
        <v>2.494001506</v>
      </c>
    </row>
    <row r="1507" customFormat="false" ht="15" hidden="false" customHeight="false" outlineLevel="0" collapsed="false">
      <c r="A1507" s="60" t="s">
        <v>2678</v>
      </c>
      <c r="B1507" s="60" t="s">
        <v>1445</v>
      </c>
      <c r="C1507" s="60" t="s">
        <v>206</v>
      </c>
      <c r="D1507" s="60" t="s">
        <v>226</v>
      </c>
      <c r="E1507" s="60" t="s">
        <v>227</v>
      </c>
      <c r="F1507" s="60"/>
      <c r="G1507" s="61" t="n">
        <v>9.5</v>
      </c>
      <c r="H1507" s="62" t="n">
        <f aca="false">MAX(0,IF(AND(Parameter!$B$21="Ja",ISNUMBER(Y1507)),Y1507,IF(Parameter!$B$20="Jahresanfang 2025 + Export",BS1507+BR1507,BR1507)))</f>
        <v>21</v>
      </c>
      <c r="I1507" s="62" t="n">
        <f aca="false">H1507*G1507</f>
        <v>199.5</v>
      </c>
      <c r="J1507" s="62" t="n">
        <f aca="false">BU1507*Parameter!$B$18</f>
        <v>0</v>
      </c>
      <c r="K1507" s="63"/>
      <c r="L1507" s="64"/>
      <c r="M1507" s="62" t="n">
        <v>0</v>
      </c>
      <c r="N1507" s="62" t="n">
        <v>20</v>
      </c>
      <c r="O1507" s="65" t="n">
        <v>21</v>
      </c>
      <c r="P1507" s="60" t="s">
        <v>370</v>
      </c>
      <c r="Q1507" s="62" t="n">
        <v>21</v>
      </c>
      <c r="R1507" s="65" t="n">
        <f aca="false">IF(CA1507=1,0,IFERROR(VLOOKUP(BY1507,'Gebinde-Kategorie'!$A$5:$N$45,13,0)+0,0))</f>
        <v>52</v>
      </c>
      <c r="S1507" s="66"/>
      <c r="T1507" s="67"/>
      <c r="U1507" s="67"/>
      <c r="V1507" s="67"/>
      <c r="W1507" s="60"/>
      <c r="X1507" s="62"/>
      <c r="Y1507" s="62"/>
      <c r="Z1507" s="60" t="n">
        <v>3</v>
      </c>
      <c r="AA1507" s="60" t="n">
        <f aca="false">IF(A1507="","",IF(AND(Parameter!$B$21="Ja",ISNUMBER(W1507)),W1507,IF(AND(Parameter!$E$27="Ja",ISNUMBER(Z1507),CD1507&lt;&gt;"Nein"),Z1507,IF(CD1507="2+3",IF(ISNUMBER(SEARCH("grosser Artikel",BV1507)),2,IFERROR(VLOOKUP(BY1507,Parameter!$F$35:$G$64,2,0),2)),IF(OR(CD1507="Nein",CD1507=""),"-",CD1507)))))</f>
        <v>3</v>
      </c>
      <c r="AB1507" s="67"/>
      <c r="AC1507" s="68"/>
      <c r="AD1507" s="62" t="n">
        <f aca="false">AW1507</f>
        <v>20</v>
      </c>
      <c r="AE1507" s="62" t="n">
        <f aca="false">MAX(AW1507,H1507)</f>
        <v>21</v>
      </c>
      <c r="AF1507" s="69"/>
      <c r="AG1507" s="62" t="n">
        <f aca="false">IF(LEFT(Cockpit!$C$5,1)="A",H1507,IF(Parameter!$E$30="MAX-Bestand",IF(CI1507=1,CJ1507,IF(LEFT(Cockpit!$C$5,1)="B",AM1507,MAX(AM1507,H1507))),ROUNDUP(AK1507,0)))</f>
        <v>21</v>
      </c>
      <c r="AH1507" s="62" t="n">
        <f aca="false">IF(CA1507=1,0,ROUNDUP(AG1507/BZ1507,0))</f>
        <v>1</v>
      </c>
      <c r="AI1507" s="64" t="n">
        <f aca="false">IF(CR1507&gt;0,CR1507*MAX(1,AG1507/X1507),IF(CA1507=1,IF(AG1507&lt;=0,0,CE1507*MAX(1,IF(H1507&gt;0,AG1507/H1507,1))),IF(R1507&gt;0,AH1507/R1507,0))/MAX(0.1,N(Parameter!$M$21)))</f>
        <v>0.0192307692307692</v>
      </c>
      <c r="AJ1507" s="62" t="n">
        <f aca="false">AI1507*CC1507</f>
        <v>2.98076923076923</v>
      </c>
      <c r="AK1507" s="63" t="n">
        <f aca="false">IF(LEFT(Cockpit!$C$5,1)="A",H1507,IF(CI1507=1,(CL1507+CJ1507)/2,IF(LEFT(Cockpit!$C$5,1)="B",(CL1507+AM1507)/2,MAX((CL1507+AM1507)/2,H1507))))</f>
        <v>21</v>
      </c>
      <c r="AL1507" s="62" t="n">
        <f aca="false">AK1507*G1507</f>
        <v>199.5</v>
      </c>
      <c r="AM1507" s="62" t="n">
        <f aca="false">ROUNDUP(CL1507+MAX(CM1507,2*(J1507/IF(CH1507&gt;0,CH1507,MAX(0.1,N(Cockpit!$C$6)))-CL1507)),0)</f>
        <v>20</v>
      </c>
      <c r="AN1507" s="63" t="n">
        <f aca="false">IF(AJ1507&gt;0,J1507/AJ1507,-1)</f>
        <v>0</v>
      </c>
      <c r="AO1507" s="63" t="n">
        <f aca="false">IF(AND(OR(CG1507="L1",CG1507="L23",CG1507="LIFT"),AJ1507&gt;0),SUMIFS($AJ$7:$AJ$1843,$CG$7:$CG$1843,CG1507,$AN$7:$AN$1843,"&gt;"&amp;AN1507)+SUMIFS($AJ$7:$AJ$1843,$CG$7:$CG$1843,CG1507,$AN$7:$AN$1843,AN1507,$BX$7:$BX$1843,"&lt;="&amp;BX1507),"")</f>
        <v>29911.5218331574</v>
      </c>
      <c r="AP1507" s="70" t="n">
        <f aca="false">IF(AO1507="",0,MAX(0,MIN(1,(IF(CG1507="L1",Parameter!$H$5,IF(CG1507="L23",Parameter!$H$6+Parameter!$H$7,Parameter!$H$5+Parameter!$H$6+Parameter!$H$7))-(AO1507-AJ1507))/AJ1507)))</f>
        <v>1</v>
      </c>
      <c r="AQ1507" s="62" t="n">
        <f aca="false">IF(LEFT(Cockpit!$I$5,1)="A",H1507,IF(Parameter!$E$30="MAX-Bestand",IF(CI1507=1,CJ1507,IF(LEFT(Cockpit!$I$5,1)="B",AW1507,MAX(AW1507,H1507))),ROUNDUP(AU1507,0)))</f>
        <v>21</v>
      </c>
      <c r="AR1507" s="62" t="n">
        <f aca="false">IF(CA1507=1,0,ROUNDUP(AQ1507/BZ1507,0))</f>
        <v>1</v>
      </c>
      <c r="AS1507" s="64" t="n">
        <f aca="false">IF(CR1507&gt;0,CR1507*MAX(1,AQ1507/X1507),IF(CA1507=1,IF(AQ1507&lt;=0,0,CE1507*MAX(1,IF(H1507&gt;0,AQ1507/H1507,1))),IF(R1507&gt;0,AR1507/R1507,0))/MAX(0.1,N(Parameter!$M$21)))</f>
        <v>0.0192307692307692</v>
      </c>
      <c r="AT1507" s="62" t="n">
        <f aca="false">AS1507*CC1507</f>
        <v>2.98076923076923</v>
      </c>
      <c r="AU1507" s="63" t="n">
        <f aca="false">IF(LEFT(Cockpit!$I$5,1)="A",H1507,IF(CI1507=1,(CL1507+CJ1507)/2,IF(LEFT(Cockpit!$I$5,1)="B",(CL1507+AW1507)/2,MAX((CL1507+AW1507)/2,H1507))))</f>
        <v>21</v>
      </c>
      <c r="AV1507" s="62" t="n">
        <f aca="false">AU1507*G1507</f>
        <v>199.5</v>
      </c>
      <c r="AW1507" s="62" t="n">
        <f aca="false">ROUNDUP(CL1507+MAX(CM1507,2*(J1507/IF(CH1507&gt;0,CH1507,MAX(0.1,N(Cockpit!$I$6)))-CL1507)),0)</f>
        <v>20</v>
      </c>
      <c r="AX1507" s="63" t="n">
        <f aca="false">IF(AT1507&gt;0,J1507/AT1507,-1)</f>
        <v>0</v>
      </c>
      <c r="AY1507" s="63" t="n">
        <f aca="false">IF(AND(OR(CG1507="L1",CG1507="L23",CG1507="LIFT"),AT1507&gt;0),SUMIFS($AT$7:$AT$1843,$CG$7:$CG$1843,CG1507,$AX$7:$AX$1843,"&gt;"&amp;AX1507)+SUMIFS($AT$7:$AT$1843,$CG$7:$CG$1843,CG1507,$AX$7:$AX$1843,AX1507,$BX$7:$BX$1843,"&lt;="&amp;BX1507),"")</f>
        <v>36218.092635707</v>
      </c>
      <c r="AZ1507" s="70" t="n">
        <f aca="false">IF(AY1507="",0,MAX(0,MIN(1,(IF(CG1507="L1",Parameter!$H$5,IF(CG1507="L23",Parameter!$H$6+Parameter!$H$7,Parameter!$H$5+Parameter!$H$6+Parameter!$H$7))-(AY1507-AT1507))/AT1507)))</f>
        <v>0</v>
      </c>
      <c r="BA1507" s="62" t="n">
        <f aca="false">IF(LEFT(Cockpit!$O$5,1)="A",H1507,IF(Parameter!$E$30="MAX-Bestand",IF(CI1507=1,CJ1507,IF(LEFT(Cockpit!$O$5,1)="B",BG1507,MAX(BG1507,H1507))),ROUNDUP(BE1507,0)))</f>
        <v>10</v>
      </c>
      <c r="BB1507" s="62" t="n">
        <f aca="false">IF(CA1507=1,0,ROUNDUP(BA1507/BZ1507,0))</f>
        <v>1</v>
      </c>
      <c r="BC1507" s="64" t="n">
        <f aca="false">IF(CR1507&gt;0,CR1507*MAX(1,BA1507/X1507),IF(CA1507=1,IF(BA1507&lt;=0,0,CE1507*MAX(1,IF(H1507&gt;0,BA1507/H1507,1))),IF(R1507&gt;0,BB1507/R1507,0))/MAX(0.1,N(Parameter!$M$21)))</f>
        <v>0.0192307692307692</v>
      </c>
      <c r="BD1507" s="62" t="n">
        <f aca="false">BC1507*CC1507</f>
        <v>2.98076923076923</v>
      </c>
      <c r="BE1507" s="63" t="n">
        <f aca="false">IF(LEFT(Cockpit!$O$5,1)="A",H1507,IF(CI1507=1,(CL1507+CJ1507)/2,IF(LEFT(Cockpit!$O$5,1)="B",(CL1507+BG1507)/2,MAX((CL1507+BG1507)/2,H1507))))</f>
        <v>10</v>
      </c>
      <c r="BF1507" s="62" t="n">
        <f aca="false">BE1507*G1507</f>
        <v>95</v>
      </c>
      <c r="BG1507" s="62" t="n">
        <f aca="false">ROUNDUP(CL1507+MAX(CM1507,2*(J1507/IF(CH1507&gt;0,CH1507,MAX(0.1,N(Cockpit!$O$6)))-CL1507)),0)</f>
        <v>20</v>
      </c>
      <c r="BH1507" s="63" t="n">
        <f aca="false">IF(BD1507&gt;0,J1507/BD1507,-1)</f>
        <v>0</v>
      </c>
      <c r="BI1507" s="63" t="n">
        <f aca="false">IF(AND(OR(CG1507="L1",CG1507="L23",CG1507="LIFT"),BD1507&gt;0),SUMIFS($BD$7:$BD$1843,$CG$7:$CG$1843,CG1507,$BH$7:$BH$1843,"&gt;"&amp;BH1507)+SUMIFS($BD$7:$BD$1843,$CG$7:$CG$1843,CG1507,$BH$7:$BH$1843,BH1507,$BX$7:$BX$1843,"&lt;="&amp;BX1507),"")</f>
        <v>30156.2839112394</v>
      </c>
      <c r="BJ1507" s="70" t="n">
        <f aca="false">IF(BI1507="",0,MAX(0,MIN(1,(IF(CG1507="L1",Parameter!$H$5,IF(CG1507="L23",Parameter!$H$6+Parameter!$H$7,Parameter!$H$5+Parameter!$H$6+Parameter!$H$7))-(BI1507-BD1507))/BD1507)))</f>
        <v>1</v>
      </c>
      <c r="BK1507" s="60" t="str">
        <f aca="false">IF(AJ1507&lt;=0,"",IF(CG1507="Aussen","Aussenlager",IF(CG1507="-","Nicht im Lift",IF(AP1507&gt;=1,"Lift",IF(AP1507&lt;=0,"Aussenlager","teilweise")))))</f>
        <v>Lift</v>
      </c>
      <c r="BL1507" s="60" t="str">
        <f aca="false">IF(AT1507&lt;=0,"",IF(CG1507="Aussen","Aussenlager",IF(CG1507="-","Nicht im Lift",IF(AZ1507&gt;=1,"Lift",IF(AZ1507&lt;=0,"Aussenlager","teilweise")))))</f>
        <v>Aussenlager</v>
      </c>
      <c r="BM1507" s="60" t="str">
        <f aca="false">IF(BD1507&lt;=0,"",IF(CG1507="Aussen","Aussenlager",IF(CG1507="-","Nicht im Lift",IF(BJ1507&gt;=1,"Lift",IF(BJ1507&lt;=0,"Aussenlager","teilweise")))))</f>
        <v>Lift</v>
      </c>
      <c r="BN1507" s="60" t="str">
        <f aca="false">IF(A1507="","",IF(BW1507=1,"Neu; ","")&amp;IF(AND(BW1507=0,BR1507&lt;0),"negativer Bestand (Export "&amp;BR1507&amp;"); ","")&amp;IF(J1507&lt;=0,"Kein Verbrauch; ","")&amp;IF(CR1507&gt;0,"Lift "&amp;W1507&amp;" lt. Liftbericht (Fach "&amp;X1507&amp;" Stk); ",IF(CB1507=1,"Gebinde geschätzt ("&amp;T1507&amp;"); ",IF(CA1507=1,"Lose – Tablare geschätzt; ","")))&amp;IF(H1507&gt;AW1507,"Überbestand "&amp;ROUND(H1507-AW1507,0)&amp;" Stk / CHF "&amp;ROUND((H1507-AW1507)*G1507,0)&amp;"; ","")&amp;IF(AND(CI1507=1,CJ1507&lt;CK1507),"MAX &lt; MB+LG; ","")&amp;IF(AND(CQ1507&gt;0,CP1507*10&gt;CQ1507),"zu hoch für Tablar; ","")&amp;IF(AND(BW1507=0,OR(CI1507=1,AB1507&lt;&gt;"",U1507&lt;&gt;"",V1507&lt;&gt;"",AC1507&lt;&gt;"")),"manuell übersteuert; ","")&amp;IF(AND(CA1507=0,R1507=0),"Gebinde unbekannt / Stellmass fehlt; ","")&amp;IF(AND(CA1507=0,N(V1507)&lt;=0,N(Q1507)&lt;=0),"Menge pro Gebinde fehlt (Ist = 1 Gebinde); ","")&amp;BV1507)</f>
        <v>Kein Verbrauch; Überbestand 1 Stk / CHF 10; nur im Artikelstamm (Bestand 23.06.2026); Überbestand</v>
      </c>
      <c r="BO1507" s="60"/>
      <c r="BP1507" s="60"/>
      <c r="BQ1507" s="67"/>
      <c r="BR1507" s="62" t="n">
        <v>21</v>
      </c>
      <c r="BS1507" s="62" t="n">
        <v>0</v>
      </c>
      <c r="BT1507" s="61" t="n">
        <v>0</v>
      </c>
      <c r="BU1507" s="62" t="n">
        <v>0</v>
      </c>
      <c r="BV1507" s="60" t="s">
        <v>2614</v>
      </c>
      <c r="BW1507" s="65" t="n">
        <v>0</v>
      </c>
      <c r="BX1507" s="65" t="n">
        <v>1507</v>
      </c>
      <c r="BY1507" s="60" t="str">
        <f aca="false">IF(U1507&lt;&gt;"",UPPER(TRIM(U1507)),IF(CB1507=1,UPPER(VLOOKUP(T1507,Parameter!$I$27:$K$29,2,0)),IF(P1507="","LOSE",P1507)))</f>
        <v>S41</v>
      </c>
      <c r="BZ1507" s="62" t="n">
        <f aca="false">IF(BY1507="LOSE",1,IF(N(V1507)&gt;0,V1507,IF(CB1507=1,MAX(1,N(VLOOKUP(T1507,Parameter!$I$27:$K$29,3,0)),H1507,N(N1507)),IF(N(Q1507)&gt;0,Q1507,MAX(1,H1507)))))</f>
        <v>21</v>
      </c>
      <c r="CA1507" s="65" t="n">
        <f aca="false">IF(BY1507="LOSE",1,0)</f>
        <v>0</v>
      </c>
      <c r="CB1507" s="65" t="n">
        <f aca="false">IF(AND(U1507="",OR(P1507="",P1507="LOSE"),T1507&lt;&gt;"",N(S1507)&lt;=0,ISNUMBER(MATCH(T1507,Parameter!$I$27:$I$29,0))),1,0)</f>
        <v>0</v>
      </c>
      <c r="CC1507" s="65" t="n">
        <f aca="false">IF(CR1507&gt;0,INDEX(Parameter!$H$5:$H$7,W1507)/INDEX(Parameter!$E$5:$E$7,W1507),IF(AND(CA1507=0,N(IFERROR(VLOOKUP(BY1507,'Gebinde-Kategorie'!$A$5:$N$45,14,0),0))&gt;0),VLOOKUP(BY1507,'Gebinde-Kategorie'!$A$5:$N$45,14,0)*10+Parameter!$M$23,Parameter!$M$24))</f>
        <v>155</v>
      </c>
      <c r="CD1507" s="60" t="str">
        <f aca="false">IF(AND(Parameter!$B$19="Ja",E1507&lt;&gt;"",ISNUMBER(MATCH(E1507,Parameter!$I$35:$I$52,0))),VLOOKUP(E1507,Parameter!$I$35:$J$52,2,0),IFERROR(VLOOKUP(D1507,Parameter!$A$35:$C$64,2,0),"Nein"))</f>
        <v>2+3</v>
      </c>
      <c r="CE1507" s="64" t="n">
        <f aca="false">IF(CA1507=0,0,IF(N(S1507)&gt;0,S1507,IFERROR(VLOOKUP(D1507,Parameter!$A$35:$C$64,3,0)+0,0)))</f>
        <v>0</v>
      </c>
      <c r="CF1507" s="60" t="n">
        <f aca="false">IF(AB1507&lt;&gt;"",AB1507,AA1507)</f>
        <v>3</v>
      </c>
      <c r="CG1507" s="60" t="str">
        <f aca="false">IF(OR(CF1507=1,CF1507=2,CF1507=3),IF(Parameter!$E$27="Ja","LIFT",IF(CF1507=1,"L1","L23")),IF(CF1507="Aussen","Aussen","-"))</f>
        <v>LIFT</v>
      </c>
      <c r="CH1507" s="71" t="n">
        <f aca="false">IF(N(AC1507)&gt;0,AC1507,0)</f>
        <v>0</v>
      </c>
      <c r="CI1507" s="65" t="n">
        <f aca="false">IF(ISNUMBER(AF1507),1,0)</f>
        <v>0</v>
      </c>
      <c r="CJ1507" s="62" t="n">
        <f aca="false">N(AF1507)</f>
        <v>0</v>
      </c>
      <c r="CK1507" s="62" t="n">
        <f aca="false">N(M1507)+N(N1507)</f>
        <v>20</v>
      </c>
      <c r="CL1507" s="62" t="n">
        <f aca="false">N(M1507)</f>
        <v>0</v>
      </c>
      <c r="CM1507" s="62" t="n">
        <f aca="false">N(N1507)</f>
        <v>20</v>
      </c>
      <c r="CN1507" s="62" t="n">
        <f aca="false">ROUNDUP(H1507/BZ1507,0)</f>
        <v>1</v>
      </c>
      <c r="CO1507" s="62" t="n">
        <f aca="false">ROUNDUP(CJ1507/BZ1507,0)</f>
        <v>0</v>
      </c>
      <c r="CP1507" s="65" t="n">
        <f aca="false">IF(CA1507=1,0,IFERROR(VLOOKUP(BY1507,'Gebinde-Kategorie'!$A$5:$N$45,5,0)+0,0))</f>
        <v>11</v>
      </c>
      <c r="CQ1507" s="65" t="n">
        <f aca="false">IFERROR(IF(OR(CF1507=1,CF1507=2,CF1507=3),N(INDEX(Parameter!$I$5:$I$7,CF1507)),0),0)</f>
        <v>0</v>
      </c>
      <c r="CR1507" s="64" t="n">
        <f aca="false">IF(AND(Parameter!$B$21="Ja",ISNUMBER(W1507),N(X1507)&gt;0),IFERROR(N(INDEX(Parameter!$L$5:$L$7,W1507))*INDEX(Parameter!$E$5:$E$7,W1507)*X1507/SUMIFS($X$7:$X$1843,$W$7:$W$1843,W1507),0),0)</f>
        <v>0</v>
      </c>
      <c r="CS1507" s="62" t="n">
        <f aca="false">IF(AND(OR(CG1507="L1",CG1507="L23",CG1507="LIFT"),H1507&gt;0),CC1507*IF(CR1507&gt;0,CR1507*MAX(1,H1507/X1507),IF(CA1507=1,CE1507,IF(R1507&gt;0,CN1507/R1507,0))/MAX(0.1,N(Parameter!$M$21))),"")</f>
        <v>2.98076923076923</v>
      </c>
      <c r="CT1507" s="64" t="n">
        <f aca="false">IF(CS1507="","",J1507/H1507)</f>
        <v>0</v>
      </c>
      <c r="CU1507" s="62" t="n">
        <f aca="false">IF(CS1507="","",H1507*G1507)</f>
        <v>199.5</v>
      </c>
      <c r="CV1507" s="63" t="n">
        <f aca="false">IF(CS1507="","",(CL1507+ROUNDUP(CL1507+MAX(CM1507,2*(J1507/MAX(0.1,N(Einkauf!$C$6))-CL1507)),0))/2)</f>
        <v>10</v>
      </c>
      <c r="CW1507" s="62" t="n">
        <f aca="false">IF(CS1507="","",MAX(0,H1507-CV1507)*G1507)</f>
        <v>104.5</v>
      </c>
      <c r="CX1507" s="62" t="n">
        <f aca="false">IF(CS1507="","",CS1507*MAX(0,1-CV1507/H1507))</f>
        <v>1.56135531135531</v>
      </c>
      <c r="CY1507" s="64" t="n">
        <f aca="false">IF(CS1507="","",PERCENTRANK($CS$7:$CS$1843,CS1507)+PERCENTRANK($CU$7:$CU$1843,CU1507)+1-PERCENTRANK($CT$7:$CT$1843,CT1507))</f>
        <v>1.552</v>
      </c>
      <c r="CZ1507" s="72" t="n">
        <f aca="false">IF(CS1507="","",CHOOSE(MATCH(Einkauf!$C$5,Parameter!$G$23:$G$27,0),CY1507,CS1507,CU1507,-CT1507,CW1507)+ROW()/1000000000)</f>
        <v>1.552001507</v>
      </c>
    </row>
    <row r="1508" customFormat="false" ht="15" hidden="false" customHeight="false" outlineLevel="0" collapsed="false">
      <c r="A1508" s="60" t="s">
        <v>2679</v>
      </c>
      <c r="B1508" s="60" t="s">
        <v>467</v>
      </c>
      <c r="C1508" s="60" t="s">
        <v>206</v>
      </c>
      <c r="D1508" s="60" t="s">
        <v>226</v>
      </c>
      <c r="E1508" s="60" t="s">
        <v>227</v>
      </c>
      <c r="F1508" s="60"/>
      <c r="G1508" s="61" t="n">
        <v>143.14</v>
      </c>
      <c r="H1508" s="62" t="n">
        <f aca="false">MAX(0,IF(AND(Parameter!$B$21="Ja",ISNUMBER(Y1508)),Y1508,IF(Parameter!$B$20="Jahresanfang 2025 + Export",BS1508+BR1508,BR1508)))</f>
        <v>13</v>
      </c>
      <c r="I1508" s="62" t="n">
        <f aca="false">H1508*G1508</f>
        <v>1860.82</v>
      </c>
      <c r="J1508" s="62" t="n">
        <f aca="false">BU1508*Parameter!$B$18</f>
        <v>0</v>
      </c>
      <c r="K1508" s="63"/>
      <c r="L1508" s="64"/>
      <c r="M1508" s="62" t="n">
        <v>0</v>
      </c>
      <c r="N1508" s="62" t="n">
        <v>20</v>
      </c>
      <c r="O1508" s="65" t="n">
        <v>28</v>
      </c>
      <c r="P1508" s="60" t="s">
        <v>463</v>
      </c>
      <c r="Q1508" s="62" t="n">
        <v>13</v>
      </c>
      <c r="R1508" s="65" t="n">
        <f aca="false">IF(CA1508=1,0,IFERROR(VLOOKUP(BY1508,'Gebinde-Kategorie'!$A$5:$N$45,13,0)+0,0))</f>
        <v>104</v>
      </c>
      <c r="S1508" s="66"/>
      <c r="T1508" s="67"/>
      <c r="U1508" s="67"/>
      <c r="V1508" s="67"/>
      <c r="W1508" s="60"/>
      <c r="X1508" s="62"/>
      <c r="Y1508" s="62"/>
      <c r="Z1508" s="60" t="n">
        <v>1</v>
      </c>
      <c r="AA1508" s="60" t="n">
        <f aca="false">IF(A1508="","",IF(AND(Parameter!$B$21="Ja",ISNUMBER(W1508)),W1508,IF(AND(Parameter!$E$27="Ja",ISNUMBER(Z1508),CD1508&lt;&gt;"Nein"),Z1508,IF(CD1508="2+3",IF(ISNUMBER(SEARCH("grosser Artikel",BV1508)),2,IFERROR(VLOOKUP(BY1508,Parameter!$F$35:$G$64,2,0),2)),IF(OR(CD1508="Nein",CD1508=""),"-",CD1508)))))</f>
        <v>1</v>
      </c>
      <c r="AB1508" s="67"/>
      <c r="AC1508" s="68"/>
      <c r="AD1508" s="62" t="n">
        <f aca="false">AW1508</f>
        <v>20</v>
      </c>
      <c r="AE1508" s="62" t="n">
        <f aca="false">MAX(AW1508,H1508)</f>
        <v>20</v>
      </c>
      <c r="AF1508" s="69"/>
      <c r="AG1508" s="62" t="n">
        <f aca="false">IF(LEFT(Cockpit!$C$5,1)="A",H1508,IF(Parameter!$E$30="MAX-Bestand",IF(CI1508=1,CJ1508,IF(LEFT(Cockpit!$C$5,1)="B",AM1508,MAX(AM1508,H1508))),ROUNDUP(AK1508,0)))</f>
        <v>13</v>
      </c>
      <c r="AH1508" s="62" t="n">
        <f aca="false">IF(CA1508=1,0,ROUNDUP(AG1508/BZ1508,0))</f>
        <v>1</v>
      </c>
      <c r="AI1508" s="64" t="n">
        <f aca="false">IF(CR1508&gt;0,CR1508*MAX(1,AG1508/X1508),IF(CA1508=1,IF(AG1508&lt;=0,0,CE1508*MAX(1,IF(H1508&gt;0,AG1508/H1508,1))),IF(R1508&gt;0,AH1508/R1508,0))/MAX(0.1,N(Parameter!$M$21)))</f>
        <v>0.00961538461538462</v>
      </c>
      <c r="AJ1508" s="62" t="n">
        <f aca="false">AI1508*CC1508</f>
        <v>1.49038461538462</v>
      </c>
      <c r="AK1508" s="63" t="n">
        <f aca="false">IF(LEFT(Cockpit!$C$5,1)="A",H1508,IF(CI1508=1,(CL1508+CJ1508)/2,IF(LEFT(Cockpit!$C$5,1)="B",(CL1508+AM1508)/2,MAX((CL1508+AM1508)/2,H1508))))</f>
        <v>13</v>
      </c>
      <c r="AL1508" s="62" t="n">
        <f aca="false">AK1508*G1508</f>
        <v>1860.82</v>
      </c>
      <c r="AM1508" s="62" t="n">
        <f aca="false">ROUNDUP(CL1508+MAX(CM1508,2*(J1508/IF(CH1508&gt;0,CH1508,MAX(0.1,N(Cockpit!$C$6)))-CL1508)),0)</f>
        <v>20</v>
      </c>
      <c r="AN1508" s="63" t="n">
        <f aca="false">IF(AJ1508&gt;0,J1508/AJ1508,-1)</f>
        <v>0</v>
      </c>
      <c r="AO1508" s="63" t="n">
        <f aca="false">IF(AND(OR(CG1508="L1",CG1508="L23",CG1508="LIFT"),AJ1508&gt;0),SUMIFS($AJ$7:$AJ$1843,$CG$7:$CG$1843,CG1508,$AN$7:$AN$1843,"&gt;"&amp;AN1508)+SUMIFS($AJ$7:$AJ$1843,$CG$7:$CG$1843,CG1508,$AN$7:$AN$1843,AN1508,$BX$7:$BX$1843,"&lt;="&amp;BX1508),"")</f>
        <v>29913.0122177728</v>
      </c>
      <c r="AP1508" s="70" t="n">
        <f aca="false">IF(AO1508="",0,MAX(0,MIN(1,(IF(CG1508="L1",Parameter!$H$5,IF(CG1508="L23",Parameter!$H$6+Parameter!$H$7,Parameter!$H$5+Parameter!$H$6+Parameter!$H$7))-(AO1508-AJ1508))/AJ1508)))</f>
        <v>1</v>
      </c>
      <c r="AQ1508" s="62" t="n">
        <f aca="false">IF(LEFT(Cockpit!$I$5,1)="A",H1508,IF(Parameter!$E$30="MAX-Bestand",IF(CI1508=1,CJ1508,IF(LEFT(Cockpit!$I$5,1)="B",AW1508,MAX(AW1508,H1508))),ROUNDUP(AU1508,0)))</f>
        <v>13</v>
      </c>
      <c r="AR1508" s="62" t="n">
        <f aca="false">IF(CA1508=1,0,ROUNDUP(AQ1508/BZ1508,0))</f>
        <v>1</v>
      </c>
      <c r="AS1508" s="64" t="n">
        <f aca="false">IF(CR1508&gt;0,CR1508*MAX(1,AQ1508/X1508),IF(CA1508=1,IF(AQ1508&lt;=0,0,CE1508*MAX(1,IF(H1508&gt;0,AQ1508/H1508,1))),IF(R1508&gt;0,AR1508/R1508,0))/MAX(0.1,N(Parameter!$M$21)))</f>
        <v>0.00961538461538462</v>
      </c>
      <c r="AT1508" s="62" t="n">
        <f aca="false">AS1508*CC1508</f>
        <v>1.49038461538462</v>
      </c>
      <c r="AU1508" s="63" t="n">
        <f aca="false">IF(LEFT(Cockpit!$I$5,1)="A",H1508,IF(CI1508=1,(CL1508+CJ1508)/2,IF(LEFT(Cockpit!$I$5,1)="B",(CL1508+AW1508)/2,MAX((CL1508+AW1508)/2,H1508))))</f>
        <v>13</v>
      </c>
      <c r="AV1508" s="62" t="n">
        <f aca="false">AU1508*G1508</f>
        <v>1860.82</v>
      </c>
      <c r="AW1508" s="62" t="n">
        <f aca="false">ROUNDUP(CL1508+MAX(CM1508,2*(J1508/IF(CH1508&gt;0,CH1508,MAX(0.1,N(Cockpit!$I$6)))-CL1508)),0)</f>
        <v>20</v>
      </c>
      <c r="AX1508" s="63" t="n">
        <f aca="false">IF(AT1508&gt;0,J1508/AT1508,-1)</f>
        <v>0</v>
      </c>
      <c r="AY1508" s="63" t="n">
        <f aca="false">IF(AND(OR(CG1508="L1",CG1508="L23",CG1508="LIFT"),AT1508&gt;0),SUMIFS($AT$7:$AT$1843,$CG$7:$CG$1843,CG1508,$AX$7:$AX$1843,"&gt;"&amp;AX1508)+SUMIFS($AT$7:$AT$1843,$CG$7:$CG$1843,CG1508,$AX$7:$AX$1843,AX1508,$BX$7:$BX$1843,"&lt;="&amp;BX1508),"")</f>
        <v>36219.5830203224</v>
      </c>
      <c r="AZ1508" s="70" t="n">
        <f aca="false">IF(AY1508="",0,MAX(0,MIN(1,(IF(CG1508="L1",Parameter!$H$5,IF(CG1508="L23",Parameter!$H$6+Parameter!$H$7,Parameter!$H$5+Parameter!$H$6+Parameter!$H$7))-(AY1508-AT1508))/AT1508)))</f>
        <v>0</v>
      </c>
      <c r="BA1508" s="62" t="n">
        <f aca="false">IF(LEFT(Cockpit!$O$5,1)="A",H1508,IF(Parameter!$E$30="MAX-Bestand",IF(CI1508=1,CJ1508,IF(LEFT(Cockpit!$O$5,1)="B",BG1508,MAX(BG1508,H1508))),ROUNDUP(BE1508,0)))</f>
        <v>10</v>
      </c>
      <c r="BB1508" s="62" t="n">
        <f aca="false">IF(CA1508=1,0,ROUNDUP(BA1508/BZ1508,0))</f>
        <v>1</v>
      </c>
      <c r="BC1508" s="64" t="n">
        <f aca="false">IF(CR1508&gt;0,CR1508*MAX(1,BA1508/X1508),IF(CA1508=1,IF(BA1508&lt;=0,0,CE1508*MAX(1,IF(H1508&gt;0,BA1508/H1508,1))),IF(R1508&gt;0,BB1508/R1508,0))/MAX(0.1,N(Parameter!$M$21)))</f>
        <v>0.00961538461538462</v>
      </c>
      <c r="BD1508" s="62" t="n">
        <f aca="false">BC1508*CC1508</f>
        <v>1.49038461538462</v>
      </c>
      <c r="BE1508" s="63" t="n">
        <f aca="false">IF(LEFT(Cockpit!$O$5,1)="A",H1508,IF(CI1508=1,(CL1508+CJ1508)/2,IF(LEFT(Cockpit!$O$5,1)="B",(CL1508+BG1508)/2,MAX((CL1508+BG1508)/2,H1508))))</f>
        <v>10</v>
      </c>
      <c r="BF1508" s="62" t="n">
        <f aca="false">BE1508*G1508</f>
        <v>1431.4</v>
      </c>
      <c r="BG1508" s="62" t="n">
        <f aca="false">ROUNDUP(CL1508+MAX(CM1508,2*(J1508/IF(CH1508&gt;0,CH1508,MAX(0.1,N(Cockpit!$O$6)))-CL1508)),0)</f>
        <v>20</v>
      </c>
      <c r="BH1508" s="63" t="n">
        <f aca="false">IF(BD1508&gt;0,J1508/BD1508,-1)</f>
        <v>0</v>
      </c>
      <c r="BI1508" s="63" t="n">
        <f aca="false">IF(AND(OR(CG1508="L1",CG1508="L23",CG1508="LIFT"),BD1508&gt;0),SUMIFS($BD$7:$BD$1843,$CG$7:$CG$1843,CG1508,$BH$7:$BH$1843,"&gt;"&amp;BH1508)+SUMIFS($BD$7:$BD$1843,$CG$7:$CG$1843,CG1508,$BH$7:$BH$1843,BH1508,$BX$7:$BX$1843,"&lt;="&amp;BX1508),"")</f>
        <v>30157.7742958548</v>
      </c>
      <c r="BJ1508" s="70" t="n">
        <f aca="false">IF(BI1508="",0,MAX(0,MIN(1,(IF(CG1508="L1",Parameter!$H$5,IF(CG1508="L23",Parameter!$H$6+Parameter!$H$7,Parameter!$H$5+Parameter!$H$6+Parameter!$H$7))-(BI1508-BD1508))/BD1508)))</f>
        <v>1</v>
      </c>
      <c r="BK1508" s="60" t="str">
        <f aca="false">IF(AJ1508&lt;=0,"",IF(CG1508="Aussen","Aussenlager",IF(CG1508="-","Nicht im Lift",IF(AP1508&gt;=1,"Lift",IF(AP1508&lt;=0,"Aussenlager","teilweise")))))</f>
        <v>Lift</v>
      </c>
      <c r="BL1508" s="60" t="str">
        <f aca="false">IF(AT1508&lt;=0,"",IF(CG1508="Aussen","Aussenlager",IF(CG1508="-","Nicht im Lift",IF(AZ1508&gt;=1,"Lift",IF(AZ1508&lt;=0,"Aussenlager","teilweise")))))</f>
        <v>Aussenlager</v>
      </c>
      <c r="BM1508" s="60" t="str">
        <f aca="false">IF(BD1508&lt;=0,"",IF(CG1508="Aussen","Aussenlager",IF(CG1508="-","Nicht im Lift",IF(BJ1508&gt;=1,"Lift",IF(BJ1508&lt;=0,"Aussenlager","teilweise")))))</f>
        <v>Lift</v>
      </c>
      <c r="BN1508" s="60" t="str">
        <f aca="false">IF(A1508="","",IF(BW1508=1,"Neu; ","")&amp;IF(AND(BW1508=0,BR1508&lt;0),"negativer Bestand (Export "&amp;BR1508&amp;"); ","")&amp;IF(J1508&lt;=0,"Kein Verbrauch; ","")&amp;IF(CR1508&gt;0,"Lift "&amp;W1508&amp;" lt. Liftbericht (Fach "&amp;X1508&amp;" Stk); ",IF(CB1508=1,"Gebinde geschätzt ("&amp;T1508&amp;"); ",IF(CA1508=1,"Lose – Tablare geschätzt; ","")))&amp;IF(H1508&gt;AW1508,"Überbestand "&amp;ROUND(H1508-AW1508,0)&amp;" Stk / CHF "&amp;ROUND((H1508-AW1508)*G1508,0)&amp;"; ","")&amp;IF(AND(CI1508=1,CJ1508&lt;CK1508),"MAX &lt; MB+LG; ","")&amp;IF(AND(CQ1508&gt;0,CP1508*10&gt;CQ1508),"zu hoch für Tablar; ","")&amp;IF(AND(BW1508=0,OR(CI1508=1,AB1508&lt;&gt;"",U1508&lt;&gt;"",V1508&lt;&gt;"",AC1508&lt;&gt;"")),"manuell übersteuert; ","")&amp;IF(AND(CA1508=0,R1508=0),"Gebinde unbekannt / Stellmass fehlt; ","")&amp;IF(AND(CA1508=0,N(V1508)&lt;=0,N(Q1508)&lt;=0),"Menge pro Gebinde fehlt (Ist = 1 Gebinde); ","")&amp;BV1508)</f>
        <v>Kein Verbrauch; nur im Artikelstamm (Bestand 23.06.2026); Twin</v>
      </c>
      <c r="BO1508" s="60"/>
      <c r="BP1508" s="60"/>
      <c r="BQ1508" s="67"/>
      <c r="BR1508" s="62" t="n">
        <v>13</v>
      </c>
      <c r="BS1508" s="62" t="n">
        <v>0</v>
      </c>
      <c r="BT1508" s="61" t="n">
        <v>0</v>
      </c>
      <c r="BU1508" s="62" t="n">
        <v>0</v>
      </c>
      <c r="BV1508" s="60" t="s">
        <v>2680</v>
      </c>
      <c r="BW1508" s="65" t="n">
        <v>0</v>
      </c>
      <c r="BX1508" s="65" t="n">
        <v>1508</v>
      </c>
      <c r="BY1508" s="60" t="str">
        <f aca="false">IF(U1508&lt;&gt;"",UPPER(TRIM(U1508)),IF(CB1508=1,UPPER(VLOOKUP(T1508,Parameter!$I$27:$K$29,2,0)),IF(P1508="","LOSE",P1508)))</f>
        <v>S32</v>
      </c>
      <c r="BZ1508" s="62" t="n">
        <f aca="false">IF(BY1508="LOSE",1,IF(N(V1508)&gt;0,V1508,IF(CB1508=1,MAX(1,N(VLOOKUP(T1508,Parameter!$I$27:$K$29,3,0)),H1508,N(N1508)),IF(N(Q1508)&gt;0,Q1508,MAX(1,H1508)))))</f>
        <v>13</v>
      </c>
      <c r="CA1508" s="65" t="n">
        <f aca="false">IF(BY1508="LOSE",1,0)</f>
        <v>0</v>
      </c>
      <c r="CB1508" s="65" t="n">
        <f aca="false">IF(AND(U1508="",OR(P1508="",P1508="LOSE"),T1508&lt;&gt;"",N(S1508)&lt;=0,ISNUMBER(MATCH(T1508,Parameter!$I$27:$I$29,0))),1,0)</f>
        <v>0</v>
      </c>
      <c r="CC1508" s="65" t="n">
        <f aca="false">IF(CR1508&gt;0,INDEX(Parameter!$H$5:$H$7,W1508)/INDEX(Parameter!$E$5:$E$7,W1508),IF(AND(CA1508=0,N(IFERROR(VLOOKUP(BY1508,'Gebinde-Kategorie'!$A$5:$N$45,14,0),0))&gt;0),VLOOKUP(BY1508,'Gebinde-Kategorie'!$A$5:$N$45,14,0)*10+Parameter!$M$23,Parameter!$M$24))</f>
        <v>155</v>
      </c>
      <c r="CD1508" s="60" t="str">
        <f aca="false">IF(AND(Parameter!$B$19="Ja",E1508&lt;&gt;"",ISNUMBER(MATCH(E1508,Parameter!$I$35:$I$52,0))),VLOOKUP(E1508,Parameter!$I$35:$J$52,2,0),IFERROR(VLOOKUP(D1508,Parameter!$A$35:$C$64,2,0),"Nein"))</f>
        <v>2+3</v>
      </c>
      <c r="CE1508" s="64" t="n">
        <f aca="false">IF(CA1508=0,0,IF(N(S1508)&gt;0,S1508,IFERROR(VLOOKUP(D1508,Parameter!$A$35:$C$64,3,0)+0,0)))</f>
        <v>0</v>
      </c>
      <c r="CF1508" s="60" t="n">
        <f aca="false">IF(AB1508&lt;&gt;"",AB1508,AA1508)</f>
        <v>1</v>
      </c>
      <c r="CG1508" s="60" t="str">
        <f aca="false">IF(OR(CF1508=1,CF1508=2,CF1508=3),IF(Parameter!$E$27="Ja","LIFT",IF(CF1508=1,"L1","L23")),IF(CF1508="Aussen","Aussen","-"))</f>
        <v>LIFT</v>
      </c>
      <c r="CH1508" s="71" t="n">
        <f aca="false">IF(N(AC1508)&gt;0,AC1508,0)</f>
        <v>0</v>
      </c>
      <c r="CI1508" s="65" t="n">
        <f aca="false">IF(ISNUMBER(AF1508),1,0)</f>
        <v>0</v>
      </c>
      <c r="CJ1508" s="62" t="n">
        <f aca="false">N(AF1508)</f>
        <v>0</v>
      </c>
      <c r="CK1508" s="62" t="n">
        <f aca="false">N(M1508)+N(N1508)</f>
        <v>20</v>
      </c>
      <c r="CL1508" s="62" t="n">
        <f aca="false">N(M1508)</f>
        <v>0</v>
      </c>
      <c r="CM1508" s="62" t="n">
        <f aca="false">N(N1508)</f>
        <v>20</v>
      </c>
      <c r="CN1508" s="62" t="n">
        <f aca="false">ROUNDUP(H1508/BZ1508,0)</f>
        <v>1</v>
      </c>
      <c r="CO1508" s="62" t="n">
        <f aca="false">ROUNDUP(CJ1508/BZ1508,0)</f>
        <v>0</v>
      </c>
      <c r="CP1508" s="65" t="n">
        <f aca="false">IF(CA1508=1,0,IFERROR(VLOOKUP(BY1508,'Gebinde-Kategorie'!$A$5:$N$45,5,0)+0,0))</f>
        <v>8</v>
      </c>
      <c r="CQ1508" s="65" t="n">
        <f aca="false">IFERROR(IF(OR(CF1508=1,CF1508=2,CF1508=3),N(INDEX(Parameter!$I$5:$I$7,CF1508)),0),0)</f>
        <v>0</v>
      </c>
      <c r="CR1508" s="64" t="n">
        <f aca="false">IF(AND(Parameter!$B$21="Ja",ISNUMBER(W1508),N(X1508)&gt;0),IFERROR(N(INDEX(Parameter!$L$5:$L$7,W1508))*INDEX(Parameter!$E$5:$E$7,W1508)*X1508/SUMIFS($X$7:$X$1843,$W$7:$W$1843,W1508),0),0)</f>
        <v>0</v>
      </c>
      <c r="CS1508" s="62" t="n">
        <f aca="false">IF(AND(OR(CG1508="L1",CG1508="L23",CG1508="LIFT"),H1508&gt;0),CC1508*IF(CR1508&gt;0,CR1508*MAX(1,H1508/X1508),IF(CA1508=1,CE1508,IF(R1508&gt;0,CN1508/R1508,0))/MAX(0.1,N(Parameter!$M$21))),"")</f>
        <v>1.49038461538462</v>
      </c>
      <c r="CT1508" s="64" t="n">
        <f aca="false">IF(CS1508="","",J1508/H1508)</f>
        <v>0</v>
      </c>
      <c r="CU1508" s="62" t="n">
        <f aca="false">IF(CS1508="","",H1508*G1508)</f>
        <v>1860.82</v>
      </c>
      <c r="CV1508" s="63" t="n">
        <f aca="false">IF(CS1508="","",(CL1508+ROUNDUP(CL1508+MAX(CM1508,2*(J1508/MAX(0.1,N(Einkauf!$C$6))-CL1508)),0))/2)</f>
        <v>10</v>
      </c>
      <c r="CW1508" s="62" t="n">
        <f aca="false">IF(CS1508="","",MAX(0,H1508-CV1508)*G1508)</f>
        <v>429.42</v>
      </c>
      <c r="CX1508" s="62" t="n">
        <f aca="false">IF(CS1508="","",CS1508*MAX(0,1-CV1508/H1508))</f>
        <v>0.343934911242604</v>
      </c>
      <c r="CY1508" s="64" t="n">
        <f aca="false">IF(CS1508="","",PERCENTRANK($CS$7:$CS$1843,CS1508)+PERCENTRANK($CU$7:$CU$1843,CU1508)+1-PERCENTRANK($CT$7:$CT$1843,CT1508))</f>
        <v>1.877</v>
      </c>
      <c r="CZ1508" s="72" t="n">
        <f aca="false">IF(CS1508="","",CHOOSE(MATCH(Einkauf!$C$5,Parameter!$G$23:$G$27,0),CY1508,CS1508,CU1508,-CT1508,CW1508)+ROW()/1000000000)</f>
        <v>1.877001508</v>
      </c>
    </row>
    <row r="1509" customFormat="false" ht="15" hidden="false" customHeight="false" outlineLevel="0" collapsed="false">
      <c r="A1509" s="60" t="s">
        <v>2681</v>
      </c>
      <c r="B1509" s="60" t="s">
        <v>2682</v>
      </c>
      <c r="C1509" s="60" t="s">
        <v>206</v>
      </c>
      <c r="D1509" s="60" t="s">
        <v>226</v>
      </c>
      <c r="E1509" s="60" t="s">
        <v>227</v>
      </c>
      <c r="F1509" s="60"/>
      <c r="G1509" s="61" t="n">
        <v>91</v>
      </c>
      <c r="H1509" s="62" t="n">
        <f aca="false">MAX(0,IF(AND(Parameter!$B$21="Ja",ISNUMBER(Y1509)),Y1509,IF(Parameter!$B$20="Jahresanfang 2025 + Export",BS1509+BR1509,BR1509)))</f>
        <v>15</v>
      </c>
      <c r="I1509" s="62" t="n">
        <f aca="false">H1509*G1509</f>
        <v>1365</v>
      </c>
      <c r="J1509" s="62" t="n">
        <f aca="false">BU1509*Parameter!$B$18</f>
        <v>0</v>
      </c>
      <c r="K1509" s="63"/>
      <c r="L1509" s="64"/>
      <c r="M1509" s="62" t="n">
        <v>0</v>
      </c>
      <c r="N1509" s="62" t="n">
        <v>10</v>
      </c>
      <c r="O1509" s="65" t="n">
        <v>28</v>
      </c>
      <c r="P1509" s="60" t="s">
        <v>344</v>
      </c>
      <c r="Q1509" s="62" t="n">
        <v>15</v>
      </c>
      <c r="R1509" s="65" t="n">
        <f aca="false">IF(CA1509=1,0,IFERROR(VLOOKUP(BY1509,'Gebinde-Kategorie'!$A$5:$N$45,13,0)+0,0))</f>
        <v>26</v>
      </c>
      <c r="S1509" s="66"/>
      <c r="T1509" s="67"/>
      <c r="U1509" s="67"/>
      <c r="V1509" s="67"/>
      <c r="W1509" s="60"/>
      <c r="X1509" s="62"/>
      <c r="Y1509" s="62"/>
      <c r="Z1509" s="60" t="n">
        <v>3</v>
      </c>
      <c r="AA1509" s="60" t="n">
        <f aca="false">IF(A1509="","",IF(AND(Parameter!$B$21="Ja",ISNUMBER(W1509)),W1509,IF(AND(Parameter!$E$27="Ja",ISNUMBER(Z1509),CD1509&lt;&gt;"Nein"),Z1509,IF(CD1509="2+3",IF(ISNUMBER(SEARCH("grosser Artikel",BV1509)),2,IFERROR(VLOOKUP(BY1509,Parameter!$F$35:$G$64,2,0),2)),IF(OR(CD1509="Nein",CD1509=""),"-",CD1509)))))</f>
        <v>3</v>
      </c>
      <c r="AB1509" s="67"/>
      <c r="AC1509" s="68"/>
      <c r="AD1509" s="62" t="n">
        <f aca="false">AW1509</f>
        <v>10</v>
      </c>
      <c r="AE1509" s="62" t="n">
        <f aca="false">MAX(AW1509,H1509)</f>
        <v>15</v>
      </c>
      <c r="AF1509" s="69"/>
      <c r="AG1509" s="62" t="n">
        <f aca="false">IF(LEFT(Cockpit!$C$5,1)="A",H1509,IF(Parameter!$E$30="MAX-Bestand",IF(CI1509=1,CJ1509,IF(LEFT(Cockpit!$C$5,1)="B",AM1509,MAX(AM1509,H1509))),ROUNDUP(AK1509,0)))</f>
        <v>15</v>
      </c>
      <c r="AH1509" s="62" t="n">
        <f aca="false">IF(CA1509=1,0,ROUNDUP(AG1509/BZ1509,0))</f>
        <v>1</v>
      </c>
      <c r="AI1509" s="64" t="n">
        <f aca="false">IF(CR1509&gt;0,CR1509*MAX(1,AG1509/X1509),IF(CA1509=1,IF(AG1509&lt;=0,0,CE1509*MAX(1,IF(H1509&gt;0,AG1509/H1509,1))),IF(R1509&gt;0,AH1509/R1509,0))/MAX(0.1,N(Parameter!$M$21)))</f>
        <v>0.0384615384615385</v>
      </c>
      <c r="AJ1509" s="62" t="n">
        <f aca="false">AI1509*CC1509</f>
        <v>5.96153846153846</v>
      </c>
      <c r="AK1509" s="63" t="n">
        <f aca="false">IF(LEFT(Cockpit!$C$5,1)="A",H1509,IF(CI1509=1,(CL1509+CJ1509)/2,IF(LEFT(Cockpit!$C$5,1)="B",(CL1509+AM1509)/2,MAX((CL1509+AM1509)/2,H1509))))</f>
        <v>15</v>
      </c>
      <c r="AL1509" s="62" t="n">
        <f aca="false">AK1509*G1509</f>
        <v>1365</v>
      </c>
      <c r="AM1509" s="62" t="n">
        <f aca="false">ROUNDUP(CL1509+MAX(CM1509,2*(J1509/IF(CH1509&gt;0,CH1509,MAX(0.1,N(Cockpit!$C$6)))-CL1509)),0)</f>
        <v>10</v>
      </c>
      <c r="AN1509" s="63" t="n">
        <f aca="false">IF(AJ1509&gt;0,J1509/AJ1509,-1)</f>
        <v>0</v>
      </c>
      <c r="AO1509" s="63" t="n">
        <f aca="false">IF(AND(OR(CG1509="L1",CG1509="L23",CG1509="LIFT"),AJ1509&gt;0),SUMIFS($AJ$7:$AJ$1843,$CG$7:$CG$1843,CG1509,$AN$7:$AN$1843,"&gt;"&amp;AN1509)+SUMIFS($AJ$7:$AJ$1843,$CG$7:$CG$1843,CG1509,$AN$7:$AN$1843,AN1509,$BX$7:$BX$1843,"&lt;="&amp;BX1509),"")</f>
        <v>29918.9737562343</v>
      </c>
      <c r="AP1509" s="70" t="n">
        <f aca="false">IF(AO1509="",0,MAX(0,MIN(1,(IF(CG1509="L1",Parameter!$H$5,IF(CG1509="L23",Parameter!$H$6+Parameter!$H$7,Parameter!$H$5+Parameter!$H$6+Parameter!$H$7))-(AO1509-AJ1509))/AJ1509)))</f>
        <v>1</v>
      </c>
      <c r="AQ1509" s="62" t="n">
        <f aca="false">IF(LEFT(Cockpit!$I$5,1)="A",H1509,IF(Parameter!$E$30="MAX-Bestand",IF(CI1509=1,CJ1509,IF(LEFT(Cockpit!$I$5,1)="B",AW1509,MAX(AW1509,H1509))),ROUNDUP(AU1509,0)))</f>
        <v>15</v>
      </c>
      <c r="AR1509" s="62" t="n">
        <f aca="false">IF(CA1509=1,0,ROUNDUP(AQ1509/BZ1509,0))</f>
        <v>1</v>
      </c>
      <c r="AS1509" s="64" t="n">
        <f aca="false">IF(CR1509&gt;0,CR1509*MAX(1,AQ1509/X1509),IF(CA1509=1,IF(AQ1509&lt;=0,0,CE1509*MAX(1,IF(H1509&gt;0,AQ1509/H1509,1))),IF(R1509&gt;0,AR1509/R1509,0))/MAX(0.1,N(Parameter!$M$21)))</f>
        <v>0.0384615384615385</v>
      </c>
      <c r="AT1509" s="62" t="n">
        <f aca="false">AS1509*CC1509</f>
        <v>5.96153846153846</v>
      </c>
      <c r="AU1509" s="63" t="n">
        <f aca="false">IF(LEFT(Cockpit!$I$5,1)="A",H1509,IF(CI1509=1,(CL1509+CJ1509)/2,IF(LEFT(Cockpit!$I$5,1)="B",(CL1509+AW1509)/2,MAX((CL1509+AW1509)/2,H1509))))</f>
        <v>15</v>
      </c>
      <c r="AV1509" s="62" t="n">
        <f aca="false">AU1509*G1509</f>
        <v>1365</v>
      </c>
      <c r="AW1509" s="62" t="n">
        <f aca="false">ROUNDUP(CL1509+MAX(CM1509,2*(J1509/IF(CH1509&gt;0,CH1509,MAX(0.1,N(Cockpit!$I$6)))-CL1509)),0)</f>
        <v>10</v>
      </c>
      <c r="AX1509" s="63" t="n">
        <f aca="false">IF(AT1509&gt;0,J1509/AT1509,-1)</f>
        <v>0</v>
      </c>
      <c r="AY1509" s="63" t="n">
        <f aca="false">IF(AND(OR(CG1509="L1",CG1509="L23",CG1509="LIFT"),AT1509&gt;0),SUMIFS($AT$7:$AT$1843,$CG$7:$CG$1843,CG1509,$AX$7:$AX$1843,"&gt;"&amp;AX1509)+SUMIFS($AT$7:$AT$1843,$CG$7:$CG$1843,CG1509,$AX$7:$AX$1843,AX1509,$BX$7:$BX$1843,"&lt;="&amp;BX1509),"")</f>
        <v>36225.544558784</v>
      </c>
      <c r="AZ1509" s="70" t="n">
        <f aca="false">IF(AY1509="",0,MAX(0,MIN(1,(IF(CG1509="L1",Parameter!$H$5,IF(CG1509="L23",Parameter!$H$6+Parameter!$H$7,Parameter!$H$5+Parameter!$H$6+Parameter!$H$7))-(AY1509-AT1509))/AT1509)))</f>
        <v>0</v>
      </c>
      <c r="BA1509" s="62" t="n">
        <f aca="false">IF(LEFT(Cockpit!$O$5,1)="A",H1509,IF(Parameter!$E$30="MAX-Bestand",IF(CI1509=1,CJ1509,IF(LEFT(Cockpit!$O$5,1)="B",BG1509,MAX(BG1509,H1509))),ROUNDUP(BE1509,0)))</f>
        <v>5</v>
      </c>
      <c r="BB1509" s="62" t="n">
        <f aca="false">IF(CA1509=1,0,ROUNDUP(BA1509/BZ1509,0))</f>
        <v>1</v>
      </c>
      <c r="BC1509" s="64" t="n">
        <f aca="false">IF(CR1509&gt;0,CR1509*MAX(1,BA1509/X1509),IF(CA1509=1,IF(BA1509&lt;=0,0,CE1509*MAX(1,IF(H1509&gt;0,BA1509/H1509,1))),IF(R1509&gt;0,BB1509/R1509,0))/MAX(0.1,N(Parameter!$M$21)))</f>
        <v>0.0384615384615385</v>
      </c>
      <c r="BD1509" s="62" t="n">
        <f aca="false">BC1509*CC1509</f>
        <v>5.96153846153846</v>
      </c>
      <c r="BE1509" s="63" t="n">
        <f aca="false">IF(LEFT(Cockpit!$O$5,1)="A",H1509,IF(CI1509=1,(CL1509+CJ1509)/2,IF(LEFT(Cockpit!$O$5,1)="B",(CL1509+BG1509)/2,MAX((CL1509+BG1509)/2,H1509))))</f>
        <v>5</v>
      </c>
      <c r="BF1509" s="62" t="n">
        <f aca="false">BE1509*G1509</f>
        <v>455</v>
      </c>
      <c r="BG1509" s="62" t="n">
        <f aca="false">ROUNDUP(CL1509+MAX(CM1509,2*(J1509/IF(CH1509&gt;0,CH1509,MAX(0.1,N(Cockpit!$O$6)))-CL1509)),0)</f>
        <v>10</v>
      </c>
      <c r="BH1509" s="63" t="n">
        <f aca="false">IF(BD1509&gt;0,J1509/BD1509,-1)</f>
        <v>0</v>
      </c>
      <c r="BI1509" s="63" t="n">
        <f aca="false">IF(AND(OR(CG1509="L1",CG1509="L23",CG1509="LIFT"),BD1509&gt;0),SUMIFS($BD$7:$BD$1843,$CG$7:$CG$1843,CG1509,$BH$7:$BH$1843,"&gt;"&amp;BH1509)+SUMIFS($BD$7:$BD$1843,$CG$7:$CG$1843,CG1509,$BH$7:$BH$1843,BH1509,$BX$7:$BX$1843,"&lt;="&amp;BX1509),"")</f>
        <v>30163.7358343163</v>
      </c>
      <c r="BJ1509" s="70" t="n">
        <f aca="false">IF(BI1509="",0,MAX(0,MIN(1,(IF(CG1509="L1",Parameter!$H$5,IF(CG1509="L23",Parameter!$H$6+Parameter!$H$7,Parameter!$H$5+Parameter!$H$6+Parameter!$H$7))-(BI1509-BD1509))/BD1509)))</f>
        <v>1</v>
      </c>
      <c r="BK1509" s="60" t="str">
        <f aca="false">IF(AJ1509&lt;=0,"",IF(CG1509="Aussen","Aussenlager",IF(CG1509="-","Nicht im Lift",IF(AP1509&gt;=1,"Lift",IF(AP1509&lt;=0,"Aussenlager","teilweise")))))</f>
        <v>Lift</v>
      </c>
      <c r="BL1509" s="60" t="str">
        <f aca="false">IF(AT1509&lt;=0,"",IF(CG1509="Aussen","Aussenlager",IF(CG1509="-","Nicht im Lift",IF(AZ1509&gt;=1,"Lift",IF(AZ1509&lt;=0,"Aussenlager","teilweise")))))</f>
        <v>Aussenlager</v>
      </c>
      <c r="BM1509" s="60" t="str">
        <f aca="false">IF(BD1509&lt;=0,"",IF(CG1509="Aussen","Aussenlager",IF(CG1509="-","Nicht im Lift",IF(BJ1509&gt;=1,"Lift",IF(BJ1509&lt;=0,"Aussenlager","teilweise")))))</f>
        <v>Lift</v>
      </c>
      <c r="BN1509" s="60" t="str">
        <f aca="false">IF(A1509="","",IF(BW1509=1,"Neu; ","")&amp;IF(AND(BW1509=0,BR1509&lt;0),"negativer Bestand (Export "&amp;BR1509&amp;"); ","")&amp;IF(J1509&lt;=0,"Kein Verbrauch; ","")&amp;IF(CR1509&gt;0,"Lift "&amp;W1509&amp;" lt. Liftbericht (Fach "&amp;X1509&amp;" Stk); ",IF(CB1509=1,"Gebinde geschätzt ("&amp;T1509&amp;"); ",IF(CA1509=1,"Lose – Tablare geschätzt; ","")))&amp;IF(H1509&gt;AW1509,"Überbestand "&amp;ROUND(H1509-AW1509,0)&amp;" Stk / CHF "&amp;ROUND((H1509-AW1509)*G1509,0)&amp;"; ","")&amp;IF(AND(CI1509=1,CJ1509&lt;CK1509),"MAX &lt; MB+LG; ","")&amp;IF(AND(CQ1509&gt;0,CP1509*10&gt;CQ1509),"zu hoch für Tablar; ","")&amp;IF(AND(BW1509=0,OR(CI1509=1,AB1509&lt;&gt;"",U1509&lt;&gt;"",V1509&lt;&gt;"",AC1509&lt;&gt;"")),"manuell übersteuert; ","")&amp;IF(AND(CA1509=0,R1509=0),"Gebinde unbekannt / Stellmass fehlt; ","")&amp;IF(AND(CA1509=0,N(V1509)&lt;=0,N(Q1509)&lt;=0),"Menge pro Gebinde fehlt (Ist = 1 Gebinde); ","")&amp;BV1509)</f>
        <v>Kein Verbrauch; Überbestand 5 Stk / CHF 455; nur im Artikelstamm (Bestand 23.06.2026); Überbestand</v>
      </c>
      <c r="BO1509" s="60"/>
      <c r="BP1509" s="60"/>
      <c r="BQ1509" s="67"/>
      <c r="BR1509" s="62" t="n">
        <v>15</v>
      </c>
      <c r="BS1509" s="62" t="n">
        <v>0</v>
      </c>
      <c r="BT1509" s="61" t="n">
        <v>0</v>
      </c>
      <c r="BU1509" s="62" t="n">
        <v>0</v>
      </c>
      <c r="BV1509" s="60" t="s">
        <v>2614</v>
      </c>
      <c r="BW1509" s="65" t="n">
        <v>0</v>
      </c>
      <c r="BX1509" s="65" t="n">
        <v>1509</v>
      </c>
      <c r="BY1509" s="60" t="str">
        <f aca="false">IF(U1509&lt;&gt;"",UPPER(TRIM(U1509)),IF(CB1509=1,UPPER(VLOOKUP(T1509,Parameter!$I$27:$K$29,2,0)),IF(P1509="","LOSE",P1509)))</f>
        <v>S51</v>
      </c>
      <c r="BZ1509" s="62" t="n">
        <f aca="false">IF(BY1509="LOSE",1,IF(N(V1509)&gt;0,V1509,IF(CB1509=1,MAX(1,N(VLOOKUP(T1509,Parameter!$I$27:$K$29,3,0)),H1509,N(N1509)),IF(N(Q1509)&gt;0,Q1509,MAX(1,H1509)))))</f>
        <v>15</v>
      </c>
      <c r="CA1509" s="65" t="n">
        <f aca="false">IF(BY1509="LOSE",1,0)</f>
        <v>0</v>
      </c>
      <c r="CB1509" s="65" t="n">
        <f aca="false">IF(AND(U1509="",OR(P1509="",P1509="LOSE"),T1509&lt;&gt;"",N(S1509)&lt;=0,ISNUMBER(MATCH(T1509,Parameter!$I$27:$I$29,0))),1,0)</f>
        <v>0</v>
      </c>
      <c r="CC1509" s="65" t="n">
        <f aca="false">IF(CR1509&gt;0,INDEX(Parameter!$H$5:$H$7,W1509)/INDEX(Parameter!$E$5:$E$7,W1509),IF(AND(CA1509=0,N(IFERROR(VLOOKUP(BY1509,'Gebinde-Kategorie'!$A$5:$N$45,14,0),0))&gt;0),VLOOKUP(BY1509,'Gebinde-Kategorie'!$A$5:$N$45,14,0)*10+Parameter!$M$23,Parameter!$M$24))</f>
        <v>155</v>
      </c>
      <c r="CD1509" s="60" t="str">
        <f aca="false">IF(AND(Parameter!$B$19="Ja",E1509&lt;&gt;"",ISNUMBER(MATCH(E1509,Parameter!$I$35:$I$52,0))),VLOOKUP(E1509,Parameter!$I$35:$J$52,2,0),IFERROR(VLOOKUP(D1509,Parameter!$A$35:$C$64,2,0),"Nein"))</f>
        <v>2+3</v>
      </c>
      <c r="CE1509" s="64" t="n">
        <f aca="false">IF(CA1509=0,0,IF(N(S1509)&gt;0,S1509,IFERROR(VLOOKUP(D1509,Parameter!$A$35:$C$64,3,0)+0,0)))</f>
        <v>0</v>
      </c>
      <c r="CF1509" s="60" t="n">
        <f aca="false">IF(AB1509&lt;&gt;"",AB1509,AA1509)</f>
        <v>3</v>
      </c>
      <c r="CG1509" s="60" t="str">
        <f aca="false">IF(OR(CF1509=1,CF1509=2,CF1509=3),IF(Parameter!$E$27="Ja","LIFT",IF(CF1509=1,"L1","L23")),IF(CF1509="Aussen","Aussen","-"))</f>
        <v>LIFT</v>
      </c>
      <c r="CH1509" s="71" t="n">
        <f aca="false">IF(N(AC1509)&gt;0,AC1509,0)</f>
        <v>0</v>
      </c>
      <c r="CI1509" s="65" t="n">
        <f aca="false">IF(ISNUMBER(AF1509),1,0)</f>
        <v>0</v>
      </c>
      <c r="CJ1509" s="62" t="n">
        <f aca="false">N(AF1509)</f>
        <v>0</v>
      </c>
      <c r="CK1509" s="62" t="n">
        <f aca="false">N(M1509)+N(N1509)</f>
        <v>10</v>
      </c>
      <c r="CL1509" s="62" t="n">
        <f aca="false">N(M1509)</f>
        <v>0</v>
      </c>
      <c r="CM1509" s="62" t="n">
        <f aca="false">N(N1509)</f>
        <v>10</v>
      </c>
      <c r="CN1509" s="62" t="n">
        <f aca="false">ROUNDUP(H1509/BZ1509,0)</f>
        <v>1</v>
      </c>
      <c r="CO1509" s="62" t="n">
        <f aca="false">ROUNDUP(CJ1509/BZ1509,0)</f>
        <v>0</v>
      </c>
      <c r="CP1509" s="65" t="n">
        <f aca="false">IF(CA1509=1,0,IFERROR(VLOOKUP(BY1509,'Gebinde-Kategorie'!$A$5:$N$45,5,0)+0,0))</f>
        <v>11</v>
      </c>
      <c r="CQ1509" s="65" t="n">
        <f aca="false">IFERROR(IF(OR(CF1509=1,CF1509=2,CF1509=3),N(INDEX(Parameter!$I$5:$I$7,CF1509)),0),0)</f>
        <v>0</v>
      </c>
      <c r="CR1509" s="64" t="n">
        <f aca="false">IF(AND(Parameter!$B$21="Ja",ISNUMBER(W1509),N(X1509)&gt;0),IFERROR(N(INDEX(Parameter!$L$5:$L$7,W1509))*INDEX(Parameter!$E$5:$E$7,W1509)*X1509/SUMIFS($X$7:$X$1843,$W$7:$W$1843,W1509),0),0)</f>
        <v>0</v>
      </c>
      <c r="CS1509" s="62" t="n">
        <f aca="false">IF(AND(OR(CG1509="L1",CG1509="L23",CG1509="LIFT"),H1509&gt;0),CC1509*IF(CR1509&gt;0,CR1509*MAX(1,H1509/X1509),IF(CA1509=1,CE1509,IF(R1509&gt;0,CN1509/R1509,0))/MAX(0.1,N(Parameter!$M$21))),"")</f>
        <v>5.96153846153846</v>
      </c>
      <c r="CT1509" s="64" t="n">
        <f aca="false">IF(CS1509="","",J1509/H1509)</f>
        <v>0</v>
      </c>
      <c r="CU1509" s="62" t="n">
        <f aca="false">IF(CS1509="","",H1509*G1509)</f>
        <v>1365</v>
      </c>
      <c r="CV1509" s="63" t="n">
        <f aca="false">IF(CS1509="","",(CL1509+ROUNDUP(CL1509+MAX(CM1509,2*(J1509/MAX(0.1,N(Einkauf!$C$6))-CL1509)),0))/2)</f>
        <v>5</v>
      </c>
      <c r="CW1509" s="62" t="n">
        <f aca="false">IF(CS1509="","",MAX(0,H1509-CV1509)*G1509)</f>
        <v>910</v>
      </c>
      <c r="CX1509" s="62" t="n">
        <f aca="false">IF(CS1509="","",CS1509*MAX(0,1-CV1509/H1509))</f>
        <v>3.97435897435898</v>
      </c>
      <c r="CY1509" s="64" t="n">
        <f aca="false">IF(CS1509="","",PERCENTRANK($CS$7:$CS$1843,CS1509)+PERCENTRANK($CU$7:$CU$1843,CU1509)+1-PERCENTRANK($CT$7:$CT$1843,CT1509))</f>
        <v>2.057</v>
      </c>
      <c r="CZ1509" s="72" t="n">
        <f aca="false">IF(CS1509="","",CHOOSE(MATCH(Einkauf!$C$5,Parameter!$G$23:$G$27,0),CY1509,CS1509,CU1509,-CT1509,CW1509)+ROW()/1000000000)</f>
        <v>2.057001509</v>
      </c>
    </row>
    <row r="1510" customFormat="false" ht="15" hidden="false" customHeight="false" outlineLevel="0" collapsed="false">
      <c r="A1510" s="60" t="s">
        <v>2683</v>
      </c>
      <c r="B1510" s="60" t="s">
        <v>989</v>
      </c>
      <c r="C1510" s="60" t="s">
        <v>206</v>
      </c>
      <c r="D1510" s="60" t="s">
        <v>226</v>
      </c>
      <c r="E1510" s="60" t="s">
        <v>227</v>
      </c>
      <c r="F1510" s="60"/>
      <c r="G1510" s="61" t="n">
        <v>21.15</v>
      </c>
      <c r="H1510" s="62" t="n">
        <f aca="false">MAX(0,IF(AND(Parameter!$B$21="Ja",ISNUMBER(Y1510)),Y1510,IF(Parameter!$B$20="Jahresanfang 2025 + Export",BS1510+BR1510,BR1510)))</f>
        <v>99</v>
      </c>
      <c r="I1510" s="62" t="n">
        <f aca="false">H1510*G1510</f>
        <v>2093.85</v>
      </c>
      <c r="J1510" s="62" t="n">
        <f aca="false">BU1510*Parameter!$B$18</f>
        <v>0</v>
      </c>
      <c r="K1510" s="63"/>
      <c r="L1510" s="64"/>
      <c r="M1510" s="62" t="n">
        <v>0</v>
      </c>
      <c r="N1510" s="62" t="n">
        <v>40</v>
      </c>
      <c r="O1510" s="65" t="n">
        <v>28</v>
      </c>
      <c r="P1510" s="60" t="s">
        <v>463</v>
      </c>
      <c r="Q1510" s="62" t="n">
        <v>99</v>
      </c>
      <c r="R1510" s="65" t="n">
        <f aca="false">IF(CA1510=1,0,IFERROR(VLOOKUP(BY1510,'Gebinde-Kategorie'!$A$5:$N$45,13,0)+0,0))</f>
        <v>104</v>
      </c>
      <c r="S1510" s="66"/>
      <c r="T1510" s="67"/>
      <c r="U1510" s="67"/>
      <c r="V1510" s="67"/>
      <c r="W1510" s="60"/>
      <c r="X1510" s="62"/>
      <c r="Y1510" s="62"/>
      <c r="Z1510" s="60" t="n">
        <v>1</v>
      </c>
      <c r="AA1510" s="60" t="n">
        <f aca="false">IF(A1510="","",IF(AND(Parameter!$B$21="Ja",ISNUMBER(W1510)),W1510,IF(AND(Parameter!$E$27="Ja",ISNUMBER(Z1510),CD1510&lt;&gt;"Nein"),Z1510,IF(CD1510="2+3",IF(ISNUMBER(SEARCH("grosser Artikel",BV1510)),2,IFERROR(VLOOKUP(BY1510,Parameter!$F$35:$G$64,2,0),2)),IF(OR(CD1510="Nein",CD1510=""),"-",CD1510)))))</f>
        <v>1</v>
      </c>
      <c r="AB1510" s="67"/>
      <c r="AC1510" s="68"/>
      <c r="AD1510" s="62" t="n">
        <f aca="false">AW1510</f>
        <v>40</v>
      </c>
      <c r="AE1510" s="62" t="n">
        <f aca="false">MAX(AW1510,H1510)</f>
        <v>99</v>
      </c>
      <c r="AF1510" s="69"/>
      <c r="AG1510" s="62" t="n">
        <f aca="false">IF(LEFT(Cockpit!$C$5,1)="A",H1510,IF(Parameter!$E$30="MAX-Bestand",IF(CI1510=1,CJ1510,IF(LEFT(Cockpit!$C$5,1)="B",AM1510,MAX(AM1510,H1510))),ROUNDUP(AK1510,0)))</f>
        <v>99</v>
      </c>
      <c r="AH1510" s="62" t="n">
        <f aca="false">IF(CA1510=1,0,ROUNDUP(AG1510/BZ1510,0))</f>
        <v>1</v>
      </c>
      <c r="AI1510" s="64" t="n">
        <f aca="false">IF(CR1510&gt;0,CR1510*MAX(1,AG1510/X1510),IF(CA1510=1,IF(AG1510&lt;=0,0,CE1510*MAX(1,IF(H1510&gt;0,AG1510/H1510,1))),IF(R1510&gt;0,AH1510/R1510,0))/MAX(0.1,N(Parameter!$M$21)))</f>
        <v>0.00961538461538462</v>
      </c>
      <c r="AJ1510" s="62" t="n">
        <f aca="false">AI1510*CC1510</f>
        <v>1.49038461538462</v>
      </c>
      <c r="AK1510" s="63" t="n">
        <f aca="false">IF(LEFT(Cockpit!$C$5,1)="A",H1510,IF(CI1510=1,(CL1510+CJ1510)/2,IF(LEFT(Cockpit!$C$5,1)="B",(CL1510+AM1510)/2,MAX((CL1510+AM1510)/2,H1510))))</f>
        <v>99</v>
      </c>
      <c r="AL1510" s="62" t="n">
        <f aca="false">AK1510*G1510</f>
        <v>2093.85</v>
      </c>
      <c r="AM1510" s="62" t="n">
        <f aca="false">ROUNDUP(CL1510+MAX(CM1510,2*(J1510/IF(CH1510&gt;0,CH1510,MAX(0.1,N(Cockpit!$C$6)))-CL1510)),0)</f>
        <v>40</v>
      </c>
      <c r="AN1510" s="63" t="n">
        <f aca="false">IF(AJ1510&gt;0,J1510/AJ1510,-1)</f>
        <v>0</v>
      </c>
      <c r="AO1510" s="63" t="n">
        <f aca="false">IF(AND(OR(CG1510="L1",CG1510="L23",CG1510="LIFT"),AJ1510&gt;0),SUMIFS($AJ$7:$AJ$1843,$CG$7:$CG$1843,CG1510,$AN$7:$AN$1843,"&gt;"&amp;AN1510)+SUMIFS($AJ$7:$AJ$1843,$CG$7:$CG$1843,CG1510,$AN$7:$AN$1843,AN1510,$BX$7:$BX$1843,"&lt;="&amp;BX1510),"")</f>
        <v>29920.4641408497</v>
      </c>
      <c r="AP1510" s="70" t="n">
        <f aca="false">IF(AO1510="",0,MAX(0,MIN(1,(IF(CG1510="L1",Parameter!$H$5,IF(CG1510="L23",Parameter!$H$6+Parameter!$H$7,Parameter!$H$5+Parameter!$H$6+Parameter!$H$7))-(AO1510-AJ1510))/AJ1510)))</f>
        <v>1</v>
      </c>
      <c r="AQ1510" s="62" t="n">
        <f aca="false">IF(LEFT(Cockpit!$I$5,1)="A",H1510,IF(Parameter!$E$30="MAX-Bestand",IF(CI1510=1,CJ1510,IF(LEFT(Cockpit!$I$5,1)="B",AW1510,MAX(AW1510,H1510))),ROUNDUP(AU1510,0)))</f>
        <v>99</v>
      </c>
      <c r="AR1510" s="62" t="n">
        <f aca="false">IF(CA1510=1,0,ROUNDUP(AQ1510/BZ1510,0))</f>
        <v>1</v>
      </c>
      <c r="AS1510" s="64" t="n">
        <f aca="false">IF(CR1510&gt;0,CR1510*MAX(1,AQ1510/X1510),IF(CA1510=1,IF(AQ1510&lt;=0,0,CE1510*MAX(1,IF(H1510&gt;0,AQ1510/H1510,1))),IF(R1510&gt;0,AR1510/R1510,0))/MAX(0.1,N(Parameter!$M$21)))</f>
        <v>0.00961538461538462</v>
      </c>
      <c r="AT1510" s="62" t="n">
        <f aca="false">AS1510*CC1510</f>
        <v>1.49038461538462</v>
      </c>
      <c r="AU1510" s="63" t="n">
        <f aca="false">IF(LEFT(Cockpit!$I$5,1)="A",H1510,IF(CI1510=1,(CL1510+CJ1510)/2,IF(LEFT(Cockpit!$I$5,1)="B",(CL1510+AW1510)/2,MAX((CL1510+AW1510)/2,H1510))))</f>
        <v>99</v>
      </c>
      <c r="AV1510" s="62" t="n">
        <f aca="false">AU1510*G1510</f>
        <v>2093.85</v>
      </c>
      <c r="AW1510" s="62" t="n">
        <f aca="false">ROUNDUP(CL1510+MAX(CM1510,2*(J1510/IF(CH1510&gt;0,CH1510,MAX(0.1,N(Cockpit!$I$6)))-CL1510)),0)</f>
        <v>40</v>
      </c>
      <c r="AX1510" s="63" t="n">
        <f aca="false">IF(AT1510&gt;0,J1510/AT1510,-1)</f>
        <v>0</v>
      </c>
      <c r="AY1510" s="63" t="n">
        <f aca="false">IF(AND(OR(CG1510="L1",CG1510="L23",CG1510="LIFT"),AT1510&gt;0),SUMIFS($AT$7:$AT$1843,$CG$7:$CG$1843,CG1510,$AX$7:$AX$1843,"&gt;"&amp;AX1510)+SUMIFS($AT$7:$AT$1843,$CG$7:$CG$1843,CG1510,$AX$7:$AX$1843,AX1510,$BX$7:$BX$1843,"&lt;="&amp;BX1510),"")</f>
        <v>36227.0349433994</v>
      </c>
      <c r="AZ1510" s="70" t="n">
        <f aca="false">IF(AY1510="",0,MAX(0,MIN(1,(IF(CG1510="L1",Parameter!$H$5,IF(CG1510="L23",Parameter!$H$6+Parameter!$H$7,Parameter!$H$5+Parameter!$H$6+Parameter!$H$7))-(AY1510-AT1510))/AT1510)))</f>
        <v>0</v>
      </c>
      <c r="BA1510" s="62" t="n">
        <f aca="false">IF(LEFT(Cockpit!$O$5,1)="A",H1510,IF(Parameter!$E$30="MAX-Bestand",IF(CI1510=1,CJ1510,IF(LEFT(Cockpit!$O$5,1)="B",BG1510,MAX(BG1510,H1510))),ROUNDUP(BE1510,0)))</f>
        <v>20</v>
      </c>
      <c r="BB1510" s="62" t="n">
        <f aca="false">IF(CA1510=1,0,ROUNDUP(BA1510/BZ1510,0))</f>
        <v>1</v>
      </c>
      <c r="BC1510" s="64" t="n">
        <f aca="false">IF(CR1510&gt;0,CR1510*MAX(1,BA1510/X1510),IF(CA1510=1,IF(BA1510&lt;=0,0,CE1510*MAX(1,IF(H1510&gt;0,BA1510/H1510,1))),IF(R1510&gt;0,BB1510/R1510,0))/MAX(0.1,N(Parameter!$M$21)))</f>
        <v>0.00961538461538462</v>
      </c>
      <c r="BD1510" s="62" t="n">
        <f aca="false">BC1510*CC1510</f>
        <v>1.49038461538462</v>
      </c>
      <c r="BE1510" s="63" t="n">
        <f aca="false">IF(LEFT(Cockpit!$O$5,1)="A",H1510,IF(CI1510=1,(CL1510+CJ1510)/2,IF(LEFT(Cockpit!$O$5,1)="B",(CL1510+BG1510)/2,MAX((CL1510+BG1510)/2,H1510))))</f>
        <v>20</v>
      </c>
      <c r="BF1510" s="62" t="n">
        <f aca="false">BE1510*G1510</f>
        <v>423</v>
      </c>
      <c r="BG1510" s="62" t="n">
        <f aca="false">ROUNDUP(CL1510+MAX(CM1510,2*(J1510/IF(CH1510&gt;0,CH1510,MAX(0.1,N(Cockpit!$O$6)))-CL1510)),0)</f>
        <v>40</v>
      </c>
      <c r="BH1510" s="63" t="n">
        <f aca="false">IF(BD1510&gt;0,J1510/BD1510,-1)</f>
        <v>0</v>
      </c>
      <c r="BI1510" s="63" t="n">
        <f aca="false">IF(AND(OR(CG1510="L1",CG1510="L23",CG1510="LIFT"),BD1510&gt;0),SUMIFS($BD$7:$BD$1843,$CG$7:$CG$1843,CG1510,$BH$7:$BH$1843,"&gt;"&amp;BH1510)+SUMIFS($BD$7:$BD$1843,$CG$7:$CG$1843,CG1510,$BH$7:$BH$1843,BH1510,$BX$7:$BX$1843,"&lt;="&amp;BX1510),"")</f>
        <v>30165.2262189317</v>
      </c>
      <c r="BJ1510" s="70" t="n">
        <f aca="false">IF(BI1510="",0,MAX(0,MIN(1,(IF(CG1510="L1",Parameter!$H$5,IF(CG1510="L23",Parameter!$H$6+Parameter!$H$7,Parameter!$H$5+Parameter!$H$6+Parameter!$H$7))-(BI1510-BD1510))/BD1510)))</f>
        <v>1</v>
      </c>
      <c r="BK1510" s="60" t="str">
        <f aca="false">IF(AJ1510&lt;=0,"",IF(CG1510="Aussen","Aussenlager",IF(CG1510="-","Nicht im Lift",IF(AP1510&gt;=1,"Lift",IF(AP1510&lt;=0,"Aussenlager","teilweise")))))</f>
        <v>Lift</v>
      </c>
      <c r="BL1510" s="60" t="str">
        <f aca="false">IF(AT1510&lt;=0,"",IF(CG1510="Aussen","Aussenlager",IF(CG1510="-","Nicht im Lift",IF(AZ1510&gt;=1,"Lift",IF(AZ1510&lt;=0,"Aussenlager","teilweise")))))</f>
        <v>Aussenlager</v>
      </c>
      <c r="BM1510" s="60" t="str">
        <f aca="false">IF(BD1510&lt;=0,"",IF(CG1510="Aussen","Aussenlager",IF(CG1510="-","Nicht im Lift",IF(BJ1510&gt;=1,"Lift",IF(BJ1510&lt;=0,"Aussenlager","teilweise")))))</f>
        <v>Lift</v>
      </c>
      <c r="BN1510" s="60" t="str">
        <f aca="false">IF(A1510="","",IF(BW1510=1,"Neu; ","")&amp;IF(AND(BW1510=0,BR1510&lt;0),"negativer Bestand (Export "&amp;BR1510&amp;"); ","")&amp;IF(J1510&lt;=0,"Kein Verbrauch; ","")&amp;IF(CR1510&gt;0,"Lift "&amp;W1510&amp;" lt. Liftbericht (Fach "&amp;X1510&amp;" Stk); ",IF(CB1510=1,"Gebinde geschätzt ("&amp;T1510&amp;"); ",IF(CA1510=1,"Lose – Tablare geschätzt; ","")))&amp;IF(H1510&gt;AW1510,"Überbestand "&amp;ROUND(H1510-AW1510,0)&amp;" Stk / CHF "&amp;ROUND((H1510-AW1510)*G1510,0)&amp;"; ","")&amp;IF(AND(CI1510=1,CJ1510&lt;CK1510),"MAX &lt; MB+LG; ","")&amp;IF(AND(CQ1510&gt;0,CP1510*10&gt;CQ1510),"zu hoch für Tablar; ","")&amp;IF(AND(BW1510=0,OR(CI1510=1,AB1510&lt;&gt;"",U1510&lt;&gt;"",V1510&lt;&gt;"",AC1510&lt;&gt;"")),"manuell übersteuert; ","")&amp;IF(AND(CA1510=0,R1510=0),"Gebinde unbekannt / Stellmass fehlt; ","")&amp;IF(AND(CA1510=0,N(V1510)&lt;=0,N(Q1510)&lt;=0),"Menge pro Gebinde fehlt (Ist = 1 Gebinde); ","")&amp;BV1510)</f>
        <v>Kein Verbrauch; Überbestand 59 Stk / CHF 1248; nur im Artikelstamm (Bestand 23.06.2026); Überbestand</v>
      </c>
      <c r="BO1510" s="60"/>
      <c r="BP1510" s="60"/>
      <c r="BQ1510" s="67"/>
      <c r="BR1510" s="62" t="n">
        <v>99</v>
      </c>
      <c r="BS1510" s="62" t="n">
        <v>0</v>
      </c>
      <c r="BT1510" s="61" t="n">
        <v>0</v>
      </c>
      <c r="BU1510" s="62" t="n">
        <v>0</v>
      </c>
      <c r="BV1510" s="60" t="s">
        <v>2614</v>
      </c>
      <c r="BW1510" s="65" t="n">
        <v>0</v>
      </c>
      <c r="BX1510" s="65" t="n">
        <v>1510</v>
      </c>
      <c r="BY1510" s="60" t="str">
        <f aca="false">IF(U1510&lt;&gt;"",UPPER(TRIM(U1510)),IF(CB1510=1,UPPER(VLOOKUP(T1510,Parameter!$I$27:$K$29,2,0)),IF(P1510="","LOSE",P1510)))</f>
        <v>S32</v>
      </c>
      <c r="BZ1510" s="62" t="n">
        <f aca="false">IF(BY1510="LOSE",1,IF(N(V1510)&gt;0,V1510,IF(CB1510=1,MAX(1,N(VLOOKUP(T1510,Parameter!$I$27:$K$29,3,0)),H1510,N(N1510)),IF(N(Q1510)&gt;0,Q1510,MAX(1,H1510)))))</f>
        <v>99</v>
      </c>
      <c r="CA1510" s="65" t="n">
        <f aca="false">IF(BY1510="LOSE",1,0)</f>
        <v>0</v>
      </c>
      <c r="CB1510" s="65" t="n">
        <f aca="false">IF(AND(U1510="",OR(P1510="",P1510="LOSE"),T1510&lt;&gt;"",N(S1510)&lt;=0,ISNUMBER(MATCH(T1510,Parameter!$I$27:$I$29,0))),1,0)</f>
        <v>0</v>
      </c>
      <c r="CC1510" s="65" t="n">
        <f aca="false">IF(CR1510&gt;0,INDEX(Parameter!$H$5:$H$7,W1510)/INDEX(Parameter!$E$5:$E$7,W1510),IF(AND(CA1510=0,N(IFERROR(VLOOKUP(BY1510,'Gebinde-Kategorie'!$A$5:$N$45,14,0),0))&gt;0),VLOOKUP(BY1510,'Gebinde-Kategorie'!$A$5:$N$45,14,0)*10+Parameter!$M$23,Parameter!$M$24))</f>
        <v>155</v>
      </c>
      <c r="CD1510" s="60" t="str">
        <f aca="false">IF(AND(Parameter!$B$19="Ja",E1510&lt;&gt;"",ISNUMBER(MATCH(E1510,Parameter!$I$35:$I$52,0))),VLOOKUP(E1510,Parameter!$I$35:$J$52,2,0),IFERROR(VLOOKUP(D1510,Parameter!$A$35:$C$64,2,0),"Nein"))</f>
        <v>2+3</v>
      </c>
      <c r="CE1510" s="64" t="n">
        <f aca="false">IF(CA1510=0,0,IF(N(S1510)&gt;0,S1510,IFERROR(VLOOKUP(D1510,Parameter!$A$35:$C$64,3,0)+0,0)))</f>
        <v>0</v>
      </c>
      <c r="CF1510" s="60" t="n">
        <f aca="false">IF(AB1510&lt;&gt;"",AB1510,AA1510)</f>
        <v>1</v>
      </c>
      <c r="CG1510" s="60" t="str">
        <f aca="false">IF(OR(CF1510=1,CF1510=2,CF1510=3),IF(Parameter!$E$27="Ja","LIFT",IF(CF1510=1,"L1","L23")),IF(CF1510="Aussen","Aussen","-"))</f>
        <v>LIFT</v>
      </c>
      <c r="CH1510" s="71" t="n">
        <f aca="false">IF(N(AC1510)&gt;0,AC1510,0)</f>
        <v>0</v>
      </c>
      <c r="CI1510" s="65" t="n">
        <f aca="false">IF(ISNUMBER(AF1510),1,0)</f>
        <v>0</v>
      </c>
      <c r="CJ1510" s="62" t="n">
        <f aca="false">N(AF1510)</f>
        <v>0</v>
      </c>
      <c r="CK1510" s="62" t="n">
        <f aca="false">N(M1510)+N(N1510)</f>
        <v>40</v>
      </c>
      <c r="CL1510" s="62" t="n">
        <f aca="false">N(M1510)</f>
        <v>0</v>
      </c>
      <c r="CM1510" s="62" t="n">
        <f aca="false">N(N1510)</f>
        <v>40</v>
      </c>
      <c r="CN1510" s="62" t="n">
        <f aca="false">ROUNDUP(H1510/BZ1510,0)</f>
        <v>1</v>
      </c>
      <c r="CO1510" s="62" t="n">
        <f aca="false">ROUNDUP(CJ1510/BZ1510,0)</f>
        <v>0</v>
      </c>
      <c r="CP1510" s="65" t="n">
        <f aca="false">IF(CA1510=1,0,IFERROR(VLOOKUP(BY1510,'Gebinde-Kategorie'!$A$5:$N$45,5,0)+0,0))</f>
        <v>8</v>
      </c>
      <c r="CQ1510" s="65" t="n">
        <f aca="false">IFERROR(IF(OR(CF1510=1,CF1510=2,CF1510=3),N(INDEX(Parameter!$I$5:$I$7,CF1510)),0),0)</f>
        <v>0</v>
      </c>
      <c r="CR1510" s="64" t="n">
        <f aca="false">IF(AND(Parameter!$B$21="Ja",ISNUMBER(W1510),N(X1510)&gt;0),IFERROR(N(INDEX(Parameter!$L$5:$L$7,W1510))*INDEX(Parameter!$E$5:$E$7,W1510)*X1510/SUMIFS($X$7:$X$1843,$W$7:$W$1843,W1510),0),0)</f>
        <v>0</v>
      </c>
      <c r="CS1510" s="62" t="n">
        <f aca="false">IF(AND(OR(CG1510="L1",CG1510="L23",CG1510="LIFT"),H1510&gt;0),CC1510*IF(CR1510&gt;0,CR1510*MAX(1,H1510/X1510),IF(CA1510=1,CE1510,IF(R1510&gt;0,CN1510/R1510,0))/MAX(0.1,N(Parameter!$M$21))),"")</f>
        <v>1.49038461538462</v>
      </c>
      <c r="CT1510" s="64" t="n">
        <f aca="false">IF(CS1510="","",J1510/H1510)</f>
        <v>0</v>
      </c>
      <c r="CU1510" s="62" t="n">
        <f aca="false">IF(CS1510="","",H1510*G1510)</f>
        <v>2093.85</v>
      </c>
      <c r="CV1510" s="63" t="n">
        <f aca="false">IF(CS1510="","",(CL1510+ROUNDUP(CL1510+MAX(CM1510,2*(J1510/MAX(0.1,N(Einkauf!$C$6))-CL1510)),0))/2)</f>
        <v>20</v>
      </c>
      <c r="CW1510" s="62" t="n">
        <f aca="false">IF(CS1510="","",MAX(0,H1510-CV1510)*G1510)</f>
        <v>1670.85</v>
      </c>
      <c r="CX1510" s="62" t="n">
        <f aca="false">IF(CS1510="","",CS1510*MAX(0,1-CV1510/H1510))</f>
        <v>1.18929681429681</v>
      </c>
      <c r="CY1510" s="64" t="n">
        <f aca="false">IF(CS1510="","",PERCENTRANK($CS$7:$CS$1843,CS1510)+PERCENTRANK($CU$7:$CU$1843,CU1510)+1-PERCENTRANK($CT$7:$CT$1843,CT1510))</f>
        <v>1.897</v>
      </c>
      <c r="CZ1510" s="72" t="n">
        <f aca="false">IF(CS1510="","",CHOOSE(MATCH(Einkauf!$C$5,Parameter!$G$23:$G$27,0),CY1510,CS1510,CU1510,-CT1510,CW1510)+ROW()/1000000000)</f>
        <v>1.89700151</v>
      </c>
    </row>
    <row r="1511" customFormat="false" ht="15" hidden="false" customHeight="false" outlineLevel="0" collapsed="false">
      <c r="A1511" s="60" t="s">
        <v>2684</v>
      </c>
      <c r="B1511" s="60" t="s">
        <v>2685</v>
      </c>
      <c r="C1511" s="60" t="s">
        <v>206</v>
      </c>
      <c r="D1511" s="60" t="s">
        <v>226</v>
      </c>
      <c r="E1511" s="60" t="s">
        <v>227</v>
      </c>
      <c r="F1511" s="60"/>
      <c r="G1511" s="61" t="n">
        <v>19.73</v>
      </c>
      <c r="H1511" s="62" t="n">
        <f aca="false">MAX(0,IF(AND(Parameter!$B$21="Ja",ISNUMBER(Y1511)),Y1511,IF(Parameter!$B$20="Jahresanfang 2025 + Export",BS1511+BR1511,BR1511)))</f>
        <v>27</v>
      </c>
      <c r="I1511" s="62" t="n">
        <f aca="false">H1511*G1511</f>
        <v>532.71</v>
      </c>
      <c r="J1511" s="62" t="n">
        <f aca="false">BU1511*Parameter!$B$18</f>
        <v>0</v>
      </c>
      <c r="K1511" s="63"/>
      <c r="L1511" s="64"/>
      <c r="M1511" s="62" t="n">
        <v>0</v>
      </c>
      <c r="N1511" s="62" t="n">
        <v>10</v>
      </c>
      <c r="O1511" s="65" t="n">
        <v>28</v>
      </c>
      <c r="P1511" s="60" t="s">
        <v>370</v>
      </c>
      <c r="Q1511" s="62" t="n">
        <v>27</v>
      </c>
      <c r="R1511" s="65" t="n">
        <f aca="false">IF(CA1511=1,0,IFERROR(VLOOKUP(BY1511,'Gebinde-Kategorie'!$A$5:$N$45,13,0)+0,0))</f>
        <v>52</v>
      </c>
      <c r="S1511" s="66"/>
      <c r="T1511" s="67"/>
      <c r="U1511" s="67"/>
      <c r="V1511" s="67"/>
      <c r="W1511" s="60"/>
      <c r="X1511" s="62"/>
      <c r="Y1511" s="62"/>
      <c r="Z1511" s="60" t="n">
        <v>3</v>
      </c>
      <c r="AA1511" s="60" t="n">
        <f aca="false">IF(A1511="","",IF(AND(Parameter!$B$21="Ja",ISNUMBER(W1511)),W1511,IF(AND(Parameter!$E$27="Ja",ISNUMBER(Z1511),CD1511&lt;&gt;"Nein"),Z1511,IF(CD1511="2+3",IF(ISNUMBER(SEARCH("grosser Artikel",BV1511)),2,IFERROR(VLOOKUP(BY1511,Parameter!$F$35:$G$64,2,0),2)),IF(OR(CD1511="Nein",CD1511=""),"-",CD1511)))))</f>
        <v>3</v>
      </c>
      <c r="AB1511" s="67"/>
      <c r="AC1511" s="68"/>
      <c r="AD1511" s="62" t="n">
        <f aca="false">AW1511</f>
        <v>10</v>
      </c>
      <c r="AE1511" s="62" t="n">
        <f aca="false">MAX(AW1511,H1511)</f>
        <v>27</v>
      </c>
      <c r="AF1511" s="69"/>
      <c r="AG1511" s="62" t="n">
        <f aca="false">IF(LEFT(Cockpit!$C$5,1)="A",H1511,IF(Parameter!$E$30="MAX-Bestand",IF(CI1511=1,CJ1511,IF(LEFT(Cockpit!$C$5,1)="B",AM1511,MAX(AM1511,H1511))),ROUNDUP(AK1511,0)))</f>
        <v>27</v>
      </c>
      <c r="AH1511" s="62" t="n">
        <f aca="false">IF(CA1511=1,0,ROUNDUP(AG1511/BZ1511,0))</f>
        <v>1</v>
      </c>
      <c r="AI1511" s="64" t="n">
        <f aca="false">IF(CR1511&gt;0,CR1511*MAX(1,AG1511/X1511),IF(CA1511=1,IF(AG1511&lt;=0,0,CE1511*MAX(1,IF(H1511&gt;0,AG1511/H1511,1))),IF(R1511&gt;0,AH1511/R1511,0))/MAX(0.1,N(Parameter!$M$21)))</f>
        <v>0.0192307692307692</v>
      </c>
      <c r="AJ1511" s="62" t="n">
        <f aca="false">AI1511*CC1511</f>
        <v>2.98076923076923</v>
      </c>
      <c r="AK1511" s="63" t="n">
        <f aca="false">IF(LEFT(Cockpit!$C$5,1)="A",H1511,IF(CI1511=1,(CL1511+CJ1511)/2,IF(LEFT(Cockpit!$C$5,1)="B",(CL1511+AM1511)/2,MAX((CL1511+AM1511)/2,H1511))))</f>
        <v>27</v>
      </c>
      <c r="AL1511" s="62" t="n">
        <f aca="false">AK1511*G1511</f>
        <v>532.71</v>
      </c>
      <c r="AM1511" s="62" t="n">
        <f aca="false">ROUNDUP(CL1511+MAX(CM1511,2*(J1511/IF(CH1511&gt;0,CH1511,MAX(0.1,N(Cockpit!$C$6)))-CL1511)),0)</f>
        <v>10</v>
      </c>
      <c r="AN1511" s="63" t="n">
        <f aca="false">IF(AJ1511&gt;0,J1511/AJ1511,-1)</f>
        <v>0</v>
      </c>
      <c r="AO1511" s="63" t="n">
        <f aca="false">IF(AND(OR(CG1511="L1",CG1511="L23",CG1511="LIFT"),AJ1511&gt;0),SUMIFS($AJ$7:$AJ$1843,$CG$7:$CG$1843,CG1511,$AN$7:$AN$1843,"&gt;"&amp;AN1511)+SUMIFS($AJ$7:$AJ$1843,$CG$7:$CG$1843,CG1511,$AN$7:$AN$1843,AN1511,$BX$7:$BX$1843,"&lt;="&amp;BX1511),"")</f>
        <v>29923.4449100805</v>
      </c>
      <c r="AP1511" s="70" t="n">
        <f aca="false">IF(AO1511="",0,MAX(0,MIN(1,(IF(CG1511="L1",Parameter!$H$5,IF(CG1511="L23",Parameter!$H$6+Parameter!$H$7,Parameter!$H$5+Parameter!$H$6+Parameter!$H$7))-(AO1511-AJ1511))/AJ1511)))</f>
        <v>1</v>
      </c>
      <c r="AQ1511" s="62" t="n">
        <f aca="false">IF(LEFT(Cockpit!$I$5,1)="A",H1511,IF(Parameter!$E$30="MAX-Bestand",IF(CI1511=1,CJ1511,IF(LEFT(Cockpit!$I$5,1)="B",AW1511,MAX(AW1511,H1511))),ROUNDUP(AU1511,0)))</f>
        <v>27</v>
      </c>
      <c r="AR1511" s="62" t="n">
        <f aca="false">IF(CA1511=1,0,ROUNDUP(AQ1511/BZ1511,0))</f>
        <v>1</v>
      </c>
      <c r="AS1511" s="64" t="n">
        <f aca="false">IF(CR1511&gt;0,CR1511*MAX(1,AQ1511/X1511),IF(CA1511=1,IF(AQ1511&lt;=0,0,CE1511*MAX(1,IF(H1511&gt;0,AQ1511/H1511,1))),IF(R1511&gt;0,AR1511/R1511,0))/MAX(0.1,N(Parameter!$M$21)))</f>
        <v>0.0192307692307692</v>
      </c>
      <c r="AT1511" s="62" t="n">
        <f aca="false">AS1511*CC1511</f>
        <v>2.98076923076923</v>
      </c>
      <c r="AU1511" s="63" t="n">
        <f aca="false">IF(LEFT(Cockpit!$I$5,1)="A",H1511,IF(CI1511=1,(CL1511+CJ1511)/2,IF(LEFT(Cockpit!$I$5,1)="B",(CL1511+AW1511)/2,MAX((CL1511+AW1511)/2,H1511))))</f>
        <v>27</v>
      </c>
      <c r="AV1511" s="62" t="n">
        <f aca="false">AU1511*G1511</f>
        <v>532.71</v>
      </c>
      <c r="AW1511" s="62" t="n">
        <f aca="false">ROUNDUP(CL1511+MAX(CM1511,2*(J1511/IF(CH1511&gt;0,CH1511,MAX(0.1,N(Cockpit!$I$6)))-CL1511)),0)</f>
        <v>10</v>
      </c>
      <c r="AX1511" s="63" t="n">
        <f aca="false">IF(AT1511&gt;0,J1511/AT1511,-1)</f>
        <v>0</v>
      </c>
      <c r="AY1511" s="63" t="n">
        <f aca="false">IF(AND(OR(CG1511="L1",CG1511="L23",CG1511="LIFT"),AT1511&gt;0),SUMIFS($AT$7:$AT$1843,$CG$7:$CG$1843,CG1511,$AX$7:$AX$1843,"&gt;"&amp;AX1511)+SUMIFS($AT$7:$AT$1843,$CG$7:$CG$1843,CG1511,$AX$7:$AX$1843,AX1511,$BX$7:$BX$1843,"&lt;="&amp;BX1511),"")</f>
        <v>36230.0157126301</v>
      </c>
      <c r="AZ1511" s="70" t="n">
        <f aca="false">IF(AY1511="",0,MAX(0,MIN(1,(IF(CG1511="L1",Parameter!$H$5,IF(CG1511="L23",Parameter!$H$6+Parameter!$H$7,Parameter!$H$5+Parameter!$H$6+Parameter!$H$7))-(AY1511-AT1511))/AT1511)))</f>
        <v>0</v>
      </c>
      <c r="BA1511" s="62" t="n">
        <f aca="false">IF(LEFT(Cockpit!$O$5,1)="A",H1511,IF(Parameter!$E$30="MAX-Bestand",IF(CI1511=1,CJ1511,IF(LEFT(Cockpit!$O$5,1)="B",BG1511,MAX(BG1511,H1511))),ROUNDUP(BE1511,0)))</f>
        <v>5</v>
      </c>
      <c r="BB1511" s="62" t="n">
        <f aca="false">IF(CA1511=1,0,ROUNDUP(BA1511/BZ1511,0))</f>
        <v>1</v>
      </c>
      <c r="BC1511" s="64" t="n">
        <f aca="false">IF(CR1511&gt;0,CR1511*MAX(1,BA1511/X1511),IF(CA1511=1,IF(BA1511&lt;=0,0,CE1511*MAX(1,IF(H1511&gt;0,BA1511/H1511,1))),IF(R1511&gt;0,BB1511/R1511,0))/MAX(0.1,N(Parameter!$M$21)))</f>
        <v>0.0192307692307692</v>
      </c>
      <c r="BD1511" s="62" t="n">
        <f aca="false">BC1511*CC1511</f>
        <v>2.98076923076923</v>
      </c>
      <c r="BE1511" s="63" t="n">
        <f aca="false">IF(LEFT(Cockpit!$O$5,1)="A",H1511,IF(CI1511=1,(CL1511+CJ1511)/2,IF(LEFT(Cockpit!$O$5,1)="B",(CL1511+BG1511)/2,MAX((CL1511+BG1511)/2,H1511))))</f>
        <v>5</v>
      </c>
      <c r="BF1511" s="62" t="n">
        <f aca="false">BE1511*G1511</f>
        <v>98.65</v>
      </c>
      <c r="BG1511" s="62" t="n">
        <f aca="false">ROUNDUP(CL1511+MAX(CM1511,2*(J1511/IF(CH1511&gt;0,CH1511,MAX(0.1,N(Cockpit!$O$6)))-CL1511)),0)</f>
        <v>10</v>
      </c>
      <c r="BH1511" s="63" t="n">
        <f aca="false">IF(BD1511&gt;0,J1511/BD1511,-1)</f>
        <v>0</v>
      </c>
      <c r="BI1511" s="63" t="n">
        <f aca="false">IF(AND(OR(CG1511="L1",CG1511="L23",CG1511="LIFT"),BD1511&gt;0),SUMIFS($BD$7:$BD$1843,$CG$7:$CG$1843,CG1511,$BH$7:$BH$1843,"&gt;"&amp;BH1511)+SUMIFS($BD$7:$BD$1843,$CG$7:$CG$1843,CG1511,$BH$7:$BH$1843,BH1511,$BX$7:$BX$1843,"&lt;="&amp;BX1511),"")</f>
        <v>30168.2069881625</v>
      </c>
      <c r="BJ1511" s="70" t="n">
        <f aca="false">IF(BI1511="",0,MAX(0,MIN(1,(IF(CG1511="L1",Parameter!$H$5,IF(CG1511="L23",Parameter!$H$6+Parameter!$H$7,Parameter!$H$5+Parameter!$H$6+Parameter!$H$7))-(BI1511-BD1511))/BD1511)))</f>
        <v>1</v>
      </c>
      <c r="BK1511" s="60" t="str">
        <f aca="false">IF(AJ1511&lt;=0,"",IF(CG1511="Aussen","Aussenlager",IF(CG1511="-","Nicht im Lift",IF(AP1511&gt;=1,"Lift",IF(AP1511&lt;=0,"Aussenlager","teilweise")))))</f>
        <v>Lift</v>
      </c>
      <c r="BL1511" s="60" t="str">
        <f aca="false">IF(AT1511&lt;=0,"",IF(CG1511="Aussen","Aussenlager",IF(CG1511="-","Nicht im Lift",IF(AZ1511&gt;=1,"Lift",IF(AZ1511&lt;=0,"Aussenlager","teilweise")))))</f>
        <v>Aussenlager</v>
      </c>
      <c r="BM1511" s="60" t="str">
        <f aca="false">IF(BD1511&lt;=0,"",IF(CG1511="Aussen","Aussenlager",IF(CG1511="-","Nicht im Lift",IF(BJ1511&gt;=1,"Lift",IF(BJ1511&lt;=0,"Aussenlager","teilweise")))))</f>
        <v>Lift</v>
      </c>
      <c r="BN1511" s="60" t="str">
        <f aca="false">IF(A1511="","",IF(BW1511=1,"Neu; ","")&amp;IF(AND(BW1511=0,BR1511&lt;0),"negativer Bestand (Export "&amp;BR1511&amp;"); ","")&amp;IF(J1511&lt;=0,"Kein Verbrauch; ","")&amp;IF(CR1511&gt;0,"Lift "&amp;W1511&amp;" lt. Liftbericht (Fach "&amp;X1511&amp;" Stk); ",IF(CB1511=1,"Gebinde geschätzt ("&amp;T1511&amp;"); ",IF(CA1511=1,"Lose – Tablare geschätzt; ","")))&amp;IF(H1511&gt;AW1511,"Überbestand "&amp;ROUND(H1511-AW1511,0)&amp;" Stk / CHF "&amp;ROUND((H1511-AW1511)*G1511,0)&amp;"; ","")&amp;IF(AND(CI1511=1,CJ1511&lt;CK1511),"MAX &lt; MB+LG; ","")&amp;IF(AND(CQ1511&gt;0,CP1511*10&gt;CQ1511),"zu hoch für Tablar; ","")&amp;IF(AND(BW1511=0,OR(CI1511=1,AB1511&lt;&gt;"",U1511&lt;&gt;"",V1511&lt;&gt;"",AC1511&lt;&gt;"")),"manuell übersteuert; ","")&amp;IF(AND(CA1511=0,R1511=0),"Gebinde unbekannt / Stellmass fehlt; ","")&amp;IF(AND(CA1511=0,N(V1511)&lt;=0,N(Q1511)&lt;=0),"Menge pro Gebinde fehlt (Ist = 1 Gebinde); ","")&amp;BV1511)</f>
        <v>Kein Verbrauch; Überbestand 17 Stk / CHF 335; nur im Artikelstamm (Bestand 23.06.2026); Überbestand</v>
      </c>
      <c r="BO1511" s="60"/>
      <c r="BP1511" s="60"/>
      <c r="BQ1511" s="67"/>
      <c r="BR1511" s="62" t="n">
        <v>27</v>
      </c>
      <c r="BS1511" s="62" t="n">
        <v>0</v>
      </c>
      <c r="BT1511" s="61" t="n">
        <v>0</v>
      </c>
      <c r="BU1511" s="62" t="n">
        <v>0</v>
      </c>
      <c r="BV1511" s="60" t="s">
        <v>2614</v>
      </c>
      <c r="BW1511" s="65" t="n">
        <v>0</v>
      </c>
      <c r="BX1511" s="65" t="n">
        <v>1511</v>
      </c>
      <c r="BY1511" s="60" t="str">
        <f aca="false">IF(U1511&lt;&gt;"",UPPER(TRIM(U1511)),IF(CB1511=1,UPPER(VLOOKUP(T1511,Parameter!$I$27:$K$29,2,0)),IF(P1511="","LOSE",P1511)))</f>
        <v>S41</v>
      </c>
      <c r="BZ1511" s="62" t="n">
        <f aca="false">IF(BY1511="LOSE",1,IF(N(V1511)&gt;0,V1511,IF(CB1511=1,MAX(1,N(VLOOKUP(T1511,Parameter!$I$27:$K$29,3,0)),H1511,N(N1511)),IF(N(Q1511)&gt;0,Q1511,MAX(1,H1511)))))</f>
        <v>27</v>
      </c>
      <c r="CA1511" s="65" t="n">
        <f aca="false">IF(BY1511="LOSE",1,0)</f>
        <v>0</v>
      </c>
      <c r="CB1511" s="65" t="n">
        <f aca="false">IF(AND(U1511="",OR(P1511="",P1511="LOSE"),T1511&lt;&gt;"",N(S1511)&lt;=0,ISNUMBER(MATCH(T1511,Parameter!$I$27:$I$29,0))),1,0)</f>
        <v>0</v>
      </c>
      <c r="CC1511" s="65" t="n">
        <f aca="false">IF(CR1511&gt;0,INDEX(Parameter!$H$5:$H$7,W1511)/INDEX(Parameter!$E$5:$E$7,W1511),IF(AND(CA1511=0,N(IFERROR(VLOOKUP(BY1511,'Gebinde-Kategorie'!$A$5:$N$45,14,0),0))&gt;0),VLOOKUP(BY1511,'Gebinde-Kategorie'!$A$5:$N$45,14,0)*10+Parameter!$M$23,Parameter!$M$24))</f>
        <v>155</v>
      </c>
      <c r="CD1511" s="60" t="str">
        <f aca="false">IF(AND(Parameter!$B$19="Ja",E1511&lt;&gt;"",ISNUMBER(MATCH(E1511,Parameter!$I$35:$I$52,0))),VLOOKUP(E1511,Parameter!$I$35:$J$52,2,0),IFERROR(VLOOKUP(D1511,Parameter!$A$35:$C$64,2,0),"Nein"))</f>
        <v>2+3</v>
      </c>
      <c r="CE1511" s="64" t="n">
        <f aca="false">IF(CA1511=0,0,IF(N(S1511)&gt;0,S1511,IFERROR(VLOOKUP(D1511,Parameter!$A$35:$C$64,3,0)+0,0)))</f>
        <v>0</v>
      </c>
      <c r="CF1511" s="60" t="n">
        <f aca="false">IF(AB1511&lt;&gt;"",AB1511,AA1511)</f>
        <v>3</v>
      </c>
      <c r="CG1511" s="60" t="str">
        <f aca="false">IF(OR(CF1511=1,CF1511=2,CF1511=3),IF(Parameter!$E$27="Ja","LIFT",IF(CF1511=1,"L1","L23")),IF(CF1511="Aussen","Aussen","-"))</f>
        <v>LIFT</v>
      </c>
      <c r="CH1511" s="71" t="n">
        <f aca="false">IF(N(AC1511)&gt;0,AC1511,0)</f>
        <v>0</v>
      </c>
      <c r="CI1511" s="65" t="n">
        <f aca="false">IF(ISNUMBER(AF1511),1,0)</f>
        <v>0</v>
      </c>
      <c r="CJ1511" s="62" t="n">
        <f aca="false">N(AF1511)</f>
        <v>0</v>
      </c>
      <c r="CK1511" s="62" t="n">
        <f aca="false">N(M1511)+N(N1511)</f>
        <v>10</v>
      </c>
      <c r="CL1511" s="62" t="n">
        <f aca="false">N(M1511)</f>
        <v>0</v>
      </c>
      <c r="CM1511" s="62" t="n">
        <f aca="false">N(N1511)</f>
        <v>10</v>
      </c>
      <c r="CN1511" s="62" t="n">
        <f aca="false">ROUNDUP(H1511/BZ1511,0)</f>
        <v>1</v>
      </c>
      <c r="CO1511" s="62" t="n">
        <f aca="false">ROUNDUP(CJ1511/BZ1511,0)</f>
        <v>0</v>
      </c>
      <c r="CP1511" s="65" t="n">
        <f aca="false">IF(CA1511=1,0,IFERROR(VLOOKUP(BY1511,'Gebinde-Kategorie'!$A$5:$N$45,5,0)+0,0))</f>
        <v>11</v>
      </c>
      <c r="CQ1511" s="65" t="n">
        <f aca="false">IFERROR(IF(OR(CF1511=1,CF1511=2,CF1511=3),N(INDEX(Parameter!$I$5:$I$7,CF1511)),0),0)</f>
        <v>0</v>
      </c>
      <c r="CR1511" s="64" t="n">
        <f aca="false">IF(AND(Parameter!$B$21="Ja",ISNUMBER(W1511),N(X1511)&gt;0),IFERROR(N(INDEX(Parameter!$L$5:$L$7,W1511))*INDEX(Parameter!$E$5:$E$7,W1511)*X1511/SUMIFS($X$7:$X$1843,$W$7:$W$1843,W1511),0),0)</f>
        <v>0</v>
      </c>
      <c r="CS1511" s="62" t="n">
        <f aca="false">IF(AND(OR(CG1511="L1",CG1511="L23",CG1511="LIFT"),H1511&gt;0),CC1511*IF(CR1511&gt;0,CR1511*MAX(1,H1511/X1511),IF(CA1511=1,CE1511,IF(R1511&gt;0,CN1511/R1511,0))/MAX(0.1,N(Parameter!$M$21))),"")</f>
        <v>2.98076923076923</v>
      </c>
      <c r="CT1511" s="64" t="n">
        <f aca="false">IF(CS1511="","",J1511/H1511)</f>
        <v>0</v>
      </c>
      <c r="CU1511" s="62" t="n">
        <f aca="false">IF(CS1511="","",H1511*G1511)</f>
        <v>532.71</v>
      </c>
      <c r="CV1511" s="63" t="n">
        <f aca="false">IF(CS1511="","",(CL1511+ROUNDUP(CL1511+MAX(CM1511,2*(J1511/MAX(0.1,N(Einkauf!$C$6))-CL1511)),0))/2)</f>
        <v>5</v>
      </c>
      <c r="CW1511" s="62" t="n">
        <f aca="false">IF(CS1511="","",MAX(0,H1511-CV1511)*G1511)</f>
        <v>434.06</v>
      </c>
      <c r="CX1511" s="62" t="n">
        <f aca="false">IF(CS1511="","",CS1511*MAX(0,1-CV1511/H1511))</f>
        <v>2.42877492877493</v>
      </c>
      <c r="CY1511" s="64" t="n">
        <f aca="false">IF(CS1511="","",PERCENTRANK($CS$7:$CS$1843,CS1511)+PERCENTRANK($CU$7:$CU$1843,CU1511)+1-PERCENTRANK($CT$7:$CT$1843,CT1511))</f>
        <v>1.74</v>
      </c>
      <c r="CZ1511" s="72" t="n">
        <f aca="false">IF(CS1511="","",CHOOSE(MATCH(Einkauf!$C$5,Parameter!$G$23:$G$27,0),CY1511,CS1511,CU1511,-CT1511,CW1511)+ROW()/1000000000)</f>
        <v>1.740001511</v>
      </c>
    </row>
    <row r="1512" customFormat="false" ht="15" hidden="false" customHeight="false" outlineLevel="0" collapsed="false">
      <c r="A1512" s="60" t="s">
        <v>2686</v>
      </c>
      <c r="B1512" s="60" t="s">
        <v>2687</v>
      </c>
      <c r="C1512" s="60" t="s">
        <v>206</v>
      </c>
      <c r="D1512" s="60" t="s">
        <v>226</v>
      </c>
      <c r="E1512" s="60" t="s">
        <v>227</v>
      </c>
      <c r="F1512" s="60"/>
      <c r="G1512" s="61" t="n">
        <v>102.14</v>
      </c>
      <c r="H1512" s="62" t="n">
        <f aca="false">MAX(0,IF(AND(Parameter!$B$21="Ja",ISNUMBER(Y1512)),Y1512,IF(Parameter!$B$20="Jahresanfang 2025 + Export",BS1512+BR1512,BR1512)))</f>
        <v>11</v>
      </c>
      <c r="I1512" s="62" t="n">
        <f aca="false">H1512*G1512</f>
        <v>1123.54</v>
      </c>
      <c r="J1512" s="62" t="n">
        <f aca="false">BU1512*Parameter!$B$18</f>
        <v>0</v>
      </c>
      <c r="K1512" s="63"/>
      <c r="L1512" s="64"/>
      <c r="M1512" s="62" t="n">
        <v>0</v>
      </c>
      <c r="N1512" s="62" t="n">
        <v>10</v>
      </c>
      <c r="O1512" s="65" t="n">
        <v>49</v>
      </c>
      <c r="P1512" s="60" t="s">
        <v>335</v>
      </c>
      <c r="Q1512" s="62" t="n">
        <v>11</v>
      </c>
      <c r="R1512" s="65" t="n">
        <f aca="false">IF(CA1512=1,0,IFERROR(VLOOKUP(BY1512,'Gebinde-Kategorie'!$A$5:$N$45,13,0)+0,0))</f>
        <v>12</v>
      </c>
      <c r="S1512" s="66"/>
      <c r="T1512" s="67"/>
      <c r="U1512" s="67"/>
      <c r="V1512" s="67"/>
      <c r="W1512" s="60"/>
      <c r="X1512" s="62"/>
      <c r="Y1512" s="62"/>
      <c r="Z1512" s="60" t="n">
        <v>3</v>
      </c>
      <c r="AA1512" s="60" t="n">
        <f aca="false">IF(A1512="","",IF(AND(Parameter!$B$21="Ja",ISNUMBER(W1512)),W1512,IF(AND(Parameter!$E$27="Ja",ISNUMBER(Z1512),CD1512&lt;&gt;"Nein"),Z1512,IF(CD1512="2+3",IF(ISNUMBER(SEARCH("grosser Artikel",BV1512)),2,IFERROR(VLOOKUP(BY1512,Parameter!$F$35:$G$64,2,0),2)),IF(OR(CD1512="Nein",CD1512=""),"-",CD1512)))))</f>
        <v>3</v>
      </c>
      <c r="AB1512" s="67"/>
      <c r="AC1512" s="68"/>
      <c r="AD1512" s="62" t="n">
        <f aca="false">AW1512</f>
        <v>10</v>
      </c>
      <c r="AE1512" s="62" t="n">
        <f aca="false">MAX(AW1512,H1512)</f>
        <v>11</v>
      </c>
      <c r="AF1512" s="69"/>
      <c r="AG1512" s="62" t="n">
        <f aca="false">IF(LEFT(Cockpit!$C$5,1)="A",H1512,IF(Parameter!$E$30="MAX-Bestand",IF(CI1512=1,CJ1512,IF(LEFT(Cockpit!$C$5,1)="B",AM1512,MAX(AM1512,H1512))),ROUNDUP(AK1512,0)))</f>
        <v>11</v>
      </c>
      <c r="AH1512" s="62" t="n">
        <f aca="false">IF(CA1512=1,0,ROUNDUP(AG1512/BZ1512,0))</f>
        <v>1</v>
      </c>
      <c r="AI1512" s="64" t="n">
        <f aca="false">IF(CR1512&gt;0,CR1512*MAX(1,AG1512/X1512),IF(CA1512=1,IF(AG1512&lt;=0,0,CE1512*MAX(1,IF(H1512&gt;0,AG1512/H1512,1))),IF(R1512&gt;0,AH1512/R1512,0))/MAX(0.1,N(Parameter!$M$21)))</f>
        <v>0.0833333333333333</v>
      </c>
      <c r="AJ1512" s="62" t="n">
        <f aca="false">AI1512*CC1512</f>
        <v>20.4166666666667</v>
      </c>
      <c r="AK1512" s="63" t="n">
        <f aca="false">IF(LEFT(Cockpit!$C$5,1)="A",H1512,IF(CI1512=1,(CL1512+CJ1512)/2,IF(LEFT(Cockpit!$C$5,1)="B",(CL1512+AM1512)/2,MAX((CL1512+AM1512)/2,H1512))))</f>
        <v>11</v>
      </c>
      <c r="AL1512" s="62" t="n">
        <f aca="false">AK1512*G1512</f>
        <v>1123.54</v>
      </c>
      <c r="AM1512" s="62" t="n">
        <f aca="false">ROUNDUP(CL1512+MAX(CM1512,2*(J1512/IF(CH1512&gt;0,CH1512,MAX(0.1,N(Cockpit!$C$6)))-CL1512)),0)</f>
        <v>10</v>
      </c>
      <c r="AN1512" s="63" t="n">
        <f aca="false">IF(AJ1512&gt;0,J1512/AJ1512,-1)</f>
        <v>0</v>
      </c>
      <c r="AO1512" s="63" t="n">
        <f aca="false">IF(AND(OR(CG1512="L1",CG1512="L23",CG1512="LIFT"),AJ1512&gt;0),SUMIFS($AJ$7:$AJ$1843,$CG$7:$CG$1843,CG1512,$AN$7:$AN$1843,"&gt;"&amp;AN1512)+SUMIFS($AJ$7:$AJ$1843,$CG$7:$CG$1843,CG1512,$AN$7:$AN$1843,AN1512,$BX$7:$BX$1843,"&lt;="&amp;BX1512),"")</f>
        <v>29943.8615767472</v>
      </c>
      <c r="AP1512" s="70" t="n">
        <f aca="false">IF(AO1512="",0,MAX(0,MIN(1,(IF(CG1512="L1",Parameter!$H$5,IF(CG1512="L23",Parameter!$H$6+Parameter!$H$7,Parameter!$H$5+Parameter!$H$6+Parameter!$H$7))-(AO1512-AJ1512))/AJ1512)))</f>
        <v>1</v>
      </c>
      <c r="AQ1512" s="62" t="n">
        <f aca="false">IF(LEFT(Cockpit!$I$5,1)="A",H1512,IF(Parameter!$E$30="MAX-Bestand",IF(CI1512=1,CJ1512,IF(LEFT(Cockpit!$I$5,1)="B",AW1512,MAX(AW1512,H1512))),ROUNDUP(AU1512,0)))</f>
        <v>11</v>
      </c>
      <c r="AR1512" s="62" t="n">
        <f aca="false">IF(CA1512=1,0,ROUNDUP(AQ1512/BZ1512,0))</f>
        <v>1</v>
      </c>
      <c r="AS1512" s="64" t="n">
        <f aca="false">IF(CR1512&gt;0,CR1512*MAX(1,AQ1512/X1512),IF(CA1512=1,IF(AQ1512&lt;=0,0,CE1512*MAX(1,IF(H1512&gt;0,AQ1512/H1512,1))),IF(R1512&gt;0,AR1512/R1512,0))/MAX(0.1,N(Parameter!$M$21)))</f>
        <v>0.0833333333333333</v>
      </c>
      <c r="AT1512" s="62" t="n">
        <f aca="false">AS1512*CC1512</f>
        <v>20.4166666666667</v>
      </c>
      <c r="AU1512" s="63" t="n">
        <f aca="false">IF(LEFT(Cockpit!$I$5,1)="A",H1512,IF(CI1512=1,(CL1512+CJ1512)/2,IF(LEFT(Cockpit!$I$5,1)="B",(CL1512+AW1512)/2,MAX((CL1512+AW1512)/2,H1512))))</f>
        <v>11</v>
      </c>
      <c r="AV1512" s="62" t="n">
        <f aca="false">AU1512*G1512</f>
        <v>1123.54</v>
      </c>
      <c r="AW1512" s="62" t="n">
        <f aca="false">ROUNDUP(CL1512+MAX(CM1512,2*(J1512/IF(CH1512&gt;0,CH1512,MAX(0.1,N(Cockpit!$I$6)))-CL1512)),0)</f>
        <v>10</v>
      </c>
      <c r="AX1512" s="63" t="n">
        <f aca="false">IF(AT1512&gt;0,J1512/AT1512,-1)</f>
        <v>0</v>
      </c>
      <c r="AY1512" s="63" t="n">
        <f aca="false">IF(AND(OR(CG1512="L1",CG1512="L23",CG1512="LIFT"),AT1512&gt;0),SUMIFS($AT$7:$AT$1843,$CG$7:$CG$1843,CG1512,$AX$7:$AX$1843,"&gt;"&amp;AX1512)+SUMIFS($AT$7:$AT$1843,$CG$7:$CG$1843,CG1512,$AX$7:$AX$1843,AX1512,$BX$7:$BX$1843,"&lt;="&amp;BX1512),"")</f>
        <v>36250.4323792968</v>
      </c>
      <c r="AZ1512" s="70" t="n">
        <f aca="false">IF(AY1512="",0,MAX(0,MIN(1,(IF(CG1512="L1",Parameter!$H$5,IF(CG1512="L23",Parameter!$H$6+Parameter!$H$7,Parameter!$H$5+Parameter!$H$6+Parameter!$H$7))-(AY1512-AT1512))/AT1512)))</f>
        <v>0</v>
      </c>
      <c r="BA1512" s="62" t="n">
        <f aca="false">IF(LEFT(Cockpit!$O$5,1)="A",H1512,IF(Parameter!$E$30="MAX-Bestand",IF(CI1512=1,CJ1512,IF(LEFT(Cockpit!$O$5,1)="B",BG1512,MAX(BG1512,H1512))),ROUNDUP(BE1512,0)))</f>
        <v>5</v>
      </c>
      <c r="BB1512" s="62" t="n">
        <f aca="false">IF(CA1512=1,0,ROUNDUP(BA1512/BZ1512,0))</f>
        <v>1</v>
      </c>
      <c r="BC1512" s="64" t="n">
        <f aca="false">IF(CR1512&gt;0,CR1512*MAX(1,BA1512/X1512),IF(CA1512=1,IF(BA1512&lt;=0,0,CE1512*MAX(1,IF(H1512&gt;0,BA1512/H1512,1))),IF(R1512&gt;0,BB1512/R1512,0))/MAX(0.1,N(Parameter!$M$21)))</f>
        <v>0.0833333333333333</v>
      </c>
      <c r="BD1512" s="62" t="n">
        <f aca="false">BC1512*CC1512</f>
        <v>20.4166666666667</v>
      </c>
      <c r="BE1512" s="63" t="n">
        <f aca="false">IF(LEFT(Cockpit!$O$5,1)="A",H1512,IF(CI1512=1,(CL1512+CJ1512)/2,IF(LEFT(Cockpit!$O$5,1)="B",(CL1512+BG1512)/2,MAX((CL1512+BG1512)/2,H1512))))</f>
        <v>5</v>
      </c>
      <c r="BF1512" s="62" t="n">
        <f aca="false">BE1512*G1512</f>
        <v>510.7</v>
      </c>
      <c r="BG1512" s="62" t="n">
        <f aca="false">ROUNDUP(CL1512+MAX(CM1512,2*(J1512/IF(CH1512&gt;0,CH1512,MAX(0.1,N(Cockpit!$O$6)))-CL1512)),0)</f>
        <v>10</v>
      </c>
      <c r="BH1512" s="63" t="n">
        <f aca="false">IF(BD1512&gt;0,J1512/BD1512,-1)</f>
        <v>0</v>
      </c>
      <c r="BI1512" s="63" t="n">
        <f aca="false">IF(AND(OR(CG1512="L1",CG1512="L23",CG1512="LIFT"),BD1512&gt;0),SUMIFS($BD$7:$BD$1843,$CG$7:$CG$1843,CG1512,$BH$7:$BH$1843,"&gt;"&amp;BH1512)+SUMIFS($BD$7:$BD$1843,$CG$7:$CG$1843,CG1512,$BH$7:$BH$1843,BH1512,$BX$7:$BX$1843,"&lt;="&amp;BX1512),"")</f>
        <v>30188.6236548292</v>
      </c>
      <c r="BJ1512" s="70" t="n">
        <f aca="false">IF(BI1512="",0,MAX(0,MIN(1,(IF(CG1512="L1",Parameter!$H$5,IF(CG1512="L23",Parameter!$H$6+Parameter!$H$7,Parameter!$H$5+Parameter!$H$6+Parameter!$H$7))-(BI1512-BD1512))/BD1512)))</f>
        <v>1</v>
      </c>
      <c r="BK1512" s="60" t="str">
        <f aca="false">IF(AJ1512&lt;=0,"",IF(CG1512="Aussen","Aussenlager",IF(CG1512="-","Nicht im Lift",IF(AP1512&gt;=1,"Lift",IF(AP1512&lt;=0,"Aussenlager","teilweise")))))</f>
        <v>Lift</v>
      </c>
      <c r="BL1512" s="60" t="str">
        <f aca="false">IF(AT1512&lt;=0,"",IF(CG1512="Aussen","Aussenlager",IF(CG1512="-","Nicht im Lift",IF(AZ1512&gt;=1,"Lift",IF(AZ1512&lt;=0,"Aussenlager","teilweise")))))</f>
        <v>Aussenlager</v>
      </c>
      <c r="BM1512" s="60" t="str">
        <f aca="false">IF(BD1512&lt;=0,"",IF(CG1512="Aussen","Aussenlager",IF(CG1512="-","Nicht im Lift",IF(BJ1512&gt;=1,"Lift",IF(BJ1512&lt;=0,"Aussenlager","teilweise")))))</f>
        <v>Lift</v>
      </c>
      <c r="BN1512" s="60" t="str">
        <f aca="false">IF(A1512="","",IF(BW1512=1,"Neu; ","")&amp;IF(AND(BW1512=0,BR1512&lt;0),"negativer Bestand (Export "&amp;BR1512&amp;"); ","")&amp;IF(J1512&lt;=0,"Kein Verbrauch; ","")&amp;IF(CR1512&gt;0,"Lift "&amp;W1512&amp;" lt. Liftbericht (Fach "&amp;X1512&amp;" Stk); ",IF(CB1512=1,"Gebinde geschätzt ("&amp;T1512&amp;"); ",IF(CA1512=1,"Lose – Tablare geschätzt; ","")))&amp;IF(H1512&gt;AW1512,"Überbestand "&amp;ROUND(H1512-AW1512,0)&amp;" Stk / CHF "&amp;ROUND((H1512-AW1512)*G1512,0)&amp;"; ","")&amp;IF(AND(CI1512=1,CJ1512&lt;CK1512),"MAX &lt; MB+LG; ","")&amp;IF(AND(CQ1512&gt;0,CP1512*10&gt;CQ1512),"zu hoch für Tablar; ","")&amp;IF(AND(BW1512=0,OR(CI1512=1,AB1512&lt;&gt;"",U1512&lt;&gt;"",V1512&lt;&gt;"",AC1512&lt;&gt;"")),"manuell übersteuert; ","")&amp;IF(AND(CA1512=0,R1512=0),"Gebinde unbekannt / Stellmass fehlt; ","")&amp;IF(AND(CA1512=0,N(V1512)&lt;=0,N(Q1512)&lt;=0),"Menge pro Gebinde fehlt (Ist = 1 Gebinde); ","")&amp;BV1512)</f>
        <v>Kein Verbrauch; Überbestand 1 Stk / CHF 102; nur im Artikelstamm (Bestand 23.06.2026); Überbestand</v>
      </c>
      <c r="BO1512" s="60"/>
      <c r="BP1512" s="60"/>
      <c r="BQ1512" s="67"/>
      <c r="BR1512" s="62" t="n">
        <v>11</v>
      </c>
      <c r="BS1512" s="62" t="n">
        <v>0</v>
      </c>
      <c r="BT1512" s="61" t="n">
        <v>0</v>
      </c>
      <c r="BU1512" s="62" t="n">
        <v>0</v>
      </c>
      <c r="BV1512" s="60" t="s">
        <v>2614</v>
      </c>
      <c r="BW1512" s="65" t="n">
        <v>0</v>
      </c>
      <c r="BX1512" s="65" t="n">
        <v>1512</v>
      </c>
      <c r="BY1512" s="60" t="str">
        <f aca="false">IF(U1512&lt;&gt;"",UPPER(TRIM(U1512)),IF(CB1512=1,UPPER(VLOOKUP(T1512,Parameter!$I$27:$K$29,2,0)),IF(P1512="","LOSE",P1512)))</f>
        <v>S62</v>
      </c>
      <c r="BZ1512" s="62" t="n">
        <f aca="false">IF(BY1512="LOSE",1,IF(N(V1512)&gt;0,V1512,IF(CB1512=1,MAX(1,N(VLOOKUP(T1512,Parameter!$I$27:$K$29,3,0)),H1512,N(N1512)),IF(N(Q1512)&gt;0,Q1512,MAX(1,H1512)))))</f>
        <v>11</v>
      </c>
      <c r="CA1512" s="65" t="n">
        <f aca="false">IF(BY1512="LOSE",1,0)</f>
        <v>0</v>
      </c>
      <c r="CB1512" s="65" t="n">
        <f aca="false">IF(AND(U1512="",OR(P1512="",P1512="LOSE"),T1512&lt;&gt;"",N(S1512)&lt;=0,ISNUMBER(MATCH(T1512,Parameter!$I$27:$I$29,0))),1,0)</f>
        <v>0</v>
      </c>
      <c r="CC1512" s="65" t="n">
        <f aca="false">IF(CR1512&gt;0,INDEX(Parameter!$H$5:$H$7,W1512)/INDEX(Parameter!$E$5:$E$7,W1512),IF(AND(CA1512=0,N(IFERROR(VLOOKUP(BY1512,'Gebinde-Kategorie'!$A$5:$N$45,14,0),0))&gt;0),VLOOKUP(BY1512,'Gebinde-Kategorie'!$A$5:$N$45,14,0)*10+Parameter!$M$23,Parameter!$M$24))</f>
        <v>245</v>
      </c>
      <c r="CD1512" s="60" t="str">
        <f aca="false">IF(AND(Parameter!$B$19="Ja",E1512&lt;&gt;"",ISNUMBER(MATCH(E1512,Parameter!$I$35:$I$52,0))),VLOOKUP(E1512,Parameter!$I$35:$J$52,2,0),IFERROR(VLOOKUP(D1512,Parameter!$A$35:$C$64,2,0),"Nein"))</f>
        <v>2+3</v>
      </c>
      <c r="CE1512" s="64" t="n">
        <f aca="false">IF(CA1512=0,0,IF(N(S1512)&gt;0,S1512,IFERROR(VLOOKUP(D1512,Parameter!$A$35:$C$64,3,0)+0,0)))</f>
        <v>0</v>
      </c>
      <c r="CF1512" s="60" t="n">
        <f aca="false">IF(AB1512&lt;&gt;"",AB1512,AA1512)</f>
        <v>3</v>
      </c>
      <c r="CG1512" s="60" t="str">
        <f aca="false">IF(OR(CF1512=1,CF1512=2,CF1512=3),IF(Parameter!$E$27="Ja","LIFT",IF(CF1512=1,"L1","L23")),IF(CF1512="Aussen","Aussen","-"))</f>
        <v>LIFT</v>
      </c>
      <c r="CH1512" s="71" t="n">
        <f aca="false">IF(N(AC1512)&gt;0,AC1512,0)</f>
        <v>0</v>
      </c>
      <c r="CI1512" s="65" t="n">
        <f aca="false">IF(ISNUMBER(AF1512),1,0)</f>
        <v>0</v>
      </c>
      <c r="CJ1512" s="62" t="n">
        <f aca="false">N(AF1512)</f>
        <v>0</v>
      </c>
      <c r="CK1512" s="62" t="n">
        <f aca="false">N(M1512)+N(N1512)</f>
        <v>10</v>
      </c>
      <c r="CL1512" s="62" t="n">
        <f aca="false">N(M1512)</f>
        <v>0</v>
      </c>
      <c r="CM1512" s="62" t="n">
        <f aca="false">N(N1512)</f>
        <v>10</v>
      </c>
      <c r="CN1512" s="62" t="n">
        <f aca="false">ROUNDUP(H1512/BZ1512,0)</f>
        <v>1</v>
      </c>
      <c r="CO1512" s="62" t="n">
        <f aca="false">ROUNDUP(CJ1512/BZ1512,0)</f>
        <v>0</v>
      </c>
      <c r="CP1512" s="65" t="n">
        <f aca="false">IF(CA1512=1,0,IFERROR(VLOOKUP(BY1512,'Gebinde-Kategorie'!$A$5:$N$45,5,0)+0,0))</f>
        <v>21</v>
      </c>
      <c r="CQ1512" s="65" t="n">
        <f aca="false">IFERROR(IF(OR(CF1512=1,CF1512=2,CF1512=3),N(INDEX(Parameter!$I$5:$I$7,CF1512)),0),0)</f>
        <v>0</v>
      </c>
      <c r="CR1512" s="64" t="n">
        <f aca="false">IF(AND(Parameter!$B$21="Ja",ISNUMBER(W1512),N(X1512)&gt;0),IFERROR(N(INDEX(Parameter!$L$5:$L$7,W1512))*INDEX(Parameter!$E$5:$E$7,W1512)*X1512/SUMIFS($X$7:$X$1843,$W$7:$W$1843,W1512),0),0)</f>
        <v>0</v>
      </c>
      <c r="CS1512" s="62" t="n">
        <f aca="false">IF(AND(OR(CG1512="L1",CG1512="L23",CG1512="LIFT"),H1512&gt;0),CC1512*IF(CR1512&gt;0,CR1512*MAX(1,H1512/X1512),IF(CA1512=1,CE1512,IF(R1512&gt;0,CN1512/R1512,0))/MAX(0.1,N(Parameter!$M$21))),"")</f>
        <v>20.4166666666667</v>
      </c>
      <c r="CT1512" s="64" t="n">
        <f aca="false">IF(CS1512="","",J1512/H1512)</f>
        <v>0</v>
      </c>
      <c r="CU1512" s="62" t="n">
        <f aca="false">IF(CS1512="","",H1512*G1512)</f>
        <v>1123.54</v>
      </c>
      <c r="CV1512" s="63" t="n">
        <f aca="false">IF(CS1512="","",(CL1512+ROUNDUP(CL1512+MAX(CM1512,2*(J1512/MAX(0.1,N(Einkauf!$C$6))-CL1512)),0))/2)</f>
        <v>5</v>
      </c>
      <c r="CW1512" s="62" t="n">
        <f aca="false">IF(CS1512="","",MAX(0,H1512-CV1512)*G1512)</f>
        <v>612.84</v>
      </c>
      <c r="CX1512" s="62" t="n">
        <f aca="false">IF(CS1512="","",CS1512*MAX(0,1-CV1512/H1512))</f>
        <v>11.1363636363636</v>
      </c>
      <c r="CY1512" s="64" t="n">
        <f aca="false">IF(CS1512="","",PERCENTRANK($CS$7:$CS$1843,CS1512)+PERCENTRANK($CU$7:$CU$1843,CU1512)+1-PERCENTRANK($CT$7:$CT$1843,CT1512))</f>
        <v>2.454</v>
      </c>
      <c r="CZ1512" s="72" t="n">
        <f aca="false">IF(CS1512="","",CHOOSE(MATCH(Einkauf!$C$5,Parameter!$G$23:$G$27,0),CY1512,CS1512,CU1512,-CT1512,CW1512)+ROW()/1000000000)</f>
        <v>2.454001512</v>
      </c>
    </row>
    <row r="1513" customFormat="false" ht="15" hidden="false" customHeight="false" outlineLevel="0" collapsed="false">
      <c r="A1513" s="60" t="s">
        <v>2688</v>
      </c>
      <c r="B1513" s="60" t="s">
        <v>2689</v>
      </c>
      <c r="C1513" s="60" t="s">
        <v>206</v>
      </c>
      <c r="D1513" s="60" t="s">
        <v>226</v>
      </c>
      <c r="E1513" s="60" t="s">
        <v>227</v>
      </c>
      <c r="F1513" s="60"/>
      <c r="G1513" s="61" t="n">
        <v>19.45</v>
      </c>
      <c r="H1513" s="62" t="n">
        <f aca="false">MAX(0,IF(AND(Parameter!$B$21="Ja",ISNUMBER(Y1513)),Y1513,IF(Parameter!$B$20="Jahresanfang 2025 + Export",BS1513+BR1513,BR1513)))</f>
        <v>20</v>
      </c>
      <c r="I1513" s="62" t="n">
        <f aca="false">H1513*G1513</f>
        <v>389</v>
      </c>
      <c r="J1513" s="62" t="n">
        <f aca="false">BU1513*Parameter!$B$18</f>
        <v>0</v>
      </c>
      <c r="K1513" s="63"/>
      <c r="L1513" s="64"/>
      <c r="M1513" s="62" t="n">
        <v>0</v>
      </c>
      <c r="N1513" s="62" t="n">
        <v>10</v>
      </c>
      <c r="O1513" s="65" t="n">
        <v>21</v>
      </c>
      <c r="P1513" s="60" t="s">
        <v>344</v>
      </c>
      <c r="Q1513" s="62" t="n">
        <v>20</v>
      </c>
      <c r="R1513" s="65" t="n">
        <f aca="false">IF(CA1513=1,0,IFERROR(VLOOKUP(BY1513,'Gebinde-Kategorie'!$A$5:$N$45,13,0)+0,0))</f>
        <v>26</v>
      </c>
      <c r="S1513" s="66"/>
      <c r="T1513" s="67"/>
      <c r="U1513" s="67"/>
      <c r="V1513" s="67"/>
      <c r="W1513" s="60"/>
      <c r="X1513" s="62"/>
      <c r="Y1513" s="62"/>
      <c r="Z1513" s="60" t="n">
        <v>3</v>
      </c>
      <c r="AA1513" s="60" t="n">
        <f aca="false">IF(A1513="","",IF(AND(Parameter!$B$21="Ja",ISNUMBER(W1513)),W1513,IF(AND(Parameter!$E$27="Ja",ISNUMBER(Z1513),CD1513&lt;&gt;"Nein"),Z1513,IF(CD1513="2+3",IF(ISNUMBER(SEARCH("grosser Artikel",BV1513)),2,IFERROR(VLOOKUP(BY1513,Parameter!$F$35:$G$64,2,0),2)),IF(OR(CD1513="Nein",CD1513=""),"-",CD1513)))))</f>
        <v>3</v>
      </c>
      <c r="AB1513" s="67"/>
      <c r="AC1513" s="68"/>
      <c r="AD1513" s="62" t="n">
        <f aca="false">AW1513</f>
        <v>10</v>
      </c>
      <c r="AE1513" s="62" t="n">
        <f aca="false">MAX(AW1513,H1513)</f>
        <v>20</v>
      </c>
      <c r="AF1513" s="69"/>
      <c r="AG1513" s="62" t="n">
        <f aca="false">IF(LEFT(Cockpit!$C$5,1)="A",H1513,IF(Parameter!$E$30="MAX-Bestand",IF(CI1513=1,CJ1513,IF(LEFT(Cockpit!$C$5,1)="B",AM1513,MAX(AM1513,H1513))),ROUNDUP(AK1513,0)))</f>
        <v>20</v>
      </c>
      <c r="AH1513" s="62" t="n">
        <f aca="false">IF(CA1513=1,0,ROUNDUP(AG1513/BZ1513,0))</f>
        <v>1</v>
      </c>
      <c r="AI1513" s="64" t="n">
        <f aca="false">IF(CR1513&gt;0,CR1513*MAX(1,AG1513/X1513),IF(CA1513=1,IF(AG1513&lt;=0,0,CE1513*MAX(1,IF(H1513&gt;0,AG1513/H1513,1))),IF(R1513&gt;0,AH1513/R1513,0))/MAX(0.1,N(Parameter!$M$21)))</f>
        <v>0.0384615384615385</v>
      </c>
      <c r="AJ1513" s="62" t="n">
        <f aca="false">AI1513*CC1513</f>
        <v>5.96153846153846</v>
      </c>
      <c r="AK1513" s="63" t="n">
        <f aca="false">IF(LEFT(Cockpit!$C$5,1)="A",H1513,IF(CI1513=1,(CL1513+CJ1513)/2,IF(LEFT(Cockpit!$C$5,1)="B",(CL1513+AM1513)/2,MAX((CL1513+AM1513)/2,H1513))))</f>
        <v>20</v>
      </c>
      <c r="AL1513" s="62" t="n">
        <f aca="false">AK1513*G1513</f>
        <v>389</v>
      </c>
      <c r="AM1513" s="62" t="n">
        <f aca="false">ROUNDUP(CL1513+MAX(CM1513,2*(J1513/IF(CH1513&gt;0,CH1513,MAX(0.1,N(Cockpit!$C$6)))-CL1513)),0)</f>
        <v>10</v>
      </c>
      <c r="AN1513" s="63" t="n">
        <f aca="false">IF(AJ1513&gt;0,J1513/AJ1513,-1)</f>
        <v>0</v>
      </c>
      <c r="AO1513" s="63" t="n">
        <f aca="false">IF(AND(OR(CG1513="L1",CG1513="L23",CG1513="LIFT"),AJ1513&gt;0),SUMIFS($AJ$7:$AJ$1843,$CG$7:$CG$1843,CG1513,$AN$7:$AN$1843,"&gt;"&amp;AN1513)+SUMIFS($AJ$7:$AJ$1843,$CG$7:$CG$1843,CG1513,$AN$7:$AN$1843,AN1513,$BX$7:$BX$1843,"&lt;="&amp;BX1513),"")</f>
        <v>29949.8231152087</v>
      </c>
      <c r="AP1513" s="70" t="n">
        <f aca="false">IF(AO1513="",0,MAX(0,MIN(1,(IF(CG1513="L1",Parameter!$H$5,IF(CG1513="L23",Parameter!$H$6+Parameter!$H$7,Parameter!$H$5+Parameter!$H$6+Parameter!$H$7))-(AO1513-AJ1513))/AJ1513)))</f>
        <v>1</v>
      </c>
      <c r="AQ1513" s="62" t="n">
        <f aca="false">IF(LEFT(Cockpit!$I$5,1)="A",H1513,IF(Parameter!$E$30="MAX-Bestand",IF(CI1513=1,CJ1513,IF(LEFT(Cockpit!$I$5,1)="B",AW1513,MAX(AW1513,H1513))),ROUNDUP(AU1513,0)))</f>
        <v>20</v>
      </c>
      <c r="AR1513" s="62" t="n">
        <f aca="false">IF(CA1513=1,0,ROUNDUP(AQ1513/BZ1513,0))</f>
        <v>1</v>
      </c>
      <c r="AS1513" s="64" t="n">
        <f aca="false">IF(CR1513&gt;0,CR1513*MAX(1,AQ1513/X1513),IF(CA1513=1,IF(AQ1513&lt;=0,0,CE1513*MAX(1,IF(H1513&gt;0,AQ1513/H1513,1))),IF(R1513&gt;0,AR1513/R1513,0))/MAX(0.1,N(Parameter!$M$21)))</f>
        <v>0.0384615384615385</v>
      </c>
      <c r="AT1513" s="62" t="n">
        <f aca="false">AS1513*CC1513</f>
        <v>5.96153846153846</v>
      </c>
      <c r="AU1513" s="63" t="n">
        <f aca="false">IF(LEFT(Cockpit!$I$5,1)="A",H1513,IF(CI1513=1,(CL1513+CJ1513)/2,IF(LEFT(Cockpit!$I$5,1)="B",(CL1513+AW1513)/2,MAX((CL1513+AW1513)/2,H1513))))</f>
        <v>20</v>
      </c>
      <c r="AV1513" s="62" t="n">
        <f aca="false">AU1513*G1513</f>
        <v>389</v>
      </c>
      <c r="AW1513" s="62" t="n">
        <f aca="false">ROUNDUP(CL1513+MAX(CM1513,2*(J1513/IF(CH1513&gt;0,CH1513,MAX(0.1,N(Cockpit!$I$6)))-CL1513)),0)</f>
        <v>10</v>
      </c>
      <c r="AX1513" s="63" t="n">
        <f aca="false">IF(AT1513&gt;0,J1513/AT1513,-1)</f>
        <v>0</v>
      </c>
      <c r="AY1513" s="63" t="n">
        <f aca="false">IF(AND(OR(CG1513="L1",CG1513="L23",CG1513="LIFT"),AT1513&gt;0),SUMIFS($AT$7:$AT$1843,$CG$7:$CG$1843,CG1513,$AX$7:$AX$1843,"&gt;"&amp;AX1513)+SUMIFS($AT$7:$AT$1843,$CG$7:$CG$1843,CG1513,$AX$7:$AX$1843,AX1513,$BX$7:$BX$1843,"&lt;="&amp;BX1513),"")</f>
        <v>36256.3939177583</v>
      </c>
      <c r="AZ1513" s="70" t="n">
        <f aca="false">IF(AY1513="",0,MAX(0,MIN(1,(IF(CG1513="L1",Parameter!$H$5,IF(CG1513="L23",Parameter!$H$6+Parameter!$H$7,Parameter!$H$5+Parameter!$H$6+Parameter!$H$7))-(AY1513-AT1513))/AT1513)))</f>
        <v>0</v>
      </c>
      <c r="BA1513" s="62" t="n">
        <f aca="false">IF(LEFT(Cockpit!$O$5,1)="A",H1513,IF(Parameter!$E$30="MAX-Bestand",IF(CI1513=1,CJ1513,IF(LEFT(Cockpit!$O$5,1)="B",BG1513,MAX(BG1513,H1513))),ROUNDUP(BE1513,0)))</f>
        <v>5</v>
      </c>
      <c r="BB1513" s="62" t="n">
        <f aca="false">IF(CA1513=1,0,ROUNDUP(BA1513/BZ1513,0))</f>
        <v>1</v>
      </c>
      <c r="BC1513" s="64" t="n">
        <f aca="false">IF(CR1513&gt;0,CR1513*MAX(1,BA1513/X1513),IF(CA1513=1,IF(BA1513&lt;=0,0,CE1513*MAX(1,IF(H1513&gt;0,BA1513/H1513,1))),IF(R1513&gt;0,BB1513/R1513,0))/MAX(0.1,N(Parameter!$M$21)))</f>
        <v>0.0384615384615385</v>
      </c>
      <c r="BD1513" s="62" t="n">
        <f aca="false">BC1513*CC1513</f>
        <v>5.96153846153846</v>
      </c>
      <c r="BE1513" s="63" t="n">
        <f aca="false">IF(LEFT(Cockpit!$O$5,1)="A",H1513,IF(CI1513=1,(CL1513+CJ1513)/2,IF(LEFT(Cockpit!$O$5,1)="B",(CL1513+BG1513)/2,MAX((CL1513+BG1513)/2,H1513))))</f>
        <v>5</v>
      </c>
      <c r="BF1513" s="62" t="n">
        <f aca="false">BE1513*G1513</f>
        <v>97.25</v>
      </c>
      <c r="BG1513" s="62" t="n">
        <f aca="false">ROUNDUP(CL1513+MAX(CM1513,2*(J1513/IF(CH1513&gt;0,CH1513,MAX(0.1,N(Cockpit!$O$6)))-CL1513)),0)</f>
        <v>10</v>
      </c>
      <c r="BH1513" s="63" t="n">
        <f aca="false">IF(BD1513&gt;0,J1513/BD1513,-1)</f>
        <v>0</v>
      </c>
      <c r="BI1513" s="63" t="n">
        <f aca="false">IF(AND(OR(CG1513="L1",CG1513="L23",CG1513="LIFT"),BD1513&gt;0),SUMIFS($BD$7:$BD$1843,$CG$7:$CG$1843,CG1513,$BH$7:$BH$1843,"&gt;"&amp;BH1513)+SUMIFS($BD$7:$BD$1843,$CG$7:$CG$1843,CG1513,$BH$7:$BH$1843,BH1513,$BX$7:$BX$1843,"&lt;="&amp;BX1513),"")</f>
        <v>30194.5851932907</v>
      </c>
      <c r="BJ1513" s="70" t="n">
        <f aca="false">IF(BI1513="",0,MAX(0,MIN(1,(IF(CG1513="L1",Parameter!$H$5,IF(CG1513="L23",Parameter!$H$6+Parameter!$H$7,Parameter!$H$5+Parameter!$H$6+Parameter!$H$7))-(BI1513-BD1513))/BD1513)))</f>
        <v>1</v>
      </c>
      <c r="BK1513" s="60" t="str">
        <f aca="false">IF(AJ1513&lt;=0,"",IF(CG1513="Aussen","Aussenlager",IF(CG1513="-","Nicht im Lift",IF(AP1513&gt;=1,"Lift",IF(AP1513&lt;=0,"Aussenlager","teilweise")))))</f>
        <v>Lift</v>
      </c>
      <c r="BL1513" s="60" t="str">
        <f aca="false">IF(AT1513&lt;=0,"",IF(CG1513="Aussen","Aussenlager",IF(CG1513="-","Nicht im Lift",IF(AZ1513&gt;=1,"Lift",IF(AZ1513&lt;=0,"Aussenlager","teilweise")))))</f>
        <v>Aussenlager</v>
      </c>
      <c r="BM1513" s="60" t="str">
        <f aca="false">IF(BD1513&lt;=0,"",IF(CG1513="Aussen","Aussenlager",IF(CG1513="-","Nicht im Lift",IF(BJ1513&gt;=1,"Lift",IF(BJ1513&lt;=0,"Aussenlager","teilweise")))))</f>
        <v>Lift</v>
      </c>
      <c r="BN1513" s="60" t="str">
        <f aca="false">IF(A1513="","",IF(BW1513=1,"Neu; ","")&amp;IF(AND(BW1513=0,BR1513&lt;0),"negativer Bestand (Export "&amp;BR1513&amp;"); ","")&amp;IF(J1513&lt;=0,"Kein Verbrauch; ","")&amp;IF(CR1513&gt;0,"Lift "&amp;W1513&amp;" lt. Liftbericht (Fach "&amp;X1513&amp;" Stk); ",IF(CB1513=1,"Gebinde geschätzt ("&amp;T1513&amp;"); ",IF(CA1513=1,"Lose – Tablare geschätzt; ","")))&amp;IF(H1513&gt;AW1513,"Überbestand "&amp;ROUND(H1513-AW1513,0)&amp;" Stk / CHF "&amp;ROUND((H1513-AW1513)*G1513,0)&amp;"; ","")&amp;IF(AND(CI1513=1,CJ1513&lt;CK1513),"MAX &lt; MB+LG; ","")&amp;IF(AND(CQ1513&gt;0,CP1513*10&gt;CQ1513),"zu hoch für Tablar; ","")&amp;IF(AND(BW1513=0,OR(CI1513=1,AB1513&lt;&gt;"",U1513&lt;&gt;"",V1513&lt;&gt;"",AC1513&lt;&gt;"")),"manuell übersteuert; ","")&amp;IF(AND(CA1513=0,R1513=0),"Gebinde unbekannt / Stellmass fehlt; ","")&amp;IF(AND(CA1513=0,N(V1513)&lt;=0,N(Q1513)&lt;=0),"Menge pro Gebinde fehlt (Ist = 1 Gebinde); ","")&amp;BV1513)</f>
        <v>Kein Verbrauch; Überbestand 10 Stk / CHF 195; nur im Artikelstamm (Bestand 23.06.2026); Verb.Lager</v>
      </c>
      <c r="BO1513" s="60"/>
      <c r="BP1513" s="60"/>
      <c r="BQ1513" s="67"/>
      <c r="BR1513" s="62" t="n">
        <v>20</v>
      </c>
      <c r="BS1513" s="62" t="n">
        <v>0</v>
      </c>
      <c r="BT1513" s="61" t="n">
        <v>0</v>
      </c>
      <c r="BU1513" s="62" t="n">
        <v>0</v>
      </c>
      <c r="BV1513" s="60" t="s">
        <v>2611</v>
      </c>
      <c r="BW1513" s="65" t="n">
        <v>0</v>
      </c>
      <c r="BX1513" s="65" t="n">
        <v>1513</v>
      </c>
      <c r="BY1513" s="60" t="str">
        <f aca="false">IF(U1513&lt;&gt;"",UPPER(TRIM(U1513)),IF(CB1513=1,UPPER(VLOOKUP(T1513,Parameter!$I$27:$K$29,2,0)),IF(P1513="","LOSE",P1513)))</f>
        <v>S51</v>
      </c>
      <c r="BZ1513" s="62" t="n">
        <f aca="false">IF(BY1513="LOSE",1,IF(N(V1513)&gt;0,V1513,IF(CB1513=1,MAX(1,N(VLOOKUP(T1513,Parameter!$I$27:$K$29,3,0)),H1513,N(N1513)),IF(N(Q1513)&gt;0,Q1513,MAX(1,H1513)))))</f>
        <v>20</v>
      </c>
      <c r="CA1513" s="65" t="n">
        <f aca="false">IF(BY1513="LOSE",1,0)</f>
        <v>0</v>
      </c>
      <c r="CB1513" s="65" t="n">
        <f aca="false">IF(AND(U1513="",OR(P1513="",P1513="LOSE"),T1513&lt;&gt;"",N(S1513)&lt;=0,ISNUMBER(MATCH(T1513,Parameter!$I$27:$I$29,0))),1,0)</f>
        <v>0</v>
      </c>
      <c r="CC1513" s="65" t="n">
        <f aca="false">IF(CR1513&gt;0,INDEX(Parameter!$H$5:$H$7,W1513)/INDEX(Parameter!$E$5:$E$7,W1513),IF(AND(CA1513=0,N(IFERROR(VLOOKUP(BY1513,'Gebinde-Kategorie'!$A$5:$N$45,14,0),0))&gt;0),VLOOKUP(BY1513,'Gebinde-Kategorie'!$A$5:$N$45,14,0)*10+Parameter!$M$23,Parameter!$M$24))</f>
        <v>155</v>
      </c>
      <c r="CD1513" s="60" t="str">
        <f aca="false">IF(AND(Parameter!$B$19="Ja",E1513&lt;&gt;"",ISNUMBER(MATCH(E1513,Parameter!$I$35:$I$52,0))),VLOOKUP(E1513,Parameter!$I$35:$J$52,2,0),IFERROR(VLOOKUP(D1513,Parameter!$A$35:$C$64,2,0),"Nein"))</f>
        <v>2+3</v>
      </c>
      <c r="CE1513" s="64" t="n">
        <f aca="false">IF(CA1513=0,0,IF(N(S1513)&gt;0,S1513,IFERROR(VLOOKUP(D1513,Parameter!$A$35:$C$64,3,0)+0,0)))</f>
        <v>0</v>
      </c>
      <c r="CF1513" s="60" t="n">
        <f aca="false">IF(AB1513&lt;&gt;"",AB1513,AA1513)</f>
        <v>3</v>
      </c>
      <c r="CG1513" s="60" t="str">
        <f aca="false">IF(OR(CF1513=1,CF1513=2,CF1513=3),IF(Parameter!$E$27="Ja","LIFT",IF(CF1513=1,"L1","L23")),IF(CF1513="Aussen","Aussen","-"))</f>
        <v>LIFT</v>
      </c>
      <c r="CH1513" s="71" t="n">
        <f aca="false">IF(N(AC1513)&gt;0,AC1513,0)</f>
        <v>0</v>
      </c>
      <c r="CI1513" s="65" t="n">
        <f aca="false">IF(ISNUMBER(AF1513),1,0)</f>
        <v>0</v>
      </c>
      <c r="CJ1513" s="62" t="n">
        <f aca="false">N(AF1513)</f>
        <v>0</v>
      </c>
      <c r="CK1513" s="62" t="n">
        <f aca="false">N(M1513)+N(N1513)</f>
        <v>10</v>
      </c>
      <c r="CL1513" s="62" t="n">
        <f aca="false">N(M1513)</f>
        <v>0</v>
      </c>
      <c r="CM1513" s="62" t="n">
        <f aca="false">N(N1513)</f>
        <v>10</v>
      </c>
      <c r="CN1513" s="62" t="n">
        <f aca="false">ROUNDUP(H1513/BZ1513,0)</f>
        <v>1</v>
      </c>
      <c r="CO1513" s="62" t="n">
        <f aca="false">ROUNDUP(CJ1513/BZ1513,0)</f>
        <v>0</v>
      </c>
      <c r="CP1513" s="65" t="n">
        <f aca="false">IF(CA1513=1,0,IFERROR(VLOOKUP(BY1513,'Gebinde-Kategorie'!$A$5:$N$45,5,0)+0,0))</f>
        <v>11</v>
      </c>
      <c r="CQ1513" s="65" t="n">
        <f aca="false">IFERROR(IF(OR(CF1513=1,CF1513=2,CF1513=3),N(INDEX(Parameter!$I$5:$I$7,CF1513)),0),0)</f>
        <v>0</v>
      </c>
      <c r="CR1513" s="64" t="n">
        <f aca="false">IF(AND(Parameter!$B$21="Ja",ISNUMBER(W1513),N(X1513)&gt;0),IFERROR(N(INDEX(Parameter!$L$5:$L$7,W1513))*INDEX(Parameter!$E$5:$E$7,W1513)*X1513/SUMIFS($X$7:$X$1843,$W$7:$W$1843,W1513),0),0)</f>
        <v>0</v>
      </c>
      <c r="CS1513" s="62" t="n">
        <f aca="false">IF(AND(OR(CG1513="L1",CG1513="L23",CG1513="LIFT"),H1513&gt;0),CC1513*IF(CR1513&gt;0,CR1513*MAX(1,H1513/X1513),IF(CA1513=1,CE1513,IF(R1513&gt;0,CN1513/R1513,0))/MAX(0.1,N(Parameter!$M$21))),"")</f>
        <v>5.96153846153846</v>
      </c>
      <c r="CT1513" s="64" t="n">
        <f aca="false">IF(CS1513="","",J1513/H1513)</f>
        <v>0</v>
      </c>
      <c r="CU1513" s="62" t="n">
        <f aca="false">IF(CS1513="","",H1513*G1513)</f>
        <v>389</v>
      </c>
      <c r="CV1513" s="63" t="n">
        <f aca="false">IF(CS1513="","",(CL1513+ROUNDUP(CL1513+MAX(CM1513,2*(J1513/MAX(0.1,N(Einkauf!$C$6))-CL1513)),0))/2)</f>
        <v>5</v>
      </c>
      <c r="CW1513" s="62" t="n">
        <f aca="false">IF(CS1513="","",MAX(0,H1513-CV1513)*G1513)</f>
        <v>291.75</v>
      </c>
      <c r="CX1513" s="62" t="n">
        <f aca="false">IF(CS1513="","",CS1513*MAX(0,1-CV1513/H1513))</f>
        <v>4.47115384615385</v>
      </c>
      <c r="CY1513" s="64" t="n">
        <f aca="false">IF(CS1513="","",PERCENTRANK($CS$7:$CS$1843,CS1513)+PERCENTRANK($CU$7:$CU$1843,CU1513)+1-PERCENTRANK($CT$7:$CT$1843,CT1513))</f>
        <v>1.833</v>
      </c>
      <c r="CZ1513" s="72" t="n">
        <f aca="false">IF(CS1513="","",CHOOSE(MATCH(Einkauf!$C$5,Parameter!$G$23:$G$27,0),CY1513,CS1513,CU1513,-CT1513,CW1513)+ROW()/1000000000)</f>
        <v>1.833001513</v>
      </c>
    </row>
    <row r="1514" customFormat="false" ht="15" hidden="false" customHeight="false" outlineLevel="0" collapsed="false">
      <c r="A1514" s="60" t="s">
        <v>2690</v>
      </c>
      <c r="B1514" s="60" t="s">
        <v>2691</v>
      </c>
      <c r="C1514" s="60" t="s">
        <v>206</v>
      </c>
      <c r="D1514" s="60" t="s">
        <v>226</v>
      </c>
      <c r="E1514" s="60" t="s">
        <v>227</v>
      </c>
      <c r="F1514" s="60"/>
      <c r="G1514" s="61" t="n">
        <v>25.92</v>
      </c>
      <c r="H1514" s="62" t="n">
        <f aca="false">MAX(0,IF(AND(Parameter!$B$21="Ja",ISNUMBER(Y1514)),Y1514,IF(Parameter!$B$20="Jahresanfang 2025 + Export",BS1514+BR1514,BR1514)))</f>
        <v>12</v>
      </c>
      <c r="I1514" s="62" t="n">
        <f aca="false">H1514*G1514</f>
        <v>311.04</v>
      </c>
      <c r="J1514" s="62" t="n">
        <f aca="false">BU1514*Parameter!$B$18</f>
        <v>0</v>
      </c>
      <c r="K1514" s="63"/>
      <c r="L1514" s="64"/>
      <c r="M1514" s="62" t="n">
        <v>0</v>
      </c>
      <c r="N1514" s="62" t="n">
        <v>3</v>
      </c>
      <c r="O1514" s="65" t="n">
        <v>28</v>
      </c>
      <c r="P1514" s="60" t="s">
        <v>463</v>
      </c>
      <c r="Q1514" s="62" t="n">
        <v>12</v>
      </c>
      <c r="R1514" s="65" t="n">
        <f aca="false">IF(CA1514=1,0,IFERROR(VLOOKUP(BY1514,'Gebinde-Kategorie'!$A$5:$N$45,13,0)+0,0))</f>
        <v>104</v>
      </c>
      <c r="S1514" s="66"/>
      <c r="T1514" s="67"/>
      <c r="U1514" s="67"/>
      <c r="V1514" s="67"/>
      <c r="W1514" s="60"/>
      <c r="X1514" s="62"/>
      <c r="Y1514" s="62"/>
      <c r="Z1514" s="60" t="n">
        <v>1</v>
      </c>
      <c r="AA1514" s="60" t="n">
        <f aca="false">IF(A1514="","",IF(AND(Parameter!$B$21="Ja",ISNUMBER(W1514)),W1514,IF(AND(Parameter!$E$27="Ja",ISNUMBER(Z1514),CD1514&lt;&gt;"Nein"),Z1514,IF(CD1514="2+3",IF(ISNUMBER(SEARCH("grosser Artikel",BV1514)),2,IFERROR(VLOOKUP(BY1514,Parameter!$F$35:$G$64,2,0),2)),IF(OR(CD1514="Nein",CD1514=""),"-",CD1514)))))</f>
        <v>1</v>
      </c>
      <c r="AB1514" s="67"/>
      <c r="AC1514" s="68"/>
      <c r="AD1514" s="62" t="n">
        <f aca="false">AW1514</f>
        <v>3</v>
      </c>
      <c r="AE1514" s="62" t="n">
        <f aca="false">MAX(AW1514,H1514)</f>
        <v>12</v>
      </c>
      <c r="AF1514" s="69"/>
      <c r="AG1514" s="62" t="n">
        <f aca="false">IF(LEFT(Cockpit!$C$5,1)="A",H1514,IF(Parameter!$E$30="MAX-Bestand",IF(CI1514=1,CJ1514,IF(LEFT(Cockpit!$C$5,1)="B",AM1514,MAX(AM1514,H1514))),ROUNDUP(AK1514,0)))</f>
        <v>12</v>
      </c>
      <c r="AH1514" s="62" t="n">
        <f aca="false">IF(CA1514=1,0,ROUNDUP(AG1514/BZ1514,0))</f>
        <v>1</v>
      </c>
      <c r="AI1514" s="64" t="n">
        <f aca="false">IF(CR1514&gt;0,CR1514*MAX(1,AG1514/X1514),IF(CA1514=1,IF(AG1514&lt;=0,0,CE1514*MAX(1,IF(H1514&gt;0,AG1514/H1514,1))),IF(R1514&gt;0,AH1514/R1514,0))/MAX(0.1,N(Parameter!$M$21)))</f>
        <v>0.00961538461538462</v>
      </c>
      <c r="AJ1514" s="62" t="n">
        <f aca="false">AI1514*CC1514</f>
        <v>1.49038461538462</v>
      </c>
      <c r="AK1514" s="63" t="n">
        <f aca="false">IF(LEFT(Cockpit!$C$5,1)="A",H1514,IF(CI1514=1,(CL1514+CJ1514)/2,IF(LEFT(Cockpit!$C$5,1)="B",(CL1514+AM1514)/2,MAX((CL1514+AM1514)/2,H1514))))</f>
        <v>12</v>
      </c>
      <c r="AL1514" s="62" t="n">
        <f aca="false">AK1514*G1514</f>
        <v>311.04</v>
      </c>
      <c r="AM1514" s="62" t="n">
        <f aca="false">ROUNDUP(CL1514+MAX(CM1514,2*(J1514/IF(CH1514&gt;0,CH1514,MAX(0.1,N(Cockpit!$C$6)))-CL1514)),0)</f>
        <v>3</v>
      </c>
      <c r="AN1514" s="63" t="n">
        <f aca="false">IF(AJ1514&gt;0,J1514/AJ1514,-1)</f>
        <v>0</v>
      </c>
      <c r="AO1514" s="63" t="n">
        <f aca="false">IF(AND(OR(CG1514="L1",CG1514="L23",CG1514="LIFT"),AJ1514&gt;0),SUMIFS($AJ$7:$AJ$1843,$CG$7:$CG$1843,CG1514,$AN$7:$AN$1843,"&gt;"&amp;AN1514)+SUMIFS($AJ$7:$AJ$1843,$CG$7:$CG$1843,CG1514,$AN$7:$AN$1843,AN1514,$BX$7:$BX$1843,"&lt;="&amp;BX1514),"")</f>
        <v>29951.3134998241</v>
      </c>
      <c r="AP1514" s="70" t="n">
        <f aca="false">IF(AO1514="",0,MAX(0,MIN(1,(IF(CG1514="L1",Parameter!$H$5,IF(CG1514="L23",Parameter!$H$6+Parameter!$H$7,Parameter!$H$5+Parameter!$H$6+Parameter!$H$7))-(AO1514-AJ1514))/AJ1514)))</f>
        <v>1</v>
      </c>
      <c r="AQ1514" s="62" t="n">
        <f aca="false">IF(LEFT(Cockpit!$I$5,1)="A",H1514,IF(Parameter!$E$30="MAX-Bestand",IF(CI1514=1,CJ1514,IF(LEFT(Cockpit!$I$5,1)="B",AW1514,MAX(AW1514,H1514))),ROUNDUP(AU1514,0)))</f>
        <v>12</v>
      </c>
      <c r="AR1514" s="62" t="n">
        <f aca="false">IF(CA1514=1,0,ROUNDUP(AQ1514/BZ1514,0))</f>
        <v>1</v>
      </c>
      <c r="AS1514" s="64" t="n">
        <f aca="false">IF(CR1514&gt;0,CR1514*MAX(1,AQ1514/X1514),IF(CA1514=1,IF(AQ1514&lt;=0,0,CE1514*MAX(1,IF(H1514&gt;0,AQ1514/H1514,1))),IF(R1514&gt;0,AR1514/R1514,0))/MAX(0.1,N(Parameter!$M$21)))</f>
        <v>0.00961538461538462</v>
      </c>
      <c r="AT1514" s="62" t="n">
        <f aca="false">AS1514*CC1514</f>
        <v>1.49038461538462</v>
      </c>
      <c r="AU1514" s="63" t="n">
        <f aca="false">IF(LEFT(Cockpit!$I$5,1)="A",H1514,IF(CI1514=1,(CL1514+CJ1514)/2,IF(LEFT(Cockpit!$I$5,1)="B",(CL1514+AW1514)/2,MAX((CL1514+AW1514)/2,H1514))))</f>
        <v>12</v>
      </c>
      <c r="AV1514" s="62" t="n">
        <f aca="false">AU1514*G1514</f>
        <v>311.04</v>
      </c>
      <c r="AW1514" s="62" t="n">
        <f aca="false">ROUNDUP(CL1514+MAX(CM1514,2*(J1514/IF(CH1514&gt;0,CH1514,MAX(0.1,N(Cockpit!$I$6)))-CL1514)),0)</f>
        <v>3</v>
      </c>
      <c r="AX1514" s="63" t="n">
        <f aca="false">IF(AT1514&gt;0,J1514/AT1514,-1)</f>
        <v>0</v>
      </c>
      <c r="AY1514" s="63" t="n">
        <f aca="false">IF(AND(OR(CG1514="L1",CG1514="L23",CG1514="LIFT"),AT1514&gt;0),SUMIFS($AT$7:$AT$1843,$CG$7:$CG$1843,CG1514,$AX$7:$AX$1843,"&gt;"&amp;AX1514)+SUMIFS($AT$7:$AT$1843,$CG$7:$CG$1843,CG1514,$AX$7:$AX$1843,AX1514,$BX$7:$BX$1843,"&lt;="&amp;BX1514),"")</f>
        <v>36257.8843023737</v>
      </c>
      <c r="AZ1514" s="70" t="n">
        <f aca="false">IF(AY1514="",0,MAX(0,MIN(1,(IF(CG1514="L1",Parameter!$H$5,IF(CG1514="L23",Parameter!$H$6+Parameter!$H$7,Parameter!$H$5+Parameter!$H$6+Parameter!$H$7))-(AY1514-AT1514))/AT1514)))</f>
        <v>0</v>
      </c>
      <c r="BA1514" s="62" t="n">
        <f aca="false">IF(LEFT(Cockpit!$O$5,1)="A",H1514,IF(Parameter!$E$30="MAX-Bestand",IF(CI1514=1,CJ1514,IF(LEFT(Cockpit!$O$5,1)="B",BG1514,MAX(BG1514,H1514))),ROUNDUP(BE1514,0)))</f>
        <v>2</v>
      </c>
      <c r="BB1514" s="62" t="n">
        <f aca="false">IF(CA1514=1,0,ROUNDUP(BA1514/BZ1514,0))</f>
        <v>1</v>
      </c>
      <c r="BC1514" s="64" t="n">
        <f aca="false">IF(CR1514&gt;0,CR1514*MAX(1,BA1514/X1514),IF(CA1514=1,IF(BA1514&lt;=0,0,CE1514*MAX(1,IF(H1514&gt;0,BA1514/H1514,1))),IF(R1514&gt;0,BB1514/R1514,0))/MAX(0.1,N(Parameter!$M$21)))</f>
        <v>0.00961538461538462</v>
      </c>
      <c r="BD1514" s="62" t="n">
        <f aca="false">BC1514*CC1514</f>
        <v>1.49038461538462</v>
      </c>
      <c r="BE1514" s="63" t="n">
        <f aca="false">IF(LEFT(Cockpit!$O$5,1)="A",H1514,IF(CI1514=1,(CL1514+CJ1514)/2,IF(LEFT(Cockpit!$O$5,1)="B",(CL1514+BG1514)/2,MAX((CL1514+BG1514)/2,H1514))))</f>
        <v>1.5</v>
      </c>
      <c r="BF1514" s="62" t="n">
        <f aca="false">BE1514*G1514</f>
        <v>38.88</v>
      </c>
      <c r="BG1514" s="62" t="n">
        <f aca="false">ROUNDUP(CL1514+MAX(CM1514,2*(J1514/IF(CH1514&gt;0,CH1514,MAX(0.1,N(Cockpit!$O$6)))-CL1514)),0)</f>
        <v>3</v>
      </c>
      <c r="BH1514" s="63" t="n">
        <f aca="false">IF(BD1514&gt;0,J1514/BD1514,-1)</f>
        <v>0</v>
      </c>
      <c r="BI1514" s="63" t="n">
        <f aca="false">IF(AND(OR(CG1514="L1",CG1514="L23",CG1514="LIFT"),BD1514&gt;0),SUMIFS($BD$7:$BD$1843,$CG$7:$CG$1843,CG1514,$BH$7:$BH$1843,"&gt;"&amp;BH1514)+SUMIFS($BD$7:$BD$1843,$CG$7:$CG$1843,CG1514,$BH$7:$BH$1843,BH1514,$BX$7:$BX$1843,"&lt;="&amp;BX1514),"")</f>
        <v>30196.0755779061</v>
      </c>
      <c r="BJ1514" s="70" t="n">
        <f aca="false">IF(BI1514="",0,MAX(0,MIN(1,(IF(CG1514="L1",Parameter!$H$5,IF(CG1514="L23",Parameter!$H$6+Parameter!$H$7,Parameter!$H$5+Parameter!$H$6+Parameter!$H$7))-(BI1514-BD1514))/BD1514)))</f>
        <v>1</v>
      </c>
      <c r="BK1514" s="60" t="str">
        <f aca="false">IF(AJ1514&lt;=0,"",IF(CG1514="Aussen","Aussenlager",IF(CG1514="-","Nicht im Lift",IF(AP1514&gt;=1,"Lift",IF(AP1514&lt;=0,"Aussenlager","teilweise")))))</f>
        <v>Lift</v>
      </c>
      <c r="BL1514" s="60" t="str">
        <f aca="false">IF(AT1514&lt;=0,"",IF(CG1514="Aussen","Aussenlager",IF(CG1514="-","Nicht im Lift",IF(AZ1514&gt;=1,"Lift",IF(AZ1514&lt;=0,"Aussenlager","teilweise")))))</f>
        <v>Aussenlager</v>
      </c>
      <c r="BM1514" s="60" t="str">
        <f aca="false">IF(BD1514&lt;=0,"",IF(CG1514="Aussen","Aussenlager",IF(CG1514="-","Nicht im Lift",IF(BJ1514&gt;=1,"Lift",IF(BJ1514&lt;=0,"Aussenlager","teilweise")))))</f>
        <v>Lift</v>
      </c>
      <c r="BN1514" s="60" t="str">
        <f aca="false">IF(A1514="","",IF(BW1514=1,"Neu; ","")&amp;IF(AND(BW1514=0,BR1514&lt;0),"negativer Bestand (Export "&amp;BR1514&amp;"); ","")&amp;IF(J1514&lt;=0,"Kein Verbrauch; ","")&amp;IF(CR1514&gt;0,"Lift "&amp;W1514&amp;" lt. Liftbericht (Fach "&amp;X1514&amp;" Stk); ",IF(CB1514=1,"Gebinde geschätzt ("&amp;T1514&amp;"); ",IF(CA1514=1,"Lose – Tablare geschätzt; ","")))&amp;IF(H1514&gt;AW1514,"Überbestand "&amp;ROUND(H1514-AW1514,0)&amp;" Stk / CHF "&amp;ROUND((H1514-AW1514)*G1514,0)&amp;"; ","")&amp;IF(AND(CI1514=1,CJ1514&lt;CK1514),"MAX &lt; MB+LG; ","")&amp;IF(AND(CQ1514&gt;0,CP1514*10&gt;CQ1514),"zu hoch für Tablar; ","")&amp;IF(AND(BW1514=0,OR(CI1514=1,AB1514&lt;&gt;"",U1514&lt;&gt;"",V1514&lt;&gt;"",AC1514&lt;&gt;"")),"manuell übersteuert; ","")&amp;IF(AND(CA1514=0,R1514=0),"Gebinde unbekannt / Stellmass fehlt; ","")&amp;IF(AND(CA1514=0,N(V1514)&lt;=0,N(Q1514)&lt;=0),"Menge pro Gebinde fehlt (Ist = 1 Gebinde); ","")&amp;BV1514)</f>
        <v>Kein Verbrauch; Überbestand 9 Stk / CHF 233; nur im Artikelstamm (Bestand 23.06.2026); Verb.Lager</v>
      </c>
      <c r="BO1514" s="60"/>
      <c r="BP1514" s="60"/>
      <c r="BQ1514" s="67"/>
      <c r="BR1514" s="62" t="n">
        <v>12</v>
      </c>
      <c r="BS1514" s="62" t="n">
        <v>0</v>
      </c>
      <c r="BT1514" s="61" t="n">
        <v>0</v>
      </c>
      <c r="BU1514" s="62" t="n">
        <v>0</v>
      </c>
      <c r="BV1514" s="60" t="s">
        <v>2611</v>
      </c>
      <c r="BW1514" s="65" t="n">
        <v>0</v>
      </c>
      <c r="BX1514" s="65" t="n">
        <v>1514</v>
      </c>
      <c r="BY1514" s="60" t="str">
        <f aca="false">IF(U1514&lt;&gt;"",UPPER(TRIM(U1514)),IF(CB1514=1,UPPER(VLOOKUP(T1514,Parameter!$I$27:$K$29,2,0)),IF(P1514="","LOSE",P1514)))</f>
        <v>S32</v>
      </c>
      <c r="BZ1514" s="62" t="n">
        <f aca="false">IF(BY1514="LOSE",1,IF(N(V1514)&gt;0,V1514,IF(CB1514=1,MAX(1,N(VLOOKUP(T1514,Parameter!$I$27:$K$29,3,0)),H1514,N(N1514)),IF(N(Q1514)&gt;0,Q1514,MAX(1,H1514)))))</f>
        <v>12</v>
      </c>
      <c r="CA1514" s="65" t="n">
        <f aca="false">IF(BY1514="LOSE",1,0)</f>
        <v>0</v>
      </c>
      <c r="CB1514" s="65" t="n">
        <f aca="false">IF(AND(U1514="",OR(P1514="",P1514="LOSE"),T1514&lt;&gt;"",N(S1514)&lt;=0,ISNUMBER(MATCH(T1514,Parameter!$I$27:$I$29,0))),1,0)</f>
        <v>0</v>
      </c>
      <c r="CC1514" s="65" t="n">
        <f aca="false">IF(CR1514&gt;0,INDEX(Parameter!$H$5:$H$7,W1514)/INDEX(Parameter!$E$5:$E$7,W1514),IF(AND(CA1514=0,N(IFERROR(VLOOKUP(BY1514,'Gebinde-Kategorie'!$A$5:$N$45,14,0),0))&gt;0),VLOOKUP(BY1514,'Gebinde-Kategorie'!$A$5:$N$45,14,0)*10+Parameter!$M$23,Parameter!$M$24))</f>
        <v>155</v>
      </c>
      <c r="CD1514" s="60" t="str">
        <f aca="false">IF(AND(Parameter!$B$19="Ja",E1514&lt;&gt;"",ISNUMBER(MATCH(E1514,Parameter!$I$35:$I$52,0))),VLOOKUP(E1514,Parameter!$I$35:$J$52,2,0),IFERROR(VLOOKUP(D1514,Parameter!$A$35:$C$64,2,0),"Nein"))</f>
        <v>2+3</v>
      </c>
      <c r="CE1514" s="64" t="n">
        <f aca="false">IF(CA1514=0,0,IF(N(S1514)&gt;0,S1514,IFERROR(VLOOKUP(D1514,Parameter!$A$35:$C$64,3,0)+0,0)))</f>
        <v>0</v>
      </c>
      <c r="CF1514" s="60" t="n">
        <f aca="false">IF(AB1514&lt;&gt;"",AB1514,AA1514)</f>
        <v>1</v>
      </c>
      <c r="CG1514" s="60" t="str">
        <f aca="false">IF(OR(CF1514=1,CF1514=2,CF1514=3),IF(Parameter!$E$27="Ja","LIFT",IF(CF1514=1,"L1","L23")),IF(CF1514="Aussen","Aussen","-"))</f>
        <v>LIFT</v>
      </c>
      <c r="CH1514" s="71" t="n">
        <f aca="false">IF(N(AC1514)&gt;0,AC1514,0)</f>
        <v>0</v>
      </c>
      <c r="CI1514" s="65" t="n">
        <f aca="false">IF(ISNUMBER(AF1514),1,0)</f>
        <v>0</v>
      </c>
      <c r="CJ1514" s="62" t="n">
        <f aca="false">N(AF1514)</f>
        <v>0</v>
      </c>
      <c r="CK1514" s="62" t="n">
        <f aca="false">N(M1514)+N(N1514)</f>
        <v>3</v>
      </c>
      <c r="CL1514" s="62" t="n">
        <f aca="false">N(M1514)</f>
        <v>0</v>
      </c>
      <c r="CM1514" s="62" t="n">
        <f aca="false">N(N1514)</f>
        <v>3</v>
      </c>
      <c r="CN1514" s="62" t="n">
        <f aca="false">ROUNDUP(H1514/BZ1514,0)</f>
        <v>1</v>
      </c>
      <c r="CO1514" s="62" t="n">
        <f aca="false">ROUNDUP(CJ1514/BZ1514,0)</f>
        <v>0</v>
      </c>
      <c r="CP1514" s="65" t="n">
        <f aca="false">IF(CA1514=1,0,IFERROR(VLOOKUP(BY1514,'Gebinde-Kategorie'!$A$5:$N$45,5,0)+0,0))</f>
        <v>8</v>
      </c>
      <c r="CQ1514" s="65" t="n">
        <f aca="false">IFERROR(IF(OR(CF1514=1,CF1514=2,CF1514=3),N(INDEX(Parameter!$I$5:$I$7,CF1514)),0),0)</f>
        <v>0</v>
      </c>
      <c r="CR1514" s="64" t="n">
        <f aca="false">IF(AND(Parameter!$B$21="Ja",ISNUMBER(W1514),N(X1514)&gt;0),IFERROR(N(INDEX(Parameter!$L$5:$L$7,W1514))*INDEX(Parameter!$E$5:$E$7,W1514)*X1514/SUMIFS($X$7:$X$1843,$W$7:$W$1843,W1514),0),0)</f>
        <v>0</v>
      </c>
      <c r="CS1514" s="62" t="n">
        <f aca="false">IF(AND(OR(CG1514="L1",CG1514="L23",CG1514="LIFT"),H1514&gt;0),CC1514*IF(CR1514&gt;0,CR1514*MAX(1,H1514/X1514),IF(CA1514=1,CE1514,IF(R1514&gt;0,CN1514/R1514,0))/MAX(0.1,N(Parameter!$M$21))),"")</f>
        <v>1.49038461538462</v>
      </c>
      <c r="CT1514" s="64" t="n">
        <f aca="false">IF(CS1514="","",J1514/H1514)</f>
        <v>0</v>
      </c>
      <c r="CU1514" s="62" t="n">
        <f aca="false">IF(CS1514="","",H1514*G1514)</f>
        <v>311.04</v>
      </c>
      <c r="CV1514" s="63" t="n">
        <f aca="false">IF(CS1514="","",(CL1514+ROUNDUP(CL1514+MAX(CM1514,2*(J1514/MAX(0.1,N(Einkauf!$C$6))-CL1514)),0))/2)</f>
        <v>1.5</v>
      </c>
      <c r="CW1514" s="62" t="n">
        <f aca="false">IF(CS1514="","",MAX(0,H1514-CV1514)*G1514)</f>
        <v>272.16</v>
      </c>
      <c r="CX1514" s="62" t="n">
        <f aca="false">IF(CS1514="","",CS1514*MAX(0,1-CV1514/H1514))</f>
        <v>1.30408653846154</v>
      </c>
      <c r="CY1514" s="64" t="n">
        <f aca="false">IF(CS1514="","",PERCENTRANK($CS$7:$CS$1843,CS1514)+PERCENTRANK($CU$7:$CU$1843,CU1514)+1-PERCENTRANK($CT$7:$CT$1843,CT1514))</f>
        <v>1.545</v>
      </c>
      <c r="CZ1514" s="72" t="n">
        <f aca="false">IF(CS1514="","",CHOOSE(MATCH(Einkauf!$C$5,Parameter!$G$23:$G$27,0),CY1514,CS1514,CU1514,-CT1514,CW1514)+ROW()/1000000000)</f>
        <v>1.545001514</v>
      </c>
    </row>
    <row r="1515" customFormat="false" ht="15" hidden="false" customHeight="false" outlineLevel="0" collapsed="false">
      <c r="A1515" s="60" t="s">
        <v>2692</v>
      </c>
      <c r="B1515" s="60" t="s">
        <v>2693</v>
      </c>
      <c r="C1515" s="60" t="s">
        <v>206</v>
      </c>
      <c r="D1515" s="60" t="s">
        <v>226</v>
      </c>
      <c r="E1515" s="60" t="s">
        <v>227</v>
      </c>
      <c r="F1515" s="60"/>
      <c r="G1515" s="61" t="n">
        <v>40.36</v>
      </c>
      <c r="H1515" s="62" t="n">
        <f aca="false">MAX(0,IF(AND(Parameter!$B$21="Ja",ISNUMBER(Y1515)),Y1515,IF(Parameter!$B$20="Jahresanfang 2025 + Export",BS1515+BR1515,BR1515)))</f>
        <v>15</v>
      </c>
      <c r="I1515" s="62" t="n">
        <f aca="false">H1515*G1515</f>
        <v>605.4</v>
      </c>
      <c r="J1515" s="62" t="n">
        <f aca="false">BU1515*Parameter!$B$18</f>
        <v>0</v>
      </c>
      <c r="K1515" s="63"/>
      <c r="L1515" s="64"/>
      <c r="M1515" s="62" t="n">
        <v>0</v>
      </c>
      <c r="N1515" s="62" t="n">
        <v>10</v>
      </c>
      <c r="O1515" s="65" t="n">
        <v>0</v>
      </c>
      <c r="P1515" s="60" t="s">
        <v>463</v>
      </c>
      <c r="Q1515" s="62" t="n">
        <v>15</v>
      </c>
      <c r="R1515" s="65" t="n">
        <f aca="false">IF(CA1515=1,0,IFERROR(VLOOKUP(BY1515,'Gebinde-Kategorie'!$A$5:$N$45,13,0)+0,0))</f>
        <v>104</v>
      </c>
      <c r="S1515" s="66"/>
      <c r="T1515" s="67"/>
      <c r="U1515" s="67"/>
      <c r="V1515" s="67"/>
      <c r="W1515" s="60"/>
      <c r="X1515" s="62"/>
      <c r="Y1515" s="62"/>
      <c r="Z1515" s="60" t="n">
        <v>1</v>
      </c>
      <c r="AA1515" s="60" t="n">
        <f aca="false">IF(A1515="","",IF(AND(Parameter!$B$21="Ja",ISNUMBER(W1515)),W1515,IF(AND(Parameter!$E$27="Ja",ISNUMBER(Z1515),CD1515&lt;&gt;"Nein"),Z1515,IF(CD1515="2+3",IF(ISNUMBER(SEARCH("grosser Artikel",BV1515)),2,IFERROR(VLOOKUP(BY1515,Parameter!$F$35:$G$64,2,0),2)),IF(OR(CD1515="Nein",CD1515=""),"-",CD1515)))))</f>
        <v>1</v>
      </c>
      <c r="AB1515" s="67"/>
      <c r="AC1515" s="68"/>
      <c r="AD1515" s="62" t="n">
        <f aca="false">AW1515</f>
        <v>10</v>
      </c>
      <c r="AE1515" s="62" t="n">
        <f aca="false">MAX(AW1515,H1515)</f>
        <v>15</v>
      </c>
      <c r="AF1515" s="69"/>
      <c r="AG1515" s="62" t="n">
        <f aca="false">IF(LEFT(Cockpit!$C$5,1)="A",H1515,IF(Parameter!$E$30="MAX-Bestand",IF(CI1515=1,CJ1515,IF(LEFT(Cockpit!$C$5,1)="B",AM1515,MAX(AM1515,H1515))),ROUNDUP(AK1515,0)))</f>
        <v>15</v>
      </c>
      <c r="AH1515" s="62" t="n">
        <f aca="false">IF(CA1515=1,0,ROUNDUP(AG1515/BZ1515,0))</f>
        <v>1</v>
      </c>
      <c r="AI1515" s="64" t="n">
        <f aca="false">IF(CR1515&gt;0,CR1515*MAX(1,AG1515/X1515),IF(CA1515=1,IF(AG1515&lt;=0,0,CE1515*MAX(1,IF(H1515&gt;0,AG1515/H1515,1))),IF(R1515&gt;0,AH1515/R1515,0))/MAX(0.1,N(Parameter!$M$21)))</f>
        <v>0.00961538461538462</v>
      </c>
      <c r="AJ1515" s="62" t="n">
        <f aca="false">AI1515*CC1515</f>
        <v>1.49038461538462</v>
      </c>
      <c r="AK1515" s="63" t="n">
        <f aca="false">IF(LEFT(Cockpit!$C$5,1)="A",H1515,IF(CI1515=1,(CL1515+CJ1515)/2,IF(LEFT(Cockpit!$C$5,1)="B",(CL1515+AM1515)/2,MAX((CL1515+AM1515)/2,H1515))))</f>
        <v>15</v>
      </c>
      <c r="AL1515" s="62" t="n">
        <f aca="false">AK1515*G1515</f>
        <v>605.4</v>
      </c>
      <c r="AM1515" s="62" t="n">
        <f aca="false">ROUNDUP(CL1515+MAX(CM1515,2*(J1515/IF(CH1515&gt;0,CH1515,MAX(0.1,N(Cockpit!$C$6)))-CL1515)),0)</f>
        <v>10</v>
      </c>
      <c r="AN1515" s="63" t="n">
        <f aca="false">IF(AJ1515&gt;0,J1515/AJ1515,-1)</f>
        <v>0</v>
      </c>
      <c r="AO1515" s="63" t="n">
        <f aca="false">IF(AND(OR(CG1515="L1",CG1515="L23",CG1515="LIFT"),AJ1515&gt;0),SUMIFS($AJ$7:$AJ$1843,$CG$7:$CG$1843,CG1515,$AN$7:$AN$1843,"&gt;"&amp;AN1515)+SUMIFS($AJ$7:$AJ$1843,$CG$7:$CG$1843,CG1515,$AN$7:$AN$1843,AN1515,$BX$7:$BX$1843,"&lt;="&amp;BX1515),"")</f>
        <v>29952.8038844395</v>
      </c>
      <c r="AP1515" s="70" t="n">
        <f aca="false">IF(AO1515="",0,MAX(0,MIN(1,(IF(CG1515="L1",Parameter!$H$5,IF(CG1515="L23",Parameter!$H$6+Parameter!$H$7,Parameter!$H$5+Parameter!$H$6+Parameter!$H$7))-(AO1515-AJ1515))/AJ1515)))</f>
        <v>1</v>
      </c>
      <c r="AQ1515" s="62" t="n">
        <f aca="false">IF(LEFT(Cockpit!$I$5,1)="A",H1515,IF(Parameter!$E$30="MAX-Bestand",IF(CI1515=1,CJ1515,IF(LEFT(Cockpit!$I$5,1)="B",AW1515,MAX(AW1515,H1515))),ROUNDUP(AU1515,0)))</f>
        <v>15</v>
      </c>
      <c r="AR1515" s="62" t="n">
        <f aca="false">IF(CA1515=1,0,ROUNDUP(AQ1515/BZ1515,0))</f>
        <v>1</v>
      </c>
      <c r="AS1515" s="64" t="n">
        <f aca="false">IF(CR1515&gt;0,CR1515*MAX(1,AQ1515/X1515),IF(CA1515=1,IF(AQ1515&lt;=0,0,CE1515*MAX(1,IF(H1515&gt;0,AQ1515/H1515,1))),IF(R1515&gt;0,AR1515/R1515,0))/MAX(0.1,N(Parameter!$M$21)))</f>
        <v>0.00961538461538462</v>
      </c>
      <c r="AT1515" s="62" t="n">
        <f aca="false">AS1515*CC1515</f>
        <v>1.49038461538462</v>
      </c>
      <c r="AU1515" s="63" t="n">
        <f aca="false">IF(LEFT(Cockpit!$I$5,1)="A",H1515,IF(CI1515=1,(CL1515+CJ1515)/2,IF(LEFT(Cockpit!$I$5,1)="B",(CL1515+AW1515)/2,MAX((CL1515+AW1515)/2,H1515))))</f>
        <v>15</v>
      </c>
      <c r="AV1515" s="62" t="n">
        <f aca="false">AU1515*G1515</f>
        <v>605.4</v>
      </c>
      <c r="AW1515" s="62" t="n">
        <f aca="false">ROUNDUP(CL1515+MAX(CM1515,2*(J1515/IF(CH1515&gt;0,CH1515,MAX(0.1,N(Cockpit!$I$6)))-CL1515)),0)</f>
        <v>10</v>
      </c>
      <c r="AX1515" s="63" t="n">
        <f aca="false">IF(AT1515&gt;0,J1515/AT1515,-1)</f>
        <v>0</v>
      </c>
      <c r="AY1515" s="63" t="n">
        <f aca="false">IF(AND(OR(CG1515="L1",CG1515="L23",CG1515="LIFT"),AT1515&gt;0),SUMIFS($AT$7:$AT$1843,$CG$7:$CG$1843,CG1515,$AX$7:$AX$1843,"&gt;"&amp;AX1515)+SUMIFS($AT$7:$AT$1843,$CG$7:$CG$1843,CG1515,$AX$7:$AX$1843,AX1515,$BX$7:$BX$1843,"&lt;="&amp;BX1515),"")</f>
        <v>36259.3746869891</v>
      </c>
      <c r="AZ1515" s="70" t="n">
        <f aca="false">IF(AY1515="",0,MAX(0,MIN(1,(IF(CG1515="L1",Parameter!$H$5,IF(CG1515="L23",Parameter!$H$6+Parameter!$H$7,Parameter!$H$5+Parameter!$H$6+Parameter!$H$7))-(AY1515-AT1515))/AT1515)))</f>
        <v>0</v>
      </c>
      <c r="BA1515" s="62" t="n">
        <f aca="false">IF(LEFT(Cockpit!$O$5,1)="A",H1515,IF(Parameter!$E$30="MAX-Bestand",IF(CI1515=1,CJ1515,IF(LEFT(Cockpit!$O$5,1)="B",BG1515,MAX(BG1515,H1515))),ROUNDUP(BE1515,0)))</f>
        <v>5</v>
      </c>
      <c r="BB1515" s="62" t="n">
        <f aca="false">IF(CA1515=1,0,ROUNDUP(BA1515/BZ1515,0))</f>
        <v>1</v>
      </c>
      <c r="BC1515" s="64" t="n">
        <f aca="false">IF(CR1515&gt;0,CR1515*MAX(1,BA1515/X1515),IF(CA1515=1,IF(BA1515&lt;=0,0,CE1515*MAX(1,IF(H1515&gt;0,BA1515/H1515,1))),IF(R1515&gt;0,BB1515/R1515,0))/MAX(0.1,N(Parameter!$M$21)))</f>
        <v>0.00961538461538462</v>
      </c>
      <c r="BD1515" s="62" t="n">
        <f aca="false">BC1515*CC1515</f>
        <v>1.49038461538462</v>
      </c>
      <c r="BE1515" s="63" t="n">
        <f aca="false">IF(LEFT(Cockpit!$O$5,1)="A",H1515,IF(CI1515=1,(CL1515+CJ1515)/2,IF(LEFT(Cockpit!$O$5,1)="B",(CL1515+BG1515)/2,MAX((CL1515+BG1515)/2,H1515))))</f>
        <v>5</v>
      </c>
      <c r="BF1515" s="62" t="n">
        <f aca="false">BE1515*G1515</f>
        <v>201.8</v>
      </c>
      <c r="BG1515" s="62" t="n">
        <f aca="false">ROUNDUP(CL1515+MAX(CM1515,2*(J1515/IF(CH1515&gt;0,CH1515,MAX(0.1,N(Cockpit!$O$6)))-CL1515)),0)</f>
        <v>10</v>
      </c>
      <c r="BH1515" s="63" t="n">
        <f aca="false">IF(BD1515&gt;0,J1515/BD1515,-1)</f>
        <v>0</v>
      </c>
      <c r="BI1515" s="63" t="n">
        <f aca="false">IF(AND(OR(CG1515="L1",CG1515="L23",CG1515="LIFT"),BD1515&gt;0),SUMIFS($BD$7:$BD$1843,$CG$7:$CG$1843,CG1515,$BH$7:$BH$1843,"&gt;"&amp;BH1515)+SUMIFS($BD$7:$BD$1843,$CG$7:$CG$1843,CG1515,$BH$7:$BH$1843,BH1515,$BX$7:$BX$1843,"&lt;="&amp;BX1515),"")</f>
        <v>30197.5659625215</v>
      </c>
      <c r="BJ1515" s="70" t="n">
        <f aca="false">IF(BI1515="",0,MAX(0,MIN(1,(IF(CG1515="L1",Parameter!$H$5,IF(CG1515="L23",Parameter!$H$6+Parameter!$H$7,Parameter!$H$5+Parameter!$H$6+Parameter!$H$7))-(BI1515-BD1515))/BD1515)))</f>
        <v>1</v>
      </c>
      <c r="BK1515" s="60" t="str">
        <f aca="false">IF(AJ1515&lt;=0,"",IF(CG1515="Aussen","Aussenlager",IF(CG1515="-","Nicht im Lift",IF(AP1515&gt;=1,"Lift",IF(AP1515&lt;=0,"Aussenlager","teilweise")))))</f>
        <v>Lift</v>
      </c>
      <c r="BL1515" s="60" t="str">
        <f aca="false">IF(AT1515&lt;=0,"",IF(CG1515="Aussen","Aussenlager",IF(CG1515="-","Nicht im Lift",IF(AZ1515&gt;=1,"Lift",IF(AZ1515&lt;=0,"Aussenlager","teilweise")))))</f>
        <v>Aussenlager</v>
      </c>
      <c r="BM1515" s="60" t="str">
        <f aca="false">IF(BD1515&lt;=0,"",IF(CG1515="Aussen","Aussenlager",IF(CG1515="-","Nicht im Lift",IF(BJ1515&gt;=1,"Lift",IF(BJ1515&lt;=0,"Aussenlager","teilweise")))))</f>
        <v>Lift</v>
      </c>
      <c r="BN1515" s="60" t="str">
        <f aca="false">IF(A1515="","",IF(BW1515=1,"Neu; ","")&amp;IF(AND(BW1515=0,BR1515&lt;0),"negativer Bestand (Export "&amp;BR1515&amp;"); ","")&amp;IF(J1515&lt;=0,"Kein Verbrauch; ","")&amp;IF(CR1515&gt;0,"Lift "&amp;W1515&amp;" lt. Liftbericht (Fach "&amp;X1515&amp;" Stk); ",IF(CB1515=1,"Gebinde geschätzt ("&amp;T1515&amp;"); ",IF(CA1515=1,"Lose – Tablare geschätzt; ","")))&amp;IF(H1515&gt;AW1515,"Überbestand "&amp;ROUND(H1515-AW1515,0)&amp;" Stk / CHF "&amp;ROUND((H1515-AW1515)*G1515,0)&amp;"; ","")&amp;IF(AND(CI1515=1,CJ1515&lt;CK1515),"MAX &lt; MB+LG; ","")&amp;IF(AND(CQ1515&gt;0,CP1515*10&gt;CQ1515),"zu hoch für Tablar; ","")&amp;IF(AND(BW1515=0,OR(CI1515=1,AB1515&lt;&gt;"",U1515&lt;&gt;"",V1515&lt;&gt;"",AC1515&lt;&gt;"")),"manuell übersteuert; ","")&amp;IF(AND(CA1515=0,R1515=0),"Gebinde unbekannt / Stellmass fehlt; ","")&amp;IF(AND(CA1515=0,N(V1515)&lt;=0,N(Q1515)&lt;=0),"Menge pro Gebinde fehlt (Ist = 1 Gebinde); ","")&amp;BV1515)</f>
        <v>Kein Verbrauch; Überbestand 5 Stk / CHF 202; nur im Artikelstamm (Bestand 23.06.2026); Überbestand</v>
      </c>
      <c r="BO1515" s="60"/>
      <c r="BP1515" s="60"/>
      <c r="BQ1515" s="67"/>
      <c r="BR1515" s="62" t="n">
        <v>15</v>
      </c>
      <c r="BS1515" s="62" t="n">
        <v>0</v>
      </c>
      <c r="BT1515" s="61" t="n">
        <v>0</v>
      </c>
      <c r="BU1515" s="62" t="n">
        <v>0</v>
      </c>
      <c r="BV1515" s="60" t="s">
        <v>2614</v>
      </c>
      <c r="BW1515" s="65" t="n">
        <v>0</v>
      </c>
      <c r="BX1515" s="65" t="n">
        <v>1515</v>
      </c>
      <c r="BY1515" s="60" t="str">
        <f aca="false">IF(U1515&lt;&gt;"",UPPER(TRIM(U1515)),IF(CB1515=1,UPPER(VLOOKUP(T1515,Parameter!$I$27:$K$29,2,0)),IF(P1515="","LOSE",P1515)))</f>
        <v>S32</v>
      </c>
      <c r="BZ1515" s="62" t="n">
        <f aca="false">IF(BY1515="LOSE",1,IF(N(V1515)&gt;0,V1515,IF(CB1515=1,MAX(1,N(VLOOKUP(T1515,Parameter!$I$27:$K$29,3,0)),H1515,N(N1515)),IF(N(Q1515)&gt;0,Q1515,MAX(1,H1515)))))</f>
        <v>15</v>
      </c>
      <c r="CA1515" s="65" t="n">
        <f aca="false">IF(BY1515="LOSE",1,0)</f>
        <v>0</v>
      </c>
      <c r="CB1515" s="65" t="n">
        <f aca="false">IF(AND(U1515="",OR(P1515="",P1515="LOSE"),T1515&lt;&gt;"",N(S1515)&lt;=0,ISNUMBER(MATCH(T1515,Parameter!$I$27:$I$29,0))),1,0)</f>
        <v>0</v>
      </c>
      <c r="CC1515" s="65" t="n">
        <f aca="false">IF(CR1515&gt;0,INDEX(Parameter!$H$5:$H$7,W1515)/INDEX(Parameter!$E$5:$E$7,W1515),IF(AND(CA1515=0,N(IFERROR(VLOOKUP(BY1515,'Gebinde-Kategorie'!$A$5:$N$45,14,0),0))&gt;0),VLOOKUP(BY1515,'Gebinde-Kategorie'!$A$5:$N$45,14,0)*10+Parameter!$M$23,Parameter!$M$24))</f>
        <v>155</v>
      </c>
      <c r="CD1515" s="60" t="str">
        <f aca="false">IF(AND(Parameter!$B$19="Ja",E1515&lt;&gt;"",ISNUMBER(MATCH(E1515,Parameter!$I$35:$I$52,0))),VLOOKUP(E1515,Parameter!$I$35:$J$52,2,0),IFERROR(VLOOKUP(D1515,Parameter!$A$35:$C$64,2,0),"Nein"))</f>
        <v>2+3</v>
      </c>
      <c r="CE1515" s="64" t="n">
        <f aca="false">IF(CA1515=0,0,IF(N(S1515)&gt;0,S1515,IFERROR(VLOOKUP(D1515,Parameter!$A$35:$C$64,3,0)+0,0)))</f>
        <v>0</v>
      </c>
      <c r="CF1515" s="60" t="n">
        <f aca="false">IF(AB1515&lt;&gt;"",AB1515,AA1515)</f>
        <v>1</v>
      </c>
      <c r="CG1515" s="60" t="str">
        <f aca="false">IF(OR(CF1515=1,CF1515=2,CF1515=3),IF(Parameter!$E$27="Ja","LIFT",IF(CF1515=1,"L1","L23")),IF(CF1515="Aussen","Aussen","-"))</f>
        <v>LIFT</v>
      </c>
      <c r="CH1515" s="71" t="n">
        <f aca="false">IF(N(AC1515)&gt;0,AC1515,0)</f>
        <v>0</v>
      </c>
      <c r="CI1515" s="65" t="n">
        <f aca="false">IF(ISNUMBER(AF1515),1,0)</f>
        <v>0</v>
      </c>
      <c r="CJ1515" s="62" t="n">
        <f aca="false">N(AF1515)</f>
        <v>0</v>
      </c>
      <c r="CK1515" s="62" t="n">
        <f aca="false">N(M1515)+N(N1515)</f>
        <v>10</v>
      </c>
      <c r="CL1515" s="62" t="n">
        <f aca="false">N(M1515)</f>
        <v>0</v>
      </c>
      <c r="CM1515" s="62" t="n">
        <f aca="false">N(N1515)</f>
        <v>10</v>
      </c>
      <c r="CN1515" s="62" t="n">
        <f aca="false">ROUNDUP(H1515/BZ1515,0)</f>
        <v>1</v>
      </c>
      <c r="CO1515" s="62" t="n">
        <f aca="false">ROUNDUP(CJ1515/BZ1515,0)</f>
        <v>0</v>
      </c>
      <c r="CP1515" s="65" t="n">
        <f aca="false">IF(CA1515=1,0,IFERROR(VLOOKUP(BY1515,'Gebinde-Kategorie'!$A$5:$N$45,5,0)+0,0))</f>
        <v>8</v>
      </c>
      <c r="CQ1515" s="65" t="n">
        <f aca="false">IFERROR(IF(OR(CF1515=1,CF1515=2,CF1515=3),N(INDEX(Parameter!$I$5:$I$7,CF1515)),0),0)</f>
        <v>0</v>
      </c>
      <c r="CR1515" s="64" t="n">
        <f aca="false">IF(AND(Parameter!$B$21="Ja",ISNUMBER(W1515),N(X1515)&gt;0),IFERROR(N(INDEX(Parameter!$L$5:$L$7,W1515))*INDEX(Parameter!$E$5:$E$7,W1515)*X1515/SUMIFS($X$7:$X$1843,$W$7:$W$1843,W1515),0),0)</f>
        <v>0</v>
      </c>
      <c r="CS1515" s="62" t="n">
        <f aca="false">IF(AND(OR(CG1515="L1",CG1515="L23",CG1515="LIFT"),H1515&gt;0),CC1515*IF(CR1515&gt;0,CR1515*MAX(1,H1515/X1515),IF(CA1515=1,CE1515,IF(R1515&gt;0,CN1515/R1515,0))/MAX(0.1,N(Parameter!$M$21))),"")</f>
        <v>1.49038461538462</v>
      </c>
      <c r="CT1515" s="64" t="n">
        <f aca="false">IF(CS1515="","",J1515/H1515)</f>
        <v>0</v>
      </c>
      <c r="CU1515" s="62" t="n">
        <f aca="false">IF(CS1515="","",H1515*G1515)</f>
        <v>605.4</v>
      </c>
      <c r="CV1515" s="63" t="n">
        <f aca="false">IF(CS1515="","",(CL1515+ROUNDUP(CL1515+MAX(CM1515,2*(J1515/MAX(0.1,N(Einkauf!$C$6))-CL1515)),0))/2)</f>
        <v>5</v>
      </c>
      <c r="CW1515" s="62" t="n">
        <f aca="false">IF(CS1515="","",MAX(0,H1515-CV1515)*G1515)</f>
        <v>403.6</v>
      </c>
      <c r="CX1515" s="62" t="n">
        <f aca="false">IF(CS1515="","",CS1515*MAX(0,1-CV1515/H1515))</f>
        <v>0.993589743589744</v>
      </c>
      <c r="CY1515" s="64" t="n">
        <f aca="false">IF(CS1515="","",PERCENTRANK($CS$7:$CS$1843,CS1515)+PERCENTRANK($CU$7:$CU$1843,CU1515)+1-PERCENTRANK($CT$7:$CT$1843,CT1515))</f>
        <v>1.669</v>
      </c>
      <c r="CZ1515" s="72" t="n">
        <f aca="false">IF(CS1515="","",CHOOSE(MATCH(Einkauf!$C$5,Parameter!$G$23:$G$27,0),CY1515,CS1515,CU1515,-CT1515,CW1515)+ROW()/1000000000)</f>
        <v>1.669001515</v>
      </c>
    </row>
    <row r="1516" customFormat="false" ht="15" hidden="false" customHeight="false" outlineLevel="0" collapsed="false">
      <c r="A1516" s="60" t="s">
        <v>2694</v>
      </c>
      <c r="B1516" s="60" t="s">
        <v>2695</v>
      </c>
      <c r="C1516" s="60" t="s">
        <v>206</v>
      </c>
      <c r="D1516" s="60" t="s">
        <v>226</v>
      </c>
      <c r="E1516" s="60" t="s">
        <v>227</v>
      </c>
      <c r="F1516" s="60"/>
      <c r="G1516" s="61" t="n">
        <v>55.95</v>
      </c>
      <c r="H1516" s="62" t="n">
        <f aca="false">MAX(0,IF(AND(Parameter!$B$21="Ja",ISNUMBER(Y1516)),Y1516,IF(Parameter!$B$20="Jahresanfang 2025 + Export",BS1516+BR1516,BR1516)))</f>
        <v>7</v>
      </c>
      <c r="I1516" s="62" t="n">
        <f aca="false">H1516*G1516</f>
        <v>391.65</v>
      </c>
      <c r="J1516" s="62" t="n">
        <f aca="false">BU1516*Parameter!$B$18</f>
        <v>0</v>
      </c>
      <c r="K1516" s="63"/>
      <c r="L1516" s="64"/>
      <c r="M1516" s="62" t="n">
        <v>0</v>
      </c>
      <c r="N1516" s="62" t="n">
        <v>3</v>
      </c>
      <c r="O1516" s="65" t="n">
        <v>28</v>
      </c>
      <c r="P1516" s="60" t="s">
        <v>463</v>
      </c>
      <c r="Q1516" s="62" t="n">
        <v>7</v>
      </c>
      <c r="R1516" s="65" t="n">
        <f aca="false">IF(CA1516=1,0,IFERROR(VLOOKUP(BY1516,'Gebinde-Kategorie'!$A$5:$N$45,13,0)+0,0))</f>
        <v>104</v>
      </c>
      <c r="S1516" s="66"/>
      <c r="T1516" s="67"/>
      <c r="U1516" s="67"/>
      <c r="V1516" s="67"/>
      <c r="W1516" s="60"/>
      <c r="X1516" s="62"/>
      <c r="Y1516" s="62"/>
      <c r="Z1516" s="60" t="n">
        <v>1</v>
      </c>
      <c r="AA1516" s="60" t="n">
        <f aca="false">IF(A1516="","",IF(AND(Parameter!$B$21="Ja",ISNUMBER(W1516)),W1516,IF(AND(Parameter!$E$27="Ja",ISNUMBER(Z1516),CD1516&lt;&gt;"Nein"),Z1516,IF(CD1516="2+3",IF(ISNUMBER(SEARCH("grosser Artikel",BV1516)),2,IFERROR(VLOOKUP(BY1516,Parameter!$F$35:$G$64,2,0),2)),IF(OR(CD1516="Nein",CD1516=""),"-",CD1516)))))</f>
        <v>1</v>
      </c>
      <c r="AB1516" s="67"/>
      <c r="AC1516" s="68"/>
      <c r="AD1516" s="62" t="n">
        <f aca="false">AW1516</f>
        <v>3</v>
      </c>
      <c r="AE1516" s="62" t="n">
        <f aca="false">MAX(AW1516,H1516)</f>
        <v>7</v>
      </c>
      <c r="AF1516" s="69"/>
      <c r="AG1516" s="62" t="n">
        <f aca="false">IF(LEFT(Cockpit!$C$5,1)="A",H1516,IF(Parameter!$E$30="MAX-Bestand",IF(CI1516=1,CJ1516,IF(LEFT(Cockpit!$C$5,1)="B",AM1516,MAX(AM1516,H1516))),ROUNDUP(AK1516,0)))</f>
        <v>7</v>
      </c>
      <c r="AH1516" s="62" t="n">
        <f aca="false">IF(CA1516=1,0,ROUNDUP(AG1516/BZ1516,0))</f>
        <v>1</v>
      </c>
      <c r="AI1516" s="64" t="n">
        <f aca="false">IF(CR1516&gt;0,CR1516*MAX(1,AG1516/X1516),IF(CA1516=1,IF(AG1516&lt;=0,0,CE1516*MAX(1,IF(H1516&gt;0,AG1516/H1516,1))),IF(R1516&gt;0,AH1516/R1516,0))/MAX(0.1,N(Parameter!$M$21)))</f>
        <v>0.00961538461538462</v>
      </c>
      <c r="AJ1516" s="62" t="n">
        <f aca="false">AI1516*CC1516</f>
        <v>1.49038461538462</v>
      </c>
      <c r="AK1516" s="63" t="n">
        <f aca="false">IF(LEFT(Cockpit!$C$5,1)="A",H1516,IF(CI1516=1,(CL1516+CJ1516)/2,IF(LEFT(Cockpit!$C$5,1)="B",(CL1516+AM1516)/2,MAX((CL1516+AM1516)/2,H1516))))</f>
        <v>7</v>
      </c>
      <c r="AL1516" s="62" t="n">
        <f aca="false">AK1516*G1516</f>
        <v>391.65</v>
      </c>
      <c r="AM1516" s="62" t="n">
        <f aca="false">ROUNDUP(CL1516+MAX(CM1516,2*(J1516/IF(CH1516&gt;0,CH1516,MAX(0.1,N(Cockpit!$C$6)))-CL1516)),0)</f>
        <v>3</v>
      </c>
      <c r="AN1516" s="63" t="n">
        <f aca="false">IF(AJ1516&gt;0,J1516/AJ1516,-1)</f>
        <v>0</v>
      </c>
      <c r="AO1516" s="63" t="n">
        <f aca="false">IF(AND(OR(CG1516="L1",CG1516="L23",CG1516="LIFT"),AJ1516&gt;0),SUMIFS($AJ$7:$AJ$1843,$CG$7:$CG$1843,CG1516,$AN$7:$AN$1843,"&gt;"&amp;AN1516)+SUMIFS($AJ$7:$AJ$1843,$CG$7:$CG$1843,CG1516,$AN$7:$AN$1843,AN1516,$BX$7:$BX$1843,"&lt;="&amp;BX1516),"")</f>
        <v>29954.2942690549</v>
      </c>
      <c r="AP1516" s="70" t="n">
        <f aca="false">IF(AO1516="",0,MAX(0,MIN(1,(IF(CG1516="L1",Parameter!$H$5,IF(CG1516="L23",Parameter!$H$6+Parameter!$H$7,Parameter!$H$5+Parameter!$H$6+Parameter!$H$7))-(AO1516-AJ1516))/AJ1516)))</f>
        <v>1</v>
      </c>
      <c r="AQ1516" s="62" t="n">
        <f aca="false">IF(LEFT(Cockpit!$I$5,1)="A",H1516,IF(Parameter!$E$30="MAX-Bestand",IF(CI1516=1,CJ1516,IF(LEFT(Cockpit!$I$5,1)="B",AW1516,MAX(AW1516,H1516))),ROUNDUP(AU1516,0)))</f>
        <v>7</v>
      </c>
      <c r="AR1516" s="62" t="n">
        <f aca="false">IF(CA1516=1,0,ROUNDUP(AQ1516/BZ1516,0))</f>
        <v>1</v>
      </c>
      <c r="AS1516" s="64" t="n">
        <f aca="false">IF(CR1516&gt;0,CR1516*MAX(1,AQ1516/X1516),IF(CA1516=1,IF(AQ1516&lt;=0,0,CE1516*MAX(1,IF(H1516&gt;0,AQ1516/H1516,1))),IF(R1516&gt;0,AR1516/R1516,0))/MAX(0.1,N(Parameter!$M$21)))</f>
        <v>0.00961538461538462</v>
      </c>
      <c r="AT1516" s="62" t="n">
        <f aca="false">AS1516*CC1516</f>
        <v>1.49038461538462</v>
      </c>
      <c r="AU1516" s="63" t="n">
        <f aca="false">IF(LEFT(Cockpit!$I$5,1)="A",H1516,IF(CI1516=1,(CL1516+CJ1516)/2,IF(LEFT(Cockpit!$I$5,1)="B",(CL1516+AW1516)/2,MAX((CL1516+AW1516)/2,H1516))))</f>
        <v>7</v>
      </c>
      <c r="AV1516" s="62" t="n">
        <f aca="false">AU1516*G1516</f>
        <v>391.65</v>
      </c>
      <c r="AW1516" s="62" t="n">
        <f aca="false">ROUNDUP(CL1516+MAX(CM1516,2*(J1516/IF(CH1516&gt;0,CH1516,MAX(0.1,N(Cockpit!$I$6)))-CL1516)),0)</f>
        <v>3</v>
      </c>
      <c r="AX1516" s="63" t="n">
        <f aca="false">IF(AT1516&gt;0,J1516/AT1516,-1)</f>
        <v>0</v>
      </c>
      <c r="AY1516" s="63" t="n">
        <f aca="false">IF(AND(OR(CG1516="L1",CG1516="L23",CG1516="LIFT"),AT1516&gt;0),SUMIFS($AT$7:$AT$1843,$CG$7:$CG$1843,CG1516,$AX$7:$AX$1843,"&gt;"&amp;AX1516)+SUMIFS($AT$7:$AT$1843,$CG$7:$CG$1843,CG1516,$AX$7:$AX$1843,AX1516,$BX$7:$BX$1843,"&lt;="&amp;BX1516),"")</f>
        <v>36260.8650716045</v>
      </c>
      <c r="AZ1516" s="70" t="n">
        <f aca="false">IF(AY1516="",0,MAX(0,MIN(1,(IF(CG1516="L1",Parameter!$H$5,IF(CG1516="L23",Parameter!$H$6+Parameter!$H$7,Parameter!$H$5+Parameter!$H$6+Parameter!$H$7))-(AY1516-AT1516))/AT1516)))</f>
        <v>0</v>
      </c>
      <c r="BA1516" s="62" t="n">
        <f aca="false">IF(LEFT(Cockpit!$O$5,1)="A",H1516,IF(Parameter!$E$30="MAX-Bestand",IF(CI1516=1,CJ1516,IF(LEFT(Cockpit!$O$5,1)="B",BG1516,MAX(BG1516,H1516))),ROUNDUP(BE1516,0)))</f>
        <v>2</v>
      </c>
      <c r="BB1516" s="62" t="n">
        <f aca="false">IF(CA1516=1,0,ROUNDUP(BA1516/BZ1516,0))</f>
        <v>1</v>
      </c>
      <c r="BC1516" s="64" t="n">
        <f aca="false">IF(CR1516&gt;0,CR1516*MAX(1,BA1516/X1516),IF(CA1516=1,IF(BA1516&lt;=0,0,CE1516*MAX(1,IF(H1516&gt;0,BA1516/H1516,1))),IF(R1516&gt;0,BB1516/R1516,0))/MAX(0.1,N(Parameter!$M$21)))</f>
        <v>0.00961538461538462</v>
      </c>
      <c r="BD1516" s="62" t="n">
        <f aca="false">BC1516*CC1516</f>
        <v>1.49038461538462</v>
      </c>
      <c r="BE1516" s="63" t="n">
        <f aca="false">IF(LEFT(Cockpit!$O$5,1)="A",H1516,IF(CI1516=1,(CL1516+CJ1516)/2,IF(LEFT(Cockpit!$O$5,1)="B",(CL1516+BG1516)/2,MAX((CL1516+BG1516)/2,H1516))))</f>
        <v>1.5</v>
      </c>
      <c r="BF1516" s="62" t="n">
        <f aca="false">BE1516*G1516</f>
        <v>83.925</v>
      </c>
      <c r="BG1516" s="62" t="n">
        <f aca="false">ROUNDUP(CL1516+MAX(CM1516,2*(J1516/IF(CH1516&gt;0,CH1516,MAX(0.1,N(Cockpit!$O$6)))-CL1516)),0)</f>
        <v>3</v>
      </c>
      <c r="BH1516" s="63" t="n">
        <f aca="false">IF(BD1516&gt;0,J1516/BD1516,-1)</f>
        <v>0</v>
      </c>
      <c r="BI1516" s="63" t="n">
        <f aca="false">IF(AND(OR(CG1516="L1",CG1516="L23",CG1516="LIFT"),BD1516&gt;0),SUMIFS($BD$7:$BD$1843,$CG$7:$CG$1843,CG1516,$BH$7:$BH$1843,"&gt;"&amp;BH1516)+SUMIFS($BD$7:$BD$1843,$CG$7:$CG$1843,CG1516,$BH$7:$BH$1843,BH1516,$BX$7:$BX$1843,"&lt;="&amp;BX1516),"")</f>
        <v>30199.0563471369</v>
      </c>
      <c r="BJ1516" s="70" t="n">
        <f aca="false">IF(BI1516="",0,MAX(0,MIN(1,(IF(CG1516="L1",Parameter!$H$5,IF(CG1516="L23",Parameter!$H$6+Parameter!$H$7,Parameter!$H$5+Parameter!$H$6+Parameter!$H$7))-(BI1516-BD1516))/BD1516)))</f>
        <v>1</v>
      </c>
      <c r="BK1516" s="60" t="str">
        <f aca="false">IF(AJ1516&lt;=0,"",IF(CG1516="Aussen","Aussenlager",IF(CG1516="-","Nicht im Lift",IF(AP1516&gt;=1,"Lift",IF(AP1516&lt;=0,"Aussenlager","teilweise")))))</f>
        <v>Lift</v>
      </c>
      <c r="BL1516" s="60" t="str">
        <f aca="false">IF(AT1516&lt;=0,"",IF(CG1516="Aussen","Aussenlager",IF(CG1516="-","Nicht im Lift",IF(AZ1516&gt;=1,"Lift",IF(AZ1516&lt;=0,"Aussenlager","teilweise")))))</f>
        <v>Aussenlager</v>
      </c>
      <c r="BM1516" s="60" t="str">
        <f aca="false">IF(BD1516&lt;=0,"",IF(CG1516="Aussen","Aussenlager",IF(CG1516="-","Nicht im Lift",IF(BJ1516&gt;=1,"Lift",IF(BJ1516&lt;=0,"Aussenlager","teilweise")))))</f>
        <v>Lift</v>
      </c>
      <c r="BN1516" s="60" t="str">
        <f aca="false">IF(A1516="","",IF(BW1516=1,"Neu; ","")&amp;IF(AND(BW1516=0,BR1516&lt;0),"negativer Bestand (Export "&amp;BR1516&amp;"); ","")&amp;IF(J1516&lt;=0,"Kein Verbrauch; ","")&amp;IF(CR1516&gt;0,"Lift "&amp;W1516&amp;" lt. Liftbericht (Fach "&amp;X1516&amp;" Stk); ",IF(CB1516=1,"Gebinde geschätzt ("&amp;T1516&amp;"); ",IF(CA1516=1,"Lose – Tablare geschätzt; ","")))&amp;IF(H1516&gt;AW1516,"Überbestand "&amp;ROUND(H1516-AW1516,0)&amp;" Stk / CHF "&amp;ROUND((H1516-AW1516)*G1516,0)&amp;"; ","")&amp;IF(AND(CI1516=1,CJ1516&lt;CK1516),"MAX &lt; MB+LG; ","")&amp;IF(AND(CQ1516&gt;0,CP1516*10&gt;CQ1516),"zu hoch für Tablar; ","")&amp;IF(AND(BW1516=0,OR(CI1516=1,AB1516&lt;&gt;"",U1516&lt;&gt;"",V1516&lt;&gt;"",AC1516&lt;&gt;"")),"manuell übersteuert; ","")&amp;IF(AND(CA1516=0,R1516=0),"Gebinde unbekannt / Stellmass fehlt; ","")&amp;IF(AND(CA1516=0,N(V1516)&lt;=0,N(Q1516)&lt;=0),"Menge pro Gebinde fehlt (Ist = 1 Gebinde); ","")&amp;BV1516)</f>
        <v>Kein Verbrauch; Überbestand 4 Stk / CHF 224; nur im Artikelstamm (Bestand 23.06.2026); Verb.Lager</v>
      </c>
      <c r="BO1516" s="60"/>
      <c r="BP1516" s="60"/>
      <c r="BQ1516" s="67"/>
      <c r="BR1516" s="62" t="n">
        <v>7</v>
      </c>
      <c r="BS1516" s="62" t="n">
        <v>0</v>
      </c>
      <c r="BT1516" s="61" t="n">
        <v>0</v>
      </c>
      <c r="BU1516" s="62" t="n">
        <v>0</v>
      </c>
      <c r="BV1516" s="60" t="s">
        <v>2611</v>
      </c>
      <c r="BW1516" s="65" t="n">
        <v>0</v>
      </c>
      <c r="BX1516" s="65" t="n">
        <v>1516</v>
      </c>
      <c r="BY1516" s="60" t="str">
        <f aca="false">IF(U1516&lt;&gt;"",UPPER(TRIM(U1516)),IF(CB1516=1,UPPER(VLOOKUP(T1516,Parameter!$I$27:$K$29,2,0)),IF(P1516="","LOSE",P1516)))</f>
        <v>S32</v>
      </c>
      <c r="BZ1516" s="62" t="n">
        <f aca="false">IF(BY1516="LOSE",1,IF(N(V1516)&gt;0,V1516,IF(CB1516=1,MAX(1,N(VLOOKUP(T1516,Parameter!$I$27:$K$29,3,0)),H1516,N(N1516)),IF(N(Q1516)&gt;0,Q1516,MAX(1,H1516)))))</f>
        <v>7</v>
      </c>
      <c r="CA1516" s="65" t="n">
        <f aca="false">IF(BY1516="LOSE",1,0)</f>
        <v>0</v>
      </c>
      <c r="CB1516" s="65" t="n">
        <f aca="false">IF(AND(U1516="",OR(P1516="",P1516="LOSE"),T1516&lt;&gt;"",N(S1516)&lt;=0,ISNUMBER(MATCH(T1516,Parameter!$I$27:$I$29,0))),1,0)</f>
        <v>0</v>
      </c>
      <c r="CC1516" s="65" t="n">
        <f aca="false">IF(CR1516&gt;0,INDEX(Parameter!$H$5:$H$7,W1516)/INDEX(Parameter!$E$5:$E$7,W1516),IF(AND(CA1516=0,N(IFERROR(VLOOKUP(BY1516,'Gebinde-Kategorie'!$A$5:$N$45,14,0),0))&gt;0),VLOOKUP(BY1516,'Gebinde-Kategorie'!$A$5:$N$45,14,0)*10+Parameter!$M$23,Parameter!$M$24))</f>
        <v>155</v>
      </c>
      <c r="CD1516" s="60" t="str">
        <f aca="false">IF(AND(Parameter!$B$19="Ja",E1516&lt;&gt;"",ISNUMBER(MATCH(E1516,Parameter!$I$35:$I$52,0))),VLOOKUP(E1516,Parameter!$I$35:$J$52,2,0),IFERROR(VLOOKUP(D1516,Parameter!$A$35:$C$64,2,0),"Nein"))</f>
        <v>2+3</v>
      </c>
      <c r="CE1516" s="64" t="n">
        <f aca="false">IF(CA1516=0,0,IF(N(S1516)&gt;0,S1516,IFERROR(VLOOKUP(D1516,Parameter!$A$35:$C$64,3,0)+0,0)))</f>
        <v>0</v>
      </c>
      <c r="CF1516" s="60" t="n">
        <f aca="false">IF(AB1516&lt;&gt;"",AB1516,AA1516)</f>
        <v>1</v>
      </c>
      <c r="CG1516" s="60" t="str">
        <f aca="false">IF(OR(CF1516=1,CF1516=2,CF1516=3),IF(Parameter!$E$27="Ja","LIFT",IF(CF1516=1,"L1","L23")),IF(CF1516="Aussen","Aussen","-"))</f>
        <v>LIFT</v>
      </c>
      <c r="CH1516" s="71" t="n">
        <f aca="false">IF(N(AC1516)&gt;0,AC1516,0)</f>
        <v>0</v>
      </c>
      <c r="CI1516" s="65" t="n">
        <f aca="false">IF(ISNUMBER(AF1516),1,0)</f>
        <v>0</v>
      </c>
      <c r="CJ1516" s="62" t="n">
        <f aca="false">N(AF1516)</f>
        <v>0</v>
      </c>
      <c r="CK1516" s="62" t="n">
        <f aca="false">N(M1516)+N(N1516)</f>
        <v>3</v>
      </c>
      <c r="CL1516" s="62" t="n">
        <f aca="false">N(M1516)</f>
        <v>0</v>
      </c>
      <c r="CM1516" s="62" t="n">
        <f aca="false">N(N1516)</f>
        <v>3</v>
      </c>
      <c r="CN1516" s="62" t="n">
        <f aca="false">ROUNDUP(H1516/BZ1516,0)</f>
        <v>1</v>
      </c>
      <c r="CO1516" s="62" t="n">
        <f aca="false">ROUNDUP(CJ1516/BZ1516,0)</f>
        <v>0</v>
      </c>
      <c r="CP1516" s="65" t="n">
        <f aca="false">IF(CA1516=1,0,IFERROR(VLOOKUP(BY1516,'Gebinde-Kategorie'!$A$5:$N$45,5,0)+0,0))</f>
        <v>8</v>
      </c>
      <c r="CQ1516" s="65" t="n">
        <f aca="false">IFERROR(IF(OR(CF1516=1,CF1516=2,CF1516=3),N(INDEX(Parameter!$I$5:$I$7,CF1516)),0),0)</f>
        <v>0</v>
      </c>
      <c r="CR1516" s="64" t="n">
        <f aca="false">IF(AND(Parameter!$B$21="Ja",ISNUMBER(W1516),N(X1516)&gt;0),IFERROR(N(INDEX(Parameter!$L$5:$L$7,W1516))*INDEX(Parameter!$E$5:$E$7,W1516)*X1516/SUMIFS($X$7:$X$1843,$W$7:$W$1843,W1516),0),0)</f>
        <v>0</v>
      </c>
      <c r="CS1516" s="62" t="n">
        <f aca="false">IF(AND(OR(CG1516="L1",CG1516="L23",CG1516="LIFT"),H1516&gt;0),CC1516*IF(CR1516&gt;0,CR1516*MAX(1,H1516/X1516),IF(CA1516=1,CE1516,IF(R1516&gt;0,CN1516/R1516,0))/MAX(0.1,N(Parameter!$M$21))),"")</f>
        <v>1.49038461538462</v>
      </c>
      <c r="CT1516" s="64" t="n">
        <f aca="false">IF(CS1516="","",J1516/H1516)</f>
        <v>0</v>
      </c>
      <c r="CU1516" s="62" t="n">
        <f aca="false">IF(CS1516="","",H1516*G1516)</f>
        <v>391.65</v>
      </c>
      <c r="CV1516" s="63" t="n">
        <f aca="false">IF(CS1516="","",(CL1516+ROUNDUP(CL1516+MAX(CM1516,2*(J1516/MAX(0.1,N(Einkauf!$C$6))-CL1516)),0))/2)</f>
        <v>1.5</v>
      </c>
      <c r="CW1516" s="62" t="n">
        <f aca="false">IF(CS1516="","",MAX(0,H1516-CV1516)*G1516)</f>
        <v>307.725</v>
      </c>
      <c r="CX1516" s="62" t="n">
        <f aca="false">IF(CS1516="","",CS1516*MAX(0,1-CV1516/H1516))</f>
        <v>1.17101648351648</v>
      </c>
      <c r="CY1516" s="64" t="n">
        <f aca="false">IF(CS1516="","",PERCENTRANK($CS$7:$CS$1843,CS1516)+PERCENTRANK($CU$7:$CU$1843,CU1516)+1-PERCENTRANK($CT$7:$CT$1843,CT1516))</f>
        <v>1.593</v>
      </c>
      <c r="CZ1516" s="72" t="n">
        <f aca="false">IF(CS1516="","",CHOOSE(MATCH(Einkauf!$C$5,Parameter!$G$23:$G$27,0),CY1516,CS1516,CU1516,-CT1516,CW1516)+ROW()/1000000000)</f>
        <v>1.593001516</v>
      </c>
    </row>
    <row r="1517" customFormat="false" ht="15" hidden="false" customHeight="false" outlineLevel="0" collapsed="false">
      <c r="A1517" s="60" t="s">
        <v>2696</v>
      </c>
      <c r="B1517" s="60" t="s">
        <v>2697</v>
      </c>
      <c r="C1517" s="60" t="s">
        <v>206</v>
      </c>
      <c r="D1517" s="60" t="s">
        <v>226</v>
      </c>
      <c r="E1517" s="60" t="s">
        <v>227</v>
      </c>
      <c r="F1517" s="60"/>
      <c r="G1517" s="61" t="n">
        <v>76.11</v>
      </c>
      <c r="H1517" s="62" t="n">
        <f aca="false">MAX(0,IF(AND(Parameter!$B$21="Ja",ISNUMBER(Y1517)),Y1517,IF(Parameter!$B$20="Jahresanfang 2025 + Export",BS1517+BR1517,BR1517)))</f>
        <v>78</v>
      </c>
      <c r="I1517" s="62" t="n">
        <f aca="false">H1517*G1517</f>
        <v>5936.58</v>
      </c>
      <c r="J1517" s="62" t="n">
        <f aca="false">BU1517*Parameter!$B$18</f>
        <v>0</v>
      </c>
      <c r="K1517" s="63"/>
      <c r="L1517" s="64"/>
      <c r="M1517" s="62" t="n">
        <v>0</v>
      </c>
      <c r="N1517" s="62" t="n">
        <v>10</v>
      </c>
      <c r="O1517" s="65" t="n">
        <v>42</v>
      </c>
      <c r="P1517" s="60" t="s">
        <v>335</v>
      </c>
      <c r="Q1517" s="62" t="n">
        <v>78</v>
      </c>
      <c r="R1517" s="65" t="n">
        <f aca="false">IF(CA1517=1,0,IFERROR(VLOOKUP(BY1517,'Gebinde-Kategorie'!$A$5:$N$45,13,0)+0,0))</f>
        <v>12</v>
      </c>
      <c r="S1517" s="66"/>
      <c r="T1517" s="67"/>
      <c r="U1517" s="67"/>
      <c r="V1517" s="67"/>
      <c r="W1517" s="60"/>
      <c r="X1517" s="62"/>
      <c r="Y1517" s="62"/>
      <c r="Z1517" s="60" t="n">
        <v>3</v>
      </c>
      <c r="AA1517" s="60" t="n">
        <f aca="false">IF(A1517="","",IF(AND(Parameter!$B$21="Ja",ISNUMBER(W1517)),W1517,IF(AND(Parameter!$E$27="Ja",ISNUMBER(Z1517),CD1517&lt;&gt;"Nein"),Z1517,IF(CD1517="2+3",IF(ISNUMBER(SEARCH("grosser Artikel",BV1517)),2,IFERROR(VLOOKUP(BY1517,Parameter!$F$35:$G$64,2,0),2)),IF(OR(CD1517="Nein",CD1517=""),"-",CD1517)))))</f>
        <v>3</v>
      </c>
      <c r="AB1517" s="67"/>
      <c r="AC1517" s="68"/>
      <c r="AD1517" s="62" t="n">
        <f aca="false">AW1517</f>
        <v>10</v>
      </c>
      <c r="AE1517" s="62" t="n">
        <f aca="false">MAX(AW1517,H1517)</f>
        <v>78</v>
      </c>
      <c r="AF1517" s="69"/>
      <c r="AG1517" s="62" t="n">
        <f aca="false">IF(LEFT(Cockpit!$C$5,1)="A",H1517,IF(Parameter!$E$30="MAX-Bestand",IF(CI1517=1,CJ1517,IF(LEFT(Cockpit!$C$5,1)="B",AM1517,MAX(AM1517,H1517))),ROUNDUP(AK1517,0)))</f>
        <v>78</v>
      </c>
      <c r="AH1517" s="62" t="n">
        <f aca="false">IF(CA1517=1,0,ROUNDUP(AG1517/BZ1517,0))</f>
        <v>1</v>
      </c>
      <c r="AI1517" s="64" t="n">
        <f aca="false">IF(CR1517&gt;0,CR1517*MAX(1,AG1517/X1517),IF(CA1517=1,IF(AG1517&lt;=0,0,CE1517*MAX(1,IF(H1517&gt;0,AG1517/H1517,1))),IF(R1517&gt;0,AH1517/R1517,0))/MAX(0.1,N(Parameter!$M$21)))</f>
        <v>0.0833333333333333</v>
      </c>
      <c r="AJ1517" s="62" t="n">
        <f aca="false">AI1517*CC1517</f>
        <v>20.4166666666667</v>
      </c>
      <c r="AK1517" s="63" t="n">
        <f aca="false">IF(LEFT(Cockpit!$C$5,1)="A",H1517,IF(CI1517=1,(CL1517+CJ1517)/2,IF(LEFT(Cockpit!$C$5,1)="B",(CL1517+AM1517)/2,MAX((CL1517+AM1517)/2,H1517))))</f>
        <v>78</v>
      </c>
      <c r="AL1517" s="62" t="n">
        <f aca="false">AK1517*G1517</f>
        <v>5936.58</v>
      </c>
      <c r="AM1517" s="62" t="n">
        <f aca="false">ROUNDUP(CL1517+MAX(CM1517,2*(J1517/IF(CH1517&gt;0,CH1517,MAX(0.1,N(Cockpit!$C$6)))-CL1517)),0)</f>
        <v>10</v>
      </c>
      <c r="AN1517" s="63" t="n">
        <f aca="false">IF(AJ1517&gt;0,J1517/AJ1517,-1)</f>
        <v>0</v>
      </c>
      <c r="AO1517" s="63" t="n">
        <f aca="false">IF(AND(OR(CG1517="L1",CG1517="L23",CG1517="LIFT"),AJ1517&gt;0),SUMIFS($AJ$7:$AJ$1843,$CG$7:$CG$1843,CG1517,$AN$7:$AN$1843,"&gt;"&amp;AN1517)+SUMIFS($AJ$7:$AJ$1843,$CG$7:$CG$1843,CG1517,$AN$7:$AN$1843,AN1517,$BX$7:$BX$1843,"&lt;="&amp;BX1517),"")</f>
        <v>29974.7109357215</v>
      </c>
      <c r="AP1517" s="70" t="n">
        <f aca="false">IF(AO1517="",0,MAX(0,MIN(1,(IF(CG1517="L1",Parameter!$H$5,IF(CG1517="L23",Parameter!$H$6+Parameter!$H$7,Parameter!$H$5+Parameter!$H$6+Parameter!$H$7))-(AO1517-AJ1517))/AJ1517)))</f>
        <v>1</v>
      </c>
      <c r="AQ1517" s="62" t="n">
        <f aca="false">IF(LEFT(Cockpit!$I$5,1)="A",H1517,IF(Parameter!$E$30="MAX-Bestand",IF(CI1517=1,CJ1517,IF(LEFT(Cockpit!$I$5,1)="B",AW1517,MAX(AW1517,H1517))),ROUNDUP(AU1517,0)))</f>
        <v>78</v>
      </c>
      <c r="AR1517" s="62" t="n">
        <f aca="false">IF(CA1517=1,0,ROUNDUP(AQ1517/BZ1517,0))</f>
        <v>1</v>
      </c>
      <c r="AS1517" s="64" t="n">
        <f aca="false">IF(CR1517&gt;0,CR1517*MAX(1,AQ1517/X1517),IF(CA1517=1,IF(AQ1517&lt;=0,0,CE1517*MAX(1,IF(H1517&gt;0,AQ1517/H1517,1))),IF(R1517&gt;0,AR1517/R1517,0))/MAX(0.1,N(Parameter!$M$21)))</f>
        <v>0.0833333333333333</v>
      </c>
      <c r="AT1517" s="62" t="n">
        <f aca="false">AS1517*CC1517</f>
        <v>20.4166666666667</v>
      </c>
      <c r="AU1517" s="63" t="n">
        <f aca="false">IF(LEFT(Cockpit!$I$5,1)="A",H1517,IF(CI1517=1,(CL1517+CJ1517)/2,IF(LEFT(Cockpit!$I$5,1)="B",(CL1517+AW1517)/2,MAX((CL1517+AW1517)/2,H1517))))</f>
        <v>78</v>
      </c>
      <c r="AV1517" s="62" t="n">
        <f aca="false">AU1517*G1517</f>
        <v>5936.58</v>
      </c>
      <c r="AW1517" s="62" t="n">
        <f aca="false">ROUNDUP(CL1517+MAX(CM1517,2*(J1517/IF(CH1517&gt;0,CH1517,MAX(0.1,N(Cockpit!$I$6)))-CL1517)),0)</f>
        <v>10</v>
      </c>
      <c r="AX1517" s="63" t="n">
        <f aca="false">IF(AT1517&gt;0,J1517/AT1517,-1)</f>
        <v>0</v>
      </c>
      <c r="AY1517" s="63" t="n">
        <f aca="false">IF(AND(OR(CG1517="L1",CG1517="L23",CG1517="LIFT"),AT1517&gt;0),SUMIFS($AT$7:$AT$1843,$CG$7:$CG$1843,CG1517,$AX$7:$AX$1843,"&gt;"&amp;AX1517)+SUMIFS($AT$7:$AT$1843,$CG$7:$CG$1843,CG1517,$AX$7:$AX$1843,AX1517,$BX$7:$BX$1843,"&lt;="&amp;BX1517),"")</f>
        <v>36281.2817382711</v>
      </c>
      <c r="AZ1517" s="70" t="n">
        <f aca="false">IF(AY1517="",0,MAX(0,MIN(1,(IF(CG1517="L1",Parameter!$H$5,IF(CG1517="L23",Parameter!$H$6+Parameter!$H$7,Parameter!$H$5+Parameter!$H$6+Parameter!$H$7))-(AY1517-AT1517))/AT1517)))</f>
        <v>0</v>
      </c>
      <c r="BA1517" s="62" t="n">
        <f aca="false">IF(LEFT(Cockpit!$O$5,1)="A",H1517,IF(Parameter!$E$30="MAX-Bestand",IF(CI1517=1,CJ1517,IF(LEFT(Cockpit!$O$5,1)="B",BG1517,MAX(BG1517,H1517))),ROUNDUP(BE1517,0)))</f>
        <v>5</v>
      </c>
      <c r="BB1517" s="62" t="n">
        <f aca="false">IF(CA1517=1,0,ROUNDUP(BA1517/BZ1517,0))</f>
        <v>1</v>
      </c>
      <c r="BC1517" s="64" t="n">
        <f aca="false">IF(CR1517&gt;0,CR1517*MAX(1,BA1517/X1517),IF(CA1517=1,IF(BA1517&lt;=0,0,CE1517*MAX(1,IF(H1517&gt;0,BA1517/H1517,1))),IF(R1517&gt;0,BB1517/R1517,0))/MAX(0.1,N(Parameter!$M$21)))</f>
        <v>0.0833333333333333</v>
      </c>
      <c r="BD1517" s="62" t="n">
        <f aca="false">BC1517*CC1517</f>
        <v>20.4166666666667</v>
      </c>
      <c r="BE1517" s="63" t="n">
        <f aca="false">IF(LEFT(Cockpit!$O$5,1)="A",H1517,IF(CI1517=1,(CL1517+CJ1517)/2,IF(LEFT(Cockpit!$O$5,1)="B",(CL1517+BG1517)/2,MAX((CL1517+BG1517)/2,H1517))))</f>
        <v>5</v>
      </c>
      <c r="BF1517" s="62" t="n">
        <f aca="false">BE1517*G1517</f>
        <v>380.55</v>
      </c>
      <c r="BG1517" s="62" t="n">
        <f aca="false">ROUNDUP(CL1517+MAX(CM1517,2*(J1517/IF(CH1517&gt;0,CH1517,MAX(0.1,N(Cockpit!$O$6)))-CL1517)),0)</f>
        <v>10</v>
      </c>
      <c r="BH1517" s="63" t="n">
        <f aca="false">IF(BD1517&gt;0,J1517/BD1517,-1)</f>
        <v>0</v>
      </c>
      <c r="BI1517" s="63" t="n">
        <f aca="false">IF(AND(OR(CG1517="L1",CG1517="L23",CG1517="LIFT"),BD1517&gt;0),SUMIFS($BD$7:$BD$1843,$CG$7:$CG$1843,CG1517,$BH$7:$BH$1843,"&gt;"&amp;BH1517)+SUMIFS($BD$7:$BD$1843,$CG$7:$CG$1843,CG1517,$BH$7:$BH$1843,BH1517,$BX$7:$BX$1843,"&lt;="&amp;BX1517),"")</f>
        <v>30219.4730138035</v>
      </c>
      <c r="BJ1517" s="70" t="n">
        <f aca="false">IF(BI1517="",0,MAX(0,MIN(1,(IF(CG1517="L1",Parameter!$H$5,IF(CG1517="L23",Parameter!$H$6+Parameter!$H$7,Parameter!$H$5+Parameter!$H$6+Parameter!$H$7))-(BI1517-BD1517))/BD1517)))</f>
        <v>1</v>
      </c>
      <c r="BK1517" s="60" t="str">
        <f aca="false">IF(AJ1517&lt;=0,"",IF(CG1517="Aussen","Aussenlager",IF(CG1517="-","Nicht im Lift",IF(AP1517&gt;=1,"Lift",IF(AP1517&lt;=0,"Aussenlager","teilweise")))))</f>
        <v>Lift</v>
      </c>
      <c r="BL1517" s="60" t="str">
        <f aca="false">IF(AT1517&lt;=0,"",IF(CG1517="Aussen","Aussenlager",IF(CG1517="-","Nicht im Lift",IF(AZ1517&gt;=1,"Lift",IF(AZ1517&lt;=0,"Aussenlager","teilweise")))))</f>
        <v>Aussenlager</v>
      </c>
      <c r="BM1517" s="60" t="str">
        <f aca="false">IF(BD1517&lt;=0,"",IF(CG1517="Aussen","Aussenlager",IF(CG1517="-","Nicht im Lift",IF(BJ1517&gt;=1,"Lift",IF(BJ1517&lt;=0,"Aussenlager","teilweise")))))</f>
        <v>Lift</v>
      </c>
      <c r="BN1517" s="60" t="str">
        <f aca="false">IF(A1517="","",IF(BW1517=1,"Neu; ","")&amp;IF(AND(BW1517=0,BR1517&lt;0),"negativer Bestand (Export "&amp;BR1517&amp;"); ","")&amp;IF(J1517&lt;=0,"Kein Verbrauch; ","")&amp;IF(CR1517&gt;0,"Lift "&amp;W1517&amp;" lt. Liftbericht (Fach "&amp;X1517&amp;" Stk); ",IF(CB1517=1,"Gebinde geschätzt ("&amp;T1517&amp;"); ",IF(CA1517=1,"Lose – Tablare geschätzt; ","")))&amp;IF(H1517&gt;AW1517,"Überbestand "&amp;ROUND(H1517-AW1517,0)&amp;" Stk / CHF "&amp;ROUND((H1517-AW1517)*G1517,0)&amp;"; ","")&amp;IF(AND(CI1517=1,CJ1517&lt;CK1517),"MAX &lt; MB+LG; ","")&amp;IF(AND(CQ1517&gt;0,CP1517*10&gt;CQ1517),"zu hoch für Tablar; ","")&amp;IF(AND(BW1517=0,OR(CI1517=1,AB1517&lt;&gt;"",U1517&lt;&gt;"",V1517&lt;&gt;"",AC1517&lt;&gt;"")),"manuell übersteuert; ","")&amp;IF(AND(CA1517=0,R1517=0),"Gebinde unbekannt / Stellmass fehlt; ","")&amp;IF(AND(CA1517=0,N(V1517)&lt;=0,N(Q1517)&lt;=0),"Menge pro Gebinde fehlt (Ist = 1 Gebinde); ","")&amp;BV1517)</f>
        <v>Kein Verbrauch; Überbestand 68 Stk / CHF 5175; nur im Artikelstamm (Bestand 23.06.2026)</v>
      </c>
      <c r="BO1517" s="60"/>
      <c r="BP1517" s="60"/>
      <c r="BQ1517" s="67"/>
      <c r="BR1517" s="62" t="n">
        <v>78</v>
      </c>
      <c r="BS1517" s="62" t="n">
        <v>0</v>
      </c>
      <c r="BT1517" s="61" t="n">
        <v>0</v>
      </c>
      <c r="BU1517" s="62" t="n">
        <v>0</v>
      </c>
      <c r="BV1517" s="60" t="s">
        <v>2617</v>
      </c>
      <c r="BW1517" s="65" t="n">
        <v>0</v>
      </c>
      <c r="BX1517" s="65" t="n">
        <v>1517</v>
      </c>
      <c r="BY1517" s="60" t="str">
        <f aca="false">IF(U1517&lt;&gt;"",UPPER(TRIM(U1517)),IF(CB1517=1,UPPER(VLOOKUP(T1517,Parameter!$I$27:$K$29,2,0)),IF(P1517="","LOSE",P1517)))</f>
        <v>S62</v>
      </c>
      <c r="BZ1517" s="62" t="n">
        <f aca="false">IF(BY1517="LOSE",1,IF(N(V1517)&gt;0,V1517,IF(CB1517=1,MAX(1,N(VLOOKUP(T1517,Parameter!$I$27:$K$29,3,0)),H1517,N(N1517)),IF(N(Q1517)&gt;0,Q1517,MAX(1,H1517)))))</f>
        <v>78</v>
      </c>
      <c r="CA1517" s="65" t="n">
        <f aca="false">IF(BY1517="LOSE",1,0)</f>
        <v>0</v>
      </c>
      <c r="CB1517" s="65" t="n">
        <f aca="false">IF(AND(U1517="",OR(P1517="",P1517="LOSE"),T1517&lt;&gt;"",N(S1517)&lt;=0,ISNUMBER(MATCH(T1517,Parameter!$I$27:$I$29,0))),1,0)</f>
        <v>0</v>
      </c>
      <c r="CC1517" s="65" t="n">
        <f aca="false">IF(CR1517&gt;0,INDEX(Parameter!$H$5:$H$7,W1517)/INDEX(Parameter!$E$5:$E$7,W1517),IF(AND(CA1517=0,N(IFERROR(VLOOKUP(BY1517,'Gebinde-Kategorie'!$A$5:$N$45,14,0),0))&gt;0),VLOOKUP(BY1517,'Gebinde-Kategorie'!$A$5:$N$45,14,0)*10+Parameter!$M$23,Parameter!$M$24))</f>
        <v>245</v>
      </c>
      <c r="CD1517" s="60" t="str">
        <f aca="false">IF(AND(Parameter!$B$19="Ja",E1517&lt;&gt;"",ISNUMBER(MATCH(E1517,Parameter!$I$35:$I$52,0))),VLOOKUP(E1517,Parameter!$I$35:$J$52,2,0),IFERROR(VLOOKUP(D1517,Parameter!$A$35:$C$64,2,0),"Nein"))</f>
        <v>2+3</v>
      </c>
      <c r="CE1517" s="64" t="n">
        <f aca="false">IF(CA1517=0,0,IF(N(S1517)&gt;0,S1517,IFERROR(VLOOKUP(D1517,Parameter!$A$35:$C$64,3,0)+0,0)))</f>
        <v>0</v>
      </c>
      <c r="CF1517" s="60" t="n">
        <f aca="false">IF(AB1517&lt;&gt;"",AB1517,AA1517)</f>
        <v>3</v>
      </c>
      <c r="CG1517" s="60" t="str">
        <f aca="false">IF(OR(CF1517=1,CF1517=2,CF1517=3),IF(Parameter!$E$27="Ja","LIFT",IF(CF1517=1,"L1","L23")),IF(CF1517="Aussen","Aussen","-"))</f>
        <v>LIFT</v>
      </c>
      <c r="CH1517" s="71" t="n">
        <f aca="false">IF(N(AC1517)&gt;0,AC1517,0)</f>
        <v>0</v>
      </c>
      <c r="CI1517" s="65" t="n">
        <f aca="false">IF(ISNUMBER(AF1517),1,0)</f>
        <v>0</v>
      </c>
      <c r="CJ1517" s="62" t="n">
        <f aca="false">N(AF1517)</f>
        <v>0</v>
      </c>
      <c r="CK1517" s="62" t="n">
        <f aca="false">N(M1517)+N(N1517)</f>
        <v>10</v>
      </c>
      <c r="CL1517" s="62" t="n">
        <f aca="false">N(M1517)</f>
        <v>0</v>
      </c>
      <c r="CM1517" s="62" t="n">
        <f aca="false">N(N1517)</f>
        <v>10</v>
      </c>
      <c r="CN1517" s="62" t="n">
        <f aca="false">ROUNDUP(H1517/BZ1517,0)</f>
        <v>1</v>
      </c>
      <c r="CO1517" s="62" t="n">
        <f aca="false">ROUNDUP(CJ1517/BZ1517,0)</f>
        <v>0</v>
      </c>
      <c r="CP1517" s="65" t="n">
        <f aca="false">IF(CA1517=1,0,IFERROR(VLOOKUP(BY1517,'Gebinde-Kategorie'!$A$5:$N$45,5,0)+0,0))</f>
        <v>21</v>
      </c>
      <c r="CQ1517" s="65" t="n">
        <f aca="false">IFERROR(IF(OR(CF1517=1,CF1517=2,CF1517=3),N(INDEX(Parameter!$I$5:$I$7,CF1517)),0),0)</f>
        <v>0</v>
      </c>
      <c r="CR1517" s="64" t="n">
        <f aca="false">IF(AND(Parameter!$B$21="Ja",ISNUMBER(W1517),N(X1517)&gt;0),IFERROR(N(INDEX(Parameter!$L$5:$L$7,W1517))*INDEX(Parameter!$E$5:$E$7,W1517)*X1517/SUMIFS($X$7:$X$1843,$W$7:$W$1843,W1517),0),0)</f>
        <v>0</v>
      </c>
      <c r="CS1517" s="62" t="n">
        <f aca="false">IF(AND(OR(CG1517="L1",CG1517="L23",CG1517="LIFT"),H1517&gt;0),CC1517*IF(CR1517&gt;0,CR1517*MAX(1,H1517/X1517),IF(CA1517=1,CE1517,IF(R1517&gt;0,CN1517/R1517,0))/MAX(0.1,N(Parameter!$M$21))),"")</f>
        <v>20.4166666666667</v>
      </c>
      <c r="CT1517" s="64" t="n">
        <f aca="false">IF(CS1517="","",J1517/H1517)</f>
        <v>0</v>
      </c>
      <c r="CU1517" s="62" t="n">
        <f aca="false">IF(CS1517="","",H1517*G1517)</f>
        <v>5936.58</v>
      </c>
      <c r="CV1517" s="63" t="n">
        <f aca="false">IF(CS1517="","",(CL1517+ROUNDUP(CL1517+MAX(CM1517,2*(J1517/MAX(0.1,N(Einkauf!$C$6))-CL1517)),0))/2)</f>
        <v>5</v>
      </c>
      <c r="CW1517" s="62" t="n">
        <f aca="false">IF(CS1517="","",MAX(0,H1517-CV1517)*G1517)</f>
        <v>5556.03</v>
      </c>
      <c r="CX1517" s="62" t="n">
        <f aca="false">IF(CS1517="","",CS1517*MAX(0,1-CV1517/H1517))</f>
        <v>19.107905982906</v>
      </c>
      <c r="CY1517" s="64" t="n">
        <f aca="false">IF(CS1517="","",PERCENTRANK($CS$7:$CS$1843,CS1517)+PERCENTRANK($CU$7:$CU$1843,CU1517)+1-PERCENTRANK($CT$7:$CT$1843,CT1517))</f>
        <v>2.703</v>
      </c>
      <c r="CZ1517" s="72" t="n">
        <f aca="false">IF(CS1517="","",CHOOSE(MATCH(Einkauf!$C$5,Parameter!$G$23:$G$27,0),CY1517,CS1517,CU1517,-CT1517,CW1517)+ROW()/1000000000)</f>
        <v>2.703001517</v>
      </c>
    </row>
    <row r="1518" customFormat="false" ht="15" hidden="false" customHeight="false" outlineLevel="0" collapsed="false">
      <c r="A1518" s="60" t="s">
        <v>2698</v>
      </c>
      <c r="B1518" s="60" t="s">
        <v>656</v>
      </c>
      <c r="C1518" s="60" t="s">
        <v>206</v>
      </c>
      <c r="D1518" s="60" t="s">
        <v>226</v>
      </c>
      <c r="E1518" s="60" t="s">
        <v>227</v>
      </c>
      <c r="F1518" s="60"/>
      <c r="G1518" s="61" t="n">
        <v>6.1</v>
      </c>
      <c r="H1518" s="62" t="n">
        <f aca="false">MAX(0,IF(AND(Parameter!$B$21="Ja",ISNUMBER(Y1518)),Y1518,IF(Parameter!$B$20="Jahresanfang 2025 + Export",BS1518+BR1518,BR1518)))</f>
        <v>2</v>
      </c>
      <c r="I1518" s="62" t="n">
        <f aca="false">H1518*G1518</f>
        <v>12.2</v>
      </c>
      <c r="J1518" s="62" t="n">
        <f aca="false">BU1518*Parameter!$B$18</f>
        <v>0</v>
      </c>
      <c r="K1518" s="63"/>
      <c r="L1518" s="64"/>
      <c r="M1518" s="62" t="n">
        <v>0</v>
      </c>
      <c r="N1518" s="62" t="n">
        <v>100</v>
      </c>
      <c r="O1518" s="65" t="n">
        <v>35</v>
      </c>
      <c r="P1518" s="60" t="s">
        <v>443</v>
      </c>
      <c r="Q1518" s="62" t="n">
        <v>2</v>
      </c>
      <c r="R1518" s="65" t="n">
        <f aca="false">IF(CA1518=1,0,IFERROR(VLOOKUP(BY1518,'Gebinde-Kategorie'!$A$5:$N$45,13,0)+0,0))</f>
        <v>280</v>
      </c>
      <c r="S1518" s="66"/>
      <c r="T1518" s="67"/>
      <c r="U1518" s="67"/>
      <c r="V1518" s="67"/>
      <c r="W1518" s="60"/>
      <c r="X1518" s="62"/>
      <c r="Y1518" s="62"/>
      <c r="Z1518" s="60" t="n">
        <v>3</v>
      </c>
      <c r="AA1518" s="60" t="n">
        <f aca="false">IF(A1518="","",IF(AND(Parameter!$B$21="Ja",ISNUMBER(W1518)),W1518,IF(AND(Parameter!$E$27="Ja",ISNUMBER(Z1518),CD1518&lt;&gt;"Nein"),Z1518,IF(CD1518="2+3",IF(ISNUMBER(SEARCH("grosser Artikel",BV1518)),2,IFERROR(VLOOKUP(BY1518,Parameter!$F$35:$G$64,2,0),2)),IF(OR(CD1518="Nein",CD1518=""),"-",CD1518)))))</f>
        <v>3</v>
      </c>
      <c r="AB1518" s="67"/>
      <c r="AC1518" s="68"/>
      <c r="AD1518" s="62" t="n">
        <f aca="false">AW1518</f>
        <v>100</v>
      </c>
      <c r="AE1518" s="62" t="n">
        <f aca="false">MAX(AW1518,H1518)</f>
        <v>100</v>
      </c>
      <c r="AF1518" s="69"/>
      <c r="AG1518" s="62" t="n">
        <f aca="false">IF(LEFT(Cockpit!$C$5,1)="A",H1518,IF(Parameter!$E$30="MAX-Bestand",IF(CI1518=1,CJ1518,IF(LEFT(Cockpit!$C$5,1)="B",AM1518,MAX(AM1518,H1518))),ROUNDUP(AK1518,0)))</f>
        <v>2</v>
      </c>
      <c r="AH1518" s="62" t="n">
        <f aca="false">IF(CA1518=1,0,ROUNDUP(AG1518/BZ1518,0))</f>
        <v>1</v>
      </c>
      <c r="AI1518" s="64" t="n">
        <f aca="false">IF(CR1518&gt;0,CR1518*MAX(1,AG1518/X1518),IF(CA1518=1,IF(AG1518&lt;=0,0,CE1518*MAX(1,IF(H1518&gt;0,AG1518/H1518,1))),IF(R1518&gt;0,AH1518/R1518,0))/MAX(0.1,N(Parameter!$M$21)))</f>
        <v>0.00357142857142857</v>
      </c>
      <c r="AJ1518" s="62" t="n">
        <f aca="false">AI1518*CC1518</f>
        <v>0.553571428571429</v>
      </c>
      <c r="AK1518" s="63" t="n">
        <f aca="false">IF(LEFT(Cockpit!$C$5,1)="A",H1518,IF(CI1518=1,(CL1518+CJ1518)/2,IF(LEFT(Cockpit!$C$5,1)="B",(CL1518+AM1518)/2,MAX((CL1518+AM1518)/2,H1518))))</f>
        <v>2</v>
      </c>
      <c r="AL1518" s="62" t="n">
        <f aca="false">AK1518*G1518</f>
        <v>12.2</v>
      </c>
      <c r="AM1518" s="62" t="n">
        <f aca="false">ROUNDUP(CL1518+MAX(CM1518,2*(J1518/IF(CH1518&gt;0,CH1518,MAX(0.1,N(Cockpit!$C$6)))-CL1518)),0)</f>
        <v>100</v>
      </c>
      <c r="AN1518" s="63" t="n">
        <f aca="false">IF(AJ1518&gt;0,J1518/AJ1518,-1)</f>
        <v>0</v>
      </c>
      <c r="AO1518" s="63" t="n">
        <f aca="false">IF(AND(OR(CG1518="L1",CG1518="L23",CG1518="LIFT"),AJ1518&gt;0),SUMIFS($AJ$7:$AJ$1843,$CG$7:$CG$1843,CG1518,$AN$7:$AN$1843,"&gt;"&amp;AN1518)+SUMIFS($AJ$7:$AJ$1843,$CG$7:$CG$1843,CG1518,$AN$7:$AN$1843,AN1518,$BX$7:$BX$1843,"&lt;="&amp;BX1518),"")</f>
        <v>29975.2645071501</v>
      </c>
      <c r="AP1518" s="70" t="n">
        <f aca="false">IF(AO1518="",0,MAX(0,MIN(1,(IF(CG1518="L1",Parameter!$H$5,IF(CG1518="L23",Parameter!$H$6+Parameter!$H$7,Parameter!$H$5+Parameter!$H$6+Parameter!$H$7))-(AO1518-AJ1518))/AJ1518)))</f>
        <v>1</v>
      </c>
      <c r="AQ1518" s="62" t="n">
        <f aca="false">IF(LEFT(Cockpit!$I$5,1)="A",H1518,IF(Parameter!$E$30="MAX-Bestand",IF(CI1518=1,CJ1518,IF(LEFT(Cockpit!$I$5,1)="B",AW1518,MAX(AW1518,H1518))),ROUNDUP(AU1518,0)))</f>
        <v>50</v>
      </c>
      <c r="AR1518" s="62" t="n">
        <f aca="false">IF(CA1518=1,0,ROUNDUP(AQ1518/BZ1518,0))</f>
        <v>25</v>
      </c>
      <c r="AS1518" s="64" t="n">
        <f aca="false">IF(CR1518&gt;0,CR1518*MAX(1,AQ1518/X1518),IF(CA1518=1,IF(AQ1518&lt;=0,0,CE1518*MAX(1,IF(H1518&gt;0,AQ1518/H1518,1))),IF(R1518&gt;0,AR1518/R1518,0))/MAX(0.1,N(Parameter!$M$21)))</f>
        <v>0.0892857142857143</v>
      </c>
      <c r="AT1518" s="62" t="n">
        <f aca="false">AS1518*CC1518</f>
        <v>13.8392857142857</v>
      </c>
      <c r="AU1518" s="63" t="n">
        <f aca="false">IF(LEFT(Cockpit!$I$5,1)="A",H1518,IF(CI1518=1,(CL1518+CJ1518)/2,IF(LEFT(Cockpit!$I$5,1)="B",(CL1518+AW1518)/2,MAX((CL1518+AW1518)/2,H1518))))</f>
        <v>50</v>
      </c>
      <c r="AV1518" s="62" t="n">
        <f aca="false">AU1518*G1518</f>
        <v>305</v>
      </c>
      <c r="AW1518" s="62" t="n">
        <f aca="false">ROUNDUP(CL1518+MAX(CM1518,2*(J1518/IF(CH1518&gt;0,CH1518,MAX(0.1,N(Cockpit!$I$6)))-CL1518)),0)</f>
        <v>100</v>
      </c>
      <c r="AX1518" s="63" t="n">
        <f aca="false">IF(AT1518&gt;0,J1518/AT1518,-1)</f>
        <v>0</v>
      </c>
      <c r="AY1518" s="63" t="n">
        <f aca="false">IF(AND(OR(CG1518="L1",CG1518="L23",CG1518="LIFT"),AT1518&gt;0),SUMIFS($AT$7:$AT$1843,$CG$7:$CG$1843,CG1518,$AX$7:$AX$1843,"&gt;"&amp;AX1518)+SUMIFS($AT$7:$AT$1843,$CG$7:$CG$1843,CG1518,$AX$7:$AX$1843,AX1518,$BX$7:$BX$1843,"&lt;="&amp;BX1518),"")</f>
        <v>36295.1210239854</v>
      </c>
      <c r="AZ1518" s="70" t="n">
        <f aca="false">IF(AY1518="",0,MAX(0,MIN(1,(IF(CG1518="L1",Parameter!$H$5,IF(CG1518="L23",Parameter!$H$6+Parameter!$H$7,Parameter!$H$5+Parameter!$H$6+Parameter!$H$7))-(AY1518-AT1518))/AT1518)))</f>
        <v>0</v>
      </c>
      <c r="BA1518" s="62" t="n">
        <f aca="false">IF(LEFT(Cockpit!$O$5,1)="A",H1518,IF(Parameter!$E$30="MAX-Bestand",IF(CI1518=1,CJ1518,IF(LEFT(Cockpit!$O$5,1)="B",BG1518,MAX(BG1518,H1518))),ROUNDUP(BE1518,0)))</f>
        <v>50</v>
      </c>
      <c r="BB1518" s="62" t="n">
        <f aca="false">IF(CA1518=1,0,ROUNDUP(BA1518/BZ1518,0))</f>
        <v>25</v>
      </c>
      <c r="BC1518" s="64" t="n">
        <f aca="false">IF(CR1518&gt;0,CR1518*MAX(1,BA1518/X1518),IF(CA1518=1,IF(BA1518&lt;=0,0,CE1518*MAX(1,IF(H1518&gt;0,BA1518/H1518,1))),IF(R1518&gt;0,BB1518/R1518,0))/MAX(0.1,N(Parameter!$M$21)))</f>
        <v>0.0892857142857143</v>
      </c>
      <c r="BD1518" s="62" t="n">
        <f aca="false">BC1518*CC1518</f>
        <v>13.8392857142857</v>
      </c>
      <c r="BE1518" s="63" t="n">
        <f aca="false">IF(LEFT(Cockpit!$O$5,1)="A",H1518,IF(CI1518=1,(CL1518+CJ1518)/2,IF(LEFT(Cockpit!$O$5,1)="B",(CL1518+BG1518)/2,MAX((CL1518+BG1518)/2,H1518))))</f>
        <v>50</v>
      </c>
      <c r="BF1518" s="62" t="n">
        <f aca="false">BE1518*G1518</f>
        <v>305</v>
      </c>
      <c r="BG1518" s="62" t="n">
        <f aca="false">ROUNDUP(CL1518+MAX(CM1518,2*(J1518/IF(CH1518&gt;0,CH1518,MAX(0.1,N(Cockpit!$O$6)))-CL1518)),0)</f>
        <v>100</v>
      </c>
      <c r="BH1518" s="63" t="n">
        <f aca="false">IF(BD1518&gt;0,J1518/BD1518,-1)</f>
        <v>0</v>
      </c>
      <c r="BI1518" s="63" t="n">
        <f aca="false">IF(AND(OR(CG1518="L1",CG1518="L23",CG1518="LIFT"),BD1518&gt;0),SUMIFS($BD$7:$BD$1843,$CG$7:$CG$1843,CG1518,$BH$7:$BH$1843,"&gt;"&amp;BH1518)+SUMIFS($BD$7:$BD$1843,$CG$7:$CG$1843,CG1518,$BH$7:$BH$1843,BH1518,$BX$7:$BX$1843,"&lt;="&amp;BX1518),"")</f>
        <v>30233.3122995178</v>
      </c>
      <c r="BJ1518" s="70" t="n">
        <f aca="false">IF(BI1518="",0,MAX(0,MIN(1,(IF(CG1518="L1",Parameter!$H$5,IF(CG1518="L23",Parameter!$H$6+Parameter!$H$7,Parameter!$H$5+Parameter!$H$6+Parameter!$H$7))-(BI1518-BD1518))/BD1518)))</f>
        <v>1</v>
      </c>
      <c r="BK1518" s="60" t="str">
        <f aca="false">IF(AJ1518&lt;=0,"",IF(CG1518="Aussen","Aussenlager",IF(CG1518="-","Nicht im Lift",IF(AP1518&gt;=1,"Lift",IF(AP1518&lt;=0,"Aussenlager","teilweise")))))</f>
        <v>Lift</v>
      </c>
      <c r="BL1518" s="60" t="str">
        <f aca="false">IF(AT1518&lt;=0,"",IF(CG1518="Aussen","Aussenlager",IF(CG1518="-","Nicht im Lift",IF(AZ1518&gt;=1,"Lift",IF(AZ1518&lt;=0,"Aussenlager","teilweise")))))</f>
        <v>Aussenlager</v>
      </c>
      <c r="BM1518" s="60" t="str">
        <f aca="false">IF(BD1518&lt;=0,"",IF(CG1518="Aussen","Aussenlager",IF(CG1518="-","Nicht im Lift",IF(BJ1518&gt;=1,"Lift",IF(BJ1518&lt;=0,"Aussenlager","teilweise")))))</f>
        <v>Lift</v>
      </c>
      <c r="BN1518" s="60" t="str">
        <f aca="false">IF(A1518="","",IF(BW1518=1,"Neu; ","")&amp;IF(AND(BW1518=0,BR1518&lt;0),"negativer Bestand (Export "&amp;BR1518&amp;"); ","")&amp;IF(J1518&lt;=0,"Kein Verbrauch; ","")&amp;IF(CR1518&gt;0,"Lift "&amp;W1518&amp;" lt. Liftbericht (Fach "&amp;X1518&amp;" Stk); ",IF(CB1518=1,"Gebinde geschätzt ("&amp;T1518&amp;"); ",IF(CA1518=1,"Lose – Tablare geschätzt; ","")))&amp;IF(H1518&gt;AW1518,"Überbestand "&amp;ROUND(H1518-AW1518,0)&amp;" Stk / CHF "&amp;ROUND((H1518-AW1518)*G1518,0)&amp;"; ","")&amp;IF(AND(CI1518=1,CJ1518&lt;CK1518),"MAX &lt; MB+LG; ","")&amp;IF(AND(CQ1518&gt;0,CP1518*10&gt;CQ1518),"zu hoch für Tablar; ","")&amp;IF(AND(BW1518=0,OR(CI1518=1,AB1518&lt;&gt;"",U1518&lt;&gt;"",V1518&lt;&gt;"",AC1518&lt;&gt;"")),"manuell übersteuert; ","")&amp;IF(AND(CA1518=0,R1518=0),"Gebinde unbekannt / Stellmass fehlt; ","")&amp;IF(AND(CA1518=0,N(V1518)&lt;=0,N(Q1518)&lt;=0),"Menge pro Gebinde fehlt (Ist = 1 Gebinde); ","")&amp;BV1518)</f>
        <v>Kein Verbrauch; nur im Artikelstamm (Bestand 23.06.2026)</v>
      </c>
      <c r="BO1518" s="60"/>
      <c r="BP1518" s="60"/>
      <c r="BQ1518" s="67"/>
      <c r="BR1518" s="62" t="n">
        <v>2</v>
      </c>
      <c r="BS1518" s="62" t="n">
        <v>0</v>
      </c>
      <c r="BT1518" s="61" t="n">
        <v>0</v>
      </c>
      <c r="BU1518" s="62" t="n">
        <v>0</v>
      </c>
      <c r="BV1518" s="60" t="s">
        <v>2617</v>
      </c>
      <c r="BW1518" s="65" t="n">
        <v>0</v>
      </c>
      <c r="BX1518" s="65" t="n">
        <v>1518</v>
      </c>
      <c r="BY1518" s="60" t="str">
        <f aca="false">IF(U1518&lt;&gt;"",UPPER(TRIM(U1518)),IF(CB1518=1,UPPER(VLOOKUP(T1518,Parameter!$I$27:$K$29,2,0)),IF(P1518="","LOSE",P1518)))</f>
        <v>S21</v>
      </c>
      <c r="BZ1518" s="62" t="n">
        <f aca="false">IF(BY1518="LOSE",1,IF(N(V1518)&gt;0,V1518,IF(CB1518=1,MAX(1,N(VLOOKUP(T1518,Parameter!$I$27:$K$29,3,0)),H1518,N(N1518)),IF(N(Q1518)&gt;0,Q1518,MAX(1,H1518)))))</f>
        <v>2</v>
      </c>
      <c r="CA1518" s="65" t="n">
        <f aca="false">IF(BY1518="LOSE",1,0)</f>
        <v>0</v>
      </c>
      <c r="CB1518" s="65" t="n">
        <f aca="false">IF(AND(U1518="",OR(P1518="",P1518="LOSE"),T1518&lt;&gt;"",N(S1518)&lt;=0,ISNUMBER(MATCH(T1518,Parameter!$I$27:$I$29,0))),1,0)</f>
        <v>0</v>
      </c>
      <c r="CC1518" s="65" t="n">
        <f aca="false">IF(CR1518&gt;0,INDEX(Parameter!$H$5:$H$7,W1518)/INDEX(Parameter!$E$5:$E$7,W1518),IF(AND(CA1518=0,N(IFERROR(VLOOKUP(BY1518,'Gebinde-Kategorie'!$A$5:$N$45,14,0),0))&gt;0),VLOOKUP(BY1518,'Gebinde-Kategorie'!$A$5:$N$45,14,0)*10+Parameter!$M$23,Parameter!$M$24))</f>
        <v>155</v>
      </c>
      <c r="CD1518" s="60" t="str">
        <f aca="false">IF(AND(Parameter!$B$19="Ja",E1518&lt;&gt;"",ISNUMBER(MATCH(E1518,Parameter!$I$35:$I$52,0))),VLOOKUP(E1518,Parameter!$I$35:$J$52,2,0),IFERROR(VLOOKUP(D1518,Parameter!$A$35:$C$64,2,0),"Nein"))</f>
        <v>2+3</v>
      </c>
      <c r="CE1518" s="64" t="n">
        <f aca="false">IF(CA1518=0,0,IF(N(S1518)&gt;0,S1518,IFERROR(VLOOKUP(D1518,Parameter!$A$35:$C$64,3,0)+0,0)))</f>
        <v>0</v>
      </c>
      <c r="CF1518" s="60" t="n">
        <f aca="false">IF(AB1518&lt;&gt;"",AB1518,AA1518)</f>
        <v>3</v>
      </c>
      <c r="CG1518" s="60" t="str">
        <f aca="false">IF(OR(CF1518=1,CF1518=2,CF1518=3),IF(Parameter!$E$27="Ja","LIFT",IF(CF1518=1,"L1","L23")),IF(CF1518="Aussen","Aussen","-"))</f>
        <v>LIFT</v>
      </c>
      <c r="CH1518" s="71" t="n">
        <f aca="false">IF(N(AC1518)&gt;0,AC1518,0)</f>
        <v>0</v>
      </c>
      <c r="CI1518" s="65" t="n">
        <f aca="false">IF(ISNUMBER(AF1518),1,0)</f>
        <v>0</v>
      </c>
      <c r="CJ1518" s="62" t="n">
        <f aca="false">N(AF1518)</f>
        <v>0</v>
      </c>
      <c r="CK1518" s="62" t="n">
        <f aca="false">N(M1518)+N(N1518)</f>
        <v>100</v>
      </c>
      <c r="CL1518" s="62" t="n">
        <f aca="false">N(M1518)</f>
        <v>0</v>
      </c>
      <c r="CM1518" s="62" t="n">
        <f aca="false">N(N1518)</f>
        <v>100</v>
      </c>
      <c r="CN1518" s="62" t="n">
        <f aca="false">ROUNDUP(H1518/BZ1518,0)</f>
        <v>1</v>
      </c>
      <c r="CO1518" s="62" t="n">
        <f aca="false">ROUNDUP(CJ1518/BZ1518,0)</f>
        <v>0</v>
      </c>
      <c r="CP1518" s="65" t="n">
        <f aca="false">IF(CA1518=1,0,IFERROR(VLOOKUP(BY1518,'Gebinde-Kategorie'!$A$5:$N$45,5,0)+0,0))</f>
        <v>8</v>
      </c>
      <c r="CQ1518" s="65" t="n">
        <f aca="false">IFERROR(IF(OR(CF1518=1,CF1518=2,CF1518=3),N(INDEX(Parameter!$I$5:$I$7,CF1518)),0),0)</f>
        <v>0</v>
      </c>
      <c r="CR1518" s="64" t="n">
        <f aca="false">IF(AND(Parameter!$B$21="Ja",ISNUMBER(W1518),N(X1518)&gt;0),IFERROR(N(INDEX(Parameter!$L$5:$L$7,W1518))*INDEX(Parameter!$E$5:$E$7,W1518)*X1518/SUMIFS($X$7:$X$1843,$W$7:$W$1843,W1518),0),0)</f>
        <v>0</v>
      </c>
      <c r="CS1518" s="62" t="n">
        <f aca="false">IF(AND(OR(CG1518="L1",CG1518="L23",CG1518="LIFT"),H1518&gt;0),CC1518*IF(CR1518&gt;0,CR1518*MAX(1,H1518/X1518),IF(CA1518=1,CE1518,IF(R1518&gt;0,CN1518/R1518,0))/MAX(0.1,N(Parameter!$M$21))),"")</f>
        <v>0.553571428571429</v>
      </c>
      <c r="CT1518" s="64" t="n">
        <f aca="false">IF(CS1518="","",J1518/H1518)</f>
        <v>0</v>
      </c>
      <c r="CU1518" s="62" t="n">
        <f aca="false">IF(CS1518="","",H1518*G1518)</f>
        <v>12.2</v>
      </c>
      <c r="CV1518" s="63" t="n">
        <f aca="false">IF(CS1518="","",(CL1518+ROUNDUP(CL1518+MAX(CM1518,2*(J1518/MAX(0.1,N(Einkauf!$C$6))-CL1518)),0))/2)</f>
        <v>50</v>
      </c>
      <c r="CW1518" s="62" t="n">
        <f aca="false">IF(CS1518="","",MAX(0,H1518-CV1518)*G1518)</f>
        <v>0</v>
      </c>
      <c r="CX1518" s="62" t="n">
        <f aca="false">IF(CS1518="","",CS1518*MAX(0,1-CV1518/H1518))</f>
        <v>0</v>
      </c>
      <c r="CY1518" s="64" t="n">
        <f aca="false">IF(CS1518="","",PERCENTRANK($CS$7:$CS$1843,CS1518)+PERCENTRANK($CU$7:$CU$1843,CU1518)+1-PERCENTRANK($CT$7:$CT$1843,CT1518))</f>
        <v>1.052</v>
      </c>
      <c r="CZ1518" s="72" t="n">
        <f aca="false">IF(CS1518="","",CHOOSE(MATCH(Einkauf!$C$5,Parameter!$G$23:$G$27,0),CY1518,CS1518,CU1518,-CT1518,CW1518)+ROW()/1000000000)</f>
        <v>1.052001518</v>
      </c>
    </row>
    <row r="1519" customFormat="false" ht="15" hidden="false" customHeight="false" outlineLevel="0" collapsed="false">
      <c r="A1519" s="60" t="s">
        <v>2699</v>
      </c>
      <c r="B1519" s="60" t="s">
        <v>2700</v>
      </c>
      <c r="C1519" s="60" t="s">
        <v>206</v>
      </c>
      <c r="D1519" s="60" t="s">
        <v>215</v>
      </c>
      <c r="E1519" s="60" t="s">
        <v>227</v>
      </c>
      <c r="F1519" s="60"/>
      <c r="G1519" s="61" t="n">
        <v>409</v>
      </c>
      <c r="H1519" s="62" t="n">
        <f aca="false">MAX(0,IF(AND(Parameter!$B$21="Ja",ISNUMBER(Y1519)),Y1519,IF(Parameter!$B$20="Jahresanfang 2025 + Export",BS1519+BR1519,BR1519)))</f>
        <v>2</v>
      </c>
      <c r="I1519" s="62" t="n">
        <f aca="false">H1519*G1519</f>
        <v>818</v>
      </c>
      <c r="J1519" s="62" t="n">
        <f aca="false">BU1519*Parameter!$B$18</f>
        <v>0</v>
      </c>
      <c r="K1519" s="63"/>
      <c r="L1519" s="64"/>
      <c r="M1519" s="62" t="n">
        <v>0</v>
      </c>
      <c r="N1519" s="62" t="n">
        <v>2</v>
      </c>
      <c r="O1519" s="65" t="n">
        <v>56</v>
      </c>
      <c r="P1519" s="60" t="s">
        <v>344</v>
      </c>
      <c r="Q1519" s="62" t="n">
        <v>2</v>
      </c>
      <c r="R1519" s="65" t="n">
        <f aca="false">IF(CA1519=1,0,IFERROR(VLOOKUP(BY1519,'Gebinde-Kategorie'!$A$5:$N$45,13,0)+0,0))</f>
        <v>26</v>
      </c>
      <c r="S1519" s="66"/>
      <c r="T1519" s="67"/>
      <c r="U1519" s="67"/>
      <c r="V1519" s="67"/>
      <c r="W1519" s="60"/>
      <c r="X1519" s="62"/>
      <c r="Y1519" s="62"/>
      <c r="Z1519" s="60" t="n">
        <v>3</v>
      </c>
      <c r="AA1519" s="60" t="n">
        <f aca="false">IF(A1519="","",IF(AND(Parameter!$B$21="Ja",ISNUMBER(W1519)),W1519,IF(AND(Parameter!$E$27="Ja",ISNUMBER(Z1519),CD1519&lt;&gt;"Nein"),Z1519,IF(CD1519="2+3",IF(ISNUMBER(SEARCH("grosser Artikel",BV1519)),2,IFERROR(VLOOKUP(BY1519,Parameter!$F$35:$G$64,2,0),2)),IF(OR(CD1519="Nein",CD1519=""),"-",CD1519)))))</f>
        <v>3</v>
      </c>
      <c r="AB1519" s="67"/>
      <c r="AC1519" s="68"/>
      <c r="AD1519" s="62" t="n">
        <f aca="false">AW1519</f>
        <v>2</v>
      </c>
      <c r="AE1519" s="62" t="n">
        <f aca="false">MAX(AW1519,H1519)</f>
        <v>2</v>
      </c>
      <c r="AF1519" s="69"/>
      <c r="AG1519" s="62" t="n">
        <f aca="false">IF(LEFT(Cockpit!$C$5,1)="A",H1519,IF(Parameter!$E$30="MAX-Bestand",IF(CI1519=1,CJ1519,IF(LEFT(Cockpit!$C$5,1)="B",AM1519,MAX(AM1519,H1519))),ROUNDUP(AK1519,0)))</f>
        <v>2</v>
      </c>
      <c r="AH1519" s="62" t="n">
        <f aca="false">IF(CA1519=1,0,ROUNDUP(AG1519/BZ1519,0))</f>
        <v>1</v>
      </c>
      <c r="AI1519" s="64" t="n">
        <f aca="false">IF(CR1519&gt;0,CR1519*MAX(1,AG1519/X1519),IF(CA1519=1,IF(AG1519&lt;=0,0,CE1519*MAX(1,IF(H1519&gt;0,AG1519/H1519,1))),IF(R1519&gt;0,AH1519/R1519,0))/MAX(0.1,N(Parameter!$M$21)))</f>
        <v>0.0384615384615385</v>
      </c>
      <c r="AJ1519" s="62" t="n">
        <f aca="false">AI1519*CC1519</f>
        <v>5.96153846153846</v>
      </c>
      <c r="AK1519" s="63" t="n">
        <f aca="false">IF(LEFT(Cockpit!$C$5,1)="A",H1519,IF(CI1519=1,(CL1519+CJ1519)/2,IF(LEFT(Cockpit!$C$5,1)="B",(CL1519+AM1519)/2,MAX((CL1519+AM1519)/2,H1519))))</f>
        <v>2</v>
      </c>
      <c r="AL1519" s="62" t="n">
        <f aca="false">AK1519*G1519</f>
        <v>818</v>
      </c>
      <c r="AM1519" s="62" t="n">
        <f aca="false">ROUNDUP(CL1519+MAX(CM1519,2*(J1519/IF(CH1519&gt;0,CH1519,MAX(0.1,N(Cockpit!$C$6)))-CL1519)),0)</f>
        <v>2</v>
      </c>
      <c r="AN1519" s="63" t="n">
        <f aca="false">IF(AJ1519&gt;0,J1519/AJ1519,-1)</f>
        <v>0</v>
      </c>
      <c r="AO1519" s="63" t="n">
        <f aca="false">IF(AND(OR(CG1519="L1",CG1519="L23",CG1519="LIFT"),AJ1519&gt;0),SUMIFS($AJ$7:$AJ$1843,$CG$7:$CG$1843,CG1519,$AN$7:$AN$1843,"&gt;"&amp;AN1519)+SUMIFS($AJ$7:$AJ$1843,$CG$7:$CG$1843,CG1519,$AN$7:$AN$1843,AN1519,$BX$7:$BX$1843,"&lt;="&amp;BX1519),"")</f>
        <v>29981.2260456116</v>
      </c>
      <c r="AP1519" s="70" t="n">
        <f aca="false">IF(AO1519="",0,MAX(0,MIN(1,(IF(CG1519="L1",Parameter!$H$5,IF(CG1519="L23",Parameter!$H$6+Parameter!$H$7,Parameter!$H$5+Parameter!$H$6+Parameter!$H$7))-(AO1519-AJ1519))/AJ1519)))</f>
        <v>1</v>
      </c>
      <c r="AQ1519" s="62" t="n">
        <f aca="false">IF(LEFT(Cockpit!$I$5,1)="A",H1519,IF(Parameter!$E$30="MAX-Bestand",IF(CI1519=1,CJ1519,IF(LEFT(Cockpit!$I$5,1)="B",AW1519,MAX(AW1519,H1519))),ROUNDUP(AU1519,0)))</f>
        <v>2</v>
      </c>
      <c r="AR1519" s="62" t="n">
        <f aca="false">IF(CA1519=1,0,ROUNDUP(AQ1519/BZ1519,0))</f>
        <v>1</v>
      </c>
      <c r="AS1519" s="64" t="n">
        <f aca="false">IF(CR1519&gt;0,CR1519*MAX(1,AQ1519/X1519),IF(CA1519=1,IF(AQ1519&lt;=0,0,CE1519*MAX(1,IF(H1519&gt;0,AQ1519/H1519,1))),IF(R1519&gt;0,AR1519/R1519,0))/MAX(0.1,N(Parameter!$M$21)))</f>
        <v>0.0384615384615385</v>
      </c>
      <c r="AT1519" s="62" t="n">
        <f aca="false">AS1519*CC1519</f>
        <v>5.96153846153846</v>
      </c>
      <c r="AU1519" s="63" t="n">
        <f aca="false">IF(LEFT(Cockpit!$I$5,1)="A",H1519,IF(CI1519=1,(CL1519+CJ1519)/2,IF(LEFT(Cockpit!$I$5,1)="B",(CL1519+AW1519)/2,MAX((CL1519+AW1519)/2,H1519))))</f>
        <v>2</v>
      </c>
      <c r="AV1519" s="62" t="n">
        <f aca="false">AU1519*G1519</f>
        <v>818</v>
      </c>
      <c r="AW1519" s="62" t="n">
        <f aca="false">ROUNDUP(CL1519+MAX(CM1519,2*(J1519/IF(CH1519&gt;0,CH1519,MAX(0.1,N(Cockpit!$I$6)))-CL1519)),0)</f>
        <v>2</v>
      </c>
      <c r="AX1519" s="63" t="n">
        <f aca="false">IF(AT1519&gt;0,J1519/AT1519,-1)</f>
        <v>0</v>
      </c>
      <c r="AY1519" s="63" t="n">
        <f aca="false">IF(AND(OR(CG1519="L1",CG1519="L23",CG1519="LIFT"),AT1519&gt;0),SUMIFS($AT$7:$AT$1843,$CG$7:$CG$1843,CG1519,$AX$7:$AX$1843,"&gt;"&amp;AX1519)+SUMIFS($AT$7:$AT$1843,$CG$7:$CG$1843,CG1519,$AX$7:$AX$1843,AX1519,$BX$7:$BX$1843,"&lt;="&amp;BX1519),"")</f>
        <v>36301.082562447</v>
      </c>
      <c r="AZ1519" s="70" t="n">
        <f aca="false">IF(AY1519="",0,MAX(0,MIN(1,(IF(CG1519="L1",Parameter!$H$5,IF(CG1519="L23",Parameter!$H$6+Parameter!$H$7,Parameter!$H$5+Parameter!$H$6+Parameter!$H$7))-(AY1519-AT1519))/AT1519)))</f>
        <v>0</v>
      </c>
      <c r="BA1519" s="62" t="n">
        <f aca="false">IF(LEFT(Cockpit!$O$5,1)="A",H1519,IF(Parameter!$E$30="MAX-Bestand",IF(CI1519=1,CJ1519,IF(LEFT(Cockpit!$O$5,1)="B",BG1519,MAX(BG1519,H1519))),ROUNDUP(BE1519,0)))</f>
        <v>1</v>
      </c>
      <c r="BB1519" s="62" t="n">
        <f aca="false">IF(CA1519=1,0,ROUNDUP(BA1519/BZ1519,0))</f>
        <v>1</v>
      </c>
      <c r="BC1519" s="64" t="n">
        <f aca="false">IF(CR1519&gt;0,CR1519*MAX(1,BA1519/X1519),IF(CA1519=1,IF(BA1519&lt;=0,0,CE1519*MAX(1,IF(H1519&gt;0,BA1519/H1519,1))),IF(R1519&gt;0,BB1519/R1519,0))/MAX(0.1,N(Parameter!$M$21)))</f>
        <v>0.0384615384615385</v>
      </c>
      <c r="BD1519" s="62" t="n">
        <f aca="false">BC1519*CC1519</f>
        <v>5.96153846153846</v>
      </c>
      <c r="BE1519" s="63" t="n">
        <f aca="false">IF(LEFT(Cockpit!$O$5,1)="A",H1519,IF(CI1519=1,(CL1519+CJ1519)/2,IF(LEFT(Cockpit!$O$5,1)="B",(CL1519+BG1519)/2,MAX((CL1519+BG1519)/2,H1519))))</f>
        <v>1</v>
      </c>
      <c r="BF1519" s="62" t="n">
        <f aca="false">BE1519*G1519</f>
        <v>409</v>
      </c>
      <c r="BG1519" s="62" t="n">
        <f aca="false">ROUNDUP(CL1519+MAX(CM1519,2*(J1519/IF(CH1519&gt;0,CH1519,MAX(0.1,N(Cockpit!$O$6)))-CL1519)),0)</f>
        <v>2</v>
      </c>
      <c r="BH1519" s="63" t="n">
        <f aca="false">IF(BD1519&gt;0,J1519/BD1519,-1)</f>
        <v>0</v>
      </c>
      <c r="BI1519" s="63" t="n">
        <f aca="false">IF(AND(OR(CG1519="L1",CG1519="L23",CG1519="LIFT"),BD1519&gt;0),SUMIFS($BD$7:$BD$1843,$CG$7:$CG$1843,CG1519,$BH$7:$BH$1843,"&gt;"&amp;BH1519)+SUMIFS($BD$7:$BD$1843,$CG$7:$CG$1843,CG1519,$BH$7:$BH$1843,BH1519,$BX$7:$BX$1843,"&lt;="&amp;BX1519),"")</f>
        <v>30239.2738379793</v>
      </c>
      <c r="BJ1519" s="70" t="n">
        <f aca="false">IF(BI1519="",0,MAX(0,MIN(1,(IF(CG1519="L1",Parameter!$H$5,IF(CG1519="L23",Parameter!$H$6+Parameter!$H$7,Parameter!$H$5+Parameter!$H$6+Parameter!$H$7))-(BI1519-BD1519))/BD1519)))</f>
        <v>1</v>
      </c>
      <c r="BK1519" s="60" t="str">
        <f aca="false">IF(AJ1519&lt;=0,"",IF(CG1519="Aussen","Aussenlager",IF(CG1519="-","Nicht im Lift",IF(AP1519&gt;=1,"Lift",IF(AP1519&lt;=0,"Aussenlager","teilweise")))))</f>
        <v>Lift</v>
      </c>
      <c r="BL1519" s="60" t="str">
        <f aca="false">IF(AT1519&lt;=0,"",IF(CG1519="Aussen","Aussenlager",IF(CG1519="-","Nicht im Lift",IF(AZ1519&gt;=1,"Lift",IF(AZ1519&lt;=0,"Aussenlager","teilweise")))))</f>
        <v>Aussenlager</v>
      </c>
      <c r="BM1519" s="60" t="str">
        <f aca="false">IF(BD1519&lt;=0,"",IF(CG1519="Aussen","Aussenlager",IF(CG1519="-","Nicht im Lift",IF(BJ1519&gt;=1,"Lift",IF(BJ1519&lt;=0,"Aussenlager","teilweise")))))</f>
        <v>Lift</v>
      </c>
      <c r="BN1519" s="60" t="str">
        <f aca="false">IF(A1519="","",IF(BW1519=1,"Neu; ","")&amp;IF(AND(BW1519=0,BR1519&lt;0),"negativer Bestand (Export "&amp;BR1519&amp;"); ","")&amp;IF(J1519&lt;=0,"Kein Verbrauch; ","")&amp;IF(CR1519&gt;0,"Lift "&amp;W1519&amp;" lt. Liftbericht (Fach "&amp;X1519&amp;" Stk); ",IF(CB1519=1,"Gebinde geschätzt ("&amp;T1519&amp;"); ",IF(CA1519=1,"Lose – Tablare geschätzt; ","")))&amp;IF(H1519&gt;AW1519,"Überbestand "&amp;ROUND(H1519-AW1519,0)&amp;" Stk / CHF "&amp;ROUND((H1519-AW1519)*G1519,0)&amp;"; ","")&amp;IF(AND(CI1519=1,CJ1519&lt;CK1519),"MAX &lt; MB+LG; ","")&amp;IF(AND(CQ1519&gt;0,CP1519*10&gt;CQ1519),"zu hoch für Tablar; ","")&amp;IF(AND(BW1519=0,OR(CI1519=1,AB1519&lt;&gt;"",U1519&lt;&gt;"",V1519&lt;&gt;"",AC1519&lt;&gt;"")),"manuell übersteuert; ","")&amp;IF(AND(CA1519=0,R1519=0),"Gebinde unbekannt / Stellmass fehlt; ","")&amp;IF(AND(CA1519=0,N(V1519)&lt;=0,N(Q1519)&lt;=0),"Menge pro Gebinde fehlt (Ist = 1 Gebinde); ","")&amp;BV1519)</f>
        <v>Kein Verbrauch; nur im Artikelstamm (Bestand 23.06.2026)</v>
      </c>
      <c r="BO1519" s="60"/>
      <c r="BP1519" s="60"/>
      <c r="BQ1519" s="67"/>
      <c r="BR1519" s="62" t="n">
        <v>2</v>
      </c>
      <c r="BS1519" s="62" t="n">
        <v>0</v>
      </c>
      <c r="BT1519" s="61" t="n">
        <v>0</v>
      </c>
      <c r="BU1519" s="62" t="n">
        <v>0</v>
      </c>
      <c r="BV1519" s="60" t="s">
        <v>2617</v>
      </c>
      <c r="BW1519" s="65" t="n">
        <v>0</v>
      </c>
      <c r="BX1519" s="65" t="n">
        <v>1519</v>
      </c>
      <c r="BY1519" s="60" t="str">
        <f aca="false">IF(U1519&lt;&gt;"",UPPER(TRIM(U1519)),IF(CB1519=1,UPPER(VLOOKUP(T1519,Parameter!$I$27:$K$29,2,0)),IF(P1519="","LOSE",P1519)))</f>
        <v>S51</v>
      </c>
      <c r="BZ1519" s="62" t="n">
        <f aca="false">IF(BY1519="LOSE",1,IF(N(V1519)&gt;0,V1519,IF(CB1519=1,MAX(1,N(VLOOKUP(T1519,Parameter!$I$27:$K$29,3,0)),H1519,N(N1519)),IF(N(Q1519)&gt;0,Q1519,MAX(1,H1519)))))</f>
        <v>2</v>
      </c>
      <c r="CA1519" s="65" t="n">
        <f aca="false">IF(BY1519="LOSE",1,0)</f>
        <v>0</v>
      </c>
      <c r="CB1519" s="65" t="n">
        <f aca="false">IF(AND(U1519="",OR(P1519="",P1519="LOSE"),T1519&lt;&gt;"",N(S1519)&lt;=0,ISNUMBER(MATCH(T1519,Parameter!$I$27:$I$29,0))),1,0)</f>
        <v>0</v>
      </c>
      <c r="CC1519" s="65" t="n">
        <f aca="false">IF(CR1519&gt;0,INDEX(Parameter!$H$5:$H$7,W1519)/INDEX(Parameter!$E$5:$E$7,W1519),IF(AND(CA1519=0,N(IFERROR(VLOOKUP(BY1519,'Gebinde-Kategorie'!$A$5:$N$45,14,0),0))&gt;0),VLOOKUP(BY1519,'Gebinde-Kategorie'!$A$5:$N$45,14,0)*10+Parameter!$M$23,Parameter!$M$24))</f>
        <v>155</v>
      </c>
      <c r="CD1519" s="60" t="str">
        <f aca="false">IF(AND(Parameter!$B$19="Ja",E1519&lt;&gt;"",ISNUMBER(MATCH(E1519,Parameter!$I$35:$I$52,0))),VLOOKUP(E1519,Parameter!$I$35:$J$52,2,0),IFERROR(VLOOKUP(D1519,Parameter!$A$35:$C$64,2,0),"Nein"))</f>
        <v>2+3</v>
      </c>
      <c r="CE1519" s="64" t="n">
        <f aca="false">IF(CA1519=0,0,IF(N(S1519)&gt;0,S1519,IFERROR(VLOOKUP(D1519,Parameter!$A$35:$C$64,3,0)+0,0)))</f>
        <v>0</v>
      </c>
      <c r="CF1519" s="60" t="n">
        <f aca="false">IF(AB1519&lt;&gt;"",AB1519,AA1519)</f>
        <v>3</v>
      </c>
      <c r="CG1519" s="60" t="str">
        <f aca="false">IF(OR(CF1519=1,CF1519=2,CF1519=3),IF(Parameter!$E$27="Ja","LIFT",IF(CF1519=1,"L1","L23")),IF(CF1519="Aussen","Aussen","-"))</f>
        <v>LIFT</v>
      </c>
      <c r="CH1519" s="71" t="n">
        <f aca="false">IF(N(AC1519)&gt;0,AC1519,0)</f>
        <v>0</v>
      </c>
      <c r="CI1519" s="65" t="n">
        <f aca="false">IF(ISNUMBER(AF1519),1,0)</f>
        <v>0</v>
      </c>
      <c r="CJ1519" s="62" t="n">
        <f aca="false">N(AF1519)</f>
        <v>0</v>
      </c>
      <c r="CK1519" s="62" t="n">
        <f aca="false">N(M1519)+N(N1519)</f>
        <v>2</v>
      </c>
      <c r="CL1519" s="62" t="n">
        <f aca="false">N(M1519)</f>
        <v>0</v>
      </c>
      <c r="CM1519" s="62" t="n">
        <f aca="false">N(N1519)</f>
        <v>2</v>
      </c>
      <c r="CN1519" s="62" t="n">
        <f aca="false">ROUNDUP(H1519/BZ1519,0)</f>
        <v>1</v>
      </c>
      <c r="CO1519" s="62" t="n">
        <f aca="false">ROUNDUP(CJ1519/BZ1519,0)</f>
        <v>0</v>
      </c>
      <c r="CP1519" s="65" t="n">
        <f aca="false">IF(CA1519=1,0,IFERROR(VLOOKUP(BY1519,'Gebinde-Kategorie'!$A$5:$N$45,5,0)+0,0))</f>
        <v>11</v>
      </c>
      <c r="CQ1519" s="65" t="n">
        <f aca="false">IFERROR(IF(OR(CF1519=1,CF1519=2,CF1519=3),N(INDEX(Parameter!$I$5:$I$7,CF1519)),0),0)</f>
        <v>0</v>
      </c>
      <c r="CR1519" s="64" t="n">
        <f aca="false">IF(AND(Parameter!$B$21="Ja",ISNUMBER(W1519),N(X1519)&gt;0),IFERROR(N(INDEX(Parameter!$L$5:$L$7,W1519))*INDEX(Parameter!$E$5:$E$7,W1519)*X1519/SUMIFS($X$7:$X$1843,$W$7:$W$1843,W1519),0),0)</f>
        <v>0</v>
      </c>
      <c r="CS1519" s="62" t="n">
        <f aca="false">IF(AND(OR(CG1519="L1",CG1519="L23",CG1519="LIFT"),H1519&gt;0),CC1519*IF(CR1519&gt;0,CR1519*MAX(1,H1519/X1519),IF(CA1519=1,CE1519,IF(R1519&gt;0,CN1519/R1519,0))/MAX(0.1,N(Parameter!$M$21))),"")</f>
        <v>5.96153846153846</v>
      </c>
      <c r="CT1519" s="64" t="n">
        <f aca="false">IF(CS1519="","",J1519/H1519)</f>
        <v>0</v>
      </c>
      <c r="CU1519" s="62" t="n">
        <f aca="false">IF(CS1519="","",H1519*G1519)</f>
        <v>818</v>
      </c>
      <c r="CV1519" s="63" t="n">
        <f aca="false">IF(CS1519="","",(CL1519+ROUNDUP(CL1519+MAX(CM1519,2*(J1519/MAX(0.1,N(Einkauf!$C$6))-CL1519)),0))/2)</f>
        <v>1</v>
      </c>
      <c r="CW1519" s="62" t="n">
        <f aca="false">IF(CS1519="","",MAX(0,H1519-CV1519)*G1519)</f>
        <v>409</v>
      </c>
      <c r="CX1519" s="62" t="n">
        <f aca="false">IF(CS1519="","",CS1519*MAX(0,1-CV1519/H1519))</f>
        <v>2.98076923076923</v>
      </c>
      <c r="CY1519" s="64" t="n">
        <f aca="false">IF(CS1519="","",PERCENTRANK($CS$7:$CS$1843,CS1519)+PERCENTRANK($CU$7:$CU$1843,CU1519)+1-PERCENTRANK($CT$7:$CT$1843,CT1519))</f>
        <v>1.968</v>
      </c>
      <c r="CZ1519" s="72" t="n">
        <f aca="false">IF(CS1519="","",CHOOSE(MATCH(Einkauf!$C$5,Parameter!$G$23:$G$27,0),CY1519,CS1519,CU1519,-CT1519,CW1519)+ROW()/1000000000)</f>
        <v>1.968001519</v>
      </c>
    </row>
    <row r="1520" customFormat="false" ht="15" hidden="false" customHeight="false" outlineLevel="0" collapsed="false">
      <c r="A1520" s="60" t="s">
        <v>2701</v>
      </c>
      <c r="B1520" s="60" t="s">
        <v>2702</v>
      </c>
      <c r="C1520" s="60" t="s">
        <v>206</v>
      </c>
      <c r="D1520" s="60" t="s">
        <v>226</v>
      </c>
      <c r="E1520" s="60" t="s">
        <v>227</v>
      </c>
      <c r="F1520" s="60"/>
      <c r="G1520" s="61" t="n">
        <v>195.79</v>
      </c>
      <c r="H1520" s="62" t="n">
        <f aca="false">MAX(0,IF(AND(Parameter!$B$21="Ja",ISNUMBER(Y1520)),Y1520,IF(Parameter!$B$20="Jahresanfang 2025 + Export",BS1520+BR1520,BR1520)))</f>
        <v>28</v>
      </c>
      <c r="I1520" s="62" t="n">
        <f aca="false">H1520*G1520</f>
        <v>5482.12</v>
      </c>
      <c r="J1520" s="62" t="n">
        <f aca="false">BU1520*Parameter!$B$18</f>
        <v>0</v>
      </c>
      <c r="K1520" s="63"/>
      <c r="L1520" s="64"/>
      <c r="M1520" s="62" t="n">
        <v>0</v>
      </c>
      <c r="N1520" s="62" t="n">
        <v>15</v>
      </c>
      <c r="O1520" s="65" t="n">
        <v>126</v>
      </c>
      <c r="P1520" s="60" t="s">
        <v>335</v>
      </c>
      <c r="Q1520" s="62" t="n">
        <v>28</v>
      </c>
      <c r="R1520" s="65" t="n">
        <f aca="false">IF(CA1520=1,0,IFERROR(VLOOKUP(BY1520,'Gebinde-Kategorie'!$A$5:$N$45,13,0)+0,0))</f>
        <v>12</v>
      </c>
      <c r="S1520" s="66"/>
      <c r="T1520" s="67"/>
      <c r="U1520" s="67"/>
      <c r="V1520" s="67"/>
      <c r="W1520" s="60"/>
      <c r="X1520" s="62"/>
      <c r="Y1520" s="62"/>
      <c r="Z1520" s="60" t="n">
        <v>3</v>
      </c>
      <c r="AA1520" s="60" t="n">
        <f aca="false">IF(A1520="","",IF(AND(Parameter!$B$21="Ja",ISNUMBER(W1520)),W1520,IF(AND(Parameter!$E$27="Ja",ISNUMBER(Z1520),CD1520&lt;&gt;"Nein"),Z1520,IF(CD1520="2+3",IF(ISNUMBER(SEARCH("grosser Artikel",BV1520)),2,IFERROR(VLOOKUP(BY1520,Parameter!$F$35:$G$64,2,0),2)),IF(OR(CD1520="Nein",CD1520=""),"-",CD1520)))))</f>
        <v>3</v>
      </c>
      <c r="AB1520" s="67"/>
      <c r="AC1520" s="68"/>
      <c r="AD1520" s="62" t="n">
        <f aca="false">AW1520</f>
        <v>15</v>
      </c>
      <c r="AE1520" s="62" t="n">
        <f aca="false">MAX(AW1520,H1520)</f>
        <v>28</v>
      </c>
      <c r="AF1520" s="69"/>
      <c r="AG1520" s="62" t="n">
        <f aca="false">IF(LEFT(Cockpit!$C$5,1)="A",H1520,IF(Parameter!$E$30="MAX-Bestand",IF(CI1520=1,CJ1520,IF(LEFT(Cockpit!$C$5,1)="B",AM1520,MAX(AM1520,H1520))),ROUNDUP(AK1520,0)))</f>
        <v>28</v>
      </c>
      <c r="AH1520" s="62" t="n">
        <f aca="false">IF(CA1520=1,0,ROUNDUP(AG1520/BZ1520,0))</f>
        <v>1</v>
      </c>
      <c r="AI1520" s="64" t="n">
        <f aca="false">IF(CR1520&gt;0,CR1520*MAX(1,AG1520/X1520),IF(CA1520=1,IF(AG1520&lt;=0,0,CE1520*MAX(1,IF(H1520&gt;0,AG1520/H1520,1))),IF(R1520&gt;0,AH1520/R1520,0))/MAX(0.1,N(Parameter!$M$21)))</f>
        <v>0.0833333333333333</v>
      </c>
      <c r="AJ1520" s="62" t="n">
        <f aca="false">AI1520*CC1520</f>
        <v>20.4166666666667</v>
      </c>
      <c r="AK1520" s="63" t="n">
        <f aca="false">IF(LEFT(Cockpit!$C$5,1)="A",H1520,IF(CI1520=1,(CL1520+CJ1520)/2,IF(LEFT(Cockpit!$C$5,1)="B",(CL1520+AM1520)/2,MAX((CL1520+AM1520)/2,H1520))))</f>
        <v>28</v>
      </c>
      <c r="AL1520" s="62" t="n">
        <f aca="false">AK1520*G1520</f>
        <v>5482.12</v>
      </c>
      <c r="AM1520" s="62" t="n">
        <f aca="false">ROUNDUP(CL1520+MAX(CM1520,2*(J1520/IF(CH1520&gt;0,CH1520,MAX(0.1,N(Cockpit!$C$6)))-CL1520)),0)</f>
        <v>15</v>
      </c>
      <c r="AN1520" s="63" t="n">
        <f aca="false">IF(AJ1520&gt;0,J1520/AJ1520,-1)</f>
        <v>0</v>
      </c>
      <c r="AO1520" s="63" t="n">
        <f aca="false">IF(AND(OR(CG1520="L1",CG1520="L23",CG1520="LIFT"),AJ1520&gt;0),SUMIFS($AJ$7:$AJ$1843,$CG$7:$CG$1843,CG1520,$AN$7:$AN$1843,"&gt;"&amp;AN1520)+SUMIFS($AJ$7:$AJ$1843,$CG$7:$CG$1843,CG1520,$AN$7:$AN$1843,AN1520,$BX$7:$BX$1843,"&lt;="&amp;BX1520),"")</f>
        <v>30001.6427122783</v>
      </c>
      <c r="AP1520" s="70" t="n">
        <f aca="false">IF(AO1520="",0,MAX(0,MIN(1,(IF(CG1520="L1",Parameter!$H$5,IF(CG1520="L23",Parameter!$H$6+Parameter!$H$7,Parameter!$H$5+Parameter!$H$6+Parameter!$H$7))-(AO1520-AJ1520))/AJ1520)))</f>
        <v>1</v>
      </c>
      <c r="AQ1520" s="62" t="n">
        <f aca="false">IF(LEFT(Cockpit!$I$5,1)="A",H1520,IF(Parameter!$E$30="MAX-Bestand",IF(CI1520=1,CJ1520,IF(LEFT(Cockpit!$I$5,1)="B",AW1520,MAX(AW1520,H1520))),ROUNDUP(AU1520,0)))</f>
        <v>28</v>
      </c>
      <c r="AR1520" s="62" t="n">
        <f aca="false">IF(CA1520=1,0,ROUNDUP(AQ1520/BZ1520,0))</f>
        <v>1</v>
      </c>
      <c r="AS1520" s="64" t="n">
        <f aca="false">IF(CR1520&gt;0,CR1520*MAX(1,AQ1520/X1520),IF(CA1520=1,IF(AQ1520&lt;=0,0,CE1520*MAX(1,IF(H1520&gt;0,AQ1520/H1520,1))),IF(R1520&gt;0,AR1520/R1520,0))/MAX(0.1,N(Parameter!$M$21)))</f>
        <v>0.0833333333333333</v>
      </c>
      <c r="AT1520" s="62" t="n">
        <f aca="false">AS1520*CC1520</f>
        <v>20.4166666666667</v>
      </c>
      <c r="AU1520" s="63" t="n">
        <f aca="false">IF(LEFT(Cockpit!$I$5,1)="A",H1520,IF(CI1520=1,(CL1520+CJ1520)/2,IF(LEFT(Cockpit!$I$5,1)="B",(CL1520+AW1520)/2,MAX((CL1520+AW1520)/2,H1520))))</f>
        <v>28</v>
      </c>
      <c r="AV1520" s="62" t="n">
        <f aca="false">AU1520*G1520</f>
        <v>5482.12</v>
      </c>
      <c r="AW1520" s="62" t="n">
        <f aca="false">ROUNDUP(CL1520+MAX(CM1520,2*(J1520/IF(CH1520&gt;0,CH1520,MAX(0.1,N(Cockpit!$I$6)))-CL1520)),0)</f>
        <v>15</v>
      </c>
      <c r="AX1520" s="63" t="n">
        <f aca="false">IF(AT1520&gt;0,J1520/AT1520,-1)</f>
        <v>0</v>
      </c>
      <c r="AY1520" s="63" t="n">
        <f aca="false">IF(AND(OR(CG1520="L1",CG1520="L23",CG1520="LIFT"),AT1520&gt;0),SUMIFS($AT$7:$AT$1843,$CG$7:$CG$1843,CG1520,$AX$7:$AX$1843,"&gt;"&amp;AX1520)+SUMIFS($AT$7:$AT$1843,$CG$7:$CG$1843,CG1520,$AX$7:$AX$1843,AX1520,$BX$7:$BX$1843,"&lt;="&amp;BX1520),"")</f>
        <v>36321.4992291136</v>
      </c>
      <c r="AZ1520" s="70" t="n">
        <f aca="false">IF(AY1520="",0,MAX(0,MIN(1,(IF(CG1520="L1",Parameter!$H$5,IF(CG1520="L23",Parameter!$H$6+Parameter!$H$7,Parameter!$H$5+Parameter!$H$6+Parameter!$H$7))-(AY1520-AT1520))/AT1520)))</f>
        <v>0</v>
      </c>
      <c r="BA1520" s="62" t="n">
        <f aca="false">IF(LEFT(Cockpit!$O$5,1)="A",H1520,IF(Parameter!$E$30="MAX-Bestand",IF(CI1520=1,CJ1520,IF(LEFT(Cockpit!$O$5,1)="B",BG1520,MAX(BG1520,H1520))),ROUNDUP(BE1520,0)))</f>
        <v>8</v>
      </c>
      <c r="BB1520" s="62" t="n">
        <f aca="false">IF(CA1520=1,0,ROUNDUP(BA1520/BZ1520,0))</f>
        <v>1</v>
      </c>
      <c r="BC1520" s="64" t="n">
        <f aca="false">IF(CR1520&gt;0,CR1520*MAX(1,BA1520/X1520),IF(CA1520=1,IF(BA1520&lt;=0,0,CE1520*MAX(1,IF(H1520&gt;0,BA1520/H1520,1))),IF(R1520&gt;0,BB1520/R1520,0))/MAX(0.1,N(Parameter!$M$21)))</f>
        <v>0.0833333333333333</v>
      </c>
      <c r="BD1520" s="62" t="n">
        <f aca="false">BC1520*CC1520</f>
        <v>20.4166666666667</v>
      </c>
      <c r="BE1520" s="63" t="n">
        <f aca="false">IF(LEFT(Cockpit!$O$5,1)="A",H1520,IF(CI1520=1,(CL1520+CJ1520)/2,IF(LEFT(Cockpit!$O$5,1)="B",(CL1520+BG1520)/2,MAX((CL1520+BG1520)/2,H1520))))</f>
        <v>7.5</v>
      </c>
      <c r="BF1520" s="62" t="n">
        <f aca="false">BE1520*G1520</f>
        <v>1468.425</v>
      </c>
      <c r="BG1520" s="62" t="n">
        <f aca="false">ROUNDUP(CL1520+MAX(CM1520,2*(J1520/IF(CH1520&gt;0,CH1520,MAX(0.1,N(Cockpit!$O$6)))-CL1520)),0)</f>
        <v>15</v>
      </c>
      <c r="BH1520" s="63" t="n">
        <f aca="false">IF(BD1520&gt;0,J1520/BD1520,-1)</f>
        <v>0</v>
      </c>
      <c r="BI1520" s="63" t="n">
        <f aca="false">IF(AND(OR(CG1520="L1",CG1520="L23",CG1520="LIFT"),BD1520&gt;0),SUMIFS($BD$7:$BD$1843,$CG$7:$CG$1843,CG1520,$BH$7:$BH$1843,"&gt;"&amp;BH1520)+SUMIFS($BD$7:$BD$1843,$CG$7:$CG$1843,CG1520,$BH$7:$BH$1843,BH1520,$BX$7:$BX$1843,"&lt;="&amp;BX1520),"")</f>
        <v>30259.690504646</v>
      </c>
      <c r="BJ1520" s="70" t="n">
        <f aca="false">IF(BI1520="",0,MAX(0,MIN(1,(IF(CG1520="L1",Parameter!$H$5,IF(CG1520="L23",Parameter!$H$6+Parameter!$H$7,Parameter!$H$5+Parameter!$H$6+Parameter!$H$7))-(BI1520-BD1520))/BD1520)))</f>
        <v>1</v>
      </c>
      <c r="BK1520" s="60" t="str">
        <f aca="false">IF(AJ1520&lt;=0,"",IF(CG1520="Aussen","Aussenlager",IF(CG1520="-","Nicht im Lift",IF(AP1520&gt;=1,"Lift",IF(AP1520&lt;=0,"Aussenlager","teilweise")))))</f>
        <v>Lift</v>
      </c>
      <c r="BL1520" s="60" t="str">
        <f aca="false">IF(AT1520&lt;=0,"",IF(CG1520="Aussen","Aussenlager",IF(CG1520="-","Nicht im Lift",IF(AZ1520&gt;=1,"Lift",IF(AZ1520&lt;=0,"Aussenlager","teilweise")))))</f>
        <v>Aussenlager</v>
      </c>
      <c r="BM1520" s="60" t="str">
        <f aca="false">IF(BD1520&lt;=0,"",IF(CG1520="Aussen","Aussenlager",IF(CG1520="-","Nicht im Lift",IF(BJ1520&gt;=1,"Lift",IF(BJ1520&lt;=0,"Aussenlager","teilweise")))))</f>
        <v>Lift</v>
      </c>
      <c r="BN1520" s="60" t="str">
        <f aca="false">IF(A1520="","",IF(BW1520=1,"Neu; ","")&amp;IF(AND(BW1520=0,BR1520&lt;0),"negativer Bestand (Export "&amp;BR1520&amp;"); ","")&amp;IF(J1520&lt;=0,"Kein Verbrauch; ","")&amp;IF(CR1520&gt;0,"Lift "&amp;W1520&amp;" lt. Liftbericht (Fach "&amp;X1520&amp;" Stk); ",IF(CB1520=1,"Gebinde geschätzt ("&amp;T1520&amp;"); ",IF(CA1520=1,"Lose – Tablare geschätzt; ","")))&amp;IF(H1520&gt;AW1520,"Überbestand "&amp;ROUND(H1520-AW1520,0)&amp;" Stk / CHF "&amp;ROUND((H1520-AW1520)*G1520,0)&amp;"; ","")&amp;IF(AND(CI1520=1,CJ1520&lt;CK1520),"MAX &lt; MB+LG; ","")&amp;IF(AND(CQ1520&gt;0,CP1520*10&gt;CQ1520),"zu hoch für Tablar; ","")&amp;IF(AND(BW1520=0,OR(CI1520=1,AB1520&lt;&gt;"",U1520&lt;&gt;"",V1520&lt;&gt;"",AC1520&lt;&gt;"")),"manuell übersteuert; ","")&amp;IF(AND(CA1520=0,R1520=0),"Gebinde unbekannt / Stellmass fehlt; ","")&amp;IF(AND(CA1520=0,N(V1520)&lt;=0,N(Q1520)&lt;=0),"Menge pro Gebinde fehlt (Ist = 1 Gebinde); ","")&amp;BV1520)</f>
        <v>Kein Verbrauch; Überbestand 13 Stk / CHF 2545; nur im Artikelstamm (Bestand 23.06.2026)</v>
      </c>
      <c r="BO1520" s="60"/>
      <c r="BP1520" s="60"/>
      <c r="BQ1520" s="67"/>
      <c r="BR1520" s="62" t="n">
        <v>28</v>
      </c>
      <c r="BS1520" s="62" t="n">
        <v>0</v>
      </c>
      <c r="BT1520" s="61" t="n">
        <v>0</v>
      </c>
      <c r="BU1520" s="62" t="n">
        <v>0</v>
      </c>
      <c r="BV1520" s="60" t="s">
        <v>2617</v>
      </c>
      <c r="BW1520" s="65" t="n">
        <v>0</v>
      </c>
      <c r="BX1520" s="65" t="n">
        <v>1520</v>
      </c>
      <c r="BY1520" s="60" t="str">
        <f aca="false">IF(U1520&lt;&gt;"",UPPER(TRIM(U1520)),IF(CB1520=1,UPPER(VLOOKUP(T1520,Parameter!$I$27:$K$29,2,0)),IF(P1520="","LOSE",P1520)))</f>
        <v>S62</v>
      </c>
      <c r="BZ1520" s="62" t="n">
        <f aca="false">IF(BY1520="LOSE",1,IF(N(V1520)&gt;0,V1520,IF(CB1520=1,MAX(1,N(VLOOKUP(T1520,Parameter!$I$27:$K$29,3,0)),H1520,N(N1520)),IF(N(Q1520)&gt;0,Q1520,MAX(1,H1520)))))</f>
        <v>28</v>
      </c>
      <c r="CA1520" s="65" t="n">
        <f aca="false">IF(BY1520="LOSE",1,0)</f>
        <v>0</v>
      </c>
      <c r="CB1520" s="65" t="n">
        <f aca="false">IF(AND(U1520="",OR(P1520="",P1520="LOSE"),T1520&lt;&gt;"",N(S1520)&lt;=0,ISNUMBER(MATCH(T1520,Parameter!$I$27:$I$29,0))),1,0)</f>
        <v>0</v>
      </c>
      <c r="CC1520" s="65" t="n">
        <f aca="false">IF(CR1520&gt;0,INDEX(Parameter!$H$5:$H$7,W1520)/INDEX(Parameter!$E$5:$E$7,W1520),IF(AND(CA1520=0,N(IFERROR(VLOOKUP(BY1520,'Gebinde-Kategorie'!$A$5:$N$45,14,0),0))&gt;0),VLOOKUP(BY1520,'Gebinde-Kategorie'!$A$5:$N$45,14,0)*10+Parameter!$M$23,Parameter!$M$24))</f>
        <v>245</v>
      </c>
      <c r="CD1520" s="60" t="str">
        <f aca="false">IF(AND(Parameter!$B$19="Ja",E1520&lt;&gt;"",ISNUMBER(MATCH(E1520,Parameter!$I$35:$I$52,0))),VLOOKUP(E1520,Parameter!$I$35:$J$52,2,0),IFERROR(VLOOKUP(D1520,Parameter!$A$35:$C$64,2,0),"Nein"))</f>
        <v>2+3</v>
      </c>
      <c r="CE1520" s="64" t="n">
        <f aca="false">IF(CA1520=0,0,IF(N(S1520)&gt;0,S1520,IFERROR(VLOOKUP(D1520,Parameter!$A$35:$C$64,3,0)+0,0)))</f>
        <v>0</v>
      </c>
      <c r="CF1520" s="60" t="n">
        <f aca="false">IF(AB1520&lt;&gt;"",AB1520,AA1520)</f>
        <v>3</v>
      </c>
      <c r="CG1520" s="60" t="str">
        <f aca="false">IF(OR(CF1520=1,CF1520=2,CF1520=3),IF(Parameter!$E$27="Ja","LIFT",IF(CF1520=1,"L1","L23")),IF(CF1520="Aussen","Aussen","-"))</f>
        <v>LIFT</v>
      </c>
      <c r="CH1520" s="71" t="n">
        <f aca="false">IF(N(AC1520)&gt;0,AC1520,0)</f>
        <v>0</v>
      </c>
      <c r="CI1520" s="65" t="n">
        <f aca="false">IF(ISNUMBER(AF1520),1,0)</f>
        <v>0</v>
      </c>
      <c r="CJ1520" s="62" t="n">
        <f aca="false">N(AF1520)</f>
        <v>0</v>
      </c>
      <c r="CK1520" s="62" t="n">
        <f aca="false">N(M1520)+N(N1520)</f>
        <v>15</v>
      </c>
      <c r="CL1520" s="62" t="n">
        <f aca="false">N(M1520)</f>
        <v>0</v>
      </c>
      <c r="CM1520" s="62" t="n">
        <f aca="false">N(N1520)</f>
        <v>15</v>
      </c>
      <c r="CN1520" s="62" t="n">
        <f aca="false">ROUNDUP(H1520/BZ1520,0)</f>
        <v>1</v>
      </c>
      <c r="CO1520" s="62" t="n">
        <f aca="false">ROUNDUP(CJ1520/BZ1520,0)</f>
        <v>0</v>
      </c>
      <c r="CP1520" s="65" t="n">
        <f aca="false">IF(CA1520=1,0,IFERROR(VLOOKUP(BY1520,'Gebinde-Kategorie'!$A$5:$N$45,5,0)+0,0))</f>
        <v>21</v>
      </c>
      <c r="CQ1520" s="65" t="n">
        <f aca="false">IFERROR(IF(OR(CF1520=1,CF1520=2,CF1520=3),N(INDEX(Parameter!$I$5:$I$7,CF1520)),0),0)</f>
        <v>0</v>
      </c>
      <c r="CR1520" s="64" t="n">
        <f aca="false">IF(AND(Parameter!$B$21="Ja",ISNUMBER(W1520),N(X1520)&gt;0),IFERROR(N(INDEX(Parameter!$L$5:$L$7,W1520))*INDEX(Parameter!$E$5:$E$7,W1520)*X1520/SUMIFS($X$7:$X$1843,$W$7:$W$1843,W1520),0),0)</f>
        <v>0</v>
      </c>
      <c r="CS1520" s="62" t="n">
        <f aca="false">IF(AND(OR(CG1520="L1",CG1520="L23",CG1520="LIFT"),H1520&gt;0),CC1520*IF(CR1520&gt;0,CR1520*MAX(1,H1520/X1520),IF(CA1520=1,CE1520,IF(R1520&gt;0,CN1520/R1520,0))/MAX(0.1,N(Parameter!$M$21))),"")</f>
        <v>20.4166666666667</v>
      </c>
      <c r="CT1520" s="64" t="n">
        <f aca="false">IF(CS1520="","",J1520/H1520)</f>
        <v>0</v>
      </c>
      <c r="CU1520" s="62" t="n">
        <f aca="false">IF(CS1520="","",H1520*G1520)</f>
        <v>5482.12</v>
      </c>
      <c r="CV1520" s="63" t="n">
        <f aca="false">IF(CS1520="","",(CL1520+ROUNDUP(CL1520+MAX(CM1520,2*(J1520/MAX(0.1,N(Einkauf!$C$6))-CL1520)),0))/2)</f>
        <v>7.5</v>
      </c>
      <c r="CW1520" s="62" t="n">
        <f aca="false">IF(CS1520="","",MAX(0,H1520-CV1520)*G1520)</f>
        <v>4013.695</v>
      </c>
      <c r="CX1520" s="62" t="n">
        <f aca="false">IF(CS1520="","",CS1520*MAX(0,1-CV1520/H1520))</f>
        <v>14.9479166666667</v>
      </c>
      <c r="CY1520" s="64" t="n">
        <f aca="false">IF(CS1520="","",PERCENTRANK($CS$7:$CS$1843,CS1520)+PERCENTRANK($CU$7:$CU$1843,CU1520)+1-PERCENTRANK($CT$7:$CT$1843,CT1520))</f>
        <v>2.695</v>
      </c>
      <c r="CZ1520" s="72" t="n">
        <f aca="false">IF(CS1520="","",CHOOSE(MATCH(Einkauf!$C$5,Parameter!$G$23:$G$27,0),CY1520,CS1520,CU1520,-CT1520,CW1520)+ROW()/1000000000)</f>
        <v>2.69500152</v>
      </c>
    </row>
    <row r="1521" customFormat="false" ht="15" hidden="false" customHeight="false" outlineLevel="0" collapsed="false">
      <c r="A1521" s="60" t="s">
        <v>2703</v>
      </c>
      <c r="B1521" s="60" t="s">
        <v>329</v>
      </c>
      <c r="C1521" s="60" t="s">
        <v>209</v>
      </c>
      <c r="D1521" s="60" t="s">
        <v>215</v>
      </c>
      <c r="E1521" s="60" t="s">
        <v>227</v>
      </c>
      <c r="F1521" s="60"/>
      <c r="G1521" s="61" t="n">
        <v>1618</v>
      </c>
      <c r="H1521" s="62" t="n">
        <f aca="false">MAX(0,IF(AND(Parameter!$B$21="Ja",ISNUMBER(Y1521)),Y1521,IF(Parameter!$B$20="Jahresanfang 2025 + Export",BS1521+BR1521,BR1521)))</f>
        <v>1</v>
      </c>
      <c r="I1521" s="62" t="n">
        <f aca="false">H1521*G1521</f>
        <v>1618</v>
      </c>
      <c r="J1521" s="62" t="n">
        <f aca="false">BU1521*Parameter!$B$18</f>
        <v>0</v>
      </c>
      <c r="K1521" s="63"/>
      <c r="L1521" s="64"/>
      <c r="M1521" s="62" t="n">
        <v>0</v>
      </c>
      <c r="N1521" s="62" t="n">
        <v>1</v>
      </c>
      <c r="O1521" s="65" t="n">
        <v>35</v>
      </c>
      <c r="P1521" s="60" t="s">
        <v>275</v>
      </c>
      <c r="Q1521" s="62" t="n">
        <v>1</v>
      </c>
      <c r="R1521" s="65" t="n">
        <f aca="false">IF(CA1521=1,0,IFERROR(VLOOKUP(BY1521,'Gebinde-Kategorie'!$A$5:$N$45,13,0)+0,0))</f>
        <v>26</v>
      </c>
      <c r="S1521" s="66"/>
      <c r="T1521" s="67"/>
      <c r="U1521" s="67"/>
      <c r="V1521" s="67"/>
      <c r="W1521" s="60"/>
      <c r="X1521" s="62"/>
      <c r="Y1521" s="62"/>
      <c r="Z1521" s="60" t="n">
        <v>3</v>
      </c>
      <c r="AA1521" s="60" t="n">
        <f aca="false">IF(A1521="","",IF(AND(Parameter!$B$21="Ja",ISNUMBER(W1521)),W1521,IF(AND(Parameter!$E$27="Ja",ISNUMBER(Z1521),CD1521&lt;&gt;"Nein"),Z1521,IF(CD1521="2+3",IF(ISNUMBER(SEARCH("grosser Artikel",BV1521)),2,IFERROR(VLOOKUP(BY1521,Parameter!$F$35:$G$64,2,0),2)),IF(OR(CD1521="Nein",CD1521=""),"-",CD1521)))))</f>
        <v>3</v>
      </c>
      <c r="AB1521" s="67"/>
      <c r="AC1521" s="68"/>
      <c r="AD1521" s="62" t="n">
        <f aca="false">AW1521</f>
        <v>1</v>
      </c>
      <c r="AE1521" s="62" t="n">
        <f aca="false">MAX(AW1521,H1521)</f>
        <v>1</v>
      </c>
      <c r="AF1521" s="69"/>
      <c r="AG1521" s="62" t="n">
        <f aca="false">IF(LEFT(Cockpit!$C$5,1)="A",H1521,IF(Parameter!$E$30="MAX-Bestand",IF(CI1521=1,CJ1521,IF(LEFT(Cockpit!$C$5,1)="B",AM1521,MAX(AM1521,H1521))),ROUNDUP(AK1521,0)))</f>
        <v>1</v>
      </c>
      <c r="AH1521" s="62" t="n">
        <f aca="false">IF(CA1521=1,0,ROUNDUP(AG1521/BZ1521,0))</f>
        <v>1</v>
      </c>
      <c r="AI1521" s="64" t="n">
        <f aca="false">IF(CR1521&gt;0,CR1521*MAX(1,AG1521/X1521),IF(CA1521=1,IF(AG1521&lt;=0,0,CE1521*MAX(1,IF(H1521&gt;0,AG1521/H1521,1))),IF(R1521&gt;0,AH1521/R1521,0))/MAX(0.1,N(Parameter!$M$21)))</f>
        <v>0.0384615384615385</v>
      </c>
      <c r="AJ1521" s="62" t="n">
        <f aca="false">AI1521*CC1521</f>
        <v>9.42307692307692</v>
      </c>
      <c r="AK1521" s="63" t="n">
        <f aca="false">IF(LEFT(Cockpit!$C$5,1)="A",H1521,IF(CI1521=1,(CL1521+CJ1521)/2,IF(LEFT(Cockpit!$C$5,1)="B",(CL1521+AM1521)/2,MAX((CL1521+AM1521)/2,H1521))))</f>
        <v>1</v>
      </c>
      <c r="AL1521" s="62" t="n">
        <f aca="false">AK1521*G1521</f>
        <v>1618</v>
      </c>
      <c r="AM1521" s="62" t="n">
        <f aca="false">ROUNDUP(CL1521+MAX(CM1521,2*(J1521/IF(CH1521&gt;0,CH1521,MAX(0.1,N(Cockpit!$C$6)))-CL1521)),0)</f>
        <v>1</v>
      </c>
      <c r="AN1521" s="63" t="n">
        <f aca="false">IF(AJ1521&gt;0,J1521/AJ1521,-1)</f>
        <v>0</v>
      </c>
      <c r="AO1521" s="63" t="n">
        <f aca="false">IF(AND(OR(CG1521="L1",CG1521="L23",CG1521="LIFT"),AJ1521&gt;0),SUMIFS($AJ$7:$AJ$1843,$CG$7:$CG$1843,CG1521,$AN$7:$AN$1843,"&gt;"&amp;AN1521)+SUMIFS($AJ$7:$AJ$1843,$CG$7:$CG$1843,CG1521,$AN$7:$AN$1843,AN1521,$BX$7:$BX$1843,"&lt;="&amp;BX1521),"")</f>
        <v>30011.0657892014</v>
      </c>
      <c r="AP1521" s="70" t="n">
        <f aca="false">IF(AO1521="",0,MAX(0,MIN(1,(IF(CG1521="L1",Parameter!$H$5,IF(CG1521="L23",Parameter!$H$6+Parameter!$H$7,Parameter!$H$5+Parameter!$H$6+Parameter!$H$7))-(AO1521-AJ1521))/AJ1521)))</f>
        <v>1</v>
      </c>
      <c r="AQ1521" s="62" t="n">
        <f aca="false">IF(LEFT(Cockpit!$I$5,1)="A",H1521,IF(Parameter!$E$30="MAX-Bestand",IF(CI1521=1,CJ1521,IF(LEFT(Cockpit!$I$5,1)="B",AW1521,MAX(AW1521,H1521))),ROUNDUP(AU1521,0)))</f>
        <v>1</v>
      </c>
      <c r="AR1521" s="62" t="n">
        <f aca="false">IF(CA1521=1,0,ROUNDUP(AQ1521/BZ1521,0))</f>
        <v>1</v>
      </c>
      <c r="AS1521" s="64" t="n">
        <f aca="false">IF(CR1521&gt;0,CR1521*MAX(1,AQ1521/X1521),IF(CA1521=1,IF(AQ1521&lt;=0,0,CE1521*MAX(1,IF(H1521&gt;0,AQ1521/H1521,1))),IF(R1521&gt;0,AR1521/R1521,0))/MAX(0.1,N(Parameter!$M$21)))</f>
        <v>0.0384615384615385</v>
      </c>
      <c r="AT1521" s="62" t="n">
        <f aca="false">AS1521*CC1521</f>
        <v>9.42307692307692</v>
      </c>
      <c r="AU1521" s="63" t="n">
        <f aca="false">IF(LEFT(Cockpit!$I$5,1)="A",H1521,IF(CI1521=1,(CL1521+CJ1521)/2,IF(LEFT(Cockpit!$I$5,1)="B",(CL1521+AW1521)/2,MAX((CL1521+AW1521)/2,H1521))))</f>
        <v>1</v>
      </c>
      <c r="AV1521" s="62" t="n">
        <f aca="false">AU1521*G1521</f>
        <v>1618</v>
      </c>
      <c r="AW1521" s="62" t="n">
        <f aca="false">ROUNDUP(CL1521+MAX(CM1521,2*(J1521/IF(CH1521&gt;0,CH1521,MAX(0.1,N(Cockpit!$I$6)))-CL1521)),0)</f>
        <v>1</v>
      </c>
      <c r="AX1521" s="63" t="n">
        <f aca="false">IF(AT1521&gt;0,J1521/AT1521,-1)</f>
        <v>0</v>
      </c>
      <c r="AY1521" s="63" t="n">
        <f aca="false">IF(AND(OR(CG1521="L1",CG1521="L23",CG1521="LIFT"),AT1521&gt;0),SUMIFS($AT$7:$AT$1843,$CG$7:$CG$1843,CG1521,$AX$7:$AX$1843,"&gt;"&amp;AX1521)+SUMIFS($AT$7:$AT$1843,$CG$7:$CG$1843,CG1521,$AX$7:$AX$1843,AX1521,$BX$7:$BX$1843,"&lt;="&amp;BX1521),"")</f>
        <v>36330.9223060367</v>
      </c>
      <c r="AZ1521" s="70" t="n">
        <f aca="false">IF(AY1521="",0,MAX(0,MIN(1,(IF(CG1521="L1",Parameter!$H$5,IF(CG1521="L23",Parameter!$H$6+Parameter!$H$7,Parameter!$H$5+Parameter!$H$6+Parameter!$H$7))-(AY1521-AT1521))/AT1521)))</f>
        <v>0</v>
      </c>
      <c r="BA1521" s="62" t="n">
        <f aca="false">IF(LEFT(Cockpit!$O$5,1)="A",H1521,IF(Parameter!$E$30="MAX-Bestand",IF(CI1521=1,CJ1521,IF(LEFT(Cockpit!$O$5,1)="B",BG1521,MAX(BG1521,H1521))),ROUNDUP(BE1521,0)))</f>
        <v>1</v>
      </c>
      <c r="BB1521" s="62" t="n">
        <f aca="false">IF(CA1521=1,0,ROUNDUP(BA1521/BZ1521,0))</f>
        <v>1</v>
      </c>
      <c r="BC1521" s="64" t="n">
        <f aca="false">IF(CR1521&gt;0,CR1521*MAX(1,BA1521/X1521),IF(CA1521=1,IF(BA1521&lt;=0,0,CE1521*MAX(1,IF(H1521&gt;0,BA1521/H1521,1))),IF(R1521&gt;0,BB1521/R1521,0))/MAX(0.1,N(Parameter!$M$21)))</f>
        <v>0.0384615384615385</v>
      </c>
      <c r="BD1521" s="62" t="n">
        <f aca="false">BC1521*CC1521</f>
        <v>9.42307692307692</v>
      </c>
      <c r="BE1521" s="63" t="n">
        <f aca="false">IF(LEFT(Cockpit!$O$5,1)="A",H1521,IF(CI1521=1,(CL1521+CJ1521)/2,IF(LEFT(Cockpit!$O$5,1)="B",(CL1521+BG1521)/2,MAX((CL1521+BG1521)/2,H1521))))</f>
        <v>0.5</v>
      </c>
      <c r="BF1521" s="62" t="n">
        <f aca="false">BE1521*G1521</f>
        <v>809</v>
      </c>
      <c r="BG1521" s="62" t="n">
        <f aca="false">ROUNDUP(CL1521+MAX(CM1521,2*(J1521/IF(CH1521&gt;0,CH1521,MAX(0.1,N(Cockpit!$O$6)))-CL1521)),0)</f>
        <v>1</v>
      </c>
      <c r="BH1521" s="63" t="n">
        <f aca="false">IF(BD1521&gt;0,J1521/BD1521,-1)</f>
        <v>0</v>
      </c>
      <c r="BI1521" s="63" t="n">
        <f aca="false">IF(AND(OR(CG1521="L1",CG1521="L23",CG1521="LIFT"),BD1521&gt;0),SUMIFS($BD$7:$BD$1843,$CG$7:$CG$1843,CG1521,$BH$7:$BH$1843,"&gt;"&amp;BH1521)+SUMIFS($BD$7:$BD$1843,$CG$7:$CG$1843,CG1521,$BH$7:$BH$1843,BH1521,$BX$7:$BX$1843,"&lt;="&amp;BX1521),"")</f>
        <v>30269.1135815691</v>
      </c>
      <c r="BJ1521" s="70" t="n">
        <f aca="false">IF(BI1521="",0,MAX(0,MIN(1,(IF(CG1521="L1",Parameter!$H$5,IF(CG1521="L23",Parameter!$H$6+Parameter!$H$7,Parameter!$H$5+Parameter!$H$6+Parameter!$H$7))-(BI1521-BD1521))/BD1521)))</f>
        <v>1</v>
      </c>
      <c r="BK1521" s="60" t="str">
        <f aca="false">IF(AJ1521&lt;=0,"",IF(CG1521="Aussen","Aussenlager",IF(CG1521="-","Nicht im Lift",IF(AP1521&gt;=1,"Lift",IF(AP1521&lt;=0,"Aussenlager","teilweise")))))</f>
        <v>Lift</v>
      </c>
      <c r="BL1521" s="60" t="str">
        <f aca="false">IF(AT1521&lt;=0,"",IF(CG1521="Aussen","Aussenlager",IF(CG1521="-","Nicht im Lift",IF(AZ1521&gt;=1,"Lift",IF(AZ1521&lt;=0,"Aussenlager","teilweise")))))</f>
        <v>Aussenlager</v>
      </c>
      <c r="BM1521" s="60" t="str">
        <f aca="false">IF(BD1521&lt;=0,"",IF(CG1521="Aussen","Aussenlager",IF(CG1521="-","Nicht im Lift",IF(BJ1521&gt;=1,"Lift",IF(BJ1521&lt;=0,"Aussenlager","teilweise")))))</f>
        <v>Lift</v>
      </c>
      <c r="BN1521" s="60" t="str">
        <f aca="false">IF(A1521="","",IF(BW1521=1,"Neu; ","")&amp;IF(AND(BW1521=0,BR1521&lt;0),"negativer Bestand (Export "&amp;BR1521&amp;"); ","")&amp;IF(J1521&lt;=0,"Kein Verbrauch; ","")&amp;IF(CR1521&gt;0,"Lift "&amp;W1521&amp;" lt. Liftbericht (Fach "&amp;X1521&amp;" Stk); ",IF(CB1521=1,"Gebinde geschätzt ("&amp;T1521&amp;"); ",IF(CA1521=1,"Lose – Tablare geschätzt; ","")))&amp;IF(H1521&gt;AW1521,"Überbestand "&amp;ROUND(H1521-AW1521,0)&amp;" Stk / CHF "&amp;ROUND((H1521-AW1521)*G1521,0)&amp;"; ","")&amp;IF(AND(CI1521=1,CJ1521&lt;CK1521),"MAX &lt; MB+LG; ","")&amp;IF(AND(CQ1521&gt;0,CP1521*10&gt;CQ1521),"zu hoch für Tablar; ","")&amp;IF(AND(BW1521=0,OR(CI1521=1,AB1521&lt;&gt;"",U1521&lt;&gt;"",V1521&lt;&gt;"",AC1521&lt;&gt;"")),"manuell übersteuert; ","")&amp;IF(AND(CA1521=0,R1521=0),"Gebinde unbekannt / Stellmass fehlt; ","")&amp;IF(AND(CA1521=0,N(V1521)&lt;=0,N(Q1521)&lt;=0),"Menge pro Gebinde fehlt (Ist = 1 Gebinde); ","")&amp;BV1521)</f>
        <v>Kein Verbrauch; nur im Artikelstamm (Bestand 23.06.2026)</v>
      </c>
      <c r="BO1521" s="60"/>
      <c r="BP1521" s="60"/>
      <c r="BQ1521" s="67"/>
      <c r="BR1521" s="62" t="n">
        <v>1</v>
      </c>
      <c r="BS1521" s="62" t="n">
        <v>0</v>
      </c>
      <c r="BT1521" s="61" t="n">
        <v>0</v>
      </c>
      <c r="BU1521" s="62" t="n">
        <v>0</v>
      </c>
      <c r="BV1521" s="60" t="s">
        <v>2617</v>
      </c>
      <c r="BW1521" s="65" t="n">
        <v>0</v>
      </c>
      <c r="BX1521" s="65" t="n">
        <v>1521</v>
      </c>
      <c r="BY1521" s="60" t="str">
        <f aca="false">IF(U1521&lt;&gt;"",UPPER(TRIM(U1521)),IF(CB1521=1,UPPER(VLOOKUP(T1521,Parameter!$I$27:$K$29,2,0)),IF(P1521="","LOSE",P1521)))</f>
        <v>S52</v>
      </c>
      <c r="BZ1521" s="62" t="n">
        <f aca="false">IF(BY1521="LOSE",1,IF(N(V1521)&gt;0,V1521,IF(CB1521=1,MAX(1,N(VLOOKUP(T1521,Parameter!$I$27:$K$29,3,0)),H1521,N(N1521)),IF(N(Q1521)&gt;0,Q1521,MAX(1,H1521)))))</f>
        <v>1</v>
      </c>
      <c r="CA1521" s="65" t="n">
        <f aca="false">IF(BY1521="LOSE",1,0)</f>
        <v>0</v>
      </c>
      <c r="CB1521" s="65" t="n">
        <f aca="false">IF(AND(U1521="",OR(P1521="",P1521="LOSE"),T1521&lt;&gt;"",N(S1521)&lt;=0,ISNUMBER(MATCH(T1521,Parameter!$I$27:$I$29,0))),1,0)</f>
        <v>0</v>
      </c>
      <c r="CC1521" s="65" t="n">
        <f aca="false">IF(CR1521&gt;0,INDEX(Parameter!$H$5:$H$7,W1521)/INDEX(Parameter!$E$5:$E$7,W1521),IF(AND(CA1521=0,N(IFERROR(VLOOKUP(BY1521,'Gebinde-Kategorie'!$A$5:$N$45,14,0),0))&gt;0),VLOOKUP(BY1521,'Gebinde-Kategorie'!$A$5:$N$45,14,0)*10+Parameter!$M$23,Parameter!$M$24))</f>
        <v>245</v>
      </c>
      <c r="CD1521" s="60" t="str">
        <f aca="false">IF(AND(Parameter!$B$19="Ja",E1521&lt;&gt;"",ISNUMBER(MATCH(E1521,Parameter!$I$35:$I$52,0))),VLOOKUP(E1521,Parameter!$I$35:$J$52,2,0),IFERROR(VLOOKUP(D1521,Parameter!$A$35:$C$64,2,0),"Nein"))</f>
        <v>2+3</v>
      </c>
      <c r="CE1521" s="64" t="n">
        <f aca="false">IF(CA1521=0,0,IF(N(S1521)&gt;0,S1521,IFERROR(VLOOKUP(D1521,Parameter!$A$35:$C$64,3,0)+0,0)))</f>
        <v>0</v>
      </c>
      <c r="CF1521" s="60" t="n">
        <f aca="false">IF(AB1521&lt;&gt;"",AB1521,AA1521)</f>
        <v>3</v>
      </c>
      <c r="CG1521" s="60" t="str">
        <f aca="false">IF(OR(CF1521=1,CF1521=2,CF1521=3),IF(Parameter!$E$27="Ja","LIFT",IF(CF1521=1,"L1","L23")),IF(CF1521="Aussen","Aussen","-"))</f>
        <v>LIFT</v>
      </c>
      <c r="CH1521" s="71" t="n">
        <f aca="false">IF(N(AC1521)&gt;0,AC1521,0)</f>
        <v>0</v>
      </c>
      <c r="CI1521" s="65" t="n">
        <f aca="false">IF(ISNUMBER(AF1521),1,0)</f>
        <v>0</v>
      </c>
      <c r="CJ1521" s="62" t="n">
        <f aca="false">N(AF1521)</f>
        <v>0</v>
      </c>
      <c r="CK1521" s="62" t="n">
        <f aca="false">N(M1521)+N(N1521)</f>
        <v>1</v>
      </c>
      <c r="CL1521" s="62" t="n">
        <f aca="false">N(M1521)</f>
        <v>0</v>
      </c>
      <c r="CM1521" s="62" t="n">
        <f aca="false">N(N1521)</f>
        <v>1</v>
      </c>
      <c r="CN1521" s="62" t="n">
        <f aca="false">ROUNDUP(H1521/BZ1521,0)</f>
        <v>1</v>
      </c>
      <c r="CO1521" s="62" t="n">
        <f aca="false">ROUNDUP(CJ1521/BZ1521,0)</f>
        <v>0</v>
      </c>
      <c r="CP1521" s="65" t="n">
        <f aca="false">IF(CA1521=1,0,IFERROR(VLOOKUP(BY1521,'Gebinde-Kategorie'!$A$5:$N$45,5,0)+0,0))</f>
        <v>21</v>
      </c>
      <c r="CQ1521" s="65" t="n">
        <f aca="false">IFERROR(IF(OR(CF1521=1,CF1521=2,CF1521=3),N(INDEX(Parameter!$I$5:$I$7,CF1521)),0),0)</f>
        <v>0</v>
      </c>
      <c r="CR1521" s="64" t="n">
        <f aca="false">IF(AND(Parameter!$B$21="Ja",ISNUMBER(W1521),N(X1521)&gt;0),IFERROR(N(INDEX(Parameter!$L$5:$L$7,W1521))*INDEX(Parameter!$E$5:$E$7,W1521)*X1521/SUMIFS($X$7:$X$1843,$W$7:$W$1843,W1521),0),0)</f>
        <v>0</v>
      </c>
      <c r="CS1521" s="62" t="n">
        <f aca="false">IF(AND(OR(CG1521="L1",CG1521="L23",CG1521="LIFT"),H1521&gt;0),CC1521*IF(CR1521&gt;0,CR1521*MAX(1,H1521/X1521),IF(CA1521=1,CE1521,IF(R1521&gt;0,CN1521/R1521,0))/MAX(0.1,N(Parameter!$M$21))),"")</f>
        <v>9.42307692307692</v>
      </c>
      <c r="CT1521" s="64" t="n">
        <f aca="false">IF(CS1521="","",J1521/H1521)</f>
        <v>0</v>
      </c>
      <c r="CU1521" s="62" t="n">
        <f aca="false">IF(CS1521="","",H1521*G1521)</f>
        <v>1618</v>
      </c>
      <c r="CV1521" s="63" t="n">
        <f aca="false">IF(CS1521="","",(CL1521+ROUNDUP(CL1521+MAX(CM1521,2*(J1521/MAX(0.1,N(Einkauf!$C$6))-CL1521)),0))/2)</f>
        <v>0.5</v>
      </c>
      <c r="CW1521" s="62" t="n">
        <f aca="false">IF(CS1521="","",MAX(0,H1521-CV1521)*G1521)</f>
        <v>809</v>
      </c>
      <c r="CX1521" s="62" t="n">
        <f aca="false">IF(CS1521="","",CS1521*MAX(0,1-CV1521/H1521))</f>
        <v>4.71153846153846</v>
      </c>
      <c r="CY1521" s="64" t="n">
        <f aca="false">IF(CS1521="","",PERCENTRANK($CS$7:$CS$1843,CS1521)+PERCENTRANK($CU$7:$CU$1843,CU1521)+1-PERCENTRANK($CT$7:$CT$1843,CT1521))</f>
        <v>2.307</v>
      </c>
      <c r="CZ1521" s="72" t="n">
        <f aca="false">IF(CS1521="","",CHOOSE(MATCH(Einkauf!$C$5,Parameter!$G$23:$G$27,0),CY1521,CS1521,CU1521,-CT1521,CW1521)+ROW()/1000000000)</f>
        <v>2.307001521</v>
      </c>
    </row>
    <row r="1522" customFormat="false" ht="15" hidden="false" customHeight="false" outlineLevel="0" collapsed="false">
      <c r="A1522" s="60" t="s">
        <v>2704</v>
      </c>
      <c r="B1522" s="60" t="s">
        <v>2705</v>
      </c>
      <c r="C1522" s="60" t="s">
        <v>209</v>
      </c>
      <c r="D1522" s="60" t="s">
        <v>215</v>
      </c>
      <c r="E1522" s="60" t="s">
        <v>227</v>
      </c>
      <c r="F1522" s="60"/>
      <c r="G1522" s="61" t="n">
        <v>1618</v>
      </c>
      <c r="H1522" s="62" t="n">
        <f aca="false">MAX(0,IF(AND(Parameter!$B$21="Ja",ISNUMBER(Y1522)),Y1522,IF(Parameter!$B$20="Jahresanfang 2025 + Export",BS1522+BR1522,BR1522)))</f>
        <v>2</v>
      </c>
      <c r="I1522" s="62" t="n">
        <f aca="false">H1522*G1522</f>
        <v>3236</v>
      </c>
      <c r="J1522" s="62" t="n">
        <f aca="false">BU1522*Parameter!$B$18</f>
        <v>0</v>
      </c>
      <c r="K1522" s="63"/>
      <c r="L1522" s="64"/>
      <c r="M1522" s="62" t="n">
        <v>0</v>
      </c>
      <c r="N1522" s="62" t="n">
        <v>1</v>
      </c>
      <c r="O1522" s="65" t="n">
        <v>35</v>
      </c>
      <c r="P1522" s="60" t="s">
        <v>275</v>
      </c>
      <c r="Q1522" s="62" t="n">
        <v>2</v>
      </c>
      <c r="R1522" s="65" t="n">
        <f aca="false">IF(CA1522=1,0,IFERROR(VLOOKUP(BY1522,'Gebinde-Kategorie'!$A$5:$N$45,13,0)+0,0))</f>
        <v>26</v>
      </c>
      <c r="S1522" s="66"/>
      <c r="T1522" s="67"/>
      <c r="U1522" s="67"/>
      <c r="V1522" s="67"/>
      <c r="W1522" s="60"/>
      <c r="X1522" s="62"/>
      <c r="Y1522" s="62"/>
      <c r="Z1522" s="60" t="n">
        <v>3</v>
      </c>
      <c r="AA1522" s="60" t="n">
        <f aca="false">IF(A1522="","",IF(AND(Parameter!$B$21="Ja",ISNUMBER(W1522)),W1522,IF(AND(Parameter!$E$27="Ja",ISNUMBER(Z1522),CD1522&lt;&gt;"Nein"),Z1522,IF(CD1522="2+3",IF(ISNUMBER(SEARCH("grosser Artikel",BV1522)),2,IFERROR(VLOOKUP(BY1522,Parameter!$F$35:$G$64,2,0),2)),IF(OR(CD1522="Nein",CD1522=""),"-",CD1522)))))</f>
        <v>3</v>
      </c>
      <c r="AB1522" s="67"/>
      <c r="AC1522" s="68"/>
      <c r="AD1522" s="62" t="n">
        <f aca="false">AW1522</f>
        <v>1</v>
      </c>
      <c r="AE1522" s="62" t="n">
        <f aca="false">MAX(AW1522,H1522)</f>
        <v>2</v>
      </c>
      <c r="AF1522" s="69"/>
      <c r="AG1522" s="62" t="n">
        <f aca="false">IF(LEFT(Cockpit!$C$5,1)="A",H1522,IF(Parameter!$E$30="MAX-Bestand",IF(CI1522=1,CJ1522,IF(LEFT(Cockpit!$C$5,1)="B",AM1522,MAX(AM1522,H1522))),ROUNDUP(AK1522,0)))</f>
        <v>2</v>
      </c>
      <c r="AH1522" s="62" t="n">
        <f aca="false">IF(CA1522=1,0,ROUNDUP(AG1522/BZ1522,0))</f>
        <v>1</v>
      </c>
      <c r="AI1522" s="64" t="n">
        <f aca="false">IF(CR1522&gt;0,CR1522*MAX(1,AG1522/X1522),IF(CA1522=1,IF(AG1522&lt;=0,0,CE1522*MAX(1,IF(H1522&gt;0,AG1522/H1522,1))),IF(R1522&gt;0,AH1522/R1522,0))/MAX(0.1,N(Parameter!$M$21)))</f>
        <v>0.0384615384615385</v>
      </c>
      <c r="AJ1522" s="62" t="n">
        <f aca="false">AI1522*CC1522</f>
        <v>9.42307692307692</v>
      </c>
      <c r="AK1522" s="63" t="n">
        <f aca="false">IF(LEFT(Cockpit!$C$5,1)="A",H1522,IF(CI1522=1,(CL1522+CJ1522)/2,IF(LEFT(Cockpit!$C$5,1)="B",(CL1522+AM1522)/2,MAX((CL1522+AM1522)/2,H1522))))</f>
        <v>2</v>
      </c>
      <c r="AL1522" s="62" t="n">
        <f aca="false">AK1522*G1522</f>
        <v>3236</v>
      </c>
      <c r="AM1522" s="62" t="n">
        <f aca="false">ROUNDUP(CL1522+MAX(CM1522,2*(J1522/IF(CH1522&gt;0,CH1522,MAX(0.1,N(Cockpit!$C$6)))-CL1522)),0)</f>
        <v>1</v>
      </c>
      <c r="AN1522" s="63" t="n">
        <f aca="false">IF(AJ1522&gt;0,J1522/AJ1522,-1)</f>
        <v>0</v>
      </c>
      <c r="AO1522" s="63" t="n">
        <f aca="false">IF(AND(OR(CG1522="L1",CG1522="L23",CG1522="LIFT"),AJ1522&gt;0),SUMIFS($AJ$7:$AJ$1843,$CG$7:$CG$1843,CG1522,$AN$7:$AN$1843,"&gt;"&amp;AN1522)+SUMIFS($AJ$7:$AJ$1843,$CG$7:$CG$1843,CG1522,$AN$7:$AN$1843,AN1522,$BX$7:$BX$1843,"&lt;="&amp;BX1522),"")</f>
        <v>30020.4888661245</v>
      </c>
      <c r="AP1522" s="70" t="n">
        <f aca="false">IF(AO1522="",0,MAX(0,MIN(1,(IF(CG1522="L1",Parameter!$H$5,IF(CG1522="L23",Parameter!$H$6+Parameter!$H$7,Parameter!$H$5+Parameter!$H$6+Parameter!$H$7))-(AO1522-AJ1522))/AJ1522)))</f>
        <v>1</v>
      </c>
      <c r="AQ1522" s="62" t="n">
        <f aca="false">IF(LEFT(Cockpit!$I$5,1)="A",H1522,IF(Parameter!$E$30="MAX-Bestand",IF(CI1522=1,CJ1522,IF(LEFT(Cockpit!$I$5,1)="B",AW1522,MAX(AW1522,H1522))),ROUNDUP(AU1522,0)))</f>
        <v>2</v>
      </c>
      <c r="AR1522" s="62" t="n">
        <f aca="false">IF(CA1522=1,0,ROUNDUP(AQ1522/BZ1522,0))</f>
        <v>1</v>
      </c>
      <c r="AS1522" s="64" t="n">
        <f aca="false">IF(CR1522&gt;0,CR1522*MAX(1,AQ1522/X1522),IF(CA1522=1,IF(AQ1522&lt;=0,0,CE1522*MAX(1,IF(H1522&gt;0,AQ1522/H1522,1))),IF(R1522&gt;0,AR1522/R1522,0))/MAX(0.1,N(Parameter!$M$21)))</f>
        <v>0.0384615384615385</v>
      </c>
      <c r="AT1522" s="62" t="n">
        <f aca="false">AS1522*CC1522</f>
        <v>9.42307692307692</v>
      </c>
      <c r="AU1522" s="63" t="n">
        <f aca="false">IF(LEFT(Cockpit!$I$5,1)="A",H1522,IF(CI1522=1,(CL1522+CJ1522)/2,IF(LEFT(Cockpit!$I$5,1)="B",(CL1522+AW1522)/2,MAX((CL1522+AW1522)/2,H1522))))</f>
        <v>2</v>
      </c>
      <c r="AV1522" s="62" t="n">
        <f aca="false">AU1522*G1522</f>
        <v>3236</v>
      </c>
      <c r="AW1522" s="62" t="n">
        <f aca="false">ROUNDUP(CL1522+MAX(CM1522,2*(J1522/IF(CH1522&gt;0,CH1522,MAX(0.1,N(Cockpit!$I$6)))-CL1522)),0)</f>
        <v>1</v>
      </c>
      <c r="AX1522" s="63" t="n">
        <f aca="false">IF(AT1522&gt;0,J1522/AT1522,-1)</f>
        <v>0</v>
      </c>
      <c r="AY1522" s="63" t="n">
        <f aca="false">IF(AND(OR(CG1522="L1",CG1522="L23",CG1522="LIFT"),AT1522&gt;0),SUMIFS($AT$7:$AT$1843,$CG$7:$CG$1843,CG1522,$AX$7:$AX$1843,"&gt;"&amp;AX1522)+SUMIFS($AT$7:$AT$1843,$CG$7:$CG$1843,CG1522,$AX$7:$AX$1843,AX1522,$BX$7:$BX$1843,"&lt;="&amp;BX1522),"")</f>
        <v>36340.3453829598</v>
      </c>
      <c r="AZ1522" s="70" t="n">
        <f aca="false">IF(AY1522="",0,MAX(0,MIN(1,(IF(CG1522="L1",Parameter!$H$5,IF(CG1522="L23",Parameter!$H$6+Parameter!$H$7,Parameter!$H$5+Parameter!$H$6+Parameter!$H$7))-(AY1522-AT1522))/AT1522)))</f>
        <v>0</v>
      </c>
      <c r="BA1522" s="62" t="n">
        <f aca="false">IF(LEFT(Cockpit!$O$5,1)="A",H1522,IF(Parameter!$E$30="MAX-Bestand",IF(CI1522=1,CJ1522,IF(LEFT(Cockpit!$O$5,1)="B",BG1522,MAX(BG1522,H1522))),ROUNDUP(BE1522,0)))</f>
        <v>1</v>
      </c>
      <c r="BB1522" s="62" t="n">
        <f aca="false">IF(CA1522=1,0,ROUNDUP(BA1522/BZ1522,0))</f>
        <v>1</v>
      </c>
      <c r="BC1522" s="64" t="n">
        <f aca="false">IF(CR1522&gt;0,CR1522*MAX(1,BA1522/X1522),IF(CA1522=1,IF(BA1522&lt;=0,0,CE1522*MAX(1,IF(H1522&gt;0,BA1522/H1522,1))),IF(R1522&gt;0,BB1522/R1522,0))/MAX(0.1,N(Parameter!$M$21)))</f>
        <v>0.0384615384615385</v>
      </c>
      <c r="BD1522" s="62" t="n">
        <f aca="false">BC1522*CC1522</f>
        <v>9.42307692307692</v>
      </c>
      <c r="BE1522" s="63" t="n">
        <f aca="false">IF(LEFT(Cockpit!$O$5,1)="A",H1522,IF(CI1522=1,(CL1522+CJ1522)/2,IF(LEFT(Cockpit!$O$5,1)="B",(CL1522+BG1522)/2,MAX((CL1522+BG1522)/2,H1522))))</f>
        <v>0.5</v>
      </c>
      <c r="BF1522" s="62" t="n">
        <f aca="false">BE1522*G1522</f>
        <v>809</v>
      </c>
      <c r="BG1522" s="62" t="n">
        <f aca="false">ROUNDUP(CL1522+MAX(CM1522,2*(J1522/IF(CH1522&gt;0,CH1522,MAX(0.1,N(Cockpit!$O$6)))-CL1522)),0)</f>
        <v>1</v>
      </c>
      <c r="BH1522" s="63" t="n">
        <f aca="false">IF(BD1522&gt;0,J1522/BD1522,-1)</f>
        <v>0</v>
      </c>
      <c r="BI1522" s="63" t="n">
        <f aca="false">IF(AND(OR(CG1522="L1",CG1522="L23",CG1522="LIFT"),BD1522&gt;0),SUMIFS($BD$7:$BD$1843,$CG$7:$CG$1843,CG1522,$BH$7:$BH$1843,"&gt;"&amp;BH1522)+SUMIFS($BD$7:$BD$1843,$CG$7:$CG$1843,CG1522,$BH$7:$BH$1843,BH1522,$BX$7:$BX$1843,"&lt;="&amp;BX1522),"")</f>
        <v>30278.5366584922</v>
      </c>
      <c r="BJ1522" s="70" t="n">
        <f aca="false">IF(BI1522="",0,MAX(0,MIN(1,(IF(CG1522="L1",Parameter!$H$5,IF(CG1522="L23",Parameter!$H$6+Parameter!$H$7,Parameter!$H$5+Parameter!$H$6+Parameter!$H$7))-(BI1522-BD1522))/BD1522)))</f>
        <v>1</v>
      </c>
      <c r="BK1522" s="60" t="str">
        <f aca="false">IF(AJ1522&lt;=0,"",IF(CG1522="Aussen","Aussenlager",IF(CG1522="-","Nicht im Lift",IF(AP1522&gt;=1,"Lift",IF(AP1522&lt;=0,"Aussenlager","teilweise")))))</f>
        <v>Lift</v>
      </c>
      <c r="BL1522" s="60" t="str">
        <f aca="false">IF(AT1522&lt;=0,"",IF(CG1522="Aussen","Aussenlager",IF(CG1522="-","Nicht im Lift",IF(AZ1522&gt;=1,"Lift",IF(AZ1522&lt;=0,"Aussenlager","teilweise")))))</f>
        <v>Aussenlager</v>
      </c>
      <c r="BM1522" s="60" t="str">
        <f aca="false">IF(BD1522&lt;=0,"",IF(CG1522="Aussen","Aussenlager",IF(CG1522="-","Nicht im Lift",IF(BJ1522&gt;=1,"Lift",IF(BJ1522&lt;=0,"Aussenlager","teilweise")))))</f>
        <v>Lift</v>
      </c>
      <c r="BN1522" s="60" t="str">
        <f aca="false">IF(A1522="","",IF(BW1522=1,"Neu; ","")&amp;IF(AND(BW1522=0,BR1522&lt;0),"negativer Bestand (Export "&amp;BR1522&amp;"); ","")&amp;IF(J1522&lt;=0,"Kein Verbrauch; ","")&amp;IF(CR1522&gt;0,"Lift "&amp;W1522&amp;" lt. Liftbericht (Fach "&amp;X1522&amp;" Stk); ",IF(CB1522=1,"Gebinde geschätzt ("&amp;T1522&amp;"); ",IF(CA1522=1,"Lose – Tablare geschätzt; ","")))&amp;IF(H1522&gt;AW1522,"Überbestand "&amp;ROUND(H1522-AW1522,0)&amp;" Stk / CHF "&amp;ROUND((H1522-AW1522)*G1522,0)&amp;"; ","")&amp;IF(AND(CI1522=1,CJ1522&lt;CK1522),"MAX &lt; MB+LG; ","")&amp;IF(AND(CQ1522&gt;0,CP1522*10&gt;CQ1522),"zu hoch für Tablar; ","")&amp;IF(AND(BW1522=0,OR(CI1522=1,AB1522&lt;&gt;"",U1522&lt;&gt;"",V1522&lt;&gt;"",AC1522&lt;&gt;"")),"manuell übersteuert; ","")&amp;IF(AND(CA1522=0,R1522=0),"Gebinde unbekannt / Stellmass fehlt; ","")&amp;IF(AND(CA1522=0,N(V1522)&lt;=0,N(Q1522)&lt;=0),"Menge pro Gebinde fehlt (Ist = 1 Gebinde); ","")&amp;BV1522)</f>
        <v>Kein Verbrauch; Überbestand 1 Stk / CHF 1618; nur im Artikelstamm (Bestand 23.06.2026)</v>
      </c>
      <c r="BO1522" s="60"/>
      <c r="BP1522" s="60"/>
      <c r="BQ1522" s="67"/>
      <c r="BR1522" s="62" t="n">
        <v>2</v>
      </c>
      <c r="BS1522" s="62" t="n">
        <v>0</v>
      </c>
      <c r="BT1522" s="61" t="n">
        <v>0</v>
      </c>
      <c r="BU1522" s="62" t="n">
        <v>0</v>
      </c>
      <c r="BV1522" s="60" t="s">
        <v>2617</v>
      </c>
      <c r="BW1522" s="65" t="n">
        <v>0</v>
      </c>
      <c r="BX1522" s="65" t="n">
        <v>1522</v>
      </c>
      <c r="BY1522" s="60" t="str">
        <f aca="false">IF(U1522&lt;&gt;"",UPPER(TRIM(U1522)),IF(CB1522=1,UPPER(VLOOKUP(T1522,Parameter!$I$27:$K$29,2,0)),IF(P1522="","LOSE",P1522)))</f>
        <v>S52</v>
      </c>
      <c r="BZ1522" s="62" t="n">
        <f aca="false">IF(BY1522="LOSE",1,IF(N(V1522)&gt;0,V1522,IF(CB1522=1,MAX(1,N(VLOOKUP(T1522,Parameter!$I$27:$K$29,3,0)),H1522,N(N1522)),IF(N(Q1522)&gt;0,Q1522,MAX(1,H1522)))))</f>
        <v>2</v>
      </c>
      <c r="CA1522" s="65" t="n">
        <f aca="false">IF(BY1522="LOSE",1,0)</f>
        <v>0</v>
      </c>
      <c r="CB1522" s="65" t="n">
        <f aca="false">IF(AND(U1522="",OR(P1522="",P1522="LOSE"),T1522&lt;&gt;"",N(S1522)&lt;=0,ISNUMBER(MATCH(T1522,Parameter!$I$27:$I$29,0))),1,0)</f>
        <v>0</v>
      </c>
      <c r="CC1522" s="65" t="n">
        <f aca="false">IF(CR1522&gt;0,INDEX(Parameter!$H$5:$H$7,W1522)/INDEX(Parameter!$E$5:$E$7,W1522),IF(AND(CA1522=0,N(IFERROR(VLOOKUP(BY1522,'Gebinde-Kategorie'!$A$5:$N$45,14,0),0))&gt;0),VLOOKUP(BY1522,'Gebinde-Kategorie'!$A$5:$N$45,14,0)*10+Parameter!$M$23,Parameter!$M$24))</f>
        <v>245</v>
      </c>
      <c r="CD1522" s="60" t="str">
        <f aca="false">IF(AND(Parameter!$B$19="Ja",E1522&lt;&gt;"",ISNUMBER(MATCH(E1522,Parameter!$I$35:$I$52,0))),VLOOKUP(E1522,Parameter!$I$35:$J$52,2,0),IFERROR(VLOOKUP(D1522,Parameter!$A$35:$C$64,2,0),"Nein"))</f>
        <v>2+3</v>
      </c>
      <c r="CE1522" s="64" t="n">
        <f aca="false">IF(CA1522=0,0,IF(N(S1522)&gt;0,S1522,IFERROR(VLOOKUP(D1522,Parameter!$A$35:$C$64,3,0)+0,0)))</f>
        <v>0</v>
      </c>
      <c r="CF1522" s="60" t="n">
        <f aca="false">IF(AB1522&lt;&gt;"",AB1522,AA1522)</f>
        <v>3</v>
      </c>
      <c r="CG1522" s="60" t="str">
        <f aca="false">IF(OR(CF1522=1,CF1522=2,CF1522=3),IF(Parameter!$E$27="Ja","LIFT",IF(CF1522=1,"L1","L23")),IF(CF1522="Aussen","Aussen","-"))</f>
        <v>LIFT</v>
      </c>
      <c r="CH1522" s="71" t="n">
        <f aca="false">IF(N(AC1522)&gt;0,AC1522,0)</f>
        <v>0</v>
      </c>
      <c r="CI1522" s="65" t="n">
        <f aca="false">IF(ISNUMBER(AF1522),1,0)</f>
        <v>0</v>
      </c>
      <c r="CJ1522" s="62" t="n">
        <f aca="false">N(AF1522)</f>
        <v>0</v>
      </c>
      <c r="CK1522" s="62" t="n">
        <f aca="false">N(M1522)+N(N1522)</f>
        <v>1</v>
      </c>
      <c r="CL1522" s="62" t="n">
        <f aca="false">N(M1522)</f>
        <v>0</v>
      </c>
      <c r="CM1522" s="62" t="n">
        <f aca="false">N(N1522)</f>
        <v>1</v>
      </c>
      <c r="CN1522" s="62" t="n">
        <f aca="false">ROUNDUP(H1522/BZ1522,0)</f>
        <v>1</v>
      </c>
      <c r="CO1522" s="62" t="n">
        <f aca="false">ROUNDUP(CJ1522/BZ1522,0)</f>
        <v>0</v>
      </c>
      <c r="CP1522" s="65" t="n">
        <f aca="false">IF(CA1522=1,0,IFERROR(VLOOKUP(BY1522,'Gebinde-Kategorie'!$A$5:$N$45,5,0)+0,0))</f>
        <v>21</v>
      </c>
      <c r="CQ1522" s="65" t="n">
        <f aca="false">IFERROR(IF(OR(CF1522=1,CF1522=2,CF1522=3),N(INDEX(Parameter!$I$5:$I$7,CF1522)),0),0)</f>
        <v>0</v>
      </c>
      <c r="CR1522" s="64" t="n">
        <f aca="false">IF(AND(Parameter!$B$21="Ja",ISNUMBER(W1522),N(X1522)&gt;0),IFERROR(N(INDEX(Parameter!$L$5:$L$7,W1522))*INDEX(Parameter!$E$5:$E$7,W1522)*X1522/SUMIFS($X$7:$X$1843,$W$7:$W$1843,W1522),0),0)</f>
        <v>0</v>
      </c>
      <c r="CS1522" s="62" t="n">
        <f aca="false">IF(AND(OR(CG1522="L1",CG1522="L23",CG1522="LIFT"),H1522&gt;0),CC1522*IF(CR1522&gt;0,CR1522*MAX(1,H1522/X1522),IF(CA1522=1,CE1522,IF(R1522&gt;0,CN1522/R1522,0))/MAX(0.1,N(Parameter!$M$21))),"")</f>
        <v>9.42307692307692</v>
      </c>
      <c r="CT1522" s="64" t="n">
        <f aca="false">IF(CS1522="","",J1522/H1522)</f>
        <v>0</v>
      </c>
      <c r="CU1522" s="62" t="n">
        <f aca="false">IF(CS1522="","",H1522*G1522)</f>
        <v>3236</v>
      </c>
      <c r="CV1522" s="63" t="n">
        <f aca="false">IF(CS1522="","",(CL1522+ROUNDUP(CL1522+MAX(CM1522,2*(J1522/MAX(0.1,N(Einkauf!$C$6))-CL1522)),0))/2)</f>
        <v>0.5</v>
      </c>
      <c r="CW1522" s="62" t="n">
        <f aca="false">IF(CS1522="","",MAX(0,H1522-CV1522)*G1522)</f>
        <v>2427</v>
      </c>
      <c r="CX1522" s="62" t="n">
        <f aca="false">IF(CS1522="","",CS1522*MAX(0,1-CV1522/H1522))</f>
        <v>7.06730769230769</v>
      </c>
      <c r="CY1522" s="64" t="n">
        <f aca="false">IF(CS1522="","",PERCENTRANK($CS$7:$CS$1843,CS1522)+PERCENTRANK($CU$7:$CU$1843,CU1522)+1-PERCENTRANK($CT$7:$CT$1843,CT1522))</f>
        <v>2.42</v>
      </c>
      <c r="CZ1522" s="72" t="n">
        <f aca="false">IF(CS1522="","",CHOOSE(MATCH(Einkauf!$C$5,Parameter!$G$23:$G$27,0),CY1522,CS1522,CU1522,-CT1522,CW1522)+ROW()/1000000000)</f>
        <v>2.420001522</v>
      </c>
    </row>
    <row r="1523" customFormat="false" ht="15" hidden="false" customHeight="false" outlineLevel="0" collapsed="false">
      <c r="A1523" s="60" t="s">
        <v>2706</v>
      </c>
      <c r="B1523" s="60" t="s">
        <v>2360</v>
      </c>
      <c r="C1523" s="60" t="s">
        <v>209</v>
      </c>
      <c r="D1523" s="60" t="s">
        <v>215</v>
      </c>
      <c r="E1523" s="60" t="s">
        <v>227</v>
      </c>
      <c r="F1523" s="60"/>
      <c r="G1523" s="61" t="n">
        <v>1134</v>
      </c>
      <c r="H1523" s="62" t="n">
        <f aca="false">MAX(0,IF(AND(Parameter!$B$21="Ja",ISNUMBER(Y1523)),Y1523,IF(Parameter!$B$20="Jahresanfang 2025 + Export",BS1523+BR1523,BR1523)))</f>
        <v>3</v>
      </c>
      <c r="I1523" s="62" t="n">
        <f aca="false">H1523*G1523</f>
        <v>3402</v>
      </c>
      <c r="J1523" s="62" t="n">
        <f aca="false">BU1523*Parameter!$B$18</f>
        <v>0</v>
      </c>
      <c r="K1523" s="63"/>
      <c r="L1523" s="64"/>
      <c r="M1523" s="62" t="n">
        <v>0</v>
      </c>
      <c r="N1523" s="62" t="n">
        <v>1</v>
      </c>
      <c r="O1523" s="65" t="n">
        <v>35</v>
      </c>
      <c r="P1523" s="60" t="s">
        <v>275</v>
      </c>
      <c r="Q1523" s="62" t="n">
        <v>3</v>
      </c>
      <c r="R1523" s="65" t="n">
        <f aca="false">IF(CA1523=1,0,IFERROR(VLOOKUP(BY1523,'Gebinde-Kategorie'!$A$5:$N$45,13,0)+0,0))</f>
        <v>26</v>
      </c>
      <c r="S1523" s="66"/>
      <c r="T1523" s="67"/>
      <c r="U1523" s="67"/>
      <c r="V1523" s="67"/>
      <c r="W1523" s="60"/>
      <c r="X1523" s="62"/>
      <c r="Y1523" s="62"/>
      <c r="Z1523" s="60" t="n">
        <v>3</v>
      </c>
      <c r="AA1523" s="60" t="n">
        <f aca="false">IF(A1523="","",IF(AND(Parameter!$B$21="Ja",ISNUMBER(W1523)),W1523,IF(AND(Parameter!$E$27="Ja",ISNUMBER(Z1523),CD1523&lt;&gt;"Nein"),Z1523,IF(CD1523="2+3",IF(ISNUMBER(SEARCH("grosser Artikel",BV1523)),2,IFERROR(VLOOKUP(BY1523,Parameter!$F$35:$G$64,2,0),2)),IF(OR(CD1523="Nein",CD1523=""),"-",CD1523)))))</f>
        <v>3</v>
      </c>
      <c r="AB1523" s="67"/>
      <c r="AC1523" s="68"/>
      <c r="AD1523" s="62" t="n">
        <f aca="false">AW1523</f>
        <v>1</v>
      </c>
      <c r="AE1523" s="62" t="n">
        <f aca="false">MAX(AW1523,H1523)</f>
        <v>3</v>
      </c>
      <c r="AF1523" s="69"/>
      <c r="AG1523" s="62" t="n">
        <f aca="false">IF(LEFT(Cockpit!$C$5,1)="A",H1523,IF(Parameter!$E$30="MAX-Bestand",IF(CI1523=1,CJ1523,IF(LEFT(Cockpit!$C$5,1)="B",AM1523,MAX(AM1523,H1523))),ROUNDUP(AK1523,0)))</f>
        <v>3</v>
      </c>
      <c r="AH1523" s="62" t="n">
        <f aca="false">IF(CA1523=1,0,ROUNDUP(AG1523/BZ1523,0))</f>
        <v>1</v>
      </c>
      <c r="AI1523" s="64" t="n">
        <f aca="false">IF(CR1523&gt;0,CR1523*MAX(1,AG1523/X1523),IF(CA1523=1,IF(AG1523&lt;=0,0,CE1523*MAX(1,IF(H1523&gt;0,AG1523/H1523,1))),IF(R1523&gt;0,AH1523/R1523,0))/MAX(0.1,N(Parameter!$M$21)))</f>
        <v>0.0384615384615385</v>
      </c>
      <c r="AJ1523" s="62" t="n">
        <f aca="false">AI1523*CC1523</f>
        <v>9.42307692307692</v>
      </c>
      <c r="AK1523" s="63" t="n">
        <f aca="false">IF(LEFT(Cockpit!$C$5,1)="A",H1523,IF(CI1523=1,(CL1523+CJ1523)/2,IF(LEFT(Cockpit!$C$5,1)="B",(CL1523+AM1523)/2,MAX((CL1523+AM1523)/2,H1523))))</f>
        <v>3</v>
      </c>
      <c r="AL1523" s="62" t="n">
        <f aca="false">AK1523*G1523</f>
        <v>3402</v>
      </c>
      <c r="AM1523" s="62" t="n">
        <f aca="false">ROUNDUP(CL1523+MAX(CM1523,2*(J1523/IF(CH1523&gt;0,CH1523,MAX(0.1,N(Cockpit!$C$6)))-CL1523)),0)</f>
        <v>1</v>
      </c>
      <c r="AN1523" s="63" t="n">
        <f aca="false">IF(AJ1523&gt;0,J1523/AJ1523,-1)</f>
        <v>0</v>
      </c>
      <c r="AO1523" s="63" t="n">
        <f aca="false">IF(AND(OR(CG1523="L1",CG1523="L23",CG1523="LIFT"),AJ1523&gt;0),SUMIFS($AJ$7:$AJ$1843,$CG$7:$CG$1843,CG1523,$AN$7:$AN$1843,"&gt;"&amp;AN1523)+SUMIFS($AJ$7:$AJ$1843,$CG$7:$CG$1843,CG1523,$AN$7:$AN$1843,AN1523,$BX$7:$BX$1843,"&lt;="&amp;BX1523),"")</f>
        <v>30029.9119430475</v>
      </c>
      <c r="AP1523" s="70" t="n">
        <f aca="false">IF(AO1523="",0,MAX(0,MIN(1,(IF(CG1523="L1",Parameter!$H$5,IF(CG1523="L23",Parameter!$H$6+Parameter!$H$7,Parameter!$H$5+Parameter!$H$6+Parameter!$H$7))-(AO1523-AJ1523))/AJ1523)))</f>
        <v>1</v>
      </c>
      <c r="AQ1523" s="62" t="n">
        <f aca="false">IF(LEFT(Cockpit!$I$5,1)="A",H1523,IF(Parameter!$E$30="MAX-Bestand",IF(CI1523=1,CJ1523,IF(LEFT(Cockpit!$I$5,1)="B",AW1523,MAX(AW1523,H1523))),ROUNDUP(AU1523,0)))</f>
        <v>3</v>
      </c>
      <c r="AR1523" s="62" t="n">
        <f aca="false">IF(CA1523=1,0,ROUNDUP(AQ1523/BZ1523,0))</f>
        <v>1</v>
      </c>
      <c r="AS1523" s="64" t="n">
        <f aca="false">IF(CR1523&gt;0,CR1523*MAX(1,AQ1523/X1523),IF(CA1523=1,IF(AQ1523&lt;=0,0,CE1523*MAX(1,IF(H1523&gt;0,AQ1523/H1523,1))),IF(R1523&gt;0,AR1523/R1523,0))/MAX(0.1,N(Parameter!$M$21)))</f>
        <v>0.0384615384615385</v>
      </c>
      <c r="AT1523" s="62" t="n">
        <f aca="false">AS1523*CC1523</f>
        <v>9.42307692307692</v>
      </c>
      <c r="AU1523" s="63" t="n">
        <f aca="false">IF(LEFT(Cockpit!$I$5,1)="A",H1523,IF(CI1523=1,(CL1523+CJ1523)/2,IF(LEFT(Cockpit!$I$5,1)="B",(CL1523+AW1523)/2,MAX((CL1523+AW1523)/2,H1523))))</f>
        <v>3</v>
      </c>
      <c r="AV1523" s="62" t="n">
        <f aca="false">AU1523*G1523</f>
        <v>3402</v>
      </c>
      <c r="AW1523" s="62" t="n">
        <f aca="false">ROUNDUP(CL1523+MAX(CM1523,2*(J1523/IF(CH1523&gt;0,CH1523,MAX(0.1,N(Cockpit!$I$6)))-CL1523)),0)</f>
        <v>1</v>
      </c>
      <c r="AX1523" s="63" t="n">
        <f aca="false">IF(AT1523&gt;0,J1523/AT1523,-1)</f>
        <v>0</v>
      </c>
      <c r="AY1523" s="63" t="n">
        <f aca="false">IF(AND(OR(CG1523="L1",CG1523="L23",CG1523="LIFT"),AT1523&gt;0),SUMIFS($AT$7:$AT$1843,$CG$7:$CG$1843,CG1523,$AX$7:$AX$1843,"&gt;"&amp;AX1523)+SUMIFS($AT$7:$AT$1843,$CG$7:$CG$1843,CG1523,$AX$7:$AX$1843,AX1523,$BX$7:$BX$1843,"&lt;="&amp;BX1523),"")</f>
        <v>36349.7684598829</v>
      </c>
      <c r="AZ1523" s="70" t="n">
        <f aca="false">IF(AY1523="",0,MAX(0,MIN(1,(IF(CG1523="L1",Parameter!$H$5,IF(CG1523="L23",Parameter!$H$6+Parameter!$H$7,Parameter!$H$5+Parameter!$H$6+Parameter!$H$7))-(AY1523-AT1523))/AT1523)))</f>
        <v>0</v>
      </c>
      <c r="BA1523" s="62" t="n">
        <f aca="false">IF(LEFT(Cockpit!$O$5,1)="A",H1523,IF(Parameter!$E$30="MAX-Bestand",IF(CI1523=1,CJ1523,IF(LEFT(Cockpit!$O$5,1)="B",BG1523,MAX(BG1523,H1523))),ROUNDUP(BE1523,0)))</f>
        <v>1</v>
      </c>
      <c r="BB1523" s="62" t="n">
        <f aca="false">IF(CA1523=1,0,ROUNDUP(BA1523/BZ1523,0))</f>
        <v>1</v>
      </c>
      <c r="BC1523" s="64" t="n">
        <f aca="false">IF(CR1523&gt;0,CR1523*MAX(1,BA1523/X1523),IF(CA1523=1,IF(BA1523&lt;=0,0,CE1523*MAX(1,IF(H1523&gt;0,BA1523/H1523,1))),IF(R1523&gt;0,BB1523/R1523,0))/MAX(0.1,N(Parameter!$M$21)))</f>
        <v>0.0384615384615385</v>
      </c>
      <c r="BD1523" s="62" t="n">
        <f aca="false">BC1523*CC1523</f>
        <v>9.42307692307692</v>
      </c>
      <c r="BE1523" s="63" t="n">
        <f aca="false">IF(LEFT(Cockpit!$O$5,1)="A",H1523,IF(CI1523=1,(CL1523+CJ1523)/2,IF(LEFT(Cockpit!$O$5,1)="B",(CL1523+BG1523)/2,MAX((CL1523+BG1523)/2,H1523))))</f>
        <v>0.5</v>
      </c>
      <c r="BF1523" s="62" t="n">
        <f aca="false">BE1523*G1523</f>
        <v>567</v>
      </c>
      <c r="BG1523" s="62" t="n">
        <f aca="false">ROUNDUP(CL1523+MAX(CM1523,2*(J1523/IF(CH1523&gt;0,CH1523,MAX(0.1,N(Cockpit!$O$6)))-CL1523)),0)</f>
        <v>1</v>
      </c>
      <c r="BH1523" s="63" t="n">
        <f aca="false">IF(BD1523&gt;0,J1523/BD1523,-1)</f>
        <v>0</v>
      </c>
      <c r="BI1523" s="63" t="n">
        <f aca="false">IF(AND(OR(CG1523="L1",CG1523="L23",CG1523="LIFT"),BD1523&gt;0),SUMIFS($BD$7:$BD$1843,$CG$7:$CG$1843,CG1523,$BH$7:$BH$1843,"&gt;"&amp;BH1523)+SUMIFS($BD$7:$BD$1843,$CG$7:$CG$1843,CG1523,$BH$7:$BH$1843,BH1523,$BX$7:$BX$1843,"&lt;="&amp;BX1523),"")</f>
        <v>30287.9597354152</v>
      </c>
      <c r="BJ1523" s="70" t="n">
        <f aca="false">IF(BI1523="",0,MAX(0,MIN(1,(IF(CG1523="L1",Parameter!$H$5,IF(CG1523="L23",Parameter!$H$6+Parameter!$H$7,Parameter!$H$5+Parameter!$H$6+Parameter!$H$7))-(BI1523-BD1523))/BD1523)))</f>
        <v>1</v>
      </c>
      <c r="BK1523" s="60" t="str">
        <f aca="false">IF(AJ1523&lt;=0,"",IF(CG1523="Aussen","Aussenlager",IF(CG1523="-","Nicht im Lift",IF(AP1523&gt;=1,"Lift",IF(AP1523&lt;=0,"Aussenlager","teilweise")))))</f>
        <v>Lift</v>
      </c>
      <c r="BL1523" s="60" t="str">
        <f aca="false">IF(AT1523&lt;=0,"",IF(CG1523="Aussen","Aussenlager",IF(CG1523="-","Nicht im Lift",IF(AZ1523&gt;=1,"Lift",IF(AZ1523&lt;=0,"Aussenlager","teilweise")))))</f>
        <v>Aussenlager</v>
      </c>
      <c r="BM1523" s="60" t="str">
        <f aca="false">IF(BD1523&lt;=0,"",IF(CG1523="Aussen","Aussenlager",IF(CG1523="-","Nicht im Lift",IF(BJ1523&gt;=1,"Lift",IF(BJ1523&lt;=0,"Aussenlager","teilweise")))))</f>
        <v>Lift</v>
      </c>
      <c r="BN1523" s="60" t="str">
        <f aca="false">IF(A1523="","",IF(BW1523=1,"Neu; ","")&amp;IF(AND(BW1523=0,BR1523&lt;0),"negativer Bestand (Export "&amp;BR1523&amp;"); ","")&amp;IF(J1523&lt;=0,"Kein Verbrauch; ","")&amp;IF(CR1523&gt;0,"Lift "&amp;W1523&amp;" lt. Liftbericht (Fach "&amp;X1523&amp;" Stk); ",IF(CB1523=1,"Gebinde geschätzt ("&amp;T1523&amp;"); ",IF(CA1523=1,"Lose – Tablare geschätzt; ","")))&amp;IF(H1523&gt;AW1523,"Überbestand "&amp;ROUND(H1523-AW1523,0)&amp;" Stk / CHF "&amp;ROUND((H1523-AW1523)*G1523,0)&amp;"; ","")&amp;IF(AND(CI1523=1,CJ1523&lt;CK1523),"MAX &lt; MB+LG; ","")&amp;IF(AND(CQ1523&gt;0,CP1523*10&gt;CQ1523),"zu hoch für Tablar; ","")&amp;IF(AND(BW1523=0,OR(CI1523=1,AB1523&lt;&gt;"",U1523&lt;&gt;"",V1523&lt;&gt;"",AC1523&lt;&gt;"")),"manuell übersteuert; ","")&amp;IF(AND(CA1523=0,R1523=0),"Gebinde unbekannt / Stellmass fehlt; ","")&amp;IF(AND(CA1523=0,N(V1523)&lt;=0,N(Q1523)&lt;=0),"Menge pro Gebinde fehlt (Ist = 1 Gebinde); ","")&amp;BV1523)</f>
        <v>Kein Verbrauch; Überbestand 2 Stk / CHF 2268; nur im Artikelstamm (Bestand 23.06.2026)</v>
      </c>
      <c r="BO1523" s="60"/>
      <c r="BP1523" s="60"/>
      <c r="BQ1523" s="67"/>
      <c r="BR1523" s="62" t="n">
        <v>3</v>
      </c>
      <c r="BS1523" s="62" t="n">
        <v>0</v>
      </c>
      <c r="BT1523" s="61" t="n">
        <v>0</v>
      </c>
      <c r="BU1523" s="62" t="n">
        <v>0</v>
      </c>
      <c r="BV1523" s="60" t="s">
        <v>2617</v>
      </c>
      <c r="BW1523" s="65" t="n">
        <v>0</v>
      </c>
      <c r="BX1523" s="65" t="n">
        <v>1523</v>
      </c>
      <c r="BY1523" s="60" t="str">
        <f aca="false">IF(U1523&lt;&gt;"",UPPER(TRIM(U1523)),IF(CB1523=1,UPPER(VLOOKUP(T1523,Parameter!$I$27:$K$29,2,0)),IF(P1523="","LOSE",P1523)))</f>
        <v>S52</v>
      </c>
      <c r="BZ1523" s="62" t="n">
        <f aca="false">IF(BY1523="LOSE",1,IF(N(V1523)&gt;0,V1523,IF(CB1523=1,MAX(1,N(VLOOKUP(T1523,Parameter!$I$27:$K$29,3,0)),H1523,N(N1523)),IF(N(Q1523)&gt;0,Q1523,MAX(1,H1523)))))</f>
        <v>3</v>
      </c>
      <c r="CA1523" s="65" t="n">
        <f aca="false">IF(BY1523="LOSE",1,0)</f>
        <v>0</v>
      </c>
      <c r="CB1523" s="65" t="n">
        <f aca="false">IF(AND(U1523="",OR(P1523="",P1523="LOSE"),T1523&lt;&gt;"",N(S1523)&lt;=0,ISNUMBER(MATCH(T1523,Parameter!$I$27:$I$29,0))),1,0)</f>
        <v>0</v>
      </c>
      <c r="CC1523" s="65" t="n">
        <f aca="false">IF(CR1523&gt;0,INDEX(Parameter!$H$5:$H$7,W1523)/INDEX(Parameter!$E$5:$E$7,W1523),IF(AND(CA1523=0,N(IFERROR(VLOOKUP(BY1523,'Gebinde-Kategorie'!$A$5:$N$45,14,0),0))&gt;0),VLOOKUP(BY1523,'Gebinde-Kategorie'!$A$5:$N$45,14,0)*10+Parameter!$M$23,Parameter!$M$24))</f>
        <v>245</v>
      </c>
      <c r="CD1523" s="60" t="str">
        <f aca="false">IF(AND(Parameter!$B$19="Ja",E1523&lt;&gt;"",ISNUMBER(MATCH(E1523,Parameter!$I$35:$I$52,0))),VLOOKUP(E1523,Parameter!$I$35:$J$52,2,0),IFERROR(VLOOKUP(D1523,Parameter!$A$35:$C$64,2,0),"Nein"))</f>
        <v>2+3</v>
      </c>
      <c r="CE1523" s="64" t="n">
        <f aca="false">IF(CA1523=0,0,IF(N(S1523)&gt;0,S1523,IFERROR(VLOOKUP(D1523,Parameter!$A$35:$C$64,3,0)+0,0)))</f>
        <v>0</v>
      </c>
      <c r="CF1523" s="60" t="n">
        <f aca="false">IF(AB1523&lt;&gt;"",AB1523,AA1523)</f>
        <v>3</v>
      </c>
      <c r="CG1523" s="60" t="str">
        <f aca="false">IF(OR(CF1523=1,CF1523=2,CF1523=3),IF(Parameter!$E$27="Ja","LIFT",IF(CF1523=1,"L1","L23")),IF(CF1523="Aussen","Aussen","-"))</f>
        <v>LIFT</v>
      </c>
      <c r="CH1523" s="71" t="n">
        <f aca="false">IF(N(AC1523)&gt;0,AC1523,0)</f>
        <v>0</v>
      </c>
      <c r="CI1523" s="65" t="n">
        <f aca="false">IF(ISNUMBER(AF1523),1,0)</f>
        <v>0</v>
      </c>
      <c r="CJ1523" s="62" t="n">
        <f aca="false">N(AF1523)</f>
        <v>0</v>
      </c>
      <c r="CK1523" s="62" t="n">
        <f aca="false">N(M1523)+N(N1523)</f>
        <v>1</v>
      </c>
      <c r="CL1523" s="62" t="n">
        <f aca="false">N(M1523)</f>
        <v>0</v>
      </c>
      <c r="CM1523" s="62" t="n">
        <f aca="false">N(N1523)</f>
        <v>1</v>
      </c>
      <c r="CN1523" s="62" t="n">
        <f aca="false">ROUNDUP(H1523/BZ1523,0)</f>
        <v>1</v>
      </c>
      <c r="CO1523" s="62" t="n">
        <f aca="false">ROUNDUP(CJ1523/BZ1523,0)</f>
        <v>0</v>
      </c>
      <c r="CP1523" s="65" t="n">
        <f aca="false">IF(CA1523=1,0,IFERROR(VLOOKUP(BY1523,'Gebinde-Kategorie'!$A$5:$N$45,5,0)+0,0))</f>
        <v>21</v>
      </c>
      <c r="CQ1523" s="65" t="n">
        <f aca="false">IFERROR(IF(OR(CF1523=1,CF1523=2,CF1523=3),N(INDEX(Parameter!$I$5:$I$7,CF1523)),0),0)</f>
        <v>0</v>
      </c>
      <c r="CR1523" s="64" t="n">
        <f aca="false">IF(AND(Parameter!$B$21="Ja",ISNUMBER(W1523),N(X1523)&gt;0),IFERROR(N(INDEX(Parameter!$L$5:$L$7,W1523))*INDEX(Parameter!$E$5:$E$7,W1523)*X1523/SUMIFS($X$7:$X$1843,$W$7:$W$1843,W1523),0),0)</f>
        <v>0</v>
      </c>
      <c r="CS1523" s="62" t="n">
        <f aca="false">IF(AND(OR(CG1523="L1",CG1523="L23",CG1523="LIFT"),H1523&gt;0),CC1523*IF(CR1523&gt;0,CR1523*MAX(1,H1523/X1523),IF(CA1523=1,CE1523,IF(R1523&gt;0,CN1523/R1523,0))/MAX(0.1,N(Parameter!$M$21))),"")</f>
        <v>9.42307692307692</v>
      </c>
      <c r="CT1523" s="64" t="n">
        <f aca="false">IF(CS1523="","",J1523/H1523)</f>
        <v>0</v>
      </c>
      <c r="CU1523" s="62" t="n">
        <f aca="false">IF(CS1523="","",H1523*G1523)</f>
        <v>3402</v>
      </c>
      <c r="CV1523" s="63" t="n">
        <f aca="false">IF(CS1523="","",(CL1523+ROUNDUP(CL1523+MAX(CM1523,2*(J1523/MAX(0.1,N(Einkauf!$C$6))-CL1523)),0))/2)</f>
        <v>0.5</v>
      </c>
      <c r="CW1523" s="62" t="n">
        <f aca="false">IF(CS1523="","",MAX(0,H1523-CV1523)*G1523)</f>
        <v>2835</v>
      </c>
      <c r="CX1523" s="62" t="n">
        <f aca="false">IF(CS1523="","",CS1523*MAX(0,1-CV1523/H1523))</f>
        <v>7.8525641025641</v>
      </c>
      <c r="CY1523" s="64" t="n">
        <f aca="false">IF(CS1523="","",PERCENTRANK($CS$7:$CS$1843,CS1523)+PERCENTRANK($CU$7:$CU$1843,CU1523)+1-PERCENTRANK($CT$7:$CT$1843,CT1523))</f>
        <v>2.431</v>
      </c>
      <c r="CZ1523" s="72" t="n">
        <f aca="false">IF(CS1523="","",CHOOSE(MATCH(Einkauf!$C$5,Parameter!$G$23:$G$27,0),CY1523,CS1523,CU1523,-CT1523,CW1523)+ROW()/1000000000)</f>
        <v>2.431001523</v>
      </c>
    </row>
    <row r="1524" customFormat="false" ht="15" hidden="false" customHeight="false" outlineLevel="0" collapsed="false">
      <c r="A1524" s="60" t="s">
        <v>2707</v>
      </c>
      <c r="B1524" s="60" t="s">
        <v>604</v>
      </c>
      <c r="C1524" s="60" t="s">
        <v>206</v>
      </c>
      <c r="D1524" s="60" t="s">
        <v>215</v>
      </c>
      <c r="E1524" s="60" t="s">
        <v>227</v>
      </c>
      <c r="F1524" s="60"/>
      <c r="G1524" s="61" t="n">
        <v>510</v>
      </c>
      <c r="H1524" s="62" t="n">
        <f aca="false">MAX(0,IF(AND(Parameter!$B$21="Ja",ISNUMBER(Y1524)),Y1524,IF(Parameter!$B$20="Jahresanfang 2025 + Export",BS1524+BR1524,BR1524)))</f>
        <v>2</v>
      </c>
      <c r="I1524" s="62" t="n">
        <f aca="false">H1524*G1524</f>
        <v>1020</v>
      </c>
      <c r="J1524" s="62" t="n">
        <f aca="false">BU1524*Parameter!$B$18</f>
        <v>0</v>
      </c>
      <c r="K1524" s="63"/>
      <c r="L1524" s="64"/>
      <c r="M1524" s="62" t="n">
        <v>0</v>
      </c>
      <c r="N1524" s="62" t="n">
        <v>1</v>
      </c>
      <c r="O1524" s="65" t="n">
        <v>35</v>
      </c>
      <c r="P1524" s="60" t="s">
        <v>275</v>
      </c>
      <c r="Q1524" s="62" t="n">
        <v>2</v>
      </c>
      <c r="R1524" s="65" t="n">
        <f aca="false">IF(CA1524=1,0,IFERROR(VLOOKUP(BY1524,'Gebinde-Kategorie'!$A$5:$N$45,13,0)+0,0))</f>
        <v>26</v>
      </c>
      <c r="S1524" s="66"/>
      <c r="T1524" s="67"/>
      <c r="U1524" s="67"/>
      <c r="V1524" s="67"/>
      <c r="W1524" s="60"/>
      <c r="X1524" s="62"/>
      <c r="Y1524" s="62"/>
      <c r="Z1524" s="60" t="n">
        <v>3</v>
      </c>
      <c r="AA1524" s="60" t="n">
        <f aca="false">IF(A1524="","",IF(AND(Parameter!$B$21="Ja",ISNUMBER(W1524)),W1524,IF(AND(Parameter!$E$27="Ja",ISNUMBER(Z1524),CD1524&lt;&gt;"Nein"),Z1524,IF(CD1524="2+3",IF(ISNUMBER(SEARCH("grosser Artikel",BV1524)),2,IFERROR(VLOOKUP(BY1524,Parameter!$F$35:$G$64,2,0),2)),IF(OR(CD1524="Nein",CD1524=""),"-",CD1524)))))</f>
        <v>3</v>
      </c>
      <c r="AB1524" s="67"/>
      <c r="AC1524" s="68"/>
      <c r="AD1524" s="62" t="n">
        <f aca="false">AW1524</f>
        <v>1</v>
      </c>
      <c r="AE1524" s="62" t="n">
        <f aca="false">MAX(AW1524,H1524)</f>
        <v>2</v>
      </c>
      <c r="AF1524" s="69"/>
      <c r="AG1524" s="62" t="n">
        <f aca="false">IF(LEFT(Cockpit!$C$5,1)="A",H1524,IF(Parameter!$E$30="MAX-Bestand",IF(CI1524=1,CJ1524,IF(LEFT(Cockpit!$C$5,1)="B",AM1524,MAX(AM1524,H1524))),ROUNDUP(AK1524,0)))</f>
        <v>2</v>
      </c>
      <c r="AH1524" s="62" t="n">
        <f aca="false">IF(CA1524=1,0,ROUNDUP(AG1524/BZ1524,0))</f>
        <v>1</v>
      </c>
      <c r="AI1524" s="64" t="n">
        <f aca="false">IF(CR1524&gt;0,CR1524*MAX(1,AG1524/X1524),IF(CA1524=1,IF(AG1524&lt;=0,0,CE1524*MAX(1,IF(H1524&gt;0,AG1524/H1524,1))),IF(R1524&gt;0,AH1524/R1524,0))/MAX(0.1,N(Parameter!$M$21)))</f>
        <v>0.0384615384615385</v>
      </c>
      <c r="AJ1524" s="62" t="n">
        <f aca="false">AI1524*CC1524</f>
        <v>9.42307692307692</v>
      </c>
      <c r="AK1524" s="63" t="n">
        <f aca="false">IF(LEFT(Cockpit!$C$5,1)="A",H1524,IF(CI1524=1,(CL1524+CJ1524)/2,IF(LEFT(Cockpit!$C$5,1)="B",(CL1524+AM1524)/2,MAX((CL1524+AM1524)/2,H1524))))</f>
        <v>2</v>
      </c>
      <c r="AL1524" s="62" t="n">
        <f aca="false">AK1524*G1524</f>
        <v>1020</v>
      </c>
      <c r="AM1524" s="62" t="n">
        <f aca="false">ROUNDUP(CL1524+MAX(CM1524,2*(J1524/IF(CH1524&gt;0,CH1524,MAX(0.1,N(Cockpit!$C$6)))-CL1524)),0)</f>
        <v>1</v>
      </c>
      <c r="AN1524" s="63" t="n">
        <f aca="false">IF(AJ1524&gt;0,J1524/AJ1524,-1)</f>
        <v>0</v>
      </c>
      <c r="AO1524" s="63" t="n">
        <f aca="false">IF(AND(OR(CG1524="L1",CG1524="L23",CG1524="LIFT"),AJ1524&gt;0),SUMIFS($AJ$7:$AJ$1843,$CG$7:$CG$1843,CG1524,$AN$7:$AN$1843,"&gt;"&amp;AN1524)+SUMIFS($AJ$7:$AJ$1843,$CG$7:$CG$1843,CG1524,$AN$7:$AN$1843,AN1524,$BX$7:$BX$1843,"&lt;="&amp;BX1524),"")</f>
        <v>30039.3350199706</v>
      </c>
      <c r="AP1524" s="70" t="n">
        <f aca="false">IF(AO1524="",0,MAX(0,MIN(1,(IF(CG1524="L1",Parameter!$H$5,IF(CG1524="L23",Parameter!$H$6+Parameter!$H$7,Parameter!$H$5+Parameter!$H$6+Parameter!$H$7))-(AO1524-AJ1524))/AJ1524)))</f>
        <v>1</v>
      </c>
      <c r="AQ1524" s="62" t="n">
        <f aca="false">IF(LEFT(Cockpit!$I$5,1)="A",H1524,IF(Parameter!$E$30="MAX-Bestand",IF(CI1524=1,CJ1524,IF(LEFT(Cockpit!$I$5,1)="B",AW1524,MAX(AW1524,H1524))),ROUNDUP(AU1524,0)))</f>
        <v>2</v>
      </c>
      <c r="AR1524" s="62" t="n">
        <f aca="false">IF(CA1524=1,0,ROUNDUP(AQ1524/BZ1524,0))</f>
        <v>1</v>
      </c>
      <c r="AS1524" s="64" t="n">
        <f aca="false">IF(CR1524&gt;0,CR1524*MAX(1,AQ1524/X1524),IF(CA1524=1,IF(AQ1524&lt;=0,0,CE1524*MAX(1,IF(H1524&gt;0,AQ1524/H1524,1))),IF(R1524&gt;0,AR1524/R1524,0))/MAX(0.1,N(Parameter!$M$21)))</f>
        <v>0.0384615384615385</v>
      </c>
      <c r="AT1524" s="62" t="n">
        <f aca="false">AS1524*CC1524</f>
        <v>9.42307692307692</v>
      </c>
      <c r="AU1524" s="63" t="n">
        <f aca="false">IF(LEFT(Cockpit!$I$5,1)="A",H1524,IF(CI1524=1,(CL1524+CJ1524)/2,IF(LEFT(Cockpit!$I$5,1)="B",(CL1524+AW1524)/2,MAX((CL1524+AW1524)/2,H1524))))</f>
        <v>2</v>
      </c>
      <c r="AV1524" s="62" t="n">
        <f aca="false">AU1524*G1524</f>
        <v>1020</v>
      </c>
      <c r="AW1524" s="62" t="n">
        <f aca="false">ROUNDUP(CL1524+MAX(CM1524,2*(J1524/IF(CH1524&gt;0,CH1524,MAX(0.1,N(Cockpit!$I$6)))-CL1524)),0)</f>
        <v>1</v>
      </c>
      <c r="AX1524" s="63" t="n">
        <f aca="false">IF(AT1524&gt;0,J1524/AT1524,-1)</f>
        <v>0</v>
      </c>
      <c r="AY1524" s="63" t="n">
        <f aca="false">IF(AND(OR(CG1524="L1",CG1524="L23",CG1524="LIFT"),AT1524&gt;0),SUMIFS($AT$7:$AT$1843,$CG$7:$CG$1843,CG1524,$AX$7:$AX$1843,"&gt;"&amp;AX1524)+SUMIFS($AT$7:$AT$1843,$CG$7:$CG$1843,CG1524,$AX$7:$AX$1843,AX1524,$BX$7:$BX$1843,"&lt;="&amp;BX1524),"")</f>
        <v>36359.1915368059</v>
      </c>
      <c r="AZ1524" s="70" t="n">
        <f aca="false">IF(AY1524="",0,MAX(0,MIN(1,(IF(CG1524="L1",Parameter!$H$5,IF(CG1524="L23",Parameter!$H$6+Parameter!$H$7,Parameter!$H$5+Parameter!$H$6+Parameter!$H$7))-(AY1524-AT1524))/AT1524)))</f>
        <v>0</v>
      </c>
      <c r="BA1524" s="62" t="n">
        <f aca="false">IF(LEFT(Cockpit!$O$5,1)="A",H1524,IF(Parameter!$E$30="MAX-Bestand",IF(CI1524=1,CJ1524,IF(LEFT(Cockpit!$O$5,1)="B",BG1524,MAX(BG1524,H1524))),ROUNDUP(BE1524,0)))</f>
        <v>1</v>
      </c>
      <c r="BB1524" s="62" t="n">
        <f aca="false">IF(CA1524=1,0,ROUNDUP(BA1524/BZ1524,0))</f>
        <v>1</v>
      </c>
      <c r="BC1524" s="64" t="n">
        <f aca="false">IF(CR1524&gt;0,CR1524*MAX(1,BA1524/X1524),IF(CA1524=1,IF(BA1524&lt;=0,0,CE1524*MAX(1,IF(H1524&gt;0,BA1524/H1524,1))),IF(R1524&gt;0,BB1524/R1524,0))/MAX(0.1,N(Parameter!$M$21)))</f>
        <v>0.0384615384615385</v>
      </c>
      <c r="BD1524" s="62" t="n">
        <f aca="false">BC1524*CC1524</f>
        <v>9.42307692307692</v>
      </c>
      <c r="BE1524" s="63" t="n">
        <f aca="false">IF(LEFT(Cockpit!$O$5,1)="A",H1524,IF(CI1524=1,(CL1524+CJ1524)/2,IF(LEFT(Cockpit!$O$5,1)="B",(CL1524+BG1524)/2,MAX((CL1524+BG1524)/2,H1524))))</f>
        <v>0.5</v>
      </c>
      <c r="BF1524" s="62" t="n">
        <f aca="false">BE1524*G1524</f>
        <v>255</v>
      </c>
      <c r="BG1524" s="62" t="n">
        <f aca="false">ROUNDUP(CL1524+MAX(CM1524,2*(J1524/IF(CH1524&gt;0,CH1524,MAX(0.1,N(Cockpit!$O$6)))-CL1524)),0)</f>
        <v>1</v>
      </c>
      <c r="BH1524" s="63" t="n">
        <f aca="false">IF(BD1524&gt;0,J1524/BD1524,-1)</f>
        <v>0</v>
      </c>
      <c r="BI1524" s="63" t="n">
        <f aca="false">IF(AND(OR(CG1524="L1",CG1524="L23",CG1524="LIFT"),BD1524&gt;0),SUMIFS($BD$7:$BD$1843,$CG$7:$CG$1843,CG1524,$BH$7:$BH$1843,"&gt;"&amp;BH1524)+SUMIFS($BD$7:$BD$1843,$CG$7:$CG$1843,CG1524,$BH$7:$BH$1843,BH1524,$BX$7:$BX$1843,"&lt;="&amp;BX1524),"")</f>
        <v>30297.3828123383</v>
      </c>
      <c r="BJ1524" s="70" t="n">
        <f aca="false">IF(BI1524="",0,MAX(0,MIN(1,(IF(CG1524="L1",Parameter!$H$5,IF(CG1524="L23",Parameter!$H$6+Parameter!$H$7,Parameter!$H$5+Parameter!$H$6+Parameter!$H$7))-(BI1524-BD1524))/BD1524)))</f>
        <v>1</v>
      </c>
      <c r="BK1524" s="60" t="str">
        <f aca="false">IF(AJ1524&lt;=0,"",IF(CG1524="Aussen","Aussenlager",IF(CG1524="-","Nicht im Lift",IF(AP1524&gt;=1,"Lift",IF(AP1524&lt;=0,"Aussenlager","teilweise")))))</f>
        <v>Lift</v>
      </c>
      <c r="BL1524" s="60" t="str">
        <f aca="false">IF(AT1524&lt;=0,"",IF(CG1524="Aussen","Aussenlager",IF(CG1524="-","Nicht im Lift",IF(AZ1524&gt;=1,"Lift",IF(AZ1524&lt;=0,"Aussenlager","teilweise")))))</f>
        <v>Aussenlager</v>
      </c>
      <c r="BM1524" s="60" t="str">
        <f aca="false">IF(BD1524&lt;=0,"",IF(CG1524="Aussen","Aussenlager",IF(CG1524="-","Nicht im Lift",IF(BJ1524&gt;=1,"Lift",IF(BJ1524&lt;=0,"Aussenlager","teilweise")))))</f>
        <v>Lift</v>
      </c>
      <c r="BN1524" s="60" t="str">
        <f aca="false">IF(A1524="","",IF(BW1524=1,"Neu; ","")&amp;IF(AND(BW1524=0,BR1524&lt;0),"negativer Bestand (Export "&amp;BR1524&amp;"); ","")&amp;IF(J1524&lt;=0,"Kein Verbrauch; ","")&amp;IF(CR1524&gt;0,"Lift "&amp;W1524&amp;" lt. Liftbericht (Fach "&amp;X1524&amp;" Stk); ",IF(CB1524=1,"Gebinde geschätzt ("&amp;T1524&amp;"); ",IF(CA1524=1,"Lose – Tablare geschätzt; ","")))&amp;IF(H1524&gt;AW1524,"Überbestand "&amp;ROUND(H1524-AW1524,0)&amp;" Stk / CHF "&amp;ROUND((H1524-AW1524)*G1524,0)&amp;"; ","")&amp;IF(AND(CI1524=1,CJ1524&lt;CK1524),"MAX &lt; MB+LG; ","")&amp;IF(AND(CQ1524&gt;0,CP1524*10&gt;CQ1524),"zu hoch für Tablar; ","")&amp;IF(AND(BW1524=0,OR(CI1524=1,AB1524&lt;&gt;"",U1524&lt;&gt;"",V1524&lt;&gt;"",AC1524&lt;&gt;"")),"manuell übersteuert; ","")&amp;IF(AND(CA1524=0,R1524=0),"Gebinde unbekannt / Stellmass fehlt; ","")&amp;IF(AND(CA1524=0,N(V1524)&lt;=0,N(Q1524)&lt;=0),"Menge pro Gebinde fehlt (Ist = 1 Gebinde); ","")&amp;BV1524)</f>
        <v>Kein Verbrauch; Überbestand 1 Stk / CHF 510; nur im Artikelstamm (Bestand 23.06.2026)</v>
      </c>
      <c r="BO1524" s="60"/>
      <c r="BP1524" s="60"/>
      <c r="BQ1524" s="67"/>
      <c r="BR1524" s="62" t="n">
        <v>2</v>
      </c>
      <c r="BS1524" s="62" t="n">
        <v>0</v>
      </c>
      <c r="BT1524" s="61" t="n">
        <v>0</v>
      </c>
      <c r="BU1524" s="62" t="n">
        <v>0</v>
      </c>
      <c r="BV1524" s="60" t="s">
        <v>2617</v>
      </c>
      <c r="BW1524" s="65" t="n">
        <v>0</v>
      </c>
      <c r="BX1524" s="65" t="n">
        <v>1524</v>
      </c>
      <c r="BY1524" s="60" t="str">
        <f aca="false">IF(U1524&lt;&gt;"",UPPER(TRIM(U1524)),IF(CB1524=1,UPPER(VLOOKUP(T1524,Parameter!$I$27:$K$29,2,0)),IF(P1524="","LOSE",P1524)))</f>
        <v>S52</v>
      </c>
      <c r="BZ1524" s="62" t="n">
        <f aca="false">IF(BY1524="LOSE",1,IF(N(V1524)&gt;0,V1524,IF(CB1524=1,MAX(1,N(VLOOKUP(T1524,Parameter!$I$27:$K$29,3,0)),H1524,N(N1524)),IF(N(Q1524)&gt;0,Q1524,MAX(1,H1524)))))</f>
        <v>2</v>
      </c>
      <c r="CA1524" s="65" t="n">
        <f aca="false">IF(BY1524="LOSE",1,0)</f>
        <v>0</v>
      </c>
      <c r="CB1524" s="65" t="n">
        <f aca="false">IF(AND(U1524="",OR(P1524="",P1524="LOSE"),T1524&lt;&gt;"",N(S1524)&lt;=0,ISNUMBER(MATCH(T1524,Parameter!$I$27:$I$29,0))),1,0)</f>
        <v>0</v>
      </c>
      <c r="CC1524" s="65" t="n">
        <f aca="false">IF(CR1524&gt;0,INDEX(Parameter!$H$5:$H$7,W1524)/INDEX(Parameter!$E$5:$E$7,W1524),IF(AND(CA1524=0,N(IFERROR(VLOOKUP(BY1524,'Gebinde-Kategorie'!$A$5:$N$45,14,0),0))&gt;0),VLOOKUP(BY1524,'Gebinde-Kategorie'!$A$5:$N$45,14,0)*10+Parameter!$M$23,Parameter!$M$24))</f>
        <v>245</v>
      </c>
      <c r="CD1524" s="60" t="str">
        <f aca="false">IF(AND(Parameter!$B$19="Ja",E1524&lt;&gt;"",ISNUMBER(MATCH(E1524,Parameter!$I$35:$I$52,0))),VLOOKUP(E1524,Parameter!$I$35:$J$52,2,0),IFERROR(VLOOKUP(D1524,Parameter!$A$35:$C$64,2,0),"Nein"))</f>
        <v>2+3</v>
      </c>
      <c r="CE1524" s="64" t="n">
        <f aca="false">IF(CA1524=0,0,IF(N(S1524)&gt;0,S1524,IFERROR(VLOOKUP(D1524,Parameter!$A$35:$C$64,3,0)+0,0)))</f>
        <v>0</v>
      </c>
      <c r="CF1524" s="60" t="n">
        <f aca="false">IF(AB1524&lt;&gt;"",AB1524,AA1524)</f>
        <v>3</v>
      </c>
      <c r="CG1524" s="60" t="str">
        <f aca="false">IF(OR(CF1524=1,CF1524=2,CF1524=3),IF(Parameter!$E$27="Ja","LIFT",IF(CF1524=1,"L1","L23")),IF(CF1524="Aussen","Aussen","-"))</f>
        <v>LIFT</v>
      </c>
      <c r="CH1524" s="71" t="n">
        <f aca="false">IF(N(AC1524)&gt;0,AC1524,0)</f>
        <v>0</v>
      </c>
      <c r="CI1524" s="65" t="n">
        <f aca="false">IF(ISNUMBER(AF1524),1,0)</f>
        <v>0</v>
      </c>
      <c r="CJ1524" s="62" t="n">
        <f aca="false">N(AF1524)</f>
        <v>0</v>
      </c>
      <c r="CK1524" s="62" t="n">
        <f aca="false">N(M1524)+N(N1524)</f>
        <v>1</v>
      </c>
      <c r="CL1524" s="62" t="n">
        <f aca="false">N(M1524)</f>
        <v>0</v>
      </c>
      <c r="CM1524" s="62" t="n">
        <f aca="false">N(N1524)</f>
        <v>1</v>
      </c>
      <c r="CN1524" s="62" t="n">
        <f aca="false">ROUNDUP(H1524/BZ1524,0)</f>
        <v>1</v>
      </c>
      <c r="CO1524" s="62" t="n">
        <f aca="false">ROUNDUP(CJ1524/BZ1524,0)</f>
        <v>0</v>
      </c>
      <c r="CP1524" s="65" t="n">
        <f aca="false">IF(CA1524=1,0,IFERROR(VLOOKUP(BY1524,'Gebinde-Kategorie'!$A$5:$N$45,5,0)+0,0))</f>
        <v>21</v>
      </c>
      <c r="CQ1524" s="65" t="n">
        <f aca="false">IFERROR(IF(OR(CF1524=1,CF1524=2,CF1524=3),N(INDEX(Parameter!$I$5:$I$7,CF1524)),0),0)</f>
        <v>0</v>
      </c>
      <c r="CR1524" s="64" t="n">
        <f aca="false">IF(AND(Parameter!$B$21="Ja",ISNUMBER(W1524),N(X1524)&gt;0),IFERROR(N(INDEX(Parameter!$L$5:$L$7,W1524))*INDEX(Parameter!$E$5:$E$7,W1524)*X1524/SUMIFS($X$7:$X$1843,$W$7:$W$1843,W1524),0),0)</f>
        <v>0</v>
      </c>
      <c r="CS1524" s="62" t="n">
        <f aca="false">IF(AND(OR(CG1524="L1",CG1524="L23",CG1524="LIFT"),H1524&gt;0),CC1524*IF(CR1524&gt;0,CR1524*MAX(1,H1524/X1524),IF(CA1524=1,CE1524,IF(R1524&gt;0,CN1524/R1524,0))/MAX(0.1,N(Parameter!$M$21))),"")</f>
        <v>9.42307692307692</v>
      </c>
      <c r="CT1524" s="64" t="n">
        <f aca="false">IF(CS1524="","",J1524/H1524)</f>
        <v>0</v>
      </c>
      <c r="CU1524" s="62" t="n">
        <f aca="false">IF(CS1524="","",H1524*G1524)</f>
        <v>1020</v>
      </c>
      <c r="CV1524" s="63" t="n">
        <f aca="false">IF(CS1524="","",(CL1524+ROUNDUP(CL1524+MAX(CM1524,2*(J1524/MAX(0.1,N(Einkauf!$C$6))-CL1524)),0))/2)</f>
        <v>0.5</v>
      </c>
      <c r="CW1524" s="62" t="n">
        <f aca="false">IF(CS1524="","",MAX(0,H1524-CV1524)*G1524)</f>
        <v>765</v>
      </c>
      <c r="CX1524" s="62" t="n">
        <f aca="false">IF(CS1524="","",CS1524*MAX(0,1-CV1524/H1524))</f>
        <v>7.06730769230769</v>
      </c>
      <c r="CY1524" s="64" t="n">
        <f aca="false">IF(CS1524="","",PERCENTRANK($CS$7:$CS$1843,CS1524)+PERCENTRANK($CU$7:$CU$1843,CU1524)+1-PERCENTRANK($CT$7:$CT$1843,CT1524))</f>
        <v>2.23</v>
      </c>
      <c r="CZ1524" s="72" t="n">
        <f aca="false">IF(CS1524="","",CHOOSE(MATCH(Einkauf!$C$5,Parameter!$G$23:$G$27,0),CY1524,CS1524,CU1524,-CT1524,CW1524)+ROW()/1000000000)</f>
        <v>2.230001524</v>
      </c>
    </row>
    <row r="1525" customFormat="false" ht="15" hidden="false" customHeight="false" outlineLevel="0" collapsed="false">
      <c r="A1525" s="60" t="s">
        <v>2708</v>
      </c>
      <c r="B1525" s="60" t="s">
        <v>416</v>
      </c>
      <c r="C1525" s="60" t="s">
        <v>206</v>
      </c>
      <c r="D1525" s="60" t="s">
        <v>226</v>
      </c>
      <c r="E1525" s="60" t="s">
        <v>227</v>
      </c>
      <c r="F1525" s="60"/>
      <c r="G1525" s="61" t="n">
        <v>1.75</v>
      </c>
      <c r="H1525" s="62" t="n">
        <f aca="false">MAX(0,IF(AND(Parameter!$B$21="Ja",ISNUMBER(Y1525)),Y1525,IF(Parameter!$B$20="Jahresanfang 2025 + Export",BS1525+BR1525,BR1525)))</f>
        <v>16</v>
      </c>
      <c r="I1525" s="62" t="n">
        <f aca="false">H1525*G1525</f>
        <v>28</v>
      </c>
      <c r="J1525" s="62" t="n">
        <f aca="false">BU1525*Parameter!$B$18</f>
        <v>0</v>
      </c>
      <c r="K1525" s="63"/>
      <c r="L1525" s="64"/>
      <c r="M1525" s="62" t="n">
        <v>0</v>
      </c>
      <c r="N1525" s="62" t="n">
        <v>15</v>
      </c>
      <c r="O1525" s="65" t="n">
        <v>0</v>
      </c>
      <c r="P1525" s="60" t="s">
        <v>443</v>
      </c>
      <c r="Q1525" s="62" t="n">
        <v>16</v>
      </c>
      <c r="R1525" s="65" t="n">
        <f aca="false">IF(CA1525=1,0,IFERROR(VLOOKUP(BY1525,'Gebinde-Kategorie'!$A$5:$N$45,13,0)+0,0))</f>
        <v>280</v>
      </c>
      <c r="S1525" s="66"/>
      <c r="T1525" s="67"/>
      <c r="U1525" s="67"/>
      <c r="V1525" s="67"/>
      <c r="W1525" s="60"/>
      <c r="X1525" s="62"/>
      <c r="Y1525" s="62"/>
      <c r="Z1525" s="60" t="n">
        <v>1</v>
      </c>
      <c r="AA1525" s="60" t="n">
        <f aca="false">IF(A1525="","",IF(AND(Parameter!$B$21="Ja",ISNUMBER(W1525)),W1525,IF(AND(Parameter!$E$27="Ja",ISNUMBER(Z1525),CD1525&lt;&gt;"Nein"),Z1525,IF(CD1525="2+3",IF(ISNUMBER(SEARCH("grosser Artikel",BV1525)),2,IFERROR(VLOOKUP(BY1525,Parameter!$F$35:$G$64,2,0),2)),IF(OR(CD1525="Nein",CD1525=""),"-",CD1525)))))</f>
        <v>1</v>
      </c>
      <c r="AB1525" s="67"/>
      <c r="AC1525" s="68"/>
      <c r="AD1525" s="62" t="n">
        <f aca="false">AW1525</f>
        <v>15</v>
      </c>
      <c r="AE1525" s="62" t="n">
        <f aca="false">MAX(AW1525,H1525)</f>
        <v>16</v>
      </c>
      <c r="AF1525" s="69"/>
      <c r="AG1525" s="62" t="n">
        <f aca="false">IF(LEFT(Cockpit!$C$5,1)="A",H1525,IF(Parameter!$E$30="MAX-Bestand",IF(CI1525=1,CJ1525,IF(LEFT(Cockpit!$C$5,1)="B",AM1525,MAX(AM1525,H1525))),ROUNDUP(AK1525,0)))</f>
        <v>16</v>
      </c>
      <c r="AH1525" s="62" t="n">
        <f aca="false">IF(CA1525=1,0,ROUNDUP(AG1525/BZ1525,0))</f>
        <v>1</v>
      </c>
      <c r="AI1525" s="64" t="n">
        <f aca="false">IF(CR1525&gt;0,CR1525*MAX(1,AG1525/X1525),IF(CA1525=1,IF(AG1525&lt;=0,0,CE1525*MAX(1,IF(H1525&gt;0,AG1525/H1525,1))),IF(R1525&gt;0,AH1525/R1525,0))/MAX(0.1,N(Parameter!$M$21)))</f>
        <v>0.00357142857142857</v>
      </c>
      <c r="AJ1525" s="62" t="n">
        <f aca="false">AI1525*CC1525</f>
        <v>0.553571428571429</v>
      </c>
      <c r="AK1525" s="63" t="n">
        <f aca="false">IF(LEFT(Cockpit!$C$5,1)="A",H1525,IF(CI1525=1,(CL1525+CJ1525)/2,IF(LEFT(Cockpit!$C$5,1)="B",(CL1525+AM1525)/2,MAX((CL1525+AM1525)/2,H1525))))</f>
        <v>16</v>
      </c>
      <c r="AL1525" s="62" t="n">
        <f aca="false">AK1525*G1525</f>
        <v>28</v>
      </c>
      <c r="AM1525" s="62" t="n">
        <f aca="false">ROUNDUP(CL1525+MAX(CM1525,2*(J1525/IF(CH1525&gt;0,CH1525,MAX(0.1,N(Cockpit!$C$6)))-CL1525)),0)</f>
        <v>15</v>
      </c>
      <c r="AN1525" s="63" t="n">
        <f aca="false">IF(AJ1525&gt;0,J1525/AJ1525,-1)</f>
        <v>0</v>
      </c>
      <c r="AO1525" s="63" t="n">
        <f aca="false">IF(AND(OR(CG1525="L1",CG1525="L23",CG1525="LIFT"),AJ1525&gt;0),SUMIFS($AJ$7:$AJ$1843,$CG$7:$CG$1843,CG1525,$AN$7:$AN$1843,"&gt;"&amp;AN1525)+SUMIFS($AJ$7:$AJ$1843,$CG$7:$CG$1843,CG1525,$AN$7:$AN$1843,AN1525,$BX$7:$BX$1843,"&lt;="&amp;BX1525),"")</f>
        <v>30039.8885913992</v>
      </c>
      <c r="AP1525" s="70" t="n">
        <f aca="false">IF(AO1525="",0,MAX(0,MIN(1,(IF(CG1525="L1",Parameter!$H$5,IF(CG1525="L23",Parameter!$H$6+Parameter!$H$7,Parameter!$H$5+Parameter!$H$6+Parameter!$H$7))-(AO1525-AJ1525))/AJ1525)))</f>
        <v>1</v>
      </c>
      <c r="AQ1525" s="62" t="n">
        <f aca="false">IF(LEFT(Cockpit!$I$5,1)="A",H1525,IF(Parameter!$E$30="MAX-Bestand",IF(CI1525=1,CJ1525,IF(LEFT(Cockpit!$I$5,1)="B",AW1525,MAX(AW1525,H1525))),ROUNDUP(AU1525,0)))</f>
        <v>16</v>
      </c>
      <c r="AR1525" s="62" t="n">
        <f aca="false">IF(CA1525=1,0,ROUNDUP(AQ1525/BZ1525,0))</f>
        <v>1</v>
      </c>
      <c r="AS1525" s="64" t="n">
        <f aca="false">IF(CR1525&gt;0,CR1525*MAX(1,AQ1525/X1525),IF(CA1525=1,IF(AQ1525&lt;=0,0,CE1525*MAX(1,IF(H1525&gt;0,AQ1525/H1525,1))),IF(R1525&gt;0,AR1525/R1525,0))/MAX(0.1,N(Parameter!$M$21)))</f>
        <v>0.00357142857142857</v>
      </c>
      <c r="AT1525" s="62" t="n">
        <f aca="false">AS1525*CC1525</f>
        <v>0.553571428571429</v>
      </c>
      <c r="AU1525" s="63" t="n">
        <f aca="false">IF(LEFT(Cockpit!$I$5,1)="A",H1525,IF(CI1525=1,(CL1525+CJ1525)/2,IF(LEFT(Cockpit!$I$5,1)="B",(CL1525+AW1525)/2,MAX((CL1525+AW1525)/2,H1525))))</f>
        <v>16</v>
      </c>
      <c r="AV1525" s="62" t="n">
        <f aca="false">AU1525*G1525</f>
        <v>28</v>
      </c>
      <c r="AW1525" s="62" t="n">
        <f aca="false">ROUNDUP(CL1525+MAX(CM1525,2*(J1525/IF(CH1525&gt;0,CH1525,MAX(0.1,N(Cockpit!$I$6)))-CL1525)),0)</f>
        <v>15</v>
      </c>
      <c r="AX1525" s="63" t="n">
        <f aca="false">IF(AT1525&gt;0,J1525/AT1525,-1)</f>
        <v>0</v>
      </c>
      <c r="AY1525" s="63" t="n">
        <f aca="false">IF(AND(OR(CG1525="L1",CG1525="L23",CG1525="LIFT"),AT1525&gt;0),SUMIFS($AT$7:$AT$1843,$CG$7:$CG$1843,CG1525,$AX$7:$AX$1843,"&gt;"&amp;AX1525)+SUMIFS($AT$7:$AT$1843,$CG$7:$CG$1843,CG1525,$AX$7:$AX$1843,AX1525,$BX$7:$BX$1843,"&lt;="&amp;BX1525),"")</f>
        <v>36359.7451082345</v>
      </c>
      <c r="AZ1525" s="70" t="n">
        <f aca="false">IF(AY1525="",0,MAX(0,MIN(1,(IF(CG1525="L1",Parameter!$H$5,IF(CG1525="L23",Parameter!$H$6+Parameter!$H$7,Parameter!$H$5+Parameter!$H$6+Parameter!$H$7))-(AY1525-AT1525))/AT1525)))</f>
        <v>0</v>
      </c>
      <c r="BA1525" s="62" t="n">
        <f aca="false">IF(LEFT(Cockpit!$O$5,1)="A",H1525,IF(Parameter!$E$30="MAX-Bestand",IF(CI1525=1,CJ1525,IF(LEFT(Cockpit!$O$5,1)="B",BG1525,MAX(BG1525,H1525))),ROUNDUP(BE1525,0)))</f>
        <v>8</v>
      </c>
      <c r="BB1525" s="62" t="n">
        <f aca="false">IF(CA1525=1,0,ROUNDUP(BA1525/BZ1525,0))</f>
        <v>1</v>
      </c>
      <c r="BC1525" s="64" t="n">
        <f aca="false">IF(CR1525&gt;0,CR1525*MAX(1,BA1525/X1525),IF(CA1525=1,IF(BA1525&lt;=0,0,CE1525*MAX(1,IF(H1525&gt;0,BA1525/H1525,1))),IF(R1525&gt;0,BB1525/R1525,0))/MAX(0.1,N(Parameter!$M$21)))</f>
        <v>0.00357142857142857</v>
      </c>
      <c r="BD1525" s="62" t="n">
        <f aca="false">BC1525*CC1525</f>
        <v>0.553571428571429</v>
      </c>
      <c r="BE1525" s="63" t="n">
        <f aca="false">IF(LEFT(Cockpit!$O$5,1)="A",H1525,IF(CI1525=1,(CL1525+CJ1525)/2,IF(LEFT(Cockpit!$O$5,1)="B",(CL1525+BG1525)/2,MAX((CL1525+BG1525)/2,H1525))))</f>
        <v>7.5</v>
      </c>
      <c r="BF1525" s="62" t="n">
        <f aca="false">BE1525*G1525</f>
        <v>13.125</v>
      </c>
      <c r="BG1525" s="62" t="n">
        <f aca="false">ROUNDUP(CL1525+MAX(CM1525,2*(J1525/IF(CH1525&gt;0,CH1525,MAX(0.1,N(Cockpit!$O$6)))-CL1525)),0)</f>
        <v>15</v>
      </c>
      <c r="BH1525" s="63" t="n">
        <f aca="false">IF(BD1525&gt;0,J1525/BD1525,-1)</f>
        <v>0</v>
      </c>
      <c r="BI1525" s="63" t="n">
        <f aca="false">IF(AND(OR(CG1525="L1",CG1525="L23",CG1525="LIFT"),BD1525&gt;0),SUMIFS($BD$7:$BD$1843,$CG$7:$CG$1843,CG1525,$BH$7:$BH$1843,"&gt;"&amp;BH1525)+SUMIFS($BD$7:$BD$1843,$CG$7:$CG$1843,CG1525,$BH$7:$BH$1843,BH1525,$BX$7:$BX$1843,"&lt;="&amp;BX1525),"")</f>
        <v>30297.9363837669</v>
      </c>
      <c r="BJ1525" s="70" t="n">
        <f aca="false">IF(BI1525="",0,MAX(0,MIN(1,(IF(CG1525="L1",Parameter!$H$5,IF(CG1525="L23",Parameter!$H$6+Parameter!$H$7,Parameter!$H$5+Parameter!$H$6+Parameter!$H$7))-(BI1525-BD1525))/BD1525)))</f>
        <v>1</v>
      </c>
      <c r="BK1525" s="60" t="str">
        <f aca="false">IF(AJ1525&lt;=0,"",IF(CG1525="Aussen","Aussenlager",IF(CG1525="-","Nicht im Lift",IF(AP1525&gt;=1,"Lift",IF(AP1525&lt;=0,"Aussenlager","teilweise")))))</f>
        <v>Lift</v>
      </c>
      <c r="BL1525" s="60" t="str">
        <f aca="false">IF(AT1525&lt;=0,"",IF(CG1525="Aussen","Aussenlager",IF(CG1525="-","Nicht im Lift",IF(AZ1525&gt;=1,"Lift",IF(AZ1525&lt;=0,"Aussenlager","teilweise")))))</f>
        <v>Aussenlager</v>
      </c>
      <c r="BM1525" s="60" t="str">
        <f aca="false">IF(BD1525&lt;=0,"",IF(CG1525="Aussen","Aussenlager",IF(CG1525="-","Nicht im Lift",IF(BJ1525&gt;=1,"Lift",IF(BJ1525&lt;=0,"Aussenlager","teilweise")))))</f>
        <v>Lift</v>
      </c>
      <c r="BN1525" s="60" t="str">
        <f aca="false">IF(A1525="","",IF(BW1525=1,"Neu; ","")&amp;IF(AND(BW1525=0,BR1525&lt;0),"negativer Bestand (Export "&amp;BR1525&amp;"); ","")&amp;IF(J1525&lt;=0,"Kein Verbrauch; ","")&amp;IF(CR1525&gt;0,"Lift "&amp;W1525&amp;" lt. Liftbericht (Fach "&amp;X1525&amp;" Stk); ",IF(CB1525=1,"Gebinde geschätzt ("&amp;T1525&amp;"); ",IF(CA1525=1,"Lose – Tablare geschätzt; ","")))&amp;IF(H1525&gt;AW1525,"Überbestand "&amp;ROUND(H1525-AW1525,0)&amp;" Stk / CHF "&amp;ROUND((H1525-AW1525)*G1525,0)&amp;"; ","")&amp;IF(AND(CI1525=1,CJ1525&lt;CK1525),"MAX &lt; MB+LG; ","")&amp;IF(AND(CQ1525&gt;0,CP1525*10&gt;CQ1525),"zu hoch für Tablar; ","")&amp;IF(AND(BW1525=0,OR(CI1525=1,AB1525&lt;&gt;"",U1525&lt;&gt;"",V1525&lt;&gt;"",AC1525&lt;&gt;"")),"manuell übersteuert; ","")&amp;IF(AND(CA1525=0,R1525=0),"Gebinde unbekannt / Stellmass fehlt; ","")&amp;IF(AND(CA1525=0,N(V1525)&lt;=0,N(Q1525)&lt;=0),"Menge pro Gebinde fehlt (Ist = 1 Gebinde); ","")&amp;BV1525)</f>
        <v>Kein Verbrauch; Überbestand 1 Stk / CHF 2; nur im Artikelstamm (Bestand 23.06.2026); Neu</v>
      </c>
      <c r="BO1525" s="60"/>
      <c r="BP1525" s="60"/>
      <c r="BQ1525" s="67"/>
      <c r="BR1525" s="62" t="n">
        <v>16</v>
      </c>
      <c r="BS1525" s="62" t="n">
        <v>0</v>
      </c>
      <c r="BT1525" s="61" t="n">
        <v>0</v>
      </c>
      <c r="BU1525" s="62" t="n">
        <v>0</v>
      </c>
      <c r="BV1525" s="60" t="s">
        <v>2709</v>
      </c>
      <c r="BW1525" s="65" t="n">
        <v>0</v>
      </c>
      <c r="BX1525" s="65" t="n">
        <v>1525</v>
      </c>
      <c r="BY1525" s="60" t="str">
        <f aca="false">IF(U1525&lt;&gt;"",UPPER(TRIM(U1525)),IF(CB1525=1,UPPER(VLOOKUP(T1525,Parameter!$I$27:$K$29,2,0)),IF(P1525="","LOSE",P1525)))</f>
        <v>S21</v>
      </c>
      <c r="BZ1525" s="62" t="n">
        <f aca="false">IF(BY1525="LOSE",1,IF(N(V1525)&gt;0,V1525,IF(CB1525=1,MAX(1,N(VLOOKUP(T1525,Parameter!$I$27:$K$29,3,0)),H1525,N(N1525)),IF(N(Q1525)&gt;0,Q1525,MAX(1,H1525)))))</f>
        <v>16</v>
      </c>
      <c r="CA1525" s="65" t="n">
        <f aca="false">IF(BY1525="LOSE",1,0)</f>
        <v>0</v>
      </c>
      <c r="CB1525" s="65" t="n">
        <f aca="false">IF(AND(U1525="",OR(P1525="",P1525="LOSE"),T1525&lt;&gt;"",N(S1525)&lt;=0,ISNUMBER(MATCH(T1525,Parameter!$I$27:$I$29,0))),1,0)</f>
        <v>0</v>
      </c>
      <c r="CC1525" s="65" t="n">
        <f aca="false">IF(CR1525&gt;0,INDEX(Parameter!$H$5:$H$7,W1525)/INDEX(Parameter!$E$5:$E$7,W1525),IF(AND(CA1525=0,N(IFERROR(VLOOKUP(BY1525,'Gebinde-Kategorie'!$A$5:$N$45,14,0),0))&gt;0),VLOOKUP(BY1525,'Gebinde-Kategorie'!$A$5:$N$45,14,0)*10+Parameter!$M$23,Parameter!$M$24))</f>
        <v>155</v>
      </c>
      <c r="CD1525" s="60" t="str">
        <f aca="false">IF(AND(Parameter!$B$19="Ja",E1525&lt;&gt;"",ISNUMBER(MATCH(E1525,Parameter!$I$35:$I$52,0))),VLOOKUP(E1525,Parameter!$I$35:$J$52,2,0),IFERROR(VLOOKUP(D1525,Parameter!$A$35:$C$64,2,0),"Nein"))</f>
        <v>2+3</v>
      </c>
      <c r="CE1525" s="64" t="n">
        <f aca="false">IF(CA1525=0,0,IF(N(S1525)&gt;0,S1525,IFERROR(VLOOKUP(D1525,Parameter!$A$35:$C$64,3,0)+0,0)))</f>
        <v>0</v>
      </c>
      <c r="CF1525" s="60" t="n">
        <f aca="false">IF(AB1525&lt;&gt;"",AB1525,AA1525)</f>
        <v>1</v>
      </c>
      <c r="CG1525" s="60" t="str">
        <f aca="false">IF(OR(CF1525=1,CF1525=2,CF1525=3),IF(Parameter!$E$27="Ja","LIFT",IF(CF1525=1,"L1","L23")),IF(CF1525="Aussen","Aussen","-"))</f>
        <v>LIFT</v>
      </c>
      <c r="CH1525" s="71" t="n">
        <f aca="false">IF(N(AC1525)&gt;0,AC1525,0)</f>
        <v>0</v>
      </c>
      <c r="CI1525" s="65" t="n">
        <f aca="false">IF(ISNUMBER(AF1525),1,0)</f>
        <v>0</v>
      </c>
      <c r="CJ1525" s="62" t="n">
        <f aca="false">N(AF1525)</f>
        <v>0</v>
      </c>
      <c r="CK1525" s="62" t="n">
        <f aca="false">N(M1525)+N(N1525)</f>
        <v>15</v>
      </c>
      <c r="CL1525" s="62" t="n">
        <f aca="false">N(M1525)</f>
        <v>0</v>
      </c>
      <c r="CM1525" s="62" t="n">
        <f aca="false">N(N1525)</f>
        <v>15</v>
      </c>
      <c r="CN1525" s="62" t="n">
        <f aca="false">ROUNDUP(H1525/BZ1525,0)</f>
        <v>1</v>
      </c>
      <c r="CO1525" s="62" t="n">
        <f aca="false">ROUNDUP(CJ1525/BZ1525,0)</f>
        <v>0</v>
      </c>
      <c r="CP1525" s="65" t="n">
        <f aca="false">IF(CA1525=1,0,IFERROR(VLOOKUP(BY1525,'Gebinde-Kategorie'!$A$5:$N$45,5,0)+0,0))</f>
        <v>8</v>
      </c>
      <c r="CQ1525" s="65" t="n">
        <f aca="false">IFERROR(IF(OR(CF1525=1,CF1525=2,CF1525=3),N(INDEX(Parameter!$I$5:$I$7,CF1525)),0),0)</f>
        <v>0</v>
      </c>
      <c r="CR1525" s="64" t="n">
        <f aca="false">IF(AND(Parameter!$B$21="Ja",ISNUMBER(W1525),N(X1525)&gt;0),IFERROR(N(INDEX(Parameter!$L$5:$L$7,W1525))*INDEX(Parameter!$E$5:$E$7,W1525)*X1525/SUMIFS($X$7:$X$1843,$W$7:$W$1843,W1525),0),0)</f>
        <v>0</v>
      </c>
      <c r="CS1525" s="62" t="n">
        <f aca="false">IF(AND(OR(CG1525="L1",CG1525="L23",CG1525="LIFT"),H1525&gt;0),CC1525*IF(CR1525&gt;0,CR1525*MAX(1,H1525/X1525),IF(CA1525=1,CE1525,IF(R1525&gt;0,CN1525/R1525,0))/MAX(0.1,N(Parameter!$M$21))),"")</f>
        <v>0.553571428571429</v>
      </c>
      <c r="CT1525" s="64" t="n">
        <f aca="false">IF(CS1525="","",J1525/H1525)</f>
        <v>0</v>
      </c>
      <c r="CU1525" s="62" t="n">
        <f aca="false">IF(CS1525="","",H1525*G1525)</f>
        <v>28</v>
      </c>
      <c r="CV1525" s="63" t="n">
        <f aca="false">IF(CS1525="","",(CL1525+ROUNDUP(CL1525+MAX(CM1525,2*(J1525/MAX(0.1,N(Einkauf!$C$6))-CL1525)),0))/2)</f>
        <v>7.5</v>
      </c>
      <c r="CW1525" s="62" t="n">
        <f aca="false">IF(CS1525="","",MAX(0,H1525-CV1525)*G1525)</f>
        <v>14.875</v>
      </c>
      <c r="CX1525" s="62" t="n">
        <f aca="false">IF(CS1525="","",CS1525*MAX(0,1-CV1525/H1525))</f>
        <v>0.294084821428571</v>
      </c>
      <c r="CY1525" s="64" t="n">
        <f aca="false">IF(CS1525="","",PERCENTRANK($CS$7:$CS$1843,CS1525)+PERCENTRANK($CU$7:$CU$1843,CU1525)+1-PERCENTRANK($CT$7:$CT$1843,CT1525))</f>
        <v>1.107</v>
      </c>
      <c r="CZ1525" s="72" t="n">
        <f aca="false">IF(CS1525="","",CHOOSE(MATCH(Einkauf!$C$5,Parameter!$G$23:$G$27,0),CY1525,CS1525,CU1525,-CT1525,CW1525)+ROW()/1000000000)</f>
        <v>1.107001525</v>
      </c>
    </row>
    <row r="1526" customFormat="false" ht="15" hidden="false" customHeight="false" outlineLevel="0" collapsed="false">
      <c r="A1526" s="60" t="s">
        <v>2710</v>
      </c>
      <c r="B1526" s="60" t="s">
        <v>2711</v>
      </c>
      <c r="C1526" s="60" t="s">
        <v>206</v>
      </c>
      <c r="D1526" s="60" t="s">
        <v>226</v>
      </c>
      <c r="E1526" s="60" t="s">
        <v>227</v>
      </c>
      <c r="F1526" s="60"/>
      <c r="G1526" s="61" t="n">
        <v>59.4</v>
      </c>
      <c r="H1526" s="62" t="n">
        <f aca="false">MAX(0,IF(AND(Parameter!$B$21="Ja",ISNUMBER(Y1526)),Y1526,IF(Parameter!$B$20="Jahresanfang 2025 + Export",BS1526+BR1526,BR1526)))</f>
        <v>16</v>
      </c>
      <c r="I1526" s="62" t="n">
        <f aca="false">H1526*G1526</f>
        <v>950.4</v>
      </c>
      <c r="J1526" s="62" t="n">
        <f aca="false">BU1526*Parameter!$B$18</f>
        <v>0</v>
      </c>
      <c r="K1526" s="63"/>
      <c r="L1526" s="64"/>
      <c r="M1526" s="62" t="n">
        <v>0</v>
      </c>
      <c r="N1526" s="62" t="n">
        <v>20</v>
      </c>
      <c r="O1526" s="65" t="n">
        <v>42</v>
      </c>
      <c r="P1526" s="60" t="s">
        <v>344</v>
      </c>
      <c r="Q1526" s="62" t="n">
        <v>16</v>
      </c>
      <c r="R1526" s="65" t="n">
        <f aca="false">IF(CA1526=1,0,IFERROR(VLOOKUP(BY1526,'Gebinde-Kategorie'!$A$5:$N$45,13,0)+0,0))</f>
        <v>26</v>
      </c>
      <c r="S1526" s="66"/>
      <c r="T1526" s="67"/>
      <c r="U1526" s="67"/>
      <c r="V1526" s="67"/>
      <c r="W1526" s="60"/>
      <c r="X1526" s="62"/>
      <c r="Y1526" s="62"/>
      <c r="Z1526" s="60" t="n">
        <v>3</v>
      </c>
      <c r="AA1526" s="60" t="n">
        <f aca="false">IF(A1526="","",IF(AND(Parameter!$B$21="Ja",ISNUMBER(W1526)),W1526,IF(AND(Parameter!$E$27="Ja",ISNUMBER(Z1526),CD1526&lt;&gt;"Nein"),Z1526,IF(CD1526="2+3",IF(ISNUMBER(SEARCH("grosser Artikel",BV1526)),2,IFERROR(VLOOKUP(BY1526,Parameter!$F$35:$G$64,2,0),2)),IF(OR(CD1526="Nein",CD1526=""),"-",CD1526)))))</f>
        <v>3</v>
      </c>
      <c r="AB1526" s="67"/>
      <c r="AC1526" s="68"/>
      <c r="AD1526" s="62" t="n">
        <f aca="false">AW1526</f>
        <v>20</v>
      </c>
      <c r="AE1526" s="62" t="n">
        <f aca="false">MAX(AW1526,H1526)</f>
        <v>20</v>
      </c>
      <c r="AF1526" s="69"/>
      <c r="AG1526" s="62" t="n">
        <f aca="false">IF(LEFT(Cockpit!$C$5,1)="A",H1526,IF(Parameter!$E$30="MAX-Bestand",IF(CI1526=1,CJ1526,IF(LEFT(Cockpit!$C$5,1)="B",AM1526,MAX(AM1526,H1526))),ROUNDUP(AK1526,0)))</f>
        <v>16</v>
      </c>
      <c r="AH1526" s="62" t="n">
        <f aca="false">IF(CA1526=1,0,ROUNDUP(AG1526/BZ1526,0))</f>
        <v>1</v>
      </c>
      <c r="AI1526" s="64" t="n">
        <f aca="false">IF(CR1526&gt;0,CR1526*MAX(1,AG1526/X1526),IF(CA1526=1,IF(AG1526&lt;=0,0,CE1526*MAX(1,IF(H1526&gt;0,AG1526/H1526,1))),IF(R1526&gt;0,AH1526/R1526,0))/MAX(0.1,N(Parameter!$M$21)))</f>
        <v>0.0384615384615385</v>
      </c>
      <c r="AJ1526" s="62" t="n">
        <f aca="false">AI1526*CC1526</f>
        <v>5.96153846153846</v>
      </c>
      <c r="AK1526" s="63" t="n">
        <f aca="false">IF(LEFT(Cockpit!$C$5,1)="A",H1526,IF(CI1526=1,(CL1526+CJ1526)/2,IF(LEFT(Cockpit!$C$5,1)="B",(CL1526+AM1526)/2,MAX((CL1526+AM1526)/2,H1526))))</f>
        <v>16</v>
      </c>
      <c r="AL1526" s="62" t="n">
        <f aca="false">AK1526*G1526</f>
        <v>950.4</v>
      </c>
      <c r="AM1526" s="62" t="n">
        <f aca="false">ROUNDUP(CL1526+MAX(CM1526,2*(J1526/IF(CH1526&gt;0,CH1526,MAX(0.1,N(Cockpit!$C$6)))-CL1526)),0)</f>
        <v>20</v>
      </c>
      <c r="AN1526" s="63" t="n">
        <f aca="false">IF(AJ1526&gt;0,J1526/AJ1526,-1)</f>
        <v>0</v>
      </c>
      <c r="AO1526" s="63" t="n">
        <f aca="false">IF(AND(OR(CG1526="L1",CG1526="L23",CG1526="LIFT"),AJ1526&gt;0),SUMIFS($AJ$7:$AJ$1843,$CG$7:$CG$1843,CG1526,$AN$7:$AN$1843,"&gt;"&amp;AN1526)+SUMIFS($AJ$7:$AJ$1843,$CG$7:$CG$1843,CG1526,$AN$7:$AN$1843,AN1526,$BX$7:$BX$1843,"&lt;="&amp;BX1526),"")</f>
        <v>30045.8501298607</v>
      </c>
      <c r="AP1526" s="70" t="n">
        <f aca="false">IF(AO1526="",0,MAX(0,MIN(1,(IF(CG1526="L1",Parameter!$H$5,IF(CG1526="L23",Parameter!$H$6+Parameter!$H$7,Parameter!$H$5+Parameter!$H$6+Parameter!$H$7))-(AO1526-AJ1526))/AJ1526)))</f>
        <v>1</v>
      </c>
      <c r="AQ1526" s="62" t="n">
        <f aca="false">IF(LEFT(Cockpit!$I$5,1)="A",H1526,IF(Parameter!$E$30="MAX-Bestand",IF(CI1526=1,CJ1526,IF(LEFT(Cockpit!$I$5,1)="B",AW1526,MAX(AW1526,H1526))),ROUNDUP(AU1526,0)))</f>
        <v>16</v>
      </c>
      <c r="AR1526" s="62" t="n">
        <f aca="false">IF(CA1526=1,0,ROUNDUP(AQ1526/BZ1526,0))</f>
        <v>1</v>
      </c>
      <c r="AS1526" s="64" t="n">
        <f aca="false">IF(CR1526&gt;0,CR1526*MAX(1,AQ1526/X1526),IF(CA1526=1,IF(AQ1526&lt;=0,0,CE1526*MAX(1,IF(H1526&gt;0,AQ1526/H1526,1))),IF(R1526&gt;0,AR1526/R1526,0))/MAX(0.1,N(Parameter!$M$21)))</f>
        <v>0.0384615384615385</v>
      </c>
      <c r="AT1526" s="62" t="n">
        <f aca="false">AS1526*CC1526</f>
        <v>5.96153846153846</v>
      </c>
      <c r="AU1526" s="63" t="n">
        <f aca="false">IF(LEFT(Cockpit!$I$5,1)="A",H1526,IF(CI1526=1,(CL1526+CJ1526)/2,IF(LEFT(Cockpit!$I$5,1)="B",(CL1526+AW1526)/2,MAX((CL1526+AW1526)/2,H1526))))</f>
        <v>16</v>
      </c>
      <c r="AV1526" s="62" t="n">
        <f aca="false">AU1526*G1526</f>
        <v>950.4</v>
      </c>
      <c r="AW1526" s="62" t="n">
        <f aca="false">ROUNDUP(CL1526+MAX(CM1526,2*(J1526/IF(CH1526&gt;0,CH1526,MAX(0.1,N(Cockpit!$I$6)))-CL1526)),0)</f>
        <v>20</v>
      </c>
      <c r="AX1526" s="63" t="n">
        <f aca="false">IF(AT1526&gt;0,J1526/AT1526,-1)</f>
        <v>0</v>
      </c>
      <c r="AY1526" s="63" t="n">
        <f aca="false">IF(AND(OR(CG1526="L1",CG1526="L23",CG1526="LIFT"),AT1526&gt;0),SUMIFS($AT$7:$AT$1843,$CG$7:$CG$1843,CG1526,$AX$7:$AX$1843,"&gt;"&amp;AX1526)+SUMIFS($AT$7:$AT$1843,$CG$7:$CG$1843,CG1526,$AX$7:$AX$1843,AX1526,$BX$7:$BX$1843,"&lt;="&amp;BX1526),"")</f>
        <v>36365.7066466961</v>
      </c>
      <c r="AZ1526" s="70" t="n">
        <f aca="false">IF(AY1526="",0,MAX(0,MIN(1,(IF(CG1526="L1",Parameter!$H$5,IF(CG1526="L23",Parameter!$H$6+Parameter!$H$7,Parameter!$H$5+Parameter!$H$6+Parameter!$H$7))-(AY1526-AT1526))/AT1526)))</f>
        <v>0</v>
      </c>
      <c r="BA1526" s="62" t="n">
        <f aca="false">IF(LEFT(Cockpit!$O$5,1)="A",H1526,IF(Parameter!$E$30="MAX-Bestand",IF(CI1526=1,CJ1526,IF(LEFT(Cockpit!$O$5,1)="B",BG1526,MAX(BG1526,H1526))),ROUNDUP(BE1526,0)))</f>
        <v>10</v>
      </c>
      <c r="BB1526" s="62" t="n">
        <f aca="false">IF(CA1526=1,0,ROUNDUP(BA1526/BZ1526,0))</f>
        <v>1</v>
      </c>
      <c r="BC1526" s="64" t="n">
        <f aca="false">IF(CR1526&gt;0,CR1526*MAX(1,BA1526/X1526),IF(CA1526=1,IF(BA1526&lt;=0,0,CE1526*MAX(1,IF(H1526&gt;0,BA1526/H1526,1))),IF(R1526&gt;0,BB1526/R1526,0))/MAX(0.1,N(Parameter!$M$21)))</f>
        <v>0.0384615384615385</v>
      </c>
      <c r="BD1526" s="62" t="n">
        <f aca="false">BC1526*CC1526</f>
        <v>5.96153846153846</v>
      </c>
      <c r="BE1526" s="63" t="n">
        <f aca="false">IF(LEFT(Cockpit!$O$5,1)="A",H1526,IF(CI1526=1,(CL1526+CJ1526)/2,IF(LEFT(Cockpit!$O$5,1)="B",(CL1526+BG1526)/2,MAX((CL1526+BG1526)/2,H1526))))</f>
        <v>10</v>
      </c>
      <c r="BF1526" s="62" t="n">
        <f aca="false">BE1526*G1526</f>
        <v>594</v>
      </c>
      <c r="BG1526" s="62" t="n">
        <f aca="false">ROUNDUP(CL1526+MAX(CM1526,2*(J1526/IF(CH1526&gt;0,CH1526,MAX(0.1,N(Cockpit!$O$6)))-CL1526)),0)</f>
        <v>20</v>
      </c>
      <c r="BH1526" s="63" t="n">
        <f aca="false">IF(BD1526&gt;0,J1526/BD1526,-1)</f>
        <v>0</v>
      </c>
      <c r="BI1526" s="63" t="n">
        <f aca="false">IF(AND(OR(CG1526="L1",CG1526="L23",CG1526="LIFT"),BD1526&gt;0),SUMIFS($BD$7:$BD$1843,$CG$7:$CG$1843,CG1526,$BH$7:$BH$1843,"&gt;"&amp;BH1526)+SUMIFS($BD$7:$BD$1843,$CG$7:$CG$1843,CG1526,$BH$7:$BH$1843,BH1526,$BX$7:$BX$1843,"&lt;="&amp;BX1526),"")</f>
        <v>30303.8979222284</v>
      </c>
      <c r="BJ1526" s="70" t="n">
        <f aca="false">IF(BI1526="",0,MAX(0,MIN(1,(IF(CG1526="L1",Parameter!$H$5,IF(CG1526="L23",Parameter!$H$6+Parameter!$H$7,Parameter!$H$5+Parameter!$H$6+Parameter!$H$7))-(BI1526-BD1526))/BD1526)))</f>
        <v>1</v>
      </c>
      <c r="BK1526" s="60" t="str">
        <f aca="false">IF(AJ1526&lt;=0,"",IF(CG1526="Aussen","Aussenlager",IF(CG1526="-","Nicht im Lift",IF(AP1526&gt;=1,"Lift",IF(AP1526&lt;=0,"Aussenlager","teilweise")))))</f>
        <v>Lift</v>
      </c>
      <c r="BL1526" s="60" t="str">
        <f aca="false">IF(AT1526&lt;=0,"",IF(CG1526="Aussen","Aussenlager",IF(CG1526="-","Nicht im Lift",IF(AZ1526&gt;=1,"Lift",IF(AZ1526&lt;=0,"Aussenlager","teilweise")))))</f>
        <v>Aussenlager</v>
      </c>
      <c r="BM1526" s="60" t="str">
        <f aca="false">IF(BD1526&lt;=0,"",IF(CG1526="Aussen","Aussenlager",IF(CG1526="-","Nicht im Lift",IF(BJ1526&gt;=1,"Lift",IF(BJ1526&lt;=0,"Aussenlager","teilweise")))))</f>
        <v>Lift</v>
      </c>
      <c r="BN1526" s="60" t="str">
        <f aca="false">IF(A1526="","",IF(BW1526=1,"Neu; ","")&amp;IF(AND(BW1526=0,BR1526&lt;0),"negativer Bestand (Export "&amp;BR1526&amp;"); ","")&amp;IF(J1526&lt;=0,"Kein Verbrauch; ","")&amp;IF(CR1526&gt;0,"Lift "&amp;W1526&amp;" lt. Liftbericht (Fach "&amp;X1526&amp;" Stk); ",IF(CB1526=1,"Gebinde geschätzt ("&amp;T1526&amp;"); ",IF(CA1526=1,"Lose – Tablare geschätzt; ","")))&amp;IF(H1526&gt;AW1526,"Überbestand "&amp;ROUND(H1526-AW1526,0)&amp;" Stk / CHF "&amp;ROUND((H1526-AW1526)*G1526,0)&amp;"; ","")&amp;IF(AND(CI1526=1,CJ1526&lt;CK1526),"MAX &lt; MB+LG; ","")&amp;IF(AND(CQ1526&gt;0,CP1526*10&gt;CQ1526),"zu hoch für Tablar; ","")&amp;IF(AND(BW1526=0,OR(CI1526=1,AB1526&lt;&gt;"",U1526&lt;&gt;"",V1526&lt;&gt;"",AC1526&lt;&gt;"")),"manuell übersteuert; ","")&amp;IF(AND(CA1526=0,R1526=0),"Gebinde unbekannt / Stellmass fehlt; ","")&amp;IF(AND(CA1526=0,N(V1526)&lt;=0,N(Q1526)&lt;=0),"Menge pro Gebinde fehlt (Ist = 1 Gebinde); ","")&amp;BV1526)</f>
        <v>Kein Verbrauch; nur im Artikelstamm (Bestand 23.06.2026)</v>
      </c>
      <c r="BO1526" s="60"/>
      <c r="BP1526" s="60"/>
      <c r="BQ1526" s="67"/>
      <c r="BR1526" s="62" t="n">
        <v>16</v>
      </c>
      <c r="BS1526" s="62" t="n">
        <v>0</v>
      </c>
      <c r="BT1526" s="61" t="n">
        <v>0</v>
      </c>
      <c r="BU1526" s="62" t="n">
        <v>0</v>
      </c>
      <c r="BV1526" s="60" t="s">
        <v>2617</v>
      </c>
      <c r="BW1526" s="65" t="n">
        <v>0</v>
      </c>
      <c r="BX1526" s="65" t="n">
        <v>1526</v>
      </c>
      <c r="BY1526" s="60" t="str">
        <f aca="false">IF(U1526&lt;&gt;"",UPPER(TRIM(U1526)),IF(CB1526=1,UPPER(VLOOKUP(T1526,Parameter!$I$27:$K$29,2,0)),IF(P1526="","LOSE",P1526)))</f>
        <v>S51</v>
      </c>
      <c r="BZ1526" s="62" t="n">
        <f aca="false">IF(BY1526="LOSE",1,IF(N(V1526)&gt;0,V1526,IF(CB1526=1,MAX(1,N(VLOOKUP(T1526,Parameter!$I$27:$K$29,3,0)),H1526,N(N1526)),IF(N(Q1526)&gt;0,Q1526,MAX(1,H1526)))))</f>
        <v>16</v>
      </c>
      <c r="CA1526" s="65" t="n">
        <f aca="false">IF(BY1526="LOSE",1,0)</f>
        <v>0</v>
      </c>
      <c r="CB1526" s="65" t="n">
        <f aca="false">IF(AND(U1526="",OR(P1526="",P1526="LOSE"),T1526&lt;&gt;"",N(S1526)&lt;=0,ISNUMBER(MATCH(T1526,Parameter!$I$27:$I$29,0))),1,0)</f>
        <v>0</v>
      </c>
      <c r="CC1526" s="65" t="n">
        <f aca="false">IF(CR1526&gt;0,INDEX(Parameter!$H$5:$H$7,W1526)/INDEX(Parameter!$E$5:$E$7,W1526),IF(AND(CA1526=0,N(IFERROR(VLOOKUP(BY1526,'Gebinde-Kategorie'!$A$5:$N$45,14,0),0))&gt;0),VLOOKUP(BY1526,'Gebinde-Kategorie'!$A$5:$N$45,14,0)*10+Parameter!$M$23,Parameter!$M$24))</f>
        <v>155</v>
      </c>
      <c r="CD1526" s="60" t="str">
        <f aca="false">IF(AND(Parameter!$B$19="Ja",E1526&lt;&gt;"",ISNUMBER(MATCH(E1526,Parameter!$I$35:$I$52,0))),VLOOKUP(E1526,Parameter!$I$35:$J$52,2,0),IFERROR(VLOOKUP(D1526,Parameter!$A$35:$C$64,2,0),"Nein"))</f>
        <v>2+3</v>
      </c>
      <c r="CE1526" s="64" t="n">
        <f aca="false">IF(CA1526=0,0,IF(N(S1526)&gt;0,S1526,IFERROR(VLOOKUP(D1526,Parameter!$A$35:$C$64,3,0)+0,0)))</f>
        <v>0</v>
      </c>
      <c r="CF1526" s="60" t="n">
        <f aca="false">IF(AB1526&lt;&gt;"",AB1526,AA1526)</f>
        <v>3</v>
      </c>
      <c r="CG1526" s="60" t="str">
        <f aca="false">IF(OR(CF1526=1,CF1526=2,CF1526=3),IF(Parameter!$E$27="Ja","LIFT",IF(CF1526=1,"L1","L23")),IF(CF1526="Aussen","Aussen","-"))</f>
        <v>LIFT</v>
      </c>
      <c r="CH1526" s="71" t="n">
        <f aca="false">IF(N(AC1526)&gt;0,AC1526,0)</f>
        <v>0</v>
      </c>
      <c r="CI1526" s="65" t="n">
        <f aca="false">IF(ISNUMBER(AF1526),1,0)</f>
        <v>0</v>
      </c>
      <c r="CJ1526" s="62" t="n">
        <f aca="false">N(AF1526)</f>
        <v>0</v>
      </c>
      <c r="CK1526" s="62" t="n">
        <f aca="false">N(M1526)+N(N1526)</f>
        <v>20</v>
      </c>
      <c r="CL1526" s="62" t="n">
        <f aca="false">N(M1526)</f>
        <v>0</v>
      </c>
      <c r="CM1526" s="62" t="n">
        <f aca="false">N(N1526)</f>
        <v>20</v>
      </c>
      <c r="CN1526" s="62" t="n">
        <f aca="false">ROUNDUP(H1526/BZ1526,0)</f>
        <v>1</v>
      </c>
      <c r="CO1526" s="62" t="n">
        <f aca="false">ROUNDUP(CJ1526/BZ1526,0)</f>
        <v>0</v>
      </c>
      <c r="CP1526" s="65" t="n">
        <f aca="false">IF(CA1526=1,0,IFERROR(VLOOKUP(BY1526,'Gebinde-Kategorie'!$A$5:$N$45,5,0)+0,0))</f>
        <v>11</v>
      </c>
      <c r="CQ1526" s="65" t="n">
        <f aca="false">IFERROR(IF(OR(CF1526=1,CF1526=2,CF1526=3),N(INDEX(Parameter!$I$5:$I$7,CF1526)),0),0)</f>
        <v>0</v>
      </c>
      <c r="CR1526" s="64" t="n">
        <f aca="false">IF(AND(Parameter!$B$21="Ja",ISNUMBER(W1526),N(X1526)&gt;0),IFERROR(N(INDEX(Parameter!$L$5:$L$7,W1526))*INDEX(Parameter!$E$5:$E$7,W1526)*X1526/SUMIFS($X$7:$X$1843,$W$7:$W$1843,W1526),0),0)</f>
        <v>0</v>
      </c>
      <c r="CS1526" s="62" t="n">
        <f aca="false">IF(AND(OR(CG1526="L1",CG1526="L23",CG1526="LIFT"),H1526&gt;0),CC1526*IF(CR1526&gt;0,CR1526*MAX(1,H1526/X1526),IF(CA1526=1,CE1526,IF(R1526&gt;0,CN1526/R1526,0))/MAX(0.1,N(Parameter!$M$21))),"")</f>
        <v>5.96153846153846</v>
      </c>
      <c r="CT1526" s="64" t="n">
        <f aca="false">IF(CS1526="","",J1526/H1526)</f>
        <v>0</v>
      </c>
      <c r="CU1526" s="62" t="n">
        <f aca="false">IF(CS1526="","",H1526*G1526)</f>
        <v>950.4</v>
      </c>
      <c r="CV1526" s="63" t="n">
        <f aca="false">IF(CS1526="","",(CL1526+ROUNDUP(CL1526+MAX(CM1526,2*(J1526/MAX(0.1,N(Einkauf!$C$6))-CL1526)),0))/2)</f>
        <v>10</v>
      </c>
      <c r="CW1526" s="62" t="n">
        <f aca="false">IF(CS1526="","",MAX(0,H1526-CV1526)*G1526)</f>
        <v>356.4</v>
      </c>
      <c r="CX1526" s="62" t="n">
        <f aca="false">IF(CS1526="","",CS1526*MAX(0,1-CV1526/H1526))</f>
        <v>2.23557692307692</v>
      </c>
      <c r="CY1526" s="64" t="n">
        <f aca="false">IF(CS1526="","",PERCENTRANK($CS$7:$CS$1843,CS1526)+PERCENTRANK($CU$7:$CU$1843,CU1526)+1-PERCENTRANK($CT$7:$CT$1843,CT1526))</f>
        <v>1.998</v>
      </c>
      <c r="CZ1526" s="72" t="n">
        <f aca="false">IF(CS1526="","",CHOOSE(MATCH(Einkauf!$C$5,Parameter!$G$23:$G$27,0),CY1526,CS1526,CU1526,-CT1526,CW1526)+ROW()/1000000000)</f>
        <v>1.998001526</v>
      </c>
    </row>
    <row r="1527" customFormat="false" ht="15" hidden="false" customHeight="false" outlineLevel="0" collapsed="false">
      <c r="A1527" s="60" t="s">
        <v>2712</v>
      </c>
      <c r="B1527" s="60" t="s">
        <v>356</v>
      </c>
      <c r="C1527" s="60" t="s">
        <v>209</v>
      </c>
      <c r="D1527" s="60" t="s">
        <v>215</v>
      </c>
      <c r="E1527" s="60" t="s">
        <v>227</v>
      </c>
      <c r="F1527" s="60"/>
      <c r="G1527" s="61" t="n">
        <v>1438</v>
      </c>
      <c r="H1527" s="62" t="n">
        <f aca="false">MAX(0,IF(AND(Parameter!$B$21="Ja",ISNUMBER(Y1527)),Y1527,IF(Parameter!$B$20="Jahresanfang 2025 + Export",BS1527+BR1527,BR1527)))</f>
        <v>2</v>
      </c>
      <c r="I1527" s="62" t="n">
        <f aca="false">H1527*G1527</f>
        <v>2876</v>
      </c>
      <c r="J1527" s="62" t="n">
        <f aca="false">BU1527*Parameter!$B$18</f>
        <v>0</v>
      </c>
      <c r="K1527" s="63"/>
      <c r="L1527" s="64"/>
      <c r="M1527" s="62" t="n">
        <v>0</v>
      </c>
      <c r="N1527" s="62" t="n">
        <v>1</v>
      </c>
      <c r="O1527" s="65" t="n">
        <v>35</v>
      </c>
      <c r="P1527" s="60" t="s">
        <v>275</v>
      </c>
      <c r="Q1527" s="62" t="n">
        <v>2</v>
      </c>
      <c r="R1527" s="65" t="n">
        <f aca="false">IF(CA1527=1,0,IFERROR(VLOOKUP(BY1527,'Gebinde-Kategorie'!$A$5:$N$45,13,0)+0,0))</f>
        <v>26</v>
      </c>
      <c r="S1527" s="66"/>
      <c r="T1527" s="67"/>
      <c r="U1527" s="67"/>
      <c r="V1527" s="67"/>
      <c r="W1527" s="60"/>
      <c r="X1527" s="62"/>
      <c r="Y1527" s="62"/>
      <c r="Z1527" s="60" t="n">
        <v>3</v>
      </c>
      <c r="AA1527" s="60" t="n">
        <f aca="false">IF(A1527="","",IF(AND(Parameter!$B$21="Ja",ISNUMBER(W1527)),W1527,IF(AND(Parameter!$E$27="Ja",ISNUMBER(Z1527),CD1527&lt;&gt;"Nein"),Z1527,IF(CD1527="2+3",IF(ISNUMBER(SEARCH("grosser Artikel",BV1527)),2,IFERROR(VLOOKUP(BY1527,Parameter!$F$35:$G$64,2,0),2)),IF(OR(CD1527="Nein",CD1527=""),"-",CD1527)))))</f>
        <v>3</v>
      </c>
      <c r="AB1527" s="67"/>
      <c r="AC1527" s="68"/>
      <c r="AD1527" s="62" t="n">
        <f aca="false">AW1527</f>
        <v>1</v>
      </c>
      <c r="AE1527" s="62" t="n">
        <f aca="false">MAX(AW1527,H1527)</f>
        <v>2</v>
      </c>
      <c r="AF1527" s="69"/>
      <c r="AG1527" s="62" t="n">
        <f aca="false">IF(LEFT(Cockpit!$C$5,1)="A",H1527,IF(Parameter!$E$30="MAX-Bestand",IF(CI1527=1,CJ1527,IF(LEFT(Cockpit!$C$5,1)="B",AM1527,MAX(AM1527,H1527))),ROUNDUP(AK1527,0)))</f>
        <v>2</v>
      </c>
      <c r="AH1527" s="62" t="n">
        <f aca="false">IF(CA1527=1,0,ROUNDUP(AG1527/BZ1527,0))</f>
        <v>1</v>
      </c>
      <c r="AI1527" s="64" t="n">
        <f aca="false">IF(CR1527&gt;0,CR1527*MAX(1,AG1527/X1527),IF(CA1527=1,IF(AG1527&lt;=0,0,CE1527*MAX(1,IF(H1527&gt;0,AG1527/H1527,1))),IF(R1527&gt;0,AH1527/R1527,0))/MAX(0.1,N(Parameter!$M$21)))</f>
        <v>0.0384615384615385</v>
      </c>
      <c r="AJ1527" s="62" t="n">
        <f aca="false">AI1527*CC1527</f>
        <v>9.42307692307692</v>
      </c>
      <c r="AK1527" s="63" t="n">
        <f aca="false">IF(LEFT(Cockpit!$C$5,1)="A",H1527,IF(CI1527=1,(CL1527+CJ1527)/2,IF(LEFT(Cockpit!$C$5,1)="B",(CL1527+AM1527)/2,MAX((CL1527+AM1527)/2,H1527))))</f>
        <v>2</v>
      </c>
      <c r="AL1527" s="62" t="n">
        <f aca="false">AK1527*G1527</f>
        <v>2876</v>
      </c>
      <c r="AM1527" s="62" t="n">
        <f aca="false">ROUNDUP(CL1527+MAX(CM1527,2*(J1527/IF(CH1527&gt;0,CH1527,MAX(0.1,N(Cockpit!$C$6)))-CL1527)),0)</f>
        <v>1</v>
      </c>
      <c r="AN1527" s="63" t="n">
        <f aca="false">IF(AJ1527&gt;0,J1527/AJ1527,-1)</f>
        <v>0</v>
      </c>
      <c r="AO1527" s="63" t="n">
        <f aca="false">IF(AND(OR(CG1527="L1",CG1527="L23",CG1527="LIFT"),AJ1527&gt;0),SUMIFS($AJ$7:$AJ$1843,$CG$7:$CG$1843,CG1527,$AN$7:$AN$1843,"&gt;"&amp;AN1527)+SUMIFS($AJ$7:$AJ$1843,$CG$7:$CG$1843,CG1527,$AN$7:$AN$1843,AN1527,$BX$7:$BX$1843,"&lt;="&amp;BX1527),"")</f>
        <v>30055.2732067838</v>
      </c>
      <c r="AP1527" s="70" t="n">
        <f aca="false">IF(AO1527="",0,MAX(0,MIN(1,(IF(CG1527="L1",Parameter!$H$5,IF(CG1527="L23",Parameter!$H$6+Parameter!$H$7,Parameter!$H$5+Parameter!$H$6+Parameter!$H$7))-(AO1527-AJ1527))/AJ1527)))</f>
        <v>1</v>
      </c>
      <c r="AQ1527" s="62" t="n">
        <f aca="false">IF(LEFT(Cockpit!$I$5,1)="A",H1527,IF(Parameter!$E$30="MAX-Bestand",IF(CI1527=1,CJ1527,IF(LEFT(Cockpit!$I$5,1)="B",AW1527,MAX(AW1527,H1527))),ROUNDUP(AU1527,0)))</f>
        <v>2</v>
      </c>
      <c r="AR1527" s="62" t="n">
        <f aca="false">IF(CA1527=1,0,ROUNDUP(AQ1527/BZ1527,0))</f>
        <v>1</v>
      </c>
      <c r="AS1527" s="64" t="n">
        <f aca="false">IF(CR1527&gt;0,CR1527*MAX(1,AQ1527/X1527),IF(CA1527=1,IF(AQ1527&lt;=0,0,CE1527*MAX(1,IF(H1527&gt;0,AQ1527/H1527,1))),IF(R1527&gt;0,AR1527/R1527,0))/MAX(0.1,N(Parameter!$M$21)))</f>
        <v>0.0384615384615385</v>
      </c>
      <c r="AT1527" s="62" t="n">
        <f aca="false">AS1527*CC1527</f>
        <v>9.42307692307692</v>
      </c>
      <c r="AU1527" s="63" t="n">
        <f aca="false">IF(LEFT(Cockpit!$I$5,1)="A",H1527,IF(CI1527=1,(CL1527+CJ1527)/2,IF(LEFT(Cockpit!$I$5,1)="B",(CL1527+AW1527)/2,MAX((CL1527+AW1527)/2,H1527))))</f>
        <v>2</v>
      </c>
      <c r="AV1527" s="62" t="n">
        <f aca="false">AU1527*G1527</f>
        <v>2876</v>
      </c>
      <c r="AW1527" s="62" t="n">
        <f aca="false">ROUNDUP(CL1527+MAX(CM1527,2*(J1527/IF(CH1527&gt;0,CH1527,MAX(0.1,N(Cockpit!$I$6)))-CL1527)),0)</f>
        <v>1</v>
      </c>
      <c r="AX1527" s="63" t="n">
        <f aca="false">IF(AT1527&gt;0,J1527/AT1527,-1)</f>
        <v>0</v>
      </c>
      <c r="AY1527" s="63" t="n">
        <f aca="false">IF(AND(OR(CG1527="L1",CG1527="L23",CG1527="LIFT"),AT1527&gt;0),SUMIFS($AT$7:$AT$1843,$CG$7:$CG$1843,CG1527,$AX$7:$AX$1843,"&gt;"&amp;AX1527)+SUMIFS($AT$7:$AT$1843,$CG$7:$CG$1843,CG1527,$AX$7:$AX$1843,AX1527,$BX$7:$BX$1843,"&lt;="&amp;BX1527),"")</f>
        <v>36375.1297236191</v>
      </c>
      <c r="AZ1527" s="70" t="n">
        <f aca="false">IF(AY1527="",0,MAX(0,MIN(1,(IF(CG1527="L1",Parameter!$H$5,IF(CG1527="L23",Parameter!$H$6+Parameter!$H$7,Parameter!$H$5+Parameter!$H$6+Parameter!$H$7))-(AY1527-AT1527))/AT1527)))</f>
        <v>0</v>
      </c>
      <c r="BA1527" s="62" t="n">
        <f aca="false">IF(LEFT(Cockpit!$O$5,1)="A",H1527,IF(Parameter!$E$30="MAX-Bestand",IF(CI1527=1,CJ1527,IF(LEFT(Cockpit!$O$5,1)="B",BG1527,MAX(BG1527,H1527))),ROUNDUP(BE1527,0)))</f>
        <v>1</v>
      </c>
      <c r="BB1527" s="62" t="n">
        <f aca="false">IF(CA1527=1,0,ROUNDUP(BA1527/BZ1527,0))</f>
        <v>1</v>
      </c>
      <c r="BC1527" s="64" t="n">
        <f aca="false">IF(CR1527&gt;0,CR1527*MAX(1,BA1527/X1527),IF(CA1527=1,IF(BA1527&lt;=0,0,CE1527*MAX(1,IF(H1527&gt;0,BA1527/H1527,1))),IF(R1527&gt;0,BB1527/R1527,0))/MAX(0.1,N(Parameter!$M$21)))</f>
        <v>0.0384615384615385</v>
      </c>
      <c r="BD1527" s="62" t="n">
        <f aca="false">BC1527*CC1527</f>
        <v>9.42307692307692</v>
      </c>
      <c r="BE1527" s="63" t="n">
        <f aca="false">IF(LEFT(Cockpit!$O$5,1)="A",H1527,IF(CI1527=1,(CL1527+CJ1527)/2,IF(LEFT(Cockpit!$O$5,1)="B",(CL1527+BG1527)/2,MAX((CL1527+BG1527)/2,H1527))))</f>
        <v>0.5</v>
      </c>
      <c r="BF1527" s="62" t="n">
        <f aca="false">BE1527*G1527</f>
        <v>719</v>
      </c>
      <c r="BG1527" s="62" t="n">
        <f aca="false">ROUNDUP(CL1527+MAX(CM1527,2*(J1527/IF(CH1527&gt;0,CH1527,MAX(0.1,N(Cockpit!$O$6)))-CL1527)),0)</f>
        <v>1</v>
      </c>
      <c r="BH1527" s="63" t="n">
        <f aca="false">IF(BD1527&gt;0,J1527/BD1527,-1)</f>
        <v>0</v>
      </c>
      <c r="BI1527" s="63" t="n">
        <f aca="false">IF(AND(OR(CG1527="L1",CG1527="L23",CG1527="LIFT"),BD1527&gt;0),SUMIFS($BD$7:$BD$1843,$CG$7:$CG$1843,CG1527,$BH$7:$BH$1843,"&gt;"&amp;BH1527)+SUMIFS($BD$7:$BD$1843,$CG$7:$CG$1843,CG1527,$BH$7:$BH$1843,BH1527,$BX$7:$BX$1843,"&lt;="&amp;BX1527),"")</f>
        <v>30313.3209991515</v>
      </c>
      <c r="BJ1527" s="70" t="n">
        <f aca="false">IF(BI1527="",0,MAX(0,MIN(1,(IF(CG1527="L1",Parameter!$H$5,IF(CG1527="L23",Parameter!$H$6+Parameter!$H$7,Parameter!$H$5+Parameter!$H$6+Parameter!$H$7))-(BI1527-BD1527))/BD1527)))</f>
        <v>1</v>
      </c>
      <c r="BK1527" s="60" t="str">
        <f aca="false">IF(AJ1527&lt;=0,"",IF(CG1527="Aussen","Aussenlager",IF(CG1527="-","Nicht im Lift",IF(AP1527&gt;=1,"Lift",IF(AP1527&lt;=0,"Aussenlager","teilweise")))))</f>
        <v>Lift</v>
      </c>
      <c r="BL1527" s="60" t="str">
        <f aca="false">IF(AT1527&lt;=0,"",IF(CG1527="Aussen","Aussenlager",IF(CG1527="-","Nicht im Lift",IF(AZ1527&gt;=1,"Lift",IF(AZ1527&lt;=0,"Aussenlager","teilweise")))))</f>
        <v>Aussenlager</v>
      </c>
      <c r="BM1527" s="60" t="str">
        <f aca="false">IF(BD1527&lt;=0,"",IF(CG1527="Aussen","Aussenlager",IF(CG1527="-","Nicht im Lift",IF(BJ1527&gt;=1,"Lift",IF(BJ1527&lt;=0,"Aussenlager","teilweise")))))</f>
        <v>Lift</v>
      </c>
      <c r="BN1527" s="60" t="str">
        <f aca="false">IF(A1527="","",IF(BW1527=1,"Neu; ","")&amp;IF(AND(BW1527=0,BR1527&lt;0),"negativer Bestand (Export "&amp;BR1527&amp;"); ","")&amp;IF(J1527&lt;=0,"Kein Verbrauch; ","")&amp;IF(CR1527&gt;0,"Lift "&amp;W1527&amp;" lt. Liftbericht (Fach "&amp;X1527&amp;" Stk); ",IF(CB1527=1,"Gebinde geschätzt ("&amp;T1527&amp;"); ",IF(CA1527=1,"Lose – Tablare geschätzt; ","")))&amp;IF(H1527&gt;AW1527,"Überbestand "&amp;ROUND(H1527-AW1527,0)&amp;" Stk / CHF "&amp;ROUND((H1527-AW1527)*G1527,0)&amp;"; ","")&amp;IF(AND(CI1527=1,CJ1527&lt;CK1527),"MAX &lt; MB+LG; ","")&amp;IF(AND(CQ1527&gt;0,CP1527*10&gt;CQ1527),"zu hoch für Tablar; ","")&amp;IF(AND(BW1527=0,OR(CI1527=1,AB1527&lt;&gt;"",U1527&lt;&gt;"",V1527&lt;&gt;"",AC1527&lt;&gt;"")),"manuell übersteuert; ","")&amp;IF(AND(CA1527=0,R1527=0),"Gebinde unbekannt / Stellmass fehlt; ","")&amp;IF(AND(CA1527=0,N(V1527)&lt;=0,N(Q1527)&lt;=0),"Menge pro Gebinde fehlt (Ist = 1 Gebinde); ","")&amp;BV1527)</f>
        <v>Kein Verbrauch; Überbestand 1 Stk / CHF 1438; nur im Artikelstamm (Bestand 23.06.2026)</v>
      </c>
      <c r="BO1527" s="60"/>
      <c r="BP1527" s="60"/>
      <c r="BQ1527" s="67"/>
      <c r="BR1527" s="62" t="n">
        <v>2</v>
      </c>
      <c r="BS1527" s="62" t="n">
        <v>0</v>
      </c>
      <c r="BT1527" s="61" t="n">
        <v>0</v>
      </c>
      <c r="BU1527" s="62" t="n">
        <v>0</v>
      </c>
      <c r="BV1527" s="60" t="s">
        <v>2617</v>
      </c>
      <c r="BW1527" s="65" t="n">
        <v>0</v>
      </c>
      <c r="BX1527" s="65" t="n">
        <v>1527</v>
      </c>
      <c r="BY1527" s="60" t="str">
        <f aca="false">IF(U1527&lt;&gt;"",UPPER(TRIM(U1527)),IF(CB1527=1,UPPER(VLOOKUP(T1527,Parameter!$I$27:$K$29,2,0)),IF(P1527="","LOSE",P1527)))</f>
        <v>S52</v>
      </c>
      <c r="BZ1527" s="62" t="n">
        <f aca="false">IF(BY1527="LOSE",1,IF(N(V1527)&gt;0,V1527,IF(CB1527=1,MAX(1,N(VLOOKUP(T1527,Parameter!$I$27:$K$29,3,0)),H1527,N(N1527)),IF(N(Q1527)&gt;0,Q1527,MAX(1,H1527)))))</f>
        <v>2</v>
      </c>
      <c r="CA1527" s="65" t="n">
        <f aca="false">IF(BY1527="LOSE",1,0)</f>
        <v>0</v>
      </c>
      <c r="CB1527" s="65" t="n">
        <f aca="false">IF(AND(U1527="",OR(P1527="",P1527="LOSE"),T1527&lt;&gt;"",N(S1527)&lt;=0,ISNUMBER(MATCH(T1527,Parameter!$I$27:$I$29,0))),1,0)</f>
        <v>0</v>
      </c>
      <c r="CC1527" s="65" t="n">
        <f aca="false">IF(CR1527&gt;0,INDEX(Parameter!$H$5:$H$7,W1527)/INDEX(Parameter!$E$5:$E$7,W1527),IF(AND(CA1527=0,N(IFERROR(VLOOKUP(BY1527,'Gebinde-Kategorie'!$A$5:$N$45,14,0),0))&gt;0),VLOOKUP(BY1527,'Gebinde-Kategorie'!$A$5:$N$45,14,0)*10+Parameter!$M$23,Parameter!$M$24))</f>
        <v>245</v>
      </c>
      <c r="CD1527" s="60" t="str">
        <f aca="false">IF(AND(Parameter!$B$19="Ja",E1527&lt;&gt;"",ISNUMBER(MATCH(E1527,Parameter!$I$35:$I$52,0))),VLOOKUP(E1527,Parameter!$I$35:$J$52,2,0),IFERROR(VLOOKUP(D1527,Parameter!$A$35:$C$64,2,0),"Nein"))</f>
        <v>2+3</v>
      </c>
      <c r="CE1527" s="64" t="n">
        <f aca="false">IF(CA1527=0,0,IF(N(S1527)&gt;0,S1527,IFERROR(VLOOKUP(D1527,Parameter!$A$35:$C$64,3,0)+0,0)))</f>
        <v>0</v>
      </c>
      <c r="CF1527" s="60" t="n">
        <f aca="false">IF(AB1527&lt;&gt;"",AB1527,AA1527)</f>
        <v>3</v>
      </c>
      <c r="CG1527" s="60" t="str">
        <f aca="false">IF(OR(CF1527=1,CF1527=2,CF1527=3),IF(Parameter!$E$27="Ja","LIFT",IF(CF1527=1,"L1","L23")),IF(CF1527="Aussen","Aussen","-"))</f>
        <v>LIFT</v>
      </c>
      <c r="CH1527" s="71" t="n">
        <f aca="false">IF(N(AC1527)&gt;0,AC1527,0)</f>
        <v>0</v>
      </c>
      <c r="CI1527" s="65" t="n">
        <f aca="false">IF(ISNUMBER(AF1527),1,0)</f>
        <v>0</v>
      </c>
      <c r="CJ1527" s="62" t="n">
        <f aca="false">N(AF1527)</f>
        <v>0</v>
      </c>
      <c r="CK1527" s="62" t="n">
        <f aca="false">N(M1527)+N(N1527)</f>
        <v>1</v>
      </c>
      <c r="CL1527" s="62" t="n">
        <f aca="false">N(M1527)</f>
        <v>0</v>
      </c>
      <c r="CM1527" s="62" t="n">
        <f aca="false">N(N1527)</f>
        <v>1</v>
      </c>
      <c r="CN1527" s="62" t="n">
        <f aca="false">ROUNDUP(H1527/BZ1527,0)</f>
        <v>1</v>
      </c>
      <c r="CO1527" s="62" t="n">
        <f aca="false">ROUNDUP(CJ1527/BZ1527,0)</f>
        <v>0</v>
      </c>
      <c r="CP1527" s="65" t="n">
        <f aca="false">IF(CA1527=1,0,IFERROR(VLOOKUP(BY1527,'Gebinde-Kategorie'!$A$5:$N$45,5,0)+0,0))</f>
        <v>21</v>
      </c>
      <c r="CQ1527" s="65" t="n">
        <f aca="false">IFERROR(IF(OR(CF1527=1,CF1527=2,CF1527=3),N(INDEX(Parameter!$I$5:$I$7,CF1527)),0),0)</f>
        <v>0</v>
      </c>
      <c r="CR1527" s="64" t="n">
        <f aca="false">IF(AND(Parameter!$B$21="Ja",ISNUMBER(W1527),N(X1527)&gt;0),IFERROR(N(INDEX(Parameter!$L$5:$L$7,W1527))*INDEX(Parameter!$E$5:$E$7,W1527)*X1527/SUMIFS($X$7:$X$1843,$W$7:$W$1843,W1527),0),0)</f>
        <v>0</v>
      </c>
      <c r="CS1527" s="62" t="n">
        <f aca="false">IF(AND(OR(CG1527="L1",CG1527="L23",CG1527="LIFT"),H1527&gt;0),CC1527*IF(CR1527&gt;0,CR1527*MAX(1,H1527/X1527),IF(CA1527=1,CE1527,IF(R1527&gt;0,CN1527/R1527,0))/MAX(0.1,N(Parameter!$M$21))),"")</f>
        <v>9.42307692307692</v>
      </c>
      <c r="CT1527" s="64" t="n">
        <f aca="false">IF(CS1527="","",J1527/H1527)</f>
        <v>0</v>
      </c>
      <c r="CU1527" s="62" t="n">
        <f aca="false">IF(CS1527="","",H1527*G1527)</f>
        <v>2876</v>
      </c>
      <c r="CV1527" s="63" t="n">
        <f aca="false">IF(CS1527="","",(CL1527+ROUNDUP(CL1527+MAX(CM1527,2*(J1527/MAX(0.1,N(Einkauf!$C$6))-CL1527)),0))/2)</f>
        <v>0.5</v>
      </c>
      <c r="CW1527" s="62" t="n">
        <f aca="false">IF(CS1527="","",MAX(0,H1527-CV1527)*G1527)</f>
        <v>2157</v>
      </c>
      <c r="CX1527" s="62" t="n">
        <f aca="false">IF(CS1527="","",CS1527*MAX(0,1-CV1527/H1527))</f>
        <v>7.06730769230769</v>
      </c>
      <c r="CY1527" s="64" t="n">
        <f aca="false">IF(CS1527="","",PERCENTRANK($CS$7:$CS$1843,CS1527)+PERCENTRANK($CU$7:$CU$1843,CU1527)+1-PERCENTRANK($CT$7:$CT$1843,CT1527))</f>
        <v>2.397</v>
      </c>
      <c r="CZ1527" s="72" t="n">
        <f aca="false">IF(CS1527="","",CHOOSE(MATCH(Einkauf!$C$5,Parameter!$G$23:$G$27,0),CY1527,CS1527,CU1527,-CT1527,CW1527)+ROW()/1000000000)</f>
        <v>2.397001527</v>
      </c>
    </row>
    <row r="1528" customFormat="false" ht="15" hidden="false" customHeight="false" outlineLevel="0" collapsed="false">
      <c r="A1528" s="60" t="s">
        <v>2713</v>
      </c>
      <c r="B1528" s="60" t="s">
        <v>2705</v>
      </c>
      <c r="C1528" s="60" t="s">
        <v>209</v>
      </c>
      <c r="D1528" s="60" t="s">
        <v>215</v>
      </c>
      <c r="E1528" s="60" t="s">
        <v>227</v>
      </c>
      <c r="F1528" s="60"/>
      <c r="G1528" s="61" t="n">
        <v>1438</v>
      </c>
      <c r="H1528" s="62" t="n">
        <f aca="false">MAX(0,IF(AND(Parameter!$B$21="Ja",ISNUMBER(Y1528)),Y1528,IF(Parameter!$B$20="Jahresanfang 2025 + Export",BS1528+BR1528,BR1528)))</f>
        <v>2</v>
      </c>
      <c r="I1528" s="62" t="n">
        <f aca="false">H1528*G1528</f>
        <v>2876</v>
      </c>
      <c r="J1528" s="62" t="n">
        <f aca="false">BU1528*Parameter!$B$18</f>
        <v>0</v>
      </c>
      <c r="K1528" s="63"/>
      <c r="L1528" s="64"/>
      <c r="M1528" s="62" t="n">
        <v>0</v>
      </c>
      <c r="N1528" s="62" t="n">
        <v>1</v>
      </c>
      <c r="O1528" s="65" t="n">
        <v>35</v>
      </c>
      <c r="P1528" s="60" t="s">
        <v>275</v>
      </c>
      <c r="Q1528" s="62" t="n">
        <v>2</v>
      </c>
      <c r="R1528" s="65" t="n">
        <f aca="false">IF(CA1528=1,0,IFERROR(VLOOKUP(BY1528,'Gebinde-Kategorie'!$A$5:$N$45,13,0)+0,0))</f>
        <v>26</v>
      </c>
      <c r="S1528" s="66"/>
      <c r="T1528" s="67"/>
      <c r="U1528" s="67"/>
      <c r="V1528" s="67"/>
      <c r="W1528" s="60"/>
      <c r="X1528" s="62"/>
      <c r="Y1528" s="62"/>
      <c r="Z1528" s="60" t="n">
        <v>3</v>
      </c>
      <c r="AA1528" s="60" t="n">
        <f aca="false">IF(A1528="","",IF(AND(Parameter!$B$21="Ja",ISNUMBER(W1528)),W1528,IF(AND(Parameter!$E$27="Ja",ISNUMBER(Z1528),CD1528&lt;&gt;"Nein"),Z1528,IF(CD1528="2+3",IF(ISNUMBER(SEARCH("grosser Artikel",BV1528)),2,IFERROR(VLOOKUP(BY1528,Parameter!$F$35:$G$64,2,0),2)),IF(OR(CD1528="Nein",CD1528=""),"-",CD1528)))))</f>
        <v>3</v>
      </c>
      <c r="AB1528" s="67"/>
      <c r="AC1528" s="68"/>
      <c r="AD1528" s="62" t="n">
        <f aca="false">AW1528</f>
        <v>1</v>
      </c>
      <c r="AE1528" s="62" t="n">
        <f aca="false">MAX(AW1528,H1528)</f>
        <v>2</v>
      </c>
      <c r="AF1528" s="69"/>
      <c r="AG1528" s="62" t="n">
        <f aca="false">IF(LEFT(Cockpit!$C$5,1)="A",H1528,IF(Parameter!$E$30="MAX-Bestand",IF(CI1528=1,CJ1528,IF(LEFT(Cockpit!$C$5,1)="B",AM1528,MAX(AM1528,H1528))),ROUNDUP(AK1528,0)))</f>
        <v>2</v>
      </c>
      <c r="AH1528" s="62" t="n">
        <f aca="false">IF(CA1528=1,0,ROUNDUP(AG1528/BZ1528,0))</f>
        <v>1</v>
      </c>
      <c r="AI1528" s="64" t="n">
        <f aca="false">IF(CR1528&gt;0,CR1528*MAX(1,AG1528/X1528),IF(CA1528=1,IF(AG1528&lt;=0,0,CE1528*MAX(1,IF(H1528&gt;0,AG1528/H1528,1))),IF(R1528&gt;0,AH1528/R1528,0))/MAX(0.1,N(Parameter!$M$21)))</f>
        <v>0.0384615384615385</v>
      </c>
      <c r="AJ1528" s="62" t="n">
        <f aca="false">AI1528*CC1528</f>
        <v>9.42307692307692</v>
      </c>
      <c r="AK1528" s="63" t="n">
        <f aca="false">IF(LEFT(Cockpit!$C$5,1)="A",H1528,IF(CI1528=1,(CL1528+CJ1528)/2,IF(LEFT(Cockpit!$C$5,1)="B",(CL1528+AM1528)/2,MAX((CL1528+AM1528)/2,H1528))))</f>
        <v>2</v>
      </c>
      <c r="AL1528" s="62" t="n">
        <f aca="false">AK1528*G1528</f>
        <v>2876</v>
      </c>
      <c r="AM1528" s="62" t="n">
        <f aca="false">ROUNDUP(CL1528+MAX(CM1528,2*(J1528/IF(CH1528&gt;0,CH1528,MAX(0.1,N(Cockpit!$C$6)))-CL1528)),0)</f>
        <v>1</v>
      </c>
      <c r="AN1528" s="63" t="n">
        <f aca="false">IF(AJ1528&gt;0,J1528/AJ1528,-1)</f>
        <v>0</v>
      </c>
      <c r="AO1528" s="63" t="n">
        <f aca="false">IF(AND(OR(CG1528="L1",CG1528="L23",CG1528="LIFT"),AJ1528&gt;0),SUMIFS($AJ$7:$AJ$1843,$CG$7:$CG$1843,CG1528,$AN$7:$AN$1843,"&gt;"&amp;AN1528)+SUMIFS($AJ$7:$AJ$1843,$CG$7:$CG$1843,CG1528,$AN$7:$AN$1843,AN1528,$BX$7:$BX$1843,"&lt;="&amp;BX1528),"")</f>
        <v>30064.6962837069</v>
      </c>
      <c r="AP1528" s="70" t="n">
        <f aca="false">IF(AO1528="",0,MAX(0,MIN(1,(IF(CG1528="L1",Parameter!$H$5,IF(CG1528="L23",Parameter!$H$6+Parameter!$H$7,Parameter!$H$5+Parameter!$H$6+Parameter!$H$7))-(AO1528-AJ1528))/AJ1528)))</f>
        <v>1</v>
      </c>
      <c r="AQ1528" s="62" t="n">
        <f aca="false">IF(LEFT(Cockpit!$I$5,1)="A",H1528,IF(Parameter!$E$30="MAX-Bestand",IF(CI1528=1,CJ1528,IF(LEFT(Cockpit!$I$5,1)="B",AW1528,MAX(AW1528,H1528))),ROUNDUP(AU1528,0)))</f>
        <v>2</v>
      </c>
      <c r="AR1528" s="62" t="n">
        <f aca="false">IF(CA1528=1,0,ROUNDUP(AQ1528/BZ1528,0))</f>
        <v>1</v>
      </c>
      <c r="AS1528" s="64" t="n">
        <f aca="false">IF(CR1528&gt;0,CR1528*MAX(1,AQ1528/X1528),IF(CA1528=1,IF(AQ1528&lt;=0,0,CE1528*MAX(1,IF(H1528&gt;0,AQ1528/H1528,1))),IF(R1528&gt;0,AR1528/R1528,0))/MAX(0.1,N(Parameter!$M$21)))</f>
        <v>0.0384615384615385</v>
      </c>
      <c r="AT1528" s="62" t="n">
        <f aca="false">AS1528*CC1528</f>
        <v>9.42307692307692</v>
      </c>
      <c r="AU1528" s="63" t="n">
        <f aca="false">IF(LEFT(Cockpit!$I$5,1)="A",H1528,IF(CI1528=1,(CL1528+CJ1528)/2,IF(LEFT(Cockpit!$I$5,1)="B",(CL1528+AW1528)/2,MAX((CL1528+AW1528)/2,H1528))))</f>
        <v>2</v>
      </c>
      <c r="AV1528" s="62" t="n">
        <f aca="false">AU1528*G1528</f>
        <v>2876</v>
      </c>
      <c r="AW1528" s="62" t="n">
        <f aca="false">ROUNDUP(CL1528+MAX(CM1528,2*(J1528/IF(CH1528&gt;0,CH1528,MAX(0.1,N(Cockpit!$I$6)))-CL1528)),0)</f>
        <v>1</v>
      </c>
      <c r="AX1528" s="63" t="n">
        <f aca="false">IF(AT1528&gt;0,J1528/AT1528,-1)</f>
        <v>0</v>
      </c>
      <c r="AY1528" s="63" t="n">
        <f aca="false">IF(AND(OR(CG1528="L1",CG1528="L23",CG1528="LIFT"),AT1528&gt;0),SUMIFS($AT$7:$AT$1843,$CG$7:$CG$1843,CG1528,$AX$7:$AX$1843,"&gt;"&amp;AX1528)+SUMIFS($AT$7:$AT$1843,$CG$7:$CG$1843,CG1528,$AX$7:$AX$1843,AX1528,$BX$7:$BX$1843,"&lt;="&amp;BX1528),"")</f>
        <v>36384.5528005422</v>
      </c>
      <c r="AZ1528" s="70" t="n">
        <f aca="false">IF(AY1528="",0,MAX(0,MIN(1,(IF(CG1528="L1",Parameter!$H$5,IF(CG1528="L23",Parameter!$H$6+Parameter!$H$7,Parameter!$H$5+Parameter!$H$6+Parameter!$H$7))-(AY1528-AT1528))/AT1528)))</f>
        <v>0</v>
      </c>
      <c r="BA1528" s="62" t="n">
        <f aca="false">IF(LEFT(Cockpit!$O$5,1)="A",H1528,IF(Parameter!$E$30="MAX-Bestand",IF(CI1528=1,CJ1528,IF(LEFT(Cockpit!$O$5,1)="B",BG1528,MAX(BG1528,H1528))),ROUNDUP(BE1528,0)))</f>
        <v>1</v>
      </c>
      <c r="BB1528" s="62" t="n">
        <f aca="false">IF(CA1528=1,0,ROUNDUP(BA1528/BZ1528,0))</f>
        <v>1</v>
      </c>
      <c r="BC1528" s="64" t="n">
        <f aca="false">IF(CR1528&gt;0,CR1528*MAX(1,BA1528/X1528),IF(CA1528=1,IF(BA1528&lt;=0,0,CE1528*MAX(1,IF(H1528&gt;0,BA1528/H1528,1))),IF(R1528&gt;0,BB1528/R1528,0))/MAX(0.1,N(Parameter!$M$21)))</f>
        <v>0.0384615384615385</v>
      </c>
      <c r="BD1528" s="62" t="n">
        <f aca="false">BC1528*CC1528</f>
        <v>9.42307692307692</v>
      </c>
      <c r="BE1528" s="63" t="n">
        <f aca="false">IF(LEFT(Cockpit!$O$5,1)="A",H1528,IF(CI1528=1,(CL1528+CJ1528)/2,IF(LEFT(Cockpit!$O$5,1)="B",(CL1528+BG1528)/2,MAX((CL1528+BG1528)/2,H1528))))</f>
        <v>0.5</v>
      </c>
      <c r="BF1528" s="62" t="n">
        <f aca="false">BE1528*G1528</f>
        <v>719</v>
      </c>
      <c r="BG1528" s="62" t="n">
        <f aca="false">ROUNDUP(CL1528+MAX(CM1528,2*(J1528/IF(CH1528&gt;0,CH1528,MAX(0.1,N(Cockpit!$O$6)))-CL1528)),0)</f>
        <v>1</v>
      </c>
      <c r="BH1528" s="63" t="n">
        <f aca="false">IF(BD1528&gt;0,J1528/BD1528,-1)</f>
        <v>0</v>
      </c>
      <c r="BI1528" s="63" t="n">
        <f aca="false">IF(AND(OR(CG1528="L1",CG1528="L23",CG1528="LIFT"),BD1528&gt;0),SUMIFS($BD$7:$BD$1843,$CG$7:$CG$1843,CG1528,$BH$7:$BH$1843,"&gt;"&amp;BH1528)+SUMIFS($BD$7:$BD$1843,$CG$7:$CG$1843,CG1528,$BH$7:$BH$1843,BH1528,$BX$7:$BX$1843,"&lt;="&amp;BX1528),"")</f>
        <v>30322.7440760746</v>
      </c>
      <c r="BJ1528" s="70" t="n">
        <f aca="false">IF(BI1528="",0,MAX(0,MIN(1,(IF(CG1528="L1",Parameter!$H$5,IF(CG1528="L23",Parameter!$H$6+Parameter!$H$7,Parameter!$H$5+Parameter!$H$6+Parameter!$H$7))-(BI1528-BD1528))/BD1528)))</f>
        <v>1</v>
      </c>
      <c r="BK1528" s="60" t="str">
        <f aca="false">IF(AJ1528&lt;=0,"",IF(CG1528="Aussen","Aussenlager",IF(CG1528="-","Nicht im Lift",IF(AP1528&gt;=1,"Lift",IF(AP1528&lt;=0,"Aussenlager","teilweise")))))</f>
        <v>Lift</v>
      </c>
      <c r="BL1528" s="60" t="str">
        <f aca="false">IF(AT1528&lt;=0,"",IF(CG1528="Aussen","Aussenlager",IF(CG1528="-","Nicht im Lift",IF(AZ1528&gt;=1,"Lift",IF(AZ1528&lt;=0,"Aussenlager","teilweise")))))</f>
        <v>Aussenlager</v>
      </c>
      <c r="BM1528" s="60" t="str">
        <f aca="false">IF(BD1528&lt;=0,"",IF(CG1528="Aussen","Aussenlager",IF(CG1528="-","Nicht im Lift",IF(BJ1528&gt;=1,"Lift",IF(BJ1528&lt;=0,"Aussenlager","teilweise")))))</f>
        <v>Lift</v>
      </c>
      <c r="BN1528" s="60" t="str">
        <f aca="false">IF(A1528="","",IF(BW1528=1,"Neu; ","")&amp;IF(AND(BW1528=0,BR1528&lt;0),"negativer Bestand (Export "&amp;BR1528&amp;"); ","")&amp;IF(J1528&lt;=0,"Kein Verbrauch; ","")&amp;IF(CR1528&gt;0,"Lift "&amp;W1528&amp;" lt. Liftbericht (Fach "&amp;X1528&amp;" Stk); ",IF(CB1528=1,"Gebinde geschätzt ("&amp;T1528&amp;"); ",IF(CA1528=1,"Lose – Tablare geschätzt; ","")))&amp;IF(H1528&gt;AW1528,"Überbestand "&amp;ROUND(H1528-AW1528,0)&amp;" Stk / CHF "&amp;ROUND((H1528-AW1528)*G1528,0)&amp;"; ","")&amp;IF(AND(CI1528=1,CJ1528&lt;CK1528),"MAX &lt; MB+LG; ","")&amp;IF(AND(CQ1528&gt;0,CP1528*10&gt;CQ1528),"zu hoch für Tablar; ","")&amp;IF(AND(BW1528=0,OR(CI1528=1,AB1528&lt;&gt;"",U1528&lt;&gt;"",V1528&lt;&gt;"",AC1528&lt;&gt;"")),"manuell übersteuert; ","")&amp;IF(AND(CA1528=0,R1528=0),"Gebinde unbekannt / Stellmass fehlt; ","")&amp;IF(AND(CA1528=0,N(V1528)&lt;=0,N(Q1528)&lt;=0),"Menge pro Gebinde fehlt (Ist = 1 Gebinde); ","")&amp;BV1528)</f>
        <v>Kein Verbrauch; Überbestand 1 Stk / CHF 1438; nur im Artikelstamm (Bestand 23.06.2026)</v>
      </c>
      <c r="BO1528" s="60"/>
      <c r="BP1528" s="60"/>
      <c r="BQ1528" s="67"/>
      <c r="BR1528" s="62" t="n">
        <v>2</v>
      </c>
      <c r="BS1528" s="62" t="n">
        <v>0</v>
      </c>
      <c r="BT1528" s="61" t="n">
        <v>0</v>
      </c>
      <c r="BU1528" s="62" t="n">
        <v>0</v>
      </c>
      <c r="BV1528" s="60" t="s">
        <v>2617</v>
      </c>
      <c r="BW1528" s="65" t="n">
        <v>0</v>
      </c>
      <c r="BX1528" s="65" t="n">
        <v>1528</v>
      </c>
      <c r="BY1528" s="60" t="str">
        <f aca="false">IF(U1528&lt;&gt;"",UPPER(TRIM(U1528)),IF(CB1528=1,UPPER(VLOOKUP(T1528,Parameter!$I$27:$K$29,2,0)),IF(P1528="","LOSE",P1528)))</f>
        <v>S52</v>
      </c>
      <c r="BZ1528" s="62" t="n">
        <f aca="false">IF(BY1528="LOSE",1,IF(N(V1528)&gt;0,V1528,IF(CB1528=1,MAX(1,N(VLOOKUP(T1528,Parameter!$I$27:$K$29,3,0)),H1528,N(N1528)),IF(N(Q1528)&gt;0,Q1528,MAX(1,H1528)))))</f>
        <v>2</v>
      </c>
      <c r="CA1528" s="65" t="n">
        <f aca="false">IF(BY1528="LOSE",1,0)</f>
        <v>0</v>
      </c>
      <c r="CB1528" s="65" t="n">
        <f aca="false">IF(AND(U1528="",OR(P1528="",P1528="LOSE"),T1528&lt;&gt;"",N(S1528)&lt;=0,ISNUMBER(MATCH(T1528,Parameter!$I$27:$I$29,0))),1,0)</f>
        <v>0</v>
      </c>
      <c r="CC1528" s="65" t="n">
        <f aca="false">IF(CR1528&gt;0,INDEX(Parameter!$H$5:$H$7,W1528)/INDEX(Parameter!$E$5:$E$7,W1528),IF(AND(CA1528=0,N(IFERROR(VLOOKUP(BY1528,'Gebinde-Kategorie'!$A$5:$N$45,14,0),0))&gt;0),VLOOKUP(BY1528,'Gebinde-Kategorie'!$A$5:$N$45,14,0)*10+Parameter!$M$23,Parameter!$M$24))</f>
        <v>245</v>
      </c>
      <c r="CD1528" s="60" t="str">
        <f aca="false">IF(AND(Parameter!$B$19="Ja",E1528&lt;&gt;"",ISNUMBER(MATCH(E1528,Parameter!$I$35:$I$52,0))),VLOOKUP(E1528,Parameter!$I$35:$J$52,2,0),IFERROR(VLOOKUP(D1528,Parameter!$A$35:$C$64,2,0),"Nein"))</f>
        <v>2+3</v>
      </c>
      <c r="CE1528" s="64" t="n">
        <f aca="false">IF(CA1528=0,0,IF(N(S1528)&gt;0,S1528,IFERROR(VLOOKUP(D1528,Parameter!$A$35:$C$64,3,0)+0,0)))</f>
        <v>0</v>
      </c>
      <c r="CF1528" s="60" t="n">
        <f aca="false">IF(AB1528&lt;&gt;"",AB1528,AA1528)</f>
        <v>3</v>
      </c>
      <c r="CG1528" s="60" t="str">
        <f aca="false">IF(OR(CF1528=1,CF1528=2,CF1528=3),IF(Parameter!$E$27="Ja","LIFT",IF(CF1528=1,"L1","L23")),IF(CF1528="Aussen","Aussen","-"))</f>
        <v>LIFT</v>
      </c>
      <c r="CH1528" s="71" t="n">
        <f aca="false">IF(N(AC1528)&gt;0,AC1528,0)</f>
        <v>0</v>
      </c>
      <c r="CI1528" s="65" t="n">
        <f aca="false">IF(ISNUMBER(AF1528),1,0)</f>
        <v>0</v>
      </c>
      <c r="CJ1528" s="62" t="n">
        <f aca="false">N(AF1528)</f>
        <v>0</v>
      </c>
      <c r="CK1528" s="62" t="n">
        <f aca="false">N(M1528)+N(N1528)</f>
        <v>1</v>
      </c>
      <c r="CL1528" s="62" t="n">
        <f aca="false">N(M1528)</f>
        <v>0</v>
      </c>
      <c r="CM1528" s="62" t="n">
        <f aca="false">N(N1528)</f>
        <v>1</v>
      </c>
      <c r="CN1528" s="62" t="n">
        <f aca="false">ROUNDUP(H1528/BZ1528,0)</f>
        <v>1</v>
      </c>
      <c r="CO1528" s="62" t="n">
        <f aca="false">ROUNDUP(CJ1528/BZ1528,0)</f>
        <v>0</v>
      </c>
      <c r="CP1528" s="65" t="n">
        <f aca="false">IF(CA1528=1,0,IFERROR(VLOOKUP(BY1528,'Gebinde-Kategorie'!$A$5:$N$45,5,0)+0,0))</f>
        <v>21</v>
      </c>
      <c r="CQ1528" s="65" t="n">
        <f aca="false">IFERROR(IF(OR(CF1528=1,CF1528=2,CF1528=3),N(INDEX(Parameter!$I$5:$I$7,CF1528)),0),0)</f>
        <v>0</v>
      </c>
      <c r="CR1528" s="64" t="n">
        <f aca="false">IF(AND(Parameter!$B$21="Ja",ISNUMBER(W1528),N(X1528)&gt;0),IFERROR(N(INDEX(Parameter!$L$5:$L$7,W1528))*INDEX(Parameter!$E$5:$E$7,W1528)*X1528/SUMIFS($X$7:$X$1843,$W$7:$W$1843,W1528),0),0)</f>
        <v>0</v>
      </c>
      <c r="CS1528" s="62" t="n">
        <f aca="false">IF(AND(OR(CG1528="L1",CG1528="L23",CG1528="LIFT"),H1528&gt;0),CC1528*IF(CR1528&gt;0,CR1528*MAX(1,H1528/X1528),IF(CA1528=1,CE1528,IF(R1528&gt;0,CN1528/R1528,0))/MAX(0.1,N(Parameter!$M$21))),"")</f>
        <v>9.42307692307692</v>
      </c>
      <c r="CT1528" s="64" t="n">
        <f aca="false">IF(CS1528="","",J1528/H1528)</f>
        <v>0</v>
      </c>
      <c r="CU1528" s="62" t="n">
        <f aca="false">IF(CS1528="","",H1528*G1528)</f>
        <v>2876</v>
      </c>
      <c r="CV1528" s="63" t="n">
        <f aca="false">IF(CS1528="","",(CL1528+ROUNDUP(CL1528+MAX(CM1528,2*(J1528/MAX(0.1,N(Einkauf!$C$6))-CL1528)),0))/2)</f>
        <v>0.5</v>
      </c>
      <c r="CW1528" s="62" t="n">
        <f aca="false">IF(CS1528="","",MAX(0,H1528-CV1528)*G1528)</f>
        <v>2157</v>
      </c>
      <c r="CX1528" s="62" t="n">
        <f aca="false">IF(CS1528="","",CS1528*MAX(0,1-CV1528/H1528))</f>
        <v>7.06730769230769</v>
      </c>
      <c r="CY1528" s="64" t="n">
        <f aca="false">IF(CS1528="","",PERCENTRANK($CS$7:$CS$1843,CS1528)+PERCENTRANK($CU$7:$CU$1843,CU1528)+1-PERCENTRANK($CT$7:$CT$1843,CT1528))</f>
        <v>2.397</v>
      </c>
      <c r="CZ1528" s="72" t="n">
        <f aca="false">IF(CS1528="","",CHOOSE(MATCH(Einkauf!$C$5,Parameter!$G$23:$G$27,0),CY1528,CS1528,CU1528,-CT1528,CW1528)+ROW()/1000000000)</f>
        <v>2.397001528</v>
      </c>
    </row>
    <row r="1529" customFormat="false" ht="15" hidden="false" customHeight="false" outlineLevel="0" collapsed="false">
      <c r="A1529" s="60" t="s">
        <v>2714</v>
      </c>
      <c r="B1529" s="60" t="s">
        <v>2360</v>
      </c>
      <c r="C1529" s="60" t="s">
        <v>209</v>
      </c>
      <c r="D1529" s="60" t="s">
        <v>215</v>
      </c>
      <c r="E1529" s="60" t="s">
        <v>227</v>
      </c>
      <c r="F1529" s="60"/>
      <c r="G1529" s="61" t="n">
        <v>1094</v>
      </c>
      <c r="H1529" s="62" t="n">
        <f aca="false">MAX(0,IF(AND(Parameter!$B$21="Ja",ISNUMBER(Y1529)),Y1529,IF(Parameter!$B$20="Jahresanfang 2025 + Export",BS1529+BR1529,BR1529)))</f>
        <v>2</v>
      </c>
      <c r="I1529" s="62" t="n">
        <f aca="false">H1529*G1529</f>
        <v>2188</v>
      </c>
      <c r="J1529" s="62" t="n">
        <f aca="false">BU1529*Parameter!$B$18</f>
        <v>0</v>
      </c>
      <c r="K1529" s="63"/>
      <c r="L1529" s="64"/>
      <c r="M1529" s="62" t="n">
        <v>0</v>
      </c>
      <c r="N1529" s="62" t="n">
        <v>1</v>
      </c>
      <c r="O1529" s="65" t="n">
        <v>35</v>
      </c>
      <c r="P1529" s="60" t="s">
        <v>275</v>
      </c>
      <c r="Q1529" s="62" t="n">
        <v>2</v>
      </c>
      <c r="R1529" s="65" t="n">
        <f aca="false">IF(CA1529=1,0,IFERROR(VLOOKUP(BY1529,'Gebinde-Kategorie'!$A$5:$N$45,13,0)+0,0))</f>
        <v>26</v>
      </c>
      <c r="S1529" s="66"/>
      <c r="T1529" s="67"/>
      <c r="U1529" s="67"/>
      <c r="V1529" s="67"/>
      <c r="W1529" s="60"/>
      <c r="X1529" s="62"/>
      <c r="Y1529" s="62"/>
      <c r="Z1529" s="60" t="n">
        <v>3</v>
      </c>
      <c r="AA1529" s="60" t="n">
        <f aca="false">IF(A1529="","",IF(AND(Parameter!$B$21="Ja",ISNUMBER(W1529)),W1529,IF(AND(Parameter!$E$27="Ja",ISNUMBER(Z1529),CD1529&lt;&gt;"Nein"),Z1529,IF(CD1529="2+3",IF(ISNUMBER(SEARCH("grosser Artikel",BV1529)),2,IFERROR(VLOOKUP(BY1529,Parameter!$F$35:$G$64,2,0),2)),IF(OR(CD1529="Nein",CD1529=""),"-",CD1529)))))</f>
        <v>3</v>
      </c>
      <c r="AB1529" s="67"/>
      <c r="AC1529" s="68"/>
      <c r="AD1529" s="62" t="n">
        <f aca="false">AW1529</f>
        <v>1</v>
      </c>
      <c r="AE1529" s="62" t="n">
        <f aca="false">MAX(AW1529,H1529)</f>
        <v>2</v>
      </c>
      <c r="AF1529" s="69"/>
      <c r="AG1529" s="62" t="n">
        <f aca="false">IF(LEFT(Cockpit!$C$5,1)="A",H1529,IF(Parameter!$E$30="MAX-Bestand",IF(CI1529=1,CJ1529,IF(LEFT(Cockpit!$C$5,1)="B",AM1529,MAX(AM1529,H1529))),ROUNDUP(AK1529,0)))</f>
        <v>2</v>
      </c>
      <c r="AH1529" s="62" t="n">
        <f aca="false">IF(CA1529=1,0,ROUNDUP(AG1529/BZ1529,0))</f>
        <v>1</v>
      </c>
      <c r="AI1529" s="64" t="n">
        <f aca="false">IF(CR1529&gt;0,CR1529*MAX(1,AG1529/X1529),IF(CA1529=1,IF(AG1529&lt;=0,0,CE1529*MAX(1,IF(H1529&gt;0,AG1529/H1529,1))),IF(R1529&gt;0,AH1529/R1529,0))/MAX(0.1,N(Parameter!$M$21)))</f>
        <v>0.0384615384615385</v>
      </c>
      <c r="AJ1529" s="62" t="n">
        <f aca="false">AI1529*CC1529</f>
        <v>9.42307692307692</v>
      </c>
      <c r="AK1529" s="63" t="n">
        <f aca="false">IF(LEFT(Cockpit!$C$5,1)="A",H1529,IF(CI1529=1,(CL1529+CJ1529)/2,IF(LEFT(Cockpit!$C$5,1)="B",(CL1529+AM1529)/2,MAX((CL1529+AM1529)/2,H1529))))</f>
        <v>2</v>
      </c>
      <c r="AL1529" s="62" t="n">
        <f aca="false">AK1529*G1529</f>
        <v>2188</v>
      </c>
      <c r="AM1529" s="62" t="n">
        <f aca="false">ROUNDUP(CL1529+MAX(CM1529,2*(J1529/IF(CH1529&gt;0,CH1529,MAX(0.1,N(Cockpit!$C$6)))-CL1529)),0)</f>
        <v>1</v>
      </c>
      <c r="AN1529" s="63" t="n">
        <f aca="false">IF(AJ1529&gt;0,J1529/AJ1529,-1)</f>
        <v>0</v>
      </c>
      <c r="AO1529" s="63" t="n">
        <f aca="false">IF(AND(OR(CG1529="L1",CG1529="L23",CG1529="LIFT"),AJ1529&gt;0),SUMIFS($AJ$7:$AJ$1843,$CG$7:$CG$1843,CG1529,$AN$7:$AN$1843,"&gt;"&amp;AN1529)+SUMIFS($AJ$7:$AJ$1843,$CG$7:$CG$1843,CG1529,$AN$7:$AN$1843,AN1529,$BX$7:$BX$1843,"&lt;="&amp;BX1529),"")</f>
        <v>30074.11936063</v>
      </c>
      <c r="AP1529" s="70" t="n">
        <f aca="false">IF(AO1529="",0,MAX(0,MIN(1,(IF(CG1529="L1",Parameter!$H$5,IF(CG1529="L23",Parameter!$H$6+Parameter!$H$7,Parameter!$H$5+Parameter!$H$6+Parameter!$H$7))-(AO1529-AJ1529))/AJ1529)))</f>
        <v>1</v>
      </c>
      <c r="AQ1529" s="62" t="n">
        <f aca="false">IF(LEFT(Cockpit!$I$5,1)="A",H1529,IF(Parameter!$E$30="MAX-Bestand",IF(CI1529=1,CJ1529,IF(LEFT(Cockpit!$I$5,1)="B",AW1529,MAX(AW1529,H1529))),ROUNDUP(AU1529,0)))</f>
        <v>2</v>
      </c>
      <c r="AR1529" s="62" t="n">
        <f aca="false">IF(CA1529=1,0,ROUNDUP(AQ1529/BZ1529,0))</f>
        <v>1</v>
      </c>
      <c r="AS1529" s="64" t="n">
        <f aca="false">IF(CR1529&gt;0,CR1529*MAX(1,AQ1529/X1529),IF(CA1529=1,IF(AQ1529&lt;=0,0,CE1529*MAX(1,IF(H1529&gt;0,AQ1529/H1529,1))),IF(R1529&gt;0,AR1529/R1529,0))/MAX(0.1,N(Parameter!$M$21)))</f>
        <v>0.0384615384615385</v>
      </c>
      <c r="AT1529" s="62" t="n">
        <f aca="false">AS1529*CC1529</f>
        <v>9.42307692307692</v>
      </c>
      <c r="AU1529" s="63" t="n">
        <f aca="false">IF(LEFT(Cockpit!$I$5,1)="A",H1529,IF(CI1529=1,(CL1529+CJ1529)/2,IF(LEFT(Cockpit!$I$5,1)="B",(CL1529+AW1529)/2,MAX((CL1529+AW1529)/2,H1529))))</f>
        <v>2</v>
      </c>
      <c r="AV1529" s="62" t="n">
        <f aca="false">AU1529*G1529</f>
        <v>2188</v>
      </c>
      <c r="AW1529" s="62" t="n">
        <f aca="false">ROUNDUP(CL1529+MAX(CM1529,2*(J1529/IF(CH1529&gt;0,CH1529,MAX(0.1,N(Cockpit!$I$6)))-CL1529)),0)</f>
        <v>1</v>
      </c>
      <c r="AX1529" s="63" t="n">
        <f aca="false">IF(AT1529&gt;0,J1529/AT1529,-1)</f>
        <v>0</v>
      </c>
      <c r="AY1529" s="63" t="n">
        <f aca="false">IF(AND(OR(CG1529="L1",CG1529="L23",CG1529="LIFT"),AT1529&gt;0),SUMIFS($AT$7:$AT$1843,$CG$7:$CG$1843,CG1529,$AX$7:$AX$1843,"&gt;"&amp;AX1529)+SUMIFS($AT$7:$AT$1843,$CG$7:$CG$1843,CG1529,$AX$7:$AX$1843,AX1529,$BX$7:$BX$1843,"&lt;="&amp;BX1529),"")</f>
        <v>36393.9758774653</v>
      </c>
      <c r="AZ1529" s="70" t="n">
        <f aca="false">IF(AY1529="",0,MAX(0,MIN(1,(IF(CG1529="L1",Parameter!$H$5,IF(CG1529="L23",Parameter!$H$6+Parameter!$H$7,Parameter!$H$5+Parameter!$H$6+Parameter!$H$7))-(AY1529-AT1529))/AT1529)))</f>
        <v>0</v>
      </c>
      <c r="BA1529" s="62" t="n">
        <f aca="false">IF(LEFT(Cockpit!$O$5,1)="A",H1529,IF(Parameter!$E$30="MAX-Bestand",IF(CI1529=1,CJ1529,IF(LEFT(Cockpit!$O$5,1)="B",BG1529,MAX(BG1529,H1529))),ROUNDUP(BE1529,0)))</f>
        <v>1</v>
      </c>
      <c r="BB1529" s="62" t="n">
        <f aca="false">IF(CA1529=1,0,ROUNDUP(BA1529/BZ1529,0))</f>
        <v>1</v>
      </c>
      <c r="BC1529" s="64" t="n">
        <f aca="false">IF(CR1529&gt;0,CR1529*MAX(1,BA1529/X1529),IF(CA1529=1,IF(BA1529&lt;=0,0,CE1529*MAX(1,IF(H1529&gt;0,BA1529/H1529,1))),IF(R1529&gt;0,BB1529/R1529,0))/MAX(0.1,N(Parameter!$M$21)))</f>
        <v>0.0384615384615385</v>
      </c>
      <c r="BD1529" s="62" t="n">
        <f aca="false">BC1529*CC1529</f>
        <v>9.42307692307692</v>
      </c>
      <c r="BE1529" s="63" t="n">
        <f aca="false">IF(LEFT(Cockpit!$O$5,1)="A",H1529,IF(CI1529=1,(CL1529+CJ1529)/2,IF(LEFT(Cockpit!$O$5,1)="B",(CL1529+BG1529)/2,MAX((CL1529+BG1529)/2,H1529))))</f>
        <v>0.5</v>
      </c>
      <c r="BF1529" s="62" t="n">
        <f aca="false">BE1529*G1529</f>
        <v>547</v>
      </c>
      <c r="BG1529" s="62" t="n">
        <f aca="false">ROUNDUP(CL1529+MAX(CM1529,2*(J1529/IF(CH1529&gt;0,CH1529,MAX(0.1,N(Cockpit!$O$6)))-CL1529)),0)</f>
        <v>1</v>
      </c>
      <c r="BH1529" s="63" t="n">
        <f aca="false">IF(BD1529&gt;0,J1529/BD1529,-1)</f>
        <v>0</v>
      </c>
      <c r="BI1529" s="63" t="n">
        <f aca="false">IF(AND(OR(CG1529="L1",CG1529="L23",CG1529="LIFT"),BD1529&gt;0),SUMIFS($BD$7:$BD$1843,$CG$7:$CG$1843,CG1529,$BH$7:$BH$1843,"&gt;"&amp;BH1529)+SUMIFS($BD$7:$BD$1843,$CG$7:$CG$1843,CG1529,$BH$7:$BH$1843,BH1529,$BX$7:$BX$1843,"&lt;="&amp;BX1529),"")</f>
        <v>30332.1671529977</v>
      </c>
      <c r="BJ1529" s="70" t="n">
        <f aca="false">IF(BI1529="",0,MAX(0,MIN(1,(IF(CG1529="L1",Parameter!$H$5,IF(CG1529="L23",Parameter!$H$6+Parameter!$H$7,Parameter!$H$5+Parameter!$H$6+Parameter!$H$7))-(BI1529-BD1529))/BD1529)))</f>
        <v>1</v>
      </c>
      <c r="BK1529" s="60" t="str">
        <f aca="false">IF(AJ1529&lt;=0,"",IF(CG1529="Aussen","Aussenlager",IF(CG1529="-","Nicht im Lift",IF(AP1529&gt;=1,"Lift",IF(AP1529&lt;=0,"Aussenlager","teilweise")))))</f>
        <v>Lift</v>
      </c>
      <c r="BL1529" s="60" t="str">
        <f aca="false">IF(AT1529&lt;=0,"",IF(CG1529="Aussen","Aussenlager",IF(CG1529="-","Nicht im Lift",IF(AZ1529&gt;=1,"Lift",IF(AZ1529&lt;=0,"Aussenlager","teilweise")))))</f>
        <v>Aussenlager</v>
      </c>
      <c r="BM1529" s="60" t="str">
        <f aca="false">IF(BD1529&lt;=0,"",IF(CG1529="Aussen","Aussenlager",IF(CG1529="-","Nicht im Lift",IF(BJ1529&gt;=1,"Lift",IF(BJ1529&lt;=0,"Aussenlager","teilweise")))))</f>
        <v>Lift</v>
      </c>
      <c r="BN1529" s="60" t="str">
        <f aca="false">IF(A1529="","",IF(BW1529=1,"Neu; ","")&amp;IF(AND(BW1529=0,BR1529&lt;0),"negativer Bestand (Export "&amp;BR1529&amp;"); ","")&amp;IF(J1529&lt;=0,"Kein Verbrauch; ","")&amp;IF(CR1529&gt;0,"Lift "&amp;W1529&amp;" lt. Liftbericht (Fach "&amp;X1529&amp;" Stk); ",IF(CB1529=1,"Gebinde geschätzt ("&amp;T1529&amp;"); ",IF(CA1529=1,"Lose – Tablare geschätzt; ","")))&amp;IF(H1529&gt;AW1529,"Überbestand "&amp;ROUND(H1529-AW1529,0)&amp;" Stk / CHF "&amp;ROUND((H1529-AW1529)*G1529,0)&amp;"; ","")&amp;IF(AND(CI1529=1,CJ1529&lt;CK1529),"MAX &lt; MB+LG; ","")&amp;IF(AND(CQ1529&gt;0,CP1529*10&gt;CQ1529),"zu hoch für Tablar; ","")&amp;IF(AND(BW1529=0,OR(CI1529=1,AB1529&lt;&gt;"",U1529&lt;&gt;"",V1529&lt;&gt;"",AC1529&lt;&gt;"")),"manuell übersteuert; ","")&amp;IF(AND(CA1529=0,R1529=0),"Gebinde unbekannt / Stellmass fehlt; ","")&amp;IF(AND(CA1529=0,N(V1529)&lt;=0,N(Q1529)&lt;=0),"Menge pro Gebinde fehlt (Ist = 1 Gebinde); ","")&amp;BV1529)</f>
        <v>Kein Verbrauch; Überbestand 1 Stk / CHF 1094; nur im Artikelstamm (Bestand 23.06.2026)</v>
      </c>
      <c r="BO1529" s="60"/>
      <c r="BP1529" s="60"/>
      <c r="BQ1529" s="67"/>
      <c r="BR1529" s="62" t="n">
        <v>2</v>
      </c>
      <c r="BS1529" s="62" t="n">
        <v>0</v>
      </c>
      <c r="BT1529" s="61" t="n">
        <v>0</v>
      </c>
      <c r="BU1529" s="62" t="n">
        <v>0</v>
      </c>
      <c r="BV1529" s="60" t="s">
        <v>2617</v>
      </c>
      <c r="BW1529" s="65" t="n">
        <v>0</v>
      </c>
      <c r="BX1529" s="65" t="n">
        <v>1529</v>
      </c>
      <c r="BY1529" s="60" t="str">
        <f aca="false">IF(U1529&lt;&gt;"",UPPER(TRIM(U1529)),IF(CB1529=1,UPPER(VLOOKUP(T1529,Parameter!$I$27:$K$29,2,0)),IF(P1529="","LOSE",P1529)))</f>
        <v>S52</v>
      </c>
      <c r="BZ1529" s="62" t="n">
        <f aca="false">IF(BY1529="LOSE",1,IF(N(V1529)&gt;0,V1529,IF(CB1529=1,MAX(1,N(VLOOKUP(T1529,Parameter!$I$27:$K$29,3,0)),H1529,N(N1529)),IF(N(Q1529)&gt;0,Q1529,MAX(1,H1529)))))</f>
        <v>2</v>
      </c>
      <c r="CA1529" s="65" t="n">
        <f aca="false">IF(BY1529="LOSE",1,0)</f>
        <v>0</v>
      </c>
      <c r="CB1529" s="65" t="n">
        <f aca="false">IF(AND(U1529="",OR(P1529="",P1529="LOSE"),T1529&lt;&gt;"",N(S1529)&lt;=0,ISNUMBER(MATCH(T1529,Parameter!$I$27:$I$29,0))),1,0)</f>
        <v>0</v>
      </c>
      <c r="CC1529" s="65" t="n">
        <f aca="false">IF(CR1529&gt;0,INDEX(Parameter!$H$5:$H$7,W1529)/INDEX(Parameter!$E$5:$E$7,W1529),IF(AND(CA1529=0,N(IFERROR(VLOOKUP(BY1529,'Gebinde-Kategorie'!$A$5:$N$45,14,0),0))&gt;0),VLOOKUP(BY1529,'Gebinde-Kategorie'!$A$5:$N$45,14,0)*10+Parameter!$M$23,Parameter!$M$24))</f>
        <v>245</v>
      </c>
      <c r="CD1529" s="60" t="str">
        <f aca="false">IF(AND(Parameter!$B$19="Ja",E1529&lt;&gt;"",ISNUMBER(MATCH(E1529,Parameter!$I$35:$I$52,0))),VLOOKUP(E1529,Parameter!$I$35:$J$52,2,0),IFERROR(VLOOKUP(D1529,Parameter!$A$35:$C$64,2,0),"Nein"))</f>
        <v>2+3</v>
      </c>
      <c r="CE1529" s="64" t="n">
        <f aca="false">IF(CA1529=0,0,IF(N(S1529)&gt;0,S1529,IFERROR(VLOOKUP(D1529,Parameter!$A$35:$C$64,3,0)+0,0)))</f>
        <v>0</v>
      </c>
      <c r="CF1529" s="60" t="n">
        <f aca="false">IF(AB1529&lt;&gt;"",AB1529,AA1529)</f>
        <v>3</v>
      </c>
      <c r="CG1529" s="60" t="str">
        <f aca="false">IF(OR(CF1529=1,CF1529=2,CF1529=3),IF(Parameter!$E$27="Ja","LIFT",IF(CF1529=1,"L1","L23")),IF(CF1529="Aussen","Aussen","-"))</f>
        <v>LIFT</v>
      </c>
      <c r="CH1529" s="71" t="n">
        <f aca="false">IF(N(AC1529)&gt;0,AC1529,0)</f>
        <v>0</v>
      </c>
      <c r="CI1529" s="65" t="n">
        <f aca="false">IF(ISNUMBER(AF1529),1,0)</f>
        <v>0</v>
      </c>
      <c r="CJ1529" s="62" t="n">
        <f aca="false">N(AF1529)</f>
        <v>0</v>
      </c>
      <c r="CK1529" s="62" t="n">
        <f aca="false">N(M1529)+N(N1529)</f>
        <v>1</v>
      </c>
      <c r="CL1529" s="62" t="n">
        <f aca="false">N(M1529)</f>
        <v>0</v>
      </c>
      <c r="CM1529" s="62" t="n">
        <f aca="false">N(N1529)</f>
        <v>1</v>
      </c>
      <c r="CN1529" s="62" t="n">
        <f aca="false">ROUNDUP(H1529/BZ1529,0)</f>
        <v>1</v>
      </c>
      <c r="CO1529" s="62" t="n">
        <f aca="false">ROUNDUP(CJ1529/BZ1529,0)</f>
        <v>0</v>
      </c>
      <c r="CP1529" s="65" t="n">
        <f aca="false">IF(CA1529=1,0,IFERROR(VLOOKUP(BY1529,'Gebinde-Kategorie'!$A$5:$N$45,5,0)+0,0))</f>
        <v>21</v>
      </c>
      <c r="CQ1529" s="65" t="n">
        <f aca="false">IFERROR(IF(OR(CF1529=1,CF1529=2,CF1529=3),N(INDEX(Parameter!$I$5:$I$7,CF1529)),0),0)</f>
        <v>0</v>
      </c>
      <c r="CR1529" s="64" t="n">
        <f aca="false">IF(AND(Parameter!$B$21="Ja",ISNUMBER(W1529),N(X1529)&gt;0),IFERROR(N(INDEX(Parameter!$L$5:$L$7,W1529))*INDEX(Parameter!$E$5:$E$7,W1529)*X1529/SUMIFS($X$7:$X$1843,$W$7:$W$1843,W1529),0),0)</f>
        <v>0</v>
      </c>
      <c r="CS1529" s="62" t="n">
        <f aca="false">IF(AND(OR(CG1529="L1",CG1529="L23",CG1529="LIFT"),H1529&gt;0),CC1529*IF(CR1529&gt;0,CR1529*MAX(1,H1529/X1529),IF(CA1529=1,CE1529,IF(R1529&gt;0,CN1529/R1529,0))/MAX(0.1,N(Parameter!$M$21))),"")</f>
        <v>9.42307692307692</v>
      </c>
      <c r="CT1529" s="64" t="n">
        <f aca="false">IF(CS1529="","",J1529/H1529)</f>
        <v>0</v>
      </c>
      <c r="CU1529" s="62" t="n">
        <f aca="false">IF(CS1529="","",H1529*G1529)</f>
        <v>2188</v>
      </c>
      <c r="CV1529" s="63" t="n">
        <f aca="false">IF(CS1529="","",(CL1529+ROUNDUP(CL1529+MAX(CM1529,2*(J1529/MAX(0.1,N(Einkauf!$C$6))-CL1529)),0))/2)</f>
        <v>0.5</v>
      </c>
      <c r="CW1529" s="62" t="n">
        <f aca="false">IF(CS1529="","",MAX(0,H1529-CV1529)*G1529)</f>
        <v>1641</v>
      </c>
      <c r="CX1529" s="62" t="n">
        <f aca="false">IF(CS1529="","",CS1529*MAX(0,1-CV1529/H1529))</f>
        <v>7.06730769230769</v>
      </c>
      <c r="CY1529" s="64" t="n">
        <f aca="false">IF(CS1529="","",PERCENTRANK($CS$7:$CS$1843,CS1529)+PERCENTRANK($CU$7:$CU$1843,CU1529)+1-PERCENTRANK($CT$7:$CT$1843,CT1529))</f>
        <v>2.364</v>
      </c>
      <c r="CZ1529" s="72" t="n">
        <f aca="false">IF(CS1529="","",CHOOSE(MATCH(Einkauf!$C$5,Parameter!$G$23:$G$27,0),CY1529,CS1529,CU1529,-CT1529,CW1529)+ROW()/1000000000)</f>
        <v>2.364001529</v>
      </c>
    </row>
    <row r="1530" customFormat="false" ht="15" hidden="false" customHeight="false" outlineLevel="0" collapsed="false">
      <c r="A1530" s="60" t="s">
        <v>2715</v>
      </c>
      <c r="B1530" s="60" t="s">
        <v>2716</v>
      </c>
      <c r="C1530" s="60" t="s">
        <v>209</v>
      </c>
      <c r="D1530" s="60" t="s">
        <v>226</v>
      </c>
      <c r="E1530" s="60" t="s">
        <v>227</v>
      </c>
      <c r="F1530" s="60"/>
      <c r="G1530" s="61" t="n">
        <v>9.89</v>
      </c>
      <c r="H1530" s="62" t="n">
        <f aca="false">MAX(0,IF(AND(Parameter!$B$21="Ja",ISNUMBER(Y1530)),Y1530,IF(Parameter!$B$20="Jahresanfang 2025 + Export",BS1530+BR1530,BR1530)))</f>
        <v>51</v>
      </c>
      <c r="I1530" s="62" t="n">
        <f aca="false">H1530*G1530</f>
        <v>504.39</v>
      </c>
      <c r="J1530" s="62" t="n">
        <f aca="false">BU1530*Parameter!$B$18</f>
        <v>0</v>
      </c>
      <c r="K1530" s="63"/>
      <c r="L1530" s="64"/>
      <c r="M1530" s="62" t="n">
        <v>0</v>
      </c>
      <c r="N1530" s="62" t="n">
        <v>50</v>
      </c>
      <c r="O1530" s="65" t="n">
        <v>98</v>
      </c>
      <c r="P1530" s="60" t="s">
        <v>275</v>
      </c>
      <c r="Q1530" s="62" t="n">
        <v>51</v>
      </c>
      <c r="R1530" s="65" t="n">
        <f aca="false">IF(CA1530=1,0,IFERROR(VLOOKUP(BY1530,'Gebinde-Kategorie'!$A$5:$N$45,13,0)+0,0))</f>
        <v>26</v>
      </c>
      <c r="S1530" s="66"/>
      <c r="T1530" s="67"/>
      <c r="U1530" s="67"/>
      <c r="V1530" s="67"/>
      <c r="W1530" s="60"/>
      <c r="X1530" s="62"/>
      <c r="Y1530" s="62"/>
      <c r="Z1530" s="60" t="n">
        <v>3</v>
      </c>
      <c r="AA1530" s="60" t="n">
        <f aca="false">IF(A1530="","",IF(AND(Parameter!$B$21="Ja",ISNUMBER(W1530)),W1530,IF(AND(Parameter!$E$27="Ja",ISNUMBER(Z1530),CD1530&lt;&gt;"Nein"),Z1530,IF(CD1530="2+3",IF(ISNUMBER(SEARCH("grosser Artikel",BV1530)),2,IFERROR(VLOOKUP(BY1530,Parameter!$F$35:$G$64,2,0),2)),IF(OR(CD1530="Nein",CD1530=""),"-",CD1530)))))</f>
        <v>3</v>
      </c>
      <c r="AB1530" s="67"/>
      <c r="AC1530" s="68"/>
      <c r="AD1530" s="62" t="n">
        <f aca="false">AW1530</f>
        <v>50</v>
      </c>
      <c r="AE1530" s="62" t="n">
        <f aca="false">MAX(AW1530,H1530)</f>
        <v>51</v>
      </c>
      <c r="AF1530" s="69"/>
      <c r="AG1530" s="62" t="n">
        <f aca="false">IF(LEFT(Cockpit!$C$5,1)="A",H1530,IF(Parameter!$E$30="MAX-Bestand",IF(CI1530=1,CJ1530,IF(LEFT(Cockpit!$C$5,1)="B",AM1530,MAX(AM1530,H1530))),ROUNDUP(AK1530,0)))</f>
        <v>51</v>
      </c>
      <c r="AH1530" s="62" t="n">
        <f aca="false">IF(CA1530=1,0,ROUNDUP(AG1530/BZ1530,0))</f>
        <v>1</v>
      </c>
      <c r="AI1530" s="64" t="n">
        <f aca="false">IF(CR1530&gt;0,CR1530*MAX(1,AG1530/X1530),IF(CA1530=1,IF(AG1530&lt;=0,0,CE1530*MAX(1,IF(H1530&gt;0,AG1530/H1530,1))),IF(R1530&gt;0,AH1530/R1530,0))/MAX(0.1,N(Parameter!$M$21)))</f>
        <v>0.0384615384615385</v>
      </c>
      <c r="AJ1530" s="62" t="n">
        <f aca="false">AI1530*CC1530</f>
        <v>9.42307692307692</v>
      </c>
      <c r="AK1530" s="63" t="n">
        <f aca="false">IF(LEFT(Cockpit!$C$5,1)="A",H1530,IF(CI1530=1,(CL1530+CJ1530)/2,IF(LEFT(Cockpit!$C$5,1)="B",(CL1530+AM1530)/2,MAX((CL1530+AM1530)/2,H1530))))</f>
        <v>51</v>
      </c>
      <c r="AL1530" s="62" t="n">
        <f aca="false">AK1530*G1530</f>
        <v>504.39</v>
      </c>
      <c r="AM1530" s="62" t="n">
        <f aca="false">ROUNDUP(CL1530+MAX(CM1530,2*(J1530/IF(CH1530&gt;0,CH1530,MAX(0.1,N(Cockpit!$C$6)))-CL1530)),0)</f>
        <v>50</v>
      </c>
      <c r="AN1530" s="63" t="n">
        <f aca="false">IF(AJ1530&gt;0,J1530/AJ1530,-1)</f>
        <v>0</v>
      </c>
      <c r="AO1530" s="63" t="n">
        <f aca="false">IF(AND(OR(CG1530="L1",CG1530="L23",CG1530="LIFT"),AJ1530&gt;0),SUMIFS($AJ$7:$AJ$1843,$CG$7:$CG$1843,CG1530,$AN$7:$AN$1843,"&gt;"&amp;AN1530)+SUMIFS($AJ$7:$AJ$1843,$CG$7:$CG$1843,CG1530,$AN$7:$AN$1843,AN1530,$BX$7:$BX$1843,"&lt;="&amp;BX1530),"")</f>
        <v>30083.542437553</v>
      </c>
      <c r="AP1530" s="70" t="n">
        <f aca="false">IF(AO1530="",0,MAX(0,MIN(1,(IF(CG1530="L1",Parameter!$H$5,IF(CG1530="L23",Parameter!$H$6+Parameter!$H$7,Parameter!$H$5+Parameter!$H$6+Parameter!$H$7))-(AO1530-AJ1530))/AJ1530)))</f>
        <v>1</v>
      </c>
      <c r="AQ1530" s="62" t="n">
        <f aca="false">IF(LEFT(Cockpit!$I$5,1)="A",H1530,IF(Parameter!$E$30="MAX-Bestand",IF(CI1530=1,CJ1530,IF(LEFT(Cockpit!$I$5,1)="B",AW1530,MAX(AW1530,H1530))),ROUNDUP(AU1530,0)))</f>
        <v>51</v>
      </c>
      <c r="AR1530" s="62" t="n">
        <f aca="false">IF(CA1530=1,0,ROUNDUP(AQ1530/BZ1530,0))</f>
        <v>1</v>
      </c>
      <c r="AS1530" s="64" t="n">
        <f aca="false">IF(CR1530&gt;0,CR1530*MAX(1,AQ1530/X1530),IF(CA1530=1,IF(AQ1530&lt;=0,0,CE1530*MAX(1,IF(H1530&gt;0,AQ1530/H1530,1))),IF(R1530&gt;0,AR1530/R1530,0))/MAX(0.1,N(Parameter!$M$21)))</f>
        <v>0.0384615384615385</v>
      </c>
      <c r="AT1530" s="62" t="n">
        <f aca="false">AS1530*CC1530</f>
        <v>9.42307692307692</v>
      </c>
      <c r="AU1530" s="63" t="n">
        <f aca="false">IF(LEFT(Cockpit!$I$5,1)="A",H1530,IF(CI1530=1,(CL1530+CJ1530)/2,IF(LEFT(Cockpit!$I$5,1)="B",(CL1530+AW1530)/2,MAX((CL1530+AW1530)/2,H1530))))</f>
        <v>51</v>
      </c>
      <c r="AV1530" s="62" t="n">
        <f aca="false">AU1530*G1530</f>
        <v>504.39</v>
      </c>
      <c r="AW1530" s="62" t="n">
        <f aca="false">ROUNDUP(CL1530+MAX(CM1530,2*(J1530/IF(CH1530&gt;0,CH1530,MAX(0.1,N(Cockpit!$I$6)))-CL1530)),0)</f>
        <v>50</v>
      </c>
      <c r="AX1530" s="63" t="n">
        <f aca="false">IF(AT1530&gt;0,J1530/AT1530,-1)</f>
        <v>0</v>
      </c>
      <c r="AY1530" s="63" t="n">
        <f aca="false">IF(AND(OR(CG1530="L1",CG1530="L23",CG1530="LIFT"),AT1530&gt;0),SUMIFS($AT$7:$AT$1843,$CG$7:$CG$1843,CG1530,$AX$7:$AX$1843,"&gt;"&amp;AX1530)+SUMIFS($AT$7:$AT$1843,$CG$7:$CG$1843,CG1530,$AX$7:$AX$1843,AX1530,$BX$7:$BX$1843,"&lt;="&amp;BX1530),"")</f>
        <v>36403.3989543884</v>
      </c>
      <c r="AZ1530" s="70" t="n">
        <f aca="false">IF(AY1530="",0,MAX(0,MIN(1,(IF(CG1530="L1",Parameter!$H$5,IF(CG1530="L23",Parameter!$H$6+Parameter!$H$7,Parameter!$H$5+Parameter!$H$6+Parameter!$H$7))-(AY1530-AT1530))/AT1530)))</f>
        <v>0</v>
      </c>
      <c r="BA1530" s="62" t="n">
        <f aca="false">IF(LEFT(Cockpit!$O$5,1)="A",H1530,IF(Parameter!$E$30="MAX-Bestand",IF(CI1530=1,CJ1530,IF(LEFT(Cockpit!$O$5,1)="B",BG1530,MAX(BG1530,H1530))),ROUNDUP(BE1530,0)))</f>
        <v>25</v>
      </c>
      <c r="BB1530" s="62" t="n">
        <f aca="false">IF(CA1530=1,0,ROUNDUP(BA1530/BZ1530,0))</f>
        <v>1</v>
      </c>
      <c r="BC1530" s="64" t="n">
        <f aca="false">IF(CR1530&gt;0,CR1530*MAX(1,BA1530/X1530),IF(CA1530=1,IF(BA1530&lt;=0,0,CE1530*MAX(1,IF(H1530&gt;0,BA1530/H1530,1))),IF(R1530&gt;0,BB1530/R1530,0))/MAX(0.1,N(Parameter!$M$21)))</f>
        <v>0.0384615384615385</v>
      </c>
      <c r="BD1530" s="62" t="n">
        <f aca="false">BC1530*CC1530</f>
        <v>9.42307692307692</v>
      </c>
      <c r="BE1530" s="63" t="n">
        <f aca="false">IF(LEFT(Cockpit!$O$5,1)="A",H1530,IF(CI1530=1,(CL1530+CJ1530)/2,IF(LEFT(Cockpit!$O$5,1)="B",(CL1530+BG1530)/2,MAX((CL1530+BG1530)/2,H1530))))</f>
        <v>25</v>
      </c>
      <c r="BF1530" s="62" t="n">
        <f aca="false">BE1530*G1530</f>
        <v>247.25</v>
      </c>
      <c r="BG1530" s="62" t="n">
        <f aca="false">ROUNDUP(CL1530+MAX(CM1530,2*(J1530/IF(CH1530&gt;0,CH1530,MAX(0.1,N(Cockpit!$O$6)))-CL1530)),0)</f>
        <v>50</v>
      </c>
      <c r="BH1530" s="63" t="n">
        <f aca="false">IF(BD1530&gt;0,J1530/BD1530,-1)</f>
        <v>0</v>
      </c>
      <c r="BI1530" s="63" t="n">
        <f aca="false">IF(AND(OR(CG1530="L1",CG1530="L23",CG1530="LIFT"),BD1530&gt;0),SUMIFS($BD$7:$BD$1843,$CG$7:$CG$1843,CG1530,$BH$7:$BH$1843,"&gt;"&amp;BH1530)+SUMIFS($BD$7:$BD$1843,$CG$7:$CG$1843,CG1530,$BH$7:$BH$1843,BH1530,$BX$7:$BX$1843,"&lt;="&amp;BX1530),"")</f>
        <v>30341.5902299207</v>
      </c>
      <c r="BJ1530" s="70" t="n">
        <f aca="false">IF(BI1530="",0,MAX(0,MIN(1,(IF(CG1530="L1",Parameter!$H$5,IF(CG1530="L23",Parameter!$H$6+Parameter!$H$7,Parameter!$H$5+Parameter!$H$6+Parameter!$H$7))-(BI1530-BD1530))/BD1530)))</f>
        <v>1</v>
      </c>
      <c r="BK1530" s="60" t="str">
        <f aca="false">IF(AJ1530&lt;=0,"",IF(CG1530="Aussen","Aussenlager",IF(CG1530="-","Nicht im Lift",IF(AP1530&gt;=1,"Lift",IF(AP1530&lt;=0,"Aussenlager","teilweise")))))</f>
        <v>Lift</v>
      </c>
      <c r="BL1530" s="60" t="str">
        <f aca="false">IF(AT1530&lt;=0,"",IF(CG1530="Aussen","Aussenlager",IF(CG1530="-","Nicht im Lift",IF(AZ1530&gt;=1,"Lift",IF(AZ1530&lt;=0,"Aussenlager","teilweise")))))</f>
        <v>Aussenlager</v>
      </c>
      <c r="BM1530" s="60" t="str">
        <f aca="false">IF(BD1530&lt;=0,"",IF(CG1530="Aussen","Aussenlager",IF(CG1530="-","Nicht im Lift",IF(BJ1530&gt;=1,"Lift",IF(BJ1530&lt;=0,"Aussenlager","teilweise")))))</f>
        <v>Lift</v>
      </c>
      <c r="BN1530" s="60" t="str">
        <f aca="false">IF(A1530="","",IF(BW1530=1,"Neu; ","")&amp;IF(AND(BW1530=0,BR1530&lt;0),"negativer Bestand (Export "&amp;BR1530&amp;"); ","")&amp;IF(J1530&lt;=0,"Kein Verbrauch; ","")&amp;IF(CR1530&gt;0,"Lift "&amp;W1530&amp;" lt. Liftbericht (Fach "&amp;X1530&amp;" Stk); ",IF(CB1530=1,"Gebinde geschätzt ("&amp;T1530&amp;"); ",IF(CA1530=1,"Lose – Tablare geschätzt; ","")))&amp;IF(H1530&gt;AW1530,"Überbestand "&amp;ROUND(H1530-AW1530,0)&amp;" Stk / CHF "&amp;ROUND((H1530-AW1530)*G1530,0)&amp;"; ","")&amp;IF(AND(CI1530=1,CJ1530&lt;CK1530),"MAX &lt; MB+LG; ","")&amp;IF(AND(CQ1530&gt;0,CP1530*10&gt;CQ1530),"zu hoch für Tablar; ","")&amp;IF(AND(BW1530=0,OR(CI1530=1,AB1530&lt;&gt;"",U1530&lt;&gt;"",V1530&lt;&gt;"",AC1530&lt;&gt;"")),"manuell übersteuert; ","")&amp;IF(AND(CA1530=0,R1530=0),"Gebinde unbekannt / Stellmass fehlt; ","")&amp;IF(AND(CA1530=0,N(V1530)&lt;=0,N(Q1530)&lt;=0),"Menge pro Gebinde fehlt (Ist = 1 Gebinde); ","")&amp;BV1530)</f>
        <v>Kein Verbrauch; Überbestand 1 Stk / CHF 10; nur im Artikelstamm (Bestand 23.06.2026)</v>
      </c>
      <c r="BO1530" s="60"/>
      <c r="BP1530" s="60"/>
      <c r="BQ1530" s="67"/>
      <c r="BR1530" s="62" t="n">
        <v>51</v>
      </c>
      <c r="BS1530" s="62" t="n">
        <v>0</v>
      </c>
      <c r="BT1530" s="61" t="n">
        <v>0</v>
      </c>
      <c r="BU1530" s="62" t="n">
        <v>0</v>
      </c>
      <c r="BV1530" s="60" t="s">
        <v>2617</v>
      </c>
      <c r="BW1530" s="65" t="n">
        <v>0</v>
      </c>
      <c r="BX1530" s="65" t="n">
        <v>1530</v>
      </c>
      <c r="BY1530" s="60" t="str">
        <f aca="false">IF(U1530&lt;&gt;"",UPPER(TRIM(U1530)),IF(CB1530=1,UPPER(VLOOKUP(T1530,Parameter!$I$27:$K$29,2,0)),IF(P1530="","LOSE",P1530)))</f>
        <v>S52</v>
      </c>
      <c r="BZ1530" s="62" t="n">
        <f aca="false">IF(BY1530="LOSE",1,IF(N(V1530)&gt;0,V1530,IF(CB1530=1,MAX(1,N(VLOOKUP(T1530,Parameter!$I$27:$K$29,3,0)),H1530,N(N1530)),IF(N(Q1530)&gt;0,Q1530,MAX(1,H1530)))))</f>
        <v>51</v>
      </c>
      <c r="CA1530" s="65" t="n">
        <f aca="false">IF(BY1530="LOSE",1,0)</f>
        <v>0</v>
      </c>
      <c r="CB1530" s="65" t="n">
        <f aca="false">IF(AND(U1530="",OR(P1530="",P1530="LOSE"),T1530&lt;&gt;"",N(S1530)&lt;=0,ISNUMBER(MATCH(T1530,Parameter!$I$27:$I$29,0))),1,0)</f>
        <v>0</v>
      </c>
      <c r="CC1530" s="65" t="n">
        <f aca="false">IF(CR1530&gt;0,INDEX(Parameter!$H$5:$H$7,W1530)/INDEX(Parameter!$E$5:$E$7,W1530),IF(AND(CA1530=0,N(IFERROR(VLOOKUP(BY1530,'Gebinde-Kategorie'!$A$5:$N$45,14,0),0))&gt;0),VLOOKUP(BY1530,'Gebinde-Kategorie'!$A$5:$N$45,14,0)*10+Parameter!$M$23,Parameter!$M$24))</f>
        <v>245</v>
      </c>
      <c r="CD1530" s="60" t="str">
        <f aca="false">IF(AND(Parameter!$B$19="Ja",E1530&lt;&gt;"",ISNUMBER(MATCH(E1530,Parameter!$I$35:$I$52,0))),VLOOKUP(E1530,Parameter!$I$35:$J$52,2,0),IFERROR(VLOOKUP(D1530,Parameter!$A$35:$C$64,2,0),"Nein"))</f>
        <v>2+3</v>
      </c>
      <c r="CE1530" s="64" t="n">
        <f aca="false">IF(CA1530=0,0,IF(N(S1530)&gt;0,S1530,IFERROR(VLOOKUP(D1530,Parameter!$A$35:$C$64,3,0)+0,0)))</f>
        <v>0</v>
      </c>
      <c r="CF1530" s="60" t="n">
        <f aca="false">IF(AB1530&lt;&gt;"",AB1530,AA1530)</f>
        <v>3</v>
      </c>
      <c r="CG1530" s="60" t="str">
        <f aca="false">IF(OR(CF1530=1,CF1530=2,CF1530=3),IF(Parameter!$E$27="Ja","LIFT",IF(CF1530=1,"L1","L23")),IF(CF1530="Aussen","Aussen","-"))</f>
        <v>LIFT</v>
      </c>
      <c r="CH1530" s="71" t="n">
        <f aca="false">IF(N(AC1530)&gt;0,AC1530,0)</f>
        <v>0</v>
      </c>
      <c r="CI1530" s="65" t="n">
        <f aca="false">IF(ISNUMBER(AF1530),1,0)</f>
        <v>0</v>
      </c>
      <c r="CJ1530" s="62" t="n">
        <f aca="false">N(AF1530)</f>
        <v>0</v>
      </c>
      <c r="CK1530" s="62" t="n">
        <f aca="false">N(M1530)+N(N1530)</f>
        <v>50</v>
      </c>
      <c r="CL1530" s="62" t="n">
        <f aca="false">N(M1530)</f>
        <v>0</v>
      </c>
      <c r="CM1530" s="62" t="n">
        <f aca="false">N(N1530)</f>
        <v>50</v>
      </c>
      <c r="CN1530" s="62" t="n">
        <f aca="false">ROUNDUP(H1530/BZ1530,0)</f>
        <v>1</v>
      </c>
      <c r="CO1530" s="62" t="n">
        <f aca="false">ROUNDUP(CJ1530/BZ1530,0)</f>
        <v>0</v>
      </c>
      <c r="CP1530" s="65" t="n">
        <f aca="false">IF(CA1530=1,0,IFERROR(VLOOKUP(BY1530,'Gebinde-Kategorie'!$A$5:$N$45,5,0)+0,0))</f>
        <v>21</v>
      </c>
      <c r="CQ1530" s="65" t="n">
        <f aca="false">IFERROR(IF(OR(CF1530=1,CF1530=2,CF1530=3),N(INDEX(Parameter!$I$5:$I$7,CF1530)),0),0)</f>
        <v>0</v>
      </c>
      <c r="CR1530" s="64" t="n">
        <f aca="false">IF(AND(Parameter!$B$21="Ja",ISNUMBER(W1530),N(X1530)&gt;0),IFERROR(N(INDEX(Parameter!$L$5:$L$7,W1530))*INDEX(Parameter!$E$5:$E$7,W1530)*X1530/SUMIFS($X$7:$X$1843,$W$7:$W$1843,W1530),0),0)</f>
        <v>0</v>
      </c>
      <c r="CS1530" s="62" t="n">
        <f aca="false">IF(AND(OR(CG1530="L1",CG1530="L23",CG1530="LIFT"),H1530&gt;0),CC1530*IF(CR1530&gt;0,CR1530*MAX(1,H1530/X1530),IF(CA1530=1,CE1530,IF(R1530&gt;0,CN1530/R1530,0))/MAX(0.1,N(Parameter!$M$21))),"")</f>
        <v>9.42307692307692</v>
      </c>
      <c r="CT1530" s="64" t="n">
        <f aca="false">IF(CS1530="","",J1530/H1530)</f>
        <v>0</v>
      </c>
      <c r="CU1530" s="62" t="n">
        <f aca="false">IF(CS1530="","",H1530*G1530)</f>
        <v>504.39</v>
      </c>
      <c r="CV1530" s="63" t="n">
        <f aca="false">IF(CS1530="","",(CL1530+ROUNDUP(CL1530+MAX(CM1530,2*(J1530/MAX(0.1,N(Einkauf!$C$6))-CL1530)),0))/2)</f>
        <v>25</v>
      </c>
      <c r="CW1530" s="62" t="n">
        <f aca="false">IF(CS1530="","",MAX(0,H1530-CV1530)*G1530)</f>
        <v>257.14</v>
      </c>
      <c r="CX1530" s="62" t="n">
        <f aca="false">IF(CS1530="","",CS1530*MAX(0,1-CV1530/H1530))</f>
        <v>4.80392156862745</v>
      </c>
      <c r="CY1530" s="64" t="n">
        <f aca="false">IF(CS1530="","",PERCENTRANK($CS$7:$CS$1843,CS1530)+PERCENTRANK($CU$7:$CU$1843,CU1530)+1-PERCENTRANK($CT$7:$CT$1843,CT1530))</f>
        <v>2.093</v>
      </c>
      <c r="CZ1530" s="72" t="n">
        <f aca="false">IF(CS1530="","",CHOOSE(MATCH(Einkauf!$C$5,Parameter!$G$23:$G$27,0),CY1530,CS1530,CU1530,-CT1530,CW1530)+ROW()/1000000000)</f>
        <v>2.09300153</v>
      </c>
    </row>
    <row r="1531" customFormat="false" ht="15" hidden="false" customHeight="false" outlineLevel="0" collapsed="false">
      <c r="A1531" s="60" t="s">
        <v>2717</v>
      </c>
      <c r="B1531" s="60" t="s">
        <v>2718</v>
      </c>
      <c r="C1531" s="60" t="s">
        <v>206</v>
      </c>
      <c r="D1531" s="60" t="s">
        <v>226</v>
      </c>
      <c r="E1531" s="60" t="s">
        <v>227</v>
      </c>
      <c r="F1531" s="60"/>
      <c r="G1531" s="61" t="n">
        <v>93</v>
      </c>
      <c r="H1531" s="62" t="n">
        <f aca="false">MAX(0,IF(AND(Parameter!$B$21="Ja",ISNUMBER(Y1531)),Y1531,IF(Parameter!$B$20="Jahresanfang 2025 + Export",BS1531+BR1531,BR1531)))</f>
        <v>6</v>
      </c>
      <c r="I1531" s="62" t="n">
        <f aca="false">H1531*G1531</f>
        <v>558</v>
      </c>
      <c r="J1531" s="62" t="n">
        <f aca="false">BU1531*Parameter!$B$18</f>
        <v>0</v>
      </c>
      <c r="K1531" s="63"/>
      <c r="L1531" s="64"/>
      <c r="M1531" s="62" t="n">
        <v>0</v>
      </c>
      <c r="N1531" s="62" t="n">
        <v>3</v>
      </c>
      <c r="O1531" s="65" t="n">
        <v>21</v>
      </c>
      <c r="P1531" s="60" t="s">
        <v>463</v>
      </c>
      <c r="Q1531" s="62" t="n">
        <v>6</v>
      </c>
      <c r="R1531" s="65" t="n">
        <f aca="false">IF(CA1531=1,0,IFERROR(VLOOKUP(BY1531,'Gebinde-Kategorie'!$A$5:$N$45,13,0)+0,0))</f>
        <v>104</v>
      </c>
      <c r="S1531" s="66"/>
      <c r="T1531" s="67"/>
      <c r="U1531" s="67"/>
      <c r="V1531" s="67"/>
      <c r="W1531" s="60"/>
      <c r="X1531" s="62"/>
      <c r="Y1531" s="62"/>
      <c r="Z1531" s="60" t="n">
        <v>1</v>
      </c>
      <c r="AA1531" s="60" t="n">
        <f aca="false">IF(A1531="","",IF(AND(Parameter!$B$21="Ja",ISNUMBER(W1531)),W1531,IF(AND(Parameter!$E$27="Ja",ISNUMBER(Z1531),CD1531&lt;&gt;"Nein"),Z1531,IF(CD1531="2+3",IF(ISNUMBER(SEARCH("grosser Artikel",BV1531)),2,IFERROR(VLOOKUP(BY1531,Parameter!$F$35:$G$64,2,0),2)),IF(OR(CD1531="Nein",CD1531=""),"-",CD1531)))))</f>
        <v>1</v>
      </c>
      <c r="AB1531" s="67"/>
      <c r="AC1531" s="68"/>
      <c r="AD1531" s="62" t="n">
        <f aca="false">AW1531</f>
        <v>3</v>
      </c>
      <c r="AE1531" s="62" t="n">
        <f aca="false">MAX(AW1531,H1531)</f>
        <v>6</v>
      </c>
      <c r="AF1531" s="69"/>
      <c r="AG1531" s="62" t="n">
        <f aca="false">IF(LEFT(Cockpit!$C$5,1)="A",H1531,IF(Parameter!$E$30="MAX-Bestand",IF(CI1531=1,CJ1531,IF(LEFT(Cockpit!$C$5,1)="B",AM1531,MAX(AM1531,H1531))),ROUNDUP(AK1531,0)))</f>
        <v>6</v>
      </c>
      <c r="AH1531" s="62" t="n">
        <f aca="false">IF(CA1531=1,0,ROUNDUP(AG1531/BZ1531,0))</f>
        <v>1</v>
      </c>
      <c r="AI1531" s="64" t="n">
        <f aca="false">IF(CR1531&gt;0,CR1531*MAX(1,AG1531/X1531),IF(CA1531=1,IF(AG1531&lt;=0,0,CE1531*MAX(1,IF(H1531&gt;0,AG1531/H1531,1))),IF(R1531&gt;0,AH1531/R1531,0))/MAX(0.1,N(Parameter!$M$21)))</f>
        <v>0.00961538461538462</v>
      </c>
      <c r="AJ1531" s="62" t="n">
        <f aca="false">AI1531*CC1531</f>
        <v>1.49038461538462</v>
      </c>
      <c r="AK1531" s="63" t="n">
        <f aca="false">IF(LEFT(Cockpit!$C$5,1)="A",H1531,IF(CI1531=1,(CL1531+CJ1531)/2,IF(LEFT(Cockpit!$C$5,1)="B",(CL1531+AM1531)/2,MAX((CL1531+AM1531)/2,H1531))))</f>
        <v>6</v>
      </c>
      <c r="AL1531" s="62" t="n">
        <f aca="false">AK1531*G1531</f>
        <v>558</v>
      </c>
      <c r="AM1531" s="62" t="n">
        <f aca="false">ROUNDUP(CL1531+MAX(CM1531,2*(J1531/IF(CH1531&gt;0,CH1531,MAX(0.1,N(Cockpit!$C$6)))-CL1531)),0)</f>
        <v>3</v>
      </c>
      <c r="AN1531" s="63" t="n">
        <f aca="false">IF(AJ1531&gt;0,J1531/AJ1531,-1)</f>
        <v>0</v>
      </c>
      <c r="AO1531" s="63" t="n">
        <f aca="false">IF(AND(OR(CG1531="L1",CG1531="L23",CG1531="LIFT"),AJ1531&gt;0),SUMIFS($AJ$7:$AJ$1843,$CG$7:$CG$1843,CG1531,$AN$7:$AN$1843,"&gt;"&amp;AN1531)+SUMIFS($AJ$7:$AJ$1843,$CG$7:$CG$1843,CG1531,$AN$7:$AN$1843,AN1531,$BX$7:$BX$1843,"&lt;="&amp;BX1531),"")</f>
        <v>30085.0328221684</v>
      </c>
      <c r="AP1531" s="70" t="n">
        <f aca="false">IF(AO1531="",0,MAX(0,MIN(1,(IF(CG1531="L1",Parameter!$H$5,IF(CG1531="L23",Parameter!$H$6+Parameter!$H$7,Parameter!$H$5+Parameter!$H$6+Parameter!$H$7))-(AO1531-AJ1531))/AJ1531)))</f>
        <v>1</v>
      </c>
      <c r="AQ1531" s="62" t="n">
        <f aca="false">IF(LEFT(Cockpit!$I$5,1)="A",H1531,IF(Parameter!$E$30="MAX-Bestand",IF(CI1531=1,CJ1531,IF(LEFT(Cockpit!$I$5,1)="B",AW1531,MAX(AW1531,H1531))),ROUNDUP(AU1531,0)))</f>
        <v>6</v>
      </c>
      <c r="AR1531" s="62" t="n">
        <f aca="false">IF(CA1531=1,0,ROUNDUP(AQ1531/BZ1531,0))</f>
        <v>1</v>
      </c>
      <c r="AS1531" s="64" t="n">
        <f aca="false">IF(CR1531&gt;0,CR1531*MAX(1,AQ1531/X1531),IF(CA1531=1,IF(AQ1531&lt;=0,0,CE1531*MAX(1,IF(H1531&gt;0,AQ1531/H1531,1))),IF(R1531&gt;0,AR1531/R1531,0))/MAX(0.1,N(Parameter!$M$21)))</f>
        <v>0.00961538461538462</v>
      </c>
      <c r="AT1531" s="62" t="n">
        <f aca="false">AS1531*CC1531</f>
        <v>1.49038461538462</v>
      </c>
      <c r="AU1531" s="63" t="n">
        <f aca="false">IF(LEFT(Cockpit!$I$5,1)="A",H1531,IF(CI1531=1,(CL1531+CJ1531)/2,IF(LEFT(Cockpit!$I$5,1)="B",(CL1531+AW1531)/2,MAX((CL1531+AW1531)/2,H1531))))</f>
        <v>6</v>
      </c>
      <c r="AV1531" s="62" t="n">
        <f aca="false">AU1531*G1531</f>
        <v>558</v>
      </c>
      <c r="AW1531" s="62" t="n">
        <f aca="false">ROUNDUP(CL1531+MAX(CM1531,2*(J1531/IF(CH1531&gt;0,CH1531,MAX(0.1,N(Cockpit!$I$6)))-CL1531)),0)</f>
        <v>3</v>
      </c>
      <c r="AX1531" s="63" t="n">
        <f aca="false">IF(AT1531&gt;0,J1531/AT1531,-1)</f>
        <v>0</v>
      </c>
      <c r="AY1531" s="63" t="n">
        <f aca="false">IF(AND(OR(CG1531="L1",CG1531="L23",CG1531="LIFT"),AT1531&gt;0),SUMIFS($AT$7:$AT$1843,$CG$7:$CG$1843,CG1531,$AX$7:$AX$1843,"&gt;"&amp;AX1531)+SUMIFS($AT$7:$AT$1843,$CG$7:$CG$1843,CG1531,$AX$7:$AX$1843,AX1531,$BX$7:$BX$1843,"&lt;="&amp;BX1531),"")</f>
        <v>36404.8893390037</v>
      </c>
      <c r="AZ1531" s="70" t="n">
        <f aca="false">IF(AY1531="",0,MAX(0,MIN(1,(IF(CG1531="L1",Parameter!$H$5,IF(CG1531="L23",Parameter!$H$6+Parameter!$H$7,Parameter!$H$5+Parameter!$H$6+Parameter!$H$7))-(AY1531-AT1531))/AT1531)))</f>
        <v>0</v>
      </c>
      <c r="BA1531" s="62" t="n">
        <f aca="false">IF(LEFT(Cockpit!$O$5,1)="A",H1531,IF(Parameter!$E$30="MAX-Bestand",IF(CI1531=1,CJ1531,IF(LEFT(Cockpit!$O$5,1)="B",BG1531,MAX(BG1531,H1531))),ROUNDUP(BE1531,0)))</f>
        <v>2</v>
      </c>
      <c r="BB1531" s="62" t="n">
        <f aca="false">IF(CA1531=1,0,ROUNDUP(BA1531/BZ1531,0))</f>
        <v>1</v>
      </c>
      <c r="BC1531" s="64" t="n">
        <f aca="false">IF(CR1531&gt;0,CR1531*MAX(1,BA1531/X1531),IF(CA1531=1,IF(BA1531&lt;=0,0,CE1531*MAX(1,IF(H1531&gt;0,BA1531/H1531,1))),IF(R1531&gt;0,BB1531/R1531,0))/MAX(0.1,N(Parameter!$M$21)))</f>
        <v>0.00961538461538462</v>
      </c>
      <c r="BD1531" s="62" t="n">
        <f aca="false">BC1531*CC1531</f>
        <v>1.49038461538462</v>
      </c>
      <c r="BE1531" s="63" t="n">
        <f aca="false">IF(LEFT(Cockpit!$O$5,1)="A",H1531,IF(CI1531=1,(CL1531+CJ1531)/2,IF(LEFT(Cockpit!$O$5,1)="B",(CL1531+BG1531)/2,MAX((CL1531+BG1531)/2,H1531))))</f>
        <v>1.5</v>
      </c>
      <c r="BF1531" s="62" t="n">
        <f aca="false">BE1531*G1531</f>
        <v>139.5</v>
      </c>
      <c r="BG1531" s="62" t="n">
        <f aca="false">ROUNDUP(CL1531+MAX(CM1531,2*(J1531/IF(CH1531&gt;0,CH1531,MAX(0.1,N(Cockpit!$O$6)))-CL1531)),0)</f>
        <v>3</v>
      </c>
      <c r="BH1531" s="63" t="n">
        <f aca="false">IF(BD1531&gt;0,J1531/BD1531,-1)</f>
        <v>0</v>
      </c>
      <c r="BI1531" s="63" t="n">
        <f aca="false">IF(AND(OR(CG1531="L1",CG1531="L23",CG1531="LIFT"),BD1531&gt;0),SUMIFS($BD$7:$BD$1843,$CG$7:$CG$1843,CG1531,$BH$7:$BH$1843,"&gt;"&amp;BH1531)+SUMIFS($BD$7:$BD$1843,$CG$7:$CG$1843,CG1531,$BH$7:$BH$1843,BH1531,$BX$7:$BX$1843,"&lt;="&amp;BX1531),"")</f>
        <v>30343.0806145361</v>
      </c>
      <c r="BJ1531" s="70" t="n">
        <f aca="false">IF(BI1531="",0,MAX(0,MIN(1,(IF(CG1531="L1",Parameter!$H$5,IF(CG1531="L23",Parameter!$H$6+Parameter!$H$7,Parameter!$H$5+Parameter!$H$6+Parameter!$H$7))-(BI1531-BD1531))/BD1531)))</f>
        <v>1</v>
      </c>
      <c r="BK1531" s="60" t="str">
        <f aca="false">IF(AJ1531&lt;=0,"",IF(CG1531="Aussen","Aussenlager",IF(CG1531="-","Nicht im Lift",IF(AP1531&gt;=1,"Lift",IF(AP1531&lt;=0,"Aussenlager","teilweise")))))</f>
        <v>Lift</v>
      </c>
      <c r="BL1531" s="60" t="str">
        <f aca="false">IF(AT1531&lt;=0,"",IF(CG1531="Aussen","Aussenlager",IF(CG1531="-","Nicht im Lift",IF(AZ1531&gt;=1,"Lift",IF(AZ1531&lt;=0,"Aussenlager","teilweise")))))</f>
        <v>Aussenlager</v>
      </c>
      <c r="BM1531" s="60" t="str">
        <f aca="false">IF(BD1531&lt;=0,"",IF(CG1531="Aussen","Aussenlager",IF(CG1531="-","Nicht im Lift",IF(BJ1531&gt;=1,"Lift",IF(BJ1531&lt;=0,"Aussenlager","teilweise")))))</f>
        <v>Lift</v>
      </c>
      <c r="BN1531" s="60" t="str">
        <f aca="false">IF(A1531="","",IF(BW1531=1,"Neu; ","")&amp;IF(AND(BW1531=0,BR1531&lt;0),"negativer Bestand (Export "&amp;BR1531&amp;"); ","")&amp;IF(J1531&lt;=0,"Kein Verbrauch; ","")&amp;IF(CR1531&gt;0,"Lift "&amp;W1531&amp;" lt. Liftbericht (Fach "&amp;X1531&amp;" Stk); ",IF(CB1531=1,"Gebinde geschätzt ("&amp;T1531&amp;"); ",IF(CA1531=1,"Lose – Tablare geschätzt; ","")))&amp;IF(H1531&gt;AW1531,"Überbestand "&amp;ROUND(H1531-AW1531,0)&amp;" Stk / CHF "&amp;ROUND((H1531-AW1531)*G1531,0)&amp;"; ","")&amp;IF(AND(CI1531=1,CJ1531&lt;CK1531),"MAX &lt; MB+LG; ","")&amp;IF(AND(CQ1531&gt;0,CP1531*10&gt;CQ1531),"zu hoch für Tablar; ","")&amp;IF(AND(BW1531=0,OR(CI1531=1,AB1531&lt;&gt;"",U1531&lt;&gt;"",V1531&lt;&gt;"",AC1531&lt;&gt;"")),"manuell übersteuert; ","")&amp;IF(AND(CA1531=0,R1531=0),"Gebinde unbekannt / Stellmass fehlt; ","")&amp;IF(AND(CA1531=0,N(V1531)&lt;=0,N(Q1531)&lt;=0),"Menge pro Gebinde fehlt (Ist = 1 Gebinde); ","")&amp;BV1531)</f>
        <v>Kein Verbrauch; Überbestand 3 Stk / CHF 279; nur im Artikelstamm (Bestand 23.06.2026)</v>
      </c>
      <c r="BO1531" s="60"/>
      <c r="BP1531" s="60"/>
      <c r="BQ1531" s="67"/>
      <c r="BR1531" s="62" t="n">
        <v>6</v>
      </c>
      <c r="BS1531" s="62" t="n">
        <v>0</v>
      </c>
      <c r="BT1531" s="61" t="n">
        <v>0</v>
      </c>
      <c r="BU1531" s="62" t="n">
        <v>0</v>
      </c>
      <c r="BV1531" s="60" t="s">
        <v>2617</v>
      </c>
      <c r="BW1531" s="65" t="n">
        <v>0</v>
      </c>
      <c r="BX1531" s="65" t="n">
        <v>1531</v>
      </c>
      <c r="BY1531" s="60" t="str">
        <f aca="false">IF(U1531&lt;&gt;"",UPPER(TRIM(U1531)),IF(CB1531=1,UPPER(VLOOKUP(T1531,Parameter!$I$27:$K$29,2,0)),IF(P1531="","LOSE",P1531)))</f>
        <v>S32</v>
      </c>
      <c r="BZ1531" s="62" t="n">
        <f aca="false">IF(BY1531="LOSE",1,IF(N(V1531)&gt;0,V1531,IF(CB1531=1,MAX(1,N(VLOOKUP(T1531,Parameter!$I$27:$K$29,3,0)),H1531,N(N1531)),IF(N(Q1531)&gt;0,Q1531,MAX(1,H1531)))))</f>
        <v>6</v>
      </c>
      <c r="CA1531" s="65" t="n">
        <f aca="false">IF(BY1531="LOSE",1,0)</f>
        <v>0</v>
      </c>
      <c r="CB1531" s="65" t="n">
        <f aca="false">IF(AND(U1531="",OR(P1531="",P1531="LOSE"),T1531&lt;&gt;"",N(S1531)&lt;=0,ISNUMBER(MATCH(T1531,Parameter!$I$27:$I$29,0))),1,0)</f>
        <v>0</v>
      </c>
      <c r="CC1531" s="65" t="n">
        <f aca="false">IF(CR1531&gt;0,INDEX(Parameter!$H$5:$H$7,W1531)/INDEX(Parameter!$E$5:$E$7,W1531),IF(AND(CA1531=0,N(IFERROR(VLOOKUP(BY1531,'Gebinde-Kategorie'!$A$5:$N$45,14,0),0))&gt;0),VLOOKUP(BY1531,'Gebinde-Kategorie'!$A$5:$N$45,14,0)*10+Parameter!$M$23,Parameter!$M$24))</f>
        <v>155</v>
      </c>
      <c r="CD1531" s="60" t="str">
        <f aca="false">IF(AND(Parameter!$B$19="Ja",E1531&lt;&gt;"",ISNUMBER(MATCH(E1531,Parameter!$I$35:$I$52,0))),VLOOKUP(E1531,Parameter!$I$35:$J$52,2,0),IFERROR(VLOOKUP(D1531,Parameter!$A$35:$C$64,2,0),"Nein"))</f>
        <v>2+3</v>
      </c>
      <c r="CE1531" s="64" t="n">
        <f aca="false">IF(CA1531=0,0,IF(N(S1531)&gt;0,S1531,IFERROR(VLOOKUP(D1531,Parameter!$A$35:$C$64,3,0)+0,0)))</f>
        <v>0</v>
      </c>
      <c r="CF1531" s="60" t="n">
        <f aca="false">IF(AB1531&lt;&gt;"",AB1531,AA1531)</f>
        <v>1</v>
      </c>
      <c r="CG1531" s="60" t="str">
        <f aca="false">IF(OR(CF1531=1,CF1531=2,CF1531=3),IF(Parameter!$E$27="Ja","LIFT",IF(CF1531=1,"L1","L23")),IF(CF1531="Aussen","Aussen","-"))</f>
        <v>LIFT</v>
      </c>
      <c r="CH1531" s="71" t="n">
        <f aca="false">IF(N(AC1531)&gt;0,AC1531,0)</f>
        <v>0</v>
      </c>
      <c r="CI1531" s="65" t="n">
        <f aca="false">IF(ISNUMBER(AF1531),1,0)</f>
        <v>0</v>
      </c>
      <c r="CJ1531" s="62" t="n">
        <f aca="false">N(AF1531)</f>
        <v>0</v>
      </c>
      <c r="CK1531" s="62" t="n">
        <f aca="false">N(M1531)+N(N1531)</f>
        <v>3</v>
      </c>
      <c r="CL1531" s="62" t="n">
        <f aca="false">N(M1531)</f>
        <v>0</v>
      </c>
      <c r="CM1531" s="62" t="n">
        <f aca="false">N(N1531)</f>
        <v>3</v>
      </c>
      <c r="CN1531" s="62" t="n">
        <f aca="false">ROUNDUP(H1531/BZ1531,0)</f>
        <v>1</v>
      </c>
      <c r="CO1531" s="62" t="n">
        <f aca="false">ROUNDUP(CJ1531/BZ1531,0)</f>
        <v>0</v>
      </c>
      <c r="CP1531" s="65" t="n">
        <f aca="false">IF(CA1531=1,0,IFERROR(VLOOKUP(BY1531,'Gebinde-Kategorie'!$A$5:$N$45,5,0)+0,0))</f>
        <v>8</v>
      </c>
      <c r="CQ1531" s="65" t="n">
        <f aca="false">IFERROR(IF(OR(CF1531=1,CF1531=2,CF1531=3),N(INDEX(Parameter!$I$5:$I$7,CF1531)),0),0)</f>
        <v>0</v>
      </c>
      <c r="CR1531" s="64" t="n">
        <f aca="false">IF(AND(Parameter!$B$21="Ja",ISNUMBER(W1531),N(X1531)&gt;0),IFERROR(N(INDEX(Parameter!$L$5:$L$7,W1531))*INDEX(Parameter!$E$5:$E$7,W1531)*X1531/SUMIFS($X$7:$X$1843,$W$7:$W$1843,W1531),0),0)</f>
        <v>0</v>
      </c>
      <c r="CS1531" s="62" t="n">
        <f aca="false">IF(AND(OR(CG1531="L1",CG1531="L23",CG1531="LIFT"),H1531&gt;0),CC1531*IF(CR1531&gt;0,CR1531*MAX(1,H1531/X1531),IF(CA1531=1,CE1531,IF(R1531&gt;0,CN1531/R1531,0))/MAX(0.1,N(Parameter!$M$21))),"")</f>
        <v>1.49038461538462</v>
      </c>
      <c r="CT1531" s="64" t="n">
        <f aca="false">IF(CS1531="","",J1531/H1531)</f>
        <v>0</v>
      </c>
      <c r="CU1531" s="62" t="n">
        <f aca="false">IF(CS1531="","",H1531*G1531)</f>
        <v>558</v>
      </c>
      <c r="CV1531" s="63" t="n">
        <f aca="false">IF(CS1531="","",(CL1531+ROUNDUP(CL1531+MAX(CM1531,2*(J1531/MAX(0.1,N(Einkauf!$C$6))-CL1531)),0))/2)</f>
        <v>1.5</v>
      </c>
      <c r="CW1531" s="62" t="n">
        <f aca="false">IF(CS1531="","",MAX(0,H1531-CV1531)*G1531)</f>
        <v>418.5</v>
      </c>
      <c r="CX1531" s="62" t="n">
        <f aca="false">IF(CS1531="","",CS1531*MAX(0,1-CV1531/H1531))</f>
        <v>1.11778846153846</v>
      </c>
      <c r="CY1531" s="64" t="n">
        <f aca="false">IF(CS1531="","",PERCENTRANK($CS$7:$CS$1843,CS1531)+PERCENTRANK($CU$7:$CU$1843,CU1531)+1-PERCENTRANK($CT$7:$CT$1843,CT1531))</f>
        <v>1.651</v>
      </c>
      <c r="CZ1531" s="72" t="n">
        <f aca="false">IF(CS1531="","",CHOOSE(MATCH(Einkauf!$C$5,Parameter!$G$23:$G$27,0),CY1531,CS1531,CU1531,-CT1531,CW1531)+ROW()/1000000000)</f>
        <v>1.651001531</v>
      </c>
    </row>
    <row r="1532" customFormat="false" ht="15" hidden="false" customHeight="false" outlineLevel="0" collapsed="false">
      <c r="A1532" s="60" t="s">
        <v>2719</v>
      </c>
      <c r="B1532" s="60" t="s">
        <v>2720</v>
      </c>
      <c r="C1532" s="60" t="s">
        <v>206</v>
      </c>
      <c r="D1532" s="60" t="s">
        <v>226</v>
      </c>
      <c r="E1532" s="60" t="s">
        <v>227</v>
      </c>
      <c r="F1532" s="60"/>
      <c r="G1532" s="61" t="n">
        <v>109.75</v>
      </c>
      <c r="H1532" s="62" t="n">
        <f aca="false">MAX(0,IF(AND(Parameter!$B$21="Ja",ISNUMBER(Y1532)),Y1532,IF(Parameter!$B$20="Jahresanfang 2025 + Export",BS1532+BR1532,BR1532)))</f>
        <v>7</v>
      </c>
      <c r="I1532" s="62" t="n">
        <f aca="false">H1532*G1532</f>
        <v>768.25</v>
      </c>
      <c r="J1532" s="62" t="n">
        <f aca="false">BU1532*Parameter!$B$18</f>
        <v>0</v>
      </c>
      <c r="K1532" s="63"/>
      <c r="L1532" s="64"/>
      <c r="M1532" s="62" t="n">
        <v>0</v>
      </c>
      <c r="N1532" s="62" t="n">
        <v>1</v>
      </c>
      <c r="O1532" s="65" t="n">
        <v>42</v>
      </c>
      <c r="P1532" s="60" t="s">
        <v>344</v>
      </c>
      <c r="Q1532" s="62" t="n">
        <v>7</v>
      </c>
      <c r="R1532" s="65" t="n">
        <f aca="false">IF(CA1532=1,0,IFERROR(VLOOKUP(BY1532,'Gebinde-Kategorie'!$A$5:$N$45,13,0)+0,0))</f>
        <v>26</v>
      </c>
      <c r="S1532" s="66"/>
      <c r="T1532" s="67"/>
      <c r="U1532" s="67"/>
      <c r="V1532" s="67"/>
      <c r="W1532" s="60"/>
      <c r="X1532" s="62"/>
      <c r="Y1532" s="62"/>
      <c r="Z1532" s="60" t="n">
        <v>3</v>
      </c>
      <c r="AA1532" s="60" t="n">
        <f aca="false">IF(A1532="","",IF(AND(Parameter!$B$21="Ja",ISNUMBER(W1532)),W1532,IF(AND(Parameter!$E$27="Ja",ISNUMBER(Z1532),CD1532&lt;&gt;"Nein"),Z1532,IF(CD1532="2+3",IF(ISNUMBER(SEARCH("grosser Artikel",BV1532)),2,IFERROR(VLOOKUP(BY1532,Parameter!$F$35:$G$64,2,0),2)),IF(OR(CD1532="Nein",CD1532=""),"-",CD1532)))))</f>
        <v>3</v>
      </c>
      <c r="AB1532" s="67"/>
      <c r="AC1532" s="68"/>
      <c r="AD1532" s="62" t="n">
        <f aca="false">AW1532</f>
        <v>1</v>
      </c>
      <c r="AE1532" s="62" t="n">
        <f aca="false">MAX(AW1532,H1532)</f>
        <v>7</v>
      </c>
      <c r="AF1532" s="69"/>
      <c r="AG1532" s="62" t="n">
        <f aca="false">IF(LEFT(Cockpit!$C$5,1)="A",H1532,IF(Parameter!$E$30="MAX-Bestand",IF(CI1532=1,CJ1532,IF(LEFT(Cockpit!$C$5,1)="B",AM1532,MAX(AM1532,H1532))),ROUNDUP(AK1532,0)))</f>
        <v>7</v>
      </c>
      <c r="AH1532" s="62" t="n">
        <f aca="false">IF(CA1532=1,0,ROUNDUP(AG1532/BZ1532,0))</f>
        <v>1</v>
      </c>
      <c r="AI1532" s="64" t="n">
        <f aca="false">IF(CR1532&gt;0,CR1532*MAX(1,AG1532/X1532),IF(CA1532=1,IF(AG1532&lt;=0,0,CE1532*MAX(1,IF(H1532&gt;0,AG1532/H1532,1))),IF(R1532&gt;0,AH1532/R1532,0))/MAX(0.1,N(Parameter!$M$21)))</f>
        <v>0.0384615384615385</v>
      </c>
      <c r="AJ1532" s="62" t="n">
        <f aca="false">AI1532*CC1532</f>
        <v>5.96153846153846</v>
      </c>
      <c r="AK1532" s="63" t="n">
        <f aca="false">IF(LEFT(Cockpit!$C$5,1)="A",H1532,IF(CI1532=1,(CL1532+CJ1532)/2,IF(LEFT(Cockpit!$C$5,1)="B",(CL1532+AM1532)/2,MAX((CL1532+AM1532)/2,H1532))))</f>
        <v>7</v>
      </c>
      <c r="AL1532" s="62" t="n">
        <f aca="false">AK1532*G1532</f>
        <v>768.25</v>
      </c>
      <c r="AM1532" s="62" t="n">
        <f aca="false">ROUNDUP(CL1532+MAX(CM1532,2*(J1532/IF(CH1532&gt;0,CH1532,MAX(0.1,N(Cockpit!$C$6)))-CL1532)),0)</f>
        <v>1</v>
      </c>
      <c r="AN1532" s="63" t="n">
        <f aca="false">IF(AJ1532&gt;0,J1532/AJ1532,-1)</f>
        <v>0</v>
      </c>
      <c r="AO1532" s="63" t="n">
        <f aca="false">IF(AND(OR(CG1532="L1",CG1532="L23",CG1532="LIFT"),AJ1532&gt;0),SUMIFS($AJ$7:$AJ$1843,$CG$7:$CG$1843,CG1532,$AN$7:$AN$1843,"&gt;"&amp;AN1532)+SUMIFS($AJ$7:$AJ$1843,$CG$7:$CG$1843,CG1532,$AN$7:$AN$1843,AN1532,$BX$7:$BX$1843,"&lt;="&amp;BX1532),"")</f>
        <v>30090.99436063</v>
      </c>
      <c r="AP1532" s="70" t="n">
        <f aca="false">IF(AO1532="",0,MAX(0,MIN(1,(IF(CG1532="L1",Parameter!$H$5,IF(CG1532="L23",Parameter!$H$6+Parameter!$H$7,Parameter!$H$5+Parameter!$H$6+Parameter!$H$7))-(AO1532-AJ1532))/AJ1532)))</f>
        <v>1</v>
      </c>
      <c r="AQ1532" s="62" t="n">
        <f aca="false">IF(LEFT(Cockpit!$I$5,1)="A",H1532,IF(Parameter!$E$30="MAX-Bestand",IF(CI1532=1,CJ1532,IF(LEFT(Cockpit!$I$5,1)="B",AW1532,MAX(AW1532,H1532))),ROUNDUP(AU1532,0)))</f>
        <v>7</v>
      </c>
      <c r="AR1532" s="62" t="n">
        <f aca="false">IF(CA1532=1,0,ROUNDUP(AQ1532/BZ1532,0))</f>
        <v>1</v>
      </c>
      <c r="AS1532" s="64" t="n">
        <f aca="false">IF(CR1532&gt;0,CR1532*MAX(1,AQ1532/X1532),IF(CA1532=1,IF(AQ1532&lt;=0,0,CE1532*MAX(1,IF(H1532&gt;0,AQ1532/H1532,1))),IF(R1532&gt;0,AR1532/R1532,0))/MAX(0.1,N(Parameter!$M$21)))</f>
        <v>0.0384615384615385</v>
      </c>
      <c r="AT1532" s="62" t="n">
        <f aca="false">AS1532*CC1532</f>
        <v>5.96153846153846</v>
      </c>
      <c r="AU1532" s="63" t="n">
        <f aca="false">IF(LEFT(Cockpit!$I$5,1)="A",H1532,IF(CI1532=1,(CL1532+CJ1532)/2,IF(LEFT(Cockpit!$I$5,1)="B",(CL1532+AW1532)/2,MAX((CL1532+AW1532)/2,H1532))))</f>
        <v>7</v>
      </c>
      <c r="AV1532" s="62" t="n">
        <f aca="false">AU1532*G1532</f>
        <v>768.25</v>
      </c>
      <c r="AW1532" s="62" t="n">
        <f aca="false">ROUNDUP(CL1532+MAX(CM1532,2*(J1532/IF(CH1532&gt;0,CH1532,MAX(0.1,N(Cockpit!$I$6)))-CL1532)),0)</f>
        <v>1</v>
      </c>
      <c r="AX1532" s="63" t="n">
        <f aca="false">IF(AT1532&gt;0,J1532/AT1532,-1)</f>
        <v>0</v>
      </c>
      <c r="AY1532" s="63" t="n">
        <f aca="false">IF(AND(OR(CG1532="L1",CG1532="L23",CG1532="LIFT"),AT1532&gt;0),SUMIFS($AT$7:$AT$1843,$CG$7:$CG$1843,CG1532,$AX$7:$AX$1843,"&gt;"&amp;AX1532)+SUMIFS($AT$7:$AT$1843,$CG$7:$CG$1843,CG1532,$AX$7:$AX$1843,AX1532,$BX$7:$BX$1843,"&lt;="&amp;BX1532),"")</f>
        <v>36410.8508774653</v>
      </c>
      <c r="AZ1532" s="70" t="n">
        <f aca="false">IF(AY1532="",0,MAX(0,MIN(1,(IF(CG1532="L1",Parameter!$H$5,IF(CG1532="L23",Parameter!$H$6+Parameter!$H$7,Parameter!$H$5+Parameter!$H$6+Parameter!$H$7))-(AY1532-AT1532))/AT1532)))</f>
        <v>0</v>
      </c>
      <c r="BA1532" s="62" t="n">
        <f aca="false">IF(LEFT(Cockpit!$O$5,1)="A",H1532,IF(Parameter!$E$30="MAX-Bestand",IF(CI1532=1,CJ1532,IF(LEFT(Cockpit!$O$5,1)="B",BG1532,MAX(BG1532,H1532))),ROUNDUP(BE1532,0)))</f>
        <v>1</v>
      </c>
      <c r="BB1532" s="62" t="n">
        <f aca="false">IF(CA1532=1,0,ROUNDUP(BA1532/BZ1532,0))</f>
        <v>1</v>
      </c>
      <c r="BC1532" s="64" t="n">
        <f aca="false">IF(CR1532&gt;0,CR1532*MAX(1,BA1532/X1532),IF(CA1532=1,IF(BA1532&lt;=0,0,CE1532*MAX(1,IF(H1532&gt;0,BA1532/H1532,1))),IF(R1532&gt;0,BB1532/R1532,0))/MAX(0.1,N(Parameter!$M$21)))</f>
        <v>0.0384615384615385</v>
      </c>
      <c r="BD1532" s="62" t="n">
        <f aca="false">BC1532*CC1532</f>
        <v>5.96153846153846</v>
      </c>
      <c r="BE1532" s="63" t="n">
        <f aca="false">IF(LEFT(Cockpit!$O$5,1)="A",H1532,IF(CI1532=1,(CL1532+CJ1532)/2,IF(LEFT(Cockpit!$O$5,1)="B",(CL1532+BG1532)/2,MAX((CL1532+BG1532)/2,H1532))))</f>
        <v>0.5</v>
      </c>
      <c r="BF1532" s="62" t="n">
        <f aca="false">BE1532*G1532</f>
        <v>54.875</v>
      </c>
      <c r="BG1532" s="62" t="n">
        <f aca="false">ROUNDUP(CL1532+MAX(CM1532,2*(J1532/IF(CH1532&gt;0,CH1532,MAX(0.1,N(Cockpit!$O$6)))-CL1532)),0)</f>
        <v>1</v>
      </c>
      <c r="BH1532" s="63" t="n">
        <f aca="false">IF(BD1532&gt;0,J1532/BD1532,-1)</f>
        <v>0</v>
      </c>
      <c r="BI1532" s="63" t="n">
        <f aca="false">IF(AND(OR(CG1532="L1",CG1532="L23",CG1532="LIFT"),BD1532&gt;0),SUMIFS($BD$7:$BD$1843,$CG$7:$CG$1843,CG1532,$BH$7:$BH$1843,"&gt;"&amp;BH1532)+SUMIFS($BD$7:$BD$1843,$CG$7:$CG$1843,CG1532,$BH$7:$BH$1843,BH1532,$BX$7:$BX$1843,"&lt;="&amp;BX1532),"")</f>
        <v>30349.0421529977</v>
      </c>
      <c r="BJ1532" s="70" t="n">
        <f aca="false">IF(BI1532="",0,MAX(0,MIN(1,(IF(CG1532="L1",Parameter!$H$5,IF(CG1532="L23",Parameter!$H$6+Parameter!$H$7,Parameter!$H$5+Parameter!$H$6+Parameter!$H$7))-(BI1532-BD1532))/BD1532)))</f>
        <v>1</v>
      </c>
      <c r="BK1532" s="60" t="str">
        <f aca="false">IF(AJ1532&lt;=0,"",IF(CG1532="Aussen","Aussenlager",IF(CG1532="-","Nicht im Lift",IF(AP1532&gt;=1,"Lift",IF(AP1532&lt;=0,"Aussenlager","teilweise")))))</f>
        <v>Lift</v>
      </c>
      <c r="BL1532" s="60" t="str">
        <f aca="false">IF(AT1532&lt;=0,"",IF(CG1532="Aussen","Aussenlager",IF(CG1532="-","Nicht im Lift",IF(AZ1532&gt;=1,"Lift",IF(AZ1532&lt;=0,"Aussenlager","teilweise")))))</f>
        <v>Aussenlager</v>
      </c>
      <c r="BM1532" s="60" t="str">
        <f aca="false">IF(BD1532&lt;=0,"",IF(CG1532="Aussen","Aussenlager",IF(CG1532="-","Nicht im Lift",IF(BJ1532&gt;=1,"Lift",IF(BJ1532&lt;=0,"Aussenlager","teilweise")))))</f>
        <v>Lift</v>
      </c>
      <c r="BN1532" s="60" t="str">
        <f aca="false">IF(A1532="","",IF(BW1532=1,"Neu; ","")&amp;IF(AND(BW1532=0,BR1532&lt;0),"negativer Bestand (Export "&amp;BR1532&amp;"); ","")&amp;IF(J1532&lt;=0,"Kein Verbrauch; ","")&amp;IF(CR1532&gt;0,"Lift "&amp;W1532&amp;" lt. Liftbericht (Fach "&amp;X1532&amp;" Stk); ",IF(CB1532=1,"Gebinde geschätzt ("&amp;T1532&amp;"); ",IF(CA1532=1,"Lose – Tablare geschätzt; ","")))&amp;IF(H1532&gt;AW1532,"Überbestand "&amp;ROUND(H1532-AW1532,0)&amp;" Stk / CHF "&amp;ROUND((H1532-AW1532)*G1532,0)&amp;"; ","")&amp;IF(AND(CI1532=1,CJ1532&lt;CK1532),"MAX &lt; MB+LG; ","")&amp;IF(AND(CQ1532&gt;0,CP1532*10&gt;CQ1532),"zu hoch für Tablar; ","")&amp;IF(AND(BW1532=0,OR(CI1532=1,AB1532&lt;&gt;"",U1532&lt;&gt;"",V1532&lt;&gt;"",AC1532&lt;&gt;"")),"manuell übersteuert; ","")&amp;IF(AND(CA1532=0,R1532=0),"Gebinde unbekannt / Stellmass fehlt; ","")&amp;IF(AND(CA1532=0,N(V1532)&lt;=0,N(Q1532)&lt;=0),"Menge pro Gebinde fehlt (Ist = 1 Gebinde); ","")&amp;BV1532)</f>
        <v>Kein Verbrauch; Überbestand 6 Stk / CHF 659; nur im Artikelstamm (Bestand 23.06.2026); B&amp;R</v>
      </c>
      <c r="BO1532" s="60"/>
      <c r="BP1532" s="60"/>
      <c r="BQ1532" s="67"/>
      <c r="BR1532" s="62" t="n">
        <v>7</v>
      </c>
      <c r="BS1532" s="62" t="n">
        <v>0</v>
      </c>
      <c r="BT1532" s="61" t="n">
        <v>0</v>
      </c>
      <c r="BU1532" s="62" t="n">
        <v>0</v>
      </c>
      <c r="BV1532" s="60" t="s">
        <v>2721</v>
      </c>
      <c r="BW1532" s="65" t="n">
        <v>0</v>
      </c>
      <c r="BX1532" s="65" t="n">
        <v>1532</v>
      </c>
      <c r="BY1532" s="60" t="str">
        <f aca="false">IF(U1532&lt;&gt;"",UPPER(TRIM(U1532)),IF(CB1532=1,UPPER(VLOOKUP(T1532,Parameter!$I$27:$K$29,2,0)),IF(P1532="","LOSE",P1532)))</f>
        <v>S51</v>
      </c>
      <c r="BZ1532" s="62" t="n">
        <f aca="false">IF(BY1532="LOSE",1,IF(N(V1532)&gt;0,V1532,IF(CB1532=1,MAX(1,N(VLOOKUP(T1532,Parameter!$I$27:$K$29,3,0)),H1532,N(N1532)),IF(N(Q1532)&gt;0,Q1532,MAX(1,H1532)))))</f>
        <v>7</v>
      </c>
      <c r="CA1532" s="65" t="n">
        <f aca="false">IF(BY1532="LOSE",1,0)</f>
        <v>0</v>
      </c>
      <c r="CB1532" s="65" t="n">
        <f aca="false">IF(AND(U1532="",OR(P1532="",P1532="LOSE"),T1532&lt;&gt;"",N(S1532)&lt;=0,ISNUMBER(MATCH(T1532,Parameter!$I$27:$I$29,0))),1,0)</f>
        <v>0</v>
      </c>
      <c r="CC1532" s="65" t="n">
        <f aca="false">IF(CR1532&gt;0,INDEX(Parameter!$H$5:$H$7,W1532)/INDEX(Parameter!$E$5:$E$7,W1532),IF(AND(CA1532=0,N(IFERROR(VLOOKUP(BY1532,'Gebinde-Kategorie'!$A$5:$N$45,14,0),0))&gt;0),VLOOKUP(BY1532,'Gebinde-Kategorie'!$A$5:$N$45,14,0)*10+Parameter!$M$23,Parameter!$M$24))</f>
        <v>155</v>
      </c>
      <c r="CD1532" s="60" t="str">
        <f aca="false">IF(AND(Parameter!$B$19="Ja",E1532&lt;&gt;"",ISNUMBER(MATCH(E1532,Parameter!$I$35:$I$52,0))),VLOOKUP(E1532,Parameter!$I$35:$J$52,2,0),IFERROR(VLOOKUP(D1532,Parameter!$A$35:$C$64,2,0),"Nein"))</f>
        <v>2+3</v>
      </c>
      <c r="CE1532" s="64" t="n">
        <f aca="false">IF(CA1532=0,0,IF(N(S1532)&gt;0,S1532,IFERROR(VLOOKUP(D1532,Parameter!$A$35:$C$64,3,0)+0,0)))</f>
        <v>0</v>
      </c>
      <c r="CF1532" s="60" t="n">
        <f aca="false">IF(AB1532&lt;&gt;"",AB1532,AA1532)</f>
        <v>3</v>
      </c>
      <c r="CG1532" s="60" t="str">
        <f aca="false">IF(OR(CF1532=1,CF1532=2,CF1532=3),IF(Parameter!$E$27="Ja","LIFT",IF(CF1532=1,"L1","L23")),IF(CF1532="Aussen","Aussen","-"))</f>
        <v>LIFT</v>
      </c>
      <c r="CH1532" s="71" t="n">
        <f aca="false">IF(N(AC1532)&gt;0,AC1532,0)</f>
        <v>0</v>
      </c>
      <c r="CI1532" s="65" t="n">
        <f aca="false">IF(ISNUMBER(AF1532),1,0)</f>
        <v>0</v>
      </c>
      <c r="CJ1532" s="62" t="n">
        <f aca="false">N(AF1532)</f>
        <v>0</v>
      </c>
      <c r="CK1532" s="62" t="n">
        <f aca="false">N(M1532)+N(N1532)</f>
        <v>1</v>
      </c>
      <c r="CL1532" s="62" t="n">
        <f aca="false">N(M1532)</f>
        <v>0</v>
      </c>
      <c r="CM1532" s="62" t="n">
        <f aca="false">N(N1532)</f>
        <v>1</v>
      </c>
      <c r="CN1532" s="62" t="n">
        <f aca="false">ROUNDUP(H1532/BZ1532,0)</f>
        <v>1</v>
      </c>
      <c r="CO1532" s="62" t="n">
        <f aca="false">ROUNDUP(CJ1532/BZ1532,0)</f>
        <v>0</v>
      </c>
      <c r="CP1532" s="65" t="n">
        <f aca="false">IF(CA1532=1,0,IFERROR(VLOOKUP(BY1532,'Gebinde-Kategorie'!$A$5:$N$45,5,0)+0,0))</f>
        <v>11</v>
      </c>
      <c r="CQ1532" s="65" t="n">
        <f aca="false">IFERROR(IF(OR(CF1532=1,CF1532=2,CF1532=3),N(INDEX(Parameter!$I$5:$I$7,CF1532)),0),0)</f>
        <v>0</v>
      </c>
      <c r="CR1532" s="64" t="n">
        <f aca="false">IF(AND(Parameter!$B$21="Ja",ISNUMBER(W1532),N(X1532)&gt;0),IFERROR(N(INDEX(Parameter!$L$5:$L$7,W1532))*INDEX(Parameter!$E$5:$E$7,W1532)*X1532/SUMIFS($X$7:$X$1843,$W$7:$W$1843,W1532),0),0)</f>
        <v>0</v>
      </c>
      <c r="CS1532" s="62" t="n">
        <f aca="false">IF(AND(OR(CG1532="L1",CG1532="L23",CG1532="LIFT"),H1532&gt;0),CC1532*IF(CR1532&gt;0,CR1532*MAX(1,H1532/X1532),IF(CA1532=1,CE1532,IF(R1532&gt;0,CN1532/R1532,0))/MAX(0.1,N(Parameter!$M$21))),"")</f>
        <v>5.96153846153846</v>
      </c>
      <c r="CT1532" s="64" t="n">
        <f aca="false">IF(CS1532="","",J1532/H1532)</f>
        <v>0</v>
      </c>
      <c r="CU1532" s="62" t="n">
        <f aca="false">IF(CS1532="","",H1532*G1532)</f>
        <v>768.25</v>
      </c>
      <c r="CV1532" s="63" t="n">
        <f aca="false">IF(CS1532="","",(CL1532+ROUNDUP(CL1532+MAX(CM1532,2*(J1532/MAX(0.1,N(Einkauf!$C$6))-CL1532)),0))/2)</f>
        <v>0.5</v>
      </c>
      <c r="CW1532" s="62" t="n">
        <f aca="false">IF(CS1532="","",MAX(0,H1532-CV1532)*G1532)</f>
        <v>713.375</v>
      </c>
      <c r="CX1532" s="62" t="n">
        <f aca="false">IF(CS1532="","",CS1532*MAX(0,1-CV1532/H1532))</f>
        <v>5.53571428571429</v>
      </c>
      <c r="CY1532" s="64" t="n">
        <f aca="false">IF(CS1532="","",PERCENTRANK($CS$7:$CS$1843,CS1532)+PERCENTRANK($CU$7:$CU$1843,CU1532)+1-PERCENTRANK($CT$7:$CT$1843,CT1532))</f>
        <v>1.952</v>
      </c>
      <c r="CZ1532" s="72" t="n">
        <f aca="false">IF(CS1532="","",CHOOSE(MATCH(Einkauf!$C$5,Parameter!$G$23:$G$27,0),CY1532,CS1532,CU1532,-CT1532,CW1532)+ROW()/1000000000)</f>
        <v>1.952001532</v>
      </c>
    </row>
    <row r="1533" customFormat="false" ht="15" hidden="false" customHeight="false" outlineLevel="0" collapsed="false">
      <c r="A1533" s="60" t="s">
        <v>2722</v>
      </c>
      <c r="B1533" s="60" t="s">
        <v>2723</v>
      </c>
      <c r="C1533" s="60" t="s">
        <v>206</v>
      </c>
      <c r="D1533" s="60" t="s">
        <v>226</v>
      </c>
      <c r="E1533" s="60" t="s">
        <v>227</v>
      </c>
      <c r="F1533" s="60"/>
      <c r="G1533" s="61" t="n">
        <v>139.8</v>
      </c>
      <c r="H1533" s="62" t="n">
        <f aca="false">MAX(0,IF(AND(Parameter!$B$21="Ja",ISNUMBER(Y1533)),Y1533,IF(Parameter!$B$20="Jahresanfang 2025 + Export",BS1533+BR1533,BR1533)))</f>
        <v>6</v>
      </c>
      <c r="I1533" s="62" t="n">
        <f aca="false">H1533*G1533</f>
        <v>838.8</v>
      </c>
      <c r="J1533" s="62" t="n">
        <f aca="false">BU1533*Parameter!$B$18</f>
        <v>0</v>
      </c>
      <c r="K1533" s="63"/>
      <c r="L1533" s="64"/>
      <c r="M1533" s="62" t="n">
        <v>0</v>
      </c>
      <c r="N1533" s="62" t="n">
        <v>1</v>
      </c>
      <c r="O1533" s="65" t="n">
        <v>30</v>
      </c>
      <c r="P1533" s="60" t="s">
        <v>344</v>
      </c>
      <c r="Q1533" s="62" t="n">
        <v>6</v>
      </c>
      <c r="R1533" s="65" t="n">
        <f aca="false">IF(CA1533=1,0,IFERROR(VLOOKUP(BY1533,'Gebinde-Kategorie'!$A$5:$N$45,13,0)+0,0))</f>
        <v>26</v>
      </c>
      <c r="S1533" s="66"/>
      <c r="T1533" s="67"/>
      <c r="U1533" s="67"/>
      <c r="V1533" s="67"/>
      <c r="W1533" s="60"/>
      <c r="X1533" s="62"/>
      <c r="Y1533" s="62"/>
      <c r="Z1533" s="60" t="n">
        <v>3</v>
      </c>
      <c r="AA1533" s="60" t="n">
        <f aca="false">IF(A1533="","",IF(AND(Parameter!$B$21="Ja",ISNUMBER(W1533)),W1533,IF(AND(Parameter!$E$27="Ja",ISNUMBER(Z1533),CD1533&lt;&gt;"Nein"),Z1533,IF(CD1533="2+3",IF(ISNUMBER(SEARCH("grosser Artikel",BV1533)),2,IFERROR(VLOOKUP(BY1533,Parameter!$F$35:$G$64,2,0),2)),IF(OR(CD1533="Nein",CD1533=""),"-",CD1533)))))</f>
        <v>3</v>
      </c>
      <c r="AB1533" s="67"/>
      <c r="AC1533" s="68"/>
      <c r="AD1533" s="62" t="n">
        <f aca="false">AW1533</f>
        <v>1</v>
      </c>
      <c r="AE1533" s="62" t="n">
        <f aca="false">MAX(AW1533,H1533)</f>
        <v>6</v>
      </c>
      <c r="AF1533" s="69"/>
      <c r="AG1533" s="62" t="n">
        <f aca="false">IF(LEFT(Cockpit!$C$5,1)="A",H1533,IF(Parameter!$E$30="MAX-Bestand",IF(CI1533=1,CJ1533,IF(LEFT(Cockpit!$C$5,1)="B",AM1533,MAX(AM1533,H1533))),ROUNDUP(AK1533,0)))</f>
        <v>6</v>
      </c>
      <c r="AH1533" s="62" t="n">
        <f aca="false">IF(CA1533=1,0,ROUNDUP(AG1533/BZ1533,0))</f>
        <v>1</v>
      </c>
      <c r="AI1533" s="64" t="n">
        <f aca="false">IF(CR1533&gt;0,CR1533*MAX(1,AG1533/X1533),IF(CA1533=1,IF(AG1533&lt;=0,0,CE1533*MAX(1,IF(H1533&gt;0,AG1533/H1533,1))),IF(R1533&gt;0,AH1533/R1533,0))/MAX(0.1,N(Parameter!$M$21)))</f>
        <v>0.0384615384615385</v>
      </c>
      <c r="AJ1533" s="62" t="n">
        <f aca="false">AI1533*CC1533</f>
        <v>5.96153846153846</v>
      </c>
      <c r="AK1533" s="63" t="n">
        <f aca="false">IF(LEFT(Cockpit!$C$5,1)="A",H1533,IF(CI1533=1,(CL1533+CJ1533)/2,IF(LEFT(Cockpit!$C$5,1)="B",(CL1533+AM1533)/2,MAX((CL1533+AM1533)/2,H1533))))</f>
        <v>6</v>
      </c>
      <c r="AL1533" s="62" t="n">
        <f aca="false">AK1533*G1533</f>
        <v>838.8</v>
      </c>
      <c r="AM1533" s="62" t="n">
        <f aca="false">ROUNDUP(CL1533+MAX(CM1533,2*(J1533/IF(CH1533&gt;0,CH1533,MAX(0.1,N(Cockpit!$C$6)))-CL1533)),0)</f>
        <v>1</v>
      </c>
      <c r="AN1533" s="63" t="n">
        <f aca="false">IF(AJ1533&gt;0,J1533/AJ1533,-1)</f>
        <v>0</v>
      </c>
      <c r="AO1533" s="63" t="n">
        <f aca="false">IF(AND(OR(CG1533="L1",CG1533="L23",CG1533="LIFT"),AJ1533&gt;0),SUMIFS($AJ$7:$AJ$1843,$CG$7:$CG$1843,CG1533,$AN$7:$AN$1843,"&gt;"&amp;AN1533)+SUMIFS($AJ$7:$AJ$1843,$CG$7:$CG$1843,CG1533,$AN$7:$AN$1843,AN1533,$BX$7:$BX$1843,"&lt;="&amp;BX1533),"")</f>
        <v>30096.9558990915</v>
      </c>
      <c r="AP1533" s="70" t="n">
        <f aca="false">IF(AO1533="",0,MAX(0,MIN(1,(IF(CG1533="L1",Parameter!$H$5,IF(CG1533="L23",Parameter!$H$6+Parameter!$H$7,Parameter!$H$5+Parameter!$H$6+Parameter!$H$7))-(AO1533-AJ1533))/AJ1533)))</f>
        <v>1</v>
      </c>
      <c r="AQ1533" s="62" t="n">
        <f aca="false">IF(LEFT(Cockpit!$I$5,1)="A",H1533,IF(Parameter!$E$30="MAX-Bestand",IF(CI1533=1,CJ1533,IF(LEFT(Cockpit!$I$5,1)="B",AW1533,MAX(AW1533,H1533))),ROUNDUP(AU1533,0)))</f>
        <v>6</v>
      </c>
      <c r="AR1533" s="62" t="n">
        <f aca="false">IF(CA1533=1,0,ROUNDUP(AQ1533/BZ1533,0))</f>
        <v>1</v>
      </c>
      <c r="AS1533" s="64" t="n">
        <f aca="false">IF(CR1533&gt;0,CR1533*MAX(1,AQ1533/X1533),IF(CA1533=1,IF(AQ1533&lt;=0,0,CE1533*MAX(1,IF(H1533&gt;0,AQ1533/H1533,1))),IF(R1533&gt;0,AR1533/R1533,0))/MAX(0.1,N(Parameter!$M$21)))</f>
        <v>0.0384615384615385</v>
      </c>
      <c r="AT1533" s="62" t="n">
        <f aca="false">AS1533*CC1533</f>
        <v>5.96153846153846</v>
      </c>
      <c r="AU1533" s="63" t="n">
        <f aca="false">IF(LEFT(Cockpit!$I$5,1)="A",H1533,IF(CI1533=1,(CL1533+CJ1533)/2,IF(LEFT(Cockpit!$I$5,1)="B",(CL1533+AW1533)/2,MAX((CL1533+AW1533)/2,H1533))))</f>
        <v>6</v>
      </c>
      <c r="AV1533" s="62" t="n">
        <f aca="false">AU1533*G1533</f>
        <v>838.8</v>
      </c>
      <c r="AW1533" s="62" t="n">
        <f aca="false">ROUNDUP(CL1533+MAX(CM1533,2*(J1533/IF(CH1533&gt;0,CH1533,MAX(0.1,N(Cockpit!$I$6)))-CL1533)),0)</f>
        <v>1</v>
      </c>
      <c r="AX1533" s="63" t="n">
        <f aca="false">IF(AT1533&gt;0,J1533/AT1533,-1)</f>
        <v>0</v>
      </c>
      <c r="AY1533" s="63" t="n">
        <f aca="false">IF(AND(OR(CG1533="L1",CG1533="L23",CG1533="LIFT"),AT1533&gt;0),SUMIFS($AT$7:$AT$1843,$CG$7:$CG$1843,CG1533,$AX$7:$AX$1843,"&gt;"&amp;AX1533)+SUMIFS($AT$7:$AT$1843,$CG$7:$CG$1843,CG1533,$AX$7:$AX$1843,AX1533,$BX$7:$BX$1843,"&lt;="&amp;BX1533),"")</f>
        <v>36416.8124159268</v>
      </c>
      <c r="AZ1533" s="70" t="n">
        <f aca="false">IF(AY1533="",0,MAX(0,MIN(1,(IF(CG1533="L1",Parameter!$H$5,IF(CG1533="L23",Parameter!$H$6+Parameter!$H$7,Parameter!$H$5+Parameter!$H$6+Parameter!$H$7))-(AY1533-AT1533))/AT1533)))</f>
        <v>0</v>
      </c>
      <c r="BA1533" s="62" t="n">
        <f aca="false">IF(LEFT(Cockpit!$O$5,1)="A",H1533,IF(Parameter!$E$30="MAX-Bestand",IF(CI1533=1,CJ1533,IF(LEFT(Cockpit!$O$5,1)="B",BG1533,MAX(BG1533,H1533))),ROUNDUP(BE1533,0)))</f>
        <v>1</v>
      </c>
      <c r="BB1533" s="62" t="n">
        <f aca="false">IF(CA1533=1,0,ROUNDUP(BA1533/BZ1533,0))</f>
        <v>1</v>
      </c>
      <c r="BC1533" s="64" t="n">
        <f aca="false">IF(CR1533&gt;0,CR1533*MAX(1,BA1533/X1533),IF(CA1533=1,IF(BA1533&lt;=0,0,CE1533*MAX(1,IF(H1533&gt;0,BA1533/H1533,1))),IF(R1533&gt;0,BB1533/R1533,0))/MAX(0.1,N(Parameter!$M$21)))</f>
        <v>0.0384615384615385</v>
      </c>
      <c r="BD1533" s="62" t="n">
        <f aca="false">BC1533*CC1533</f>
        <v>5.96153846153846</v>
      </c>
      <c r="BE1533" s="63" t="n">
        <f aca="false">IF(LEFT(Cockpit!$O$5,1)="A",H1533,IF(CI1533=1,(CL1533+CJ1533)/2,IF(LEFT(Cockpit!$O$5,1)="B",(CL1533+BG1533)/2,MAX((CL1533+BG1533)/2,H1533))))</f>
        <v>0.5</v>
      </c>
      <c r="BF1533" s="62" t="n">
        <f aca="false">BE1533*G1533</f>
        <v>69.9</v>
      </c>
      <c r="BG1533" s="62" t="n">
        <f aca="false">ROUNDUP(CL1533+MAX(CM1533,2*(J1533/IF(CH1533&gt;0,CH1533,MAX(0.1,N(Cockpit!$O$6)))-CL1533)),0)</f>
        <v>1</v>
      </c>
      <c r="BH1533" s="63" t="n">
        <f aca="false">IF(BD1533&gt;0,J1533/BD1533,-1)</f>
        <v>0</v>
      </c>
      <c r="BI1533" s="63" t="n">
        <f aca="false">IF(AND(OR(CG1533="L1",CG1533="L23",CG1533="LIFT"),BD1533&gt;0),SUMIFS($BD$7:$BD$1843,$CG$7:$CG$1843,CG1533,$BH$7:$BH$1843,"&gt;"&amp;BH1533)+SUMIFS($BD$7:$BD$1843,$CG$7:$CG$1843,CG1533,$BH$7:$BH$1843,BH1533,$BX$7:$BX$1843,"&lt;="&amp;BX1533),"")</f>
        <v>30355.0036914592</v>
      </c>
      <c r="BJ1533" s="70" t="n">
        <f aca="false">IF(BI1533="",0,MAX(0,MIN(1,(IF(CG1533="L1",Parameter!$H$5,IF(CG1533="L23",Parameter!$H$6+Parameter!$H$7,Parameter!$H$5+Parameter!$H$6+Parameter!$H$7))-(BI1533-BD1533))/BD1533)))</f>
        <v>1</v>
      </c>
      <c r="BK1533" s="60" t="str">
        <f aca="false">IF(AJ1533&lt;=0,"",IF(CG1533="Aussen","Aussenlager",IF(CG1533="-","Nicht im Lift",IF(AP1533&gt;=1,"Lift",IF(AP1533&lt;=0,"Aussenlager","teilweise")))))</f>
        <v>Lift</v>
      </c>
      <c r="BL1533" s="60" t="str">
        <f aca="false">IF(AT1533&lt;=0,"",IF(CG1533="Aussen","Aussenlager",IF(CG1533="-","Nicht im Lift",IF(AZ1533&gt;=1,"Lift",IF(AZ1533&lt;=0,"Aussenlager","teilweise")))))</f>
        <v>Aussenlager</v>
      </c>
      <c r="BM1533" s="60" t="str">
        <f aca="false">IF(BD1533&lt;=0,"",IF(CG1533="Aussen","Aussenlager",IF(CG1533="-","Nicht im Lift",IF(BJ1533&gt;=1,"Lift",IF(BJ1533&lt;=0,"Aussenlager","teilweise")))))</f>
        <v>Lift</v>
      </c>
      <c r="BN1533" s="60" t="str">
        <f aca="false">IF(A1533="","",IF(BW1533=1,"Neu; ","")&amp;IF(AND(BW1533=0,BR1533&lt;0),"negativer Bestand (Export "&amp;BR1533&amp;"); ","")&amp;IF(J1533&lt;=0,"Kein Verbrauch; ","")&amp;IF(CR1533&gt;0,"Lift "&amp;W1533&amp;" lt. Liftbericht (Fach "&amp;X1533&amp;" Stk); ",IF(CB1533=1,"Gebinde geschätzt ("&amp;T1533&amp;"); ",IF(CA1533=1,"Lose – Tablare geschätzt; ","")))&amp;IF(H1533&gt;AW1533,"Überbestand "&amp;ROUND(H1533-AW1533,0)&amp;" Stk / CHF "&amp;ROUND((H1533-AW1533)*G1533,0)&amp;"; ","")&amp;IF(AND(CI1533=1,CJ1533&lt;CK1533),"MAX &lt; MB+LG; ","")&amp;IF(AND(CQ1533&gt;0,CP1533*10&gt;CQ1533),"zu hoch für Tablar; ","")&amp;IF(AND(BW1533=0,OR(CI1533=1,AB1533&lt;&gt;"",U1533&lt;&gt;"",V1533&lt;&gt;"",AC1533&lt;&gt;"")),"manuell übersteuert; ","")&amp;IF(AND(CA1533=0,R1533=0),"Gebinde unbekannt / Stellmass fehlt; ","")&amp;IF(AND(CA1533=0,N(V1533)&lt;=0,N(Q1533)&lt;=0),"Menge pro Gebinde fehlt (Ist = 1 Gebinde); ","")&amp;BV1533)</f>
        <v>Kein Verbrauch; Überbestand 5 Stk / CHF 699; nur im Artikelstamm (Bestand 23.06.2026)</v>
      </c>
      <c r="BO1533" s="60"/>
      <c r="BP1533" s="60"/>
      <c r="BQ1533" s="67"/>
      <c r="BR1533" s="62" t="n">
        <v>6</v>
      </c>
      <c r="BS1533" s="62" t="n">
        <v>0</v>
      </c>
      <c r="BT1533" s="61" t="n">
        <v>0</v>
      </c>
      <c r="BU1533" s="62" t="n">
        <v>0</v>
      </c>
      <c r="BV1533" s="60" t="s">
        <v>2617</v>
      </c>
      <c r="BW1533" s="65" t="n">
        <v>0</v>
      </c>
      <c r="BX1533" s="65" t="n">
        <v>1533</v>
      </c>
      <c r="BY1533" s="60" t="str">
        <f aca="false">IF(U1533&lt;&gt;"",UPPER(TRIM(U1533)),IF(CB1533=1,UPPER(VLOOKUP(T1533,Parameter!$I$27:$K$29,2,0)),IF(P1533="","LOSE",P1533)))</f>
        <v>S51</v>
      </c>
      <c r="BZ1533" s="62" t="n">
        <f aca="false">IF(BY1533="LOSE",1,IF(N(V1533)&gt;0,V1533,IF(CB1533=1,MAX(1,N(VLOOKUP(T1533,Parameter!$I$27:$K$29,3,0)),H1533,N(N1533)),IF(N(Q1533)&gt;0,Q1533,MAX(1,H1533)))))</f>
        <v>6</v>
      </c>
      <c r="CA1533" s="65" t="n">
        <f aca="false">IF(BY1533="LOSE",1,0)</f>
        <v>0</v>
      </c>
      <c r="CB1533" s="65" t="n">
        <f aca="false">IF(AND(U1533="",OR(P1533="",P1533="LOSE"),T1533&lt;&gt;"",N(S1533)&lt;=0,ISNUMBER(MATCH(T1533,Parameter!$I$27:$I$29,0))),1,0)</f>
        <v>0</v>
      </c>
      <c r="CC1533" s="65" t="n">
        <f aca="false">IF(CR1533&gt;0,INDEX(Parameter!$H$5:$H$7,W1533)/INDEX(Parameter!$E$5:$E$7,W1533),IF(AND(CA1533=0,N(IFERROR(VLOOKUP(BY1533,'Gebinde-Kategorie'!$A$5:$N$45,14,0),0))&gt;0),VLOOKUP(BY1533,'Gebinde-Kategorie'!$A$5:$N$45,14,0)*10+Parameter!$M$23,Parameter!$M$24))</f>
        <v>155</v>
      </c>
      <c r="CD1533" s="60" t="str">
        <f aca="false">IF(AND(Parameter!$B$19="Ja",E1533&lt;&gt;"",ISNUMBER(MATCH(E1533,Parameter!$I$35:$I$52,0))),VLOOKUP(E1533,Parameter!$I$35:$J$52,2,0),IFERROR(VLOOKUP(D1533,Parameter!$A$35:$C$64,2,0),"Nein"))</f>
        <v>2+3</v>
      </c>
      <c r="CE1533" s="64" t="n">
        <f aca="false">IF(CA1533=0,0,IF(N(S1533)&gt;0,S1533,IFERROR(VLOOKUP(D1533,Parameter!$A$35:$C$64,3,0)+0,0)))</f>
        <v>0</v>
      </c>
      <c r="CF1533" s="60" t="n">
        <f aca="false">IF(AB1533&lt;&gt;"",AB1533,AA1533)</f>
        <v>3</v>
      </c>
      <c r="CG1533" s="60" t="str">
        <f aca="false">IF(OR(CF1533=1,CF1533=2,CF1533=3),IF(Parameter!$E$27="Ja","LIFT",IF(CF1533=1,"L1","L23")),IF(CF1533="Aussen","Aussen","-"))</f>
        <v>LIFT</v>
      </c>
      <c r="CH1533" s="71" t="n">
        <f aca="false">IF(N(AC1533)&gt;0,AC1533,0)</f>
        <v>0</v>
      </c>
      <c r="CI1533" s="65" t="n">
        <f aca="false">IF(ISNUMBER(AF1533),1,0)</f>
        <v>0</v>
      </c>
      <c r="CJ1533" s="62" t="n">
        <f aca="false">N(AF1533)</f>
        <v>0</v>
      </c>
      <c r="CK1533" s="62" t="n">
        <f aca="false">N(M1533)+N(N1533)</f>
        <v>1</v>
      </c>
      <c r="CL1533" s="62" t="n">
        <f aca="false">N(M1533)</f>
        <v>0</v>
      </c>
      <c r="CM1533" s="62" t="n">
        <f aca="false">N(N1533)</f>
        <v>1</v>
      </c>
      <c r="CN1533" s="62" t="n">
        <f aca="false">ROUNDUP(H1533/BZ1533,0)</f>
        <v>1</v>
      </c>
      <c r="CO1533" s="62" t="n">
        <f aca="false">ROUNDUP(CJ1533/BZ1533,0)</f>
        <v>0</v>
      </c>
      <c r="CP1533" s="65" t="n">
        <f aca="false">IF(CA1533=1,0,IFERROR(VLOOKUP(BY1533,'Gebinde-Kategorie'!$A$5:$N$45,5,0)+0,0))</f>
        <v>11</v>
      </c>
      <c r="CQ1533" s="65" t="n">
        <f aca="false">IFERROR(IF(OR(CF1533=1,CF1533=2,CF1533=3),N(INDEX(Parameter!$I$5:$I$7,CF1533)),0),0)</f>
        <v>0</v>
      </c>
      <c r="CR1533" s="64" t="n">
        <f aca="false">IF(AND(Parameter!$B$21="Ja",ISNUMBER(W1533),N(X1533)&gt;0),IFERROR(N(INDEX(Parameter!$L$5:$L$7,W1533))*INDEX(Parameter!$E$5:$E$7,W1533)*X1533/SUMIFS($X$7:$X$1843,$W$7:$W$1843,W1533),0),0)</f>
        <v>0</v>
      </c>
      <c r="CS1533" s="62" t="n">
        <f aca="false">IF(AND(OR(CG1533="L1",CG1533="L23",CG1533="LIFT"),H1533&gt;0),CC1533*IF(CR1533&gt;0,CR1533*MAX(1,H1533/X1533),IF(CA1533=1,CE1533,IF(R1533&gt;0,CN1533/R1533,0))/MAX(0.1,N(Parameter!$M$21))),"")</f>
        <v>5.96153846153846</v>
      </c>
      <c r="CT1533" s="64" t="n">
        <f aca="false">IF(CS1533="","",J1533/H1533)</f>
        <v>0</v>
      </c>
      <c r="CU1533" s="62" t="n">
        <f aca="false">IF(CS1533="","",H1533*G1533)</f>
        <v>838.8</v>
      </c>
      <c r="CV1533" s="63" t="n">
        <f aca="false">IF(CS1533="","",(CL1533+ROUNDUP(CL1533+MAX(CM1533,2*(J1533/MAX(0.1,N(Einkauf!$C$6))-CL1533)),0))/2)</f>
        <v>0.5</v>
      </c>
      <c r="CW1533" s="62" t="n">
        <f aca="false">IF(CS1533="","",MAX(0,H1533-CV1533)*G1533)</f>
        <v>768.9</v>
      </c>
      <c r="CX1533" s="62" t="n">
        <f aca="false">IF(CS1533="","",CS1533*MAX(0,1-CV1533/H1533))</f>
        <v>5.46474358974359</v>
      </c>
      <c r="CY1533" s="64" t="n">
        <f aca="false">IF(CS1533="","",PERCENTRANK($CS$7:$CS$1843,CS1533)+PERCENTRANK($CU$7:$CU$1843,CU1533)+1-PERCENTRANK($CT$7:$CT$1843,CT1533))</f>
        <v>1.973</v>
      </c>
      <c r="CZ1533" s="72" t="n">
        <f aca="false">IF(CS1533="","",CHOOSE(MATCH(Einkauf!$C$5,Parameter!$G$23:$G$27,0),CY1533,CS1533,CU1533,-CT1533,CW1533)+ROW()/1000000000)</f>
        <v>1.973001533</v>
      </c>
    </row>
    <row r="1534" customFormat="false" ht="15" hidden="false" customHeight="false" outlineLevel="0" collapsed="false">
      <c r="A1534" s="60" t="s">
        <v>2724</v>
      </c>
      <c r="B1534" s="60" t="s">
        <v>2725</v>
      </c>
      <c r="C1534" s="60" t="s">
        <v>206</v>
      </c>
      <c r="D1534" s="60" t="s">
        <v>226</v>
      </c>
      <c r="E1534" s="60" t="s">
        <v>227</v>
      </c>
      <c r="F1534" s="60"/>
      <c r="G1534" s="61" t="n">
        <v>45.03</v>
      </c>
      <c r="H1534" s="62" t="n">
        <f aca="false">MAX(0,IF(AND(Parameter!$B$21="Ja",ISNUMBER(Y1534)),Y1534,IF(Parameter!$B$20="Jahresanfang 2025 + Export",BS1534+BR1534,BR1534)))</f>
        <v>7</v>
      </c>
      <c r="I1534" s="62" t="n">
        <f aca="false">H1534*G1534</f>
        <v>315.21</v>
      </c>
      <c r="J1534" s="62" t="n">
        <f aca="false">BU1534*Parameter!$B$18</f>
        <v>0</v>
      </c>
      <c r="K1534" s="63"/>
      <c r="L1534" s="64"/>
      <c r="M1534" s="62" t="n">
        <v>0</v>
      </c>
      <c r="N1534" s="62" t="n">
        <v>2</v>
      </c>
      <c r="O1534" s="65" t="n">
        <v>42</v>
      </c>
      <c r="P1534" s="60" t="s">
        <v>370</v>
      </c>
      <c r="Q1534" s="62" t="n">
        <v>7</v>
      </c>
      <c r="R1534" s="65" t="n">
        <f aca="false">IF(CA1534=1,0,IFERROR(VLOOKUP(BY1534,'Gebinde-Kategorie'!$A$5:$N$45,13,0)+0,0))</f>
        <v>52</v>
      </c>
      <c r="S1534" s="66"/>
      <c r="T1534" s="67"/>
      <c r="U1534" s="67"/>
      <c r="V1534" s="67"/>
      <c r="W1534" s="60"/>
      <c r="X1534" s="62"/>
      <c r="Y1534" s="62"/>
      <c r="Z1534" s="60" t="n">
        <v>3</v>
      </c>
      <c r="AA1534" s="60" t="n">
        <f aca="false">IF(A1534="","",IF(AND(Parameter!$B$21="Ja",ISNUMBER(W1534)),W1534,IF(AND(Parameter!$E$27="Ja",ISNUMBER(Z1534),CD1534&lt;&gt;"Nein"),Z1534,IF(CD1534="2+3",IF(ISNUMBER(SEARCH("grosser Artikel",BV1534)),2,IFERROR(VLOOKUP(BY1534,Parameter!$F$35:$G$64,2,0),2)),IF(OR(CD1534="Nein",CD1534=""),"-",CD1534)))))</f>
        <v>3</v>
      </c>
      <c r="AB1534" s="67"/>
      <c r="AC1534" s="68"/>
      <c r="AD1534" s="62" t="n">
        <f aca="false">AW1534</f>
        <v>2</v>
      </c>
      <c r="AE1534" s="62" t="n">
        <f aca="false">MAX(AW1534,H1534)</f>
        <v>7</v>
      </c>
      <c r="AF1534" s="69"/>
      <c r="AG1534" s="62" t="n">
        <f aca="false">IF(LEFT(Cockpit!$C$5,1)="A",H1534,IF(Parameter!$E$30="MAX-Bestand",IF(CI1534=1,CJ1534,IF(LEFT(Cockpit!$C$5,1)="B",AM1534,MAX(AM1534,H1534))),ROUNDUP(AK1534,0)))</f>
        <v>7</v>
      </c>
      <c r="AH1534" s="62" t="n">
        <f aca="false">IF(CA1534=1,0,ROUNDUP(AG1534/BZ1534,0))</f>
        <v>1</v>
      </c>
      <c r="AI1534" s="64" t="n">
        <f aca="false">IF(CR1534&gt;0,CR1534*MAX(1,AG1534/X1534),IF(CA1534=1,IF(AG1534&lt;=0,0,CE1534*MAX(1,IF(H1534&gt;0,AG1534/H1534,1))),IF(R1534&gt;0,AH1534/R1534,0))/MAX(0.1,N(Parameter!$M$21)))</f>
        <v>0.0192307692307692</v>
      </c>
      <c r="AJ1534" s="62" t="n">
        <f aca="false">AI1534*CC1534</f>
        <v>2.98076923076923</v>
      </c>
      <c r="AK1534" s="63" t="n">
        <f aca="false">IF(LEFT(Cockpit!$C$5,1)="A",H1534,IF(CI1534=1,(CL1534+CJ1534)/2,IF(LEFT(Cockpit!$C$5,1)="B",(CL1534+AM1534)/2,MAX((CL1534+AM1534)/2,H1534))))</f>
        <v>7</v>
      </c>
      <c r="AL1534" s="62" t="n">
        <f aca="false">AK1534*G1534</f>
        <v>315.21</v>
      </c>
      <c r="AM1534" s="62" t="n">
        <f aca="false">ROUNDUP(CL1534+MAX(CM1534,2*(J1534/IF(CH1534&gt;0,CH1534,MAX(0.1,N(Cockpit!$C$6)))-CL1534)),0)</f>
        <v>2</v>
      </c>
      <c r="AN1534" s="63" t="n">
        <f aca="false">IF(AJ1534&gt;0,J1534/AJ1534,-1)</f>
        <v>0</v>
      </c>
      <c r="AO1534" s="63" t="n">
        <f aca="false">IF(AND(OR(CG1534="L1",CG1534="L23",CG1534="LIFT"),AJ1534&gt;0),SUMIFS($AJ$7:$AJ$1843,$CG$7:$CG$1843,CG1534,$AN$7:$AN$1843,"&gt;"&amp;AN1534)+SUMIFS($AJ$7:$AJ$1843,$CG$7:$CG$1843,CG1534,$AN$7:$AN$1843,AN1534,$BX$7:$BX$1843,"&lt;="&amp;BX1534),"")</f>
        <v>30099.9366683223</v>
      </c>
      <c r="AP1534" s="70" t="n">
        <f aca="false">IF(AO1534="",0,MAX(0,MIN(1,(IF(CG1534="L1",Parameter!$H$5,IF(CG1534="L23",Parameter!$H$6+Parameter!$H$7,Parameter!$H$5+Parameter!$H$6+Parameter!$H$7))-(AO1534-AJ1534))/AJ1534)))</f>
        <v>1</v>
      </c>
      <c r="AQ1534" s="62" t="n">
        <f aca="false">IF(LEFT(Cockpit!$I$5,1)="A",H1534,IF(Parameter!$E$30="MAX-Bestand",IF(CI1534=1,CJ1534,IF(LEFT(Cockpit!$I$5,1)="B",AW1534,MAX(AW1534,H1534))),ROUNDUP(AU1534,0)))</f>
        <v>7</v>
      </c>
      <c r="AR1534" s="62" t="n">
        <f aca="false">IF(CA1534=1,0,ROUNDUP(AQ1534/BZ1534,0))</f>
        <v>1</v>
      </c>
      <c r="AS1534" s="64" t="n">
        <f aca="false">IF(CR1534&gt;0,CR1534*MAX(1,AQ1534/X1534),IF(CA1534=1,IF(AQ1534&lt;=0,0,CE1534*MAX(1,IF(H1534&gt;0,AQ1534/H1534,1))),IF(R1534&gt;0,AR1534/R1534,0))/MAX(0.1,N(Parameter!$M$21)))</f>
        <v>0.0192307692307692</v>
      </c>
      <c r="AT1534" s="62" t="n">
        <f aca="false">AS1534*CC1534</f>
        <v>2.98076923076923</v>
      </c>
      <c r="AU1534" s="63" t="n">
        <f aca="false">IF(LEFT(Cockpit!$I$5,1)="A",H1534,IF(CI1534=1,(CL1534+CJ1534)/2,IF(LEFT(Cockpit!$I$5,1)="B",(CL1534+AW1534)/2,MAX((CL1534+AW1534)/2,H1534))))</f>
        <v>7</v>
      </c>
      <c r="AV1534" s="62" t="n">
        <f aca="false">AU1534*G1534</f>
        <v>315.21</v>
      </c>
      <c r="AW1534" s="62" t="n">
        <f aca="false">ROUNDUP(CL1534+MAX(CM1534,2*(J1534/IF(CH1534&gt;0,CH1534,MAX(0.1,N(Cockpit!$I$6)))-CL1534)),0)</f>
        <v>2</v>
      </c>
      <c r="AX1534" s="63" t="n">
        <f aca="false">IF(AT1534&gt;0,J1534/AT1534,-1)</f>
        <v>0</v>
      </c>
      <c r="AY1534" s="63" t="n">
        <f aca="false">IF(AND(OR(CG1534="L1",CG1534="L23",CG1534="LIFT"),AT1534&gt;0),SUMIFS($AT$7:$AT$1843,$CG$7:$CG$1843,CG1534,$AX$7:$AX$1843,"&gt;"&amp;AX1534)+SUMIFS($AT$7:$AT$1843,$CG$7:$CG$1843,CG1534,$AX$7:$AX$1843,AX1534,$BX$7:$BX$1843,"&lt;="&amp;BX1534),"")</f>
        <v>36419.7931851576</v>
      </c>
      <c r="AZ1534" s="70" t="n">
        <f aca="false">IF(AY1534="",0,MAX(0,MIN(1,(IF(CG1534="L1",Parameter!$H$5,IF(CG1534="L23",Parameter!$H$6+Parameter!$H$7,Parameter!$H$5+Parameter!$H$6+Parameter!$H$7))-(AY1534-AT1534))/AT1534)))</f>
        <v>0</v>
      </c>
      <c r="BA1534" s="62" t="n">
        <f aca="false">IF(LEFT(Cockpit!$O$5,1)="A",H1534,IF(Parameter!$E$30="MAX-Bestand",IF(CI1534=1,CJ1534,IF(LEFT(Cockpit!$O$5,1)="B",BG1534,MAX(BG1534,H1534))),ROUNDUP(BE1534,0)))</f>
        <v>1</v>
      </c>
      <c r="BB1534" s="62" t="n">
        <f aca="false">IF(CA1534=1,0,ROUNDUP(BA1534/BZ1534,0))</f>
        <v>1</v>
      </c>
      <c r="BC1534" s="64" t="n">
        <f aca="false">IF(CR1534&gt;0,CR1534*MAX(1,BA1534/X1534),IF(CA1534=1,IF(BA1534&lt;=0,0,CE1534*MAX(1,IF(H1534&gt;0,BA1534/H1534,1))),IF(R1534&gt;0,BB1534/R1534,0))/MAX(0.1,N(Parameter!$M$21)))</f>
        <v>0.0192307692307692</v>
      </c>
      <c r="BD1534" s="62" t="n">
        <f aca="false">BC1534*CC1534</f>
        <v>2.98076923076923</v>
      </c>
      <c r="BE1534" s="63" t="n">
        <f aca="false">IF(LEFT(Cockpit!$O$5,1)="A",H1534,IF(CI1534=1,(CL1534+CJ1534)/2,IF(LEFT(Cockpit!$O$5,1)="B",(CL1534+BG1534)/2,MAX((CL1534+BG1534)/2,H1534))))</f>
        <v>1</v>
      </c>
      <c r="BF1534" s="62" t="n">
        <f aca="false">BE1534*G1534</f>
        <v>45.03</v>
      </c>
      <c r="BG1534" s="62" t="n">
        <f aca="false">ROUNDUP(CL1534+MAX(CM1534,2*(J1534/IF(CH1534&gt;0,CH1534,MAX(0.1,N(Cockpit!$O$6)))-CL1534)),0)</f>
        <v>2</v>
      </c>
      <c r="BH1534" s="63" t="n">
        <f aca="false">IF(BD1534&gt;0,J1534/BD1534,-1)</f>
        <v>0</v>
      </c>
      <c r="BI1534" s="63" t="n">
        <f aca="false">IF(AND(OR(CG1534="L1",CG1534="L23",CG1534="LIFT"),BD1534&gt;0),SUMIFS($BD$7:$BD$1843,$CG$7:$CG$1843,CG1534,$BH$7:$BH$1843,"&gt;"&amp;BH1534)+SUMIFS($BD$7:$BD$1843,$CG$7:$CG$1843,CG1534,$BH$7:$BH$1843,BH1534,$BX$7:$BX$1843,"&lt;="&amp;BX1534),"")</f>
        <v>30357.98446069</v>
      </c>
      <c r="BJ1534" s="70" t="n">
        <f aca="false">IF(BI1534="",0,MAX(0,MIN(1,(IF(CG1534="L1",Parameter!$H$5,IF(CG1534="L23",Parameter!$H$6+Parameter!$H$7,Parameter!$H$5+Parameter!$H$6+Parameter!$H$7))-(BI1534-BD1534))/BD1534)))</f>
        <v>1</v>
      </c>
      <c r="BK1534" s="60" t="str">
        <f aca="false">IF(AJ1534&lt;=0,"",IF(CG1534="Aussen","Aussenlager",IF(CG1534="-","Nicht im Lift",IF(AP1534&gt;=1,"Lift",IF(AP1534&lt;=0,"Aussenlager","teilweise")))))</f>
        <v>Lift</v>
      </c>
      <c r="BL1534" s="60" t="str">
        <f aca="false">IF(AT1534&lt;=0,"",IF(CG1534="Aussen","Aussenlager",IF(CG1534="-","Nicht im Lift",IF(AZ1534&gt;=1,"Lift",IF(AZ1534&lt;=0,"Aussenlager","teilweise")))))</f>
        <v>Aussenlager</v>
      </c>
      <c r="BM1534" s="60" t="str">
        <f aca="false">IF(BD1534&lt;=0,"",IF(CG1534="Aussen","Aussenlager",IF(CG1534="-","Nicht im Lift",IF(BJ1534&gt;=1,"Lift",IF(BJ1534&lt;=0,"Aussenlager","teilweise")))))</f>
        <v>Lift</v>
      </c>
      <c r="BN1534" s="60" t="str">
        <f aca="false">IF(A1534="","",IF(BW1534=1,"Neu; ","")&amp;IF(AND(BW1534=0,BR1534&lt;0),"negativer Bestand (Export "&amp;BR1534&amp;"); ","")&amp;IF(J1534&lt;=0,"Kein Verbrauch; ","")&amp;IF(CR1534&gt;0,"Lift "&amp;W1534&amp;" lt. Liftbericht (Fach "&amp;X1534&amp;" Stk); ",IF(CB1534=1,"Gebinde geschätzt ("&amp;T1534&amp;"); ",IF(CA1534=1,"Lose – Tablare geschätzt; ","")))&amp;IF(H1534&gt;AW1534,"Überbestand "&amp;ROUND(H1534-AW1534,0)&amp;" Stk / CHF "&amp;ROUND((H1534-AW1534)*G1534,0)&amp;"; ","")&amp;IF(AND(CI1534=1,CJ1534&lt;CK1534),"MAX &lt; MB+LG; ","")&amp;IF(AND(CQ1534&gt;0,CP1534*10&gt;CQ1534),"zu hoch für Tablar; ","")&amp;IF(AND(BW1534=0,OR(CI1534=1,AB1534&lt;&gt;"",U1534&lt;&gt;"",V1534&lt;&gt;"",AC1534&lt;&gt;"")),"manuell übersteuert; ","")&amp;IF(AND(CA1534=0,R1534=0),"Gebinde unbekannt / Stellmass fehlt; ","")&amp;IF(AND(CA1534=0,N(V1534)&lt;=0,N(Q1534)&lt;=0),"Menge pro Gebinde fehlt (Ist = 1 Gebinde); ","")&amp;BV1534)</f>
        <v>Kein Verbrauch; Überbestand 5 Stk / CHF 225; nur im Artikelstamm (Bestand 23.06.2026); Neu</v>
      </c>
      <c r="BO1534" s="60"/>
      <c r="BP1534" s="60"/>
      <c r="BQ1534" s="67"/>
      <c r="BR1534" s="62" t="n">
        <v>7</v>
      </c>
      <c r="BS1534" s="62" t="n">
        <v>0</v>
      </c>
      <c r="BT1534" s="61" t="n">
        <v>0</v>
      </c>
      <c r="BU1534" s="62" t="n">
        <v>0</v>
      </c>
      <c r="BV1534" s="60" t="s">
        <v>2709</v>
      </c>
      <c r="BW1534" s="65" t="n">
        <v>0</v>
      </c>
      <c r="BX1534" s="65" t="n">
        <v>1534</v>
      </c>
      <c r="BY1534" s="60" t="str">
        <f aca="false">IF(U1534&lt;&gt;"",UPPER(TRIM(U1534)),IF(CB1534=1,UPPER(VLOOKUP(T1534,Parameter!$I$27:$K$29,2,0)),IF(P1534="","LOSE",P1534)))</f>
        <v>S41</v>
      </c>
      <c r="BZ1534" s="62" t="n">
        <f aca="false">IF(BY1534="LOSE",1,IF(N(V1534)&gt;0,V1534,IF(CB1534=1,MAX(1,N(VLOOKUP(T1534,Parameter!$I$27:$K$29,3,0)),H1534,N(N1534)),IF(N(Q1534)&gt;0,Q1534,MAX(1,H1534)))))</f>
        <v>7</v>
      </c>
      <c r="CA1534" s="65" t="n">
        <f aca="false">IF(BY1534="LOSE",1,0)</f>
        <v>0</v>
      </c>
      <c r="CB1534" s="65" t="n">
        <f aca="false">IF(AND(U1534="",OR(P1534="",P1534="LOSE"),T1534&lt;&gt;"",N(S1534)&lt;=0,ISNUMBER(MATCH(T1534,Parameter!$I$27:$I$29,0))),1,0)</f>
        <v>0</v>
      </c>
      <c r="CC1534" s="65" t="n">
        <f aca="false">IF(CR1534&gt;0,INDEX(Parameter!$H$5:$H$7,W1534)/INDEX(Parameter!$E$5:$E$7,W1534),IF(AND(CA1534=0,N(IFERROR(VLOOKUP(BY1534,'Gebinde-Kategorie'!$A$5:$N$45,14,0),0))&gt;0),VLOOKUP(BY1534,'Gebinde-Kategorie'!$A$5:$N$45,14,0)*10+Parameter!$M$23,Parameter!$M$24))</f>
        <v>155</v>
      </c>
      <c r="CD1534" s="60" t="str">
        <f aca="false">IF(AND(Parameter!$B$19="Ja",E1534&lt;&gt;"",ISNUMBER(MATCH(E1534,Parameter!$I$35:$I$52,0))),VLOOKUP(E1534,Parameter!$I$35:$J$52,2,0),IFERROR(VLOOKUP(D1534,Parameter!$A$35:$C$64,2,0),"Nein"))</f>
        <v>2+3</v>
      </c>
      <c r="CE1534" s="64" t="n">
        <f aca="false">IF(CA1534=0,0,IF(N(S1534)&gt;0,S1534,IFERROR(VLOOKUP(D1534,Parameter!$A$35:$C$64,3,0)+0,0)))</f>
        <v>0</v>
      </c>
      <c r="CF1534" s="60" t="n">
        <f aca="false">IF(AB1534&lt;&gt;"",AB1534,AA1534)</f>
        <v>3</v>
      </c>
      <c r="CG1534" s="60" t="str">
        <f aca="false">IF(OR(CF1534=1,CF1534=2,CF1534=3),IF(Parameter!$E$27="Ja","LIFT",IF(CF1534=1,"L1","L23")),IF(CF1534="Aussen","Aussen","-"))</f>
        <v>LIFT</v>
      </c>
      <c r="CH1534" s="71" t="n">
        <f aca="false">IF(N(AC1534)&gt;0,AC1534,0)</f>
        <v>0</v>
      </c>
      <c r="CI1534" s="65" t="n">
        <f aca="false">IF(ISNUMBER(AF1534),1,0)</f>
        <v>0</v>
      </c>
      <c r="CJ1534" s="62" t="n">
        <f aca="false">N(AF1534)</f>
        <v>0</v>
      </c>
      <c r="CK1534" s="62" t="n">
        <f aca="false">N(M1534)+N(N1534)</f>
        <v>2</v>
      </c>
      <c r="CL1534" s="62" t="n">
        <f aca="false">N(M1534)</f>
        <v>0</v>
      </c>
      <c r="CM1534" s="62" t="n">
        <f aca="false">N(N1534)</f>
        <v>2</v>
      </c>
      <c r="CN1534" s="62" t="n">
        <f aca="false">ROUNDUP(H1534/BZ1534,0)</f>
        <v>1</v>
      </c>
      <c r="CO1534" s="62" t="n">
        <f aca="false">ROUNDUP(CJ1534/BZ1534,0)</f>
        <v>0</v>
      </c>
      <c r="CP1534" s="65" t="n">
        <f aca="false">IF(CA1534=1,0,IFERROR(VLOOKUP(BY1534,'Gebinde-Kategorie'!$A$5:$N$45,5,0)+0,0))</f>
        <v>11</v>
      </c>
      <c r="CQ1534" s="65" t="n">
        <f aca="false">IFERROR(IF(OR(CF1534=1,CF1534=2,CF1534=3),N(INDEX(Parameter!$I$5:$I$7,CF1534)),0),0)</f>
        <v>0</v>
      </c>
      <c r="CR1534" s="64" t="n">
        <f aca="false">IF(AND(Parameter!$B$21="Ja",ISNUMBER(W1534),N(X1534)&gt;0),IFERROR(N(INDEX(Parameter!$L$5:$L$7,W1534))*INDEX(Parameter!$E$5:$E$7,W1534)*X1534/SUMIFS($X$7:$X$1843,$W$7:$W$1843,W1534),0),0)</f>
        <v>0</v>
      </c>
      <c r="CS1534" s="62" t="n">
        <f aca="false">IF(AND(OR(CG1534="L1",CG1534="L23",CG1534="LIFT"),H1534&gt;0),CC1534*IF(CR1534&gt;0,CR1534*MAX(1,H1534/X1534),IF(CA1534=1,CE1534,IF(R1534&gt;0,CN1534/R1534,0))/MAX(0.1,N(Parameter!$M$21))),"")</f>
        <v>2.98076923076923</v>
      </c>
      <c r="CT1534" s="64" t="n">
        <f aca="false">IF(CS1534="","",J1534/H1534)</f>
        <v>0</v>
      </c>
      <c r="CU1534" s="62" t="n">
        <f aca="false">IF(CS1534="","",H1534*G1534)</f>
        <v>315.21</v>
      </c>
      <c r="CV1534" s="63" t="n">
        <f aca="false">IF(CS1534="","",(CL1534+ROUNDUP(CL1534+MAX(CM1534,2*(J1534/MAX(0.1,N(Einkauf!$C$6))-CL1534)),0))/2)</f>
        <v>1</v>
      </c>
      <c r="CW1534" s="62" t="n">
        <f aca="false">IF(CS1534="","",MAX(0,H1534-CV1534)*G1534)</f>
        <v>270.18</v>
      </c>
      <c r="CX1534" s="62" t="n">
        <f aca="false">IF(CS1534="","",CS1534*MAX(0,1-CV1534/H1534))</f>
        <v>2.55494505494506</v>
      </c>
      <c r="CY1534" s="64" t="n">
        <f aca="false">IF(CS1534="","",PERCENTRANK($CS$7:$CS$1843,CS1534)+PERCENTRANK($CU$7:$CU$1843,CU1534)+1-PERCENTRANK($CT$7:$CT$1843,CT1534))</f>
        <v>1.643</v>
      </c>
      <c r="CZ1534" s="72" t="n">
        <f aca="false">IF(CS1534="","",CHOOSE(MATCH(Einkauf!$C$5,Parameter!$G$23:$G$27,0),CY1534,CS1534,CU1534,-CT1534,CW1534)+ROW()/1000000000)</f>
        <v>1.643001534</v>
      </c>
    </row>
    <row r="1535" customFormat="false" ht="15" hidden="false" customHeight="false" outlineLevel="0" collapsed="false">
      <c r="A1535" s="60" t="s">
        <v>2726</v>
      </c>
      <c r="B1535" s="60" t="s">
        <v>2727</v>
      </c>
      <c r="C1535" s="60" t="s">
        <v>206</v>
      </c>
      <c r="D1535" s="60" t="s">
        <v>226</v>
      </c>
      <c r="E1535" s="60" t="s">
        <v>227</v>
      </c>
      <c r="F1535" s="60"/>
      <c r="G1535" s="61" t="n">
        <v>43.15</v>
      </c>
      <c r="H1535" s="62" t="n">
        <f aca="false">MAX(0,IF(AND(Parameter!$B$21="Ja",ISNUMBER(Y1535)),Y1535,IF(Parameter!$B$20="Jahresanfang 2025 + Export",BS1535+BR1535,BR1535)))</f>
        <v>2</v>
      </c>
      <c r="I1535" s="62" t="n">
        <f aca="false">H1535*G1535</f>
        <v>86.3</v>
      </c>
      <c r="J1535" s="62" t="n">
        <f aca="false">BU1535*Parameter!$B$18</f>
        <v>0</v>
      </c>
      <c r="K1535" s="63"/>
      <c r="L1535" s="64"/>
      <c r="M1535" s="62" t="n">
        <v>0</v>
      </c>
      <c r="N1535" s="62" t="n">
        <v>1</v>
      </c>
      <c r="O1535" s="65" t="n">
        <v>97</v>
      </c>
      <c r="P1535" s="60" t="s">
        <v>463</v>
      </c>
      <c r="Q1535" s="62" t="n">
        <v>2</v>
      </c>
      <c r="R1535" s="65" t="n">
        <f aca="false">IF(CA1535=1,0,IFERROR(VLOOKUP(BY1535,'Gebinde-Kategorie'!$A$5:$N$45,13,0)+0,0))</f>
        <v>104</v>
      </c>
      <c r="S1535" s="66"/>
      <c r="T1535" s="67"/>
      <c r="U1535" s="67"/>
      <c r="V1535" s="67"/>
      <c r="W1535" s="60"/>
      <c r="X1535" s="62"/>
      <c r="Y1535" s="62"/>
      <c r="Z1535" s="60" t="n">
        <v>1</v>
      </c>
      <c r="AA1535" s="60" t="n">
        <f aca="false">IF(A1535="","",IF(AND(Parameter!$B$21="Ja",ISNUMBER(W1535)),W1535,IF(AND(Parameter!$E$27="Ja",ISNUMBER(Z1535),CD1535&lt;&gt;"Nein"),Z1535,IF(CD1535="2+3",IF(ISNUMBER(SEARCH("grosser Artikel",BV1535)),2,IFERROR(VLOOKUP(BY1535,Parameter!$F$35:$G$64,2,0),2)),IF(OR(CD1535="Nein",CD1535=""),"-",CD1535)))))</f>
        <v>1</v>
      </c>
      <c r="AB1535" s="67"/>
      <c r="AC1535" s="68"/>
      <c r="AD1535" s="62" t="n">
        <f aca="false">AW1535</f>
        <v>1</v>
      </c>
      <c r="AE1535" s="62" t="n">
        <f aca="false">MAX(AW1535,H1535)</f>
        <v>2</v>
      </c>
      <c r="AF1535" s="69"/>
      <c r="AG1535" s="62" t="n">
        <f aca="false">IF(LEFT(Cockpit!$C$5,1)="A",H1535,IF(Parameter!$E$30="MAX-Bestand",IF(CI1535=1,CJ1535,IF(LEFT(Cockpit!$C$5,1)="B",AM1535,MAX(AM1535,H1535))),ROUNDUP(AK1535,0)))</f>
        <v>2</v>
      </c>
      <c r="AH1535" s="62" t="n">
        <f aca="false">IF(CA1535=1,0,ROUNDUP(AG1535/BZ1535,0))</f>
        <v>1</v>
      </c>
      <c r="AI1535" s="64" t="n">
        <f aca="false">IF(CR1535&gt;0,CR1535*MAX(1,AG1535/X1535),IF(CA1535=1,IF(AG1535&lt;=0,0,CE1535*MAX(1,IF(H1535&gt;0,AG1535/H1535,1))),IF(R1535&gt;0,AH1535/R1535,0))/MAX(0.1,N(Parameter!$M$21)))</f>
        <v>0.00961538461538462</v>
      </c>
      <c r="AJ1535" s="62" t="n">
        <f aca="false">AI1535*CC1535</f>
        <v>1.49038461538462</v>
      </c>
      <c r="AK1535" s="63" t="n">
        <f aca="false">IF(LEFT(Cockpit!$C$5,1)="A",H1535,IF(CI1535=1,(CL1535+CJ1535)/2,IF(LEFT(Cockpit!$C$5,1)="B",(CL1535+AM1535)/2,MAX((CL1535+AM1535)/2,H1535))))</f>
        <v>2</v>
      </c>
      <c r="AL1535" s="62" t="n">
        <f aca="false">AK1535*G1535</f>
        <v>86.3</v>
      </c>
      <c r="AM1535" s="62" t="n">
        <f aca="false">ROUNDUP(CL1535+MAX(CM1535,2*(J1535/IF(CH1535&gt;0,CH1535,MAX(0.1,N(Cockpit!$C$6)))-CL1535)),0)</f>
        <v>1</v>
      </c>
      <c r="AN1535" s="63" t="n">
        <f aca="false">IF(AJ1535&gt;0,J1535/AJ1535,-1)</f>
        <v>0</v>
      </c>
      <c r="AO1535" s="63" t="n">
        <f aca="false">IF(AND(OR(CG1535="L1",CG1535="L23",CG1535="LIFT"),AJ1535&gt;0),SUMIFS($AJ$7:$AJ$1843,$CG$7:$CG$1843,CG1535,$AN$7:$AN$1843,"&gt;"&amp;AN1535)+SUMIFS($AJ$7:$AJ$1843,$CG$7:$CG$1843,CG1535,$AN$7:$AN$1843,AN1535,$BX$7:$BX$1843,"&lt;="&amp;BX1535),"")</f>
        <v>30101.4270529376</v>
      </c>
      <c r="AP1535" s="70" t="n">
        <f aca="false">IF(AO1535="",0,MAX(0,MIN(1,(IF(CG1535="L1",Parameter!$H$5,IF(CG1535="L23",Parameter!$H$6+Parameter!$H$7,Parameter!$H$5+Parameter!$H$6+Parameter!$H$7))-(AO1535-AJ1535))/AJ1535)))</f>
        <v>1</v>
      </c>
      <c r="AQ1535" s="62" t="n">
        <f aca="false">IF(LEFT(Cockpit!$I$5,1)="A",H1535,IF(Parameter!$E$30="MAX-Bestand",IF(CI1535=1,CJ1535,IF(LEFT(Cockpit!$I$5,1)="B",AW1535,MAX(AW1535,H1535))),ROUNDUP(AU1535,0)))</f>
        <v>2</v>
      </c>
      <c r="AR1535" s="62" t="n">
        <f aca="false">IF(CA1535=1,0,ROUNDUP(AQ1535/BZ1535,0))</f>
        <v>1</v>
      </c>
      <c r="AS1535" s="64" t="n">
        <f aca="false">IF(CR1535&gt;0,CR1535*MAX(1,AQ1535/X1535),IF(CA1535=1,IF(AQ1535&lt;=0,0,CE1535*MAX(1,IF(H1535&gt;0,AQ1535/H1535,1))),IF(R1535&gt;0,AR1535/R1535,0))/MAX(0.1,N(Parameter!$M$21)))</f>
        <v>0.00961538461538462</v>
      </c>
      <c r="AT1535" s="62" t="n">
        <f aca="false">AS1535*CC1535</f>
        <v>1.49038461538462</v>
      </c>
      <c r="AU1535" s="63" t="n">
        <f aca="false">IF(LEFT(Cockpit!$I$5,1)="A",H1535,IF(CI1535=1,(CL1535+CJ1535)/2,IF(LEFT(Cockpit!$I$5,1)="B",(CL1535+AW1535)/2,MAX((CL1535+AW1535)/2,H1535))))</f>
        <v>2</v>
      </c>
      <c r="AV1535" s="62" t="n">
        <f aca="false">AU1535*G1535</f>
        <v>86.3</v>
      </c>
      <c r="AW1535" s="62" t="n">
        <f aca="false">ROUNDUP(CL1535+MAX(CM1535,2*(J1535/IF(CH1535&gt;0,CH1535,MAX(0.1,N(Cockpit!$I$6)))-CL1535)),0)</f>
        <v>1</v>
      </c>
      <c r="AX1535" s="63" t="n">
        <f aca="false">IF(AT1535&gt;0,J1535/AT1535,-1)</f>
        <v>0</v>
      </c>
      <c r="AY1535" s="63" t="n">
        <f aca="false">IF(AND(OR(CG1535="L1",CG1535="L23",CG1535="LIFT"),AT1535&gt;0),SUMIFS($AT$7:$AT$1843,$CG$7:$CG$1843,CG1535,$AX$7:$AX$1843,"&gt;"&amp;AX1535)+SUMIFS($AT$7:$AT$1843,$CG$7:$CG$1843,CG1535,$AX$7:$AX$1843,AX1535,$BX$7:$BX$1843,"&lt;="&amp;BX1535),"")</f>
        <v>36421.283569773</v>
      </c>
      <c r="AZ1535" s="70" t="n">
        <f aca="false">IF(AY1535="",0,MAX(0,MIN(1,(IF(CG1535="L1",Parameter!$H$5,IF(CG1535="L23",Parameter!$H$6+Parameter!$H$7,Parameter!$H$5+Parameter!$H$6+Parameter!$H$7))-(AY1535-AT1535))/AT1535)))</f>
        <v>0</v>
      </c>
      <c r="BA1535" s="62" t="n">
        <f aca="false">IF(LEFT(Cockpit!$O$5,1)="A",H1535,IF(Parameter!$E$30="MAX-Bestand",IF(CI1535=1,CJ1535,IF(LEFT(Cockpit!$O$5,1)="B",BG1535,MAX(BG1535,H1535))),ROUNDUP(BE1535,0)))</f>
        <v>1</v>
      </c>
      <c r="BB1535" s="62" t="n">
        <f aca="false">IF(CA1535=1,0,ROUNDUP(BA1535/BZ1535,0))</f>
        <v>1</v>
      </c>
      <c r="BC1535" s="64" t="n">
        <f aca="false">IF(CR1535&gt;0,CR1535*MAX(1,BA1535/X1535),IF(CA1535=1,IF(BA1535&lt;=0,0,CE1535*MAX(1,IF(H1535&gt;0,BA1535/H1535,1))),IF(R1535&gt;0,BB1535/R1535,0))/MAX(0.1,N(Parameter!$M$21)))</f>
        <v>0.00961538461538462</v>
      </c>
      <c r="BD1535" s="62" t="n">
        <f aca="false">BC1535*CC1535</f>
        <v>1.49038461538462</v>
      </c>
      <c r="BE1535" s="63" t="n">
        <f aca="false">IF(LEFT(Cockpit!$O$5,1)="A",H1535,IF(CI1535=1,(CL1535+CJ1535)/2,IF(LEFT(Cockpit!$O$5,1)="B",(CL1535+BG1535)/2,MAX((CL1535+BG1535)/2,H1535))))</f>
        <v>0.5</v>
      </c>
      <c r="BF1535" s="62" t="n">
        <f aca="false">BE1535*G1535</f>
        <v>21.575</v>
      </c>
      <c r="BG1535" s="62" t="n">
        <f aca="false">ROUNDUP(CL1535+MAX(CM1535,2*(J1535/IF(CH1535&gt;0,CH1535,MAX(0.1,N(Cockpit!$O$6)))-CL1535)),0)</f>
        <v>1</v>
      </c>
      <c r="BH1535" s="63" t="n">
        <f aca="false">IF(BD1535&gt;0,J1535/BD1535,-1)</f>
        <v>0</v>
      </c>
      <c r="BI1535" s="63" t="n">
        <f aca="false">IF(AND(OR(CG1535="L1",CG1535="L23",CG1535="LIFT"),BD1535&gt;0),SUMIFS($BD$7:$BD$1843,$CG$7:$CG$1843,CG1535,$BH$7:$BH$1843,"&gt;"&amp;BH1535)+SUMIFS($BD$7:$BD$1843,$CG$7:$CG$1843,CG1535,$BH$7:$BH$1843,BH1535,$BX$7:$BX$1843,"&lt;="&amp;BX1535),"")</f>
        <v>30359.4748453054</v>
      </c>
      <c r="BJ1535" s="70" t="n">
        <f aca="false">IF(BI1535="",0,MAX(0,MIN(1,(IF(CG1535="L1",Parameter!$H$5,IF(CG1535="L23",Parameter!$H$6+Parameter!$H$7,Parameter!$H$5+Parameter!$H$6+Parameter!$H$7))-(BI1535-BD1535))/BD1535)))</f>
        <v>1</v>
      </c>
      <c r="BK1535" s="60" t="str">
        <f aca="false">IF(AJ1535&lt;=0,"",IF(CG1535="Aussen","Aussenlager",IF(CG1535="-","Nicht im Lift",IF(AP1535&gt;=1,"Lift",IF(AP1535&lt;=0,"Aussenlager","teilweise")))))</f>
        <v>Lift</v>
      </c>
      <c r="BL1535" s="60" t="str">
        <f aca="false">IF(AT1535&lt;=0,"",IF(CG1535="Aussen","Aussenlager",IF(CG1535="-","Nicht im Lift",IF(AZ1535&gt;=1,"Lift",IF(AZ1535&lt;=0,"Aussenlager","teilweise")))))</f>
        <v>Aussenlager</v>
      </c>
      <c r="BM1535" s="60" t="str">
        <f aca="false">IF(BD1535&lt;=0,"",IF(CG1535="Aussen","Aussenlager",IF(CG1535="-","Nicht im Lift",IF(BJ1535&gt;=1,"Lift",IF(BJ1535&lt;=0,"Aussenlager","teilweise")))))</f>
        <v>Lift</v>
      </c>
      <c r="BN1535" s="60" t="str">
        <f aca="false">IF(A1535="","",IF(BW1535=1,"Neu; ","")&amp;IF(AND(BW1535=0,BR1535&lt;0),"negativer Bestand (Export "&amp;BR1535&amp;"); ","")&amp;IF(J1535&lt;=0,"Kein Verbrauch; ","")&amp;IF(CR1535&gt;0,"Lift "&amp;W1535&amp;" lt. Liftbericht (Fach "&amp;X1535&amp;" Stk); ",IF(CB1535=1,"Gebinde geschätzt ("&amp;T1535&amp;"); ",IF(CA1535=1,"Lose – Tablare geschätzt; ","")))&amp;IF(H1535&gt;AW1535,"Überbestand "&amp;ROUND(H1535-AW1535,0)&amp;" Stk / CHF "&amp;ROUND((H1535-AW1535)*G1535,0)&amp;"; ","")&amp;IF(AND(CI1535=1,CJ1535&lt;CK1535),"MAX &lt; MB+LG; ","")&amp;IF(AND(CQ1535&gt;0,CP1535*10&gt;CQ1535),"zu hoch für Tablar; ","")&amp;IF(AND(BW1535=0,OR(CI1535=1,AB1535&lt;&gt;"",U1535&lt;&gt;"",V1535&lt;&gt;"",AC1535&lt;&gt;"")),"manuell übersteuert; ","")&amp;IF(AND(CA1535=0,R1535=0),"Gebinde unbekannt / Stellmass fehlt; ","")&amp;IF(AND(CA1535=0,N(V1535)&lt;=0,N(Q1535)&lt;=0),"Menge pro Gebinde fehlt (Ist = 1 Gebinde); ","")&amp;BV1535)</f>
        <v>Kein Verbrauch; Überbestand 1 Stk / CHF 43; nur im Artikelstamm (Bestand 23.06.2026)</v>
      </c>
      <c r="BO1535" s="60"/>
      <c r="BP1535" s="60"/>
      <c r="BQ1535" s="67"/>
      <c r="BR1535" s="62" t="n">
        <v>2</v>
      </c>
      <c r="BS1535" s="62" t="n">
        <v>0</v>
      </c>
      <c r="BT1535" s="61" t="n">
        <v>0</v>
      </c>
      <c r="BU1535" s="62" t="n">
        <v>0</v>
      </c>
      <c r="BV1535" s="60" t="s">
        <v>2617</v>
      </c>
      <c r="BW1535" s="65" t="n">
        <v>0</v>
      </c>
      <c r="BX1535" s="65" t="n">
        <v>1535</v>
      </c>
      <c r="BY1535" s="60" t="str">
        <f aca="false">IF(U1535&lt;&gt;"",UPPER(TRIM(U1535)),IF(CB1535=1,UPPER(VLOOKUP(T1535,Parameter!$I$27:$K$29,2,0)),IF(P1535="","LOSE",P1535)))</f>
        <v>S32</v>
      </c>
      <c r="BZ1535" s="62" t="n">
        <f aca="false">IF(BY1535="LOSE",1,IF(N(V1535)&gt;0,V1535,IF(CB1535=1,MAX(1,N(VLOOKUP(T1535,Parameter!$I$27:$K$29,3,0)),H1535,N(N1535)),IF(N(Q1535)&gt;0,Q1535,MAX(1,H1535)))))</f>
        <v>2</v>
      </c>
      <c r="CA1535" s="65" t="n">
        <f aca="false">IF(BY1535="LOSE",1,0)</f>
        <v>0</v>
      </c>
      <c r="CB1535" s="65" t="n">
        <f aca="false">IF(AND(U1535="",OR(P1535="",P1535="LOSE"),T1535&lt;&gt;"",N(S1535)&lt;=0,ISNUMBER(MATCH(T1535,Parameter!$I$27:$I$29,0))),1,0)</f>
        <v>0</v>
      </c>
      <c r="CC1535" s="65" t="n">
        <f aca="false">IF(CR1535&gt;0,INDEX(Parameter!$H$5:$H$7,W1535)/INDEX(Parameter!$E$5:$E$7,W1535),IF(AND(CA1535=0,N(IFERROR(VLOOKUP(BY1535,'Gebinde-Kategorie'!$A$5:$N$45,14,0),0))&gt;0),VLOOKUP(BY1535,'Gebinde-Kategorie'!$A$5:$N$45,14,0)*10+Parameter!$M$23,Parameter!$M$24))</f>
        <v>155</v>
      </c>
      <c r="CD1535" s="60" t="str">
        <f aca="false">IF(AND(Parameter!$B$19="Ja",E1535&lt;&gt;"",ISNUMBER(MATCH(E1535,Parameter!$I$35:$I$52,0))),VLOOKUP(E1535,Parameter!$I$35:$J$52,2,0),IFERROR(VLOOKUP(D1535,Parameter!$A$35:$C$64,2,0),"Nein"))</f>
        <v>2+3</v>
      </c>
      <c r="CE1535" s="64" t="n">
        <f aca="false">IF(CA1535=0,0,IF(N(S1535)&gt;0,S1535,IFERROR(VLOOKUP(D1535,Parameter!$A$35:$C$64,3,0)+0,0)))</f>
        <v>0</v>
      </c>
      <c r="CF1535" s="60" t="n">
        <f aca="false">IF(AB1535&lt;&gt;"",AB1535,AA1535)</f>
        <v>1</v>
      </c>
      <c r="CG1535" s="60" t="str">
        <f aca="false">IF(OR(CF1535=1,CF1535=2,CF1535=3),IF(Parameter!$E$27="Ja","LIFT",IF(CF1535=1,"L1","L23")),IF(CF1535="Aussen","Aussen","-"))</f>
        <v>LIFT</v>
      </c>
      <c r="CH1535" s="71" t="n">
        <f aca="false">IF(N(AC1535)&gt;0,AC1535,0)</f>
        <v>0</v>
      </c>
      <c r="CI1535" s="65" t="n">
        <f aca="false">IF(ISNUMBER(AF1535),1,0)</f>
        <v>0</v>
      </c>
      <c r="CJ1535" s="62" t="n">
        <f aca="false">N(AF1535)</f>
        <v>0</v>
      </c>
      <c r="CK1535" s="62" t="n">
        <f aca="false">N(M1535)+N(N1535)</f>
        <v>1</v>
      </c>
      <c r="CL1535" s="62" t="n">
        <f aca="false">N(M1535)</f>
        <v>0</v>
      </c>
      <c r="CM1535" s="62" t="n">
        <f aca="false">N(N1535)</f>
        <v>1</v>
      </c>
      <c r="CN1535" s="62" t="n">
        <f aca="false">ROUNDUP(H1535/BZ1535,0)</f>
        <v>1</v>
      </c>
      <c r="CO1535" s="62" t="n">
        <f aca="false">ROUNDUP(CJ1535/BZ1535,0)</f>
        <v>0</v>
      </c>
      <c r="CP1535" s="65" t="n">
        <f aca="false">IF(CA1535=1,0,IFERROR(VLOOKUP(BY1535,'Gebinde-Kategorie'!$A$5:$N$45,5,0)+0,0))</f>
        <v>8</v>
      </c>
      <c r="CQ1535" s="65" t="n">
        <f aca="false">IFERROR(IF(OR(CF1535=1,CF1535=2,CF1535=3),N(INDEX(Parameter!$I$5:$I$7,CF1535)),0),0)</f>
        <v>0</v>
      </c>
      <c r="CR1535" s="64" t="n">
        <f aca="false">IF(AND(Parameter!$B$21="Ja",ISNUMBER(W1535),N(X1535)&gt;0),IFERROR(N(INDEX(Parameter!$L$5:$L$7,W1535))*INDEX(Parameter!$E$5:$E$7,W1535)*X1535/SUMIFS($X$7:$X$1843,$W$7:$W$1843,W1535),0),0)</f>
        <v>0</v>
      </c>
      <c r="CS1535" s="62" t="n">
        <f aca="false">IF(AND(OR(CG1535="L1",CG1535="L23",CG1535="LIFT"),H1535&gt;0),CC1535*IF(CR1535&gt;0,CR1535*MAX(1,H1535/X1535),IF(CA1535=1,CE1535,IF(R1535&gt;0,CN1535/R1535,0))/MAX(0.1,N(Parameter!$M$21))),"")</f>
        <v>1.49038461538462</v>
      </c>
      <c r="CT1535" s="64" t="n">
        <f aca="false">IF(CS1535="","",J1535/H1535)</f>
        <v>0</v>
      </c>
      <c r="CU1535" s="62" t="n">
        <f aca="false">IF(CS1535="","",H1535*G1535)</f>
        <v>86.3</v>
      </c>
      <c r="CV1535" s="63" t="n">
        <f aca="false">IF(CS1535="","",(CL1535+ROUNDUP(CL1535+MAX(CM1535,2*(J1535/MAX(0.1,N(Einkauf!$C$6))-CL1535)),0))/2)</f>
        <v>0.5</v>
      </c>
      <c r="CW1535" s="62" t="n">
        <f aca="false">IF(CS1535="","",MAX(0,H1535-CV1535)*G1535)</f>
        <v>64.725</v>
      </c>
      <c r="CX1535" s="62" t="n">
        <f aca="false">IF(CS1535="","",CS1535*MAX(0,1-CV1535/H1535))</f>
        <v>1.11778846153846</v>
      </c>
      <c r="CY1535" s="64" t="n">
        <f aca="false">IF(CS1535="","",PERCENTRANK($CS$7:$CS$1843,CS1535)+PERCENTRANK($CU$7:$CU$1843,CU1535)+1-PERCENTRANK($CT$7:$CT$1843,CT1535))</f>
        <v>1.329</v>
      </c>
      <c r="CZ1535" s="72" t="n">
        <f aca="false">IF(CS1535="","",CHOOSE(MATCH(Einkauf!$C$5,Parameter!$G$23:$G$27,0),CY1535,CS1535,CU1535,-CT1535,CW1535)+ROW()/1000000000)</f>
        <v>1.329001535</v>
      </c>
    </row>
    <row r="1536" customFormat="false" ht="15" hidden="false" customHeight="false" outlineLevel="0" collapsed="false">
      <c r="A1536" s="60" t="s">
        <v>2728</v>
      </c>
      <c r="B1536" s="60" t="s">
        <v>510</v>
      </c>
      <c r="C1536" s="60" t="s">
        <v>206</v>
      </c>
      <c r="D1536" s="60" t="s">
        <v>226</v>
      </c>
      <c r="E1536" s="60" t="s">
        <v>227</v>
      </c>
      <c r="F1536" s="60"/>
      <c r="G1536" s="61" t="n">
        <v>0.1</v>
      </c>
      <c r="H1536" s="62" t="n">
        <f aca="false">MAX(0,IF(AND(Parameter!$B$21="Ja",ISNUMBER(Y1536)),Y1536,IF(Parameter!$B$20="Jahresanfang 2025 + Export",BS1536+BR1536,BR1536)))</f>
        <v>5</v>
      </c>
      <c r="I1536" s="62" t="n">
        <f aca="false">H1536*G1536</f>
        <v>0.5</v>
      </c>
      <c r="J1536" s="62" t="n">
        <f aca="false">BU1536*Parameter!$B$18</f>
        <v>0</v>
      </c>
      <c r="K1536" s="63"/>
      <c r="L1536" s="64"/>
      <c r="M1536" s="62" t="n">
        <v>0</v>
      </c>
      <c r="N1536" s="62" t="n">
        <v>10</v>
      </c>
      <c r="O1536" s="65" t="n">
        <v>28</v>
      </c>
      <c r="P1536" s="60" t="s">
        <v>468</v>
      </c>
      <c r="Q1536" s="62" t="n">
        <v>5</v>
      </c>
      <c r="R1536" s="65" t="n">
        <f aca="false">IF(CA1536=1,0,IFERROR(VLOOKUP(BY1536,'Gebinde-Kategorie'!$A$5:$N$45,13,0)+0,0))</f>
        <v>140</v>
      </c>
      <c r="S1536" s="66"/>
      <c r="T1536" s="67"/>
      <c r="U1536" s="67"/>
      <c r="V1536" s="67"/>
      <c r="W1536" s="60"/>
      <c r="X1536" s="62"/>
      <c r="Y1536" s="62"/>
      <c r="Z1536" s="60" t="n">
        <v>2</v>
      </c>
      <c r="AA1536" s="60" t="n">
        <f aca="false">IF(A1536="","",IF(AND(Parameter!$B$21="Ja",ISNUMBER(W1536)),W1536,IF(AND(Parameter!$E$27="Ja",ISNUMBER(Z1536),CD1536&lt;&gt;"Nein"),Z1536,IF(CD1536="2+3",IF(ISNUMBER(SEARCH("grosser Artikel",BV1536)),2,IFERROR(VLOOKUP(BY1536,Parameter!$F$35:$G$64,2,0),2)),IF(OR(CD1536="Nein",CD1536=""),"-",CD1536)))))</f>
        <v>2</v>
      </c>
      <c r="AB1536" s="67"/>
      <c r="AC1536" s="68"/>
      <c r="AD1536" s="62" t="n">
        <f aca="false">AW1536</f>
        <v>10</v>
      </c>
      <c r="AE1536" s="62" t="n">
        <f aca="false">MAX(AW1536,H1536)</f>
        <v>10</v>
      </c>
      <c r="AF1536" s="69"/>
      <c r="AG1536" s="62" t="n">
        <f aca="false">IF(LEFT(Cockpit!$C$5,1)="A",H1536,IF(Parameter!$E$30="MAX-Bestand",IF(CI1536=1,CJ1536,IF(LEFT(Cockpit!$C$5,1)="B",AM1536,MAX(AM1536,H1536))),ROUNDUP(AK1536,0)))</f>
        <v>5</v>
      </c>
      <c r="AH1536" s="62" t="n">
        <f aca="false">IF(CA1536=1,0,ROUNDUP(AG1536/BZ1536,0))</f>
        <v>1</v>
      </c>
      <c r="AI1536" s="64" t="n">
        <f aca="false">IF(CR1536&gt;0,CR1536*MAX(1,AG1536/X1536),IF(CA1536=1,IF(AG1536&lt;=0,0,CE1536*MAX(1,IF(H1536&gt;0,AG1536/H1536,1))),IF(R1536&gt;0,AH1536/R1536,0))/MAX(0.1,N(Parameter!$M$21)))</f>
        <v>0.00714285714285714</v>
      </c>
      <c r="AJ1536" s="62" t="n">
        <f aca="false">AI1536*CC1536</f>
        <v>1.10714285714286</v>
      </c>
      <c r="AK1536" s="63" t="n">
        <f aca="false">IF(LEFT(Cockpit!$C$5,1)="A",H1536,IF(CI1536=1,(CL1536+CJ1536)/2,IF(LEFT(Cockpit!$C$5,1)="B",(CL1536+AM1536)/2,MAX((CL1536+AM1536)/2,H1536))))</f>
        <v>5</v>
      </c>
      <c r="AL1536" s="62" t="n">
        <f aca="false">AK1536*G1536</f>
        <v>0.5</v>
      </c>
      <c r="AM1536" s="62" t="n">
        <f aca="false">ROUNDUP(CL1536+MAX(CM1536,2*(J1536/IF(CH1536&gt;0,CH1536,MAX(0.1,N(Cockpit!$C$6)))-CL1536)),0)</f>
        <v>10</v>
      </c>
      <c r="AN1536" s="63" t="n">
        <f aca="false">IF(AJ1536&gt;0,J1536/AJ1536,-1)</f>
        <v>0</v>
      </c>
      <c r="AO1536" s="63" t="n">
        <f aca="false">IF(AND(OR(CG1536="L1",CG1536="L23",CG1536="LIFT"),AJ1536&gt;0),SUMIFS($AJ$7:$AJ$1843,$CG$7:$CG$1843,CG1536,$AN$7:$AN$1843,"&gt;"&amp;AN1536)+SUMIFS($AJ$7:$AJ$1843,$CG$7:$CG$1843,CG1536,$AN$7:$AN$1843,AN1536,$BX$7:$BX$1843,"&lt;="&amp;BX1536),"")</f>
        <v>30102.5341957948</v>
      </c>
      <c r="AP1536" s="70" t="n">
        <f aca="false">IF(AO1536="",0,MAX(0,MIN(1,(IF(CG1536="L1",Parameter!$H$5,IF(CG1536="L23",Parameter!$H$6+Parameter!$H$7,Parameter!$H$5+Parameter!$H$6+Parameter!$H$7))-(AO1536-AJ1536))/AJ1536)))</f>
        <v>1</v>
      </c>
      <c r="AQ1536" s="62" t="n">
        <f aca="false">IF(LEFT(Cockpit!$I$5,1)="A",H1536,IF(Parameter!$E$30="MAX-Bestand",IF(CI1536=1,CJ1536,IF(LEFT(Cockpit!$I$5,1)="B",AW1536,MAX(AW1536,H1536))),ROUNDUP(AU1536,0)))</f>
        <v>5</v>
      </c>
      <c r="AR1536" s="62" t="n">
        <f aca="false">IF(CA1536=1,0,ROUNDUP(AQ1536/BZ1536,0))</f>
        <v>1</v>
      </c>
      <c r="AS1536" s="64" t="n">
        <f aca="false">IF(CR1536&gt;0,CR1536*MAX(1,AQ1536/X1536),IF(CA1536=1,IF(AQ1536&lt;=0,0,CE1536*MAX(1,IF(H1536&gt;0,AQ1536/H1536,1))),IF(R1536&gt;0,AR1536/R1536,0))/MAX(0.1,N(Parameter!$M$21)))</f>
        <v>0.00714285714285714</v>
      </c>
      <c r="AT1536" s="62" t="n">
        <f aca="false">AS1536*CC1536</f>
        <v>1.10714285714286</v>
      </c>
      <c r="AU1536" s="63" t="n">
        <f aca="false">IF(LEFT(Cockpit!$I$5,1)="A",H1536,IF(CI1536=1,(CL1536+CJ1536)/2,IF(LEFT(Cockpit!$I$5,1)="B",(CL1536+AW1536)/2,MAX((CL1536+AW1536)/2,H1536))))</f>
        <v>5</v>
      </c>
      <c r="AV1536" s="62" t="n">
        <f aca="false">AU1536*G1536</f>
        <v>0.5</v>
      </c>
      <c r="AW1536" s="62" t="n">
        <f aca="false">ROUNDUP(CL1536+MAX(CM1536,2*(J1536/IF(CH1536&gt;0,CH1536,MAX(0.1,N(Cockpit!$I$6)))-CL1536)),0)</f>
        <v>10</v>
      </c>
      <c r="AX1536" s="63" t="n">
        <f aca="false">IF(AT1536&gt;0,J1536/AT1536,-1)</f>
        <v>0</v>
      </c>
      <c r="AY1536" s="63" t="n">
        <f aca="false">IF(AND(OR(CG1536="L1",CG1536="L23",CG1536="LIFT"),AT1536&gt;0),SUMIFS($AT$7:$AT$1843,$CG$7:$CG$1843,CG1536,$AX$7:$AX$1843,"&gt;"&amp;AX1536)+SUMIFS($AT$7:$AT$1843,$CG$7:$CG$1843,CG1536,$AX$7:$AX$1843,AX1536,$BX$7:$BX$1843,"&lt;="&amp;BX1536),"")</f>
        <v>36422.3907126301</v>
      </c>
      <c r="AZ1536" s="70" t="n">
        <f aca="false">IF(AY1536="",0,MAX(0,MIN(1,(IF(CG1536="L1",Parameter!$H$5,IF(CG1536="L23",Parameter!$H$6+Parameter!$H$7,Parameter!$H$5+Parameter!$H$6+Parameter!$H$7))-(AY1536-AT1536))/AT1536)))</f>
        <v>0</v>
      </c>
      <c r="BA1536" s="62" t="n">
        <f aca="false">IF(LEFT(Cockpit!$O$5,1)="A",H1536,IF(Parameter!$E$30="MAX-Bestand",IF(CI1536=1,CJ1536,IF(LEFT(Cockpit!$O$5,1)="B",BG1536,MAX(BG1536,H1536))),ROUNDUP(BE1536,0)))</f>
        <v>5</v>
      </c>
      <c r="BB1536" s="62" t="n">
        <f aca="false">IF(CA1536=1,0,ROUNDUP(BA1536/BZ1536,0))</f>
        <v>1</v>
      </c>
      <c r="BC1536" s="64" t="n">
        <f aca="false">IF(CR1536&gt;0,CR1536*MAX(1,BA1536/X1536),IF(CA1536=1,IF(BA1536&lt;=0,0,CE1536*MAX(1,IF(H1536&gt;0,BA1536/H1536,1))),IF(R1536&gt;0,BB1536/R1536,0))/MAX(0.1,N(Parameter!$M$21)))</f>
        <v>0.00714285714285714</v>
      </c>
      <c r="BD1536" s="62" t="n">
        <f aca="false">BC1536*CC1536</f>
        <v>1.10714285714286</v>
      </c>
      <c r="BE1536" s="63" t="n">
        <f aca="false">IF(LEFT(Cockpit!$O$5,1)="A",H1536,IF(CI1536=1,(CL1536+CJ1536)/2,IF(LEFT(Cockpit!$O$5,1)="B",(CL1536+BG1536)/2,MAX((CL1536+BG1536)/2,H1536))))</f>
        <v>5</v>
      </c>
      <c r="BF1536" s="62" t="n">
        <f aca="false">BE1536*G1536</f>
        <v>0.5</v>
      </c>
      <c r="BG1536" s="62" t="n">
        <f aca="false">ROUNDUP(CL1536+MAX(CM1536,2*(J1536/IF(CH1536&gt;0,CH1536,MAX(0.1,N(Cockpit!$O$6)))-CL1536)),0)</f>
        <v>10</v>
      </c>
      <c r="BH1536" s="63" t="n">
        <f aca="false">IF(BD1536&gt;0,J1536/BD1536,-1)</f>
        <v>0</v>
      </c>
      <c r="BI1536" s="63" t="n">
        <f aca="false">IF(AND(OR(CG1536="L1",CG1536="L23",CG1536="LIFT"),BD1536&gt;0),SUMIFS($BD$7:$BD$1843,$CG$7:$CG$1843,CG1536,$BH$7:$BH$1843,"&gt;"&amp;BH1536)+SUMIFS($BD$7:$BD$1843,$CG$7:$CG$1843,CG1536,$BH$7:$BH$1843,BH1536,$BX$7:$BX$1843,"&lt;="&amp;BX1536),"")</f>
        <v>30360.5819881625</v>
      </c>
      <c r="BJ1536" s="70" t="n">
        <f aca="false">IF(BI1536="",0,MAX(0,MIN(1,(IF(CG1536="L1",Parameter!$H$5,IF(CG1536="L23",Parameter!$H$6+Parameter!$H$7,Parameter!$H$5+Parameter!$H$6+Parameter!$H$7))-(BI1536-BD1536))/BD1536)))</f>
        <v>1</v>
      </c>
      <c r="BK1536" s="60" t="str">
        <f aca="false">IF(AJ1536&lt;=0,"",IF(CG1536="Aussen","Aussenlager",IF(CG1536="-","Nicht im Lift",IF(AP1536&gt;=1,"Lift",IF(AP1536&lt;=0,"Aussenlager","teilweise")))))</f>
        <v>Lift</v>
      </c>
      <c r="BL1536" s="60" t="str">
        <f aca="false">IF(AT1536&lt;=0,"",IF(CG1536="Aussen","Aussenlager",IF(CG1536="-","Nicht im Lift",IF(AZ1536&gt;=1,"Lift",IF(AZ1536&lt;=0,"Aussenlager","teilweise")))))</f>
        <v>Aussenlager</v>
      </c>
      <c r="BM1536" s="60" t="str">
        <f aca="false">IF(BD1536&lt;=0,"",IF(CG1536="Aussen","Aussenlager",IF(CG1536="-","Nicht im Lift",IF(BJ1536&gt;=1,"Lift",IF(BJ1536&lt;=0,"Aussenlager","teilweise")))))</f>
        <v>Lift</v>
      </c>
      <c r="BN1536" s="60" t="str">
        <f aca="false">IF(A1536="","",IF(BW1536=1,"Neu; ","")&amp;IF(AND(BW1536=0,BR1536&lt;0),"negativer Bestand (Export "&amp;BR1536&amp;"); ","")&amp;IF(J1536&lt;=0,"Kein Verbrauch; ","")&amp;IF(CR1536&gt;0,"Lift "&amp;W1536&amp;" lt. Liftbericht (Fach "&amp;X1536&amp;" Stk); ",IF(CB1536=1,"Gebinde geschätzt ("&amp;T1536&amp;"); ",IF(CA1536=1,"Lose – Tablare geschätzt; ","")))&amp;IF(H1536&gt;AW1536,"Überbestand "&amp;ROUND(H1536-AW1536,0)&amp;" Stk / CHF "&amp;ROUND((H1536-AW1536)*G1536,0)&amp;"; ","")&amp;IF(AND(CI1536=1,CJ1536&lt;CK1536),"MAX &lt; MB+LG; ","")&amp;IF(AND(CQ1536&gt;0,CP1536*10&gt;CQ1536),"zu hoch für Tablar; ","")&amp;IF(AND(BW1536=0,OR(CI1536=1,AB1536&lt;&gt;"",U1536&lt;&gt;"",V1536&lt;&gt;"",AC1536&lt;&gt;"")),"manuell übersteuert; ","")&amp;IF(AND(CA1536=0,R1536=0),"Gebinde unbekannt / Stellmass fehlt; ","")&amp;IF(AND(CA1536=0,N(V1536)&lt;=0,N(Q1536)&lt;=0),"Menge pro Gebinde fehlt (Ist = 1 Gebinde); ","")&amp;BV1536)</f>
        <v>Kein Verbrauch; nur im Artikelstamm (Bestand 23.06.2026)</v>
      </c>
      <c r="BO1536" s="60"/>
      <c r="BP1536" s="60"/>
      <c r="BQ1536" s="67"/>
      <c r="BR1536" s="62" t="n">
        <v>5</v>
      </c>
      <c r="BS1536" s="62" t="n">
        <v>0</v>
      </c>
      <c r="BT1536" s="61" t="n">
        <v>0</v>
      </c>
      <c r="BU1536" s="62" t="n">
        <v>0</v>
      </c>
      <c r="BV1536" s="60" t="s">
        <v>2617</v>
      </c>
      <c r="BW1536" s="65" t="n">
        <v>0</v>
      </c>
      <c r="BX1536" s="65" t="n">
        <v>1536</v>
      </c>
      <c r="BY1536" s="60" t="str">
        <f aca="false">IF(U1536&lt;&gt;"",UPPER(TRIM(U1536)),IF(CB1536=1,UPPER(VLOOKUP(T1536,Parameter!$I$27:$K$29,2,0)),IF(P1536="","LOSE",P1536)))</f>
        <v>S22</v>
      </c>
      <c r="BZ1536" s="62" t="n">
        <f aca="false">IF(BY1536="LOSE",1,IF(N(V1536)&gt;0,V1536,IF(CB1536=1,MAX(1,N(VLOOKUP(T1536,Parameter!$I$27:$K$29,3,0)),H1536,N(N1536)),IF(N(Q1536)&gt;0,Q1536,MAX(1,H1536)))))</f>
        <v>5</v>
      </c>
      <c r="CA1536" s="65" t="n">
        <f aca="false">IF(BY1536="LOSE",1,0)</f>
        <v>0</v>
      </c>
      <c r="CB1536" s="65" t="n">
        <f aca="false">IF(AND(U1536="",OR(P1536="",P1536="LOSE"),T1536&lt;&gt;"",N(S1536)&lt;=0,ISNUMBER(MATCH(T1536,Parameter!$I$27:$I$29,0))),1,0)</f>
        <v>0</v>
      </c>
      <c r="CC1536" s="65" t="n">
        <f aca="false">IF(CR1536&gt;0,INDEX(Parameter!$H$5:$H$7,W1536)/INDEX(Parameter!$E$5:$E$7,W1536),IF(AND(CA1536=0,N(IFERROR(VLOOKUP(BY1536,'Gebinde-Kategorie'!$A$5:$N$45,14,0),0))&gt;0),VLOOKUP(BY1536,'Gebinde-Kategorie'!$A$5:$N$45,14,0)*10+Parameter!$M$23,Parameter!$M$24))</f>
        <v>155</v>
      </c>
      <c r="CD1536" s="60" t="str">
        <f aca="false">IF(AND(Parameter!$B$19="Ja",E1536&lt;&gt;"",ISNUMBER(MATCH(E1536,Parameter!$I$35:$I$52,0))),VLOOKUP(E1536,Parameter!$I$35:$J$52,2,0),IFERROR(VLOOKUP(D1536,Parameter!$A$35:$C$64,2,0),"Nein"))</f>
        <v>2+3</v>
      </c>
      <c r="CE1536" s="64" t="n">
        <f aca="false">IF(CA1536=0,0,IF(N(S1536)&gt;0,S1536,IFERROR(VLOOKUP(D1536,Parameter!$A$35:$C$64,3,0)+0,0)))</f>
        <v>0</v>
      </c>
      <c r="CF1536" s="60" t="n">
        <f aca="false">IF(AB1536&lt;&gt;"",AB1536,AA1536)</f>
        <v>2</v>
      </c>
      <c r="CG1536" s="60" t="str">
        <f aca="false">IF(OR(CF1536=1,CF1536=2,CF1536=3),IF(Parameter!$E$27="Ja","LIFT",IF(CF1536=1,"L1","L23")),IF(CF1536="Aussen","Aussen","-"))</f>
        <v>LIFT</v>
      </c>
      <c r="CH1536" s="71" t="n">
        <f aca="false">IF(N(AC1536)&gt;0,AC1536,0)</f>
        <v>0</v>
      </c>
      <c r="CI1536" s="65" t="n">
        <f aca="false">IF(ISNUMBER(AF1536),1,0)</f>
        <v>0</v>
      </c>
      <c r="CJ1536" s="62" t="n">
        <f aca="false">N(AF1536)</f>
        <v>0</v>
      </c>
      <c r="CK1536" s="62" t="n">
        <f aca="false">N(M1536)+N(N1536)</f>
        <v>10</v>
      </c>
      <c r="CL1536" s="62" t="n">
        <f aca="false">N(M1536)</f>
        <v>0</v>
      </c>
      <c r="CM1536" s="62" t="n">
        <f aca="false">N(N1536)</f>
        <v>10</v>
      </c>
      <c r="CN1536" s="62" t="n">
        <f aca="false">ROUNDUP(H1536/BZ1536,0)</f>
        <v>1</v>
      </c>
      <c r="CO1536" s="62" t="n">
        <f aca="false">ROUNDUP(CJ1536/BZ1536,0)</f>
        <v>0</v>
      </c>
      <c r="CP1536" s="65" t="n">
        <f aca="false">IF(CA1536=1,0,IFERROR(VLOOKUP(BY1536,'Gebinde-Kategorie'!$A$5:$N$45,5,0)+0,0))</f>
        <v>8</v>
      </c>
      <c r="CQ1536" s="65" t="n">
        <f aca="false">IFERROR(IF(OR(CF1536=1,CF1536=2,CF1536=3),N(INDEX(Parameter!$I$5:$I$7,CF1536)),0),0)</f>
        <v>0</v>
      </c>
      <c r="CR1536" s="64" t="n">
        <f aca="false">IF(AND(Parameter!$B$21="Ja",ISNUMBER(W1536),N(X1536)&gt;0),IFERROR(N(INDEX(Parameter!$L$5:$L$7,W1536))*INDEX(Parameter!$E$5:$E$7,W1536)*X1536/SUMIFS($X$7:$X$1843,$W$7:$W$1843,W1536),0),0)</f>
        <v>0</v>
      </c>
      <c r="CS1536" s="62" t="n">
        <f aca="false">IF(AND(OR(CG1536="L1",CG1536="L23",CG1536="LIFT"),H1536&gt;0),CC1536*IF(CR1536&gt;0,CR1536*MAX(1,H1536/X1536),IF(CA1536=1,CE1536,IF(R1536&gt;0,CN1536/R1536,0))/MAX(0.1,N(Parameter!$M$21))),"")</f>
        <v>1.10714285714286</v>
      </c>
      <c r="CT1536" s="64" t="n">
        <f aca="false">IF(CS1536="","",J1536/H1536)</f>
        <v>0</v>
      </c>
      <c r="CU1536" s="62" t="n">
        <f aca="false">IF(CS1536="","",H1536*G1536)</f>
        <v>0.5</v>
      </c>
      <c r="CV1536" s="63" t="n">
        <f aca="false">IF(CS1536="","",(CL1536+ROUNDUP(CL1536+MAX(CM1536,2*(J1536/MAX(0.1,N(Einkauf!$C$6))-CL1536)),0))/2)</f>
        <v>5</v>
      </c>
      <c r="CW1536" s="62" t="n">
        <f aca="false">IF(CS1536="","",MAX(0,H1536-CV1536)*G1536)</f>
        <v>0</v>
      </c>
      <c r="CX1536" s="62" t="n">
        <f aca="false">IF(CS1536="","",CS1536*MAX(0,1-CV1536/H1536))</f>
        <v>0</v>
      </c>
      <c r="CY1536" s="64" t="n">
        <f aca="false">IF(CS1536="","",PERCENTRANK($CS$7:$CS$1843,CS1536)+PERCENTRANK($CU$7:$CU$1843,CU1536)+1-PERCENTRANK($CT$7:$CT$1843,CT1536))</f>
        <v>1.06156</v>
      </c>
      <c r="CZ1536" s="72" t="n">
        <f aca="false">IF(CS1536="","",CHOOSE(MATCH(Einkauf!$C$5,Parameter!$G$23:$G$27,0),CY1536,CS1536,CU1536,-CT1536,CW1536)+ROW()/1000000000)</f>
        <v>1.061561536</v>
      </c>
    </row>
    <row r="1537" customFormat="false" ht="15" hidden="false" customHeight="false" outlineLevel="0" collapsed="false">
      <c r="A1537" s="60" t="s">
        <v>2729</v>
      </c>
      <c r="B1537" s="60" t="s">
        <v>482</v>
      </c>
      <c r="C1537" s="60" t="s">
        <v>206</v>
      </c>
      <c r="D1537" s="60" t="s">
        <v>226</v>
      </c>
      <c r="E1537" s="60" t="s">
        <v>227</v>
      </c>
      <c r="F1537" s="60"/>
      <c r="G1537" s="61" t="n">
        <v>43.67</v>
      </c>
      <c r="H1537" s="62" t="n">
        <f aca="false">MAX(0,IF(AND(Parameter!$B$21="Ja",ISNUMBER(Y1537)),Y1537,IF(Parameter!$B$20="Jahresanfang 2025 + Export",BS1537+BR1537,BR1537)))</f>
        <v>5</v>
      </c>
      <c r="I1537" s="62" t="n">
        <f aca="false">H1537*G1537</f>
        <v>218.35</v>
      </c>
      <c r="J1537" s="62" t="n">
        <f aca="false">BU1537*Parameter!$B$18</f>
        <v>0</v>
      </c>
      <c r="K1537" s="63"/>
      <c r="L1537" s="64"/>
      <c r="M1537" s="62" t="n">
        <v>0</v>
      </c>
      <c r="N1537" s="62" t="n">
        <v>1</v>
      </c>
      <c r="O1537" s="65" t="n">
        <v>42</v>
      </c>
      <c r="P1537" s="60" t="s">
        <v>463</v>
      </c>
      <c r="Q1537" s="62" t="n">
        <v>5</v>
      </c>
      <c r="R1537" s="65" t="n">
        <f aca="false">IF(CA1537=1,0,IFERROR(VLOOKUP(BY1537,'Gebinde-Kategorie'!$A$5:$N$45,13,0)+0,0))</f>
        <v>104</v>
      </c>
      <c r="S1537" s="66"/>
      <c r="T1537" s="67"/>
      <c r="U1537" s="67"/>
      <c r="V1537" s="67"/>
      <c r="W1537" s="60"/>
      <c r="X1537" s="62"/>
      <c r="Y1537" s="62"/>
      <c r="Z1537" s="60" t="n">
        <v>3</v>
      </c>
      <c r="AA1537" s="60" t="n">
        <f aca="false">IF(A1537="","",IF(AND(Parameter!$B$21="Ja",ISNUMBER(W1537)),W1537,IF(AND(Parameter!$E$27="Ja",ISNUMBER(Z1537),CD1537&lt;&gt;"Nein"),Z1537,IF(CD1537="2+3",IF(ISNUMBER(SEARCH("grosser Artikel",BV1537)),2,IFERROR(VLOOKUP(BY1537,Parameter!$F$35:$G$64,2,0),2)),IF(OR(CD1537="Nein",CD1537=""),"-",CD1537)))))</f>
        <v>3</v>
      </c>
      <c r="AB1537" s="67"/>
      <c r="AC1537" s="68"/>
      <c r="AD1537" s="62" t="n">
        <f aca="false">AW1537</f>
        <v>1</v>
      </c>
      <c r="AE1537" s="62" t="n">
        <f aca="false">MAX(AW1537,H1537)</f>
        <v>5</v>
      </c>
      <c r="AF1537" s="69"/>
      <c r="AG1537" s="62" t="n">
        <f aca="false">IF(LEFT(Cockpit!$C$5,1)="A",H1537,IF(Parameter!$E$30="MAX-Bestand",IF(CI1537=1,CJ1537,IF(LEFT(Cockpit!$C$5,1)="B",AM1537,MAX(AM1537,H1537))),ROUNDUP(AK1537,0)))</f>
        <v>5</v>
      </c>
      <c r="AH1537" s="62" t="n">
        <f aca="false">IF(CA1537=1,0,ROUNDUP(AG1537/BZ1537,0))</f>
        <v>1</v>
      </c>
      <c r="AI1537" s="64" t="n">
        <f aca="false">IF(CR1537&gt;0,CR1537*MAX(1,AG1537/X1537),IF(CA1537=1,IF(AG1537&lt;=0,0,CE1537*MAX(1,IF(H1537&gt;0,AG1537/H1537,1))),IF(R1537&gt;0,AH1537/R1537,0))/MAX(0.1,N(Parameter!$M$21)))</f>
        <v>0.00961538461538462</v>
      </c>
      <c r="AJ1537" s="62" t="n">
        <f aca="false">AI1537*CC1537</f>
        <v>1.49038461538462</v>
      </c>
      <c r="AK1537" s="63" t="n">
        <f aca="false">IF(LEFT(Cockpit!$C$5,1)="A",H1537,IF(CI1537=1,(CL1537+CJ1537)/2,IF(LEFT(Cockpit!$C$5,1)="B",(CL1537+AM1537)/2,MAX((CL1537+AM1537)/2,H1537))))</f>
        <v>5</v>
      </c>
      <c r="AL1537" s="62" t="n">
        <f aca="false">AK1537*G1537</f>
        <v>218.35</v>
      </c>
      <c r="AM1537" s="62" t="n">
        <f aca="false">ROUNDUP(CL1537+MAX(CM1537,2*(J1537/IF(CH1537&gt;0,CH1537,MAX(0.1,N(Cockpit!$C$6)))-CL1537)),0)</f>
        <v>1</v>
      </c>
      <c r="AN1537" s="63" t="n">
        <f aca="false">IF(AJ1537&gt;0,J1537/AJ1537,-1)</f>
        <v>0</v>
      </c>
      <c r="AO1537" s="63" t="n">
        <f aca="false">IF(AND(OR(CG1537="L1",CG1537="L23",CG1537="LIFT"),AJ1537&gt;0),SUMIFS($AJ$7:$AJ$1843,$CG$7:$CG$1843,CG1537,$AN$7:$AN$1843,"&gt;"&amp;AN1537)+SUMIFS($AJ$7:$AJ$1843,$CG$7:$CG$1843,CG1537,$AN$7:$AN$1843,AN1537,$BX$7:$BX$1843,"&lt;="&amp;BX1537),"")</f>
        <v>30104.0245804102</v>
      </c>
      <c r="AP1537" s="70" t="n">
        <f aca="false">IF(AO1537="",0,MAX(0,MIN(1,(IF(CG1537="L1",Parameter!$H$5,IF(CG1537="L23",Parameter!$H$6+Parameter!$H$7,Parameter!$H$5+Parameter!$H$6+Parameter!$H$7))-(AO1537-AJ1537))/AJ1537)))</f>
        <v>1</v>
      </c>
      <c r="AQ1537" s="62" t="n">
        <f aca="false">IF(LEFT(Cockpit!$I$5,1)="A",H1537,IF(Parameter!$E$30="MAX-Bestand",IF(CI1537=1,CJ1537,IF(LEFT(Cockpit!$I$5,1)="B",AW1537,MAX(AW1537,H1537))),ROUNDUP(AU1537,0)))</f>
        <v>5</v>
      </c>
      <c r="AR1537" s="62" t="n">
        <f aca="false">IF(CA1537=1,0,ROUNDUP(AQ1537/BZ1537,0))</f>
        <v>1</v>
      </c>
      <c r="AS1537" s="64" t="n">
        <f aca="false">IF(CR1537&gt;0,CR1537*MAX(1,AQ1537/X1537),IF(CA1537=1,IF(AQ1537&lt;=0,0,CE1537*MAX(1,IF(H1537&gt;0,AQ1537/H1537,1))),IF(R1537&gt;0,AR1537/R1537,0))/MAX(0.1,N(Parameter!$M$21)))</f>
        <v>0.00961538461538462</v>
      </c>
      <c r="AT1537" s="62" t="n">
        <f aca="false">AS1537*CC1537</f>
        <v>1.49038461538462</v>
      </c>
      <c r="AU1537" s="63" t="n">
        <f aca="false">IF(LEFT(Cockpit!$I$5,1)="A",H1537,IF(CI1537=1,(CL1537+CJ1537)/2,IF(LEFT(Cockpit!$I$5,1)="B",(CL1537+AW1537)/2,MAX((CL1537+AW1537)/2,H1537))))</f>
        <v>5</v>
      </c>
      <c r="AV1537" s="62" t="n">
        <f aca="false">AU1537*G1537</f>
        <v>218.35</v>
      </c>
      <c r="AW1537" s="62" t="n">
        <f aca="false">ROUNDUP(CL1537+MAX(CM1537,2*(J1537/IF(CH1537&gt;0,CH1537,MAX(0.1,N(Cockpit!$I$6)))-CL1537)),0)</f>
        <v>1</v>
      </c>
      <c r="AX1537" s="63" t="n">
        <f aca="false">IF(AT1537&gt;0,J1537/AT1537,-1)</f>
        <v>0</v>
      </c>
      <c r="AY1537" s="63" t="n">
        <f aca="false">IF(AND(OR(CG1537="L1",CG1537="L23",CG1537="LIFT"),AT1537&gt;0),SUMIFS($AT$7:$AT$1843,$CG$7:$CG$1843,CG1537,$AX$7:$AX$1843,"&gt;"&amp;AX1537)+SUMIFS($AT$7:$AT$1843,$CG$7:$CG$1843,CG1537,$AX$7:$AX$1843,AX1537,$BX$7:$BX$1843,"&lt;="&amp;BX1537),"")</f>
        <v>36423.8810972455</v>
      </c>
      <c r="AZ1537" s="70" t="n">
        <f aca="false">IF(AY1537="",0,MAX(0,MIN(1,(IF(CG1537="L1",Parameter!$H$5,IF(CG1537="L23",Parameter!$H$6+Parameter!$H$7,Parameter!$H$5+Parameter!$H$6+Parameter!$H$7))-(AY1537-AT1537))/AT1537)))</f>
        <v>0</v>
      </c>
      <c r="BA1537" s="62" t="n">
        <f aca="false">IF(LEFT(Cockpit!$O$5,1)="A",H1537,IF(Parameter!$E$30="MAX-Bestand",IF(CI1537=1,CJ1537,IF(LEFT(Cockpit!$O$5,1)="B",BG1537,MAX(BG1537,H1537))),ROUNDUP(BE1537,0)))</f>
        <v>1</v>
      </c>
      <c r="BB1537" s="62" t="n">
        <f aca="false">IF(CA1537=1,0,ROUNDUP(BA1537/BZ1537,0))</f>
        <v>1</v>
      </c>
      <c r="BC1537" s="64" t="n">
        <f aca="false">IF(CR1537&gt;0,CR1537*MAX(1,BA1537/X1537),IF(CA1537=1,IF(BA1537&lt;=0,0,CE1537*MAX(1,IF(H1537&gt;0,BA1537/H1537,1))),IF(R1537&gt;0,BB1537/R1537,0))/MAX(0.1,N(Parameter!$M$21)))</f>
        <v>0.00961538461538462</v>
      </c>
      <c r="BD1537" s="62" t="n">
        <f aca="false">BC1537*CC1537</f>
        <v>1.49038461538462</v>
      </c>
      <c r="BE1537" s="63" t="n">
        <f aca="false">IF(LEFT(Cockpit!$O$5,1)="A",H1537,IF(CI1537=1,(CL1537+CJ1537)/2,IF(LEFT(Cockpit!$O$5,1)="B",(CL1537+BG1537)/2,MAX((CL1537+BG1537)/2,H1537))))</f>
        <v>0.5</v>
      </c>
      <c r="BF1537" s="62" t="n">
        <f aca="false">BE1537*G1537</f>
        <v>21.835</v>
      </c>
      <c r="BG1537" s="62" t="n">
        <f aca="false">ROUNDUP(CL1537+MAX(CM1537,2*(J1537/IF(CH1537&gt;0,CH1537,MAX(0.1,N(Cockpit!$O$6)))-CL1537)),0)</f>
        <v>1</v>
      </c>
      <c r="BH1537" s="63" t="n">
        <f aca="false">IF(BD1537&gt;0,J1537/BD1537,-1)</f>
        <v>0</v>
      </c>
      <c r="BI1537" s="63" t="n">
        <f aca="false">IF(AND(OR(CG1537="L1",CG1537="L23",CG1537="LIFT"),BD1537&gt;0),SUMIFS($BD$7:$BD$1843,$CG$7:$CG$1843,CG1537,$BH$7:$BH$1843,"&gt;"&amp;BH1537)+SUMIFS($BD$7:$BD$1843,$CG$7:$CG$1843,CG1537,$BH$7:$BH$1843,BH1537,$BX$7:$BX$1843,"&lt;="&amp;BX1537),"")</f>
        <v>30362.0723727779</v>
      </c>
      <c r="BJ1537" s="70" t="n">
        <f aca="false">IF(BI1537="",0,MAX(0,MIN(1,(IF(CG1537="L1",Parameter!$H$5,IF(CG1537="L23",Parameter!$H$6+Parameter!$H$7,Parameter!$H$5+Parameter!$H$6+Parameter!$H$7))-(BI1537-BD1537))/BD1537)))</f>
        <v>1</v>
      </c>
      <c r="BK1537" s="60" t="str">
        <f aca="false">IF(AJ1537&lt;=0,"",IF(CG1537="Aussen","Aussenlager",IF(CG1537="-","Nicht im Lift",IF(AP1537&gt;=1,"Lift",IF(AP1537&lt;=0,"Aussenlager","teilweise")))))</f>
        <v>Lift</v>
      </c>
      <c r="BL1537" s="60" t="str">
        <f aca="false">IF(AT1537&lt;=0,"",IF(CG1537="Aussen","Aussenlager",IF(CG1537="-","Nicht im Lift",IF(AZ1537&gt;=1,"Lift",IF(AZ1537&lt;=0,"Aussenlager","teilweise")))))</f>
        <v>Aussenlager</v>
      </c>
      <c r="BM1537" s="60" t="str">
        <f aca="false">IF(BD1537&lt;=0,"",IF(CG1537="Aussen","Aussenlager",IF(CG1537="-","Nicht im Lift",IF(BJ1537&gt;=1,"Lift",IF(BJ1537&lt;=0,"Aussenlager","teilweise")))))</f>
        <v>Lift</v>
      </c>
      <c r="BN1537" s="60" t="str">
        <f aca="false">IF(A1537="","",IF(BW1537=1,"Neu; ","")&amp;IF(AND(BW1537=0,BR1537&lt;0),"negativer Bestand (Export "&amp;BR1537&amp;"); ","")&amp;IF(J1537&lt;=0,"Kein Verbrauch; ","")&amp;IF(CR1537&gt;0,"Lift "&amp;W1537&amp;" lt. Liftbericht (Fach "&amp;X1537&amp;" Stk); ",IF(CB1537=1,"Gebinde geschätzt ("&amp;T1537&amp;"); ",IF(CA1537=1,"Lose – Tablare geschätzt; ","")))&amp;IF(H1537&gt;AW1537,"Überbestand "&amp;ROUND(H1537-AW1537,0)&amp;" Stk / CHF "&amp;ROUND((H1537-AW1537)*G1537,0)&amp;"; ","")&amp;IF(AND(CI1537=1,CJ1537&lt;CK1537),"MAX &lt; MB+LG; ","")&amp;IF(AND(CQ1537&gt;0,CP1537*10&gt;CQ1537),"zu hoch für Tablar; ","")&amp;IF(AND(BW1537=0,OR(CI1537=1,AB1537&lt;&gt;"",U1537&lt;&gt;"",V1537&lt;&gt;"",AC1537&lt;&gt;"")),"manuell übersteuert; ","")&amp;IF(AND(CA1537=0,R1537=0),"Gebinde unbekannt / Stellmass fehlt; ","")&amp;IF(AND(CA1537=0,N(V1537)&lt;=0,N(Q1537)&lt;=0),"Menge pro Gebinde fehlt (Ist = 1 Gebinde); ","")&amp;BV1537)</f>
        <v>Kein Verbrauch; Überbestand 4 Stk / CHF 175; nur im Artikelstamm (Bestand 23.06.2026)</v>
      </c>
      <c r="BO1537" s="60"/>
      <c r="BP1537" s="60"/>
      <c r="BQ1537" s="67"/>
      <c r="BR1537" s="62" t="n">
        <v>5</v>
      </c>
      <c r="BS1537" s="62" t="n">
        <v>0</v>
      </c>
      <c r="BT1537" s="61" t="n">
        <v>0</v>
      </c>
      <c r="BU1537" s="62" t="n">
        <v>0</v>
      </c>
      <c r="BV1537" s="60" t="s">
        <v>2617</v>
      </c>
      <c r="BW1537" s="65" t="n">
        <v>0</v>
      </c>
      <c r="BX1537" s="65" t="n">
        <v>1537</v>
      </c>
      <c r="BY1537" s="60" t="str">
        <f aca="false">IF(U1537&lt;&gt;"",UPPER(TRIM(U1537)),IF(CB1537=1,UPPER(VLOOKUP(T1537,Parameter!$I$27:$K$29,2,0)),IF(P1537="","LOSE",P1537)))</f>
        <v>S32</v>
      </c>
      <c r="BZ1537" s="62" t="n">
        <f aca="false">IF(BY1537="LOSE",1,IF(N(V1537)&gt;0,V1537,IF(CB1537=1,MAX(1,N(VLOOKUP(T1537,Parameter!$I$27:$K$29,3,0)),H1537,N(N1537)),IF(N(Q1537)&gt;0,Q1537,MAX(1,H1537)))))</f>
        <v>5</v>
      </c>
      <c r="CA1537" s="65" t="n">
        <f aca="false">IF(BY1537="LOSE",1,0)</f>
        <v>0</v>
      </c>
      <c r="CB1537" s="65" t="n">
        <f aca="false">IF(AND(U1537="",OR(P1537="",P1537="LOSE"),T1537&lt;&gt;"",N(S1537)&lt;=0,ISNUMBER(MATCH(T1537,Parameter!$I$27:$I$29,0))),1,0)</f>
        <v>0</v>
      </c>
      <c r="CC1537" s="65" t="n">
        <f aca="false">IF(CR1537&gt;0,INDEX(Parameter!$H$5:$H$7,W1537)/INDEX(Parameter!$E$5:$E$7,W1537),IF(AND(CA1537=0,N(IFERROR(VLOOKUP(BY1537,'Gebinde-Kategorie'!$A$5:$N$45,14,0),0))&gt;0),VLOOKUP(BY1537,'Gebinde-Kategorie'!$A$5:$N$45,14,0)*10+Parameter!$M$23,Parameter!$M$24))</f>
        <v>155</v>
      </c>
      <c r="CD1537" s="60" t="str">
        <f aca="false">IF(AND(Parameter!$B$19="Ja",E1537&lt;&gt;"",ISNUMBER(MATCH(E1537,Parameter!$I$35:$I$52,0))),VLOOKUP(E1537,Parameter!$I$35:$J$52,2,0),IFERROR(VLOOKUP(D1537,Parameter!$A$35:$C$64,2,0),"Nein"))</f>
        <v>2+3</v>
      </c>
      <c r="CE1537" s="64" t="n">
        <f aca="false">IF(CA1537=0,0,IF(N(S1537)&gt;0,S1537,IFERROR(VLOOKUP(D1537,Parameter!$A$35:$C$64,3,0)+0,0)))</f>
        <v>0</v>
      </c>
      <c r="CF1537" s="60" t="n">
        <f aca="false">IF(AB1537&lt;&gt;"",AB1537,AA1537)</f>
        <v>3</v>
      </c>
      <c r="CG1537" s="60" t="str">
        <f aca="false">IF(OR(CF1537=1,CF1537=2,CF1537=3),IF(Parameter!$E$27="Ja","LIFT",IF(CF1537=1,"L1","L23")),IF(CF1537="Aussen","Aussen","-"))</f>
        <v>LIFT</v>
      </c>
      <c r="CH1537" s="71" t="n">
        <f aca="false">IF(N(AC1537)&gt;0,AC1537,0)</f>
        <v>0</v>
      </c>
      <c r="CI1537" s="65" t="n">
        <f aca="false">IF(ISNUMBER(AF1537),1,0)</f>
        <v>0</v>
      </c>
      <c r="CJ1537" s="62" t="n">
        <f aca="false">N(AF1537)</f>
        <v>0</v>
      </c>
      <c r="CK1537" s="62" t="n">
        <f aca="false">N(M1537)+N(N1537)</f>
        <v>1</v>
      </c>
      <c r="CL1537" s="62" t="n">
        <f aca="false">N(M1537)</f>
        <v>0</v>
      </c>
      <c r="CM1537" s="62" t="n">
        <f aca="false">N(N1537)</f>
        <v>1</v>
      </c>
      <c r="CN1537" s="62" t="n">
        <f aca="false">ROUNDUP(H1537/BZ1537,0)</f>
        <v>1</v>
      </c>
      <c r="CO1537" s="62" t="n">
        <f aca="false">ROUNDUP(CJ1537/BZ1537,0)</f>
        <v>0</v>
      </c>
      <c r="CP1537" s="65" t="n">
        <f aca="false">IF(CA1537=1,0,IFERROR(VLOOKUP(BY1537,'Gebinde-Kategorie'!$A$5:$N$45,5,0)+0,0))</f>
        <v>8</v>
      </c>
      <c r="CQ1537" s="65" t="n">
        <f aca="false">IFERROR(IF(OR(CF1537=1,CF1537=2,CF1537=3),N(INDEX(Parameter!$I$5:$I$7,CF1537)),0),0)</f>
        <v>0</v>
      </c>
      <c r="CR1537" s="64" t="n">
        <f aca="false">IF(AND(Parameter!$B$21="Ja",ISNUMBER(W1537),N(X1537)&gt;0),IFERROR(N(INDEX(Parameter!$L$5:$L$7,W1537))*INDEX(Parameter!$E$5:$E$7,W1537)*X1537/SUMIFS($X$7:$X$1843,$W$7:$W$1843,W1537),0),0)</f>
        <v>0</v>
      </c>
      <c r="CS1537" s="62" t="n">
        <f aca="false">IF(AND(OR(CG1537="L1",CG1537="L23",CG1537="LIFT"),H1537&gt;0),CC1537*IF(CR1537&gt;0,CR1537*MAX(1,H1537/X1537),IF(CA1537=1,CE1537,IF(R1537&gt;0,CN1537/R1537,0))/MAX(0.1,N(Parameter!$M$21))),"")</f>
        <v>1.49038461538462</v>
      </c>
      <c r="CT1537" s="64" t="n">
        <f aca="false">IF(CS1537="","",J1537/H1537)</f>
        <v>0</v>
      </c>
      <c r="CU1537" s="62" t="n">
        <f aca="false">IF(CS1537="","",H1537*G1537)</f>
        <v>218.35</v>
      </c>
      <c r="CV1537" s="63" t="n">
        <f aca="false">IF(CS1537="","",(CL1537+ROUNDUP(CL1537+MAX(CM1537,2*(J1537/MAX(0.1,N(Einkauf!$C$6))-CL1537)),0))/2)</f>
        <v>0.5</v>
      </c>
      <c r="CW1537" s="62" t="n">
        <f aca="false">IF(CS1537="","",MAX(0,H1537-CV1537)*G1537)</f>
        <v>196.515</v>
      </c>
      <c r="CX1537" s="62" t="n">
        <f aca="false">IF(CS1537="","",CS1537*MAX(0,1-CV1537/H1537))</f>
        <v>1.34134615384615</v>
      </c>
      <c r="CY1537" s="64" t="n">
        <f aca="false">IF(CS1537="","",PERCENTRANK($CS$7:$CS$1843,CS1537)+PERCENTRANK($CU$7:$CU$1843,CU1537)+1-PERCENTRANK($CT$7:$CT$1843,CT1537))</f>
        <v>1.469</v>
      </c>
      <c r="CZ1537" s="72" t="n">
        <f aca="false">IF(CS1537="","",CHOOSE(MATCH(Einkauf!$C$5,Parameter!$G$23:$G$27,0),CY1537,CS1537,CU1537,-CT1537,CW1537)+ROW()/1000000000)</f>
        <v>1.469001537</v>
      </c>
    </row>
    <row r="1538" customFormat="false" ht="15" hidden="false" customHeight="false" outlineLevel="0" collapsed="false">
      <c r="A1538" s="60" t="s">
        <v>2730</v>
      </c>
      <c r="B1538" s="60" t="s">
        <v>2731</v>
      </c>
      <c r="C1538" s="60" t="s">
        <v>206</v>
      </c>
      <c r="D1538" s="60" t="s">
        <v>226</v>
      </c>
      <c r="E1538" s="60" t="s">
        <v>227</v>
      </c>
      <c r="F1538" s="60"/>
      <c r="G1538" s="61" t="n">
        <v>21</v>
      </c>
      <c r="H1538" s="62" t="n">
        <f aca="false">MAX(0,IF(AND(Parameter!$B$21="Ja",ISNUMBER(Y1538)),Y1538,IF(Parameter!$B$20="Jahresanfang 2025 + Export",BS1538+BR1538,BR1538)))</f>
        <v>9</v>
      </c>
      <c r="I1538" s="62" t="n">
        <f aca="false">H1538*G1538</f>
        <v>189</v>
      </c>
      <c r="J1538" s="62" t="n">
        <f aca="false">BU1538*Parameter!$B$18</f>
        <v>0</v>
      </c>
      <c r="K1538" s="63"/>
      <c r="L1538" s="64"/>
      <c r="M1538" s="62" t="n">
        <v>0</v>
      </c>
      <c r="N1538" s="62" t="n">
        <v>10</v>
      </c>
      <c r="O1538" s="65" t="n">
        <v>35</v>
      </c>
      <c r="P1538" s="60" t="s">
        <v>335</v>
      </c>
      <c r="Q1538" s="62" t="n">
        <v>9</v>
      </c>
      <c r="R1538" s="65" t="n">
        <f aca="false">IF(CA1538=1,0,IFERROR(VLOOKUP(BY1538,'Gebinde-Kategorie'!$A$5:$N$45,13,0)+0,0))</f>
        <v>12</v>
      </c>
      <c r="S1538" s="66"/>
      <c r="T1538" s="67"/>
      <c r="U1538" s="67"/>
      <c r="V1538" s="67"/>
      <c r="W1538" s="60"/>
      <c r="X1538" s="62"/>
      <c r="Y1538" s="62"/>
      <c r="Z1538" s="60" t="n">
        <v>3</v>
      </c>
      <c r="AA1538" s="60" t="n">
        <f aca="false">IF(A1538="","",IF(AND(Parameter!$B$21="Ja",ISNUMBER(W1538)),W1538,IF(AND(Parameter!$E$27="Ja",ISNUMBER(Z1538),CD1538&lt;&gt;"Nein"),Z1538,IF(CD1538="2+3",IF(ISNUMBER(SEARCH("grosser Artikel",BV1538)),2,IFERROR(VLOOKUP(BY1538,Parameter!$F$35:$G$64,2,0),2)),IF(OR(CD1538="Nein",CD1538=""),"-",CD1538)))))</f>
        <v>3</v>
      </c>
      <c r="AB1538" s="67"/>
      <c r="AC1538" s="68"/>
      <c r="AD1538" s="62" t="n">
        <f aca="false">AW1538</f>
        <v>10</v>
      </c>
      <c r="AE1538" s="62" t="n">
        <f aca="false">MAX(AW1538,H1538)</f>
        <v>10</v>
      </c>
      <c r="AF1538" s="69"/>
      <c r="AG1538" s="62" t="n">
        <f aca="false">IF(LEFT(Cockpit!$C$5,1)="A",H1538,IF(Parameter!$E$30="MAX-Bestand",IF(CI1538=1,CJ1538,IF(LEFT(Cockpit!$C$5,1)="B",AM1538,MAX(AM1538,H1538))),ROUNDUP(AK1538,0)))</f>
        <v>9</v>
      </c>
      <c r="AH1538" s="62" t="n">
        <f aca="false">IF(CA1538=1,0,ROUNDUP(AG1538/BZ1538,0))</f>
        <v>1</v>
      </c>
      <c r="AI1538" s="64" t="n">
        <f aca="false">IF(CR1538&gt;0,CR1538*MAX(1,AG1538/X1538),IF(CA1538=1,IF(AG1538&lt;=0,0,CE1538*MAX(1,IF(H1538&gt;0,AG1538/H1538,1))),IF(R1538&gt;0,AH1538/R1538,0))/MAX(0.1,N(Parameter!$M$21)))</f>
        <v>0.0833333333333333</v>
      </c>
      <c r="AJ1538" s="62" t="n">
        <f aca="false">AI1538*CC1538</f>
        <v>20.4166666666667</v>
      </c>
      <c r="AK1538" s="63" t="n">
        <f aca="false">IF(LEFT(Cockpit!$C$5,1)="A",H1538,IF(CI1538=1,(CL1538+CJ1538)/2,IF(LEFT(Cockpit!$C$5,1)="B",(CL1538+AM1538)/2,MAX((CL1538+AM1538)/2,H1538))))</f>
        <v>9</v>
      </c>
      <c r="AL1538" s="62" t="n">
        <f aca="false">AK1538*G1538</f>
        <v>189</v>
      </c>
      <c r="AM1538" s="62" t="n">
        <f aca="false">ROUNDUP(CL1538+MAX(CM1538,2*(J1538/IF(CH1538&gt;0,CH1538,MAX(0.1,N(Cockpit!$C$6)))-CL1538)),0)</f>
        <v>10</v>
      </c>
      <c r="AN1538" s="63" t="n">
        <f aca="false">IF(AJ1538&gt;0,J1538/AJ1538,-1)</f>
        <v>0</v>
      </c>
      <c r="AO1538" s="63" t="n">
        <f aca="false">IF(AND(OR(CG1538="L1",CG1538="L23",CG1538="LIFT"),AJ1538&gt;0),SUMIFS($AJ$7:$AJ$1843,$CG$7:$CG$1843,CG1538,$AN$7:$AN$1843,"&gt;"&amp;AN1538)+SUMIFS($AJ$7:$AJ$1843,$CG$7:$CG$1843,CG1538,$AN$7:$AN$1843,AN1538,$BX$7:$BX$1843,"&lt;="&amp;BX1538),"")</f>
        <v>30124.4412470768</v>
      </c>
      <c r="AP1538" s="70" t="n">
        <f aca="false">IF(AO1538="",0,MAX(0,MIN(1,(IF(CG1538="L1",Parameter!$H$5,IF(CG1538="L23",Parameter!$H$6+Parameter!$H$7,Parameter!$H$5+Parameter!$H$6+Parameter!$H$7))-(AO1538-AJ1538))/AJ1538)))</f>
        <v>1</v>
      </c>
      <c r="AQ1538" s="62" t="n">
        <f aca="false">IF(LEFT(Cockpit!$I$5,1)="A",H1538,IF(Parameter!$E$30="MAX-Bestand",IF(CI1538=1,CJ1538,IF(LEFT(Cockpit!$I$5,1)="B",AW1538,MAX(AW1538,H1538))),ROUNDUP(AU1538,0)))</f>
        <v>9</v>
      </c>
      <c r="AR1538" s="62" t="n">
        <f aca="false">IF(CA1538=1,0,ROUNDUP(AQ1538/BZ1538,0))</f>
        <v>1</v>
      </c>
      <c r="AS1538" s="64" t="n">
        <f aca="false">IF(CR1538&gt;0,CR1538*MAX(1,AQ1538/X1538),IF(CA1538=1,IF(AQ1538&lt;=0,0,CE1538*MAX(1,IF(H1538&gt;0,AQ1538/H1538,1))),IF(R1538&gt;0,AR1538/R1538,0))/MAX(0.1,N(Parameter!$M$21)))</f>
        <v>0.0833333333333333</v>
      </c>
      <c r="AT1538" s="62" t="n">
        <f aca="false">AS1538*CC1538</f>
        <v>20.4166666666667</v>
      </c>
      <c r="AU1538" s="63" t="n">
        <f aca="false">IF(LEFT(Cockpit!$I$5,1)="A",H1538,IF(CI1538=1,(CL1538+CJ1538)/2,IF(LEFT(Cockpit!$I$5,1)="B",(CL1538+AW1538)/2,MAX((CL1538+AW1538)/2,H1538))))</f>
        <v>9</v>
      </c>
      <c r="AV1538" s="62" t="n">
        <f aca="false">AU1538*G1538</f>
        <v>189</v>
      </c>
      <c r="AW1538" s="62" t="n">
        <f aca="false">ROUNDUP(CL1538+MAX(CM1538,2*(J1538/IF(CH1538&gt;0,CH1538,MAX(0.1,N(Cockpit!$I$6)))-CL1538)),0)</f>
        <v>10</v>
      </c>
      <c r="AX1538" s="63" t="n">
        <f aca="false">IF(AT1538&gt;0,J1538/AT1538,-1)</f>
        <v>0</v>
      </c>
      <c r="AY1538" s="63" t="n">
        <f aca="false">IF(AND(OR(CG1538="L1",CG1538="L23",CG1538="LIFT"),AT1538&gt;0),SUMIFS($AT$7:$AT$1843,$CG$7:$CG$1843,CG1538,$AX$7:$AX$1843,"&gt;"&amp;AX1538)+SUMIFS($AT$7:$AT$1843,$CG$7:$CG$1843,CG1538,$AX$7:$AX$1843,AX1538,$BX$7:$BX$1843,"&lt;="&amp;BX1538),"")</f>
        <v>36444.2977639122</v>
      </c>
      <c r="AZ1538" s="70" t="n">
        <f aca="false">IF(AY1538="",0,MAX(0,MIN(1,(IF(CG1538="L1",Parameter!$H$5,IF(CG1538="L23",Parameter!$H$6+Parameter!$H$7,Parameter!$H$5+Parameter!$H$6+Parameter!$H$7))-(AY1538-AT1538))/AT1538)))</f>
        <v>0</v>
      </c>
      <c r="BA1538" s="62" t="n">
        <f aca="false">IF(LEFT(Cockpit!$O$5,1)="A",H1538,IF(Parameter!$E$30="MAX-Bestand",IF(CI1538=1,CJ1538,IF(LEFT(Cockpit!$O$5,1)="B",BG1538,MAX(BG1538,H1538))),ROUNDUP(BE1538,0)))</f>
        <v>5</v>
      </c>
      <c r="BB1538" s="62" t="n">
        <f aca="false">IF(CA1538=1,0,ROUNDUP(BA1538/BZ1538,0))</f>
        <v>1</v>
      </c>
      <c r="BC1538" s="64" t="n">
        <f aca="false">IF(CR1538&gt;0,CR1538*MAX(1,BA1538/X1538),IF(CA1538=1,IF(BA1538&lt;=0,0,CE1538*MAX(1,IF(H1538&gt;0,BA1538/H1538,1))),IF(R1538&gt;0,BB1538/R1538,0))/MAX(0.1,N(Parameter!$M$21)))</f>
        <v>0.0833333333333333</v>
      </c>
      <c r="BD1538" s="62" t="n">
        <f aca="false">BC1538*CC1538</f>
        <v>20.4166666666667</v>
      </c>
      <c r="BE1538" s="63" t="n">
        <f aca="false">IF(LEFT(Cockpit!$O$5,1)="A",H1538,IF(CI1538=1,(CL1538+CJ1538)/2,IF(LEFT(Cockpit!$O$5,1)="B",(CL1538+BG1538)/2,MAX((CL1538+BG1538)/2,H1538))))</f>
        <v>5</v>
      </c>
      <c r="BF1538" s="62" t="n">
        <f aca="false">BE1538*G1538</f>
        <v>105</v>
      </c>
      <c r="BG1538" s="62" t="n">
        <f aca="false">ROUNDUP(CL1538+MAX(CM1538,2*(J1538/IF(CH1538&gt;0,CH1538,MAX(0.1,N(Cockpit!$O$6)))-CL1538)),0)</f>
        <v>10</v>
      </c>
      <c r="BH1538" s="63" t="n">
        <f aca="false">IF(BD1538&gt;0,J1538/BD1538,-1)</f>
        <v>0</v>
      </c>
      <c r="BI1538" s="63" t="n">
        <f aca="false">IF(AND(OR(CG1538="L1",CG1538="L23",CG1538="LIFT"),BD1538&gt;0),SUMIFS($BD$7:$BD$1843,$CG$7:$CG$1843,CG1538,$BH$7:$BH$1843,"&gt;"&amp;BH1538)+SUMIFS($BD$7:$BD$1843,$CG$7:$CG$1843,CG1538,$BH$7:$BH$1843,BH1538,$BX$7:$BX$1843,"&lt;="&amp;BX1538),"")</f>
        <v>30382.4890394445</v>
      </c>
      <c r="BJ1538" s="70" t="n">
        <f aca="false">IF(BI1538="",0,MAX(0,MIN(1,(IF(CG1538="L1",Parameter!$H$5,IF(CG1538="L23",Parameter!$H$6+Parameter!$H$7,Parameter!$H$5+Parameter!$H$6+Parameter!$H$7))-(BI1538-BD1538))/BD1538)))</f>
        <v>1</v>
      </c>
      <c r="BK1538" s="60" t="str">
        <f aca="false">IF(AJ1538&lt;=0,"",IF(CG1538="Aussen","Aussenlager",IF(CG1538="-","Nicht im Lift",IF(AP1538&gt;=1,"Lift",IF(AP1538&lt;=0,"Aussenlager","teilweise")))))</f>
        <v>Lift</v>
      </c>
      <c r="BL1538" s="60" t="str">
        <f aca="false">IF(AT1538&lt;=0,"",IF(CG1538="Aussen","Aussenlager",IF(CG1538="-","Nicht im Lift",IF(AZ1538&gt;=1,"Lift",IF(AZ1538&lt;=0,"Aussenlager","teilweise")))))</f>
        <v>Aussenlager</v>
      </c>
      <c r="BM1538" s="60" t="str">
        <f aca="false">IF(BD1538&lt;=0,"",IF(CG1538="Aussen","Aussenlager",IF(CG1538="-","Nicht im Lift",IF(BJ1538&gt;=1,"Lift",IF(BJ1538&lt;=0,"Aussenlager","teilweise")))))</f>
        <v>Lift</v>
      </c>
      <c r="BN1538" s="60" t="str">
        <f aca="false">IF(A1538="","",IF(BW1538=1,"Neu; ","")&amp;IF(AND(BW1538=0,BR1538&lt;0),"negativer Bestand (Export "&amp;BR1538&amp;"); ","")&amp;IF(J1538&lt;=0,"Kein Verbrauch; ","")&amp;IF(CR1538&gt;0,"Lift "&amp;W1538&amp;" lt. Liftbericht (Fach "&amp;X1538&amp;" Stk); ",IF(CB1538=1,"Gebinde geschätzt ("&amp;T1538&amp;"); ",IF(CA1538=1,"Lose – Tablare geschätzt; ","")))&amp;IF(H1538&gt;AW1538,"Überbestand "&amp;ROUND(H1538-AW1538,0)&amp;" Stk / CHF "&amp;ROUND((H1538-AW1538)*G1538,0)&amp;"; ","")&amp;IF(AND(CI1538=1,CJ1538&lt;CK1538),"MAX &lt; MB+LG; ","")&amp;IF(AND(CQ1538&gt;0,CP1538*10&gt;CQ1538),"zu hoch für Tablar; ","")&amp;IF(AND(BW1538=0,OR(CI1538=1,AB1538&lt;&gt;"",U1538&lt;&gt;"",V1538&lt;&gt;"",AC1538&lt;&gt;"")),"manuell übersteuert; ","")&amp;IF(AND(CA1538=0,R1538=0),"Gebinde unbekannt / Stellmass fehlt; ","")&amp;IF(AND(CA1538=0,N(V1538)&lt;=0,N(Q1538)&lt;=0),"Menge pro Gebinde fehlt (Ist = 1 Gebinde); ","")&amp;BV1538)</f>
        <v>Kein Verbrauch; nur im Artikelstamm (Bestand 23.06.2026); Neu</v>
      </c>
      <c r="BO1538" s="60"/>
      <c r="BP1538" s="60"/>
      <c r="BQ1538" s="67"/>
      <c r="BR1538" s="62" t="n">
        <v>9</v>
      </c>
      <c r="BS1538" s="62" t="n">
        <v>0</v>
      </c>
      <c r="BT1538" s="61" t="n">
        <v>0</v>
      </c>
      <c r="BU1538" s="62" t="n">
        <v>0</v>
      </c>
      <c r="BV1538" s="60" t="s">
        <v>2709</v>
      </c>
      <c r="BW1538" s="65" t="n">
        <v>0</v>
      </c>
      <c r="BX1538" s="65" t="n">
        <v>1538</v>
      </c>
      <c r="BY1538" s="60" t="str">
        <f aca="false">IF(U1538&lt;&gt;"",UPPER(TRIM(U1538)),IF(CB1538=1,UPPER(VLOOKUP(T1538,Parameter!$I$27:$K$29,2,0)),IF(P1538="","LOSE",P1538)))</f>
        <v>S62</v>
      </c>
      <c r="BZ1538" s="62" t="n">
        <f aca="false">IF(BY1538="LOSE",1,IF(N(V1538)&gt;0,V1538,IF(CB1538=1,MAX(1,N(VLOOKUP(T1538,Parameter!$I$27:$K$29,3,0)),H1538,N(N1538)),IF(N(Q1538)&gt;0,Q1538,MAX(1,H1538)))))</f>
        <v>9</v>
      </c>
      <c r="CA1538" s="65" t="n">
        <f aca="false">IF(BY1538="LOSE",1,0)</f>
        <v>0</v>
      </c>
      <c r="CB1538" s="65" t="n">
        <f aca="false">IF(AND(U1538="",OR(P1538="",P1538="LOSE"),T1538&lt;&gt;"",N(S1538)&lt;=0,ISNUMBER(MATCH(T1538,Parameter!$I$27:$I$29,0))),1,0)</f>
        <v>0</v>
      </c>
      <c r="CC1538" s="65" t="n">
        <f aca="false">IF(CR1538&gt;0,INDEX(Parameter!$H$5:$H$7,W1538)/INDEX(Parameter!$E$5:$E$7,W1538),IF(AND(CA1538=0,N(IFERROR(VLOOKUP(BY1538,'Gebinde-Kategorie'!$A$5:$N$45,14,0),0))&gt;0),VLOOKUP(BY1538,'Gebinde-Kategorie'!$A$5:$N$45,14,0)*10+Parameter!$M$23,Parameter!$M$24))</f>
        <v>245</v>
      </c>
      <c r="CD1538" s="60" t="str">
        <f aca="false">IF(AND(Parameter!$B$19="Ja",E1538&lt;&gt;"",ISNUMBER(MATCH(E1538,Parameter!$I$35:$I$52,0))),VLOOKUP(E1538,Parameter!$I$35:$J$52,2,0),IFERROR(VLOOKUP(D1538,Parameter!$A$35:$C$64,2,0),"Nein"))</f>
        <v>2+3</v>
      </c>
      <c r="CE1538" s="64" t="n">
        <f aca="false">IF(CA1538=0,0,IF(N(S1538)&gt;0,S1538,IFERROR(VLOOKUP(D1538,Parameter!$A$35:$C$64,3,0)+0,0)))</f>
        <v>0</v>
      </c>
      <c r="CF1538" s="60" t="n">
        <f aca="false">IF(AB1538&lt;&gt;"",AB1538,AA1538)</f>
        <v>3</v>
      </c>
      <c r="CG1538" s="60" t="str">
        <f aca="false">IF(OR(CF1538=1,CF1538=2,CF1538=3),IF(Parameter!$E$27="Ja","LIFT",IF(CF1538=1,"L1","L23")),IF(CF1538="Aussen","Aussen","-"))</f>
        <v>LIFT</v>
      </c>
      <c r="CH1538" s="71" t="n">
        <f aca="false">IF(N(AC1538)&gt;0,AC1538,0)</f>
        <v>0</v>
      </c>
      <c r="CI1538" s="65" t="n">
        <f aca="false">IF(ISNUMBER(AF1538),1,0)</f>
        <v>0</v>
      </c>
      <c r="CJ1538" s="62" t="n">
        <f aca="false">N(AF1538)</f>
        <v>0</v>
      </c>
      <c r="CK1538" s="62" t="n">
        <f aca="false">N(M1538)+N(N1538)</f>
        <v>10</v>
      </c>
      <c r="CL1538" s="62" t="n">
        <f aca="false">N(M1538)</f>
        <v>0</v>
      </c>
      <c r="CM1538" s="62" t="n">
        <f aca="false">N(N1538)</f>
        <v>10</v>
      </c>
      <c r="CN1538" s="62" t="n">
        <f aca="false">ROUNDUP(H1538/BZ1538,0)</f>
        <v>1</v>
      </c>
      <c r="CO1538" s="62" t="n">
        <f aca="false">ROUNDUP(CJ1538/BZ1538,0)</f>
        <v>0</v>
      </c>
      <c r="CP1538" s="65" t="n">
        <f aca="false">IF(CA1538=1,0,IFERROR(VLOOKUP(BY1538,'Gebinde-Kategorie'!$A$5:$N$45,5,0)+0,0))</f>
        <v>21</v>
      </c>
      <c r="CQ1538" s="65" t="n">
        <f aca="false">IFERROR(IF(OR(CF1538=1,CF1538=2,CF1538=3),N(INDEX(Parameter!$I$5:$I$7,CF1538)),0),0)</f>
        <v>0</v>
      </c>
      <c r="CR1538" s="64" t="n">
        <f aca="false">IF(AND(Parameter!$B$21="Ja",ISNUMBER(W1538),N(X1538)&gt;0),IFERROR(N(INDEX(Parameter!$L$5:$L$7,W1538))*INDEX(Parameter!$E$5:$E$7,W1538)*X1538/SUMIFS($X$7:$X$1843,$W$7:$W$1843,W1538),0),0)</f>
        <v>0</v>
      </c>
      <c r="CS1538" s="62" t="n">
        <f aca="false">IF(AND(OR(CG1538="L1",CG1538="L23",CG1538="LIFT"),H1538&gt;0),CC1538*IF(CR1538&gt;0,CR1538*MAX(1,H1538/X1538),IF(CA1538=1,CE1538,IF(R1538&gt;0,CN1538/R1538,0))/MAX(0.1,N(Parameter!$M$21))),"")</f>
        <v>20.4166666666667</v>
      </c>
      <c r="CT1538" s="64" t="n">
        <f aca="false">IF(CS1538="","",J1538/H1538)</f>
        <v>0</v>
      </c>
      <c r="CU1538" s="62" t="n">
        <f aca="false">IF(CS1538="","",H1538*G1538)</f>
        <v>189</v>
      </c>
      <c r="CV1538" s="63" t="n">
        <f aca="false">IF(CS1538="","",(CL1538+ROUNDUP(CL1538+MAX(CM1538,2*(J1538/MAX(0.1,N(Einkauf!$C$6))-CL1538)),0))/2)</f>
        <v>5</v>
      </c>
      <c r="CW1538" s="62" t="n">
        <f aca="false">IF(CS1538="","",MAX(0,H1538-CV1538)*G1538)</f>
        <v>84</v>
      </c>
      <c r="CX1538" s="62" t="n">
        <f aca="false">IF(CS1538="","",CS1538*MAX(0,1-CV1538/H1538))</f>
        <v>9.07407407407407</v>
      </c>
      <c r="CY1538" s="64" t="n">
        <f aca="false">IF(CS1538="","",PERCENTRANK($CS$7:$CS$1843,CS1538)+PERCENTRANK($CU$7:$CU$1843,CU1538)+1-PERCENTRANK($CT$7:$CT$1843,CT1538))</f>
        <v>2.114</v>
      </c>
      <c r="CZ1538" s="72" t="n">
        <f aca="false">IF(CS1538="","",CHOOSE(MATCH(Einkauf!$C$5,Parameter!$G$23:$G$27,0),CY1538,CS1538,CU1538,-CT1538,CW1538)+ROW()/1000000000)</f>
        <v>2.114001538</v>
      </c>
    </row>
    <row r="1539" customFormat="false" ht="15" hidden="false" customHeight="false" outlineLevel="0" collapsed="false">
      <c r="A1539" s="60" t="s">
        <v>2732</v>
      </c>
      <c r="B1539" s="60" t="s">
        <v>1910</v>
      </c>
      <c r="C1539" s="60" t="s">
        <v>206</v>
      </c>
      <c r="D1539" s="60" t="s">
        <v>226</v>
      </c>
      <c r="E1539" s="60" t="s">
        <v>227</v>
      </c>
      <c r="F1539" s="60"/>
      <c r="G1539" s="61" t="n">
        <v>142.8</v>
      </c>
      <c r="H1539" s="62" t="n">
        <f aca="false">MAX(0,IF(AND(Parameter!$B$21="Ja",ISNUMBER(Y1539)),Y1539,IF(Parameter!$B$20="Jahresanfang 2025 + Export",BS1539+BR1539,BR1539)))</f>
        <v>4</v>
      </c>
      <c r="I1539" s="62" t="n">
        <f aca="false">H1539*G1539</f>
        <v>571.2</v>
      </c>
      <c r="J1539" s="62" t="n">
        <f aca="false">BU1539*Parameter!$B$18</f>
        <v>0</v>
      </c>
      <c r="K1539" s="63"/>
      <c r="L1539" s="64"/>
      <c r="M1539" s="62" t="n">
        <v>0</v>
      </c>
      <c r="N1539" s="62" t="n">
        <v>2</v>
      </c>
      <c r="O1539" s="65" t="n">
        <v>168</v>
      </c>
      <c r="P1539" s="60" t="s">
        <v>370</v>
      </c>
      <c r="Q1539" s="62" t="n">
        <v>4</v>
      </c>
      <c r="R1539" s="65" t="n">
        <f aca="false">IF(CA1539=1,0,IFERROR(VLOOKUP(BY1539,'Gebinde-Kategorie'!$A$5:$N$45,13,0)+0,0))</f>
        <v>52</v>
      </c>
      <c r="S1539" s="66"/>
      <c r="T1539" s="67"/>
      <c r="U1539" s="67"/>
      <c r="V1539" s="67"/>
      <c r="W1539" s="60"/>
      <c r="X1539" s="62"/>
      <c r="Y1539" s="62"/>
      <c r="Z1539" s="60" t="n">
        <v>2</v>
      </c>
      <c r="AA1539" s="60" t="n">
        <f aca="false">IF(A1539="","",IF(AND(Parameter!$B$21="Ja",ISNUMBER(W1539)),W1539,IF(AND(Parameter!$E$27="Ja",ISNUMBER(Z1539),CD1539&lt;&gt;"Nein"),Z1539,IF(CD1539="2+3",IF(ISNUMBER(SEARCH("grosser Artikel",BV1539)),2,IFERROR(VLOOKUP(BY1539,Parameter!$F$35:$G$64,2,0),2)),IF(OR(CD1539="Nein",CD1539=""),"-",CD1539)))))</f>
        <v>2</v>
      </c>
      <c r="AB1539" s="67"/>
      <c r="AC1539" s="68"/>
      <c r="AD1539" s="62" t="n">
        <f aca="false">AW1539</f>
        <v>2</v>
      </c>
      <c r="AE1539" s="62" t="n">
        <f aca="false">MAX(AW1539,H1539)</f>
        <v>4</v>
      </c>
      <c r="AF1539" s="69"/>
      <c r="AG1539" s="62" t="n">
        <f aca="false">IF(LEFT(Cockpit!$C$5,1)="A",H1539,IF(Parameter!$E$30="MAX-Bestand",IF(CI1539=1,CJ1539,IF(LEFT(Cockpit!$C$5,1)="B",AM1539,MAX(AM1539,H1539))),ROUNDUP(AK1539,0)))</f>
        <v>4</v>
      </c>
      <c r="AH1539" s="62" t="n">
        <f aca="false">IF(CA1539=1,0,ROUNDUP(AG1539/BZ1539,0))</f>
        <v>1</v>
      </c>
      <c r="AI1539" s="64" t="n">
        <f aca="false">IF(CR1539&gt;0,CR1539*MAX(1,AG1539/X1539),IF(CA1539=1,IF(AG1539&lt;=0,0,CE1539*MAX(1,IF(H1539&gt;0,AG1539/H1539,1))),IF(R1539&gt;0,AH1539/R1539,0))/MAX(0.1,N(Parameter!$M$21)))</f>
        <v>0.0192307692307692</v>
      </c>
      <c r="AJ1539" s="62" t="n">
        <f aca="false">AI1539*CC1539</f>
        <v>2.98076923076923</v>
      </c>
      <c r="AK1539" s="63" t="n">
        <f aca="false">IF(LEFT(Cockpit!$C$5,1)="A",H1539,IF(CI1539=1,(CL1539+CJ1539)/2,IF(LEFT(Cockpit!$C$5,1)="B",(CL1539+AM1539)/2,MAX((CL1539+AM1539)/2,H1539))))</f>
        <v>4</v>
      </c>
      <c r="AL1539" s="62" t="n">
        <f aca="false">AK1539*G1539</f>
        <v>571.2</v>
      </c>
      <c r="AM1539" s="62" t="n">
        <f aca="false">ROUNDUP(CL1539+MAX(CM1539,2*(J1539/IF(CH1539&gt;0,CH1539,MAX(0.1,N(Cockpit!$C$6)))-CL1539)),0)</f>
        <v>2</v>
      </c>
      <c r="AN1539" s="63" t="n">
        <f aca="false">IF(AJ1539&gt;0,J1539/AJ1539,-1)</f>
        <v>0</v>
      </c>
      <c r="AO1539" s="63" t="n">
        <f aca="false">IF(AND(OR(CG1539="L1",CG1539="L23",CG1539="LIFT"),AJ1539&gt;0),SUMIFS($AJ$7:$AJ$1843,$CG$7:$CG$1843,CG1539,$AN$7:$AN$1843,"&gt;"&amp;AN1539)+SUMIFS($AJ$7:$AJ$1843,$CG$7:$CG$1843,CG1539,$AN$7:$AN$1843,AN1539,$BX$7:$BX$1843,"&lt;="&amp;BX1539),"")</f>
        <v>30127.4220163076</v>
      </c>
      <c r="AP1539" s="70" t="n">
        <f aca="false">IF(AO1539="",0,MAX(0,MIN(1,(IF(CG1539="L1",Parameter!$H$5,IF(CG1539="L23",Parameter!$H$6+Parameter!$H$7,Parameter!$H$5+Parameter!$H$6+Parameter!$H$7))-(AO1539-AJ1539))/AJ1539)))</f>
        <v>1</v>
      </c>
      <c r="AQ1539" s="62" t="n">
        <f aca="false">IF(LEFT(Cockpit!$I$5,1)="A",H1539,IF(Parameter!$E$30="MAX-Bestand",IF(CI1539=1,CJ1539,IF(LEFT(Cockpit!$I$5,1)="B",AW1539,MAX(AW1539,H1539))),ROUNDUP(AU1539,0)))</f>
        <v>4</v>
      </c>
      <c r="AR1539" s="62" t="n">
        <f aca="false">IF(CA1539=1,0,ROUNDUP(AQ1539/BZ1539,0))</f>
        <v>1</v>
      </c>
      <c r="AS1539" s="64" t="n">
        <f aca="false">IF(CR1539&gt;0,CR1539*MAX(1,AQ1539/X1539),IF(CA1539=1,IF(AQ1539&lt;=0,0,CE1539*MAX(1,IF(H1539&gt;0,AQ1539/H1539,1))),IF(R1539&gt;0,AR1539/R1539,0))/MAX(0.1,N(Parameter!$M$21)))</f>
        <v>0.0192307692307692</v>
      </c>
      <c r="AT1539" s="62" t="n">
        <f aca="false">AS1539*CC1539</f>
        <v>2.98076923076923</v>
      </c>
      <c r="AU1539" s="63" t="n">
        <f aca="false">IF(LEFT(Cockpit!$I$5,1)="A",H1539,IF(CI1539=1,(CL1539+CJ1539)/2,IF(LEFT(Cockpit!$I$5,1)="B",(CL1539+AW1539)/2,MAX((CL1539+AW1539)/2,H1539))))</f>
        <v>4</v>
      </c>
      <c r="AV1539" s="62" t="n">
        <f aca="false">AU1539*G1539</f>
        <v>571.2</v>
      </c>
      <c r="AW1539" s="62" t="n">
        <f aca="false">ROUNDUP(CL1539+MAX(CM1539,2*(J1539/IF(CH1539&gt;0,CH1539,MAX(0.1,N(Cockpit!$I$6)))-CL1539)),0)</f>
        <v>2</v>
      </c>
      <c r="AX1539" s="63" t="n">
        <f aca="false">IF(AT1539&gt;0,J1539/AT1539,-1)</f>
        <v>0</v>
      </c>
      <c r="AY1539" s="63" t="n">
        <f aca="false">IF(AND(OR(CG1539="L1",CG1539="L23",CG1539="LIFT"),AT1539&gt;0),SUMIFS($AT$7:$AT$1843,$CG$7:$CG$1843,CG1539,$AX$7:$AX$1843,"&gt;"&amp;AX1539)+SUMIFS($AT$7:$AT$1843,$CG$7:$CG$1843,CG1539,$AX$7:$AX$1843,AX1539,$BX$7:$BX$1843,"&lt;="&amp;BX1539),"")</f>
        <v>36447.2785331429</v>
      </c>
      <c r="AZ1539" s="70" t="n">
        <f aca="false">IF(AY1539="",0,MAX(0,MIN(1,(IF(CG1539="L1",Parameter!$H$5,IF(CG1539="L23",Parameter!$H$6+Parameter!$H$7,Parameter!$H$5+Parameter!$H$6+Parameter!$H$7))-(AY1539-AT1539))/AT1539)))</f>
        <v>0</v>
      </c>
      <c r="BA1539" s="62" t="n">
        <f aca="false">IF(LEFT(Cockpit!$O$5,1)="A",H1539,IF(Parameter!$E$30="MAX-Bestand",IF(CI1539=1,CJ1539,IF(LEFT(Cockpit!$O$5,1)="B",BG1539,MAX(BG1539,H1539))),ROUNDUP(BE1539,0)))</f>
        <v>1</v>
      </c>
      <c r="BB1539" s="62" t="n">
        <f aca="false">IF(CA1539=1,0,ROUNDUP(BA1539/BZ1539,0))</f>
        <v>1</v>
      </c>
      <c r="BC1539" s="64" t="n">
        <f aca="false">IF(CR1539&gt;0,CR1539*MAX(1,BA1539/X1539),IF(CA1539=1,IF(BA1539&lt;=0,0,CE1539*MAX(1,IF(H1539&gt;0,BA1539/H1539,1))),IF(R1539&gt;0,BB1539/R1539,0))/MAX(0.1,N(Parameter!$M$21)))</f>
        <v>0.0192307692307692</v>
      </c>
      <c r="BD1539" s="62" t="n">
        <f aca="false">BC1539*CC1539</f>
        <v>2.98076923076923</v>
      </c>
      <c r="BE1539" s="63" t="n">
        <f aca="false">IF(LEFT(Cockpit!$O$5,1)="A",H1539,IF(CI1539=1,(CL1539+CJ1539)/2,IF(LEFT(Cockpit!$O$5,1)="B",(CL1539+BG1539)/2,MAX((CL1539+BG1539)/2,H1539))))</f>
        <v>1</v>
      </c>
      <c r="BF1539" s="62" t="n">
        <f aca="false">BE1539*G1539</f>
        <v>142.8</v>
      </c>
      <c r="BG1539" s="62" t="n">
        <f aca="false">ROUNDUP(CL1539+MAX(CM1539,2*(J1539/IF(CH1539&gt;0,CH1539,MAX(0.1,N(Cockpit!$O$6)))-CL1539)),0)</f>
        <v>2</v>
      </c>
      <c r="BH1539" s="63" t="n">
        <f aca="false">IF(BD1539&gt;0,J1539/BD1539,-1)</f>
        <v>0</v>
      </c>
      <c r="BI1539" s="63" t="n">
        <f aca="false">IF(AND(OR(CG1539="L1",CG1539="L23",CG1539="LIFT"),BD1539&gt;0),SUMIFS($BD$7:$BD$1843,$CG$7:$CG$1843,CG1539,$BH$7:$BH$1843,"&gt;"&amp;BH1539)+SUMIFS($BD$7:$BD$1843,$CG$7:$CG$1843,CG1539,$BH$7:$BH$1843,BH1539,$BX$7:$BX$1843,"&lt;="&amp;BX1539),"")</f>
        <v>30385.4698086753</v>
      </c>
      <c r="BJ1539" s="70" t="n">
        <f aca="false">IF(BI1539="",0,MAX(0,MIN(1,(IF(CG1539="L1",Parameter!$H$5,IF(CG1539="L23",Parameter!$H$6+Parameter!$H$7,Parameter!$H$5+Parameter!$H$6+Parameter!$H$7))-(BI1539-BD1539))/BD1539)))</f>
        <v>1</v>
      </c>
      <c r="BK1539" s="60" t="str">
        <f aca="false">IF(AJ1539&lt;=0,"",IF(CG1539="Aussen","Aussenlager",IF(CG1539="-","Nicht im Lift",IF(AP1539&gt;=1,"Lift",IF(AP1539&lt;=0,"Aussenlager","teilweise")))))</f>
        <v>Lift</v>
      </c>
      <c r="BL1539" s="60" t="str">
        <f aca="false">IF(AT1539&lt;=0,"",IF(CG1539="Aussen","Aussenlager",IF(CG1539="-","Nicht im Lift",IF(AZ1539&gt;=1,"Lift",IF(AZ1539&lt;=0,"Aussenlager","teilweise")))))</f>
        <v>Aussenlager</v>
      </c>
      <c r="BM1539" s="60" t="str">
        <f aca="false">IF(BD1539&lt;=0,"",IF(CG1539="Aussen","Aussenlager",IF(CG1539="-","Nicht im Lift",IF(BJ1539&gt;=1,"Lift",IF(BJ1539&lt;=0,"Aussenlager","teilweise")))))</f>
        <v>Lift</v>
      </c>
      <c r="BN1539" s="60" t="str">
        <f aca="false">IF(A1539="","",IF(BW1539=1,"Neu; ","")&amp;IF(AND(BW1539=0,BR1539&lt;0),"negativer Bestand (Export "&amp;BR1539&amp;"); ","")&amp;IF(J1539&lt;=0,"Kein Verbrauch; ","")&amp;IF(CR1539&gt;0,"Lift "&amp;W1539&amp;" lt. Liftbericht (Fach "&amp;X1539&amp;" Stk); ",IF(CB1539=1,"Gebinde geschätzt ("&amp;T1539&amp;"); ",IF(CA1539=1,"Lose – Tablare geschätzt; ","")))&amp;IF(H1539&gt;AW1539,"Überbestand "&amp;ROUND(H1539-AW1539,0)&amp;" Stk / CHF "&amp;ROUND((H1539-AW1539)*G1539,0)&amp;"; ","")&amp;IF(AND(CI1539=1,CJ1539&lt;CK1539),"MAX &lt; MB+LG; ","")&amp;IF(AND(CQ1539&gt;0,CP1539*10&gt;CQ1539),"zu hoch für Tablar; ","")&amp;IF(AND(BW1539=0,OR(CI1539=1,AB1539&lt;&gt;"",U1539&lt;&gt;"",V1539&lt;&gt;"",AC1539&lt;&gt;"")),"manuell übersteuert; ","")&amp;IF(AND(CA1539=0,R1539=0),"Gebinde unbekannt / Stellmass fehlt; ","")&amp;IF(AND(CA1539=0,N(V1539)&lt;=0,N(Q1539)&lt;=0),"Menge pro Gebinde fehlt (Ist = 1 Gebinde); ","")&amp;BV1539)</f>
        <v>Kein Verbrauch; Überbestand 2 Stk / CHF 286; nur im Artikelstamm (Bestand 23.06.2026)</v>
      </c>
      <c r="BO1539" s="60"/>
      <c r="BP1539" s="60"/>
      <c r="BQ1539" s="67"/>
      <c r="BR1539" s="62" t="n">
        <v>4</v>
      </c>
      <c r="BS1539" s="62" t="n">
        <v>0</v>
      </c>
      <c r="BT1539" s="61" t="n">
        <v>0</v>
      </c>
      <c r="BU1539" s="62" t="n">
        <v>0</v>
      </c>
      <c r="BV1539" s="60" t="s">
        <v>2617</v>
      </c>
      <c r="BW1539" s="65" t="n">
        <v>0</v>
      </c>
      <c r="BX1539" s="65" t="n">
        <v>1539</v>
      </c>
      <c r="BY1539" s="60" t="str">
        <f aca="false">IF(U1539&lt;&gt;"",UPPER(TRIM(U1539)),IF(CB1539=1,UPPER(VLOOKUP(T1539,Parameter!$I$27:$K$29,2,0)),IF(P1539="","LOSE",P1539)))</f>
        <v>S41</v>
      </c>
      <c r="BZ1539" s="62" t="n">
        <f aca="false">IF(BY1539="LOSE",1,IF(N(V1539)&gt;0,V1539,IF(CB1539=1,MAX(1,N(VLOOKUP(T1539,Parameter!$I$27:$K$29,3,0)),H1539,N(N1539)),IF(N(Q1539)&gt;0,Q1539,MAX(1,H1539)))))</f>
        <v>4</v>
      </c>
      <c r="CA1539" s="65" t="n">
        <f aca="false">IF(BY1539="LOSE",1,0)</f>
        <v>0</v>
      </c>
      <c r="CB1539" s="65" t="n">
        <f aca="false">IF(AND(U1539="",OR(P1539="",P1539="LOSE"),T1539&lt;&gt;"",N(S1539)&lt;=0,ISNUMBER(MATCH(T1539,Parameter!$I$27:$I$29,0))),1,0)</f>
        <v>0</v>
      </c>
      <c r="CC1539" s="65" t="n">
        <f aca="false">IF(CR1539&gt;0,INDEX(Parameter!$H$5:$H$7,W1539)/INDEX(Parameter!$E$5:$E$7,W1539),IF(AND(CA1539=0,N(IFERROR(VLOOKUP(BY1539,'Gebinde-Kategorie'!$A$5:$N$45,14,0),0))&gt;0),VLOOKUP(BY1539,'Gebinde-Kategorie'!$A$5:$N$45,14,0)*10+Parameter!$M$23,Parameter!$M$24))</f>
        <v>155</v>
      </c>
      <c r="CD1539" s="60" t="str">
        <f aca="false">IF(AND(Parameter!$B$19="Ja",E1539&lt;&gt;"",ISNUMBER(MATCH(E1539,Parameter!$I$35:$I$52,0))),VLOOKUP(E1539,Parameter!$I$35:$J$52,2,0),IFERROR(VLOOKUP(D1539,Parameter!$A$35:$C$64,2,0),"Nein"))</f>
        <v>2+3</v>
      </c>
      <c r="CE1539" s="64" t="n">
        <f aca="false">IF(CA1539=0,0,IF(N(S1539)&gt;0,S1539,IFERROR(VLOOKUP(D1539,Parameter!$A$35:$C$64,3,0)+0,0)))</f>
        <v>0</v>
      </c>
      <c r="CF1539" s="60" t="n">
        <f aca="false">IF(AB1539&lt;&gt;"",AB1539,AA1539)</f>
        <v>2</v>
      </c>
      <c r="CG1539" s="60" t="str">
        <f aca="false">IF(OR(CF1539=1,CF1539=2,CF1539=3),IF(Parameter!$E$27="Ja","LIFT",IF(CF1539=1,"L1","L23")),IF(CF1539="Aussen","Aussen","-"))</f>
        <v>LIFT</v>
      </c>
      <c r="CH1539" s="71" t="n">
        <f aca="false">IF(N(AC1539)&gt;0,AC1539,0)</f>
        <v>0</v>
      </c>
      <c r="CI1539" s="65" t="n">
        <f aca="false">IF(ISNUMBER(AF1539),1,0)</f>
        <v>0</v>
      </c>
      <c r="CJ1539" s="62" t="n">
        <f aca="false">N(AF1539)</f>
        <v>0</v>
      </c>
      <c r="CK1539" s="62" t="n">
        <f aca="false">N(M1539)+N(N1539)</f>
        <v>2</v>
      </c>
      <c r="CL1539" s="62" t="n">
        <f aca="false">N(M1539)</f>
        <v>0</v>
      </c>
      <c r="CM1539" s="62" t="n">
        <f aca="false">N(N1539)</f>
        <v>2</v>
      </c>
      <c r="CN1539" s="62" t="n">
        <f aca="false">ROUNDUP(H1539/BZ1539,0)</f>
        <v>1</v>
      </c>
      <c r="CO1539" s="62" t="n">
        <f aca="false">ROUNDUP(CJ1539/BZ1539,0)</f>
        <v>0</v>
      </c>
      <c r="CP1539" s="65" t="n">
        <f aca="false">IF(CA1539=1,0,IFERROR(VLOOKUP(BY1539,'Gebinde-Kategorie'!$A$5:$N$45,5,0)+0,0))</f>
        <v>11</v>
      </c>
      <c r="CQ1539" s="65" t="n">
        <f aca="false">IFERROR(IF(OR(CF1539=1,CF1539=2,CF1539=3),N(INDEX(Parameter!$I$5:$I$7,CF1539)),0),0)</f>
        <v>0</v>
      </c>
      <c r="CR1539" s="64" t="n">
        <f aca="false">IF(AND(Parameter!$B$21="Ja",ISNUMBER(W1539),N(X1539)&gt;0),IFERROR(N(INDEX(Parameter!$L$5:$L$7,W1539))*INDEX(Parameter!$E$5:$E$7,W1539)*X1539/SUMIFS($X$7:$X$1843,$W$7:$W$1843,W1539),0),0)</f>
        <v>0</v>
      </c>
      <c r="CS1539" s="62" t="n">
        <f aca="false">IF(AND(OR(CG1539="L1",CG1539="L23",CG1539="LIFT"),H1539&gt;0),CC1539*IF(CR1539&gt;0,CR1539*MAX(1,H1539/X1539),IF(CA1539=1,CE1539,IF(R1539&gt;0,CN1539/R1539,0))/MAX(0.1,N(Parameter!$M$21))),"")</f>
        <v>2.98076923076923</v>
      </c>
      <c r="CT1539" s="64" t="n">
        <f aca="false">IF(CS1539="","",J1539/H1539)</f>
        <v>0</v>
      </c>
      <c r="CU1539" s="62" t="n">
        <f aca="false">IF(CS1539="","",H1539*G1539)</f>
        <v>571.2</v>
      </c>
      <c r="CV1539" s="63" t="n">
        <f aca="false">IF(CS1539="","",(CL1539+ROUNDUP(CL1539+MAX(CM1539,2*(J1539/MAX(0.1,N(Einkauf!$C$6))-CL1539)),0))/2)</f>
        <v>1</v>
      </c>
      <c r="CW1539" s="62" t="n">
        <f aca="false">IF(CS1539="","",MAX(0,H1539-CV1539)*G1539)</f>
        <v>428.4</v>
      </c>
      <c r="CX1539" s="62" t="n">
        <f aca="false">IF(CS1539="","",CS1539*MAX(0,1-CV1539/H1539))</f>
        <v>2.23557692307692</v>
      </c>
      <c r="CY1539" s="64" t="n">
        <f aca="false">IF(CS1539="","",PERCENTRANK($CS$7:$CS$1843,CS1539)+PERCENTRANK($CU$7:$CU$1843,CU1539)+1-PERCENTRANK($CT$7:$CT$1843,CT1539))</f>
        <v>1.751</v>
      </c>
      <c r="CZ1539" s="72" t="n">
        <f aca="false">IF(CS1539="","",CHOOSE(MATCH(Einkauf!$C$5,Parameter!$G$23:$G$27,0),CY1539,CS1539,CU1539,-CT1539,CW1539)+ROW()/1000000000)</f>
        <v>1.751001539</v>
      </c>
    </row>
    <row r="1540" customFormat="false" ht="15" hidden="false" customHeight="false" outlineLevel="0" collapsed="false">
      <c r="A1540" s="60" t="s">
        <v>2733</v>
      </c>
      <c r="B1540" s="60" t="s">
        <v>2734</v>
      </c>
      <c r="C1540" s="60" t="s">
        <v>206</v>
      </c>
      <c r="D1540" s="60" t="s">
        <v>226</v>
      </c>
      <c r="E1540" s="60" t="s">
        <v>227</v>
      </c>
      <c r="F1540" s="60"/>
      <c r="G1540" s="61" t="n">
        <v>94.81</v>
      </c>
      <c r="H1540" s="62" t="n">
        <f aca="false">MAX(0,IF(AND(Parameter!$B$21="Ja",ISNUMBER(Y1540)),Y1540,IF(Parameter!$B$20="Jahresanfang 2025 + Export",BS1540+BR1540,BR1540)))</f>
        <v>4</v>
      </c>
      <c r="I1540" s="62" t="n">
        <f aca="false">H1540*G1540</f>
        <v>379.24</v>
      </c>
      <c r="J1540" s="62" t="n">
        <f aca="false">BU1540*Parameter!$B$18</f>
        <v>0</v>
      </c>
      <c r="K1540" s="63"/>
      <c r="L1540" s="64"/>
      <c r="M1540" s="62" t="n">
        <v>0</v>
      </c>
      <c r="N1540" s="62" t="n">
        <v>2</v>
      </c>
      <c r="O1540" s="65" t="n">
        <v>91</v>
      </c>
      <c r="P1540" s="60" t="s">
        <v>370</v>
      </c>
      <c r="Q1540" s="62" t="n">
        <v>4</v>
      </c>
      <c r="R1540" s="65" t="n">
        <f aca="false">IF(CA1540=1,0,IFERROR(VLOOKUP(BY1540,'Gebinde-Kategorie'!$A$5:$N$45,13,0)+0,0))</f>
        <v>52</v>
      </c>
      <c r="S1540" s="66"/>
      <c r="T1540" s="67"/>
      <c r="U1540" s="67"/>
      <c r="V1540" s="67"/>
      <c r="W1540" s="60"/>
      <c r="X1540" s="62"/>
      <c r="Y1540" s="62"/>
      <c r="Z1540" s="60" t="n">
        <v>2</v>
      </c>
      <c r="AA1540" s="60" t="n">
        <f aca="false">IF(A1540="","",IF(AND(Parameter!$B$21="Ja",ISNUMBER(W1540)),W1540,IF(AND(Parameter!$E$27="Ja",ISNUMBER(Z1540),CD1540&lt;&gt;"Nein"),Z1540,IF(CD1540="2+3",IF(ISNUMBER(SEARCH("grosser Artikel",BV1540)),2,IFERROR(VLOOKUP(BY1540,Parameter!$F$35:$G$64,2,0),2)),IF(OR(CD1540="Nein",CD1540=""),"-",CD1540)))))</f>
        <v>2</v>
      </c>
      <c r="AB1540" s="67"/>
      <c r="AC1540" s="68"/>
      <c r="AD1540" s="62" t="n">
        <f aca="false">AW1540</f>
        <v>2</v>
      </c>
      <c r="AE1540" s="62" t="n">
        <f aca="false">MAX(AW1540,H1540)</f>
        <v>4</v>
      </c>
      <c r="AF1540" s="69"/>
      <c r="AG1540" s="62" t="n">
        <f aca="false">IF(LEFT(Cockpit!$C$5,1)="A",H1540,IF(Parameter!$E$30="MAX-Bestand",IF(CI1540=1,CJ1540,IF(LEFT(Cockpit!$C$5,1)="B",AM1540,MAX(AM1540,H1540))),ROUNDUP(AK1540,0)))</f>
        <v>4</v>
      </c>
      <c r="AH1540" s="62" t="n">
        <f aca="false">IF(CA1540=1,0,ROUNDUP(AG1540/BZ1540,0))</f>
        <v>1</v>
      </c>
      <c r="AI1540" s="64" t="n">
        <f aca="false">IF(CR1540&gt;0,CR1540*MAX(1,AG1540/X1540),IF(CA1540=1,IF(AG1540&lt;=0,0,CE1540*MAX(1,IF(H1540&gt;0,AG1540/H1540,1))),IF(R1540&gt;0,AH1540/R1540,0))/MAX(0.1,N(Parameter!$M$21)))</f>
        <v>0.0192307692307692</v>
      </c>
      <c r="AJ1540" s="62" t="n">
        <f aca="false">AI1540*CC1540</f>
        <v>2.98076923076923</v>
      </c>
      <c r="AK1540" s="63" t="n">
        <f aca="false">IF(LEFT(Cockpit!$C$5,1)="A",H1540,IF(CI1540=1,(CL1540+CJ1540)/2,IF(LEFT(Cockpit!$C$5,1)="B",(CL1540+AM1540)/2,MAX((CL1540+AM1540)/2,H1540))))</f>
        <v>4</v>
      </c>
      <c r="AL1540" s="62" t="n">
        <f aca="false">AK1540*G1540</f>
        <v>379.24</v>
      </c>
      <c r="AM1540" s="62" t="n">
        <f aca="false">ROUNDUP(CL1540+MAX(CM1540,2*(J1540/IF(CH1540&gt;0,CH1540,MAX(0.1,N(Cockpit!$C$6)))-CL1540)),0)</f>
        <v>2</v>
      </c>
      <c r="AN1540" s="63" t="n">
        <f aca="false">IF(AJ1540&gt;0,J1540/AJ1540,-1)</f>
        <v>0</v>
      </c>
      <c r="AO1540" s="63" t="n">
        <f aca="false">IF(AND(OR(CG1540="L1",CG1540="L23",CG1540="LIFT"),AJ1540&gt;0),SUMIFS($AJ$7:$AJ$1843,$CG$7:$CG$1843,CG1540,$AN$7:$AN$1843,"&gt;"&amp;AN1540)+SUMIFS($AJ$7:$AJ$1843,$CG$7:$CG$1843,CG1540,$AN$7:$AN$1843,AN1540,$BX$7:$BX$1843,"&lt;="&amp;BX1540),"")</f>
        <v>30130.4027855384</v>
      </c>
      <c r="AP1540" s="70" t="n">
        <f aca="false">IF(AO1540="",0,MAX(0,MIN(1,(IF(CG1540="L1",Parameter!$H$5,IF(CG1540="L23",Parameter!$H$6+Parameter!$H$7,Parameter!$H$5+Parameter!$H$6+Parameter!$H$7))-(AO1540-AJ1540))/AJ1540)))</f>
        <v>1</v>
      </c>
      <c r="AQ1540" s="62" t="n">
        <f aca="false">IF(LEFT(Cockpit!$I$5,1)="A",H1540,IF(Parameter!$E$30="MAX-Bestand",IF(CI1540=1,CJ1540,IF(LEFT(Cockpit!$I$5,1)="B",AW1540,MAX(AW1540,H1540))),ROUNDUP(AU1540,0)))</f>
        <v>4</v>
      </c>
      <c r="AR1540" s="62" t="n">
        <f aca="false">IF(CA1540=1,0,ROUNDUP(AQ1540/BZ1540,0))</f>
        <v>1</v>
      </c>
      <c r="AS1540" s="64" t="n">
        <f aca="false">IF(CR1540&gt;0,CR1540*MAX(1,AQ1540/X1540),IF(CA1540=1,IF(AQ1540&lt;=0,0,CE1540*MAX(1,IF(H1540&gt;0,AQ1540/H1540,1))),IF(R1540&gt;0,AR1540/R1540,0))/MAX(0.1,N(Parameter!$M$21)))</f>
        <v>0.0192307692307692</v>
      </c>
      <c r="AT1540" s="62" t="n">
        <f aca="false">AS1540*CC1540</f>
        <v>2.98076923076923</v>
      </c>
      <c r="AU1540" s="63" t="n">
        <f aca="false">IF(LEFT(Cockpit!$I$5,1)="A",H1540,IF(CI1540=1,(CL1540+CJ1540)/2,IF(LEFT(Cockpit!$I$5,1)="B",(CL1540+AW1540)/2,MAX((CL1540+AW1540)/2,H1540))))</f>
        <v>4</v>
      </c>
      <c r="AV1540" s="62" t="n">
        <f aca="false">AU1540*G1540</f>
        <v>379.24</v>
      </c>
      <c r="AW1540" s="62" t="n">
        <f aca="false">ROUNDUP(CL1540+MAX(CM1540,2*(J1540/IF(CH1540&gt;0,CH1540,MAX(0.1,N(Cockpit!$I$6)))-CL1540)),0)</f>
        <v>2</v>
      </c>
      <c r="AX1540" s="63" t="n">
        <f aca="false">IF(AT1540&gt;0,J1540/AT1540,-1)</f>
        <v>0</v>
      </c>
      <c r="AY1540" s="63" t="n">
        <f aca="false">IF(AND(OR(CG1540="L1",CG1540="L23",CG1540="LIFT"),AT1540&gt;0),SUMIFS($AT$7:$AT$1843,$CG$7:$CG$1843,CG1540,$AX$7:$AX$1843,"&gt;"&amp;AX1540)+SUMIFS($AT$7:$AT$1843,$CG$7:$CG$1843,CG1540,$AX$7:$AX$1843,AX1540,$BX$7:$BX$1843,"&lt;="&amp;BX1540),"")</f>
        <v>36450.2593023737</v>
      </c>
      <c r="AZ1540" s="70" t="n">
        <f aca="false">IF(AY1540="",0,MAX(0,MIN(1,(IF(CG1540="L1",Parameter!$H$5,IF(CG1540="L23",Parameter!$H$6+Parameter!$H$7,Parameter!$H$5+Parameter!$H$6+Parameter!$H$7))-(AY1540-AT1540))/AT1540)))</f>
        <v>0</v>
      </c>
      <c r="BA1540" s="62" t="n">
        <f aca="false">IF(LEFT(Cockpit!$O$5,1)="A",H1540,IF(Parameter!$E$30="MAX-Bestand",IF(CI1540=1,CJ1540,IF(LEFT(Cockpit!$O$5,1)="B",BG1540,MAX(BG1540,H1540))),ROUNDUP(BE1540,0)))</f>
        <v>1</v>
      </c>
      <c r="BB1540" s="62" t="n">
        <f aca="false">IF(CA1540=1,0,ROUNDUP(BA1540/BZ1540,0))</f>
        <v>1</v>
      </c>
      <c r="BC1540" s="64" t="n">
        <f aca="false">IF(CR1540&gt;0,CR1540*MAX(1,BA1540/X1540),IF(CA1540=1,IF(BA1540&lt;=0,0,CE1540*MAX(1,IF(H1540&gt;0,BA1540/H1540,1))),IF(R1540&gt;0,BB1540/R1540,0))/MAX(0.1,N(Parameter!$M$21)))</f>
        <v>0.0192307692307692</v>
      </c>
      <c r="BD1540" s="62" t="n">
        <f aca="false">BC1540*CC1540</f>
        <v>2.98076923076923</v>
      </c>
      <c r="BE1540" s="63" t="n">
        <f aca="false">IF(LEFT(Cockpit!$O$5,1)="A",H1540,IF(CI1540=1,(CL1540+CJ1540)/2,IF(LEFT(Cockpit!$O$5,1)="B",(CL1540+BG1540)/2,MAX((CL1540+BG1540)/2,H1540))))</f>
        <v>1</v>
      </c>
      <c r="BF1540" s="62" t="n">
        <f aca="false">BE1540*G1540</f>
        <v>94.81</v>
      </c>
      <c r="BG1540" s="62" t="n">
        <f aca="false">ROUNDUP(CL1540+MAX(CM1540,2*(J1540/IF(CH1540&gt;0,CH1540,MAX(0.1,N(Cockpit!$O$6)))-CL1540)),0)</f>
        <v>2</v>
      </c>
      <c r="BH1540" s="63" t="n">
        <f aca="false">IF(BD1540&gt;0,J1540/BD1540,-1)</f>
        <v>0</v>
      </c>
      <c r="BI1540" s="63" t="n">
        <f aca="false">IF(AND(OR(CG1540="L1",CG1540="L23",CG1540="LIFT"),BD1540&gt;0),SUMIFS($BD$7:$BD$1843,$CG$7:$CG$1843,CG1540,$BH$7:$BH$1843,"&gt;"&amp;BH1540)+SUMIFS($BD$7:$BD$1843,$CG$7:$CG$1843,CG1540,$BH$7:$BH$1843,BH1540,$BX$7:$BX$1843,"&lt;="&amp;BX1540),"")</f>
        <v>30388.4505779061</v>
      </c>
      <c r="BJ1540" s="70" t="n">
        <f aca="false">IF(BI1540="",0,MAX(0,MIN(1,(IF(CG1540="L1",Parameter!$H$5,IF(CG1540="L23",Parameter!$H$6+Parameter!$H$7,Parameter!$H$5+Parameter!$H$6+Parameter!$H$7))-(BI1540-BD1540))/BD1540)))</f>
        <v>1</v>
      </c>
      <c r="BK1540" s="60" t="str">
        <f aca="false">IF(AJ1540&lt;=0,"",IF(CG1540="Aussen","Aussenlager",IF(CG1540="-","Nicht im Lift",IF(AP1540&gt;=1,"Lift",IF(AP1540&lt;=0,"Aussenlager","teilweise")))))</f>
        <v>Lift</v>
      </c>
      <c r="BL1540" s="60" t="str">
        <f aca="false">IF(AT1540&lt;=0,"",IF(CG1540="Aussen","Aussenlager",IF(CG1540="-","Nicht im Lift",IF(AZ1540&gt;=1,"Lift",IF(AZ1540&lt;=0,"Aussenlager","teilweise")))))</f>
        <v>Aussenlager</v>
      </c>
      <c r="BM1540" s="60" t="str">
        <f aca="false">IF(BD1540&lt;=0,"",IF(CG1540="Aussen","Aussenlager",IF(CG1540="-","Nicht im Lift",IF(BJ1540&gt;=1,"Lift",IF(BJ1540&lt;=0,"Aussenlager","teilweise")))))</f>
        <v>Lift</v>
      </c>
      <c r="BN1540" s="60" t="str">
        <f aca="false">IF(A1540="","",IF(BW1540=1,"Neu; ","")&amp;IF(AND(BW1540=0,BR1540&lt;0),"negativer Bestand (Export "&amp;BR1540&amp;"); ","")&amp;IF(J1540&lt;=0,"Kein Verbrauch; ","")&amp;IF(CR1540&gt;0,"Lift "&amp;W1540&amp;" lt. Liftbericht (Fach "&amp;X1540&amp;" Stk); ",IF(CB1540=1,"Gebinde geschätzt ("&amp;T1540&amp;"); ",IF(CA1540=1,"Lose – Tablare geschätzt; ","")))&amp;IF(H1540&gt;AW1540,"Überbestand "&amp;ROUND(H1540-AW1540,0)&amp;" Stk / CHF "&amp;ROUND((H1540-AW1540)*G1540,0)&amp;"; ","")&amp;IF(AND(CI1540=1,CJ1540&lt;CK1540),"MAX &lt; MB+LG; ","")&amp;IF(AND(CQ1540&gt;0,CP1540*10&gt;CQ1540),"zu hoch für Tablar; ","")&amp;IF(AND(BW1540=0,OR(CI1540=1,AB1540&lt;&gt;"",U1540&lt;&gt;"",V1540&lt;&gt;"",AC1540&lt;&gt;"")),"manuell übersteuert; ","")&amp;IF(AND(CA1540=0,R1540=0),"Gebinde unbekannt / Stellmass fehlt; ","")&amp;IF(AND(CA1540=0,N(V1540)&lt;=0,N(Q1540)&lt;=0),"Menge pro Gebinde fehlt (Ist = 1 Gebinde); ","")&amp;BV1540)</f>
        <v>Kein Verbrauch; Überbestand 2 Stk / CHF 190; nur im Artikelstamm (Bestand 23.06.2026); Neu</v>
      </c>
      <c r="BO1540" s="60"/>
      <c r="BP1540" s="60"/>
      <c r="BQ1540" s="67"/>
      <c r="BR1540" s="62" t="n">
        <v>4</v>
      </c>
      <c r="BS1540" s="62" t="n">
        <v>0</v>
      </c>
      <c r="BT1540" s="61" t="n">
        <v>0</v>
      </c>
      <c r="BU1540" s="62" t="n">
        <v>0</v>
      </c>
      <c r="BV1540" s="60" t="s">
        <v>2709</v>
      </c>
      <c r="BW1540" s="65" t="n">
        <v>0</v>
      </c>
      <c r="BX1540" s="65" t="n">
        <v>1540</v>
      </c>
      <c r="BY1540" s="60" t="str">
        <f aca="false">IF(U1540&lt;&gt;"",UPPER(TRIM(U1540)),IF(CB1540=1,UPPER(VLOOKUP(T1540,Parameter!$I$27:$K$29,2,0)),IF(P1540="","LOSE",P1540)))</f>
        <v>S41</v>
      </c>
      <c r="BZ1540" s="62" t="n">
        <f aca="false">IF(BY1540="LOSE",1,IF(N(V1540)&gt;0,V1540,IF(CB1540=1,MAX(1,N(VLOOKUP(T1540,Parameter!$I$27:$K$29,3,0)),H1540,N(N1540)),IF(N(Q1540)&gt;0,Q1540,MAX(1,H1540)))))</f>
        <v>4</v>
      </c>
      <c r="CA1540" s="65" t="n">
        <f aca="false">IF(BY1540="LOSE",1,0)</f>
        <v>0</v>
      </c>
      <c r="CB1540" s="65" t="n">
        <f aca="false">IF(AND(U1540="",OR(P1540="",P1540="LOSE"),T1540&lt;&gt;"",N(S1540)&lt;=0,ISNUMBER(MATCH(T1540,Parameter!$I$27:$I$29,0))),1,0)</f>
        <v>0</v>
      </c>
      <c r="CC1540" s="65" t="n">
        <f aca="false">IF(CR1540&gt;0,INDEX(Parameter!$H$5:$H$7,W1540)/INDEX(Parameter!$E$5:$E$7,W1540),IF(AND(CA1540=0,N(IFERROR(VLOOKUP(BY1540,'Gebinde-Kategorie'!$A$5:$N$45,14,0),0))&gt;0),VLOOKUP(BY1540,'Gebinde-Kategorie'!$A$5:$N$45,14,0)*10+Parameter!$M$23,Parameter!$M$24))</f>
        <v>155</v>
      </c>
      <c r="CD1540" s="60" t="str">
        <f aca="false">IF(AND(Parameter!$B$19="Ja",E1540&lt;&gt;"",ISNUMBER(MATCH(E1540,Parameter!$I$35:$I$52,0))),VLOOKUP(E1540,Parameter!$I$35:$J$52,2,0),IFERROR(VLOOKUP(D1540,Parameter!$A$35:$C$64,2,0),"Nein"))</f>
        <v>2+3</v>
      </c>
      <c r="CE1540" s="64" t="n">
        <f aca="false">IF(CA1540=0,0,IF(N(S1540)&gt;0,S1540,IFERROR(VLOOKUP(D1540,Parameter!$A$35:$C$64,3,0)+0,0)))</f>
        <v>0</v>
      </c>
      <c r="CF1540" s="60" t="n">
        <f aca="false">IF(AB1540&lt;&gt;"",AB1540,AA1540)</f>
        <v>2</v>
      </c>
      <c r="CG1540" s="60" t="str">
        <f aca="false">IF(OR(CF1540=1,CF1540=2,CF1540=3),IF(Parameter!$E$27="Ja","LIFT",IF(CF1540=1,"L1","L23")),IF(CF1540="Aussen","Aussen","-"))</f>
        <v>LIFT</v>
      </c>
      <c r="CH1540" s="71" t="n">
        <f aca="false">IF(N(AC1540)&gt;0,AC1540,0)</f>
        <v>0</v>
      </c>
      <c r="CI1540" s="65" t="n">
        <f aca="false">IF(ISNUMBER(AF1540),1,0)</f>
        <v>0</v>
      </c>
      <c r="CJ1540" s="62" t="n">
        <f aca="false">N(AF1540)</f>
        <v>0</v>
      </c>
      <c r="CK1540" s="62" t="n">
        <f aca="false">N(M1540)+N(N1540)</f>
        <v>2</v>
      </c>
      <c r="CL1540" s="62" t="n">
        <f aca="false">N(M1540)</f>
        <v>0</v>
      </c>
      <c r="CM1540" s="62" t="n">
        <f aca="false">N(N1540)</f>
        <v>2</v>
      </c>
      <c r="CN1540" s="62" t="n">
        <f aca="false">ROUNDUP(H1540/BZ1540,0)</f>
        <v>1</v>
      </c>
      <c r="CO1540" s="62" t="n">
        <f aca="false">ROUNDUP(CJ1540/BZ1540,0)</f>
        <v>0</v>
      </c>
      <c r="CP1540" s="65" t="n">
        <f aca="false">IF(CA1540=1,0,IFERROR(VLOOKUP(BY1540,'Gebinde-Kategorie'!$A$5:$N$45,5,0)+0,0))</f>
        <v>11</v>
      </c>
      <c r="CQ1540" s="65" t="n">
        <f aca="false">IFERROR(IF(OR(CF1540=1,CF1540=2,CF1540=3),N(INDEX(Parameter!$I$5:$I$7,CF1540)),0),0)</f>
        <v>0</v>
      </c>
      <c r="CR1540" s="64" t="n">
        <f aca="false">IF(AND(Parameter!$B$21="Ja",ISNUMBER(W1540),N(X1540)&gt;0),IFERROR(N(INDEX(Parameter!$L$5:$L$7,W1540))*INDEX(Parameter!$E$5:$E$7,W1540)*X1540/SUMIFS($X$7:$X$1843,$W$7:$W$1843,W1540),0),0)</f>
        <v>0</v>
      </c>
      <c r="CS1540" s="62" t="n">
        <f aca="false">IF(AND(OR(CG1540="L1",CG1540="L23",CG1540="LIFT"),H1540&gt;0),CC1540*IF(CR1540&gt;0,CR1540*MAX(1,H1540/X1540),IF(CA1540=1,CE1540,IF(R1540&gt;0,CN1540/R1540,0))/MAX(0.1,N(Parameter!$M$21))),"")</f>
        <v>2.98076923076923</v>
      </c>
      <c r="CT1540" s="64" t="n">
        <f aca="false">IF(CS1540="","",J1540/H1540)</f>
        <v>0</v>
      </c>
      <c r="CU1540" s="62" t="n">
        <f aca="false">IF(CS1540="","",H1540*G1540)</f>
        <v>379.24</v>
      </c>
      <c r="CV1540" s="63" t="n">
        <f aca="false">IF(CS1540="","",(CL1540+ROUNDUP(CL1540+MAX(CM1540,2*(J1540/MAX(0.1,N(Einkauf!$C$6))-CL1540)),0))/2)</f>
        <v>1</v>
      </c>
      <c r="CW1540" s="62" t="n">
        <f aca="false">IF(CS1540="","",MAX(0,H1540-CV1540)*G1540)</f>
        <v>284.43</v>
      </c>
      <c r="CX1540" s="62" t="n">
        <f aca="false">IF(CS1540="","",CS1540*MAX(0,1-CV1540/H1540))</f>
        <v>2.23557692307692</v>
      </c>
      <c r="CY1540" s="64" t="n">
        <f aca="false">IF(CS1540="","",PERCENTRANK($CS$7:$CS$1843,CS1540)+PERCENTRANK($CU$7:$CU$1843,CU1540)+1-PERCENTRANK($CT$7:$CT$1843,CT1540))</f>
        <v>1.684</v>
      </c>
      <c r="CZ1540" s="72" t="n">
        <f aca="false">IF(CS1540="","",CHOOSE(MATCH(Einkauf!$C$5,Parameter!$G$23:$G$27,0),CY1540,CS1540,CU1540,-CT1540,CW1540)+ROW()/1000000000)</f>
        <v>1.68400154</v>
      </c>
    </row>
    <row r="1541" customFormat="false" ht="15" hidden="false" customHeight="false" outlineLevel="0" collapsed="false">
      <c r="A1541" s="60" t="s">
        <v>2735</v>
      </c>
      <c r="B1541" s="60" t="s">
        <v>2736</v>
      </c>
      <c r="C1541" s="60" t="s">
        <v>206</v>
      </c>
      <c r="D1541" s="60" t="s">
        <v>226</v>
      </c>
      <c r="E1541" s="60" t="s">
        <v>227</v>
      </c>
      <c r="F1541" s="60"/>
      <c r="G1541" s="61" t="n">
        <v>31</v>
      </c>
      <c r="H1541" s="62" t="n">
        <f aca="false">MAX(0,IF(AND(Parameter!$B$21="Ja",ISNUMBER(Y1541)),Y1541,IF(Parameter!$B$20="Jahresanfang 2025 + Export",BS1541+BR1541,BR1541)))</f>
        <v>6</v>
      </c>
      <c r="I1541" s="62" t="n">
        <f aca="false">H1541*G1541</f>
        <v>186</v>
      </c>
      <c r="J1541" s="62" t="n">
        <f aca="false">BU1541*Parameter!$B$18</f>
        <v>0</v>
      </c>
      <c r="K1541" s="63"/>
      <c r="L1541" s="64"/>
      <c r="M1541" s="62" t="n">
        <v>0</v>
      </c>
      <c r="N1541" s="62" t="n">
        <v>9</v>
      </c>
      <c r="O1541" s="65" t="n">
        <v>35</v>
      </c>
      <c r="P1541" s="60" t="s">
        <v>463</v>
      </c>
      <c r="Q1541" s="62" t="n">
        <v>6</v>
      </c>
      <c r="R1541" s="65" t="n">
        <f aca="false">IF(CA1541=1,0,IFERROR(VLOOKUP(BY1541,'Gebinde-Kategorie'!$A$5:$N$45,13,0)+0,0))</f>
        <v>104</v>
      </c>
      <c r="S1541" s="66"/>
      <c r="T1541" s="67"/>
      <c r="U1541" s="67"/>
      <c r="V1541" s="67"/>
      <c r="W1541" s="60"/>
      <c r="X1541" s="62"/>
      <c r="Y1541" s="62"/>
      <c r="Z1541" s="60" t="n">
        <v>3</v>
      </c>
      <c r="AA1541" s="60" t="n">
        <f aca="false">IF(A1541="","",IF(AND(Parameter!$B$21="Ja",ISNUMBER(W1541)),W1541,IF(AND(Parameter!$E$27="Ja",ISNUMBER(Z1541),CD1541&lt;&gt;"Nein"),Z1541,IF(CD1541="2+3",IF(ISNUMBER(SEARCH("grosser Artikel",BV1541)),2,IFERROR(VLOOKUP(BY1541,Parameter!$F$35:$G$64,2,0),2)),IF(OR(CD1541="Nein",CD1541=""),"-",CD1541)))))</f>
        <v>3</v>
      </c>
      <c r="AB1541" s="67"/>
      <c r="AC1541" s="68"/>
      <c r="AD1541" s="62" t="n">
        <f aca="false">AW1541</f>
        <v>9</v>
      </c>
      <c r="AE1541" s="62" t="n">
        <f aca="false">MAX(AW1541,H1541)</f>
        <v>9</v>
      </c>
      <c r="AF1541" s="69"/>
      <c r="AG1541" s="62" t="n">
        <f aca="false">IF(LEFT(Cockpit!$C$5,1)="A",H1541,IF(Parameter!$E$30="MAX-Bestand",IF(CI1541=1,CJ1541,IF(LEFT(Cockpit!$C$5,1)="B",AM1541,MAX(AM1541,H1541))),ROUNDUP(AK1541,0)))</f>
        <v>6</v>
      </c>
      <c r="AH1541" s="62" t="n">
        <f aca="false">IF(CA1541=1,0,ROUNDUP(AG1541/BZ1541,0))</f>
        <v>1</v>
      </c>
      <c r="AI1541" s="64" t="n">
        <f aca="false">IF(CR1541&gt;0,CR1541*MAX(1,AG1541/X1541),IF(CA1541=1,IF(AG1541&lt;=0,0,CE1541*MAX(1,IF(H1541&gt;0,AG1541/H1541,1))),IF(R1541&gt;0,AH1541/R1541,0))/MAX(0.1,N(Parameter!$M$21)))</f>
        <v>0.00961538461538462</v>
      </c>
      <c r="AJ1541" s="62" t="n">
        <f aca="false">AI1541*CC1541</f>
        <v>1.49038461538462</v>
      </c>
      <c r="AK1541" s="63" t="n">
        <f aca="false">IF(LEFT(Cockpit!$C$5,1)="A",H1541,IF(CI1541=1,(CL1541+CJ1541)/2,IF(LEFT(Cockpit!$C$5,1)="B",(CL1541+AM1541)/2,MAX((CL1541+AM1541)/2,H1541))))</f>
        <v>6</v>
      </c>
      <c r="AL1541" s="62" t="n">
        <f aca="false">AK1541*G1541</f>
        <v>186</v>
      </c>
      <c r="AM1541" s="62" t="n">
        <f aca="false">ROUNDUP(CL1541+MAX(CM1541,2*(J1541/IF(CH1541&gt;0,CH1541,MAX(0.1,N(Cockpit!$C$6)))-CL1541)),0)</f>
        <v>9</v>
      </c>
      <c r="AN1541" s="63" t="n">
        <f aca="false">IF(AJ1541&gt;0,J1541/AJ1541,-1)</f>
        <v>0</v>
      </c>
      <c r="AO1541" s="63" t="n">
        <f aca="false">IF(AND(OR(CG1541="L1",CG1541="L23",CG1541="LIFT"),AJ1541&gt;0),SUMIFS($AJ$7:$AJ$1843,$CG$7:$CG$1843,CG1541,$AN$7:$AN$1843,"&gt;"&amp;AN1541)+SUMIFS($AJ$7:$AJ$1843,$CG$7:$CG$1843,CG1541,$AN$7:$AN$1843,AN1541,$BX$7:$BX$1843,"&lt;="&amp;BX1541),"")</f>
        <v>30131.8931701538</v>
      </c>
      <c r="AP1541" s="70" t="n">
        <f aca="false">IF(AO1541="",0,MAX(0,MIN(1,(IF(CG1541="L1",Parameter!$H$5,IF(CG1541="L23",Parameter!$H$6+Parameter!$H$7,Parameter!$H$5+Parameter!$H$6+Parameter!$H$7))-(AO1541-AJ1541))/AJ1541)))</f>
        <v>1</v>
      </c>
      <c r="AQ1541" s="62" t="n">
        <f aca="false">IF(LEFT(Cockpit!$I$5,1)="A",H1541,IF(Parameter!$E$30="MAX-Bestand",IF(CI1541=1,CJ1541,IF(LEFT(Cockpit!$I$5,1)="B",AW1541,MAX(AW1541,H1541))),ROUNDUP(AU1541,0)))</f>
        <v>6</v>
      </c>
      <c r="AR1541" s="62" t="n">
        <f aca="false">IF(CA1541=1,0,ROUNDUP(AQ1541/BZ1541,0))</f>
        <v>1</v>
      </c>
      <c r="AS1541" s="64" t="n">
        <f aca="false">IF(CR1541&gt;0,CR1541*MAX(1,AQ1541/X1541),IF(CA1541=1,IF(AQ1541&lt;=0,0,CE1541*MAX(1,IF(H1541&gt;0,AQ1541/H1541,1))),IF(R1541&gt;0,AR1541/R1541,0))/MAX(0.1,N(Parameter!$M$21)))</f>
        <v>0.00961538461538462</v>
      </c>
      <c r="AT1541" s="62" t="n">
        <f aca="false">AS1541*CC1541</f>
        <v>1.49038461538462</v>
      </c>
      <c r="AU1541" s="63" t="n">
        <f aca="false">IF(LEFT(Cockpit!$I$5,1)="A",H1541,IF(CI1541=1,(CL1541+CJ1541)/2,IF(LEFT(Cockpit!$I$5,1)="B",(CL1541+AW1541)/2,MAX((CL1541+AW1541)/2,H1541))))</f>
        <v>6</v>
      </c>
      <c r="AV1541" s="62" t="n">
        <f aca="false">AU1541*G1541</f>
        <v>186</v>
      </c>
      <c r="AW1541" s="62" t="n">
        <f aca="false">ROUNDUP(CL1541+MAX(CM1541,2*(J1541/IF(CH1541&gt;0,CH1541,MAX(0.1,N(Cockpit!$I$6)))-CL1541)),0)</f>
        <v>9</v>
      </c>
      <c r="AX1541" s="63" t="n">
        <f aca="false">IF(AT1541&gt;0,J1541/AT1541,-1)</f>
        <v>0</v>
      </c>
      <c r="AY1541" s="63" t="n">
        <f aca="false">IF(AND(OR(CG1541="L1",CG1541="L23",CG1541="LIFT"),AT1541&gt;0),SUMIFS($AT$7:$AT$1843,$CG$7:$CG$1843,CG1541,$AX$7:$AX$1843,"&gt;"&amp;AX1541)+SUMIFS($AT$7:$AT$1843,$CG$7:$CG$1843,CG1541,$AX$7:$AX$1843,AX1541,$BX$7:$BX$1843,"&lt;="&amp;BX1541),"")</f>
        <v>36451.7496869891</v>
      </c>
      <c r="AZ1541" s="70" t="n">
        <f aca="false">IF(AY1541="",0,MAX(0,MIN(1,(IF(CG1541="L1",Parameter!$H$5,IF(CG1541="L23",Parameter!$H$6+Parameter!$H$7,Parameter!$H$5+Parameter!$H$6+Parameter!$H$7))-(AY1541-AT1541))/AT1541)))</f>
        <v>0</v>
      </c>
      <c r="BA1541" s="62" t="n">
        <f aca="false">IF(LEFT(Cockpit!$O$5,1)="A",H1541,IF(Parameter!$E$30="MAX-Bestand",IF(CI1541=1,CJ1541,IF(LEFT(Cockpit!$O$5,1)="B",BG1541,MAX(BG1541,H1541))),ROUNDUP(BE1541,0)))</f>
        <v>5</v>
      </c>
      <c r="BB1541" s="62" t="n">
        <f aca="false">IF(CA1541=1,0,ROUNDUP(BA1541/BZ1541,0))</f>
        <v>1</v>
      </c>
      <c r="BC1541" s="64" t="n">
        <f aca="false">IF(CR1541&gt;0,CR1541*MAX(1,BA1541/X1541),IF(CA1541=1,IF(BA1541&lt;=0,0,CE1541*MAX(1,IF(H1541&gt;0,BA1541/H1541,1))),IF(R1541&gt;0,BB1541/R1541,0))/MAX(0.1,N(Parameter!$M$21)))</f>
        <v>0.00961538461538462</v>
      </c>
      <c r="BD1541" s="62" t="n">
        <f aca="false">BC1541*CC1541</f>
        <v>1.49038461538462</v>
      </c>
      <c r="BE1541" s="63" t="n">
        <f aca="false">IF(LEFT(Cockpit!$O$5,1)="A",H1541,IF(CI1541=1,(CL1541+CJ1541)/2,IF(LEFT(Cockpit!$O$5,1)="B",(CL1541+BG1541)/2,MAX((CL1541+BG1541)/2,H1541))))</f>
        <v>4.5</v>
      </c>
      <c r="BF1541" s="62" t="n">
        <f aca="false">BE1541*G1541</f>
        <v>139.5</v>
      </c>
      <c r="BG1541" s="62" t="n">
        <f aca="false">ROUNDUP(CL1541+MAX(CM1541,2*(J1541/IF(CH1541&gt;0,CH1541,MAX(0.1,N(Cockpit!$O$6)))-CL1541)),0)</f>
        <v>9</v>
      </c>
      <c r="BH1541" s="63" t="n">
        <f aca="false">IF(BD1541&gt;0,J1541/BD1541,-1)</f>
        <v>0</v>
      </c>
      <c r="BI1541" s="63" t="n">
        <f aca="false">IF(AND(OR(CG1541="L1",CG1541="L23",CG1541="LIFT"),BD1541&gt;0),SUMIFS($BD$7:$BD$1843,$CG$7:$CG$1843,CG1541,$BH$7:$BH$1843,"&gt;"&amp;BH1541)+SUMIFS($BD$7:$BD$1843,$CG$7:$CG$1843,CG1541,$BH$7:$BH$1843,BH1541,$BX$7:$BX$1843,"&lt;="&amp;BX1541),"")</f>
        <v>30389.9409625215</v>
      </c>
      <c r="BJ1541" s="70" t="n">
        <f aca="false">IF(BI1541="",0,MAX(0,MIN(1,(IF(CG1541="L1",Parameter!$H$5,IF(CG1541="L23",Parameter!$H$6+Parameter!$H$7,Parameter!$H$5+Parameter!$H$6+Parameter!$H$7))-(BI1541-BD1541))/BD1541)))</f>
        <v>1</v>
      </c>
      <c r="BK1541" s="60" t="str">
        <f aca="false">IF(AJ1541&lt;=0,"",IF(CG1541="Aussen","Aussenlager",IF(CG1541="-","Nicht im Lift",IF(AP1541&gt;=1,"Lift",IF(AP1541&lt;=0,"Aussenlager","teilweise")))))</f>
        <v>Lift</v>
      </c>
      <c r="BL1541" s="60" t="str">
        <f aca="false">IF(AT1541&lt;=0,"",IF(CG1541="Aussen","Aussenlager",IF(CG1541="-","Nicht im Lift",IF(AZ1541&gt;=1,"Lift",IF(AZ1541&lt;=0,"Aussenlager","teilweise")))))</f>
        <v>Aussenlager</v>
      </c>
      <c r="BM1541" s="60" t="str">
        <f aca="false">IF(BD1541&lt;=0,"",IF(CG1541="Aussen","Aussenlager",IF(CG1541="-","Nicht im Lift",IF(BJ1541&gt;=1,"Lift",IF(BJ1541&lt;=0,"Aussenlager","teilweise")))))</f>
        <v>Lift</v>
      </c>
      <c r="BN1541" s="60" t="str">
        <f aca="false">IF(A1541="","",IF(BW1541=1,"Neu; ","")&amp;IF(AND(BW1541=0,BR1541&lt;0),"negativer Bestand (Export "&amp;BR1541&amp;"); ","")&amp;IF(J1541&lt;=0,"Kein Verbrauch; ","")&amp;IF(CR1541&gt;0,"Lift "&amp;W1541&amp;" lt. Liftbericht (Fach "&amp;X1541&amp;" Stk); ",IF(CB1541=1,"Gebinde geschätzt ("&amp;T1541&amp;"); ",IF(CA1541=1,"Lose – Tablare geschätzt; ","")))&amp;IF(H1541&gt;AW1541,"Überbestand "&amp;ROUND(H1541-AW1541,0)&amp;" Stk / CHF "&amp;ROUND((H1541-AW1541)*G1541,0)&amp;"; ","")&amp;IF(AND(CI1541=1,CJ1541&lt;CK1541),"MAX &lt; MB+LG; ","")&amp;IF(AND(CQ1541&gt;0,CP1541*10&gt;CQ1541),"zu hoch für Tablar; ","")&amp;IF(AND(BW1541=0,OR(CI1541=1,AB1541&lt;&gt;"",U1541&lt;&gt;"",V1541&lt;&gt;"",AC1541&lt;&gt;"")),"manuell übersteuert; ","")&amp;IF(AND(CA1541=0,R1541=0),"Gebinde unbekannt / Stellmass fehlt; ","")&amp;IF(AND(CA1541=0,N(V1541)&lt;=0,N(Q1541)&lt;=0),"Menge pro Gebinde fehlt (Ist = 1 Gebinde); ","")&amp;BV1541)</f>
        <v>Kein Verbrauch; nur im Artikelstamm (Bestand 23.06.2026)</v>
      </c>
      <c r="BO1541" s="60"/>
      <c r="BP1541" s="60"/>
      <c r="BQ1541" s="67"/>
      <c r="BR1541" s="62" t="n">
        <v>6</v>
      </c>
      <c r="BS1541" s="62" t="n">
        <v>0</v>
      </c>
      <c r="BT1541" s="61" t="n">
        <v>0</v>
      </c>
      <c r="BU1541" s="62" t="n">
        <v>0</v>
      </c>
      <c r="BV1541" s="60" t="s">
        <v>2617</v>
      </c>
      <c r="BW1541" s="65" t="n">
        <v>0</v>
      </c>
      <c r="BX1541" s="65" t="n">
        <v>1541</v>
      </c>
      <c r="BY1541" s="60" t="str">
        <f aca="false">IF(U1541&lt;&gt;"",UPPER(TRIM(U1541)),IF(CB1541=1,UPPER(VLOOKUP(T1541,Parameter!$I$27:$K$29,2,0)),IF(P1541="","LOSE",P1541)))</f>
        <v>S32</v>
      </c>
      <c r="BZ1541" s="62" t="n">
        <f aca="false">IF(BY1541="LOSE",1,IF(N(V1541)&gt;0,V1541,IF(CB1541=1,MAX(1,N(VLOOKUP(T1541,Parameter!$I$27:$K$29,3,0)),H1541,N(N1541)),IF(N(Q1541)&gt;0,Q1541,MAX(1,H1541)))))</f>
        <v>6</v>
      </c>
      <c r="CA1541" s="65" t="n">
        <f aca="false">IF(BY1541="LOSE",1,0)</f>
        <v>0</v>
      </c>
      <c r="CB1541" s="65" t="n">
        <f aca="false">IF(AND(U1541="",OR(P1541="",P1541="LOSE"),T1541&lt;&gt;"",N(S1541)&lt;=0,ISNUMBER(MATCH(T1541,Parameter!$I$27:$I$29,0))),1,0)</f>
        <v>0</v>
      </c>
      <c r="CC1541" s="65" t="n">
        <f aca="false">IF(CR1541&gt;0,INDEX(Parameter!$H$5:$H$7,W1541)/INDEX(Parameter!$E$5:$E$7,W1541),IF(AND(CA1541=0,N(IFERROR(VLOOKUP(BY1541,'Gebinde-Kategorie'!$A$5:$N$45,14,0),0))&gt;0),VLOOKUP(BY1541,'Gebinde-Kategorie'!$A$5:$N$45,14,0)*10+Parameter!$M$23,Parameter!$M$24))</f>
        <v>155</v>
      </c>
      <c r="CD1541" s="60" t="str">
        <f aca="false">IF(AND(Parameter!$B$19="Ja",E1541&lt;&gt;"",ISNUMBER(MATCH(E1541,Parameter!$I$35:$I$52,0))),VLOOKUP(E1541,Parameter!$I$35:$J$52,2,0),IFERROR(VLOOKUP(D1541,Parameter!$A$35:$C$64,2,0),"Nein"))</f>
        <v>2+3</v>
      </c>
      <c r="CE1541" s="64" t="n">
        <f aca="false">IF(CA1541=0,0,IF(N(S1541)&gt;0,S1541,IFERROR(VLOOKUP(D1541,Parameter!$A$35:$C$64,3,0)+0,0)))</f>
        <v>0</v>
      </c>
      <c r="CF1541" s="60" t="n">
        <f aca="false">IF(AB1541&lt;&gt;"",AB1541,AA1541)</f>
        <v>3</v>
      </c>
      <c r="CG1541" s="60" t="str">
        <f aca="false">IF(OR(CF1541=1,CF1541=2,CF1541=3),IF(Parameter!$E$27="Ja","LIFT",IF(CF1541=1,"L1","L23")),IF(CF1541="Aussen","Aussen","-"))</f>
        <v>LIFT</v>
      </c>
      <c r="CH1541" s="71" t="n">
        <f aca="false">IF(N(AC1541)&gt;0,AC1541,0)</f>
        <v>0</v>
      </c>
      <c r="CI1541" s="65" t="n">
        <f aca="false">IF(ISNUMBER(AF1541),1,0)</f>
        <v>0</v>
      </c>
      <c r="CJ1541" s="62" t="n">
        <f aca="false">N(AF1541)</f>
        <v>0</v>
      </c>
      <c r="CK1541" s="62" t="n">
        <f aca="false">N(M1541)+N(N1541)</f>
        <v>9</v>
      </c>
      <c r="CL1541" s="62" t="n">
        <f aca="false">N(M1541)</f>
        <v>0</v>
      </c>
      <c r="CM1541" s="62" t="n">
        <f aca="false">N(N1541)</f>
        <v>9</v>
      </c>
      <c r="CN1541" s="62" t="n">
        <f aca="false">ROUNDUP(H1541/BZ1541,0)</f>
        <v>1</v>
      </c>
      <c r="CO1541" s="62" t="n">
        <f aca="false">ROUNDUP(CJ1541/BZ1541,0)</f>
        <v>0</v>
      </c>
      <c r="CP1541" s="65" t="n">
        <f aca="false">IF(CA1541=1,0,IFERROR(VLOOKUP(BY1541,'Gebinde-Kategorie'!$A$5:$N$45,5,0)+0,0))</f>
        <v>8</v>
      </c>
      <c r="CQ1541" s="65" t="n">
        <f aca="false">IFERROR(IF(OR(CF1541=1,CF1541=2,CF1541=3),N(INDEX(Parameter!$I$5:$I$7,CF1541)),0),0)</f>
        <v>0</v>
      </c>
      <c r="CR1541" s="64" t="n">
        <f aca="false">IF(AND(Parameter!$B$21="Ja",ISNUMBER(W1541),N(X1541)&gt;0),IFERROR(N(INDEX(Parameter!$L$5:$L$7,W1541))*INDEX(Parameter!$E$5:$E$7,W1541)*X1541/SUMIFS($X$7:$X$1843,$W$7:$W$1843,W1541),0),0)</f>
        <v>0</v>
      </c>
      <c r="CS1541" s="62" t="n">
        <f aca="false">IF(AND(OR(CG1541="L1",CG1541="L23",CG1541="LIFT"),H1541&gt;0),CC1541*IF(CR1541&gt;0,CR1541*MAX(1,H1541/X1541),IF(CA1541=1,CE1541,IF(R1541&gt;0,CN1541/R1541,0))/MAX(0.1,N(Parameter!$M$21))),"")</f>
        <v>1.49038461538462</v>
      </c>
      <c r="CT1541" s="64" t="n">
        <f aca="false">IF(CS1541="","",J1541/H1541)</f>
        <v>0</v>
      </c>
      <c r="CU1541" s="62" t="n">
        <f aca="false">IF(CS1541="","",H1541*G1541)</f>
        <v>186</v>
      </c>
      <c r="CV1541" s="63" t="n">
        <f aca="false">IF(CS1541="","",(CL1541+ROUNDUP(CL1541+MAX(CM1541,2*(J1541/MAX(0.1,N(Einkauf!$C$6))-CL1541)),0))/2)</f>
        <v>4.5</v>
      </c>
      <c r="CW1541" s="62" t="n">
        <f aca="false">IF(CS1541="","",MAX(0,H1541-CV1541)*G1541)</f>
        <v>46.5</v>
      </c>
      <c r="CX1541" s="62" t="n">
        <f aca="false">IF(CS1541="","",CS1541*MAX(0,1-CV1541/H1541))</f>
        <v>0.372596153846154</v>
      </c>
      <c r="CY1541" s="64" t="n">
        <f aca="false">IF(CS1541="","",PERCENTRANK($CS$7:$CS$1843,CS1541)+PERCENTRANK($CU$7:$CU$1843,CU1541)+1-PERCENTRANK($CT$7:$CT$1843,CT1541))</f>
        <v>1.447</v>
      </c>
      <c r="CZ1541" s="72" t="n">
        <f aca="false">IF(CS1541="","",CHOOSE(MATCH(Einkauf!$C$5,Parameter!$G$23:$G$27,0),CY1541,CS1541,CU1541,-CT1541,CW1541)+ROW()/1000000000)</f>
        <v>1.447001541</v>
      </c>
    </row>
    <row r="1542" customFormat="false" ht="15" hidden="false" customHeight="false" outlineLevel="0" collapsed="false">
      <c r="A1542" s="60" t="s">
        <v>2737</v>
      </c>
      <c r="B1542" s="60" t="s">
        <v>2738</v>
      </c>
      <c r="C1542" s="60" t="s">
        <v>206</v>
      </c>
      <c r="D1542" s="60" t="s">
        <v>226</v>
      </c>
      <c r="E1542" s="60" t="s">
        <v>227</v>
      </c>
      <c r="F1542" s="60"/>
      <c r="G1542" s="61" t="n">
        <v>32.42</v>
      </c>
      <c r="H1542" s="62" t="n">
        <f aca="false">MAX(0,IF(AND(Parameter!$B$21="Ja",ISNUMBER(Y1542)),Y1542,IF(Parameter!$B$20="Jahresanfang 2025 + Export",BS1542+BR1542,BR1542)))</f>
        <v>30</v>
      </c>
      <c r="I1542" s="62" t="n">
        <f aca="false">H1542*G1542</f>
        <v>972.6</v>
      </c>
      <c r="J1542" s="62" t="n">
        <f aca="false">BU1542*Parameter!$B$18</f>
        <v>0</v>
      </c>
      <c r="K1542" s="63"/>
      <c r="L1542" s="64"/>
      <c r="M1542" s="62" t="n">
        <v>0</v>
      </c>
      <c r="N1542" s="62" t="n">
        <v>25</v>
      </c>
      <c r="O1542" s="65" t="n">
        <v>21</v>
      </c>
      <c r="P1542" s="60" t="s">
        <v>518</v>
      </c>
      <c r="Q1542" s="62" t="n">
        <v>30</v>
      </c>
      <c r="R1542" s="65" t="n">
        <f aca="false">IF(CA1542=1,0,IFERROR(VLOOKUP(BY1542,'Gebinde-Kategorie'!$A$5:$N$45,13,0)+0,0))</f>
        <v>52</v>
      </c>
      <c r="S1542" s="66"/>
      <c r="T1542" s="67"/>
      <c r="U1542" s="67"/>
      <c r="V1542" s="67"/>
      <c r="W1542" s="60"/>
      <c r="X1542" s="62"/>
      <c r="Y1542" s="62"/>
      <c r="Z1542" s="60" t="n">
        <v>2</v>
      </c>
      <c r="AA1542" s="60" t="n">
        <f aca="false">IF(A1542="","",IF(AND(Parameter!$B$21="Ja",ISNUMBER(W1542)),W1542,IF(AND(Parameter!$E$27="Ja",ISNUMBER(Z1542),CD1542&lt;&gt;"Nein"),Z1542,IF(CD1542="2+3",IF(ISNUMBER(SEARCH("grosser Artikel",BV1542)),2,IFERROR(VLOOKUP(BY1542,Parameter!$F$35:$G$64,2,0),2)),IF(OR(CD1542="Nein",CD1542=""),"-",CD1542)))))</f>
        <v>2</v>
      </c>
      <c r="AB1542" s="67"/>
      <c r="AC1542" s="68"/>
      <c r="AD1542" s="62" t="n">
        <f aca="false">AW1542</f>
        <v>25</v>
      </c>
      <c r="AE1542" s="62" t="n">
        <f aca="false">MAX(AW1542,H1542)</f>
        <v>30</v>
      </c>
      <c r="AF1542" s="69"/>
      <c r="AG1542" s="62" t="n">
        <f aca="false">IF(LEFT(Cockpit!$C$5,1)="A",H1542,IF(Parameter!$E$30="MAX-Bestand",IF(CI1542=1,CJ1542,IF(LEFT(Cockpit!$C$5,1)="B",AM1542,MAX(AM1542,H1542))),ROUNDUP(AK1542,0)))</f>
        <v>30</v>
      </c>
      <c r="AH1542" s="62" t="n">
        <f aca="false">IF(CA1542=1,0,ROUNDUP(AG1542/BZ1542,0))</f>
        <v>1</v>
      </c>
      <c r="AI1542" s="64" t="n">
        <f aca="false">IF(CR1542&gt;0,CR1542*MAX(1,AG1542/X1542),IF(CA1542=1,IF(AG1542&lt;=0,0,CE1542*MAX(1,IF(H1542&gt;0,AG1542/H1542,1))),IF(R1542&gt;0,AH1542/R1542,0))/MAX(0.1,N(Parameter!$M$21)))</f>
        <v>0.0192307692307692</v>
      </c>
      <c r="AJ1542" s="62" t="n">
        <f aca="false">AI1542*CC1542</f>
        <v>2.98076923076923</v>
      </c>
      <c r="AK1542" s="63" t="n">
        <f aca="false">IF(LEFT(Cockpit!$C$5,1)="A",H1542,IF(CI1542=1,(CL1542+CJ1542)/2,IF(LEFT(Cockpit!$C$5,1)="B",(CL1542+AM1542)/2,MAX((CL1542+AM1542)/2,H1542))))</f>
        <v>30</v>
      </c>
      <c r="AL1542" s="62" t="n">
        <f aca="false">AK1542*G1542</f>
        <v>972.6</v>
      </c>
      <c r="AM1542" s="62" t="n">
        <f aca="false">ROUNDUP(CL1542+MAX(CM1542,2*(J1542/IF(CH1542&gt;0,CH1542,MAX(0.1,N(Cockpit!$C$6)))-CL1542)),0)</f>
        <v>25</v>
      </c>
      <c r="AN1542" s="63" t="n">
        <f aca="false">IF(AJ1542&gt;0,J1542/AJ1542,-1)</f>
        <v>0</v>
      </c>
      <c r="AO1542" s="63" t="n">
        <f aca="false">IF(AND(OR(CG1542="L1",CG1542="L23",CG1542="LIFT"),AJ1542&gt;0),SUMIFS($AJ$7:$AJ$1843,$CG$7:$CG$1843,CG1542,$AN$7:$AN$1843,"&gt;"&amp;AN1542)+SUMIFS($AJ$7:$AJ$1843,$CG$7:$CG$1843,CG1542,$AN$7:$AN$1843,AN1542,$BX$7:$BX$1843,"&lt;="&amp;BX1542),"")</f>
        <v>30134.8739393845</v>
      </c>
      <c r="AP1542" s="70" t="n">
        <f aca="false">IF(AO1542="",0,MAX(0,MIN(1,(IF(CG1542="L1",Parameter!$H$5,IF(CG1542="L23",Parameter!$H$6+Parameter!$H$7,Parameter!$H$5+Parameter!$H$6+Parameter!$H$7))-(AO1542-AJ1542))/AJ1542)))</f>
        <v>1</v>
      </c>
      <c r="AQ1542" s="62" t="n">
        <f aca="false">IF(LEFT(Cockpit!$I$5,1)="A",H1542,IF(Parameter!$E$30="MAX-Bestand",IF(CI1542=1,CJ1542,IF(LEFT(Cockpit!$I$5,1)="B",AW1542,MAX(AW1542,H1542))),ROUNDUP(AU1542,0)))</f>
        <v>30</v>
      </c>
      <c r="AR1542" s="62" t="n">
        <f aca="false">IF(CA1542=1,0,ROUNDUP(AQ1542/BZ1542,0))</f>
        <v>1</v>
      </c>
      <c r="AS1542" s="64" t="n">
        <f aca="false">IF(CR1542&gt;0,CR1542*MAX(1,AQ1542/X1542),IF(CA1542=1,IF(AQ1542&lt;=0,0,CE1542*MAX(1,IF(H1542&gt;0,AQ1542/H1542,1))),IF(R1542&gt;0,AR1542/R1542,0))/MAX(0.1,N(Parameter!$M$21)))</f>
        <v>0.0192307692307692</v>
      </c>
      <c r="AT1542" s="62" t="n">
        <f aca="false">AS1542*CC1542</f>
        <v>2.98076923076923</v>
      </c>
      <c r="AU1542" s="63" t="n">
        <f aca="false">IF(LEFT(Cockpit!$I$5,1)="A",H1542,IF(CI1542=1,(CL1542+CJ1542)/2,IF(LEFT(Cockpit!$I$5,1)="B",(CL1542+AW1542)/2,MAX((CL1542+AW1542)/2,H1542))))</f>
        <v>30</v>
      </c>
      <c r="AV1542" s="62" t="n">
        <f aca="false">AU1542*G1542</f>
        <v>972.6</v>
      </c>
      <c r="AW1542" s="62" t="n">
        <f aca="false">ROUNDUP(CL1542+MAX(CM1542,2*(J1542/IF(CH1542&gt;0,CH1542,MAX(0.1,N(Cockpit!$I$6)))-CL1542)),0)</f>
        <v>25</v>
      </c>
      <c r="AX1542" s="63" t="n">
        <f aca="false">IF(AT1542&gt;0,J1542/AT1542,-1)</f>
        <v>0</v>
      </c>
      <c r="AY1542" s="63" t="n">
        <f aca="false">IF(AND(OR(CG1542="L1",CG1542="L23",CG1542="LIFT"),AT1542&gt;0),SUMIFS($AT$7:$AT$1843,$CG$7:$CG$1843,CG1542,$AX$7:$AX$1843,"&gt;"&amp;AX1542)+SUMIFS($AT$7:$AT$1843,$CG$7:$CG$1843,CG1542,$AX$7:$AX$1843,AX1542,$BX$7:$BX$1843,"&lt;="&amp;BX1542),"")</f>
        <v>36454.7304562199</v>
      </c>
      <c r="AZ1542" s="70" t="n">
        <f aca="false">IF(AY1542="",0,MAX(0,MIN(1,(IF(CG1542="L1",Parameter!$H$5,IF(CG1542="L23",Parameter!$H$6+Parameter!$H$7,Parameter!$H$5+Parameter!$H$6+Parameter!$H$7))-(AY1542-AT1542))/AT1542)))</f>
        <v>0</v>
      </c>
      <c r="BA1542" s="62" t="n">
        <f aca="false">IF(LEFT(Cockpit!$O$5,1)="A",H1542,IF(Parameter!$E$30="MAX-Bestand",IF(CI1542=1,CJ1542,IF(LEFT(Cockpit!$O$5,1)="B",BG1542,MAX(BG1542,H1542))),ROUNDUP(BE1542,0)))</f>
        <v>13</v>
      </c>
      <c r="BB1542" s="62" t="n">
        <f aca="false">IF(CA1542=1,0,ROUNDUP(BA1542/BZ1542,0))</f>
        <v>1</v>
      </c>
      <c r="BC1542" s="64" t="n">
        <f aca="false">IF(CR1542&gt;0,CR1542*MAX(1,BA1542/X1542),IF(CA1542=1,IF(BA1542&lt;=0,0,CE1542*MAX(1,IF(H1542&gt;0,BA1542/H1542,1))),IF(R1542&gt;0,BB1542/R1542,0))/MAX(0.1,N(Parameter!$M$21)))</f>
        <v>0.0192307692307692</v>
      </c>
      <c r="BD1542" s="62" t="n">
        <f aca="false">BC1542*CC1542</f>
        <v>2.98076923076923</v>
      </c>
      <c r="BE1542" s="63" t="n">
        <f aca="false">IF(LEFT(Cockpit!$O$5,1)="A",H1542,IF(CI1542=1,(CL1542+CJ1542)/2,IF(LEFT(Cockpit!$O$5,1)="B",(CL1542+BG1542)/2,MAX((CL1542+BG1542)/2,H1542))))</f>
        <v>12.5</v>
      </c>
      <c r="BF1542" s="62" t="n">
        <f aca="false">BE1542*G1542</f>
        <v>405.25</v>
      </c>
      <c r="BG1542" s="62" t="n">
        <f aca="false">ROUNDUP(CL1542+MAX(CM1542,2*(J1542/IF(CH1542&gt;0,CH1542,MAX(0.1,N(Cockpit!$O$6)))-CL1542)),0)</f>
        <v>25</v>
      </c>
      <c r="BH1542" s="63" t="n">
        <f aca="false">IF(BD1542&gt;0,J1542/BD1542,-1)</f>
        <v>0</v>
      </c>
      <c r="BI1542" s="63" t="n">
        <f aca="false">IF(AND(OR(CG1542="L1",CG1542="L23",CG1542="LIFT"),BD1542&gt;0),SUMIFS($BD$7:$BD$1843,$CG$7:$CG$1843,CG1542,$BH$7:$BH$1843,"&gt;"&amp;BH1542)+SUMIFS($BD$7:$BD$1843,$CG$7:$CG$1843,CG1542,$BH$7:$BH$1843,BH1542,$BX$7:$BX$1843,"&lt;="&amp;BX1542),"")</f>
        <v>30392.9217317522</v>
      </c>
      <c r="BJ1542" s="70" t="n">
        <f aca="false">IF(BI1542="",0,MAX(0,MIN(1,(IF(CG1542="L1",Parameter!$H$5,IF(CG1542="L23",Parameter!$H$6+Parameter!$H$7,Parameter!$H$5+Parameter!$H$6+Parameter!$H$7))-(BI1542-BD1542))/BD1542)))</f>
        <v>1</v>
      </c>
      <c r="BK1542" s="60" t="str">
        <f aca="false">IF(AJ1542&lt;=0,"",IF(CG1542="Aussen","Aussenlager",IF(CG1542="-","Nicht im Lift",IF(AP1542&gt;=1,"Lift",IF(AP1542&lt;=0,"Aussenlager","teilweise")))))</f>
        <v>Lift</v>
      </c>
      <c r="BL1542" s="60" t="str">
        <f aca="false">IF(AT1542&lt;=0,"",IF(CG1542="Aussen","Aussenlager",IF(CG1542="-","Nicht im Lift",IF(AZ1542&gt;=1,"Lift",IF(AZ1542&lt;=0,"Aussenlager","teilweise")))))</f>
        <v>Aussenlager</v>
      </c>
      <c r="BM1542" s="60" t="str">
        <f aca="false">IF(BD1542&lt;=0,"",IF(CG1542="Aussen","Aussenlager",IF(CG1542="-","Nicht im Lift",IF(BJ1542&gt;=1,"Lift",IF(BJ1542&lt;=0,"Aussenlager","teilweise")))))</f>
        <v>Lift</v>
      </c>
      <c r="BN1542" s="60" t="str">
        <f aca="false">IF(A1542="","",IF(BW1542=1,"Neu; ","")&amp;IF(AND(BW1542=0,BR1542&lt;0),"negativer Bestand (Export "&amp;BR1542&amp;"); ","")&amp;IF(J1542&lt;=0,"Kein Verbrauch; ","")&amp;IF(CR1542&gt;0,"Lift "&amp;W1542&amp;" lt. Liftbericht (Fach "&amp;X1542&amp;" Stk); ",IF(CB1542=1,"Gebinde geschätzt ("&amp;T1542&amp;"); ",IF(CA1542=1,"Lose – Tablare geschätzt; ","")))&amp;IF(H1542&gt;AW1542,"Überbestand "&amp;ROUND(H1542-AW1542,0)&amp;" Stk / CHF "&amp;ROUND((H1542-AW1542)*G1542,0)&amp;"; ","")&amp;IF(AND(CI1542=1,CJ1542&lt;CK1542),"MAX &lt; MB+LG; ","")&amp;IF(AND(CQ1542&gt;0,CP1542*10&gt;CQ1542),"zu hoch für Tablar; ","")&amp;IF(AND(BW1542=0,OR(CI1542=1,AB1542&lt;&gt;"",U1542&lt;&gt;"",V1542&lt;&gt;"",AC1542&lt;&gt;"")),"manuell übersteuert; ","")&amp;IF(AND(CA1542=0,R1542=0),"Gebinde unbekannt / Stellmass fehlt; ","")&amp;IF(AND(CA1542=0,N(V1542)&lt;=0,N(Q1542)&lt;=0),"Menge pro Gebinde fehlt (Ist = 1 Gebinde); ","")&amp;BV1542)</f>
        <v>Kein Verbrauch; Überbestand 5 Stk / CHF 162; nur im Artikelstamm (Bestand 23.06.2026)</v>
      </c>
      <c r="BO1542" s="60"/>
      <c r="BP1542" s="60"/>
      <c r="BQ1542" s="67"/>
      <c r="BR1542" s="62" t="n">
        <v>30</v>
      </c>
      <c r="BS1542" s="62" t="n">
        <v>0</v>
      </c>
      <c r="BT1542" s="61" t="n">
        <v>0</v>
      </c>
      <c r="BU1542" s="62" t="n">
        <v>0</v>
      </c>
      <c r="BV1542" s="60" t="s">
        <v>2617</v>
      </c>
      <c r="BW1542" s="65" t="n">
        <v>0</v>
      </c>
      <c r="BX1542" s="65" t="n">
        <v>1542</v>
      </c>
      <c r="BY1542" s="60" t="str">
        <f aca="false">IF(U1542&lt;&gt;"",UPPER(TRIM(U1542)),IF(CB1542=1,UPPER(VLOOKUP(T1542,Parameter!$I$27:$K$29,2,0)),IF(P1542="","LOSE",P1542)))</f>
        <v>S33</v>
      </c>
      <c r="BZ1542" s="62" t="n">
        <f aca="false">IF(BY1542="LOSE",1,IF(N(V1542)&gt;0,V1542,IF(CB1542=1,MAX(1,N(VLOOKUP(T1542,Parameter!$I$27:$K$29,3,0)),H1542,N(N1542)),IF(N(Q1542)&gt;0,Q1542,MAX(1,H1542)))))</f>
        <v>30</v>
      </c>
      <c r="CA1542" s="65" t="n">
        <f aca="false">IF(BY1542="LOSE",1,0)</f>
        <v>0</v>
      </c>
      <c r="CB1542" s="65" t="n">
        <f aca="false">IF(AND(U1542="",OR(P1542="",P1542="LOSE"),T1542&lt;&gt;"",N(S1542)&lt;=0,ISNUMBER(MATCH(T1542,Parameter!$I$27:$I$29,0))),1,0)</f>
        <v>0</v>
      </c>
      <c r="CC1542" s="65" t="n">
        <f aca="false">IF(CR1542&gt;0,INDEX(Parameter!$H$5:$H$7,W1542)/INDEX(Parameter!$E$5:$E$7,W1542),IF(AND(CA1542=0,N(IFERROR(VLOOKUP(BY1542,'Gebinde-Kategorie'!$A$5:$N$45,14,0),0))&gt;0),VLOOKUP(BY1542,'Gebinde-Kategorie'!$A$5:$N$45,14,0)*10+Parameter!$M$23,Parameter!$M$24))</f>
        <v>155</v>
      </c>
      <c r="CD1542" s="60" t="str">
        <f aca="false">IF(AND(Parameter!$B$19="Ja",E1542&lt;&gt;"",ISNUMBER(MATCH(E1542,Parameter!$I$35:$I$52,0))),VLOOKUP(E1542,Parameter!$I$35:$J$52,2,0),IFERROR(VLOOKUP(D1542,Parameter!$A$35:$C$64,2,0),"Nein"))</f>
        <v>2+3</v>
      </c>
      <c r="CE1542" s="64" t="n">
        <f aca="false">IF(CA1542=0,0,IF(N(S1542)&gt;0,S1542,IFERROR(VLOOKUP(D1542,Parameter!$A$35:$C$64,3,0)+0,0)))</f>
        <v>0</v>
      </c>
      <c r="CF1542" s="60" t="n">
        <f aca="false">IF(AB1542&lt;&gt;"",AB1542,AA1542)</f>
        <v>2</v>
      </c>
      <c r="CG1542" s="60" t="str">
        <f aca="false">IF(OR(CF1542=1,CF1542=2,CF1542=3),IF(Parameter!$E$27="Ja","LIFT",IF(CF1542=1,"L1","L23")),IF(CF1542="Aussen","Aussen","-"))</f>
        <v>LIFT</v>
      </c>
      <c r="CH1542" s="71" t="n">
        <f aca="false">IF(N(AC1542)&gt;0,AC1542,0)</f>
        <v>0</v>
      </c>
      <c r="CI1542" s="65" t="n">
        <f aca="false">IF(ISNUMBER(AF1542),1,0)</f>
        <v>0</v>
      </c>
      <c r="CJ1542" s="62" t="n">
        <f aca="false">N(AF1542)</f>
        <v>0</v>
      </c>
      <c r="CK1542" s="62" t="n">
        <f aca="false">N(M1542)+N(N1542)</f>
        <v>25</v>
      </c>
      <c r="CL1542" s="62" t="n">
        <f aca="false">N(M1542)</f>
        <v>0</v>
      </c>
      <c r="CM1542" s="62" t="n">
        <f aca="false">N(N1542)</f>
        <v>25</v>
      </c>
      <c r="CN1542" s="62" t="n">
        <f aca="false">ROUNDUP(H1542/BZ1542,0)</f>
        <v>1</v>
      </c>
      <c r="CO1542" s="62" t="n">
        <f aca="false">ROUNDUP(CJ1542/BZ1542,0)</f>
        <v>0</v>
      </c>
      <c r="CP1542" s="65" t="n">
        <f aca="false">IF(CA1542=1,0,IFERROR(VLOOKUP(BY1542,'Gebinde-Kategorie'!$A$5:$N$45,5,0)+0,0))</f>
        <v>8</v>
      </c>
      <c r="CQ1542" s="65" t="n">
        <f aca="false">IFERROR(IF(OR(CF1542=1,CF1542=2,CF1542=3),N(INDEX(Parameter!$I$5:$I$7,CF1542)),0),0)</f>
        <v>0</v>
      </c>
      <c r="CR1542" s="64" t="n">
        <f aca="false">IF(AND(Parameter!$B$21="Ja",ISNUMBER(W1542),N(X1542)&gt;0),IFERROR(N(INDEX(Parameter!$L$5:$L$7,W1542))*INDEX(Parameter!$E$5:$E$7,W1542)*X1542/SUMIFS($X$7:$X$1843,$W$7:$W$1843,W1542),0),0)</f>
        <v>0</v>
      </c>
      <c r="CS1542" s="62" t="n">
        <f aca="false">IF(AND(OR(CG1542="L1",CG1542="L23",CG1542="LIFT"),H1542&gt;0),CC1542*IF(CR1542&gt;0,CR1542*MAX(1,H1542/X1542),IF(CA1542=1,CE1542,IF(R1542&gt;0,CN1542/R1542,0))/MAX(0.1,N(Parameter!$M$21))),"")</f>
        <v>2.98076923076923</v>
      </c>
      <c r="CT1542" s="64" t="n">
        <f aca="false">IF(CS1542="","",J1542/H1542)</f>
        <v>0</v>
      </c>
      <c r="CU1542" s="62" t="n">
        <f aca="false">IF(CS1542="","",H1542*G1542)</f>
        <v>972.6</v>
      </c>
      <c r="CV1542" s="63" t="n">
        <f aca="false">IF(CS1542="","",(CL1542+ROUNDUP(CL1542+MAX(CM1542,2*(J1542/MAX(0.1,N(Einkauf!$C$6))-CL1542)),0))/2)</f>
        <v>12.5</v>
      </c>
      <c r="CW1542" s="62" t="n">
        <f aca="false">IF(CS1542="","",MAX(0,H1542-CV1542)*G1542)</f>
        <v>567.35</v>
      </c>
      <c r="CX1542" s="62" t="n">
        <f aca="false">IF(CS1542="","",CS1542*MAX(0,1-CV1542/H1542))</f>
        <v>1.73878205128205</v>
      </c>
      <c r="CY1542" s="64" t="n">
        <f aca="false">IF(CS1542="","",PERCENTRANK($CS$7:$CS$1843,CS1542)+PERCENTRANK($CU$7:$CU$1843,CU1542)+1-PERCENTRANK($CT$7:$CT$1843,CT1542))</f>
        <v>1.857</v>
      </c>
      <c r="CZ1542" s="72" t="n">
        <f aca="false">IF(CS1542="","",CHOOSE(MATCH(Einkauf!$C$5,Parameter!$G$23:$G$27,0),CY1542,CS1542,CU1542,-CT1542,CW1542)+ROW()/1000000000)</f>
        <v>1.857001542</v>
      </c>
    </row>
    <row r="1543" customFormat="false" ht="15" hidden="false" customHeight="false" outlineLevel="0" collapsed="false">
      <c r="A1543" s="60" t="s">
        <v>2739</v>
      </c>
      <c r="B1543" s="60" t="s">
        <v>2740</v>
      </c>
      <c r="C1543" s="60" t="s">
        <v>206</v>
      </c>
      <c r="D1543" s="60" t="s">
        <v>226</v>
      </c>
      <c r="E1543" s="60" t="s">
        <v>227</v>
      </c>
      <c r="F1543" s="60"/>
      <c r="G1543" s="61" t="n">
        <v>34.37</v>
      </c>
      <c r="H1543" s="62" t="n">
        <f aca="false">MAX(0,IF(AND(Parameter!$B$21="Ja",ISNUMBER(Y1543)),Y1543,IF(Parameter!$B$20="Jahresanfang 2025 + Export",BS1543+BR1543,BR1543)))</f>
        <v>30</v>
      </c>
      <c r="I1543" s="62" t="n">
        <f aca="false">H1543*G1543</f>
        <v>1031.1</v>
      </c>
      <c r="J1543" s="62" t="n">
        <f aca="false">BU1543*Parameter!$B$18</f>
        <v>0</v>
      </c>
      <c r="K1543" s="63"/>
      <c r="L1543" s="64"/>
      <c r="M1543" s="62" t="n">
        <v>0</v>
      </c>
      <c r="N1543" s="62" t="n">
        <v>25</v>
      </c>
      <c r="O1543" s="65" t="n">
        <v>21</v>
      </c>
      <c r="P1543" s="60" t="s">
        <v>518</v>
      </c>
      <c r="Q1543" s="62" t="n">
        <v>30</v>
      </c>
      <c r="R1543" s="65" t="n">
        <f aca="false">IF(CA1543=1,0,IFERROR(VLOOKUP(BY1543,'Gebinde-Kategorie'!$A$5:$N$45,13,0)+0,0))</f>
        <v>52</v>
      </c>
      <c r="S1543" s="66"/>
      <c r="T1543" s="67"/>
      <c r="U1543" s="67"/>
      <c r="V1543" s="67"/>
      <c r="W1543" s="60"/>
      <c r="X1543" s="62"/>
      <c r="Y1543" s="62"/>
      <c r="Z1543" s="60" t="n">
        <v>2</v>
      </c>
      <c r="AA1543" s="60" t="n">
        <f aca="false">IF(A1543="","",IF(AND(Parameter!$B$21="Ja",ISNUMBER(W1543)),W1543,IF(AND(Parameter!$E$27="Ja",ISNUMBER(Z1543),CD1543&lt;&gt;"Nein"),Z1543,IF(CD1543="2+3",IF(ISNUMBER(SEARCH("grosser Artikel",BV1543)),2,IFERROR(VLOOKUP(BY1543,Parameter!$F$35:$G$64,2,0),2)),IF(OR(CD1543="Nein",CD1543=""),"-",CD1543)))))</f>
        <v>2</v>
      </c>
      <c r="AB1543" s="67"/>
      <c r="AC1543" s="68"/>
      <c r="AD1543" s="62" t="n">
        <f aca="false">AW1543</f>
        <v>25</v>
      </c>
      <c r="AE1543" s="62" t="n">
        <f aca="false">MAX(AW1543,H1543)</f>
        <v>30</v>
      </c>
      <c r="AF1543" s="69"/>
      <c r="AG1543" s="62" t="n">
        <f aca="false">IF(LEFT(Cockpit!$C$5,1)="A",H1543,IF(Parameter!$E$30="MAX-Bestand",IF(CI1543=1,CJ1543,IF(LEFT(Cockpit!$C$5,1)="B",AM1543,MAX(AM1543,H1543))),ROUNDUP(AK1543,0)))</f>
        <v>30</v>
      </c>
      <c r="AH1543" s="62" t="n">
        <f aca="false">IF(CA1543=1,0,ROUNDUP(AG1543/BZ1543,0))</f>
        <v>1</v>
      </c>
      <c r="AI1543" s="64" t="n">
        <f aca="false">IF(CR1543&gt;0,CR1543*MAX(1,AG1543/X1543),IF(CA1543=1,IF(AG1543&lt;=0,0,CE1543*MAX(1,IF(H1543&gt;0,AG1543/H1543,1))),IF(R1543&gt;0,AH1543/R1543,0))/MAX(0.1,N(Parameter!$M$21)))</f>
        <v>0.0192307692307692</v>
      </c>
      <c r="AJ1543" s="62" t="n">
        <f aca="false">AI1543*CC1543</f>
        <v>2.98076923076923</v>
      </c>
      <c r="AK1543" s="63" t="n">
        <f aca="false">IF(LEFT(Cockpit!$C$5,1)="A",H1543,IF(CI1543=1,(CL1543+CJ1543)/2,IF(LEFT(Cockpit!$C$5,1)="B",(CL1543+AM1543)/2,MAX((CL1543+AM1543)/2,H1543))))</f>
        <v>30</v>
      </c>
      <c r="AL1543" s="62" t="n">
        <f aca="false">AK1543*G1543</f>
        <v>1031.1</v>
      </c>
      <c r="AM1543" s="62" t="n">
        <f aca="false">ROUNDUP(CL1543+MAX(CM1543,2*(J1543/IF(CH1543&gt;0,CH1543,MAX(0.1,N(Cockpit!$C$6)))-CL1543)),0)</f>
        <v>25</v>
      </c>
      <c r="AN1543" s="63" t="n">
        <f aca="false">IF(AJ1543&gt;0,J1543/AJ1543,-1)</f>
        <v>0</v>
      </c>
      <c r="AO1543" s="63" t="n">
        <f aca="false">IF(AND(OR(CG1543="L1",CG1543="L23",CG1543="LIFT"),AJ1543&gt;0),SUMIFS($AJ$7:$AJ$1843,$CG$7:$CG$1843,CG1543,$AN$7:$AN$1843,"&gt;"&amp;AN1543)+SUMIFS($AJ$7:$AJ$1843,$CG$7:$CG$1843,CG1543,$AN$7:$AN$1843,AN1543,$BX$7:$BX$1843,"&lt;="&amp;BX1543),"")</f>
        <v>30137.8547086153</v>
      </c>
      <c r="AP1543" s="70" t="n">
        <f aca="false">IF(AO1543="",0,MAX(0,MIN(1,(IF(CG1543="L1",Parameter!$H$5,IF(CG1543="L23",Parameter!$H$6+Parameter!$H$7,Parameter!$H$5+Parameter!$H$6+Parameter!$H$7))-(AO1543-AJ1543))/AJ1543)))</f>
        <v>1</v>
      </c>
      <c r="AQ1543" s="62" t="n">
        <f aca="false">IF(LEFT(Cockpit!$I$5,1)="A",H1543,IF(Parameter!$E$30="MAX-Bestand",IF(CI1543=1,CJ1543,IF(LEFT(Cockpit!$I$5,1)="B",AW1543,MAX(AW1543,H1543))),ROUNDUP(AU1543,0)))</f>
        <v>30</v>
      </c>
      <c r="AR1543" s="62" t="n">
        <f aca="false">IF(CA1543=1,0,ROUNDUP(AQ1543/BZ1543,0))</f>
        <v>1</v>
      </c>
      <c r="AS1543" s="64" t="n">
        <f aca="false">IF(CR1543&gt;0,CR1543*MAX(1,AQ1543/X1543),IF(CA1543=1,IF(AQ1543&lt;=0,0,CE1543*MAX(1,IF(H1543&gt;0,AQ1543/H1543,1))),IF(R1543&gt;0,AR1543/R1543,0))/MAX(0.1,N(Parameter!$M$21)))</f>
        <v>0.0192307692307692</v>
      </c>
      <c r="AT1543" s="62" t="n">
        <f aca="false">AS1543*CC1543</f>
        <v>2.98076923076923</v>
      </c>
      <c r="AU1543" s="63" t="n">
        <f aca="false">IF(LEFT(Cockpit!$I$5,1)="A",H1543,IF(CI1543=1,(CL1543+CJ1543)/2,IF(LEFT(Cockpit!$I$5,1)="B",(CL1543+AW1543)/2,MAX((CL1543+AW1543)/2,H1543))))</f>
        <v>30</v>
      </c>
      <c r="AV1543" s="62" t="n">
        <f aca="false">AU1543*G1543</f>
        <v>1031.1</v>
      </c>
      <c r="AW1543" s="62" t="n">
        <f aca="false">ROUNDUP(CL1543+MAX(CM1543,2*(J1543/IF(CH1543&gt;0,CH1543,MAX(0.1,N(Cockpit!$I$6)))-CL1543)),0)</f>
        <v>25</v>
      </c>
      <c r="AX1543" s="63" t="n">
        <f aca="false">IF(AT1543&gt;0,J1543/AT1543,-1)</f>
        <v>0</v>
      </c>
      <c r="AY1543" s="63" t="n">
        <f aca="false">IF(AND(OR(CG1543="L1",CG1543="L23",CG1543="LIFT"),AT1543&gt;0),SUMIFS($AT$7:$AT$1843,$CG$7:$CG$1843,CG1543,$AX$7:$AX$1843,"&gt;"&amp;AX1543)+SUMIFS($AT$7:$AT$1843,$CG$7:$CG$1843,CG1543,$AX$7:$AX$1843,AX1543,$BX$7:$BX$1843,"&lt;="&amp;BX1543),"")</f>
        <v>36457.7112254506</v>
      </c>
      <c r="AZ1543" s="70" t="n">
        <f aca="false">IF(AY1543="",0,MAX(0,MIN(1,(IF(CG1543="L1",Parameter!$H$5,IF(CG1543="L23",Parameter!$H$6+Parameter!$H$7,Parameter!$H$5+Parameter!$H$6+Parameter!$H$7))-(AY1543-AT1543))/AT1543)))</f>
        <v>0</v>
      </c>
      <c r="BA1543" s="62" t="n">
        <f aca="false">IF(LEFT(Cockpit!$O$5,1)="A",H1543,IF(Parameter!$E$30="MAX-Bestand",IF(CI1543=1,CJ1543,IF(LEFT(Cockpit!$O$5,1)="B",BG1543,MAX(BG1543,H1543))),ROUNDUP(BE1543,0)))</f>
        <v>13</v>
      </c>
      <c r="BB1543" s="62" t="n">
        <f aca="false">IF(CA1543=1,0,ROUNDUP(BA1543/BZ1543,0))</f>
        <v>1</v>
      </c>
      <c r="BC1543" s="64" t="n">
        <f aca="false">IF(CR1543&gt;0,CR1543*MAX(1,BA1543/X1543),IF(CA1543=1,IF(BA1543&lt;=0,0,CE1543*MAX(1,IF(H1543&gt;0,BA1543/H1543,1))),IF(R1543&gt;0,BB1543/R1543,0))/MAX(0.1,N(Parameter!$M$21)))</f>
        <v>0.0192307692307692</v>
      </c>
      <c r="BD1543" s="62" t="n">
        <f aca="false">BC1543*CC1543</f>
        <v>2.98076923076923</v>
      </c>
      <c r="BE1543" s="63" t="n">
        <f aca="false">IF(LEFT(Cockpit!$O$5,1)="A",H1543,IF(CI1543=1,(CL1543+CJ1543)/2,IF(LEFT(Cockpit!$O$5,1)="B",(CL1543+BG1543)/2,MAX((CL1543+BG1543)/2,H1543))))</f>
        <v>12.5</v>
      </c>
      <c r="BF1543" s="62" t="n">
        <f aca="false">BE1543*G1543</f>
        <v>429.625</v>
      </c>
      <c r="BG1543" s="62" t="n">
        <f aca="false">ROUNDUP(CL1543+MAX(CM1543,2*(J1543/IF(CH1543&gt;0,CH1543,MAX(0.1,N(Cockpit!$O$6)))-CL1543)),0)</f>
        <v>25</v>
      </c>
      <c r="BH1543" s="63" t="n">
        <f aca="false">IF(BD1543&gt;0,J1543/BD1543,-1)</f>
        <v>0</v>
      </c>
      <c r="BI1543" s="63" t="n">
        <f aca="false">IF(AND(OR(CG1543="L1",CG1543="L23",CG1543="LIFT"),BD1543&gt;0),SUMIFS($BD$7:$BD$1843,$CG$7:$CG$1843,CG1543,$BH$7:$BH$1843,"&gt;"&amp;BH1543)+SUMIFS($BD$7:$BD$1843,$CG$7:$CG$1843,CG1543,$BH$7:$BH$1843,BH1543,$BX$7:$BX$1843,"&lt;="&amp;BX1543),"")</f>
        <v>30395.902500983</v>
      </c>
      <c r="BJ1543" s="70" t="n">
        <f aca="false">IF(BI1543="",0,MAX(0,MIN(1,(IF(CG1543="L1",Parameter!$H$5,IF(CG1543="L23",Parameter!$H$6+Parameter!$H$7,Parameter!$H$5+Parameter!$H$6+Parameter!$H$7))-(BI1543-BD1543))/BD1543)))</f>
        <v>1</v>
      </c>
      <c r="BK1543" s="60" t="str">
        <f aca="false">IF(AJ1543&lt;=0,"",IF(CG1543="Aussen","Aussenlager",IF(CG1543="-","Nicht im Lift",IF(AP1543&gt;=1,"Lift",IF(AP1543&lt;=0,"Aussenlager","teilweise")))))</f>
        <v>Lift</v>
      </c>
      <c r="BL1543" s="60" t="str">
        <f aca="false">IF(AT1543&lt;=0,"",IF(CG1543="Aussen","Aussenlager",IF(CG1543="-","Nicht im Lift",IF(AZ1543&gt;=1,"Lift",IF(AZ1543&lt;=0,"Aussenlager","teilweise")))))</f>
        <v>Aussenlager</v>
      </c>
      <c r="BM1543" s="60" t="str">
        <f aca="false">IF(BD1543&lt;=0,"",IF(CG1543="Aussen","Aussenlager",IF(CG1543="-","Nicht im Lift",IF(BJ1543&gt;=1,"Lift",IF(BJ1543&lt;=0,"Aussenlager","teilweise")))))</f>
        <v>Lift</v>
      </c>
      <c r="BN1543" s="60" t="str">
        <f aca="false">IF(A1543="","",IF(BW1543=1,"Neu; ","")&amp;IF(AND(BW1543=0,BR1543&lt;0),"negativer Bestand (Export "&amp;BR1543&amp;"); ","")&amp;IF(J1543&lt;=0,"Kein Verbrauch; ","")&amp;IF(CR1543&gt;0,"Lift "&amp;W1543&amp;" lt. Liftbericht (Fach "&amp;X1543&amp;" Stk); ",IF(CB1543=1,"Gebinde geschätzt ("&amp;T1543&amp;"); ",IF(CA1543=1,"Lose – Tablare geschätzt; ","")))&amp;IF(H1543&gt;AW1543,"Überbestand "&amp;ROUND(H1543-AW1543,0)&amp;" Stk / CHF "&amp;ROUND((H1543-AW1543)*G1543,0)&amp;"; ","")&amp;IF(AND(CI1543=1,CJ1543&lt;CK1543),"MAX &lt; MB+LG; ","")&amp;IF(AND(CQ1543&gt;0,CP1543*10&gt;CQ1543),"zu hoch für Tablar; ","")&amp;IF(AND(BW1543=0,OR(CI1543=1,AB1543&lt;&gt;"",U1543&lt;&gt;"",V1543&lt;&gt;"",AC1543&lt;&gt;"")),"manuell übersteuert; ","")&amp;IF(AND(CA1543=0,R1543=0),"Gebinde unbekannt / Stellmass fehlt; ","")&amp;IF(AND(CA1543=0,N(V1543)&lt;=0,N(Q1543)&lt;=0),"Menge pro Gebinde fehlt (Ist = 1 Gebinde); ","")&amp;BV1543)</f>
        <v>Kein Verbrauch; Überbestand 5 Stk / CHF 172; nur im Artikelstamm (Bestand 23.06.2026)</v>
      </c>
      <c r="BO1543" s="60"/>
      <c r="BP1543" s="60"/>
      <c r="BQ1543" s="67"/>
      <c r="BR1543" s="62" t="n">
        <v>30</v>
      </c>
      <c r="BS1543" s="62" t="n">
        <v>0</v>
      </c>
      <c r="BT1543" s="61" t="n">
        <v>0</v>
      </c>
      <c r="BU1543" s="62" t="n">
        <v>0</v>
      </c>
      <c r="BV1543" s="60" t="s">
        <v>2617</v>
      </c>
      <c r="BW1543" s="65" t="n">
        <v>0</v>
      </c>
      <c r="BX1543" s="65" t="n">
        <v>1543</v>
      </c>
      <c r="BY1543" s="60" t="str">
        <f aca="false">IF(U1543&lt;&gt;"",UPPER(TRIM(U1543)),IF(CB1543=1,UPPER(VLOOKUP(T1543,Parameter!$I$27:$K$29,2,0)),IF(P1543="","LOSE",P1543)))</f>
        <v>S33</v>
      </c>
      <c r="BZ1543" s="62" t="n">
        <f aca="false">IF(BY1543="LOSE",1,IF(N(V1543)&gt;0,V1543,IF(CB1543=1,MAX(1,N(VLOOKUP(T1543,Parameter!$I$27:$K$29,3,0)),H1543,N(N1543)),IF(N(Q1543)&gt;0,Q1543,MAX(1,H1543)))))</f>
        <v>30</v>
      </c>
      <c r="CA1543" s="65" t="n">
        <f aca="false">IF(BY1543="LOSE",1,0)</f>
        <v>0</v>
      </c>
      <c r="CB1543" s="65" t="n">
        <f aca="false">IF(AND(U1543="",OR(P1543="",P1543="LOSE"),T1543&lt;&gt;"",N(S1543)&lt;=0,ISNUMBER(MATCH(T1543,Parameter!$I$27:$I$29,0))),1,0)</f>
        <v>0</v>
      </c>
      <c r="CC1543" s="65" t="n">
        <f aca="false">IF(CR1543&gt;0,INDEX(Parameter!$H$5:$H$7,W1543)/INDEX(Parameter!$E$5:$E$7,W1543),IF(AND(CA1543=0,N(IFERROR(VLOOKUP(BY1543,'Gebinde-Kategorie'!$A$5:$N$45,14,0),0))&gt;0),VLOOKUP(BY1543,'Gebinde-Kategorie'!$A$5:$N$45,14,0)*10+Parameter!$M$23,Parameter!$M$24))</f>
        <v>155</v>
      </c>
      <c r="CD1543" s="60" t="str">
        <f aca="false">IF(AND(Parameter!$B$19="Ja",E1543&lt;&gt;"",ISNUMBER(MATCH(E1543,Parameter!$I$35:$I$52,0))),VLOOKUP(E1543,Parameter!$I$35:$J$52,2,0),IFERROR(VLOOKUP(D1543,Parameter!$A$35:$C$64,2,0),"Nein"))</f>
        <v>2+3</v>
      </c>
      <c r="CE1543" s="64" t="n">
        <f aca="false">IF(CA1543=0,0,IF(N(S1543)&gt;0,S1543,IFERROR(VLOOKUP(D1543,Parameter!$A$35:$C$64,3,0)+0,0)))</f>
        <v>0</v>
      </c>
      <c r="CF1543" s="60" t="n">
        <f aca="false">IF(AB1543&lt;&gt;"",AB1543,AA1543)</f>
        <v>2</v>
      </c>
      <c r="CG1543" s="60" t="str">
        <f aca="false">IF(OR(CF1543=1,CF1543=2,CF1543=3),IF(Parameter!$E$27="Ja","LIFT",IF(CF1543=1,"L1","L23")),IF(CF1543="Aussen","Aussen","-"))</f>
        <v>LIFT</v>
      </c>
      <c r="CH1543" s="71" t="n">
        <f aca="false">IF(N(AC1543)&gt;0,AC1543,0)</f>
        <v>0</v>
      </c>
      <c r="CI1543" s="65" t="n">
        <f aca="false">IF(ISNUMBER(AF1543),1,0)</f>
        <v>0</v>
      </c>
      <c r="CJ1543" s="62" t="n">
        <f aca="false">N(AF1543)</f>
        <v>0</v>
      </c>
      <c r="CK1543" s="62" t="n">
        <f aca="false">N(M1543)+N(N1543)</f>
        <v>25</v>
      </c>
      <c r="CL1543" s="62" t="n">
        <f aca="false">N(M1543)</f>
        <v>0</v>
      </c>
      <c r="CM1543" s="62" t="n">
        <f aca="false">N(N1543)</f>
        <v>25</v>
      </c>
      <c r="CN1543" s="62" t="n">
        <f aca="false">ROUNDUP(H1543/BZ1543,0)</f>
        <v>1</v>
      </c>
      <c r="CO1543" s="62" t="n">
        <f aca="false">ROUNDUP(CJ1543/BZ1543,0)</f>
        <v>0</v>
      </c>
      <c r="CP1543" s="65" t="n">
        <f aca="false">IF(CA1543=1,0,IFERROR(VLOOKUP(BY1543,'Gebinde-Kategorie'!$A$5:$N$45,5,0)+0,0))</f>
        <v>8</v>
      </c>
      <c r="CQ1543" s="65" t="n">
        <f aca="false">IFERROR(IF(OR(CF1543=1,CF1543=2,CF1543=3),N(INDEX(Parameter!$I$5:$I$7,CF1543)),0),0)</f>
        <v>0</v>
      </c>
      <c r="CR1543" s="64" t="n">
        <f aca="false">IF(AND(Parameter!$B$21="Ja",ISNUMBER(W1543),N(X1543)&gt;0),IFERROR(N(INDEX(Parameter!$L$5:$L$7,W1543))*INDEX(Parameter!$E$5:$E$7,W1543)*X1543/SUMIFS($X$7:$X$1843,$W$7:$W$1843,W1543),0),0)</f>
        <v>0</v>
      </c>
      <c r="CS1543" s="62" t="n">
        <f aca="false">IF(AND(OR(CG1543="L1",CG1543="L23",CG1543="LIFT"),H1543&gt;0),CC1543*IF(CR1543&gt;0,CR1543*MAX(1,H1543/X1543),IF(CA1543=1,CE1543,IF(R1543&gt;0,CN1543/R1543,0))/MAX(0.1,N(Parameter!$M$21))),"")</f>
        <v>2.98076923076923</v>
      </c>
      <c r="CT1543" s="64" t="n">
        <f aca="false">IF(CS1543="","",J1543/H1543)</f>
        <v>0</v>
      </c>
      <c r="CU1543" s="62" t="n">
        <f aca="false">IF(CS1543="","",H1543*G1543)</f>
        <v>1031.1</v>
      </c>
      <c r="CV1543" s="63" t="n">
        <f aca="false">IF(CS1543="","",(CL1543+ROUNDUP(CL1543+MAX(CM1543,2*(J1543/MAX(0.1,N(Einkauf!$C$6))-CL1543)),0))/2)</f>
        <v>12.5</v>
      </c>
      <c r="CW1543" s="62" t="n">
        <f aca="false">IF(CS1543="","",MAX(0,H1543-CV1543)*G1543)</f>
        <v>601.475</v>
      </c>
      <c r="CX1543" s="62" t="n">
        <f aca="false">IF(CS1543="","",CS1543*MAX(0,1-CV1543/H1543))</f>
        <v>1.73878205128205</v>
      </c>
      <c r="CY1543" s="64" t="n">
        <f aca="false">IF(CS1543="","",PERCENTRANK($CS$7:$CS$1843,CS1543)+PERCENTRANK($CU$7:$CU$1843,CU1543)+1-PERCENTRANK($CT$7:$CT$1843,CT1543))</f>
        <v>1.867</v>
      </c>
      <c r="CZ1543" s="72" t="n">
        <f aca="false">IF(CS1543="","",CHOOSE(MATCH(Einkauf!$C$5,Parameter!$G$23:$G$27,0),CY1543,CS1543,CU1543,-CT1543,CW1543)+ROW()/1000000000)</f>
        <v>1.867001543</v>
      </c>
    </row>
    <row r="1544" customFormat="false" ht="15" hidden="false" customHeight="false" outlineLevel="0" collapsed="false">
      <c r="A1544" s="60" t="s">
        <v>2741</v>
      </c>
      <c r="B1544" s="60" t="s">
        <v>2742</v>
      </c>
      <c r="C1544" s="60" t="s">
        <v>206</v>
      </c>
      <c r="D1544" s="60" t="s">
        <v>226</v>
      </c>
      <c r="E1544" s="60" t="s">
        <v>227</v>
      </c>
      <c r="F1544" s="60"/>
      <c r="G1544" s="61" t="n">
        <v>3.97</v>
      </c>
      <c r="H1544" s="62" t="n">
        <f aca="false">MAX(0,IF(AND(Parameter!$B$21="Ja",ISNUMBER(Y1544)),Y1544,IF(Parameter!$B$20="Jahresanfang 2025 + Export",BS1544+BR1544,BR1544)))</f>
        <v>14</v>
      </c>
      <c r="I1544" s="62" t="n">
        <f aca="false">H1544*G1544</f>
        <v>55.58</v>
      </c>
      <c r="J1544" s="62" t="n">
        <f aca="false">BU1544*Parameter!$B$18</f>
        <v>0</v>
      </c>
      <c r="K1544" s="63"/>
      <c r="L1544" s="64"/>
      <c r="M1544" s="62" t="n">
        <v>0</v>
      </c>
      <c r="N1544" s="62" t="n">
        <v>10</v>
      </c>
      <c r="O1544" s="65" t="n">
        <v>42</v>
      </c>
      <c r="P1544" s="60" t="s">
        <v>468</v>
      </c>
      <c r="Q1544" s="62" t="n">
        <v>14</v>
      </c>
      <c r="R1544" s="65" t="n">
        <f aca="false">IF(CA1544=1,0,IFERROR(VLOOKUP(BY1544,'Gebinde-Kategorie'!$A$5:$N$45,13,0)+0,0))</f>
        <v>140</v>
      </c>
      <c r="S1544" s="66"/>
      <c r="T1544" s="67"/>
      <c r="U1544" s="67"/>
      <c r="V1544" s="67"/>
      <c r="W1544" s="60"/>
      <c r="X1544" s="62"/>
      <c r="Y1544" s="62"/>
      <c r="Z1544" s="60" t="n">
        <v>2</v>
      </c>
      <c r="AA1544" s="60" t="n">
        <f aca="false">IF(A1544="","",IF(AND(Parameter!$B$21="Ja",ISNUMBER(W1544)),W1544,IF(AND(Parameter!$E$27="Ja",ISNUMBER(Z1544),CD1544&lt;&gt;"Nein"),Z1544,IF(CD1544="2+3",IF(ISNUMBER(SEARCH("grosser Artikel",BV1544)),2,IFERROR(VLOOKUP(BY1544,Parameter!$F$35:$G$64,2,0),2)),IF(OR(CD1544="Nein",CD1544=""),"-",CD1544)))))</f>
        <v>2</v>
      </c>
      <c r="AB1544" s="67"/>
      <c r="AC1544" s="68"/>
      <c r="AD1544" s="62" t="n">
        <f aca="false">AW1544</f>
        <v>10</v>
      </c>
      <c r="AE1544" s="62" t="n">
        <f aca="false">MAX(AW1544,H1544)</f>
        <v>14</v>
      </c>
      <c r="AF1544" s="69"/>
      <c r="AG1544" s="62" t="n">
        <f aca="false">IF(LEFT(Cockpit!$C$5,1)="A",H1544,IF(Parameter!$E$30="MAX-Bestand",IF(CI1544=1,CJ1544,IF(LEFT(Cockpit!$C$5,1)="B",AM1544,MAX(AM1544,H1544))),ROUNDUP(AK1544,0)))</f>
        <v>14</v>
      </c>
      <c r="AH1544" s="62" t="n">
        <f aca="false">IF(CA1544=1,0,ROUNDUP(AG1544/BZ1544,0))</f>
        <v>1</v>
      </c>
      <c r="AI1544" s="64" t="n">
        <f aca="false">IF(CR1544&gt;0,CR1544*MAX(1,AG1544/X1544),IF(CA1544=1,IF(AG1544&lt;=0,0,CE1544*MAX(1,IF(H1544&gt;0,AG1544/H1544,1))),IF(R1544&gt;0,AH1544/R1544,0))/MAX(0.1,N(Parameter!$M$21)))</f>
        <v>0.00714285714285714</v>
      </c>
      <c r="AJ1544" s="62" t="n">
        <f aca="false">AI1544*CC1544</f>
        <v>1.10714285714286</v>
      </c>
      <c r="AK1544" s="63" t="n">
        <f aca="false">IF(LEFT(Cockpit!$C$5,1)="A",H1544,IF(CI1544=1,(CL1544+CJ1544)/2,IF(LEFT(Cockpit!$C$5,1)="B",(CL1544+AM1544)/2,MAX((CL1544+AM1544)/2,H1544))))</f>
        <v>14</v>
      </c>
      <c r="AL1544" s="62" t="n">
        <f aca="false">AK1544*G1544</f>
        <v>55.58</v>
      </c>
      <c r="AM1544" s="62" t="n">
        <f aca="false">ROUNDUP(CL1544+MAX(CM1544,2*(J1544/IF(CH1544&gt;0,CH1544,MAX(0.1,N(Cockpit!$C$6)))-CL1544)),0)</f>
        <v>10</v>
      </c>
      <c r="AN1544" s="63" t="n">
        <f aca="false">IF(AJ1544&gt;0,J1544/AJ1544,-1)</f>
        <v>0</v>
      </c>
      <c r="AO1544" s="63" t="n">
        <f aca="false">IF(AND(OR(CG1544="L1",CG1544="L23",CG1544="LIFT"),AJ1544&gt;0),SUMIFS($AJ$7:$AJ$1843,$CG$7:$CG$1843,CG1544,$AN$7:$AN$1843,"&gt;"&amp;AN1544)+SUMIFS($AJ$7:$AJ$1843,$CG$7:$CG$1843,CG1544,$AN$7:$AN$1843,AN1544,$BX$7:$BX$1843,"&lt;="&amp;BX1544),"")</f>
        <v>30138.9618514724</v>
      </c>
      <c r="AP1544" s="70" t="n">
        <f aca="false">IF(AO1544="",0,MAX(0,MIN(1,(IF(CG1544="L1",Parameter!$H$5,IF(CG1544="L23",Parameter!$H$6+Parameter!$H$7,Parameter!$H$5+Parameter!$H$6+Parameter!$H$7))-(AO1544-AJ1544))/AJ1544)))</f>
        <v>1</v>
      </c>
      <c r="AQ1544" s="62" t="n">
        <f aca="false">IF(LEFT(Cockpit!$I$5,1)="A",H1544,IF(Parameter!$E$30="MAX-Bestand",IF(CI1544=1,CJ1544,IF(LEFT(Cockpit!$I$5,1)="B",AW1544,MAX(AW1544,H1544))),ROUNDUP(AU1544,0)))</f>
        <v>14</v>
      </c>
      <c r="AR1544" s="62" t="n">
        <f aca="false">IF(CA1544=1,0,ROUNDUP(AQ1544/BZ1544,0))</f>
        <v>1</v>
      </c>
      <c r="AS1544" s="64" t="n">
        <f aca="false">IF(CR1544&gt;0,CR1544*MAX(1,AQ1544/X1544),IF(CA1544=1,IF(AQ1544&lt;=0,0,CE1544*MAX(1,IF(H1544&gt;0,AQ1544/H1544,1))),IF(R1544&gt;0,AR1544/R1544,0))/MAX(0.1,N(Parameter!$M$21)))</f>
        <v>0.00714285714285714</v>
      </c>
      <c r="AT1544" s="62" t="n">
        <f aca="false">AS1544*CC1544</f>
        <v>1.10714285714286</v>
      </c>
      <c r="AU1544" s="63" t="n">
        <f aca="false">IF(LEFT(Cockpit!$I$5,1)="A",H1544,IF(CI1544=1,(CL1544+CJ1544)/2,IF(LEFT(Cockpit!$I$5,1)="B",(CL1544+AW1544)/2,MAX((CL1544+AW1544)/2,H1544))))</f>
        <v>14</v>
      </c>
      <c r="AV1544" s="62" t="n">
        <f aca="false">AU1544*G1544</f>
        <v>55.58</v>
      </c>
      <c r="AW1544" s="62" t="n">
        <f aca="false">ROUNDUP(CL1544+MAX(CM1544,2*(J1544/IF(CH1544&gt;0,CH1544,MAX(0.1,N(Cockpit!$I$6)))-CL1544)),0)</f>
        <v>10</v>
      </c>
      <c r="AX1544" s="63" t="n">
        <f aca="false">IF(AT1544&gt;0,J1544/AT1544,-1)</f>
        <v>0</v>
      </c>
      <c r="AY1544" s="63" t="n">
        <f aca="false">IF(AND(OR(CG1544="L1",CG1544="L23",CG1544="LIFT"),AT1544&gt;0),SUMIFS($AT$7:$AT$1843,$CG$7:$CG$1843,CG1544,$AX$7:$AX$1843,"&gt;"&amp;AX1544)+SUMIFS($AT$7:$AT$1843,$CG$7:$CG$1843,CG1544,$AX$7:$AX$1843,AX1544,$BX$7:$BX$1843,"&lt;="&amp;BX1544),"")</f>
        <v>36458.8183683078</v>
      </c>
      <c r="AZ1544" s="70" t="n">
        <f aca="false">IF(AY1544="",0,MAX(0,MIN(1,(IF(CG1544="L1",Parameter!$H$5,IF(CG1544="L23",Parameter!$H$6+Parameter!$H$7,Parameter!$H$5+Parameter!$H$6+Parameter!$H$7))-(AY1544-AT1544))/AT1544)))</f>
        <v>0</v>
      </c>
      <c r="BA1544" s="62" t="n">
        <f aca="false">IF(LEFT(Cockpit!$O$5,1)="A",H1544,IF(Parameter!$E$30="MAX-Bestand",IF(CI1544=1,CJ1544,IF(LEFT(Cockpit!$O$5,1)="B",BG1544,MAX(BG1544,H1544))),ROUNDUP(BE1544,0)))</f>
        <v>5</v>
      </c>
      <c r="BB1544" s="62" t="n">
        <f aca="false">IF(CA1544=1,0,ROUNDUP(BA1544/BZ1544,0))</f>
        <v>1</v>
      </c>
      <c r="BC1544" s="64" t="n">
        <f aca="false">IF(CR1544&gt;0,CR1544*MAX(1,BA1544/X1544),IF(CA1544=1,IF(BA1544&lt;=0,0,CE1544*MAX(1,IF(H1544&gt;0,BA1544/H1544,1))),IF(R1544&gt;0,BB1544/R1544,0))/MAX(0.1,N(Parameter!$M$21)))</f>
        <v>0.00714285714285714</v>
      </c>
      <c r="BD1544" s="62" t="n">
        <f aca="false">BC1544*CC1544</f>
        <v>1.10714285714286</v>
      </c>
      <c r="BE1544" s="63" t="n">
        <f aca="false">IF(LEFT(Cockpit!$O$5,1)="A",H1544,IF(CI1544=1,(CL1544+CJ1544)/2,IF(LEFT(Cockpit!$O$5,1)="B",(CL1544+BG1544)/2,MAX((CL1544+BG1544)/2,H1544))))</f>
        <v>5</v>
      </c>
      <c r="BF1544" s="62" t="n">
        <f aca="false">BE1544*G1544</f>
        <v>19.85</v>
      </c>
      <c r="BG1544" s="62" t="n">
        <f aca="false">ROUNDUP(CL1544+MAX(CM1544,2*(J1544/IF(CH1544&gt;0,CH1544,MAX(0.1,N(Cockpit!$O$6)))-CL1544)),0)</f>
        <v>10</v>
      </c>
      <c r="BH1544" s="63" t="n">
        <f aca="false">IF(BD1544&gt;0,J1544/BD1544,-1)</f>
        <v>0</v>
      </c>
      <c r="BI1544" s="63" t="n">
        <f aca="false">IF(AND(OR(CG1544="L1",CG1544="L23",CG1544="LIFT"),BD1544&gt;0),SUMIFS($BD$7:$BD$1843,$CG$7:$CG$1843,CG1544,$BH$7:$BH$1843,"&gt;"&amp;BH1544)+SUMIFS($BD$7:$BD$1843,$CG$7:$CG$1843,CG1544,$BH$7:$BH$1843,BH1544,$BX$7:$BX$1843,"&lt;="&amp;BX1544),"")</f>
        <v>30397.0096438402</v>
      </c>
      <c r="BJ1544" s="70" t="n">
        <f aca="false">IF(BI1544="",0,MAX(0,MIN(1,(IF(CG1544="L1",Parameter!$H$5,IF(CG1544="L23",Parameter!$H$6+Parameter!$H$7,Parameter!$H$5+Parameter!$H$6+Parameter!$H$7))-(BI1544-BD1544))/BD1544)))</f>
        <v>1</v>
      </c>
      <c r="BK1544" s="60" t="str">
        <f aca="false">IF(AJ1544&lt;=0,"",IF(CG1544="Aussen","Aussenlager",IF(CG1544="-","Nicht im Lift",IF(AP1544&gt;=1,"Lift",IF(AP1544&lt;=0,"Aussenlager","teilweise")))))</f>
        <v>Lift</v>
      </c>
      <c r="BL1544" s="60" t="str">
        <f aca="false">IF(AT1544&lt;=0,"",IF(CG1544="Aussen","Aussenlager",IF(CG1544="-","Nicht im Lift",IF(AZ1544&gt;=1,"Lift",IF(AZ1544&lt;=0,"Aussenlager","teilweise")))))</f>
        <v>Aussenlager</v>
      </c>
      <c r="BM1544" s="60" t="str">
        <f aca="false">IF(BD1544&lt;=0,"",IF(CG1544="Aussen","Aussenlager",IF(CG1544="-","Nicht im Lift",IF(BJ1544&gt;=1,"Lift",IF(BJ1544&lt;=0,"Aussenlager","teilweise")))))</f>
        <v>Lift</v>
      </c>
      <c r="BN1544" s="60" t="str">
        <f aca="false">IF(A1544="","",IF(BW1544=1,"Neu; ","")&amp;IF(AND(BW1544=0,BR1544&lt;0),"negativer Bestand (Export "&amp;BR1544&amp;"); ","")&amp;IF(J1544&lt;=0,"Kein Verbrauch; ","")&amp;IF(CR1544&gt;0,"Lift "&amp;W1544&amp;" lt. Liftbericht (Fach "&amp;X1544&amp;" Stk); ",IF(CB1544=1,"Gebinde geschätzt ("&amp;T1544&amp;"); ",IF(CA1544=1,"Lose – Tablare geschätzt; ","")))&amp;IF(H1544&gt;AW1544,"Überbestand "&amp;ROUND(H1544-AW1544,0)&amp;" Stk / CHF "&amp;ROUND((H1544-AW1544)*G1544,0)&amp;"; ","")&amp;IF(AND(CI1544=1,CJ1544&lt;CK1544),"MAX &lt; MB+LG; ","")&amp;IF(AND(CQ1544&gt;0,CP1544*10&gt;CQ1544),"zu hoch für Tablar; ","")&amp;IF(AND(BW1544=0,OR(CI1544=1,AB1544&lt;&gt;"",U1544&lt;&gt;"",V1544&lt;&gt;"",AC1544&lt;&gt;"")),"manuell übersteuert; ","")&amp;IF(AND(CA1544=0,R1544=0),"Gebinde unbekannt / Stellmass fehlt; ","")&amp;IF(AND(CA1544=0,N(V1544)&lt;=0,N(Q1544)&lt;=0),"Menge pro Gebinde fehlt (Ist = 1 Gebinde); ","")&amp;BV1544)</f>
        <v>Kein Verbrauch; Überbestand 4 Stk / CHF 16; nur im Artikelstamm (Bestand 23.06.2026); Neu</v>
      </c>
      <c r="BO1544" s="60"/>
      <c r="BP1544" s="60"/>
      <c r="BQ1544" s="67"/>
      <c r="BR1544" s="62" t="n">
        <v>14</v>
      </c>
      <c r="BS1544" s="62" t="n">
        <v>0</v>
      </c>
      <c r="BT1544" s="61" t="n">
        <v>0</v>
      </c>
      <c r="BU1544" s="62" t="n">
        <v>0</v>
      </c>
      <c r="BV1544" s="60" t="s">
        <v>2709</v>
      </c>
      <c r="BW1544" s="65" t="n">
        <v>0</v>
      </c>
      <c r="BX1544" s="65" t="n">
        <v>1544</v>
      </c>
      <c r="BY1544" s="60" t="str">
        <f aca="false">IF(U1544&lt;&gt;"",UPPER(TRIM(U1544)),IF(CB1544=1,UPPER(VLOOKUP(T1544,Parameter!$I$27:$K$29,2,0)),IF(P1544="","LOSE",P1544)))</f>
        <v>S22</v>
      </c>
      <c r="BZ1544" s="62" t="n">
        <f aca="false">IF(BY1544="LOSE",1,IF(N(V1544)&gt;0,V1544,IF(CB1544=1,MAX(1,N(VLOOKUP(T1544,Parameter!$I$27:$K$29,3,0)),H1544,N(N1544)),IF(N(Q1544)&gt;0,Q1544,MAX(1,H1544)))))</f>
        <v>14</v>
      </c>
      <c r="CA1544" s="65" t="n">
        <f aca="false">IF(BY1544="LOSE",1,0)</f>
        <v>0</v>
      </c>
      <c r="CB1544" s="65" t="n">
        <f aca="false">IF(AND(U1544="",OR(P1544="",P1544="LOSE"),T1544&lt;&gt;"",N(S1544)&lt;=0,ISNUMBER(MATCH(T1544,Parameter!$I$27:$I$29,0))),1,0)</f>
        <v>0</v>
      </c>
      <c r="CC1544" s="65" t="n">
        <f aca="false">IF(CR1544&gt;0,INDEX(Parameter!$H$5:$H$7,W1544)/INDEX(Parameter!$E$5:$E$7,W1544),IF(AND(CA1544=0,N(IFERROR(VLOOKUP(BY1544,'Gebinde-Kategorie'!$A$5:$N$45,14,0),0))&gt;0),VLOOKUP(BY1544,'Gebinde-Kategorie'!$A$5:$N$45,14,0)*10+Parameter!$M$23,Parameter!$M$24))</f>
        <v>155</v>
      </c>
      <c r="CD1544" s="60" t="str">
        <f aca="false">IF(AND(Parameter!$B$19="Ja",E1544&lt;&gt;"",ISNUMBER(MATCH(E1544,Parameter!$I$35:$I$52,0))),VLOOKUP(E1544,Parameter!$I$35:$J$52,2,0),IFERROR(VLOOKUP(D1544,Parameter!$A$35:$C$64,2,0),"Nein"))</f>
        <v>2+3</v>
      </c>
      <c r="CE1544" s="64" t="n">
        <f aca="false">IF(CA1544=0,0,IF(N(S1544)&gt;0,S1544,IFERROR(VLOOKUP(D1544,Parameter!$A$35:$C$64,3,0)+0,0)))</f>
        <v>0</v>
      </c>
      <c r="CF1544" s="60" t="n">
        <f aca="false">IF(AB1544&lt;&gt;"",AB1544,AA1544)</f>
        <v>2</v>
      </c>
      <c r="CG1544" s="60" t="str">
        <f aca="false">IF(OR(CF1544=1,CF1544=2,CF1544=3),IF(Parameter!$E$27="Ja","LIFT",IF(CF1544=1,"L1","L23")),IF(CF1544="Aussen","Aussen","-"))</f>
        <v>LIFT</v>
      </c>
      <c r="CH1544" s="71" t="n">
        <f aca="false">IF(N(AC1544)&gt;0,AC1544,0)</f>
        <v>0</v>
      </c>
      <c r="CI1544" s="65" t="n">
        <f aca="false">IF(ISNUMBER(AF1544),1,0)</f>
        <v>0</v>
      </c>
      <c r="CJ1544" s="62" t="n">
        <f aca="false">N(AF1544)</f>
        <v>0</v>
      </c>
      <c r="CK1544" s="62" t="n">
        <f aca="false">N(M1544)+N(N1544)</f>
        <v>10</v>
      </c>
      <c r="CL1544" s="62" t="n">
        <f aca="false">N(M1544)</f>
        <v>0</v>
      </c>
      <c r="CM1544" s="62" t="n">
        <f aca="false">N(N1544)</f>
        <v>10</v>
      </c>
      <c r="CN1544" s="62" t="n">
        <f aca="false">ROUNDUP(H1544/BZ1544,0)</f>
        <v>1</v>
      </c>
      <c r="CO1544" s="62" t="n">
        <f aca="false">ROUNDUP(CJ1544/BZ1544,0)</f>
        <v>0</v>
      </c>
      <c r="CP1544" s="65" t="n">
        <f aca="false">IF(CA1544=1,0,IFERROR(VLOOKUP(BY1544,'Gebinde-Kategorie'!$A$5:$N$45,5,0)+0,0))</f>
        <v>8</v>
      </c>
      <c r="CQ1544" s="65" t="n">
        <f aca="false">IFERROR(IF(OR(CF1544=1,CF1544=2,CF1544=3),N(INDEX(Parameter!$I$5:$I$7,CF1544)),0),0)</f>
        <v>0</v>
      </c>
      <c r="CR1544" s="64" t="n">
        <f aca="false">IF(AND(Parameter!$B$21="Ja",ISNUMBER(W1544),N(X1544)&gt;0),IFERROR(N(INDEX(Parameter!$L$5:$L$7,W1544))*INDEX(Parameter!$E$5:$E$7,W1544)*X1544/SUMIFS($X$7:$X$1843,$W$7:$W$1843,W1544),0),0)</f>
        <v>0</v>
      </c>
      <c r="CS1544" s="62" t="n">
        <f aca="false">IF(AND(OR(CG1544="L1",CG1544="L23",CG1544="LIFT"),H1544&gt;0),CC1544*IF(CR1544&gt;0,CR1544*MAX(1,H1544/X1544),IF(CA1544=1,CE1544,IF(R1544&gt;0,CN1544/R1544,0))/MAX(0.1,N(Parameter!$M$21))),"")</f>
        <v>1.10714285714286</v>
      </c>
      <c r="CT1544" s="64" t="n">
        <f aca="false">IF(CS1544="","",J1544/H1544)</f>
        <v>0</v>
      </c>
      <c r="CU1544" s="62" t="n">
        <f aca="false">IF(CS1544="","",H1544*G1544)</f>
        <v>55.58</v>
      </c>
      <c r="CV1544" s="63" t="n">
        <f aca="false">IF(CS1544="","",(CL1544+ROUNDUP(CL1544+MAX(CM1544,2*(J1544/MAX(0.1,N(Einkauf!$C$6))-CL1544)),0))/2)</f>
        <v>5</v>
      </c>
      <c r="CW1544" s="62" t="n">
        <f aca="false">IF(CS1544="","",MAX(0,H1544-CV1544)*G1544)</f>
        <v>35.73</v>
      </c>
      <c r="CX1544" s="62" t="n">
        <f aca="false">IF(CS1544="","",CS1544*MAX(0,1-CV1544/H1544))</f>
        <v>0.711734693877551</v>
      </c>
      <c r="CY1544" s="64" t="n">
        <f aca="false">IF(CS1544="","",PERCENTRANK($CS$7:$CS$1843,CS1544)+PERCENTRANK($CU$7:$CU$1843,CU1544)+1-PERCENTRANK($CT$7:$CT$1843,CT1544))</f>
        <v>1.2144</v>
      </c>
      <c r="CZ1544" s="72" t="n">
        <f aca="false">IF(CS1544="","",CHOOSE(MATCH(Einkauf!$C$5,Parameter!$G$23:$G$27,0),CY1544,CS1544,CU1544,-CT1544,CW1544)+ROW()/1000000000)</f>
        <v>1.214401544</v>
      </c>
    </row>
    <row r="1545" customFormat="false" ht="15" hidden="false" customHeight="false" outlineLevel="0" collapsed="false">
      <c r="A1545" s="60" t="s">
        <v>2743</v>
      </c>
      <c r="B1545" s="60" t="s">
        <v>2744</v>
      </c>
      <c r="C1545" s="60" t="s">
        <v>206</v>
      </c>
      <c r="D1545" s="60" t="s">
        <v>226</v>
      </c>
      <c r="E1545" s="60" t="s">
        <v>227</v>
      </c>
      <c r="F1545" s="60"/>
      <c r="G1545" s="61" t="n">
        <v>17.15</v>
      </c>
      <c r="H1545" s="62" t="n">
        <f aca="false">MAX(0,IF(AND(Parameter!$B$21="Ja",ISNUMBER(Y1545)),Y1545,IF(Parameter!$B$20="Jahresanfang 2025 + Export",BS1545+BR1545,BR1545)))</f>
        <v>29</v>
      </c>
      <c r="I1545" s="62" t="n">
        <f aca="false">H1545*G1545</f>
        <v>497.35</v>
      </c>
      <c r="J1545" s="62" t="n">
        <f aca="false">BU1545*Parameter!$B$18</f>
        <v>0</v>
      </c>
      <c r="K1545" s="63"/>
      <c r="L1545" s="64"/>
      <c r="M1545" s="62" t="n">
        <v>2</v>
      </c>
      <c r="N1545" s="62" t="n">
        <v>10</v>
      </c>
      <c r="O1545" s="65" t="n">
        <v>28</v>
      </c>
      <c r="P1545" s="60" t="s">
        <v>463</v>
      </c>
      <c r="Q1545" s="62" t="n">
        <v>29</v>
      </c>
      <c r="R1545" s="65" t="n">
        <f aca="false">IF(CA1545=1,0,IFERROR(VLOOKUP(BY1545,'Gebinde-Kategorie'!$A$5:$N$45,13,0)+0,0))</f>
        <v>104</v>
      </c>
      <c r="S1545" s="66"/>
      <c r="T1545" s="67"/>
      <c r="U1545" s="67"/>
      <c r="V1545" s="67"/>
      <c r="W1545" s="60"/>
      <c r="X1545" s="62"/>
      <c r="Y1545" s="62"/>
      <c r="Z1545" s="60" t="n">
        <v>3</v>
      </c>
      <c r="AA1545" s="60" t="n">
        <f aca="false">IF(A1545="","",IF(AND(Parameter!$B$21="Ja",ISNUMBER(W1545)),W1545,IF(AND(Parameter!$E$27="Ja",ISNUMBER(Z1545),CD1545&lt;&gt;"Nein"),Z1545,IF(CD1545="2+3",IF(ISNUMBER(SEARCH("grosser Artikel",BV1545)),2,IFERROR(VLOOKUP(BY1545,Parameter!$F$35:$G$64,2,0),2)),IF(OR(CD1545="Nein",CD1545=""),"-",CD1545)))))</f>
        <v>3</v>
      </c>
      <c r="AB1545" s="67"/>
      <c r="AC1545" s="68"/>
      <c r="AD1545" s="62" t="n">
        <f aca="false">AW1545</f>
        <v>12</v>
      </c>
      <c r="AE1545" s="62" t="n">
        <f aca="false">MAX(AW1545,H1545)</f>
        <v>29</v>
      </c>
      <c r="AF1545" s="69"/>
      <c r="AG1545" s="62" t="n">
        <f aca="false">IF(LEFT(Cockpit!$C$5,1)="A",H1545,IF(Parameter!$E$30="MAX-Bestand",IF(CI1545=1,CJ1545,IF(LEFT(Cockpit!$C$5,1)="B",AM1545,MAX(AM1545,H1545))),ROUNDUP(AK1545,0)))</f>
        <v>29</v>
      </c>
      <c r="AH1545" s="62" t="n">
        <f aca="false">IF(CA1545=1,0,ROUNDUP(AG1545/BZ1545,0))</f>
        <v>1</v>
      </c>
      <c r="AI1545" s="64" t="n">
        <f aca="false">IF(CR1545&gt;0,CR1545*MAX(1,AG1545/X1545),IF(CA1545=1,IF(AG1545&lt;=0,0,CE1545*MAX(1,IF(H1545&gt;0,AG1545/H1545,1))),IF(R1545&gt;0,AH1545/R1545,0))/MAX(0.1,N(Parameter!$M$21)))</f>
        <v>0.00961538461538462</v>
      </c>
      <c r="AJ1545" s="62" t="n">
        <f aca="false">AI1545*CC1545</f>
        <v>1.49038461538462</v>
      </c>
      <c r="AK1545" s="63" t="n">
        <f aca="false">IF(LEFT(Cockpit!$C$5,1)="A",H1545,IF(CI1545=1,(CL1545+CJ1545)/2,IF(LEFT(Cockpit!$C$5,1)="B",(CL1545+AM1545)/2,MAX((CL1545+AM1545)/2,H1545))))</f>
        <v>29</v>
      </c>
      <c r="AL1545" s="62" t="n">
        <f aca="false">AK1545*G1545</f>
        <v>497.35</v>
      </c>
      <c r="AM1545" s="62" t="n">
        <f aca="false">ROUNDUP(CL1545+MAX(CM1545,2*(J1545/IF(CH1545&gt;0,CH1545,MAX(0.1,N(Cockpit!$C$6)))-CL1545)),0)</f>
        <v>12</v>
      </c>
      <c r="AN1545" s="63" t="n">
        <f aca="false">IF(AJ1545&gt;0,J1545/AJ1545,-1)</f>
        <v>0</v>
      </c>
      <c r="AO1545" s="63" t="n">
        <f aca="false">IF(AND(OR(CG1545="L1",CG1545="L23",CG1545="LIFT"),AJ1545&gt;0),SUMIFS($AJ$7:$AJ$1843,$CG$7:$CG$1843,CG1545,$AN$7:$AN$1843,"&gt;"&amp;AN1545)+SUMIFS($AJ$7:$AJ$1843,$CG$7:$CG$1843,CG1545,$AN$7:$AN$1843,AN1545,$BX$7:$BX$1843,"&lt;="&amp;BX1545),"")</f>
        <v>30140.4522360878</v>
      </c>
      <c r="AP1545" s="70" t="n">
        <f aca="false">IF(AO1545="",0,MAX(0,MIN(1,(IF(CG1545="L1",Parameter!$H$5,IF(CG1545="L23",Parameter!$H$6+Parameter!$H$7,Parameter!$H$5+Parameter!$H$6+Parameter!$H$7))-(AO1545-AJ1545))/AJ1545)))</f>
        <v>1</v>
      </c>
      <c r="AQ1545" s="62" t="n">
        <f aca="false">IF(LEFT(Cockpit!$I$5,1)="A",H1545,IF(Parameter!$E$30="MAX-Bestand",IF(CI1545=1,CJ1545,IF(LEFT(Cockpit!$I$5,1)="B",AW1545,MAX(AW1545,H1545))),ROUNDUP(AU1545,0)))</f>
        <v>29</v>
      </c>
      <c r="AR1545" s="62" t="n">
        <f aca="false">IF(CA1545=1,0,ROUNDUP(AQ1545/BZ1545,0))</f>
        <v>1</v>
      </c>
      <c r="AS1545" s="64" t="n">
        <f aca="false">IF(CR1545&gt;0,CR1545*MAX(1,AQ1545/X1545),IF(CA1545=1,IF(AQ1545&lt;=0,0,CE1545*MAX(1,IF(H1545&gt;0,AQ1545/H1545,1))),IF(R1545&gt;0,AR1545/R1545,0))/MAX(0.1,N(Parameter!$M$21)))</f>
        <v>0.00961538461538462</v>
      </c>
      <c r="AT1545" s="62" t="n">
        <f aca="false">AS1545*CC1545</f>
        <v>1.49038461538462</v>
      </c>
      <c r="AU1545" s="63" t="n">
        <f aca="false">IF(LEFT(Cockpit!$I$5,1)="A",H1545,IF(CI1545=1,(CL1545+CJ1545)/2,IF(LEFT(Cockpit!$I$5,1)="B",(CL1545+AW1545)/2,MAX((CL1545+AW1545)/2,H1545))))</f>
        <v>29</v>
      </c>
      <c r="AV1545" s="62" t="n">
        <f aca="false">AU1545*G1545</f>
        <v>497.35</v>
      </c>
      <c r="AW1545" s="62" t="n">
        <f aca="false">ROUNDUP(CL1545+MAX(CM1545,2*(J1545/IF(CH1545&gt;0,CH1545,MAX(0.1,N(Cockpit!$I$6)))-CL1545)),0)</f>
        <v>12</v>
      </c>
      <c r="AX1545" s="63" t="n">
        <f aca="false">IF(AT1545&gt;0,J1545/AT1545,-1)</f>
        <v>0</v>
      </c>
      <c r="AY1545" s="63" t="n">
        <f aca="false">IF(AND(OR(CG1545="L1",CG1545="L23",CG1545="LIFT"),AT1545&gt;0),SUMIFS($AT$7:$AT$1843,$CG$7:$CG$1843,CG1545,$AX$7:$AX$1843,"&gt;"&amp;AX1545)+SUMIFS($AT$7:$AT$1843,$CG$7:$CG$1843,CG1545,$AX$7:$AX$1843,AX1545,$BX$7:$BX$1843,"&lt;="&amp;BX1545),"")</f>
        <v>36460.3087529232</v>
      </c>
      <c r="AZ1545" s="70" t="n">
        <f aca="false">IF(AY1545="",0,MAX(0,MIN(1,(IF(CG1545="L1",Parameter!$H$5,IF(CG1545="L23",Parameter!$H$6+Parameter!$H$7,Parameter!$H$5+Parameter!$H$6+Parameter!$H$7))-(AY1545-AT1545))/AT1545)))</f>
        <v>0</v>
      </c>
      <c r="BA1545" s="62" t="n">
        <f aca="false">IF(LEFT(Cockpit!$O$5,1)="A",H1545,IF(Parameter!$E$30="MAX-Bestand",IF(CI1545=1,CJ1545,IF(LEFT(Cockpit!$O$5,1)="B",BG1545,MAX(BG1545,H1545))),ROUNDUP(BE1545,0)))</f>
        <v>7</v>
      </c>
      <c r="BB1545" s="62" t="n">
        <f aca="false">IF(CA1545=1,0,ROUNDUP(BA1545/BZ1545,0))</f>
        <v>1</v>
      </c>
      <c r="BC1545" s="64" t="n">
        <f aca="false">IF(CR1545&gt;0,CR1545*MAX(1,BA1545/X1545),IF(CA1545=1,IF(BA1545&lt;=0,0,CE1545*MAX(1,IF(H1545&gt;0,BA1545/H1545,1))),IF(R1545&gt;0,BB1545/R1545,0))/MAX(0.1,N(Parameter!$M$21)))</f>
        <v>0.00961538461538462</v>
      </c>
      <c r="BD1545" s="62" t="n">
        <f aca="false">BC1545*CC1545</f>
        <v>1.49038461538462</v>
      </c>
      <c r="BE1545" s="63" t="n">
        <f aca="false">IF(LEFT(Cockpit!$O$5,1)="A",H1545,IF(CI1545=1,(CL1545+CJ1545)/2,IF(LEFT(Cockpit!$O$5,1)="B",(CL1545+BG1545)/2,MAX((CL1545+BG1545)/2,H1545))))</f>
        <v>7</v>
      </c>
      <c r="BF1545" s="62" t="n">
        <f aca="false">BE1545*G1545</f>
        <v>120.05</v>
      </c>
      <c r="BG1545" s="62" t="n">
        <f aca="false">ROUNDUP(CL1545+MAX(CM1545,2*(J1545/IF(CH1545&gt;0,CH1545,MAX(0.1,N(Cockpit!$O$6)))-CL1545)),0)</f>
        <v>12</v>
      </c>
      <c r="BH1545" s="63" t="n">
        <f aca="false">IF(BD1545&gt;0,J1545/BD1545,-1)</f>
        <v>0</v>
      </c>
      <c r="BI1545" s="63" t="n">
        <f aca="false">IF(AND(OR(CG1545="L1",CG1545="L23",CG1545="LIFT"),BD1545&gt;0),SUMIFS($BD$7:$BD$1843,$CG$7:$CG$1843,CG1545,$BH$7:$BH$1843,"&gt;"&amp;BH1545)+SUMIFS($BD$7:$BD$1843,$CG$7:$CG$1843,CG1545,$BH$7:$BH$1843,BH1545,$BX$7:$BX$1843,"&lt;="&amp;BX1545),"")</f>
        <v>30398.5000284555</v>
      </c>
      <c r="BJ1545" s="70" t="n">
        <f aca="false">IF(BI1545="",0,MAX(0,MIN(1,(IF(CG1545="L1",Parameter!$H$5,IF(CG1545="L23",Parameter!$H$6+Parameter!$H$7,Parameter!$H$5+Parameter!$H$6+Parameter!$H$7))-(BI1545-BD1545))/BD1545)))</f>
        <v>1</v>
      </c>
      <c r="BK1545" s="60" t="str">
        <f aca="false">IF(AJ1545&lt;=0,"",IF(CG1545="Aussen","Aussenlager",IF(CG1545="-","Nicht im Lift",IF(AP1545&gt;=1,"Lift",IF(AP1545&lt;=0,"Aussenlager","teilweise")))))</f>
        <v>Lift</v>
      </c>
      <c r="BL1545" s="60" t="str">
        <f aca="false">IF(AT1545&lt;=0,"",IF(CG1545="Aussen","Aussenlager",IF(CG1545="-","Nicht im Lift",IF(AZ1545&gt;=1,"Lift",IF(AZ1545&lt;=0,"Aussenlager","teilweise")))))</f>
        <v>Aussenlager</v>
      </c>
      <c r="BM1545" s="60" t="str">
        <f aca="false">IF(BD1545&lt;=0,"",IF(CG1545="Aussen","Aussenlager",IF(CG1545="-","Nicht im Lift",IF(BJ1545&gt;=1,"Lift",IF(BJ1545&lt;=0,"Aussenlager","teilweise")))))</f>
        <v>Lift</v>
      </c>
      <c r="BN1545" s="60" t="str">
        <f aca="false">IF(A1545="","",IF(BW1545=1,"Neu; ","")&amp;IF(AND(BW1545=0,BR1545&lt;0),"negativer Bestand (Export "&amp;BR1545&amp;"); ","")&amp;IF(J1545&lt;=0,"Kein Verbrauch; ","")&amp;IF(CR1545&gt;0,"Lift "&amp;W1545&amp;" lt. Liftbericht (Fach "&amp;X1545&amp;" Stk); ",IF(CB1545=1,"Gebinde geschätzt ("&amp;T1545&amp;"); ",IF(CA1545=1,"Lose – Tablare geschätzt; ","")))&amp;IF(H1545&gt;AW1545,"Überbestand "&amp;ROUND(H1545-AW1545,0)&amp;" Stk / CHF "&amp;ROUND((H1545-AW1545)*G1545,0)&amp;"; ","")&amp;IF(AND(CI1545=1,CJ1545&lt;CK1545),"MAX &lt; MB+LG; ","")&amp;IF(AND(CQ1545&gt;0,CP1545*10&gt;CQ1545),"zu hoch für Tablar; ","")&amp;IF(AND(BW1545=0,OR(CI1545=1,AB1545&lt;&gt;"",U1545&lt;&gt;"",V1545&lt;&gt;"",AC1545&lt;&gt;"")),"manuell übersteuert; ","")&amp;IF(AND(CA1545=0,R1545=0),"Gebinde unbekannt / Stellmass fehlt; ","")&amp;IF(AND(CA1545=0,N(V1545)&lt;=0,N(Q1545)&lt;=0),"Menge pro Gebinde fehlt (Ist = 1 Gebinde); ","")&amp;BV1545)</f>
        <v>Kein Verbrauch; Überbestand 17 Stk / CHF 292; nur im Artikelstamm (Bestand 23.06.2026); Neu</v>
      </c>
      <c r="BO1545" s="60"/>
      <c r="BP1545" s="60"/>
      <c r="BQ1545" s="67"/>
      <c r="BR1545" s="62" t="n">
        <v>29</v>
      </c>
      <c r="BS1545" s="62" t="n">
        <v>0</v>
      </c>
      <c r="BT1545" s="61" t="n">
        <v>0</v>
      </c>
      <c r="BU1545" s="62" t="n">
        <v>0</v>
      </c>
      <c r="BV1545" s="60" t="s">
        <v>2709</v>
      </c>
      <c r="BW1545" s="65" t="n">
        <v>0</v>
      </c>
      <c r="BX1545" s="65" t="n">
        <v>1545</v>
      </c>
      <c r="BY1545" s="60" t="str">
        <f aca="false">IF(U1545&lt;&gt;"",UPPER(TRIM(U1545)),IF(CB1545=1,UPPER(VLOOKUP(T1545,Parameter!$I$27:$K$29,2,0)),IF(P1545="","LOSE",P1545)))</f>
        <v>S32</v>
      </c>
      <c r="BZ1545" s="62" t="n">
        <f aca="false">IF(BY1545="LOSE",1,IF(N(V1545)&gt;0,V1545,IF(CB1545=1,MAX(1,N(VLOOKUP(T1545,Parameter!$I$27:$K$29,3,0)),H1545,N(N1545)),IF(N(Q1545)&gt;0,Q1545,MAX(1,H1545)))))</f>
        <v>29</v>
      </c>
      <c r="CA1545" s="65" t="n">
        <f aca="false">IF(BY1545="LOSE",1,0)</f>
        <v>0</v>
      </c>
      <c r="CB1545" s="65" t="n">
        <f aca="false">IF(AND(U1545="",OR(P1545="",P1545="LOSE"),T1545&lt;&gt;"",N(S1545)&lt;=0,ISNUMBER(MATCH(T1545,Parameter!$I$27:$I$29,0))),1,0)</f>
        <v>0</v>
      </c>
      <c r="CC1545" s="65" t="n">
        <f aca="false">IF(CR1545&gt;0,INDEX(Parameter!$H$5:$H$7,W1545)/INDEX(Parameter!$E$5:$E$7,W1545),IF(AND(CA1545=0,N(IFERROR(VLOOKUP(BY1545,'Gebinde-Kategorie'!$A$5:$N$45,14,0),0))&gt;0),VLOOKUP(BY1545,'Gebinde-Kategorie'!$A$5:$N$45,14,0)*10+Parameter!$M$23,Parameter!$M$24))</f>
        <v>155</v>
      </c>
      <c r="CD1545" s="60" t="str">
        <f aca="false">IF(AND(Parameter!$B$19="Ja",E1545&lt;&gt;"",ISNUMBER(MATCH(E1545,Parameter!$I$35:$I$52,0))),VLOOKUP(E1545,Parameter!$I$35:$J$52,2,0),IFERROR(VLOOKUP(D1545,Parameter!$A$35:$C$64,2,0),"Nein"))</f>
        <v>2+3</v>
      </c>
      <c r="CE1545" s="64" t="n">
        <f aca="false">IF(CA1545=0,0,IF(N(S1545)&gt;0,S1545,IFERROR(VLOOKUP(D1545,Parameter!$A$35:$C$64,3,0)+0,0)))</f>
        <v>0</v>
      </c>
      <c r="CF1545" s="60" t="n">
        <f aca="false">IF(AB1545&lt;&gt;"",AB1545,AA1545)</f>
        <v>3</v>
      </c>
      <c r="CG1545" s="60" t="str">
        <f aca="false">IF(OR(CF1545=1,CF1545=2,CF1545=3),IF(Parameter!$E$27="Ja","LIFT",IF(CF1545=1,"L1","L23")),IF(CF1545="Aussen","Aussen","-"))</f>
        <v>LIFT</v>
      </c>
      <c r="CH1545" s="71" t="n">
        <f aca="false">IF(N(AC1545)&gt;0,AC1545,0)</f>
        <v>0</v>
      </c>
      <c r="CI1545" s="65" t="n">
        <f aca="false">IF(ISNUMBER(AF1545),1,0)</f>
        <v>0</v>
      </c>
      <c r="CJ1545" s="62" t="n">
        <f aca="false">N(AF1545)</f>
        <v>0</v>
      </c>
      <c r="CK1545" s="62" t="n">
        <f aca="false">N(M1545)+N(N1545)</f>
        <v>12</v>
      </c>
      <c r="CL1545" s="62" t="n">
        <f aca="false">N(M1545)</f>
        <v>2</v>
      </c>
      <c r="CM1545" s="62" t="n">
        <f aca="false">N(N1545)</f>
        <v>10</v>
      </c>
      <c r="CN1545" s="62" t="n">
        <f aca="false">ROUNDUP(H1545/BZ1545,0)</f>
        <v>1</v>
      </c>
      <c r="CO1545" s="62" t="n">
        <f aca="false">ROUNDUP(CJ1545/BZ1545,0)</f>
        <v>0</v>
      </c>
      <c r="CP1545" s="65" t="n">
        <f aca="false">IF(CA1545=1,0,IFERROR(VLOOKUP(BY1545,'Gebinde-Kategorie'!$A$5:$N$45,5,0)+0,0))</f>
        <v>8</v>
      </c>
      <c r="CQ1545" s="65" t="n">
        <f aca="false">IFERROR(IF(OR(CF1545=1,CF1545=2,CF1545=3),N(INDEX(Parameter!$I$5:$I$7,CF1545)),0),0)</f>
        <v>0</v>
      </c>
      <c r="CR1545" s="64" t="n">
        <f aca="false">IF(AND(Parameter!$B$21="Ja",ISNUMBER(W1545),N(X1545)&gt;0),IFERROR(N(INDEX(Parameter!$L$5:$L$7,W1545))*INDEX(Parameter!$E$5:$E$7,W1545)*X1545/SUMIFS($X$7:$X$1843,$W$7:$W$1843,W1545),0),0)</f>
        <v>0</v>
      </c>
      <c r="CS1545" s="62" t="n">
        <f aca="false">IF(AND(OR(CG1545="L1",CG1545="L23",CG1545="LIFT"),H1545&gt;0),CC1545*IF(CR1545&gt;0,CR1545*MAX(1,H1545/X1545),IF(CA1545=1,CE1545,IF(R1545&gt;0,CN1545/R1545,0))/MAX(0.1,N(Parameter!$M$21))),"")</f>
        <v>1.49038461538462</v>
      </c>
      <c r="CT1545" s="64" t="n">
        <f aca="false">IF(CS1545="","",J1545/H1545)</f>
        <v>0</v>
      </c>
      <c r="CU1545" s="62" t="n">
        <f aca="false">IF(CS1545="","",H1545*G1545)</f>
        <v>497.35</v>
      </c>
      <c r="CV1545" s="63" t="n">
        <f aca="false">IF(CS1545="","",(CL1545+ROUNDUP(CL1545+MAX(CM1545,2*(J1545/MAX(0.1,N(Einkauf!$C$6))-CL1545)),0))/2)</f>
        <v>7</v>
      </c>
      <c r="CW1545" s="62" t="n">
        <f aca="false">IF(CS1545="","",MAX(0,H1545-CV1545)*G1545)</f>
        <v>377.3</v>
      </c>
      <c r="CX1545" s="62" t="n">
        <f aca="false">IF(CS1545="","",CS1545*MAX(0,1-CV1545/H1545))</f>
        <v>1.13063660477454</v>
      </c>
      <c r="CY1545" s="64" t="n">
        <f aca="false">IF(CS1545="","",PERCENTRANK($CS$7:$CS$1843,CS1545)+PERCENTRANK($CU$7:$CU$1843,CU1545)+1-PERCENTRANK($CT$7:$CT$1843,CT1545))</f>
        <v>1.631</v>
      </c>
      <c r="CZ1545" s="72" t="n">
        <f aca="false">IF(CS1545="","",CHOOSE(MATCH(Einkauf!$C$5,Parameter!$G$23:$G$27,0),CY1545,CS1545,CU1545,-CT1545,CW1545)+ROW()/1000000000)</f>
        <v>1.631001545</v>
      </c>
    </row>
    <row r="1546" customFormat="false" ht="15" hidden="false" customHeight="false" outlineLevel="0" collapsed="false">
      <c r="A1546" s="60" t="s">
        <v>2745</v>
      </c>
      <c r="B1546" s="60" t="s">
        <v>1862</v>
      </c>
      <c r="C1546" s="60" t="s">
        <v>206</v>
      </c>
      <c r="D1546" s="60" t="s">
        <v>226</v>
      </c>
      <c r="E1546" s="60" t="s">
        <v>227</v>
      </c>
      <c r="F1546" s="60"/>
      <c r="G1546" s="61" t="n">
        <v>72.87</v>
      </c>
      <c r="H1546" s="62" t="n">
        <f aca="false">MAX(0,IF(AND(Parameter!$B$21="Ja",ISNUMBER(Y1546)),Y1546,IF(Parameter!$B$20="Jahresanfang 2025 + Export",BS1546+BR1546,BR1546)))</f>
        <v>76</v>
      </c>
      <c r="I1546" s="62" t="n">
        <f aca="false">H1546*G1546</f>
        <v>5538.12</v>
      </c>
      <c r="J1546" s="62" t="n">
        <f aca="false">BU1546*Parameter!$B$18</f>
        <v>0</v>
      </c>
      <c r="K1546" s="63"/>
      <c r="L1546" s="64"/>
      <c r="M1546" s="62" t="n">
        <v>0</v>
      </c>
      <c r="N1546" s="62" t="n">
        <v>40</v>
      </c>
      <c r="O1546" s="65" t="n">
        <v>308</v>
      </c>
      <c r="P1546" s="60" t="s">
        <v>344</v>
      </c>
      <c r="Q1546" s="62" t="n">
        <v>76</v>
      </c>
      <c r="R1546" s="65" t="n">
        <f aca="false">IF(CA1546=1,0,IFERROR(VLOOKUP(BY1546,'Gebinde-Kategorie'!$A$5:$N$45,13,0)+0,0))</f>
        <v>26</v>
      </c>
      <c r="S1546" s="66"/>
      <c r="T1546" s="67"/>
      <c r="U1546" s="67"/>
      <c r="V1546" s="67"/>
      <c r="W1546" s="60"/>
      <c r="X1546" s="62"/>
      <c r="Y1546" s="62"/>
      <c r="Z1546" s="60" t="n">
        <v>3</v>
      </c>
      <c r="AA1546" s="60" t="n">
        <f aca="false">IF(A1546="","",IF(AND(Parameter!$B$21="Ja",ISNUMBER(W1546)),W1546,IF(AND(Parameter!$E$27="Ja",ISNUMBER(Z1546),CD1546&lt;&gt;"Nein"),Z1546,IF(CD1546="2+3",IF(ISNUMBER(SEARCH("grosser Artikel",BV1546)),2,IFERROR(VLOOKUP(BY1546,Parameter!$F$35:$G$64,2,0),2)),IF(OR(CD1546="Nein",CD1546=""),"-",CD1546)))))</f>
        <v>3</v>
      </c>
      <c r="AB1546" s="67"/>
      <c r="AC1546" s="68"/>
      <c r="AD1546" s="62" t="n">
        <f aca="false">AW1546</f>
        <v>40</v>
      </c>
      <c r="AE1546" s="62" t="n">
        <f aca="false">MAX(AW1546,H1546)</f>
        <v>76</v>
      </c>
      <c r="AF1546" s="69"/>
      <c r="AG1546" s="62" t="n">
        <f aca="false">IF(LEFT(Cockpit!$C$5,1)="A",H1546,IF(Parameter!$E$30="MAX-Bestand",IF(CI1546=1,CJ1546,IF(LEFT(Cockpit!$C$5,1)="B",AM1546,MAX(AM1546,H1546))),ROUNDUP(AK1546,0)))</f>
        <v>76</v>
      </c>
      <c r="AH1546" s="62" t="n">
        <f aca="false">IF(CA1546=1,0,ROUNDUP(AG1546/BZ1546,0))</f>
        <v>1</v>
      </c>
      <c r="AI1546" s="64" t="n">
        <f aca="false">IF(CR1546&gt;0,CR1546*MAX(1,AG1546/X1546),IF(CA1546=1,IF(AG1546&lt;=0,0,CE1546*MAX(1,IF(H1546&gt;0,AG1546/H1546,1))),IF(R1546&gt;0,AH1546/R1546,0))/MAX(0.1,N(Parameter!$M$21)))</f>
        <v>0.0384615384615385</v>
      </c>
      <c r="AJ1546" s="62" t="n">
        <f aca="false">AI1546*CC1546</f>
        <v>5.96153846153846</v>
      </c>
      <c r="AK1546" s="63" t="n">
        <f aca="false">IF(LEFT(Cockpit!$C$5,1)="A",H1546,IF(CI1546=1,(CL1546+CJ1546)/2,IF(LEFT(Cockpit!$C$5,1)="B",(CL1546+AM1546)/2,MAX((CL1546+AM1546)/2,H1546))))</f>
        <v>76</v>
      </c>
      <c r="AL1546" s="62" t="n">
        <f aca="false">AK1546*G1546</f>
        <v>5538.12</v>
      </c>
      <c r="AM1546" s="62" t="n">
        <f aca="false">ROUNDUP(CL1546+MAX(CM1546,2*(J1546/IF(CH1546&gt;0,CH1546,MAX(0.1,N(Cockpit!$C$6)))-CL1546)),0)</f>
        <v>40</v>
      </c>
      <c r="AN1546" s="63" t="n">
        <f aca="false">IF(AJ1546&gt;0,J1546/AJ1546,-1)</f>
        <v>0</v>
      </c>
      <c r="AO1546" s="63" t="n">
        <f aca="false">IF(AND(OR(CG1546="L1",CG1546="L23",CG1546="LIFT"),AJ1546&gt;0),SUMIFS($AJ$7:$AJ$1843,$CG$7:$CG$1843,CG1546,$AN$7:$AN$1843,"&gt;"&amp;AN1546)+SUMIFS($AJ$7:$AJ$1843,$CG$7:$CG$1843,CG1546,$AN$7:$AN$1843,AN1546,$BX$7:$BX$1843,"&lt;="&amp;BX1546),"")</f>
        <v>30146.4137745494</v>
      </c>
      <c r="AP1546" s="70" t="n">
        <f aca="false">IF(AO1546="",0,MAX(0,MIN(1,(IF(CG1546="L1",Parameter!$H$5,IF(CG1546="L23",Parameter!$H$6+Parameter!$H$7,Parameter!$H$5+Parameter!$H$6+Parameter!$H$7))-(AO1546-AJ1546))/AJ1546)))</f>
        <v>1</v>
      </c>
      <c r="AQ1546" s="62" t="n">
        <f aca="false">IF(LEFT(Cockpit!$I$5,1)="A",H1546,IF(Parameter!$E$30="MAX-Bestand",IF(CI1546=1,CJ1546,IF(LEFT(Cockpit!$I$5,1)="B",AW1546,MAX(AW1546,H1546))),ROUNDUP(AU1546,0)))</f>
        <v>76</v>
      </c>
      <c r="AR1546" s="62" t="n">
        <f aca="false">IF(CA1546=1,0,ROUNDUP(AQ1546/BZ1546,0))</f>
        <v>1</v>
      </c>
      <c r="AS1546" s="64" t="n">
        <f aca="false">IF(CR1546&gt;0,CR1546*MAX(1,AQ1546/X1546),IF(CA1546=1,IF(AQ1546&lt;=0,0,CE1546*MAX(1,IF(H1546&gt;0,AQ1546/H1546,1))),IF(R1546&gt;0,AR1546/R1546,0))/MAX(0.1,N(Parameter!$M$21)))</f>
        <v>0.0384615384615385</v>
      </c>
      <c r="AT1546" s="62" t="n">
        <f aca="false">AS1546*CC1546</f>
        <v>5.96153846153846</v>
      </c>
      <c r="AU1546" s="63" t="n">
        <f aca="false">IF(LEFT(Cockpit!$I$5,1)="A",H1546,IF(CI1546=1,(CL1546+CJ1546)/2,IF(LEFT(Cockpit!$I$5,1)="B",(CL1546+AW1546)/2,MAX((CL1546+AW1546)/2,H1546))))</f>
        <v>76</v>
      </c>
      <c r="AV1546" s="62" t="n">
        <f aca="false">AU1546*G1546</f>
        <v>5538.12</v>
      </c>
      <c r="AW1546" s="62" t="n">
        <f aca="false">ROUNDUP(CL1546+MAX(CM1546,2*(J1546/IF(CH1546&gt;0,CH1546,MAX(0.1,N(Cockpit!$I$6)))-CL1546)),0)</f>
        <v>40</v>
      </c>
      <c r="AX1546" s="63" t="n">
        <f aca="false">IF(AT1546&gt;0,J1546/AT1546,-1)</f>
        <v>0</v>
      </c>
      <c r="AY1546" s="63" t="n">
        <f aca="false">IF(AND(OR(CG1546="L1",CG1546="L23",CG1546="LIFT"),AT1546&gt;0),SUMIFS($AT$7:$AT$1843,$CG$7:$CG$1843,CG1546,$AX$7:$AX$1843,"&gt;"&amp;AX1546)+SUMIFS($AT$7:$AT$1843,$CG$7:$CG$1843,CG1546,$AX$7:$AX$1843,AX1546,$BX$7:$BX$1843,"&lt;="&amp;BX1546),"")</f>
        <v>36466.2702913847</v>
      </c>
      <c r="AZ1546" s="70" t="n">
        <f aca="false">IF(AY1546="",0,MAX(0,MIN(1,(IF(CG1546="L1",Parameter!$H$5,IF(CG1546="L23",Parameter!$H$6+Parameter!$H$7,Parameter!$H$5+Parameter!$H$6+Parameter!$H$7))-(AY1546-AT1546))/AT1546)))</f>
        <v>0</v>
      </c>
      <c r="BA1546" s="62" t="n">
        <f aca="false">IF(LEFT(Cockpit!$O$5,1)="A",H1546,IF(Parameter!$E$30="MAX-Bestand",IF(CI1546=1,CJ1546,IF(LEFT(Cockpit!$O$5,1)="B",BG1546,MAX(BG1546,H1546))),ROUNDUP(BE1546,0)))</f>
        <v>20</v>
      </c>
      <c r="BB1546" s="62" t="n">
        <f aca="false">IF(CA1546=1,0,ROUNDUP(BA1546/BZ1546,0))</f>
        <v>1</v>
      </c>
      <c r="BC1546" s="64" t="n">
        <f aca="false">IF(CR1546&gt;0,CR1546*MAX(1,BA1546/X1546),IF(CA1546=1,IF(BA1546&lt;=0,0,CE1546*MAX(1,IF(H1546&gt;0,BA1546/H1546,1))),IF(R1546&gt;0,BB1546/R1546,0))/MAX(0.1,N(Parameter!$M$21)))</f>
        <v>0.0384615384615385</v>
      </c>
      <c r="BD1546" s="62" t="n">
        <f aca="false">BC1546*CC1546</f>
        <v>5.96153846153846</v>
      </c>
      <c r="BE1546" s="63" t="n">
        <f aca="false">IF(LEFT(Cockpit!$O$5,1)="A",H1546,IF(CI1546=1,(CL1546+CJ1546)/2,IF(LEFT(Cockpit!$O$5,1)="B",(CL1546+BG1546)/2,MAX((CL1546+BG1546)/2,H1546))))</f>
        <v>20</v>
      </c>
      <c r="BF1546" s="62" t="n">
        <f aca="false">BE1546*G1546</f>
        <v>1457.4</v>
      </c>
      <c r="BG1546" s="62" t="n">
        <f aca="false">ROUNDUP(CL1546+MAX(CM1546,2*(J1546/IF(CH1546&gt;0,CH1546,MAX(0.1,N(Cockpit!$O$6)))-CL1546)),0)</f>
        <v>40</v>
      </c>
      <c r="BH1546" s="63" t="n">
        <f aca="false">IF(BD1546&gt;0,J1546/BD1546,-1)</f>
        <v>0</v>
      </c>
      <c r="BI1546" s="63" t="n">
        <f aca="false">IF(AND(OR(CG1546="L1",CG1546="L23",CG1546="LIFT"),BD1546&gt;0),SUMIFS($BD$7:$BD$1843,$CG$7:$CG$1843,CG1546,$BH$7:$BH$1843,"&gt;"&amp;BH1546)+SUMIFS($BD$7:$BD$1843,$CG$7:$CG$1843,CG1546,$BH$7:$BH$1843,BH1546,$BX$7:$BX$1843,"&lt;="&amp;BX1546),"")</f>
        <v>30404.4615669171</v>
      </c>
      <c r="BJ1546" s="70" t="n">
        <f aca="false">IF(BI1546="",0,MAX(0,MIN(1,(IF(CG1546="L1",Parameter!$H$5,IF(CG1546="L23",Parameter!$H$6+Parameter!$H$7,Parameter!$H$5+Parameter!$H$6+Parameter!$H$7))-(BI1546-BD1546))/BD1546)))</f>
        <v>1</v>
      </c>
      <c r="BK1546" s="60" t="str">
        <f aca="false">IF(AJ1546&lt;=0,"",IF(CG1546="Aussen","Aussenlager",IF(CG1546="-","Nicht im Lift",IF(AP1546&gt;=1,"Lift",IF(AP1546&lt;=0,"Aussenlager","teilweise")))))</f>
        <v>Lift</v>
      </c>
      <c r="BL1546" s="60" t="str">
        <f aca="false">IF(AT1546&lt;=0,"",IF(CG1546="Aussen","Aussenlager",IF(CG1546="-","Nicht im Lift",IF(AZ1546&gt;=1,"Lift",IF(AZ1546&lt;=0,"Aussenlager","teilweise")))))</f>
        <v>Aussenlager</v>
      </c>
      <c r="BM1546" s="60" t="str">
        <f aca="false">IF(BD1546&lt;=0,"",IF(CG1546="Aussen","Aussenlager",IF(CG1546="-","Nicht im Lift",IF(BJ1546&gt;=1,"Lift",IF(BJ1546&lt;=0,"Aussenlager","teilweise")))))</f>
        <v>Lift</v>
      </c>
      <c r="BN1546" s="60" t="str">
        <f aca="false">IF(A1546="","",IF(BW1546=1,"Neu; ","")&amp;IF(AND(BW1546=0,BR1546&lt;0),"negativer Bestand (Export "&amp;BR1546&amp;"); ","")&amp;IF(J1546&lt;=0,"Kein Verbrauch; ","")&amp;IF(CR1546&gt;0,"Lift "&amp;W1546&amp;" lt. Liftbericht (Fach "&amp;X1546&amp;" Stk); ",IF(CB1546=1,"Gebinde geschätzt ("&amp;T1546&amp;"); ",IF(CA1546=1,"Lose – Tablare geschätzt; ","")))&amp;IF(H1546&gt;AW1546,"Überbestand "&amp;ROUND(H1546-AW1546,0)&amp;" Stk / CHF "&amp;ROUND((H1546-AW1546)*G1546,0)&amp;"; ","")&amp;IF(AND(CI1546=1,CJ1546&lt;CK1546),"MAX &lt; MB+LG; ","")&amp;IF(AND(CQ1546&gt;0,CP1546*10&gt;CQ1546),"zu hoch für Tablar; ","")&amp;IF(AND(BW1546=0,OR(CI1546=1,AB1546&lt;&gt;"",U1546&lt;&gt;"",V1546&lt;&gt;"",AC1546&lt;&gt;"")),"manuell übersteuert; ","")&amp;IF(AND(CA1546=0,R1546=0),"Gebinde unbekannt / Stellmass fehlt; ","")&amp;IF(AND(CA1546=0,N(V1546)&lt;=0,N(Q1546)&lt;=0),"Menge pro Gebinde fehlt (Ist = 1 Gebinde); ","")&amp;BV1546)</f>
        <v>Kein Verbrauch; Überbestand 36 Stk / CHF 2623; nur im Artikelstamm (Bestand 23.06.2026); Neu</v>
      </c>
      <c r="BO1546" s="60"/>
      <c r="BP1546" s="60"/>
      <c r="BQ1546" s="67"/>
      <c r="BR1546" s="62" t="n">
        <v>76</v>
      </c>
      <c r="BS1546" s="62" t="n">
        <v>0</v>
      </c>
      <c r="BT1546" s="61" t="n">
        <v>0</v>
      </c>
      <c r="BU1546" s="62" t="n">
        <v>0</v>
      </c>
      <c r="BV1546" s="60" t="s">
        <v>2709</v>
      </c>
      <c r="BW1546" s="65" t="n">
        <v>0</v>
      </c>
      <c r="BX1546" s="65" t="n">
        <v>1546</v>
      </c>
      <c r="BY1546" s="60" t="str">
        <f aca="false">IF(U1546&lt;&gt;"",UPPER(TRIM(U1546)),IF(CB1546=1,UPPER(VLOOKUP(T1546,Parameter!$I$27:$K$29,2,0)),IF(P1546="","LOSE",P1546)))</f>
        <v>S51</v>
      </c>
      <c r="BZ1546" s="62" t="n">
        <f aca="false">IF(BY1546="LOSE",1,IF(N(V1546)&gt;0,V1546,IF(CB1546=1,MAX(1,N(VLOOKUP(T1546,Parameter!$I$27:$K$29,3,0)),H1546,N(N1546)),IF(N(Q1546)&gt;0,Q1546,MAX(1,H1546)))))</f>
        <v>76</v>
      </c>
      <c r="CA1546" s="65" t="n">
        <f aca="false">IF(BY1546="LOSE",1,0)</f>
        <v>0</v>
      </c>
      <c r="CB1546" s="65" t="n">
        <f aca="false">IF(AND(U1546="",OR(P1546="",P1546="LOSE"),T1546&lt;&gt;"",N(S1546)&lt;=0,ISNUMBER(MATCH(T1546,Parameter!$I$27:$I$29,0))),1,0)</f>
        <v>0</v>
      </c>
      <c r="CC1546" s="65" t="n">
        <f aca="false">IF(CR1546&gt;0,INDEX(Parameter!$H$5:$H$7,W1546)/INDEX(Parameter!$E$5:$E$7,W1546),IF(AND(CA1546=0,N(IFERROR(VLOOKUP(BY1546,'Gebinde-Kategorie'!$A$5:$N$45,14,0),0))&gt;0),VLOOKUP(BY1546,'Gebinde-Kategorie'!$A$5:$N$45,14,0)*10+Parameter!$M$23,Parameter!$M$24))</f>
        <v>155</v>
      </c>
      <c r="CD1546" s="60" t="str">
        <f aca="false">IF(AND(Parameter!$B$19="Ja",E1546&lt;&gt;"",ISNUMBER(MATCH(E1546,Parameter!$I$35:$I$52,0))),VLOOKUP(E1546,Parameter!$I$35:$J$52,2,0),IFERROR(VLOOKUP(D1546,Parameter!$A$35:$C$64,2,0),"Nein"))</f>
        <v>2+3</v>
      </c>
      <c r="CE1546" s="64" t="n">
        <f aca="false">IF(CA1546=0,0,IF(N(S1546)&gt;0,S1546,IFERROR(VLOOKUP(D1546,Parameter!$A$35:$C$64,3,0)+0,0)))</f>
        <v>0</v>
      </c>
      <c r="CF1546" s="60" t="n">
        <f aca="false">IF(AB1546&lt;&gt;"",AB1546,AA1546)</f>
        <v>3</v>
      </c>
      <c r="CG1546" s="60" t="str">
        <f aca="false">IF(OR(CF1546=1,CF1546=2,CF1546=3),IF(Parameter!$E$27="Ja","LIFT",IF(CF1546=1,"L1","L23")),IF(CF1546="Aussen","Aussen","-"))</f>
        <v>LIFT</v>
      </c>
      <c r="CH1546" s="71" t="n">
        <f aca="false">IF(N(AC1546)&gt;0,AC1546,0)</f>
        <v>0</v>
      </c>
      <c r="CI1546" s="65" t="n">
        <f aca="false">IF(ISNUMBER(AF1546),1,0)</f>
        <v>0</v>
      </c>
      <c r="CJ1546" s="62" t="n">
        <f aca="false">N(AF1546)</f>
        <v>0</v>
      </c>
      <c r="CK1546" s="62" t="n">
        <f aca="false">N(M1546)+N(N1546)</f>
        <v>40</v>
      </c>
      <c r="CL1546" s="62" t="n">
        <f aca="false">N(M1546)</f>
        <v>0</v>
      </c>
      <c r="CM1546" s="62" t="n">
        <f aca="false">N(N1546)</f>
        <v>40</v>
      </c>
      <c r="CN1546" s="62" t="n">
        <f aca="false">ROUNDUP(H1546/BZ1546,0)</f>
        <v>1</v>
      </c>
      <c r="CO1546" s="62" t="n">
        <f aca="false">ROUNDUP(CJ1546/BZ1546,0)</f>
        <v>0</v>
      </c>
      <c r="CP1546" s="65" t="n">
        <f aca="false">IF(CA1546=1,0,IFERROR(VLOOKUP(BY1546,'Gebinde-Kategorie'!$A$5:$N$45,5,0)+0,0))</f>
        <v>11</v>
      </c>
      <c r="CQ1546" s="65" t="n">
        <f aca="false">IFERROR(IF(OR(CF1546=1,CF1546=2,CF1546=3),N(INDEX(Parameter!$I$5:$I$7,CF1546)),0),0)</f>
        <v>0</v>
      </c>
      <c r="CR1546" s="64" t="n">
        <f aca="false">IF(AND(Parameter!$B$21="Ja",ISNUMBER(W1546),N(X1546)&gt;0),IFERROR(N(INDEX(Parameter!$L$5:$L$7,W1546))*INDEX(Parameter!$E$5:$E$7,W1546)*X1546/SUMIFS($X$7:$X$1843,$W$7:$W$1843,W1546),0),0)</f>
        <v>0</v>
      </c>
      <c r="CS1546" s="62" t="n">
        <f aca="false">IF(AND(OR(CG1546="L1",CG1546="L23",CG1546="LIFT"),H1546&gt;0),CC1546*IF(CR1546&gt;0,CR1546*MAX(1,H1546/X1546),IF(CA1546=1,CE1546,IF(R1546&gt;0,CN1546/R1546,0))/MAX(0.1,N(Parameter!$M$21))),"")</f>
        <v>5.96153846153846</v>
      </c>
      <c r="CT1546" s="64" t="n">
        <f aca="false">IF(CS1546="","",J1546/H1546)</f>
        <v>0</v>
      </c>
      <c r="CU1546" s="62" t="n">
        <f aca="false">IF(CS1546="","",H1546*G1546)</f>
        <v>5538.12</v>
      </c>
      <c r="CV1546" s="63" t="n">
        <f aca="false">IF(CS1546="","",(CL1546+ROUNDUP(CL1546+MAX(CM1546,2*(J1546/MAX(0.1,N(Einkauf!$C$6))-CL1546)),0))/2)</f>
        <v>20</v>
      </c>
      <c r="CW1546" s="62" t="n">
        <f aca="false">IF(CS1546="","",MAX(0,H1546-CV1546)*G1546)</f>
        <v>4080.72</v>
      </c>
      <c r="CX1546" s="62" t="n">
        <f aca="false">IF(CS1546="","",CS1546*MAX(0,1-CV1546/H1546))</f>
        <v>4.39271255060729</v>
      </c>
      <c r="CY1546" s="64" t="n">
        <f aca="false">IF(CS1546="","",PERCENTRANK($CS$7:$CS$1843,CS1546)+PERCENTRANK($CU$7:$CU$1843,CU1546)+1-PERCENTRANK($CT$7:$CT$1843,CT1546))</f>
        <v>2.271</v>
      </c>
      <c r="CZ1546" s="72" t="n">
        <f aca="false">IF(CS1546="","",CHOOSE(MATCH(Einkauf!$C$5,Parameter!$G$23:$G$27,0),CY1546,CS1546,CU1546,-CT1546,CW1546)+ROW()/1000000000)</f>
        <v>2.271001546</v>
      </c>
    </row>
    <row r="1547" customFormat="false" ht="15" hidden="false" customHeight="false" outlineLevel="0" collapsed="false">
      <c r="A1547" s="60" t="s">
        <v>2746</v>
      </c>
      <c r="B1547" s="60" t="s">
        <v>482</v>
      </c>
      <c r="C1547" s="60" t="s">
        <v>206</v>
      </c>
      <c r="D1547" s="60" t="s">
        <v>226</v>
      </c>
      <c r="E1547" s="60" t="s">
        <v>227</v>
      </c>
      <c r="F1547" s="60"/>
      <c r="G1547" s="61" t="n">
        <v>47.74</v>
      </c>
      <c r="H1547" s="62" t="n">
        <f aca="false">MAX(0,IF(AND(Parameter!$B$21="Ja",ISNUMBER(Y1547)),Y1547,IF(Parameter!$B$20="Jahresanfang 2025 + Export",BS1547+BR1547,BR1547)))</f>
        <v>5</v>
      </c>
      <c r="I1547" s="62" t="n">
        <f aca="false">H1547*G1547</f>
        <v>238.7</v>
      </c>
      <c r="J1547" s="62" t="n">
        <f aca="false">BU1547*Parameter!$B$18</f>
        <v>0</v>
      </c>
      <c r="K1547" s="63"/>
      <c r="L1547" s="64"/>
      <c r="M1547" s="62" t="n">
        <v>0</v>
      </c>
      <c r="N1547" s="62" t="n">
        <v>1</v>
      </c>
      <c r="O1547" s="65" t="n">
        <v>35</v>
      </c>
      <c r="P1547" s="60" t="s">
        <v>463</v>
      </c>
      <c r="Q1547" s="62" t="n">
        <v>5</v>
      </c>
      <c r="R1547" s="65" t="n">
        <f aca="false">IF(CA1547=1,0,IFERROR(VLOOKUP(BY1547,'Gebinde-Kategorie'!$A$5:$N$45,13,0)+0,0))</f>
        <v>104</v>
      </c>
      <c r="S1547" s="66"/>
      <c r="T1547" s="67"/>
      <c r="U1547" s="67"/>
      <c r="V1547" s="67"/>
      <c r="W1547" s="60"/>
      <c r="X1547" s="62"/>
      <c r="Y1547" s="62"/>
      <c r="Z1547" s="60" t="n">
        <v>3</v>
      </c>
      <c r="AA1547" s="60" t="n">
        <f aca="false">IF(A1547="","",IF(AND(Parameter!$B$21="Ja",ISNUMBER(W1547)),W1547,IF(AND(Parameter!$E$27="Ja",ISNUMBER(Z1547),CD1547&lt;&gt;"Nein"),Z1547,IF(CD1547="2+3",IF(ISNUMBER(SEARCH("grosser Artikel",BV1547)),2,IFERROR(VLOOKUP(BY1547,Parameter!$F$35:$G$64,2,0),2)),IF(OR(CD1547="Nein",CD1547=""),"-",CD1547)))))</f>
        <v>3</v>
      </c>
      <c r="AB1547" s="67"/>
      <c r="AC1547" s="68"/>
      <c r="AD1547" s="62" t="n">
        <f aca="false">AW1547</f>
        <v>1</v>
      </c>
      <c r="AE1547" s="62" t="n">
        <f aca="false">MAX(AW1547,H1547)</f>
        <v>5</v>
      </c>
      <c r="AF1547" s="69"/>
      <c r="AG1547" s="62" t="n">
        <f aca="false">IF(LEFT(Cockpit!$C$5,1)="A",H1547,IF(Parameter!$E$30="MAX-Bestand",IF(CI1547=1,CJ1547,IF(LEFT(Cockpit!$C$5,1)="B",AM1547,MAX(AM1547,H1547))),ROUNDUP(AK1547,0)))</f>
        <v>5</v>
      </c>
      <c r="AH1547" s="62" t="n">
        <f aca="false">IF(CA1547=1,0,ROUNDUP(AG1547/BZ1547,0))</f>
        <v>1</v>
      </c>
      <c r="AI1547" s="64" t="n">
        <f aca="false">IF(CR1547&gt;0,CR1547*MAX(1,AG1547/X1547),IF(CA1547=1,IF(AG1547&lt;=0,0,CE1547*MAX(1,IF(H1547&gt;0,AG1547/H1547,1))),IF(R1547&gt;0,AH1547/R1547,0))/MAX(0.1,N(Parameter!$M$21)))</f>
        <v>0.00961538461538462</v>
      </c>
      <c r="AJ1547" s="62" t="n">
        <f aca="false">AI1547*CC1547</f>
        <v>1.49038461538462</v>
      </c>
      <c r="AK1547" s="63" t="n">
        <f aca="false">IF(LEFT(Cockpit!$C$5,1)="A",H1547,IF(CI1547=1,(CL1547+CJ1547)/2,IF(LEFT(Cockpit!$C$5,1)="B",(CL1547+AM1547)/2,MAX((CL1547+AM1547)/2,H1547))))</f>
        <v>5</v>
      </c>
      <c r="AL1547" s="62" t="n">
        <f aca="false">AK1547*G1547</f>
        <v>238.7</v>
      </c>
      <c r="AM1547" s="62" t="n">
        <f aca="false">ROUNDUP(CL1547+MAX(CM1547,2*(J1547/IF(CH1547&gt;0,CH1547,MAX(0.1,N(Cockpit!$C$6)))-CL1547)),0)</f>
        <v>1</v>
      </c>
      <c r="AN1547" s="63" t="n">
        <f aca="false">IF(AJ1547&gt;0,J1547/AJ1547,-1)</f>
        <v>0</v>
      </c>
      <c r="AO1547" s="63" t="n">
        <f aca="false">IF(AND(OR(CG1547="L1",CG1547="L23",CG1547="LIFT"),AJ1547&gt;0),SUMIFS($AJ$7:$AJ$1843,$CG$7:$CG$1843,CG1547,$AN$7:$AN$1843,"&gt;"&amp;AN1547)+SUMIFS($AJ$7:$AJ$1843,$CG$7:$CG$1843,CG1547,$AN$7:$AN$1843,AN1547,$BX$7:$BX$1843,"&lt;="&amp;BX1547),"")</f>
        <v>30147.9041591648</v>
      </c>
      <c r="AP1547" s="70" t="n">
        <f aca="false">IF(AO1547="",0,MAX(0,MIN(1,(IF(CG1547="L1",Parameter!$H$5,IF(CG1547="L23",Parameter!$H$6+Parameter!$H$7,Parameter!$H$5+Parameter!$H$6+Parameter!$H$7))-(AO1547-AJ1547))/AJ1547)))</f>
        <v>1</v>
      </c>
      <c r="AQ1547" s="62" t="n">
        <f aca="false">IF(LEFT(Cockpit!$I$5,1)="A",H1547,IF(Parameter!$E$30="MAX-Bestand",IF(CI1547=1,CJ1547,IF(LEFT(Cockpit!$I$5,1)="B",AW1547,MAX(AW1547,H1547))),ROUNDUP(AU1547,0)))</f>
        <v>5</v>
      </c>
      <c r="AR1547" s="62" t="n">
        <f aca="false">IF(CA1547=1,0,ROUNDUP(AQ1547/BZ1547,0))</f>
        <v>1</v>
      </c>
      <c r="AS1547" s="64" t="n">
        <f aca="false">IF(CR1547&gt;0,CR1547*MAX(1,AQ1547/X1547),IF(CA1547=1,IF(AQ1547&lt;=0,0,CE1547*MAX(1,IF(H1547&gt;0,AQ1547/H1547,1))),IF(R1547&gt;0,AR1547/R1547,0))/MAX(0.1,N(Parameter!$M$21)))</f>
        <v>0.00961538461538462</v>
      </c>
      <c r="AT1547" s="62" t="n">
        <f aca="false">AS1547*CC1547</f>
        <v>1.49038461538462</v>
      </c>
      <c r="AU1547" s="63" t="n">
        <f aca="false">IF(LEFT(Cockpit!$I$5,1)="A",H1547,IF(CI1547=1,(CL1547+CJ1547)/2,IF(LEFT(Cockpit!$I$5,1)="B",(CL1547+AW1547)/2,MAX((CL1547+AW1547)/2,H1547))))</f>
        <v>5</v>
      </c>
      <c r="AV1547" s="62" t="n">
        <f aca="false">AU1547*G1547</f>
        <v>238.7</v>
      </c>
      <c r="AW1547" s="62" t="n">
        <f aca="false">ROUNDUP(CL1547+MAX(CM1547,2*(J1547/IF(CH1547&gt;0,CH1547,MAX(0.1,N(Cockpit!$I$6)))-CL1547)),0)</f>
        <v>1</v>
      </c>
      <c r="AX1547" s="63" t="n">
        <f aca="false">IF(AT1547&gt;0,J1547/AT1547,-1)</f>
        <v>0</v>
      </c>
      <c r="AY1547" s="63" t="n">
        <f aca="false">IF(AND(OR(CG1547="L1",CG1547="L23",CG1547="LIFT"),AT1547&gt;0),SUMIFS($AT$7:$AT$1843,$CG$7:$CG$1843,CG1547,$AX$7:$AX$1843,"&gt;"&amp;AX1547)+SUMIFS($AT$7:$AT$1843,$CG$7:$CG$1843,CG1547,$AX$7:$AX$1843,AX1547,$BX$7:$BX$1843,"&lt;="&amp;BX1547),"")</f>
        <v>36467.7606760001</v>
      </c>
      <c r="AZ1547" s="70" t="n">
        <f aca="false">IF(AY1547="",0,MAX(0,MIN(1,(IF(CG1547="L1",Parameter!$H$5,IF(CG1547="L23",Parameter!$H$6+Parameter!$H$7,Parameter!$H$5+Parameter!$H$6+Parameter!$H$7))-(AY1547-AT1547))/AT1547)))</f>
        <v>0</v>
      </c>
      <c r="BA1547" s="62" t="n">
        <f aca="false">IF(LEFT(Cockpit!$O$5,1)="A",H1547,IF(Parameter!$E$30="MAX-Bestand",IF(CI1547=1,CJ1547,IF(LEFT(Cockpit!$O$5,1)="B",BG1547,MAX(BG1547,H1547))),ROUNDUP(BE1547,0)))</f>
        <v>1</v>
      </c>
      <c r="BB1547" s="62" t="n">
        <f aca="false">IF(CA1547=1,0,ROUNDUP(BA1547/BZ1547,0))</f>
        <v>1</v>
      </c>
      <c r="BC1547" s="64" t="n">
        <f aca="false">IF(CR1547&gt;0,CR1547*MAX(1,BA1547/X1547),IF(CA1547=1,IF(BA1547&lt;=0,0,CE1547*MAX(1,IF(H1547&gt;0,BA1547/H1547,1))),IF(R1547&gt;0,BB1547/R1547,0))/MAX(0.1,N(Parameter!$M$21)))</f>
        <v>0.00961538461538462</v>
      </c>
      <c r="BD1547" s="62" t="n">
        <f aca="false">BC1547*CC1547</f>
        <v>1.49038461538462</v>
      </c>
      <c r="BE1547" s="63" t="n">
        <f aca="false">IF(LEFT(Cockpit!$O$5,1)="A",H1547,IF(CI1547=1,(CL1547+CJ1547)/2,IF(LEFT(Cockpit!$O$5,1)="B",(CL1547+BG1547)/2,MAX((CL1547+BG1547)/2,H1547))))</f>
        <v>0.5</v>
      </c>
      <c r="BF1547" s="62" t="n">
        <f aca="false">BE1547*G1547</f>
        <v>23.87</v>
      </c>
      <c r="BG1547" s="62" t="n">
        <f aca="false">ROUNDUP(CL1547+MAX(CM1547,2*(J1547/IF(CH1547&gt;0,CH1547,MAX(0.1,N(Cockpit!$O$6)))-CL1547)),0)</f>
        <v>1</v>
      </c>
      <c r="BH1547" s="63" t="n">
        <f aca="false">IF(BD1547&gt;0,J1547/BD1547,-1)</f>
        <v>0</v>
      </c>
      <c r="BI1547" s="63" t="n">
        <f aca="false">IF(AND(OR(CG1547="L1",CG1547="L23",CG1547="LIFT"),BD1547&gt;0),SUMIFS($BD$7:$BD$1843,$CG$7:$CG$1843,CG1547,$BH$7:$BH$1843,"&gt;"&amp;BH1547)+SUMIFS($BD$7:$BD$1843,$CG$7:$CG$1843,CG1547,$BH$7:$BH$1843,BH1547,$BX$7:$BX$1843,"&lt;="&amp;BX1547),"")</f>
        <v>30405.9519515325</v>
      </c>
      <c r="BJ1547" s="70" t="n">
        <f aca="false">IF(BI1547="",0,MAX(0,MIN(1,(IF(CG1547="L1",Parameter!$H$5,IF(CG1547="L23",Parameter!$H$6+Parameter!$H$7,Parameter!$H$5+Parameter!$H$6+Parameter!$H$7))-(BI1547-BD1547))/BD1547)))</f>
        <v>1</v>
      </c>
      <c r="BK1547" s="60" t="str">
        <f aca="false">IF(AJ1547&lt;=0,"",IF(CG1547="Aussen","Aussenlager",IF(CG1547="-","Nicht im Lift",IF(AP1547&gt;=1,"Lift",IF(AP1547&lt;=0,"Aussenlager","teilweise")))))</f>
        <v>Lift</v>
      </c>
      <c r="BL1547" s="60" t="str">
        <f aca="false">IF(AT1547&lt;=0,"",IF(CG1547="Aussen","Aussenlager",IF(CG1547="-","Nicht im Lift",IF(AZ1547&gt;=1,"Lift",IF(AZ1547&lt;=0,"Aussenlager","teilweise")))))</f>
        <v>Aussenlager</v>
      </c>
      <c r="BM1547" s="60" t="str">
        <f aca="false">IF(BD1547&lt;=0,"",IF(CG1547="Aussen","Aussenlager",IF(CG1547="-","Nicht im Lift",IF(BJ1547&gt;=1,"Lift",IF(BJ1547&lt;=0,"Aussenlager","teilweise")))))</f>
        <v>Lift</v>
      </c>
      <c r="BN1547" s="60" t="str">
        <f aca="false">IF(A1547="","",IF(BW1547=1,"Neu; ","")&amp;IF(AND(BW1547=0,BR1547&lt;0),"negativer Bestand (Export "&amp;BR1547&amp;"); ","")&amp;IF(J1547&lt;=0,"Kein Verbrauch; ","")&amp;IF(CR1547&gt;0,"Lift "&amp;W1547&amp;" lt. Liftbericht (Fach "&amp;X1547&amp;" Stk); ",IF(CB1547=1,"Gebinde geschätzt ("&amp;T1547&amp;"); ",IF(CA1547=1,"Lose – Tablare geschätzt; ","")))&amp;IF(H1547&gt;AW1547,"Überbestand "&amp;ROUND(H1547-AW1547,0)&amp;" Stk / CHF "&amp;ROUND((H1547-AW1547)*G1547,0)&amp;"; ","")&amp;IF(AND(CI1547=1,CJ1547&lt;CK1547),"MAX &lt; MB+LG; ","")&amp;IF(AND(CQ1547&gt;0,CP1547*10&gt;CQ1547),"zu hoch für Tablar; ","")&amp;IF(AND(BW1547=0,OR(CI1547=1,AB1547&lt;&gt;"",U1547&lt;&gt;"",V1547&lt;&gt;"",AC1547&lt;&gt;"")),"manuell übersteuert; ","")&amp;IF(AND(CA1547=0,R1547=0),"Gebinde unbekannt / Stellmass fehlt; ","")&amp;IF(AND(CA1547=0,N(V1547)&lt;=0,N(Q1547)&lt;=0),"Menge pro Gebinde fehlt (Ist = 1 Gebinde); ","")&amp;BV1547)</f>
        <v>Kein Verbrauch; Überbestand 4 Stk / CHF 191; nur im Artikelstamm (Bestand 23.06.2026)</v>
      </c>
      <c r="BO1547" s="60"/>
      <c r="BP1547" s="60"/>
      <c r="BQ1547" s="67"/>
      <c r="BR1547" s="62" t="n">
        <v>5</v>
      </c>
      <c r="BS1547" s="62" t="n">
        <v>0</v>
      </c>
      <c r="BT1547" s="61" t="n">
        <v>0</v>
      </c>
      <c r="BU1547" s="62" t="n">
        <v>0</v>
      </c>
      <c r="BV1547" s="60" t="s">
        <v>2617</v>
      </c>
      <c r="BW1547" s="65" t="n">
        <v>0</v>
      </c>
      <c r="BX1547" s="65" t="n">
        <v>1547</v>
      </c>
      <c r="BY1547" s="60" t="str">
        <f aca="false">IF(U1547&lt;&gt;"",UPPER(TRIM(U1547)),IF(CB1547=1,UPPER(VLOOKUP(T1547,Parameter!$I$27:$K$29,2,0)),IF(P1547="","LOSE",P1547)))</f>
        <v>S32</v>
      </c>
      <c r="BZ1547" s="62" t="n">
        <f aca="false">IF(BY1547="LOSE",1,IF(N(V1547)&gt;0,V1547,IF(CB1547=1,MAX(1,N(VLOOKUP(T1547,Parameter!$I$27:$K$29,3,0)),H1547,N(N1547)),IF(N(Q1547)&gt;0,Q1547,MAX(1,H1547)))))</f>
        <v>5</v>
      </c>
      <c r="CA1547" s="65" t="n">
        <f aca="false">IF(BY1547="LOSE",1,0)</f>
        <v>0</v>
      </c>
      <c r="CB1547" s="65" t="n">
        <f aca="false">IF(AND(U1547="",OR(P1547="",P1547="LOSE"),T1547&lt;&gt;"",N(S1547)&lt;=0,ISNUMBER(MATCH(T1547,Parameter!$I$27:$I$29,0))),1,0)</f>
        <v>0</v>
      </c>
      <c r="CC1547" s="65" t="n">
        <f aca="false">IF(CR1547&gt;0,INDEX(Parameter!$H$5:$H$7,W1547)/INDEX(Parameter!$E$5:$E$7,W1547),IF(AND(CA1547=0,N(IFERROR(VLOOKUP(BY1547,'Gebinde-Kategorie'!$A$5:$N$45,14,0),0))&gt;0),VLOOKUP(BY1547,'Gebinde-Kategorie'!$A$5:$N$45,14,0)*10+Parameter!$M$23,Parameter!$M$24))</f>
        <v>155</v>
      </c>
      <c r="CD1547" s="60" t="str">
        <f aca="false">IF(AND(Parameter!$B$19="Ja",E1547&lt;&gt;"",ISNUMBER(MATCH(E1547,Parameter!$I$35:$I$52,0))),VLOOKUP(E1547,Parameter!$I$35:$J$52,2,0),IFERROR(VLOOKUP(D1547,Parameter!$A$35:$C$64,2,0),"Nein"))</f>
        <v>2+3</v>
      </c>
      <c r="CE1547" s="64" t="n">
        <f aca="false">IF(CA1547=0,0,IF(N(S1547)&gt;0,S1547,IFERROR(VLOOKUP(D1547,Parameter!$A$35:$C$64,3,0)+0,0)))</f>
        <v>0</v>
      </c>
      <c r="CF1547" s="60" t="n">
        <f aca="false">IF(AB1547&lt;&gt;"",AB1547,AA1547)</f>
        <v>3</v>
      </c>
      <c r="CG1547" s="60" t="str">
        <f aca="false">IF(OR(CF1547=1,CF1547=2,CF1547=3),IF(Parameter!$E$27="Ja","LIFT",IF(CF1547=1,"L1","L23")),IF(CF1547="Aussen","Aussen","-"))</f>
        <v>LIFT</v>
      </c>
      <c r="CH1547" s="71" t="n">
        <f aca="false">IF(N(AC1547)&gt;0,AC1547,0)</f>
        <v>0</v>
      </c>
      <c r="CI1547" s="65" t="n">
        <f aca="false">IF(ISNUMBER(AF1547),1,0)</f>
        <v>0</v>
      </c>
      <c r="CJ1547" s="62" t="n">
        <f aca="false">N(AF1547)</f>
        <v>0</v>
      </c>
      <c r="CK1547" s="62" t="n">
        <f aca="false">N(M1547)+N(N1547)</f>
        <v>1</v>
      </c>
      <c r="CL1547" s="62" t="n">
        <f aca="false">N(M1547)</f>
        <v>0</v>
      </c>
      <c r="CM1547" s="62" t="n">
        <f aca="false">N(N1547)</f>
        <v>1</v>
      </c>
      <c r="CN1547" s="62" t="n">
        <f aca="false">ROUNDUP(H1547/BZ1547,0)</f>
        <v>1</v>
      </c>
      <c r="CO1547" s="62" t="n">
        <f aca="false">ROUNDUP(CJ1547/BZ1547,0)</f>
        <v>0</v>
      </c>
      <c r="CP1547" s="65" t="n">
        <f aca="false">IF(CA1547=1,0,IFERROR(VLOOKUP(BY1547,'Gebinde-Kategorie'!$A$5:$N$45,5,0)+0,0))</f>
        <v>8</v>
      </c>
      <c r="CQ1547" s="65" t="n">
        <f aca="false">IFERROR(IF(OR(CF1547=1,CF1547=2,CF1547=3),N(INDEX(Parameter!$I$5:$I$7,CF1547)),0),0)</f>
        <v>0</v>
      </c>
      <c r="CR1547" s="64" t="n">
        <f aca="false">IF(AND(Parameter!$B$21="Ja",ISNUMBER(W1547),N(X1547)&gt;0),IFERROR(N(INDEX(Parameter!$L$5:$L$7,W1547))*INDEX(Parameter!$E$5:$E$7,W1547)*X1547/SUMIFS($X$7:$X$1843,$W$7:$W$1843,W1547),0),0)</f>
        <v>0</v>
      </c>
      <c r="CS1547" s="62" t="n">
        <f aca="false">IF(AND(OR(CG1547="L1",CG1547="L23",CG1547="LIFT"),H1547&gt;0),CC1547*IF(CR1547&gt;0,CR1547*MAX(1,H1547/X1547),IF(CA1547=1,CE1547,IF(R1547&gt;0,CN1547/R1547,0))/MAX(0.1,N(Parameter!$M$21))),"")</f>
        <v>1.49038461538462</v>
      </c>
      <c r="CT1547" s="64" t="n">
        <f aca="false">IF(CS1547="","",J1547/H1547)</f>
        <v>0</v>
      </c>
      <c r="CU1547" s="62" t="n">
        <f aca="false">IF(CS1547="","",H1547*G1547)</f>
        <v>238.7</v>
      </c>
      <c r="CV1547" s="63" t="n">
        <f aca="false">IF(CS1547="","",(CL1547+ROUNDUP(CL1547+MAX(CM1547,2*(J1547/MAX(0.1,N(Einkauf!$C$6))-CL1547)),0))/2)</f>
        <v>0.5</v>
      </c>
      <c r="CW1547" s="62" t="n">
        <f aca="false">IF(CS1547="","",MAX(0,H1547-CV1547)*G1547)</f>
        <v>214.83</v>
      </c>
      <c r="CX1547" s="62" t="n">
        <f aca="false">IF(CS1547="","",CS1547*MAX(0,1-CV1547/H1547))</f>
        <v>1.34134615384615</v>
      </c>
      <c r="CY1547" s="64" t="n">
        <f aca="false">IF(CS1547="","",PERCENTRANK($CS$7:$CS$1843,CS1547)+PERCENTRANK($CU$7:$CU$1843,CU1547)+1-PERCENTRANK($CT$7:$CT$1843,CT1547))</f>
        <v>1.485</v>
      </c>
      <c r="CZ1547" s="72" t="n">
        <f aca="false">IF(CS1547="","",CHOOSE(MATCH(Einkauf!$C$5,Parameter!$G$23:$G$27,0),CY1547,CS1547,CU1547,-CT1547,CW1547)+ROW()/1000000000)</f>
        <v>1.485001547</v>
      </c>
    </row>
    <row r="1548" customFormat="false" ht="15" hidden="false" customHeight="false" outlineLevel="0" collapsed="false">
      <c r="A1548" s="60" t="s">
        <v>2747</v>
      </c>
      <c r="B1548" s="60" t="s">
        <v>2748</v>
      </c>
      <c r="C1548" s="60" t="s">
        <v>206</v>
      </c>
      <c r="D1548" s="60" t="s">
        <v>226</v>
      </c>
      <c r="E1548" s="60" t="s">
        <v>227</v>
      </c>
      <c r="F1548" s="60"/>
      <c r="G1548" s="61" t="n">
        <v>118.14</v>
      </c>
      <c r="H1548" s="62" t="n">
        <f aca="false">MAX(0,IF(AND(Parameter!$B$21="Ja",ISNUMBER(Y1548)),Y1548,IF(Parameter!$B$20="Jahresanfang 2025 + Export",BS1548+BR1548,BR1548)))</f>
        <v>5</v>
      </c>
      <c r="I1548" s="62" t="n">
        <f aca="false">H1548*G1548</f>
        <v>590.7</v>
      </c>
      <c r="J1548" s="62" t="n">
        <f aca="false">BU1548*Parameter!$B$18</f>
        <v>0</v>
      </c>
      <c r="K1548" s="63"/>
      <c r="L1548" s="64"/>
      <c r="M1548" s="62" t="n">
        <v>0</v>
      </c>
      <c r="N1548" s="62" t="n">
        <v>5</v>
      </c>
      <c r="O1548" s="65" t="n">
        <v>35</v>
      </c>
      <c r="P1548" s="60" t="s">
        <v>463</v>
      </c>
      <c r="Q1548" s="62" t="n">
        <v>5</v>
      </c>
      <c r="R1548" s="65" t="n">
        <f aca="false">IF(CA1548=1,0,IFERROR(VLOOKUP(BY1548,'Gebinde-Kategorie'!$A$5:$N$45,13,0)+0,0))</f>
        <v>104</v>
      </c>
      <c r="S1548" s="66"/>
      <c r="T1548" s="67"/>
      <c r="U1548" s="67"/>
      <c r="V1548" s="67"/>
      <c r="W1548" s="60"/>
      <c r="X1548" s="62"/>
      <c r="Y1548" s="62"/>
      <c r="Z1548" s="60" t="n">
        <v>3</v>
      </c>
      <c r="AA1548" s="60" t="n">
        <f aca="false">IF(A1548="","",IF(AND(Parameter!$B$21="Ja",ISNUMBER(W1548)),W1548,IF(AND(Parameter!$E$27="Ja",ISNUMBER(Z1548),CD1548&lt;&gt;"Nein"),Z1548,IF(CD1548="2+3",IF(ISNUMBER(SEARCH("grosser Artikel",BV1548)),2,IFERROR(VLOOKUP(BY1548,Parameter!$F$35:$G$64,2,0),2)),IF(OR(CD1548="Nein",CD1548=""),"-",CD1548)))))</f>
        <v>3</v>
      </c>
      <c r="AB1548" s="67"/>
      <c r="AC1548" s="68"/>
      <c r="AD1548" s="62" t="n">
        <f aca="false">AW1548</f>
        <v>5</v>
      </c>
      <c r="AE1548" s="62" t="n">
        <f aca="false">MAX(AW1548,H1548)</f>
        <v>5</v>
      </c>
      <c r="AF1548" s="69"/>
      <c r="AG1548" s="62" t="n">
        <f aca="false">IF(LEFT(Cockpit!$C$5,1)="A",H1548,IF(Parameter!$E$30="MAX-Bestand",IF(CI1548=1,CJ1548,IF(LEFT(Cockpit!$C$5,1)="B",AM1548,MAX(AM1548,H1548))),ROUNDUP(AK1548,0)))</f>
        <v>5</v>
      </c>
      <c r="AH1548" s="62" t="n">
        <f aca="false">IF(CA1548=1,0,ROUNDUP(AG1548/BZ1548,0))</f>
        <v>1</v>
      </c>
      <c r="AI1548" s="64" t="n">
        <f aca="false">IF(CR1548&gt;0,CR1548*MAX(1,AG1548/X1548),IF(CA1548=1,IF(AG1548&lt;=0,0,CE1548*MAX(1,IF(H1548&gt;0,AG1548/H1548,1))),IF(R1548&gt;0,AH1548/R1548,0))/MAX(0.1,N(Parameter!$M$21)))</f>
        <v>0.00961538461538462</v>
      </c>
      <c r="AJ1548" s="62" t="n">
        <f aca="false">AI1548*CC1548</f>
        <v>1.49038461538462</v>
      </c>
      <c r="AK1548" s="63" t="n">
        <f aca="false">IF(LEFT(Cockpit!$C$5,1)="A",H1548,IF(CI1548=1,(CL1548+CJ1548)/2,IF(LEFT(Cockpit!$C$5,1)="B",(CL1548+AM1548)/2,MAX((CL1548+AM1548)/2,H1548))))</f>
        <v>5</v>
      </c>
      <c r="AL1548" s="62" t="n">
        <f aca="false">AK1548*G1548</f>
        <v>590.7</v>
      </c>
      <c r="AM1548" s="62" t="n">
        <f aca="false">ROUNDUP(CL1548+MAX(CM1548,2*(J1548/IF(CH1548&gt;0,CH1548,MAX(0.1,N(Cockpit!$C$6)))-CL1548)),0)</f>
        <v>5</v>
      </c>
      <c r="AN1548" s="63" t="n">
        <f aca="false">IF(AJ1548&gt;0,J1548/AJ1548,-1)</f>
        <v>0</v>
      </c>
      <c r="AO1548" s="63" t="n">
        <f aca="false">IF(AND(OR(CG1548="L1",CG1548="L23",CG1548="LIFT"),AJ1548&gt;0),SUMIFS($AJ$7:$AJ$1843,$CG$7:$CG$1843,CG1548,$AN$7:$AN$1843,"&gt;"&amp;AN1548)+SUMIFS($AJ$7:$AJ$1843,$CG$7:$CG$1843,CG1548,$AN$7:$AN$1843,AN1548,$BX$7:$BX$1843,"&lt;="&amp;BX1548),"")</f>
        <v>30149.3945437801</v>
      </c>
      <c r="AP1548" s="70" t="n">
        <f aca="false">IF(AO1548="",0,MAX(0,MIN(1,(IF(CG1548="L1",Parameter!$H$5,IF(CG1548="L23",Parameter!$H$6+Parameter!$H$7,Parameter!$H$5+Parameter!$H$6+Parameter!$H$7))-(AO1548-AJ1548))/AJ1548)))</f>
        <v>1</v>
      </c>
      <c r="AQ1548" s="62" t="n">
        <f aca="false">IF(LEFT(Cockpit!$I$5,1)="A",H1548,IF(Parameter!$E$30="MAX-Bestand",IF(CI1548=1,CJ1548,IF(LEFT(Cockpit!$I$5,1)="B",AW1548,MAX(AW1548,H1548))),ROUNDUP(AU1548,0)))</f>
        <v>5</v>
      </c>
      <c r="AR1548" s="62" t="n">
        <f aca="false">IF(CA1548=1,0,ROUNDUP(AQ1548/BZ1548,0))</f>
        <v>1</v>
      </c>
      <c r="AS1548" s="64" t="n">
        <f aca="false">IF(CR1548&gt;0,CR1548*MAX(1,AQ1548/X1548),IF(CA1548=1,IF(AQ1548&lt;=0,0,CE1548*MAX(1,IF(H1548&gt;0,AQ1548/H1548,1))),IF(R1548&gt;0,AR1548/R1548,0))/MAX(0.1,N(Parameter!$M$21)))</f>
        <v>0.00961538461538462</v>
      </c>
      <c r="AT1548" s="62" t="n">
        <f aca="false">AS1548*CC1548</f>
        <v>1.49038461538462</v>
      </c>
      <c r="AU1548" s="63" t="n">
        <f aca="false">IF(LEFT(Cockpit!$I$5,1)="A",H1548,IF(CI1548=1,(CL1548+CJ1548)/2,IF(LEFT(Cockpit!$I$5,1)="B",(CL1548+AW1548)/2,MAX((CL1548+AW1548)/2,H1548))))</f>
        <v>5</v>
      </c>
      <c r="AV1548" s="62" t="n">
        <f aca="false">AU1548*G1548</f>
        <v>590.7</v>
      </c>
      <c r="AW1548" s="62" t="n">
        <f aca="false">ROUNDUP(CL1548+MAX(CM1548,2*(J1548/IF(CH1548&gt;0,CH1548,MAX(0.1,N(Cockpit!$I$6)))-CL1548)),0)</f>
        <v>5</v>
      </c>
      <c r="AX1548" s="63" t="n">
        <f aca="false">IF(AT1548&gt;0,J1548/AT1548,-1)</f>
        <v>0</v>
      </c>
      <c r="AY1548" s="63" t="n">
        <f aca="false">IF(AND(OR(CG1548="L1",CG1548="L23",CG1548="LIFT"),AT1548&gt;0),SUMIFS($AT$7:$AT$1843,$CG$7:$CG$1843,CG1548,$AX$7:$AX$1843,"&gt;"&amp;AX1548)+SUMIFS($AT$7:$AT$1843,$CG$7:$CG$1843,CG1548,$AX$7:$AX$1843,AX1548,$BX$7:$BX$1843,"&lt;="&amp;BX1548),"")</f>
        <v>36469.2510606155</v>
      </c>
      <c r="AZ1548" s="70" t="n">
        <f aca="false">IF(AY1548="",0,MAX(0,MIN(1,(IF(CG1548="L1",Parameter!$H$5,IF(CG1548="L23",Parameter!$H$6+Parameter!$H$7,Parameter!$H$5+Parameter!$H$6+Parameter!$H$7))-(AY1548-AT1548))/AT1548)))</f>
        <v>0</v>
      </c>
      <c r="BA1548" s="62" t="n">
        <f aca="false">IF(LEFT(Cockpit!$O$5,1)="A",H1548,IF(Parameter!$E$30="MAX-Bestand",IF(CI1548=1,CJ1548,IF(LEFT(Cockpit!$O$5,1)="B",BG1548,MAX(BG1548,H1548))),ROUNDUP(BE1548,0)))</f>
        <v>3</v>
      </c>
      <c r="BB1548" s="62" t="n">
        <f aca="false">IF(CA1548=1,0,ROUNDUP(BA1548/BZ1548,0))</f>
        <v>1</v>
      </c>
      <c r="BC1548" s="64" t="n">
        <f aca="false">IF(CR1548&gt;0,CR1548*MAX(1,BA1548/X1548),IF(CA1548=1,IF(BA1548&lt;=0,0,CE1548*MAX(1,IF(H1548&gt;0,BA1548/H1548,1))),IF(R1548&gt;0,BB1548/R1548,0))/MAX(0.1,N(Parameter!$M$21)))</f>
        <v>0.00961538461538462</v>
      </c>
      <c r="BD1548" s="62" t="n">
        <f aca="false">BC1548*CC1548</f>
        <v>1.49038461538462</v>
      </c>
      <c r="BE1548" s="63" t="n">
        <f aca="false">IF(LEFT(Cockpit!$O$5,1)="A",H1548,IF(CI1548=1,(CL1548+CJ1548)/2,IF(LEFT(Cockpit!$O$5,1)="B",(CL1548+BG1548)/2,MAX((CL1548+BG1548)/2,H1548))))</f>
        <v>2.5</v>
      </c>
      <c r="BF1548" s="62" t="n">
        <f aca="false">BE1548*G1548</f>
        <v>295.35</v>
      </c>
      <c r="BG1548" s="62" t="n">
        <f aca="false">ROUNDUP(CL1548+MAX(CM1548,2*(J1548/IF(CH1548&gt;0,CH1548,MAX(0.1,N(Cockpit!$O$6)))-CL1548)),0)</f>
        <v>5</v>
      </c>
      <c r="BH1548" s="63" t="n">
        <f aca="false">IF(BD1548&gt;0,J1548/BD1548,-1)</f>
        <v>0</v>
      </c>
      <c r="BI1548" s="63" t="n">
        <f aca="false">IF(AND(OR(CG1548="L1",CG1548="L23",CG1548="LIFT"),BD1548&gt;0),SUMIFS($BD$7:$BD$1843,$CG$7:$CG$1843,CG1548,$BH$7:$BH$1843,"&gt;"&amp;BH1548)+SUMIFS($BD$7:$BD$1843,$CG$7:$CG$1843,CG1548,$BH$7:$BH$1843,BH1548,$BX$7:$BX$1843,"&lt;="&amp;BX1548),"")</f>
        <v>30407.4423361478</v>
      </c>
      <c r="BJ1548" s="70" t="n">
        <f aca="false">IF(BI1548="",0,MAX(0,MIN(1,(IF(CG1548="L1",Parameter!$H$5,IF(CG1548="L23",Parameter!$H$6+Parameter!$H$7,Parameter!$H$5+Parameter!$H$6+Parameter!$H$7))-(BI1548-BD1548))/BD1548)))</f>
        <v>1</v>
      </c>
      <c r="BK1548" s="60" t="str">
        <f aca="false">IF(AJ1548&lt;=0,"",IF(CG1548="Aussen","Aussenlager",IF(CG1548="-","Nicht im Lift",IF(AP1548&gt;=1,"Lift",IF(AP1548&lt;=0,"Aussenlager","teilweise")))))</f>
        <v>Lift</v>
      </c>
      <c r="BL1548" s="60" t="str">
        <f aca="false">IF(AT1548&lt;=0,"",IF(CG1548="Aussen","Aussenlager",IF(CG1548="-","Nicht im Lift",IF(AZ1548&gt;=1,"Lift",IF(AZ1548&lt;=0,"Aussenlager","teilweise")))))</f>
        <v>Aussenlager</v>
      </c>
      <c r="BM1548" s="60" t="str">
        <f aca="false">IF(BD1548&lt;=0,"",IF(CG1548="Aussen","Aussenlager",IF(CG1548="-","Nicht im Lift",IF(BJ1548&gt;=1,"Lift",IF(BJ1548&lt;=0,"Aussenlager","teilweise")))))</f>
        <v>Lift</v>
      </c>
      <c r="BN1548" s="60" t="str">
        <f aca="false">IF(A1548="","",IF(BW1548=1,"Neu; ","")&amp;IF(AND(BW1548=0,BR1548&lt;0),"negativer Bestand (Export "&amp;BR1548&amp;"); ","")&amp;IF(J1548&lt;=0,"Kein Verbrauch; ","")&amp;IF(CR1548&gt;0,"Lift "&amp;W1548&amp;" lt. Liftbericht (Fach "&amp;X1548&amp;" Stk); ",IF(CB1548=1,"Gebinde geschätzt ("&amp;T1548&amp;"); ",IF(CA1548=1,"Lose – Tablare geschätzt; ","")))&amp;IF(H1548&gt;AW1548,"Überbestand "&amp;ROUND(H1548-AW1548,0)&amp;" Stk / CHF "&amp;ROUND((H1548-AW1548)*G1548,0)&amp;"; ","")&amp;IF(AND(CI1548=1,CJ1548&lt;CK1548),"MAX &lt; MB+LG; ","")&amp;IF(AND(CQ1548&gt;0,CP1548*10&gt;CQ1548),"zu hoch für Tablar; ","")&amp;IF(AND(BW1548=0,OR(CI1548=1,AB1548&lt;&gt;"",U1548&lt;&gt;"",V1548&lt;&gt;"",AC1548&lt;&gt;"")),"manuell übersteuert; ","")&amp;IF(AND(CA1548=0,R1548=0),"Gebinde unbekannt / Stellmass fehlt; ","")&amp;IF(AND(CA1548=0,N(V1548)&lt;=0,N(Q1548)&lt;=0),"Menge pro Gebinde fehlt (Ist = 1 Gebinde); ","")&amp;BV1548)</f>
        <v>Kein Verbrauch; nur im Artikelstamm (Bestand 23.06.2026)</v>
      </c>
      <c r="BO1548" s="60"/>
      <c r="BP1548" s="60"/>
      <c r="BQ1548" s="67"/>
      <c r="BR1548" s="62" t="n">
        <v>5</v>
      </c>
      <c r="BS1548" s="62" t="n">
        <v>0</v>
      </c>
      <c r="BT1548" s="61" t="n">
        <v>0</v>
      </c>
      <c r="BU1548" s="62" t="n">
        <v>0</v>
      </c>
      <c r="BV1548" s="60" t="s">
        <v>2617</v>
      </c>
      <c r="BW1548" s="65" t="n">
        <v>0</v>
      </c>
      <c r="BX1548" s="65" t="n">
        <v>1548</v>
      </c>
      <c r="BY1548" s="60" t="str">
        <f aca="false">IF(U1548&lt;&gt;"",UPPER(TRIM(U1548)),IF(CB1548=1,UPPER(VLOOKUP(T1548,Parameter!$I$27:$K$29,2,0)),IF(P1548="","LOSE",P1548)))</f>
        <v>S32</v>
      </c>
      <c r="BZ1548" s="62" t="n">
        <f aca="false">IF(BY1548="LOSE",1,IF(N(V1548)&gt;0,V1548,IF(CB1548=1,MAX(1,N(VLOOKUP(T1548,Parameter!$I$27:$K$29,3,0)),H1548,N(N1548)),IF(N(Q1548)&gt;0,Q1548,MAX(1,H1548)))))</f>
        <v>5</v>
      </c>
      <c r="CA1548" s="65" t="n">
        <f aca="false">IF(BY1548="LOSE",1,0)</f>
        <v>0</v>
      </c>
      <c r="CB1548" s="65" t="n">
        <f aca="false">IF(AND(U1548="",OR(P1548="",P1548="LOSE"),T1548&lt;&gt;"",N(S1548)&lt;=0,ISNUMBER(MATCH(T1548,Parameter!$I$27:$I$29,0))),1,0)</f>
        <v>0</v>
      </c>
      <c r="CC1548" s="65" t="n">
        <f aca="false">IF(CR1548&gt;0,INDEX(Parameter!$H$5:$H$7,W1548)/INDEX(Parameter!$E$5:$E$7,W1548),IF(AND(CA1548=0,N(IFERROR(VLOOKUP(BY1548,'Gebinde-Kategorie'!$A$5:$N$45,14,0),0))&gt;0),VLOOKUP(BY1548,'Gebinde-Kategorie'!$A$5:$N$45,14,0)*10+Parameter!$M$23,Parameter!$M$24))</f>
        <v>155</v>
      </c>
      <c r="CD1548" s="60" t="str">
        <f aca="false">IF(AND(Parameter!$B$19="Ja",E1548&lt;&gt;"",ISNUMBER(MATCH(E1548,Parameter!$I$35:$I$52,0))),VLOOKUP(E1548,Parameter!$I$35:$J$52,2,0),IFERROR(VLOOKUP(D1548,Parameter!$A$35:$C$64,2,0),"Nein"))</f>
        <v>2+3</v>
      </c>
      <c r="CE1548" s="64" t="n">
        <f aca="false">IF(CA1548=0,0,IF(N(S1548)&gt;0,S1548,IFERROR(VLOOKUP(D1548,Parameter!$A$35:$C$64,3,0)+0,0)))</f>
        <v>0</v>
      </c>
      <c r="CF1548" s="60" t="n">
        <f aca="false">IF(AB1548&lt;&gt;"",AB1548,AA1548)</f>
        <v>3</v>
      </c>
      <c r="CG1548" s="60" t="str">
        <f aca="false">IF(OR(CF1548=1,CF1548=2,CF1548=3),IF(Parameter!$E$27="Ja","LIFT",IF(CF1548=1,"L1","L23")),IF(CF1548="Aussen","Aussen","-"))</f>
        <v>LIFT</v>
      </c>
      <c r="CH1548" s="71" t="n">
        <f aca="false">IF(N(AC1548)&gt;0,AC1548,0)</f>
        <v>0</v>
      </c>
      <c r="CI1548" s="65" t="n">
        <f aca="false">IF(ISNUMBER(AF1548),1,0)</f>
        <v>0</v>
      </c>
      <c r="CJ1548" s="62" t="n">
        <f aca="false">N(AF1548)</f>
        <v>0</v>
      </c>
      <c r="CK1548" s="62" t="n">
        <f aca="false">N(M1548)+N(N1548)</f>
        <v>5</v>
      </c>
      <c r="CL1548" s="62" t="n">
        <f aca="false">N(M1548)</f>
        <v>0</v>
      </c>
      <c r="CM1548" s="62" t="n">
        <f aca="false">N(N1548)</f>
        <v>5</v>
      </c>
      <c r="CN1548" s="62" t="n">
        <f aca="false">ROUNDUP(H1548/BZ1548,0)</f>
        <v>1</v>
      </c>
      <c r="CO1548" s="62" t="n">
        <f aca="false">ROUNDUP(CJ1548/BZ1548,0)</f>
        <v>0</v>
      </c>
      <c r="CP1548" s="65" t="n">
        <f aca="false">IF(CA1548=1,0,IFERROR(VLOOKUP(BY1548,'Gebinde-Kategorie'!$A$5:$N$45,5,0)+0,0))</f>
        <v>8</v>
      </c>
      <c r="CQ1548" s="65" t="n">
        <f aca="false">IFERROR(IF(OR(CF1548=1,CF1548=2,CF1548=3),N(INDEX(Parameter!$I$5:$I$7,CF1548)),0),0)</f>
        <v>0</v>
      </c>
      <c r="CR1548" s="64" t="n">
        <f aca="false">IF(AND(Parameter!$B$21="Ja",ISNUMBER(W1548),N(X1548)&gt;0),IFERROR(N(INDEX(Parameter!$L$5:$L$7,W1548))*INDEX(Parameter!$E$5:$E$7,W1548)*X1548/SUMIFS($X$7:$X$1843,$W$7:$W$1843,W1548),0),0)</f>
        <v>0</v>
      </c>
      <c r="CS1548" s="62" t="n">
        <f aca="false">IF(AND(OR(CG1548="L1",CG1548="L23",CG1548="LIFT"),H1548&gt;0),CC1548*IF(CR1548&gt;0,CR1548*MAX(1,H1548/X1548),IF(CA1548=1,CE1548,IF(R1548&gt;0,CN1548/R1548,0))/MAX(0.1,N(Parameter!$M$21))),"")</f>
        <v>1.49038461538462</v>
      </c>
      <c r="CT1548" s="64" t="n">
        <f aca="false">IF(CS1548="","",J1548/H1548)</f>
        <v>0</v>
      </c>
      <c r="CU1548" s="62" t="n">
        <f aca="false">IF(CS1548="","",H1548*G1548)</f>
        <v>590.7</v>
      </c>
      <c r="CV1548" s="63" t="n">
        <f aca="false">IF(CS1548="","",(CL1548+ROUNDUP(CL1548+MAX(CM1548,2*(J1548/MAX(0.1,N(Einkauf!$C$6))-CL1548)),0))/2)</f>
        <v>2.5</v>
      </c>
      <c r="CW1548" s="62" t="n">
        <f aca="false">IF(CS1548="","",MAX(0,H1548-CV1548)*G1548)</f>
        <v>295.35</v>
      </c>
      <c r="CX1548" s="62" t="n">
        <f aca="false">IF(CS1548="","",CS1548*MAX(0,1-CV1548/H1548))</f>
        <v>0.745192307692308</v>
      </c>
      <c r="CY1548" s="64" t="n">
        <f aca="false">IF(CS1548="","",PERCENTRANK($CS$7:$CS$1843,CS1548)+PERCENTRANK($CU$7:$CU$1843,CU1548)+1-PERCENTRANK($CT$7:$CT$1843,CT1548))</f>
        <v>1.663</v>
      </c>
      <c r="CZ1548" s="72" t="n">
        <f aca="false">IF(CS1548="","",CHOOSE(MATCH(Einkauf!$C$5,Parameter!$G$23:$G$27,0),CY1548,CS1548,CU1548,-CT1548,CW1548)+ROW()/1000000000)</f>
        <v>1.663001548</v>
      </c>
    </row>
    <row r="1549" customFormat="false" ht="15" hidden="false" customHeight="false" outlineLevel="0" collapsed="false">
      <c r="A1549" s="60" t="s">
        <v>2749</v>
      </c>
      <c r="B1549" s="60" t="s">
        <v>2750</v>
      </c>
      <c r="C1549" s="60" t="s">
        <v>206</v>
      </c>
      <c r="D1549" s="60" t="s">
        <v>215</v>
      </c>
      <c r="E1549" s="60" t="s">
        <v>227</v>
      </c>
      <c r="F1549" s="60"/>
      <c r="G1549" s="61" t="n">
        <v>240</v>
      </c>
      <c r="H1549" s="62" t="n">
        <f aca="false">MAX(0,IF(AND(Parameter!$B$21="Ja",ISNUMBER(Y1549)),Y1549,IF(Parameter!$B$20="Jahresanfang 2025 + Export",BS1549+BR1549,BR1549)))</f>
        <v>46</v>
      </c>
      <c r="I1549" s="62" t="n">
        <f aca="false">H1549*G1549</f>
        <v>11040</v>
      </c>
      <c r="J1549" s="62" t="n">
        <f aca="false">BU1549*Parameter!$B$18</f>
        <v>0</v>
      </c>
      <c r="K1549" s="63"/>
      <c r="L1549" s="64"/>
      <c r="M1549" s="62" t="n">
        <v>0</v>
      </c>
      <c r="N1549" s="62" t="n">
        <v>20</v>
      </c>
      <c r="O1549" s="65" t="n">
        <v>28</v>
      </c>
      <c r="P1549" s="60" t="s">
        <v>268</v>
      </c>
      <c r="Q1549" s="62" t="n">
        <v>23</v>
      </c>
      <c r="R1549" s="65" t="n">
        <f aca="false">IF(CA1549=1,0,IFERROR(VLOOKUP(BY1549,'Gebinde-Kategorie'!$A$5:$N$45,13,0)+0,0))</f>
        <v>12</v>
      </c>
      <c r="S1549" s="66"/>
      <c r="T1549" s="67"/>
      <c r="U1549" s="67"/>
      <c r="V1549" s="67"/>
      <c r="W1549" s="60"/>
      <c r="X1549" s="62"/>
      <c r="Y1549" s="62"/>
      <c r="Z1549" s="60" t="n">
        <v>3</v>
      </c>
      <c r="AA1549" s="60" t="n">
        <f aca="false">IF(A1549="","",IF(AND(Parameter!$B$21="Ja",ISNUMBER(W1549)),W1549,IF(AND(Parameter!$E$27="Ja",ISNUMBER(Z1549),CD1549&lt;&gt;"Nein"),Z1549,IF(CD1549="2+3",IF(ISNUMBER(SEARCH("grosser Artikel",BV1549)),2,IFERROR(VLOOKUP(BY1549,Parameter!$F$35:$G$64,2,0),2)),IF(OR(CD1549="Nein",CD1549=""),"-",CD1549)))))</f>
        <v>3</v>
      </c>
      <c r="AB1549" s="67"/>
      <c r="AC1549" s="68"/>
      <c r="AD1549" s="62" t="n">
        <f aca="false">AW1549</f>
        <v>20</v>
      </c>
      <c r="AE1549" s="62" t="n">
        <f aca="false">MAX(AW1549,H1549)</f>
        <v>46</v>
      </c>
      <c r="AF1549" s="69"/>
      <c r="AG1549" s="62" t="n">
        <f aca="false">IF(LEFT(Cockpit!$C$5,1)="A",H1549,IF(Parameter!$E$30="MAX-Bestand",IF(CI1549=1,CJ1549,IF(LEFT(Cockpit!$C$5,1)="B",AM1549,MAX(AM1549,H1549))),ROUNDUP(AK1549,0)))</f>
        <v>46</v>
      </c>
      <c r="AH1549" s="62" t="n">
        <f aca="false">IF(CA1549=1,0,ROUNDUP(AG1549/BZ1549,0))</f>
        <v>2</v>
      </c>
      <c r="AI1549" s="64" t="n">
        <f aca="false">IF(CR1549&gt;0,CR1549*MAX(1,AG1549/X1549),IF(CA1549=1,IF(AG1549&lt;=0,0,CE1549*MAX(1,IF(H1549&gt;0,AG1549/H1549,1))),IF(R1549&gt;0,AH1549/R1549,0))/MAX(0.1,N(Parameter!$M$21)))</f>
        <v>0.166666666666667</v>
      </c>
      <c r="AJ1549" s="62" t="n">
        <f aca="false">AI1549*CC1549</f>
        <v>57.5</v>
      </c>
      <c r="AK1549" s="63" t="n">
        <f aca="false">IF(LEFT(Cockpit!$C$5,1)="A",H1549,IF(CI1549=1,(CL1549+CJ1549)/2,IF(LEFT(Cockpit!$C$5,1)="B",(CL1549+AM1549)/2,MAX((CL1549+AM1549)/2,H1549))))</f>
        <v>46</v>
      </c>
      <c r="AL1549" s="62" t="n">
        <f aca="false">AK1549*G1549</f>
        <v>11040</v>
      </c>
      <c r="AM1549" s="62" t="n">
        <f aca="false">ROUNDUP(CL1549+MAX(CM1549,2*(J1549/IF(CH1549&gt;0,CH1549,MAX(0.1,N(Cockpit!$C$6)))-CL1549)),0)</f>
        <v>20</v>
      </c>
      <c r="AN1549" s="63" t="n">
        <f aca="false">IF(AJ1549&gt;0,J1549/AJ1549,-1)</f>
        <v>0</v>
      </c>
      <c r="AO1549" s="63" t="n">
        <f aca="false">IF(AND(OR(CG1549="L1",CG1549="L23",CG1549="LIFT"),AJ1549&gt;0),SUMIFS($AJ$7:$AJ$1843,$CG$7:$CG$1843,CG1549,$AN$7:$AN$1843,"&gt;"&amp;AN1549)+SUMIFS($AJ$7:$AJ$1843,$CG$7:$CG$1843,CG1549,$AN$7:$AN$1843,AN1549,$BX$7:$BX$1843,"&lt;="&amp;BX1549),"")</f>
        <v>30206.8945437801</v>
      </c>
      <c r="AP1549" s="70" t="n">
        <f aca="false">IF(AO1549="",0,MAX(0,MIN(1,(IF(CG1549="L1",Parameter!$H$5,IF(CG1549="L23",Parameter!$H$6+Parameter!$H$7,Parameter!$H$5+Parameter!$H$6+Parameter!$H$7))-(AO1549-AJ1549))/AJ1549)))</f>
        <v>1</v>
      </c>
      <c r="AQ1549" s="62" t="n">
        <f aca="false">IF(LEFT(Cockpit!$I$5,1)="A",H1549,IF(Parameter!$E$30="MAX-Bestand",IF(CI1549=1,CJ1549,IF(LEFT(Cockpit!$I$5,1)="B",AW1549,MAX(AW1549,H1549))),ROUNDUP(AU1549,0)))</f>
        <v>46</v>
      </c>
      <c r="AR1549" s="62" t="n">
        <f aca="false">IF(CA1549=1,0,ROUNDUP(AQ1549/BZ1549,0))</f>
        <v>2</v>
      </c>
      <c r="AS1549" s="64" t="n">
        <f aca="false">IF(CR1549&gt;0,CR1549*MAX(1,AQ1549/X1549),IF(CA1549=1,IF(AQ1549&lt;=0,0,CE1549*MAX(1,IF(H1549&gt;0,AQ1549/H1549,1))),IF(R1549&gt;0,AR1549/R1549,0))/MAX(0.1,N(Parameter!$M$21)))</f>
        <v>0.166666666666667</v>
      </c>
      <c r="AT1549" s="62" t="n">
        <f aca="false">AS1549*CC1549</f>
        <v>57.5</v>
      </c>
      <c r="AU1549" s="63" t="n">
        <f aca="false">IF(LEFT(Cockpit!$I$5,1)="A",H1549,IF(CI1549=1,(CL1549+CJ1549)/2,IF(LEFT(Cockpit!$I$5,1)="B",(CL1549+AW1549)/2,MAX((CL1549+AW1549)/2,H1549))))</f>
        <v>46</v>
      </c>
      <c r="AV1549" s="62" t="n">
        <f aca="false">AU1549*G1549</f>
        <v>11040</v>
      </c>
      <c r="AW1549" s="62" t="n">
        <f aca="false">ROUNDUP(CL1549+MAX(CM1549,2*(J1549/IF(CH1549&gt;0,CH1549,MAX(0.1,N(Cockpit!$I$6)))-CL1549)),0)</f>
        <v>20</v>
      </c>
      <c r="AX1549" s="63" t="n">
        <f aca="false">IF(AT1549&gt;0,J1549/AT1549,-1)</f>
        <v>0</v>
      </c>
      <c r="AY1549" s="63" t="n">
        <f aca="false">IF(AND(OR(CG1549="L1",CG1549="L23",CG1549="LIFT"),AT1549&gt;0),SUMIFS($AT$7:$AT$1843,$CG$7:$CG$1843,CG1549,$AX$7:$AX$1843,"&gt;"&amp;AX1549)+SUMIFS($AT$7:$AT$1843,$CG$7:$CG$1843,CG1549,$AX$7:$AX$1843,AX1549,$BX$7:$BX$1843,"&lt;="&amp;BX1549),"")</f>
        <v>36526.7510606155</v>
      </c>
      <c r="AZ1549" s="70" t="n">
        <f aca="false">IF(AY1549="",0,MAX(0,MIN(1,(IF(CG1549="L1",Parameter!$H$5,IF(CG1549="L23",Parameter!$H$6+Parameter!$H$7,Parameter!$H$5+Parameter!$H$6+Parameter!$H$7))-(AY1549-AT1549))/AT1549)))</f>
        <v>0</v>
      </c>
      <c r="BA1549" s="62" t="n">
        <f aca="false">IF(LEFT(Cockpit!$O$5,1)="A",H1549,IF(Parameter!$E$30="MAX-Bestand",IF(CI1549=1,CJ1549,IF(LEFT(Cockpit!$O$5,1)="B",BG1549,MAX(BG1549,H1549))),ROUNDUP(BE1549,0)))</f>
        <v>10</v>
      </c>
      <c r="BB1549" s="62" t="n">
        <f aca="false">IF(CA1549=1,0,ROUNDUP(BA1549/BZ1549,0))</f>
        <v>1</v>
      </c>
      <c r="BC1549" s="64" t="n">
        <f aca="false">IF(CR1549&gt;0,CR1549*MAX(1,BA1549/X1549),IF(CA1549=1,IF(BA1549&lt;=0,0,CE1549*MAX(1,IF(H1549&gt;0,BA1549/H1549,1))),IF(R1549&gt;0,BB1549/R1549,0))/MAX(0.1,N(Parameter!$M$21)))</f>
        <v>0.0833333333333333</v>
      </c>
      <c r="BD1549" s="62" t="n">
        <f aca="false">BC1549*CC1549</f>
        <v>28.75</v>
      </c>
      <c r="BE1549" s="63" t="n">
        <f aca="false">IF(LEFT(Cockpit!$O$5,1)="A",H1549,IF(CI1549=1,(CL1549+CJ1549)/2,IF(LEFT(Cockpit!$O$5,1)="B",(CL1549+BG1549)/2,MAX((CL1549+BG1549)/2,H1549))))</f>
        <v>10</v>
      </c>
      <c r="BF1549" s="62" t="n">
        <f aca="false">BE1549*G1549</f>
        <v>2400</v>
      </c>
      <c r="BG1549" s="62" t="n">
        <f aca="false">ROUNDUP(CL1549+MAX(CM1549,2*(J1549/IF(CH1549&gt;0,CH1549,MAX(0.1,N(Cockpit!$O$6)))-CL1549)),0)</f>
        <v>20</v>
      </c>
      <c r="BH1549" s="63" t="n">
        <f aca="false">IF(BD1549&gt;0,J1549/BD1549,-1)</f>
        <v>0</v>
      </c>
      <c r="BI1549" s="63" t="n">
        <f aca="false">IF(AND(OR(CG1549="L1",CG1549="L23",CG1549="LIFT"),BD1549&gt;0),SUMIFS($BD$7:$BD$1843,$CG$7:$CG$1843,CG1549,$BH$7:$BH$1843,"&gt;"&amp;BH1549)+SUMIFS($BD$7:$BD$1843,$CG$7:$CG$1843,CG1549,$BH$7:$BH$1843,BH1549,$BX$7:$BX$1843,"&lt;="&amp;BX1549),"")</f>
        <v>30436.1923361478</v>
      </c>
      <c r="BJ1549" s="70" t="n">
        <f aca="false">IF(BI1549="",0,MAX(0,MIN(1,(IF(CG1549="L1",Parameter!$H$5,IF(CG1549="L23",Parameter!$H$6+Parameter!$H$7,Parameter!$H$5+Parameter!$H$6+Parameter!$H$7))-(BI1549-BD1549))/BD1549)))</f>
        <v>1</v>
      </c>
      <c r="BK1549" s="60" t="str">
        <f aca="false">IF(AJ1549&lt;=0,"",IF(CG1549="Aussen","Aussenlager",IF(CG1549="-","Nicht im Lift",IF(AP1549&gt;=1,"Lift",IF(AP1549&lt;=0,"Aussenlager","teilweise")))))</f>
        <v>Lift</v>
      </c>
      <c r="BL1549" s="60" t="str">
        <f aca="false">IF(AT1549&lt;=0,"",IF(CG1549="Aussen","Aussenlager",IF(CG1549="-","Nicht im Lift",IF(AZ1549&gt;=1,"Lift",IF(AZ1549&lt;=0,"Aussenlager","teilweise")))))</f>
        <v>Aussenlager</v>
      </c>
      <c r="BM1549" s="60" t="str">
        <f aca="false">IF(BD1549&lt;=0,"",IF(CG1549="Aussen","Aussenlager",IF(CG1549="-","Nicht im Lift",IF(BJ1549&gt;=1,"Lift",IF(BJ1549&lt;=0,"Aussenlager","teilweise")))))</f>
        <v>Lift</v>
      </c>
      <c r="BN1549" s="60" t="str">
        <f aca="false">IF(A1549="","",IF(BW1549=1,"Neu; ","")&amp;IF(AND(BW1549=0,BR1549&lt;0),"negativer Bestand (Export "&amp;BR1549&amp;"); ","")&amp;IF(J1549&lt;=0,"Kein Verbrauch; ","")&amp;IF(CR1549&gt;0,"Lift "&amp;W1549&amp;" lt. Liftbericht (Fach "&amp;X1549&amp;" Stk); ",IF(CB1549=1,"Gebinde geschätzt ("&amp;T1549&amp;"); ",IF(CA1549=1,"Lose – Tablare geschätzt; ","")))&amp;IF(H1549&gt;AW1549,"Überbestand "&amp;ROUND(H1549-AW1549,0)&amp;" Stk / CHF "&amp;ROUND((H1549-AW1549)*G1549,0)&amp;"; ","")&amp;IF(AND(CI1549=1,CJ1549&lt;CK1549),"MAX &lt; MB+LG; ","")&amp;IF(AND(CQ1549&gt;0,CP1549*10&gt;CQ1549),"zu hoch für Tablar; ","")&amp;IF(AND(BW1549=0,OR(CI1549=1,AB1549&lt;&gt;"",U1549&lt;&gt;"",V1549&lt;&gt;"",AC1549&lt;&gt;"")),"manuell übersteuert; ","")&amp;IF(AND(CA1549=0,R1549=0),"Gebinde unbekannt / Stellmass fehlt; ","")&amp;IF(AND(CA1549=0,N(V1549)&lt;=0,N(Q1549)&lt;=0),"Menge pro Gebinde fehlt (Ist = 1 Gebinde); ","")&amp;BV1549)</f>
        <v>Kein Verbrauch; Überbestand 26 Stk / CHF 6240; nur im Artikelstamm (Bestand 23.06.2026)</v>
      </c>
      <c r="BO1549" s="60"/>
      <c r="BP1549" s="60"/>
      <c r="BQ1549" s="67"/>
      <c r="BR1549" s="62" t="n">
        <v>46</v>
      </c>
      <c r="BS1549" s="62" t="n">
        <v>0</v>
      </c>
      <c r="BT1549" s="61" t="n">
        <v>0</v>
      </c>
      <c r="BU1549" s="62" t="n">
        <v>0</v>
      </c>
      <c r="BV1549" s="60" t="s">
        <v>2617</v>
      </c>
      <c r="BW1549" s="65" t="n">
        <v>0</v>
      </c>
      <c r="BX1549" s="65" t="n">
        <v>1549</v>
      </c>
      <c r="BY1549" s="60" t="str">
        <f aca="false">IF(U1549&lt;&gt;"",UPPER(TRIM(U1549)),IF(CB1549=1,UPPER(VLOOKUP(T1549,Parameter!$I$27:$K$29,2,0)),IF(P1549="","LOSE",P1549)))</f>
        <v>S63</v>
      </c>
      <c r="BZ1549" s="62" t="n">
        <f aca="false">IF(BY1549="LOSE",1,IF(N(V1549)&gt;0,V1549,IF(CB1549=1,MAX(1,N(VLOOKUP(T1549,Parameter!$I$27:$K$29,3,0)),H1549,N(N1549)),IF(N(Q1549)&gt;0,Q1549,MAX(1,H1549)))))</f>
        <v>23</v>
      </c>
      <c r="CA1549" s="65" t="n">
        <f aca="false">IF(BY1549="LOSE",1,0)</f>
        <v>0</v>
      </c>
      <c r="CB1549" s="65" t="n">
        <f aca="false">IF(AND(U1549="",OR(P1549="",P1549="LOSE"),T1549&lt;&gt;"",N(S1549)&lt;=0,ISNUMBER(MATCH(T1549,Parameter!$I$27:$I$29,0))),1,0)</f>
        <v>0</v>
      </c>
      <c r="CC1549" s="65" t="n">
        <f aca="false">IF(CR1549&gt;0,INDEX(Parameter!$H$5:$H$7,W1549)/INDEX(Parameter!$E$5:$E$7,W1549),IF(AND(CA1549=0,N(IFERROR(VLOOKUP(BY1549,'Gebinde-Kategorie'!$A$5:$N$45,14,0),0))&gt;0),VLOOKUP(BY1549,'Gebinde-Kategorie'!$A$5:$N$45,14,0)*10+Parameter!$M$23,Parameter!$M$24))</f>
        <v>345</v>
      </c>
      <c r="CD1549" s="60" t="str">
        <f aca="false">IF(AND(Parameter!$B$19="Ja",E1549&lt;&gt;"",ISNUMBER(MATCH(E1549,Parameter!$I$35:$I$52,0))),VLOOKUP(E1549,Parameter!$I$35:$J$52,2,0),IFERROR(VLOOKUP(D1549,Parameter!$A$35:$C$64,2,0),"Nein"))</f>
        <v>2+3</v>
      </c>
      <c r="CE1549" s="64" t="n">
        <f aca="false">IF(CA1549=0,0,IF(N(S1549)&gt;0,S1549,IFERROR(VLOOKUP(D1549,Parameter!$A$35:$C$64,3,0)+0,0)))</f>
        <v>0</v>
      </c>
      <c r="CF1549" s="60" t="n">
        <f aca="false">IF(AB1549&lt;&gt;"",AB1549,AA1549)</f>
        <v>3</v>
      </c>
      <c r="CG1549" s="60" t="str">
        <f aca="false">IF(OR(CF1549=1,CF1549=2,CF1549=3),IF(Parameter!$E$27="Ja","LIFT",IF(CF1549=1,"L1","L23")),IF(CF1549="Aussen","Aussen","-"))</f>
        <v>LIFT</v>
      </c>
      <c r="CH1549" s="71" t="n">
        <f aca="false">IF(N(AC1549)&gt;0,AC1549,0)</f>
        <v>0</v>
      </c>
      <c r="CI1549" s="65" t="n">
        <f aca="false">IF(ISNUMBER(AF1549),1,0)</f>
        <v>0</v>
      </c>
      <c r="CJ1549" s="62" t="n">
        <f aca="false">N(AF1549)</f>
        <v>0</v>
      </c>
      <c r="CK1549" s="62" t="n">
        <f aca="false">N(M1549)+N(N1549)</f>
        <v>20</v>
      </c>
      <c r="CL1549" s="62" t="n">
        <f aca="false">N(M1549)</f>
        <v>0</v>
      </c>
      <c r="CM1549" s="62" t="n">
        <f aca="false">N(N1549)</f>
        <v>20</v>
      </c>
      <c r="CN1549" s="62" t="n">
        <f aca="false">ROUNDUP(H1549/BZ1549,0)</f>
        <v>2</v>
      </c>
      <c r="CO1549" s="62" t="n">
        <f aca="false">ROUNDUP(CJ1549/BZ1549,0)</f>
        <v>0</v>
      </c>
      <c r="CP1549" s="65" t="n">
        <f aca="false">IF(CA1549=1,0,IFERROR(VLOOKUP(BY1549,'Gebinde-Kategorie'!$A$5:$N$45,5,0)+0,0))</f>
        <v>31</v>
      </c>
      <c r="CQ1549" s="65" t="n">
        <f aca="false">IFERROR(IF(OR(CF1549=1,CF1549=2,CF1549=3),N(INDEX(Parameter!$I$5:$I$7,CF1549)),0),0)</f>
        <v>0</v>
      </c>
      <c r="CR1549" s="64" t="n">
        <f aca="false">IF(AND(Parameter!$B$21="Ja",ISNUMBER(W1549),N(X1549)&gt;0),IFERROR(N(INDEX(Parameter!$L$5:$L$7,W1549))*INDEX(Parameter!$E$5:$E$7,W1549)*X1549/SUMIFS($X$7:$X$1843,$W$7:$W$1843,W1549),0),0)</f>
        <v>0</v>
      </c>
      <c r="CS1549" s="62" t="n">
        <f aca="false">IF(AND(OR(CG1549="L1",CG1549="L23",CG1549="LIFT"),H1549&gt;0),CC1549*IF(CR1549&gt;0,CR1549*MAX(1,H1549/X1549),IF(CA1549=1,CE1549,IF(R1549&gt;0,CN1549/R1549,0))/MAX(0.1,N(Parameter!$M$21))),"")</f>
        <v>57.5</v>
      </c>
      <c r="CT1549" s="64" t="n">
        <f aca="false">IF(CS1549="","",J1549/H1549)</f>
        <v>0</v>
      </c>
      <c r="CU1549" s="62" t="n">
        <f aca="false">IF(CS1549="","",H1549*G1549)</f>
        <v>11040</v>
      </c>
      <c r="CV1549" s="63" t="n">
        <f aca="false">IF(CS1549="","",(CL1549+ROUNDUP(CL1549+MAX(CM1549,2*(J1549/MAX(0.1,N(Einkauf!$C$6))-CL1549)),0))/2)</f>
        <v>10</v>
      </c>
      <c r="CW1549" s="62" t="n">
        <f aca="false">IF(CS1549="","",MAX(0,H1549-CV1549)*G1549)</f>
        <v>8640</v>
      </c>
      <c r="CX1549" s="62" t="n">
        <f aca="false">IF(CS1549="","",CS1549*MAX(0,1-CV1549/H1549))</f>
        <v>45</v>
      </c>
      <c r="CY1549" s="64" t="n">
        <f aca="false">IF(CS1549="","",PERCENTRANK($CS$7:$CS$1843,CS1549)+PERCENTRANK($CU$7:$CU$1843,CU1549)+1-PERCENTRANK($CT$7:$CT$1843,CT1549))</f>
        <v>2.865</v>
      </c>
      <c r="CZ1549" s="72" t="n">
        <f aca="false">IF(CS1549="","",CHOOSE(MATCH(Einkauf!$C$5,Parameter!$G$23:$G$27,0),CY1549,CS1549,CU1549,-CT1549,CW1549)+ROW()/1000000000)</f>
        <v>2.865001549</v>
      </c>
    </row>
    <row r="1550" customFormat="false" ht="15" hidden="false" customHeight="false" outlineLevel="0" collapsed="false">
      <c r="A1550" s="60" t="s">
        <v>2751</v>
      </c>
      <c r="B1550" s="60" t="s">
        <v>2752</v>
      </c>
      <c r="C1550" s="60" t="s">
        <v>206</v>
      </c>
      <c r="D1550" s="60" t="s">
        <v>226</v>
      </c>
      <c r="E1550" s="60" t="s">
        <v>227</v>
      </c>
      <c r="F1550" s="60"/>
      <c r="G1550" s="61" t="n">
        <v>9.09</v>
      </c>
      <c r="H1550" s="62" t="n">
        <f aca="false">MAX(0,IF(AND(Parameter!$B$21="Ja",ISNUMBER(Y1550)),Y1550,IF(Parameter!$B$20="Jahresanfang 2025 + Export",BS1550+BR1550,BR1550)))</f>
        <v>11</v>
      </c>
      <c r="I1550" s="62" t="n">
        <f aca="false">H1550*G1550</f>
        <v>99.99</v>
      </c>
      <c r="J1550" s="62" t="n">
        <f aca="false">BU1550*Parameter!$B$18</f>
        <v>0</v>
      </c>
      <c r="K1550" s="63"/>
      <c r="L1550" s="64"/>
      <c r="M1550" s="62" t="n">
        <v>0</v>
      </c>
      <c r="N1550" s="62" t="n">
        <v>1</v>
      </c>
      <c r="O1550" s="65" t="n">
        <v>28</v>
      </c>
      <c r="P1550" s="60" t="s">
        <v>370</v>
      </c>
      <c r="Q1550" s="62" t="n">
        <v>11</v>
      </c>
      <c r="R1550" s="65" t="n">
        <f aca="false">IF(CA1550=1,0,IFERROR(VLOOKUP(BY1550,'Gebinde-Kategorie'!$A$5:$N$45,13,0)+0,0))</f>
        <v>52</v>
      </c>
      <c r="S1550" s="66"/>
      <c r="T1550" s="67"/>
      <c r="U1550" s="67"/>
      <c r="V1550" s="67"/>
      <c r="W1550" s="60"/>
      <c r="X1550" s="62"/>
      <c r="Y1550" s="62"/>
      <c r="Z1550" s="60" t="n">
        <v>1</v>
      </c>
      <c r="AA1550" s="60" t="n">
        <f aca="false">IF(A1550="","",IF(AND(Parameter!$B$21="Ja",ISNUMBER(W1550)),W1550,IF(AND(Parameter!$E$27="Ja",ISNUMBER(Z1550),CD1550&lt;&gt;"Nein"),Z1550,IF(CD1550="2+3",IF(ISNUMBER(SEARCH("grosser Artikel",BV1550)),2,IFERROR(VLOOKUP(BY1550,Parameter!$F$35:$G$64,2,0),2)),IF(OR(CD1550="Nein",CD1550=""),"-",CD1550)))))</f>
        <v>1</v>
      </c>
      <c r="AB1550" s="67"/>
      <c r="AC1550" s="68"/>
      <c r="AD1550" s="62" t="n">
        <f aca="false">AW1550</f>
        <v>1</v>
      </c>
      <c r="AE1550" s="62" t="n">
        <f aca="false">MAX(AW1550,H1550)</f>
        <v>11</v>
      </c>
      <c r="AF1550" s="69"/>
      <c r="AG1550" s="62" t="n">
        <f aca="false">IF(LEFT(Cockpit!$C$5,1)="A",H1550,IF(Parameter!$E$30="MAX-Bestand",IF(CI1550=1,CJ1550,IF(LEFT(Cockpit!$C$5,1)="B",AM1550,MAX(AM1550,H1550))),ROUNDUP(AK1550,0)))</f>
        <v>11</v>
      </c>
      <c r="AH1550" s="62" t="n">
        <f aca="false">IF(CA1550=1,0,ROUNDUP(AG1550/BZ1550,0))</f>
        <v>1</v>
      </c>
      <c r="AI1550" s="64" t="n">
        <f aca="false">IF(CR1550&gt;0,CR1550*MAX(1,AG1550/X1550),IF(CA1550=1,IF(AG1550&lt;=0,0,CE1550*MAX(1,IF(H1550&gt;0,AG1550/H1550,1))),IF(R1550&gt;0,AH1550/R1550,0))/MAX(0.1,N(Parameter!$M$21)))</f>
        <v>0.0192307692307692</v>
      </c>
      <c r="AJ1550" s="62" t="n">
        <f aca="false">AI1550*CC1550</f>
        <v>2.98076923076923</v>
      </c>
      <c r="AK1550" s="63" t="n">
        <f aca="false">IF(LEFT(Cockpit!$C$5,1)="A",H1550,IF(CI1550=1,(CL1550+CJ1550)/2,IF(LEFT(Cockpit!$C$5,1)="B",(CL1550+AM1550)/2,MAX((CL1550+AM1550)/2,H1550))))</f>
        <v>11</v>
      </c>
      <c r="AL1550" s="62" t="n">
        <f aca="false">AK1550*G1550</f>
        <v>99.99</v>
      </c>
      <c r="AM1550" s="62" t="n">
        <f aca="false">ROUNDUP(CL1550+MAX(CM1550,2*(J1550/IF(CH1550&gt;0,CH1550,MAX(0.1,N(Cockpit!$C$6)))-CL1550)),0)</f>
        <v>1</v>
      </c>
      <c r="AN1550" s="63" t="n">
        <f aca="false">IF(AJ1550&gt;0,J1550/AJ1550,-1)</f>
        <v>0</v>
      </c>
      <c r="AO1550" s="63" t="n">
        <f aca="false">IF(AND(OR(CG1550="L1",CG1550="L23",CG1550="LIFT"),AJ1550&gt;0),SUMIFS($AJ$7:$AJ$1843,$CG$7:$CG$1843,CG1550,$AN$7:$AN$1843,"&gt;"&amp;AN1550)+SUMIFS($AJ$7:$AJ$1843,$CG$7:$CG$1843,CG1550,$AN$7:$AN$1843,AN1550,$BX$7:$BX$1843,"&lt;="&amp;BX1550),"")</f>
        <v>30209.8753130109</v>
      </c>
      <c r="AP1550" s="70" t="n">
        <f aca="false">IF(AO1550="",0,MAX(0,MIN(1,(IF(CG1550="L1",Parameter!$H$5,IF(CG1550="L23",Parameter!$H$6+Parameter!$H$7,Parameter!$H$5+Parameter!$H$6+Parameter!$H$7))-(AO1550-AJ1550))/AJ1550)))</f>
        <v>1</v>
      </c>
      <c r="AQ1550" s="62" t="n">
        <f aca="false">IF(LEFT(Cockpit!$I$5,1)="A",H1550,IF(Parameter!$E$30="MAX-Bestand",IF(CI1550=1,CJ1550,IF(LEFT(Cockpit!$I$5,1)="B",AW1550,MAX(AW1550,H1550))),ROUNDUP(AU1550,0)))</f>
        <v>11</v>
      </c>
      <c r="AR1550" s="62" t="n">
        <f aca="false">IF(CA1550=1,0,ROUNDUP(AQ1550/BZ1550,0))</f>
        <v>1</v>
      </c>
      <c r="AS1550" s="64" t="n">
        <f aca="false">IF(CR1550&gt;0,CR1550*MAX(1,AQ1550/X1550),IF(CA1550=1,IF(AQ1550&lt;=0,0,CE1550*MAX(1,IF(H1550&gt;0,AQ1550/H1550,1))),IF(R1550&gt;0,AR1550/R1550,0))/MAX(0.1,N(Parameter!$M$21)))</f>
        <v>0.0192307692307692</v>
      </c>
      <c r="AT1550" s="62" t="n">
        <f aca="false">AS1550*CC1550</f>
        <v>2.98076923076923</v>
      </c>
      <c r="AU1550" s="63" t="n">
        <f aca="false">IF(LEFT(Cockpit!$I$5,1)="A",H1550,IF(CI1550=1,(CL1550+CJ1550)/2,IF(LEFT(Cockpit!$I$5,1)="B",(CL1550+AW1550)/2,MAX((CL1550+AW1550)/2,H1550))))</f>
        <v>11</v>
      </c>
      <c r="AV1550" s="62" t="n">
        <f aca="false">AU1550*G1550</f>
        <v>99.99</v>
      </c>
      <c r="AW1550" s="62" t="n">
        <f aca="false">ROUNDUP(CL1550+MAX(CM1550,2*(J1550/IF(CH1550&gt;0,CH1550,MAX(0.1,N(Cockpit!$I$6)))-CL1550)),0)</f>
        <v>1</v>
      </c>
      <c r="AX1550" s="63" t="n">
        <f aca="false">IF(AT1550&gt;0,J1550/AT1550,-1)</f>
        <v>0</v>
      </c>
      <c r="AY1550" s="63" t="n">
        <f aca="false">IF(AND(OR(CG1550="L1",CG1550="L23",CG1550="LIFT"),AT1550&gt;0),SUMIFS($AT$7:$AT$1843,$CG$7:$CG$1843,CG1550,$AX$7:$AX$1843,"&gt;"&amp;AX1550)+SUMIFS($AT$7:$AT$1843,$CG$7:$CG$1843,CG1550,$AX$7:$AX$1843,AX1550,$BX$7:$BX$1843,"&lt;="&amp;BX1550),"")</f>
        <v>36529.7318298462</v>
      </c>
      <c r="AZ1550" s="70" t="n">
        <f aca="false">IF(AY1550="",0,MAX(0,MIN(1,(IF(CG1550="L1",Parameter!$H$5,IF(CG1550="L23",Parameter!$H$6+Parameter!$H$7,Parameter!$H$5+Parameter!$H$6+Parameter!$H$7))-(AY1550-AT1550))/AT1550)))</f>
        <v>0</v>
      </c>
      <c r="BA1550" s="62" t="n">
        <f aca="false">IF(LEFT(Cockpit!$O$5,1)="A",H1550,IF(Parameter!$E$30="MAX-Bestand",IF(CI1550=1,CJ1550,IF(LEFT(Cockpit!$O$5,1)="B",BG1550,MAX(BG1550,H1550))),ROUNDUP(BE1550,0)))</f>
        <v>1</v>
      </c>
      <c r="BB1550" s="62" t="n">
        <f aca="false">IF(CA1550=1,0,ROUNDUP(BA1550/BZ1550,0))</f>
        <v>1</v>
      </c>
      <c r="BC1550" s="64" t="n">
        <f aca="false">IF(CR1550&gt;0,CR1550*MAX(1,BA1550/X1550),IF(CA1550=1,IF(BA1550&lt;=0,0,CE1550*MAX(1,IF(H1550&gt;0,BA1550/H1550,1))),IF(R1550&gt;0,BB1550/R1550,0))/MAX(0.1,N(Parameter!$M$21)))</f>
        <v>0.0192307692307692</v>
      </c>
      <c r="BD1550" s="62" t="n">
        <f aca="false">BC1550*CC1550</f>
        <v>2.98076923076923</v>
      </c>
      <c r="BE1550" s="63" t="n">
        <f aca="false">IF(LEFT(Cockpit!$O$5,1)="A",H1550,IF(CI1550=1,(CL1550+CJ1550)/2,IF(LEFT(Cockpit!$O$5,1)="B",(CL1550+BG1550)/2,MAX((CL1550+BG1550)/2,H1550))))</f>
        <v>0.5</v>
      </c>
      <c r="BF1550" s="62" t="n">
        <f aca="false">BE1550*G1550</f>
        <v>4.545</v>
      </c>
      <c r="BG1550" s="62" t="n">
        <f aca="false">ROUNDUP(CL1550+MAX(CM1550,2*(J1550/IF(CH1550&gt;0,CH1550,MAX(0.1,N(Cockpit!$O$6)))-CL1550)),0)</f>
        <v>1</v>
      </c>
      <c r="BH1550" s="63" t="n">
        <f aca="false">IF(BD1550&gt;0,J1550/BD1550,-1)</f>
        <v>0</v>
      </c>
      <c r="BI1550" s="63" t="n">
        <f aca="false">IF(AND(OR(CG1550="L1",CG1550="L23",CG1550="LIFT"),BD1550&gt;0),SUMIFS($BD$7:$BD$1843,$CG$7:$CG$1843,CG1550,$BH$7:$BH$1843,"&gt;"&amp;BH1550)+SUMIFS($BD$7:$BD$1843,$CG$7:$CG$1843,CG1550,$BH$7:$BH$1843,BH1550,$BX$7:$BX$1843,"&lt;="&amp;BX1550),"")</f>
        <v>30439.1731053786</v>
      </c>
      <c r="BJ1550" s="70" t="n">
        <f aca="false">IF(BI1550="",0,MAX(0,MIN(1,(IF(CG1550="L1",Parameter!$H$5,IF(CG1550="L23",Parameter!$H$6+Parameter!$H$7,Parameter!$H$5+Parameter!$H$6+Parameter!$H$7))-(BI1550-BD1550))/BD1550)))</f>
        <v>1</v>
      </c>
      <c r="BK1550" s="60" t="str">
        <f aca="false">IF(AJ1550&lt;=0,"",IF(CG1550="Aussen","Aussenlager",IF(CG1550="-","Nicht im Lift",IF(AP1550&gt;=1,"Lift",IF(AP1550&lt;=0,"Aussenlager","teilweise")))))</f>
        <v>Lift</v>
      </c>
      <c r="BL1550" s="60" t="str">
        <f aca="false">IF(AT1550&lt;=0,"",IF(CG1550="Aussen","Aussenlager",IF(CG1550="-","Nicht im Lift",IF(AZ1550&gt;=1,"Lift",IF(AZ1550&lt;=0,"Aussenlager","teilweise")))))</f>
        <v>Aussenlager</v>
      </c>
      <c r="BM1550" s="60" t="str">
        <f aca="false">IF(BD1550&lt;=0,"",IF(CG1550="Aussen","Aussenlager",IF(CG1550="-","Nicht im Lift",IF(BJ1550&gt;=1,"Lift",IF(BJ1550&lt;=0,"Aussenlager","teilweise")))))</f>
        <v>Lift</v>
      </c>
      <c r="BN1550" s="60" t="str">
        <f aca="false">IF(A1550="","",IF(BW1550=1,"Neu; ","")&amp;IF(AND(BW1550=0,BR1550&lt;0),"negativer Bestand (Export "&amp;BR1550&amp;"); ","")&amp;IF(J1550&lt;=0,"Kein Verbrauch; ","")&amp;IF(CR1550&gt;0,"Lift "&amp;W1550&amp;" lt. Liftbericht (Fach "&amp;X1550&amp;" Stk); ",IF(CB1550=1,"Gebinde geschätzt ("&amp;T1550&amp;"); ",IF(CA1550=1,"Lose – Tablare geschätzt; ","")))&amp;IF(H1550&gt;AW1550,"Überbestand "&amp;ROUND(H1550-AW1550,0)&amp;" Stk / CHF "&amp;ROUND((H1550-AW1550)*G1550,0)&amp;"; ","")&amp;IF(AND(CI1550=1,CJ1550&lt;CK1550),"MAX &lt; MB+LG; ","")&amp;IF(AND(CQ1550&gt;0,CP1550*10&gt;CQ1550),"zu hoch für Tablar; ","")&amp;IF(AND(BW1550=0,OR(CI1550=1,AB1550&lt;&gt;"",U1550&lt;&gt;"",V1550&lt;&gt;"",AC1550&lt;&gt;"")),"manuell übersteuert; ","")&amp;IF(AND(CA1550=0,R1550=0),"Gebinde unbekannt / Stellmass fehlt; ","")&amp;IF(AND(CA1550=0,N(V1550)&lt;=0,N(Q1550)&lt;=0),"Menge pro Gebinde fehlt (Ist = 1 Gebinde); ","")&amp;BV1550)</f>
        <v>Kein Verbrauch; Überbestand 10 Stk / CHF 91; nur im Artikelstamm (Bestand 23.06.2026)</v>
      </c>
      <c r="BO1550" s="60"/>
      <c r="BP1550" s="60"/>
      <c r="BQ1550" s="67"/>
      <c r="BR1550" s="62" t="n">
        <v>11</v>
      </c>
      <c r="BS1550" s="62" t="n">
        <v>0</v>
      </c>
      <c r="BT1550" s="61" t="n">
        <v>0</v>
      </c>
      <c r="BU1550" s="62" t="n">
        <v>0</v>
      </c>
      <c r="BV1550" s="60" t="s">
        <v>2617</v>
      </c>
      <c r="BW1550" s="65" t="n">
        <v>0</v>
      </c>
      <c r="BX1550" s="65" t="n">
        <v>1550</v>
      </c>
      <c r="BY1550" s="60" t="str">
        <f aca="false">IF(U1550&lt;&gt;"",UPPER(TRIM(U1550)),IF(CB1550=1,UPPER(VLOOKUP(T1550,Parameter!$I$27:$K$29,2,0)),IF(P1550="","LOSE",P1550)))</f>
        <v>S41</v>
      </c>
      <c r="BZ1550" s="62" t="n">
        <f aca="false">IF(BY1550="LOSE",1,IF(N(V1550)&gt;0,V1550,IF(CB1550=1,MAX(1,N(VLOOKUP(T1550,Parameter!$I$27:$K$29,3,0)),H1550,N(N1550)),IF(N(Q1550)&gt;0,Q1550,MAX(1,H1550)))))</f>
        <v>11</v>
      </c>
      <c r="CA1550" s="65" t="n">
        <f aca="false">IF(BY1550="LOSE",1,0)</f>
        <v>0</v>
      </c>
      <c r="CB1550" s="65" t="n">
        <f aca="false">IF(AND(U1550="",OR(P1550="",P1550="LOSE"),T1550&lt;&gt;"",N(S1550)&lt;=0,ISNUMBER(MATCH(T1550,Parameter!$I$27:$I$29,0))),1,0)</f>
        <v>0</v>
      </c>
      <c r="CC1550" s="65" t="n">
        <f aca="false">IF(CR1550&gt;0,INDEX(Parameter!$H$5:$H$7,W1550)/INDEX(Parameter!$E$5:$E$7,W1550),IF(AND(CA1550=0,N(IFERROR(VLOOKUP(BY1550,'Gebinde-Kategorie'!$A$5:$N$45,14,0),0))&gt;0),VLOOKUP(BY1550,'Gebinde-Kategorie'!$A$5:$N$45,14,0)*10+Parameter!$M$23,Parameter!$M$24))</f>
        <v>155</v>
      </c>
      <c r="CD1550" s="60" t="str">
        <f aca="false">IF(AND(Parameter!$B$19="Ja",E1550&lt;&gt;"",ISNUMBER(MATCH(E1550,Parameter!$I$35:$I$52,0))),VLOOKUP(E1550,Parameter!$I$35:$J$52,2,0),IFERROR(VLOOKUP(D1550,Parameter!$A$35:$C$64,2,0),"Nein"))</f>
        <v>2+3</v>
      </c>
      <c r="CE1550" s="64" t="n">
        <f aca="false">IF(CA1550=0,0,IF(N(S1550)&gt;0,S1550,IFERROR(VLOOKUP(D1550,Parameter!$A$35:$C$64,3,0)+0,0)))</f>
        <v>0</v>
      </c>
      <c r="CF1550" s="60" t="n">
        <f aca="false">IF(AB1550&lt;&gt;"",AB1550,AA1550)</f>
        <v>1</v>
      </c>
      <c r="CG1550" s="60" t="str">
        <f aca="false">IF(OR(CF1550=1,CF1550=2,CF1550=3),IF(Parameter!$E$27="Ja","LIFT",IF(CF1550=1,"L1","L23")),IF(CF1550="Aussen","Aussen","-"))</f>
        <v>LIFT</v>
      </c>
      <c r="CH1550" s="71" t="n">
        <f aca="false">IF(N(AC1550)&gt;0,AC1550,0)</f>
        <v>0</v>
      </c>
      <c r="CI1550" s="65" t="n">
        <f aca="false">IF(ISNUMBER(AF1550),1,0)</f>
        <v>0</v>
      </c>
      <c r="CJ1550" s="62" t="n">
        <f aca="false">N(AF1550)</f>
        <v>0</v>
      </c>
      <c r="CK1550" s="62" t="n">
        <f aca="false">N(M1550)+N(N1550)</f>
        <v>1</v>
      </c>
      <c r="CL1550" s="62" t="n">
        <f aca="false">N(M1550)</f>
        <v>0</v>
      </c>
      <c r="CM1550" s="62" t="n">
        <f aca="false">N(N1550)</f>
        <v>1</v>
      </c>
      <c r="CN1550" s="62" t="n">
        <f aca="false">ROUNDUP(H1550/BZ1550,0)</f>
        <v>1</v>
      </c>
      <c r="CO1550" s="62" t="n">
        <f aca="false">ROUNDUP(CJ1550/BZ1550,0)</f>
        <v>0</v>
      </c>
      <c r="CP1550" s="65" t="n">
        <f aca="false">IF(CA1550=1,0,IFERROR(VLOOKUP(BY1550,'Gebinde-Kategorie'!$A$5:$N$45,5,0)+0,0))</f>
        <v>11</v>
      </c>
      <c r="CQ1550" s="65" t="n">
        <f aca="false">IFERROR(IF(OR(CF1550=1,CF1550=2,CF1550=3),N(INDEX(Parameter!$I$5:$I$7,CF1550)),0),0)</f>
        <v>0</v>
      </c>
      <c r="CR1550" s="64" t="n">
        <f aca="false">IF(AND(Parameter!$B$21="Ja",ISNUMBER(W1550),N(X1550)&gt;0),IFERROR(N(INDEX(Parameter!$L$5:$L$7,W1550))*INDEX(Parameter!$E$5:$E$7,W1550)*X1550/SUMIFS($X$7:$X$1843,$W$7:$W$1843,W1550),0),0)</f>
        <v>0</v>
      </c>
      <c r="CS1550" s="62" t="n">
        <f aca="false">IF(AND(OR(CG1550="L1",CG1550="L23",CG1550="LIFT"),H1550&gt;0),CC1550*IF(CR1550&gt;0,CR1550*MAX(1,H1550/X1550),IF(CA1550=1,CE1550,IF(R1550&gt;0,CN1550/R1550,0))/MAX(0.1,N(Parameter!$M$21))),"")</f>
        <v>2.98076923076923</v>
      </c>
      <c r="CT1550" s="64" t="n">
        <f aca="false">IF(CS1550="","",J1550/H1550)</f>
        <v>0</v>
      </c>
      <c r="CU1550" s="62" t="n">
        <f aca="false">IF(CS1550="","",H1550*G1550)</f>
        <v>99.99</v>
      </c>
      <c r="CV1550" s="63" t="n">
        <f aca="false">IF(CS1550="","",(CL1550+ROUNDUP(CL1550+MAX(CM1550,2*(J1550/MAX(0.1,N(Einkauf!$C$6))-CL1550)),0))/2)</f>
        <v>0.5</v>
      </c>
      <c r="CW1550" s="62" t="n">
        <f aca="false">IF(CS1550="","",MAX(0,H1550-CV1550)*G1550)</f>
        <v>95.445</v>
      </c>
      <c r="CX1550" s="62" t="n">
        <f aca="false">IF(CS1550="","",CS1550*MAX(0,1-CV1550/H1550))</f>
        <v>2.84527972027972</v>
      </c>
      <c r="CY1550" s="64" t="n">
        <f aca="false">IF(CS1550="","",PERCENTRANK($CS$7:$CS$1843,CS1550)+PERCENTRANK($CU$7:$CU$1843,CU1550)+1-PERCENTRANK($CT$7:$CT$1843,CT1550))</f>
        <v>1.446</v>
      </c>
      <c r="CZ1550" s="72" t="n">
        <f aca="false">IF(CS1550="","",CHOOSE(MATCH(Einkauf!$C$5,Parameter!$G$23:$G$27,0),CY1550,CS1550,CU1550,-CT1550,CW1550)+ROW()/1000000000)</f>
        <v>1.44600155</v>
      </c>
    </row>
    <row r="1551" customFormat="false" ht="15" hidden="false" customHeight="false" outlineLevel="0" collapsed="false">
      <c r="A1551" s="60" t="s">
        <v>2753</v>
      </c>
      <c r="B1551" s="60" t="s">
        <v>640</v>
      </c>
      <c r="C1551" s="60" t="s">
        <v>206</v>
      </c>
      <c r="D1551" s="60" t="s">
        <v>215</v>
      </c>
      <c r="E1551" s="60" t="s">
        <v>227</v>
      </c>
      <c r="F1551" s="60"/>
      <c r="G1551" s="61" t="n">
        <v>40.28</v>
      </c>
      <c r="H1551" s="62" t="n">
        <f aca="false">MAX(0,IF(AND(Parameter!$B$21="Ja",ISNUMBER(Y1551)),Y1551,IF(Parameter!$B$20="Jahresanfang 2025 + Export",BS1551+BR1551,BR1551)))</f>
        <v>13</v>
      </c>
      <c r="I1551" s="62" t="n">
        <f aca="false">H1551*G1551</f>
        <v>523.64</v>
      </c>
      <c r="J1551" s="62" t="n">
        <f aca="false">BU1551*Parameter!$B$18</f>
        <v>0</v>
      </c>
      <c r="K1551" s="63"/>
      <c r="L1551" s="64"/>
      <c r="M1551" s="62" t="n">
        <v>0</v>
      </c>
      <c r="N1551" s="62" t="n">
        <v>1</v>
      </c>
      <c r="O1551" s="65" t="n">
        <v>84</v>
      </c>
      <c r="P1551" s="60" t="s">
        <v>463</v>
      </c>
      <c r="Q1551" s="62" t="n">
        <v>13</v>
      </c>
      <c r="R1551" s="65" t="n">
        <f aca="false">IF(CA1551=1,0,IFERROR(VLOOKUP(BY1551,'Gebinde-Kategorie'!$A$5:$N$45,13,0)+0,0))</f>
        <v>104</v>
      </c>
      <c r="S1551" s="66"/>
      <c r="T1551" s="67"/>
      <c r="U1551" s="67"/>
      <c r="V1551" s="67"/>
      <c r="W1551" s="60"/>
      <c r="X1551" s="62"/>
      <c r="Y1551" s="62"/>
      <c r="Z1551" s="60" t="n">
        <v>3</v>
      </c>
      <c r="AA1551" s="60" t="n">
        <f aca="false">IF(A1551="","",IF(AND(Parameter!$B$21="Ja",ISNUMBER(W1551)),W1551,IF(AND(Parameter!$E$27="Ja",ISNUMBER(Z1551),CD1551&lt;&gt;"Nein"),Z1551,IF(CD1551="2+3",IF(ISNUMBER(SEARCH("grosser Artikel",BV1551)),2,IFERROR(VLOOKUP(BY1551,Parameter!$F$35:$G$64,2,0),2)),IF(OR(CD1551="Nein",CD1551=""),"-",CD1551)))))</f>
        <v>3</v>
      </c>
      <c r="AB1551" s="67"/>
      <c r="AC1551" s="68"/>
      <c r="AD1551" s="62" t="n">
        <f aca="false">AW1551</f>
        <v>1</v>
      </c>
      <c r="AE1551" s="62" t="n">
        <f aca="false">MAX(AW1551,H1551)</f>
        <v>13</v>
      </c>
      <c r="AF1551" s="69"/>
      <c r="AG1551" s="62" t="n">
        <f aca="false">IF(LEFT(Cockpit!$C$5,1)="A",H1551,IF(Parameter!$E$30="MAX-Bestand",IF(CI1551=1,CJ1551,IF(LEFT(Cockpit!$C$5,1)="B",AM1551,MAX(AM1551,H1551))),ROUNDUP(AK1551,0)))</f>
        <v>13</v>
      </c>
      <c r="AH1551" s="62" t="n">
        <f aca="false">IF(CA1551=1,0,ROUNDUP(AG1551/BZ1551,0))</f>
        <v>1</v>
      </c>
      <c r="AI1551" s="64" t="n">
        <f aca="false">IF(CR1551&gt;0,CR1551*MAX(1,AG1551/X1551),IF(CA1551=1,IF(AG1551&lt;=0,0,CE1551*MAX(1,IF(H1551&gt;0,AG1551/H1551,1))),IF(R1551&gt;0,AH1551/R1551,0))/MAX(0.1,N(Parameter!$M$21)))</f>
        <v>0.00961538461538462</v>
      </c>
      <c r="AJ1551" s="62" t="n">
        <f aca="false">AI1551*CC1551</f>
        <v>1.49038461538462</v>
      </c>
      <c r="AK1551" s="63" t="n">
        <f aca="false">IF(LEFT(Cockpit!$C$5,1)="A",H1551,IF(CI1551=1,(CL1551+CJ1551)/2,IF(LEFT(Cockpit!$C$5,1)="B",(CL1551+AM1551)/2,MAX((CL1551+AM1551)/2,H1551))))</f>
        <v>13</v>
      </c>
      <c r="AL1551" s="62" t="n">
        <f aca="false">AK1551*G1551</f>
        <v>523.64</v>
      </c>
      <c r="AM1551" s="62" t="n">
        <f aca="false">ROUNDUP(CL1551+MAX(CM1551,2*(J1551/IF(CH1551&gt;0,CH1551,MAX(0.1,N(Cockpit!$C$6)))-CL1551)),0)</f>
        <v>1</v>
      </c>
      <c r="AN1551" s="63" t="n">
        <f aca="false">IF(AJ1551&gt;0,J1551/AJ1551,-1)</f>
        <v>0</v>
      </c>
      <c r="AO1551" s="63" t="n">
        <f aca="false">IF(AND(OR(CG1551="L1",CG1551="L23",CG1551="LIFT"),AJ1551&gt;0),SUMIFS($AJ$7:$AJ$1843,$CG$7:$CG$1843,CG1551,$AN$7:$AN$1843,"&gt;"&amp;AN1551)+SUMIFS($AJ$7:$AJ$1843,$CG$7:$CG$1843,CG1551,$AN$7:$AN$1843,AN1551,$BX$7:$BX$1843,"&lt;="&amp;BX1551),"")</f>
        <v>30211.3656976263</v>
      </c>
      <c r="AP1551" s="70" t="n">
        <f aca="false">IF(AO1551="",0,MAX(0,MIN(1,(IF(CG1551="L1",Parameter!$H$5,IF(CG1551="L23",Parameter!$H$6+Parameter!$H$7,Parameter!$H$5+Parameter!$H$6+Parameter!$H$7))-(AO1551-AJ1551))/AJ1551)))</f>
        <v>1</v>
      </c>
      <c r="AQ1551" s="62" t="n">
        <f aca="false">IF(LEFT(Cockpit!$I$5,1)="A",H1551,IF(Parameter!$E$30="MAX-Bestand",IF(CI1551=1,CJ1551,IF(LEFT(Cockpit!$I$5,1)="B",AW1551,MAX(AW1551,H1551))),ROUNDUP(AU1551,0)))</f>
        <v>13</v>
      </c>
      <c r="AR1551" s="62" t="n">
        <f aca="false">IF(CA1551=1,0,ROUNDUP(AQ1551/BZ1551,0))</f>
        <v>1</v>
      </c>
      <c r="AS1551" s="64" t="n">
        <f aca="false">IF(CR1551&gt;0,CR1551*MAX(1,AQ1551/X1551),IF(CA1551=1,IF(AQ1551&lt;=0,0,CE1551*MAX(1,IF(H1551&gt;0,AQ1551/H1551,1))),IF(R1551&gt;0,AR1551/R1551,0))/MAX(0.1,N(Parameter!$M$21)))</f>
        <v>0.00961538461538462</v>
      </c>
      <c r="AT1551" s="62" t="n">
        <f aca="false">AS1551*CC1551</f>
        <v>1.49038461538462</v>
      </c>
      <c r="AU1551" s="63" t="n">
        <f aca="false">IF(LEFT(Cockpit!$I$5,1)="A",H1551,IF(CI1551=1,(CL1551+CJ1551)/2,IF(LEFT(Cockpit!$I$5,1)="B",(CL1551+AW1551)/2,MAX((CL1551+AW1551)/2,H1551))))</f>
        <v>13</v>
      </c>
      <c r="AV1551" s="62" t="n">
        <f aca="false">AU1551*G1551</f>
        <v>523.64</v>
      </c>
      <c r="AW1551" s="62" t="n">
        <f aca="false">ROUNDUP(CL1551+MAX(CM1551,2*(J1551/IF(CH1551&gt;0,CH1551,MAX(0.1,N(Cockpit!$I$6)))-CL1551)),0)</f>
        <v>1</v>
      </c>
      <c r="AX1551" s="63" t="n">
        <f aca="false">IF(AT1551&gt;0,J1551/AT1551,-1)</f>
        <v>0</v>
      </c>
      <c r="AY1551" s="63" t="n">
        <f aca="false">IF(AND(OR(CG1551="L1",CG1551="L23",CG1551="LIFT"),AT1551&gt;0),SUMIFS($AT$7:$AT$1843,$CG$7:$CG$1843,CG1551,$AX$7:$AX$1843,"&gt;"&amp;AX1551)+SUMIFS($AT$7:$AT$1843,$CG$7:$CG$1843,CG1551,$AX$7:$AX$1843,AX1551,$BX$7:$BX$1843,"&lt;="&amp;BX1551),"")</f>
        <v>36531.2222144616</v>
      </c>
      <c r="AZ1551" s="70" t="n">
        <f aca="false">IF(AY1551="",0,MAX(0,MIN(1,(IF(CG1551="L1",Parameter!$H$5,IF(CG1551="L23",Parameter!$H$6+Parameter!$H$7,Parameter!$H$5+Parameter!$H$6+Parameter!$H$7))-(AY1551-AT1551))/AT1551)))</f>
        <v>0</v>
      </c>
      <c r="BA1551" s="62" t="n">
        <f aca="false">IF(LEFT(Cockpit!$O$5,1)="A",H1551,IF(Parameter!$E$30="MAX-Bestand",IF(CI1551=1,CJ1551,IF(LEFT(Cockpit!$O$5,1)="B",BG1551,MAX(BG1551,H1551))),ROUNDUP(BE1551,0)))</f>
        <v>1</v>
      </c>
      <c r="BB1551" s="62" t="n">
        <f aca="false">IF(CA1551=1,0,ROUNDUP(BA1551/BZ1551,0))</f>
        <v>1</v>
      </c>
      <c r="BC1551" s="64" t="n">
        <f aca="false">IF(CR1551&gt;0,CR1551*MAX(1,BA1551/X1551),IF(CA1551=1,IF(BA1551&lt;=0,0,CE1551*MAX(1,IF(H1551&gt;0,BA1551/H1551,1))),IF(R1551&gt;0,BB1551/R1551,0))/MAX(0.1,N(Parameter!$M$21)))</f>
        <v>0.00961538461538462</v>
      </c>
      <c r="BD1551" s="62" t="n">
        <f aca="false">BC1551*CC1551</f>
        <v>1.49038461538462</v>
      </c>
      <c r="BE1551" s="63" t="n">
        <f aca="false">IF(LEFT(Cockpit!$O$5,1)="A",H1551,IF(CI1551=1,(CL1551+CJ1551)/2,IF(LEFT(Cockpit!$O$5,1)="B",(CL1551+BG1551)/2,MAX((CL1551+BG1551)/2,H1551))))</f>
        <v>0.5</v>
      </c>
      <c r="BF1551" s="62" t="n">
        <f aca="false">BE1551*G1551</f>
        <v>20.14</v>
      </c>
      <c r="BG1551" s="62" t="n">
        <f aca="false">ROUNDUP(CL1551+MAX(CM1551,2*(J1551/IF(CH1551&gt;0,CH1551,MAX(0.1,N(Cockpit!$O$6)))-CL1551)),0)</f>
        <v>1</v>
      </c>
      <c r="BH1551" s="63" t="n">
        <f aca="false">IF(BD1551&gt;0,J1551/BD1551,-1)</f>
        <v>0</v>
      </c>
      <c r="BI1551" s="63" t="n">
        <f aca="false">IF(AND(OR(CG1551="L1",CG1551="L23",CG1551="LIFT"),BD1551&gt;0),SUMIFS($BD$7:$BD$1843,$CG$7:$CG$1843,CG1551,$BH$7:$BH$1843,"&gt;"&amp;BH1551)+SUMIFS($BD$7:$BD$1843,$CG$7:$CG$1843,CG1551,$BH$7:$BH$1843,BH1551,$BX$7:$BX$1843,"&lt;="&amp;BX1551),"")</f>
        <v>30440.663489994</v>
      </c>
      <c r="BJ1551" s="70" t="n">
        <f aca="false">IF(BI1551="",0,MAX(0,MIN(1,(IF(CG1551="L1",Parameter!$H$5,IF(CG1551="L23",Parameter!$H$6+Parameter!$H$7,Parameter!$H$5+Parameter!$H$6+Parameter!$H$7))-(BI1551-BD1551))/BD1551)))</f>
        <v>1</v>
      </c>
      <c r="BK1551" s="60" t="str">
        <f aca="false">IF(AJ1551&lt;=0,"",IF(CG1551="Aussen","Aussenlager",IF(CG1551="-","Nicht im Lift",IF(AP1551&gt;=1,"Lift",IF(AP1551&lt;=0,"Aussenlager","teilweise")))))</f>
        <v>Lift</v>
      </c>
      <c r="BL1551" s="60" t="str">
        <f aca="false">IF(AT1551&lt;=0,"",IF(CG1551="Aussen","Aussenlager",IF(CG1551="-","Nicht im Lift",IF(AZ1551&gt;=1,"Lift",IF(AZ1551&lt;=0,"Aussenlager","teilweise")))))</f>
        <v>Aussenlager</v>
      </c>
      <c r="BM1551" s="60" t="str">
        <f aca="false">IF(BD1551&lt;=0,"",IF(CG1551="Aussen","Aussenlager",IF(CG1551="-","Nicht im Lift",IF(BJ1551&gt;=1,"Lift",IF(BJ1551&lt;=0,"Aussenlager","teilweise")))))</f>
        <v>Lift</v>
      </c>
      <c r="BN1551" s="60" t="str">
        <f aca="false">IF(A1551="","",IF(BW1551=1,"Neu; ","")&amp;IF(AND(BW1551=0,BR1551&lt;0),"negativer Bestand (Export "&amp;BR1551&amp;"); ","")&amp;IF(J1551&lt;=0,"Kein Verbrauch; ","")&amp;IF(CR1551&gt;0,"Lift "&amp;W1551&amp;" lt. Liftbericht (Fach "&amp;X1551&amp;" Stk); ",IF(CB1551=1,"Gebinde geschätzt ("&amp;T1551&amp;"); ",IF(CA1551=1,"Lose – Tablare geschätzt; ","")))&amp;IF(H1551&gt;AW1551,"Überbestand "&amp;ROUND(H1551-AW1551,0)&amp;" Stk / CHF "&amp;ROUND((H1551-AW1551)*G1551,0)&amp;"; ","")&amp;IF(AND(CI1551=1,CJ1551&lt;CK1551),"MAX &lt; MB+LG; ","")&amp;IF(AND(CQ1551&gt;0,CP1551*10&gt;CQ1551),"zu hoch für Tablar; ","")&amp;IF(AND(BW1551=0,OR(CI1551=1,AB1551&lt;&gt;"",U1551&lt;&gt;"",V1551&lt;&gt;"",AC1551&lt;&gt;"")),"manuell übersteuert; ","")&amp;IF(AND(CA1551=0,R1551=0),"Gebinde unbekannt / Stellmass fehlt; ","")&amp;IF(AND(CA1551=0,N(V1551)&lt;=0,N(Q1551)&lt;=0),"Menge pro Gebinde fehlt (Ist = 1 Gebinde); ","")&amp;BV1551)</f>
        <v>Kein Verbrauch; Überbestand 12 Stk / CHF 483; nur im Artikelstamm (Bestand 23.06.2026); Neu</v>
      </c>
      <c r="BO1551" s="60"/>
      <c r="BP1551" s="60"/>
      <c r="BQ1551" s="67"/>
      <c r="BR1551" s="62" t="n">
        <v>13</v>
      </c>
      <c r="BS1551" s="62" t="n">
        <v>0</v>
      </c>
      <c r="BT1551" s="61" t="n">
        <v>0</v>
      </c>
      <c r="BU1551" s="62" t="n">
        <v>0</v>
      </c>
      <c r="BV1551" s="60" t="s">
        <v>2709</v>
      </c>
      <c r="BW1551" s="65" t="n">
        <v>0</v>
      </c>
      <c r="BX1551" s="65" t="n">
        <v>1551</v>
      </c>
      <c r="BY1551" s="60" t="str">
        <f aca="false">IF(U1551&lt;&gt;"",UPPER(TRIM(U1551)),IF(CB1551=1,UPPER(VLOOKUP(T1551,Parameter!$I$27:$K$29,2,0)),IF(P1551="","LOSE",P1551)))</f>
        <v>S32</v>
      </c>
      <c r="BZ1551" s="62" t="n">
        <f aca="false">IF(BY1551="LOSE",1,IF(N(V1551)&gt;0,V1551,IF(CB1551=1,MAX(1,N(VLOOKUP(T1551,Parameter!$I$27:$K$29,3,0)),H1551,N(N1551)),IF(N(Q1551)&gt;0,Q1551,MAX(1,H1551)))))</f>
        <v>13</v>
      </c>
      <c r="CA1551" s="65" t="n">
        <f aca="false">IF(BY1551="LOSE",1,0)</f>
        <v>0</v>
      </c>
      <c r="CB1551" s="65" t="n">
        <f aca="false">IF(AND(U1551="",OR(P1551="",P1551="LOSE"),T1551&lt;&gt;"",N(S1551)&lt;=0,ISNUMBER(MATCH(T1551,Parameter!$I$27:$I$29,0))),1,0)</f>
        <v>0</v>
      </c>
      <c r="CC1551" s="65" t="n">
        <f aca="false">IF(CR1551&gt;0,INDEX(Parameter!$H$5:$H$7,W1551)/INDEX(Parameter!$E$5:$E$7,W1551),IF(AND(CA1551=0,N(IFERROR(VLOOKUP(BY1551,'Gebinde-Kategorie'!$A$5:$N$45,14,0),0))&gt;0),VLOOKUP(BY1551,'Gebinde-Kategorie'!$A$5:$N$45,14,0)*10+Parameter!$M$23,Parameter!$M$24))</f>
        <v>155</v>
      </c>
      <c r="CD1551" s="60" t="str">
        <f aca="false">IF(AND(Parameter!$B$19="Ja",E1551&lt;&gt;"",ISNUMBER(MATCH(E1551,Parameter!$I$35:$I$52,0))),VLOOKUP(E1551,Parameter!$I$35:$J$52,2,0),IFERROR(VLOOKUP(D1551,Parameter!$A$35:$C$64,2,0),"Nein"))</f>
        <v>2+3</v>
      </c>
      <c r="CE1551" s="64" t="n">
        <f aca="false">IF(CA1551=0,0,IF(N(S1551)&gt;0,S1551,IFERROR(VLOOKUP(D1551,Parameter!$A$35:$C$64,3,0)+0,0)))</f>
        <v>0</v>
      </c>
      <c r="CF1551" s="60" t="n">
        <f aca="false">IF(AB1551&lt;&gt;"",AB1551,AA1551)</f>
        <v>3</v>
      </c>
      <c r="CG1551" s="60" t="str">
        <f aca="false">IF(OR(CF1551=1,CF1551=2,CF1551=3),IF(Parameter!$E$27="Ja","LIFT",IF(CF1551=1,"L1","L23")),IF(CF1551="Aussen","Aussen","-"))</f>
        <v>LIFT</v>
      </c>
      <c r="CH1551" s="71" t="n">
        <f aca="false">IF(N(AC1551)&gt;0,AC1551,0)</f>
        <v>0</v>
      </c>
      <c r="CI1551" s="65" t="n">
        <f aca="false">IF(ISNUMBER(AF1551),1,0)</f>
        <v>0</v>
      </c>
      <c r="CJ1551" s="62" t="n">
        <f aca="false">N(AF1551)</f>
        <v>0</v>
      </c>
      <c r="CK1551" s="62" t="n">
        <f aca="false">N(M1551)+N(N1551)</f>
        <v>1</v>
      </c>
      <c r="CL1551" s="62" t="n">
        <f aca="false">N(M1551)</f>
        <v>0</v>
      </c>
      <c r="CM1551" s="62" t="n">
        <f aca="false">N(N1551)</f>
        <v>1</v>
      </c>
      <c r="CN1551" s="62" t="n">
        <f aca="false">ROUNDUP(H1551/BZ1551,0)</f>
        <v>1</v>
      </c>
      <c r="CO1551" s="62" t="n">
        <f aca="false">ROUNDUP(CJ1551/BZ1551,0)</f>
        <v>0</v>
      </c>
      <c r="CP1551" s="65" t="n">
        <f aca="false">IF(CA1551=1,0,IFERROR(VLOOKUP(BY1551,'Gebinde-Kategorie'!$A$5:$N$45,5,0)+0,0))</f>
        <v>8</v>
      </c>
      <c r="CQ1551" s="65" t="n">
        <f aca="false">IFERROR(IF(OR(CF1551=1,CF1551=2,CF1551=3),N(INDEX(Parameter!$I$5:$I$7,CF1551)),0),0)</f>
        <v>0</v>
      </c>
      <c r="CR1551" s="64" t="n">
        <f aca="false">IF(AND(Parameter!$B$21="Ja",ISNUMBER(W1551),N(X1551)&gt;0),IFERROR(N(INDEX(Parameter!$L$5:$L$7,W1551))*INDEX(Parameter!$E$5:$E$7,W1551)*X1551/SUMIFS($X$7:$X$1843,$W$7:$W$1843,W1551),0),0)</f>
        <v>0</v>
      </c>
      <c r="CS1551" s="62" t="n">
        <f aca="false">IF(AND(OR(CG1551="L1",CG1551="L23",CG1551="LIFT"),H1551&gt;0),CC1551*IF(CR1551&gt;0,CR1551*MAX(1,H1551/X1551),IF(CA1551=1,CE1551,IF(R1551&gt;0,CN1551/R1551,0))/MAX(0.1,N(Parameter!$M$21))),"")</f>
        <v>1.49038461538462</v>
      </c>
      <c r="CT1551" s="64" t="n">
        <f aca="false">IF(CS1551="","",J1551/H1551)</f>
        <v>0</v>
      </c>
      <c r="CU1551" s="62" t="n">
        <f aca="false">IF(CS1551="","",H1551*G1551)</f>
        <v>523.64</v>
      </c>
      <c r="CV1551" s="63" t="n">
        <f aca="false">IF(CS1551="","",(CL1551+ROUNDUP(CL1551+MAX(CM1551,2*(J1551/MAX(0.1,N(Einkauf!$C$6))-CL1551)),0))/2)</f>
        <v>0.5</v>
      </c>
      <c r="CW1551" s="62" t="n">
        <f aca="false">IF(CS1551="","",MAX(0,H1551-CV1551)*G1551)</f>
        <v>503.5</v>
      </c>
      <c r="CX1551" s="62" t="n">
        <f aca="false">IF(CS1551="","",CS1551*MAX(0,1-CV1551/H1551))</f>
        <v>1.43306213017751</v>
      </c>
      <c r="CY1551" s="64" t="n">
        <f aca="false">IF(CS1551="","",PERCENTRANK($CS$7:$CS$1843,CS1551)+PERCENTRANK($CU$7:$CU$1843,CU1551)+1-PERCENTRANK($CT$7:$CT$1843,CT1551))</f>
        <v>1.642</v>
      </c>
      <c r="CZ1551" s="72" t="n">
        <f aca="false">IF(CS1551="","",CHOOSE(MATCH(Einkauf!$C$5,Parameter!$G$23:$G$27,0),CY1551,CS1551,CU1551,-CT1551,CW1551)+ROW()/1000000000)</f>
        <v>1.642001551</v>
      </c>
    </row>
    <row r="1552" customFormat="false" ht="15" hidden="false" customHeight="false" outlineLevel="0" collapsed="false">
      <c r="A1552" s="60" t="s">
        <v>2754</v>
      </c>
      <c r="B1552" s="60" t="s">
        <v>1910</v>
      </c>
      <c r="C1552" s="60" t="s">
        <v>206</v>
      </c>
      <c r="D1552" s="60" t="s">
        <v>226</v>
      </c>
      <c r="E1552" s="60" t="s">
        <v>227</v>
      </c>
      <c r="F1552" s="60"/>
      <c r="G1552" s="61" t="n">
        <v>157.32</v>
      </c>
      <c r="H1552" s="62" t="n">
        <f aca="false">MAX(0,IF(AND(Parameter!$B$21="Ja",ISNUMBER(Y1552)),Y1552,IF(Parameter!$B$20="Jahresanfang 2025 + Export",BS1552+BR1552,BR1552)))</f>
        <v>4</v>
      </c>
      <c r="I1552" s="62" t="n">
        <f aca="false">H1552*G1552</f>
        <v>629.28</v>
      </c>
      <c r="J1552" s="62" t="n">
        <f aca="false">BU1552*Parameter!$B$18</f>
        <v>0</v>
      </c>
      <c r="K1552" s="63"/>
      <c r="L1552" s="64"/>
      <c r="M1552" s="62" t="n">
        <v>0</v>
      </c>
      <c r="N1552" s="62" t="n">
        <v>5</v>
      </c>
      <c r="O1552" s="65" t="n">
        <v>119</v>
      </c>
      <c r="P1552" s="60" t="s">
        <v>344</v>
      </c>
      <c r="Q1552" s="62" t="n">
        <v>4</v>
      </c>
      <c r="R1552" s="65" t="n">
        <f aca="false">IF(CA1552=1,0,IFERROR(VLOOKUP(BY1552,'Gebinde-Kategorie'!$A$5:$N$45,13,0)+0,0))</f>
        <v>26</v>
      </c>
      <c r="S1552" s="66"/>
      <c r="T1552" s="67"/>
      <c r="U1552" s="67"/>
      <c r="V1552" s="67"/>
      <c r="W1552" s="60"/>
      <c r="X1552" s="62"/>
      <c r="Y1552" s="62"/>
      <c r="Z1552" s="60" t="n">
        <v>3</v>
      </c>
      <c r="AA1552" s="60" t="n">
        <f aca="false">IF(A1552="","",IF(AND(Parameter!$B$21="Ja",ISNUMBER(W1552)),W1552,IF(AND(Parameter!$E$27="Ja",ISNUMBER(Z1552),CD1552&lt;&gt;"Nein"),Z1552,IF(CD1552="2+3",IF(ISNUMBER(SEARCH("grosser Artikel",BV1552)),2,IFERROR(VLOOKUP(BY1552,Parameter!$F$35:$G$64,2,0),2)),IF(OR(CD1552="Nein",CD1552=""),"-",CD1552)))))</f>
        <v>3</v>
      </c>
      <c r="AB1552" s="67"/>
      <c r="AC1552" s="68"/>
      <c r="AD1552" s="62" t="n">
        <f aca="false">AW1552</f>
        <v>5</v>
      </c>
      <c r="AE1552" s="62" t="n">
        <f aca="false">MAX(AW1552,H1552)</f>
        <v>5</v>
      </c>
      <c r="AF1552" s="69"/>
      <c r="AG1552" s="62" t="n">
        <f aca="false">IF(LEFT(Cockpit!$C$5,1)="A",H1552,IF(Parameter!$E$30="MAX-Bestand",IF(CI1552=1,CJ1552,IF(LEFT(Cockpit!$C$5,1)="B",AM1552,MAX(AM1552,H1552))),ROUNDUP(AK1552,0)))</f>
        <v>4</v>
      </c>
      <c r="AH1552" s="62" t="n">
        <f aca="false">IF(CA1552=1,0,ROUNDUP(AG1552/BZ1552,0))</f>
        <v>1</v>
      </c>
      <c r="AI1552" s="64" t="n">
        <f aca="false">IF(CR1552&gt;0,CR1552*MAX(1,AG1552/X1552),IF(CA1552=1,IF(AG1552&lt;=0,0,CE1552*MAX(1,IF(H1552&gt;0,AG1552/H1552,1))),IF(R1552&gt;0,AH1552/R1552,0))/MAX(0.1,N(Parameter!$M$21)))</f>
        <v>0.0384615384615385</v>
      </c>
      <c r="AJ1552" s="62" t="n">
        <f aca="false">AI1552*CC1552</f>
        <v>5.96153846153846</v>
      </c>
      <c r="AK1552" s="63" t="n">
        <f aca="false">IF(LEFT(Cockpit!$C$5,1)="A",H1552,IF(CI1552=1,(CL1552+CJ1552)/2,IF(LEFT(Cockpit!$C$5,1)="B",(CL1552+AM1552)/2,MAX((CL1552+AM1552)/2,H1552))))</f>
        <v>4</v>
      </c>
      <c r="AL1552" s="62" t="n">
        <f aca="false">AK1552*G1552</f>
        <v>629.28</v>
      </c>
      <c r="AM1552" s="62" t="n">
        <f aca="false">ROUNDUP(CL1552+MAX(CM1552,2*(J1552/IF(CH1552&gt;0,CH1552,MAX(0.1,N(Cockpit!$C$6)))-CL1552)),0)</f>
        <v>5</v>
      </c>
      <c r="AN1552" s="63" t="n">
        <f aca="false">IF(AJ1552&gt;0,J1552/AJ1552,-1)</f>
        <v>0</v>
      </c>
      <c r="AO1552" s="63" t="n">
        <f aca="false">IF(AND(OR(CG1552="L1",CG1552="L23",CG1552="LIFT"),AJ1552&gt;0),SUMIFS($AJ$7:$AJ$1843,$CG$7:$CG$1843,CG1552,$AN$7:$AN$1843,"&gt;"&amp;AN1552)+SUMIFS($AJ$7:$AJ$1843,$CG$7:$CG$1843,CG1552,$AN$7:$AN$1843,AN1552,$BX$7:$BX$1843,"&lt;="&amp;BX1552),"")</f>
        <v>30217.3272360878</v>
      </c>
      <c r="AP1552" s="70" t="n">
        <f aca="false">IF(AO1552="",0,MAX(0,MIN(1,(IF(CG1552="L1",Parameter!$H$5,IF(CG1552="L23",Parameter!$H$6+Parameter!$H$7,Parameter!$H$5+Parameter!$H$6+Parameter!$H$7))-(AO1552-AJ1552))/AJ1552)))</f>
        <v>1</v>
      </c>
      <c r="AQ1552" s="62" t="n">
        <f aca="false">IF(LEFT(Cockpit!$I$5,1)="A",H1552,IF(Parameter!$E$30="MAX-Bestand",IF(CI1552=1,CJ1552,IF(LEFT(Cockpit!$I$5,1)="B",AW1552,MAX(AW1552,H1552))),ROUNDUP(AU1552,0)))</f>
        <v>4</v>
      </c>
      <c r="AR1552" s="62" t="n">
        <f aca="false">IF(CA1552=1,0,ROUNDUP(AQ1552/BZ1552,0))</f>
        <v>1</v>
      </c>
      <c r="AS1552" s="64" t="n">
        <f aca="false">IF(CR1552&gt;0,CR1552*MAX(1,AQ1552/X1552),IF(CA1552=1,IF(AQ1552&lt;=0,0,CE1552*MAX(1,IF(H1552&gt;0,AQ1552/H1552,1))),IF(R1552&gt;0,AR1552/R1552,0))/MAX(0.1,N(Parameter!$M$21)))</f>
        <v>0.0384615384615385</v>
      </c>
      <c r="AT1552" s="62" t="n">
        <f aca="false">AS1552*CC1552</f>
        <v>5.96153846153846</v>
      </c>
      <c r="AU1552" s="63" t="n">
        <f aca="false">IF(LEFT(Cockpit!$I$5,1)="A",H1552,IF(CI1552=1,(CL1552+CJ1552)/2,IF(LEFT(Cockpit!$I$5,1)="B",(CL1552+AW1552)/2,MAX((CL1552+AW1552)/2,H1552))))</f>
        <v>4</v>
      </c>
      <c r="AV1552" s="62" t="n">
        <f aca="false">AU1552*G1552</f>
        <v>629.28</v>
      </c>
      <c r="AW1552" s="62" t="n">
        <f aca="false">ROUNDUP(CL1552+MAX(CM1552,2*(J1552/IF(CH1552&gt;0,CH1552,MAX(0.1,N(Cockpit!$I$6)))-CL1552)),0)</f>
        <v>5</v>
      </c>
      <c r="AX1552" s="63" t="n">
        <f aca="false">IF(AT1552&gt;0,J1552/AT1552,-1)</f>
        <v>0</v>
      </c>
      <c r="AY1552" s="63" t="n">
        <f aca="false">IF(AND(OR(CG1552="L1",CG1552="L23",CG1552="LIFT"),AT1552&gt;0),SUMIFS($AT$7:$AT$1843,$CG$7:$CG$1843,CG1552,$AX$7:$AX$1843,"&gt;"&amp;AX1552)+SUMIFS($AT$7:$AT$1843,$CG$7:$CG$1843,CG1552,$AX$7:$AX$1843,AX1552,$BX$7:$BX$1843,"&lt;="&amp;BX1552),"")</f>
        <v>36537.1837529232</v>
      </c>
      <c r="AZ1552" s="70" t="n">
        <f aca="false">IF(AY1552="",0,MAX(0,MIN(1,(IF(CG1552="L1",Parameter!$H$5,IF(CG1552="L23",Parameter!$H$6+Parameter!$H$7,Parameter!$H$5+Parameter!$H$6+Parameter!$H$7))-(AY1552-AT1552))/AT1552)))</f>
        <v>0</v>
      </c>
      <c r="BA1552" s="62" t="n">
        <f aca="false">IF(LEFT(Cockpit!$O$5,1)="A",H1552,IF(Parameter!$E$30="MAX-Bestand",IF(CI1552=1,CJ1552,IF(LEFT(Cockpit!$O$5,1)="B",BG1552,MAX(BG1552,H1552))),ROUNDUP(BE1552,0)))</f>
        <v>3</v>
      </c>
      <c r="BB1552" s="62" t="n">
        <f aca="false">IF(CA1552=1,0,ROUNDUP(BA1552/BZ1552,0))</f>
        <v>1</v>
      </c>
      <c r="BC1552" s="64" t="n">
        <f aca="false">IF(CR1552&gt;0,CR1552*MAX(1,BA1552/X1552),IF(CA1552=1,IF(BA1552&lt;=0,0,CE1552*MAX(1,IF(H1552&gt;0,BA1552/H1552,1))),IF(R1552&gt;0,BB1552/R1552,0))/MAX(0.1,N(Parameter!$M$21)))</f>
        <v>0.0384615384615385</v>
      </c>
      <c r="BD1552" s="62" t="n">
        <f aca="false">BC1552*CC1552</f>
        <v>5.96153846153846</v>
      </c>
      <c r="BE1552" s="63" t="n">
        <f aca="false">IF(LEFT(Cockpit!$O$5,1)="A",H1552,IF(CI1552=1,(CL1552+CJ1552)/2,IF(LEFT(Cockpit!$O$5,1)="B",(CL1552+BG1552)/2,MAX((CL1552+BG1552)/2,H1552))))</f>
        <v>2.5</v>
      </c>
      <c r="BF1552" s="62" t="n">
        <f aca="false">BE1552*G1552</f>
        <v>393.3</v>
      </c>
      <c r="BG1552" s="62" t="n">
        <f aca="false">ROUNDUP(CL1552+MAX(CM1552,2*(J1552/IF(CH1552&gt;0,CH1552,MAX(0.1,N(Cockpit!$O$6)))-CL1552)),0)</f>
        <v>5</v>
      </c>
      <c r="BH1552" s="63" t="n">
        <f aca="false">IF(BD1552&gt;0,J1552/BD1552,-1)</f>
        <v>0</v>
      </c>
      <c r="BI1552" s="63" t="n">
        <f aca="false">IF(AND(OR(CG1552="L1",CG1552="L23",CG1552="LIFT"),BD1552&gt;0),SUMIFS($BD$7:$BD$1843,$CG$7:$CG$1843,CG1552,$BH$7:$BH$1843,"&gt;"&amp;BH1552)+SUMIFS($BD$7:$BD$1843,$CG$7:$CG$1843,CG1552,$BH$7:$BH$1843,BH1552,$BX$7:$BX$1843,"&lt;="&amp;BX1552),"")</f>
        <v>30446.6250284555</v>
      </c>
      <c r="BJ1552" s="70" t="n">
        <f aca="false">IF(BI1552="",0,MAX(0,MIN(1,(IF(CG1552="L1",Parameter!$H$5,IF(CG1552="L23",Parameter!$H$6+Parameter!$H$7,Parameter!$H$5+Parameter!$H$6+Parameter!$H$7))-(BI1552-BD1552))/BD1552)))</f>
        <v>1</v>
      </c>
      <c r="BK1552" s="60" t="str">
        <f aca="false">IF(AJ1552&lt;=0,"",IF(CG1552="Aussen","Aussenlager",IF(CG1552="-","Nicht im Lift",IF(AP1552&gt;=1,"Lift",IF(AP1552&lt;=0,"Aussenlager","teilweise")))))</f>
        <v>Lift</v>
      </c>
      <c r="BL1552" s="60" t="str">
        <f aca="false">IF(AT1552&lt;=0,"",IF(CG1552="Aussen","Aussenlager",IF(CG1552="-","Nicht im Lift",IF(AZ1552&gt;=1,"Lift",IF(AZ1552&lt;=0,"Aussenlager","teilweise")))))</f>
        <v>Aussenlager</v>
      </c>
      <c r="BM1552" s="60" t="str">
        <f aca="false">IF(BD1552&lt;=0,"",IF(CG1552="Aussen","Aussenlager",IF(CG1552="-","Nicht im Lift",IF(BJ1552&gt;=1,"Lift",IF(BJ1552&lt;=0,"Aussenlager","teilweise")))))</f>
        <v>Lift</v>
      </c>
      <c r="BN1552" s="60" t="str">
        <f aca="false">IF(A1552="","",IF(BW1552=1,"Neu; ","")&amp;IF(AND(BW1552=0,BR1552&lt;0),"negativer Bestand (Export "&amp;BR1552&amp;"); ","")&amp;IF(J1552&lt;=0,"Kein Verbrauch; ","")&amp;IF(CR1552&gt;0,"Lift "&amp;W1552&amp;" lt. Liftbericht (Fach "&amp;X1552&amp;" Stk); ",IF(CB1552=1,"Gebinde geschätzt ("&amp;T1552&amp;"); ",IF(CA1552=1,"Lose – Tablare geschätzt; ","")))&amp;IF(H1552&gt;AW1552,"Überbestand "&amp;ROUND(H1552-AW1552,0)&amp;" Stk / CHF "&amp;ROUND((H1552-AW1552)*G1552,0)&amp;"; ","")&amp;IF(AND(CI1552=1,CJ1552&lt;CK1552),"MAX &lt; MB+LG; ","")&amp;IF(AND(CQ1552&gt;0,CP1552*10&gt;CQ1552),"zu hoch für Tablar; ","")&amp;IF(AND(BW1552=0,OR(CI1552=1,AB1552&lt;&gt;"",U1552&lt;&gt;"",V1552&lt;&gt;"",AC1552&lt;&gt;"")),"manuell übersteuert; ","")&amp;IF(AND(CA1552=0,R1552=0),"Gebinde unbekannt / Stellmass fehlt; ","")&amp;IF(AND(CA1552=0,N(V1552)&lt;=0,N(Q1552)&lt;=0),"Menge pro Gebinde fehlt (Ist = 1 Gebinde); ","")&amp;BV1552)</f>
        <v>Kein Verbrauch; nur im Artikelstamm (Bestand 23.06.2026); Neu</v>
      </c>
      <c r="BO1552" s="60"/>
      <c r="BP1552" s="60"/>
      <c r="BQ1552" s="67"/>
      <c r="BR1552" s="62" t="n">
        <v>4</v>
      </c>
      <c r="BS1552" s="62" t="n">
        <v>0</v>
      </c>
      <c r="BT1552" s="61" t="n">
        <v>0</v>
      </c>
      <c r="BU1552" s="62" t="n">
        <v>0</v>
      </c>
      <c r="BV1552" s="60" t="s">
        <v>2709</v>
      </c>
      <c r="BW1552" s="65" t="n">
        <v>0</v>
      </c>
      <c r="BX1552" s="65" t="n">
        <v>1552</v>
      </c>
      <c r="BY1552" s="60" t="str">
        <f aca="false">IF(U1552&lt;&gt;"",UPPER(TRIM(U1552)),IF(CB1552=1,UPPER(VLOOKUP(T1552,Parameter!$I$27:$K$29,2,0)),IF(P1552="","LOSE",P1552)))</f>
        <v>S51</v>
      </c>
      <c r="BZ1552" s="62" t="n">
        <f aca="false">IF(BY1552="LOSE",1,IF(N(V1552)&gt;0,V1552,IF(CB1552=1,MAX(1,N(VLOOKUP(T1552,Parameter!$I$27:$K$29,3,0)),H1552,N(N1552)),IF(N(Q1552)&gt;0,Q1552,MAX(1,H1552)))))</f>
        <v>4</v>
      </c>
      <c r="CA1552" s="65" t="n">
        <f aca="false">IF(BY1552="LOSE",1,0)</f>
        <v>0</v>
      </c>
      <c r="CB1552" s="65" t="n">
        <f aca="false">IF(AND(U1552="",OR(P1552="",P1552="LOSE"),T1552&lt;&gt;"",N(S1552)&lt;=0,ISNUMBER(MATCH(T1552,Parameter!$I$27:$I$29,0))),1,0)</f>
        <v>0</v>
      </c>
      <c r="CC1552" s="65" t="n">
        <f aca="false">IF(CR1552&gt;0,INDEX(Parameter!$H$5:$H$7,W1552)/INDEX(Parameter!$E$5:$E$7,W1552),IF(AND(CA1552=0,N(IFERROR(VLOOKUP(BY1552,'Gebinde-Kategorie'!$A$5:$N$45,14,0),0))&gt;0),VLOOKUP(BY1552,'Gebinde-Kategorie'!$A$5:$N$45,14,0)*10+Parameter!$M$23,Parameter!$M$24))</f>
        <v>155</v>
      </c>
      <c r="CD1552" s="60" t="str">
        <f aca="false">IF(AND(Parameter!$B$19="Ja",E1552&lt;&gt;"",ISNUMBER(MATCH(E1552,Parameter!$I$35:$I$52,0))),VLOOKUP(E1552,Parameter!$I$35:$J$52,2,0),IFERROR(VLOOKUP(D1552,Parameter!$A$35:$C$64,2,0),"Nein"))</f>
        <v>2+3</v>
      </c>
      <c r="CE1552" s="64" t="n">
        <f aca="false">IF(CA1552=0,0,IF(N(S1552)&gt;0,S1552,IFERROR(VLOOKUP(D1552,Parameter!$A$35:$C$64,3,0)+0,0)))</f>
        <v>0</v>
      </c>
      <c r="CF1552" s="60" t="n">
        <f aca="false">IF(AB1552&lt;&gt;"",AB1552,AA1552)</f>
        <v>3</v>
      </c>
      <c r="CG1552" s="60" t="str">
        <f aca="false">IF(OR(CF1552=1,CF1552=2,CF1552=3),IF(Parameter!$E$27="Ja","LIFT",IF(CF1552=1,"L1","L23")),IF(CF1552="Aussen","Aussen","-"))</f>
        <v>LIFT</v>
      </c>
      <c r="CH1552" s="71" t="n">
        <f aca="false">IF(N(AC1552)&gt;0,AC1552,0)</f>
        <v>0</v>
      </c>
      <c r="CI1552" s="65" t="n">
        <f aca="false">IF(ISNUMBER(AF1552),1,0)</f>
        <v>0</v>
      </c>
      <c r="CJ1552" s="62" t="n">
        <f aca="false">N(AF1552)</f>
        <v>0</v>
      </c>
      <c r="CK1552" s="62" t="n">
        <f aca="false">N(M1552)+N(N1552)</f>
        <v>5</v>
      </c>
      <c r="CL1552" s="62" t="n">
        <f aca="false">N(M1552)</f>
        <v>0</v>
      </c>
      <c r="CM1552" s="62" t="n">
        <f aca="false">N(N1552)</f>
        <v>5</v>
      </c>
      <c r="CN1552" s="62" t="n">
        <f aca="false">ROUNDUP(H1552/BZ1552,0)</f>
        <v>1</v>
      </c>
      <c r="CO1552" s="62" t="n">
        <f aca="false">ROUNDUP(CJ1552/BZ1552,0)</f>
        <v>0</v>
      </c>
      <c r="CP1552" s="65" t="n">
        <f aca="false">IF(CA1552=1,0,IFERROR(VLOOKUP(BY1552,'Gebinde-Kategorie'!$A$5:$N$45,5,0)+0,0))</f>
        <v>11</v>
      </c>
      <c r="CQ1552" s="65" t="n">
        <f aca="false">IFERROR(IF(OR(CF1552=1,CF1552=2,CF1552=3),N(INDEX(Parameter!$I$5:$I$7,CF1552)),0),0)</f>
        <v>0</v>
      </c>
      <c r="CR1552" s="64" t="n">
        <f aca="false">IF(AND(Parameter!$B$21="Ja",ISNUMBER(W1552),N(X1552)&gt;0),IFERROR(N(INDEX(Parameter!$L$5:$L$7,W1552))*INDEX(Parameter!$E$5:$E$7,W1552)*X1552/SUMIFS($X$7:$X$1843,$W$7:$W$1843,W1552),0),0)</f>
        <v>0</v>
      </c>
      <c r="CS1552" s="62" t="n">
        <f aca="false">IF(AND(OR(CG1552="L1",CG1552="L23",CG1552="LIFT"),H1552&gt;0),CC1552*IF(CR1552&gt;0,CR1552*MAX(1,H1552/X1552),IF(CA1552=1,CE1552,IF(R1552&gt;0,CN1552/R1552,0))/MAX(0.1,N(Parameter!$M$21))),"")</f>
        <v>5.96153846153846</v>
      </c>
      <c r="CT1552" s="64" t="n">
        <f aca="false">IF(CS1552="","",J1552/H1552)</f>
        <v>0</v>
      </c>
      <c r="CU1552" s="62" t="n">
        <f aca="false">IF(CS1552="","",H1552*G1552)</f>
        <v>629.28</v>
      </c>
      <c r="CV1552" s="63" t="n">
        <f aca="false">IF(CS1552="","",(CL1552+ROUNDUP(CL1552+MAX(CM1552,2*(J1552/MAX(0.1,N(Einkauf!$C$6))-CL1552)),0))/2)</f>
        <v>2.5</v>
      </c>
      <c r="CW1552" s="62" t="n">
        <f aca="false">IF(CS1552="","",MAX(0,H1552-CV1552)*G1552)</f>
        <v>235.98</v>
      </c>
      <c r="CX1552" s="62" t="n">
        <f aca="false">IF(CS1552="","",CS1552*MAX(0,1-CV1552/H1552))</f>
        <v>2.23557692307692</v>
      </c>
      <c r="CY1552" s="64" t="n">
        <f aca="false">IF(CS1552="","",PERCENTRANK($CS$7:$CS$1843,CS1552)+PERCENTRANK($CU$7:$CU$1843,CU1552)+1-PERCENTRANK($CT$7:$CT$1843,CT1552))</f>
        <v>1.914</v>
      </c>
      <c r="CZ1552" s="72" t="n">
        <f aca="false">IF(CS1552="","",CHOOSE(MATCH(Einkauf!$C$5,Parameter!$G$23:$G$27,0),CY1552,CS1552,CU1552,-CT1552,CW1552)+ROW()/1000000000)</f>
        <v>1.914001552</v>
      </c>
    </row>
    <row r="1553" customFormat="false" ht="15" hidden="false" customHeight="false" outlineLevel="0" collapsed="false">
      <c r="A1553" s="60" t="s">
        <v>2755</v>
      </c>
      <c r="B1553" s="60" t="s">
        <v>2756</v>
      </c>
      <c r="C1553" s="60" t="s">
        <v>206</v>
      </c>
      <c r="D1553" s="60" t="s">
        <v>226</v>
      </c>
      <c r="E1553" s="60" t="s">
        <v>227</v>
      </c>
      <c r="F1553" s="60"/>
      <c r="G1553" s="61" t="n">
        <v>35.4</v>
      </c>
      <c r="H1553" s="62" t="n">
        <f aca="false">MAX(0,IF(AND(Parameter!$B$21="Ja",ISNUMBER(Y1553)),Y1553,IF(Parameter!$B$20="Jahresanfang 2025 + Export",BS1553+BR1553,BR1553)))</f>
        <v>34</v>
      </c>
      <c r="I1553" s="62" t="n">
        <f aca="false">H1553*G1553</f>
        <v>1203.6</v>
      </c>
      <c r="J1553" s="62" t="n">
        <f aca="false">BU1553*Parameter!$B$18</f>
        <v>0</v>
      </c>
      <c r="K1553" s="63"/>
      <c r="L1553" s="64"/>
      <c r="M1553" s="62" t="n">
        <v>0</v>
      </c>
      <c r="N1553" s="62" t="n">
        <v>20</v>
      </c>
      <c r="O1553" s="65" t="n">
        <v>28</v>
      </c>
      <c r="P1553" s="60" t="s">
        <v>335</v>
      </c>
      <c r="Q1553" s="62" t="n">
        <v>34</v>
      </c>
      <c r="R1553" s="65" t="n">
        <f aca="false">IF(CA1553=1,0,IFERROR(VLOOKUP(BY1553,'Gebinde-Kategorie'!$A$5:$N$45,13,0)+0,0))</f>
        <v>12</v>
      </c>
      <c r="S1553" s="66"/>
      <c r="T1553" s="67"/>
      <c r="U1553" s="67"/>
      <c r="V1553" s="67"/>
      <c r="W1553" s="60"/>
      <c r="X1553" s="62"/>
      <c r="Y1553" s="62"/>
      <c r="Z1553" s="60" t="n">
        <v>3</v>
      </c>
      <c r="AA1553" s="60" t="n">
        <f aca="false">IF(A1553="","",IF(AND(Parameter!$B$21="Ja",ISNUMBER(W1553)),W1553,IF(AND(Parameter!$E$27="Ja",ISNUMBER(Z1553),CD1553&lt;&gt;"Nein"),Z1553,IF(CD1553="2+3",IF(ISNUMBER(SEARCH("grosser Artikel",BV1553)),2,IFERROR(VLOOKUP(BY1553,Parameter!$F$35:$G$64,2,0),2)),IF(OR(CD1553="Nein",CD1553=""),"-",CD1553)))))</f>
        <v>3</v>
      </c>
      <c r="AB1553" s="67"/>
      <c r="AC1553" s="68"/>
      <c r="AD1553" s="62" t="n">
        <f aca="false">AW1553</f>
        <v>20</v>
      </c>
      <c r="AE1553" s="62" t="n">
        <f aca="false">MAX(AW1553,H1553)</f>
        <v>34</v>
      </c>
      <c r="AF1553" s="69"/>
      <c r="AG1553" s="62" t="n">
        <f aca="false">IF(LEFT(Cockpit!$C$5,1)="A",H1553,IF(Parameter!$E$30="MAX-Bestand",IF(CI1553=1,CJ1553,IF(LEFT(Cockpit!$C$5,1)="B",AM1553,MAX(AM1553,H1553))),ROUNDUP(AK1553,0)))</f>
        <v>34</v>
      </c>
      <c r="AH1553" s="62" t="n">
        <f aca="false">IF(CA1553=1,0,ROUNDUP(AG1553/BZ1553,0))</f>
        <v>1</v>
      </c>
      <c r="AI1553" s="64" t="n">
        <f aca="false">IF(CR1553&gt;0,CR1553*MAX(1,AG1553/X1553),IF(CA1553=1,IF(AG1553&lt;=0,0,CE1553*MAX(1,IF(H1553&gt;0,AG1553/H1553,1))),IF(R1553&gt;0,AH1553/R1553,0))/MAX(0.1,N(Parameter!$M$21)))</f>
        <v>0.0833333333333333</v>
      </c>
      <c r="AJ1553" s="62" t="n">
        <f aca="false">AI1553*CC1553</f>
        <v>20.4166666666667</v>
      </c>
      <c r="AK1553" s="63" t="n">
        <f aca="false">IF(LEFT(Cockpit!$C$5,1)="A",H1553,IF(CI1553=1,(CL1553+CJ1553)/2,IF(LEFT(Cockpit!$C$5,1)="B",(CL1553+AM1553)/2,MAX((CL1553+AM1553)/2,H1553))))</f>
        <v>34</v>
      </c>
      <c r="AL1553" s="62" t="n">
        <f aca="false">AK1553*G1553</f>
        <v>1203.6</v>
      </c>
      <c r="AM1553" s="62" t="n">
        <f aca="false">ROUNDUP(CL1553+MAX(CM1553,2*(J1553/IF(CH1553&gt;0,CH1553,MAX(0.1,N(Cockpit!$C$6)))-CL1553)),0)</f>
        <v>20</v>
      </c>
      <c r="AN1553" s="63" t="n">
        <f aca="false">IF(AJ1553&gt;0,J1553/AJ1553,-1)</f>
        <v>0</v>
      </c>
      <c r="AO1553" s="63" t="n">
        <f aca="false">IF(AND(OR(CG1553="L1",CG1553="L23",CG1553="LIFT"),AJ1553&gt;0),SUMIFS($AJ$7:$AJ$1843,$CG$7:$CG$1843,CG1553,$AN$7:$AN$1843,"&gt;"&amp;AN1553)+SUMIFS($AJ$7:$AJ$1843,$CG$7:$CG$1843,CG1553,$AN$7:$AN$1843,AN1553,$BX$7:$BX$1843,"&lt;="&amp;BX1553),"")</f>
        <v>30237.7439027545</v>
      </c>
      <c r="AP1553" s="70" t="n">
        <f aca="false">IF(AO1553="",0,MAX(0,MIN(1,(IF(CG1553="L1",Parameter!$H$5,IF(CG1553="L23",Parameter!$H$6+Parameter!$H$7,Parameter!$H$5+Parameter!$H$6+Parameter!$H$7))-(AO1553-AJ1553))/AJ1553)))</f>
        <v>1</v>
      </c>
      <c r="AQ1553" s="62" t="n">
        <f aca="false">IF(LEFT(Cockpit!$I$5,1)="A",H1553,IF(Parameter!$E$30="MAX-Bestand",IF(CI1553=1,CJ1553,IF(LEFT(Cockpit!$I$5,1)="B",AW1553,MAX(AW1553,H1553))),ROUNDUP(AU1553,0)))</f>
        <v>34</v>
      </c>
      <c r="AR1553" s="62" t="n">
        <f aca="false">IF(CA1553=1,0,ROUNDUP(AQ1553/BZ1553,0))</f>
        <v>1</v>
      </c>
      <c r="AS1553" s="64" t="n">
        <f aca="false">IF(CR1553&gt;0,CR1553*MAX(1,AQ1553/X1553),IF(CA1553=1,IF(AQ1553&lt;=0,0,CE1553*MAX(1,IF(H1553&gt;0,AQ1553/H1553,1))),IF(R1553&gt;0,AR1553/R1553,0))/MAX(0.1,N(Parameter!$M$21)))</f>
        <v>0.0833333333333333</v>
      </c>
      <c r="AT1553" s="62" t="n">
        <f aca="false">AS1553*CC1553</f>
        <v>20.4166666666667</v>
      </c>
      <c r="AU1553" s="63" t="n">
        <f aca="false">IF(LEFT(Cockpit!$I$5,1)="A",H1553,IF(CI1553=1,(CL1553+CJ1553)/2,IF(LEFT(Cockpit!$I$5,1)="B",(CL1553+AW1553)/2,MAX((CL1553+AW1553)/2,H1553))))</f>
        <v>34</v>
      </c>
      <c r="AV1553" s="62" t="n">
        <f aca="false">AU1553*G1553</f>
        <v>1203.6</v>
      </c>
      <c r="AW1553" s="62" t="n">
        <f aca="false">ROUNDUP(CL1553+MAX(CM1553,2*(J1553/IF(CH1553&gt;0,CH1553,MAX(0.1,N(Cockpit!$I$6)))-CL1553)),0)</f>
        <v>20</v>
      </c>
      <c r="AX1553" s="63" t="n">
        <f aca="false">IF(AT1553&gt;0,J1553/AT1553,-1)</f>
        <v>0</v>
      </c>
      <c r="AY1553" s="63" t="n">
        <f aca="false">IF(AND(OR(CG1553="L1",CG1553="L23",CG1553="LIFT"),AT1553&gt;0),SUMIFS($AT$7:$AT$1843,$CG$7:$CG$1843,CG1553,$AX$7:$AX$1843,"&gt;"&amp;AX1553)+SUMIFS($AT$7:$AT$1843,$CG$7:$CG$1843,CG1553,$AX$7:$AX$1843,AX1553,$BX$7:$BX$1843,"&lt;="&amp;BX1553),"")</f>
        <v>36557.6004195898</v>
      </c>
      <c r="AZ1553" s="70" t="n">
        <f aca="false">IF(AY1553="",0,MAX(0,MIN(1,(IF(CG1553="L1",Parameter!$H$5,IF(CG1553="L23",Parameter!$H$6+Parameter!$H$7,Parameter!$H$5+Parameter!$H$6+Parameter!$H$7))-(AY1553-AT1553))/AT1553)))</f>
        <v>0</v>
      </c>
      <c r="BA1553" s="62" t="n">
        <f aca="false">IF(LEFT(Cockpit!$O$5,1)="A",H1553,IF(Parameter!$E$30="MAX-Bestand",IF(CI1553=1,CJ1553,IF(LEFT(Cockpit!$O$5,1)="B",BG1553,MAX(BG1553,H1553))),ROUNDUP(BE1553,0)))</f>
        <v>10</v>
      </c>
      <c r="BB1553" s="62" t="n">
        <f aca="false">IF(CA1553=1,0,ROUNDUP(BA1553/BZ1553,0))</f>
        <v>1</v>
      </c>
      <c r="BC1553" s="64" t="n">
        <f aca="false">IF(CR1553&gt;0,CR1553*MAX(1,BA1553/X1553),IF(CA1553=1,IF(BA1553&lt;=0,0,CE1553*MAX(1,IF(H1553&gt;0,BA1553/H1553,1))),IF(R1553&gt;0,BB1553/R1553,0))/MAX(0.1,N(Parameter!$M$21)))</f>
        <v>0.0833333333333333</v>
      </c>
      <c r="BD1553" s="62" t="n">
        <f aca="false">BC1553*CC1553</f>
        <v>20.4166666666667</v>
      </c>
      <c r="BE1553" s="63" t="n">
        <f aca="false">IF(LEFT(Cockpit!$O$5,1)="A",H1553,IF(CI1553=1,(CL1553+CJ1553)/2,IF(LEFT(Cockpit!$O$5,1)="B",(CL1553+BG1553)/2,MAX((CL1553+BG1553)/2,H1553))))</f>
        <v>10</v>
      </c>
      <c r="BF1553" s="62" t="n">
        <f aca="false">BE1553*G1553</f>
        <v>354</v>
      </c>
      <c r="BG1553" s="62" t="n">
        <f aca="false">ROUNDUP(CL1553+MAX(CM1553,2*(J1553/IF(CH1553&gt;0,CH1553,MAX(0.1,N(Cockpit!$O$6)))-CL1553)),0)</f>
        <v>20</v>
      </c>
      <c r="BH1553" s="63" t="n">
        <f aca="false">IF(BD1553&gt;0,J1553/BD1553,-1)</f>
        <v>0</v>
      </c>
      <c r="BI1553" s="63" t="n">
        <f aca="false">IF(AND(OR(CG1553="L1",CG1553="L23",CG1553="LIFT"),BD1553&gt;0),SUMIFS($BD$7:$BD$1843,$CG$7:$CG$1843,CG1553,$BH$7:$BH$1843,"&gt;"&amp;BH1553)+SUMIFS($BD$7:$BD$1843,$CG$7:$CG$1843,CG1553,$BH$7:$BH$1843,BH1553,$BX$7:$BX$1843,"&lt;="&amp;BX1553),"")</f>
        <v>30467.0416951222</v>
      </c>
      <c r="BJ1553" s="70" t="n">
        <f aca="false">IF(BI1553="",0,MAX(0,MIN(1,(IF(CG1553="L1",Parameter!$H$5,IF(CG1553="L23",Parameter!$H$6+Parameter!$H$7,Parameter!$H$5+Parameter!$H$6+Parameter!$H$7))-(BI1553-BD1553))/BD1553)))</f>
        <v>1</v>
      </c>
      <c r="BK1553" s="60" t="str">
        <f aca="false">IF(AJ1553&lt;=0,"",IF(CG1553="Aussen","Aussenlager",IF(CG1553="-","Nicht im Lift",IF(AP1553&gt;=1,"Lift",IF(AP1553&lt;=0,"Aussenlager","teilweise")))))</f>
        <v>Lift</v>
      </c>
      <c r="BL1553" s="60" t="str">
        <f aca="false">IF(AT1553&lt;=0,"",IF(CG1553="Aussen","Aussenlager",IF(CG1553="-","Nicht im Lift",IF(AZ1553&gt;=1,"Lift",IF(AZ1553&lt;=0,"Aussenlager","teilweise")))))</f>
        <v>Aussenlager</v>
      </c>
      <c r="BM1553" s="60" t="str">
        <f aca="false">IF(BD1553&lt;=0,"",IF(CG1553="Aussen","Aussenlager",IF(CG1553="-","Nicht im Lift",IF(BJ1553&gt;=1,"Lift",IF(BJ1553&lt;=0,"Aussenlager","teilweise")))))</f>
        <v>Lift</v>
      </c>
      <c r="BN1553" s="60" t="str">
        <f aca="false">IF(A1553="","",IF(BW1553=1,"Neu; ","")&amp;IF(AND(BW1553=0,BR1553&lt;0),"negativer Bestand (Export "&amp;BR1553&amp;"); ","")&amp;IF(J1553&lt;=0,"Kein Verbrauch; ","")&amp;IF(CR1553&gt;0,"Lift "&amp;W1553&amp;" lt. Liftbericht (Fach "&amp;X1553&amp;" Stk); ",IF(CB1553=1,"Gebinde geschätzt ("&amp;T1553&amp;"); ",IF(CA1553=1,"Lose – Tablare geschätzt; ","")))&amp;IF(H1553&gt;AW1553,"Überbestand "&amp;ROUND(H1553-AW1553,0)&amp;" Stk / CHF "&amp;ROUND((H1553-AW1553)*G1553,0)&amp;"; ","")&amp;IF(AND(CI1553=1,CJ1553&lt;CK1553),"MAX &lt; MB+LG; ","")&amp;IF(AND(CQ1553&gt;0,CP1553*10&gt;CQ1553),"zu hoch für Tablar; ","")&amp;IF(AND(BW1553=0,OR(CI1553=1,AB1553&lt;&gt;"",U1553&lt;&gt;"",V1553&lt;&gt;"",AC1553&lt;&gt;"")),"manuell übersteuert; ","")&amp;IF(AND(CA1553=0,R1553=0),"Gebinde unbekannt / Stellmass fehlt; ","")&amp;IF(AND(CA1553=0,N(V1553)&lt;=0,N(Q1553)&lt;=0),"Menge pro Gebinde fehlt (Ist = 1 Gebinde); ","")&amp;BV1553)</f>
        <v>Kein Verbrauch; Überbestand 14 Stk / CHF 496; nur im Artikelstamm (Bestand 23.06.2026); Neu</v>
      </c>
      <c r="BO1553" s="60"/>
      <c r="BP1553" s="60"/>
      <c r="BQ1553" s="67"/>
      <c r="BR1553" s="62" t="n">
        <v>34</v>
      </c>
      <c r="BS1553" s="62" t="n">
        <v>0</v>
      </c>
      <c r="BT1553" s="61" t="n">
        <v>0</v>
      </c>
      <c r="BU1553" s="62" t="n">
        <v>0</v>
      </c>
      <c r="BV1553" s="60" t="s">
        <v>2709</v>
      </c>
      <c r="BW1553" s="65" t="n">
        <v>0</v>
      </c>
      <c r="BX1553" s="65" t="n">
        <v>1553</v>
      </c>
      <c r="BY1553" s="60" t="str">
        <f aca="false">IF(U1553&lt;&gt;"",UPPER(TRIM(U1553)),IF(CB1553=1,UPPER(VLOOKUP(T1553,Parameter!$I$27:$K$29,2,0)),IF(P1553="","LOSE",P1553)))</f>
        <v>S62</v>
      </c>
      <c r="BZ1553" s="62" t="n">
        <f aca="false">IF(BY1553="LOSE",1,IF(N(V1553)&gt;0,V1553,IF(CB1553=1,MAX(1,N(VLOOKUP(T1553,Parameter!$I$27:$K$29,3,0)),H1553,N(N1553)),IF(N(Q1553)&gt;0,Q1553,MAX(1,H1553)))))</f>
        <v>34</v>
      </c>
      <c r="CA1553" s="65" t="n">
        <f aca="false">IF(BY1553="LOSE",1,0)</f>
        <v>0</v>
      </c>
      <c r="CB1553" s="65" t="n">
        <f aca="false">IF(AND(U1553="",OR(P1553="",P1553="LOSE"),T1553&lt;&gt;"",N(S1553)&lt;=0,ISNUMBER(MATCH(T1553,Parameter!$I$27:$I$29,0))),1,0)</f>
        <v>0</v>
      </c>
      <c r="CC1553" s="65" t="n">
        <f aca="false">IF(CR1553&gt;0,INDEX(Parameter!$H$5:$H$7,W1553)/INDEX(Parameter!$E$5:$E$7,W1553),IF(AND(CA1553=0,N(IFERROR(VLOOKUP(BY1553,'Gebinde-Kategorie'!$A$5:$N$45,14,0),0))&gt;0),VLOOKUP(BY1553,'Gebinde-Kategorie'!$A$5:$N$45,14,0)*10+Parameter!$M$23,Parameter!$M$24))</f>
        <v>245</v>
      </c>
      <c r="CD1553" s="60" t="str">
        <f aca="false">IF(AND(Parameter!$B$19="Ja",E1553&lt;&gt;"",ISNUMBER(MATCH(E1553,Parameter!$I$35:$I$52,0))),VLOOKUP(E1553,Parameter!$I$35:$J$52,2,0),IFERROR(VLOOKUP(D1553,Parameter!$A$35:$C$64,2,0),"Nein"))</f>
        <v>2+3</v>
      </c>
      <c r="CE1553" s="64" t="n">
        <f aca="false">IF(CA1553=0,0,IF(N(S1553)&gt;0,S1553,IFERROR(VLOOKUP(D1553,Parameter!$A$35:$C$64,3,0)+0,0)))</f>
        <v>0</v>
      </c>
      <c r="CF1553" s="60" t="n">
        <f aca="false">IF(AB1553&lt;&gt;"",AB1553,AA1553)</f>
        <v>3</v>
      </c>
      <c r="CG1553" s="60" t="str">
        <f aca="false">IF(OR(CF1553=1,CF1553=2,CF1553=3),IF(Parameter!$E$27="Ja","LIFT",IF(CF1553=1,"L1","L23")),IF(CF1553="Aussen","Aussen","-"))</f>
        <v>LIFT</v>
      </c>
      <c r="CH1553" s="71" t="n">
        <f aca="false">IF(N(AC1553)&gt;0,AC1553,0)</f>
        <v>0</v>
      </c>
      <c r="CI1553" s="65" t="n">
        <f aca="false">IF(ISNUMBER(AF1553),1,0)</f>
        <v>0</v>
      </c>
      <c r="CJ1553" s="62" t="n">
        <f aca="false">N(AF1553)</f>
        <v>0</v>
      </c>
      <c r="CK1553" s="62" t="n">
        <f aca="false">N(M1553)+N(N1553)</f>
        <v>20</v>
      </c>
      <c r="CL1553" s="62" t="n">
        <f aca="false">N(M1553)</f>
        <v>0</v>
      </c>
      <c r="CM1553" s="62" t="n">
        <f aca="false">N(N1553)</f>
        <v>20</v>
      </c>
      <c r="CN1553" s="62" t="n">
        <f aca="false">ROUNDUP(H1553/BZ1553,0)</f>
        <v>1</v>
      </c>
      <c r="CO1553" s="62" t="n">
        <f aca="false">ROUNDUP(CJ1553/BZ1553,0)</f>
        <v>0</v>
      </c>
      <c r="CP1553" s="65" t="n">
        <f aca="false">IF(CA1553=1,0,IFERROR(VLOOKUP(BY1553,'Gebinde-Kategorie'!$A$5:$N$45,5,0)+0,0))</f>
        <v>21</v>
      </c>
      <c r="CQ1553" s="65" t="n">
        <f aca="false">IFERROR(IF(OR(CF1553=1,CF1553=2,CF1553=3),N(INDEX(Parameter!$I$5:$I$7,CF1553)),0),0)</f>
        <v>0</v>
      </c>
      <c r="CR1553" s="64" t="n">
        <f aca="false">IF(AND(Parameter!$B$21="Ja",ISNUMBER(W1553),N(X1553)&gt;0),IFERROR(N(INDEX(Parameter!$L$5:$L$7,W1553))*INDEX(Parameter!$E$5:$E$7,W1553)*X1553/SUMIFS($X$7:$X$1843,$W$7:$W$1843,W1553),0),0)</f>
        <v>0</v>
      </c>
      <c r="CS1553" s="62" t="n">
        <f aca="false">IF(AND(OR(CG1553="L1",CG1553="L23",CG1553="LIFT"),H1553&gt;0),CC1553*IF(CR1553&gt;0,CR1553*MAX(1,H1553/X1553),IF(CA1553=1,CE1553,IF(R1553&gt;0,CN1553/R1553,0))/MAX(0.1,N(Parameter!$M$21))),"")</f>
        <v>20.4166666666667</v>
      </c>
      <c r="CT1553" s="64" t="n">
        <f aca="false">IF(CS1553="","",J1553/H1553)</f>
        <v>0</v>
      </c>
      <c r="CU1553" s="62" t="n">
        <f aca="false">IF(CS1553="","",H1553*G1553)</f>
        <v>1203.6</v>
      </c>
      <c r="CV1553" s="63" t="n">
        <f aca="false">IF(CS1553="","",(CL1553+ROUNDUP(CL1553+MAX(CM1553,2*(J1553/MAX(0.1,N(Einkauf!$C$6))-CL1553)),0))/2)</f>
        <v>10</v>
      </c>
      <c r="CW1553" s="62" t="n">
        <f aca="false">IF(CS1553="","",MAX(0,H1553-CV1553)*G1553)</f>
        <v>849.6</v>
      </c>
      <c r="CX1553" s="62" t="n">
        <f aca="false">IF(CS1553="","",CS1553*MAX(0,1-CV1553/H1553))</f>
        <v>14.4117647058824</v>
      </c>
      <c r="CY1553" s="64" t="n">
        <f aca="false">IF(CS1553="","",PERCENTRANK($CS$7:$CS$1843,CS1553)+PERCENTRANK($CU$7:$CU$1843,CU1553)+1-PERCENTRANK($CT$7:$CT$1843,CT1553))</f>
        <v>2.463</v>
      </c>
      <c r="CZ1553" s="72" t="n">
        <f aca="false">IF(CS1553="","",CHOOSE(MATCH(Einkauf!$C$5,Parameter!$G$23:$G$27,0),CY1553,CS1553,CU1553,-CT1553,CW1553)+ROW()/1000000000)</f>
        <v>2.463001553</v>
      </c>
    </row>
    <row r="1554" customFormat="false" ht="15" hidden="false" customHeight="false" outlineLevel="0" collapsed="false">
      <c r="A1554" s="60" t="s">
        <v>2757</v>
      </c>
      <c r="B1554" s="60" t="s">
        <v>2758</v>
      </c>
      <c r="C1554" s="60" t="s">
        <v>206</v>
      </c>
      <c r="D1554" s="60" t="s">
        <v>226</v>
      </c>
      <c r="E1554" s="60" t="s">
        <v>227</v>
      </c>
      <c r="F1554" s="60"/>
      <c r="G1554" s="61" t="n">
        <v>45.8</v>
      </c>
      <c r="H1554" s="62" t="n">
        <f aca="false">MAX(0,IF(AND(Parameter!$B$21="Ja",ISNUMBER(Y1554)),Y1554,IF(Parameter!$B$20="Jahresanfang 2025 + Export",BS1554+BR1554,BR1554)))</f>
        <v>14</v>
      </c>
      <c r="I1554" s="62" t="n">
        <f aca="false">H1554*G1554</f>
        <v>641.2</v>
      </c>
      <c r="J1554" s="62" t="n">
        <f aca="false">BU1554*Parameter!$B$18</f>
        <v>0</v>
      </c>
      <c r="K1554" s="63"/>
      <c r="L1554" s="64"/>
      <c r="M1554" s="62" t="n">
        <v>0</v>
      </c>
      <c r="N1554" s="62" t="n">
        <v>10</v>
      </c>
      <c r="O1554" s="65" t="n">
        <v>0</v>
      </c>
      <c r="P1554" s="60" t="s">
        <v>344</v>
      </c>
      <c r="Q1554" s="62" t="n">
        <v>14</v>
      </c>
      <c r="R1554" s="65" t="n">
        <f aca="false">IF(CA1554=1,0,IFERROR(VLOOKUP(BY1554,'Gebinde-Kategorie'!$A$5:$N$45,13,0)+0,0))</f>
        <v>26</v>
      </c>
      <c r="S1554" s="66"/>
      <c r="T1554" s="67"/>
      <c r="U1554" s="67"/>
      <c r="V1554" s="67"/>
      <c r="W1554" s="60"/>
      <c r="X1554" s="62"/>
      <c r="Y1554" s="62"/>
      <c r="Z1554" s="60" t="n">
        <v>3</v>
      </c>
      <c r="AA1554" s="60" t="n">
        <f aca="false">IF(A1554="","",IF(AND(Parameter!$B$21="Ja",ISNUMBER(W1554)),W1554,IF(AND(Parameter!$E$27="Ja",ISNUMBER(Z1554),CD1554&lt;&gt;"Nein"),Z1554,IF(CD1554="2+3",IF(ISNUMBER(SEARCH("grosser Artikel",BV1554)),2,IFERROR(VLOOKUP(BY1554,Parameter!$F$35:$G$64,2,0),2)),IF(OR(CD1554="Nein",CD1554=""),"-",CD1554)))))</f>
        <v>3</v>
      </c>
      <c r="AB1554" s="67"/>
      <c r="AC1554" s="68"/>
      <c r="AD1554" s="62" t="n">
        <f aca="false">AW1554</f>
        <v>10</v>
      </c>
      <c r="AE1554" s="62" t="n">
        <f aca="false">MAX(AW1554,H1554)</f>
        <v>14</v>
      </c>
      <c r="AF1554" s="69"/>
      <c r="AG1554" s="62" t="n">
        <f aca="false">IF(LEFT(Cockpit!$C$5,1)="A",H1554,IF(Parameter!$E$30="MAX-Bestand",IF(CI1554=1,CJ1554,IF(LEFT(Cockpit!$C$5,1)="B",AM1554,MAX(AM1554,H1554))),ROUNDUP(AK1554,0)))</f>
        <v>14</v>
      </c>
      <c r="AH1554" s="62" t="n">
        <f aca="false">IF(CA1554=1,0,ROUNDUP(AG1554/BZ1554,0))</f>
        <v>1</v>
      </c>
      <c r="AI1554" s="64" t="n">
        <f aca="false">IF(CR1554&gt;0,CR1554*MAX(1,AG1554/X1554),IF(CA1554=1,IF(AG1554&lt;=0,0,CE1554*MAX(1,IF(H1554&gt;0,AG1554/H1554,1))),IF(R1554&gt;0,AH1554/R1554,0))/MAX(0.1,N(Parameter!$M$21)))</f>
        <v>0.0384615384615385</v>
      </c>
      <c r="AJ1554" s="62" t="n">
        <f aca="false">AI1554*CC1554</f>
        <v>5.96153846153846</v>
      </c>
      <c r="AK1554" s="63" t="n">
        <f aca="false">IF(LEFT(Cockpit!$C$5,1)="A",H1554,IF(CI1554=1,(CL1554+CJ1554)/2,IF(LEFT(Cockpit!$C$5,1)="B",(CL1554+AM1554)/2,MAX((CL1554+AM1554)/2,H1554))))</f>
        <v>14</v>
      </c>
      <c r="AL1554" s="62" t="n">
        <f aca="false">AK1554*G1554</f>
        <v>641.2</v>
      </c>
      <c r="AM1554" s="62" t="n">
        <f aca="false">ROUNDUP(CL1554+MAX(CM1554,2*(J1554/IF(CH1554&gt;0,CH1554,MAX(0.1,N(Cockpit!$C$6)))-CL1554)),0)</f>
        <v>10</v>
      </c>
      <c r="AN1554" s="63" t="n">
        <f aca="false">IF(AJ1554&gt;0,J1554/AJ1554,-1)</f>
        <v>0</v>
      </c>
      <c r="AO1554" s="63" t="n">
        <f aca="false">IF(AND(OR(CG1554="L1",CG1554="L23",CG1554="LIFT"),AJ1554&gt;0),SUMIFS($AJ$7:$AJ$1843,$CG$7:$CG$1843,CG1554,$AN$7:$AN$1843,"&gt;"&amp;AN1554)+SUMIFS($AJ$7:$AJ$1843,$CG$7:$CG$1843,CG1554,$AN$7:$AN$1843,AN1554,$BX$7:$BX$1843,"&lt;="&amp;BX1554),"")</f>
        <v>30243.705441216</v>
      </c>
      <c r="AP1554" s="70" t="n">
        <f aca="false">IF(AO1554="",0,MAX(0,MIN(1,(IF(CG1554="L1",Parameter!$H$5,IF(CG1554="L23",Parameter!$H$6+Parameter!$H$7,Parameter!$H$5+Parameter!$H$6+Parameter!$H$7))-(AO1554-AJ1554))/AJ1554)))</f>
        <v>1</v>
      </c>
      <c r="AQ1554" s="62" t="n">
        <f aca="false">IF(LEFT(Cockpit!$I$5,1)="A",H1554,IF(Parameter!$E$30="MAX-Bestand",IF(CI1554=1,CJ1554,IF(LEFT(Cockpit!$I$5,1)="B",AW1554,MAX(AW1554,H1554))),ROUNDUP(AU1554,0)))</f>
        <v>14</v>
      </c>
      <c r="AR1554" s="62" t="n">
        <f aca="false">IF(CA1554=1,0,ROUNDUP(AQ1554/BZ1554,0))</f>
        <v>1</v>
      </c>
      <c r="AS1554" s="64" t="n">
        <f aca="false">IF(CR1554&gt;0,CR1554*MAX(1,AQ1554/X1554),IF(CA1554=1,IF(AQ1554&lt;=0,0,CE1554*MAX(1,IF(H1554&gt;0,AQ1554/H1554,1))),IF(R1554&gt;0,AR1554/R1554,0))/MAX(0.1,N(Parameter!$M$21)))</f>
        <v>0.0384615384615385</v>
      </c>
      <c r="AT1554" s="62" t="n">
        <f aca="false">AS1554*CC1554</f>
        <v>5.96153846153846</v>
      </c>
      <c r="AU1554" s="63" t="n">
        <f aca="false">IF(LEFT(Cockpit!$I$5,1)="A",H1554,IF(CI1554=1,(CL1554+CJ1554)/2,IF(LEFT(Cockpit!$I$5,1)="B",(CL1554+AW1554)/2,MAX((CL1554+AW1554)/2,H1554))))</f>
        <v>14</v>
      </c>
      <c r="AV1554" s="62" t="n">
        <f aca="false">AU1554*G1554</f>
        <v>641.2</v>
      </c>
      <c r="AW1554" s="62" t="n">
        <f aca="false">ROUNDUP(CL1554+MAX(CM1554,2*(J1554/IF(CH1554&gt;0,CH1554,MAX(0.1,N(Cockpit!$I$6)))-CL1554)),0)</f>
        <v>10</v>
      </c>
      <c r="AX1554" s="63" t="n">
        <f aca="false">IF(AT1554&gt;0,J1554/AT1554,-1)</f>
        <v>0</v>
      </c>
      <c r="AY1554" s="63" t="n">
        <f aca="false">IF(AND(OR(CG1554="L1",CG1554="L23",CG1554="LIFT"),AT1554&gt;0),SUMIFS($AT$7:$AT$1843,$CG$7:$CG$1843,CG1554,$AX$7:$AX$1843,"&gt;"&amp;AX1554)+SUMIFS($AT$7:$AT$1843,$CG$7:$CG$1843,CG1554,$AX$7:$AX$1843,AX1554,$BX$7:$BX$1843,"&lt;="&amp;BX1554),"")</f>
        <v>36563.5619580514</v>
      </c>
      <c r="AZ1554" s="70" t="n">
        <f aca="false">IF(AY1554="",0,MAX(0,MIN(1,(IF(CG1554="L1",Parameter!$H$5,IF(CG1554="L23",Parameter!$H$6+Parameter!$H$7,Parameter!$H$5+Parameter!$H$6+Parameter!$H$7))-(AY1554-AT1554))/AT1554)))</f>
        <v>0</v>
      </c>
      <c r="BA1554" s="62" t="n">
        <f aca="false">IF(LEFT(Cockpit!$O$5,1)="A",H1554,IF(Parameter!$E$30="MAX-Bestand",IF(CI1554=1,CJ1554,IF(LEFT(Cockpit!$O$5,1)="B",BG1554,MAX(BG1554,H1554))),ROUNDUP(BE1554,0)))</f>
        <v>5</v>
      </c>
      <c r="BB1554" s="62" t="n">
        <f aca="false">IF(CA1554=1,0,ROUNDUP(BA1554/BZ1554,0))</f>
        <v>1</v>
      </c>
      <c r="BC1554" s="64" t="n">
        <f aca="false">IF(CR1554&gt;0,CR1554*MAX(1,BA1554/X1554),IF(CA1554=1,IF(BA1554&lt;=0,0,CE1554*MAX(1,IF(H1554&gt;0,BA1554/H1554,1))),IF(R1554&gt;0,BB1554/R1554,0))/MAX(0.1,N(Parameter!$M$21)))</f>
        <v>0.0384615384615385</v>
      </c>
      <c r="BD1554" s="62" t="n">
        <f aca="false">BC1554*CC1554</f>
        <v>5.96153846153846</v>
      </c>
      <c r="BE1554" s="63" t="n">
        <f aca="false">IF(LEFT(Cockpit!$O$5,1)="A",H1554,IF(CI1554=1,(CL1554+CJ1554)/2,IF(LEFT(Cockpit!$O$5,1)="B",(CL1554+BG1554)/2,MAX((CL1554+BG1554)/2,H1554))))</f>
        <v>5</v>
      </c>
      <c r="BF1554" s="62" t="n">
        <f aca="false">BE1554*G1554</f>
        <v>229</v>
      </c>
      <c r="BG1554" s="62" t="n">
        <f aca="false">ROUNDUP(CL1554+MAX(CM1554,2*(J1554/IF(CH1554&gt;0,CH1554,MAX(0.1,N(Cockpit!$O$6)))-CL1554)),0)</f>
        <v>10</v>
      </c>
      <c r="BH1554" s="63" t="n">
        <f aca="false">IF(BD1554&gt;0,J1554/BD1554,-1)</f>
        <v>0</v>
      </c>
      <c r="BI1554" s="63" t="n">
        <f aca="false">IF(AND(OR(CG1554="L1",CG1554="L23",CG1554="LIFT"),BD1554&gt;0),SUMIFS($BD$7:$BD$1843,$CG$7:$CG$1843,CG1554,$BH$7:$BH$1843,"&gt;"&amp;BH1554)+SUMIFS($BD$7:$BD$1843,$CG$7:$CG$1843,CG1554,$BH$7:$BH$1843,BH1554,$BX$7:$BX$1843,"&lt;="&amp;BX1554),"")</f>
        <v>30473.0032335837</v>
      </c>
      <c r="BJ1554" s="70" t="n">
        <f aca="false">IF(BI1554="",0,MAX(0,MIN(1,(IF(CG1554="L1",Parameter!$H$5,IF(CG1554="L23",Parameter!$H$6+Parameter!$H$7,Parameter!$H$5+Parameter!$H$6+Parameter!$H$7))-(BI1554-BD1554))/BD1554)))</f>
        <v>1</v>
      </c>
      <c r="BK1554" s="60" t="str">
        <f aca="false">IF(AJ1554&lt;=0,"",IF(CG1554="Aussen","Aussenlager",IF(CG1554="-","Nicht im Lift",IF(AP1554&gt;=1,"Lift",IF(AP1554&lt;=0,"Aussenlager","teilweise")))))</f>
        <v>Lift</v>
      </c>
      <c r="BL1554" s="60" t="str">
        <f aca="false">IF(AT1554&lt;=0,"",IF(CG1554="Aussen","Aussenlager",IF(CG1554="-","Nicht im Lift",IF(AZ1554&gt;=1,"Lift",IF(AZ1554&lt;=0,"Aussenlager","teilweise")))))</f>
        <v>Aussenlager</v>
      </c>
      <c r="BM1554" s="60" t="str">
        <f aca="false">IF(BD1554&lt;=0,"",IF(CG1554="Aussen","Aussenlager",IF(CG1554="-","Nicht im Lift",IF(BJ1554&gt;=1,"Lift",IF(BJ1554&lt;=0,"Aussenlager","teilweise")))))</f>
        <v>Lift</v>
      </c>
      <c r="BN1554" s="60" t="str">
        <f aca="false">IF(A1554="","",IF(BW1554=1,"Neu; ","")&amp;IF(AND(BW1554=0,BR1554&lt;0),"negativer Bestand (Export "&amp;BR1554&amp;"); ","")&amp;IF(J1554&lt;=0,"Kein Verbrauch; ","")&amp;IF(CR1554&gt;0,"Lift "&amp;W1554&amp;" lt. Liftbericht (Fach "&amp;X1554&amp;" Stk); ",IF(CB1554=1,"Gebinde geschätzt ("&amp;T1554&amp;"); ",IF(CA1554=1,"Lose – Tablare geschätzt; ","")))&amp;IF(H1554&gt;AW1554,"Überbestand "&amp;ROUND(H1554-AW1554,0)&amp;" Stk / CHF "&amp;ROUND((H1554-AW1554)*G1554,0)&amp;"; ","")&amp;IF(AND(CI1554=1,CJ1554&lt;CK1554),"MAX &lt; MB+LG; ","")&amp;IF(AND(CQ1554&gt;0,CP1554*10&gt;CQ1554),"zu hoch für Tablar; ","")&amp;IF(AND(BW1554=0,OR(CI1554=1,AB1554&lt;&gt;"",U1554&lt;&gt;"",V1554&lt;&gt;"",AC1554&lt;&gt;"")),"manuell übersteuert; ","")&amp;IF(AND(CA1554=0,R1554=0),"Gebinde unbekannt / Stellmass fehlt; ","")&amp;IF(AND(CA1554=0,N(V1554)&lt;=0,N(Q1554)&lt;=0),"Menge pro Gebinde fehlt (Ist = 1 Gebinde); ","")&amp;BV1554)</f>
        <v>Kein Verbrauch; Überbestand 4 Stk / CHF 183; nur im Artikelstamm (Bestand 23.06.2026)</v>
      </c>
      <c r="BO1554" s="60"/>
      <c r="BP1554" s="60"/>
      <c r="BQ1554" s="67"/>
      <c r="BR1554" s="62" t="n">
        <v>14</v>
      </c>
      <c r="BS1554" s="62" t="n">
        <v>0</v>
      </c>
      <c r="BT1554" s="61" t="n">
        <v>0</v>
      </c>
      <c r="BU1554" s="62" t="n">
        <v>0</v>
      </c>
      <c r="BV1554" s="60" t="s">
        <v>2617</v>
      </c>
      <c r="BW1554" s="65" t="n">
        <v>0</v>
      </c>
      <c r="BX1554" s="65" t="n">
        <v>1554</v>
      </c>
      <c r="BY1554" s="60" t="str">
        <f aca="false">IF(U1554&lt;&gt;"",UPPER(TRIM(U1554)),IF(CB1554=1,UPPER(VLOOKUP(T1554,Parameter!$I$27:$K$29,2,0)),IF(P1554="","LOSE",P1554)))</f>
        <v>S51</v>
      </c>
      <c r="BZ1554" s="62" t="n">
        <f aca="false">IF(BY1554="LOSE",1,IF(N(V1554)&gt;0,V1554,IF(CB1554=1,MAX(1,N(VLOOKUP(T1554,Parameter!$I$27:$K$29,3,0)),H1554,N(N1554)),IF(N(Q1554)&gt;0,Q1554,MAX(1,H1554)))))</f>
        <v>14</v>
      </c>
      <c r="CA1554" s="65" t="n">
        <f aca="false">IF(BY1554="LOSE",1,0)</f>
        <v>0</v>
      </c>
      <c r="CB1554" s="65" t="n">
        <f aca="false">IF(AND(U1554="",OR(P1554="",P1554="LOSE"),T1554&lt;&gt;"",N(S1554)&lt;=0,ISNUMBER(MATCH(T1554,Parameter!$I$27:$I$29,0))),1,0)</f>
        <v>0</v>
      </c>
      <c r="CC1554" s="65" t="n">
        <f aca="false">IF(CR1554&gt;0,INDEX(Parameter!$H$5:$H$7,W1554)/INDEX(Parameter!$E$5:$E$7,W1554),IF(AND(CA1554=0,N(IFERROR(VLOOKUP(BY1554,'Gebinde-Kategorie'!$A$5:$N$45,14,0),0))&gt;0),VLOOKUP(BY1554,'Gebinde-Kategorie'!$A$5:$N$45,14,0)*10+Parameter!$M$23,Parameter!$M$24))</f>
        <v>155</v>
      </c>
      <c r="CD1554" s="60" t="str">
        <f aca="false">IF(AND(Parameter!$B$19="Ja",E1554&lt;&gt;"",ISNUMBER(MATCH(E1554,Parameter!$I$35:$I$52,0))),VLOOKUP(E1554,Parameter!$I$35:$J$52,2,0),IFERROR(VLOOKUP(D1554,Parameter!$A$35:$C$64,2,0),"Nein"))</f>
        <v>2+3</v>
      </c>
      <c r="CE1554" s="64" t="n">
        <f aca="false">IF(CA1554=0,0,IF(N(S1554)&gt;0,S1554,IFERROR(VLOOKUP(D1554,Parameter!$A$35:$C$64,3,0)+0,0)))</f>
        <v>0</v>
      </c>
      <c r="CF1554" s="60" t="n">
        <f aca="false">IF(AB1554&lt;&gt;"",AB1554,AA1554)</f>
        <v>3</v>
      </c>
      <c r="CG1554" s="60" t="str">
        <f aca="false">IF(OR(CF1554=1,CF1554=2,CF1554=3),IF(Parameter!$E$27="Ja","LIFT",IF(CF1554=1,"L1","L23")),IF(CF1554="Aussen","Aussen","-"))</f>
        <v>LIFT</v>
      </c>
      <c r="CH1554" s="71" t="n">
        <f aca="false">IF(N(AC1554)&gt;0,AC1554,0)</f>
        <v>0</v>
      </c>
      <c r="CI1554" s="65" t="n">
        <f aca="false">IF(ISNUMBER(AF1554),1,0)</f>
        <v>0</v>
      </c>
      <c r="CJ1554" s="62" t="n">
        <f aca="false">N(AF1554)</f>
        <v>0</v>
      </c>
      <c r="CK1554" s="62" t="n">
        <f aca="false">N(M1554)+N(N1554)</f>
        <v>10</v>
      </c>
      <c r="CL1554" s="62" t="n">
        <f aca="false">N(M1554)</f>
        <v>0</v>
      </c>
      <c r="CM1554" s="62" t="n">
        <f aca="false">N(N1554)</f>
        <v>10</v>
      </c>
      <c r="CN1554" s="62" t="n">
        <f aca="false">ROUNDUP(H1554/BZ1554,0)</f>
        <v>1</v>
      </c>
      <c r="CO1554" s="62" t="n">
        <f aca="false">ROUNDUP(CJ1554/BZ1554,0)</f>
        <v>0</v>
      </c>
      <c r="CP1554" s="65" t="n">
        <f aca="false">IF(CA1554=1,0,IFERROR(VLOOKUP(BY1554,'Gebinde-Kategorie'!$A$5:$N$45,5,0)+0,0))</f>
        <v>11</v>
      </c>
      <c r="CQ1554" s="65" t="n">
        <f aca="false">IFERROR(IF(OR(CF1554=1,CF1554=2,CF1554=3),N(INDEX(Parameter!$I$5:$I$7,CF1554)),0),0)</f>
        <v>0</v>
      </c>
      <c r="CR1554" s="64" t="n">
        <f aca="false">IF(AND(Parameter!$B$21="Ja",ISNUMBER(W1554),N(X1554)&gt;0),IFERROR(N(INDEX(Parameter!$L$5:$L$7,W1554))*INDEX(Parameter!$E$5:$E$7,W1554)*X1554/SUMIFS($X$7:$X$1843,$W$7:$W$1843,W1554),0),0)</f>
        <v>0</v>
      </c>
      <c r="CS1554" s="62" t="n">
        <f aca="false">IF(AND(OR(CG1554="L1",CG1554="L23",CG1554="LIFT"),H1554&gt;0),CC1554*IF(CR1554&gt;0,CR1554*MAX(1,H1554/X1554),IF(CA1554=1,CE1554,IF(R1554&gt;0,CN1554/R1554,0))/MAX(0.1,N(Parameter!$M$21))),"")</f>
        <v>5.96153846153846</v>
      </c>
      <c r="CT1554" s="64" t="n">
        <f aca="false">IF(CS1554="","",J1554/H1554)</f>
        <v>0</v>
      </c>
      <c r="CU1554" s="62" t="n">
        <f aca="false">IF(CS1554="","",H1554*G1554)</f>
        <v>641.2</v>
      </c>
      <c r="CV1554" s="63" t="n">
        <f aca="false">IF(CS1554="","",(CL1554+ROUNDUP(CL1554+MAX(CM1554,2*(J1554/MAX(0.1,N(Einkauf!$C$6))-CL1554)),0))/2)</f>
        <v>5</v>
      </c>
      <c r="CW1554" s="62" t="n">
        <f aca="false">IF(CS1554="","",MAX(0,H1554-CV1554)*G1554)</f>
        <v>412.2</v>
      </c>
      <c r="CX1554" s="62" t="n">
        <f aca="false">IF(CS1554="","",CS1554*MAX(0,1-CV1554/H1554))</f>
        <v>3.83241758241758</v>
      </c>
      <c r="CY1554" s="64" t="n">
        <f aca="false">IF(CS1554="","",PERCENTRANK($CS$7:$CS$1843,CS1554)+PERCENTRANK($CU$7:$CU$1843,CU1554)+1-PERCENTRANK($CT$7:$CT$1843,CT1554))</f>
        <v>1.916</v>
      </c>
      <c r="CZ1554" s="72" t="n">
        <f aca="false">IF(CS1554="","",CHOOSE(MATCH(Einkauf!$C$5,Parameter!$G$23:$G$27,0),CY1554,CS1554,CU1554,-CT1554,CW1554)+ROW()/1000000000)</f>
        <v>1.916001554</v>
      </c>
    </row>
    <row r="1555" customFormat="false" ht="15" hidden="false" customHeight="false" outlineLevel="0" collapsed="false">
      <c r="A1555" s="60" t="s">
        <v>2759</v>
      </c>
      <c r="B1555" s="60" t="s">
        <v>2758</v>
      </c>
      <c r="C1555" s="60" t="s">
        <v>206</v>
      </c>
      <c r="D1555" s="60" t="s">
        <v>226</v>
      </c>
      <c r="E1555" s="60" t="s">
        <v>227</v>
      </c>
      <c r="F1555" s="60"/>
      <c r="G1555" s="61" t="n">
        <v>43.8</v>
      </c>
      <c r="H1555" s="62" t="n">
        <f aca="false">MAX(0,IF(AND(Parameter!$B$21="Ja",ISNUMBER(Y1555)),Y1555,IF(Parameter!$B$20="Jahresanfang 2025 + Export",BS1555+BR1555,BR1555)))</f>
        <v>9</v>
      </c>
      <c r="I1555" s="62" t="n">
        <f aca="false">H1555*G1555</f>
        <v>394.2</v>
      </c>
      <c r="J1555" s="62" t="n">
        <f aca="false">BU1555*Parameter!$B$18</f>
        <v>0</v>
      </c>
      <c r="K1555" s="63"/>
      <c r="L1555" s="64"/>
      <c r="M1555" s="62" t="n">
        <v>0</v>
      </c>
      <c r="N1555" s="62" t="n">
        <v>10</v>
      </c>
      <c r="O1555" s="65" t="n">
        <v>0</v>
      </c>
      <c r="P1555" s="60" t="s">
        <v>344</v>
      </c>
      <c r="Q1555" s="62" t="n">
        <v>9</v>
      </c>
      <c r="R1555" s="65" t="n">
        <f aca="false">IF(CA1555=1,0,IFERROR(VLOOKUP(BY1555,'Gebinde-Kategorie'!$A$5:$N$45,13,0)+0,0))</f>
        <v>26</v>
      </c>
      <c r="S1555" s="66"/>
      <c r="T1555" s="67"/>
      <c r="U1555" s="67"/>
      <c r="V1555" s="67"/>
      <c r="W1555" s="60"/>
      <c r="X1555" s="62"/>
      <c r="Y1555" s="62"/>
      <c r="Z1555" s="60" t="n">
        <v>3</v>
      </c>
      <c r="AA1555" s="60" t="n">
        <f aca="false">IF(A1555="","",IF(AND(Parameter!$B$21="Ja",ISNUMBER(W1555)),W1555,IF(AND(Parameter!$E$27="Ja",ISNUMBER(Z1555),CD1555&lt;&gt;"Nein"),Z1555,IF(CD1555="2+3",IF(ISNUMBER(SEARCH("grosser Artikel",BV1555)),2,IFERROR(VLOOKUP(BY1555,Parameter!$F$35:$G$64,2,0),2)),IF(OR(CD1555="Nein",CD1555=""),"-",CD1555)))))</f>
        <v>3</v>
      </c>
      <c r="AB1555" s="67"/>
      <c r="AC1555" s="68"/>
      <c r="AD1555" s="62" t="n">
        <f aca="false">AW1555</f>
        <v>10</v>
      </c>
      <c r="AE1555" s="62" t="n">
        <f aca="false">MAX(AW1555,H1555)</f>
        <v>10</v>
      </c>
      <c r="AF1555" s="69"/>
      <c r="AG1555" s="62" t="n">
        <f aca="false">IF(LEFT(Cockpit!$C$5,1)="A",H1555,IF(Parameter!$E$30="MAX-Bestand",IF(CI1555=1,CJ1555,IF(LEFT(Cockpit!$C$5,1)="B",AM1555,MAX(AM1555,H1555))),ROUNDUP(AK1555,0)))</f>
        <v>9</v>
      </c>
      <c r="AH1555" s="62" t="n">
        <f aca="false">IF(CA1555=1,0,ROUNDUP(AG1555/BZ1555,0))</f>
        <v>1</v>
      </c>
      <c r="AI1555" s="64" t="n">
        <f aca="false">IF(CR1555&gt;0,CR1555*MAX(1,AG1555/X1555),IF(CA1555=1,IF(AG1555&lt;=0,0,CE1555*MAX(1,IF(H1555&gt;0,AG1555/H1555,1))),IF(R1555&gt;0,AH1555/R1555,0))/MAX(0.1,N(Parameter!$M$21)))</f>
        <v>0.0384615384615385</v>
      </c>
      <c r="AJ1555" s="62" t="n">
        <f aca="false">AI1555*CC1555</f>
        <v>5.96153846153846</v>
      </c>
      <c r="AK1555" s="63" t="n">
        <f aca="false">IF(LEFT(Cockpit!$C$5,1)="A",H1555,IF(CI1555=1,(CL1555+CJ1555)/2,IF(LEFT(Cockpit!$C$5,1)="B",(CL1555+AM1555)/2,MAX((CL1555+AM1555)/2,H1555))))</f>
        <v>9</v>
      </c>
      <c r="AL1555" s="62" t="n">
        <f aca="false">AK1555*G1555</f>
        <v>394.2</v>
      </c>
      <c r="AM1555" s="62" t="n">
        <f aca="false">ROUNDUP(CL1555+MAX(CM1555,2*(J1555/IF(CH1555&gt;0,CH1555,MAX(0.1,N(Cockpit!$C$6)))-CL1555)),0)</f>
        <v>10</v>
      </c>
      <c r="AN1555" s="63" t="n">
        <f aca="false">IF(AJ1555&gt;0,J1555/AJ1555,-1)</f>
        <v>0</v>
      </c>
      <c r="AO1555" s="63" t="n">
        <f aca="false">IF(AND(OR(CG1555="L1",CG1555="L23",CG1555="LIFT"),AJ1555&gt;0),SUMIFS($AJ$7:$AJ$1843,$CG$7:$CG$1843,CG1555,$AN$7:$AN$1843,"&gt;"&amp;AN1555)+SUMIFS($AJ$7:$AJ$1843,$CG$7:$CG$1843,CG1555,$AN$7:$AN$1843,AN1555,$BX$7:$BX$1843,"&lt;="&amp;BX1555),"")</f>
        <v>30249.6669796776</v>
      </c>
      <c r="AP1555" s="70" t="n">
        <f aca="false">IF(AO1555="",0,MAX(0,MIN(1,(IF(CG1555="L1",Parameter!$H$5,IF(CG1555="L23",Parameter!$H$6+Parameter!$H$7,Parameter!$H$5+Parameter!$H$6+Parameter!$H$7))-(AO1555-AJ1555))/AJ1555)))</f>
        <v>1</v>
      </c>
      <c r="AQ1555" s="62" t="n">
        <f aca="false">IF(LEFT(Cockpit!$I$5,1)="A",H1555,IF(Parameter!$E$30="MAX-Bestand",IF(CI1555=1,CJ1555,IF(LEFT(Cockpit!$I$5,1)="B",AW1555,MAX(AW1555,H1555))),ROUNDUP(AU1555,0)))</f>
        <v>9</v>
      </c>
      <c r="AR1555" s="62" t="n">
        <f aca="false">IF(CA1555=1,0,ROUNDUP(AQ1555/BZ1555,0))</f>
        <v>1</v>
      </c>
      <c r="AS1555" s="64" t="n">
        <f aca="false">IF(CR1555&gt;0,CR1555*MAX(1,AQ1555/X1555),IF(CA1555=1,IF(AQ1555&lt;=0,0,CE1555*MAX(1,IF(H1555&gt;0,AQ1555/H1555,1))),IF(R1555&gt;0,AR1555/R1555,0))/MAX(0.1,N(Parameter!$M$21)))</f>
        <v>0.0384615384615385</v>
      </c>
      <c r="AT1555" s="62" t="n">
        <f aca="false">AS1555*CC1555</f>
        <v>5.96153846153846</v>
      </c>
      <c r="AU1555" s="63" t="n">
        <f aca="false">IF(LEFT(Cockpit!$I$5,1)="A",H1555,IF(CI1555=1,(CL1555+CJ1555)/2,IF(LEFT(Cockpit!$I$5,1)="B",(CL1555+AW1555)/2,MAX((CL1555+AW1555)/2,H1555))))</f>
        <v>9</v>
      </c>
      <c r="AV1555" s="62" t="n">
        <f aca="false">AU1555*G1555</f>
        <v>394.2</v>
      </c>
      <c r="AW1555" s="62" t="n">
        <f aca="false">ROUNDUP(CL1555+MAX(CM1555,2*(J1555/IF(CH1555&gt;0,CH1555,MAX(0.1,N(Cockpit!$I$6)))-CL1555)),0)</f>
        <v>10</v>
      </c>
      <c r="AX1555" s="63" t="n">
        <f aca="false">IF(AT1555&gt;0,J1555/AT1555,-1)</f>
        <v>0</v>
      </c>
      <c r="AY1555" s="63" t="n">
        <f aca="false">IF(AND(OR(CG1555="L1",CG1555="L23",CG1555="LIFT"),AT1555&gt;0),SUMIFS($AT$7:$AT$1843,$CG$7:$CG$1843,CG1555,$AX$7:$AX$1843,"&gt;"&amp;AX1555)+SUMIFS($AT$7:$AT$1843,$CG$7:$CG$1843,CG1555,$AX$7:$AX$1843,AX1555,$BX$7:$BX$1843,"&lt;="&amp;BX1555),"")</f>
        <v>36569.5234965129</v>
      </c>
      <c r="AZ1555" s="70" t="n">
        <f aca="false">IF(AY1555="",0,MAX(0,MIN(1,(IF(CG1555="L1",Parameter!$H$5,IF(CG1555="L23",Parameter!$H$6+Parameter!$H$7,Parameter!$H$5+Parameter!$H$6+Parameter!$H$7))-(AY1555-AT1555))/AT1555)))</f>
        <v>0</v>
      </c>
      <c r="BA1555" s="62" t="n">
        <f aca="false">IF(LEFT(Cockpit!$O$5,1)="A",H1555,IF(Parameter!$E$30="MAX-Bestand",IF(CI1555=1,CJ1555,IF(LEFT(Cockpit!$O$5,1)="B",BG1555,MAX(BG1555,H1555))),ROUNDUP(BE1555,0)))</f>
        <v>5</v>
      </c>
      <c r="BB1555" s="62" t="n">
        <f aca="false">IF(CA1555=1,0,ROUNDUP(BA1555/BZ1555,0))</f>
        <v>1</v>
      </c>
      <c r="BC1555" s="64" t="n">
        <f aca="false">IF(CR1555&gt;0,CR1555*MAX(1,BA1555/X1555),IF(CA1555=1,IF(BA1555&lt;=0,0,CE1555*MAX(1,IF(H1555&gt;0,BA1555/H1555,1))),IF(R1555&gt;0,BB1555/R1555,0))/MAX(0.1,N(Parameter!$M$21)))</f>
        <v>0.0384615384615385</v>
      </c>
      <c r="BD1555" s="62" t="n">
        <f aca="false">BC1555*CC1555</f>
        <v>5.96153846153846</v>
      </c>
      <c r="BE1555" s="63" t="n">
        <f aca="false">IF(LEFT(Cockpit!$O$5,1)="A",H1555,IF(CI1555=1,(CL1555+CJ1555)/2,IF(LEFT(Cockpit!$O$5,1)="B",(CL1555+BG1555)/2,MAX((CL1555+BG1555)/2,H1555))))</f>
        <v>5</v>
      </c>
      <c r="BF1555" s="62" t="n">
        <f aca="false">BE1555*G1555</f>
        <v>219</v>
      </c>
      <c r="BG1555" s="62" t="n">
        <f aca="false">ROUNDUP(CL1555+MAX(CM1555,2*(J1555/IF(CH1555&gt;0,CH1555,MAX(0.1,N(Cockpit!$O$6)))-CL1555)),0)</f>
        <v>10</v>
      </c>
      <c r="BH1555" s="63" t="n">
        <f aca="false">IF(BD1555&gt;0,J1555/BD1555,-1)</f>
        <v>0</v>
      </c>
      <c r="BI1555" s="63" t="n">
        <f aca="false">IF(AND(OR(CG1555="L1",CG1555="L23",CG1555="LIFT"),BD1555&gt;0),SUMIFS($BD$7:$BD$1843,$CG$7:$CG$1843,CG1555,$BH$7:$BH$1843,"&gt;"&amp;BH1555)+SUMIFS($BD$7:$BD$1843,$CG$7:$CG$1843,CG1555,$BH$7:$BH$1843,BH1555,$BX$7:$BX$1843,"&lt;="&amp;BX1555),"")</f>
        <v>30478.9647720453</v>
      </c>
      <c r="BJ1555" s="70" t="n">
        <f aca="false">IF(BI1555="",0,MAX(0,MIN(1,(IF(CG1555="L1",Parameter!$H$5,IF(CG1555="L23",Parameter!$H$6+Parameter!$H$7,Parameter!$H$5+Parameter!$H$6+Parameter!$H$7))-(BI1555-BD1555))/BD1555)))</f>
        <v>1</v>
      </c>
      <c r="BK1555" s="60" t="str">
        <f aca="false">IF(AJ1555&lt;=0,"",IF(CG1555="Aussen","Aussenlager",IF(CG1555="-","Nicht im Lift",IF(AP1555&gt;=1,"Lift",IF(AP1555&lt;=0,"Aussenlager","teilweise")))))</f>
        <v>Lift</v>
      </c>
      <c r="BL1555" s="60" t="str">
        <f aca="false">IF(AT1555&lt;=0,"",IF(CG1555="Aussen","Aussenlager",IF(CG1555="-","Nicht im Lift",IF(AZ1555&gt;=1,"Lift",IF(AZ1555&lt;=0,"Aussenlager","teilweise")))))</f>
        <v>Aussenlager</v>
      </c>
      <c r="BM1555" s="60" t="str">
        <f aca="false">IF(BD1555&lt;=0,"",IF(CG1555="Aussen","Aussenlager",IF(CG1555="-","Nicht im Lift",IF(BJ1555&gt;=1,"Lift",IF(BJ1555&lt;=0,"Aussenlager","teilweise")))))</f>
        <v>Lift</v>
      </c>
      <c r="BN1555" s="60" t="str">
        <f aca="false">IF(A1555="","",IF(BW1555=1,"Neu; ","")&amp;IF(AND(BW1555=0,BR1555&lt;0),"negativer Bestand (Export "&amp;BR1555&amp;"); ","")&amp;IF(J1555&lt;=0,"Kein Verbrauch; ","")&amp;IF(CR1555&gt;0,"Lift "&amp;W1555&amp;" lt. Liftbericht (Fach "&amp;X1555&amp;" Stk); ",IF(CB1555=1,"Gebinde geschätzt ("&amp;T1555&amp;"); ",IF(CA1555=1,"Lose – Tablare geschätzt; ","")))&amp;IF(H1555&gt;AW1555,"Überbestand "&amp;ROUND(H1555-AW1555,0)&amp;" Stk / CHF "&amp;ROUND((H1555-AW1555)*G1555,0)&amp;"; ","")&amp;IF(AND(CI1555=1,CJ1555&lt;CK1555),"MAX &lt; MB+LG; ","")&amp;IF(AND(CQ1555&gt;0,CP1555*10&gt;CQ1555),"zu hoch für Tablar; ","")&amp;IF(AND(BW1555=0,OR(CI1555=1,AB1555&lt;&gt;"",U1555&lt;&gt;"",V1555&lt;&gt;"",AC1555&lt;&gt;"")),"manuell übersteuert; ","")&amp;IF(AND(CA1555=0,R1555=0),"Gebinde unbekannt / Stellmass fehlt; ","")&amp;IF(AND(CA1555=0,N(V1555)&lt;=0,N(Q1555)&lt;=0),"Menge pro Gebinde fehlt (Ist = 1 Gebinde); ","")&amp;BV1555)</f>
        <v>Kein Verbrauch; nur im Artikelstamm (Bestand 23.06.2026)</v>
      </c>
      <c r="BO1555" s="60"/>
      <c r="BP1555" s="60"/>
      <c r="BQ1555" s="67"/>
      <c r="BR1555" s="62" t="n">
        <v>9</v>
      </c>
      <c r="BS1555" s="62" t="n">
        <v>0</v>
      </c>
      <c r="BT1555" s="61" t="n">
        <v>0</v>
      </c>
      <c r="BU1555" s="62" t="n">
        <v>0</v>
      </c>
      <c r="BV1555" s="60" t="s">
        <v>2617</v>
      </c>
      <c r="BW1555" s="65" t="n">
        <v>0</v>
      </c>
      <c r="BX1555" s="65" t="n">
        <v>1555</v>
      </c>
      <c r="BY1555" s="60" t="str">
        <f aca="false">IF(U1555&lt;&gt;"",UPPER(TRIM(U1555)),IF(CB1555=1,UPPER(VLOOKUP(T1555,Parameter!$I$27:$K$29,2,0)),IF(P1555="","LOSE",P1555)))</f>
        <v>S51</v>
      </c>
      <c r="BZ1555" s="62" t="n">
        <f aca="false">IF(BY1555="LOSE",1,IF(N(V1555)&gt;0,V1555,IF(CB1555=1,MAX(1,N(VLOOKUP(T1555,Parameter!$I$27:$K$29,3,0)),H1555,N(N1555)),IF(N(Q1555)&gt;0,Q1555,MAX(1,H1555)))))</f>
        <v>9</v>
      </c>
      <c r="CA1555" s="65" t="n">
        <f aca="false">IF(BY1555="LOSE",1,0)</f>
        <v>0</v>
      </c>
      <c r="CB1555" s="65" t="n">
        <f aca="false">IF(AND(U1555="",OR(P1555="",P1555="LOSE"),T1555&lt;&gt;"",N(S1555)&lt;=0,ISNUMBER(MATCH(T1555,Parameter!$I$27:$I$29,0))),1,0)</f>
        <v>0</v>
      </c>
      <c r="CC1555" s="65" t="n">
        <f aca="false">IF(CR1555&gt;0,INDEX(Parameter!$H$5:$H$7,W1555)/INDEX(Parameter!$E$5:$E$7,W1555),IF(AND(CA1555=0,N(IFERROR(VLOOKUP(BY1555,'Gebinde-Kategorie'!$A$5:$N$45,14,0),0))&gt;0),VLOOKUP(BY1555,'Gebinde-Kategorie'!$A$5:$N$45,14,0)*10+Parameter!$M$23,Parameter!$M$24))</f>
        <v>155</v>
      </c>
      <c r="CD1555" s="60" t="str">
        <f aca="false">IF(AND(Parameter!$B$19="Ja",E1555&lt;&gt;"",ISNUMBER(MATCH(E1555,Parameter!$I$35:$I$52,0))),VLOOKUP(E1555,Parameter!$I$35:$J$52,2,0),IFERROR(VLOOKUP(D1555,Parameter!$A$35:$C$64,2,0),"Nein"))</f>
        <v>2+3</v>
      </c>
      <c r="CE1555" s="64" t="n">
        <f aca="false">IF(CA1555=0,0,IF(N(S1555)&gt;0,S1555,IFERROR(VLOOKUP(D1555,Parameter!$A$35:$C$64,3,0)+0,0)))</f>
        <v>0</v>
      </c>
      <c r="CF1555" s="60" t="n">
        <f aca="false">IF(AB1555&lt;&gt;"",AB1555,AA1555)</f>
        <v>3</v>
      </c>
      <c r="CG1555" s="60" t="str">
        <f aca="false">IF(OR(CF1555=1,CF1555=2,CF1555=3),IF(Parameter!$E$27="Ja","LIFT",IF(CF1555=1,"L1","L23")),IF(CF1555="Aussen","Aussen","-"))</f>
        <v>LIFT</v>
      </c>
      <c r="CH1555" s="71" t="n">
        <f aca="false">IF(N(AC1555)&gt;0,AC1555,0)</f>
        <v>0</v>
      </c>
      <c r="CI1555" s="65" t="n">
        <f aca="false">IF(ISNUMBER(AF1555),1,0)</f>
        <v>0</v>
      </c>
      <c r="CJ1555" s="62" t="n">
        <f aca="false">N(AF1555)</f>
        <v>0</v>
      </c>
      <c r="CK1555" s="62" t="n">
        <f aca="false">N(M1555)+N(N1555)</f>
        <v>10</v>
      </c>
      <c r="CL1555" s="62" t="n">
        <f aca="false">N(M1555)</f>
        <v>0</v>
      </c>
      <c r="CM1555" s="62" t="n">
        <f aca="false">N(N1555)</f>
        <v>10</v>
      </c>
      <c r="CN1555" s="62" t="n">
        <f aca="false">ROUNDUP(H1555/BZ1555,0)</f>
        <v>1</v>
      </c>
      <c r="CO1555" s="62" t="n">
        <f aca="false">ROUNDUP(CJ1555/BZ1555,0)</f>
        <v>0</v>
      </c>
      <c r="CP1555" s="65" t="n">
        <f aca="false">IF(CA1555=1,0,IFERROR(VLOOKUP(BY1555,'Gebinde-Kategorie'!$A$5:$N$45,5,0)+0,0))</f>
        <v>11</v>
      </c>
      <c r="CQ1555" s="65" t="n">
        <f aca="false">IFERROR(IF(OR(CF1555=1,CF1555=2,CF1555=3),N(INDEX(Parameter!$I$5:$I$7,CF1555)),0),0)</f>
        <v>0</v>
      </c>
      <c r="CR1555" s="64" t="n">
        <f aca="false">IF(AND(Parameter!$B$21="Ja",ISNUMBER(W1555),N(X1555)&gt;0),IFERROR(N(INDEX(Parameter!$L$5:$L$7,W1555))*INDEX(Parameter!$E$5:$E$7,W1555)*X1555/SUMIFS($X$7:$X$1843,$W$7:$W$1843,W1555),0),0)</f>
        <v>0</v>
      </c>
      <c r="CS1555" s="62" t="n">
        <f aca="false">IF(AND(OR(CG1555="L1",CG1555="L23",CG1555="LIFT"),H1555&gt;0),CC1555*IF(CR1555&gt;0,CR1555*MAX(1,H1555/X1555),IF(CA1555=1,CE1555,IF(R1555&gt;0,CN1555/R1555,0))/MAX(0.1,N(Parameter!$M$21))),"")</f>
        <v>5.96153846153846</v>
      </c>
      <c r="CT1555" s="64" t="n">
        <f aca="false">IF(CS1555="","",J1555/H1555)</f>
        <v>0</v>
      </c>
      <c r="CU1555" s="62" t="n">
        <f aca="false">IF(CS1555="","",H1555*G1555)</f>
        <v>394.2</v>
      </c>
      <c r="CV1555" s="63" t="n">
        <f aca="false">IF(CS1555="","",(CL1555+ROUNDUP(CL1555+MAX(CM1555,2*(J1555/MAX(0.1,N(Einkauf!$C$6))-CL1555)),0))/2)</f>
        <v>5</v>
      </c>
      <c r="CW1555" s="62" t="n">
        <f aca="false">IF(CS1555="","",MAX(0,H1555-CV1555)*G1555)</f>
        <v>175.2</v>
      </c>
      <c r="CX1555" s="62" t="n">
        <f aca="false">IF(CS1555="","",CS1555*MAX(0,1-CV1555/H1555))</f>
        <v>2.64957264957265</v>
      </c>
      <c r="CY1555" s="64" t="n">
        <f aca="false">IF(CS1555="","",PERCENTRANK($CS$7:$CS$1843,CS1555)+PERCENTRANK($CU$7:$CU$1843,CU1555)+1-PERCENTRANK($CT$7:$CT$1843,CT1555))</f>
        <v>1.835</v>
      </c>
      <c r="CZ1555" s="72" t="n">
        <f aca="false">IF(CS1555="","",CHOOSE(MATCH(Einkauf!$C$5,Parameter!$G$23:$G$27,0),CY1555,CS1555,CU1555,-CT1555,CW1555)+ROW()/1000000000)</f>
        <v>1.835001555</v>
      </c>
    </row>
    <row r="1556" customFormat="false" ht="15" hidden="false" customHeight="false" outlineLevel="0" collapsed="false">
      <c r="A1556" s="60" t="s">
        <v>2760</v>
      </c>
      <c r="B1556" s="60" t="s">
        <v>562</v>
      </c>
      <c r="C1556" s="60" t="s">
        <v>206</v>
      </c>
      <c r="D1556" s="60" t="s">
        <v>226</v>
      </c>
      <c r="E1556" s="60" t="s">
        <v>227</v>
      </c>
      <c r="F1556" s="60"/>
      <c r="G1556" s="61" t="n">
        <v>27.17</v>
      </c>
      <c r="H1556" s="62" t="n">
        <f aca="false">MAX(0,IF(AND(Parameter!$B$21="Ja",ISNUMBER(Y1556)),Y1556,IF(Parameter!$B$20="Jahresanfang 2025 + Export",BS1556+BR1556,BR1556)))</f>
        <v>54</v>
      </c>
      <c r="I1556" s="62" t="n">
        <f aca="false">H1556*G1556</f>
        <v>1467.18</v>
      </c>
      <c r="J1556" s="62" t="n">
        <f aca="false">BU1556*Parameter!$B$18</f>
        <v>0</v>
      </c>
      <c r="K1556" s="63"/>
      <c r="L1556" s="64"/>
      <c r="M1556" s="62" t="n">
        <v>0</v>
      </c>
      <c r="N1556" s="62" t="n">
        <v>20</v>
      </c>
      <c r="O1556" s="65" t="n">
        <v>56</v>
      </c>
      <c r="P1556" s="60" t="s">
        <v>518</v>
      </c>
      <c r="Q1556" s="62" t="n">
        <v>54</v>
      </c>
      <c r="R1556" s="65" t="n">
        <f aca="false">IF(CA1556=1,0,IFERROR(VLOOKUP(BY1556,'Gebinde-Kategorie'!$A$5:$N$45,13,0)+0,0))</f>
        <v>52</v>
      </c>
      <c r="S1556" s="66"/>
      <c r="T1556" s="67"/>
      <c r="U1556" s="67"/>
      <c r="V1556" s="67"/>
      <c r="W1556" s="60"/>
      <c r="X1556" s="62"/>
      <c r="Y1556" s="62"/>
      <c r="Z1556" s="60" t="n">
        <v>1</v>
      </c>
      <c r="AA1556" s="60" t="n">
        <f aca="false">IF(A1556="","",IF(AND(Parameter!$B$21="Ja",ISNUMBER(W1556)),W1556,IF(AND(Parameter!$E$27="Ja",ISNUMBER(Z1556),CD1556&lt;&gt;"Nein"),Z1556,IF(CD1556="2+3",IF(ISNUMBER(SEARCH("grosser Artikel",BV1556)),2,IFERROR(VLOOKUP(BY1556,Parameter!$F$35:$G$64,2,0),2)),IF(OR(CD1556="Nein",CD1556=""),"-",CD1556)))))</f>
        <v>1</v>
      </c>
      <c r="AB1556" s="67"/>
      <c r="AC1556" s="68"/>
      <c r="AD1556" s="62" t="n">
        <f aca="false">AW1556</f>
        <v>20</v>
      </c>
      <c r="AE1556" s="62" t="n">
        <f aca="false">MAX(AW1556,H1556)</f>
        <v>54</v>
      </c>
      <c r="AF1556" s="69"/>
      <c r="AG1556" s="62" t="n">
        <f aca="false">IF(LEFT(Cockpit!$C$5,1)="A",H1556,IF(Parameter!$E$30="MAX-Bestand",IF(CI1556=1,CJ1556,IF(LEFT(Cockpit!$C$5,1)="B",AM1556,MAX(AM1556,H1556))),ROUNDUP(AK1556,0)))</f>
        <v>54</v>
      </c>
      <c r="AH1556" s="62" t="n">
        <f aca="false">IF(CA1556=1,0,ROUNDUP(AG1556/BZ1556,0))</f>
        <v>1</v>
      </c>
      <c r="AI1556" s="64" t="n">
        <f aca="false">IF(CR1556&gt;0,CR1556*MAX(1,AG1556/X1556),IF(CA1556=1,IF(AG1556&lt;=0,0,CE1556*MAX(1,IF(H1556&gt;0,AG1556/H1556,1))),IF(R1556&gt;0,AH1556/R1556,0))/MAX(0.1,N(Parameter!$M$21)))</f>
        <v>0.0192307692307692</v>
      </c>
      <c r="AJ1556" s="62" t="n">
        <f aca="false">AI1556*CC1556</f>
        <v>2.98076923076923</v>
      </c>
      <c r="AK1556" s="63" t="n">
        <f aca="false">IF(LEFT(Cockpit!$C$5,1)="A",H1556,IF(CI1556=1,(CL1556+CJ1556)/2,IF(LEFT(Cockpit!$C$5,1)="B",(CL1556+AM1556)/2,MAX((CL1556+AM1556)/2,H1556))))</f>
        <v>54</v>
      </c>
      <c r="AL1556" s="62" t="n">
        <f aca="false">AK1556*G1556</f>
        <v>1467.18</v>
      </c>
      <c r="AM1556" s="62" t="n">
        <f aca="false">ROUNDUP(CL1556+MAX(CM1556,2*(J1556/IF(CH1556&gt;0,CH1556,MAX(0.1,N(Cockpit!$C$6)))-CL1556)),0)</f>
        <v>20</v>
      </c>
      <c r="AN1556" s="63" t="n">
        <f aca="false">IF(AJ1556&gt;0,J1556/AJ1556,-1)</f>
        <v>0</v>
      </c>
      <c r="AO1556" s="63" t="n">
        <f aca="false">IF(AND(OR(CG1556="L1",CG1556="L23",CG1556="LIFT"),AJ1556&gt;0),SUMIFS($AJ$7:$AJ$1843,$CG$7:$CG$1843,CG1556,$AN$7:$AN$1843,"&gt;"&amp;AN1556)+SUMIFS($AJ$7:$AJ$1843,$CG$7:$CG$1843,CG1556,$AN$7:$AN$1843,AN1556,$BX$7:$BX$1843,"&lt;="&amp;BX1556),"")</f>
        <v>30252.6477489083</v>
      </c>
      <c r="AP1556" s="70" t="n">
        <f aca="false">IF(AO1556="",0,MAX(0,MIN(1,(IF(CG1556="L1",Parameter!$H$5,IF(CG1556="L23",Parameter!$H$6+Parameter!$H$7,Parameter!$H$5+Parameter!$H$6+Parameter!$H$7))-(AO1556-AJ1556))/AJ1556)))</f>
        <v>1</v>
      </c>
      <c r="AQ1556" s="62" t="n">
        <f aca="false">IF(LEFT(Cockpit!$I$5,1)="A",H1556,IF(Parameter!$E$30="MAX-Bestand",IF(CI1556=1,CJ1556,IF(LEFT(Cockpit!$I$5,1)="B",AW1556,MAX(AW1556,H1556))),ROUNDUP(AU1556,0)))</f>
        <v>54</v>
      </c>
      <c r="AR1556" s="62" t="n">
        <f aca="false">IF(CA1556=1,0,ROUNDUP(AQ1556/BZ1556,0))</f>
        <v>1</v>
      </c>
      <c r="AS1556" s="64" t="n">
        <f aca="false">IF(CR1556&gt;0,CR1556*MAX(1,AQ1556/X1556),IF(CA1556=1,IF(AQ1556&lt;=0,0,CE1556*MAX(1,IF(H1556&gt;0,AQ1556/H1556,1))),IF(R1556&gt;0,AR1556/R1556,0))/MAX(0.1,N(Parameter!$M$21)))</f>
        <v>0.0192307692307692</v>
      </c>
      <c r="AT1556" s="62" t="n">
        <f aca="false">AS1556*CC1556</f>
        <v>2.98076923076923</v>
      </c>
      <c r="AU1556" s="63" t="n">
        <f aca="false">IF(LEFT(Cockpit!$I$5,1)="A",H1556,IF(CI1556=1,(CL1556+CJ1556)/2,IF(LEFT(Cockpit!$I$5,1)="B",(CL1556+AW1556)/2,MAX((CL1556+AW1556)/2,H1556))))</f>
        <v>54</v>
      </c>
      <c r="AV1556" s="62" t="n">
        <f aca="false">AU1556*G1556</f>
        <v>1467.18</v>
      </c>
      <c r="AW1556" s="62" t="n">
        <f aca="false">ROUNDUP(CL1556+MAX(CM1556,2*(J1556/IF(CH1556&gt;0,CH1556,MAX(0.1,N(Cockpit!$I$6)))-CL1556)),0)</f>
        <v>20</v>
      </c>
      <c r="AX1556" s="63" t="n">
        <f aca="false">IF(AT1556&gt;0,J1556/AT1556,-1)</f>
        <v>0</v>
      </c>
      <c r="AY1556" s="63" t="n">
        <f aca="false">IF(AND(OR(CG1556="L1",CG1556="L23",CG1556="LIFT"),AT1556&gt;0),SUMIFS($AT$7:$AT$1843,$CG$7:$CG$1843,CG1556,$AX$7:$AX$1843,"&gt;"&amp;AX1556)+SUMIFS($AT$7:$AT$1843,$CG$7:$CG$1843,CG1556,$AX$7:$AX$1843,AX1556,$BX$7:$BX$1843,"&lt;="&amp;BX1556),"")</f>
        <v>36572.5042657437</v>
      </c>
      <c r="AZ1556" s="70" t="n">
        <f aca="false">IF(AY1556="",0,MAX(0,MIN(1,(IF(CG1556="L1",Parameter!$H$5,IF(CG1556="L23",Parameter!$H$6+Parameter!$H$7,Parameter!$H$5+Parameter!$H$6+Parameter!$H$7))-(AY1556-AT1556))/AT1556)))</f>
        <v>0</v>
      </c>
      <c r="BA1556" s="62" t="n">
        <f aca="false">IF(LEFT(Cockpit!$O$5,1)="A",H1556,IF(Parameter!$E$30="MAX-Bestand",IF(CI1556=1,CJ1556,IF(LEFT(Cockpit!$O$5,1)="B",BG1556,MAX(BG1556,H1556))),ROUNDUP(BE1556,0)))</f>
        <v>10</v>
      </c>
      <c r="BB1556" s="62" t="n">
        <f aca="false">IF(CA1556=1,0,ROUNDUP(BA1556/BZ1556,0))</f>
        <v>1</v>
      </c>
      <c r="BC1556" s="64" t="n">
        <f aca="false">IF(CR1556&gt;0,CR1556*MAX(1,BA1556/X1556),IF(CA1556=1,IF(BA1556&lt;=0,0,CE1556*MAX(1,IF(H1556&gt;0,BA1556/H1556,1))),IF(R1556&gt;0,BB1556/R1556,0))/MAX(0.1,N(Parameter!$M$21)))</f>
        <v>0.0192307692307692</v>
      </c>
      <c r="BD1556" s="62" t="n">
        <f aca="false">BC1556*CC1556</f>
        <v>2.98076923076923</v>
      </c>
      <c r="BE1556" s="63" t="n">
        <f aca="false">IF(LEFT(Cockpit!$O$5,1)="A",H1556,IF(CI1556=1,(CL1556+CJ1556)/2,IF(LEFT(Cockpit!$O$5,1)="B",(CL1556+BG1556)/2,MAX((CL1556+BG1556)/2,H1556))))</f>
        <v>10</v>
      </c>
      <c r="BF1556" s="62" t="n">
        <f aca="false">BE1556*G1556</f>
        <v>271.7</v>
      </c>
      <c r="BG1556" s="62" t="n">
        <f aca="false">ROUNDUP(CL1556+MAX(CM1556,2*(J1556/IF(CH1556&gt;0,CH1556,MAX(0.1,N(Cockpit!$O$6)))-CL1556)),0)</f>
        <v>20</v>
      </c>
      <c r="BH1556" s="63" t="n">
        <f aca="false">IF(BD1556&gt;0,J1556/BD1556,-1)</f>
        <v>0</v>
      </c>
      <c r="BI1556" s="63" t="n">
        <f aca="false">IF(AND(OR(CG1556="L1",CG1556="L23",CG1556="LIFT"),BD1556&gt;0),SUMIFS($BD$7:$BD$1843,$CG$7:$CG$1843,CG1556,$BH$7:$BH$1843,"&gt;"&amp;BH1556)+SUMIFS($BD$7:$BD$1843,$CG$7:$CG$1843,CG1556,$BH$7:$BH$1843,BH1556,$BX$7:$BX$1843,"&lt;="&amp;BX1556),"")</f>
        <v>30481.9455412761</v>
      </c>
      <c r="BJ1556" s="70" t="n">
        <f aca="false">IF(BI1556="",0,MAX(0,MIN(1,(IF(CG1556="L1",Parameter!$H$5,IF(CG1556="L23",Parameter!$H$6+Parameter!$H$7,Parameter!$H$5+Parameter!$H$6+Parameter!$H$7))-(BI1556-BD1556))/BD1556)))</f>
        <v>1</v>
      </c>
      <c r="BK1556" s="60" t="str">
        <f aca="false">IF(AJ1556&lt;=0,"",IF(CG1556="Aussen","Aussenlager",IF(CG1556="-","Nicht im Lift",IF(AP1556&gt;=1,"Lift",IF(AP1556&lt;=0,"Aussenlager","teilweise")))))</f>
        <v>Lift</v>
      </c>
      <c r="BL1556" s="60" t="str">
        <f aca="false">IF(AT1556&lt;=0,"",IF(CG1556="Aussen","Aussenlager",IF(CG1556="-","Nicht im Lift",IF(AZ1556&gt;=1,"Lift",IF(AZ1556&lt;=0,"Aussenlager","teilweise")))))</f>
        <v>Aussenlager</v>
      </c>
      <c r="BM1556" s="60" t="str">
        <f aca="false">IF(BD1556&lt;=0,"",IF(CG1556="Aussen","Aussenlager",IF(CG1556="-","Nicht im Lift",IF(BJ1556&gt;=1,"Lift",IF(BJ1556&lt;=0,"Aussenlager","teilweise")))))</f>
        <v>Lift</v>
      </c>
      <c r="BN1556" s="60" t="str">
        <f aca="false">IF(A1556="","",IF(BW1556=1,"Neu; ","")&amp;IF(AND(BW1556=0,BR1556&lt;0),"negativer Bestand (Export "&amp;BR1556&amp;"); ","")&amp;IF(J1556&lt;=0,"Kein Verbrauch; ","")&amp;IF(CR1556&gt;0,"Lift "&amp;W1556&amp;" lt. Liftbericht (Fach "&amp;X1556&amp;" Stk); ",IF(CB1556=1,"Gebinde geschätzt ("&amp;T1556&amp;"); ",IF(CA1556=1,"Lose – Tablare geschätzt; ","")))&amp;IF(H1556&gt;AW1556,"Überbestand "&amp;ROUND(H1556-AW1556,0)&amp;" Stk / CHF "&amp;ROUND((H1556-AW1556)*G1556,0)&amp;"; ","")&amp;IF(AND(CI1556=1,CJ1556&lt;CK1556),"MAX &lt; MB+LG; ","")&amp;IF(AND(CQ1556&gt;0,CP1556*10&gt;CQ1556),"zu hoch für Tablar; ","")&amp;IF(AND(BW1556=0,OR(CI1556=1,AB1556&lt;&gt;"",U1556&lt;&gt;"",V1556&lt;&gt;"",AC1556&lt;&gt;"")),"manuell übersteuert; ","")&amp;IF(AND(CA1556=0,R1556=0),"Gebinde unbekannt / Stellmass fehlt; ","")&amp;IF(AND(CA1556=0,N(V1556)&lt;=0,N(Q1556)&lt;=0),"Menge pro Gebinde fehlt (Ist = 1 Gebinde); ","")&amp;BV1556)</f>
        <v>Kein Verbrauch; Überbestand 34 Stk / CHF 924; nur im Artikelstamm (Bestand 23.06.2026)</v>
      </c>
      <c r="BO1556" s="60"/>
      <c r="BP1556" s="60"/>
      <c r="BQ1556" s="67"/>
      <c r="BR1556" s="62" t="n">
        <v>54</v>
      </c>
      <c r="BS1556" s="62" t="n">
        <v>0</v>
      </c>
      <c r="BT1556" s="61" t="n">
        <v>0</v>
      </c>
      <c r="BU1556" s="62" t="n">
        <v>0</v>
      </c>
      <c r="BV1556" s="60" t="s">
        <v>2617</v>
      </c>
      <c r="BW1556" s="65" t="n">
        <v>0</v>
      </c>
      <c r="BX1556" s="65" t="n">
        <v>1556</v>
      </c>
      <c r="BY1556" s="60" t="str">
        <f aca="false">IF(U1556&lt;&gt;"",UPPER(TRIM(U1556)),IF(CB1556=1,UPPER(VLOOKUP(T1556,Parameter!$I$27:$K$29,2,0)),IF(P1556="","LOSE",P1556)))</f>
        <v>S33</v>
      </c>
      <c r="BZ1556" s="62" t="n">
        <f aca="false">IF(BY1556="LOSE",1,IF(N(V1556)&gt;0,V1556,IF(CB1556=1,MAX(1,N(VLOOKUP(T1556,Parameter!$I$27:$K$29,3,0)),H1556,N(N1556)),IF(N(Q1556)&gt;0,Q1556,MAX(1,H1556)))))</f>
        <v>54</v>
      </c>
      <c r="CA1556" s="65" t="n">
        <f aca="false">IF(BY1556="LOSE",1,0)</f>
        <v>0</v>
      </c>
      <c r="CB1556" s="65" t="n">
        <f aca="false">IF(AND(U1556="",OR(P1556="",P1556="LOSE"),T1556&lt;&gt;"",N(S1556)&lt;=0,ISNUMBER(MATCH(T1556,Parameter!$I$27:$I$29,0))),1,0)</f>
        <v>0</v>
      </c>
      <c r="CC1556" s="65" t="n">
        <f aca="false">IF(CR1556&gt;0,INDEX(Parameter!$H$5:$H$7,W1556)/INDEX(Parameter!$E$5:$E$7,W1556),IF(AND(CA1556=0,N(IFERROR(VLOOKUP(BY1556,'Gebinde-Kategorie'!$A$5:$N$45,14,0),0))&gt;0),VLOOKUP(BY1556,'Gebinde-Kategorie'!$A$5:$N$45,14,0)*10+Parameter!$M$23,Parameter!$M$24))</f>
        <v>155</v>
      </c>
      <c r="CD1556" s="60" t="str">
        <f aca="false">IF(AND(Parameter!$B$19="Ja",E1556&lt;&gt;"",ISNUMBER(MATCH(E1556,Parameter!$I$35:$I$52,0))),VLOOKUP(E1556,Parameter!$I$35:$J$52,2,0),IFERROR(VLOOKUP(D1556,Parameter!$A$35:$C$64,2,0),"Nein"))</f>
        <v>2+3</v>
      </c>
      <c r="CE1556" s="64" t="n">
        <f aca="false">IF(CA1556=0,0,IF(N(S1556)&gt;0,S1556,IFERROR(VLOOKUP(D1556,Parameter!$A$35:$C$64,3,0)+0,0)))</f>
        <v>0</v>
      </c>
      <c r="CF1556" s="60" t="n">
        <f aca="false">IF(AB1556&lt;&gt;"",AB1556,AA1556)</f>
        <v>1</v>
      </c>
      <c r="CG1556" s="60" t="str">
        <f aca="false">IF(OR(CF1556=1,CF1556=2,CF1556=3),IF(Parameter!$E$27="Ja","LIFT",IF(CF1556=1,"L1","L23")),IF(CF1556="Aussen","Aussen","-"))</f>
        <v>LIFT</v>
      </c>
      <c r="CH1556" s="71" t="n">
        <f aca="false">IF(N(AC1556)&gt;0,AC1556,0)</f>
        <v>0</v>
      </c>
      <c r="CI1556" s="65" t="n">
        <f aca="false">IF(ISNUMBER(AF1556),1,0)</f>
        <v>0</v>
      </c>
      <c r="CJ1556" s="62" t="n">
        <f aca="false">N(AF1556)</f>
        <v>0</v>
      </c>
      <c r="CK1556" s="62" t="n">
        <f aca="false">N(M1556)+N(N1556)</f>
        <v>20</v>
      </c>
      <c r="CL1556" s="62" t="n">
        <f aca="false">N(M1556)</f>
        <v>0</v>
      </c>
      <c r="CM1556" s="62" t="n">
        <f aca="false">N(N1556)</f>
        <v>20</v>
      </c>
      <c r="CN1556" s="62" t="n">
        <f aca="false">ROUNDUP(H1556/BZ1556,0)</f>
        <v>1</v>
      </c>
      <c r="CO1556" s="62" t="n">
        <f aca="false">ROUNDUP(CJ1556/BZ1556,0)</f>
        <v>0</v>
      </c>
      <c r="CP1556" s="65" t="n">
        <f aca="false">IF(CA1556=1,0,IFERROR(VLOOKUP(BY1556,'Gebinde-Kategorie'!$A$5:$N$45,5,0)+0,0))</f>
        <v>8</v>
      </c>
      <c r="CQ1556" s="65" t="n">
        <f aca="false">IFERROR(IF(OR(CF1556=1,CF1556=2,CF1556=3),N(INDEX(Parameter!$I$5:$I$7,CF1556)),0),0)</f>
        <v>0</v>
      </c>
      <c r="CR1556" s="64" t="n">
        <f aca="false">IF(AND(Parameter!$B$21="Ja",ISNUMBER(W1556),N(X1556)&gt;0),IFERROR(N(INDEX(Parameter!$L$5:$L$7,W1556))*INDEX(Parameter!$E$5:$E$7,W1556)*X1556/SUMIFS($X$7:$X$1843,$W$7:$W$1843,W1556),0),0)</f>
        <v>0</v>
      </c>
      <c r="CS1556" s="62" t="n">
        <f aca="false">IF(AND(OR(CG1556="L1",CG1556="L23",CG1556="LIFT"),H1556&gt;0),CC1556*IF(CR1556&gt;0,CR1556*MAX(1,H1556/X1556),IF(CA1556=1,CE1556,IF(R1556&gt;0,CN1556/R1556,0))/MAX(0.1,N(Parameter!$M$21))),"")</f>
        <v>2.98076923076923</v>
      </c>
      <c r="CT1556" s="64" t="n">
        <f aca="false">IF(CS1556="","",J1556/H1556)</f>
        <v>0</v>
      </c>
      <c r="CU1556" s="62" t="n">
        <f aca="false">IF(CS1556="","",H1556*G1556)</f>
        <v>1467.18</v>
      </c>
      <c r="CV1556" s="63" t="n">
        <f aca="false">IF(CS1556="","",(CL1556+ROUNDUP(CL1556+MAX(CM1556,2*(J1556/MAX(0.1,N(Einkauf!$C$6))-CL1556)),0))/2)</f>
        <v>10</v>
      </c>
      <c r="CW1556" s="62" t="n">
        <f aca="false">IF(CS1556="","",MAX(0,H1556-CV1556)*G1556)</f>
        <v>1195.48</v>
      </c>
      <c r="CX1556" s="62" t="n">
        <f aca="false">IF(CS1556="","",CS1556*MAX(0,1-CV1556/H1556))</f>
        <v>2.42877492877493</v>
      </c>
      <c r="CY1556" s="64" t="n">
        <f aca="false">IF(CS1556="","",PERCENTRANK($CS$7:$CS$1843,CS1556)+PERCENTRANK($CU$7:$CU$1843,CU1556)+1-PERCENTRANK($CT$7:$CT$1843,CT1556))</f>
        <v>1.926</v>
      </c>
      <c r="CZ1556" s="72" t="n">
        <f aca="false">IF(CS1556="","",CHOOSE(MATCH(Einkauf!$C$5,Parameter!$G$23:$G$27,0),CY1556,CS1556,CU1556,-CT1556,CW1556)+ROW()/1000000000)</f>
        <v>1.926001556</v>
      </c>
    </row>
    <row r="1557" customFormat="false" ht="15" hidden="false" customHeight="false" outlineLevel="0" collapsed="false">
      <c r="A1557" s="60" t="s">
        <v>2761</v>
      </c>
      <c r="B1557" s="60" t="s">
        <v>2762</v>
      </c>
      <c r="C1557" s="60" t="s">
        <v>206</v>
      </c>
      <c r="D1557" s="60" t="s">
        <v>226</v>
      </c>
      <c r="E1557" s="60"/>
      <c r="F1557" s="60"/>
      <c r="G1557" s="61" t="n">
        <v>48.77</v>
      </c>
      <c r="H1557" s="62" t="n">
        <f aca="false">MAX(0,IF(AND(Parameter!$B$21="Ja",ISNUMBER(Y1557)),Y1557,IF(Parameter!$B$20="Jahresanfang 2025 + Export",BS1557+BR1557,BR1557)))</f>
        <v>5</v>
      </c>
      <c r="I1557" s="62" t="n">
        <f aca="false">H1557*G1557</f>
        <v>243.85</v>
      </c>
      <c r="J1557" s="62" t="n">
        <f aca="false">BU1557*Parameter!$B$18</f>
        <v>0</v>
      </c>
      <c r="K1557" s="63"/>
      <c r="L1557" s="64"/>
      <c r="M1557" s="62" t="n">
        <v>0</v>
      </c>
      <c r="N1557" s="62" t="n">
        <v>1</v>
      </c>
      <c r="O1557" s="65" t="n">
        <v>0</v>
      </c>
      <c r="P1557" s="60" t="s">
        <v>210</v>
      </c>
      <c r="Q1557" s="62"/>
      <c r="R1557" s="65" t="n">
        <f aca="false">IF(CA1557=1,0,IFERROR(VLOOKUP(BY1557,'Gebinde-Kategorie'!$A$5:$N$45,13,0)+0,0))</f>
        <v>26</v>
      </c>
      <c r="S1557" s="66"/>
      <c r="T1557" s="67" t="s">
        <v>317</v>
      </c>
      <c r="U1557" s="67"/>
      <c r="V1557" s="67"/>
      <c r="W1557" s="60"/>
      <c r="X1557" s="62"/>
      <c r="Y1557" s="62"/>
      <c r="Z1557" s="60" t="n">
        <v>3</v>
      </c>
      <c r="AA1557" s="60" t="n">
        <f aca="false">IF(A1557="","",IF(AND(Parameter!$B$21="Ja",ISNUMBER(W1557)),W1557,IF(AND(Parameter!$E$27="Ja",ISNUMBER(Z1557),CD1557&lt;&gt;"Nein"),Z1557,IF(CD1557="2+3",IF(ISNUMBER(SEARCH("grosser Artikel",BV1557)),2,IFERROR(VLOOKUP(BY1557,Parameter!$F$35:$G$64,2,0),2)),IF(OR(CD1557="Nein",CD1557=""),"-",CD1557)))))</f>
        <v>3</v>
      </c>
      <c r="AB1557" s="67"/>
      <c r="AC1557" s="68"/>
      <c r="AD1557" s="62" t="n">
        <f aca="false">AW1557</f>
        <v>1</v>
      </c>
      <c r="AE1557" s="62" t="n">
        <f aca="false">MAX(AW1557,H1557)</f>
        <v>5</v>
      </c>
      <c r="AF1557" s="69"/>
      <c r="AG1557" s="62" t="n">
        <f aca="false">IF(LEFT(Cockpit!$C$5,1)="A",H1557,IF(Parameter!$E$30="MAX-Bestand",IF(CI1557=1,CJ1557,IF(LEFT(Cockpit!$C$5,1)="B",AM1557,MAX(AM1557,H1557))),ROUNDUP(AK1557,0)))</f>
        <v>5</v>
      </c>
      <c r="AH1557" s="62" t="n">
        <f aca="false">IF(CA1557=1,0,ROUNDUP(AG1557/BZ1557,0))</f>
        <v>1</v>
      </c>
      <c r="AI1557" s="64" t="n">
        <f aca="false">IF(CR1557&gt;0,CR1557*MAX(1,AG1557/X1557),IF(CA1557=1,IF(AG1557&lt;=0,0,CE1557*MAX(1,IF(H1557&gt;0,AG1557/H1557,1))),IF(R1557&gt;0,AH1557/R1557,0))/MAX(0.1,N(Parameter!$M$21)))</f>
        <v>0.0384615384615385</v>
      </c>
      <c r="AJ1557" s="62" t="n">
        <f aca="false">AI1557*CC1557</f>
        <v>5.96153846153846</v>
      </c>
      <c r="AK1557" s="63" t="n">
        <f aca="false">IF(LEFT(Cockpit!$C$5,1)="A",H1557,IF(CI1557=1,(CL1557+CJ1557)/2,IF(LEFT(Cockpit!$C$5,1)="B",(CL1557+AM1557)/2,MAX((CL1557+AM1557)/2,H1557))))</f>
        <v>5</v>
      </c>
      <c r="AL1557" s="62" t="n">
        <f aca="false">AK1557*G1557</f>
        <v>243.85</v>
      </c>
      <c r="AM1557" s="62" t="n">
        <f aca="false">ROUNDUP(CL1557+MAX(CM1557,2*(J1557/IF(CH1557&gt;0,CH1557,MAX(0.1,N(Cockpit!$C$6)))-CL1557)),0)</f>
        <v>1</v>
      </c>
      <c r="AN1557" s="63" t="n">
        <f aca="false">IF(AJ1557&gt;0,J1557/AJ1557,-1)</f>
        <v>0</v>
      </c>
      <c r="AO1557" s="63" t="n">
        <f aca="false">IF(AND(OR(CG1557="L1",CG1557="L23",CG1557="LIFT"),AJ1557&gt;0),SUMIFS($AJ$7:$AJ$1843,$CG$7:$CG$1843,CG1557,$AN$7:$AN$1843,"&gt;"&amp;AN1557)+SUMIFS($AJ$7:$AJ$1843,$CG$7:$CG$1843,CG1557,$AN$7:$AN$1843,AN1557,$BX$7:$BX$1843,"&lt;="&amp;BX1557),"")</f>
        <v>30258.6092873699</v>
      </c>
      <c r="AP1557" s="70" t="n">
        <f aca="false">IF(AO1557="",0,MAX(0,MIN(1,(IF(CG1557="L1",Parameter!$H$5,IF(CG1557="L23",Parameter!$H$6+Parameter!$H$7,Parameter!$H$5+Parameter!$H$6+Parameter!$H$7))-(AO1557-AJ1557))/AJ1557)))</f>
        <v>1</v>
      </c>
      <c r="AQ1557" s="62" t="n">
        <f aca="false">IF(LEFT(Cockpit!$I$5,1)="A",H1557,IF(Parameter!$E$30="MAX-Bestand",IF(CI1557=1,CJ1557,IF(LEFT(Cockpit!$I$5,1)="B",AW1557,MAX(AW1557,H1557))),ROUNDUP(AU1557,0)))</f>
        <v>5</v>
      </c>
      <c r="AR1557" s="62" t="n">
        <f aca="false">IF(CA1557=1,0,ROUNDUP(AQ1557/BZ1557,0))</f>
        <v>1</v>
      </c>
      <c r="AS1557" s="64" t="n">
        <f aca="false">IF(CR1557&gt;0,CR1557*MAX(1,AQ1557/X1557),IF(CA1557=1,IF(AQ1557&lt;=0,0,CE1557*MAX(1,IF(H1557&gt;0,AQ1557/H1557,1))),IF(R1557&gt;0,AR1557/R1557,0))/MAX(0.1,N(Parameter!$M$21)))</f>
        <v>0.0384615384615385</v>
      </c>
      <c r="AT1557" s="62" t="n">
        <f aca="false">AS1557*CC1557</f>
        <v>5.96153846153846</v>
      </c>
      <c r="AU1557" s="63" t="n">
        <f aca="false">IF(LEFT(Cockpit!$I$5,1)="A",H1557,IF(CI1557=1,(CL1557+CJ1557)/2,IF(LEFT(Cockpit!$I$5,1)="B",(CL1557+AW1557)/2,MAX((CL1557+AW1557)/2,H1557))))</f>
        <v>5</v>
      </c>
      <c r="AV1557" s="62" t="n">
        <f aca="false">AU1557*G1557</f>
        <v>243.85</v>
      </c>
      <c r="AW1557" s="62" t="n">
        <f aca="false">ROUNDUP(CL1557+MAX(CM1557,2*(J1557/IF(CH1557&gt;0,CH1557,MAX(0.1,N(Cockpit!$I$6)))-CL1557)),0)</f>
        <v>1</v>
      </c>
      <c r="AX1557" s="63" t="n">
        <f aca="false">IF(AT1557&gt;0,J1557/AT1557,-1)</f>
        <v>0</v>
      </c>
      <c r="AY1557" s="63" t="n">
        <f aca="false">IF(AND(OR(CG1557="L1",CG1557="L23",CG1557="LIFT"),AT1557&gt;0),SUMIFS($AT$7:$AT$1843,$CG$7:$CG$1843,CG1557,$AX$7:$AX$1843,"&gt;"&amp;AX1557)+SUMIFS($AT$7:$AT$1843,$CG$7:$CG$1843,CG1557,$AX$7:$AX$1843,AX1557,$BX$7:$BX$1843,"&lt;="&amp;BX1557),"")</f>
        <v>36578.4658042052</v>
      </c>
      <c r="AZ1557" s="70" t="n">
        <f aca="false">IF(AY1557="",0,MAX(0,MIN(1,(IF(CG1557="L1",Parameter!$H$5,IF(CG1557="L23",Parameter!$H$6+Parameter!$H$7,Parameter!$H$5+Parameter!$H$6+Parameter!$H$7))-(AY1557-AT1557))/AT1557)))</f>
        <v>0</v>
      </c>
      <c r="BA1557" s="62" t="n">
        <f aca="false">IF(LEFT(Cockpit!$O$5,1)="A",H1557,IF(Parameter!$E$30="MAX-Bestand",IF(CI1557=1,CJ1557,IF(LEFT(Cockpit!$O$5,1)="B",BG1557,MAX(BG1557,H1557))),ROUNDUP(BE1557,0)))</f>
        <v>1</v>
      </c>
      <c r="BB1557" s="62" t="n">
        <f aca="false">IF(CA1557=1,0,ROUNDUP(BA1557/BZ1557,0))</f>
        <v>1</v>
      </c>
      <c r="BC1557" s="64" t="n">
        <f aca="false">IF(CR1557&gt;0,CR1557*MAX(1,BA1557/X1557),IF(CA1557=1,IF(BA1557&lt;=0,0,CE1557*MAX(1,IF(H1557&gt;0,BA1557/H1557,1))),IF(R1557&gt;0,BB1557/R1557,0))/MAX(0.1,N(Parameter!$M$21)))</f>
        <v>0.0384615384615385</v>
      </c>
      <c r="BD1557" s="62" t="n">
        <f aca="false">BC1557*CC1557</f>
        <v>5.96153846153846</v>
      </c>
      <c r="BE1557" s="63" t="n">
        <f aca="false">IF(LEFT(Cockpit!$O$5,1)="A",H1557,IF(CI1557=1,(CL1557+CJ1557)/2,IF(LEFT(Cockpit!$O$5,1)="B",(CL1557+BG1557)/2,MAX((CL1557+BG1557)/2,H1557))))</f>
        <v>0.5</v>
      </c>
      <c r="BF1557" s="62" t="n">
        <f aca="false">BE1557*G1557</f>
        <v>24.385</v>
      </c>
      <c r="BG1557" s="62" t="n">
        <f aca="false">ROUNDUP(CL1557+MAX(CM1557,2*(J1557/IF(CH1557&gt;0,CH1557,MAX(0.1,N(Cockpit!$O$6)))-CL1557)),0)</f>
        <v>1</v>
      </c>
      <c r="BH1557" s="63" t="n">
        <f aca="false">IF(BD1557&gt;0,J1557/BD1557,-1)</f>
        <v>0</v>
      </c>
      <c r="BI1557" s="63" t="n">
        <f aca="false">IF(AND(OR(CG1557="L1",CG1557="L23",CG1557="LIFT"),BD1557&gt;0),SUMIFS($BD$7:$BD$1843,$CG$7:$CG$1843,CG1557,$BH$7:$BH$1843,"&gt;"&amp;BH1557)+SUMIFS($BD$7:$BD$1843,$CG$7:$CG$1843,CG1557,$BH$7:$BH$1843,BH1557,$BX$7:$BX$1843,"&lt;="&amp;BX1557),"")</f>
        <v>30487.9070797376</v>
      </c>
      <c r="BJ1557" s="70" t="n">
        <f aca="false">IF(BI1557="",0,MAX(0,MIN(1,(IF(CG1557="L1",Parameter!$H$5,IF(CG1557="L23",Parameter!$H$6+Parameter!$H$7,Parameter!$H$5+Parameter!$H$6+Parameter!$H$7))-(BI1557-BD1557))/BD1557)))</f>
        <v>1</v>
      </c>
      <c r="BK1557" s="60" t="str">
        <f aca="false">IF(AJ1557&lt;=0,"",IF(CG1557="Aussen","Aussenlager",IF(CG1557="-","Nicht im Lift",IF(AP1557&gt;=1,"Lift",IF(AP1557&lt;=0,"Aussenlager","teilweise")))))</f>
        <v>Lift</v>
      </c>
      <c r="BL1557" s="60" t="str">
        <f aca="false">IF(AT1557&lt;=0,"",IF(CG1557="Aussen","Aussenlager",IF(CG1557="-","Nicht im Lift",IF(AZ1557&gt;=1,"Lift",IF(AZ1557&lt;=0,"Aussenlager","teilweise")))))</f>
        <v>Aussenlager</v>
      </c>
      <c r="BM1557" s="60" t="str">
        <f aca="false">IF(BD1557&lt;=0,"",IF(CG1557="Aussen","Aussenlager",IF(CG1557="-","Nicht im Lift",IF(BJ1557&gt;=1,"Lift",IF(BJ1557&lt;=0,"Aussenlager","teilweise")))))</f>
        <v>Lift</v>
      </c>
      <c r="BN1557" s="60" t="str">
        <f aca="false">IF(A1557="","",IF(BW1557=1,"Neu; ","")&amp;IF(AND(BW1557=0,BR1557&lt;0),"negativer Bestand (Export "&amp;BR1557&amp;"); ","")&amp;IF(J1557&lt;=0,"Kein Verbrauch; ","")&amp;IF(CR1557&gt;0,"Lift "&amp;W1557&amp;" lt. Liftbericht (Fach "&amp;X1557&amp;" Stk); ",IF(CB1557=1,"Gebinde geschätzt ("&amp;T1557&amp;"); ",IF(CA1557=1,"Lose – Tablare geschätzt; ","")))&amp;IF(H1557&gt;AW1557,"Überbestand "&amp;ROUND(H1557-AW1557,0)&amp;" Stk / CHF "&amp;ROUND((H1557-AW1557)*G1557,0)&amp;"; ","")&amp;IF(AND(CI1557=1,CJ1557&lt;CK1557),"MAX &lt; MB+LG; ","")&amp;IF(AND(CQ1557&gt;0,CP1557*10&gt;CQ1557),"zu hoch für Tablar; ","")&amp;IF(AND(BW1557=0,OR(CI1557=1,AB1557&lt;&gt;"",U1557&lt;&gt;"",V1557&lt;&gt;"",AC1557&lt;&gt;"")),"manuell übersteuert; ","")&amp;IF(AND(CA1557=0,R1557=0),"Gebinde unbekannt / Stellmass fehlt; ","")&amp;IF(AND(CA1557=0,N(V1557)&lt;=0,N(Q1557)&lt;=0),"Menge pro Gebinde fehlt (Ist = 1 Gebinde); ","")&amp;BV1557)</f>
        <v>Kein Verbrauch; Gebinde geschätzt (Klein); Überbestand 4 Stk / CHF 195; Menge pro Gebinde fehlt (Ist = 1 Gebinde); nur im Artikelstamm (Bestand 23.06.2026); Verb.Lager</v>
      </c>
      <c r="BO1557" s="60"/>
      <c r="BP1557" s="60"/>
      <c r="BQ1557" s="67"/>
      <c r="BR1557" s="62" t="n">
        <v>5</v>
      </c>
      <c r="BS1557" s="62" t="n">
        <v>0</v>
      </c>
      <c r="BT1557" s="61" t="n">
        <v>0</v>
      </c>
      <c r="BU1557" s="62" t="n">
        <v>0</v>
      </c>
      <c r="BV1557" s="60" t="s">
        <v>2611</v>
      </c>
      <c r="BW1557" s="65" t="n">
        <v>0</v>
      </c>
      <c r="BX1557" s="65" t="n">
        <v>1557</v>
      </c>
      <c r="BY1557" s="60" t="str">
        <f aca="false">IF(U1557&lt;&gt;"",UPPER(TRIM(U1557)),IF(CB1557=1,UPPER(VLOOKUP(T1557,Parameter!$I$27:$K$29,2,0)),IF(P1557="","LOSE",P1557)))</f>
        <v>S51</v>
      </c>
      <c r="BZ1557" s="62" t="n">
        <f aca="false">IF(BY1557="LOSE",1,IF(N(V1557)&gt;0,V1557,IF(CB1557=1,MAX(1,N(VLOOKUP(T1557,Parameter!$I$27:$K$29,3,0)),H1557,N(N1557)),IF(N(Q1557)&gt;0,Q1557,MAX(1,H1557)))))</f>
        <v>20</v>
      </c>
      <c r="CA1557" s="65" t="n">
        <f aca="false">IF(BY1557="LOSE",1,0)</f>
        <v>0</v>
      </c>
      <c r="CB1557" s="65" t="n">
        <f aca="false">IF(AND(U1557="",OR(P1557="",P1557="LOSE"),T1557&lt;&gt;"",N(S1557)&lt;=0,ISNUMBER(MATCH(T1557,Parameter!$I$27:$I$29,0))),1,0)</f>
        <v>1</v>
      </c>
      <c r="CC1557" s="65" t="n">
        <f aca="false">IF(CR1557&gt;0,INDEX(Parameter!$H$5:$H$7,W1557)/INDEX(Parameter!$E$5:$E$7,W1557),IF(AND(CA1557=0,N(IFERROR(VLOOKUP(BY1557,'Gebinde-Kategorie'!$A$5:$N$45,14,0),0))&gt;0),VLOOKUP(BY1557,'Gebinde-Kategorie'!$A$5:$N$45,14,0)*10+Parameter!$M$23,Parameter!$M$24))</f>
        <v>155</v>
      </c>
      <c r="CD1557" s="60" t="str">
        <f aca="false">IF(AND(Parameter!$B$19="Ja",E1557&lt;&gt;"",ISNUMBER(MATCH(E1557,Parameter!$I$35:$I$52,0))),VLOOKUP(E1557,Parameter!$I$35:$J$52,2,0),IFERROR(VLOOKUP(D1557,Parameter!$A$35:$C$64,2,0),"Nein"))</f>
        <v>2+3</v>
      </c>
      <c r="CE1557" s="64" t="n">
        <f aca="false">IF(CA1557=0,0,IF(N(S1557)&gt;0,S1557,IFERROR(VLOOKUP(D1557,Parameter!$A$35:$C$64,3,0)+0,0)))</f>
        <v>0</v>
      </c>
      <c r="CF1557" s="60" t="n">
        <f aca="false">IF(AB1557&lt;&gt;"",AB1557,AA1557)</f>
        <v>3</v>
      </c>
      <c r="CG1557" s="60" t="str">
        <f aca="false">IF(OR(CF1557=1,CF1557=2,CF1557=3),IF(Parameter!$E$27="Ja","LIFT",IF(CF1557=1,"L1","L23")),IF(CF1557="Aussen","Aussen","-"))</f>
        <v>LIFT</v>
      </c>
      <c r="CH1557" s="71" t="n">
        <f aca="false">IF(N(AC1557)&gt;0,AC1557,0)</f>
        <v>0</v>
      </c>
      <c r="CI1557" s="65" t="n">
        <f aca="false">IF(ISNUMBER(AF1557),1,0)</f>
        <v>0</v>
      </c>
      <c r="CJ1557" s="62" t="n">
        <f aca="false">N(AF1557)</f>
        <v>0</v>
      </c>
      <c r="CK1557" s="62" t="n">
        <f aca="false">N(M1557)+N(N1557)</f>
        <v>1</v>
      </c>
      <c r="CL1557" s="62" t="n">
        <f aca="false">N(M1557)</f>
        <v>0</v>
      </c>
      <c r="CM1557" s="62" t="n">
        <f aca="false">N(N1557)</f>
        <v>1</v>
      </c>
      <c r="CN1557" s="62" t="n">
        <f aca="false">ROUNDUP(H1557/BZ1557,0)</f>
        <v>1</v>
      </c>
      <c r="CO1557" s="62" t="n">
        <f aca="false">ROUNDUP(CJ1557/BZ1557,0)</f>
        <v>0</v>
      </c>
      <c r="CP1557" s="65" t="n">
        <f aca="false">IF(CA1557=1,0,IFERROR(VLOOKUP(BY1557,'Gebinde-Kategorie'!$A$5:$N$45,5,0)+0,0))</f>
        <v>11</v>
      </c>
      <c r="CQ1557" s="65" t="n">
        <f aca="false">IFERROR(IF(OR(CF1557=1,CF1557=2,CF1557=3),N(INDEX(Parameter!$I$5:$I$7,CF1557)),0),0)</f>
        <v>0</v>
      </c>
      <c r="CR1557" s="64" t="n">
        <f aca="false">IF(AND(Parameter!$B$21="Ja",ISNUMBER(W1557),N(X1557)&gt;0),IFERROR(N(INDEX(Parameter!$L$5:$L$7,W1557))*INDEX(Parameter!$E$5:$E$7,W1557)*X1557/SUMIFS($X$7:$X$1843,$W$7:$W$1843,W1557),0),0)</f>
        <v>0</v>
      </c>
      <c r="CS1557" s="62" t="n">
        <f aca="false">IF(AND(OR(CG1557="L1",CG1557="L23",CG1557="LIFT"),H1557&gt;0),CC1557*IF(CR1557&gt;0,CR1557*MAX(1,H1557/X1557),IF(CA1557=1,CE1557,IF(R1557&gt;0,CN1557/R1557,0))/MAX(0.1,N(Parameter!$M$21))),"")</f>
        <v>5.96153846153846</v>
      </c>
      <c r="CT1557" s="64" t="n">
        <f aca="false">IF(CS1557="","",J1557/H1557)</f>
        <v>0</v>
      </c>
      <c r="CU1557" s="62" t="n">
        <f aca="false">IF(CS1557="","",H1557*G1557)</f>
        <v>243.85</v>
      </c>
      <c r="CV1557" s="63" t="n">
        <f aca="false">IF(CS1557="","",(CL1557+ROUNDUP(CL1557+MAX(CM1557,2*(J1557/MAX(0.1,N(Einkauf!$C$6))-CL1557)),0))/2)</f>
        <v>0.5</v>
      </c>
      <c r="CW1557" s="62" t="n">
        <f aca="false">IF(CS1557="","",MAX(0,H1557-CV1557)*G1557)</f>
        <v>219.465</v>
      </c>
      <c r="CX1557" s="62" t="n">
        <f aca="false">IF(CS1557="","",CS1557*MAX(0,1-CV1557/H1557))</f>
        <v>5.36538461538462</v>
      </c>
      <c r="CY1557" s="64" t="n">
        <f aca="false">IF(CS1557="","",PERCENTRANK($CS$7:$CS$1843,CS1557)+PERCENTRANK($CU$7:$CU$1843,CU1557)+1-PERCENTRANK($CT$7:$CT$1843,CT1557))</f>
        <v>1.727</v>
      </c>
      <c r="CZ1557" s="72" t="n">
        <f aca="false">IF(CS1557="","",CHOOSE(MATCH(Einkauf!$C$5,Parameter!$G$23:$G$27,0),CY1557,CS1557,CU1557,-CT1557,CW1557)+ROW()/1000000000)</f>
        <v>1.727001557</v>
      </c>
    </row>
    <row r="1558" customFormat="false" ht="15" hidden="false" customHeight="false" outlineLevel="0" collapsed="false">
      <c r="A1558" s="60" t="s">
        <v>2763</v>
      </c>
      <c r="B1558" s="60" t="s">
        <v>2764</v>
      </c>
      <c r="C1558" s="60" t="s">
        <v>206</v>
      </c>
      <c r="D1558" s="60" t="s">
        <v>226</v>
      </c>
      <c r="E1558" s="60"/>
      <c r="F1558" s="60"/>
      <c r="G1558" s="61" t="n">
        <v>10.43</v>
      </c>
      <c r="H1558" s="62" t="n">
        <f aca="false">MAX(0,IF(AND(Parameter!$B$21="Ja",ISNUMBER(Y1558)),Y1558,IF(Parameter!$B$20="Jahresanfang 2025 + Export",BS1558+BR1558,BR1558)))</f>
        <v>2</v>
      </c>
      <c r="I1558" s="62" t="n">
        <f aca="false">H1558*G1558</f>
        <v>20.86</v>
      </c>
      <c r="J1558" s="62" t="n">
        <f aca="false">BU1558*Parameter!$B$18</f>
        <v>0</v>
      </c>
      <c r="K1558" s="63"/>
      <c r="L1558" s="64"/>
      <c r="M1558" s="62" t="n">
        <v>0</v>
      </c>
      <c r="N1558" s="62" t="n">
        <v>1</v>
      </c>
      <c r="O1558" s="65" t="n">
        <v>14</v>
      </c>
      <c r="P1558" s="60" t="s">
        <v>210</v>
      </c>
      <c r="Q1558" s="62"/>
      <c r="R1558" s="65" t="n">
        <f aca="false">IF(CA1558=1,0,IFERROR(VLOOKUP(BY1558,'Gebinde-Kategorie'!$A$5:$N$45,13,0)+0,0))</f>
        <v>26</v>
      </c>
      <c r="S1558" s="66"/>
      <c r="T1558" s="67" t="s">
        <v>317</v>
      </c>
      <c r="U1558" s="67"/>
      <c r="V1558" s="67"/>
      <c r="W1558" s="60"/>
      <c r="X1558" s="62"/>
      <c r="Y1558" s="62"/>
      <c r="Z1558" s="60" t="n">
        <v>3</v>
      </c>
      <c r="AA1558" s="60" t="n">
        <f aca="false">IF(A1558="","",IF(AND(Parameter!$B$21="Ja",ISNUMBER(W1558)),W1558,IF(AND(Parameter!$E$27="Ja",ISNUMBER(Z1558),CD1558&lt;&gt;"Nein"),Z1558,IF(CD1558="2+3",IF(ISNUMBER(SEARCH("grosser Artikel",BV1558)),2,IFERROR(VLOOKUP(BY1558,Parameter!$F$35:$G$64,2,0),2)),IF(OR(CD1558="Nein",CD1558=""),"-",CD1558)))))</f>
        <v>3</v>
      </c>
      <c r="AB1558" s="67"/>
      <c r="AC1558" s="68"/>
      <c r="AD1558" s="62" t="n">
        <f aca="false">AW1558</f>
        <v>1</v>
      </c>
      <c r="AE1558" s="62" t="n">
        <f aca="false">MAX(AW1558,H1558)</f>
        <v>2</v>
      </c>
      <c r="AF1558" s="69"/>
      <c r="AG1558" s="62" t="n">
        <f aca="false">IF(LEFT(Cockpit!$C$5,1)="A",H1558,IF(Parameter!$E$30="MAX-Bestand",IF(CI1558=1,CJ1558,IF(LEFT(Cockpit!$C$5,1)="B",AM1558,MAX(AM1558,H1558))),ROUNDUP(AK1558,0)))</f>
        <v>2</v>
      </c>
      <c r="AH1558" s="62" t="n">
        <f aca="false">IF(CA1558=1,0,ROUNDUP(AG1558/BZ1558,0))</f>
        <v>1</v>
      </c>
      <c r="AI1558" s="64" t="n">
        <f aca="false">IF(CR1558&gt;0,CR1558*MAX(1,AG1558/X1558),IF(CA1558=1,IF(AG1558&lt;=0,0,CE1558*MAX(1,IF(H1558&gt;0,AG1558/H1558,1))),IF(R1558&gt;0,AH1558/R1558,0))/MAX(0.1,N(Parameter!$M$21)))</f>
        <v>0.0384615384615385</v>
      </c>
      <c r="AJ1558" s="62" t="n">
        <f aca="false">AI1558*CC1558</f>
        <v>5.96153846153846</v>
      </c>
      <c r="AK1558" s="63" t="n">
        <f aca="false">IF(LEFT(Cockpit!$C$5,1)="A",H1558,IF(CI1558=1,(CL1558+CJ1558)/2,IF(LEFT(Cockpit!$C$5,1)="B",(CL1558+AM1558)/2,MAX((CL1558+AM1558)/2,H1558))))</f>
        <v>2</v>
      </c>
      <c r="AL1558" s="62" t="n">
        <f aca="false">AK1558*G1558</f>
        <v>20.86</v>
      </c>
      <c r="AM1558" s="62" t="n">
        <f aca="false">ROUNDUP(CL1558+MAX(CM1558,2*(J1558/IF(CH1558&gt;0,CH1558,MAX(0.1,N(Cockpit!$C$6)))-CL1558)),0)</f>
        <v>1</v>
      </c>
      <c r="AN1558" s="63" t="n">
        <f aca="false">IF(AJ1558&gt;0,J1558/AJ1558,-1)</f>
        <v>0</v>
      </c>
      <c r="AO1558" s="63" t="n">
        <f aca="false">IF(AND(OR(CG1558="L1",CG1558="L23",CG1558="LIFT"),AJ1558&gt;0),SUMIFS($AJ$7:$AJ$1843,$CG$7:$CG$1843,CG1558,$AN$7:$AN$1843,"&gt;"&amp;AN1558)+SUMIFS($AJ$7:$AJ$1843,$CG$7:$CG$1843,CG1558,$AN$7:$AN$1843,AN1558,$BX$7:$BX$1843,"&lt;="&amp;BX1558),"")</f>
        <v>30264.5708258314</v>
      </c>
      <c r="AP1558" s="70" t="n">
        <f aca="false">IF(AO1558="",0,MAX(0,MIN(1,(IF(CG1558="L1",Parameter!$H$5,IF(CG1558="L23",Parameter!$H$6+Parameter!$H$7,Parameter!$H$5+Parameter!$H$6+Parameter!$H$7))-(AO1558-AJ1558))/AJ1558)))</f>
        <v>1</v>
      </c>
      <c r="AQ1558" s="62" t="n">
        <f aca="false">IF(LEFT(Cockpit!$I$5,1)="A",H1558,IF(Parameter!$E$30="MAX-Bestand",IF(CI1558=1,CJ1558,IF(LEFT(Cockpit!$I$5,1)="B",AW1558,MAX(AW1558,H1558))),ROUNDUP(AU1558,0)))</f>
        <v>2</v>
      </c>
      <c r="AR1558" s="62" t="n">
        <f aca="false">IF(CA1558=1,0,ROUNDUP(AQ1558/BZ1558,0))</f>
        <v>1</v>
      </c>
      <c r="AS1558" s="64" t="n">
        <f aca="false">IF(CR1558&gt;0,CR1558*MAX(1,AQ1558/X1558),IF(CA1558=1,IF(AQ1558&lt;=0,0,CE1558*MAX(1,IF(H1558&gt;0,AQ1558/H1558,1))),IF(R1558&gt;0,AR1558/R1558,0))/MAX(0.1,N(Parameter!$M$21)))</f>
        <v>0.0384615384615385</v>
      </c>
      <c r="AT1558" s="62" t="n">
        <f aca="false">AS1558*CC1558</f>
        <v>5.96153846153846</v>
      </c>
      <c r="AU1558" s="63" t="n">
        <f aca="false">IF(LEFT(Cockpit!$I$5,1)="A",H1558,IF(CI1558=1,(CL1558+CJ1558)/2,IF(LEFT(Cockpit!$I$5,1)="B",(CL1558+AW1558)/2,MAX((CL1558+AW1558)/2,H1558))))</f>
        <v>2</v>
      </c>
      <c r="AV1558" s="62" t="n">
        <f aca="false">AU1558*G1558</f>
        <v>20.86</v>
      </c>
      <c r="AW1558" s="62" t="n">
        <f aca="false">ROUNDUP(CL1558+MAX(CM1558,2*(J1558/IF(CH1558&gt;0,CH1558,MAX(0.1,N(Cockpit!$I$6)))-CL1558)),0)</f>
        <v>1</v>
      </c>
      <c r="AX1558" s="63" t="n">
        <f aca="false">IF(AT1558&gt;0,J1558/AT1558,-1)</f>
        <v>0</v>
      </c>
      <c r="AY1558" s="63" t="n">
        <f aca="false">IF(AND(OR(CG1558="L1",CG1558="L23",CG1558="LIFT"),AT1558&gt;0),SUMIFS($AT$7:$AT$1843,$CG$7:$CG$1843,CG1558,$AX$7:$AX$1843,"&gt;"&amp;AX1558)+SUMIFS($AT$7:$AT$1843,$CG$7:$CG$1843,CG1558,$AX$7:$AX$1843,AX1558,$BX$7:$BX$1843,"&lt;="&amp;BX1558),"")</f>
        <v>36584.4273426668</v>
      </c>
      <c r="AZ1558" s="70" t="n">
        <f aca="false">IF(AY1558="",0,MAX(0,MIN(1,(IF(CG1558="L1",Parameter!$H$5,IF(CG1558="L23",Parameter!$H$6+Parameter!$H$7,Parameter!$H$5+Parameter!$H$6+Parameter!$H$7))-(AY1558-AT1558))/AT1558)))</f>
        <v>0</v>
      </c>
      <c r="BA1558" s="62" t="n">
        <f aca="false">IF(LEFT(Cockpit!$O$5,1)="A",H1558,IF(Parameter!$E$30="MAX-Bestand",IF(CI1558=1,CJ1558,IF(LEFT(Cockpit!$O$5,1)="B",BG1558,MAX(BG1558,H1558))),ROUNDUP(BE1558,0)))</f>
        <v>1</v>
      </c>
      <c r="BB1558" s="62" t="n">
        <f aca="false">IF(CA1558=1,0,ROUNDUP(BA1558/BZ1558,0))</f>
        <v>1</v>
      </c>
      <c r="BC1558" s="64" t="n">
        <f aca="false">IF(CR1558&gt;0,CR1558*MAX(1,BA1558/X1558),IF(CA1558=1,IF(BA1558&lt;=0,0,CE1558*MAX(1,IF(H1558&gt;0,BA1558/H1558,1))),IF(R1558&gt;0,BB1558/R1558,0))/MAX(0.1,N(Parameter!$M$21)))</f>
        <v>0.0384615384615385</v>
      </c>
      <c r="BD1558" s="62" t="n">
        <f aca="false">BC1558*CC1558</f>
        <v>5.96153846153846</v>
      </c>
      <c r="BE1558" s="63" t="n">
        <f aca="false">IF(LEFT(Cockpit!$O$5,1)="A",H1558,IF(CI1558=1,(CL1558+CJ1558)/2,IF(LEFT(Cockpit!$O$5,1)="B",(CL1558+BG1558)/2,MAX((CL1558+BG1558)/2,H1558))))</f>
        <v>0.5</v>
      </c>
      <c r="BF1558" s="62" t="n">
        <f aca="false">BE1558*G1558</f>
        <v>5.215</v>
      </c>
      <c r="BG1558" s="62" t="n">
        <f aca="false">ROUNDUP(CL1558+MAX(CM1558,2*(J1558/IF(CH1558&gt;0,CH1558,MAX(0.1,N(Cockpit!$O$6)))-CL1558)),0)</f>
        <v>1</v>
      </c>
      <c r="BH1558" s="63" t="n">
        <f aca="false">IF(BD1558&gt;0,J1558/BD1558,-1)</f>
        <v>0</v>
      </c>
      <c r="BI1558" s="63" t="n">
        <f aca="false">IF(AND(OR(CG1558="L1",CG1558="L23",CG1558="LIFT"),BD1558&gt;0),SUMIFS($BD$7:$BD$1843,$CG$7:$CG$1843,CG1558,$BH$7:$BH$1843,"&gt;"&amp;BH1558)+SUMIFS($BD$7:$BD$1843,$CG$7:$CG$1843,CG1558,$BH$7:$BH$1843,BH1558,$BX$7:$BX$1843,"&lt;="&amp;BX1558),"")</f>
        <v>30493.8686181991</v>
      </c>
      <c r="BJ1558" s="70" t="n">
        <f aca="false">IF(BI1558="",0,MAX(0,MIN(1,(IF(CG1558="L1",Parameter!$H$5,IF(CG1558="L23",Parameter!$H$6+Parameter!$H$7,Parameter!$H$5+Parameter!$H$6+Parameter!$H$7))-(BI1558-BD1558))/BD1558)))</f>
        <v>1</v>
      </c>
      <c r="BK1558" s="60" t="str">
        <f aca="false">IF(AJ1558&lt;=0,"",IF(CG1558="Aussen","Aussenlager",IF(CG1558="-","Nicht im Lift",IF(AP1558&gt;=1,"Lift",IF(AP1558&lt;=0,"Aussenlager","teilweise")))))</f>
        <v>Lift</v>
      </c>
      <c r="BL1558" s="60" t="str">
        <f aca="false">IF(AT1558&lt;=0,"",IF(CG1558="Aussen","Aussenlager",IF(CG1558="-","Nicht im Lift",IF(AZ1558&gt;=1,"Lift",IF(AZ1558&lt;=0,"Aussenlager","teilweise")))))</f>
        <v>Aussenlager</v>
      </c>
      <c r="BM1558" s="60" t="str">
        <f aca="false">IF(BD1558&lt;=0,"",IF(CG1558="Aussen","Aussenlager",IF(CG1558="-","Nicht im Lift",IF(BJ1558&gt;=1,"Lift",IF(BJ1558&lt;=0,"Aussenlager","teilweise")))))</f>
        <v>Lift</v>
      </c>
      <c r="BN1558" s="60" t="str">
        <f aca="false">IF(A1558="","",IF(BW1558=1,"Neu; ","")&amp;IF(AND(BW1558=0,BR1558&lt;0),"negativer Bestand (Export "&amp;BR1558&amp;"); ","")&amp;IF(J1558&lt;=0,"Kein Verbrauch; ","")&amp;IF(CR1558&gt;0,"Lift "&amp;W1558&amp;" lt. Liftbericht (Fach "&amp;X1558&amp;" Stk); ",IF(CB1558=1,"Gebinde geschätzt ("&amp;T1558&amp;"); ",IF(CA1558=1,"Lose – Tablare geschätzt; ","")))&amp;IF(H1558&gt;AW1558,"Überbestand "&amp;ROUND(H1558-AW1558,0)&amp;" Stk / CHF "&amp;ROUND((H1558-AW1558)*G1558,0)&amp;"; ","")&amp;IF(AND(CI1558=1,CJ1558&lt;CK1558),"MAX &lt; MB+LG; ","")&amp;IF(AND(CQ1558&gt;0,CP1558*10&gt;CQ1558),"zu hoch für Tablar; ","")&amp;IF(AND(BW1558=0,OR(CI1558=1,AB1558&lt;&gt;"",U1558&lt;&gt;"",V1558&lt;&gt;"",AC1558&lt;&gt;"")),"manuell übersteuert; ","")&amp;IF(AND(CA1558=0,R1558=0),"Gebinde unbekannt / Stellmass fehlt; ","")&amp;IF(AND(CA1558=0,N(V1558)&lt;=0,N(Q1558)&lt;=0),"Menge pro Gebinde fehlt (Ist = 1 Gebinde); ","")&amp;BV1558)</f>
        <v>Kein Verbrauch; Gebinde geschätzt (Klein); Überbestand 1 Stk / CHF 10; Menge pro Gebinde fehlt (Ist = 1 Gebinde); nur im Artikelstamm (Bestand 23.06.2026)</v>
      </c>
      <c r="BO1558" s="60"/>
      <c r="BP1558" s="60"/>
      <c r="BQ1558" s="67"/>
      <c r="BR1558" s="62" t="n">
        <v>2</v>
      </c>
      <c r="BS1558" s="62" t="n">
        <v>0</v>
      </c>
      <c r="BT1558" s="61" t="n">
        <v>0</v>
      </c>
      <c r="BU1558" s="62" t="n">
        <v>0</v>
      </c>
      <c r="BV1558" s="60" t="s">
        <v>2617</v>
      </c>
      <c r="BW1558" s="65" t="n">
        <v>0</v>
      </c>
      <c r="BX1558" s="65" t="n">
        <v>1558</v>
      </c>
      <c r="BY1558" s="60" t="str">
        <f aca="false">IF(U1558&lt;&gt;"",UPPER(TRIM(U1558)),IF(CB1558=1,UPPER(VLOOKUP(T1558,Parameter!$I$27:$K$29,2,0)),IF(P1558="","LOSE",P1558)))</f>
        <v>S51</v>
      </c>
      <c r="BZ1558" s="62" t="n">
        <f aca="false">IF(BY1558="LOSE",1,IF(N(V1558)&gt;0,V1558,IF(CB1558=1,MAX(1,N(VLOOKUP(T1558,Parameter!$I$27:$K$29,3,0)),H1558,N(N1558)),IF(N(Q1558)&gt;0,Q1558,MAX(1,H1558)))))</f>
        <v>20</v>
      </c>
      <c r="CA1558" s="65" t="n">
        <f aca="false">IF(BY1558="LOSE",1,0)</f>
        <v>0</v>
      </c>
      <c r="CB1558" s="65" t="n">
        <f aca="false">IF(AND(U1558="",OR(P1558="",P1558="LOSE"),T1558&lt;&gt;"",N(S1558)&lt;=0,ISNUMBER(MATCH(T1558,Parameter!$I$27:$I$29,0))),1,0)</f>
        <v>1</v>
      </c>
      <c r="CC1558" s="65" t="n">
        <f aca="false">IF(CR1558&gt;0,INDEX(Parameter!$H$5:$H$7,W1558)/INDEX(Parameter!$E$5:$E$7,W1558),IF(AND(CA1558=0,N(IFERROR(VLOOKUP(BY1558,'Gebinde-Kategorie'!$A$5:$N$45,14,0),0))&gt;0),VLOOKUP(BY1558,'Gebinde-Kategorie'!$A$5:$N$45,14,0)*10+Parameter!$M$23,Parameter!$M$24))</f>
        <v>155</v>
      </c>
      <c r="CD1558" s="60" t="str">
        <f aca="false">IF(AND(Parameter!$B$19="Ja",E1558&lt;&gt;"",ISNUMBER(MATCH(E1558,Parameter!$I$35:$I$52,0))),VLOOKUP(E1558,Parameter!$I$35:$J$52,2,0),IFERROR(VLOOKUP(D1558,Parameter!$A$35:$C$64,2,0),"Nein"))</f>
        <v>2+3</v>
      </c>
      <c r="CE1558" s="64" t="n">
        <f aca="false">IF(CA1558=0,0,IF(N(S1558)&gt;0,S1558,IFERROR(VLOOKUP(D1558,Parameter!$A$35:$C$64,3,0)+0,0)))</f>
        <v>0</v>
      </c>
      <c r="CF1558" s="60" t="n">
        <f aca="false">IF(AB1558&lt;&gt;"",AB1558,AA1558)</f>
        <v>3</v>
      </c>
      <c r="CG1558" s="60" t="str">
        <f aca="false">IF(OR(CF1558=1,CF1558=2,CF1558=3),IF(Parameter!$E$27="Ja","LIFT",IF(CF1558=1,"L1","L23")),IF(CF1558="Aussen","Aussen","-"))</f>
        <v>LIFT</v>
      </c>
      <c r="CH1558" s="71" t="n">
        <f aca="false">IF(N(AC1558)&gt;0,AC1558,0)</f>
        <v>0</v>
      </c>
      <c r="CI1558" s="65" t="n">
        <f aca="false">IF(ISNUMBER(AF1558),1,0)</f>
        <v>0</v>
      </c>
      <c r="CJ1558" s="62" t="n">
        <f aca="false">N(AF1558)</f>
        <v>0</v>
      </c>
      <c r="CK1558" s="62" t="n">
        <f aca="false">N(M1558)+N(N1558)</f>
        <v>1</v>
      </c>
      <c r="CL1558" s="62" t="n">
        <f aca="false">N(M1558)</f>
        <v>0</v>
      </c>
      <c r="CM1558" s="62" t="n">
        <f aca="false">N(N1558)</f>
        <v>1</v>
      </c>
      <c r="CN1558" s="62" t="n">
        <f aca="false">ROUNDUP(H1558/BZ1558,0)</f>
        <v>1</v>
      </c>
      <c r="CO1558" s="62" t="n">
        <f aca="false">ROUNDUP(CJ1558/BZ1558,0)</f>
        <v>0</v>
      </c>
      <c r="CP1558" s="65" t="n">
        <f aca="false">IF(CA1558=1,0,IFERROR(VLOOKUP(BY1558,'Gebinde-Kategorie'!$A$5:$N$45,5,0)+0,0))</f>
        <v>11</v>
      </c>
      <c r="CQ1558" s="65" t="n">
        <f aca="false">IFERROR(IF(OR(CF1558=1,CF1558=2,CF1558=3),N(INDEX(Parameter!$I$5:$I$7,CF1558)),0),0)</f>
        <v>0</v>
      </c>
      <c r="CR1558" s="64" t="n">
        <f aca="false">IF(AND(Parameter!$B$21="Ja",ISNUMBER(W1558),N(X1558)&gt;0),IFERROR(N(INDEX(Parameter!$L$5:$L$7,W1558))*INDEX(Parameter!$E$5:$E$7,W1558)*X1558/SUMIFS($X$7:$X$1843,$W$7:$W$1843,W1558),0),0)</f>
        <v>0</v>
      </c>
      <c r="CS1558" s="62" t="n">
        <f aca="false">IF(AND(OR(CG1558="L1",CG1558="L23",CG1558="LIFT"),H1558&gt;0),CC1558*IF(CR1558&gt;0,CR1558*MAX(1,H1558/X1558),IF(CA1558=1,CE1558,IF(R1558&gt;0,CN1558/R1558,0))/MAX(0.1,N(Parameter!$M$21))),"")</f>
        <v>5.96153846153846</v>
      </c>
      <c r="CT1558" s="64" t="n">
        <f aca="false">IF(CS1558="","",J1558/H1558)</f>
        <v>0</v>
      </c>
      <c r="CU1558" s="62" t="n">
        <f aca="false">IF(CS1558="","",H1558*G1558)</f>
        <v>20.86</v>
      </c>
      <c r="CV1558" s="63" t="n">
        <f aca="false">IF(CS1558="","",(CL1558+ROUNDUP(CL1558+MAX(CM1558,2*(J1558/MAX(0.1,N(Einkauf!$C$6))-CL1558)),0))/2)</f>
        <v>0.5</v>
      </c>
      <c r="CW1558" s="62" t="n">
        <f aca="false">IF(CS1558="","",MAX(0,H1558-CV1558)*G1558)</f>
        <v>15.645</v>
      </c>
      <c r="CX1558" s="62" t="n">
        <f aca="false">IF(CS1558="","",CS1558*MAX(0,1-CV1558/H1558))</f>
        <v>4.47115384615385</v>
      </c>
      <c r="CY1558" s="64" t="n">
        <f aca="false">IF(CS1558="","",PERCENTRANK($CS$7:$CS$1843,CS1558)+PERCENTRANK($CU$7:$CU$1843,CU1558)+1-PERCENTRANK($CT$7:$CT$1843,CT1558))</f>
        <v>1.4333</v>
      </c>
      <c r="CZ1558" s="72" t="n">
        <f aca="false">IF(CS1558="","",CHOOSE(MATCH(Einkauf!$C$5,Parameter!$G$23:$G$27,0),CY1558,CS1558,CU1558,-CT1558,CW1558)+ROW()/1000000000)</f>
        <v>1.433301558</v>
      </c>
    </row>
    <row r="1559" customFormat="false" ht="15" hidden="false" customHeight="false" outlineLevel="0" collapsed="false">
      <c r="A1559" s="60" t="s">
        <v>2765</v>
      </c>
      <c r="B1559" s="60" t="s">
        <v>2766</v>
      </c>
      <c r="C1559" s="60" t="s">
        <v>206</v>
      </c>
      <c r="D1559" s="60" t="s">
        <v>215</v>
      </c>
      <c r="E1559" s="60" t="s">
        <v>412</v>
      </c>
      <c r="F1559" s="60"/>
      <c r="G1559" s="61" t="n">
        <v>707.5</v>
      </c>
      <c r="H1559" s="62" t="n">
        <f aca="false">MAX(0,IF(AND(Parameter!$B$21="Ja",ISNUMBER(Y1559)),Y1559,IF(Parameter!$B$20="Jahresanfang 2025 + Export",BS1559+BR1559,BR1559)))</f>
        <v>4</v>
      </c>
      <c r="I1559" s="62" t="n">
        <f aca="false">H1559*G1559</f>
        <v>2830</v>
      </c>
      <c r="J1559" s="62" t="n">
        <f aca="false">BU1559*Parameter!$B$18</f>
        <v>0</v>
      </c>
      <c r="K1559" s="63"/>
      <c r="L1559" s="64"/>
      <c r="M1559" s="62" t="n">
        <v>0</v>
      </c>
      <c r="N1559" s="62" t="n">
        <v>1</v>
      </c>
      <c r="O1559" s="65" t="n">
        <v>21</v>
      </c>
      <c r="P1559" s="60" t="s">
        <v>210</v>
      </c>
      <c r="Q1559" s="62"/>
      <c r="R1559" s="65" t="n">
        <f aca="false">IF(CA1559=1,0,IFERROR(VLOOKUP(BY1559,'Gebinde-Kategorie'!$A$5:$N$45,13,0)+0,0))</f>
        <v>4</v>
      </c>
      <c r="S1559" s="66"/>
      <c r="T1559" s="67" t="s">
        <v>231</v>
      </c>
      <c r="U1559" s="67"/>
      <c r="V1559" s="67"/>
      <c r="W1559" s="60"/>
      <c r="X1559" s="62"/>
      <c r="Y1559" s="62"/>
      <c r="Z1559" s="60"/>
      <c r="AA1559" s="60" t="str">
        <f aca="false">IF(A1559="","",IF(AND(Parameter!$B$21="Ja",ISNUMBER(W1559)),W1559,IF(AND(Parameter!$E$27="Ja",ISNUMBER(Z1559),CD1559&lt;&gt;"Nein"),Z1559,IF(CD1559="2+3",IF(ISNUMBER(SEARCH("grosser Artikel",BV1559)),2,IFERROR(VLOOKUP(BY1559,Parameter!$F$35:$G$64,2,0),2)),IF(OR(CD1559="Nein",CD1559=""),"-",CD1559)))))</f>
        <v>-</v>
      </c>
      <c r="AB1559" s="67"/>
      <c r="AC1559" s="68"/>
      <c r="AD1559" s="62" t="n">
        <f aca="false">AW1559</f>
        <v>1</v>
      </c>
      <c r="AE1559" s="62" t="n">
        <f aca="false">MAX(AW1559,H1559)</f>
        <v>4</v>
      </c>
      <c r="AF1559" s="69"/>
      <c r="AG1559" s="62" t="n">
        <f aca="false">IF(LEFT(Cockpit!$C$5,1)="A",H1559,IF(Parameter!$E$30="MAX-Bestand",IF(CI1559=1,CJ1559,IF(LEFT(Cockpit!$C$5,1)="B",AM1559,MAX(AM1559,H1559))),ROUNDUP(AK1559,0)))</f>
        <v>4</v>
      </c>
      <c r="AH1559" s="62" t="n">
        <f aca="false">IF(CA1559=1,0,ROUNDUP(AG1559/BZ1559,0))</f>
        <v>1</v>
      </c>
      <c r="AI1559" s="64" t="n">
        <f aca="false">IF(CR1559&gt;0,CR1559*MAX(1,AG1559/X1559),IF(CA1559=1,IF(AG1559&lt;=0,0,CE1559*MAX(1,IF(H1559&gt;0,AG1559/H1559,1))),IF(R1559&gt;0,AH1559/R1559,0))/MAX(0.1,N(Parameter!$M$21)))</f>
        <v>0.25</v>
      </c>
      <c r="AJ1559" s="62" t="n">
        <f aca="false">AI1559*CC1559</f>
        <v>58.75</v>
      </c>
      <c r="AK1559" s="63" t="n">
        <f aca="false">IF(LEFT(Cockpit!$C$5,1)="A",H1559,IF(CI1559=1,(CL1559+CJ1559)/2,IF(LEFT(Cockpit!$C$5,1)="B",(CL1559+AM1559)/2,MAX((CL1559+AM1559)/2,H1559))))</f>
        <v>4</v>
      </c>
      <c r="AL1559" s="62" t="n">
        <f aca="false">AK1559*G1559</f>
        <v>2830</v>
      </c>
      <c r="AM1559" s="62" t="n">
        <f aca="false">ROUNDUP(CL1559+MAX(CM1559,2*(J1559/IF(CH1559&gt;0,CH1559,MAX(0.1,N(Cockpit!$C$6)))-CL1559)),0)</f>
        <v>1</v>
      </c>
      <c r="AN1559" s="63" t="n">
        <f aca="false">IF(AJ1559&gt;0,J1559/AJ1559,-1)</f>
        <v>0</v>
      </c>
      <c r="AO1559" s="63" t="str">
        <f aca="false">IF(AND(OR(CG1559="L1",CG1559="L23",CG1559="LIFT"),AJ1559&gt;0),SUMIFS($AJ$7:$AJ$1843,$CG$7:$CG$1843,CG1559,$AN$7:$AN$1843,"&gt;"&amp;AN1559)+SUMIFS($AJ$7:$AJ$1843,$CG$7:$CG$1843,CG1559,$AN$7:$AN$1843,AN1559,$BX$7:$BX$1843,"&lt;="&amp;BX1559),"")</f>
        <v/>
      </c>
      <c r="AP1559" s="70" t="n">
        <f aca="false">IF(AO1559="",0,MAX(0,MIN(1,(IF(CG1559="L1",Parameter!$H$5,IF(CG1559="L23",Parameter!$H$6+Parameter!$H$7,Parameter!$H$5+Parameter!$H$6+Parameter!$H$7))-(AO1559-AJ1559))/AJ1559)))</f>
        <v>0</v>
      </c>
      <c r="AQ1559" s="62" t="n">
        <f aca="false">IF(LEFT(Cockpit!$I$5,1)="A",H1559,IF(Parameter!$E$30="MAX-Bestand",IF(CI1559=1,CJ1559,IF(LEFT(Cockpit!$I$5,1)="B",AW1559,MAX(AW1559,H1559))),ROUNDUP(AU1559,0)))</f>
        <v>4</v>
      </c>
      <c r="AR1559" s="62" t="n">
        <f aca="false">IF(CA1559=1,0,ROUNDUP(AQ1559/BZ1559,0))</f>
        <v>1</v>
      </c>
      <c r="AS1559" s="64" t="n">
        <f aca="false">IF(CR1559&gt;0,CR1559*MAX(1,AQ1559/X1559),IF(CA1559=1,IF(AQ1559&lt;=0,0,CE1559*MAX(1,IF(H1559&gt;0,AQ1559/H1559,1))),IF(R1559&gt;0,AR1559/R1559,0))/MAX(0.1,N(Parameter!$M$21)))</f>
        <v>0.25</v>
      </c>
      <c r="AT1559" s="62" t="n">
        <f aca="false">AS1559*CC1559</f>
        <v>58.75</v>
      </c>
      <c r="AU1559" s="63" t="n">
        <f aca="false">IF(LEFT(Cockpit!$I$5,1)="A",H1559,IF(CI1559=1,(CL1559+CJ1559)/2,IF(LEFT(Cockpit!$I$5,1)="B",(CL1559+AW1559)/2,MAX((CL1559+AW1559)/2,H1559))))</f>
        <v>4</v>
      </c>
      <c r="AV1559" s="62" t="n">
        <f aca="false">AU1559*G1559</f>
        <v>2830</v>
      </c>
      <c r="AW1559" s="62" t="n">
        <f aca="false">ROUNDUP(CL1559+MAX(CM1559,2*(J1559/IF(CH1559&gt;0,CH1559,MAX(0.1,N(Cockpit!$I$6)))-CL1559)),0)</f>
        <v>1</v>
      </c>
      <c r="AX1559" s="63" t="n">
        <f aca="false">IF(AT1559&gt;0,J1559/AT1559,-1)</f>
        <v>0</v>
      </c>
      <c r="AY1559" s="63" t="str">
        <f aca="false">IF(AND(OR(CG1559="L1",CG1559="L23",CG1559="LIFT"),AT1559&gt;0),SUMIFS($AT$7:$AT$1843,$CG$7:$CG$1843,CG1559,$AX$7:$AX$1843,"&gt;"&amp;AX1559)+SUMIFS($AT$7:$AT$1843,$CG$7:$CG$1843,CG1559,$AX$7:$AX$1843,AX1559,$BX$7:$BX$1843,"&lt;="&amp;BX1559),"")</f>
        <v/>
      </c>
      <c r="AZ1559" s="70" t="n">
        <f aca="false">IF(AY1559="",0,MAX(0,MIN(1,(IF(CG1559="L1",Parameter!$H$5,IF(CG1559="L23",Parameter!$H$6+Parameter!$H$7,Parameter!$H$5+Parameter!$H$6+Parameter!$H$7))-(AY1559-AT1559))/AT1559)))</f>
        <v>0</v>
      </c>
      <c r="BA1559" s="62" t="n">
        <f aca="false">IF(LEFT(Cockpit!$O$5,1)="A",H1559,IF(Parameter!$E$30="MAX-Bestand",IF(CI1559=1,CJ1559,IF(LEFT(Cockpit!$O$5,1)="B",BG1559,MAX(BG1559,H1559))),ROUNDUP(BE1559,0)))</f>
        <v>1</v>
      </c>
      <c r="BB1559" s="62" t="n">
        <f aca="false">IF(CA1559=1,0,ROUNDUP(BA1559/BZ1559,0))</f>
        <v>1</v>
      </c>
      <c r="BC1559" s="64" t="n">
        <f aca="false">IF(CR1559&gt;0,CR1559*MAX(1,BA1559/X1559),IF(CA1559=1,IF(BA1559&lt;=0,0,CE1559*MAX(1,IF(H1559&gt;0,BA1559/H1559,1))),IF(R1559&gt;0,BB1559/R1559,0))/MAX(0.1,N(Parameter!$M$21)))</f>
        <v>0.25</v>
      </c>
      <c r="BD1559" s="62" t="n">
        <f aca="false">BC1559*CC1559</f>
        <v>58.75</v>
      </c>
      <c r="BE1559" s="63" t="n">
        <f aca="false">IF(LEFT(Cockpit!$O$5,1)="A",H1559,IF(CI1559=1,(CL1559+CJ1559)/2,IF(LEFT(Cockpit!$O$5,1)="B",(CL1559+BG1559)/2,MAX((CL1559+BG1559)/2,H1559))))</f>
        <v>0.5</v>
      </c>
      <c r="BF1559" s="62" t="n">
        <f aca="false">BE1559*G1559</f>
        <v>353.75</v>
      </c>
      <c r="BG1559" s="62" t="n">
        <f aca="false">ROUNDUP(CL1559+MAX(CM1559,2*(J1559/IF(CH1559&gt;0,CH1559,MAX(0.1,N(Cockpit!$O$6)))-CL1559)),0)</f>
        <v>1</v>
      </c>
      <c r="BH1559" s="63" t="n">
        <f aca="false">IF(BD1559&gt;0,J1559/BD1559,-1)</f>
        <v>0</v>
      </c>
      <c r="BI1559" s="63" t="str">
        <f aca="false">IF(AND(OR(CG1559="L1",CG1559="L23",CG1559="LIFT"),BD1559&gt;0),SUMIFS($BD$7:$BD$1843,$CG$7:$CG$1843,CG1559,$BH$7:$BH$1843,"&gt;"&amp;BH1559)+SUMIFS($BD$7:$BD$1843,$CG$7:$CG$1843,CG1559,$BH$7:$BH$1843,BH1559,$BX$7:$BX$1843,"&lt;="&amp;BX1559),"")</f>
        <v/>
      </c>
      <c r="BJ1559" s="70" t="n">
        <f aca="false">IF(BI1559="",0,MAX(0,MIN(1,(IF(CG1559="L1",Parameter!$H$5,IF(CG1559="L23",Parameter!$H$6+Parameter!$H$7,Parameter!$H$5+Parameter!$H$6+Parameter!$H$7))-(BI1559-BD1559))/BD1559)))</f>
        <v>0</v>
      </c>
      <c r="BK1559" s="60" t="str">
        <f aca="false">IF(AJ1559&lt;=0,"",IF(CG1559="Aussen","Aussenlager",IF(CG1559="-","Nicht im Lift",IF(AP1559&gt;=1,"Lift",IF(AP1559&lt;=0,"Aussenlager","teilweise")))))</f>
        <v>Nicht im Lift</v>
      </c>
      <c r="BL1559" s="60" t="str">
        <f aca="false">IF(AT1559&lt;=0,"",IF(CG1559="Aussen","Aussenlager",IF(CG1559="-","Nicht im Lift",IF(AZ1559&gt;=1,"Lift",IF(AZ1559&lt;=0,"Aussenlager","teilweise")))))</f>
        <v>Nicht im Lift</v>
      </c>
      <c r="BM1559" s="60" t="str">
        <f aca="false">IF(BD1559&lt;=0,"",IF(CG1559="Aussen","Aussenlager",IF(CG1559="-","Nicht im Lift",IF(BJ1559&gt;=1,"Lift",IF(BJ1559&lt;=0,"Aussenlager","teilweise")))))</f>
        <v>Nicht im Lift</v>
      </c>
      <c r="BN1559" s="60" t="str">
        <f aca="false">IF(A1559="","",IF(BW1559=1,"Neu; ","")&amp;IF(AND(BW1559=0,BR1559&lt;0),"negativer Bestand (Export "&amp;BR1559&amp;"); ","")&amp;IF(J1559&lt;=0,"Kein Verbrauch; ","")&amp;IF(CR1559&gt;0,"Lift "&amp;W1559&amp;" lt. Liftbericht (Fach "&amp;X1559&amp;" Stk); ",IF(CB1559=1,"Gebinde geschätzt ("&amp;T1559&amp;"); ",IF(CA1559=1,"Lose – Tablare geschätzt; ","")))&amp;IF(H1559&gt;AW1559,"Überbestand "&amp;ROUND(H1559-AW1559,0)&amp;" Stk / CHF "&amp;ROUND((H1559-AW1559)*G1559,0)&amp;"; ","")&amp;IF(AND(CI1559=1,CJ1559&lt;CK1559),"MAX &lt; MB+LG; ","")&amp;IF(AND(CQ1559&gt;0,CP1559*10&gt;CQ1559),"zu hoch für Tablar; ","")&amp;IF(AND(BW1559=0,OR(CI1559=1,AB1559&lt;&gt;"",U1559&lt;&gt;"",V1559&lt;&gt;"",AC1559&lt;&gt;"")),"manuell übersteuert; ","")&amp;IF(AND(CA1559=0,R1559=0),"Gebinde unbekannt / Stellmass fehlt; ","")&amp;IF(AND(CA1559=0,N(V1559)&lt;=0,N(Q1559)&lt;=0),"Menge pro Gebinde fehlt (Ist = 1 Gebinde); ","")&amp;BV1559)</f>
        <v>Kein Verbrauch; Gebinde geschätzt (Gross); Überbestand 3 Stk / CHF 2123; Menge pro Gebinde fehlt (Ist = 1 Gebinde); nur im Artikelstamm (Bestand 23.06.2026)</v>
      </c>
      <c r="BO1559" s="60"/>
      <c r="BP1559" s="60"/>
      <c r="BQ1559" s="67"/>
      <c r="BR1559" s="62" t="n">
        <v>4</v>
      </c>
      <c r="BS1559" s="62" t="n">
        <v>0</v>
      </c>
      <c r="BT1559" s="61" t="n">
        <v>0</v>
      </c>
      <c r="BU1559" s="62" t="n">
        <v>0</v>
      </c>
      <c r="BV1559" s="60" t="s">
        <v>2617</v>
      </c>
      <c r="BW1559" s="65" t="n">
        <v>0</v>
      </c>
      <c r="BX1559" s="65" t="n">
        <v>1559</v>
      </c>
      <c r="BY1559" s="60" t="str">
        <f aca="false">IF(U1559&lt;&gt;"",UPPER(TRIM(U1559)),IF(CB1559=1,UPPER(VLOOKUP(T1559,Parameter!$I$27:$K$29,2,0)),IF(P1559="","LOSE",P1559)))</f>
        <v>S81</v>
      </c>
      <c r="BZ1559" s="62" t="n">
        <f aca="false">IF(BY1559="LOSE",1,IF(N(V1559)&gt;0,V1559,IF(CB1559=1,MAX(1,N(VLOOKUP(T1559,Parameter!$I$27:$K$29,3,0)),H1559,N(N1559)),IF(N(Q1559)&gt;0,Q1559,MAX(1,H1559)))))</f>
        <v>4</v>
      </c>
      <c r="CA1559" s="65" t="n">
        <f aca="false">IF(BY1559="LOSE",1,0)</f>
        <v>0</v>
      </c>
      <c r="CB1559" s="65" t="n">
        <f aca="false">IF(AND(U1559="",OR(P1559="",P1559="LOSE"),T1559&lt;&gt;"",N(S1559)&lt;=0,ISNUMBER(MATCH(T1559,Parameter!$I$27:$I$29,0))),1,0)</f>
        <v>1</v>
      </c>
      <c r="CC1559" s="65" t="n">
        <f aca="false">IF(CR1559&gt;0,INDEX(Parameter!$H$5:$H$7,W1559)/INDEX(Parameter!$E$5:$E$7,W1559),IF(AND(CA1559=0,N(IFERROR(VLOOKUP(BY1559,'Gebinde-Kategorie'!$A$5:$N$45,14,0),0))&gt;0),VLOOKUP(BY1559,'Gebinde-Kategorie'!$A$5:$N$45,14,0)*10+Parameter!$M$23,Parameter!$M$24))</f>
        <v>235</v>
      </c>
      <c r="CD1559" s="60" t="str">
        <f aca="false">IF(AND(Parameter!$B$19="Ja",E1559&lt;&gt;"",ISNUMBER(MATCH(E1559,Parameter!$I$35:$I$52,0))),VLOOKUP(E1559,Parameter!$I$35:$J$52,2,0),IFERROR(VLOOKUP(D1559,Parameter!$A$35:$C$64,2,0),"Nein"))</f>
        <v>Nein</v>
      </c>
      <c r="CE1559" s="64" t="n">
        <f aca="false">IF(CA1559=0,0,IF(N(S1559)&gt;0,S1559,IFERROR(VLOOKUP(D1559,Parameter!$A$35:$C$64,3,0)+0,0)))</f>
        <v>0</v>
      </c>
      <c r="CF1559" s="60" t="str">
        <f aca="false">IF(AB1559&lt;&gt;"",AB1559,AA1559)</f>
        <v>-</v>
      </c>
      <c r="CG1559" s="60" t="str">
        <f aca="false">IF(OR(CF1559=1,CF1559=2,CF1559=3),IF(Parameter!$E$27="Ja","LIFT",IF(CF1559=1,"L1","L23")),IF(CF1559="Aussen","Aussen","-"))</f>
        <v>-</v>
      </c>
      <c r="CH1559" s="71" t="n">
        <f aca="false">IF(N(AC1559)&gt;0,AC1559,0)</f>
        <v>0</v>
      </c>
      <c r="CI1559" s="65" t="n">
        <f aca="false">IF(ISNUMBER(AF1559),1,0)</f>
        <v>0</v>
      </c>
      <c r="CJ1559" s="62" t="n">
        <f aca="false">N(AF1559)</f>
        <v>0</v>
      </c>
      <c r="CK1559" s="62" t="n">
        <f aca="false">N(M1559)+N(N1559)</f>
        <v>1</v>
      </c>
      <c r="CL1559" s="62" t="n">
        <f aca="false">N(M1559)</f>
        <v>0</v>
      </c>
      <c r="CM1559" s="62" t="n">
        <f aca="false">N(N1559)</f>
        <v>1</v>
      </c>
      <c r="CN1559" s="62" t="n">
        <f aca="false">ROUNDUP(H1559/BZ1559,0)</f>
        <v>1</v>
      </c>
      <c r="CO1559" s="62" t="n">
        <f aca="false">ROUNDUP(CJ1559/BZ1559,0)</f>
        <v>0</v>
      </c>
      <c r="CP1559" s="65" t="n">
        <f aca="false">IF(CA1559=1,0,IFERROR(VLOOKUP(BY1559,'Gebinde-Kategorie'!$A$5:$N$45,5,0)+0,0))</f>
        <v>20</v>
      </c>
      <c r="CQ1559" s="65" t="n">
        <f aca="false">IFERROR(IF(OR(CF1559=1,CF1559=2,CF1559=3),N(INDEX(Parameter!$I$5:$I$7,CF1559)),0),0)</f>
        <v>0</v>
      </c>
      <c r="CR1559" s="64" t="n">
        <f aca="false">IF(AND(Parameter!$B$21="Ja",ISNUMBER(W1559),N(X1559)&gt;0),IFERROR(N(INDEX(Parameter!$L$5:$L$7,W1559))*INDEX(Parameter!$E$5:$E$7,W1559)*X1559/SUMIFS($X$7:$X$1843,$W$7:$W$1843,W1559),0),0)</f>
        <v>0</v>
      </c>
      <c r="CS1559" s="62" t="str">
        <f aca="false">IF(AND(OR(CG1559="L1",CG1559="L23",CG1559="LIFT"),H1559&gt;0),CC1559*IF(CR1559&gt;0,CR1559*MAX(1,H1559/X1559),IF(CA1559=1,CE1559,IF(R1559&gt;0,CN1559/R1559,0))/MAX(0.1,N(Parameter!$M$21))),"")</f>
        <v/>
      </c>
      <c r="CT1559" s="64" t="str">
        <f aca="false">IF(CS1559="","",J1559/H1559)</f>
        <v/>
      </c>
      <c r="CU1559" s="62" t="str">
        <f aca="false">IF(CS1559="","",H1559*G1559)</f>
        <v/>
      </c>
      <c r="CV1559" s="63" t="str">
        <f aca="false">IF(CS1559="","",(CL1559+ROUNDUP(CL1559+MAX(CM1559,2*(J1559/MAX(0.1,N(Einkauf!$C$6))-CL1559)),0))/2)</f>
        <v/>
      </c>
      <c r="CW1559" s="62" t="str">
        <f aca="false">IF(CS1559="","",MAX(0,H1559-CV1559)*G1559)</f>
        <v/>
      </c>
      <c r="CX1559" s="62" t="str">
        <f aca="false">IF(CS1559="","",CS1559*MAX(0,1-CV1559/H1559))</f>
        <v/>
      </c>
      <c r="CY1559" s="64" t="str">
        <f aca="false">IF(CS1559="","",PERCENTRANK($CS$7:$CS$1843,CS1559)+PERCENTRANK($CU$7:$CU$1843,CU1559)+1-PERCENTRANK($CT$7:$CT$1843,CT1559))</f>
        <v/>
      </c>
      <c r="CZ1559" s="72" t="str">
        <f aca="false">IF(CS1559="","",CHOOSE(MATCH(Einkauf!$C$5,Parameter!$G$23:$G$27,0),CY1559,CS1559,CU1559,-CT1559,CW1559)+ROW()/1000000000)</f>
        <v/>
      </c>
    </row>
    <row r="1560" customFormat="false" ht="15" hidden="false" customHeight="false" outlineLevel="0" collapsed="false">
      <c r="A1560" s="60" t="s">
        <v>2767</v>
      </c>
      <c r="B1560" s="60" t="s">
        <v>2768</v>
      </c>
      <c r="C1560" s="60" t="s">
        <v>206</v>
      </c>
      <c r="D1560" s="60" t="s">
        <v>215</v>
      </c>
      <c r="E1560" s="60" t="s">
        <v>412</v>
      </c>
      <c r="F1560" s="60"/>
      <c r="G1560" s="61" t="n">
        <v>697</v>
      </c>
      <c r="H1560" s="62" t="n">
        <f aca="false">MAX(0,IF(AND(Parameter!$B$21="Ja",ISNUMBER(Y1560)),Y1560,IF(Parameter!$B$20="Jahresanfang 2025 + Export",BS1560+BR1560,BR1560)))</f>
        <v>8</v>
      </c>
      <c r="I1560" s="62" t="n">
        <f aca="false">H1560*G1560</f>
        <v>5576</v>
      </c>
      <c r="J1560" s="62" t="n">
        <f aca="false">BU1560*Parameter!$B$18</f>
        <v>0</v>
      </c>
      <c r="K1560" s="63"/>
      <c r="L1560" s="64"/>
      <c r="M1560" s="62" t="n">
        <v>0</v>
      </c>
      <c r="N1560" s="62" t="n">
        <v>1</v>
      </c>
      <c r="O1560" s="65" t="n">
        <v>21</v>
      </c>
      <c r="P1560" s="60" t="s">
        <v>210</v>
      </c>
      <c r="Q1560" s="62"/>
      <c r="R1560" s="65" t="n">
        <f aca="false">IF(CA1560=1,0,IFERROR(VLOOKUP(BY1560,'Gebinde-Kategorie'!$A$5:$N$45,13,0)+0,0))</f>
        <v>4</v>
      </c>
      <c r="S1560" s="66"/>
      <c r="T1560" s="67" t="s">
        <v>231</v>
      </c>
      <c r="U1560" s="67"/>
      <c r="V1560" s="67"/>
      <c r="W1560" s="60"/>
      <c r="X1560" s="62"/>
      <c r="Y1560" s="62"/>
      <c r="Z1560" s="60"/>
      <c r="AA1560" s="60" t="str">
        <f aca="false">IF(A1560="","",IF(AND(Parameter!$B$21="Ja",ISNUMBER(W1560)),W1560,IF(AND(Parameter!$E$27="Ja",ISNUMBER(Z1560),CD1560&lt;&gt;"Nein"),Z1560,IF(CD1560="2+3",IF(ISNUMBER(SEARCH("grosser Artikel",BV1560)),2,IFERROR(VLOOKUP(BY1560,Parameter!$F$35:$G$64,2,0),2)),IF(OR(CD1560="Nein",CD1560=""),"-",CD1560)))))</f>
        <v>-</v>
      </c>
      <c r="AB1560" s="67"/>
      <c r="AC1560" s="68"/>
      <c r="AD1560" s="62" t="n">
        <f aca="false">AW1560</f>
        <v>1</v>
      </c>
      <c r="AE1560" s="62" t="n">
        <f aca="false">MAX(AW1560,H1560)</f>
        <v>8</v>
      </c>
      <c r="AF1560" s="69"/>
      <c r="AG1560" s="62" t="n">
        <f aca="false">IF(LEFT(Cockpit!$C$5,1)="A",H1560,IF(Parameter!$E$30="MAX-Bestand",IF(CI1560=1,CJ1560,IF(LEFT(Cockpit!$C$5,1)="B",AM1560,MAX(AM1560,H1560))),ROUNDUP(AK1560,0)))</f>
        <v>8</v>
      </c>
      <c r="AH1560" s="62" t="n">
        <f aca="false">IF(CA1560=1,0,ROUNDUP(AG1560/BZ1560,0))</f>
        <v>1</v>
      </c>
      <c r="AI1560" s="64" t="n">
        <f aca="false">IF(CR1560&gt;0,CR1560*MAX(1,AG1560/X1560),IF(CA1560=1,IF(AG1560&lt;=0,0,CE1560*MAX(1,IF(H1560&gt;0,AG1560/H1560,1))),IF(R1560&gt;0,AH1560/R1560,0))/MAX(0.1,N(Parameter!$M$21)))</f>
        <v>0.25</v>
      </c>
      <c r="AJ1560" s="62" t="n">
        <f aca="false">AI1560*CC1560</f>
        <v>58.75</v>
      </c>
      <c r="AK1560" s="63" t="n">
        <f aca="false">IF(LEFT(Cockpit!$C$5,1)="A",H1560,IF(CI1560=1,(CL1560+CJ1560)/2,IF(LEFT(Cockpit!$C$5,1)="B",(CL1560+AM1560)/2,MAX((CL1560+AM1560)/2,H1560))))</f>
        <v>8</v>
      </c>
      <c r="AL1560" s="62" t="n">
        <f aca="false">AK1560*G1560</f>
        <v>5576</v>
      </c>
      <c r="AM1560" s="62" t="n">
        <f aca="false">ROUNDUP(CL1560+MAX(CM1560,2*(J1560/IF(CH1560&gt;0,CH1560,MAX(0.1,N(Cockpit!$C$6)))-CL1560)),0)</f>
        <v>1</v>
      </c>
      <c r="AN1560" s="63" t="n">
        <f aca="false">IF(AJ1560&gt;0,J1560/AJ1560,-1)</f>
        <v>0</v>
      </c>
      <c r="AO1560" s="63" t="str">
        <f aca="false">IF(AND(OR(CG1560="L1",CG1560="L23",CG1560="LIFT"),AJ1560&gt;0),SUMIFS($AJ$7:$AJ$1843,$CG$7:$CG$1843,CG1560,$AN$7:$AN$1843,"&gt;"&amp;AN1560)+SUMIFS($AJ$7:$AJ$1843,$CG$7:$CG$1843,CG1560,$AN$7:$AN$1843,AN1560,$BX$7:$BX$1843,"&lt;="&amp;BX1560),"")</f>
        <v/>
      </c>
      <c r="AP1560" s="70" t="n">
        <f aca="false">IF(AO1560="",0,MAX(0,MIN(1,(IF(CG1560="L1",Parameter!$H$5,IF(CG1560="L23",Parameter!$H$6+Parameter!$H$7,Parameter!$H$5+Parameter!$H$6+Parameter!$H$7))-(AO1560-AJ1560))/AJ1560)))</f>
        <v>0</v>
      </c>
      <c r="AQ1560" s="62" t="n">
        <f aca="false">IF(LEFT(Cockpit!$I$5,1)="A",H1560,IF(Parameter!$E$30="MAX-Bestand",IF(CI1560=1,CJ1560,IF(LEFT(Cockpit!$I$5,1)="B",AW1560,MAX(AW1560,H1560))),ROUNDUP(AU1560,0)))</f>
        <v>8</v>
      </c>
      <c r="AR1560" s="62" t="n">
        <f aca="false">IF(CA1560=1,0,ROUNDUP(AQ1560/BZ1560,0))</f>
        <v>1</v>
      </c>
      <c r="AS1560" s="64" t="n">
        <f aca="false">IF(CR1560&gt;0,CR1560*MAX(1,AQ1560/X1560),IF(CA1560=1,IF(AQ1560&lt;=0,0,CE1560*MAX(1,IF(H1560&gt;0,AQ1560/H1560,1))),IF(R1560&gt;0,AR1560/R1560,0))/MAX(0.1,N(Parameter!$M$21)))</f>
        <v>0.25</v>
      </c>
      <c r="AT1560" s="62" t="n">
        <f aca="false">AS1560*CC1560</f>
        <v>58.75</v>
      </c>
      <c r="AU1560" s="63" t="n">
        <f aca="false">IF(LEFT(Cockpit!$I$5,1)="A",H1560,IF(CI1560=1,(CL1560+CJ1560)/2,IF(LEFT(Cockpit!$I$5,1)="B",(CL1560+AW1560)/2,MAX((CL1560+AW1560)/2,H1560))))</f>
        <v>8</v>
      </c>
      <c r="AV1560" s="62" t="n">
        <f aca="false">AU1560*G1560</f>
        <v>5576</v>
      </c>
      <c r="AW1560" s="62" t="n">
        <f aca="false">ROUNDUP(CL1560+MAX(CM1560,2*(J1560/IF(CH1560&gt;0,CH1560,MAX(0.1,N(Cockpit!$I$6)))-CL1560)),0)</f>
        <v>1</v>
      </c>
      <c r="AX1560" s="63" t="n">
        <f aca="false">IF(AT1560&gt;0,J1560/AT1560,-1)</f>
        <v>0</v>
      </c>
      <c r="AY1560" s="63" t="str">
        <f aca="false">IF(AND(OR(CG1560="L1",CG1560="L23",CG1560="LIFT"),AT1560&gt;0),SUMIFS($AT$7:$AT$1843,$CG$7:$CG$1843,CG1560,$AX$7:$AX$1843,"&gt;"&amp;AX1560)+SUMIFS($AT$7:$AT$1843,$CG$7:$CG$1843,CG1560,$AX$7:$AX$1843,AX1560,$BX$7:$BX$1843,"&lt;="&amp;BX1560),"")</f>
        <v/>
      </c>
      <c r="AZ1560" s="70" t="n">
        <f aca="false">IF(AY1560="",0,MAX(0,MIN(1,(IF(CG1560="L1",Parameter!$H$5,IF(CG1560="L23",Parameter!$H$6+Parameter!$H$7,Parameter!$H$5+Parameter!$H$6+Parameter!$H$7))-(AY1560-AT1560))/AT1560)))</f>
        <v>0</v>
      </c>
      <c r="BA1560" s="62" t="n">
        <f aca="false">IF(LEFT(Cockpit!$O$5,1)="A",H1560,IF(Parameter!$E$30="MAX-Bestand",IF(CI1560=1,CJ1560,IF(LEFT(Cockpit!$O$5,1)="B",BG1560,MAX(BG1560,H1560))),ROUNDUP(BE1560,0)))</f>
        <v>1</v>
      </c>
      <c r="BB1560" s="62" t="n">
        <f aca="false">IF(CA1560=1,0,ROUNDUP(BA1560/BZ1560,0))</f>
        <v>1</v>
      </c>
      <c r="BC1560" s="64" t="n">
        <f aca="false">IF(CR1560&gt;0,CR1560*MAX(1,BA1560/X1560),IF(CA1560=1,IF(BA1560&lt;=0,0,CE1560*MAX(1,IF(H1560&gt;0,BA1560/H1560,1))),IF(R1560&gt;0,BB1560/R1560,0))/MAX(0.1,N(Parameter!$M$21)))</f>
        <v>0.25</v>
      </c>
      <c r="BD1560" s="62" t="n">
        <f aca="false">BC1560*CC1560</f>
        <v>58.75</v>
      </c>
      <c r="BE1560" s="63" t="n">
        <f aca="false">IF(LEFT(Cockpit!$O$5,1)="A",H1560,IF(CI1560=1,(CL1560+CJ1560)/2,IF(LEFT(Cockpit!$O$5,1)="B",(CL1560+BG1560)/2,MAX((CL1560+BG1560)/2,H1560))))</f>
        <v>0.5</v>
      </c>
      <c r="BF1560" s="62" t="n">
        <f aca="false">BE1560*G1560</f>
        <v>348.5</v>
      </c>
      <c r="BG1560" s="62" t="n">
        <f aca="false">ROUNDUP(CL1560+MAX(CM1560,2*(J1560/IF(CH1560&gt;0,CH1560,MAX(0.1,N(Cockpit!$O$6)))-CL1560)),0)</f>
        <v>1</v>
      </c>
      <c r="BH1560" s="63" t="n">
        <f aca="false">IF(BD1560&gt;0,J1560/BD1560,-1)</f>
        <v>0</v>
      </c>
      <c r="BI1560" s="63" t="str">
        <f aca="false">IF(AND(OR(CG1560="L1",CG1560="L23",CG1560="LIFT"),BD1560&gt;0),SUMIFS($BD$7:$BD$1843,$CG$7:$CG$1843,CG1560,$BH$7:$BH$1843,"&gt;"&amp;BH1560)+SUMIFS($BD$7:$BD$1843,$CG$7:$CG$1843,CG1560,$BH$7:$BH$1843,BH1560,$BX$7:$BX$1843,"&lt;="&amp;BX1560),"")</f>
        <v/>
      </c>
      <c r="BJ1560" s="70" t="n">
        <f aca="false">IF(BI1560="",0,MAX(0,MIN(1,(IF(CG1560="L1",Parameter!$H$5,IF(CG1560="L23",Parameter!$H$6+Parameter!$H$7,Parameter!$H$5+Parameter!$H$6+Parameter!$H$7))-(BI1560-BD1560))/BD1560)))</f>
        <v>0</v>
      </c>
      <c r="BK1560" s="60" t="str">
        <f aca="false">IF(AJ1560&lt;=0,"",IF(CG1560="Aussen","Aussenlager",IF(CG1560="-","Nicht im Lift",IF(AP1560&gt;=1,"Lift",IF(AP1560&lt;=0,"Aussenlager","teilweise")))))</f>
        <v>Nicht im Lift</v>
      </c>
      <c r="BL1560" s="60" t="str">
        <f aca="false">IF(AT1560&lt;=0,"",IF(CG1560="Aussen","Aussenlager",IF(CG1560="-","Nicht im Lift",IF(AZ1560&gt;=1,"Lift",IF(AZ1560&lt;=0,"Aussenlager","teilweise")))))</f>
        <v>Nicht im Lift</v>
      </c>
      <c r="BM1560" s="60" t="str">
        <f aca="false">IF(BD1560&lt;=0,"",IF(CG1560="Aussen","Aussenlager",IF(CG1560="-","Nicht im Lift",IF(BJ1560&gt;=1,"Lift",IF(BJ1560&lt;=0,"Aussenlager","teilweise")))))</f>
        <v>Nicht im Lift</v>
      </c>
      <c r="BN1560" s="60" t="str">
        <f aca="false">IF(A1560="","",IF(BW1560=1,"Neu; ","")&amp;IF(AND(BW1560=0,BR1560&lt;0),"negativer Bestand (Export "&amp;BR1560&amp;"); ","")&amp;IF(J1560&lt;=0,"Kein Verbrauch; ","")&amp;IF(CR1560&gt;0,"Lift "&amp;W1560&amp;" lt. Liftbericht (Fach "&amp;X1560&amp;" Stk); ",IF(CB1560=1,"Gebinde geschätzt ("&amp;T1560&amp;"); ",IF(CA1560=1,"Lose – Tablare geschätzt; ","")))&amp;IF(H1560&gt;AW1560,"Überbestand "&amp;ROUND(H1560-AW1560,0)&amp;" Stk / CHF "&amp;ROUND((H1560-AW1560)*G1560,0)&amp;"; ","")&amp;IF(AND(CI1560=1,CJ1560&lt;CK1560),"MAX &lt; MB+LG; ","")&amp;IF(AND(CQ1560&gt;0,CP1560*10&gt;CQ1560),"zu hoch für Tablar; ","")&amp;IF(AND(BW1560=0,OR(CI1560=1,AB1560&lt;&gt;"",U1560&lt;&gt;"",V1560&lt;&gt;"",AC1560&lt;&gt;"")),"manuell übersteuert; ","")&amp;IF(AND(CA1560=0,R1560=0),"Gebinde unbekannt / Stellmass fehlt; ","")&amp;IF(AND(CA1560=0,N(V1560)&lt;=0,N(Q1560)&lt;=0),"Menge pro Gebinde fehlt (Ist = 1 Gebinde); ","")&amp;BV1560)</f>
        <v>Kein Verbrauch; Gebinde geschätzt (Gross); Überbestand 7 Stk / CHF 4879; Menge pro Gebinde fehlt (Ist = 1 Gebinde); nur im Artikelstamm (Bestand 23.06.2026)</v>
      </c>
      <c r="BO1560" s="60"/>
      <c r="BP1560" s="60"/>
      <c r="BQ1560" s="67"/>
      <c r="BR1560" s="62" t="n">
        <v>8</v>
      </c>
      <c r="BS1560" s="62" t="n">
        <v>0</v>
      </c>
      <c r="BT1560" s="61" t="n">
        <v>0</v>
      </c>
      <c r="BU1560" s="62" t="n">
        <v>0</v>
      </c>
      <c r="BV1560" s="60" t="s">
        <v>2617</v>
      </c>
      <c r="BW1560" s="65" t="n">
        <v>0</v>
      </c>
      <c r="BX1560" s="65" t="n">
        <v>1560</v>
      </c>
      <c r="BY1560" s="60" t="str">
        <f aca="false">IF(U1560&lt;&gt;"",UPPER(TRIM(U1560)),IF(CB1560=1,UPPER(VLOOKUP(T1560,Parameter!$I$27:$K$29,2,0)),IF(P1560="","LOSE",P1560)))</f>
        <v>S81</v>
      </c>
      <c r="BZ1560" s="62" t="n">
        <f aca="false">IF(BY1560="LOSE",1,IF(N(V1560)&gt;0,V1560,IF(CB1560=1,MAX(1,N(VLOOKUP(T1560,Parameter!$I$27:$K$29,3,0)),H1560,N(N1560)),IF(N(Q1560)&gt;0,Q1560,MAX(1,H1560)))))</f>
        <v>8</v>
      </c>
      <c r="CA1560" s="65" t="n">
        <f aca="false">IF(BY1560="LOSE",1,0)</f>
        <v>0</v>
      </c>
      <c r="CB1560" s="65" t="n">
        <f aca="false">IF(AND(U1560="",OR(P1560="",P1560="LOSE"),T1560&lt;&gt;"",N(S1560)&lt;=0,ISNUMBER(MATCH(T1560,Parameter!$I$27:$I$29,0))),1,0)</f>
        <v>1</v>
      </c>
      <c r="CC1560" s="65" t="n">
        <f aca="false">IF(CR1560&gt;0,INDEX(Parameter!$H$5:$H$7,W1560)/INDEX(Parameter!$E$5:$E$7,W1560),IF(AND(CA1560=0,N(IFERROR(VLOOKUP(BY1560,'Gebinde-Kategorie'!$A$5:$N$45,14,0),0))&gt;0),VLOOKUP(BY1560,'Gebinde-Kategorie'!$A$5:$N$45,14,0)*10+Parameter!$M$23,Parameter!$M$24))</f>
        <v>235</v>
      </c>
      <c r="CD1560" s="60" t="str">
        <f aca="false">IF(AND(Parameter!$B$19="Ja",E1560&lt;&gt;"",ISNUMBER(MATCH(E1560,Parameter!$I$35:$I$52,0))),VLOOKUP(E1560,Parameter!$I$35:$J$52,2,0),IFERROR(VLOOKUP(D1560,Parameter!$A$35:$C$64,2,0),"Nein"))</f>
        <v>Nein</v>
      </c>
      <c r="CE1560" s="64" t="n">
        <f aca="false">IF(CA1560=0,0,IF(N(S1560)&gt;0,S1560,IFERROR(VLOOKUP(D1560,Parameter!$A$35:$C$64,3,0)+0,0)))</f>
        <v>0</v>
      </c>
      <c r="CF1560" s="60" t="str">
        <f aca="false">IF(AB1560&lt;&gt;"",AB1560,AA1560)</f>
        <v>-</v>
      </c>
      <c r="CG1560" s="60" t="str">
        <f aca="false">IF(OR(CF1560=1,CF1560=2,CF1560=3),IF(Parameter!$E$27="Ja","LIFT",IF(CF1560=1,"L1","L23")),IF(CF1560="Aussen","Aussen","-"))</f>
        <v>-</v>
      </c>
      <c r="CH1560" s="71" t="n">
        <f aca="false">IF(N(AC1560)&gt;0,AC1560,0)</f>
        <v>0</v>
      </c>
      <c r="CI1560" s="65" t="n">
        <f aca="false">IF(ISNUMBER(AF1560),1,0)</f>
        <v>0</v>
      </c>
      <c r="CJ1560" s="62" t="n">
        <f aca="false">N(AF1560)</f>
        <v>0</v>
      </c>
      <c r="CK1560" s="62" t="n">
        <f aca="false">N(M1560)+N(N1560)</f>
        <v>1</v>
      </c>
      <c r="CL1560" s="62" t="n">
        <f aca="false">N(M1560)</f>
        <v>0</v>
      </c>
      <c r="CM1560" s="62" t="n">
        <f aca="false">N(N1560)</f>
        <v>1</v>
      </c>
      <c r="CN1560" s="62" t="n">
        <f aca="false">ROUNDUP(H1560/BZ1560,0)</f>
        <v>1</v>
      </c>
      <c r="CO1560" s="62" t="n">
        <f aca="false">ROUNDUP(CJ1560/BZ1560,0)</f>
        <v>0</v>
      </c>
      <c r="CP1560" s="65" t="n">
        <f aca="false">IF(CA1560=1,0,IFERROR(VLOOKUP(BY1560,'Gebinde-Kategorie'!$A$5:$N$45,5,0)+0,0))</f>
        <v>20</v>
      </c>
      <c r="CQ1560" s="65" t="n">
        <f aca="false">IFERROR(IF(OR(CF1560=1,CF1560=2,CF1560=3),N(INDEX(Parameter!$I$5:$I$7,CF1560)),0),0)</f>
        <v>0</v>
      </c>
      <c r="CR1560" s="64" t="n">
        <f aca="false">IF(AND(Parameter!$B$21="Ja",ISNUMBER(W1560),N(X1560)&gt;0),IFERROR(N(INDEX(Parameter!$L$5:$L$7,W1560))*INDEX(Parameter!$E$5:$E$7,W1560)*X1560/SUMIFS($X$7:$X$1843,$W$7:$W$1843,W1560),0),0)</f>
        <v>0</v>
      </c>
      <c r="CS1560" s="62" t="str">
        <f aca="false">IF(AND(OR(CG1560="L1",CG1560="L23",CG1560="LIFT"),H1560&gt;0),CC1560*IF(CR1560&gt;0,CR1560*MAX(1,H1560/X1560),IF(CA1560=1,CE1560,IF(R1560&gt;0,CN1560/R1560,0))/MAX(0.1,N(Parameter!$M$21))),"")</f>
        <v/>
      </c>
      <c r="CT1560" s="64" t="str">
        <f aca="false">IF(CS1560="","",J1560/H1560)</f>
        <v/>
      </c>
      <c r="CU1560" s="62" t="str">
        <f aca="false">IF(CS1560="","",H1560*G1560)</f>
        <v/>
      </c>
      <c r="CV1560" s="63" t="str">
        <f aca="false">IF(CS1560="","",(CL1560+ROUNDUP(CL1560+MAX(CM1560,2*(J1560/MAX(0.1,N(Einkauf!$C$6))-CL1560)),0))/2)</f>
        <v/>
      </c>
      <c r="CW1560" s="62" t="str">
        <f aca="false">IF(CS1560="","",MAX(0,H1560-CV1560)*G1560)</f>
        <v/>
      </c>
      <c r="CX1560" s="62" t="str">
        <f aca="false">IF(CS1560="","",CS1560*MAX(0,1-CV1560/H1560))</f>
        <v/>
      </c>
      <c r="CY1560" s="64" t="str">
        <f aca="false">IF(CS1560="","",PERCENTRANK($CS$7:$CS$1843,CS1560)+PERCENTRANK($CU$7:$CU$1843,CU1560)+1-PERCENTRANK($CT$7:$CT$1843,CT1560))</f>
        <v/>
      </c>
      <c r="CZ1560" s="72" t="str">
        <f aca="false">IF(CS1560="","",CHOOSE(MATCH(Einkauf!$C$5,Parameter!$G$23:$G$27,0),CY1560,CS1560,CU1560,-CT1560,CW1560)+ROW()/1000000000)</f>
        <v/>
      </c>
    </row>
    <row r="1561" customFormat="false" ht="15" hidden="false" customHeight="false" outlineLevel="0" collapsed="false">
      <c r="A1561" s="60" t="s">
        <v>2769</v>
      </c>
      <c r="B1561" s="60" t="s">
        <v>2770</v>
      </c>
      <c r="C1561" s="60" t="s">
        <v>206</v>
      </c>
      <c r="D1561" s="60" t="s">
        <v>226</v>
      </c>
      <c r="E1561" s="60"/>
      <c r="F1561" s="60"/>
      <c r="G1561" s="61" t="n">
        <v>40.4</v>
      </c>
      <c r="H1561" s="62" t="n">
        <f aca="false">MAX(0,IF(AND(Parameter!$B$21="Ja",ISNUMBER(Y1561)),Y1561,IF(Parameter!$B$20="Jahresanfang 2025 + Export",BS1561+BR1561,BR1561)))</f>
        <v>4</v>
      </c>
      <c r="I1561" s="62" t="n">
        <f aca="false">H1561*G1561</f>
        <v>161.6</v>
      </c>
      <c r="J1561" s="62" t="n">
        <f aca="false">BU1561*Parameter!$B$18</f>
        <v>0</v>
      </c>
      <c r="K1561" s="63"/>
      <c r="L1561" s="64"/>
      <c r="M1561" s="62" t="n">
        <v>0</v>
      </c>
      <c r="N1561" s="62" t="n">
        <v>1</v>
      </c>
      <c r="O1561" s="65" t="n">
        <v>21</v>
      </c>
      <c r="P1561" s="60" t="s">
        <v>210</v>
      </c>
      <c r="Q1561" s="62"/>
      <c r="R1561" s="65" t="n">
        <f aca="false">IF(CA1561=1,0,IFERROR(VLOOKUP(BY1561,'Gebinde-Kategorie'!$A$5:$N$45,13,0)+0,0))</f>
        <v>26</v>
      </c>
      <c r="S1561" s="66"/>
      <c r="T1561" s="67" t="s">
        <v>317</v>
      </c>
      <c r="U1561" s="67"/>
      <c r="V1561" s="67"/>
      <c r="W1561" s="60"/>
      <c r="X1561" s="62"/>
      <c r="Y1561" s="62"/>
      <c r="Z1561" s="60" t="n">
        <v>3</v>
      </c>
      <c r="AA1561" s="60" t="n">
        <f aca="false">IF(A1561="","",IF(AND(Parameter!$B$21="Ja",ISNUMBER(W1561)),W1561,IF(AND(Parameter!$E$27="Ja",ISNUMBER(Z1561),CD1561&lt;&gt;"Nein"),Z1561,IF(CD1561="2+3",IF(ISNUMBER(SEARCH("grosser Artikel",BV1561)),2,IFERROR(VLOOKUP(BY1561,Parameter!$F$35:$G$64,2,0),2)),IF(OR(CD1561="Nein",CD1561=""),"-",CD1561)))))</f>
        <v>3</v>
      </c>
      <c r="AB1561" s="67"/>
      <c r="AC1561" s="68"/>
      <c r="AD1561" s="62" t="n">
        <f aca="false">AW1561</f>
        <v>1</v>
      </c>
      <c r="AE1561" s="62" t="n">
        <f aca="false">MAX(AW1561,H1561)</f>
        <v>4</v>
      </c>
      <c r="AF1561" s="69"/>
      <c r="AG1561" s="62" t="n">
        <f aca="false">IF(LEFT(Cockpit!$C$5,1)="A",H1561,IF(Parameter!$E$30="MAX-Bestand",IF(CI1561=1,CJ1561,IF(LEFT(Cockpit!$C$5,1)="B",AM1561,MAX(AM1561,H1561))),ROUNDUP(AK1561,0)))</f>
        <v>4</v>
      </c>
      <c r="AH1561" s="62" t="n">
        <f aca="false">IF(CA1561=1,0,ROUNDUP(AG1561/BZ1561,0))</f>
        <v>1</v>
      </c>
      <c r="AI1561" s="64" t="n">
        <f aca="false">IF(CR1561&gt;0,CR1561*MAX(1,AG1561/X1561),IF(CA1561=1,IF(AG1561&lt;=0,0,CE1561*MAX(1,IF(H1561&gt;0,AG1561/H1561,1))),IF(R1561&gt;0,AH1561/R1561,0))/MAX(0.1,N(Parameter!$M$21)))</f>
        <v>0.0384615384615385</v>
      </c>
      <c r="AJ1561" s="62" t="n">
        <f aca="false">AI1561*CC1561</f>
        <v>5.96153846153846</v>
      </c>
      <c r="AK1561" s="63" t="n">
        <f aca="false">IF(LEFT(Cockpit!$C$5,1)="A",H1561,IF(CI1561=1,(CL1561+CJ1561)/2,IF(LEFT(Cockpit!$C$5,1)="B",(CL1561+AM1561)/2,MAX((CL1561+AM1561)/2,H1561))))</f>
        <v>4</v>
      </c>
      <c r="AL1561" s="62" t="n">
        <f aca="false">AK1561*G1561</f>
        <v>161.6</v>
      </c>
      <c r="AM1561" s="62" t="n">
        <f aca="false">ROUNDUP(CL1561+MAX(CM1561,2*(J1561/IF(CH1561&gt;0,CH1561,MAX(0.1,N(Cockpit!$C$6)))-CL1561)),0)</f>
        <v>1</v>
      </c>
      <c r="AN1561" s="63" t="n">
        <f aca="false">IF(AJ1561&gt;0,J1561/AJ1561,-1)</f>
        <v>0</v>
      </c>
      <c r="AO1561" s="63" t="n">
        <f aca="false">IF(AND(OR(CG1561="L1",CG1561="L23",CG1561="LIFT"),AJ1561&gt;0),SUMIFS($AJ$7:$AJ$1843,$CG$7:$CG$1843,CG1561,$AN$7:$AN$1843,"&gt;"&amp;AN1561)+SUMIFS($AJ$7:$AJ$1843,$CG$7:$CG$1843,CG1561,$AN$7:$AN$1843,AN1561,$BX$7:$BX$1843,"&lt;="&amp;BX1561),"")</f>
        <v>30270.532364293</v>
      </c>
      <c r="AP1561" s="70" t="n">
        <f aca="false">IF(AO1561="",0,MAX(0,MIN(1,(IF(CG1561="L1",Parameter!$H$5,IF(CG1561="L23",Parameter!$H$6+Parameter!$H$7,Parameter!$H$5+Parameter!$H$6+Parameter!$H$7))-(AO1561-AJ1561))/AJ1561)))</f>
        <v>1</v>
      </c>
      <c r="AQ1561" s="62" t="n">
        <f aca="false">IF(LEFT(Cockpit!$I$5,1)="A",H1561,IF(Parameter!$E$30="MAX-Bestand",IF(CI1561=1,CJ1561,IF(LEFT(Cockpit!$I$5,1)="B",AW1561,MAX(AW1561,H1561))),ROUNDUP(AU1561,0)))</f>
        <v>4</v>
      </c>
      <c r="AR1561" s="62" t="n">
        <f aca="false">IF(CA1561=1,0,ROUNDUP(AQ1561/BZ1561,0))</f>
        <v>1</v>
      </c>
      <c r="AS1561" s="64" t="n">
        <f aca="false">IF(CR1561&gt;0,CR1561*MAX(1,AQ1561/X1561),IF(CA1561=1,IF(AQ1561&lt;=0,0,CE1561*MAX(1,IF(H1561&gt;0,AQ1561/H1561,1))),IF(R1561&gt;0,AR1561/R1561,0))/MAX(0.1,N(Parameter!$M$21)))</f>
        <v>0.0384615384615385</v>
      </c>
      <c r="AT1561" s="62" t="n">
        <f aca="false">AS1561*CC1561</f>
        <v>5.96153846153846</v>
      </c>
      <c r="AU1561" s="63" t="n">
        <f aca="false">IF(LEFT(Cockpit!$I$5,1)="A",H1561,IF(CI1561=1,(CL1561+CJ1561)/2,IF(LEFT(Cockpit!$I$5,1)="B",(CL1561+AW1561)/2,MAX((CL1561+AW1561)/2,H1561))))</f>
        <v>4</v>
      </c>
      <c r="AV1561" s="62" t="n">
        <f aca="false">AU1561*G1561</f>
        <v>161.6</v>
      </c>
      <c r="AW1561" s="62" t="n">
        <f aca="false">ROUNDUP(CL1561+MAX(CM1561,2*(J1561/IF(CH1561&gt;0,CH1561,MAX(0.1,N(Cockpit!$I$6)))-CL1561)),0)</f>
        <v>1</v>
      </c>
      <c r="AX1561" s="63" t="n">
        <f aca="false">IF(AT1561&gt;0,J1561/AT1561,-1)</f>
        <v>0</v>
      </c>
      <c r="AY1561" s="63" t="n">
        <f aca="false">IF(AND(OR(CG1561="L1",CG1561="L23",CG1561="LIFT"),AT1561&gt;0),SUMIFS($AT$7:$AT$1843,$CG$7:$CG$1843,CG1561,$AX$7:$AX$1843,"&gt;"&amp;AX1561)+SUMIFS($AT$7:$AT$1843,$CG$7:$CG$1843,CG1561,$AX$7:$AX$1843,AX1561,$BX$7:$BX$1843,"&lt;="&amp;BX1561),"")</f>
        <v>36590.3888811283</v>
      </c>
      <c r="AZ1561" s="70" t="n">
        <f aca="false">IF(AY1561="",0,MAX(0,MIN(1,(IF(CG1561="L1",Parameter!$H$5,IF(CG1561="L23",Parameter!$H$6+Parameter!$H$7,Parameter!$H$5+Parameter!$H$6+Parameter!$H$7))-(AY1561-AT1561))/AT1561)))</f>
        <v>0</v>
      </c>
      <c r="BA1561" s="62" t="n">
        <f aca="false">IF(LEFT(Cockpit!$O$5,1)="A",H1561,IF(Parameter!$E$30="MAX-Bestand",IF(CI1561=1,CJ1561,IF(LEFT(Cockpit!$O$5,1)="B",BG1561,MAX(BG1561,H1561))),ROUNDUP(BE1561,0)))</f>
        <v>1</v>
      </c>
      <c r="BB1561" s="62" t="n">
        <f aca="false">IF(CA1561=1,0,ROUNDUP(BA1561/BZ1561,0))</f>
        <v>1</v>
      </c>
      <c r="BC1561" s="64" t="n">
        <f aca="false">IF(CR1561&gt;0,CR1561*MAX(1,BA1561/X1561),IF(CA1561=1,IF(BA1561&lt;=0,0,CE1561*MAX(1,IF(H1561&gt;0,BA1561/H1561,1))),IF(R1561&gt;0,BB1561/R1561,0))/MAX(0.1,N(Parameter!$M$21)))</f>
        <v>0.0384615384615385</v>
      </c>
      <c r="BD1561" s="62" t="n">
        <f aca="false">BC1561*CC1561</f>
        <v>5.96153846153846</v>
      </c>
      <c r="BE1561" s="63" t="n">
        <f aca="false">IF(LEFT(Cockpit!$O$5,1)="A",H1561,IF(CI1561=1,(CL1561+CJ1561)/2,IF(LEFT(Cockpit!$O$5,1)="B",(CL1561+BG1561)/2,MAX((CL1561+BG1561)/2,H1561))))</f>
        <v>0.5</v>
      </c>
      <c r="BF1561" s="62" t="n">
        <f aca="false">BE1561*G1561</f>
        <v>20.2</v>
      </c>
      <c r="BG1561" s="62" t="n">
        <f aca="false">ROUNDUP(CL1561+MAX(CM1561,2*(J1561/IF(CH1561&gt;0,CH1561,MAX(0.1,N(Cockpit!$O$6)))-CL1561)),0)</f>
        <v>1</v>
      </c>
      <c r="BH1561" s="63" t="n">
        <f aca="false">IF(BD1561&gt;0,J1561/BD1561,-1)</f>
        <v>0</v>
      </c>
      <c r="BI1561" s="63" t="n">
        <f aca="false">IF(AND(OR(CG1561="L1",CG1561="L23",CG1561="LIFT"),BD1561&gt;0),SUMIFS($BD$7:$BD$1843,$CG$7:$CG$1843,CG1561,$BH$7:$BH$1843,"&gt;"&amp;BH1561)+SUMIFS($BD$7:$BD$1843,$CG$7:$CG$1843,CG1561,$BH$7:$BH$1843,BH1561,$BX$7:$BX$1843,"&lt;="&amp;BX1561),"")</f>
        <v>30499.8301566607</v>
      </c>
      <c r="BJ1561" s="70" t="n">
        <f aca="false">IF(BI1561="",0,MAX(0,MIN(1,(IF(CG1561="L1",Parameter!$H$5,IF(CG1561="L23",Parameter!$H$6+Parameter!$H$7,Parameter!$H$5+Parameter!$H$6+Parameter!$H$7))-(BI1561-BD1561))/BD1561)))</f>
        <v>1</v>
      </c>
      <c r="BK1561" s="60" t="str">
        <f aca="false">IF(AJ1561&lt;=0,"",IF(CG1561="Aussen","Aussenlager",IF(CG1561="-","Nicht im Lift",IF(AP1561&gt;=1,"Lift",IF(AP1561&lt;=0,"Aussenlager","teilweise")))))</f>
        <v>Lift</v>
      </c>
      <c r="BL1561" s="60" t="str">
        <f aca="false">IF(AT1561&lt;=0,"",IF(CG1561="Aussen","Aussenlager",IF(CG1561="-","Nicht im Lift",IF(AZ1561&gt;=1,"Lift",IF(AZ1561&lt;=0,"Aussenlager","teilweise")))))</f>
        <v>Aussenlager</v>
      </c>
      <c r="BM1561" s="60" t="str">
        <f aca="false">IF(BD1561&lt;=0,"",IF(CG1561="Aussen","Aussenlager",IF(CG1561="-","Nicht im Lift",IF(BJ1561&gt;=1,"Lift",IF(BJ1561&lt;=0,"Aussenlager","teilweise")))))</f>
        <v>Lift</v>
      </c>
      <c r="BN1561" s="60" t="str">
        <f aca="false">IF(A1561="","",IF(BW1561=1,"Neu; ","")&amp;IF(AND(BW1561=0,BR1561&lt;0),"negativer Bestand (Export "&amp;BR1561&amp;"); ","")&amp;IF(J1561&lt;=0,"Kein Verbrauch; ","")&amp;IF(CR1561&gt;0,"Lift "&amp;W1561&amp;" lt. Liftbericht (Fach "&amp;X1561&amp;" Stk); ",IF(CB1561=1,"Gebinde geschätzt ("&amp;T1561&amp;"); ",IF(CA1561=1,"Lose – Tablare geschätzt; ","")))&amp;IF(H1561&gt;AW1561,"Überbestand "&amp;ROUND(H1561-AW1561,0)&amp;" Stk / CHF "&amp;ROUND((H1561-AW1561)*G1561,0)&amp;"; ","")&amp;IF(AND(CI1561=1,CJ1561&lt;CK1561),"MAX &lt; MB+LG; ","")&amp;IF(AND(CQ1561&gt;0,CP1561*10&gt;CQ1561),"zu hoch für Tablar; ","")&amp;IF(AND(BW1561=0,OR(CI1561=1,AB1561&lt;&gt;"",U1561&lt;&gt;"",V1561&lt;&gt;"",AC1561&lt;&gt;"")),"manuell übersteuert; ","")&amp;IF(AND(CA1561=0,R1561=0),"Gebinde unbekannt / Stellmass fehlt; ","")&amp;IF(AND(CA1561=0,N(V1561)&lt;=0,N(Q1561)&lt;=0),"Menge pro Gebinde fehlt (Ist = 1 Gebinde); ","")&amp;BV1561)</f>
        <v>Kein Verbrauch; Gebinde geschätzt (Klein); Überbestand 3 Stk / CHF 121; Menge pro Gebinde fehlt (Ist = 1 Gebinde); nur im Artikelstamm (Bestand 23.06.2026)</v>
      </c>
      <c r="BO1561" s="60"/>
      <c r="BP1561" s="60"/>
      <c r="BQ1561" s="67"/>
      <c r="BR1561" s="62" t="n">
        <v>4</v>
      </c>
      <c r="BS1561" s="62" t="n">
        <v>0</v>
      </c>
      <c r="BT1561" s="61" t="n">
        <v>0</v>
      </c>
      <c r="BU1561" s="62" t="n">
        <v>0</v>
      </c>
      <c r="BV1561" s="60" t="s">
        <v>2617</v>
      </c>
      <c r="BW1561" s="65" t="n">
        <v>0</v>
      </c>
      <c r="BX1561" s="65" t="n">
        <v>1561</v>
      </c>
      <c r="BY1561" s="60" t="str">
        <f aca="false">IF(U1561&lt;&gt;"",UPPER(TRIM(U1561)),IF(CB1561=1,UPPER(VLOOKUP(T1561,Parameter!$I$27:$K$29,2,0)),IF(P1561="","LOSE",P1561)))</f>
        <v>S51</v>
      </c>
      <c r="BZ1561" s="62" t="n">
        <f aca="false">IF(BY1561="LOSE",1,IF(N(V1561)&gt;0,V1561,IF(CB1561=1,MAX(1,N(VLOOKUP(T1561,Parameter!$I$27:$K$29,3,0)),H1561,N(N1561)),IF(N(Q1561)&gt;0,Q1561,MAX(1,H1561)))))</f>
        <v>20</v>
      </c>
      <c r="CA1561" s="65" t="n">
        <f aca="false">IF(BY1561="LOSE",1,0)</f>
        <v>0</v>
      </c>
      <c r="CB1561" s="65" t="n">
        <f aca="false">IF(AND(U1561="",OR(P1561="",P1561="LOSE"),T1561&lt;&gt;"",N(S1561)&lt;=0,ISNUMBER(MATCH(T1561,Parameter!$I$27:$I$29,0))),1,0)</f>
        <v>1</v>
      </c>
      <c r="CC1561" s="65" t="n">
        <f aca="false">IF(CR1561&gt;0,INDEX(Parameter!$H$5:$H$7,W1561)/INDEX(Parameter!$E$5:$E$7,W1561),IF(AND(CA1561=0,N(IFERROR(VLOOKUP(BY1561,'Gebinde-Kategorie'!$A$5:$N$45,14,0),0))&gt;0),VLOOKUP(BY1561,'Gebinde-Kategorie'!$A$5:$N$45,14,0)*10+Parameter!$M$23,Parameter!$M$24))</f>
        <v>155</v>
      </c>
      <c r="CD1561" s="60" t="str">
        <f aca="false">IF(AND(Parameter!$B$19="Ja",E1561&lt;&gt;"",ISNUMBER(MATCH(E1561,Parameter!$I$35:$I$52,0))),VLOOKUP(E1561,Parameter!$I$35:$J$52,2,0),IFERROR(VLOOKUP(D1561,Parameter!$A$35:$C$64,2,0),"Nein"))</f>
        <v>2+3</v>
      </c>
      <c r="CE1561" s="64" t="n">
        <f aca="false">IF(CA1561=0,0,IF(N(S1561)&gt;0,S1561,IFERROR(VLOOKUP(D1561,Parameter!$A$35:$C$64,3,0)+0,0)))</f>
        <v>0</v>
      </c>
      <c r="CF1561" s="60" t="n">
        <f aca="false">IF(AB1561&lt;&gt;"",AB1561,AA1561)</f>
        <v>3</v>
      </c>
      <c r="CG1561" s="60" t="str">
        <f aca="false">IF(OR(CF1561=1,CF1561=2,CF1561=3),IF(Parameter!$E$27="Ja","LIFT",IF(CF1561=1,"L1","L23")),IF(CF1561="Aussen","Aussen","-"))</f>
        <v>LIFT</v>
      </c>
      <c r="CH1561" s="71" t="n">
        <f aca="false">IF(N(AC1561)&gt;0,AC1561,0)</f>
        <v>0</v>
      </c>
      <c r="CI1561" s="65" t="n">
        <f aca="false">IF(ISNUMBER(AF1561),1,0)</f>
        <v>0</v>
      </c>
      <c r="CJ1561" s="62" t="n">
        <f aca="false">N(AF1561)</f>
        <v>0</v>
      </c>
      <c r="CK1561" s="62" t="n">
        <f aca="false">N(M1561)+N(N1561)</f>
        <v>1</v>
      </c>
      <c r="CL1561" s="62" t="n">
        <f aca="false">N(M1561)</f>
        <v>0</v>
      </c>
      <c r="CM1561" s="62" t="n">
        <f aca="false">N(N1561)</f>
        <v>1</v>
      </c>
      <c r="CN1561" s="62" t="n">
        <f aca="false">ROUNDUP(H1561/BZ1561,0)</f>
        <v>1</v>
      </c>
      <c r="CO1561" s="62" t="n">
        <f aca="false">ROUNDUP(CJ1561/BZ1561,0)</f>
        <v>0</v>
      </c>
      <c r="CP1561" s="65" t="n">
        <f aca="false">IF(CA1561=1,0,IFERROR(VLOOKUP(BY1561,'Gebinde-Kategorie'!$A$5:$N$45,5,0)+0,0))</f>
        <v>11</v>
      </c>
      <c r="CQ1561" s="65" t="n">
        <f aca="false">IFERROR(IF(OR(CF1561=1,CF1561=2,CF1561=3),N(INDEX(Parameter!$I$5:$I$7,CF1561)),0),0)</f>
        <v>0</v>
      </c>
      <c r="CR1561" s="64" t="n">
        <f aca="false">IF(AND(Parameter!$B$21="Ja",ISNUMBER(W1561),N(X1561)&gt;0),IFERROR(N(INDEX(Parameter!$L$5:$L$7,W1561))*INDEX(Parameter!$E$5:$E$7,W1561)*X1561/SUMIFS($X$7:$X$1843,$W$7:$W$1843,W1561),0),0)</f>
        <v>0</v>
      </c>
      <c r="CS1561" s="62" t="n">
        <f aca="false">IF(AND(OR(CG1561="L1",CG1561="L23",CG1561="LIFT"),H1561&gt;0),CC1561*IF(CR1561&gt;0,CR1561*MAX(1,H1561/X1561),IF(CA1561=1,CE1561,IF(R1561&gt;0,CN1561/R1561,0))/MAX(0.1,N(Parameter!$M$21))),"")</f>
        <v>5.96153846153846</v>
      </c>
      <c r="CT1561" s="64" t="n">
        <f aca="false">IF(CS1561="","",J1561/H1561)</f>
        <v>0</v>
      </c>
      <c r="CU1561" s="62" t="n">
        <f aca="false">IF(CS1561="","",H1561*G1561)</f>
        <v>161.6</v>
      </c>
      <c r="CV1561" s="63" t="n">
        <f aca="false">IF(CS1561="","",(CL1561+ROUNDUP(CL1561+MAX(CM1561,2*(J1561/MAX(0.1,N(Einkauf!$C$6))-CL1561)),0))/2)</f>
        <v>0.5</v>
      </c>
      <c r="CW1561" s="62" t="n">
        <f aca="false">IF(CS1561="","",MAX(0,H1561-CV1561)*G1561)</f>
        <v>141.4</v>
      </c>
      <c r="CX1561" s="62" t="n">
        <f aca="false">IF(CS1561="","",CS1561*MAX(0,1-CV1561/H1561))</f>
        <v>5.21634615384615</v>
      </c>
      <c r="CY1561" s="64" t="n">
        <f aca="false">IF(CS1561="","",PERCENTRANK($CS$7:$CS$1843,CS1561)+PERCENTRANK($CU$7:$CU$1843,CU1561)+1-PERCENTRANK($CT$7:$CT$1843,CT1561))</f>
        <v>1.661</v>
      </c>
      <c r="CZ1561" s="72" t="n">
        <f aca="false">IF(CS1561="","",CHOOSE(MATCH(Einkauf!$C$5,Parameter!$G$23:$G$27,0),CY1561,CS1561,CU1561,-CT1561,CW1561)+ROW()/1000000000)</f>
        <v>1.661001561</v>
      </c>
    </row>
    <row r="1562" customFormat="false" ht="15" hidden="false" customHeight="false" outlineLevel="0" collapsed="false">
      <c r="A1562" s="60" t="s">
        <v>2771</v>
      </c>
      <c r="B1562" s="60" t="s">
        <v>2772</v>
      </c>
      <c r="C1562" s="60" t="s">
        <v>206</v>
      </c>
      <c r="D1562" s="60" t="s">
        <v>226</v>
      </c>
      <c r="E1562" s="60"/>
      <c r="F1562" s="60"/>
      <c r="G1562" s="61" t="n">
        <v>13.75</v>
      </c>
      <c r="H1562" s="62" t="n">
        <f aca="false">MAX(0,IF(AND(Parameter!$B$21="Ja",ISNUMBER(Y1562)),Y1562,IF(Parameter!$B$20="Jahresanfang 2025 + Export",BS1562+BR1562,BR1562)))</f>
        <v>2</v>
      </c>
      <c r="I1562" s="62" t="n">
        <f aca="false">H1562*G1562</f>
        <v>27.5</v>
      </c>
      <c r="J1562" s="62" t="n">
        <f aca="false">BU1562*Parameter!$B$18</f>
        <v>0</v>
      </c>
      <c r="K1562" s="63"/>
      <c r="L1562" s="64"/>
      <c r="M1562" s="62" t="n">
        <v>0</v>
      </c>
      <c r="N1562" s="62" t="n">
        <v>25</v>
      </c>
      <c r="O1562" s="65" t="n">
        <v>21</v>
      </c>
      <c r="P1562" s="60" t="s">
        <v>210</v>
      </c>
      <c r="Q1562" s="62"/>
      <c r="R1562" s="65" t="n">
        <f aca="false">IF(CA1562=1,0,IFERROR(VLOOKUP(BY1562,'Gebinde-Kategorie'!$A$5:$N$45,13,0)+0,0))</f>
        <v>26</v>
      </c>
      <c r="S1562" s="66"/>
      <c r="T1562" s="67" t="s">
        <v>317</v>
      </c>
      <c r="U1562" s="67"/>
      <c r="V1562" s="67"/>
      <c r="W1562" s="60"/>
      <c r="X1562" s="62"/>
      <c r="Y1562" s="62"/>
      <c r="Z1562" s="60" t="n">
        <v>3</v>
      </c>
      <c r="AA1562" s="60" t="n">
        <f aca="false">IF(A1562="","",IF(AND(Parameter!$B$21="Ja",ISNUMBER(W1562)),W1562,IF(AND(Parameter!$E$27="Ja",ISNUMBER(Z1562),CD1562&lt;&gt;"Nein"),Z1562,IF(CD1562="2+3",IF(ISNUMBER(SEARCH("grosser Artikel",BV1562)),2,IFERROR(VLOOKUP(BY1562,Parameter!$F$35:$G$64,2,0),2)),IF(OR(CD1562="Nein",CD1562=""),"-",CD1562)))))</f>
        <v>3</v>
      </c>
      <c r="AB1562" s="67"/>
      <c r="AC1562" s="68"/>
      <c r="AD1562" s="62" t="n">
        <f aca="false">AW1562</f>
        <v>25</v>
      </c>
      <c r="AE1562" s="62" t="n">
        <f aca="false">MAX(AW1562,H1562)</f>
        <v>25</v>
      </c>
      <c r="AF1562" s="69"/>
      <c r="AG1562" s="62" t="n">
        <f aca="false">IF(LEFT(Cockpit!$C$5,1)="A",H1562,IF(Parameter!$E$30="MAX-Bestand",IF(CI1562=1,CJ1562,IF(LEFT(Cockpit!$C$5,1)="B",AM1562,MAX(AM1562,H1562))),ROUNDUP(AK1562,0)))</f>
        <v>2</v>
      </c>
      <c r="AH1562" s="62" t="n">
        <f aca="false">IF(CA1562=1,0,ROUNDUP(AG1562/BZ1562,0))</f>
        <v>1</v>
      </c>
      <c r="AI1562" s="64" t="n">
        <f aca="false">IF(CR1562&gt;0,CR1562*MAX(1,AG1562/X1562),IF(CA1562=1,IF(AG1562&lt;=0,0,CE1562*MAX(1,IF(H1562&gt;0,AG1562/H1562,1))),IF(R1562&gt;0,AH1562/R1562,0))/MAX(0.1,N(Parameter!$M$21)))</f>
        <v>0.0384615384615385</v>
      </c>
      <c r="AJ1562" s="62" t="n">
        <f aca="false">AI1562*CC1562</f>
        <v>5.96153846153846</v>
      </c>
      <c r="AK1562" s="63" t="n">
        <f aca="false">IF(LEFT(Cockpit!$C$5,1)="A",H1562,IF(CI1562=1,(CL1562+CJ1562)/2,IF(LEFT(Cockpit!$C$5,1)="B",(CL1562+AM1562)/2,MAX((CL1562+AM1562)/2,H1562))))</f>
        <v>2</v>
      </c>
      <c r="AL1562" s="62" t="n">
        <f aca="false">AK1562*G1562</f>
        <v>27.5</v>
      </c>
      <c r="AM1562" s="62" t="n">
        <f aca="false">ROUNDUP(CL1562+MAX(CM1562,2*(J1562/IF(CH1562&gt;0,CH1562,MAX(0.1,N(Cockpit!$C$6)))-CL1562)),0)</f>
        <v>25</v>
      </c>
      <c r="AN1562" s="63" t="n">
        <f aca="false">IF(AJ1562&gt;0,J1562/AJ1562,-1)</f>
        <v>0</v>
      </c>
      <c r="AO1562" s="63" t="n">
        <f aca="false">IF(AND(OR(CG1562="L1",CG1562="L23",CG1562="LIFT"),AJ1562&gt;0),SUMIFS($AJ$7:$AJ$1843,$CG$7:$CG$1843,CG1562,$AN$7:$AN$1843,"&gt;"&amp;AN1562)+SUMIFS($AJ$7:$AJ$1843,$CG$7:$CG$1843,CG1562,$AN$7:$AN$1843,AN1562,$BX$7:$BX$1843,"&lt;="&amp;BX1562),"")</f>
        <v>30276.4939027545</v>
      </c>
      <c r="AP1562" s="70" t="n">
        <f aca="false">IF(AO1562="",0,MAX(0,MIN(1,(IF(CG1562="L1",Parameter!$H$5,IF(CG1562="L23",Parameter!$H$6+Parameter!$H$7,Parameter!$H$5+Parameter!$H$6+Parameter!$H$7))-(AO1562-AJ1562))/AJ1562)))</f>
        <v>1</v>
      </c>
      <c r="AQ1562" s="62" t="n">
        <f aca="false">IF(LEFT(Cockpit!$I$5,1)="A",H1562,IF(Parameter!$E$30="MAX-Bestand",IF(CI1562=1,CJ1562,IF(LEFT(Cockpit!$I$5,1)="B",AW1562,MAX(AW1562,H1562))),ROUNDUP(AU1562,0)))</f>
        <v>13</v>
      </c>
      <c r="AR1562" s="62" t="n">
        <f aca="false">IF(CA1562=1,0,ROUNDUP(AQ1562/BZ1562,0))</f>
        <v>1</v>
      </c>
      <c r="AS1562" s="64" t="n">
        <f aca="false">IF(CR1562&gt;0,CR1562*MAX(1,AQ1562/X1562),IF(CA1562=1,IF(AQ1562&lt;=0,0,CE1562*MAX(1,IF(H1562&gt;0,AQ1562/H1562,1))),IF(R1562&gt;0,AR1562/R1562,0))/MAX(0.1,N(Parameter!$M$21)))</f>
        <v>0.0384615384615385</v>
      </c>
      <c r="AT1562" s="62" t="n">
        <f aca="false">AS1562*CC1562</f>
        <v>5.96153846153846</v>
      </c>
      <c r="AU1562" s="63" t="n">
        <f aca="false">IF(LEFT(Cockpit!$I$5,1)="A",H1562,IF(CI1562=1,(CL1562+CJ1562)/2,IF(LEFT(Cockpit!$I$5,1)="B",(CL1562+AW1562)/2,MAX((CL1562+AW1562)/2,H1562))))</f>
        <v>12.5</v>
      </c>
      <c r="AV1562" s="62" t="n">
        <f aca="false">AU1562*G1562</f>
        <v>171.875</v>
      </c>
      <c r="AW1562" s="62" t="n">
        <f aca="false">ROUNDUP(CL1562+MAX(CM1562,2*(J1562/IF(CH1562&gt;0,CH1562,MAX(0.1,N(Cockpit!$I$6)))-CL1562)),0)</f>
        <v>25</v>
      </c>
      <c r="AX1562" s="63" t="n">
        <f aca="false">IF(AT1562&gt;0,J1562/AT1562,-1)</f>
        <v>0</v>
      </c>
      <c r="AY1562" s="63" t="n">
        <f aca="false">IF(AND(OR(CG1562="L1",CG1562="L23",CG1562="LIFT"),AT1562&gt;0),SUMIFS($AT$7:$AT$1843,$CG$7:$CG$1843,CG1562,$AX$7:$AX$1843,"&gt;"&amp;AX1562)+SUMIFS($AT$7:$AT$1843,$CG$7:$CG$1843,CG1562,$AX$7:$AX$1843,AX1562,$BX$7:$BX$1843,"&lt;="&amp;BX1562),"")</f>
        <v>36596.3504195898</v>
      </c>
      <c r="AZ1562" s="70" t="n">
        <f aca="false">IF(AY1562="",0,MAX(0,MIN(1,(IF(CG1562="L1",Parameter!$H$5,IF(CG1562="L23",Parameter!$H$6+Parameter!$H$7,Parameter!$H$5+Parameter!$H$6+Parameter!$H$7))-(AY1562-AT1562))/AT1562)))</f>
        <v>0</v>
      </c>
      <c r="BA1562" s="62" t="n">
        <f aca="false">IF(LEFT(Cockpit!$O$5,1)="A",H1562,IF(Parameter!$E$30="MAX-Bestand",IF(CI1562=1,CJ1562,IF(LEFT(Cockpit!$O$5,1)="B",BG1562,MAX(BG1562,H1562))),ROUNDUP(BE1562,0)))</f>
        <v>13</v>
      </c>
      <c r="BB1562" s="62" t="n">
        <f aca="false">IF(CA1562=1,0,ROUNDUP(BA1562/BZ1562,0))</f>
        <v>1</v>
      </c>
      <c r="BC1562" s="64" t="n">
        <f aca="false">IF(CR1562&gt;0,CR1562*MAX(1,BA1562/X1562),IF(CA1562=1,IF(BA1562&lt;=0,0,CE1562*MAX(1,IF(H1562&gt;0,BA1562/H1562,1))),IF(R1562&gt;0,BB1562/R1562,0))/MAX(0.1,N(Parameter!$M$21)))</f>
        <v>0.0384615384615385</v>
      </c>
      <c r="BD1562" s="62" t="n">
        <f aca="false">BC1562*CC1562</f>
        <v>5.96153846153846</v>
      </c>
      <c r="BE1562" s="63" t="n">
        <f aca="false">IF(LEFT(Cockpit!$O$5,1)="A",H1562,IF(CI1562=1,(CL1562+CJ1562)/2,IF(LEFT(Cockpit!$O$5,1)="B",(CL1562+BG1562)/2,MAX((CL1562+BG1562)/2,H1562))))</f>
        <v>12.5</v>
      </c>
      <c r="BF1562" s="62" t="n">
        <f aca="false">BE1562*G1562</f>
        <v>171.875</v>
      </c>
      <c r="BG1562" s="62" t="n">
        <f aca="false">ROUNDUP(CL1562+MAX(CM1562,2*(J1562/IF(CH1562&gt;0,CH1562,MAX(0.1,N(Cockpit!$O$6)))-CL1562)),0)</f>
        <v>25</v>
      </c>
      <c r="BH1562" s="63" t="n">
        <f aca="false">IF(BD1562&gt;0,J1562/BD1562,-1)</f>
        <v>0</v>
      </c>
      <c r="BI1562" s="63" t="n">
        <f aca="false">IF(AND(OR(CG1562="L1",CG1562="L23",CG1562="LIFT"),BD1562&gt;0),SUMIFS($BD$7:$BD$1843,$CG$7:$CG$1843,CG1562,$BH$7:$BH$1843,"&gt;"&amp;BH1562)+SUMIFS($BD$7:$BD$1843,$CG$7:$CG$1843,CG1562,$BH$7:$BH$1843,BH1562,$BX$7:$BX$1843,"&lt;="&amp;BX1562),"")</f>
        <v>30505.7916951222</v>
      </c>
      <c r="BJ1562" s="70" t="n">
        <f aca="false">IF(BI1562="",0,MAX(0,MIN(1,(IF(CG1562="L1",Parameter!$H$5,IF(CG1562="L23",Parameter!$H$6+Parameter!$H$7,Parameter!$H$5+Parameter!$H$6+Parameter!$H$7))-(BI1562-BD1562))/BD1562)))</f>
        <v>1</v>
      </c>
      <c r="BK1562" s="60" t="str">
        <f aca="false">IF(AJ1562&lt;=0,"",IF(CG1562="Aussen","Aussenlager",IF(CG1562="-","Nicht im Lift",IF(AP1562&gt;=1,"Lift",IF(AP1562&lt;=0,"Aussenlager","teilweise")))))</f>
        <v>Lift</v>
      </c>
      <c r="BL1562" s="60" t="str">
        <f aca="false">IF(AT1562&lt;=0,"",IF(CG1562="Aussen","Aussenlager",IF(CG1562="-","Nicht im Lift",IF(AZ1562&gt;=1,"Lift",IF(AZ1562&lt;=0,"Aussenlager","teilweise")))))</f>
        <v>Aussenlager</v>
      </c>
      <c r="BM1562" s="60" t="str">
        <f aca="false">IF(BD1562&lt;=0,"",IF(CG1562="Aussen","Aussenlager",IF(CG1562="-","Nicht im Lift",IF(BJ1562&gt;=1,"Lift",IF(BJ1562&lt;=0,"Aussenlager","teilweise")))))</f>
        <v>Lift</v>
      </c>
      <c r="BN1562" s="60" t="str">
        <f aca="false">IF(A1562="","",IF(BW1562=1,"Neu; ","")&amp;IF(AND(BW1562=0,BR1562&lt;0),"negativer Bestand (Export "&amp;BR1562&amp;"); ","")&amp;IF(J1562&lt;=0,"Kein Verbrauch; ","")&amp;IF(CR1562&gt;0,"Lift "&amp;W1562&amp;" lt. Liftbericht (Fach "&amp;X1562&amp;" Stk); ",IF(CB1562=1,"Gebinde geschätzt ("&amp;T1562&amp;"); ",IF(CA1562=1,"Lose – Tablare geschätzt; ","")))&amp;IF(H1562&gt;AW1562,"Überbestand "&amp;ROUND(H1562-AW1562,0)&amp;" Stk / CHF "&amp;ROUND((H1562-AW1562)*G1562,0)&amp;"; ","")&amp;IF(AND(CI1562=1,CJ1562&lt;CK1562),"MAX &lt; MB+LG; ","")&amp;IF(AND(CQ1562&gt;0,CP1562*10&gt;CQ1562),"zu hoch für Tablar; ","")&amp;IF(AND(BW1562=0,OR(CI1562=1,AB1562&lt;&gt;"",U1562&lt;&gt;"",V1562&lt;&gt;"",AC1562&lt;&gt;"")),"manuell übersteuert; ","")&amp;IF(AND(CA1562=0,R1562=0),"Gebinde unbekannt / Stellmass fehlt; ","")&amp;IF(AND(CA1562=0,N(V1562)&lt;=0,N(Q1562)&lt;=0),"Menge pro Gebinde fehlt (Ist = 1 Gebinde); ","")&amp;BV1562)</f>
        <v>Kein Verbrauch; Gebinde geschätzt (Klein); Menge pro Gebinde fehlt (Ist = 1 Gebinde); nur im Artikelstamm (Bestand 23.06.2026)</v>
      </c>
      <c r="BO1562" s="60"/>
      <c r="BP1562" s="60"/>
      <c r="BQ1562" s="67"/>
      <c r="BR1562" s="62" t="n">
        <v>2</v>
      </c>
      <c r="BS1562" s="62" t="n">
        <v>0</v>
      </c>
      <c r="BT1562" s="61" t="n">
        <v>0</v>
      </c>
      <c r="BU1562" s="62" t="n">
        <v>0</v>
      </c>
      <c r="BV1562" s="60" t="s">
        <v>2617</v>
      </c>
      <c r="BW1562" s="65" t="n">
        <v>0</v>
      </c>
      <c r="BX1562" s="65" t="n">
        <v>1562</v>
      </c>
      <c r="BY1562" s="60" t="str">
        <f aca="false">IF(U1562&lt;&gt;"",UPPER(TRIM(U1562)),IF(CB1562=1,UPPER(VLOOKUP(T1562,Parameter!$I$27:$K$29,2,0)),IF(P1562="","LOSE",P1562)))</f>
        <v>S51</v>
      </c>
      <c r="BZ1562" s="62" t="n">
        <f aca="false">IF(BY1562="LOSE",1,IF(N(V1562)&gt;0,V1562,IF(CB1562=1,MAX(1,N(VLOOKUP(T1562,Parameter!$I$27:$K$29,3,0)),H1562,N(N1562)),IF(N(Q1562)&gt;0,Q1562,MAX(1,H1562)))))</f>
        <v>25</v>
      </c>
      <c r="CA1562" s="65" t="n">
        <f aca="false">IF(BY1562="LOSE",1,0)</f>
        <v>0</v>
      </c>
      <c r="CB1562" s="65" t="n">
        <f aca="false">IF(AND(U1562="",OR(P1562="",P1562="LOSE"),T1562&lt;&gt;"",N(S1562)&lt;=0,ISNUMBER(MATCH(T1562,Parameter!$I$27:$I$29,0))),1,0)</f>
        <v>1</v>
      </c>
      <c r="CC1562" s="65" t="n">
        <f aca="false">IF(CR1562&gt;0,INDEX(Parameter!$H$5:$H$7,W1562)/INDEX(Parameter!$E$5:$E$7,W1562),IF(AND(CA1562=0,N(IFERROR(VLOOKUP(BY1562,'Gebinde-Kategorie'!$A$5:$N$45,14,0),0))&gt;0),VLOOKUP(BY1562,'Gebinde-Kategorie'!$A$5:$N$45,14,0)*10+Parameter!$M$23,Parameter!$M$24))</f>
        <v>155</v>
      </c>
      <c r="CD1562" s="60" t="str">
        <f aca="false">IF(AND(Parameter!$B$19="Ja",E1562&lt;&gt;"",ISNUMBER(MATCH(E1562,Parameter!$I$35:$I$52,0))),VLOOKUP(E1562,Parameter!$I$35:$J$52,2,0),IFERROR(VLOOKUP(D1562,Parameter!$A$35:$C$64,2,0),"Nein"))</f>
        <v>2+3</v>
      </c>
      <c r="CE1562" s="64" t="n">
        <f aca="false">IF(CA1562=0,0,IF(N(S1562)&gt;0,S1562,IFERROR(VLOOKUP(D1562,Parameter!$A$35:$C$64,3,0)+0,0)))</f>
        <v>0</v>
      </c>
      <c r="CF1562" s="60" t="n">
        <f aca="false">IF(AB1562&lt;&gt;"",AB1562,AA1562)</f>
        <v>3</v>
      </c>
      <c r="CG1562" s="60" t="str">
        <f aca="false">IF(OR(CF1562=1,CF1562=2,CF1562=3),IF(Parameter!$E$27="Ja","LIFT",IF(CF1562=1,"L1","L23")),IF(CF1562="Aussen","Aussen","-"))</f>
        <v>LIFT</v>
      </c>
      <c r="CH1562" s="71" t="n">
        <f aca="false">IF(N(AC1562)&gt;0,AC1562,0)</f>
        <v>0</v>
      </c>
      <c r="CI1562" s="65" t="n">
        <f aca="false">IF(ISNUMBER(AF1562),1,0)</f>
        <v>0</v>
      </c>
      <c r="CJ1562" s="62" t="n">
        <f aca="false">N(AF1562)</f>
        <v>0</v>
      </c>
      <c r="CK1562" s="62" t="n">
        <f aca="false">N(M1562)+N(N1562)</f>
        <v>25</v>
      </c>
      <c r="CL1562" s="62" t="n">
        <f aca="false">N(M1562)</f>
        <v>0</v>
      </c>
      <c r="CM1562" s="62" t="n">
        <f aca="false">N(N1562)</f>
        <v>25</v>
      </c>
      <c r="CN1562" s="62" t="n">
        <f aca="false">ROUNDUP(H1562/BZ1562,0)</f>
        <v>1</v>
      </c>
      <c r="CO1562" s="62" t="n">
        <f aca="false">ROUNDUP(CJ1562/BZ1562,0)</f>
        <v>0</v>
      </c>
      <c r="CP1562" s="65" t="n">
        <f aca="false">IF(CA1562=1,0,IFERROR(VLOOKUP(BY1562,'Gebinde-Kategorie'!$A$5:$N$45,5,0)+0,0))</f>
        <v>11</v>
      </c>
      <c r="CQ1562" s="65" t="n">
        <f aca="false">IFERROR(IF(OR(CF1562=1,CF1562=2,CF1562=3),N(INDEX(Parameter!$I$5:$I$7,CF1562)),0),0)</f>
        <v>0</v>
      </c>
      <c r="CR1562" s="64" t="n">
        <f aca="false">IF(AND(Parameter!$B$21="Ja",ISNUMBER(W1562),N(X1562)&gt;0),IFERROR(N(INDEX(Parameter!$L$5:$L$7,W1562))*INDEX(Parameter!$E$5:$E$7,W1562)*X1562/SUMIFS($X$7:$X$1843,$W$7:$W$1843,W1562),0),0)</f>
        <v>0</v>
      </c>
      <c r="CS1562" s="62" t="n">
        <f aca="false">IF(AND(OR(CG1562="L1",CG1562="L23",CG1562="LIFT"),H1562&gt;0),CC1562*IF(CR1562&gt;0,CR1562*MAX(1,H1562/X1562),IF(CA1562=1,CE1562,IF(R1562&gt;0,CN1562/R1562,0))/MAX(0.1,N(Parameter!$M$21))),"")</f>
        <v>5.96153846153846</v>
      </c>
      <c r="CT1562" s="64" t="n">
        <f aca="false">IF(CS1562="","",J1562/H1562)</f>
        <v>0</v>
      </c>
      <c r="CU1562" s="62" t="n">
        <f aca="false">IF(CS1562="","",H1562*G1562)</f>
        <v>27.5</v>
      </c>
      <c r="CV1562" s="63" t="n">
        <f aca="false">IF(CS1562="","",(CL1562+ROUNDUP(CL1562+MAX(CM1562,2*(J1562/MAX(0.1,N(Einkauf!$C$6))-CL1562)),0))/2)</f>
        <v>12.5</v>
      </c>
      <c r="CW1562" s="62" t="n">
        <f aca="false">IF(CS1562="","",MAX(0,H1562-CV1562)*G1562)</f>
        <v>0</v>
      </c>
      <c r="CX1562" s="62" t="n">
        <f aca="false">IF(CS1562="","",CS1562*MAX(0,1-CV1562/H1562))</f>
        <v>0</v>
      </c>
      <c r="CY1562" s="64" t="n">
        <f aca="false">IF(CS1562="","",PERCENTRANK($CS$7:$CS$1843,CS1562)+PERCENTRANK($CU$7:$CU$1843,CU1562)+1-PERCENTRANK($CT$7:$CT$1843,CT1562))</f>
        <v>1.462</v>
      </c>
      <c r="CZ1562" s="72" t="n">
        <f aca="false">IF(CS1562="","",CHOOSE(MATCH(Einkauf!$C$5,Parameter!$G$23:$G$27,0),CY1562,CS1562,CU1562,-CT1562,CW1562)+ROW()/1000000000)</f>
        <v>1.462001562</v>
      </c>
    </row>
    <row r="1563" customFormat="false" ht="15" hidden="false" customHeight="false" outlineLevel="0" collapsed="false">
      <c r="A1563" s="60" t="s">
        <v>2773</v>
      </c>
      <c r="B1563" s="60" t="s">
        <v>2774</v>
      </c>
      <c r="C1563" s="60" t="s">
        <v>498</v>
      </c>
      <c r="D1563" s="60" t="s">
        <v>215</v>
      </c>
      <c r="E1563" s="60"/>
      <c r="F1563" s="60"/>
      <c r="G1563" s="61" t="n">
        <v>118</v>
      </c>
      <c r="H1563" s="62" t="n">
        <f aca="false">MAX(0,IF(AND(Parameter!$B$21="Ja",ISNUMBER(Y1563)),Y1563,IF(Parameter!$B$20="Jahresanfang 2025 + Export",BS1563+BR1563,BR1563)))</f>
        <v>6</v>
      </c>
      <c r="I1563" s="62" t="n">
        <f aca="false">H1563*G1563</f>
        <v>708</v>
      </c>
      <c r="J1563" s="62" t="n">
        <f aca="false">BU1563*Parameter!$B$18</f>
        <v>0</v>
      </c>
      <c r="K1563" s="63"/>
      <c r="L1563" s="64"/>
      <c r="M1563" s="62" t="n">
        <v>0</v>
      </c>
      <c r="N1563" s="62" t="n">
        <v>1</v>
      </c>
      <c r="O1563" s="65" t="n">
        <v>0</v>
      </c>
      <c r="P1563" s="60" t="s">
        <v>210</v>
      </c>
      <c r="Q1563" s="62"/>
      <c r="R1563" s="65" t="n">
        <f aca="false">IF(CA1563=1,0,IFERROR(VLOOKUP(BY1563,'Gebinde-Kategorie'!$A$5:$N$45,13,0)+0,0))</f>
        <v>12</v>
      </c>
      <c r="S1563" s="66"/>
      <c r="T1563" s="67" t="s">
        <v>221</v>
      </c>
      <c r="U1563" s="67"/>
      <c r="V1563" s="67"/>
      <c r="W1563" s="60"/>
      <c r="X1563" s="62"/>
      <c r="Y1563" s="62"/>
      <c r="Z1563" s="60" t="n">
        <v>3</v>
      </c>
      <c r="AA1563" s="60" t="n">
        <f aca="false">IF(A1563="","",IF(AND(Parameter!$B$21="Ja",ISNUMBER(W1563)),W1563,IF(AND(Parameter!$E$27="Ja",ISNUMBER(Z1563),CD1563&lt;&gt;"Nein"),Z1563,IF(CD1563="2+3",IF(ISNUMBER(SEARCH("grosser Artikel",BV1563)),2,IFERROR(VLOOKUP(BY1563,Parameter!$F$35:$G$64,2,0),2)),IF(OR(CD1563="Nein",CD1563=""),"-",CD1563)))))</f>
        <v>3</v>
      </c>
      <c r="AB1563" s="67"/>
      <c r="AC1563" s="68"/>
      <c r="AD1563" s="62" t="n">
        <f aca="false">AW1563</f>
        <v>1</v>
      </c>
      <c r="AE1563" s="62" t="n">
        <f aca="false">MAX(AW1563,H1563)</f>
        <v>6</v>
      </c>
      <c r="AF1563" s="69"/>
      <c r="AG1563" s="62" t="n">
        <f aca="false">IF(LEFT(Cockpit!$C$5,1)="A",H1563,IF(Parameter!$E$30="MAX-Bestand",IF(CI1563=1,CJ1563,IF(LEFT(Cockpit!$C$5,1)="B",AM1563,MAX(AM1563,H1563))),ROUNDUP(AK1563,0)))</f>
        <v>6</v>
      </c>
      <c r="AH1563" s="62" t="n">
        <f aca="false">IF(CA1563=1,0,ROUNDUP(AG1563/BZ1563,0))</f>
        <v>1</v>
      </c>
      <c r="AI1563" s="64" t="n">
        <f aca="false">IF(CR1563&gt;0,CR1563*MAX(1,AG1563/X1563),IF(CA1563=1,IF(AG1563&lt;=0,0,CE1563*MAX(1,IF(H1563&gt;0,AG1563/H1563,1))),IF(R1563&gt;0,AH1563/R1563,0))/MAX(0.1,N(Parameter!$M$21)))</f>
        <v>0.0833333333333333</v>
      </c>
      <c r="AJ1563" s="62" t="n">
        <f aca="false">AI1563*CC1563</f>
        <v>12.0833333333333</v>
      </c>
      <c r="AK1563" s="63" t="n">
        <f aca="false">IF(LEFT(Cockpit!$C$5,1)="A",H1563,IF(CI1563=1,(CL1563+CJ1563)/2,IF(LEFT(Cockpit!$C$5,1)="B",(CL1563+AM1563)/2,MAX((CL1563+AM1563)/2,H1563))))</f>
        <v>6</v>
      </c>
      <c r="AL1563" s="62" t="n">
        <f aca="false">AK1563*G1563</f>
        <v>708</v>
      </c>
      <c r="AM1563" s="62" t="n">
        <f aca="false">ROUNDUP(CL1563+MAX(CM1563,2*(J1563/IF(CH1563&gt;0,CH1563,MAX(0.1,N(Cockpit!$C$6)))-CL1563)),0)</f>
        <v>1</v>
      </c>
      <c r="AN1563" s="63" t="n">
        <f aca="false">IF(AJ1563&gt;0,J1563/AJ1563,-1)</f>
        <v>0</v>
      </c>
      <c r="AO1563" s="63" t="n">
        <f aca="false">IF(AND(OR(CG1563="L1",CG1563="L23",CG1563="LIFT"),AJ1563&gt;0),SUMIFS($AJ$7:$AJ$1843,$CG$7:$CG$1843,CG1563,$AN$7:$AN$1843,"&gt;"&amp;AN1563)+SUMIFS($AJ$7:$AJ$1843,$CG$7:$CG$1843,CG1563,$AN$7:$AN$1843,AN1563,$BX$7:$BX$1843,"&lt;="&amp;BX1563),"")</f>
        <v>30288.5772360878</v>
      </c>
      <c r="AP1563" s="70" t="n">
        <f aca="false">IF(AO1563="",0,MAX(0,MIN(1,(IF(CG1563="L1",Parameter!$H$5,IF(CG1563="L23",Parameter!$H$6+Parameter!$H$7,Parameter!$H$5+Parameter!$H$6+Parameter!$H$7))-(AO1563-AJ1563))/AJ1563)))</f>
        <v>1</v>
      </c>
      <c r="AQ1563" s="62" t="n">
        <f aca="false">IF(LEFT(Cockpit!$I$5,1)="A",H1563,IF(Parameter!$E$30="MAX-Bestand",IF(CI1563=1,CJ1563,IF(LEFT(Cockpit!$I$5,1)="B",AW1563,MAX(AW1563,H1563))),ROUNDUP(AU1563,0)))</f>
        <v>6</v>
      </c>
      <c r="AR1563" s="62" t="n">
        <f aca="false">IF(CA1563=1,0,ROUNDUP(AQ1563/BZ1563,0))</f>
        <v>1</v>
      </c>
      <c r="AS1563" s="64" t="n">
        <f aca="false">IF(CR1563&gt;0,CR1563*MAX(1,AQ1563/X1563),IF(CA1563=1,IF(AQ1563&lt;=0,0,CE1563*MAX(1,IF(H1563&gt;0,AQ1563/H1563,1))),IF(R1563&gt;0,AR1563/R1563,0))/MAX(0.1,N(Parameter!$M$21)))</f>
        <v>0.0833333333333333</v>
      </c>
      <c r="AT1563" s="62" t="n">
        <f aca="false">AS1563*CC1563</f>
        <v>12.0833333333333</v>
      </c>
      <c r="AU1563" s="63" t="n">
        <f aca="false">IF(LEFT(Cockpit!$I$5,1)="A",H1563,IF(CI1563=1,(CL1563+CJ1563)/2,IF(LEFT(Cockpit!$I$5,1)="B",(CL1563+AW1563)/2,MAX((CL1563+AW1563)/2,H1563))))</f>
        <v>6</v>
      </c>
      <c r="AV1563" s="62" t="n">
        <f aca="false">AU1563*G1563</f>
        <v>708</v>
      </c>
      <c r="AW1563" s="62" t="n">
        <f aca="false">ROUNDUP(CL1563+MAX(CM1563,2*(J1563/IF(CH1563&gt;0,CH1563,MAX(0.1,N(Cockpit!$I$6)))-CL1563)),0)</f>
        <v>1</v>
      </c>
      <c r="AX1563" s="63" t="n">
        <f aca="false">IF(AT1563&gt;0,J1563/AT1563,-1)</f>
        <v>0</v>
      </c>
      <c r="AY1563" s="63" t="n">
        <f aca="false">IF(AND(OR(CG1563="L1",CG1563="L23",CG1563="LIFT"),AT1563&gt;0),SUMIFS($AT$7:$AT$1843,$CG$7:$CG$1843,CG1563,$AX$7:$AX$1843,"&gt;"&amp;AX1563)+SUMIFS($AT$7:$AT$1843,$CG$7:$CG$1843,CG1563,$AX$7:$AX$1843,AX1563,$BX$7:$BX$1843,"&lt;="&amp;BX1563),"")</f>
        <v>36608.4337529232</v>
      </c>
      <c r="AZ1563" s="70" t="n">
        <f aca="false">IF(AY1563="",0,MAX(0,MIN(1,(IF(CG1563="L1",Parameter!$H$5,IF(CG1563="L23",Parameter!$H$6+Parameter!$H$7,Parameter!$H$5+Parameter!$H$6+Parameter!$H$7))-(AY1563-AT1563))/AT1563)))</f>
        <v>0</v>
      </c>
      <c r="BA1563" s="62" t="n">
        <f aca="false">IF(LEFT(Cockpit!$O$5,1)="A",H1563,IF(Parameter!$E$30="MAX-Bestand",IF(CI1563=1,CJ1563,IF(LEFT(Cockpit!$O$5,1)="B",BG1563,MAX(BG1563,H1563))),ROUNDUP(BE1563,0)))</f>
        <v>1</v>
      </c>
      <c r="BB1563" s="62" t="n">
        <f aca="false">IF(CA1563=1,0,ROUNDUP(BA1563/BZ1563,0))</f>
        <v>1</v>
      </c>
      <c r="BC1563" s="64" t="n">
        <f aca="false">IF(CR1563&gt;0,CR1563*MAX(1,BA1563/X1563),IF(CA1563=1,IF(BA1563&lt;=0,0,CE1563*MAX(1,IF(H1563&gt;0,BA1563/H1563,1))),IF(R1563&gt;0,BB1563/R1563,0))/MAX(0.1,N(Parameter!$M$21)))</f>
        <v>0.0833333333333333</v>
      </c>
      <c r="BD1563" s="62" t="n">
        <f aca="false">BC1563*CC1563</f>
        <v>12.0833333333333</v>
      </c>
      <c r="BE1563" s="63" t="n">
        <f aca="false">IF(LEFT(Cockpit!$O$5,1)="A",H1563,IF(CI1563=1,(CL1563+CJ1563)/2,IF(LEFT(Cockpit!$O$5,1)="B",(CL1563+BG1563)/2,MAX((CL1563+BG1563)/2,H1563))))</f>
        <v>0.5</v>
      </c>
      <c r="BF1563" s="62" t="n">
        <f aca="false">BE1563*G1563</f>
        <v>59</v>
      </c>
      <c r="BG1563" s="62" t="n">
        <f aca="false">ROUNDUP(CL1563+MAX(CM1563,2*(J1563/IF(CH1563&gt;0,CH1563,MAX(0.1,N(Cockpit!$O$6)))-CL1563)),0)</f>
        <v>1</v>
      </c>
      <c r="BH1563" s="63" t="n">
        <f aca="false">IF(BD1563&gt;0,J1563/BD1563,-1)</f>
        <v>0</v>
      </c>
      <c r="BI1563" s="63" t="n">
        <f aca="false">IF(AND(OR(CG1563="L1",CG1563="L23",CG1563="LIFT"),BD1563&gt;0),SUMIFS($BD$7:$BD$1843,$CG$7:$CG$1843,CG1563,$BH$7:$BH$1843,"&gt;"&amp;BH1563)+SUMIFS($BD$7:$BD$1843,$CG$7:$CG$1843,CG1563,$BH$7:$BH$1843,BH1563,$BX$7:$BX$1843,"&lt;="&amp;BX1563),"")</f>
        <v>30517.8750284555</v>
      </c>
      <c r="BJ1563" s="70" t="n">
        <f aca="false">IF(BI1563="",0,MAX(0,MIN(1,(IF(CG1563="L1",Parameter!$H$5,IF(CG1563="L23",Parameter!$H$6+Parameter!$H$7,Parameter!$H$5+Parameter!$H$6+Parameter!$H$7))-(BI1563-BD1563))/BD1563)))</f>
        <v>1</v>
      </c>
      <c r="BK1563" s="60" t="str">
        <f aca="false">IF(AJ1563&lt;=0,"",IF(CG1563="Aussen","Aussenlager",IF(CG1563="-","Nicht im Lift",IF(AP1563&gt;=1,"Lift",IF(AP1563&lt;=0,"Aussenlager","teilweise")))))</f>
        <v>Lift</v>
      </c>
      <c r="BL1563" s="60" t="str">
        <f aca="false">IF(AT1563&lt;=0,"",IF(CG1563="Aussen","Aussenlager",IF(CG1563="-","Nicht im Lift",IF(AZ1563&gt;=1,"Lift",IF(AZ1563&lt;=0,"Aussenlager","teilweise")))))</f>
        <v>Aussenlager</v>
      </c>
      <c r="BM1563" s="60" t="str">
        <f aca="false">IF(BD1563&lt;=0,"",IF(CG1563="Aussen","Aussenlager",IF(CG1563="-","Nicht im Lift",IF(BJ1563&gt;=1,"Lift",IF(BJ1563&lt;=0,"Aussenlager","teilweise")))))</f>
        <v>Lift</v>
      </c>
      <c r="BN1563" s="60" t="str">
        <f aca="false">IF(A1563="","",IF(BW1563=1,"Neu; ","")&amp;IF(AND(BW1563=0,BR1563&lt;0),"negativer Bestand (Export "&amp;BR1563&amp;"); ","")&amp;IF(J1563&lt;=0,"Kein Verbrauch; ","")&amp;IF(CR1563&gt;0,"Lift "&amp;W1563&amp;" lt. Liftbericht (Fach "&amp;X1563&amp;" Stk); ",IF(CB1563=1,"Gebinde geschätzt ("&amp;T1563&amp;"); ",IF(CA1563=1,"Lose – Tablare geschätzt; ","")))&amp;IF(H1563&gt;AW1563,"Überbestand "&amp;ROUND(H1563-AW1563,0)&amp;" Stk / CHF "&amp;ROUND((H1563-AW1563)*G1563,0)&amp;"; ","")&amp;IF(AND(CI1563=1,CJ1563&lt;CK1563),"MAX &lt; MB+LG; ","")&amp;IF(AND(CQ1563&gt;0,CP1563*10&gt;CQ1563),"zu hoch für Tablar; ","")&amp;IF(AND(BW1563=0,OR(CI1563=1,AB1563&lt;&gt;"",U1563&lt;&gt;"",V1563&lt;&gt;"",AC1563&lt;&gt;"")),"manuell übersteuert; ","")&amp;IF(AND(CA1563=0,R1563=0),"Gebinde unbekannt / Stellmass fehlt; ","")&amp;IF(AND(CA1563=0,N(V1563)&lt;=0,N(Q1563)&lt;=0),"Menge pro Gebinde fehlt (Ist = 1 Gebinde); ","")&amp;BV1563)</f>
        <v>Kein Verbrauch; Gebinde geschätzt (Mittel); Überbestand 5 Stk / CHF 590; Menge pro Gebinde fehlt (Ist = 1 Gebinde); nur im Artikelstamm (Bestand 23.06.2026)</v>
      </c>
      <c r="BO1563" s="60"/>
      <c r="BP1563" s="60"/>
      <c r="BQ1563" s="67"/>
      <c r="BR1563" s="62" t="n">
        <v>6</v>
      </c>
      <c r="BS1563" s="62" t="n">
        <v>0</v>
      </c>
      <c r="BT1563" s="61" t="n">
        <v>0</v>
      </c>
      <c r="BU1563" s="62" t="n">
        <v>0</v>
      </c>
      <c r="BV1563" s="60" t="s">
        <v>2617</v>
      </c>
      <c r="BW1563" s="65" t="n">
        <v>0</v>
      </c>
      <c r="BX1563" s="65" t="n">
        <v>1563</v>
      </c>
      <c r="BY1563" s="60" t="str">
        <f aca="false">IF(U1563&lt;&gt;"",UPPER(TRIM(U1563)),IF(CB1563=1,UPPER(VLOOKUP(T1563,Parameter!$I$27:$K$29,2,0)),IF(P1563="","LOSE",P1563)))</f>
        <v>S61</v>
      </c>
      <c r="BZ1563" s="62" t="n">
        <f aca="false">IF(BY1563="LOSE",1,IF(N(V1563)&gt;0,V1563,IF(CB1563=1,MAX(1,N(VLOOKUP(T1563,Parameter!$I$27:$K$29,3,0)),H1563,N(N1563)),IF(N(Q1563)&gt;0,Q1563,MAX(1,H1563)))))</f>
        <v>6</v>
      </c>
      <c r="CA1563" s="65" t="n">
        <f aca="false">IF(BY1563="LOSE",1,0)</f>
        <v>0</v>
      </c>
      <c r="CB1563" s="65" t="n">
        <f aca="false">IF(AND(U1563="",OR(P1563="",P1563="LOSE"),T1563&lt;&gt;"",N(S1563)&lt;=0,ISNUMBER(MATCH(T1563,Parameter!$I$27:$I$29,0))),1,0)</f>
        <v>1</v>
      </c>
      <c r="CC1563" s="65" t="n">
        <f aca="false">IF(CR1563&gt;0,INDEX(Parameter!$H$5:$H$7,W1563)/INDEX(Parameter!$E$5:$E$7,W1563),IF(AND(CA1563=0,N(IFERROR(VLOOKUP(BY1563,'Gebinde-Kategorie'!$A$5:$N$45,14,0),0))&gt;0),VLOOKUP(BY1563,'Gebinde-Kategorie'!$A$5:$N$45,14,0)*10+Parameter!$M$23,Parameter!$M$24))</f>
        <v>145</v>
      </c>
      <c r="CD1563" s="60" t="str">
        <f aca="false">IF(AND(Parameter!$B$19="Ja",E1563&lt;&gt;"",ISNUMBER(MATCH(E1563,Parameter!$I$35:$I$52,0))),VLOOKUP(E1563,Parameter!$I$35:$J$52,2,0),IFERROR(VLOOKUP(D1563,Parameter!$A$35:$C$64,2,0),"Nein"))</f>
        <v>2+3</v>
      </c>
      <c r="CE1563" s="64" t="n">
        <f aca="false">IF(CA1563=0,0,IF(N(S1563)&gt;0,S1563,IFERROR(VLOOKUP(D1563,Parameter!$A$35:$C$64,3,0)+0,0)))</f>
        <v>0</v>
      </c>
      <c r="CF1563" s="60" t="n">
        <f aca="false">IF(AB1563&lt;&gt;"",AB1563,AA1563)</f>
        <v>3</v>
      </c>
      <c r="CG1563" s="60" t="str">
        <f aca="false">IF(OR(CF1563=1,CF1563=2,CF1563=3),IF(Parameter!$E$27="Ja","LIFT",IF(CF1563=1,"L1","L23")),IF(CF1563="Aussen","Aussen","-"))</f>
        <v>LIFT</v>
      </c>
      <c r="CH1563" s="71" t="n">
        <f aca="false">IF(N(AC1563)&gt;0,AC1563,0)</f>
        <v>0</v>
      </c>
      <c r="CI1563" s="65" t="n">
        <f aca="false">IF(ISNUMBER(AF1563),1,0)</f>
        <v>0</v>
      </c>
      <c r="CJ1563" s="62" t="n">
        <f aca="false">N(AF1563)</f>
        <v>0</v>
      </c>
      <c r="CK1563" s="62" t="n">
        <f aca="false">N(M1563)+N(N1563)</f>
        <v>1</v>
      </c>
      <c r="CL1563" s="62" t="n">
        <f aca="false">N(M1563)</f>
        <v>0</v>
      </c>
      <c r="CM1563" s="62" t="n">
        <f aca="false">N(N1563)</f>
        <v>1</v>
      </c>
      <c r="CN1563" s="62" t="n">
        <f aca="false">ROUNDUP(H1563/BZ1563,0)</f>
        <v>1</v>
      </c>
      <c r="CO1563" s="62" t="n">
        <f aca="false">ROUNDUP(CJ1563/BZ1563,0)</f>
        <v>0</v>
      </c>
      <c r="CP1563" s="65" t="n">
        <f aca="false">IF(CA1563=1,0,IFERROR(VLOOKUP(BY1563,'Gebinde-Kategorie'!$A$5:$N$45,5,0)+0,0))</f>
        <v>11</v>
      </c>
      <c r="CQ1563" s="65" t="n">
        <f aca="false">IFERROR(IF(OR(CF1563=1,CF1563=2,CF1563=3),N(INDEX(Parameter!$I$5:$I$7,CF1563)),0),0)</f>
        <v>0</v>
      </c>
      <c r="CR1563" s="64" t="n">
        <f aca="false">IF(AND(Parameter!$B$21="Ja",ISNUMBER(W1563),N(X1563)&gt;0),IFERROR(N(INDEX(Parameter!$L$5:$L$7,W1563))*INDEX(Parameter!$E$5:$E$7,W1563)*X1563/SUMIFS($X$7:$X$1843,$W$7:$W$1843,W1563),0),0)</f>
        <v>0</v>
      </c>
      <c r="CS1563" s="62" t="n">
        <f aca="false">IF(AND(OR(CG1563="L1",CG1563="L23",CG1563="LIFT"),H1563&gt;0),CC1563*IF(CR1563&gt;0,CR1563*MAX(1,H1563/X1563),IF(CA1563=1,CE1563,IF(R1563&gt;0,CN1563/R1563,0))/MAX(0.1,N(Parameter!$M$21))),"")</f>
        <v>12.0833333333333</v>
      </c>
      <c r="CT1563" s="64" t="n">
        <f aca="false">IF(CS1563="","",J1563/H1563)</f>
        <v>0</v>
      </c>
      <c r="CU1563" s="62" t="n">
        <f aca="false">IF(CS1563="","",H1563*G1563)</f>
        <v>708</v>
      </c>
      <c r="CV1563" s="63" t="n">
        <f aca="false">IF(CS1563="","",(CL1563+ROUNDUP(CL1563+MAX(CM1563,2*(J1563/MAX(0.1,N(Einkauf!$C$6))-CL1563)),0))/2)</f>
        <v>0.5</v>
      </c>
      <c r="CW1563" s="62" t="n">
        <f aca="false">IF(CS1563="","",MAX(0,H1563-CV1563)*G1563)</f>
        <v>649</v>
      </c>
      <c r="CX1563" s="62" t="n">
        <f aca="false">IF(CS1563="","",CS1563*MAX(0,1-CV1563/H1563))</f>
        <v>11.0763888888889</v>
      </c>
      <c r="CY1563" s="64" t="n">
        <f aca="false">IF(CS1563="","",PERCENTRANK($CS$7:$CS$1843,CS1563)+PERCENTRANK($CU$7:$CU$1843,CU1563)+1-PERCENTRANK($CT$7:$CT$1843,CT1563))</f>
        <v>2.24</v>
      </c>
      <c r="CZ1563" s="72" t="n">
        <f aca="false">IF(CS1563="","",CHOOSE(MATCH(Einkauf!$C$5,Parameter!$G$23:$G$27,0),CY1563,CS1563,CU1563,-CT1563,CW1563)+ROW()/1000000000)</f>
        <v>2.240001563</v>
      </c>
    </row>
    <row r="1564" customFormat="false" ht="15" hidden="false" customHeight="false" outlineLevel="0" collapsed="false">
      <c r="A1564" s="60" t="s">
        <v>2775</v>
      </c>
      <c r="B1564" s="60" t="s">
        <v>2774</v>
      </c>
      <c r="C1564" s="60" t="s">
        <v>498</v>
      </c>
      <c r="D1564" s="60" t="s">
        <v>215</v>
      </c>
      <c r="E1564" s="60"/>
      <c r="F1564" s="60"/>
      <c r="G1564" s="61" t="n">
        <v>178</v>
      </c>
      <c r="H1564" s="62" t="n">
        <f aca="false">MAX(0,IF(AND(Parameter!$B$21="Ja",ISNUMBER(Y1564)),Y1564,IF(Parameter!$B$20="Jahresanfang 2025 + Export",BS1564+BR1564,BR1564)))</f>
        <v>10</v>
      </c>
      <c r="I1564" s="62" t="n">
        <f aca="false">H1564*G1564</f>
        <v>1780</v>
      </c>
      <c r="J1564" s="62" t="n">
        <f aca="false">BU1564*Parameter!$B$18</f>
        <v>0</v>
      </c>
      <c r="K1564" s="63"/>
      <c r="L1564" s="64"/>
      <c r="M1564" s="62" t="n">
        <v>0</v>
      </c>
      <c r="N1564" s="62" t="n">
        <v>1</v>
      </c>
      <c r="O1564" s="65" t="n">
        <v>0</v>
      </c>
      <c r="P1564" s="60" t="s">
        <v>210</v>
      </c>
      <c r="Q1564" s="62"/>
      <c r="R1564" s="65" t="n">
        <f aca="false">IF(CA1564=1,0,IFERROR(VLOOKUP(BY1564,'Gebinde-Kategorie'!$A$5:$N$45,13,0)+0,0))</f>
        <v>12</v>
      </c>
      <c r="S1564" s="66"/>
      <c r="T1564" s="67" t="s">
        <v>221</v>
      </c>
      <c r="U1564" s="67"/>
      <c r="V1564" s="67"/>
      <c r="W1564" s="60"/>
      <c r="X1564" s="62"/>
      <c r="Y1564" s="62"/>
      <c r="Z1564" s="60" t="n">
        <v>3</v>
      </c>
      <c r="AA1564" s="60" t="n">
        <f aca="false">IF(A1564="","",IF(AND(Parameter!$B$21="Ja",ISNUMBER(W1564)),W1564,IF(AND(Parameter!$E$27="Ja",ISNUMBER(Z1564),CD1564&lt;&gt;"Nein"),Z1564,IF(CD1564="2+3",IF(ISNUMBER(SEARCH("grosser Artikel",BV1564)),2,IFERROR(VLOOKUP(BY1564,Parameter!$F$35:$G$64,2,0),2)),IF(OR(CD1564="Nein",CD1564=""),"-",CD1564)))))</f>
        <v>3</v>
      </c>
      <c r="AB1564" s="67"/>
      <c r="AC1564" s="68"/>
      <c r="AD1564" s="62" t="n">
        <f aca="false">AW1564</f>
        <v>1</v>
      </c>
      <c r="AE1564" s="62" t="n">
        <f aca="false">MAX(AW1564,H1564)</f>
        <v>10</v>
      </c>
      <c r="AF1564" s="69"/>
      <c r="AG1564" s="62" t="n">
        <f aca="false">IF(LEFT(Cockpit!$C$5,1)="A",H1564,IF(Parameter!$E$30="MAX-Bestand",IF(CI1564=1,CJ1564,IF(LEFT(Cockpit!$C$5,1)="B",AM1564,MAX(AM1564,H1564))),ROUNDUP(AK1564,0)))</f>
        <v>10</v>
      </c>
      <c r="AH1564" s="62" t="n">
        <f aca="false">IF(CA1564=1,0,ROUNDUP(AG1564/BZ1564,0))</f>
        <v>1</v>
      </c>
      <c r="AI1564" s="64" t="n">
        <f aca="false">IF(CR1564&gt;0,CR1564*MAX(1,AG1564/X1564),IF(CA1564=1,IF(AG1564&lt;=0,0,CE1564*MAX(1,IF(H1564&gt;0,AG1564/H1564,1))),IF(R1564&gt;0,AH1564/R1564,0))/MAX(0.1,N(Parameter!$M$21)))</f>
        <v>0.0833333333333333</v>
      </c>
      <c r="AJ1564" s="62" t="n">
        <f aca="false">AI1564*CC1564</f>
        <v>12.0833333333333</v>
      </c>
      <c r="AK1564" s="63" t="n">
        <f aca="false">IF(LEFT(Cockpit!$C$5,1)="A",H1564,IF(CI1564=1,(CL1564+CJ1564)/2,IF(LEFT(Cockpit!$C$5,1)="B",(CL1564+AM1564)/2,MAX((CL1564+AM1564)/2,H1564))))</f>
        <v>10</v>
      </c>
      <c r="AL1564" s="62" t="n">
        <f aca="false">AK1564*G1564</f>
        <v>1780</v>
      </c>
      <c r="AM1564" s="62" t="n">
        <f aca="false">ROUNDUP(CL1564+MAX(CM1564,2*(J1564/IF(CH1564&gt;0,CH1564,MAX(0.1,N(Cockpit!$C$6)))-CL1564)),0)</f>
        <v>1</v>
      </c>
      <c r="AN1564" s="63" t="n">
        <f aca="false">IF(AJ1564&gt;0,J1564/AJ1564,-1)</f>
        <v>0</v>
      </c>
      <c r="AO1564" s="63" t="n">
        <f aca="false">IF(AND(OR(CG1564="L1",CG1564="L23",CG1564="LIFT"),AJ1564&gt;0),SUMIFS($AJ$7:$AJ$1843,$CG$7:$CG$1843,CG1564,$AN$7:$AN$1843,"&gt;"&amp;AN1564)+SUMIFS($AJ$7:$AJ$1843,$CG$7:$CG$1843,CG1564,$AN$7:$AN$1843,AN1564,$BX$7:$BX$1843,"&lt;="&amp;BX1564),"")</f>
        <v>30300.6605694212</v>
      </c>
      <c r="AP1564" s="70" t="n">
        <f aca="false">IF(AO1564="",0,MAX(0,MIN(1,(IF(CG1564="L1",Parameter!$H$5,IF(CG1564="L23",Parameter!$H$6+Parameter!$H$7,Parameter!$H$5+Parameter!$H$6+Parameter!$H$7))-(AO1564-AJ1564))/AJ1564)))</f>
        <v>1</v>
      </c>
      <c r="AQ1564" s="62" t="n">
        <f aca="false">IF(LEFT(Cockpit!$I$5,1)="A",H1564,IF(Parameter!$E$30="MAX-Bestand",IF(CI1564=1,CJ1564,IF(LEFT(Cockpit!$I$5,1)="B",AW1564,MAX(AW1564,H1564))),ROUNDUP(AU1564,0)))</f>
        <v>10</v>
      </c>
      <c r="AR1564" s="62" t="n">
        <f aca="false">IF(CA1564=1,0,ROUNDUP(AQ1564/BZ1564,0))</f>
        <v>1</v>
      </c>
      <c r="AS1564" s="64" t="n">
        <f aca="false">IF(CR1564&gt;0,CR1564*MAX(1,AQ1564/X1564),IF(CA1564=1,IF(AQ1564&lt;=0,0,CE1564*MAX(1,IF(H1564&gt;0,AQ1564/H1564,1))),IF(R1564&gt;0,AR1564/R1564,0))/MAX(0.1,N(Parameter!$M$21)))</f>
        <v>0.0833333333333333</v>
      </c>
      <c r="AT1564" s="62" t="n">
        <f aca="false">AS1564*CC1564</f>
        <v>12.0833333333333</v>
      </c>
      <c r="AU1564" s="63" t="n">
        <f aca="false">IF(LEFT(Cockpit!$I$5,1)="A",H1564,IF(CI1564=1,(CL1564+CJ1564)/2,IF(LEFT(Cockpit!$I$5,1)="B",(CL1564+AW1564)/2,MAX((CL1564+AW1564)/2,H1564))))</f>
        <v>10</v>
      </c>
      <c r="AV1564" s="62" t="n">
        <f aca="false">AU1564*G1564</f>
        <v>1780</v>
      </c>
      <c r="AW1564" s="62" t="n">
        <f aca="false">ROUNDUP(CL1564+MAX(CM1564,2*(J1564/IF(CH1564&gt;0,CH1564,MAX(0.1,N(Cockpit!$I$6)))-CL1564)),0)</f>
        <v>1</v>
      </c>
      <c r="AX1564" s="63" t="n">
        <f aca="false">IF(AT1564&gt;0,J1564/AT1564,-1)</f>
        <v>0</v>
      </c>
      <c r="AY1564" s="63" t="n">
        <f aca="false">IF(AND(OR(CG1564="L1",CG1564="L23",CG1564="LIFT"),AT1564&gt;0),SUMIFS($AT$7:$AT$1843,$CG$7:$CG$1843,CG1564,$AX$7:$AX$1843,"&gt;"&amp;AX1564)+SUMIFS($AT$7:$AT$1843,$CG$7:$CG$1843,CG1564,$AX$7:$AX$1843,AX1564,$BX$7:$BX$1843,"&lt;="&amp;BX1564),"")</f>
        <v>36620.5170862565</v>
      </c>
      <c r="AZ1564" s="70" t="n">
        <f aca="false">IF(AY1564="",0,MAX(0,MIN(1,(IF(CG1564="L1",Parameter!$H$5,IF(CG1564="L23",Parameter!$H$6+Parameter!$H$7,Parameter!$H$5+Parameter!$H$6+Parameter!$H$7))-(AY1564-AT1564))/AT1564)))</f>
        <v>0</v>
      </c>
      <c r="BA1564" s="62" t="n">
        <f aca="false">IF(LEFT(Cockpit!$O$5,1)="A",H1564,IF(Parameter!$E$30="MAX-Bestand",IF(CI1564=1,CJ1564,IF(LEFT(Cockpit!$O$5,1)="B",BG1564,MAX(BG1564,H1564))),ROUNDUP(BE1564,0)))</f>
        <v>1</v>
      </c>
      <c r="BB1564" s="62" t="n">
        <f aca="false">IF(CA1564=1,0,ROUNDUP(BA1564/BZ1564,0))</f>
        <v>1</v>
      </c>
      <c r="BC1564" s="64" t="n">
        <f aca="false">IF(CR1564&gt;0,CR1564*MAX(1,BA1564/X1564),IF(CA1564=1,IF(BA1564&lt;=0,0,CE1564*MAX(1,IF(H1564&gt;0,BA1564/H1564,1))),IF(R1564&gt;0,BB1564/R1564,0))/MAX(0.1,N(Parameter!$M$21)))</f>
        <v>0.0833333333333333</v>
      </c>
      <c r="BD1564" s="62" t="n">
        <f aca="false">BC1564*CC1564</f>
        <v>12.0833333333333</v>
      </c>
      <c r="BE1564" s="63" t="n">
        <f aca="false">IF(LEFT(Cockpit!$O$5,1)="A",H1564,IF(CI1564=1,(CL1564+CJ1564)/2,IF(LEFT(Cockpit!$O$5,1)="B",(CL1564+BG1564)/2,MAX((CL1564+BG1564)/2,H1564))))</f>
        <v>0.5</v>
      </c>
      <c r="BF1564" s="62" t="n">
        <f aca="false">BE1564*G1564</f>
        <v>89</v>
      </c>
      <c r="BG1564" s="62" t="n">
        <f aca="false">ROUNDUP(CL1564+MAX(CM1564,2*(J1564/IF(CH1564&gt;0,CH1564,MAX(0.1,N(Cockpit!$O$6)))-CL1564)),0)</f>
        <v>1</v>
      </c>
      <c r="BH1564" s="63" t="n">
        <f aca="false">IF(BD1564&gt;0,J1564/BD1564,-1)</f>
        <v>0</v>
      </c>
      <c r="BI1564" s="63" t="n">
        <f aca="false">IF(AND(OR(CG1564="L1",CG1564="L23",CG1564="LIFT"),BD1564&gt;0),SUMIFS($BD$7:$BD$1843,$CG$7:$CG$1843,CG1564,$BH$7:$BH$1843,"&gt;"&amp;BH1564)+SUMIFS($BD$7:$BD$1843,$CG$7:$CG$1843,CG1564,$BH$7:$BH$1843,BH1564,$BX$7:$BX$1843,"&lt;="&amp;BX1564),"")</f>
        <v>30529.9583617889</v>
      </c>
      <c r="BJ1564" s="70" t="n">
        <f aca="false">IF(BI1564="",0,MAX(0,MIN(1,(IF(CG1564="L1",Parameter!$H$5,IF(CG1564="L23",Parameter!$H$6+Parameter!$H$7,Parameter!$H$5+Parameter!$H$6+Parameter!$H$7))-(BI1564-BD1564))/BD1564)))</f>
        <v>1</v>
      </c>
      <c r="BK1564" s="60" t="str">
        <f aca="false">IF(AJ1564&lt;=0,"",IF(CG1564="Aussen","Aussenlager",IF(CG1564="-","Nicht im Lift",IF(AP1564&gt;=1,"Lift",IF(AP1564&lt;=0,"Aussenlager","teilweise")))))</f>
        <v>Lift</v>
      </c>
      <c r="BL1564" s="60" t="str">
        <f aca="false">IF(AT1564&lt;=0,"",IF(CG1564="Aussen","Aussenlager",IF(CG1564="-","Nicht im Lift",IF(AZ1564&gt;=1,"Lift",IF(AZ1564&lt;=0,"Aussenlager","teilweise")))))</f>
        <v>Aussenlager</v>
      </c>
      <c r="BM1564" s="60" t="str">
        <f aca="false">IF(BD1564&lt;=0,"",IF(CG1564="Aussen","Aussenlager",IF(CG1564="-","Nicht im Lift",IF(BJ1564&gt;=1,"Lift",IF(BJ1564&lt;=0,"Aussenlager","teilweise")))))</f>
        <v>Lift</v>
      </c>
      <c r="BN1564" s="60" t="str">
        <f aca="false">IF(A1564="","",IF(BW1564=1,"Neu; ","")&amp;IF(AND(BW1564=0,BR1564&lt;0),"negativer Bestand (Export "&amp;BR1564&amp;"); ","")&amp;IF(J1564&lt;=0,"Kein Verbrauch; ","")&amp;IF(CR1564&gt;0,"Lift "&amp;W1564&amp;" lt. Liftbericht (Fach "&amp;X1564&amp;" Stk); ",IF(CB1564=1,"Gebinde geschätzt ("&amp;T1564&amp;"); ",IF(CA1564=1,"Lose – Tablare geschätzt; ","")))&amp;IF(H1564&gt;AW1564,"Überbestand "&amp;ROUND(H1564-AW1564,0)&amp;" Stk / CHF "&amp;ROUND((H1564-AW1564)*G1564,0)&amp;"; ","")&amp;IF(AND(CI1564=1,CJ1564&lt;CK1564),"MAX &lt; MB+LG; ","")&amp;IF(AND(CQ1564&gt;0,CP1564*10&gt;CQ1564),"zu hoch für Tablar; ","")&amp;IF(AND(BW1564=0,OR(CI1564=1,AB1564&lt;&gt;"",U1564&lt;&gt;"",V1564&lt;&gt;"",AC1564&lt;&gt;"")),"manuell übersteuert; ","")&amp;IF(AND(CA1564=0,R1564=0),"Gebinde unbekannt / Stellmass fehlt; ","")&amp;IF(AND(CA1564=0,N(V1564)&lt;=0,N(Q1564)&lt;=0),"Menge pro Gebinde fehlt (Ist = 1 Gebinde); ","")&amp;BV1564)</f>
        <v>Kein Verbrauch; Gebinde geschätzt (Mittel); Überbestand 9 Stk / CHF 1602; Menge pro Gebinde fehlt (Ist = 1 Gebinde); nur im Artikelstamm (Bestand 23.06.2026)</v>
      </c>
      <c r="BO1564" s="60"/>
      <c r="BP1564" s="60"/>
      <c r="BQ1564" s="67"/>
      <c r="BR1564" s="62" t="n">
        <v>10</v>
      </c>
      <c r="BS1564" s="62" t="n">
        <v>0</v>
      </c>
      <c r="BT1564" s="61" t="n">
        <v>0</v>
      </c>
      <c r="BU1564" s="62" t="n">
        <v>0</v>
      </c>
      <c r="BV1564" s="60" t="s">
        <v>2617</v>
      </c>
      <c r="BW1564" s="65" t="n">
        <v>0</v>
      </c>
      <c r="BX1564" s="65" t="n">
        <v>1564</v>
      </c>
      <c r="BY1564" s="60" t="str">
        <f aca="false">IF(U1564&lt;&gt;"",UPPER(TRIM(U1564)),IF(CB1564=1,UPPER(VLOOKUP(T1564,Parameter!$I$27:$K$29,2,0)),IF(P1564="","LOSE",P1564)))</f>
        <v>S61</v>
      </c>
      <c r="BZ1564" s="62" t="n">
        <f aca="false">IF(BY1564="LOSE",1,IF(N(V1564)&gt;0,V1564,IF(CB1564=1,MAX(1,N(VLOOKUP(T1564,Parameter!$I$27:$K$29,3,0)),H1564,N(N1564)),IF(N(Q1564)&gt;0,Q1564,MAX(1,H1564)))))</f>
        <v>10</v>
      </c>
      <c r="CA1564" s="65" t="n">
        <f aca="false">IF(BY1564="LOSE",1,0)</f>
        <v>0</v>
      </c>
      <c r="CB1564" s="65" t="n">
        <f aca="false">IF(AND(U1564="",OR(P1564="",P1564="LOSE"),T1564&lt;&gt;"",N(S1564)&lt;=0,ISNUMBER(MATCH(T1564,Parameter!$I$27:$I$29,0))),1,0)</f>
        <v>1</v>
      </c>
      <c r="CC1564" s="65" t="n">
        <f aca="false">IF(CR1564&gt;0,INDEX(Parameter!$H$5:$H$7,W1564)/INDEX(Parameter!$E$5:$E$7,W1564),IF(AND(CA1564=0,N(IFERROR(VLOOKUP(BY1564,'Gebinde-Kategorie'!$A$5:$N$45,14,0),0))&gt;0),VLOOKUP(BY1564,'Gebinde-Kategorie'!$A$5:$N$45,14,0)*10+Parameter!$M$23,Parameter!$M$24))</f>
        <v>145</v>
      </c>
      <c r="CD1564" s="60" t="str">
        <f aca="false">IF(AND(Parameter!$B$19="Ja",E1564&lt;&gt;"",ISNUMBER(MATCH(E1564,Parameter!$I$35:$I$52,0))),VLOOKUP(E1564,Parameter!$I$35:$J$52,2,0),IFERROR(VLOOKUP(D1564,Parameter!$A$35:$C$64,2,0),"Nein"))</f>
        <v>2+3</v>
      </c>
      <c r="CE1564" s="64" t="n">
        <f aca="false">IF(CA1564=0,0,IF(N(S1564)&gt;0,S1564,IFERROR(VLOOKUP(D1564,Parameter!$A$35:$C$64,3,0)+0,0)))</f>
        <v>0</v>
      </c>
      <c r="CF1564" s="60" t="n">
        <f aca="false">IF(AB1564&lt;&gt;"",AB1564,AA1564)</f>
        <v>3</v>
      </c>
      <c r="CG1564" s="60" t="str">
        <f aca="false">IF(OR(CF1564=1,CF1564=2,CF1564=3),IF(Parameter!$E$27="Ja","LIFT",IF(CF1564=1,"L1","L23")),IF(CF1564="Aussen","Aussen","-"))</f>
        <v>LIFT</v>
      </c>
      <c r="CH1564" s="71" t="n">
        <f aca="false">IF(N(AC1564)&gt;0,AC1564,0)</f>
        <v>0</v>
      </c>
      <c r="CI1564" s="65" t="n">
        <f aca="false">IF(ISNUMBER(AF1564),1,0)</f>
        <v>0</v>
      </c>
      <c r="CJ1564" s="62" t="n">
        <f aca="false">N(AF1564)</f>
        <v>0</v>
      </c>
      <c r="CK1564" s="62" t="n">
        <f aca="false">N(M1564)+N(N1564)</f>
        <v>1</v>
      </c>
      <c r="CL1564" s="62" t="n">
        <f aca="false">N(M1564)</f>
        <v>0</v>
      </c>
      <c r="CM1564" s="62" t="n">
        <f aca="false">N(N1564)</f>
        <v>1</v>
      </c>
      <c r="CN1564" s="62" t="n">
        <f aca="false">ROUNDUP(H1564/BZ1564,0)</f>
        <v>1</v>
      </c>
      <c r="CO1564" s="62" t="n">
        <f aca="false">ROUNDUP(CJ1564/BZ1564,0)</f>
        <v>0</v>
      </c>
      <c r="CP1564" s="65" t="n">
        <f aca="false">IF(CA1564=1,0,IFERROR(VLOOKUP(BY1564,'Gebinde-Kategorie'!$A$5:$N$45,5,0)+0,0))</f>
        <v>11</v>
      </c>
      <c r="CQ1564" s="65" t="n">
        <f aca="false">IFERROR(IF(OR(CF1564=1,CF1564=2,CF1564=3),N(INDEX(Parameter!$I$5:$I$7,CF1564)),0),0)</f>
        <v>0</v>
      </c>
      <c r="CR1564" s="64" t="n">
        <f aca="false">IF(AND(Parameter!$B$21="Ja",ISNUMBER(W1564),N(X1564)&gt;0),IFERROR(N(INDEX(Parameter!$L$5:$L$7,W1564))*INDEX(Parameter!$E$5:$E$7,W1564)*X1564/SUMIFS($X$7:$X$1843,$W$7:$W$1843,W1564),0),0)</f>
        <v>0</v>
      </c>
      <c r="CS1564" s="62" t="n">
        <f aca="false">IF(AND(OR(CG1564="L1",CG1564="L23",CG1564="LIFT"),H1564&gt;0),CC1564*IF(CR1564&gt;0,CR1564*MAX(1,H1564/X1564),IF(CA1564=1,CE1564,IF(R1564&gt;0,CN1564/R1564,0))/MAX(0.1,N(Parameter!$M$21))),"")</f>
        <v>12.0833333333333</v>
      </c>
      <c r="CT1564" s="64" t="n">
        <f aca="false">IF(CS1564="","",J1564/H1564)</f>
        <v>0</v>
      </c>
      <c r="CU1564" s="62" t="n">
        <f aca="false">IF(CS1564="","",H1564*G1564)</f>
        <v>1780</v>
      </c>
      <c r="CV1564" s="63" t="n">
        <f aca="false">IF(CS1564="","",(CL1564+ROUNDUP(CL1564+MAX(CM1564,2*(J1564/MAX(0.1,N(Einkauf!$C$6))-CL1564)),0))/2)</f>
        <v>0.5</v>
      </c>
      <c r="CW1564" s="62" t="n">
        <f aca="false">IF(CS1564="","",MAX(0,H1564-CV1564)*G1564)</f>
        <v>1691</v>
      </c>
      <c r="CX1564" s="62" t="n">
        <f aca="false">IF(CS1564="","",CS1564*MAX(0,1-CV1564/H1564))</f>
        <v>11.4791666666667</v>
      </c>
      <c r="CY1564" s="64" t="n">
        <f aca="false">IF(CS1564="","",PERCENTRANK($CS$7:$CS$1843,CS1564)+PERCENTRANK($CU$7:$CU$1843,CU1564)+1-PERCENTRANK($CT$7:$CT$1843,CT1564))</f>
        <v>2.407</v>
      </c>
      <c r="CZ1564" s="72" t="n">
        <f aca="false">IF(CS1564="","",CHOOSE(MATCH(Einkauf!$C$5,Parameter!$G$23:$G$27,0),CY1564,CS1564,CU1564,-CT1564,CW1564)+ROW()/1000000000)</f>
        <v>2.407001564</v>
      </c>
    </row>
    <row r="1565" customFormat="false" ht="15" hidden="false" customHeight="false" outlineLevel="0" collapsed="false">
      <c r="A1565" s="60" t="s">
        <v>2776</v>
      </c>
      <c r="B1565" s="60" t="s">
        <v>1483</v>
      </c>
      <c r="C1565" s="60" t="s">
        <v>206</v>
      </c>
      <c r="D1565" s="60" t="s">
        <v>215</v>
      </c>
      <c r="E1565" s="60" t="s">
        <v>215</v>
      </c>
      <c r="F1565" s="60"/>
      <c r="G1565" s="61" t="n">
        <v>407.15</v>
      </c>
      <c r="H1565" s="62" t="n">
        <f aca="false">MAX(0,IF(AND(Parameter!$B$21="Ja",ISNUMBER(Y1565)),Y1565,IF(Parameter!$B$20="Jahresanfang 2025 + Export",BS1565+BR1565,BR1565)))</f>
        <v>2</v>
      </c>
      <c r="I1565" s="62" t="n">
        <f aca="false">H1565*G1565</f>
        <v>814.3</v>
      </c>
      <c r="J1565" s="62" t="n">
        <f aca="false">BU1565*Parameter!$B$18</f>
        <v>0</v>
      </c>
      <c r="K1565" s="63"/>
      <c r="L1565" s="64"/>
      <c r="M1565" s="62" t="n">
        <v>0</v>
      </c>
      <c r="N1565" s="62" t="n">
        <v>1</v>
      </c>
      <c r="O1565" s="65" t="n">
        <v>28</v>
      </c>
      <c r="P1565" s="60" t="s">
        <v>210</v>
      </c>
      <c r="Q1565" s="62"/>
      <c r="R1565" s="65" t="n">
        <f aca="false">IF(CA1565=1,0,IFERROR(VLOOKUP(BY1565,'Gebinde-Kategorie'!$A$5:$N$45,13,0)+0,0))</f>
        <v>12</v>
      </c>
      <c r="S1565" s="66"/>
      <c r="T1565" s="67" t="s">
        <v>221</v>
      </c>
      <c r="U1565" s="67"/>
      <c r="V1565" s="67"/>
      <c r="W1565" s="60"/>
      <c r="X1565" s="62"/>
      <c r="Y1565" s="62"/>
      <c r="Z1565" s="60"/>
      <c r="AA1565" s="60" t="str">
        <f aca="false">IF(A1565="","",IF(AND(Parameter!$B$21="Ja",ISNUMBER(W1565)),W1565,IF(AND(Parameter!$E$27="Ja",ISNUMBER(Z1565),CD1565&lt;&gt;"Nein"),Z1565,IF(CD1565="2+3",IF(ISNUMBER(SEARCH("grosser Artikel",BV1565)),2,IFERROR(VLOOKUP(BY1565,Parameter!$F$35:$G$64,2,0),2)),IF(OR(CD1565="Nein",CD1565=""),"-",CD1565)))))</f>
        <v>-</v>
      </c>
      <c r="AB1565" s="67"/>
      <c r="AC1565" s="68"/>
      <c r="AD1565" s="62" t="n">
        <f aca="false">AW1565</f>
        <v>1</v>
      </c>
      <c r="AE1565" s="62" t="n">
        <f aca="false">MAX(AW1565,H1565)</f>
        <v>2</v>
      </c>
      <c r="AF1565" s="69"/>
      <c r="AG1565" s="62" t="n">
        <f aca="false">IF(LEFT(Cockpit!$C$5,1)="A",H1565,IF(Parameter!$E$30="MAX-Bestand",IF(CI1565=1,CJ1565,IF(LEFT(Cockpit!$C$5,1)="B",AM1565,MAX(AM1565,H1565))),ROUNDUP(AK1565,0)))</f>
        <v>2</v>
      </c>
      <c r="AH1565" s="62" t="n">
        <f aca="false">IF(CA1565=1,0,ROUNDUP(AG1565/BZ1565,0))</f>
        <v>1</v>
      </c>
      <c r="AI1565" s="64" t="n">
        <f aca="false">IF(CR1565&gt;0,CR1565*MAX(1,AG1565/X1565),IF(CA1565=1,IF(AG1565&lt;=0,0,CE1565*MAX(1,IF(H1565&gt;0,AG1565/H1565,1))),IF(R1565&gt;0,AH1565/R1565,0))/MAX(0.1,N(Parameter!$M$21)))</f>
        <v>0.0833333333333333</v>
      </c>
      <c r="AJ1565" s="62" t="n">
        <f aca="false">AI1565*CC1565</f>
        <v>12.0833333333333</v>
      </c>
      <c r="AK1565" s="63" t="n">
        <f aca="false">IF(LEFT(Cockpit!$C$5,1)="A",H1565,IF(CI1565=1,(CL1565+CJ1565)/2,IF(LEFT(Cockpit!$C$5,1)="B",(CL1565+AM1565)/2,MAX((CL1565+AM1565)/2,H1565))))</f>
        <v>2</v>
      </c>
      <c r="AL1565" s="62" t="n">
        <f aca="false">AK1565*G1565</f>
        <v>814.3</v>
      </c>
      <c r="AM1565" s="62" t="n">
        <f aca="false">ROUNDUP(CL1565+MAX(CM1565,2*(J1565/IF(CH1565&gt;0,CH1565,MAX(0.1,N(Cockpit!$C$6)))-CL1565)),0)</f>
        <v>1</v>
      </c>
      <c r="AN1565" s="63" t="n">
        <f aca="false">IF(AJ1565&gt;0,J1565/AJ1565,-1)</f>
        <v>0</v>
      </c>
      <c r="AO1565" s="63" t="str">
        <f aca="false">IF(AND(OR(CG1565="L1",CG1565="L23",CG1565="LIFT"),AJ1565&gt;0),SUMIFS($AJ$7:$AJ$1843,$CG$7:$CG$1843,CG1565,$AN$7:$AN$1843,"&gt;"&amp;AN1565)+SUMIFS($AJ$7:$AJ$1843,$CG$7:$CG$1843,CG1565,$AN$7:$AN$1843,AN1565,$BX$7:$BX$1843,"&lt;="&amp;BX1565),"")</f>
        <v/>
      </c>
      <c r="AP1565" s="70" t="n">
        <f aca="false">IF(AO1565="",0,MAX(0,MIN(1,(IF(CG1565="L1",Parameter!$H$5,IF(CG1565="L23",Parameter!$H$6+Parameter!$H$7,Parameter!$H$5+Parameter!$H$6+Parameter!$H$7))-(AO1565-AJ1565))/AJ1565)))</f>
        <v>0</v>
      </c>
      <c r="AQ1565" s="62" t="n">
        <f aca="false">IF(LEFT(Cockpit!$I$5,1)="A",H1565,IF(Parameter!$E$30="MAX-Bestand",IF(CI1565=1,CJ1565,IF(LEFT(Cockpit!$I$5,1)="B",AW1565,MAX(AW1565,H1565))),ROUNDUP(AU1565,0)))</f>
        <v>2</v>
      </c>
      <c r="AR1565" s="62" t="n">
        <f aca="false">IF(CA1565=1,0,ROUNDUP(AQ1565/BZ1565,0))</f>
        <v>1</v>
      </c>
      <c r="AS1565" s="64" t="n">
        <f aca="false">IF(CR1565&gt;0,CR1565*MAX(1,AQ1565/X1565),IF(CA1565=1,IF(AQ1565&lt;=0,0,CE1565*MAX(1,IF(H1565&gt;0,AQ1565/H1565,1))),IF(R1565&gt;0,AR1565/R1565,0))/MAX(0.1,N(Parameter!$M$21)))</f>
        <v>0.0833333333333333</v>
      </c>
      <c r="AT1565" s="62" t="n">
        <f aca="false">AS1565*CC1565</f>
        <v>12.0833333333333</v>
      </c>
      <c r="AU1565" s="63" t="n">
        <f aca="false">IF(LEFT(Cockpit!$I$5,1)="A",H1565,IF(CI1565=1,(CL1565+CJ1565)/2,IF(LEFT(Cockpit!$I$5,1)="B",(CL1565+AW1565)/2,MAX((CL1565+AW1565)/2,H1565))))</f>
        <v>2</v>
      </c>
      <c r="AV1565" s="62" t="n">
        <f aca="false">AU1565*G1565</f>
        <v>814.3</v>
      </c>
      <c r="AW1565" s="62" t="n">
        <f aca="false">ROUNDUP(CL1565+MAX(CM1565,2*(J1565/IF(CH1565&gt;0,CH1565,MAX(0.1,N(Cockpit!$I$6)))-CL1565)),0)</f>
        <v>1</v>
      </c>
      <c r="AX1565" s="63" t="n">
        <f aca="false">IF(AT1565&gt;0,J1565/AT1565,-1)</f>
        <v>0</v>
      </c>
      <c r="AY1565" s="63" t="str">
        <f aca="false">IF(AND(OR(CG1565="L1",CG1565="L23",CG1565="LIFT"),AT1565&gt;0),SUMIFS($AT$7:$AT$1843,$CG$7:$CG$1843,CG1565,$AX$7:$AX$1843,"&gt;"&amp;AX1565)+SUMIFS($AT$7:$AT$1843,$CG$7:$CG$1843,CG1565,$AX$7:$AX$1843,AX1565,$BX$7:$BX$1843,"&lt;="&amp;BX1565),"")</f>
        <v/>
      </c>
      <c r="AZ1565" s="70" t="n">
        <f aca="false">IF(AY1565="",0,MAX(0,MIN(1,(IF(CG1565="L1",Parameter!$H$5,IF(CG1565="L23",Parameter!$H$6+Parameter!$H$7,Parameter!$H$5+Parameter!$H$6+Parameter!$H$7))-(AY1565-AT1565))/AT1565)))</f>
        <v>0</v>
      </c>
      <c r="BA1565" s="62" t="n">
        <f aca="false">IF(LEFT(Cockpit!$O$5,1)="A",H1565,IF(Parameter!$E$30="MAX-Bestand",IF(CI1565=1,CJ1565,IF(LEFT(Cockpit!$O$5,1)="B",BG1565,MAX(BG1565,H1565))),ROUNDUP(BE1565,0)))</f>
        <v>1</v>
      </c>
      <c r="BB1565" s="62" t="n">
        <f aca="false">IF(CA1565=1,0,ROUNDUP(BA1565/BZ1565,0))</f>
        <v>1</v>
      </c>
      <c r="BC1565" s="64" t="n">
        <f aca="false">IF(CR1565&gt;0,CR1565*MAX(1,BA1565/X1565),IF(CA1565=1,IF(BA1565&lt;=0,0,CE1565*MAX(1,IF(H1565&gt;0,BA1565/H1565,1))),IF(R1565&gt;0,BB1565/R1565,0))/MAX(0.1,N(Parameter!$M$21)))</f>
        <v>0.0833333333333333</v>
      </c>
      <c r="BD1565" s="62" t="n">
        <f aca="false">BC1565*CC1565</f>
        <v>12.0833333333333</v>
      </c>
      <c r="BE1565" s="63" t="n">
        <f aca="false">IF(LEFT(Cockpit!$O$5,1)="A",H1565,IF(CI1565=1,(CL1565+CJ1565)/2,IF(LEFT(Cockpit!$O$5,1)="B",(CL1565+BG1565)/2,MAX((CL1565+BG1565)/2,H1565))))</f>
        <v>0.5</v>
      </c>
      <c r="BF1565" s="62" t="n">
        <f aca="false">BE1565*G1565</f>
        <v>203.575</v>
      </c>
      <c r="BG1565" s="62" t="n">
        <f aca="false">ROUNDUP(CL1565+MAX(CM1565,2*(J1565/IF(CH1565&gt;0,CH1565,MAX(0.1,N(Cockpit!$O$6)))-CL1565)),0)</f>
        <v>1</v>
      </c>
      <c r="BH1565" s="63" t="n">
        <f aca="false">IF(BD1565&gt;0,J1565/BD1565,-1)</f>
        <v>0</v>
      </c>
      <c r="BI1565" s="63" t="str">
        <f aca="false">IF(AND(OR(CG1565="L1",CG1565="L23",CG1565="LIFT"),BD1565&gt;0),SUMIFS($BD$7:$BD$1843,$CG$7:$CG$1843,CG1565,$BH$7:$BH$1843,"&gt;"&amp;BH1565)+SUMIFS($BD$7:$BD$1843,$CG$7:$CG$1843,CG1565,$BH$7:$BH$1843,BH1565,$BX$7:$BX$1843,"&lt;="&amp;BX1565),"")</f>
        <v/>
      </c>
      <c r="BJ1565" s="70" t="n">
        <f aca="false">IF(BI1565="",0,MAX(0,MIN(1,(IF(CG1565="L1",Parameter!$H$5,IF(CG1565="L23",Parameter!$H$6+Parameter!$H$7,Parameter!$H$5+Parameter!$H$6+Parameter!$H$7))-(BI1565-BD1565))/BD1565)))</f>
        <v>0</v>
      </c>
      <c r="BK1565" s="60" t="str">
        <f aca="false">IF(AJ1565&lt;=0,"",IF(CG1565="Aussen","Aussenlager",IF(CG1565="-","Nicht im Lift",IF(AP1565&gt;=1,"Lift",IF(AP1565&lt;=0,"Aussenlager","teilweise")))))</f>
        <v>Nicht im Lift</v>
      </c>
      <c r="BL1565" s="60" t="str">
        <f aca="false">IF(AT1565&lt;=0,"",IF(CG1565="Aussen","Aussenlager",IF(CG1565="-","Nicht im Lift",IF(AZ1565&gt;=1,"Lift",IF(AZ1565&lt;=0,"Aussenlager","teilweise")))))</f>
        <v>Nicht im Lift</v>
      </c>
      <c r="BM1565" s="60" t="str">
        <f aca="false">IF(BD1565&lt;=0,"",IF(CG1565="Aussen","Aussenlager",IF(CG1565="-","Nicht im Lift",IF(BJ1565&gt;=1,"Lift",IF(BJ1565&lt;=0,"Aussenlager","teilweise")))))</f>
        <v>Nicht im Lift</v>
      </c>
      <c r="BN1565" s="60" t="str">
        <f aca="false">IF(A1565="","",IF(BW1565=1,"Neu; ","")&amp;IF(AND(BW1565=0,BR1565&lt;0),"negativer Bestand (Export "&amp;BR1565&amp;"); ","")&amp;IF(J1565&lt;=0,"Kein Verbrauch; ","")&amp;IF(CR1565&gt;0,"Lift "&amp;W1565&amp;" lt. Liftbericht (Fach "&amp;X1565&amp;" Stk); ",IF(CB1565=1,"Gebinde geschätzt ("&amp;T1565&amp;"); ",IF(CA1565=1,"Lose – Tablare geschätzt; ","")))&amp;IF(H1565&gt;AW1565,"Überbestand "&amp;ROUND(H1565-AW1565,0)&amp;" Stk / CHF "&amp;ROUND((H1565-AW1565)*G1565,0)&amp;"; ","")&amp;IF(AND(CI1565=1,CJ1565&lt;CK1565),"MAX &lt; MB+LG; ","")&amp;IF(AND(CQ1565&gt;0,CP1565*10&gt;CQ1565),"zu hoch für Tablar; ","")&amp;IF(AND(BW1565=0,OR(CI1565=1,AB1565&lt;&gt;"",U1565&lt;&gt;"",V1565&lt;&gt;"",AC1565&lt;&gt;"")),"manuell übersteuert; ","")&amp;IF(AND(CA1565=0,R1565=0),"Gebinde unbekannt / Stellmass fehlt; ","")&amp;IF(AND(CA1565=0,N(V1565)&lt;=0,N(Q1565)&lt;=0),"Menge pro Gebinde fehlt (Ist = 1 Gebinde); ","")&amp;BV1565)</f>
        <v>Kein Verbrauch; Gebinde geschätzt (Mittel); Überbestand 1 Stk / CHF 407; Menge pro Gebinde fehlt (Ist = 1 Gebinde); nur im Artikelstamm (Bestand 23.06.2026)</v>
      </c>
      <c r="BO1565" s="60"/>
      <c r="BP1565" s="60"/>
      <c r="BQ1565" s="67"/>
      <c r="BR1565" s="62" t="n">
        <v>2</v>
      </c>
      <c r="BS1565" s="62" t="n">
        <v>0</v>
      </c>
      <c r="BT1565" s="61" t="n">
        <v>0</v>
      </c>
      <c r="BU1565" s="62" t="n">
        <v>0</v>
      </c>
      <c r="BV1565" s="60" t="s">
        <v>2617</v>
      </c>
      <c r="BW1565" s="65" t="n">
        <v>0</v>
      </c>
      <c r="BX1565" s="65" t="n">
        <v>1565</v>
      </c>
      <c r="BY1565" s="60" t="str">
        <f aca="false">IF(U1565&lt;&gt;"",UPPER(TRIM(U1565)),IF(CB1565=1,UPPER(VLOOKUP(T1565,Parameter!$I$27:$K$29,2,0)),IF(P1565="","LOSE",P1565)))</f>
        <v>S61</v>
      </c>
      <c r="BZ1565" s="62" t="n">
        <f aca="false">IF(BY1565="LOSE",1,IF(N(V1565)&gt;0,V1565,IF(CB1565=1,MAX(1,N(VLOOKUP(T1565,Parameter!$I$27:$K$29,3,0)),H1565,N(N1565)),IF(N(Q1565)&gt;0,Q1565,MAX(1,H1565)))))</f>
        <v>4</v>
      </c>
      <c r="CA1565" s="65" t="n">
        <f aca="false">IF(BY1565="LOSE",1,0)</f>
        <v>0</v>
      </c>
      <c r="CB1565" s="65" t="n">
        <f aca="false">IF(AND(U1565="",OR(P1565="",P1565="LOSE"),T1565&lt;&gt;"",N(S1565)&lt;=0,ISNUMBER(MATCH(T1565,Parameter!$I$27:$I$29,0))),1,0)</f>
        <v>1</v>
      </c>
      <c r="CC1565" s="65" t="n">
        <f aca="false">IF(CR1565&gt;0,INDEX(Parameter!$H$5:$H$7,W1565)/INDEX(Parameter!$E$5:$E$7,W1565),IF(AND(CA1565=0,N(IFERROR(VLOOKUP(BY1565,'Gebinde-Kategorie'!$A$5:$N$45,14,0),0))&gt;0),VLOOKUP(BY1565,'Gebinde-Kategorie'!$A$5:$N$45,14,0)*10+Parameter!$M$23,Parameter!$M$24))</f>
        <v>145</v>
      </c>
      <c r="CD1565" s="60" t="str">
        <f aca="false">IF(AND(Parameter!$B$19="Ja",E1565&lt;&gt;"",ISNUMBER(MATCH(E1565,Parameter!$I$35:$I$52,0))),VLOOKUP(E1565,Parameter!$I$35:$J$52,2,0),IFERROR(VLOOKUP(D1565,Parameter!$A$35:$C$64,2,0),"Nein"))</f>
        <v>Nein</v>
      </c>
      <c r="CE1565" s="64" t="n">
        <f aca="false">IF(CA1565=0,0,IF(N(S1565)&gt;0,S1565,IFERROR(VLOOKUP(D1565,Parameter!$A$35:$C$64,3,0)+0,0)))</f>
        <v>0</v>
      </c>
      <c r="CF1565" s="60" t="str">
        <f aca="false">IF(AB1565&lt;&gt;"",AB1565,AA1565)</f>
        <v>-</v>
      </c>
      <c r="CG1565" s="60" t="str">
        <f aca="false">IF(OR(CF1565=1,CF1565=2,CF1565=3),IF(Parameter!$E$27="Ja","LIFT",IF(CF1565=1,"L1","L23")),IF(CF1565="Aussen","Aussen","-"))</f>
        <v>-</v>
      </c>
      <c r="CH1565" s="71" t="n">
        <f aca="false">IF(N(AC1565)&gt;0,AC1565,0)</f>
        <v>0</v>
      </c>
      <c r="CI1565" s="65" t="n">
        <f aca="false">IF(ISNUMBER(AF1565),1,0)</f>
        <v>0</v>
      </c>
      <c r="CJ1565" s="62" t="n">
        <f aca="false">N(AF1565)</f>
        <v>0</v>
      </c>
      <c r="CK1565" s="62" t="n">
        <f aca="false">N(M1565)+N(N1565)</f>
        <v>1</v>
      </c>
      <c r="CL1565" s="62" t="n">
        <f aca="false">N(M1565)</f>
        <v>0</v>
      </c>
      <c r="CM1565" s="62" t="n">
        <f aca="false">N(N1565)</f>
        <v>1</v>
      </c>
      <c r="CN1565" s="62" t="n">
        <f aca="false">ROUNDUP(H1565/BZ1565,0)</f>
        <v>1</v>
      </c>
      <c r="CO1565" s="62" t="n">
        <f aca="false">ROUNDUP(CJ1565/BZ1565,0)</f>
        <v>0</v>
      </c>
      <c r="CP1565" s="65" t="n">
        <f aca="false">IF(CA1565=1,0,IFERROR(VLOOKUP(BY1565,'Gebinde-Kategorie'!$A$5:$N$45,5,0)+0,0))</f>
        <v>11</v>
      </c>
      <c r="CQ1565" s="65" t="n">
        <f aca="false">IFERROR(IF(OR(CF1565=1,CF1565=2,CF1565=3),N(INDEX(Parameter!$I$5:$I$7,CF1565)),0),0)</f>
        <v>0</v>
      </c>
      <c r="CR1565" s="64" t="n">
        <f aca="false">IF(AND(Parameter!$B$21="Ja",ISNUMBER(W1565),N(X1565)&gt;0),IFERROR(N(INDEX(Parameter!$L$5:$L$7,W1565))*INDEX(Parameter!$E$5:$E$7,W1565)*X1565/SUMIFS($X$7:$X$1843,$W$7:$W$1843,W1565),0),0)</f>
        <v>0</v>
      </c>
      <c r="CS1565" s="62" t="str">
        <f aca="false">IF(AND(OR(CG1565="L1",CG1565="L23",CG1565="LIFT"),H1565&gt;0),CC1565*IF(CR1565&gt;0,CR1565*MAX(1,H1565/X1565),IF(CA1565=1,CE1565,IF(R1565&gt;0,CN1565/R1565,0))/MAX(0.1,N(Parameter!$M$21))),"")</f>
        <v/>
      </c>
      <c r="CT1565" s="64" t="str">
        <f aca="false">IF(CS1565="","",J1565/H1565)</f>
        <v/>
      </c>
      <c r="CU1565" s="62" t="str">
        <f aca="false">IF(CS1565="","",H1565*G1565)</f>
        <v/>
      </c>
      <c r="CV1565" s="63" t="str">
        <f aca="false">IF(CS1565="","",(CL1565+ROUNDUP(CL1565+MAX(CM1565,2*(J1565/MAX(0.1,N(Einkauf!$C$6))-CL1565)),0))/2)</f>
        <v/>
      </c>
      <c r="CW1565" s="62" t="str">
        <f aca="false">IF(CS1565="","",MAX(0,H1565-CV1565)*G1565)</f>
        <v/>
      </c>
      <c r="CX1565" s="62" t="str">
        <f aca="false">IF(CS1565="","",CS1565*MAX(0,1-CV1565/H1565))</f>
        <v/>
      </c>
      <c r="CY1565" s="64" t="str">
        <f aca="false">IF(CS1565="","",PERCENTRANK($CS$7:$CS$1843,CS1565)+PERCENTRANK($CU$7:$CU$1843,CU1565)+1-PERCENTRANK($CT$7:$CT$1843,CT1565))</f>
        <v/>
      </c>
      <c r="CZ1565" s="72" t="str">
        <f aca="false">IF(CS1565="","",CHOOSE(MATCH(Einkauf!$C$5,Parameter!$G$23:$G$27,0),CY1565,CS1565,CU1565,-CT1565,CW1565)+ROW()/1000000000)</f>
        <v/>
      </c>
    </row>
    <row r="1566" customFormat="false" ht="15" hidden="false" customHeight="false" outlineLevel="0" collapsed="false">
      <c r="A1566" s="60" t="s">
        <v>2777</v>
      </c>
      <c r="B1566" s="60" t="s">
        <v>2778</v>
      </c>
      <c r="C1566" s="60" t="s">
        <v>206</v>
      </c>
      <c r="D1566" s="60" t="s">
        <v>226</v>
      </c>
      <c r="E1566" s="60"/>
      <c r="F1566" s="60"/>
      <c r="G1566" s="61" t="n">
        <v>28</v>
      </c>
      <c r="H1566" s="62" t="n">
        <f aca="false">MAX(0,IF(AND(Parameter!$B$21="Ja",ISNUMBER(Y1566)),Y1566,IF(Parameter!$B$20="Jahresanfang 2025 + Export",BS1566+BR1566,BR1566)))</f>
        <v>17</v>
      </c>
      <c r="I1566" s="62" t="n">
        <f aca="false">H1566*G1566</f>
        <v>476</v>
      </c>
      <c r="J1566" s="62" t="n">
        <f aca="false">BU1566*Parameter!$B$18</f>
        <v>0</v>
      </c>
      <c r="K1566" s="63"/>
      <c r="L1566" s="64"/>
      <c r="M1566" s="62" t="n">
        <v>0</v>
      </c>
      <c r="N1566" s="62" t="n">
        <v>10</v>
      </c>
      <c r="O1566" s="65" t="n">
        <v>21</v>
      </c>
      <c r="P1566" s="60" t="s">
        <v>210</v>
      </c>
      <c r="Q1566" s="62"/>
      <c r="R1566" s="65" t="n">
        <f aca="false">IF(CA1566=1,0,IFERROR(VLOOKUP(BY1566,'Gebinde-Kategorie'!$A$5:$N$45,13,0)+0,0))</f>
        <v>12</v>
      </c>
      <c r="S1566" s="66"/>
      <c r="T1566" s="67" t="s">
        <v>221</v>
      </c>
      <c r="U1566" s="67"/>
      <c r="V1566" s="67"/>
      <c r="W1566" s="60"/>
      <c r="X1566" s="62"/>
      <c r="Y1566" s="62"/>
      <c r="Z1566" s="60" t="n">
        <v>3</v>
      </c>
      <c r="AA1566" s="60" t="n">
        <f aca="false">IF(A1566="","",IF(AND(Parameter!$B$21="Ja",ISNUMBER(W1566)),W1566,IF(AND(Parameter!$E$27="Ja",ISNUMBER(Z1566),CD1566&lt;&gt;"Nein"),Z1566,IF(CD1566="2+3",IF(ISNUMBER(SEARCH("grosser Artikel",BV1566)),2,IFERROR(VLOOKUP(BY1566,Parameter!$F$35:$G$64,2,0),2)),IF(OR(CD1566="Nein",CD1566=""),"-",CD1566)))))</f>
        <v>3</v>
      </c>
      <c r="AB1566" s="67"/>
      <c r="AC1566" s="68"/>
      <c r="AD1566" s="62" t="n">
        <f aca="false">AW1566</f>
        <v>10</v>
      </c>
      <c r="AE1566" s="62" t="n">
        <f aca="false">MAX(AW1566,H1566)</f>
        <v>17</v>
      </c>
      <c r="AF1566" s="69"/>
      <c r="AG1566" s="62" t="n">
        <f aca="false">IF(LEFT(Cockpit!$C$5,1)="A",H1566,IF(Parameter!$E$30="MAX-Bestand",IF(CI1566=1,CJ1566,IF(LEFT(Cockpit!$C$5,1)="B",AM1566,MAX(AM1566,H1566))),ROUNDUP(AK1566,0)))</f>
        <v>17</v>
      </c>
      <c r="AH1566" s="62" t="n">
        <f aca="false">IF(CA1566=1,0,ROUNDUP(AG1566/BZ1566,0))</f>
        <v>1</v>
      </c>
      <c r="AI1566" s="64" t="n">
        <f aca="false">IF(CR1566&gt;0,CR1566*MAX(1,AG1566/X1566),IF(CA1566=1,IF(AG1566&lt;=0,0,CE1566*MAX(1,IF(H1566&gt;0,AG1566/H1566,1))),IF(R1566&gt;0,AH1566/R1566,0))/MAX(0.1,N(Parameter!$M$21)))</f>
        <v>0.0833333333333333</v>
      </c>
      <c r="AJ1566" s="62" t="n">
        <f aca="false">AI1566*CC1566</f>
        <v>12.0833333333333</v>
      </c>
      <c r="AK1566" s="63" t="n">
        <f aca="false">IF(LEFT(Cockpit!$C$5,1)="A",H1566,IF(CI1566=1,(CL1566+CJ1566)/2,IF(LEFT(Cockpit!$C$5,1)="B",(CL1566+AM1566)/2,MAX((CL1566+AM1566)/2,H1566))))</f>
        <v>17</v>
      </c>
      <c r="AL1566" s="62" t="n">
        <f aca="false">AK1566*G1566</f>
        <v>476</v>
      </c>
      <c r="AM1566" s="62" t="n">
        <f aca="false">ROUNDUP(CL1566+MAX(CM1566,2*(J1566/IF(CH1566&gt;0,CH1566,MAX(0.1,N(Cockpit!$C$6)))-CL1566)),0)</f>
        <v>10</v>
      </c>
      <c r="AN1566" s="63" t="n">
        <f aca="false">IF(AJ1566&gt;0,J1566/AJ1566,-1)</f>
        <v>0</v>
      </c>
      <c r="AO1566" s="63" t="n">
        <f aca="false">IF(AND(OR(CG1566="L1",CG1566="L23",CG1566="LIFT"),AJ1566&gt;0),SUMIFS($AJ$7:$AJ$1843,$CG$7:$CG$1843,CG1566,$AN$7:$AN$1843,"&gt;"&amp;AN1566)+SUMIFS($AJ$7:$AJ$1843,$CG$7:$CG$1843,CG1566,$AN$7:$AN$1843,AN1566,$BX$7:$BX$1843,"&lt;="&amp;BX1566),"")</f>
        <v>30312.7439027545</v>
      </c>
      <c r="AP1566" s="70" t="n">
        <f aca="false">IF(AO1566="",0,MAX(0,MIN(1,(IF(CG1566="L1",Parameter!$H$5,IF(CG1566="L23",Parameter!$H$6+Parameter!$H$7,Parameter!$H$5+Parameter!$H$6+Parameter!$H$7))-(AO1566-AJ1566))/AJ1566)))</f>
        <v>1</v>
      </c>
      <c r="AQ1566" s="62" t="n">
        <f aca="false">IF(LEFT(Cockpit!$I$5,1)="A",H1566,IF(Parameter!$E$30="MAX-Bestand",IF(CI1566=1,CJ1566,IF(LEFT(Cockpit!$I$5,1)="B",AW1566,MAX(AW1566,H1566))),ROUNDUP(AU1566,0)))</f>
        <v>17</v>
      </c>
      <c r="AR1566" s="62" t="n">
        <f aca="false">IF(CA1566=1,0,ROUNDUP(AQ1566/BZ1566,0))</f>
        <v>1</v>
      </c>
      <c r="AS1566" s="64" t="n">
        <f aca="false">IF(CR1566&gt;0,CR1566*MAX(1,AQ1566/X1566),IF(CA1566=1,IF(AQ1566&lt;=0,0,CE1566*MAX(1,IF(H1566&gt;0,AQ1566/H1566,1))),IF(R1566&gt;0,AR1566/R1566,0))/MAX(0.1,N(Parameter!$M$21)))</f>
        <v>0.0833333333333333</v>
      </c>
      <c r="AT1566" s="62" t="n">
        <f aca="false">AS1566*CC1566</f>
        <v>12.0833333333333</v>
      </c>
      <c r="AU1566" s="63" t="n">
        <f aca="false">IF(LEFT(Cockpit!$I$5,1)="A",H1566,IF(CI1566=1,(CL1566+CJ1566)/2,IF(LEFT(Cockpit!$I$5,1)="B",(CL1566+AW1566)/2,MAX((CL1566+AW1566)/2,H1566))))</f>
        <v>17</v>
      </c>
      <c r="AV1566" s="62" t="n">
        <f aca="false">AU1566*G1566</f>
        <v>476</v>
      </c>
      <c r="AW1566" s="62" t="n">
        <f aca="false">ROUNDUP(CL1566+MAX(CM1566,2*(J1566/IF(CH1566&gt;0,CH1566,MAX(0.1,N(Cockpit!$I$6)))-CL1566)),0)</f>
        <v>10</v>
      </c>
      <c r="AX1566" s="63" t="n">
        <f aca="false">IF(AT1566&gt;0,J1566/AT1566,-1)</f>
        <v>0</v>
      </c>
      <c r="AY1566" s="63" t="n">
        <f aca="false">IF(AND(OR(CG1566="L1",CG1566="L23",CG1566="LIFT"),AT1566&gt;0),SUMIFS($AT$7:$AT$1843,$CG$7:$CG$1843,CG1566,$AX$7:$AX$1843,"&gt;"&amp;AX1566)+SUMIFS($AT$7:$AT$1843,$CG$7:$CG$1843,CG1566,$AX$7:$AX$1843,AX1566,$BX$7:$BX$1843,"&lt;="&amp;BX1566),"")</f>
        <v>36632.6004195898</v>
      </c>
      <c r="AZ1566" s="70" t="n">
        <f aca="false">IF(AY1566="",0,MAX(0,MIN(1,(IF(CG1566="L1",Parameter!$H$5,IF(CG1566="L23",Parameter!$H$6+Parameter!$H$7,Parameter!$H$5+Parameter!$H$6+Parameter!$H$7))-(AY1566-AT1566))/AT1566)))</f>
        <v>0</v>
      </c>
      <c r="BA1566" s="62" t="n">
        <f aca="false">IF(LEFT(Cockpit!$O$5,1)="A",H1566,IF(Parameter!$E$30="MAX-Bestand",IF(CI1566=1,CJ1566,IF(LEFT(Cockpit!$O$5,1)="B",BG1566,MAX(BG1566,H1566))),ROUNDUP(BE1566,0)))</f>
        <v>5</v>
      </c>
      <c r="BB1566" s="62" t="n">
        <f aca="false">IF(CA1566=1,0,ROUNDUP(BA1566/BZ1566,0))</f>
        <v>1</v>
      </c>
      <c r="BC1566" s="64" t="n">
        <f aca="false">IF(CR1566&gt;0,CR1566*MAX(1,BA1566/X1566),IF(CA1566=1,IF(BA1566&lt;=0,0,CE1566*MAX(1,IF(H1566&gt;0,BA1566/H1566,1))),IF(R1566&gt;0,BB1566/R1566,0))/MAX(0.1,N(Parameter!$M$21)))</f>
        <v>0.0833333333333333</v>
      </c>
      <c r="BD1566" s="62" t="n">
        <f aca="false">BC1566*CC1566</f>
        <v>12.0833333333333</v>
      </c>
      <c r="BE1566" s="63" t="n">
        <f aca="false">IF(LEFT(Cockpit!$O$5,1)="A",H1566,IF(CI1566=1,(CL1566+CJ1566)/2,IF(LEFT(Cockpit!$O$5,1)="B",(CL1566+BG1566)/2,MAX((CL1566+BG1566)/2,H1566))))</f>
        <v>5</v>
      </c>
      <c r="BF1566" s="62" t="n">
        <f aca="false">BE1566*G1566</f>
        <v>140</v>
      </c>
      <c r="BG1566" s="62" t="n">
        <f aca="false">ROUNDUP(CL1566+MAX(CM1566,2*(J1566/IF(CH1566&gt;0,CH1566,MAX(0.1,N(Cockpit!$O$6)))-CL1566)),0)</f>
        <v>10</v>
      </c>
      <c r="BH1566" s="63" t="n">
        <f aca="false">IF(BD1566&gt;0,J1566/BD1566,-1)</f>
        <v>0</v>
      </c>
      <c r="BI1566" s="63" t="n">
        <f aca="false">IF(AND(OR(CG1566="L1",CG1566="L23",CG1566="LIFT"),BD1566&gt;0),SUMIFS($BD$7:$BD$1843,$CG$7:$CG$1843,CG1566,$BH$7:$BH$1843,"&gt;"&amp;BH1566)+SUMIFS($BD$7:$BD$1843,$CG$7:$CG$1843,CG1566,$BH$7:$BH$1843,BH1566,$BX$7:$BX$1843,"&lt;="&amp;BX1566),"")</f>
        <v>30542.0416951222</v>
      </c>
      <c r="BJ1566" s="70" t="n">
        <f aca="false">IF(BI1566="",0,MAX(0,MIN(1,(IF(CG1566="L1",Parameter!$H$5,IF(CG1566="L23",Parameter!$H$6+Parameter!$H$7,Parameter!$H$5+Parameter!$H$6+Parameter!$H$7))-(BI1566-BD1566))/BD1566)))</f>
        <v>1</v>
      </c>
      <c r="BK1566" s="60" t="str">
        <f aca="false">IF(AJ1566&lt;=0,"",IF(CG1566="Aussen","Aussenlager",IF(CG1566="-","Nicht im Lift",IF(AP1566&gt;=1,"Lift",IF(AP1566&lt;=0,"Aussenlager","teilweise")))))</f>
        <v>Lift</v>
      </c>
      <c r="BL1566" s="60" t="str">
        <f aca="false">IF(AT1566&lt;=0,"",IF(CG1566="Aussen","Aussenlager",IF(CG1566="-","Nicht im Lift",IF(AZ1566&gt;=1,"Lift",IF(AZ1566&lt;=0,"Aussenlager","teilweise")))))</f>
        <v>Aussenlager</v>
      </c>
      <c r="BM1566" s="60" t="str">
        <f aca="false">IF(BD1566&lt;=0,"",IF(CG1566="Aussen","Aussenlager",IF(CG1566="-","Nicht im Lift",IF(BJ1566&gt;=1,"Lift",IF(BJ1566&lt;=0,"Aussenlager","teilweise")))))</f>
        <v>Lift</v>
      </c>
      <c r="BN1566" s="60" t="str">
        <f aca="false">IF(A1566="","",IF(BW1566=1,"Neu; ","")&amp;IF(AND(BW1566=0,BR1566&lt;0),"negativer Bestand (Export "&amp;BR1566&amp;"); ","")&amp;IF(J1566&lt;=0,"Kein Verbrauch; ","")&amp;IF(CR1566&gt;0,"Lift "&amp;W1566&amp;" lt. Liftbericht (Fach "&amp;X1566&amp;" Stk); ",IF(CB1566=1,"Gebinde geschätzt ("&amp;T1566&amp;"); ",IF(CA1566=1,"Lose – Tablare geschätzt; ","")))&amp;IF(H1566&gt;AW1566,"Überbestand "&amp;ROUND(H1566-AW1566,0)&amp;" Stk / CHF "&amp;ROUND((H1566-AW1566)*G1566,0)&amp;"; ","")&amp;IF(AND(CI1566=1,CJ1566&lt;CK1566),"MAX &lt; MB+LG; ","")&amp;IF(AND(CQ1566&gt;0,CP1566*10&gt;CQ1566),"zu hoch für Tablar; ","")&amp;IF(AND(BW1566=0,OR(CI1566=1,AB1566&lt;&gt;"",U1566&lt;&gt;"",V1566&lt;&gt;"",AC1566&lt;&gt;"")),"manuell übersteuert; ","")&amp;IF(AND(CA1566=0,R1566=0),"Gebinde unbekannt / Stellmass fehlt; ","")&amp;IF(AND(CA1566=0,N(V1566)&lt;=0,N(Q1566)&lt;=0),"Menge pro Gebinde fehlt (Ist = 1 Gebinde); ","")&amp;BV1566)</f>
        <v>Kein Verbrauch; Gebinde geschätzt (Mittel); Überbestand 7 Stk / CHF 196; Menge pro Gebinde fehlt (Ist = 1 Gebinde); nur im Artikelstamm (Bestand 23.06.2026)</v>
      </c>
      <c r="BO1566" s="60"/>
      <c r="BP1566" s="60"/>
      <c r="BQ1566" s="67"/>
      <c r="BR1566" s="62" t="n">
        <v>17</v>
      </c>
      <c r="BS1566" s="62" t="n">
        <v>0</v>
      </c>
      <c r="BT1566" s="61" t="n">
        <v>0</v>
      </c>
      <c r="BU1566" s="62" t="n">
        <v>0</v>
      </c>
      <c r="BV1566" s="60" t="s">
        <v>2617</v>
      </c>
      <c r="BW1566" s="65" t="n">
        <v>0</v>
      </c>
      <c r="BX1566" s="65" t="n">
        <v>1566</v>
      </c>
      <c r="BY1566" s="60" t="str">
        <f aca="false">IF(U1566&lt;&gt;"",UPPER(TRIM(U1566)),IF(CB1566=1,UPPER(VLOOKUP(T1566,Parameter!$I$27:$K$29,2,0)),IF(P1566="","LOSE",P1566)))</f>
        <v>S61</v>
      </c>
      <c r="BZ1566" s="62" t="n">
        <f aca="false">IF(BY1566="LOSE",1,IF(N(V1566)&gt;0,V1566,IF(CB1566=1,MAX(1,N(VLOOKUP(T1566,Parameter!$I$27:$K$29,3,0)),H1566,N(N1566)),IF(N(Q1566)&gt;0,Q1566,MAX(1,H1566)))))</f>
        <v>17</v>
      </c>
      <c r="CA1566" s="65" t="n">
        <f aca="false">IF(BY1566="LOSE",1,0)</f>
        <v>0</v>
      </c>
      <c r="CB1566" s="65" t="n">
        <f aca="false">IF(AND(U1566="",OR(P1566="",P1566="LOSE"),T1566&lt;&gt;"",N(S1566)&lt;=0,ISNUMBER(MATCH(T1566,Parameter!$I$27:$I$29,0))),1,0)</f>
        <v>1</v>
      </c>
      <c r="CC1566" s="65" t="n">
        <f aca="false">IF(CR1566&gt;0,INDEX(Parameter!$H$5:$H$7,W1566)/INDEX(Parameter!$E$5:$E$7,W1566),IF(AND(CA1566=0,N(IFERROR(VLOOKUP(BY1566,'Gebinde-Kategorie'!$A$5:$N$45,14,0),0))&gt;0),VLOOKUP(BY1566,'Gebinde-Kategorie'!$A$5:$N$45,14,0)*10+Parameter!$M$23,Parameter!$M$24))</f>
        <v>145</v>
      </c>
      <c r="CD1566" s="60" t="str">
        <f aca="false">IF(AND(Parameter!$B$19="Ja",E1566&lt;&gt;"",ISNUMBER(MATCH(E1566,Parameter!$I$35:$I$52,0))),VLOOKUP(E1566,Parameter!$I$35:$J$52,2,0),IFERROR(VLOOKUP(D1566,Parameter!$A$35:$C$64,2,0),"Nein"))</f>
        <v>2+3</v>
      </c>
      <c r="CE1566" s="64" t="n">
        <f aca="false">IF(CA1566=0,0,IF(N(S1566)&gt;0,S1566,IFERROR(VLOOKUP(D1566,Parameter!$A$35:$C$64,3,0)+0,0)))</f>
        <v>0</v>
      </c>
      <c r="CF1566" s="60" t="n">
        <f aca="false">IF(AB1566&lt;&gt;"",AB1566,AA1566)</f>
        <v>3</v>
      </c>
      <c r="CG1566" s="60" t="str">
        <f aca="false">IF(OR(CF1566=1,CF1566=2,CF1566=3),IF(Parameter!$E$27="Ja","LIFT",IF(CF1566=1,"L1","L23")),IF(CF1566="Aussen","Aussen","-"))</f>
        <v>LIFT</v>
      </c>
      <c r="CH1566" s="71" t="n">
        <f aca="false">IF(N(AC1566)&gt;0,AC1566,0)</f>
        <v>0</v>
      </c>
      <c r="CI1566" s="65" t="n">
        <f aca="false">IF(ISNUMBER(AF1566),1,0)</f>
        <v>0</v>
      </c>
      <c r="CJ1566" s="62" t="n">
        <f aca="false">N(AF1566)</f>
        <v>0</v>
      </c>
      <c r="CK1566" s="62" t="n">
        <f aca="false">N(M1566)+N(N1566)</f>
        <v>10</v>
      </c>
      <c r="CL1566" s="62" t="n">
        <f aca="false">N(M1566)</f>
        <v>0</v>
      </c>
      <c r="CM1566" s="62" t="n">
        <f aca="false">N(N1566)</f>
        <v>10</v>
      </c>
      <c r="CN1566" s="62" t="n">
        <f aca="false">ROUNDUP(H1566/BZ1566,0)</f>
        <v>1</v>
      </c>
      <c r="CO1566" s="62" t="n">
        <f aca="false">ROUNDUP(CJ1566/BZ1566,0)</f>
        <v>0</v>
      </c>
      <c r="CP1566" s="65" t="n">
        <f aca="false">IF(CA1566=1,0,IFERROR(VLOOKUP(BY1566,'Gebinde-Kategorie'!$A$5:$N$45,5,0)+0,0))</f>
        <v>11</v>
      </c>
      <c r="CQ1566" s="65" t="n">
        <f aca="false">IFERROR(IF(OR(CF1566=1,CF1566=2,CF1566=3),N(INDEX(Parameter!$I$5:$I$7,CF1566)),0),0)</f>
        <v>0</v>
      </c>
      <c r="CR1566" s="64" t="n">
        <f aca="false">IF(AND(Parameter!$B$21="Ja",ISNUMBER(W1566),N(X1566)&gt;0),IFERROR(N(INDEX(Parameter!$L$5:$L$7,W1566))*INDEX(Parameter!$E$5:$E$7,W1566)*X1566/SUMIFS($X$7:$X$1843,$W$7:$W$1843,W1566),0),0)</f>
        <v>0</v>
      </c>
      <c r="CS1566" s="62" t="n">
        <f aca="false">IF(AND(OR(CG1566="L1",CG1566="L23",CG1566="LIFT"),H1566&gt;0),CC1566*IF(CR1566&gt;0,CR1566*MAX(1,H1566/X1566),IF(CA1566=1,CE1566,IF(R1566&gt;0,CN1566/R1566,0))/MAX(0.1,N(Parameter!$M$21))),"")</f>
        <v>12.0833333333333</v>
      </c>
      <c r="CT1566" s="64" t="n">
        <f aca="false">IF(CS1566="","",J1566/H1566)</f>
        <v>0</v>
      </c>
      <c r="CU1566" s="62" t="n">
        <f aca="false">IF(CS1566="","",H1566*G1566)</f>
        <v>476</v>
      </c>
      <c r="CV1566" s="63" t="n">
        <f aca="false">IF(CS1566="","",(CL1566+ROUNDUP(CL1566+MAX(CM1566,2*(J1566/MAX(0.1,N(Einkauf!$C$6))-CL1566)),0))/2)</f>
        <v>5</v>
      </c>
      <c r="CW1566" s="62" t="n">
        <f aca="false">IF(CS1566="","",MAX(0,H1566-CV1566)*G1566)</f>
        <v>336</v>
      </c>
      <c r="CX1566" s="62" t="n">
        <f aca="false">IF(CS1566="","",CS1566*MAX(0,1-CV1566/H1566))</f>
        <v>8.52941176470588</v>
      </c>
      <c r="CY1566" s="64" t="n">
        <f aca="false">IF(CS1566="","",PERCENTRANK($CS$7:$CS$1843,CS1566)+PERCENTRANK($CU$7:$CU$1843,CU1566)+1-PERCENTRANK($CT$7:$CT$1843,CT1566))</f>
        <v>2.163</v>
      </c>
      <c r="CZ1566" s="72" t="n">
        <f aca="false">IF(CS1566="","",CHOOSE(MATCH(Einkauf!$C$5,Parameter!$G$23:$G$27,0),CY1566,CS1566,CU1566,-CT1566,CW1566)+ROW()/1000000000)</f>
        <v>2.163001566</v>
      </c>
    </row>
    <row r="1567" customFormat="false" ht="15" hidden="false" customHeight="false" outlineLevel="0" collapsed="false">
      <c r="A1567" s="60" t="s">
        <v>2779</v>
      </c>
      <c r="B1567" s="60" t="s">
        <v>2780</v>
      </c>
      <c r="C1567" s="60" t="s">
        <v>206</v>
      </c>
      <c r="D1567" s="60" t="s">
        <v>226</v>
      </c>
      <c r="E1567" s="60"/>
      <c r="F1567" s="60"/>
      <c r="G1567" s="61" t="n">
        <v>100</v>
      </c>
      <c r="H1567" s="62" t="n">
        <f aca="false">MAX(0,IF(AND(Parameter!$B$21="Ja",ISNUMBER(Y1567)),Y1567,IF(Parameter!$B$20="Jahresanfang 2025 + Export",BS1567+BR1567,BR1567)))</f>
        <v>7</v>
      </c>
      <c r="I1567" s="62" t="n">
        <f aca="false">H1567*G1567</f>
        <v>700</v>
      </c>
      <c r="J1567" s="62" t="n">
        <f aca="false">BU1567*Parameter!$B$18</f>
        <v>0</v>
      </c>
      <c r="K1567" s="63"/>
      <c r="L1567" s="64"/>
      <c r="M1567" s="62" t="n">
        <v>0</v>
      </c>
      <c r="N1567" s="62" t="n">
        <v>5</v>
      </c>
      <c r="O1567" s="65" t="n">
        <v>21</v>
      </c>
      <c r="P1567" s="60" t="s">
        <v>210</v>
      </c>
      <c r="Q1567" s="62"/>
      <c r="R1567" s="65" t="n">
        <f aca="false">IF(CA1567=1,0,IFERROR(VLOOKUP(BY1567,'Gebinde-Kategorie'!$A$5:$N$45,13,0)+0,0))</f>
        <v>12</v>
      </c>
      <c r="S1567" s="66"/>
      <c r="T1567" s="67" t="s">
        <v>221</v>
      </c>
      <c r="U1567" s="67"/>
      <c r="V1567" s="67"/>
      <c r="W1567" s="60"/>
      <c r="X1567" s="62"/>
      <c r="Y1567" s="62"/>
      <c r="Z1567" s="60" t="n">
        <v>3</v>
      </c>
      <c r="AA1567" s="60" t="n">
        <f aca="false">IF(A1567="","",IF(AND(Parameter!$B$21="Ja",ISNUMBER(W1567)),W1567,IF(AND(Parameter!$E$27="Ja",ISNUMBER(Z1567),CD1567&lt;&gt;"Nein"),Z1567,IF(CD1567="2+3",IF(ISNUMBER(SEARCH("grosser Artikel",BV1567)),2,IFERROR(VLOOKUP(BY1567,Parameter!$F$35:$G$64,2,0),2)),IF(OR(CD1567="Nein",CD1567=""),"-",CD1567)))))</f>
        <v>3</v>
      </c>
      <c r="AB1567" s="67"/>
      <c r="AC1567" s="68"/>
      <c r="AD1567" s="62" t="n">
        <f aca="false">AW1567</f>
        <v>5</v>
      </c>
      <c r="AE1567" s="62" t="n">
        <f aca="false">MAX(AW1567,H1567)</f>
        <v>7</v>
      </c>
      <c r="AF1567" s="69"/>
      <c r="AG1567" s="62" t="n">
        <f aca="false">IF(LEFT(Cockpit!$C$5,1)="A",H1567,IF(Parameter!$E$30="MAX-Bestand",IF(CI1567=1,CJ1567,IF(LEFT(Cockpit!$C$5,1)="B",AM1567,MAX(AM1567,H1567))),ROUNDUP(AK1567,0)))</f>
        <v>7</v>
      </c>
      <c r="AH1567" s="62" t="n">
        <f aca="false">IF(CA1567=1,0,ROUNDUP(AG1567/BZ1567,0))</f>
        <v>1</v>
      </c>
      <c r="AI1567" s="64" t="n">
        <f aca="false">IF(CR1567&gt;0,CR1567*MAX(1,AG1567/X1567),IF(CA1567=1,IF(AG1567&lt;=0,0,CE1567*MAX(1,IF(H1567&gt;0,AG1567/H1567,1))),IF(R1567&gt;0,AH1567/R1567,0))/MAX(0.1,N(Parameter!$M$21)))</f>
        <v>0.0833333333333333</v>
      </c>
      <c r="AJ1567" s="62" t="n">
        <f aca="false">AI1567*CC1567</f>
        <v>12.0833333333333</v>
      </c>
      <c r="AK1567" s="63" t="n">
        <f aca="false">IF(LEFT(Cockpit!$C$5,1)="A",H1567,IF(CI1567=1,(CL1567+CJ1567)/2,IF(LEFT(Cockpit!$C$5,1)="B",(CL1567+AM1567)/2,MAX((CL1567+AM1567)/2,H1567))))</f>
        <v>7</v>
      </c>
      <c r="AL1567" s="62" t="n">
        <f aca="false">AK1567*G1567</f>
        <v>700</v>
      </c>
      <c r="AM1567" s="62" t="n">
        <f aca="false">ROUNDUP(CL1567+MAX(CM1567,2*(J1567/IF(CH1567&gt;0,CH1567,MAX(0.1,N(Cockpit!$C$6)))-CL1567)),0)</f>
        <v>5</v>
      </c>
      <c r="AN1567" s="63" t="n">
        <f aca="false">IF(AJ1567&gt;0,J1567/AJ1567,-1)</f>
        <v>0</v>
      </c>
      <c r="AO1567" s="63" t="n">
        <f aca="false">IF(AND(OR(CG1567="L1",CG1567="L23",CG1567="LIFT"),AJ1567&gt;0),SUMIFS($AJ$7:$AJ$1843,$CG$7:$CG$1843,CG1567,$AN$7:$AN$1843,"&gt;"&amp;AN1567)+SUMIFS($AJ$7:$AJ$1843,$CG$7:$CG$1843,CG1567,$AN$7:$AN$1843,AN1567,$BX$7:$BX$1843,"&lt;="&amp;BX1567),"")</f>
        <v>30324.8272360878</v>
      </c>
      <c r="AP1567" s="70" t="n">
        <f aca="false">IF(AO1567="",0,MAX(0,MIN(1,(IF(CG1567="L1",Parameter!$H$5,IF(CG1567="L23",Parameter!$H$6+Parameter!$H$7,Parameter!$H$5+Parameter!$H$6+Parameter!$H$7))-(AO1567-AJ1567))/AJ1567)))</f>
        <v>1</v>
      </c>
      <c r="AQ1567" s="62" t="n">
        <f aca="false">IF(LEFT(Cockpit!$I$5,1)="A",H1567,IF(Parameter!$E$30="MAX-Bestand",IF(CI1567=1,CJ1567,IF(LEFT(Cockpit!$I$5,1)="B",AW1567,MAX(AW1567,H1567))),ROUNDUP(AU1567,0)))</f>
        <v>7</v>
      </c>
      <c r="AR1567" s="62" t="n">
        <f aca="false">IF(CA1567=1,0,ROUNDUP(AQ1567/BZ1567,0))</f>
        <v>1</v>
      </c>
      <c r="AS1567" s="64" t="n">
        <f aca="false">IF(CR1567&gt;0,CR1567*MAX(1,AQ1567/X1567),IF(CA1567=1,IF(AQ1567&lt;=0,0,CE1567*MAX(1,IF(H1567&gt;0,AQ1567/H1567,1))),IF(R1567&gt;0,AR1567/R1567,0))/MAX(0.1,N(Parameter!$M$21)))</f>
        <v>0.0833333333333333</v>
      </c>
      <c r="AT1567" s="62" t="n">
        <f aca="false">AS1567*CC1567</f>
        <v>12.0833333333333</v>
      </c>
      <c r="AU1567" s="63" t="n">
        <f aca="false">IF(LEFT(Cockpit!$I$5,1)="A",H1567,IF(CI1567=1,(CL1567+CJ1567)/2,IF(LEFT(Cockpit!$I$5,1)="B",(CL1567+AW1567)/2,MAX((CL1567+AW1567)/2,H1567))))</f>
        <v>7</v>
      </c>
      <c r="AV1567" s="62" t="n">
        <f aca="false">AU1567*G1567</f>
        <v>700</v>
      </c>
      <c r="AW1567" s="62" t="n">
        <f aca="false">ROUNDUP(CL1567+MAX(CM1567,2*(J1567/IF(CH1567&gt;0,CH1567,MAX(0.1,N(Cockpit!$I$6)))-CL1567)),0)</f>
        <v>5</v>
      </c>
      <c r="AX1567" s="63" t="n">
        <f aca="false">IF(AT1567&gt;0,J1567/AT1567,-1)</f>
        <v>0</v>
      </c>
      <c r="AY1567" s="63" t="n">
        <f aca="false">IF(AND(OR(CG1567="L1",CG1567="L23",CG1567="LIFT"),AT1567&gt;0),SUMIFS($AT$7:$AT$1843,$CG$7:$CG$1843,CG1567,$AX$7:$AX$1843,"&gt;"&amp;AX1567)+SUMIFS($AT$7:$AT$1843,$CG$7:$CG$1843,CG1567,$AX$7:$AX$1843,AX1567,$BX$7:$BX$1843,"&lt;="&amp;BX1567),"")</f>
        <v>36644.6837529232</v>
      </c>
      <c r="AZ1567" s="70" t="n">
        <f aca="false">IF(AY1567="",0,MAX(0,MIN(1,(IF(CG1567="L1",Parameter!$H$5,IF(CG1567="L23",Parameter!$H$6+Parameter!$H$7,Parameter!$H$5+Parameter!$H$6+Parameter!$H$7))-(AY1567-AT1567))/AT1567)))</f>
        <v>0</v>
      </c>
      <c r="BA1567" s="62" t="n">
        <f aca="false">IF(LEFT(Cockpit!$O$5,1)="A",H1567,IF(Parameter!$E$30="MAX-Bestand",IF(CI1567=1,CJ1567,IF(LEFT(Cockpit!$O$5,1)="B",BG1567,MAX(BG1567,H1567))),ROUNDUP(BE1567,0)))</f>
        <v>3</v>
      </c>
      <c r="BB1567" s="62" t="n">
        <f aca="false">IF(CA1567=1,0,ROUNDUP(BA1567/BZ1567,0))</f>
        <v>1</v>
      </c>
      <c r="BC1567" s="64" t="n">
        <f aca="false">IF(CR1567&gt;0,CR1567*MAX(1,BA1567/X1567),IF(CA1567=1,IF(BA1567&lt;=0,0,CE1567*MAX(1,IF(H1567&gt;0,BA1567/H1567,1))),IF(R1567&gt;0,BB1567/R1567,0))/MAX(0.1,N(Parameter!$M$21)))</f>
        <v>0.0833333333333333</v>
      </c>
      <c r="BD1567" s="62" t="n">
        <f aca="false">BC1567*CC1567</f>
        <v>12.0833333333333</v>
      </c>
      <c r="BE1567" s="63" t="n">
        <f aca="false">IF(LEFT(Cockpit!$O$5,1)="A",H1567,IF(CI1567=1,(CL1567+CJ1567)/2,IF(LEFT(Cockpit!$O$5,1)="B",(CL1567+BG1567)/2,MAX((CL1567+BG1567)/2,H1567))))</f>
        <v>2.5</v>
      </c>
      <c r="BF1567" s="62" t="n">
        <f aca="false">BE1567*G1567</f>
        <v>250</v>
      </c>
      <c r="BG1567" s="62" t="n">
        <f aca="false">ROUNDUP(CL1567+MAX(CM1567,2*(J1567/IF(CH1567&gt;0,CH1567,MAX(0.1,N(Cockpit!$O$6)))-CL1567)),0)</f>
        <v>5</v>
      </c>
      <c r="BH1567" s="63" t="n">
        <f aca="false">IF(BD1567&gt;0,J1567/BD1567,-1)</f>
        <v>0</v>
      </c>
      <c r="BI1567" s="63" t="n">
        <f aca="false">IF(AND(OR(CG1567="L1",CG1567="L23",CG1567="LIFT"),BD1567&gt;0),SUMIFS($BD$7:$BD$1843,$CG$7:$CG$1843,CG1567,$BH$7:$BH$1843,"&gt;"&amp;BH1567)+SUMIFS($BD$7:$BD$1843,$CG$7:$CG$1843,CG1567,$BH$7:$BH$1843,BH1567,$BX$7:$BX$1843,"&lt;="&amp;BX1567),"")</f>
        <v>30554.1250284555</v>
      </c>
      <c r="BJ1567" s="70" t="n">
        <f aca="false">IF(BI1567="",0,MAX(0,MIN(1,(IF(CG1567="L1",Parameter!$H$5,IF(CG1567="L23",Parameter!$H$6+Parameter!$H$7,Parameter!$H$5+Parameter!$H$6+Parameter!$H$7))-(BI1567-BD1567))/BD1567)))</f>
        <v>1</v>
      </c>
      <c r="BK1567" s="60" t="str">
        <f aca="false">IF(AJ1567&lt;=0,"",IF(CG1567="Aussen","Aussenlager",IF(CG1567="-","Nicht im Lift",IF(AP1567&gt;=1,"Lift",IF(AP1567&lt;=0,"Aussenlager","teilweise")))))</f>
        <v>Lift</v>
      </c>
      <c r="BL1567" s="60" t="str">
        <f aca="false">IF(AT1567&lt;=0,"",IF(CG1567="Aussen","Aussenlager",IF(CG1567="-","Nicht im Lift",IF(AZ1567&gt;=1,"Lift",IF(AZ1567&lt;=0,"Aussenlager","teilweise")))))</f>
        <v>Aussenlager</v>
      </c>
      <c r="BM1567" s="60" t="str">
        <f aca="false">IF(BD1567&lt;=0,"",IF(CG1567="Aussen","Aussenlager",IF(CG1567="-","Nicht im Lift",IF(BJ1567&gt;=1,"Lift",IF(BJ1567&lt;=0,"Aussenlager","teilweise")))))</f>
        <v>Lift</v>
      </c>
      <c r="BN1567" s="60" t="str">
        <f aca="false">IF(A1567="","",IF(BW1567=1,"Neu; ","")&amp;IF(AND(BW1567=0,BR1567&lt;0),"negativer Bestand (Export "&amp;BR1567&amp;"); ","")&amp;IF(J1567&lt;=0,"Kein Verbrauch; ","")&amp;IF(CR1567&gt;0,"Lift "&amp;W1567&amp;" lt. Liftbericht (Fach "&amp;X1567&amp;" Stk); ",IF(CB1567=1,"Gebinde geschätzt ("&amp;T1567&amp;"); ",IF(CA1567=1,"Lose – Tablare geschätzt; ","")))&amp;IF(H1567&gt;AW1567,"Überbestand "&amp;ROUND(H1567-AW1567,0)&amp;" Stk / CHF "&amp;ROUND((H1567-AW1567)*G1567,0)&amp;"; ","")&amp;IF(AND(CI1567=1,CJ1567&lt;CK1567),"MAX &lt; MB+LG; ","")&amp;IF(AND(CQ1567&gt;0,CP1567*10&gt;CQ1567),"zu hoch für Tablar; ","")&amp;IF(AND(BW1567=0,OR(CI1567=1,AB1567&lt;&gt;"",U1567&lt;&gt;"",V1567&lt;&gt;"",AC1567&lt;&gt;"")),"manuell übersteuert; ","")&amp;IF(AND(CA1567=0,R1567=0),"Gebinde unbekannt / Stellmass fehlt; ","")&amp;IF(AND(CA1567=0,N(V1567)&lt;=0,N(Q1567)&lt;=0),"Menge pro Gebinde fehlt (Ist = 1 Gebinde); ","")&amp;BV1567)</f>
        <v>Kein Verbrauch; Gebinde geschätzt (Mittel); Überbestand 2 Stk / CHF 200; Menge pro Gebinde fehlt (Ist = 1 Gebinde); nur im Artikelstamm (Bestand 23.06.2026)</v>
      </c>
      <c r="BO1567" s="60"/>
      <c r="BP1567" s="60"/>
      <c r="BQ1567" s="67"/>
      <c r="BR1567" s="62" t="n">
        <v>7</v>
      </c>
      <c r="BS1567" s="62" t="n">
        <v>0</v>
      </c>
      <c r="BT1567" s="61" t="n">
        <v>0</v>
      </c>
      <c r="BU1567" s="62" t="n">
        <v>0</v>
      </c>
      <c r="BV1567" s="60" t="s">
        <v>2617</v>
      </c>
      <c r="BW1567" s="65" t="n">
        <v>0</v>
      </c>
      <c r="BX1567" s="65" t="n">
        <v>1567</v>
      </c>
      <c r="BY1567" s="60" t="str">
        <f aca="false">IF(U1567&lt;&gt;"",UPPER(TRIM(U1567)),IF(CB1567=1,UPPER(VLOOKUP(T1567,Parameter!$I$27:$K$29,2,0)),IF(P1567="","LOSE",P1567)))</f>
        <v>S61</v>
      </c>
      <c r="BZ1567" s="62" t="n">
        <f aca="false">IF(BY1567="LOSE",1,IF(N(V1567)&gt;0,V1567,IF(CB1567=1,MAX(1,N(VLOOKUP(T1567,Parameter!$I$27:$K$29,3,0)),H1567,N(N1567)),IF(N(Q1567)&gt;0,Q1567,MAX(1,H1567)))))</f>
        <v>7</v>
      </c>
      <c r="CA1567" s="65" t="n">
        <f aca="false">IF(BY1567="LOSE",1,0)</f>
        <v>0</v>
      </c>
      <c r="CB1567" s="65" t="n">
        <f aca="false">IF(AND(U1567="",OR(P1567="",P1567="LOSE"),T1567&lt;&gt;"",N(S1567)&lt;=0,ISNUMBER(MATCH(T1567,Parameter!$I$27:$I$29,0))),1,0)</f>
        <v>1</v>
      </c>
      <c r="CC1567" s="65" t="n">
        <f aca="false">IF(CR1567&gt;0,INDEX(Parameter!$H$5:$H$7,W1567)/INDEX(Parameter!$E$5:$E$7,W1567),IF(AND(CA1567=0,N(IFERROR(VLOOKUP(BY1567,'Gebinde-Kategorie'!$A$5:$N$45,14,0),0))&gt;0),VLOOKUP(BY1567,'Gebinde-Kategorie'!$A$5:$N$45,14,0)*10+Parameter!$M$23,Parameter!$M$24))</f>
        <v>145</v>
      </c>
      <c r="CD1567" s="60" t="str">
        <f aca="false">IF(AND(Parameter!$B$19="Ja",E1567&lt;&gt;"",ISNUMBER(MATCH(E1567,Parameter!$I$35:$I$52,0))),VLOOKUP(E1567,Parameter!$I$35:$J$52,2,0),IFERROR(VLOOKUP(D1567,Parameter!$A$35:$C$64,2,0),"Nein"))</f>
        <v>2+3</v>
      </c>
      <c r="CE1567" s="64" t="n">
        <f aca="false">IF(CA1567=0,0,IF(N(S1567)&gt;0,S1567,IFERROR(VLOOKUP(D1567,Parameter!$A$35:$C$64,3,0)+0,0)))</f>
        <v>0</v>
      </c>
      <c r="CF1567" s="60" t="n">
        <f aca="false">IF(AB1567&lt;&gt;"",AB1567,AA1567)</f>
        <v>3</v>
      </c>
      <c r="CG1567" s="60" t="str">
        <f aca="false">IF(OR(CF1567=1,CF1567=2,CF1567=3),IF(Parameter!$E$27="Ja","LIFT",IF(CF1567=1,"L1","L23")),IF(CF1567="Aussen","Aussen","-"))</f>
        <v>LIFT</v>
      </c>
      <c r="CH1567" s="71" t="n">
        <f aca="false">IF(N(AC1567)&gt;0,AC1567,0)</f>
        <v>0</v>
      </c>
      <c r="CI1567" s="65" t="n">
        <f aca="false">IF(ISNUMBER(AF1567),1,0)</f>
        <v>0</v>
      </c>
      <c r="CJ1567" s="62" t="n">
        <f aca="false">N(AF1567)</f>
        <v>0</v>
      </c>
      <c r="CK1567" s="62" t="n">
        <f aca="false">N(M1567)+N(N1567)</f>
        <v>5</v>
      </c>
      <c r="CL1567" s="62" t="n">
        <f aca="false">N(M1567)</f>
        <v>0</v>
      </c>
      <c r="CM1567" s="62" t="n">
        <f aca="false">N(N1567)</f>
        <v>5</v>
      </c>
      <c r="CN1567" s="62" t="n">
        <f aca="false">ROUNDUP(H1567/BZ1567,0)</f>
        <v>1</v>
      </c>
      <c r="CO1567" s="62" t="n">
        <f aca="false">ROUNDUP(CJ1567/BZ1567,0)</f>
        <v>0</v>
      </c>
      <c r="CP1567" s="65" t="n">
        <f aca="false">IF(CA1567=1,0,IFERROR(VLOOKUP(BY1567,'Gebinde-Kategorie'!$A$5:$N$45,5,0)+0,0))</f>
        <v>11</v>
      </c>
      <c r="CQ1567" s="65" t="n">
        <f aca="false">IFERROR(IF(OR(CF1567=1,CF1567=2,CF1567=3),N(INDEX(Parameter!$I$5:$I$7,CF1567)),0),0)</f>
        <v>0</v>
      </c>
      <c r="CR1567" s="64" t="n">
        <f aca="false">IF(AND(Parameter!$B$21="Ja",ISNUMBER(W1567),N(X1567)&gt;0),IFERROR(N(INDEX(Parameter!$L$5:$L$7,W1567))*INDEX(Parameter!$E$5:$E$7,W1567)*X1567/SUMIFS($X$7:$X$1843,$W$7:$W$1843,W1567),0),0)</f>
        <v>0</v>
      </c>
      <c r="CS1567" s="62" t="n">
        <f aca="false">IF(AND(OR(CG1567="L1",CG1567="L23",CG1567="LIFT"),H1567&gt;0),CC1567*IF(CR1567&gt;0,CR1567*MAX(1,H1567/X1567),IF(CA1567=1,CE1567,IF(R1567&gt;0,CN1567/R1567,0))/MAX(0.1,N(Parameter!$M$21))),"")</f>
        <v>12.0833333333333</v>
      </c>
      <c r="CT1567" s="64" t="n">
        <f aca="false">IF(CS1567="","",J1567/H1567)</f>
        <v>0</v>
      </c>
      <c r="CU1567" s="62" t="n">
        <f aca="false">IF(CS1567="","",H1567*G1567)</f>
        <v>700</v>
      </c>
      <c r="CV1567" s="63" t="n">
        <f aca="false">IF(CS1567="","",(CL1567+ROUNDUP(CL1567+MAX(CM1567,2*(J1567/MAX(0.1,N(Einkauf!$C$6))-CL1567)),0))/2)</f>
        <v>2.5</v>
      </c>
      <c r="CW1567" s="62" t="n">
        <f aca="false">IF(CS1567="","",MAX(0,H1567-CV1567)*G1567)</f>
        <v>450</v>
      </c>
      <c r="CX1567" s="62" t="n">
        <f aca="false">IF(CS1567="","",CS1567*MAX(0,1-CV1567/H1567))</f>
        <v>7.76785714285714</v>
      </c>
      <c r="CY1567" s="64" t="n">
        <f aca="false">IF(CS1567="","",PERCENTRANK($CS$7:$CS$1843,CS1567)+PERCENTRANK($CU$7:$CU$1843,CU1567)+1-PERCENTRANK($CT$7:$CT$1843,CT1567))</f>
        <v>2.239</v>
      </c>
      <c r="CZ1567" s="72" t="n">
        <f aca="false">IF(CS1567="","",CHOOSE(MATCH(Einkauf!$C$5,Parameter!$G$23:$G$27,0),CY1567,CS1567,CU1567,-CT1567,CW1567)+ROW()/1000000000)</f>
        <v>2.239001567</v>
      </c>
    </row>
    <row r="1568" customFormat="false" ht="15" hidden="false" customHeight="false" outlineLevel="0" collapsed="false">
      <c r="A1568" s="60" t="s">
        <v>2781</v>
      </c>
      <c r="B1568" s="60" t="s">
        <v>2782</v>
      </c>
      <c r="C1568" s="60" t="s">
        <v>206</v>
      </c>
      <c r="D1568" s="60" t="s">
        <v>226</v>
      </c>
      <c r="E1568" s="60"/>
      <c r="F1568" s="60"/>
      <c r="G1568" s="61" t="n">
        <v>143</v>
      </c>
      <c r="H1568" s="62" t="n">
        <f aca="false">MAX(0,IF(AND(Parameter!$B$21="Ja",ISNUMBER(Y1568)),Y1568,IF(Parameter!$B$20="Jahresanfang 2025 + Export",BS1568+BR1568,BR1568)))</f>
        <v>2</v>
      </c>
      <c r="I1568" s="62" t="n">
        <f aca="false">H1568*G1568</f>
        <v>286</v>
      </c>
      <c r="J1568" s="62" t="n">
        <f aca="false">BU1568*Parameter!$B$18</f>
        <v>0</v>
      </c>
      <c r="K1568" s="63"/>
      <c r="L1568" s="64"/>
      <c r="M1568" s="62" t="n">
        <v>0</v>
      </c>
      <c r="N1568" s="62" t="n">
        <v>10</v>
      </c>
      <c r="O1568" s="65" t="n">
        <v>35</v>
      </c>
      <c r="P1568" s="60" t="s">
        <v>210</v>
      </c>
      <c r="Q1568" s="62"/>
      <c r="R1568" s="65" t="n">
        <f aca="false">IF(CA1568=1,0,IFERROR(VLOOKUP(BY1568,'Gebinde-Kategorie'!$A$5:$N$45,13,0)+0,0))</f>
        <v>26</v>
      </c>
      <c r="S1568" s="66"/>
      <c r="T1568" s="67" t="s">
        <v>317</v>
      </c>
      <c r="U1568" s="67"/>
      <c r="V1568" s="67"/>
      <c r="W1568" s="60"/>
      <c r="X1568" s="62"/>
      <c r="Y1568" s="62"/>
      <c r="Z1568" s="60" t="n">
        <v>3</v>
      </c>
      <c r="AA1568" s="60" t="n">
        <f aca="false">IF(A1568="","",IF(AND(Parameter!$B$21="Ja",ISNUMBER(W1568)),W1568,IF(AND(Parameter!$E$27="Ja",ISNUMBER(Z1568),CD1568&lt;&gt;"Nein"),Z1568,IF(CD1568="2+3",IF(ISNUMBER(SEARCH("grosser Artikel",BV1568)),2,IFERROR(VLOOKUP(BY1568,Parameter!$F$35:$G$64,2,0),2)),IF(OR(CD1568="Nein",CD1568=""),"-",CD1568)))))</f>
        <v>3</v>
      </c>
      <c r="AB1568" s="67"/>
      <c r="AC1568" s="68"/>
      <c r="AD1568" s="62" t="n">
        <f aca="false">AW1568</f>
        <v>10</v>
      </c>
      <c r="AE1568" s="62" t="n">
        <f aca="false">MAX(AW1568,H1568)</f>
        <v>10</v>
      </c>
      <c r="AF1568" s="69"/>
      <c r="AG1568" s="62" t="n">
        <f aca="false">IF(LEFT(Cockpit!$C$5,1)="A",H1568,IF(Parameter!$E$30="MAX-Bestand",IF(CI1568=1,CJ1568,IF(LEFT(Cockpit!$C$5,1)="B",AM1568,MAX(AM1568,H1568))),ROUNDUP(AK1568,0)))</f>
        <v>2</v>
      </c>
      <c r="AH1568" s="62" t="n">
        <f aca="false">IF(CA1568=1,0,ROUNDUP(AG1568/BZ1568,0))</f>
        <v>1</v>
      </c>
      <c r="AI1568" s="64" t="n">
        <f aca="false">IF(CR1568&gt;0,CR1568*MAX(1,AG1568/X1568),IF(CA1568=1,IF(AG1568&lt;=0,0,CE1568*MAX(1,IF(H1568&gt;0,AG1568/H1568,1))),IF(R1568&gt;0,AH1568/R1568,0))/MAX(0.1,N(Parameter!$M$21)))</f>
        <v>0.0384615384615385</v>
      </c>
      <c r="AJ1568" s="62" t="n">
        <f aca="false">AI1568*CC1568</f>
        <v>5.96153846153846</v>
      </c>
      <c r="AK1568" s="63" t="n">
        <f aca="false">IF(LEFT(Cockpit!$C$5,1)="A",H1568,IF(CI1568=1,(CL1568+CJ1568)/2,IF(LEFT(Cockpit!$C$5,1)="B",(CL1568+AM1568)/2,MAX((CL1568+AM1568)/2,H1568))))</f>
        <v>2</v>
      </c>
      <c r="AL1568" s="62" t="n">
        <f aca="false">AK1568*G1568</f>
        <v>286</v>
      </c>
      <c r="AM1568" s="62" t="n">
        <f aca="false">ROUNDUP(CL1568+MAX(CM1568,2*(J1568/IF(CH1568&gt;0,CH1568,MAX(0.1,N(Cockpit!$C$6)))-CL1568)),0)</f>
        <v>10</v>
      </c>
      <c r="AN1568" s="63" t="n">
        <f aca="false">IF(AJ1568&gt;0,J1568/AJ1568,-1)</f>
        <v>0</v>
      </c>
      <c r="AO1568" s="63" t="n">
        <f aca="false">IF(AND(OR(CG1568="L1",CG1568="L23",CG1568="LIFT"),AJ1568&gt;0),SUMIFS($AJ$7:$AJ$1843,$CG$7:$CG$1843,CG1568,$AN$7:$AN$1843,"&gt;"&amp;AN1568)+SUMIFS($AJ$7:$AJ$1843,$CG$7:$CG$1843,CG1568,$AN$7:$AN$1843,AN1568,$BX$7:$BX$1843,"&lt;="&amp;BX1568),"")</f>
        <v>30330.7887745494</v>
      </c>
      <c r="AP1568" s="70" t="n">
        <f aca="false">IF(AO1568="",0,MAX(0,MIN(1,(IF(CG1568="L1",Parameter!$H$5,IF(CG1568="L23",Parameter!$H$6+Parameter!$H$7,Parameter!$H$5+Parameter!$H$6+Parameter!$H$7))-(AO1568-AJ1568))/AJ1568)))</f>
        <v>1</v>
      </c>
      <c r="AQ1568" s="62" t="n">
        <f aca="false">IF(LEFT(Cockpit!$I$5,1)="A",H1568,IF(Parameter!$E$30="MAX-Bestand",IF(CI1568=1,CJ1568,IF(LEFT(Cockpit!$I$5,1)="B",AW1568,MAX(AW1568,H1568))),ROUNDUP(AU1568,0)))</f>
        <v>5</v>
      </c>
      <c r="AR1568" s="62" t="n">
        <f aca="false">IF(CA1568=1,0,ROUNDUP(AQ1568/BZ1568,0))</f>
        <v>1</v>
      </c>
      <c r="AS1568" s="64" t="n">
        <f aca="false">IF(CR1568&gt;0,CR1568*MAX(1,AQ1568/X1568),IF(CA1568=1,IF(AQ1568&lt;=0,0,CE1568*MAX(1,IF(H1568&gt;0,AQ1568/H1568,1))),IF(R1568&gt;0,AR1568/R1568,0))/MAX(0.1,N(Parameter!$M$21)))</f>
        <v>0.0384615384615385</v>
      </c>
      <c r="AT1568" s="62" t="n">
        <f aca="false">AS1568*CC1568</f>
        <v>5.96153846153846</v>
      </c>
      <c r="AU1568" s="63" t="n">
        <f aca="false">IF(LEFT(Cockpit!$I$5,1)="A",H1568,IF(CI1568=1,(CL1568+CJ1568)/2,IF(LEFT(Cockpit!$I$5,1)="B",(CL1568+AW1568)/2,MAX((CL1568+AW1568)/2,H1568))))</f>
        <v>5</v>
      </c>
      <c r="AV1568" s="62" t="n">
        <f aca="false">AU1568*G1568</f>
        <v>715</v>
      </c>
      <c r="AW1568" s="62" t="n">
        <f aca="false">ROUNDUP(CL1568+MAX(CM1568,2*(J1568/IF(CH1568&gt;0,CH1568,MAX(0.1,N(Cockpit!$I$6)))-CL1568)),0)</f>
        <v>10</v>
      </c>
      <c r="AX1568" s="63" t="n">
        <f aca="false">IF(AT1568&gt;0,J1568/AT1568,-1)</f>
        <v>0</v>
      </c>
      <c r="AY1568" s="63" t="n">
        <f aca="false">IF(AND(OR(CG1568="L1",CG1568="L23",CG1568="LIFT"),AT1568&gt;0),SUMIFS($AT$7:$AT$1843,$CG$7:$CG$1843,CG1568,$AX$7:$AX$1843,"&gt;"&amp;AX1568)+SUMIFS($AT$7:$AT$1843,$CG$7:$CG$1843,CG1568,$AX$7:$AX$1843,AX1568,$BX$7:$BX$1843,"&lt;="&amp;BX1568),"")</f>
        <v>36650.6452913847</v>
      </c>
      <c r="AZ1568" s="70" t="n">
        <f aca="false">IF(AY1568="",0,MAX(0,MIN(1,(IF(CG1568="L1",Parameter!$H$5,IF(CG1568="L23",Parameter!$H$6+Parameter!$H$7,Parameter!$H$5+Parameter!$H$6+Parameter!$H$7))-(AY1568-AT1568))/AT1568)))</f>
        <v>0</v>
      </c>
      <c r="BA1568" s="62" t="n">
        <f aca="false">IF(LEFT(Cockpit!$O$5,1)="A",H1568,IF(Parameter!$E$30="MAX-Bestand",IF(CI1568=1,CJ1568,IF(LEFT(Cockpit!$O$5,1)="B",BG1568,MAX(BG1568,H1568))),ROUNDUP(BE1568,0)))</f>
        <v>5</v>
      </c>
      <c r="BB1568" s="62" t="n">
        <f aca="false">IF(CA1568=1,0,ROUNDUP(BA1568/BZ1568,0))</f>
        <v>1</v>
      </c>
      <c r="BC1568" s="64" t="n">
        <f aca="false">IF(CR1568&gt;0,CR1568*MAX(1,BA1568/X1568),IF(CA1568=1,IF(BA1568&lt;=0,0,CE1568*MAX(1,IF(H1568&gt;0,BA1568/H1568,1))),IF(R1568&gt;0,BB1568/R1568,0))/MAX(0.1,N(Parameter!$M$21)))</f>
        <v>0.0384615384615385</v>
      </c>
      <c r="BD1568" s="62" t="n">
        <f aca="false">BC1568*CC1568</f>
        <v>5.96153846153846</v>
      </c>
      <c r="BE1568" s="63" t="n">
        <f aca="false">IF(LEFT(Cockpit!$O$5,1)="A",H1568,IF(CI1568=1,(CL1568+CJ1568)/2,IF(LEFT(Cockpit!$O$5,1)="B",(CL1568+BG1568)/2,MAX((CL1568+BG1568)/2,H1568))))</f>
        <v>5</v>
      </c>
      <c r="BF1568" s="62" t="n">
        <f aca="false">BE1568*G1568</f>
        <v>715</v>
      </c>
      <c r="BG1568" s="62" t="n">
        <f aca="false">ROUNDUP(CL1568+MAX(CM1568,2*(J1568/IF(CH1568&gt;0,CH1568,MAX(0.1,N(Cockpit!$O$6)))-CL1568)),0)</f>
        <v>10</v>
      </c>
      <c r="BH1568" s="63" t="n">
        <f aca="false">IF(BD1568&gt;0,J1568/BD1568,-1)</f>
        <v>0</v>
      </c>
      <c r="BI1568" s="63" t="n">
        <f aca="false">IF(AND(OR(CG1568="L1",CG1568="L23",CG1568="LIFT"),BD1568&gt;0),SUMIFS($BD$7:$BD$1843,$CG$7:$CG$1843,CG1568,$BH$7:$BH$1843,"&gt;"&amp;BH1568)+SUMIFS($BD$7:$BD$1843,$CG$7:$CG$1843,CG1568,$BH$7:$BH$1843,BH1568,$BX$7:$BX$1843,"&lt;="&amp;BX1568),"")</f>
        <v>30560.0865669171</v>
      </c>
      <c r="BJ1568" s="70" t="n">
        <f aca="false">IF(BI1568="",0,MAX(0,MIN(1,(IF(CG1568="L1",Parameter!$H$5,IF(CG1568="L23",Parameter!$H$6+Parameter!$H$7,Parameter!$H$5+Parameter!$H$6+Parameter!$H$7))-(BI1568-BD1568))/BD1568)))</f>
        <v>1</v>
      </c>
      <c r="BK1568" s="60" t="str">
        <f aca="false">IF(AJ1568&lt;=0,"",IF(CG1568="Aussen","Aussenlager",IF(CG1568="-","Nicht im Lift",IF(AP1568&gt;=1,"Lift",IF(AP1568&lt;=0,"Aussenlager","teilweise")))))</f>
        <v>Lift</v>
      </c>
      <c r="BL1568" s="60" t="str">
        <f aca="false">IF(AT1568&lt;=0,"",IF(CG1568="Aussen","Aussenlager",IF(CG1568="-","Nicht im Lift",IF(AZ1568&gt;=1,"Lift",IF(AZ1568&lt;=0,"Aussenlager","teilweise")))))</f>
        <v>Aussenlager</v>
      </c>
      <c r="BM1568" s="60" t="str">
        <f aca="false">IF(BD1568&lt;=0,"",IF(CG1568="Aussen","Aussenlager",IF(CG1568="-","Nicht im Lift",IF(BJ1568&gt;=1,"Lift",IF(BJ1568&lt;=0,"Aussenlager","teilweise")))))</f>
        <v>Lift</v>
      </c>
      <c r="BN1568" s="60" t="str">
        <f aca="false">IF(A1568="","",IF(BW1568=1,"Neu; ","")&amp;IF(AND(BW1568=0,BR1568&lt;0),"negativer Bestand (Export "&amp;BR1568&amp;"); ","")&amp;IF(J1568&lt;=0,"Kein Verbrauch; ","")&amp;IF(CR1568&gt;0,"Lift "&amp;W1568&amp;" lt. Liftbericht (Fach "&amp;X1568&amp;" Stk); ",IF(CB1568=1,"Gebinde geschätzt ("&amp;T1568&amp;"); ",IF(CA1568=1,"Lose – Tablare geschätzt; ","")))&amp;IF(H1568&gt;AW1568,"Überbestand "&amp;ROUND(H1568-AW1568,0)&amp;" Stk / CHF "&amp;ROUND((H1568-AW1568)*G1568,0)&amp;"; ","")&amp;IF(AND(CI1568=1,CJ1568&lt;CK1568),"MAX &lt; MB+LG; ","")&amp;IF(AND(CQ1568&gt;0,CP1568*10&gt;CQ1568),"zu hoch für Tablar; ","")&amp;IF(AND(BW1568=0,OR(CI1568=1,AB1568&lt;&gt;"",U1568&lt;&gt;"",V1568&lt;&gt;"",AC1568&lt;&gt;"")),"manuell übersteuert; ","")&amp;IF(AND(CA1568=0,R1568=0),"Gebinde unbekannt / Stellmass fehlt; ","")&amp;IF(AND(CA1568=0,N(V1568)&lt;=0,N(Q1568)&lt;=0),"Menge pro Gebinde fehlt (Ist = 1 Gebinde); ","")&amp;BV1568)</f>
        <v>Kein Verbrauch; Gebinde geschätzt (Klein); Menge pro Gebinde fehlt (Ist = 1 Gebinde); nur im Artikelstamm (Bestand 23.06.2026)</v>
      </c>
      <c r="BO1568" s="60"/>
      <c r="BP1568" s="60"/>
      <c r="BQ1568" s="67"/>
      <c r="BR1568" s="62" t="n">
        <v>2</v>
      </c>
      <c r="BS1568" s="62" t="n">
        <v>0</v>
      </c>
      <c r="BT1568" s="61" t="n">
        <v>0</v>
      </c>
      <c r="BU1568" s="62" t="n">
        <v>0</v>
      </c>
      <c r="BV1568" s="60" t="s">
        <v>2617</v>
      </c>
      <c r="BW1568" s="65" t="n">
        <v>0</v>
      </c>
      <c r="BX1568" s="65" t="n">
        <v>1568</v>
      </c>
      <c r="BY1568" s="60" t="str">
        <f aca="false">IF(U1568&lt;&gt;"",UPPER(TRIM(U1568)),IF(CB1568=1,UPPER(VLOOKUP(T1568,Parameter!$I$27:$K$29,2,0)),IF(P1568="","LOSE",P1568)))</f>
        <v>S51</v>
      </c>
      <c r="BZ1568" s="62" t="n">
        <f aca="false">IF(BY1568="LOSE",1,IF(N(V1568)&gt;0,V1568,IF(CB1568=1,MAX(1,N(VLOOKUP(T1568,Parameter!$I$27:$K$29,3,0)),H1568,N(N1568)),IF(N(Q1568)&gt;0,Q1568,MAX(1,H1568)))))</f>
        <v>20</v>
      </c>
      <c r="CA1568" s="65" t="n">
        <f aca="false">IF(BY1568="LOSE",1,0)</f>
        <v>0</v>
      </c>
      <c r="CB1568" s="65" t="n">
        <f aca="false">IF(AND(U1568="",OR(P1568="",P1568="LOSE"),T1568&lt;&gt;"",N(S1568)&lt;=0,ISNUMBER(MATCH(T1568,Parameter!$I$27:$I$29,0))),1,0)</f>
        <v>1</v>
      </c>
      <c r="CC1568" s="65" t="n">
        <f aca="false">IF(CR1568&gt;0,INDEX(Parameter!$H$5:$H$7,W1568)/INDEX(Parameter!$E$5:$E$7,W1568),IF(AND(CA1568=0,N(IFERROR(VLOOKUP(BY1568,'Gebinde-Kategorie'!$A$5:$N$45,14,0),0))&gt;0),VLOOKUP(BY1568,'Gebinde-Kategorie'!$A$5:$N$45,14,0)*10+Parameter!$M$23,Parameter!$M$24))</f>
        <v>155</v>
      </c>
      <c r="CD1568" s="60" t="str">
        <f aca="false">IF(AND(Parameter!$B$19="Ja",E1568&lt;&gt;"",ISNUMBER(MATCH(E1568,Parameter!$I$35:$I$52,0))),VLOOKUP(E1568,Parameter!$I$35:$J$52,2,0),IFERROR(VLOOKUP(D1568,Parameter!$A$35:$C$64,2,0),"Nein"))</f>
        <v>2+3</v>
      </c>
      <c r="CE1568" s="64" t="n">
        <f aca="false">IF(CA1568=0,0,IF(N(S1568)&gt;0,S1568,IFERROR(VLOOKUP(D1568,Parameter!$A$35:$C$64,3,0)+0,0)))</f>
        <v>0</v>
      </c>
      <c r="CF1568" s="60" t="n">
        <f aca="false">IF(AB1568&lt;&gt;"",AB1568,AA1568)</f>
        <v>3</v>
      </c>
      <c r="CG1568" s="60" t="str">
        <f aca="false">IF(OR(CF1568=1,CF1568=2,CF1568=3),IF(Parameter!$E$27="Ja","LIFT",IF(CF1568=1,"L1","L23")),IF(CF1568="Aussen","Aussen","-"))</f>
        <v>LIFT</v>
      </c>
      <c r="CH1568" s="71" t="n">
        <f aca="false">IF(N(AC1568)&gt;0,AC1568,0)</f>
        <v>0</v>
      </c>
      <c r="CI1568" s="65" t="n">
        <f aca="false">IF(ISNUMBER(AF1568),1,0)</f>
        <v>0</v>
      </c>
      <c r="CJ1568" s="62" t="n">
        <f aca="false">N(AF1568)</f>
        <v>0</v>
      </c>
      <c r="CK1568" s="62" t="n">
        <f aca="false">N(M1568)+N(N1568)</f>
        <v>10</v>
      </c>
      <c r="CL1568" s="62" t="n">
        <f aca="false">N(M1568)</f>
        <v>0</v>
      </c>
      <c r="CM1568" s="62" t="n">
        <f aca="false">N(N1568)</f>
        <v>10</v>
      </c>
      <c r="CN1568" s="62" t="n">
        <f aca="false">ROUNDUP(H1568/BZ1568,0)</f>
        <v>1</v>
      </c>
      <c r="CO1568" s="62" t="n">
        <f aca="false">ROUNDUP(CJ1568/BZ1568,0)</f>
        <v>0</v>
      </c>
      <c r="CP1568" s="65" t="n">
        <f aca="false">IF(CA1568=1,0,IFERROR(VLOOKUP(BY1568,'Gebinde-Kategorie'!$A$5:$N$45,5,0)+0,0))</f>
        <v>11</v>
      </c>
      <c r="CQ1568" s="65" t="n">
        <f aca="false">IFERROR(IF(OR(CF1568=1,CF1568=2,CF1568=3),N(INDEX(Parameter!$I$5:$I$7,CF1568)),0),0)</f>
        <v>0</v>
      </c>
      <c r="CR1568" s="64" t="n">
        <f aca="false">IF(AND(Parameter!$B$21="Ja",ISNUMBER(W1568),N(X1568)&gt;0),IFERROR(N(INDEX(Parameter!$L$5:$L$7,W1568))*INDEX(Parameter!$E$5:$E$7,W1568)*X1568/SUMIFS($X$7:$X$1843,$W$7:$W$1843,W1568),0),0)</f>
        <v>0</v>
      </c>
      <c r="CS1568" s="62" t="n">
        <f aca="false">IF(AND(OR(CG1568="L1",CG1568="L23",CG1568="LIFT"),H1568&gt;0),CC1568*IF(CR1568&gt;0,CR1568*MAX(1,H1568/X1568),IF(CA1568=1,CE1568,IF(R1568&gt;0,CN1568/R1568,0))/MAX(0.1,N(Parameter!$M$21))),"")</f>
        <v>5.96153846153846</v>
      </c>
      <c r="CT1568" s="64" t="n">
        <f aca="false">IF(CS1568="","",J1568/H1568)</f>
        <v>0</v>
      </c>
      <c r="CU1568" s="62" t="n">
        <f aca="false">IF(CS1568="","",H1568*G1568)</f>
        <v>286</v>
      </c>
      <c r="CV1568" s="63" t="n">
        <f aca="false">IF(CS1568="","",(CL1568+ROUNDUP(CL1568+MAX(CM1568,2*(J1568/MAX(0.1,N(Einkauf!$C$6))-CL1568)),0))/2)</f>
        <v>5</v>
      </c>
      <c r="CW1568" s="62" t="n">
        <f aca="false">IF(CS1568="","",MAX(0,H1568-CV1568)*G1568)</f>
        <v>0</v>
      </c>
      <c r="CX1568" s="62" t="n">
        <f aca="false">IF(CS1568="","",CS1568*MAX(0,1-CV1568/H1568))</f>
        <v>0</v>
      </c>
      <c r="CY1568" s="64" t="n">
        <f aca="false">IF(CS1568="","",PERCENTRANK($CS$7:$CS$1843,CS1568)+PERCENTRANK($CU$7:$CU$1843,CU1568)+1-PERCENTRANK($CT$7:$CT$1843,CT1568))</f>
        <v>1.764</v>
      </c>
      <c r="CZ1568" s="72" t="n">
        <f aca="false">IF(CS1568="","",CHOOSE(MATCH(Einkauf!$C$5,Parameter!$G$23:$G$27,0),CY1568,CS1568,CU1568,-CT1568,CW1568)+ROW()/1000000000)</f>
        <v>1.764001568</v>
      </c>
    </row>
    <row r="1569" customFormat="false" ht="15" hidden="false" customHeight="false" outlineLevel="0" collapsed="false">
      <c r="A1569" s="60" t="s">
        <v>2783</v>
      </c>
      <c r="B1569" s="60" t="s">
        <v>2784</v>
      </c>
      <c r="C1569" s="60" t="s">
        <v>206</v>
      </c>
      <c r="D1569" s="60" t="s">
        <v>226</v>
      </c>
      <c r="E1569" s="60"/>
      <c r="F1569" s="60"/>
      <c r="G1569" s="61" t="n">
        <v>37</v>
      </c>
      <c r="H1569" s="62" t="n">
        <f aca="false">MAX(0,IF(AND(Parameter!$B$21="Ja",ISNUMBER(Y1569)),Y1569,IF(Parameter!$B$20="Jahresanfang 2025 + Export",BS1569+BR1569,BR1569)))</f>
        <v>5</v>
      </c>
      <c r="I1569" s="62" t="n">
        <f aca="false">H1569*G1569</f>
        <v>185</v>
      </c>
      <c r="J1569" s="62" t="n">
        <f aca="false">BU1569*Parameter!$B$18</f>
        <v>0</v>
      </c>
      <c r="K1569" s="63"/>
      <c r="L1569" s="64"/>
      <c r="M1569" s="62" t="n">
        <v>0</v>
      </c>
      <c r="N1569" s="62" t="n">
        <v>2</v>
      </c>
      <c r="O1569" s="65" t="n">
        <v>21</v>
      </c>
      <c r="P1569" s="60" t="s">
        <v>210</v>
      </c>
      <c r="Q1569" s="62"/>
      <c r="R1569" s="65" t="n">
        <f aca="false">IF(CA1569=1,0,IFERROR(VLOOKUP(BY1569,'Gebinde-Kategorie'!$A$5:$N$45,13,0)+0,0))</f>
        <v>12</v>
      </c>
      <c r="S1569" s="66"/>
      <c r="T1569" s="67" t="s">
        <v>221</v>
      </c>
      <c r="U1569" s="67"/>
      <c r="V1569" s="67"/>
      <c r="W1569" s="60"/>
      <c r="X1569" s="62"/>
      <c r="Y1569" s="62"/>
      <c r="Z1569" s="60" t="n">
        <v>3</v>
      </c>
      <c r="AA1569" s="60" t="n">
        <f aca="false">IF(A1569="","",IF(AND(Parameter!$B$21="Ja",ISNUMBER(W1569)),W1569,IF(AND(Parameter!$E$27="Ja",ISNUMBER(Z1569),CD1569&lt;&gt;"Nein"),Z1569,IF(CD1569="2+3",IF(ISNUMBER(SEARCH("grosser Artikel",BV1569)),2,IFERROR(VLOOKUP(BY1569,Parameter!$F$35:$G$64,2,0),2)),IF(OR(CD1569="Nein",CD1569=""),"-",CD1569)))))</f>
        <v>3</v>
      </c>
      <c r="AB1569" s="67"/>
      <c r="AC1569" s="68"/>
      <c r="AD1569" s="62" t="n">
        <f aca="false">AW1569</f>
        <v>2</v>
      </c>
      <c r="AE1569" s="62" t="n">
        <f aca="false">MAX(AW1569,H1569)</f>
        <v>5</v>
      </c>
      <c r="AF1569" s="69"/>
      <c r="AG1569" s="62" t="n">
        <f aca="false">IF(LEFT(Cockpit!$C$5,1)="A",H1569,IF(Parameter!$E$30="MAX-Bestand",IF(CI1569=1,CJ1569,IF(LEFT(Cockpit!$C$5,1)="B",AM1569,MAX(AM1569,H1569))),ROUNDUP(AK1569,0)))</f>
        <v>5</v>
      </c>
      <c r="AH1569" s="62" t="n">
        <f aca="false">IF(CA1569=1,0,ROUNDUP(AG1569/BZ1569,0))</f>
        <v>1</v>
      </c>
      <c r="AI1569" s="64" t="n">
        <f aca="false">IF(CR1569&gt;0,CR1569*MAX(1,AG1569/X1569),IF(CA1569=1,IF(AG1569&lt;=0,0,CE1569*MAX(1,IF(H1569&gt;0,AG1569/H1569,1))),IF(R1569&gt;0,AH1569/R1569,0))/MAX(0.1,N(Parameter!$M$21)))</f>
        <v>0.0833333333333333</v>
      </c>
      <c r="AJ1569" s="62" t="n">
        <f aca="false">AI1569*CC1569</f>
        <v>12.0833333333333</v>
      </c>
      <c r="AK1569" s="63" t="n">
        <f aca="false">IF(LEFT(Cockpit!$C$5,1)="A",H1569,IF(CI1569=1,(CL1569+CJ1569)/2,IF(LEFT(Cockpit!$C$5,1)="B",(CL1569+AM1569)/2,MAX((CL1569+AM1569)/2,H1569))))</f>
        <v>5</v>
      </c>
      <c r="AL1569" s="62" t="n">
        <f aca="false">AK1569*G1569</f>
        <v>185</v>
      </c>
      <c r="AM1569" s="62" t="n">
        <f aca="false">ROUNDUP(CL1569+MAX(CM1569,2*(J1569/IF(CH1569&gt;0,CH1569,MAX(0.1,N(Cockpit!$C$6)))-CL1569)),0)</f>
        <v>2</v>
      </c>
      <c r="AN1569" s="63" t="n">
        <f aca="false">IF(AJ1569&gt;0,J1569/AJ1569,-1)</f>
        <v>0</v>
      </c>
      <c r="AO1569" s="63" t="n">
        <f aca="false">IF(AND(OR(CG1569="L1",CG1569="L23",CG1569="LIFT"),AJ1569&gt;0),SUMIFS($AJ$7:$AJ$1843,$CG$7:$CG$1843,CG1569,$AN$7:$AN$1843,"&gt;"&amp;AN1569)+SUMIFS($AJ$7:$AJ$1843,$CG$7:$CG$1843,CG1569,$AN$7:$AN$1843,AN1569,$BX$7:$BX$1843,"&lt;="&amp;BX1569),"")</f>
        <v>30342.8721078827</v>
      </c>
      <c r="AP1569" s="70" t="n">
        <f aca="false">IF(AO1569="",0,MAX(0,MIN(1,(IF(CG1569="L1",Parameter!$H$5,IF(CG1569="L23",Parameter!$H$6+Parameter!$H$7,Parameter!$H$5+Parameter!$H$6+Parameter!$H$7))-(AO1569-AJ1569))/AJ1569)))</f>
        <v>1</v>
      </c>
      <c r="AQ1569" s="62" t="n">
        <f aca="false">IF(LEFT(Cockpit!$I$5,1)="A",H1569,IF(Parameter!$E$30="MAX-Bestand",IF(CI1569=1,CJ1569,IF(LEFT(Cockpit!$I$5,1)="B",AW1569,MAX(AW1569,H1569))),ROUNDUP(AU1569,0)))</f>
        <v>5</v>
      </c>
      <c r="AR1569" s="62" t="n">
        <f aca="false">IF(CA1569=1,0,ROUNDUP(AQ1569/BZ1569,0))</f>
        <v>1</v>
      </c>
      <c r="AS1569" s="64" t="n">
        <f aca="false">IF(CR1569&gt;0,CR1569*MAX(1,AQ1569/X1569),IF(CA1569=1,IF(AQ1569&lt;=0,0,CE1569*MAX(1,IF(H1569&gt;0,AQ1569/H1569,1))),IF(R1569&gt;0,AR1569/R1569,0))/MAX(0.1,N(Parameter!$M$21)))</f>
        <v>0.0833333333333333</v>
      </c>
      <c r="AT1569" s="62" t="n">
        <f aca="false">AS1569*CC1569</f>
        <v>12.0833333333333</v>
      </c>
      <c r="AU1569" s="63" t="n">
        <f aca="false">IF(LEFT(Cockpit!$I$5,1)="A",H1569,IF(CI1569=1,(CL1569+CJ1569)/2,IF(LEFT(Cockpit!$I$5,1)="B",(CL1569+AW1569)/2,MAX((CL1569+AW1569)/2,H1569))))</f>
        <v>5</v>
      </c>
      <c r="AV1569" s="62" t="n">
        <f aca="false">AU1569*G1569</f>
        <v>185</v>
      </c>
      <c r="AW1569" s="62" t="n">
        <f aca="false">ROUNDUP(CL1569+MAX(CM1569,2*(J1569/IF(CH1569&gt;0,CH1569,MAX(0.1,N(Cockpit!$I$6)))-CL1569)),0)</f>
        <v>2</v>
      </c>
      <c r="AX1569" s="63" t="n">
        <f aca="false">IF(AT1569&gt;0,J1569/AT1569,-1)</f>
        <v>0</v>
      </c>
      <c r="AY1569" s="63" t="n">
        <f aca="false">IF(AND(OR(CG1569="L1",CG1569="L23",CG1569="LIFT"),AT1569&gt;0),SUMIFS($AT$7:$AT$1843,$CG$7:$CG$1843,CG1569,$AX$7:$AX$1843,"&gt;"&amp;AX1569)+SUMIFS($AT$7:$AT$1843,$CG$7:$CG$1843,CG1569,$AX$7:$AX$1843,AX1569,$BX$7:$BX$1843,"&lt;="&amp;BX1569),"")</f>
        <v>36662.728624718</v>
      </c>
      <c r="AZ1569" s="70" t="n">
        <f aca="false">IF(AY1569="",0,MAX(0,MIN(1,(IF(CG1569="L1",Parameter!$H$5,IF(CG1569="L23",Parameter!$H$6+Parameter!$H$7,Parameter!$H$5+Parameter!$H$6+Parameter!$H$7))-(AY1569-AT1569))/AT1569)))</f>
        <v>0</v>
      </c>
      <c r="BA1569" s="62" t="n">
        <f aca="false">IF(LEFT(Cockpit!$O$5,1)="A",H1569,IF(Parameter!$E$30="MAX-Bestand",IF(CI1569=1,CJ1569,IF(LEFT(Cockpit!$O$5,1)="B",BG1569,MAX(BG1569,H1569))),ROUNDUP(BE1569,0)))</f>
        <v>1</v>
      </c>
      <c r="BB1569" s="62" t="n">
        <f aca="false">IF(CA1569=1,0,ROUNDUP(BA1569/BZ1569,0))</f>
        <v>1</v>
      </c>
      <c r="BC1569" s="64" t="n">
        <f aca="false">IF(CR1569&gt;0,CR1569*MAX(1,BA1569/X1569),IF(CA1569=1,IF(BA1569&lt;=0,0,CE1569*MAX(1,IF(H1569&gt;0,BA1569/H1569,1))),IF(R1569&gt;0,BB1569/R1569,0))/MAX(0.1,N(Parameter!$M$21)))</f>
        <v>0.0833333333333333</v>
      </c>
      <c r="BD1569" s="62" t="n">
        <f aca="false">BC1569*CC1569</f>
        <v>12.0833333333333</v>
      </c>
      <c r="BE1569" s="63" t="n">
        <f aca="false">IF(LEFT(Cockpit!$O$5,1)="A",H1569,IF(CI1569=1,(CL1569+CJ1569)/2,IF(LEFT(Cockpit!$O$5,1)="B",(CL1569+BG1569)/2,MAX((CL1569+BG1569)/2,H1569))))</f>
        <v>1</v>
      </c>
      <c r="BF1569" s="62" t="n">
        <f aca="false">BE1569*G1569</f>
        <v>37</v>
      </c>
      <c r="BG1569" s="62" t="n">
        <f aca="false">ROUNDUP(CL1569+MAX(CM1569,2*(J1569/IF(CH1569&gt;0,CH1569,MAX(0.1,N(Cockpit!$O$6)))-CL1569)),0)</f>
        <v>2</v>
      </c>
      <c r="BH1569" s="63" t="n">
        <f aca="false">IF(BD1569&gt;0,J1569/BD1569,-1)</f>
        <v>0</v>
      </c>
      <c r="BI1569" s="63" t="n">
        <f aca="false">IF(AND(OR(CG1569="L1",CG1569="L23",CG1569="LIFT"),BD1569&gt;0),SUMIFS($BD$7:$BD$1843,$CG$7:$CG$1843,CG1569,$BH$7:$BH$1843,"&gt;"&amp;BH1569)+SUMIFS($BD$7:$BD$1843,$CG$7:$CG$1843,CG1569,$BH$7:$BH$1843,BH1569,$BX$7:$BX$1843,"&lt;="&amp;BX1569),"")</f>
        <v>30572.1699002504</v>
      </c>
      <c r="BJ1569" s="70" t="n">
        <f aca="false">IF(BI1569="",0,MAX(0,MIN(1,(IF(CG1569="L1",Parameter!$H$5,IF(CG1569="L23",Parameter!$H$6+Parameter!$H$7,Parameter!$H$5+Parameter!$H$6+Parameter!$H$7))-(BI1569-BD1569))/BD1569)))</f>
        <v>1</v>
      </c>
      <c r="BK1569" s="60" t="str">
        <f aca="false">IF(AJ1569&lt;=0,"",IF(CG1569="Aussen","Aussenlager",IF(CG1569="-","Nicht im Lift",IF(AP1569&gt;=1,"Lift",IF(AP1569&lt;=0,"Aussenlager","teilweise")))))</f>
        <v>Lift</v>
      </c>
      <c r="BL1569" s="60" t="str">
        <f aca="false">IF(AT1569&lt;=0,"",IF(CG1569="Aussen","Aussenlager",IF(CG1569="-","Nicht im Lift",IF(AZ1569&gt;=1,"Lift",IF(AZ1569&lt;=0,"Aussenlager","teilweise")))))</f>
        <v>Aussenlager</v>
      </c>
      <c r="BM1569" s="60" t="str">
        <f aca="false">IF(BD1569&lt;=0,"",IF(CG1569="Aussen","Aussenlager",IF(CG1569="-","Nicht im Lift",IF(BJ1569&gt;=1,"Lift",IF(BJ1569&lt;=0,"Aussenlager","teilweise")))))</f>
        <v>Lift</v>
      </c>
      <c r="BN1569" s="60" t="str">
        <f aca="false">IF(A1569="","",IF(BW1569=1,"Neu; ","")&amp;IF(AND(BW1569=0,BR1569&lt;0),"negativer Bestand (Export "&amp;BR1569&amp;"); ","")&amp;IF(J1569&lt;=0,"Kein Verbrauch; ","")&amp;IF(CR1569&gt;0,"Lift "&amp;W1569&amp;" lt. Liftbericht (Fach "&amp;X1569&amp;" Stk); ",IF(CB1569=1,"Gebinde geschätzt ("&amp;T1569&amp;"); ",IF(CA1569=1,"Lose – Tablare geschätzt; ","")))&amp;IF(H1569&gt;AW1569,"Überbestand "&amp;ROUND(H1569-AW1569,0)&amp;" Stk / CHF "&amp;ROUND((H1569-AW1569)*G1569,0)&amp;"; ","")&amp;IF(AND(CI1569=1,CJ1569&lt;CK1569),"MAX &lt; MB+LG; ","")&amp;IF(AND(CQ1569&gt;0,CP1569*10&gt;CQ1569),"zu hoch für Tablar; ","")&amp;IF(AND(BW1569=0,OR(CI1569=1,AB1569&lt;&gt;"",U1569&lt;&gt;"",V1569&lt;&gt;"",AC1569&lt;&gt;"")),"manuell übersteuert; ","")&amp;IF(AND(CA1569=0,R1569=0),"Gebinde unbekannt / Stellmass fehlt; ","")&amp;IF(AND(CA1569=0,N(V1569)&lt;=0,N(Q1569)&lt;=0),"Menge pro Gebinde fehlt (Ist = 1 Gebinde); ","")&amp;BV1569)</f>
        <v>Kein Verbrauch; Gebinde geschätzt (Mittel); Überbestand 3 Stk / CHF 111; Menge pro Gebinde fehlt (Ist = 1 Gebinde); nur im Artikelstamm (Bestand 23.06.2026)</v>
      </c>
      <c r="BO1569" s="60"/>
      <c r="BP1569" s="60"/>
      <c r="BQ1569" s="67"/>
      <c r="BR1569" s="62" t="n">
        <v>5</v>
      </c>
      <c r="BS1569" s="62" t="n">
        <v>0</v>
      </c>
      <c r="BT1569" s="61" t="n">
        <v>0</v>
      </c>
      <c r="BU1569" s="62" t="n">
        <v>0</v>
      </c>
      <c r="BV1569" s="60" t="s">
        <v>2617</v>
      </c>
      <c r="BW1569" s="65" t="n">
        <v>0</v>
      </c>
      <c r="BX1569" s="65" t="n">
        <v>1569</v>
      </c>
      <c r="BY1569" s="60" t="str">
        <f aca="false">IF(U1569&lt;&gt;"",UPPER(TRIM(U1569)),IF(CB1569=1,UPPER(VLOOKUP(T1569,Parameter!$I$27:$K$29,2,0)),IF(P1569="","LOSE",P1569)))</f>
        <v>S61</v>
      </c>
      <c r="BZ1569" s="62" t="n">
        <f aca="false">IF(BY1569="LOSE",1,IF(N(V1569)&gt;0,V1569,IF(CB1569=1,MAX(1,N(VLOOKUP(T1569,Parameter!$I$27:$K$29,3,0)),H1569,N(N1569)),IF(N(Q1569)&gt;0,Q1569,MAX(1,H1569)))))</f>
        <v>5</v>
      </c>
      <c r="CA1569" s="65" t="n">
        <f aca="false">IF(BY1569="LOSE",1,0)</f>
        <v>0</v>
      </c>
      <c r="CB1569" s="65" t="n">
        <f aca="false">IF(AND(U1569="",OR(P1569="",P1569="LOSE"),T1569&lt;&gt;"",N(S1569)&lt;=0,ISNUMBER(MATCH(T1569,Parameter!$I$27:$I$29,0))),1,0)</f>
        <v>1</v>
      </c>
      <c r="CC1569" s="65" t="n">
        <f aca="false">IF(CR1569&gt;0,INDEX(Parameter!$H$5:$H$7,W1569)/INDEX(Parameter!$E$5:$E$7,W1569),IF(AND(CA1569=0,N(IFERROR(VLOOKUP(BY1569,'Gebinde-Kategorie'!$A$5:$N$45,14,0),0))&gt;0),VLOOKUP(BY1569,'Gebinde-Kategorie'!$A$5:$N$45,14,0)*10+Parameter!$M$23,Parameter!$M$24))</f>
        <v>145</v>
      </c>
      <c r="CD1569" s="60" t="str">
        <f aca="false">IF(AND(Parameter!$B$19="Ja",E1569&lt;&gt;"",ISNUMBER(MATCH(E1569,Parameter!$I$35:$I$52,0))),VLOOKUP(E1569,Parameter!$I$35:$J$52,2,0),IFERROR(VLOOKUP(D1569,Parameter!$A$35:$C$64,2,0),"Nein"))</f>
        <v>2+3</v>
      </c>
      <c r="CE1569" s="64" t="n">
        <f aca="false">IF(CA1569=0,0,IF(N(S1569)&gt;0,S1569,IFERROR(VLOOKUP(D1569,Parameter!$A$35:$C$64,3,0)+0,0)))</f>
        <v>0</v>
      </c>
      <c r="CF1569" s="60" t="n">
        <f aca="false">IF(AB1569&lt;&gt;"",AB1569,AA1569)</f>
        <v>3</v>
      </c>
      <c r="CG1569" s="60" t="str">
        <f aca="false">IF(OR(CF1569=1,CF1569=2,CF1569=3),IF(Parameter!$E$27="Ja","LIFT",IF(CF1569=1,"L1","L23")),IF(CF1569="Aussen","Aussen","-"))</f>
        <v>LIFT</v>
      </c>
      <c r="CH1569" s="71" t="n">
        <f aca="false">IF(N(AC1569)&gt;0,AC1569,0)</f>
        <v>0</v>
      </c>
      <c r="CI1569" s="65" t="n">
        <f aca="false">IF(ISNUMBER(AF1569),1,0)</f>
        <v>0</v>
      </c>
      <c r="CJ1569" s="62" t="n">
        <f aca="false">N(AF1569)</f>
        <v>0</v>
      </c>
      <c r="CK1569" s="62" t="n">
        <f aca="false">N(M1569)+N(N1569)</f>
        <v>2</v>
      </c>
      <c r="CL1569" s="62" t="n">
        <f aca="false">N(M1569)</f>
        <v>0</v>
      </c>
      <c r="CM1569" s="62" t="n">
        <f aca="false">N(N1569)</f>
        <v>2</v>
      </c>
      <c r="CN1569" s="62" t="n">
        <f aca="false">ROUNDUP(H1569/BZ1569,0)</f>
        <v>1</v>
      </c>
      <c r="CO1569" s="62" t="n">
        <f aca="false">ROUNDUP(CJ1569/BZ1569,0)</f>
        <v>0</v>
      </c>
      <c r="CP1569" s="65" t="n">
        <f aca="false">IF(CA1569=1,0,IFERROR(VLOOKUP(BY1569,'Gebinde-Kategorie'!$A$5:$N$45,5,0)+0,0))</f>
        <v>11</v>
      </c>
      <c r="CQ1569" s="65" t="n">
        <f aca="false">IFERROR(IF(OR(CF1569=1,CF1569=2,CF1569=3),N(INDEX(Parameter!$I$5:$I$7,CF1569)),0),0)</f>
        <v>0</v>
      </c>
      <c r="CR1569" s="64" t="n">
        <f aca="false">IF(AND(Parameter!$B$21="Ja",ISNUMBER(W1569),N(X1569)&gt;0),IFERROR(N(INDEX(Parameter!$L$5:$L$7,W1569))*INDEX(Parameter!$E$5:$E$7,W1569)*X1569/SUMIFS($X$7:$X$1843,$W$7:$W$1843,W1569),0),0)</f>
        <v>0</v>
      </c>
      <c r="CS1569" s="62" t="n">
        <f aca="false">IF(AND(OR(CG1569="L1",CG1569="L23",CG1569="LIFT"),H1569&gt;0),CC1569*IF(CR1569&gt;0,CR1569*MAX(1,H1569/X1569),IF(CA1569=1,CE1569,IF(R1569&gt;0,CN1569/R1569,0))/MAX(0.1,N(Parameter!$M$21))),"")</f>
        <v>12.0833333333333</v>
      </c>
      <c r="CT1569" s="64" t="n">
        <f aca="false">IF(CS1569="","",J1569/H1569)</f>
        <v>0</v>
      </c>
      <c r="CU1569" s="62" t="n">
        <f aca="false">IF(CS1569="","",H1569*G1569)</f>
        <v>185</v>
      </c>
      <c r="CV1569" s="63" t="n">
        <f aca="false">IF(CS1569="","",(CL1569+ROUNDUP(CL1569+MAX(CM1569,2*(J1569/MAX(0.1,N(Einkauf!$C$6))-CL1569)),0))/2)</f>
        <v>1</v>
      </c>
      <c r="CW1569" s="62" t="n">
        <f aca="false">IF(CS1569="","",MAX(0,H1569-CV1569)*G1569)</f>
        <v>148</v>
      </c>
      <c r="CX1569" s="62" t="n">
        <f aca="false">IF(CS1569="","",CS1569*MAX(0,1-CV1569/H1569))</f>
        <v>9.66666666666667</v>
      </c>
      <c r="CY1569" s="64" t="n">
        <f aca="false">IF(CS1569="","",PERCENTRANK($CS$7:$CS$1843,CS1569)+PERCENTRANK($CU$7:$CU$1843,CU1569)+1-PERCENTRANK($CT$7:$CT$1843,CT1569))</f>
        <v>1.987</v>
      </c>
      <c r="CZ1569" s="72" t="n">
        <f aca="false">IF(CS1569="","",CHOOSE(MATCH(Einkauf!$C$5,Parameter!$G$23:$G$27,0),CY1569,CS1569,CU1569,-CT1569,CW1569)+ROW()/1000000000)</f>
        <v>1.987001569</v>
      </c>
    </row>
    <row r="1570" customFormat="false" ht="15" hidden="false" customHeight="false" outlineLevel="0" collapsed="false">
      <c r="A1570" s="60" t="s">
        <v>2785</v>
      </c>
      <c r="B1570" s="60" t="s">
        <v>2786</v>
      </c>
      <c r="C1570" s="60" t="s">
        <v>206</v>
      </c>
      <c r="D1570" s="60" t="s">
        <v>226</v>
      </c>
      <c r="E1570" s="60"/>
      <c r="F1570" s="60"/>
      <c r="G1570" s="61" t="n">
        <v>8</v>
      </c>
      <c r="H1570" s="62" t="n">
        <f aca="false">MAX(0,IF(AND(Parameter!$B$21="Ja",ISNUMBER(Y1570)),Y1570,IF(Parameter!$B$20="Jahresanfang 2025 + Export",BS1570+BR1570,BR1570)))</f>
        <v>10</v>
      </c>
      <c r="I1570" s="62" t="n">
        <f aca="false">H1570*G1570</f>
        <v>80</v>
      </c>
      <c r="J1570" s="62" t="n">
        <f aca="false">BU1570*Parameter!$B$18</f>
        <v>0</v>
      </c>
      <c r="K1570" s="63"/>
      <c r="L1570" s="64"/>
      <c r="M1570" s="62" t="n">
        <v>0</v>
      </c>
      <c r="N1570" s="62" t="n">
        <v>5</v>
      </c>
      <c r="O1570" s="65" t="n">
        <v>0</v>
      </c>
      <c r="P1570" s="60" t="s">
        <v>210</v>
      </c>
      <c r="Q1570" s="62"/>
      <c r="R1570" s="65" t="n">
        <f aca="false">IF(CA1570=1,0,IFERROR(VLOOKUP(BY1570,'Gebinde-Kategorie'!$A$5:$N$45,13,0)+0,0))</f>
        <v>26</v>
      </c>
      <c r="S1570" s="66"/>
      <c r="T1570" s="67" t="s">
        <v>317</v>
      </c>
      <c r="U1570" s="67"/>
      <c r="V1570" s="67"/>
      <c r="W1570" s="60"/>
      <c r="X1570" s="62"/>
      <c r="Y1570" s="62"/>
      <c r="Z1570" s="60" t="n">
        <v>3</v>
      </c>
      <c r="AA1570" s="60" t="n">
        <f aca="false">IF(A1570="","",IF(AND(Parameter!$B$21="Ja",ISNUMBER(W1570)),W1570,IF(AND(Parameter!$E$27="Ja",ISNUMBER(Z1570),CD1570&lt;&gt;"Nein"),Z1570,IF(CD1570="2+3",IF(ISNUMBER(SEARCH("grosser Artikel",BV1570)),2,IFERROR(VLOOKUP(BY1570,Parameter!$F$35:$G$64,2,0),2)),IF(OR(CD1570="Nein",CD1570=""),"-",CD1570)))))</f>
        <v>3</v>
      </c>
      <c r="AB1570" s="67"/>
      <c r="AC1570" s="68"/>
      <c r="AD1570" s="62" t="n">
        <f aca="false">AW1570</f>
        <v>5</v>
      </c>
      <c r="AE1570" s="62" t="n">
        <f aca="false">MAX(AW1570,H1570)</f>
        <v>10</v>
      </c>
      <c r="AF1570" s="69"/>
      <c r="AG1570" s="62" t="n">
        <f aca="false">IF(LEFT(Cockpit!$C$5,1)="A",H1570,IF(Parameter!$E$30="MAX-Bestand",IF(CI1570=1,CJ1570,IF(LEFT(Cockpit!$C$5,1)="B",AM1570,MAX(AM1570,H1570))),ROUNDUP(AK1570,0)))</f>
        <v>10</v>
      </c>
      <c r="AH1570" s="62" t="n">
        <f aca="false">IF(CA1570=1,0,ROUNDUP(AG1570/BZ1570,0))</f>
        <v>1</v>
      </c>
      <c r="AI1570" s="64" t="n">
        <f aca="false">IF(CR1570&gt;0,CR1570*MAX(1,AG1570/X1570),IF(CA1570=1,IF(AG1570&lt;=0,0,CE1570*MAX(1,IF(H1570&gt;0,AG1570/H1570,1))),IF(R1570&gt;0,AH1570/R1570,0))/MAX(0.1,N(Parameter!$M$21)))</f>
        <v>0.0384615384615385</v>
      </c>
      <c r="AJ1570" s="62" t="n">
        <f aca="false">AI1570*CC1570</f>
        <v>5.96153846153846</v>
      </c>
      <c r="AK1570" s="63" t="n">
        <f aca="false">IF(LEFT(Cockpit!$C$5,1)="A",H1570,IF(CI1570=1,(CL1570+CJ1570)/2,IF(LEFT(Cockpit!$C$5,1)="B",(CL1570+AM1570)/2,MAX((CL1570+AM1570)/2,H1570))))</f>
        <v>10</v>
      </c>
      <c r="AL1570" s="62" t="n">
        <f aca="false">AK1570*G1570</f>
        <v>80</v>
      </c>
      <c r="AM1570" s="62" t="n">
        <f aca="false">ROUNDUP(CL1570+MAX(CM1570,2*(J1570/IF(CH1570&gt;0,CH1570,MAX(0.1,N(Cockpit!$C$6)))-CL1570)),0)</f>
        <v>5</v>
      </c>
      <c r="AN1570" s="63" t="n">
        <f aca="false">IF(AJ1570&gt;0,J1570/AJ1570,-1)</f>
        <v>0</v>
      </c>
      <c r="AO1570" s="63" t="n">
        <f aca="false">IF(AND(OR(CG1570="L1",CG1570="L23",CG1570="LIFT"),AJ1570&gt;0),SUMIFS($AJ$7:$AJ$1843,$CG$7:$CG$1843,CG1570,$AN$7:$AN$1843,"&gt;"&amp;AN1570)+SUMIFS($AJ$7:$AJ$1843,$CG$7:$CG$1843,CG1570,$AN$7:$AN$1843,AN1570,$BX$7:$BX$1843,"&lt;="&amp;BX1570),"")</f>
        <v>30348.8336463442</v>
      </c>
      <c r="AP1570" s="70" t="n">
        <f aca="false">IF(AO1570="",0,MAX(0,MIN(1,(IF(CG1570="L1",Parameter!$H$5,IF(CG1570="L23",Parameter!$H$6+Parameter!$H$7,Parameter!$H$5+Parameter!$H$6+Parameter!$H$7))-(AO1570-AJ1570))/AJ1570)))</f>
        <v>1</v>
      </c>
      <c r="AQ1570" s="62" t="n">
        <f aca="false">IF(LEFT(Cockpit!$I$5,1)="A",H1570,IF(Parameter!$E$30="MAX-Bestand",IF(CI1570=1,CJ1570,IF(LEFT(Cockpit!$I$5,1)="B",AW1570,MAX(AW1570,H1570))),ROUNDUP(AU1570,0)))</f>
        <v>10</v>
      </c>
      <c r="AR1570" s="62" t="n">
        <f aca="false">IF(CA1570=1,0,ROUNDUP(AQ1570/BZ1570,0))</f>
        <v>1</v>
      </c>
      <c r="AS1570" s="64" t="n">
        <f aca="false">IF(CR1570&gt;0,CR1570*MAX(1,AQ1570/X1570),IF(CA1570=1,IF(AQ1570&lt;=0,0,CE1570*MAX(1,IF(H1570&gt;0,AQ1570/H1570,1))),IF(R1570&gt;0,AR1570/R1570,0))/MAX(0.1,N(Parameter!$M$21)))</f>
        <v>0.0384615384615385</v>
      </c>
      <c r="AT1570" s="62" t="n">
        <f aca="false">AS1570*CC1570</f>
        <v>5.96153846153846</v>
      </c>
      <c r="AU1570" s="63" t="n">
        <f aca="false">IF(LEFT(Cockpit!$I$5,1)="A",H1570,IF(CI1570=1,(CL1570+CJ1570)/2,IF(LEFT(Cockpit!$I$5,1)="B",(CL1570+AW1570)/2,MAX((CL1570+AW1570)/2,H1570))))</f>
        <v>10</v>
      </c>
      <c r="AV1570" s="62" t="n">
        <f aca="false">AU1570*G1570</f>
        <v>80</v>
      </c>
      <c r="AW1570" s="62" t="n">
        <f aca="false">ROUNDUP(CL1570+MAX(CM1570,2*(J1570/IF(CH1570&gt;0,CH1570,MAX(0.1,N(Cockpit!$I$6)))-CL1570)),0)</f>
        <v>5</v>
      </c>
      <c r="AX1570" s="63" t="n">
        <f aca="false">IF(AT1570&gt;0,J1570/AT1570,-1)</f>
        <v>0</v>
      </c>
      <c r="AY1570" s="63" t="n">
        <f aca="false">IF(AND(OR(CG1570="L1",CG1570="L23",CG1570="LIFT"),AT1570&gt;0),SUMIFS($AT$7:$AT$1843,$CG$7:$CG$1843,CG1570,$AX$7:$AX$1843,"&gt;"&amp;AX1570)+SUMIFS($AT$7:$AT$1843,$CG$7:$CG$1843,CG1570,$AX$7:$AX$1843,AX1570,$BX$7:$BX$1843,"&lt;="&amp;BX1570),"")</f>
        <v>36668.6901631796</v>
      </c>
      <c r="AZ1570" s="70" t="n">
        <f aca="false">IF(AY1570="",0,MAX(0,MIN(1,(IF(CG1570="L1",Parameter!$H$5,IF(CG1570="L23",Parameter!$H$6+Parameter!$H$7,Parameter!$H$5+Parameter!$H$6+Parameter!$H$7))-(AY1570-AT1570))/AT1570)))</f>
        <v>0</v>
      </c>
      <c r="BA1570" s="62" t="n">
        <f aca="false">IF(LEFT(Cockpit!$O$5,1)="A",H1570,IF(Parameter!$E$30="MAX-Bestand",IF(CI1570=1,CJ1570,IF(LEFT(Cockpit!$O$5,1)="B",BG1570,MAX(BG1570,H1570))),ROUNDUP(BE1570,0)))</f>
        <v>3</v>
      </c>
      <c r="BB1570" s="62" t="n">
        <f aca="false">IF(CA1570=1,0,ROUNDUP(BA1570/BZ1570,0))</f>
        <v>1</v>
      </c>
      <c r="BC1570" s="64" t="n">
        <f aca="false">IF(CR1570&gt;0,CR1570*MAX(1,BA1570/X1570),IF(CA1570=1,IF(BA1570&lt;=0,0,CE1570*MAX(1,IF(H1570&gt;0,BA1570/H1570,1))),IF(R1570&gt;0,BB1570/R1570,0))/MAX(0.1,N(Parameter!$M$21)))</f>
        <v>0.0384615384615385</v>
      </c>
      <c r="BD1570" s="62" t="n">
        <f aca="false">BC1570*CC1570</f>
        <v>5.96153846153846</v>
      </c>
      <c r="BE1570" s="63" t="n">
        <f aca="false">IF(LEFT(Cockpit!$O$5,1)="A",H1570,IF(CI1570=1,(CL1570+CJ1570)/2,IF(LEFT(Cockpit!$O$5,1)="B",(CL1570+BG1570)/2,MAX((CL1570+BG1570)/2,H1570))))</f>
        <v>2.5</v>
      </c>
      <c r="BF1570" s="62" t="n">
        <f aca="false">BE1570*G1570</f>
        <v>20</v>
      </c>
      <c r="BG1570" s="62" t="n">
        <f aca="false">ROUNDUP(CL1570+MAX(CM1570,2*(J1570/IF(CH1570&gt;0,CH1570,MAX(0.1,N(Cockpit!$O$6)))-CL1570)),0)</f>
        <v>5</v>
      </c>
      <c r="BH1570" s="63" t="n">
        <f aca="false">IF(BD1570&gt;0,J1570/BD1570,-1)</f>
        <v>0</v>
      </c>
      <c r="BI1570" s="63" t="n">
        <f aca="false">IF(AND(OR(CG1570="L1",CG1570="L23",CG1570="LIFT"),BD1570&gt;0),SUMIFS($BD$7:$BD$1843,$CG$7:$CG$1843,CG1570,$BH$7:$BH$1843,"&gt;"&amp;BH1570)+SUMIFS($BD$7:$BD$1843,$CG$7:$CG$1843,CG1570,$BH$7:$BH$1843,BH1570,$BX$7:$BX$1843,"&lt;="&amp;BX1570),"")</f>
        <v>30578.131438712</v>
      </c>
      <c r="BJ1570" s="70" t="n">
        <f aca="false">IF(BI1570="",0,MAX(0,MIN(1,(IF(CG1570="L1",Parameter!$H$5,IF(CG1570="L23",Parameter!$H$6+Parameter!$H$7,Parameter!$H$5+Parameter!$H$6+Parameter!$H$7))-(BI1570-BD1570))/BD1570)))</f>
        <v>1</v>
      </c>
      <c r="BK1570" s="60" t="str">
        <f aca="false">IF(AJ1570&lt;=0,"",IF(CG1570="Aussen","Aussenlager",IF(CG1570="-","Nicht im Lift",IF(AP1570&gt;=1,"Lift",IF(AP1570&lt;=0,"Aussenlager","teilweise")))))</f>
        <v>Lift</v>
      </c>
      <c r="BL1570" s="60" t="str">
        <f aca="false">IF(AT1570&lt;=0,"",IF(CG1570="Aussen","Aussenlager",IF(CG1570="-","Nicht im Lift",IF(AZ1570&gt;=1,"Lift",IF(AZ1570&lt;=0,"Aussenlager","teilweise")))))</f>
        <v>Aussenlager</v>
      </c>
      <c r="BM1570" s="60" t="str">
        <f aca="false">IF(BD1570&lt;=0,"",IF(CG1570="Aussen","Aussenlager",IF(CG1570="-","Nicht im Lift",IF(BJ1570&gt;=1,"Lift",IF(BJ1570&lt;=0,"Aussenlager","teilweise")))))</f>
        <v>Lift</v>
      </c>
      <c r="BN1570" s="60" t="str">
        <f aca="false">IF(A1570="","",IF(BW1570=1,"Neu; ","")&amp;IF(AND(BW1570=0,BR1570&lt;0),"negativer Bestand (Export "&amp;BR1570&amp;"); ","")&amp;IF(J1570&lt;=0,"Kein Verbrauch; ","")&amp;IF(CR1570&gt;0,"Lift "&amp;W1570&amp;" lt. Liftbericht (Fach "&amp;X1570&amp;" Stk); ",IF(CB1570=1,"Gebinde geschätzt ("&amp;T1570&amp;"); ",IF(CA1570=1,"Lose – Tablare geschätzt; ","")))&amp;IF(H1570&gt;AW1570,"Überbestand "&amp;ROUND(H1570-AW1570,0)&amp;" Stk / CHF "&amp;ROUND((H1570-AW1570)*G1570,0)&amp;"; ","")&amp;IF(AND(CI1570=1,CJ1570&lt;CK1570),"MAX &lt; MB+LG; ","")&amp;IF(AND(CQ1570&gt;0,CP1570*10&gt;CQ1570),"zu hoch für Tablar; ","")&amp;IF(AND(BW1570=0,OR(CI1570=1,AB1570&lt;&gt;"",U1570&lt;&gt;"",V1570&lt;&gt;"",AC1570&lt;&gt;"")),"manuell übersteuert; ","")&amp;IF(AND(CA1570=0,R1570=0),"Gebinde unbekannt / Stellmass fehlt; ","")&amp;IF(AND(CA1570=0,N(V1570)&lt;=0,N(Q1570)&lt;=0),"Menge pro Gebinde fehlt (Ist = 1 Gebinde); ","")&amp;BV1570)</f>
        <v>Kein Verbrauch; Gebinde geschätzt (Klein); Überbestand 5 Stk / CHF 40; Menge pro Gebinde fehlt (Ist = 1 Gebinde); nur im Artikelstamm (Bestand 23.06.2026)</v>
      </c>
      <c r="BO1570" s="60"/>
      <c r="BP1570" s="60"/>
      <c r="BQ1570" s="67"/>
      <c r="BR1570" s="62" t="n">
        <v>10</v>
      </c>
      <c r="BS1570" s="62" t="n">
        <v>0</v>
      </c>
      <c r="BT1570" s="61" t="n">
        <v>0</v>
      </c>
      <c r="BU1570" s="62" t="n">
        <v>0</v>
      </c>
      <c r="BV1570" s="60" t="s">
        <v>2617</v>
      </c>
      <c r="BW1570" s="65" t="n">
        <v>0</v>
      </c>
      <c r="BX1570" s="65" t="n">
        <v>1570</v>
      </c>
      <c r="BY1570" s="60" t="str">
        <f aca="false">IF(U1570&lt;&gt;"",UPPER(TRIM(U1570)),IF(CB1570=1,UPPER(VLOOKUP(T1570,Parameter!$I$27:$K$29,2,0)),IF(P1570="","LOSE",P1570)))</f>
        <v>S51</v>
      </c>
      <c r="BZ1570" s="62" t="n">
        <f aca="false">IF(BY1570="LOSE",1,IF(N(V1570)&gt;0,V1570,IF(CB1570=1,MAX(1,N(VLOOKUP(T1570,Parameter!$I$27:$K$29,3,0)),H1570,N(N1570)),IF(N(Q1570)&gt;0,Q1570,MAX(1,H1570)))))</f>
        <v>20</v>
      </c>
      <c r="CA1570" s="65" t="n">
        <f aca="false">IF(BY1570="LOSE",1,0)</f>
        <v>0</v>
      </c>
      <c r="CB1570" s="65" t="n">
        <f aca="false">IF(AND(U1570="",OR(P1570="",P1570="LOSE"),T1570&lt;&gt;"",N(S1570)&lt;=0,ISNUMBER(MATCH(T1570,Parameter!$I$27:$I$29,0))),1,0)</f>
        <v>1</v>
      </c>
      <c r="CC1570" s="65" t="n">
        <f aca="false">IF(CR1570&gt;0,INDEX(Parameter!$H$5:$H$7,W1570)/INDEX(Parameter!$E$5:$E$7,W1570),IF(AND(CA1570=0,N(IFERROR(VLOOKUP(BY1570,'Gebinde-Kategorie'!$A$5:$N$45,14,0),0))&gt;0),VLOOKUP(BY1570,'Gebinde-Kategorie'!$A$5:$N$45,14,0)*10+Parameter!$M$23,Parameter!$M$24))</f>
        <v>155</v>
      </c>
      <c r="CD1570" s="60" t="str">
        <f aca="false">IF(AND(Parameter!$B$19="Ja",E1570&lt;&gt;"",ISNUMBER(MATCH(E1570,Parameter!$I$35:$I$52,0))),VLOOKUP(E1570,Parameter!$I$35:$J$52,2,0),IFERROR(VLOOKUP(D1570,Parameter!$A$35:$C$64,2,0),"Nein"))</f>
        <v>2+3</v>
      </c>
      <c r="CE1570" s="64" t="n">
        <f aca="false">IF(CA1570=0,0,IF(N(S1570)&gt;0,S1570,IFERROR(VLOOKUP(D1570,Parameter!$A$35:$C$64,3,0)+0,0)))</f>
        <v>0</v>
      </c>
      <c r="CF1570" s="60" t="n">
        <f aca="false">IF(AB1570&lt;&gt;"",AB1570,AA1570)</f>
        <v>3</v>
      </c>
      <c r="CG1570" s="60" t="str">
        <f aca="false">IF(OR(CF1570=1,CF1570=2,CF1570=3),IF(Parameter!$E$27="Ja","LIFT",IF(CF1570=1,"L1","L23")),IF(CF1570="Aussen","Aussen","-"))</f>
        <v>LIFT</v>
      </c>
      <c r="CH1570" s="71" t="n">
        <f aca="false">IF(N(AC1570)&gt;0,AC1570,0)</f>
        <v>0</v>
      </c>
      <c r="CI1570" s="65" t="n">
        <f aca="false">IF(ISNUMBER(AF1570),1,0)</f>
        <v>0</v>
      </c>
      <c r="CJ1570" s="62" t="n">
        <f aca="false">N(AF1570)</f>
        <v>0</v>
      </c>
      <c r="CK1570" s="62" t="n">
        <f aca="false">N(M1570)+N(N1570)</f>
        <v>5</v>
      </c>
      <c r="CL1570" s="62" t="n">
        <f aca="false">N(M1570)</f>
        <v>0</v>
      </c>
      <c r="CM1570" s="62" t="n">
        <f aca="false">N(N1570)</f>
        <v>5</v>
      </c>
      <c r="CN1570" s="62" t="n">
        <f aca="false">ROUNDUP(H1570/BZ1570,0)</f>
        <v>1</v>
      </c>
      <c r="CO1570" s="62" t="n">
        <f aca="false">ROUNDUP(CJ1570/BZ1570,0)</f>
        <v>0</v>
      </c>
      <c r="CP1570" s="65" t="n">
        <f aca="false">IF(CA1570=1,0,IFERROR(VLOOKUP(BY1570,'Gebinde-Kategorie'!$A$5:$N$45,5,0)+0,0))</f>
        <v>11</v>
      </c>
      <c r="CQ1570" s="65" t="n">
        <f aca="false">IFERROR(IF(OR(CF1570=1,CF1570=2,CF1570=3),N(INDEX(Parameter!$I$5:$I$7,CF1570)),0),0)</f>
        <v>0</v>
      </c>
      <c r="CR1570" s="64" t="n">
        <f aca="false">IF(AND(Parameter!$B$21="Ja",ISNUMBER(W1570),N(X1570)&gt;0),IFERROR(N(INDEX(Parameter!$L$5:$L$7,W1570))*INDEX(Parameter!$E$5:$E$7,W1570)*X1570/SUMIFS($X$7:$X$1843,$W$7:$W$1843,W1570),0),0)</f>
        <v>0</v>
      </c>
      <c r="CS1570" s="62" t="n">
        <f aca="false">IF(AND(OR(CG1570="L1",CG1570="L23",CG1570="LIFT"),H1570&gt;0),CC1570*IF(CR1570&gt;0,CR1570*MAX(1,H1570/X1570),IF(CA1570=1,CE1570,IF(R1570&gt;0,CN1570/R1570,0))/MAX(0.1,N(Parameter!$M$21))),"")</f>
        <v>5.96153846153846</v>
      </c>
      <c r="CT1570" s="64" t="n">
        <f aca="false">IF(CS1570="","",J1570/H1570)</f>
        <v>0</v>
      </c>
      <c r="CU1570" s="62" t="n">
        <f aca="false">IF(CS1570="","",H1570*G1570)</f>
        <v>80</v>
      </c>
      <c r="CV1570" s="63" t="n">
        <f aca="false">IF(CS1570="","",(CL1570+ROUNDUP(CL1570+MAX(CM1570,2*(J1570/MAX(0.1,N(Einkauf!$C$6))-CL1570)),0))/2)</f>
        <v>2.5</v>
      </c>
      <c r="CW1570" s="62" t="n">
        <f aca="false">IF(CS1570="","",MAX(0,H1570-CV1570)*G1570)</f>
        <v>60</v>
      </c>
      <c r="CX1570" s="62" t="n">
        <f aca="false">IF(CS1570="","",CS1570*MAX(0,1-CV1570/H1570))</f>
        <v>4.47115384615385</v>
      </c>
      <c r="CY1570" s="64" t="n">
        <f aca="false">IF(CS1570="","",PERCENTRANK($CS$7:$CS$1843,CS1570)+PERCENTRANK($CU$7:$CU$1843,CU1570)+1-PERCENTRANK($CT$7:$CT$1843,CT1570))</f>
        <v>1.555</v>
      </c>
      <c r="CZ1570" s="72" t="n">
        <f aca="false">IF(CS1570="","",CHOOSE(MATCH(Einkauf!$C$5,Parameter!$G$23:$G$27,0),CY1570,CS1570,CU1570,-CT1570,CW1570)+ROW()/1000000000)</f>
        <v>1.55500157</v>
      </c>
    </row>
    <row r="1571" customFormat="false" ht="15" hidden="false" customHeight="false" outlineLevel="0" collapsed="false">
      <c r="A1571" s="60" t="s">
        <v>2787</v>
      </c>
      <c r="B1571" s="60" t="s">
        <v>2788</v>
      </c>
      <c r="C1571" s="60" t="s">
        <v>206</v>
      </c>
      <c r="D1571" s="60" t="s">
        <v>226</v>
      </c>
      <c r="E1571" s="60"/>
      <c r="F1571" s="60"/>
      <c r="G1571" s="61" t="n">
        <v>4</v>
      </c>
      <c r="H1571" s="62" t="n">
        <f aca="false">MAX(0,IF(AND(Parameter!$B$21="Ja",ISNUMBER(Y1571)),Y1571,IF(Parameter!$B$20="Jahresanfang 2025 + Export",BS1571+BR1571,BR1571)))</f>
        <v>75</v>
      </c>
      <c r="I1571" s="62" t="n">
        <f aca="false">H1571*G1571</f>
        <v>300</v>
      </c>
      <c r="J1571" s="62" t="n">
        <f aca="false">BU1571*Parameter!$B$18</f>
        <v>0</v>
      </c>
      <c r="K1571" s="63"/>
      <c r="L1571" s="64"/>
      <c r="M1571" s="62" t="n">
        <v>0</v>
      </c>
      <c r="N1571" s="62" t="n">
        <v>30</v>
      </c>
      <c r="O1571" s="65" t="n">
        <v>0</v>
      </c>
      <c r="P1571" s="60" t="s">
        <v>210</v>
      </c>
      <c r="Q1571" s="62"/>
      <c r="R1571" s="65" t="n">
        <f aca="false">IF(CA1571=1,0,IFERROR(VLOOKUP(BY1571,'Gebinde-Kategorie'!$A$5:$N$45,13,0)+0,0))</f>
        <v>26</v>
      </c>
      <c r="S1571" s="66"/>
      <c r="T1571" s="67" t="s">
        <v>317</v>
      </c>
      <c r="U1571" s="67"/>
      <c r="V1571" s="67"/>
      <c r="W1571" s="60"/>
      <c r="X1571" s="62"/>
      <c r="Y1571" s="62"/>
      <c r="Z1571" s="60" t="n">
        <v>3</v>
      </c>
      <c r="AA1571" s="60" t="n">
        <f aca="false">IF(A1571="","",IF(AND(Parameter!$B$21="Ja",ISNUMBER(W1571)),W1571,IF(AND(Parameter!$E$27="Ja",ISNUMBER(Z1571),CD1571&lt;&gt;"Nein"),Z1571,IF(CD1571="2+3",IF(ISNUMBER(SEARCH("grosser Artikel",BV1571)),2,IFERROR(VLOOKUP(BY1571,Parameter!$F$35:$G$64,2,0),2)),IF(OR(CD1571="Nein",CD1571=""),"-",CD1571)))))</f>
        <v>3</v>
      </c>
      <c r="AB1571" s="67"/>
      <c r="AC1571" s="68"/>
      <c r="AD1571" s="62" t="n">
        <f aca="false">AW1571</f>
        <v>30</v>
      </c>
      <c r="AE1571" s="62" t="n">
        <f aca="false">MAX(AW1571,H1571)</f>
        <v>75</v>
      </c>
      <c r="AF1571" s="69"/>
      <c r="AG1571" s="62" t="n">
        <f aca="false">IF(LEFT(Cockpit!$C$5,1)="A",H1571,IF(Parameter!$E$30="MAX-Bestand",IF(CI1571=1,CJ1571,IF(LEFT(Cockpit!$C$5,1)="B",AM1571,MAX(AM1571,H1571))),ROUNDUP(AK1571,0)))</f>
        <v>75</v>
      </c>
      <c r="AH1571" s="62" t="n">
        <f aca="false">IF(CA1571=1,0,ROUNDUP(AG1571/BZ1571,0))</f>
        <v>1</v>
      </c>
      <c r="AI1571" s="64" t="n">
        <f aca="false">IF(CR1571&gt;0,CR1571*MAX(1,AG1571/X1571),IF(CA1571=1,IF(AG1571&lt;=0,0,CE1571*MAX(1,IF(H1571&gt;0,AG1571/H1571,1))),IF(R1571&gt;0,AH1571/R1571,0))/MAX(0.1,N(Parameter!$M$21)))</f>
        <v>0.0384615384615385</v>
      </c>
      <c r="AJ1571" s="62" t="n">
        <f aca="false">AI1571*CC1571</f>
        <v>5.96153846153846</v>
      </c>
      <c r="AK1571" s="63" t="n">
        <f aca="false">IF(LEFT(Cockpit!$C$5,1)="A",H1571,IF(CI1571=1,(CL1571+CJ1571)/2,IF(LEFT(Cockpit!$C$5,1)="B",(CL1571+AM1571)/2,MAX((CL1571+AM1571)/2,H1571))))</f>
        <v>75</v>
      </c>
      <c r="AL1571" s="62" t="n">
        <f aca="false">AK1571*G1571</f>
        <v>300</v>
      </c>
      <c r="AM1571" s="62" t="n">
        <f aca="false">ROUNDUP(CL1571+MAX(CM1571,2*(J1571/IF(CH1571&gt;0,CH1571,MAX(0.1,N(Cockpit!$C$6)))-CL1571)),0)</f>
        <v>30</v>
      </c>
      <c r="AN1571" s="63" t="n">
        <f aca="false">IF(AJ1571&gt;0,J1571/AJ1571,-1)</f>
        <v>0</v>
      </c>
      <c r="AO1571" s="63" t="n">
        <f aca="false">IF(AND(OR(CG1571="L1",CG1571="L23",CG1571="LIFT"),AJ1571&gt;0),SUMIFS($AJ$7:$AJ$1843,$CG$7:$CG$1843,CG1571,$AN$7:$AN$1843,"&gt;"&amp;AN1571)+SUMIFS($AJ$7:$AJ$1843,$CG$7:$CG$1843,CG1571,$AN$7:$AN$1843,AN1571,$BX$7:$BX$1843,"&lt;="&amp;BX1571),"")</f>
        <v>30354.7951848058</v>
      </c>
      <c r="AP1571" s="70" t="n">
        <f aca="false">IF(AO1571="",0,MAX(0,MIN(1,(IF(CG1571="L1",Parameter!$H$5,IF(CG1571="L23",Parameter!$H$6+Parameter!$H$7,Parameter!$H$5+Parameter!$H$6+Parameter!$H$7))-(AO1571-AJ1571))/AJ1571)))</f>
        <v>1</v>
      </c>
      <c r="AQ1571" s="62" t="n">
        <f aca="false">IF(LEFT(Cockpit!$I$5,1)="A",H1571,IF(Parameter!$E$30="MAX-Bestand",IF(CI1571=1,CJ1571,IF(LEFT(Cockpit!$I$5,1)="B",AW1571,MAX(AW1571,H1571))),ROUNDUP(AU1571,0)))</f>
        <v>75</v>
      </c>
      <c r="AR1571" s="62" t="n">
        <f aca="false">IF(CA1571=1,0,ROUNDUP(AQ1571/BZ1571,0))</f>
        <v>1</v>
      </c>
      <c r="AS1571" s="64" t="n">
        <f aca="false">IF(CR1571&gt;0,CR1571*MAX(1,AQ1571/X1571),IF(CA1571=1,IF(AQ1571&lt;=0,0,CE1571*MAX(1,IF(H1571&gt;0,AQ1571/H1571,1))),IF(R1571&gt;0,AR1571/R1571,0))/MAX(0.1,N(Parameter!$M$21)))</f>
        <v>0.0384615384615385</v>
      </c>
      <c r="AT1571" s="62" t="n">
        <f aca="false">AS1571*CC1571</f>
        <v>5.96153846153846</v>
      </c>
      <c r="AU1571" s="63" t="n">
        <f aca="false">IF(LEFT(Cockpit!$I$5,1)="A",H1571,IF(CI1571=1,(CL1571+CJ1571)/2,IF(LEFT(Cockpit!$I$5,1)="B",(CL1571+AW1571)/2,MAX((CL1571+AW1571)/2,H1571))))</f>
        <v>75</v>
      </c>
      <c r="AV1571" s="62" t="n">
        <f aca="false">AU1571*G1571</f>
        <v>300</v>
      </c>
      <c r="AW1571" s="62" t="n">
        <f aca="false">ROUNDUP(CL1571+MAX(CM1571,2*(J1571/IF(CH1571&gt;0,CH1571,MAX(0.1,N(Cockpit!$I$6)))-CL1571)),0)</f>
        <v>30</v>
      </c>
      <c r="AX1571" s="63" t="n">
        <f aca="false">IF(AT1571&gt;0,J1571/AT1571,-1)</f>
        <v>0</v>
      </c>
      <c r="AY1571" s="63" t="n">
        <f aca="false">IF(AND(OR(CG1571="L1",CG1571="L23",CG1571="LIFT"),AT1571&gt;0),SUMIFS($AT$7:$AT$1843,$CG$7:$CG$1843,CG1571,$AX$7:$AX$1843,"&gt;"&amp;AX1571)+SUMIFS($AT$7:$AT$1843,$CG$7:$CG$1843,CG1571,$AX$7:$AX$1843,AX1571,$BX$7:$BX$1843,"&lt;="&amp;BX1571),"")</f>
        <v>36674.6517016411</v>
      </c>
      <c r="AZ1571" s="70" t="n">
        <f aca="false">IF(AY1571="",0,MAX(0,MIN(1,(IF(CG1571="L1",Parameter!$H$5,IF(CG1571="L23",Parameter!$H$6+Parameter!$H$7,Parameter!$H$5+Parameter!$H$6+Parameter!$H$7))-(AY1571-AT1571))/AT1571)))</f>
        <v>0</v>
      </c>
      <c r="BA1571" s="62" t="n">
        <f aca="false">IF(LEFT(Cockpit!$O$5,1)="A",H1571,IF(Parameter!$E$30="MAX-Bestand",IF(CI1571=1,CJ1571,IF(LEFT(Cockpit!$O$5,1)="B",BG1571,MAX(BG1571,H1571))),ROUNDUP(BE1571,0)))</f>
        <v>15</v>
      </c>
      <c r="BB1571" s="62" t="n">
        <f aca="false">IF(CA1571=1,0,ROUNDUP(BA1571/BZ1571,0))</f>
        <v>1</v>
      </c>
      <c r="BC1571" s="64" t="n">
        <f aca="false">IF(CR1571&gt;0,CR1571*MAX(1,BA1571/X1571),IF(CA1571=1,IF(BA1571&lt;=0,0,CE1571*MAX(1,IF(H1571&gt;0,BA1571/H1571,1))),IF(R1571&gt;0,BB1571/R1571,0))/MAX(0.1,N(Parameter!$M$21)))</f>
        <v>0.0384615384615385</v>
      </c>
      <c r="BD1571" s="62" t="n">
        <f aca="false">BC1571*CC1571</f>
        <v>5.96153846153846</v>
      </c>
      <c r="BE1571" s="63" t="n">
        <f aca="false">IF(LEFT(Cockpit!$O$5,1)="A",H1571,IF(CI1571=1,(CL1571+CJ1571)/2,IF(LEFT(Cockpit!$O$5,1)="B",(CL1571+BG1571)/2,MAX((CL1571+BG1571)/2,H1571))))</f>
        <v>15</v>
      </c>
      <c r="BF1571" s="62" t="n">
        <f aca="false">BE1571*G1571</f>
        <v>60</v>
      </c>
      <c r="BG1571" s="62" t="n">
        <f aca="false">ROUNDUP(CL1571+MAX(CM1571,2*(J1571/IF(CH1571&gt;0,CH1571,MAX(0.1,N(Cockpit!$O$6)))-CL1571)),0)</f>
        <v>30</v>
      </c>
      <c r="BH1571" s="63" t="n">
        <f aca="false">IF(BD1571&gt;0,J1571/BD1571,-1)</f>
        <v>0</v>
      </c>
      <c r="BI1571" s="63" t="n">
        <f aca="false">IF(AND(OR(CG1571="L1",CG1571="L23",CG1571="LIFT"),BD1571&gt;0),SUMIFS($BD$7:$BD$1843,$CG$7:$CG$1843,CG1571,$BH$7:$BH$1843,"&gt;"&amp;BH1571)+SUMIFS($BD$7:$BD$1843,$CG$7:$CG$1843,CG1571,$BH$7:$BH$1843,BH1571,$BX$7:$BX$1843,"&lt;="&amp;BX1571),"")</f>
        <v>30584.0929771735</v>
      </c>
      <c r="BJ1571" s="70" t="n">
        <f aca="false">IF(BI1571="",0,MAX(0,MIN(1,(IF(CG1571="L1",Parameter!$H$5,IF(CG1571="L23",Parameter!$H$6+Parameter!$H$7,Parameter!$H$5+Parameter!$H$6+Parameter!$H$7))-(BI1571-BD1571))/BD1571)))</f>
        <v>1</v>
      </c>
      <c r="BK1571" s="60" t="str">
        <f aca="false">IF(AJ1571&lt;=0,"",IF(CG1571="Aussen","Aussenlager",IF(CG1571="-","Nicht im Lift",IF(AP1571&gt;=1,"Lift",IF(AP1571&lt;=0,"Aussenlager","teilweise")))))</f>
        <v>Lift</v>
      </c>
      <c r="BL1571" s="60" t="str">
        <f aca="false">IF(AT1571&lt;=0,"",IF(CG1571="Aussen","Aussenlager",IF(CG1571="-","Nicht im Lift",IF(AZ1571&gt;=1,"Lift",IF(AZ1571&lt;=0,"Aussenlager","teilweise")))))</f>
        <v>Aussenlager</v>
      </c>
      <c r="BM1571" s="60" t="str">
        <f aca="false">IF(BD1571&lt;=0,"",IF(CG1571="Aussen","Aussenlager",IF(CG1571="-","Nicht im Lift",IF(BJ1571&gt;=1,"Lift",IF(BJ1571&lt;=0,"Aussenlager","teilweise")))))</f>
        <v>Lift</v>
      </c>
      <c r="BN1571" s="60" t="str">
        <f aca="false">IF(A1571="","",IF(BW1571=1,"Neu; ","")&amp;IF(AND(BW1571=0,BR1571&lt;0),"negativer Bestand (Export "&amp;BR1571&amp;"); ","")&amp;IF(J1571&lt;=0,"Kein Verbrauch; ","")&amp;IF(CR1571&gt;0,"Lift "&amp;W1571&amp;" lt. Liftbericht (Fach "&amp;X1571&amp;" Stk); ",IF(CB1571=1,"Gebinde geschätzt ("&amp;T1571&amp;"); ",IF(CA1571=1,"Lose – Tablare geschätzt; ","")))&amp;IF(H1571&gt;AW1571,"Überbestand "&amp;ROUND(H1571-AW1571,0)&amp;" Stk / CHF "&amp;ROUND((H1571-AW1571)*G1571,0)&amp;"; ","")&amp;IF(AND(CI1571=1,CJ1571&lt;CK1571),"MAX &lt; MB+LG; ","")&amp;IF(AND(CQ1571&gt;0,CP1571*10&gt;CQ1571),"zu hoch für Tablar; ","")&amp;IF(AND(BW1571=0,OR(CI1571=1,AB1571&lt;&gt;"",U1571&lt;&gt;"",V1571&lt;&gt;"",AC1571&lt;&gt;"")),"manuell übersteuert; ","")&amp;IF(AND(CA1571=0,R1571=0),"Gebinde unbekannt / Stellmass fehlt; ","")&amp;IF(AND(CA1571=0,N(V1571)&lt;=0,N(Q1571)&lt;=0),"Menge pro Gebinde fehlt (Ist = 1 Gebinde); ","")&amp;BV1571)</f>
        <v>Kein Verbrauch; Gebinde geschätzt (Klein); Überbestand 45 Stk / CHF 180; Menge pro Gebinde fehlt (Ist = 1 Gebinde); nur im Artikelstamm (Bestand 23.06.2026)</v>
      </c>
      <c r="BO1571" s="60"/>
      <c r="BP1571" s="60"/>
      <c r="BQ1571" s="67"/>
      <c r="BR1571" s="62" t="n">
        <v>75</v>
      </c>
      <c r="BS1571" s="62" t="n">
        <v>0</v>
      </c>
      <c r="BT1571" s="61" t="n">
        <v>0</v>
      </c>
      <c r="BU1571" s="62" t="n">
        <v>0</v>
      </c>
      <c r="BV1571" s="60" t="s">
        <v>2617</v>
      </c>
      <c r="BW1571" s="65" t="n">
        <v>0</v>
      </c>
      <c r="BX1571" s="65" t="n">
        <v>1571</v>
      </c>
      <c r="BY1571" s="60" t="str">
        <f aca="false">IF(U1571&lt;&gt;"",UPPER(TRIM(U1571)),IF(CB1571=1,UPPER(VLOOKUP(T1571,Parameter!$I$27:$K$29,2,0)),IF(P1571="","LOSE",P1571)))</f>
        <v>S51</v>
      </c>
      <c r="BZ1571" s="62" t="n">
        <f aca="false">IF(BY1571="LOSE",1,IF(N(V1571)&gt;0,V1571,IF(CB1571=1,MAX(1,N(VLOOKUP(T1571,Parameter!$I$27:$K$29,3,0)),H1571,N(N1571)),IF(N(Q1571)&gt;0,Q1571,MAX(1,H1571)))))</f>
        <v>75</v>
      </c>
      <c r="CA1571" s="65" t="n">
        <f aca="false">IF(BY1571="LOSE",1,0)</f>
        <v>0</v>
      </c>
      <c r="CB1571" s="65" t="n">
        <f aca="false">IF(AND(U1571="",OR(P1571="",P1571="LOSE"),T1571&lt;&gt;"",N(S1571)&lt;=0,ISNUMBER(MATCH(T1571,Parameter!$I$27:$I$29,0))),1,0)</f>
        <v>1</v>
      </c>
      <c r="CC1571" s="65" t="n">
        <f aca="false">IF(CR1571&gt;0,INDEX(Parameter!$H$5:$H$7,W1571)/INDEX(Parameter!$E$5:$E$7,W1571),IF(AND(CA1571=0,N(IFERROR(VLOOKUP(BY1571,'Gebinde-Kategorie'!$A$5:$N$45,14,0),0))&gt;0),VLOOKUP(BY1571,'Gebinde-Kategorie'!$A$5:$N$45,14,0)*10+Parameter!$M$23,Parameter!$M$24))</f>
        <v>155</v>
      </c>
      <c r="CD1571" s="60" t="str">
        <f aca="false">IF(AND(Parameter!$B$19="Ja",E1571&lt;&gt;"",ISNUMBER(MATCH(E1571,Parameter!$I$35:$I$52,0))),VLOOKUP(E1571,Parameter!$I$35:$J$52,2,0),IFERROR(VLOOKUP(D1571,Parameter!$A$35:$C$64,2,0),"Nein"))</f>
        <v>2+3</v>
      </c>
      <c r="CE1571" s="64" t="n">
        <f aca="false">IF(CA1571=0,0,IF(N(S1571)&gt;0,S1571,IFERROR(VLOOKUP(D1571,Parameter!$A$35:$C$64,3,0)+0,0)))</f>
        <v>0</v>
      </c>
      <c r="CF1571" s="60" t="n">
        <f aca="false">IF(AB1571&lt;&gt;"",AB1571,AA1571)</f>
        <v>3</v>
      </c>
      <c r="CG1571" s="60" t="str">
        <f aca="false">IF(OR(CF1571=1,CF1571=2,CF1571=3),IF(Parameter!$E$27="Ja","LIFT",IF(CF1571=1,"L1","L23")),IF(CF1571="Aussen","Aussen","-"))</f>
        <v>LIFT</v>
      </c>
      <c r="CH1571" s="71" t="n">
        <f aca="false">IF(N(AC1571)&gt;0,AC1571,0)</f>
        <v>0</v>
      </c>
      <c r="CI1571" s="65" t="n">
        <f aca="false">IF(ISNUMBER(AF1571),1,0)</f>
        <v>0</v>
      </c>
      <c r="CJ1571" s="62" t="n">
        <f aca="false">N(AF1571)</f>
        <v>0</v>
      </c>
      <c r="CK1571" s="62" t="n">
        <f aca="false">N(M1571)+N(N1571)</f>
        <v>30</v>
      </c>
      <c r="CL1571" s="62" t="n">
        <f aca="false">N(M1571)</f>
        <v>0</v>
      </c>
      <c r="CM1571" s="62" t="n">
        <f aca="false">N(N1571)</f>
        <v>30</v>
      </c>
      <c r="CN1571" s="62" t="n">
        <f aca="false">ROUNDUP(H1571/BZ1571,0)</f>
        <v>1</v>
      </c>
      <c r="CO1571" s="62" t="n">
        <f aca="false">ROUNDUP(CJ1571/BZ1571,0)</f>
        <v>0</v>
      </c>
      <c r="CP1571" s="65" t="n">
        <f aca="false">IF(CA1571=1,0,IFERROR(VLOOKUP(BY1571,'Gebinde-Kategorie'!$A$5:$N$45,5,0)+0,0))</f>
        <v>11</v>
      </c>
      <c r="CQ1571" s="65" t="n">
        <f aca="false">IFERROR(IF(OR(CF1571=1,CF1571=2,CF1571=3),N(INDEX(Parameter!$I$5:$I$7,CF1571)),0),0)</f>
        <v>0</v>
      </c>
      <c r="CR1571" s="64" t="n">
        <f aca="false">IF(AND(Parameter!$B$21="Ja",ISNUMBER(W1571),N(X1571)&gt;0),IFERROR(N(INDEX(Parameter!$L$5:$L$7,W1571))*INDEX(Parameter!$E$5:$E$7,W1571)*X1571/SUMIFS($X$7:$X$1843,$W$7:$W$1843,W1571),0),0)</f>
        <v>0</v>
      </c>
      <c r="CS1571" s="62" t="n">
        <f aca="false">IF(AND(OR(CG1571="L1",CG1571="L23",CG1571="LIFT"),H1571&gt;0),CC1571*IF(CR1571&gt;0,CR1571*MAX(1,H1571/X1571),IF(CA1571=1,CE1571,IF(R1571&gt;0,CN1571/R1571,0))/MAX(0.1,N(Parameter!$M$21))),"")</f>
        <v>5.96153846153846</v>
      </c>
      <c r="CT1571" s="64" t="n">
        <f aca="false">IF(CS1571="","",J1571/H1571)</f>
        <v>0</v>
      </c>
      <c r="CU1571" s="62" t="n">
        <f aca="false">IF(CS1571="","",H1571*G1571)</f>
        <v>300</v>
      </c>
      <c r="CV1571" s="63" t="n">
        <f aca="false">IF(CS1571="","",(CL1571+ROUNDUP(CL1571+MAX(CM1571,2*(J1571/MAX(0.1,N(Einkauf!$C$6))-CL1571)),0))/2)</f>
        <v>15</v>
      </c>
      <c r="CW1571" s="62" t="n">
        <f aca="false">IF(CS1571="","",MAX(0,H1571-CV1571)*G1571)</f>
        <v>240</v>
      </c>
      <c r="CX1571" s="62" t="n">
        <f aca="false">IF(CS1571="","",CS1571*MAX(0,1-CV1571/H1571))</f>
        <v>4.76923076923077</v>
      </c>
      <c r="CY1571" s="64" t="n">
        <f aca="false">IF(CS1571="","",PERCENTRANK($CS$7:$CS$1843,CS1571)+PERCENTRANK($CU$7:$CU$1843,CU1571)+1-PERCENTRANK($CT$7:$CT$1843,CT1571))</f>
        <v>1.776</v>
      </c>
      <c r="CZ1571" s="72" t="n">
        <f aca="false">IF(CS1571="","",CHOOSE(MATCH(Einkauf!$C$5,Parameter!$G$23:$G$27,0),CY1571,CS1571,CU1571,-CT1571,CW1571)+ROW()/1000000000)</f>
        <v>1.776001571</v>
      </c>
    </row>
    <row r="1572" customFormat="false" ht="15" hidden="false" customHeight="false" outlineLevel="0" collapsed="false">
      <c r="A1572" s="60" t="s">
        <v>2789</v>
      </c>
      <c r="B1572" s="60" t="s">
        <v>2790</v>
      </c>
      <c r="C1572" s="60" t="s">
        <v>206</v>
      </c>
      <c r="D1572" s="60" t="s">
        <v>226</v>
      </c>
      <c r="E1572" s="60"/>
      <c r="F1572" s="60"/>
      <c r="G1572" s="61" t="n">
        <v>0.65</v>
      </c>
      <c r="H1572" s="62" t="n">
        <f aca="false">MAX(0,IF(AND(Parameter!$B$21="Ja",ISNUMBER(Y1572)),Y1572,IF(Parameter!$B$20="Jahresanfang 2025 + Export",BS1572+BR1572,BR1572)))</f>
        <v>20</v>
      </c>
      <c r="I1572" s="62" t="n">
        <f aca="false">H1572*G1572</f>
        <v>13</v>
      </c>
      <c r="J1572" s="62" t="n">
        <f aca="false">BU1572*Parameter!$B$18</f>
        <v>0</v>
      </c>
      <c r="K1572" s="63"/>
      <c r="L1572" s="64"/>
      <c r="M1572" s="62" t="n">
        <v>0</v>
      </c>
      <c r="N1572" s="62" t="n">
        <v>30</v>
      </c>
      <c r="O1572" s="65" t="n">
        <v>0</v>
      </c>
      <c r="P1572" s="60" t="s">
        <v>210</v>
      </c>
      <c r="Q1572" s="62"/>
      <c r="R1572" s="65" t="n">
        <f aca="false">IF(CA1572=1,0,IFERROR(VLOOKUP(BY1572,'Gebinde-Kategorie'!$A$5:$N$45,13,0)+0,0))</f>
        <v>26</v>
      </c>
      <c r="S1572" s="66"/>
      <c r="T1572" s="67" t="s">
        <v>317</v>
      </c>
      <c r="U1572" s="67"/>
      <c r="V1572" s="67"/>
      <c r="W1572" s="60"/>
      <c r="X1572" s="62"/>
      <c r="Y1572" s="62"/>
      <c r="Z1572" s="60" t="n">
        <v>3</v>
      </c>
      <c r="AA1572" s="60" t="n">
        <f aca="false">IF(A1572="","",IF(AND(Parameter!$B$21="Ja",ISNUMBER(W1572)),W1572,IF(AND(Parameter!$E$27="Ja",ISNUMBER(Z1572),CD1572&lt;&gt;"Nein"),Z1572,IF(CD1572="2+3",IF(ISNUMBER(SEARCH("grosser Artikel",BV1572)),2,IFERROR(VLOOKUP(BY1572,Parameter!$F$35:$G$64,2,0),2)),IF(OR(CD1572="Nein",CD1572=""),"-",CD1572)))))</f>
        <v>3</v>
      </c>
      <c r="AB1572" s="67"/>
      <c r="AC1572" s="68"/>
      <c r="AD1572" s="62" t="n">
        <f aca="false">AW1572</f>
        <v>30</v>
      </c>
      <c r="AE1572" s="62" t="n">
        <f aca="false">MAX(AW1572,H1572)</f>
        <v>30</v>
      </c>
      <c r="AF1572" s="69"/>
      <c r="AG1572" s="62" t="n">
        <f aca="false">IF(LEFT(Cockpit!$C$5,1)="A",H1572,IF(Parameter!$E$30="MAX-Bestand",IF(CI1572=1,CJ1572,IF(LEFT(Cockpit!$C$5,1)="B",AM1572,MAX(AM1572,H1572))),ROUNDUP(AK1572,0)))</f>
        <v>20</v>
      </c>
      <c r="AH1572" s="62" t="n">
        <f aca="false">IF(CA1572=1,0,ROUNDUP(AG1572/BZ1572,0))</f>
        <v>1</v>
      </c>
      <c r="AI1572" s="64" t="n">
        <f aca="false">IF(CR1572&gt;0,CR1572*MAX(1,AG1572/X1572),IF(CA1572=1,IF(AG1572&lt;=0,0,CE1572*MAX(1,IF(H1572&gt;0,AG1572/H1572,1))),IF(R1572&gt;0,AH1572/R1572,0))/MAX(0.1,N(Parameter!$M$21)))</f>
        <v>0.0384615384615385</v>
      </c>
      <c r="AJ1572" s="62" t="n">
        <f aca="false">AI1572*CC1572</f>
        <v>5.96153846153846</v>
      </c>
      <c r="AK1572" s="63" t="n">
        <f aca="false">IF(LEFT(Cockpit!$C$5,1)="A",H1572,IF(CI1572=1,(CL1572+CJ1572)/2,IF(LEFT(Cockpit!$C$5,1)="B",(CL1572+AM1572)/2,MAX((CL1572+AM1572)/2,H1572))))</f>
        <v>20</v>
      </c>
      <c r="AL1572" s="62" t="n">
        <f aca="false">AK1572*G1572</f>
        <v>13</v>
      </c>
      <c r="AM1572" s="62" t="n">
        <f aca="false">ROUNDUP(CL1572+MAX(CM1572,2*(J1572/IF(CH1572&gt;0,CH1572,MAX(0.1,N(Cockpit!$C$6)))-CL1572)),0)</f>
        <v>30</v>
      </c>
      <c r="AN1572" s="63" t="n">
        <f aca="false">IF(AJ1572&gt;0,J1572/AJ1572,-1)</f>
        <v>0</v>
      </c>
      <c r="AO1572" s="63" t="n">
        <f aca="false">IF(AND(OR(CG1572="L1",CG1572="L23",CG1572="LIFT"),AJ1572&gt;0),SUMIFS($AJ$7:$AJ$1843,$CG$7:$CG$1843,CG1572,$AN$7:$AN$1843,"&gt;"&amp;AN1572)+SUMIFS($AJ$7:$AJ$1843,$CG$7:$CG$1843,CG1572,$AN$7:$AN$1843,AN1572,$BX$7:$BX$1843,"&lt;="&amp;BX1572),"")</f>
        <v>30360.7567232673</v>
      </c>
      <c r="AP1572" s="70" t="n">
        <f aca="false">IF(AO1572="",0,MAX(0,MIN(1,(IF(CG1572="L1",Parameter!$H$5,IF(CG1572="L23",Parameter!$H$6+Parameter!$H$7,Parameter!$H$5+Parameter!$H$6+Parameter!$H$7))-(AO1572-AJ1572))/AJ1572)))</f>
        <v>1</v>
      </c>
      <c r="AQ1572" s="62" t="n">
        <f aca="false">IF(LEFT(Cockpit!$I$5,1)="A",H1572,IF(Parameter!$E$30="MAX-Bestand",IF(CI1572=1,CJ1572,IF(LEFT(Cockpit!$I$5,1)="B",AW1572,MAX(AW1572,H1572))),ROUNDUP(AU1572,0)))</f>
        <v>20</v>
      </c>
      <c r="AR1572" s="62" t="n">
        <f aca="false">IF(CA1572=1,0,ROUNDUP(AQ1572/BZ1572,0))</f>
        <v>1</v>
      </c>
      <c r="AS1572" s="64" t="n">
        <f aca="false">IF(CR1572&gt;0,CR1572*MAX(1,AQ1572/X1572),IF(CA1572=1,IF(AQ1572&lt;=0,0,CE1572*MAX(1,IF(H1572&gt;0,AQ1572/H1572,1))),IF(R1572&gt;0,AR1572/R1572,0))/MAX(0.1,N(Parameter!$M$21)))</f>
        <v>0.0384615384615385</v>
      </c>
      <c r="AT1572" s="62" t="n">
        <f aca="false">AS1572*CC1572</f>
        <v>5.96153846153846</v>
      </c>
      <c r="AU1572" s="63" t="n">
        <f aca="false">IF(LEFT(Cockpit!$I$5,1)="A",H1572,IF(CI1572=1,(CL1572+CJ1572)/2,IF(LEFT(Cockpit!$I$5,1)="B",(CL1572+AW1572)/2,MAX((CL1572+AW1572)/2,H1572))))</f>
        <v>20</v>
      </c>
      <c r="AV1572" s="62" t="n">
        <f aca="false">AU1572*G1572</f>
        <v>13</v>
      </c>
      <c r="AW1572" s="62" t="n">
        <f aca="false">ROUNDUP(CL1572+MAX(CM1572,2*(J1572/IF(CH1572&gt;0,CH1572,MAX(0.1,N(Cockpit!$I$6)))-CL1572)),0)</f>
        <v>30</v>
      </c>
      <c r="AX1572" s="63" t="n">
        <f aca="false">IF(AT1572&gt;0,J1572/AT1572,-1)</f>
        <v>0</v>
      </c>
      <c r="AY1572" s="63" t="n">
        <f aca="false">IF(AND(OR(CG1572="L1",CG1572="L23",CG1572="LIFT"),AT1572&gt;0),SUMIFS($AT$7:$AT$1843,$CG$7:$CG$1843,CG1572,$AX$7:$AX$1843,"&gt;"&amp;AX1572)+SUMIFS($AT$7:$AT$1843,$CG$7:$CG$1843,CG1572,$AX$7:$AX$1843,AX1572,$BX$7:$BX$1843,"&lt;="&amp;BX1572),"")</f>
        <v>36680.6132401027</v>
      </c>
      <c r="AZ1572" s="70" t="n">
        <f aca="false">IF(AY1572="",0,MAX(0,MIN(1,(IF(CG1572="L1",Parameter!$H$5,IF(CG1572="L23",Parameter!$H$6+Parameter!$H$7,Parameter!$H$5+Parameter!$H$6+Parameter!$H$7))-(AY1572-AT1572))/AT1572)))</f>
        <v>0</v>
      </c>
      <c r="BA1572" s="62" t="n">
        <f aca="false">IF(LEFT(Cockpit!$O$5,1)="A",H1572,IF(Parameter!$E$30="MAX-Bestand",IF(CI1572=1,CJ1572,IF(LEFT(Cockpit!$O$5,1)="B",BG1572,MAX(BG1572,H1572))),ROUNDUP(BE1572,0)))</f>
        <v>15</v>
      </c>
      <c r="BB1572" s="62" t="n">
        <f aca="false">IF(CA1572=1,0,ROUNDUP(BA1572/BZ1572,0))</f>
        <v>1</v>
      </c>
      <c r="BC1572" s="64" t="n">
        <f aca="false">IF(CR1572&gt;0,CR1572*MAX(1,BA1572/X1572),IF(CA1572=1,IF(BA1572&lt;=0,0,CE1572*MAX(1,IF(H1572&gt;0,BA1572/H1572,1))),IF(R1572&gt;0,BB1572/R1572,0))/MAX(0.1,N(Parameter!$M$21)))</f>
        <v>0.0384615384615385</v>
      </c>
      <c r="BD1572" s="62" t="n">
        <f aca="false">BC1572*CC1572</f>
        <v>5.96153846153846</v>
      </c>
      <c r="BE1572" s="63" t="n">
        <f aca="false">IF(LEFT(Cockpit!$O$5,1)="A",H1572,IF(CI1572=1,(CL1572+CJ1572)/2,IF(LEFT(Cockpit!$O$5,1)="B",(CL1572+BG1572)/2,MAX((CL1572+BG1572)/2,H1572))))</f>
        <v>15</v>
      </c>
      <c r="BF1572" s="62" t="n">
        <f aca="false">BE1572*G1572</f>
        <v>9.75</v>
      </c>
      <c r="BG1572" s="62" t="n">
        <f aca="false">ROUNDUP(CL1572+MAX(CM1572,2*(J1572/IF(CH1572&gt;0,CH1572,MAX(0.1,N(Cockpit!$O$6)))-CL1572)),0)</f>
        <v>30</v>
      </c>
      <c r="BH1572" s="63" t="n">
        <f aca="false">IF(BD1572&gt;0,J1572/BD1572,-1)</f>
        <v>0</v>
      </c>
      <c r="BI1572" s="63" t="n">
        <f aca="false">IF(AND(OR(CG1572="L1",CG1572="L23",CG1572="LIFT"),BD1572&gt;0),SUMIFS($BD$7:$BD$1843,$CG$7:$CG$1843,CG1572,$BH$7:$BH$1843,"&gt;"&amp;BH1572)+SUMIFS($BD$7:$BD$1843,$CG$7:$CG$1843,CG1572,$BH$7:$BH$1843,BH1572,$BX$7:$BX$1843,"&lt;="&amp;BX1572),"")</f>
        <v>30590.054515635</v>
      </c>
      <c r="BJ1572" s="70" t="n">
        <f aca="false">IF(BI1572="",0,MAX(0,MIN(1,(IF(CG1572="L1",Parameter!$H$5,IF(CG1572="L23",Parameter!$H$6+Parameter!$H$7,Parameter!$H$5+Parameter!$H$6+Parameter!$H$7))-(BI1572-BD1572))/BD1572)))</f>
        <v>1</v>
      </c>
      <c r="BK1572" s="60" t="str">
        <f aca="false">IF(AJ1572&lt;=0,"",IF(CG1572="Aussen","Aussenlager",IF(CG1572="-","Nicht im Lift",IF(AP1572&gt;=1,"Lift",IF(AP1572&lt;=0,"Aussenlager","teilweise")))))</f>
        <v>Lift</v>
      </c>
      <c r="BL1572" s="60" t="str">
        <f aca="false">IF(AT1572&lt;=0,"",IF(CG1572="Aussen","Aussenlager",IF(CG1572="-","Nicht im Lift",IF(AZ1572&gt;=1,"Lift",IF(AZ1572&lt;=0,"Aussenlager","teilweise")))))</f>
        <v>Aussenlager</v>
      </c>
      <c r="BM1572" s="60" t="str">
        <f aca="false">IF(BD1572&lt;=0,"",IF(CG1572="Aussen","Aussenlager",IF(CG1572="-","Nicht im Lift",IF(BJ1572&gt;=1,"Lift",IF(BJ1572&lt;=0,"Aussenlager","teilweise")))))</f>
        <v>Lift</v>
      </c>
      <c r="BN1572" s="60" t="str">
        <f aca="false">IF(A1572="","",IF(BW1572=1,"Neu; ","")&amp;IF(AND(BW1572=0,BR1572&lt;0),"negativer Bestand (Export "&amp;BR1572&amp;"); ","")&amp;IF(J1572&lt;=0,"Kein Verbrauch; ","")&amp;IF(CR1572&gt;0,"Lift "&amp;W1572&amp;" lt. Liftbericht (Fach "&amp;X1572&amp;" Stk); ",IF(CB1572=1,"Gebinde geschätzt ("&amp;T1572&amp;"); ",IF(CA1572=1,"Lose – Tablare geschätzt; ","")))&amp;IF(H1572&gt;AW1572,"Überbestand "&amp;ROUND(H1572-AW1572,0)&amp;" Stk / CHF "&amp;ROUND((H1572-AW1572)*G1572,0)&amp;"; ","")&amp;IF(AND(CI1572=1,CJ1572&lt;CK1572),"MAX &lt; MB+LG; ","")&amp;IF(AND(CQ1572&gt;0,CP1572*10&gt;CQ1572),"zu hoch für Tablar; ","")&amp;IF(AND(BW1572=0,OR(CI1572=1,AB1572&lt;&gt;"",U1572&lt;&gt;"",V1572&lt;&gt;"",AC1572&lt;&gt;"")),"manuell übersteuert; ","")&amp;IF(AND(CA1572=0,R1572=0),"Gebinde unbekannt / Stellmass fehlt; ","")&amp;IF(AND(CA1572=0,N(V1572)&lt;=0,N(Q1572)&lt;=0),"Menge pro Gebinde fehlt (Ist = 1 Gebinde); ","")&amp;BV1572)</f>
        <v>Kein Verbrauch; Gebinde geschätzt (Klein); Menge pro Gebinde fehlt (Ist = 1 Gebinde); nur im Artikelstamm (Bestand 23.06.2026)</v>
      </c>
      <c r="BO1572" s="60"/>
      <c r="BP1572" s="60"/>
      <c r="BQ1572" s="67"/>
      <c r="BR1572" s="62" t="n">
        <v>20</v>
      </c>
      <c r="BS1572" s="62" t="n">
        <v>0</v>
      </c>
      <c r="BT1572" s="61" t="n">
        <v>0</v>
      </c>
      <c r="BU1572" s="62" t="n">
        <v>0</v>
      </c>
      <c r="BV1572" s="60" t="s">
        <v>2617</v>
      </c>
      <c r="BW1572" s="65" t="n">
        <v>0</v>
      </c>
      <c r="BX1572" s="65" t="n">
        <v>1572</v>
      </c>
      <c r="BY1572" s="60" t="str">
        <f aca="false">IF(U1572&lt;&gt;"",UPPER(TRIM(U1572)),IF(CB1572=1,UPPER(VLOOKUP(T1572,Parameter!$I$27:$K$29,2,0)),IF(P1572="","LOSE",P1572)))</f>
        <v>S51</v>
      </c>
      <c r="BZ1572" s="62" t="n">
        <f aca="false">IF(BY1572="LOSE",1,IF(N(V1572)&gt;0,V1572,IF(CB1572=1,MAX(1,N(VLOOKUP(T1572,Parameter!$I$27:$K$29,3,0)),H1572,N(N1572)),IF(N(Q1572)&gt;0,Q1572,MAX(1,H1572)))))</f>
        <v>30</v>
      </c>
      <c r="CA1572" s="65" t="n">
        <f aca="false">IF(BY1572="LOSE",1,0)</f>
        <v>0</v>
      </c>
      <c r="CB1572" s="65" t="n">
        <f aca="false">IF(AND(U1572="",OR(P1572="",P1572="LOSE"),T1572&lt;&gt;"",N(S1572)&lt;=0,ISNUMBER(MATCH(T1572,Parameter!$I$27:$I$29,0))),1,0)</f>
        <v>1</v>
      </c>
      <c r="CC1572" s="65" t="n">
        <f aca="false">IF(CR1572&gt;0,INDEX(Parameter!$H$5:$H$7,W1572)/INDEX(Parameter!$E$5:$E$7,W1572),IF(AND(CA1572=0,N(IFERROR(VLOOKUP(BY1572,'Gebinde-Kategorie'!$A$5:$N$45,14,0),0))&gt;0),VLOOKUP(BY1572,'Gebinde-Kategorie'!$A$5:$N$45,14,0)*10+Parameter!$M$23,Parameter!$M$24))</f>
        <v>155</v>
      </c>
      <c r="CD1572" s="60" t="str">
        <f aca="false">IF(AND(Parameter!$B$19="Ja",E1572&lt;&gt;"",ISNUMBER(MATCH(E1572,Parameter!$I$35:$I$52,0))),VLOOKUP(E1572,Parameter!$I$35:$J$52,2,0),IFERROR(VLOOKUP(D1572,Parameter!$A$35:$C$64,2,0),"Nein"))</f>
        <v>2+3</v>
      </c>
      <c r="CE1572" s="64" t="n">
        <f aca="false">IF(CA1572=0,0,IF(N(S1572)&gt;0,S1572,IFERROR(VLOOKUP(D1572,Parameter!$A$35:$C$64,3,0)+0,0)))</f>
        <v>0</v>
      </c>
      <c r="CF1572" s="60" t="n">
        <f aca="false">IF(AB1572&lt;&gt;"",AB1572,AA1572)</f>
        <v>3</v>
      </c>
      <c r="CG1572" s="60" t="str">
        <f aca="false">IF(OR(CF1572=1,CF1572=2,CF1572=3),IF(Parameter!$E$27="Ja","LIFT",IF(CF1572=1,"L1","L23")),IF(CF1572="Aussen","Aussen","-"))</f>
        <v>LIFT</v>
      </c>
      <c r="CH1572" s="71" t="n">
        <f aca="false">IF(N(AC1572)&gt;0,AC1572,0)</f>
        <v>0</v>
      </c>
      <c r="CI1572" s="65" t="n">
        <f aca="false">IF(ISNUMBER(AF1572),1,0)</f>
        <v>0</v>
      </c>
      <c r="CJ1572" s="62" t="n">
        <f aca="false">N(AF1572)</f>
        <v>0</v>
      </c>
      <c r="CK1572" s="62" t="n">
        <f aca="false">N(M1572)+N(N1572)</f>
        <v>30</v>
      </c>
      <c r="CL1572" s="62" t="n">
        <f aca="false">N(M1572)</f>
        <v>0</v>
      </c>
      <c r="CM1572" s="62" t="n">
        <f aca="false">N(N1572)</f>
        <v>30</v>
      </c>
      <c r="CN1572" s="62" t="n">
        <f aca="false">ROUNDUP(H1572/BZ1572,0)</f>
        <v>1</v>
      </c>
      <c r="CO1572" s="62" t="n">
        <f aca="false">ROUNDUP(CJ1572/BZ1572,0)</f>
        <v>0</v>
      </c>
      <c r="CP1572" s="65" t="n">
        <f aca="false">IF(CA1572=1,0,IFERROR(VLOOKUP(BY1572,'Gebinde-Kategorie'!$A$5:$N$45,5,0)+0,0))</f>
        <v>11</v>
      </c>
      <c r="CQ1572" s="65" t="n">
        <f aca="false">IFERROR(IF(OR(CF1572=1,CF1572=2,CF1572=3),N(INDEX(Parameter!$I$5:$I$7,CF1572)),0),0)</f>
        <v>0</v>
      </c>
      <c r="CR1572" s="64" t="n">
        <f aca="false">IF(AND(Parameter!$B$21="Ja",ISNUMBER(W1572),N(X1572)&gt;0),IFERROR(N(INDEX(Parameter!$L$5:$L$7,W1572))*INDEX(Parameter!$E$5:$E$7,W1572)*X1572/SUMIFS($X$7:$X$1843,$W$7:$W$1843,W1572),0),0)</f>
        <v>0</v>
      </c>
      <c r="CS1572" s="62" t="n">
        <f aca="false">IF(AND(OR(CG1572="L1",CG1572="L23",CG1572="LIFT"),H1572&gt;0),CC1572*IF(CR1572&gt;0,CR1572*MAX(1,H1572/X1572),IF(CA1572=1,CE1572,IF(R1572&gt;0,CN1572/R1572,0))/MAX(0.1,N(Parameter!$M$21))),"")</f>
        <v>5.96153846153846</v>
      </c>
      <c r="CT1572" s="64" t="n">
        <f aca="false">IF(CS1572="","",J1572/H1572)</f>
        <v>0</v>
      </c>
      <c r="CU1572" s="62" t="n">
        <f aca="false">IF(CS1572="","",H1572*G1572)</f>
        <v>13</v>
      </c>
      <c r="CV1572" s="63" t="n">
        <f aca="false">IF(CS1572="","",(CL1572+ROUNDUP(CL1572+MAX(CM1572,2*(J1572/MAX(0.1,N(Einkauf!$C$6))-CL1572)),0))/2)</f>
        <v>15</v>
      </c>
      <c r="CW1572" s="62" t="n">
        <f aca="false">IF(CS1572="","",MAX(0,H1572-CV1572)*G1572)</f>
        <v>3.25</v>
      </c>
      <c r="CX1572" s="62" t="n">
        <f aca="false">IF(CS1572="","",CS1572*MAX(0,1-CV1572/H1572))</f>
        <v>1.49038461538462</v>
      </c>
      <c r="CY1572" s="64" t="n">
        <f aca="false">IF(CS1572="","",PERCENTRANK($CS$7:$CS$1843,CS1572)+PERCENTRANK($CU$7:$CU$1843,CU1572)+1-PERCENTRANK($CT$7:$CT$1843,CT1572))</f>
        <v>1.41</v>
      </c>
      <c r="CZ1572" s="72" t="n">
        <f aca="false">IF(CS1572="","",CHOOSE(MATCH(Einkauf!$C$5,Parameter!$G$23:$G$27,0),CY1572,CS1572,CU1572,-CT1572,CW1572)+ROW()/1000000000)</f>
        <v>1.410001572</v>
      </c>
    </row>
    <row r="1573" customFormat="false" ht="15" hidden="false" customHeight="false" outlineLevel="0" collapsed="false">
      <c r="A1573" s="60" t="s">
        <v>2791</v>
      </c>
      <c r="B1573" s="60" t="s">
        <v>2780</v>
      </c>
      <c r="C1573" s="60" t="s">
        <v>206</v>
      </c>
      <c r="D1573" s="60" t="s">
        <v>226</v>
      </c>
      <c r="E1573" s="60"/>
      <c r="F1573" s="60"/>
      <c r="G1573" s="61" t="n">
        <v>486.19</v>
      </c>
      <c r="H1573" s="62" t="n">
        <f aca="false">MAX(0,IF(AND(Parameter!$B$21="Ja",ISNUMBER(Y1573)),Y1573,IF(Parameter!$B$20="Jahresanfang 2025 + Export",BS1573+BR1573,BR1573)))</f>
        <v>4</v>
      </c>
      <c r="I1573" s="62" t="n">
        <f aca="false">H1573*G1573</f>
        <v>1944.76</v>
      </c>
      <c r="J1573" s="62" t="n">
        <f aca="false">BU1573*Parameter!$B$18</f>
        <v>0</v>
      </c>
      <c r="K1573" s="63"/>
      <c r="L1573" s="64"/>
      <c r="M1573" s="62" t="n">
        <v>0</v>
      </c>
      <c r="N1573" s="62" t="n">
        <v>1</v>
      </c>
      <c r="O1573" s="65" t="n">
        <v>21</v>
      </c>
      <c r="P1573" s="60" t="s">
        <v>210</v>
      </c>
      <c r="Q1573" s="62"/>
      <c r="R1573" s="65" t="n">
        <f aca="false">IF(CA1573=1,0,IFERROR(VLOOKUP(BY1573,'Gebinde-Kategorie'!$A$5:$N$45,13,0)+0,0))</f>
        <v>12</v>
      </c>
      <c r="S1573" s="66"/>
      <c r="T1573" s="67" t="s">
        <v>221</v>
      </c>
      <c r="U1573" s="67"/>
      <c r="V1573" s="67"/>
      <c r="W1573" s="60"/>
      <c r="X1573" s="62"/>
      <c r="Y1573" s="62"/>
      <c r="Z1573" s="60" t="n">
        <v>3</v>
      </c>
      <c r="AA1573" s="60" t="n">
        <f aca="false">IF(A1573="","",IF(AND(Parameter!$B$21="Ja",ISNUMBER(W1573)),W1573,IF(AND(Parameter!$E$27="Ja",ISNUMBER(Z1573),CD1573&lt;&gt;"Nein"),Z1573,IF(CD1573="2+3",IF(ISNUMBER(SEARCH("grosser Artikel",BV1573)),2,IFERROR(VLOOKUP(BY1573,Parameter!$F$35:$G$64,2,0),2)),IF(OR(CD1573="Nein",CD1573=""),"-",CD1573)))))</f>
        <v>3</v>
      </c>
      <c r="AB1573" s="67"/>
      <c r="AC1573" s="68"/>
      <c r="AD1573" s="62" t="n">
        <f aca="false">AW1573</f>
        <v>1</v>
      </c>
      <c r="AE1573" s="62" t="n">
        <f aca="false">MAX(AW1573,H1573)</f>
        <v>4</v>
      </c>
      <c r="AF1573" s="69"/>
      <c r="AG1573" s="62" t="n">
        <f aca="false">IF(LEFT(Cockpit!$C$5,1)="A",H1573,IF(Parameter!$E$30="MAX-Bestand",IF(CI1573=1,CJ1573,IF(LEFT(Cockpit!$C$5,1)="B",AM1573,MAX(AM1573,H1573))),ROUNDUP(AK1573,0)))</f>
        <v>4</v>
      </c>
      <c r="AH1573" s="62" t="n">
        <f aca="false">IF(CA1573=1,0,ROUNDUP(AG1573/BZ1573,0))</f>
        <v>1</v>
      </c>
      <c r="AI1573" s="64" t="n">
        <f aca="false">IF(CR1573&gt;0,CR1573*MAX(1,AG1573/X1573),IF(CA1573=1,IF(AG1573&lt;=0,0,CE1573*MAX(1,IF(H1573&gt;0,AG1573/H1573,1))),IF(R1573&gt;0,AH1573/R1573,0))/MAX(0.1,N(Parameter!$M$21)))</f>
        <v>0.0833333333333333</v>
      </c>
      <c r="AJ1573" s="62" t="n">
        <f aca="false">AI1573*CC1573</f>
        <v>12.0833333333333</v>
      </c>
      <c r="AK1573" s="63" t="n">
        <f aca="false">IF(LEFT(Cockpit!$C$5,1)="A",H1573,IF(CI1573=1,(CL1573+CJ1573)/2,IF(LEFT(Cockpit!$C$5,1)="B",(CL1573+AM1573)/2,MAX((CL1573+AM1573)/2,H1573))))</f>
        <v>4</v>
      </c>
      <c r="AL1573" s="62" t="n">
        <f aca="false">AK1573*G1573</f>
        <v>1944.76</v>
      </c>
      <c r="AM1573" s="62" t="n">
        <f aca="false">ROUNDUP(CL1573+MAX(CM1573,2*(J1573/IF(CH1573&gt;0,CH1573,MAX(0.1,N(Cockpit!$C$6)))-CL1573)),0)</f>
        <v>1</v>
      </c>
      <c r="AN1573" s="63" t="n">
        <f aca="false">IF(AJ1573&gt;0,J1573/AJ1573,-1)</f>
        <v>0</v>
      </c>
      <c r="AO1573" s="63" t="n">
        <f aca="false">IF(AND(OR(CG1573="L1",CG1573="L23",CG1573="LIFT"),AJ1573&gt;0),SUMIFS($AJ$7:$AJ$1843,$CG$7:$CG$1843,CG1573,$AN$7:$AN$1843,"&gt;"&amp;AN1573)+SUMIFS($AJ$7:$AJ$1843,$CG$7:$CG$1843,CG1573,$AN$7:$AN$1843,AN1573,$BX$7:$BX$1843,"&lt;="&amp;BX1573),"")</f>
        <v>30372.8400566007</v>
      </c>
      <c r="AP1573" s="70" t="n">
        <f aca="false">IF(AO1573="",0,MAX(0,MIN(1,(IF(CG1573="L1",Parameter!$H$5,IF(CG1573="L23",Parameter!$H$6+Parameter!$H$7,Parameter!$H$5+Parameter!$H$6+Parameter!$H$7))-(AO1573-AJ1573))/AJ1573)))</f>
        <v>1</v>
      </c>
      <c r="AQ1573" s="62" t="n">
        <f aca="false">IF(LEFT(Cockpit!$I$5,1)="A",H1573,IF(Parameter!$E$30="MAX-Bestand",IF(CI1573=1,CJ1573,IF(LEFT(Cockpit!$I$5,1)="B",AW1573,MAX(AW1573,H1573))),ROUNDUP(AU1573,0)))</f>
        <v>4</v>
      </c>
      <c r="AR1573" s="62" t="n">
        <f aca="false">IF(CA1573=1,0,ROUNDUP(AQ1573/BZ1573,0))</f>
        <v>1</v>
      </c>
      <c r="AS1573" s="64" t="n">
        <f aca="false">IF(CR1573&gt;0,CR1573*MAX(1,AQ1573/X1573),IF(CA1573=1,IF(AQ1573&lt;=0,0,CE1573*MAX(1,IF(H1573&gt;0,AQ1573/H1573,1))),IF(R1573&gt;0,AR1573/R1573,0))/MAX(0.1,N(Parameter!$M$21)))</f>
        <v>0.0833333333333333</v>
      </c>
      <c r="AT1573" s="62" t="n">
        <f aca="false">AS1573*CC1573</f>
        <v>12.0833333333333</v>
      </c>
      <c r="AU1573" s="63" t="n">
        <f aca="false">IF(LEFT(Cockpit!$I$5,1)="A",H1573,IF(CI1573=1,(CL1573+CJ1573)/2,IF(LEFT(Cockpit!$I$5,1)="B",(CL1573+AW1573)/2,MAX((CL1573+AW1573)/2,H1573))))</f>
        <v>4</v>
      </c>
      <c r="AV1573" s="62" t="n">
        <f aca="false">AU1573*G1573</f>
        <v>1944.76</v>
      </c>
      <c r="AW1573" s="62" t="n">
        <f aca="false">ROUNDUP(CL1573+MAX(CM1573,2*(J1573/IF(CH1573&gt;0,CH1573,MAX(0.1,N(Cockpit!$I$6)))-CL1573)),0)</f>
        <v>1</v>
      </c>
      <c r="AX1573" s="63" t="n">
        <f aca="false">IF(AT1573&gt;0,J1573/AT1573,-1)</f>
        <v>0</v>
      </c>
      <c r="AY1573" s="63" t="n">
        <f aca="false">IF(AND(OR(CG1573="L1",CG1573="L23",CG1573="LIFT"),AT1573&gt;0),SUMIFS($AT$7:$AT$1843,$CG$7:$CG$1843,CG1573,$AX$7:$AX$1843,"&gt;"&amp;AX1573)+SUMIFS($AT$7:$AT$1843,$CG$7:$CG$1843,CG1573,$AX$7:$AX$1843,AX1573,$BX$7:$BX$1843,"&lt;="&amp;BX1573),"")</f>
        <v>36692.696573436</v>
      </c>
      <c r="AZ1573" s="70" t="n">
        <f aca="false">IF(AY1573="",0,MAX(0,MIN(1,(IF(CG1573="L1",Parameter!$H$5,IF(CG1573="L23",Parameter!$H$6+Parameter!$H$7,Parameter!$H$5+Parameter!$H$6+Parameter!$H$7))-(AY1573-AT1573))/AT1573)))</f>
        <v>0</v>
      </c>
      <c r="BA1573" s="62" t="n">
        <f aca="false">IF(LEFT(Cockpit!$O$5,1)="A",H1573,IF(Parameter!$E$30="MAX-Bestand",IF(CI1573=1,CJ1573,IF(LEFT(Cockpit!$O$5,1)="B",BG1573,MAX(BG1573,H1573))),ROUNDUP(BE1573,0)))</f>
        <v>1</v>
      </c>
      <c r="BB1573" s="62" t="n">
        <f aca="false">IF(CA1573=1,0,ROUNDUP(BA1573/BZ1573,0))</f>
        <v>1</v>
      </c>
      <c r="BC1573" s="64" t="n">
        <f aca="false">IF(CR1573&gt;0,CR1573*MAX(1,BA1573/X1573),IF(CA1573=1,IF(BA1573&lt;=0,0,CE1573*MAX(1,IF(H1573&gt;0,BA1573/H1573,1))),IF(R1573&gt;0,BB1573/R1573,0))/MAX(0.1,N(Parameter!$M$21)))</f>
        <v>0.0833333333333333</v>
      </c>
      <c r="BD1573" s="62" t="n">
        <f aca="false">BC1573*CC1573</f>
        <v>12.0833333333333</v>
      </c>
      <c r="BE1573" s="63" t="n">
        <f aca="false">IF(LEFT(Cockpit!$O$5,1)="A",H1573,IF(CI1573=1,(CL1573+CJ1573)/2,IF(LEFT(Cockpit!$O$5,1)="B",(CL1573+BG1573)/2,MAX((CL1573+BG1573)/2,H1573))))</f>
        <v>0.5</v>
      </c>
      <c r="BF1573" s="62" t="n">
        <f aca="false">BE1573*G1573</f>
        <v>243.095</v>
      </c>
      <c r="BG1573" s="62" t="n">
        <f aca="false">ROUNDUP(CL1573+MAX(CM1573,2*(J1573/IF(CH1573&gt;0,CH1573,MAX(0.1,N(Cockpit!$O$6)))-CL1573)),0)</f>
        <v>1</v>
      </c>
      <c r="BH1573" s="63" t="n">
        <f aca="false">IF(BD1573&gt;0,J1573/BD1573,-1)</f>
        <v>0</v>
      </c>
      <c r="BI1573" s="63" t="n">
        <f aca="false">IF(AND(OR(CG1573="L1",CG1573="L23",CG1573="LIFT"),BD1573&gt;0),SUMIFS($BD$7:$BD$1843,$CG$7:$CG$1843,CG1573,$BH$7:$BH$1843,"&gt;"&amp;BH1573)+SUMIFS($BD$7:$BD$1843,$CG$7:$CG$1843,CG1573,$BH$7:$BH$1843,BH1573,$BX$7:$BX$1843,"&lt;="&amp;BX1573),"")</f>
        <v>30602.1378489684</v>
      </c>
      <c r="BJ1573" s="70" t="n">
        <f aca="false">IF(BI1573="",0,MAX(0,MIN(1,(IF(CG1573="L1",Parameter!$H$5,IF(CG1573="L23",Parameter!$H$6+Parameter!$H$7,Parameter!$H$5+Parameter!$H$6+Parameter!$H$7))-(BI1573-BD1573))/BD1573)))</f>
        <v>1</v>
      </c>
      <c r="BK1573" s="60" t="str">
        <f aca="false">IF(AJ1573&lt;=0,"",IF(CG1573="Aussen","Aussenlager",IF(CG1573="-","Nicht im Lift",IF(AP1573&gt;=1,"Lift",IF(AP1573&lt;=0,"Aussenlager","teilweise")))))</f>
        <v>Lift</v>
      </c>
      <c r="BL1573" s="60" t="str">
        <f aca="false">IF(AT1573&lt;=0,"",IF(CG1573="Aussen","Aussenlager",IF(CG1573="-","Nicht im Lift",IF(AZ1573&gt;=1,"Lift",IF(AZ1573&lt;=0,"Aussenlager","teilweise")))))</f>
        <v>Aussenlager</v>
      </c>
      <c r="BM1573" s="60" t="str">
        <f aca="false">IF(BD1573&lt;=0,"",IF(CG1573="Aussen","Aussenlager",IF(CG1573="-","Nicht im Lift",IF(BJ1573&gt;=1,"Lift",IF(BJ1573&lt;=0,"Aussenlager","teilweise")))))</f>
        <v>Lift</v>
      </c>
      <c r="BN1573" s="60" t="str">
        <f aca="false">IF(A1573="","",IF(BW1573=1,"Neu; ","")&amp;IF(AND(BW1573=0,BR1573&lt;0),"negativer Bestand (Export "&amp;BR1573&amp;"); ","")&amp;IF(J1573&lt;=0,"Kein Verbrauch; ","")&amp;IF(CR1573&gt;0,"Lift "&amp;W1573&amp;" lt. Liftbericht (Fach "&amp;X1573&amp;" Stk); ",IF(CB1573=1,"Gebinde geschätzt ("&amp;T1573&amp;"); ",IF(CA1573=1,"Lose – Tablare geschätzt; ","")))&amp;IF(H1573&gt;AW1573,"Überbestand "&amp;ROUND(H1573-AW1573,0)&amp;" Stk / CHF "&amp;ROUND((H1573-AW1573)*G1573,0)&amp;"; ","")&amp;IF(AND(CI1573=1,CJ1573&lt;CK1573),"MAX &lt; MB+LG; ","")&amp;IF(AND(CQ1573&gt;0,CP1573*10&gt;CQ1573),"zu hoch für Tablar; ","")&amp;IF(AND(BW1573=0,OR(CI1573=1,AB1573&lt;&gt;"",U1573&lt;&gt;"",V1573&lt;&gt;"",AC1573&lt;&gt;"")),"manuell übersteuert; ","")&amp;IF(AND(CA1573=0,R1573=0),"Gebinde unbekannt / Stellmass fehlt; ","")&amp;IF(AND(CA1573=0,N(V1573)&lt;=0,N(Q1573)&lt;=0),"Menge pro Gebinde fehlt (Ist = 1 Gebinde); ","")&amp;BV1573)</f>
        <v>Kein Verbrauch; Gebinde geschätzt (Mittel); Überbestand 3 Stk / CHF 1459; Menge pro Gebinde fehlt (Ist = 1 Gebinde); nur im Artikelstamm (Bestand 23.06.2026)</v>
      </c>
      <c r="BO1573" s="60"/>
      <c r="BP1573" s="60"/>
      <c r="BQ1573" s="67"/>
      <c r="BR1573" s="62" t="n">
        <v>4</v>
      </c>
      <c r="BS1573" s="62" t="n">
        <v>0</v>
      </c>
      <c r="BT1573" s="61" t="n">
        <v>0</v>
      </c>
      <c r="BU1573" s="62" t="n">
        <v>0</v>
      </c>
      <c r="BV1573" s="60" t="s">
        <v>2617</v>
      </c>
      <c r="BW1573" s="65" t="n">
        <v>0</v>
      </c>
      <c r="BX1573" s="65" t="n">
        <v>1573</v>
      </c>
      <c r="BY1573" s="60" t="str">
        <f aca="false">IF(U1573&lt;&gt;"",UPPER(TRIM(U1573)),IF(CB1573=1,UPPER(VLOOKUP(T1573,Parameter!$I$27:$K$29,2,0)),IF(P1573="","LOSE",P1573)))</f>
        <v>S61</v>
      </c>
      <c r="BZ1573" s="62" t="n">
        <f aca="false">IF(BY1573="LOSE",1,IF(N(V1573)&gt;0,V1573,IF(CB1573=1,MAX(1,N(VLOOKUP(T1573,Parameter!$I$27:$K$29,3,0)),H1573,N(N1573)),IF(N(Q1573)&gt;0,Q1573,MAX(1,H1573)))))</f>
        <v>4</v>
      </c>
      <c r="CA1573" s="65" t="n">
        <f aca="false">IF(BY1573="LOSE",1,0)</f>
        <v>0</v>
      </c>
      <c r="CB1573" s="65" t="n">
        <f aca="false">IF(AND(U1573="",OR(P1573="",P1573="LOSE"),T1573&lt;&gt;"",N(S1573)&lt;=0,ISNUMBER(MATCH(T1573,Parameter!$I$27:$I$29,0))),1,0)</f>
        <v>1</v>
      </c>
      <c r="CC1573" s="65" t="n">
        <f aca="false">IF(CR1573&gt;0,INDEX(Parameter!$H$5:$H$7,W1573)/INDEX(Parameter!$E$5:$E$7,W1573),IF(AND(CA1573=0,N(IFERROR(VLOOKUP(BY1573,'Gebinde-Kategorie'!$A$5:$N$45,14,0),0))&gt;0),VLOOKUP(BY1573,'Gebinde-Kategorie'!$A$5:$N$45,14,0)*10+Parameter!$M$23,Parameter!$M$24))</f>
        <v>145</v>
      </c>
      <c r="CD1573" s="60" t="str">
        <f aca="false">IF(AND(Parameter!$B$19="Ja",E1573&lt;&gt;"",ISNUMBER(MATCH(E1573,Parameter!$I$35:$I$52,0))),VLOOKUP(E1573,Parameter!$I$35:$J$52,2,0),IFERROR(VLOOKUP(D1573,Parameter!$A$35:$C$64,2,0),"Nein"))</f>
        <v>2+3</v>
      </c>
      <c r="CE1573" s="64" t="n">
        <f aca="false">IF(CA1573=0,0,IF(N(S1573)&gt;0,S1573,IFERROR(VLOOKUP(D1573,Parameter!$A$35:$C$64,3,0)+0,0)))</f>
        <v>0</v>
      </c>
      <c r="CF1573" s="60" t="n">
        <f aca="false">IF(AB1573&lt;&gt;"",AB1573,AA1573)</f>
        <v>3</v>
      </c>
      <c r="CG1573" s="60" t="str">
        <f aca="false">IF(OR(CF1573=1,CF1573=2,CF1573=3),IF(Parameter!$E$27="Ja","LIFT",IF(CF1573=1,"L1","L23")),IF(CF1573="Aussen","Aussen","-"))</f>
        <v>LIFT</v>
      </c>
      <c r="CH1573" s="71" t="n">
        <f aca="false">IF(N(AC1573)&gt;0,AC1573,0)</f>
        <v>0</v>
      </c>
      <c r="CI1573" s="65" t="n">
        <f aca="false">IF(ISNUMBER(AF1573),1,0)</f>
        <v>0</v>
      </c>
      <c r="CJ1573" s="62" t="n">
        <f aca="false">N(AF1573)</f>
        <v>0</v>
      </c>
      <c r="CK1573" s="62" t="n">
        <f aca="false">N(M1573)+N(N1573)</f>
        <v>1</v>
      </c>
      <c r="CL1573" s="62" t="n">
        <f aca="false">N(M1573)</f>
        <v>0</v>
      </c>
      <c r="CM1573" s="62" t="n">
        <f aca="false">N(N1573)</f>
        <v>1</v>
      </c>
      <c r="CN1573" s="62" t="n">
        <f aca="false">ROUNDUP(H1573/BZ1573,0)</f>
        <v>1</v>
      </c>
      <c r="CO1573" s="62" t="n">
        <f aca="false">ROUNDUP(CJ1573/BZ1573,0)</f>
        <v>0</v>
      </c>
      <c r="CP1573" s="65" t="n">
        <f aca="false">IF(CA1573=1,0,IFERROR(VLOOKUP(BY1573,'Gebinde-Kategorie'!$A$5:$N$45,5,0)+0,0))</f>
        <v>11</v>
      </c>
      <c r="CQ1573" s="65" t="n">
        <f aca="false">IFERROR(IF(OR(CF1573=1,CF1573=2,CF1573=3),N(INDEX(Parameter!$I$5:$I$7,CF1573)),0),0)</f>
        <v>0</v>
      </c>
      <c r="CR1573" s="64" t="n">
        <f aca="false">IF(AND(Parameter!$B$21="Ja",ISNUMBER(W1573),N(X1573)&gt;0),IFERROR(N(INDEX(Parameter!$L$5:$L$7,W1573))*INDEX(Parameter!$E$5:$E$7,W1573)*X1573/SUMIFS($X$7:$X$1843,$W$7:$W$1843,W1573),0),0)</f>
        <v>0</v>
      </c>
      <c r="CS1573" s="62" t="n">
        <f aca="false">IF(AND(OR(CG1573="L1",CG1573="L23",CG1573="LIFT"),H1573&gt;0),CC1573*IF(CR1573&gt;0,CR1573*MAX(1,H1573/X1573),IF(CA1573=1,CE1573,IF(R1573&gt;0,CN1573/R1573,0))/MAX(0.1,N(Parameter!$M$21))),"")</f>
        <v>12.0833333333333</v>
      </c>
      <c r="CT1573" s="64" t="n">
        <f aca="false">IF(CS1573="","",J1573/H1573)</f>
        <v>0</v>
      </c>
      <c r="CU1573" s="62" t="n">
        <f aca="false">IF(CS1573="","",H1573*G1573)</f>
        <v>1944.76</v>
      </c>
      <c r="CV1573" s="63" t="n">
        <f aca="false">IF(CS1573="","",(CL1573+ROUNDUP(CL1573+MAX(CM1573,2*(J1573/MAX(0.1,N(Einkauf!$C$6))-CL1573)),0))/2)</f>
        <v>0.5</v>
      </c>
      <c r="CW1573" s="62" t="n">
        <f aca="false">IF(CS1573="","",MAX(0,H1573-CV1573)*G1573)</f>
        <v>1701.665</v>
      </c>
      <c r="CX1573" s="62" t="n">
        <f aca="false">IF(CS1573="","",CS1573*MAX(0,1-CV1573/H1573))</f>
        <v>10.5729166666667</v>
      </c>
      <c r="CY1573" s="64" t="n">
        <f aca="false">IF(CS1573="","",PERCENTRANK($CS$7:$CS$1843,CS1573)+PERCENTRANK($CU$7:$CU$1843,CU1573)+1-PERCENTRANK($CT$7:$CT$1843,CT1573))</f>
        <v>2.428</v>
      </c>
      <c r="CZ1573" s="72" t="n">
        <f aca="false">IF(CS1573="","",CHOOSE(MATCH(Einkauf!$C$5,Parameter!$G$23:$G$27,0),CY1573,CS1573,CU1573,-CT1573,CW1573)+ROW()/1000000000)</f>
        <v>2.428001573</v>
      </c>
    </row>
    <row r="1574" customFormat="false" ht="15" hidden="false" customHeight="false" outlineLevel="0" collapsed="false">
      <c r="A1574" s="60" t="s">
        <v>2792</v>
      </c>
      <c r="B1574" s="60" t="s">
        <v>2788</v>
      </c>
      <c r="C1574" s="60" t="s">
        <v>206</v>
      </c>
      <c r="D1574" s="60" t="s">
        <v>226</v>
      </c>
      <c r="E1574" s="60"/>
      <c r="F1574" s="60"/>
      <c r="G1574" s="61" t="n">
        <v>4.22</v>
      </c>
      <c r="H1574" s="62" t="n">
        <f aca="false">MAX(0,IF(AND(Parameter!$B$21="Ja",ISNUMBER(Y1574)),Y1574,IF(Parameter!$B$20="Jahresanfang 2025 + Export",BS1574+BR1574,BR1574)))</f>
        <v>45</v>
      </c>
      <c r="I1574" s="62" t="n">
        <f aca="false">H1574*G1574</f>
        <v>189.9</v>
      </c>
      <c r="J1574" s="62" t="n">
        <f aca="false">BU1574*Parameter!$B$18</f>
        <v>0</v>
      </c>
      <c r="K1574" s="63"/>
      <c r="L1574" s="64"/>
      <c r="M1574" s="62" t="n">
        <v>0</v>
      </c>
      <c r="N1574" s="62" t="n">
        <v>30</v>
      </c>
      <c r="O1574" s="65" t="n">
        <v>0</v>
      </c>
      <c r="P1574" s="60" t="s">
        <v>210</v>
      </c>
      <c r="Q1574" s="62"/>
      <c r="R1574" s="65" t="n">
        <f aca="false">IF(CA1574=1,0,IFERROR(VLOOKUP(BY1574,'Gebinde-Kategorie'!$A$5:$N$45,13,0)+0,0))</f>
        <v>26</v>
      </c>
      <c r="S1574" s="66"/>
      <c r="T1574" s="67" t="s">
        <v>317</v>
      </c>
      <c r="U1574" s="67"/>
      <c r="V1574" s="67"/>
      <c r="W1574" s="60"/>
      <c r="X1574" s="62"/>
      <c r="Y1574" s="62"/>
      <c r="Z1574" s="60" t="n">
        <v>3</v>
      </c>
      <c r="AA1574" s="60" t="n">
        <f aca="false">IF(A1574="","",IF(AND(Parameter!$B$21="Ja",ISNUMBER(W1574)),W1574,IF(AND(Parameter!$E$27="Ja",ISNUMBER(Z1574),CD1574&lt;&gt;"Nein"),Z1574,IF(CD1574="2+3",IF(ISNUMBER(SEARCH("grosser Artikel",BV1574)),2,IFERROR(VLOOKUP(BY1574,Parameter!$F$35:$G$64,2,0),2)),IF(OR(CD1574="Nein",CD1574=""),"-",CD1574)))))</f>
        <v>3</v>
      </c>
      <c r="AB1574" s="67"/>
      <c r="AC1574" s="68"/>
      <c r="AD1574" s="62" t="n">
        <f aca="false">AW1574</f>
        <v>30</v>
      </c>
      <c r="AE1574" s="62" t="n">
        <f aca="false">MAX(AW1574,H1574)</f>
        <v>45</v>
      </c>
      <c r="AF1574" s="69"/>
      <c r="AG1574" s="62" t="n">
        <f aca="false">IF(LEFT(Cockpit!$C$5,1)="A",H1574,IF(Parameter!$E$30="MAX-Bestand",IF(CI1574=1,CJ1574,IF(LEFT(Cockpit!$C$5,1)="B",AM1574,MAX(AM1574,H1574))),ROUNDUP(AK1574,0)))</f>
        <v>45</v>
      </c>
      <c r="AH1574" s="62" t="n">
        <f aca="false">IF(CA1574=1,0,ROUNDUP(AG1574/BZ1574,0))</f>
        <v>1</v>
      </c>
      <c r="AI1574" s="64" t="n">
        <f aca="false">IF(CR1574&gt;0,CR1574*MAX(1,AG1574/X1574),IF(CA1574=1,IF(AG1574&lt;=0,0,CE1574*MAX(1,IF(H1574&gt;0,AG1574/H1574,1))),IF(R1574&gt;0,AH1574/R1574,0))/MAX(0.1,N(Parameter!$M$21)))</f>
        <v>0.0384615384615385</v>
      </c>
      <c r="AJ1574" s="62" t="n">
        <f aca="false">AI1574*CC1574</f>
        <v>5.96153846153846</v>
      </c>
      <c r="AK1574" s="63" t="n">
        <f aca="false">IF(LEFT(Cockpit!$C$5,1)="A",H1574,IF(CI1574=1,(CL1574+CJ1574)/2,IF(LEFT(Cockpit!$C$5,1)="B",(CL1574+AM1574)/2,MAX((CL1574+AM1574)/2,H1574))))</f>
        <v>45</v>
      </c>
      <c r="AL1574" s="62" t="n">
        <f aca="false">AK1574*G1574</f>
        <v>189.9</v>
      </c>
      <c r="AM1574" s="62" t="n">
        <f aca="false">ROUNDUP(CL1574+MAX(CM1574,2*(J1574/IF(CH1574&gt;0,CH1574,MAX(0.1,N(Cockpit!$C$6)))-CL1574)),0)</f>
        <v>30</v>
      </c>
      <c r="AN1574" s="63" t="n">
        <f aca="false">IF(AJ1574&gt;0,J1574/AJ1574,-1)</f>
        <v>0</v>
      </c>
      <c r="AO1574" s="63" t="n">
        <f aca="false">IF(AND(OR(CG1574="L1",CG1574="L23",CG1574="LIFT"),AJ1574&gt;0),SUMIFS($AJ$7:$AJ$1843,$CG$7:$CG$1843,CG1574,$AN$7:$AN$1843,"&gt;"&amp;AN1574)+SUMIFS($AJ$7:$AJ$1843,$CG$7:$CG$1843,CG1574,$AN$7:$AN$1843,AN1574,$BX$7:$BX$1843,"&lt;="&amp;BX1574),"")</f>
        <v>30378.8015950622</v>
      </c>
      <c r="AP1574" s="70" t="n">
        <f aca="false">IF(AO1574="",0,MAX(0,MIN(1,(IF(CG1574="L1",Parameter!$H$5,IF(CG1574="L23",Parameter!$H$6+Parameter!$H$7,Parameter!$H$5+Parameter!$H$6+Parameter!$H$7))-(AO1574-AJ1574))/AJ1574)))</f>
        <v>1</v>
      </c>
      <c r="AQ1574" s="62" t="n">
        <f aca="false">IF(LEFT(Cockpit!$I$5,1)="A",H1574,IF(Parameter!$E$30="MAX-Bestand",IF(CI1574=1,CJ1574,IF(LEFT(Cockpit!$I$5,1)="B",AW1574,MAX(AW1574,H1574))),ROUNDUP(AU1574,0)))</f>
        <v>45</v>
      </c>
      <c r="AR1574" s="62" t="n">
        <f aca="false">IF(CA1574=1,0,ROUNDUP(AQ1574/BZ1574,0))</f>
        <v>1</v>
      </c>
      <c r="AS1574" s="64" t="n">
        <f aca="false">IF(CR1574&gt;0,CR1574*MAX(1,AQ1574/X1574),IF(CA1574=1,IF(AQ1574&lt;=0,0,CE1574*MAX(1,IF(H1574&gt;0,AQ1574/H1574,1))),IF(R1574&gt;0,AR1574/R1574,0))/MAX(0.1,N(Parameter!$M$21)))</f>
        <v>0.0384615384615385</v>
      </c>
      <c r="AT1574" s="62" t="n">
        <f aca="false">AS1574*CC1574</f>
        <v>5.96153846153846</v>
      </c>
      <c r="AU1574" s="63" t="n">
        <f aca="false">IF(LEFT(Cockpit!$I$5,1)="A",H1574,IF(CI1574=1,(CL1574+CJ1574)/2,IF(LEFT(Cockpit!$I$5,1)="B",(CL1574+AW1574)/2,MAX((CL1574+AW1574)/2,H1574))))</f>
        <v>45</v>
      </c>
      <c r="AV1574" s="62" t="n">
        <f aca="false">AU1574*G1574</f>
        <v>189.9</v>
      </c>
      <c r="AW1574" s="62" t="n">
        <f aca="false">ROUNDUP(CL1574+MAX(CM1574,2*(J1574/IF(CH1574&gt;0,CH1574,MAX(0.1,N(Cockpit!$I$6)))-CL1574)),0)</f>
        <v>30</v>
      </c>
      <c r="AX1574" s="63" t="n">
        <f aca="false">IF(AT1574&gt;0,J1574/AT1574,-1)</f>
        <v>0</v>
      </c>
      <c r="AY1574" s="63" t="n">
        <f aca="false">IF(AND(OR(CG1574="L1",CG1574="L23",CG1574="LIFT"),AT1574&gt;0),SUMIFS($AT$7:$AT$1843,$CG$7:$CG$1843,CG1574,$AX$7:$AX$1843,"&gt;"&amp;AX1574)+SUMIFS($AT$7:$AT$1843,$CG$7:$CG$1843,CG1574,$AX$7:$AX$1843,AX1574,$BX$7:$BX$1843,"&lt;="&amp;BX1574),"")</f>
        <v>36698.6581118975</v>
      </c>
      <c r="AZ1574" s="70" t="n">
        <f aca="false">IF(AY1574="",0,MAX(0,MIN(1,(IF(CG1574="L1",Parameter!$H$5,IF(CG1574="L23",Parameter!$H$6+Parameter!$H$7,Parameter!$H$5+Parameter!$H$6+Parameter!$H$7))-(AY1574-AT1574))/AT1574)))</f>
        <v>0</v>
      </c>
      <c r="BA1574" s="62" t="n">
        <f aca="false">IF(LEFT(Cockpit!$O$5,1)="A",H1574,IF(Parameter!$E$30="MAX-Bestand",IF(CI1574=1,CJ1574,IF(LEFT(Cockpit!$O$5,1)="B",BG1574,MAX(BG1574,H1574))),ROUNDUP(BE1574,0)))</f>
        <v>15</v>
      </c>
      <c r="BB1574" s="62" t="n">
        <f aca="false">IF(CA1574=1,0,ROUNDUP(BA1574/BZ1574,0))</f>
        <v>1</v>
      </c>
      <c r="BC1574" s="64" t="n">
        <f aca="false">IF(CR1574&gt;0,CR1574*MAX(1,BA1574/X1574),IF(CA1574=1,IF(BA1574&lt;=0,0,CE1574*MAX(1,IF(H1574&gt;0,BA1574/H1574,1))),IF(R1574&gt;0,BB1574/R1574,0))/MAX(0.1,N(Parameter!$M$21)))</f>
        <v>0.0384615384615385</v>
      </c>
      <c r="BD1574" s="62" t="n">
        <f aca="false">BC1574*CC1574</f>
        <v>5.96153846153846</v>
      </c>
      <c r="BE1574" s="63" t="n">
        <f aca="false">IF(LEFT(Cockpit!$O$5,1)="A",H1574,IF(CI1574=1,(CL1574+CJ1574)/2,IF(LEFT(Cockpit!$O$5,1)="B",(CL1574+BG1574)/2,MAX((CL1574+BG1574)/2,H1574))))</f>
        <v>15</v>
      </c>
      <c r="BF1574" s="62" t="n">
        <f aca="false">BE1574*G1574</f>
        <v>63.3</v>
      </c>
      <c r="BG1574" s="62" t="n">
        <f aca="false">ROUNDUP(CL1574+MAX(CM1574,2*(J1574/IF(CH1574&gt;0,CH1574,MAX(0.1,N(Cockpit!$O$6)))-CL1574)),0)</f>
        <v>30</v>
      </c>
      <c r="BH1574" s="63" t="n">
        <f aca="false">IF(BD1574&gt;0,J1574/BD1574,-1)</f>
        <v>0</v>
      </c>
      <c r="BI1574" s="63" t="n">
        <f aca="false">IF(AND(OR(CG1574="L1",CG1574="L23",CG1574="LIFT"),BD1574&gt;0),SUMIFS($BD$7:$BD$1843,$CG$7:$CG$1843,CG1574,$BH$7:$BH$1843,"&gt;"&amp;BH1574)+SUMIFS($BD$7:$BD$1843,$CG$7:$CG$1843,CG1574,$BH$7:$BH$1843,BH1574,$BX$7:$BX$1843,"&lt;="&amp;BX1574),"")</f>
        <v>30608.0993874299</v>
      </c>
      <c r="BJ1574" s="70" t="n">
        <f aca="false">IF(BI1574="",0,MAX(0,MIN(1,(IF(CG1574="L1",Parameter!$H$5,IF(CG1574="L23",Parameter!$H$6+Parameter!$H$7,Parameter!$H$5+Parameter!$H$6+Parameter!$H$7))-(BI1574-BD1574))/BD1574)))</f>
        <v>1</v>
      </c>
      <c r="BK1574" s="60" t="str">
        <f aca="false">IF(AJ1574&lt;=0,"",IF(CG1574="Aussen","Aussenlager",IF(CG1574="-","Nicht im Lift",IF(AP1574&gt;=1,"Lift",IF(AP1574&lt;=0,"Aussenlager","teilweise")))))</f>
        <v>Lift</v>
      </c>
      <c r="BL1574" s="60" t="str">
        <f aca="false">IF(AT1574&lt;=0,"",IF(CG1574="Aussen","Aussenlager",IF(CG1574="-","Nicht im Lift",IF(AZ1574&gt;=1,"Lift",IF(AZ1574&lt;=0,"Aussenlager","teilweise")))))</f>
        <v>Aussenlager</v>
      </c>
      <c r="BM1574" s="60" t="str">
        <f aca="false">IF(BD1574&lt;=0,"",IF(CG1574="Aussen","Aussenlager",IF(CG1574="-","Nicht im Lift",IF(BJ1574&gt;=1,"Lift",IF(BJ1574&lt;=0,"Aussenlager","teilweise")))))</f>
        <v>Lift</v>
      </c>
      <c r="BN1574" s="60" t="str">
        <f aca="false">IF(A1574="","",IF(BW1574=1,"Neu; ","")&amp;IF(AND(BW1574=0,BR1574&lt;0),"negativer Bestand (Export "&amp;BR1574&amp;"); ","")&amp;IF(J1574&lt;=0,"Kein Verbrauch; ","")&amp;IF(CR1574&gt;0,"Lift "&amp;W1574&amp;" lt. Liftbericht (Fach "&amp;X1574&amp;" Stk); ",IF(CB1574=1,"Gebinde geschätzt ("&amp;T1574&amp;"); ",IF(CA1574=1,"Lose – Tablare geschätzt; ","")))&amp;IF(H1574&gt;AW1574,"Überbestand "&amp;ROUND(H1574-AW1574,0)&amp;" Stk / CHF "&amp;ROUND((H1574-AW1574)*G1574,0)&amp;"; ","")&amp;IF(AND(CI1574=1,CJ1574&lt;CK1574),"MAX &lt; MB+LG; ","")&amp;IF(AND(CQ1574&gt;0,CP1574*10&gt;CQ1574),"zu hoch für Tablar; ","")&amp;IF(AND(BW1574=0,OR(CI1574=1,AB1574&lt;&gt;"",U1574&lt;&gt;"",V1574&lt;&gt;"",AC1574&lt;&gt;"")),"manuell übersteuert; ","")&amp;IF(AND(CA1574=0,R1574=0),"Gebinde unbekannt / Stellmass fehlt; ","")&amp;IF(AND(CA1574=0,N(V1574)&lt;=0,N(Q1574)&lt;=0),"Menge pro Gebinde fehlt (Ist = 1 Gebinde); ","")&amp;BV1574)</f>
        <v>Kein Verbrauch; Gebinde geschätzt (Klein); Überbestand 15 Stk / CHF 63; Menge pro Gebinde fehlt (Ist = 1 Gebinde); nur im Artikelstamm (Bestand 23.06.2026); Überbestand</v>
      </c>
      <c r="BO1574" s="60"/>
      <c r="BP1574" s="60"/>
      <c r="BQ1574" s="67"/>
      <c r="BR1574" s="62" t="n">
        <v>45</v>
      </c>
      <c r="BS1574" s="62" t="n">
        <v>0</v>
      </c>
      <c r="BT1574" s="61" t="n">
        <v>0</v>
      </c>
      <c r="BU1574" s="62" t="n">
        <v>0</v>
      </c>
      <c r="BV1574" s="60" t="s">
        <v>2614</v>
      </c>
      <c r="BW1574" s="65" t="n">
        <v>0</v>
      </c>
      <c r="BX1574" s="65" t="n">
        <v>1574</v>
      </c>
      <c r="BY1574" s="60" t="str">
        <f aca="false">IF(U1574&lt;&gt;"",UPPER(TRIM(U1574)),IF(CB1574=1,UPPER(VLOOKUP(T1574,Parameter!$I$27:$K$29,2,0)),IF(P1574="","LOSE",P1574)))</f>
        <v>S51</v>
      </c>
      <c r="BZ1574" s="62" t="n">
        <f aca="false">IF(BY1574="LOSE",1,IF(N(V1574)&gt;0,V1574,IF(CB1574=1,MAX(1,N(VLOOKUP(T1574,Parameter!$I$27:$K$29,3,0)),H1574,N(N1574)),IF(N(Q1574)&gt;0,Q1574,MAX(1,H1574)))))</f>
        <v>45</v>
      </c>
      <c r="CA1574" s="65" t="n">
        <f aca="false">IF(BY1574="LOSE",1,0)</f>
        <v>0</v>
      </c>
      <c r="CB1574" s="65" t="n">
        <f aca="false">IF(AND(U1574="",OR(P1574="",P1574="LOSE"),T1574&lt;&gt;"",N(S1574)&lt;=0,ISNUMBER(MATCH(T1574,Parameter!$I$27:$I$29,0))),1,0)</f>
        <v>1</v>
      </c>
      <c r="CC1574" s="65" t="n">
        <f aca="false">IF(CR1574&gt;0,INDEX(Parameter!$H$5:$H$7,W1574)/INDEX(Parameter!$E$5:$E$7,W1574),IF(AND(CA1574=0,N(IFERROR(VLOOKUP(BY1574,'Gebinde-Kategorie'!$A$5:$N$45,14,0),0))&gt;0),VLOOKUP(BY1574,'Gebinde-Kategorie'!$A$5:$N$45,14,0)*10+Parameter!$M$23,Parameter!$M$24))</f>
        <v>155</v>
      </c>
      <c r="CD1574" s="60" t="str">
        <f aca="false">IF(AND(Parameter!$B$19="Ja",E1574&lt;&gt;"",ISNUMBER(MATCH(E1574,Parameter!$I$35:$I$52,0))),VLOOKUP(E1574,Parameter!$I$35:$J$52,2,0),IFERROR(VLOOKUP(D1574,Parameter!$A$35:$C$64,2,0),"Nein"))</f>
        <v>2+3</v>
      </c>
      <c r="CE1574" s="64" t="n">
        <f aca="false">IF(CA1574=0,0,IF(N(S1574)&gt;0,S1574,IFERROR(VLOOKUP(D1574,Parameter!$A$35:$C$64,3,0)+0,0)))</f>
        <v>0</v>
      </c>
      <c r="CF1574" s="60" t="n">
        <f aca="false">IF(AB1574&lt;&gt;"",AB1574,AA1574)</f>
        <v>3</v>
      </c>
      <c r="CG1574" s="60" t="str">
        <f aca="false">IF(OR(CF1574=1,CF1574=2,CF1574=3),IF(Parameter!$E$27="Ja","LIFT",IF(CF1574=1,"L1","L23")),IF(CF1574="Aussen","Aussen","-"))</f>
        <v>LIFT</v>
      </c>
      <c r="CH1574" s="71" t="n">
        <f aca="false">IF(N(AC1574)&gt;0,AC1574,0)</f>
        <v>0</v>
      </c>
      <c r="CI1574" s="65" t="n">
        <f aca="false">IF(ISNUMBER(AF1574),1,0)</f>
        <v>0</v>
      </c>
      <c r="CJ1574" s="62" t="n">
        <f aca="false">N(AF1574)</f>
        <v>0</v>
      </c>
      <c r="CK1574" s="62" t="n">
        <f aca="false">N(M1574)+N(N1574)</f>
        <v>30</v>
      </c>
      <c r="CL1574" s="62" t="n">
        <f aca="false">N(M1574)</f>
        <v>0</v>
      </c>
      <c r="CM1574" s="62" t="n">
        <f aca="false">N(N1574)</f>
        <v>30</v>
      </c>
      <c r="CN1574" s="62" t="n">
        <f aca="false">ROUNDUP(H1574/BZ1574,0)</f>
        <v>1</v>
      </c>
      <c r="CO1574" s="62" t="n">
        <f aca="false">ROUNDUP(CJ1574/BZ1574,0)</f>
        <v>0</v>
      </c>
      <c r="CP1574" s="65" t="n">
        <f aca="false">IF(CA1574=1,0,IFERROR(VLOOKUP(BY1574,'Gebinde-Kategorie'!$A$5:$N$45,5,0)+0,0))</f>
        <v>11</v>
      </c>
      <c r="CQ1574" s="65" t="n">
        <f aca="false">IFERROR(IF(OR(CF1574=1,CF1574=2,CF1574=3),N(INDEX(Parameter!$I$5:$I$7,CF1574)),0),0)</f>
        <v>0</v>
      </c>
      <c r="CR1574" s="64" t="n">
        <f aca="false">IF(AND(Parameter!$B$21="Ja",ISNUMBER(W1574),N(X1574)&gt;0),IFERROR(N(INDEX(Parameter!$L$5:$L$7,W1574))*INDEX(Parameter!$E$5:$E$7,W1574)*X1574/SUMIFS($X$7:$X$1843,$W$7:$W$1843,W1574),0),0)</f>
        <v>0</v>
      </c>
      <c r="CS1574" s="62" t="n">
        <f aca="false">IF(AND(OR(CG1574="L1",CG1574="L23",CG1574="LIFT"),H1574&gt;0),CC1574*IF(CR1574&gt;0,CR1574*MAX(1,H1574/X1574),IF(CA1574=1,CE1574,IF(R1574&gt;0,CN1574/R1574,0))/MAX(0.1,N(Parameter!$M$21))),"")</f>
        <v>5.96153846153846</v>
      </c>
      <c r="CT1574" s="64" t="n">
        <f aca="false">IF(CS1574="","",J1574/H1574)</f>
        <v>0</v>
      </c>
      <c r="CU1574" s="62" t="n">
        <f aca="false">IF(CS1574="","",H1574*G1574)</f>
        <v>189.9</v>
      </c>
      <c r="CV1574" s="63" t="n">
        <f aca="false">IF(CS1574="","",(CL1574+ROUNDUP(CL1574+MAX(CM1574,2*(J1574/MAX(0.1,N(Einkauf!$C$6))-CL1574)),0))/2)</f>
        <v>15</v>
      </c>
      <c r="CW1574" s="62" t="n">
        <f aca="false">IF(CS1574="","",MAX(0,H1574-CV1574)*G1574)</f>
        <v>126.6</v>
      </c>
      <c r="CX1574" s="62" t="n">
        <f aca="false">IF(CS1574="","",CS1574*MAX(0,1-CV1574/H1574))</f>
        <v>3.97435897435898</v>
      </c>
      <c r="CY1574" s="64" t="n">
        <f aca="false">IF(CS1574="","",PERCENTRANK($CS$7:$CS$1843,CS1574)+PERCENTRANK($CU$7:$CU$1843,CU1574)+1-PERCENTRANK($CT$7:$CT$1843,CT1574))</f>
        <v>1.69</v>
      </c>
      <c r="CZ1574" s="72" t="n">
        <f aca="false">IF(CS1574="","",CHOOSE(MATCH(Einkauf!$C$5,Parameter!$G$23:$G$27,0),CY1574,CS1574,CU1574,-CT1574,CW1574)+ROW()/1000000000)</f>
        <v>1.690001574</v>
      </c>
    </row>
    <row r="1575" customFormat="false" ht="15" hidden="false" customHeight="false" outlineLevel="0" collapsed="false">
      <c r="A1575" s="60" t="s">
        <v>2793</v>
      </c>
      <c r="B1575" s="60" t="s">
        <v>447</v>
      </c>
      <c r="C1575" s="60" t="s">
        <v>206</v>
      </c>
      <c r="D1575" s="60" t="s">
        <v>226</v>
      </c>
      <c r="E1575" s="60"/>
      <c r="F1575" s="60"/>
      <c r="G1575" s="61" t="n">
        <v>0.03</v>
      </c>
      <c r="H1575" s="62" t="n">
        <f aca="false">MAX(0,IF(AND(Parameter!$B$21="Ja",ISNUMBER(Y1575)),Y1575,IF(Parameter!$B$20="Jahresanfang 2025 + Export",BS1575+BR1575,BR1575)))</f>
        <v>171</v>
      </c>
      <c r="I1575" s="62" t="n">
        <f aca="false">H1575*G1575</f>
        <v>5.13</v>
      </c>
      <c r="J1575" s="62" t="n">
        <f aca="false">BU1575*Parameter!$B$18</f>
        <v>0</v>
      </c>
      <c r="K1575" s="63"/>
      <c r="L1575" s="64"/>
      <c r="M1575" s="62" t="n">
        <v>0</v>
      </c>
      <c r="N1575" s="62" t="n">
        <v>100</v>
      </c>
      <c r="O1575" s="65" t="n">
        <v>0</v>
      </c>
      <c r="P1575" s="60" t="s">
        <v>210</v>
      </c>
      <c r="Q1575" s="62"/>
      <c r="R1575" s="65" t="n">
        <f aca="false">IF(CA1575=1,0,IFERROR(VLOOKUP(BY1575,'Gebinde-Kategorie'!$A$5:$N$45,13,0)+0,0))</f>
        <v>26</v>
      </c>
      <c r="S1575" s="66"/>
      <c r="T1575" s="67" t="s">
        <v>317</v>
      </c>
      <c r="U1575" s="67"/>
      <c r="V1575" s="67"/>
      <c r="W1575" s="60"/>
      <c r="X1575" s="62"/>
      <c r="Y1575" s="62"/>
      <c r="Z1575" s="60" t="n">
        <v>3</v>
      </c>
      <c r="AA1575" s="60" t="n">
        <f aca="false">IF(A1575="","",IF(AND(Parameter!$B$21="Ja",ISNUMBER(W1575)),W1575,IF(AND(Parameter!$E$27="Ja",ISNUMBER(Z1575),CD1575&lt;&gt;"Nein"),Z1575,IF(CD1575="2+3",IF(ISNUMBER(SEARCH("grosser Artikel",BV1575)),2,IFERROR(VLOOKUP(BY1575,Parameter!$F$35:$G$64,2,0),2)),IF(OR(CD1575="Nein",CD1575=""),"-",CD1575)))))</f>
        <v>3</v>
      </c>
      <c r="AB1575" s="67"/>
      <c r="AC1575" s="68"/>
      <c r="AD1575" s="62" t="n">
        <f aca="false">AW1575</f>
        <v>100</v>
      </c>
      <c r="AE1575" s="62" t="n">
        <f aca="false">MAX(AW1575,H1575)</f>
        <v>171</v>
      </c>
      <c r="AF1575" s="69"/>
      <c r="AG1575" s="62" t="n">
        <f aca="false">IF(LEFT(Cockpit!$C$5,1)="A",H1575,IF(Parameter!$E$30="MAX-Bestand",IF(CI1575=1,CJ1575,IF(LEFT(Cockpit!$C$5,1)="B",AM1575,MAX(AM1575,H1575))),ROUNDUP(AK1575,0)))</f>
        <v>171</v>
      </c>
      <c r="AH1575" s="62" t="n">
        <f aca="false">IF(CA1575=1,0,ROUNDUP(AG1575/BZ1575,0))</f>
        <v>1</v>
      </c>
      <c r="AI1575" s="64" t="n">
        <f aca="false">IF(CR1575&gt;0,CR1575*MAX(1,AG1575/X1575),IF(CA1575=1,IF(AG1575&lt;=0,0,CE1575*MAX(1,IF(H1575&gt;0,AG1575/H1575,1))),IF(R1575&gt;0,AH1575/R1575,0))/MAX(0.1,N(Parameter!$M$21)))</f>
        <v>0.0384615384615385</v>
      </c>
      <c r="AJ1575" s="62" t="n">
        <f aca="false">AI1575*CC1575</f>
        <v>5.96153846153846</v>
      </c>
      <c r="AK1575" s="63" t="n">
        <f aca="false">IF(LEFT(Cockpit!$C$5,1)="A",H1575,IF(CI1575=1,(CL1575+CJ1575)/2,IF(LEFT(Cockpit!$C$5,1)="B",(CL1575+AM1575)/2,MAX((CL1575+AM1575)/2,H1575))))</f>
        <v>171</v>
      </c>
      <c r="AL1575" s="62" t="n">
        <f aca="false">AK1575*G1575</f>
        <v>5.13</v>
      </c>
      <c r="AM1575" s="62" t="n">
        <f aca="false">ROUNDUP(CL1575+MAX(CM1575,2*(J1575/IF(CH1575&gt;0,CH1575,MAX(0.1,N(Cockpit!$C$6)))-CL1575)),0)</f>
        <v>100</v>
      </c>
      <c r="AN1575" s="63" t="n">
        <f aca="false">IF(AJ1575&gt;0,J1575/AJ1575,-1)</f>
        <v>0</v>
      </c>
      <c r="AO1575" s="63" t="n">
        <f aca="false">IF(AND(OR(CG1575="L1",CG1575="L23",CG1575="LIFT"),AJ1575&gt;0),SUMIFS($AJ$7:$AJ$1843,$CG$7:$CG$1843,CG1575,$AN$7:$AN$1843,"&gt;"&amp;AN1575)+SUMIFS($AJ$7:$AJ$1843,$CG$7:$CG$1843,CG1575,$AN$7:$AN$1843,AN1575,$BX$7:$BX$1843,"&lt;="&amp;BX1575),"")</f>
        <v>30384.7631335237</v>
      </c>
      <c r="AP1575" s="70" t="n">
        <f aca="false">IF(AO1575="",0,MAX(0,MIN(1,(IF(CG1575="L1",Parameter!$H$5,IF(CG1575="L23",Parameter!$H$6+Parameter!$H$7,Parameter!$H$5+Parameter!$H$6+Parameter!$H$7))-(AO1575-AJ1575))/AJ1575)))</f>
        <v>1</v>
      </c>
      <c r="AQ1575" s="62" t="n">
        <f aca="false">IF(LEFT(Cockpit!$I$5,1)="A",H1575,IF(Parameter!$E$30="MAX-Bestand",IF(CI1575=1,CJ1575,IF(LEFT(Cockpit!$I$5,1)="B",AW1575,MAX(AW1575,H1575))),ROUNDUP(AU1575,0)))</f>
        <v>171</v>
      </c>
      <c r="AR1575" s="62" t="n">
        <f aca="false">IF(CA1575=1,0,ROUNDUP(AQ1575/BZ1575,0))</f>
        <v>1</v>
      </c>
      <c r="AS1575" s="64" t="n">
        <f aca="false">IF(CR1575&gt;0,CR1575*MAX(1,AQ1575/X1575),IF(CA1575=1,IF(AQ1575&lt;=0,0,CE1575*MAX(1,IF(H1575&gt;0,AQ1575/H1575,1))),IF(R1575&gt;0,AR1575/R1575,0))/MAX(0.1,N(Parameter!$M$21)))</f>
        <v>0.0384615384615385</v>
      </c>
      <c r="AT1575" s="62" t="n">
        <f aca="false">AS1575*CC1575</f>
        <v>5.96153846153846</v>
      </c>
      <c r="AU1575" s="63" t="n">
        <f aca="false">IF(LEFT(Cockpit!$I$5,1)="A",H1575,IF(CI1575=1,(CL1575+CJ1575)/2,IF(LEFT(Cockpit!$I$5,1)="B",(CL1575+AW1575)/2,MAX((CL1575+AW1575)/2,H1575))))</f>
        <v>171</v>
      </c>
      <c r="AV1575" s="62" t="n">
        <f aca="false">AU1575*G1575</f>
        <v>5.13</v>
      </c>
      <c r="AW1575" s="62" t="n">
        <f aca="false">ROUNDUP(CL1575+MAX(CM1575,2*(J1575/IF(CH1575&gt;0,CH1575,MAX(0.1,N(Cockpit!$I$6)))-CL1575)),0)</f>
        <v>100</v>
      </c>
      <c r="AX1575" s="63" t="n">
        <f aca="false">IF(AT1575&gt;0,J1575/AT1575,-1)</f>
        <v>0</v>
      </c>
      <c r="AY1575" s="63" t="n">
        <f aca="false">IF(AND(OR(CG1575="L1",CG1575="L23",CG1575="LIFT"),AT1575&gt;0),SUMIFS($AT$7:$AT$1843,$CG$7:$CG$1843,CG1575,$AX$7:$AX$1843,"&gt;"&amp;AX1575)+SUMIFS($AT$7:$AT$1843,$CG$7:$CG$1843,CG1575,$AX$7:$AX$1843,AX1575,$BX$7:$BX$1843,"&lt;="&amp;BX1575),"")</f>
        <v>36704.6196503591</v>
      </c>
      <c r="AZ1575" s="70" t="n">
        <f aca="false">IF(AY1575="",0,MAX(0,MIN(1,(IF(CG1575="L1",Parameter!$H$5,IF(CG1575="L23",Parameter!$H$6+Parameter!$H$7,Parameter!$H$5+Parameter!$H$6+Parameter!$H$7))-(AY1575-AT1575))/AT1575)))</f>
        <v>0</v>
      </c>
      <c r="BA1575" s="62" t="n">
        <f aca="false">IF(LEFT(Cockpit!$O$5,1)="A",H1575,IF(Parameter!$E$30="MAX-Bestand",IF(CI1575=1,CJ1575,IF(LEFT(Cockpit!$O$5,1)="B",BG1575,MAX(BG1575,H1575))),ROUNDUP(BE1575,0)))</f>
        <v>50</v>
      </c>
      <c r="BB1575" s="62" t="n">
        <f aca="false">IF(CA1575=1,0,ROUNDUP(BA1575/BZ1575,0))</f>
        <v>1</v>
      </c>
      <c r="BC1575" s="64" t="n">
        <f aca="false">IF(CR1575&gt;0,CR1575*MAX(1,BA1575/X1575),IF(CA1575=1,IF(BA1575&lt;=0,0,CE1575*MAX(1,IF(H1575&gt;0,BA1575/H1575,1))),IF(R1575&gt;0,BB1575/R1575,0))/MAX(0.1,N(Parameter!$M$21)))</f>
        <v>0.0384615384615385</v>
      </c>
      <c r="BD1575" s="62" t="n">
        <f aca="false">BC1575*CC1575</f>
        <v>5.96153846153846</v>
      </c>
      <c r="BE1575" s="63" t="n">
        <f aca="false">IF(LEFT(Cockpit!$O$5,1)="A",H1575,IF(CI1575=1,(CL1575+CJ1575)/2,IF(LEFT(Cockpit!$O$5,1)="B",(CL1575+BG1575)/2,MAX((CL1575+BG1575)/2,H1575))))</f>
        <v>50</v>
      </c>
      <c r="BF1575" s="62" t="n">
        <f aca="false">BE1575*G1575</f>
        <v>1.5</v>
      </c>
      <c r="BG1575" s="62" t="n">
        <f aca="false">ROUNDUP(CL1575+MAX(CM1575,2*(J1575/IF(CH1575&gt;0,CH1575,MAX(0.1,N(Cockpit!$O$6)))-CL1575)),0)</f>
        <v>100</v>
      </c>
      <c r="BH1575" s="63" t="n">
        <f aca="false">IF(BD1575&gt;0,J1575/BD1575,-1)</f>
        <v>0</v>
      </c>
      <c r="BI1575" s="63" t="n">
        <f aca="false">IF(AND(OR(CG1575="L1",CG1575="L23",CG1575="LIFT"),BD1575&gt;0),SUMIFS($BD$7:$BD$1843,$CG$7:$CG$1843,CG1575,$BH$7:$BH$1843,"&gt;"&amp;BH1575)+SUMIFS($BD$7:$BD$1843,$CG$7:$CG$1843,CG1575,$BH$7:$BH$1843,BH1575,$BX$7:$BX$1843,"&lt;="&amp;BX1575),"")</f>
        <v>30614.0609258914</v>
      </c>
      <c r="BJ1575" s="70" t="n">
        <f aca="false">IF(BI1575="",0,MAX(0,MIN(1,(IF(CG1575="L1",Parameter!$H$5,IF(CG1575="L23",Parameter!$H$6+Parameter!$H$7,Parameter!$H$5+Parameter!$H$6+Parameter!$H$7))-(BI1575-BD1575))/BD1575)))</f>
        <v>1</v>
      </c>
      <c r="BK1575" s="60" t="str">
        <f aca="false">IF(AJ1575&lt;=0,"",IF(CG1575="Aussen","Aussenlager",IF(CG1575="-","Nicht im Lift",IF(AP1575&gt;=1,"Lift",IF(AP1575&lt;=0,"Aussenlager","teilweise")))))</f>
        <v>Lift</v>
      </c>
      <c r="BL1575" s="60" t="str">
        <f aca="false">IF(AT1575&lt;=0,"",IF(CG1575="Aussen","Aussenlager",IF(CG1575="-","Nicht im Lift",IF(AZ1575&gt;=1,"Lift",IF(AZ1575&lt;=0,"Aussenlager","teilweise")))))</f>
        <v>Aussenlager</v>
      </c>
      <c r="BM1575" s="60" t="str">
        <f aca="false">IF(BD1575&lt;=0,"",IF(CG1575="Aussen","Aussenlager",IF(CG1575="-","Nicht im Lift",IF(BJ1575&gt;=1,"Lift",IF(BJ1575&lt;=0,"Aussenlager","teilweise")))))</f>
        <v>Lift</v>
      </c>
      <c r="BN1575" s="60" t="str">
        <f aca="false">IF(A1575="","",IF(BW1575=1,"Neu; ","")&amp;IF(AND(BW1575=0,BR1575&lt;0),"negativer Bestand (Export "&amp;BR1575&amp;"); ","")&amp;IF(J1575&lt;=0,"Kein Verbrauch; ","")&amp;IF(CR1575&gt;0,"Lift "&amp;W1575&amp;" lt. Liftbericht (Fach "&amp;X1575&amp;" Stk); ",IF(CB1575=1,"Gebinde geschätzt ("&amp;T1575&amp;"); ",IF(CA1575=1,"Lose – Tablare geschätzt; ","")))&amp;IF(H1575&gt;AW1575,"Überbestand "&amp;ROUND(H1575-AW1575,0)&amp;" Stk / CHF "&amp;ROUND((H1575-AW1575)*G1575,0)&amp;"; ","")&amp;IF(AND(CI1575=1,CJ1575&lt;CK1575),"MAX &lt; MB+LG; ","")&amp;IF(AND(CQ1575&gt;0,CP1575*10&gt;CQ1575),"zu hoch für Tablar; ","")&amp;IF(AND(BW1575=0,OR(CI1575=1,AB1575&lt;&gt;"",U1575&lt;&gt;"",V1575&lt;&gt;"",AC1575&lt;&gt;"")),"manuell übersteuert; ","")&amp;IF(AND(CA1575=0,R1575=0),"Gebinde unbekannt / Stellmass fehlt; ","")&amp;IF(AND(CA1575=0,N(V1575)&lt;=0,N(Q1575)&lt;=0),"Menge pro Gebinde fehlt (Ist = 1 Gebinde); ","")&amp;BV1575)</f>
        <v>Kein Verbrauch; Gebinde geschätzt (Klein); Überbestand 71 Stk / CHF 2; Menge pro Gebinde fehlt (Ist = 1 Gebinde); nur im Artikelstamm (Bestand 23.06.2026); Überbestand</v>
      </c>
      <c r="BO1575" s="60"/>
      <c r="BP1575" s="60"/>
      <c r="BQ1575" s="67"/>
      <c r="BR1575" s="62" t="n">
        <v>171</v>
      </c>
      <c r="BS1575" s="62" t="n">
        <v>0</v>
      </c>
      <c r="BT1575" s="61" t="n">
        <v>0</v>
      </c>
      <c r="BU1575" s="62" t="n">
        <v>0</v>
      </c>
      <c r="BV1575" s="60" t="s">
        <v>2614</v>
      </c>
      <c r="BW1575" s="65" t="n">
        <v>0</v>
      </c>
      <c r="BX1575" s="65" t="n">
        <v>1575</v>
      </c>
      <c r="BY1575" s="60" t="str">
        <f aca="false">IF(U1575&lt;&gt;"",UPPER(TRIM(U1575)),IF(CB1575=1,UPPER(VLOOKUP(T1575,Parameter!$I$27:$K$29,2,0)),IF(P1575="","LOSE",P1575)))</f>
        <v>S51</v>
      </c>
      <c r="BZ1575" s="62" t="n">
        <f aca="false">IF(BY1575="LOSE",1,IF(N(V1575)&gt;0,V1575,IF(CB1575=1,MAX(1,N(VLOOKUP(T1575,Parameter!$I$27:$K$29,3,0)),H1575,N(N1575)),IF(N(Q1575)&gt;0,Q1575,MAX(1,H1575)))))</f>
        <v>171</v>
      </c>
      <c r="CA1575" s="65" t="n">
        <f aca="false">IF(BY1575="LOSE",1,0)</f>
        <v>0</v>
      </c>
      <c r="CB1575" s="65" t="n">
        <f aca="false">IF(AND(U1575="",OR(P1575="",P1575="LOSE"),T1575&lt;&gt;"",N(S1575)&lt;=0,ISNUMBER(MATCH(T1575,Parameter!$I$27:$I$29,0))),1,0)</f>
        <v>1</v>
      </c>
      <c r="CC1575" s="65" t="n">
        <f aca="false">IF(CR1575&gt;0,INDEX(Parameter!$H$5:$H$7,W1575)/INDEX(Parameter!$E$5:$E$7,W1575),IF(AND(CA1575=0,N(IFERROR(VLOOKUP(BY1575,'Gebinde-Kategorie'!$A$5:$N$45,14,0),0))&gt;0),VLOOKUP(BY1575,'Gebinde-Kategorie'!$A$5:$N$45,14,0)*10+Parameter!$M$23,Parameter!$M$24))</f>
        <v>155</v>
      </c>
      <c r="CD1575" s="60" t="str">
        <f aca="false">IF(AND(Parameter!$B$19="Ja",E1575&lt;&gt;"",ISNUMBER(MATCH(E1575,Parameter!$I$35:$I$52,0))),VLOOKUP(E1575,Parameter!$I$35:$J$52,2,0),IFERROR(VLOOKUP(D1575,Parameter!$A$35:$C$64,2,0),"Nein"))</f>
        <v>2+3</v>
      </c>
      <c r="CE1575" s="64" t="n">
        <f aca="false">IF(CA1575=0,0,IF(N(S1575)&gt;0,S1575,IFERROR(VLOOKUP(D1575,Parameter!$A$35:$C$64,3,0)+0,0)))</f>
        <v>0</v>
      </c>
      <c r="CF1575" s="60" t="n">
        <f aca="false">IF(AB1575&lt;&gt;"",AB1575,AA1575)</f>
        <v>3</v>
      </c>
      <c r="CG1575" s="60" t="str">
        <f aca="false">IF(OR(CF1575=1,CF1575=2,CF1575=3),IF(Parameter!$E$27="Ja","LIFT",IF(CF1575=1,"L1","L23")),IF(CF1575="Aussen","Aussen","-"))</f>
        <v>LIFT</v>
      </c>
      <c r="CH1575" s="71" t="n">
        <f aca="false">IF(N(AC1575)&gt;0,AC1575,0)</f>
        <v>0</v>
      </c>
      <c r="CI1575" s="65" t="n">
        <f aca="false">IF(ISNUMBER(AF1575),1,0)</f>
        <v>0</v>
      </c>
      <c r="CJ1575" s="62" t="n">
        <f aca="false">N(AF1575)</f>
        <v>0</v>
      </c>
      <c r="CK1575" s="62" t="n">
        <f aca="false">N(M1575)+N(N1575)</f>
        <v>100</v>
      </c>
      <c r="CL1575" s="62" t="n">
        <f aca="false">N(M1575)</f>
        <v>0</v>
      </c>
      <c r="CM1575" s="62" t="n">
        <f aca="false">N(N1575)</f>
        <v>100</v>
      </c>
      <c r="CN1575" s="62" t="n">
        <f aca="false">ROUNDUP(H1575/BZ1575,0)</f>
        <v>1</v>
      </c>
      <c r="CO1575" s="62" t="n">
        <f aca="false">ROUNDUP(CJ1575/BZ1575,0)</f>
        <v>0</v>
      </c>
      <c r="CP1575" s="65" t="n">
        <f aca="false">IF(CA1575=1,0,IFERROR(VLOOKUP(BY1575,'Gebinde-Kategorie'!$A$5:$N$45,5,0)+0,0))</f>
        <v>11</v>
      </c>
      <c r="CQ1575" s="65" t="n">
        <f aca="false">IFERROR(IF(OR(CF1575=1,CF1575=2,CF1575=3),N(INDEX(Parameter!$I$5:$I$7,CF1575)),0),0)</f>
        <v>0</v>
      </c>
      <c r="CR1575" s="64" t="n">
        <f aca="false">IF(AND(Parameter!$B$21="Ja",ISNUMBER(W1575),N(X1575)&gt;0),IFERROR(N(INDEX(Parameter!$L$5:$L$7,W1575))*INDEX(Parameter!$E$5:$E$7,W1575)*X1575/SUMIFS($X$7:$X$1843,$W$7:$W$1843,W1575),0),0)</f>
        <v>0</v>
      </c>
      <c r="CS1575" s="62" t="n">
        <f aca="false">IF(AND(OR(CG1575="L1",CG1575="L23",CG1575="LIFT"),H1575&gt;0),CC1575*IF(CR1575&gt;0,CR1575*MAX(1,H1575/X1575),IF(CA1575=1,CE1575,IF(R1575&gt;0,CN1575/R1575,0))/MAX(0.1,N(Parameter!$M$21))),"")</f>
        <v>5.96153846153846</v>
      </c>
      <c r="CT1575" s="64" t="n">
        <f aca="false">IF(CS1575="","",J1575/H1575)</f>
        <v>0</v>
      </c>
      <c r="CU1575" s="62" t="n">
        <f aca="false">IF(CS1575="","",H1575*G1575)</f>
        <v>5.13</v>
      </c>
      <c r="CV1575" s="63" t="n">
        <f aca="false">IF(CS1575="","",(CL1575+ROUNDUP(CL1575+MAX(CM1575,2*(J1575/MAX(0.1,N(Einkauf!$C$6))-CL1575)),0))/2)</f>
        <v>50</v>
      </c>
      <c r="CW1575" s="62" t="n">
        <f aca="false">IF(CS1575="","",MAX(0,H1575-CV1575)*G1575)</f>
        <v>3.63</v>
      </c>
      <c r="CX1575" s="62" t="n">
        <f aca="false">IF(CS1575="","",CS1575*MAX(0,1-CV1575/H1575))</f>
        <v>4.21839856050382</v>
      </c>
      <c r="CY1575" s="64" t="n">
        <f aca="false">IF(CS1575="","",PERCENTRANK($CS$7:$CS$1843,CS1575)+PERCENTRANK($CU$7:$CU$1843,CU1575)+1-PERCENTRANK($CT$7:$CT$1843,CT1575))</f>
        <v>1.382</v>
      </c>
      <c r="CZ1575" s="72" t="n">
        <f aca="false">IF(CS1575="","",CHOOSE(MATCH(Einkauf!$C$5,Parameter!$G$23:$G$27,0),CY1575,CS1575,CU1575,-CT1575,CW1575)+ROW()/1000000000)</f>
        <v>1.382001575</v>
      </c>
    </row>
    <row r="1576" customFormat="false" ht="15" hidden="false" customHeight="false" outlineLevel="0" collapsed="false">
      <c r="A1576" s="60" t="s">
        <v>2794</v>
      </c>
      <c r="B1576" s="60" t="s">
        <v>2795</v>
      </c>
      <c r="C1576" s="60" t="s">
        <v>206</v>
      </c>
      <c r="D1576" s="60" t="s">
        <v>226</v>
      </c>
      <c r="E1576" s="60"/>
      <c r="F1576" s="60"/>
      <c r="G1576" s="61" t="n">
        <v>2.05</v>
      </c>
      <c r="H1576" s="62" t="n">
        <f aca="false">MAX(0,IF(AND(Parameter!$B$21="Ja",ISNUMBER(Y1576)),Y1576,IF(Parameter!$B$20="Jahresanfang 2025 + Export",BS1576+BR1576,BR1576)))</f>
        <v>24</v>
      </c>
      <c r="I1576" s="62" t="n">
        <f aca="false">H1576*G1576</f>
        <v>49.2</v>
      </c>
      <c r="J1576" s="62" t="n">
        <f aca="false">BU1576*Parameter!$B$18</f>
        <v>0</v>
      </c>
      <c r="K1576" s="63"/>
      <c r="L1576" s="64"/>
      <c r="M1576" s="62" t="n">
        <v>0</v>
      </c>
      <c r="N1576" s="62" t="n">
        <v>20</v>
      </c>
      <c r="O1576" s="65" t="n">
        <v>0</v>
      </c>
      <c r="P1576" s="60" t="s">
        <v>210</v>
      </c>
      <c r="Q1576" s="62"/>
      <c r="R1576" s="65" t="n">
        <f aca="false">IF(CA1576=1,0,IFERROR(VLOOKUP(BY1576,'Gebinde-Kategorie'!$A$5:$N$45,13,0)+0,0))</f>
        <v>12</v>
      </c>
      <c r="S1576" s="66"/>
      <c r="T1576" s="67" t="s">
        <v>221</v>
      </c>
      <c r="U1576" s="67"/>
      <c r="V1576" s="67"/>
      <c r="W1576" s="60"/>
      <c r="X1576" s="62"/>
      <c r="Y1576" s="62"/>
      <c r="Z1576" s="60" t="n">
        <v>3</v>
      </c>
      <c r="AA1576" s="60" t="n">
        <f aca="false">IF(A1576="","",IF(AND(Parameter!$B$21="Ja",ISNUMBER(W1576)),W1576,IF(AND(Parameter!$E$27="Ja",ISNUMBER(Z1576),CD1576&lt;&gt;"Nein"),Z1576,IF(CD1576="2+3",IF(ISNUMBER(SEARCH("grosser Artikel",BV1576)),2,IFERROR(VLOOKUP(BY1576,Parameter!$F$35:$G$64,2,0),2)),IF(OR(CD1576="Nein",CD1576=""),"-",CD1576)))))</f>
        <v>3</v>
      </c>
      <c r="AB1576" s="67"/>
      <c r="AC1576" s="68"/>
      <c r="AD1576" s="62" t="n">
        <f aca="false">AW1576</f>
        <v>20</v>
      </c>
      <c r="AE1576" s="62" t="n">
        <f aca="false">MAX(AW1576,H1576)</f>
        <v>24</v>
      </c>
      <c r="AF1576" s="69"/>
      <c r="AG1576" s="62" t="n">
        <f aca="false">IF(LEFT(Cockpit!$C$5,1)="A",H1576,IF(Parameter!$E$30="MAX-Bestand",IF(CI1576=1,CJ1576,IF(LEFT(Cockpit!$C$5,1)="B",AM1576,MAX(AM1576,H1576))),ROUNDUP(AK1576,0)))</f>
        <v>24</v>
      </c>
      <c r="AH1576" s="62" t="n">
        <f aca="false">IF(CA1576=1,0,ROUNDUP(AG1576/BZ1576,0))</f>
        <v>1</v>
      </c>
      <c r="AI1576" s="64" t="n">
        <f aca="false">IF(CR1576&gt;0,CR1576*MAX(1,AG1576/X1576),IF(CA1576=1,IF(AG1576&lt;=0,0,CE1576*MAX(1,IF(H1576&gt;0,AG1576/H1576,1))),IF(R1576&gt;0,AH1576/R1576,0))/MAX(0.1,N(Parameter!$M$21)))</f>
        <v>0.0833333333333333</v>
      </c>
      <c r="AJ1576" s="62" t="n">
        <f aca="false">AI1576*CC1576</f>
        <v>12.0833333333333</v>
      </c>
      <c r="AK1576" s="63" t="n">
        <f aca="false">IF(LEFT(Cockpit!$C$5,1)="A",H1576,IF(CI1576=1,(CL1576+CJ1576)/2,IF(LEFT(Cockpit!$C$5,1)="B",(CL1576+AM1576)/2,MAX((CL1576+AM1576)/2,H1576))))</f>
        <v>24</v>
      </c>
      <c r="AL1576" s="62" t="n">
        <f aca="false">AK1576*G1576</f>
        <v>49.2</v>
      </c>
      <c r="AM1576" s="62" t="n">
        <f aca="false">ROUNDUP(CL1576+MAX(CM1576,2*(J1576/IF(CH1576&gt;0,CH1576,MAX(0.1,N(Cockpit!$C$6)))-CL1576)),0)</f>
        <v>20</v>
      </c>
      <c r="AN1576" s="63" t="n">
        <f aca="false">IF(AJ1576&gt;0,J1576/AJ1576,-1)</f>
        <v>0</v>
      </c>
      <c r="AO1576" s="63" t="n">
        <f aca="false">IF(AND(OR(CG1576="L1",CG1576="L23",CG1576="LIFT"),AJ1576&gt;0),SUMIFS($AJ$7:$AJ$1843,$CG$7:$CG$1843,CG1576,$AN$7:$AN$1843,"&gt;"&amp;AN1576)+SUMIFS($AJ$7:$AJ$1843,$CG$7:$CG$1843,CG1576,$AN$7:$AN$1843,AN1576,$BX$7:$BX$1843,"&lt;="&amp;BX1576),"")</f>
        <v>30396.8464668571</v>
      </c>
      <c r="AP1576" s="70" t="n">
        <f aca="false">IF(AO1576="",0,MAX(0,MIN(1,(IF(CG1576="L1",Parameter!$H$5,IF(CG1576="L23",Parameter!$H$6+Parameter!$H$7,Parameter!$H$5+Parameter!$H$6+Parameter!$H$7))-(AO1576-AJ1576))/AJ1576)))</f>
        <v>1</v>
      </c>
      <c r="AQ1576" s="62" t="n">
        <f aca="false">IF(LEFT(Cockpit!$I$5,1)="A",H1576,IF(Parameter!$E$30="MAX-Bestand",IF(CI1576=1,CJ1576,IF(LEFT(Cockpit!$I$5,1)="B",AW1576,MAX(AW1576,H1576))),ROUNDUP(AU1576,0)))</f>
        <v>24</v>
      </c>
      <c r="AR1576" s="62" t="n">
        <f aca="false">IF(CA1576=1,0,ROUNDUP(AQ1576/BZ1576,0))</f>
        <v>1</v>
      </c>
      <c r="AS1576" s="64" t="n">
        <f aca="false">IF(CR1576&gt;0,CR1576*MAX(1,AQ1576/X1576),IF(CA1576=1,IF(AQ1576&lt;=0,0,CE1576*MAX(1,IF(H1576&gt;0,AQ1576/H1576,1))),IF(R1576&gt;0,AR1576/R1576,0))/MAX(0.1,N(Parameter!$M$21)))</f>
        <v>0.0833333333333333</v>
      </c>
      <c r="AT1576" s="62" t="n">
        <f aca="false">AS1576*CC1576</f>
        <v>12.0833333333333</v>
      </c>
      <c r="AU1576" s="63" t="n">
        <f aca="false">IF(LEFT(Cockpit!$I$5,1)="A",H1576,IF(CI1576=1,(CL1576+CJ1576)/2,IF(LEFT(Cockpit!$I$5,1)="B",(CL1576+AW1576)/2,MAX((CL1576+AW1576)/2,H1576))))</f>
        <v>24</v>
      </c>
      <c r="AV1576" s="62" t="n">
        <f aca="false">AU1576*G1576</f>
        <v>49.2</v>
      </c>
      <c r="AW1576" s="62" t="n">
        <f aca="false">ROUNDUP(CL1576+MAX(CM1576,2*(J1576/IF(CH1576&gt;0,CH1576,MAX(0.1,N(Cockpit!$I$6)))-CL1576)),0)</f>
        <v>20</v>
      </c>
      <c r="AX1576" s="63" t="n">
        <f aca="false">IF(AT1576&gt;0,J1576/AT1576,-1)</f>
        <v>0</v>
      </c>
      <c r="AY1576" s="63" t="n">
        <f aca="false">IF(AND(OR(CG1576="L1",CG1576="L23",CG1576="LIFT"),AT1576&gt;0),SUMIFS($AT$7:$AT$1843,$CG$7:$CG$1843,CG1576,$AX$7:$AX$1843,"&gt;"&amp;AX1576)+SUMIFS($AT$7:$AT$1843,$CG$7:$CG$1843,CG1576,$AX$7:$AX$1843,AX1576,$BX$7:$BX$1843,"&lt;="&amp;BX1576),"")</f>
        <v>36716.7029836924</v>
      </c>
      <c r="AZ1576" s="70" t="n">
        <f aca="false">IF(AY1576="",0,MAX(0,MIN(1,(IF(CG1576="L1",Parameter!$H$5,IF(CG1576="L23",Parameter!$H$6+Parameter!$H$7,Parameter!$H$5+Parameter!$H$6+Parameter!$H$7))-(AY1576-AT1576))/AT1576)))</f>
        <v>0</v>
      </c>
      <c r="BA1576" s="62" t="n">
        <f aca="false">IF(LEFT(Cockpit!$O$5,1)="A",H1576,IF(Parameter!$E$30="MAX-Bestand",IF(CI1576=1,CJ1576,IF(LEFT(Cockpit!$O$5,1)="B",BG1576,MAX(BG1576,H1576))),ROUNDUP(BE1576,0)))</f>
        <v>10</v>
      </c>
      <c r="BB1576" s="62" t="n">
        <f aca="false">IF(CA1576=1,0,ROUNDUP(BA1576/BZ1576,0))</f>
        <v>1</v>
      </c>
      <c r="BC1576" s="64" t="n">
        <f aca="false">IF(CR1576&gt;0,CR1576*MAX(1,BA1576/X1576),IF(CA1576=1,IF(BA1576&lt;=0,0,CE1576*MAX(1,IF(H1576&gt;0,BA1576/H1576,1))),IF(R1576&gt;0,BB1576/R1576,0))/MAX(0.1,N(Parameter!$M$21)))</f>
        <v>0.0833333333333333</v>
      </c>
      <c r="BD1576" s="62" t="n">
        <f aca="false">BC1576*CC1576</f>
        <v>12.0833333333333</v>
      </c>
      <c r="BE1576" s="63" t="n">
        <f aca="false">IF(LEFT(Cockpit!$O$5,1)="A",H1576,IF(CI1576=1,(CL1576+CJ1576)/2,IF(LEFT(Cockpit!$O$5,1)="B",(CL1576+BG1576)/2,MAX((CL1576+BG1576)/2,H1576))))</f>
        <v>10</v>
      </c>
      <c r="BF1576" s="62" t="n">
        <f aca="false">BE1576*G1576</f>
        <v>20.5</v>
      </c>
      <c r="BG1576" s="62" t="n">
        <f aca="false">ROUNDUP(CL1576+MAX(CM1576,2*(J1576/IF(CH1576&gt;0,CH1576,MAX(0.1,N(Cockpit!$O$6)))-CL1576)),0)</f>
        <v>20</v>
      </c>
      <c r="BH1576" s="63" t="n">
        <f aca="false">IF(BD1576&gt;0,J1576/BD1576,-1)</f>
        <v>0</v>
      </c>
      <c r="BI1576" s="63" t="n">
        <f aca="false">IF(AND(OR(CG1576="L1",CG1576="L23",CG1576="LIFT"),BD1576&gt;0),SUMIFS($BD$7:$BD$1843,$CG$7:$CG$1843,CG1576,$BH$7:$BH$1843,"&gt;"&amp;BH1576)+SUMIFS($BD$7:$BD$1843,$CG$7:$CG$1843,CG1576,$BH$7:$BH$1843,BH1576,$BX$7:$BX$1843,"&lt;="&amp;BX1576),"")</f>
        <v>30626.1442592248</v>
      </c>
      <c r="BJ1576" s="70" t="n">
        <f aca="false">IF(BI1576="",0,MAX(0,MIN(1,(IF(CG1576="L1",Parameter!$H$5,IF(CG1576="L23",Parameter!$H$6+Parameter!$H$7,Parameter!$H$5+Parameter!$H$6+Parameter!$H$7))-(BI1576-BD1576))/BD1576)))</f>
        <v>1</v>
      </c>
      <c r="BK1576" s="60" t="str">
        <f aca="false">IF(AJ1576&lt;=0,"",IF(CG1576="Aussen","Aussenlager",IF(CG1576="-","Nicht im Lift",IF(AP1576&gt;=1,"Lift",IF(AP1576&lt;=0,"Aussenlager","teilweise")))))</f>
        <v>Lift</v>
      </c>
      <c r="BL1576" s="60" t="str">
        <f aca="false">IF(AT1576&lt;=0,"",IF(CG1576="Aussen","Aussenlager",IF(CG1576="-","Nicht im Lift",IF(AZ1576&gt;=1,"Lift",IF(AZ1576&lt;=0,"Aussenlager","teilweise")))))</f>
        <v>Aussenlager</v>
      </c>
      <c r="BM1576" s="60" t="str">
        <f aca="false">IF(BD1576&lt;=0,"",IF(CG1576="Aussen","Aussenlager",IF(CG1576="-","Nicht im Lift",IF(BJ1576&gt;=1,"Lift",IF(BJ1576&lt;=0,"Aussenlager","teilweise")))))</f>
        <v>Lift</v>
      </c>
      <c r="BN1576" s="60" t="str">
        <f aca="false">IF(A1576="","",IF(BW1576=1,"Neu; ","")&amp;IF(AND(BW1576=0,BR1576&lt;0),"negativer Bestand (Export "&amp;BR1576&amp;"); ","")&amp;IF(J1576&lt;=0,"Kein Verbrauch; ","")&amp;IF(CR1576&gt;0,"Lift "&amp;W1576&amp;" lt. Liftbericht (Fach "&amp;X1576&amp;" Stk); ",IF(CB1576=1,"Gebinde geschätzt ("&amp;T1576&amp;"); ",IF(CA1576=1,"Lose – Tablare geschätzt; ","")))&amp;IF(H1576&gt;AW1576,"Überbestand "&amp;ROUND(H1576-AW1576,0)&amp;" Stk / CHF "&amp;ROUND((H1576-AW1576)*G1576,0)&amp;"; ","")&amp;IF(AND(CI1576=1,CJ1576&lt;CK1576),"MAX &lt; MB+LG; ","")&amp;IF(AND(CQ1576&gt;0,CP1576*10&gt;CQ1576),"zu hoch für Tablar; ","")&amp;IF(AND(BW1576=0,OR(CI1576=1,AB1576&lt;&gt;"",U1576&lt;&gt;"",V1576&lt;&gt;"",AC1576&lt;&gt;"")),"manuell übersteuert; ","")&amp;IF(AND(CA1576=0,R1576=0),"Gebinde unbekannt / Stellmass fehlt; ","")&amp;IF(AND(CA1576=0,N(V1576)&lt;=0,N(Q1576)&lt;=0),"Menge pro Gebinde fehlt (Ist = 1 Gebinde); ","")&amp;BV1576)</f>
        <v>Kein Verbrauch; Gebinde geschätzt (Mittel); Überbestand 4 Stk / CHF 8; Menge pro Gebinde fehlt (Ist = 1 Gebinde); nur im Artikelstamm (Bestand 23.06.2026)</v>
      </c>
      <c r="BO1576" s="60"/>
      <c r="BP1576" s="60"/>
      <c r="BQ1576" s="67"/>
      <c r="BR1576" s="62" t="n">
        <v>24</v>
      </c>
      <c r="BS1576" s="62" t="n">
        <v>0</v>
      </c>
      <c r="BT1576" s="61" t="n">
        <v>0</v>
      </c>
      <c r="BU1576" s="62" t="n">
        <v>0</v>
      </c>
      <c r="BV1576" s="60" t="s">
        <v>2617</v>
      </c>
      <c r="BW1576" s="65" t="n">
        <v>0</v>
      </c>
      <c r="BX1576" s="65" t="n">
        <v>1576</v>
      </c>
      <c r="BY1576" s="60" t="str">
        <f aca="false">IF(U1576&lt;&gt;"",UPPER(TRIM(U1576)),IF(CB1576=1,UPPER(VLOOKUP(T1576,Parameter!$I$27:$K$29,2,0)),IF(P1576="","LOSE",P1576)))</f>
        <v>S61</v>
      </c>
      <c r="BZ1576" s="62" t="n">
        <f aca="false">IF(BY1576="LOSE",1,IF(N(V1576)&gt;0,V1576,IF(CB1576=1,MAX(1,N(VLOOKUP(T1576,Parameter!$I$27:$K$29,3,0)),H1576,N(N1576)),IF(N(Q1576)&gt;0,Q1576,MAX(1,H1576)))))</f>
        <v>24</v>
      </c>
      <c r="CA1576" s="65" t="n">
        <f aca="false">IF(BY1576="LOSE",1,0)</f>
        <v>0</v>
      </c>
      <c r="CB1576" s="65" t="n">
        <f aca="false">IF(AND(U1576="",OR(P1576="",P1576="LOSE"),T1576&lt;&gt;"",N(S1576)&lt;=0,ISNUMBER(MATCH(T1576,Parameter!$I$27:$I$29,0))),1,0)</f>
        <v>1</v>
      </c>
      <c r="CC1576" s="65" t="n">
        <f aca="false">IF(CR1576&gt;0,INDEX(Parameter!$H$5:$H$7,W1576)/INDEX(Parameter!$E$5:$E$7,W1576),IF(AND(CA1576=0,N(IFERROR(VLOOKUP(BY1576,'Gebinde-Kategorie'!$A$5:$N$45,14,0),0))&gt;0),VLOOKUP(BY1576,'Gebinde-Kategorie'!$A$5:$N$45,14,0)*10+Parameter!$M$23,Parameter!$M$24))</f>
        <v>145</v>
      </c>
      <c r="CD1576" s="60" t="str">
        <f aca="false">IF(AND(Parameter!$B$19="Ja",E1576&lt;&gt;"",ISNUMBER(MATCH(E1576,Parameter!$I$35:$I$52,0))),VLOOKUP(E1576,Parameter!$I$35:$J$52,2,0),IFERROR(VLOOKUP(D1576,Parameter!$A$35:$C$64,2,0),"Nein"))</f>
        <v>2+3</v>
      </c>
      <c r="CE1576" s="64" t="n">
        <f aca="false">IF(CA1576=0,0,IF(N(S1576)&gt;0,S1576,IFERROR(VLOOKUP(D1576,Parameter!$A$35:$C$64,3,0)+0,0)))</f>
        <v>0</v>
      </c>
      <c r="CF1576" s="60" t="n">
        <f aca="false">IF(AB1576&lt;&gt;"",AB1576,AA1576)</f>
        <v>3</v>
      </c>
      <c r="CG1576" s="60" t="str">
        <f aca="false">IF(OR(CF1576=1,CF1576=2,CF1576=3),IF(Parameter!$E$27="Ja","LIFT",IF(CF1576=1,"L1","L23")),IF(CF1576="Aussen","Aussen","-"))</f>
        <v>LIFT</v>
      </c>
      <c r="CH1576" s="71" t="n">
        <f aca="false">IF(N(AC1576)&gt;0,AC1576,0)</f>
        <v>0</v>
      </c>
      <c r="CI1576" s="65" t="n">
        <f aca="false">IF(ISNUMBER(AF1576),1,0)</f>
        <v>0</v>
      </c>
      <c r="CJ1576" s="62" t="n">
        <f aca="false">N(AF1576)</f>
        <v>0</v>
      </c>
      <c r="CK1576" s="62" t="n">
        <f aca="false">N(M1576)+N(N1576)</f>
        <v>20</v>
      </c>
      <c r="CL1576" s="62" t="n">
        <f aca="false">N(M1576)</f>
        <v>0</v>
      </c>
      <c r="CM1576" s="62" t="n">
        <f aca="false">N(N1576)</f>
        <v>20</v>
      </c>
      <c r="CN1576" s="62" t="n">
        <f aca="false">ROUNDUP(H1576/BZ1576,0)</f>
        <v>1</v>
      </c>
      <c r="CO1576" s="62" t="n">
        <f aca="false">ROUNDUP(CJ1576/BZ1576,0)</f>
        <v>0</v>
      </c>
      <c r="CP1576" s="65" t="n">
        <f aca="false">IF(CA1576=1,0,IFERROR(VLOOKUP(BY1576,'Gebinde-Kategorie'!$A$5:$N$45,5,0)+0,0))</f>
        <v>11</v>
      </c>
      <c r="CQ1576" s="65" t="n">
        <f aca="false">IFERROR(IF(OR(CF1576=1,CF1576=2,CF1576=3),N(INDEX(Parameter!$I$5:$I$7,CF1576)),0),0)</f>
        <v>0</v>
      </c>
      <c r="CR1576" s="64" t="n">
        <f aca="false">IF(AND(Parameter!$B$21="Ja",ISNUMBER(W1576),N(X1576)&gt;0),IFERROR(N(INDEX(Parameter!$L$5:$L$7,W1576))*INDEX(Parameter!$E$5:$E$7,W1576)*X1576/SUMIFS($X$7:$X$1843,$W$7:$W$1843,W1576),0),0)</f>
        <v>0</v>
      </c>
      <c r="CS1576" s="62" t="n">
        <f aca="false">IF(AND(OR(CG1576="L1",CG1576="L23",CG1576="LIFT"),H1576&gt;0),CC1576*IF(CR1576&gt;0,CR1576*MAX(1,H1576/X1576),IF(CA1576=1,CE1576,IF(R1576&gt;0,CN1576/R1576,0))/MAX(0.1,N(Parameter!$M$21))),"")</f>
        <v>12.0833333333333</v>
      </c>
      <c r="CT1576" s="64" t="n">
        <f aca="false">IF(CS1576="","",J1576/H1576)</f>
        <v>0</v>
      </c>
      <c r="CU1576" s="62" t="n">
        <f aca="false">IF(CS1576="","",H1576*G1576)</f>
        <v>49.2</v>
      </c>
      <c r="CV1576" s="63" t="n">
        <f aca="false">IF(CS1576="","",(CL1576+ROUNDUP(CL1576+MAX(CM1576,2*(J1576/MAX(0.1,N(Einkauf!$C$6))-CL1576)),0))/2)</f>
        <v>10</v>
      </c>
      <c r="CW1576" s="62" t="n">
        <f aca="false">IF(CS1576="","",MAX(0,H1576-CV1576)*G1576)</f>
        <v>28.7</v>
      </c>
      <c r="CX1576" s="62" t="n">
        <f aca="false">IF(CS1576="","",CS1576*MAX(0,1-CV1576/H1576))</f>
        <v>7.04861111111111</v>
      </c>
      <c r="CY1576" s="64" t="n">
        <f aca="false">IF(CS1576="","",PERCENTRANK($CS$7:$CS$1843,CS1576)+PERCENTRANK($CU$7:$CU$1843,CU1576)+1-PERCENTRANK($CT$7:$CT$1843,CT1576))</f>
        <v>1.809</v>
      </c>
      <c r="CZ1576" s="72" t="n">
        <f aca="false">IF(CS1576="","",CHOOSE(MATCH(Einkauf!$C$5,Parameter!$G$23:$G$27,0),CY1576,CS1576,CU1576,-CT1576,CW1576)+ROW()/1000000000)</f>
        <v>1.809001576</v>
      </c>
    </row>
    <row r="1577" customFormat="false" ht="15" hidden="false" customHeight="false" outlineLevel="0" collapsed="false">
      <c r="A1577" s="60" t="s">
        <v>2796</v>
      </c>
      <c r="B1577" s="60" t="s">
        <v>2797</v>
      </c>
      <c r="C1577" s="60" t="s">
        <v>206</v>
      </c>
      <c r="D1577" s="60" t="s">
        <v>215</v>
      </c>
      <c r="E1577" s="60" t="s">
        <v>227</v>
      </c>
      <c r="F1577" s="60"/>
      <c r="G1577" s="61" t="n">
        <v>1.52</v>
      </c>
      <c r="H1577" s="62" t="n">
        <f aca="false">MAX(0,IF(AND(Parameter!$B$21="Ja",ISNUMBER(Y1577)),Y1577,IF(Parameter!$B$20="Jahresanfang 2025 + Export",BS1577+BR1577,BR1577)))</f>
        <v>1150</v>
      </c>
      <c r="I1577" s="62" t="n">
        <f aca="false">H1577*G1577</f>
        <v>1748</v>
      </c>
      <c r="J1577" s="62" t="n">
        <f aca="false">BU1577*Parameter!$B$18</f>
        <v>0</v>
      </c>
      <c r="K1577" s="63"/>
      <c r="L1577" s="64"/>
      <c r="M1577" s="62" t="n">
        <v>0</v>
      </c>
      <c r="N1577" s="62" t="n">
        <v>1000</v>
      </c>
      <c r="O1577" s="65" t="n">
        <v>42</v>
      </c>
      <c r="P1577" s="60" t="s">
        <v>210</v>
      </c>
      <c r="Q1577" s="62"/>
      <c r="R1577" s="65" t="n">
        <f aca="false">IF(CA1577=1,0,IFERROR(VLOOKUP(BY1577,'Gebinde-Kategorie'!$A$5:$N$45,13,0)+0,0))</f>
        <v>12</v>
      </c>
      <c r="S1577" s="66"/>
      <c r="T1577" s="67" t="s">
        <v>221</v>
      </c>
      <c r="U1577" s="67"/>
      <c r="V1577" s="67"/>
      <c r="W1577" s="60"/>
      <c r="X1577" s="62"/>
      <c r="Y1577" s="62"/>
      <c r="Z1577" s="60" t="n">
        <v>3</v>
      </c>
      <c r="AA1577" s="60" t="n">
        <f aca="false">IF(A1577="","",IF(AND(Parameter!$B$21="Ja",ISNUMBER(W1577)),W1577,IF(AND(Parameter!$E$27="Ja",ISNUMBER(Z1577),CD1577&lt;&gt;"Nein"),Z1577,IF(CD1577="2+3",IF(ISNUMBER(SEARCH("grosser Artikel",BV1577)),2,IFERROR(VLOOKUP(BY1577,Parameter!$F$35:$G$64,2,0),2)),IF(OR(CD1577="Nein",CD1577=""),"-",CD1577)))))</f>
        <v>3</v>
      </c>
      <c r="AB1577" s="67"/>
      <c r="AC1577" s="68"/>
      <c r="AD1577" s="62" t="n">
        <f aca="false">AW1577</f>
        <v>1000</v>
      </c>
      <c r="AE1577" s="62" t="n">
        <f aca="false">MAX(AW1577,H1577)</f>
        <v>1150</v>
      </c>
      <c r="AF1577" s="69"/>
      <c r="AG1577" s="62" t="n">
        <f aca="false">IF(LEFT(Cockpit!$C$5,1)="A",H1577,IF(Parameter!$E$30="MAX-Bestand",IF(CI1577=1,CJ1577,IF(LEFT(Cockpit!$C$5,1)="B",AM1577,MAX(AM1577,H1577))),ROUNDUP(AK1577,0)))</f>
        <v>1150</v>
      </c>
      <c r="AH1577" s="62" t="n">
        <f aca="false">IF(CA1577=1,0,ROUNDUP(AG1577/BZ1577,0))</f>
        <v>1</v>
      </c>
      <c r="AI1577" s="64" t="n">
        <f aca="false">IF(CR1577&gt;0,CR1577*MAX(1,AG1577/X1577),IF(CA1577=1,IF(AG1577&lt;=0,0,CE1577*MAX(1,IF(H1577&gt;0,AG1577/H1577,1))),IF(R1577&gt;0,AH1577/R1577,0))/MAX(0.1,N(Parameter!$M$21)))</f>
        <v>0.0833333333333333</v>
      </c>
      <c r="AJ1577" s="62" t="n">
        <f aca="false">AI1577*CC1577</f>
        <v>12.0833333333333</v>
      </c>
      <c r="AK1577" s="63" t="n">
        <f aca="false">IF(LEFT(Cockpit!$C$5,1)="A",H1577,IF(CI1577=1,(CL1577+CJ1577)/2,IF(LEFT(Cockpit!$C$5,1)="B",(CL1577+AM1577)/2,MAX((CL1577+AM1577)/2,H1577))))</f>
        <v>1150</v>
      </c>
      <c r="AL1577" s="62" t="n">
        <f aca="false">AK1577*G1577</f>
        <v>1748</v>
      </c>
      <c r="AM1577" s="62" t="n">
        <f aca="false">ROUNDUP(CL1577+MAX(CM1577,2*(J1577/IF(CH1577&gt;0,CH1577,MAX(0.1,N(Cockpit!$C$6)))-CL1577)),0)</f>
        <v>1000</v>
      </c>
      <c r="AN1577" s="63" t="n">
        <f aca="false">IF(AJ1577&gt;0,J1577/AJ1577,-1)</f>
        <v>0</v>
      </c>
      <c r="AO1577" s="63" t="n">
        <f aca="false">IF(AND(OR(CG1577="L1",CG1577="L23",CG1577="LIFT"),AJ1577&gt;0),SUMIFS($AJ$7:$AJ$1843,$CG$7:$CG$1843,CG1577,$AN$7:$AN$1843,"&gt;"&amp;AN1577)+SUMIFS($AJ$7:$AJ$1843,$CG$7:$CG$1843,CG1577,$AN$7:$AN$1843,AN1577,$BX$7:$BX$1843,"&lt;="&amp;BX1577),"")</f>
        <v>30408.9298001904</v>
      </c>
      <c r="AP1577" s="70" t="n">
        <f aca="false">IF(AO1577="",0,MAX(0,MIN(1,(IF(CG1577="L1",Parameter!$H$5,IF(CG1577="L23",Parameter!$H$6+Parameter!$H$7,Parameter!$H$5+Parameter!$H$6+Parameter!$H$7))-(AO1577-AJ1577))/AJ1577)))</f>
        <v>1</v>
      </c>
      <c r="AQ1577" s="62" t="n">
        <f aca="false">IF(LEFT(Cockpit!$I$5,1)="A",H1577,IF(Parameter!$E$30="MAX-Bestand",IF(CI1577=1,CJ1577,IF(LEFT(Cockpit!$I$5,1)="B",AW1577,MAX(AW1577,H1577))),ROUNDUP(AU1577,0)))</f>
        <v>1150</v>
      </c>
      <c r="AR1577" s="62" t="n">
        <f aca="false">IF(CA1577=1,0,ROUNDUP(AQ1577/BZ1577,0))</f>
        <v>1</v>
      </c>
      <c r="AS1577" s="64" t="n">
        <f aca="false">IF(CR1577&gt;0,CR1577*MAX(1,AQ1577/X1577),IF(CA1577=1,IF(AQ1577&lt;=0,0,CE1577*MAX(1,IF(H1577&gt;0,AQ1577/H1577,1))),IF(R1577&gt;0,AR1577/R1577,0))/MAX(0.1,N(Parameter!$M$21)))</f>
        <v>0.0833333333333333</v>
      </c>
      <c r="AT1577" s="62" t="n">
        <f aca="false">AS1577*CC1577</f>
        <v>12.0833333333333</v>
      </c>
      <c r="AU1577" s="63" t="n">
        <f aca="false">IF(LEFT(Cockpit!$I$5,1)="A",H1577,IF(CI1577=1,(CL1577+CJ1577)/2,IF(LEFT(Cockpit!$I$5,1)="B",(CL1577+AW1577)/2,MAX((CL1577+AW1577)/2,H1577))))</f>
        <v>1150</v>
      </c>
      <c r="AV1577" s="62" t="n">
        <f aca="false">AU1577*G1577</f>
        <v>1748</v>
      </c>
      <c r="AW1577" s="62" t="n">
        <f aca="false">ROUNDUP(CL1577+MAX(CM1577,2*(J1577/IF(CH1577&gt;0,CH1577,MAX(0.1,N(Cockpit!$I$6)))-CL1577)),0)</f>
        <v>1000</v>
      </c>
      <c r="AX1577" s="63" t="n">
        <f aca="false">IF(AT1577&gt;0,J1577/AT1577,-1)</f>
        <v>0</v>
      </c>
      <c r="AY1577" s="63" t="n">
        <f aca="false">IF(AND(OR(CG1577="L1",CG1577="L23",CG1577="LIFT"),AT1577&gt;0),SUMIFS($AT$7:$AT$1843,$CG$7:$CG$1843,CG1577,$AX$7:$AX$1843,"&gt;"&amp;AX1577)+SUMIFS($AT$7:$AT$1843,$CG$7:$CG$1843,CG1577,$AX$7:$AX$1843,AX1577,$BX$7:$BX$1843,"&lt;="&amp;BX1577),"")</f>
        <v>36728.7863170257</v>
      </c>
      <c r="AZ1577" s="70" t="n">
        <f aca="false">IF(AY1577="",0,MAX(0,MIN(1,(IF(CG1577="L1",Parameter!$H$5,IF(CG1577="L23",Parameter!$H$6+Parameter!$H$7,Parameter!$H$5+Parameter!$H$6+Parameter!$H$7))-(AY1577-AT1577))/AT1577)))</f>
        <v>0</v>
      </c>
      <c r="BA1577" s="62" t="n">
        <f aca="false">IF(LEFT(Cockpit!$O$5,1)="A",H1577,IF(Parameter!$E$30="MAX-Bestand",IF(CI1577=1,CJ1577,IF(LEFT(Cockpit!$O$5,1)="B",BG1577,MAX(BG1577,H1577))),ROUNDUP(BE1577,0)))</f>
        <v>500</v>
      </c>
      <c r="BB1577" s="62" t="n">
        <f aca="false">IF(CA1577=1,0,ROUNDUP(BA1577/BZ1577,0))</f>
        <v>1</v>
      </c>
      <c r="BC1577" s="64" t="n">
        <f aca="false">IF(CR1577&gt;0,CR1577*MAX(1,BA1577/X1577),IF(CA1577=1,IF(BA1577&lt;=0,0,CE1577*MAX(1,IF(H1577&gt;0,BA1577/H1577,1))),IF(R1577&gt;0,BB1577/R1577,0))/MAX(0.1,N(Parameter!$M$21)))</f>
        <v>0.0833333333333333</v>
      </c>
      <c r="BD1577" s="62" t="n">
        <f aca="false">BC1577*CC1577</f>
        <v>12.0833333333333</v>
      </c>
      <c r="BE1577" s="63" t="n">
        <f aca="false">IF(LEFT(Cockpit!$O$5,1)="A",H1577,IF(CI1577=1,(CL1577+CJ1577)/2,IF(LEFT(Cockpit!$O$5,1)="B",(CL1577+BG1577)/2,MAX((CL1577+BG1577)/2,H1577))))</f>
        <v>500</v>
      </c>
      <c r="BF1577" s="62" t="n">
        <f aca="false">BE1577*G1577</f>
        <v>760</v>
      </c>
      <c r="BG1577" s="62" t="n">
        <f aca="false">ROUNDUP(CL1577+MAX(CM1577,2*(J1577/IF(CH1577&gt;0,CH1577,MAX(0.1,N(Cockpit!$O$6)))-CL1577)),0)</f>
        <v>1000</v>
      </c>
      <c r="BH1577" s="63" t="n">
        <f aca="false">IF(BD1577&gt;0,J1577/BD1577,-1)</f>
        <v>0</v>
      </c>
      <c r="BI1577" s="63" t="n">
        <f aca="false">IF(AND(OR(CG1577="L1",CG1577="L23",CG1577="LIFT"),BD1577&gt;0),SUMIFS($BD$7:$BD$1843,$CG$7:$CG$1843,CG1577,$BH$7:$BH$1843,"&gt;"&amp;BH1577)+SUMIFS($BD$7:$BD$1843,$CG$7:$CG$1843,CG1577,$BH$7:$BH$1843,BH1577,$BX$7:$BX$1843,"&lt;="&amp;BX1577),"")</f>
        <v>30638.2275925581</v>
      </c>
      <c r="BJ1577" s="70" t="n">
        <f aca="false">IF(BI1577="",0,MAX(0,MIN(1,(IF(CG1577="L1",Parameter!$H$5,IF(CG1577="L23",Parameter!$H$6+Parameter!$H$7,Parameter!$H$5+Parameter!$H$6+Parameter!$H$7))-(BI1577-BD1577))/BD1577)))</f>
        <v>1</v>
      </c>
      <c r="BK1577" s="60" t="str">
        <f aca="false">IF(AJ1577&lt;=0,"",IF(CG1577="Aussen","Aussenlager",IF(CG1577="-","Nicht im Lift",IF(AP1577&gt;=1,"Lift",IF(AP1577&lt;=0,"Aussenlager","teilweise")))))</f>
        <v>Lift</v>
      </c>
      <c r="BL1577" s="60" t="str">
        <f aca="false">IF(AT1577&lt;=0,"",IF(CG1577="Aussen","Aussenlager",IF(CG1577="-","Nicht im Lift",IF(AZ1577&gt;=1,"Lift",IF(AZ1577&lt;=0,"Aussenlager","teilweise")))))</f>
        <v>Aussenlager</v>
      </c>
      <c r="BM1577" s="60" t="str">
        <f aca="false">IF(BD1577&lt;=0,"",IF(CG1577="Aussen","Aussenlager",IF(CG1577="-","Nicht im Lift",IF(BJ1577&gt;=1,"Lift",IF(BJ1577&lt;=0,"Aussenlager","teilweise")))))</f>
        <v>Lift</v>
      </c>
      <c r="BN1577" s="60" t="str">
        <f aca="false">IF(A1577="","",IF(BW1577=1,"Neu; ","")&amp;IF(AND(BW1577=0,BR1577&lt;0),"negativer Bestand (Export "&amp;BR1577&amp;"); ","")&amp;IF(J1577&lt;=0,"Kein Verbrauch; ","")&amp;IF(CR1577&gt;0,"Lift "&amp;W1577&amp;" lt. Liftbericht (Fach "&amp;X1577&amp;" Stk); ",IF(CB1577=1,"Gebinde geschätzt ("&amp;T1577&amp;"); ",IF(CA1577=1,"Lose – Tablare geschätzt; ","")))&amp;IF(H1577&gt;AW1577,"Überbestand "&amp;ROUND(H1577-AW1577,0)&amp;" Stk / CHF "&amp;ROUND((H1577-AW1577)*G1577,0)&amp;"; ","")&amp;IF(AND(CI1577=1,CJ1577&lt;CK1577),"MAX &lt; MB+LG; ","")&amp;IF(AND(CQ1577&gt;0,CP1577*10&gt;CQ1577),"zu hoch für Tablar; ","")&amp;IF(AND(BW1577=0,OR(CI1577=1,AB1577&lt;&gt;"",U1577&lt;&gt;"",V1577&lt;&gt;"",AC1577&lt;&gt;"")),"manuell übersteuert; ","")&amp;IF(AND(CA1577=0,R1577=0),"Gebinde unbekannt / Stellmass fehlt; ","")&amp;IF(AND(CA1577=0,N(V1577)&lt;=0,N(Q1577)&lt;=0),"Menge pro Gebinde fehlt (Ist = 1 Gebinde); ","")&amp;BV1577)</f>
        <v>Kein Verbrauch; Gebinde geschätzt (Mittel); Überbestand 150 Stk / CHF 228; Menge pro Gebinde fehlt (Ist = 1 Gebinde); nur im Artikelstamm (Bestand 23.06.2026); Überbestand; grosser Artikel &amp; nicht im KTL</v>
      </c>
      <c r="BO1577" s="60"/>
      <c r="BP1577" s="60"/>
      <c r="BQ1577" s="67"/>
      <c r="BR1577" s="62" t="n">
        <v>1150</v>
      </c>
      <c r="BS1577" s="62" t="n">
        <v>0</v>
      </c>
      <c r="BT1577" s="61" t="n">
        <v>0</v>
      </c>
      <c r="BU1577" s="62" t="n">
        <v>0</v>
      </c>
      <c r="BV1577" s="60" t="s">
        <v>2798</v>
      </c>
      <c r="BW1577" s="65" t="n">
        <v>0</v>
      </c>
      <c r="BX1577" s="65" t="n">
        <v>1577</v>
      </c>
      <c r="BY1577" s="60" t="str">
        <f aca="false">IF(U1577&lt;&gt;"",UPPER(TRIM(U1577)),IF(CB1577=1,UPPER(VLOOKUP(T1577,Parameter!$I$27:$K$29,2,0)),IF(P1577="","LOSE",P1577)))</f>
        <v>S61</v>
      </c>
      <c r="BZ1577" s="62" t="n">
        <f aca="false">IF(BY1577="LOSE",1,IF(N(V1577)&gt;0,V1577,IF(CB1577=1,MAX(1,N(VLOOKUP(T1577,Parameter!$I$27:$K$29,3,0)),H1577,N(N1577)),IF(N(Q1577)&gt;0,Q1577,MAX(1,H1577)))))</f>
        <v>1150</v>
      </c>
      <c r="CA1577" s="65" t="n">
        <f aca="false">IF(BY1577="LOSE",1,0)</f>
        <v>0</v>
      </c>
      <c r="CB1577" s="65" t="n">
        <f aca="false">IF(AND(U1577="",OR(P1577="",P1577="LOSE"),T1577&lt;&gt;"",N(S1577)&lt;=0,ISNUMBER(MATCH(T1577,Parameter!$I$27:$I$29,0))),1,0)</f>
        <v>1</v>
      </c>
      <c r="CC1577" s="65" t="n">
        <f aca="false">IF(CR1577&gt;0,INDEX(Parameter!$H$5:$H$7,W1577)/INDEX(Parameter!$E$5:$E$7,W1577),IF(AND(CA1577=0,N(IFERROR(VLOOKUP(BY1577,'Gebinde-Kategorie'!$A$5:$N$45,14,0),0))&gt;0),VLOOKUP(BY1577,'Gebinde-Kategorie'!$A$5:$N$45,14,0)*10+Parameter!$M$23,Parameter!$M$24))</f>
        <v>145</v>
      </c>
      <c r="CD1577" s="60" t="str">
        <f aca="false">IF(AND(Parameter!$B$19="Ja",E1577&lt;&gt;"",ISNUMBER(MATCH(E1577,Parameter!$I$35:$I$52,0))),VLOOKUP(E1577,Parameter!$I$35:$J$52,2,0),IFERROR(VLOOKUP(D1577,Parameter!$A$35:$C$64,2,0),"Nein"))</f>
        <v>2+3</v>
      </c>
      <c r="CE1577" s="64" t="n">
        <f aca="false">IF(CA1577=0,0,IF(N(S1577)&gt;0,S1577,IFERROR(VLOOKUP(D1577,Parameter!$A$35:$C$64,3,0)+0,0)))</f>
        <v>0</v>
      </c>
      <c r="CF1577" s="60" t="n">
        <f aca="false">IF(AB1577&lt;&gt;"",AB1577,AA1577)</f>
        <v>3</v>
      </c>
      <c r="CG1577" s="60" t="str">
        <f aca="false">IF(OR(CF1577=1,CF1577=2,CF1577=3),IF(Parameter!$E$27="Ja","LIFT",IF(CF1577=1,"L1","L23")),IF(CF1577="Aussen","Aussen","-"))</f>
        <v>LIFT</v>
      </c>
      <c r="CH1577" s="71" t="n">
        <f aca="false">IF(N(AC1577)&gt;0,AC1577,0)</f>
        <v>0</v>
      </c>
      <c r="CI1577" s="65" t="n">
        <f aca="false">IF(ISNUMBER(AF1577),1,0)</f>
        <v>0</v>
      </c>
      <c r="CJ1577" s="62" t="n">
        <f aca="false">N(AF1577)</f>
        <v>0</v>
      </c>
      <c r="CK1577" s="62" t="n">
        <f aca="false">N(M1577)+N(N1577)</f>
        <v>1000</v>
      </c>
      <c r="CL1577" s="62" t="n">
        <f aca="false">N(M1577)</f>
        <v>0</v>
      </c>
      <c r="CM1577" s="62" t="n">
        <f aca="false">N(N1577)</f>
        <v>1000</v>
      </c>
      <c r="CN1577" s="62" t="n">
        <f aca="false">ROUNDUP(H1577/BZ1577,0)</f>
        <v>1</v>
      </c>
      <c r="CO1577" s="62" t="n">
        <f aca="false">ROUNDUP(CJ1577/BZ1577,0)</f>
        <v>0</v>
      </c>
      <c r="CP1577" s="65" t="n">
        <f aca="false">IF(CA1577=1,0,IFERROR(VLOOKUP(BY1577,'Gebinde-Kategorie'!$A$5:$N$45,5,0)+0,0))</f>
        <v>11</v>
      </c>
      <c r="CQ1577" s="65" t="n">
        <f aca="false">IFERROR(IF(OR(CF1577=1,CF1577=2,CF1577=3),N(INDEX(Parameter!$I$5:$I$7,CF1577)),0),0)</f>
        <v>0</v>
      </c>
      <c r="CR1577" s="64" t="n">
        <f aca="false">IF(AND(Parameter!$B$21="Ja",ISNUMBER(W1577),N(X1577)&gt;0),IFERROR(N(INDEX(Parameter!$L$5:$L$7,W1577))*INDEX(Parameter!$E$5:$E$7,W1577)*X1577/SUMIFS($X$7:$X$1843,$W$7:$W$1843,W1577),0),0)</f>
        <v>0</v>
      </c>
      <c r="CS1577" s="62" t="n">
        <f aca="false">IF(AND(OR(CG1577="L1",CG1577="L23",CG1577="LIFT"),H1577&gt;0),CC1577*IF(CR1577&gt;0,CR1577*MAX(1,H1577/X1577),IF(CA1577=1,CE1577,IF(R1577&gt;0,CN1577/R1577,0))/MAX(0.1,N(Parameter!$M$21))),"")</f>
        <v>12.0833333333333</v>
      </c>
      <c r="CT1577" s="64" t="n">
        <f aca="false">IF(CS1577="","",J1577/H1577)</f>
        <v>0</v>
      </c>
      <c r="CU1577" s="62" t="n">
        <f aca="false">IF(CS1577="","",H1577*G1577)</f>
        <v>1748</v>
      </c>
      <c r="CV1577" s="63" t="n">
        <f aca="false">IF(CS1577="","",(CL1577+ROUNDUP(CL1577+MAX(CM1577,2*(J1577/MAX(0.1,N(Einkauf!$C$6))-CL1577)),0))/2)</f>
        <v>500</v>
      </c>
      <c r="CW1577" s="62" t="n">
        <f aca="false">IF(CS1577="","",MAX(0,H1577-CV1577)*G1577)</f>
        <v>988</v>
      </c>
      <c r="CX1577" s="62" t="n">
        <f aca="false">IF(CS1577="","",CS1577*MAX(0,1-CV1577/H1577))</f>
        <v>6.82971014492754</v>
      </c>
      <c r="CY1577" s="64" t="n">
        <f aca="false">IF(CS1577="","",PERCENTRANK($CS$7:$CS$1843,CS1577)+PERCENTRANK($CU$7:$CU$1843,CU1577)+1-PERCENTRANK($CT$7:$CT$1843,CT1577))</f>
        <v>2.404</v>
      </c>
      <c r="CZ1577" s="72" t="n">
        <f aca="false">IF(CS1577="","",CHOOSE(MATCH(Einkauf!$C$5,Parameter!$G$23:$G$27,0),CY1577,CS1577,CU1577,-CT1577,CW1577)+ROW()/1000000000)</f>
        <v>2.404001577</v>
      </c>
    </row>
    <row r="1578" customFormat="false" ht="15" hidden="false" customHeight="false" outlineLevel="0" collapsed="false">
      <c r="A1578" s="60" t="s">
        <v>2799</v>
      </c>
      <c r="B1578" s="60" t="s">
        <v>2466</v>
      </c>
      <c r="C1578" s="60" t="s">
        <v>206</v>
      </c>
      <c r="D1578" s="60" t="s">
        <v>215</v>
      </c>
      <c r="E1578" s="60" t="s">
        <v>208</v>
      </c>
      <c r="F1578" s="60"/>
      <c r="G1578" s="61" t="n">
        <v>1090</v>
      </c>
      <c r="H1578" s="62" t="n">
        <f aca="false">MAX(0,IF(AND(Parameter!$B$21="Ja",ISNUMBER(Y1578)),Y1578,IF(Parameter!$B$20="Jahresanfang 2025 + Export",BS1578+BR1578,BR1578)))</f>
        <v>2</v>
      </c>
      <c r="I1578" s="62" t="n">
        <f aca="false">H1578*G1578</f>
        <v>2180</v>
      </c>
      <c r="J1578" s="62" t="n">
        <f aca="false">BU1578*Parameter!$B$18</f>
        <v>0</v>
      </c>
      <c r="K1578" s="63"/>
      <c r="L1578" s="64"/>
      <c r="M1578" s="62" t="n">
        <v>1</v>
      </c>
      <c r="N1578" s="62" t="n">
        <v>1</v>
      </c>
      <c r="O1578" s="65" t="n">
        <v>0</v>
      </c>
      <c r="P1578" s="60" t="s">
        <v>210</v>
      </c>
      <c r="Q1578" s="62"/>
      <c r="R1578" s="65" t="n">
        <f aca="false">IF(CA1578=1,0,IFERROR(VLOOKUP(BY1578,'Gebinde-Kategorie'!$A$5:$N$45,13,0)+0,0))</f>
        <v>0</v>
      </c>
      <c r="S1578" s="66"/>
      <c r="T1578" s="67"/>
      <c r="U1578" s="67"/>
      <c r="V1578" s="67"/>
      <c r="W1578" s="60" t="n">
        <v>1</v>
      </c>
      <c r="X1578" s="62" t="n">
        <v>2</v>
      </c>
      <c r="Y1578" s="62" t="n">
        <v>2</v>
      </c>
      <c r="Z1578" s="60" t="n">
        <v>1</v>
      </c>
      <c r="AA1578" s="60" t="n">
        <f aca="false">IF(A1578="","",IF(AND(Parameter!$B$21="Ja",ISNUMBER(W1578)),W1578,IF(AND(Parameter!$E$27="Ja",ISNUMBER(Z1578),CD1578&lt;&gt;"Nein"),Z1578,IF(CD1578="2+3",IF(ISNUMBER(SEARCH("grosser Artikel",BV1578)),2,IFERROR(VLOOKUP(BY1578,Parameter!$F$35:$G$64,2,0),2)),IF(OR(CD1578="Nein",CD1578=""),"-",CD1578)))))</f>
        <v>1</v>
      </c>
      <c r="AB1578" s="67"/>
      <c r="AC1578" s="68"/>
      <c r="AD1578" s="62" t="n">
        <f aca="false">AW1578</f>
        <v>2</v>
      </c>
      <c r="AE1578" s="62" t="n">
        <f aca="false">MAX(AW1578,H1578)</f>
        <v>2</v>
      </c>
      <c r="AF1578" s="69"/>
      <c r="AG1578" s="62" t="n">
        <f aca="false">IF(LEFT(Cockpit!$C$5,1)="A",H1578,IF(Parameter!$E$30="MAX-Bestand",IF(CI1578=1,CJ1578,IF(LEFT(Cockpit!$C$5,1)="B",AM1578,MAX(AM1578,H1578))),ROUNDUP(AK1578,0)))</f>
        <v>2</v>
      </c>
      <c r="AH1578" s="62" t="n">
        <f aca="false">IF(CA1578=1,0,ROUNDUP(AG1578/BZ1578,0))</f>
        <v>0</v>
      </c>
      <c r="AI1578" s="64" t="n">
        <f aca="false">IF(CR1578&gt;0,CR1578*MAX(1,AG1578/X1578),IF(CA1578=1,IF(AG1578&lt;=0,0,CE1578*MAX(1,IF(H1578&gt;0,AG1578/H1578,1))),IF(R1578&gt;0,AH1578/R1578,0))/MAX(0.1,N(Parameter!$M$21)))</f>
        <v>0.160075329566855</v>
      </c>
      <c r="AJ1578" s="62" t="n">
        <f aca="false">AI1578*CC1578</f>
        <v>38.0979284369115</v>
      </c>
      <c r="AK1578" s="63" t="n">
        <f aca="false">IF(LEFT(Cockpit!$C$5,1)="A",H1578,IF(CI1578=1,(CL1578+CJ1578)/2,IF(LEFT(Cockpit!$C$5,1)="B",(CL1578+AM1578)/2,MAX((CL1578+AM1578)/2,H1578))))</f>
        <v>2</v>
      </c>
      <c r="AL1578" s="62" t="n">
        <f aca="false">AK1578*G1578</f>
        <v>2180</v>
      </c>
      <c r="AM1578" s="62" t="n">
        <f aca="false">ROUNDUP(CL1578+MAX(CM1578,2*(J1578/IF(CH1578&gt;0,CH1578,MAX(0.1,N(Cockpit!$C$6)))-CL1578)),0)</f>
        <v>2</v>
      </c>
      <c r="AN1578" s="63" t="n">
        <f aca="false">IF(AJ1578&gt;0,J1578/AJ1578,-1)</f>
        <v>0</v>
      </c>
      <c r="AO1578" s="63" t="n">
        <f aca="false">IF(AND(OR(CG1578="L1",CG1578="L23",CG1578="LIFT"),AJ1578&gt;0),SUMIFS($AJ$7:$AJ$1843,$CG$7:$CG$1843,CG1578,$AN$7:$AN$1843,"&gt;"&amp;AN1578)+SUMIFS($AJ$7:$AJ$1843,$CG$7:$CG$1843,CG1578,$AN$7:$AN$1843,AN1578,$BX$7:$BX$1843,"&lt;="&amp;BX1578),"")</f>
        <v>30447.0277286273</v>
      </c>
      <c r="AP1578" s="70" t="n">
        <f aca="false">IF(AO1578="",0,MAX(0,MIN(1,(IF(CG1578="L1",Parameter!$H$5,IF(CG1578="L23",Parameter!$H$6+Parameter!$H$7,Parameter!$H$5+Parameter!$H$6+Parameter!$H$7))-(AO1578-AJ1578))/AJ1578)))</f>
        <v>1</v>
      </c>
      <c r="AQ1578" s="62" t="n">
        <f aca="false">IF(LEFT(Cockpit!$I$5,1)="A",H1578,IF(Parameter!$E$30="MAX-Bestand",IF(CI1578=1,CJ1578,IF(LEFT(Cockpit!$I$5,1)="B",AW1578,MAX(AW1578,H1578))),ROUNDUP(AU1578,0)))</f>
        <v>2</v>
      </c>
      <c r="AR1578" s="62" t="n">
        <f aca="false">IF(CA1578=1,0,ROUNDUP(AQ1578/BZ1578,0))</f>
        <v>0</v>
      </c>
      <c r="AS1578" s="64" t="n">
        <f aca="false">IF(CR1578&gt;0,CR1578*MAX(1,AQ1578/X1578),IF(CA1578=1,IF(AQ1578&lt;=0,0,CE1578*MAX(1,IF(H1578&gt;0,AQ1578/H1578,1))),IF(R1578&gt;0,AR1578/R1578,0))/MAX(0.1,N(Parameter!$M$21)))</f>
        <v>0.160075329566855</v>
      </c>
      <c r="AT1578" s="62" t="n">
        <f aca="false">AS1578*CC1578</f>
        <v>38.0979284369115</v>
      </c>
      <c r="AU1578" s="63" t="n">
        <f aca="false">IF(LEFT(Cockpit!$I$5,1)="A",H1578,IF(CI1578=1,(CL1578+CJ1578)/2,IF(LEFT(Cockpit!$I$5,1)="B",(CL1578+AW1578)/2,MAX((CL1578+AW1578)/2,H1578))))</f>
        <v>2</v>
      </c>
      <c r="AV1578" s="62" t="n">
        <f aca="false">AU1578*G1578</f>
        <v>2180</v>
      </c>
      <c r="AW1578" s="62" t="n">
        <f aca="false">ROUNDUP(CL1578+MAX(CM1578,2*(J1578/IF(CH1578&gt;0,CH1578,MAX(0.1,N(Cockpit!$I$6)))-CL1578)),0)</f>
        <v>2</v>
      </c>
      <c r="AX1578" s="63" t="n">
        <f aca="false">IF(AT1578&gt;0,J1578/AT1578,-1)</f>
        <v>0</v>
      </c>
      <c r="AY1578" s="63" t="n">
        <f aca="false">IF(AND(OR(CG1578="L1",CG1578="L23",CG1578="LIFT"),AT1578&gt;0),SUMIFS($AT$7:$AT$1843,$CG$7:$CG$1843,CG1578,$AX$7:$AX$1843,"&gt;"&amp;AX1578)+SUMIFS($AT$7:$AT$1843,$CG$7:$CG$1843,CG1578,$AX$7:$AX$1843,AX1578,$BX$7:$BX$1843,"&lt;="&amp;BX1578),"")</f>
        <v>36766.8842454626</v>
      </c>
      <c r="AZ1578" s="70" t="n">
        <f aca="false">IF(AY1578="",0,MAX(0,MIN(1,(IF(CG1578="L1",Parameter!$H$5,IF(CG1578="L23",Parameter!$H$6+Parameter!$H$7,Parameter!$H$5+Parameter!$H$6+Parameter!$H$7))-(AY1578-AT1578))/AT1578)))</f>
        <v>0</v>
      </c>
      <c r="BA1578" s="62" t="n">
        <f aca="false">IF(LEFT(Cockpit!$O$5,1)="A",H1578,IF(Parameter!$E$30="MAX-Bestand",IF(CI1578=1,CJ1578,IF(LEFT(Cockpit!$O$5,1)="B",BG1578,MAX(BG1578,H1578))),ROUNDUP(BE1578,0)))</f>
        <v>2</v>
      </c>
      <c r="BB1578" s="62" t="n">
        <f aca="false">IF(CA1578=1,0,ROUNDUP(BA1578/BZ1578,0))</f>
        <v>0</v>
      </c>
      <c r="BC1578" s="64" t="n">
        <f aca="false">IF(CR1578&gt;0,CR1578*MAX(1,BA1578/X1578),IF(CA1578=1,IF(BA1578&lt;=0,0,CE1578*MAX(1,IF(H1578&gt;0,BA1578/H1578,1))),IF(R1578&gt;0,BB1578/R1578,0))/MAX(0.1,N(Parameter!$M$21)))</f>
        <v>0.160075329566855</v>
      </c>
      <c r="BD1578" s="62" t="n">
        <f aca="false">BC1578*CC1578</f>
        <v>38.0979284369115</v>
      </c>
      <c r="BE1578" s="63" t="n">
        <f aca="false">IF(LEFT(Cockpit!$O$5,1)="A",H1578,IF(CI1578=1,(CL1578+CJ1578)/2,IF(LEFT(Cockpit!$O$5,1)="B",(CL1578+BG1578)/2,MAX((CL1578+BG1578)/2,H1578))))</f>
        <v>1.5</v>
      </c>
      <c r="BF1578" s="62" t="n">
        <f aca="false">BE1578*G1578</f>
        <v>1635</v>
      </c>
      <c r="BG1578" s="62" t="n">
        <f aca="false">ROUNDUP(CL1578+MAX(CM1578,2*(J1578/IF(CH1578&gt;0,CH1578,MAX(0.1,N(Cockpit!$O$6)))-CL1578)),0)</f>
        <v>2</v>
      </c>
      <c r="BH1578" s="63" t="n">
        <f aca="false">IF(BD1578&gt;0,J1578/BD1578,-1)</f>
        <v>0</v>
      </c>
      <c r="BI1578" s="63" t="n">
        <f aca="false">IF(AND(OR(CG1578="L1",CG1578="L23",CG1578="LIFT"),BD1578&gt;0),SUMIFS($BD$7:$BD$1843,$CG$7:$CG$1843,CG1578,$BH$7:$BH$1843,"&gt;"&amp;BH1578)+SUMIFS($BD$7:$BD$1843,$CG$7:$CG$1843,CG1578,$BH$7:$BH$1843,BH1578,$BX$7:$BX$1843,"&lt;="&amp;BX1578),"")</f>
        <v>30676.325520995</v>
      </c>
      <c r="BJ1578" s="70" t="n">
        <f aca="false">IF(BI1578="",0,MAX(0,MIN(1,(IF(CG1578="L1",Parameter!$H$5,IF(CG1578="L23",Parameter!$H$6+Parameter!$H$7,Parameter!$H$5+Parameter!$H$6+Parameter!$H$7))-(BI1578-BD1578))/BD1578)))</f>
        <v>1</v>
      </c>
      <c r="BK1578" s="60" t="str">
        <f aca="false">IF(AJ1578&lt;=0,"",IF(CG1578="Aussen","Aussenlager",IF(CG1578="-","Nicht im Lift",IF(AP1578&gt;=1,"Lift",IF(AP1578&lt;=0,"Aussenlager","teilweise")))))</f>
        <v>Lift</v>
      </c>
      <c r="BL1578" s="60" t="str">
        <f aca="false">IF(AT1578&lt;=0,"",IF(CG1578="Aussen","Aussenlager",IF(CG1578="-","Nicht im Lift",IF(AZ1578&gt;=1,"Lift",IF(AZ1578&lt;=0,"Aussenlager","teilweise")))))</f>
        <v>Aussenlager</v>
      </c>
      <c r="BM1578" s="60" t="str">
        <f aca="false">IF(BD1578&lt;=0,"",IF(CG1578="Aussen","Aussenlager",IF(CG1578="-","Nicht im Lift",IF(BJ1578&gt;=1,"Lift",IF(BJ1578&lt;=0,"Aussenlager","teilweise")))))</f>
        <v>Lift</v>
      </c>
      <c r="BN1578" s="60" t="str">
        <f aca="false">IF(A1578="","",IF(BW1578=1,"Neu; ","")&amp;IF(AND(BW1578=0,BR1578&lt;0),"negativer Bestand (Export "&amp;BR1578&amp;"); ","")&amp;IF(J1578&lt;=0,"Kein Verbrauch; ","")&amp;IF(CR1578&gt;0,"Lift "&amp;W1578&amp;" lt. Liftbericht (Fach "&amp;X1578&amp;" Stk); ",IF(CB1578=1,"Gebinde geschätzt ("&amp;T1578&amp;"); ",IF(CA1578=1,"Lose – Tablare geschätzt; ","")))&amp;IF(H1578&gt;AW1578,"Überbestand "&amp;ROUND(H1578-AW1578,0)&amp;" Stk / CHF "&amp;ROUND((H1578-AW1578)*G1578,0)&amp;"; ","")&amp;IF(AND(CI1578=1,CJ1578&lt;CK1578),"MAX &lt; MB+LG; ","")&amp;IF(AND(CQ1578&gt;0,CP1578*10&gt;CQ1578),"zu hoch für Tablar; ","")&amp;IF(AND(BW1578=0,OR(CI1578=1,AB1578&lt;&gt;"",U1578&lt;&gt;"",V1578&lt;&gt;"",AC1578&lt;&gt;"")),"manuell übersteuert; ","")&amp;IF(AND(CA1578=0,R1578=0),"Gebinde unbekannt / Stellmass fehlt; ","")&amp;IF(AND(CA1578=0,N(V1578)&lt;=0,N(Q1578)&lt;=0),"Menge pro Gebinde fehlt (Ist = 1 Gebinde); ","")&amp;BV1578)</f>
        <v>Kein Verbrauch; Lift 1 lt. Liftbericht (Fach 2 Stk); nur im Artikelstamm (Bestand 23.06.2026)</v>
      </c>
      <c r="BO1578" s="60"/>
      <c r="BP1578" s="60"/>
      <c r="BQ1578" s="67"/>
      <c r="BR1578" s="62" t="n">
        <v>2</v>
      </c>
      <c r="BS1578" s="62" t="n">
        <v>0</v>
      </c>
      <c r="BT1578" s="61" t="n">
        <v>0</v>
      </c>
      <c r="BU1578" s="62" t="n">
        <v>0</v>
      </c>
      <c r="BV1578" s="60" t="s">
        <v>2617</v>
      </c>
      <c r="BW1578" s="65" t="n">
        <v>0</v>
      </c>
      <c r="BX1578" s="65" t="n">
        <v>1578</v>
      </c>
      <c r="BY1578" s="60" t="str">
        <f aca="false">IF(U1578&lt;&gt;"",UPPER(TRIM(U1578)),IF(CB1578=1,UPPER(VLOOKUP(T1578,Parameter!$I$27:$K$29,2,0)),IF(P1578="","LOSE",P1578)))</f>
        <v>LOSE</v>
      </c>
      <c r="BZ1578" s="62" t="n">
        <f aca="false">IF(BY1578="LOSE",1,IF(N(V1578)&gt;0,V1578,IF(CB1578=1,MAX(1,N(VLOOKUP(T1578,Parameter!$I$27:$K$29,3,0)),H1578,N(N1578)),IF(N(Q1578)&gt;0,Q1578,MAX(1,H1578)))))</f>
        <v>1</v>
      </c>
      <c r="CA1578" s="65" t="n">
        <f aca="false">IF(BY1578="LOSE",1,0)</f>
        <v>1</v>
      </c>
      <c r="CB1578" s="65" t="n">
        <f aca="false">IF(AND(U1578="",OR(P1578="",P1578="LOSE"),T1578&lt;&gt;"",N(S1578)&lt;=0,ISNUMBER(MATCH(T1578,Parameter!$I$27:$I$29,0))),1,0)</f>
        <v>0</v>
      </c>
      <c r="CC1578" s="65" t="n">
        <f aca="false">IF(CR1578&gt;0,INDEX(Parameter!$H$5:$H$7,W1578)/INDEX(Parameter!$E$5:$E$7,W1578),IF(AND(CA1578=0,N(IFERROR(VLOOKUP(BY1578,'Gebinde-Kategorie'!$A$5:$N$45,14,0),0))&gt;0),VLOOKUP(BY1578,'Gebinde-Kategorie'!$A$5:$N$45,14,0)*10+Parameter!$M$23,Parameter!$M$24))</f>
        <v>238</v>
      </c>
      <c r="CD1578" s="60" t="n">
        <f aca="false">IF(AND(Parameter!$B$19="Ja",E1578&lt;&gt;"",ISNUMBER(MATCH(E1578,Parameter!$I$35:$I$52,0))),VLOOKUP(E1578,Parameter!$I$35:$J$52,2,0),IFERROR(VLOOKUP(D1578,Parameter!$A$35:$C$64,2,0),"Nein"))</f>
        <v>1</v>
      </c>
      <c r="CE1578" s="64" t="n">
        <f aca="false">IF(CA1578=0,0,IF(N(S1578)&gt;0,S1578,IFERROR(VLOOKUP(D1578,Parameter!$A$35:$C$64,3,0)+0,0)))</f>
        <v>0.15</v>
      </c>
      <c r="CF1578" s="60" t="n">
        <f aca="false">IF(AB1578&lt;&gt;"",AB1578,AA1578)</f>
        <v>1</v>
      </c>
      <c r="CG1578" s="60" t="str">
        <f aca="false">IF(OR(CF1578=1,CF1578=2,CF1578=3),IF(Parameter!$E$27="Ja","LIFT",IF(CF1578=1,"L1","L23")),IF(CF1578="Aussen","Aussen","-"))</f>
        <v>LIFT</v>
      </c>
      <c r="CH1578" s="71" t="n">
        <f aca="false">IF(N(AC1578)&gt;0,AC1578,0)</f>
        <v>0</v>
      </c>
      <c r="CI1578" s="65" t="n">
        <f aca="false">IF(ISNUMBER(AF1578),1,0)</f>
        <v>0</v>
      </c>
      <c r="CJ1578" s="62" t="n">
        <f aca="false">N(AF1578)</f>
        <v>0</v>
      </c>
      <c r="CK1578" s="62" t="n">
        <f aca="false">N(M1578)+N(N1578)</f>
        <v>2</v>
      </c>
      <c r="CL1578" s="62" t="n">
        <f aca="false">N(M1578)</f>
        <v>1</v>
      </c>
      <c r="CM1578" s="62" t="n">
        <f aca="false">N(N1578)</f>
        <v>1</v>
      </c>
      <c r="CN1578" s="62" t="n">
        <f aca="false">ROUNDUP(H1578/BZ1578,0)</f>
        <v>2</v>
      </c>
      <c r="CO1578" s="62" t="n">
        <f aca="false">ROUNDUP(CJ1578/BZ1578,0)</f>
        <v>0</v>
      </c>
      <c r="CP1578" s="65" t="n">
        <f aca="false">IF(CA1578=1,0,IFERROR(VLOOKUP(BY1578,'Gebinde-Kategorie'!$A$5:$N$45,5,0)+0,0))</f>
        <v>0</v>
      </c>
      <c r="CQ1578" s="65" t="n">
        <f aca="false">IFERROR(IF(OR(CF1578=1,CF1578=2,CF1578=3),N(INDEX(Parameter!$I$5:$I$7,CF1578)),0),0)</f>
        <v>0</v>
      </c>
      <c r="CR1578" s="64" t="n">
        <f aca="false">IF(AND(Parameter!$B$21="Ja",ISNUMBER(W1578),N(X1578)&gt;0),IFERROR(N(INDEX(Parameter!$L$5:$L$7,W1578))*INDEX(Parameter!$E$5:$E$7,W1578)*X1578/SUMIFS($X$7:$X$1843,$W$7:$W$1843,W1578),0),0)</f>
        <v>0.160075329566855</v>
      </c>
      <c r="CS1578" s="62" t="n">
        <f aca="false">IF(AND(OR(CG1578="L1",CG1578="L23",CG1578="LIFT"),H1578&gt;0),CC1578*IF(CR1578&gt;0,CR1578*MAX(1,H1578/X1578),IF(CA1578=1,CE1578,IF(R1578&gt;0,CN1578/R1578,0))/MAX(0.1,N(Parameter!$M$21))),"")</f>
        <v>38.0979284369115</v>
      </c>
      <c r="CT1578" s="64" t="n">
        <f aca="false">IF(CS1578="","",J1578/H1578)</f>
        <v>0</v>
      </c>
      <c r="CU1578" s="62" t="n">
        <f aca="false">IF(CS1578="","",H1578*G1578)</f>
        <v>2180</v>
      </c>
      <c r="CV1578" s="63" t="n">
        <f aca="false">IF(CS1578="","",(CL1578+ROUNDUP(CL1578+MAX(CM1578,2*(J1578/MAX(0.1,N(Einkauf!$C$6))-CL1578)),0))/2)</f>
        <v>1.5</v>
      </c>
      <c r="CW1578" s="62" t="n">
        <f aca="false">IF(CS1578="","",MAX(0,H1578-CV1578)*G1578)</f>
        <v>545</v>
      </c>
      <c r="CX1578" s="62" t="n">
        <f aca="false">IF(CS1578="","",CS1578*MAX(0,1-CV1578/H1578))</f>
        <v>9.52448210922787</v>
      </c>
      <c r="CY1578" s="64" t="n">
        <f aca="false">IF(CS1578="","",PERCENTRANK($CS$7:$CS$1843,CS1578)+PERCENTRANK($CU$7:$CU$1843,CU1578)+1-PERCENTRANK($CT$7:$CT$1843,CT1578))</f>
        <v>2.642</v>
      </c>
      <c r="CZ1578" s="72" t="n">
        <f aca="false">IF(CS1578="","",CHOOSE(MATCH(Einkauf!$C$5,Parameter!$G$23:$G$27,0),CY1578,CS1578,CU1578,-CT1578,CW1578)+ROW()/1000000000)</f>
        <v>2.642001578</v>
      </c>
    </row>
    <row r="1579" customFormat="false" ht="15" hidden="false" customHeight="false" outlineLevel="0" collapsed="false">
      <c r="A1579" s="60" t="s">
        <v>2800</v>
      </c>
      <c r="B1579" s="60" t="s">
        <v>1185</v>
      </c>
      <c r="C1579" s="60" t="s">
        <v>206</v>
      </c>
      <c r="D1579" s="60" t="s">
        <v>226</v>
      </c>
      <c r="E1579" s="60"/>
      <c r="F1579" s="60"/>
      <c r="G1579" s="61" t="n">
        <v>28.7</v>
      </c>
      <c r="H1579" s="62" t="n">
        <f aca="false">MAX(0,IF(AND(Parameter!$B$21="Ja",ISNUMBER(Y1579)),Y1579,IF(Parameter!$B$20="Jahresanfang 2025 + Export",BS1579+BR1579,BR1579)))</f>
        <v>6</v>
      </c>
      <c r="I1579" s="62" t="n">
        <f aca="false">H1579*G1579</f>
        <v>172.2</v>
      </c>
      <c r="J1579" s="62" t="n">
        <f aca="false">BU1579*Parameter!$B$18</f>
        <v>0</v>
      </c>
      <c r="K1579" s="63"/>
      <c r="L1579" s="64"/>
      <c r="M1579" s="62" t="n">
        <v>0</v>
      </c>
      <c r="N1579" s="62" t="n">
        <v>3</v>
      </c>
      <c r="O1579" s="65" t="n">
        <v>0</v>
      </c>
      <c r="P1579" s="60" t="s">
        <v>210</v>
      </c>
      <c r="Q1579" s="62"/>
      <c r="R1579" s="65" t="n">
        <f aca="false">IF(CA1579=1,0,IFERROR(VLOOKUP(BY1579,'Gebinde-Kategorie'!$A$5:$N$45,13,0)+0,0))</f>
        <v>26</v>
      </c>
      <c r="S1579" s="66"/>
      <c r="T1579" s="67" t="s">
        <v>317</v>
      </c>
      <c r="U1579" s="67"/>
      <c r="V1579" s="67"/>
      <c r="W1579" s="60"/>
      <c r="X1579" s="62"/>
      <c r="Y1579" s="62"/>
      <c r="Z1579" s="60" t="n">
        <v>3</v>
      </c>
      <c r="AA1579" s="60" t="n">
        <f aca="false">IF(A1579="","",IF(AND(Parameter!$B$21="Ja",ISNUMBER(W1579)),W1579,IF(AND(Parameter!$E$27="Ja",ISNUMBER(Z1579),CD1579&lt;&gt;"Nein"),Z1579,IF(CD1579="2+3",IF(ISNUMBER(SEARCH("grosser Artikel",BV1579)),2,IFERROR(VLOOKUP(BY1579,Parameter!$F$35:$G$64,2,0),2)),IF(OR(CD1579="Nein",CD1579=""),"-",CD1579)))))</f>
        <v>3</v>
      </c>
      <c r="AB1579" s="67"/>
      <c r="AC1579" s="68"/>
      <c r="AD1579" s="62" t="n">
        <f aca="false">AW1579</f>
        <v>3</v>
      </c>
      <c r="AE1579" s="62" t="n">
        <f aca="false">MAX(AW1579,H1579)</f>
        <v>6</v>
      </c>
      <c r="AF1579" s="69"/>
      <c r="AG1579" s="62" t="n">
        <f aca="false">IF(LEFT(Cockpit!$C$5,1)="A",H1579,IF(Parameter!$E$30="MAX-Bestand",IF(CI1579=1,CJ1579,IF(LEFT(Cockpit!$C$5,1)="B",AM1579,MAX(AM1579,H1579))),ROUNDUP(AK1579,0)))</f>
        <v>6</v>
      </c>
      <c r="AH1579" s="62" t="n">
        <f aca="false">IF(CA1579=1,0,ROUNDUP(AG1579/BZ1579,0))</f>
        <v>1</v>
      </c>
      <c r="AI1579" s="64" t="n">
        <f aca="false">IF(CR1579&gt;0,CR1579*MAX(1,AG1579/X1579),IF(CA1579=1,IF(AG1579&lt;=0,0,CE1579*MAX(1,IF(H1579&gt;0,AG1579/H1579,1))),IF(R1579&gt;0,AH1579/R1579,0))/MAX(0.1,N(Parameter!$M$21)))</f>
        <v>0.0384615384615385</v>
      </c>
      <c r="AJ1579" s="62" t="n">
        <f aca="false">AI1579*CC1579</f>
        <v>5.96153846153846</v>
      </c>
      <c r="AK1579" s="63" t="n">
        <f aca="false">IF(LEFT(Cockpit!$C$5,1)="A",H1579,IF(CI1579=1,(CL1579+CJ1579)/2,IF(LEFT(Cockpit!$C$5,1)="B",(CL1579+AM1579)/2,MAX((CL1579+AM1579)/2,H1579))))</f>
        <v>6</v>
      </c>
      <c r="AL1579" s="62" t="n">
        <f aca="false">AK1579*G1579</f>
        <v>172.2</v>
      </c>
      <c r="AM1579" s="62" t="n">
        <f aca="false">ROUNDUP(CL1579+MAX(CM1579,2*(J1579/IF(CH1579&gt;0,CH1579,MAX(0.1,N(Cockpit!$C$6)))-CL1579)),0)</f>
        <v>3</v>
      </c>
      <c r="AN1579" s="63" t="n">
        <f aca="false">IF(AJ1579&gt;0,J1579/AJ1579,-1)</f>
        <v>0</v>
      </c>
      <c r="AO1579" s="63" t="n">
        <f aca="false">IF(AND(OR(CG1579="L1",CG1579="L23",CG1579="LIFT"),AJ1579&gt;0),SUMIFS($AJ$7:$AJ$1843,$CG$7:$CG$1843,CG1579,$AN$7:$AN$1843,"&gt;"&amp;AN1579)+SUMIFS($AJ$7:$AJ$1843,$CG$7:$CG$1843,CG1579,$AN$7:$AN$1843,AN1579,$BX$7:$BX$1843,"&lt;="&amp;BX1579),"")</f>
        <v>30452.9892670888</v>
      </c>
      <c r="AP1579" s="70" t="n">
        <f aca="false">IF(AO1579="",0,MAX(0,MIN(1,(IF(CG1579="L1",Parameter!$H$5,IF(CG1579="L23",Parameter!$H$6+Parameter!$H$7,Parameter!$H$5+Parameter!$H$6+Parameter!$H$7))-(AO1579-AJ1579))/AJ1579)))</f>
        <v>1</v>
      </c>
      <c r="AQ1579" s="62" t="n">
        <f aca="false">IF(LEFT(Cockpit!$I$5,1)="A",H1579,IF(Parameter!$E$30="MAX-Bestand",IF(CI1579=1,CJ1579,IF(LEFT(Cockpit!$I$5,1)="B",AW1579,MAX(AW1579,H1579))),ROUNDUP(AU1579,0)))</f>
        <v>6</v>
      </c>
      <c r="AR1579" s="62" t="n">
        <f aca="false">IF(CA1579=1,0,ROUNDUP(AQ1579/BZ1579,0))</f>
        <v>1</v>
      </c>
      <c r="AS1579" s="64" t="n">
        <f aca="false">IF(CR1579&gt;0,CR1579*MAX(1,AQ1579/X1579),IF(CA1579=1,IF(AQ1579&lt;=0,0,CE1579*MAX(1,IF(H1579&gt;0,AQ1579/H1579,1))),IF(R1579&gt;0,AR1579/R1579,0))/MAX(0.1,N(Parameter!$M$21)))</f>
        <v>0.0384615384615385</v>
      </c>
      <c r="AT1579" s="62" t="n">
        <f aca="false">AS1579*CC1579</f>
        <v>5.96153846153846</v>
      </c>
      <c r="AU1579" s="63" t="n">
        <f aca="false">IF(LEFT(Cockpit!$I$5,1)="A",H1579,IF(CI1579=1,(CL1579+CJ1579)/2,IF(LEFT(Cockpit!$I$5,1)="B",(CL1579+AW1579)/2,MAX((CL1579+AW1579)/2,H1579))))</f>
        <v>6</v>
      </c>
      <c r="AV1579" s="62" t="n">
        <f aca="false">AU1579*G1579</f>
        <v>172.2</v>
      </c>
      <c r="AW1579" s="62" t="n">
        <f aca="false">ROUNDUP(CL1579+MAX(CM1579,2*(J1579/IF(CH1579&gt;0,CH1579,MAX(0.1,N(Cockpit!$I$6)))-CL1579)),0)</f>
        <v>3</v>
      </c>
      <c r="AX1579" s="63" t="n">
        <f aca="false">IF(AT1579&gt;0,J1579/AT1579,-1)</f>
        <v>0</v>
      </c>
      <c r="AY1579" s="63" t="n">
        <f aca="false">IF(AND(OR(CG1579="L1",CG1579="L23",CG1579="LIFT"),AT1579&gt;0),SUMIFS($AT$7:$AT$1843,$CG$7:$CG$1843,CG1579,$AX$7:$AX$1843,"&gt;"&amp;AX1579)+SUMIFS($AT$7:$AT$1843,$CG$7:$CG$1843,CG1579,$AX$7:$AX$1843,AX1579,$BX$7:$BX$1843,"&lt;="&amp;BX1579),"")</f>
        <v>36772.8457839242</v>
      </c>
      <c r="AZ1579" s="70" t="n">
        <f aca="false">IF(AY1579="",0,MAX(0,MIN(1,(IF(CG1579="L1",Parameter!$H$5,IF(CG1579="L23",Parameter!$H$6+Parameter!$H$7,Parameter!$H$5+Parameter!$H$6+Parameter!$H$7))-(AY1579-AT1579))/AT1579)))</f>
        <v>0</v>
      </c>
      <c r="BA1579" s="62" t="n">
        <f aca="false">IF(LEFT(Cockpit!$O$5,1)="A",H1579,IF(Parameter!$E$30="MAX-Bestand",IF(CI1579=1,CJ1579,IF(LEFT(Cockpit!$O$5,1)="B",BG1579,MAX(BG1579,H1579))),ROUNDUP(BE1579,0)))</f>
        <v>2</v>
      </c>
      <c r="BB1579" s="62" t="n">
        <f aca="false">IF(CA1579=1,0,ROUNDUP(BA1579/BZ1579,0))</f>
        <v>1</v>
      </c>
      <c r="BC1579" s="64" t="n">
        <f aca="false">IF(CR1579&gt;0,CR1579*MAX(1,BA1579/X1579),IF(CA1579=1,IF(BA1579&lt;=0,0,CE1579*MAX(1,IF(H1579&gt;0,BA1579/H1579,1))),IF(R1579&gt;0,BB1579/R1579,0))/MAX(0.1,N(Parameter!$M$21)))</f>
        <v>0.0384615384615385</v>
      </c>
      <c r="BD1579" s="62" t="n">
        <f aca="false">BC1579*CC1579</f>
        <v>5.96153846153846</v>
      </c>
      <c r="BE1579" s="63" t="n">
        <f aca="false">IF(LEFT(Cockpit!$O$5,1)="A",H1579,IF(CI1579=1,(CL1579+CJ1579)/2,IF(LEFT(Cockpit!$O$5,1)="B",(CL1579+BG1579)/2,MAX((CL1579+BG1579)/2,H1579))))</f>
        <v>1.5</v>
      </c>
      <c r="BF1579" s="62" t="n">
        <f aca="false">BE1579*G1579</f>
        <v>43.05</v>
      </c>
      <c r="BG1579" s="62" t="n">
        <f aca="false">ROUNDUP(CL1579+MAX(CM1579,2*(J1579/IF(CH1579&gt;0,CH1579,MAX(0.1,N(Cockpit!$O$6)))-CL1579)),0)</f>
        <v>3</v>
      </c>
      <c r="BH1579" s="63" t="n">
        <f aca="false">IF(BD1579&gt;0,J1579/BD1579,-1)</f>
        <v>0</v>
      </c>
      <c r="BI1579" s="63" t="n">
        <f aca="false">IF(AND(OR(CG1579="L1",CG1579="L23",CG1579="LIFT"),BD1579&gt;0),SUMIFS($BD$7:$BD$1843,$CG$7:$CG$1843,CG1579,$BH$7:$BH$1843,"&gt;"&amp;BH1579)+SUMIFS($BD$7:$BD$1843,$CG$7:$CG$1843,CG1579,$BH$7:$BH$1843,BH1579,$BX$7:$BX$1843,"&lt;="&amp;BX1579),"")</f>
        <v>30682.2870594566</v>
      </c>
      <c r="BJ1579" s="70" t="n">
        <f aca="false">IF(BI1579="",0,MAX(0,MIN(1,(IF(CG1579="L1",Parameter!$H$5,IF(CG1579="L23",Parameter!$H$6+Parameter!$H$7,Parameter!$H$5+Parameter!$H$6+Parameter!$H$7))-(BI1579-BD1579))/BD1579)))</f>
        <v>1</v>
      </c>
      <c r="BK1579" s="60" t="str">
        <f aca="false">IF(AJ1579&lt;=0,"",IF(CG1579="Aussen","Aussenlager",IF(CG1579="-","Nicht im Lift",IF(AP1579&gt;=1,"Lift",IF(AP1579&lt;=0,"Aussenlager","teilweise")))))</f>
        <v>Lift</v>
      </c>
      <c r="BL1579" s="60" t="str">
        <f aca="false">IF(AT1579&lt;=0,"",IF(CG1579="Aussen","Aussenlager",IF(CG1579="-","Nicht im Lift",IF(AZ1579&gt;=1,"Lift",IF(AZ1579&lt;=0,"Aussenlager","teilweise")))))</f>
        <v>Aussenlager</v>
      </c>
      <c r="BM1579" s="60" t="str">
        <f aca="false">IF(BD1579&lt;=0,"",IF(CG1579="Aussen","Aussenlager",IF(CG1579="-","Nicht im Lift",IF(BJ1579&gt;=1,"Lift",IF(BJ1579&lt;=0,"Aussenlager","teilweise")))))</f>
        <v>Lift</v>
      </c>
      <c r="BN1579" s="60" t="str">
        <f aca="false">IF(A1579="","",IF(BW1579=1,"Neu; ","")&amp;IF(AND(BW1579=0,BR1579&lt;0),"negativer Bestand (Export "&amp;BR1579&amp;"); ","")&amp;IF(J1579&lt;=0,"Kein Verbrauch; ","")&amp;IF(CR1579&gt;0,"Lift "&amp;W1579&amp;" lt. Liftbericht (Fach "&amp;X1579&amp;" Stk); ",IF(CB1579=1,"Gebinde geschätzt ("&amp;T1579&amp;"); ",IF(CA1579=1,"Lose – Tablare geschätzt; ","")))&amp;IF(H1579&gt;AW1579,"Überbestand "&amp;ROUND(H1579-AW1579,0)&amp;" Stk / CHF "&amp;ROUND((H1579-AW1579)*G1579,0)&amp;"; ","")&amp;IF(AND(CI1579=1,CJ1579&lt;CK1579),"MAX &lt; MB+LG; ","")&amp;IF(AND(CQ1579&gt;0,CP1579*10&gt;CQ1579),"zu hoch für Tablar; ","")&amp;IF(AND(BW1579=0,OR(CI1579=1,AB1579&lt;&gt;"",U1579&lt;&gt;"",V1579&lt;&gt;"",AC1579&lt;&gt;"")),"manuell übersteuert; ","")&amp;IF(AND(CA1579=0,R1579=0),"Gebinde unbekannt / Stellmass fehlt; ","")&amp;IF(AND(CA1579=0,N(V1579)&lt;=0,N(Q1579)&lt;=0),"Menge pro Gebinde fehlt (Ist = 1 Gebinde); ","")&amp;BV1579)</f>
        <v>Kein Verbrauch; Gebinde geschätzt (Klein); Überbestand 3 Stk / CHF 86; Menge pro Gebinde fehlt (Ist = 1 Gebinde); nur im Artikelstamm (Bestand 23.06.2026)</v>
      </c>
      <c r="BO1579" s="60"/>
      <c r="BP1579" s="60"/>
      <c r="BQ1579" s="67"/>
      <c r="BR1579" s="62" t="n">
        <v>6</v>
      </c>
      <c r="BS1579" s="62" t="n">
        <v>0</v>
      </c>
      <c r="BT1579" s="61" t="n">
        <v>0</v>
      </c>
      <c r="BU1579" s="62" t="n">
        <v>0</v>
      </c>
      <c r="BV1579" s="60" t="s">
        <v>2617</v>
      </c>
      <c r="BW1579" s="65" t="n">
        <v>0</v>
      </c>
      <c r="BX1579" s="65" t="n">
        <v>1579</v>
      </c>
      <c r="BY1579" s="60" t="str">
        <f aca="false">IF(U1579&lt;&gt;"",UPPER(TRIM(U1579)),IF(CB1579=1,UPPER(VLOOKUP(T1579,Parameter!$I$27:$K$29,2,0)),IF(P1579="","LOSE",P1579)))</f>
        <v>S51</v>
      </c>
      <c r="BZ1579" s="62" t="n">
        <f aca="false">IF(BY1579="LOSE",1,IF(N(V1579)&gt;0,V1579,IF(CB1579=1,MAX(1,N(VLOOKUP(T1579,Parameter!$I$27:$K$29,3,0)),H1579,N(N1579)),IF(N(Q1579)&gt;0,Q1579,MAX(1,H1579)))))</f>
        <v>20</v>
      </c>
      <c r="CA1579" s="65" t="n">
        <f aca="false">IF(BY1579="LOSE",1,0)</f>
        <v>0</v>
      </c>
      <c r="CB1579" s="65" t="n">
        <f aca="false">IF(AND(U1579="",OR(P1579="",P1579="LOSE"),T1579&lt;&gt;"",N(S1579)&lt;=0,ISNUMBER(MATCH(T1579,Parameter!$I$27:$I$29,0))),1,0)</f>
        <v>1</v>
      </c>
      <c r="CC1579" s="65" t="n">
        <f aca="false">IF(CR1579&gt;0,INDEX(Parameter!$H$5:$H$7,W1579)/INDEX(Parameter!$E$5:$E$7,W1579),IF(AND(CA1579=0,N(IFERROR(VLOOKUP(BY1579,'Gebinde-Kategorie'!$A$5:$N$45,14,0),0))&gt;0),VLOOKUP(BY1579,'Gebinde-Kategorie'!$A$5:$N$45,14,0)*10+Parameter!$M$23,Parameter!$M$24))</f>
        <v>155</v>
      </c>
      <c r="CD1579" s="60" t="str">
        <f aca="false">IF(AND(Parameter!$B$19="Ja",E1579&lt;&gt;"",ISNUMBER(MATCH(E1579,Parameter!$I$35:$I$52,0))),VLOOKUP(E1579,Parameter!$I$35:$J$52,2,0),IFERROR(VLOOKUP(D1579,Parameter!$A$35:$C$64,2,0),"Nein"))</f>
        <v>2+3</v>
      </c>
      <c r="CE1579" s="64" t="n">
        <f aca="false">IF(CA1579=0,0,IF(N(S1579)&gt;0,S1579,IFERROR(VLOOKUP(D1579,Parameter!$A$35:$C$64,3,0)+0,0)))</f>
        <v>0</v>
      </c>
      <c r="CF1579" s="60" t="n">
        <f aca="false">IF(AB1579&lt;&gt;"",AB1579,AA1579)</f>
        <v>3</v>
      </c>
      <c r="CG1579" s="60" t="str">
        <f aca="false">IF(OR(CF1579=1,CF1579=2,CF1579=3),IF(Parameter!$E$27="Ja","LIFT",IF(CF1579=1,"L1","L23")),IF(CF1579="Aussen","Aussen","-"))</f>
        <v>LIFT</v>
      </c>
      <c r="CH1579" s="71" t="n">
        <f aca="false">IF(N(AC1579)&gt;0,AC1579,0)</f>
        <v>0</v>
      </c>
      <c r="CI1579" s="65" t="n">
        <f aca="false">IF(ISNUMBER(AF1579),1,0)</f>
        <v>0</v>
      </c>
      <c r="CJ1579" s="62" t="n">
        <f aca="false">N(AF1579)</f>
        <v>0</v>
      </c>
      <c r="CK1579" s="62" t="n">
        <f aca="false">N(M1579)+N(N1579)</f>
        <v>3</v>
      </c>
      <c r="CL1579" s="62" t="n">
        <f aca="false">N(M1579)</f>
        <v>0</v>
      </c>
      <c r="CM1579" s="62" t="n">
        <f aca="false">N(N1579)</f>
        <v>3</v>
      </c>
      <c r="CN1579" s="62" t="n">
        <f aca="false">ROUNDUP(H1579/BZ1579,0)</f>
        <v>1</v>
      </c>
      <c r="CO1579" s="62" t="n">
        <f aca="false">ROUNDUP(CJ1579/BZ1579,0)</f>
        <v>0</v>
      </c>
      <c r="CP1579" s="65" t="n">
        <f aca="false">IF(CA1579=1,0,IFERROR(VLOOKUP(BY1579,'Gebinde-Kategorie'!$A$5:$N$45,5,0)+0,0))</f>
        <v>11</v>
      </c>
      <c r="CQ1579" s="65" t="n">
        <f aca="false">IFERROR(IF(OR(CF1579=1,CF1579=2,CF1579=3),N(INDEX(Parameter!$I$5:$I$7,CF1579)),0),0)</f>
        <v>0</v>
      </c>
      <c r="CR1579" s="64" t="n">
        <f aca="false">IF(AND(Parameter!$B$21="Ja",ISNUMBER(W1579),N(X1579)&gt;0),IFERROR(N(INDEX(Parameter!$L$5:$L$7,W1579))*INDEX(Parameter!$E$5:$E$7,W1579)*X1579/SUMIFS($X$7:$X$1843,$W$7:$W$1843,W1579),0),0)</f>
        <v>0</v>
      </c>
      <c r="CS1579" s="62" t="n">
        <f aca="false">IF(AND(OR(CG1579="L1",CG1579="L23",CG1579="LIFT"),H1579&gt;0),CC1579*IF(CR1579&gt;0,CR1579*MAX(1,H1579/X1579),IF(CA1579=1,CE1579,IF(R1579&gt;0,CN1579/R1579,0))/MAX(0.1,N(Parameter!$M$21))),"")</f>
        <v>5.96153846153846</v>
      </c>
      <c r="CT1579" s="64" t="n">
        <f aca="false">IF(CS1579="","",J1579/H1579)</f>
        <v>0</v>
      </c>
      <c r="CU1579" s="62" t="n">
        <f aca="false">IF(CS1579="","",H1579*G1579)</f>
        <v>172.2</v>
      </c>
      <c r="CV1579" s="63" t="n">
        <f aca="false">IF(CS1579="","",(CL1579+ROUNDUP(CL1579+MAX(CM1579,2*(J1579/MAX(0.1,N(Einkauf!$C$6))-CL1579)),0))/2)</f>
        <v>1.5</v>
      </c>
      <c r="CW1579" s="62" t="n">
        <f aca="false">IF(CS1579="","",MAX(0,H1579-CV1579)*G1579)</f>
        <v>129.15</v>
      </c>
      <c r="CX1579" s="62" t="n">
        <f aca="false">IF(CS1579="","",CS1579*MAX(0,1-CV1579/H1579))</f>
        <v>4.47115384615385</v>
      </c>
      <c r="CY1579" s="64" t="n">
        <f aca="false">IF(CS1579="","",PERCENTRANK($CS$7:$CS$1843,CS1579)+PERCENTRANK($CU$7:$CU$1843,CU1579)+1-PERCENTRANK($CT$7:$CT$1843,CT1579))</f>
        <v>1.675</v>
      </c>
      <c r="CZ1579" s="72" t="n">
        <f aca="false">IF(CS1579="","",CHOOSE(MATCH(Einkauf!$C$5,Parameter!$G$23:$G$27,0),CY1579,CS1579,CU1579,-CT1579,CW1579)+ROW()/1000000000)</f>
        <v>1.675001579</v>
      </c>
    </row>
    <row r="1580" customFormat="false" ht="15" hidden="false" customHeight="false" outlineLevel="0" collapsed="false">
      <c r="A1580" s="60" t="s">
        <v>2801</v>
      </c>
      <c r="B1580" s="60" t="s">
        <v>2802</v>
      </c>
      <c r="C1580" s="60" t="s">
        <v>206</v>
      </c>
      <c r="D1580" s="60" t="s">
        <v>226</v>
      </c>
      <c r="E1580" s="60"/>
      <c r="F1580" s="60"/>
      <c r="G1580" s="61" t="n">
        <v>58.6</v>
      </c>
      <c r="H1580" s="62" t="n">
        <f aca="false">MAX(0,IF(AND(Parameter!$B$21="Ja",ISNUMBER(Y1580)),Y1580,IF(Parameter!$B$20="Jahresanfang 2025 + Export",BS1580+BR1580,BR1580)))</f>
        <v>3</v>
      </c>
      <c r="I1580" s="62" t="n">
        <f aca="false">H1580*G1580</f>
        <v>175.8</v>
      </c>
      <c r="J1580" s="62" t="n">
        <f aca="false">BU1580*Parameter!$B$18</f>
        <v>0</v>
      </c>
      <c r="K1580" s="63"/>
      <c r="L1580" s="64"/>
      <c r="M1580" s="62" t="n">
        <v>0</v>
      </c>
      <c r="N1580" s="62" t="n">
        <v>1</v>
      </c>
      <c r="O1580" s="65" t="n">
        <v>0</v>
      </c>
      <c r="P1580" s="60" t="s">
        <v>210</v>
      </c>
      <c r="Q1580" s="62"/>
      <c r="R1580" s="65" t="n">
        <f aca="false">IF(CA1580=1,0,IFERROR(VLOOKUP(BY1580,'Gebinde-Kategorie'!$A$5:$N$45,13,0)+0,0))</f>
        <v>26</v>
      </c>
      <c r="S1580" s="66"/>
      <c r="T1580" s="67" t="s">
        <v>317</v>
      </c>
      <c r="U1580" s="67"/>
      <c r="V1580" s="67"/>
      <c r="W1580" s="60"/>
      <c r="X1580" s="62"/>
      <c r="Y1580" s="62"/>
      <c r="Z1580" s="60" t="n">
        <v>3</v>
      </c>
      <c r="AA1580" s="60" t="n">
        <f aca="false">IF(A1580="","",IF(AND(Parameter!$B$21="Ja",ISNUMBER(W1580)),W1580,IF(AND(Parameter!$E$27="Ja",ISNUMBER(Z1580),CD1580&lt;&gt;"Nein"),Z1580,IF(CD1580="2+3",IF(ISNUMBER(SEARCH("grosser Artikel",BV1580)),2,IFERROR(VLOOKUP(BY1580,Parameter!$F$35:$G$64,2,0),2)),IF(OR(CD1580="Nein",CD1580=""),"-",CD1580)))))</f>
        <v>3</v>
      </c>
      <c r="AB1580" s="67"/>
      <c r="AC1580" s="68"/>
      <c r="AD1580" s="62" t="n">
        <f aca="false">AW1580</f>
        <v>1</v>
      </c>
      <c r="AE1580" s="62" t="n">
        <f aca="false">MAX(AW1580,H1580)</f>
        <v>3</v>
      </c>
      <c r="AF1580" s="69"/>
      <c r="AG1580" s="62" t="n">
        <f aca="false">IF(LEFT(Cockpit!$C$5,1)="A",H1580,IF(Parameter!$E$30="MAX-Bestand",IF(CI1580=1,CJ1580,IF(LEFT(Cockpit!$C$5,1)="B",AM1580,MAX(AM1580,H1580))),ROUNDUP(AK1580,0)))</f>
        <v>3</v>
      </c>
      <c r="AH1580" s="62" t="n">
        <f aca="false">IF(CA1580=1,0,ROUNDUP(AG1580/BZ1580,0))</f>
        <v>1</v>
      </c>
      <c r="AI1580" s="64" t="n">
        <f aca="false">IF(CR1580&gt;0,CR1580*MAX(1,AG1580/X1580),IF(CA1580=1,IF(AG1580&lt;=0,0,CE1580*MAX(1,IF(H1580&gt;0,AG1580/H1580,1))),IF(R1580&gt;0,AH1580/R1580,0))/MAX(0.1,N(Parameter!$M$21)))</f>
        <v>0.0384615384615385</v>
      </c>
      <c r="AJ1580" s="62" t="n">
        <f aca="false">AI1580*CC1580</f>
        <v>5.96153846153846</v>
      </c>
      <c r="AK1580" s="63" t="n">
        <f aca="false">IF(LEFT(Cockpit!$C$5,1)="A",H1580,IF(CI1580=1,(CL1580+CJ1580)/2,IF(LEFT(Cockpit!$C$5,1)="B",(CL1580+AM1580)/2,MAX((CL1580+AM1580)/2,H1580))))</f>
        <v>3</v>
      </c>
      <c r="AL1580" s="62" t="n">
        <f aca="false">AK1580*G1580</f>
        <v>175.8</v>
      </c>
      <c r="AM1580" s="62" t="n">
        <f aca="false">ROUNDUP(CL1580+MAX(CM1580,2*(J1580/IF(CH1580&gt;0,CH1580,MAX(0.1,N(Cockpit!$C$6)))-CL1580)),0)</f>
        <v>1</v>
      </c>
      <c r="AN1580" s="63" t="n">
        <f aca="false">IF(AJ1580&gt;0,J1580/AJ1580,-1)</f>
        <v>0</v>
      </c>
      <c r="AO1580" s="63" t="n">
        <f aca="false">IF(AND(OR(CG1580="L1",CG1580="L23",CG1580="LIFT"),AJ1580&gt;0),SUMIFS($AJ$7:$AJ$1843,$CG$7:$CG$1843,CG1580,$AN$7:$AN$1843,"&gt;"&amp;AN1580)+SUMIFS($AJ$7:$AJ$1843,$CG$7:$CG$1843,CG1580,$AN$7:$AN$1843,AN1580,$BX$7:$BX$1843,"&lt;="&amp;BX1580),"")</f>
        <v>30458.9508055504</v>
      </c>
      <c r="AP1580" s="70" t="n">
        <f aca="false">IF(AO1580="",0,MAX(0,MIN(1,(IF(CG1580="L1",Parameter!$H$5,IF(CG1580="L23",Parameter!$H$6+Parameter!$H$7,Parameter!$H$5+Parameter!$H$6+Parameter!$H$7))-(AO1580-AJ1580))/AJ1580)))</f>
        <v>1</v>
      </c>
      <c r="AQ1580" s="62" t="n">
        <f aca="false">IF(LEFT(Cockpit!$I$5,1)="A",H1580,IF(Parameter!$E$30="MAX-Bestand",IF(CI1580=1,CJ1580,IF(LEFT(Cockpit!$I$5,1)="B",AW1580,MAX(AW1580,H1580))),ROUNDUP(AU1580,0)))</f>
        <v>3</v>
      </c>
      <c r="AR1580" s="62" t="n">
        <f aca="false">IF(CA1580=1,0,ROUNDUP(AQ1580/BZ1580,0))</f>
        <v>1</v>
      </c>
      <c r="AS1580" s="64" t="n">
        <f aca="false">IF(CR1580&gt;0,CR1580*MAX(1,AQ1580/X1580),IF(CA1580=1,IF(AQ1580&lt;=0,0,CE1580*MAX(1,IF(H1580&gt;0,AQ1580/H1580,1))),IF(R1580&gt;0,AR1580/R1580,0))/MAX(0.1,N(Parameter!$M$21)))</f>
        <v>0.0384615384615385</v>
      </c>
      <c r="AT1580" s="62" t="n">
        <f aca="false">AS1580*CC1580</f>
        <v>5.96153846153846</v>
      </c>
      <c r="AU1580" s="63" t="n">
        <f aca="false">IF(LEFT(Cockpit!$I$5,1)="A",H1580,IF(CI1580=1,(CL1580+CJ1580)/2,IF(LEFT(Cockpit!$I$5,1)="B",(CL1580+AW1580)/2,MAX((CL1580+AW1580)/2,H1580))))</f>
        <v>3</v>
      </c>
      <c r="AV1580" s="62" t="n">
        <f aca="false">AU1580*G1580</f>
        <v>175.8</v>
      </c>
      <c r="AW1580" s="62" t="n">
        <f aca="false">ROUNDUP(CL1580+MAX(CM1580,2*(J1580/IF(CH1580&gt;0,CH1580,MAX(0.1,N(Cockpit!$I$6)))-CL1580)),0)</f>
        <v>1</v>
      </c>
      <c r="AX1580" s="63" t="n">
        <f aca="false">IF(AT1580&gt;0,J1580/AT1580,-1)</f>
        <v>0</v>
      </c>
      <c r="AY1580" s="63" t="n">
        <f aca="false">IF(AND(OR(CG1580="L1",CG1580="L23",CG1580="LIFT"),AT1580&gt;0),SUMIFS($AT$7:$AT$1843,$CG$7:$CG$1843,CG1580,$AX$7:$AX$1843,"&gt;"&amp;AX1580)+SUMIFS($AT$7:$AT$1843,$CG$7:$CG$1843,CG1580,$AX$7:$AX$1843,AX1580,$BX$7:$BX$1843,"&lt;="&amp;BX1580),"")</f>
        <v>36778.8073223857</v>
      </c>
      <c r="AZ1580" s="70" t="n">
        <f aca="false">IF(AY1580="",0,MAX(0,MIN(1,(IF(CG1580="L1",Parameter!$H$5,IF(CG1580="L23",Parameter!$H$6+Parameter!$H$7,Parameter!$H$5+Parameter!$H$6+Parameter!$H$7))-(AY1580-AT1580))/AT1580)))</f>
        <v>0</v>
      </c>
      <c r="BA1580" s="62" t="n">
        <f aca="false">IF(LEFT(Cockpit!$O$5,1)="A",H1580,IF(Parameter!$E$30="MAX-Bestand",IF(CI1580=1,CJ1580,IF(LEFT(Cockpit!$O$5,1)="B",BG1580,MAX(BG1580,H1580))),ROUNDUP(BE1580,0)))</f>
        <v>1</v>
      </c>
      <c r="BB1580" s="62" t="n">
        <f aca="false">IF(CA1580=1,0,ROUNDUP(BA1580/BZ1580,0))</f>
        <v>1</v>
      </c>
      <c r="BC1580" s="64" t="n">
        <f aca="false">IF(CR1580&gt;0,CR1580*MAX(1,BA1580/X1580),IF(CA1580=1,IF(BA1580&lt;=0,0,CE1580*MAX(1,IF(H1580&gt;0,BA1580/H1580,1))),IF(R1580&gt;0,BB1580/R1580,0))/MAX(0.1,N(Parameter!$M$21)))</f>
        <v>0.0384615384615385</v>
      </c>
      <c r="BD1580" s="62" t="n">
        <f aca="false">BC1580*CC1580</f>
        <v>5.96153846153846</v>
      </c>
      <c r="BE1580" s="63" t="n">
        <f aca="false">IF(LEFT(Cockpit!$O$5,1)="A",H1580,IF(CI1580=1,(CL1580+CJ1580)/2,IF(LEFT(Cockpit!$O$5,1)="B",(CL1580+BG1580)/2,MAX((CL1580+BG1580)/2,H1580))))</f>
        <v>0.5</v>
      </c>
      <c r="BF1580" s="62" t="n">
        <f aca="false">BE1580*G1580</f>
        <v>29.3</v>
      </c>
      <c r="BG1580" s="62" t="n">
        <f aca="false">ROUNDUP(CL1580+MAX(CM1580,2*(J1580/IF(CH1580&gt;0,CH1580,MAX(0.1,N(Cockpit!$O$6)))-CL1580)),0)</f>
        <v>1</v>
      </c>
      <c r="BH1580" s="63" t="n">
        <f aca="false">IF(BD1580&gt;0,J1580/BD1580,-1)</f>
        <v>0</v>
      </c>
      <c r="BI1580" s="63" t="n">
        <f aca="false">IF(AND(OR(CG1580="L1",CG1580="L23",CG1580="LIFT"),BD1580&gt;0),SUMIFS($BD$7:$BD$1843,$CG$7:$CG$1843,CG1580,$BH$7:$BH$1843,"&gt;"&amp;BH1580)+SUMIFS($BD$7:$BD$1843,$CG$7:$CG$1843,CG1580,$BH$7:$BH$1843,BH1580,$BX$7:$BX$1843,"&lt;="&amp;BX1580),"")</f>
        <v>30688.2485979181</v>
      </c>
      <c r="BJ1580" s="70" t="n">
        <f aca="false">IF(BI1580="",0,MAX(0,MIN(1,(IF(CG1580="L1",Parameter!$H$5,IF(CG1580="L23",Parameter!$H$6+Parameter!$H$7,Parameter!$H$5+Parameter!$H$6+Parameter!$H$7))-(BI1580-BD1580))/BD1580)))</f>
        <v>1</v>
      </c>
      <c r="BK1580" s="60" t="str">
        <f aca="false">IF(AJ1580&lt;=0,"",IF(CG1580="Aussen","Aussenlager",IF(CG1580="-","Nicht im Lift",IF(AP1580&gt;=1,"Lift",IF(AP1580&lt;=0,"Aussenlager","teilweise")))))</f>
        <v>Lift</v>
      </c>
      <c r="BL1580" s="60" t="str">
        <f aca="false">IF(AT1580&lt;=0,"",IF(CG1580="Aussen","Aussenlager",IF(CG1580="-","Nicht im Lift",IF(AZ1580&gt;=1,"Lift",IF(AZ1580&lt;=0,"Aussenlager","teilweise")))))</f>
        <v>Aussenlager</v>
      </c>
      <c r="BM1580" s="60" t="str">
        <f aca="false">IF(BD1580&lt;=0,"",IF(CG1580="Aussen","Aussenlager",IF(CG1580="-","Nicht im Lift",IF(BJ1580&gt;=1,"Lift",IF(BJ1580&lt;=0,"Aussenlager","teilweise")))))</f>
        <v>Lift</v>
      </c>
      <c r="BN1580" s="60" t="str">
        <f aca="false">IF(A1580="","",IF(BW1580=1,"Neu; ","")&amp;IF(AND(BW1580=0,BR1580&lt;0),"negativer Bestand (Export "&amp;BR1580&amp;"); ","")&amp;IF(J1580&lt;=0,"Kein Verbrauch; ","")&amp;IF(CR1580&gt;0,"Lift "&amp;W1580&amp;" lt. Liftbericht (Fach "&amp;X1580&amp;" Stk); ",IF(CB1580=1,"Gebinde geschätzt ("&amp;T1580&amp;"); ",IF(CA1580=1,"Lose – Tablare geschätzt; ","")))&amp;IF(H1580&gt;AW1580,"Überbestand "&amp;ROUND(H1580-AW1580,0)&amp;" Stk / CHF "&amp;ROUND((H1580-AW1580)*G1580,0)&amp;"; ","")&amp;IF(AND(CI1580=1,CJ1580&lt;CK1580),"MAX &lt; MB+LG; ","")&amp;IF(AND(CQ1580&gt;0,CP1580*10&gt;CQ1580),"zu hoch für Tablar; ","")&amp;IF(AND(BW1580=0,OR(CI1580=1,AB1580&lt;&gt;"",U1580&lt;&gt;"",V1580&lt;&gt;"",AC1580&lt;&gt;"")),"manuell übersteuert; ","")&amp;IF(AND(CA1580=0,R1580=0),"Gebinde unbekannt / Stellmass fehlt; ","")&amp;IF(AND(CA1580=0,N(V1580)&lt;=0,N(Q1580)&lt;=0),"Menge pro Gebinde fehlt (Ist = 1 Gebinde); ","")&amp;BV1580)</f>
        <v>Kein Verbrauch; Gebinde geschätzt (Klein); Überbestand 2 Stk / CHF 117; Menge pro Gebinde fehlt (Ist = 1 Gebinde); nur im Artikelstamm (Bestand 23.06.2026); Überbestand</v>
      </c>
      <c r="BO1580" s="60"/>
      <c r="BP1580" s="60"/>
      <c r="BQ1580" s="67"/>
      <c r="BR1580" s="62" t="n">
        <v>3</v>
      </c>
      <c r="BS1580" s="62" t="n">
        <v>0</v>
      </c>
      <c r="BT1580" s="61" t="n">
        <v>0</v>
      </c>
      <c r="BU1580" s="62" t="n">
        <v>0</v>
      </c>
      <c r="BV1580" s="60" t="s">
        <v>2614</v>
      </c>
      <c r="BW1580" s="65" t="n">
        <v>0</v>
      </c>
      <c r="BX1580" s="65" t="n">
        <v>1580</v>
      </c>
      <c r="BY1580" s="60" t="str">
        <f aca="false">IF(U1580&lt;&gt;"",UPPER(TRIM(U1580)),IF(CB1580=1,UPPER(VLOOKUP(T1580,Parameter!$I$27:$K$29,2,0)),IF(P1580="","LOSE",P1580)))</f>
        <v>S51</v>
      </c>
      <c r="BZ1580" s="62" t="n">
        <f aca="false">IF(BY1580="LOSE",1,IF(N(V1580)&gt;0,V1580,IF(CB1580=1,MAX(1,N(VLOOKUP(T1580,Parameter!$I$27:$K$29,3,0)),H1580,N(N1580)),IF(N(Q1580)&gt;0,Q1580,MAX(1,H1580)))))</f>
        <v>20</v>
      </c>
      <c r="CA1580" s="65" t="n">
        <f aca="false">IF(BY1580="LOSE",1,0)</f>
        <v>0</v>
      </c>
      <c r="CB1580" s="65" t="n">
        <f aca="false">IF(AND(U1580="",OR(P1580="",P1580="LOSE"),T1580&lt;&gt;"",N(S1580)&lt;=0,ISNUMBER(MATCH(T1580,Parameter!$I$27:$I$29,0))),1,0)</f>
        <v>1</v>
      </c>
      <c r="CC1580" s="65" t="n">
        <f aca="false">IF(CR1580&gt;0,INDEX(Parameter!$H$5:$H$7,W1580)/INDEX(Parameter!$E$5:$E$7,W1580),IF(AND(CA1580=0,N(IFERROR(VLOOKUP(BY1580,'Gebinde-Kategorie'!$A$5:$N$45,14,0),0))&gt;0),VLOOKUP(BY1580,'Gebinde-Kategorie'!$A$5:$N$45,14,0)*10+Parameter!$M$23,Parameter!$M$24))</f>
        <v>155</v>
      </c>
      <c r="CD1580" s="60" t="str">
        <f aca="false">IF(AND(Parameter!$B$19="Ja",E1580&lt;&gt;"",ISNUMBER(MATCH(E1580,Parameter!$I$35:$I$52,0))),VLOOKUP(E1580,Parameter!$I$35:$J$52,2,0),IFERROR(VLOOKUP(D1580,Parameter!$A$35:$C$64,2,0),"Nein"))</f>
        <v>2+3</v>
      </c>
      <c r="CE1580" s="64" t="n">
        <f aca="false">IF(CA1580=0,0,IF(N(S1580)&gt;0,S1580,IFERROR(VLOOKUP(D1580,Parameter!$A$35:$C$64,3,0)+0,0)))</f>
        <v>0</v>
      </c>
      <c r="CF1580" s="60" t="n">
        <f aca="false">IF(AB1580&lt;&gt;"",AB1580,AA1580)</f>
        <v>3</v>
      </c>
      <c r="CG1580" s="60" t="str">
        <f aca="false">IF(OR(CF1580=1,CF1580=2,CF1580=3),IF(Parameter!$E$27="Ja","LIFT",IF(CF1580=1,"L1","L23")),IF(CF1580="Aussen","Aussen","-"))</f>
        <v>LIFT</v>
      </c>
      <c r="CH1580" s="71" t="n">
        <f aca="false">IF(N(AC1580)&gt;0,AC1580,0)</f>
        <v>0</v>
      </c>
      <c r="CI1580" s="65" t="n">
        <f aca="false">IF(ISNUMBER(AF1580),1,0)</f>
        <v>0</v>
      </c>
      <c r="CJ1580" s="62" t="n">
        <f aca="false">N(AF1580)</f>
        <v>0</v>
      </c>
      <c r="CK1580" s="62" t="n">
        <f aca="false">N(M1580)+N(N1580)</f>
        <v>1</v>
      </c>
      <c r="CL1580" s="62" t="n">
        <f aca="false">N(M1580)</f>
        <v>0</v>
      </c>
      <c r="CM1580" s="62" t="n">
        <f aca="false">N(N1580)</f>
        <v>1</v>
      </c>
      <c r="CN1580" s="62" t="n">
        <f aca="false">ROUNDUP(H1580/BZ1580,0)</f>
        <v>1</v>
      </c>
      <c r="CO1580" s="62" t="n">
        <f aca="false">ROUNDUP(CJ1580/BZ1580,0)</f>
        <v>0</v>
      </c>
      <c r="CP1580" s="65" t="n">
        <f aca="false">IF(CA1580=1,0,IFERROR(VLOOKUP(BY1580,'Gebinde-Kategorie'!$A$5:$N$45,5,0)+0,0))</f>
        <v>11</v>
      </c>
      <c r="CQ1580" s="65" t="n">
        <f aca="false">IFERROR(IF(OR(CF1580=1,CF1580=2,CF1580=3),N(INDEX(Parameter!$I$5:$I$7,CF1580)),0),0)</f>
        <v>0</v>
      </c>
      <c r="CR1580" s="64" t="n">
        <f aca="false">IF(AND(Parameter!$B$21="Ja",ISNUMBER(W1580),N(X1580)&gt;0),IFERROR(N(INDEX(Parameter!$L$5:$L$7,W1580))*INDEX(Parameter!$E$5:$E$7,W1580)*X1580/SUMIFS($X$7:$X$1843,$W$7:$W$1843,W1580),0),0)</f>
        <v>0</v>
      </c>
      <c r="CS1580" s="62" t="n">
        <f aca="false">IF(AND(OR(CG1580="L1",CG1580="L23",CG1580="LIFT"),H1580&gt;0),CC1580*IF(CR1580&gt;0,CR1580*MAX(1,H1580/X1580),IF(CA1580=1,CE1580,IF(R1580&gt;0,CN1580/R1580,0))/MAX(0.1,N(Parameter!$M$21))),"")</f>
        <v>5.96153846153846</v>
      </c>
      <c r="CT1580" s="64" t="n">
        <f aca="false">IF(CS1580="","",J1580/H1580)</f>
        <v>0</v>
      </c>
      <c r="CU1580" s="62" t="n">
        <f aca="false">IF(CS1580="","",H1580*G1580)</f>
        <v>175.8</v>
      </c>
      <c r="CV1580" s="63" t="n">
        <f aca="false">IF(CS1580="","",(CL1580+ROUNDUP(CL1580+MAX(CM1580,2*(J1580/MAX(0.1,N(Einkauf!$C$6))-CL1580)),0))/2)</f>
        <v>0.5</v>
      </c>
      <c r="CW1580" s="62" t="n">
        <f aca="false">IF(CS1580="","",MAX(0,H1580-CV1580)*G1580)</f>
        <v>146.5</v>
      </c>
      <c r="CX1580" s="62" t="n">
        <f aca="false">IF(CS1580="","",CS1580*MAX(0,1-CV1580/H1580))</f>
        <v>4.96794871794872</v>
      </c>
      <c r="CY1580" s="64" t="n">
        <f aca="false">IF(CS1580="","",PERCENTRANK($CS$7:$CS$1843,CS1580)+PERCENTRANK($CU$7:$CU$1843,CU1580)+1-PERCENTRANK($CT$7:$CT$1843,CT1580))</f>
        <v>1.678</v>
      </c>
      <c r="CZ1580" s="72" t="n">
        <f aca="false">IF(CS1580="","",CHOOSE(MATCH(Einkauf!$C$5,Parameter!$G$23:$G$27,0),CY1580,CS1580,CU1580,-CT1580,CW1580)+ROW()/1000000000)</f>
        <v>1.67800158</v>
      </c>
    </row>
    <row r="1581" customFormat="false" ht="15" hidden="false" customHeight="false" outlineLevel="0" collapsed="false">
      <c r="A1581" s="60" t="s">
        <v>2803</v>
      </c>
      <c r="B1581" s="60" t="s">
        <v>1862</v>
      </c>
      <c r="C1581" s="60" t="s">
        <v>206</v>
      </c>
      <c r="D1581" s="60" t="s">
        <v>215</v>
      </c>
      <c r="E1581" s="60"/>
      <c r="F1581" s="60"/>
      <c r="G1581" s="61" t="n">
        <v>8.7</v>
      </c>
      <c r="H1581" s="62" t="n">
        <f aca="false">MAX(0,IF(AND(Parameter!$B$21="Ja",ISNUMBER(Y1581)),Y1581,IF(Parameter!$B$20="Jahresanfang 2025 + Export",BS1581+BR1581,BR1581)))</f>
        <v>17</v>
      </c>
      <c r="I1581" s="62" t="n">
        <f aca="false">H1581*G1581</f>
        <v>147.9</v>
      </c>
      <c r="J1581" s="62" t="n">
        <f aca="false">BU1581*Parameter!$B$18</f>
        <v>0</v>
      </c>
      <c r="K1581" s="63"/>
      <c r="L1581" s="64"/>
      <c r="M1581" s="62" t="n">
        <v>0</v>
      </c>
      <c r="N1581" s="62" t="n">
        <v>1</v>
      </c>
      <c r="O1581" s="65" t="n">
        <v>0</v>
      </c>
      <c r="P1581" s="60" t="s">
        <v>210</v>
      </c>
      <c r="Q1581" s="62"/>
      <c r="R1581" s="65" t="n">
        <f aca="false">IF(CA1581=1,0,IFERROR(VLOOKUP(BY1581,'Gebinde-Kategorie'!$A$5:$N$45,13,0)+0,0))</f>
        <v>12</v>
      </c>
      <c r="S1581" s="66"/>
      <c r="T1581" s="67" t="s">
        <v>221</v>
      </c>
      <c r="U1581" s="67"/>
      <c r="V1581" s="67"/>
      <c r="W1581" s="60"/>
      <c r="X1581" s="62"/>
      <c r="Y1581" s="62"/>
      <c r="Z1581" s="60" t="n">
        <v>3</v>
      </c>
      <c r="AA1581" s="60" t="n">
        <f aca="false">IF(A1581="","",IF(AND(Parameter!$B$21="Ja",ISNUMBER(W1581)),W1581,IF(AND(Parameter!$E$27="Ja",ISNUMBER(Z1581),CD1581&lt;&gt;"Nein"),Z1581,IF(CD1581="2+3",IF(ISNUMBER(SEARCH("grosser Artikel",BV1581)),2,IFERROR(VLOOKUP(BY1581,Parameter!$F$35:$G$64,2,0),2)),IF(OR(CD1581="Nein",CD1581=""),"-",CD1581)))))</f>
        <v>3</v>
      </c>
      <c r="AB1581" s="67"/>
      <c r="AC1581" s="68"/>
      <c r="AD1581" s="62" t="n">
        <f aca="false">AW1581</f>
        <v>1</v>
      </c>
      <c r="AE1581" s="62" t="n">
        <f aca="false">MAX(AW1581,H1581)</f>
        <v>17</v>
      </c>
      <c r="AF1581" s="69"/>
      <c r="AG1581" s="62" t="n">
        <f aca="false">IF(LEFT(Cockpit!$C$5,1)="A",H1581,IF(Parameter!$E$30="MAX-Bestand",IF(CI1581=1,CJ1581,IF(LEFT(Cockpit!$C$5,1)="B",AM1581,MAX(AM1581,H1581))),ROUNDUP(AK1581,0)))</f>
        <v>17</v>
      </c>
      <c r="AH1581" s="62" t="n">
        <f aca="false">IF(CA1581=1,0,ROUNDUP(AG1581/BZ1581,0))</f>
        <v>1</v>
      </c>
      <c r="AI1581" s="64" t="n">
        <f aca="false">IF(CR1581&gt;0,CR1581*MAX(1,AG1581/X1581),IF(CA1581=1,IF(AG1581&lt;=0,0,CE1581*MAX(1,IF(H1581&gt;0,AG1581/H1581,1))),IF(R1581&gt;0,AH1581/R1581,0))/MAX(0.1,N(Parameter!$M$21)))</f>
        <v>0.0833333333333333</v>
      </c>
      <c r="AJ1581" s="62" t="n">
        <f aca="false">AI1581*CC1581</f>
        <v>12.0833333333333</v>
      </c>
      <c r="AK1581" s="63" t="n">
        <f aca="false">IF(LEFT(Cockpit!$C$5,1)="A",H1581,IF(CI1581=1,(CL1581+CJ1581)/2,IF(LEFT(Cockpit!$C$5,1)="B",(CL1581+AM1581)/2,MAX((CL1581+AM1581)/2,H1581))))</f>
        <v>17</v>
      </c>
      <c r="AL1581" s="62" t="n">
        <f aca="false">AK1581*G1581</f>
        <v>147.9</v>
      </c>
      <c r="AM1581" s="62" t="n">
        <f aca="false">ROUNDUP(CL1581+MAX(CM1581,2*(J1581/IF(CH1581&gt;0,CH1581,MAX(0.1,N(Cockpit!$C$6)))-CL1581)),0)</f>
        <v>1</v>
      </c>
      <c r="AN1581" s="63" t="n">
        <f aca="false">IF(AJ1581&gt;0,J1581/AJ1581,-1)</f>
        <v>0</v>
      </c>
      <c r="AO1581" s="63" t="n">
        <f aca="false">IF(AND(OR(CG1581="L1",CG1581="L23",CG1581="LIFT"),AJ1581&gt;0),SUMIFS($AJ$7:$AJ$1843,$CG$7:$CG$1843,CG1581,$AN$7:$AN$1843,"&gt;"&amp;AN1581)+SUMIFS($AJ$7:$AJ$1843,$CG$7:$CG$1843,CG1581,$AN$7:$AN$1843,AN1581,$BX$7:$BX$1843,"&lt;="&amp;BX1581),"")</f>
        <v>30471.0341388837</v>
      </c>
      <c r="AP1581" s="70" t="n">
        <f aca="false">IF(AO1581="",0,MAX(0,MIN(1,(IF(CG1581="L1",Parameter!$H$5,IF(CG1581="L23",Parameter!$H$6+Parameter!$H$7,Parameter!$H$5+Parameter!$H$6+Parameter!$H$7))-(AO1581-AJ1581))/AJ1581)))</f>
        <v>1</v>
      </c>
      <c r="AQ1581" s="62" t="n">
        <f aca="false">IF(LEFT(Cockpit!$I$5,1)="A",H1581,IF(Parameter!$E$30="MAX-Bestand",IF(CI1581=1,CJ1581,IF(LEFT(Cockpit!$I$5,1)="B",AW1581,MAX(AW1581,H1581))),ROUNDUP(AU1581,0)))</f>
        <v>17</v>
      </c>
      <c r="AR1581" s="62" t="n">
        <f aca="false">IF(CA1581=1,0,ROUNDUP(AQ1581/BZ1581,0))</f>
        <v>1</v>
      </c>
      <c r="AS1581" s="64" t="n">
        <f aca="false">IF(CR1581&gt;0,CR1581*MAX(1,AQ1581/X1581),IF(CA1581=1,IF(AQ1581&lt;=0,0,CE1581*MAX(1,IF(H1581&gt;0,AQ1581/H1581,1))),IF(R1581&gt;0,AR1581/R1581,0))/MAX(0.1,N(Parameter!$M$21)))</f>
        <v>0.0833333333333333</v>
      </c>
      <c r="AT1581" s="62" t="n">
        <f aca="false">AS1581*CC1581</f>
        <v>12.0833333333333</v>
      </c>
      <c r="AU1581" s="63" t="n">
        <f aca="false">IF(LEFT(Cockpit!$I$5,1)="A",H1581,IF(CI1581=1,(CL1581+CJ1581)/2,IF(LEFT(Cockpit!$I$5,1)="B",(CL1581+AW1581)/2,MAX((CL1581+AW1581)/2,H1581))))</f>
        <v>17</v>
      </c>
      <c r="AV1581" s="62" t="n">
        <f aca="false">AU1581*G1581</f>
        <v>147.9</v>
      </c>
      <c r="AW1581" s="62" t="n">
        <f aca="false">ROUNDUP(CL1581+MAX(CM1581,2*(J1581/IF(CH1581&gt;0,CH1581,MAX(0.1,N(Cockpit!$I$6)))-CL1581)),0)</f>
        <v>1</v>
      </c>
      <c r="AX1581" s="63" t="n">
        <f aca="false">IF(AT1581&gt;0,J1581/AT1581,-1)</f>
        <v>0</v>
      </c>
      <c r="AY1581" s="63" t="n">
        <f aca="false">IF(AND(OR(CG1581="L1",CG1581="L23",CG1581="LIFT"),AT1581&gt;0),SUMIFS($AT$7:$AT$1843,$CG$7:$CG$1843,CG1581,$AX$7:$AX$1843,"&gt;"&amp;AX1581)+SUMIFS($AT$7:$AT$1843,$CG$7:$CG$1843,CG1581,$AX$7:$AX$1843,AX1581,$BX$7:$BX$1843,"&lt;="&amp;BX1581),"")</f>
        <v>36790.890655719</v>
      </c>
      <c r="AZ1581" s="70" t="n">
        <f aca="false">IF(AY1581="",0,MAX(0,MIN(1,(IF(CG1581="L1",Parameter!$H$5,IF(CG1581="L23",Parameter!$H$6+Parameter!$H$7,Parameter!$H$5+Parameter!$H$6+Parameter!$H$7))-(AY1581-AT1581))/AT1581)))</f>
        <v>0</v>
      </c>
      <c r="BA1581" s="62" t="n">
        <f aca="false">IF(LEFT(Cockpit!$O$5,1)="A",H1581,IF(Parameter!$E$30="MAX-Bestand",IF(CI1581=1,CJ1581,IF(LEFT(Cockpit!$O$5,1)="B",BG1581,MAX(BG1581,H1581))),ROUNDUP(BE1581,0)))</f>
        <v>1</v>
      </c>
      <c r="BB1581" s="62" t="n">
        <f aca="false">IF(CA1581=1,0,ROUNDUP(BA1581/BZ1581,0))</f>
        <v>1</v>
      </c>
      <c r="BC1581" s="64" t="n">
        <f aca="false">IF(CR1581&gt;0,CR1581*MAX(1,BA1581/X1581),IF(CA1581=1,IF(BA1581&lt;=0,0,CE1581*MAX(1,IF(H1581&gt;0,BA1581/H1581,1))),IF(R1581&gt;0,BB1581/R1581,0))/MAX(0.1,N(Parameter!$M$21)))</f>
        <v>0.0833333333333333</v>
      </c>
      <c r="BD1581" s="62" t="n">
        <f aca="false">BC1581*CC1581</f>
        <v>12.0833333333333</v>
      </c>
      <c r="BE1581" s="63" t="n">
        <f aca="false">IF(LEFT(Cockpit!$O$5,1)="A",H1581,IF(CI1581=1,(CL1581+CJ1581)/2,IF(LEFT(Cockpit!$O$5,1)="B",(CL1581+BG1581)/2,MAX((CL1581+BG1581)/2,H1581))))</f>
        <v>0.5</v>
      </c>
      <c r="BF1581" s="62" t="n">
        <f aca="false">BE1581*G1581</f>
        <v>4.35</v>
      </c>
      <c r="BG1581" s="62" t="n">
        <f aca="false">ROUNDUP(CL1581+MAX(CM1581,2*(J1581/IF(CH1581&gt;0,CH1581,MAX(0.1,N(Cockpit!$O$6)))-CL1581)),0)</f>
        <v>1</v>
      </c>
      <c r="BH1581" s="63" t="n">
        <f aca="false">IF(BD1581&gt;0,J1581/BD1581,-1)</f>
        <v>0</v>
      </c>
      <c r="BI1581" s="63" t="n">
        <f aca="false">IF(AND(OR(CG1581="L1",CG1581="L23",CG1581="LIFT"),BD1581&gt;0),SUMIFS($BD$7:$BD$1843,$CG$7:$CG$1843,CG1581,$BH$7:$BH$1843,"&gt;"&amp;BH1581)+SUMIFS($BD$7:$BD$1843,$CG$7:$CG$1843,CG1581,$BH$7:$BH$1843,BH1581,$BX$7:$BX$1843,"&lt;="&amp;BX1581),"")</f>
        <v>30700.3319312514</v>
      </c>
      <c r="BJ1581" s="70" t="n">
        <f aca="false">IF(BI1581="",0,MAX(0,MIN(1,(IF(CG1581="L1",Parameter!$H$5,IF(CG1581="L23",Parameter!$H$6+Parameter!$H$7,Parameter!$H$5+Parameter!$H$6+Parameter!$H$7))-(BI1581-BD1581))/BD1581)))</f>
        <v>1</v>
      </c>
      <c r="BK1581" s="60" t="str">
        <f aca="false">IF(AJ1581&lt;=0,"",IF(CG1581="Aussen","Aussenlager",IF(CG1581="-","Nicht im Lift",IF(AP1581&gt;=1,"Lift",IF(AP1581&lt;=0,"Aussenlager","teilweise")))))</f>
        <v>Lift</v>
      </c>
      <c r="BL1581" s="60" t="str">
        <f aca="false">IF(AT1581&lt;=0,"",IF(CG1581="Aussen","Aussenlager",IF(CG1581="-","Nicht im Lift",IF(AZ1581&gt;=1,"Lift",IF(AZ1581&lt;=0,"Aussenlager","teilweise")))))</f>
        <v>Aussenlager</v>
      </c>
      <c r="BM1581" s="60" t="str">
        <f aca="false">IF(BD1581&lt;=0,"",IF(CG1581="Aussen","Aussenlager",IF(CG1581="-","Nicht im Lift",IF(BJ1581&gt;=1,"Lift",IF(BJ1581&lt;=0,"Aussenlager","teilweise")))))</f>
        <v>Lift</v>
      </c>
      <c r="BN1581" s="60" t="str">
        <f aca="false">IF(A1581="","",IF(BW1581=1,"Neu; ","")&amp;IF(AND(BW1581=0,BR1581&lt;0),"negativer Bestand (Export "&amp;BR1581&amp;"); ","")&amp;IF(J1581&lt;=0,"Kein Verbrauch; ","")&amp;IF(CR1581&gt;0,"Lift "&amp;W1581&amp;" lt. Liftbericht (Fach "&amp;X1581&amp;" Stk); ",IF(CB1581=1,"Gebinde geschätzt ("&amp;T1581&amp;"); ",IF(CA1581=1,"Lose – Tablare geschätzt; ","")))&amp;IF(H1581&gt;AW1581,"Überbestand "&amp;ROUND(H1581-AW1581,0)&amp;" Stk / CHF "&amp;ROUND((H1581-AW1581)*G1581,0)&amp;"; ","")&amp;IF(AND(CI1581=1,CJ1581&lt;CK1581),"MAX &lt; MB+LG; ","")&amp;IF(AND(CQ1581&gt;0,CP1581*10&gt;CQ1581),"zu hoch für Tablar; ","")&amp;IF(AND(BW1581=0,OR(CI1581=1,AB1581&lt;&gt;"",U1581&lt;&gt;"",V1581&lt;&gt;"",AC1581&lt;&gt;"")),"manuell übersteuert; ","")&amp;IF(AND(CA1581=0,R1581=0),"Gebinde unbekannt / Stellmass fehlt; ","")&amp;IF(AND(CA1581=0,N(V1581)&lt;=0,N(Q1581)&lt;=0),"Menge pro Gebinde fehlt (Ist = 1 Gebinde); ","")&amp;BV1581)</f>
        <v>Kein Verbrauch; Gebinde geschätzt (Mittel); Überbestand 16 Stk / CHF 139; Menge pro Gebinde fehlt (Ist = 1 Gebinde); nur im Artikelstamm (Bestand 23.06.2026)</v>
      </c>
      <c r="BO1581" s="60"/>
      <c r="BP1581" s="60"/>
      <c r="BQ1581" s="67"/>
      <c r="BR1581" s="62" t="n">
        <v>17</v>
      </c>
      <c r="BS1581" s="62" t="n">
        <v>0</v>
      </c>
      <c r="BT1581" s="61" t="n">
        <v>0</v>
      </c>
      <c r="BU1581" s="62" t="n">
        <v>0</v>
      </c>
      <c r="BV1581" s="60" t="s">
        <v>2617</v>
      </c>
      <c r="BW1581" s="65" t="n">
        <v>0</v>
      </c>
      <c r="BX1581" s="65" t="n">
        <v>1581</v>
      </c>
      <c r="BY1581" s="60" t="str">
        <f aca="false">IF(U1581&lt;&gt;"",UPPER(TRIM(U1581)),IF(CB1581=1,UPPER(VLOOKUP(T1581,Parameter!$I$27:$K$29,2,0)),IF(P1581="","LOSE",P1581)))</f>
        <v>S61</v>
      </c>
      <c r="BZ1581" s="62" t="n">
        <f aca="false">IF(BY1581="LOSE",1,IF(N(V1581)&gt;0,V1581,IF(CB1581=1,MAX(1,N(VLOOKUP(T1581,Parameter!$I$27:$K$29,3,0)),H1581,N(N1581)),IF(N(Q1581)&gt;0,Q1581,MAX(1,H1581)))))</f>
        <v>17</v>
      </c>
      <c r="CA1581" s="65" t="n">
        <f aca="false">IF(BY1581="LOSE",1,0)</f>
        <v>0</v>
      </c>
      <c r="CB1581" s="65" t="n">
        <f aca="false">IF(AND(U1581="",OR(P1581="",P1581="LOSE"),T1581&lt;&gt;"",N(S1581)&lt;=0,ISNUMBER(MATCH(T1581,Parameter!$I$27:$I$29,0))),1,0)</f>
        <v>1</v>
      </c>
      <c r="CC1581" s="65" t="n">
        <f aca="false">IF(CR1581&gt;0,INDEX(Parameter!$H$5:$H$7,W1581)/INDEX(Parameter!$E$5:$E$7,W1581),IF(AND(CA1581=0,N(IFERROR(VLOOKUP(BY1581,'Gebinde-Kategorie'!$A$5:$N$45,14,0),0))&gt;0),VLOOKUP(BY1581,'Gebinde-Kategorie'!$A$5:$N$45,14,0)*10+Parameter!$M$23,Parameter!$M$24))</f>
        <v>145</v>
      </c>
      <c r="CD1581" s="60" t="str">
        <f aca="false">IF(AND(Parameter!$B$19="Ja",E1581&lt;&gt;"",ISNUMBER(MATCH(E1581,Parameter!$I$35:$I$52,0))),VLOOKUP(E1581,Parameter!$I$35:$J$52,2,0),IFERROR(VLOOKUP(D1581,Parameter!$A$35:$C$64,2,0),"Nein"))</f>
        <v>2+3</v>
      </c>
      <c r="CE1581" s="64" t="n">
        <f aca="false">IF(CA1581=0,0,IF(N(S1581)&gt;0,S1581,IFERROR(VLOOKUP(D1581,Parameter!$A$35:$C$64,3,0)+0,0)))</f>
        <v>0</v>
      </c>
      <c r="CF1581" s="60" t="n">
        <f aca="false">IF(AB1581&lt;&gt;"",AB1581,AA1581)</f>
        <v>3</v>
      </c>
      <c r="CG1581" s="60" t="str">
        <f aca="false">IF(OR(CF1581=1,CF1581=2,CF1581=3),IF(Parameter!$E$27="Ja","LIFT",IF(CF1581=1,"L1","L23")),IF(CF1581="Aussen","Aussen","-"))</f>
        <v>LIFT</v>
      </c>
      <c r="CH1581" s="71" t="n">
        <f aca="false">IF(N(AC1581)&gt;0,AC1581,0)</f>
        <v>0</v>
      </c>
      <c r="CI1581" s="65" t="n">
        <f aca="false">IF(ISNUMBER(AF1581),1,0)</f>
        <v>0</v>
      </c>
      <c r="CJ1581" s="62" t="n">
        <f aca="false">N(AF1581)</f>
        <v>0</v>
      </c>
      <c r="CK1581" s="62" t="n">
        <f aca="false">N(M1581)+N(N1581)</f>
        <v>1</v>
      </c>
      <c r="CL1581" s="62" t="n">
        <f aca="false">N(M1581)</f>
        <v>0</v>
      </c>
      <c r="CM1581" s="62" t="n">
        <f aca="false">N(N1581)</f>
        <v>1</v>
      </c>
      <c r="CN1581" s="62" t="n">
        <f aca="false">ROUNDUP(H1581/BZ1581,0)</f>
        <v>1</v>
      </c>
      <c r="CO1581" s="62" t="n">
        <f aca="false">ROUNDUP(CJ1581/BZ1581,0)</f>
        <v>0</v>
      </c>
      <c r="CP1581" s="65" t="n">
        <f aca="false">IF(CA1581=1,0,IFERROR(VLOOKUP(BY1581,'Gebinde-Kategorie'!$A$5:$N$45,5,0)+0,0))</f>
        <v>11</v>
      </c>
      <c r="CQ1581" s="65" t="n">
        <f aca="false">IFERROR(IF(OR(CF1581=1,CF1581=2,CF1581=3),N(INDEX(Parameter!$I$5:$I$7,CF1581)),0),0)</f>
        <v>0</v>
      </c>
      <c r="CR1581" s="64" t="n">
        <f aca="false">IF(AND(Parameter!$B$21="Ja",ISNUMBER(W1581),N(X1581)&gt;0),IFERROR(N(INDEX(Parameter!$L$5:$L$7,W1581))*INDEX(Parameter!$E$5:$E$7,W1581)*X1581/SUMIFS($X$7:$X$1843,$W$7:$W$1843,W1581),0),0)</f>
        <v>0</v>
      </c>
      <c r="CS1581" s="62" t="n">
        <f aca="false">IF(AND(OR(CG1581="L1",CG1581="L23",CG1581="LIFT"),H1581&gt;0),CC1581*IF(CR1581&gt;0,CR1581*MAX(1,H1581/X1581),IF(CA1581=1,CE1581,IF(R1581&gt;0,CN1581/R1581,0))/MAX(0.1,N(Parameter!$M$21))),"")</f>
        <v>12.0833333333333</v>
      </c>
      <c r="CT1581" s="64" t="n">
        <f aca="false">IF(CS1581="","",J1581/H1581)</f>
        <v>0</v>
      </c>
      <c r="CU1581" s="62" t="n">
        <f aca="false">IF(CS1581="","",H1581*G1581)</f>
        <v>147.9</v>
      </c>
      <c r="CV1581" s="63" t="n">
        <f aca="false">IF(CS1581="","",(CL1581+ROUNDUP(CL1581+MAX(CM1581,2*(J1581/MAX(0.1,N(Einkauf!$C$6))-CL1581)),0))/2)</f>
        <v>0.5</v>
      </c>
      <c r="CW1581" s="62" t="n">
        <f aca="false">IF(CS1581="","",MAX(0,H1581-CV1581)*G1581)</f>
        <v>143.55</v>
      </c>
      <c r="CX1581" s="62" t="n">
        <f aca="false">IF(CS1581="","",CS1581*MAX(0,1-CV1581/H1581))</f>
        <v>11.7279411764706</v>
      </c>
      <c r="CY1581" s="64" t="n">
        <f aca="false">IF(CS1581="","",PERCENTRANK($CS$7:$CS$1843,CS1581)+PERCENTRANK($CU$7:$CU$1843,CU1581)+1-PERCENTRANK($CT$7:$CT$1843,CT1581))</f>
        <v>1.955</v>
      </c>
      <c r="CZ1581" s="72" t="n">
        <f aca="false">IF(CS1581="","",CHOOSE(MATCH(Einkauf!$C$5,Parameter!$G$23:$G$27,0),CY1581,CS1581,CU1581,-CT1581,CW1581)+ROW()/1000000000)</f>
        <v>1.955001581</v>
      </c>
    </row>
    <row r="1582" customFormat="false" ht="15" hidden="false" customHeight="false" outlineLevel="0" collapsed="false">
      <c r="A1582" s="60" t="s">
        <v>2804</v>
      </c>
      <c r="B1582" s="60" t="s">
        <v>2677</v>
      </c>
      <c r="C1582" s="60" t="s">
        <v>206</v>
      </c>
      <c r="D1582" s="60" t="s">
        <v>215</v>
      </c>
      <c r="E1582" s="60"/>
      <c r="F1582" s="60"/>
      <c r="G1582" s="61" t="n">
        <v>265</v>
      </c>
      <c r="H1582" s="62" t="n">
        <f aca="false">MAX(0,IF(AND(Parameter!$B$21="Ja",ISNUMBER(Y1582)),Y1582,IF(Parameter!$B$20="Jahresanfang 2025 + Export",BS1582+BR1582,BR1582)))</f>
        <v>12</v>
      </c>
      <c r="I1582" s="62" t="n">
        <f aca="false">H1582*G1582</f>
        <v>3180</v>
      </c>
      <c r="J1582" s="62" t="n">
        <f aca="false">BU1582*Parameter!$B$18</f>
        <v>0</v>
      </c>
      <c r="K1582" s="63"/>
      <c r="L1582" s="64"/>
      <c r="M1582" s="62" t="n">
        <v>0</v>
      </c>
      <c r="N1582" s="62" t="n">
        <v>1</v>
      </c>
      <c r="O1582" s="65" t="n">
        <v>0</v>
      </c>
      <c r="P1582" s="60" t="s">
        <v>210</v>
      </c>
      <c r="Q1582" s="62"/>
      <c r="R1582" s="65" t="n">
        <f aca="false">IF(CA1582=1,0,IFERROR(VLOOKUP(BY1582,'Gebinde-Kategorie'!$A$5:$N$45,13,0)+0,0))</f>
        <v>12</v>
      </c>
      <c r="S1582" s="66"/>
      <c r="T1582" s="67" t="s">
        <v>221</v>
      </c>
      <c r="U1582" s="67"/>
      <c r="V1582" s="67"/>
      <c r="W1582" s="60"/>
      <c r="X1582" s="62"/>
      <c r="Y1582" s="62"/>
      <c r="Z1582" s="60" t="n">
        <v>3</v>
      </c>
      <c r="AA1582" s="60" t="n">
        <f aca="false">IF(A1582="","",IF(AND(Parameter!$B$21="Ja",ISNUMBER(W1582)),W1582,IF(AND(Parameter!$E$27="Ja",ISNUMBER(Z1582),CD1582&lt;&gt;"Nein"),Z1582,IF(CD1582="2+3",IF(ISNUMBER(SEARCH("grosser Artikel",BV1582)),2,IFERROR(VLOOKUP(BY1582,Parameter!$F$35:$G$64,2,0),2)),IF(OR(CD1582="Nein",CD1582=""),"-",CD1582)))))</f>
        <v>3</v>
      </c>
      <c r="AB1582" s="67"/>
      <c r="AC1582" s="68"/>
      <c r="AD1582" s="62" t="n">
        <f aca="false">AW1582</f>
        <v>1</v>
      </c>
      <c r="AE1582" s="62" t="n">
        <f aca="false">MAX(AW1582,H1582)</f>
        <v>12</v>
      </c>
      <c r="AF1582" s="69"/>
      <c r="AG1582" s="62" t="n">
        <f aca="false">IF(LEFT(Cockpit!$C$5,1)="A",H1582,IF(Parameter!$E$30="MAX-Bestand",IF(CI1582=1,CJ1582,IF(LEFT(Cockpit!$C$5,1)="B",AM1582,MAX(AM1582,H1582))),ROUNDUP(AK1582,0)))</f>
        <v>12</v>
      </c>
      <c r="AH1582" s="62" t="n">
        <f aca="false">IF(CA1582=1,0,ROUNDUP(AG1582/BZ1582,0))</f>
        <v>1</v>
      </c>
      <c r="AI1582" s="64" t="n">
        <f aca="false">IF(CR1582&gt;0,CR1582*MAX(1,AG1582/X1582),IF(CA1582=1,IF(AG1582&lt;=0,0,CE1582*MAX(1,IF(H1582&gt;0,AG1582/H1582,1))),IF(R1582&gt;0,AH1582/R1582,0))/MAX(0.1,N(Parameter!$M$21)))</f>
        <v>0.0833333333333333</v>
      </c>
      <c r="AJ1582" s="62" t="n">
        <f aca="false">AI1582*CC1582</f>
        <v>12.0833333333333</v>
      </c>
      <c r="AK1582" s="63" t="n">
        <f aca="false">IF(LEFT(Cockpit!$C$5,1)="A",H1582,IF(CI1582=1,(CL1582+CJ1582)/2,IF(LEFT(Cockpit!$C$5,1)="B",(CL1582+AM1582)/2,MAX((CL1582+AM1582)/2,H1582))))</f>
        <v>12</v>
      </c>
      <c r="AL1582" s="62" t="n">
        <f aca="false">AK1582*G1582</f>
        <v>3180</v>
      </c>
      <c r="AM1582" s="62" t="n">
        <f aca="false">ROUNDUP(CL1582+MAX(CM1582,2*(J1582/IF(CH1582&gt;0,CH1582,MAX(0.1,N(Cockpit!$C$6)))-CL1582)),0)</f>
        <v>1</v>
      </c>
      <c r="AN1582" s="63" t="n">
        <f aca="false">IF(AJ1582&gt;0,J1582/AJ1582,-1)</f>
        <v>0</v>
      </c>
      <c r="AO1582" s="63" t="n">
        <f aca="false">IF(AND(OR(CG1582="L1",CG1582="L23",CG1582="LIFT"),AJ1582&gt;0),SUMIFS($AJ$7:$AJ$1843,$CG$7:$CG$1843,CG1582,$AN$7:$AN$1843,"&gt;"&amp;AN1582)+SUMIFS($AJ$7:$AJ$1843,$CG$7:$CG$1843,CG1582,$AN$7:$AN$1843,AN1582,$BX$7:$BX$1843,"&lt;="&amp;BX1582),"")</f>
        <v>30483.117472217</v>
      </c>
      <c r="AP1582" s="70" t="n">
        <f aca="false">IF(AO1582="",0,MAX(0,MIN(1,(IF(CG1582="L1",Parameter!$H$5,IF(CG1582="L23",Parameter!$H$6+Parameter!$H$7,Parameter!$H$5+Parameter!$H$6+Parameter!$H$7))-(AO1582-AJ1582))/AJ1582)))</f>
        <v>1</v>
      </c>
      <c r="AQ1582" s="62" t="n">
        <f aca="false">IF(LEFT(Cockpit!$I$5,1)="A",H1582,IF(Parameter!$E$30="MAX-Bestand",IF(CI1582=1,CJ1582,IF(LEFT(Cockpit!$I$5,1)="B",AW1582,MAX(AW1582,H1582))),ROUNDUP(AU1582,0)))</f>
        <v>12</v>
      </c>
      <c r="AR1582" s="62" t="n">
        <f aca="false">IF(CA1582=1,0,ROUNDUP(AQ1582/BZ1582,0))</f>
        <v>1</v>
      </c>
      <c r="AS1582" s="64" t="n">
        <f aca="false">IF(CR1582&gt;0,CR1582*MAX(1,AQ1582/X1582),IF(CA1582=1,IF(AQ1582&lt;=0,0,CE1582*MAX(1,IF(H1582&gt;0,AQ1582/H1582,1))),IF(R1582&gt;0,AR1582/R1582,0))/MAX(0.1,N(Parameter!$M$21)))</f>
        <v>0.0833333333333333</v>
      </c>
      <c r="AT1582" s="62" t="n">
        <f aca="false">AS1582*CC1582</f>
        <v>12.0833333333333</v>
      </c>
      <c r="AU1582" s="63" t="n">
        <f aca="false">IF(LEFT(Cockpit!$I$5,1)="A",H1582,IF(CI1582=1,(CL1582+CJ1582)/2,IF(LEFT(Cockpit!$I$5,1)="B",(CL1582+AW1582)/2,MAX((CL1582+AW1582)/2,H1582))))</f>
        <v>12</v>
      </c>
      <c r="AV1582" s="62" t="n">
        <f aca="false">AU1582*G1582</f>
        <v>3180</v>
      </c>
      <c r="AW1582" s="62" t="n">
        <f aca="false">ROUNDUP(CL1582+MAX(CM1582,2*(J1582/IF(CH1582&gt;0,CH1582,MAX(0.1,N(Cockpit!$I$6)))-CL1582)),0)</f>
        <v>1</v>
      </c>
      <c r="AX1582" s="63" t="n">
        <f aca="false">IF(AT1582&gt;0,J1582/AT1582,-1)</f>
        <v>0</v>
      </c>
      <c r="AY1582" s="63" t="n">
        <f aca="false">IF(AND(OR(CG1582="L1",CG1582="L23",CG1582="LIFT"),AT1582&gt;0),SUMIFS($AT$7:$AT$1843,$CG$7:$CG$1843,CG1582,$AX$7:$AX$1843,"&gt;"&amp;AX1582)+SUMIFS($AT$7:$AT$1843,$CG$7:$CG$1843,CG1582,$AX$7:$AX$1843,AX1582,$BX$7:$BX$1843,"&lt;="&amp;BX1582),"")</f>
        <v>36802.9739890524</v>
      </c>
      <c r="AZ1582" s="70" t="n">
        <f aca="false">IF(AY1582="",0,MAX(0,MIN(1,(IF(CG1582="L1",Parameter!$H$5,IF(CG1582="L23",Parameter!$H$6+Parameter!$H$7,Parameter!$H$5+Parameter!$H$6+Parameter!$H$7))-(AY1582-AT1582))/AT1582)))</f>
        <v>0</v>
      </c>
      <c r="BA1582" s="62" t="n">
        <f aca="false">IF(LEFT(Cockpit!$O$5,1)="A",H1582,IF(Parameter!$E$30="MAX-Bestand",IF(CI1582=1,CJ1582,IF(LEFT(Cockpit!$O$5,1)="B",BG1582,MAX(BG1582,H1582))),ROUNDUP(BE1582,0)))</f>
        <v>1</v>
      </c>
      <c r="BB1582" s="62" t="n">
        <f aca="false">IF(CA1582=1,0,ROUNDUP(BA1582/BZ1582,0))</f>
        <v>1</v>
      </c>
      <c r="BC1582" s="64" t="n">
        <f aca="false">IF(CR1582&gt;0,CR1582*MAX(1,BA1582/X1582),IF(CA1582=1,IF(BA1582&lt;=0,0,CE1582*MAX(1,IF(H1582&gt;0,BA1582/H1582,1))),IF(R1582&gt;0,BB1582/R1582,0))/MAX(0.1,N(Parameter!$M$21)))</f>
        <v>0.0833333333333333</v>
      </c>
      <c r="BD1582" s="62" t="n">
        <f aca="false">BC1582*CC1582</f>
        <v>12.0833333333333</v>
      </c>
      <c r="BE1582" s="63" t="n">
        <f aca="false">IF(LEFT(Cockpit!$O$5,1)="A",H1582,IF(CI1582=1,(CL1582+CJ1582)/2,IF(LEFT(Cockpit!$O$5,1)="B",(CL1582+BG1582)/2,MAX((CL1582+BG1582)/2,H1582))))</f>
        <v>0.5</v>
      </c>
      <c r="BF1582" s="62" t="n">
        <f aca="false">BE1582*G1582</f>
        <v>132.5</v>
      </c>
      <c r="BG1582" s="62" t="n">
        <f aca="false">ROUNDUP(CL1582+MAX(CM1582,2*(J1582/IF(CH1582&gt;0,CH1582,MAX(0.1,N(Cockpit!$O$6)))-CL1582)),0)</f>
        <v>1</v>
      </c>
      <c r="BH1582" s="63" t="n">
        <f aca="false">IF(BD1582&gt;0,J1582/BD1582,-1)</f>
        <v>0</v>
      </c>
      <c r="BI1582" s="63" t="n">
        <f aca="false">IF(AND(OR(CG1582="L1",CG1582="L23",CG1582="LIFT"),BD1582&gt;0),SUMIFS($BD$7:$BD$1843,$CG$7:$CG$1843,CG1582,$BH$7:$BH$1843,"&gt;"&amp;BH1582)+SUMIFS($BD$7:$BD$1843,$CG$7:$CG$1843,CG1582,$BH$7:$BH$1843,BH1582,$BX$7:$BX$1843,"&lt;="&amp;BX1582),"")</f>
        <v>30712.4152645848</v>
      </c>
      <c r="BJ1582" s="70" t="n">
        <f aca="false">IF(BI1582="",0,MAX(0,MIN(1,(IF(CG1582="L1",Parameter!$H$5,IF(CG1582="L23",Parameter!$H$6+Parameter!$H$7,Parameter!$H$5+Parameter!$H$6+Parameter!$H$7))-(BI1582-BD1582))/BD1582)))</f>
        <v>1</v>
      </c>
      <c r="BK1582" s="60" t="str">
        <f aca="false">IF(AJ1582&lt;=0,"",IF(CG1582="Aussen","Aussenlager",IF(CG1582="-","Nicht im Lift",IF(AP1582&gt;=1,"Lift",IF(AP1582&lt;=0,"Aussenlager","teilweise")))))</f>
        <v>Lift</v>
      </c>
      <c r="BL1582" s="60" t="str">
        <f aca="false">IF(AT1582&lt;=0,"",IF(CG1582="Aussen","Aussenlager",IF(CG1582="-","Nicht im Lift",IF(AZ1582&gt;=1,"Lift",IF(AZ1582&lt;=0,"Aussenlager","teilweise")))))</f>
        <v>Aussenlager</v>
      </c>
      <c r="BM1582" s="60" t="str">
        <f aca="false">IF(BD1582&lt;=0,"",IF(CG1582="Aussen","Aussenlager",IF(CG1582="-","Nicht im Lift",IF(BJ1582&gt;=1,"Lift",IF(BJ1582&lt;=0,"Aussenlager","teilweise")))))</f>
        <v>Lift</v>
      </c>
      <c r="BN1582" s="60" t="str">
        <f aca="false">IF(A1582="","",IF(BW1582=1,"Neu; ","")&amp;IF(AND(BW1582=0,BR1582&lt;0),"negativer Bestand (Export "&amp;BR1582&amp;"); ","")&amp;IF(J1582&lt;=0,"Kein Verbrauch; ","")&amp;IF(CR1582&gt;0,"Lift "&amp;W1582&amp;" lt. Liftbericht (Fach "&amp;X1582&amp;" Stk); ",IF(CB1582=1,"Gebinde geschätzt ("&amp;T1582&amp;"); ",IF(CA1582=1,"Lose – Tablare geschätzt; ","")))&amp;IF(H1582&gt;AW1582,"Überbestand "&amp;ROUND(H1582-AW1582,0)&amp;" Stk / CHF "&amp;ROUND((H1582-AW1582)*G1582,0)&amp;"; ","")&amp;IF(AND(CI1582=1,CJ1582&lt;CK1582),"MAX &lt; MB+LG; ","")&amp;IF(AND(CQ1582&gt;0,CP1582*10&gt;CQ1582),"zu hoch für Tablar; ","")&amp;IF(AND(BW1582=0,OR(CI1582=1,AB1582&lt;&gt;"",U1582&lt;&gt;"",V1582&lt;&gt;"",AC1582&lt;&gt;"")),"manuell übersteuert; ","")&amp;IF(AND(CA1582=0,R1582=0),"Gebinde unbekannt / Stellmass fehlt; ","")&amp;IF(AND(CA1582=0,N(V1582)&lt;=0,N(Q1582)&lt;=0),"Menge pro Gebinde fehlt (Ist = 1 Gebinde); ","")&amp;BV1582)</f>
        <v>Kein Verbrauch; Gebinde geschätzt (Mittel); Überbestand 11 Stk / CHF 2915; Menge pro Gebinde fehlt (Ist = 1 Gebinde); nur im Artikelstamm (Bestand 23.06.2026)</v>
      </c>
      <c r="BO1582" s="60"/>
      <c r="BP1582" s="60"/>
      <c r="BQ1582" s="67"/>
      <c r="BR1582" s="62" t="n">
        <v>12</v>
      </c>
      <c r="BS1582" s="62" t="n">
        <v>0</v>
      </c>
      <c r="BT1582" s="61" t="n">
        <v>0</v>
      </c>
      <c r="BU1582" s="62" t="n">
        <v>0</v>
      </c>
      <c r="BV1582" s="60" t="s">
        <v>2617</v>
      </c>
      <c r="BW1582" s="65" t="n">
        <v>0</v>
      </c>
      <c r="BX1582" s="65" t="n">
        <v>1582</v>
      </c>
      <c r="BY1582" s="60" t="str">
        <f aca="false">IF(U1582&lt;&gt;"",UPPER(TRIM(U1582)),IF(CB1582=1,UPPER(VLOOKUP(T1582,Parameter!$I$27:$K$29,2,0)),IF(P1582="","LOSE",P1582)))</f>
        <v>S61</v>
      </c>
      <c r="BZ1582" s="62" t="n">
        <f aca="false">IF(BY1582="LOSE",1,IF(N(V1582)&gt;0,V1582,IF(CB1582=1,MAX(1,N(VLOOKUP(T1582,Parameter!$I$27:$K$29,3,0)),H1582,N(N1582)),IF(N(Q1582)&gt;0,Q1582,MAX(1,H1582)))))</f>
        <v>12</v>
      </c>
      <c r="CA1582" s="65" t="n">
        <f aca="false">IF(BY1582="LOSE",1,0)</f>
        <v>0</v>
      </c>
      <c r="CB1582" s="65" t="n">
        <f aca="false">IF(AND(U1582="",OR(P1582="",P1582="LOSE"),T1582&lt;&gt;"",N(S1582)&lt;=0,ISNUMBER(MATCH(T1582,Parameter!$I$27:$I$29,0))),1,0)</f>
        <v>1</v>
      </c>
      <c r="CC1582" s="65" t="n">
        <f aca="false">IF(CR1582&gt;0,INDEX(Parameter!$H$5:$H$7,W1582)/INDEX(Parameter!$E$5:$E$7,W1582),IF(AND(CA1582=0,N(IFERROR(VLOOKUP(BY1582,'Gebinde-Kategorie'!$A$5:$N$45,14,0),0))&gt;0),VLOOKUP(BY1582,'Gebinde-Kategorie'!$A$5:$N$45,14,0)*10+Parameter!$M$23,Parameter!$M$24))</f>
        <v>145</v>
      </c>
      <c r="CD1582" s="60" t="str">
        <f aca="false">IF(AND(Parameter!$B$19="Ja",E1582&lt;&gt;"",ISNUMBER(MATCH(E1582,Parameter!$I$35:$I$52,0))),VLOOKUP(E1582,Parameter!$I$35:$J$52,2,0),IFERROR(VLOOKUP(D1582,Parameter!$A$35:$C$64,2,0),"Nein"))</f>
        <v>2+3</v>
      </c>
      <c r="CE1582" s="64" t="n">
        <f aca="false">IF(CA1582=0,0,IF(N(S1582)&gt;0,S1582,IFERROR(VLOOKUP(D1582,Parameter!$A$35:$C$64,3,0)+0,0)))</f>
        <v>0</v>
      </c>
      <c r="CF1582" s="60" t="n">
        <f aca="false">IF(AB1582&lt;&gt;"",AB1582,AA1582)</f>
        <v>3</v>
      </c>
      <c r="CG1582" s="60" t="str">
        <f aca="false">IF(OR(CF1582=1,CF1582=2,CF1582=3),IF(Parameter!$E$27="Ja","LIFT",IF(CF1582=1,"L1","L23")),IF(CF1582="Aussen","Aussen","-"))</f>
        <v>LIFT</v>
      </c>
      <c r="CH1582" s="71" t="n">
        <f aca="false">IF(N(AC1582)&gt;0,AC1582,0)</f>
        <v>0</v>
      </c>
      <c r="CI1582" s="65" t="n">
        <f aca="false">IF(ISNUMBER(AF1582),1,0)</f>
        <v>0</v>
      </c>
      <c r="CJ1582" s="62" t="n">
        <f aca="false">N(AF1582)</f>
        <v>0</v>
      </c>
      <c r="CK1582" s="62" t="n">
        <f aca="false">N(M1582)+N(N1582)</f>
        <v>1</v>
      </c>
      <c r="CL1582" s="62" t="n">
        <f aca="false">N(M1582)</f>
        <v>0</v>
      </c>
      <c r="CM1582" s="62" t="n">
        <f aca="false">N(N1582)</f>
        <v>1</v>
      </c>
      <c r="CN1582" s="62" t="n">
        <f aca="false">ROUNDUP(H1582/BZ1582,0)</f>
        <v>1</v>
      </c>
      <c r="CO1582" s="62" t="n">
        <f aca="false">ROUNDUP(CJ1582/BZ1582,0)</f>
        <v>0</v>
      </c>
      <c r="CP1582" s="65" t="n">
        <f aca="false">IF(CA1582=1,0,IFERROR(VLOOKUP(BY1582,'Gebinde-Kategorie'!$A$5:$N$45,5,0)+0,0))</f>
        <v>11</v>
      </c>
      <c r="CQ1582" s="65" t="n">
        <f aca="false">IFERROR(IF(OR(CF1582=1,CF1582=2,CF1582=3),N(INDEX(Parameter!$I$5:$I$7,CF1582)),0),0)</f>
        <v>0</v>
      </c>
      <c r="CR1582" s="64" t="n">
        <f aca="false">IF(AND(Parameter!$B$21="Ja",ISNUMBER(W1582),N(X1582)&gt;0),IFERROR(N(INDEX(Parameter!$L$5:$L$7,W1582))*INDEX(Parameter!$E$5:$E$7,W1582)*X1582/SUMIFS($X$7:$X$1843,$W$7:$W$1843,W1582),0),0)</f>
        <v>0</v>
      </c>
      <c r="CS1582" s="62" t="n">
        <f aca="false">IF(AND(OR(CG1582="L1",CG1582="L23",CG1582="LIFT"),H1582&gt;0),CC1582*IF(CR1582&gt;0,CR1582*MAX(1,H1582/X1582),IF(CA1582=1,CE1582,IF(R1582&gt;0,CN1582/R1582,0))/MAX(0.1,N(Parameter!$M$21))),"")</f>
        <v>12.0833333333333</v>
      </c>
      <c r="CT1582" s="64" t="n">
        <f aca="false">IF(CS1582="","",J1582/H1582)</f>
        <v>0</v>
      </c>
      <c r="CU1582" s="62" t="n">
        <f aca="false">IF(CS1582="","",H1582*G1582)</f>
        <v>3180</v>
      </c>
      <c r="CV1582" s="63" t="n">
        <f aca="false">IF(CS1582="","",(CL1582+ROUNDUP(CL1582+MAX(CM1582,2*(J1582/MAX(0.1,N(Einkauf!$C$6))-CL1582)),0))/2)</f>
        <v>0.5</v>
      </c>
      <c r="CW1582" s="62" t="n">
        <f aca="false">IF(CS1582="","",MAX(0,H1582-CV1582)*G1582)</f>
        <v>3047.5</v>
      </c>
      <c r="CX1582" s="62" t="n">
        <f aca="false">IF(CS1582="","",CS1582*MAX(0,1-CV1582/H1582))</f>
        <v>11.5798611111111</v>
      </c>
      <c r="CY1582" s="64" t="n">
        <f aca="false">IF(CS1582="","",PERCENTRANK($CS$7:$CS$1843,CS1582)+PERCENTRANK($CU$7:$CU$1843,CU1582)+1-PERCENTRANK($CT$7:$CT$1843,CT1582))</f>
        <v>2.5</v>
      </c>
      <c r="CZ1582" s="72" t="n">
        <f aca="false">IF(CS1582="","",CHOOSE(MATCH(Einkauf!$C$5,Parameter!$G$23:$G$27,0),CY1582,CS1582,CU1582,-CT1582,CW1582)+ROW()/1000000000)</f>
        <v>2.500001582</v>
      </c>
    </row>
    <row r="1583" customFormat="false" ht="15" hidden="false" customHeight="false" outlineLevel="0" collapsed="false">
      <c r="A1583" s="60" t="s">
        <v>2805</v>
      </c>
      <c r="B1583" s="60" t="s">
        <v>2806</v>
      </c>
      <c r="C1583" s="60" t="s">
        <v>206</v>
      </c>
      <c r="D1583" s="60" t="s">
        <v>215</v>
      </c>
      <c r="E1583" s="60"/>
      <c r="F1583" s="60"/>
      <c r="G1583" s="61" t="n">
        <v>323</v>
      </c>
      <c r="H1583" s="62" t="n">
        <f aca="false">MAX(0,IF(AND(Parameter!$B$21="Ja",ISNUMBER(Y1583)),Y1583,IF(Parameter!$B$20="Jahresanfang 2025 + Export",BS1583+BR1583,BR1583)))</f>
        <v>2</v>
      </c>
      <c r="I1583" s="62" t="n">
        <f aca="false">H1583*G1583</f>
        <v>646</v>
      </c>
      <c r="J1583" s="62" t="n">
        <f aca="false">BU1583*Parameter!$B$18</f>
        <v>0</v>
      </c>
      <c r="K1583" s="63"/>
      <c r="L1583" s="64"/>
      <c r="M1583" s="62" t="n">
        <v>0</v>
      </c>
      <c r="N1583" s="62" t="n">
        <v>1</v>
      </c>
      <c r="O1583" s="65" t="n">
        <v>0</v>
      </c>
      <c r="P1583" s="60" t="s">
        <v>210</v>
      </c>
      <c r="Q1583" s="62"/>
      <c r="R1583" s="65" t="n">
        <f aca="false">IF(CA1583=1,0,IFERROR(VLOOKUP(BY1583,'Gebinde-Kategorie'!$A$5:$N$45,13,0)+0,0))</f>
        <v>12</v>
      </c>
      <c r="S1583" s="66"/>
      <c r="T1583" s="67" t="s">
        <v>221</v>
      </c>
      <c r="U1583" s="67"/>
      <c r="V1583" s="67"/>
      <c r="W1583" s="60"/>
      <c r="X1583" s="62"/>
      <c r="Y1583" s="62"/>
      <c r="Z1583" s="60" t="n">
        <v>3</v>
      </c>
      <c r="AA1583" s="60" t="n">
        <f aca="false">IF(A1583="","",IF(AND(Parameter!$B$21="Ja",ISNUMBER(W1583)),W1583,IF(AND(Parameter!$E$27="Ja",ISNUMBER(Z1583),CD1583&lt;&gt;"Nein"),Z1583,IF(CD1583="2+3",IF(ISNUMBER(SEARCH("grosser Artikel",BV1583)),2,IFERROR(VLOOKUP(BY1583,Parameter!$F$35:$G$64,2,0),2)),IF(OR(CD1583="Nein",CD1583=""),"-",CD1583)))))</f>
        <v>3</v>
      </c>
      <c r="AB1583" s="67"/>
      <c r="AC1583" s="68"/>
      <c r="AD1583" s="62" t="n">
        <f aca="false">AW1583</f>
        <v>1</v>
      </c>
      <c r="AE1583" s="62" t="n">
        <f aca="false">MAX(AW1583,H1583)</f>
        <v>2</v>
      </c>
      <c r="AF1583" s="69"/>
      <c r="AG1583" s="62" t="n">
        <f aca="false">IF(LEFT(Cockpit!$C$5,1)="A",H1583,IF(Parameter!$E$30="MAX-Bestand",IF(CI1583=1,CJ1583,IF(LEFT(Cockpit!$C$5,1)="B",AM1583,MAX(AM1583,H1583))),ROUNDUP(AK1583,0)))</f>
        <v>2</v>
      </c>
      <c r="AH1583" s="62" t="n">
        <f aca="false">IF(CA1583=1,0,ROUNDUP(AG1583/BZ1583,0))</f>
        <v>1</v>
      </c>
      <c r="AI1583" s="64" t="n">
        <f aca="false">IF(CR1583&gt;0,CR1583*MAX(1,AG1583/X1583),IF(CA1583=1,IF(AG1583&lt;=0,0,CE1583*MAX(1,IF(H1583&gt;0,AG1583/H1583,1))),IF(R1583&gt;0,AH1583/R1583,0))/MAX(0.1,N(Parameter!$M$21)))</f>
        <v>0.0833333333333333</v>
      </c>
      <c r="AJ1583" s="62" t="n">
        <f aca="false">AI1583*CC1583</f>
        <v>12.0833333333333</v>
      </c>
      <c r="AK1583" s="63" t="n">
        <f aca="false">IF(LEFT(Cockpit!$C$5,1)="A",H1583,IF(CI1583=1,(CL1583+CJ1583)/2,IF(LEFT(Cockpit!$C$5,1)="B",(CL1583+AM1583)/2,MAX((CL1583+AM1583)/2,H1583))))</f>
        <v>2</v>
      </c>
      <c r="AL1583" s="62" t="n">
        <f aca="false">AK1583*G1583</f>
        <v>646</v>
      </c>
      <c r="AM1583" s="62" t="n">
        <f aca="false">ROUNDUP(CL1583+MAX(CM1583,2*(J1583/IF(CH1583&gt;0,CH1583,MAX(0.1,N(Cockpit!$C$6)))-CL1583)),0)</f>
        <v>1</v>
      </c>
      <c r="AN1583" s="63" t="n">
        <f aca="false">IF(AJ1583&gt;0,J1583/AJ1583,-1)</f>
        <v>0</v>
      </c>
      <c r="AO1583" s="63" t="n">
        <f aca="false">IF(AND(OR(CG1583="L1",CG1583="L23",CG1583="LIFT"),AJ1583&gt;0),SUMIFS($AJ$7:$AJ$1843,$CG$7:$CG$1843,CG1583,$AN$7:$AN$1843,"&gt;"&amp;AN1583)+SUMIFS($AJ$7:$AJ$1843,$CG$7:$CG$1843,CG1583,$AN$7:$AN$1843,AN1583,$BX$7:$BX$1843,"&lt;="&amp;BX1583),"")</f>
        <v>30495.2008055504</v>
      </c>
      <c r="AP1583" s="70" t="n">
        <f aca="false">IF(AO1583="",0,MAX(0,MIN(1,(IF(CG1583="L1",Parameter!$H$5,IF(CG1583="L23",Parameter!$H$6+Parameter!$H$7,Parameter!$H$5+Parameter!$H$6+Parameter!$H$7))-(AO1583-AJ1583))/AJ1583)))</f>
        <v>1</v>
      </c>
      <c r="AQ1583" s="62" t="n">
        <f aca="false">IF(LEFT(Cockpit!$I$5,1)="A",H1583,IF(Parameter!$E$30="MAX-Bestand",IF(CI1583=1,CJ1583,IF(LEFT(Cockpit!$I$5,1)="B",AW1583,MAX(AW1583,H1583))),ROUNDUP(AU1583,0)))</f>
        <v>2</v>
      </c>
      <c r="AR1583" s="62" t="n">
        <f aca="false">IF(CA1583=1,0,ROUNDUP(AQ1583/BZ1583,0))</f>
        <v>1</v>
      </c>
      <c r="AS1583" s="64" t="n">
        <f aca="false">IF(CR1583&gt;0,CR1583*MAX(1,AQ1583/X1583),IF(CA1583=1,IF(AQ1583&lt;=0,0,CE1583*MAX(1,IF(H1583&gt;0,AQ1583/H1583,1))),IF(R1583&gt;0,AR1583/R1583,0))/MAX(0.1,N(Parameter!$M$21)))</f>
        <v>0.0833333333333333</v>
      </c>
      <c r="AT1583" s="62" t="n">
        <f aca="false">AS1583*CC1583</f>
        <v>12.0833333333333</v>
      </c>
      <c r="AU1583" s="63" t="n">
        <f aca="false">IF(LEFT(Cockpit!$I$5,1)="A",H1583,IF(CI1583=1,(CL1583+CJ1583)/2,IF(LEFT(Cockpit!$I$5,1)="B",(CL1583+AW1583)/2,MAX((CL1583+AW1583)/2,H1583))))</f>
        <v>2</v>
      </c>
      <c r="AV1583" s="62" t="n">
        <f aca="false">AU1583*G1583</f>
        <v>646</v>
      </c>
      <c r="AW1583" s="62" t="n">
        <f aca="false">ROUNDUP(CL1583+MAX(CM1583,2*(J1583/IF(CH1583&gt;0,CH1583,MAX(0.1,N(Cockpit!$I$6)))-CL1583)),0)</f>
        <v>1</v>
      </c>
      <c r="AX1583" s="63" t="n">
        <f aca="false">IF(AT1583&gt;0,J1583/AT1583,-1)</f>
        <v>0</v>
      </c>
      <c r="AY1583" s="63" t="n">
        <f aca="false">IF(AND(OR(CG1583="L1",CG1583="L23",CG1583="LIFT"),AT1583&gt;0),SUMIFS($AT$7:$AT$1843,$CG$7:$CG$1843,CG1583,$AX$7:$AX$1843,"&gt;"&amp;AX1583)+SUMIFS($AT$7:$AT$1843,$CG$7:$CG$1843,CG1583,$AX$7:$AX$1843,AX1583,$BX$7:$BX$1843,"&lt;="&amp;BX1583),"")</f>
        <v>36815.0573223857</v>
      </c>
      <c r="AZ1583" s="70" t="n">
        <f aca="false">IF(AY1583="",0,MAX(0,MIN(1,(IF(CG1583="L1",Parameter!$H$5,IF(CG1583="L23",Parameter!$H$6+Parameter!$H$7,Parameter!$H$5+Parameter!$H$6+Parameter!$H$7))-(AY1583-AT1583))/AT1583)))</f>
        <v>0</v>
      </c>
      <c r="BA1583" s="62" t="n">
        <f aca="false">IF(LEFT(Cockpit!$O$5,1)="A",H1583,IF(Parameter!$E$30="MAX-Bestand",IF(CI1583=1,CJ1583,IF(LEFT(Cockpit!$O$5,1)="B",BG1583,MAX(BG1583,H1583))),ROUNDUP(BE1583,0)))</f>
        <v>1</v>
      </c>
      <c r="BB1583" s="62" t="n">
        <f aca="false">IF(CA1583=1,0,ROUNDUP(BA1583/BZ1583,0))</f>
        <v>1</v>
      </c>
      <c r="BC1583" s="64" t="n">
        <f aca="false">IF(CR1583&gt;0,CR1583*MAX(1,BA1583/X1583),IF(CA1583=1,IF(BA1583&lt;=0,0,CE1583*MAX(1,IF(H1583&gt;0,BA1583/H1583,1))),IF(R1583&gt;0,BB1583/R1583,0))/MAX(0.1,N(Parameter!$M$21)))</f>
        <v>0.0833333333333333</v>
      </c>
      <c r="BD1583" s="62" t="n">
        <f aca="false">BC1583*CC1583</f>
        <v>12.0833333333333</v>
      </c>
      <c r="BE1583" s="63" t="n">
        <f aca="false">IF(LEFT(Cockpit!$O$5,1)="A",H1583,IF(CI1583=1,(CL1583+CJ1583)/2,IF(LEFT(Cockpit!$O$5,1)="B",(CL1583+BG1583)/2,MAX((CL1583+BG1583)/2,H1583))))</f>
        <v>0.5</v>
      </c>
      <c r="BF1583" s="62" t="n">
        <f aca="false">BE1583*G1583</f>
        <v>161.5</v>
      </c>
      <c r="BG1583" s="62" t="n">
        <f aca="false">ROUNDUP(CL1583+MAX(CM1583,2*(J1583/IF(CH1583&gt;0,CH1583,MAX(0.1,N(Cockpit!$O$6)))-CL1583)),0)</f>
        <v>1</v>
      </c>
      <c r="BH1583" s="63" t="n">
        <f aca="false">IF(BD1583&gt;0,J1583/BD1583,-1)</f>
        <v>0</v>
      </c>
      <c r="BI1583" s="63" t="n">
        <f aca="false">IF(AND(OR(CG1583="L1",CG1583="L23",CG1583="LIFT"),BD1583&gt;0),SUMIFS($BD$7:$BD$1843,$CG$7:$CG$1843,CG1583,$BH$7:$BH$1843,"&gt;"&amp;BH1583)+SUMIFS($BD$7:$BD$1843,$CG$7:$CG$1843,CG1583,$BH$7:$BH$1843,BH1583,$BX$7:$BX$1843,"&lt;="&amp;BX1583),"")</f>
        <v>30724.4985979181</v>
      </c>
      <c r="BJ1583" s="70" t="n">
        <f aca="false">IF(BI1583="",0,MAX(0,MIN(1,(IF(CG1583="L1",Parameter!$H$5,IF(CG1583="L23",Parameter!$H$6+Parameter!$H$7,Parameter!$H$5+Parameter!$H$6+Parameter!$H$7))-(BI1583-BD1583))/BD1583)))</f>
        <v>1</v>
      </c>
      <c r="BK1583" s="60" t="str">
        <f aca="false">IF(AJ1583&lt;=0,"",IF(CG1583="Aussen","Aussenlager",IF(CG1583="-","Nicht im Lift",IF(AP1583&gt;=1,"Lift",IF(AP1583&lt;=0,"Aussenlager","teilweise")))))</f>
        <v>Lift</v>
      </c>
      <c r="BL1583" s="60" t="str">
        <f aca="false">IF(AT1583&lt;=0,"",IF(CG1583="Aussen","Aussenlager",IF(CG1583="-","Nicht im Lift",IF(AZ1583&gt;=1,"Lift",IF(AZ1583&lt;=0,"Aussenlager","teilweise")))))</f>
        <v>Aussenlager</v>
      </c>
      <c r="BM1583" s="60" t="str">
        <f aca="false">IF(BD1583&lt;=0,"",IF(CG1583="Aussen","Aussenlager",IF(CG1583="-","Nicht im Lift",IF(BJ1583&gt;=1,"Lift",IF(BJ1583&lt;=0,"Aussenlager","teilweise")))))</f>
        <v>Lift</v>
      </c>
      <c r="BN1583" s="60" t="str">
        <f aca="false">IF(A1583="","",IF(BW1583=1,"Neu; ","")&amp;IF(AND(BW1583=0,BR1583&lt;0),"negativer Bestand (Export "&amp;BR1583&amp;"); ","")&amp;IF(J1583&lt;=0,"Kein Verbrauch; ","")&amp;IF(CR1583&gt;0,"Lift "&amp;W1583&amp;" lt. Liftbericht (Fach "&amp;X1583&amp;" Stk); ",IF(CB1583=1,"Gebinde geschätzt ("&amp;T1583&amp;"); ",IF(CA1583=1,"Lose – Tablare geschätzt; ","")))&amp;IF(H1583&gt;AW1583,"Überbestand "&amp;ROUND(H1583-AW1583,0)&amp;" Stk / CHF "&amp;ROUND((H1583-AW1583)*G1583,0)&amp;"; ","")&amp;IF(AND(CI1583=1,CJ1583&lt;CK1583),"MAX &lt; MB+LG; ","")&amp;IF(AND(CQ1583&gt;0,CP1583*10&gt;CQ1583),"zu hoch für Tablar; ","")&amp;IF(AND(BW1583=0,OR(CI1583=1,AB1583&lt;&gt;"",U1583&lt;&gt;"",V1583&lt;&gt;"",AC1583&lt;&gt;"")),"manuell übersteuert; ","")&amp;IF(AND(CA1583=0,R1583=0),"Gebinde unbekannt / Stellmass fehlt; ","")&amp;IF(AND(CA1583=0,N(V1583)&lt;=0,N(Q1583)&lt;=0),"Menge pro Gebinde fehlt (Ist = 1 Gebinde); ","")&amp;BV1583)</f>
        <v>Kein Verbrauch; Gebinde geschätzt (Mittel); Überbestand 1 Stk / CHF 323; Menge pro Gebinde fehlt (Ist = 1 Gebinde); nur im Artikelstamm (Bestand 23.06.2026)</v>
      </c>
      <c r="BO1583" s="60"/>
      <c r="BP1583" s="60"/>
      <c r="BQ1583" s="67"/>
      <c r="BR1583" s="62" t="n">
        <v>2</v>
      </c>
      <c r="BS1583" s="62" t="n">
        <v>0</v>
      </c>
      <c r="BT1583" s="61" t="n">
        <v>0</v>
      </c>
      <c r="BU1583" s="62" t="n">
        <v>0</v>
      </c>
      <c r="BV1583" s="60" t="s">
        <v>2617</v>
      </c>
      <c r="BW1583" s="65" t="n">
        <v>0</v>
      </c>
      <c r="BX1583" s="65" t="n">
        <v>1583</v>
      </c>
      <c r="BY1583" s="60" t="str">
        <f aca="false">IF(U1583&lt;&gt;"",UPPER(TRIM(U1583)),IF(CB1583=1,UPPER(VLOOKUP(T1583,Parameter!$I$27:$K$29,2,0)),IF(P1583="","LOSE",P1583)))</f>
        <v>S61</v>
      </c>
      <c r="BZ1583" s="62" t="n">
        <f aca="false">IF(BY1583="LOSE",1,IF(N(V1583)&gt;0,V1583,IF(CB1583=1,MAX(1,N(VLOOKUP(T1583,Parameter!$I$27:$K$29,3,0)),H1583,N(N1583)),IF(N(Q1583)&gt;0,Q1583,MAX(1,H1583)))))</f>
        <v>4</v>
      </c>
      <c r="CA1583" s="65" t="n">
        <f aca="false">IF(BY1583="LOSE",1,0)</f>
        <v>0</v>
      </c>
      <c r="CB1583" s="65" t="n">
        <f aca="false">IF(AND(U1583="",OR(P1583="",P1583="LOSE"),T1583&lt;&gt;"",N(S1583)&lt;=0,ISNUMBER(MATCH(T1583,Parameter!$I$27:$I$29,0))),1,0)</f>
        <v>1</v>
      </c>
      <c r="CC1583" s="65" t="n">
        <f aca="false">IF(CR1583&gt;0,INDEX(Parameter!$H$5:$H$7,W1583)/INDEX(Parameter!$E$5:$E$7,W1583),IF(AND(CA1583=0,N(IFERROR(VLOOKUP(BY1583,'Gebinde-Kategorie'!$A$5:$N$45,14,0),0))&gt;0),VLOOKUP(BY1583,'Gebinde-Kategorie'!$A$5:$N$45,14,0)*10+Parameter!$M$23,Parameter!$M$24))</f>
        <v>145</v>
      </c>
      <c r="CD1583" s="60" t="str">
        <f aca="false">IF(AND(Parameter!$B$19="Ja",E1583&lt;&gt;"",ISNUMBER(MATCH(E1583,Parameter!$I$35:$I$52,0))),VLOOKUP(E1583,Parameter!$I$35:$J$52,2,0),IFERROR(VLOOKUP(D1583,Parameter!$A$35:$C$64,2,0),"Nein"))</f>
        <v>2+3</v>
      </c>
      <c r="CE1583" s="64" t="n">
        <f aca="false">IF(CA1583=0,0,IF(N(S1583)&gt;0,S1583,IFERROR(VLOOKUP(D1583,Parameter!$A$35:$C$64,3,0)+0,0)))</f>
        <v>0</v>
      </c>
      <c r="CF1583" s="60" t="n">
        <f aca="false">IF(AB1583&lt;&gt;"",AB1583,AA1583)</f>
        <v>3</v>
      </c>
      <c r="CG1583" s="60" t="str">
        <f aca="false">IF(OR(CF1583=1,CF1583=2,CF1583=3),IF(Parameter!$E$27="Ja","LIFT",IF(CF1583=1,"L1","L23")),IF(CF1583="Aussen","Aussen","-"))</f>
        <v>LIFT</v>
      </c>
      <c r="CH1583" s="71" t="n">
        <f aca="false">IF(N(AC1583)&gt;0,AC1583,0)</f>
        <v>0</v>
      </c>
      <c r="CI1583" s="65" t="n">
        <f aca="false">IF(ISNUMBER(AF1583),1,0)</f>
        <v>0</v>
      </c>
      <c r="CJ1583" s="62" t="n">
        <f aca="false">N(AF1583)</f>
        <v>0</v>
      </c>
      <c r="CK1583" s="62" t="n">
        <f aca="false">N(M1583)+N(N1583)</f>
        <v>1</v>
      </c>
      <c r="CL1583" s="62" t="n">
        <f aca="false">N(M1583)</f>
        <v>0</v>
      </c>
      <c r="CM1583" s="62" t="n">
        <f aca="false">N(N1583)</f>
        <v>1</v>
      </c>
      <c r="CN1583" s="62" t="n">
        <f aca="false">ROUNDUP(H1583/BZ1583,0)</f>
        <v>1</v>
      </c>
      <c r="CO1583" s="62" t="n">
        <f aca="false">ROUNDUP(CJ1583/BZ1583,0)</f>
        <v>0</v>
      </c>
      <c r="CP1583" s="65" t="n">
        <f aca="false">IF(CA1583=1,0,IFERROR(VLOOKUP(BY1583,'Gebinde-Kategorie'!$A$5:$N$45,5,0)+0,0))</f>
        <v>11</v>
      </c>
      <c r="CQ1583" s="65" t="n">
        <f aca="false">IFERROR(IF(OR(CF1583=1,CF1583=2,CF1583=3),N(INDEX(Parameter!$I$5:$I$7,CF1583)),0),0)</f>
        <v>0</v>
      </c>
      <c r="CR1583" s="64" t="n">
        <f aca="false">IF(AND(Parameter!$B$21="Ja",ISNUMBER(W1583),N(X1583)&gt;0),IFERROR(N(INDEX(Parameter!$L$5:$L$7,W1583))*INDEX(Parameter!$E$5:$E$7,W1583)*X1583/SUMIFS($X$7:$X$1843,$W$7:$W$1843,W1583),0),0)</f>
        <v>0</v>
      </c>
      <c r="CS1583" s="62" t="n">
        <f aca="false">IF(AND(OR(CG1583="L1",CG1583="L23",CG1583="LIFT"),H1583&gt;0),CC1583*IF(CR1583&gt;0,CR1583*MAX(1,H1583/X1583),IF(CA1583=1,CE1583,IF(R1583&gt;0,CN1583/R1583,0))/MAX(0.1,N(Parameter!$M$21))),"")</f>
        <v>12.0833333333333</v>
      </c>
      <c r="CT1583" s="64" t="n">
        <f aca="false">IF(CS1583="","",J1583/H1583)</f>
        <v>0</v>
      </c>
      <c r="CU1583" s="62" t="n">
        <f aca="false">IF(CS1583="","",H1583*G1583)</f>
        <v>646</v>
      </c>
      <c r="CV1583" s="63" t="n">
        <f aca="false">IF(CS1583="","",(CL1583+ROUNDUP(CL1583+MAX(CM1583,2*(J1583/MAX(0.1,N(Einkauf!$C$6))-CL1583)),0))/2)</f>
        <v>0.5</v>
      </c>
      <c r="CW1583" s="62" t="n">
        <f aca="false">IF(CS1583="","",MAX(0,H1583-CV1583)*G1583)</f>
        <v>484.5</v>
      </c>
      <c r="CX1583" s="62" t="n">
        <f aca="false">IF(CS1583="","",CS1583*MAX(0,1-CV1583/H1583))</f>
        <v>9.0625</v>
      </c>
      <c r="CY1583" s="64" t="n">
        <f aca="false">IF(CS1583="","",PERCENTRANK($CS$7:$CS$1843,CS1583)+PERCENTRANK($CU$7:$CU$1843,CU1583)+1-PERCENTRANK($CT$7:$CT$1843,CT1583))</f>
        <v>2.223</v>
      </c>
      <c r="CZ1583" s="72" t="n">
        <f aca="false">IF(CS1583="","",CHOOSE(MATCH(Einkauf!$C$5,Parameter!$G$23:$G$27,0),CY1583,CS1583,CU1583,-CT1583,CW1583)+ROW()/1000000000)</f>
        <v>2.223001583</v>
      </c>
    </row>
    <row r="1584" customFormat="false" ht="15" hidden="false" customHeight="false" outlineLevel="0" collapsed="false">
      <c r="A1584" s="60" t="s">
        <v>2807</v>
      </c>
      <c r="B1584" s="60" t="s">
        <v>2806</v>
      </c>
      <c r="C1584" s="60" t="s">
        <v>206</v>
      </c>
      <c r="D1584" s="60" t="s">
        <v>215</v>
      </c>
      <c r="E1584" s="60"/>
      <c r="F1584" s="60"/>
      <c r="G1584" s="61" t="n">
        <v>323</v>
      </c>
      <c r="H1584" s="62" t="n">
        <f aca="false">MAX(0,IF(AND(Parameter!$B$21="Ja",ISNUMBER(Y1584)),Y1584,IF(Parameter!$B$20="Jahresanfang 2025 + Export",BS1584+BR1584,BR1584)))</f>
        <v>2</v>
      </c>
      <c r="I1584" s="62" t="n">
        <f aca="false">H1584*G1584</f>
        <v>646</v>
      </c>
      <c r="J1584" s="62" t="n">
        <f aca="false">BU1584*Parameter!$B$18</f>
        <v>0</v>
      </c>
      <c r="K1584" s="63"/>
      <c r="L1584" s="64"/>
      <c r="M1584" s="62" t="n">
        <v>0</v>
      </c>
      <c r="N1584" s="62" t="n">
        <v>1</v>
      </c>
      <c r="O1584" s="65" t="n">
        <v>0</v>
      </c>
      <c r="P1584" s="60" t="s">
        <v>210</v>
      </c>
      <c r="Q1584" s="62"/>
      <c r="R1584" s="65" t="n">
        <f aca="false">IF(CA1584=1,0,IFERROR(VLOOKUP(BY1584,'Gebinde-Kategorie'!$A$5:$N$45,13,0)+0,0))</f>
        <v>12</v>
      </c>
      <c r="S1584" s="66"/>
      <c r="T1584" s="67" t="s">
        <v>221</v>
      </c>
      <c r="U1584" s="67"/>
      <c r="V1584" s="67"/>
      <c r="W1584" s="60"/>
      <c r="X1584" s="62"/>
      <c r="Y1584" s="62"/>
      <c r="Z1584" s="60" t="n">
        <v>3</v>
      </c>
      <c r="AA1584" s="60" t="n">
        <f aca="false">IF(A1584="","",IF(AND(Parameter!$B$21="Ja",ISNUMBER(W1584)),W1584,IF(AND(Parameter!$E$27="Ja",ISNUMBER(Z1584),CD1584&lt;&gt;"Nein"),Z1584,IF(CD1584="2+3",IF(ISNUMBER(SEARCH("grosser Artikel",BV1584)),2,IFERROR(VLOOKUP(BY1584,Parameter!$F$35:$G$64,2,0),2)),IF(OR(CD1584="Nein",CD1584=""),"-",CD1584)))))</f>
        <v>3</v>
      </c>
      <c r="AB1584" s="67"/>
      <c r="AC1584" s="68"/>
      <c r="AD1584" s="62" t="n">
        <f aca="false">AW1584</f>
        <v>1</v>
      </c>
      <c r="AE1584" s="62" t="n">
        <f aca="false">MAX(AW1584,H1584)</f>
        <v>2</v>
      </c>
      <c r="AF1584" s="69"/>
      <c r="AG1584" s="62" t="n">
        <f aca="false">IF(LEFT(Cockpit!$C$5,1)="A",H1584,IF(Parameter!$E$30="MAX-Bestand",IF(CI1584=1,CJ1584,IF(LEFT(Cockpit!$C$5,1)="B",AM1584,MAX(AM1584,H1584))),ROUNDUP(AK1584,0)))</f>
        <v>2</v>
      </c>
      <c r="AH1584" s="62" t="n">
        <f aca="false">IF(CA1584=1,0,ROUNDUP(AG1584/BZ1584,0))</f>
        <v>1</v>
      </c>
      <c r="AI1584" s="64" t="n">
        <f aca="false">IF(CR1584&gt;0,CR1584*MAX(1,AG1584/X1584),IF(CA1584=1,IF(AG1584&lt;=0,0,CE1584*MAX(1,IF(H1584&gt;0,AG1584/H1584,1))),IF(R1584&gt;0,AH1584/R1584,0))/MAX(0.1,N(Parameter!$M$21)))</f>
        <v>0.0833333333333333</v>
      </c>
      <c r="AJ1584" s="62" t="n">
        <f aca="false">AI1584*CC1584</f>
        <v>12.0833333333333</v>
      </c>
      <c r="AK1584" s="63" t="n">
        <f aca="false">IF(LEFT(Cockpit!$C$5,1)="A",H1584,IF(CI1584=1,(CL1584+CJ1584)/2,IF(LEFT(Cockpit!$C$5,1)="B",(CL1584+AM1584)/2,MAX((CL1584+AM1584)/2,H1584))))</f>
        <v>2</v>
      </c>
      <c r="AL1584" s="62" t="n">
        <f aca="false">AK1584*G1584</f>
        <v>646</v>
      </c>
      <c r="AM1584" s="62" t="n">
        <f aca="false">ROUNDUP(CL1584+MAX(CM1584,2*(J1584/IF(CH1584&gt;0,CH1584,MAX(0.1,N(Cockpit!$C$6)))-CL1584)),0)</f>
        <v>1</v>
      </c>
      <c r="AN1584" s="63" t="n">
        <f aca="false">IF(AJ1584&gt;0,J1584/AJ1584,-1)</f>
        <v>0</v>
      </c>
      <c r="AO1584" s="63" t="n">
        <f aca="false">IF(AND(OR(CG1584="L1",CG1584="L23",CG1584="LIFT"),AJ1584&gt;0),SUMIFS($AJ$7:$AJ$1843,$CG$7:$CG$1843,CG1584,$AN$7:$AN$1843,"&gt;"&amp;AN1584)+SUMIFS($AJ$7:$AJ$1843,$CG$7:$CG$1843,CG1584,$AN$7:$AN$1843,AN1584,$BX$7:$BX$1843,"&lt;="&amp;BX1584),"")</f>
        <v>30507.2841388837</v>
      </c>
      <c r="AP1584" s="70" t="n">
        <f aca="false">IF(AO1584="",0,MAX(0,MIN(1,(IF(CG1584="L1",Parameter!$H$5,IF(CG1584="L23",Parameter!$H$6+Parameter!$H$7,Parameter!$H$5+Parameter!$H$6+Parameter!$H$7))-(AO1584-AJ1584))/AJ1584)))</f>
        <v>1</v>
      </c>
      <c r="AQ1584" s="62" t="n">
        <f aca="false">IF(LEFT(Cockpit!$I$5,1)="A",H1584,IF(Parameter!$E$30="MAX-Bestand",IF(CI1584=1,CJ1584,IF(LEFT(Cockpit!$I$5,1)="B",AW1584,MAX(AW1584,H1584))),ROUNDUP(AU1584,0)))</f>
        <v>2</v>
      </c>
      <c r="AR1584" s="62" t="n">
        <f aca="false">IF(CA1584=1,0,ROUNDUP(AQ1584/BZ1584,0))</f>
        <v>1</v>
      </c>
      <c r="AS1584" s="64" t="n">
        <f aca="false">IF(CR1584&gt;0,CR1584*MAX(1,AQ1584/X1584),IF(CA1584=1,IF(AQ1584&lt;=0,0,CE1584*MAX(1,IF(H1584&gt;0,AQ1584/H1584,1))),IF(R1584&gt;0,AR1584/R1584,0))/MAX(0.1,N(Parameter!$M$21)))</f>
        <v>0.0833333333333333</v>
      </c>
      <c r="AT1584" s="62" t="n">
        <f aca="false">AS1584*CC1584</f>
        <v>12.0833333333333</v>
      </c>
      <c r="AU1584" s="63" t="n">
        <f aca="false">IF(LEFT(Cockpit!$I$5,1)="A",H1584,IF(CI1584=1,(CL1584+CJ1584)/2,IF(LEFT(Cockpit!$I$5,1)="B",(CL1584+AW1584)/2,MAX((CL1584+AW1584)/2,H1584))))</f>
        <v>2</v>
      </c>
      <c r="AV1584" s="62" t="n">
        <f aca="false">AU1584*G1584</f>
        <v>646</v>
      </c>
      <c r="AW1584" s="62" t="n">
        <f aca="false">ROUNDUP(CL1584+MAX(CM1584,2*(J1584/IF(CH1584&gt;0,CH1584,MAX(0.1,N(Cockpit!$I$6)))-CL1584)),0)</f>
        <v>1</v>
      </c>
      <c r="AX1584" s="63" t="n">
        <f aca="false">IF(AT1584&gt;0,J1584/AT1584,-1)</f>
        <v>0</v>
      </c>
      <c r="AY1584" s="63" t="n">
        <f aca="false">IF(AND(OR(CG1584="L1",CG1584="L23",CG1584="LIFT"),AT1584&gt;0),SUMIFS($AT$7:$AT$1843,$CG$7:$CG$1843,CG1584,$AX$7:$AX$1843,"&gt;"&amp;AX1584)+SUMIFS($AT$7:$AT$1843,$CG$7:$CG$1843,CG1584,$AX$7:$AX$1843,AX1584,$BX$7:$BX$1843,"&lt;="&amp;BX1584),"")</f>
        <v>36827.140655719</v>
      </c>
      <c r="AZ1584" s="70" t="n">
        <f aca="false">IF(AY1584="",0,MAX(0,MIN(1,(IF(CG1584="L1",Parameter!$H$5,IF(CG1584="L23",Parameter!$H$6+Parameter!$H$7,Parameter!$H$5+Parameter!$H$6+Parameter!$H$7))-(AY1584-AT1584))/AT1584)))</f>
        <v>0</v>
      </c>
      <c r="BA1584" s="62" t="n">
        <f aca="false">IF(LEFT(Cockpit!$O$5,1)="A",H1584,IF(Parameter!$E$30="MAX-Bestand",IF(CI1584=1,CJ1584,IF(LEFT(Cockpit!$O$5,1)="B",BG1584,MAX(BG1584,H1584))),ROUNDUP(BE1584,0)))</f>
        <v>1</v>
      </c>
      <c r="BB1584" s="62" t="n">
        <f aca="false">IF(CA1584=1,0,ROUNDUP(BA1584/BZ1584,0))</f>
        <v>1</v>
      </c>
      <c r="BC1584" s="64" t="n">
        <f aca="false">IF(CR1584&gt;0,CR1584*MAX(1,BA1584/X1584),IF(CA1584=1,IF(BA1584&lt;=0,0,CE1584*MAX(1,IF(H1584&gt;0,BA1584/H1584,1))),IF(R1584&gt;0,BB1584/R1584,0))/MAX(0.1,N(Parameter!$M$21)))</f>
        <v>0.0833333333333333</v>
      </c>
      <c r="BD1584" s="62" t="n">
        <f aca="false">BC1584*CC1584</f>
        <v>12.0833333333333</v>
      </c>
      <c r="BE1584" s="63" t="n">
        <f aca="false">IF(LEFT(Cockpit!$O$5,1)="A",H1584,IF(CI1584=1,(CL1584+CJ1584)/2,IF(LEFT(Cockpit!$O$5,1)="B",(CL1584+BG1584)/2,MAX((CL1584+BG1584)/2,H1584))))</f>
        <v>0.5</v>
      </c>
      <c r="BF1584" s="62" t="n">
        <f aca="false">BE1584*G1584</f>
        <v>161.5</v>
      </c>
      <c r="BG1584" s="62" t="n">
        <f aca="false">ROUNDUP(CL1584+MAX(CM1584,2*(J1584/IF(CH1584&gt;0,CH1584,MAX(0.1,N(Cockpit!$O$6)))-CL1584)),0)</f>
        <v>1</v>
      </c>
      <c r="BH1584" s="63" t="n">
        <f aca="false">IF(BD1584&gt;0,J1584/BD1584,-1)</f>
        <v>0</v>
      </c>
      <c r="BI1584" s="63" t="n">
        <f aca="false">IF(AND(OR(CG1584="L1",CG1584="L23",CG1584="LIFT"),BD1584&gt;0),SUMIFS($BD$7:$BD$1843,$CG$7:$CG$1843,CG1584,$BH$7:$BH$1843,"&gt;"&amp;BH1584)+SUMIFS($BD$7:$BD$1843,$CG$7:$CG$1843,CG1584,$BH$7:$BH$1843,BH1584,$BX$7:$BX$1843,"&lt;="&amp;BX1584),"")</f>
        <v>30736.5819312514</v>
      </c>
      <c r="BJ1584" s="70" t="n">
        <f aca="false">IF(BI1584="",0,MAX(0,MIN(1,(IF(CG1584="L1",Parameter!$H$5,IF(CG1584="L23",Parameter!$H$6+Parameter!$H$7,Parameter!$H$5+Parameter!$H$6+Parameter!$H$7))-(BI1584-BD1584))/BD1584)))</f>
        <v>1</v>
      </c>
      <c r="BK1584" s="60" t="str">
        <f aca="false">IF(AJ1584&lt;=0,"",IF(CG1584="Aussen","Aussenlager",IF(CG1584="-","Nicht im Lift",IF(AP1584&gt;=1,"Lift",IF(AP1584&lt;=0,"Aussenlager","teilweise")))))</f>
        <v>Lift</v>
      </c>
      <c r="BL1584" s="60" t="str">
        <f aca="false">IF(AT1584&lt;=0,"",IF(CG1584="Aussen","Aussenlager",IF(CG1584="-","Nicht im Lift",IF(AZ1584&gt;=1,"Lift",IF(AZ1584&lt;=0,"Aussenlager","teilweise")))))</f>
        <v>Aussenlager</v>
      </c>
      <c r="BM1584" s="60" t="str">
        <f aca="false">IF(BD1584&lt;=0,"",IF(CG1584="Aussen","Aussenlager",IF(CG1584="-","Nicht im Lift",IF(BJ1584&gt;=1,"Lift",IF(BJ1584&lt;=0,"Aussenlager","teilweise")))))</f>
        <v>Lift</v>
      </c>
      <c r="BN1584" s="60" t="str">
        <f aca="false">IF(A1584="","",IF(BW1584=1,"Neu; ","")&amp;IF(AND(BW1584=0,BR1584&lt;0),"negativer Bestand (Export "&amp;BR1584&amp;"); ","")&amp;IF(J1584&lt;=0,"Kein Verbrauch; ","")&amp;IF(CR1584&gt;0,"Lift "&amp;W1584&amp;" lt. Liftbericht (Fach "&amp;X1584&amp;" Stk); ",IF(CB1584=1,"Gebinde geschätzt ("&amp;T1584&amp;"); ",IF(CA1584=1,"Lose – Tablare geschätzt; ","")))&amp;IF(H1584&gt;AW1584,"Überbestand "&amp;ROUND(H1584-AW1584,0)&amp;" Stk / CHF "&amp;ROUND((H1584-AW1584)*G1584,0)&amp;"; ","")&amp;IF(AND(CI1584=1,CJ1584&lt;CK1584),"MAX &lt; MB+LG; ","")&amp;IF(AND(CQ1584&gt;0,CP1584*10&gt;CQ1584),"zu hoch für Tablar; ","")&amp;IF(AND(BW1584=0,OR(CI1584=1,AB1584&lt;&gt;"",U1584&lt;&gt;"",V1584&lt;&gt;"",AC1584&lt;&gt;"")),"manuell übersteuert; ","")&amp;IF(AND(CA1584=0,R1584=0),"Gebinde unbekannt / Stellmass fehlt; ","")&amp;IF(AND(CA1584=0,N(V1584)&lt;=0,N(Q1584)&lt;=0),"Menge pro Gebinde fehlt (Ist = 1 Gebinde); ","")&amp;BV1584)</f>
        <v>Kein Verbrauch; Gebinde geschätzt (Mittel); Überbestand 1 Stk / CHF 323; Menge pro Gebinde fehlt (Ist = 1 Gebinde); nur im Artikelstamm (Bestand 23.06.2026)</v>
      </c>
      <c r="BO1584" s="60"/>
      <c r="BP1584" s="60"/>
      <c r="BQ1584" s="67"/>
      <c r="BR1584" s="62" t="n">
        <v>2</v>
      </c>
      <c r="BS1584" s="62" t="n">
        <v>0</v>
      </c>
      <c r="BT1584" s="61" t="n">
        <v>0</v>
      </c>
      <c r="BU1584" s="62" t="n">
        <v>0</v>
      </c>
      <c r="BV1584" s="60" t="s">
        <v>2617</v>
      </c>
      <c r="BW1584" s="65" t="n">
        <v>0</v>
      </c>
      <c r="BX1584" s="65" t="n">
        <v>1584</v>
      </c>
      <c r="BY1584" s="60" t="str">
        <f aca="false">IF(U1584&lt;&gt;"",UPPER(TRIM(U1584)),IF(CB1584=1,UPPER(VLOOKUP(T1584,Parameter!$I$27:$K$29,2,0)),IF(P1584="","LOSE",P1584)))</f>
        <v>S61</v>
      </c>
      <c r="BZ1584" s="62" t="n">
        <f aca="false">IF(BY1584="LOSE",1,IF(N(V1584)&gt;0,V1584,IF(CB1584=1,MAX(1,N(VLOOKUP(T1584,Parameter!$I$27:$K$29,3,0)),H1584,N(N1584)),IF(N(Q1584)&gt;0,Q1584,MAX(1,H1584)))))</f>
        <v>4</v>
      </c>
      <c r="CA1584" s="65" t="n">
        <f aca="false">IF(BY1584="LOSE",1,0)</f>
        <v>0</v>
      </c>
      <c r="CB1584" s="65" t="n">
        <f aca="false">IF(AND(U1584="",OR(P1584="",P1584="LOSE"),T1584&lt;&gt;"",N(S1584)&lt;=0,ISNUMBER(MATCH(T1584,Parameter!$I$27:$I$29,0))),1,0)</f>
        <v>1</v>
      </c>
      <c r="CC1584" s="65" t="n">
        <f aca="false">IF(CR1584&gt;0,INDEX(Parameter!$H$5:$H$7,W1584)/INDEX(Parameter!$E$5:$E$7,W1584),IF(AND(CA1584=0,N(IFERROR(VLOOKUP(BY1584,'Gebinde-Kategorie'!$A$5:$N$45,14,0),0))&gt;0),VLOOKUP(BY1584,'Gebinde-Kategorie'!$A$5:$N$45,14,0)*10+Parameter!$M$23,Parameter!$M$24))</f>
        <v>145</v>
      </c>
      <c r="CD1584" s="60" t="str">
        <f aca="false">IF(AND(Parameter!$B$19="Ja",E1584&lt;&gt;"",ISNUMBER(MATCH(E1584,Parameter!$I$35:$I$52,0))),VLOOKUP(E1584,Parameter!$I$35:$J$52,2,0),IFERROR(VLOOKUP(D1584,Parameter!$A$35:$C$64,2,0),"Nein"))</f>
        <v>2+3</v>
      </c>
      <c r="CE1584" s="64" t="n">
        <f aca="false">IF(CA1584=0,0,IF(N(S1584)&gt;0,S1584,IFERROR(VLOOKUP(D1584,Parameter!$A$35:$C$64,3,0)+0,0)))</f>
        <v>0</v>
      </c>
      <c r="CF1584" s="60" t="n">
        <f aca="false">IF(AB1584&lt;&gt;"",AB1584,AA1584)</f>
        <v>3</v>
      </c>
      <c r="CG1584" s="60" t="str">
        <f aca="false">IF(OR(CF1584=1,CF1584=2,CF1584=3),IF(Parameter!$E$27="Ja","LIFT",IF(CF1584=1,"L1","L23")),IF(CF1584="Aussen","Aussen","-"))</f>
        <v>LIFT</v>
      </c>
      <c r="CH1584" s="71" t="n">
        <f aca="false">IF(N(AC1584)&gt;0,AC1584,0)</f>
        <v>0</v>
      </c>
      <c r="CI1584" s="65" t="n">
        <f aca="false">IF(ISNUMBER(AF1584),1,0)</f>
        <v>0</v>
      </c>
      <c r="CJ1584" s="62" t="n">
        <f aca="false">N(AF1584)</f>
        <v>0</v>
      </c>
      <c r="CK1584" s="62" t="n">
        <f aca="false">N(M1584)+N(N1584)</f>
        <v>1</v>
      </c>
      <c r="CL1584" s="62" t="n">
        <f aca="false">N(M1584)</f>
        <v>0</v>
      </c>
      <c r="CM1584" s="62" t="n">
        <f aca="false">N(N1584)</f>
        <v>1</v>
      </c>
      <c r="CN1584" s="62" t="n">
        <f aca="false">ROUNDUP(H1584/BZ1584,0)</f>
        <v>1</v>
      </c>
      <c r="CO1584" s="62" t="n">
        <f aca="false">ROUNDUP(CJ1584/BZ1584,0)</f>
        <v>0</v>
      </c>
      <c r="CP1584" s="65" t="n">
        <f aca="false">IF(CA1584=1,0,IFERROR(VLOOKUP(BY1584,'Gebinde-Kategorie'!$A$5:$N$45,5,0)+0,0))</f>
        <v>11</v>
      </c>
      <c r="CQ1584" s="65" t="n">
        <f aca="false">IFERROR(IF(OR(CF1584=1,CF1584=2,CF1584=3),N(INDEX(Parameter!$I$5:$I$7,CF1584)),0),0)</f>
        <v>0</v>
      </c>
      <c r="CR1584" s="64" t="n">
        <f aca="false">IF(AND(Parameter!$B$21="Ja",ISNUMBER(W1584),N(X1584)&gt;0),IFERROR(N(INDEX(Parameter!$L$5:$L$7,W1584))*INDEX(Parameter!$E$5:$E$7,W1584)*X1584/SUMIFS($X$7:$X$1843,$W$7:$W$1843,W1584),0),0)</f>
        <v>0</v>
      </c>
      <c r="CS1584" s="62" t="n">
        <f aca="false">IF(AND(OR(CG1584="L1",CG1584="L23",CG1584="LIFT"),H1584&gt;0),CC1584*IF(CR1584&gt;0,CR1584*MAX(1,H1584/X1584),IF(CA1584=1,CE1584,IF(R1584&gt;0,CN1584/R1584,0))/MAX(0.1,N(Parameter!$M$21))),"")</f>
        <v>12.0833333333333</v>
      </c>
      <c r="CT1584" s="64" t="n">
        <f aca="false">IF(CS1584="","",J1584/H1584)</f>
        <v>0</v>
      </c>
      <c r="CU1584" s="62" t="n">
        <f aca="false">IF(CS1584="","",H1584*G1584)</f>
        <v>646</v>
      </c>
      <c r="CV1584" s="63" t="n">
        <f aca="false">IF(CS1584="","",(CL1584+ROUNDUP(CL1584+MAX(CM1584,2*(J1584/MAX(0.1,N(Einkauf!$C$6))-CL1584)),0))/2)</f>
        <v>0.5</v>
      </c>
      <c r="CW1584" s="62" t="n">
        <f aca="false">IF(CS1584="","",MAX(0,H1584-CV1584)*G1584)</f>
        <v>484.5</v>
      </c>
      <c r="CX1584" s="62" t="n">
        <f aca="false">IF(CS1584="","",CS1584*MAX(0,1-CV1584/H1584))</f>
        <v>9.0625</v>
      </c>
      <c r="CY1584" s="64" t="n">
        <f aca="false">IF(CS1584="","",PERCENTRANK($CS$7:$CS$1843,CS1584)+PERCENTRANK($CU$7:$CU$1843,CU1584)+1-PERCENTRANK($CT$7:$CT$1843,CT1584))</f>
        <v>2.223</v>
      </c>
      <c r="CZ1584" s="72" t="n">
        <f aca="false">IF(CS1584="","",CHOOSE(MATCH(Einkauf!$C$5,Parameter!$G$23:$G$27,0),CY1584,CS1584,CU1584,-CT1584,CW1584)+ROW()/1000000000)</f>
        <v>2.223001584</v>
      </c>
    </row>
    <row r="1585" customFormat="false" ht="15" hidden="false" customHeight="false" outlineLevel="0" collapsed="false">
      <c r="A1585" s="60" t="s">
        <v>2808</v>
      </c>
      <c r="B1585" s="60" t="s">
        <v>2806</v>
      </c>
      <c r="C1585" s="60" t="s">
        <v>206</v>
      </c>
      <c r="D1585" s="60" t="s">
        <v>215</v>
      </c>
      <c r="E1585" s="60"/>
      <c r="F1585" s="60"/>
      <c r="G1585" s="61" t="n">
        <v>323</v>
      </c>
      <c r="H1585" s="62" t="n">
        <f aca="false">MAX(0,IF(AND(Parameter!$B$21="Ja",ISNUMBER(Y1585)),Y1585,IF(Parameter!$B$20="Jahresanfang 2025 + Export",BS1585+BR1585,BR1585)))</f>
        <v>1</v>
      </c>
      <c r="I1585" s="62" t="n">
        <f aca="false">H1585*G1585</f>
        <v>323</v>
      </c>
      <c r="J1585" s="62" t="n">
        <f aca="false">BU1585*Parameter!$B$18</f>
        <v>0</v>
      </c>
      <c r="K1585" s="63"/>
      <c r="L1585" s="64"/>
      <c r="M1585" s="62" t="n">
        <v>0</v>
      </c>
      <c r="N1585" s="62" t="n">
        <v>1</v>
      </c>
      <c r="O1585" s="65" t="n">
        <v>0</v>
      </c>
      <c r="P1585" s="60" t="s">
        <v>210</v>
      </c>
      <c r="Q1585" s="62"/>
      <c r="R1585" s="65" t="n">
        <f aca="false">IF(CA1585=1,0,IFERROR(VLOOKUP(BY1585,'Gebinde-Kategorie'!$A$5:$N$45,13,0)+0,0))</f>
        <v>12</v>
      </c>
      <c r="S1585" s="66"/>
      <c r="T1585" s="67" t="s">
        <v>221</v>
      </c>
      <c r="U1585" s="67"/>
      <c r="V1585" s="67"/>
      <c r="W1585" s="60"/>
      <c r="X1585" s="62"/>
      <c r="Y1585" s="62"/>
      <c r="Z1585" s="60" t="n">
        <v>3</v>
      </c>
      <c r="AA1585" s="60" t="n">
        <f aca="false">IF(A1585="","",IF(AND(Parameter!$B$21="Ja",ISNUMBER(W1585)),W1585,IF(AND(Parameter!$E$27="Ja",ISNUMBER(Z1585),CD1585&lt;&gt;"Nein"),Z1585,IF(CD1585="2+3",IF(ISNUMBER(SEARCH("grosser Artikel",BV1585)),2,IFERROR(VLOOKUP(BY1585,Parameter!$F$35:$G$64,2,0),2)),IF(OR(CD1585="Nein",CD1585=""),"-",CD1585)))))</f>
        <v>3</v>
      </c>
      <c r="AB1585" s="67"/>
      <c r="AC1585" s="68"/>
      <c r="AD1585" s="62" t="n">
        <f aca="false">AW1585</f>
        <v>1</v>
      </c>
      <c r="AE1585" s="62" t="n">
        <f aca="false">MAX(AW1585,H1585)</f>
        <v>1</v>
      </c>
      <c r="AF1585" s="69"/>
      <c r="AG1585" s="62" t="n">
        <f aca="false">IF(LEFT(Cockpit!$C$5,1)="A",H1585,IF(Parameter!$E$30="MAX-Bestand",IF(CI1585=1,CJ1585,IF(LEFT(Cockpit!$C$5,1)="B",AM1585,MAX(AM1585,H1585))),ROUNDUP(AK1585,0)))</f>
        <v>1</v>
      </c>
      <c r="AH1585" s="62" t="n">
        <f aca="false">IF(CA1585=1,0,ROUNDUP(AG1585/BZ1585,0))</f>
        <v>1</v>
      </c>
      <c r="AI1585" s="64" t="n">
        <f aca="false">IF(CR1585&gt;0,CR1585*MAX(1,AG1585/X1585),IF(CA1585=1,IF(AG1585&lt;=0,0,CE1585*MAX(1,IF(H1585&gt;0,AG1585/H1585,1))),IF(R1585&gt;0,AH1585/R1585,0))/MAX(0.1,N(Parameter!$M$21)))</f>
        <v>0.0833333333333333</v>
      </c>
      <c r="AJ1585" s="62" t="n">
        <f aca="false">AI1585*CC1585</f>
        <v>12.0833333333333</v>
      </c>
      <c r="AK1585" s="63" t="n">
        <f aca="false">IF(LEFT(Cockpit!$C$5,1)="A",H1585,IF(CI1585=1,(CL1585+CJ1585)/2,IF(LEFT(Cockpit!$C$5,1)="B",(CL1585+AM1585)/2,MAX((CL1585+AM1585)/2,H1585))))</f>
        <v>1</v>
      </c>
      <c r="AL1585" s="62" t="n">
        <f aca="false">AK1585*G1585</f>
        <v>323</v>
      </c>
      <c r="AM1585" s="62" t="n">
        <f aca="false">ROUNDUP(CL1585+MAX(CM1585,2*(J1585/IF(CH1585&gt;0,CH1585,MAX(0.1,N(Cockpit!$C$6)))-CL1585)),0)</f>
        <v>1</v>
      </c>
      <c r="AN1585" s="63" t="n">
        <f aca="false">IF(AJ1585&gt;0,J1585/AJ1585,-1)</f>
        <v>0</v>
      </c>
      <c r="AO1585" s="63" t="n">
        <f aca="false">IF(AND(OR(CG1585="L1",CG1585="L23",CG1585="LIFT"),AJ1585&gt;0),SUMIFS($AJ$7:$AJ$1843,$CG$7:$CG$1843,CG1585,$AN$7:$AN$1843,"&gt;"&amp;AN1585)+SUMIFS($AJ$7:$AJ$1843,$CG$7:$CG$1843,CG1585,$AN$7:$AN$1843,AN1585,$BX$7:$BX$1843,"&lt;="&amp;BX1585),"")</f>
        <v>30519.367472217</v>
      </c>
      <c r="AP1585" s="70" t="n">
        <f aca="false">IF(AO1585="",0,MAX(0,MIN(1,(IF(CG1585="L1",Parameter!$H$5,IF(CG1585="L23",Parameter!$H$6+Parameter!$H$7,Parameter!$H$5+Parameter!$H$6+Parameter!$H$7))-(AO1585-AJ1585))/AJ1585)))</f>
        <v>1</v>
      </c>
      <c r="AQ1585" s="62" t="n">
        <f aca="false">IF(LEFT(Cockpit!$I$5,1)="A",H1585,IF(Parameter!$E$30="MAX-Bestand",IF(CI1585=1,CJ1585,IF(LEFT(Cockpit!$I$5,1)="B",AW1585,MAX(AW1585,H1585))),ROUNDUP(AU1585,0)))</f>
        <v>1</v>
      </c>
      <c r="AR1585" s="62" t="n">
        <f aca="false">IF(CA1585=1,0,ROUNDUP(AQ1585/BZ1585,0))</f>
        <v>1</v>
      </c>
      <c r="AS1585" s="64" t="n">
        <f aca="false">IF(CR1585&gt;0,CR1585*MAX(1,AQ1585/X1585),IF(CA1585=1,IF(AQ1585&lt;=0,0,CE1585*MAX(1,IF(H1585&gt;0,AQ1585/H1585,1))),IF(R1585&gt;0,AR1585/R1585,0))/MAX(0.1,N(Parameter!$M$21)))</f>
        <v>0.0833333333333333</v>
      </c>
      <c r="AT1585" s="62" t="n">
        <f aca="false">AS1585*CC1585</f>
        <v>12.0833333333333</v>
      </c>
      <c r="AU1585" s="63" t="n">
        <f aca="false">IF(LEFT(Cockpit!$I$5,1)="A",H1585,IF(CI1585=1,(CL1585+CJ1585)/2,IF(LEFT(Cockpit!$I$5,1)="B",(CL1585+AW1585)/2,MAX((CL1585+AW1585)/2,H1585))))</f>
        <v>1</v>
      </c>
      <c r="AV1585" s="62" t="n">
        <f aca="false">AU1585*G1585</f>
        <v>323</v>
      </c>
      <c r="AW1585" s="62" t="n">
        <f aca="false">ROUNDUP(CL1585+MAX(CM1585,2*(J1585/IF(CH1585&gt;0,CH1585,MAX(0.1,N(Cockpit!$I$6)))-CL1585)),0)</f>
        <v>1</v>
      </c>
      <c r="AX1585" s="63" t="n">
        <f aca="false">IF(AT1585&gt;0,J1585/AT1585,-1)</f>
        <v>0</v>
      </c>
      <c r="AY1585" s="63" t="n">
        <f aca="false">IF(AND(OR(CG1585="L1",CG1585="L23",CG1585="LIFT"),AT1585&gt;0),SUMIFS($AT$7:$AT$1843,$CG$7:$CG$1843,CG1585,$AX$7:$AX$1843,"&gt;"&amp;AX1585)+SUMIFS($AT$7:$AT$1843,$CG$7:$CG$1843,CG1585,$AX$7:$AX$1843,AX1585,$BX$7:$BX$1843,"&lt;="&amp;BX1585),"")</f>
        <v>36839.2239890524</v>
      </c>
      <c r="AZ1585" s="70" t="n">
        <f aca="false">IF(AY1585="",0,MAX(0,MIN(1,(IF(CG1585="L1",Parameter!$H$5,IF(CG1585="L23",Parameter!$H$6+Parameter!$H$7,Parameter!$H$5+Parameter!$H$6+Parameter!$H$7))-(AY1585-AT1585))/AT1585)))</f>
        <v>0</v>
      </c>
      <c r="BA1585" s="62" t="n">
        <f aca="false">IF(LEFT(Cockpit!$O$5,1)="A",H1585,IF(Parameter!$E$30="MAX-Bestand",IF(CI1585=1,CJ1585,IF(LEFT(Cockpit!$O$5,1)="B",BG1585,MAX(BG1585,H1585))),ROUNDUP(BE1585,0)))</f>
        <v>1</v>
      </c>
      <c r="BB1585" s="62" t="n">
        <f aca="false">IF(CA1585=1,0,ROUNDUP(BA1585/BZ1585,0))</f>
        <v>1</v>
      </c>
      <c r="BC1585" s="64" t="n">
        <f aca="false">IF(CR1585&gt;0,CR1585*MAX(1,BA1585/X1585),IF(CA1585=1,IF(BA1585&lt;=0,0,CE1585*MAX(1,IF(H1585&gt;0,BA1585/H1585,1))),IF(R1585&gt;0,BB1585/R1585,0))/MAX(0.1,N(Parameter!$M$21)))</f>
        <v>0.0833333333333333</v>
      </c>
      <c r="BD1585" s="62" t="n">
        <f aca="false">BC1585*CC1585</f>
        <v>12.0833333333333</v>
      </c>
      <c r="BE1585" s="63" t="n">
        <f aca="false">IF(LEFT(Cockpit!$O$5,1)="A",H1585,IF(CI1585=1,(CL1585+CJ1585)/2,IF(LEFT(Cockpit!$O$5,1)="B",(CL1585+BG1585)/2,MAX((CL1585+BG1585)/2,H1585))))</f>
        <v>0.5</v>
      </c>
      <c r="BF1585" s="62" t="n">
        <f aca="false">BE1585*G1585</f>
        <v>161.5</v>
      </c>
      <c r="BG1585" s="62" t="n">
        <f aca="false">ROUNDUP(CL1585+MAX(CM1585,2*(J1585/IF(CH1585&gt;0,CH1585,MAX(0.1,N(Cockpit!$O$6)))-CL1585)),0)</f>
        <v>1</v>
      </c>
      <c r="BH1585" s="63" t="n">
        <f aca="false">IF(BD1585&gt;0,J1585/BD1585,-1)</f>
        <v>0</v>
      </c>
      <c r="BI1585" s="63" t="n">
        <f aca="false">IF(AND(OR(CG1585="L1",CG1585="L23",CG1585="LIFT"),BD1585&gt;0),SUMIFS($BD$7:$BD$1843,$CG$7:$CG$1843,CG1585,$BH$7:$BH$1843,"&gt;"&amp;BH1585)+SUMIFS($BD$7:$BD$1843,$CG$7:$CG$1843,CG1585,$BH$7:$BH$1843,BH1585,$BX$7:$BX$1843,"&lt;="&amp;BX1585),"")</f>
        <v>30748.6652645848</v>
      </c>
      <c r="BJ1585" s="70" t="n">
        <f aca="false">IF(BI1585="",0,MAX(0,MIN(1,(IF(CG1585="L1",Parameter!$H$5,IF(CG1585="L23",Parameter!$H$6+Parameter!$H$7,Parameter!$H$5+Parameter!$H$6+Parameter!$H$7))-(BI1585-BD1585))/BD1585)))</f>
        <v>1</v>
      </c>
      <c r="BK1585" s="60" t="str">
        <f aca="false">IF(AJ1585&lt;=0,"",IF(CG1585="Aussen","Aussenlager",IF(CG1585="-","Nicht im Lift",IF(AP1585&gt;=1,"Lift",IF(AP1585&lt;=0,"Aussenlager","teilweise")))))</f>
        <v>Lift</v>
      </c>
      <c r="BL1585" s="60" t="str">
        <f aca="false">IF(AT1585&lt;=0,"",IF(CG1585="Aussen","Aussenlager",IF(CG1585="-","Nicht im Lift",IF(AZ1585&gt;=1,"Lift",IF(AZ1585&lt;=0,"Aussenlager","teilweise")))))</f>
        <v>Aussenlager</v>
      </c>
      <c r="BM1585" s="60" t="str">
        <f aca="false">IF(BD1585&lt;=0,"",IF(CG1585="Aussen","Aussenlager",IF(CG1585="-","Nicht im Lift",IF(BJ1585&gt;=1,"Lift",IF(BJ1585&lt;=0,"Aussenlager","teilweise")))))</f>
        <v>Lift</v>
      </c>
      <c r="BN1585" s="60" t="str">
        <f aca="false">IF(A1585="","",IF(BW1585=1,"Neu; ","")&amp;IF(AND(BW1585=0,BR1585&lt;0),"negativer Bestand (Export "&amp;BR1585&amp;"); ","")&amp;IF(J1585&lt;=0,"Kein Verbrauch; ","")&amp;IF(CR1585&gt;0,"Lift "&amp;W1585&amp;" lt. Liftbericht (Fach "&amp;X1585&amp;" Stk); ",IF(CB1585=1,"Gebinde geschätzt ("&amp;T1585&amp;"); ",IF(CA1585=1,"Lose – Tablare geschätzt; ","")))&amp;IF(H1585&gt;AW1585,"Überbestand "&amp;ROUND(H1585-AW1585,0)&amp;" Stk / CHF "&amp;ROUND((H1585-AW1585)*G1585,0)&amp;"; ","")&amp;IF(AND(CI1585=1,CJ1585&lt;CK1585),"MAX &lt; MB+LG; ","")&amp;IF(AND(CQ1585&gt;0,CP1585*10&gt;CQ1585),"zu hoch für Tablar; ","")&amp;IF(AND(BW1585=0,OR(CI1585=1,AB1585&lt;&gt;"",U1585&lt;&gt;"",V1585&lt;&gt;"",AC1585&lt;&gt;"")),"manuell übersteuert; ","")&amp;IF(AND(CA1585=0,R1585=0),"Gebinde unbekannt / Stellmass fehlt; ","")&amp;IF(AND(CA1585=0,N(V1585)&lt;=0,N(Q1585)&lt;=0),"Menge pro Gebinde fehlt (Ist = 1 Gebinde); ","")&amp;BV1585)</f>
        <v>Kein Verbrauch; Gebinde geschätzt (Mittel); Menge pro Gebinde fehlt (Ist = 1 Gebinde); nur im Artikelstamm (Bestand 23.06.2026)</v>
      </c>
      <c r="BO1585" s="60"/>
      <c r="BP1585" s="60"/>
      <c r="BQ1585" s="67"/>
      <c r="BR1585" s="62" t="n">
        <v>1</v>
      </c>
      <c r="BS1585" s="62" t="n">
        <v>0</v>
      </c>
      <c r="BT1585" s="61" t="n">
        <v>0</v>
      </c>
      <c r="BU1585" s="62" t="n">
        <v>0</v>
      </c>
      <c r="BV1585" s="60" t="s">
        <v>2617</v>
      </c>
      <c r="BW1585" s="65" t="n">
        <v>0</v>
      </c>
      <c r="BX1585" s="65" t="n">
        <v>1585</v>
      </c>
      <c r="BY1585" s="60" t="str">
        <f aca="false">IF(U1585&lt;&gt;"",UPPER(TRIM(U1585)),IF(CB1585=1,UPPER(VLOOKUP(T1585,Parameter!$I$27:$K$29,2,0)),IF(P1585="","LOSE",P1585)))</f>
        <v>S61</v>
      </c>
      <c r="BZ1585" s="62" t="n">
        <f aca="false">IF(BY1585="LOSE",1,IF(N(V1585)&gt;0,V1585,IF(CB1585=1,MAX(1,N(VLOOKUP(T1585,Parameter!$I$27:$K$29,3,0)),H1585,N(N1585)),IF(N(Q1585)&gt;0,Q1585,MAX(1,H1585)))))</f>
        <v>4</v>
      </c>
      <c r="CA1585" s="65" t="n">
        <f aca="false">IF(BY1585="LOSE",1,0)</f>
        <v>0</v>
      </c>
      <c r="CB1585" s="65" t="n">
        <f aca="false">IF(AND(U1585="",OR(P1585="",P1585="LOSE"),T1585&lt;&gt;"",N(S1585)&lt;=0,ISNUMBER(MATCH(T1585,Parameter!$I$27:$I$29,0))),1,0)</f>
        <v>1</v>
      </c>
      <c r="CC1585" s="65" t="n">
        <f aca="false">IF(CR1585&gt;0,INDEX(Parameter!$H$5:$H$7,W1585)/INDEX(Parameter!$E$5:$E$7,W1585),IF(AND(CA1585=0,N(IFERROR(VLOOKUP(BY1585,'Gebinde-Kategorie'!$A$5:$N$45,14,0),0))&gt;0),VLOOKUP(BY1585,'Gebinde-Kategorie'!$A$5:$N$45,14,0)*10+Parameter!$M$23,Parameter!$M$24))</f>
        <v>145</v>
      </c>
      <c r="CD1585" s="60" t="str">
        <f aca="false">IF(AND(Parameter!$B$19="Ja",E1585&lt;&gt;"",ISNUMBER(MATCH(E1585,Parameter!$I$35:$I$52,0))),VLOOKUP(E1585,Parameter!$I$35:$J$52,2,0),IFERROR(VLOOKUP(D1585,Parameter!$A$35:$C$64,2,0),"Nein"))</f>
        <v>2+3</v>
      </c>
      <c r="CE1585" s="64" t="n">
        <f aca="false">IF(CA1585=0,0,IF(N(S1585)&gt;0,S1585,IFERROR(VLOOKUP(D1585,Parameter!$A$35:$C$64,3,0)+0,0)))</f>
        <v>0</v>
      </c>
      <c r="CF1585" s="60" t="n">
        <f aca="false">IF(AB1585&lt;&gt;"",AB1585,AA1585)</f>
        <v>3</v>
      </c>
      <c r="CG1585" s="60" t="str">
        <f aca="false">IF(OR(CF1585=1,CF1585=2,CF1585=3),IF(Parameter!$E$27="Ja","LIFT",IF(CF1585=1,"L1","L23")),IF(CF1585="Aussen","Aussen","-"))</f>
        <v>LIFT</v>
      </c>
      <c r="CH1585" s="71" t="n">
        <f aca="false">IF(N(AC1585)&gt;0,AC1585,0)</f>
        <v>0</v>
      </c>
      <c r="CI1585" s="65" t="n">
        <f aca="false">IF(ISNUMBER(AF1585),1,0)</f>
        <v>0</v>
      </c>
      <c r="CJ1585" s="62" t="n">
        <f aca="false">N(AF1585)</f>
        <v>0</v>
      </c>
      <c r="CK1585" s="62" t="n">
        <f aca="false">N(M1585)+N(N1585)</f>
        <v>1</v>
      </c>
      <c r="CL1585" s="62" t="n">
        <f aca="false">N(M1585)</f>
        <v>0</v>
      </c>
      <c r="CM1585" s="62" t="n">
        <f aca="false">N(N1585)</f>
        <v>1</v>
      </c>
      <c r="CN1585" s="62" t="n">
        <f aca="false">ROUNDUP(H1585/BZ1585,0)</f>
        <v>1</v>
      </c>
      <c r="CO1585" s="62" t="n">
        <f aca="false">ROUNDUP(CJ1585/BZ1585,0)</f>
        <v>0</v>
      </c>
      <c r="CP1585" s="65" t="n">
        <f aca="false">IF(CA1585=1,0,IFERROR(VLOOKUP(BY1585,'Gebinde-Kategorie'!$A$5:$N$45,5,0)+0,0))</f>
        <v>11</v>
      </c>
      <c r="CQ1585" s="65" t="n">
        <f aca="false">IFERROR(IF(OR(CF1585=1,CF1585=2,CF1585=3),N(INDEX(Parameter!$I$5:$I$7,CF1585)),0),0)</f>
        <v>0</v>
      </c>
      <c r="CR1585" s="64" t="n">
        <f aca="false">IF(AND(Parameter!$B$21="Ja",ISNUMBER(W1585),N(X1585)&gt;0),IFERROR(N(INDEX(Parameter!$L$5:$L$7,W1585))*INDEX(Parameter!$E$5:$E$7,W1585)*X1585/SUMIFS($X$7:$X$1843,$W$7:$W$1843,W1585),0),0)</f>
        <v>0</v>
      </c>
      <c r="CS1585" s="62" t="n">
        <f aca="false">IF(AND(OR(CG1585="L1",CG1585="L23",CG1585="LIFT"),H1585&gt;0),CC1585*IF(CR1585&gt;0,CR1585*MAX(1,H1585/X1585),IF(CA1585=1,CE1585,IF(R1585&gt;0,CN1585/R1585,0))/MAX(0.1,N(Parameter!$M$21))),"")</f>
        <v>12.0833333333333</v>
      </c>
      <c r="CT1585" s="64" t="n">
        <f aca="false">IF(CS1585="","",J1585/H1585)</f>
        <v>0</v>
      </c>
      <c r="CU1585" s="62" t="n">
        <f aca="false">IF(CS1585="","",H1585*G1585)</f>
        <v>323</v>
      </c>
      <c r="CV1585" s="63" t="n">
        <f aca="false">IF(CS1585="","",(CL1585+ROUNDUP(CL1585+MAX(CM1585,2*(J1585/MAX(0.1,N(Einkauf!$C$6))-CL1585)),0))/2)</f>
        <v>0.5</v>
      </c>
      <c r="CW1585" s="62" t="n">
        <f aca="false">IF(CS1585="","",MAX(0,H1585-CV1585)*G1585)</f>
        <v>161.5</v>
      </c>
      <c r="CX1585" s="62" t="n">
        <f aca="false">IF(CS1585="","",CS1585*MAX(0,1-CV1585/H1585))</f>
        <v>6.04166666666667</v>
      </c>
      <c r="CY1585" s="64" t="n">
        <f aca="false">IF(CS1585="","",PERCENTRANK($CS$7:$CS$1843,CS1585)+PERCENTRANK($CU$7:$CU$1843,CU1585)+1-PERCENTRANK($CT$7:$CT$1843,CT1585))</f>
        <v>2.094</v>
      </c>
      <c r="CZ1585" s="72" t="n">
        <f aca="false">IF(CS1585="","",CHOOSE(MATCH(Einkauf!$C$5,Parameter!$G$23:$G$27,0),CY1585,CS1585,CU1585,-CT1585,CW1585)+ROW()/1000000000)</f>
        <v>2.094001585</v>
      </c>
    </row>
    <row r="1586" customFormat="false" ht="15" hidden="false" customHeight="false" outlineLevel="0" collapsed="false">
      <c r="A1586" s="60" t="s">
        <v>2809</v>
      </c>
      <c r="B1586" s="60" t="s">
        <v>2806</v>
      </c>
      <c r="C1586" s="60" t="s">
        <v>206</v>
      </c>
      <c r="D1586" s="60" t="s">
        <v>215</v>
      </c>
      <c r="E1586" s="60"/>
      <c r="F1586" s="60"/>
      <c r="G1586" s="61" t="n">
        <v>323</v>
      </c>
      <c r="H1586" s="62" t="n">
        <f aca="false">MAX(0,IF(AND(Parameter!$B$21="Ja",ISNUMBER(Y1586)),Y1586,IF(Parameter!$B$20="Jahresanfang 2025 + Export",BS1586+BR1586,BR1586)))</f>
        <v>2</v>
      </c>
      <c r="I1586" s="62" t="n">
        <f aca="false">H1586*G1586</f>
        <v>646</v>
      </c>
      <c r="J1586" s="62" t="n">
        <f aca="false">BU1586*Parameter!$B$18</f>
        <v>0</v>
      </c>
      <c r="K1586" s="63"/>
      <c r="L1586" s="64"/>
      <c r="M1586" s="62" t="n">
        <v>0</v>
      </c>
      <c r="N1586" s="62" t="n">
        <v>1</v>
      </c>
      <c r="O1586" s="65" t="n">
        <v>0</v>
      </c>
      <c r="P1586" s="60" t="s">
        <v>210</v>
      </c>
      <c r="Q1586" s="62"/>
      <c r="R1586" s="65" t="n">
        <f aca="false">IF(CA1586=1,0,IFERROR(VLOOKUP(BY1586,'Gebinde-Kategorie'!$A$5:$N$45,13,0)+0,0))</f>
        <v>12</v>
      </c>
      <c r="S1586" s="66"/>
      <c r="T1586" s="67" t="s">
        <v>221</v>
      </c>
      <c r="U1586" s="67"/>
      <c r="V1586" s="67"/>
      <c r="W1586" s="60"/>
      <c r="X1586" s="62"/>
      <c r="Y1586" s="62"/>
      <c r="Z1586" s="60" t="n">
        <v>3</v>
      </c>
      <c r="AA1586" s="60" t="n">
        <f aca="false">IF(A1586="","",IF(AND(Parameter!$B$21="Ja",ISNUMBER(W1586)),W1586,IF(AND(Parameter!$E$27="Ja",ISNUMBER(Z1586),CD1586&lt;&gt;"Nein"),Z1586,IF(CD1586="2+3",IF(ISNUMBER(SEARCH("grosser Artikel",BV1586)),2,IFERROR(VLOOKUP(BY1586,Parameter!$F$35:$G$64,2,0),2)),IF(OR(CD1586="Nein",CD1586=""),"-",CD1586)))))</f>
        <v>3</v>
      </c>
      <c r="AB1586" s="67"/>
      <c r="AC1586" s="68"/>
      <c r="AD1586" s="62" t="n">
        <f aca="false">AW1586</f>
        <v>1</v>
      </c>
      <c r="AE1586" s="62" t="n">
        <f aca="false">MAX(AW1586,H1586)</f>
        <v>2</v>
      </c>
      <c r="AF1586" s="69"/>
      <c r="AG1586" s="62" t="n">
        <f aca="false">IF(LEFT(Cockpit!$C$5,1)="A",H1586,IF(Parameter!$E$30="MAX-Bestand",IF(CI1586=1,CJ1586,IF(LEFT(Cockpit!$C$5,1)="B",AM1586,MAX(AM1586,H1586))),ROUNDUP(AK1586,0)))</f>
        <v>2</v>
      </c>
      <c r="AH1586" s="62" t="n">
        <f aca="false">IF(CA1586=1,0,ROUNDUP(AG1586/BZ1586,0))</f>
        <v>1</v>
      </c>
      <c r="AI1586" s="64" t="n">
        <f aca="false">IF(CR1586&gt;0,CR1586*MAX(1,AG1586/X1586),IF(CA1586=1,IF(AG1586&lt;=0,0,CE1586*MAX(1,IF(H1586&gt;0,AG1586/H1586,1))),IF(R1586&gt;0,AH1586/R1586,0))/MAX(0.1,N(Parameter!$M$21)))</f>
        <v>0.0833333333333333</v>
      </c>
      <c r="AJ1586" s="62" t="n">
        <f aca="false">AI1586*CC1586</f>
        <v>12.0833333333333</v>
      </c>
      <c r="AK1586" s="63" t="n">
        <f aca="false">IF(LEFT(Cockpit!$C$5,1)="A",H1586,IF(CI1586=1,(CL1586+CJ1586)/2,IF(LEFT(Cockpit!$C$5,1)="B",(CL1586+AM1586)/2,MAX((CL1586+AM1586)/2,H1586))))</f>
        <v>2</v>
      </c>
      <c r="AL1586" s="62" t="n">
        <f aca="false">AK1586*G1586</f>
        <v>646</v>
      </c>
      <c r="AM1586" s="62" t="n">
        <f aca="false">ROUNDUP(CL1586+MAX(CM1586,2*(J1586/IF(CH1586&gt;0,CH1586,MAX(0.1,N(Cockpit!$C$6)))-CL1586)),0)</f>
        <v>1</v>
      </c>
      <c r="AN1586" s="63" t="n">
        <f aca="false">IF(AJ1586&gt;0,J1586/AJ1586,-1)</f>
        <v>0</v>
      </c>
      <c r="AO1586" s="63" t="n">
        <f aca="false">IF(AND(OR(CG1586="L1",CG1586="L23",CG1586="LIFT"),AJ1586&gt;0),SUMIFS($AJ$7:$AJ$1843,$CG$7:$CG$1843,CG1586,$AN$7:$AN$1843,"&gt;"&amp;AN1586)+SUMIFS($AJ$7:$AJ$1843,$CG$7:$CG$1843,CG1586,$AN$7:$AN$1843,AN1586,$BX$7:$BX$1843,"&lt;="&amp;BX1586),"")</f>
        <v>30531.4508055504</v>
      </c>
      <c r="AP1586" s="70" t="n">
        <f aca="false">IF(AO1586="",0,MAX(0,MIN(1,(IF(CG1586="L1",Parameter!$H$5,IF(CG1586="L23",Parameter!$H$6+Parameter!$H$7,Parameter!$H$5+Parameter!$H$6+Parameter!$H$7))-(AO1586-AJ1586))/AJ1586)))</f>
        <v>1</v>
      </c>
      <c r="AQ1586" s="62" t="n">
        <f aca="false">IF(LEFT(Cockpit!$I$5,1)="A",H1586,IF(Parameter!$E$30="MAX-Bestand",IF(CI1586=1,CJ1586,IF(LEFT(Cockpit!$I$5,1)="B",AW1586,MAX(AW1586,H1586))),ROUNDUP(AU1586,0)))</f>
        <v>2</v>
      </c>
      <c r="AR1586" s="62" t="n">
        <f aca="false">IF(CA1586=1,0,ROUNDUP(AQ1586/BZ1586,0))</f>
        <v>1</v>
      </c>
      <c r="AS1586" s="64" t="n">
        <f aca="false">IF(CR1586&gt;0,CR1586*MAX(1,AQ1586/X1586),IF(CA1586=1,IF(AQ1586&lt;=0,0,CE1586*MAX(1,IF(H1586&gt;0,AQ1586/H1586,1))),IF(R1586&gt;0,AR1586/R1586,0))/MAX(0.1,N(Parameter!$M$21)))</f>
        <v>0.0833333333333333</v>
      </c>
      <c r="AT1586" s="62" t="n">
        <f aca="false">AS1586*CC1586</f>
        <v>12.0833333333333</v>
      </c>
      <c r="AU1586" s="63" t="n">
        <f aca="false">IF(LEFT(Cockpit!$I$5,1)="A",H1586,IF(CI1586=1,(CL1586+CJ1586)/2,IF(LEFT(Cockpit!$I$5,1)="B",(CL1586+AW1586)/2,MAX((CL1586+AW1586)/2,H1586))))</f>
        <v>2</v>
      </c>
      <c r="AV1586" s="62" t="n">
        <f aca="false">AU1586*G1586</f>
        <v>646</v>
      </c>
      <c r="AW1586" s="62" t="n">
        <f aca="false">ROUNDUP(CL1586+MAX(CM1586,2*(J1586/IF(CH1586&gt;0,CH1586,MAX(0.1,N(Cockpit!$I$6)))-CL1586)),0)</f>
        <v>1</v>
      </c>
      <c r="AX1586" s="63" t="n">
        <f aca="false">IF(AT1586&gt;0,J1586/AT1586,-1)</f>
        <v>0</v>
      </c>
      <c r="AY1586" s="63" t="n">
        <f aca="false">IF(AND(OR(CG1586="L1",CG1586="L23",CG1586="LIFT"),AT1586&gt;0),SUMIFS($AT$7:$AT$1843,$CG$7:$CG$1843,CG1586,$AX$7:$AX$1843,"&gt;"&amp;AX1586)+SUMIFS($AT$7:$AT$1843,$CG$7:$CG$1843,CG1586,$AX$7:$AX$1843,AX1586,$BX$7:$BX$1843,"&lt;="&amp;BX1586),"")</f>
        <v>36851.3073223857</v>
      </c>
      <c r="AZ1586" s="70" t="n">
        <f aca="false">IF(AY1586="",0,MAX(0,MIN(1,(IF(CG1586="L1",Parameter!$H$5,IF(CG1586="L23",Parameter!$H$6+Parameter!$H$7,Parameter!$H$5+Parameter!$H$6+Parameter!$H$7))-(AY1586-AT1586))/AT1586)))</f>
        <v>0</v>
      </c>
      <c r="BA1586" s="62" t="n">
        <f aca="false">IF(LEFT(Cockpit!$O$5,1)="A",H1586,IF(Parameter!$E$30="MAX-Bestand",IF(CI1586=1,CJ1586,IF(LEFT(Cockpit!$O$5,1)="B",BG1586,MAX(BG1586,H1586))),ROUNDUP(BE1586,0)))</f>
        <v>1</v>
      </c>
      <c r="BB1586" s="62" t="n">
        <f aca="false">IF(CA1586=1,0,ROUNDUP(BA1586/BZ1586,0))</f>
        <v>1</v>
      </c>
      <c r="BC1586" s="64" t="n">
        <f aca="false">IF(CR1586&gt;0,CR1586*MAX(1,BA1586/X1586),IF(CA1586=1,IF(BA1586&lt;=0,0,CE1586*MAX(1,IF(H1586&gt;0,BA1586/H1586,1))),IF(R1586&gt;0,BB1586/R1586,0))/MAX(0.1,N(Parameter!$M$21)))</f>
        <v>0.0833333333333333</v>
      </c>
      <c r="BD1586" s="62" t="n">
        <f aca="false">BC1586*CC1586</f>
        <v>12.0833333333333</v>
      </c>
      <c r="BE1586" s="63" t="n">
        <f aca="false">IF(LEFT(Cockpit!$O$5,1)="A",H1586,IF(CI1586=1,(CL1586+CJ1586)/2,IF(LEFT(Cockpit!$O$5,1)="B",(CL1586+BG1586)/2,MAX((CL1586+BG1586)/2,H1586))))</f>
        <v>0.5</v>
      </c>
      <c r="BF1586" s="62" t="n">
        <f aca="false">BE1586*G1586</f>
        <v>161.5</v>
      </c>
      <c r="BG1586" s="62" t="n">
        <f aca="false">ROUNDUP(CL1586+MAX(CM1586,2*(J1586/IF(CH1586&gt;0,CH1586,MAX(0.1,N(Cockpit!$O$6)))-CL1586)),0)</f>
        <v>1</v>
      </c>
      <c r="BH1586" s="63" t="n">
        <f aca="false">IF(BD1586&gt;0,J1586/BD1586,-1)</f>
        <v>0</v>
      </c>
      <c r="BI1586" s="63" t="n">
        <f aca="false">IF(AND(OR(CG1586="L1",CG1586="L23",CG1586="LIFT"),BD1586&gt;0),SUMIFS($BD$7:$BD$1843,$CG$7:$CG$1843,CG1586,$BH$7:$BH$1843,"&gt;"&amp;BH1586)+SUMIFS($BD$7:$BD$1843,$CG$7:$CG$1843,CG1586,$BH$7:$BH$1843,BH1586,$BX$7:$BX$1843,"&lt;="&amp;BX1586),"")</f>
        <v>30760.7485979181</v>
      </c>
      <c r="BJ1586" s="70" t="n">
        <f aca="false">IF(BI1586="",0,MAX(0,MIN(1,(IF(CG1586="L1",Parameter!$H$5,IF(CG1586="L23",Parameter!$H$6+Parameter!$H$7,Parameter!$H$5+Parameter!$H$6+Parameter!$H$7))-(BI1586-BD1586))/BD1586)))</f>
        <v>1</v>
      </c>
      <c r="BK1586" s="60" t="str">
        <f aca="false">IF(AJ1586&lt;=0,"",IF(CG1586="Aussen","Aussenlager",IF(CG1586="-","Nicht im Lift",IF(AP1586&gt;=1,"Lift",IF(AP1586&lt;=0,"Aussenlager","teilweise")))))</f>
        <v>Lift</v>
      </c>
      <c r="BL1586" s="60" t="str">
        <f aca="false">IF(AT1586&lt;=0,"",IF(CG1586="Aussen","Aussenlager",IF(CG1586="-","Nicht im Lift",IF(AZ1586&gt;=1,"Lift",IF(AZ1586&lt;=0,"Aussenlager","teilweise")))))</f>
        <v>Aussenlager</v>
      </c>
      <c r="BM1586" s="60" t="str">
        <f aca="false">IF(BD1586&lt;=0,"",IF(CG1586="Aussen","Aussenlager",IF(CG1586="-","Nicht im Lift",IF(BJ1586&gt;=1,"Lift",IF(BJ1586&lt;=0,"Aussenlager","teilweise")))))</f>
        <v>Lift</v>
      </c>
      <c r="BN1586" s="60" t="str">
        <f aca="false">IF(A1586="","",IF(BW1586=1,"Neu; ","")&amp;IF(AND(BW1586=0,BR1586&lt;0),"negativer Bestand (Export "&amp;BR1586&amp;"); ","")&amp;IF(J1586&lt;=0,"Kein Verbrauch; ","")&amp;IF(CR1586&gt;0,"Lift "&amp;W1586&amp;" lt. Liftbericht (Fach "&amp;X1586&amp;" Stk); ",IF(CB1586=1,"Gebinde geschätzt ("&amp;T1586&amp;"); ",IF(CA1586=1,"Lose – Tablare geschätzt; ","")))&amp;IF(H1586&gt;AW1586,"Überbestand "&amp;ROUND(H1586-AW1586,0)&amp;" Stk / CHF "&amp;ROUND((H1586-AW1586)*G1586,0)&amp;"; ","")&amp;IF(AND(CI1586=1,CJ1586&lt;CK1586),"MAX &lt; MB+LG; ","")&amp;IF(AND(CQ1586&gt;0,CP1586*10&gt;CQ1586),"zu hoch für Tablar; ","")&amp;IF(AND(BW1586=0,OR(CI1586=1,AB1586&lt;&gt;"",U1586&lt;&gt;"",V1586&lt;&gt;"",AC1586&lt;&gt;"")),"manuell übersteuert; ","")&amp;IF(AND(CA1586=0,R1586=0),"Gebinde unbekannt / Stellmass fehlt; ","")&amp;IF(AND(CA1586=0,N(V1586)&lt;=0,N(Q1586)&lt;=0),"Menge pro Gebinde fehlt (Ist = 1 Gebinde); ","")&amp;BV1586)</f>
        <v>Kein Verbrauch; Gebinde geschätzt (Mittel); Überbestand 1 Stk / CHF 323; Menge pro Gebinde fehlt (Ist = 1 Gebinde); nur im Artikelstamm (Bestand 23.06.2026)</v>
      </c>
      <c r="BO1586" s="60"/>
      <c r="BP1586" s="60"/>
      <c r="BQ1586" s="67"/>
      <c r="BR1586" s="62" t="n">
        <v>2</v>
      </c>
      <c r="BS1586" s="62" t="n">
        <v>0</v>
      </c>
      <c r="BT1586" s="61" t="n">
        <v>0</v>
      </c>
      <c r="BU1586" s="62" t="n">
        <v>0</v>
      </c>
      <c r="BV1586" s="60" t="s">
        <v>2617</v>
      </c>
      <c r="BW1586" s="65" t="n">
        <v>0</v>
      </c>
      <c r="BX1586" s="65" t="n">
        <v>1586</v>
      </c>
      <c r="BY1586" s="60" t="str">
        <f aca="false">IF(U1586&lt;&gt;"",UPPER(TRIM(U1586)),IF(CB1586=1,UPPER(VLOOKUP(T1586,Parameter!$I$27:$K$29,2,0)),IF(P1586="","LOSE",P1586)))</f>
        <v>S61</v>
      </c>
      <c r="BZ1586" s="62" t="n">
        <f aca="false">IF(BY1586="LOSE",1,IF(N(V1586)&gt;0,V1586,IF(CB1586=1,MAX(1,N(VLOOKUP(T1586,Parameter!$I$27:$K$29,3,0)),H1586,N(N1586)),IF(N(Q1586)&gt;0,Q1586,MAX(1,H1586)))))</f>
        <v>4</v>
      </c>
      <c r="CA1586" s="65" t="n">
        <f aca="false">IF(BY1586="LOSE",1,0)</f>
        <v>0</v>
      </c>
      <c r="CB1586" s="65" t="n">
        <f aca="false">IF(AND(U1586="",OR(P1586="",P1586="LOSE"),T1586&lt;&gt;"",N(S1586)&lt;=0,ISNUMBER(MATCH(T1586,Parameter!$I$27:$I$29,0))),1,0)</f>
        <v>1</v>
      </c>
      <c r="CC1586" s="65" t="n">
        <f aca="false">IF(CR1586&gt;0,INDEX(Parameter!$H$5:$H$7,W1586)/INDEX(Parameter!$E$5:$E$7,W1586),IF(AND(CA1586=0,N(IFERROR(VLOOKUP(BY1586,'Gebinde-Kategorie'!$A$5:$N$45,14,0),0))&gt;0),VLOOKUP(BY1586,'Gebinde-Kategorie'!$A$5:$N$45,14,0)*10+Parameter!$M$23,Parameter!$M$24))</f>
        <v>145</v>
      </c>
      <c r="CD1586" s="60" t="str">
        <f aca="false">IF(AND(Parameter!$B$19="Ja",E1586&lt;&gt;"",ISNUMBER(MATCH(E1586,Parameter!$I$35:$I$52,0))),VLOOKUP(E1586,Parameter!$I$35:$J$52,2,0),IFERROR(VLOOKUP(D1586,Parameter!$A$35:$C$64,2,0),"Nein"))</f>
        <v>2+3</v>
      </c>
      <c r="CE1586" s="64" t="n">
        <f aca="false">IF(CA1586=0,0,IF(N(S1586)&gt;0,S1586,IFERROR(VLOOKUP(D1586,Parameter!$A$35:$C$64,3,0)+0,0)))</f>
        <v>0</v>
      </c>
      <c r="CF1586" s="60" t="n">
        <f aca="false">IF(AB1586&lt;&gt;"",AB1586,AA1586)</f>
        <v>3</v>
      </c>
      <c r="CG1586" s="60" t="str">
        <f aca="false">IF(OR(CF1586=1,CF1586=2,CF1586=3),IF(Parameter!$E$27="Ja","LIFT",IF(CF1586=1,"L1","L23")),IF(CF1586="Aussen","Aussen","-"))</f>
        <v>LIFT</v>
      </c>
      <c r="CH1586" s="71" t="n">
        <f aca="false">IF(N(AC1586)&gt;0,AC1586,0)</f>
        <v>0</v>
      </c>
      <c r="CI1586" s="65" t="n">
        <f aca="false">IF(ISNUMBER(AF1586),1,0)</f>
        <v>0</v>
      </c>
      <c r="CJ1586" s="62" t="n">
        <f aca="false">N(AF1586)</f>
        <v>0</v>
      </c>
      <c r="CK1586" s="62" t="n">
        <f aca="false">N(M1586)+N(N1586)</f>
        <v>1</v>
      </c>
      <c r="CL1586" s="62" t="n">
        <f aca="false">N(M1586)</f>
        <v>0</v>
      </c>
      <c r="CM1586" s="62" t="n">
        <f aca="false">N(N1586)</f>
        <v>1</v>
      </c>
      <c r="CN1586" s="62" t="n">
        <f aca="false">ROUNDUP(H1586/BZ1586,0)</f>
        <v>1</v>
      </c>
      <c r="CO1586" s="62" t="n">
        <f aca="false">ROUNDUP(CJ1586/BZ1586,0)</f>
        <v>0</v>
      </c>
      <c r="CP1586" s="65" t="n">
        <f aca="false">IF(CA1586=1,0,IFERROR(VLOOKUP(BY1586,'Gebinde-Kategorie'!$A$5:$N$45,5,0)+0,0))</f>
        <v>11</v>
      </c>
      <c r="CQ1586" s="65" t="n">
        <f aca="false">IFERROR(IF(OR(CF1586=1,CF1586=2,CF1586=3),N(INDEX(Parameter!$I$5:$I$7,CF1586)),0),0)</f>
        <v>0</v>
      </c>
      <c r="CR1586" s="64" t="n">
        <f aca="false">IF(AND(Parameter!$B$21="Ja",ISNUMBER(W1586),N(X1586)&gt;0),IFERROR(N(INDEX(Parameter!$L$5:$L$7,W1586))*INDEX(Parameter!$E$5:$E$7,W1586)*X1586/SUMIFS($X$7:$X$1843,$W$7:$W$1843,W1586),0),0)</f>
        <v>0</v>
      </c>
      <c r="CS1586" s="62" t="n">
        <f aca="false">IF(AND(OR(CG1586="L1",CG1586="L23",CG1586="LIFT"),H1586&gt;0),CC1586*IF(CR1586&gt;0,CR1586*MAX(1,H1586/X1586),IF(CA1586=1,CE1586,IF(R1586&gt;0,CN1586/R1586,0))/MAX(0.1,N(Parameter!$M$21))),"")</f>
        <v>12.0833333333333</v>
      </c>
      <c r="CT1586" s="64" t="n">
        <f aca="false">IF(CS1586="","",J1586/H1586)</f>
        <v>0</v>
      </c>
      <c r="CU1586" s="62" t="n">
        <f aca="false">IF(CS1586="","",H1586*G1586)</f>
        <v>646</v>
      </c>
      <c r="CV1586" s="63" t="n">
        <f aca="false">IF(CS1586="","",(CL1586+ROUNDUP(CL1586+MAX(CM1586,2*(J1586/MAX(0.1,N(Einkauf!$C$6))-CL1586)),0))/2)</f>
        <v>0.5</v>
      </c>
      <c r="CW1586" s="62" t="n">
        <f aca="false">IF(CS1586="","",MAX(0,H1586-CV1586)*G1586)</f>
        <v>484.5</v>
      </c>
      <c r="CX1586" s="62" t="n">
        <f aca="false">IF(CS1586="","",CS1586*MAX(0,1-CV1586/H1586))</f>
        <v>9.0625</v>
      </c>
      <c r="CY1586" s="64" t="n">
        <f aca="false">IF(CS1586="","",PERCENTRANK($CS$7:$CS$1843,CS1586)+PERCENTRANK($CU$7:$CU$1843,CU1586)+1-PERCENTRANK($CT$7:$CT$1843,CT1586))</f>
        <v>2.223</v>
      </c>
      <c r="CZ1586" s="72" t="n">
        <f aca="false">IF(CS1586="","",CHOOSE(MATCH(Einkauf!$C$5,Parameter!$G$23:$G$27,0),CY1586,CS1586,CU1586,-CT1586,CW1586)+ROW()/1000000000)</f>
        <v>2.223001586</v>
      </c>
    </row>
    <row r="1587" customFormat="false" ht="15" hidden="false" customHeight="false" outlineLevel="0" collapsed="false">
      <c r="A1587" s="60" t="s">
        <v>2810</v>
      </c>
      <c r="B1587" s="60" t="s">
        <v>2806</v>
      </c>
      <c r="C1587" s="60" t="s">
        <v>206</v>
      </c>
      <c r="D1587" s="60" t="s">
        <v>215</v>
      </c>
      <c r="E1587" s="60"/>
      <c r="F1587" s="60"/>
      <c r="G1587" s="61" t="n">
        <v>323</v>
      </c>
      <c r="H1587" s="62" t="n">
        <f aca="false">MAX(0,IF(AND(Parameter!$B$21="Ja",ISNUMBER(Y1587)),Y1587,IF(Parameter!$B$20="Jahresanfang 2025 + Export",BS1587+BR1587,BR1587)))</f>
        <v>1</v>
      </c>
      <c r="I1587" s="62" t="n">
        <f aca="false">H1587*G1587</f>
        <v>323</v>
      </c>
      <c r="J1587" s="62" t="n">
        <f aca="false">BU1587*Parameter!$B$18</f>
        <v>0</v>
      </c>
      <c r="K1587" s="63"/>
      <c r="L1587" s="64"/>
      <c r="M1587" s="62" t="n">
        <v>0</v>
      </c>
      <c r="N1587" s="62" t="n">
        <v>1</v>
      </c>
      <c r="O1587" s="65" t="n">
        <v>0</v>
      </c>
      <c r="P1587" s="60" t="s">
        <v>210</v>
      </c>
      <c r="Q1587" s="62"/>
      <c r="R1587" s="65" t="n">
        <f aca="false">IF(CA1587=1,0,IFERROR(VLOOKUP(BY1587,'Gebinde-Kategorie'!$A$5:$N$45,13,0)+0,0))</f>
        <v>12</v>
      </c>
      <c r="S1587" s="66"/>
      <c r="T1587" s="67" t="s">
        <v>221</v>
      </c>
      <c r="U1587" s="67"/>
      <c r="V1587" s="67"/>
      <c r="W1587" s="60"/>
      <c r="X1587" s="62"/>
      <c r="Y1587" s="62"/>
      <c r="Z1587" s="60" t="n">
        <v>3</v>
      </c>
      <c r="AA1587" s="60" t="n">
        <f aca="false">IF(A1587="","",IF(AND(Parameter!$B$21="Ja",ISNUMBER(W1587)),W1587,IF(AND(Parameter!$E$27="Ja",ISNUMBER(Z1587),CD1587&lt;&gt;"Nein"),Z1587,IF(CD1587="2+3",IF(ISNUMBER(SEARCH("grosser Artikel",BV1587)),2,IFERROR(VLOOKUP(BY1587,Parameter!$F$35:$G$64,2,0),2)),IF(OR(CD1587="Nein",CD1587=""),"-",CD1587)))))</f>
        <v>3</v>
      </c>
      <c r="AB1587" s="67"/>
      <c r="AC1587" s="68"/>
      <c r="AD1587" s="62" t="n">
        <f aca="false">AW1587</f>
        <v>1</v>
      </c>
      <c r="AE1587" s="62" t="n">
        <f aca="false">MAX(AW1587,H1587)</f>
        <v>1</v>
      </c>
      <c r="AF1587" s="69"/>
      <c r="AG1587" s="62" t="n">
        <f aca="false">IF(LEFT(Cockpit!$C$5,1)="A",H1587,IF(Parameter!$E$30="MAX-Bestand",IF(CI1587=1,CJ1587,IF(LEFT(Cockpit!$C$5,1)="B",AM1587,MAX(AM1587,H1587))),ROUNDUP(AK1587,0)))</f>
        <v>1</v>
      </c>
      <c r="AH1587" s="62" t="n">
        <f aca="false">IF(CA1587=1,0,ROUNDUP(AG1587/BZ1587,0))</f>
        <v>1</v>
      </c>
      <c r="AI1587" s="64" t="n">
        <f aca="false">IF(CR1587&gt;0,CR1587*MAX(1,AG1587/X1587),IF(CA1587=1,IF(AG1587&lt;=0,0,CE1587*MAX(1,IF(H1587&gt;0,AG1587/H1587,1))),IF(R1587&gt;0,AH1587/R1587,0))/MAX(0.1,N(Parameter!$M$21)))</f>
        <v>0.0833333333333333</v>
      </c>
      <c r="AJ1587" s="62" t="n">
        <f aca="false">AI1587*CC1587</f>
        <v>12.0833333333333</v>
      </c>
      <c r="AK1587" s="63" t="n">
        <f aca="false">IF(LEFT(Cockpit!$C$5,1)="A",H1587,IF(CI1587=1,(CL1587+CJ1587)/2,IF(LEFT(Cockpit!$C$5,1)="B",(CL1587+AM1587)/2,MAX((CL1587+AM1587)/2,H1587))))</f>
        <v>1</v>
      </c>
      <c r="AL1587" s="62" t="n">
        <f aca="false">AK1587*G1587</f>
        <v>323</v>
      </c>
      <c r="AM1587" s="62" t="n">
        <f aca="false">ROUNDUP(CL1587+MAX(CM1587,2*(J1587/IF(CH1587&gt;0,CH1587,MAX(0.1,N(Cockpit!$C$6)))-CL1587)),0)</f>
        <v>1</v>
      </c>
      <c r="AN1587" s="63" t="n">
        <f aca="false">IF(AJ1587&gt;0,J1587/AJ1587,-1)</f>
        <v>0</v>
      </c>
      <c r="AO1587" s="63" t="n">
        <f aca="false">IF(AND(OR(CG1587="L1",CG1587="L23",CG1587="LIFT"),AJ1587&gt;0),SUMIFS($AJ$7:$AJ$1843,$CG$7:$CG$1843,CG1587,$AN$7:$AN$1843,"&gt;"&amp;AN1587)+SUMIFS($AJ$7:$AJ$1843,$CG$7:$CG$1843,CG1587,$AN$7:$AN$1843,AN1587,$BX$7:$BX$1843,"&lt;="&amp;BX1587),"")</f>
        <v>30543.5341388837</v>
      </c>
      <c r="AP1587" s="70" t="n">
        <f aca="false">IF(AO1587="",0,MAX(0,MIN(1,(IF(CG1587="L1",Parameter!$H$5,IF(CG1587="L23",Parameter!$H$6+Parameter!$H$7,Parameter!$H$5+Parameter!$H$6+Parameter!$H$7))-(AO1587-AJ1587))/AJ1587)))</f>
        <v>1</v>
      </c>
      <c r="AQ1587" s="62" t="n">
        <f aca="false">IF(LEFT(Cockpit!$I$5,1)="A",H1587,IF(Parameter!$E$30="MAX-Bestand",IF(CI1587=1,CJ1587,IF(LEFT(Cockpit!$I$5,1)="B",AW1587,MAX(AW1587,H1587))),ROUNDUP(AU1587,0)))</f>
        <v>1</v>
      </c>
      <c r="AR1587" s="62" t="n">
        <f aca="false">IF(CA1587=1,0,ROUNDUP(AQ1587/BZ1587,0))</f>
        <v>1</v>
      </c>
      <c r="AS1587" s="64" t="n">
        <f aca="false">IF(CR1587&gt;0,CR1587*MAX(1,AQ1587/X1587),IF(CA1587=1,IF(AQ1587&lt;=0,0,CE1587*MAX(1,IF(H1587&gt;0,AQ1587/H1587,1))),IF(R1587&gt;0,AR1587/R1587,0))/MAX(0.1,N(Parameter!$M$21)))</f>
        <v>0.0833333333333333</v>
      </c>
      <c r="AT1587" s="62" t="n">
        <f aca="false">AS1587*CC1587</f>
        <v>12.0833333333333</v>
      </c>
      <c r="AU1587" s="63" t="n">
        <f aca="false">IF(LEFT(Cockpit!$I$5,1)="A",H1587,IF(CI1587=1,(CL1587+CJ1587)/2,IF(LEFT(Cockpit!$I$5,1)="B",(CL1587+AW1587)/2,MAX((CL1587+AW1587)/2,H1587))))</f>
        <v>1</v>
      </c>
      <c r="AV1587" s="62" t="n">
        <f aca="false">AU1587*G1587</f>
        <v>323</v>
      </c>
      <c r="AW1587" s="62" t="n">
        <f aca="false">ROUNDUP(CL1587+MAX(CM1587,2*(J1587/IF(CH1587&gt;0,CH1587,MAX(0.1,N(Cockpit!$I$6)))-CL1587)),0)</f>
        <v>1</v>
      </c>
      <c r="AX1587" s="63" t="n">
        <f aca="false">IF(AT1587&gt;0,J1587/AT1587,-1)</f>
        <v>0</v>
      </c>
      <c r="AY1587" s="63" t="n">
        <f aca="false">IF(AND(OR(CG1587="L1",CG1587="L23",CG1587="LIFT"),AT1587&gt;0),SUMIFS($AT$7:$AT$1843,$CG$7:$CG$1843,CG1587,$AX$7:$AX$1843,"&gt;"&amp;AX1587)+SUMIFS($AT$7:$AT$1843,$CG$7:$CG$1843,CG1587,$AX$7:$AX$1843,AX1587,$BX$7:$BX$1843,"&lt;="&amp;BX1587),"")</f>
        <v>36863.390655719</v>
      </c>
      <c r="AZ1587" s="70" t="n">
        <f aca="false">IF(AY1587="",0,MAX(0,MIN(1,(IF(CG1587="L1",Parameter!$H$5,IF(CG1587="L23",Parameter!$H$6+Parameter!$H$7,Parameter!$H$5+Parameter!$H$6+Parameter!$H$7))-(AY1587-AT1587))/AT1587)))</f>
        <v>0</v>
      </c>
      <c r="BA1587" s="62" t="n">
        <f aca="false">IF(LEFT(Cockpit!$O$5,1)="A",H1587,IF(Parameter!$E$30="MAX-Bestand",IF(CI1587=1,CJ1587,IF(LEFT(Cockpit!$O$5,1)="B",BG1587,MAX(BG1587,H1587))),ROUNDUP(BE1587,0)))</f>
        <v>1</v>
      </c>
      <c r="BB1587" s="62" t="n">
        <f aca="false">IF(CA1587=1,0,ROUNDUP(BA1587/BZ1587,0))</f>
        <v>1</v>
      </c>
      <c r="BC1587" s="64" t="n">
        <f aca="false">IF(CR1587&gt;0,CR1587*MAX(1,BA1587/X1587),IF(CA1587=1,IF(BA1587&lt;=0,0,CE1587*MAX(1,IF(H1587&gt;0,BA1587/H1587,1))),IF(R1587&gt;0,BB1587/R1587,0))/MAX(0.1,N(Parameter!$M$21)))</f>
        <v>0.0833333333333333</v>
      </c>
      <c r="BD1587" s="62" t="n">
        <f aca="false">BC1587*CC1587</f>
        <v>12.0833333333333</v>
      </c>
      <c r="BE1587" s="63" t="n">
        <f aca="false">IF(LEFT(Cockpit!$O$5,1)="A",H1587,IF(CI1587=1,(CL1587+CJ1587)/2,IF(LEFT(Cockpit!$O$5,1)="B",(CL1587+BG1587)/2,MAX((CL1587+BG1587)/2,H1587))))</f>
        <v>0.5</v>
      </c>
      <c r="BF1587" s="62" t="n">
        <f aca="false">BE1587*G1587</f>
        <v>161.5</v>
      </c>
      <c r="BG1587" s="62" t="n">
        <f aca="false">ROUNDUP(CL1587+MAX(CM1587,2*(J1587/IF(CH1587&gt;0,CH1587,MAX(0.1,N(Cockpit!$O$6)))-CL1587)),0)</f>
        <v>1</v>
      </c>
      <c r="BH1587" s="63" t="n">
        <f aca="false">IF(BD1587&gt;0,J1587/BD1587,-1)</f>
        <v>0</v>
      </c>
      <c r="BI1587" s="63" t="n">
        <f aca="false">IF(AND(OR(CG1587="L1",CG1587="L23",CG1587="LIFT"),BD1587&gt;0),SUMIFS($BD$7:$BD$1843,$CG$7:$CG$1843,CG1587,$BH$7:$BH$1843,"&gt;"&amp;BH1587)+SUMIFS($BD$7:$BD$1843,$CG$7:$CG$1843,CG1587,$BH$7:$BH$1843,BH1587,$BX$7:$BX$1843,"&lt;="&amp;BX1587),"")</f>
        <v>30772.8319312514</v>
      </c>
      <c r="BJ1587" s="70" t="n">
        <f aca="false">IF(BI1587="",0,MAX(0,MIN(1,(IF(CG1587="L1",Parameter!$H$5,IF(CG1587="L23",Parameter!$H$6+Parameter!$H$7,Parameter!$H$5+Parameter!$H$6+Parameter!$H$7))-(BI1587-BD1587))/BD1587)))</f>
        <v>1</v>
      </c>
      <c r="BK1587" s="60" t="str">
        <f aca="false">IF(AJ1587&lt;=0,"",IF(CG1587="Aussen","Aussenlager",IF(CG1587="-","Nicht im Lift",IF(AP1587&gt;=1,"Lift",IF(AP1587&lt;=0,"Aussenlager","teilweise")))))</f>
        <v>Lift</v>
      </c>
      <c r="BL1587" s="60" t="str">
        <f aca="false">IF(AT1587&lt;=0,"",IF(CG1587="Aussen","Aussenlager",IF(CG1587="-","Nicht im Lift",IF(AZ1587&gt;=1,"Lift",IF(AZ1587&lt;=0,"Aussenlager","teilweise")))))</f>
        <v>Aussenlager</v>
      </c>
      <c r="BM1587" s="60" t="str">
        <f aca="false">IF(BD1587&lt;=0,"",IF(CG1587="Aussen","Aussenlager",IF(CG1587="-","Nicht im Lift",IF(BJ1587&gt;=1,"Lift",IF(BJ1587&lt;=0,"Aussenlager","teilweise")))))</f>
        <v>Lift</v>
      </c>
      <c r="BN1587" s="60" t="str">
        <f aca="false">IF(A1587="","",IF(BW1587=1,"Neu; ","")&amp;IF(AND(BW1587=0,BR1587&lt;0),"negativer Bestand (Export "&amp;BR1587&amp;"); ","")&amp;IF(J1587&lt;=0,"Kein Verbrauch; ","")&amp;IF(CR1587&gt;0,"Lift "&amp;W1587&amp;" lt. Liftbericht (Fach "&amp;X1587&amp;" Stk); ",IF(CB1587=1,"Gebinde geschätzt ("&amp;T1587&amp;"); ",IF(CA1587=1,"Lose – Tablare geschätzt; ","")))&amp;IF(H1587&gt;AW1587,"Überbestand "&amp;ROUND(H1587-AW1587,0)&amp;" Stk / CHF "&amp;ROUND((H1587-AW1587)*G1587,0)&amp;"; ","")&amp;IF(AND(CI1587=1,CJ1587&lt;CK1587),"MAX &lt; MB+LG; ","")&amp;IF(AND(CQ1587&gt;0,CP1587*10&gt;CQ1587),"zu hoch für Tablar; ","")&amp;IF(AND(BW1587=0,OR(CI1587=1,AB1587&lt;&gt;"",U1587&lt;&gt;"",V1587&lt;&gt;"",AC1587&lt;&gt;"")),"manuell übersteuert; ","")&amp;IF(AND(CA1587=0,R1587=0),"Gebinde unbekannt / Stellmass fehlt; ","")&amp;IF(AND(CA1587=0,N(V1587)&lt;=0,N(Q1587)&lt;=0),"Menge pro Gebinde fehlt (Ist = 1 Gebinde); ","")&amp;BV1587)</f>
        <v>Kein Verbrauch; Gebinde geschätzt (Mittel); Menge pro Gebinde fehlt (Ist = 1 Gebinde); nur im Artikelstamm (Bestand 23.06.2026)</v>
      </c>
      <c r="BO1587" s="60"/>
      <c r="BP1587" s="60"/>
      <c r="BQ1587" s="67"/>
      <c r="BR1587" s="62" t="n">
        <v>1</v>
      </c>
      <c r="BS1587" s="62" t="n">
        <v>0</v>
      </c>
      <c r="BT1587" s="61" t="n">
        <v>0</v>
      </c>
      <c r="BU1587" s="62" t="n">
        <v>0</v>
      </c>
      <c r="BV1587" s="60" t="s">
        <v>2617</v>
      </c>
      <c r="BW1587" s="65" t="n">
        <v>0</v>
      </c>
      <c r="BX1587" s="65" t="n">
        <v>1587</v>
      </c>
      <c r="BY1587" s="60" t="str">
        <f aca="false">IF(U1587&lt;&gt;"",UPPER(TRIM(U1587)),IF(CB1587=1,UPPER(VLOOKUP(T1587,Parameter!$I$27:$K$29,2,0)),IF(P1587="","LOSE",P1587)))</f>
        <v>S61</v>
      </c>
      <c r="BZ1587" s="62" t="n">
        <f aca="false">IF(BY1587="LOSE",1,IF(N(V1587)&gt;0,V1587,IF(CB1587=1,MAX(1,N(VLOOKUP(T1587,Parameter!$I$27:$K$29,3,0)),H1587,N(N1587)),IF(N(Q1587)&gt;0,Q1587,MAX(1,H1587)))))</f>
        <v>4</v>
      </c>
      <c r="CA1587" s="65" t="n">
        <f aca="false">IF(BY1587="LOSE",1,0)</f>
        <v>0</v>
      </c>
      <c r="CB1587" s="65" t="n">
        <f aca="false">IF(AND(U1587="",OR(P1587="",P1587="LOSE"),T1587&lt;&gt;"",N(S1587)&lt;=0,ISNUMBER(MATCH(T1587,Parameter!$I$27:$I$29,0))),1,0)</f>
        <v>1</v>
      </c>
      <c r="CC1587" s="65" t="n">
        <f aca="false">IF(CR1587&gt;0,INDEX(Parameter!$H$5:$H$7,W1587)/INDEX(Parameter!$E$5:$E$7,W1587),IF(AND(CA1587=0,N(IFERROR(VLOOKUP(BY1587,'Gebinde-Kategorie'!$A$5:$N$45,14,0),0))&gt;0),VLOOKUP(BY1587,'Gebinde-Kategorie'!$A$5:$N$45,14,0)*10+Parameter!$M$23,Parameter!$M$24))</f>
        <v>145</v>
      </c>
      <c r="CD1587" s="60" t="str">
        <f aca="false">IF(AND(Parameter!$B$19="Ja",E1587&lt;&gt;"",ISNUMBER(MATCH(E1587,Parameter!$I$35:$I$52,0))),VLOOKUP(E1587,Parameter!$I$35:$J$52,2,0),IFERROR(VLOOKUP(D1587,Parameter!$A$35:$C$64,2,0),"Nein"))</f>
        <v>2+3</v>
      </c>
      <c r="CE1587" s="64" t="n">
        <f aca="false">IF(CA1587=0,0,IF(N(S1587)&gt;0,S1587,IFERROR(VLOOKUP(D1587,Parameter!$A$35:$C$64,3,0)+0,0)))</f>
        <v>0</v>
      </c>
      <c r="CF1587" s="60" t="n">
        <f aca="false">IF(AB1587&lt;&gt;"",AB1587,AA1587)</f>
        <v>3</v>
      </c>
      <c r="CG1587" s="60" t="str">
        <f aca="false">IF(OR(CF1587=1,CF1587=2,CF1587=3),IF(Parameter!$E$27="Ja","LIFT",IF(CF1587=1,"L1","L23")),IF(CF1587="Aussen","Aussen","-"))</f>
        <v>LIFT</v>
      </c>
      <c r="CH1587" s="71" t="n">
        <f aca="false">IF(N(AC1587)&gt;0,AC1587,0)</f>
        <v>0</v>
      </c>
      <c r="CI1587" s="65" t="n">
        <f aca="false">IF(ISNUMBER(AF1587),1,0)</f>
        <v>0</v>
      </c>
      <c r="CJ1587" s="62" t="n">
        <f aca="false">N(AF1587)</f>
        <v>0</v>
      </c>
      <c r="CK1587" s="62" t="n">
        <f aca="false">N(M1587)+N(N1587)</f>
        <v>1</v>
      </c>
      <c r="CL1587" s="62" t="n">
        <f aca="false">N(M1587)</f>
        <v>0</v>
      </c>
      <c r="CM1587" s="62" t="n">
        <f aca="false">N(N1587)</f>
        <v>1</v>
      </c>
      <c r="CN1587" s="62" t="n">
        <f aca="false">ROUNDUP(H1587/BZ1587,0)</f>
        <v>1</v>
      </c>
      <c r="CO1587" s="62" t="n">
        <f aca="false">ROUNDUP(CJ1587/BZ1587,0)</f>
        <v>0</v>
      </c>
      <c r="CP1587" s="65" t="n">
        <f aca="false">IF(CA1587=1,0,IFERROR(VLOOKUP(BY1587,'Gebinde-Kategorie'!$A$5:$N$45,5,0)+0,0))</f>
        <v>11</v>
      </c>
      <c r="CQ1587" s="65" t="n">
        <f aca="false">IFERROR(IF(OR(CF1587=1,CF1587=2,CF1587=3),N(INDEX(Parameter!$I$5:$I$7,CF1587)),0),0)</f>
        <v>0</v>
      </c>
      <c r="CR1587" s="64" t="n">
        <f aca="false">IF(AND(Parameter!$B$21="Ja",ISNUMBER(W1587),N(X1587)&gt;0),IFERROR(N(INDEX(Parameter!$L$5:$L$7,W1587))*INDEX(Parameter!$E$5:$E$7,W1587)*X1587/SUMIFS($X$7:$X$1843,$W$7:$W$1843,W1587),0),0)</f>
        <v>0</v>
      </c>
      <c r="CS1587" s="62" t="n">
        <f aca="false">IF(AND(OR(CG1587="L1",CG1587="L23",CG1587="LIFT"),H1587&gt;0),CC1587*IF(CR1587&gt;0,CR1587*MAX(1,H1587/X1587),IF(CA1587=1,CE1587,IF(R1587&gt;0,CN1587/R1587,0))/MAX(0.1,N(Parameter!$M$21))),"")</f>
        <v>12.0833333333333</v>
      </c>
      <c r="CT1587" s="64" t="n">
        <f aca="false">IF(CS1587="","",J1587/H1587)</f>
        <v>0</v>
      </c>
      <c r="CU1587" s="62" t="n">
        <f aca="false">IF(CS1587="","",H1587*G1587)</f>
        <v>323</v>
      </c>
      <c r="CV1587" s="63" t="n">
        <f aca="false">IF(CS1587="","",(CL1587+ROUNDUP(CL1587+MAX(CM1587,2*(J1587/MAX(0.1,N(Einkauf!$C$6))-CL1587)),0))/2)</f>
        <v>0.5</v>
      </c>
      <c r="CW1587" s="62" t="n">
        <f aca="false">IF(CS1587="","",MAX(0,H1587-CV1587)*G1587)</f>
        <v>161.5</v>
      </c>
      <c r="CX1587" s="62" t="n">
        <f aca="false">IF(CS1587="","",CS1587*MAX(0,1-CV1587/H1587))</f>
        <v>6.04166666666667</v>
      </c>
      <c r="CY1587" s="64" t="n">
        <f aca="false">IF(CS1587="","",PERCENTRANK($CS$7:$CS$1843,CS1587)+PERCENTRANK($CU$7:$CU$1843,CU1587)+1-PERCENTRANK($CT$7:$CT$1843,CT1587))</f>
        <v>2.094</v>
      </c>
      <c r="CZ1587" s="72" t="n">
        <f aca="false">IF(CS1587="","",CHOOSE(MATCH(Einkauf!$C$5,Parameter!$G$23:$G$27,0),CY1587,CS1587,CU1587,-CT1587,CW1587)+ROW()/1000000000)</f>
        <v>2.094001587</v>
      </c>
    </row>
    <row r="1588" customFormat="false" ht="15" hidden="false" customHeight="false" outlineLevel="0" collapsed="false">
      <c r="A1588" s="60" t="s">
        <v>2811</v>
      </c>
      <c r="B1588" s="60" t="s">
        <v>2806</v>
      </c>
      <c r="C1588" s="60" t="s">
        <v>206</v>
      </c>
      <c r="D1588" s="60" t="s">
        <v>215</v>
      </c>
      <c r="E1588" s="60"/>
      <c r="F1588" s="60"/>
      <c r="G1588" s="61" t="n">
        <v>323</v>
      </c>
      <c r="H1588" s="62" t="n">
        <f aca="false">MAX(0,IF(AND(Parameter!$B$21="Ja",ISNUMBER(Y1588)),Y1588,IF(Parameter!$B$20="Jahresanfang 2025 + Export",BS1588+BR1588,BR1588)))</f>
        <v>2</v>
      </c>
      <c r="I1588" s="62" t="n">
        <f aca="false">H1588*G1588</f>
        <v>646</v>
      </c>
      <c r="J1588" s="62" t="n">
        <f aca="false">BU1588*Parameter!$B$18</f>
        <v>0</v>
      </c>
      <c r="K1588" s="63"/>
      <c r="L1588" s="64"/>
      <c r="M1588" s="62" t="n">
        <v>0</v>
      </c>
      <c r="N1588" s="62" t="n">
        <v>1</v>
      </c>
      <c r="O1588" s="65" t="n">
        <v>0</v>
      </c>
      <c r="P1588" s="60" t="s">
        <v>210</v>
      </c>
      <c r="Q1588" s="62"/>
      <c r="R1588" s="65" t="n">
        <f aca="false">IF(CA1588=1,0,IFERROR(VLOOKUP(BY1588,'Gebinde-Kategorie'!$A$5:$N$45,13,0)+0,0))</f>
        <v>12</v>
      </c>
      <c r="S1588" s="66"/>
      <c r="T1588" s="67" t="s">
        <v>221</v>
      </c>
      <c r="U1588" s="67"/>
      <c r="V1588" s="67"/>
      <c r="W1588" s="60"/>
      <c r="X1588" s="62"/>
      <c r="Y1588" s="62"/>
      <c r="Z1588" s="60" t="n">
        <v>3</v>
      </c>
      <c r="AA1588" s="60" t="n">
        <f aca="false">IF(A1588="","",IF(AND(Parameter!$B$21="Ja",ISNUMBER(W1588)),W1588,IF(AND(Parameter!$E$27="Ja",ISNUMBER(Z1588),CD1588&lt;&gt;"Nein"),Z1588,IF(CD1588="2+3",IF(ISNUMBER(SEARCH("grosser Artikel",BV1588)),2,IFERROR(VLOOKUP(BY1588,Parameter!$F$35:$G$64,2,0),2)),IF(OR(CD1588="Nein",CD1588=""),"-",CD1588)))))</f>
        <v>3</v>
      </c>
      <c r="AB1588" s="67"/>
      <c r="AC1588" s="68"/>
      <c r="AD1588" s="62" t="n">
        <f aca="false">AW1588</f>
        <v>1</v>
      </c>
      <c r="AE1588" s="62" t="n">
        <f aca="false">MAX(AW1588,H1588)</f>
        <v>2</v>
      </c>
      <c r="AF1588" s="69"/>
      <c r="AG1588" s="62" t="n">
        <f aca="false">IF(LEFT(Cockpit!$C$5,1)="A",H1588,IF(Parameter!$E$30="MAX-Bestand",IF(CI1588=1,CJ1588,IF(LEFT(Cockpit!$C$5,1)="B",AM1588,MAX(AM1588,H1588))),ROUNDUP(AK1588,0)))</f>
        <v>2</v>
      </c>
      <c r="AH1588" s="62" t="n">
        <f aca="false">IF(CA1588=1,0,ROUNDUP(AG1588/BZ1588,0))</f>
        <v>1</v>
      </c>
      <c r="AI1588" s="64" t="n">
        <f aca="false">IF(CR1588&gt;0,CR1588*MAX(1,AG1588/X1588),IF(CA1588=1,IF(AG1588&lt;=0,0,CE1588*MAX(1,IF(H1588&gt;0,AG1588/H1588,1))),IF(R1588&gt;0,AH1588/R1588,0))/MAX(0.1,N(Parameter!$M$21)))</f>
        <v>0.0833333333333333</v>
      </c>
      <c r="AJ1588" s="62" t="n">
        <f aca="false">AI1588*CC1588</f>
        <v>12.0833333333333</v>
      </c>
      <c r="AK1588" s="63" t="n">
        <f aca="false">IF(LEFT(Cockpit!$C$5,1)="A",H1588,IF(CI1588=1,(CL1588+CJ1588)/2,IF(LEFT(Cockpit!$C$5,1)="B",(CL1588+AM1588)/2,MAX((CL1588+AM1588)/2,H1588))))</f>
        <v>2</v>
      </c>
      <c r="AL1588" s="62" t="n">
        <f aca="false">AK1588*G1588</f>
        <v>646</v>
      </c>
      <c r="AM1588" s="62" t="n">
        <f aca="false">ROUNDUP(CL1588+MAX(CM1588,2*(J1588/IF(CH1588&gt;0,CH1588,MAX(0.1,N(Cockpit!$C$6)))-CL1588)),0)</f>
        <v>1</v>
      </c>
      <c r="AN1588" s="63" t="n">
        <f aca="false">IF(AJ1588&gt;0,J1588/AJ1588,-1)</f>
        <v>0</v>
      </c>
      <c r="AO1588" s="63" t="n">
        <f aca="false">IF(AND(OR(CG1588="L1",CG1588="L23",CG1588="LIFT"),AJ1588&gt;0),SUMIFS($AJ$7:$AJ$1843,$CG$7:$CG$1843,CG1588,$AN$7:$AN$1843,"&gt;"&amp;AN1588)+SUMIFS($AJ$7:$AJ$1843,$CG$7:$CG$1843,CG1588,$AN$7:$AN$1843,AN1588,$BX$7:$BX$1843,"&lt;="&amp;BX1588),"")</f>
        <v>30555.617472217</v>
      </c>
      <c r="AP1588" s="70" t="n">
        <f aca="false">IF(AO1588="",0,MAX(0,MIN(1,(IF(CG1588="L1",Parameter!$H$5,IF(CG1588="L23",Parameter!$H$6+Parameter!$H$7,Parameter!$H$5+Parameter!$H$6+Parameter!$H$7))-(AO1588-AJ1588))/AJ1588)))</f>
        <v>1</v>
      </c>
      <c r="AQ1588" s="62" t="n">
        <f aca="false">IF(LEFT(Cockpit!$I$5,1)="A",H1588,IF(Parameter!$E$30="MAX-Bestand",IF(CI1588=1,CJ1588,IF(LEFT(Cockpit!$I$5,1)="B",AW1588,MAX(AW1588,H1588))),ROUNDUP(AU1588,0)))</f>
        <v>2</v>
      </c>
      <c r="AR1588" s="62" t="n">
        <f aca="false">IF(CA1588=1,0,ROUNDUP(AQ1588/BZ1588,0))</f>
        <v>1</v>
      </c>
      <c r="AS1588" s="64" t="n">
        <f aca="false">IF(CR1588&gt;0,CR1588*MAX(1,AQ1588/X1588),IF(CA1588=1,IF(AQ1588&lt;=0,0,CE1588*MAX(1,IF(H1588&gt;0,AQ1588/H1588,1))),IF(R1588&gt;0,AR1588/R1588,0))/MAX(0.1,N(Parameter!$M$21)))</f>
        <v>0.0833333333333333</v>
      </c>
      <c r="AT1588" s="62" t="n">
        <f aca="false">AS1588*CC1588</f>
        <v>12.0833333333333</v>
      </c>
      <c r="AU1588" s="63" t="n">
        <f aca="false">IF(LEFT(Cockpit!$I$5,1)="A",H1588,IF(CI1588=1,(CL1588+CJ1588)/2,IF(LEFT(Cockpit!$I$5,1)="B",(CL1588+AW1588)/2,MAX((CL1588+AW1588)/2,H1588))))</f>
        <v>2</v>
      </c>
      <c r="AV1588" s="62" t="n">
        <f aca="false">AU1588*G1588</f>
        <v>646</v>
      </c>
      <c r="AW1588" s="62" t="n">
        <f aca="false">ROUNDUP(CL1588+MAX(CM1588,2*(J1588/IF(CH1588&gt;0,CH1588,MAX(0.1,N(Cockpit!$I$6)))-CL1588)),0)</f>
        <v>1</v>
      </c>
      <c r="AX1588" s="63" t="n">
        <f aca="false">IF(AT1588&gt;0,J1588/AT1588,-1)</f>
        <v>0</v>
      </c>
      <c r="AY1588" s="63" t="n">
        <f aca="false">IF(AND(OR(CG1588="L1",CG1588="L23",CG1588="LIFT"),AT1588&gt;0),SUMIFS($AT$7:$AT$1843,$CG$7:$CG$1843,CG1588,$AX$7:$AX$1843,"&gt;"&amp;AX1588)+SUMIFS($AT$7:$AT$1843,$CG$7:$CG$1843,CG1588,$AX$7:$AX$1843,AX1588,$BX$7:$BX$1843,"&lt;="&amp;BX1588),"")</f>
        <v>36875.4739890524</v>
      </c>
      <c r="AZ1588" s="70" t="n">
        <f aca="false">IF(AY1588="",0,MAX(0,MIN(1,(IF(CG1588="L1",Parameter!$H$5,IF(CG1588="L23",Parameter!$H$6+Parameter!$H$7,Parameter!$H$5+Parameter!$H$6+Parameter!$H$7))-(AY1588-AT1588))/AT1588)))</f>
        <v>0</v>
      </c>
      <c r="BA1588" s="62" t="n">
        <f aca="false">IF(LEFT(Cockpit!$O$5,1)="A",H1588,IF(Parameter!$E$30="MAX-Bestand",IF(CI1588=1,CJ1588,IF(LEFT(Cockpit!$O$5,1)="B",BG1588,MAX(BG1588,H1588))),ROUNDUP(BE1588,0)))</f>
        <v>1</v>
      </c>
      <c r="BB1588" s="62" t="n">
        <f aca="false">IF(CA1588=1,0,ROUNDUP(BA1588/BZ1588,0))</f>
        <v>1</v>
      </c>
      <c r="BC1588" s="64" t="n">
        <f aca="false">IF(CR1588&gt;0,CR1588*MAX(1,BA1588/X1588),IF(CA1588=1,IF(BA1588&lt;=0,0,CE1588*MAX(1,IF(H1588&gt;0,BA1588/H1588,1))),IF(R1588&gt;0,BB1588/R1588,0))/MAX(0.1,N(Parameter!$M$21)))</f>
        <v>0.0833333333333333</v>
      </c>
      <c r="BD1588" s="62" t="n">
        <f aca="false">BC1588*CC1588</f>
        <v>12.0833333333333</v>
      </c>
      <c r="BE1588" s="63" t="n">
        <f aca="false">IF(LEFT(Cockpit!$O$5,1)="A",H1588,IF(CI1588=1,(CL1588+CJ1588)/2,IF(LEFT(Cockpit!$O$5,1)="B",(CL1588+BG1588)/2,MAX((CL1588+BG1588)/2,H1588))))</f>
        <v>0.5</v>
      </c>
      <c r="BF1588" s="62" t="n">
        <f aca="false">BE1588*G1588</f>
        <v>161.5</v>
      </c>
      <c r="BG1588" s="62" t="n">
        <f aca="false">ROUNDUP(CL1588+MAX(CM1588,2*(J1588/IF(CH1588&gt;0,CH1588,MAX(0.1,N(Cockpit!$O$6)))-CL1588)),0)</f>
        <v>1</v>
      </c>
      <c r="BH1588" s="63" t="n">
        <f aca="false">IF(BD1588&gt;0,J1588/BD1588,-1)</f>
        <v>0</v>
      </c>
      <c r="BI1588" s="63" t="n">
        <f aca="false">IF(AND(OR(CG1588="L1",CG1588="L23",CG1588="LIFT"),BD1588&gt;0),SUMIFS($BD$7:$BD$1843,$CG$7:$CG$1843,CG1588,$BH$7:$BH$1843,"&gt;"&amp;BH1588)+SUMIFS($BD$7:$BD$1843,$CG$7:$CG$1843,CG1588,$BH$7:$BH$1843,BH1588,$BX$7:$BX$1843,"&lt;="&amp;BX1588),"")</f>
        <v>30784.9152645848</v>
      </c>
      <c r="BJ1588" s="70" t="n">
        <f aca="false">IF(BI1588="",0,MAX(0,MIN(1,(IF(CG1588="L1",Parameter!$H$5,IF(CG1588="L23",Parameter!$H$6+Parameter!$H$7,Parameter!$H$5+Parameter!$H$6+Parameter!$H$7))-(BI1588-BD1588))/BD1588)))</f>
        <v>1</v>
      </c>
      <c r="BK1588" s="60" t="str">
        <f aca="false">IF(AJ1588&lt;=0,"",IF(CG1588="Aussen","Aussenlager",IF(CG1588="-","Nicht im Lift",IF(AP1588&gt;=1,"Lift",IF(AP1588&lt;=0,"Aussenlager","teilweise")))))</f>
        <v>Lift</v>
      </c>
      <c r="BL1588" s="60" t="str">
        <f aca="false">IF(AT1588&lt;=0,"",IF(CG1588="Aussen","Aussenlager",IF(CG1588="-","Nicht im Lift",IF(AZ1588&gt;=1,"Lift",IF(AZ1588&lt;=0,"Aussenlager","teilweise")))))</f>
        <v>Aussenlager</v>
      </c>
      <c r="BM1588" s="60" t="str">
        <f aca="false">IF(BD1588&lt;=0,"",IF(CG1588="Aussen","Aussenlager",IF(CG1588="-","Nicht im Lift",IF(BJ1588&gt;=1,"Lift",IF(BJ1588&lt;=0,"Aussenlager","teilweise")))))</f>
        <v>Lift</v>
      </c>
      <c r="BN1588" s="60" t="str">
        <f aca="false">IF(A1588="","",IF(BW1588=1,"Neu; ","")&amp;IF(AND(BW1588=0,BR1588&lt;0),"negativer Bestand (Export "&amp;BR1588&amp;"); ","")&amp;IF(J1588&lt;=0,"Kein Verbrauch; ","")&amp;IF(CR1588&gt;0,"Lift "&amp;W1588&amp;" lt. Liftbericht (Fach "&amp;X1588&amp;" Stk); ",IF(CB1588=1,"Gebinde geschätzt ("&amp;T1588&amp;"); ",IF(CA1588=1,"Lose – Tablare geschätzt; ","")))&amp;IF(H1588&gt;AW1588,"Überbestand "&amp;ROUND(H1588-AW1588,0)&amp;" Stk / CHF "&amp;ROUND((H1588-AW1588)*G1588,0)&amp;"; ","")&amp;IF(AND(CI1588=1,CJ1588&lt;CK1588),"MAX &lt; MB+LG; ","")&amp;IF(AND(CQ1588&gt;0,CP1588*10&gt;CQ1588),"zu hoch für Tablar; ","")&amp;IF(AND(BW1588=0,OR(CI1588=1,AB1588&lt;&gt;"",U1588&lt;&gt;"",V1588&lt;&gt;"",AC1588&lt;&gt;"")),"manuell übersteuert; ","")&amp;IF(AND(CA1588=0,R1588=0),"Gebinde unbekannt / Stellmass fehlt; ","")&amp;IF(AND(CA1588=0,N(V1588)&lt;=0,N(Q1588)&lt;=0),"Menge pro Gebinde fehlt (Ist = 1 Gebinde); ","")&amp;BV1588)</f>
        <v>Kein Verbrauch; Gebinde geschätzt (Mittel); Überbestand 1 Stk / CHF 323; Menge pro Gebinde fehlt (Ist = 1 Gebinde); nur im Artikelstamm (Bestand 23.06.2026)</v>
      </c>
      <c r="BO1588" s="60"/>
      <c r="BP1588" s="60"/>
      <c r="BQ1588" s="67"/>
      <c r="BR1588" s="62" t="n">
        <v>2</v>
      </c>
      <c r="BS1588" s="62" t="n">
        <v>0</v>
      </c>
      <c r="BT1588" s="61" t="n">
        <v>0</v>
      </c>
      <c r="BU1588" s="62" t="n">
        <v>0</v>
      </c>
      <c r="BV1588" s="60" t="s">
        <v>2617</v>
      </c>
      <c r="BW1588" s="65" t="n">
        <v>0</v>
      </c>
      <c r="BX1588" s="65" t="n">
        <v>1588</v>
      </c>
      <c r="BY1588" s="60" t="str">
        <f aca="false">IF(U1588&lt;&gt;"",UPPER(TRIM(U1588)),IF(CB1588=1,UPPER(VLOOKUP(T1588,Parameter!$I$27:$K$29,2,0)),IF(P1588="","LOSE",P1588)))</f>
        <v>S61</v>
      </c>
      <c r="BZ1588" s="62" t="n">
        <f aca="false">IF(BY1588="LOSE",1,IF(N(V1588)&gt;0,V1588,IF(CB1588=1,MAX(1,N(VLOOKUP(T1588,Parameter!$I$27:$K$29,3,0)),H1588,N(N1588)),IF(N(Q1588)&gt;0,Q1588,MAX(1,H1588)))))</f>
        <v>4</v>
      </c>
      <c r="CA1588" s="65" t="n">
        <f aca="false">IF(BY1588="LOSE",1,0)</f>
        <v>0</v>
      </c>
      <c r="CB1588" s="65" t="n">
        <f aca="false">IF(AND(U1588="",OR(P1588="",P1588="LOSE"),T1588&lt;&gt;"",N(S1588)&lt;=0,ISNUMBER(MATCH(T1588,Parameter!$I$27:$I$29,0))),1,0)</f>
        <v>1</v>
      </c>
      <c r="CC1588" s="65" t="n">
        <f aca="false">IF(CR1588&gt;0,INDEX(Parameter!$H$5:$H$7,W1588)/INDEX(Parameter!$E$5:$E$7,W1588),IF(AND(CA1588=0,N(IFERROR(VLOOKUP(BY1588,'Gebinde-Kategorie'!$A$5:$N$45,14,0),0))&gt;0),VLOOKUP(BY1588,'Gebinde-Kategorie'!$A$5:$N$45,14,0)*10+Parameter!$M$23,Parameter!$M$24))</f>
        <v>145</v>
      </c>
      <c r="CD1588" s="60" t="str">
        <f aca="false">IF(AND(Parameter!$B$19="Ja",E1588&lt;&gt;"",ISNUMBER(MATCH(E1588,Parameter!$I$35:$I$52,0))),VLOOKUP(E1588,Parameter!$I$35:$J$52,2,0),IFERROR(VLOOKUP(D1588,Parameter!$A$35:$C$64,2,0),"Nein"))</f>
        <v>2+3</v>
      </c>
      <c r="CE1588" s="64" t="n">
        <f aca="false">IF(CA1588=0,0,IF(N(S1588)&gt;0,S1588,IFERROR(VLOOKUP(D1588,Parameter!$A$35:$C$64,3,0)+0,0)))</f>
        <v>0</v>
      </c>
      <c r="CF1588" s="60" t="n">
        <f aca="false">IF(AB1588&lt;&gt;"",AB1588,AA1588)</f>
        <v>3</v>
      </c>
      <c r="CG1588" s="60" t="str">
        <f aca="false">IF(OR(CF1588=1,CF1588=2,CF1588=3),IF(Parameter!$E$27="Ja","LIFT",IF(CF1588=1,"L1","L23")),IF(CF1588="Aussen","Aussen","-"))</f>
        <v>LIFT</v>
      </c>
      <c r="CH1588" s="71" t="n">
        <f aca="false">IF(N(AC1588)&gt;0,AC1588,0)</f>
        <v>0</v>
      </c>
      <c r="CI1588" s="65" t="n">
        <f aca="false">IF(ISNUMBER(AF1588),1,0)</f>
        <v>0</v>
      </c>
      <c r="CJ1588" s="62" t="n">
        <f aca="false">N(AF1588)</f>
        <v>0</v>
      </c>
      <c r="CK1588" s="62" t="n">
        <f aca="false">N(M1588)+N(N1588)</f>
        <v>1</v>
      </c>
      <c r="CL1588" s="62" t="n">
        <f aca="false">N(M1588)</f>
        <v>0</v>
      </c>
      <c r="CM1588" s="62" t="n">
        <f aca="false">N(N1588)</f>
        <v>1</v>
      </c>
      <c r="CN1588" s="62" t="n">
        <f aca="false">ROUNDUP(H1588/BZ1588,0)</f>
        <v>1</v>
      </c>
      <c r="CO1588" s="62" t="n">
        <f aca="false">ROUNDUP(CJ1588/BZ1588,0)</f>
        <v>0</v>
      </c>
      <c r="CP1588" s="65" t="n">
        <f aca="false">IF(CA1588=1,0,IFERROR(VLOOKUP(BY1588,'Gebinde-Kategorie'!$A$5:$N$45,5,0)+0,0))</f>
        <v>11</v>
      </c>
      <c r="CQ1588" s="65" t="n">
        <f aca="false">IFERROR(IF(OR(CF1588=1,CF1588=2,CF1588=3),N(INDEX(Parameter!$I$5:$I$7,CF1588)),0),0)</f>
        <v>0</v>
      </c>
      <c r="CR1588" s="64" t="n">
        <f aca="false">IF(AND(Parameter!$B$21="Ja",ISNUMBER(W1588),N(X1588)&gt;0),IFERROR(N(INDEX(Parameter!$L$5:$L$7,W1588))*INDEX(Parameter!$E$5:$E$7,W1588)*X1588/SUMIFS($X$7:$X$1843,$W$7:$W$1843,W1588),0),0)</f>
        <v>0</v>
      </c>
      <c r="CS1588" s="62" t="n">
        <f aca="false">IF(AND(OR(CG1588="L1",CG1588="L23",CG1588="LIFT"),H1588&gt;0),CC1588*IF(CR1588&gt;0,CR1588*MAX(1,H1588/X1588),IF(CA1588=1,CE1588,IF(R1588&gt;0,CN1588/R1588,0))/MAX(0.1,N(Parameter!$M$21))),"")</f>
        <v>12.0833333333333</v>
      </c>
      <c r="CT1588" s="64" t="n">
        <f aca="false">IF(CS1588="","",J1588/H1588)</f>
        <v>0</v>
      </c>
      <c r="CU1588" s="62" t="n">
        <f aca="false">IF(CS1588="","",H1588*G1588)</f>
        <v>646</v>
      </c>
      <c r="CV1588" s="63" t="n">
        <f aca="false">IF(CS1588="","",(CL1588+ROUNDUP(CL1588+MAX(CM1588,2*(J1588/MAX(0.1,N(Einkauf!$C$6))-CL1588)),0))/2)</f>
        <v>0.5</v>
      </c>
      <c r="CW1588" s="62" t="n">
        <f aca="false">IF(CS1588="","",MAX(0,H1588-CV1588)*G1588)</f>
        <v>484.5</v>
      </c>
      <c r="CX1588" s="62" t="n">
        <f aca="false">IF(CS1588="","",CS1588*MAX(0,1-CV1588/H1588))</f>
        <v>9.0625</v>
      </c>
      <c r="CY1588" s="64" t="n">
        <f aca="false">IF(CS1588="","",PERCENTRANK($CS$7:$CS$1843,CS1588)+PERCENTRANK($CU$7:$CU$1843,CU1588)+1-PERCENTRANK($CT$7:$CT$1843,CT1588))</f>
        <v>2.223</v>
      </c>
      <c r="CZ1588" s="72" t="n">
        <f aca="false">IF(CS1588="","",CHOOSE(MATCH(Einkauf!$C$5,Parameter!$G$23:$G$27,0),CY1588,CS1588,CU1588,-CT1588,CW1588)+ROW()/1000000000)</f>
        <v>2.223001588</v>
      </c>
    </row>
    <row r="1589" customFormat="false" ht="15" hidden="false" customHeight="false" outlineLevel="0" collapsed="false">
      <c r="A1589" s="60" t="s">
        <v>2812</v>
      </c>
      <c r="B1589" s="60" t="s">
        <v>2813</v>
      </c>
      <c r="C1589" s="60" t="s">
        <v>206</v>
      </c>
      <c r="D1589" s="60" t="s">
        <v>215</v>
      </c>
      <c r="E1589" s="60"/>
      <c r="F1589" s="60"/>
      <c r="G1589" s="61" t="n">
        <v>78.35</v>
      </c>
      <c r="H1589" s="62" t="n">
        <f aca="false">MAX(0,IF(AND(Parameter!$B$21="Ja",ISNUMBER(Y1589)),Y1589,IF(Parameter!$B$20="Jahresanfang 2025 + Export",BS1589+BR1589,BR1589)))</f>
        <v>2</v>
      </c>
      <c r="I1589" s="62" t="n">
        <f aca="false">H1589*G1589</f>
        <v>156.7</v>
      </c>
      <c r="J1589" s="62" t="n">
        <f aca="false">BU1589*Parameter!$B$18</f>
        <v>0</v>
      </c>
      <c r="K1589" s="63"/>
      <c r="L1589" s="64"/>
      <c r="M1589" s="62" t="n">
        <v>0</v>
      </c>
      <c r="N1589" s="62" t="n">
        <v>1</v>
      </c>
      <c r="O1589" s="65" t="n">
        <v>0</v>
      </c>
      <c r="P1589" s="60" t="s">
        <v>210</v>
      </c>
      <c r="Q1589" s="62"/>
      <c r="R1589" s="65" t="n">
        <f aca="false">IF(CA1589=1,0,IFERROR(VLOOKUP(BY1589,'Gebinde-Kategorie'!$A$5:$N$45,13,0)+0,0))</f>
        <v>12</v>
      </c>
      <c r="S1589" s="66"/>
      <c r="T1589" s="67" t="s">
        <v>221</v>
      </c>
      <c r="U1589" s="67"/>
      <c r="V1589" s="67"/>
      <c r="W1589" s="60"/>
      <c r="X1589" s="62"/>
      <c r="Y1589" s="62"/>
      <c r="Z1589" s="60" t="n">
        <v>3</v>
      </c>
      <c r="AA1589" s="60" t="n">
        <f aca="false">IF(A1589="","",IF(AND(Parameter!$B$21="Ja",ISNUMBER(W1589)),W1589,IF(AND(Parameter!$E$27="Ja",ISNUMBER(Z1589),CD1589&lt;&gt;"Nein"),Z1589,IF(CD1589="2+3",IF(ISNUMBER(SEARCH("grosser Artikel",BV1589)),2,IFERROR(VLOOKUP(BY1589,Parameter!$F$35:$G$64,2,0),2)),IF(OR(CD1589="Nein",CD1589=""),"-",CD1589)))))</f>
        <v>3</v>
      </c>
      <c r="AB1589" s="67"/>
      <c r="AC1589" s="68"/>
      <c r="AD1589" s="62" t="n">
        <f aca="false">AW1589</f>
        <v>1</v>
      </c>
      <c r="AE1589" s="62" t="n">
        <f aca="false">MAX(AW1589,H1589)</f>
        <v>2</v>
      </c>
      <c r="AF1589" s="69"/>
      <c r="AG1589" s="62" t="n">
        <f aca="false">IF(LEFT(Cockpit!$C$5,1)="A",H1589,IF(Parameter!$E$30="MAX-Bestand",IF(CI1589=1,CJ1589,IF(LEFT(Cockpit!$C$5,1)="B",AM1589,MAX(AM1589,H1589))),ROUNDUP(AK1589,0)))</f>
        <v>2</v>
      </c>
      <c r="AH1589" s="62" t="n">
        <f aca="false">IF(CA1589=1,0,ROUNDUP(AG1589/BZ1589,0))</f>
        <v>1</v>
      </c>
      <c r="AI1589" s="64" t="n">
        <f aca="false">IF(CR1589&gt;0,CR1589*MAX(1,AG1589/X1589),IF(CA1589=1,IF(AG1589&lt;=0,0,CE1589*MAX(1,IF(H1589&gt;0,AG1589/H1589,1))),IF(R1589&gt;0,AH1589/R1589,0))/MAX(0.1,N(Parameter!$M$21)))</f>
        <v>0.0833333333333333</v>
      </c>
      <c r="AJ1589" s="62" t="n">
        <f aca="false">AI1589*CC1589</f>
        <v>12.0833333333333</v>
      </c>
      <c r="AK1589" s="63" t="n">
        <f aca="false">IF(LEFT(Cockpit!$C$5,1)="A",H1589,IF(CI1589=1,(CL1589+CJ1589)/2,IF(LEFT(Cockpit!$C$5,1)="B",(CL1589+AM1589)/2,MAX((CL1589+AM1589)/2,H1589))))</f>
        <v>2</v>
      </c>
      <c r="AL1589" s="62" t="n">
        <f aca="false">AK1589*G1589</f>
        <v>156.7</v>
      </c>
      <c r="AM1589" s="62" t="n">
        <f aca="false">ROUNDUP(CL1589+MAX(CM1589,2*(J1589/IF(CH1589&gt;0,CH1589,MAX(0.1,N(Cockpit!$C$6)))-CL1589)),0)</f>
        <v>1</v>
      </c>
      <c r="AN1589" s="63" t="n">
        <f aca="false">IF(AJ1589&gt;0,J1589/AJ1589,-1)</f>
        <v>0</v>
      </c>
      <c r="AO1589" s="63" t="n">
        <f aca="false">IF(AND(OR(CG1589="L1",CG1589="L23",CG1589="LIFT"),AJ1589&gt;0),SUMIFS($AJ$7:$AJ$1843,$CG$7:$CG$1843,CG1589,$AN$7:$AN$1843,"&gt;"&amp;AN1589)+SUMIFS($AJ$7:$AJ$1843,$CG$7:$CG$1843,CG1589,$AN$7:$AN$1843,AN1589,$BX$7:$BX$1843,"&lt;="&amp;BX1589),"")</f>
        <v>30567.7008055504</v>
      </c>
      <c r="AP1589" s="70" t="n">
        <f aca="false">IF(AO1589="",0,MAX(0,MIN(1,(IF(CG1589="L1",Parameter!$H$5,IF(CG1589="L23",Parameter!$H$6+Parameter!$H$7,Parameter!$H$5+Parameter!$H$6+Parameter!$H$7))-(AO1589-AJ1589))/AJ1589)))</f>
        <v>1</v>
      </c>
      <c r="AQ1589" s="62" t="n">
        <f aca="false">IF(LEFT(Cockpit!$I$5,1)="A",H1589,IF(Parameter!$E$30="MAX-Bestand",IF(CI1589=1,CJ1589,IF(LEFT(Cockpit!$I$5,1)="B",AW1589,MAX(AW1589,H1589))),ROUNDUP(AU1589,0)))</f>
        <v>2</v>
      </c>
      <c r="AR1589" s="62" t="n">
        <f aca="false">IF(CA1589=1,0,ROUNDUP(AQ1589/BZ1589,0))</f>
        <v>1</v>
      </c>
      <c r="AS1589" s="64" t="n">
        <f aca="false">IF(CR1589&gt;0,CR1589*MAX(1,AQ1589/X1589),IF(CA1589=1,IF(AQ1589&lt;=0,0,CE1589*MAX(1,IF(H1589&gt;0,AQ1589/H1589,1))),IF(R1589&gt;0,AR1589/R1589,0))/MAX(0.1,N(Parameter!$M$21)))</f>
        <v>0.0833333333333333</v>
      </c>
      <c r="AT1589" s="62" t="n">
        <f aca="false">AS1589*CC1589</f>
        <v>12.0833333333333</v>
      </c>
      <c r="AU1589" s="63" t="n">
        <f aca="false">IF(LEFT(Cockpit!$I$5,1)="A",H1589,IF(CI1589=1,(CL1589+CJ1589)/2,IF(LEFT(Cockpit!$I$5,1)="B",(CL1589+AW1589)/2,MAX((CL1589+AW1589)/2,H1589))))</f>
        <v>2</v>
      </c>
      <c r="AV1589" s="62" t="n">
        <f aca="false">AU1589*G1589</f>
        <v>156.7</v>
      </c>
      <c r="AW1589" s="62" t="n">
        <f aca="false">ROUNDUP(CL1589+MAX(CM1589,2*(J1589/IF(CH1589&gt;0,CH1589,MAX(0.1,N(Cockpit!$I$6)))-CL1589)),0)</f>
        <v>1</v>
      </c>
      <c r="AX1589" s="63" t="n">
        <f aca="false">IF(AT1589&gt;0,J1589/AT1589,-1)</f>
        <v>0</v>
      </c>
      <c r="AY1589" s="63" t="n">
        <f aca="false">IF(AND(OR(CG1589="L1",CG1589="L23",CG1589="LIFT"),AT1589&gt;0),SUMIFS($AT$7:$AT$1843,$CG$7:$CG$1843,CG1589,$AX$7:$AX$1843,"&gt;"&amp;AX1589)+SUMIFS($AT$7:$AT$1843,$CG$7:$CG$1843,CG1589,$AX$7:$AX$1843,AX1589,$BX$7:$BX$1843,"&lt;="&amp;BX1589),"")</f>
        <v>36887.5573223857</v>
      </c>
      <c r="AZ1589" s="70" t="n">
        <f aca="false">IF(AY1589="",0,MAX(0,MIN(1,(IF(CG1589="L1",Parameter!$H$5,IF(CG1589="L23",Parameter!$H$6+Parameter!$H$7,Parameter!$H$5+Parameter!$H$6+Parameter!$H$7))-(AY1589-AT1589))/AT1589)))</f>
        <v>0</v>
      </c>
      <c r="BA1589" s="62" t="n">
        <f aca="false">IF(LEFT(Cockpit!$O$5,1)="A",H1589,IF(Parameter!$E$30="MAX-Bestand",IF(CI1589=1,CJ1589,IF(LEFT(Cockpit!$O$5,1)="B",BG1589,MAX(BG1589,H1589))),ROUNDUP(BE1589,0)))</f>
        <v>1</v>
      </c>
      <c r="BB1589" s="62" t="n">
        <f aca="false">IF(CA1589=1,0,ROUNDUP(BA1589/BZ1589,0))</f>
        <v>1</v>
      </c>
      <c r="BC1589" s="64" t="n">
        <f aca="false">IF(CR1589&gt;0,CR1589*MAX(1,BA1589/X1589),IF(CA1589=1,IF(BA1589&lt;=0,0,CE1589*MAX(1,IF(H1589&gt;0,BA1589/H1589,1))),IF(R1589&gt;0,BB1589/R1589,0))/MAX(0.1,N(Parameter!$M$21)))</f>
        <v>0.0833333333333333</v>
      </c>
      <c r="BD1589" s="62" t="n">
        <f aca="false">BC1589*CC1589</f>
        <v>12.0833333333333</v>
      </c>
      <c r="BE1589" s="63" t="n">
        <f aca="false">IF(LEFT(Cockpit!$O$5,1)="A",H1589,IF(CI1589=1,(CL1589+CJ1589)/2,IF(LEFT(Cockpit!$O$5,1)="B",(CL1589+BG1589)/2,MAX((CL1589+BG1589)/2,H1589))))</f>
        <v>0.5</v>
      </c>
      <c r="BF1589" s="62" t="n">
        <f aca="false">BE1589*G1589</f>
        <v>39.175</v>
      </c>
      <c r="BG1589" s="62" t="n">
        <f aca="false">ROUNDUP(CL1589+MAX(CM1589,2*(J1589/IF(CH1589&gt;0,CH1589,MAX(0.1,N(Cockpit!$O$6)))-CL1589)),0)</f>
        <v>1</v>
      </c>
      <c r="BH1589" s="63" t="n">
        <f aca="false">IF(BD1589&gt;0,J1589/BD1589,-1)</f>
        <v>0</v>
      </c>
      <c r="BI1589" s="63" t="n">
        <f aca="false">IF(AND(OR(CG1589="L1",CG1589="L23",CG1589="LIFT"),BD1589&gt;0),SUMIFS($BD$7:$BD$1843,$CG$7:$CG$1843,CG1589,$BH$7:$BH$1843,"&gt;"&amp;BH1589)+SUMIFS($BD$7:$BD$1843,$CG$7:$CG$1843,CG1589,$BH$7:$BH$1843,BH1589,$BX$7:$BX$1843,"&lt;="&amp;BX1589),"")</f>
        <v>30796.9985979181</v>
      </c>
      <c r="BJ1589" s="70" t="n">
        <f aca="false">IF(BI1589="",0,MAX(0,MIN(1,(IF(CG1589="L1",Parameter!$H$5,IF(CG1589="L23",Parameter!$H$6+Parameter!$H$7,Parameter!$H$5+Parameter!$H$6+Parameter!$H$7))-(BI1589-BD1589))/BD1589)))</f>
        <v>1</v>
      </c>
      <c r="BK1589" s="60" t="str">
        <f aca="false">IF(AJ1589&lt;=0,"",IF(CG1589="Aussen","Aussenlager",IF(CG1589="-","Nicht im Lift",IF(AP1589&gt;=1,"Lift",IF(AP1589&lt;=0,"Aussenlager","teilweise")))))</f>
        <v>Lift</v>
      </c>
      <c r="BL1589" s="60" t="str">
        <f aca="false">IF(AT1589&lt;=0,"",IF(CG1589="Aussen","Aussenlager",IF(CG1589="-","Nicht im Lift",IF(AZ1589&gt;=1,"Lift",IF(AZ1589&lt;=0,"Aussenlager","teilweise")))))</f>
        <v>Aussenlager</v>
      </c>
      <c r="BM1589" s="60" t="str">
        <f aca="false">IF(BD1589&lt;=0,"",IF(CG1589="Aussen","Aussenlager",IF(CG1589="-","Nicht im Lift",IF(BJ1589&gt;=1,"Lift",IF(BJ1589&lt;=0,"Aussenlager","teilweise")))))</f>
        <v>Lift</v>
      </c>
      <c r="BN1589" s="60" t="str">
        <f aca="false">IF(A1589="","",IF(BW1589=1,"Neu; ","")&amp;IF(AND(BW1589=0,BR1589&lt;0),"negativer Bestand (Export "&amp;BR1589&amp;"); ","")&amp;IF(J1589&lt;=0,"Kein Verbrauch; ","")&amp;IF(CR1589&gt;0,"Lift "&amp;W1589&amp;" lt. Liftbericht (Fach "&amp;X1589&amp;" Stk); ",IF(CB1589=1,"Gebinde geschätzt ("&amp;T1589&amp;"); ",IF(CA1589=1,"Lose – Tablare geschätzt; ","")))&amp;IF(H1589&gt;AW1589,"Überbestand "&amp;ROUND(H1589-AW1589,0)&amp;" Stk / CHF "&amp;ROUND((H1589-AW1589)*G1589,0)&amp;"; ","")&amp;IF(AND(CI1589=1,CJ1589&lt;CK1589),"MAX &lt; MB+LG; ","")&amp;IF(AND(CQ1589&gt;0,CP1589*10&gt;CQ1589),"zu hoch für Tablar; ","")&amp;IF(AND(BW1589=0,OR(CI1589=1,AB1589&lt;&gt;"",U1589&lt;&gt;"",V1589&lt;&gt;"",AC1589&lt;&gt;"")),"manuell übersteuert; ","")&amp;IF(AND(CA1589=0,R1589=0),"Gebinde unbekannt / Stellmass fehlt; ","")&amp;IF(AND(CA1589=0,N(V1589)&lt;=0,N(Q1589)&lt;=0),"Menge pro Gebinde fehlt (Ist = 1 Gebinde); ","")&amp;BV1589)</f>
        <v>Kein Verbrauch; Gebinde geschätzt (Mittel); Überbestand 1 Stk / CHF 78; Menge pro Gebinde fehlt (Ist = 1 Gebinde); nur im Artikelstamm (Bestand 23.06.2026)</v>
      </c>
      <c r="BO1589" s="60"/>
      <c r="BP1589" s="60"/>
      <c r="BQ1589" s="67"/>
      <c r="BR1589" s="62" t="n">
        <v>2</v>
      </c>
      <c r="BS1589" s="62" t="n">
        <v>0</v>
      </c>
      <c r="BT1589" s="61" t="n">
        <v>0</v>
      </c>
      <c r="BU1589" s="62" t="n">
        <v>0</v>
      </c>
      <c r="BV1589" s="60" t="s">
        <v>2617</v>
      </c>
      <c r="BW1589" s="65" t="n">
        <v>0</v>
      </c>
      <c r="BX1589" s="65" t="n">
        <v>1589</v>
      </c>
      <c r="BY1589" s="60" t="str">
        <f aca="false">IF(U1589&lt;&gt;"",UPPER(TRIM(U1589)),IF(CB1589=1,UPPER(VLOOKUP(T1589,Parameter!$I$27:$K$29,2,0)),IF(P1589="","LOSE",P1589)))</f>
        <v>S61</v>
      </c>
      <c r="BZ1589" s="62" t="n">
        <f aca="false">IF(BY1589="LOSE",1,IF(N(V1589)&gt;0,V1589,IF(CB1589=1,MAX(1,N(VLOOKUP(T1589,Parameter!$I$27:$K$29,3,0)),H1589,N(N1589)),IF(N(Q1589)&gt;0,Q1589,MAX(1,H1589)))))</f>
        <v>4</v>
      </c>
      <c r="CA1589" s="65" t="n">
        <f aca="false">IF(BY1589="LOSE",1,0)</f>
        <v>0</v>
      </c>
      <c r="CB1589" s="65" t="n">
        <f aca="false">IF(AND(U1589="",OR(P1589="",P1589="LOSE"),T1589&lt;&gt;"",N(S1589)&lt;=0,ISNUMBER(MATCH(T1589,Parameter!$I$27:$I$29,0))),1,0)</f>
        <v>1</v>
      </c>
      <c r="CC1589" s="65" t="n">
        <f aca="false">IF(CR1589&gt;0,INDEX(Parameter!$H$5:$H$7,W1589)/INDEX(Parameter!$E$5:$E$7,W1589),IF(AND(CA1589=0,N(IFERROR(VLOOKUP(BY1589,'Gebinde-Kategorie'!$A$5:$N$45,14,0),0))&gt;0),VLOOKUP(BY1589,'Gebinde-Kategorie'!$A$5:$N$45,14,0)*10+Parameter!$M$23,Parameter!$M$24))</f>
        <v>145</v>
      </c>
      <c r="CD1589" s="60" t="str">
        <f aca="false">IF(AND(Parameter!$B$19="Ja",E1589&lt;&gt;"",ISNUMBER(MATCH(E1589,Parameter!$I$35:$I$52,0))),VLOOKUP(E1589,Parameter!$I$35:$J$52,2,0),IFERROR(VLOOKUP(D1589,Parameter!$A$35:$C$64,2,0),"Nein"))</f>
        <v>2+3</v>
      </c>
      <c r="CE1589" s="64" t="n">
        <f aca="false">IF(CA1589=0,0,IF(N(S1589)&gt;0,S1589,IFERROR(VLOOKUP(D1589,Parameter!$A$35:$C$64,3,0)+0,0)))</f>
        <v>0</v>
      </c>
      <c r="CF1589" s="60" t="n">
        <f aca="false">IF(AB1589&lt;&gt;"",AB1589,AA1589)</f>
        <v>3</v>
      </c>
      <c r="CG1589" s="60" t="str">
        <f aca="false">IF(OR(CF1589=1,CF1589=2,CF1589=3),IF(Parameter!$E$27="Ja","LIFT",IF(CF1589=1,"L1","L23")),IF(CF1589="Aussen","Aussen","-"))</f>
        <v>LIFT</v>
      </c>
      <c r="CH1589" s="71" t="n">
        <f aca="false">IF(N(AC1589)&gt;0,AC1589,0)</f>
        <v>0</v>
      </c>
      <c r="CI1589" s="65" t="n">
        <f aca="false">IF(ISNUMBER(AF1589),1,0)</f>
        <v>0</v>
      </c>
      <c r="CJ1589" s="62" t="n">
        <f aca="false">N(AF1589)</f>
        <v>0</v>
      </c>
      <c r="CK1589" s="62" t="n">
        <f aca="false">N(M1589)+N(N1589)</f>
        <v>1</v>
      </c>
      <c r="CL1589" s="62" t="n">
        <f aca="false">N(M1589)</f>
        <v>0</v>
      </c>
      <c r="CM1589" s="62" t="n">
        <f aca="false">N(N1589)</f>
        <v>1</v>
      </c>
      <c r="CN1589" s="62" t="n">
        <f aca="false">ROUNDUP(H1589/BZ1589,0)</f>
        <v>1</v>
      </c>
      <c r="CO1589" s="62" t="n">
        <f aca="false">ROUNDUP(CJ1589/BZ1589,0)</f>
        <v>0</v>
      </c>
      <c r="CP1589" s="65" t="n">
        <f aca="false">IF(CA1589=1,0,IFERROR(VLOOKUP(BY1589,'Gebinde-Kategorie'!$A$5:$N$45,5,0)+0,0))</f>
        <v>11</v>
      </c>
      <c r="CQ1589" s="65" t="n">
        <f aca="false">IFERROR(IF(OR(CF1589=1,CF1589=2,CF1589=3),N(INDEX(Parameter!$I$5:$I$7,CF1589)),0),0)</f>
        <v>0</v>
      </c>
      <c r="CR1589" s="64" t="n">
        <f aca="false">IF(AND(Parameter!$B$21="Ja",ISNUMBER(W1589),N(X1589)&gt;0),IFERROR(N(INDEX(Parameter!$L$5:$L$7,W1589))*INDEX(Parameter!$E$5:$E$7,W1589)*X1589/SUMIFS($X$7:$X$1843,$W$7:$W$1843,W1589),0),0)</f>
        <v>0</v>
      </c>
      <c r="CS1589" s="62" t="n">
        <f aca="false">IF(AND(OR(CG1589="L1",CG1589="L23",CG1589="LIFT"),H1589&gt;0),CC1589*IF(CR1589&gt;0,CR1589*MAX(1,H1589/X1589),IF(CA1589=1,CE1589,IF(R1589&gt;0,CN1589/R1589,0))/MAX(0.1,N(Parameter!$M$21))),"")</f>
        <v>12.0833333333333</v>
      </c>
      <c r="CT1589" s="64" t="n">
        <f aca="false">IF(CS1589="","",J1589/H1589)</f>
        <v>0</v>
      </c>
      <c r="CU1589" s="62" t="n">
        <f aca="false">IF(CS1589="","",H1589*G1589)</f>
        <v>156.7</v>
      </c>
      <c r="CV1589" s="63" t="n">
        <f aca="false">IF(CS1589="","",(CL1589+ROUNDUP(CL1589+MAX(CM1589,2*(J1589/MAX(0.1,N(Einkauf!$C$6))-CL1589)),0))/2)</f>
        <v>0.5</v>
      </c>
      <c r="CW1589" s="62" t="n">
        <f aca="false">IF(CS1589="","",MAX(0,H1589-CV1589)*G1589)</f>
        <v>117.525</v>
      </c>
      <c r="CX1589" s="62" t="n">
        <f aca="false">IF(CS1589="","",CS1589*MAX(0,1-CV1589/H1589))</f>
        <v>9.0625</v>
      </c>
      <c r="CY1589" s="64" t="n">
        <f aca="false">IF(CS1589="","",PERCENTRANK($CS$7:$CS$1843,CS1589)+PERCENTRANK($CU$7:$CU$1843,CU1589)+1-PERCENTRANK($CT$7:$CT$1843,CT1589))</f>
        <v>1.962</v>
      </c>
      <c r="CZ1589" s="72" t="n">
        <f aca="false">IF(CS1589="","",CHOOSE(MATCH(Einkauf!$C$5,Parameter!$G$23:$G$27,0),CY1589,CS1589,CU1589,-CT1589,CW1589)+ROW()/1000000000)</f>
        <v>1.962001589</v>
      </c>
    </row>
    <row r="1590" customFormat="false" ht="15" hidden="false" customHeight="false" outlineLevel="0" collapsed="false">
      <c r="A1590" s="60" t="s">
        <v>2814</v>
      </c>
      <c r="B1590" s="60" t="s">
        <v>2815</v>
      </c>
      <c r="C1590" s="60" t="s">
        <v>206</v>
      </c>
      <c r="D1590" s="60" t="s">
        <v>215</v>
      </c>
      <c r="E1590" s="60"/>
      <c r="F1590" s="60"/>
      <c r="G1590" s="61" t="n">
        <v>78.35</v>
      </c>
      <c r="H1590" s="62" t="n">
        <f aca="false">MAX(0,IF(AND(Parameter!$B$21="Ja",ISNUMBER(Y1590)),Y1590,IF(Parameter!$B$20="Jahresanfang 2025 + Export",BS1590+BR1590,BR1590)))</f>
        <v>3</v>
      </c>
      <c r="I1590" s="62" t="n">
        <f aca="false">H1590*G1590</f>
        <v>235.05</v>
      </c>
      <c r="J1590" s="62" t="n">
        <f aca="false">BU1590*Parameter!$B$18</f>
        <v>0</v>
      </c>
      <c r="K1590" s="63"/>
      <c r="L1590" s="64"/>
      <c r="M1590" s="62" t="n">
        <v>0</v>
      </c>
      <c r="N1590" s="62" t="n">
        <v>1</v>
      </c>
      <c r="O1590" s="65" t="n">
        <v>0</v>
      </c>
      <c r="P1590" s="60" t="s">
        <v>210</v>
      </c>
      <c r="Q1590" s="62"/>
      <c r="R1590" s="65" t="n">
        <f aca="false">IF(CA1590=1,0,IFERROR(VLOOKUP(BY1590,'Gebinde-Kategorie'!$A$5:$N$45,13,0)+0,0))</f>
        <v>12</v>
      </c>
      <c r="S1590" s="66"/>
      <c r="T1590" s="67" t="s">
        <v>221</v>
      </c>
      <c r="U1590" s="67"/>
      <c r="V1590" s="67"/>
      <c r="W1590" s="60"/>
      <c r="X1590" s="62"/>
      <c r="Y1590" s="62"/>
      <c r="Z1590" s="60" t="n">
        <v>3</v>
      </c>
      <c r="AA1590" s="60" t="n">
        <f aca="false">IF(A1590="","",IF(AND(Parameter!$B$21="Ja",ISNUMBER(W1590)),W1590,IF(AND(Parameter!$E$27="Ja",ISNUMBER(Z1590),CD1590&lt;&gt;"Nein"),Z1590,IF(CD1590="2+3",IF(ISNUMBER(SEARCH("grosser Artikel",BV1590)),2,IFERROR(VLOOKUP(BY1590,Parameter!$F$35:$G$64,2,0),2)),IF(OR(CD1590="Nein",CD1590=""),"-",CD1590)))))</f>
        <v>3</v>
      </c>
      <c r="AB1590" s="67"/>
      <c r="AC1590" s="68"/>
      <c r="AD1590" s="62" t="n">
        <f aca="false">AW1590</f>
        <v>1</v>
      </c>
      <c r="AE1590" s="62" t="n">
        <f aca="false">MAX(AW1590,H1590)</f>
        <v>3</v>
      </c>
      <c r="AF1590" s="69"/>
      <c r="AG1590" s="62" t="n">
        <f aca="false">IF(LEFT(Cockpit!$C$5,1)="A",H1590,IF(Parameter!$E$30="MAX-Bestand",IF(CI1590=1,CJ1590,IF(LEFT(Cockpit!$C$5,1)="B",AM1590,MAX(AM1590,H1590))),ROUNDUP(AK1590,0)))</f>
        <v>3</v>
      </c>
      <c r="AH1590" s="62" t="n">
        <f aca="false">IF(CA1590=1,0,ROUNDUP(AG1590/BZ1590,0))</f>
        <v>1</v>
      </c>
      <c r="AI1590" s="64" t="n">
        <f aca="false">IF(CR1590&gt;0,CR1590*MAX(1,AG1590/X1590),IF(CA1590=1,IF(AG1590&lt;=0,0,CE1590*MAX(1,IF(H1590&gt;0,AG1590/H1590,1))),IF(R1590&gt;0,AH1590/R1590,0))/MAX(0.1,N(Parameter!$M$21)))</f>
        <v>0.0833333333333333</v>
      </c>
      <c r="AJ1590" s="62" t="n">
        <f aca="false">AI1590*CC1590</f>
        <v>12.0833333333333</v>
      </c>
      <c r="AK1590" s="63" t="n">
        <f aca="false">IF(LEFT(Cockpit!$C$5,1)="A",H1590,IF(CI1590=1,(CL1590+CJ1590)/2,IF(LEFT(Cockpit!$C$5,1)="B",(CL1590+AM1590)/2,MAX((CL1590+AM1590)/2,H1590))))</f>
        <v>3</v>
      </c>
      <c r="AL1590" s="62" t="n">
        <f aca="false">AK1590*G1590</f>
        <v>235.05</v>
      </c>
      <c r="AM1590" s="62" t="n">
        <f aca="false">ROUNDUP(CL1590+MAX(CM1590,2*(J1590/IF(CH1590&gt;0,CH1590,MAX(0.1,N(Cockpit!$C$6)))-CL1590)),0)</f>
        <v>1</v>
      </c>
      <c r="AN1590" s="63" t="n">
        <f aca="false">IF(AJ1590&gt;0,J1590/AJ1590,-1)</f>
        <v>0</v>
      </c>
      <c r="AO1590" s="63" t="n">
        <f aca="false">IF(AND(OR(CG1590="L1",CG1590="L23",CG1590="LIFT"),AJ1590&gt;0),SUMIFS($AJ$7:$AJ$1843,$CG$7:$CG$1843,CG1590,$AN$7:$AN$1843,"&gt;"&amp;AN1590)+SUMIFS($AJ$7:$AJ$1843,$CG$7:$CG$1843,CG1590,$AN$7:$AN$1843,AN1590,$BX$7:$BX$1843,"&lt;="&amp;BX1590),"")</f>
        <v>30579.7841388837</v>
      </c>
      <c r="AP1590" s="70" t="n">
        <f aca="false">IF(AO1590="",0,MAX(0,MIN(1,(IF(CG1590="L1",Parameter!$H$5,IF(CG1590="L23",Parameter!$H$6+Parameter!$H$7,Parameter!$H$5+Parameter!$H$6+Parameter!$H$7))-(AO1590-AJ1590))/AJ1590)))</f>
        <v>1</v>
      </c>
      <c r="AQ1590" s="62" t="n">
        <f aca="false">IF(LEFT(Cockpit!$I$5,1)="A",H1590,IF(Parameter!$E$30="MAX-Bestand",IF(CI1590=1,CJ1590,IF(LEFT(Cockpit!$I$5,1)="B",AW1590,MAX(AW1590,H1590))),ROUNDUP(AU1590,0)))</f>
        <v>3</v>
      </c>
      <c r="AR1590" s="62" t="n">
        <f aca="false">IF(CA1590=1,0,ROUNDUP(AQ1590/BZ1590,0))</f>
        <v>1</v>
      </c>
      <c r="AS1590" s="64" t="n">
        <f aca="false">IF(CR1590&gt;0,CR1590*MAX(1,AQ1590/X1590),IF(CA1590=1,IF(AQ1590&lt;=0,0,CE1590*MAX(1,IF(H1590&gt;0,AQ1590/H1590,1))),IF(R1590&gt;0,AR1590/R1590,0))/MAX(0.1,N(Parameter!$M$21)))</f>
        <v>0.0833333333333333</v>
      </c>
      <c r="AT1590" s="62" t="n">
        <f aca="false">AS1590*CC1590</f>
        <v>12.0833333333333</v>
      </c>
      <c r="AU1590" s="63" t="n">
        <f aca="false">IF(LEFT(Cockpit!$I$5,1)="A",H1590,IF(CI1590=1,(CL1590+CJ1590)/2,IF(LEFT(Cockpit!$I$5,1)="B",(CL1590+AW1590)/2,MAX((CL1590+AW1590)/2,H1590))))</f>
        <v>3</v>
      </c>
      <c r="AV1590" s="62" t="n">
        <f aca="false">AU1590*G1590</f>
        <v>235.05</v>
      </c>
      <c r="AW1590" s="62" t="n">
        <f aca="false">ROUNDUP(CL1590+MAX(CM1590,2*(J1590/IF(CH1590&gt;0,CH1590,MAX(0.1,N(Cockpit!$I$6)))-CL1590)),0)</f>
        <v>1</v>
      </c>
      <c r="AX1590" s="63" t="n">
        <f aca="false">IF(AT1590&gt;0,J1590/AT1590,-1)</f>
        <v>0</v>
      </c>
      <c r="AY1590" s="63" t="n">
        <f aca="false">IF(AND(OR(CG1590="L1",CG1590="L23",CG1590="LIFT"),AT1590&gt;0),SUMIFS($AT$7:$AT$1843,$CG$7:$CG$1843,CG1590,$AX$7:$AX$1843,"&gt;"&amp;AX1590)+SUMIFS($AT$7:$AT$1843,$CG$7:$CG$1843,CG1590,$AX$7:$AX$1843,AX1590,$BX$7:$BX$1843,"&lt;="&amp;BX1590),"")</f>
        <v>36899.640655719</v>
      </c>
      <c r="AZ1590" s="70" t="n">
        <f aca="false">IF(AY1590="",0,MAX(0,MIN(1,(IF(CG1590="L1",Parameter!$H$5,IF(CG1590="L23",Parameter!$H$6+Parameter!$H$7,Parameter!$H$5+Parameter!$H$6+Parameter!$H$7))-(AY1590-AT1590))/AT1590)))</f>
        <v>0</v>
      </c>
      <c r="BA1590" s="62" t="n">
        <f aca="false">IF(LEFT(Cockpit!$O$5,1)="A",H1590,IF(Parameter!$E$30="MAX-Bestand",IF(CI1590=1,CJ1590,IF(LEFT(Cockpit!$O$5,1)="B",BG1590,MAX(BG1590,H1590))),ROUNDUP(BE1590,0)))</f>
        <v>1</v>
      </c>
      <c r="BB1590" s="62" t="n">
        <f aca="false">IF(CA1590=1,0,ROUNDUP(BA1590/BZ1590,0))</f>
        <v>1</v>
      </c>
      <c r="BC1590" s="64" t="n">
        <f aca="false">IF(CR1590&gt;0,CR1590*MAX(1,BA1590/X1590),IF(CA1590=1,IF(BA1590&lt;=0,0,CE1590*MAX(1,IF(H1590&gt;0,BA1590/H1590,1))),IF(R1590&gt;0,BB1590/R1590,0))/MAX(0.1,N(Parameter!$M$21)))</f>
        <v>0.0833333333333333</v>
      </c>
      <c r="BD1590" s="62" t="n">
        <f aca="false">BC1590*CC1590</f>
        <v>12.0833333333333</v>
      </c>
      <c r="BE1590" s="63" t="n">
        <f aca="false">IF(LEFT(Cockpit!$O$5,1)="A",H1590,IF(CI1590=1,(CL1590+CJ1590)/2,IF(LEFT(Cockpit!$O$5,1)="B",(CL1590+BG1590)/2,MAX((CL1590+BG1590)/2,H1590))))</f>
        <v>0.5</v>
      </c>
      <c r="BF1590" s="62" t="n">
        <f aca="false">BE1590*G1590</f>
        <v>39.175</v>
      </c>
      <c r="BG1590" s="62" t="n">
        <f aca="false">ROUNDUP(CL1590+MAX(CM1590,2*(J1590/IF(CH1590&gt;0,CH1590,MAX(0.1,N(Cockpit!$O$6)))-CL1590)),0)</f>
        <v>1</v>
      </c>
      <c r="BH1590" s="63" t="n">
        <f aca="false">IF(BD1590&gt;0,J1590/BD1590,-1)</f>
        <v>0</v>
      </c>
      <c r="BI1590" s="63" t="n">
        <f aca="false">IF(AND(OR(CG1590="L1",CG1590="L23",CG1590="LIFT"),BD1590&gt;0),SUMIFS($BD$7:$BD$1843,$CG$7:$CG$1843,CG1590,$BH$7:$BH$1843,"&gt;"&amp;BH1590)+SUMIFS($BD$7:$BD$1843,$CG$7:$CG$1843,CG1590,$BH$7:$BH$1843,BH1590,$BX$7:$BX$1843,"&lt;="&amp;BX1590),"")</f>
        <v>30809.0819312514</v>
      </c>
      <c r="BJ1590" s="70" t="n">
        <f aca="false">IF(BI1590="",0,MAX(0,MIN(1,(IF(CG1590="L1",Parameter!$H$5,IF(CG1590="L23",Parameter!$H$6+Parameter!$H$7,Parameter!$H$5+Parameter!$H$6+Parameter!$H$7))-(BI1590-BD1590))/BD1590)))</f>
        <v>1</v>
      </c>
      <c r="BK1590" s="60" t="str">
        <f aca="false">IF(AJ1590&lt;=0,"",IF(CG1590="Aussen","Aussenlager",IF(CG1590="-","Nicht im Lift",IF(AP1590&gt;=1,"Lift",IF(AP1590&lt;=0,"Aussenlager","teilweise")))))</f>
        <v>Lift</v>
      </c>
      <c r="BL1590" s="60" t="str">
        <f aca="false">IF(AT1590&lt;=0,"",IF(CG1590="Aussen","Aussenlager",IF(CG1590="-","Nicht im Lift",IF(AZ1590&gt;=1,"Lift",IF(AZ1590&lt;=0,"Aussenlager","teilweise")))))</f>
        <v>Aussenlager</v>
      </c>
      <c r="BM1590" s="60" t="str">
        <f aca="false">IF(BD1590&lt;=0,"",IF(CG1590="Aussen","Aussenlager",IF(CG1590="-","Nicht im Lift",IF(BJ1590&gt;=1,"Lift",IF(BJ1590&lt;=0,"Aussenlager","teilweise")))))</f>
        <v>Lift</v>
      </c>
      <c r="BN1590" s="60" t="str">
        <f aca="false">IF(A1590="","",IF(BW1590=1,"Neu; ","")&amp;IF(AND(BW1590=0,BR1590&lt;0),"negativer Bestand (Export "&amp;BR1590&amp;"); ","")&amp;IF(J1590&lt;=0,"Kein Verbrauch; ","")&amp;IF(CR1590&gt;0,"Lift "&amp;W1590&amp;" lt. Liftbericht (Fach "&amp;X1590&amp;" Stk); ",IF(CB1590=1,"Gebinde geschätzt ("&amp;T1590&amp;"); ",IF(CA1590=1,"Lose – Tablare geschätzt; ","")))&amp;IF(H1590&gt;AW1590,"Überbestand "&amp;ROUND(H1590-AW1590,0)&amp;" Stk / CHF "&amp;ROUND((H1590-AW1590)*G1590,0)&amp;"; ","")&amp;IF(AND(CI1590=1,CJ1590&lt;CK1590),"MAX &lt; MB+LG; ","")&amp;IF(AND(CQ1590&gt;0,CP1590*10&gt;CQ1590),"zu hoch für Tablar; ","")&amp;IF(AND(BW1590=0,OR(CI1590=1,AB1590&lt;&gt;"",U1590&lt;&gt;"",V1590&lt;&gt;"",AC1590&lt;&gt;"")),"manuell übersteuert; ","")&amp;IF(AND(CA1590=0,R1590=0),"Gebinde unbekannt / Stellmass fehlt; ","")&amp;IF(AND(CA1590=0,N(V1590)&lt;=0,N(Q1590)&lt;=0),"Menge pro Gebinde fehlt (Ist = 1 Gebinde); ","")&amp;BV1590)</f>
        <v>Kein Verbrauch; Gebinde geschätzt (Mittel); Überbestand 2 Stk / CHF 157; Menge pro Gebinde fehlt (Ist = 1 Gebinde); nur im Artikelstamm (Bestand 23.06.2026)</v>
      </c>
      <c r="BO1590" s="60"/>
      <c r="BP1590" s="60"/>
      <c r="BQ1590" s="67"/>
      <c r="BR1590" s="62" t="n">
        <v>3</v>
      </c>
      <c r="BS1590" s="62" t="n">
        <v>0</v>
      </c>
      <c r="BT1590" s="61" t="n">
        <v>0</v>
      </c>
      <c r="BU1590" s="62" t="n">
        <v>0</v>
      </c>
      <c r="BV1590" s="60" t="s">
        <v>2617</v>
      </c>
      <c r="BW1590" s="65" t="n">
        <v>0</v>
      </c>
      <c r="BX1590" s="65" t="n">
        <v>1590</v>
      </c>
      <c r="BY1590" s="60" t="str">
        <f aca="false">IF(U1590&lt;&gt;"",UPPER(TRIM(U1590)),IF(CB1590=1,UPPER(VLOOKUP(T1590,Parameter!$I$27:$K$29,2,0)),IF(P1590="","LOSE",P1590)))</f>
        <v>S61</v>
      </c>
      <c r="BZ1590" s="62" t="n">
        <f aca="false">IF(BY1590="LOSE",1,IF(N(V1590)&gt;0,V1590,IF(CB1590=1,MAX(1,N(VLOOKUP(T1590,Parameter!$I$27:$K$29,3,0)),H1590,N(N1590)),IF(N(Q1590)&gt;0,Q1590,MAX(1,H1590)))))</f>
        <v>4</v>
      </c>
      <c r="CA1590" s="65" t="n">
        <f aca="false">IF(BY1590="LOSE",1,0)</f>
        <v>0</v>
      </c>
      <c r="CB1590" s="65" t="n">
        <f aca="false">IF(AND(U1590="",OR(P1590="",P1590="LOSE"),T1590&lt;&gt;"",N(S1590)&lt;=0,ISNUMBER(MATCH(T1590,Parameter!$I$27:$I$29,0))),1,0)</f>
        <v>1</v>
      </c>
      <c r="CC1590" s="65" t="n">
        <f aca="false">IF(CR1590&gt;0,INDEX(Parameter!$H$5:$H$7,W1590)/INDEX(Parameter!$E$5:$E$7,W1590),IF(AND(CA1590=0,N(IFERROR(VLOOKUP(BY1590,'Gebinde-Kategorie'!$A$5:$N$45,14,0),0))&gt;0),VLOOKUP(BY1590,'Gebinde-Kategorie'!$A$5:$N$45,14,0)*10+Parameter!$M$23,Parameter!$M$24))</f>
        <v>145</v>
      </c>
      <c r="CD1590" s="60" t="str">
        <f aca="false">IF(AND(Parameter!$B$19="Ja",E1590&lt;&gt;"",ISNUMBER(MATCH(E1590,Parameter!$I$35:$I$52,0))),VLOOKUP(E1590,Parameter!$I$35:$J$52,2,0),IFERROR(VLOOKUP(D1590,Parameter!$A$35:$C$64,2,0),"Nein"))</f>
        <v>2+3</v>
      </c>
      <c r="CE1590" s="64" t="n">
        <f aca="false">IF(CA1590=0,0,IF(N(S1590)&gt;0,S1590,IFERROR(VLOOKUP(D1590,Parameter!$A$35:$C$64,3,0)+0,0)))</f>
        <v>0</v>
      </c>
      <c r="CF1590" s="60" t="n">
        <f aca="false">IF(AB1590&lt;&gt;"",AB1590,AA1590)</f>
        <v>3</v>
      </c>
      <c r="CG1590" s="60" t="str">
        <f aca="false">IF(OR(CF1590=1,CF1590=2,CF1590=3),IF(Parameter!$E$27="Ja","LIFT",IF(CF1590=1,"L1","L23")),IF(CF1590="Aussen","Aussen","-"))</f>
        <v>LIFT</v>
      </c>
      <c r="CH1590" s="71" t="n">
        <f aca="false">IF(N(AC1590)&gt;0,AC1590,0)</f>
        <v>0</v>
      </c>
      <c r="CI1590" s="65" t="n">
        <f aca="false">IF(ISNUMBER(AF1590),1,0)</f>
        <v>0</v>
      </c>
      <c r="CJ1590" s="62" t="n">
        <f aca="false">N(AF1590)</f>
        <v>0</v>
      </c>
      <c r="CK1590" s="62" t="n">
        <f aca="false">N(M1590)+N(N1590)</f>
        <v>1</v>
      </c>
      <c r="CL1590" s="62" t="n">
        <f aca="false">N(M1590)</f>
        <v>0</v>
      </c>
      <c r="CM1590" s="62" t="n">
        <f aca="false">N(N1590)</f>
        <v>1</v>
      </c>
      <c r="CN1590" s="62" t="n">
        <f aca="false">ROUNDUP(H1590/BZ1590,0)</f>
        <v>1</v>
      </c>
      <c r="CO1590" s="62" t="n">
        <f aca="false">ROUNDUP(CJ1590/BZ1590,0)</f>
        <v>0</v>
      </c>
      <c r="CP1590" s="65" t="n">
        <f aca="false">IF(CA1590=1,0,IFERROR(VLOOKUP(BY1590,'Gebinde-Kategorie'!$A$5:$N$45,5,0)+0,0))</f>
        <v>11</v>
      </c>
      <c r="CQ1590" s="65" t="n">
        <f aca="false">IFERROR(IF(OR(CF1590=1,CF1590=2,CF1590=3),N(INDEX(Parameter!$I$5:$I$7,CF1590)),0),0)</f>
        <v>0</v>
      </c>
      <c r="CR1590" s="64" t="n">
        <f aca="false">IF(AND(Parameter!$B$21="Ja",ISNUMBER(W1590),N(X1590)&gt;0),IFERROR(N(INDEX(Parameter!$L$5:$L$7,W1590))*INDEX(Parameter!$E$5:$E$7,W1590)*X1590/SUMIFS($X$7:$X$1843,$W$7:$W$1843,W1590),0),0)</f>
        <v>0</v>
      </c>
      <c r="CS1590" s="62" t="n">
        <f aca="false">IF(AND(OR(CG1590="L1",CG1590="L23",CG1590="LIFT"),H1590&gt;0),CC1590*IF(CR1590&gt;0,CR1590*MAX(1,H1590/X1590),IF(CA1590=1,CE1590,IF(R1590&gt;0,CN1590/R1590,0))/MAX(0.1,N(Parameter!$M$21))),"")</f>
        <v>12.0833333333333</v>
      </c>
      <c r="CT1590" s="64" t="n">
        <f aca="false">IF(CS1590="","",J1590/H1590)</f>
        <v>0</v>
      </c>
      <c r="CU1590" s="62" t="n">
        <f aca="false">IF(CS1590="","",H1590*G1590)</f>
        <v>235.05</v>
      </c>
      <c r="CV1590" s="63" t="n">
        <f aca="false">IF(CS1590="","",(CL1590+ROUNDUP(CL1590+MAX(CM1590,2*(J1590/MAX(0.1,N(Einkauf!$C$6))-CL1590)),0))/2)</f>
        <v>0.5</v>
      </c>
      <c r="CW1590" s="62" t="n">
        <f aca="false">IF(CS1590="","",MAX(0,H1590-CV1590)*G1590)</f>
        <v>195.875</v>
      </c>
      <c r="CX1590" s="62" t="n">
        <f aca="false">IF(CS1590="","",CS1590*MAX(0,1-CV1590/H1590))</f>
        <v>10.0694444444444</v>
      </c>
      <c r="CY1590" s="64" t="n">
        <f aca="false">IF(CS1590="","",PERCENTRANK($CS$7:$CS$1843,CS1590)+PERCENTRANK($CU$7:$CU$1843,CU1590)+1-PERCENTRANK($CT$7:$CT$1843,CT1590))</f>
        <v>2.026</v>
      </c>
      <c r="CZ1590" s="72" t="n">
        <f aca="false">IF(CS1590="","",CHOOSE(MATCH(Einkauf!$C$5,Parameter!$G$23:$G$27,0),CY1590,CS1590,CU1590,-CT1590,CW1590)+ROW()/1000000000)</f>
        <v>2.02600159</v>
      </c>
    </row>
    <row r="1591" customFormat="false" ht="15" hidden="false" customHeight="false" outlineLevel="0" collapsed="false">
      <c r="A1591" s="60" t="s">
        <v>2816</v>
      </c>
      <c r="B1591" s="60" t="s">
        <v>2817</v>
      </c>
      <c r="C1591" s="60" t="s">
        <v>206</v>
      </c>
      <c r="D1591" s="60" t="s">
        <v>215</v>
      </c>
      <c r="E1591" s="60"/>
      <c r="F1591" s="60"/>
      <c r="G1591" s="61" t="n">
        <v>78.35</v>
      </c>
      <c r="H1591" s="62" t="n">
        <f aca="false">MAX(0,IF(AND(Parameter!$B$21="Ja",ISNUMBER(Y1591)),Y1591,IF(Parameter!$B$20="Jahresanfang 2025 + Export",BS1591+BR1591,BR1591)))</f>
        <v>5</v>
      </c>
      <c r="I1591" s="62" t="n">
        <f aca="false">H1591*G1591</f>
        <v>391.75</v>
      </c>
      <c r="J1591" s="62" t="n">
        <f aca="false">BU1591*Parameter!$B$18</f>
        <v>0</v>
      </c>
      <c r="K1591" s="63"/>
      <c r="L1591" s="64"/>
      <c r="M1591" s="62" t="n">
        <v>0</v>
      </c>
      <c r="N1591" s="62" t="n">
        <v>1</v>
      </c>
      <c r="O1591" s="65" t="n">
        <v>0</v>
      </c>
      <c r="P1591" s="60" t="s">
        <v>210</v>
      </c>
      <c r="Q1591" s="62"/>
      <c r="R1591" s="65" t="n">
        <f aca="false">IF(CA1591=1,0,IFERROR(VLOOKUP(BY1591,'Gebinde-Kategorie'!$A$5:$N$45,13,0)+0,0))</f>
        <v>12</v>
      </c>
      <c r="S1591" s="66"/>
      <c r="T1591" s="67" t="s">
        <v>221</v>
      </c>
      <c r="U1591" s="67"/>
      <c r="V1591" s="67"/>
      <c r="W1591" s="60"/>
      <c r="X1591" s="62"/>
      <c r="Y1591" s="62"/>
      <c r="Z1591" s="60" t="n">
        <v>3</v>
      </c>
      <c r="AA1591" s="60" t="n">
        <f aca="false">IF(A1591="","",IF(AND(Parameter!$B$21="Ja",ISNUMBER(W1591)),W1591,IF(AND(Parameter!$E$27="Ja",ISNUMBER(Z1591),CD1591&lt;&gt;"Nein"),Z1591,IF(CD1591="2+3",IF(ISNUMBER(SEARCH("grosser Artikel",BV1591)),2,IFERROR(VLOOKUP(BY1591,Parameter!$F$35:$G$64,2,0),2)),IF(OR(CD1591="Nein",CD1591=""),"-",CD1591)))))</f>
        <v>3</v>
      </c>
      <c r="AB1591" s="67"/>
      <c r="AC1591" s="68"/>
      <c r="AD1591" s="62" t="n">
        <f aca="false">AW1591</f>
        <v>1</v>
      </c>
      <c r="AE1591" s="62" t="n">
        <f aca="false">MAX(AW1591,H1591)</f>
        <v>5</v>
      </c>
      <c r="AF1591" s="69"/>
      <c r="AG1591" s="62" t="n">
        <f aca="false">IF(LEFT(Cockpit!$C$5,1)="A",H1591,IF(Parameter!$E$30="MAX-Bestand",IF(CI1591=1,CJ1591,IF(LEFT(Cockpit!$C$5,1)="B",AM1591,MAX(AM1591,H1591))),ROUNDUP(AK1591,0)))</f>
        <v>5</v>
      </c>
      <c r="AH1591" s="62" t="n">
        <f aca="false">IF(CA1591=1,0,ROUNDUP(AG1591/BZ1591,0))</f>
        <v>1</v>
      </c>
      <c r="AI1591" s="64" t="n">
        <f aca="false">IF(CR1591&gt;0,CR1591*MAX(1,AG1591/X1591),IF(CA1591=1,IF(AG1591&lt;=0,0,CE1591*MAX(1,IF(H1591&gt;0,AG1591/H1591,1))),IF(R1591&gt;0,AH1591/R1591,0))/MAX(0.1,N(Parameter!$M$21)))</f>
        <v>0.0833333333333333</v>
      </c>
      <c r="AJ1591" s="62" t="n">
        <f aca="false">AI1591*CC1591</f>
        <v>12.0833333333333</v>
      </c>
      <c r="AK1591" s="63" t="n">
        <f aca="false">IF(LEFT(Cockpit!$C$5,1)="A",H1591,IF(CI1591=1,(CL1591+CJ1591)/2,IF(LEFT(Cockpit!$C$5,1)="B",(CL1591+AM1591)/2,MAX((CL1591+AM1591)/2,H1591))))</f>
        <v>5</v>
      </c>
      <c r="AL1591" s="62" t="n">
        <f aca="false">AK1591*G1591</f>
        <v>391.75</v>
      </c>
      <c r="AM1591" s="62" t="n">
        <f aca="false">ROUNDUP(CL1591+MAX(CM1591,2*(J1591/IF(CH1591&gt;0,CH1591,MAX(0.1,N(Cockpit!$C$6)))-CL1591)),0)</f>
        <v>1</v>
      </c>
      <c r="AN1591" s="63" t="n">
        <f aca="false">IF(AJ1591&gt;0,J1591/AJ1591,-1)</f>
        <v>0</v>
      </c>
      <c r="AO1591" s="63" t="n">
        <f aca="false">IF(AND(OR(CG1591="L1",CG1591="L23",CG1591="LIFT"),AJ1591&gt;0),SUMIFS($AJ$7:$AJ$1843,$CG$7:$CG$1843,CG1591,$AN$7:$AN$1843,"&gt;"&amp;AN1591)+SUMIFS($AJ$7:$AJ$1843,$CG$7:$CG$1843,CG1591,$AN$7:$AN$1843,AN1591,$BX$7:$BX$1843,"&lt;="&amp;BX1591),"")</f>
        <v>30591.867472217</v>
      </c>
      <c r="AP1591" s="70" t="n">
        <f aca="false">IF(AO1591="",0,MAX(0,MIN(1,(IF(CG1591="L1",Parameter!$H$5,IF(CG1591="L23",Parameter!$H$6+Parameter!$H$7,Parameter!$H$5+Parameter!$H$6+Parameter!$H$7))-(AO1591-AJ1591))/AJ1591)))</f>
        <v>1</v>
      </c>
      <c r="AQ1591" s="62" t="n">
        <f aca="false">IF(LEFT(Cockpit!$I$5,1)="A",H1591,IF(Parameter!$E$30="MAX-Bestand",IF(CI1591=1,CJ1591,IF(LEFT(Cockpit!$I$5,1)="B",AW1591,MAX(AW1591,H1591))),ROUNDUP(AU1591,0)))</f>
        <v>5</v>
      </c>
      <c r="AR1591" s="62" t="n">
        <f aca="false">IF(CA1591=1,0,ROUNDUP(AQ1591/BZ1591,0))</f>
        <v>1</v>
      </c>
      <c r="AS1591" s="64" t="n">
        <f aca="false">IF(CR1591&gt;0,CR1591*MAX(1,AQ1591/X1591),IF(CA1591=1,IF(AQ1591&lt;=0,0,CE1591*MAX(1,IF(H1591&gt;0,AQ1591/H1591,1))),IF(R1591&gt;0,AR1591/R1591,0))/MAX(0.1,N(Parameter!$M$21)))</f>
        <v>0.0833333333333333</v>
      </c>
      <c r="AT1591" s="62" t="n">
        <f aca="false">AS1591*CC1591</f>
        <v>12.0833333333333</v>
      </c>
      <c r="AU1591" s="63" t="n">
        <f aca="false">IF(LEFT(Cockpit!$I$5,1)="A",H1591,IF(CI1591=1,(CL1591+CJ1591)/2,IF(LEFT(Cockpit!$I$5,1)="B",(CL1591+AW1591)/2,MAX((CL1591+AW1591)/2,H1591))))</f>
        <v>5</v>
      </c>
      <c r="AV1591" s="62" t="n">
        <f aca="false">AU1591*G1591</f>
        <v>391.75</v>
      </c>
      <c r="AW1591" s="62" t="n">
        <f aca="false">ROUNDUP(CL1591+MAX(CM1591,2*(J1591/IF(CH1591&gt;0,CH1591,MAX(0.1,N(Cockpit!$I$6)))-CL1591)),0)</f>
        <v>1</v>
      </c>
      <c r="AX1591" s="63" t="n">
        <f aca="false">IF(AT1591&gt;0,J1591/AT1591,-1)</f>
        <v>0</v>
      </c>
      <c r="AY1591" s="63" t="n">
        <f aca="false">IF(AND(OR(CG1591="L1",CG1591="L23",CG1591="LIFT"),AT1591&gt;0),SUMIFS($AT$7:$AT$1843,$CG$7:$CG$1843,CG1591,$AX$7:$AX$1843,"&gt;"&amp;AX1591)+SUMIFS($AT$7:$AT$1843,$CG$7:$CG$1843,CG1591,$AX$7:$AX$1843,AX1591,$BX$7:$BX$1843,"&lt;="&amp;BX1591),"")</f>
        <v>36911.7239890524</v>
      </c>
      <c r="AZ1591" s="70" t="n">
        <f aca="false">IF(AY1591="",0,MAX(0,MIN(1,(IF(CG1591="L1",Parameter!$H$5,IF(CG1591="L23",Parameter!$H$6+Parameter!$H$7,Parameter!$H$5+Parameter!$H$6+Parameter!$H$7))-(AY1591-AT1591))/AT1591)))</f>
        <v>0</v>
      </c>
      <c r="BA1591" s="62" t="n">
        <f aca="false">IF(LEFT(Cockpit!$O$5,1)="A",H1591,IF(Parameter!$E$30="MAX-Bestand",IF(CI1591=1,CJ1591,IF(LEFT(Cockpit!$O$5,1)="B",BG1591,MAX(BG1591,H1591))),ROUNDUP(BE1591,0)))</f>
        <v>1</v>
      </c>
      <c r="BB1591" s="62" t="n">
        <f aca="false">IF(CA1591=1,0,ROUNDUP(BA1591/BZ1591,0))</f>
        <v>1</v>
      </c>
      <c r="BC1591" s="64" t="n">
        <f aca="false">IF(CR1591&gt;0,CR1591*MAX(1,BA1591/X1591),IF(CA1591=1,IF(BA1591&lt;=0,0,CE1591*MAX(1,IF(H1591&gt;0,BA1591/H1591,1))),IF(R1591&gt;0,BB1591/R1591,0))/MAX(0.1,N(Parameter!$M$21)))</f>
        <v>0.0833333333333333</v>
      </c>
      <c r="BD1591" s="62" t="n">
        <f aca="false">BC1591*CC1591</f>
        <v>12.0833333333333</v>
      </c>
      <c r="BE1591" s="63" t="n">
        <f aca="false">IF(LEFT(Cockpit!$O$5,1)="A",H1591,IF(CI1591=1,(CL1591+CJ1591)/2,IF(LEFT(Cockpit!$O$5,1)="B",(CL1591+BG1591)/2,MAX((CL1591+BG1591)/2,H1591))))</f>
        <v>0.5</v>
      </c>
      <c r="BF1591" s="62" t="n">
        <f aca="false">BE1591*G1591</f>
        <v>39.175</v>
      </c>
      <c r="BG1591" s="62" t="n">
        <f aca="false">ROUNDUP(CL1591+MAX(CM1591,2*(J1591/IF(CH1591&gt;0,CH1591,MAX(0.1,N(Cockpit!$O$6)))-CL1591)),0)</f>
        <v>1</v>
      </c>
      <c r="BH1591" s="63" t="n">
        <f aca="false">IF(BD1591&gt;0,J1591/BD1591,-1)</f>
        <v>0</v>
      </c>
      <c r="BI1591" s="63" t="n">
        <f aca="false">IF(AND(OR(CG1591="L1",CG1591="L23",CG1591="LIFT"),BD1591&gt;0),SUMIFS($BD$7:$BD$1843,$CG$7:$CG$1843,CG1591,$BH$7:$BH$1843,"&gt;"&amp;BH1591)+SUMIFS($BD$7:$BD$1843,$CG$7:$CG$1843,CG1591,$BH$7:$BH$1843,BH1591,$BX$7:$BX$1843,"&lt;="&amp;BX1591),"")</f>
        <v>30821.1652645848</v>
      </c>
      <c r="BJ1591" s="70" t="n">
        <f aca="false">IF(BI1591="",0,MAX(0,MIN(1,(IF(CG1591="L1",Parameter!$H$5,IF(CG1591="L23",Parameter!$H$6+Parameter!$H$7,Parameter!$H$5+Parameter!$H$6+Parameter!$H$7))-(BI1591-BD1591))/BD1591)))</f>
        <v>1</v>
      </c>
      <c r="BK1591" s="60" t="str">
        <f aca="false">IF(AJ1591&lt;=0,"",IF(CG1591="Aussen","Aussenlager",IF(CG1591="-","Nicht im Lift",IF(AP1591&gt;=1,"Lift",IF(AP1591&lt;=0,"Aussenlager","teilweise")))))</f>
        <v>Lift</v>
      </c>
      <c r="BL1591" s="60" t="str">
        <f aca="false">IF(AT1591&lt;=0,"",IF(CG1591="Aussen","Aussenlager",IF(CG1591="-","Nicht im Lift",IF(AZ1591&gt;=1,"Lift",IF(AZ1591&lt;=0,"Aussenlager","teilweise")))))</f>
        <v>Aussenlager</v>
      </c>
      <c r="BM1591" s="60" t="str">
        <f aca="false">IF(BD1591&lt;=0,"",IF(CG1591="Aussen","Aussenlager",IF(CG1591="-","Nicht im Lift",IF(BJ1591&gt;=1,"Lift",IF(BJ1591&lt;=0,"Aussenlager","teilweise")))))</f>
        <v>Lift</v>
      </c>
      <c r="BN1591" s="60" t="str">
        <f aca="false">IF(A1591="","",IF(BW1591=1,"Neu; ","")&amp;IF(AND(BW1591=0,BR1591&lt;0),"negativer Bestand (Export "&amp;BR1591&amp;"); ","")&amp;IF(J1591&lt;=0,"Kein Verbrauch; ","")&amp;IF(CR1591&gt;0,"Lift "&amp;W1591&amp;" lt. Liftbericht (Fach "&amp;X1591&amp;" Stk); ",IF(CB1591=1,"Gebinde geschätzt ("&amp;T1591&amp;"); ",IF(CA1591=1,"Lose – Tablare geschätzt; ","")))&amp;IF(H1591&gt;AW1591,"Überbestand "&amp;ROUND(H1591-AW1591,0)&amp;" Stk / CHF "&amp;ROUND((H1591-AW1591)*G1591,0)&amp;"; ","")&amp;IF(AND(CI1591=1,CJ1591&lt;CK1591),"MAX &lt; MB+LG; ","")&amp;IF(AND(CQ1591&gt;0,CP1591*10&gt;CQ1591),"zu hoch für Tablar; ","")&amp;IF(AND(BW1591=0,OR(CI1591=1,AB1591&lt;&gt;"",U1591&lt;&gt;"",V1591&lt;&gt;"",AC1591&lt;&gt;"")),"manuell übersteuert; ","")&amp;IF(AND(CA1591=0,R1591=0),"Gebinde unbekannt / Stellmass fehlt; ","")&amp;IF(AND(CA1591=0,N(V1591)&lt;=0,N(Q1591)&lt;=0),"Menge pro Gebinde fehlt (Ist = 1 Gebinde); ","")&amp;BV1591)</f>
        <v>Kein Verbrauch; Gebinde geschätzt (Mittel); Überbestand 4 Stk / CHF 313; Menge pro Gebinde fehlt (Ist = 1 Gebinde); nur im Artikelstamm (Bestand 23.06.2026)</v>
      </c>
      <c r="BO1591" s="60"/>
      <c r="BP1591" s="60"/>
      <c r="BQ1591" s="67"/>
      <c r="BR1591" s="62" t="n">
        <v>5</v>
      </c>
      <c r="BS1591" s="62" t="n">
        <v>0</v>
      </c>
      <c r="BT1591" s="61" t="n">
        <v>0</v>
      </c>
      <c r="BU1591" s="62" t="n">
        <v>0</v>
      </c>
      <c r="BV1591" s="60" t="s">
        <v>2617</v>
      </c>
      <c r="BW1591" s="65" t="n">
        <v>0</v>
      </c>
      <c r="BX1591" s="65" t="n">
        <v>1591</v>
      </c>
      <c r="BY1591" s="60" t="str">
        <f aca="false">IF(U1591&lt;&gt;"",UPPER(TRIM(U1591)),IF(CB1591=1,UPPER(VLOOKUP(T1591,Parameter!$I$27:$K$29,2,0)),IF(P1591="","LOSE",P1591)))</f>
        <v>S61</v>
      </c>
      <c r="BZ1591" s="62" t="n">
        <f aca="false">IF(BY1591="LOSE",1,IF(N(V1591)&gt;0,V1591,IF(CB1591=1,MAX(1,N(VLOOKUP(T1591,Parameter!$I$27:$K$29,3,0)),H1591,N(N1591)),IF(N(Q1591)&gt;0,Q1591,MAX(1,H1591)))))</f>
        <v>5</v>
      </c>
      <c r="CA1591" s="65" t="n">
        <f aca="false">IF(BY1591="LOSE",1,0)</f>
        <v>0</v>
      </c>
      <c r="CB1591" s="65" t="n">
        <f aca="false">IF(AND(U1591="",OR(P1591="",P1591="LOSE"),T1591&lt;&gt;"",N(S1591)&lt;=0,ISNUMBER(MATCH(T1591,Parameter!$I$27:$I$29,0))),1,0)</f>
        <v>1</v>
      </c>
      <c r="CC1591" s="65" t="n">
        <f aca="false">IF(CR1591&gt;0,INDEX(Parameter!$H$5:$H$7,W1591)/INDEX(Parameter!$E$5:$E$7,W1591),IF(AND(CA1591=0,N(IFERROR(VLOOKUP(BY1591,'Gebinde-Kategorie'!$A$5:$N$45,14,0),0))&gt;0),VLOOKUP(BY1591,'Gebinde-Kategorie'!$A$5:$N$45,14,0)*10+Parameter!$M$23,Parameter!$M$24))</f>
        <v>145</v>
      </c>
      <c r="CD1591" s="60" t="str">
        <f aca="false">IF(AND(Parameter!$B$19="Ja",E1591&lt;&gt;"",ISNUMBER(MATCH(E1591,Parameter!$I$35:$I$52,0))),VLOOKUP(E1591,Parameter!$I$35:$J$52,2,0),IFERROR(VLOOKUP(D1591,Parameter!$A$35:$C$64,2,0),"Nein"))</f>
        <v>2+3</v>
      </c>
      <c r="CE1591" s="64" t="n">
        <f aca="false">IF(CA1591=0,0,IF(N(S1591)&gt;0,S1591,IFERROR(VLOOKUP(D1591,Parameter!$A$35:$C$64,3,0)+0,0)))</f>
        <v>0</v>
      </c>
      <c r="CF1591" s="60" t="n">
        <f aca="false">IF(AB1591&lt;&gt;"",AB1591,AA1591)</f>
        <v>3</v>
      </c>
      <c r="CG1591" s="60" t="str">
        <f aca="false">IF(OR(CF1591=1,CF1591=2,CF1591=3),IF(Parameter!$E$27="Ja","LIFT",IF(CF1591=1,"L1","L23")),IF(CF1591="Aussen","Aussen","-"))</f>
        <v>LIFT</v>
      </c>
      <c r="CH1591" s="71" t="n">
        <f aca="false">IF(N(AC1591)&gt;0,AC1591,0)</f>
        <v>0</v>
      </c>
      <c r="CI1591" s="65" t="n">
        <f aca="false">IF(ISNUMBER(AF1591),1,0)</f>
        <v>0</v>
      </c>
      <c r="CJ1591" s="62" t="n">
        <f aca="false">N(AF1591)</f>
        <v>0</v>
      </c>
      <c r="CK1591" s="62" t="n">
        <f aca="false">N(M1591)+N(N1591)</f>
        <v>1</v>
      </c>
      <c r="CL1591" s="62" t="n">
        <f aca="false">N(M1591)</f>
        <v>0</v>
      </c>
      <c r="CM1591" s="62" t="n">
        <f aca="false">N(N1591)</f>
        <v>1</v>
      </c>
      <c r="CN1591" s="62" t="n">
        <f aca="false">ROUNDUP(H1591/BZ1591,0)</f>
        <v>1</v>
      </c>
      <c r="CO1591" s="62" t="n">
        <f aca="false">ROUNDUP(CJ1591/BZ1591,0)</f>
        <v>0</v>
      </c>
      <c r="CP1591" s="65" t="n">
        <f aca="false">IF(CA1591=1,0,IFERROR(VLOOKUP(BY1591,'Gebinde-Kategorie'!$A$5:$N$45,5,0)+0,0))</f>
        <v>11</v>
      </c>
      <c r="CQ1591" s="65" t="n">
        <f aca="false">IFERROR(IF(OR(CF1591=1,CF1591=2,CF1591=3),N(INDEX(Parameter!$I$5:$I$7,CF1591)),0),0)</f>
        <v>0</v>
      </c>
      <c r="CR1591" s="64" t="n">
        <f aca="false">IF(AND(Parameter!$B$21="Ja",ISNUMBER(W1591),N(X1591)&gt;0),IFERROR(N(INDEX(Parameter!$L$5:$L$7,W1591))*INDEX(Parameter!$E$5:$E$7,W1591)*X1591/SUMIFS($X$7:$X$1843,$W$7:$W$1843,W1591),0),0)</f>
        <v>0</v>
      </c>
      <c r="CS1591" s="62" t="n">
        <f aca="false">IF(AND(OR(CG1591="L1",CG1591="L23",CG1591="LIFT"),H1591&gt;0),CC1591*IF(CR1591&gt;0,CR1591*MAX(1,H1591/X1591),IF(CA1591=1,CE1591,IF(R1591&gt;0,CN1591/R1591,0))/MAX(0.1,N(Parameter!$M$21))),"")</f>
        <v>12.0833333333333</v>
      </c>
      <c r="CT1591" s="64" t="n">
        <f aca="false">IF(CS1591="","",J1591/H1591)</f>
        <v>0</v>
      </c>
      <c r="CU1591" s="62" t="n">
        <f aca="false">IF(CS1591="","",H1591*G1591)</f>
        <v>391.75</v>
      </c>
      <c r="CV1591" s="63" t="n">
        <f aca="false">IF(CS1591="","",(CL1591+ROUNDUP(CL1591+MAX(CM1591,2*(J1591/MAX(0.1,N(Einkauf!$C$6))-CL1591)),0))/2)</f>
        <v>0.5</v>
      </c>
      <c r="CW1591" s="62" t="n">
        <f aca="false">IF(CS1591="","",MAX(0,H1591-CV1591)*G1591)</f>
        <v>352.575</v>
      </c>
      <c r="CX1591" s="62" t="n">
        <f aca="false">IF(CS1591="","",CS1591*MAX(0,1-CV1591/H1591))</f>
        <v>10.875</v>
      </c>
      <c r="CY1591" s="64" t="n">
        <f aca="false">IF(CS1591="","",PERCENTRANK($CS$7:$CS$1843,CS1591)+PERCENTRANK($CU$7:$CU$1843,CU1591)+1-PERCENTRANK($CT$7:$CT$1843,CT1591))</f>
        <v>2.137</v>
      </c>
      <c r="CZ1591" s="72" t="n">
        <f aca="false">IF(CS1591="","",CHOOSE(MATCH(Einkauf!$C$5,Parameter!$G$23:$G$27,0),CY1591,CS1591,CU1591,-CT1591,CW1591)+ROW()/1000000000)</f>
        <v>2.137001591</v>
      </c>
    </row>
    <row r="1592" customFormat="false" ht="15" hidden="false" customHeight="false" outlineLevel="0" collapsed="false">
      <c r="A1592" s="60" t="s">
        <v>2818</v>
      </c>
      <c r="B1592" s="60" t="s">
        <v>1251</v>
      </c>
      <c r="C1592" s="60" t="s">
        <v>206</v>
      </c>
      <c r="D1592" s="60" t="s">
        <v>226</v>
      </c>
      <c r="E1592" s="60"/>
      <c r="F1592" s="60"/>
      <c r="G1592" s="61" t="n">
        <v>0.05</v>
      </c>
      <c r="H1592" s="62" t="n">
        <f aca="false">MAX(0,IF(AND(Parameter!$B$21="Ja",ISNUMBER(Y1592)),Y1592,IF(Parameter!$B$20="Jahresanfang 2025 + Export",BS1592+BR1592,BR1592)))</f>
        <v>2406</v>
      </c>
      <c r="I1592" s="62" t="n">
        <f aca="false">H1592*G1592</f>
        <v>120.3</v>
      </c>
      <c r="J1592" s="62" t="n">
        <f aca="false">BU1592*Parameter!$B$18</f>
        <v>0</v>
      </c>
      <c r="K1592" s="63"/>
      <c r="L1592" s="64"/>
      <c r="M1592" s="62" t="n">
        <v>0</v>
      </c>
      <c r="N1592" s="62" t="n">
        <v>300</v>
      </c>
      <c r="O1592" s="65" t="n">
        <v>0</v>
      </c>
      <c r="P1592" s="60" t="s">
        <v>210</v>
      </c>
      <c r="Q1592" s="62"/>
      <c r="R1592" s="65" t="n">
        <f aca="false">IF(CA1592=1,0,IFERROR(VLOOKUP(BY1592,'Gebinde-Kategorie'!$A$5:$N$45,13,0)+0,0))</f>
        <v>26</v>
      </c>
      <c r="S1592" s="66"/>
      <c r="T1592" s="67" t="s">
        <v>317</v>
      </c>
      <c r="U1592" s="67"/>
      <c r="V1592" s="67"/>
      <c r="W1592" s="60"/>
      <c r="X1592" s="62"/>
      <c r="Y1592" s="62"/>
      <c r="Z1592" s="60" t="n">
        <v>3</v>
      </c>
      <c r="AA1592" s="60" t="n">
        <f aca="false">IF(A1592="","",IF(AND(Parameter!$B$21="Ja",ISNUMBER(W1592)),W1592,IF(AND(Parameter!$E$27="Ja",ISNUMBER(Z1592),CD1592&lt;&gt;"Nein"),Z1592,IF(CD1592="2+3",IF(ISNUMBER(SEARCH("grosser Artikel",BV1592)),2,IFERROR(VLOOKUP(BY1592,Parameter!$F$35:$G$64,2,0),2)),IF(OR(CD1592="Nein",CD1592=""),"-",CD1592)))))</f>
        <v>3</v>
      </c>
      <c r="AB1592" s="67"/>
      <c r="AC1592" s="68"/>
      <c r="AD1592" s="62" t="n">
        <f aca="false">AW1592</f>
        <v>300</v>
      </c>
      <c r="AE1592" s="62" t="n">
        <f aca="false">MAX(AW1592,H1592)</f>
        <v>2406</v>
      </c>
      <c r="AF1592" s="69"/>
      <c r="AG1592" s="62" t="n">
        <f aca="false">IF(LEFT(Cockpit!$C$5,1)="A",H1592,IF(Parameter!$E$30="MAX-Bestand",IF(CI1592=1,CJ1592,IF(LEFT(Cockpit!$C$5,1)="B",AM1592,MAX(AM1592,H1592))),ROUNDUP(AK1592,0)))</f>
        <v>2406</v>
      </c>
      <c r="AH1592" s="62" t="n">
        <f aca="false">IF(CA1592=1,0,ROUNDUP(AG1592/BZ1592,0))</f>
        <v>1</v>
      </c>
      <c r="AI1592" s="64" t="n">
        <f aca="false">IF(CR1592&gt;0,CR1592*MAX(1,AG1592/X1592),IF(CA1592=1,IF(AG1592&lt;=0,0,CE1592*MAX(1,IF(H1592&gt;0,AG1592/H1592,1))),IF(R1592&gt;0,AH1592/R1592,0))/MAX(0.1,N(Parameter!$M$21)))</f>
        <v>0.0384615384615385</v>
      </c>
      <c r="AJ1592" s="62" t="n">
        <f aca="false">AI1592*CC1592</f>
        <v>5.96153846153846</v>
      </c>
      <c r="AK1592" s="63" t="n">
        <f aca="false">IF(LEFT(Cockpit!$C$5,1)="A",H1592,IF(CI1592=1,(CL1592+CJ1592)/2,IF(LEFT(Cockpit!$C$5,1)="B",(CL1592+AM1592)/2,MAX((CL1592+AM1592)/2,H1592))))</f>
        <v>2406</v>
      </c>
      <c r="AL1592" s="62" t="n">
        <f aca="false">AK1592*G1592</f>
        <v>120.3</v>
      </c>
      <c r="AM1592" s="62" t="n">
        <f aca="false">ROUNDUP(CL1592+MAX(CM1592,2*(J1592/IF(CH1592&gt;0,CH1592,MAX(0.1,N(Cockpit!$C$6)))-CL1592)),0)</f>
        <v>300</v>
      </c>
      <c r="AN1592" s="63" t="n">
        <f aca="false">IF(AJ1592&gt;0,J1592/AJ1592,-1)</f>
        <v>0</v>
      </c>
      <c r="AO1592" s="63" t="n">
        <f aca="false">IF(AND(OR(CG1592="L1",CG1592="L23",CG1592="LIFT"),AJ1592&gt;0),SUMIFS($AJ$7:$AJ$1843,$CG$7:$CG$1843,CG1592,$AN$7:$AN$1843,"&gt;"&amp;AN1592)+SUMIFS($AJ$7:$AJ$1843,$CG$7:$CG$1843,CG1592,$AN$7:$AN$1843,AN1592,$BX$7:$BX$1843,"&lt;="&amp;BX1592),"")</f>
        <v>30597.8290106786</v>
      </c>
      <c r="AP1592" s="70" t="n">
        <f aca="false">IF(AO1592="",0,MAX(0,MIN(1,(IF(CG1592="L1",Parameter!$H$5,IF(CG1592="L23",Parameter!$H$6+Parameter!$H$7,Parameter!$H$5+Parameter!$H$6+Parameter!$H$7))-(AO1592-AJ1592))/AJ1592)))</f>
        <v>1</v>
      </c>
      <c r="AQ1592" s="62" t="n">
        <f aca="false">IF(LEFT(Cockpit!$I$5,1)="A",H1592,IF(Parameter!$E$30="MAX-Bestand",IF(CI1592=1,CJ1592,IF(LEFT(Cockpit!$I$5,1)="B",AW1592,MAX(AW1592,H1592))),ROUNDUP(AU1592,0)))</f>
        <v>2406</v>
      </c>
      <c r="AR1592" s="62" t="n">
        <f aca="false">IF(CA1592=1,0,ROUNDUP(AQ1592/BZ1592,0))</f>
        <v>1</v>
      </c>
      <c r="AS1592" s="64" t="n">
        <f aca="false">IF(CR1592&gt;0,CR1592*MAX(1,AQ1592/X1592),IF(CA1592=1,IF(AQ1592&lt;=0,0,CE1592*MAX(1,IF(H1592&gt;0,AQ1592/H1592,1))),IF(R1592&gt;0,AR1592/R1592,0))/MAX(0.1,N(Parameter!$M$21)))</f>
        <v>0.0384615384615385</v>
      </c>
      <c r="AT1592" s="62" t="n">
        <f aca="false">AS1592*CC1592</f>
        <v>5.96153846153846</v>
      </c>
      <c r="AU1592" s="63" t="n">
        <f aca="false">IF(LEFT(Cockpit!$I$5,1)="A",H1592,IF(CI1592=1,(CL1592+CJ1592)/2,IF(LEFT(Cockpit!$I$5,1)="B",(CL1592+AW1592)/2,MAX((CL1592+AW1592)/2,H1592))))</f>
        <v>2406</v>
      </c>
      <c r="AV1592" s="62" t="n">
        <f aca="false">AU1592*G1592</f>
        <v>120.3</v>
      </c>
      <c r="AW1592" s="62" t="n">
        <f aca="false">ROUNDUP(CL1592+MAX(CM1592,2*(J1592/IF(CH1592&gt;0,CH1592,MAX(0.1,N(Cockpit!$I$6)))-CL1592)),0)</f>
        <v>300</v>
      </c>
      <c r="AX1592" s="63" t="n">
        <f aca="false">IF(AT1592&gt;0,J1592/AT1592,-1)</f>
        <v>0</v>
      </c>
      <c r="AY1592" s="63" t="n">
        <f aca="false">IF(AND(OR(CG1592="L1",CG1592="L23",CG1592="LIFT"),AT1592&gt;0),SUMIFS($AT$7:$AT$1843,$CG$7:$CG$1843,CG1592,$AX$7:$AX$1843,"&gt;"&amp;AX1592)+SUMIFS($AT$7:$AT$1843,$CG$7:$CG$1843,CG1592,$AX$7:$AX$1843,AX1592,$BX$7:$BX$1843,"&lt;="&amp;BX1592),"")</f>
        <v>36917.6855275139</v>
      </c>
      <c r="AZ1592" s="70" t="n">
        <f aca="false">IF(AY1592="",0,MAX(0,MIN(1,(IF(CG1592="L1",Parameter!$H$5,IF(CG1592="L23",Parameter!$H$6+Parameter!$H$7,Parameter!$H$5+Parameter!$H$6+Parameter!$H$7))-(AY1592-AT1592))/AT1592)))</f>
        <v>0</v>
      </c>
      <c r="BA1592" s="62" t="n">
        <f aca="false">IF(LEFT(Cockpit!$O$5,1)="A",H1592,IF(Parameter!$E$30="MAX-Bestand",IF(CI1592=1,CJ1592,IF(LEFT(Cockpit!$O$5,1)="B",BG1592,MAX(BG1592,H1592))),ROUNDUP(BE1592,0)))</f>
        <v>150</v>
      </c>
      <c r="BB1592" s="62" t="n">
        <f aca="false">IF(CA1592=1,0,ROUNDUP(BA1592/BZ1592,0))</f>
        <v>1</v>
      </c>
      <c r="BC1592" s="64" t="n">
        <f aca="false">IF(CR1592&gt;0,CR1592*MAX(1,BA1592/X1592),IF(CA1592=1,IF(BA1592&lt;=0,0,CE1592*MAX(1,IF(H1592&gt;0,BA1592/H1592,1))),IF(R1592&gt;0,BB1592/R1592,0))/MAX(0.1,N(Parameter!$M$21)))</f>
        <v>0.0384615384615385</v>
      </c>
      <c r="BD1592" s="62" t="n">
        <f aca="false">BC1592*CC1592</f>
        <v>5.96153846153846</v>
      </c>
      <c r="BE1592" s="63" t="n">
        <f aca="false">IF(LEFT(Cockpit!$O$5,1)="A",H1592,IF(CI1592=1,(CL1592+CJ1592)/2,IF(LEFT(Cockpit!$O$5,1)="B",(CL1592+BG1592)/2,MAX((CL1592+BG1592)/2,H1592))))</f>
        <v>150</v>
      </c>
      <c r="BF1592" s="62" t="n">
        <f aca="false">BE1592*G1592</f>
        <v>7.5</v>
      </c>
      <c r="BG1592" s="62" t="n">
        <f aca="false">ROUNDUP(CL1592+MAX(CM1592,2*(J1592/IF(CH1592&gt;0,CH1592,MAX(0.1,N(Cockpit!$O$6)))-CL1592)),0)</f>
        <v>300</v>
      </c>
      <c r="BH1592" s="63" t="n">
        <f aca="false">IF(BD1592&gt;0,J1592/BD1592,-1)</f>
        <v>0</v>
      </c>
      <c r="BI1592" s="63" t="n">
        <f aca="false">IF(AND(OR(CG1592="L1",CG1592="L23",CG1592="LIFT"),BD1592&gt;0),SUMIFS($BD$7:$BD$1843,$CG$7:$CG$1843,CG1592,$BH$7:$BH$1843,"&gt;"&amp;BH1592)+SUMIFS($BD$7:$BD$1843,$CG$7:$CG$1843,CG1592,$BH$7:$BH$1843,BH1592,$BX$7:$BX$1843,"&lt;="&amp;BX1592),"")</f>
        <v>30827.1268030463</v>
      </c>
      <c r="BJ1592" s="70" t="n">
        <f aca="false">IF(BI1592="",0,MAX(0,MIN(1,(IF(CG1592="L1",Parameter!$H$5,IF(CG1592="L23",Parameter!$H$6+Parameter!$H$7,Parameter!$H$5+Parameter!$H$6+Parameter!$H$7))-(BI1592-BD1592))/BD1592)))</f>
        <v>1</v>
      </c>
      <c r="BK1592" s="60" t="str">
        <f aca="false">IF(AJ1592&lt;=0,"",IF(CG1592="Aussen","Aussenlager",IF(CG1592="-","Nicht im Lift",IF(AP1592&gt;=1,"Lift",IF(AP1592&lt;=0,"Aussenlager","teilweise")))))</f>
        <v>Lift</v>
      </c>
      <c r="BL1592" s="60" t="str">
        <f aca="false">IF(AT1592&lt;=0,"",IF(CG1592="Aussen","Aussenlager",IF(CG1592="-","Nicht im Lift",IF(AZ1592&gt;=1,"Lift",IF(AZ1592&lt;=0,"Aussenlager","teilweise")))))</f>
        <v>Aussenlager</v>
      </c>
      <c r="BM1592" s="60" t="str">
        <f aca="false">IF(BD1592&lt;=0,"",IF(CG1592="Aussen","Aussenlager",IF(CG1592="-","Nicht im Lift",IF(BJ1592&gt;=1,"Lift",IF(BJ1592&lt;=0,"Aussenlager","teilweise")))))</f>
        <v>Lift</v>
      </c>
      <c r="BN1592" s="60" t="str">
        <f aca="false">IF(A1592="","",IF(BW1592=1,"Neu; ","")&amp;IF(AND(BW1592=0,BR1592&lt;0),"negativer Bestand (Export "&amp;BR1592&amp;"); ","")&amp;IF(J1592&lt;=0,"Kein Verbrauch; ","")&amp;IF(CR1592&gt;0,"Lift "&amp;W1592&amp;" lt. Liftbericht (Fach "&amp;X1592&amp;" Stk); ",IF(CB1592=1,"Gebinde geschätzt ("&amp;T1592&amp;"); ",IF(CA1592=1,"Lose – Tablare geschätzt; ","")))&amp;IF(H1592&gt;AW1592,"Überbestand "&amp;ROUND(H1592-AW1592,0)&amp;" Stk / CHF "&amp;ROUND((H1592-AW1592)*G1592,0)&amp;"; ","")&amp;IF(AND(CI1592=1,CJ1592&lt;CK1592),"MAX &lt; MB+LG; ","")&amp;IF(AND(CQ1592&gt;0,CP1592*10&gt;CQ1592),"zu hoch für Tablar; ","")&amp;IF(AND(BW1592=0,OR(CI1592=1,AB1592&lt;&gt;"",U1592&lt;&gt;"",V1592&lt;&gt;"",AC1592&lt;&gt;"")),"manuell übersteuert; ","")&amp;IF(AND(CA1592=0,R1592=0),"Gebinde unbekannt / Stellmass fehlt; ","")&amp;IF(AND(CA1592=0,N(V1592)&lt;=0,N(Q1592)&lt;=0),"Menge pro Gebinde fehlt (Ist = 1 Gebinde); ","")&amp;BV1592)</f>
        <v>Kein Verbrauch; Gebinde geschätzt (Klein); Überbestand 2106 Stk / CHF 105; Menge pro Gebinde fehlt (Ist = 1 Gebinde); nur im Artikelstamm (Bestand 23.06.2026)</v>
      </c>
      <c r="BO1592" s="60"/>
      <c r="BP1592" s="60"/>
      <c r="BQ1592" s="67"/>
      <c r="BR1592" s="62" t="n">
        <v>2406</v>
      </c>
      <c r="BS1592" s="62" t="n">
        <v>0</v>
      </c>
      <c r="BT1592" s="61" t="n">
        <v>0</v>
      </c>
      <c r="BU1592" s="62" t="n">
        <v>0</v>
      </c>
      <c r="BV1592" s="60" t="s">
        <v>2617</v>
      </c>
      <c r="BW1592" s="65" t="n">
        <v>0</v>
      </c>
      <c r="BX1592" s="65" t="n">
        <v>1592</v>
      </c>
      <c r="BY1592" s="60" t="str">
        <f aca="false">IF(U1592&lt;&gt;"",UPPER(TRIM(U1592)),IF(CB1592=1,UPPER(VLOOKUP(T1592,Parameter!$I$27:$K$29,2,0)),IF(P1592="","LOSE",P1592)))</f>
        <v>S51</v>
      </c>
      <c r="BZ1592" s="62" t="n">
        <f aca="false">IF(BY1592="LOSE",1,IF(N(V1592)&gt;0,V1592,IF(CB1592=1,MAX(1,N(VLOOKUP(T1592,Parameter!$I$27:$K$29,3,0)),H1592,N(N1592)),IF(N(Q1592)&gt;0,Q1592,MAX(1,H1592)))))</f>
        <v>2406</v>
      </c>
      <c r="CA1592" s="65" t="n">
        <f aca="false">IF(BY1592="LOSE",1,0)</f>
        <v>0</v>
      </c>
      <c r="CB1592" s="65" t="n">
        <f aca="false">IF(AND(U1592="",OR(P1592="",P1592="LOSE"),T1592&lt;&gt;"",N(S1592)&lt;=0,ISNUMBER(MATCH(T1592,Parameter!$I$27:$I$29,0))),1,0)</f>
        <v>1</v>
      </c>
      <c r="CC1592" s="65" t="n">
        <f aca="false">IF(CR1592&gt;0,INDEX(Parameter!$H$5:$H$7,W1592)/INDEX(Parameter!$E$5:$E$7,W1592),IF(AND(CA1592=0,N(IFERROR(VLOOKUP(BY1592,'Gebinde-Kategorie'!$A$5:$N$45,14,0),0))&gt;0),VLOOKUP(BY1592,'Gebinde-Kategorie'!$A$5:$N$45,14,0)*10+Parameter!$M$23,Parameter!$M$24))</f>
        <v>155</v>
      </c>
      <c r="CD1592" s="60" t="str">
        <f aca="false">IF(AND(Parameter!$B$19="Ja",E1592&lt;&gt;"",ISNUMBER(MATCH(E1592,Parameter!$I$35:$I$52,0))),VLOOKUP(E1592,Parameter!$I$35:$J$52,2,0),IFERROR(VLOOKUP(D1592,Parameter!$A$35:$C$64,2,0),"Nein"))</f>
        <v>2+3</v>
      </c>
      <c r="CE1592" s="64" t="n">
        <f aca="false">IF(CA1592=0,0,IF(N(S1592)&gt;0,S1592,IFERROR(VLOOKUP(D1592,Parameter!$A$35:$C$64,3,0)+0,0)))</f>
        <v>0</v>
      </c>
      <c r="CF1592" s="60" t="n">
        <f aca="false">IF(AB1592&lt;&gt;"",AB1592,AA1592)</f>
        <v>3</v>
      </c>
      <c r="CG1592" s="60" t="str">
        <f aca="false">IF(OR(CF1592=1,CF1592=2,CF1592=3),IF(Parameter!$E$27="Ja","LIFT",IF(CF1592=1,"L1","L23")),IF(CF1592="Aussen","Aussen","-"))</f>
        <v>LIFT</v>
      </c>
      <c r="CH1592" s="71" t="n">
        <f aca="false">IF(N(AC1592)&gt;0,AC1592,0)</f>
        <v>0</v>
      </c>
      <c r="CI1592" s="65" t="n">
        <f aca="false">IF(ISNUMBER(AF1592),1,0)</f>
        <v>0</v>
      </c>
      <c r="CJ1592" s="62" t="n">
        <f aca="false">N(AF1592)</f>
        <v>0</v>
      </c>
      <c r="CK1592" s="62" t="n">
        <f aca="false">N(M1592)+N(N1592)</f>
        <v>300</v>
      </c>
      <c r="CL1592" s="62" t="n">
        <f aca="false">N(M1592)</f>
        <v>0</v>
      </c>
      <c r="CM1592" s="62" t="n">
        <f aca="false">N(N1592)</f>
        <v>300</v>
      </c>
      <c r="CN1592" s="62" t="n">
        <f aca="false">ROUNDUP(H1592/BZ1592,0)</f>
        <v>1</v>
      </c>
      <c r="CO1592" s="62" t="n">
        <f aca="false">ROUNDUP(CJ1592/BZ1592,0)</f>
        <v>0</v>
      </c>
      <c r="CP1592" s="65" t="n">
        <f aca="false">IF(CA1592=1,0,IFERROR(VLOOKUP(BY1592,'Gebinde-Kategorie'!$A$5:$N$45,5,0)+0,0))</f>
        <v>11</v>
      </c>
      <c r="CQ1592" s="65" t="n">
        <f aca="false">IFERROR(IF(OR(CF1592=1,CF1592=2,CF1592=3),N(INDEX(Parameter!$I$5:$I$7,CF1592)),0),0)</f>
        <v>0</v>
      </c>
      <c r="CR1592" s="64" t="n">
        <f aca="false">IF(AND(Parameter!$B$21="Ja",ISNUMBER(W1592),N(X1592)&gt;0),IFERROR(N(INDEX(Parameter!$L$5:$L$7,W1592))*INDEX(Parameter!$E$5:$E$7,W1592)*X1592/SUMIFS($X$7:$X$1843,$W$7:$W$1843,W1592),0),0)</f>
        <v>0</v>
      </c>
      <c r="CS1592" s="62" t="n">
        <f aca="false">IF(AND(OR(CG1592="L1",CG1592="L23",CG1592="LIFT"),H1592&gt;0),CC1592*IF(CR1592&gt;0,CR1592*MAX(1,H1592/X1592),IF(CA1592=1,CE1592,IF(R1592&gt;0,CN1592/R1592,0))/MAX(0.1,N(Parameter!$M$21))),"")</f>
        <v>5.96153846153846</v>
      </c>
      <c r="CT1592" s="64" t="n">
        <f aca="false">IF(CS1592="","",J1592/H1592)</f>
        <v>0</v>
      </c>
      <c r="CU1592" s="62" t="n">
        <f aca="false">IF(CS1592="","",H1592*G1592)</f>
        <v>120.3</v>
      </c>
      <c r="CV1592" s="63" t="n">
        <f aca="false">IF(CS1592="","",(CL1592+ROUNDUP(CL1592+MAX(CM1592,2*(J1592/MAX(0.1,N(Einkauf!$C$6))-CL1592)),0))/2)</f>
        <v>150</v>
      </c>
      <c r="CW1592" s="62" t="n">
        <f aca="false">IF(CS1592="","",MAX(0,H1592-CV1592)*G1592)</f>
        <v>112.8</v>
      </c>
      <c r="CX1592" s="62" t="n">
        <f aca="false">IF(CS1592="","",CS1592*MAX(0,1-CV1592/H1592))</f>
        <v>5.58987147515826</v>
      </c>
      <c r="CY1592" s="64" t="n">
        <f aca="false">IF(CS1592="","",PERCENTRANK($CS$7:$CS$1843,CS1592)+PERCENTRANK($CU$7:$CU$1843,CU1592)+1-PERCENTRANK($CT$7:$CT$1843,CT1592))</f>
        <v>1.613</v>
      </c>
      <c r="CZ1592" s="72" t="n">
        <f aca="false">IF(CS1592="","",CHOOSE(MATCH(Einkauf!$C$5,Parameter!$G$23:$G$27,0),CY1592,CS1592,CU1592,-CT1592,CW1592)+ROW()/1000000000)</f>
        <v>1.613001592</v>
      </c>
    </row>
    <row r="1593" customFormat="false" ht="15" hidden="false" customHeight="false" outlineLevel="0" collapsed="false">
      <c r="A1593" s="60" t="s">
        <v>2819</v>
      </c>
      <c r="B1593" s="60" t="s">
        <v>2820</v>
      </c>
      <c r="C1593" s="60" t="s">
        <v>206</v>
      </c>
      <c r="D1593" s="60" t="s">
        <v>215</v>
      </c>
      <c r="E1593" s="60"/>
      <c r="F1593" s="60"/>
      <c r="G1593" s="61" t="n">
        <v>2.33</v>
      </c>
      <c r="H1593" s="62" t="n">
        <f aca="false">MAX(0,IF(AND(Parameter!$B$21="Ja",ISNUMBER(Y1593)),Y1593,IF(Parameter!$B$20="Jahresanfang 2025 + Export",BS1593+BR1593,BR1593)))</f>
        <v>226</v>
      </c>
      <c r="I1593" s="62" t="n">
        <f aca="false">H1593*G1593</f>
        <v>526.58</v>
      </c>
      <c r="J1593" s="62" t="n">
        <f aca="false">BU1593*Parameter!$B$18</f>
        <v>0</v>
      </c>
      <c r="K1593" s="63"/>
      <c r="L1593" s="64"/>
      <c r="M1593" s="62" t="n">
        <v>0</v>
      </c>
      <c r="N1593" s="62" t="n">
        <v>100</v>
      </c>
      <c r="O1593" s="65" t="n">
        <v>56</v>
      </c>
      <c r="P1593" s="60" t="s">
        <v>210</v>
      </c>
      <c r="Q1593" s="62"/>
      <c r="R1593" s="65" t="n">
        <f aca="false">IF(CA1593=1,0,IFERROR(VLOOKUP(BY1593,'Gebinde-Kategorie'!$A$5:$N$45,13,0)+0,0))</f>
        <v>12</v>
      </c>
      <c r="S1593" s="66"/>
      <c r="T1593" s="67" t="s">
        <v>221</v>
      </c>
      <c r="U1593" s="67"/>
      <c r="V1593" s="67"/>
      <c r="W1593" s="60"/>
      <c r="X1593" s="62"/>
      <c r="Y1593" s="62"/>
      <c r="Z1593" s="60" t="n">
        <v>3</v>
      </c>
      <c r="AA1593" s="60" t="n">
        <f aca="false">IF(A1593="","",IF(AND(Parameter!$B$21="Ja",ISNUMBER(W1593)),W1593,IF(AND(Parameter!$E$27="Ja",ISNUMBER(Z1593),CD1593&lt;&gt;"Nein"),Z1593,IF(CD1593="2+3",IF(ISNUMBER(SEARCH("grosser Artikel",BV1593)),2,IFERROR(VLOOKUP(BY1593,Parameter!$F$35:$G$64,2,0),2)),IF(OR(CD1593="Nein",CD1593=""),"-",CD1593)))))</f>
        <v>3</v>
      </c>
      <c r="AB1593" s="67"/>
      <c r="AC1593" s="68"/>
      <c r="AD1593" s="62" t="n">
        <f aca="false">AW1593</f>
        <v>100</v>
      </c>
      <c r="AE1593" s="62" t="n">
        <f aca="false">MAX(AW1593,H1593)</f>
        <v>226</v>
      </c>
      <c r="AF1593" s="69"/>
      <c r="AG1593" s="62" t="n">
        <f aca="false">IF(LEFT(Cockpit!$C$5,1)="A",H1593,IF(Parameter!$E$30="MAX-Bestand",IF(CI1593=1,CJ1593,IF(LEFT(Cockpit!$C$5,1)="B",AM1593,MAX(AM1593,H1593))),ROUNDUP(AK1593,0)))</f>
        <v>226</v>
      </c>
      <c r="AH1593" s="62" t="n">
        <f aca="false">IF(CA1593=1,0,ROUNDUP(AG1593/BZ1593,0))</f>
        <v>1</v>
      </c>
      <c r="AI1593" s="64" t="n">
        <f aca="false">IF(CR1593&gt;0,CR1593*MAX(1,AG1593/X1593),IF(CA1593=1,IF(AG1593&lt;=0,0,CE1593*MAX(1,IF(H1593&gt;0,AG1593/H1593,1))),IF(R1593&gt;0,AH1593/R1593,0))/MAX(0.1,N(Parameter!$M$21)))</f>
        <v>0.0833333333333333</v>
      </c>
      <c r="AJ1593" s="62" t="n">
        <f aca="false">AI1593*CC1593</f>
        <v>12.0833333333333</v>
      </c>
      <c r="AK1593" s="63" t="n">
        <f aca="false">IF(LEFT(Cockpit!$C$5,1)="A",H1593,IF(CI1593=1,(CL1593+CJ1593)/2,IF(LEFT(Cockpit!$C$5,1)="B",(CL1593+AM1593)/2,MAX((CL1593+AM1593)/2,H1593))))</f>
        <v>226</v>
      </c>
      <c r="AL1593" s="62" t="n">
        <f aca="false">AK1593*G1593</f>
        <v>526.58</v>
      </c>
      <c r="AM1593" s="62" t="n">
        <f aca="false">ROUNDUP(CL1593+MAX(CM1593,2*(J1593/IF(CH1593&gt;0,CH1593,MAX(0.1,N(Cockpit!$C$6)))-CL1593)),0)</f>
        <v>100</v>
      </c>
      <c r="AN1593" s="63" t="n">
        <f aca="false">IF(AJ1593&gt;0,J1593/AJ1593,-1)</f>
        <v>0</v>
      </c>
      <c r="AO1593" s="63" t="n">
        <f aca="false">IF(AND(OR(CG1593="L1",CG1593="L23",CG1593="LIFT"),AJ1593&gt;0),SUMIFS($AJ$7:$AJ$1843,$CG$7:$CG$1843,CG1593,$AN$7:$AN$1843,"&gt;"&amp;AN1593)+SUMIFS($AJ$7:$AJ$1843,$CG$7:$CG$1843,CG1593,$AN$7:$AN$1843,AN1593,$BX$7:$BX$1843,"&lt;="&amp;BX1593),"")</f>
        <v>30609.9123440119</v>
      </c>
      <c r="AP1593" s="70" t="n">
        <f aca="false">IF(AO1593="",0,MAX(0,MIN(1,(IF(CG1593="L1",Parameter!$H$5,IF(CG1593="L23",Parameter!$H$6+Parameter!$H$7,Parameter!$H$5+Parameter!$H$6+Parameter!$H$7))-(AO1593-AJ1593))/AJ1593)))</f>
        <v>1</v>
      </c>
      <c r="AQ1593" s="62" t="n">
        <f aca="false">IF(LEFT(Cockpit!$I$5,1)="A",H1593,IF(Parameter!$E$30="MAX-Bestand",IF(CI1593=1,CJ1593,IF(LEFT(Cockpit!$I$5,1)="B",AW1593,MAX(AW1593,H1593))),ROUNDUP(AU1593,0)))</f>
        <v>226</v>
      </c>
      <c r="AR1593" s="62" t="n">
        <f aca="false">IF(CA1593=1,0,ROUNDUP(AQ1593/BZ1593,0))</f>
        <v>1</v>
      </c>
      <c r="AS1593" s="64" t="n">
        <f aca="false">IF(CR1593&gt;0,CR1593*MAX(1,AQ1593/X1593),IF(CA1593=1,IF(AQ1593&lt;=0,0,CE1593*MAX(1,IF(H1593&gt;0,AQ1593/H1593,1))),IF(R1593&gt;0,AR1593/R1593,0))/MAX(0.1,N(Parameter!$M$21)))</f>
        <v>0.0833333333333333</v>
      </c>
      <c r="AT1593" s="62" t="n">
        <f aca="false">AS1593*CC1593</f>
        <v>12.0833333333333</v>
      </c>
      <c r="AU1593" s="63" t="n">
        <f aca="false">IF(LEFT(Cockpit!$I$5,1)="A",H1593,IF(CI1593=1,(CL1593+CJ1593)/2,IF(LEFT(Cockpit!$I$5,1)="B",(CL1593+AW1593)/2,MAX((CL1593+AW1593)/2,H1593))))</f>
        <v>226</v>
      </c>
      <c r="AV1593" s="62" t="n">
        <f aca="false">AU1593*G1593</f>
        <v>526.58</v>
      </c>
      <c r="AW1593" s="62" t="n">
        <f aca="false">ROUNDUP(CL1593+MAX(CM1593,2*(J1593/IF(CH1593&gt;0,CH1593,MAX(0.1,N(Cockpit!$I$6)))-CL1593)),0)</f>
        <v>100</v>
      </c>
      <c r="AX1593" s="63" t="n">
        <f aca="false">IF(AT1593&gt;0,J1593/AT1593,-1)</f>
        <v>0</v>
      </c>
      <c r="AY1593" s="63" t="n">
        <f aca="false">IF(AND(OR(CG1593="L1",CG1593="L23",CG1593="LIFT"),AT1593&gt;0),SUMIFS($AT$7:$AT$1843,$CG$7:$CG$1843,CG1593,$AX$7:$AX$1843,"&gt;"&amp;AX1593)+SUMIFS($AT$7:$AT$1843,$CG$7:$CG$1843,CG1593,$AX$7:$AX$1843,AX1593,$BX$7:$BX$1843,"&lt;="&amp;BX1593),"")</f>
        <v>36929.7688608473</v>
      </c>
      <c r="AZ1593" s="70" t="n">
        <f aca="false">IF(AY1593="",0,MAX(0,MIN(1,(IF(CG1593="L1",Parameter!$H$5,IF(CG1593="L23",Parameter!$H$6+Parameter!$H$7,Parameter!$H$5+Parameter!$H$6+Parameter!$H$7))-(AY1593-AT1593))/AT1593)))</f>
        <v>0</v>
      </c>
      <c r="BA1593" s="62" t="n">
        <f aca="false">IF(LEFT(Cockpit!$O$5,1)="A",H1593,IF(Parameter!$E$30="MAX-Bestand",IF(CI1593=1,CJ1593,IF(LEFT(Cockpit!$O$5,1)="B",BG1593,MAX(BG1593,H1593))),ROUNDUP(BE1593,0)))</f>
        <v>50</v>
      </c>
      <c r="BB1593" s="62" t="n">
        <f aca="false">IF(CA1593=1,0,ROUNDUP(BA1593/BZ1593,0))</f>
        <v>1</v>
      </c>
      <c r="BC1593" s="64" t="n">
        <f aca="false">IF(CR1593&gt;0,CR1593*MAX(1,BA1593/X1593),IF(CA1593=1,IF(BA1593&lt;=0,0,CE1593*MAX(1,IF(H1593&gt;0,BA1593/H1593,1))),IF(R1593&gt;0,BB1593/R1593,0))/MAX(0.1,N(Parameter!$M$21)))</f>
        <v>0.0833333333333333</v>
      </c>
      <c r="BD1593" s="62" t="n">
        <f aca="false">BC1593*CC1593</f>
        <v>12.0833333333333</v>
      </c>
      <c r="BE1593" s="63" t="n">
        <f aca="false">IF(LEFT(Cockpit!$O$5,1)="A",H1593,IF(CI1593=1,(CL1593+CJ1593)/2,IF(LEFT(Cockpit!$O$5,1)="B",(CL1593+BG1593)/2,MAX((CL1593+BG1593)/2,H1593))))</f>
        <v>50</v>
      </c>
      <c r="BF1593" s="62" t="n">
        <f aca="false">BE1593*G1593</f>
        <v>116.5</v>
      </c>
      <c r="BG1593" s="62" t="n">
        <f aca="false">ROUNDUP(CL1593+MAX(CM1593,2*(J1593/IF(CH1593&gt;0,CH1593,MAX(0.1,N(Cockpit!$O$6)))-CL1593)),0)</f>
        <v>100</v>
      </c>
      <c r="BH1593" s="63" t="n">
        <f aca="false">IF(BD1593&gt;0,J1593/BD1593,-1)</f>
        <v>0</v>
      </c>
      <c r="BI1593" s="63" t="n">
        <f aca="false">IF(AND(OR(CG1593="L1",CG1593="L23",CG1593="LIFT"),BD1593&gt;0),SUMIFS($BD$7:$BD$1843,$CG$7:$CG$1843,CG1593,$BH$7:$BH$1843,"&gt;"&amp;BH1593)+SUMIFS($BD$7:$BD$1843,$CG$7:$CG$1843,CG1593,$BH$7:$BH$1843,BH1593,$BX$7:$BX$1843,"&lt;="&amp;BX1593),"")</f>
        <v>30839.2101363796</v>
      </c>
      <c r="BJ1593" s="70" t="n">
        <f aca="false">IF(BI1593="",0,MAX(0,MIN(1,(IF(CG1593="L1",Parameter!$H$5,IF(CG1593="L23",Parameter!$H$6+Parameter!$H$7,Parameter!$H$5+Parameter!$H$6+Parameter!$H$7))-(BI1593-BD1593))/BD1593)))</f>
        <v>1</v>
      </c>
      <c r="BK1593" s="60" t="str">
        <f aca="false">IF(AJ1593&lt;=0,"",IF(CG1593="Aussen","Aussenlager",IF(CG1593="-","Nicht im Lift",IF(AP1593&gt;=1,"Lift",IF(AP1593&lt;=0,"Aussenlager","teilweise")))))</f>
        <v>Lift</v>
      </c>
      <c r="BL1593" s="60" t="str">
        <f aca="false">IF(AT1593&lt;=0,"",IF(CG1593="Aussen","Aussenlager",IF(CG1593="-","Nicht im Lift",IF(AZ1593&gt;=1,"Lift",IF(AZ1593&lt;=0,"Aussenlager","teilweise")))))</f>
        <v>Aussenlager</v>
      </c>
      <c r="BM1593" s="60" t="str">
        <f aca="false">IF(BD1593&lt;=0,"",IF(CG1593="Aussen","Aussenlager",IF(CG1593="-","Nicht im Lift",IF(BJ1593&gt;=1,"Lift",IF(BJ1593&lt;=0,"Aussenlager","teilweise")))))</f>
        <v>Lift</v>
      </c>
      <c r="BN1593" s="60" t="str">
        <f aca="false">IF(A1593="","",IF(BW1593=1,"Neu; ","")&amp;IF(AND(BW1593=0,BR1593&lt;0),"negativer Bestand (Export "&amp;BR1593&amp;"); ","")&amp;IF(J1593&lt;=0,"Kein Verbrauch; ","")&amp;IF(CR1593&gt;0,"Lift "&amp;W1593&amp;" lt. Liftbericht (Fach "&amp;X1593&amp;" Stk); ",IF(CB1593=1,"Gebinde geschätzt ("&amp;T1593&amp;"); ",IF(CA1593=1,"Lose – Tablare geschätzt; ","")))&amp;IF(H1593&gt;AW1593,"Überbestand "&amp;ROUND(H1593-AW1593,0)&amp;" Stk / CHF "&amp;ROUND((H1593-AW1593)*G1593,0)&amp;"; ","")&amp;IF(AND(CI1593=1,CJ1593&lt;CK1593),"MAX &lt; MB+LG; ","")&amp;IF(AND(CQ1593&gt;0,CP1593*10&gt;CQ1593),"zu hoch für Tablar; ","")&amp;IF(AND(BW1593=0,OR(CI1593=1,AB1593&lt;&gt;"",U1593&lt;&gt;"",V1593&lt;&gt;"",AC1593&lt;&gt;"")),"manuell übersteuert; ","")&amp;IF(AND(CA1593=0,R1593=0),"Gebinde unbekannt / Stellmass fehlt; ","")&amp;IF(AND(CA1593=0,N(V1593)&lt;=0,N(Q1593)&lt;=0),"Menge pro Gebinde fehlt (Ist = 1 Gebinde); ","")&amp;BV1593)</f>
        <v>Kein Verbrauch; Gebinde geschätzt (Mittel); Überbestand 126 Stk / CHF 294; Menge pro Gebinde fehlt (Ist = 1 Gebinde); nur im Artikelstamm (Bestand 23.06.2026)</v>
      </c>
      <c r="BO1593" s="60"/>
      <c r="BP1593" s="60"/>
      <c r="BQ1593" s="67"/>
      <c r="BR1593" s="62" t="n">
        <v>226</v>
      </c>
      <c r="BS1593" s="62" t="n">
        <v>0</v>
      </c>
      <c r="BT1593" s="61" t="n">
        <v>0</v>
      </c>
      <c r="BU1593" s="62" t="n">
        <v>0</v>
      </c>
      <c r="BV1593" s="60" t="s">
        <v>2617</v>
      </c>
      <c r="BW1593" s="65" t="n">
        <v>0</v>
      </c>
      <c r="BX1593" s="65" t="n">
        <v>1593</v>
      </c>
      <c r="BY1593" s="60" t="str">
        <f aca="false">IF(U1593&lt;&gt;"",UPPER(TRIM(U1593)),IF(CB1593=1,UPPER(VLOOKUP(T1593,Parameter!$I$27:$K$29,2,0)),IF(P1593="","LOSE",P1593)))</f>
        <v>S61</v>
      </c>
      <c r="BZ1593" s="62" t="n">
        <f aca="false">IF(BY1593="LOSE",1,IF(N(V1593)&gt;0,V1593,IF(CB1593=1,MAX(1,N(VLOOKUP(T1593,Parameter!$I$27:$K$29,3,0)),H1593,N(N1593)),IF(N(Q1593)&gt;0,Q1593,MAX(1,H1593)))))</f>
        <v>226</v>
      </c>
      <c r="CA1593" s="65" t="n">
        <f aca="false">IF(BY1593="LOSE",1,0)</f>
        <v>0</v>
      </c>
      <c r="CB1593" s="65" t="n">
        <f aca="false">IF(AND(U1593="",OR(P1593="",P1593="LOSE"),T1593&lt;&gt;"",N(S1593)&lt;=0,ISNUMBER(MATCH(T1593,Parameter!$I$27:$I$29,0))),1,0)</f>
        <v>1</v>
      </c>
      <c r="CC1593" s="65" t="n">
        <f aca="false">IF(CR1593&gt;0,INDEX(Parameter!$H$5:$H$7,W1593)/INDEX(Parameter!$E$5:$E$7,W1593),IF(AND(CA1593=0,N(IFERROR(VLOOKUP(BY1593,'Gebinde-Kategorie'!$A$5:$N$45,14,0),0))&gt;0),VLOOKUP(BY1593,'Gebinde-Kategorie'!$A$5:$N$45,14,0)*10+Parameter!$M$23,Parameter!$M$24))</f>
        <v>145</v>
      </c>
      <c r="CD1593" s="60" t="str">
        <f aca="false">IF(AND(Parameter!$B$19="Ja",E1593&lt;&gt;"",ISNUMBER(MATCH(E1593,Parameter!$I$35:$I$52,0))),VLOOKUP(E1593,Parameter!$I$35:$J$52,2,0),IFERROR(VLOOKUP(D1593,Parameter!$A$35:$C$64,2,0),"Nein"))</f>
        <v>2+3</v>
      </c>
      <c r="CE1593" s="64" t="n">
        <f aca="false">IF(CA1593=0,0,IF(N(S1593)&gt;0,S1593,IFERROR(VLOOKUP(D1593,Parameter!$A$35:$C$64,3,0)+0,0)))</f>
        <v>0</v>
      </c>
      <c r="CF1593" s="60" t="n">
        <f aca="false">IF(AB1593&lt;&gt;"",AB1593,AA1593)</f>
        <v>3</v>
      </c>
      <c r="CG1593" s="60" t="str">
        <f aca="false">IF(OR(CF1593=1,CF1593=2,CF1593=3),IF(Parameter!$E$27="Ja","LIFT",IF(CF1593=1,"L1","L23")),IF(CF1593="Aussen","Aussen","-"))</f>
        <v>LIFT</v>
      </c>
      <c r="CH1593" s="71" t="n">
        <f aca="false">IF(N(AC1593)&gt;0,AC1593,0)</f>
        <v>0</v>
      </c>
      <c r="CI1593" s="65" t="n">
        <f aca="false">IF(ISNUMBER(AF1593),1,0)</f>
        <v>0</v>
      </c>
      <c r="CJ1593" s="62" t="n">
        <f aca="false">N(AF1593)</f>
        <v>0</v>
      </c>
      <c r="CK1593" s="62" t="n">
        <f aca="false">N(M1593)+N(N1593)</f>
        <v>100</v>
      </c>
      <c r="CL1593" s="62" t="n">
        <f aca="false">N(M1593)</f>
        <v>0</v>
      </c>
      <c r="CM1593" s="62" t="n">
        <f aca="false">N(N1593)</f>
        <v>100</v>
      </c>
      <c r="CN1593" s="62" t="n">
        <f aca="false">ROUNDUP(H1593/BZ1593,0)</f>
        <v>1</v>
      </c>
      <c r="CO1593" s="62" t="n">
        <f aca="false">ROUNDUP(CJ1593/BZ1593,0)</f>
        <v>0</v>
      </c>
      <c r="CP1593" s="65" t="n">
        <f aca="false">IF(CA1593=1,0,IFERROR(VLOOKUP(BY1593,'Gebinde-Kategorie'!$A$5:$N$45,5,0)+0,0))</f>
        <v>11</v>
      </c>
      <c r="CQ1593" s="65" t="n">
        <f aca="false">IFERROR(IF(OR(CF1593=1,CF1593=2,CF1593=3),N(INDEX(Parameter!$I$5:$I$7,CF1593)),0),0)</f>
        <v>0</v>
      </c>
      <c r="CR1593" s="64" t="n">
        <f aca="false">IF(AND(Parameter!$B$21="Ja",ISNUMBER(W1593),N(X1593)&gt;0),IFERROR(N(INDEX(Parameter!$L$5:$L$7,W1593))*INDEX(Parameter!$E$5:$E$7,W1593)*X1593/SUMIFS($X$7:$X$1843,$W$7:$W$1843,W1593),0),0)</f>
        <v>0</v>
      </c>
      <c r="CS1593" s="62" t="n">
        <f aca="false">IF(AND(OR(CG1593="L1",CG1593="L23",CG1593="LIFT"),H1593&gt;0),CC1593*IF(CR1593&gt;0,CR1593*MAX(1,H1593/X1593),IF(CA1593=1,CE1593,IF(R1593&gt;0,CN1593/R1593,0))/MAX(0.1,N(Parameter!$M$21))),"")</f>
        <v>12.0833333333333</v>
      </c>
      <c r="CT1593" s="64" t="n">
        <f aca="false">IF(CS1593="","",J1593/H1593)</f>
        <v>0</v>
      </c>
      <c r="CU1593" s="62" t="n">
        <f aca="false">IF(CS1593="","",H1593*G1593)</f>
        <v>526.58</v>
      </c>
      <c r="CV1593" s="63" t="n">
        <f aca="false">IF(CS1593="","",(CL1593+ROUNDUP(CL1593+MAX(CM1593,2*(J1593/MAX(0.1,N(Einkauf!$C$6))-CL1593)),0))/2)</f>
        <v>50</v>
      </c>
      <c r="CW1593" s="62" t="n">
        <f aca="false">IF(CS1593="","",MAX(0,H1593-CV1593)*G1593)</f>
        <v>410.08</v>
      </c>
      <c r="CX1593" s="62" t="n">
        <f aca="false">IF(CS1593="","",CS1593*MAX(0,1-CV1593/H1593))</f>
        <v>9.41002949852507</v>
      </c>
      <c r="CY1593" s="64" t="n">
        <f aca="false">IF(CS1593="","",PERCENTRANK($CS$7:$CS$1843,CS1593)+PERCENTRANK($CU$7:$CU$1843,CU1593)+1-PERCENTRANK($CT$7:$CT$1843,CT1593))</f>
        <v>2.186</v>
      </c>
      <c r="CZ1593" s="72" t="n">
        <f aca="false">IF(CS1593="","",CHOOSE(MATCH(Einkauf!$C$5,Parameter!$G$23:$G$27,0),CY1593,CS1593,CU1593,-CT1593,CW1593)+ROW()/1000000000)</f>
        <v>2.186001593</v>
      </c>
    </row>
    <row r="1594" customFormat="false" ht="15" hidden="false" customHeight="false" outlineLevel="0" collapsed="false">
      <c r="A1594" s="60" t="s">
        <v>2821</v>
      </c>
      <c r="B1594" s="60" t="s">
        <v>2822</v>
      </c>
      <c r="C1594" s="60" t="s">
        <v>206</v>
      </c>
      <c r="D1594" s="60" t="s">
        <v>215</v>
      </c>
      <c r="E1594" s="60"/>
      <c r="F1594" s="60"/>
      <c r="G1594" s="61" t="n">
        <v>1.67</v>
      </c>
      <c r="H1594" s="62" t="n">
        <f aca="false">MAX(0,IF(AND(Parameter!$B$21="Ja",ISNUMBER(Y1594)),Y1594,IF(Parameter!$B$20="Jahresanfang 2025 + Export",BS1594+BR1594,BR1594)))</f>
        <v>800</v>
      </c>
      <c r="I1594" s="62" t="n">
        <f aca="false">H1594*G1594</f>
        <v>1336</v>
      </c>
      <c r="J1594" s="62" t="n">
        <f aca="false">BU1594*Parameter!$B$18</f>
        <v>0</v>
      </c>
      <c r="K1594" s="63"/>
      <c r="L1594" s="64"/>
      <c r="M1594" s="62" t="n">
        <v>0</v>
      </c>
      <c r="N1594" s="62" t="n">
        <v>100</v>
      </c>
      <c r="O1594" s="65" t="n">
        <v>35</v>
      </c>
      <c r="P1594" s="60" t="s">
        <v>210</v>
      </c>
      <c r="Q1594" s="62"/>
      <c r="R1594" s="65" t="n">
        <f aca="false">IF(CA1594=1,0,IFERROR(VLOOKUP(BY1594,'Gebinde-Kategorie'!$A$5:$N$45,13,0)+0,0))</f>
        <v>12</v>
      </c>
      <c r="S1594" s="66"/>
      <c r="T1594" s="67" t="s">
        <v>221</v>
      </c>
      <c r="U1594" s="67"/>
      <c r="V1594" s="67"/>
      <c r="W1594" s="60"/>
      <c r="X1594" s="62"/>
      <c r="Y1594" s="62"/>
      <c r="Z1594" s="60" t="n">
        <v>3</v>
      </c>
      <c r="AA1594" s="60" t="n">
        <f aca="false">IF(A1594="","",IF(AND(Parameter!$B$21="Ja",ISNUMBER(W1594)),W1594,IF(AND(Parameter!$E$27="Ja",ISNUMBER(Z1594),CD1594&lt;&gt;"Nein"),Z1594,IF(CD1594="2+3",IF(ISNUMBER(SEARCH("grosser Artikel",BV1594)),2,IFERROR(VLOOKUP(BY1594,Parameter!$F$35:$G$64,2,0),2)),IF(OR(CD1594="Nein",CD1594=""),"-",CD1594)))))</f>
        <v>3</v>
      </c>
      <c r="AB1594" s="67"/>
      <c r="AC1594" s="68"/>
      <c r="AD1594" s="62" t="n">
        <f aca="false">AW1594</f>
        <v>100</v>
      </c>
      <c r="AE1594" s="62" t="n">
        <f aca="false">MAX(AW1594,H1594)</f>
        <v>800</v>
      </c>
      <c r="AF1594" s="69"/>
      <c r="AG1594" s="62" t="n">
        <f aca="false">IF(LEFT(Cockpit!$C$5,1)="A",H1594,IF(Parameter!$E$30="MAX-Bestand",IF(CI1594=1,CJ1594,IF(LEFT(Cockpit!$C$5,1)="B",AM1594,MAX(AM1594,H1594))),ROUNDUP(AK1594,0)))</f>
        <v>800</v>
      </c>
      <c r="AH1594" s="62" t="n">
        <f aca="false">IF(CA1594=1,0,ROUNDUP(AG1594/BZ1594,0))</f>
        <v>1</v>
      </c>
      <c r="AI1594" s="64" t="n">
        <f aca="false">IF(CR1594&gt;0,CR1594*MAX(1,AG1594/X1594),IF(CA1594=1,IF(AG1594&lt;=0,0,CE1594*MAX(1,IF(H1594&gt;0,AG1594/H1594,1))),IF(R1594&gt;0,AH1594/R1594,0))/MAX(0.1,N(Parameter!$M$21)))</f>
        <v>0.0833333333333333</v>
      </c>
      <c r="AJ1594" s="62" t="n">
        <f aca="false">AI1594*CC1594</f>
        <v>12.0833333333333</v>
      </c>
      <c r="AK1594" s="63" t="n">
        <f aca="false">IF(LEFT(Cockpit!$C$5,1)="A",H1594,IF(CI1594=1,(CL1594+CJ1594)/2,IF(LEFT(Cockpit!$C$5,1)="B",(CL1594+AM1594)/2,MAX((CL1594+AM1594)/2,H1594))))</f>
        <v>800</v>
      </c>
      <c r="AL1594" s="62" t="n">
        <f aca="false">AK1594*G1594</f>
        <v>1336</v>
      </c>
      <c r="AM1594" s="62" t="n">
        <f aca="false">ROUNDUP(CL1594+MAX(CM1594,2*(J1594/IF(CH1594&gt;0,CH1594,MAX(0.1,N(Cockpit!$C$6)))-CL1594)),0)</f>
        <v>100</v>
      </c>
      <c r="AN1594" s="63" t="n">
        <f aca="false">IF(AJ1594&gt;0,J1594/AJ1594,-1)</f>
        <v>0</v>
      </c>
      <c r="AO1594" s="63" t="n">
        <f aca="false">IF(AND(OR(CG1594="L1",CG1594="L23",CG1594="LIFT"),AJ1594&gt;0),SUMIFS($AJ$7:$AJ$1843,$CG$7:$CG$1843,CG1594,$AN$7:$AN$1843,"&gt;"&amp;AN1594)+SUMIFS($AJ$7:$AJ$1843,$CG$7:$CG$1843,CG1594,$AN$7:$AN$1843,AN1594,$BX$7:$BX$1843,"&lt;="&amp;BX1594),"")</f>
        <v>30621.9956773453</v>
      </c>
      <c r="AP1594" s="70" t="n">
        <f aca="false">IF(AO1594="",0,MAX(0,MIN(1,(IF(CG1594="L1",Parameter!$H$5,IF(CG1594="L23",Parameter!$H$6+Parameter!$H$7,Parameter!$H$5+Parameter!$H$6+Parameter!$H$7))-(AO1594-AJ1594))/AJ1594)))</f>
        <v>1</v>
      </c>
      <c r="AQ1594" s="62" t="n">
        <f aca="false">IF(LEFT(Cockpit!$I$5,1)="A",H1594,IF(Parameter!$E$30="MAX-Bestand",IF(CI1594=1,CJ1594,IF(LEFT(Cockpit!$I$5,1)="B",AW1594,MAX(AW1594,H1594))),ROUNDUP(AU1594,0)))</f>
        <v>800</v>
      </c>
      <c r="AR1594" s="62" t="n">
        <f aca="false">IF(CA1594=1,0,ROUNDUP(AQ1594/BZ1594,0))</f>
        <v>1</v>
      </c>
      <c r="AS1594" s="64" t="n">
        <f aca="false">IF(CR1594&gt;0,CR1594*MAX(1,AQ1594/X1594),IF(CA1594=1,IF(AQ1594&lt;=0,0,CE1594*MAX(1,IF(H1594&gt;0,AQ1594/H1594,1))),IF(R1594&gt;0,AR1594/R1594,0))/MAX(0.1,N(Parameter!$M$21)))</f>
        <v>0.0833333333333333</v>
      </c>
      <c r="AT1594" s="62" t="n">
        <f aca="false">AS1594*CC1594</f>
        <v>12.0833333333333</v>
      </c>
      <c r="AU1594" s="63" t="n">
        <f aca="false">IF(LEFT(Cockpit!$I$5,1)="A",H1594,IF(CI1594=1,(CL1594+CJ1594)/2,IF(LEFT(Cockpit!$I$5,1)="B",(CL1594+AW1594)/2,MAX((CL1594+AW1594)/2,H1594))))</f>
        <v>800</v>
      </c>
      <c r="AV1594" s="62" t="n">
        <f aca="false">AU1594*G1594</f>
        <v>1336</v>
      </c>
      <c r="AW1594" s="62" t="n">
        <f aca="false">ROUNDUP(CL1594+MAX(CM1594,2*(J1594/IF(CH1594&gt;0,CH1594,MAX(0.1,N(Cockpit!$I$6)))-CL1594)),0)</f>
        <v>100</v>
      </c>
      <c r="AX1594" s="63" t="n">
        <f aca="false">IF(AT1594&gt;0,J1594/AT1594,-1)</f>
        <v>0</v>
      </c>
      <c r="AY1594" s="63" t="n">
        <f aca="false">IF(AND(OR(CG1594="L1",CG1594="L23",CG1594="LIFT"),AT1594&gt;0),SUMIFS($AT$7:$AT$1843,$CG$7:$CG$1843,CG1594,$AX$7:$AX$1843,"&gt;"&amp;AX1594)+SUMIFS($AT$7:$AT$1843,$CG$7:$CG$1843,CG1594,$AX$7:$AX$1843,AX1594,$BX$7:$BX$1843,"&lt;="&amp;BX1594),"")</f>
        <v>36941.8521941806</v>
      </c>
      <c r="AZ1594" s="70" t="n">
        <f aca="false">IF(AY1594="",0,MAX(0,MIN(1,(IF(CG1594="L1",Parameter!$H$5,IF(CG1594="L23",Parameter!$H$6+Parameter!$H$7,Parameter!$H$5+Parameter!$H$6+Parameter!$H$7))-(AY1594-AT1594))/AT1594)))</f>
        <v>0</v>
      </c>
      <c r="BA1594" s="62" t="n">
        <f aca="false">IF(LEFT(Cockpit!$O$5,1)="A",H1594,IF(Parameter!$E$30="MAX-Bestand",IF(CI1594=1,CJ1594,IF(LEFT(Cockpit!$O$5,1)="B",BG1594,MAX(BG1594,H1594))),ROUNDUP(BE1594,0)))</f>
        <v>50</v>
      </c>
      <c r="BB1594" s="62" t="n">
        <f aca="false">IF(CA1594=1,0,ROUNDUP(BA1594/BZ1594,0))</f>
        <v>1</v>
      </c>
      <c r="BC1594" s="64" t="n">
        <f aca="false">IF(CR1594&gt;0,CR1594*MAX(1,BA1594/X1594),IF(CA1594=1,IF(BA1594&lt;=0,0,CE1594*MAX(1,IF(H1594&gt;0,BA1594/H1594,1))),IF(R1594&gt;0,BB1594/R1594,0))/MAX(0.1,N(Parameter!$M$21)))</f>
        <v>0.0833333333333333</v>
      </c>
      <c r="BD1594" s="62" t="n">
        <f aca="false">BC1594*CC1594</f>
        <v>12.0833333333333</v>
      </c>
      <c r="BE1594" s="63" t="n">
        <f aca="false">IF(LEFT(Cockpit!$O$5,1)="A",H1594,IF(CI1594=1,(CL1594+CJ1594)/2,IF(LEFT(Cockpit!$O$5,1)="B",(CL1594+BG1594)/2,MAX((CL1594+BG1594)/2,H1594))))</f>
        <v>50</v>
      </c>
      <c r="BF1594" s="62" t="n">
        <f aca="false">BE1594*G1594</f>
        <v>83.5</v>
      </c>
      <c r="BG1594" s="62" t="n">
        <f aca="false">ROUNDUP(CL1594+MAX(CM1594,2*(J1594/IF(CH1594&gt;0,CH1594,MAX(0.1,N(Cockpit!$O$6)))-CL1594)),0)</f>
        <v>100</v>
      </c>
      <c r="BH1594" s="63" t="n">
        <f aca="false">IF(BD1594&gt;0,J1594/BD1594,-1)</f>
        <v>0</v>
      </c>
      <c r="BI1594" s="63" t="n">
        <f aca="false">IF(AND(OR(CG1594="L1",CG1594="L23",CG1594="LIFT"),BD1594&gt;0),SUMIFS($BD$7:$BD$1843,$CG$7:$CG$1843,CG1594,$BH$7:$BH$1843,"&gt;"&amp;BH1594)+SUMIFS($BD$7:$BD$1843,$CG$7:$CG$1843,CG1594,$BH$7:$BH$1843,BH1594,$BX$7:$BX$1843,"&lt;="&amp;BX1594),"")</f>
        <v>30851.293469713</v>
      </c>
      <c r="BJ1594" s="70" t="n">
        <f aca="false">IF(BI1594="",0,MAX(0,MIN(1,(IF(CG1594="L1",Parameter!$H$5,IF(CG1594="L23",Parameter!$H$6+Parameter!$H$7,Parameter!$H$5+Parameter!$H$6+Parameter!$H$7))-(BI1594-BD1594))/BD1594)))</f>
        <v>1</v>
      </c>
      <c r="BK1594" s="60" t="str">
        <f aca="false">IF(AJ1594&lt;=0,"",IF(CG1594="Aussen","Aussenlager",IF(CG1594="-","Nicht im Lift",IF(AP1594&gt;=1,"Lift",IF(AP1594&lt;=0,"Aussenlager","teilweise")))))</f>
        <v>Lift</v>
      </c>
      <c r="BL1594" s="60" t="str">
        <f aca="false">IF(AT1594&lt;=0,"",IF(CG1594="Aussen","Aussenlager",IF(CG1594="-","Nicht im Lift",IF(AZ1594&gt;=1,"Lift",IF(AZ1594&lt;=0,"Aussenlager","teilweise")))))</f>
        <v>Aussenlager</v>
      </c>
      <c r="BM1594" s="60" t="str">
        <f aca="false">IF(BD1594&lt;=0,"",IF(CG1594="Aussen","Aussenlager",IF(CG1594="-","Nicht im Lift",IF(BJ1594&gt;=1,"Lift",IF(BJ1594&lt;=0,"Aussenlager","teilweise")))))</f>
        <v>Lift</v>
      </c>
      <c r="BN1594" s="60" t="str">
        <f aca="false">IF(A1594="","",IF(BW1594=1,"Neu; ","")&amp;IF(AND(BW1594=0,BR1594&lt;0),"negativer Bestand (Export "&amp;BR1594&amp;"); ","")&amp;IF(J1594&lt;=0,"Kein Verbrauch; ","")&amp;IF(CR1594&gt;0,"Lift "&amp;W1594&amp;" lt. Liftbericht (Fach "&amp;X1594&amp;" Stk); ",IF(CB1594=1,"Gebinde geschätzt ("&amp;T1594&amp;"); ",IF(CA1594=1,"Lose – Tablare geschätzt; ","")))&amp;IF(H1594&gt;AW1594,"Überbestand "&amp;ROUND(H1594-AW1594,0)&amp;" Stk / CHF "&amp;ROUND((H1594-AW1594)*G1594,0)&amp;"; ","")&amp;IF(AND(CI1594=1,CJ1594&lt;CK1594),"MAX &lt; MB+LG; ","")&amp;IF(AND(CQ1594&gt;0,CP1594*10&gt;CQ1594),"zu hoch für Tablar; ","")&amp;IF(AND(BW1594=0,OR(CI1594=1,AB1594&lt;&gt;"",U1594&lt;&gt;"",V1594&lt;&gt;"",AC1594&lt;&gt;"")),"manuell übersteuert; ","")&amp;IF(AND(CA1594=0,R1594=0),"Gebinde unbekannt / Stellmass fehlt; ","")&amp;IF(AND(CA1594=0,N(V1594)&lt;=0,N(Q1594)&lt;=0),"Menge pro Gebinde fehlt (Ist = 1 Gebinde); ","")&amp;BV1594)</f>
        <v>Kein Verbrauch; Gebinde geschätzt (Mittel); Überbestand 700 Stk / CHF 1169; Menge pro Gebinde fehlt (Ist = 1 Gebinde); nur im Artikelstamm (Bestand 23.06.2026)</v>
      </c>
      <c r="BO1594" s="60"/>
      <c r="BP1594" s="60"/>
      <c r="BQ1594" s="67"/>
      <c r="BR1594" s="62" t="n">
        <v>800</v>
      </c>
      <c r="BS1594" s="62" t="n">
        <v>0</v>
      </c>
      <c r="BT1594" s="61" t="n">
        <v>0</v>
      </c>
      <c r="BU1594" s="62" t="n">
        <v>0</v>
      </c>
      <c r="BV1594" s="60" t="s">
        <v>2617</v>
      </c>
      <c r="BW1594" s="65" t="n">
        <v>0</v>
      </c>
      <c r="BX1594" s="65" t="n">
        <v>1594</v>
      </c>
      <c r="BY1594" s="60" t="str">
        <f aca="false">IF(U1594&lt;&gt;"",UPPER(TRIM(U1594)),IF(CB1594=1,UPPER(VLOOKUP(T1594,Parameter!$I$27:$K$29,2,0)),IF(P1594="","LOSE",P1594)))</f>
        <v>S61</v>
      </c>
      <c r="BZ1594" s="62" t="n">
        <f aca="false">IF(BY1594="LOSE",1,IF(N(V1594)&gt;0,V1594,IF(CB1594=1,MAX(1,N(VLOOKUP(T1594,Parameter!$I$27:$K$29,3,0)),H1594,N(N1594)),IF(N(Q1594)&gt;0,Q1594,MAX(1,H1594)))))</f>
        <v>800</v>
      </c>
      <c r="CA1594" s="65" t="n">
        <f aca="false">IF(BY1594="LOSE",1,0)</f>
        <v>0</v>
      </c>
      <c r="CB1594" s="65" t="n">
        <f aca="false">IF(AND(U1594="",OR(P1594="",P1594="LOSE"),T1594&lt;&gt;"",N(S1594)&lt;=0,ISNUMBER(MATCH(T1594,Parameter!$I$27:$I$29,0))),1,0)</f>
        <v>1</v>
      </c>
      <c r="CC1594" s="65" t="n">
        <f aca="false">IF(CR1594&gt;0,INDEX(Parameter!$H$5:$H$7,W1594)/INDEX(Parameter!$E$5:$E$7,W1594),IF(AND(CA1594=0,N(IFERROR(VLOOKUP(BY1594,'Gebinde-Kategorie'!$A$5:$N$45,14,0),0))&gt;0),VLOOKUP(BY1594,'Gebinde-Kategorie'!$A$5:$N$45,14,0)*10+Parameter!$M$23,Parameter!$M$24))</f>
        <v>145</v>
      </c>
      <c r="CD1594" s="60" t="str">
        <f aca="false">IF(AND(Parameter!$B$19="Ja",E1594&lt;&gt;"",ISNUMBER(MATCH(E1594,Parameter!$I$35:$I$52,0))),VLOOKUP(E1594,Parameter!$I$35:$J$52,2,0),IFERROR(VLOOKUP(D1594,Parameter!$A$35:$C$64,2,0),"Nein"))</f>
        <v>2+3</v>
      </c>
      <c r="CE1594" s="64" t="n">
        <f aca="false">IF(CA1594=0,0,IF(N(S1594)&gt;0,S1594,IFERROR(VLOOKUP(D1594,Parameter!$A$35:$C$64,3,0)+0,0)))</f>
        <v>0</v>
      </c>
      <c r="CF1594" s="60" t="n">
        <f aca="false">IF(AB1594&lt;&gt;"",AB1594,AA1594)</f>
        <v>3</v>
      </c>
      <c r="CG1594" s="60" t="str">
        <f aca="false">IF(OR(CF1594=1,CF1594=2,CF1594=3),IF(Parameter!$E$27="Ja","LIFT",IF(CF1594=1,"L1","L23")),IF(CF1594="Aussen","Aussen","-"))</f>
        <v>LIFT</v>
      </c>
      <c r="CH1594" s="71" t="n">
        <f aca="false">IF(N(AC1594)&gt;0,AC1594,0)</f>
        <v>0</v>
      </c>
      <c r="CI1594" s="65" t="n">
        <f aca="false">IF(ISNUMBER(AF1594),1,0)</f>
        <v>0</v>
      </c>
      <c r="CJ1594" s="62" t="n">
        <f aca="false">N(AF1594)</f>
        <v>0</v>
      </c>
      <c r="CK1594" s="62" t="n">
        <f aca="false">N(M1594)+N(N1594)</f>
        <v>100</v>
      </c>
      <c r="CL1594" s="62" t="n">
        <f aca="false">N(M1594)</f>
        <v>0</v>
      </c>
      <c r="CM1594" s="62" t="n">
        <f aca="false">N(N1594)</f>
        <v>100</v>
      </c>
      <c r="CN1594" s="62" t="n">
        <f aca="false">ROUNDUP(H1594/BZ1594,0)</f>
        <v>1</v>
      </c>
      <c r="CO1594" s="62" t="n">
        <f aca="false">ROUNDUP(CJ1594/BZ1594,0)</f>
        <v>0</v>
      </c>
      <c r="CP1594" s="65" t="n">
        <f aca="false">IF(CA1594=1,0,IFERROR(VLOOKUP(BY1594,'Gebinde-Kategorie'!$A$5:$N$45,5,0)+0,0))</f>
        <v>11</v>
      </c>
      <c r="CQ1594" s="65" t="n">
        <f aca="false">IFERROR(IF(OR(CF1594=1,CF1594=2,CF1594=3),N(INDEX(Parameter!$I$5:$I$7,CF1594)),0),0)</f>
        <v>0</v>
      </c>
      <c r="CR1594" s="64" t="n">
        <f aca="false">IF(AND(Parameter!$B$21="Ja",ISNUMBER(W1594),N(X1594)&gt;0),IFERROR(N(INDEX(Parameter!$L$5:$L$7,W1594))*INDEX(Parameter!$E$5:$E$7,W1594)*X1594/SUMIFS($X$7:$X$1843,$W$7:$W$1843,W1594),0),0)</f>
        <v>0</v>
      </c>
      <c r="CS1594" s="62" t="n">
        <f aca="false">IF(AND(OR(CG1594="L1",CG1594="L23",CG1594="LIFT"),H1594&gt;0),CC1594*IF(CR1594&gt;0,CR1594*MAX(1,H1594/X1594),IF(CA1594=1,CE1594,IF(R1594&gt;0,CN1594/R1594,0))/MAX(0.1,N(Parameter!$M$21))),"")</f>
        <v>12.0833333333333</v>
      </c>
      <c r="CT1594" s="64" t="n">
        <f aca="false">IF(CS1594="","",J1594/H1594)</f>
        <v>0</v>
      </c>
      <c r="CU1594" s="62" t="n">
        <f aca="false">IF(CS1594="","",H1594*G1594)</f>
        <v>1336</v>
      </c>
      <c r="CV1594" s="63" t="n">
        <f aca="false">IF(CS1594="","",(CL1594+ROUNDUP(CL1594+MAX(CM1594,2*(J1594/MAX(0.1,N(Einkauf!$C$6))-CL1594)),0))/2)</f>
        <v>50</v>
      </c>
      <c r="CW1594" s="62" t="n">
        <f aca="false">IF(CS1594="","",MAX(0,H1594-CV1594)*G1594)</f>
        <v>1252.5</v>
      </c>
      <c r="CX1594" s="62" t="n">
        <f aca="false">IF(CS1594="","",CS1594*MAX(0,1-CV1594/H1594))</f>
        <v>11.328125</v>
      </c>
      <c r="CY1594" s="64" t="n">
        <f aca="false">IF(CS1594="","",PERCENTRANK($CS$7:$CS$1843,CS1594)+PERCENTRANK($CU$7:$CU$1843,CU1594)+1-PERCENTRANK($CT$7:$CT$1843,CT1594))</f>
        <v>2.354</v>
      </c>
      <c r="CZ1594" s="72" t="n">
        <f aca="false">IF(CS1594="","",CHOOSE(MATCH(Einkauf!$C$5,Parameter!$G$23:$G$27,0),CY1594,CS1594,CU1594,-CT1594,CW1594)+ROW()/1000000000)</f>
        <v>2.354001594</v>
      </c>
    </row>
    <row r="1595" customFormat="false" ht="15" hidden="false" customHeight="false" outlineLevel="0" collapsed="false">
      <c r="A1595" s="60" t="s">
        <v>2823</v>
      </c>
      <c r="B1595" s="60" t="s">
        <v>551</v>
      </c>
      <c r="C1595" s="60" t="s">
        <v>206</v>
      </c>
      <c r="D1595" s="60" t="s">
        <v>215</v>
      </c>
      <c r="E1595" s="60" t="s">
        <v>215</v>
      </c>
      <c r="F1595" s="60"/>
      <c r="G1595" s="61" t="n">
        <v>444.6</v>
      </c>
      <c r="H1595" s="62" t="n">
        <f aca="false">MAX(0,IF(AND(Parameter!$B$21="Ja",ISNUMBER(Y1595)),Y1595,IF(Parameter!$B$20="Jahresanfang 2025 + Export",BS1595+BR1595,BR1595)))</f>
        <v>1</v>
      </c>
      <c r="I1595" s="62" t="n">
        <f aca="false">H1595*G1595</f>
        <v>444.6</v>
      </c>
      <c r="J1595" s="62" t="n">
        <f aca="false">BU1595*Parameter!$B$18</f>
        <v>0</v>
      </c>
      <c r="K1595" s="63"/>
      <c r="L1595" s="64"/>
      <c r="M1595" s="62" t="n">
        <v>0</v>
      </c>
      <c r="N1595" s="62" t="n">
        <v>1</v>
      </c>
      <c r="O1595" s="65" t="n">
        <v>28</v>
      </c>
      <c r="P1595" s="60" t="s">
        <v>210</v>
      </c>
      <c r="Q1595" s="62"/>
      <c r="R1595" s="65" t="n">
        <f aca="false">IF(CA1595=1,0,IFERROR(VLOOKUP(BY1595,'Gebinde-Kategorie'!$A$5:$N$45,13,0)+0,0))</f>
        <v>12</v>
      </c>
      <c r="S1595" s="66"/>
      <c r="T1595" s="67" t="s">
        <v>221</v>
      </c>
      <c r="U1595" s="67"/>
      <c r="V1595" s="67"/>
      <c r="W1595" s="60"/>
      <c r="X1595" s="62"/>
      <c r="Y1595" s="62"/>
      <c r="Z1595" s="60"/>
      <c r="AA1595" s="60" t="str">
        <f aca="false">IF(A1595="","",IF(AND(Parameter!$B$21="Ja",ISNUMBER(W1595)),W1595,IF(AND(Parameter!$E$27="Ja",ISNUMBER(Z1595),CD1595&lt;&gt;"Nein"),Z1595,IF(CD1595="2+3",IF(ISNUMBER(SEARCH("grosser Artikel",BV1595)),2,IFERROR(VLOOKUP(BY1595,Parameter!$F$35:$G$64,2,0),2)),IF(OR(CD1595="Nein",CD1595=""),"-",CD1595)))))</f>
        <v>-</v>
      </c>
      <c r="AB1595" s="67"/>
      <c r="AC1595" s="68"/>
      <c r="AD1595" s="62" t="n">
        <f aca="false">AW1595</f>
        <v>1</v>
      </c>
      <c r="AE1595" s="62" t="n">
        <f aca="false">MAX(AW1595,H1595)</f>
        <v>1</v>
      </c>
      <c r="AF1595" s="69"/>
      <c r="AG1595" s="62" t="n">
        <f aca="false">IF(LEFT(Cockpit!$C$5,1)="A",H1595,IF(Parameter!$E$30="MAX-Bestand",IF(CI1595=1,CJ1595,IF(LEFT(Cockpit!$C$5,1)="B",AM1595,MAX(AM1595,H1595))),ROUNDUP(AK1595,0)))</f>
        <v>1</v>
      </c>
      <c r="AH1595" s="62" t="n">
        <f aca="false">IF(CA1595=1,0,ROUNDUP(AG1595/BZ1595,0))</f>
        <v>1</v>
      </c>
      <c r="AI1595" s="64" t="n">
        <f aca="false">IF(CR1595&gt;0,CR1595*MAX(1,AG1595/X1595),IF(CA1595=1,IF(AG1595&lt;=0,0,CE1595*MAX(1,IF(H1595&gt;0,AG1595/H1595,1))),IF(R1595&gt;0,AH1595/R1595,0))/MAX(0.1,N(Parameter!$M$21)))</f>
        <v>0.0833333333333333</v>
      </c>
      <c r="AJ1595" s="62" t="n">
        <f aca="false">AI1595*CC1595</f>
        <v>12.0833333333333</v>
      </c>
      <c r="AK1595" s="63" t="n">
        <f aca="false">IF(LEFT(Cockpit!$C$5,1)="A",H1595,IF(CI1595=1,(CL1595+CJ1595)/2,IF(LEFT(Cockpit!$C$5,1)="B",(CL1595+AM1595)/2,MAX((CL1595+AM1595)/2,H1595))))</f>
        <v>1</v>
      </c>
      <c r="AL1595" s="62" t="n">
        <f aca="false">AK1595*G1595</f>
        <v>444.6</v>
      </c>
      <c r="AM1595" s="62" t="n">
        <f aca="false">ROUNDUP(CL1595+MAX(CM1595,2*(J1595/IF(CH1595&gt;0,CH1595,MAX(0.1,N(Cockpit!$C$6)))-CL1595)),0)</f>
        <v>1</v>
      </c>
      <c r="AN1595" s="63" t="n">
        <f aca="false">IF(AJ1595&gt;0,J1595/AJ1595,-1)</f>
        <v>0</v>
      </c>
      <c r="AO1595" s="63" t="str">
        <f aca="false">IF(AND(OR(CG1595="L1",CG1595="L23",CG1595="LIFT"),AJ1595&gt;0),SUMIFS($AJ$7:$AJ$1843,$CG$7:$CG$1843,CG1595,$AN$7:$AN$1843,"&gt;"&amp;AN1595)+SUMIFS($AJ$7:$AJ$1843,$CG$7:$CG$1843,CG1595,$AN$7:$AN$1843,AN1595,$BX$7:$BX$1843,"&lt;="&amp;BX1595),"")</f>
        <v/>
      </c>
      <c r="AP1595" s="70" t="n">
        <f aca="false">IF(AO1595="",0,MAX(0,MIN(1,(IF(CG1595="L1",Parameter!$H$5,IF(CG1595="L23",Parameter!$H$6+Parameter!$H$7,Parameter!$H$5+Parameter!$H$6+Parameter!$H$7))-(AO1595-AJ1595))/AJ1595)))</f>
        <v>0</v>
      </c>
      <c r="AQ1595" s="62" t="n">
        <f aca="false">IF(LEFT(Cockpit!$I$5,1)="A",H1595,IF(Parameter!$E$30="MAX-Bestand",IF(CI1595=1,CJ1595,IF(LEFT(Cockpit!$I$5,1)="B",AW1595,MAX(AW1595,H1595))),ROUNDUP(AU1595,0)))</f>
        <v>1</v>
      </c>
      <c r="AR1595" s="62" t="n">
        <f aca="false">IF(CA1595=1,0,ROUNDUP(AQ1595/BZ1595,0))</f>
        <v>1</v>
      </c>
      <c r="AS1595" s="64" t="n">
        <f aca="false">IF(CR1595&gt;0,CR1595*MAX(1,AQ1595/X1595),IF(CA1595=1,IF(AQ1595&lt;=0,0,CE1595*MAX(1,IF(H1595&gt;0,AQ1595/H1595,1))),IF(R1595&gt;0,AR1595/R1595,0))/MAX(0.1,N(Parameter!$M$21)))</f>
        <v>0.0833333333333333</v>
      </c>
      <c r="AT1595" s="62" t="n">
        <f aca="false">AS1595*CC1595</f>
        <v>12.0833333333333</v>
      </c>
      <c r="AU1595" s="63" t="n">
        <f aca="false">IF(LEFT(Cockpit!$I$5,1)="A",H1595,IF(CI1595=1,(CL1595+CJ1595)/2,IF(LEFT(Cockpit!$I$5,1)="B",(CL1595+AW1595)/2,MAX((CL1595+AW1595)/2,H1595))))</f>
        <v>1</v>
      </c>
      <c r="AV1595" s="62" t="n">
        <f aca="false">AU1595*G1595</f>
        <v>444.6</v>
      </c>
      <c r="AW1595" s="62" t="n">
        <f aca="false">ROUNDUP(CL1595+MAX(CM1595,2*(J1595/IF(CH1595&gt;0,CH1595,MAX(0.1,N(Cockpit!$I$6)))-CL1595)),0)</f>
        <v>1</v>
      </c>
      <c r="AX1595" s="63" t="n">
        <f aca="false">IF(AT1595&gt;0,J1595/AT1595,-1)</f>
        <v>0</v>
      </c>
      <c r="AY1595" s="63" t="str">
        <f aca="false">IF(AND(OR(CG1595="L1",CG1595="L23",CG1595="LIFT"),AT1595&gt;0),SUMIFS($AT$7:$AT$1843,$CG$7:$CG$1843,CG1595,$AX$7:$AX$1843,"&gt;"&amp;AX1595)+SUMIFS($AT$7:$AT$1843,$CG$7:$CG$1843,CG1595,$AX$7:$AX$1843,AX1595,$BX$7:$BX$1843,"&lt;="&amp;BX1595),"")</f>
        <v/>
      </c>
      <c r="AZ1595" s="70" t="n">
        <f aca="false">IF(AY1595="",0,MAX(0,MIN(1,(IF(CG1595="L1",Parameter!$H$5,IF(CG1595="L23",Parameter!$H$6+Parameter!$H$7,Parameter!$H$5+Parameter!$H$6+Parameter!$H$7))-(AY1595-AT1595))/AT1595)))</f>
        <v>0</v>
      </c>
      <c r="BA1595" s="62" t="n">
        <f aca="false">IF(LEFT(Cockpit!$O$5,1)="A",H1595,IF(Parameter!$E$30="MAX-Bestand",IF(CI1595=1,CJ1595,IF(LEFT(Cockpit!$O$5,1)="B",BG1595,MAX(BG1595,H1595))),ROUNDUP(BE1595,0)))</f>
        <v>1</v>
      </c>
      <c r="BB1595" s="62" t="n">
        <f aca="false">IF(CA1595=1,0,ROUNDUP(BA1595/BZ1595,0))</f>
        <v>1</v>
      </c>
      <c r="BC1595" s="64" t="n">
        <f aca="false">IF(CR1595&gt;0,CR1595*MAX(1,BA1595/X1595),IF(CA1595=1,IF(BA1595&lt;=0,0,CE1595*MAX(1,IF(H1595&gt;0,BA1595/H1595,1))),IF(R1595&gt;0,BB1595/R1595,0))/MAX(0.1,N(Parameter!$M$21)))</f>
        <v>0.0833333333333333</v>
      </c>
      <c r="BD1595" s="62" t="n">
        <f aca="false">BC1595*CC1595</f>
        <v>12.0833333333333</v>
      </c>
      <c r="BE1595" s="63" t="n">
        <f aca="false">IF(LEFT(Cockpit!$O$5,1)="A",H1595,IF(CI1595=1,(CL1595+CJ1595)/2,IF(LEFT(Cockpit!$O$5,1)="B",(CL1595+BG1595)/2,MAX((CL1595+BG1595)/2,H1595))))</f>
        <v>0.5</v>
      </c>
      <c r="BF1595" s="62" t="n">
        <f aca="false">BE1595*G1595</f>
        <v>222.3</v>
      </c>
      <c r="BG1595" s="62" t="n">
        <f aca="false">ROUNDUP(CL1595+MAX(CM1595,2*(J1595/IF(CH1595&gt;0,CH1595,MAX(0.1,N(Cockpit!$O$6)))-CL1595)),0)</f>
        <v>1</v>
      </c>
      <c r="BH1595" s="63" t="n">
        <f aca="false">IF(BD1595&gt;0,J1595/BD1595,-1)</f>
        <v>0</v>
      </c>
      <c r="BI1595" s="63" t="str">
        <f aca="false">IF(AND(OR(CG1595="L1",CG1595="L23",CG1595="LIFT"),BD1595&gt;0),SUMIFS($BD$7:$BD$1843,$CG$7:$CG$1843,CG1595,$BH$7:$BH$1843,"&gt;"&amp;BH1595)+SUMIFS($BD$7:$BD$1843,$CG$7:$CG$1843,CG1595,$BH$7:$BH$1843,BH1595,$BX$7:$BX$1843,"&lt;="&amp;BX1595),"")</f>
        <v/>
      </c>
      <c r="BJ1595" s="70" t="n">
        <f aca="false">IF(BI1595="",0,MAX(0,MIN(1,(IF(CG1595="L1",Parameter!$H$5,IF(CG1595="L23",Parameter!$H$6+Parameter!$H$7,Parameter!$H$5+Parameter!$H$6+Parameter!$H$7))-(BI1595-BD1595))/BD1595)))</f>
        <v>0</v>
      </c>
      <c r="BK1595" s="60" t="str">
        <f aca="false">IF(AJ1595&lt;=0,"",IF(CG1595="Aussen","Aussenlager",IF(CG1595="-","Nicht im Lift",IF(AP1595&gt;=1,"Lift",IF(AP1595&lt;=0,"Aussenlager","teilweise")))))</f>
        <v>Nicht im Lift</v>
      </c>
      <c r="BL1595" s="60" t="str">
        <f aca="false">IF(AT1595&lt;=0,"",IF(CG1595="Aussen","Aussenlager",IF(CG1595="-","Nicht im Lift",IF(AZ1595&gt;=1,"Lift",IF(AZ1595&lt;=0,"Aussenlager","teilweise")))))</f>
        <v>Nicht im Lift</v>
      </c>
      <c r="BM1595" s="60" t="str">
        <f aca="false">IF(BD1595&lt;=0,"",IF(CG1595="Aussen","Aussenlager",IF(CG1595="-","Nicht im Lift",IF(BJ1595&gt;=1,"Lift",IF(BJ1595&lt;=0,"Aussenlager","teilweise")))))</f>
        <v>Nicht im Lift</v>
      </c>
      <c r="BN1595" s="60" t="str">
        <f aca="false">IF(A1595="","",IF(BW1595=1,"Neu; ","")&amp;IF(AND(BW1595=0,BR1595&lt;0),"negativer Bestand (Export "&amp;BR1595&amp;"); ","")&amp;IF(J1595&lt;=0,"Kein Verbrauch; ","")&amp;IF(CR1595&gt;0,"Lift "&amp;W1595&amp;" lt. Liftbericht (Fach "&amp;X1595&amp;" Stk); ",IF(CB1595=1,"Gebinde geschätzt ("&amp;T1595&amp;"); ",IF(CA1595=1,"Lose – Tablare geschätzt; ","")))&amp;IF(H1595&gt;AW1595,"Überbestand "&amp;ROUND(H1595-AW1595,0)&amp;" Stk / CHF "&amp;ROUND((H1595-AW1595)*G1595,0)&amp;"; ","")&amp;IF(AND(CI1595=1,CJ1595&lt;CK1595),"MAX &lt; MB+LG; ","")&amp;IF(AND(CQ1595&gt;0,CP1595*10&gt;CQ1595),"zu hoch für Tablar; ","")&amp;IF(AND(BW1595=0,OR(CI1595=1,AB1595&lt;&gt;"",U1595&lt;&gt;"",V1595&lt;&gt;"",AC1595&lt;&gt;"")),"manuell übersteuert; ","")&amp;IF(AND(CA1595=0,R1595=0),"Gebinde unbekannt / Stellmass fehlt; ","")&amp;IF(AND(CA1595=0,N(V1595)&lt;=0,N(Q1595)&lt;=0),"Menge pro Gebinde fehlt (Ist = 1 Gebinde); ","")&amp;BV1595)</f>
        <v>Kein Verbrauch; Gebinde geschätzt (Mittel); Menge pro Gebinde fehlt (Ist = 1 Gebinde); nur im Artikelstamm (Bestand 23.06.2026)</v>
      </c>
      <c r="BO1595" s="60"/>
      <c r="BP1595" s="60"/>
      <c r="BQ1595" s="67"/>
      <c r="BR1595" s="62" t="n">
        <v>1</v>
      </c>
      <c r="BS1595" s="62" t="n">
        <v>0</v>
      </c>
      <c r="BT1595" s="61" t="n">
        <v>0</v>
      </c>
      <c r="BU1595" s="62" t="n">
        <v>0</v>
      </c>
      <c r="BV1595" s="60" t="s">
        <v>2617</v>
      </c>
      <c r="BW1595" s="65" t="n">
        <v>0</v>
      </c>
      <c r="BX1595" s="65" t="n">
        <v>1595</v>
      </c>
      <c r="BY1595" s="60" t="str">
        <f aca="false">IF(U1595&lt;&gt;"",UPPER(TRIM(U1595)),IF(CB1595=1,UPPER(VLOOKUP(T1595,Parameter!$I$27:$K$29,2,0)),IF(P1595="","LOSE",P1595)))</f>
        <v>S61</v>
      </c>
      <c r="BZ1595" s="62" t="n">
        <f aca="false">IF(BY1595="LOSE",1,IF(N(V1595)&gt;0,V1595,IF(CB1595=1,MAX(1,N(VLOOKUP(T1595,Parameter!$I$27:$K$29,3,0)),H1595,N(N1595)),IF(N(Q1595)&gt;0,Q1595,MAX(1,H1595)))))</f>
        <v>4</v>
      </c>
      <c r="CA1595" s="65" t="n">
        <f aca="false">IF(BY1595="LOSE",1,0)</f>
        <v>0</v>
      </c>
      <c r="CB1595" s="65" t="n">
        <f aca="false">IF(AND(U1595="",OR(P1595="",P1595="LOSE"),T1595&lt;&gt;"",N(S1595)&lt;=0,ISNUMBER(MATCH(T1595,Parameter!$I$27:$I$29,0))),1,0)</f>
        <v>1</v>
      </c>
      <c r="CC1595" s="65" t="n">
        <f aca="false">IF(CR1595&gt;0,INDEX(Parameter!$H$5:$H$7,W1595)/INDEX(Parameter!$E$5:$E$7,W1595),IF(AND(CA1595=0,N(IFERROR(VLOOKUP(BY1595,'Gebinde-Kategorie'!$A$5:$N$45,14,0),0))&gt;0),VLOOKUP(BY1595,'Gebinde-Kategorie'!$A$5:$N$45,14,0)*10+Parameter!$M$23,Parameter!$M$24))</f>
        <v>145</v>
      </c>
      <c r="CD1595" s="60" t="str">
        <f aca="false">IF(AND(Parameter!$B$19="Ja",E1595&lt;&gt;"",ISNUMBER(MATCH(E1595,Parameter!$I$35:$I$52,0))),VLOOKUP(E1595,Parameter!$I$35:$J$52,2,0),IFERROR(VLOOKUP(D1595,Parameter!$A$35:$C$64,2,0),"Nein"))</f>
        <v>Nein</v>
      </c>
      <c r="CE1595" s="64" t="n">
        <f aca="false">IF(CA1595=0,0,IF(N(S1595)&gt;0,S1595,IFERROR(VLOOKUP(D1595,Parameter!$A$35:$C$64,3,0)+0,0)))</f>
        <v>0</v>
      </c>
      <c r="CF1595" s="60" t="str">
        <f aca="false">IF(AB1595&lt;&gt;"",AB1595,AA1595)</f>
        <v>-</v>
      </c>
      <c r="CG1595" s="60" t="str">
        <f aca="false">IF(OR(CF1595=1,CF1595=2,CF1595=3),IF(Parameter!$E$27="Ja","LIFT",IF(CF1595=1,"L1","L23")),IF(CF1595="Aussen","Aussen","-"))</f>
        <v>-</v>
      </c>
      <c r="CH1595" s="71" t="n">
        <f aca="false">IF(N(AC1595)&gt;0,AC1595,0)</f>
        <v>0</v>
      </c>
      <c r="CI1595" s="65" t="n">
        <f aca="false">IF(ISNUMBER(AF1595),1,0)</f>
        <v>0</v>
      </c>
      <c r="CJ1595" s="62" t="n">
        <f aca="false">N(AF1595)</f>
        <v>0</v>
      </c>
      <c r="CK1595" s="62" t="n">
        <f aca="false">N(M1595)+N(N1595)</f>
        <v>1</v>
      </c>
      <c r="CL1595" s="62" t="n">
        <f aca="false">N(M1595)</f>
        <v>0</v>
      </c>
      <c r="CM1595" s="62" t="n">
        <f aca="false">N(N1595)</f>
        <v>1</v>
      </c>
      <c r="CN1595" s="62" t="n">
        <f aca="false">ROUNDUP(H1595/BZ1595,0)</f>
        <v>1</v>
      </c>
      <c r="CO1595" s="62" t="n">
        <f aca="false">ROUNDUP(CJ1595/BZ1595,0)</f>
        <v>0</v>
      </c>
      <c r="CP1595" s="65" t="n">
        <f aca="false">IF(CA1595=1,0,IFERROR(VLOOKUP(BY1595,'Gebinde-Kategorie'!$A$5:$N$45,5,0)+0,0))</f>
        <v>11</v>
      </c>
      <c r="CQ1595" s="65" t="n">
        <f aca="false">IFERROR(IF(OR(CF1595=1,CF1595=2,CF1595=3),N(INDEX(Parameter!$I$5:$I$7,CF1595)),0),0)</f>
        <v>0</v>
      </c>
      <c r="CR1595" s="64" t="n">
        <f aca="false">IF(AND(Parameter!$B$21="Ja",ISNUMBER(W1595),N(X1595)&gt;0),IFERROR(N(INDEX(Parameter!$L$5:$L$7,W1595))*INDEX(Parameter!$E$5:$E$7,W1595)*X1595/SUMIFS($X$7:$X$1843,$W$7:$W$1843,W1595),0),0)</f>
        <v>0</v>
      </c>
      <c r="CS1595" s="62" t="str">
        <f aca="false">IF(AND(OR(CG1595="L1",CG1595="L23",CG1595="LIFT"),H1595&gt;0),CC1595*IF(CR1595&gt;0,CR1595*MAX(1,H1595/X1595),IF(CA1595=1,CE1595,IF(R1595&gt;0,CN1595/R1595,0))/MAX(0.1,N(Parameter!$M$21))),"")</f>
        <v/>
      </c>
      <c r="CT1595" s="64" t="str">
        <f aca="false">IF(CS1595="","",J1595/H1595)</f>
        <v/>
      </c>
      <c r="CU1595" s="62" t="str">
        <f aca="false">IF(CS1595="","",H1595*G1595)</f>
        <v/>
      </c>
      <c r="CV1595" s="63" t="str">
        <f aca="false">IF(CS1595="","",(CL1595+ROUNDUP(CL1595+MAX(CM1595,2*(J1595/MAX(0.1,N(Einkauf!$C$6))-CL1595)),0))/2)</f>
        <v/>
      </c>
      <c r="CW1595" s="62" t="str">
        <f aca="false">IF(CS1595="","",MAX(0,H1595-CV1595)*G1595)</f>
        <v/>
      </c>
      <c r="CX1595" s="62" t="str">
        <f aca="false">IF(CS1595="","",CS1595*MAX(0,1-CV1595/H1595))</f>
        <v/>
      </c>
      <c r="CY1595" s="64" t="str">
        <f aca="false">IF(CS1595="","",PERCENTRANK($CS$7:$CS$1843,CS1595)+PERCENTRANK($CU$7:$CU$1843,CU1595)+1-PERCENTRANK($CT$7:$CT$1843,CT1595))</f>
        <v/>
      </c>
      <c r="CZ1595" s="72" t="str">
        <f aca="false">IF(CS1595="","",CHOOSE(MATCH(Einkauf!$C$5,Parameter!$G$23:$G$27,0),CY1595,CS1595,CU1595,-CT1595,CW1595)+ROW()/1000000000)</f>
        <v/>
      </c>
    </row>
    <row r="1596" customFormat="false" ht="15" hidden="false" customHeight="false" outlineLevel="0" collapsed="false">
      <c r="A1596" s="60" t="s">
        <v>2824</v>
      </c>
      <c r="B1596" s="60" t="s">
        <v>740</v>
      </c>
      <c r="C1596" s="60" t="s">
        <v>206</v>
      </c>
      <c r="D1596" s="60" t="s">
        <v>215</v>
      </c>
      <c r="E1596" s="60" t="s">
        <v>215</v>
      </c>
      <c r="F1596" s="60"/>
      <c r="G1596" s="61" t="n">
        <v>444.6</v>
      </c>
      <c r="H1596" s="62" t="n">
        <f aca="false">MAX(0,IF(AND(Parameter!$B$21="Ja",ISNUMBER(Y1596)),Y1596,IF(Parameter!$B$20="Jahresanfang 2025 + Export",BS1596+BR1596,BR1596)))</f>
        <v>1</v>
      </c>
      <c r="I1596" s="62" t="n">
        <f aca="false">H1596*G1596</f>
        <v>444.6</v>
      </c>
      <c r="J1596" s="62" t="n">
        <f aca="false">BU1596*Parameter!$B$18</f>
        <v>0</v>
      </c>
      <c r="K1596" s="63"/>
      <c r="L1596" s="64"/>
      <c r="M1596" s="62" t="n">
        <v>0</v>
      </c>
      <c r="N1596" s="62" t="n">
        <v>1</v>
      </c>
      <c r="O1596" s="65" t="n">
        <v>28</v>
      </c>
      <c r="P1596" s="60" t="s">
        <v>210</v>
      </c>
      <c r="Q1596" s="62"/>
      <c r="R1596" s="65" t="n">
        <f aca="false">IF(CA1596=1,0,IFERROR(VLOOKUP(BY1596,'Gebinde-Kategorie'!$A$5:$N$45,13,0)+0,0))</f>
        <v>12</v>
      </c>
      <c r="S1596" s="66"/>
      <c r="T1596" s="67" t="s">
        <v>221</v>
      </c>
      <c r="U1596" s="67"/>
      <c r="V1596" s="67"/>
      <c r="W1596" s="60"/>
      <c r="X1596" s="62"/>
      <c r="Y1596" s="62"/>
      <c r="Z1596" s="60"/>
      <c r="AA1596" s="60" t="str">
        <f aca="false">IF(A1596="","",IF(AND(Parameter!$B$21="Ja",ISNUMBER(W1596)),W1596,IF(AND(Parameter!$E$27="Ja",ISNUMBER(Z1596),CD1596&lt;&gt;"Nein"),Z1596,IF(CD1596="2+3",IF(ISNUMBER(SEARCH("grosser Artikel",BV1596)),2,IFERROR(VLOOKUP(BY1596,Parameter!$F$35:$G$64,2,0),2)),IF(OR(CD1596="Nein",CD1596=""),"-",CD1596)))))</f>
        <v>-</v>
      </c>
      <c r="AB1596" s="67"/>
      <c r="AC1596" s="68"/>
      <c r="AD1596" s="62" t="n">
        <f aca="false">AW1596</f>
        <v>1</v>
      </c>
      <c r="AE1596" s="62" t="n">
        <f aca="false">MAX(AW1596,H1596)</f>
        <v>1</v>
      </c>
      <c r="AF1596" s="69"/>
      <c r="AG1596" s="62" t="n">
        <f aca="false">IF(LEFT(Cockpit!$C$5,1)="A",H1596,IF(Parameter!$E$30="MAX-Bestand",IF(CI1596=1,CJ1596,IF(LEFT(Cockpit!$C$5,1)="B",AM1596,MAX(AM1596,H1596))),ROUNDUP(AK1596,0)))</f>
        <v>1</v>
      </c>
      <c r="AH1596" s="62" t="n">
        <f aca="false">IF(CA1596=1,0,ROUNDUP(AG1596/BZ1596,0))</f>
        <v>1</v>
      </c>
      <c r="AI1596" s="64" t="n">
        <f aca="false">IF(CR1596&gt;0,CR1596*MAX(1,AG1596/X1596),IF(CA1596=1,IF(AG1596&lt;=0,0,CE1596*MAX(1,IF(H1596&gt;0,AG1596/H1596,1))),IF(R1596&gt;0,AH1596/R1596,0))/MAX(0.1,N(Parameter!$M$21)))</f>
        <v>0.0833333333333333</v>
      </c>
      <c r="AJ1596" s="62" t="n">
        <f aca="false">AI1596*CC1596</f>
        <v>12.0833333333333</v>
      </c>
      <c r="AK1596" s="63" t="n">
        <f aca="false">IF(LEFT(Cockpit!$C$5,1)="A",H1596,IF(CI1596=1,(CL1596+CJ1596)/2,IF(LEFT(Cockpit!$C$5,1)="B",(CL1596+AM1596)/2,MAX((CL1596+AM1596)/2,H1596))))</f>
        <v>1</v>
      </c>
      <c r="AL1596" s="62" t="n">
        <f aca="false">AK1596*G1596</f>
        <v>444.6</v>
      </c>
      <c r="AM1596" s="62" t="n">
        <f aca="false">ROUNDUP(CL1596+MAX(CM1596,2*(J1596/IF(CH1596&gt;0,CH1596,MAX(0.1,N(Cockpit!$C$6)))-CL1596)),0)</f>
        <v>1</v>
      </c>
      <c r="AN1596" s="63" t="n">
        <f aca="false">IF(AJ1596&gt;0,J1596/AJ1596,-1)</f>
        <v>0</v>
      </c>
      <c r="AO1596" s="63" t="str">
        <f aca="false">IF(AND(OR(CG1596="L1",CG1596="L23",CG1596="LIFT"),AJ1596&gt;0),SUMIFS($AJ$7:$AJ$1843,$CG$7:$CG$1843,CG1596,$AN$7:$AN$1843,"&gt;"&amp;AN1596)+SUMIFS($AJ$7:$AJ$1843,$CG$7:$CG$1843,CG1596,$AN$7:$AN$1843,AN1596,$BX$7:$BX$1843,"&lt;="&amp;BX1596),"")</f>
        <v/>
      </c>
      <c r="AP1596" s="70" t="n">
        <f aca="false">IF(AO1596="",0,MAX(0,MIN(1,(IF(CG1596="L1",Parameter!$H$5,IF(CG1596="L23",Parameter!$H$6+Parameter!$H$7,Parameter!$H$5+Parameter!$H$6+Parameter!$H$7))-(AO1596-AJ1596))/AJ1596)))</f>
        <v>0</v>
      </c>
      <c r="AQ1596" s="62" t="n">
        <f aca="false">IF(LEFT(Cockpit!$I$5,1)="A",H1596,IF(Parameter!$E$30="MAX-Bestand",IF(CI1596=1,CJ1596,IF(LEFT(Cockpit!$I$5,1)="B",AW1596,MAX(AW1596,H1596))),ROUNDUP(AU1596,0)))</f>
        <v>1</v>
      </c>
      <c r="AR1596" s="62" t="n">
        <f aca="false">IF(CA1596=1,0,ROUNDUP(AQ1596/BZ1596,0))</f>
        <v>1</v>
      </c>
      <c r="AS1596" s="64" t="n">
        <f aca="false">IF(CR1596&gt;0,CR1596*MAX(1,AQ1596/X1596),IF(CA1596=1,IF(AQ1596&lt;=0,0,CE1596*MAX(1,IF(H1596&gt;0,AQ1596/H1596,1))),IF(R1596&gt;0,AR1596/R1596,0))/MAX(0.1,N(Parameter!$M$21)))</f>
        <v>0.0833333333333333</v>
      </c>
      <c r="AT1596" s="62" t="n">
        <f aca="false">AS1596*CC1596</f>
        <v>12.0833333333333</v>
      </c>
      <c r="AU1596" s="63" t="n">
        <f aca="false">IF(LEFT(Cockpit!$I$5,1)="A",H1596,IF(CI1596=1,(CL1596+CJ1596)/2,IF(LEFT(Cockpit!$I$5,1)="B",(CL1596+AW1596)/2,MAX((CL1596+AW1596)/2,H1596))))</f>
        <v>1</v>
      </c>
      <c r="AV1596" s="62" t="n">
        <f aca="false">AU1596*G1596</f>
        <v>444.6</v>
      </c>
      <c r="AW1596" s="62" t="n">
        <f aca="false">ROUNDUP(CL1596+MAX(CM1596,2*(J1596/IF(CH1596&gt;0,CH1596,MAX(0.1,N(Cockpit!$I$6)))-CL1596)),0)</f>
        <v>1</v>
      </c>
      <c r="AX1596" s="63" t="n">
        <f aca="false">IF(AT1596&gt;0,J1596/AT1596,-1)</f>
        <v>0</v>
      </c>
      <c r="AY1596" s="63" t="str">
        <f aca="false">IF(AND(OR(CG1596="L1",CG1596="L23",CG1596="LIFT"),AT1596&gt;0),SUMIFS($AT$7:$AT$1843,$CG$7:$CG$1843,CG1596,$AX$7:$AX$1843,"&gt;"&amp;AX1596)+SUMIFS($AT$7:$AT$1843,$CG$7:$CG$1843,CG1596,$AX$7:$AX$1843,AX1596,$BX$7:$BX$1843,"&lt;="&amp;BX1596),"")</f>
        <v/>
      </c>
      <c r="AZ1596" s="70" t="n">
        <f aca="false">IF(AY1596="",0,MAX(0,MIN(1,(IF(CG1596="L1",Parameter!$H$5,IF(CG1596="L23",Parameter!$H$6+Parameter!$H$7,Parameter!$H$5+Parameter!$H$6+Parameter!$H$7))-(AY1596-AT1596))/AT1596)))</f>
        <v>0</v>
      </c>
      <c r="BA1596" s="62" t="n">
        <f aca="false">IF(LEFT(Cockpit!$O$5,1)="A",H1596,IF(Parameter!$E$30="MAX-Bestand",IF(CI1596=1,CJ1596,IF(LEFT(Cockpit!$O$5,1)="B",BG1596,MAX(BG1596,H1596))),ROUNDUP(BE1596,0)))</f>
        <v>1</v>
      </c>
      <c r="BB1596" s="62" t="n">
        <f aca="false">IF(CA1596=1,0,ROUNDUP(BA1596/BZ1596,0))</f>
        <v>1</v>
      </c>
      <c r="BC1596" s="64" t="n">
        <f aca="false">IF(CR1596&gt;0,CR1596*MAX(1,BA1596/X1596),IF(CA1596=1,IF(BA1596&lt;=0,0,CE1596*MAX(1,IF(H1596&gt;0,BA1596/H1596,1))),IF(R1596&gt;0,BB1596/R1596,0))/MAX(0.1,N(Parameter!$M$21)))</f>
        <v>0.0833333333333333</v>
      </c>
      <c r="BD1596" s="62" t="n">
        <f aca="false">BC1596*CC1596</f>
        <v>12.0833333333333</v>
      </c>
      <c r="BE1596" s="63" t="n">
        <f aca="false">IF(LEFT(Cockpit!$O$5,1)="A",H1596,IF(CI1596=1,(CL1596+CJ1596)/2,IF(LEFT(Cockpit!$O$5,1)="B",(CL1596+BG1596)/2,MAX((CL1596+BG1596)/2,H1596))))</f>
        <v>0.5</v>
      </c>
      <c r="BF1596" s="62" t="n">
        <f aca="false">BE1596*G1596</f>
        <v>222.3</v>
      </c>
      <c r="BG1596" s="62" t="n">
        <f aca="false">ROUNDUP(CL1596+MAX(CM1596,2*(J1596/IF(CH1596&gt;0,CH1596,MAX(0.1,N(Cockpit!$O$6)))-CL1596)),0)</f>
        <v>1</v>
      </c>
      <c r="BH1596" s="63" t="n">
        <f aca="false">IF(BD1596&gt;0,J1596/BD1596,-1)</f>
        <v>0</v>
      </c>
      <c r="BI1596" s="63" t="str">
        <f aca="false">IF(AND(OR(CG1596="L1",CG1596="L23",CG1596="LIFT"),BD1596&gt;0),SUMIFS($BD$7:$BD$1843,$CG$7:$CG$1843,CG1596,$BH$7:$BH$1843,"&gt;"&amp;BH1596)+SUMIFS($BD$7:$BD$1843,$CG$7:$CG$1843,CG1596,$BH$7:$BH$1843,BH1596,$BX$7:$BX$1843,"&lt;="&amp;BX1596),"")</f>
        <v/>
      </c>
      <c r="BJ1596" s="70" t="n">
        <f aca="false">IF(BI1596="",0,MAX(0,MIN(1,(IF(CG1596="L1",Parameter!$H$5,IF(CG1596="L23",Parameter!$H$6+Parameter!$H$7,Parameter!$H$5+Parameter!$H$6+Parameter!$H$7))-(BI1596-BD1596))/BD1596)))</f>
        <v>0</v>
      </c>
      <c r="BK1596" s="60" t="str">
        <f aca="false">IF(AJ1596&lt;=0,"",IF(CG1596="Aussen","Aussenlager",IF(CG1596="-","Nicht im Lift",IF(AP1596&gt;=1,"Lift",IF(AP1596&lt;=0,"Aussenlager","teilweise")))))</f>
        <v>Nicht im Lift</v>
      </c>
      <c r="BL1596" s="60" t="str">
        <f aca="false">IF(AT1596&lt;=0,"",IF(CG1596="Aussen","Aussenlager",IF(CG1596="-","Nicht im Lift",IF(AZ1596&gt;=1,"Lift",IF(AZ1596&lt;=0,"Aussenlager","teilweise")))))</f>
        <v>Nicht im Lift</v>
      </c>
      <c r="BM1596" s="60" t="str">
        <f aca="false">IF(BD1596&lt;=0,"",IF(CG1596="Aussen","Aussenlager",IF(CG1596="-","Nicht im Lift",IF(BJ1596&gt;=1,"Lift",IF(BJ1596&lt;=0,"Aussenlager","teilweise")))))</f>
        <v>Nicht im Lift</v>
      </c>
      <c r="BN1596" s="60" t="str">
        <f aca="false">IF(A1596="","",IF(BW1596=1,"Neu; ","")&amp;IF(AND(BW1596=0,BR1596&lt;0),"negativer Bestand (Export "&amp;BR1596&amp;"); ","")&amp;IF(J1596&lt;=0,"Kein Verbrauch; ","")&amp;IF(CR1596&gt;0,"Lift "&amp;W1596&amp;" lt. Liftbericht (Fach "&amp;X1596&amp;" Stk); ",IF(CB1596=1,"Gebinde geschätzt ("&amp;T1596&amp;"); ",IF(CA1596=1,"Lose – Tablare geschätzt; ","")))&amp;IF(H1596&gt;AW1596,"Überbestand "&amp;ROUND(H1596-AW1596,0)&amp;" Stk / CHF "&amp;ROUND((H1596-AW1596)*G1596,0)&amp;"; ","")&amp;IF(AND(CI1596=1,CJ1596&lt;CK1596),"MAX &lt; MB+LG; ","")&amp;IF(AND(CQ1596&gt;0,CP1596*10&gt;CQ1596),"zu hoch für Tablar; ","")&amp;IF(AND(BW1596=0,OR(CI1596=1,AB1596&lt;&gt;"",U1596&lt;&gt;"",V1596&lt;&gt;"",AC1596&lt;&gt;"")),"manuell übersteuert; ","")&amp;IF(AND(CA1596=0,R1596=0),"Gebinde unbekannt / Stellmass fehlt; ","")&amp;IF(AND(CA1596=0,N(V1596)&lt;=0,N(Q1596)&lt;=0),"Menge pro Gebinde fehlt (Ist = 1 Gebinde); ","")&amp;BV1596)</f>
        <v>Kein Verbrauch; Gebinde geschätzt (Mittel); Menge pro Gebinde fehlt (Ist = 1 Gebinde); nur im Artikelstamm (Bestand 23.06.2026)</v>
      </c>
      <c r="BO1596" s="60"/>
      <c r="BP1596" s="60"/>
      <c r="BQ1596" s="67"/>
      <c r="BR1596" s="62" t="n">
        <v>1</v>
      </c>
      <c r="BS1596" s="62" t="n">
        <v>0</v>
      </c>
      <c r="BT1596" s="61" t="n">
        <v>0</v>
      </c>
      <c r="BU1596" s="62" t="n">
        <v>0</v>
      </c>
      <c r="BV1596" s="60" t="s">
        <v>2617</v>
      </c>
      <c r="BW1596" s="65" t="n">
        <v>0</v>
      </c>
      <c r="BX1596" s="65" t="n">
        <v>1596</v>
      </c>
      <c r="BY1596" s="60" t="str">
        <f aca="false">IF(U1596&lt;&gt;"",UPPER(TRIM(U1596)),IF(CB1596=1,UPPER(VLOOKUP(T1596,Parameter!$I$27:$K$29,2,0)),IF(P1596="","LOSE",P1596)))</f>
        <v>S61</v>
      </c>
      <c r="BZ1596" s="62" t="n">
        <f aca="false">IF(BY1596="LOSE",1,IF(N(V1596)&gt;0,V1596,IF(CB1596=1,MAX(1,N(VLOOKUP(T1596,Parameter!$I$27:$K$29,3,0)),H1596,N(N1596)),IF(N(Q1596)&gt;0,Q1596,MAX(1,H1596)))))</f>
        <v>4</v>
      </c>
      <c r="CA1596" s="65" t="n">
        <f aca="false">IF(BY1596="LOSE",1,0)</f>
        <v>0</v>
      </c>
      <c r="CB1596" s="65" t="n">
        <f aca="false">IF(AND(U1596="",OR(P1596="",P1596="LOSE"),T1596&lt;&gt;"",N(S1596)&lt;=0,ISNUMBER(MATCH(T1596,Parameter!$I$27:$I$29,0))),1,0)</f>
        <v>1</v>
      </c>
      <c r="CC1596" s="65" t="n">
        <f aca="false">IF(CR1596&gt;0,INDEX(Parameter!$H$5:$H$7,W1596)/INDEX(Parameter!$E$5:$E$7,W1596),IF(AND(CA1596=0,N(IFERROR(VLOOKUP(BY1596,'Gebinde-Kategorie'!$A$5:$N$45,14,0),0))&gt;0),VLOOKUP(BY1596,'Gebinde-Kategorie'!$A$5:$N$45,14,0)*10+Parameter!$M$23,Parameter!$M$24))</f>
        <v>145</v>
      </c>
      <c r="CD1596" s="60" t="str">
        <f aca="false">IF(AND(Parameter!$B$19="Ja",E1596&lt;&gt;"",ISNUMBER(MATCH(E1596,Parameter!$I$35:$I$52,0))),VLOOKUP(E1596,Parameter!$I$35:$J$52,2,0),IFERROR(VLOOKUP(D1596,Parameter!$A$35:$C$64,2,0),"Nein"))</f>
        <v>Nein</v>
      </c>
      <c r="CE1596" s="64" t="n">
        <f aca="false">IF(CA1596=0,0,IF(N(S1596)&gt;0,S1596,IFERROR(VLOOKUP(D1596,Parameter!$A$35:$C$64,3,0)+0,0)))</f>
        <v>0</v>
      </c>
      <c r="CF1596" s="60" t="str">
        <f aca="false">IF(AB1596&lt;&gt;"",AB1596,AA1596)</f>
        <v>-</v>
      </c>
      <c r="CG1596" s="60" t="str">
        <f aca="false">IF(OR(CF1596=1,CF1596=2,CF1596=3),IF(Parameter!$E$27="Ja","LIFT",IF(CF1596=1,"L1","L23")),IF(CF1596="Aussen","Aussen","-"))</f>
        <v>-</v>
      </c>
      <c r="CH1596" s="71" t="n">
        <f aca="false">IF(N(AC1596)&gt;0,AC1596,0)</f>
        <v>0</v>
      </c>
      <c r="CI1596" s="65" t="n">
        <f aca="false">IF(ISNUMBER(AF1596),1,0)</f>
        <v>0</v>
      </c>
      <c r="CJ1596" s="62" t="n">
        <f aca="false">N(AF1596)</f>
        <v>0</v>
      </c>
      <c r="CK1596" s="62" t="n">
        <f aca="false">N(M1596)+N(N1596)</f>
        <v>1</v>
      </c>
      <c r="CL1596" s="62" t="n">
        <f aca="false">N(M1596)</f>
        <v>0</v>
      </c>
      <c r="CM1596" s="62" t="n">
        <f aca="false">N(N1596)</f>
        <v>1</v>
      </c>
      <c r="CN1596" s="62" t="n">
        <f aca="false">ROUNDUP(H1596/BZ1596,0)</f>
        <v>1</v>
      </c>
      <c r="CO1596" s="62" t="n">
        <f aca="false">ROUNDUP(CJ1596/BZ1596,0)</f>
        <v>0</v>
      </c>
      <c r="CP1596" s="65" t="n">
        <f aca="false">IF(CA1596=1,0,IFERROR(VLOOKUP(BY1596,'Gebinde-Kategorie'!$A$5:$N$45,5,0)+0,0))</f>
        <v>11</v>
      </c>
      <c r="CQ1596" s="65" t="n">
        <f aca="false">IFERROR(IF(OR(CF1596=1,CF1596=2,CF1596=3),N(INDEX(Parameter!$I$5:$I$7,CF1596)),0),0)</f>
        <v>0</v>
      </c>
      <c r="CR1596" s="64" t="n">
        <f aca="false">IF(AND(Parameter!$B$21="Ja",ISNUMBER(W1596),N(X1596)&gt;0),IFERROR(N(INDEX(Parameter!$L$5:$L$7,W1596))*INDEX(Parameter!$E$5:$E$7,W1596)*X1596/SUMIFS($X$7:$X$1843,$W$7:$W$1843,W1596),0),0)</f>
        <v>0</v>
      </c>
      <c r="CS1596" s="62" t="str">
        <f aca="false">IF(AND(OR(CG1596="L1",CG1596="L23",CG1596="LIFT"),H1596&gt;0),CC1596*IF(CR1596&gt;0,CR1596*MAX(1,H1596/X1596),IF(CA1596=1,CE1596,IF(R1596&gt;0,CN1596/R1596,0))/MAX(0.1,N(Parameter!$M$21))),"")</f>
        <v/>
      </c>
      <c r="CT1596" s="64" t="str">
        <f aca="false">IF(CS1596="","",J1596/H1596)</f>
        <v/>
      </c>
      <c r="CU1596" s="62" t="str">
        <f aca="false">IF(CS1596="","",H1596*G1596)</f>
        <v/>
      </c>
      <c r="CV1596" s="63" t="str">
        <f aca="false">IF(CS1596="","",(CL1596+ROUNDUP(CL1596+MAX(CM1596,2*(J1596/MAX(0.1,N(Einkauf!$C$6))-CL1596)),0))/2)</f>
        <v/>
      </c>
      <c r="CW1596" s="62" t="str">
        <f aca="false">IF(CS1596="","",MAX(0,H1596-CV1596)*G1596)</f>
        <v/>
      </c>
      <c r="CX1596" s="62" t="str">
        <f aca="false">IF(CS1596="","",CS1596*MAX(0,1-CV1596/H1596))</f>
        <v/>
      </c>
      <c r="CY1596" s="64" t="str">
        <f aca="false">IF(CS1596="","",PERCENTRANK($CS$7:$CS$1843,CS1596)+PERCENTRANK($CU$7:$CU$1843,CU1596)+1-PERCENTRANK($CT$7:$CT$1843,CT1596))</f>
        <v/>
      </c>
      <c r="CZ1596" s="72" t="str">
        <f aca="false">IF(CS1596="","",CHOOSE(MATCH(Einkauf!$C$5,Parameter!$G$23:$G$27,0),CY1596,CS1596,CU1596,-CT1596,CW1596)+ROW()/1000000000)</f>
        <v/>
      </c>
    </row>
    <row r="1597" customFormat="false" ht="15" hidden="false" customHeight="false" outlineLevel="0" collapsed="false">
      <c r="A1597" s="60" t="s">
        <v>2825</v>
      </c>
      <c r="B1597" s="60" t="s">
        <v>2826</v>
      </c>
      <c r="C1597" s="60" t="s">
        <v>206</v>
      </c>
      <c r="D1597" s="60" t="s">
        <v>226</v>
      </c>
      <c r="E1597" s="60"/>
      <c r="F1597" s="60"/>
      <c r="G1597" s="61" t="n">
        <v>356.24</v>
      </c>
      <c r="H1597" s="62" t="n">
        <f aca="false">MAX(0,IF(AND(Parameter!$B$21="Ja",ISNUMBER(Y1597)),Y1597,IF(Parameter!$B$20="Jahresanfang 2025 + Export",BS1597+BR1597,BR1597)))</f>
        <v>2</v>
      </c>
      <c r="I1597" s="62" t="n">
        <f aca="false">H1597*G1597</f>
        <v>712.48</v>
      </c>
      <c r="J1597" s="62" t="n">
        <f aca="false">BU1597*Parameter!$B$18</f>
        <v>0</v>
      </c>
      <c r="K1597" s="63"/>
      <c r="L1597" s="64"/>
      <c r="M1597" s="62" t="n">
        <v>0</v>
      </c>
      <c r="N1597" s="62" t="n">
        <v>1</v>
      </c>
      <c r="O1597" s="65" t="n">
        <v>35</v>
      </c>
      <c r="P1597" s="60" t="s">
        <v>210</v>
      </c>
      <c r="Q1597" s="62"/>
      <c r="R1597" s="65" t="n">
        <f aca="false">IF(CA1597=1,0,IFERROR(VLOOKUP(BY1597,'Gebinde-Kategorie'!$A$5:$N$45,13,0)+0,0))</f>
        <v>26</v>
      </c>
      <c r="S1597" s="66"/>
      <c r="T1597" s="67" t="s">
        <v>317</v>
      </c>
      <c r="U1597" s="67"/>
      <c r="V1597" s="67"/>
      <c r="W1597" s="60"/>
      <c r="X1597" s="62"/>
      <c r="Y1597" s="62"/>
      <c r="Z1597" s="60" t="n">
        <v>3</v>
      </c>
      <c r="AA1597" s="60" t="n">
        <f aca="false">IF(A1597="","",IF(AND(Parameter!$B$21="Ja",ISNUMBER(W1597)),W1597,IF(AND(Parameter!$E$27="Ja",ISNUMBER(Z1597),CD1597&lt;&gt;"Nein"),Z1597,IF(CD1597="2+3",IF(ISNUMBER(SEARCH("grosser Artikel",BV1597)),2,IFERROR(VLOOKUP(BY1597,Parameter!$F$35:$G$64,2,0),2)),IF(OR(CD1597="Nein",CD1597=""),"-",CD1597)))))</f>
        <v>3</v>
      </c>
      <c r="AB1597" s="67"/>
      <c r="AC1597" s="68"/>
      <c r="AD1597" s="62" t="n">
        <f aca="false">AW1597</f>
        <v>1</v>
      </c>
      <c r="AE1597" s="62" t="n">
        <f aca="false">MAX(AW1597,H1597)</f>
        <v>2</v>
      </c>
      <c r="AF1597" s="69"/>
      <c r="AG1597" s="62" t="n">
        <f aca="false">IF(LEFT(Cockpit!$C$5,1)="A",H1597,IF(Parameter!$E$30="MAX-Bestand",IF(CI1597=1,CJ1597,IF(LEFT(Cockpit!$C$5,1)="B",AM1597,MAX(AM1597,H1597))),ROUNDUP(AK1597,0)))</f>
        <v>2</v>
      </c>
      <c r="AH1597" s="62" t="n">
        <f aca="false">IF(CA1597=1,0,ROUNDUP(AG1597/BZ1597,0))</f>
        <v>1</v>
      </c>
      <c r="AI1597" s="64" t="n">
        <f aca="false">IF(CR1597&gt;0,CR1597*MAX(1,AG1597/X1597),IF(CA1597=1,IF(AG1597&lt;=0,0,CE1597*MAX(1,IF(H1597&gt;0,AG1597/H1597,1))),IF(R1597&gt;0,AH1597/R1597,0))/MAX(0.1,N(Parameter!$M$21)))</f>
        <v>0.0384615384615385</v>
      </c>
      <c r="AJ1597" s="62" t="n">
        <f aca="false">AI1597*CC1597</f>
        <v>5.96153846153846</v>
      </c>
      <c r="AK1597" s="63" t="n">
        <f aca="false">IF(LEFT(Cockpit!$C$5,1)="A",H1597,IF(CI1597=1,(CL1597+CJ1597)/2,IF(LEFT(Cockpit!$C$5,1)="B",(CL1597+AM1597)/2,MAX((CL1597+AM1597)/2,H1597))))</f>
        <v>2</v>
      </c>
      <c r="AL1597" s="62" t="n">
        <f aca="false">AK1597*G1597</f>
        <v>712.48</v>
      </c>
      <c r="AM1597" s="62" t="n">
        <f aca="false">ROUNDUP(CL1597+MAX(CM1597,2*(J1597/IF(CH1597&gt;0,CH1597,MAX(0.1,N(Cockpit!$C$6)))-CL1597)),0)</f>
        <v>1</v>
      </c>
      <c r="AN1597" s="63" t="n">
        <f aca="false">IF(AJ1597&gt;0,J1597/AJ1597,-1)</f>
        <v>0</v>
      </c>
      <c r="AO1597" s="63" t="n">
        <f aca="false">IF(AND(OR(CG1597="L1",CG1597="L23",CG1597="LIFT"),AJ1597&gt;0),SUMIFS($AJ$7:$AJ$1843,$CG$7:$CG$1843,CG1597,$AN$7:$AN$1843,"&gt;"&amp;AN1597)+SUMIFS($AJ$7:$AJ$1843,$CG$7:$CG$1843,CG1597,$AN$7:$AN$1843,AN1597,$BX$7:$BX$1843,"&lt;="&amp;BX1597),"")</f>
        <v>30627.9572158068</v>
      </c>
      <c r="AP1597" s="70" t="n">
        <f aca="false">IF(AO1597="",0,MAX(0,MIN(1,(IF(CG1597="L1",Parameter!$H$5,IF(CG1597="L23",Parameter!$H$6+Parameter!$H$7,Parameter!$H$5+Parameter!$H$6+Parameter!$H$7))-(AO1597-AJ1597))/AJ1597)))</f>
        <v>1</v>
      </c>
      <c r="AQ1597" s="62" t="n">
        <f aca="false">IF(LEFT(Cockpit!$I$5,1)="A",H1597,IF(Parameter!$E$30="MAX-Bestand",IF(CI1597=1,CJ1597,IF(LEFT(Cockpit!$I$5,1)="B",AW1597,MAX(AW1597,H1597))),ROUNDUP(AU1597,0)))</f>
        <v>2</v>
      </c>
      <c r="AR1597" s="62" t="n">
        <f aca="false">IF(CA1597=1,0,ROUNDUP(AQ1597/BZ1597,0))</f>
        <v>1</v>
      </c>
      <c r="AS1597" s="64" t="n">
        <f aca="false">IF(CR1597&gt;0,CR1597*MAX(1,AQ1597/X1597),IF(CA1597=1,IF(AQ1597&lt;=0,0,CE1597*MAX(1,IF(H1597&gt;0,AQ1597/H1597,1))),IF(R1597&gt;0,AR1597/R1597,0))/MAX(0.1,N(Parameter!$M$21)))</f>
        <v>0.0384615384615385</v>
      </c>
      <c r="AT1597" s="62" t="n">
        <f aca="false">AS1597*CC1597</f>
        <v>5.96153846153846</v>
      </c>
      <c r="AU1597" s="63" t="n">
        <f aca="false">IF(LEFT(Cockpit!$I$5,1)="A",H1597,IF(CI1597=1,(CL1597+CJ1597)/2,IF(LEFT(Cockpit!$I$5,1)="B",(CL1597+AW1597)/2,MAX((CL1597+AW1597)/2,H1597))))</f>
        <v>2</v>
      </c>
      <c r="AV1597" s="62" t="n">
        <f aca="false">AU1597*G1597</f>
        <v>712.48</v>
      </c>
      <c r="AW1597" s="62" t="n">
        <f aca="false">ROUNDUP(CL1597+MAX(CM1597,2*(J1597/IF(CH1597&gt;0,CH1597,MAX(0.1,N(Cockpit!$I$6)))-CL1597)),0)</f>
        <v>1</v>
      </c>
      <c r="AX1597" s="63" t="n">
        <f aca="false">IF(AT1597&gt;0,J1597/AT1597,-1)</f>
        <v>0</v>
      </c>
      <c r="AY1597" s="63" t="n">
        <f aca="false">IF(AND(OR(CG1597="L1",CG1597="L23",CG1597="LIFT"),AT1597&gt;0),SUMIFS($AT$7:$AT$1843,$CG$7:$CG$1843,CG1597,$AX$7:$AX$1843,"&gt;"&amp;AX1597)+SUMIFS($AT$7:$AT$1843,$CG$7:$CG$1843,CG1597,$AX$7:$AX$1843,AX1597,$BX$7:$BX$1843,"&lt;="&amp;BX1597),"")</f>
        <v>36947.8137326421</v>
      </c>
      <c r="AZ1597" s="70" t="n">
        <f aca="false">IF(AY1597="",0,MAX(0,MIN(1,(IF(CG1597="L1",Parameter!$H$5,IF(CG1597="L23",Parameter!$H$6+Parameter!$H$7,Parameter!$H$5+Parameter!$H$6+Parameter!$H$7))-(AY1597-AT1597))/AT1597)))</f>
        <v>0</v>
      </c>
      <c r="BA1597" s="62" t="n">
        <f aca="false">IF(LEFT(Cockpit!$O$5,1)="A",H1597,IF(Parameter!$E$30="MAX-Bestand",IF(CI1597=1,CJ1597,IF(LEFT(Cockpit!$O$5,1)="B",BG1597,MAX(BG1597,H1597))),ROUNDUP(BE1597,0)))</f>
        <v>1</v>
      </c>
      <c r="BB1597" s="62" t="n">
        <f aca="false">IF(CA1597=1,0,ROUNDUP(BA1597/BZ1597,0))</f>
        <v>1</v>
      </c>
      <c r="BC1597" s="64" t="n">
        <f aca="false">IF(CR1597&gt;0,CR1597*MAX(1,BA1597/X1597),IF(CA1597=1,IF(BA1597&lt;=0,0,CE1597*MAX(1,IF(H1597&gt;0,BA1597/H1597,1))),IF(R1597&gt;0,BB1597/R1597,0))/MAX(0.1,N(Parameter!$M$21)))</f>
        <v>0.0384615384615385</v>
      </c>
      <c r="BD1597" s="62" t="n">
        <f aca="false">BC1597*CC1597</f>
        <v>5.96153846153846</v>
      </c>
      <c r="BE1597" s="63" t="n">
        <f aca="false">IF(LEFT(Cockpit!$O$5,1)="A",H1597,IF(CI1597=1,(CL1597+CJ1597)/2,IF(LEFT(Cockpit!$O$5,1)="B",(CL1597+BG1597)/2,MAX((CL1597+BG1597)/2,H1597))))</f>
        <v>0.5</v>
      </c>
      <c r="BF1597" s="62" t="n">
        <f aca="false">BE1597*G1597</f>
        <v>178.12</v>
      </c>
      <c r="BG1597" s="62" t="n">
        <f aca="false">ROUNDUP(CL1597+MAX(CM1597,2*(J1597/IF(CH1597&gt;0,CH1597,MAX(0.1,N(Cockpit!$O$6)))-CL1597)),0)</f>
        <v>1</v>
      </c>
      <c r="BH1597" s="63" t="n">
        <f aca="false">IF(BD1597&gt;0,J1597/BD1597,-1)</f>
        <v>0</v>
      </c>
      <c r="BI1597" s="63" t="n">
        <f aca="false">IF(AND(OR(CG1597="L1",CG1597="L23",CG1597="LIFT"),BD1597&gt;0),SUMIFS($BD$7:$BD$1843,$CG$7:$CG$1843,CG1597,$BH$7:$BH$1843,"&gt;"&amp;BH1597)+SUMIFS($BD$7:$BD$1843,$CG$7:$CG$1843,CG1597,$BH$7:$BH$1843,BH1597,$BX$7:$BX$1843,"&lt;="&amp;BX1597),"")</f>
        <v>30857.2550081745</v>
      </c>
      <c r="BJ1597" s="70" t="n">
        <f aca="false">IF(BI1597="",0,MAX(0,MIN(1,(IF(CG1597="L1",Parameter!$H$5,IF(CG1597="L23",Parameter!$H$6+Parameter!$H$7,Parameter!$H$5+Parameter!$H$6+Parameter!$H$7))-(BI1597-BD1597))/BD1597)))</f>
        <v>1</v>
      </c>
      <c r="BK1597" s="60" t="str">
        <f aca="false">IF(AJ1597&lt;=0,"",IF(CG1597="Aussen","Aussenlager",IF(CG1597="-","Nicht im Lift",IF(AP1597&gt;=1,"Lift",IF(AP1597&lt;=0,"Aussenlager","teilweise")))))</f>
        <v>Lift</v>
      </c>
      <c r="BL1597" s="60" t="str">
        <f aca="false">IF(AT1597&lt;=0,"",IF(CG1597="Aussen","Aussenlager",IF(CG1597="-","Nicht im Lift",IF(AZ1597&gt;=1,"Lift",IF(AZ1597&lt;=0,"Aussenlager","teilweise")))))</f>
        <v>Aussenlager</v>
      </c>
      <c r="BM1597" s="60" t="str">
        <f aca="false">IF(BD1597&lt;=0,"",IF(CG1597="Aussen","Aussenlager",IF(CG1597="-","Nicht im Lift",IF(BJ1597&gt;=1,"Lift",IF(BJ1597&lt;=0,"Aussenlager","teilweise")))))</f>
        <v>Lift</v>
      </c>
      <c r="BN1597" s="60" t="str">
        <f aca="false">IF(A1597="","",IF(BW1597=1,"Neu; ","")&amp;IF(AND(BW1597=0,BR1597&lt;0),"negativer Bestand (Export "&amp;BR1597&amp;"); ","")&amp;IF(J1597&lt;=0,"Kein Verbrauch; ","")&amp;IF(CR1597&gt;0,"Lift "&amp;W1597&amp;" lt. Liftbericht (Fach "&amp;X1597&amp;" Stk); ",IF(CB1597=1,"Gebinde geschätzt ("&amp;T1597&amp;"); ",IF(CA1597=1,"Lose – Tablare geschätzt; ","")))&amp;IF(H1597&gt;AW1597,"Überbestand "&amp;ROUND(H1597-AW1597,0)&amp;" Stk / CHF "&amp;ROUND((H1597-AW1597)*G1597,0)&amp;"; ","")&amp;IF(AND(CI1597=1,CJ1597&lt;CK1597),"MAX &lt; MB+LG; ","")&amp;IF(AND(CQ1597&gt;0,CP1597*10&gt;CQ1597),"zu hoch für Tablar; ","")&amp;IF(AND(BW1597=0,OR(CI1597=1,AB1597&lt;&gt;"",U1597&lt;&gt;"",V1597&lt;&gt;"",AC1597&lt;&gt;"")),"manuell übersteuert; ","")&amp;IF(AND(CA1597=0,R1597=0),"Gebinde unbekannt / Stellmass fehlt; ","")&amp;IF(AND(CA1597=0,N(V1597)&lt;=0,N(Q1597)&lt;=0),"Menge pro Gebinde fehlt (Ist = 1 Gebinde); ","")&amp;BV1597)</f>
        <v>Kein Verbrauch; Gebinde geschätzt (Klein); Überbestand 1 Stk / CHF 356; Menge pro Gebinde fehlt (Ist = 1 Gebinde); nur im Artikelstamm (Bestand 23.06.2026)</v>
      </c>
      <c r="BO1597" s="60"/>
      <c r="BP1597" s="60"/>
      <c r="BQ1597" s="67"/>
      <c r="BR1597" s="62" t="n">
        <v>2</v>
      </c>
      <c r="BS1597" s="62" t="n">
        <v>0</v>
      </c>
      <c r="BT1597" s="61" t="n">
        <v>0</v>
      </c>
      <c r="BU1597" s="62" t="n">
        <v>0</v>
      </c>
      <c r="BV1597" s="60" t="s">
        <v>2617</v>
      </c>
      <c r="BW1597" s="65" t="n">
        <v>0</v>
      </c>
      <c r="BX1597" s="65" t="n">
        <v>1597</v>
      </c>
      <c r="BY1597" s="60" t="str">
        <f aca="false">IF(U1597&lt;&gt;"",UPPER(TRIM(U1597)),IF(CB1597=1,UPPER(VLOOKUP(T1597,Parameter!$I$27:$K$29,2,0)),IF(P1597="","LOSE",P1597)))</f>
        <v>S51</v>
      </c>
      <c r="BZ1597" s="62" t="n">
        <f aca="false">IF(BY1597="LOSE",1,IF(N(V1597)&gt;0,V1597,IF(CB1597=1,MAX(1,N(VLOOKUP(T1597,Parameter!$I$27:$K$29,3,0)),H1597,N(N1597)),IF(N(Q1597)&gt;0,Q1597,MAX(1,H1597)))))</f>
        <v>20</v>
      </c>
      <c r="CA1597" s="65" t="n">
        <f aca="false">IF(BY1597="LOSE",1,0)</f>
        <v>0</v>
      </c>
      <c r="CB1597" s="65" t="n">
        <f aca="false">IF(AND(U1597="",OR(P1597="",P1597="LOSE"),T1597&lt;&gt;"",N(S1597)&lt;=0,ISNUMBER(MATCH(T1597,Parameter!$I$27:$I$29,0))),1,0)</f>
        <v>1</v>
      </c>
      <c r="CC1597" s="65" t="n">
        <f aca="false">IF(CR1597&gt;0,INDEX(Parameter!$H$5:$H$7,W1597)/INDEX(Parameter!$E$5:$E$7,W1597),IF(AND(CA1597=0,N(IFERROR(VLOOKUP(BY1597,'Gebinde-Kategorie'!$A$5:$N$45,14,0),0))&gt;0),VLOOKUP(BY1597,'Gebinde-Kategorie'!$A$5:$N$45,14,0)*10+Parameter!$M$23,Parameter!$M$24))</f>
        <v>155</v>
      </c>
      <c r="CD1597" s="60" t="str">
        <f aca="false">IF(AND(Parameter!$B$19="Ja",E1597&lt;&gt;"",ISNUMBER(MATCH(E1597,Parameter!$I$35:$I$52,0))),VLOOKUP(E1597,Parameter!$I$35:$J$52,2,0),IFERROR(VLOOKUP(D1597,Parameter!$A$35:$C$64,2,0),"Nein"))</f>
        <v>2+3</v>
      </c>
      <c r="CE1597" s="64" t="n">
        <f aca="false">IF(CA1597=0,0,IF(N(S1597)&gt;0,S1597,IFERROR(VLOOKUP(D1597,Parameter!$A$35:$C$64,3,0)+0,0)))</f>
        <v>0</v>
      </c>
      <c r="CF1597" s="60" t="n">
        <f aca="false">IF(AB1597&lt;&gt;"",AB1597,AA1597)</f>
        <v>3</v>
      </c>
      <c r="CG1597" s="60" t="str">
        <f aca="false">IF(OR(CF1597=1,CF1597=2,CF1597=3),IF(Parameter!$E$27="Ja","LIFT",IF(CF1597=1,"L1","L23")),IF(CF1597="Aussen","Aussen","-"))</f>
        <v>LIFT</v>
      </c>
      <c r="CH1597" s="71" t="n">
        <f aca="false">IF(N(AC1597)&gt;0,AC1597,0)</f>
        <v>0</v>
      </c>
      <c r="CI1597" s="65" t="n">
        <f aca="false">IF(ISNUMBER(AF1597),1,0)</f>
        <v>0</v>
      </c>
      <c r="CJ1597" s="62" t="n">
        <f aca="false">N(AF1597)</f>
        <v>0</v>
      </c>
      <c r="CK1597" s="62" t="n">
        <f aca="false">N(M1597)+N(N1597)</f>
        <v>1</v>
      </c>
      <c r="CL1597" s="62" t="n">
        <f aca="false">N(M1597)</f>
        <v>0</v>
      </c>
      <c r="CM1597" s="62" t="n">
        <f aca="false">N(N1597)</f>
        <v>1</v>
      </c>
      <c r="CN1597" s="62" t="n">
        <f aca="false">ROUNDUP(H1597/BZ1597,0)</f>
        <v>1</v>
      </c>
      <c r="CO1597" s="62" t="n">
        <f aca="false">ROUNDUP(CJ1597/BZ1597,0)</f>
        <v>0</v>
      </c>
      <c r="CP1597" s="65" t="n">
        <f aca="false">IF(CA1597=1,0,IFERROR(VLOOKUP(BY1597,'Gebinde-Kategorie'!$A$5:$N$45,5,0)+0,0))</f>
        <v>11</v>
      </c>
      <c r="CQ1597" s="65" t="n">
        <f aca="false">IFERROR(IF(OR(CF1597=1,CF1597=2,CF1597=3),N(INDEX(Parameter!$I$5:$I$7,CF1597)),0),0)</f>
        <v>0</v>
      </c>
      <c r="CR1597" s="64" t="n">
        <f aca="false">IF(AND(Parameter!$B$21="Ja",ISNUMBER(W1597),N(X1597)&gt;0),IFERROR(N(INDEX(Parameter!$L$5:$L$7,W1597))*INDEX(Parameter!$E$5:$E$7,W1597)*X1597/SUMIFS($X$7:$X$1843,$W$7:$W$1843,W1597),0),0)</f>
        <v>0</v>
      </c>
      <c r="CS1597" s="62" t="n">
        <f aca="false">IF(AND(OR(CG1597="L1",CG1597="L23",CG1597="LIFT"),H1597&gt;0),CC1597*IF(CR1597&gt;0,CR1597*MAX(1,H1597/X1597),IF(CA1597=1,CE1597,IF(R1597&gt;0,CN1597/R1597,0))/MAX(0.1,N(Parameter!$M$21))),"")</f>
        <v>5.96153846153846</v>
      </c>
      <c r="CT1597" s="64" t="n">
        <f aca="false">IF(CS1597="","",J1597/H1597)</f>
        <v>0</v>
      </c>
      <c r="CU1597" s="62" t="n">
        <f aca="false">IF(CS1597="","",H1597*G1597)</f>
        <v>712.48</v>
      </c>
      <c r="CV1597" s="63" t="n">
        <f aca="false">IF(CS1597="","",(CL1597+ROUNDUP(CL1597+MAX(CM1597,2*(J1597/MAX(0.1,N(Einkauf!$C$6))-CL1597)),0))/2)</f>
        <v>0.5</v>
      </c>
      <c r="CW1597" s="62" t="n">
        <f aca="false">IF(CS1597="","",MAX(0,H1597-CV1597)*G1597)</f>
        <v>534.36</v>
      </c>
      <c r="CX1597" s="62" t="n">
        <f aca="false">IF(CS1597="","",CS1597*MAX(0,1-CV1597/H1597))</f>
        <v>4.47115384615385</v>
      </c>
      <c r="CY1597" s="64" t="n">
        <f aca="false">IF(CS1597="","",PERCENTRANK($CS$7:$CS$1843,CS1597)+PERCENTRANK($CU$7:$CU$1843,CU1597)+1-PERCENTRANK($CT$7:$CT$1843,CT1597))</f>
        <v>1.939</v>
      </c>
      <c r="CZ1597" s="72" t="n">
        <f aca="false">IF(CS1597="","",CHOOSE(MATCH(Einkauf!$C$5,Parameter!$G$23:$G$27,0),CY1597,CS1597,CU1597,-CT1597,CW1597)+ROW()/1000000000)</f>
        <v>1.939001597</v>
      </c>
    </row>
    <row r="1598" customFormat="false" ht="15" hidden="false" customHeight="false" outlineLevel="0" collapsed="false">
      <c r="A1598" s="60" t="s">
        <v>2827</v>
      </c>
      <c r="B1598" s="60" t="s">
        <v>2828</v>
      </c>
      <c r="C1598" s="60" t="s">
        <v>206</v>
      </c>
      <c r="D1598" s="60" t="s">
        <v>226</v>
      </c>
      <c r="E1598" s="60"/>
      <c r="F1598" s="60"/>
      <c r="G1598" s="61" t="n">
        <v>7</v>
      </c>
      <c r="H1598" s="62" t="n">
        <f aca="false">MAX(0,IF(AND(Parameter!$B$21="Ja",ISNUMBER(Y1598)),Y1598,IF(Parameter!$B$20="Jahresanfang 2025 + Export",BS1598+BR1598,BR1598)))</f>
        <v>25</v>
      </c>
      <c r="I1598" s="62" t="n">
        <f aca="false">H1598*G1598</f>
        <v>175</v>
      </c>
      <c r="J1598" s="62" t="n">
        <f aca="false">BU1598*Parameter!$B$18</f>
        <v>0</v>
      </c>
      <c r="K1598" s="63"/>
      <c r="L1598" s="64"/>
      <c r="M1598" s="62" t="n">
        <v>0</v>
      </c>
      <c r="N1598" s="62" t="n">
        <v>3</v>
      </c>
      <c r="O1598" s="65" t="n">
        <v>14</v>
      </c>
      <c r="P1598" s="60" t="s">
        <v>210</v>
      </c>
      <c r="Q1598" s="62"/>
      <c r="R1598" s="65" t="n">
        <f aca="false">IF(CA1598=1,0,IFERROR(VLOOKUP(BY1598,'Gebinde-Kategorie'!$A$5:$N$45,13,0)+0,0))</f>
        <v>26</v>
      </c>
      <c r="S1598" s="66"/>
      <c r="T1598" s="67" t="s">
        <v>317</v>
      </c>
      <c r="U1598" s="67"/>
      <c r="V1598" s="67"/>
      <c r="W1598" s="60"/>
      <c r="X1598" s="62"/>
      <c r="Y1598" s="62"/>
      <c r="Z1598" s="60" t="n">
        <v>3</v>
      </c>
      <c r="AA1598" s="60" t="n">
        <f aca="false">IF(A1598="","",IF(AND(Parameter!$B$21="Ja",ISNUMBER(W1598)),W1598,IF(AND(Parameter!$E$27="Ja",ISNUMBER(Z1598),CD1598&lt;&gt;"Nein"),Z1598,IF(CD1598="2+3",IF(ISNUMBER(SEARCH("grosser Artikel",BV1598)),2,IFERROR(VLOOKUP(BY1598,Parameter!$F$35:$G$64,2,0),2)),IF(OR(CD1598="Nein",CD1598=""),"-",CD1598)))))</f>
        <v>3</v>
      </c>
      <c r="AB1598" s="67"/>
      <c r="AC1598" s="68"/>
      <c r="AD1598" s="62" t="n">
        <f aca="false">AW1598</f>
        <v>3</v>
      </c>
      <c r="AE1598" s="62" t="n">
        <f aca="false">MAX(AW1598,H1598)</f>
        <v>25</v>
      </c>
      <c r="AF1598" s="69"/>
      <c r="AG1598" s="62" t="n">
        <f aca="false">IF(LEFT(Cockpit!$C$5,1)="A",H1598,IF(Parameter!$E$30="MAX-Bestand",IF(CI1598=1,CJ1598,IF(LEFT(Cockpit!$C$5,1)="B",AM1598,MAX(AM1598,H1598))),ROUNDUP(AK1598,0)))</f>
        <v>25</v>
      </c>
      <c r="AH1598" s="62" t="n">
        <f aca="false">IF(CA1598=1,0,ROUNDUP(AG1598/BZ1598,0))</f>
        <v>1</v>
      </c>
      <c r="AI1598" s="64" t="n">
        <f aca="false">IF(CR1598&gt;0,CR1598*MAX(1,AG1598/X1598),IF(CA1598=1,IF(AG1598&lt;=0,0,CE1598*MAX(1,IF(H1598&gt;0,AG1598/H1598,1))),IF(R1598&gt;0,AH1598/R1598,0))/MAX(0.1,N(Parameter!$M$21)))</f>
        <v>0.0384615384615385</v>
      </c>
      <c r="AJ1598" s="62" t="n">
        <f aca="false">AI1598*CC1598</f>
        <v>5.96153846153846</v>
      </c>
      <c r="AK1598" s="63" t="n">
        <f aca="false">IF(LEFT(Cockpit!$C$5,1)="A",H1598,IF(CI1598=1,(CL1598+CJ1598)/2,IF(LEFT(Cockpit!$C$5,1)="B",(CL1598+AM1598)/2,MAX((CL1598+AM1598)/2,H1598))))</f>
        <v>25</v>
      </c>
      <c r="AL1598" s="62" t="n">
        <f aca="false">AK1598*G1598</f>
        <v>175</v>
      </c>
      <c r="AM1598" s="62" t="n">
        <f aca="false">ROUNDUP(CL1598+MAX(CM1598,2*(J1598/IF(CH1598&gt;0,CH1598,MAX(0.1,N(Cockpit!$C$6)))-CL1598)),0)</f>
        <v>3</v>
      </c>
      <c r="AN1598" s="63" t="n">
        <f aca="false">IF(AJ1598&gt;0,J1598/AJ1598,-1)</f>
        <v>0</v>
      </c>
      <c r="AO1598" s="63" t="n">
        <f aca="false">IF(AND(OR(CG1598="L1",CG1598="L23",CG1598="LIFT"),AJ1598&gt;0),SUMIFS($AJ$7:$AJ$1843,$CG$7:$CG$1843,CG1598,$AN$7:$AN$1843,"&gt;"&amp;AN1598)+SUMIFS($AJ$7:$AJ$1843,$CG$7:$CG$1843,CG1598,$AN$7:$AN$1843,AN1598,$BX$7:$BX$1843,"&lt;="&amp;BX1598),"")</f>
        <v>30633.9187542683</v>
      </c>
      <c r="AP1598" s="70" t="n">
        <f aca="false">IF(AO1598="",0,MAX(0,MIN(1,(IF(CG1598="L1",Parameter!$H$5,IF(CG1598="L23",Parameter!$H$6+Parameter!$H$7,Parameter!$H$5+Parameter!$H$6+Parameter!$H$7))-(AO1598-AJ1598))/AJ1598)))</f>
        <v>1</v>
      </c>
      <c r="AQ1598" s="62" t="n">
        <f aca="false">IF(LEFT(Cockpit!$I$5,1)="A",H1598,IF(Parameter!$E$30="MAX-Bestand",IF(CI1598=1,CJ1598,IF(LEFT(Cockpit!$I$5,1)="B",AW1598,MAX(AW1598,H1598))),ROUNDUP(AU1598,0)))</f>
        <v>25</v>
      </c>
      <c r="AR1598" s="62" t="n">
        <f aca="false">IF(CA1598=1,0,ROUNDUP(AQ1598/BZ1598,0))</f>
        <v>1</v>
      </c>
      <c r="AS1598" s="64" t="n">
        <f aca="false">IF(CR1598&gt;0,CR1598*MAX(1,AQ1598/X1598),IF(CA1598=1,IF(AQ1598&lt;=0,0,CE1598*MAX(1,IF(H1598&gt;0,AQ1598/H1598,1))),IF(R1598&gt;0,AR1598/R1598,0))/MAX(0.1,N(Parameter!$M$21)))</f>
        <v>0.0384615384615385</v>
      </c>
      <c r="AT1598" s="62" t="n">
        <f aca="false">AS1598*CC1598</f>
        <v>5.96153846153846</v>
      </c>
      <c r="AU1598" s="63" t="n">
        <f aca="false">IF(LEFT(Cockpit!$I$5,1)="A",H1598,IF(CI1598=1,(CL1598+CJ1598)/2,IF(LEFT(Cockpit!$I$5,1)="B",(CL1598+AW1598)/2,MAX((CL1598+AW1598)/2,H1598))))</f>
        <v>25</v>
      </c>
      <c r="AV1598" s="62" t="n">
        <f aca="false">AU1598*G1598</f>
        <v>175</v>
      </c>
      <c r="AW1598" s="62" t="n">
        <f aca="false">ROUNDUP(CL1598+MAX(CM1598,2*(J1598/IF(CH1598&gt;0,CH1598,MAX(0.1,N(Cockpit!$I$6)))-CL1598)),0)</f>
        <v>3</v>
      </c>
      <c r="AX1598" s="63" t="n">
        <f aca="false">IF(AT1598&gt;0,J1598/AT1598,-1)</f>
        <v>0</v>
      </c>
      <c r="AY1598" s="63" t="n">
        <f aca="false">IF(AND(OR(CG1598="L1",CG1598="L23",CG1598="LIFT"),AT1598&gt;0),SUMIFS($AT$7:$AT$1843,$CG$7:$CG$1843,CG1598,$AX$7:$AX$1843,"&gt;"&amp;AX1598)+SUMIFS($AT$7:$AT$1843,$CG$7:$CG$1843,CG1598,$AX$7:$AX$1843,AX1598,$BX$7:$BX$1843,"&lt;="&amp;BX1598),"")</f>
        <v>36953.7752711037</v>
      </c>
      <c r="AZ1598" s="70" t="n">
        <f aca="false">IF(AY1598="",0,MAX(0,MIN(1,(IF(CG1598="L1",Parameter!$H$5,IF(CG1598="L23",Parameter!$H$6+Parameter!$H$7,Parameter!$H$5+Parameter!$H$6+Parameter!$H$7))-(AY1598-AT1598))/AT1598)))</f>
        <v>0</v>
      </c>
      <c r="BA1598" s="62" t="n">
        <f aca="false">IF(LEFT(Cockpit!$O$5,1)="A",H1598,IF(Parameter!$E$30="MAX-Bestand",IF(CI1598=1,CJ1598,IF(LEFT(Cockpit!$O$5,1)="B",BG1598,MAX(BG1598,H1598))),ROUNDUP(BE1598,0)))</f>
        <v>2</v>
      </c>
      <c r="BB1598" s="62" t="n">
        <f aca="false">IF(CA1598=1,0,ROUNDUP(BA1598/BZ1598,0))</f>
        <v>1</v>
      </c>
      <c r="BC1598" s="64" t="n">
        <f aca="false">IF(CR1598&gt;0,CR1598*MAX(1,BA1598/X1598),IF(CA1598=1,IF(BA1598&lt;=0,0,CE1598*MAX(1,IF(H1598&gt;0,BA1598/H1598,1))),IF(R1598&gt;0,BB1598/R1598,0))/MAX(0.1,N(Parameter!$M$21)))</f>
        <v>0.0384615384615385</v>
      </c>
      <c r="BD1598" s="62" t="n">
        <f aca="false">BC1598*CC1598</f>
        <v>5.96153846153846</v>
      </c>
      <c r="BE1598" s="63" t="n">
        <f aca="false">IF(LEFT(Cockpit!$O$5,1)="A",H1598,IF(CI1598=1,(CL1598+CJ1598)/2,IF(LEFT(Cockpit!$O$5,1)="B",(CL1598+BG1598)/2,MAX((CL1598+BG1598)/2,H1598))))</f>
        <v>1.5</v>
      </c>
      <c r="BF1598" s="62" t="n">
        <f aca="false">BE1598*G1598</f>
        <v>10.5</v>
      </c>
      <c r="BG1598" s="62" t="n">
        <f aca="false">ROUNDUP(CL1598+MAX(CM1598,2*(J1598/IF(CH1598&gt;0,CH1598,MAX(0.1,N(Cockpit!$O$6)))-CL1598)),0)</f>
        <v>3</v>
      </c>
      <c r="BH1598" s="63" t="n">
        <f aca="false">IF(BD1598&gt;0,J1598/BD1598,-1)</f>
        <v>0</v>
      </c>
      <c r="BI1598" s="63" t="n">
        <f aca="false">IF(AND(OR(CG1598="L1",CG1598="L23",CG1598="LIFT"),BD1598&gt;0),SUMIFS($BD$7:$BD$1843,$CG$7:$CG$1843,CG1598,$BH$7:$BH$1843,"&gt;"&amp;BH1598)+SUMIFS($BD$7:$BD$1843,$CG$7:$CG$1843,CG1598,$BH$7:$BH$1843,BH1598,$BX$7:$BX$1843,"&lt;="&amp;BX1598),"")</f>
        <v>30863.216546636</v>
      </c>
      <c r="BJ1598" s="70" t="n">
        <f aca="false">IF(BI1598="",0,MAX(0,MIN(1,(IF(CG1598="L1",Parameter!$H$5,IF(CG1598="L23",Parameter!$H$6+Parameter!$H$7,Parameter!$H$5+Parameter!$H$6+Parameter!$H$7))-(BI1598-BD1598))/BD1598)))</f>
        <v>1</v>
      </c>
      <c r="BK1598" s="60" t="str">
        <f aca="false">IF(AJ1598&lt;=0,"",IF(CG1598="Aussen","Aussenlager",IF(CG1598="-","Nicht im Lift",IF(AP1598&gt;=1,"Lift",IF(AP1598&lt;=0,"Aussenlager","teilweise")))))</f>
        <v>Lift</v>
      </c>
      <c r="BL1598" s="60" t="str">
        <f aca="false">IF(AT1598&lt;=0,"",IF(CG1598="Aussen","Aussenlager",IF(CG1598="-","Nicht im Lift",IF(AZ1598&gt;=1,"Lift",IF(AZ1598&lt;=0,"Aussenlager","teilweise")))))</f>
        <v>Aussenlager</v>
      </c>
      <c r="BM1598" s="60" t="str">
        <f aca="false">IF(BD1598&lt;=0,"",IF(CG1598="Aussen","Aussenlager",IF(CG1598="-","Nicht im Lift",IF(BJ1598&gt;=1,"Lift",IF(BJ1598&lt;=0,"Aussenlager","teilweise")))))</f>
        <v>Lift</v>
      </c>
      <c r="BN1598" s="60" t="str">
        <f aca="false">IF(A1598="","",IF(BW1598=1,"Neu; ","")&amp;IF(AND(BW1598=0,BR1598&lt;0),"negativer Bestand (Export "&amp;BR1598&amp;"); ","")&amp;IF(J1598&lt;=0,"Kein Verbrauch; ","")&amp;IF(CR1598&gt;0,"Lift "&amp;W1598&amp;" lt. Liftbericht (Fach "&amp;X1598&amp;" Stk); ",IF(CB1598=1,"Gebinde geschätzt ("&amp;T1598&amp;"); ",IF(CA1598=1,"Lose – Tablare geschätzt; ","")))&amp;IF(H1598&gt;AW1598,"Überbestand "&amp;ROUND(H1598-AW1598,0)&amp;" Stk / CHF "&amp;ROUND((H1598-AW1598)*G1598,0)&amp;"; ","")&amp;IF(AND(CI1598=1,CJ1598&lt;CK1598),"MAX &lt; MB+LG; ","")&amp;IF(AND(CQ1598&gt;0,CP1598*10&gt;CQ1598),"zu hoch für Tablar; ","")&amp;IF(AND(BW1598=0,OR(CI1598=1,AB1598&lt;&gt;"",U1598&lt;&gt;"",V1598&lt;&gt;"",AC1598&lt;&gt;"")),"manuell übersteuert; ","")&amp;IF(AND(CA1598=0,R1598=0),"Gebinde unbekannt / Stellmass fehlt; ","")&amp;IF(AND(CA1598=0,N(V1598)&lt;=0,N(Q1598)&lt;=0),"Menge pro Gebinde fehlt (Ist = 1 Gebinde); ","")&amp;BV1598)</f>
        <v>Kein Verbrauch; Gebinde geschätzt (Klein); Überbestand 22 Stk / CHF 154; Menge pro Gebinde fehlt (Ist = 1 Gebinde); nur im Artikelstamm (Bestand 23.06.2026)</v>
      </c>
      <c r="BO1598" s="60"/>
      <c r="BP1598" s="60"/>
      <c r="BQ1598" s="67"/>
      <c r="BR1598" s="62" t="n">
        <v>25</v>
      </c>
      <c r="BS1598" s="62" t="n">
        <v>0</v>
      </c>
      <c r="BT1598" s="61" t="n">
        <v>0</v>
      </c>
      <c r="BU1598" s="62" t="n">
        <v>0</v>
      </c>
      <c r="BV1598" s="60" t="s">
        <v>2617</v>
      </c>
      <c r="BW1598" s="65" t="n">
        <v>0</v>
      </c>
      <c r="BX1598" s="65" t="n">
        <v>1598</v>
      </c>
      <c r="BY1598" s="60" t="str">
        <f aca="false">IF(U1598&lt;&gt;"",UPPER(TRIM(U1598)),IF(CB1598=1,UPPER(VLOOKUP(T1598,Parameter!$I$27:$K$29,2,0)),IF(P1598="","LOSE",P1598)))</f>
        <v>S51</v>
      </c>
      <c r="BZ1598" s="62" t="n">
        <f aca="false">IF(BY1598="LOSE",1,IF(N(V1598)&gt;0,V1598,IF(CB1598=1,MAX(1,N(VLOOKUP(T1598,Parameter!$I$27:$K$29,3,0)),H1598,N(N1598)),IF(N(Q1598)&gt;0,Q1598,MAX(1,H1598)))))</f>
        <v>25</v>
      </c>
      <c r="CA1598" s="65" t="n">
        <f aca="false">IF(BY1598="LOSE",1,0)</f>
        <v>0</v>
      </c>
      <c r="CB1598" s="65" t="n">
        <f aca="false">IF(AND(U1598="",OR(P1598="",P1598="LOSE"),T1598&lt;&gt;"",N(S1598)&lt;=0,ISNUMBER(MATCH(T1598,Parameter!$I$27:$I$29,0))),1,0)</f>
        <v>1</v>
      </c>
      <c r="CC1598" s="65" t="n">
        <f aca="false">IF(CR1598&gt;0,INDEX(Parameter!$H$5:$H$7,W1598)/INDEX(Parameter!$E$5:$E$7,W1598),IF(AND(CA1598=0,N(IFERROR(VLOOKUP(BY1598,'Gebinde-Kategorie'!$A$5:$N$45,14,0),0))&gt;0),VLOOKUP(BY1598,'Gebinde-Kategorie'!$A$5:$N$45,14,0)*10+Parameter!$M$23,Parameter!$M$24))</f>
        <v>155</v>
      </c>
      <c r="CD1598" s="60" t="str">
        <f aca="false">IF(AND(Parameter!$B$19="Ja",E1598&lt;&gt;"",ISNUMBER(MATCH(E1598,Parameter!$I$35:$I$52,0))),VLOOKUP(E1598,Parameter!$I$35:$J$52,2,0),IFERROR(VLOOKUP(D1598,Parameter!$A$35:$C$64,2,0),"Nein"))</f>
        <v>2+3</v>
      </c>
      <c r="CE1598" s="64" t="n">
        <f aca="false">IF(CA1598=0,0,IF(N(S1598)&gt;0,S1598,IFERROR(VLOOKUP(D1598,Parameter!$A$35:$C$64,3,0)+0,0)))</f>
        <v>0</v>
      </c>
      <c r="CF1598" s="60" t="n">
        <f aca="false">IF(AB1598&lt;&gt;"",AB1598,AA1598)</f>
        <v>3</v>
      </c>
      <c r="CG1598" s="60" t="str">
        <f aca="false">IF(OR(CF1598=1,CF1598=2,CF1598=3),IF(Parameter!$E$27="Ja","LIFT",IF(CF1598=1,"L1","L23")),IF(CF1598="Aussen","Aussen","-"))</f>
        <v>LIFT</v>
      </c>
      <c r="CH1598" s="71" t="n">
        <f aca="false">IF(N(AC1598)&gt;0,AC1598,0)</f>
        <v>0</v>
      </c>
      <c r="CI1598" s="65" t="n">
        <f aca="false">IF(ISNUMBER(AF1598),1,0)</f>
        <v>0</v>
      </c>
      <c r="CJ1598" s="62" t="n">
        <f aca="false">N(AF1598)</f>
        <v>0</v>
      </c>
      <c r="CK1598" s="62" t="n">
        <f aca="false">N(M1598)+N(N1598)</f>
        <v>3</v>
      </c>
      <c r="CL1598" s="62" t="n">
        <f aca="false">N(M1598)</f>
        <v>0</v>
      </c>
      <c r="CM1598" s="62" t="n">
        <f aca="false">N(N1598)</f>
        <v>3</v>
      </c>
      <c r="CN1598" s="62" t="n">
        <f aca="false">ROUNDUP(H1598/BZ1598,0)</f>
        <v>1</v>
      </c>
      <c r="CO1598" s="62" t="n">
        <f aca="false">ROUNDUP(CJ1598/BZ1598,0)</f>
        <v>0</v>
      </c>
      <c r="CP1598" s="65" t="n">
        <f aca="false">IF(CA1598=1,0,IFERROR(VLOOKUP(BY1598,'Gebinde-Kategorie'!$A$5:$N$45,5,0)+0,0))</f>
        <v>11</v>
      </c>
      <c r="CQ1598" s="65" t="n">
        <f aca="false">IFERROR(IF(OR(CF1598=1,CF1598=2,CF1598=3),N(INDEX(Parameter!$I$5:$I$7,CF1598)),0),0)</f>
        <v>0</v>
      </c>
      <c r="CR1598" s="64" t="n">
        <f aca="false">IF(AND(Parameter!$B$21="Ja",ISNUMBER(W1598),N(X1598)&gt;0),IFERROR(N(INDEX(Parameter!$L$5:$L$7,W1598))*INDEX(Parameter!$E$5:$E$7,W1598)*X1598/SUMIFS($X$7:$X$1843,$W$7:$W$1843,W1598),0),0)</f>
        <v>0</v>
      </c>
      <c r="CS1598" s="62" t="n">
        <f aca="false">IF(AND(OR(CG1598="L1",CG1598="L23",CG1598="LIFT"),H1598&gt;0),CC1598*IF(CR1598&gt;0,CR1598*MAX(1,H1598/X1598),IF(CA1598=1,CE1598,IF(R1598&gt;0,CN1598/R1598,0))/MAX(0.1,N(Parameter!$M$21))),"")</f>
        <v>5.96153846153846</v>
      </c>
      <c r="CT1598" s="64" t="n">
        <f aca="false">IF(CS1598="","",J1598/H1598)</f>
        <v>0</v>
      </c>
      <c r="CU1598" s="62" t="n">
        <f aca="false">IF(CS1598="","",H1598*G1598)</f>
        <v>175</v>
      </c>
      <c r="CV1598" s="63" t="n">
        <f aca="false">IF(CS1598="","",(CL1598+ROUNDUP(CL1598+MAX(CM1598,2*(J1598/MAX(0.1,N(Einkauf!$C$6))-CL1598)),0))/2)</f>
        <v>1.5</v>
      </c>
      <c r="CW1598" s="62" t="n">
        <f aca="false">IF(CS1598="","",MAX(0,H1598-CV1598)*G1598)</f>
        <v>164.5</v>
      </c>
      <c r="CX1598" s="62" t="n">
        <f aca="false">IF(CS1598="","",CS1598*MAX(0,1-CV1598/H1598))</f>
        <v>5.60384615384615</v>
      </c>
      <c r="CY1598" s="64" t="n">
        <f aca="false">IF(CS1598="","",PERCENTRANK($CS$7:$CS$1843,CS1598)+PERCENTRANK($CU$7:$CU$1843,CU1598)+1-PERCENTRANK($CT$7:$CT$1843,CT1598))</f>
        <v>1.677</v>
      </c>
      <c r="CZ1598" s="72" t="n">
        <f aca="false">IF(CS1598="","",CHOOSE(MATCH(Einkauf!$C$5,Parameter!$G$23:$G$27,0),CY1598,CS1598,CU1598,-CT1598,CW1598)+ROW()/1000000000)</f>
        <v>1.677001598</v>
      </c>
    </row>
    <row r="1599" customFormat="false" ht="15" hidden="false" customHeight="false" outlineLevel="0" collapsed="false">
      <c r="A1599" s="60" t="s">
        <v>2829</v>
      </c>
      <c r="B1599" s="60" t="s">
        <v>2830</v>
      </c>
      <c r="C1599" s="60" t="s">
        <v>206</v>
      </c>
      <c r="D1599" s="60" t="s">
        <v>226</v>
      </c>
      <c r="E1599" s="60"/>
      <c r="F1599" s="60"/>
      <c r="G1599" s="61" t="n">
        <v>397.38</v>
      </c>
      <c r="H1599" s="62" t="n">
        <f aca="false">MAX(0,IF(AND(Parameter!$B$21="Ja",ISNUMBER(Y1599)),Y1599,IF(Parameter!$B$20="Jahresanfang 2025 + Export",BS1599+BR1599,BR1599)))</f>
        <v>2</v>
      </c>
      <c r="I1599" s="62" t="n">
        <f aca="false">H1599*G1599</f>
        <v>794.76</v>
      </c>
      <c r="J1599" s="62" t="n">
        <f aca="false">BU1599*Parameter!$B$18</f>
        <v>0</v>
      </c>
      <c r="K1599" s="63"/>
      <c r="L1599" s="64"/>
      <c r="M1599" s="62" t="n">
        <v>0</v>
      </c>
      <c r="N1599" s="62" t="n">
        <v>1</v>
      </c>
      <c r="O1599" s="65" t="n">
        <v>35</v>
      </c>
      <c r="P1599" s="60" t="s">
        <v>210</v>
      </c>
      <c r="Q1599" s="62"/>
      <c r="R1599" s="65" t="n">
        <f aca="false">IF(CA1599=1,0,IFERROR(VLOOKUP(BY1599,'Gebinde-Kategorie'!$A$5:$N$45,13,0)+0,0))</f>
        <v>26</v>
      </c>
      <c r="S1599" s="66"/>
      <c r="T1599" s="67" t="s">
        <v>317</v>
      </c>
      <c r="U1599" s="67"/>
      <c r="V1599" s="67"/>
      <c r="W1599" s="60"/>
      <c r="X1599" s="62"/>
      <c r="Y1599" s="62"/>
      <c r="Z1599" s="60" t="n">
        <v>3</v>
      </c>
      <c r="AA1599" s="60" t="n">
        <f aca="false">IF(A1599="","",IF(AND(Parameter!$B$21="Ja",ISNUMBER(W1599)),W1599,IF(AND(Parameter!$E$27="Ja",ISNUMBER(Z1599),CD1599&lt;&gt;"Nein"),Z1599,IF(CD1599="2+3",IF(ISNUMBER(SEARCH("grosser Artikel",BV1599)),2,IFERROR(VLOOKUP(BY1599,Parameter!$F$35:$G$64,2,0),2)),IF(OR(CD1599="Nein",CD1599=""),"-",CD1599)))))</f>
        <v>3</v>
      </c>
      <c r="AB1599" s="67"/>
      <c r="AC1599" s="68"/>
      <c r="AD1599" s="62" t="n">
        <f aca="false">AW1599</f>
        <v>1</v>
      </c>
      <c r="AE1599" s="62" t="n">
        <f aca="false">MAX(AW1599,H1599)</f>
        <v>2</v>
      </c>
      <c r="AF1599" s="69"/>
      <c r="AG1599" s="62" t="n">
        <f aca="false">IF(LEFT(Cockpit!$C$5,1)="A",H1599,IF(Parameter!$E$30="MAX-Bestand",IF(CI1599=1,CJ1599,IF(LEFT(Cockpit!$C$5,1)="B",AM1599,MAX(AM1599,H1599))),ROUNDUP(AK1599,0)))</f>
        <v>2</v>
      </c>
      <c r="AH1599" s="62" t="n">
        <f aca="false">IF(CA1599=1,0,ROUNDUP(AG1599/BZ1599,0))</f>
        <v>1</v>
      </c>
      <c r="AI1599" s="64" t="n">
        <f aca="false">IF(CR1599&gt;0,CR1599*MAX(1,AG1599/X1599),IF(CA1599=1,IF(AG1599&lt;=0,0,CE1599*MAX(1,IF(H1599&gt;0,AG1599/H1599,1))),IF(R1599&gt;0,AH1599/R1599,0))/MAX(0.1,N(Parameter!$M$21)))</f>
        <v>0.0384615384615385</v>
      </c>
      <c r="AJ1599" s="62" t="n">
        <f aca="false">AI1599*CC1599</f>
        <v>5.96153846153846</v>
      </c>
      <c r="AK1599" s="63" t="n">
        <f aca="false">IF(LEFT(Cockpit!$C$5,1)="A",H1599,IF(CI1599=1,(CL1599+CJ1599)/2,IF(LEFT(Cockpit!$C$5,1)="B",(CL1599+AM1599)/2,MAX((CL1599+AM1599)/2,H1599))))</f>
        <v>2</v>
      </c>
      <c r="AL1599" s="62" t="n">
        <f aca="false">AK1599*G1599</f>
        <v>794.76</v>
      </c>
      <c r="AM1599" s="62" t="n">
        <f aca="false">ROUNDUP(CL1599+MAX(CM1599,2*(J1599/IF(CH1599&gt;0,CH1599,MAX(0.1,N(Cockpit!$C$6)))-CL1599)),0)</f>
        <v>1</v>
      </c>
      <c r="AN1599" s="63" t="n">
        <f aca="false">IF(AJ1599&gt;0,J1599/AJ1599,-1)</f>
        <v>0</v>
      </c>
      <c r="AO1599" s="63" t="n">
        <f aca="false">IF(AND(OR(CG1599="L1",CG1599="L23",CG1599="LIFT"),AJ1599&gt;0),SUMIFS($AJ$7:$AJ$1843,$CG$7:$CG$1843,CG1599,$AN$7:$AN$1843,"&gt;"&amp;AN1599)+SUMIFS($AJ$7:$AJ$1843,$CG$7:$CG$1843,CG1599,$AN$7:$AN$1843,AN1599,$BX$7:$BX$1843,"&lt;="&amp;BX1599),"")</f>
        <v>30639.8802927299</v>
      </c>
      <c r="AP1599" s="70" t="n">
        <f aca="false">IF(AO1599="",0,MAX(0,MIN(1,(IF(CG1599="L1",Parameter!$H$5,IF(CG1599="L23",Parameter!$H$6+Parameter!$H$7,Parameter!$H$5+Parameter!$H$6+Parameter!$H$7))-(AO1599-AJ1599))/AJ1599)))</f>
        <v>1</v>
      </c>
      <c r="AQ1599" s="62" t="n">
        <f aca="false">IF(LEFT(Cockpit!$I$5,1)="A",H1599,IF(Parameter!$E$30="MAX-Bestand",IF(CI1599=1,CJ1599,IF(LEFT(Cockpit!$I$5,1)="B",AW1599,MAX(AW1599,H1599))),ROUNDUP(AU1599,0)))</f>
        <v>2</v>
      </c>
      <c r="AR1599" s="62" t="n">
        <f aca="false">IF(CA1599=1,0,ROUNDUP(AQ1599/BZ1599,0))</f>
        <v>1</v>
      </c>
      <c r="AS1599" s="64" t="n">
        <f aca="false">IF(CR1599&gt;0,CR1599*MAX(1,AQ1599/X1599),IF(CA1599=1,IF(AQ1599&lt;=0,0,CE1599*MAX(1,IF(H1599&gt;0,AQ1599/H1599,1))),IF(R1599&gt;0,AR1599/R1599,0))/MAX(0.1,N(Parameter!$M$21)))</f>
        <v>0.0384615384615385</v>
      </c>
      <c r="AT1599" s="62" t="n">
        <f aca="false">AS1599*CC1599</f>
        <v>5.96153846153846</v>
      </c>
      <c r="AU1599" s="63" t="n">
        <f aca="false">IF(LEFT(Cockpit!$I$5,1)="A",H1599,IF(CI1599=1,(CL1599+CJ1599)/2,IF(LEFT(Cockpit!$I$5,1)="B",(CL1599+AW1599)/2,MAX((CL1599+AW1599)/2,H1599))))</f>
        <v>2</v>
      </c>
      <c r="AV1599" s="62" t="n">
        <f aca="false">AU1599*G1599</f>
        <v>794.76</v>
      </c>
      <c r="AW1599" s="62" t="n">
        <f aca="false">ROUNDUP(CL1599+MAX(CM1599,2*(J1599/IF(CH1599&gt;0,CH1599,MAX(0.1,N(Cockpit!$I$6)))-CL1599)),0)</f>
        <v>1</v>
      </c>
      <c r="AX1599" s="63" t="n">
        <f aca="false">IF(AT1599&gt;0,J1599/AT1599,-1)</f>
        <v>0</v>
      </c>
      <c r="AY1599" s="63" t="n">
        <f aca="false">IF(AND(OR(CG1599="L1",CG1599="L23",CG1599="LIFT"),AT1599&gt;0),SUMIFS($AT$7:$AT$1843,$CG$7:$CG$1843,CG1599,$AX$7:$AX$1843,"&gt;"&amp;AX1599)+SUMIFS($AT$7:$AT$1843,$CG$7:$CG$1843,CG1599,$AX$7:$AX$1843,AX1599,$BX$7:$BX$1843,"&lt;="&amp;BX1599),"")</f>
        <v>36959.7368095652</v>
      </c>
      <c r="AZ1599" s="70" t="n">
        <f aca="false">IF(AY1599="",0,MAX(0,MIN(1,(IF(CG1599="L1",Parameter!$H$5,IF(CG1599="L23",Parameter!$H$6+Parameter!$H$7,Parameter!$H$5+Parameter!$H$6+Parameter!$H$7))-(AY1599-AT1599))/AT1599)))</f>
        <v>0</v>
      </c>
      <c r="BA1599" s="62" t="n">
        <f aca="false">IF(LEFT(Cockpit!$O$5,1)="A",H1599,IF(Parameter!$E$30="MAX-Bestand",IF(CI1599=1,CJ1599,IF(LEFT(Cockpit!$O$5,1)="B",BG1599,MAX(BG1599,H1599))),ROUNDUP(BE1599,0)))</f>
        <v>1</v>
      </c>
      <c r="BB1599" s="62" t="n">
        <f aca="false">IF(CA1599=1,0,ROUNDUP(BA1599/BZ1599,0))</f>
        <v>1</v>
      </c>
      <c r="BC1599" s="64" t="n">
        <f aca="false">IF(CR1599&gt;0,CR1599*MAX(1,BA1599/X1599),IF(CA1599=1,IF(BA1599&lt;=0,0,CE1599*MAX(1,IF(H1599&gt;0,BA1599/H1599,1))),IF(R1599&gt;0,BB1599/R1599,0))/MAX(0.1,N(Parameter!$M$21)))</f>
        <v>0.0384615384615385</v>
      </c>
      <c r="BD1599" s="62" t="n">
        <f aca="false">BC1599*CC1599</f>
        <v>5.96153846153846</v>
      </c>
      <c r="BE1599" s="63" t="n">
        <f aca="false">IF(LEFT(Cockpit!$O$5,1)="A",H1599,IF(CI1599=1,(CL1599+CJ1599)/2,IF(LEFT(Cockpit!$O$5,1)="B",(CL1599+BG1599)/2,MAX((CL1599+BG1599)/2,H1599))))</f>
        <v>0.5</v>
      </c>
      <c r="BF1599" s="62" t="n">
        <f aca="false">BE1599*G1599</f>
        <v>198.69</v>
      </c>
      <c r="BG1599" s="62" t="n">
        <f aca="false">ROUNDUP(CL1599+MAX(CM1599,2*(J1599/IF(CH1599&gt;0,CH1599,MAX(0.1,N(Cockpit!$O$6)))-CL1599)),0)</f>
        <v>1</v>
      </c>
      <c r="BH1599" s="63" t="n">
        <f aca="false">IF(BD1599&gt;0,J1599/BD1599,-1)</f>
        <v>0</v>
      </c>
      <c r="BI1599" s="63" t="n">
        <f aca="false">IF(AND(OR(CG1599="L1",CG1599="L23",CG1599="LIFT"),BD1599&gt;0),SUMIFS($BD$7:$BD$1843,$CG$7:$CG$1843,CG1599,$BH$7:$BH$1843,"&gt;"&amp;BH1599)+SUMIFS($BD$7:$BD$1843,$CG$7:$CG$1843,CG1599,$BH$7:$BH$1843,BH1599,$BX$7:$BX$1843,"&lt;="&amp;BX1599),"")</f>
        <v>30869.1780850976</v>
      </c>
      <c r="BJ1599" s="70" t="n">
        <f aca="false">IF(BI1599="",0,MAX(0,MIN(1,(IF(CG1599="L1",Parameter!$H$5,IF(CG1599="L23",Parameter!$H$6+Parameter!$H$7,Parameter!$H$5+Parameter!$H$6+Parameter!$H$7))-(BI1599-BD1599))/BD1599)))</f>
        <v>1</v>
      </c>
      <c r="BK1599" s="60" t="str">
        <f aca="false">IF(AJ1599&lt;=0,"",IF(CG1599="Aussen","Aussenlager",IF(CG1599="-","Nicht im Lift",IF(AP1599&gt;=1,"Lift",IF(AP1599&lt;=0,"Aussenlager","teilweise")))))</f>
        <v>Lift</v>
      </c>
      <c r="BL1599" s="60" t="str">
        <f aca="false">IF(AT1599&lt;=0,"",IF(CG1599="Aussen","Aussenlager",IF(CG1599="-","Nicht im Lift",IF(AZ1599&gt;=1,"Lift",IF(AZ1599&lt;=0,"Aussenlager","teilweise")))))</f>
        <v>Aussenlager</v>
      </c>
      <c r="BM1599" s="60" t="str">
        <f aca="false">IF(BD1599&lt;=0,"",IF(CG1599="Aussen","Aussenlager",IF(CG1599="-","Nicht im Lift",IF(BJ1599&gt;=1,"Lift",IF(BJ1599&lt;=0,"Aussenlager","teilweise")))))</f>
        <v>Lift</v>
      </c>
      <c r="BN1599" s="60" t="str">
        <f aca="false">IF(A1599="","",IF(BW1599=1,"Neu; ","")&amp;IF(AND(BW1599=0,BR1599&lt;0),"negativer Bestand (Export "&amp;BR1599&amp;"); ","")&amp;IF(J1599&lt;=0,"Kein Verbrauch; ","")&amp;IF(CR1599&gt;0,"Lift "&amp;W1599&amp;" lt. Liftbericht (Fach "&amp;X1599&amp;" Stk); ",IF(CB1599=1,"Gebinde geschätzt ("&amp;T1599&amp;"); ",IF(CA1599=1,"Lose – Tablare geschätzt; ","")))&amp;IF(H1599&gt;AW1599,"Überbestand "&amp;ROUND(H1599-AW1599,0)&amp;" Stk / CHF "&amp;ROUND((H1599-AW1599)*G1599,0)&amp;"; ","")&amp;IF(AND(CI1599=1,CJ1599&lt;CK1599),"MAX &lt; MB+LG; ","")&amp;IF(AND(CQ1599&gt;0,CP1599*10&gt;CQ1599),"zu hoch für Tablar; ","")&amp;IF(AND(BW1599=0,OR(CI1599=1,AB1599&lt;&gt;"",U1599&lt;&gt;"",V1599&lt;&gt;"",AC1599&lt;&gt;"")),"manuell übersteuert; ","")&amp;IF(AND(CA1599=0,R1599=0),"Gebinde unbekannt / Stellmass fehlt; ","")&amp;IF(AND(CA1599=0,N(V1599)&lt;=0,N(Q1599)&lt;=0),"Menge pro Gebinde fehlt (Ist = 1 Gebinde); ","")&amp;BV1599)</f>
        <v>Kein Verbrauch; Gebinde geschätzt (Klein); Überbestand 1 Stk / CHF 397; Menge pro Gebinde fehlt (Ist = 1 Gebinde); nur im Artikelstamm (Bestand 23.06.2026)</v>
      </c>
      <c r="BO1599" s="60"/>
      <c r="BP1599" s="60"/>
      <c r="BQ1599" s="67"/>
      <c r="BR1599" s="62" t="n">
        <v>2</v>
      </c>
      <c r="BS1599" s="62" t="n">
        <v>0</v>
      </c>
      <c r="BT1599" s="61" t="n">
        <v>0</v>
      </c>
      <c r="BU1599" s="62" t="n">
        <v>0</v>
      </c>
      <c r="BV1599" s="60" t="s">
        <v>2617</v>
      </c>
      <c r="BW1599" s="65" t="n">
        <v>0</v>
      </c>
      <c r="BX1599" s="65" t="n">
        <v>1599</v>
      </c>
      <c r="BY1599" s="60" t="str">
        <f aca="false">IF(U1599&lt;&gt;"",UPPER(TRIM(U1599)),IF(CB1599=1,UPPER(VLOOKUP(T1599,Parameter!$I$27:$K$29,2,0)),IF(P1599="","LOSE",P1599)))</f>
        <v>S51</v>
      </c>
      <c r="BZ1599" s="62" t="n">
        <f aca="false">IF(BY1599="LOSE",1,IF(N(V1599)&gt;0,V1599,IF(CB1599=1,MAX(1,N(VLOOKUP(T1599,Parameter!$I$27:$K$29,3,0)),H1599,N(N1599)),IF(N(Q1599)&gt;0,Q1599,MAX(1,H1599)))))</f>
        <v>20</v>
      </c>
      <c r="CA1599" s="65" t="n">
        <f aca="false">IF(BY1599="LOSE",1,0)</f>
        <v>0</v>
      </c>
      <c r="CB1599" s="65" t="n">
        <f aca="false">IF(AND(U1599="",OR(P1599="",P1599="LOSE"),T1599&lt;&gt;"",N(S1599)&lt;=0,ISNUMBER(MATCH(T1599,Parameter!$I$27:$I$29,0))),1,0)</f>
        <v>1</v>
      </c>
      <c r="CC1599" s="65" t="n">
        <f aca="false">IF(CR1599&gt;0,INDEX(Parameter!$H$5:$H$7,W1599)/INDEX(Parameter!$E$5:$E$7,W1599),IF(AND(CA1599=0,N(IFERROR(VLOOKUP(BY1599,'Gebinde-Kategorie'!$A$5:$N$45,14,0),0))&gt;0),VLOOKUP(BY1599,'Gebinde-Kategorie'!$A$5:$N$45,14,0)*10+Parameter!$M$23,Parameter!$M$24))</f>
        <v>155</v>
      </c>
      <c r="CD1599" s="60" t="str">
        <f aca="false">IF(AND(Parameter!$B$19="Ja",E1599&lt;&gt;"",ISNUMBER(MATCH(E1599,Parameter!$I$35:$I$52,0))),VLOOKUP(E1599,Parameter!$I$35:$J$52,2,0),IFERROR(VLOOKUP(D1599,Parameter!$A$35:$C$64,2,0),"Nein"))</f>
        <v>2+3</v>
      </c>
      <c r="CE1599" s="64" t="n">
        <f aca="false">IF(CA1599=0,0,IF(N(S1599)&gt;0,S1599,IFERROR(VLOOKUP(D1599,Parameter!$A$35:$C$64,3,0)+0,0)))</f>
        <v>0</v>
      </c>
      <c r="CF1599" s="60" t="n">
        <f aca="false">IF(AB1599&lt;&gt;"",AB1599,AA1599)</f>
        <v>3</v>
      </c>
      <c r="CG1599" s="60" t="str">
        <f aca="false">IF(OR(CF1599=1,CF1599=2,CF1599=3),IF(Parameter!$E$27="Ja","LIFT",IF(CF1599=1,"L1","L23")),IF(CF1599="Aussen","Aussen","-"))</f>
        <v>LIFT</v>
      </c>
      <c r="CH1599" s="71" t="n">
        <f aca="false">IF(N(AC1599)&gt;0,AC1599,0)</f>
        <v>0</v>
      </c>
      <c r="CI1599" s="65" t="n">
        <f aca="false">IF(ISNUMBER(AF1599),1,0)</f>
        <v>0</v>
      </c>
      <c r="CJ1599" s="62" t="n">
        <f aca="false">N(AF1599)</f>
        <v>0</v>
      </c>
      <c r="CK1599" s="62" t="n">
        <f aca="false">N(M1599)+N(N1599)</f>
        <v>1</v>
      </c>
      <c r="CL1599" s="62" t="n">
        <f aca="false">N(M1599)</f>
        <v>0</v>
      </c>
      <c r="CM1599" s="62" t="n">
        <f aca="false">N(N1599)</f>
        <v>1</v>
      </c>
      <c r="CN1599" s="62" t="n">
        <f aca="false">ROUNDUP(H1599/BZ1599,0)</f>
        <v>1</v>
      </c>
      <c r="CO1599" s="62" t="n">
        <f aca="false">ROUNDUP(CJ1599/BZ1599,0)</f>
        <v>0</v>
      </c>
      <c r="CP1599" s="65" t="n">
        <f aca="false">IF(CA1599=1,0,IFERROR(VLOOKUP(BY1599,'Gebinde-Kategorie'!$A$5:$N$45,5,0)+0,0))</f>
        <v>11</v>
      </c>
      <c r="CQ1599" s="65" t="n">
        <f aca="false">IFERROR(IF(OR(CF1599=1,CF1599=2,CF1599=3),N(INDEX(Parameter!$I$5:$I$7,CF1599)),0),0)</f>
        <v>0</v>
      </c>
      <c r="CR1599" s="64" t="n">
        <f aca="false">IF(AND(Parameter!$B$21="Ja",ISNUMBER(W1599),N(X1599)&gt;0),IFERROR(N(INDEX(Parameter!$L$5:$L$7,W1599))*INDEX(Parameter!$E$5:$E$7,W1599)*X1599/SUMIFS($X$7:$X$1843,$W$7:$W$1843,W1599),0),0)</f>
        <v>0</v>
      </c>
      <c r="CS1599" s="62" t="n">
        <f aca="false">IF(AND(OR(CG1599="L1",CG1599="L23",CG1599="LIFT"),H1599&gt;0),CC1599*IF(CR1599&gt;0,CR1599*MAX(1,H1599/X1599),IF(CA1599=1,CE1599,IF(R1599&gt;0,CN1599/R1599,0))/MAX(0.1,N(Parameter!$M$21))),"")</f>
        <v>5.96153846153846</v>
      </c>
      <c r="CT1599" s="64" t="n">
        <f aca="false">IF(CS1599="","",J1599/H1599)</f>
        <v>0</v>
      </c>
      <c r="CU1599" s="62" t="n">
        <f aca="false">IF(CS1599="","",H1599*G1599)</f>
        <v>794.76</v>
      </c>
      <c r="CV1599" s="63" t="n">
        <f aca="false">IF(CS1599="","",(CL1599+ROUNDUP(CL1599+MAX(CM1599,2*(J1599/MAX(0.1,N(Einkauf!$C$6))-CL1599)),0))/2)</f>
        <v>0.5</v>
      </c>
      <c r="CW1599" s="62" t="n">
        <f aca="false">IF(CS1599="","",MAX(0,H1599-CV1599)*G1599)</f>
        <v>596.07</v>
      </c>
      <c r="CX1599" s="62" t="n">
        <f aca="false">IF(CS1599="","",CS1599*MAX(0,1-CV1599/H1599))</f>
        <v>4.47115384615385</v>
      </c>
      <c r="CY1599" s="64" t="n">
        <f aca="false">IF(CS1599="","",PERCENTRANK($CS$7:$CS$1843,CS1599)+PERCENTRANK($CU$7:$CU$1843,CU1599)+1-PERCENTRANK($CT$7:$CT$1843,CT1599))</f>
        <v>1.962</v>
      </c>
      <c r="CZ1599" s="72" t="n">
        <f aca="false">IF(CS1599="","",CHOOSE(MATCH(Einkauf!$C$5,Parameter!$G$23:$G$27,0),CY1599,CS1599,CU1599,-CT1599,CW1599)+ROW()/1000000000)</f>
        <v>1.962001599</v>
      </c>
    </row>
    <row r="1600" customFormat="false" ht="15" hidden="false" customHeight="false" outlineLevel="0" collapsed="false">
      <c r="A1600" s="60" t="s">
        <v>2831</v>
      </c>
      <c r="B1600" s="60" t="s">
        <v>2832</v>
      </c>
      <c r="C1600" s="60" t="s">
        <v>206</v>
      </c>
      <c r="D1600" s="60" t="s">
        <v>226</v>
      </c>
      <c r="E1600" s="60"/>
      <c r="F1600" s="60"/>
      <c r="G1600" s="61" t="n">
        <v>356.21</v>
      </c>
      <c r="H1600" s="62" t="n">
        <f aca="false">MAX(0,IF(AND(Parameter!$B$21="Ja",ISNUMBER(Y1600)),Y1600,IF(Parameter!$B$20="Jahresanfang 2025 + Export",BS1600+BR1600,BR1600)))</f>
        <v>2</v>
      </c>
      <c r="I1600" s="62" t="n">
        <f aca="false">H1600*G1600</f>
        <v>712.42</v>
      </c>
      <c r="J1600" s="62" t="n">
        <f aca="false">BU1600*Parameter!$B$18</f>
        <v>0</v>
      </c>
      <c r="K1600" s="63"/>
      <c r="L1600" s="64"/>
      <c r="M1600" s="62" t="n">
        <v>0</v>
      </c>
      <c r="N1600" s="62" t="n">
        <v>1</v>
      </c>
      <c r="O1600" s="65" t="n">
        <v>35</v>
      </c>
      <c r="P1600" s="60" t="s">
        <v>210</v>
      </c>
      <c r="Q1600" s="62"/>
      <c r="R1600" s="65" t="n">
        <f aca="false">IF(CA1600=1,0,IFERROR(VLOOKUP(BY1600,'Gebinde-Kategorie'!$A$5:$N$45,13,0)+0,0))</f>
        <v>26</v>
      </c>
      <c r="S1600" s="66"/>
      <c r="T1600" s="67" t="s">
        <v>317</v>
      </c>
      <c r="U1600" s="67"/>
      <c r="V1600" s="67"/>
      <c r="W1600" s="60"/>
      <c r="X1600" s="62"/>
      <c r="Y1600" s="62"/>
      <c r="Z1600" s="60" t="n">
        <v>3</v>
      </c>
      <c r="AA1600" s="60" t="n">
        <f aca="false">IF(A1600="","",IF(AND(Parameter!$B$21="Ja",ISNUMBER(W1600)),W1600,IF(AND(Parameter!$E$27="Ja",ISNUMBER(Z1600),CD1600&lt;&gt;"Nein"),Z1600,IF(CD1600="2+3",IF(ISNUMBER(SEARCH("grosser Artikel",BV1600)),2,IFERROR(VLOOKUP(BY1600,Parameter!$F$35:$G$64,2,0),2)),IF(OR(CD1600="Nein",CD1600=""),"-",CD1600)))))</f>
        <v>3</v>
      </c>
      <c r="AB1600" s="67"/>
      <c r="AC1600" s="68"/>
      <c r="AD1600" s="62" t="n">
        <f aca="false">AW1600</f>
        <v>1</v>
      </c>
      <c r="AE1600" s="62" t="n">
        <f aca="false">MAX(AW1600,H1600)</f>
        <v>2</v>
      </c>
      <c r="AF1600" s="69"/>
      <c r="AG1600" s="62" t="n">
        <f aca="false">IF(LEFT(Cockpit!$C$5,1)="A",H1600,IF(Parameter!$E$30="MAX-Bestand",IF(CI1600=1,CJ1600,IF(LEFT(Cockpit!$C$5,1)="B",AM1600,MAX(AM1600,H1600))),ROUNDUP(AK1600,0)))</f>
        <v>2</v>
      </c>
      <c r="AH1600" s="62" t="n">
        <f aca="false">IF(CA1600=1,0,ROUNDUP(AG1600/BZ1600,0))</f>
        <v>1</v>
      </c>
      <c r="AI1600" s="64" t="n">
        <f aca="false">IF(CR1600&gt;0,CR1600*MAX(1,AG1600/X1600),IF(CA1600=1,IF(AG1600&lt;=0,0,CE1600*MAX(1,IF(H1600&gt;0,AG1600/H1600,1))),IF(R1600&gt;0,AH1600/R1600,0))/MAX(0.1,N(Parameter!$M$21)))</f>
        <v>0.0384615384615385</v>
      </c>
      <c r="AJ1600" s="62" t="n">
        <f aca="false">AI1600*CC1600</f>
        <v>5.96153846153846</v>
      </c>
      <c r="AK1600" s="63" t="n">
        <f aca="false">IF(LEFT(Cockpit!$C$5,1)="A",H1600,IF(CI1600=1,(CL1600+CJ1600)/2,IF(LEFT(Cockpit!$C$5,1)="B",(CL1600+AM1600)/2,MAX((CL1600+AM1600)/2,H1600))))</f>
        <v>2</v>
      </c>
      <c r="AL1600" s="62" t="n">
        <f aca="false">AK1600*G1600</f>
        <v>712.42</v>
      </c>
      <c r="AM1600" s="62" t="n">
        <f aca="false">ROUNDUP(CL1600+MAX(CM1600,2*(J1600/IF(CH1600&gt;0,CH1600,MAX(0.1,N(Cockpit!$C$6)))-CL1600)),0)</f>
        <v>1</v>
      </c>
      <c r="AN1600" s="63" t="n">
        <f aca="false">IF(AJ1600&gt;0,J1600/AJ1600,-1)</f>
        <v>0</v>
      </c>
      <c r="AO1600" s="63" t="n">
        <f aca="false">IF(AND(OR(CG1600="L1",CG1600="L23",CG1600="LIFT"),AJ1600&gt;0),SUMIFS($AJ$7:$AJ$1843,$CG$7:$CG$1843,CG1600,$AN$7:$AN$1843,"&gt;"&amp;AN1600)+SUMIFS($AJ$7:$AJ$1843,$CG$7:$CG$1843,CG1600,$AN$7:$AN$1843,AN1600,$BX$7:$BX$1843,"&lt;="&amp;BX1600),"")</f>
        <v>30645.8418311914</v>
      </c>
      <c r="AP1600" s="70" t="n">
        <f aca="false">IF(AO1600="",0,MAX(0,MIN(1,(IF(CG1600="L1",Parameter!$H$5,IF(CG1600="L23",Parameter!$H$6+Parameter!$H$7,Parameter!$H$5+Parameter!$H$6+Parameter!$H$7))-(AO1600-AJ1600))/AJ1600)))</f>
        <v>1</v>
      </c>
      <c r="AQ1600" s="62" t="n">
        <f aca="false">IF(LEFT(Cockpit!$I$5,1)="A",H1600,IF(Parameter!$E$30="MAX-Bestand",IF(CI1600=1,CJ1600,IF(LEFT(Cockpit!$I$5,1)="B",AW1600,MAX(AW1600,H1600))),ROUNDUP(AU1600,0)))</f>
        <v>2</v>
      </c>
      <c r="AR1600" s="62" t="n">
        <f aca="false">IF(CA1600=1,0,ROUNDUP(AQ1600/BZ1600,0))</f>
        <v>1</v>
      </c>
      <c r="AS1600" s="64" t="n">
        <f aca="false">IF(CR1600&gt;0,CR1600*MAX(1,AQ1600/X1600),IF(CA1600=1,IF(AQ1600&lt;=0,0,CE1600*MAX(1,IF(H1600&gt;0,AQ1600/H1600,1))),IF(R1600&gt;0,AR1600/R1600,0))/MAX(0.1,N(Parameter!$M$21)))</f>
        <v>0.0384615384615385</v>
      </c>
      <c r="AT1600" s="62" t="n">
        <f aca="false">AS1600*CC1600</f>
        <v>5.96153846153846</v>
      </c>
      <c r="AU1600" s="63" t="n">
        <f aca="false">IF(LEFT(Cockpit!$I$5,1)="A",H1600,IF(CI1600=1,(CL1600+CJ1600)/2,IF(LEFT(Cockpit!$I$5,1)="B",(CL1600+AW1600)/2,MAX((CL1600+AW1600)/2,H1600))))</f>
        <v>2</v>
      </c>
      <c r="AV1600" s="62" t="n">
        <f aca="false">AU1600*G1600</f>
        <v>712.42</v>
      </c>
      <c r="AW1600" s="62" t="n">
        <f aca="false">ROUNDUP(CL1600+MAX(CM1600,2*(J1600/IF(CH1600&gt;0,CH1600,MAX(0.1,N(Cockpit!$I$6)))-CL1600)),0)</f>
        <v>1</v>
      </c>
      <c r="AX1600" s="63" t="n">
        <f aca="false">IF(AT1600&gt;0,J1600/AT1600,-1)</f>
        <v>0</v>
      </c>
      <c r="AY1600" s="63" t="n">
        <f aca="false">IF(AND(OR(CG1600="L1",CG1600="L23",CG1600="LIFT"),AT1600&gt;0),SUMIFS($AT$7:$AT$1843,$CG$7:$CG$1843,CG1600,$AX$7:$AX$1843,"&gt;"&amp;AX1600)+SUMIFS($AT$7:$AT$1843,$CG$7:$CG$1843,CG1600,$AX$7:$AX$1843,AX1600,$BX$7:$BX$1843,"&lt;="&amp;BX1600),"")</f>
        <v>36965.6983480267</v>
      </c>
      <c r="AZ1600" s="70" t="n">
        <f aca="false">IF(AY1600="",0,MAX(0,MIN(1,(IF(CG1600="L1",Parameter!$H$5,IF(CG1600="L23",Parameter!$H$6+Parameter!$H$7,Parameter!$H$5+Parameter!$H$6+Parameter!$H$7))-(AY1600-AT1600))/AT1600)))</f>
        <v>0</v>
      </c>
      <c r="BA1600" s="62" t="n">
        <f aca="false">IF(LEFT(Cockpit!$O$5,1)="A",H1600,IF(Parameter!$E$30="MAX-Bestand",IF(CI1600=1,CJ1600,IF(LEFT(Cockpit!$O$5,1)="B",BG1600,MAX(BG1600,H1600))),ROUNDUP(BE1600,0)))</f>
        <v>1</v>
      </c>
      <c r="BB1600" s="62" t="n">
        <f aca="false">IF(CA1600=1,0,ROUNDUP(BA1600/BZ1600,0))</f>
        <v>1</v>
      </c>
      <c r="BC1600" s="64" t="n">
        <f aca="false">IF(CR1600&gt;0,CR1600*MAX(1,BA1600/X1600),IF(CA1600=1,IF(BA1600&lt;=0,0,CE1600*MAX(1,IF(H1600&gt;0,BA1600/H1600,1))),IF(R1600&gt;0,BB1600/R1600,0))/MAX(0.1,N(Parameter!$M$21)))</f>
        <v>0.0384615384615385</v>
      </c>
      <c r="BD1600" s="62" t="n">
        <f aca="false">BC1600*CC1600</f>
        <v>5.96153846153846</v>
      </c>
      <c r="BE1600" s="63" t="n">
        <f aca="false">IF(LEFT(Cockpit!$O$5,1)="A",H1600,IF(CI1600=1,(CL1600+CJ1600)/2,IF(LEFT(Cockpit!$O$5,1)="B",(CL1600+BG1600)/2,MAX((CL1600+BG1600)/2,H1600))))</f>
        <v>0.5</v>
      </c>
      <c r="BF1600" s="62" t="n">
        <f aca="false">BE1600*G1600</f>
        <v>178.105</v>
      </c>
      <c r="BG1600" s="62" t="n">
        <f aca="false">ROUNDUP(CL1600+MAX(CM1600,2*(J1600/IF(CH1600&gt;0,CH1600,MAX(0.1,N(Cockpit!$O$6)))-CL1600)),0)</f>
        <v>1</v>
      </c>
      <c r="BH1600" s="63" t="n">
        <f aca="false">IF(BD1600&gt;0,J1600/BD1600,-1)</f>
        <v>0</v>
      </c>
      <c r="BI1600" s="63" t="n">
        <f aca="false">IF(AND(OR(CG1600="L1",CG1600="L23",CG1600="LIFT"),BD1600&gt;0),SUMIFS($BD$7:$BD$1843,$CG$7:$CG$1843,CG1600,$BH$7:$BH$1843,"&gt;"&amp;BH1600)+SUMIFS($BD$7:$BD$1843,$CG$7:$CG$1843,CG1600,$BH$7:$BH$1843,BH1600,$BX$7:$BX$1843,"&lt;="&amp;BX1600),"")</f>
        <v>30875.1396235591</v>
      </c>
      <c r="BJ1600" s="70" t="n">
        <f aca="false">IF(BI1600="",0,MAX(0,MIN(1,(IF(CG1600="L1",Parameter!$H$5,IF(CG1600="L23",Parameter!$H$6+Parameter!$H$7,Parameter!$H$5+Parameter!$H$6+Parameter!$H$7))-(BI1600-BD1600))/BD1600)))</f>
        <v>1</v>
      </c>
      <c r="BK1600" s="60" t="str">
        <f aca="false">IF(AJ1600&lt;=0,"",IF(CG1600="Aussen","Aussenlager",IF(CG1600="-","Nicht im Lift",IF(AP1600&gt;=1,"Lift",IF(AP1600&lt;=0,"Aussenlager","teilweise")))))</f>
        <v>Lift</v>
      </c>
      <c r="BL1600" s="60" t="str">
        <f aca="false">IF(AT1600&lt;=0,"",IF(CG1600="Aussen","Aussenlager",IF(CG1600="-","Nicht im Lift",IF(AZ1600&gt;=1,"Lift",IF(AZ1600&lt;=0,"Aussenlager","teilweise")))))</f>
        <v>Aussenlager</v>
      </c>
      <c r="BM1600" s="60" t="str">
        <f aca="false">IF(BD1600&lt;=0,"",IF(CG1600="Aussen","Aussenlager",IF(CG1600="-","Nicht im Lift",IF(BJ1600&gt;=1,"Lift",IF(BJ1600&lt;=0,"Aussenlager","teilweise")))))</f>
        <v>Lift</v>
      </c>
      <c r="BN1600" s="60" t="str">
        <f aca="false">IF(A1600="","",IF(BW1600=1,"Neu; ","")&amp;IF(AND(BW1600=0,BR1600&lt;0),"negativer Bestand (Export "&amp;BR1600&amp;"); ","")&amp;IF(J1600&lt;=0,"Kein Verbrauch; ","")&amp;IF(CR1600&gt;0,"Lift "&amp;W1600&amp;" lt. Liftbericht (Fach "&amp;X1600&amp;" Stk); ",IF(CB1600=1,"Gebinde geschätzt ("&amp;T1600&amp;"); ",IF(CA1600=1,"Lose – Tablare geschätzt; ","")))&amp;IF(H1600&gt;AW1600,"Überbestand "&amp;ROUND(H1600-AW1600,0)&amp;" Stk / CHF "&amp;ROUND((H1600-AW1600)*G1600,0)&amp;"; ","")&amp;IF(AND(CI1600=1,CJ1600&lt;CK1600),"MAX &lt; MB+LG; ","")&amp;IF(AND(CQ1600&gt;0,CP1600*10&gt;CQ1600),"zu hoch für Tablar; ","")&amp;IF(AND(BW1600=0,OR(CI1600=1,AB1600&lt;&gt;"",U1600&lt;&gt;"",V1600&lt;&gt;"",AC1600&lt;&gt;"")),"manuell übersteuert; ","")&amp;IF(AND(CA1600=0,R1600=0),"Gebinde unbekannt / Stellmass fehlt; ","")&amp;IF(AND(CA1600=0,N(V1600)&lt;=0,N(Q1600)&lt;=0),"Menge pro Gebinde fehlt (Ist = 1 Gebinde); ","")&amp;BV1600)</f>
        <v>Kein Verbrauch; Gebinde geschätzt (Klein); Überbestand 1 Stk / CHF 356; Menge pro Gebinde fehlt (Ist = 1 Gebinde); nur im Artikelstamm (Bestand 23.06.2026)</v>
      </c>
      <c r="BO1600" s="60"/>
      <c r="BP1600" s="60"/>
      <c r="BQ1600" s="67"/>
      <c r="BR1600" s="62" t="n">
        <v>2</v>
      </c>
      <c r="BS1600" s="62" t="n">
        <v>0</v>
      </c>
      <c r="BT1600" s="61" t="n">
        <v>0</v>
      </c>
      <c r="BU1600" s="62" t="n">
        <v>0</v>
      </c>
      <c r="BV1600" s="60" t="s">
        <v>2617</v>
      </c>
      <c r="BW1600" s="65" t="n">
        <v>0</v>
      </c>
      <c r="BX1600" s="65" t="n">
        <v>1600</v>
      </c>
      <c r="BY1600" s="60" t="str">
        <f aca="false">IF(U1600&lt;&gt;"",UPPER(TRIM(U1600)),IF(CB1600=1,UPPER(VLOOKUP(T1600,Parameter!$I$27:$K$29,2,0)),IF(P1600="","LOSE",P1600)))</f>
        <v>S51</v>
      </c>
      <c r="BZ1600" s="62" t="n">
        <f aca="false">IF(BY1600="LOSE",1,IF(N(V1600)&gt;0,V1600,IF(CB1600=1,MAX(1,N(VLOOKUP(T1600,Parameter!$I$27:$K$29,3,0)),H1600,N(N1600)),IF(N(Q1600)&gt;0,Q1600,MAX(1,H1600)))))</f>
        <v>20</v>
      </c>
      <c r="CA1600" s="65" t="n">
        <f aca="false">IF(BY1600="LOSE",1,0)</f>
        <v>0</v>
      </c>
      <c r="CB1600" s="65" t="n">
        <f aca="false">IF(AND(U1600="",OR(P1600="",P1600="LOSE"),T1600&lt;&gt;"",N(S1600)&lt;=0,ISNUMBER(MATCH(T1600,Parameter!$I$27:$I$29,0))),1,0)</f>
        <v>1</v>
      </c>
      <c r="CC1600" s="65" t="n">
        <f aca="false">IF(CR1600&gt;0,INDEX(Parameter!$H$5:$H$7,W1600)/INDEX(Parameter!$E$5:$E$7,W1600),IF(AND(CA1600=0,N(IFERROR(VLOOKUP(BY1600,'Gebinde-Kategorie'!$A$5:$N$45,14,0),0))&gt;0),VLOOKUP(BY1600,'Gebinde-Kategorie'!$A$5:$N$45,14,0)*10+Parameter!$M$23,Parameter!$M$24))</f>
        <v>155</v>
      </c>
      <c r="CD1600" s="60" t="str">
        <f aca="false">IF(AND(Parameter!$B$19="Ja",E1600&lt;&gt;"",ISNUMBER(MATCH(E1600,Parameter!$I$35:$I$52,0))),VLOOKUP(E1600,Parameter!$I$35:$J$52,2,0),IFERROR(VLOOKUP(D1600,Parameter!$A$35:$C$64,2,0),"Nein"))</f>
        <v>2+3</v>
      </c>
      <c r="CE1600" s="64" t="n">
        <f aca="false">IF(CA1600=0,0,IF(N(S1600)&gt;0,S1600,IFERROR(VLOOKUP(D1600,Parameter!$A$35:$C$64,3,0)+0,0)))</f>
        <v>0</v>
      </c>
      <c r="CF1600" s="60" t="n">
        <f aca="false">IF(AB1600&lt;&gt;"",AB1600,AA1600)</f>
        <v>3</v>
      </c>
      <c r="CG1600" s="60" t="str">
        <f aca="false">IF(OR(CF1600=1,CF1600=2,CF1600=3),IF(Parameter!$E$27="Ja","LIFT",IF(CF1600=1,"L1","L23")),IF(CF1600="Aussen","Aussen","-"))</f>
        <v>LIFT</v>
      </c>
      <c r="CH1600" s="71" t="n">
        <f aca="false">IF(N(AC1600)&gt;0,AC1600,0)</f>
        <v>0</v>
      </c>
      <c r="CI1600" s="65" t="n">
        <f aca="false">IF(ISNUMBER(AF1600),1,0)</f>
        <v>0</v>
      </c>
      <c r="CJ1600" s="62" t="n">
        <f aca="false">N(AF1600)</f>
        <v>0</v>
      </c>
      <c r="CK1600" s="62" t="n">
        <f aca="false">N(M1600)+N(N1600)</f>
        <v>1</v>
      </c>
      <c r="CL1600" s="62" t="n">
        <f aca="false">N(M1600)</f>
        <v>0</v>
      </c>
      <c r="CM1600" s="62" t="n">
        <f aca="false">N(N1600)</f>
        <v>1</v>
      </c>
      <c r="CN1600" s="62" t="n">
        <f aca="false">ROUNDUP(H1600/BZ1600,0)</f>
        <v>1</v>
      </c>
      <c r="CO1600" s="62" t="n">
        <f aca="false">ROUNDUP(CJ1600/BZ1600,0)</f>
        <v>0</v>
      </c>
      <c r="CP1600" s="65" t="n">
        <f aca="false">IF(CA1600=1,0,IFERROR(VLOOKUP(BY1600,'Gebinde-Kategorie'!$A$5:$N$45,5,0)+0,0))</f>
        <v>11</v>
      </c>
      <c r="CQ1600" s="65" t="n">
        <f aca="false">IFERROR(IF(OR(CF1600=1,CF1600=2,CF1600=3),N(INDEX(Parameter!$I$5:$I$7,CF1600)),0),0)</f>
        <v>0</v>
      </c>
      <c r="CR1600" s="64" t="n">
        <f aca="false">IF(AND(Parameter!$B$21="Ja",ISNUMBER(W1600),N(X1600)&gt;0),IFERROR(N(INDEX(Parameter!$L$5:$L$7,W1600))*INDEX(Parameter!$E$5:$E$7,W1600)*X1600/SUMIFS($X$7:$X$1843,$W$7:$W$1843,W1600),0),0)</f>
        <v>0</v>
      </c>
      <c r="CS1600" s="62" t="n">
        <f aca="false">IF(AND(OR(CG1600="L1",CG1600="L23",CG1600="LIFT"),H1600&gt;0),CC1600*IF(CR1600&gt;0,CR1600*MAX(1,H1600/X1600),IF(CA1600=1,CE1600,IF(R1600&gt;0,CN1600/R1600,0))/MAX(0.1,N(Parameter!$M$21))),"")</f>
        <v>5.96153846153846</v>
      </c>
      <c r="CT1600" s="64" t="n">
        <f aca="false">IF(CS1600="","",J1600/H1600)</f>
        <v>0</v>
      </c>
      <c r="CU1600" s="62" t="n">
        <f aca="false">IF(CS1600="","",H1600*G1600)</f>
        <v>712.42</v>
      </c>
      <c r="CV1600" s="63" t="n">
        <f aca="false">IF(CS1600="","",(CL1600+ROUNDUP(CL1600+MAX(CM1600,2*(J1600/MAX(0.1,N(Einkauf!$C$6))-CL1600)),0))/2)</f>
        <v>0.5</v>
      </c>
      <c r="CW1600" s="62" t="n">
        <f aca="false">IF(CS1600="","",MAX(0,H1600-CV1600)*G1600)</f>
        <v>534.315</v>
      </c>
      <c r="CX1600" s="62" t="n">
        <f aca="false">IF(CS1600="","",CS1600*MAX(0,1-CV1600/H1600))</f>
        <v>4.47115384615385</v>
      </c>
      <c r="CY1600" s="64" t="n">
        <f aca="false">IF(CS1600="","",PERCENTRANK($CS$7:$CS$1843,CS1600)+PERCENTRANK($CU$7:$CU$1843,CU1600)+1-PERCENTRANK($CT$7:$CT$1843,CT1600))</f>
        <v>1.939</v>
      </c>
      <c r="CZ1600" s="72" t="n">
        <f aca="false">IF(CS1600="","",CHOOSE(MATCH(Einkauf!$C$5,Parameter!$G$23:$G$27,0),CY1600,CS1600,CU1600,-CT1600,CW1600)+ROW()/1000000000)</f>
        <v>1.9390016</v>
      </c>
    </row>
    <row r="1601" customFormat="false" ht="15" hidden="false" customHeight="false" outlineLevel="0" collapsed="false">
      <c r="A1601" s="60" t="s">
        <v>2833</v>
      </c>
      <c r="B1601" s="60" t="s">
        <v>2832</v>
      </c>
      <c r="C1601" s="60" t="s">
        <v>206</v>
      </c>
      <c r="D1601" s="60" t="s">
        <v>226</v>
      </c>
      <c r="E1601" s="60"/>
      <c r="F1601" s="60"/>
      <c r="G1601" s="61" t="n">
        <v>556.97</v>
      </c>
      <c r="H1601" s="62" t="n">
        <f aca="false">MAX(0,IF(AND(Parameter!$B$21="Ja",ISNUMBER(Y1601)),Y1601,IF(Parameter!$B$20="Jahresanfang 2025 + Export",BS1601+BR1601,BR1601)))</f>
        <v>2</v>
      </c>
      <c r="I1601" s="62" t="n">
        <f aca="false">H1601*G1601</f>
        <v>1113.94</v>
      </c>
      <c r="J1601" s="62" t="n">
        <f aca="false">BU1601*Parameter!$B$18</f>
        <v>0</v>
      </c>
      <c r="K1601" s="63"/>
      <c r="L1601" s="64"/>
      <c r="M1601" s="62" t="n">
        <v>0</v>
      </c>
      <c r="N1601" s="62" t="n">
        <v>1</v>
      </c>
      <c r="O1601" s="65" t="n">
        <v>35</v>
      </c>
      <c r="P1601" s="60" t="s">
        <v>210</v>
      </c>
      <c r="Q1601" s="62"/>
      <c r="R1601" s="65" t="n">
        <f aca="false">IF(CA1601=1,0,IFERROR(VLOOKUP(BY1601,'Gebinde-Kategorie'!$A$5:$N$45,13,0)+0,0))</f>
        <v>26</v>
      </c>
      <c r="S1601" s="66"/>
      <c r="T1601" s="67" t="s">
        <v>317</v>
      </c>
      <c r="U1601" s="67"/>
      <c r="V1601" s="67"/>
      <c r="W1601" s="60"/>
      <c r="X1601" s="62"/>
      <c r="Y1601" s="62"/>
      <c r="Z1601" s="60" t="n">
        <v>3</v>
      </c>
      <c r="AA1601" s="60" t="n">
        <f aca="false">IF(A1601="","",IF(AND(Parameter!$B$21="Ja",ISNUMBER(W1601)),W1601,IF(AND(Parameter!$E$27="Ja",ISNUMBER(Z1601),CD1601&lt;&gt;"Nein"),Z1601,IF(CD1601="2+3",IF(ISNUMBER(SEARCH("grosser Artikel",BV1601)),2,IFERROR(VLOOKUP(BY1601,Parameter!$F$35:$G$64,2,0),2)),IF(OR(CD1601="Nein",CD1601=""),"-",CD1601)))))</f>
        <v>3</v>
      </c>
      <c r="AB1601" s="67"/>
      <c r="AC1601" s="68"/>
      <c r="AD1601" s="62" t="n">
        <f aca="false">AW1601</f>
        <v>1</v>
      </c>
      <c r="AE1601" s="62" t="n">
        <f aca="false">MAX(AW1601,H1601)</f>
        <v>2</v>
      </c>
      <c r="AF1601" s="69"/>
      <c r="AG1601" s="62" t="n">
        <f aca="false">IF(LEFT(Cockpit!$C$5,1)="A",H1601,IF(Parameter!$E$30="MAX-Bestand",IF(CI1601=1,CJ1601,IF(LEFT(Cockpit!$C$5,1)="B",AM1601,MAX(AM1601,H1601))),ROUNDUP(AK1601,0)))</f>
        <v>2</v>
      </c>
      <c r="AH1601" s="62" t="n">
        <f aca="false">IF(CA1601=1,0,ROUNDUP(AG1601/BZ1601,0))</f>
        <v>1</v>
      </c>
      <c r="AI1601" s="64" t="n">
        <f aca="false">IF(CR1601&gt;0,CR1601*MAX(1,AG1601/X1601),IF(CA1601=1,IF(AG1601&lt;=0,0,CE1601*MAX(1,IF(H1601&gt;0,AG1601/H1601,1))),IF(R1601&gt;0,AH1601/R1601,0))/MAX(0.1,N(Parameter!$M$21)))</f>
        <v>0.0384615384615385</v>
      </c>
      <c r="AJ1601" s="62" t="n">
        <f aca="false">AI1601*CC1601</f>
        <v>5.96153846153846</v>
      </c>
      <c r="AK1601" s="63" t="n">
        <f aca="false">IF(LEFT(Cockpit!$C$5,1)="A",H1601,IF(CI1601=1,(CL1601+CJ1601)/2,IF(LEFT(Cockpit!$C$5,1)="B",(CL1601+AM1601)/2,MAX((CL1601+AM1601)/2,H1601))))</f>
        <v>2</v>
      </c>
      <c r="AL1601" s="62" t="n">
        <f aca="false">AK1601*G1601</f>
        <v>1113.94</v>
      </c>
      <c r="AM1601" s="62" t="n">
        <f aca="false">ROUNDUP(CL1601+MAX(CM1601,2*(J1601/IF(CH1601&gt;0,CH1601,MAX(0.1,N(Cockpit!$C$6)))-CL1601)),0)</f>
        <v>1</v>
      </c>
      <c r="AN1601" s="63" t="n">
        <f aca="false">IF(AJ1601&gt;0,J1601/AJ1601,-1)</f>
        <v>0</v>
      </c>
      <c r="AO1601" s="63" t="n">
        <f aca="false">IF(AND(OR(CG1601="L1",CG1601="L23",CG1601="LIFT"),AJ1601&gt;0),SUMIFS($AJ$7:$AJ$1843,$CG$7:$CG$1843,CG1601,$AN$7:$AN$1843,"&gt;"&amp;AN1601)+SUMIFS($AJ$7:$AJ$1843,$CG$7:$CG$1843,CG1601,$AN$7:$AN$1843,AN1601,$BX$7:$BX$1843,"&lt;="&amp;BX1601),"")</f>
        <v>30651.8033696529</v>
      </c>
      <c r="AP1601" s="70" t="n">
        <f aca="false">IF(AO1601="",0,MAX(0,MIN(1,(IF(CG1601="L1",Parameter!$H$5,IF(CG1601="L23",Parameter!$H$6+Parameter!$H$7,Parameter!$H$5+Parameter!$H$6+Parameter!$H$7))-(AO1601-AJ1601))/AJ1601)))</f>
        <v>1</v>
      </c>
      <c r="AQ1601" s="62" t="n">
        <f aca="false">IF(LEFT(Cockpit!$I$5,1)="A",H1601,IF(Parameter!$E$30="MAX-Bestand",IF(CI1601=1,CJ1601,IF(LEFT(Cockpit!$I$5,1)="B",AW1601,MAX(AW1601,H1601))),ROUNDUP(AU1601,0)))</f>
        <v>2</v>
      </c>
      <c r="AR1601" s="62" t="n">
        <f aca="false">IF(CA1601=1,0,ROUNDUP(AQ1601/BZ1601,0))</f>
        <v>1</v>
      </c>
      <c r="AS1601" s="64" t="n">
        <f aca="false">IF(CR1601&gt;0,CR1601*MAX(1,AQ1601/X1601),IF(CA1601=1,IF(AQ1601&lt;=0,0,CE1601*MAX(1,IF(H1601&gt;0,AQ1601/H1601,1))),IF(R1601&gt;0,AR1601/R1601,0))/MAX(0.1,N(Parameter!$M$21)))</f>
        <v>0.0384615384615385</v>
      </c>
      <c r="AT1601" s="62" t="n">
        <f aca="false">AS1601*CC1601</f>
        <v>5.96153846153846</v>
      </c>
      <c r="AU1601" s="63" t="n">
        <f aca="false">IF(LEFT(Cockpit!$I$5,1)="A",H1601,IF(CI1601=1,(CL1601+CJ1601)/2,IF(LEFT(Cockpit!$I$5,1)="B",(CL1601+AW1601)/2,MAX((CL1601+AW1601)/2,H1601))))</f>
        <v>2</v>
      </c>
      <c r="AV1601" s="62" t="n">
        <f aca="false">AU1601*G1601</f>
        <v>1113.94</v>
      </c>
      <c r="AW1601" s="62" t="n">
        <f aca="false">ROUNDUP(CL1601+MAX(CM1601,2*(J1601/IF(CH1601&gt;0,CH1601,MAX(0.1,N(Cockpit!$I$6)))-CL1601)),0)</f>
        <v>1</v>
      </c>
      <c r="AX1601" s="63" t="n">
        <f aca="false">IF(AT1601&gt;0,J1601/AT1601,-1)</f>
        <v>0</v>
      </c>
      <c r="AY1601" s="63" t="n">
        <f aca="false">IF(AND(OR(CG1601="L1",CG1601="L23",CG1601="LIFT"),AT1601&gt;0),SUMIFS($AT$7:$AT$1843,$CG$7:$CG$1843,CG1601,$AX$7:$AX$1843,"&gt;"&amp;AX1601)+SUMIFS($AT$7:$AT$1843,$CG$7:$CG$1843,CG1601,$AX$7:$AX$1843,AX1601,$BX$7:$BX$1843,"&lt;="&amp;BX1601),"")</f>
        <v>36971.6598864883</v>
      </c>
      <c r="AZ1601" s="70" t="n">
        <f aca="false">IF(AY1601="",0,MAX(0,MIN(1,(IF(CG1601="L1",Parameter!$H$5,IF(CG1601="L23",Parameter!$H$6+Parameter!$H$7,Parameter!$H$5+Parameter!$H$6+Parameter!$H$7))-(AY1601-AT1601))/AT1601)))</f>
        <v>0</v>
      </c>
      <c r="BA1601" s="62" t="n">
        <f aca="false">IF(LEFT(Cockpit!$O$5,1)="A",H1601,IF(Parameter!$E$30="MAX-Bestand",IF(CI1601=1,CJ1601,IF(LEFT(Cockpit!$O$5,1)="B",BG1601,MAX(BG1601,H1601))),ROUNDUP(BE1601,0)))</f>
        <v>1</v>
      </c>
      <c r="BB1601" s="62" t="n">
        <f aca="false">IF(CA1601=1,0,ROUNDUP(BA1601/BZ1601,0))</f>
        <v>1</v>
      </c>
      <c r="BC1601" s="64" t="n">
        <f aca="false">IF(CR1601&gt;0,CR1601*MAX(1,BA1601/X1601),IF(CA1601=1,IF(BA1601&lt;=0,0,CE1601*MAX(1,IF(H1601&gt;0,BA1601/H1601,1))),IF(R1601&gt;0,BB1601/R1601,0))/MAX(0.1,N(Parameter!$M$21)))</f>
        <v>0.0384615384615385</v>
      </c>
      <c r="BD1601" s="62" t="n">
        <f aca="false">BC1601*CC1601</f>
        <v>5.96153846153846</v>
      </c>
      <c r="BE1601" s="63" t="n">
        <f aca="false">IF(LEFT(Cockpit!$O$5,1)="A",H1601,IF(CI1601=1,(CL1601+CJ1601)/2,IF(LEFT(Cockpit!$O$5,1)="B",(CL1601+BG1601)/2,MAX((CL1601+BG1601)/2,H1601))))</f>
        <v>0.5</v>
      </c>
      <c r="BF1601" s="62" t="n">
        <f aca="false">BE1601*G1601</f>
        <v>278.485</v>
      </c>
      <c r="BG1601" s="62" t="n">
        <f aca="false">ROUNDUP(CL1601+MAX(CM1601,2*(J1601/IF(CH1601&gt;0,CH1601,MAX(0.1,N(Cockpit!$O$6)))-CL1601)),0)</f>
        <v>1</v>
      </c>
      <c r="BH1601" s="63" t="n">
        <f aca="false">IF(BD1601&gt;0,J1601/BD1601,-1)</f>
        <v>0</v>
      </c>
      <c r="BI1601" s="63" t="n">
        <f aca="false">IF(AND(OR(CG1601="L1",CG1601="L23",CG1601="LIFT"),BD1601&gt;0),SUMIFS($BD$7:$BD$1843,$CG$7:$CG$1843,CG1601,$BH$7:$BH$1843,"&gt;"&amp;BH1601)+SUMIFS($BD$7:$BD$1843,$CG$7:$CG$1843,CG1601,$BH$7:$BH$1843,BH1601,$BX$7:$BX$1843,"&lt;="&amp;BX1601),"")</f>
        <v>30881.1011620207</v>
      </c>
      <c r="BJ1601" s="70" t="n">
        <f aca="false">IF(BI1601="",0,MAX(0,MIN(1,(IF(CG1601="L1",Parameter!$H$5,IF(CG1601="L23",Parameter!$H$6+Parameter!$H$7,Parameter!$H$5+Parameter!$H$6+Parameter!$H$7))-(BI1601-BD1601))/BD1601)))</f>
        <v>1</v>
      </c>
      <c r="BK1601" s="60" t="str">
        <f aca="false">IF(AJ1601&lt;=0,"",IF(CG1601="Aussen","Aussenlager",IF(CG1601="-","Nicht im Lift",IF(AP1601&gt;=1,"Lift",IF(AP1601&lt;=0,"Aussenlager","teilweise")))))</f>
        <v>Lift</v>
      </c>
      <c r="BL1601" s="60" t="str">
        <f aca="false">IF(AT1601&lt;=0,"",IF(CG1601="Aussen","Aussenlager",IF(CG1601="-","Nicht im Lift",IF(AZ1601&gt;=1,"Lift",IF(AZ1601&lt;=0,"Aussenlager","teilweise")))))</f>
        <v>Aussenlager</v>
      </c>
      <c r="BM1601" s="60" t="str">
        <f aca="false">IF(BD1601&lt;=0,"",IF(CG1601="Aussen","Aussenlager",IF(CG1601="-","Nicht im Lift",IF(BJ1601&gt;=1,"Lift",IF(BJ1601&lt;=0,"Aussenlager","teilweise")))))</f>
        <v>Lift</v>
      </c>
      <c r="BN1601" s="60" t="str">
        <f aca="false">IF(A1601="","",IF(BW1601=1,"Neu; ","")&amp;IF(AND(BW1601=0,BR1601&lt;0),"negativer Bestand (Export "&amp;BR1601&amp;"); ","")&amp;IF(J1601&lt;=0,"Kein Verbrauch; ","")&amp;IF(CR1601&gt;0,"Lift "&amp;W1601&amp;" lt. Liftbericht (Fach "&amp;X1601&amp;" Stk); ",IF(CB1601=1,"Gebinde geschätzt ("&amp;T1601&amp;"); ",IF(CA1601=1,"Lose – Tablare geschätzt; ","")))&amp;IF(H1601&gt;AW1601,"Überbestand "&amp;ROUND(H1601-AW1601,0)&amp;" Stk / CHF "&amp;ROUND((H1601-AW1601)*G1601,0)&amp;"; ","")&amp;IF(AND(CI1601=1,CJ1601&lt;CK1601),"MAX &lt; MB+LG; ","")&amp;IF(AND(CQ1601&gt;0,CP1601*10&gt;CQ1601),"zu hoch für Tablar; ","")&amp;IF(AND(BW1601=0,OR(CI1601=1,AB1601&lt;&gt;"",U1601&lt;&gt;"",V1601&lt;&gt;"",AC1601&lt;&gt;"")),"manuell übersteuert; ","")&amp;IF(AND(CA1601=0,R1601=0),"Gebinde unbekannt / Stellmass fehlt; ","")&amp;IF(AND(CA1601=0,N(V1601)&lt;=0,N(Q1601)&lt;=0),"Menge pro Gebinde fehlt (Ist = 1 Gebinde); ","")&amp;BV1601)</f>
        <v>Kein Verbrauch; Gebinde geschätzt (Klein); Überbestand 1 Stk / CHF 557; Menge pro Gebinde fehlt (Ist = 1 Gebinde); nur im Artikelstamm (Bestand 23.06.2026)</v>
      </c>
      <c r="BO1601" s="60"/>
      <c r="BP1601" s="60"/>
      <c r="BQ1601" s="67"/>
      <c r="BR1601" s="62" t="n">
        <v>2</v>
      </c>
      <c r="BS1601" s="62" t="n">
        <v>0</v>
      </c>
      <c r="BT1601" s="61" t="n">
        <v>0</v>
      </c>
      <c r="BU1601" s="62" t="n">
        <v>0</v>
      </c>
      <c r="BV1601" s="60" t="s">
        <v>2617</v>
      </c>
      <c r="BW1601" s="65" t="n">
        <v>0</v>
      </c>
      <c r="BX1601" s="65" t="n">
        <v>1601</v>
      </c>
      <c r="BY1601" s="60" t="str">
        <f aca="false">IF(U1601&lt;&gt;"",UPPER(TRIM(U1601)),IF(CB1601=1,UPPER(VLOOKUP(T1601,Parameter!$I$27:$K$29,2,0)),IF(P1601="","LOSE",P1601)))</f>
        <v>S51</v>
      </c>
      <c r="BZ1601" s="62" t="n">
        <f aca="false">IF(BY1601="LOSE",1,IF(N(V1601)&gt;0,V1601,IF(CB1601=1,MAX(1,N(VLOOKUP(T1601,Parameter!$I$27:$K$29,3,0)),H1601,N(N1601)),IF(N(Q1601)&gt;0,Q1601,MAX(1,H1601)))))</f>
        <v>20</v>
      </c>
      <c r="CA1601" s="65" t="n">
        <f aca="false">IF(BY1601="LOSE",1,0)</f>
        <v>0</v>
      </c>
      <c r="CB1601" s="65" t="n">
        <f aca="false">IF(AND(U1601="",OR(P1601="",P1601="LOSE"),T1601&lt;&gt;"",N(S1601)&lt;=0,ISNUMBER(MATCH(T1601,Parameter!$I$27:$I$29,0))),1,0)</f>
        <v>1</v>
      </c>
      <c r="CC1601" s="65" t="n">
        <f aca="false">IF(CR1601&gt;0,INDEX(Parameter!$H$5:$H$7,W1601)/INDEX(Parameter!$E$5:$E$7,W1601),IF(AND(CA1601=0,N(IFERROR(VLOOKUP(BY1601,'Gebinde-Kategorie'!$A$5:$N$45,14,0),0))&gt;0),VLOOKUP(BY1601,'Gebinde-Kategorie'!$A$5:$N$45,14,0)*10+Parameter!$M$23,Parameter!$M$24))</f>
        <v>155</v>
      </c>
      <c r="CD1601" s="60" t="str">
        <f aca="false">IF(AND(Parameter!$B$19="Ja",E1601&lt;&gt;"",ISNUMBER(MATCH(E1601,Parameter!$I$35:$I$52,0))),VLOOKUP(E1601,Parameter!$I$35:$J$52,2,0),IFERROR(VLOOKUP(D1601,Parameter!$A$35:$C$64,2,0),"Nein"))</f>
        <v>2+3</v>
      </c>
      <c r="CE1601" s="64" t="n">
        <f aca="false">IF(CA1601=0,0,IF(N(S1601)&gt;0,S1601,IFERROR(VLOOKUP(D1601,Parameter!$A$35:$C$64,3,0)+0,0)))</f>
        <v>0</v>
      </c>
      <c r="CF1601" s="60" t="n">
        <f aca="false">IF(AB1601&lt;&gt;"",AB1601,AA1601)</f>
        <v>3</v>
      </c>
      <c r="CG1601" s="60" t="str">
        <f aca="false">IF(OR(CF1601=1,CF1601=2,CF1601=3),IF(Parameter!$E$27="Ja","LIFT",IF(CF1601=1,"L1","L23")),IF(CF1601="Aussen","Aussen","-"))</f>
        <v>LIFT</v>
      </c>
      <c r="CH1601" s="71" t="n">
        <f aca="false">IF(N(AC1601)&gt;0,AC1601,0)</f>
        <v>0</v>
      </c>
      <c r="CI1601" s="65" t="n">
        <f aca="false">IF(ISNUMBER(AF1601),1,0)</f>
        <v>0</v>
      </c>
      <c r="CJ1601" s="62" t="n">
        <f aca="false">N(AF1601)</f>
        <v>0</v>
      </c>
      <c r="CK1601" s="62" t="n">
        <f aca="false">N(M1601)+N(N1601)</f>
        <v>1</v>
      </c>
      <c r="CL1601" s="62" t="n">
        <f aca="false">N(M1601)</f>
        <v>0</v>
      </c>
      <c r="CM1601" s="62" t="n">
        <f aca="false">N(N1601)</f>
        <v>1</v>
      </c>
      <c r="CN1601" s="62" t="n">
        <f aca="false">ROUNDUP(H1601/BZ1601,0)</f>
        <v>1</v>
      </c>
      <c r="CO1601" s="62" t="n">
        <f aca="false">ROUNDUP(CJ1601/BZ1601,0)</f>
        <v>0</v>
      </c>
      <c r="CP1601" s="65" t="n">
        <f aca="false">IF(CA1601=1,0,IFERROR(VLOOKUP(BY1601,'Gebinde-Kategorie'!$A$5:$N$45,5,0)+0,0))</f>
        <v>11</v>
      </c>
      <c r="CQ1601" s="65" t="n">
        <f aca="false">IFERROR(IF(OR(CF1601=1,CF1601=2,CF1601=3),N(INDEX(Parameter!$I$5:$I$7,CF1601)),0),0)</f>
        <v>0</v>
      </c>
      <c r="CR1601" s="64" t="n">
        <f aca="false">IF(AND(Parameter!$B$21="Ja",ISNUMBER(W1601),N(X1601)&gt;0),IFERROR(N(INDEX(Parameter!$L$5:$L$7,W1601))*INDEX(Parameter!$E$5:$E$7,W1601)*X1601/SUMIFS($X$7:$X$1843,$W$7:$W$1843,W1601),0),0)</f>
        <v>0</v>
      </c>
      <c r="CS1601" s="62" t="n">
        <f aca="false">IF(AND(OR(CG1601="L1",CG1601="L23",CG1601="LIFT"),H1601&gt;0),CC1601*IF(CR1601&gt;0,CR1601*MAX(1,H1601/X1601),IF(CA1601=1,CE1601,IF(R1601&gt;0,CN1601/R1601,0))/MAX(0.1,N(Parameter!$M$21))),"")</f>
        <v>5.96153846153846</v>
      </c>
      <c r="CT1601" s="64" t="n">
        <f aca="false">IF(CS1601="","",J1601/H1601)</f>
        <v>0</v>
      </c>
      <c r="CU1601" s="62" t="n">
        <f aca="false">IF(CS1601="","",H1601*G1601)</f>
        <v>1113.94</v>
      </c>
      <c r="CV1601" s="63" t="n">
        <f aca="false">IF(CS1601="","",(CL1601+ROUNDUP(CL1601+MAX(CM1601,2*(J1601/MAX(0.1,N(Einkauf!$C$6))-CL1601)),0))/2)</f>
        <v>0.5</v>
      </c>
      <c r="CW1601" s="62" t="n">
        <f aca="false">IF(CS1601="","",MAX(0,H1601-CV1601)*G1601)</f>
        <v>835.455</v>
      </c>
      <c r="CX1601" s="62" t="n">
        <f aca="false">IF(CS1601="","",CS1601*MAX(0,1-CV1601/H1601))</f>
        <v>4.47115384615385</v>
      </c>
      <c r="CY1601" s="64" t="n">
        <f aca="false">IF(CS1601="","",PERCENTRANK($CS$7:$CS$1843,CS1601)+PERCENTRANK($CU$7:$CU$1843,CU1601)+1-PERCENTRANK($CT$7:$CT$1843,CT1601))</f>
        <v>2.026</v>
      </c>
      <c r="CZ1601" s="72" t="n">
        <f aca="false">IF(CS1601="","",CHOOSE(MATCH(Einkauf!$C$5,Parameter!$G$23:$G$27,0),CY1601,CS1601,CU1601,-CT1601,CW1601)+ROW()/1000000000)</f>
        <v>2.026001601</v>
      </c>
    </row>
    <row r="1602" customFormat="false" ht="15" hidden="false" customHeight="false" outlineLevel="0" collapsed="false">
      <c r="A1602" s="60" t="s">
        <v>2834</v>
      </c>
      <c r="B1602" s="60" t="s">
        <v>989</v>
      </c>
      <c r="C1602" s="60" t="s">
        <v>206</v>
      </c>
      <c r="D1602" s="60" t="s">
        <v>226</v>
      </c>
      <c r="E1602" s="60"/>
      <c r="F1602" s="60"/>
      <c r="G1602" s="61" t="n">
        <v>1.84</v>
      </c>
      <c r="H1602" s="62" t="n">
        <f aca="false">MAX(0,IF(AND(Parameter!$B$21="Ja",ISNUMBER(Y1602)),Y1602,IF(Parameter!$B$20="Jahresanfang 2025 + Export",BS1602+BR1602,BR1602)))</f>
        <v>45</v>
      </c>
      <c r="I1602" s="62" t="n">
        <f aca="false">H1602*G1602</f>
        <v>82.8</v>
      </c>
      <c r="J1602" s="62" t="n">
        <f aca="false">BU1602*Parameter!$B$18</f>
        <v>0</v>
      </c>
      <c r="K1602" s="63"/>
      <c r="L1602" s="64"/>
      <c r="M1602" s="62" t="n">
        <v>0</v>
      </c>
      <c r="N1602" s="62" t="n">
        <v>1</v>
      </c>
      <c r="O1602" s="65" t="n">
        <v>28</v>
      </c>
      <c r="P1602" s="60" t="s">
        <v>210</v>
      </c>
      <c r="Q1602" s="62"/>
      <c r="R1602" s="65" t="n">
        <f aca="false">IF(CA1602=1,0,IFERROR(VLOOKUP(BY1602,'Gebinde-Kategorie'!$A$5:$N$45,13,0)+0,0))</f>
        <v>26</v>
      </c>
      <c r="S1602" s="66"/>
      <c r="T1602" s="67" t="s">
        <v>317</v>
      </c>
      <c r="U1602" s="67"/>
      <c r="V1602" s="67"/>
      <c r="W1602" s="60"/>
      <c r="X1602" s="62"/>
      <c r="Y1602" s="62"/>
      <c r="Z1602" s="60" t="n">
        <v>3</v>
      </c>
      <c r="AA1602" s="60" t="n">
        <f aca="false">IF(A1602="","",IF(AND(Parameter!$B$21="Ja",ISNUMBER(W1602)),W1602,IF(AND(Parameter!$E$27="Ja",ISNUMBER(Z1602),CD1602&lt;&gt;"Nein"),Z1602,IF(CD1602="2+3",IF(ISNUMBER(SEARCH("grosser Artikel",BV1602)),2,IFERROR(VLOOKUP(BY1602,Parameter!$F$35:$G$64,2,0),2)),IF(OR(CD1602="Nein",CD1602=""),"-",CD1602)))))</f>
        <v>3</v>
      </c>
      <c r="AB1602" s="67"/>
      <c r="AC1602" s="68"/>
      <c r="AD1602" s="62" t="n">
        <f aca="false">AW1602</f>
        <v>1</v>
      </c>
      <c r="AE1602" s="62" t="n">
        <f aca="false">MAX(AW1602,H1602)</f>
        <v>45</v>
      </c>
      <c r="AF1602" s="69"/>
      <c r="AG1602" s="62" t="n">
        <f aca="false">IF(LEFT(Cockpit!$C$5,1)="A",H1602,IF(Parameter!$E$30="MAX-Bestand",IF(CI1602=1,CJ1602,IF(LEFT(Cockpit!$C$5,1)="B",AM1602,MAX(AM1602,H1602))),ROUNDUP(AK1602,0)))</f>
        <v>45</v>
      </c>
      <c r="AH1602" s="62" t="n">
        <f aca="false">IF(CA1602=1,0,ROUNDUP(AG1602/BZ1602,0))</f>
        <v>1</v>
      </c>
      <c r="AI1602" s="64" t="n">
        <f aca="false">IF(CR1602&gt;0,CR1602*MAX(1,AG1602/X1602),IF(CA1602=1,IF(AG1602&lt;=0,0,CE1602*MAX(1,IF(H1602&gt;0,AG1602/H1602,1))),IF(R1602&gt;0,AH1602/R1602,0))/MAX(0.1,N(Parameter!$M$21)))</f>
        <v>0.0384615384615385</v>
      </c>
      <c r="AJ1602" s="62" t="n">
        <f aca="false">AI1602*CC1602</f>
        <v>5.96153846153846</v>
      </c>
      <c r="AK1602" s="63" t="n">
        <f aca="false">IF(LEFT(Cockpit!$C$5,1)="A",H1602,IF(CI1602=1,(CL1602+CJ1602)/2,IF(LEFT(Cockpit!$C$5,1)="B",(CL1602+AM1602)/2,MAX((CL1602+AM1602)/2,H1602))))</f>
        <v>45</v>
      </c>
      <c r="AL1602" s="62" t="n">
        <f aca="false">AK1602*G1602</f>
        <v>82.8</v>
      </c>
      <c r="AM1602" s="62" t="n">
        <f aca="false">ROUNDUP(CL1602+MAX(CM1602,2*(J1602/IF(CH1602&gt;0,CH1602,MAX(0.1,N(Cockpit!$C$6)))-CL1602)),0)</f>
        <v>1</v>
      </c>
      <c r="AN1602" s="63" t="n">
        <f aca="false">IF(AJ1602&gt;0,J1602/AJ1602,-1)</f>
        <v>0</v>
      </c>
      <c r="AO1602" s="63" t="n">
        <f aca="false">IF(AND(OR(CG1602="L1",CG1602="L23",CG1602="LIFT"),AJ1602&gt;0),SUMIFS($AJ$7:$AJ$1843,$CG$7:$CG$1843,CG1602,$AN$7:$AN$1843,"&gt;"&amp;AN1602)+SUMIFS($AJ$7:$AJ$1843,$CG$7:$CG$1843,CG1602,$AN$7:$AN$1843,AN1602,$BX$7:$BX$1843,"&lt;="&amp;BX1602),"")</f>
        <v>30657.7649081145</v>
      </c>
      <c r="AP1602" s="70" t="n">
        <f aca="false">IF(AO1602="",0,MAX(0,MIN(1,(IF(CG1602="L1",Parameter!$H$5,IF(CG1602="L23",Parameter!$H$6+Parameter!$H$7,Parameter!$H$5+Parameter!$H$6+Parameter!$H$7))-(AO1602-AJ1602))/AJ1602)))</f>
        <v>1</v>
      </c>
      <c r="AQ1602" s="62" t="n">
        <f aca="false">IF(LEFT(Cockpit!$I$5,1)="A",H1602,IF(Parameter!$E$30="MAX-Bestand",IF(CI1602=1,CJ1602,IF(LEFT(Cockpit!$I$5,1)="B",AW1602,MAX(AW1602,H1602))),ROUNDUP(AU1602,0)))</f>
        <v>45</v>
      </c>
      <c r="AR1602" s="62" t="n">
        <f aca="false">IF(CA1602=1,0,ROUNDUP(AQ1602/BZ1602,0))</f>
        <v>1</v>
      </c>
      <c r="AS1602" s="64" t="n">
        <f aca="false">IF(CR1602&gt;0,CR1602*MAX(1,AQ1602/X1602),IF(CA1602=1,IF(AQ1602&lt;=0,0,CE1602*MAX(1,IF(H1602&gt;0,AQ1602/H1602,1))),IF(R1602&gt;0,AR1602/R1602,0))/MAX(0.1,N(Parameter!$M$21)))</f>
        <v>0.0384615384615385</v>
      </c>
      <c r="AT1602" s="62" t="n">
        <f aca="false">AS1602*CC1602</f>
        <v>5.96153846153846</v>
      </c>
      <c r="AU1602" s="63" t="n">
        <f aca="false">IF(LEFT(Cockpit!$I$5,1)="A",H1602,IF(CI1602=1,(CL1602+CJ1602)/2,IF(LEFT(Cockpit!$I$5,1)="B",(CL1602+AW1602)/2,MAX((CL1602+AW1602)/2,H1602))))</f>
        <v>45</v>
      </c>
      <c r="AV1602" s="62" t="n">
        <f aca="false">AU1602*G1602</f>
        <v>82.8</v>
      </c>
      <c r="AW1602" s="62" t="n">
        <f aca="false">ROUNDUP(CL1602+MAX(CM1602,2*(J1602/IF(CH1602&gt;0,CH1602,MAX(0.1,N(Cockpit!$I$6)))-CL1602)),0)</f>
        <v>1</v>
      </c>
      <c r="AX1602" s="63" t="n">
        <f aca="false">IF(AT1602&gt;0,J1602/AT1602,-1)</f>
        <v>0</v>
      </c>
      <c r="AY1602" s="63" t="n">
        <f aca="false">IF(AND(OR(CG1602="L1",CG1602="L23",CG1602="LIFT"),AT1602&gt;0),SUMIFS($AT$7:$AT$1843,$CG$7:$CG$1843,CG1602,$AX$7:$AX$1843,"&gt;"&amp;AX1602)+SUMIFS($AT$7:$AT$1843,$CG$7:$CG$1843,CG1602,$AX$7:$AX$1843,AX1602,$BX$7:$BX$1843,"&lt;="&amp;BX1602),"")</f>
        <v>36977.6214249498</v>
      </c>
      <c r="AZ1602" s="70" t="n">
        <f aca="false">IF(AY1602="",0,MAX(0,MIN(1,(IF(CG1602="L1",Parameter!$H$5,IF(CG1602="L23",Parameter!$H$6+Parameter!$H$7,Parameter!$H$5+Parameter!$H$6+Parameter!$H$7))-(AY1602-AT1602))/AT1602)))</f>
        <v>0</v>
      </c>
      <c r="BA1602" s="62" t="n">
        <f aca="false">IF(LEFT(Cockpit!$O$5,1)="A",H1602,IF(Parameter!$E$30="MAX-Bestand",IF(CI1602=1,CJ1602,IF(LEFT(Cockpit!$O$5,1)="B",BG1602,MAX(BG1602,H1602))),ROUNDUP(BE1602,0)))</f>
        <v>1</v>
      </c>
      <c r="BB1602" s="62" t="n">
        <f aca="false">IF(CA1602=1,0,ROUNDUP(BA1602/BZ1602,0))</f>
        <v>1</v>
      </c>
      <c r="BC1602" s="64" t="n">
        <f aca="false">IF(CR1602&gt;0,CR1602*MAX(1,BA1602/X1602),IF(CA1602=1,IF(BA1602&lt;=0,0,CE1602*MAX(1,IF(H1602&gt;0,BA1602/H1602,1))),IF(R1602&gt;0,BB1602/R1602,0))/MAX(0.1,N(Parameter!$M$21)))</f>
        <v>0.0384615384615385</v>
      </c>
      <c r="BD1602" s="62" t="n">
        <f aca="false">BC1602*CC1602</f>
        <v>5.96153846153846</v>
      </c>
      <c r="BE1602" s="63" t="n">
        <f aca="false">IF(LEFT(Cockpit!$O$5,1)="A",H1602,IF(CI1602=1,(CL1602+CJ1602)/2,IF(LEFT(Cockpit!$O$5,1)="B",(CL1602+BG1602)/2,MAX((CL1602+BG1602)/2,H1602))))</f>
        <v>0.5</v>
      </c>
      <c r="BF1602" s="62" t="n">
        <f aca="false">BE1602*G1602</f>
        <v>0.92</v>
      </c>
      <c r="BG1602" s="62" t="n">
        <f aca="false">ROUNDUP(CL1602+MAX(CM1602,2*(J1602/IF(CH1602&gt;0,CH1602,MAX(0.1,N(Cockpit!$O$6)))-CL1602)),0)</f>
        <v>1</v>
      </c>
      <c r="BH1602" s="63" t="n">
        <f aca="false">IF(BD1602&gt;0,J1602/BD1602,-1)</f>
        <v>0</v>
      </c>
      <c r="BI1602" s="63" t="n">
        <f aca="false">IF(AND(OR(CG1602="L1",CG1602="L23",CG1602="LIFT"),BD1602&gt;0),SUMIFS($BD$7:$BD$1843,$CG$7:$CG$1843,CG1602,$BH$7:$BH$1843,"&gt;"&amp;BH1602)+SUMIFS($BD$7:$BD$1843,$CG$7:$CG$1843,CG1602,$BH$7:$BH$1843,BH1602,$BX$7:$BX$1843,"&lt;="&amp;BX1602),"")</f>
        <v>30887.0627004822</v>
      </c>
      <c r="BJ1602" s="70" t="n">
        <f aca="false">IF(BI1602="",0,MAX(0,MIN(1,(IF(CG1602="L1",Parameter!$H$5,IF(CG1602="L23",Parameter!$H$6+Parameter!$H$7,Parameter!$H$5+Parameter!$H$6+Parameter!$H$7))-(BI1602-BD1602))/BD1602)))</f>
        <v>1</v>
      </c>
      <c r="BK1602" s="60" t="str">
        <f aca="false">IF(AJ1602&lt;=0,"",IF(CG1602="Aussen","Aussenlager",IF(CG1602="-","Nicht im Lift",IF(AP1602&gt;=1,"Lift",IF(AP1602&lt;=0,"Aussenlager","teilweise")))))</f>
        <v>Lift</v>
      </c>
      <c r="BL1602" s="60" t="str">
        <f aca="false">IF(AT1602&lt;=0,"",IF(CG1602="Aussen","Aussenlager",IF(CG1602="-","Nicht im Lift",IF(AZ1602&gt;=1,"Lift",IF(AZ1602&lt;=0,"Aussenlager","teilweise")))))</f>
        <v>Aussenlager</v>
      </c>
      <c r="BM1602" s="60" t="str">
        <f aca="false">IF(BD1602&lt;=0,"",IF(CG1602="Aussen","Aussenlager",IF(CG1602="-","Nicht im Lift",IF(BJ1602&gt;=1,"Lift",IF(BJ1602&lt;=0,"Aussenlager","teilweise")))))</f>
        <v>Lift</v>
      </c>
      <c r="BN1602" s="60" t="str">
        <f aca="false">IF(A1602="","",IF(BW1602=1,"Neu; ","")&amp;IF(AND(BW1602=0,BR1602&lt;0),"negativer Bestand (Export "&amp;BR1602&amp;"); ","")&amp;IF(J1602&lt;=0,"Kein Verbrauch; ","")&amp;IF(CR1602&gt;0,"Lift "&amp;W1602&amp;" lt. Liftbericht (Fach "&amp;X1602&amp;" Stk); ",IF(CB1602=1,"Gebinde geschätzt ("&amp;T1602&amp;"); ",IF(CA1602=1,"Lose – Tablare geschätzt; ","")))&amp;IF(H1602&gt;AW1602,"Überbestand "&amp;ROUND(H1602-AW1602,0)&amp;" Stk / CHF "&amp;ROUND((H1602-AW1602)*G1602,0)&amp;"; ","")&amp;IF(AND(CI1602=1,CJ1602&lt;CK1602),"MAX &lt; MB+LG; ","")&amp;IF(AND(CQ1602&gt;0,CP1602*10&gt;CQ1602),"zu hoch für Tablar; ","")&amp;IF(AND(BW1602=0,OR(CI1602=1,AB1602&lt;&gt;"",U1602&lt;&gt;"",V1602&lt;&gt;"",AC1602&lt;&gt;"")),"manuell übersteuert; ","")&amp;IF(AND(CA1602=0,R1602=0),"Gebinde unbekannt / Stellmass fehlt; ","")&amp;IF(AND(CA1602=0,N(V1602)&lt;=0,N(Q1602)&lt;=0),"Menge pro Gebinde fehlt (Ist = 1 Gebinde); ","")&amp;BV1602)</f>
        <v>Kein Verbrauch; Gebinde geschätzt (Klein); Überbestand 44 Stk / CHF 81; Menge pro Gebinde fehlt (Ist = 1 Gebinde); nur im Artikelstamm (Bestand 23.06.2026)</v>
      </c>
      <c r="BO1602" s="60"/>
      <c r="BP1602" s="60"/>
      <c r="BQ1602" s="67"/>
      <c r="BR1602" s="62" t="n">
        <v>45</v>
      </c>
      <c r="BS1602" s="62" t="n">
        <v>0</v>
      </c>
      <c r="BT1602" s="61" t="n">
        <v>0</v>
      </c>
      <c r="BU1602" s="62" t="n">
        <v>0</v>
      </c>
      <c r="BV1602" s="60" t="s">
        <v>2617</v>
      </c>
      <c r="BW1602" s="65" t="n">
        <v>0</v>
      </c>
      <c r="BX1602" s="65" t="n">
        <v>1602</v>
      </c>
      <c r="BY1602" s="60" t="str">
        <f aca="false">IF(U1602&lt;&gt;"",UPPER(TRIM(U1602)),IF(CB1602=1,UPPER(VLOOKUP(T1602,Parameter!$I$27:$K$29,2,0)),IF(P1602="","LOSE",P1602)))</f>
        <v>S51</v>
      </c>
      <c r="BZ1602" s="62" t="n">
        <f aca="false">IF(BY1602="LOSE",1,IF(N(V1602)&gt;0,V1602,IF(CB1602=1,MAX(1,N(VLOOKUP(T1602,Parameter!$I$27:$K$29,3,0)),H1602,N(N1602)),IF(N(Q1602)&gt;0,Q1602,MAX(1,H1602)))))</f>
        <v>45</v>
      </c>
      <c r="CA1602" s="65" t="n">
        <f aca="false">IF(BY1602="LOSE",1,0)</f>
        <v>0</v>
      </c>
      <c r="CB1602" s="65" t="n">
        <f aca="false">IF(AND(U1602="",OR(P1602="",P1602="LOSE"),T1602&lt;&gt;"",N(S1602)&lt;=0,ISNUMBER(MATCH(T1602,Parameter!$I$27:$I$29,0))),1,0)</f>
        <v>1</v>
      </c>
      <c r="CC1602" s="65" t="n">
        <f aca="false">IF(CR1602&gt;0,INDEX(Parameter!$H$5:$H$7,W1602)/INDEX(Parameter!$E$5:$E$7,W1602),IF(AND(CA1602=0,N(IFERROR(VLOOKUP(BY1602,'Gebinde-Kategorie'!$A$5:$N$45,14,0),0))&gt;0),VLOOKUP(BY1602,'Gebinde-Kategorie'!$A$5:$N$45,14,0)*10+Parameter!$M$23,Parameter!$M$24))</f>
        <v>155</v>
      </c>
      <c r="CD1602" s="60" t="str">
        <f aca="false">IF(AND(Parameter!$B$19="Ja",E1602&lt;&gt;"",ISNUMBER(MATCH(E1602,Parameter!$I$35:$I$52,0))),VLOOKUP(E1602,Parameter!$I$35:$J$52,2,0),IFERROR(VLOOKUP(D1602,Parameter!$A$35:$C$64,2,0),"Nein"))</f>
        <v>2+3</v>
      </c>
      <c r="CE1602" s="64" t="n">
        <f aca="false">IF(CA1602=0,0,IF(N(S1602)&gt;0,S1602,IFERROR(VLOOKUP(D1602,Parameter!$A$35:$C$64,3,0)+0,0)))</f>
        <v>0</v>
      </c>
      <c r="CF1602" s="60" t="n">
        <f aca="false">IF(AB1602&lt;&gt;"",AB1602,AA1602)</f>
        <v>3</v>
      </c>
      <c r="CG1602" s="60" t="str">
        <f aca="false">IF(OR(CF1602=1,CF1602=2,CF1602=3),IF(Parameter!$E$27="Ja","LIFT",IF(CF1602=1,"L1","L23")),IF(CF1602="Aussen","Aussen","-"))</f>
        <v>LIFT</v>
      </c>
      <c r="CH1602" s="71" t="n">
        <f aca="false">IF(N(AC1602)&gt;0,AC1602,0)</f>
        <v>0</v>
      </c>
      <c r="CI1602" s="65" t="n">
        <f aca="false">IF(ISNUMBER(AF1602),1,0)</f>
        <v>0</v>
      </c>
      <c r="CJ1602" s="62" t="n">
        <f aca="false">N(AF1602)</f>
        <v>0</v>
      </c>
      <c r="CK1602" s="62" t="n">
        <f aca="false">N(M1602)+N(N1602)</f>
        <v>1</v>
      </c>
      <c r="CL1602" s="62" t="n">
        <f aca="false">N(M1602)</f>
        <v>0</v>
      </c>
      <c r="CM1602" s="62" t="n">
        <f aca="false">N(N1602)</f>
        <v>1</v>
      </c>
      <c r="CN1602" s="62" t="n">
        <f aca="false">ROUNDUP(H1602/BZ1602,0)</f>
        <v>1</v>
      </c>
      <c r="CO1602" s="62" t="n">
        <f aca="false">ROUNDUP(CJ1602/BZ1602,0)</f>
        <v>0</v>
      </c>
      <c r="CP1602" s="65" t="n">
        <f aca="false">IF(CA1602=1,0,IFERROR(VLOOKUP(BY1602,'Gebinde-Kategorie'!$A$5:$N$45,5,0)+0,0))</f>
        <v>11</v>
      </c>
      <c r="CQ1602" s="65" t="n">
        <f aca="false">IFERROR(IF(OR(CF1602=1,CF1602=2,CF1602=3),N(INDEX(Parameter!$I$5:$I$7,CF1602)),0),0)</f>
        <v>0</v>
      </c>
      <c r="CR1602" s="64" t="n">
        <f aca="false">IF(AND(Parameter!$B$21="Ja",ISNUMBER(W1602),N(X1602)&gt;0),IFERROR(N(INDEX(Parameter!$L$5:$L$7,W1602))*INDEX(Parameter!$E$5:$E$7,W1602)*X1602/SUMIFS($X$7:$X$1843,$W$7:$W$1843,W1602),0),0)</f>
        <v>0</v>
      </c>
      <c r="CS1602" s="62" t="n">
        <f aca="false">IF(AND(OR(CG1602="L1",CG1602="L23",CG1602="LIFT"),H1602&gt;0),CC1602*IF(CR1602&gt;0,CR1602*MAX(1,H1602/X1602),IF(CA1602=1,CE1602,IF(R1602&gt;0,CN1602/R1602,0))/MAX(0.1,N(Parameter!$M$21))),"")</f>
        <v>5.96153846153846</v>
      </c>
      <c r="CT1602" s="64" t="n">
        <f aca="false">IF(CS1602="","",J1602/H1602)</f>
        <v>0</v>
      </c>
      <c r="CU1602" s="62" t="n">
        <f aca="false">IF(CS1602="","",H1602*G1602)</f>
        <v>82.8</v>
      </c>
      <c r="CV1602" s="63" t="n">
        <f aca="false">IF(CS1602="","",(CL1602+ROUNDUP(CL1602+MAX(CM1602,2*(J1602/MAX(0.1,N(Einkauf!$C$6))-CL1602)),0))/2)</f>
        <v>0.5</v>
      </c>
      <c r="CW1602" s="62" t="n">
        <f aca="false">IF(CS1602="","",MAX(0,H1602-CV1602)*G1602)</f>
        <v>81.88</v>
      </c>
      <c r="CX1602" s="62" t="n">
        <f aca="false">IF(CS1602="","",CS1602*MAX(0,1-CV1602/H1602))</f>
        <v>5.89529914529915</v>
      </c>
      <c r="CY1602" s="64" t="n">
        <f aca="false">IF(CS1602="","",PERCENTRANK($CS$7:$CS$1843,CS1602)+PERCENTRANK($CU$7:$CU$1843,CU1602)+1-PERCENTRANK($CT$7:$CT$1843,CT1602))</f>
        <v>1.561</v>
      </c>
      <c r="CZ1602" s="72" t="n">
        <f aca="false">IF(CS1602="","",CHOOSE(MATCH(Einkauf!$C$5,Parameter!$G$23:$G$27,0),CY1602,CS1602,CU1602,-CT1602,CW1602)+ROW()/1000000000)</f>
        <v>1.561001602</v>
      </c>
    </row>
    <row r="1603" customFormat="false" ht="15" hidden="false" customHeight="false" outlineLevel="0" collapsed="false">
      <c r="A1603" s="60" t="s">
        <v>2835</v>
      </c>
      <c r="B1603" s="60" t="s">
        <v>2836</v>
      </c>
      <c r="C1603" s="60" t="s">
        <v>206</v>
      </c>
      <c r="D1603" s="60" t="s">
        <v>226</v>
      </c>
      <c r="E1603" s="60"/>
      <c r="F1603" s="60"/>
      <c r="G1603" s="61" t="n">
        <v>28.6</v>
      </c>
      <c r="H1603" s="62" t="n">
        <f aca="false">MAX(0,IF(AND(Parameter!$B$21="Ja",ISNUMBER(Y1603)),Y1603,IF(Parameter!$B$20="Jahresanfang 2025 + Export",BS1603+BR1603,BR1603)))</f>
        <v>6</v>
      </c>
      <c r="I1603" s="62" t="n">
        <f aca="false">H1603*G1603</f>
        <v>171.6</v>
      </c>
      <c r="J1603" s="62" t="n">
        <f aca="false">BU1603*Parameter!$B$18</f>
        <v>0</v>
      </c>
      <c r="K1603" s="63"/>
      <c r="L1603" s="64"/>
      <c r="M1603" s="62" t="n">
        <v>0</v>
      </c>
      <c r="N1603" s="62" t="n">
        <v>10</v>
      </c>
      <c r="O1603" s="65" t="n">
        <v>14</v>
      </c>
      <c r="P1603" s="60" t="s">
        <v>210</v>
      </c>
      <c r="Q1603" s="62"/>
      <c r="R1603" s="65" t="n">
        <f aca="false">IF(CA1603=1,0,IFERROR(VLOOKUP(BY1603,'Gebinde-Kategorie'!$A$5:$N$45,13,0)+0,0))</f>
        <v>26</v>
      </c>
      <c r="S1603" s="66"/>
      <c r="T1603" s="67" t="s">
        <v>317</v>
      </c>
      <c r="U1603" s="67"/>
      <c r="V1603" s="67"/>
      <c r="W1603" s="60"/>
      <c r="X1603" s="62"/>
      <c r="Y1603" s="62"/>
      <c r="Z1603" s="60" t="n">
        <v>3</v>
      </c>
      <c r="AA1603" s="60" t="n">
        <f aca="false">IF(A1603="","",IF(AND(Parameter!$B$21="Ja",ISNUMBER(W1603)),W1603,IF(AND(Parameter!$E$27="Ja",ISNUMBER(Z1603),CD1603&lt;&gt;"Nein"),Z1603,IF(CD1603="2+3",IF(ISNUMBER(SEARCH("grosser Artikel",BV1603)),2,IFERROR(VLOOKUP(BY1603,Parameter!$F$35:$G$64,2,0),2)),IF(OR(CD1603="Nein",CD1603=""),"-",CD1603)))))</f>
        <v>3</v>
      </c>
      <c r="AB1603" s="67"/>
      <c r="AC1603" s="68"/>
      <c r="AD1603" s="62" t="n">
        <f aca="false">AW1603</f>
        <v>10</v>
      </c>
      <c r="AE1603" s="62" t="n">
        <f aca="false">MAX(AW1603,H1603)</f>
        <v>10</v>
      </c>
      <c r="AF1603" s="69"/>
      <c r="AG1603" s="62" t="n">
        <f aca="false">IF(LEFT(Cockpit!$C$5,1)="A",H1603,IF(Parameter!$E$30="MAX-Bestand",IF(CI1603=1,CJ1603,IF(LEFT(Cockpit!$C$5,1)="B",AM1603,MAX(AM1603,H1603))),ROUNDUP(AK1603,0)))</f>
        <v>6</v>
      </c>
      <c r="AH1603" s="62" t="n">
        <f aca="false">IF(CA1603=1,0,ROUNDUP(AG1603/BZ1603,0))</f>
        <v>1</v>
      </c>
      <c r="AI1603" s="64" t="n">
        <f aca="false">IF(CR1603&gt;0,CR1603*MAX(1,AG1603/X1603),IF(CA1603=1,IF(AG1603&lt;=0,0,CE1603*MAX(1,IF(H1603&gt;0,AG1603/H1603,1))),IF(R1603&gt;0,AH1603/R1603,0))/MAX(0.1,N(Parameter!$M$21)))</f>
        <v>0.0384615384615385</v>
      </c>
      <c r="AJ1603" s="62" t="n">
        <f aca="false">AI1603*CC1603</f>
        <v>5.96153846153846</v>
      </c>
      <c r="AK1603" s="63" t="n">
        <f aca="false">IF(LEFT(Cockpit!$C$5,1)="A",H1603,IF(CI1603=1,(CL1603+CJ1603)/2,IF(LEFT(Cockpit!$C$5,1)="B",(CL1603+AM1603)/2,MAX((CL1603+AM1603)/2,H1603))))</f>
        <v>6</v>
      </c>
      <c r="AL1603" s="62" t="n">
        <f aca="false">AK1603*G1603</f>
        <v>171.6</v>
      </c>
      <c r="AM1603" s="62" t="n">
        <f aca="false">ROUNDUP(CL1603+MAX(CM1603,2*(J1603/IF(CH1603&gt;0,CH1603,MAX(0.1,N(Cockpit!$C$6)))-CL1603)),0)</f>
        <v>10</v>
      </c>
      <c r="AN1603" s="63" t="n">
        <f aca="false">IF(AJ1603&gt;0,J1603/AJ1603,-1)</f>
        <v>0</v>
      </c>
      <c r="AO1603" s="63" t="n">
        <f aca="false">IF(AND(OR(CG1603="L1",CG1603="L23",CG1603="LIFT"),AJ1603&gt;0),SUMIFS($AJ$7:$AJ$1843,$CG$7:$CG$1843,CG1603,$AN$7:$AN$1843,"&gt;"&amp;AN1603)+SUMIFS($AJ$7:$AJ$1843,$CG$7:$CG$1843,CG1603,$AN$7:$AN$1843,AN1603,$BX$7:$BX$1843,"&lt;="&amp;BX1603),"")</f>
        <v>30663.726446576</v>
      </c>
      <c r="AP1603" s="70" t="n">
        <f aca="false">IF(AO1603="",0,MAX(0,MIN(1,(IF(CG1603="L1",Parameter!$H$5,IF(CG1603="L23",Parameter!$H$6+Parameter!$H$7,Parameter!$H$5+Parameter!$H$6+Parameter!$H$7))-(AO1603-AJ1603))/AJ1603)))</f>
        <v>1</v>
      </c>
      <c r="AQ1603" s="62" t="n">
        <f aca="false">IF(LEFT(Cockpit!$I$5,1)="A",H1603,IF(Parameter!$E$30="MAX-Bestand",IF(CI1603=1,CJ1603,IF(LEFT(Cockpit!$I$5,1)="B",AW1603,MAX(AW1603,H1603))),ROUNDUP(AU1603,0)))</f>
        <v>6</v>
      </c>
      <c r="AR1603" s="62" t="n">
        <f aca="false">IF(CA1603=1,0,ROUNDUP(AQ1603/BZ1603,0))</f>
        <v>1</v>
      </c>
      <c r="AS1603" s="64" t="n">
        <f aca="false">IF(CR1603&gt;0,CR1603*MAX(1,AQ1603/X1603),IF(CA1603=1,IF(AQ1603&lt;=0,0,CE1603*MAX(1,IF(H1603&gt;0,AQ1603/H1603,1))),IF(R1603&gt;0,AR1603/R1603,0))/MAX(0.1,N(Parameter!$M$21)))</f>
        <v>0.0384615384615385</v>
      </c>
      <c r="AT1603" s="62" t="n">
        <f aca="false">AS1603*CC1603</f>
        <v>5.96153846153846</v>
      </c>
      <c r="AU1603" s="63" t="n">
        <f aca="false">IF(LEFT(Cockpit!$I$5,1)="A",H1603,IF(CI1603=1,(CL1603+CJ1603)/2,IF(LEFT(Cockpit!$I$5,1)="B",(CL1603+AW1603)/2,MAX((CL1603+AW1603)/2,H1603))))</f>
        <v>6</v>
      </c>
      <c r="AV1603" s="62" t="n">
        <f aca="false">AU1603*G1603</f>
        <v>171.6</v>
      </c>
      <c r="AW1603" s="62" t="n">
        <f aca="false">ROUNDUP(CL1603+MAX(CM1603,2*(J1603/IF(CH1603&gt;0,CH1603,MAX(0.1,N(Cockpit!$I$6)))-CL1603)),0)</f>
        <v>10</v>
      </c>
      <c r="AX1603" s="63" t="n">
        <f aca="false">IF(AT1603&gt;0,J1603/AT1603,-1)</f>
        <v>0</v>
      </c>
      <c r="AY1603" s="63" t="n">
        <f aca="false">IF(AND(OR(CG1603="L1",CG1603="L23",CG1603="LIFT"),AT1603&gt;0),SUMIFS($AT$7:$AT$1843,$CG$7:$CG$1843,CG1603,$AX$7:$AX$1843,"&gt;"&amp;AX1603)+SUMIFS($AT$7:$AT$1843,$CG$7:$CG$1843,CG1603,$AX$7:$AX$1843,AX1603,$BX$7:$BX$1843,"&lt;="&amp;BX1603),"")</f>
        <v>36983.5829634114</v>
      </c>
      <c r="AZ1603" s="70" t="n">
        <f aca="false">IF(AY1603="",0,MAX(0,MIN(1,(IF(CG1603="L1",Parameter!$H$5,IF(CG1603="L23",Parameter!$H$6+Parameter!$H$7,Parameter!$H$5+Parameter!$H$6+Parameter!$H$7))-(AY1603-AT1603))/AT1603)))</f>
        <v>0</v>
      </c>
      <c r="BA1603" s="62" t="n">
        <f aca="false">IF(LEFT(Cockpit!$O$5,1)="A",H1603,IF(Parameter!$E$30="MAX-Bestand",IF(CI1603=1,CJ1603,IF(LEFT(Cockpit!$O$5,1)="B",BG1603,MAX(BG1603,H1603))),ROUNDUP(BE1603,0)))</f>
        <v>5</v>
      </c>
      <c r="BB1603" s="62" t="n">
        <f aca="false">IF(CA1603=1,0,ROUNDUP(BA1603/BZ1603,0))</f>
        <v>1</v>
      </c>
      <c r="BC1603" s="64" t="n">
        <f aca="false">IF(CR1603&gt;0,CR1603*MAX(1,BA1603/X1603),IF(CA1603=1,IF(BA1603&lt;=0,0,CE1603*MAX(1,IF(H1603&gt;0,BA1603/H1603,1))),IF(R1603&gt;0,BB1603/R1603,0))/MAX(0.1,N(Parameter!$M$21)))</f>
        <v>0.0384615384615385</v>
      </c>
      <c r="BD1603" s="62" t="n">
        <f aca="false">BC1603*CC1603</f>
        <v>5.96153846153846</v>
      </c>
      <c r="BE1603" s="63" t="n">
        <f aca="false">IF(LEFT(Cockpit!$O$5,1)="A",H1603,IF(CI1603=1,(CL1603+CJ1603)/2,IF(LEFT(Cockpit!$O$5,1)="B",(CL1603+BG1603)/2,MAX((CL1603+BG1603)/2,H1603))))</f>
        <v>5</v>
      </c>
      <c r="BF1603" s="62" t="n">
        <f aca="false">BE1603*G1603</f>
        <v>143</v>
      </c>
      <c r="BG1603" s="62" t="n">
        <f aca="false">ROUNDUP(CL1603+MAX(CM1603,2*(J1603/IF(CH1603&gt;0,CH1603,MAX(0.1,N(Cockpit!$O$6)))-CL1603)),0)</f>
        <v>10</v>
      </c>
      <c r="BH1603" s="63" t="n">
        <f aca="false">IF(BD1603&gt;0,J1603/BD1603,-1)</f>
        <v>0</v>
      </c>
      <c r="BI1603" s="63" t="n">
        <f aca="false">IF(AND(OR(CG1603="L1",CG1603="L23",CG1603="LIFT"),BD1603&gt;0),SUMIFS($BD$7:$BD$1843,$CG$7:$CG$1843,CG1603,$BH$7:$BH$1843,"&gt;"&amp;BH1603)+SUMIFS($BD$7:$BD$1843,$CG$7:$CG$1843,CG1603,$BH$7:$BH$1843,BH1603,$BX$7:$BX$1843,"&lt;="&amp;BX1603),"")</f>
        <v>30893.0242389437</v>
      </c>
      <c r="BJ1603" s="70" t="n">
        <f aca="false">IF(BI1603="",0,MAX(0,MIN(1,(IF(CG1603="L1",Parameter!$H$5,IF(CG1603="L23",Parameter!$H$6+Parameter!$H$7,Parameter!$H$5+Parameter!$H$6+Parameter!$H$7))-(BI1603-BD1603))/BD1603)))</f>
        <v>1</v>
      </c>
      <c r="BK1603" s="60" t="str">
        <f aca="false">IF(AJ1603&lt;=0,"",IF(CG1603="Aussen","Aussenlager",IF(CG1603="-","Nicht im Lift",IF(AP1603&gt;=1,"Lift",IF(AP1603&lt;=0,"Aussenlager","teilweise")))))</f>
        <v>Lift</v>
      </c>
      <c r="BL1603" s="60" t="str">
        <f aca="false">IF(AT1603&lt;=0,"",IF(CG1603="Aussen","Aussenlager",IF(CG1603="-","Nicht im Lift",IF(AZ1603&gt;=1,"Lift",IF(AZ1603&lt;=0,"Aussenlager","teilweise")))))</f>
        <v>Aussenlager</v>
      </c>
      <c r="BM1603" s="60" t="str">
        <f aca="false">IF(BD1603&lt;=0,"",IF(CG1603="Aussen","Aussenlager",IF(CG1603="-","Nicht im Lift",IF(BJ1603&gt;=1,"Lift",IF(BJ1603&lt;=0,"Aussenlager","teilweise")))))</f>
        <v>Lift</v>
      </c>
      <c r="BN1603" s="60" t="str">
        <f aca="false">IF(A1603="","",IF(BW1603=1,"Neu; ","")&amp;IF(AND(BW1603=0,BR1603&lt;0),"negativer Bestand (Export "&amp;BR1603&amp;"); ","")&amp;IF(J1603&lt;=0,"Kein Verbrauch; ","")&amp;IF(CR1603&gt;0,"Lift "&amp;W1603&amp;" lt. Liftbericht (Fach "&amp;X1603&amp;" Stk); ",IF(CB1603=1,"Gebinde geschätzt ("&amp;T1603&amp;"); ",IF(CA1603=1,"Lose – Tablare geschätzt; ","")))&amp;IF(H1603&gt;AW1603,"Überbestand "&amp;ROUND(H1603-AW1603,0)&amp;" Stk / CHF "&amp;ROUND((H1603-AW1603)*G1603,0)&amp;"; ","")&amp;IF(AND(CI1603=1,CJ1603&lt;CK1603),"MAX &lt; MB+LG; ","")&amp;IF(AND(CQ1603&gt;0,CP1603*10&gt;CQ1603),"zu hoch für Tablar; ","")&amp;IF(AND(BW1603=0,OR(CI1603=1,AB1603&lt;&gt;"",U1603&lt;&gt;"",V1603&lt;&gt;"",AC1603&lt;&gt;"")),"manuell übersteuert; ","")&amp;IF(AND(CA1603=0,R1603=0),"Gebinde unbekannt / Stellmass fehlt; ","")&amp;IF(AND(CA1603=0,N(V1603)&lt;=0,N(Q1603)&lt;=0),"Menge pro Gebinde fehlt (Ist = 1 Gebinde); ","")&amp;BV1603)</f>
        <v>Kein Verbrauch; Gebinde geschätzt (Klein); Menge pro Gebinde fehlt (Ist = 1 Gebinde); nur im Artikelstamm (Bestand 23.06.2026)</v>
      </c>
      <c r="BO1603" s="60"/>
      <c r="BP1603" s="60"/>
      <c r="BQ1603" s="67"/>
      <c r="BR1603" s="62" t="n">
        <v>6</v>
      </c>
      <c r="BS1603" s="62" t="n">
        <v>0</v>
      </c>
      <c r="BT1603" s="61" t="n">
        <v>0</v>
      </c>
      <c r="BU1603" s="62" t="n">
        <v>0</v>
      </c>
      <c r="BV1603" s="60" t="s">
        <v>2617</v>
      </c>
      <c r="BW1603" s="65" t="n">
        <v>0</v>
      </c>
      <c r="BX1603" s="65" t="n">
        <v>1603</v>
      </c>
      <c r="BY1603" s="60" t="str">
        <f aca="false">IF(U1603&lt;&gt;"",UPPER(TRIM(U1603)),IF(CB1603=1,UPPER(VLOOKUP(T1603,Parameter!$I$27:$K$29,2,0)),IF(P1603="","LOSE",P1603)))</f>
        <v>S51</v>
      </c>
      <c r="BZ1603" s="62" t="n">
        <f aca="false">IF(BY1603="LOSE",1,IF(N(V1603)&gt;0,V1603,IF(CB1603=1,MAX(1,N(VLOOKUP(T1603,Parameter!$I$27:$K$29,3,0)),H1603,N(N1603)),IF(N(Q1603)&gt;0,Q1603,MAX(1,H1603)))))</f>
        <v>20</v>
      </c>
      <c r="CA1603" s="65" t="n">
        <f aca="false">IF(BY1603="LOSE",1,0)</f>
        <v>0</v>
      </c>
      <c r="CB1603" s="65" t="n">
        <f aca="false">IF(AND(U1603="",OR(P1603="",P1603="LOSE"),T1603&lt;&gt;"",N(S1603)&lt;=0,ISNUMBER(MATCH(T1603,Parameter!$I$27:$I$29,0))),1,0)</f>
        <v>1</v>
      </c>
      <c r="CC1603" s="65" t="n">
        <f aca="false">IF(CR1603&gt;0,INDEX(Parameter!$H$5:$H$7,W1603)/INDEX(Parameter!$E$5:$E$7,W1603),IF(AND(CA1603=0,N(IFERROR(VLOOKUP(BY1603,'Gebinde-Kategorie'!$A$5:$N$45,14,0),0))&gt;0),VLOOKUP(BY1603,'Gebinde-Kategorie'!$A$5:$N$45,14,0)*10+Parameter!$M$23,Parameter!$M$24))</f>
        <v>155</v>
      </c>
      <c r="CD1603" s="60" t="str">
        <f aca="false">IF(AND(Parameter!$B$19="Ja",E1603&lt;&gt;"",ISNUMBER(MATCH(E1603,Parameter!$I$35:$I$52,0))),VLOOKUP(E1603,Parameter!$I$35:$J$52,2,0),IFERROR(VLOOKUP(D1603,Parameter!$A$35:$C$64,2,0),"Nein"))</f>
        <v>2+3</v>
      </c>
      <c r="CE1603" s="64" t="n">
        <f aca="false">IF(CA1603=0,0,IF(N(S1603)&gt;0,S1603,IFERROR(VLOOKUP(D1603,Parameter!$A$35:$C$64,3,0)+0,0)))</f>
        <v>0</v>
      </c>
      <c r="CF1603" s="60" t="n">
        <f aca="false">IF(AB1603&lt;&gt;"",AB1603,AA1603)</f>
        <v>3</v>
      </c>
      <c r="CG1603" s="60" t="str">
        <f aca="false">IF(OR(CF1603=1,CF1603=2,CF1603=3),IF(Parameter!$E$27="Ja","LIFT",IF(CF1603=1,"L1","L23")),IF(CF1603="Aussen","Aussen","-"))</f>
        <v>LIFT</v>
      </c>
      <c r="CH1603" s="71" t="n">
        <f aca="false">IF(N(AC1603)&gt;0,AC1603,0)</f>
        <v>0</v>
      </c>
      <c r="CI1603" s="65" t="n">
        <f aca="false">IF(ISNUMBER(AF1603),1,0)</f>
        <v>0</v>
      </c>
      <c r="CJ1603" s="62" t="n">
        <f aca="false">N(AF1603)</f>
        <v>0</v>
      </c>
      <c r="CK1603" s="62" t="n">
        <f aca="false">N(M1603)+N(N1603)</f>
        <v>10</v>
      </c>
      <c r="CL1603" s="62" t="n">
        <f aca="false">N(M1603)</f>
        <v>0</v>
      </c>
      <c r="CM1603" s="62" t="n">
        <f aca="false">N(N1603)</f>
        <v>10</v>
      </c>
      <c r="CN1603" s="62" t="n">
        <f aca="false">ROUNDUP(H1603/BZ1603,0)</f>
        <v>1</v>
      </c>
      <c r="CO1603" s="62" t="n">
        <f aca="false">ROUNDUP(CJ1603/BZ1603,0)</f>
        <v>0</v>
      </c>
      <c r="CP1603" s="65" t="n">
        <f aca="false">IF(CA1603=1,0,IFERROR(VLOOKUP(BY1603,'Gebinde-Kategorie'!$A$5:$N$45,5,0)+0,0))</f>
        <v>11</v>
      </c>
      <c r="CQ1603" s="65" t="n">
        <f aca="false">IFERROR(IF(OR(CF1603=1,CF1603=2,CF1603=3),N(INDEX(Parameter!$I$5:$I$7,CF1603)),0),0)</f>
        <v>0</v>
      </c>
      <c r="CR1603" s="64" t="n">
        <f aca="false">IF(AND(Parameter!$B$21="Ja",ISNUMBER(W1603),N(X1603)&gt;0),IFERROR(N(INDEX(Parameter!$L$5:$L$7,W1603))*INDEX(Parameter!$E$5:$E$7,W1603)*X1603/SUMIFS($X$7:$X$1843,$W$7:$W$1843,W1603),0),0)</f>
        <v>0</v>
      </c>
      <c r="CS1603" s="62" t="n">
        <f aca="false">IF(AND(OR(CG1603="L1",CG1603="L23",CG1603="LIFT"),H1603&gt;0),CC1603*IF(CR1603&gt;0,CR1603*MAX(1,H1603/X1603),IF(CA1603=1,CE1603,IF(R1603&gt;0,CN1603/R1603,0))/MAX(0.1,N(Parameter!$M$21))),"")</f>
        <v>5.96153846153846</v>
      </c>
      <c r="CT1603" s="64" t="n">
        <f aca="false">IF(CS1603="","",J1603/H1603)</f>
        <v>0</v>
      </c>
      <c r="CU1603" s="62" t="n">
        <f aca="false">IF(CS1603="","",H1603*G1603)</f>
        <v>171.6</v>
      </c>
      <c r="CV1603" s="63" t="n">
        <f aca="false">IF(CS1603="","",(CL1603+ROUNDUP(CL1603+MAX(CM1603,2*(J1603/MAX(0.1,N(Einkauf!$C$6))-CL1603)),0))/2)</f>
        <v>5</v>
      </c>
      <c r="CW1603" s="62" t="n">
        <f aca="false">IF(CS1603="","",MAX(0,H1603-CV1603)*G1603)</f>
        <v>28.6</v>
      </c>
      <c r="CX1603" s="62" t="n">
        <f aca="false">IF(CS1603="","",CS1603*MAX(0,1-CV1603/H1603))</f>
        <v>0.993589743589743</v>
      </c>
      <c r="CY1603" s="64" t="n">
        <f aca="false">IF(CS1603="","",PERCENTRANK($CS$7:$CS$1843,CS1603)+PERCENTRANK($CU$7:$CU$1843,CU1603)+1-PERCENTRANK($CT$7:$CT$1843,CT1603))</f>
        <v>1.673</v>
      </c>
      <c r="CZ1603" s="72" t="n">
        <f aca="false">IF(CS1603="","",CHOOSE(MATCH(Einkauf!$C$5,Parameter!$G$23:$G$27,0),CY1603,CS1603,CU1603,-CT1603,CW1603)+ROW()/1000000000)</f>
        <v>1.673001603</v>
      </c>
    </row>
    <row r="1604" customFormat="false" ht="15" hidden="false" customHeight="false" outlineLevel="0" collapsed="false">
      <c r="A1604" s="60" t="s">
        <v>2837</v>
      </c>
      <c r="B1604" s="60" t="s">
        <v>2838</v>
      </c>
      <c r="C1604" s="60" t="s">
        <v>206</v>
      </c>
      <c r="D1604" s="60" t="s">
        <v>226</v>
      </c>
      <c r="E1604" s="60"/>
      <c r="F1604" s="60"/>
      <c r="G1604" s="61" t="n">
        <v>0.08</v>
      </c>
      <c r="H1604" s="62" t="n">
        <f aca="false">MAX(0,IF(AND(Parameter!$B$21="Ja",ISNUMBER(Y1604)),Y1604,IF(Parameter!$B$20="Jahresanfang 2025 + Export",BS1604+BR1604,BR1604)))</f>
        <v>1700</v>
      </c>
      <c r="I1604" s="62" t="n">
        <f aca="false">H1604*G1604</f>
        <v>136</v>
      </c>
      <c r="J1604" s="62" t="n">
        <f aca="false">BU1604*Parameter!$B$18</f>
        <v>0</v>
      </c>
      <c r="K1604" s="63"/>
      <c r="L1604" s="64"/>
      <c r="M1604" s="62" t="n">
        <v>0</v>
      </c>
      <c r="N1604" s="62" t="n">
        <v>100</v>
      </c>
      <c r="O1604" s="65" t="n">
        <v>14</v>
      </c>
      <c r="P1604" s="60" t="s">
        <v>210</v>
      </c>
      <c r="Q1604" s="62"/>
      <c r="R1604" s="65" t="n">
        <f aca="false">IF(CA1604=1,0,IFERROR(VLOOKUP(BY1604,'Gebinde-Kategorie'!$A$5:$N$45,13,0)+0,0))</f>
        <v>26</v>
      </c>
      <c r="S1604" s="66"/>
      <c r="T1604" s="67" t="s">
        <v>317</v>
      </c>
      <c r="U1604" s="67"/>
      <c r="V1604" s="67"/>
      <c r="W1604" s="60"/>
      <c r="X1604" s="62"/>
      <c r="Y1604" s="62"/>
      <c r="Z1604" s="60" t="n">
        <v>3</v>
      </c>
      <c r="AA1604" s="60" t="n">
        <f aca="false">IF(A1604="","",IF(AND(Parameter!$B$21="Ja",ISNUMBER(W1604)),W1604,IF(AND(Parameter!$E$27="Ja",ISNUMBER(Z1604),CD1604&lt;&gt;"Nein"),Z1604,IF(CD1604="2+3",IF(ISNUMBER(SEARCH("grosser Artikel",BV1604)),2,IFERROR(VLOOKUP(BY1604,Parameter!$F$35:$G$64,2,0),2)),IF(OR(CD1604="Nein",CD1604=""),"-",CD1604)))))</f>
        <v>3</v>
      </c>
      <c r="AB1604" s="67"/>
      <c r="AC1604" s="68"/>
      <c r="AD1604" s="62" t="n">
        <f aca="false">AW1604</f>
        <v>100</v>
      </c>
      <c r="AE1604" s="62" t="n">
        <f aca="false">MAX(AW1604,H1604)</f>
        <v>1700</v>
      </c>
      <c r="AF1604" s="69"/>
      <c r="AG1604" s="62" t="n">
        <f aca="false">IF(LEFT(Cockpit!$C$5,1)="A",H1604,IF(Parameter!$E$30="MAX-Bestand",IF(CI1604=1,CJ1604,IF(LEFT(Cockpit!$C$5,1)="B",AM1604,MAX(AM1604,H1604))),ROUNDUP(AK1604,0)))</f>
        <v>1700</v>
      </c>
      <c r="AH1604" s="62" t="n">
        <f aca="false">IF(CA1604=1,0,ROUNDUP(AG1604/BZ1604,0))</f>
        <v>1</v>
      </c>
      <c r="AI1604" s="64" t="n">
        <f aca="false">IF(CR1604&gt;0,CR1604*MAX(1,AG1604/X1604),IF(CA1604=1,IF(AG1604&lt;=0,0,CE1604*MAX(1,IF(H1604&gt;0,AG1604/H1604,1))),IF(R1604&gt;0,AH1604/R1604,0))/MAX(0.1,N(Parameter!$M$21)))</f>
        <v>0.0384615384615385</v>
      </c>
      <c r="AJ1604" s="62" t="n">
        <f aca="false">AI1604*CC1604</f>
        <v>5.96153846153846</v>
      </c>
      <c r="AK1604" s="63" t="n">
        <f aca="false">IF(LEFT(Cockpit!$C$5,1)="A",H1604,IF(CI1604=1,(CL1604+CJ1604)/2,IF(LEFT(Cockpit!$C$5,1)="B",(CL1604+AM1604)/2,MAX((CL1604+AM1604)/2,H1604))))</f>
        <v>1700</v>
      </c>
      <c r="AL1604" s="62" t="n">
        <f aca="false">AK1604*G1604</f>
        <v>136</v>
      </c>
      <c r="AM1604" s="62" t="n">
        <f aca="false">ROUNDUP(CL1604+MAX(CM1604,2*(J1604/IF(CH1604&gt;0,CH1604,MAX(0.1,N(Cockpit!$C$6)))-CL1604)),0)</f>
        <v>100</v>
      </c>
      <c r="AN1604" s="63" t="n">
        <f aca="false">IF(AJ1604&gt;0,J1604/AJ1604,-1)</f>
        <v>0</v>
      </c>
      <c r="AO1604" s="63" t="n">
        <f aca="false">IF(AND(OR(CG1604="L1",CG1604="L23",CG1604="LIFT"),AJ1604&gt;0),SUMIFS($AJ$7:$AJ$1843,$CG$7:$CG$1843,CG1604,$AN$7:$AN$1843,"&gt;"&amp;AN1604)+SUMIFS($AJ$7:$AJ$1843,$CG$7:$CG$1843,CG1604,$AN$7:$AN$1843,AN1604,$BX$7:$BX$1843,"&lt;="&amp;BX1604),"")</f>
        <v>30669.6879850376</v>
      </c>
      <c r="AP1604" s="70" t="n">
        <f aca="false">IF(AO1604="",0,MAX(0,MIN(1,(IF(CG1604="L1",Parameter!$H$5,IF(CG1604="L23",Parameter!$H$6+Parameter!$H$7,Parameter!$H$5+Parameter!$H$6+Parameter!$H$7))-(AO1604-AJ1604))/AJ1604)))</f>
        <v>1</v>
      </c>
      <c r="AQ1604" s="62" t="n">
        <f aca="false">IF(LEFT(Cockpit!$I$5,1)="A",H1604,IF(Parameter!$E$30="MAX-Bestand",IF(CI1604=1,CJ1604,IF(LEFT(Cockpit!$I$5,1)="B",AW1604,MAX(AW1604,H1604))),ROUNDUP(AU1604,0)))</f>
        <v>1700</v>
      </c>
      <c r="AR1604" s="62" t="n">
        <f aca="false">IF(CA1604=1,0,ROUNDUP(AQ1604/BZ1604,0))</f>
        <v>1</v>
      </c>
      <c r="AS1604" s="64" t="n">
        <f aca="false">IF(CR1604&gt;0,CR1604*MAX(1,AQ1604/X1604),IF(CA1604=1,IF(AQ1604&lt;=0,0,CE1604*MAX(1,IF(H1604&gt;0,AQ1604/H1604,1))),IF(R1604&gt;0,AR1604/R1604,0))/MAX(0.1,N(Parameter!$M$21)))</f>
        <v>0.0384615384615385</v>
      </c>
      <c r="AT1604" s="62" t="n">
        <f aca="false">AS1604*CC1604</f>
        <v>5.96153846153846</v>
      </c>
      <c r="AU1604" s="63" t="n">
        <f aca="false">IF(LEFT(Cockpit!$I$5,1)="A",H1604,IF(CI1604=1,(CL1604+CJ1604)/2,IF(LEFT(Cockpit!$I$5,1)="B",(CL1604+AW1604)/2,MAX((CL1604+AW1604)/2,H1604))))</f>
        <v>1700</v>
      </c>
      <c r="AV1604" s="62" t="n">
        <f aca="false">AU1604*G1604</f>
        <v>136</v>
      </c>
      <c r="AW1604" s="62" t="n">
        <f aca="false">ROUNDUP(CL1604+MAX(CM1604,2*(J1604/IF(CH1604&gt;0,CH1604,MAX(0.1,N(Cockpit!$I$6)))-CL1604)),0)</f>
        <v>100</v>
      </c>
      <c r="AX1604" s="63" t="n">
        <f aca="false">IF(AT1604&gt;0,J1604/AT1604,-1)</f>
        <v>0</v>
      </c>
      <c r="AY1604" s="63" t="n">
        <f aca="false">IF(AND(OR(CG1604="L1",CG1604="L23",CG1604="LIFT"),AT1604&gt;0),SUMIFS($AT$7:$AT$1843,$CG$7:$CG$1843,CG1604,$AX$7:$AX$1843,"&gt;"&amp;AX1604)+SUMIFS($AT$7:$AT$1843,$CG$7:$CG$1843,CG1604,$AX$7:$AX$1843,AX1604,$BX$7:$BX$1843,"&lt;="&amp;BX1604),"")</f>
        <v>36989.5445018729</v>
      </c>
      <c r="AZ1604" s="70" t="n">
        <f aca="false">IF(AY1604="",0,MAX(0,MIN(1,(IF(CG1604="L1",Parameter!$H$5,IF(CG1604="L23",Parameter!$H$6+Parameter!$H$7,Parameter!$H$5+Parameter!$H$6+Parameter!$H$7))-(AY1604-AT1604))/AT1604)))</f>
        <v>0</v>
      </c>
      <c r="BA1604" s="62" t="n">
        <f aca="false">IF(LEFT(Cockpit!$O$5,1)="A",H1604,IF(Parameter!$E$30="MAX-Bestand",IF(CI1604=1,CJ1604,IF(LEFT(Cockpit!$O$5,1)="B",BG1604,MAX(BG1604,H1604))),ROUNDUP(BE1604,0)))</f>
        <v>50</v>
      </c>
      <c r="BB1604" s="62" t="n">
        <f aca="false">IF(CA1604=1,0,ROUNDUP(BA1604/BZ1604,0))</f>
        <v>1</v>
      </c>
      <c r="BC1604" s="64" t="n">
        <f aca="false">IF(CR1604&gt;0,CR1604*MAX(1,BA1604/X1604),IF(CA1604=1,IF(BA1604&lt;=0,0,CE1604*MAX(1,IF(H1604&gt;0,BA1604/H1604,1))),IF(R1604&gt;0,BB1604/R1604,0))/MAX(0.1,N(Parameter!$M$21)))</f>
        <v>0.0384615384615385</v>
      </c>
      <c r="BD1604" s="62" t="n">
        <f aca="false">BC1604*CC1604</f>
        <v>5.96153846153846</v>
      </c>
      <c r="BE1604" s="63" t="n">
        <f aca="false">IF(LEFT(Cockpit!$O$5,1)="A",H1604,IF(CI1604=1,(CL1604+CJ1604)/2,IF(LEFT(Cockpit!$O$5,1)="B",(CL1604+BG1604)/2,MAX((CL1604+BG1604)/2,H1604))))</f>
        <v>50</v>
      </c>
      <c r="BF1604" s="62" t="n">
        <f aca="false">BE1604*G1604</f>
        <v>4</v>
      </c>
      <c r="BG1604" s="62" t="n">
        <f aca="false">ROUNDUP(CL1604+MAX(CM1604,2*(J1604/IF(CH1604&gt;0,CH1604,MAX(0.1,N(Cockpit!$O$6)))-CL1604)),0)</f>
        <v>100</v>
      </c>
      <c r="BH1604" s="63" t="n">
        <f aca="false">IF(BD1604&gt;0,J1604/BD1604,-1)</f>
        <v>0</v>
      </c>
      <c r="BI1604" s="63" t="n">
        <f aca="false">IF(AND(OR(CG1604="L1",CG1604="L23",CG1604="LIFT"),BD1604&gt;0),SUMIFS($BD$7:$BD$1843,$CG$7:$CG$1843,CG1604,$BH$7:$BH$1843,"&gt;"&amp;BH1604)+SUMIFS($BD$7:$BD$1843,$CG$7:$CG$1843,CG1604,$BH$7:$BH$1843,BH1604,$BX$7:$BX$1843,"&lt;="&amp;BX1604),"")</f>
        <v>30898.9857774053</v>
      </c>
      <c r="BJ1604" s="70" t="n">
        <f aca="false">IF(BI1604="",0,MAX(0,MIN(1,(IF(CG1604="L1",Parameter!$H$5,IF(CG1604="L23",Parameter!$H$6+Parameter!$H$7,Parameter!$H$5+Parameter!$H$6+Parameter!$H$7))-(BI1604-BD1604))/BD1604)))</f>
        <v>1</v>
      </c>
      <c r="BK1604" s="60" t="str">
        <f aca="false">IF(AJ1604&lt;=0,"",IF(CG1604="Aussen","Aussenlager",IF(CG1604="-","Nicht im Lift",IF(AP1604&gt;=1,"Lift",IF(AP1604&lt;=0,"Aussenlager","teilweise")))))</f>
        <v>Lift</v>
      </c>
      <c r="BL1604" s="60" t="str">
        <f aca="false">IF(AT1604&lt;=0,"",IF(CG1604="Aussen","Aussenlager",IF(CG1604="-","Nicht im Lift",IF(AZ1604&gt;=1,"Lift",IF(AZ1604&lt;=0,"Aussenlager","teilweise")))))</f>
        <v>Aussenlager</v>
      </c>
      <c r="BM1604" s="60" t="str">
        <f aca="false">IF(BD1604&lt;=0,"",IF(CG1604="Aussen","Aussenlager",IF(CG1604="-","Nicht im Lift",IF(BJ1604&gt;=1,"Lift",IF(BJ1604&lt;=0,"Aussenlager","teilweise")))))</f>
        <v>Lift</v>
      </c>
      <c r="BN1604" s="60" t="str">
        <f aca="false">IF(A1604="","",IF(BW1604=1,"Neu; ","")&amp;IF(AND(BW1604=0,BR1604&lt;0),"negativer Bestand (Export "&amp;BR1604&amp;"); ","")&amp;IF(J1604&lt;=0,"Kein Verbrauch; ","")&amp;IF(CR1604&gt;0,"Lift "&amp;W1604&amp;" lt. Liftbericht (Fach "&amp;X1604&amp;" Stk); ",IF(CB1604=1,"Gebinde geschätzt ("&amp;T1604&amp;"); ",IF(CA1604=1,"Lose – Tablare geschätzt; ","")))&amp;IF(H1604&gt;AW1604,"Überbestand "&amp;ROUND(H1604-AW1604,0)&amp;" Stk / CHF "&amp;ROUND((H1604-AW1604)*G1604,0)&amp;"; ","")&amp;IF(AND(CI1604=1,CJ1604&lt;CK1604),"MAX &lt; MB+LG; ","")&amp;IF(AND(CQ1604&gt;0,CP1604*10&gt;CQ1604),"zu hoch für Tablar; ","")&amp;IF(AND(BW1604=0,OR(CI1604=1,AB1604&lt;&gt;"",U1604&lt;&gt;"",V1604&lt;&gt;"",AC1604&lt;&gt;"")),"manuell übersteuert; ","")&amp;IF(AND(CA1604=0,R1604=0),"Gebinde unbekannt / Stellmass fehlt; ","")&amp;IF(AND(CA1604=0,N(V1604)&lt;=0,N(Q1604)&lt;=0),"Menge pro Gebinde fehlt (Ist = 1 Gebinde); ","")&amp;BV1604)</f>
        <v>Kein Verbrauch; Gebinde geschätzt (Klein); Überbestand 1600 Stk / CHF 128; Menge pro Gebinde fehlt (Ist = 1 Gebinde); nur im Artikelstamm (Bestand 23.06.2026)</v>
      </c>
      <c r="BO1604" s="60"/>
      <c r="BP1604" s="60"/>
      <c r="BQ1604" s="67"/>
      <c r="BR1604" s="62" t="n">
        <v>1700</v>
      </c>
      <c r="BS1604" s="62" t="n">
        <v>0</v>
      </c>
      <c r="BT1604" s="61" t="n">
        <v>0</v>
      </c>
      <c r="BU1604" s="62" t="n">
        <v>0</v>
      </c>
      <c r="BV1604" s="60" t="s">
        <v>2617</v>
      </c>
      <c r="BW1604" s="65" t="n">
        <v>0</v>
      </c>
      <c r="BX1604" s="65" t="n">
        <v>1604</v>
      </c>
      <c r="BY1604" s="60" t="str">
        <f aca="false">IF(U1604&lt;&gt;"",UPPER(TRIM(U1604)),IF(CB1604=1,UPPER(VLOOKUP(T1604,Parameter!$I$27:$K$29,2,0)),IF(P1604="","LOSE",P1604)))</f>
        <v>S51</v>
      </c>
      <c r="BZ1604" s="62" t="n">
        <f aca="false">IF(BY1604="LOSE",1,IF(N(V1604)&gt;0,V1604,IF(CB1604=1,MAX(1,N(VLOOKUP(T1604,Parameter!$I$27:$K$29,3,0)),H1604,N(N1604)),IF(N(Q1604)&gt;0,Q1604,MAX(1,H1604)))))</f>
        <v>1700</v>
      </c>
      <c r="CA1604" s="65" t="n">
        <f aca="false">IF(BY1604="LOSE",1,0)</f>
        <v>0</v>
      </c>
      <c r="CB1604" s="65" t="n">
        <f aca="false">IF(AND(U1604="",OR(P1604="",P1604="LOSE"),T1604&lt;&gt;"",N(S1604)&lt;=0,ISNUMBER(MATCH(T1604,Parameter!$I$27:$I$29,0))),1,0)</f>
        <v>1</v>
      </c>
      <c r="CC1604" s="65" t="n">
        <f aca="false">IF(CR1604&gt;0,INDEX(Parameter!$H$5:$H$7,W1604)/INDEX(Parameter!$E$5:$E$7,W1604),IF(AND(CA1604=0,N(IFERROR(VLOOKUP(BY1604,'Gebinde-Kategorie'!$A$5:$N$45,14,0),0))&gt;0),VLOOKUP(BY1604,'Gebinde-Kategorie'!$A$5:$N$45,14,0)*10+Parameter!$M$23,Parameter!$M$24))</f>
        <v>155</v>
      </c>
      <c r="CD1604" s="60" t="str">
        <f aca="false">IF(AND(Parameter!$B$19="Ja",E1604&lt;&gt;"",ISNUMBER(MATCH(E1604,Parameter!$I$35:$I$52,0))),VLOOKUP(E1604,Parameter!$I$35:$J$52,2,0),IFERROR(VLOOKUP(D1604,Parameter!$A$35:$C$64,2,0),"Nein"))</f>
        <v>2+3</v>
      </c>
      <c r="CE1604" s="64" t="n">
        <f aca="false">IF(CA1604=0,0,IF(N(S1604)&gt;0,S1604,IFERROR(VLOOKUP(D1604,Parameter!$A$35:$C$64,3,0)+0,0)))</f>
        <v>0</v>
      </c>
      <c r="CF1604" s="60" t="n">
        <f aca="false">IF(AB1604&lt;&gt;"",AB1604,AA1604)</f>
        <v>3</v>
      </c>
      <c r="CG1604" s="60" t="str">
        <f aca="false">IF(OR(CF1604=1,CF1604=2,CF1604=3),IF(Parameter!$E$27="Ja","LIFT",IF(CF1604=1,"L1","L23")),IF(CF1604="Aussen","Aussen","-"))</f>
        <v>LIFT</v>
      </c>
      <c r="CH1604" s="71" t="n">
        <f aca="false">IF(N(AC1604)&gt;0,AC1604,0)</f>
        <v>0</v>
      </c>
      <c r="CI1604" s="65" t="n">
        <f aca="false">IF(ISNUMBER(AF1604),1,0)</f>
        <v>0</v>
      </c>
      <c r="CJ1604" s="62" t="n">
        <f aca="false">N(AF1604)</f>
        <v>0</v>
      </c>
      <c r="CK1604" s="62" t="n">
        <f aca="false">N(M1604)+N(N1604)</f>
        <v>100</v>
      </c>
      <c r="CL1604" s="62" t="n">
        <f aca="false">N(M1604)</f>
        <v>0</v>
      </c>
      <c r="CM1604" s="62" t="n">
        <f aca="false">N(N1604)</f>
        <v>100</v>
      </c>
      <c r="CN1604" s="62" t="n">
        <f aca="false">ROUNDUP(H1604/BZ1604,0)</f>
        <v>1</v>
      </c>
      <c r="CO1604" s="62" t="n">
        <f aca="false">ROUNDUP(CJ1604/BZ1604,0)</f>
        <v>0</v>
      </c>
      <c r="CP1604" s="65" t="n">
        <f aca="false">IF(CA1604=1,0,IFERROR(VLOOKUP(BY1604,'Gebinde-Kategorie'!$A$5:$N$45,5,0)+0,0))</f>
        <v>11</v>
      </c>
      <c r="CQ1604" s="65" t="n">
        <f aca="false">IFERROR(IF(OR(CF1604=1,CF1604=2,CF1604=3),N(INDEX(Parameter!$I$5:$I$7,CF1604)),0),0)</f>
        <v>0</v>
      </c>
      <c r="CR1604" s="64" t="n">
        <f aca="false">IF(AND(Parameter!$B$21="Ja",ISNUMBER(W1604),N(X1604)&gt;0),IFERROR(N(INDEX(Parameter!$L$5:$L$7,W1604))*INDEX(Parameter!$E$5:$E$7,W1604)*X1604/SUMIFS($X$7:$X$1843,$W$7:$W$1843,W1604),0),0)</f>
        <v>0</v>
      </c>
      <c r="CS1604" s="62" t="n">
        <f aca="false">IF(AND(OR(CG1604="L1",CG1604="L23",CG1604="LIFT"),H1604&gt;0),CC1604*IF(CR1604&gt;0,CR1604*MAX(1,H1604/X1604),IF(CA1604=1,CE1604,IF(R1604&gt;0,CN1604/R1604,0))/MAX(0.1,N(Parameter!$M$21))),"")</f>
        <v>5.96153846153846</v>
      </c>
      <c r="CT1604" s="64" t="n">
        <f aca="false">IF(CS1604="","",J1604/H1604)</f>
        <v>0</v>
      </c>
      <c r="CU1604" s="62" t="n">
        <f aca="false">IF(CS1604="","",H1604*G1604)</f>
        <v>136</v>
      </c>
      <c r="CV1604" s="63" t="n">
        <f aca="false">IF(CS1604="","",(CL1604+ROUNDUP(CL1604+MAX(CM1604,2*(J1604/MAX(0.1,N(Einkauf!$C$6))-CL1604)),0))/2)</f>
        <v>50</v>
      </c>
      <c r="CW1604" s="62" t="n">
        <f aca="false">IF(CS1604="","",MAX(0,H1604-CV1604)*G1604)</f>
        <v>132</v>
      </c>
      <c r="CX1604" s="62" t="n">
        <f aca="false">IF(CS1604="","",CS1604*MAX(0,1-CV1604/H1604))</f>
        <v>5.78619909502262</v>
      </c>
      <c r="CY1604" s="64" t="n">
        <f aca="false">IF(CS1604="","",PERCENTRANK($CS$7:$CS$1843,CS1604)+PERCENTRANK($CU$7:$CU$1843,CU1604)+1-PERCENTRANK($CT$7:$CT$1843,CT1604))</f>
        <v>1.638</v>
      </c>
      <c r="CZ1604" s="72" t="n">
        <f aca="false">IF(CS1604="","",CHOOSE(MATCH(Einkauf!$C$5,Parameter!$G$23:$G$27,0),CY1604,CS1604,CU1604,-CT1604,CW1604)+ROW()/1000000000)</f>
        <v>1.638001604</v>
      </c>
    </row>
    <row r="1605" customFormat="false" ht="15" hidden="false" customHeight="false" outlineLevel="0" collapsed="false">
      <c r="A1605" s="60" t="s">
        <v>2839</v>
      </c>
      <c r="B1605" s="60" t="s">
        <v>2840</v>
      </c>
      <c r="C1605" s="60" t="s">
        <v>206</v>
      </c>
      <c r="D1605" s="60" t="s">
        <v>215</v>
      </c>
      <c r="E1605" s="60"/>
      <c r="F1605" s="60"/>
      <c r="G1605" s="61" t="n">
        <v>0.4</v>
      </c>
      <c r="H1605" s="62" t="n">
        <f aca="false">MAX(0,IF(AND(Parameter!$B$21="Ja",ISNUMBER(Y1605)),Y1605,IF(Parameter!$B$20="Jahresanfang 2025 + Export",BS1605+BR1605,BR1605)))</f>
        <v>30</v>
      </c>
      <c r="I1605" s="62" t="n">
        <f aca="false">H1605*G1605</f>
        <v>12</v>
      </c>
      <c r="J1605" s="62" t="n">
        <f aca="false">BU1605*Parameter!$B$18</f>
        <v>0</v>
      </c>
      <c r="K1605" s="63"/>
      <c r="L1605" s="64"/>
      <c r="M1605" s="62" t="n">
        <v>0</v>
      </c>
      <c r="N1605" s="62" t="n">
        <v>1</v>
      </c>
      <c r="O1605" s="65" t="n">
        <v>14</v>
      </c>
      <c r="P1605" s="60" t="s">
        <v>210</v>
      </c>
      <c r="Q1605" s="62"/>
      <c r="R1605" s="65" t="n">
        <f aca="false">IF(CA1605=1,0,IFERROR(VLOOKUP(BY1605,'Gebinde-Kategorie'!$A$5:$N$45,13,0)+0,0))</f>
        <v>12</v>
      </c>
      <c r="S1605" s="66"/>
      <c r="T1605" s="67" t="s">
        <v>221</v>
      </c>
      <c r="U1605" s="67"/>
      <c r="V1605" s="67"/>
      <c r="W1605" s="60"/>
      <c r="X1605" s="62"/>
      <c r="Y1605" s="62"/>
      <c r="Z1605" s="60" t="n">
        <v>3</v>
      </c>
      <c r="AA1605" s="60" t="n">
        <f aca="false">IF(A1605="","",IF(AND(Parameter!$B$21="Ja",ISNUMBER(W1605)),W1605,IF(AND(Parameter!$E$27="Ja",ISNUMBER(Z1605),CD1605&lt;&gt;"Nein"),Z1605,IF(CD1605="2+3",IF(ISNUMBER(SEARCH("grosser Artikel",BV1605)),2,IFERROR(VLOOKUP(BY1605,Parameter!$F$35:$G$64,2,0),2)),IF(OR(CD1605="Nein",CD1605=""),"-",CD1605)))))</f>
        <v>3</v>
      </c>
      <c r="AB1605" s="67"/>
      <c r="AC1605" s="68"/>
      <c r="AD1605" s="62" t="n">
        <f aca="false">AW1605</f>
        <v>1</v>
      </c>
      <c r="AE1605" s="62" t="n">
        <f aca="false">MAX(AW1605,H1605)</f>
        <v>30</v>
      </c>
      <c r="AF1605" s="69"/>
      <c r="AG1605" s="62" t="n">
        <f aca="false">IF(LEFT(Cockpit!$C$5,1)="A",H1605,IF(Parameter!$E$30="MAX-Bestand",IF(CI1605=1,CJ1605,IF(LEFT(Cockpit!$C$5,1)="B",AM1605,MAX(AM1605,H1605))),ROUNDUP(AK1605,0)))</f>
        <v>30</v>
      </c>
      <c r="AH1605" s="62" t="n">
        <f aca="false">IF(CA1605=1,0,ROUNDUP(AG1605/BZ1605,0))</f>
        <v>1</v>
      </c>
      <c r="AI1605" s="64" t="n">
        <f aca="false">IF(CR1605&gt;0,CR1605*MAX(1,AG1605/X1605),IF(CA1605=1,IF(AG1605&lt;=0,0,CE1605*MAX(1,IF(H1605&gt;0,AG1605/H1605,1))),IF(R1605&gt;0,AH1605/R1605,0))/MAX(0.1,N(Parameter!$M$21)))</f>
        <v>0.0833333333333333</v>
      </c>
      <c r="AJ1605" s="62" t="n">
        <f aca="false">AI1605*CC1605</f>
        <v>12.0833333333333</v>
      </c>
      <c r="AK1605" s="63" t="n">
        <f aca="false">IF(LEFT(Cockpit!$C$5,1)="A",H1605,IF(CI1605=1,(CL1605+CJ1605)/2,IF(LEFT(Cockpit!$C$5,1)="B",(CL1605+AM1605)/2,MAX((CL1605+AM1605)/2,H1605))))</f>
        <v>30</v>
      </c>
      <c r="AL1605" s="62" t="n">
        <f aca="false">AK1605*G1605</f>
        <v>12</v>
      </c>
      <c r="AM1605" s="62" t="n">
        <f aca="false">ROUNDUP(CL1605+MAX(CM1605,2*(J1605/IF(CH1605&gt;0,CH1605,MAX(0.1,N(Cockpit!$C$6)))-CL1605)),0)</f>
        <v>1</v>
      </c>
      <c r="AN1605" s="63" t="n">
        <f aca="false">IF(AJ1605&gt;0,J1605/AJ1605,-1)</f>
        <v>0</v>
      </c>
      <c r="AO1605" s="63" t="n">
        <f aca="false">IF(AND(OR(CG1605="L1",CG1605="L23",CG1605="LIFT"),AJ1605&gt;0),SUMIFS($AJ$7:$AJ$1843,$CG$7:$CG$1843,CG1605,$AN$7:$AN$1843,"&gt;"&amp;AN1605)+SUMIFS($AJ$7:$AJ$1843,$CG$7:$CG$1843,CG1605,$AN$7:$AN$1843,AN1605,$BX$7:$BX$1843,"&lt;="&amp;BX1605),"")</f>
        <v>30681.7713183709</v>
      </c>
      <c r="AP1605" s="70" t="n">
        <f aca="false">IF(AO1605="",0,MAX(0,MIN(1,(IF(CG1605="L1",Parameter!$H$5,IF(CG1605="L23",Parameter!$H$6+Parameter!$H$7,Parameter!$H$5+Parameter!$H$6+Parameter!$H$7))-(AO1605-AJ1605))/AJ1605)))</f>
        <v>1</v>
      </c>
      <c r="AQ1605" s="62" t="n">
        <f aca="false">IF(LEFT(Cockpit!$I$5,1)="A",H1605,IF(Parameter!$E$30="MAX-Bestand",IF(CI1605=1,CJ1605,IF(LEFT(Cockpit!$I$5,1)="B",AW1605,MAX(AW1605,H1605))),ROUNDUP(AU1605,0)))</f>
        <v>30</v>
      </c>
      <c r="AR1605" s="62" t="n">
        <f aca="false">IF(CA1605=1,0,ROUNDUP(AQ1605/BZ1605,0))</f>
        <v>1</v>
      </c>
      <c r="AS1605" s="64" t="n">
        <f aca="false">IF(CR1605&gt;0,CR1605*MAX(1,AQ1605/X1605),IF(CA1605=1,IF(AQ1605&lt;=0,0,CE1605*MAX(1,IF(H1605&gt;0,AQ1605/H1605,1))),IF(R1605&gt;0,AR1605/R1605,0))/MAX(0.1,N(Parameter!$M$21)))</f>
        <v>0.0833333333333333</v>
      </c>
      <c r="AT1605" s="62" t="n">
        <f aca="false">AS1605*CC1605</f>
        <v>12.0833333333333</v>
      </c>
      <c r="AU1605" s="63" t="n">
        <f aca="false">IF(LEFT(Cockpit!$I$5,1)="A",H1605,IF(CI1605=1,(CL1605+CJ1605)/2,IF(LEFT(Cockpit!$I$5,1)="B",(CL1605+AW1605)/2,MAX((CL1605+AW1605)/2,H1605))))</f>
        <v>30</v>
      </c>
      <c r="AV1605" s="62" t="n">
        <f aca="false">AU1605*G1605</f>
        <v>12</v>
      </c>
      <c r="AW1605" s="62" t="n">
        <f aca="false">ROUNDUP(CL1605+MAX(CM1605,2*(J1605/IF(CH1605&gt;0,CH1605,MAX(0.1,N(Cockpit!$I$6)))-CL1605)),0)</f>
        <v>1</v>
      </c>
      <c r="AX1605" s="63" t="n">
        <f aca="false">IF(AT1605&gt;0,J1605/AT1605,-1)</f>
        <v>0</v>
      </c>
      <c r="AY1605" s="63" t="n">
        <f aca="false">IF(AND(OR(CG1605="L1",CG1605="L23",CG1605="LIFT"),AT1605&gt;0),SUMIFS($AT$7:$AT$1843,$CG$7:$CG$1843,CG1605,$AX$7:$AX$1843,"&gt;"&amp;AX1605)+SUMIFS($AT$7:$AT$1843,$CG$7:$CG$1843,CG1605,$AX$7:$AX$1843,AX1605,$BX$7:$BX$1843,"&lt;="&amp;BX1605),"")</f>
        <v>37001.6278352062</v>
      </c>
      <c r="AZ1605" s="70" t="n">
        <f aca="false">IF(AY1605="",0,MAX(0,MIN(1,(IF(CG1605="L1",Parameter!$H$5,IF(CG1605="L23",Parameter!$H$6+Parameter!$H$7,Parameter!$H$5+Parameter!$H$6+Parameter!$H$7))-(AY1605-AT1605))/AT1605)))</f>
        <v>0</v>
      </c>
      <c r="BA1605" s="62" t="n">
        <f aca="false">IF(LEFT(Cockpit!$O$5,1)="A",H1605,IF(Parameter!$E$30="MAX-Bestand",IF(CI1605=1,CJ1605,IF(LEFT(Cockpit!$O$5,1)="B",BG1605,MAX(BG1605,H1605))),ROUNDUP(BE1605,0)))</f>
        <v>1</v>
      </c>
      <c r="BB1605" s="62" t="n">
        <f aca="false">IF(CA1605=1,0,ROUNDUP(BA1605/BZ1605,0))</f>
        <v>1</v>
      </c>
      <c r="BC1605" s="64" t="n">
        <f aca="false">IF(CR1605&gt;0,CR1605*MAX(1,BA1605/X1605),IF(CA1605=1,IF(BA1605&lt;=0,0,CE1605*MAX(1,IF(H1605&gt;0,BA1605/H1605,1))),IF(R1605&gt;0,BB1605/R1605,0))/MAX(0.1,N(Parameter!$M$21)))</f>
        <v>0.0833333333333333</v>
      </c>
      <c r="BD1605" s="62" t="n">
        <f aca="false">BC1605*CC1605</f>
        <v>12.0833333333333</v>
      </c>
      <c r="BE1605" s="63" t="n">
        <f aca="false">IF(LEFT(Cockpit!$O$5,1)="A",H1605,IF(CI1605=1,(CL1605+CJ1605)/2,IF(LEFT(Cockpit!$O$5,1)="B",(CL1605+BG1605)/2,MAX((CL1605+BG1605)/2,H1605))))</f>
        <v>0.5</v>
      </c>
      <c r="BF1605" s="62" t="n">
        <f aca="false">BE1605*G1605</f>
        <v>0.2</v>
      </c>
      <c r="BG1605" s="62" t="n">
        <f aca="false">ROUNDUP(CL1605+MAX(CM1605,2*(J1605/IF(CH1605&gt;0,CH1605,MAX(0.1,N(Cockpit!$O$6)))-CL1605)),0)</f>
        <v>1</v>
      </c>
      <c r="BH1605" s="63" t="n">
        <f aca="false">IF(BD1605&gt;0,J1605/BD1605,-1)</f>
        <v>0</v>
      </c>
      <c r="BI1605" s="63" t="n">
        <f aca="false">IF(AND(OR(CG1605="L1",CG1605="L23",CG1605="LIFT"),BD1605&gt;0),SUMIFS($BD$7:$BD$1843,$CG$7:$CG$1843,CG1605,$BH$7:$BH$1843,"&gt;"&amp;BH1605)+SUMIFS($BD$7:$BD$1843,$CG$7:$CG$1843,CG1605,$BH$7:$BH$1843,BH1605,$BX$7:$BX$1843,"&lt;="&amp;BX1605),"")</f>
        <v>30911.0691107386</v>
      </c>
      <c r="BJ1605" s="70" t="n">
        <f aca="false">IF(BI1605="",0,MAX(0,MIN(1,(IF(CG1605="L1",Parameter!$H$5,IF(CG1605="L23",Parameter!$H$6+Parameter!$H$7,Parameter!$H$5+Parameter!$H$6+Parameter!$H$7))-(BI1605-BD1605))/BD1605)))</f>
        <v>1</v>
      </c>
      <c r="BK1605" s="60" t="str">
        <f aca="false">IF(AJ1605&lt;=0,"",IF(CG1605="Aussen","Aussenlager",IF(CG1605="-","Nicht im Lift",IF(AP1605&gt;=1,"Lift",IF(AP1605&lt;=0,"Aussenlager","teilweise")))))</f>
        <v>Lift</v>
      </c>
      <c r="BL1605" s="60" t="str">
        <f aca="false">IF(AT1605&lt;=0,"",IF(CG1605="Aussen","Aussenlager",IF(CG1605="-","Nicht im Lift",IF(AZ1605&gt;=1,"Lift",IF(AZ1605&lt;=0,"Aussenlager","teilweise")))))</f>
        <v>Aussenlager</v>
      </c>
      <c r="BM1605" s="60" t="str">
        <f aca="false">IF(BD1605&lt;=0,"",IF(CG1605="Aussen","Aussenlager",IF(CG1605="-","Nicht im Lift",IF(BJ1605&gt;=1,"Lift",IF(BJ1605&lt;=0,"Aussenlager","teilweise")))))</f>
        <v>Lift</v>
      </c>
      <c r="BN1605" s="60" t="str">
        <f aca="false">IF(A1605="","",IF(BW1605=1,"Neu; ","")&amp;IF(AND(BW1605=0,BR1605&lt;0),"negativer Bestand (Export "&amp;BR1605&amp;"); ","")&amp;IF(J1605&lt;=0,"Kein Verbrauch; ","")&amp;IF(CR1605&gt;0,"Lift "&amp;W1605&amp;" lt. Liftbericht (Fach "&amp;X1605&amp;" Stk); ",IF(CB1605=1,"Gebinde geschätzt ("&amp;T1605&amp;"); ",IF(CA1605=1,"Lose – Tablare geschätzt; ","")))&amp;IF(H1605&gt;AW1605,"Überbestand "&amp;ROUND(H1605-AW1605,0)&amp;" Stk / CHF "&amp;ROUND((H1605-AW1605)*G1605,0)&amp;"; ","")&amp;IF(AND(CI1605=1,CJ1605&lt;CK1605),"MAX &lt; MB+LG; ","")&amp;IF(AND(CQ1605&gt;0,CP1605*10&gt;CQ1605),"zu hoch für Tablar; ","")&amp;IF(AND(BW1605=0,OR(CI1605=1,AB1605&lt;&gt;"",U1605&lt;&gt;"",V1605&lt;&gt;"",AC1605&lt;&gt;"")),"manuell übersteuert; ","")&amp;IF(AND(CA1605=0,R1605=0),"Gebinde unbekannt / Stellmass fehlt; ","")&amp;IF(AND(CA1605=0,N(V1605)&lt;=0,N(Q1605)&lt;=0),"Menge pro Gebinde fehlt (Ist = 1 Gebinde); ","")&amp;BV1605)</f>
        <v>Kein Verbrauch; Gebinde geschätzt (Mittel); Überbestand 29 Stk / CHF 12; Menge pro Gebinde fehlt (Ist = 1 Gebinde); nur im Artikelstamm (Bestand 23.06.2026)</v>
      </c>
      <c r="BO1605" s="60"/>
      <c r="BP1605" s="60"/>
      <c r="BQ1605" s="67"/>
      <c r="BR1605" s="62" t="n">
        <v>30</v>
      </c>
      <c r="BS1605" s="62" t="n">
        <v>0</v>
      </c>
      <c r="BT1605" s="61" t="n">
        <v>0</v>
      </c>
      <c r="BU1605" s="62" t="n">
        <v>0</v>
      </c>
      <c r="BV1605" s="60" t="s">
        <v>2617</v>
      </c>
      <c r="BW1605" s="65" t="n">
        <v>0</v>
      </c>
      <c r="BX1605" s="65" t="n">
        <v>1605</v>
      </c>
      <c r="BY1605" s="60" t="str">
        <f aca="false">IF(U1605&lt;&gt;"",UPPER(TRIM(U1605)),IF(CB1605=1,UPPER(VLOOKUP(T1605,Parameter!$I$27:$K$29,2,0)),IF(P1605="","LOSE",P1605)))</f>
        <v>S61</v>
      </c>
      <c r="BZ1605" s="62" t="n">
        <f aca="false">IF(BY1605="LOSE",1,IF(N(V1605)&gt;0,V1605,IF(CB1605=1,MAX(1,N(VLOOKUP(T1605,Parameter!$I$27:$K$29,3,0)),H1605,N(N1605)),IF(N(Q1605)&gt;0,Q1605,MAX(1,H1605)))))</f>
        <v>30</v>
      </c>
      <c r="CA1605" s="65" t="n">
        <f aca="false">IF(BY1605="LOSE",1,0)</f>
        <v>0</v>
      </c>
      <c r="CB1605" s="65" t="n">
        <f aca="false">IF(AND(U1605="",OR(P1605="",P1605="LOSE"),T1605&lt;&gt;"",N(S1605)&lt;=0,ISNUMBER(MATCH(T1605,Parameter!$I$27:$I$29,0))),1,0)</f>
        <v>1</v>
      </c>
      <c r="CC1605" s="65" t="n">
        <f aca="false">IF(CR1605&gt;0,INDEX(Parameter!$H$5:$H$7,W1605)/INDEX(Parameter!$E$5:$E$7,W1605),IF(AND(CA1605=0,N(IFERROR(VLOOKUP(BY1605,'Gebinde-Kategorie'!$A$5:$N$45,14,0),0))&gt;0),VLOOKUP(BY1605,'Gebinde-Kategorie'!$A$5:$N$45,14,0)*10+Parameter!$M$23,Parameter!$M$24))</f>
        <v>145</v>
      </c>
      <c r="CD1605" s="60" t="str">
        <f aca="false">IF(AND(Parameter!$B$19="Ja",E1605&lt;&gt;"",ISNUMBER(MATCH(E1605,Parameter!$I$35:$I$52,0))),VLOOKUP(E1605,Parameter!$I$35:$J$52,2,0),IFERROR(VLOOKUP(D1605,Parameter!$A$35:$C$64,2,0),"Nein"))</f>
        <v>2+3</v>
      </c>
      <c r="CE1605" s="64" t="n">
        <f aca="false">IF(CA1605=0,0,IF(N(S1605)&gt;0,S1605,IFERROR(VLOOKUP(D1605,Parameter!$A$35:$C$64,3,0)+0,0)))</f>
        <v>0</v>
      </c>
      <c r="CF1605" s="60" t="n">
        <f aca="false">IF(AB1605&lt;&gt;"",AB1605,AA1605)</f>
        <v>3</v>
      </c>
      <c r="CG1605" s="60" t="str">
        <f aca="false">IF(OR(CF1605=1,CF1605=2,CF1605=3),IF(Parameter!$E$27="Ja","LIFT",IF(CF1605=1,"L1","L23")),IF(CF1605="Aussen","Aussen","-"))</f>
        <v>LIFT</v>
      </c>
      <c r="CH1605" s="71" t="n">
        <f aca="false">IF(N(AC1605)&gt;0,AC1605,0)</f>
        <v>0</v>
      </c>
      <c r="CI1605" s="65" t="n">
        <f aca="false">IF(ISNUMBER(AF1605),1,0)</f>
        <v>0</v>
      </c>
      <c r="CJ1605" s="62" t="n">
        <f aca="false">N(AF1605)</f>
        <v>0</v>
      </c>
      <c r="CK1605" s="62" t="n">
        <f aca="false">N(M1605)+N(N1605)</f>
        <v>1</v>
      </c>
      <c r="CL1605" s="62" t="n">
        <f aca="false">N(M1605)</f>
        <v>0</v>
      </c>
      <c r="CM1605" s="62" t="n">
        <f aca="false">N(N1605)</f>
        <v>1</v>
      </c>
      <c r="CN1605" s="62" t="n">
        <f aca="false">ROUNDUP(H1605/BZ1605,0)</f>
        <v>1</v>
      </c>
      <c r="CO1605" s="62" t="n">
        <f aca="false">ROUNDUP(CJ1605/BZ1605,0)</f>
        <v>0</v>
      </c>
      <c r="CP1605" s="65" t="n">
        <f aca="false">IF(CA1605=1,0,IFERROR(VLOOKUP(BY1605,'Gebinde-Kategorie'!$A$5:$N$45,5,0)+0,0))</f>
        <v>11</v>
      </c>
      <c r="CQ1605" s="65" t="n">
        <f aca="false">IFERROR(IF(OR(CF1605=1,CF1605=2,CF1605=3),N(INDEX(Parameter!$I$5:$I$7,CF1605)),0),0)</f>
        <v>0</v>
      </c>
      <c r="CR1605" s="64" t="n">
        <f aca="false">IF(AND(Parameter!$B$21="Ja",ISNUMBER(W1605),N(X1605)&gt;0),IFERROR(N(INDEX(Parameter!$L$5:$L$7,W1605))*INDEX(Parameter!$E$5:$E$7,W1605)*X1605/SUMIFS($X$7:$X$1843,$W$7:$W$1843,W1605),0),0)</f>
        <v>0</v>
      </c>
      <c r="CS1605" s="62" t="n">
        <f aca="false">IF(AND(OR(CG1605="L1",CG1605="L23",CG1605="LIFT"),H1605&gt;0),CC1605*IF(CR1605&gt;0,CR1605*MAX(1,H1605/X1605),IF(CA1605=1,CE1605,IF(R1605&gt;0,CN1605/R1605,0))/MAX(0.1,N(Parameter!$M$21))),"")</f>
        <v>12.0833333333333</v>
      </c>
      <c r="CT1605" s="64" t="n">
        <f aca="false">IF(CS1605="","",J1605/H1605)</f>
        <v>0</v>
      </c>
      <c r="CU1605" s="62" t="n">
        <f aca="false">IF(CS1605="","",H1605*G1605)</f>
        <v>12</v>
      </c>
      <c r="CV1605" s="63" t="n">
        <f aca="false">IF(CS1605="","",(CL1605+ROUNDUP(CL1605+MAX(CM1605,2*(J1605/MAX(0.1,N(Einkauf!$C$6))-CL1605)),0))/2)</f>
        <v>0.5</v>
      </c>
      <c r="CW1605" s="62" t="n">
        <f aca="false">IF(CS1605="","",MAX(0,H1605-CV1605)*G1605)</f>
        <v>11.8</v>
      </c>
      <c r="CX1605" s="62" t="n">
        <f aca="false">IF(CS1605="","",CS1605*MAX(0,1-CV1605/H1605))</f>
        <v>11.8819444444444</v>
      </c>
      <c r="CY1605" s="64" t="n">
        <f aca="false">IF(CS1605="","",PERCENTRANK($CS$7:$CS$1843,CS1605)+PERCENTRANK($CU$7:$CU$1843,CU1605)+1-PERCENTRANK($CT$7:$CT$1843,CT1605))</f>
        <v>1.7103</v>
      </c>
      <c r="CZ1605" s="72" t="n">
        <f aca="false">IF(CS1605="","",CHOOSE(MATCH(Einkauf!$C$5,Parameter!$G$23:$G$27,0),CY1605,CS1605,CU1605,-CT1605,CW1605)+ROW()/1000000000)</f>
        <v>1.710301605</v>
      </c>
    </row>
    <row r="1606" customFormat="false" ht="15" hidden="false" customHeight="false" outlineLevel="0" collapsed="false">
      <c r="A1606" s="60" t="s">
        <v>2841</v>
      </c>
      <c r="B1606" s="60" t="s">
        <v>2842</v>
      </c>
      <c r="C1606" s="60" t="s">
        <v>206</v>
      </c>
      <c r="D1606" s="60" t="s">
        <v>226</v>
      </c>
      <c r="E1606" s="60"/>
      <c r="F1606" s="60"/>
      <c r="G1606" s="61" t="n">
        <v>14.58</v>
      </c>
      <c r="H1606" s="62" t="n">
        <f aca="false">MAX(0,IF(AND(Parameter!$B$21="Ja",ISNUMBER(Y1606)),Y1606,IF(Parameter!$B$20="Jahresanfang 2025 + Export",BS1606+BR1606,BR1606)))</f>
        <v>4</v>
      </c>
      <c r="I1606" s="62" t="n">
        <f aca="false">H1606*G1606</f>
        <v>58.32</v>
      </c>
      <c r="J1606" s="62" t="n">
        <f aca="false">BU1606*Parameter!$B$18</f>
        <v>0</v>
      </c>
      <c r="K1606" s="63"/>
      <c r="L1606" s="64"/>
      <c r="M1606" s="62" t="n">
        <v>0</v>
      </c>
      <c r="N1606" s="62" t="n">
        <v>5</v>
      </c>
      <c r="O1606" s="65" t="n">
        <v>14</v>
      </c>
      <c r="P1606" s="60" t="s">
        <v>210</v>
      </c>
      <c r="Q1606" s="62"/>
      <c r="R1606" s="65" t="n">
        <f aca="false">IF(CA1606=1,0,IFERROR(VLOOKUP(BY1606,'Gebinde-Kategorie'!$A$5:$N$45,13,0)+0,0))</f>
        <v>26</v>
      </c>
      <c r="S1606" s="66"/>
      <c r="T1606" s="67" t="s">
        <v>317</v>
      </c>
      <c r="U1606" s="67"/>
      <c r="V1606" s="67"/>
      <c r="W1606" s="60"/>
      <c r="X1606" s="62"/>
      <c r="Y1606" s="62"/>
      <c r="Z1606" s="60" t="n">
        <v>3</v>
      </c>
      <c r="AA1606" s="60" t="n">
        <f aca="false">IF(A1606="","",IF(AND(Parameter!$B$21="Ja",ISNUMBER(W1606)),W1606,IF(AND(Parameter!$E$27="Ja",ISNUMBER(Z1606),CD1606&lt;&gt;"Nein"),Z1606,IF(CD1606="2+3",IF(ISNUMBER(SEARCH("grosser Artikel",BV1606)),2,IFERROR(VLOOKUP(BY1606,Parameter!$F$35:$G$64,2,0),2)),IF(OR(CD1606="Nein",CD1606=""),"-",CD1606)))))</f>
        <v>3</v>
      </c>
      <c r="AB1606" s="67"/>
      <c r="AC1606" s="68"/>
      <c r="AD1606" s="62" t="n">
        <f aca="false">AW1606</f>
        <v>5</v>
      </c>
      <c r="AE1606" s="62" t="n">
        <f aca="false">MAX(AW1606,H1606)</f>
        <v>5</v>
      </c>
      <c r="AF1606" s="69"/>
      <c r="AG1606" s="62" t="n">
        <f aca="false">IF(LEFT(Cockpit!$C$5,1)="A",H1606,IF(Parameter!$E$30="MAX-Bestand",IF(CI1606=1,CJ1606,IF(LEFT(Cockpit!$C$5,1)="B",AM1606,MAX(AM1606,H1606))),ROUNDUP(AK1606,0)))</f>
        <v>4</v>
      </c>
      <c r="AH1606" s="62" t="n">
        <f aca="false">IF(CA1606=1,0,ROUNDUP(AG1606/BZ1606,0))</f>
        <v>1</v>
      </c>
      <c r="AI1606" s="64" t="n">
        <f aca="false">IF(CR1606&gt;0,CR1606*MAX(1,AG1606/X1606),IF(CA1606=1,IF(AG1606&lt;=0,0,CE1606*MAX(1,IF(H1606&gt;0,AG1606/H1606,1))),IF(R1606&gt;0,AH1606/R1606,0))/MAX(0.1,N(Parameter!$M$21)))</f>
        <v>0.0384615384615385</v>
      </c>
      <c r="AJ1606" s="62" t="n">
        <f aca="false">AI1606*CC1606</f>
        <v>5.96153846153846</v>
      </c>
      <c r="AK1606" s="63" t="n">
        <f aca="false">IF(LEFT(Cockpit!$C$5,1)="A",H1606,IF(CI1606=1,(CL1606+CJ1606)/2,IF(LEFT(Cockpit!$C$5,1)="B",(CL1606+AM1606)/2,MAX((CL1606+AM1606)/2,H1606))))</f>
        <v>4</v>
      </c>
      <c r="AL1606" s="62" t="n">
        <f aca="false">AK1606*G1606</f>
        <v>58.32</v>
      </c>
      <c r="AM1606" s="62" t="n">
        <f aca="false">ROUNDUP(CL1606+MAX(CM1606,2*(J1606/IF(CH1606&gt;0,CH1606,MAX(0.1,N(Cockpit!$C$6)))-CL1606)),0)</f>
        <v>5</v>
      </c>
      <c r="AN1606" s="63" t="n">
        <f aca="false">IF(AJ1606&gt;0,J1606/AJ1606,-1)</f>
        <v>0</v>
      </c>
      <c r="AO1606" s="63" t="n">
        <f aca="false">IF(AND(OR(CG1606="L1",CG1606="L23",CG1606="LIFT"),AJ1606&gt;0),SUMIFS($AJ$7:$AJ$1843,$CG$7:$CG$1843,CG1606,$AN$7:$AN$1843,"&gt;"&amp;AN1606)+SUMIFS($AJ$7:$AJ$1843,$CG$7:$CG$1843,CG1606,$AN$7:$AN$1843,AN1606,$BX$7:$BX$1843,"&lt;="&amp;BX1606),"")</f>
        <v>30687.7328568324</v>
      </c>
      <c r="AP1606" s="70" t="n">
        <f aca="false">IF(AO1606="",0,MAX(0,MIN(1,(IF(CG1606="L1",Parameter!$H$5,IF(CG1606="L23",Parameter!$H$6+Parameter!$H$7,Parameter!$H$5+Parameter!$H$6+Parameter!$H$7))-(AO1606-AJ1606))/AJ1606)))</f>
        <v>1</v>
      </c>
      <c r="AQ1606" s="62" t="n">
        <f aca="false">IF(LEFT(Cockpit!$I$5,1)="A",H1606,IF(Parameter!$E$30="MAX-Bestand",IF(CI1606=1,CJ1606,IF(LEFT(Cockpit!$I$5,1)="B",AW1606,MAX(AW1606,H1606))),ROUNDUP(AU1606,0)))</f>
        <v>4</v>
      </c>
      <c r="AR1606" s="62" t="n">
        <f aca="false">IF(CA1606=1,0,ROUNDUP(AQ1606/BZ1606,0))</f>
        <v>1</v>
      </c>
      <c r="AS1606" s="64" t="n">
        <f aca="false">IF(CR1606&gt;0,CR1606*MAX(1,AQ1606/X1606),IF(CA1606=1,IF(AQ1606&lt;=0,0,CE1606*MAX(1,IF(H1606&gt;0,AQ1606/H1606,1))),IF(R1606&gt;0,AR1606/R1606,0))/MAX(0.1,N(Parameter!$M$21)))</f>
        <v>0.0384615384615385</v>
      </c>
      <c r="AT1606" s="62" t="n">
        <f aca="false">AS1606*CC1606</f>
        <v>5.96153846153846</v>
      </c>
      <c r="AU1606" s="63" t="n">
        <f aca="false">IF(LEFT(Cockpit!$I$5,1)="A",H1606,IF(CI1606=1,(CL1606+CJ1606)/2,IF(LEFT(Cockpit!$I$5,1)="B",(CL1606+AW1606)/2,MAX((CL1606+AW1606)/2,H1606))))</f>
        <v>4</v>
      </c>
      <c r="AV1606" s="62" t="n">
        <f aca="false">AU1606*G1606</f>
        <v>58.32</v>
      </c>
      <c r="AW1606" s="62" t="n">
        <f aca="false">ROUNDUP(CL1606+MAX(CM1606,2*(J1606/IF(CH1606&gt;0,CH1606,MAX(0.1,N(Cockpit!$I$6)))-CL1606)),0)</f>
        <v>5</v>
      </c>
      <c r="AX1606" s="63" t="n">
        <f aca="false">IF(AT1606&gt;0,J1606/AT1606,-1)</f>
        <v>0</v>
      </c>
      <c r="AY1606" s="63" t="n">
        <f aca="false">IF(AND(OR(CG1606="L1",CG1606="L23",CG1606="LIFT"),AT1606&gt;0),SUMIFS($AT$7:$AT$1843,$CG$7:$CG$1843,CG1606,$AX$7:$AX$1843,"&gt;"&amp;AX1606)+SUMIFS($AT$7:$AT$1843,$CG$7:$CG$1843,CG1606,$AX$7:$AX$1843,AX1606,$BX$7:$BX$1843,"&lt;="&amp;BX1606),"")</f>
        <v>37007.5893736678</v>
      </c>
      <c r="AZ1606" s="70" t="n">
        <f aca="false">IF(AY1606="",0,MAX(0,MIN(1,(IF(CG1606="L1",Parameter!$H$5,IF(CG1606="L23",Parameter!$H$6+Parameter!$H$7,Parameter!$H$5+Parameter!$H$6+Parameter!$H$7))-(AY1606-AT1606))/AT1606)))</f>
        <v>0</v>
      </c>
      <c r="BA1606" s="62" t="n">
        <f aca="false">IF(LEFT(Cockpit!$O$5,1)="A",H1606,IF(Parameter!$E$30="MAX-Bestand",IF(CI1606=1,CJ1606,IF(LEFT(Cockpit!$O$5,1)="B",BG1606,MAX(BG1606,H1606))),ROUNDUP(BE1606,0)))</f>
        <v>3</v>
      </c>
      <c r="BB1606" s="62" t="n">
        <f aca="false">IF(CA1606=1,0,ROUNDUP(BA1606/BZ1606,0))</f>
        <v>1</v>
      </c>
      <c r="BC1606" s="64" t="n">
        <f aca="false">IF(CR1606&gt;0,CR1606*MAX(1,BA1606/X1606),IF(CA1606=1,IF(BA1606&lt;=0,0,CE1606*MAX(1,IF(H1606&gt;0,BA1606/H1606,1))),IF(R1606&gt;0,BB1606/R1606,0))/MAX(0.1,N(Parameter!$M$21)))</f>
        <v>0.0384615384615385</v>
      </c>
      <c r="BD1606" s="62" t="n">
        <f aca="false">BC1606*CC1606</f>
        <v>5.96153846153846</v>
      </c>
      <c r="BE1606" s="63" t="n">
        <f aca="false">IF(LEFT(Cockpit!$O$5,1)="A",H1606,IF(CI1606=1,(CL1606+CJ1606)/2,IF(LEFT(Cockpit!$O$5,1)="B",(CL1606+BG1606)/2,MAX((CL1606+BG1606)/2,H1606))))</f>
        <v>2.5</v>
      </c>
      <c r="BF1606" s="62" t="n">
        <f aca="false">BE1606*G1606</f>
        <v>36.45</v>
      </c>
      <c r="BG1606" s="62" t="n">
        <f aca="false">ROUNDUP(CL1606+MAX(CM1606,2*(J1606/IF(CH1606&gt;0,CH1606,MAX(0.1,N(Cockpit!$O$6)))-CL1606)),0)</f>
        <v>5</v>
      </c>
      <c r="BH1606" s="63" t="n">
        <f aca="false">IF(BD1606&gt;0,J1606/BD1606,-1)</f>
        <v>0</v>
      </c>
      <c r="BI1606" s="63" t="n">
        <f aca="false">IF(AND(OR(CG1606="L1",CG1606="L23",CG1606="LIFT"),BD1606&gt;0),SUMIFS($BD$7:$BD$1843,$CG$7:$CG$1843,CG1606,$BH$7:$BH$1843,"&gt;"&amp;BH1606)+SUMIFS($BD$7:$BD$1843,$CG$7:$CG$1843,CG1606,$BH$7:$BH$1843,BH1606,$BX$7:$BX$1843,"&lt;="&amp;BX1606),"")</f>
        <v>30917.0306492001</v>
      </c>
      <c r="BJ1606" s="70" t="n">
        <f aca="false">IF(BI1606="",0,MAX(0,MIN(1,(IF(CG1606="L1",Parameter!$H$5,IF(CG1606="L23",Parameter!$H$6+Parameter!$H$7,Parameter!$H$5+Parameter!$H$6+Parameter!$H$7))-(BI1606-BD1606))/BD1606)))</f>
        <v>1</v>
      </c>
      <c r="BK1606" s="60" t="str">
        <f aca="false">IF(AJ1606&lt;=0,"",IF(CG1606="Aussen","Aussenlager",IF(CG1606="-","Nicht im Lift",IF(AP1606&gt;=1,"Lift",IF(AP1606&lt;=0,"Aussenlager","teilweise")))))</f>
        <v>Lift</v>
      </c>
      <c r="BL1606" s="60" t="str">
        <f aca="false">IF(AT1606&lt;=0,"",IF(CG1606="Aussen","Aussenlager",IF(CG1606="-","Nicht im Lift",IF(AZ1606&gt;=1,"Lift",IF(AZ1606&lt;=0,"Aussenlager","teilweise")))))</f>
        <v>Aussenlager</v>
      </c>
      <c r="BM1606" s="60" t="str">
        <f aca="false">IF(BD1606&lt;=0,"",IF(CG1606="Aussen","Aussenlager",IF(CG1606="-","Nicht im Lift",IF(BJ1606&gt;=1,"Lift",IF(BJ1606&lt;=0,"Aussenlager","teilweise")))))</f>
        <v>Lift</v>
      </c>
      <c r="BN1606" s="60" t="str">
        <f aca="false">IF(A1606="","",IF(BW1606=1,"Neu; ","")&amp;IF(AND(BW1606=0,BR1606&lt;0),"negativer Bestand (Export "&amp;BR1606&amp;"); ","")&amp;IF(J1606&lt;=0,"Kein Verbrauch; ","")&amp;IF(CR1606&gt;0,"Lift "&amp;W1606&amp;" lt. Liftbericht (Fach "&amp;X1606&amp;" Stk); ",IF(CB1606=1,"Gebinde geschätzt ("&amp;T1606&amp;"); ",IF(CA1606=1,"Lose – Tablare geschätzt; ","")))&amp;IF(H1606&gt;AW1606,"Überbestand "&amp;ROUND(H1606-AW1606,0)&amp;" Stk / CHF "&amp;ROUND((H1606-AW1606)*G1606,0)&amp;"; ","")&amp;IF(AND(CI1606=1,CJ1606&lt;CK1606),"MAX &lt; MB+LG; ","")&amp;IF(AND(CQ1606&gt;0,CP1606*10&gt;CQ1606),"zu hoch für Tablar; ","")&amp;IF(AND(BW1606=0,OR(CI1606=1,AB1606&lt;&gt;"",U1606&lt;&gt;"",V1606&lt;&gt;"",AC1606&lt;&gt;"")),"manuell übersteuert; ","")&amp;IF(AND(CA1606=0,R1606=0),"Gebinde unbekannt / Stellmass fehlt; ","")&amp;IF(AND(CA1606=0,N(V1606)&lt;=0,N(Q1606)&lt;=0),"Menge pro Gebinde fehlt (Ist = 1 Gebinde); ","")&amp;BV1606)</f>
        <v>Kein Verbrauch; Gebinde geschätzt (Klein); Menge pro Gebinde fehlt (Ist = 1 Gebinde); nur im Artikelstamm (Bestand 23.06.2026)</v>
      </c>
      <c r="BO1606" s="60"/>
      <c r="BP1606" s="60"/>
      <c r="BQ1606" s="67"/>
      <c r="BR1606" s="62" t="n">
        <v>4</v>
      </c>
      <c r="BS1606" s="62" t="n">
        <v>0</v>
      </c>
      <c r="BT1606" s="61" t="n">
        <v>0</v>
      </c>
      <c r="BU1606" s="62" t="n">
        <v>0</v>
      </c>
      <c r="BV1606" s="60" t="s">
        <v>2617</v>
      </c>
      <c r="BW1606" s="65" t="n">
        <v>0</v>
      </c>
      <c r="BX1606" s="65" t="n">
        <v>1606</v>
      </c>
      <c r="BY1606" s="60" t="str">
        <f aca="false">IF(U1606&lt;&gt;"",UPPER(TRIM(U1606)),IF(CB1606=1,UPPER(VLOOKUP(T1606,Parameter!$I$27:$K$29,2,0)),IF(P1606="","LOSE",P1606)))</f>
        <v>S51</v>
      </c>
      <c r="BZ1606" s="62" t="n">
        <f aca="false">IF(BY1606="LOSE",1,IF(N(V1606)&gt;0,V1606,IF(CB1606=1,MAX(1,N(VLOOKUP(T1606,Parameter!$I$27:$K$29,3,0)),H1606,N(N1606)),IF(N(Q1606)&gt;0,Q1606,MAX(1,H1606)))))</f>
        <v>20</v>
      </c>
      <c r="CA1606" s="65" t="n">
        <f aca="false">IF(BY1606="LOSE",1,0)</f>
        <v>0</v>
      </c>
      <c r="CB1606" s="65" t="n">
        <f aca="false">IF(AND(U1606="",OR(P1606="",P1606="LOSE"),T1606&lt;&gt;"",N(S1606)&lt;=0,ISNUMBER(MATCH(T1606,Parameter!$I$27:$I$29,0))),1,0)</f>
        <v>1</v>
      </c>
      <c r="CC1606" s="65" t="n">
        <f aca="false">IF(CR1606&gt;0,INDEX(Parameter!$H$5:$H$7,W1606)/INDEX(Parameter!$E$5:$E$7,W1606),IF(AND(CA1606=0,N(IFERROR(VLOOKUP(BY1606,'Gebinde-Kategorie'!$A$5:$N$45,14,0),0))&gt;0),VLOOKUP(BY1606,'Gebinde-Kategorie'!$A$5:$N$45,14,0)*10+Parameter!$M$23,Parameter!$M$24))</f>
        <v>155</v>
      </c>
      <c r="CD1606" s="60" t="str">
        <f aca="false">IF(AND(Parameter!$B$19="Ja",E1606&lt;&gt;"",ISNUMBER(MATCH(E1606,Parameter!$I$35:$I$52,0))),VLOOKUP(E1606,Parameter!$I$35:$J$52,2,0),IFERROR(VLOOKUP(D1606,Parameter!$A$35:$C$64,2,0),"Nein"))</f>
        <v>2+3</v>
      </c>
      <c r="CE1606" s="64" t="n">
        <f aca="false">IF(CA1606=0,0,IF(N(S1606)&gt;0,S1606,IFERROR(VLOOKUP(D1606,Parameter!$A$35:$C$64,3,0)+0,0)))</f>
        <v>0</v>
      </c>
      <c r="CF1606" s="60" t="n">
        <f aca="false">IF(AB1606&lt;&gt;"",AB1606,AA1606)</f>
        <v>3</v>
      </c>
      <c r="CG1606" s="60" t="str">
        <f aca="false">IF(OR(CF1606=1,CF1606=2,CF1606=3),IF(Parameter!$E$27="Ja","LIFT",IF(CF1606=1,"L1","L23")),IF(CF1606="Aussen","Aussen","-"))</f>
        <v>LIFT</v>
      </c>
      <c r="CH1606" s="71" t="n">
        <f aca="false">IF(N(AC1606)&gt;0,AC1606,0)</f>
        <v>0</v>
      </c>
      <c r="CI1606" s="65" t="n">
        <f aca="false">IF(ISNUMBER(AF1606),1,0)</f>
        <v>0</v>
      </c>
      <c r="CJ1606" s="62" t="n">
        <f aca="false">N(AF1606)</f>
        <v>0</v>
      </c>
      <c r="CK1606" s="62" t="n">
        <f aca="false">N(M1606)+N(N1606)</f>
        <v>5</v>
      </c>
      <c r="CL1606" s="62" t="n">
        <f aca="false">N(M1606)</f>
        <v>0</v>
      </c>
      <c r="CM1606" s="62" t="n">
        <f aca="false">N(N1606)</f>
        <v>5</v>
      </c>
      <c r="CN1606" s="62" t="n">
        <f aca="false">ROUNDUP(H1606/BZ1606,0)</f>
        <v>1</v>
      </c>
      <c r="CO1606" s="62" t="n">
        <f aca="false">ROUNDUP(CJ1606/BZ1606,0)</f>
        <v>0</v>
      </c>
      <c r="CP1606" s="65" t="n">
        <f aca="false">IF(CA1606=1,0,IFERROR(VLOOKUP(BY1606,'Gebinde-Kategorie'!$A$5:$N$45,5,0)+0,0))</f>
        <v>11</v>
      </c>
      <c r="CQ1606" s="65" t="n">
        <f aca="false">IFERROR(IF(OR(CF1606=1,CF1606=2,CF1606=3),N(INDEX(Parameter!$I$5:$I$7,CF1606)),0),0)</f>
        <v>0</v>
      </c>
      <c r="CR1606" s="64" t="n">
        <f aca="false">IF(AND(Parameter!$B$21="Ja",ISNUMBER(W1606),N(X1606)&gt;0),IFERROR(N(INDEX(Parameter!$L$5:$L$7,W1606))*INDEX(Parameter!$E$5:$E$7,W1606)*X1606/SUMIFS($X$7:$X$1843,$W$7:$W$1843,W1606),0),0)</f>
        <v>0</v>
      </c>
      <c r="CS1606" s="62" t="n">
        <f aca="false">IF(AND(OR(CG1606="L1",CG1606="L23",CG1606="LIFT"),H1606&gt;0),CC1606*IF(CR1606&gt;0,CR1606*MAX(1,H1606/X1606),IF(CA1606=1,CE1606,IF(R1606&gt;0,CN1606/R1606,0))/MAX(0.1,N(Parameter!$M$21))),"")</f>
        <v>5.96153846153846</v>
      </c>
      <c r="CT1606" s="64" t="n">
        <f aca="false">IF(CS1606="","",J1606/H1606)</f>
        <v>0</v>
      </c>
      <c r="CU1606" s="62" t="n">
        <f aca="false">IF(CS1606="","",H1606*G1606)</f>
        <v>58.32</v>
      </c>
      <c r="CV1606" s="63" t="n">
        <f aca="false">IF(CS1606="","",(CL1606+ROUNDUP(CL1606+MAX(CM1606,2*(J1606/MAX(0.1,N(Einkauf!$C$6))-CL1606)),0))/2)</f>
        <v>2.5</v>
      </c>
      <c r="CW1606" s="62" t="n">
        <f aca="false">IF(CS1606="","",MAX(0,H1606-CV1606)*G1606)</f>
        <v>21.87</v>
      </c>
      <c r="CX1606" s="62" t="n">
        <f aca="false">IF(CS1606="","",CS1606*MAX(0,1-CV1606/H1606))</f>
        <v>2.23557692307692</v>
      </c>
      <c r="CY1606" s="64" t="n">
        <f aca="false">IF(CS1606="","",PERCENTRANK($CS$7:$CS$1843,CS1606)+PERCENTRANK($CU$7:$CU$1843,CU1606)+1-PERCENTRANK($CT$7:$CT$1843,CT1606))</f>
        <v>1.523</v>
      </c>
      <c r="CZ1606" s="72" t="n">
        <f aca="false">IF(CS1606="","",CHOOSE(MATCH(Einkauf!$C$5,Parameter!$G$23:$G$27,0),CY1606,CS1606,CU1606,-CT1606,CW1606)+ROW()/1000000000)</f>
        <v>1.523001606</v>
      </c>
    </row>
    <row r="1607" customFormat="false" ht="15" hidden="false" customHeight="false" outlineLevel="0" collapsed="false">
      <c r="A1607" s="60" t="s">
        <v>2843</v>
      </c>
      <c r="B1607" s="60" t="s">
        <v>2844</v>
      </c>
      <c r="C1607" s="60" t="s">
        <v>206</v>
      </c>
      <c r="D1607" s="60" t="s">
        <v>226</v>
      </c>
      <c r="E1607" s="60"/>
      <c r="F1607" s="60"/>
      <c r="G1607" s="61" t="n">
        <v>2.17</v>
      </c>
      <c r="H1607" s="62" t="n">
        <f aca="false">MAX(0,IF(AND(Parameter!$B$21="Ja",ISNUMBER(Y1607)),Y1607,IF(Parameter!$B$20="Jahresanfang 2025 + Export",BS1607+BR1607,BR1607)))</f>
        <v>89</v>
      </c>
      <c r="I1607" s="62" t="n">
        <f aca="false">H1607*G1607</f>
        <v>193.13</v>
      </c>
      <c r="J1607" s="62" t="n">
        <f aca="false">BU1607*Parameter!$B$18</f>
        <v>0</v>
      </c>
      <c r="K1607" s="63"/>
      <c r="L1607" s="64"/>
      <c r="M1607" s="62" t="n">
        <v>0</v>
      </c>
      <c r="N1607" s="62" t="n">
        <v>40</v>
      </c>
      <c r="O1607" s="65" t="n">
        <v>28</v>
      </c>
      <c r="P1607" s="60" t="s">
        <v>210</v>
      </c>
      <c r="Q1607" s="62"/>
      <c r="R1607" s="65" t="n">
        <f aca="false">IF(CA1607=1,0,IFERROR(VLOOKUP(BY1607,'Gebinde-Kategorie'!$A$5:$N$45,13,0)+0,0))</f>
        <v>26</v>
      </c>
      <c r="S1607" s="66"/>
      <c r="T1607" s="67" t="s">
        <v>317</v>
      </c>
      <c r="U1607" s="67"/>
      <c r="V1607" s="67"/>
      <c r="W1607" s="60"/>
      <c r="X1607" s="62"/>
      <c r="Y1607" s="62"/>
      <c r="Z1607" s="60" t="n">
        <v>3</v>
      </c>
      <c r="AA1607" s="60" t="n">
        <f aca="false">IF(A1607="","",IF(AND(Parameter!$B$21="Ja",ISNUMBER(W1607)),W1607,IF(AND(Parameter!$E$27="Ja",ISNUMBER(Z1607),CD1607&lt;&gt;"Nein"),Z1607,IF(CD1607="2+3",IF(ISNUMBER(SEARCH("grosser Artikel",BV1607)),2,IFERROR(VLOOKUP(BY1607,Parameter!$F$35:$G$64,2,0),2)),IF(OR(CD1607="Nein",CD1607=""),"-",CD1607)))))</f>
        <v>3</v>
      </c>
      <c r="AB1607" s="67"/>
      <c r="AC1607" s="68"/>
      <c r="AD1607" s="62" t="n">
        <f aca="false">AW1607</f>
        <v>40</v>
      </c>
      <c r="AE1607" s="62" t="n">
        <f aca="false">MAX(AW1607,H1607)</f>
        <v>89</v>
      </c>
      <c r="AF1607" s="69"/>
      <c r="AG1607" s="62" t="n">
        <f aca="false">IF(LEFT(Cockpit!$C$5,1)="A",H1607,IF(Parameter!$E$30="MAX-Bestand",IF(CI1607=1,CJ1607,IF(LEFT(Cockpit!$C$5,1)="B",AM1607,MAX(AM1607,H1607))),ROUNDUP(AK1607,0)))</f>
        <v>89</v>
      </c>
      <c r="AH1607" s="62" t="n">
        <f aca="false">IF(CA1607=1,0,ROUNDUP(AG1607/BZ1607,0))</f>
        <v>1</v>
      </c>
      <c r="AI1607" s="64" t="n">
        <f aca="false">IF(CR1607&gt;0,CR1607*MAX(1,AG1607/X1607),IF(CA1607=1,IF(AG1607&lt;=0,0,CE1607*MAX(1,IF(H1607&gt;0,AG1607/H1607,1))),IF(R1607&gt;0,AH1607/R1607,0))/MAX(0.1,N(Parameter!$M$21)))</f>
        <v>0.0384615384615385</v>
      </c>
      <c r="AJ1607" s="62" t="n">
        <f aca="false">AI1607*CC1607</f>
        <v>5.96153846153846</v>
      </c>
      <c r="AK1607" s="63" t="n">
        <f aca="false">IF(LEFT(Cockpit!$C$5,1)="A",H1607,IF(CI1607=1,(CL1607+CJ1607)/2,IF(LEFT(Cockpit!$C$5,1)="B",(CL1607+AM1607)/2,MAX((CL1607+AM1607)/2,H1607))))</f>
        <v>89</v>
      </c>
      <c r="AL1607" s="62" t="n">
        <f aca="false">AK1607*G1607</f>
        <v>193.13</v>
      </c>
      <c r="AM1607" s="62" t="n">
        <f aca="false">ROUNDUP(CL1607+MAX(CM1607,2*(J1607/IF(CH1607&gt;0,CH1607,MAX(0.1,N(Cockpit!$C$6)))-CL1607)),0)</f>
        <v>40</v>
      </c>
      <c r="AN1607" s="63" t="n">
        <f aca="false">IF(AJ1607&gt;0,J1607/AJ1607,-1)</f>
        <v>0</v>
      </c>
      <c r="AO1607" s="63" t="n">
        <f aca="false">IF(AND(OR(CG1607="L1",CG1607="L23",CG1607="LIFT"),AJ1607&gt;0),SUMIFS($AJ$7:$AJ$1843,$CG$7:$CG$1843,CG1607,$AN$7:$AN$1843,"&gt;"&amp;AN1607)+SUMIFS($AJ$7:$AJ$1843,$CG$7:$CG$1843,CG1607,$AN$7:$AN$1843,AN1607,$BX$7:$BX$1843,"&lt;="&amp;BX1607),"")</f>
        <v>30693.694395294</v>
      </c>
      <c r="AP1607" s="70" t="n">
        <f aca="false">IF(AO1607="",0,MAX(0,MIN(1,(IF(CG1607="L1",Parameter!$H$5,IF(CG1607="L23",Parameter!$H$6+Parameter!$H$7,Parameter!$H$5+Parameter!$H$6+Parameter!$H$7))-(AO1607-AJ1607))/AJ1607)))</f>
        <v>1</v>
      </c>
      <c r="AQ1607" s="62" t="n">
        <f aca="false">IF(LEFT(Cockpit!$I$5,1)="A",H1607,IF(Parameter!$E$30="MAX-Bestand",IF(CI1607=1,CJ1607,IF(LEFT(Cockpit!$I$5,1)="B",AW1607,MAX(AW1607,H1607))),ROUNDUP(AU1607,0)))</f>
        <v>89</v>
      </c>
      <c r="AR1607" s="62" t="n">
        <f aca="false">IF(CA1607=1,0,ROUNDUP(AQ1607/BZ1607,0))</f>
        <v>1</v>
      </c>
      <c r="AS1607" s="64" t="n">
        <f aca="false">IF(CR1607&gt;0,CR1607*MAX(1,AQ1607/X1607),IF(CA1607=1,IF(AQ1607&lt;=0,0,CE1607*MAX(1,IF(H1607&gt;0,AQ1607/H1607,1))),IF(R1607&gt;0,AR1607/R1607,0))/MAX(0.1,N(Parameter!$M$21)))</f>
        <v>0.0384615384615385</v>
      </c>
      <c r="AT1607" s="62" t="n">
        <f aca="false">AS1607*CC1607</f>
        <v>5.96153846153846</v>
      </c>
      <c r="AU1607" s="63" t="n">
        <f aca="false">IF(LEFT(Cockpit!$I$5,1)="A",H1607,IF(CI1607=1,(CL1607+CJ1607)/2,IF(LEFT(Cockpit!$I$5,1)="B",(CL1607+AW1607)/2,MAX((CL1607+AW1607)/2,H1607))))</f>
        <v>89</v>
      </c>
      <c r="AV1607" s="62" t="n">
        <f aca="false">AU1607*G1607</f>
        <v>193.13</v>
      </c>
      <c r="AW1607" s="62" t="n">
        <f aca="false">ROUNDUP(CL1607+MAX(CM1607,2*(J1607/IF(CH1607&gt;0,CH1607,MAX(0.1,N(Cockpit!$I$6)))-CL1607)),0)</f>
        <v>40</v>
      </c>
      <c r="AX1607" s="63" t="n">
        <f aca="false">IF(AT1607&gt;0,J1607/AT1607,-1)</f>
        <v>0</v>
      </c>
      <c r="AY1607" s="63" t="n">
        <f aca="false">IF(AND(OR(CG1607="L1",CG1607="L23",CG1607="LIFT"),AT1607&gt;0),SUMIFS($AT$7:$AT$1843,$CG$7:$CG$1843,CG1607,$AX$7:$AX$1843,"&gt;"&amp;AX1607)+SUMIFS($AT$7:$AT$1843,$CG$7:$CG$1843,CG1607,$AX$7:$AX$1843,AX1607,$BX$7:$BX$1843,"&lt;="&amp;BX1607),"")</f>
        <v>37013.5509121293</v>
      </c>
      <c r="AZ1607" s="70" t="n">
        <f aca="false">IF(AY1607="",0,MAX(0,MIN(1,(IF(CG1607="L1",Parameter!$H$5,IF(CG1607="L23",Parameter!$H$6+Parameter!$H$7,Parameter!$H$5+Parameter!$H$6+Parameter!$H$7))-(AY1607-AT1607))/AT1607)))</f>
        <v>0</v>
      </c>
      <c r="BA1607" s="62" t="n">
        <f aca="false">IF(LEFT(Cockpit!$O$5,1)="A",H1607,IF(Parameter!$E$30="MAX-Bestand",IF(CI1607=1,CJ1607,IF(LEFT(Cockpit!$O$5,1)="B",BG1607,MAX(BG1607,H1607))),ROUNDUP(BE1607,0)))</f>
        <v>20</v>
      </c>
      <c r="BB1607" s="62" t="n">
        <f aca="false">IF(CA1607=1,0,ROUNDUP(BA1607/BZ1607,0))</f>
        <v>1</v>
      </c>
      <c r="BC1607" s="64" t="n">
        <f aca="false">IF(CR1607&gt;0,CR1607*MAX(1,BA1607/X1607),IF(CA1607=1,IF(BA1607&lt;=0,0,CE1607*MAX(1,IF(H1607&gt;0,BA1607/H1607,1))),IF(R1607&gt;0,BB1607/R1607,0))/MAX(0.1,N(Parameter!$M$21)))</f>
        <v>0.0384615384615385</v>
      </c>
      <c r="BD1607" s="62" t="n">
        <f aca="false">BC1607*CC1607</f>
        <v>5.96153846153846</v>
      </c>
      <c r="BE1607" s="63" t="n">
        <f aca="false">IF(LEFT(Cockpit!$O$5,1)="A",H1607,IF(CI1607=1,(CL1607+CJ1607)/2,IF(LEFT(Cockpit!$O$5,1)="B",(CL1607+BG1607)/2,MAX((CL1607+BG1607)/2,H1607))))</f>
        <v>20</v>
      </c>
      <c r="BF1607" s="62" t="n">
        <f aca="false">BE1607*G1607</f>
        <v>43.4</v>
      </c>
      <c r="BG1607" s="62" t="n">
        <f aca="false">ROUNDUP(CL1607+MAX(CM1607,2*(J1607/IF(CH1607&gt;0,CH1607,MAX(0.1,N(Cockpit!$O$6)))-CL1607)),0)</f>
        <v>40</v>
      </c>
      <c r="BH1607" s="63" t="n">
        <f aca="false">IF(BD1607&gt;0,J1607/BD1607,-1)</f>
        <v>0</v>
      </c>
      <c r="BI1607" s="63" t="n">
        <f aca="false">IF(AND(OR(CG1607="L1",CG1607="L23",CG1607="LIFT"),BD1607&gt;0),SUMIFS($BD$7:$BD$1843,$CG$7:$CG$1843,CG1607,$BH$7:$BH$1843,"&gt;"&amp;BH1607)+SUMIFS($BD$7:$BD$1843,$CG$7:$CG$1843,CG1607,$BH$7:$BH$1843,BH1607,$BX$7:$BX$1843,"&lt;="&amp;BX1607),"")</f>
        <v>30922.9921876617</v>
      </c>
      <c r="BJ1607" s="70" t="n">
        <f aca="false">IF(BI1607="",0,MAX(0,MIN(1,(IF(CG1607="L1",Parameter!$H$5,IF(CG1607="L23",Parameter!$H$6+Parameter!$H$7,Parameter!$H$5+Parameter!$H$6+Parameter!$H$7))-(BI1607-BD1607))/BD1607)))</f>
        <v>1</v>
      </c>
      <c r="BK1607" s="60" t="str">
        <f aca="false">IF(AJ1607&lt;=0,"",IF(CG1607="Aussen","Aussenlager",IF(CG1607="-","Nicht im Lift",IF(AP1607&gt;=1,"Lift",IF(AP1607&lt;=0,"Aussenlager","teilweise")))))</f>
        <v>Lift</v>
      </c>
      <c r="BL1607" s="60" t="str">
        <f aca="false">IF(AT1607&lt;=0,"",IF(CG1607="Aussen","Aussenlager",IF(CG1607="-","Nicht im Lift",IF(AZ1607&gt;=1,"Lift",IF(AZ1607&lt;=0,"Aussenlager","teilweise")))))</f>
        <v>Aussenlager</v>
      </c>
      <c r="BM1607" s="60" t="str">
        <f aca="false">IF(BD1607&lt;=0,"",IF(CG1607="Aussen","Aussenlager",IF(CG1607="-","Nicht im Lift",IF(BJ1607&gt;=1,"Lift",IF(BJ1607&lt;=0,"Aussenlager","teilweise")))))</f>
        <v>Lift</v>
      </c>
      <c r="BN1607" s="60" t="str">
        <f aca="false">IF(A1607="","",IF(BW1607=1,"Neu; ","")&amp;IF(AND(BW1607=0,BR1607&lt;0),"negativer Bestand (Export "&amp;BR1607&amp;"); ","")&amp;IF(J1607&lt;=0,"Kein Verbrauch; ","")&amp;IF(CR1607&gt;0,"Lift "&amp;W1607&amp;" lt. Liftbericht (Fach "&amp;X1607&amp;" Stk); ",IF(CB1607=1,"Gebinde geschätzt ("&amp;T1607&amp;"); ",IF(CA1607=1,"Lose – Tablare geschätzt; ","")))&amp;IF(H1607&gt;AW1607,"Überbestand "&amp;ROUND(H1607-AW1607,0)&amp;" Stk / CHF "&amp;ROUND((H1607-AW1607)*G1607,0)&amp;"; ","")&amp;IF(AND(CI1607=1,CJ1607&lt;CK1607),"MAX &lt; MB+LG; ","")&amp;IF(AND(CQ1607&gt;0,CP1607*10&gt;CQ1607),"zu hoch für Tablar; ","")&amp;IF(AND(BW1607=0,OR(CI1607=1,AB1607&lt;&gt;"",U1607&lt;&gt;"",V1607&lt;&gt;"",AC1607&lt;&gt;"")),"manuell übersteuert; ","")&amp;IF(AND(CA1607=0,R1607=0),"Gebinde unbekannt / Stellmass fehlt; ","")&amp;IF(AND(CA1607=0,N(V1607)&lt;=0,N(Q1607)&lt;=0),"Menge pro Gebinde fehlt (Ist = 1 Gebinde); ","")&amp;BV1607)</f>
        <v>Kein Verbrauch; Gebinde geschätzt (Klein); Überbestand 49 Stk / CHF 106; Menge pro Gebinde fehlt (Ist = 1 Gebinde); nur im Artikelstamm (Bestand 23.06.2026)</v>
      </c>
      <c r="BO1607" s="60"/>
      <c r="BP1607" s="60"/>
      <c r="BQ1607" s="67"/>
      <c r="BR1607" s="62" t="n">
        <v>89</v>
      </c>
      <c r="BS1607" s="62" t="n">
        <v>0</v>
      </c>
      <c r="BT1607" s="61" t="n">
        <v>0</v>
      </c>
      <c r="BU1607" s="62" t="n">
        <v>0</v>
      </c>
      <c r="BV1607" s="60" t="s">
        <v>2617</v>
      </c>
      <c r="BW1607" s="65" t="n">
        <v>0</v>
      </c>
      <c r="BX1607" s="65" t="n">
        <v>1607</v>
      </c>
      <c r="BY1607" s="60" t="str">
        <f aca="false">IF(U1607&lt;&gt;"",UPPER(TRIM(U1607)),IF(CB1607=1,UPPER(VLOOKUP(T1607,Parameter!$I$27:$K$29,2,0)),IF(P1607="","LOSE",P1607)))</f>
        <v>S51</v>
      </c>
      <c r="BZ1607" s="62" t="n">
        <f aca="false">IF(BY1607="LOSE",1,IF(N(V1607)&gt;0,V1607,IF(CB1607=1,MAX(1,N(VLOOKUP(T1607,Parameter!$I$27:$K$29,3,0)),H1607,N(N1607)),IF(N(Q1607)&gt;0,Q1607,MAX(1,H1607)))))</f>
        <v>89</v>
      </c>
      <c r="CA1607" s="65" t="n">
        <f aca="false">IF(BY1607="LOSE",1,0)</f>
        <v>0</v>
      </c>
      <c r="CB1607" s="65" t="n">
        <f aca="false">IF(AND(U1607="",OR(P1607="",P1607="LOSE"),T1607&lt;&gt;"",N(S1607)&lt;=0,ISNUMBER(MATCH(T1607,Parameter!$I$27:$I$29,0))),1,0)</f>
        <v>1</v>
      </c>
      <c r="CC1607" s="65" t="n">
        <f aca="false">IF(CR1607&gt;0,INDEX(Parameter!$H$5:$H$7,W1607)/INDEX(Parameter!$E$5:$E$7,W1607),IF(AND(CA1607=0,N(IFERROR(VLOOKUP(BY1607,'Gebinde-Kategorie'!$A$5:$N$45,14,0),0))&gt;0),VLOOKUP(BY1607,'Gebinde-Kategorie'!$A$5:$N$45,14,0)*10+Parameter!$M$23,Parameter!$M$24))</f>
        <v>155</v>
      </c>
      <c r="CD1607" s="60" t="str">
        <f aca="false">IF(AND(Parameter!$B$19="Ja",E1607&lt;&gt;"",ISNUMBER(MATCH(E1607,Parameter!$I$35:$I$52,0))),VLOOKUP(E1607,Parameter!$I$35:$J$52,2,0),IFERROR(VLOOKUP(D1607,Parameter!$A$35:$C$64,2,0),"Nein"))</f>
        <v>2+3</v>
      </c>
      <c r="CE1607" s="64" t="n">
        <f aca="false">IF(CA1607=0,0,IF(N(S1607)&gt;0,S1607,IFERROR(VLOOKUP(D1607,Parameter!$A$35:$C$64,3,0)+0,0)))</f>
        <v>0</v>
      </c>
      <c r="CF1607" s="60" t="n">
        <f aca="false">IF(AB1607&lt;&gt;"",AB1607,AA1607)</f>
        <v>3</v>
      </c>
      <c r="CG1607" s="60" t="str">
        <f aca="false">IF(OR(CF1607=1,CF1607=2,CF1607=3),IF(Parameter!$E$27="Ja","LIFT",IF(CF1607=1,"L1","L23")),IF(CF1607="Aussen","Aussen","-"))</f>
        <v>LIFT</v>
      </c>
      <c r="CH1607" s="71" t="n">
        <f aca="false">IF(N(AC1607)&gt;0,AC1607,0)</f>
        <v>0</v>
      </c>
      <c r="CI1607" s="65" t="n">
        <f aca="false">IF(ISNUMBER(AF1607),1,0)</f>
        <v>0</v>
      </c>
      <c r="CJ1607" s="62" t="n">
        <f aca="false">N(AF1607)</f>
        <v>0</v>
      </c>
      <c r="CK1607" s="62" t="n">
        <f aca="false">N(M1607)+N(N1607)</f>
        <v>40</v>
      </c>
      <c r="CL1607" s="62" t="n">
        <f aca="false">N(M1607)</f>
        <v>0</v>
      </c>
      <c r="CM1607" s="62" t="n">
        <f aca="false">N(N1607)</f>
        <v>40</v>
      </c>
      <c r="CN1607" s="62" t="n">
        <f aca="false">ROUNDUP(H1607/BZ1607,0)</f>
        <v>1</v>
      </c>
      <c r="CO1607" s="62" t="n">
        <f aca="false">ROUNDUP(CJ1607/BZ1607,0)</f>
        <v>0</v>
      </c>
      <c r="CP1607" s="65" t="n">
        <f aca="false">IF(CA1607=1,0,IFERROR(VLOOKUP(BY1607,'Gebinde-Kategorie'!$A$5:$N$45,5,0)+0,0))</f>
        <v>11</v>
      </c>
      <c r="CQ1607" s="65" t="n">
        <f aca="false">IFERROR(IF(OR(CF1607=1,CF1607=2,CF1607=3),N(INDEX(Parameter!$I$5:$I$7,CF1607)),0),0)</f>
        <v>0</v>
      </c>
      <c r="CR1607" s="64" t="n">
        <f aca="false">IF(AND(Parameter!$B$21="Ja",ISNUMBER(W1607),N(X1607)&gt;0),IFERROR(N(INDEX(Parameter!$L$5:$L$7,W1607))*INDEX(Parameter!$E$5:$E$7,W1607)*X1607/SUMIFS($X$7:$X$1843,$W$7:$W$1843,W1607),0),0)</f>
        <v>0</v>
      </c>
      <c r="CS1607" s="62" t="n">
        <f aca="false">IF(AND(OR(CG1607="L1",CG1607="L23",CG1607="LIFT"),H1607&gt;0),CC1607*IF(CR1607&gt;0,CR1607*MAX(1,H1607/X1607),IF(CA1607=1,CE1607,IF(R1607&gt;0,CN1607/R1607,0))/MAX(0.1,N(Parameter!$M$21))),"")</f>
        <v>5.96153846153846</v>
      </c>
      <c r="CT1607" s="64" t="n">
        <f aca="false">IF(CS1607="","",J1607/H1607)</f>
        <v>0</v>
      </c>
      <c r="CU1607" s="62" t="n">
        <f aca="false">IF(CS1607="","",H1607*G1607)</f>
        <v>193.13</v>
      </c>
      <c r="CV1607" s="63" t="n">
        <f aca="false">IF(CS1607="","",(CL1607+ROUNDUP(CL1607+MAX(CM1607,2*(J1607/MAX(0.1,N(Einkauf!$C$6))-CL1607)),0))/2)</f>
        <v>20</v>
      </c>
      <c r="CW1607" s="62" t="n">
        <f aca="false">IF(CS1607="","",MAX(0,H1607-CV1607)*G1607)</f>
        <v>149.73</v>
      </c>
      <c r="CX1607" s="62" t="n">
        <f aca="false">IF(CS1607="","",CS1607*MAX(0,1-CV1607/H1607))</f>
        <v>4.6218668971478</v>
      </c>
      <c r="CY1607" s="64" t="n">
        <f aca="false">IF(CS1607="","",PERCENTRANK($CS$7:$CS$1843,CS1607)+PERCENTRANK($CU$7:$CU$1843,CU1607)+1-PERCENTRANK($CT$7:$CT$1843,CT1607))</f>
        <v>1.693</v>
      </c>
      <c r="CZ1607" s="72" t="n">
        <f aca="false">IF(CS1607="","",CHOOSE(MATCH(Einkauf!$C$5,Parameter!$G$23:$G$27,0),CY1607,CS1607,CU1607,-CT1607,CW1607)+ROW()/1000000000)</f>
        <v>1.693001607</v>
      </c>
    </row>
    <row r="1608" customFormat="false" ht="15" hidden="false" customHeight="false" outlineLevel="0" collapsed="false">
      <c r="A1608" s="60" t="s">
        <v>2845</v>
      </c>
      <c r="B1608" s="60" t="s">
        <v>2846</v>
      </c>
      <c r="C1608" s="60" t="s">
        <v>206</v>
      </c>
      <c r="D1608" s="60" t="s">
        <v>226</v>
      </c>
      <c r="E1608" s="60"/>
      <c r="F1608" s="60"/>
      <c r="G1608" s="61" t="n">
        <v>1.95</v>
      </c>
      <c r="H1608" s="62" t="n">
        <f aca="false">MAX(0,IF(AND(Parameter!$B$21="Ja",ISNUMBER(Y1608)),Y1608,IF(Parameter!$B$20="Jahresanfang 2025 + Export",BS1608+BR1608,BR1608)))</f>
        <v>44</v>
      </c>
      <c r="I1608" s="62" t="n">
        <f aca="false">H1608*G1608</f>
        <v>85.8</v>
      </c>
      <c r="J1608" s="62" t="n">
        <f aca="false">BU1608*Parameter!$B$18</f>
        <v>0</v>
      </c>
      <c r="K1608" s="63"/>
      <c r="L1608" s="64"/>
      <c r="M1608" s="62" t="n">
        <v>0</v>
      </c>
      <c r="N1608" s="62" t="n">
        <v>40</v>
      </c>
      <c r="O1608" s="65" t="n">
        <v>28</v>
      </c>
      <c r="P1608" s="60" t="s">
        <v>210</v>
      </c>
      <c r="Q1608" s="62"/>
      <c r="R1608" s="65" t="n">
        <f aca="false">IF(CA1608=1,0,IFERROR(VLOOKUP(BY1608,'Gebinde-Kategorie'!$A$5:$N$45,13,0)+0,0))</f>
        <v>26</v>
      </c>
      <c r="S1608" s="66"/>
      <c r="T1608" s="67" t="s">
        <v>317</v>
      </c>
      <c r="U1608" s="67"/>
      <c r="V1608" s="67"/>
      <c r="W1608" s="60"/>
      <c r="X1608" s="62"/>
      <c r="Y1608" s="62"/>
      <c r="Z1608" s="60" t="n">
        <v>3</v>
      </c>
      <c r="AA1608" s="60" t="n">
        <f aca="false">IF(A1608="","",IF(AND(Parameter!$B$21="Ja",ISNUMBER(W1608)),W1608,IF(AND(Parameter!$E$27="Ja",ISNUMBER(Z1608),CD1608&lt;&gt;"Nein"),Z1608,IF(CD1608="2+3",IF(ISNUMBER(SEARCH("grosser Artikel",BV1608)),2,IFERROR(VLOOKUP(BY1608,Parameter!$F$35:$G$64,2,0),2)),IF(OR(CD1608="Nein",CD1608=""),"-",CD1608)))))</f>
        <v>3</v>
      </c>
      <c r="AB1608" s="67"/>
      <c r="AC1608" s="68"/>
      <c r="AD1608" s="62" t="n">
        <f aca="false">AW1608</f>
        <v>40</v>
      </c>
      <c r="AE1608" s="62" t="n">
        <f aca="false">MAX(AW1608,H1608)</f>
        <v>44</v>
      </c>
      <c r="AF1608" s="69"/>
      <c r="AG1608" s="62" t="n">
        <f aca="false">IF(LEFT(Cockpit!$C$5,1)="A",H1608,IF(Parameter!$E$30="MAX-Bestand",IF(CI1608=1,CJ1608,IF(LEFT(Cockpit!$C$5,1)="B",AM1608,MAX(AM1608,H1608))),ROUNDUP(AK1608,0)))</f>
        <v>44</v>
      </c>
      <c r="AH1608" s="62" t="n">
        <f aca="false">IF(CA1608=1,0,ROUNDUP(AG1608/BZ1608,0))</f>
        <v>1</v>
      </c>
      <c r="AI1608" s="64" t="n">
        <f aca="false">IF(CR1608&gt;0,CR1608*MAX(1,AG1608/X1608),IF(CA1608=1,IF(AG1608&lt;=0,0,CE1608*MAX(1,IF(H1608&gt;0,AG1608/H1608,1))),IF(R1608&gt;0,AH1608/R1608,0))/MAX(0.1,N(Parameter!$M$21)))</f>
        <v>0.0384615384615385</v>
      </c>
      <c r="AJ1608" s="62" t="n">
        <f aca="false">AI1608*CC1608</f>
        <v>5.96153846153846</v>
      </c>
      <c r="AK1608" s="63" t="n">
        <f aca="false">IF(LEFT(Cockpit!$C$5,1)="A",H1608,IF(CI1608=1,(CL1608+CJ1608)/2,IF(LEFT(Cockpit!$C$5,1)="B",(CL1608+AM1608)/2,MAX((CL1608+AM1608)/2,H1608))))</f>
        <v>44</v>
      </c>
      <c r="AL1608" s="62" t="n">
        <f aca="false">AK1608*G1608</f>
        <v>85.8</v>
      </c>
      <c r="AM1608" s="62" t="n">
        <f aca="false">ROUNDUP(CL1608+MAX(CM1608,2*(J1608/IF(CH1608&gt;0,CH1608,MAX(0.1,N(Cockpit!$C$6)))-CL1608)),0)</f>
        <v>40</v>
      </c>
      <c r="AN1608" s="63" t="n">
        <f aca="false">IF(AJ1608&gt;0,J1608/AJ1608,-1)</f>
        <v>0</v>
      </c>
      <c r="AO1608" s="63" t="n">
        <f aca="false">IF(AND(OR(CG1608="L1",CG1608="L23",CG1608="LIFT"),AJ1608&gt;0),SUMIFS($AJ$7:$AJ$1843,$CG$7:$CG$1843,CG1608,$AN$7:$AN$1843,"&gt;"&amp;AN1608)+SUMIFS($AJ$7:$AJ$1843,$CG$7:$CG$1843,CG1608,$AN$7:$AN$1843,AN1608,$BX$7:$BX$1843,"&lt;="&amp;BX1608),"")</f>
        <v>30699.6559337555</v>
      </c>
      <c r="AP1608" s="70" t="n">
        <f aca="false">IF(AO1608="",0,MAX(0,MIN(1,(IF(CG1608="L1",Parameter!$H$5,IF(CG1608="L23",Parameter!$H$6+Parameter!$H$7,Parameter!$H$5+Parameter!$H$6+Parameter!$H$7))-(AO1608-AJ1608))/AJ1608)))</f>
        <v>1</v>
      </c>
      <c r="AQ1608" s="62" t="n">
        <f aca="false">IF(LEFT(Cockpit!$I$5,1)="A",H1608,IF(Parameter!$E$30="MAX-Bestand",IF(CI1608=1,CJ1608,IF(LEFT(Cockpit!$I$5,1)="B",AW1608,MAX(AW1608,H1608))),ROUNDUP(AU1608,0)))</f>
        <v>44</v>
      </c>
      <c r="AR1608" s="62" t="n">
        <f aca="false">IF(CA1608=1,0,ROUNDUP(AQ1608/BZ1608,0))</f>
        <v>1</v>
      </c>
      <c r="AS1608" s="64" t="n">
        <f aca="false">IF(CR1608&gt;0,CR1608*MAX(1,AQ1608/X1608),IF(CA1608=1,IF(AQ1608&lt;=0,0,CE1608*MAX(1,IF(H1608&gt;0,AQ1608/H1608,1))),IF(R1608&gt;0,AR1608/R1608,0))/MAX(0.1,N(Parameter!$M$21)))</f>
        <v>0.0384615384615385</v>
      </c>
      <c r="AT1608" s="62" t="n">
        <f aca="false">AS1608*CC1608</f>
        <v>5.96153846153846</v>
      </c>
      <c r="AU1608" s="63" t="n">
        <f aca="false">IF(LEFT(Cockpit!$I$5,1)="A",H1608,IF(CI1608=1,(CL1608+CJ1608)/2,IF(LEFT(Cockpit!$I$5,1)="B",(CL1608+AW1608)/2,MAX((CL1608+AW1608)/2,H1608))))</f>
        <v>44</v>
      </c>
      <c r="AV1608" s="62" t="n">
        <f aca="false">AU1608*G1608</f>
        <v>85.8</v>
      </c>
      <c r="AW1608" s="62" t="n">
        <f aca="false">ROUNDUP(CL1608+MAX(CM1608,2*(J1608/IF(CH1608&gt;0,CH1608,MAX(0.1,N(Cockpit!$I$6)))-CL1608)),0)</f>
        <v>40</v>
      </c>
      <c r="AX1608" s="63" t="n">
        <f aca="false">IF(AT1608&gt;0,J1608/AT1608,-1)</f>
        <v>0</v>
      </c>
      <c r="AY1608" s="63" t="n">
        <f aca="false">IF(AND(OR(CG1608="L1",CG1608="L23",CG1608="LIFT"),AT1608&gt;0),SUMIFS($AT$7:$AT$1843,$CG$7:$CG$1843,CG1608,$AX$7:$AX$1843,"&gt;"&amp;AX1608)+SUMIFS($AT$7:$AT$1843,$CG$7:$CG$1843,CG1608,$AX$7:$AX$1843,AX1608,$BX$7:$BX$1843,"&lt;="&amp;BX1608),"")</f>
        <v>37019.5124505908</v>
      </c>
      <c r="AZ1608" s="70" t="n">
        <f aca="false">IF(AY1608="",0,MAX(0,MIN(1,(IF(CG1608="L1",Parameter!$H$5,IF(CG1608="L23",Parameter!$H$6+Parameter!$H$7,Parameter!$H$5+Parameter!$H$6+Parameter!$H$7))-(AY1608-AT1608))/AT1608)))</f>
        <v>0</v>
      </c>
      <c r="BA1608" s="62" t="n">
        <f aca="false">IF(LEFT(Cockpit!$O$5,1)="A",H1608,IF(Parameter!$E$30="MAX-Bestand",IF(CI1608=1,CJ1608,IF(LEFT(Cockpit!$O$5,1)="B",BG1608,MAX(BG1608,H1608))),ROUNDUP(BE1608,0)))</f>
        <v>20</v>
      </c>
      <c r="BB1608" s="62" t="n">
        <f aca="false">IF(CA1608=1,0,ROUNDUP(BA1608/BZ1608,0))</f>
        <v>1</v>
      </c>
      <c r="BC1608" s="64" t="n">
        <f aca="false">IF(CR1608&gt;0,CR1608*MAX(1,BA1608/X1608),IF(CA1608=1,IF(BA1608&lt;=0,0,CE1608*MAX(1,IF(H1608&gt;0,BA1608/H1608,1))),IF(R1608&gt;0,BB1608/R1608,0))/MAX(0.1,N(Parameter!$M$21)))</f>
        <v>0.0384615384615385</v>
      </c>
      <c r="BD1608" s="62" t="n">
        <f aca="false">BC1608*CC1608</f>
        <v>5.96153846153846</v>
      </c>
      <c r="BE1608" s="63" t="n">
        <f aca="false">IF(LEFT(Cockpit!$O$5,1)="A",H1608,IF(CI1608=1,(CL1608+CJ1608)/2,IF(LEFT(Cockpit!$O$5,1)="B",(CL1608+BG1608)/2,MAX((CL1608+BG1608)/2,H1608))))</f>
        <v>20</v>
      </c>
      <c r="BF1608" s="62" t="n">
        <f aca="false">BE1608*G1608</f>
        <v>39</v>
      </c>
      <c r="BG1608" s="62" t="n">
        <f aca="false">ROUNDUP(CL1608+MAX(CM1608,2*(J1608/IF(CH1608&gt;0,CH1608,MAX(0.1,N(Cockpit!$O$6)))-CL1608)),0)</f>
        <v>40</v>
      </c>
      <c r="BH1608" s="63" t="n">
        <f aca="false">IF(BD1608&gt;0,J1608/BD1608,-1)</f>
        <v>0</v>
      </c>
      <c r="BI1608" s="63" t="n">
        <f aca="false">IF(AND(OR(CG1608="L1",CG1608="L23",CG1608="LIFT"),BD1608&gt;0),SUMIFS($BD$7:$BD$1843,$CG$7:$CG$1843,CG1608,$BH$7:$BH$1843,"&gt;"&amp;BH1608)+SUMIFS($BD$7:$BD$1843,$CG$7:$CG$1843,CG1608,$BH$7:$BH$1843,BH1608,$BX$7:$BX$1843,"&lt;="&amp;BX1608),"")</f>
        <v>30928.9537261232</v>
      </c>
      <c r="BJ1608" s="70" t="n">
        <f aca="false">IF(BI1608="",0,MAX(0,MIN(1,(IF(CG1608="L1",Parameter!$H$5,IF(CG1608="L23",Parameter!$H$6+Parameter!$H$7,Parameter!$H$5+Parameter!$H$6+Parameter!$H$7))-(BI1608-BD1608))/BD1608)))</f>
        <v>1</v>
      </c>
      <c r="BK1608" s="60" t="str">
        <f aca="false">IF(AJ1608&lt;=0,"",IF(CG1608="Aussen","Aussenlager",IF(CG1608="-","Nicht im Lift",IF(AP1608&gt;=1,"Lift",IF(AP1608&lt;=0,"Aussenlager","teilweise")))))</f>
        <v>Lift</v>
      </c>
      <c r="BL1608" s="60" t="str">
        <f aca="false">IF(AT1608&lt;=0,"",IF(CG1608="Aussen","Aussenlager",IF(CG1608="-","Nicht im Lift",IF(AZ1608&gt;=1,"Lift",IF(AZ1608&lt;=0,"Aussenlager","teilweise")))))</f>
        <v>Aussenlager</v>
      </c>
      <c r="BM1608" s="60" t="str">
        <f aca="false">IF(BD1608&lt;=0,"",IF(CG1608="Aussen","Aussenlager",IF(CG1608="-","Nicht im Lift",IF(BJ1608&gt;=1,"Lift",IF(BJ1608&lt;=0,"Aussenlager","teilweise")))))</f>
        <v>Lift</v>
      </c>
      <c r="BN1608" s="60" t="str">
        <f aca="false">IF(A1608="","",IF(BW1608=1,"Neu; ","")&amp;IF(AND(BW1608=0,BR1608&lt;0),"negativer Bestand (Export "&amp;BR1608&amp;"); ","")&amp;IF(J1608&lt;=0,"Kein Verbrauch; ","")&amp;IF(CR1608&gt;0,"Lift "&amp;W1608&amp;" lt. Liftbericht (Fach "&amp;X1608&amp;" Stk); ",IF(CB1608=1,"Gebinde geschätzt ("&amp;T1608&amp;"); ",IF(CA1608=1,"Lose – Tablare geschätzt; ","")))&amp;IF(H1608&gt;AW1608,"Überbestand "&amp;ROUND(H1608-AW1608,0)&amp;" Stk / CHF "&amp;ROUND((H1608-AW1608)*G1608,0)&amp;"; ","")&amp;IF(AND(CI1608=1,CJ1608&lt;CK1608),"MAX &lt; MB+LG; ","")&amp;IF(AND(CQ1608&gt;0,CP1608*10&gt;CQ1608),"zu hoch für Tablar; ","")&amp;IF(AND(BW1608=0,OR(CI1608=1,AB1608&lt;&gt;"",U1608&lt;&gt;"",V1608&lt;&gt;"",AC1608&lt;&gt;"")),"manuell übersteuert; ","")&amp;IF(AND(CA1608=0,R1608=0),"Gebinde unbekannt / Stellmass fehlt; ","")&amp;IF(AND(CA1608=0,N(V1608)&lt;=0,N(Q1608)&lt;=0),"Menge pro Gebinde fehlt (Ist = 1 Gebinde); ","")&amp;BV1608)</f>
        <v>Kein Verbrauch; Gebinde geschätzt (Klein); Überbestand 4 Stk / CHF 8; Menge pro Gebinde fehlt (Ist = 1 Gebinde); nur im Artikelstamm (Bestand 23.06.2026)</v>
      </c>
      <c r="BO1608" s="60"/>
      <c r="BP1608" s="60"/>
      <c r="BQ1608" s="67"/>
      <c r="BR1608" s="62" t="n">
        <v>44</v>
      </c>
      <c r="BS1608" s="62" t="n">
        <v>0</v>
      </c>
      <c r="BT1608" s="61" t="n">
        <v>0</v>
      </c>
      <c r="BU1608" s="62" t="n">
        <v>0</v>
      </c>
      <c r="BV1608" s="60" t="s">
        <v>2617</v>
      </c>
      <c r="BW1608" s="65" t="n">
        <v>0</v>
      </c>
      <c r="BX1608" s="65" t="n">
        <v>1608</v>
      </c>
      <c r="BY1608" s="60" t="str">
        <f aca="false">IF(U1608&lt;&gt;"",UPPER(TRIM(U1608)),IF(CB1608=1,UPPER(VLOOKUP(T1608,Parameter!$I$27:$K$29,2,0)),IF(P1608="","LOSE",P1608)))</f>
        <v>S51</v>
      </c>
      <c r="BZ1608" s="62" t="n">
        <f aca="false">IF(BY1608="LOSE",1,IF(N(V1608)&gt;0,V1608,IF(CB1608=1,MAX(1,N(VLOOKUP(T1608,Parameter!$I$27:$K$29,3,0)),H1608,N(N1608)),IF(N(Q1608)&gt;0,Q1608,MAX(1,H1608)))))</f>
        <v>44</v>
      </c>
      <c r="CA1608" s="65" t="n">
        <f aca="false">IF(BY1608="LOSE",1,0)</f>
        <v>0</v>
      </c>
      <c r="CB1608" s="65" t="n">
        <f aca="false">IF(AND(U1608="",OR(P1608="",P1608="LOSE"),T1608&lt;&gt;"",N(S1608)&lt;=0,ISNUMBER(MATCH(T1608,Parameter!$I$27:$I$29,0))),1,0)</f>
        <v>1</v>
      </c>
      <c r="CC1608" s="65" t="n">
        <f aca="false">IF(CR1608&gt;0,INDEX(Parameter!$H$5:$H$7,W1608)/INDEX(Parameter!$E$5:$E$7,W1608),IF(AND(CA1608=0,N(IFERROR(VLOOKUP(BY1608,'Gebinde-Kategorie'!$A$5:$N$45,14,0),0))&gt;0),VLOOKUP(BY1608,'Gebinde-Kategorie'!$A$5:$N$45,14,0)*10+Parameter!$M$23,Parameter!$M$24))</f>
        <v>155</v>
      </c>
      <c r="CD1608" s="60" t="str">
        <f aca="false">IF(AND(Parameter!$B$19="Ja",E1608&lt;&gt;"",ISNUMBER(MATCH(E1608,Parameter!$I$35:$I$52,0))),VLOOKUP(E1608,Parameter!$I$35:$J$52,2,0),IFERROR(VLOOKUP(D1608,Parameter!$A$35:$C$64,2,0),"Nein"))</f>
        <v>2+3</v>
      </c>
      <c r="CE1608" s="64" t="n">
        <f aca="false">IF(CA1608=0,0,IF(N(S1608)&gt;0,S1608,IFERROR(VLOOKUP(D1608,Parameter!$A$35:$C$64,3,0)+0,0)))</f>
        <v>0</v>
      </c>
      <c r="CF1608" s="60" t="n">
        <f aca="false">IF(AB1608&lt;&gt;"",AB1608,AA1608)</f>
        <v>3</v>
      </c>
      <c r="CG1608" s="60" t="str">
        <f aca="false">IF(OR(CF1608=1,CF1608=2,CF1608=3),IF(Parameter!$E$27="Ja","LIFT",IF(CF1608=1,"L1","L23")),IF(CF1608="Aussen","Aussen","-"))</f>
        <v>LIFT</v>
      </c>
      <c r="CH1608" s="71" t="n">
        <f aca="false">IF(N(AC1608)&gt;0,AC1608,0)</f>
        <v>0</v>
      </c>
      <c r="CI1608" s="65" t="n">
        <f aca="false">IF(ISNUMBER(AF1608),1,0)</f>
        <v>0</v>
      </c>
      <c r="CJ1608" s="62" t="n">
        <f aca="false">N(AF1608)</f>
        <v>0</v>
      </c>
      <c r="CK1608" s="62" t="n">
        <f aca="false">N(M1608)+N(N1608)</f>
        <v>40</v>
      </c>
      <c r="CL1608" s="62" t="n">
        <f aca="false">N(M1608)</f>
        <v>0</v>
      </c>
      <c r="CM1608" s="62" t="n">
        <f aca="false">N(N1608)</f>
        <v>40</v>
      </c>
      <c r="CN1608" s="62" t="n">
        <f aca="false">ROUNDUP(H1608/BZ1608,0)</f>
        <v>1</v>
      </c>
      <c r="CO1608" s="62" t="n">
        <f aca="false">ROUNDUP(CJ1608/BZ1608,0)</f>
        <v>0</v>
      </c>
      <c r="CP1608" s="65" t="n">
        <f aca="false">IF(CA1608=1,0,IFERROR(VLOOKUP(BY1608,'Gebinde-Kategorie'!$A$5:$N$45,5,0)+0,0))</f>
        <v>11</v>
      </c>
      <c r="CQ1608" s="65" t="n">
        <f aca="false">IFERROR(IF(OR(CF1608=1,CF1608=2,CF1608=3),N(INDEX(Parameter!$I$5:$I$7,CF1608)),0),0)</f>
        <v>0</v>
      </c>
      <c r="CR1608" s="64" t="n">
        <f aca="false">IF(AND(Parameter!$B$21="Ja",ISNUMBER(W1608),N(X1608)&gt;0),IFERROR(N(INDEX(Parameter!$L$5:$L$7,W1608))*INDEX(Parameter!$E$5:$E$7,W1608)*X1608/SUMIFS($X$7:$X$1843,$W$7:$W$1843,W1608),0),0)</f>
        <v>0</v>
      </c>
      <c r="CS1608" s="62" t="n">
        <f aca="false">IF(AND(OR(CG1608="L1",CG1608="L23",CG1608="LIFT"),H1608&gt;0),CC1608*IF(CR1608&gt;0,CR1608*MAX(1,H1608/X1608),IF(CA1608=1,CE1608,IF(R1608&gt;0,CN1608/R1608,0))/MAX(0.1,N(Parameter!$M$21))),"")</f>
        <v>5.96153846153846</v>
      </c>
      <c r="CT1608" s="64" t="n">
        <f aca="false">IF(CS1608="","",J1608/H1608)</f>
        <v>0</v>
      </c>
      <c r="CU1608" s="62" t="n">
        <f aca="false">IF(CS1608="","",H1608*G1608)</f>
        <v>85.8</v>
      </c>
      <c r="CV1608" s="63" t="n">
        <f aca="false">IF(CS1608="","",(CL1608+ROUNDUP(CL1608+MAX(CM1608,2*(J1608/MAX(0.1,N(Einkauf!$C$6))-CL1608)),0))/2)</f>
        <v>20</v>
      </c>
      <c r="CW1608" s="62" t="n">
        <f aca="false">IF(CS1608="","",MAX(0,H1608-CV1608)*G1608)</f>
        <v>46.8</v>
      </c>
      <c r="CX1608" s="62" t="n">
        <f aca="false">IF(CS1608="","",CS1608*MAX(0,1-CV1608/H1608))</f>
        <v>3.25174825174825</v>
      </c>
      <c r="CY1608" s="64" t="n">
        <f aca="false">IF(CS1608="","",PERCENTRANK($CS$7:$CS$1843,CS1608)+PERCENTRANK($CU$7:$CU$1843,CU1608)+1-PERCENTRANK($CT$7:$CT$1843,CT1608))</f>
        <v>1.568</v>
      </c>
      <c r="CZ1608" s="72" t="n">
        <f aca="false">IF(CS1608="","",CHOOSE(MATCH(Einkauf!$C$5,Parameter!$G$23:$G$27,0),CY1608,CS1608,CU1608,-CT1608,CW1608)+ROW()/1000000000)</f>
        <v>1.568001608</v>
      </c>
    </row>
    <row r="1609" customFormat="false" ht="15" hidden="false" customHeight="false" outlineLevel="0" collapsed="false">
      <c r="A1609" s="60" t="s">
        <v>2847</v>
      </c>
      <c r="B1609" s="60" t="s">
        <v>2846</v>
      </c>
      <c r="C1609" s="60" t="s">
        <v>206</v>
      </c>
      <c r="D1609" s="60" t="s">
        <v>226</v>
      </c>
      <c r="E1609" s="60"/>
      <c r="F1609" s="60"/>
      <c r="G1609" s="61" t="n">
        <v>2.24</v>
      </c>
      <c r="H1609" s="62" t="n">
        <f aca="false">MAX(0,IF(AND(Parameter!$B$21="Ja",ISNUMBER(Y1609)),Y1609,IF(Parameter!$B$20="Jahresanfang 2025 + Export",BS1609+BR1609,BR1609)))</f>
        <v>9</v>
      </c>
      <c r="I1609" s="62" t="n">
        <f aca="false">H1609*G1609</f>
        <v>20.16</v>
      </c>
      <c r="J1609" s="62" t="n">
        <f aca="false">BU1609*Parameter!$B$18</f>
        <v>0</v>
      </c>
      <c r="K1609" s="63"/>
      <c r="L1609" s="64"/>
      <c r="M1609" s="62" t="n">
        <v>0</v>
      </c>
      <c r="N1609" s="62" t="n">
        <v>40</v>
      </c>
      <c r="O1609" s="65" t="n">
        <v>28</v>
      </c>
      <c r="P1609" s="60" t="s">
        <v>210</v>
      </c>
      <c r="Q1609" s="62"/>
      <c r="R1609" s="65" t="n">
        <f aca="false">IF(CA1609=1,0,IFERROR(VLOOKUP(BY1609,'Gebinde-Kategorie'!$A$5:$N$45,13,0)+0,0))</f>
        <v>26</v>
      </c>
      <c r="S1609" s="66"/>
      <c r="T1609" s="67" t="s">
        <v>317</v>
      </c>
      <c r="U1609" s="67"/>
      <c r="V1609" s="67"/>
      <c r="W1609" s="60"/>
      <c r="X1609" s="62"/>
      <c r="Y1609" s="62"/>
      <c r="Z1609" s="60" t="n">
        <v>3</v>
      </c>
      <c r="AA1609" s="60" t="n">
        <f aca="false">IF(A1609="","",IF(AND(Parameter!$B$21="Ja",ISNUMBER(W1609)),W1609,IF(AND(Parameter!$E$27="Ja",ISNUMBER(Z1609),CD1609&lt;&gt;"Nein"),Z1609,IF(CD1609="2+3",IF(ISNUMBER(SEARCH("grosser Artikel",BV1609)),2,IFERROR(VLOOKUP(BY1609,Parameter!$F$35:$G$64,2,0),2)),IF(OR(CD1609="Nein",CD1609=""),"-",CD1609)))))</f>
        <v>3</v>
      </c>
      <c r="AB1609" s="67"/>
      <c r="AC1609" s="68"/>
      <c r="AD1609" s="62" t="n">
        <f aca="false">AW1609</f>
        <v>40</v>
      </c>
      <c r="AE1609" s="62" t="n">
        <f aca="false">MAX(AW1609,H1609)</f>
        <v>40</v>
      </c>
      <c r="AF1609" s="69"/>
      <c r="AG1609" s="62" t="n">
        <f aca="false">IF(LEFT(Cockpit!$C$5,1)="A",H1609,IF(Parameter!$E$30="MAX-Bestand",IF(CI1609=1,CJ1609,IF(LEFT(Cockpit!$C$5,1)="B",AM1609,MAX(AM1609,H1609))),ROUNDUP(AK1609,0)))</f>
        <v>9</v>
      </c>
      <c r="AH1609" s="62" t="n">
        <f aca="false">IF(CA1609=1,0,ROUNDUP(AG1609/BZ1609,0))</f>
        <v>1</v>
      </c>
      <c r="AI1609" s="64" t="n">
        <f aca="false">IF(CR1609&gt;0,CR1609*MAX(1,AG1609/X1609),IF(CA1609=1,IF(AG1609&lt;=0,0,CE1609*MAX(1,IF(H1609&gt;0,AG1609/H1609,1))),IF(R1609&gt;0,AH1609/R1609,0))/MAX(0.1,N(Parameter!$M$21)))</f>
        <v>0.0384615384615385</v>
      </c>
      <c r="AJ1609" s="62" t="n">
        <f aca="false">AI1609*CC1609</f>
        <v>5.96153846153846</v>
      </c>
      <c r="AK1609" s="63" t="n">
        <f aca="false">IF(LEFT(Cockpit!$C$5,1)="A",H1609,IF(CI1609=1,(CL1609+CJ1609)/2,IF(LEFT(Cockpit!$C$5,1)="B",(CL1609+AM1609)/2,MAX((CL1609+AM1609)/2,H1609))))</f>
        <v>9</v>
      </c>
      <c r="AL1609" s="62" t="n">
        <f aca="false">AK1609*G1609</f>
        <v>20.16</v>
      </c>
      <c r="AM1609" s="62" t="n">
        <f aca="false">ROUNDUP(CL1609+MAX(CM1609,2*(J1609/IF(CH1609&gt;0,CH1609,MAX(0.1,N(Cockpit!$C$6)))-CL1609)),0)</f>
        <v>40</v>
      </c>
      <c r="AN1609" s="63" t="n">
        <f aca="false">IF(AJ1609&gt;0,J1609/AJ1609,-1)</f>
        <v>0</v>
      </c>
      <c r="AO1609" s="63" t="n">
        <f aca="false">IF(AND(OR(CG1609="L1",CG1609="L23",CG1609="LIFT"),AJ1609&gt;0),SUMIFS($AJ$7:$AJ$1843,$CG$7:$CG$1843,CG1609,$AN$7:$AN$1843,"&gt;"&amp;AN1609)+SUMIFS($AJ$7:$AJ$1843,$CG$7:$CG$1843,CG1609,$AN$7:$AN$1843,AN1609,$BX$7:$BX$1843,"&lt;="&amp;BX1609),"")</f>
        <v>30705.617472217</v>
      </c>
      <c r="AP1609" s="70" t="n">
        <f aca="false">IF(AO1609="",0,MAX(0,MIN(1,(IF(CG1609="L1",Parameter!$H$5,IF(CG1609="L23",Parameter!$H$6+Parameter!$H$7,Parameter!$H$5+Parameter!$H$6+Parameter!$H$7))-(AO1609-AJ1609))/AJ1609)))</f>
        <v>1</v>
      </c>
      <c r="AQ1609" s="62" t="n">
        <f aca="false">IF(LEFT(Cockpit!$I$5,1)="A",H1609,IF(Parameter!$E$30="MAX-Bestand",IF(CI1609=1,CJ1609,IF(LEFT(Cockpit!$I$5,1)="B",AW1609,MAX(AW1609,H1609))),ROUNDUP(AU1609,0)))</f>
        <v>20</v>
      </c>
      <c r="AR1609" s="62" t="n">
        <f aca="false">IF(CA1609=1,0,ROUNDUP(AQ1609/BZ1609,0))</f>
        <v>1</v>
      </c>
      <c r="AS1609" s="64" t="n">
        <f aca="false">IF(CR1609&gt;0,CR1609*MAX(1,AQ1609/X1609),IF(CA1609=1,IF(AQ1609&lt;=0,0,CE1609*MAX(1,IF(H1609&gt;0,AQ1609/H1609,1))),IF(R1609&gt;0,AR1609/R1609,0))/MAX(0.1,N(Parameter!$M$21)))</f>
        <v>0.0384615384615385</v>
      </c>
      <c r="AT1609" s="62" t="n">
        <f aca="false">AS1609*CC1609</f>
        <v>5.96153846153846</v>
      </c>
      <c r="AU1609" s="63" t="n">
        <f aca="false">IF(LEFT(Cockpit!$I$5,1)="A",H1609,IF(CI1609=1,(CL1609+CJ1609)/2,IF(LEFT(Cockpit!$I$5,1)="B",(CL1609+AW1609)/2,MAX((CL1609+AW1609)/2,H1609))))</f>
        <v>20</v>
      </c>
      <c r="AV1609" s="62" t="n">
        <f aca="false">AU1609*G1609</f>
        <v>44.8</v>
      </c>
      <c r="AW1609" s="62" t="n">
        <f aca="false">ROUNDUP(CL1609+MAX(CM1609,2*(J1609/IF(CH1609&gt;0,CH1609,MAX(0.1,N(Cockpit!$I$6)))-CL1609)),0)</f>
        <v>40</v>
      </c>
      <c r="AX1609" s="63" t="n">
        <f aca="false">IF(AT1609&gt;0,J1609/AT1609,-1)</f>
        <v>0</v>
      </c>
      <c r="AY1609" s="63" t="n">
        <f aca="false">IF(AND(OR(CG1609="L1",CG1609="L23",CG1609="LIFT"),AT1609&gt;0),SUMIFS($AT$7:$AT$1843,$CG$7:$CG$1843,CG1609,$AX$7:$AX$1843,"&gt;"&amp;AX1609)+SUMIFS($AT$7:$AT$1843,$CG$7:$CG$1843,CG1609,$AX$7:$AX$1843,AX1609,$BX$7:$BX$1843,"&lt;="&amp;BX1609),"")</f>
        <v>37025.4739890524</v>
      </c>
      <c r="AZ1609" s="70" t="n">
        <f aca="false">IF(AY1609="",0,MAX(0,MIN(1,(IF(CG1609="L1",Parameter!$H$5,IF(CG1609="L23",Parameter!$H$6+Parameter!$H$7,Parameter!$H$5+Parameter!$H$6+Parameter!$H$7))-(AY1609-AT1609))/AT1609)))</f>
        <v>0</v>
      </c>
      <c r="BA1609" s="62" t="n">
        <f aca="false">IF(LEFT(Cockpit!$O$5,1)="A",H1609,IF(Parameter!$E$30="MAX-Bestand",IF(CI1609=1,CJ1609,IF(LEFT(Cockpit!$O$5,1)="B",BG1609,MAX(BG1609,H1609))),ROUNDUP(BE1609,0)))</f>
        <v>20</v>
      </c>
      <c r="BB1609" s="62" t="n">
        <f aca="false">IF(CA1609=1,0,ROUNDUP(BA1609/BZ1609,0))</f>
        <v>1</v>
      </c>
      <c r="BC1609" s="64" t="n">
        <f aca="false">IF(CR1609&gt;0,CR1609*MAX(1,BA1609/X1609),IF(CA1609=1,IF(BA1609&lt;=0,0,CE1609*MAX(1,IF(H1609&gt;0,BA1609/H1609,1))),IF(R1609&gt;0,BB1609/R1609,0))/MAX(0.1,N(Parameter!$M$21)))</f>
        <v>0.0384615384615385</v>
      </c>
      <c r="BD1609" s="62" t="n">
        <f aca="false">BC1609*CC1609</f>
        <v>5.96153846153846</v>
      </c>
      <c r="BE1609" s="63" t="n">
        <f aca="false">IF(LEFT(Cockpit!$O$5,1)="A",H1609,IF(CI1609=1,(CL1609+CJ1609)/2,IF(LEFT(Cockpit!$O$5,1)="B",(CL1609+BG1609)/2,MAX((CL1609+BG1609)/2,H1609))))</f>
        <v>20</v>
      </c>
      <c r="BF1609" s="62" t="n">
        <f aca="false">BE1609*G1609</f>
        <v>44.8</v>
      </c>
      <c r="BG1609" s="62" t="n">
        <f aca="false">ROUNDUP(CL1609+MAX(CM1609,2*(J1609/IF(CH1609&gt;0,CH1609,MAX(0.1,N(Cockpit!$O$6)))-CL1609)),0)</f>
        <v>40</v>
      </c>
      <c r="BH1609" s="63" t="n">
        <f aca="false">IF(BD1609&gt;0,J1609/BD1609,-1)</f>
        <v>0</v>
      </c>
      <c r="BI1609" s="63" t="n">
        <f aca="false">IF(AND(OR(CG1609="L1",CG1609="L23",CG1609="LIFT"),BD1609&gt;0),SUMIFS($BD$7:$BD$1843,$CG$7:$CG$1843,CG1609,$BH$7:$BH$1843,"&gt;"&amp;BH1609)+SUMIFS($BD$7:$BD$1843,$CG$7:$CG$1843,CG1609,$BH$7:$BH$1843,BH1609,$BX$7:$BX$1843,"&lt;="&amp;BX1609),"")</f>
        <v>30934.9152645848</v>
      </c>
      <c r="BJ1609" s="70" t="n">
        <f aca="false">IF(BI1609="",0,MAX(0,MIN(1,(IF(CG1609="L1",Parameter!$H$5,IF(CG1609="L23",Parameter!$H$6+Parameter!$H$7,Parameter!$H$5+Parameter!$H$6+Parameter!$H$7))-(BI1609-BD1609))/BD1609)))</f>
        <v>1</v>
      </c>
      <c r="BK1609" s="60" t="str">
        <f aca="false">IF(AJ1609&lt;=0,"",IF(CG1609="Aussen","Aussenlager",IF(CG1609="-","Nicht im Lift",IF(AP1609&gt;=1,"Lift",IF(AP1609&lt;=0,"Aussenlager","teilweise")))))</f>
        <v>Lift</v>
      </c>
      <c r="BL1609" s="60" t="str">
        <f aca="false">IF(AT1609&lt;=0,"",IF(CG1609="Aussen","Aussenlager",IF(CG1609="-","Nicht im Lift",IF(AZ1609&gt;=1,"Lift",IF(AZ1609&lt;=0,"Aussenlager","teilweise")))))</f>
        <v>Aussenlager</v>
      </c>
      <c r="BM1609" s="60" t="str">
        <f aca="false">IF(BD1609&lt;=0,"",IF(CG1609="Aussen","Aussenlager",IF(CG1609="-","Nicht im Lift",IF(BJ1609&gt;=1,"Lift",IF(BJ1609&lt;=0,"Aussenlager","teilweise")))))</f>
        <v>Lift</v>
      </c>
      <c r="BN1609" s="60" t="str">
        <f aca="false">IF(A1609="","",IF(BW1609=1,"Neu; ","")&amp;IF(AND(BW1609=0,BR1609&lt;0),"negativer Bestand (Export "&amp;BR1609&amp;"); ","")&amp;IF(J1609&lt;=0,"Kein Verbrauch; ","")&amp;IF(CR1609&gt;0,"Lift "&amp;W1609&amp;" lt. Liftbericht (Fach "&amp;X1609&amp;" Stk); ",IF(CB1609=1,"Gebinde geschätzt ("&amp;T1609&amp;"); ",IF(CA1609=1,"Lose – Tablare geschätzt; ","")))&amp;IF(H1609&gt;AW1609,"Überbestand "&amp;ROUND(H1609-AW1609,0)&amp;" Stk / CHF "&amp;ROUND((H1609-AW1609)*G1609,0)&amp;"; ","")&amp;IF(AND(CI1609=1,CJ1609&lt;CK1609),"MAX &lt; MB+LG; ","")&amp;IF(AND(CQ1609&gt;0,CP1609*10&gt;CQ1609),"zu hoch für Tablar; ","")&amp;IF(AND(BW1609=0,OR(CI1609=1,AB1609&lt;&gt;"",U1609&lt;&gt;"",V1609&lt;&gt;"",AC1609&lt;&gt;"")),"manuell übersteuert; ","")&amp;IF(AND(CA1609=0,R1609=0),"Gebinde unbekannt / Stellmass fehlt; ","")&amp;IF(AND(CA1609=0,N(V1609)&lt;=0,N(Q1609)&lt;=0),"Menge pro Gebinde fehlt (Ist = 1 Gebinde); ","")&amp;BV1609)</f>
        <v>Kein Verbrauch; Gebinde geschätzt (Klein); Menge pro Gebinde fehlt (Ist = 1 Gebinde); nur im Artikelstamm (Bestand 23.06.2026)</v>
      </c>
      <c r="BO1609" s="60"/>
      <c r="BP1609" s="60"/>
      <c r="BQ1609" s="67"/>
      <c r="BR1609" s="62" t="n">
        <v>9</v>
      </c>
      <c r="BS1609" s="62" t="n">
        <v>0</v>
      </c>
      <c r="BT1609" s="61" t="n">
        <v>0</v>
      </c>
      <c r="BU1609" s="62" t="n">
        <v>0</v>
      </c>
      <c r="BV1609" s="60" t="s">
        <v>2617</v>
      </c>
      <c r="BW1609" s="65" t="n">
        <v>0</v>
      </c>
      <c r="BX1609" s="65" t="n">
        <v>1609</v>
      </c>
      <c r="BY1609" s="60" t="str">
        <f aca="false">IF(U1609&lt;&gt;"",UPPER(TRIM(U1609)),IF(CB1609=1,UPPER(VLOOKUP(T1609,Parameter!$I$27:$K$29,2,0)),IF(P1609="","LOSE",P1609)))</f>
        <v>S51</v>
      </c>
      <c r="BZ1609" s="62" t="n">
        <f aca="false">IF(BY1609="LOSE",1,IF(N(V1609)&gt;0,V1609,IF(CB1609=1,MAX(1,N(VLOOKUP(T1609,Parameter!$I$27:$K$29,3,0)),H1609,N(N1609)),IF(N(Q1609)&gt;0,Q1609,MAX(1,H1609)))))</f>
        <v>40</v>
      </c>
      <c r="CA1609" s="65" t="n">
        <f aca="false">IF(BY1609="LOSE",1,0)</f>
        <v>0</v>
      </c>
      <c r="CB1609" s="65" t="n">
        <f aca="false">IF(AND(U1609="",OR(P1609="",P1609="LOSE"),T1609&lt;&gt;"",N(S1609)&lt;=0,ISNUMBER(MATCH(T1609,Parameter!$I$27:$I$29,0))),1,0)</f>
        <v>1</v>
      </c>
      <c r="CC1609" s="65" t="n">
        <f aca="false">IF(CR1609&gt;0,INDEX(Parameter!$H$5:$H$7,W1609)/INDEX(Parameter!$E$5:$E$7,W1609),IF(AND(CA1609=0,N(IFERROR(VLOOKUP(BY1609,'Gebinde-Kategorie'!$A$5:$N$45,14,0),0))&gt;0),VLOOKUP(BY1609,'Gebinde-Kategorie'!$A$5:$N$45,14,0)*10+Parameter!$M$23,Parameter!$M$24))</f>
        <v>155</v>
      </c>
      <c r="CD1609" s="60" t="str">
        <f aca="false">IF(AND(Parameter!$B$19="Ja",E1609&lt;&gt;"",ISNUMBER(MATCH(E1609,Parameter!$I$35:$I$52,0))),VLOOKUP(E1609,Parameter!$I$35:$J$52,2,0),IFERROR(VLOOKUP(D1609,Parameter!$A$35:$C$64,2,0),"Nein"))</f>
        <v>2+3</v>
      </c>
      <c r="CE1609" s="64" t="n">
        <f aca="false">IF(CA1609=0,0,IF(N(S1609)&gt;0,S1609,IFERROR(VLOOKUP(D1609,Parameter!$A$35:$C$64,3,0)+0,0)))</f>
        <v>0</v>
      </c>
      <c r="CF1609" s="60" t="n">
        <f aca="false">IF(AB1609&lt;&gt;"",AB1609,AA1609)</f>
        <v>3</v>
      </c>
      <c r="CG1609" s="60" t="str">
        <f aca="false">IF(OR(CF1609=1,CF1609=2,CF1609=3),IF(Parameter!$E$27="Ja","LIFT",IF(CF1609=1,"L1","L23")),IF(CF1609="Aussen","Aussen","-"))</f>
        <v>LIFT</v>
      </c>
      <c r="CH1609" s="71" t="n">
        <f aca="false">IF(N(AC1609)&gt;0,AC1609,0)</f>
        <v>0</v>
      </c>
      <c r="CI1609" s="65" t="n">
        <f aca="false">IF(ISNUMBER(AF1609),1,0)</f>
        <v>0</v>
      </c>
      <c r="CJ1609" s="62" t="n">
        <f aca="false">N(AF1609)</f>
        <v>0</v>
      </c>
      <c r="CK1609" s="62" t="n">
        <f aca="false">N(M1609)+N(N1609)</f>
        <v>40</v>
      </c>
      <c r="CL1609" s="62" t="n">
        <f aca="false">N(M1609)</f>
        <v>0</v>
      </c>
      <c r="CM1609" s="62" t="n">
        <f aca="false">N(N1609)</f>
        <v>40</v>
      </c>
      <c r="CN1609" s="62" t="n">
        <f aca="false">ROUNDUP(H1609/BZ1609,0)</f>
        <v>1</v>
      </c>
      <c r="CO1609" s="62" t="n">
        <f aca="false">ROUNDUP(CJ1609/BZ1609,0)</f>
        <v>0</v>
      </c>
      <c r="CP1609" s="65" t="n">
        <f aca="false">IF(CA1609=1,0,IFERROR(VLOOKUP(BY1609,'Gebinde-Kategorie'!$A$5:$N$45,5,0)+0,0))</f>
        <v>11</v>
      </c>
      <c r="CQ1609" s="65" t="n">
        <f aca="false">IFERROR(IF(OR(CF1609=1,CF1609=2,CF1609=3),N(INDEX(Parameter!$I$5:$I$7,CF1609)),0),0)</f>
        <v>0</v>
      </c>
      <c r="CR1609" s="64" t="n">
        <f aca="false">IF(AND(Parameter!$B$21="Ja",ISNUMBER(W1609),N(X1609)&gt;0),IFERROR(N(INDEX(Parameter!$L$5:$L$7,W1609))*INDEX(Parameter!$E$5:$E$7,W1609)*X1609/SUMIFS($X$7:$X$1843,$W$7:$W$1843,W1609),0),0)</f>
        <v>0</v>
      </c>
      <c r="CS1609" s="62" t="n">
        <f aca="false">IF(AND(OR(CG1609="L1",CG1609="L23",CG1609="LIFT"),H1609&gt;0),CC1609*IF(CR1609&gt;0,CR1609*MAX(1,H1609/X1609),IF(CA1609=1,CE1609,IF(R1609&gt;0,CN1609/R1609,0))/MAX(0.1,N(Parameter!$M$21))),"")</f>
        <v>5.96153846153846</v>
      </c>
      <c r="CT1609" s="64" t="n">
        <f aca="false">IF(CS1609="","",J1609/H1609)</f>
        <v>0</v>
      </c>
      <c r="CU1609" s="62" t="n">
        <f aca="false">IF(CS1609="","",H1609*G1609)</f>
        <v>20.16</v>
      </c>
      <c r="CV1609" s="63" t="n">
        <f aca="false">IF(CS1609="","",(CL1609+ROUNDUP(CL1609+MAX(CM1609,2*(J1609/MAX(0.1,N(Einkauf!$C$6))-CL1609)),0))/2)</f>
        <v>20</v>
      </c>
      <c r="CW1609" s="62" t="n">
        <f aca="false">IF(CS1609="","",MAX(0,H1609-CV1609)*G1609)</f>
        <v>0</v>
      </c>
      <c r="CX1609" s="62" t="n">
        <f aca="false">IF(CS1609="","",CS1609*MAX(0,1-CV1609/H1609))</f>
        <v>0</v>
      </c>
      <c r="CY1609" s="64" t="n">
        <f aca="false">IF(CS1609="","",PERCENTRANK($CS$7:$CS$1843,CS1609)+PERCENTRANK($CU$7:$CU$1843,CU1609)+1-PERCENTRANK($CT$7:$CT$1843,CT1609))</f>
        <v>1.4306</v>
      </c>
      <c r="CZ1609" s="72" t="n">
        <f aca="false">IF(CS1609="","",CHOOSE(MATCH(Einkauf!$C$5,Parameter!$G$23:$G$27,0),CY1609,CS1609,CU1609,-CT1609,CW1609)+ROW()/1000000000)</f>
        <v>1.430601609</v>
      </c>
    </row>
    <row r="1610" customFormat="false" ht="15" hidden="false" customHeight="false" outlineLevel="0" collapsed="false">
      <c r="A1610" s="60" t="s">
        <v>2848</v>
      </c>
      <c r="B1610" s="60" t="s">
        <v>1483</v>
      </c>
      <c r="C1610" s="60" t="s">
        <v>206</v>
      </c>
      <c r="D1610" s="60" t="s">
        <v>215</v>
      </c>
      <c r="E1610" s="60"/>
      <c r="F1610" s="60"/>
      <c r="G1610" s="61" t="n">
        <v>603.2</v>
      </c>
      <c r="H1610" s="62" t="n">
        <f aca="false">MAX(0,IF(AND(Parameter!$B$21="Ja",ISNUMBER(Y1610)),Y1610,IF(Parameter!$B$20="Jahresanfang 2025 + Export",BS1610+BR1610,BR1610)))</f>
        <v>2</v>
      </c>
      <c r="I1610" s="62" t="n">
        <f aca="false">H1610*G1610</f>
        <v>1206.4</v>
      </c>
      <c r="J1610" s="62" t="n">
        <f aca="false">BU1610*Parameter!$B$18</f>
        <v>0</v>
      </c>
      <c r="K1610" s="63"/>
      <c r="L1610" s="64"/>
      <c r="M1610" s="62" t="n">
        <v>0</v>
      </c>
      <c r="N1610" s="62" t="n">
        <v>1</v>
      </c>
      <c r="O1610" s="65" t="n">
        <v>28</v>
      </c>
      <c r="P1610" s="60" t="s">
        <v>210</v>
      </c>
      <c r="Q1610" s="62"/>
      <c r="R1610" s="65" t="n">
        <f aca="false">IF(CA1610=1,0,IFERROR(VLOOKUP(BY1610,'Gebinde-Kategorie'!$A$5:$N$45,13,0)+0,0))</f>
        <v>12</v>
      </c>
      <c r="S1610" s="66"/>
      <c r="T1610" s="67" t="s">
        <v>221</v>
      </c>
      <c r="U1610" s="67"/>
      <c r="V1610" s="67"/>
      <c r="W1610" s="60"/>
      <c r="X1610" s="62"/>
      <c r="Y1610" s="62"/>
      <c r="Z1610" s="60" t="n">
        <v>3</v>
      </c>
      <c r="AA1610" s="60" t="n">
        <f aca="false">IF(A1610="","",IF(AND(Parameter!$B$21="Ja",ISNUMBER(W1610)),W1610,IF(AND(Parameter!$E$27="Ja",ISNUMBER(Z1610),CD1610&lt;&gt;"Nein"),Z1610,IF(CD1610="2+3",IF(ISNUMBER(SEARCH("grosser Artikel",BV1610)),2,IFERROR(VLOOKUP(BY1610,Parameter!$F$35:$G$64,2,0),2)),IF(OR(CD1610="Nein",CD1610=""),"-",CD1610)))))</f>
        <v>3</v>
      </c>
      <c r="AB1610" s="67"/>
      <c r="AC1610" s="68"/>
      <c r="AD1610" s="62" t="n">
        <f aca="false">AW1610</f>
        <v>1</v>
      </c>
      <c r="AE1610" s="62" t="n">
        <f aca="false">MAX(AW1610,H1610)</f>
        <v>2</v>
      </c>
      <c r="AF1610" s="69"/>
      <c r="AG1610" s="62" t="n">
        <f aca="false">IF(LEFT(Cockpit!$C$5,1)="A",H1610,IF(Parameter!$E$30="MAX-Bestand",IF(CI1610=1,CJ1610,IF(LEFT(Cockpit!$C$5,1)="B",AM1610,MAX(AM1610,H1610))),ROUNDUP(AK1610,0)))</f>
        <v>2</v>
      </c>
      <c r="AH1610" s="62" t="n">
        <f aca="false">IF(CA1610=1,0,ROUNDUP(AG1610/BZ1610,0))</f>
        <v>1</v>
      </c>
      <c r="AI1610" s="64" t="n">
        <f aca="false">IF(CR1610&gt;0,CR1610*MAX(1,AG1610/X1610),IF(CA1610=1,IF(AG1610&lt;=0,0,CE1610*MAX(1,IF(H1610&gt;0,AG1610/H1610,1))),IF(R1610&gt;0,AH1610/R1610,0))/MAX(0.1,N(Parameter!$M$21)))</f>
        <v>0.0833333333333333</v>
      </c>
      <c r="AJ1610" s="62" t="n">
        <f aca="false">AI1610*CC1610</f>
        <v>12.0833333333333</v>
      </c>
      <c r="AK1610" s="63" t="n">
        <f aca="false">IF(LEFT(Cockpit!$C$5,1)="A",H1610,IF(CI1610=1,(CL1610+CJ1610)/2,IF(LEFT(Cockpit!$C$5,1)="B",(CL1610+AM1610)/2,MAX((CL1610+AM1610)/2,H1610))))</f>
        <v>2</v>
      </c>
      <c r="AL1610" s="62" t="n">
        <f aca="false">AK1610*G1610</f>
        <v>1206.4</v>
      </c>
      <c r="AM1610" s="62" t="n">
        <f aca="false">ROUNDUP(CL1610+MAX(CM1610,2*(J1610/IF(CH1610&gt;0,CH1610,MAX(0.1,N(Cockpit!$C$6)))-CL1610)),0)</f>
        <v>1</v>
      </c>
      <c r="AN1610" s="63" t="n">
        <f aca="false">IF(AJ1610&gt;0,J1610/AJ1610,-1)</f>
        <v>0</v>
      </c>
      <c r="AO1610" s="63" t="n">
        <f aca="false">IF(AND(OR(CG1610="L1",CG1610="L23",CG1610="LIFT"),AJ1610&gt;0),SUMIFS($AJ$7:$AJ$1843,$CG$7:$CG$1843,CG1610,$AN$7:$AN$1843,"&gt;"&amp;AN1610)+SUMIFS($AJ$7:$AJ$1843,$CG$7:$CG$1843,CG1610,$AN$7:$AN$1843,AN1610,$BX$7:$BX$1843,"&lt;="&amp;BX1610),"")</f>
        <v>30717.7008055504</v>
      </c>
      <c r="AP1610" s="70" t="n">
        <f aca="false">IF(AO1610="",0,MAX(0,MIN(1,(IF(CG1610="L1",Parameter!$H$5,IF(CG1610="L23",Parameter!$H$6+Parameter!$H$7,Parameter!$H$5+Parameter!$H$6+Parameter!$H$7))-(AO1610-AJ1610))/AJ1610)))</f>
        <v>1</v>
      </c>
      <c r="AQ1610" s="62" t="n">
        <f aca="false">IF(LEFT(Cockpit!$I$5,1)="A",H1610,IF(Parameter!$E$30="MAX-Bestand",IF(CI1610=1,CJ1610,IF(LEFT(Cockpit!$I$5,1)="B",AW1610,MAX(AW1610,H1610))),ROUNDUP(AU1610,0)))</f>
        <v>2</v>
      </c>
      <c r="AR1610" s="62" t="n">
        <f aca="false">IF(CA1610=1,0,ROUNDUP(AQ1610/BZ1610,0))</f>
        <v>1</v>
      </c>
      <c r="AS1610" s="64" t="n">
        <f aca="false">IF(CR1610&gt;0,CR1610*MAX(1,AQ1610/X1610),IF(CA1610=1,IF(AQ1610&lt;=0,0,CE1610*MAX(1,IF(H1610&gt;0,AQ1610/H1610,1))),IF(R1610&gt;0,AR1610/R1610,0))/MAX(0.1,N(Parameter!$M$21)))</f>
        <v>0.0833333333333333</v>
      </c>
      <c r="AT1610" s="62" t="n">
        <f aca="false">AS1610*CC1610</f>
        <v>12.0833333333333</v>
      </c>
      <c r="AU1610" s="63" t="n">
        <f aca="false">IF(LEFT(Cockpit!$I$5,1)="A",H1610,IF(CI1610=1,(CL1610+CJ1610)/2,IF(LEFT(Cockpit!$I$5,1)="B",(CL1610+AW1610)/2,MAX((CL1610+AW1610)/2,H1610))))</f>
        <v>2</v>
      </c>
      <c r="AV1610" s="62" t="n">
        <f aca="false">AU1610*G1610</f>
        <v>1206.4</v>
      </c>
      <c r="AW1610" s="62" t="n">
        <f aca="false">ROUNDUP(CL1610+MAX(CM1610,2*(J1610/IF(CH1610&gt;0,CH1610,MAX(0.1,N(Cockpit!$I$6)))-CL1610)),0)</f>
        <v>1</v>
      </c>
      <c r="AX1610" s="63" t="n">
        <f aca="false">IF(AT1610&gt;0,J1610/AT1610,-1)</f>
        <v>0</v>
      </c>
      <c r="AY1610" s="63" t="n">
        <f aca="false">IF(AND(OR(CG1610="L1",CG1610="L23",CG1610="LIFT"),AT1610&gt;0),SUMIFS($AT$7:$AT$1843,$CG$7:$CG$1843,CG1610,$AX$7:$AX$1843,"&gt;"&amp;AX1610)+SUMIFS($AT$7:$AT$1843,$CG$7:$CG$1843,CG1610,$AX$7:$AX$1843,AX1610,$BX$7:$BX$1843,"&lt;="&amp;BX1610),"")</f>
        <v>37037.5573223857</v>
      </c>
      <c r="AZ1610" s="70" t="n">
        <f aca="false">IF(AY1610="",0,MAX(0,MIN(1,(IF(CG1610="L1",Parameter!$H$5,IF(CG1610="L23",Parameter!$H$6+Parameter!$H$7,Parameter!$H$5+Parameter!$H$6+Parameter!$H$7))-(AY1610-AT1610))/AT1610)))</f>
        <v>0</v>
      </c>
      <c r="BA1610" s="62" t="n">
        <f aca="false">IF(LEFT(Cockpit!$O$5,1)="A",H1610,IF(Parameter!$E$30="MAX-Bestand",IF(CI1610=1,CJ1610,IF(LEFT(Cockpit!$O$5,1)="B",BG1610,MAX(BG1610,H1610))),ROUNDUP(BE1610,0)))</f>
        <v>1</v>
      </c>
      <c r="BB1610" s="62" t="n">
        <f aca="false">IF(CA1610=1,0,ROUNDUP(BA1610/BZ1610,0))</f>
        <v>1</v>
      </c>
      <c r="BC1610" s="64" t="n">
        <f aca="false">IF(CR1610&gt;0,CR1610*MAX(1,BA1610/X1610),IF(CA1610=1,IF(BA1610&lt;=0,0,CE1610*MAX(1,IF(H1610&gt;0,BA1610/H1610,1))),IF(R1610&gt;0,BB1610/R1610,0))/MAX(0.1,N(Parameter!$M$21)))</f>
        <v>0.0833333333333333</v>
      </c>
      <c r="BD1610" s="62" t="n">
        <f aca="false">BC1610*CC1610</f>
        <v>12.0833333333333</v>
      </c>
      <c r="BE1610" s="63" t="n">
        <f aca="false">IF(LEFT(Cockpit!$O$5,1)="A",H1610,IF(CI1610=1,(CL1610+CJ1610)/2,IF(LEFT(Cockpit!$O$5,1)="B",(CL1610+BG1610)/2,MAX((CL1610+BG1610)/2,H1610))))</f>
        <v>0.5</v>
      </c>
      <c r="BF1610" s="62" t="n">
        <f aca="false">BE1610*G1610</f>
        <v>301.6</v>
      </c>
      <c r="BG1610" s="62" t="n">
        <f aca="false">ROUNDUP(CL1610+MAX(CM1610,2*(J1610/IF(CH1610&gt;0,CH1610,MAX(0.1,N(Cockpit!$O$6)))-CL1610)),0)</f>
        <v>1</v>
      </c>
      <c r="BH1610" s="63" t="n">
        <f aca="false">IF(BD1610&gt;0,J1610/BD1610,-1)</f>
        <v>0</v>
      </c>
      <c r="BI1610" s="63" t="n">
        <f aca="false">IF(AND(OR(CG1610="L1",CG1610="L23",CG1610="LIFT"),BD1610&gt;0),SUMIFS($BD$7:$BD$1843,$CG$7:$CG$1843,CG1610,$BH$7:$BH$1843,"&gt;"&amp;BH1610)+SUMIFS($BD$7:$BD$1843,$CG$7:$CG$1843,CG1610,$BH$7:$BH$1843,BH1610,$BX$7:$BX$1843,"&lt;="&amp;BX1610),"")</f>
        <v>30946.9985979181</v>
      </c>
      <c r="BJ1610" s="70" t="n">
        <f aca="false">IF(BI1610="",0,MAX(0,MIN(1,(IF(CG1610="L1",Parameter!$H$5,IF(CG1610="L23",Parameter!$H$6+Parameter!$H$7,Parameter!$H$5+Parameter!$H$6+Parameter!$H$7))-(BI1610-BD1610))/BD1610)))</f>
        <v>1</v>
      </c>
      <c r="BK1610" s="60" t="str">
        <f aca="false">IF(AJ1610&lt;=0,"",IF(CG1610="Aussen","Aussenlager",IF(CG1610="-","Nicht im Lift",IF(AP1610&gt;=1,"Lift",IF(AP1610&lt;=0,"Aussenlager","teilweise")))))</f>
        <v>Lift</v>
      </c>
      <c r="BL1610" s="60" t="str">
        <f aca="false">IF(AT1610&lt;=0,"",IF(CG1610="Aussen","Aussenlager",IF(CG1610="-","Nicht im Lift",IF(AZ1610&gt;=1,"Lift",IF(AZ1610&lt;=0,"Aussenlager","teilweise")))))</f>
        <v>Aussenlager</v>
      </c>
      <c r="BM1610" s="60" t="str">
        <f aca="false">IF(BD1610&lt;=0,"",IF(CG1610="Aussen","Aussenlager",IF(CG1610="-","Nicht im Lift",IF(BJ1610&gt;=1,"Lift",IF(BJ1610&lt;=0,"Aussenlager","teilweise")))))</f>
        <v>Lift</v>
      </c>
      <c r="BN1610" s="60" t="str">
        <f aca="false">IF(A1610="","",IF(BW1610=1,"Neu; ","")&amp;IF(AND(BW1610=0,BR1610&lt;0),"negativer Bestand (Export "&amp;BR1610&amp;"); ","")&amp;IF(J1610&lt;=0,"Kein Verbrauch; ","")&amp;IF(CR1610&gt;0,"Lift "&amp;W1610&amp;" lt. Liftbericht (Fach "&amp;X1610&amp;" Stk); ",IF(CB1610=1,"Gebinde geschätzt ("&amp;T1610&amp;"); ",IF(CA1610=1,"Lose – Tablare geschätzt; ","")))&amp;IF(H1610&gt;AW1610,"Überbestand "&amp;ROUND(H1610-AW1610,0)&amp;" Stk / CHF "&amp;ROUND((H1610-AW1610)*G1610,0)&amp;"; ","")&amp;IF(AND(CI1610=1,CJ1610&lt;CK1610),"MAX &lt; MB+LG; ","")&amp;IF(AND(CQ1610&gt;0,CP1610*10&gt;CQ1610),"zu hoch für Tablar; ","")&amp;IF(AND(BW1610=0,OR(CI1610=1,AB1610&lt;&gt;"",U1610&lt;&gt;"",V1610&lt;&gt;"",AC1610&lt;&gt;"")),"manuell übersteuert; ","")&amp;IF(AND(CA1610=0,R1610=0),"Gebinde unbekannt / Stellmass fehlt; ","")&amp;IF(AND(CA1610=0,N(V1610)&lt;=0,N(Q1610)&lt;=0),"Menge pro Gebinde fehlt (Ist = 1 Gebinde); ","")&amp;BV1610)</f>
        <v>Kein Verbrauch; Gebinde geschätzt (Mittel); Überbestand 1 Stk / CHF 603; Menge pro Gebinde fehlt (Ist = 1 Gebinde); nur im Artikelstamm (Bestand 23.06.2026)</v>
      </c>
      <c r="BO1610" s="60"/>
      <c r="BP1610" s="60"/>
      <c r="BQ1610" s="67"/>
      <c r="BR1610" s="62" t="n">
        <v>2</v>
      </c>
      <c r="BS1610" s="62" t="n">
        <v>0</v>
      </c>
      <c r="BT1610" s="61" t="n">
        <v>0</v>
      </c>
      <c r="BU1610" s="62" t="n">
        <v>0</v>
      </c>
      <c r="BV1610" s="60" t="s">
        <v>2617</v>
      </c>
      <c r="BW1610" s="65" t="n">
        <v>0</v>
      </c>
      <c r="BX1610" s="65" t="n">
        <v>1610</v>
      </c>
      <c r="BY1610" s="60" t="str">
        <f aca="false">IF(U1610&lt;&gt;"",UPPER(TRIM(U1610)),IF(CB1610=1,UPPER(VLOOKUP(T1610,Parameter!$I$27:$K$29,2,0)),IF(P1610="","LOSE",P1610)))</f>
        <v>S61</v>
      </c>
      <c r="BZ1610" s="62" t="n">
        <f aca="false">IF(BY1610="LOSE",1,IF(N(V1610)&gt;0,V1610,IF(CB1610=1,MAX(1,N(VLOOKUP(T1610,Parameter!$I$27:$K$29,3,0)),H1610,N(N1610)),IF(N(Q1610)&gt;0,Q1610,MAX(1,H1610)))))</f>
        <v>4</v>
      </c>
      <c r="CA1610" s="65" t="n">
        <f aca="false">IF(BY1610="LOSE",1,0)</f>
        <v>0</v>
      </c>
      <c r="CB1610" s="65" t="n">
        <f aca="false">IF(AND(U1610="",OR(P1610="",P1610="LOSE"),T1610&lt;&gt;"",N(S1610)&lt;=0,ISNUMBER(MATCH(T1610,Parameter!$I$27:$I$29,0))),1,0)</f>
        <v>1</v>
      </c>
      <c r="CC1610" s="65" t="n">
        <f aca="false">IF(CR1610&gt;0,INDEX(Parameter!$H$5:$H$7,W1610)/INDEX(Parameter!$E$5:$E$7,W1610),IF(AND(CA1610=0,N(IFERROR(VLOOKUP(BY1610,'Gebinde-Kategorie'!$A$5:$N$45,14,0),0))&gt;0),VLOOKUP(BY1610,'Gebinde-Kategorie'!$A$5:$N$45,14,0)*10+Parameter!$M$23,Parameter!$M$24))</f>
        <v>145</v>
      </c>
      <c r="CD1610" s="60" t="str">
        <f aca="false">IF(AND(Parameter!$B$19="Ja",E1610&lt;&gt;"",ISNUMBER(MATCH(E1610,Parameter!$I$35:$I$52,0))),VLOOKUP(E1610,Parameter!$I$35:$J$52,2,0),IFERROR(VLOOKUP(D1610,Parameter!$A$35:$C$64,2,0),"Nein"))</f>
        <v>2+3</v>
      </c>
      <c r="CE1610" s="64" t="n">
        <f aca="false">IF(CA1610=0,0,IF(N(S1610)&gt;0,S1610,IFERROR(VLOOKUP(D1610,Parameter!$A$35:$C$64,3,0)+0,0)))</f>
        <v>0</v>
      </c>
      <c r="CF1610" s="60" t="n">
        <f aca="false">IF(AB1610&lt;&gt;"",AB1610,AA1610)</f>
        <v>3</v>
      </c>
      <c r="CG1610" s="60" t="str">
        <f aca="false">IF(OR(CF1610=1,CF1610=2,CF1610=3),IF(Parameter!$E$27="Ja","LIFT",IF(CF1610=1,"L1","L23")),IF(CF1610="Aussen","Aussen","-"))</f>
        <v>LIFT</v>
      </c>
      <c r="CH1610" s="71" t="n">
        <f aca="false">IF(N(AC1610)&gt;0,AC1610,0)</f>
        <v>0</v>
      </c>
      <c r="CI1610" s="65" t="n">
        <f aca="false">IF(ISNUMBER(AF1610),1,0)</f>
        <v>0</v>
      </c>
      <c r="CJ1610" s="62" t="n">
        <f aca="false">N(AF1610)</f>
        <v>0</v>
      </c>
      <c r="CK1610" s="62" t="n">
        <f aca="false">N(M1610)+N(N1610)</f>
        <v>1</v>
      </c>
      <c r="CL1610" s="62" t="n">
        <f aca="false">N(M1610)</f>
        <v>0</v>
      </c>
      <c r="CM1610" s="62" t="n">
        <f aca="false">N(N1610)</f>
        <v>1</v>
      </c>
      <c r="CN1610" s="62" t="n">
        <f aca="false">ROUNDUP(H1610/BZ1610,0)</f>
        <v>1</v>
      </c>
      <c r="CO1610" s="62" t="n">
        <f aca="false">ROUNDUP(CJ1610/BZ1610,0)</f>
        <v>0</v>
      </c>
      <c r="CP1610" s="65" t="n">
        <f aca="false">IF(CA1610=1,0,IFERROR(VLOOKUP(BY1610,'Gebinde-Kategorie'!$A$5:$N$45,5,0)+0,0))</f>
        <v>11</v>
      </c>
      <c r="CQ1610" s="65" t="n">
        <f aca="false">IFERROR(IF(OR(CF1610=1,CF1610=2,CF1610=3),N(INDEX(Parameter!$I$5:$I$7,CF1610)),0),0)</f>
        <v>0</v>
      </c>
      <c r="CR1610" s="64" t="n">
        <f aca="false">IF(AND(Parameter!$B$21="Ja",ISNUMBER(W1610),N(X1610)&gt;0),IFERROR(N(INDEX(Parameter!$L$5:$L$7,W1610))*INDEX(Parameter!$E$5:$E$7,W1610)*X1610/SUMIFS($X$7:$X$1843,$W$7:$W$1843,W1610),0),0)</f>
        <v>0</v>
      </c>
      <c r="CS1610" s="62" t="n">
        <f aca="false">IF(AND(OR(CG1610="L1",CG1610="L23",CG1610="LIFT"),H1610&gt;0),CC1610*IF(CR1610&gt;0,CR1610*MAX(1,H1610/X1610),IF(CA1610=1,CE1610,IF(R1610&gt;0,CN1610/R1610,0))/MAX(0.1,N(Parameter!$M$21))),"")</f>
        <v>12.0833333333333</v>
      </c>
      <c r="CT1610" s="64" t="n">
        <f aca="false">IF(CS1610="","",J1610/H1610)</f>
        <v>0</v>
      </c>
      <c r="CU1610" s="62" t="n">
        <f aca="false">IF(CS1610="","",H1610*G1610)</f>
        <v>1206.4</v>
      </c>
      <c r="CV1610" s="63" t="n">
        <f aca="false">IF(CS1610="","",(CL1610+ROUNDUP(CL1610+MAX(CM1610,2*(J1610/MAX(0.1,N(Einkauf!$C$6))-CL1610)),0))/2)</f>
        <v>0.5</v>
      </c>
      <c r="CW1610" s="62" t="n">
        <f aca="false">IF(CS1610="","",MAX(0,H1610-CV1610)*G1610)</f>
        <v>904.8</v>
      </c>
      <c r="CX1610" s="62" t="n">
        <f aca="false">IF(CS1610="","",CS1610*MAX(0,1-CV1610/H1610))</f>
        <v>9.0625</v>
      </c>
      <c r="CY1610" s="64" t="n">
        <f aca="false">IF(CS1610="","",PERCENTRANK($CS$7:$CS$1843,CS1610)+PERCENTRANK($CU$7:$CU$1843,CU1610)+1-PERCENTRANK($CT$7:$CT$1843,CT1610))</f>
        <v>2.34</v>
      </c>
      <c r="CZ1610" s="72" t="n">
        <f aca="false">IF(CS1610="","",CHOOSE(MATCH(Einkauf!$C$5,Parameter!$G$23:$G$27,0),CY1610,CS1610,CU1610,-CT1610,CW1610)+ROW()/1000000000)</f>
        <v>2.34000161</v>
      </c>
    </row>
    <row r="1611" customFormat="false" ht="15" hidden="false" customHeight="false" outlineLevel="0" collapsed="false">
      <c r="A1611" s="60" t="s">
        <v>2849</v>
      </c>
      <c r="B1611" s="60" t="s">
        <v>740</v>
      </c>
      <c r="C1611" s="60" t="s">
        <v>206</v>
      </c>
      <c r="D1611" s="60" t="s">
        <v>215</v>
      </c>
      <c r="E1611" s="60"/>
      <c r="F1611" s="60"/>
      <c r="G1611" s="61" t="n">
        <v>649</v>
      </c>
      <c r="H1611" s="62" t="n">
        <f aca="false">MAX(0,IF(AND(Parameter!$B$21="Ja",ISNUMBER(Y1611)),Y1611,IF(Parameter!$B$20="Jahresanfang 2025 + Export",BS1611+BR1611,BR1611)))</f>
        <v>2</v>
      </c>
      <c r="I1611" s="62" t="n">
        <f aca="false">H1611*G1611</f>
        <v>1298</v>
      </c>
      <c r="J1611" s="62" t="n">
        <f aca="false">BU1611*Parameter!$B$18</f>
        <v>0</v>
      </c>
      <c r="K1611" s="63"/>
      <c r="L1611" s="64"/>
      <c r="M1611" s="62" t="n">
        <v>0</v>
      </c>
      <c r="N1611" s="62" t="n">
        <v>1</v>
      </c>
      <c r="O1611" s="65" t="n">
        <v>28</v>
      </c>
      <c r="P1611" s="60" t="s">
        <v>210</v>
      </c>
      <c r="Q1611" s="62"/>
      <c r="R1611" s="65" t="n">
        <f aca="false">IF(CA1611=1,0,IFERROR(VLOOKUP(BY1611,'Gebinde-Kategorie'!$A$5:$N$45,13,0)+0,0))</f>
        <v>12</v>
      </c>
      <c r="S1611" s="66"/>
      <c r="T1611" s="67" t="s">
        <v>221</v>
      </c>
      <c r="U1611" s="67"/>
      <c r="V1611" s="67"/>
      <c r="W1611" s="60"/>
      <c r="X1611" s="62"/>
      <c r="Y1611" s="62"/>
      <c r="Z1611" s="60" t="n">
        <v>3</v>
      </c>
      <c r="AA1611" s="60" t="n">
        <f aca="false">IF(A1611="","",IF(AND(Parameter!$B$21="Ja",ISNUMBER(W1611)),W1611,IF(AND(Parameter!$E$27="Ja",ISNUMBER(Z1611),CD1611&lt;&gt;"Nein"),Z1611,IF(CD1611="2+3",IF(ISNUMBER(SEARCH("grosser Artikel",BV1611)),2,IFERROR(VLOOKUP(BY1611,Parameter!$F$35:$G$64,2,0),2)),IF(OR(CD1611="Nein",CD1611=""),"-",CD1611)))))</f>
        <v>3</v>
      </c>
      <c r="AB1611" s="67"/>
      <c r="AC1611" s="68"/>
      <c r="AD1611" s="62" t="n">
        <f aca="false">AW1611</f>
        <v>1</v>
      </c>
      <c r="AE1611" s="62" t="n">
        <f aca="false">MAX(AW1611,H1611)</f>
        <v>2</v>
      </c>
      <c r="AF1611" s="69"/>
      <c r="AG1611" s="62" t="n">
        <f aca="false">IF(LEFT(Cockpit!$C$5,1)="A",H1611,IF(Parameter!$E$30="MAX-Bestand",IF(CI1611=1,CJ1611,IF(LEFT(Cockpit!$C$5,1)="B",AM1611,MAX(AM1611,H1611))),ROUNDUP(AK1611,0)))</f>
        <v>2</v>
      </c>
      <c r="AH1611" s="62" t="n">
        <f aca="false">IF(CA1611=1,0,ROUNDUP(AG1611/BZ1611,0))</f>
        <v>1</v>
      </c>
      <c r="AI1611" s="64" t="n">
        <f aca="false">IF(CR1611&gt;0,CR1611*MAX(1,AG1611/X1611),IF(CA1611=1,IF(AG1611&lt;=0,0,CE1611*MAX(1,IF(H1611&gt;0,AG1611/H1611,1))),IF(R1611&gt;0,AH1611/R1611,0))/MAX(0.1,N(Parameter!$M$21)))</f>
        <v>0.0833333333333333</v>
      </c>
      <c r="AJ1611" s="62" t="n">
        <f aca="false">AI1611*CC1611</f>
        <v>12.0833333333333</v>
      </c>
      <c r="AK1611" s="63" t="n">
        <f aca="false">IF(LEFT(Cockpit!$C$5,1)="A",H1611,IF(CI1611=1,(CL1611+CJ1611)/2,IF(LEFT(Cockpit!$C$5,1)="B",(CL1611+AM1611)/2,MAX((CL1611+AM1611)/2,H1611))))</f>
        <v>2</v>
      </c>
      <c r="AL1611" s="62" t="n">
        <f aca="false">AK1611*G1611</f>
        <v>1298</v>
      </c>
      <c r="AM1611" s="62" t="n">
        <f aca="false">ROUNDUP(CL1611+MAX(CM1611,2*(J1611/IF(CH1611&gt;0,CH1611,MAX(0.1,N(Cockpit!$C$6)))-CL1611)),0)</f>
        <v>1</v>
      </c>
      <c r="AN1611" s="63" t="n">
        <f aca="false">IF(AJ1611&gt;0,J1611/AJ1611,-1)</f>
        <v>0</v>
      </c>
      <c r="AO1611" s="63" t="n">
        <f aca="false">IF(AND(OR(CG1611="L1",CG1611="L23",CG1611="LIFT"),AJ1611&gt;0),SUMIFS($AJ$7:$AJ$1843,$CG$7:$CG$1843,CG1611,$AN$7:$AN$1843,"&gt;"&amp;AN1611)+SUMIFS($AJ$7:$AJ$1843,$CG$7:$CG$1843,CG1611,$AN$7:$AN$1843,AN1611,$BX$7:$BX$1843,"&lt;="&amp;BX1611),"")</f>
        <v>30729.7841388837</v>
      </c>
      <c r="AP1611" s="70" t="n">
        <f aca="false">IF(AO1611="",0,MAX(0,MIN(1,(IF(CG1611="L1",Parameter!$H$5,IF(CG1611="L23",Parameter!$H$6+Parameter!$H$7,Parameter!$H$5+Parameter!$H$6+Parameter!$H$7))-(AO1611-AJ1611))/AJ1611)))</f>
        <v>1</v>
      </c>
      <c r="AQ1611" s="62" t="n">
        <f aca="false">IF(LEFT(Cockpit!$I$5,1)="A",H1611,IF(Parameter!$E$30="MAX-Bestand",IF(CI1611=1,CJ1611,IF(LEFT(Cockpit!$I$5,1)="B",AW1611,MAX(AW1611,H1611))),ROUNDUP(AU1611,0)))</f>
        <v>2</v>
      </c>
      <c r="AR1611" s="62" t="n">
        <f aca="false">IF(CA1611=1,0,ROUNDUP(AQ1611/BZ1611,0))</f>
        <v>1</v>
      </c>
      <c r="AS1611" s="64" t="n">
        <f aca="false">IF(CR1611&gt;0,CR1611*MAX(1,AQ1611/X1611),IF(CA1611=1,IF(AQ1611&lt;=0,0,CE1611*MAX(1,IF(H1611&gt;0,AQ1611/H1611,1))),IF(R1611&gt;0,AR1611/R1611,0))/MAX(0.1,N(Parameter!$M$21)))</f>
        <v>0.0833333333333333</v>
      </c>
      <c r="AT1611" s="62" t="n">
        <f aca="false">AS1611*CC1611</f>
        <v>12.0833333333333</v>
      </c>
      <c r="AU1611" s="63" t="n">
        <f aca="false">IF(LEFT(Cockpit!$I$5,1)="A",H1611,IF(CI1611=1,(CL1611+CJ1611)/2,IF(LEFT(Cockpit!$I$5,1)="B",(CL1611+AW1611)/2,MAX((CL1611+AW1611)/2,H1611))))</f>
        <v>2</v>
      </c>
      <c r="AV1611" s="62" t="n">
        <f aca="false">AU1611*G1611</f>
        <v>1298</v>
      </c>
      <c r="AW1611" s="62" t="n">
        <f aca="false">ROUNDUP(CL1611+MAX(CM1611,2*(J1611/IF(CH1611&gt;0,CH1611,MAX(0.1,N(Cockpit!$I$6)))-CL1611)),0)</f>
        <v>1</v>
      </c>
      <c r="AX1611" s="63" t="n">
        <f aca="false">IF(AT1611&gt;0,J1611/AT1611,-1)</f>
        <v>0</v>
      </c>
      <c r="AY1611" s="63" t="n">
        <f aca="false">IF(AND(OR(CG1611="L1",CG1611="L23",CG1611="LIFT"),AT1611&gt;0),SUMIFS($AT$7:$AT$1843,$CG$7:$CG$1843,CG1611,$AX$7:$AX$1843,"&gt;"&amp;AX1611)+SUMIFS($AT$7:$AT$1843,$CG$7:$CG$1843,CG1611,$AX$7:$AX$1843,AX1611,$BX$7:$BX$1843,"&lt;="&amp;BX1611),"")</f>
        <v>37049.640655719</v>
      </c>
      <c r="AZ1611" s="70" t="n">
        <f aca="false">IF(AY1611="",0,MAX(0,MIN(1,(IF(CG1611="L1",Parameter!$H$5,IF(CG1611="L23",Parameter!$H$6+Parameter!$H$7,Parameter!$H$5+Parameter!$H$6+Parameter!$H$7))-(AY1611-AT1611))/AT1611)))</f>
        <v>0</v>
      </c>
      <c r="BA1611" s="62" t="n">
        <f aca="false">IF(LEFT(Cockpit!$O$5,1)="A",H1611,IF(Parameter!$E$30="MAX-Bestand",IF(CI1611=1,CJ1611,IF(LEFT(Cockpit!$O$5,1)="B",BG1611,MAX(BG1611,H1611))),ROUNDUP(BE1611,0)))</f>
        <v>1</v>
      </c>
      <c r="BB1611" s="62" t="n">
        <f aca="false">IF(CA1611=1,0,ROUNDUP(BA1611/BZ1611,0))</f>
        <v>1</v>
      </c>
      <c r="BC1611" s="64" t="n">
        <f aca="false">IF(CR1611&gt;0,CR1611*MAX(1,BA1611/X1611),IF(CA1611=1,IF(BA1611&lt;=0,0,CE1611*MAX(1,IF(H1611&gt;0,BA1611/H1611,1))),IF(R1611&gt;0,BB1611/R1611,0))/MAX(0.1,N(Parameter!$M$21)))</f>
        <v>0.0833333333333333</v>
      </c>
      <c r="BD1611" s="62" t="n">
        <f aca="false">BC1611*CC1611</f>
        <v>12.0833333333333</v>
      </c>
      <c r="BE1611" s="63" t="n">
        <f aca="false">IF(LEFT(Cockpit!$O$5,1)="A",H1611,IF(CI1611=1,(CL1611+CJ1611)/2,IF(LEFT(Cockpit!$O$5,1)="B",(CL1611+BG1611)/2,MAX((CL1611+BG1611)/2,H1611))))</f>
        <v>0.5</v>
      </c>
      <c r="BF1611" s="62" t="n">
        <f aca="false">BE1611*G1611</f>
        <v>324.5</v>
      </c>
      <c r="BG1611" s="62" t="n">
        <f aca="false">ROUNDUP(CL1611+MAX(CM1611,2*(J1611/IF(CH1611&gt;0,CH1611,MAX(0.1,N(Cockpit!$O$6)))-CL1611)),0)</f>
        <v>1</v>
      </c>
      <c r="BH1611" s="63" t="n">
        <f aca="false">IF(BD1611&gt;0,J1611/BD1611,-1)</f>
        <v>0</v>
      </c>
      <c r="BI1611" s="63" t="n">
        <f aca="false">IF(AND(OR(CG1611="L1",CG1611="L23",CG1611="LIFT"),BD1611&gt;0),SUMIFS($BD$7:$BD$1843,$CG$7:$CG$1843,CG1611,$BH$7:$BH$1843,"&gt;"&amp;BH1611)+SUMIFS($BD$7:$BD$1843,$CG$7:$CG$1843,CG1611,$BH$7:$BH$1843,BH1611,$BX$7:$BX$1843,"&lt;="&amp;BX1611),"")</f>
        <v>30959.0819312514</v>
      </c>
      <c r="BJ1611" s="70" t="n">
        <f aca="false">IF(BI1611="",0,MAX(0,MIN(1,(IF(CG1611="L1",Parameter!$H$5,IF(CG1611="L23",Parameter!$H$6+Parameter!$H$7,Parameter!$H$5+Parameter!$H$6+Parameter!$H$7))-(BI1611-BD1611))/BD1611)))</f>
        <v>1</v>
      </c>
      <c r="BK1611" s="60" t="str">
        <f aca="false">IF(AJ1611&lt;=0,"",IF(CG1611="Aussen","Aussenlager",IF(CG1611="-","Nicht im Lift",IF(AP1611&gt;=1,"Lift",IF(AP1611&lt;=0,"Aussenlager","teilweise")))))</f>
        <v>Lift</v>
      </c>
      <c r="BL1611" s="60" t="str">
        <f aca="false">IF(AT1611&lt;=0,"",IF(CG1611="Aussen","Aussenlager",IF(CG1611="-","Nicht im Lift",IF(AZ1611&gt;=1,"Lift",IF(AZ1611&lt;=0,"Aussenlager","teilweise")))))</f>
        <v>Aussenlager</v>
      </c>
      <c r="BM1611" s="60" t="str">
        <f aca="false">IF(BD1611&lt;=0,"",IF(CG1611="Aussen","Aussenlager",IF(CG1611="-","Nicht im Lift",IF(BJ1611&gt;=1,"Lift",IF(BJ1611&lt;=0,"Aussenlager","teilweise")))))</f>
        <v>Lift</v>
      </c>
      <c r="BN1611" s="60" t="str">
        <f aca="false">IF(A1611="","",IF(BW1611=1,"Neu; ","")&amp;IF(AND(BW1611=0,BR1611&lt;0),"negativer Bestand (Export "&amp;BR1611&amp;"); ","")&amp;IF(J1611&lt;=0,"Kein Verbrauch; ","")&amp;IF(CR1611&gt;0,"Lift "&amp;W1611&amp;" lt. Liftbericht (Fach "&amp;X1611&amp;" Stk); ",IF(CB1611=1,"Gebinde geschätzt ("&amp;T1611&amp;"); ",IF(CA1611=1,"Lose – Tablare geschätzt; ","")))&amp;IF(H1611&gt;AW1611,"Überbestand "&amp;ROUND(H1611-AW1611,0)&amp;" Stk / CHF "&amp;ROUND((H1611-AW1611)*G1611,0)&amp;"; ","")&amp;IF(AND(CI1611=1,CJ1611&lt;CK1611),"MAX &lt; MB+LG; ","")&amp;IF(AND(CQ1611&gt;0,CP1611*10&gt;CQ1611),"zu hoch für Tablar; ","")&amp;IF(AND(BW1611=0,OR(CI1611=1,AB1611&lt;&gt;"",U1611&lt;&gt;"",V1611&lt;&gt;"",AC1611&lt;&gt;"")),"manuell übersteuert; ","")&amp;IF(AND(CA1611=0,R1611=0),"Gebinde unbekannt / Stellmass fehlt; ","")&amp;IF(AND(CA1611=0,N(V1611)&lt;=0,N(Q1611)&lt;=0),"Menge pro Gebinde fehlt (Ist = 1 Gebinde); ","")&amp;BV1611)</f>
        <v>Kein Verbrauch; Gebinde geschätzt (Mittel); Überbestand 1 Stk / CHF 649; Menge pro Gebinde fehlt (Ist = 1 Gebinde); nur im Artikelstamm (Bestand 23.06.2026); Überbestand</v>
      </c>
      <c r="BO1611" s="60"/>
      <c r="BP1611" s="60"/>
      <c r="BQ1611" s="67"/>
      <c r="BR1611" s="62" t="n">
        <v>2</v>
      </c>
      <c r="BS1611" s="62" t="n">
        <v>0</v>
      </c>
      <c r="BT1611" s="61" t="n">
        <v>0</v>
      </c>
      <c r="BU1611" s="62" t="n">
        <v>0</v>
      </c>
      <c r="BV1611" s="60" t="s">
        <v>2614</v>
      </c>
      <c r="BW1611" s="65" t="n">
        <v>0</v>
      </c>
      <c r="BX1611" s="65" t="n">
        <v>1611</v>
      </c>
      <c r="BY1611" s="60" t="str">
        <f aca="false">IF(U1611&lt;&gt;"",UPPER(TRIM(U1611)),IF(CB1611=1,UPPER(VLOOKUP(T1611,Parameter!$I$27:$K$29,2,0)),IF(P1611="","LOSE",P1611)))</f>
        <v>S61</v>
      </c>
      <c r="BZ1611" s="62" t="n">
        <f aca="false">IF(BY1611="LOSE",1,IF(N(V1611)&gt;0,V1611,IF(CB1611=1,MAX(1,N(VLOOKUP(T1611,Parameter!$I$27:$K$29,3,0)),H1611,N(N1611)),IF(N(Q1611)&gt;0,Q1611,MAX(1,H1611)))))</f>
        <v>4</v>
      </c>
      <c r="CA1611" s="65" t="n">
        <f aca="false">IF(BY1611="LOSE",1,0)</f>
        <v>0</v>
      </c>
      <c r="CB1611" s="65" t="n">
        <f aca="false">IF(AND(U1611="",OR(P1611="",P1611="LOSE"),T1611&lt;&gt;"",N(S1611)&lt;=0,ISNUMBER(MATCH(T1611,Parameter!$I$27:$I$29,0))),1,0)</f>
        <v>1</v>
      </c>
      <c r="CC1611" s="65" t="n">
        <f aca="false">IF(CR1611&gt;0,INDEX(Parameter!$H$5:$H$7,W1611)/INDEX(Parameter!$E$5:$E$7,W1611),IF(AND(CA1611=0,N(IFERROR(VLOOKUP(BY1611,'Gebinde-Kategorie'!$A$5:$N$45,14,0),0))&gt;0),VLOOKUP(BY1611,'Gebinde-Kategorie'!$A$5:$N$45,14,0)*10+Parameter!$M$23,Parameter!$M$24))</f>
        <v>145</v>
      </c>
      <c r="CD1611" s="60" t="str">
        <f aca="false">IF(AND(Parameter!$B$19="Ja",E1611&lt;&gt;"",ISNUMBER(MATCH(E1611,Parameter!$I$35:$I$52,0))),VLOOKUP(E1611,Parameter!$I$35:$J$52,2,0),IFERROR(VLOOKUP(D1611,Parameter!$A$35:$C$64,2,0),"Nein"))</f>
        <v>2+3</v>
      </c>
      <c r="CE1611" s="64" t="n">
        <f aca="false">IF(CA1611=0,0,IF(N(S1611)&gt;0,S1611,IFERROR(VLOOKUP(D1611,Parameter!$A$35:$C$64,3,0)+0,0)))</f>
        <v>0</v>
      </c>
      <c r="CF1611" s="60" t="n">
        <f aca="false">IF(AB1611&lt;&gt;"",AB1611,AA1611)</f>
        <v>3</v>
      </c>
      <c r="CG1611" s="60" t="str">
        <f aca="false">IF(OR(CF1611=1,CF1611=2,CF1611=3),IF(Parameter!$E$27="Ja","LIFT",IF(CF1611=1,"L1","L23")),IF(CF1611="Aussen","Aussen","-"))</f>
        <v>LIFT</v>
      </c>
      <c r="CH1611" s="71" t="n">
        <f aca="false">IF(N(AC1611)&gt;0,AC1611,0)</f>
        <v>0</v>
      </c>
      <c r="CI1611" s="65" t="n">
        <f aca="false">IF(ISNUMBER(AF1611),1,0)</f>
        <v>0</v>
      </c>
      <c r="CJ1611" s="62" t="n">
        <f aca="false">N(AF1611)</f>
        <v>0</v>
      </c>
      <c r="CK1611" s="62" t="n">
        <f aca="false">N(M1611)+N(N1611)</f>
        <v>1</v>
      </c>
      <c r="CL1611" s="62" t="n">
        <f aca="false">N(M1611)</f>
        <v>0</v>
      </c>
      <c r="CM1611" s="62" t="n">
        <f aca="false">N(N1611)</f>
        <v>1</v>
      </c>
      <c r="CN1611" s="62" t="n">
        <f aca="false">ROUNDUP(H1611/BZ1611,0)</f>
        <v>1</v>
      </c>
      <c r="CO1611" s="62" t="n">
        <f aca="false">ROUNDUP(CJ1611/BZ1611,0)</f>
        <v>0</v>
      </c>
      <c r="CP1611" s="65" t="n">
        <f aca="false">IF(CA1611=1,0,IFERROR(VLOOKUP(BY1611,'Gebinde-Kategorie'!$A$5:$N$45,5,0)+0,0))</f>
        <v>11</v>
      </c>
      <c r="CQ1611" s="65" t="n">
        <f aca="false">IFERROR(IF(OR(CF1611=1,CF1611=2,CF1611=3),N(INDEX(Parameter!$I$5:$I$7,CF1611)),0),0)</f>
        <v>0</v>
      </c>
      <c r="CR1611" s="64" t="n">
        <f aca="false">IF(AND(Parameter!$B$21="Ja",ISNUMBER(W1611),N(X1611)&gt;0),IFERROR(N(INDEX(Parameter!$L$5:$L$7,W1611))*INDEX(Parameter!$E$5:$E$7,W1611)*X1611/SUMIFS($X$7:$X$1843,$W$7:$W$1843,W1611),0),0)</f>
        <v>0</v>
      </c>
      <c r="CS1611" s="62" t="n">
        <f aca="false">IF(AND(OR(CG1611="L1",CG1611="L23",CG1611="LIFT"),H1611&gt;0),CC1611*IF(CR1611&gt;0,CR1611*MAX(1,H1611/X1611),IF(CA1611=1,CE1611,IF(R1611&gt;0,CN1611/R1611,0))/MAX(0.1,N(Parameter!$M$21))),"")</f>
        <v>12.0833333333333</v>
      </c>
      <c r="CT1611" s="64" t="n">
        <f aca="false">IF(CS1611="","",J1611/H1611)</f>
        <v>0</v>
      </c>
      <c r="CU1611" s="62" t="n">
        <f aca="false">IF(CS1611="","",H1611*G1611)</f>
        <v>1298</v>
      </c>
      <c r="CV1611" s="63" t="n">
        <f aca="false">IF(CS1611="","",(CL1611+ROUNDUP(CL1611+MAX(CM1611,2*(J1611/MAX(0.1,N(Einkauf!$C$6))-CL1611)),0))/2)</f>
        <v>0.5</v>
      </c>
      <c r="CW1611" s="62" t="n">
        <f aca="false">IF(CS1611="","",MAX(0,H1611-CV1611)*G1611)</f>
        <v>973.5</v>
      </c>
      <c r="CX1611" s="62" t="n">
        <f aca="false">IF(CS1611="","",CS1611*MAX(0,1-CV1611/H1611))</f>
        <v>9.0625</v>
      </c>
      <c r="CY1611" s="64" t="n">
        <f aca="false">IF(CS1611="","",PERCENTRANK($CS$7:$CS$1843,CS1611)+PERCENTRANK($CU$7:$CU$1843,CU1611)+1-PERCENTRANK($CT$7:$CT$1843,CT1611))</f>
        <v>2.351</v>
      </c>
      <c r="CZ1611" s="72" t="n">
        <f aca="false">IF(CS1611="","",CHOOSE(MATCH(Einkauf!$C$5,Parameter!$G$23:$G$27,0),CY1611,CS1611,CU1611,-CT1611,CW1611)+ROW()/1000000000)</f>
        <v>2.351001611</v>
      </c>
    </row>
    <row r="1612" customFormat="false" ht="15" hidden="false" customHeight="false" outlineLevel="0" collapsed="false">
      <c r="A1612" s="60" t="s">
        <v>2850</v>
      </c>
      <c r="B1612" s="60" t="s">
        <v>2851</v>
      </c>
      <c r="C1612" s="60" t="s">
        <v>206</v>
      </c>
      <c r="D1612" s="60" t="s">
        <v>226</v>
      </c>
      <c r="E1612" s="60"/>
      <c r="F1612" s="60"/>
      <c r="G1612" s="61" t="n">
        <v>23</v>
      </c>
      <c r="H1612" s="62" t="n">
        <f aca="false">MAX(0,IF(AND(Parameter!$B$21="Ja",ISNUMBER(Y1612)),Y1612,IF(Parameter!$B$20="Jahresanfang 2025 + Export",BS1612+BR1612,BR1612)))</f>
        <v>6</v>
      </c>
      <c r="I1612" s="62" t="n">
        <f aca="false">H1612*G1612</f>
        <v>138</v>
      </c>
      <c r="J1612" s="62" t="n">
        <f aca="false">BU1612*Parameter!$B$18</f>
        <v>0</v>
      </c>
      <c r="K1612" s="63"/>
      <c r="L1612" s="64"/>
      <c r="M1612" s="62" t="n">
        <v>0</v>
      </c>
      <c r="N1612" s="62" t="n">
        <v>20</v>
      </c>
      <c r="O1612" s="65" t="n">
        <v>21</v>
      </c>
      <c r="P1612" s="60" t="s">
        <v>210</v>
      </c>
      <c r="Q1612" s="62"/>
      <c r="R1612" s="65" t="n">
        <f aca="false">IF(CA1612=1,0,IFERROR(VLOOKUP(BY1612,'Gebinde-Kategorie'!$A$5:$N$45,13,0)+0,0))</f>
        <v>4</v>
      </c>
      <c r="S1612" s="66"/>
      <c r="T1612" s="67" t="s">
        <v>231</v>
      </c>
      <c r="U1612" s="67"/>
      <c r="V1612" s="67"/>
      <c r="W1612" s="60"/>
      <c r="X1612" s="62"/>
      <c r="Y1612" s="62"/>
      <c r="Z1612" s="60" t="n">
        <v>2</v>
      </c>
      <c r="AA1612" s="60" t="n">
        <f aca="false">IF(A1612="","",IF(AND(Parameter!$B$21="Ja",ISNUMBER(W1612)),W1612,IF(AND(Parameter!$E$27="Ja",ISNUMBER(Z1612),CD1612&lt;&gt;"Nein"),Z1612,IF(CD1612="2+3",IF(ISNUMBER(SEARCH("grosser Artikel",BV1612)),2,IFERROR(VLOOKUP(BY1612,Parameter!$F$35:$G$64,2,0),2)),IF(OR(CD1612="Nein",CD1612=""),"-",CD1612)))))</f>
        <v>2</v>
      </c>
      <c r="AB1612" s="67"/>
      <c r="AC1612" s="68"/>
      <c r="AD1612" s="62" t="n">
        <f aca="false">AW1612</f>
        <v>20</v>
      </c>
      <c r="AE1612" s="62" t="n">
        <f aca="false">MAX(AW1612,H1612)</f>
        <v>20</v>
      </c>
      <c r="AF1612" s="69"/>
      <c r="AG1612" s="62" t="n">
        <f aca="false">IF(LEFT(Cockpit!$C$5,1)="A",H1612,IF(Parameter!$E$30="MAX-Bestand",IF(CI1612=1,CJ1612,IF(LEFT(Cockpit!$C$5,1)="B",AM1612,MAX(AM1612,H1612))),ROUNDUP(AK1612,0)))</f>
        <v>6</v>
      </c>
      <c r="AH1612" s="62" t="n">
        <f aca="false">IF(CA1612=1,0,ROUNDUP(AG1612/BZ1612,0))</f>
        <v>1</v>
      </c>
      <c r="AI1612" s="64" t="n">
        <f aca="false">IF(CR1612&gt;0,CR1612*MAX(1,AG1612/X1612),IF(CA1612=1,IF(AG1612&lt;=0,0,CE1612*MAX(1,IF(H1612&gt;0,AG1612/H1612,1))),IF(R1612&gt;0,AH1612/R1612,0))/MAX(0.1,N(Parameter!$M$21)))</f>
        <v>0.25</v>
      </c>
      <c r="AJ1612" s="62" t="n">
        <f aca="false">AI1612*CC1612</f>
        <v>58.75</v>
      </c>
      <c r="AK1612" s="63" t="n">
        <f aca="false">IF(LEFT(Cockpit!$C$5,1)="A",H1612,IF(CI1612=1,(CL1612+CJ1612)/2,IF(LEFT(Cockpit!$C$5,1)="B",(CL1612+AM1612)/2,MAX((CL1612+AM1612)/2,H1612))))</f>
        <v>6</v>
      </c>
      <c r="AL1612" s="62" t="n">
        <f aca="false">AK1612*G1612</f>
        <v>138</v>
      </c>
      <c r="AM1612" s="62" t="n">
        <f aca="false">ROUNDUP(CL1612+MAX(CM1612,2*(J1612/IF(CH1612&gt;0,CH1612,MAX(0.1,N(Cockpit!$C$6)))-CL1612)),0)</f>
        <v>20</v>
      </c>
      <c r="AN1612" s="63" t="n">
        <f aca="false">IF(AJ1612&gt;0,J1612/AJ1612,-1)</f>
        <v>0</v>
      </c>
      <c r="AO1612" s="63" t="n">
        <f aca="false">IF(AND(OR(CG1612="L1",CG1612="L23",CG1612="LIFT"),AJ1612&gt;0),SUMIFS($AJ$7:$AJ$1843,$CG$7:$CG$1843,CG1612,$AN$7:$AN$1843,"&gt;"&amp;AN1612)+SUMIFS($AJ$7:$AJ$1843,$CG$7:$CG$1843,CG1612,$AN$7:$AN$1843,AN1612,$BX$7:$BX$1843,"&lt;="&amp;BX1612),"")</f>
        <v>30788.5341388837</v>
      </c>
      <c r="AP1612" s="70" t="n">
        <f aca="false">IF(AO1612="",0,MAX(0,MIN(1,(IF(CG1612="L1",Parameter!$H$5,IF(CG1612="L23",Parameter!$H$6+Parameter!$H$7,Parameter!$H$5+Parameter!$H$6+Parameter!$H$7))-(AO1612-AJ1612))/AJ1612)))</f>
        <v>1</v>
      </c>
      <c r="AQ1612" s="62" t="n">
        <f aca="false">IF(LEFT(Cockpit!$I$5,1)="A",H1612,IF(Parameter!$E$30="MAX-Bestand",IF(CI1612=1,CJ1612,IF(LEFT(Cockpit!$I$5,1)="B",AW1612,MAX(AW1612,H1612))),ROUNDUP(AU1612,0)))</f>
        <v>10</v>
      </c>
      <c r="AR1612" s="62" t="n">
        <f aca="false">IF(CA1612=1,0,ROUNDUP(AQ1612/BZ1612,0))</f>
        <v>1</v>
      </c>
      <c r="AS1612" s="64" t="n">
        <f aca="false">IF(CR1612&gt;0,CR1612*MAX(1,AQ1612/X1612),IF(CA1612=1,IF(AQ1612&lt;=0,0,CE1612*MAX(1,IF(H1612&gt;0,AQ1612/H1612,1))),IF(R1612&gt;0,AR1612/R1612,0))/MAX(0.1,N(Parameter!$M$21)))</f>
        <v>0.25</v>
      </c>
      <c r="AT1612" s="62" t="n">
        <f aca="false">AS1612*CC1612</f>
        <v>58.75</v>
      </c>
      <c r="AU1612" s="63" t="n">
        <f aca="false">IF(LEFT(Cockpit!$I$5,1)="A",H1612,IF(CI1612=1,(CL1612+CJ1612)/2,IF(LEFT(Cockpit!$I$5,1)="B",(CL1612+AW1612)/2,MAX((CL1612+AW1612)/2,H1612))))</f>
        <v>10</v>
      </c>
      <c r="AV1612" s="62" t="n">
        <f aca="false">AU1612*G1612</f>
        <v>230</v>
      </c>
      <c r="AW1612" s="62" t="n">
        <f aca="false">ROUNDUP(CL1612+MAX(CM1612,2*(J1612/IF(CH1612&gt;0,CH1612,MAX(0.1,N(Cockpit!$I$6)))-CL1612)),0)</f>
        <v>20</v>
      </c>
      <c r="AX1612" s="63" t="n">
        <f aca="false">IF(AT1612&gt;0,J1612/AT1612,-1)</f>
        <v>0</v>
      </c>
      <c r="AY1612" s="63" t="n">
        <f aca="false">IF(AND(OR(CG1612="L1",CG1612="L23",CG1612="LIFT"),AT1612&gt;0),SUMIFS($AT$7:$AT$1843,$CG$7:$CG$1843,CG1612,$AX$7:$AX$1843,"&gt;"&amp;AX1612)+SUMIFS($AT$7:$AT$1843,$CG$7:$CG$1843,CG1612,$AX$7:$AX$1843,AX1612,$BX$7:$BX$1843,"&lt;="&amp;BX1612),"")</f>
        <v>37108.390655719</v>
      </c>
      <c r="AZ1612" s="70" t="n">
        <f aca="false">IF(AY1612="",0,MAX(0,MIN(1,(IF(CG1612="L1",Parameter!$H$5,IF(CG1612="L23",Parameter!$H$6+Parameter!$H$7,Parameter!$H$5+Parameter!$H$6+Parameter!$H$7))-(AY1612-AT1612))/AT1612)))</f>
        <v>0</v>
      </c>
      <c r="BA1612" s="62" t="n">
        <f aca="false">IF(LEFT(Cockpit!$O$5,1)="A",H1612,IF(Parameter!$E$30="MAX-Bestand",IF(CI1612=1,CJ1612,IF(LEFT(Cockpit!$O$5,1)="B",BG1612,MAX(BG1612,H1612))),ROUNDUP(BE1612,0)))</f>
        <v>10</v>
      </c>
      <c r="BB1612" s="62" t="n">
        <f aca="false">IF(CA1612=1,0,ROUNDUP(BA1612/BZ1612,0))</f>
        <v>1</v>
      </c>
      <c r="BC1612" s="64" t="n">
        <f aca="false">IF(CR1612&gt;0,CR1612*MAX(1,BA1612/X1612),IF(CA1612=1,IF(BA1612&lt;=0,0,CE1612*MAX(1,IF(H1612&gt;0,BA1612/H1612,1))),IF(R1612&gt;0,BB1612/R1612,0))/MAX(0.1,N(Parameter!$M$21)))</f>
        <v>0.25</v>
      </c>
      <c r="BD1612" s="62" t="n">
        <f aca="false">BC1612*CC1612</f>
        <v>58.75</v>
      </c>
      <c r="BE1612" s="63" t="n">
        <f aca="false">IF(LEFT(Cockpit!$O$5,1)="A",H1612,IF(CI1612=1,(CL1612+CJ1612)/2,IF(LEFT(Cockpit!$O$5,1)="B",(CL1612+BG1612)/2,MAX((CL1612+BG1612)/2,H1612))))</f>
        <v>10</v>
      </c>
      <c r="BF1612" s="62" t="n">
        <f aca="false">BE1612*G1612</f>
        <v>230</v>
      </c>
      <c r="BG1612" s="62" t="n">
        <f aca="false">ROUNDUP(CL1612+MAX(CM1612,2*(J1612/IF(CH1612&gt;0,CH1612,MAX(0.1,N(Cockpit!$O$6)))-CL1612)),0)</f>
        <v>20</v>
      </c>
      <c r="BH1612" s="63" t="n">
        <f aca="false">IF(BD1612&gt;0,J1612/BD1612,-1)</f>
        <v>0</v>
      </c>
      <c r="BI1612" s="63" t="n">
        <f aca="false">IF(AND(OR(CG1612="L1",CG1612="L23",CG1612="LIFT"),BD1612&gt;0),SUMIFS($BD$7:$BD$1843,$CG$7:$CG$1843,CG1612,$BH$7:$BH$1843,"&gt;"&amp;BH1612)+SUMIFS($BD$7:$BD$1843,$CG$7:$CG$1843,CG1612,$BH$7:$BH$1843,BH1612,$BX$7:$BX$1843,"&lt;="&amp;BX1612),"")</f>
        <v>31017.8319312514</v>
      </c>
      <c r="BJ1612" s="70" t="n">
        <f aca="false">IF(BI1612="",0,MAX(0,MIN(1,(IF(CG1612="L1",Parameter!$H$5,IF(CG1612="L23",Parameter!$H$6+Parameter!$H$7,Parameter!$H$5+Parameter!$H$6+Parameter!$H$7))-(BI1612-BD1612))/BD1612)))</f>
        <v>1</v>
      </c>
      <c r="BK1612" s="60" t="str">
        <f aca="false">IF(AJ1612&lt;=0,"",IF(CG1612="Aussen","Aussenlager",IF(CG1612="-","Nicht im Lift",IF(AP1612&gt;=1,"Lift",IF(AP1612&lt;=0,"Aussenlager","teilweise")))))</f>
        <v>Lift</v>
      </c>
      <c r="BL1612" s="60" t="str">
        <f aca="false">IF(AT1612&lt;=0,"",IF(CG1612="Aussen","Aussenlager",IF(CG1612="-","Nicht im Lift",IF(AZ1612&gt;=1,"Lift",IF(AZ1612&lt;=0,"Aussenlager","teilweise")))))</f>
        <v>Aussenlager</v>
      </c>
      <c r="BM1612" s="60" t="str">
        <f aca="false">IF(BD1612&lt;=0,"",IF(CG1612="Aussen","Aussenlager",IF(CG1612="-","Nicht im Lift",IF(BJ1612&gt;=1,"Lift",IF(BJ1612&lt;=0,"Aussenlager","teilweise")))))</f>
        <v>Lift</v>
      </c>
      <c r="BN1612" s="60" t="str">
        <f aca="false">IF(A1612="","",IF(BW1612=1,"Neu; ","")&amp;IF(AND(BW1612=0,BR1612&lt;0),"negativer Bestand (Export "&amp;BR1612&amp;"); ","")&amp;IF(J1612&lt;=0,"Kein Verbrauch; ","")&amp;IF(CR1612&gt;0,"Lift "&amp;W1612&amp;" lt. Liftbericht (Fach "&amp;X1612&amp;" Stk); ",IF(CB1612=1,"Gebinde geschätzt ("&amp;T1612&amp;"); ",IF(CA1612=1,"Lose – Tablare geschätzt; ","")))&amp;IF(H1612&gt;AW1612,"Überbestand "&amp;ROUND(H1612-AW1612,0)&amp;" Stk / CHF "&amp;ROUND((H1612-AW1612)*G1612,0)&amp;"; ","")&amp;IF(AND(CI1612=1,CJ1612&lt;CK1612),"MAX &lt; MB+LG; ","")&amp;IF(AND(CQ1612&gt;0,CP1612*10&gt;CQ1612),"zu hoch für Tablar; ","")&amp;IF(AND(BW1612=0,OR(CI1612=1,AB1612&lt;&gt;"",U1612&lt;&gt;"",V1612&lt;&gt;"",AC1612&lt;&gt;"")),"manuell übersteuert; ","")&amp;IF(AND(CA1612=0,R1612=0),"Gebinde unbekannt / Stellmass fehlt; ","")&amp;IF(AND(CA1612=0,N(V1612)&lt;=0,N(Q1612)&lt;=0),"Menge pro Gebinde fehlt (Ist = 1 Gebinde); ","")&amp;BV1612)</f>
        <v>Kein Verbrauch; Gebinde geschätzt (Gross); Menge pro Gebinde fehlt (Ist = 1 Gebinde); nur im Artikelstamm (Bestand 23.06.2026)</v>
      </c>
      <c r="BO1612" s="60"/>
      <c r="BP1612" s="60"/>
      <c r="BQ1612" s="67"/>
      <c r="BR1612" s="62" t="n">
        <v>6</v>
      </c>
      <c r="BS1612" s="62" t="n">
        <v>0</v>
      </c>
      <c r="BT1612" s="61" t="n">
        <v>0</v>
      </c>
      <c r="BU1612" s="62" t="n">
        <v>0</v>
      </c>
      <c r="BV1612" s="60" t="s">
        <v>2617</v>
      </c>
      <c r="BW1612" s="65" t="n">
        <v>0</v>
      </c>
      <c r="BX1612" s="65" t="n">
        <v>1612</v>
      </c>
      <c r="BY1612" s="60" t="str">
        <f aca="false">IF(U1612&lt;&gt;"",UPPER(TRIM(U1612)),IF(CB1612=1,UPPER(VLOOKUP(T1612,Parameter!$I$27:$K$29,2,0)),IF(P1612="","LOSE",P1612)))</f>
        <v>S81</v>
      </c>
      <c r="BZ1612" s="62" t="n">
        <f aca="false">IF(BY1612="LOSE",1,IF(N(V1612)&gt;0,V1612,IF(CB1612=1,MAX(1,N(VLOOKUP(T1612,Parameter!$I$27:$K$29,3,0)),H1612,N(N1612)),IF(N(Q1612)&gt;0,Q1612,MAX(1,H1612)))))</f>
        <v>20</v>
      </c>
      <c r="CA1612" s="65" t="n">
        <f aca="false">IF(BY1612="LOSE",1,0)</f>
        <v>0</v>
      </c>
      <c r="CB1612" s="65" t="n">
        <f aca="false">IF(AND(U1612="",OR(P1612="",P1612="LOSE"),T1612&lt;&gt;"",N(S1612)&lt;=0,ISNUMBER(MATCH(T1612,Parameter!$I$27:$I$29,0))),1,0)</f>
        <v>1</v>
      </c>
      <c r="CC1612" s="65" t="n">
        <f aca="false">IF(CR1612&gt;0,INDEX(Parameter!$H$5:$H$7,W1612)/INDEX(Parameter!$E$5:$E$7,W1612),IF(AND(CA1612=0,N(IFERROR(VLOOKUP(BY1612,'Gebinde-Kategorie'!$A$5:$N$45,14,0),0))&gt;0),VLOOKUP(BY1612,'Gebinde-Kategorie'!$A$5:$N$45,14,0)*10+Parameter!$M$23,Parameter!$M$24))</f>
        <v>235</v>
      </c>
      <c r="CD1612" s="60" t="str">
        <f aca="false">IF(AND(Parameter!$B$19="Ja",E1612&lt;&gt;"",ISNUMBER(MATCH(E1612,Parameter!$I$35:$I$52,0))),VLOOKUP(E1612,Parameter!$I$35:$J$52,2,0),IFERROR(VLOOKUP(D1612,Parameter!$A$35:$C$64,2,0),"Nein"))</f>
        <v>2+3</v>
      </c>
      <c r="CE1612" s="64" t="n">
        <f aca="false">IF(CA1612=0,0,IF(N(S1612)&gt;0,S1612,IFERROR(VLOOKUP(D1612,Parameter!$A$35:$C$64,3,0)+0,0)))</f>
        <v>0</v>
      </c>
      <c r="CF1612" s="60" t="n">
        <f aca="false">IF(AB1612&lt;&gt;"",AB1612,AA1612)</f>
        <v>2</v>
      </c>
      <c r="CG1612" s="60" t="str">
        <f aca="false">IF(OR(CF1612=1,CF1612=2,CF1612=3),IF(Parameter!$E$27="Ja","LIFT",IF(CF1612=1,"L1","L23")),IF(CF1612="Aussen","Aussen","-"))</f>
        <v>LIFT</v>
      </c>
      <c r="CH1612" s="71" t="n">
        <f aca="false">IF(N(AC1612)&gt;0,AC1612,0)</f>
        <v>0</v>
      </c>
      <c r="CI1612" s="65" t="n">
        <f aca="false">IF(ISNUMBER(AF1612),1,0)</f>
        <v>0</v>
      </c>
      <c r="CJ1612" s="62" t="n">
        <f aca="false">N(AF1612)</f>
        <v>0</v>
      </c>
      <c r="CK1612" s="62" t="n">
        <f aca="false">N(M1612)+N(N1612)</f>
        <v>20</v>
      </c>
      <c r="CL1612" s="62" t="n">
        <f aca="false">N(M1612)</f>
        <v>0</v>
      </c>
      <c r="CM1612" s="62" t="n">
        <f aca="false">N(N1612)</f>
        <v>20</v>
      </c>
      <c r="CN1612" s="62" t="n">
        <f aca="false">ROUNDUP(H1612/BZ1612,0)</f>
        <v>1</v>
      </c>
      <c r="CO1612" s="62" t="n">
        <f aca="false">ROUNDUP(CJ1612/BZ1612,0)</f>
        <v>0</v>
      </c>
      <c r="CP1612" s="65" t="n">
        <f aca="false">IF(CA1612=1,0,IFERROR(VLOOKUP(BY1612,'Gebinde-Kategorie'!$A$5:$N$45,5,0)+0,0))</f>
        <v>20</v>
      </c>
      <c r="CQ1612" s="65" t="n">
        <f aca="false">IFERROR(IF(OR(CF1612=1,CF1612=2,CF1612=3),N(INDEX(Parameter!$I$5:$I$7,CF1612)),0),0)</f>
        <v>0</v>
      </c>
      <c r="CR1612" s="64" t="n">
        <f aca="false">IF(AND(Parameter!$B$21="Ja",ISNUMBER(W1612),N(X1612)&gt;0),IFERROR(N(INDEX(Parameter!$L$5:$L$7,W1612))*INDEX(Parameter!$E$5:$E$7,W1612)*X1612/SUMIFS($X$7:$X$1843,$W$7:$W$1843,W1612),0),0)</f>
        <v>0</v>
      </c>
      <c r="CS1612" s="62" t="n">
        <f aca="false">IF(AND(OR(CG1612="L1",CG1612="L23",CG1612="LIFT"),H1612&gt;0),CC1612*IF(CR1612&gt;0,CR1612*MAX(1,H1612/X1612),IF(CA1612=1,CE1612,IF(R1612&gt;0,CN1612/R1612,0))/MAX(0.1,N(Parameter!$M$21))),"")</f>
        <v>58.75</v>
      </c>
      <c r="CT1612" s="64" t="n">
        <f aca="false">IF(CS1612="","",J1612/H1612)</f>
        <v>0</v>
      </c>
      <c r="CU1612" s="62" t="n">
        <f aca="false">IF(CS1612="","",H1612*G1612)</f>
        <v>138</v>
      </c>
      <c r="CV1612" s="63" t="n">
        <f aca="false">IF(CS1612="","",(CL1612+ROUNDUP(CL1612+MAX(CM1612,2*(J1612/MAX(0.1,N(Einkauf!$C$6))-CL1612)),0))/2)</f>
        <v>10</v>
      </c>
      <c r="CW1612" s="62" t="n">
        <f aca="false">IF(CS1612="","",MAX(0,H1612-CV1612)*G1612)</f>
        <v>0</v>
      </c>
      <c r="CX1612" s="62" t="n">
        <f aca="false">IF(CS1612="","",CS1612*MAX(0,1-CV1612/H1612))</f>
        <v>0</v>
      </c>
      <c r="CY1612" s="64" t="n">
        <f aca="false">IF(CS1612="","",PERCENTRANK($CS$7:$CS$1843,CS1612)+PERCENTRANK($CU$7:$CU$1843,CU1612)+1-PERCENTRANK($CT$7:$CT$1843,CT1612))</f>
        <v>2.201</v>
      </c>
      <c r="CZ1612" s="72" t="n">
        <f aca="false">IF(CS1612="","",CHOOSE(MATCH(Einkauf!$C$5,Parameter!$G$23:$G$27,0),CY1612,CS1612,CU1612,-CT1612,CW1612)+ROW()/1000000000)</f>
        <v>2.201001612</v>
      </c>
    </row>
    <row r="1613" customFormat="false" ht="15" hidden="false" customHeight="false" outlineLevel="0" collapsed="false">
      <c r="A1613" s="60" t="s">
        <v>2852</v>
      </c>
      <c r="B1613" s="60" t="s">
        <v>2853</v>
      </c>
      <c r="C1613" s="60" t="s">
        <v>206</v>
      </c>
      <c r="D1613" s="60" t="s">
        <v>226</v>
      </c>
      <c r="E1613" s="60"/>
      <c r="F1613" s="60"/>
      <c r="G1613" s="61" t="n">
        <v>59.27</v>
      </c>
      <c r="H1613" s="62" t="n">
        <f aca="false">MAX(0,IF(AND(Parameter!$B$21="Ja",ISNUMBER(Y1613)),Y1613,IF(Parameter!$B$20="Jahresanfang 2025 + Export",BS1613+BR1613,BR1613)))</f>
        <v>1</v>
      </c>
      <c r="I1613" s="62" t="n">
        <f aca="false">H1613*G1613</f>
        <v>59.27</v>
      </c>
      <c r="J1613" s="62" t="n">
        <f aca="false">BU1613*Parameter!$B$18</f>
        <v>0</v>
      </c>
      <c r="K1613" s="63"/>
      <c r="L1613" s="64"/>
      <c r="M1613" s="62" t="n">
        <v>0</v>
      </c>
      <c r="N1613" s="62" t="n">
        <v>1</v>
      </c>
      <c r="O1613" s="65" t="n">
        <v>0</v>
      </c>
      <c r="P1613" s="60" t="s">
        <v>210</v>
      </c>
      <c r="Q1613" s="62"/>
      <c r="R1613" s="65" t="n">
        <f aca="false">IF(CA1613=1,0,IFERROR(VLOOKUP(BY1613,'Gebinde-Kategorie'!$A$5:$N$45,13,0)+0,0))</f>
        <v>12</v>
      </c>
      <c r="S1613" s="66"/>
      <c r="T1613" s="67" t="s">
        <v>221</v>
      </c>
      <c r="U1613" s="67"/>
      <c r="V1613" s="67"/>
      <c r="W1613" s="60"/>
      <c r="X1613" s="62"/>
      <c r="Y1613" s="62"/>
      <c r="Z1613" s="60" t="n">
        <v>3</v>
      </c>
      <c r="AA1613" s="60" t="n">
        <f aca="false">IF(A1613="","",IF(AND(Parameter!$B$21="Ja",ISNUMBER(W1613)),W1613,IF(AND(Parameter!$E$27="Ja",ISNUMBER(Z1613),CD1613&lt;&gt;"Nein"),Z1613,IF(CD1613="2+3",IF(ISNUMBER(SEARCH("grosser Artikel",BV1613)),2,IFERROR(VLOOKUP(BY1613,Parameter!$F$35:$G$64,2,0),2)),IF(OR(CD1613="Nein",CD1613=""),"-",CD1613)))))</f>
        <v>3</v>
      </c>
      <c r="AB1613" s="67"/>
      <c r="AC1613" s="68"/>
      <c r="AD1613" s="62" t="n">
        <f aca="false">AW1613</f>
        <v>1</v>
      </c>
      <c r="AE1613" s="62" t="n">
        <f aca="false">MAX(AW1613,H1613)</f>
        <v>1</v>
      </c>
      <c r="AF1613" s="69"/>
      <c r="AG1613" s="62" t="n">
        <f aca="false">IF(LEFT(Cockpit!$C$5,1)="A",H1613,IF(Parameter!$E$30="MAX-Bestand",IF(CI1613=1,CJ1613,IF(LEFT(Cockpit!$C$5,1)="B",AM1613,MAX(AM1613,H1613))),ROUNDUP(AK1613,0)))</f>
        <v>1</v>
      </c>
      <c r="AH1613" s="62" t="n">
        <f aca="false">IF(CA1613=1,0,ROUNDUP(AG1613/BZ1613,0))</f>
        <v>1</v>
      </c>
      <c r="AI1613" s="64" t="n">
        <f aca="false">IF(CR1613&gt;0,CR1613*MAX(1,AG1613/X1613),IF(CA1613=1,IF(AG1613&lt;=0,0,CE1613*MAX(1,IF(H1613&gt;0,AG1613/H1613,1))),IF(R1613&gt;0,AH1613/R1613,0))/MAX(0.1,N(Parameter!$M$21)))</f>
        <v>0.0833333333333333</v>
      </c>
      <c r="AJ1613" s="62" t="n">
        <f aca="false">AI1613*CC1613</f>
        <v>12.0833333333333</v>
      </c>
      <c r="AK1613" s="63" t="n">
        <f aca="false">IF(LEFT(Cockpit!$C$5,1)="A",H1613,IF(CI1613=1,(CL1613+CJ1613)/2,IF(LEFT(Cockpit!$C$5,1)="B",(CL1613+AM1613)/2,MAX((CL1613+AM1613)/2,H1613))))</f>
        <v>1</v>
      </c>
      <c r="AL1613" s="62" t="n">
        <f aca="false">AK1613*G1613</f>
        <v>59.27</v>
      </c>
      <c r="AM1613" s="62" t="n">
        <f aca="false">ROUNDUP(CL1613+MAX(CM1613,2*(J1613/IF(CH1613&gt;0,CH1613,MAX(0.1,N(Cockpit!$C$6)))-CL1613)),0)</f>
        <v>1</v>
      </c>
      <c r="AN1613" s="63" t="n">
        <f aca="false">IF(AJ1613&gt;0,J1613/AJ1613,-1)</f>
        <v>0</v>
      </c>
      <c r="AO1613" s="63" t="n">
        <f aca="false">IF(AND(OR(CG1613="L1",CG1613="L23",CG1613="LIFT"),AJ1613&gt;0),SUMIFS($AJ$7:$AJ$1843,$CG$7:$CG$1843,CG1613,$AN$7:$AN$1843,"&gt;"&amp;AN1613)+SUMIFS($AJ$7:$AJ$1843,$CG$7:$CG$1843,CG1613,$AN$7:$AN$1843,AN1613,$BX$7:$BX$1843,"&lt;="&amp;BX1613),"")</f>
        <v>30800.617472217</v>
      </c>
      <c r="AP1613" s="70" t="n">
        <f aca="false">IF(AO1613="",0,MAX(0,MIN(1,(IF(CG1613="L1",Parameter!$H$5,IF(CG1613="L23",Parameter!$H$6+Parameter!$H$7,Parameter!$H$5+Parameter!$H$6+Parameter!$H$7))-(AO1613-AJ1613))/AJ1613)))</f>
        <v>1</v>
      </c>
      <c r="AQ1613" s="62" t="n">
        <f aca="false">IF(LEFT(Cockpit!$I$5,1)="A",H1613,IF(Parameter!$E$30="MAX-Bestand",IF(CI1613=1,CJ1613,IF(LEFT(Cockpit!$I$5,1)="B",AW1613,MAX(AW1613,H1613))),ROUNDUP(AU1613,0)))</f>
        <v>1</v>
      </c>
      <c r="AR1613" s="62" t="n">
        <f aca="false">IF(CA1613=1,0,ROUNDUP(AQ1613/BZ1613,0))</f>
        <v>1</v>
      </c>
      <c r="AS1613" s="64" t="n">
        <f aca="false">IF(CR1613&gt;0,CR1613*MAX(1,AQ1613/X1613),IF(CA1613=1,IF(AQ1613&lt;=0,0,CE1613*MAX(1,IF(H1613&gt;0,AQ1613/H1613,1))),IF(R1613&gt;0,AR1613/R1613,0))/MAX(0.1,N(Parameter!$M$21)))</f>
        <v>0.0833333333333333</v>
      </c>
      <c r="AT1613" s="62" t="n">
        <f aca="false">AS1613*CC1613</f>
        <v>12.0833333333333</v>
      </c>
      <c r="AU1613" s="63" t="n">
        <f aca="false">IF(LEFT(Cockpit!$I$5,1)="A",H1613,IF(CI1613=1,(CL1613+CJ1613)/2,IF(LEFT(Cockpit!$I$5,1)="B",(CL1613+AW1613)/2,MAX((CL1613+AW1613)/2,H1613))))</f>
        <v>1</v>
      </c>
      <c r="AV1613" s="62" t="n">
        <f aca="false">AU1613*G1613</f>
        <v>59.27</v>
      </c>
      <c r="AW1613" s="62" t="n">
        <f aca="false">ROUNDUP(CL1613+MAX(CM1613,2*(J1613/IF(CH1613&gt;0,CH1613,MAX(0.1,N(Cockpit!$I$6)))-CL1613)),0)</f>
        <v>1</v>
      </c>
      <c r="AX1613" s="63" t="n">
        <f aca="false">IF(AT1613&gt;0,J1613/AT1613,-1)</f>
        <v>0</v>
      </c>
      <c r="AY1613" s="63" t="n">
        <f aca="false">IF(AND(OR(CG1613="L1",CG1613="L23",CG1613="LIFT"),AT1613&gt;0),SUMIFS($AT$7:$AT$1843,$CG$7:$CG$1843,CG1613,$AX$7:$AX$1843,"&gt;"&amp;AX1613)+SUMIFS($AT$7:$AT$1843,$CG$7:$CG$1843,CG1613,$AX$7:$AX$1843,AX1613,$BX$7:$BX$1843,"&lt;="&amp;BX1613),"")</f>
        <v>37120.4739890524</v>
      </c>
      <c r="AZ1613" s="70" t="n">
        <f aca="false">IF(AY1613="",0,MAX(0,MIN(1,(IF(CG1613="L1",Parameter!$H$5,IF(CG1613="L23",Parameter!$H$6+Parameter!$H$7,Parameter!$H$5+Parameter!$H$6+Parameter!$H$7))-(AY1613-AT1613))/AT1613)))</f>
        <v>0</v>
      </c>
      <c r="BA1613" s="62" t="n">
        <f aca="false">IF(LEFT(Cockpit!$O$5,1)="A",H1613,IF(Parameter!$E$30="MAX-Bestand",IF(CI1613=1,CJ1613,IF(LEFT(Cockpit!$O$5,1)="B",BG1613,MAX(BG1613,H1613))),ROUNDUP(BE1613,0)))</f>
        <v>1</v>
      </c>
      <c r="BB1613" s="62" t="n">
        <f aca="false">IF(CA1613=1,0,ROUNDUP(BA1613/BZ1613,0))</f>
        <v>1</v>
      </c>
      <c r="BC1613" s="64" t="n">
        <f aca="false">IF(CR1613&gt;0,CR1613*MAX(1,BA1613/X1613),IF(CA1613=1,IF(BA1613&lt;=0,0,CE1613*MAX(1,IF(H1613&gt;0,BA1613/H1613,1))),IF(R1613&gt;0,BB1613/R1613,0))/MAX(0.1,N(Parameter!$M$21)))</f>
        <v>0.0833333333333333</v>
      </c>
      <c r="BD1613" s="62" t="n">
        <f aca="false">BC1613*CC1613</f>
        <v>12.0833333333333</v>
      </c>
      <c r="BE1613" s="63" t="n">
        <f aca="false">IF(LEFT(Cockpit!$O$5,1)="A",H1613,IF(CI1613=1,(CL1613+CJ1613)/2,IF(LEFT(Cockpit!$O$5,1)="B",(CL1613+BG1613)/2,MAX((CL1613+BG1613)/2,H1613))))</f>
        <v>0.5</v>
      </c>
      <c r="BF1613" s="62" t="n">
        <f aca="false">BE1613*G1613</f>
        <v>29.635</v>
      </c>
      <c r="BG1613" s="62" t="n">
        <f aca="false">ROUNDUP(CL1613+MAX(CM1613,2*(J1613/IF(CH1613&gt;0,CH1613,MAX(0.1,N(Cockpit!$O$6)))-CL1613)),0)</f>
        <v>1</v>
      </c>
      <c r="BH1613" s="63" t="n">
        <f aca="false">IF(BD1613&gt;0,J1613/BD1613,-1)</f>
        <v>0</v>
      </c>
      <c r="BI1613" s="63" t="n">
        <f aca="false">IF(AND(OR(CG1613="L1",CG1613="L23",CG1613="LIFT"),BD1613&gt;0),SUMIFS($BD$7:$BD$1843,$CG$7:$CG$1843,CG1613,$BH$7:$BH$1843,"&gt;"&amp;BH1613)+SUMIFS($BD$7:$BD$1843,$CG$7:$CG$1843,CG1613,$BH$7:$BH$1843,BH1613,$BX$7:$BX$1843,"&lt;="&amp;BX1613),"")</f>
        <v>31029.9152645848</v>
      </c>
      <c r="BJ1613" s="70" t="n">
        <f aca="false">IF(BI1613="",0,MAX(0,MIN(1,(IF(CG1613="L1",Parameter!$H$5,IF(CG1613="L23",Parameter!$H$6+Parameter!$H$7,Parameter!$H$5+Parameter!$H$6+Parameter!$H$7))-(BI1613-BD1613))/BD1613)))</f>
        <v>1</v>
      </c>
      <c r="BK1613" s="60" t="str">
        <f aca="false">IF(AJ1613&lt;=0,"",IF(CG1613="Aussen","Aussenlager",IF(CG1613="-","Nicht im Lift",IF(AP1613&gt;=1,"Lift",IF(AP1613&lt;=0,"Aussenlager","teilweise")))))</f>
        <v>Lift</v>
      </c>
      <c r="BL1613" s="60" t="str">
        <f aca="false">IF(AT1613&lt;=0,"",IF(CG1613="Aussen","Aussenlager",IF(CG1613="-","Nicht im Lift",IF(AZ1613&gt;=1,"Lift",IF(AZ1613&lt;=0,"Aussenlager","teilweise")))))</f>
        <v>Aussenlager</v>
      </c>
      <c r="BM1613" s="60" t="str">
        <f aca="false">IF(BD1613&lt;=0,"",IF(CG1613="Aussen","Aussenlager",IF(CG1613="-","Nicht im Lift",IF(BJ1613&gt;=1,"Lift",IF(BJ1613&lt;=0,"Aussenlager","teilweise")))))</f>
        <v>Lift</v>
      </c>
      <c r="BN1613" s="60" t="str">
        <f aca="false">IF(A1613="","",IF(BW1613=1,"Neu; ","")&amp;IF(AND(BW1613=0,BR1613&lt;0),"negativer Bestand (Export "&amp;BR1613&amp;"); ","")&amp;IF(J1613&lt;=0,"Kein Verbrauch; ","")&amp;IF(CR1613&gt;0,"Lift "&amp;W1613&amp;" lt. Liftbericht (Fach "&amp;X1613&amp;" Stk); ",IF(CB1613=1,"Gebinde geschätzt ("&amp;T1613&amp;"); ",IF(CA1613=1,"Lose – Tablare geschätzt; ","")))&amp;IF(H1613&gt;AW1613,"Überbestand "&amp;ROUND(H1613-AW1613,0)&amp;" Stk / CHF "&amp;ROUND((H1613-AW1613)*G1613,0)&amp;"; ","")&amp;IF(AND(CI1613=1,CJ1613&lt;CK1613),"MAX &lt; MB+LG; ","")&amp;IF(AND(CQ1613&gt;0,CP1613*10&gt;CQ1613),"zu hoch für Tablar; ","")&amp;IF(AND(BW1613=0,OR(CI1613=1,AB1613&lt;&gt;"",U1613&lt;&gt;"",V1613&lt;&gt;"",AC1613&lt;&gt;"")),"manuell übersteuert; ","")&amp;IF(AND(CA1613=0,R1613=0),"Gebinde unbekannt / Stellmass fehlt; ","")&amp;IF(AND(CA1613=0,N(V1613)&lt;=0,N(Q1613)&lt;=0),"Menge pro Gebinde fehlt (Ist = 1 Gebinde); ","")&amp;BV1613)</f>
        <v>Kein Verbrauch; Gebinde geschätzt (Mittel); Menge pro Gebinde fehlt (Ist = 1 Gebinde); nur im Artikelstamm (Bestand 23.06.2026)</v>
      </c>
      <c r="BO1613" s="60"/>
      <c r="BP1613" s="60"/>
      <c r="BQ1613" s="67"/>
      <c r="BR1613" s="62" t="n">
        <v>1</v>
      </c>
      <c r="BS1613" s="62" t="n">
        <v>0</v>
      </c>
      <c r="BT1613" s="61" t="n">
        <v>0</v>
      </c>
      <c r="BU1613" s="62" t="n">
        <v>0</v>
      </c>
      <c r="BV1613" s="60" t="s">
        <v>2617</v>
      </c>
      <c r="BW1613" s="65" t="n">
        <v>0</v>
      </c>
      <c r="BX1613" s="65" t="n">
        <v>1613</v>
      </c>
      <c r="BY1613" s="60" t="str">
        <f aca="false">IF(U1613&lt;&gt;"",UPPER(TRIM(U1613)),IF(CB1613=1,UPPER(VLOOKUP(T1613,Parameter!$I$27:$K$29,2,0)),IF(P1613="","LOSE",P1613)))</f>
        <v>S61</v>
      </c>
      <c r="BZ1613" s="62" t="n">
        <f aca="false">IF(BY1613="LOSE",1,IF(N(V1613)&gt;0,V1613,IF(CB1613=1,MAX(1,N(VLOOKUP(T1613,Parameter!$I$27:$K$29,3,0)),H1613,N(N1613)),IF(N(Q1613)&gt;0,Q1613,MAX(1,H1613)))))</f>
        <v>4</v>
      </c>
      <c r="CA1613" s="65" t="n">
        <f aca="false">IF(BY1613="LOSE",1,0)</f>
        <v>0</v>
      </c>
      <c r="CB1613" s="65" t="n">
        <f aca="false">IF(AND(U1613="",OR(P1613="",P1613="LOSE"),T1613&lt;&gt;"",N(S1613)&lt;=0,ISNUMBER(MATCH(T1613,Parameter!$I$27:$I$29,0))),1,0)</f>
        <v>1</v>
      </c>
      <c r="CC1613" s="65" t="n">
        <f aca="false">IF(CR1613&gt;0,INDEX(Parameter!$H$5:$H$7,W1613)/INDEX(Parameter!$E$5:$E$7,W1613),IF(AND(CA1613=0,N(IFERROR(VLOOKUP(BY1613,'Gebinde-Kategorie'!$A$5:$N$45,14,0),0))&gt;0),VLOOKUP(BY1613,'Gebinde-Kategorie'!$A$5:$N$45,14,0)*10+Parameter!$M$23,Parameter!$M$24))</f>
        <v>145</v>
      </c>
      <c r="CD1613" s="60" t="str">
        <f aca="false">IF(AND(Parameter!$B$19="Ja",E1613&lt;&gt;"",ISNUMBER(MATCH(E1613,Parameter!$I$35:$I$52,0))),VLOOKUP(E1613,Parameter!$I$35:$J$52,2,0),IFERROR(VLOOKUP(D1613,Parameter!$A$35:$C$64,2,0),"Nein"))</f>
        <v>2+3</v>
      </c>
      <c r="CE1613" s="64" t="n">
        <f aca="false">IF(CA1613=0,0,IF(N(S1613)&gt;0,S1613,IFERROR(VLOOKUP(D1613,Parameter!$A$35:$C$64,3,0)+0,0)))</f>
        <v>0</v>
      </c>
      <c r="CF1613" s="60" t="n">
        <f aca="false">IF(AB1613&lt;&gt;"",AB1613,AA1613)</f>
        <v>3</v>
      </c>
      <c r="CG1613" s="60" t="str">
        <f aca="false">IF(OR(CF1613=1,CF1613=2,CF1613=3),IF(Parameter!$E$27="Ja","LIFT",IF(CF1613=1,"L1","L23")),IF(CF1613="Aussen","Aussen","-"))</f>
        <v>LIFT</v>
      </c>
      <c r="CH1613" s="71" t="n">
        <f aca="false">IF(N(AC1613)&gt;0,AC1613,0)</f>
        <v>0</v>
      </c>
      <c r="CI1613" s="65" t="n">
        <f aca="false">IF(ISNUMBER(AF1613),1,0)</f>
        <v>0</v>
      </c>
      <c r="CJ1613" s="62" t="n">
        <f aca="false">N(AF1613)</f>
        <v>0</v>
      </c>
      <c r="CK1613" s="62" t="n">
        <f aca="false">N(M1613)+N(N1613)</f>
        <v>1</v>
      </c>
      <c r="CL1613" s="62" t="n">
        <f aca="false">N(M1613)</f>
        <v>0</v>
      </c>
      <c r="CM1613" s="62" t="n">
        <f aca="false">N(N1613)</f>
        <v>1</v>
      </c>
      <c r="CN1613" s="62" t="n">
        <f aca="false">ROUNDUP(H1613/BZ1613,0)</f>
        <v>1</v>
      </c>
      <c r="CO1613" s="62" t="n">
        <f aca="false">ROUNDUP(CJ1613/BZ1613,0)</f>
        <v>0</v>
      </c>
      <c r="CP1613" s="65" t="n">
        <f aca="false">IF(CA1613=1,0,IFERROR(VLOOKUP(BY1613,'Gebinde-Kategorie'!$A$5:$N$45,5,0)+0,0))</f>
        <v>11</v>
      </c>
      <c r="CQ1613" s="65" t="n">
        <f aca="false">IFERROR(IF(OR(CF1613=1,CF1613=2,CF1613=3),N(INDEX(Parameter!$I$5:$I$7,CF1613)),0),0)</f>
        <v>0</v>
      </c>
      <c r="CR1613" s="64" t="n">
        <f aca="false">IF(AND(Parameter!$B$21="Ja",ISNUMBER(W1613),N(X1613)&gt;0),IFERROR(N(INDEX(Parameter!$L$5:$L$7,W1613))*INDEX(Parameter!$E$5:$E$7,W1613)*X1613/SUMIFS($X$7:$X$1843,$W$7:$W$1843,W1613),0),0)</f>
        <v>0</v>
      </c>
      <c r="CS1613" s="62" t="n">
        <f aca="false">IF(AND(OR(CG1613="L1",CG1613="L23",CG1613="LIFT"),H1613&gt;0),CC1613*IF(CR1613&gt;0,CR1613*MAX(1,H1613/X1613),IF(CA1613=1,CE1613,IF(R1613&gt;0,CN1613/R1613,0))/MAX(0.1,N(Parameter!$M$21))),"")</f>
        <v>12.0833333333333</v>
      </c>
      <c r="CT1613" s="64" t="n">
        <f aca="false">IF(CS1613="","",J1613/H1613)</f>
        <v>0</v>
      </c>
      <c r="CU1613" s="62" t="n">
        <f aca="false">IF(CS1613="","",H1613*G1613)</f>
        <v>59.27</v>
      </c>
      <c r="CV1613" s="63" t="n">
        <f aca="false">IF(CS1613="","",(CL1613+ROUNDUP(CL1613+MAX(CM1613,2*(J1613/MAX(0.1,N(Einkauf!$C$6))-CL1613)),0))/2)</f>
        <v>0.5</v>
      </c>
      <c r="CW1613" s="62" t="n">
        <f aca="false">IF(CS1613="","",MAX(0,H1613-CV1613)*G1613)</f>
        <v>29.635</v>
      </c>
      <c r="CX1613" s="62" t="n">
        <f aca="false">IF(CS1613="","",CS1613*MAX(0,1-CV1613/H1613))</f>
        <v>6.04166666666667</v>
      </c>
      <c r="CY1613" s="64" t="n">
        <f aca="false">IF(CS1613="","",PERCENTRANK($CS$7:$CS$1843,CS1613)+PERCENTRANK($CU$7:$CU$1843,CU1613)+1-PERCENTRANK($CT$7:$CT$1843,CT1613))</f>
        <v>1.828</v>
      </c>
      <c r="CZ1613" s="72" t="n">
        <f aca="false">IF(CS1613="","",CHOOSE(MATCH(Einkauf!$C$5,Parameter!$G$23:$G$27,0),CY1613,CS1613,CU1613,-CT1613,CW1613)+ROW()/1000000000)</f>
        <v>1.828001613</v>
      </c>
    </row>
    <row r="1614" customFormat="false" ht="15" hidden="false" customHeight="false" outlineLevel="0" collapsed="false">
      <c r="A1614" s="60" t="s">
        <v>2854</v>
      </c>
      <c r="B1614" s="60" t="s">
        <v>2855</v>
      </c>
      <c r="C1614" s="60" t="s">
        <v>206</v>
      </c>
      <c r="D1614" s="60" t="s">
        <v>226</v>
      </c>
      <c r="E1614" s="60"/>
      <c r="F1614" s="60"/>
      <c r="G1614" s="61" t="n">
        <v>7.56</v>
      </c>
      <c r="H1614" s="62" t="n">
        <f aca="false">MAX(0,IF(AND(Parameter!$B$21="Ja",ISNUMBER(Y1614)),Y1614,IF(Parameter!$B$20="Jahresanfang 2025 + Export",BS1614+BR1614,BR1614)))</f>
        <v>3</v>
      </c>
      <c r="I1614" s="62" t="n">
        <f aca="false">H1614*G1614</f>
        <v>22.68</v>
      </c>
      <c r="J1614" s="62" t="n">
        <f aca="false">BU1614*Parameter!$B$18</f>
        <v>0</v>
      </c>
      <c r="K1614" s="63"/>
      <c r="L1614" s="64"/>
      <c r="M1614" s="62" t="n">
        <v>0</v>
      </c>
      <c r="N1614" s="62" t="n">
        <v>1</v>
      </c>
      <c r="O1614" s="65" t="n">
        <v>0</v>
      </c>
      <c r="P1614" s="60" t="s">
        <v>210</v>
      </c>
      <c r="Q1614" s="62"/>
      <c r="R1614" s="65" t="n">
        <f aca="false">IF(CA1614=1,0,IFERROR(VLOOKUP(BY1614,'Gebinde-Kategorie'!$A$5:$N$45,13,0)+0,0))</f>
        <v>26</v>
      </c>
      <c r="S1614" s="66"/>
      <c r="T1614" s="67" t="s">
        <v>317</v>
      </c>
      <c r="U1614" s="67"/>
      <c r="V1614" s="67"/>
      <c r="W1614" s="60"/>
      <c r="X1614" s="62"/>
      <c r="Y1614" s="62"/>
      <c r="Z1614" s="60" t="n">
        <v>3</v>
      </c>
      <c r="AA1614" s="60" t="n">
        <f aca="false">IF(A1614="","",IF(AND(Parameter!$B$21="Ja",ISNUMBER(W1614)),W1614,IF(AND(Parameter!$E$27="Ja",ISNUMBER(Z1614),CD1614&lt;&gt;"Nein"),Z1614,IF(CD1614="2+3",IF(ISNUMBER(SEARCH("grosser Artikel",BV1614)),2,IFERROR(VLOOKUP(BY1614,Parameter!$F$35:$G$64,2,0),2)),IF(OR(CD1614="Nein",CD1614=""),"-",CD1614)))))</f>
        <v>3</v>
      </c>
      <c r="AB1614" s="67"/>
      <c r="AC1614" s="68"/>
      <c r="AD1614" s="62" t="n">
        <f aca="false">AW1614</f>
        <v>1</v>
      </c>
      <c r="AE1614" s="62" t="n">
        <f aca="false">MAX(AW1614,H1614)</f>
        <v>3</v>
      </c>
      <c r="AF1614" s="69"/>
      <c r="AG1614" s="62" t="n">
        <f aca="false">IF(LEFT(Cockpit!$C$5,1)="A",H1614,IF(Parameter!$E$30="MAX-Bestand",IF(CI1614=1,CJ1614,IF(LEFT(Cockpit!$C$5,1)="B",AM1614,MAX(AM1614,H1614))),ROUNDUP(AK1614,0)))</f>
        <v>3</v>
      </c>
      <c r="AH1614" s="62" t="n">
        <f aca="false">IF(CA1614=1,0,ROUNDUP(AG1614/BZ1614,0))</f>
        <v>1</v>
      </c>
      <c r="AI1614" s="64" t="n">
        <f aca="false">IF(CR1614&gt;0,CR1614*MAX(1,AG1614/X1614),IF(CA1614=1,IF(AG1614&lt;=0,0,CE1614*MAX(1,IF(H1614&gt;0,AG1614/H1614,1))),IF(R1614&gt;0,AH1614/R1614,0))/MAX(0.1,N(Parameter!$M$21)))</f>
        <v>0.0384615384615385</v>
      </c>
      <c r="AJ1614" s="62" t="n">
        <f aca="false">AI1614*CC1614</f>
        <v>5.96153846153846</v>
      </c>
      <c r="AK1614" s="63" t="n">
        <f aca="false">IF(LEFT(Cockpit!$C$5,1)="A",H1614,IF(CI1614=1,(CL1614+CJ1614)/2,IF(LEFT(Cockpit!$C$5,1)="B",(CL1614+AM1614)/2,MAX((CL1614+AM1614)/2,H1614))))</f>
        <v>3</v>
      </c>
      <c r="AL1614" s="62" t="n">
        <f aca="false">AK1614*G1614</f>
        <v>22.68</v>
      </c>
      <c r="AM1614" s="62" t="n">
        <f aca="false">ROUNDUP(CL1614+MAX(CM1614,2*(J1614/IF(CH1614&gt;0,CH1614,MAX(0.1,N(Cockpit!$C$6)))-CL1614)),0)</f>
        <v>1</v>
      </c>
      <c r="AN1614" s="63" t="n">
        <f aca="false">IF(AJ1614&gt;0,J1614/AJ1614,-1)</f>
        <v>0</v>
      </c>
      <c r="AO1614" s="63" t="n">
        <f aca="false">IF(AND(OR(CG1614="L1",CG1614="L23",CG1614="LIFT"),AJ1614&gt;0),SUMIFS($AJ$7:$AJ$1843,$CG$7:$CG$1843,CG1614,$AN$7:$AN$1843,"&gt;"&amp;AN1614)+SUMIFS($AJ$7:$AJ$1843,$CG$7:$CG$1843,CG1614,$AN$7:$AN$1843,AN1614,$BX$7:$BX$1843,"&lt;="&amp;BX1614),"")</f>
        <v>30806.5790106786</v>
      </c>
      <c r="AP1614" s="70" t="n">
        <f aca="false">IF(AO1614="",0,MAX(0,MIN(1,(IF(CG1614="L1",Parameter!$H$5,IF(CG1614="L23",Parameter!$H$6+Parameter!$H$7,Parameter!$H$5+Parameter!$H$6+Parameter!$H$7))-(AO1614-AJ1614))/AJ1614)))</f>
        <v>1</v>
      </c>
      <c r="AQ1614" s="62" t="n">
        <f aca="false">IF(LEFT(Cockpit!$I$5,1)="A",H1614,IF(Parameter!$E$30="MAX-Bestand",IF(CI1614=1,CJ1614,IF(LEFT(Cockpit!$I$5,1)="B",AW1614,MAX(AW1614,H1614))),ROUNDUP(AU1614,0)))</f>
        <v>3</v>
      </c>
      <c r="AR1614" s="62" t="n">
        <f aca="false">IF(CA1614=1,0,ROUNDUP(AQ1614/BZ1614,0))</f>
        <v>1</v>
      </c>
      <c r="AS1614" s="64" t="n">
        <f aca="false">IF(CR1614&gt;0,CR1614*MAX(1,AQ1614/X1614),IF(CA1614=1,IF(AQ1614&lt;=0,0,CE1614*MAX(1,IF(H1614&gt;0,AQ1614/H1614,1))),IF(R1614&gt;0,AR1614/R1614,0))/MAX(0.1,N(Parameter!$M$21)))</f>
        <v>0.0384615384615385</v>
      </c>
      <c r="AT1614" s="62" t="n">
        <f aca="false">AS1614*CC1614</f>
        <v>5.96153846153846</v>
      </c>
      <c r="AU1614" s="63" t="n">
        <f aca="false">IF(LEFT(Cockpit!$I$5,1)="A",H1614,IF(CI1614=1,(CL1614+CJ1614)/2,IF(LEFT(Cockpit!$I$5,1)="B",(CL1614+AW1614)/2,MAX((CL1614+AW1614)/2,H1614))))</f>
        <v>3</v>
      </c>
      <c r="AV1614" s="62" t="n">
        <f aca="false">AU1614*G1614</f>
        <v>22.68</v>
      </c>
      <c r="AW1614" s="62" t="n">
        <f aca="false">ROUNDUP(CL1614+MAX(CM1614,2*(J1614/IF(CH1614&gt;0,CH1614,MAX(0.1,N(Cockpit!$I$6)))-CL1614)),0)</f>
        <v>1</v>
      </c>
      <c r="AX1614" s="63" t="n">
        <f aca="false">IF(AT1614&gt;0,J1614/AT1614,-1)</f>
        <v>0</v>
      </c>
      <c r="AY1614" s="63" t="n">
        <f aca="false">IF(AND(OR(CG1614="L1",CG1614="L23",CG1614="LIFT"),AT1614&gt;0),SUMIFS($AT$7:$AT$1843,$CG$7:$CG$1843,CG1614,$AX$7:$AX$1843,"&gt;"&amp;AX1614)+SUMIFS($AT$7:$AT$1843,$CG$7:$CG$1843,CG1614,$AX$7:$AX$1843,AX1614,$BX$7:$BX$1843,"&lt;="&amp;BX1614),"")</f>
        <v>37126.4355275139</v>
      </c>
      <c r="AZ1614" s="70" t="n">
        <f aca="false">IF(AY1614="",0,MAX(0,MIN(1,(IF(CG1614="L1",Parameter!$H$5,IF(CG1614="L23",Parameter!$H$6+Parameter!$H$7,Parameter!$H$5+Parameter!$H$6+Parameter!$H$7))-(AY1614-AT1614))/AT1614)))</f>
        <v>0</v>
      </c>
      <c r="BA1614" s="62" t="n">
        <f aca="false">IF(LEFT(Cockpit!$O$5,1)="A",H1614,IF(Parameter!$E$30="MAX-Bestand",IF(CI1614=1,CJ1614,IF(LEFT(Cockpit!$O$5,1)="B",BG1614,MAX(BG1614,H1614))),ROUNDUP(BE1614,0)))</f>
        <v>1</v>
      </c>
      <c r="BB1614" s="62" t="n">
        <f aca="false">IF(CA1614=1,0,ROUNDUP(BA1614/BZ1614,0))</f>
        <v>1</v>
      </c>
      <c r="BC1614" s="64" t="n">
        <f aca="false">IF(CR1614&gt;0,CR1614*MAX(1,BA1614/X1614),IF(CA1614=1,IF(BA1614&lt;=0,0,CE1614*MAX(1,IF(H1614&gt;0,BA1614/H1614,1))),IF(R1614&gt;0,BB1614/R1614,0))/MAX(0.1,N(Parameter!$M$21)))</f>
        <v>0.0384615384615385</v>
      </c>
      <c r="BD1614" s="62" t="n">
        <f aca="false">BC1614*CC1614</f>
        <v>5.96153846153846</v>
      </c>
      <c r="BE1614" s="63" t="n">
        <f aca="false">IF(LEFT(Cockpit!$O$5,1)="A",H1614,IF(CI1614=1,(CL1614+CJ1614)/2,IF(LEFT(Cockpit!$O$5,1)="B",(CL1614+BG1614)/2,MAX((CL1614+BG1614)/2,H1614))))</f>
        <v>0.5</v>
      </c>
      <c r="BF1614" s="62" t="n">
        <f aca="false">BE1614*G1614</f>
        <v>3.78</v>
      </c>
      <c r="BG1614" s="62" t="n">
        <f aca="false">ROUNDUP(CL1614+MAX(CM1614,2*(J1614/IF(CH1614&gt;0,CH1614,MAX(0.1,N(Cockpit!$O$6)))-CL1614)),0)</f>
        <v>1</v>
      </c>
      <c r="BH1614" s="63" t="n">
        <f aca="false">IF(BD1614&gt;0,J1614/BD1614,-1)</f>
        <v>0</v>
      </c>
      <c r="BI1614" s="63" t="n">
        <f aca="false">IF(AND(OR(CG1614="L1",CG1614="L23",CG1614="LIFT"),BD1614&gt;0),SUMIFS($BD$7:$BD$1843,$CG$7:$CG$1843,CG1614,$BH$7:$BH$1843,"&gt;"&amp;BH1614)+SUMIFS($BD$7:$BD$1843,$CG$7:$CG$1843,CG1614,$BH$7:$BH$1843,BH1614,$BX$7:$BX$1843,"&lt;="&amp;BX1614),"")</f>
        <v>31035.8768030463</v>
      </c>
      <c r="BJ1614" s="70" t="n">
        <f aca="false">IF(BI1614="",0,MAX(0,MIN(1,(IF(CG1614="L1",Parameter!$H$5,IF(CG1614="L23",Parameter!$H$6+Parameter!$H$7,Parameter!$H$5+Parameter!$H$6+Parameter!$H$7))-(BI1614-BD1614))/BD1614)))</f>
        <v>1</v>
      </c>
      <c r="BK1614" s="60" t="str">
        <f aca="false">IF(AJ1614&lt;=0,"",IF(CG1614="Aussen","Aussenlager",IF(CG1614="-","Nicht im Lift",IF(AP1614&gt;=1,"Lift",IF(AP1614&lt;=0,"Aussenlager","teilweise")))))</f>
        <v>Lift</v>
      </c>
      <c r="BL1614" s="60" t="str">
        <f aca="false">IF(AT1614&lt;=0,"",IF(CG1614="Aussen","Aussenlager",IF(CG1614="-","Nicht im Lift",IF(AZ1614&gt;=1,"Lift",IF(AZ1614&lt;=0,"Aussenlager","teilweise")))))</f>
        <v>Aussenlager</v>
      </c>
      <c r="BM1614" s="60" t="str">
        <f aca="false">IF(BD1614&lt;=0,"",IF(CG1614="Aussen","Aussenlager",IF(CG1614="-","Nicht im Lift",IF(BJ1614&gt;=1,"Lift",IF(BJ1614&lt;=0,"Aussenlager","teilweise")))))</f>
        <v>Lift</v>
      </c>
      <c r="BN1614" s="60" t="str">
        <f aca="false">IF(A1614="","",IF(BW1614=1,"Neu; ","")&amp;IF(AND(BW1614=0,BR1614&lt;0),"negativer Bestand (Export "&amp;BR1614&amp;"); ","")&amp;IF(J1614&lt;=0,"Kein Verbrauch; ","")&amp;IF(CR1614&gt;0,"Lift "&amp;W1614&amp;" lt. Liftbericht (Fach "&amp;X1614&amp;" Stk); ",IF(CB1614=1,"Gebinde geschätzt ("&amp;T1614&amp;"); ",IF(CA1614=1,"Lose – Tablare geschätzt; ","")))&amp;IF(H1614&gt;AW1614,"Überbestand "&amp;ROUND(H1614-AW1614,0)&amp;" Stk / CHF "&amp;ROUND((H1614-AW1614)*G1614,0)&amp;"; ","")&amp;IF(AND(CI1614=1,CJ1614&lt;CK1614),"MAX &lt; MB+LG; ","")&amp;IF(AND(CQ1614&gt;0,CP1614*10&gt;CQ1614),"zu hoch für Tablar; ","")&amp;IF(AND(BW1614=0,OR(CI1614=1,AB1614&lt;&gt;"",U1614&lt;&gt;"",V1614&lt;&gt;"",AC1614&lt;&gt;"")),"manuell übersteuert; ","")&amp;IF(AND(CA1614=0,R1614=0),"Gebinde unbekannt / Stellmass fehlt; ","")&amp;IF(AND(CA1614=0,N(V1614)&lt;=0,N(Q1614)&lt;=0),"Menge pro Gebinde fehlt (Ist = 1 Gebinde); ","")&amp;BV1614)</f>
        <v>Kein Verbrauch; Gebinde geschätzt (Klein); Überbestand 2 Stk / CHF 15; Menge pro Gebinde fehlt (Ist = 1 Gebinde); nur im Artikelstamm (Bestand 23.06.2026)</v>
      </c>
      <c r="BO1614" s="60"/>
      <c r="BP1614" s="60"/>
      <c r="BQ1614" s="67"/>
      <c r="BR1614" s="62" t="n">
        <v>3</v>
      </c>
      <c r="BS1614" s="62" t="n">
        <v>0</v>
      </c>
      <c r="BT1614" s="61" t="n">
        <v>0</v>
      </c>
      <c r="BU1614" s="62" t="n">
        <v>0</v>
      </c>
      <c r="BV1614" s="60" t="s">
        <v>2617</v>
      </c>
      <c r="BW1614" s="65" t="n">
        <v>0</v>
      </c>
      <c r="BX1614" s="65" t="n">
        <v>1614</v>
      </c>
      <c r="BY1614" s="60" t="str">
        <f aca="false">IF(U1614&lt;&gt;"",UPPER(TRIM(U1614)),IF(CB1614=1,UPPER(VLOOKUP(T1614,Parameter!$I$27:$K$29,2,0)),IF(P1614="","LOSE",P1614)))</f>
        <v>S51</v>
      </c>
      <c r="BZ1614" s="62" t="n">
        <f aca="false">IF(BY1614="LOSE",1,IF(N(V1614)&gt;0,V1614,IF(CB1614=1,MAX(1,N(VLOOKUP(T1614,Parameter!$I$27:$K$29,3,0)),H1614,N(N1614)),IF(N(Q1614)&gt;0,Q1614,MAX(1,H1614)))))</f>
        <v>20</v>
      </c>
      <c r="CA1614" s="65" t="n">
        <f aca="false">IF(BY1614="LOSE",1,0)</f>
        <v>0</v>
      </c>
      <c r="CB1614" s="65" t="n">
        <f aca="false">IF(AND(U1614="",OR(P1614="",P1614="LOSE"),T1614&lt;&gt;"",N(S1614)&lt;=0,ISNUMBER(MATCH(T1614,Parameter!$I$27:$I$29,0))),1,0)</f>
        <v>1</v>
      </c>
      <c r="CC1614" s="65" t="n">
        <f aca="false">IF(CR1614&gt;0,INDEX(Parameter!$H$5:$H$7,W1614)/INDEX(Parameter!$E$5:$E$7,W1614),IF(AND(CA1614=0,N(IFERROR(VLOOKUP(BY1614,'Gebinde-Kategorie'!$A$5:$N$45,14,0),0))&gt;0),VLOOKUP(BY1614,'Gebinde-Kategorie'!$A$5:$N$45,14,0)*10+Parameter!$M$23,Parameter!$M$24))</f>
        <v>155</v>
      </c>
      <c r="CD1614" s="60" t="str">
        <f aca="false">IF(AND(Parameter!$B$19="Ja",E1614&lt;&gt;"",ISNUMBER(MATCH(E1614,Parameter!$I$35:$I$52,0))),VLOOKUP(E1614,Parameter!$I$35:$J$52,2,0),IFERROR(VLOOKUP(D1614,Parameter!$A$35:$C$64,2,0),"Nein"))</f>
        <v>2+3</v>
      </c>
      <c r="CE1614" s="64" t="n">
        <f aca="false">IF(CA1614=0,0,IF(N(S1614)&gt;0,S1614,IFERROR(VLOOKUP(D1614,Parameter!$A$35:$C$64,3,0)+0,0)))</f>
        <v>0</v>
      </c>
      <c r="CF1614" s="60" t="n">
        <f aca="false">IF(AB1614&lt;&gt;"",AB1614,AA1614)</f>
        <v>3</v>
      </c>
      <c r="CG1614" s="60" t="str">
        <f aca="false">IF(OR(CF1614=1,CF1614=2,CF1614=3),IF(Parameter!$E$27="Ja","LIFT",IF(CF1614=1,"L1","L23")),IF(CF1614="Aussen","Aussen","-"))</f>
        <v>LIFT</v>
      </c>
      <c r="CH1614" s="71" t="n">
        <f aca="false">IF(N(AC1614)&gt;0,AC1614,0)</f>
        <v>0</v>
      </c>
      <c r="CI1614" s="65" t="n">
        <f aca="false">IF(ISNUMBER(AF1614),1,0)</f>
        <v>0</v>
      </c>
      <c r="CJ1614" s="62" t="n">
        <f aca="false">N(AF1614)</f>
        <v>0</v>
      </c>
      <c r="CK1614" s="62" t="n">
        <f aca="false">N(M1614)+N(N1614)</f>
        <v>1</v>
      </c>
      <c r="CL1614" s="62" t="n">
        <f aca="false">N(M1614)</f>
        <v>0</v>
      </c>
      <c r="CM1614" s="62" t="n">
        <f aca="false">N(N1614)</f>
        <v>1</v>
      </c>
      <c r="CN1614" s="62" t="n">
        <f aca="false">ROUNDUP(H1614/BZ1614,0)</f>
        <v>1</v>
      </c>
      <c r="CO1614" s="62" t="n">
        <f aca="false">ROUNDUP(CJ1614/BZ1614,0)</f>
        <v>0</v>
      </c>
      <c r="CP1614" s="65" t="n">
        <f aca="false">IF(CA1614=1,0,IFERROR(VLOOKUP(BY1614,'Gebinde-Kategorie'!$A$5:$N$45,5,0)+0,0))</f>
        <v>11</v>
      </c>
      <c r="CQ1614" s="65" t="n">
        <f aca="false">IFERROR(IF(OR(CF1614=1,CF1614=2,CF1614=3),N(INDEX(Parameter!$I$5:$I$7,CF1614)),0),0)</f>
        <v>0</v>
      </c>
      <c r="CR1614" s="64" t="n">
        <f aca="false">IF(AND(Parameter!$B$21="Ja",ISNUMBER(W1614),N(X1614)&gt;0),IFERROR(N(INDEX(Parameter!$L$5:$L$7,W1614))*INDEX(Parameter!$E$5:$E$7,W1614)*X1614/SUMIFS($X$7:$X$1843,$W$7:$W$1843,W1614),0),0)</f>
        <v>0</v>
      </c>
      <c r="CS1614" s="62" t="n">
        <f aca="false">IF(AND(OR(CG1614="L1",CG1614="L23",CG1614="LIFT"),H1614&gt;0),CC1614*IF(CR1614&gt;0,CR1614*MAX(1,H1614/X1614),IF(CA1614=1,CE1614,IF(R1614&gt;0,CN1614/R1614,0))/MAX(0.1,N(Parameter!$M$21))),"")</f>
        <v>5.96153846153846</v>
      </c>
      <c r="CT1614" s="64" t="n">
        <f aca="false">IF(CS1614="","",J1614/H1614)</f>
        <v>0</v>
      </c>
      <c r="CU1614" s="62" t="n">
        <f aca="false">IF(CS1614="","",H1614*G1614)</f>
        <v>22.68</v>
      </c>
      <c r="CV1614" s="63" t="n">
        <f aca="false">IF(CS1614="","",(CL1614+ROUNDUP(CL1614+MAX(CM1614,2*(J1614/MAX(0.1,N(Einkauf!$C$6))-CL1614)),0))/2)</f>
        <v>0.5</v>
      </c>
      <c r="CW1614" s="62" t="n">
        <f aca="false">IF(CS1614="","",MAX(0,H1614-CV1614)*G1614)</f>
        <v>18.9</v>
      </c>
      <c r="CX1614" s="62" t="n">
        <f aca="false">IF(CS1614="","",CS1614*MAX(0,1-CV1614/H1614))</f>
        <v>4.96794871794872</v>
      </c>
      <c r="CY1614" s="64" t="n">
        <f aca="false">IF(CS1614="","",PERCENTRANK($CS$7:$CS$1843,CS1614)+PERCENTRANK($CU$7:$CU$1843,CU1614)+1-PERCENTRANK($CT$7:$CT$1843,CT1614))</f>
        <v>1.4456</v>
      </c>
      <c r="CZ1614" s="72" t="n">
        <f aca="false">IF(CS1614="","",CHOOSE(MATCH(Einkauf!$C$5,Parameter!$G$23:$G$27,0),CY1614,CS1614,CU1614,-CT1614,CW1614)+ROW()/1000000000)</f>
        <v>1.445601614</v>
      </c>
    </row>
    <row r="1615" customFormat="false" ht="15" hidden="false" customHeight="false" outlineLevel="0" collapsed="false">
      <c r="A1615" s="60" t="s">
        <v>2856</v>
      </c>
      <c r="B1615" s="60" t="s">
        <v>1490</v>
      </c>
      <c r="C1615" s="60" t="s">
        <v>206</v>
      </c>
      <c r="D1615" s="60" t="s">
        <v>226</v>
      </c>
      <c r="E1615" s="60"/>
      <c r="F1615" s="60"/>
      <c r="G1615" s="61" t="n">
        <v>35.5</v>
      </c>
      <c r="H1615" s="62" t="n">
        <f aca="false">MAX(0,IF(AND(Parameter!$B$21="Ja",ISNUMBER(Y1615)),Y1615,IF(Parameter!$B$20="Jahresanfang 2025 + Export",BS1615+BR1615,BR1615)))</f>
        <v>2</v>
      </c>
      <c r="I1615" s="62" t="n">
        <f aca="false">H1615*G1615</f>
        <v>71</v>
      </c>
      <c r="J1615" s="62" t="n">
        <f aca="false">BU1615*Parameter!$B$18</f>
        <v>0</v>
      </c>
      <c r="K1615" s="63"/>
      <c r="L1615" s="64"/>
      <c r="M1615" s="62" t="n">
        <v>0</v>
      </c>
      <c r="N1615" s="62" t="n">
        <v>10</v>
      </c>
      <c r="O1615" s="65" t="n">
        <v>112</v>
      </c>
      <c r="P1615" s="60" t="s">
        <v>210</v>
      </c>
      <c r="Q1615" s="62"/>
      <c r="R1615" s="65" t="n">
        <f aca="false">IF(CA1615=1,0,IFERROR(VLOOKUP(BY1615,'Gebinde-Kategorie'!$A$5:$N$45,13,0)+0,0))</f>
        <v>26</v>
      </c>
      <c r="S1615" s="66"/>
      <c r="T1615" s="67" t="s">
        <v>317</v>
      </c>
      <c r="U1615" s="67"/>
      <c r="V1615" s="67"/>
      <c r="W1615" s="60"/>
      <c r="X1615" s="62"/>
      <c r="Y1615" s="62"/>
      <c r="Z1615" s="60" t="n">
        <v>3</v>
      </c>
      <c r="AA1615" s="60" t="n">
        <f aca="false">IF(A1615="","",IF(AND(Parameter!$B$21="Ja",ISNUMBER(W1615)),W1615,IF(AND(Parameter!$E$27="Ja",ISNUMBER(Z1615),CD1615&lt;&gt;"Nein"),Z1615,IF(CD1615="2+3",IF(ISNUMBER(SEARCH("grosser Artikel",BV1615)),2,IFERROR(VLOOKUP(BY1615,Parameter!$F$35:$G$64,2,0),2)),IF(OR(CD1615="Nein",CD1615=""),"-",CD1615)))))</f>
        <v>3</v>
      </c>
      <c r="AB1615" s="67"/>
      <c r="AC1615" s="68"/>
      <c r="AD1615" s="62" t="n">
        <f aca="false">AW1615</f>
        <v>10</v>
      </c>
      <c r="AE1615" s="62" t="n">
        <f aca="false">MAX(AW1615,H1615)</f>
        <v>10</v>
      </c>
      <c r="AF1615" s="69"/>
      <c r="AG1615" s="62" t="n">
        <f aca="false">IF(LEFT(Cockpit!$C$5,1)="A",H1615,IF(Parameter!$E$30="MAX-Bestand",IF(CI1615=1,CJ1615,IF(LEFT(Cockpit!$C$5,1)="B",AM1615,MAX(AM1615,H1615))),ROUNDUP(AK1615,0)))</f>
        <v>2</v>
      </c>
      <c r="AH1615" s="62" t="n">
        <f aca="false">IF(CA1615=1,0,ROUNDUP(AG1615/BZ1615,0))</f>
        <v>1</v>
      </c>
      <c r="AI1615" s="64" t="n">
        <f aca="false">IF(CR1615&gt;0,CR1615*MAX(1,AG1615/X1615),IF(CA1615=1,IF(AG1615&lt;=0,0,CE1615*MAX(1,IF(H1615&gt;0,AG1615/H1615,1))),IF(R1615&gt;0,AH1615/R1615,0))/MAX(0.1,N(Parameter!$M$21)))</f>
        <v>0.0384615384615385</v>
      </c>
      <c r="AJ1615" s="62" t="n">
        <f aca="false">AI1615*CC1615</f>
        <v>5.96153846153846</v>
      </c>
      <c r="AK1615" s="63" t="n">
        <f aca="false">IF(LEFT(Cockpit!$C$5,1)="A",H1615,IF(CI1615=1,(CL1615+CJ1615)/2,IF(LEFT(Cockpit!$C$5,1)="B",(CL1615+AM1615)/2,MAX((CL1615+AM1615)/2,H1615))))</f>
        <v>2</v>
      </c>
      <c r="AL1615" s="62" t="n">
        <f aca="false">AK1615*G1615</f>
        <v>71</v>
      </c>
      <c r="AM1615" s="62" t="n">
        <f aca="false">ROUNDUP(CL1615+MAX(CM1615,2*(J1615/IF(CH1615&gt;0,CH1615,MAX(0.1,N(Cockpit!$C$6)))-CL1615)),0)</f>
        <v>10</v>
      </c>
      <c r="AN1615" s="63" t="n">
        <f aca="false">IF(AJ1615&gt;0,J1615/AJ1615,-1)</f>
        <v>0</v>
      </c>
      <c r="AO1615" s="63" t="n">
        <f aca="false">IF(AND(OR(CG1615="L1",CG1615="L23",CG1615="LIFT"),AJ1615&gt;0),SUMIFS($AJ$7:$AJ$1843,$CG$7:$CG$1843,CG1615,$AN$7:$AN$1843,"&gt;"&amp;AN1615)+SUMIFS($AJ$7:$AJ$1843,$CG$7:$CG$1843,CG1615,$AN$7:$AN$1843,AN1615,$BX$7:$BX$1843,"&lt;="&amp;BX1615),"")</f>
        <v>30812.5405491401</v>
      </c>
      <c r="AP1615" s="70" t="n">
        <f aca="false">IF(AO1615="",0,MAX(0,MIN(1,(IF(CG1615="L1",Parameter!$H$5,IF(CG1615="L23",Parameter!$H$6+Parameter!$H$7,Parameter!$H$5+Parameter!$H$6+Parameter!$H$7))-(AO1615-AJ1615))/AJ1615)))</f>
        <v>1</v>
      </c>
      <c r="AQ1615" s="62" t="n">
        <f aca="false">IF(LEFT(Cockpit!$I$5,1)="A",H1615,IF(Parameter!$E$30="MAX-Bestand",IF(CI1615=1,CJ1615,IF(LEFT(Cockpit!$I$5,1)="B",AW1615,MAX(AW1615,H1615))),ROUNDUP(AU1615,0)))</f>
        <v>5</v>
      </c>
      <c r="AR1615" s="62" t="n">
        <f aca="false">IF(CA1615=1,0,ROUNDUP(AQ1615/BZ1615,0))</f>
        <v>1</v>
      </c>
      <c r="AS1615" s="64" t="n">
        <f aca="false">IF(CR1615&gt;0,CR1615*MAX(1,AQ1615/X1615),IF(CA1615=1,IF(AQ1615&lt;=0,0,CE1615*MAX(1,IF(H1615&gt;0,AQ1615/H1615,1))),IF(R1615&gt;0,AR1615/R1615,0))/MAX(0.1,N(Parameter!$M$21)))</f>
        <v>0.0384615384615385</v>
      </c>
      <c r="AT1615" s="62" t="n">
        <f aca="false">AS1615*CC1615</f>
        <v>5.96153846153846</v>
      </c>
      <c r="AU1615" s="63" t="n">
        <f aca="false">IF(LEFT(Cockpit!$I$5,1)="A",H1615,IF(CI1615=1,(CL1615+CJ1615)/2,IF(LEFT(Cockpit!$I$5,1)="B",(CL1615+AW1615)/2,MAX((CL1615+AW1615)/2,H1615))))</f>
        <v>5</v>
      </c>
      <c r="AV1615" s="62" t="n">
        <f aca="false">AU1615*G1615</f>
        <v>177.5</v>
      </c>
      <c r="AW1615" s="62" t="n">
        <f aca="false">ROUNDUP(CL1615+MAX(CM1615,2*(J1615/IF(CH1615&gt;0,CH1615,MAX(0.1,N(Cockpit!$I$6)))-CL1615)),0)</f>
        <v>10</v>
      </c>
      <c r="AX1615" s="63" t="n">
        <f aca="false">IF(AT1615&gt;0,J1615/AT1615,-1)</f>
        <v>0</v>
      </c>
      <c r="AY1615" s="63" t="n">
        <f aca="false">IF(AND(OR(CG1615="L1",CG1615="L23",CG1615="LIFT"),AT1615&gt;0),SUMIFS($AT$7:$AT$1843,$CG$7:$CG$1843,CG1615,$AX$7:$AX$1843,"&gt;"&amp;AX1615)+SUMIFS($AT$7:$AT$1843,$CG$7:$CG$1843,CG1615,$AX$7:$AX$1843,AX1615,$BX$7:$BX$1843,"&lt;="&amp;BX1615),"")</f>
        <v>37132.3970659755</v>
      </c>
      <c r="AZ1615" s="70" t="n">
        <f aca="false">IF(AY1615="",0,MAX(0,MIN(1,(IF(CG1615="L1",Parameter!$H$5,IF(CG1615="L23",Parameter!$H$6+Parameter!$H$7,Parameter!$H$5+Parameter!$H$6+Parameter!$H$7))-(AY1615-AT1615))/AT1615)))</f>
        <v>0</v>
      </c>
      <c r="BA1615" s="62" t="n">
        <f aca="false">IF(LEFT(Cockpit!$O$5,1)="A",H1615,IF(Parameter!$E$30="MAX-Bestand",IF(CI1615=1,CJ1615,IF(LEFT(Cockpit!$O$5,1)="B",BG1615,MAX(BG1615,H1615))),ROUNDUP(BE1615,0)))</f>
        <v>5</v>
      </c>
      <c r="BB1615" s="62" t="n">
        <f aca="false">IF(CA1615=1,0,ROUNDUP(BA1615/BZ1615,0))</f>
        <v>1</v>
      </c>
      <c r="BC1615" s="64" t="n">
        <f aca="false">IF(CR1615&gt;0,CR1615*MAX(1,BA1615/X1615),IF(CA1615=1,IF(BA1615&lt;=0,0,CE1615*MAX(1,IF(H1615&gt;0,BA1615/H1615,1))),IF(R1615&gt;0,BB1615/R1615,0))/MAX(0.1,N(Parameter!$M$21)))</f>
        <v>0.0384615384615385</v>
      </c>
      <c r="BD1615" s="62" t="n">
        <f aca="false">BC1615*CC1615</f>
        <v>5.96153846153846</v>
      </c>
      <c r="BE1615" s="63" t="n">
        <f aca="false">IF(LEFT(Cockpit!$O$5,1)="A",H1615,IF(CI1615=1,(CL1615+CJ1615)/2,IF(LEFT(Cockpit!$O$5,1)="B",(CL1615+BG1615)/2,MAX((CL1615+BG1615)/2,H1615))))</f>
        <v>5</v>
      </c>
      <c r="BF1615" s="62" t="n">
        <f aca="false">BE1615*G1615</f>
        <v>177.5</v>
      </c>
      <c r="BG1615" s="62" t="n">
        <f aca="false">ROUNDUP(CL1615+MAX(CM1615,2*(J1615/IF(CH1615&gt;0,CH1615,MAX(0.1,N(Cockpit!$O$6)))-CL1615)),0)</f>
        <v>10</v>
      </c>
      <c r="BH1615" s="63" t="n">
        <f aca="false">IF(BD1615&gt;0,J1615/BD1615,-1)</f>
        <v>0</v>
      </c>
      <c r="BI1615" s="63" t="n">
        <f aca="false">IF(AND(OR(CG1615="L1",CG1615="L23",CG1615="LIFT"),BD1615&gt;0),SUMIFS($BD$7:$BD$1843,$CG$7:$CG$1843,CG1615,$BH$7:$BH$1843,"&gt;"&amp;BH1615)+SUMIFS($BD$7:$BD$1843,$CG$7:$CG$1843,CG1615,$BH$7:$BH$1843,BH1615,$BX$7:$BX$1843,"&lt;="&amp;BX1615),"")</f>
        <v>31041.8383415078</v>
      </c>
      <c r="BJ1615" s="70" t="n">
        <f aca="false">IF(BI1615="",0,MAX(0,MIN(1,(IF(CG1615="L1",Parameter!$H$5,IF(CG1615="L23",Parameter!$H$6+Parameter!$H$7,Parameter!$H$5+Parameter!$H$6+Parameter!$H$7))-(BI1615-BD1615))/BD1615)))</f>
        <v>1</v>
      </c>
      <c r="BK1615" s="60" t="str">
        <f aca="false">IF(AJ1615&lt;=0,"",IF(CG1615="Aussen","Aussenlager",IF(CG1615="-","Nicht im Lift",IF(AP1615&gt;=1,"Lift",IF(AP1615&lt;=0,"Aussenlager","teilweise")))))</f>
        <v>Lift</v>
      </c>
      <c r="BL1615" s="60" t="str">
        <f aca="false">IF(AT1615&lt;=0,"",IF(CG1615="Aussen","Aussenlager",IF(CG1615="-","Nicht im Lift",IF(AZ1615&gt;=1,"Lift",IF(AZ1615&lt;=0,"Aussenlager","teilweise")))))</f>
        <v>Aussenlager</v>
      </c>
      <c r="BM1615" s="60" t="str">
        <f aca="false">IF(BD1615&lt;=0,"",IF(CG1615="Aussen","Aussenlager",IF(CG1615="-","Nicht im Lift",IF(BJ1615&gt;=1,"Lift",IF(BJ1615&lt;=0,"Aussenlager","teilweise")))))</f>
        <v>Lift</v>
      </c>
      <c r="BN1615" s="60" t="str">
        <f aca="false">IF(A1615="","",IF(BW1615=1,"Neu; ","")&amp;IF(AND(BW1615=0,BR1615&lt;0),"negativer Bestand (Export "&amp;BR1615&amp;"); ","")&amp;IF(J1615&lt;=0,"Kein Verbrauch; ","")&amp;IF(CR1615&gt;0,"Lift "&amp;W1615&amp;" lt. Liftbericht (Fach "&amp;X1615&amp;" Stk); ",IF(CB1615=1,"Gebinde geschätzt ("&amp;T1615&amp;"); ",IF(CA1615=1,"Lose – Tablare geschätzt; ","")))&amp;IF(H1615&gt;AW1615,"Überbestand "&amp;ROUND(H1615-AW1615,0)&amp;" Stk / CHF "&amp;ROUND((H1615-AW1615)*G1615,0)&amp;"; ","")&amp;IF(AND(CI1615=1,CJ1615&lt;CK1615),"MAX &lt; MB+LG; ","")&amp;IF(AND(CQ1615&gt;0,CP1615*10&gt;CQ1615),"zu hoch für Tablar; ","")&amp;IF(AND(BW1615=0,OR(CI1615=1,AB1615&lt;&gt;"",U1615&lt;&gt;"",V1615&lt;&gt;"",AC1615&lt;&gt;"")),"manuell übersteuert; ","")&amp;IF(AND(CA1615=0,R1615=0),"Gebinde unbekannt / Stellmass fehlt; ","")&amp;IF(AND(CA1615=0,N(V1615)&lt;=0,N(Q1615)&lt;=0),"Menge pro Gebinde fehlt (Ist = 1 Gebinde); ","")&amp;BV1615)</f>
        <v>Kein Verbrauch; Gebinde geschätzt (Klein); Menge pro Gebinde fehlt (Ist = 1 Gebinde); nur im Artikelstamm (Bestand 23.06.2026)</v>
      </c>
      <c r="BO1615" s="60"/>
      <c r="BP1615" s="60"/>
      <c r="BQ1615" s="67"/>
      <c r="BR1615" s="62" t="n">
        <v>2</v>
      </c>
      <c r="BS1615" s="62" t="n">
        <v>0</v>
      </c>
      <c r="BT1615" s="61" t="n">
        <v>0</v>
      </c>
      <c r="BU1615" s="62" t="n">
        <v>0</v>
      </c>
      <c r="BV1615" s="60" t="s">
        <v>2617</v>
      </c>
      <c r="BW1615" s="65" t="n">
        <v>0</v>
      </c>
      <c r="BX1615" s="65" t="n">
        <v>1615</v>
      </c>
      <c r="BY1615" s="60" t="str">
        <f aca="false">IF(U1615&lt;&gt;"",UPPER(TRIM(U1615)),IF(CB1615=1,UPPER(VLOOKUP(T1615,Parameter!$I$27:$K$29,2,0)),IF(P1615="","LOSE",P1615)))</f>
        <v>S51</v>
      </c>
      <c r="BZ1615" s="62" t="n">
        <f aca="false">IF(BY1615="LOSE",1,IF(N(V1615)&gt;0,V1615,IF(CB1615=1,MAX(1,N(VLOOKUP(T1615,Parameter!$I$27:$K$29,3,0)),H1615,N(N1615)),IF(N(Q1615)&gt;0,Q1615,MAX(1,H1615)))))</f>
        <v>20</v>
      </c>
      <c r="CA1615" s="65" t="n">
        <f aca="false">IF(BY1615="LOSE",1,0)</f>
        <v>0</v>
      </c>
      <c r="CB1615" s="65" t="n">
        <f aca="false">IF(AND(U1615="",OR(P1615="",P1615="LOSE"),T1615&lt;&gt;"",N(S1615)&lt;=0,ISNUMBER(MATCH(T1615,Parameter!$I$27:$I$29,0))),1,0)</f>
        <v>1</v>
      </c>
      <c r="CC1615" s="65" t="n">
        <f aca="false">IF(CR1615&gt;0,INDEX(Parameter!$H$5:$H$7,W1615)/INDEX(Parameter!$E$5:$E$7,W1615),IF(AND(CA1615=0,N(IFERROR(VLOOKUP(BY1615,'Gebinde-Kategorie'!$A$5:$N$45,14,0),0))&gt;0),VLOOKUP(BY1615,'Gebinde-Kategorie'!$A$5:$N$45,14,0)*10+Parameter!$M$23,Parameter!$M$24))</f>
        <v>155</v>
      </c>
      <c r="CD1615" s="60" t="str">
        <f aca="false">IF(AND(Parameter!$B$19="Ja",E1615&lt;&gt;"",ISNUMBER(MATCH(E1615,Parameter!$I$35:$I$52,0))),VLOOKUP(E1615,Parameter!$I$35:$J$52,2,0),IFERROR(VLOOKUP(D1615,Parameter!$A$35:$C$64,2,0),"Nein"))</f>
        <v>2+3</v>
      </c>
      <c r="CE1615" s="64" t="n">
        <f aca="false">IF(CA1615=0,0,IF(N(S1615)&gt;0,S1615,IFERROR(VLOOKUP(D1615,Parameter!$A$35:$C$64,3,0)+0,0)))</f>
        <v>0</v>
      </c>
      <c r="CF1615" s="60" t="n">
        <f aca="false">IF(AB1615&lt;&gt;"",AB1615,AA1615)</f>
        <v>3</v>
      </c>
      <c r="CG1615" s="60" t="str">
        <f aca="false">IF(OR(CF1615=1,CF1615=2,CF1615=3),IF(Parameter!$E$27="Ja","LIFT",IF(CF1615=1,"L1","L23")),IF(CF1615="Aussen","Aussen","-"))</f>
        <v>LIFT</v>
      </c>
      <c r="CH1615" s="71" t="n">
        <f aca="false">IF(N(AC1615)&gt;0,AC1615,0)</f>
        <v>0</v>
      </c>
      <c r="CI1615" s="65" t="n">
        <f aca="false">IF(ISNUMBER(AF1615),1,0)</f>
        <v>0</v>
      </c>
      <c r="CJ1615" s="62" t="n">
        <f aca="false">N(AF1615)</f>
        <v>0</v>
      </c>
      <c r="CK1615" s="62" t="n">
        <f aca="false">N(M1615)+N(N1615)</f>
        <v>10</v>
      </c>
      <c r="CL1615" s="62" t="n">
        <f aca="false">N(M1615)</f>
        <v>0</v>
      </c>
      <c r="CM1615" s="62" t="n">
        <f aca="false">N(N1615)</f>
        <v>10</v>
      </c>
      <c r="CN1615" s="62" t="n">
        <f aca="false">ROUNDUP(H1615/BZ1615,0)</f>
        <v>1</v>
      </c>
      <c r="CO1615" s="62" t="n">
        <f aca="false">ROUNDUP(CJ1615/BZ1615,0)</f>
        <v>0</v>
      </c>
      <c r="CP1615" s="65" t="n">
        <f aca="false">IF(CA1615=1,0,IFERROR(VLOOKUP(BY1615,'Gebinde-Kategorie'!$A$5:$N$45,5,0)+0,0))</f>
        <v>11</v>
      </c>
      <c r="CQ1615" s="65" t="n">
        <f aca="false">IFERROR(IF(OR(CF1615=1,CF1615=2,CF1615=3),N(INDEX(Parameter!$I$5:$I$7,CF1615)),0),0)</f>
        <v>0</v>
      </c>
      <c r="CR1615" s="64" t="n">
        <f aca="false">IF(AND(Parameter!$B$21="Ja",ISNUMBER(W1615),N(X1615)&gt;0),IFERROR(N(INDEX(Parameter!$L$5:$L$7,W1615))*INDEX(Parameter!$E$5:$E$7,W1615)*X1615/SUMIFS($X$7:$X$1843,$W$7:$W$1843,W1615),0),0)</f>
        <v>0</v>
      </c>
      <c r="CS1615" s="62" t="n">
        <f aca="false">IF(AND(OR(CG1615="L1",CG1615="L23",CG1615="LIFT"),H1615&gt;0),CC1615*IF(CR1615&gt;0,CR1615*MAX(1,H1615/X1615),IF(CA1615=1,CE1615,IF(R1615&gt;0,CN1615/R1615,0))/MAX(0.1,N(Parameter!$M$21))),"")</f>
        <v>5.96153846153846</v>
      </c>
      <c r="CT1615" s="64" t="n">
        <f aca="false">IF(CS1615="","",J1615/H1615)</f>
        <v>0</v>
      </c>
      <c r="CU1615" s="62" t="n">
        <f aca="false">IF(CS1615="","",H1615*G1615)</f>
        <v>71</v>
      </c>
      <c r="CV1615" s="63" t="n">
        <f aca="false">IF(CS1615="","",(CL1615+ROUNDUP(CL1615+MAX(CM1615,2*(J1615/MAX(0.1,N(Einkauf!$C$6))-CL1615)),0))/2)</f>
        <v>5</v>
      </c>
      <c r="CW1615" s="62" t="n">
        <f aca="false">IF(CS1615="","",MAX(0,H1615-CV1615)*G1615)</f>
        <v>0</v>
      </c>
      <c r="CX1615" s="62" t="n">
        <f aca="false">IF(CS1615="","",CS1615*MAX(0,1-CV1615/H1615))</f>
        <v>0</v>
      </c>
      <c r="CY1615" s="64" t="n">
        <f aca="false">IF(CS1615="","",PERCENTRANK($CS$7:$CS$1843,CS1615)+PERCENTRANK($CU$7:$CU$1843,CU1615)+1-PERCENTRANK($CT$7:$CT$1843,CT1615))</f>
        <v>1.541</v>
      </c>
      <c r="CZ1615" s="72" t="n">
        <f aca="false">IF(CS1615="","",CHOOSE(MATCH(Einkauf!$C$5,Parameter!$G$23:$G$27,0),CY1615,CS1615,CU1615,-CT1615,CW1615)+ROW()/1000000000)</f>
        <v>1.541001615</v>
      </c>
    </row>
    <row r="1616" customFormat="false" ht="15" hidden="false" customHeight="false" outlineLevel="0" collapsed="false">
      <c r="A1616" s="60" t="s">
        <v>2857</v>
      </c>
      <c r="B1616" s="60" t="s">
        <v>2858</v>
      </c>
      <c r="C1616" s="60" t="s">
        <v>206</v>
      </c>
      <c r="D1616" s="60" t="s">
        <v>226</v>
      </c>
      <c r="E1616" s="60"/>
      <c r="F1616" s="60"/>
      <c r="G1616" s="61" t="n">
        <v>15</v>
      </c>
      <c r="H1616" s="62" t="n">
        <f aca="false">MAX(0,IF(AND(Parameter!$B$21="Ja",ISNUMBER(Y1616)),Y1616,IF(Parameter!$B$20="Jahresanfang 2025 + Export",BS1616+BR1616,BR1616)))</f>
        <v>100</v>
      </c>
      <c r="I1616" s="62" t="n">
        <f aca="false">H1616*G1616</f>
        <v>1500</v>
      </c>
      <c r="J1616" s="62" t="n">
        <f aca="false">BU1616*Parameter!$B$18</f>
        <v>0</v>
      </c>
      <c r="K1616" s="63"/>
      <c r="L1616" s="64"/>
      <c r="M1616" s="62" t="n">
        <v>0</v>
      </c>
      <c r="N1616" s="62" t="n">
        <v>1</v>
      </c>
      <c r="O1616" s="65" t="n">
        <v>0</v>
      </c>
      <c r="P1616" s="60" t="s">
        <v>210</v>
      </c>
      <c r="Q1616" s="62"/>
      <c r="R1616" s="65" t="n">
        <f aca="false">IF(CA1616=1,0,IFERROR(VLOOKUP(BY1616,'Gebinde-Kategorie'!$A$5:$N$45,13,0)+0,0))</f>
        <v>26</v>
      </c>
      <c r="S1616" s="66"/>
      <c r="T1616" s="67" t="s">
        <v>317</v>
      </c>
      <c r="U1616" s="67"/>
      <c r="V1616" s="67"/>
      <c r="W1616" s="60"/>
      <c r="X1616" s="62"/>
      <c r="Y1616" s="62"/>
      <c r="Z1616" s="60" t="n">
        <v>3</v>
      </c>
      <c r="AA1616" s="60" t="n">
        <f aca="false">IF(A1616="","",IF(AND(Parameter!$B$21="Ja",ISNUMBER(W1616)),W1616,IF(AND(Parameter!$E$27="Ja",ISNUMBER(Z1616),CD1616&lt;&gt;"Nein"),Z1616,IF(CD1616="2+3",IF(ISNUMBER(SEARCH("grosser Artikel",BV1616)),2,IFERROR(VLOOKUP(BY1616,Parameter!$F$35:$G$64,2,0),2)),IF(OR(CD1616="Nein",CD1616=""),"-",CD1616)))))</f>
        <v>3</v>
      </c>
      <c r="AB1616" s="67"/>
      <c r="AC1616" s="68"/>
      <c r="AD1616" s="62" t="n">
        <f aca="false">AW1616</f>
        <v>1</v>
      </c>
      <c r="AE1616" s="62" t="n">
        <f aca="false">MAX(AW1616,H1616)</f>
        <v>100</v>
      </c>
      <c r="AF1616" s="69"/>
      <c r="AG1616" s="62" t="n">
        <f aca="false">IF(LEFT(Cockpit!$C$5,1)="A",H1616,IF(Parameter!$E$30="MAX-Bestand",IF(CI1616=1,CJ1616,IF(LEFT(Cockpit!$C$5,1)="B",AM1616,MAX(AM1616,H1616))),ROUNDUP(AK1616,0)))</f>
        <v>100</v>
      </c>
      <c r="AH1616" s="62" t="n">
        <f aca="false">IF(CA1616=1,0,ROUNDUP(AG1616/BZ1616,0))</f>
        <v>1</v>
      </c>
      <c r="AI1616" s="64" t="n">
        <f aca="false">IF(CR1616&gt;0,CR1616*MAX(1,AG1616/X1616),IF(CA1616=1,IF(AG1616&lt;=0,0,CE1616*MAX(1,IF(H1616&gt;0,AG1616/H1616,1))),IF(R1616&gt;0,AH1616/R1616,0))/MAX(0.1,N(Parameter!$M$21)))</f>
        <v>0.0384615384615385</v>
      </c>
      <c r="AJ1616" s="62" t="n">
        <f aca="false">AI1616*CC1616</f>
        <v>5.96153846153846</v>
      </c>
      <c r="AK1616" s="63" t="n">
        <f aca="false">IF(LEFT(Cockpit!$C$5,1)="A",H1616,IF(CI1616=1,(CL1616+CJ1616)/2,IF(LEFT(Cockpit!$C$5,1)="B",(CL1616+AM1616)/2,MAX((CL1616+AM1616)/2,H1616))))</f>
        <v>100</v>
      </c>
      <c r="AL1616" s="62" t="n">
        <f aca="false">AK1616*G1616</f>
        <v>1500</v>
      </c>
      <c r="AM1616" s="62" t="n">
        <f aca="false">ROUNDUP(CL1616+MAX(CM1616,2*(J1616/IF(CH1616&gt;0,CH1616,MAX(0.1,N(Cockpit!$C$6)))-CL1616)),0)</f>
        <v>1</v>
      </c>
      <c r="AN1616" s="63" t="n">
        <f aca="false">IF(AJ1616&gt;0,J1616/AJ1616,-1)</f>
        <v>0</v>
      </c>
      <c r="AO1616" s="63" t="n">
        <f aca="false">IF(AND(OR(CG1616="L1",CG1616="L23",CG1616="LIFT"),AJ1616&gt;0),SUMIFS($AJ$7:$AJ$1843,$CG$7:$CG$1843,CG1616,$AN$7:$AN$1843,"&gt;"&amp;AN1616)+SUMIFS($AJ$7:$AJ$1843,$CG$7:$CG$1843,CG1616,$AN$7:$AN$1843,AN1616,$BX$7:$BX$1843,"&lt;="&amp;BX1616),"")</f>
        <v>30818.5020876017</v>
      </c>
      <c r="AP1616" s="70" t="n">
        <f aca="false">IF(AO1616="",0,MAX(0,MIN(1,(IF(CG1616="L1",Parameter!$H$5,IF(CG1616="L23",Parameter!$H$6+Parameter!$H$7,Parameter!$H$5+Parameter!$H$6+Parameter!$H$7))-(AO1616-AJ1616))/AJ1616)))</f>
        <v>1</v>
      </c>
      <c r="AQ1616" s="62" t="n">
        <f aca="false">IF(LEFT(Cockpit!$I$5,1)="A",H1616,IF(Parameter!$E$30="MAX-Bestand",IF(CI1616=1,CJ1616,IF(LEFT(Cockpit!$I$5,1)="B",AW1616,MAX(AW1616,H1616))),ROUNDUP(AU1616,0)))</f>
        <v>100</v>
      </c>
      <c r="AR1616" s="62" t="n">
        <f aca="false">IF(CA1616=1,0,ROUNDUP(AQ1616/BZ1616,0))</f>
        <v>1</v>
      </c>
      <c r="AS1616" s="64" t="n">
        <f aca="false">IF(CR1616&gt;0,CR1616*MAX(1,AQ1616/X1616),IF(CA1616=1,IF(AQ1616&lt;=0,0,CE1616*MAX(1,IF(H1616&gt;0,AQ1616/H1616,1))),IF(R1616&gt;0,AR1616/R1616,0))/MAX(0.1,N(Parameter!$M$21)))</f>
        <v>0.0384615384615385</v>
      </c>
      <c r="AT1616" s="62" t="n">
        <f aca="false">AS1616*CC1616</f>
        <v>5.96153846153846</v>
      </c>
      <c r="AU1616" s="63" t="n">
        <f aca="false">IF(LEFT(Cockpit!$I$5,1)="A",H1616,IF(CI1616=1,(CL1616+CJ1616)/2,IF(LEFT(Cockpit!$I$5,1)="B",(CL1616+AW1616)/2,MAX((CL1616+AW1616)/2,H1616))))</f>
        <v>100</v>
      </c>
      <c r="AV1616" s="62" t="n">
        <f aca="false">AU1616*G1616</f>
        <v>1500</v>
      </c>
      <c r="AW1616" s="62" t="n">
        <f aca="false">ROUNDUP(CL1616+MAX(CM1616,2*(J1616/IF(CH1616&gt;0,CH1616,MAX(0.1,N(Cockpit!$I$6)))-CL1616)),0)</f>
        <v>1</v>
      </c>
      <c r="AX1616" s="63" t="n">
        <f aca="false">IF(AT1616&gt;0,J1616/AT1616,-1)</f>
        <v>0</v>
      </c>
      <c r="AY1616" s="63" t="n">
        <f aca="false">IF(AND(OR(CG1616="L1",CG1616="L23",CG1616="LIFT"),AT1616&gt;0),SUMIFS($AT$7:$AT$1843,$CG$7:$CG$1843,CG1616,$AX$7:$AX$1843,"&gt;"&amp;AX1616)+SUMIFS($AT$7:$AT$1843,$CG$7:$CG$1843,CG1616,$AX$7:$AX$1843,AX1616,$BX$7:$BX$1843,"&lt;="&amp;BX1616),"")</f>
        <v>37138.358604437</v>
      </c>
      <c r="AZ1616" s="70" t="n">
        <f aca="false">IF(AY1616="",0,MAX(0,MIN(1,(IF(CG1616="L1",Parameter!$H$5,IF(CG1616="L23",Parameter!$H$6+Parameter!$H$7,Parameter!$H$5+Parameter!$H$6+Parameter!$H$7))-(AY1616-AT1616))/AT1616)))</f>
        <v>0</v>
      </c>
      <c r="BA1616" s="62" t="n">
        <f aca="false">IF(LEFT(Cockpit!$O$5,1)="A",H1616,IF(Parameter!$E$30="MAX-Bestand",IF(CI1616=1,CJ1616,IF(LEFT(Cockpit!$O$5,1)="B",BG1616,MAX(BG1616,H1616))),ROUNDUP(BE1616,0)))</f>
        <v>1</v>
      </c>
      <c r="BB1616" s="62" t="n">
        <f aca="false">IF(CA1616=1,0,ROUNDUP(BA1616/BZ1616,0))</f>
        <v>1</v>
      </c>
      <c r="BC1616" s="64" t="n">
        <f aca="false">IF(CR1616&gt;0,CR1616*MAX(1,BA1616/X1616),IF(CA1616=1,IF(BA1616&lt;=0,0,CE1616*MAX(1,IF(H1616&gt;0,BA1616/H1616,1))),IF(R1616&gt;0,BB1616/R1616,0))/MAX(0.1,N(Parameter!$M$21)))</f>
        <v>0.0384615384615385</v>
      </c>
      <c r="BD1616" s="62" t="n">
        <f aca="false">BC1616*CC1616</f>
        <v>5.96153846153846</v>
      </c>
      <c r="BE1616" s="63" t="n">
        <f aca="false">IF(LEFT(Cockpit!$O$5,1)="A",H1616,IF(CI1616=1,(CL1616+CJ1616)/2,IF(LEFT(Cockpit!$O$5,1)="B",(CL1616+BG1616)/2,MAX((CL1616+BG1616)/2,H1616))))</f>
        <v>0.5</v>
      </c>
      <c r="BF1616" s="62" t="n">
        <f aca="false">BE1616*G1616</f>
        <v>7.5</v>
      </c>
      <c r="BG1616" s="62" t="n">
        <f aca="false">ROUNDUP(CL1616+MAX(CM1616,2*(J1616/IF(CH1616&gt;0,CH1616,MAX(0.1,N(Cockpit!$O$6)))-CL1616)),0)</f>
        <v>1</v>
      </c>
      <c r="BH1616" s="63" t="n">
        <f aca="false">IF(BD1616&gt;0,J1616/BD1616,-1)</f>
        <v>0</v>
      </c>
      <c r="BI1616" s="63" t="n">
        <f aca="false">IF(AND(OR(CG1616="L1",CG1616="L23",CG1616="LIFT"),BD1616&gt;0),SUMIFS($BD$7:$BD$1843,$CG$7:$CG$1843,CG1616,$BH$7:$BH$1843,"&gt;"&amp;BH1616)+SUMIFS($BD$7:$BD$1843,$CG$7:$CG$1843,CG1616,$BH$7:$BH$1843,BH1616,$BX$7:$BX$1843,"&lt;="&amp;BX1616),"")</f>
        <v>31047.7998799694</v>
      </c>
      <c r="BJ1616" s="70" t="n">
        <f aca="false">IF(BI1616="",0,MAX(0,MIN(1,(IF(CG1616="L1",Parameter!$H$5,IF(CG1616="L23",Parameter!$H$6+Parameter!$H$7,Parameter!$H$5+Parameter!$H$6+Parameter!$H$7))-(BI1616-BD1616))/BD1616)))</f>
        <v>1</v>
      </c>
      <c r="BK1616" s="60" t="str">
        <f aca="false">IF(AJ1616&lt;=0,"",IF(CG1616="Aussen","Aussenlager",IF(CG1616="-","Nicht im Lift",IF(AP1616&gt;=1,"Lift",IF(AP1616&lt;=0,"Aussenlager","teilweise")))))</f>
        <v>Lift</v>
      </c>
      <c r="BL1616" s="60" t="str">
        <f aca="false">IF(AT1616&lt;=0,"",IF(CG1616="Aussen","Aussenlager",IF(CG1616="-","Nicht im Lift",IF(AZ1616&gt;=1,"Lift",IF(AZ1616&lt;=0,"Aussenlager","teilweise")))))</f>
        <v>Aussenlager</v>
      </c>
      <c r="BM1616" s="60" t="str">
        <f aca="false">IF(BD1616&lt;=0,"",IF(CG1616="Aussen","Aussenlager",IF(CG1616="-","Nicht im Lift",IF(BJ1616&gt;=1,"Lift",IF(BJ1616&lt;=0,"Aussenlager","teilweise")))))</f>
        <v>Lift</v>
      </c>
      <c r="BN1616" s="60" t="str">
        <f aca="false">IF(A1616="","",IF(BW1616=1,"Neu; ","")&amp;IF(AND(BW1616=0,BR1616&lt;0),"negativer Bestand (Export "&amp;BR1616&amp;"); ","")&amp;IF(J1616&lt;=0,"Kein Verbrauch; ","")&amp;IF(CR1616&gt;0,"Lift "&amp;W1616&amp;" lt. Liftbericht (Fach "&amp;X1616&amp;" Stk); ",IF(CB1616=1,"Gebinde geschätzt ("&amp;T1616&amp;"); ",IF(CA1616=1,"Lose – Tablare geschätzt; ","")))&amp;IF(H1616&gt;AW1616,"Überbestand "&amp;ROUND(H1616-AW1616,0)&amp;" Stk / CHF "&amp;ROUND((H1616-AW1616)*G1616,0)&amp;"; ","")&amp;IF(AND(CI1616=1,CJ1616&lt;CK1616),"MAX &lt; MB+LG; ","")&amp;IF(AND(CQ1616&gt;0,CP1616*10&gt;CQ1616),"zu hoch für Tablar; ","")&amp;IF(AND(BW1616=0,OR(CI1616=1,AB1616&lt;&gt;"",U1616&lt;&gt;"",V1616&lt;&gt;"",AC1616&lt;&gt;"")),"manuell übersteuert; ","")&amp;IF(AND(CA1616=0,R1616=0),"Gebinde unbekannt / Stellmass fehlt; ","")&amp;IF(AND(CA1616=0,N(V1616)&lt;=0,N(Q1616)&lt;=0),"Menge pro Gebinde fehlt (Ist = 1 Gebinde); ","")&amp;BV1616)</f>
        <v>Kein Verbrauch; Gebinde geschätzt (Klein); Überbestand 99 Stk / CHF 1485; Menge pro Gebinde fehlt (Ist = 1 Gebinde); nur im Artikelstamm (Bestand 23.06.2026)</v>
      </c>
      <c r="BO1616" s="60"/>
      <c r="BP1616" s="60"/>
      <c r="BQ1616" s="67"/>
      <c r="BR1616" s="62" t="n">
        <v>100</v>
      </c>
      <c r="BS1616" s="62" t="n">
        <v>0</v>
      </c>
      <c r="BT1616" s="61" t="n">
        <v>0</v>
      </c>
      <c r="BU1616" s="62" t="n">
        <v>0</v>
      </c>
      <c r="BV1616" s="60" t="s">
        <v>2617</v>
      </c>
      <c r="BW1616" s="65" t="n">
        <v>0</v>
      </c>
      <c r="BX1616" s="65" t="n">
        <v>1616</v>
      </c>
      <c r="BY1616" s="60" t="str">
        <f aca="false">IF(U1616&lt;&gt;"",UPPER(TRIM(U1616)),IF(CB1616=1,UPPER(VLOOKUP(T1616,Parameter!$I$27:$K$29,2,0)),IF(P1616="","LOSE",P1616)))</f>
        <v>S51</v>
      </c>
      <c r="BZ1616" s="62" t="n">
        <f aca="false">IF(BY1616="LOSE",1,IF(N(V1616)&gt;0,V1616,IF(CB1616=1,MAX(1,N(VLOOKUP(T1616,Parameter!$I$27:$K$29,3,0)),H1616,N(N1616)),IF(N(Q1616)&gt;0,Q1616,MAX(1,H1616)))))</f>
        <v>100</v>
      </c>
      <c r="CA1616" s="65" t="n">
        <f aca="false">IF(BY1616="LOSE",1,0)</f>
        <v>0</v>
      </c>
      <c r="CB1616" s="65" t="n">
        <f aca="false">IF(AND(U1616="",OR(P1616="",P1616="LOSE"),T1616&lt;&gt;"",N(S1616)&lt;=0,ISNUMBER(MATCH(T1616,Parameter!$I$27:$I$29,0))),1,0)</f>
        <v>1</v>
      </c>
      <c r="CC1616" s="65" t="n">
        <f aca="false">IF(CR1616&gt;0,INDEX(Parameter!$H$5:$H$7,W1616)/INDEX(Parameter!$E$5:$E$7,W1616),IF(AND(CA1616=0,N(IFERROR(VLOOKUP(BY1616,'Gebinde-Kategorie'!$A$5:$N$45,14,0),0))&gt;0),VLOOKUP(BY1616,'Gebinde-Kategorie'!$A$5:$N$45,14,0)*10+Parameter!$M$23,Parameter!$M$24))</f>
        <v>155</v>
      </c>
      <c r="CD1616" s="60" t="str">
        <f aca="false">IF(AND(Parameter!$B$19="Ja",E1616&lt;&gt;"",ISNUMBER(MATCH(E1616,Parameter!$I$35:$I$52,0))),VLOOKUP(E1616,Parameter!$I$35:$J$52,2,0),IFERROR(VLOOKUP(D1616,Parameter!$A$35:$C$64,2,0),"Nein"))</f>
        <v>2+3</v>
      </c>
      <c r="CE1616" s="64" t="n">
        <f aca="false">IF(CA1616=0,0,IF(N(S1616)&gt;0,S1616,IFERROR(VLOOKUP(D1616,Parameter!$A$35:$C$64,3,0)+0,0)))</f>
        <v>0</v>
      </c>
      <c r="CF1616" s="60" t="n">
        <f aca="false">IF(AB1616&lt;&gt;"",AB1616,AA1616)</f>
        <v>3</v>
      </c>
      <c r="CG1616" s="60" t="str">
        <f aca="false">IF(OR(CF1616=1,CF1616=2,CF1616=3),IF(Parameter!$E$27="Ja","LIFT",IF(CF1616=1,"L1","L23")),IF(CF1616="Aussen","Aussen","-"))</f>
        <v>LIFT</v>
      </c>
      <c r="CH1616" s="71" t="n">
        <f aca="false">IF(N(AC1616)&gt;0,AC1616,0)</f>
        <v>0</v>
      </c>
      <c r="CI1616" s="65" t="n">
        <f aca="false">IF(ISNUMBER(AF1616),1,0)</f>
        <v>0</v>
      </c>
      <c r="CJ1616" s="62" t="n">
        <f aca="false">N(AF1616)</f>
        <v>0</v>
      </c>
      <c r="CK1616" s="62" t="n">
        <f aca="false">N(M1616)+N(N1616)</f>
        <v>1</v>
      </c>
      <c r="CL1616" s="62" t="n">
        <f aca="false">N(M1616)</f>
        <v>0</v>
      </c>
      <c r="CM1616" s="62" t="n">
        <f aca="false">N(N1616)</f>
        <v>1</v>
      </c>
      <c r="CN1616" s="62" t="n">
        <f aca="false">ROUNDUP(H1616/BZ1616,0)</f>
        <v>1</v>
      </c>
      <c r="CO1616" s="62" t="n">
        <f aca="false">ROUNDUP(CJ1616/BZ1616,0)</f>
        <v>0</v>
      </c>
      <c r="CP1616" s="65" t="n">
        <f aca="false">IF(CA1616=1,0,IFERROR(VLOOKUP(BY1616,'Gebinde-Kategorie'!$A$5:$N$45,5,0)+0,0))</f>
        <v>11</v>
      </c>
      <c r="CQ1616" s="65" t="n">
        <f aca="false">IFERROR(IF(OR(CF1616=1,CF1616=2,CF1616=3),N(INDEX(Parameter!$I$5:$I$7,CF1616)),0),0)</f>
        <v>0</v>
      </c>
      <c r="CR1616" s="64" t="n">
        <f aca="false">IF(AND(Parameter!$B$21="Ja",ISNUMBER(W1616),N(X1616)&gt;0),IFERROR(N(INDEX(Parameter!$L$5:$L$7,W1616))*INDEX(Parameter!$E$5:$E$7,W1616)*X1616/SUMIFS($X$7:$X$1843,$W$7:$W$1843,W1616),0),0)</f>
        <v>0</v>
      </c>
      <c r="CS1616" s="62" t="n">
        <f aca="false">IF(AND(OR(CG1616="L1",CG1616="L23",CG1616="LIFT"),H1616&gt;0),CC1616*IF(CR1616&gt;0,CR1616*MAX(1,H1616/X1616),IF(CA1616=1,CE1616,IF(R1616&gt;0,CN1616/R1616,0))/MAX(0.1,N(Parameter!$M$21))),"")</f>
        <v>5.96153846153846</v>
      </c>
      <c r="CT1616" s="64" t="n">
        <f aca="false">IF(CS1616="","",J1616/H1616)</f>
        <v>0</v>
      </c>
      <c r="CU1616" s="62" t="n">
        <f aca="false">IF(CS1616="","",H1616*G1616)</f>
        <v>1500</v>
      </c>
      <c r="CV1616" s="63" t="n">
        <f aca="false">IF(CS1616="","",(CL1616+ROUNDUP(CL1616+MAX(CM1616,2*(J1616/MAX(0.1,N(Einkauf!$C$6))-CL1616)),0))/2)</f>
        <v>0.5</v>
      </c>
      <c r="CW1616" s="62" t="n">
        <f aca="false">IF(CS1616="","",MAX(0,H1616-CV1616)*G1616)</f>
        <v>1492.5</v>
      </c>
      <c r="CX1616" s="62" t="n">
        <f aca="false">IF(CS1616="","",CS1616*MAX(0,1-CV1616/H1616))</f>
        <v>5.93173076923077</v>
      </c>
      <c r="CY1616" s="64" t="n">
        <f aca="false">IF(CS1616="","",PERCENTRANK($CS$7:$CS$1843,CS1616)+PERCENTRANK($CU$7:$CU$1843,CU1616)+1-PERCENTRANK($CT$7:$CT$1843,CT1616))</f>
        <v>2.076</v>
      </c>
      <c r="CZ1616" s="72" t="n">
        <f aca="false">IF(CS1616="","",CHOOSE(MATCH(Einkauf!$C$5,Parameter!$G$23:$G$27,0),CY1616,CS1616,CU1616,-CT1616,CW1616)+ROW()/1000000000)</f>
        <v>2.076001616</v>
      </c>
    </row>
    <row r="1617" customFormat="false" ht="15" hidden="false" customHeight="false" outlineLevel="0" collapsed="false">
      <c r="A1617" s="60" t="s">
        <v>2859</v>
      </c>
      <c r="B1617" s="60" t="s">
        <v>2860</v>
      </c>
      <c r="C1617" s="60" t="s">
        <v>206</v>
      </c>
      <c r="D1617" s="60" t="s">
        <v>226</v>
      </c>
      <c r="E1617" s="60"/>
      <c r="F1617" s="60"/>
      <c r="G1617" s="61" t="n">
        <v>28.4</v>
      </c>
      <c r="H1617" s="62" t="n">
        <f aca="false">MAX(0,IF(AND(Parameter!$B$21="Ja",ISNUMBER(Y1617)),Y1617,IF(Parameter!$B$20="Jahresanfang 2025 + Export",BS1617+BR1617,BR1617)))</f>
        <v>1</v>
      </c>
      <c r="I1617" s="62" t="n">
        <f aca="false">H1617*G1617</f>
        <v>28.4</v>
      </c>
      <c r="J1617" s="62" t="n">
        <f aca="false">BU1617*Parameter!$B$18</f>
        <v>0</v>
      </c>
      <c r="K1617" s="63"/>
      <c r="L1617" s="64"/>
      <c r="M1617" s="62" t="n">
        <v>0</v>
      </c>
      <c r="N1617" s="62" t="n">
        <v>5</v>
      </c>
      <c r="O1617" s="65" t="n">
        <v>14</v>
      </c>
      <c r="P1617" s="60" t="s">
        <v>210</v>
      </c>
      <c r="Q1617" s="62"/>
      <c r="R1617" s="65" t="n">
        <f aca="false">IF(CA1617=1,0,IFERROR(VLOOKUP(BY1617,'Gebinde-Kategorie'!$A$5:$N$45,13,0)+0,0))</f>
        <v>26</v>
      </c>
      <c r="S1617" s="66"/>
      <c r="T1617" s="67" t="s">
        <v>317</v>
      </c>
      <c r="U1617" s="67"/>
      <c r="V1617" s="67"/>
      <c r="W1617" s="60"/>
      <c r="X1617" s="62"/>
      <c r="Y1617" s="62"/>
      <c r="Z1617" s="60" t="n">
        <v>3</v>
      </c>
      <c r="AA1617" s="60" t="n">
        <f aca="false">IF(A1617="","",IF(AND(Parameter!$B$21="Ja",ISNUMBER(W1617)),W1617,IF(AND(Parameter!$E$27="Ja",ISNUMBER(Z1617),CD1617&lt;&gt;"Nein"),Z1617,IF(CD1617="2+3",IF(ISNUMBER(SEARCH("grosser Artikel",BV1617)),2,IFERROR(VLOOKUP(BY1617,Parameter!$F$35:$G$64,2,0),2)),IF(OR(CD1617="Nein",CD1617=""),"-",CD1617)))))</f>
        <v>3</v>
      </c>
      <c r="AB1617" s="67"/>
      <c r="AC1617" s="68"/>
      <c r="AD1617" s="62" t="n">
        <f aca="false">AW1617</f>
        <v>5</v>
      </c>
      <c r="AE1617" s="62" t="n">
        <f aca="false">MAX(AW1617,H1617)</f>
        <v>5</v>
      </c>
      <c r="AF1617" s="69"/>
      <c r="AG1617" s="62" t="n">
        <f aca="false">IF(LEFT(Cockpit!$C$5,1)="A",H1617,IF(Parameter!$E$30="MAX-Bestand",IF(CI1617=1,CJ1617,IF(LEFT(Cockpit!$C$5,1)="B",AM1617,MAX(AM1617,H1617))),ROUNDUP(AK1617,0)))</f>
        <v>1</v>
      </c>
      <c r="AH1617" s="62" t="n">
        <f aca="false">IF(CA1617=1,0,ROUNDUP(AG1617/BZ1617,0))</f>
        <v>1</v>
      </c>
      <c r="AI1617" s="64" t="n">
        <f aca="false">IF(CR1617&gt;0,CR1617*MAX(1,AG1617/X1617),IF(CA1617=1,IF(AG1617&lt;=0,0,CE1617*MAX(1,IF(H1617&gt;0,AG1617/H1617,1))),IF(R1617&gt;0,AH1617/R1617,0))/MAX(0.1,N(Parameter!$M$21)))</f>
        <v>0.0384615384615385</v>
      </c>
      <c r="AJ1617" s="62" t="n">
        <f aca="false">AI1617*CC1617</f>
        <v>5.96153846153846</v>
      </c>
      <c r="AK1617" s="63" t="n">
        <f aca="false">IF(LEFT(Cockpit!$C$5,1)="A",H1617,IF(CI1617=1,(CL1617+CJ1617)/2,IF(LEFT(Cockpit!$C$5,1)="B",(CL1617+AM1617)/2,MAX((CL1617+AM1617)/2,H1617))))</f>
        <v>1</v>
      </c>
      <c r="AL1617" s="62" t="n">
        <f aca="false">AK1617*G1617</f>
        <v>28.4</v>
      </c>
      <c r="AM1617" s="62" t="n">
        <f aca="false">ROUNDUP(CL1617+MAX(CM1617,2*(J1617/IF(CH1617&gt;0,CH1617,MAX(0.1,N(Cockpit!$C$6)))-CL1617)),0)</f>
        <v>5</v>
      </c>
      <c r="AN1617" s="63" t="n">
        <f aca="false">IF(AJ1617&gt;0,J1617/AJ1617,-1)</f>
        <v>0</v>
      </c>
      <c r="AO1617" s="63" t="n">
        <f aca="false">IF(AND(OR(CG1617="L1",CG1617="L23",CG1617="LIFT"),AJ1617&gt;0),SUMIFS($AJ$7:$AJ$1843,$CG$7:$CG$1843,CG1617,$AN$7:$AN$1843,"&gt;"&amp;AN1617)+SUMIFS($AJ$7:$AJ$1843,$CG$7:$CG$1843,CG1617,$AN$7:$AN$1843,AN1617,$BX$7:$BX$1843,"&lt;="&amp;BX1617),"")</f>
        <v>30824.4636260632</v>
      </c>
      <c r="AP1617" s="70" t="n">
        <f aca="false">IF(AO1617="",0,MAX(0,MIN(1,(IF(CG1617="L1",Parameter!$H$5,IF(CG1617="L23",Parameter!$H$6+Parameter!$H$7,Parameter!$H$5+Parameter!$H$6+Parameter!$H$7))-(AO1617-AJ1617))/AJ1617)))</f>
        <v>1</v>
      </c>
      <c r="AQ1617" s="62" t="n">
        <f aca="false">IF(LEFT(Cockpit!$I$5,1)="A",H1617,IF(Parameter!$E$30="MAX-Bestand",IF(CI1617=1,CJ1617,IF(LEFT(Cockpit!$I$5,1)="B",AW1617,MAX(AW1617,H1617))),ROUNDUP(AU1617,0)))</f>
        <v>3</v>
      </c>
      <c r="AR1617" s="62" t="n">
        <f aca="false">IF(CA1617=1,0,ROUNDUP(AQ1617/BZ1617,0))</f>
        <v>1</v>
      </c>
      <c r="AS1617" s="64" t="n">
        <f aca="false">IF(CR1617&gt;0,CR1617*MAX(1,AQ1617/X1617),IF(CA1617=1,IF(AQ1617&lt;=0,0,CE1617*MAX(1,IF(H1617&gt;0,AQ1617/H1617,1))),IF(R1617&gt;0,AR1617/R1617,0))/MAX(0.1,N(Parameter!$M$21)))</f>
        <v>0.0384615384615385</v>
      </c>
      <c r="AT1617" s="62" t="n">
        <f aca="false">AS1617*CC1617</f>
        <v>5.96153846153846</v>
      </c>
      <c r="AU1617" s="63" t="n">
        <f aca="false">IF(LEFT(Cockpit!$I$5,1)="A",H1617,IF(CI1617=1,(CL1617+CJ1617)/2,IF(LEFT(Cockpit!$I$5,1)="B",(CL1617+AW1617)/2,MAX((CL1617+AW1617)/2,H1617))))</f>
        <v>2.5</v>
      </c>
      <c r="AV1617" s="62" t="n">
        <f aca="false">AU1617*G1617</f>
        <v>71</v>
      </c>
      <c r="AW1617" s="62" t="n">
        <f aca="false">ROUNDUP(CL1617+MAX(CM1617,2*(J1617/IF(CH1617&gt;0,CH1617,MAX(0.1,N(Cockpit!$I$6)))-CL1617)),0)</f>
        <v>5</v>
      </c>
      <c r="AX1617" s="63" t="n">
        <f aca="false">IF(AT1617&gt;0,J1617/AT1617,-1)</f>
        <v>0</v>
      </c>
      <c r="AY1617" s="63" t="n">
        <f aca="false">IF(AND(OR(CG1617="L1",CG1617="L23",CG1617="LIFT"),AT1617&gt;0),SUMIFS($AT$7:$AT$1843,$CG$7:$CG$1843,CG1617,$AX$7:$AX$1843,"&gt;"&amp;AX1617)+SUMIFS($AT$7:$AT$1843,$CG$7:$CG$1843,CG1617,$AX$7:$AX$1843,AX1617,$BX$7:$BX$1843,"&lt;="&amp;BX1617),"")</f>
        <v>37144.3201428985</v>
      </c>
      <c r="AZ1617" s="70" t="n">
        <f aca="false">IF(AY1617="",0,MAX(0,MIN(1,(IF(CG1617="L1",Parameter!$H$5,IF(CG1617="L23",Parameter!$H$6+Parameter!$H$7,Parameter!$H$5+Parameter!$H$6+Parameter!$H$7))-(AY1617-AT1617))/AT1617)))</f>
        <v>0</v>
      </c>
      <c r="BA1617" s="62" t="n">
        <f aca="false">IF(LEFT(Cockpit!$O$5,1)="A",H1617,IF(Parameter!$E$30="MAX-Bestand",IF(CI1617=1,CJ1617,IF(LEFT(Cockpit!$O$5,1)="B",BG1617,MAX(BG1617,H1617))),ROUNDUP(BE1617,0)))</f>
        <v>3</v>
      </c>
      <c r="BB1617" s="62" t="n">
        <f aca="false">IF(CA1617=1,0,ROUNDUP(BA1617/BZ1617,0))</f>
        <v>1</v>
      </c>
      <c r="BC1617" s="64" t="n">
        <f aca="false">IF(CR1617&gt;0,CR1617*MAX(1,BA1617/X1617),IF(CA1617=1,IF(BA1617&lt;=0,0,CE1617*MAX(1,IF(H1617&gt;0,BA1617/H1617,1))),IF(R1617&gt;0,BB1617/R1617,0))/MAX(0.1,N(Parameter!$M$21)))</f>
        <v>0.0384615384615385</v>
      </c>
      <c r="BD1617" s="62" t="n">
        <f aca="false">BC1617*CC1617</f>
        <v>5.96153846153846</v>
      </c>
      <c r="BE1617" s="63" t="n">
        <f aca="false">IF(LEFT(Cockpit!$O$5,1)="A",H1617,IF(CI1617=1,(CL1617+CJ1617)/2,IF(LEFT(Cockpit!$O$5,1)="B",(CL1617+BG1617)/2,MAX((CL1617+BG1617)/2,H1617))))</f>
        <v>2.5</v>
      </c>
      <c r="BF1617" s="62" t="n">
        <f aca="false">BE1617*G1617</f>
        <v>71</v>
      </c>
      <c r="BG1617" s="62" t="n">
        <f aca="false">ROUNDUP(CL1617+MAX(CM1617,2*(J1617/IF(CH1617&gt;0,CH1617,MAX(0.1,N(Cockpit!$O$6)))-CL1617)),0)</f>
        <v>5</v>
      </c>
      <c r="BH1617" s="63" t="n">
        <f aca="false">IF(BD1617&gt;0,J1617/BD1617,-1)</f>
        <v>0</v>
      </c>
      <c r="BI1617" s="63" t="n">
        <f aca="false">IF(AND(OR(CG1617="L1",CG1617="L23",CG1617="LIFT"),BD1617&gt;0),SUMIFS($BD$7:$BD$1843,$CG$7:$CG$1843,CG1617,$BH$7:$BH$1843,"&gt;"&amp;BH1617)+SUMIFS($BD$7:$BD$1843,$CG$7:$CG$1843,CG1617,$BH$7:$BH$1843,BH1617,$BX$7:$BX$1843,"&lt;="&amp;BX1617),"")</f>
        <v>31053.7614184309</v>
      </c>
      <c r="BJ1617" s="70" t="n">
        <f aca="false">IF(BI1617="",0,MAX(0,MIN(1,(IF(CG1617="L1",Parameter!$H$5,IF(CG1617="L23",Parameter!$H$6+Parameter!$H$7,Parameter!$H$5+Parameter!$H$6+Parameter!$H$7))-(BI1617-BD1617))/BD1617)))</f>
        <v>1</v>
      </c>
      <c r="BK1617" s="60" t="str">
        <f aca="false">IF(AJ1617&lt;=0,"",IF(CG1617="Aussen","Aussenlager",IF(CG1617="-","Nicht im Lift",IF(AP1617&gt;=1,"Lift",IF(AP1617&lt;=0,"Aussenlager","teilweise")))))</f>
        <v>Lift</v>
      </c>
      <c r="BL1617" s="60" t="str">
        <f aca="false">IF(AT1617&lt;=0,"",IF(CG1617="Aussen","Aussenlager",IF(CG1617="-","Nicht im Lift",IF(AZ1617&gt;=1,"Lift",IF(AZ1617&lt;=0,"Aussenlager","teilweise")))))</f>
        <v>Aussenlager</v>
      </c>
      <c r="BM1617" s="60" t="str">
        <f aca="false">IF(BD1617&lt;=0,"",IF(CG1617="Aussen","Aussenlager",IF(CG1617="-","Nicht im Lift",IF(BJ1617&gt;=1,"Lift",IF(BJ1617&lt;=0,"Aussenlager","teilweise")))))</f>
        <v>Lift</v>
      </c>
      <c r="BN1617" s="60" t="str">
        <f aca="false">IF(A1617="","",IF(BW1617=1,"Neu; ","")&amp;IF(AND(BW1617=0,BR1617&lt;0),"negativer Bestand (Export "&amp;BR1617&amp;"); ","")&amp;IF(J1617&lt;=0,"Kein Verbrauch; ","")&amp;IF(CR1617&gt;0,"Lift "&amp;W1617&amp;" lt. Liftbericht (Fach "&amp;X1617&amp;" Stk); ",IF(CB1617=1,"Gebinde geschätzt ("&amp;T1617&amp;"); ",IF(CA1617=1,"Lose – Tablare geschätzt; ","")))&amp;IF(H1617&gt;AW1617,"Überbestand "&amp;ROUND(H1617-AW1617,0)&amp;" Stk / CHF "&amp;ROUND((H1617-AW1617)*G1617,0)&amp;"; ","")&amp;IF(AND(CI1617=1,CJ1617&lt;CK1617),"MAX &lt; MB+LG; ","")&amp;IF(AND(CQ1617&gt;0,CP1617*10&gt;CQ1617),"zu hoch für Tablar; ","")&amp;IF(AND(BW1617=0,OR(CI1617=1,AB1617&lt;&gt;"",U1617&lt;&gt;"",V1617&lt;&gt;"",AC1617&lt;&gt;"")),"manuell übersteuert; ","")&amp;IF(AND(CA1617=0,R1617=0),"Gebinde unbekannt / Stellmass fehlt; ","")&amp;IF(AND(CA1617=0,N(V1617)&lt;=0,N(Q1617)&lt;=0),"Menge pro Gebinde fehlt (Ist = 1 Gebinde); ","")&amp;BV1617)</f>
        <v>Kein Verbrauch; Gebinde geschätzt (Klein); Menge pro Gebinde fehlt (Ist = 1 Gebinde); nur im Artikelstamm (Bestand 23.06.2026)</v>
      </c>
      <c r="BO1617" s="60"/>
      <c r="BP1617" s="60"/>
      <c r="BQ1617" s="67"/>
      <c r="BR1617" s="62" t="n">
        <v>1</v>
      </c>
      <c r="BS1617" s="62" t="n">
        <v>0</v>
      </c>
      <c r="BT1617" s="61" t="n">
        <v>0</v>
      </c>
      <c r="BU1617" s="62" t="n">
        <v>0</v>
      </c>
      <c r="BV1617" s="60" t="s">
        <v>2617</v>
      </c>
      <c r="BW1617" s="65" t="n">
        <v>0</v>
      </c>
      <c r="BX1617" s="65" t="n">
        <v>1617</v>
      </c>
      <c r="BY1617" s="60" t="str">
        <f aca="false">IF(U1617&lt;&gt;"",UPPER(TRIM(U1617)),IF(CB1617=1,UPPER(VLOOKUP(T1617,Parameter!$I$27:$K$29,2,0)),IF(P1617="","LOSE",P1617)))</f>
        <v>S51</v>
      </c>
      <c r="BZ1617" s="62" t="n">
        <f aca="false">IF(BY1617="LOSE",1,IF(N(V1617)&gt;0,V1617,IF(CB1617=1,MAX(1,N(VLOOKUP(T1617,Parameter!$I$27:$K$29,3,0)),H1617,N(N1617)),IF(N(Q1617)&gt;0,Q1617,MAX(1,H1617)))))</f>
        <v>20</v>
      </c>
      <c r="CA1617" s="65" t="n">
        <f aca="false">IF(BY1617="LOSE",1,0)</f>
        <v>0</v>
      </c>
      <c r="CB1617" s="65" t="n">
        <f aca="false">IF(AND(U1617="",OR(P1617="",P1617="LOSE"),T1617&lt;&gt;"",N(S1617)&lt;=0,ISNUMBER(MATCH(T1617,Parameter!$I$27:$I$29,0))),1,0)</f>
        <v>1</v>
      </c>
      <c r="CC1617" s="65" t="n">
        <f aca="false">IF(CR1617&gt;0,INDEX(Parameter!$H$5:$H$7,W1617)/INDEX(Parameter!$E$5:$E$7,W1617),IF(AND(CA1617=0,N(IFERROR(VLOOKUP(BY1617,'Gebinde-Kategorie'!$A$5:$N$45,14,0),0))&gt;0),VLOOKUP(BY1617,'Gebinde-Kategorie'!$A$5:$N$45,14,0)*10+Parameter!$M$23,Parameter!$M$24))</f>
        <v>155</v>
      </c>
      <c r="CD1617" s="60" t="str">
        <f aca="false">IF(AND(Parameter!$B$19="Ja",E1617&lt;&gt;"",ISNUMBER(MATCH(E1617,Parameter!$I$35:$I$52,0))),VLOOKUP(E1617,Parameter!$I$35:$J$52,2,0),IFERROR(VLOOKUP(D1617,Parameter!$A$35:$C$64,2,0),"Nein"))</f>
        <v>2+3</v>
      </c>
      <c r="CE1617" s="64" t="n">
        <f aca="false">IF(CA1617=0,0,IF(N(S1617)&gt;0,S1617,IFERROR(VLOOKUP(D1617,Parameter!$A$35:$C$64,3,0)+0,0)))</f>
        <v>0</v>
      </c>
      <c r="CF1617" s="60" t="n">
        <f aca="false">IF(AB1617&lt;&gt;"",AB1617,AA1617)</f>
        <v>3</v>
      </c>
      <c r="CG1617" s="60" t="str">
        <f aca="false">IF(OR(CF1617=1,CF1617=2,CF1617=3),IF(Parameter!$E$27="Ja","LIFT",IF(CF1617=1,"L1","L23")),IF(CF1617="Aussen","Aussen","-"))</f>
        <v>LIFT</v>
      </c>
      <c r="CH1617" s="71" t="n">
        <f aca="false">IF(N(AC1617)&gt;0,AC1617,0)</f>
        <v>0</v>
      </c>
      <c r="CI1617" s="65" t="n">
        <f aca="false">IF(ISNUMBER(AF1617),1,0)</f>
        <v>0</v>
      </c>
      <c r="CJ1617" s="62" t="n">
        <f aca="false">N(AF1617)</f>
        <v>0</v>
      </c>
      <c r="CK1617" s="62" t="n">
        <f aca="false">N(M1617)+N(N1617)</f>
        <v>5</v>
      </c>
      <c r="CL1617" s="62" t="n">
        <f aca="false">N(M1617)</f>
        <v>0</v>
      </c>
      <c r="CM1617" s="62" t="n">
        <f aca="false">N(N1617)</f>
        <v>5</v>
      </c>
      <c r="CN1617" s="62" t="n">
        <f aca="false">ROUNDUP(H1617/BZ1617,0)</f>
        <v>1</v>
      </c>
      <c r="CO1617" s="62" t="n">
        <f aca="false">ROUNDUP(CJ1617/BZ1617,0)</f>
        <v>0</v>
      </c>
      <c r="CP1617" s="65" t="n">
        <f aca="false">IF(CA1617=1,0,IFERROR(VLOOKUP(BY1617,'Gebinde-Kategorie'!$A$5:$N$45,5,0)+0,0))</f>
        <v>11</v>
      </c>
      <c r="CQ1617" s="65" t="n">
        <f aca="false">IFERROR(IF(OR(CF1617=1,CF1617=2,CF1617=3),N(INDEX(Parameter!$I$5:$I$7,CF1617)),0),0)</f>
        <v>0</v>
      </c>
      <c r="CR1617" s="64" t="n">
        <f aca="false">IF(AND(Parameter!$B$21="Ja",ISNUMBER(W1617),N(X1617)&gt;0),IFERROR(N(INDEX(Parameter!$L$5:$L$7,W1617))*INDEX(Parameter!$E$5:$E$7,W1617)*X1617/SUMIFS($X$7:$X$1843,$W$7:$W$1843,W1617),0),0)</f>
        <v>0</v>
      </c>
      <c r="CS1617" s="62" t="n">
        <f aca="false">IF(AND(OR(CG1617="L1",CG1617="L23",CG1617="LIFT"),H1617&gt;0),CC1617*IF(CR1617&gt;0,CR1617*MAX(1,H1617/X1617),IF(CA1617=1,CE1617,IF(R1617&gt;0,CN1617/R1617,0))/MAX(0.1,N(Parameter!$M$21))),"")</f>
        <v>5.96153846153846</v>
      </c>
      <c r="CT1617" s="64" t="n">
        <f aca="false">IF(CS1617="","",J1617/H1617)</f>
        <v>0</v>
      </c>
      <c r="CU1617" s="62" t="n">
        <f aca="false">IF(CS1617="","",H1617*G1617)</f>
        <v>28.4</v>
      </c>
      <c r="CV1617" s="63" t="n">
        <f aca="false">IF(CS1617="","",(CL1617+ROUNDUP(CL1617+MAX(CM1617,2*(J1617/MAX(0.1,N(Einkauf!$C$6))-CL1617)),0))/2)</f>
        <v>2.5</v>
      </c>
      <c r="CW1617" s="62" t="n">
        <f aca="false">IF(CS1617="","",MAX(0,H1617-CV1617)*G1617)</f>
        <v>0</v>
      </c>
      <c r="CX1617" s="62" t="n">
        <f aca="false">IF(CS1617="","",CS1617*MAX(0,1-CV1617/H1617))</f>
        <v>0</v>
      </c>
      <c r="CY1617" s="64" t="n">
        <f aca="false">IF(CS1617="","",PERCENTRANK($CS$7:$CS$1843,CS1617)+PERCENTRANK($CU$7:$CU$1843,CU1617)+1-PERCENTRANK($CT$7:$CT$1843,CT1617))</f>
        <v>1.465</v>
      </c>
      <c r="CZ1617" s="72" t="n">
        <f aca="false">IF(CS1617="","",CHOOSE(MATCH(Einkauf!$C$5,Parameter!$G$23:$G$27,0),CY1617,CS1617,CU1617,-CT1617,CW1617)+ROW()/1000000000)</f>
        <v>1.465001617</v>
      </c>
    </row>
    <row r="1618" customFormat="false" ht="15" hidden="false" customHeight="false" outlineLevel="0" collapsed="false">
      <c r="A1618" s="60" t="s">
        <v>2861</v>
      </c>
      <c r="B1618" s="60" t="s">
        <v>2858</v>
      </c>
      <c r="C1618" s="60" t="s">
        <v>206</v>
      </c>
      <c r="D1618" s="60" t="s">
        <v>226</v>
      </c>
      <c r="E1618" s="60"/>
      <c r="F1618" s="60"/>
      <c r="G1618" s="61" t="n">
        <v>15</v>
      </c>
      <c r="H1618" s="62" t="n">
        <f aca="false">MAX(0,IF(AND(Parameter!$B$21="Ja",ISNUMBER(Y1618)),Y1618,IF(Parameter!$B$20="Jahresanfang 2025 + Export",BS1618+BR1618,BR1618)))</f>
        <v>32</v>
      </c>
      <c r="I1618" s="62" t="n">
        <f aca="false">H1618*G1618</f>
        <v>480</v>
      </c>
      <c r="J1618" s="62" t="n">
        <f aca="false">BU1618*Parameter!$B$18</f>
        <v>0</v>
      </c>
      <c r="K1618" s="63"/>
      <c r="L1618" s="64"/>
      <c r="M1618" s="62" t="n">
        <v>0</v>
      </c>
      <c r="N1618" s="62" t="n">
        <v>1</v>
      </c>
      <c r="O1618" s="65" t="n">
        <v>0</v>
      </c>
      <c r="P1618" s="60" t="s">
        <v>210</v>
      </c>
      <c r="Q1618" s="62"/>
      <c r="R1618" s="65" t="n">
        <f aca="false">IF(CA1618=1,0,IFERROR(VLOOKUP(BY1618,'Gebinde-Kategorie'!$A$5:$N$45,13,0)+0,0))</f>
        <v>26</v>
      </c>
      <c r="S1618" s="66"/>
      <c r="T1618" s="67" t="s">
        <v>317</v>
      </c>
      <c r="U1618" s="67"/>
      <c r="V1618" s="67"/>
      <c r="W1618" s="60"/>
      <c r="X1618" s="62"/>
      <c r="Y1618" s="62"/>
      <c r="Z1618" s="60" t="n">
        <v>3</v>
      </c>
      <c r="AA1618" s="60" t="n">
        <f aca="false">IF(A1618="","",IF(AND(Parameter!$B$21="Ja",ISNUMBER(W1618)),W1618,IF(AND(Parameter!$E$27="Ja",ISNUMBER(Z1618),CD1618&lt;&gt;"Nein"),Z1618,IF(CD1618="2+3",IF(ISNUMBER(SEARCH("grosser Artikel",BV1618)),2,IFERROR(VLOOKUP(BY1618,Parameter!$F$35:$G$64,2,0),2)),IF(OR(CD1618="Nein",CD1618=""),"-",CD1618)))))</f>
        <v>3</v>
      </c>
      <c r="AB1618" s="67"/>
      <c r="AC1618" s="68"/>
      <c r="AD1618" s="62" t="n">
        <f aca="false">AW1618</f>
        <v>1</v>
      </c>
      <c r="AE1618" s="62" t="n">
        <f aca="false">MAX(AW1618,H1618)</f>
        <v>32</v>
      </c>
      <c r="AF1618" s="69"/>
      <c r="AG1618" s="62" t="n">
        <f aca="false">IF(LEFT(Cockpit!$C$5,1)="A",H1618,IF(Parameter!$E$30="MAX-Bestand",IF(CI1618=1,CJ1618,IF(LEFT(Cockpit!$C$5,1)="B",AM1618,MAX(AM1618,H1618))),ROUNDUP(AK1618,0)))</f>
        <v>32</v>
      </c>
      <c r="AH1618" s="62" t="n">
        <f aca="false">IF(CA1618=1,0,ROUNDUP(AG1618/BZ1618,0))</f>
        <v>1</v>
      </c>
      <c r="AI1618" s="64" t="n">
        <f aca="false">IF(CR1618&gt;0,CR1618*MAX(1,AG1618/X1618),IF(CA1618=1,IF(AG1618&lt;=0,0,CE1618*MAX(1,IF(H1618&gt;0,AG1618/H1618,1))),IF(R1618&gt;0,AH1618/R1618,0))/MAX(0.1,N(Parameter!$M$21)))</f>
        <v>0.0384615384615385</v>
      </c>
      <c r="AJ1618" s="62" t="n">
        <f aca="false">AI1618*CC1618</f>
        <v>5.96153846153846</v>
      </c>
      <c r="AK1618" s="63" t="n">
        <f aca="false">IF(LEFT(Cockpit!$C$5,1)="A",H1618,IF(CI1618=1,(CL1618+CJ1618)/2,IF(LEFT(Cockpit!$C$5,1)="B",(CL1618+AM1618)/2,MAX((CL1618+AM1618)/2,H1618))))</f>
        <v>32</v>
      </c>
      <c r="AL1618" s="62" t="n">
        <f aca="false">AK1618*G1618</f>
        <v>480</v>
      </c>
      <c r="AM1618" s="62" t="n">
        <f aca="false">ROUNDUP(CL1618+MAX(CM1618,2*(J1618/IF(CH1618&gt;0,CH1618,MAX(0.1,N(Cockpit!$C$6)))-CL1618)),0)</f>
        <v>1</v>
      </c>
      <c r="AN1618" s="63" t="n">
        <f aca="false">IF(AJ1618&gt;0,J1618/AJ1618,-1)</f>
        <v>0</v>
      </c>
      <c r="AO1618" s="63" t="n">
        <f aca="false">IF(AND(OR(CG1618="L1",CG1618="L23",CG1618="LIFT"),AJ1618&gt;0),SUMIFS($AJ$7:$AJ$1843,$CG$7:$CG$1843,CG1618,$AN$7:$AN$1843,"&gt;"&amp;AN1618)+SUMIFS($AJ$7:$AJ$1843,$CG$7:$CG$1843,CG1618,$AN$7:$AN$1843,AN1618,$BX$7:$BX$1843,"&lt;="&amp;BX1618),"")</f>
        <v>30830.4251645247</v>
      </c>
      <c r="AP1618" s="70" t="n">
        <f aca="false">IF(AO1618="",0,MAX(0,MIN(1,(IF(CG1618="L1",Parameter!$H$5,IF(CG1618="L23",Parameter!$H$6+Parameter!$H$7,Parameter!$H$5+Parameter!$H$6+Parameter!$H$7))-(AO1618-AJ1618))/AJ1618)))</f>
        <v>1</v>
      </c>
      <c r="AQ1618" s="62" t="n">
        <f aca="false">IF(LEFT(Cockpit!$I$5,1)="A",H1618,IF(Parameter!$E$30="MAX-Bestand",IF(CI1618=1,CJ1618,IF(LEFT(Cockpit!$I$5,1)="B",AW1618,MAX(AW1618,H1618))),ROUNDUP(AU1618,0)))</f>
        <v>32</v>
      </c>
      <c r="AR1618" s="62" t="n">
        <f aca="false">IF(CA1618=1,0,ROUNDUP(AQ1618/BZ1618,0))</f>
        <v>1</v>
      </c>
      <c r="AS1618" s="64" t="n">
        <f aca="false">IF(CR1618&gt;0,CR1618*MAX(1,AQ1618/X1618),IF(CA1618=1,IF(AQ1618&lt;=0,0,CE1618*MAX(1,IF(H1618&gt;0,AQ1618/H1618,1))),IF(R1618&gt;0,AR1618/R1618,0))/MAX(0.1,N(Parameter!$M$21)))</f>
        <v>0.0384615384615385</v>
      </c>
      <c r="AT1618" s="62" t="n">
        <f aca="false">AS1618*CC1618</f>
        <v>5.96153846153846</v>
      </c>
      <c r="AU1618" s="63" t="n">
        <f aca="false">IF(LEFT(Cockpit!$I$5,1)="A",H1618,IF(CI1618=1,(CL1618+CJ1618)/2,IF(LEFT(Cockpit!$I$5,1)="B",(CL1618+AW1618)/2,MAX((CL1618+AW1618)/2,H1618))))</f>
        <v>32</v>
      </c>
      <c r="AV1618" s="62" t="n">
        <f aca="false">AU1618*G1618</f>
        <v>480</v>
      </c>
      <c r="AW1618" s="62" t="n">
        <f aca="false">ROUNDUP(CL1618+MAX(CM1618,2*(J1618/IF(CH1618&gt;0,CH1618,MAX(0.1,N(Cockpit!$I$6)))-CL1618)),0)</f>
        <v>1</v>
      </c>
      <c r="AX1618" s="63" t="n">
        <f aca="false">IF(AT1618&gt;0,J1618/AT1618,-1)</f>
        <v>0</v>
      </c>
      <c r="AY1618" s="63" t="n">
        <f aca="false">IF(AND(OR(CG1618="L1",CG1618="L23",CG1618="LIFT"),AT1618&gt;0),SUMIFS($AT$7:$AT$1843,$CG$7:$CG$1843,CG1618,$AX$7:$AX$1843,"&gt;"&amp;AX1618)+SUMIFS($AT$7:$AT$1843,$CG$7:$CG$1843,CG1618,$AX$7:$AX$1843,AX1618,$BX$7:$BX$1843,"&lt;="&amp;BX1618),"")</f>
        <v>37150.2816813601</v>
      </c>
      <c r="AZ1618" s="70" t="n">
        <f aca="false">IF(AY1618="",0,MAX(0,MIN(1,(IF(CG1618="L1",Parameter!$H$5,IF(CG1618="L23",Parameter!$H$6+Parameter!$H$7,Parameter!$H$5+Parameter!$H$6+Parameter!$H$7))-(AY1618-AT1618))/AT1618)))</f>
        <v>0</v>
      </c>
      <c r="BA1618" s="62" t="n">
        <f aca="false">IF(LEFT(Cockpit!$O$5,1)="A",H1618,IF(Parameter!$E$30="MAX-Bestand",IF(CI1618=1,CJ1618,IF(LEFT(Cockpit!$O$5,1)="B",BG1618,MAX(BG1618,H1618))),ROUNDUP(BE1618,0)))</f>
        <v>1</v>
      </c>
      <c r="BB1618" s="62" t="n">
        <f aca="false">IF(CA1618=1,0,ROUNDUP(BA1618/BZ1618,0))</f>
        <v>1</v>
      </c>
      <c r="BC1618" s="64" t="n">
        <f aca="false">IF(CR1618&gt;0,CR1618*MAX(1,BA1618/X1618),IF(CA1618=1,IF(BA1618&lt;=0,0,CE1618*MAX(1,IF(H1618&gt;0,BA1618/H1618,1))),IF(R1618&gt;0,BB1618/R1618,0))/MAX(0.1,N(Parameter!$M$21)))</f>
        <v>0.0384615384615385</v>
      </c>
      <c r="BD1618" s="62" t="n">
        <f aca="false">BC1618*CC1618</f>
        <v>5.96153846153846</v>
      </c>
      <c r="BE1618" s="63" t="n">
        <f aca="false">IF(LEFT(Cockpit!$O$5,1)="A",H1618,IF(CI1618=1,(CL1618+CJ1618)/2,IF(LEFT(Cockpit!$O$5,1)="B",(CL1618+BG1618)/2,MAX((CL1618+BG1618)/2,H1618))))</f>
        <v>0.5</v>
      </c>
      <c r="BF1618" s="62" t="n">
        <f aca="false">BE1618*G1618</f>
        <v>7.5</v>
      </c>
      <c r="BG1618" s="62" t="n">
        <f aca="false">ROUNDUP(CL1618+MAX(CM1618,2*(J1618/IF(CH1618&gt;0,CH1618,MAX(0.1,N(Cockpit!$O$6)))-CL1618)),0)</f>
        <v>1</v>
      </c>
      <c r="BH1618" s="63" t="n">
        <f aca="false">IF(BD1618&gt;0,J1618/BD1618,-1)</f>
        <v>0</v>
      </c>
      <c r="BI1618" s="63" t="n">
        <f aca="false">IF(AND(OR(CG1618="L1",CG1618="L23",CG1618="LIFT"),BD1618&gt;0),SUMIFS($BD$7:$BD$1843,$CG$7:$CG$1843,CG1618,$BH$7:$BH$1843,"&gt;"&amp;BH1618)+SUMIFS($BD$7:$BD$1843,$CG$7:$CG$1843,CG1618,$BH$7:$BH$1843,BH1618,$BX$7:$BX$1843,"&lt;="&amp;BX1618),"")</f>
        <v>31059.7229568925</v>
      </c>
      <c r="BJ1618" s="70" t="n">
        <f aca="false">IF(BI1618="",0,MAX(0,MIN(1,(IF(CG1618="L1",Parameter!$H$5,IF(CG1618="L23",Parameter!$H$6+Parameter!$H$7,Parameter!$H$5+Parameter!$H$6+Parameter!$H$7))-(BI1618-BD1618))/BD1618)))</f>
        <v>1</v>
      </c>
      <c r="BK1618" s="60" t="str">
        <f aca="false">IF(AJ1618&lt;=0,"",IF(CG1618="Aussen","Aussenlager",IF(CG1618="-","Nicht im Lift",IF(AP1618&gt;=1,"Lift",IF(AP1618&lt;=0,"Aussenlager","teilweise")))))</f>
        <v>Lift</v>
      </c>
      <c r="BL1618" s="60" t="str">
        <f aca="false">IF(AT1618&lt;=0,"",IF(CG1618="Aussen","Aussenlager",IF(CG1618="-","Nicht im Lift",IF(AZ1618&gt;=1,"Lift",IF(AZ1618&lt;=0,"Aussenlager","teilweise")))))</f>
        <v>Aussenlager</v>
      </c>
      <c r="BM1618" s="60" t="str">
        <f aca="false">IF(BD1618&lt;=0,"",IF(CG1618="Aussen","Aussenlager",IF(CG1618="-","Nicht im Lift",IF(BJ1618&gt;=1,"Lift",IF(BJ1618&lt;=0,"Aussenlager","teilweise")))))</f>
        <v>Lift</v>
      </c>
      <c r="BN1618" s="60" t="str">
        <f aca="false">IF(A1618="","",IF(BW1618=1,"Neu; ","")&amp;IF(AND(BW1618=0,BR1618&lt;0),"negativer Bestand (Export "&amp;BR1618&amp;"); ","")&amp;IF(J1618&lt;=0,"Kein Verbrauch; ","")&amp;IF(CR1618&gt;0,"Lift "&amp;W1618&amp;" lt. Liftbericht (Fach "&amp;X1618&amp;" Stk); ",IF(CB1618=1,"Gebinde geschätzt ("&amp;T1618&amp;"); ",IF(CA1618=1,"Lose – Tablare geschätzt; ","")))&amp;IF(H1618&gt;AW1618,"Überbestand "&amp;ROUND(H1618-AW1618,0)&amp;" Stk / CHF "&amp;ROUND((H1618-AW1618)*G1618,0)&amp;"; ","")&amp;IF(AND(CI1618=1,CJ1618&lt;CK1618),"MAX &lt; MB+LG; ","")&amp;IF(AND(CQ1618&gt;0,CP1618*10&gt;CQ1618),"zu hoch für Tablar; ","")&amp;IF(AND(BW1618=0,OR(CI1618=1,AB1618&lt;&gt;"",U1618&lt;&gt;"",V1618&lt;&gt;"",AC1618&lt;&gt;"")),"manuell übersteuert; ","")&amp;IF(AND(CA1618=0,R1618=0),"Gebinde unbekannt / Stellmass fehlt; ","")&amp;IF(AND(CA1618=0,N(V1618)&lt;=0,N(Q1618)&lt;=0),"Menge pro Gebinde fehlt (Ist = 1 Gebinde); ","")&amp;BV1618)</f>
        <v>Kein Verbrauch; Gebinde geschätzt (Klein); Überbestand 31 Stk / CHF 465; Menge pro Gebinde fehlt (Ist = 1 Gebinde); nur im Artikelstamm (Bestand 23.06.2026)</v>
      </c>
      <c r="BO1618" s="60"/>
      <c r="BP1618" s="60"/>
      <c r="BQ1618" s="67"/>
      <c r="BR1618" s="62" t="n">
        <v>32</v>
      </c>
      <c r="BS1618" s="62" t="n">
        <v>0</v>
      </c>
      <c r="BT1618" s="61" t="n">
        <v>0</v>
      </c>
      <c r="BU1618" s="62" t="n">
        <v>0</v>
      </c>
      <c r="BV1618" s="60" t="s">
        <v>2617</v>
      </c>
      <c r="BW1618" s="65" t="n">
        <v>0</v>
      </c>
      <c r="BX1618" s="65" t="n">
        <v>1618</v>
      </c>
      <c r="BY1618" s="60" t="str">
        <f aca="false">IF(U1618&lt;&gt;"",UPPER(TRIM(U1618)),IF(CB1618=1,UPPER(VLOOKUP(T1618,Parameter!$I$27:$K$29,2,0)),IF(P1618="","LOSE",P1618)))</f>
        <v>S51</v>
      </c>
      <c r="BZ1618" s="62" t="n">
        <f aca="false">IF(BY1618="LOSE",1,IF(N(V1618)&gt;0,V1618,IF(CB1618=1,MAX(1,N(VLOOKUP(T1618,Parameter!$I$27:$K$29,3,0)),H1618,N(N1618)),IF(N(Q1618)&gt;0,Q1618,MAX(1,H1618)))))</f>
        <v>32</v>
      </c>
      <c r="CA1618" s="65" t="n">
        <f aca="false">IF(BY1618="LOSE",1,0)</f>
        <v>0</v>
      </c>
      <c r="CB1618" s="65" t="n">
        <f aca="false">IF(AND(U1618="",OR(P1618="",P1618="LOSE"),T1618&lt;&gt;"",N(S1618)&lt;=0,ISNUMBER(MATCH(T1618,Parameter!$I$27:$I$29,0))),1,0)</f>
        <v>1</v>
      </c>
      <c r="CC1618" s="65" t="n">
        <f aca="false">IF(CR1618&gt;0,INDEX(Parameter!$H$5:$H$7,W1618)/INDEX(Parameter!$E$5:$E$7,W1618),IF(AND(CA1618=0,N(IFERROR(VLOOKUP(BY1618,'Gebinde-Kategorie'!$A$5:$N$45,14,0),0))&gt;0),VLOOKUP(BY1618,'Gebinde-Kategorie'!$A$5:$N$45,14,0)*10+Parameter!$M$23,Parameter!$M$24))</f>
        <v>155</v>
      </c>
      <c r="CD1618" s="60" t="str">
        <f aca="false">IF(AND(Parameter!$B$19="Ja",E1618&lt;&gt;"",ISNUMBER(MATCH(E1618,Parameter!$I$35:$I$52,0))),VLOOKUP(E1618,Parameter!$I$35:$J$52,2,0),IFERROR(VLOOKUP(D1618,Parameter!$A$35:$C$64,2,0),"Nein"))</f>
        <v>2+3</v>
      </c>
      <c r="CE1618" s="64" t="n">
        <f aca="false">IF(CA1618=0,0,IF(N(S1618)&gt;0,S1618,IFERROR(VLOOKUP(D1618,Parameter!$A$35:$C$64,3,0)+0,0)))</f>
        <v>0</v>
      </c>
      <c r="CF1618" s="60" t="n">
        <f aca="false">IF(AB1618&lt;&gt;"",AB1618,AA1618)</f>
        <v>3</v>
      </c>
      <c r="CG1618" s="60" t="str">
        <f aca="false">IF(OR(CF1618=1,CF1618=2,CF1618=3),IF(Parameter!$E$27="Ja","LIFT",IF(CF1618=1,"L1","L23")),IF(CF1618="Aussen","Aussen","-"))</f>
        <v>LIFT</v>
      </c>
      <c r="CH1618" s="71" t="n">
        <f aca="false">IF(N(AC1618)&gt;0,AC1618,0)</f>
        <v>0</v>
      </c>
      <c r="CI1618" s="65" t="n">
        <f aca="false">IF(ISNUMBER(AF1618),1,0)</f>
        <v>0</v>
      </c>
      <c r="CJ1618" s="62" t="n">
        <f aca="false">N(AF1618)</f>
        <v>0</v>
      </c>
      <c r="CK1618" s="62" t="n">
        <f aca="false">N(M1618)+N(N1618)</f>
        <v>1</v>
      </c>
      <c r="CL1618" s="62" t="n">
        <f aca="false">N(M1618)</f>
        <v>0</v>
      </c>
      <c r="CM1618" s="62" t="n">
        <f aca="false">N(N1618)</f>
        <v>1</v>
      </c>
      <c r="CN1618" s="62" t="n">
        <f aca="false">ROUNDUP(H1618/BZ1618,0)</f>
        <v>1</v>
      </c>
      <c r="CO1618" s="62" t="n">
        <f aca="false">ROUNDUP(CJ1618/BZ1618,0)</f>
        <v>0</v>
      </c>
      <c r="CP1618" s="65" t="n">
        <f aca="false">IF(CA1618=1,0,IFERROR(VLOOKUP(BY1618,'Gebinde-Kategorie'!$A$5:$N$45,5,0)+0,0))</f>
        <v>11</v>
      </c>
      <c r="CQ1618" s="65" t="n">
        <f aca="false">IFERROR(IF(OR(CF1618=1,CF1618=2,CF1618=3),N(INDEX(Parameter!$I$5:$I$7,CF1618)),0),0)</f>
        <v>0</v>
      </c>
      <c r="CR1618" s="64" t="n">
        <f aca="false">IF(AND(Parameter!$B$21="Ja",ISNUMBER(W1618),N(X1618)&gt;0),IFERROR(N(INDEX(Parameter!$L$5:$L$7,W1618))*INDEX(Parameter!$E$5:$E$7,W1618)*X1618/SUMIFS($X$7:$X$1843,$W$7:$W$1843,W1618),0),0)</f>
        <v>0</v>
      </c>
      <c r="CS1618" s="62" t="n">
        <f aca="false">IF(AND(OR(CG1618="L1",CG1618="L23",CG1618="LIFT"),H1618&gt;0),CC1618*IF(CR1618&gt;0,CR1618*MAX(1,H1618/X1618),IF(CA1618=1,CE1618,IF(R1618&gt;0,CN1618/R1618,0))/MAX(0.1,N(Parameter!$M$21))),"")</f>
        <v>5.96153846153846</v>
      </c>
      <c r="CT1618" s="64" t="n">
        <f aca="false">IF(CS1618="","",J1618/H1618)</f>
        <v>0</v>
      </c>
      <c r="CU1618" s="62" t="n">
        <f aca="false">IF(CS1618="","",H1618*G1618)</f>
        <v>480</v>
      </c>
      <c r="CV1618" s="63" t="n">
        <f aca="false">IF(CS1618="","",(CL1618+ROUNDUP(CL1618+MAX(CM1618,2*(J1618/MAX(0.1,N(Einkauf!$C$6))-CL1618)),0))/2)</f>
        <v>0.5</v>
      </c>
      <c r="CW1618" s="62" t="n">
        <f aca="false">IF(CS1618="","",MAX(0,H1618-CV1618)*G1618)</f>
        <v>472.5</v>
      </c>
      <c r="CX1618" s="62" t="n">
        <f aca="false">IF(CS1618="","",CS1618*MAX(0,1-CV1618/H1618))</f>
        <v>5.86838942307692</v>
      </c>
      <c r="CY1618" s="64" t="n">
        <f aca="false">IF(CS1618="","",PERCENTRANK($CS$7:$CS$1843,CS1618)+PERCENTRANK($CU$7:$CU$1843,CU1618)+1-PERCENTRANK($CT$7:$CT$1843,CT1618))</f>
        <v>1.863</v>
      </c>
      <c r="CZ1618" s="72" t="n">
        <f aca="false">IF(CS1618="","",CHOOSE(MATCH(Einkauf!$C$5,Parameter!$G$23:$G$27,0),CY1618,CS1618,CU1618,-CT1618,CW1618)+ROW()/1000000000)</f>
        <v>1.863001618</v>
      </c>
    </row>
    <row r="1619" customFormat="false" ht="15" hidden="false" customHeight="false" outlineLevel="0" collapsed="false">
      <c r="A1619" s="60" t="s">
        <v>2862</v>
      </c>
      <c r="B1619" s="60" t="s">
        <v>2858</v>
      </c>
      <c r="C1619" s="60" t="s">
        <v>206</v>
      </c>
      <c r="D1619" s="60" t="s">
        <v>226</v>
      </c>
      <c r="E1619" s="60"/>
      <c r="F1619" s="60"/>
      <c r="G1619" s="61" t="n">
        <v>15</v>
      </c>
      <c r="H1619" s="62" t="n">
        <f aca="false">MAX(0,IF(AND(Parameter!$B$21="Ja",ISNUMBER(Y1619)),Y1619,IF(Parameter!$B$20="Jahresanfang 2025 + Export",BS1619+BR1619,BR1619)))</f>
        <v>231</v>
      </c>
      <c r="I1619" s="62" t="n">
        <f aca="false">H1619*G1619</f>
        <v>3465</v>
      </c>
      <c r="J1619" s="62" t="n">
        <f aca="false">BU1619*Parameter!$B$18</f>
        <v>0</v>
      </c>
      <c r="K1619" s="63"/>
      <c r="L1619" s="64"/>
      <c r="M1619" s="62" t="n">
        <v>0</v>
      </c>
      <c r="N1619" s="62" t="n">
        <v>1</v>
      </c>
      <c r="O1619" s="65" t="n">
        <v>0</v>
      </c>
      <c r="P1619" s="60" t="s">
        <v>210</v>
      </c>
      <c r="Q1619" s="62"/>
      <c r="R1619" s="65" t="n">
        <f aca="false">IF(CA1619=1,0,IFERROR(VLOOKUP(BY1619,'Gebinde-Kategorie'!$A$5:$N$45,13,0)+0,0))</f>
        <v>26</v>
      </c>
      <c r="S1619" s="66"/>
      <c r="T1619" s="67" t="s">
        <v>317</v>
      </c>
      <c r="U1619" s="67"/>
      <c r="V1619" s="67"/>
      <c r="W1619" s="60"/>
      <c r="X1619" s="62"/>
      <c r="Y1619" s="62"/>
      <c r="Z1619" s="60" t="n">
        <v>3</v>
      </c>
      <c r="AA1619" s="60" t="n">
        <f aca="false">IF(A1619="","",IF(AND(Parameter!$B$21="Ja",ISNUMBER(W1619)),W1619,IF(AND(Parameter!$E$27="Ja",ISNUMBER(Z1619),CD1619&lt;&gt;"Nein"),Z1619,IF(CD1619="2+3",IF(ISNUMBER(SEARCH("grosser Artikel",BV1619)),2,IFERROR(VLOOKUP(BY1619,Parameter!$F$35:$G$64,2,0),2)),IF(OR(CD1619="Nein",CD1619=""),"-",CD1619)))))</f>
        <v>3</v>
      </c>
      <c r="AB1619" s="67"/>
      <c r="AC1619" s="68"/>
      <c r="AD1619" s="62" t="n">
        <f aca="false">AW1619</f>
        <v>1</v>
      </c>
      <c r="AE1619" s="62" t="n">
        <f aca="false">MAX(AW1619,H1619)</f>
        <v>231</v>
      </c>
      <c r="AF1619" s="69"/>
      <c r="AG1619" s="62" t="n">
        <f aca="false">IF(LEFT(Cockpit!$C$5,1)="A",H1619,IF(Parameter!$E$30="MAX-Bestand",IF(CI1619=1,CJ1619,IF(LEFT(Cockpit!$C$5,1)="B",AM1619,MAX(AM1619,H1619))),ROUNDUP(AK1619,0)))</f>
        <v>231</v>
      </c>
      <c r="AH1619" s="62" t="n">
        <f aca="false">IF(CA1619=1,0,ROUNDUP(AG1619/BZ1619,0))</f>
        <v>1</v>
      </c>
      <c r="AI1619" s="64" t="n">
        <f aca="false">IF(CR1619&gt;0,CR1619*MAX(1,AG1619/X1619),IF(CA1619=1,IF(AG1619&lt;=0,0,CE1619*MAX(1,IF(H1619&gt;0,AG1619/H1619,1))),IF(R1619&gt;0,AH1619/R1619,0))/MAX(0.1,N(Parameter!$M$21)))</f>
        <v>0.0384615384615385</v>
      </c>
      <c r="AJ1619" s="62" t="n">
        <f aca="false">AI1619*CC1619</f>
        <v>5.96153846153846</v>
      </c>
      <c r="AK1619" s="63" t="n">
        <f aca="false">IF(LEFT(Cockpit!$C$5,1)="A",H1619,IF(CI1619=1,(CL1619+CJ1619)/2,IF(LEFT(Cockpit!$C$5,1)="B",(CL1619+AM1619)/2,MAX((CL1619+AM1619)/2,H1619))))</f>
        <v>231</v>
      </c>
      <c r="AL1619" s="62" t="n">
        <f aca="false">AK1619*G1619</f>
        <v>3465</v>
      </c>
      <c r="AM1619" s="62" t="n">
        <f aca="false">ROUNDUP(CL1619+MAX(CM1619,2*(J1619/IF(CH1619&gt;0,CH1619,MAX(0.1,N(Cockpit!$C$6)))-CL1619)),0)</f>
        <v>1</v>
      </c>
      <c r="AN1619" s="63" t="n">
        <f aca="false">IF(AJ1619&gt;0,J1619/AJ1619,-1)</f>
        <v>0</v>
      </c>
      <c r="AO1619" s="63" t="n">
        <f aca="false">IF(AND(OR(CG1619="L1",CG1619="L23",CG1619="LIFT"),AJ1619&gt;0),SUMIFS($AJ$7:$AJ$1843,$CG$7:$CG$1843,CG1619,$AN$7:$AN$1843,"&gt;"&amp;AN1619)+SUMIFS($AJ$7:$AJ$1843,$CG$7:$CG$1843,CG1619,$AN$7:$AN$1843,AN1619,$BX$7:$BX$1843,"&lt;="&amp;BX1619),"")</f>
        <v>30836.3867029863</v>
      </c>
      <c r="AP1619" s="70" t="n">
        <f aca="false">IF(AO1619="",0,MAX(0,MIN(1,(IF(CG1619="L1",Parameter!$H$5,IF(CG1619="L23",Parameter!$H$6+Parameter!$H$7,Parameter!$H$5+Parameter!$H$6+Parameter!$H$7))-(AO1619-AJ1619))/AJ1619)))</f>
        <v>1</v>
      </c>
      <c r="AQ1619" s="62" t="n">
        <f aca="false">IF(LEFT(Cockpit!$I$5,1)="A",H1619,IF(Parameter!$E$30="MAX-Bestand",IF(CI1619=1,CJ1619,IF(LEFT(Cockpit!$I$5,1)="B",AW1619,MAX(AW1619,H1619))),ROUNDUP(AU1619,0)))</f>
        <v>231</v>
      </c>
      <c r="AR1619" s="62" t="n">
        <f aca="false">IF(CA1619=1,0,ROUNDUP(AQ1619/BZ1619,0))</f>
        <v>1</v>
      </c>
      <c r="AS1619" s="64" t="n">
        <f aca="false">IF(CR1619&gt;0,CR1619*MAX(1,AQ1619/X1619),IF(CA1619=1,IF(AQ1619&lt;=0,0,CE1619*MAX(1,IF(H1619&gt;0,AQ1619/H1619,1))),IF(R1619&gt;0,AR1619/R1619,0))/MAX(0.1,N(Parameter!$M$21)))</f>
        <v>0.0384615384615385</v>
      </c>
      <c r="AT1619" s="62" t="n">
        <f aca="false">AS1619*CC1619</f>
        <v>5.96153846153846</v>
      </c>
      <c r="AU1619" s="63" t="n">
        <f aca="false">IF(LEFT(Cockpit!$I$5,1)="A",H1619,IF(CI1619=1,(CL1619+CJ1619)/2,IF(LEFT(Cockpit!$I$5,1)="B",(CL1619+AW1619)/2,MAX((CL1619+AW1619)/2,H1619))))</f>
        <v>231</v>
      </c>
      <c r="AV1619" s="62" t="n">
        <f aca="false">AU1619*G1619</f>
        <v>3465</v>
      </c>
      <c r="AW1619" s="62" t="n">
        <f aca="false">ROUNDUP(CL1619+MAX(CM1619,2*(J1619/IF(CH1619&gt;0,CH1619,MAX(0.1,N(Cockpit!$I$6)))-CL1619)),0)</f>
        <v>1</v>
      </c>
      <c r="AX1619" s="63" t="n">
        <f aca="false">IF(AT1619&gt;0,J1619/AT1619,-1)</f>
        <v>0</v>
      </c>
      <c r="AY1619" s="63" t="n">
        <f aca="false">IF(AND(OR(CG1619="L1",CG1619="L23",CG1619="LIFT"),AT1619&gt;0),SUMIFS($AT$7:$AT$1843,$CG$7:$CG$1843,CG1619,$AX$7:$AX$1843,"&gt;"&amp;AX1619)+SUMIFS($AT$7:$AT$1843,$CG$7:$CG$1843,CG1619,$AX$7:$AX$1843,AX1619,$BX$7:$BX$1843,"&lt;="&amp;BX1619),"")</f>
        <v>37156.2432198216</v>
      </c>
      <c r="AZ1619" s="70" t="n">
        <f aca="false">IF(AY1619="",0,MAX(0,MIN(1,(IF(CG1619="L1",Parameter!$H$5,IF(CG1619="L23",Parameter!$H$6+Parameter!$H$7,Parameter!$H$5+Parameter!$H$6+Parameter!$H$7))-(AY1619-AT1619))/AT1619)))</f>
        <v>0</v>
      </c>
      <c r="BA1619" s="62" t="n">
        <f aca="false">IF(LEFT(Cockpit!$O$5,1)="A",H1619,IF(Parameter!$E$30="MAX-Bestand",IF(CI1619=1,CJ1619,IF(LEFT(Cockpit!$O$5,1)="B",BG1619,MAX(BG1619,H1619))),ROUNDUP(BE1619,0)))</f>
        <v>1</v>
      </c>
      <c r="BB1619" s="62" t="n">
        <f aca="false">IF(CA1619=1,0,ROUNDUP(BA1619/BZ1619,0))</f>
        <v>1</v>
      </c>
      <c r="BC1619" s="64" t="n">
        <f aca="false">IF(CR1619&gt;0,CR1619*MAX(1,BA1619/X1619),IF(CA1619=1,IF(BA1619&lt;=0,0,CE1619*MAX(1,IF(H1619&gt;0,BA1619/H1619,1))),IF(R1619&gt;0,BB1619/R1619,0))/MAX(0.1,N(Parameter!$M$21)))</f>
        <v>0.0384615384615385</v>
      </c>
      <c r="BD1619" s="62" t="n">
        <f aca="false">BC1619*CC1619</f>
        <v>5.96153846153846</v>
      </c>
      <c r="BE1619" s="63" t="n">
        <f aca="false">IF(LEFT(Cockpit!$O$5,1)="A",H1619,IF(CI1619=1,(CL1619+CJ1619)/2,IF(LEFT(Cockpit!$O$5,1)="B",(CL1619+BG1619)/2,MAX((CL1619+BG1619)/2,H1619))))</f>
        <v>0.5</v>
      </c>
      <c r="BF1619" s="62" t="n">
        <f aca="false">BE1619*G1619</f>
        <v>7.5</v>
      </c>
      <c r="BG1619" s="62" t="n">
        <f aca="false">ROUNDUP(CL1619+MAX(CM1619,2*(J1619/IF(CH1619&gt;0,CH1619,MAX(0.1,N(Cockpit!$O$6)))-CL1619)),0)</f>
        <v>1</v>
      </c>
      <c r="BH1619" s="63" t="n">
        <f aca="false">IF(BD1619&gt;0,J1619/BD1619,-1)</f>
        <v>0</v>
      </c>
      <c r="BI1619" s="63" t="n">
        <f aca="false">IF(AND(OR(CG1619="L1",CG1619="L23",CG1619="LIFT"),BD1619&gt;0),SUMIFS($BD$7:$BD$1843,$CG$7:$CG$1843,CG1619,$BH$7:$BH$1843,"&gt;"&amp;BH1619)+SUMIFS($BD$7:$BD$1843,$CG$7:$CG$1843,CG1619,$BH$7:$BH$1843,BH1619,$BX$7:$BX$1843,"&lt;="&amp;BX1619),"")</f>
        <v>31065.684495354</v>
      </c>
      <c r="BJ1619" s="70" t="n">
        <f aca="false">IF(BI1619="",0,MAX(0,MIN(1,(IF(CG1619="L1",Parameter!$H$5,IF(CG1619="L23",Parameter!$H$6+Parameter!$H$7,Parameter!$H$5+Parameter!$H$6+Parameter!$H$7))-(BI1619-BD1619))/BD1619)))</f>
        <v>1</v>
      </c>
      <c r="BK1619" s="60" t="str">
        <f aca="false">IF(AJ1619&lt;=0,"",IF(CG1619="Aussen","Aussenlager",IF(CG1619="-","Nicht im Lift",IF(AP1619&gt;=1,"Lift",IF(AP1619&lt;=0,"Aussenlager","teilweise")))))</f>
        <v>Lift</v>
      </c>
      <c r="BL1619" s="60" t="str">
        <f aca="false">IF(AT1619&lt;=0,"",IF(CG1619="Aussen","Aussenlager",IF(CG1619="-","Nicht im Lift",IF(AZ1619&gt;=1,"Lift",IF(AZ1619&lt;=0,"Aussenlager","teilweise")))))</f>
        <v>Aussenlager</v>
      </c>
      <c r="BM1619" s="60" t="str">
        <f aca="false">IF(BD1619&lt;=0,"",IF(CG1619="Aussen","Aussenlager",IF(CG1619="-","Nicht im Lift",IF(BJ1619&gt;=1,"Lift",IF(BJ1619&lt;=0,"Aussenlager","teilweise")))))</f>
        <v>Lift</v>
      </c>
      <c r="BN1619" s="60" t="str">
        <f aca="false">IF(A1619="","",IF(BW1619=1,"Neu; ","")&amp;IF(AND(BW1619=0,BR1619&lt;0),"negativer Bestand (Export "&amp;BR1619&amp;"); ","")&amp;IF(J1619&lt;=0,"Kein Verbrauch; ","")&amp;IF(CR1619&gt;0,"Lift "&amp;W1619&amp;" lt. Liftbericht (Fach "&amp;X1619&amp;" Stk); ",IF(CB1619=1,"Gebinde geschätzt ("&amp;T1619&amp;"); ",IF(CA1619=1,"Lose – Tablare geschätzt; ","")))&amp;IF(H1619&gt;AW1619,"Überbestand "&amp;ROUND(H1619-AW1619,0)&amp;" Stk / CHF "&amp;ROUND((H1619-AW1619)*G1619,0)&amp;"; ","")&amp;IF(AND(CI1619=1,CJ1619&lt;CK1619),"MAX &lt; MB+LG; ","")&amp;IF(AND(CQ1619&gt;0,CP1619*10&gt;CQ1619),"zu hoch für Tablar; ","")&amp;IF(AND(BW1619=0,OR(CI1619=1,AB1619&lt;&gt;"",U1619&lt;&gt;"",V1619&lt;&gt;"",AC1619&lt;&gt;"")),"manuell übersteuert; ","")&amp;IF(AND(CA1619=0,R1619=0),"Gebinde unbekannt / Stellmass fehlt; ","")&amp;IF(AND(CA1619=0,N(V1619)&lt;=0,N(Q1619)&lt;=0),"Menge pro Gebinde fehlt (Ist = 1 Gebinde); ","")&amp;BV1619)</f>
        <v>Kein Verbrauch; Gebinde geschätzt (Klein); Überbestand 230 Stk / CHF 3450; Menge pro Gebinde fehlt (Ist = 1 Gebinde); nur im Artikelstamm (Bestand 23.06.2026)</v>
      </c>
      <c r="BO1619" s="60"/>
      <c r="BP1619" s="60"/>
      <c r="BQ1619" s="67"/>
      <c r="BR1619" s="62" t="n">
        <v>231</v>
      </c>
      <c r="BS1619" s="62" t="n">
        <v>0</v>
      </c>
      <c r="BT1619" s="61" t="n">
        <v>0</v>
      </c>
      <c r="BU1619" s="62" t="n">
        <v>0</v>
      </c>
      <c r="BV1619" s="60" t="s">
        <v>2617</v>
      </c>
      <c r="BW1619" s="65" t="n">
        <v>0</v>
      </c>
      <c r="BX1619" s="65" t="n">
        <v>1619</v>
      </c>
      <c r="BY1619" s="60" t="str">
        <f aca="false">IF(U1619&lt;&gt;"",UPPER(TRIM(U1619)),IF(CB1619=1,UPPER(VLOOKUP(T1619,Parameter!$I$27:$K$29,2,0)),IF(P1619="","LOSE",P1619)))</f>
        <v>S51</v>
      </c>
      <c r="BZ1619" s="62" t="n">
        <f aca="false">IF(BY1619="LOSE",1,IF(N(V1619)&gt;0,V1619,IF(CB1619=1,MAX(1,N(VLOOKUP(T1619,Parameter!$I$27:$K$29,3,0)),H1619,N(N1619)),IF(N(Q1619)&gt;0,Q1619,MAX(1,H1619)))))</f>
        <v>231</v>
      </c>
      <c r="CA1619" s="65" t="n">
        <f aca="false">IF(BY1619="LOSE",1,0)</f>
        <v>0</v>
      </c>
      <c r="CB1619" s="65" t="n">
        <f aca="false">IF(AND(U1619="",OR(P1619="",P1619="LOSE"),T1619&lt;&gt;"",N(S1619)&lt;=0,ISNUMBER(MATCH(T1619,Parameter!$I$27:$I$29,0))),1,0)</f>
        <v>1</v>
      </c>
      <c r="CC1619" s="65" t="n">
        <f aca="false">IF(CR1619&gt;0,INDEX(Parameter!$H$5:$H$7,W1619)/INDEX(Parameter!$E$5:$E$7,W1619),IF(AND(CA1619=0,N(IFERROR(VLOOKUP(BY1619,'Gebinde-Kategorie'!$A$5:$N$45,14,0),0))&gt;0),VLOOKUP(BY1619,'Gebinde-Kategorie'!$A$5:$N$45,14,0)*10+Parameter!$M$23,Parameter!$M$24))</f>
        <v>155</v>
      </c>
      <c r="CD1619" s="60" t="str">
        <f aca="false">IF(AND(Parameter!$B$19="Ja",E1619&lt;&gt;"",ISNUMBER(MATCH(E1619,Parameter!$I$35:$I$52,0))),VLOOKUP(E1619,Parameter!$I$35:$J$52,2,0),IFERROR(VLOOKUP(D1619,Parameter!$A$35:$C$64,2,0),"Nein"))</f>
        <v>2+3</v>
      </c>
      <c r="CE1619" s="64" t="n">
        <f aca="false">IF(CA1619=0,0,IF(N(S1619)&gt;0,S1619,IFERROR(VLOOKUP(D1619,Parameter!$A$35:$C$64,3,0)+0,0)))</f>
        <v>0</v>
      </c>
      <c r="CF1619" s="60" t="n">
        <f aca="false">IF(AB1619&lt;&gt;"",AB1619,AA1619)</f>
        <v>3</v>
      </c>
      <c r="CG1619" s="60" t="str">
        <f aca="false">IF(OR(CF1619=1,CF1619=2,CF1619=3),IF(Parameter!$E$27="Ja","LIFT",IF(CF1619=1,"L1","L23")),IF(CF1619="Aussen","Aussen","-"))</f>
        <v>LIFT</v>
      </c>
      <c r="CH1619" s="71" t="n">
        <f aca="false">IF(N(AC1619)&gt;0,AC1619,0)</f>
        <v>0</v>
      </c>
      <c r="CI1619" s="65" t="n">
        <f aca="false">IF(ISNUMBER(AF1619),1,0)</f>
        <v>0</v>
      </c>
      <c r="CJ1619" s="62" t="n">
        <f aca="false">N(AF1619)</f>
        <v>0</v>
      </c>
      <c r="CK1619" s="62" t="n">
        <f aca="false">N(M1619)+N(N1619)</f>
        <v>1</v>
      </c>
      <c r="CL1619" s="62" t="n">
        <f aca="false">N(M1619)</f>
        <v>0</v>
      </c>
      <c r="CM1619" s="62" t="n">
        <f aca="false">N(N1619)</f>
        <v>1</v>
      </c>
      <c r="CN1619" s="62" t="n">
        <f aca="false">ROUNDUP(H1619/BZ1619,0)</f>
        <v>1</v>
      </c>
      <c r="CO1619" s="62" t="n">
        <f aca="false">ROUNDUP(CJ1619/BZ1619,0)</f>
        <v>0</v>
      </c>
      <c r="CP1619" s="65" t="n">
        <f aca="false">IF(CA1619=1,0,IFERROR(VLOOKUP(BY1619,'Gebinde-Kategorie'!$A$5:$N$45,5,0)+0,0))</f>
        <v>11</v>
      </c>
      <c r="CQ1619" s="65" t="n">
        <f aca="false">IFERROR(IF(OR(CF1619=1,CF1619=2,CF1619=3),N(INDEX(Parameter!$I$5:$I$7,CF1619)),0),0)</f>
        <v>0</v>
      </c>
      <c r="CR1619" s="64" t="n">
        <f aca="false">IF(AND(Parameter!$B$21="Ja",ISNUMBER(W1619),N(X1619)&gt;0),IFERROR(N(INDEX(Parameter!$L$5:$L$7,W1619))*INDEX(Parameter!$E$5:$E$7,W1619)*X1619/SUMIFS($X$7:$X$1843,$W$7:$W$1843,W1619),0),0)</f>
        <v>0</v>
      </c>
      <c r="CS1619" s="62" t="n">
        <f aca="false">IF(AND(OR(CG1619="L1",CG1619="L23",CG1619="LIFT"),H1619&gt;0),CC1619*IF(CR1619&gt;0,CR1619*MAX(1,H1619/X1619),IF(CA1619=1,CE1619,IF(R1619&gt;0,CN1619/R1619,0))/MAX(0.1,N(Parameter!$M$21))),"")</f>
        <v>5.96153846153846</v>
      </c>
      <c r="CT1619" s="64" t="n">
        <f aca="false">IF(CS1619="","",J1619/H1619)</f>
        <v>0</v>
      </c>
      <c r="CU1619" s="62" t="n">
        <f aca="false">IF(CS1619="","",H1619*G1619)</f>
        <v>3465</v>
      </c>
      <c r="CV1619" s="63" t="n">
        <f aca="false">IF(CS1619="","",(CL1619+ROUNDUP(CL1619+MAX(CM1619,2*(J1619/MAX(0.1,N(Einkauf!$C$6))-CL1619)),0))/2)</f>
        <v>0.5</v>
      </c>
      <c r="CW1619" s="62" t="n">
        <f aca="false">IF(CS1619="","",MAX(0,H1619-CV1619)*G1619)</f>
        <v>3457.5</v>
      </c>
      <c r="CX1619" s="62" t="n">
        <f aca="false">IF(CS1619="","",CS1619*MAX(0,1-CV1619/H1619))</f>
        <v>5.9486346986347</v>
      </c>
      <c r="CY1619" s="64" t="n">
        <f aca="false">IF(CS1619="","",PERCENTRANK($CS$7:$CS$1843,CS1619)+PERCENTRANK($CU$7:$CU$1843,CU1619)+1-PERCENTRANK($CT$7:$CT$1843,CT1619))</f>
        <v>2.213</v>
      </c>
      <c r="CZ1619" s="72" t="n">
        <f aca="false">IF(CS1619="","",CHOOSE(MATCH(Einkauf!$C$5,Parameter!$G$23:$G$27,0),CY1619,CS1619,CU1619,-CT1619,CW1619)+ROW()/1000000000)</f>
        <v>2.213001619</v>
      </c>
    </row>
    <row r="1620" customFormat="false" ht="15" hidden="false" customHeight="false" outlineLevel="0" collapsed="false">
      <c r="A1620" s="60" t="s">
        <v>2863</v>
      </c>
      <c r="B1620" s="60" t="s">
        <v>1308</v>
      </c>
      <c r="C1620" s="60" t="s">
        <v>206</v>
      </c>
      <c r="D1620" s="60" t="s">
        <v>226</v>
      </c>
      <c r="E1620" s="60"/>
      <c r="F1620" s="60"/>
      <c r="G1620" s="61" t="n">
        <v>0.07</v>
      </c>
      <c r="H1620" s="62" t="n">
        <f aca="false">MAX(0,IF(AND(Parameter!$B$21="Ja",ISNUMBER(Y1620)),Y1620,IF(Parameter!$B$20="Jahresanfang 2025 + Export",BS1620+BR1620,BR1620)))</f>
        <v>452</v>
      </c>
      <c r="I1620" s="62" t="n">
        <f aca="false">H1620*G1620</f>
        <v>31.64</v>
      </c>
      <c r="J1620" s="62" t="n">
        <f aca="false">BU1620*Parameter!$B$18</f>
        <v>0</v>
      </c>
      <c r="K1620" s="63"/>
      <c r="L1620" s="64"/>
      <c r="M1620" s="62" t="n">
        <v>0</v>
      </c>
      <c r="N1620" s="62" t="n">
        <v>200</v>
      </c>
      <c r="O1620" s="65" t="n">
        <v>0</v>
      </c>
      <c r="P1620" s="60" t="s">
        <v>210</v>
      </c>
      <c r="Q1620" s="62"/>
      <c r="R1620" s="65" t="n">
        <f aca="false">IF(CA1620=1,0,IFERROR(VLOOKUP(BY1620,'Gebinde-Kategorie'!$A$5:$N$45,13,0)+0,0))</f>
        <v>26</v>
      </c>
      <c r="S1620" s="66"/>
      <c r="T1620" s="67" t="s">
        <v>317</v>
      </c>
      <c r="U1620" s="67"/>
      <c r="V1620" s="67"/>
      <c r="W1620" s="60"/>
      <c r="X1620" s="62"/>
      <c r="Y1620" s="62"/>
      <c r="Z1620" s="60" t="n">
        <v>3</v>
      </c>
      <c r="AA1620" s="60" t="n">
        <f aca="false">IF(A1620="","",IF(AND(Parameter!$B$21="Ja",ISNUMBER(W1620)),W1620,IF(AND(Parameter!$E$27="Ja",ISNUMBER(Z1620),CD1620&lt;&gt;"Nein"),Z1620,IF(CD1620="2+3",IF(ISNUMBER(SEARCH("grosser Artikel",BV1620)),2,IFERROR(VLOOKUP(BY1620,Parameter!$F$35:$G$64,2,0),2)),IF(OR(CD1620="Nein",CD1620=""),"-",CD1620)))))</f>
        <v>3</v>
      </c>
      <c r="AB1620" s="67"/>
      <c r="AC1620" s="68"/>
      <c r="AD1620" s="62" t="n">
        <f aca="false">AW1620</f>
        <v>200</v>
      </c>
      <c r="AE1620" s="62" t="n">
        <f aca="false">MAX(AW1620,H1620)</f>
        <v>452</v>
      </c>
      <c r="AF1620" s="69"/>
      <c r="AG1620" s="62" t="n">
        <f aca="false">IF(LEFT(Cockpit!$C$5,1)="A",H1620,IF(Parameter!$E$30="MAX-Bestand",IF(CI1620=1,CJ1620,IF(LEFT(Cockpit!$C$5,1)="B",AM1620,MAX(AM1620,H1620))),ROUNDUP(AK1620,0)))</f>
        <v>452</v>
      </c>
      <c r="AH1620" s="62" t="n">
        <f aca="false">IF(CA1620=1,0,ROUNDUP(AG1620/BZ1620,0))</f>
        <v>1</v>
      </c>
      <c r="AI1620" s="64" t="n">
        <f aca="false">IF(CR1620&gt;0,CR1620*MAX(1,AG1620/X1620),IF(CA1620=1,IF(AG1620&lt;=0,0,CE1620*MAX(1,IF(H1620&gt;0,AG1620/H1620,1))),IF(R1620&gt;0,AH1620/R1620,0))/MAX(0.1,N(Parameter!$M$21)))</f>
        <v>0.0384615384615385</v>
      </c>
      <c r="AJ1620" s="62" t="n">
        <f aca="false">AI1620*CC1620</f>
        <v>5.96153846153846</v>
      </c>
      <c r="AK1620" s="63" t="n">
        <f aca="false">IF(LEFT(Cockpit!$C$5,1)="A",H1620,IF(CI1620=1,(CL1620+CJ1620)/2,IF(LEFT(Cockpit!$C$5,1)="B",(CL1620+AM1620)/2,MAX((CL1620+AM1620)/2,H1620))))</f>
        <v>452</v>
      </c>
      <c r="AL1620" s="62" t="n">
        <f aca="false">AK1620*G1620</f>
        <v>31.64</v>
      </c>
      <c r="AM1620" s="62" t="n">
        <f aca="false">ROUNDUP(CL1620+MAX(CM1620,2*(J1620/IF(CH1620&gt;0,CH1620,MAX(0.1,N(Cockpit!$C$6)))-CL1620)),0)</f>
        <v>200</v>
      </c>
      <c r="AN1620" s="63" t="n">
        <f aca="false">IF(AJ1620&gt;0,J1620/AJ1620,-1)</f>
        <v>0</v>
      </c>
      <c r="AO1620" s="63" t="n">
        <f aca="false">IF(AND(OR(CG1620="L1",CG1620="L23",CG1620="LIFT"),AJ1620&gt;0),SUMIFS($AJ$7:$AJ$1843,$CG$7:$CG$1843,CG1620,$AN$7:$AN$1843,"&gt;"&amp;AN1620)+SUMIFS($AJ$7:$AJ$1843,$CG$7:$CG$1843,CG1620,$AN$7:$AN$1843,AN1620,$BX$7:$BX$1843,"&lt;="&amp;BX1620),"")</f>
        <v>30842.3482414478</v>
      </c>
      <c r="AP1620" s="70" t="n">
        <f aca="false">IF(AO1620="",0,MAX(0,MIN(1,(IF(CG1620="L1",Parameter!$H$5,IF(CG1620="L23",Parameter!$H$6+Parameter!$H$7,Parameter!$H$5+Parameter!$H$6+Parameter!$H$7))-(AO1620-AJ1620))/AJ1620)))</f>
        <v>1</v>
      </c>
      <c r="AQ1620" s="62" t="n">
        <f aca="false">IF(LEFT(Cockpit!$I$5,1)="A",H1620,IF(Parameter!$E$30="MAX-Bestand",IF(CI1620=1,CJ1620,IF(LEFT(Cockpit!$I$5,1)="B",AW1620,MAX(AW1620,H1620))),ROUNDUP(AU1620,0)))</f>
        <v>452</v>
      </c>
      <c r="AR1620" s="62" t="n">
        <f aca="false">IF(CA1620=1,0,ROUNDUP(AQ1620/BZ1620,0))</f>
        <v>1</v>
      </c>
      <c r="AS1620" s="64" t="n">
        <f aca="false">IF(CR1620&gt;0,CR1620*MAX(1,AQ1620/X1620),IF(CA1620=1,IF(AQ1620&lt;=0,0,CE1620*MAX(1,IF(H1620&gt;0,AQ1620/H1620,1))),IF(R1620&gt;0,AR1620/R1620,0))/MAX(0.1,N(Parameter!$M$21)))</f>
        <v>0.0384615384615385</v>
      </c>
      <c r="AT1620" s="62" t="n">
        <f aca="false">AS1620*CC1620</f>
        <v>5.96153846153846</v>
      </c>
      <c r="AU1620" s="63" t="n">
        <f aca="false">IF(LEFT(Cockpit!$I$5,1)="A",H1620,IF(CI1620=1,(CL1620+CJ1620)/2,IF(LEFT(Cockpit!$I$5,1)="B",(CL1620+AW1620)/2,MAX((CL1620+AW1620)/2,H1620))))</f>
        <v>452</v>
      </c>
      <c r="AV1620" s="62" t="n">
        <f aca="false">AU1620*G1620</f>
        <v>31.64</v>
      </c>
      <c r="AW1620" s="62" t="n">
        <f aca="false">ROUNDUP(CL1620+MAX(CM1620,2*(J1620/IF(CH1620&gt;0,CH1620,MAX(0.1,N(Cockpit!$I$6)))-CL1620)),0)</f>
        <v>200</v>
      </c>
      <c r="AX1620" s="63" t="n">
        <f aca="false">IF(AT1620&gt;0,J1620/AT1620,-1)</f>
        <v>0</v>
      </c>
      <c r="AY1620" s="63" t="n">
        <f aca="false">IF(AND(OR(CG1620="L1",CG1620="L23",CG1620="LIFT"),AT1620&gt;0),SUMIFS($AT$7:$AT$1843,$CG$7:$CG$1843,CG1620,$AX$7:$AX$1843,"&gt;"&amp;AX1620)+SUMIFS($AT$7:$AT$1843,$CG$7:$CG$1843,CG1620,$AX$7:$AX$1843,AX1620,$BX$7:$BX$1843,"&lt;="&amp;BX1620),"")</f>
        <v>37162.2047582831</v>
      </c>
      <c r="AZ1620" s="70" t="n">
        <f aca="false">IF(AY1620="",0,MAX(0,MIN(1,(IF(CG1620="L1",Parameter!$H$5,IF(CG1620="L23",Parameter!$H$6+Parameter!$H$7,Parameter!$H$5+Parameter!$H$6+Parameter!$H$7))-(AY1620-AT1620))/AT1620)))</f>
        <v>0</v>
      </c>
      <c r="BA1620" s="62" t="n">
        <f aca="false">IF(LEFT(Cockpit!$O$5,1)="A",H1620,IF(Parameter!$E$30="MAX-Bestand",IF(CI1620=1,CJ1620,IF(LEFT(Cockpit!$O$5,1)="B",BG1620,MAX(BG1620,H1620))),ROUNDUP(BE1620,0)))</f>
        <v>100</v>
      </c>
      <c r="BB1620" s="62" t="n">
        <f aca="false">IF(CA1620=1,0,ROUNDUP(BA1620/BZ1620,0))</f>
        <v>1</v>
      </c>
      <c r="BC1620" s="64" t="n">
        <f aca="false">IF(CR1620&gt;0,CR1620*MAX(1,BA1620/X1620),IF(CA1620=1,IF(BA1620&lt;=0,0,CE1620*MAX(1,IF(H1620&gt;0,BA1620/H1620,1))),IF(R1620&gt;0,BB1620/R1620,0))/MAX(0.1,N(Parameter!$M$21)))</f>
        <v>0.0384615384615385</v>
      </c>
      <c r="BD1620" s="62" t="n">
        <f aca="false">BC1620*CC1620</f>
        <v>5.96153846153846</v>
      </c>
      <c r="BE1620" s="63" t="n">
        <f aca="false">IF(LEFT(Cockpit!$O$5,1)="A",H1620,IF(CI1620=1,(CL1620+CJ1620)/2,IF(LEFT(Cockpit!$O$5,1)="B",(CL1620+BG1620)/2,MAX((CL1620+BG1620)/2,H1620))))</f>
        <v>100</v>
      </c>
      <c r="BF1620" s="62" t="n">
        <f aca="false">BE1620*G1620</f>
        <v>7</v>
      </c>
      <c r="BG1620" s="62" t="n">
        <f aca="false">ROUNDUP(CL1620+MAX(CM1620,2*(J1620/IF(CH1620&gt;0,CH1620,MAX(0.1,N(Cockpit!$O$6)))-CL1620)),0)</f>
        <v>200</v>
      </c>
      <c r="BH1620" s="63" t="n">
        <f aca="false">IF(BD1620&gt;0,J1620/BD1620,-1)</f>
        <v>0</v>
      </c>
      <c r="BI1620" s="63" t="n">
        <f aca="false">IF(AND(OR(CG1620="L1",CG1620="L23",CG1620="LIFT"),BD1620&gt;0),SUMIFS($BD$7:$BD$1843,$CG$7:$CG$1843,CG1620,$BH$7:$BH$1843,"&gt;"&amp;BH1620)+SUMIFS($BD$7:$BD$1843,$CG$7:$CG$1843,CG1620,$BH$7:$BH$1843,BH1620,$BX$7:$BX$1843,"&lt;="&amp;BX1620),"")</f>
        <v>31071.6460338155</v>
      </c>
      <c r="BJ1620" s="70" t="n">
        <f aca="false">IF(BI1620="",0,MAX(0,MIN(1,(IF(CG1620="L1",Parameter!$H$5,IF(CG1620="L23",Parameter!$H$6+Parameter!$H$7,Parameter!$H$5+Parameter!$H$6+Parameter!$H$7))-(BI1620-BD1620))/BD1620)))</f>
        <v>1</v>
      </c>
      <c r="BK1620" s="60" t="str">
        <f aca="false">IF(AJ1620&lt;=0,"",IF(CG1620="Aussen","Aussenlager",IF(CG1620="-","Nicht im Lift",IF(AP1620&gt;=1,"Lift",IF(AP1620&lt;=0,"Aussenlager","teilweise")))))</f>
        <v>Lift</v>
      </c>
      <c r="BL1620" s="60" t="str">
        <f aca="false">IF(AT1620&lt;=0,"",IF(CG1620="Aussen","Aussenlager",IF(CG1620="-","Nicht im Lift",IF(AZ1620&gt;=1,"Lift",IF(AZ1620&lt;=0,"Aussenlager","teilweise")))))</f>
        <v>Aussenlager</v>
      </c>
      <c r="BM1620" s="60" t="str">
        <f aca="false">IF(BD1620&lt;=0,"",IF(CG1620="Aussen","Aussenlager",IF(CG1620="-","Nicht im Lift",IF(BJ1620&gt;=1,"Lift",IF(BJ1620&lt;=0,"Aussenlager","teilweise")))))</f>
        <v>Lift</v>
      </c>
      <c r="BN1620" s="60" t="str">
        <f aca="false">IF(A1620="","",IF(BW1620=1,"Neu; ","")&amp;IF(AND(BW1620=0,BR1620&lt;0),"negativer Bestand (Export "&amp;BR1620&amp;"); ","")&amp;IF(J1620&lt;=0,"Kein Verbrauch; ","")&amp;IF(CR1620&gt;0,"Lift "&amp;W1620&amp;" lt. Liftbericht (Fach "&amp;X1620&amp;" Stk); ",IF(CB1620=1,"Gebinde geschätzt ("&amp;T1620&amp;"); ",IF(CA1620=1,"Lose – Tablare geschätzt; ","")))&amp;IF(H1620&gt;AW1620,"Überbestand "&amp;ROUND(H1620-AW1620,0)&amp;" Stk / CHF "&amp;ROUND((H1620-AW1620)*G1620,0)&amp;"; ","")&amp;IF(AND(CI1620=1,CJ1620&lt;CK1620),"MAX &lt; MB+LG; ","")&amp;IF(AND(CQ1620&gt;0,CP1620*10&gt;CQ1620),"zu hoch für Tablar; ","")&amp;IF(AND(BW1620=0,OR(CI1620=1,AB1620&lt;&gt;"",U1620&lt;&gt;"",V1620&lt;&gt;"",AC1620&lt;&gt;"")),"manuell übersteuert; ","")&amp;IF(AND(CA1620=0,R1620=0),"Gebinde unbekannt / Stellmass fehlt; ","")&amp;IF(AND(CA1620=0,N(V1620)&lt;=0,N(Q1620)&lt;=0),"Menge pro Gebinde fehlt (Ist = 1 Gebinde); ","")&amp;BV1620)</f>
        <v>Kein Verbrauch; Gebinde geschätzt (Klein); Überbestand 252 Stk / CHF 18; Menge pro Gebinde fehlt (Ist = 1 Gebinde); nur im Artikelstamm (Bestand 23.06.2026)</v>
      </c>
      <c r="BO1620" s="60"/>
      <c r="BP1620" s="60"/>
      <c r="BQ1620" s="67"/>
      <c r="BR1620" s="62" t="n">
        <v>452</v>
      </c>
      <c r="BS1620" s="62" t="n">
        <v>0</v>
      </c>
      <c r="BT1620" s="61" t="n">
        <v>0</v>
      </c>
      <c r="BU1620" s="62" t="n">
        <v>0</v>
      </c>
      <c r="BV1620" s="60" t="s">
        <v>2617</v>
      </c>
      <c r="BW1620" s="65" t="n">
        <v>0</v>
      </c>
      <c r="BX1620" s="65" t="n">
        <v>1620</v>
      </c>
      <c r="BY1620" s="60" t="str">
        <f aca="false">IF(U1620&lt;&gt;"",UPPER(TRIM(U1620)),IF(CB1620=1,UPPER(VLOOKUP(T1620,Parameter!$I$27:$K$29,2,0)),IF(P1620="","LOSE",P1620)))</f>
        <v>S51</v>
      </c>
      <c r="BZ1620" s="62" t="n">
        <f aca="false">IF(BY1620="LOSE",1,IF(N(V1620)&gt;0,V1620,IF(CB1620=1,MAX(1,N(VLOOKUP(T1620,Parameter!$I$27:$K$29,3,0)),H1620,N(N1620)),IF(N(Q1620)&gt;0,Q1620,MAX(1,H1620)))))</f>
        <v>452</v>
      </c>
      <c r="CA1620" s="65" t="n">
        <f aca="false">IF(BY1620="LOSE",1,0)</f>
        <v>0</v>
      </c>
      <c r="CB1620" s="65" t="n">
        <f aca="false">IF(AND(U1620="",OR(P1620="",P1620="LOSE"),T1620&lt;&gt;"",N(S1620)&lt;=0,ISNUMBER(MATCH(T1620,Parameter!$I$27:$I$29,0))),1,0)</f>
        <v>1</v>
      </c>
      <c r="CC1620" s="65" t="n">
        <f aca="false">IF(CR1620&gt;0,INDEX(Parameter!$H$5:$H$7,W1620)/INDEX(Parameter!$E$5:$E$7,W1620),IF(AND(CA1620=0,N(IFERROR(VLOOKUP(BY1620,'Gebinde-Kategorie'!$A$5:$N$45,14,0),0))&gt;0),VLOOKUP(BY1620,'Gebinde-Kategorie'!$A$5:$N$45,14,0)*10+Parameter!$M$23,Parameter!$M$24))</f>
        <v>155</v>
      </c>
      <c r="CD1620" s="60" t="str">
        <f aca="false">IF(AND(Parameter!$B$19="Ja",E1620&lt;&gt;"",ISNUMBER(MATCH(E1620,Parameter!$I$35:$I$52,0))),VLOOKUP(E1620,Parameter!$I$35:$J$52,2,0),IFERROR(VLOOKUP(D1620,Parameter!$A$35:$C$64,2,0),"Nein"))</f>
        <v>2+3</v>
      </c>
      <c r="CE1620" s="64" t="n">
        <f aca="false">IF(CA1620=0,0,IF(N(S1620)&gt;0,S1620,IFERROR(VLOOKUP(D1620,Parameter!$A$35:$C$64,3,0)+0,0)))</f>
        <v>0</v>
      </c>
      <c r="CF1620" s="60" t="n">
        <f aca="false">IF(AB1620&lt;&gt;"",AB1620,AA1620)</f>
        <v>3</v>
      </c>
      <c r="CG1620" s="60" t="str">
        <f aca="false">IF(OR(CF1620=1,CF1620=2,CF1620=3),IF(Parameter!$E$27="Ja","LIFT",IF(CF1620=1,"L1","L23")),IF(CF1620="Aussen","Aussen","-"))</f>
        <v>LIFT</v>
      </c>
      <c r="CH1620" s="71" t="n">
        <f aca="false">IF(N(AC1620)&gt;0,AC1620,0)</f>
        <v>0</v>
      </c>
      <c r="CI1620" s="65" t="n">
        <f aca="false">IF(ISNUMBER(AF1620),1,0)</f>
        <v>0</v>
      </c>
      <c r="CJ1620" s="62" t="n">
        <f aca="false">N(AF1620)</f>
        <v>0</v>
      </c>
      <c r="CK1620" s="62" t="n">
        <f aca="false">N(M1620)+N(N1620)</f>
        <v>200</v>
      </c>
      <c r="CL1620" s="62" t="n">
        <f aca="false">N(M1620)</f>
        <v>0</v>
      </c>
      <c r="CM1620" s="62" t="n">
        <f aca="false">N(N1620)</f>
        <v>200</v>
      </c>
      <c r="CN1620" s="62" t="n">
        <f aca="false">ROUNDUP(H1620/BZ1620,0)</f>
        <v>1</v>
      </c>
      <c r="CO1620" s="62" t="n">
        <f aca="false">ROUNDUP(CJ1620/BZ1620,0)</f>
        <v>0</v>
      </c>
      <c r="CP1620" s="65" t="n">
        <f aca="false">IF(CA1620=1,0,IFERROR(VLOOKUP(BY1620,'Gebinde-Kategorie'!$A$5:$N$45,5,0)+0,0))</f>
        <v>11</v>
      </c>
      <c r="CQ1620" s="65" t="n">
        <f aca="false">IFERROR(IF(OR(CF1620=1,CF1620=2,CF1620=3),N(INDEX(Parameter!$I$5:$I$7,CF1620)),0),0)</f>
        <v>0</v>
      </c>
      <c r="CR1620" s="64" t="n">
        <f aca="false">IF(AND(Parameter!$B$21="Ja",ISNUMBER(W1620),N(X1620)&gt;0),IFERROR(N(INDEX(Parameter!$L$5:$L$7,W1620))*INDEX(Parameter!$E$5:$E$7,W1620)*X1620/SUMIFS($X$7:$X$1843,$W$7:$W$1843,W1620),0),0)</f>
        <v>0</v>
      </c>
      <c r="CS1620" s="62" t="n">
        <f aca="false">IF(AND(OR(CG1620="L1",CG1620="L23",CG1620="LIFT"),H1620&gt;0),CC1620*IF(CR1620&gt;0,CR1620*MAX(1,H1620/X1620),IF(CA1620=1,CE1620,IF(R1620&gt;0,CN1620/R1620,0))/MAX(0.1,N(Parameter!$M$21))),"")</f>
        <v>5.96153846153846</v>
      </c>
      <c r="CT1620" s="64" t="n">
        <f aca="false">IF(CS1620="","",J1620/H1620)</f>
        <v>0</v>
      </c>
      <c r="CU1620" s="62" t="n">
        <f aca="false">IF(CS1620="","",H1620*G1620)</f>
        <v>31.64</v>
      </c>
      <c r="CV1620" s="63" t="n">
        <f aca="false">IF(CS1620="","",(CL1620+ROUNDUP(CL1620+MAX(CM1620,2*(J1620/MAX(0.1,N(Einkauf!$C$6))-CL1620)),0))/2)</f>
        <v>100</v>
      </c>
      <c r="CW1620" s="62" t="n">
        <f aca="false">IF(CS1620="","",MAX(0,H1620-CV1620)*G1620)</f>
        <v>24.64</v>
      </c>
      <c r="CX1620" s="62" t="n">
        <f aca="false">IF(CS1620="","",CS1620*MAX(0,1-CV1620/H1620))</f>
        <v>4.642614023145</v>
      </c>
      <c r="CY1620" s="64" t="n">
        <f aca="false">IF(CS1620="","",PERCENTRANK($CS$7:$CS$1843,CS1620)+PERCENTRANK($CU$7:$CU$1843,CU1620)+1-PERCENTRANK($CT$7:$CT$1843,CT1620))</f>
        <v>1.473</v>
      </c>
      <c r="CZ1620" s="72" t="n">
        <f aca="false">IF(CS1620="","",CHOOSE(MATCH(Einkauf!$C$5,Parameter!$G$23:$G$27,0),CY1620,CS1620,CU1620,-CT1620,CW1620)+ROW()/1000000000)</f>
        <v>1.47300162</v>
      </c>
    </row>
    <row r="1621" customFormat="false" ht="15" hidden="false" customHeight="false" outlineLevel="0" collapsed="false">
      <c r="A1621" s="60" t="s">
        <v>2864</v>
      </c>
      <c r="B1621" s="60" t="s">
        <v>2865</v>
      </c>
      <c r="C1621" s="60" t="s">
        <v>206</v>
      </c>
      <c r="D1621" s="60" t="s">
        <v>226</v>
      </c>
      <c r="E1621" s="60"/>
      <c r="F1621" s="60"/>
      <c r="G1621" s="61" t="n">
        <v>8.1</v>
      </c>
      <c r="H1621" s="62" t="n">
        <f aca="false">MAX(0,IF(AND(Parameter!$B$21="Ja",ISNUMBER(Y1621)),Y1621,IF(Parameter!$B$20="Jahresanfang 2025 + Export",BS1621+BR1621,BR1621)))</f>
        <v>15</v>
      </c>
      <c r="I1621" s="62" t="n">
        <f aca="false">H1621*G1621</f>
        <v>121.5</v>
      </c>
      <c r="J1621" s="62" t="n">
        <f aca="false">BU1621*Parameter!$B$18</f>
        <v>0</v>
      </c>
      <c r="K1621" s="63"/>
      <c r="L1621" s="64"/>
      <c r="M1621" s="62" t="n">
        <v>0</v>
      </c>
      <c r="N1621" s="62" t="n">
        <v>1</v>
      </c>
      <c r="O1621" s="65" t="n">
        <v>0</v>
      </c>
      <c r="P1621" s="60" t="s">
        <v>210</v>
      </c>
      <c r="Q1621" s="62"/>
      <c r="R1621" s="65" t="n">
        <f aca="false">IF(CA1621=1,0,IFERROR(VLOOKUP(BY1621,'Gebinde-Kategorie'!$A$5:$N$45,13,0)+0,0))</f>
        <v>26</v>
      </c>
      <c r="S1621" s="66"/>
      <c r="T1621" s="67" t="s">
        <v>317</v>
      </c>
      <c r="U1621" s="67"/>
      <c r="V1621" s="67"/>
      <c r="W1621" s="60"/>
      <c r="X1621" s="62"/>
      <c r="Y1621" s="62"/>
      <c r="Z1621" s="60" t="n">
        <v>3</v>
      </c>
      <c r="AA1621" s="60" t="n">
        <f aca="false">IF(A1621="","",IF(AND(Parameter!$B$21="Ja",ISNUMBER(W1621)),W1621,IF(AND(Parameter!$E$27="Ja",ISNUMBER(Z1621),CD1621&lt;&gt;"Nein"),Z1621,IF(CD1621="2+3",IF(ISNUMBER(SEARCH("grosser Artikel",BV1621)),2,IFERROR(VLOOKUP(BY1621,Parameter!$F$35:$G$64,2,0),2)),IF(OR(CD1621="Nein",CD1621=""),"-",CD1621)))))</f>
        <v>3</v>
      </c>
      <c r="AB1621" s="67"/>
      <c r="AC1621" s="68"/>
      <c r="AD1621" s="62" t="n">
        <f aca="false">AW1621</f>
        <v>1</v>
      </c>
      <c r="AE1621" s="62" t="n">
        <f aca="false">MAX(AW1621,H1621)</f>
        <v>15</v>
      </c>
      <c r="AF1621" s="69"/>
      <c r="AG1621" s="62" t="n">
        <f aca="false">IF(LEFT(Cockpit!$C$5,1)="A",H1621,IF(Parameter!$E$30="MAX-Bestand",IF(CI1621=1,CJ1621,IF(LEFT(Cockpit!$C$5,1)="B",AM1621,MAX(AM1621,H1621))),ROUNDUP(AK1621,0)))</f>
        <v>15</v>
      </c>
      <c r="AH1621" s="62" t="n">
        <f aca="false">IF(CA1621=1,0,ROUNDUP(AG1621/BZ1621,0))</f>
        <v>1</v>
      </c>
      <c r="AI1621" s="64" t="n">
        <f aca="false">IF(CR1621&gt;0,CR1621*MAX(1,AG1621/X1621),IF(CA1621=1,IF(AG1621&lt;=0,0,CE1621*MAX(1,IF(H1621&gt;0,AG1621/H1621,1))),IF(R1621&gt;0,AH1621/R1621,0))/MAX(0.1,N(Parameter!$M$21)))</f>
        <v>0.0384615384615385</v>
      </c>
      <c r="AJ1621" s="62" t="n">
        <f aca="false">AI1621*CC1621</f>
        <v>5.96153846153846</v>
      </c>
      <c r="AK1621" s="63" t="n">
        <f aca="false">IF(LEFT(Cockpit!$C$5,1)="A",H1621,IF(CI1621=1,(CL1621+CJ1621)/2,IF(LEFT(Cockpit!$C$5,1)="B",(CL1621+AM1621)/2,MAX((CL1621+AM1621)/2,H1621))))</f>
        <v>15</v>
      </c>
      <c r="AL1621" s="62" t="n">
        <f aca="false">AK1621*G1621</f>
        <v>121.5</v>
      </c>
      <c r="AM1621" s="62" t="n">
        <f aca="false">ROUNDUP(CL1621+MAX(CM1621,2*(J1621/IF(CH1621&gt;0,CH1621,MAX(0.1,N(Cockpit!$C$6)))-CL1621)),0)</f>
        <v>1</v>
      </c>
      <c r="AN1621" s="63" t="n">
        <f aca="false">IF(AJ1621&gt;0,J1621/AJ1621,-1)</f>
        <v>0</v>
      </c>
      <c r="AO1621" s="63" t="n">
        <f aca="false">IF(AND(OR(CG1621="L1",CG1621="L23",CG1621="LIFT"),AJ1621&gt;0),SUMIFS($AJ$7:$AJ$1843,$CG$7:$CG$1843,CG1621,$AN$7:$AN$1843,"&gt;"&amp;AN1621)+SUMIFS($AJ$7:$AJ$1843,$CG$7:$CG$1843,CG1621,$AN$7:$AN$1843,AN1621,$BX$7:$BX$1843,"&lt;="&amp;BX1621),"")</f>
        <v>30848.3097799094</v>
      </c>
      <c r="AP1621" s="70" t="n">
        <f aca="false">IF(AO1621="",0,MAX(0,MIN(1,(IF(CG1621="L1",Parameter!$H$5,IF(CG1621="L23",Parameter!$H$6+Parameter!$H$7,Parameter!$H$5+Parameter!$H$6+Parameter!$H$7))-(AO1621-AJ1621))/AJ1621)))</f>
        <v>1</v>
      </c>
      <c r="AQ1621" s="62" t="n">
        <f aca="false">IF(LEFT(Cockpit!$I$5,1)="A",H1621,IF(Parameter!$E$30="MAX-Bestand",IF(CI1621=1,CJ1621,IF(LEFT(Cockpit!$I$5,1)="B",AW1621,MAX(AW1621,H1621))),ROUNDUP(AU1621,0)))</f>
        <v>15</v>
      </c>
      <c r="AR1621" s="62" t="n">
        <f aca="false">IF(CA1621=1,0,ROUNDUP(AQ1621/BZ1621,0))</f>
        <v>1</v>
      </c>
      <c r="AS1621" s="64" t="n">
        <f aca="false">IF(CR1621&gt;0,CR1621*MAX(1,AQ1621/X1621),IF(CA1621=1,IF(AQ1621&lt;=0,0,CE1621*MAX(1,IF(H1621&gt;0,AQ1621/H1621,1))),IF(R1621&gt;0,AR1621/R1621,0))/MAX(0.1,N(Parameter!$M$21)))</f>
        <v>0.0384615384615385</v>
      </c>
      <c r="AT1621" s="62" t="n">
        <f aca="false">AS1621*CC1621</f>
        <v>5.96153846153846</v>
      </c>
      <c r="AU1621" s="63" t="n">
        <f aca="false">IF(LEFT(Cockpit!$I$5,1)="A",H1621,IF(CI1621=1,(CL1621+CJ1621)/2,IF(LEFT(Cockpit!$I$5,1)="B",(CL1621+AW1621)/2,MAX((CL1621+AW1621)/2,H1621))))</f>
        <v>15</v>
      </c>
      <c r="AV1621" s="62" t="n">
        <f aca="false">AU1621*G1621</f>
        <v>121.5</v>
      </c>
      <c r="AW1621" s="62" t="n">
        <f aca="false">ROUNDUP(CL1621+MAX(CM1621,2*(J1621/IF(CH1621&gt;0,CH1621,MAX(0.1,N(Cockpit!$I$6)))-CL1621)),0)</f>
        <v>1</v>
      </c>
      <c r="AX1621" s="63" t="n">
        <f aca="false">IF(AT1621&gt;0,J1621/AT1621,-1)</f>
        <v>0</v>
      </c>
      <c r="AY1621" s="63" t="n">
        <f aca="false">IF(AND(OR(CG1621="L1",CG1621="L23",CG1621="LIFT"),AT1621&gt;0),SUMIFS($AT$7:$AT$1843,$CG$7:$CG$1843,CG1621,$AX$7:$AX$1843,"&gt;"&amp;AX1621)+SUMIFS($AT$7:$AT$1843,$CG$7:$CG$1843,CG1621,$AX$7:$AX$1843,AX1621,$BX$7:$BX$1843,"&lt;="&amp;BX1621),"")</f>
        <v>37168.1662967447</v>
      </c>
      <c r="AZ1621" s="70" t="n">
        <f aca="false">IF(AY1621="",0,MAX(0,MIN(1,(IF(CG1621="L1",Parameter!$H$5,IF(CG1621="L23",Parameter!$H$6+Parameter!$H$7,Parameter!$H$5+Parameter!$H$6+Parameter!$H$7))-(AY1621-AT1621))/AT1621)))</f>
        <v>0</v>
      </c>
      <c r="BA1621" s="62" t="n">
        <f aca="false">IF(LEFT(Cockpit!$O$5,1)="A",H1621,IF(Parameter!$E$30="MAX-Bestand",IF(CI1621=1,CJ1621,IF(LEFT(Cockpit!$O$5,1)="B",BG1621,MAX(BG1621,H1621))),ROUNDUP(BE1621,0)))</f>
        <v>1</v>
      </c>
      <c r="BB1621" s="62" t="n">
        <f aca="false">IF(CA1621=1,0,ROUNDUP(BA1621/BZ1621,0))</f>
        <v>1</v>
      </c>
      <c r="BC1621" s="64" t="n">
        <f aca="false">IF(CR1621&gt;0,CR1621*MAX(1,BA1621/X1621),IF(CA1621=1,IF(BA1621&lt;=0,0,CE1621*MAX(1,IF(H1621&gt;0,BA1621/H1621,1))),IF(R1621&gt;0,BB1621/R1621,0))/MAX(0.1,N(Parameter!$M$21)))</f>
        <v>0.0384615384615385</v>
      </c>
      <c r="BD1621" s="62" t="n">
        <f aca="false">BC1621*CC1621</f>
        <v>5.96153846153846</v>
      </c>
      <c r="BE1621" s="63" t="n">
        <f aca="false">IF(LEFT(Cockpit!$O$5,1)="A",H1621,IF(CI1621=1,(CL1621+CJ1621)/2,IF(LEFT(Cockpit!$O$5,1)="B",(CL1621+BG1621)/2,MAX((CL1621+BG1621)/2,H1621))))</f>
        <v>0.5</v>
      </c>
      <c r="BF1621" s="62" t="n">
        <f aca="false">BE1621*G1621</f>
        <v>4.05</v>
      </c>
      <c r="BG1621" s="62" t="n">
        <f aca="false">ROUNDUP(CL1621+MAX(CM1621,2*(J1621/IF(CH1621&gt;0,CH1621,MAX(0.1,N(Cockpit!$O$6)))-CL1621)),0)</f>
        <v>1</v>
      </c>
      <c r="BH1621" s="63" t="n">
        <f aca="false">IF(BD1621&gt;0,J1621/BD1621,-1)</f>
        <v>0</v>
      </c>
      <c r="BI1621" s="63" t="n">
        <f aca="false">IF(AND(OR(CG1621="L1",CG1621="L23",CG1621="LIFT"),BD1621&gt;0),SUMIFS($BD$7:$BD$1843,$CG$7:$CG$1843,CG1621,$BH$7:$BH$1843,"&gt;"&amp;BH1621)+SUMIFS($BD$7:$BD$1843,$CG$7:$CG$1843,CG1621,$BH$7:$BH$1843,BH1621,$BX$7:$BX$1843,"&lt;="&amp;BX1621),"")</f>
        <v>31077.6075722771</v>
      </c>
      <c r="BJ1621" s="70" t="n">
        <f aca="false">IF(BI1621="",0,MAX(0,MIN(1,(IF(CG1621="L1",Parameter!$H$5,IF(CG1621="L23",Parameter!$H$6+Parameter!$H$7,Parameter!$H$5+Parameter!$H$6+Parameter!$H$7))-(BI1621-BD1621))/BD1621)))</f>
        <v>1</v>
      </c>
      <c r="BK1621" s="60" t="str">
        <f aca="false">IF(AJ1621&lt;=0,"",IF(CG1621="Aussen","Aussenlager",IF(CG1621="-","Nicht im Lift",IF(AP1621&gt;=1,"Lift",IF(AP1621&lt;=0,"Aussenlager","teilweise")))))</f>
        <v>Lift</v>
      </c>
      <c r="BL1621" s="60" t="str">
        <f aca="false">IF(AT1621&lt;=0,"",IF(CG1621="Aussen","Aussenlager",IF(CG1621="-","Nicht im Lift",IF(AZ1621&gt;=1,"Lift",IF(AZ1621&lt;=0,"Aussenlager","teilweise")))))</f>
        <v>Aussenlager</v>
      </c>
      <c r="BM1621" s="60" t="str">
        <f aca="false">IF(BD1621&lt;=0,"",IF(CG1621="Aussen","Aussenlager",IF(CG1621="-","Nicht im Lift",IF(BJ1621&gt;=1,"Lift",IF(BJ1621&lt;=0,"Aussenlager","teilweise")))))</f>
        <v>Lift</v>
      </c>
      <c r="BN1621" s="60" t="str">
        <f aca="false">IF(A1621="","",IF(BW1621=1,"Neu; ","")&amp;IF(AND(BW1621=0,BR1621&lt;0),"negativer Bestand (Export "&amp;BR1621&amp;"); ","")&amp;IF(J1621&lt;=0,"Kein Verbrauch; ","")&amp;IF(CR1621&gt;0,"Lift "&amp;W1621&amp;" lt. Liftbericht (Fach "&amp;X1621&amp;" Stk); ",IF(CB1621=1,"Gebinde geschätzt ("&amp;T1621&amp;"); ",IF(CA1621=1,"Lose – Tablare geschätzt; ","")))&amp;IF(H1621&gt;AW1621,"Überbestand "&amp;ROUND(H1621-AW1621,0)&amp;" Stk / CHF "&amp;ROUND((H1621-AW1621)*G1621,0)&amp;"; ","")&amp;IF(AND(CI1621=1,CJ1621&lt;CK1621),"MAX &lt; MB+LG; ","")&amp;IF(AND(CQ1621&gt;0,CP1621*10&gt;CQ1621),"zu hoch für Tablar; ","")&amp;IF(AND(BW1621=0,OR(CI1621=1,AB1621&lt;&gt;"",U1621&lt;&gt;"",V1621&lt;&gt;"",AC1621&lt;&gt;"")),"manuell übersteuert; ","")&amp;IF(AND(CA1621=0,R1621=0),"Gebinde unbekannt / Stellmass fehlt; ","")&amp;IF(AND(CA1621=0,N(V1621)&lt;=0,N(Q1621)&lt;=0),"Menge pro Gebinde fehlt (Ist = 1 Gebinde); ","")&amp;BV1621)</f>
        <v>Kein Verbrauch; Gebinde geschätzt (Klein); Überbestand 14 Stk / CHF 113; Menge pro Gebinde fehlt (Ist = 1 Gebinde); nur im Artikelstamm (Bestand 23.06.2026)</v>
      </c>
      <c r="BO1621" s="60"/>
      <c r="BP1621" s="60"/>
      <c r="BQ1621" s="67"/>
      <c r="BR1621" s="62" t="n">
        <v>15</v>
      </c>
      <c r="BS1621" s="62" t="n">
        <v>0</v>
      </c>
      <c r="BT1621" s="61" t="n">
        <v>0</v>
      </c>
      <c r="BU1621" s="62" t="n">
        <v>0</v>
      </c>
      <c r="BV1621" s="60" t="s">
        <v>2617</v>
      </c>
      <c r="BW1621" s="65" t="n">
        <v>0</v>
      </c>
      <c r="BX1621" s="65" t="n">
        <v>1621</v>
      </c>
      <c r="BY1621" s="60" t="str">
        <f aca="false">IF(U1621&lt;&gt;"",UPPER(TRIM(U1621)),IF(CB1621=1,UPPER(VLOOKUP(T1621,Parameter!$I$27:$K$29,2,0)),IF(P1621="","LOSE",P1621)))</f>
        <v>S51</v>
      </c>
      <c r="BZ1621" s="62" t="n">
        <f aca="false">IF(BY1621="LOSE",1,IF(N(V1621)&gt;0,V1621,IF(CB1621=1,MAX(1,N(VLOOKUP(T1621,Parameter!$I$27:$K$29,3,0)),H1621,N(N1621)),IF(N(Q1621)&gt;0,Q1621,MAX(1,H1621)))))</f>
        <v>20</v>
      </c>
      <c r="CA1621" s="65" t="n">
        <f aca="false">IF(BY1621="LOSE",1,0)</f>
        <v>0</v>
      </c>
      <c r="CB1621" s="65" t="n">
        <f aca="false">IF(AND(U1621="",OR(P1621="",P1621="LOSE"),T1621&lt;&gt;"",N(S1621)&lt;=0,ISNUMBER(MATCH(T1621,Parameter!$I$27:$I$29,0))),1,0)</f>
        <v>1</v>
      </c>
      <c r="CC1621" s="65" t="n">
        <f aca="false">IF(CR1621&gt;0,INDEX(Parameter!$H$5:$H$7,W1621)/INDEX(Parameter!$E$5:$E$7,W1621),IF(AND(CA1621=0,N(IFERROR(VLOOKUP(BY1621,'Gebinde-Kategorie'!$A$5:$N$45,14,0),0))&gt;0),VLOOKUP(BY1621,'Gebinde-Kategorie'!$A$5:$N$45,14,0)*10+Parameter!$M$23,Parameter!$M$24))</f>
        <v>155</v>
      </c>
      <c r="CD1621" s="60" t="str">
        <f aca="false">IF(AND(Parameter!$B$19="Ja",E1621&lt;&gt;"",ISNUMBER(MATCH(E1621,Parameter!$I$35:$I$52,0))),VLOOKUP(E1621,Parameter!$I$35:$J$52,2,0),IFERROR(VLOOKUP(D1621,Parameter!$A$35:$C$64,2,0),"Nein"))</f>
        <v>2+3</v>
      </c>
      <c r="CE1621" s="64" t="n">
        <f aca="false">IF(CA1621=0,0,IF(N(S1621)&gt;0,S1621,IFERROR(VLOOKUP(D1621,Parameter!$A$35:$C$64,3,0)+0,0)))</f>
        <v>0</v>
      </c>
      <c r="CF1621" s="60" t="n">
        <f aca="false">IF(AB1621&lt;&gt;"",AB1621,AA1621)</f>
        <v>3</v>
      </c>
      <c r="CG1621" s="60" t="str">
        <f aca="false">IF(OR(CF1621=1,CF1621=2,CF1621=3),IF(Parameter!$E$27="Ja","LIFT",IF(CF1621=1,"L1","L23")),IF(CF1621="Aussen","Aussen","-"))</f>
        <v>LIFT</v>
      </c>
      <c r="CH1621" s="71" t="n">
        <f aca="false">IF(N(AC1621)&gt;0,AC1621,0)</f>
        <v>0</v>
      </c>
      <c r="CI1621" s="65" t="n">
        <f aca="false">IF(ISNUMBER(AF1621),1,0)</f>
        <v>0</v>
      </c>
      <c r="CJ1621" s="62" t="n">
        <f aca="false">N(AF1621)</f>
        <v>0</v>
      </c>
      <c r="CK1621" s="62" t="n">
        <f aca="false">N(M1621)+N(N1621)</f>
        <v>1</v>
      </c>
      <c r="CL1621" s="62" t="n">
        <f aca="false">N(M1621)</f>
        <v>0</v>
      </c>
      <c r="CM1621" s="62" t="n">
        <f aca="false">N(N1621)</f>
        <v>1</v>
      </c>
      <c r="CN1621" s="62" t="n">
        <f aca="false">ROUNDUP(H1621/BZ1621,0)</f>
        <v>1</v>
      </c>
      <c r="CO1621" s="62" t="n">
        <f aca="false">ROUNDUP(CJ1621/BZ1621,0)</f>
        <v>0</v>
      </c>
      <c r="CP1621" s="65" t="n">
        <f aca="false">IF(CA1621=1,0,IFERROR(VLOOKUP(BY1621,'Gebinde-Kategorie'!$A$5:$N$45,5,0)+0,0))</f>
        <v>11</v>
      </c>
      <c r="CQ1621" s="65" t="n">
        <f aca="false">IFERROR(IF(OR(CF1621=1,CF1621=2,CF1621=3),N(INDEX(Parameter!$I$5:$I$7,CF1621)),0),0)</f>
        <v>0</v>
      </c>
      <c r="CR1621" s="64" t="n">
        <f aca="false">IF(AND(Parameter!$B$21="Ja",ISNUMBER(W1621),N(X1621)&gt;0),IFERROR(N(INDEX(Parameter!$L$5:$L$7,W1621))*INDEX(Parameter!$E$5:$E$7,W1621)*X1621/SUMIFS($X$7:$X$1843,$W$7:$W$1843,W1621),0),0)</f>
        <v>0</v>
      </c>
      <c r="CS1621" s="62" t="n">
        <f aca="false">IF(AND(OR(CG1621="L1",CG1621="L23",CG1621="LIFT"),H1621&gt;0),CC1621*IF(CR1621&gt;0,CR1621*MAX(1,H1621/X1621),IF(CA1621=1,CE1621,IF(R1621&gt;0,CN1621/R1621,0))/MAX(0.1,N(Parameter!$M$21))),"")</f>
        <v>5.96153846153846</v>
      </c>
      <c r="CT1621" s="64" t="n">
        <f aca="false">IF(CS1621="","",J1621/H1621)</f>
        <v>0</v>
      </c>
      <c r="CU1621" s="62" t="n">
        <f aca="false">IF(CS1621="","",H1621*G1621)</f>
        <v>121.5</v>
      </c>
      <c r="CV1621" s="63" t="n">
        <f aca="false">IF(CS1621="","",(CL1621+ROUNDUP(CL1621+MAX(CM1621,2*(J1621/MAX(0.1,N(Einkauf!$C$6))-CL1621)),0))/2)</f>
        <v>0.5</v>
      </c>
      <c r="CW1621" s="62" t="n">
        <f aca="false">IF(CS1621="","",MAX(0,H1621-CV1621)*G1621)</f>
        <v>117.45</v>
      </c>
      <c r="CX1621" s="62" t="n">
        <f aca="false">IF(CS1621="","",CS1621*MAX(0,1-CV1621/H1621))</f>
        <v>5.76282051282051</v>
      </c>
      <c r="CY1621" s="64" t="n">
        <f aca="false">IF(CS1621="","",PERCENTRANK($CS$7:$CS$1843,CS1621)+PERCENTRANK($CU$7:$CU$1843,CU1621)+1-PERCENTRANK($CT$7:$CT$1843,CT1621))</f>
        <v>1.617</v>
      </c>
      <c r="CZ1621" s="72" t="n">
        <f aca="false">IF(CS1621="","",CHOOSE(MATCH(Einkauf!$C$5,Parameter!$G$23:$G$27,0),CY1621,CS1621,CU1621,-CT1621,CW1621)+ROW()/1000000000)</f>
        <v>1.617001621</v>
      </c>
    </row>
    <row r="1622" customFormat="false" ht="15" hidden="false" customHeight="false" outlineLevel="0" collapsed="false">
      <c r="A1622" s="60" t="s">
        <v>2866</v>
      </c>
      <c r="B1622" s="60" t="s">
        <v>447</v>
      </c>
      <c r="C1622" s="60" t="s">
        <v>206</v>
      </c>
      <c r="D1622" s="60" t="s">
        <v>226</v>
      </c>
      <c r="E1622" s="60"/>
      <c r="F1622" s="60"/>
      <c r="G1622" s="61" t="n">
        <v>0.08</v>
      </c>
      <c r="H1622" s="62" t="n">
        <f aca="false">MAX(0,IF(AND(Parameter!$B$21="Ja",ISNUMBER(Y1622)),Y1622,IF(Parameter!$B$20="Jahresanfang 2025 + Export",BS1622+BR1622,BR1622)))</f>
        <v>1143</v>
      </c>
      <c r="I1622" s="62" t="n">
        <f aca="false">H1622*G1622</f>
        <v>91.44</v>
      </c>
      <c r="J1622" s="62" t="n">
        <f aca="false">BU1622*Parameter!$B$18</f>
        <v>0</v>
      </c>
      <c r="K1622" s="63"/>
      <c r="L1622" s="64"/>
      <c r="M1622" s="62" t="n">
        <v>0</v>
      </c>
      <c r="N1622" s="62" t="n">
        <v>200</v>
      </c>
      <c r="O1622" s="65" t="n">
        <v>14</v>
      </c>
      <c r="P1622" s="60" t="s">
        <v>210</v>
      </c>
      <c r="Q1622" s="62"/>
      <c r="R1622" s="65" t="n">
        <f aca="false">IF(CA1622=1,0,IFERROR(VLOOKUP(BY1622,'Gebinde-Kategorie'!$A$5:$N$45,13,0)+0,0))</f>
        <v>26</v>
      </c>
      <c r="S1622" s="66"/>
      <c r="T1622" s="67" t="s">
        <v>317</v>
      </c>
      <c r="U1622" s="67"/>
      <c r="V1622" s="67"/>
      <c r="W1622" s="60"/>
      <c r="X1622" s="62"/>
      <c r="Y1622" s="62"/>
      <c r="Z1622" s="60" t="n">
        <v>3</v>
      </c>
      <c r="AA1622" s="60" t="n">
        <f aca="false">IF(A1622="","",IF(AND(Parameter!$B$21="Ja",ISNUMBER(W1622)),W1622,IF(AND(Parameter!$E$27="Ja",ISNUMBER(Z1622),CD1622&lt;&gt;"Nein"),Z1622,IF(CD1622="2+3",IF(ISNUMBER(SEARCH("grosser Artikel",BV1622)),2,IFERROR(VLOOKUP(BY1622,Parameter!$F$35:$G$64,2,0),2)),IF(OR(CD1622="Nein",CD1622=""),"-",CD1622)))))</f>
        <v>3</v>
      </c>
      <c r="AB1622" s="67"/>
      <c r="AC1622" s="68"/>
      <c r="AD1622" s="62" t="n">
        <f aca="false">AW1622</f>
        <v>200</v>
      </c>
      <c r="AE1622" s="62" t="n">
        <f aca="false">MAX(AW1622,H1622)</f>
        <v>1143</v>
      </c>
      <c r="AF1622" s="69"/>
      <c r="AG1622" s="62" t="n">
        <f aca="false">IF(LEFT(Cockpit!$C$5,1)="A",H1622,IF(Parameter!$E$30="MAX-Bestand",IF(CI1622=1,CJ1622,IF(LEFT(Cockpit!$C$5,1)="B",AM1622,MAX(AM1622,H1622))),ROUNDUP(AK1622,0)))</f>
        <v>1143</v>
      </c>
      <c r="AH1622" s="62" t="n">
        <f aca="false">IF(CA1622=1,0,ROUNDUP(AG1622/BZ1622,0))</f>
        <v>1</v>
      </c>
      <c r="AI1622" s="64" t="n">
        <f aca="false">IF(CR1622&gt;0,CR1622*MAX(1,AG1622/X1622),IF(CA1622=1,IF(AG1622&lt;=0,0,CE1622*MAX(1,IF(H1622&gt;0,AG1622/H1622,1))),IF(R1622&gt;0,AH1622/R1622,0))/MAX(0.1,N(Parameter!$M$21)))</f>
        <v>0.0384615384615385</v>
      </c>
      <c r="AJ1622" s="62" t="n">
        <f aca="false">AI1622*CC1622</f>
        <v>5.96153846153846</v>
      </c>
      <c r="AK1622" s="63" t="n">
        <f aca="false">IF(LEFT(Cockpit!$C$5,1)="A",H1622,IF(CI1622=1,(CL1622+CJ1622)/2,IF(LEFT(Cockpit!$C$5,1)="B",(CL1622+AM1622)/2,MAX((CL1622+AM1622)/2,H1622))))</f>
        <v>1143</v>
      </c>
      <c r="AL1622" s="62" t="n">
        <f aca="false">AK1622*G1622</f>
        <v>91.44</v>
      </c>
      <c r="AM1622" s="62" t="n">
        <f aca="false">ROUNDUP(CL1622+MAX(CM1622,2*(J1622/IF(CH1622&gt;0,CH1622,MAX(0.1,N(Cockpit!$C$6)))-CL1622)),0)</f>
        <v>200</v>
      </c>
      <c r="AN1622" s="63" t="n">
        <f aca="false">IF(AJ1622&gt;0,J1622/AJ1622,-1)</f>
        <v>0</v>
      </c>
      <c r="AO1622" s="63" t="n">
        <f aca="false">IF(AND(OR(CG1622="L1",CG1622="L23",CG1622="LIFT"),AJ1622&gt;0),SUMIFS($AJ$7:$AJ$1843,$CG$7:$CG$1843,CG1622,$AN$7:$AN$1843,"&gt;"&amp;AN1622)+SUMIFS($AJ$7:$AJ$1843,$CG$7:$CG$1843,CG1622,$AN$7:$AN$1843,AN1622,$BX$7:$BX$1843,"&lt;="&amp;BX1622),"")</f>
        <v>30854.2713183709</v>
      </c>
      <c r="AP1622" s="70" t="n">
        <f aca="false">IF(AO1622="",0,MAX(0,MIN(1,(IF(CG1622="L1",Parameter!$H$5,IF(CG1622="L23",Parameter!$H$6+Parameter!$H$7,Parameter!$H$5+Parameter!$H$6+Parameter!$H$7))-(AO1622-AJ1622))/AJ1622)))</f>
        <v>1</v>
      </c>
      <c r="AQ1622" s="62" t="n">
        <f aca="false">IF(LEFT(Cockpit!$I$5,1)="A",H1622,IF(Parameter!$E$30="MAX-Bestand",IF(CI1622=1,CJ1622,IF(LEFT(Cockpit!$I$5,1)="B",AW1622,MAX(AW1622,H1622))),ROUNDUP(AU1622,0)))</f>
        <v>1143</v>
      </c>
      <c r="AR1622" s="62" t="n">
        <f aca="false">IF(CA1622=1,0,ROUNDUP(AQ1622/BZ1622,0))</f>
        <v>1</v>
      </c>
      <c r="AS1622" s="64" t="n">
        <f aca="false">IF(CR1622&gt;0,CR1622*MAX(1,AQ1622/X1622),IF(CA1622=1,IF(AQ1622&lt;=0,0,CE1622*MAX(1,IF(H1622&gt;0,AQ1622/H1622,1))),IF(R1622&gt;0,AR1622/R1622,0))/MAX(0.1,N(Parameter!$M$21)))</f>
        <v>0.0384615384615385</v>
      </c>
      <c r="AT1622" s="62" t="n">
        <f aca="false">AS1622*CC1622</f>
        <v>5.96153846153846</v>
      </c>
      <c r="AU1622" s="63" t="n">
        <f aca="false">IF(LEFT(Cockpit!$I$5,1)="A",H1622,IF(CI1622=1,(CL1622+CJ1622)/2,IF(LEFT(Cockpit!$I$5,1)="B",(CL1622+AW1622)/2,MAX((CL1622+AW1622)/2,H1622))))</f>
        <v>1143</v>
      </c>
      <c r="AV1622" s="62" t="n">
        <f aca="false">AU1622*G1622</f>
        <v>91.44</v>
      </c>
      <c r="AW1622" s="62" t="n">
        <f aca="false">ROUNDUP(CL1622+MAX(CM1622,2*(J1622/IF(CH1622&gt;0,CH1622,MAX(0.1,N(Cockpit!$I$6)))-CL1622)),0)</f>
        <v>200</v>
      </c>
      <c r="AX1622" s="63" t="n">
        <f aca="false">IF(AT1622&gt;0,J1622/AT1622,-1)</f>
        <v>0</v>
      </c>
      <c r="AY1622" s="63" t="n">
        <f aca="false">IF(AND(OR(CG1622="L1",CG1622="L23",CG1622="LIFT"),AT1622&gt;0),SUMIFS($AT$7:$AT$1843,$CG$7:$CG$1843,CG1622,$AX$7:$AX$1843,"&gt;"&amp;AX1622)+SUMIFS($AT$7:$AT$1843,$CG$7:$CG$1843,CG1622,$AX$7:$AX$1843,AX1622,$BX$7:$BX$1843,"&lt;="&amp;BX1622),"")</f>
        <v>37174.1278352062</v>
      </c>
      <c r="AZ1622" s="70" t="n">
        <f aca="false">IF(AY1622="",0,MAX(0,MIN(1,(IF(CG1622="L1",Parameter!$H$5,IF(CG1622="L23",Parameter!$H$6+Parameter!$H$7,Parameter!$H$5+Parameter!$H$6+Parameter!$H$7))-(AY1622-AT1622))/AT1622)))</f>
        <v>0</v>
      </c>
      <c r="BA1622" s="62" t="n">
        <f aca="false">IF(LEFT(Cockpit!$O$5,1)="A",H1622,IF(Parameter!$E$30="MAX-Bestand",IF(CI1622=1,CJ1622,IF(LEFT(Cockpit!$O$5,1)="B",BG1622,MAX(BG1622,H1622))),ROUNDUP(BE1622,0)))</f>
        <v>100</v>
      </c>
      <c r="BB1622" s="62" t="n">
        <f aca="false">IF(CA1622=1,0,ROUNDUP(BA1622/BZ1622,0))</f>
        <v>1</v>
      </c>
      <c r="BC1622" s="64" t="n">
        <f aca="false">IF(CR1622&gt;0,CR1622*MAX(1,BA1622/X1622),IF(CA1622=1,IF(BA1622&lt;=0,0,CE1622*MAX(1,IF(H1622&gt;0,BA1622/H1622,1))),IF(R1622&gt;0,BB1622/R1622,0))/MAX(0.1,N(Parameter!$M$21)))</f>
        <v>0.0384615384615385</v>
      </c>
      <c r="BD1622" s="62" t="n">
        <f aca="false">BC1622*CC1622</f>
        <v>5.96153846153846</v>
      </c>
      <c r="BE1622" s="63" t="n">
        <f aca="false">IF(LEFT(Cockpit!$O$5,1)="A",H1622,IF(CI1622=1,(CL1622+CJ1622)/2,IF(LEFT(Cockpit!$O$5,1)="B",(CL1622+BG1622)/2,MAX((CL1622+BG1622)/2,H1622))))</f>
        <v>100</v>
      </c>
      <c r="BF1622" s="62" t="n">
        <f aca="false">BE1622*G1622</f>
        <v>8</v>
      </c>
      <c r="BG1622" s="62" t="n">
        <f aca="false">ROUNDUP(CL1622+MAX(CM1622,2*(J1622/IF(CH1622&gt;0,CH1622,MAX(0.1,N(Cockpit!$O$6)))-CL1622)),0)</f>
        <v>200</v>
      </c>
      <c r="BH1622" s="63" t="n">
        <f aca="false">IF(BD1622&gt;0,J1622/BD1622,-1)</f>
        <v>0</v>
      </c>
      <c r="BI1622" s="63" t="n">
        <f aca="false">IF(AND(OR(CG1622="L1",CG1622="L23",CG1622="LIFT"),BD1622&gt;0),SUMIFS($BD$7:$BD$1843,$CG$7:$CG$1843,CG1622,$BH$7:$BH$1843,"&gt;"&amp;BH1622)+SUMIFS($BD$7:$BD$1843,$CG$7:$CG$1843,CG1622,$BH$7:$BH$1843,BH1622,$BX$7:$BX$1843,"&lt;="&amp;BX1622),"")</f>
        <v>31083.5691107386</v>
      </c>
      <c r="BJ1622" s="70" t="n">
        <f aca="false">IF(BI1622="",0,MAX(0,MIN(1,(IF(CG1622="L1",Parameter!$H$5,IF(CG1622="L23",Parameter!$H$6+Parameter!$H$7,Parameter!$H$5+Parameter!$H$6+Parameter!$H$7))-(BI1622-BD1622))/BD1622)))</f>
        <v>1</v>
      </c>
      <c r="BK1622" s="60" t="str">
        <f aca="false">IF(AJ1622&lt;=0,"",IF(CG1622="Aussen","Aussenlager",IF(CG1622="-","Nicht im Lift",IF(AP1622&gt;=1,"Lift",IF(AP1622&lt;=0,"Aussenlager","teilweise")))))</f>
        <v>Lift</v>
      </c>
      <c r="BL1622" s="60" t="str">
        <f aca="false">IF(AT1622&lt;=0,"",IF(CG1622="Aussen","Aussenlager",IF(CG1622="-","Nicht im Lift",IF(AZ1622&gt;=1,"Lift",IF(AZ1622&lt;=0,"Aussenlager","teilweise")))))</f>
        <v>Aussenlager</v>
      </c>
      <c r="BM1622" s="60" t="str">
        <f aca="false">IF(BD1622&lt;=0,"",IF(CG1622="Aussen","Aussenlager",IF(CG1622="-","Nicht im Lift",IF(BJ1622&gt;=1,"Lift",IF(BJ1622&lt;=0,"Aussenlager","teilweise")))))</f>
        <v>Lift</v>
      </c>
      <c r="BN1622" s="60" t="str">
        <f aca="false">IF(A1622="","",IF(BW1622=1,"Neu; ","")&amp;IF(AND(BW1622=0,BR1622&lt;0),"negativer Bestand (Export "&amp;BR1622&amp;"); ","")&amp;IF(J1622&lt;=0,"Kein Verbrauch; ","")&amp;IF(CR1622&gt;0,"Lift "&amp;W1622&amp;" lt. Liftbericht (Fach "&amp;X1622&amp;" Stk); ",IF(CB1622=1,"Gebinde geschätzt ("&amp;T1622&amp;"); ",IF(CA1622=1,"Lose – Tablare geschätzt; ","")))&amp;IF(H1622&gt;AW1622,"Überbestand "&amp;ROUND(H1622-AW1622,0)&amp;" Stk / CHF "&amp;ROUND((H1622-AW1622)*G1622,0)&amp;"; ","")&amp;IF(AND(CI1622=1,CJ1622&lt;CK1622),"MAX &lt; MB+LG; ","")&amp;IF(AND(CQ1622&gt;0,CP1622*10&gt;CQ1622),"zu hoch für Tablar; ","")&amp;IF(AND(BW1622=0,OR(CI1622=1,AB1622&lt;&gt;"",U1622&lt;&gt;"",V1622&lt;&gt;"",AC1622&lt;&gt;"")),"manuell übersteuert; ","")&amp;IF(AND(CA1622=0,R1622=0),"Gebinde unbekannt / Stellmass fehlt; ","")&amp;IF(AND(CA1622=0,N(V1622)&lt;=0,N(Q1622)&lt;=0),"Menge pro Gebinde fehlt (Ist = 1 Gebinde); ","")&amp;BV1622)</f>
        <v>Kein Verbrauch; Gebinde geschätzt (Klein); Überbestand 943 Stk / CHF 75; Menge pro Gebinde fehlt (Ist = 1 Gebinde); nur im Artikelstamm (Bestand 23.06.2026)</v>
      </c>
      <c r="BO1622" s="60"/>
      <c r="BP1622" s="60"/>
      <c r="BQ1622" s="67"/>
      <c r="BR1622" s="62" t="n">
        <v>1143</v>
      </c>
      <c r="BS1622" s="62" t="n">
        <v>0</v>
      </c>
      <c r="BT1622" s="61" t="n">
        <v>0</v>
      </c>
      <c r="BU1622" s="62" t="n">
        <v>0</v>
      </c>
      <c r="BV1622" s="60" t="s">
        <v>2617</v>
      </c>
      <c r="BW1622" s="65" t="n">
        <v>0</v>
      </c>
      <c r="BX1622" s="65" t="n">
        <v>1622</v>
      </c>
      <c r="BY1622" s="60" t="str">
        <f aca="false">IF(U1622&lt;&gt;"",UPPER(TRIM(U1622)),IF(CB1622=1,UPPER(VLOOKUP(T1622,Parameter!$I$27:$K$29,2,0)),IF(P1622="","LOSE",P1622)))</f>
        <v>S51</v>
      </c>
      <c r="BZ1622" s="62" t="n">
        <f aca="false">IF(BY1622="LOSE",1,IF(N(V1622)&gt;0,V1622,IF(CB1622=1,MAX(1,N(VLOOKUP(T1622,Parameter!$I$27:$K$29,3,0)),H1622,N(N1622)),IF(N(Q1622)&gt;0,Q1622,MAX(1,H1622)))))</f>
        <v>1143</v>
      </c>
      <c r="CA1622" s="65" t="n">
        <f aca="false">IF(BY1622="LOSE",1,0)</f>
        <v>0</v>
      </c>
      <c r="CB1622" s="65" t="n">
        <f aca="false">IF(AND(U1622="",OR(P1622="",P1622="LOSE"),T1622&lt;&gt;"",N(S1622)&lt;=0,ISNUMBER(MATCH(T1622,Parameter!$I$27:$I$29,0))),1,0)</f>
        <v>1</v>
      </c>
      <c r="CC1622" s="65" t="n">
        <f aca="false">IF(CR1622&gt;0,INDEX(Parameter!$H$5:$H$7,W1622)/INDEX(Parameter!$E$5:$E$7,W1622),IF(AND(CA1622=0,N(IFERROR(VLOOKUP(BY1622,'Gebinde-Kategorie'!$A$5:$N$45,14,0),0))&gt;0),VLOOKUP(BY1622,'Gebinde-Kategorie'!$A$5:$N$45,14,0)*10+Parameter!$M$23,Parameter!$M$24))</f>
        <v>155</v>
      </c>
      <c r="CD1622" s="60" t="str">
        <f aca="false">IF(AND(Parameter!$B$19="Ja",E1622&lt;&gt;"",ISNUMBER(MATCH(E1622,Parameter!$I$35:$I$52,0))),VLOOKUP(E1622,Parameter!$I$35:$J$52,2,0),IFERROR(VLOOKUP(D1622,Parameter!$A$35:$C$64,2,0),"Nein"))</f>
        <v>2+3</v>
      </c>
      <c r="CE1622" s="64" t="n">
        <f aca="false">IF(CA1622=0,0,IF(N(S1622)&gt;0,S1622,IFERROR(VLOOKUP(D1622,Parameter!$A$35:$C$64,3,0)+0,0)))</f>
        <v>0</v>
      </c>
      <c r="CF1622" s="60" t="n">
        <f aca="false">IF(AB1622&lt;&gt;"",AB1622,AA1622)</f>
        <v>3</v>
      </c>
      <c r="CG1622" s="60" t="str">
        <f aca="false">IF(OR(CF1622=1,CF1622=2,CF1622=3),IF(Parameter!$E$27="Ja","LIFT",IF(CF1622=1,"L1","L23")),IF(CF1622="Aussen","Aussen","-"))</f>
        <v>LIFT</v>
      </c>
      <c r="CH1622" s="71" t="n">
        <f aca="false">IF(N(AC1622)&gt;0,AC1622,0)</f>
        <v>0</v>
      </c>
      <c r="CI1622" s="65" t="n">
        <f aca="false">IF(ISNUMBER(AF1622),1,0)</f>
        <v>0</v>
      </c>
      <c r="CJ1622" s="62" t="n">
        <f aca="false">N(AF1622)</f>
        <v>0</v>
      </c>
      <c r="CK1622" s="62" t="n">
        <f aca="false">N(M1622)+N(N1622)</f>
        <v>200</v>
      </c>
      <c r="CL1622" s="62" t="n">
        <f aca="false">N(M1622)</f>
        <v>0</v>
      </c>
      <c r="CM1622" s="62" t="n">
        <f aca="false">N(N1622)</f>
        <v>200</v>
      </c>
      <c r="CN1622" s="62" t="n">
        <f aca="false">ROUNDUP(H1622/BZ1622,0)</f>
        <v>1</v>
      </c>
      <c r="CO1622" s="62" t="n">
        <f aca="false">ROUNDUP(CJ1622/BZ1622,0)</f>
        <v>0</v>
      </c>
      <c r="CP1622" s="65" t="n">
        <f aca="false">IF(CA1622=1,0,IFERROR(VLOOKUP(BY1622,'Gebinde-Kategorie'!$A$5:$N$45,5,0)+0,0))</f>
        <v>11</v>
      </c>
      <c r="CQ1622" s="65" t="n">
        <f aca="false">IFERROR(IF(OR(CF1622=1,CF1622=2,CF1622=3),N(INDEX(Parameter!$I$5:$I$7,CF1622)),0),0)</f>
        <v>0</v>
      </c>
      <c r="CR1622" s="64" t="n">
        <f aca="false">IF(AND(Parameter!$B$21="Ja",ISNUMBER(W1622),N(X1622)&gt;0),IFERROR(N(INDEX(Parameter!$L$5:$L$7,W1622))*INDEX(Parameter!$E$5:$E$7,W1622)*X1622/SUMIFS($X$7:$X$1843,$W$7:$W$1843,W1622),0),0)</f>
        <v>0</v>
      </c>
      <c r="CS1622" s="62" t="n">
        <f aca="false">IF(AND(OR(CG1622="L1",CG1622="L23",CG1622="LIFT"),H1622&gt;0),CC1622*IF(CR1622&gt;0,CR1622*MAX(1,H1622/X1622),IF(CA1622=1,CE1622,IF(R1622&gt;0,CN1622/R1622,0))/MAX(0.1,N(Parameter!$M$21))),"")</f>
        <v>5.96153846153846</v>
      </c>
      <c r="CT1622" s="64" t="n">
        <f aca="false">IF(CS1622="","",J1622/H1622)</f>
        <v>0</v>
      </c>
      <c r="CU1622" s="62" t="n">
        <f aca="false">IF(CS1622="","",H1622*G1622)</f>
        <v>91.44</v>
      </c>
      <c r="CV1622" s="63" t="n">
        <f aca="false">IF(CS1622="","",(CL1622+ROUNDUP(CL1622+MAX(CM1622,2*(J1622/MAX(0.1,N(Einkauf!$C$6))-CL1622)),0))/2)</f>
        <v>100</v>
      </c>
      <c r="CW1622" s="62" t="n">
        <f aca="false">IF(CS1622="","",MAX(0,H1622-CV1622)*G1622)</f>
        <v>83.44</v>
      </c>
      <c r="CX1622" s="62" t="n">
        <f aca="false">IF(CS1622="","",CS1622*MAX(0,1-CV1622/H1622))</f>
        <v>5.43996904233125</v>
      </c>
      <c r="CY1622" s="64" t="n">
        <f aca="false">IF(CS1622="","",PERCENTRANK($CS$7:$CS$1843,CS1622)+PERCENTRANK($CU$7:$CU$1843,CU1622)+1-PERCENTRANK($CT$7:$CT$1843,CT1622))</f>
        <v>1.576</v>
      </c>
      <c r="CZ1622" s="72" t="n">
        <f aca="false">IF(CS1622="","",CHOOSE(MATCH(Einkauf!$C$5,Parameter!$G$23:$G$27,0),CY1622,CS1622,CU1622,-CT1622,CW1622)+ROW()/1000000000)</f>
        <v>1.576001622</v>
      </c>
    </row>
    <row r="1623" customFormat="false" ht="15" hidden="false" customHeight="false" outlineLevel="0" collapsed="false">
      <c r="A1623" s="60" t="s">
        <v>2867</v>
      </c>
      <c r="B1623" s="60" t="s">
        <v>2373</v>
      </c>
      <c r="C1623" s="60" t="s">
        <v>206</v>
      </c>
      <c r="D1623" s="60" t="s">
        <v>215</v>
      </c>
      <c r="E1623" s="60" t="s">
        <v>215</v>
      </c>
      <c r="F1623" s="60"/>
      <c r="G1623" s="61" t="n">
        <v>3273.53</v>
      </c>
      <c r="H1623" s="62" t="n">
        <f aca="false">MAX(0,IF(AND(Parameter!$B$21="Ja",ISNUMBER(Y1623)),Y1623,IF(Parameter!$B$20="Jahresanfang 2025 + Export",BS1623+BR1623,BR1623)))</f>
        <v>12</v>
      </c>
      <c r="I1623" s="62" t="n">
        <f aca="false">H1623*G1623</f>
        <v>39282.36</v>
      </c>
      <c r="J1623" s="62" t="n">
        <f aca="false">BU1623*Parameter!$B$18</f>
        <v>0</v>
      </c>
      <c r="K1623" s="63"/>
      <c r="L1623" s="64"/>
      <c r="M1623" s="62" t="n">
        <v>0</v>
      </c>
      <c r="N1623" s="62" t="n">
        <v>1</v>
      </c>
      <c r="O1623" s="65" t="n">
        <v>77</v>
      </c>
      <c r="P1623" s="60" t="s">
        <v>210</v>
      </c>
      <c r="Q1623" s="62"/>
      <c r="R1623" s="65" t="n">
        <f aca="false">IF(CA1623=1,0,IFERROR(VLOOKUP(BY1623,'Gebinde-Kategorie'!$A$5:$N$45,13,0)+0,0))</f>
        <v>12</v>
      </c>
      <c r="S1623" s="66"/>
      <c r="T1623" s="67" t="s">
        <v>221</v>
      </c>
      <c r="U1623" s="67"/>
      <c r="V1623" s="67"/>
      <c r="W1623" s="60"/>
      <c r="X1623" s="62"/>
      <c r="Y1623" s="62"/>
      <c r="Z1623" s="60"/>
      <c r="AA1623" s="60" t="str">
        <f aca="false">IF(A1623="","",IF(AND(Parameter!$B$21="Ja",ISNUMBER(W1623)),W1623,IF(AND(Parameter!$E$27="Ja",ISNUMBER(Z1623),CD1623&lt;&gt;"Nein"),Z1623,IF(CD1623="2+3",IF(ISNUMBER(SEARCH("grosser Artikel",BV1623)),2,IFERROR(VLOOKUP(BY1623,Parameter!$F$35:$G$64,2,0),2)),IF(OR(CD1623="Nein",CD1623=""),"-",CD1623)))))</f>
        <v>-</v>
      </c>
      <c r="AB1623" s="67"/>
      <c r="AC1623" s="68"/>
      <c r="AD1623" s="62" t="n">
        <f aca="false">AW1623</f>
        <v>1</v>
      </c>
      <c r="AE1623" s="62" t="n">
        <f aca="false">MAX(AW1623,H1623)</f>
        <v>12</v>
      </c>
      <c r="AF1623" s="69"/>
      <c r="AG1623" s="62" t="n">
        <f aca="false">IF(LEFT(Cockpit!$C$5,1)="A",H1623,IF(Parameter!$E$30="MAX-Bestand",IF(CI1623=1,CJ1623,IF(LEFT(Cockpit!$C$5,1)="B",AM1623,MAX(AM1623,H1623))),ROUNDUP(AK1623,0)))</f>
        <v>12</v>
      </c>
      <c r="AH1623" s="62" t="n">
        <f aca="false">IF(CA1623=1,0,ROUNDUP(AG1623/BZ1623,0))</f>
        <v>1</v>
      </c>
      <c r="AI1623" s="64" t="n">
        <f aca="false">IF(CR1623&gt;0,CR1623*MAX(1,AG1623/X1623),IF(CA1623=1,IF(AG1623&lt;=0,0,CE1623*MAX(1,IF(H1623&gt;0,AG1623/H1623,1))),IF(R1623&gt;0,AH1623/R1623,0))/MAX(0.1,N(Parameter!$M$21)))</f>
        <v>0.0833333333333333</v>
      </c>
      <c r="AJ1623" s="62" t="n">
        <f aca="false">AI1623*CC1623</f>
        <v>12.0833333333333</v>
      </c>
      <c r="AK1623" s="63" t="n">
        <f aca="false">IF(LEFT(Cockpit!$C$5,1)="A",H1623,IF(CI1623=1,(CL1623+CJ1623)/2,IF(LEFT(Cockpit!$C$5,1)="B",(CL1623+AM1623)/2,MAX((CL1623+AM1623)/2,H1623))))</f>
        <v>12</v>
      </c>
      <c r="AL1623" s="62" t="n">
        <f aca="false">AK1623*G1623</f>
        <v>39282.36</v>
      </c>
      <c r="AM1623" s="62" t="n">
        <f aca="false">ROUNDUP(CL1623+MAX(CM1623,2*(J1623/IF(CH1623&gt;0,CH1623,MAX(0.1,N(Cockpit!$C$6)))-CL1623)),0)</f>
        <v>1</v>
      </c>
      <c r="AN1623" s="63" t="n">
        <f aca="false">IF(AJ1623&gt;0,J1623/AJ1623,-1)</f>
        <v>0</v>
      </c>
      <c r="AO1623" s="63" t="str">
        <f aca="false">IF(AND(OR(CG1623="L1",CG1623="L23",CG1623="LIFT"),AJ1623&gt;0),SUMIFS($AJ$7:$AJ$1843,$CG$7:$CG$1843,CG1623,$AN$7:$AN$1843,"&gt;"&amp;AN1623)+SUMIFS($AJ$7:$AJ$1843,$CG$7:$CG$1843,CG1623,$AN$7:$AN$1843,AN1623,$BX$7:$BX$1843,"&lt;="&amp;BX1623),"")</f>
        <v/>
      </c>
      <c r="AP1623" s="70" t="n">
        <f aca="false">IF(AO1623="",0,MAX(0,MIN(1,(IF(CG1623="L1",Parameter!$H$5,IF(CG1623="L23",Parameter!$H$6+Parameter!$H$7,Parameter!$H$5+Parameter!$H$6+Parameter!$H$7))-(AO1623-AJ1623))/AJ1623)))</f>
        <v>0</v>
      </c>
      <c r="AQ1623" s="62" t="n">
        <f aca="false">IF(LEFT(Cockpit!$I$5,1)="A",H1623,IF(Parameter!$E$30="MAX-Bestand",IF(CI1623=1,CJ1623,IF(LEFT(Cockpit!$I$5,1)="B",AW1623,MAX(AW1623,H1623))),ROUNDUP(AU1623,0)))</f>
        <v>12</v>
      </c>
      <c r="AR1623" s="62" t="n">
        <f aca="false">IF(CA1623=1,0,ROUNDUP(AQ1623/BZ1623,0))</f>
        <v>1</v>
      </c>
      <c r="AS1623" s="64" t="n">
        <f aca="false">IF(CR1623&gt;0,CR1623*MAX(1,AQ1623/X1623),IF(CA1623=1,IF(AQ1623&lt;=0,0,CE1623*MAX(1,IF(H1623&gt;0,AQ1623/H1623,1))),IF(R1623&gt;0,AR1623/R1623,0))/MAX(0.1,N(Parameter!$M$21)))</f>
        <v>0.0833333333333333</v>
      </c>
      <c r="AT1623" s="62" t="n">
        <f aca="false">AS1623*CC1623</f>
        <v>12.0833333333333</v>
      </c>
      <c r="AU1623" s="63" t="n">
        <f aca="false">IF(LEFT(Cockpit!$I$5,1)="A",H1623,IF(CI1623=1,(CL1623+CJ1623)/2,IF(LEFT(Cockpit!$I$5,1)="B",(CL1623+AW1623)/2,MAX((CL1623+AW1623)/2,H1623))))</f>
        <v>12</v>
      </c>
      <c r="AV1623" s="62" t="n">
        <f aca="false">AU1623*G1623</f>
        <v>39282.36</v>
      </c>
      <c r="AW1623" s="62" t="n">
        <f aca="false">ROUNDUP(CL1623+MAX(CM1623,2*(J1623/IF(CH1623&gt;0,CH1623,MAX(0.1,N(Cockpit!$I$6)))-CL1623)),0)</f>
        <v>1</v>
      </c>
      <c r="AX1623" s="63" t="n">
        <f aca="false">IF(AT1623&gt;0,J1623/AT1623,-1)</f>
        <v>0</v>
      </c>
      <c r="AY1623" s="63" t="str">
        <f aca="false">IF(AND(OR(CG1623="L1",CG1623="L23",CG1623="LIFT"),AT1623&gt;0),SUMIFS($AT$7:$AT$1843,$CG$7:$CG$1843,CG1623,$AX$7:$AX$1843,"&gt;"&amp;AX1623)+SUMIFS($AT$7:$AT$1843,$CG$7:$CG$1843,CG1623,$AX$7:$AX$1843,AX1623,$BX$7:$BX$1843,"&lt;="&amp;BX1623),"")</f>
        <v/>
      </c>
      <c r="AZ1623" s="70" t="n">
        <f aca="false">IF(AY1623="",0,MAX(0,MIN(1,(IF(CG1623="L1",Parameter!$H$5,IF(CG1623="L23",Parameter!$H$6+Parameter!$H$7,Parameter!$H$5+Parameter!$H$6+Parameter!$H$7))-(AY1623-AT1623))/AT1623)))</f>
        <v>0</v>
      </c>
      <c r="BA1623" s="62" t="n">
        <f aca="false">IF(LEFT(Cockpit!$O$5,1)="A",H1623,IF(Parameter!$E$30="MAX-Bestand",IF(CI1623=1,CJ1623,IF(LEFT(Cockpit!$O$5,1)="B",BG1623,MAX(BG1623,H1623))),ROUNDUP(BE1623,0)))</f>
        <v>1</v>
      </c>
      <c r="BB1623" s="62" t="n">
        <f aca="false">IF(CA1623=1,0,ROUNDUP(BA1623/BZ1623,0))</f>
        <v>1</v>
      </c>
      <c r="BC1623" s="64" t="n">
        <f aca="false">IF(CR1623&gt;0,CR1623*MAX(1,BA1623/X1623),IF(CA1623=1,IF(BA1623&lt;=0,0,CE1623*MAX(1,IF(H1623&gt;0,BA1623/H1623,1))),IF(R1623&gt;0,BB1623/R1623,0))/MAX(0.1,N(Parameter!$M$21)))</f>
        <v>0.0833333333333333</v>
      </c>
      <c r="BD1623" s="62" t="n">
        <f aca="false">BC1623*CC1623</f>
        <v>12.0833333333333</v>
      </c>
      <c r="BE1623" s="63" t="n">
        <f aca="false">IF(LEFT(Cockpit!$O$5,1)="A",H1623,IF(CI1623=1,(CL1623+CJ1623)/2,IF(LEFT(Cockpit!$O$5,1)="B",(CL1623+BG1623)/2,MAX((CL1623+BG1623)/2,H1623))))</f>
        <v>0.5</v>
      </c>
      <c r="BF1623" s="62" t="n">
        <f aca="false">BE1623*G1623</f>
        <v>1636.765</v>
      </c>
      <c r="BG1623" s="62" t="n">
        <f aca="false">ROUNDUP(CL1623+MAX(CM1623,2*(J1623/IF(CH1623&gt;0,CH1623,MAX(0.1,N(Cockpit!$O$6)))-CL1623)),0)</f>
        <v>1</v>
      </c>
      <c r="BH1623" s="63" t="n">
        <f aca="false">IF(BD1623&gt;0,J1623/BD1623,-1)</f>
        <v>0</v>
      </c>
      <c r="BI1623" s="63" t="str">
        <f aca="false">IF(AND(OR(CG1623="L1",CG1623="L23",CG1623="LIFT"),BD1623&gt;0),SUMIFS($BD$7:$BD$1843,$CG$7:$CG$1843,CG1623,$BH$7:$BH$1843,"&gt;"&amp;BH1623)+SUMIFS($BD$7:$BD$1843,$CG$7:$CG$1843,CG1623,$BH$7:$BH$1843,BH1623,$BX$7:$BX$1843,"&lt;="&amp;BX1623),"")</f>
        <v/>
      </c>
      <c r="BJ1623" s="70" t="n">
        <f aca="false">IF(BI1623="",0,MAX(0,MIN(1,(IF(CG1623="L1",Parameter!$H$5,IF(CG1623="L23",Parameter!$H$6+Parameter!$H$7,Parameter!$H$5+Parameter!$H$6+Parameter!$H$7))-(BI1623-BD1623))/BD1623)))</f>
        <v>0</v>
      </c>
      <c r="BK1623" s="60" t="str">
        <f aca="false">IF(AJ1623&lt;=0,"",IF(CG1623="Aussen","Aussenlager",IF(CG1623="-","Nicht im Lift",IF(AP1623&gt;=1,"Lift",IF(AP1623&lt;=0,"Aussenlager","teilweise")))))</f>
        <v>Nicht im Lift</v>
      </c>
      <c r="BL1623" s="60" t="str">
        <f aca="false">IF(AT1623&lt;=0,"",IF(CG1623="Aussen","Aussenlager",IF(CG1623="-","Nicht im Lift",IF(AZ1623&gt;=1,"Lift",IF(AZ1623&lt;=0,"Aussenlager","teilweise")))))</f>
        <v>Nicht im Lift</v>
      </c>
      <c r="BM1623" s="60" t="str">
        <f aca="false">IF(BD1623&lt;=0,"",IF(CG1623="Aussen","Aussenlager",IF(CG1623="-","Nicht im Lift",IF(BJ1623&gt;=1,"Lift",IF(BJ1623&lt;=0,"Aussenlager","teilweise")))))</f>
        <v>Nicht im Lift</v>
      </c>
      <c r="BN1623" s="60" t="str">
        <f aca="false">IF(A1623="","",IF(BW1623=1,"Neu; ","")&amp;IF(AND(BW1623=0,BR1623&lt;0),"negativer Bestand (Export "&amp;BR1623&amp;"); ","")&amp;IF(J1623&lt;=0,"Kein Verbrauch; ","")&amp;IF(CR1623&gt;0,"Lift "&amp;W1623&amp;" lt. Liftbericht (Fach "&amp;X1623&amp;" Stk); ",IF(CB1623=1,"Gebinde geschätzt ("&amp;T1623&amp;"); ",IF(CA1623=1,"Lose – Tablare geschätzt; ","")))&amp;IF(H1623&gt;AW1623,"Überbestand "&amp;ROUND(H1623-AW1623,0)&amp;" Stk / CHF "&amp;ROUND((H1623-AW1623)*G1623,0)&amp;"; ","")&amp;IF(AND(CI1623=1,CJ1623&lt;CK1623),"MAX &lt; MB+LG; ","")&amp;IF(AND(CQ1623&gt;0,CP1623*10&gt;CQ1623),"zu hoch für Tablar; ","")&amp;IF(AND(BW1623=0,OR(CI1623=1,AB1623&lt;&gt;"",U1623&lt;&gt;"",V1623&lt;&gt;"",AC1623&lt;&gt;"")),"manuell übersteuert; ","")&amp;IF(AND(CA1623=0,R1623=0),"Gebinde unbekannt / Stellmass fehlt; ","")&amp;IF(AND(CA1623=0,N(V1623)&lt;=0,N(Q1623)&lt;=0),"Menge pro Gebinde fehlt (Ist = 1 Gebinde); ","")&amp;BV1623)</f>
        <v>Kein Verbrauch; Gebinde geschätzt (Mittel); Überbestand 11 Stk / CHF 36009; Menge pro Gebinde fehlt (Ist = 1 Gebinde); nur im Artikelstamm (Bestand 23.06.2026)</v>
      </c>
      <c r="BO1623" s="60"/>
      <c r="BP1623" s="60"/>
      <c r="BQ1623" s="67"/>
      <c r="BR1623" s="62" t="n">
        <v>12</v>
      </c>
      <c r="BS1623" s="62" t="n">
        <v>0</v>
      </c>
      <c r="BT1623" s="61" t="n">
        <v>0</v>
      </c>
      <c r="BU1623" s="62" t="n">
        <v>0</v>
      </c>
      <c r="BV1623" s="60" t="s">
        <v>2617</v>
      </c>
      <c r="BW1623" s="65" t="n">
        <v>0</v>
      </c>
      <c r="BX1623" s="65" t="n">
        <v>1623</v>
      </c>
      <c r="BY1623" s="60" t="str">
        <f aca="false">IF(U1623&lt;&gt;"",UPPER(TRIM(U1623)),IF(CB1623=1,UPPER(VLOOKUP(T1623,Parameter!$I$27:$K$29,2,0)),IF(P1623="","LOSE",P1623)))</f>
        <v>S61</v>
      </c>
      <c r="BZ1623" s="62" t="n">
        <f aca="false">IF(BY1623="LOSE",1,IF(N(V1623)&gt;0,V1623,IF(CB1623=1,MAX(1,N(VLOOKUP(T1623,Parameter!$I$27:$K$29,3,0)),H1623,N(N1623)),IF(N(Q1623)&gt;0,Q1623,MAX(1,H1623)))))</f>
        <v>12</v>
      </c>
      <c r="CA1623" s="65" t="n">
        <f aca="false">IF(BY1623="LOSE",1,0)</f>
        <v>0</v>
      </c>
      <c r="CB1623" s="65" t="n">
        <f aca="false">IF(AND(U1623="",OR(P1623="",P1623="LOSE"),T1623&lt;&gt;"",N(S1623)&lt;=0,ISNUMBER(MATCH(T1623,Parameter!$I$27:$I$29,0))),1,0)</f>
        <v>1</v>
      </c>
      <c r="CC1623" s="65" t="n">
        <f aca="false">IF(CR1623&gt;0,INDEX(Parameter!$H$5:$H$7,W1623)/INDEX(Parameter!$E$5:$E$7,W1623),IF(AND(CA1623=0,N(IFERROR(VLOOKUP(BY1623,'Gebinde-Kategorie'!$A$5:$N$45,14,0),0))&gt;0),VLOOKUP(BY1623,'Gebinde-Kategorie'!$A$5:$N$45,14,0)*10+Parameter!$M$23,Parameter!$M$24))</f>
        <v>145</v>
      </c>
      <c r="CD1623" s="60" t="str">
        <f aca="false">IF(AND(Parameter!$B$19="Ja",E1623&lt;&gt;"",ISNUMBER(MATCH(E1623,Parameter!$I$35:$I$52,0))),VLOOKUP(E1623,Parameter!$I$35:$J$52,2,0),IFERROR(VLOOKUP(D1623,Parameter!$A$35:$C$64,2,0),"Nein"))</f>
        <v>Nein</v>
      </c>
      <c r="CE1623" s="64" t="n">
        <f aca="false">IF(CA1623=0,0,IF(N(S1623)&gt;0,S1623,IFERROR(VLOOKUP(D1623,Parameter!$A$35:$C$64,3,0)+0,0)))</f>
        <v>0</v>
      </c>
      <c r="CF1623" s="60" t="str">
        <f aca="false">IF(AB1623&lt;&gt;"",AB1623,AA1623)</f>
        <v>-</v>
      </c>
      <c r="CG1623" s="60" t="str">
        <f aca="false">IF(OR(CF1623=1,CF1623=2,CF1623=3),IF(Parameter!$E$27="Ja","LIFT",IF(CF1623=1,"L1","L23")),IF(CF1623="Aussen","Aussen","-"))</f>
        <v>-</v>
      </c>
      <c r="CH1623" s="71" t="n">
        <f aca="false">IF(N(AC1623)&gt;0,AC1623,0)</f>
        <v>0</v>
      </c>
      <c r="CI1623" s="65" t="n">
        <f aca="false">IF(ISNUMBER(AF1623),1,0)</f>
        <v>0</v>
      </c>
      <c r="CJ1623" s="62" t="n">
        <f aca="false">N(AF1623)</f>
        <v>0</v>
      </c>
      <c r="CK1623" s="62" t="n">
        <f aca="false">N(M1623)+N(N1623)</f>
        <v>1</v>
      </c>
      <c r="CL1623" s="62" t="n">
        <f aca="false">N(M1623)</f>
        <v>0</v>
      </c>
      <c r="CM1623" s="62" t="n">
        <f aca="false">N(N1623)</f>
        <v>1</v>
      </c>
      <c r="CN1623" s="62" t="n">
        <f aca="false">ROUNDUP(H1623/BZ1623,0)</f>
        <v>1</v>
      </c>
      <c r="CO1623" s="62" t="n">
        <f aca="false">ROUNDUP(CJ1623/BZ1623,0)</f>
        <v>0</v>
      </c>
      <c r="CP1623" s="65" t="n">
        <f aca="false">IF(CA1623=1,0,IFERROR(VLOOKUP(BY1623,'Gebinde-Kategorie'!$A$5:$N$45,5,0)+0,0))</f>
        <v>11</v>
      </c>
      <c r="CQ1623" s="65" t="n">
        <f aca="false">IFERROR(IF(OR(CF1623=1,CF1623=2,CF1623=3),N(INDEX(Parameter!$I$5:$I$7,CF1623)),0),0)</f>
        <v>0</v>
      </c>
      <c r="CR1623" s="64" t="n">
        <f aca="false">IF(AND(Parameter!$B$21="Ja",ISNUMBER(W1623),N(X1623)&gt;0),IFERROR(N(INDEX(Parameter!$L$5:$L$7,W1623))*INDEX(Parameter!$E$5:$E$7,W1623)*X1623/SUMIFS($X$7:$X$1843,$W$7:$W$1843,W1623),0),0)</f>
        <v>0</v>
      </c>
      <c r="CS1623" s="62" t="str">
        <f aca="false">IF(AND(OR(CG1623="L1",CG1623="L23",CG1623="LIFT"),H1623&gt;0),CC1623*IF(CR1623&gt;0,CR1623*MAX(1,H1623/X1623),IF(CA1623=1,CE1623,IF(R1623&gt;0,CN1623/R1623,0))/MAX(0.1,N(Parameter!$M$21))),"")</f>
        <v/>
      </c>
      <c r="CT1623" s="64" t="str">
        <f aca="false">IF(CS1623="","",J1623/H1623)</f>
        <v/>
      </c>
      <c r="CU1623" s="62" t="str">
        <f aca="false">IF(CS1623="","",H1623*G1623)</f>
        <v/>
      </c>
      <c r="CV1623" s="63" t="str">
        <f aca="false">IF(CS1623="","",(CL1623+ROUNDUP(CL1623+MAX(CM1623,2*(J1623/MAX(0.1,N(Einkauf!$C$6))-CL1623)),0))/2)</f>
        <v/>
      </c>
      <c r="CW1623" s="62" t="str">
        <f aca="false">IF(CS1623="","",MAX(0,H1623-CV1623)*G1623)</f>
        <v/>
      </c>
      <c r="CX1623" s="62" t="str">
        <f aca="false">IF(CS1623="","",CS1623*MAX(0,1-CV1623/H1623))</f>
        <v/>
      </c>
      <c r="CY1623" s="64" t="str">
        <f aca="false">IF(CS1623="","",PERCENTRANK($CS$7:$CS$1843,CS1623)+PERCENTRANK($CU$7:$CU$1843,CU1623)+1-PERCENTRANK($CT$7:$CT$1843,CT1623))</f>
        <v/>
      </c>
      <c r="CZ1623" s="72" t="str">
        <f aca="false">IF(CS1623="","",CHOOSE(MATCH(Einkauf!$C$5,Parameter!$G$23:$G$27,0),CY1623,CS1623,CU1623,-CT1623,CW1623)+ROW()/1000000000)</f>
        <v/>
      </c>
    </row>
    <row r="1624" customFormat="false" ht="15" hidden="false" customHeight="false" outlineLevel="0" collapsed="false">
      <c r="A1624" s="60" t="s">
        <v>2868</v>
      </c>
      <c r="B1624" s="60" t="s">
        <v>1892</v>
      </c>
      <c r="C1624" s="60" t="s">
        <v>206</v>
      </c>
      <c r="D1624" s="60" t="s">
        <v>215</v>
      </c>
      <c r="E1624" s="60"/>
      <c r="F1624" s="60"/>
      <c r="G1624" s="61" t="n">
        <v>92.44</v>
      </c>
      <c r="H1624" s="62" t="n">
        <f aca="false">MAX(0,IF(AND(Parameter!$B$21="Ja",ISNUMBER(Y1624)),Y1624,IF(Parameter!$B$20="Jahresanfang 2025 + Export",BS1624+BR1624,BR1624)))</f>
        <v>12</v>
      </c>
      <c r="I1624" s="62" t="n">
        <f aca="false">H1624*G1624</f>
        <v>1109.28</v>
      </c>
      <c r="J1624" s="62" t="n">
        <f aca="false">BU1624*Parameter!$B$18</f>
        <v>0</v>
      </c>
      <c r="K1624" s="63"/>
      <c r="L1624" s="64"/>
      <c r="M1624" s="62" t="n">
        <v>0</v>
      </c>
      <c r="N1624" s="62" t="n">
        <v>1</v>
      </c>
      <c r="O1624" s="65" t="n">
        <v>28</v>
      </c>
      <c r="P1624" s="60" t="s">
        <v>210</v>
      </c>
      <c r="Q1624" s="62"/>
      <c r="R1624" s="65" t="n">
        <f aca="false">IF(CA1624=1,0,IFERROR(VLOOKUP(BY1624,'Gebinde-Kategorie'!$A$5:$N$45,13,0)+0,0))</f>
        <v>12</v>
      </c>
      <c r="S1624" s="66"/>
      <c r="T1624" s="67" t="s">
        <v>221</v>
      </c>
      <c r="U1624" s="67"/>
      <c r="V1624" s="67"/>
      <c r="W1624" s="60"/>
      <c r="X1624" s="62"/>
      <c r="Y1624" s="62"/>
      <c r="Z1624" s="60" t="n">
        <v>3</v>
      </c>
      <c r="AA1624" s="60" t="n">
        <f aca="false">IF(A1624="","",IF(AND(Parameter!$B$21="Ja",ISNUMBER(W1624)),W1624,IF(AND(Parameter!$E$27="Ja",ISNUMBER(Z1624),CD1624&lt;&gt;"Nein"),Z1624,IF(CD1624="2+3",IF(ISNUMBER(SEARCH("grosser Artikel",BV1624)),2,IFERROR(VLOOKUP(BY1624,Parameter!$F$35:$G$64,2,0),2)),IF(OR(CD1624="Nein",CD1624=""),"-",CD1624)))))</f>
        <v>3</v>
      </c>
      <c r="AB1624" s="67"/>
      <c r="AC1624" s="68"/>
      <c r="AD1624" s="62" t="n">
        <f aca="false">AW1624</f>
        <v>1</v>
      </c>
      <c r="AE1624" s="62" t="n">
        <f aca="false">MAX(AW1624,H1624)</f>
        <v>12</v>
      </c>
      <c r="AF1624" s="69"/>
      <c r="AG1624" s="62" t="n">
        <f aca="false">IF(LEFT(Cockpit!$C$5,1)="A",H1624,IF(Parameter!$E$30="MAX-Bestand",IF(CI1624=1,CJ1624,IF(LEFT(Cockpit!$C$5,1)="B",AM1624,MAX(AM1624,H1624))),ROUNDUP(AK1624,0)))</f>
        <v>12</v>
      </c>
      <c r="AH1624" s="62" t="n">
        <f aca="false">IF(CA1624=1,0,ROUNDUP(AG1624/BZ1624,0))</f>
        <v>1</v>
      </c>
      <c r="AI1624" s="64" t="n">
        <f aca="false">IF(CR1624&gt;0,CR1624*MAX(1,AG1624/X1624),IF(CA1624=1,IF(AG1624&lt;=0,0,CE1624*MAX(1,IF(H1624&gt;0,AG1624/H1624,1))),IF(R1624&gt;0,AH1624/R1624,0))/MAX(0.1,N(Parameter!$M$21)))</f>
        <v>0.0833333333333333</v>
      </c>
      <c r="AJ1624" s="62" t="n">
        <f aca="false">AI1624*CC1624</f>
        <v>12.0833333333333</v>
      </c>
      <c r="AK1624" s="63" t="n">
        <f aca="false">IF(LEFT(Cockpit!$C$5,1)="A",H1624,IF(CI1624=1,(CL1624+CJ1624)/2,IF(LEFT(Cockpit!$C$5,1)="B",(CL1624+AM1624)/2,MAX((CL1624+AM1624)/2,H1624))))</f>
        <v>12</v>
      </c>
      <c r="AL1624" s="62" t="n">
        <f aca="false">AK1624*G1624</f>
        <v>1109.28</v>
      </c>
      <c r="AM1624" s="62" t="n">
        <f aca="false">ROUNDUP(CL1624+MAX(CM1624,2*(J1624/IF(CH1624&gt;0,CH1624,MAX(0.1,N(Cockpit!$C$6)))-CL1624)),0)</f>
        <v>1</v>
      </c>
      <c r="AN1624" s="63" t="n">
        <f aca="false">IF(AJ1624&gt;0,J1624/AJ1624,-1)</f>
        <v>0</v>
      </c>
      <c r="AO1624" s="63" t="n">
        <f aca="false">IF(AND(OR(CG1624="L1",CG1624="L23",CG1624="LIFT"),AJ1624&gt;0),SUMIFS($AJ$7:$AJ$1843,$CG$7:$CG$1843,CG1624,$AN$7:$AN$1843,"&gt;"&amp;AN1624)+SUMIFS($AJ$7:$AJ$1843,$CG$7:$CG$1843,CG1624,$AN$7:$AN$1843,AN1624,$BX$7:$BX$1843,"&lt;="&amp;BX1624),"")</f>
        <v>30866.3546517042</v>
      </c>
      <c r="AP1624" s="70" t="n">
        <f aca="false">IF(AO1624="",0,MAX(0,MIN(1,(IF(CG1624="L1",Parameter!$H$5,IF(CG1624="L23",Parameter!$H$6+Parameter!$H$7,Parameter!$H$5+Parameter!$H$6+Parameter!$H$7))-(AO1624-AJ1624))/AJ1624)))</f>
        <v>1</v>
      </c>
      <c r="AQ1624" s="62" t="n">
        <f aca="false">IF(LEFT(Cockpit!$I$5,1)="A",H1624,IF(Parameter!$E$30="MAX-Bestand",IF(CI1624=1,CJ1624,IF(LEFT(Cockpit!$I$5,1)="B",AW1624,MAX(AW1624,H1624))),ROUNDUP(AU1624,0)))</f>
        <v>12</v>
      </c>
      <c r="AR1624" s="62" t="n">
        <f aca="false">IF(CA1624=1,0,ROUNDUP(AQ1624/BZ1624,0))</f>
        <v>1</v>
      </c>
      <c r="AS1624" s="64" t="n">
        <f aca="false">IF(CR1624&gt;0,CR1624*MAX(1,AQ1624/X1624),IF(CA1624=1,IF(AQ1624&lt;=0,0,CE1624*MAX(1,IF(H1624&gt;0,AQ1624/H1624,1))),IF(R1624&gt;0,AR1624/R1624,0))/MAX(0.1,N(Parameter!$M$21)))</f>
        <v>0.0833333333333333</v>
      </c>
      <c r="AT1624" s="62" t="n">
        <f aca="false">AS1624*CC1624</f>
        <v>12.0833333333333</v>
      </c>
      <c r="AU1624" s="63" t="n">
        <f aca="false">IF(LEFT(Cockpit!$I$5,1)="A",H1624,IF(CI1624=1,(CL1624+CJ1624)/2,IF(LEFT(Cockpit!$I$5,1)="B",(CL1624+AW1624)/2,MAX((CL1624+AW1624)/2,H1624))))</f>
        <v>12</v>
      </c>
      <c r="AV1624" s="62" t="n">
        <f aca="false">AU1624*G1624</f>
        <v>1109.28</v>
      </c>
      <c r="AW1624" s="62" t="n">
        <f aca="false">ROUNDUP(CL1624+MAX(CM1624,2*(J1624/IF(CH1624&gt;0,CH1624,MAX(0.1,N(Cockpit!$I$6)))-CL1624)),0)</f>
        <v>1</v>
      </c>
      <c r="AX1624" s="63" t="n">
        <f aca="false">IF(AT1624&gt;0,J1624/AT1624,-1)</f>
        <v>0</v>
      </c>
      <c r="AY1624" s="63" t="n">
        <f aca="false">IF(AND(OR(CG1624="L1",CG1624="L23",CG1624="LIFT"),AT1624&gt;0),SUMIFS($AT$7:$AT$1843,$CG$7:$CG$1843,CG1624,$AX$7:$AX$1843,"&gt;"&amp;AX1624)+SUMIFS($AT$7:$AT$1843,$CG$7:$CG$1843,CG1624,$AX$7:$AX$1843,AX1624,$BX$7:$BX$1843,"&lt;="&amp;BX1624),"")</f>
        <v>37186.2111685396</v>
      </c>
      <c r="AZ1624" s="70" t="n">
        <f aca="false">IF(AY1624="",0,MAX(0,MIN(1,(IF(CG1624="L1",Parameter!$H$5,IF(CG1624="L23",Parameter!$H$6+Parameter!$H$7,Parameter!$H$5+Parameter!$H$6+Parameter!$H$7))-(AY1624-AT1624))/AT1624)))</f>
        <v>0</v>
      </c>
      <c r="BA1624" s="62" t="n">
        <f aca="false">IF(LEFT(Cockpit!$O$5,1)="A",H1624,IF(Parameter!$E$30="MAX-Bestand",IF(CI1624=1,CJ1624,IF(LEFT(Cockpit!$O$5,1)="B",BG1624,MAX(BG1624,H1624))),ROUNDUP(BE1624,0)))</f>
        <v>1</v>
      </c>
      <c r="BB1624" s="62" t="n">
        <f aca="false">IF(CA1624=1,0,ROUNDUP(BA1624/BZ1624,0))</f>
        <v>1</v>
      </c>
      <c r="BC1624" s="64" t="n">
        <f aca="false">IF(CR1624&gt;0,CR1624*MAX(1,BA1624/X1624),IF(CA1624=1,IF(BA1624&lt;=0,0,CE1624*MAX(1,IF(H1624&gt;0,BA1624/H1624,1))),IF(R1624&gt;0,BB1624/R1624,0))/MAX(0.1,N(Parameter!$M$21)))</f>
        <v>0.0833333333333333</v>
      </c>
      <c r="BD1624" s="62" t="n">
        <f aca="false">BC1624*CC1624</f>
        <v>12.0833333333333</v>
      </c>
      <c r="BE1624" s="63" t="n">
        <f aca="false">IF(LEFT(Cockpit!$O$5,1)="A",H1624,IF(CI1624=1,(CL1624+CJ1624)/2,IF(LEFT(Cockpit!$O$5,1)="B",(CL1624+BG1624)/2,MAX((CL1624+BG1624)/2,H1624))))</f>
        <v>0.5</v>
      </c>
      <c r="BF1624" s="62" t="n">
        <f aca="false">BE1624*G1624</f>
        <v>46.22</v>
      </c>
      <c r="BG1624" s="62" t="n">
        <f aca="false">ROUNDUP(CL1624+MAX(CM1624,2*(J1624/IF(CH1624&gt;0,CH1624,MAX(0.1,N(Cockpit!$O$6)))-CL1624)),0)</f>
        <v>1</v>
      </c>
      <c r="BH1624" s="63" t="n">
        <f aca="false">IF(BD1624&gt;0,J1624/BD1624,-1)</f>
        <v>0</v>
      </c>
      <c r="BI1624" s="63" t="n">
        <f aca="false">IF(AND(OR(CG1624="L1",CG1624="L23",CG1624="LIFT"),BD1624&gt;0),SUMIFS($BD$7:$BD$1843,$CG$7:$CG$1843,CG1624,$BH$7:$BH$1843,"&gt;"&amp;BH1624)+SUMIFS($BD$7:$BD$1843,$CG$7:$CG$1843,CG1624,$BH$7:$BH$1843,BH1624,$BX$7:$BX$1843,"&lt;="&amp;BX1624),"")</f>
        <v>31095.6524440719</v>
      </c>
      <c r="BJ1624" s="70" t="n">
        <f aca="false">IF(BI1624="",0,MAX(0,MIN(1,(IF(CG1624="L1",Parameter!$H$5,IF(CG1624="L23",Parameter!$H$6+Parameter!$H$7,Parameter!$H$5+Parameter!$H$6+Parameter!$H$7))-(BI1624-BD1624))/BD1624)))</f>
        <v>1</v>
      </c>
      <c r="BK1624" s="60" t="str">
        <f aca="false">IF(AJ1624&lt;=0,"",IF(CG1624="Aussen","Aussenlager",IF(CG1624="-","Nicht im Lift",IF(AP1624&gt;=1,"Lift",IF(AP1624&lt;=0,"Aussenlager","teilweise")))))</f>
        <v>Lift</v>
      </c>
      <c r="BL1624" s="60" t="str">
        <f aca="false">IF(AT1624&lt;=0,"",IF(CG1624="Aussen","Aussenlager",IF(CG1624="-","Nicht im Lift",IF(AZ1624&gt;=1,"Lift",IF(AZ1624&lt;=0,"Aussenlager","teilweise")))))</f>
        <v>Aussenlager</v>
      </c>
      <c r="BM1624" s="60" t="str">
        <f aca="false">IF(BD1624&lt;=0,"",IF(CG1624="Aussen","Aussenlager",IF(CG1624="-","Nicht im Lift",IF(BJ1624&gt;=1,"Lift",IF(BJ1624&lt;=0,"Aussenlager","teilweise")))))</f>
        <v>Lift</v>
      </c>
      <c r="BN1624" s="60" t="str">
        <f aca="false">IF(A1624="","",IF(BW1624=1,"Neu; ","")&amp;IF(AND(BW1624=0,BR1624&lt;0),"negativer Bestand (Export "&amp;BR1624&amp;"); ","")&amp;IF(J1624&lt;=0,"Kein Verbrauch; ","")&amp;IF(CR1624&gt;0,"Lift "&amp;W1624&amp;" lt. Liftbericht (Fach "&amp;X1624&amp;" Stk); ",IF(CB1624=1,"Gebinde geschätzt ("&amp;T1624&amp;"); ",IF(CA1624=1,"Lose – Tablare geschätzt; ","")))&amp;IF(H1624&gt;AW1624,"Überbestand "&amp;ROUND(H1624-AW1624,0)&amp;" Stk / CHF "&amp;ROUND((H1624-AW1624)*G1624,0)&amp;"; ","")&amp;IF(AND(CI1624=1,CJ1624&lt;CK1624),"MAX &lt; MB+LG; ","")&amp;IF(AND(CQ1624&gt;0,CP1624*10&gt;CQ1624),"zu hoch für Tablar; ","")&amp;IF(AND(BW1624=0,OR(CI1624=1,AB1624&lt;&gt;"",U1624&lt;&gt;"",V1624&lt;&gt;"",AC1624&lt;&gt;"")),"manuell übersteuert; ","")&amp;IF(AND(CA1624=0,R1624=0),"Gebinde unbekannt / Stellmass fehlt; ","")&amp;IF(AND(CA1624=0,N(V1624)&lt;=0,N(Q1624)&lt;=0),"Menge pro Gebinde fehlt (Ist = 1 Gebinde); ","")&amp;BV1624)</f>
        <v>Kein Verbrauch; Gebinde geschätzt (Mittel); Überbestand 11 Stk / CHF 1017; Menge pro Gebinde fehlt (Ist = 1 Gebinde); nur im Artikelstamm (Bestand 23.06.2026)</v>
      </c>
      <c r="BO1624" s="60"/>
      <c r="BP1624" s="60"/>
      <c r="BQ1624" s="67"/>
      <c r="BR1624" s="62" t="n">
        <v>12</v>
      </c>
      <c r="BS1624" s="62" t="n">
        <v>0</v>
      </c>
      <c r="BT1624" s="61" t="n">
        <v>0</v>
      </c>
      <c r="BU1624" s="62" t="n">
        <v>0</v>
      </c>
      <c r="BV1624" s="60" t="s">
        <v>2617</v>
      </c>
      <c r="BW1624" s="65" t="n">
        <v>0</v>
      </c>
      <c r="BX1624" s="65" t="n">
        <v>1624</v>
      </c>
      <c r="BY1624" s="60" t="str">
        <f aca="false">IF(U1624&lt;&gt;"",UPPER(TRIM(U1624)),IF(CB1624=1,UPPER(VLOOKUP(T1624,Parameter!$I$27:$K$29,2,0)),IF(P1624="","LOSE",P1624)))</f>
        <v>S61</v>
      </c>
      <c r="BZ1624" s="62" t="n">
        <f aca="false">IF(BY1624="LOSE",1,IF(N(V1624)&gt;0,V1624,IF(CB1624=1,MAX(1,N(VLOOKUP(T1624,Parameter!$I$27:$K$29,3,0)),H1624,N(N1624)),IF(N(Q1624)&gt;0,Q1624,MAX(1,H1624)))))</f>
        <v>12</v>
      </c>
      <c r="CA1624" s="65" t="n">
        <f aca="false">IF(BY1624="LOSE",1,0)</f>
        <v>0</v>
      </c>
      <c r="CB1624" s="65" t="n">
        <f aca="false">IF(AND(U1624="",OR(P1624="",P1624="LOSE"),T1624&lt;&gt;"",N(S1624)&lt;=0,ISNUMBER(MATCH(T1624,Parameter!$I$27:$I$29,0))),1,0)</f>
        <v>1</v>
      </c>
      <c r="CC1624" s="65" t="n">
        <f aca="false">IF(CR1624&gt;0,INDEX(Parameter!$H$5:$H$7,W1624)/INDEX(Parameter!$E$5:$E$7,W1624),IF(AND(CA1624=0,N(IFERROR(VLOOKUP(BY1624,'Gebinde-Kategorie'!$A$5:$N$45,14,0),0))&gt;0),VLOOKUP(BY1624,'Gebinde-Kategorie'!$A$5:$N$45,14,0)*10+Parameter!$M$23,Parameter!$M$24))</f>
        <v>145</v>
      </c>
      <c r="CD1624" s="60" t="str">
        <f aca="false">IF(AND(Parameter!$B$19="Ja",E1624&lt;&gt;"",ISNUMBER(MATCH(E1624,Parameter!$I$35:$I$52,0))),VLOOKUP(E1624,Parameter!$I$35:$J$52,2,0),IFERROR(VLOOKUP(D1624,Parameter!$A$35:$C$64,2,0),"Nein"))</f>
        <v>2+3</v>
      </c>
      <c r="CE1624" s="64" t="n">
        <f aca="false">IF(CA1624=0,0,IF(N(S1624)&gt;0,S1624,IFERROR(VLOOKUP(D1624,Parameter!$A$35:$C$64,3,0)+0,0)))</f>
        <v>0</v>
      </c>
      <c r="CF1624" s="60" t="n">
        <f aca="false">IF(AB1624&lt;&gt;"",AB1624,AA1624)</f>
        <v>3</v>
      </c>
      <c r="CG1624" s="60" t="str">
        <f aca="false">IF(OR(CF1624=1,CF1624=2,CF1624=3),IF(Parameter!$E$27="Ja","LIFT",IF(CF1624=1,"L1","L23")),IF(CF1624="Aussen","Aussen","-"))</f>
        <v>LIFT</v>
      </c>
      <c r="CH1624" s="71" t="n">
        <f aca="false">IF(N(AC1624)&gt;0,AC1624,0)</f>
        <v>0</v>
      </c>
      <c r="CI1624" s="65" t="n">
        <f aca="false">IF(ISNUMBER(AF1624),1,0)</f>
        <v>0</v>
      </c>
      <c r="CJ1624" s="62" t="n">
        <f aca="false">N(AF1624)</f>
        <v>0</v>
      </c>
      <c r="CK1624" s="62" t="n">
        <f aca="false">N(M1624)+N(N1624)</f>
        <v>1</v>
      </c>
      <c r="CL1624" s="62" t="n">
        <f aca="false">N(M1624)</f>
        <v>0</v>
      </c>
      <c r="CM1624" s="62" t="n">
        <f aca="false">N(N1624)</f>
        <v>1</v>
      </c>
      <c r="CN1624" s="62" t="n">
        <f aca="false">ROUNDUP(H1624/BZ1624,0)</f>
        <v>1</v>
      </c>
      <c r="CO1624" s="62" t="n">
        <f aca="false">ROUNDUP(CJ1624/BZ1624,0)</f>
        <v>0</v>
      </c>
      <c r="CP1624" s="65" t="n">
        <f aca="false">IF(CA1624=1,0,IFERROR(VLOOKUP(BY1624,'Gebinde-Kategorie'!$A$5:$N$45,5,0)+0,0))</f>
        <v>11</v>
      </c>
      <c r="CQ1624" s="65" t="n">
        <f aca="false">IFERROR(IF(OR(CF1624=1,CF1624=2,CF1624=3),N(INDEX(Parameter!$I$5:$I$7,CF1624)),0),0)</f>
        <v>0</v>
      </c>
      <c r="CR1624" s="64" t="n">
        <f aca="false">IF(AND(Parameter!$B$21="Ja",ISNUMBER(W1624),N(X1624)&gt;0),IFERROR(N(INDEX(Parameter!$L$5:$L$7,W1624))*INDEX(Parameter!$E$5:$E$7,W1624)*X1624/SUMIFS($X$7:$X$1843,$W$7:$W$1843,W1624),0),0)</f>
        <v>0</v>
      </c>
      <c r="CS1624" s="62" t="n">
        <f aca="false">IF(AND(OR(CG1624="L1",CG1624="L23",CG1624="LIFT"),H1624&gt;0),CC1624*IF(CR1624&gt;0,CR1624*MAX(1,H1624/X1624),IF(CA1624=1,CE1624,IF(R1624&gt;0,CN1624/R1624,0))/MAX(0.1,N(Parameter!$M$21))),"")</f>
        <v>12.0833333333333</v>
      </c>
      <c r="CT1624" s="64" t="n">
        <f aca="false">IF(CS1624="","",J1624/H1624)</f>
        <v>0</v>
      </c>
      <c r="CU1624" s="62" t="n">
        <f aca="false">IF(CS1624="","",H1624*G1624)</f>
        <v>1109.28</v>
      </c>
      <c r="CV1624" s="63" t="n">
        <f aca="false">IF(CS1624="","",(CL1624+ROUNDUP(CL1624+MAX(CM1624,2*(J1624/MAX(0.1,N(Einkauf!$C$6))-CL1624)),0))/2)</f>
        <v>0.5</v>
      </c>
      <c r="CW1624" s="62" t="n">
        <f aca="false">IF(CS1624="","",MAX(0,H1624-CV1624)*G1624)</f>
        <v>1063.06</v>
      </c>
      <c r="CX1624" s="62" t="n">
        <f aca="false">IF(CS1624="","",CS1624*MAX(0,1-CV1624/H1624))</f>
        <v>11.5798611111111</v>
      </c>
      <c r="CY1624" s="64" t="n">
        <f aca="false">IF(CS1624="","",PERCENTRANK($CS$7:$CS$1843,CS1624)+PERCENTRANK($CU$7:$CU$1843,CU1624)+1-PERCENTRANK($CT$7:$CT$1843,CT1624))</f>
        <v>2.328</v>
      </c>
      <c r="CZ1624" s="72" t="n">
        <f aca="false">IF(CS1624="","",CHOOSE(MATCH(Einkauf!$C$5,Parameter!$G$23:$G$27,0),CY1624,CS1624,CU1624,-CT1624,CW1624)+ROW()/1000000000)</f>
        <v>2.328001624</v>
      </c>
    </row>
    <row r="1625" customFormat="false" ht="15" hidden="false" customHeight="false" outlineLevel="0" collapsed="false">
      <c r="A1625" s="60" t="s">
        <v>2869</v>
      </c>
      <c r="B1625" s="60" t="s">
        <v>1892</v>
      </c>
      <c r="C1625" s="60" t="s">
        <v>498</v>
      </c>
      <c r="D1625" s="60" t="s">
        <v>215</v>
      </c>
      <c r="E1625" s="60"/>
      <c r="F1625" s="60"/>
      <c r="G1625" s="61" t="n">
        <v>103.75</v>
      </c>
      <c r="H1625" s="62" t="n">
        <f aca="false">MAX(0,IF(AND(Parameter!$B$21="Ja",ISNUMBER(Y1625)),Y1625,IF(Parameter!$B$20="Jahresanfang 2025 + Export",BS1625+BR1625,BR1625)))</f>
        <v>9</v>
      </c>
      <c r="I1625" s="62" t="n">
        <f aca="false">H1625*G1625</f>
        <v>933.75</v>
      </c>
      <c r="J1625" s="62" t="n">
        <f aca="false">BU1625*Parameter!$B$18</f>
        <v>0</v>
      </c>
      <c r="K1625" s="63"/>
      <c r="L1625" s="64"/>
      <c r="M1625" s="62" t="n">
        <v>0</v>
      </c>
      <c r="N1625" s="62" t="n">
        <v>1</v>
      </c>
      <c r="O1625" s="65" t="n">
        <v>14</v>
      </c>
      <c r="P1625" s="60" t="s">
        <v>210</v>
      </c>
      <c r="Q1625" s="62"/>
      <c r="R1625" s="65" t="n">
        <f aca="false">IF(CA1625=1,0,IFERROR(VLOOKUP(BY1625,'Gebinde-Kategorie'!$A$5:$N$45,13,0)+0,0))</f>
        <v>12</v>
      </c>
      <c r="S1625" s="66"/>
      <c r="T1625" s="67" t="s">
        <v>221</v>
      </c>
      <c r="U1625" s="67"/>
      <c r="V1625" s="67"/>
      <c r="W1625" s="60"/>
      <c r="X1625" s="62"/>
      <c r="Y1625" s="62"/>
      <c r="Z1625" s="60" t="n">
        <v>3</v>
      </c>
      <c r="AA1625" s="60" t="n">
        <f aca="false">IF(A1625="","",IF(AND(Parameter!$B$21="Ja",ISNUMBER(W1625)),W1625,IF(AND(Parameter!$E$27="Ja",ISNUMBER(Z1625),CD1625&lt;&gt;"Nein"),Z1625,IF(CD1625="2+3",IF(ISNUMBER(SEARCH("grosser Artikel",BV1625)),2,IFERROR(VLOOKUP(BY1625,Parameter!$F$35:$G$64,2,0),2)),IF(OR(CD1625="Nein",CD1625=""),"-",CD1625)))))</f>
        <v>3</v>
      </c>
      <c r="AB1625" s="67"/>
      <c r="AC1625" s="68"/>
      <c r="AD1625" s="62" t="n">
        <f aca="false">AW1625</f>
        <v>1</v>
      </c>
      <c r="AE1625" s="62" t="n">
        <f aca="false">MAX(AW1625,H1625)</f>
        <v>9</v>
      </c>
      <c r="AF1625" s="69"/>
      <c r="AG1625" s="62" t="n">
        <f aca="false">IF(LEFT(Cockpit!$C$5,1)="A",H1625,IF(Parameter!$E$30="MAX-Bestand",IF(CI1625=1,CJ1625,IF(LEFT(Cockpit!$C$5,1)="B",AM1625,MAX(AM1625,H1625))),ROUNDUP(AK1625,0)))</f>
        <v>9</v>
      </c>
      <c r="AH1625" s="62" t="n">
        <f aca="false">IF(CA1625=1,0,ROUNDUP(AG1625/BZ1625,0))</f>
        <v>1</v>
      </c>
      <c r="AI1625" s="64" t="n">
        <f aca="false">IF(CR1625&gt;0,CR1625*MAX(1,AG1625/X1625),IF(CA1625=1,IF(AG1625&lt;=0,0,CE1625*MAX(1,IF(H1625&gt;0,AG1625/H1625,1))),IF(R1625&gt;0,AH1625/R1625,0))/MAX(0.1,N(Parameter!$M$21)))</f>
        <v>0.0833333333333333</v>
      </c>
      <c r="AJ1625" s="62" t="n">
        <f aca="false">AI1625*CC1625</f>
        <v>12.0833333333333</v>
      </c>
      <c r="AK1625" s="63" t="n">
        <f aca="false">IF(LEFT(Cockpit!$C$5,1)="A",H1625,IF(CI1625=1,(CL1625+CJ1625)/2,IF(LEFT(Cockpit!$C$5,1)="B",(CL1625+AM1625)/2,MAX((CL1625+AM1625)/2,H1625))))</f>
        <v>9</v>
      </c>
      <c r="AL1625" s="62" t="n">
        <f aca="false">AK1625*G1625</f>
        <v>933.75</v>
      </c>
      <c r="AM1625" s="62" t="n">
        <f aca="false">ROUNDUP(CL1625+MAX(CM1625,2*(J1625/IF(CH1625&gt;0,CH1625,MAX(0.1,N(Cockpit!$C$6)))-CL1625)),0)</f>
        <v>1</v>
      </c>
      <c r="AN1625" s="63" t="n">
        <f aca="false">IF(AJ1625&gt;0,J1625/AJ1625,-1)</f>
        <v>0</v>
      </c>
      <c r="AO1625" s="63" t="n">
        <f aca="false">IF(AND(OR(CG1625="L1",CG1625="L23",CG1625="LIFT"),AJ1625&gt;0),SUMIFS($AJ$7:$AJ$1843,$CG$7:$CG$1843,CG1625,$AN$7:$AN$1843,"&gt;"&amp;AN1625)+SUMIFS($AJ$7:$AJ$1843,$CG$7:$CG$1843,CG1625,$AN$7:$AN$1843,AN1625,$BX$7:$BX$1843,"&lt;="&amp;BX1625),"")</f>
        <v>30878.4379850376</v>
      </c>
      <c r="AP1625" s="70" t="n">
        <f aca="false">IF(AO1625="",0,MAX(0,MIN(1,(IF(CG1625="L1",Parameter!$H$5,IF(CG1625="L23",Parameter!$H$6+Parameter!$H$7,Parameter!$H$5+Parameter!$H$6+Parameter!$H$7))-(AO1625-AJ1625))/AJ1625)))</f>
        <v>1</v>
      </c>
      <c r="AQ1625" s="62" t="n">
        <f aca="false">IF(LEFT(Cockpit!$I$5,1)="A",H1625,IF(Parameter!$E$30="MAX-Bestand",IF(CI1625=1,CJ1625,IF(LEFT(Cockpit!$I$5,1)="B",AW1625,MAX(AW1625,H1625))),ROUNDUP(AU1625,0)))</f>
        <v>9</v>
      </c>
      <c r="AR1625" s="62" t="n">
        <f aca="false">IF(CA1625=1,0,ROUNDUP(AQ1625/BZ1625,0))</f>
        <v>1</v>
      </c>
      <c r="AS1625" s="64" t="n">
        <f aca="false">IF(CR1625&gt;0,CR1625*MAX(1,AQ1625/X1625),IF(CA1625=1,IF(AQ1625&lt;=0,0,CE1625*MAX(1,IF(H1625&gt;0,AQ1625/H1625,1))),IF(R1625&gt;0,AR1625/R1625,0))/MAX(0.1,N(Parameter!$M$21)))</f>
        <v>0.0833333333333333</v>
      </c>
      <c r="AT1625" s="62" t="n">
        <f aca="false">AS1625*CC1625</f>
        <v>12.0833333333333</v>
      </c>
      <c r="AU1625" s="63" t="n">
        <f aca="false">IF(LEFT(Cockpit!$I$5,1)="A",H1625,IF(CI1625=1,(CL1625+CJ1625)/2,IF(LEFT(Cockpit!$I$5,1)="B",(CL1625+AW1625)/2,MAX((CL1625+AW1625)/2,H1625))))</f>
        <v>9</v>
      </c>
      <c r="AV1625" s="62" t="n">
        <f aca="false">AU1625*G1625</f>
        <v>933.75</v>
      </c>
      <c r="AW1625" s="62" t="n">
        <f aca="false">ROUNDUP(CL1625+MAX(CM1625,2*(J1625/IF(CH1625&gt;0,CH1625,MAX(0.1,N(Cockpit!$I$6)))-CL1625)),0)</f>
        <v>1</v>
      </c>
      <c r="AX1625" s="63" t="n">
        <f aca="false">IF(AT1625&gt;0,J1625/AT1625,-1)</f>
        <v>0</v>
      </c>
      <c r="AY1625" s="63" t="n">
        <f aca="false">IF(AND(OR(CG1625="L1",CG1625="L23",CG1625="LIFT"),AT1625&gt;0),SUMIFS($AT$7:$AT$1843,$CG$7:$CG$1843,CG1625,$AX$7:$AX$1843,"&gt;"&amp;AX1625)+SUMIFS($AT$7:$AT$1843,$CG$7:$CG$1843,CG1625,$AX$7:$AX$1843,AX1625,$BX$7:$BX$1843,"&lt;="&amp;BX1625),"")</f>
        <v>37198.2945018729</v>
      </c>
      <c r="AZ1625" s="70" t="n">
        <f aca="false">IF(AY1625="",0,MAX(0,MIN(1,(IF(CG1625="L1",Parameter!$H$5,IF(CG1625="L23",Parameter!$H$6+Parameter!$H$7,Parameter!$H$5+Parameter!$H$6+Parameter!$H$7))-(AY1625-AT1625))/AT1625)))</f>
        <v>0</v>
      </c>
      <c r="BA1625" s="62" t="n">
        <f aca="false">IF(LEFT(Cockpit!$O$5,1)="A",H1625,IF(Parameter!$E$30="MAX-Bestand",IF(CI1625=1,CJ1625,IF(LEFT(Cockpit!$O$5,1)="B",BG1625,MAX(BG1625,H1625))),ROUNDUP(BE1625,0)))</f>
        <v>1</v>
      </c>
      <c r="BB1625" s="62" t="n">
        <f aca="false">IF(CA1625=1,0,ROUNDUP(BA1625/BZ1625,0))</f>
        <v>1</v>
      </c>
      <c r="BC1625" s="64" t="n">
        <f aca="false">IF(CR1625&gt;0,CR1625*MAX(1,BA1625/X1625),IF(CA1625=1,IF(BA1625&lt;=0,0,CE1625*MAX(1,IF(H1625&gt;0,BA1625/H1625,1))),IF(R1625&gt;0,BB1625/R1625,0))/MAX(0.1,N(Parameter!$M$21)))</f>
        <v>0.0833333333333333</v>
      </c>
      <c r="BD1625" s="62" t="n">
        <f aca="false">BC1625*CC1625</f>
        <v>12.0833333333333</v>
      </c>
      <c r="BE1625" s="63" t="n">
        <f aca="false">IF(LEFT(Cockpit!$O$5,1)="A",H1625,IF(CI1625=1,(CL1625+CJ1625)/2,IF(LEFT(Cockpit!$O$5,1)="B",(CL1625+BG1625)/2,MAX((CL1625+BG1625)/2,H1625))))</f>
        <v>0.5</v>
      </c>
      <c r="BF1625" s="62" t="n">
        <f aca="false">BE1625*G1625</f>
        <v>51.875</v>
      </c>
      <c r="BG1625" s="62" t="n">
        <f aca="false">ROUNDUP(CL1625+MAX(CM1625,2*(J1625/IF(CH1625&gt;0,CH1625,MAX(0.1,N(Cockpit!$O$6)))-CL1625)),0)</f>
        <v>1</v>
      </c>
      <c r="BH1625" s="63" t="n">
        <f aca="false">IF(BD1625&gt;0,J1625/BD1625,-1)</f>
        <v>0</v>
      </c>
      <c r="BI1625" s="63" t="n">
        <f aca="false">IF(AND(OR(CG1625="L1",CG1625="L23",CG1625="LIFT"),BD1625&gt;0),SUMIFS($BD$7:$BD$1843,$CG$7:$CG$1843,CG1625,$BH$7:$BH$1843,"&gt;"&amp;BH1625)+SUMIFS($BD$7:$BD$1843,$CG$7:$CG$1843,CG1625,$BH$7:$BH$1843,BH1625,$BX$7:$BX$1843,"&lt;="&amp;BX1625),"")</f>
        <v>31107.7357774053</v>
      </c>
      <c r="BJ1625" s="70" t="n">
        <f aca="false">IF(BI1625="",0,MAX(0,MIN(1,(IF(CG1625="L1",Parameter!$H$5,IF(CG1625="L23",Parameter!$H$6+Parameter!$H$7,Parameter!$H$5+Parameter!$H$6+Parameter!$H$7))-(BI1625-BD1625))/BD1625)))</f>
        <v>1</v>
      </c>
      <c r="BK1625" s="60" t="str">
        <f aca="false">IF(AJ1625&lt;=0,"",IF(CG1625="Aussen","Aussenlager",IF(CG1625="-","Nicht im Lift",IF(AP1625&gt;=1,"Lift",IF(AP1625&lt;=0,"Aussenlager","teilweise")))))</f>
        <v>Lift</v>
      </c>
      <c r="BL1625" s="60" t="str">
        <f aca="false">IF(AT1625&lt;=0,"",IF(CG1625="Aussen","Aussenlager",IF(CG1625="-","Nicht im Lift",IF(AZ1625&gt;=1,"Lift",IF(AZ1625&lt;=0,"Aussenlager","teilweise")))))</f>
        <v>Aussenlager</v>
      </c>
      <c r="BM1625" s="60" t="str">
        <f aca="false">IF(BD1625&lt;=0,"",IF(CG1625="Aussen","Aussenlager",IF(CG1625="-","Nicht im Lift",IF(BJ1625&gt;=1,"Lift",IF(BJ1625&lt;=0,"Aussenlager","teilweise")))))</f>
        <v>Lift</v>
      </c>
      <c r="BN1625" s="60" t="str">
        <f aca="false">IF(A1625="","",IF(BW1625=1,"Neu; ","")&amp;IF(AND(BW1625=0,BR1625&lt;0),"negativer Bestand (Export "&amp;BR1625&amp;"); ","")&amp;IF(J1625&lt;=0,"Kein Verbrauch; ","")&amp;IF(CR1625&gt;0,"Lift "&amp;W1625&amp;" lt. Liftbericht (Fach "&amp;X1625&amp;" Stk); ",IF(CB1625=1,"Gebinde geschätzt ("&amp;T1625&amp;"); ",IF(CA1625=1,"Lose – Tablare geschätzt; ","")))&amp;IF(H1625&gt;AW1625,"Überbestand "&amp;ROUND(H1625-AW1625,0)&amp;" Stk / CHF "&amp;ROUND((H1625-AW1625)*G1625,0)&amp;"; ","")&amp;IF(AND(CI1625=1,CJ1625&lt;CK1625),"MAX &lt; MB+LG; ","")&amp;IF(AND(CQ1625&gt;0,CP1625*10&gt;CQ1625),"zu hoch für Tablar; ","")&amp;IF(AND(BW1625=0,OR(CI1625=1,AB1625&lt;&gt;"",U1625&lt;&gt;"",V1625&lt;&gt;"",AC1625&lt;&gt;"")),"manuell übersteuert; ","")&amp;IF(AND(CA1625=0,R1625=0),"Gebinde unbekannt / Stellmass fehlt; ","")&amp;IF(AND(CA1625=0,N(V1625)&lt;=0,N(Q1625)&lt;=0),"Menge pro Gebinde fehlt (Ist = 1 Gebinde); ","")&amp;BV1625)</f>
        <v>Kein Verbrauch; Gebinde geschätzt (Mittel); Überbestand 8 Stk / CHF 830; Menge pro Gebinde fehlt (Ist = 1 Gebinde); nur im Artikelstamm (Bestand 23.06.2026)</v>
      </c>
      <c r="BO1625" s="60"/>
      <c r="BP1625" s="60"/>
      <c r="BQ1625" s="67"/>
      <c r="BR1625" s="62" t="n">
        <v>9</v>
      </c>
      <c r="BS1625" s="62" t="n">
        <v>0</v>
      </c>
      <c r="BT1625" s="61" t="n">
        <v>0</v>
      </c>
      <c r="BU1625" s="62" t="n">
        <v>0</v>
      </c>
      <c r="BV1625" s="60" t="s">
        <v>2617</v>
      </c>
      <c r="BW1625" s="65" t="n">
        <v>0</v>
      </c>
      <c r="BX1625" s="65" t="n">
        <v>1625</v>
      </c>
      <c r="BY1625" s="60" t="str">
        <f aca="false">IF(U1625&lt;&gt;"",UPPER(TRIM(U1625)),IF(CB1625=1,UPPER(VLOOKUP(T1625,Parameter!$I$27:$K$29,2,0)),IF(P1625="","LOSE",P1625)))</f>
        <v>S61</v>
      </c>
      <c r="BZ1625" s="62" t="n">
        <f aca="false">IF(BY1625="LOSE",1,IF(N(V1625)&gt;0,V1625,IF(CB1625=1,MAX(1,N(VLOOKUP(T1625,Parameter!$I$27:$K$29,3,0)),H1625,N(N1625)),IF(N(Q1625)&gt;0,Q1625,MAX(1,H1625)))))</f>
        <v>9</v>
      </c>
      <c r="CA1625" s="65" t="n">
        <f aca="false">IF(BY1625="LOSE",1,0)</f>
        <v>0</v>
      </c>
      <c r="CB1625" s="65" t="n">
        <f aca="false">IF(AND(U1625="",OR(P1625="",P1625="LOSE"),T1625&lt;&gt;"",N(S1625)&lt;=0,ISNUMBER(MATCH(T1625,Parameter!$I$27:$I$29,0))),1,0)</f>
        <v>1</v>
      </c>
      <c r="CC1625" s="65" t="n">
        <f aca="false">IF(CR1625&gt;0,INDEX(Parameter!$H$5:$H$7,W1625)/INDEX(Parameter!$E$5:$E$7,W1625),IF(AND(CA1625=0,N(IFERROR(VLOOKUP(BY1625,'Gebinde-Kategorie'!$A$5:$N$45,14,0),0))&gt;0),VLOOKUP(BY1625,'Gebinde-Kategorie'!$A$5:$N$45,14,0)*10+Parameter!$M$23,Parameter!$M$24))</f>
        <v>145</v>
      </c>
      <c r="CD1625" s="60" t="str">
        <f aca="false">IF(AND(Parameter!$B$19="Ja",E1625&lt;&gt;"",ISNUMBER(MATCH(E1625,Parameter!$I$35:$I$52,0))),VLOOKUP(E1625,Parameter!$I$35:$J$52,2,0),IFERROR(VLOOKUP(D1625,Parameter!$A$35:$C$64,2,0),"Nein"))</f>
        <v>2+3</v>
      </c>
      <c r="CE1625" s="64" t="n">
        <f aca="false">IF(CA1625=0,0,IF(N(S1625)&gt;0,S1625,IFERROR(VLOOKUP(D1625,Parameter!$A$35:$C$64,3,0)+0,0)))</f>
        <v>0</v>
      </c>
      <c r="CF1625" s="60" t="n">
        <f aca="false">IF(AB1625&lt;&gt;"",AB1625,AA1625)</f>
        <v>3</v>
      </c>
      <c r="CG1625" s="60" t="str">
        <f aca="false">IF(OR(CF1625=1,CF1625=2,CF1625=3),IF(Parameter!$E$27="Ja","LIFT",IF(CF1625=1,"L1","L23")),IF(CF1625="Aussen","Aussen","-"))</f>
        <v>LIFT</v>
      </c>
      <c r="CH1625" s="71" t="n">
        <f aca="false">IF(N(AC1625)&gt;0,AC1625,0)</f>
        <v>0</v>
      </c>
      <c r="CI1625" s="65" t="n">
        <f aca="false">IF(ISNUMBER(AF1625),1,0)</f>
        <v>0</v>
      </c>
      <c r="CJ1625" s="62" t="n">
        <f aca="false">N(AF1625)</f>
        <v>0</v>
      </c>
      <c r="CK1625" s="62" t="n">
        <f aca="false">N(M1625)+N(N1625)</f>
        <v>1</v>
      </c>
      <c r="CL1625" s="62" t="n">
        <f aca="false">N(M1625)</f>
        <v>0</v>
      </c>
      <c r="CM1625" s="62" t="n">
        <f aca="false">N(N1625)</f>
        <v>1</v>
      </c>
      <c r="CN1625" s="62" t="n">
        <f aca="false">ROUNDUP(H1625/BZ1625,0)</f>
        <v>1</v>
      </c>
      <c r="CO1625" s="62" t="n">
        <f aca="false">ROUNDUP(CJ1625/BZ1625,0)</f>
        <v>0</v>
      </c>
      <c r="CP1625" s="65" t="n">
        <f aca="false">IF(CA1625=1,0,IFERROR(VLOOKUP(BY1625,'Gebinde-Kategorie'!$A$5:$N$45,5,0)+0,0))</f>
        <v>11</v>
      </c>
      <c r="CQ1625" s="65" t="n">
        <f aca="false">IFERROR(IF(OR(CF1625=1,CF1625=2,CF1625=3),N(INDEX(Parameter!$I$5:$I$7,CF1625)),0),0)</f>
        <v>0</v>
      </c>
      <c r="CR1625" s="64" t="n">
        <f aca="false">IF(AND(Parameter!$B$21="Ja",ISNUMBER(W1625),N(X1625)&gt;0),IFERROR(N(INDEX(Parameter!$L$5:$L$7,W1625))*INDEX(Parameter!$E$5:$E$7,W1625)*X1625/SUMIFS($X$7:$X$1843,$W$7:$W$1843,W1625),0),0)</f>
        <v>0</v>
      </c>
      <c r="CS1625" s="62" t="n">
        <f aca="false">IF(AND(OR(CG1625="L1",CG1625="L23",CG1625="LIFT"),H1625&gt;0),CC1625*IF(CR1625&gt;0,CR1625*MAX(1,H1625/X1625),IF(CA1625=1,CE1625,IF(R1625&gt;0,CN1625/R1625,0))/MAX(0.1,N(Parameter!$M$21))),"")</f>
        <v>12.0833333333333</v>
      </c>
      <c r="CT1625" s="64" t="n">
        <f aca="false">IF(CS1625="","",J1625/H1625)</f>
        <v>0</v>
      </c>
      <c r="CU1625" s="62" t="n">
        <f aca="false">IF(CS1625="","",H1625*G1625)</f>
        <v>933.75</v>
      </c>
      <c r="CV1625" s="63" t="n">
        <f aca="false">IF(CS1625="","",(CL1625+ROUNDUP(CL1625+MAX(CM1625,2*(J1625/MAX(0.1,N(Einkauf!$C$6))-CL1625)),0))/2)</f>
        <v>0.5</v>
      </c>
      <c r="CW1625" s="62" t="n">
        <f aca="false">IF(CS1625="","",MAX(0,H1625-CV1625)*G1625)</f>
        <v>881.875</v>
      </c>
      <c r="CX1625" s="62" t="n">
        <f aca="false">IF(CS1625="","",CS1625*MAX(0,1-CV1625/H1625))</f>
        <v>11.412037037037</v>
      </c>
      <c r="CY1625" s="64" t="n">
        <f aca="false">IF(CS1625="","",PERCENTRANK($CS$7:$CS$1843,CS1625)+PERCENTRANK($CU$7:$CU$1843,CU1625)+1-PERCENTRANK($CT$7:$CT$1843,CT1625))</f>
        <v>2.296</v>
      </c>
      <c r="CZ1625" s="72" t="n">
        <f aca="false">IF(CS1625="","",CHOOSE(MATCH(Einkauf!$C$5,Parameter!$G$23:$G$27,0),CY1625,CS1625,CU1625,-CT1625,CW1625)+ROW()/1000000000)</f>
        <v>2.296001625</v>
      </c>
    </row>
    <row r="1626" customFormat="false" ht="15" hidden="false" customHeight="false" outlineLevel="0" collapsed="false">
      <c r="A1626" s="60" t="s">
        <v>2870</v>
      </c>
      <c r="B1626" s="60" t="s">
        <v>2871</v>
      </c>
      <c r="C1626" s="60" t="s">
        <v>206</v>
      </c>
      <c r="D1626" s="60" t="s">
        <v>215</v>
      </c>
      <c r="E1626" s="60"/>
      <c r="F1626" s="60"/>
      <c r="G1626" s="61" t="n">
        <v>49.21</v>
      </c>
      <c r="H1626" s="62" t="n">
        <f aca="false">MAX(0,IF(AND(Parameter!$B$21="Ja",ISNUMBER(Y1626)),Y1626,IF(Parameter!$B$20="Jahresanfang 2025 + Export",BS1626+BR1626,BR1626)))</f>
        <v>37</v>
      </c>
      <c r="I1626" s="62" t="n">
        <f aca="false">H1626*G1626</f>
        <v>1820.77</v>
      </c>
      <c r="J1626" s="62" t="n">
        <f aca="false">BU1626*Parameter!$B$18</f>
        <v>0</v>
      </c>
      <c r="K1626" s="63"/>
      <c r="L1626" s="64"/>
      <c r="M1626" s="62" t="n">
        <v>0</v>
      </c>
      <c r="N1626" s="62" t="n">
        <v>40</v>
      </c>
      <c r="O1626" s="65" t="n">
        <v>35</v>
      </c>
      <c r="P1626" s="60" t="s">
        <v>210</v>
      </c>
      <c r="Q1626" s="62"/>
      <c r="R1626" s="65" t="n">
        <f aca="false">IF(CA1626=1,0,IFERROR(VLOOKUP(BY1626,'Gebinde-Kategorie'!$A$5:$N$45,13,0)+0,0))</f>
        <v>26</v>
      </c>
      <c r="S1626" s="66"/>
      <c r="T1626" s="67" t="s">
        <v>317</v>
      </c>
      <c r="U1626" s="67"/>
      <c r="V1626" s="67"/>
      <c r="W1626" s="60"/>
      <c r="X1626" s="62"/>
      <c r="Y1626" s="62"/>
      <c r="Z1626" s="60" t="n">
        <v>3</v>
      </c>
      <c r="AA1626" s="60" t="n">
        <f aca="false">IF(A1626="","",IF(AND(Parameter!$B$21="Ja",ISNUMBER(W1626)),W1626,IF(AND(Parameter!$E$27="Ja",ISNUMBER(Z1626),CD1626&lt;&gt;"Nein"),Z1626,IF(CD1626="2+3",IF(ISNUMBER(SEARCH("grosser Artikel",BV1626)),2,IFERROR(VLOOKUP(BY1626,Parameter!$F$35:$G$64,2,0),2)),IF(OR(CD1626="Nein",CD1626=""),"-",CD1626)))))</f>
        <v>3</v>
      </c>
      <c r="AB1626" s="67"/>
      <c r="AC1626" s="68"/>
      <c r="AD1626" s="62" t="n">
        <f aca="false">AW1626</f>
        <v>40</v>
      </c>
      <c r="AE1626" s="62" t="n">
        <f aca="false">MAX(AW1626,H1626)</f>
        <v>40</v>
      </c>
      <c r="AF1626" s="69"/>
      <c r="AG1626" s="62" t="n">
        <f aca="false">IF(LEFT(Cockpit!$C$5,1)="A",H1626,IF(Parameter!$E$30="MAX-Bestand",IF(CI1626=1,CJ1626,IF(LEFT(Cockpit!$C$5,1)="B",AM1626,MAX(AM1626,H1626))),ROUNDUP(AK1626,0)))</f>
        <v>37</v>
      </c>
      <c r="AH1626" s="62" t="n">
        <f aca="false">IF(CA1626=1,0,ROUNDUP(AG1626/BZ1626,0))</f>
        <v>1</v>
      </c>
      <c r="AI1626" s="64" t="n">
        <f aca="false">IF(CR1626&gt;0,CR1626*MAX(1,AG1626/X1626),IF(CA1626=1,IF(AG1626&lt;=0,0,CE1626*MAX(1,IF(H1626&gt;0,AG1626/H1626,1))),IF(R1626&gt;0,AH1626/R1626,0))/MAX(0.1,N(Parameter!$M$21)))</f>
        <v>0.0384615384615385</v>
      </c>
      <c r="AJ1626" s="62" t="n">
        <f aca="false">AI1626*CC1626</f>
        <v>5.96153846153846</v>
      </c>
      <c r="AK1626" s="63" t="n">
        <f aca="false">IF(LEFT(Cockpit!$C$5,1)="A",H1626,IF(CI1626=1,(CL1626+CJ1626)/2,IF(LEFT(Cockpit!$C$5,1)="B",(CL1626+AM1626)/2,MAX((CL1626+AM1626)/2,H1626))))</f>
        <v>37</v>
      </c>
      <c r="AL1626" s="62" t="n">
        <f aca="false">AK1626*G1626</f>
        <v>1820.77</v>
      </c>
      <c r="AM1626" s="62" t="n">
        <f aca="false">ROUNDUP(CL1626+MAX(CM1626,2*(J1626/IF(CH1626&gt;0,CH1626,MAX(0.1,N(Cockpit!$C$6)))-CL1626)),0)</f>
        <v>40</v>
      </c>
      <c r="AN1626" s="63" t="n">
        <f aca="false">IF(AJ1626&gt;0,J1626/AJ1626,-1)</f>
        <v>0</v>
      </c>
      <c r="AO1626" s="63" t="n">
        <f aca="false">IF(AND(OR(CG1626="L1",CG1626="L23",CG1626="LIFT"),AJ1626&gt;0),SUMIFS($AJ$7:$AJ$1843,$CG$7:$CG$1843,CG1626,$AN$7:$AN$1843,"&gt;"&amp;AN1626)+SUMIFS($AJ$7:$AJ$1843,$CG$7:$CG$1843,CG1626,$AN$7:$AN$1843,AN1626,$BX$7:$BX$1843,"&lt;="&amp;BX1626),"")</f>
        <v>30884.3995234991</v>
      </c>
      <c r="AP1626" s="70" t="n">
        <f aca="false">IF(AO1626="",0,MAX(0,MIN(1,(IF(CG1626="L1",Parameter!$H$5,IF(CG1626="L23",Parameter!$H$6+Parameter!$H$7,Parameter!$H$5+Parameter!$H$6+Parameter!$H$7))-(AO1626-AJ1626))/AJ1626)))</f>
        <v>1</v>
      </c>
      <c r="AQ1626" s="62" t="n">
        <f aca="false">IF(LEFT(Cockpit!$I$5,1)="A",H1626,IF(Parameter!$E$30="MAX-Bestand",IF(CI1626=1,CJ1626,IF(LEFT(Cockpit!$I$5,1)="B",AW1626,MAX(AW1626,H1626))),ROUNDUP(AU1626,0)))</f>
        <v>37</v>
      </c>
      <c r="AR1626" s="62" t="n">
        <f aca="false">IF(CA1626=1,0,ROUNDUP(AQ1626/BZ1626,0))</f>
        <v>1</v>
      </c>
      <c r="AS1626" s="64" t="n">
        <f aca="false">IF(CR1626&gt;0,CR1626*MAX(1,AQ1626/X1626),IF(CA1626=1,IF(AQ1626&lt;=0,0,CE1626*MAX(1,IF(H1626&gt;0,AQ1626/H1626,1))),IF(R1626&gt;0,AR1626/R1626,0))/MAX(0.1,N(Parameter!$M$21)))</f>
        <v>0.0384615384615385</v>
      </c>
      <c r="AT1626" s="62" t="n">
        <f aca="false">AS1626*CC1626</f>
        <v>5.96153846153846</v>
      </c>
      <c r="AU1626" s="63" t="n">
        <f aca="false">IF(LEFT(Cockpit!$I$5,1)="A",H1626,IF(CI1626=1,(CL1626+CJ1626)/2,IF(LEFT(Cockpit!$I$5,1)="B",(CL1626+AW1626)/2,MAX((CL1626+AW1626)/2,H1626))))</f>
        <v>37</v>
      </c>
      <c r="AV1626" s="62" t="n">
        <f aca="false">AU1626*G1626</f>
        <v>1820.77</v>
      </c>
      <c r="AW1626" s="62" t="n">
        <f aca="false">ROUNDUP(CL1626+MAX(CM1626,2*(J1626/IF(CH1626&gt;0,CH1626,MAX(0.1,N(Cockpit!$I$6)))-CL1626)),0)</f>
        <v>40</v>
      </c>
      <c r="AX1626" s="63" t="n">
        <f aca="false">IF(AT1626&gt;0,J1626/AT1626,-1)</f>
        <v>0</v>
      </c>
      <c r="AY1626" s="63" t="n">
        <f aca="false">IF(AND(OR(CG1626="L1",CG1626="L23",CG1626="LIFT"),AT1626&gt;0),SUMIFS($AT$7:$AT$1843,$CG$7:$CG$1843,CG1626,$AX$7:$AX$1843,"&gt;"&amp;AX1626)+SUMIFS($AT$7:$AT$1843,$CG$7:$CG$1843,CG1626,$AX$7:$AX$1843,AX1626,$BX$7:$BX$1843,"&lt;="&amp;BX1626),"")</f>
        <v>37204.2560403344</v>
      </c>
      <c r="AZ1626" s="70" t="n">
        <f aca="false">IF(AY1626="",0,MAX(0,MIN(1,(IF(CG1626="L1",Parameter!$H$5,IF(CG1626="L23",Parameter!$H$6+Parameter!$H$7,Parameter!$H$5+Parameter!$H$6+Parameter!$H$7))-(AY1626-AT1626))/AT1626)))</f>
        <v>0</v>
      </c>
      <c r="BA1626" s="62" t="n">
        <f aca="false">IF(LEFT(Cockpit!$O$5,1)="A",H1626,IF(Parameter!$E$30="MAX-Bestand",IF(CI1626=1,CJ1626,IF(LEFT(Cockpit!$O$5,1)="B",BG1626,MAX(BG1626,H1626))),ROUNDUP(BE1626,0)))</f>
        <v>20</v>
      </c>
      <c r="BB1626" s="62" t="n">
        <f aca="false">IF(CA1626=1,0,ROUNDUP(BA1626/BZ1626,0))</f>
        <v>1</v>
      </c>
      <c r="BC1626" s="64" t="n">
        <f aca="false">IF(CR1626&gt;0,CR1626*MAX(1,BA1626/X1626),IF(CA1626=1,IF(BA1626&lt;=0,0,CE1626*MAX(1,IF(H1626&gt;0,BA1626/H1626,1))),IF(R1626&gt;0,BB1626/R1626,0))/MAX(0.1,N(Parameter!$M$21)))</f>
        <v>0.0384615384615385</v>
      </c>
      <c r="BD1626" s="62" t="n">
        <f aca="false">BC1626*CC1626</f>
        <v>5.96153846153846</v>
      </c>
      <c r="BE1626" s="63" t="n">
        <f aca="false">IF(LEFT(Cockpit!$O$5,1)="A",H1626,IF(CI1626=1,(CL1626+CJ1626)/2,IF(LEFT(Cockpit!$O$5,1)="B",(CL1626+BG1626)/2,MAX((CL1626+BG1626)/2,H1626))))</f>
        <v>20</v>
      </c>
      <c r="BF1626" s="62" t="n">
        <f aca="false">BE1626*G1626</f>
        <v>984.2</v>
      </c>
      <c r="BG1626" s="62" t="n">
        <f aca="false">ROUNDUP(CL1626+MAX(CM1626,2*(J1626/IF(CH1626&gt;0,CH1626,MAX(0.1,N(Cockpit!$O$6)))-CL1626)),0)</f>
        <v>40</v>
      </c>
      <c r="BH1626" s="63" t="n">
        <f aca="false">IF(BD1626&gt;0,J1626/BD1626,-1)</f>
        <v>0</v>
      </c>
      <c r="BI1626" s="63" t="n">
        <f aca="false">IF(AND(OR(CG1626="L1",CG1626="L23",CG1626="LIFT"),BD1626&gt;0),SUMIFS($BD$7:$BD$1843,$CG$7:$CG$1843,CG1626,$BH$7:$BH$1843,"&gt;"&amp;BH1626)+SUMIFS($BD$7:$BD$1843,$CG$7:$CG$1843,CG1626,$BH$7:$BH$1843,BH1626,$BX$7:$BX$1843,"&lt;="&amp;BX1626),"")</f>
        <v>31113.6973158668</v>
      </c>
      <c r="BJ1626" s="70" t="n">
        <f aca="false">IF(BI1626="",0,MAX(0,MIN(1,(IF(CG1626="L1",Parameter!$H$5,IF(CG1626="L23",Parameter!$H$6+Parameter!$H$7,Parameter!$H$5+Parameter!$H$6+Parameter!$H$7))-(BI1626-BD1626))/BD1626)))</f>
        <v>1</v>
      </c>
      <c r="BK1626" s="60" t="str">
        <f aca="false">IF(AJ1626&lt;=0,"",IF(CG1626="Aussen","Aussenlager",IF(CG1626="-","Nicht im Lift",IF(AP1626&gt;=1,"Lift",IF(AP1626&lt;=0,"Aussenlager","teilweise")))))</f>
        <v>Lift</v>
      </c>
      <c r="BL1626" s="60" t="str">
        <f aca="false">IF(AT1626&lt;=0,"",IF(CG1626="Aussen","Aussenlager",IF(CG1626="-","Nicht im Lift",IF(AZ1626&gt;=1,"Lift",IF(AZ1626&lt;=0,"Aussenlager","teilweise")))))</f>
        <v>Aussenlager</v>
      </c>
      <c r="BM1626" s="60" t="str">
        <f aca="false">IF(BD1626&lt;=0,"",IF(CG1626="Aussen","Aussenlager",IF(CG1626="-","Nicht im Lift",IF(BJ1626&gt;=1,"Lift",IF(BJ1626&lt;=0,"Aussenlager","teilweise")))))</f>
        <v>Lift</v>
      </c>
      <c r="BN1626" s="60" t="str">
        <f aca="false">IF(A1626="","",IF(BW1626=1,"Neu; ","")&amp;IF(AND(BW1626=0,BR1626&lt;0),"negativer Bestand (Export "&amp;BR1626&amp;"); ","")&amp;IF(J1626&lt;=0,"Kein Verbrauch; ","")&amp;IF(CR1626&gt;0,"Lift "&amp;W1626&amp;" lt. Liftbericht (Fach "&amp;X1626&amp;" Stk); ",IF(CB1626=1,"Gebinde geschätzt ("&amp;T1626&amp;"); ",IF(CA1626=1,"Lose – Tablare geschätzt; ","")))&amp;IF(H1626&gt;AW1626,"Überbestand "&amp;ROUND(H1626-AW1626,0)&amp;" Stk / CHF "&amp;ROUND((H1626-AW1626)*G1626,0)&amp;"; ","")&amp;IF(AND(CI1626=1,CJ1626&lt;CK1626),"MAX &lt; MB+LG; ","")&amp;IF(AND(CQ1626&gt;0,CP1626*10&gt;CQ1626),"zu hoch für Tablar; ","")&amp;IF(AND(BW1626=0,OR(CI1626=1,AB1626&lt;&gt;"",U1626&lt;&gt;"",V1626&lt;&gt;"",AC1626&lt;&gt;"")),"manuell übersteuert; ","")&amp;IF(AND(CA1626=0,R1626=0),"Gebinde unbekannt / Stellmass fehlt; ","")&amp;IF(AND(CA1626=0,N(V1626)&lt;=0,N(Q1626)&lt;=0),"Menge pro Gebinde fehlt (Ist = 1 Gebinde); ","")&amp;BV1626)</f>
        <v>Kein Verbrauch; Gebinde geschätzt (Klein); Menge pro Gebinde fehlt (Ist = 1 Gebinde); nur im Artikelstamm (Bestand 23.06.2026)</v>
      </c>
      <c r="BO1626" s="60"/>
      <c r="BP1626" s="60"/>
      <c r="BQ1626" s="67"/>
      <c r="BR1626" s="62" t="n">
        <v>37</v>
      </c>
      <c r="BS1626" s="62" t="n">
        <v>0</v>
      </c>
      <c r="BT1626" s="61" t="n">
        <v>0</v>
      </c>
      <c r="BU1626" s="62" t="n">
        <v>0</v>
      </c>
      <c r="BV1626" s="60" t="s">
        <v>2617</v>
      </c>
      <c r="BW1626" s="65" t="n">
        <v>0</v>
      </c>
      <c r="BX1626" s="65" t="n">
        <v>1626</v>
      </c>
      <c r="BY1626" s="60" t="str">
        <f aca="false">IF(U1626&lt;&gt;"",UPPER(TRIM(U1626)),IF(CB1626=1,UPPER(VLOOKUP(T1626,Parameter!$I$27:$K$29,2,0)),IF(P1626="","LOSE",P1626)))</f>
        <v>S51</v>
      </c>
      <c r="BZ1626" s="62" t="n">
        <f aca="false">IF(BY1626="LOSE",1,IF(N(V1626)&gt;0,V1626,IF(CB1626=1,MAX(1,N(VLOOKUP(T1626,Parameter!$I$27:$K$29,3,0)),H1626,N(N1626)),IF(N(Q1626)&gt;0,Q1626,MAX(1,H1626)))))</f>
        <v>40</v>
      </c>
      <c r="CA1626" s="65" t="n">
        <f aca="false">IF(BY1626="LOSE",1,0)</f>
        <v>0</v>
      </c>
      <c r="CB1626" s="65" t="n">
        <f aca="false">IF(AND(U1626="",OR(P1626="",P1626="LOSE"),T1626&lt;&gt;"",N(S1626)&lt;=0,ISNUMBER(MATCH(T1626,Parameter!$I$27:$I$29,0))),1,0)</f>
        <v>1</v>
      </c>
      <c r="CC1626" s="65" t="n">
        <f aca="false">IF(CR1626&gt;0,INDEX(Parameter!$H$5:$H$7,W1626)/INDEX(Parameter!$E$5:$E$7,W1626),IF(AND(CA1626=0,N(IFERROR(VLOOKUP(BY1626,'Gebinde-Kategorie'!$A$5:$N$45,14,0),0))&gt;0),VLOOKUP(BY1626,'Gebinde-Kategorie'!$A$5:$N$45,14,0)*10+Parameter!$M$23,Parameter!$M$24))</f>
        <v>155</v>
      </c>
      <c r="CD1626" s="60" t="str">
        <f aca="false">IF(AND(Parameter!$B$19="Ja",E1626&lt;&gt;"",ISNUMBER(MATCH(E1626,Parameter!$I$35:$I$52,0))),VLOOKUP(E1626,Parameter!$I$35:$J$52,2,0),IFERROR(VLOOKUP(D1626,Parameter!$A$35:$C$64,2,0),"Nein"))</f>
        <v>2+3</v>
      </c>
      <c r="CE1626" s="64" t="n">
        <f aca="false">IF(CA1626=0,0,IF(N(S1626)&gt;0,S1626,IFERROR(VLOOKUP(D1626,Parameter!$A$35:$C$64,3,0)+0,0)))</f>
        <v>0</v>
      </c>
      <c r="CF1626" s="60" t="n">
        <f aca="false">IF(AB1626&lt;&gt;"",AB1626,AA1626)</f>
        <v>3</v>
      </c>
      <c r="CG1626" s="60" t="str">
        <f aca="false">IF(OR(CF1626=1,CF1626=2,CF1626=3),IF(Parameter!$E$27="Ja","LIFT",IF(CF1626=1,"L1","L23")),IF(CF1626="Aussen","Aussen","-"))</f>
        <v>LIFT</v>
      </c>
      <c r="CH1626" s="71" t="n">
        <f aca="false">IF(N(AC1626)&gt;0,AC1626,0)</f>
        <v>0</v>
      </c>
      <c r="CI1626" s="65" t="n">
        <f aca="false">IF(ISNUMBER(AF1626),1,0)</f>
        <v>0</v>
      </c>
      <c r="CJ1626" s="62" t="n">
        <f aca="false">N(AF1626)</f>
        <v>0</v>
      </c>
      <c r="CK1626" s="62" t="n">
        <f aca="false">N(M1626)+N(N1626)</f>
        <v>40</v>
      </c>
      <c r="CL1626" s="62" t="n">
        <f aca="false">N(M1626)</f>
        <v>0</v>
      </c>
      <c r="CM1626" s="62" t="n">
        <f aca="false">N(N1626)</f>
        <v>40</v>
      </c>
      <c r="CN1626" s="62" t="n">
        <f aca="false">ROUNDUP(H1626/BZ1626,0)</f>
        <v>1</v>
      </c>
      <c r="CO1626" s="62" t="n">
        <f aca="false">ROUNDUP(CJ1626/BZ1626,0)</f>
        <v>0</v>
      </c>
      <c r="CP1626" s="65" t="n">
        <f aca="false">IF(CA1626=1,0,IFERROR(VLOOKUP(BY1626,'Gebinde-Kategorie'!$A$5:$N$45,5,0)+0,0))</f>
        <v>11</v>
      </c>
      <c r="CQ1626" s="65" t="n">
        <f aca="false">IFERROR(IF(OR(CF1626=1,CF1626=2,CF1626=3),N(INDEX(Parameter!$I$5:$I$7,CF1626)),0),0)</f>
        <v>0</v>
      </c>
      <c r="CR1626" s="64" t="n">
        <f aca="false">IF(AND(Parameter!$B$21="Ja",ISNUMBER(W1626),N(X1626)&gt;0),IFERROR(N(INDEX(Parameter!$L$5:$L$7,W1626))*INDEX(Parameter!$E$5:$E$7,W1626)*X1626/SUMIFS($X$7:$X$1843,$W$7:$W$1843,W1626),0),0)</f>
        <v>0</v>
      </c>
      <c r="CS1626" s="62" t="n">
        <f aca="false">IF(AND(OR(CG1626="L1",CG1626="L23",CG1626="LIFT"),H1626&gt;0),CC1626*IF(CR1626&gt;0,CR1626*MAX(1,H1626/X1626),IF(CA1626=1,CE1626,IF(R1626&gt;0,CN1626/R1626,0))/MAX(0.1,N(Parameter!$M$21))),"")</f>
        <v>5.96153846153846</v>
      </c>
      <c r="CT1626" s="64" t="n">
        <f aca="false">IF(CS1626="","",J1626/H1626)</f>
        <v>0</v>
      </c>
      <c r="CU1626" s="62" t="n">
        <f aca="false">IF(CS1626="","",H1626*G1626)</f>
        <v>1820.77</v>
      </c>
      <c r="CV1626" s="63" t="n">
        <f aca="false">IF(CS1626="","",(CL1626+ROUNDUP(CL1626+MAX(CM1626,2*(J1626/MAX(0.1,N(Einkauf!$C$6))-CL1626)),0))/2)</f>
        <v>20</v>
      </c>
      <c r="CW1626" s="62" t="n">
        <f aca="false">IF(CS1626="","",MAX(0,H1626-CV1626)*G1626)</f>
        <v>836.57</v>
      </c>
      <c r="CX1626" s="62" t="n">
        <f aca="false">IF(CS1626="","",CS1626*MAX(0,1-CV1626/H1626))</f>
        <v>2.73908523908524</v>
      </c>
      <c r="CY1626" s="64" t="n">
        <f aca="false">IF(CS1626="","",PERCENTRANK($CS$7:$CS$1843,CS1626)+PERCENTRANK($CU$7:$CU$1843,CU1626)+1-PERCENTRANK($CT$7:$CT$1843,CT1626))</f>
        <v>2.112</v>
      </c>
      <c r="CZ1626" s="72" t="n">
        <f aca="false">IF(CS1626="","",CHOOSE(MATCH(Einkauf!$C$5,Parameter!$G$23:$G$27,0),CY1626,CS1626,CU1626,-CT1626,CW1626)+ROW()/1000000000)</f>
        <v>2.112001626</v>
      </c>
    </row>
    <row r="1627" customFormat="false" ht="15" hidden="false" customHeight="false" outlineLevel="0" collapsed="false">
      <c r="A1627" s="60" t="s">
        <v>2872</v>
      </c>
      <c r="B1627" s="60" t="s">
        <v>2873</v>
      </c>
      <c r="C1627" s="60" t="s">
        <v>206</v>
      </c>
      <c r="D1627" s="60" t="s">
        <v>226</v>
      </c>
      <c r="E1627" s="60"/>
      <c r="F1627" s="60"/>
      <c r="G1627" s="61" t="n">
        <v>25.71</v>
      </c>
      <c r="H1627" s="62" t="n">
        <f aca="false">MAX(0,IF(AND(Parameter!$B$21="Ja",ISNUMBER(Y1627)),Y1627,IF(Parameter!$B$20="Jahresanfang 2025 + Export",BS1627+BR1627,BR1627)))</f>
        <v>37</v>
      </c>
      <c r="I1627" s="62" t="n">
        <f aca="false">H1627*G1627</f>
        <v>951.27</v>
      </c>
      <c r="J1627" s="62" t="n">
        <f aca="false">BU1627*Parameter!$B$18</f>
        <v>0</v>
      </c>
      <c r="K1627" s="63"/>
      <c r="L1627" s="64"/>
      <c r="M1627" s="62" t="n">
        <v>0</v>
      </c>
      <c r="N1627" s="62" t="n">
        <v>40</v>
      </c>
      <c r="O1627" s="65" t="n">
        <v>35</v>
      </c>
      <c r="P1627" s="60" t="s">
        <v>210</v>
      </c>
      <c r="Q1627" s="62"/>
      <c r="R1627" s="65" t="n">
        <f aca="false">IF(CA1627=1,0,IFERROR(VLOOKUP(BY1627,'Gebinde-Kategorie'!$A$5:$N$45,13,0)+0,0))</f>
        <v>26</v>
      </c>
      <c r="S1627" s="66"/>
      <c r="T1627" s="67" t="s">
        <v>317</v>
      </c>
      <c r="U1627" s="67"/>
      <c r="V1627" s="67"/>
      <c r="W1627" s="60"/>
      <c r="X1627" s="62"/>
      <c r="Y1627" s="62"/>
      <c r="Z1627" s="60" t="n">
        <v>3</v>
      </c>
      <c r="AA1627" s="60" t="n">
        <f aca="false">IF(A1627="","",IF(AND(Parameter!$B$21="Ja",ISNUMBER(W1627)),W1627,IF(AND(Parameter!$E$27="Ja",ISNUMBER(Z1627),CD1627&lt;&gt;"Nein"),Z1627,IF(CD1627="2+3",IF(ISNUMBER(SEARCH("grosser Artikel",BV1627)),2,IFERROR(VLOOKUP(BY1627,Parameter!$F$35:$G$64,2,0),2)),IF(OR(CD1627="Nein",CD1627=""),"-",CD1627)))))</f>
        <v>3</v>
      </c>
      <c r="AB1627" s="67"/>
      <c r="AC1627" s="68"/>
      <c r="AD1627" s="62" t="n">
        <f aca="false">AW1627</f>
        <v>40</v>
      </c>
      <c r="AE1627" s="62" t="n">
        <f aca="false">MAX(AW1627,H1627)</f>
        <v>40</v>
      </c>
      <c r="AF1627" s="69"/>
      <c r="AG1627" s="62" t="n">
        <f aca="false">IF(LEFT(Cockpit!$C$5,1)="A",H1627,IF(Parameter!$E$30="MAX-Bestand",IF(CI1627=1,CJ1627,IF(LEFT(Cockpit!$C$5,1)="B",AM1627,MAX(AM1627,H1627))),ROUNDUP(AK1627,0)))</f>
        <v>37</v>
      </c>
      <c r="AH1627" s="62" t="n">
        <f aca="false">IF(CA1627=1,0,ROUNDUP(AG1627/BZ1627,0))</f>
        <v>1</v>
      </c>
      <c r="AI1627" s="64" t="n">
        <f aca="false">IF(CR1627&gt;0,CR1627*MAX(1,AG1627/X1627),IF(CA1627=1,IF(AG1627&lt;=0,0,CE1627*MAX(1,IF(H1627&gt;0,AG1627/H1627,1))),IF(R1627&gt;0,AH1627/R1627,0))/MAX(0.1,N(Parameter!$M$21)))</f>
        <v>0.0384615384615385</v>
      </c>
      <c r="AJ1627" s="62" t="n">
        <f aca="false">AI1627*CC1627</f>
        <v>5.96153846153846</v>
      </c>
      <c r="AK1627" s="63" t="n">
        <f aca="false">IF(LEFT(Cockpit!$C$5,1)="A",H1627,IF(CI1627=1,(CL1627+CJ1627)/2,IF(LEFT(Cockpit!$C$5,1)="B",(CL1627+AM1627)/2,MAX((CL1627+AM1627)/2,H1627))))</f>
        <v>37</v>
      </c>
      <c r="AL1627" s="62" t="n">
        <f aca="false">AK1627*G1627</f>
        <v>951.27</v>
      </c>
      <c r="AM1627" s="62" t="n">
        <f aca="false">ROUNDUP(CL1627+MAX(CM1627,2*(J1627/IF(CH1627&gt;0,CH1627,MAX(0.1,N(Cockpit!$C$6)))-CL1627)),0)</f>
        <v>40</v>
      </c>
      <c r="AN1627" s="63" t="n">
        <f aca="false">IF(AJ1627&gt;0,J1627/AJ1627,-1)</f>
        <v>0</v>
      </c>
      <c r="AO1627" s="63" t="n">
        <f aca="false">IF(AND(OR(CG1627="L1",CG1627="L23",CG1627="LIFT"),AJ1627&gt;0),SUMIFS($AJ$7:$AJ$1843,$CG$7:$CG$1843,CG1627,$AN$7:$AN$1843,"&gt;"&amp;AN1627)+SUMIFS($AJ$7:$AJ$1843,$CG$7:$CG$1843,CG1627,$AN$7:$AN$1843,AN1627,$BX$7:$BX$1843,"&lt;="&amp;BX1627),"")</f>
        <v>30890.3610619606</v>
      </c>
      <c r="AP1627" s="70" t="n">
        <f aca="false">IF(AO1627="",0,MAX(0,MIN(1,(IF(CG1627="L1",Parameter!$H$5,IF(CG1627="L23",Parameter!$H$6+Parameter!$H$7,Parameter!$H$5+Parameter!$H$6+Parameter!$H$7))-(AO1627-AJ1627))/AJ1627)))</f>
        <v>1</v>
      </c>
      <c r="AQ1627" s="62" t="n">
        <f aca="false">IF(LEFT(Cockpit!$I$5,1)="A",H1627,IF(Parameter!$E$30="MAX-Bestand",IF(CI1627=1,CJ1627,IF(LEFT(Cockpit!$I$5,1)="B",AW1627,MAX(AW1627,H1627))),ROUNDUP(AU1627,0)))</f>
        <v>37</v>
      </c>
      <c r="AR1627" s="62" t="n">
        <f aca="false">IF(CA1627=1,0,ROUNDUP(AQ1627/BZ1627,0))</f>
        <v>1</v>
      </c>
      <c r="AS1627" s="64" t="n">
        <f aca="false">IF(CR1627&gt;0,CR1627*MAX(1,AQ1627/X1627),IF(CA1627=1,IF(AQ1627&lt;=0,0,CE1627*MAX(1,IF(H1627&gt;0,AQ1627/H1627,1))),IF(R1627&gt;0,AR1627/R1627,0))/MAX(0.1,N(Parameter!$M$21)))</f>
        <v>0.0384615384615385</v>
      </c>
      <c r="AT1627" s="62" t="n">
        <f aca="false">AS1627*CC1627</f>
        <v>5.96153846153846</v>
      </c>
      <c r="AU1627" s="63" t="n">
        <f aca="false">IF(LEFT(Cockpit!$I$5,1)="A",H1627,IF(CI1627=1,(CL1627+CJ1627)/2,IF(LEFT(Cockpit!$I$5,1)="B",(CL1627+AW1627)/2,MAX((CL1627+AW1627)/2,H1627))))</f>
        <v>37</v>
      </c>
      <c r="AV1627" s="62" t="n">
        <f aca="false">AU1627*G1627</f>
        <v>951.27</v>
      </c>
      <c r="AW1627" s="62" t="n">
        <f aca="false">ROUNDUP(CL1627+MAX(CM1627,2*(J1627/IF(CH1627&gt;0,CH1627,MAX(0.1,N(Cockpit!$I$6)))-CL1627)),0)</f>
        <v>40</v>
      </c>
      <c r="AX1627" s="63" t="n">
        <f aca="false">IF(AT1627&gt;0,J1627/AT1627,-1)</f>
        <v>0</v>
      </c>
      <c r="AY1627" s="63" t="n">
        <f aca="false">IF(AND(OR(CG1627="L1",CG1627="L23",CG1627="LIFT"),AT1627&gt;0),SUMIFS($AT$7:$AT$1843,$CG$7:$CG$1843,CG1627,$AX$7:$AX$1843,"&gt;"&amp;AX1627)+SUMIFS($AT$7:$AT$1843,$CG$7:$CG$1843,CG1627,$AX$7:$AX$1843,AX1627,$BX$7:$BX$1843,"&lt;="&amp;BX1627),"")</f>
        <v>37210.217578796</v>
      </c>
      <c r="AZ1627" s="70" t="n">
        <f aca="false">IF(AY1627="",0,MAX(0,MIN(1,(IF(CG1627="L1",Parameter!$H$5,IF(CG1627="L23",Parameter!$H$6+Parameter!$H$7,Parameter!$H$5+Parameter!$H$6+Parameter!$H$7))-(AY1627-AT1627))/AT1627)))</f>
        <v>0</v>
      </c>
      <c r="BA1627" s="62" t="n">
        <f aca="false">IF(LEFT(Cockpit!$O$5,1)="A",H1627,IF(Parameter!$E$30="MAX-Bestand",IF(CI1627=1,CJ1627,IF(LEFT(Cockpit!$O$5,1)="B",BG1627,MAX(BG1627,H1627))),ROUNDUP(BE1627,0)))</f>
        <v>20</v>
      </c>
      <c r="BB1627" s="62" t="n">
        <f aca="false">IF(CA1627=1,0,ROUNDUP(BA1627/BZ1627,0))</f>
        <v>1</v>
      </c>
      <c r="BC1627" s="64" t="n">
        <f aca="false">IF(CR1627&gt;0,CR1627*MAX(1,BA1627/X1627),IF(CA1627=1,IF(BA1627&lt;=0,0,CE1627*MAX(1,IF(H1627&gt;0,BA1627/H1627,1))),IF(R1627&gt;0,BB1627/R1627,0))/MAX(0.1,N(Parameter!$M$21)))</f>
        <v>0.0384615384615385</v>
      </c>
      <c r="BD1627" s="62" t="n">
        <f aca="false">BC1627*CC1627</f>
        <v>5.96153846153846</v>
      </c>
      <c r="BE1627" s="63" t="n">
        <f aca="false">IF(LEFT(Cockpit!$O$5,1)="A",H1627,IF(CI1627=1,(CL1627+CJ1627)/2,IF(LEFT(Cockpit!$O$5,1)="B",(CL1627+BG1627)/2,MAX((CL1627+BG1627)/2,H1627))))</f>
        <v>20</v>
      </c>
      <c r="BF1627" s="62" t="n">
        <f aca="false">BE1627*G1627</f>
        <v>514.2</v>
      </c>
      <c r="BG1627" s="62" t="n">
        <f aca="false">ROUNDUP(CL1627+MAX(CM1627,2*(J1627/IF(CH1627&gt;0,CH1627,MAX(0.1,N(Cockpit!$O$6)))-CL1627)),0)</f>
        <v>40</v>
      </c>
      <c r="BH1627" s="63" t="n">
        <f aca="false">IF(BD1627&gt;0,J1627/BD1627,-1)</f>
        <v>0</v>
      </c>
      <c r="BI1627" s="63" t="n">
        <f aca="false">IF(AND(OR(CG1627="L1",CG1627="L23",CG1627="LIFT"),BD1627&gt;0),SUMIFS($BD$7:$BD$1843,$CG$7:$CG$1843,CG1627,$BH$7:$BH$1843,"&gt;"&amp;BH1627)+SUMIFS($BD$7:$BD$1843,$CG$7:$CG$1843,CG1627,$BH$7:$BH$1843,BH1627,$BX$7:$BX$1843,"&lt;="&amp;BX1627),"")</f>
        <v>31119.6588543283</v>
      </c>
      <c r="BJ1627" s="70" t="n">
        <f aca="false">IF(BI1627="",0,MAX(0,MIN(1,(IF(CG1627="L1",Parameter!$H$5,IF(CG1627="L23",Parameter!$H$6+Parameter!$H$7,Parameter!$H$5+Parameter!$H$6+Parameter!$H$7))-(BI1627-BD1627))/BD1627)))</f>
        <v>1</v>
      </c>
      <c r="BK1627" s="60" t="str">
        <f aca="false">IF(AJ1627&lt;=0,"",IF(CG1627="Aussen","Aussenlager",IF(CG1627="-","Nicht im Lift",IF(AP1627&gt;=1,"Lift",IF(AP1627&lt;=0,"Aussenlager","teilweise")))))</f>
        <v>Lift</v>
      </c>
      <c r="BL1627" s="60" t="str">
        <f aca="false">IF(AT1627&lt;=0,"",IF(CG1627="Aussen","Aussenlager",IF(CG1627="-","Nicht im Lift",IF(AZ1627&gt;=1,"Lift",IF(AZ1627&lt;=0,"Aussenlager","teilweise")))))</f>
        <v>Aussenlager</v>
      </c>
      <c r="BM1627" s="60" t="str">
        <f aca="false">IF(BD1627&lt;=0,"",IF(CG1627="Aussen","Aussenlager",IF(CG1627="-","Nicht im Lift",IF(BJ1627&gt;=1,"Lift",IF(BJ1627&lt;=0,"Aussenlager","teilweise")))))</f>
        <v>Lift</v>
      </c>
      <c r="BN1627" s="60" t="str">
        <f aca="false">IF(A1627="","",IF(BW1627=1,"Neu; ","")&amp;IF(AND(BW1627=0,BR1627&lt;0),"negativer Bestand (Export "&amp;BR1627&amp;"); ","")&amp;IF(J1627&lt;=0,"Kein Verbrauch; ","")&amp;IF(CR1627&gt;0,"Lift "&amp;W1627&amp;" lt. Liftbericht (Fach "&amp;X1627&amp;" Stk); ",IF(CB1627=1,"Gebinde geschätzt ("&amp;T1627&amp;"); ",IF(CA1627=1,"Lose – Tablare geschätzt; ","")))&amp;IF(H1627&gt;AW1627,"Überbestand "&amp;ROUND(H1627-AW1627,0)&amp;" Stk / CHF "&amp;ROUND((H1627-AW1627)*G1627,0)&amp;"; ","")&amp;IF(AND(CI1627=1,CJ1627&lt;CK1627),"MAX &lt; MB+LG; ","")&amp;IF(AND(CQ1627&gt;0,CP1627*10&gt;CQ1627),"zu hoch für Tablar; ","")&amp;IF(AND(BW1627=0,OR(CI1627=1,AB1627&lt;&gt;"",U1627&lt;&gt;"",V1627&lt;&gt;"",AC1627&lt;&gt;"")),"manuell übersteuert; ","")&amp;IF(AND(CA1627=0,R1627=0),"Gebinde unbekannt / Stellmass fehlt; ","")&amp;IF(AND(CA1627=0,N(V1627)&lt;=0,N(Q1627)&lt;=0),"Menge pro Gebinde fehlt (Ist = 1 Gebinde); ","")&amp;BV1627)</f>
        <v>Kein Verbrauch; Gebinde geschätzt (Klein); Menge pro Gebinde fehlt (Ist = 1 Gebinde); nur im Artikelstamm (Bestand 23.06.2026)</v>
      </c>
      <c r="BO1627" s="60"/>
      <c r="BP1627" s="60"/>
      <c r="BQ1627" s="67"/>
      <c r="BR1627" s="62" t="n">
        <v>37</v>
      </c>
      <c r="BS1627" s="62" t="n">
        <v>0</v>
      </c>
      <c r="BT1627" s="61" t="n">
        <v>0</v>
      </c>
      <c r="BU1627" s="62" t="n">
        <v>0</v>
      </c>
      <c r="BV1627" s="60" t="s">
        <v>2617</v>
      </c>
      <c r="BW1627" s="65" t="n">
        <v>0</v>
      </c>
      <c r="BX1627" s="65" t="n">
        <v>1627</v>
      </c>
      <c r="BY1627" s="60" t="str">
        <f aca="false">IF(U1627&lt;&gt;"",UPPER(TRIM(U1627)),IF(CB1627=1,UPPER(VLOOKUP(T1627,Parameter!$I$27:$K$29,2,0)),IF(P1627="","LOSE",P1627)))</f>
        <v>S51</v>
      </c>
      <c r="BZ1627" s="62" t="n">
        <f aca="false">IF(BY1627="LOSE",1,IF(N(V1627)&gt;0,V1627,IF(CB1627=1,MAX(1,N(VLOOKUP(T1627,Parameter!$I$27:$K$29,3,0)),H1627,N(N1627)),IF(N(Q1627)&gt;0,Q1627,MAX(1,H1627)))))</f>
        <v>40</v>
      </c>
      <c r="CA1627" s="65" t="n">
        <f aca="false">IF(BY1627="LOSE",1,0)</f>
        <v>0</v>
      </c>
      <c r="CB1627" s="65" t="n">
        <f aca="false">IF(AND(U1627="",OR(P1627="",P1627="LOSE"),T1627&lt;&gt;"",N(S1627)&lt;=0,ISNUMBER(MATCH(T1627,Parameter!$I$27:$I$29,0))),1,0)</f>
        <v>1</v>
      </c>
      <c r="CC1627" s="65" t="n">
        <f aca="false">IF(CR1627&gt;0,INDEX(Parameter!$H$5:$H$7,W1627)/INDEX(Parameter!$E$5:$E$7,W1627),IF(AND(CA1627=0,N(IFERROR(VLOOKUP(BY1627,'Gebinde-Kategorie'!$A$5:$N$45,14,0),0))&gt;0),VLOOKUP(BY1627,'Gebinde-Kategorie'!$A$5:$N$45,14,0)*10+Parameter!$M$23,Parameter!$M$24))</f>
        <v>155</v>
      </c>
      <c r="CD1627" s="60" t="str">
        <f aca="false">IF(AND(Parameter!$B$19="Ja",E1627&lt;&gt;"",ISNUMBER(MATCH(E1627,Parameter!$I$35:$I$52,0))),VLOOKUP(E1627,Parameter!$I$35:$J$52,2,0),IFERROR(VLOOKUP(D1627,Parameter!$A$35:$C$64,2,0),"Nein"))</f>
        <v>2+3</v>
      </c>
      <c r="CE1627" s="64" t="n">
        <f aca="false">IF(CA1627=0,0,IF(N(S1627)&gt;0,S1627,IFERROR(VLOOKUP(D1627,Parameter!$A$35:$C$64,3,0)+0,0)))</f>
        <v>0</v>
      </c>
      <c r="CF1627" s="60" t="n">
        <f aca="false">IF(AB1627&lt;&gt;"",AB1627,AA1627)</f>
        <v>3</v>
      </c>
      <c r="CG1627" s="60" t="str">
        <f aca="false">IF(OR(CF1627=1,CF1627=2,CF1627=3),IF(Parameter!$E$27="Ja","LIFT",IF(CF1627=1,"L1","L23")),IF(CF1627="Aussen","Aussen","-"))</f>
        <v>LIFT</v>
      </c>
      <c r="CH1627" s="71" t="n">
        <f aca="false">IF(N(AC1627)&gt;0,AC1627,0)</f>
        <v>0</v>
      </c>
      <c r="CI1627" s="65" t="n">
        <f aca="false">IF(ISNUMBER(AF1627),1,0)</f>
        <v>0</v>
      </c>
      <c r="CJ1627" s="62" t="n">
        <f aca="false">N(AF1627)</f>
        <v>0</v>
      </c>
      <c r="CK1627" s="62" t="n">
        <f aca="false">N(M1627)+N(N1627)</f>
        <v>40</v>
      </c>
      <c r="CL1627" s="62" t="n">
        <f aca="false">N(M1627)</f>
        <v>0</v>
      </c>
      <c r="CM1627" s="62" t="n">
        <f aca="false">N(N1627)</f>
        <v>40</v>
      </c>
      <c r="CN1627" s="62" t="n">
        <f aca="false">ROUNDUP(H1627/BZ1627,0)</f>
        <v>1</v>
      </c>
      <c r="CO1627" s="62" t="n">
        <f aca="false">ROUNDUP(CJ1627/BZ1627,0)</f>
        <v>0</v>
      </c>
      <c r="CP1627" s="65" t="n">
        <f aca="false">IF(CA1627=1,0,IFERROR(VLOOKUP(BY1627,'Gebinde-Kategorie'!$A$5:$N$45,5,0)+0,0))</f>
        <v>11</v>
      </c>
      <c r="CQ1627" s="65" t="n">
        <f aca="false">IFERROR(IF(OR(CF1627=1,CF1627=2,CF1627=3),N(INDEX(Parameter!$I$5:$I$7,CF1627)),0),0)</f>
        <v>0</v>
      </c>
      <c r="CR1627" s="64" t="n">
        <f aca="false">IF(AND(Parameter!$B$21="Ja",ISNUMBER(W1627),N(X1627)&gt;0),IFERROR(N(INDEX(Parameter!$L$5:$L$7,W1627))*INDEX(Parameter!$E$5:$E$7,W1627)*X1627/SUMIFS($X$7:$X$1843,$W$7:$W$1843,W1627),0),0)</f>
        <v>0</v>
      </c>
      <c r="CS1627" s="62" t="n">
        <f aca="false">IF(AND(OR(CG1627="L1",CG1627="L23",CG1627="LIFT"),H1627&gt;0),CC1627*IF(CR1627&gt;0,CR1627*MAX(1,H1627/X1627),IF(CA1627=1,CE1627,IF(R1627&gt;0,CN1627/R1627,0))/MAX(0.1,N(Parameter!$M$21))),"")</f>
        <v>5.96153846153846</v>
      </c>
      <c r="CT1627" s="64" t="n">
        <f aca="false">IF(CS1627="","",J1627/H1627)</f>
        <v>0</v>
      </c>
      <c r="CU1627" s="62" t="n">
        <f aca="false">IF(CS1627="","",H1627*G1627)</f>
        <v>951.27</v>
      </c>
      <c r="CV1627" s="63" t="n">
        <f aca="false">IF(CS1627="","",(CL1627+ROUNDUP(CL1627+MAX(CM1627,2*(J1627/MAX(0.1,N(Einkauf!$C$6))-CL1627)),0))/2)</f>
        <v>20</v>
      </c>
      <c r="CW1627" s="62" t="n">
        <f aca="false">IF(CS1627="","",MAX(0,H1627-CV1627)*G1627)</f>
        <v>437.07</v>
      </c>
      <c r="CX1627" s="62" t="n">
        <f aca="false">IF(CS1627="","",CS1627*MAX(0,1-CV1627/H1627))</f>
        <v>2.73908523908524</v>
      </c>
      <c r="CY1627" s="64" t="n">
        <f aca="false">IF(CS1627="","",PERCENTRANK($CS$7:$CS$1843,CS1627)+PERCENTRANK($CU$7:$CU$1843,CU1627)+1-PERCENTRANK($CT$7:$CT$1843,CT1627))</f>
        <v>1.999</v>
      </c>
      <c r="CZ1627" s="72" t="n">
        <f aca="false">IF(CS1627="","",CHOOSE(MATCH(Einkauf!$C$5,Parameter!$G$23:$G$27,0),CY1627,CS1627,CU1627,-CT1627,CW1627)+ROW()/1000000000)</f>
        <v>1.999001627</v>
      </c>
    </row>
    <row r="1628" customFormat="false" ht="15" hidden="false" customHeight="false" outlineLevel="0" collapsed="false">
      <c r="A1628" s="60" t="s">
        <v>2874</v>
      </c>
      <c r="B1628" s="60" t="s">
        <v>2875</v>
      </c>
      <c r="C1628" s="60" t="s">
        <v>206</v>
      </c>
      <c r="D1628" s="60" t="s">
        <v>226</v>
      </c>
      <c r="E1628" s="60"/>
      <c r="F1628" s="60"/>
      <c r="G1628" s="61" t="n">
        <v>10.99</v>
      </c>
      <c r="H1628" s="62" t="n">
        <f aca="false">MAX(0,IF(AND(Parameter!$B$21="Ja",ISNUMBER(Y1628)),Y1628,IF(Parameter!$B$20="Jahresanfang 2025 + Export",BS1628+BR1628,BR1628)))</f>
        <v>74</v>
      </c>
      <c r="I1628" s="62" t="n">
        <f aca="false">H1628*G1628</f>
        <v>813.26</v>
      </c>
      <c r="J1628" s="62" t="n">
        <f aca="false">BU1628*Parameter!$B$18</f>
        <v>0</v>
      </c>
      <c r="K1628" s="63"/>
      <c r="L1628" s="64"/>
      <c r="M1628" s="62" t="n">
        <v>0</v>
      </c>
      <c r="N1628" s="62" t="n">
        <v>50</v>
      </c>
      <c r="O1628" s="65" t="n">
        <v>14</v>
      </c>
      <c r="P1628" s="60" t="s">
        <v>210</v>
      </c>
      <c r="Q1628" s="62"/>
      <c r="R1628" s="65" t="n">
        <f aca="false">IF(CA1628=1,0,IFERROR(VLOOKUP(BY1628,'Gebinde-Kategorie'!$A$5:$N$45,13,0)+0,0))</f>
        <v>26</v>
      </c>
      <c r="S1628" s="66"/>
      <c r="T1628" s="67" t="s">
        <v>317</v>
      </c>
      <c r="U1628" s="67"/>
      <c r="V1628" s="67"/>
      <c r="W1628" s="60"/>
      <c r="X1628" s="62"/>
      <c r="Y1628" s="62"/>
      <c r="Z1628" s="60" t="n">
        <v>3</v>
      </c>
      <c r="AA1628" s="60" t="n">
        <f aca="false">IF(A1628="","",IF(AND(Parameter!$B$21="Ja",ISNUMBER(W1628)),W1628,IF(AND(Parameter!$E$27="Ja",ISNUMBER(Z1628),CD1628&lt;&gt;"Nein"),Z1628,IF(CD1628="2+3",IF(ISNUMBER(SEARCH("grosser Artikel",BV1628)),2,IFERROR(VLOOKUP(BY1628,Parameter!$F$35:$G$64,2,0),2)),IF(OR(CD1628="Nein",CD1628=""),"-",CD1628)))))</f>
        <v>3</v>
      </c>
      <c r="AB1628" s="67"/>
      <c r="AC1628" s="68"/>
      <c r="AD1628" s="62" t="n">
        <f aca="false">AW1628</f>
        <v>50</v>
      </c>
      <c r="AE1628" s="62" t="n">
        <f aca="false">MAX(AW1628,H1628)</f>
        <v>74</v>
      </c>
      <c r="AF1628" s="69"/>
      <c r="AG1628" s="62" t="n">
        <f aca="false">IF(LEFT(Cockpit!$C$5,1)="A",H1628,IF(Parameter!$E$30="MAX-Bestand",IF(CI1628=1,CJ1628,IF(LEFT(Cockpit!$C$5,1)="B",AM1628,MAX(AM1628,H1628))),ROUNDUP(AK1628,0)))</f>
        <v>74</v>
      </c>
      <c r="AH1628" s="62" t="n">
        <f aca="false">IF(CA1628=1,0,ROUNDUP(AG1628/BZ1628,0))</f>
        <v>1</v>
      </c>
      <c r="AI1628" s="64" t="n">
        <f aca="false">IF(CR1628&gt;0,CR1628*MAX(1,AG1628/X1628),IF(CA1628=1,IF(AG1628&lt;=0,0,CE1628*MAX(1,IF(H1628&gt;0,AG1628/H1628,1))),IF(R1628&gt;0,AH1628/R1628,0))/MAX(0.1,N(Parameter!$M$21)))</f>
        <v>0.0384615384615385</v>
      </c>
      <c r="AJ1628" s="62" t="n">
        <f aca="false">AI1628*CC1628</f>
        <v>5.96153846153846</v>
      </c>
      <c r="AK1628" s="63" t="n">
        <f aca="false">IF(LEFT(Cockpit!$C$5,1)="A",H1628,IF(CI1628=1,(CL1628+CJ1628)/2,IF(LEFT(Cockpit!$C$5,1)="B",(CL1628+AM1628)/2,MAX((CL1628+AM1628)/2,H1628))))</f>
        <v>74</v>
      </c>
      <c r="AL1628" s="62" t="n">
        <f aca="false">AK1628*G1628</f>
        <v>813.26</v>
      </c>
      <c r="AM1628" s="62" t="n">
        <f aca="false">ROUNDUP(CL1628+MAX(CM1628,2*(J1628/IF(CH1628&gt;0,CH1628,MAX(0.1,N(Cockpit!$C$6)))-CL1628)),0)</f>
        <v>50</v>
      </c>
      <c r="AN1628" s="63" t="n">
        <f aca="false">IF(AJ1628&gt;0,J1628/AJ1628,-1)</f>
        <v>0</v>
      </c>
      <c r="AO1628" s="63" t="n">
        <f aca="false">IF(AND(OR(CG1628="L1",CG1628="L23",CG1628="LIFT"),AJ1628&gt;0),SUMIFS($AJ$7:$AJ$1843,$CG$7:$CG$1843,CG1628,$AN$7:$AN$1843,"&gt;"&amp;AN1628)+SUMIFS($AJ$7:$AJ$1843,$CG$7:$CG$1843,CG1628,$AN$7:$AN$1843,AN1628,$BX$7:$BX$1843,"&lt;="&amp;BX1628),"")</f>
        <v>30896.3226004222</v>
      </c>
      <c r="AP1628" s="70" t="n">
        <f aca="false">IF(AO1628="",0,MAX(0,MIN(1,(IF(CG1628="L1",Parameter!$H$5,IF(CG1628="L23",Parameter!$H$6+Parameter!$H$7,Parameter!$H$5+Parameter!$H$6+Parameter!$H$7))-(AO1628-AJ1628))/AJ1628)))</f>
        <v>1</v>
      </c>
      <c r="AQ1628" s="62" t="n">
        <f aca="false">IF(LEFT(Cockpit!$I$5,1)="A",H1628,IF(Parameter!$E$30="MAX-Bestand",IF(CI1628=1,CJ1628,IF(LEFT(Cockpit!$I$5,1)="B",AW1628,MAX(AW1628,H1628))),ROUNDUP(AU1628,0)))</f>
        <v>74</v>
      </c>
      <c r="AR1628" s="62" t="n">
        <f aca="false">IF(CA1628=1,0,ROUNDUP(AQ1628/BZ1628,0))</f>
        <v>1</v>
      </c>
      <c r="AS1628" s="64" t="n">
        <f aca="false">IF(CR1628&gt;0,CR1628*MAX(1,AQ1628/X1628),IF(CA1628=1,IF(AQ1628&lt;=0,0,CE1628*MAX(1,IF(H1628&gt;0,AQ1628/H1628,1))),IF(R1628&gt;0,AR1628/R1628,0))/MAX(0.1,N(Parameter!$M$21)))</f>
        <v>0.0384615384615385</v>
      </c>
      <c r="AT1628" s="62" t="n">
        <f aca="false">AS1628*CC1628</f>
        <v>5.96153846153846</v>
      </c>
      <c r="AU1628" s="63" t="n">
        <f aca="false">IF(LEFT(Cockpit!$I$5,1)="A",H1628,IF(CI1628=1,(CL1628+CJ1628)/2,IF(LEFT(Cockpit!$I$5,1)="B",(CL1628+AW1628)/2,MAX((CL1628+AW1628)/2,H1628))))</f>
        <v>74</v>
      </c>
      <c r="AV1628" s="62" t="n">
        <f aca="false">AU1628*G1628</f>
        <v>813.26</v>
      </c>
      <c r="AW1628" s="62" t="n">
        <f aca="false">ROUNDUP(CL1628+MAX(CM1628,2*(J1628/IF(CH1628&gt;0,CH1628,MAX(0.1,N(Cockpit!$I$6)))-CL1628)),0)</f>
        <v>50</v>
      </c>
      <c r="AX1628" s="63" t="n">
        <f aca="false">IF(AT1628&gt;0,J1628/AT1628,-1)</f>
        <v>0</v>
      </c>
      <c r="AY1628" s="63" t="n">
        <f aca="false">IF(AND(OR(CG1628="L1",CG1628="L23",CG1628="LIFT"),AT1628&gt;0),SUMIFS($AT$7:$AT$1843,$CG$7:$CG$1843,CG1628,$AX$7:$AX$1843,"&gt;"&amp;AX1628)+SUMIFS($AT$7:$AT$1843,$CG$7:$CG$1843,CG1628,$AX$7:$AX$1843,AX1628,$BX$7:$BX$1843,"&lt;="&amp;BX1628),"")</f>
        <v>37216.1791172575</v>
      </c>
      <c r="AZ1628" s="70" t="n">
        <f aca="false">IF(AY1628="",0,MAX(0,MIN(1,(IF(CG1628="L1",Parameter!$H$5,IF(CG1628="L23",Parameter!$H$6+Parameter!$H$7,Parameter!$H$5+Parameter!$H$6+Parameter!$H$7))-(AY1628-AT1628))/AT1628)))</f>
        <v>0</v>
      </c>
      <c r="BA1628" s="62" t="n">
        <f aca="false">IF(LEFT(Cockpit!$O$5,1)="A",H1628,IF(Parameter!$E$30="MAX-Bestand",IF(CI1628=1,CJ1628,IF(LEFT(Cockpit!$O$5,1)="B",BG1628,MAX(BG1628,H1628))),ROUNDUP(BE1628,0)))</f>
        <v>25</v>
      </c>
      <c r="BB1628" s="62" t="n">
        <f aca="false">IF(CA1628=1,0,ROUNDUP(BA1628/BZ1628,0))</f>
        <v>1</v>
      </c>
      <c r="BC1628" s="64" t="n">
        <f aca="false">IF(CR1628&gt;0,CR1628*MAX(1,BA1628/X1628),IF(CA1628=1,IF(BA1628&lt;=0,0,CE1628*MAX(1,IF(H1628&gt;0,BA1628/H1628,1))),IF(R1628&gt;0,BB1628/R1628,0))/MAX(0.1,N(Parameter!$M$21)))</f>
        <v>0.0384615384615385</v>
      </c>
      <c r="BD1628" s="62" t="n">
        <f aca="false">BC1628*CC1628</f>
        <v>5.96153846153846</v>
      </c>
      <c r="BE1628" s="63" t="n">
        <f aca="false">IF(LEFT(Cockpit!$O$5,1)="A",H1628,IF(CI1628=1,(CL1628+CJ1628)/2,IF(LEFT(Cockpit!$O$5,1)="B",(CL1628+BG1628)/2,MAX((CL1628+BG1628)/2,H1628))))</f>
        <v>25</v>
      </c>
      <c r="BF1628" s="62" t="n">
        <f aca="false">BE1628*G1628</f>
        <v>274.75</v>
      </c>
      <c r="BG1628" s="62" t="n">
        <f aca="false">ROUNDUP(CL1628+MAX(CM1628,2*(J1628/IF(CH1628&gt;0,CH1628,MAX(0.1,N(Cockpit!$O$6)))-CL1628)),0)</f>
        <v>50</v>
      </c>
      <c r="BH1628" s="63" t="n">
        <f aca="false">IF(BD1628&gt;0,J1628/BD1628,-1)</f>
        <v>0</v>
      </c>
      <c r="BI1628" s="63" t="n">
        <f aca="false">IF(AND(OR(CG1628="L1",CG1628="L23",CG1628="LIFT"),BD1628&gt;0),SUMIFS($BD$7:$BD$1843,$CG$7:$CG$1843,CG1628,$BH$7:$BH$1843,"&gt;"&amp;BH1628)+SUMIFS($BD$7:$BD$1843,$CG$7:$CG$1843,CG1628,$BH$7:$BH$1843,BH1628,$BX$7:$BX$1843,"&lt;="&amp;BX1628),"")</f>
        <v>31125.6203927899</v>
      </c>
      <c r="BJ1628" s="70" t="n">
        <f aca="false">IF(BI1628="",0,MAX(0,MIN(1,(IF(CG1628="L1",Parameter!$H$5,IF(CG1628="L23",Parameter!$H$6+Parameter!$H$7,Parameter!$H$5+Parameter!$H$6+Parameter!$H$7))-(BI1628-BD1628))/BD1628)))</f>
        <v>1</v>
      </c>
      <c r="BK1628" s="60" t="str">
        <f aca="false">IF(AJ1628&lt;=0,"",IF(CG1628="Aussen","Aussenlager",IF(CG1628="-","Nicht im Lift",IF(AP1628&gt;=1,"Lift",IF(AP1628&lt;=0,"Aussenlager","teilweise")))))</f>
        <v>Lift</v>
      </c>
      <c r="BL1628" s="60" t="str">
        <f aca="false">IF(AT1628&lt;=0,"",IF(CG1628="Aussen","Aussenlager",IF(CG1628="-","Nicht im Lift",IF(AZ1628&gt;=1,"Lift",IF(AZ1628&lt;=0,"Aussenlager","teilweise")))))</f>
        <v>Aussenlager</v>
      </c>
      <c r="BM1628" s="60" t="str">
        <f aca="false">IF(BD1628&lt;=0,"",IF(CG1628="Aussen","Aussenlager",IF(CG1628="-","Nicht im Lift",IF(BJ1628&gt;=1,"Lift",IF(BJ1628&lt;=0,"Aussenlager","teilweise")))))</f>
        <v>Lift</v>
      </c>
      <c r="BN1628" s="60" t="str">
        <f aca="false">IF(A1628="","",IF(BW1628=1,"Neu; ","")&amp;IF(AND(BW1628=0,BR1628&lt;0),"negativer Bestand (Export "&amp;BR1628&amp;"); ","")&amp;IF(J1628&lt;=0,"Kein Verbrauch; ","")&amp;IF(CR1628&gt;0,"Lift "&amp;W1628&amp;" lt. Liftbericht (Fach "&amp;X1628&amp;" Stk); ",IF(CB1628=1,"Gebinde geschätzt ("&amp;T1628&amp;"); ",IF(CA1628=1,"Lose – Tablare geschätzt; ","")))&amp;IF(H1628&gt;AW1628,"Überbestand "&amp;ROUND(H1628-AW1628,0)&amp;" Stk / CHF "&amp;ROUND((H1628-AW1628)*G1628,0)&amp;"; ","")&amp;IF(AND(CI1628=1,CJ1628&lt;CK1628),"MAX &lt; MB+LG; ","")&amp;IF(AND(CQ1628&gt;0,CP1628*10&gt;CQ1628),"zu hoch für Tablar; ","")&amp;IF(AND(BW1628=0,OR(CI1628=1,AB1628&lt;&gt;"",U1628&lt;&gt;"",V1628&lt;&gt;"",AC1628&lt;&gt;"")),"manuell übersteuert; ","")&amp;IF(AND(CA1628=0,R1628=0),"Gebinde unbekannt / Stellmass fehlt; ","")&amp;IF(AND(CA1628=0,N(V1628)&lt;=0,N(Q1628)&lt;=0),"Menge pro Gebinde fehlt (Ist = 1 Gebinde); ","")&amp;BV1628)</f>
        <v>Kein Verbrauch; Gebinde geschätzt (Klein); Überbestand 24 Stk / CHF 264; Menge pro Gebinde fehlt (Ist = 1 Gebinde); nur im Artikelstamm (Bestand 23.06.2026)</v>
      </c>
      <c r="BO1628" s="60"/>
      <c r="BP1628" s="60"/>
      <c r="BQ1628" s="67"/>
      <c r="BR1628" s="62" t="n">
        <v>74</v>
      </c>
      <c r="BS1628" s="62" t="n">
        <v>0</v>
      </c>
      <c r="BT1628" s="61" t="n">
        <v>0</v>
      </c>
      <c r="BU1628" s="62" t="n">
        <v>0</v>
      </c>
      <c r="BV1628" s="60" t="s">
        <v>2617</v>
      </c>
      <c r="BW1628" s="65" t="n">
        <v>0</v>
      </c>
      <c r="BX1628" s="65" t="n">
        <v>1628</v>
      </c>
      <c r="BY1628" s="60" t="str">
        <f aca="false">IF(U1628&lt;&gt;"",UPPER(TRIM(U1628)),IF(CB1628=1,UPPER(VLOOKUP(T1628,Parameter!$I$27:$K$29,2,0)),IF(P1628="","LOSE",P1628)))</f>
        <v>S51</v>
      </c>
      <c r="BZ1628" s="62" t="n">
        <f aca="false">IF(BY1628="LOSE",1,IF(N(V1628)&gt;0,V1628,IF(CB1628=1,MAX(1,N(VLOOKUP(T1628,Parameter!$I$27:$K$29,3,0)),H1628,N(N1628)),IF(N(Q1628)&gt;0,Q1628,MAX(1,H1628)))))</f>
        <v>74</v>
      </c>
      <c r="CA1628" s="65" t="n">
        <f aca="false">IF(BY1628="LOSE",1,0)</f>
        <v>0</v>
      </c>
      <c r="CB1628" s="65" t="n">
        <f aca="false">IF(AND(U1628="",OR(P1628="",P1628="LOSE"),T1628&lt;&gt;"",N(S1628)&lt;=0,ISNUMBER(MATCH(T1628,Parameter!$I$27:$I$29,0))),1,0)</f>
        <v>1</v>
      </c>
      <c r="CC1628" s="65" t="n">
        <f aca="false">IF(CR1628&gt;0,INDEX(Parameter!$H$5:$H$7,W1628)/INDEX(Parameter!$E$5:$E$7,W1628),IF(AND(CA1628=0,N(IFERROR(VLOOKUP(BY1628,'Gebinde-Kategorie'!$A$5:$N$45,14,0),0))&gt;0),VLOOKUP(BY1628,'Gebinde-Kategorie'!$A$5:$N$45,14,0)*10+Parameter!$M$23,Parameter!$M$24))</f>
        <v>155</v>
      </c>
      <c r="CD1628" s="60" t="str">
        <f aca="false">IF(AND(Parameter!$B$19="Ja",E1628&lt;&gt;"",ISNUMBER(MATCH(E1628,Parameter!$I$35:$I$52,0))),VLOOKUP(E1628,Parameter!$I$35:$J$52,2,0),IFERROR(VLOOKUP(D1628,Parameter!$A$35:$C$64,2,0),"Nein"))</f>
        <v>2+3</v>
      </c>
      <c r="CE1628" s="64" t="n">
        <f aca="false">IF(CA1628=0,0,IF(N(S1628)&gt;0,S1628,IFERROR(VLOOKUP(D1628,Parameter!$A$35:$C$64,3,0)+0,0)))</f>
        <v>0</v>
      </c>
      <c r="CF1628" s="60" t="n">
        <f aca="false">IF(AB1628&lt;&gt;"",AB1628,AA1628)</f>
        <v>3</v>
      </c>
      <c r="CG1628" s="60" t="str">
        <f aca="false">IF(OR(CF1628=1,CF1628=2,CF1628=3),IF(Parameter!$E$27="Ja","LIFT",IF(CF1628=1,"L1","L23")),IF(CF1628="Aussen","Aussen","-"))</f>
        <v>LIFT</v>
      </c>
      <c r="CH1628" s="71" t="n">
        <f aca="false">IF(N(AC1628)&gt;0,AC1628,0)</f>
        <v>0</v>
      </c>
      <c r="CI1628" s="65" t="n">
        <f aca="false">IF(ISNUMBER(AF1628),1,0)</f>
        <v>0</v>
      </c>
      <c r="CJ1628" s="62" t="n">
        <f aca="false">N(AF1628)</f>
        <v>0</v>
      </c>
      <c r="CK1628" s="62" t="n">
        <f aca="false">N(M1628)+N(N1628)</f>
        <v>50</v>
      </c>
      <c r="CL1628" s="62" t="n">
        <f aca="false">N(M1628)</f>
        <v>0</v>
      </c>
      <c r="CM1628" s="62" t="n">
        <f aca="false">N(N1628)</f>
        <v>50</v>
      </c>
      <c r="CN1628" s="62" t="n">
        <f aca="false">ROUNDUP(H1628/BZ1628,0)</f>
        <v>1</v>
      </c>
      <c r="CO1628" s="62" t="n">
        <f aca="false">ROUNDUP(CJ1628/BZ1628,0)</f>
        <v>0</v>
      </c>
      <c r="CP1628" s="65" t="n">
        <f aca="false">IF(CA1628=1,0,IFERROR(VLOOKUP(BY1628,'Gebinde-Kategorie'!$A$5:$N$45,5,0)+0,0))</f>
        <v>11</v>
      </c>
      <c r="CQ1628" s="65" t="n">
        <f aca="false">IFERROR(IF(OR(CF1628=1,CF1628=2,CF1628=3),N(INDEX(Parameter!$I$5:$I$7,CF1628)),0),0)</f>
        <v>0</v>
      </c>
      <c r="CR1628" s="64" t="n">
        <f aca="false">IF(AND(Parameter!$B$21="Ja",ISNUMBER(W1628),N(X1628)&gt;0),IFERROR(N(INDEX(Parameter!$L$5:$L$7,W1628))*INDEX(Parameter!$E$5:$E$7,W1628)*X1628/SUMIFS($X$7:$X$1843,$W$7:$W$1843,W1628),0),0)</f>
        <v>0</v>
      </c>
      <c r="CS1628" s="62" t="n">
        <f aca="false">IF(AND(OR(CG1628="L1",CG1628="L23",CG1628="LIFT"),H1628&gt;0),CC1628*IF(CR1628&gt;0,CR1628*MAX(1,H1628/X1628),IF(CA1628=1,CE1628,IF(R1628&gt;0,CN1628/R1628,0))/MAX(0.1,N(Parameter!$M$21))),"")</f>
        <v>5.96153846153846</v>
      </c>
      <c r="CT1628" s="64" t="n">
        <f aca="false">IF(CS1628="","",J1628/H1628)</f>
        <v>0</v>
      </c>
      <c r="CU1628" s="62" t="n">
        <f aca="false">IF(CS1628="","",H1628*G1628)</f>
        <v>813.26</v>
      </c>
      <c r="CV1628" s="63" t="n">
        <f aca="false">IF(CS1628="","",(CL1628+ROUNDUP(CL1628+MAX(CM1628,2*(J1628/MAX(0.1,N(Einkauf!$C$6))-CL1628)),0))/2)</f>
        <v>25</v>
      </c>
      <c r="CW1628" s="62" t="n">
        <f aca="false">IF(CS1628="","",MAX(0,H1628-CV1628)*G1628)</f>
        <v>538.51</v>
      </c>
      <c r="CX1628" s="62" t="n">
        <f aca="false">IF(CS1628="","",CS1628*MAX(0,1-CV1628/H1628))</f>
        <v>3.9475051975052</v>
      </c>
      <c r="CY1628" s="64" t="n">
        <f aca="false">IF(CS1628="","",PERCENTRANK($CS$7:$CS$1843,CS1628)+PERCENTRANK($CU$7:$CU$1843,CU1628)+1-PERCENTRANK($CT$7:$CT$1843,CT1628))</f>
        <v>1.966</v>
      </c>
      <c r="CZ1628" s="72" t="n">
        <f aca="false">IF(CS1628="","",CHOOSE(MATCH(Einkauf!$C$5,Parameter!$G$23:$G$27,0),CY1628,CS1628,CU1628,-CT1628,CW1628)+ROW()/1000000000)</f>
        <v>1.966001628</v>
      </c>
    </row>
    <row r="1629" customFormat="false" ht="15" hidden="false" customHeight="false" outlineLevel="0" collapsed="false">
      <c r="A1629" s="60" t="s">
        <v>2876</v>
      </c>
      <c r="B1629" s="60" t="s">
        <v>2877</v>
      </c>
      <c r="C1629" s="60" t="s">
        <v>206</v>
      </c>
      <c r="D1629" s="60" t="s">
        <v>215</v>
      </c>
      <c r="E1629" s="60" t="s">
        <v>215</v>
      </c>
      <c r="F1629" s="60"/>
      <c r="G1629" s="61" t="n">
        <v>960</v>
      </c>
      <c r="H1629" s="62" t="n">
        <f aca="false">MAX(0,IF(AND(Parameter!$B$21="Ja",ISNUMBER(Y1629)),Y1629,IF(Parameter!$B$20="Jahresanfang 2025 + Export",BS1629+BR1629,BR1629)))</f>
        <v>7</v>
      </c>
      <c r="I1629" s="62" t="n">
        <f aca="false">H1629*G1629</f>
        <v>6720</v>
      </c>
      <c r="J1629" s="62" t="n">
        <f aca="false">BU1629*Parameter!$B$18</f>
        <v>0</v>
      </c>
      <c r="K1629" s="63"/>
      <c r="L1629" s="64"/>
      <c r="M1629" s="62" t="n">
        <v>0</v>
      </c>
      <c r="N1629" s="62" t="n">
        <v>3</v>
      </c>
      <c r="O1629" s="65" t="n">
        <v>28</v>
      </c>
      <c r="P1629" s="60" t="s">
        <v>210</v>
      </c>
      <c r="Q1629" s="62"/>
      <c r="R1629" s="65" t="n">
        <f aca="false">IF(CA1629=1,0,IFERROR(VLOOKUP(BY1629,'Gebinde-Kategorie'!$A$5:$N$45,13,0)+0,0))</f>
        <v>4</v>
      </c>
      <c r="S1629" s="66"/>
      <c r="T1629" s="67" t="s">
        <v>231</v>
      </c>
      <c r="U1629" s="67"/>
      <c r="V1629" s="67"/>
      <c r="W1629" s="60"/>
      <c r="X1629" s="62"/>
      <c r="Y1629" s="62"/>
      <c r="Z1629" s="60"/>
      <c r="AA1629" s="60" t="str">
        <f aca="false">IF(A1629="","",IF(AND(Parameter!$B$21="Ja",ISNUMBER(W1629)),W1629,IF(AND(Parameter!$E$27="Ja",ISNUMBER(Z1629),CD1629&lt;&gt;"Nein"),Z1629,IF(CD1629="2+3",IF(ISNUMBER(SEARCH("grosser Artikel",BV1629)),2,IFERROR(VLOOKUP(BY1629,Parameter!$F$35:$G$64,2,0),2)),IF(OR(CD1629="Nein",CD1629=""),"-",CD1629)))))</f>
        <v>-</v>
      </c>
      <c r="AB1629" s="67"/>
      <c r="AC1629" s="68"/>
      <c r="AD1629" s="62" t="n">
        <f aca="false">AW1629</f>
        <v>3</v>
      </c>
      <c r="AE1629" s="62" t="n">
        <f aca="false">MAX(AW1629,H1629)</f>
        <v>7</v>
      </c>
      <c r="AF1629" s="69"/>
      <c r="AG1629" s="62" t="n">
        <f aca="false">IF(LEFT(Cockpit!$C$5,1)="A",H1629,IF(Parameter!$E$30="MAX-Bestand",IF(CI1629=1,CJ1629,IF(LEFT(Cockpit!$C$5,1)="B",AM1629,MAX(AM1629,H1629))),ROUNDUP(AK1629,0)))</f>
        <v>7</v>
      </c>
      <c r="AH1629" s="62" t="n">
        <f aca="false">IF(CA1629=1,0,ROUNDUP(AG1629/BZ1629,0))</f>
        <v>1</v>
      </c>
      <c r="AI1629" s="64" t="n">
        <f aca="false">IF(CR1629&gt;0,CR1629*MAX(1,AG1629/X1629),IF(CA1629=1,IF(AG1629&lt;=0,0,CE1629*MAX(1,IF(H1629&gt;0,AG1629/H1629,1))),IF(R1629&gt;0,AH1629/R1629,0))/MAX(0.1,N(Parameter!$M$21)))</f>
        <v>0.25</v>
      </c>
      <c r="AJ1629" s="62" t="n">
        <f aca="false">AI1629*CC1629</f>
        <v>58.75</v>
      </c>
      <c r="AK1629" s="63" t="n">
        <f aca="false">IF(LEFT(Cockpit!$C$5,1)="A",H1629,IF(CI1629=1,(CL1629+CJ1629)/2,IF(LEFT(Cockpit!$C$5,1)="B",(CL1629+AM1629)/2,MAX((CL1629+AM1629)/2,H1629))))</f>
        <v>7</v>
      </c>
      <c r="AL1629" s="62" t="n">
        <f aca="false">AK1629*G1629</f>
        <v>6720</v>
      </c>
      <c r="AM1629" s="62" t="n">
        <f aca="false">ROUNDUP(CL1629+MAX(CM1629,2*(J1629/IF(CH1629&gt;0,CH1629,MAX(0.1,N(Cockpit!$C$6)))-CL1629)),0)</f>
        <v>3</v>
      </c>
      <c r="AN1629" s="63" t="n">
        <f aca="false">IF(AJ1629&gt;0,J1629/AJ1629,-1)</f>
        <v>0</v>
      </c>
      <c r="AO1629" s="63" t="str">
        <f aca="false">IF(AND(OR(CG1629="L1",CG1629="L23",CG1629="LIFT"),AJ1629&gt;0),SUMIFS($AJ$7:$AJ$1843,$CG$7:$CG$1843,CG1629,$AN$7:$AN$1843,"&gt;"&amp;AN1629)+SUMIFS($AJ$7:$AJ$1843,$CG$7:$CG$1843,CG1629,$AN$7:$AN$1843,AN1629,$BX$7:$BX$1843,"&lt;="&amp;BX1629),"")</f>
        <v/>
      </c>
      <c r="AP1629" s="70" t="n">
        <f aca="false">IF(AO1629="",0,MAX(0,MIN(1,(IF(CG1629="L1",Parameter!$H$5,IF(CG1629="L23",Parameter!$H$6+Parameter!$H$7,Parameter!$H$5+Parameter!$H$6+Parameter!$H$7))-(AO1629-AJ1629))/AJ1629)))</f>
        <v>0</v>
      </c>
      <c r="AQ1629" s="62" t="n">
        <f aca="false">IF(LEFT(Cockpit!$I$5,1)="A",H1629,IF(Parameter!$E$30="MAX-Bestand",IF(CI1629=1,CJ1629,IF(LEFT(Cockpit!$I$5,1)="B",AW1629,MAX(AW1629,H1629))),ROUNDUP(AU1629,0)))</f>
        <v>7</v>
      </c>
      <c r="AR1629" s="62" t="n">
        <f aca="false">IF(CA1629=1,0,ROUNDUP(AQ1629/BZ1629,0))</f>
        <v>1</v>
      </c>
      <c r="AS1629" s="64" t="n">
        <f aca="false">IF(CR1629&gt;0,CR1629*MAX(1,AQ1629/X1629),IF(CA1629=1,IF(AQ1629&lt;=0,0,CE1629*MAX(1,IF(H1629&gt;0,AQ1629/H1629,1))),IF(R1629&gt;0,AR1629/R1629,0))/MAX(0.1,N(Parameter!$M$21)))</f>
        <v>0.25</v>
      </c>
      <c r="AT1629" s="62" t="n">
        <f aca="false">AS1629*CC1629</f>
        <v>58.75</v>
      </c>
      <c r="AU1629" s="63" t="n">
        <f aca="false">IF(LEFT(Cockpit!$I$5,1)="A",H1629,IF(CI1629=1,(CL1629+CJ1629)/2,IF(LEFT(Cockpit!$I$5,1)="B",(CL1629+AW1629)/2,MAX((CL1629+AW1629)/2,H1629))))</f>
        <v>7</v>
      </c>
      <c r="AV1629" s="62" t="n">
        <f aca="false">AU1629*G1629</f>
        <v>6720</v>
      </c>
      <c r="AW1629" s="62" t="n">
        <f aca="false">ROUNDUP(CL1629+MAX(CM1629,2*(J1629/IF(CH1629&gt;0,CH1629,MAX(0.1,N(Cockpit!$I$6)))-CL1629)),0)</f>
        <v>3</v>
      </c>
      <c r="AX1629" s="63" t="n">
        <f aca="false">IF(AT1629&gt;0,J1629/AT1629,-1)</f>
        <v>0</v>
      </c>
      <c r="AY1629" s="63" t="str">
        <f aca="false">IF(AND(OR(CG1629="L1",CG1629="L23",CG1629="LIFT"),AT1629&gt;0),SUMIFS($AT$7:$AT$1843,$CG$7:$CG$1843,CG1629,$AX$7:$AX$1843,"&gt;"&amp;AX1629)+SUMIFS($AT$7:$AT$1843,$CG$7:$CG$1843,CG1629,$AX$7:$AX$1843,AX1629,$BX$7:$BX$1843,"&lt;="&amp;BX1629),"")</f>
        <v/>
      </c>
      <c r="AZ1629" s="70" t="n">
        <f aca="false">IF(AY1629="",0,MAX(0,MIN(1,(IF(CG1629="L1",Parameter!$H$5,IF(CG1629="L23",Parameter!$H$6+Parameter!$H$7,Parameter!$H$5+Parameter!$H$6+Parameter!$H$7))-(AY1629-AT1629))/AT1629)))</f>
        <v>0</v>
      </c>
      <c r="BA1629" s="62" t="n">
        <f aca="false">IF(LEFT(Cockpit!$O$5,1)="A",H1629,IF(Parameter!$E$30="MAX-Bestand",IF(CI1629=1,CJ1629,IF(LEFT(Cockpit!$O$5,1)="B",BG1629,MAX(BG1629,H1629))),ROUNDUP(BE1629,0)))</f>
        <v>2</v>
      </c>
      <c r="BB1629" s="62" t="n">
        <f aca="false">IF(CA1629=1,0,ROUNDUP(BA1629/BZ1629,0))</f>
        <v>1</v>
      </c>
      <c r="BC1629" s="64" t="n">
        <f aca="false">IF(CR1629&gt;0,CR1629*MAX(1,BA1629/X1629),IF(CA1629=1,IF(BA1629&lt;=0,0,CE1629*MAX(1,IF(H1629&gt;0,BA1629/H1629,1))),IF(R1629&gt;0,BB1629/R1629,0))/MAX(0.1,N(Parameter!$M$21)))</f>
        <v>0.25</v>
      </c>
      <c r="BD1629" s="62" t="n">
        <f aca="false">BC1629*CC1629</f>
        <v>58.75</v>
      </c>
      <c r="BE1629" s="63" t="n">
        <f aca="false">IF(LEFT(Cockpit!$O$5,1)="A",H1629,IF(CI1629=1,(CL1629+CJ1629)/2,IF(LEFT(Cockpit!$O$5,1)="B",(CL1629+BG1629)/2,MAX((CL1629+BG1629)/2,H1629))))</f>
        <v>1.5</v>
      </c>
      <c r="BF1629" s="62" t="n">
        <f aca="false">BE1629*G1629</f>
        <v>1440</v>
      </c>
      <c r="BG1629" s="62" t="n">
        <f aca="false">ROUNDUP(CL1629+MAX(CM1629,2*(J1629/IF(CH1629&gt;0,CH1629,MAX(0.1,N(Cockpit!$O$6)))-CL1629)),0)</f>
        <v>3</v>
      </c>
      <c r="BH1629" s="63" t="n">
        <f aca="false">IF(BD1629&gt;0,J1629/BD1629,-1)</f>
        <v>0</v>
      </c>
      <c r="BI1629" s="63" t="str">
        <f aca="false">IF(AND(OR(CG1629="L1",CG1629="L23",CG1629="LIFT"),BD1629&gt;0),SUMIFS($BD$7:$BD$1843,$CG$7:$CG$1843,CG1629,$BH$7:$BH$1843,"&gt;"&amp;BH1629)+SUMIFS($BD$7:$BD$1843,$CG$7:$CG$1843,CG1629,$BH$7:$BH$1843,BH1629,$BX$7:$BX$1843,"&lt;="&amp;BX1629),"")</f>
        <v/>
      </c>
      <c r="BJ1629" s="70" t="n">
        <f aca="false">IF(BI1629="",0,MAX(0,MIN(1,(IF(CG1629="L1",Parameter!$H$5,IF(CG1629="L23",Parameter!$H$6+Parameter!$H$7,Parameter!$H$5+Parameter!$H$6+Parameter!$H$7))-(BI1629-BD1629))/BD1629)))</f>
        <v>0</v>
      </c>
      <c r="BK1629" s="60" t="str">
        <f aca="false">IF(AJ1629&lt;=0,"",IF(CG1629="Aussen","Aussenlager",IF(CG1629="-","Nicht im Lift",IF(AP1629&gt;=1,"Lift",IF(AP1629&lt;=0,"Aussenlager","teilweise")))))</f>
        <v>Nicht im Lift</v>
      </c>
      <c r="BL1629" s="60" t="str">
        <f aca="false">IF(AT1629&lt;=0,"",IF(CG1629="Aussen","Aussenlager",IF(CG1629="-","Nicht im Lift",IF(AZ1629&gt;=1,"Lift",IF(AZ1629&lt;=0,"Aussenlager","teilweise")))))</f>
        <v>Nicht im Lift</v>
      </c>
      <c r="BM1629" s="60" t="str">
        <f aca="false">IF(BD1629&lt;=0,"",IF(CG1629="Aussen","Aussenlager",IF(CG1629="-","Nicht im Lift",IF(BJ1629&gt;=1,"Lift",IF(BJ1629&lt;=0,"Aussenlager","teilweise")))))</f>
        <v>Nicht im Lift</v>
      </c>
      <c r="BN1629" s="60" t="str">
        <f aca="false">IF(A1629="","",IF(BW1629=1,"Neu; ","")&amp;IF(AND(BW1629=0,BR1629&lt;0),"negativer Bestand (Export "&amp;BR1629&amp;"); ","")&amp;IF(J1629&lt;=0,"Kein Verbrauch; ","")&amp;IF(CR1629&gt;0,"Lift "&amp;W1629&amp;" lt. Liftbericht (Fach "&amp;X1629&amp;" Stk); ",IF(CB1629=1,"Gebinde geschätzt ("&amp;T1629&amp;"); ",IF(CA1629=1,"Lose – Tablare geschätzt; ","")))&amp;IF(H1629&gt;AW1629,"Überbestand "&amp;ROUND(H1629-AW1629,0)&amp;" Stk / CHF "&amp;ROUND((H1629-AW1629)*G1629,0)&amp;"; ","")&amp;IF(AND(CI1629=1,CJ1629&lt;CK1629),"MAX &lt; MB+LG; ","")&amp;IF(AND(CQ1629&gt;0,CP1629*10&gt;CQ1629),"zu hoch für Tablar; ","")&amp;IF(AND(BW1629=0,OR(CI1629=1,AB1629&lt;&gt;"",U1629&lt;&gt;"",V1629&lt;&gt;"",AC1629&lt;&gt;"")),"manuell übersteuert; ","")&amp;IF(AND(CA1629=0,R1629=0),"Gebinde unbekannt / Stellmass fehlt; ","")&amp;IF(AND(CA1629=0,N(V1629)&lt;=0,N(Q1629)&lt;=0),"Menge pro Gebinde fehlt (Ist = 1 Gebinde); ","")&amp;BV1629)</f>
        <v>Kein Verbrauch; Gebinde geschätzt (Gross); Überbestand 4 Stk / CHF 3840; Menge pro Gebinde fehlt (Ist = 1 Gebinde); nur im Artikelstamm (Bestand 23.06.2026)</v>
      </c>
      <c r="BO1629" s="60"/>
      <c r="BP1629" s="60"/>
      <c r="BQ1629" s="67"/>
      <c r="BR1629" s="62" t="n">
        <v>7</v>
      </c>
      <c r="BS1629" s="62" t="n">
        <v>0</v>
      </c>
      <c r="BT1629" s="61" t="n">
        <v>0</v>
      </c>
      <c r="BU1629" s="62" t="n">
        <v>0</v>
      </c>
      <c r="BV1629" s="60" t="s">
        <v>2617</v>
      </c>
      <c r="BW1629" s="65" t="n">
        <v>0</v>
      </c>
      <c r="BX1629" s="65" t="n">
        <v>1629</v>
      </c>
      <c r="BY1629" s="60" t="str">
        <f aca="false">IF(U1629&lt;&gt;"",UPPER(TRIM(U1629)),IF(CB1629=1,UPPER(VLOOKUP(T1629,Parameter!$I$27:$K$29,2,0)),IF(P1629="","LOSE",P1629)))</f>
        <v>S81</v>
      </c>
      <c r="BZ1629" s="62" t="n">
        <f aca="false">IF(BY1629="LOSE",1,IF(N(V1629)&gt;0,V1629,IF(CB1629=1,MAX(1,N(VLOOKUP(T1629,Parameter!$I$27:$K$29,3,0)),H1629,N(N1629)),IF(N(Q1629)&gt;0,Q1629,MAX(1,H1629)))))</f>
        <v>7</v>
      </c>
      <c r="CA1629" s="65" t="n">
        <f aca="false">IF(BY1629="LOSE",1,0)</f>
        <v>0</v>
      </c>
      <c r="CB1629" s="65" t="n">
        <f aca="false">IF(AND(U1629="",OR(P1629="",P1629="LOSE"),T1629&lt;&gt;"",N(S1629)&lt;=0,ISNUMBER(MATCH(T1629,Parameter!$I$27:$I$29,0))),1,0)</f>
        <v>1</v>
      </c>
      <c r="CC1629" s="65" t="n">
        <f aca="false">IF(CR1629&gt;0,INDEX(Parameter!$H$5:$H$7,W1629)/INDEX(Parameter!$E$5:$E$7,W1629),IF(AND(CA1629=0,N(IFERROR(VLOOKUP(BY1629,'Gebinde-Kategorie'!$A$5:$N$45,14,0),0))&gt;0),VLOOKUP(BY1629,'Gebinde-Kategorie'!$A$5:$N$45,14,0)*10+Parameter!$M$23,Parameter!$M$24))</f>
        <v>235</v>
      </c>
      <c r="CD1629" s="60" t="str">
        <f aca="false">IF(AND(Parameter!$B$19="Ja",E1629&lt;&gt;"",ISNUMBER(MATCH(E1629,Parameter!$I$35:$I$52,0))),VLOOKUP(E1629,Parameter!$I$35:$J$52,2,0),IFERROR(VLOOKUP(D1629,Parameter!$A$35:$C$64,2,0),"Nein"))</f>
        <v>Nein</v>
      </c>
      <c r="CE1629" s="64" t="n">
        <f aca="false">IF(CA1629=0,0,IF(N(S1629)&gt;0,S1629,IFERROR(VLOOKUP(D1629,Parameter!$A$35:$C$64,3,0)+0,0)))</f>
        <v>0</v>
      </c>
      <c r="CF1629" s="60" t="str">
        <f aca="false">IF(AB1629&lt;&gt;"",AB1629,AA1629)</f>
        <v>-</v>
      </c>
      <c r="CG1629" s="60" t="str">
        <f aca="false">IF(OR(CF1629=1,CF1629=2,CF1629=3),IF(Parameter!$E$27="Ja","LIFT",IF(CF1629=1,"L1","L23")),IF(CF1629="Aussen","Aussen","-"))</f>
        <v>-</v>
      </c>
      <c r="CH1629" s="71" t="n">
        <f aca="false">IF(N(AC1629)&gt;0,AC1629,0)</f>
        <v>0</v>
      </c>
      <c r="CI1629" s="65" t="n">
        <f aca="false">IF(ISNUMBER(AF1629),1,0)</f>
        <v>0</v>
      </c>
      <c r="CJ1629" s="62" t="n">
        <f aca="false">N(AF1629)</f>
        <v>0</v>
      </c>
      <c r="CK1629" s="62" t="n">
        <f aca="false">N(M1629)+N(N1629)</f>
        <v>3</v>
      </c>
      <c r="CL1629" s="62" t="n">
        <f aca="false">N(M1629)</f>
        <v>0</v>
      </c>
      <c r="CM1629" s="62" t="n">
        <f aca="false">N(N1629)</f>
        <v>3</v>
      </c>
      <c r="CN1629" s="62" t="n">
        <f aca="false">ROUNDUP(H1629/BZ1629,0)</f>
        <v>1</v>
      </c>
      <c r="CO1629" s="62" t="n">
        <f aca="false">ROUNDUP(CJ1629/BZ1629,0)</f>
        <v>0</v>
      </c>
      <c r="CP1629" s="65" t="n">
        <f aca="false">IF(CA1629=1,0,IFERROR(VLOOKUP(BY1629,'Gebinde-Kategorie'!$A$5:$N$45,5,0)+0,0))</f>
        <v>20</v>
      </c>
      <c r="CQ1629" s="65" t="n">
        <f aca="false">IFERROR(IF(OR(CF1629=1,CF1629=2,CF1629=3),N(INDEX(Parameter!$I$5:$I$7,CF1629)),0),0)</f>
        <v>0</v>
      </c>
      <c r="CR1629" s="64" t="n">
        <f aca="false">IF(AND(Parameter!$B$21="Ja",ISNUMBER(W1629),N(X1629)&gt;0),IFERROR(N(INDEX(Parameter!$L$5:$L$7,W1629))*INDEX(Parameter!$E$5:$E$7,W1629)*X1629/SUMIFS($X$7:$X$1843,$W$7:$W$1843,W1629),0),0)</f>
        <v>0</v>
      </c>
      <c r="CS1629" s="62" t="str">
        <f aca="false">IF(AND(OR(CG1629="L1",CG1629="L23",CG1629="LIFT"),H1629&gt;0),CC1629*IF(CR1629&gt;0,CR1629*MAX(1,H1629/X1629),IF(CA1629=1,CE1629,IF(R1629&gt;0,CN1629/R1629,0))/MAX(0.1,N(Parameter!$M$21))),"")</f>
        <v/>
      </c>
      <c r="CT1629" s="64" t="str">
        <f aca="false">IF(CS1629="","",J1629/H1629)</f>
        <v/>
      </c>
      <c r="CU1629" s="62" t="str">
        <f aca="false">IF(CS1629="","",H1629*G1629)</f>
        <v/>
      </c>
      <c r="CV1629" s="63" t="str">
        <f aca="false">IF(CS1629="","",(CL1629+ROUNDUP(CL1629+MAX(CM1629,2*(J1629/MAX(0.1,N(Einkauf!$C$6))-CL1629)),0))/2)</f>
        <v/>
      </c>
      <c r="CW1629" s="62" t="str">
        <f aca="false">IF(CS1629="","",MAX(0,H1629-CV1629)*G1629)</f>
        <v/>
      </c>
      <c r="CX1629" s="62" t="str">
        <f aca="false">IF(CS1629="","",CS1629*MAX(0,1-CV1629/H1629))</f>
        <v/>
      </c>
      <c r="CY1629" s="64" t="str">
        <f aca="false">IF(CS1629="","",PERCENTRANK($CS$7:$CS$1843,CS1629)+PERCENTRANK($CU$7:$CU$1843,CU1629)+1-PERCENTRANK($CT$7:$CT$1843,CT1629))</f>
        <v/>
      </c>
      <c r="CZ1629" s="72" t="str">
        <f aca="false">IF(CS1629="","",CHOOSE(MATCH(Einkauf!$C$5,Parameter!$G$23:$G$27,0),CY1629,CS1629,CU1629,-CT1629,CW1629)+ROW()/1000000000)</f>
        <v/>
      </c>
    </row>
    <row r="1630" customFormat="false" ht="15" hidden="false" customHeight="false" outlineLevel="0" collapsed="false">
      <c r="A1630" s="60" t="s">
        <v>2878</v>
      </c>
      <c r="B1630" s="60" t="s">
        <v>2879</v>
      </c>
      <c r="C1630" s="60" t="s">
        <v>498</v>
      </c>
      <c r="D1630" s="60" t="s">
        <v>215</v>
      </c>
      <c r="E1630" s="60"/>
      <c r="F1630" s="60"/>
      <c r="G1630" s="61" t="n">
        <v>918.55</v>
      </c>
      <c r="H1630" s="62" t="n">
        <f aca="false">MAX(0,IF(AND(Parameter!$B$21="Ja",ISNUMBER(Y1630)),Y1630,IF(Parameter!$B$20="Jahresanfang 2025 + Export",BS1630+BR1630,BR1630)))</f>
        <v>4</v>
      </c>
      <c r="I1630" s="62" t="n">
        <f aca="false">H1630*G1630</f>
        <v>3674.2</v>
      </c>
      <c r="J1630" s="62" t="n">
        <f aca="false">BU1630*Parameter!$B$18</f>
        <v>0</v>
      </c>
      <c r="K1630" s="63"/>
      <c r="L1630" s="64"/>
      <c r="M1630" s="62" t="n">
        <v>0</v>
      </c>
      <c r="N1630" s="62" t="n">
        <v>4</v>
      </c>
      <c r="O1630" s="65" t="n">
        <v>84</v>
      </c>
      <c r="P1630" s="60" t="s">
        <v>210</v>
      </c>
      <c r="Q1630" s="62"/>
      <c r="R1630" s="65" t="n">
        <f aca="false">IF(CA1630=1,0,IFERROR(VLOOKUP(BY1630,'Gebinde-Kategorie'!$A$5:$N$45,13,0)+0,0))</f>
        <v>12</v>
      </c>
      <c r="S1630" s="66"/>
      <c r="T1630" s="67" t="s">
        <v>221</v>
      </c>
      <c r="U1630" s="67"/>
      <c r="V1630" s="67"/>
      <c r="W1630" s="60"/>
      <c r="X1630" s="62"/>
      <c r="Y1630" s="62"/>
      <c r="Z1630" s="60" t="n">
        <v>3</v>
      </c>
      <c r="AA1630" s="60" t="n">
        <f aca="false">IF(A1630="","",IF(AND(Parameter!$B$21="Ja",ISNUMBER(W1630)),W1630,IF(AND(Parameter!$E$27="Ja",ISNUMBER(Z1630),CD1630&lt;&gt;"Nein"),Z1630,IF(CD1630="2+3",IF(ISNUMBER(SEARCH("grosser Artikel",BV1630)),2,IFERROR(VLOOKUP(BY1630,Parameter!$F$35:$G$64,2,0),2)),IF(OR(CD1630="Nein",CD1630=""),"-",CD1630)))))</f>
        <v>3</v>
      </c>
      <c r="AB1630" s="67"/>
      <c r="AC1630" s="68"/>
      <c r="AD1630" s="62" t="n">
        <f aca="false">AW1630</f>
        <v>4</v>
      </c>
      <c r="AE1630" s="62" t="n">
        <f aca="false">MAX(AW1630,H1630)</f>
        <v>4</v>
      </c>
      <c r="AF1630" s="69"/>
      <c r="AG1630" s="62" t="n">
        <f aca="false">IF(LEFT(Cockpit!$C$5,1)="A",H1630,IF(Parameter!$E$30="MAX-Bestand",IF(CI1630=1,CJ1630,IF(LEFT(Cockpit!$C$5,1)="B",AM1630,MAX(AM1630,H1630))),ROUNDUP(AK1630,0)))</f>
        <v>4</v>
      </c>
      <c r="AH1630" s="62" t="n">
        <f aca="false">IF(CA1630=1,0,ROUNDUP(AG1630/BZ1630,0))</f>
        <v>1</v>
      </c>
      <c r="AI1630" s="64" t="n">
        <f aca="false">IF(CR1630&gt;0,CR1630*MAX(1,AG1630/X1630),IF(CA1630=1,IF(AG1630&lt;=0,0,CE1630*MAX(1,IF(H1630&gt;0,AG1630/H1630,1))),IF(R1630&gt;0,AH1630/R1630,0))/MAX(0.1,N(Parameter!$M$21)))</f>
        <v>0.0833333333333333</v>
      </c>
      <c r="AJ1630" s="62" t="n">
        <f aca="false">AI1630*CC1630</f>
        <v>12.0833333333333</v>
      </c>
      <c r="AK1630" s="63" t="n">
        <f aca="false">IF(LEFT(Cockpit!$C$5,1)="A",H1630,IF(CI1630=1,(CL1630+CJ1630)/2,IF(LEFT(Cockpit!$C$5,1)="B",(CL1630+AM1630)/2,MAX((CL1630+AM1630)/2,H1630))))</f>
        <v>4</v>
      </c>
      <c r="AL1630" s="62" t="n">
        <f aca="false">AK1630*G1630</f>
        <v>3674.2</v>
      </c>
      <c r="AM1630" s="62" t="n">
        <f aca="false">ROUNDUP(CL1630+MAX(CM1630,2*(J1630/IF(CH1630&gt;0,CH1630,MAX(0.1,N(Cockpit!$C$6)))-CL1630)),0)</f>
        <v>4</v>
      </c>
      <c r="AN1630" s="63" t="n">
        <f aca="false">IF(AJ1630&gt;0,J1630/AJ1630,-1)</f>
        <v>0</v>
      </c>
      <c r="AO1630" s="63" t="n">
        <f aca="false">IF(AND(OR(CG1630="L1",CG1630="L23",CG1630="LIFT"),AJ1630&gt;0),SUMIFS($AJ$7:$AJ$1843,$CG$7:$CG$1843,CG1630,$AN$7:$AN$1843,"&gt;"&amp;AN1630)+SUMIFS($AJ$7:$AJ$1843,$CG$7:$CG$1843,CG1630,$AN$7:$AN$1843,AN1630,$BX$7:$BX$1843,"&lt;="&amp;BX1630),"")</f>
        <v>30908.4059337555</v>
      </c>
      <c r="AP1630" s="70" t="n">
        <f aca="false">IF(AO1630="",0,MAX(0,MIN(1,(IF(CG1630="L1",Parameter!$H$5,IF(CG1630="L23",Parameter!$H$6+Parameter!$H$7,Parameter!$H$5+Parameter!$H$6+Parameter!$H$7))-(AO1630-AJ1630))/AJ1630)))</f>
        <v>1</v>
      </c>
      <c r="AQ1630" s="62" t="n">
        <f aca="false">IF(LEFT(Cockpit!$I$5,1)="A",H1630,IF(Parameter!$E$30="MAX-Bestand",IF(CI1630=1,CJ1630,IF(LEFT(Cockpit!$I$5,1)="B",AW1630,MAX(AW1630,H1630))),ROUNDUP(AU1630,0)))</f>
        <v>4</v>
      </c>
      <c r="AR1630" s="62" t="n">
        <f aca="false">IF(CA1630=1,0,ROUNDUP(AQ1630/BZ1630,0))</f>
        <v>1</v>
      </c>
      <c r="AS1630" s="64" t="n">
        <f aca="false">IF(CR1630&gt;0,CR1630*MAX(1,AQ1630/X1630),IF(CA1630=1,IF(AQ1630&lt;=0,0,CE1630*MAX(1,IF(H1630&gt;0,AQ1630/H1630,1))),IF(R1630&gt;0,AR1630/R1630,0))/MAX(0.1,N(Parameter!$M$21)))</f>
        <v>0.0833333333333333</v>
      </c>
      <c r="AT1630" s="62" t="n">
        <f aca="false">AS1630*CC1630</f>
        <v>12.0833333333333</v>
      </c>
      <c r="AU1630" s="63" t="n">
        <f aca="false">IF(LEFT(Cockpit!$I$5,1)="A",H1630,IF(CI1630=1,(CL1630+CJ1630)/2,IF(LEFT(Cockpit!$I$5,1)="B",(CL1630+AW1630)/2,MAX((CL1630+AW1630)/2,H1630))))</f>
        <v>4</v>
      </c>
      <c r="AV1630" s="62" t="n">
        <f aca="false">AU1630*G1630</f>
        <v>3674.2</v>
      </c>
      <c r="AW1630" s="62" t="n">
        <f aca="false">ROUNDUP(CL1630+MAX(CM1630,2*(J1630/IF(CH1630&gt;0,CH1630,MAX(0.1,N(Cockpit!$I$6)))-CL1630)),0)</f>
        <v>4</v>
      </c>
      <c r="AX1630" s="63" t="n">
        <f aca="false">IF(AT1630&gt;0,J1630/AT1630,-1)</f>
        <v>0</v>
      </c>
      <c r="AY1630" s="63" t="n">
        <f aca="false">IF(AND(OR(CG1630="L1",CG1630="L23",CG1630="LIFT"),AT1630&gt;0),SUMIFS($AT$7:$AT$1843,$CG$7:$CG$1843,CG1630,$AX$7:$AX$1843,"&gt;"&amp;AX1630)+SUMIFS($AT$7:$AT$1843,$CG$7:$CG$1843,CG1630,$AX$7:$AX$1843,AX1630,$BX$7:$BX$1843,"&lt;="&amp;BX1630),"")</f>
        <v>37228.2624505908</v>
      </c>
      <c r="AZ1630" s="70" t="n">
        <f aca="false">IF(AY1630="",0,MAX(0,MIN(1,(IF(CG1630="L1",Parameter!$H$5,IF(CG1630="L23",Parameter!$H$6+Parameter!$H$7,Parameter!$H$5+Parameter!$H$6+Parameter!$H$7))-(AY1630-AT1630))/AT1630)))</f>
        <v>0</v>
      </c>
      <c r="BA1630" s="62" t="n">
        <f aca="false">IF(LEFT(Cockpit!$O$5,1)="A",H1630,IF(Parameter!$E$30="MAX-Bestand",IF(CI1630=1,CJ1630,IF(LEFT(Cockpit!$O$5,1)="B",BG1630,MAX(BG1630,H1630))),ROUNDUP(BE1630,0)))</f>
        <v>2</v>
      </c>
      <c r="BB1630" s="62" t="n">
        <f aca="false">IF(CA1630=1,0,ROUNDUP(BA1630/BZ1630,0))</f>
        <v>1</v>
      </c>
      <c r="BC1630" s="64" t="n">
        <f aca="false">IF(CR1630&gt;0,CR1630*MAX(1,BA1630/X1630),IF(CA1630=1,IF(BA1630&lt;=0,0,CE1630*MAX(1,IF(H1630&gt;0,BA1630/H1630,1))),IF(R1630&gt;0,BB1630/R1630,0))/MAX(0.1,N(Parameter!$M$21)))</f>
        <v>0.0833333333333333</v>
      </c>
      <c r="BD1630" s="62" t="n">
        <f aca="false">BC1630*CC1630</f>
        <v>12.0833333333333</v>
      </c>
      <c r="BE1630" s="63" t="n">
        <f aca="false">IF(LEFT(Cockpit!$O$5,1)="A",H1630,IF(CI1630=1,(CL1630+CJ1630)/2,IF(LEFT(Cockpit!$O$5,1)="B",(CL1630+BG1630)/2,MAX((CL1630+BG1630)/2,H1630))))</f>
        <v>2</v>
      </c>
      <c r="BF1630" s="62" t="n">
        <f aca="false">BE1630*G1630</f>
        <v>1837.1</v>
      </c>
      <c r="BG1630" s="62" t="n">
        <f aca="false">ROUNDUP(CL1630+MAX(CM1630,2*(J1630/IF(CH1630&gt;0,CH1630,MAX(0.1,N(Cockpit!$O$6)))-CL1630)),0)</f>
        <v>4</v>
      </c>
      <c r="BH1630" s="63" t="n">
        <f aca="false">IF(BD1630&gt;0,J1630/BD1630,-1)</f>
        <v>0</v>
      </c>
      <c r="BI1630" s="63" t="n">
        <f aca="false">IF(AND(OR(CG1630="L1",CG1630="L23",CG1630="LIFT"),BD1630&gt;0),SUMIFS($BD$7:$BD$1843,$CG$7:$CG$1843,CG1630,$BH$7:$BH$1843,"&gt;"&amp;BH1630)+SUMIFS($BD$7:$BD$1843,$CG$7:$CG$1843,CG1630,$BH$7:$BH$1843,BH1630,$BX$7:$BX$1843,"&lt;="&amp;BX1630),"")</f>
        <v>31137.7037261232</v>
      </c>
      <c r="BJ1630" s="70" t="n">
        <f aca="false">IF(BI1630="",0,MAX(0,MIN(1,(IF(CG1630="L1",Parameter!$H$5,IF(CG1630="L23",Parameter!$H$6+Parameter!$H$7,Parameter!$H$5+Parameter!$H$6+Parameter!$H$7))-(BI1630-BD1630))/BD1630)))</f>
        <v>1</v>
      </c>
      <c r="BK1630" s="60" t="str">
        <f aca="false">IF(AJ1630&lt;=0,"",IF(CG1630="Aussen","Aussenlager",IF(CG1630="-","Nicht im Lift",IF(AP1630&gt;=1,"Lift",IF(AP1630&lt;=0,"Aussenlager","teilweise")))))</f>
        <v>Lift</v>
      </c>
      <c r="BL1630" s="60" t="str">
        <f aca="false">IF(AT1630&lt;=0,"",IF(CG1630="Aussen","Aussenlager",IF(CG1630="-","Nicht im Lift",IF(AZ1630&gt;=1,"Lift",IF(AZ1630&lt;=0,"Aussenlager","teilweise")))))</f>
        <v>Aussenlager</v>
      </c>
      <c r="BM1630" s="60" t="str">
        <f aca="false">IF(BD1630&lt;=0,"",IF(CG1630="Aussen","Aussenlager",IF(CG1630="-","Nicht im Lift",IF(BJ1630&gt;=1,"Lift",IF(BJ1630&lt;=0,"Aussenlager","teilweise")))))</f>
        <v>Lift</v>
      </c>
      <c r="BN1630" s="60" t="str">
        <f aca="false">IF(A1630="","",IF(BW1630=1,"Neu; ","")&amp;IF(AND(BW1630=0,BR1630&lt;0),"negativer Bestand (Export "&amp;BR1630&amp;"); ","")&amp;IF(J1630&lt;=0,"Kein Verbrauch; ","")&amp;IF(CR1630&gt;0,"Lift "&amp;W1630&amp;" lt. Liftbericht (Fach "&amp;X1630&amp;" Stk); ",IF(CB1630=1,"Gebinde geschätzt ("&amp;T1630&amp;"); ",IF(CA1630=1,"Lose – Tablare geschätzt; ","")))&amp;IF(H1630&gt;AW1630,"Überbestand "&amp;ROUND(H1630-AW1630,0)&amp;" Stk / CHF "&amp;ROUND((H1630-AW1630)*G1630,0)&amp;"; ","")&amp;IF(AND(CI1630=1,CJ1630&lt;CK1630),"MAX &lt; MB+LG; ","")&amp;IF(AND(CQ1630&gt;0,CP1630*10&gt;CQ1630),"zu hoch für Tablar; ","")&amp;IF(AND(BW1630=0,OR(CI1630=1,AB1630&lt;&gt;"",U1630&lt;&gt;"",V1630&lt;&gt;"",AC1630&lt;&gt;"")),"manuell übersteuert; ","")&amp;IF(AND(CA1630=0,R1630=0),"Gebinde unbekannt / Stellmass fehlt; ","")&amp;IF(AND(CA1630=0,N(V1630)&lt;=0,N(Q1630)&lt;=0),"Menge pro Gebinde fehlt (Ist = 1 Gebinde); ","")&amp;BV1630)</f>
        <v>Kein Verbrauch; Gebinde geschätzt (Mittel); Menge pro Gebinde fehlt (Ist = 1 Gebinde); nur im Artikelstamm (Bestand 23.06.2026)</v>
      </c>
      <c r="BO1630" s="60"/>
      <c r="BP1630" s="60"/>
      <c r="BQ1630" s="67"/>
      <c r="BR1630" s="62" t="n">
        <v>4</v>
      </c>
      <c r="BS1630" s="62" t="n">
        <v>0</v>
      </c>
      <c r="BT1630" s="61" t="n">
        <v>0</v>
      </c>
      <c r="BU1630" s="62" t="n">
        <v>0</v>
      </c>
      <c r="BV1630" s="60" t="s">
        <v>2617</v>
      </c>
      <c r="BW1630" s="65" t="n">
        <v>0</v>
      </c>
      <c r="BX1630" s="65" t="n">
        <v>1630</v>
      </c>
      <c r="BY1630" s="60" t="str">
        <f aca="false">IF(U1630&lt;&gt;"",UPPER(TRIM(U1630)),IF(CB1630=1,UPPER(VLOOKUP(T1630,Parameter!$I$27:$K$29,2,0)),IF(P1630="","LOSE",P1630)))</f>
        <v>S61</v>
      </c>
      <c r="BZ1630" s="62" t="n">
        <f aca="false">IF(BY1630="LOSE",1,IF(N(V1630)&gt;0,V1630,IF(CB1630=1,MAX(1,N(VLOOKUP(T1630,Parameter!$I$27:$K$29,3,0)),H1630,N(N1630)),IF(N(Q1630)&gt;0,Q1630,MAX(1,H1630)))))</f>
        <v>4</v>
      </c>
      <c r="CA1630" s="65" t="n">
        <f aca="false">IF(BY1630="LOSE",1,0)</f>
        <v>0</v>
      </c>
      <c r="CB1630" s="65" t="n">
        <f aca="false">IF(AND(U1630="",OR(P1630="",P1630="LOSE"),T1630&lt;&gt;"",N(S1630)&lt;=0,ISNUMBER(MATCH(T1630,Parameter!$I$27:$I$29,0))),1,0)</f>
        <v>1</v>
      </c>
      <c r="CC1630" s="65" t="n">
        <f aca="false">IF(CR1630&gt;0,INDEX(Parameter!$H$5:$H$7,W1630)/INDEX(Parameter!$E$5:$E$7,W1630),IF(AND(CA1630=0,N(IFERROR(VLOOKUP(BY1630,'Gebinde-Kategorie'!$A$5:$N$45,14,0),0))&gt;0),VLOOKUP(BY1630,'Gebinde-Kategorie'!$A$5:$N$45,14,0)*10+Parameter!$M$23,Parameter!$M$24))</f>
        <v>145</v>
      </c>
      <c r="CD1630" s="60" t="str">
        <f aca="false">IF(AND(Parameter!$B$19="Ja",E1630&lt;&gt;"",ISNUMBER(MATCH(E1630,Parameter!$I$35:$I$52,0))),VLOOKUP(E1630,Parameter!$I$35:$J$52,2,0),IFERROR(VLOOKUP(D1630,Parameter!$A$35:$C$64,2,0),"Nein"))</f>
        <v>2+3</v>
      </c>
      <c r="CE1630" s="64" t="n">
        <f aca="false">IF(CA1630=0,0,IF(N(S1630)&gt;0,S1630,IFERROR(VLOOKUP(D1630,Parameter!$A$35:$C$64,3,0)+0,0)))</f>
        <v>0</v>
      </c>
      <c r="CF1630" s="60" t="n">
        <f aca="false">IF(AB1630&lt;&gt;"",AB1630,AA1630)</f>
        <v>3</v>
      </c>
      <c r="CG1630" s="60" t="str">
        <f aca="false">IF(OR(CF1630=1,CF1630=2,CF1630=3),IF(Parameter!$E$27="Ja","LIFT",IF(CF1630=1,"L1","L23")),IF(CF1630="Aussen","Aussen","-"))</f>
        <v>LIFT</v>
      </c>
      <c r="CH1630" s="71" t="n">
        <f aca="false">IF(N(AC1630)&gt;0,AC1630,0)</f>
        <v>0</v>
      </c>
      <c r="CI1630" s="65" t="n">
        <f aca="false">IF(ISNUMBER(AF1630),1,0)</f>
        <v>0</v>
      </c>
      <c r="CJ1630" s="62" t="n">
        <f aca="false">N(AF1630)</f>
        <v>0</v>
      </c>
      <c r="CK1630" s="62" t="n">
        <f aca="false">N(M1630)+N(N1630)</f>
        <v>4</v>
      </c>
      <c r="CL1630" s="62" t="n">
        <f aca="false">N(M1630)</f>
        <v>0</v>
      </c>
      <c r="CM1630" s="62" t="n">
        <f aca="false">N(N1630)</f>
        <v>4</v>
      </c>
      <c r="CN1630" s="62" t="n">
        <f aca="false">ROUNDUP(H1630/BZ1630,0)</f>
        <v>1</v>
      </c>
      <c r="CO1630" s="62" t="n">
        <f aca="false">ROUNDUP(CJ1630/BZ1630,0)</f>
        <v>0</v>
      </c>
      <c r="CP1630" s="65" t="n">
        <f aca="false">IF(CA1630=1,0,IFERROR(VLOOKUP(BY1630,'Gebinde-Kategorie'!$A$5:$N$45,5,0)+0,0))</f>
        <v>11</v>
      </c>
      <c r="CQ1630" s="65" t="n">
        <f aca="false">IFERROR(IF(OR(CF1630=1,CF1630=2,CF1630=3),N(INDEX(Parameter!$I$5:$I$7,CF1630)),0),0)</f>
        <v>0</v>
      </c>
      <c r="CR1630" s="64" t="n">
        <f aca="false">IF(AND(Parameter!$B$21="Ja",ISNUMBER(W1630),N(X1630)&gt;0),IFERROR(N(INDEX(Parameter!$L$5:$L$7,W1630))*INDEX(Parameter!$E$5:$E$7,W1630)*X1630/SUMIFS($X$7:$X$1843,$W$7:$W$1843,W1630),0),0)</f>
        <v>0</v>
      </c>
      <c r="CS1630" s="62" t="n">
        <f aca="false">IF(AND(OR(CG1630="L1",CG1630="L23",CG1630="LIFT"),H1630&gt;0),CC1630*IF(CR1630&gt;0,CR1630*MAX(1,H1630/X1630),IF(CA1630=1,CE1630,IF(R1630&gt;0,CN1630/R1630,0))/MAX(0.1,N(Parameter!$M$21))),"")</f>
        <v>12.0833333333333</v>
      </c>
      <c r="CT1630" s="64" t="n">
        <f aca="false">IF(CS1630="","",J1630/H1630)</f>
        <v>0</v>
      </c>
      <c r="CU1630" s="62" t="n">
        <f aca="false">IF(CS1630="","",H1630*G1630)</f>
        <v>3674.2</v>
      </c>
      <c r="CV1630" s="63" t="n">
        <f aca="false">IF(CS1630="","",(CL1630+ROUNDUP(CL1630+MAX(CM1630,2*(J1630/MAX(0.1,N(Einkauf!$C$6))-CL1630)),0))/2)</f>
        <v>2</v>
      </c>
      <c r="CW1630" s="62" t="n">
        <f aca="false">IF(CS1630="","",MAX(0,H1630-CV1630)*G1630)</f>
        <v>1837.1</v>
      </c>
      <c r="CX1630" s="62" t="n">
        <f aca="false">IF(CS1630="","",CS1630*MAX(0,1-CV1630/H1630))</f>
        <v>6.04166666666667</v>
      </c>
      <c r="CY1630" s="64" t="n">
        <f aca="false">IF(CS1630="","",PERCENTRANK($CS$7:$CS$1843,CS1630)+PERCENTRANK($CU$7:$CU$1843,CU1630)+1-PERCENTRANK($CT$7:$CT$1843,CT1630))</f>
        <v>2.525</v>
      </c>
      <c r="CZ1630" s="72" t="n">
        <f aca="false">IF(CS1630="","",CHOOSE(MATCH(Einkauf!$C$5,Parameter!$G$23:$G$27,0),CY1630,CS1630,CU1630,-CT1630,CW1630)+ROW()/1000000000)</f>
        <v>2.52500163</v>
      </c>
    </row>
    <row r="1631" customFormat="false" ht="15" hidden="false" customHeight="false" outlineLevel="0" collapsed="false">
      <c r="A1631" s="60" t="s">
        <v>2880</v>
      </c>
      <c r="B1631" s="60" t="s">
        <v>2881</v>
      </c>
      <c r="C1631" s="60" t="s">
        <v>206</v>
      </c>
      <c r="D1631" s="60" t="s">
        <v>215</v>
      </c>
      <c r="E1631" s="60" t="s">
        <v>208</v>
      </c>
      <c r="F1631" s="60"/>
      <c r="G1631" s="61" t="n">
        <v>132.8</v>
      </c>
      <c r="H1631" s="62" t="n">
        <f aca="false">MAX(0,IF(AND(Parameter!$B$21="Ja",ISNUMBER(Y1631)),Y1631,IF(Parameter!$B$20="Jahresanfang 2025 + Export",BS1631+BR1631,BR1631)))</f>
        <v>1</v>
      </c>
      <c r="I1631" s="62" t="n">
        <f aca="false">H1631*G1631</f>
        <v>132.8</v>
      </c>
      <c r="J1631" s="62" t="n">
        <f aca="false">BU1631*Parameter!$B$18</f>
        <v>0</v>
      </c>
      <c r="K1631" s="63"/>
      <c r="L1631" s="64"/>
      <c r="M1631" s="62" t="n">
        <v>0</v>
      </c>
      <c r="N1631" s="62" t="n">
        <v>1</v>
      </c>
      <c r="O1631" s="65" t="n">
        <v>21</v>
      </c>
      <c r="P1631" s="60" t="s">
        <v>210</v>
      </c>
      <c r="Q1631" s="62"/>
      <c r="R1631" s="65" t="n">
        <f aca="false">IF(CA1631=1,0,IFERROR(VLOOKUP(BY1631,'Gebinde-Kategorie'!$A$5:$N$45,13,0)+0,0))</f>
        <v>0</v>
      </c>
      <c r="S1631" s="66"/>
      <c r="T1631" s="67"/>
      <c r="U1631" s="67"/>
      <c r="V1631" s="67"/>
      <c r="W1631" s="60" t="n">
        <v>1</v>
      </c>
      <c r="X1631" s="62" t="n">
        <v>1</v>
      </c>
      <c r="Y1631" s="62" t="n">
        <v>1</v>
      </c>
      <c r="Z1631" s="60" t="n">
        <v>1</v>
      </c>
      <c r="AA1631" s="60" t="n">
        <f aca="false">IF(A1631="","",IF(AND(Parameter!$B$21="Ja",ISNUMBER(W1631)),W1631,IF(AND(Parameter!$E$27="Ja",ISNUMBER(Z1631),CD1631&lt;&gt;"Nein"),Z1631,IF(CD1631="2+3",IF(ISNUMBER(SEARCH("grosser Artikel",BV1631)),2,IFERROR(VLOOKUP(BY1631,Parameter!$F$35:$G$64,2,0),2)),IF(OR(CD1631="Nein",CD1631=""),"-",CD1631)))))</f>
        <v>1</v>
      </c>
      <c r="AB1631" s="67"/>
      <c r="AC1631" s="68"/>
      <c r="AD1631" s="62" t="n">
        <f aca="false">AW1631</f>
        <v>1</v>
      </c>
      <c r="AE1631" s="62" t="n">
        <f aca="false">MAX(AW1631,H1631)</f>
        <v>1</v>
      </c>
      <c r="AF1631" s="69"/>
      <c r="AG1631" s="62" t="n">
        <f aca="false">IF(LEFT(Cockpit!$C$5,1)="A",H1631,IF(Parameter!$E$30="MAX-Bestand",IF(CI1631=1,CJ1631,IF(LEFT(Cockpit!$C$5,1)="B",AM1631,MAX(AM1631,H1631))),ROUNDUP(AK1631,0)))</f>
        <v>1</v>
      </c>
      <c r="AH1631" s="62" t="n">
        <f aca="false">IF(CA1631=1,0,ROUNDUP(AG1631/BZ1631,0))</f>
        <v>0</v>
      </c>
      <c r="AI1631" s="64" t="n">
        <f aca="false">IF(CR1631&gt;0,CR1631*MAX(1,AG1631/X1631),IF(CA1631=1,IF(AG1631&lt;=0,0,CE1631*MAX(1,IF(H1631&gt;0,AG1631/H1631,1))),IF(R1631&gt;0,AH1631/R1631,0))/MAX(0.1,N(Parameter!$M$21)))</f>
        <v>0.0800376647834275</v>
      </c>
      <c r="AJ1631" s="62" t="n">
        <f aca="false">AI1631*CC1631</f>
        <v>19.0489642184557</v>
      </c>
      <c r="AK1631" s="63" t="n">
        <f aca="false">IF(LEFT(Cockpit!$C$5,1)="A",H1631,IF(CI1631=1,(CL1631+CJ1631)/2,IF(LEFT(Cockpit!$C$5,1)="B",(CL1631+AM1631)/2,MAX((CL1631+AM1631)/2,H1631))))</f>
        <v>1</v>
      </c>
      <c r="AL1631" s="62" t="n">
        <f aca="false">AK1631*G1631</f>
        <v>132.8</v>
      </c>
      <c r="AM1631" s="62" t="n">
        <f aca="false">ROUNDUP(CL1631+MAX(CM1631,2*(J1631/IF(CH1631&gt;0,CH1631,MAX(0.1,N(Cockpit!$C$6)))-CL1631)),0)</f>
        <v>1</v>
      </c>
      <c r="AN1631" s="63" t="n">
        <f aca="false">IF(AJ1631&gt;0,J1631/AJ1631,-1)</f>
        <v>0</v>
      </c>
      <c r="AO1631" s="63" t="n">
        <f aca="false">IF(AND(OR(CG1631="L1",CG1631="L23",CG1631="LIFT"),AJ1631&gt;0),SUMIFS($AJ$7:$AJ$1843,$CG$7:$CG$1843,CG1631,$AN$7:$AN$1843,"&gt;"&amp;AN1631)+SUMIFS($AJ$7:$AJ$1843,$CG$7:$CG$1843,CG1631,$AN$7:$AN$1843,AN1631,$BX$7:$BX$1843,"&lt;="&amp;BX1631),"")</f>
        <v>30927.454897974</v>
      </c>
      <c r="AP1631" s="70" t="n">
        <f aca="false">IF(AO1631="",0,MAX(0,MIN(1,(IF(CG1631="L1",Parameter!$H$5,IF(CG1631="L23",Parameter!$H$6+Parameter!$H$7,Parameter!$H$5+Parameter!$H$6+Parameter!$H$7))-(AO1631-AJ1631))/AJ1631)))</f>
        <v>1</v>
      </c>
      <c r="AQ1631" s="62" t="n">
        <f aca="false">IF(LEFT(Cockpit!$I$5,1)="A",H1631,IF(Parameter!$E$30="MAX-Bestand",IF(CI1631=1,CJ1631,IF(LEFT(Cockpit!$I$5,1)="B",AW1631,MAX(AW1631,H1631))),ROUNDUP(AU1631,0)))</f>
        <v>1</v>
      </c>
      <c r="AR1631" s="62" t="n">
        <f aca="false">IF(CA1631=1,0,ROUNDUP(AQ1631/BZ1631,0))</f>
        <v>0</v>
      </c>
      <c r="AS1631" s="64" t="n">
        <f aca="false">IF(CR1631&gt;0,CR1631*MAX(1,AQ1631/X1631),IF(CA1631=1,IF(AQ1631&lt;=0,0,CE1631*MAX(1,IF(H1631&gt;0,AQ1631/H1631,1))),IF(R1631&gt;0,AR1631/R1631,0))/MAX(0.1,N(Parameter!$M$21)))</f>
        <v>0.0800376647834275</v>
      </c>
      <c r="AT1631" s="62" t="n">
        <f aca="false">AS1631*CC1631</f>
        <v>19.0489642184557</v>
      </c>
      <c r="AU1631" s="63" t="n">
        <f aca="false">IF(LEFT(Cockpit!$I$5,1)="A",H1631,IF(CI1631=1,(CL1631+CJ1631)/2,IF(LEFT(Cockpit!$I$5,1)="B",(CL1631+AW1631)/2,MAX((CL1631+AW1631)/2,H1631))))</f>
        <v>1</v>
      </c>
      <c r="AV1631" s="62" t="n">
        <f aca="false">AU1631*G1631</f>
        <v>132.8</v>
      </c>
      <c r="AW1631" s="62" t="n">
        <f aca="false">ROUNDUP(CL1631+MAX(CM1631,2*(J1631/IF(CH1631&gt;0,CH1631,MAX(0.1,N(Cockpit!$I$6)))-CL1631)),0)</f>
        <v>1</v>
      </c>
      <c r="AX1631" s="63" t="n">
        <f aca="false">IF(AT1631&gt;0,J1631/AT1631,-1)</f>
        <v>0</v>
      </c>
      <c r="AY1631" s="63" t="n">
        <f aca="false">IF(AND(OR(CG1631="L1",CG1631="L23",CG1631="LIFT"),AT1631&gt;0),SUMIFS($AT$7:$AT$1843,$CG$7:$CG$1843,CG1631,$AX$7:$AX$1843,"&gt;"&amp;AX1631)+SUMIFS($AT$7:$AT$1843,$CG$7:$CG$1843,CG1631,$AX$7:$AX$1843,AX1631,$BX$7:$BX$1843,"&lt;="&amp;BX1631),"")</f>
        <v>37247.3114148093</v>
      </c>
      <c r="AZ1631" s="70" t="n">
        <f aca="false">IF(AY1631="",0,MAX(0,MIN(1,(IF(CG1631="L1",Parameter!$H$5,IF(CG1631="L23",Parameter!$H$6+Parameter!$H$7,Parameter!$H$5+Parameter!$H$6+Parameter!$H$7))-(AY1631-AT1631))/AT1631)))</f>
        <v>0</v>
      </c>
      <c r="BA1631" s="62" t="n">
        <f aca="false">IF(LEFT(Cockpit!$O$5,1)="A",H1631,IF(Parameter!$E$30="MAX-Bestand",IF(CI1631=1,CJ1631,IF(LEFT(Cockpit!$O$5,1)="B",BG1631,MAX(BG1631,H1631))),ROUNDUP(BE1631,0)))</f>
        <v>1</v>
      </c>
      <c r="BB1631" s="62" t="n">
        <f aca="false">IF(CA1631=1,0,ROUNDUP(BA1631/BZ1631,0))</f>
        <v>0</v>
      </c>
      <c r="BC1631" s="64" t="n">
        <f aca="false">IF(CR1631&gt;0,CR1631*MAX(1,BA1631/X1631),IF(CA1631=1,IF(BA1631&lt;=0,0,CE1631*MAX(1,IF(H1631&gt;0,BA1631/H1631,1))),IF(R1631&gt;0,BB1631/R1631,0))/MAX(0.1,N(Parameter!$M$21)))</f>
        <v>0.0800376647834275</v>
      </c>
      <c r="BD1631" s="62" t="n">
        <f aca="false">BC1631*CC1631</f>
        <v>19.0489642184557</v>
      </c>
      <c r="BE1631" s="63" t="n">
        <f aca="false">IF(LEFT(Cockpit!$O$5,1)="A",H1631,IF(CI1631=1,(CL1631+CJ1631)/2,IF(LEFT(Cockpit!$O$5,1)="B",(CL1631+BG1631)/2,MAX((CL1631+BG1631)/2,H1631))))</f>
        <v>0.5</v>
      </c>
      <c r="BF1631" s="62" t="n">
        <f aca="false">BE1631*G1631</f>
        <v>66.4</v>
      </c>
      <c r="BG1631" s="62" t="n">
        <f aca="false">ROUNDUP(CL1631+MAX(CM1631,2*(J1631/IF(CH1631&gt;0,CH1631,MAX(0.1,N(Cockpit!$O$6)))-CL1631)),0)</f>
        <v>1</v>
      </c>
      <c r="BH1631" s="63" t="n">
        <f aca="false">IF(BD1631&gt;0,J1631/BD1631,-1)</f>
        <v>0</v>
      </c>
      <c r="BI1631" s="63" t="n">
        <f aca="false">IF(AND(OR(CG1631="L1",CG1631="L23",CG1631="LIFT"),BD1631&gt;0),SUMIFS($BD$7:$BD$1843,$CG$7:$CG$1843,CG1631,$BH$7:$BH$1843,"&gt;"&amp;BH1631)+SUMIFS($BD$7:$BD$1843,$CG$7:$CG$1843,CG1631,$BH$7:$BH$1843,BH1631,$BX$7:$BX$1843,"&lt;="&amp;BX1631),"")</f>
        <v>31156.7526903417</v>
      </c>
      <c r="BJ1631" s="70" t="n">
        <f aca="false">IF(BI1631="",0,MAX(0,MIN(1,(IF(CG1631="L1",Parameter!$H$5,IF(CG1631="L23",Parameter!$H$6+Parameter!$H$7,Parameter!$H$5+Parameter!$H$6+Parameter!$H$7))-(BI1631-BD1631))/BD1631)))</f>
        <v>1</v>
      </c>
      <c r="BK1631" s="60" t="str">
        <f aca="false">IF(AJ1631&lt;=0,"",IF(CG1631="Aussen","Aussenlager",IF(CG1631="-","Nicht im Lift",IF(AP1631&gt;=1,"Lift",IF(AP1631&lt;=0,"Aussenlager","teilweise")))))</f>
        <v>Lift</v>
      </c>
      <c r="BL1631" s="60" t="str">
        <f aca="false">IF(AT1631&lt;=0,"",IF(CG1631="Aussen","Aussenlager",IF(CG1631="-","Nicht im Lift",IF(AZ1631&gt;=1,"Lift",IF(AZ1631&lt;=0,"Aussenlager","teilweise")))))</f>
        <v>Aussenlager</v>
      </c>
      <c r="BM1631" s="60" t="str">
        <f aca="false">IF(BD1631&lt;=0,"",IF(CG1631="Aussen","Aussenlager",IF(CG1631="-","Nicht im Lift",IF(BJ1631&gt;=1,"Lift",IF(BJ1631&lt;=0,"Aussenlager","teilweise")))))</f>
        <v>Lift</v>
      </c>
      <c r="BN1631" s="60" t="str">
        <f aca="false">IF(A1631="","",IF(BW1631=1,"Neu; ","")&amp;IF(AND(BW1631=0,BR1631&lt;0),"negativer Bestand (Export "&amp;BR1631&amp;"); ","")&amp;IF(J1631&lt;=0,"Kein Verbrauch; ","")&amp;IF(CR1631&gt;0,"Lift "&amp;W1631&amp;" lt. Liftbericht (Fach "&amp;X1631&amp;" Stk); ",IF(CB1631=1,"Gebinde geschätzt ("&amp;T1631&amp;"); ",IF(CA1631=1,"Lose – Tablare geschätzt; ","")))&amp;IF(H1631&gt;AW1631,"Überbestand "&amp;ROUND(H1631-AW1631,0)&amp;" Stk / CHF "&amp;ROUND((H1631-AW1631)*G1631,0)&amp;"; ","")&amp;IF(AND(CI1631=1,CJ1631&lt;CK1631),"MAX &lt; MB+LG; ","")&amp;IF(AND(CQ1631&gt;0,CP1631*10&gt;CQ1631),"zu hoch für Tablar; ","")&amp;IF(AND(BW1631=0,OR(CI1631=1,AB1631&lt;&gt;"",U1631&lt;&gt;"",V1631&lt;&gt;"",AC1631&lt;&gt;"")),"manuell übersteuert; ","")&amp;IF(AND(CA1631=0,R1631=0),"Gebinde unbekannt / Stellmass fehlt; ","")&amp;IF(AND(CA1631=0,N(V1631)&lt;=0,N(Q1631)&lt;=0),"Menge pro Gebinde fehlt (Ist = 1 Gebinde); ","")&amp;BV1631)</f>
        <v>Kein Verbrauch; Lift 1 lt. Liftbericht (Fach 1 Stk); nur im Artikelstamm (Bestand 23.06.2026)</v>
      </c>
      <c r="BO1631" s="60"/>
      <c r="BP1631" s="60"/>
      <c r="BQ1631" s="67"/>
      <c r="BR1631" s="62" t="n">
        <v>1</v>
      </c>
      <c r="BS1631" s="62" t="n">
        <v>0</v>
      </c>
      <c r="BT1631" s="61" t="n">
        <v>0</v>
      </c>
      <c r="BU1631" s="62" t="n">
        <v>0</v>
      </c>
      <c r="BV1631" s="60" t="s">
        <v>2617</v>
      </c>
      <c r="BW1631" s="65" t="n">
        <v>0</v>
      </c>
      <c r="BX1631" s="65" t="n">
        <v>1631</v>
      </c>
      <c r="BY1631" s="60" t="str">
        <f aca="false">IF(U1631&lt;&gt;"",UPPER(TRIM(U1631)),IF(CB1631=1,UPPER(VLOOKUP(T1631,Parameter!$I$27:$K$29,2,0)),IF(P1631="","LOSE",P1631)))</f>
        <v>LOSE</v>
      </c>
      <c r="BZ1631" s="62" t="n">
        <f aca="false">IF(BY1631="LOSE",1,IF(N(V1631)&gt;0,V1631,IF(CB1631=1,MAX(1,N(VLOOKUP(T1631,Parameter!$I$27:$K$29,3,0)),H1631,N(N1631)),IF(N(Q1631)&gt;0,Q1631,MAX(1,H1631)))))</f>
        <v>1</v>
      </c>
      <c r="CA1631" s="65" t="n">
        <f aca="false">IF(BY1631="LOSE",1,0)</f>
        <v>1</v>
      </c>
      <c r="CB1631" s="65" t="n">
        <f aca="false">IF(AND(U1631="",OR(P1631="",P1631="LOSE"),T1631&lt;&gt;"",N(S1631)&lt;=0,ISNUMBER(MATCH(T1631,Parameter!$I$27:$I$29,0))),1,0)</f>
        <v>0</v>
      </c>
      <c r="CC1631" s="65" t="n">
        <f aca="false">IF(CR1631&gt;0,INDEX(Parameter!$H$5:$H$7,W1631)/INDEX(Parameter!$E$5:$E$7,W1631),IF(AND(CA1631=0,N(IFERROR(VLOOKUP(BY1631,'Gebinde-Kategorie'!$A$5:$N$45,14,0),0))&gt;0),VLOOKUP(BY1631,'Gebinde-Kategorie'!$A$5:$N$45,14,0)*10+Parameter!$M$23,Parameter!$M$24))</f>
        <v>238</v>
      </c>
      <c r="CD1631" s="60" t="n">
        <f aca="false">IF(AND(Parameter!$B$19="Ja",E1631&lt;&gt;"",ISNUMBER(MATCH(E1631,Parameter!$I$35:$I$52,0))),VLOOKUP(E1631,Parameter!$I$35:$J$52,2,0),IFERROR(VLOOKUP(D1631,Parameter!$A$35:$C$64,2,0),"Nein"))</f>
        <v>1</v>
      </c>
      <c r="CE1631" s="64" t="n">
        <f aca="false">IF(CA1631=0,0,IF(N(S1631)&gt;0,S1631,IFERROR(VLOOKUP(D1631,Parameter!$A$35:$C$64,3,0)+0,0)))</f>
        <v>0.15</v>
      </c>
      <c r="CF1631" s="60" t="n">
        <f aca="false">IF(AB1631&lt;&gt;"",AB1631,AA1631)</f>
        <v>1</v>
      </c>
      <c r="CG1631" s="60" t="str">
        <f aca="false">IF(OR(CF1631=1,CF1631=2,CF1631=3),IF(Parameter!$E$27="Ja","LIFT",IF(CF1631=1,"L1","L23")),IF(CF1631="Aussen","Aussen","-"))</f>
        <v>LIFT</v>
      </c>
      <c r="CH1631" s="71" t="n">
        <f aca="false">IF(N(AC1631)&gt;0,AC1631,0)</f>
        <v>0</v>
      </c>
      <c r="CI1631" s="65" t="n">
        <f aca="false">IF(ISNUMBER(AF1631),1,0)</f>
        <v>0</v>
      </c>
      <c r="CJ1631" s="62" t="n">
        <f aca="false">N(AF1631)</f>
        <v>0</v>
      </c>
      <c r="CK1631" s="62" t="n">
        <f aca="false">N(M1631)+N(N1631)</f>
        <v>1</v>
      </c>
      <c r="CL1631" s="62" t="n">
        <f aca="false">N(M1631)</f>
        <v>0</v>
      </c>
      <c r="CM1631" s="62" t="n">
        <f aca="false">N(N1631)</f>
        <v>1</v>
      </c>
      <c r="CN1631" s="62" t="n">
        <f aca="false">ROUNDUP(H1631/BZ1631,0)</f>
        <v>1</v>
      </c>
      <c r="CO1631" s="62" t="n">
        <f aca="false">ROUNDUP(CJ1631/BZ1631,0)</f>
        <v>0</v>
      </c>
      <c r="CP1631" s="65" t="n">
        <f aca="false">IF(CA1631=1,0,IFERROR(VLOOKUP(BY1631,'Gebinde-Kategorie'!$A$5:$N$45,5,0)+0,0))</f>
        <v>0</v>
      </c>
      <c r="CQ1631" s="65" t="n">
        <f aca="false">IFERROR(IF(OR(CF1631=1,CF1631=2,CF1631=3),N(INDEX(Parameter!$I$5:$I$7,CF1631)),0),0)</f>
        <v>0</v>
      </c>
      <c r="CR1631" s="64" t="n">
        <f aca="false">IF(AND(Parameter!$B$21="Ja",ISNUMBER(W1631),N(X1631)&gt;0),IFERROR(N(INDEX(Parameter!$L$5:$L$7,W1631))*INDEX(Parameter!$E$5:$E$7,W1631)*X1631/SUMIFS($X$7:$X$1843,$W$7:$W$1843,W1631),0),0)</f>
        <v>0.0800376647834275</v>
      </c>
      <c r="CS1631" s="62" t="n">
        <f aca="false">IF(AND(OR(CG1631="L1",CG1631="L23",CG1631="LIFT"),H1631&gt;0),CC1631*IF(CR1631&gt;0,CR1631*MAX(1,H1631/X1631),IF(CA1631=1,CE1631,IF(R1631&gt;0,CN1631/R1631,0))/MAX(0.1,N(Parameter!$M$21))),"")</f>
        <v>19.0489642184557</v>
      </c>
      <c r="CT1631" s="64" t="n">
        <f aca="false">IF(CS1631="","",J1631/H1631)</f>
        <v>0</v>
      </c>
      <c r="CU1631" s="62" t="n">
        <f aca="false">IF(CS1631="","",H1631*G1631)</f>
        <v>132.8</v>
      </c>
      <c r="CV1631" s="63" t="n">
        <f aca="false">IF(CS1631="","",(CL1631+ROUNDUP(CL1631+MAX(CM1631,2*(J1631/MAX(0.1,N(Einkauf!$C$6))-CL1631)),0))/2)</f>
        <v>0.5</v>
      </c>
      <c r="CW1631" s="62" t="n">
        <f aca="false">IF(CS1631="","",MAX(0,H1631-CV1631)*G1631)</f>
        <v>66.4</v>
      </c>
      <c r="CX1631" s="62" t="n">
        <f aca="false">IF(CS1631="","",CS1631*MAX(0,1-CV1631/H1631))</f>
        <v>9.52448210922787</v>
      </c>
      <c r="CY1631" s="64" t="n">
        <f aca="false">IF(CS1631="","",PERCENTRANK($CS$7:$CS$1843,CS1631)+PERCENTRANK($CU$7:$CU$1843,CU1631)+1-PERCENTRANK($CT$7:$CT$1843,CT1631))</f>
        <v>2.056</v>
      </c>
      <c r="CZ1631" s="72" t="n">
        <f aca="false">IF(CS1631="","",CHOOSE(MATCH(Einkauf!$C$5,Parameter!$G$23:$G$27,0),CY1631,CS1631,CU1631,-CT1631,CW1631)+ROW()/1000000000)</f>
        <v>2.056001631</v>
      </c>
    </row>
    <row r="1632" customFormat="false" ht="15" hidden="false" customHeight="false" outlineLevel="0" collapsed="false">
      <c r="A1632" s="60" t="s">
        <v>2882</v>
      </c>
      <c r="B1632" s="60" t="s">
        <v>510</v>
      </c>
      <c r="C1632" s="60" t="s">
        <v>206</v>
      </c>
      <c r="D1632" s="60" t="s">
        <v>226</v>
      </c>
      <c r="E1632" s="60"/>
      <c r="F1632" s="60"/>
      <c r="G1632" s="61" t="n">
        <v>6</v>
      </c>
      <c r="H1632" s="62" t="n">
        <f aca="false">MAX(0,IF(AND(Parameter!$B$21="Ja",ISNUMBER(Y1632)),Y1632,IF(Parameter!$B$20="Jahresanfang 2025 + Export",BS1632+BR1632,BR1632)))</f>
        <v>37</v>
      </c>
      <c r="I1632" s="62" t="n">
        <f aca="false">H1632*G1632</f>
        <v>222</v>
      </c>
      <c r="J1632" s="62" t="n">
        <f aca="false">BU1632*Parameter!$B$18</f>
        <v>0</v>
      </c>
      <c r="K1632" s="63"/>
      <c r="L1632" s="64"/>
      <c r="M1632" s="62" t="n">
        <v>0</v>
      </c>
      <c r="N1632" s="62" t="n">
        <v>20</v>
      </c>
      <c r="O1632" s="65" t="n">
        <v>14</v>
      </c>
      <c r="P1632" s="60" t="s">
        <v>210</v>
      </c>
      <c r="Q1632" s="62"/>
      <c r="R1632" s="65" t="n">
        <f aca="false">IF(CA1632=1,0,IFERROR(VLOOKUP(BY1632,'Gebinde-Kategorie'!$A$5:$N$45,13,0)+0,0))</f>
        <v>26</v>
      </c>
      <c r="S1632" s="66"/>
      <c r="T1632" s="67" t="s">
        <v>317</v>
      </c>
      <c r="U1632" s="67"/>
      <c r="V1632" s="67"/>
      <c r="W1632" s="60"/>
      <c r="X1632" s="62"/>
      <c r="Y1632" s="62"/>
      <c r="Z1632" s="60" t="n">
        <v>3</v>
      </c>
      <c r="AA1632" s="60" t="n">
        <f aca="false">IF(A1632="","",IF(AND(Parameter!$B$21="Ja",ISNUMBER(W1632)),W1632,IF(AND(Parameter!$E$27="Ja",ISNUMBER(Z1632),CD1632&lt;&gt;"Nein"),Z1632,IF(CD1632="2+3",IF(ISNUMBER(SEARCH("grosser Artikel",BV1632)),2,IFERROR(VLOOKUP(BY1632,Parameter!$F$35:$G$64,2,0),2)),IF(OR(CD1632="Nein",CD1632=""),"-",CD1632)))))</f>
        <v>3</v>
      </c>
      <c r="AB1632" s="67"/>
      <c r="AC1632" s="68"/>
      <c r="AD1632" s="62" t="n">
        <f aca="false">AW1632</f>
        <v>20</v>
      </c>
      <c r="AE1632" s="62" t="n">
        <f aca="false">MAX(AW1632,H1632)</f>
        <v>37</v>
      </c>
      <c r="AF1632" s="69"/>
      <c r="AG1632" s="62" t="n">
        <f aca="false">IF(LEFT(Cockpit!$C$5,1)="A",H1632,IF(Parameter!$E$30="MAX-Bestand",IF(CI1632=1,CJ1632,IF(LEFT(Cockpit!$C$5,1)="B",AM1632,MAX(AM1632,H1632))),ROUNDUP(AK1632,0)))</f>
        <v>37</v>
      </c>
      <c r="AH1632" s="62" t="n">
        <f aca="false">IF(CA1632=1,0,ROUNDUP(AG1632/BZ1632,0))</f>
        <v>1</v>
      </c>
      <c r="AI1632" s="64" t="n">
        <f aca="false">IF(CR1632&gt;0,CR1632*MAX(1,AG1632/X1632),IF(CA1632=1,IF(AG1632&lt;=0,0,CE1632*MAX(1,IF(H1632&gt;0,AG1632/H1632,1))),IF(R1632&gt;0,AH1632/R1632,0))/MAX(0.1,N(Parameter!$M$21)))</f>
        <v>0.0384615384615385</v>
      </c>
      <c r="AJ1632" s="62" t="n">
        <f aca="false">AI1632*CC1632</f>
        <v>5.96153846153846</v>
      </c>
      <c r="AK1632" s="63" t="n">
        <f aca="false">IF(LEFT(Cockpit!$C$5,1)="A",H1632,IF(CI1632=1,(CL1632+CJ1632)/2,IF(LEFT(Cockpit!$C$5,1)="B",(CL1632+AM1632)/2,MAX((CL1632+AM1632)/2,H1632))))</f>
        <v>37</v>
      </c>
      <c r="AL1632" s="62" t="n">
        <f aca="false">AK1632*G1632</f>
        <v>222</v>
      </c>
      <c r="AM1632" s="62" t="n">
        <f aca="false">ROUNDUP(CL1632+MAX(CM1632,2*(J1632/IF(CH1632&gt;0,CH1632,MAX(0.1,N(Cockpit!$C$6)))-CL1632)),0)</f>
        <v>20</v>
      </c>
      <c r="AN1632" s="63" t="n">
        <f aca="false">IF(AJ1632&gt;0,J1632/AJ1632,-1)</f>
        <v>0</v>
      </c>
      <c r="AO1632" s="63" t="n">
        <f aca="false">IF(AND(OR(CG1632="L1",CG1632="L23",CG1632="LIFT"),AJ1632&gt;0),SUMIFS($AJ$7:$AJ$1843,$CG$7:$CG$1843,CG1632,$AN$7:$AN$1843,"&gt;"&amp;AN1632)+SUMIFS($AJ$7:$AJ$1843,$CG$7:$CG$1843,CG1632,$AN$7:$AN$1843,AN1632,$BX$7:$BX$1843,"&lt;="&amp;BX1632),"")</f>
        <v>30933.4164364355</v>
      </c>
      <c r="AP1632" s="70" t="n">
        <f aca="false">IF(AO1632="",0,MAX(0,MIN(1,(IF(CG1632="L1",Parameter!$H$5,IF(CG1632="L23",Parameter!$H$6+Parameter!$H$7,Parameter!$H$5+Parameter!$H$6+Parameter!$H$7))-(AO1632-AJ1632))/AJ1632)))</f>
        <v>1</v>
      </c>
      <c r="AQ1632" s="62" t="n">
        <f aca="false">IF(LEFT(Cockpit!$I$5,1)="A",H1632,IF(Parameter!$E$30="MAX-Bestand",IF(CI1632=1,CJ1632,IF(LEFT(Cockpit!$I$5,1)="B",AW1632,MAX(AW1632,H1632))),ROUNDUP(AU1632,0)))</f>
        <v>37</v>
      </c>
      <c r="AR1632" s="62" t="n">
        <f aca="false">IF(CA1632=1,0,ROUNDUP(AQ1632/BZ1632,0))</f>
        <v>1</v>
      </c>
      <c r="AS1632" s="64" t="n">
        <f aca="false">IF(CR1632&gt;0,CR1632*MAX(1,AQ1632/X1632),IF(CA1632=1,IF(AQ1632&lt;=0,0,CE1632*MAX(1,IF(H1632&gt;0,AQ1632/H1632,1))),IF(R1632&gt;0,AR1632/R1632,0))/MAX(0.1,N(Parameter!$M$21)))</f>
        <v>0.0384615384615385</v>
      </c>
      <c r="AT1632" s="62" t="n">
        <f aca="false">AS1632*CC1632</f>
        <v>5.96153846153846</v>
      </c>
      <c r="AU1632" s="63" t="n">
        <f aca="false">IF(LEFT(Cockpit!$I$5,1)="A",H1632,IF(CI1632=1,(CL1632+CJ1632)/2,IF(LEFT(Cockpit!$I$5,1)="B",(CL1632+AW1632)/2,MAX((CL1632+AW1632)/2,H1632))))</f>
        <v>37</v>
      </c>
      <c r="AV1632" s="62" t="n">
        <f aca="false">AU1632*G1632</f>
        <v>222</v>
      </c>
      <c r="AW1632" s="62" t="n">
        <f aca="false">ROUNDUP(CL1632+MAX(CM1632,2*(J1632/IF(CH1632&gt;0,CH1632,MAX(0.1,N(Cockpit!$I$6)))-CL1632)),0)</f>
        <v>20</v>
      </c>
      <c r="AX1632" s="63" t="n">
        <f aca="false">IF(AT1632&gt;0,J1632/AT1632,-1)</f>
        <v>0</v>
      </c>
      <c r="AY1632" s="63" t="n">
        <f aca="false">IF(AND(OR(CG1632="L1",CG1632="L23",CG1632="LIFT"),AT1632&gt;0),SUMIFS($AT$7:$AT$1843,$CG$7:$CG$1843,CG1632,$AX$7:$AX$1843,"&gt;"&amp;AX1632)+SUMIFS($AT$7:$AT$1843,$CG$7:$CG$1843,CG1632,$AX$7:$AX$1843,AX1632,$BX$7:$BX$1843,"&lt;="&amp;BX1632),"")</f>
        <v>37253.2729532708</v>
      </c>
      <c r="AZ1632" s="70" t="n">
        <f aca="false">IF(AY1632="",0,MAX(0,MIN(1,(IF(CG1632="L1",Parameter!$H$5,IF(CG1632="L23",Parameter!$H$6+Parameter!$H$7,Parameter!$H$5+Parameter!$H$6+Parameter!$H$7))-(AY1632-AT1632))/AT1632)))</f>
        <v>0</v>
      </c>
      <c r="BA1632" s="62" t="n">
        <f aca="false">IF(LEFT(Cockpit!$O$5,1)="A",H1632,IF(Parameter!$E$30="MAX-Bestand",IF(CI1632=1,CJ1632,IF(LEFT(Cockpit!$O$5,1)="B",BG1632,MAX(BG1632,H1632))),ROUNDUP(BE1632,0)))</f>
        <v>10</v>
      </c>
      <c r="BB1632" s="62" t="n">
        <f aca="false">IF(CA1632=1,0,ROUNDUP(BA1632/BZ1632,0))</f>
        <v>1</v>
      </c>
      <c r="BC1632" s="64" t="n">
        <f aca="false">IF(CR1632&gt;0,CR1632*MAX(1,BA1632/X1632),IF(CA1632=1,IF(BA1632&lt;=0,0,CE1632*MAX(1,IF(H1632&gt;0,BA1632/H1632,1))),IF(R1632&gt;0,BB1632/R1632,0))/MAX(0.1,N(Parameter!$M$21)))</f>
        <v>0.0384615384615385</v>
      </c>
      <c r="BD1632" s="62" t="n">
        <f aca="false">BC1632*CC1632</f>
        <v>5.96153846153846</v>
      </c>
      <c r="BE1632" s="63" t="n">
        <f aca="false">IF(LEFT(Cockpit!$O$5,1)="A",H1632,IF(CI1632=1,(CL1632+CJ1632)/2,IF(LEFT(Cockpit!$O$5,1)="B",(CL1632+BG1632)/2,MAX((CL1632+BG1632)/2,H1632))))</f>
        <v>10</v>
      </c>
      <c r="BF1632" s="62" t="n">
        <f aca="false">BE1632*G1632</f>
        <v>60</v>
      </c>
      <c r="BG1632" s="62" t="n">
        <f aca="false">ROUNDUP(CL1632+MAX(CM1632,2*(J1632/IF(CH1632&gt;0,CH1632,MAX(0.1,N(Cockpit!$O$6)))-CL1632)),0)</f>
        <v>20</v>
      </c>
      <c r="BH1632" s="63" t="n">
        <f aca="false">IF(BD1632&gt;0,J1632/BD1632,-1)</f>
        <v>0</v>
      </c>
      <c r="BI1632" s="63" t="n">
        <f aca="false">IF(AND(OR(CG1632="L1",CG1632="L23",CG1632="LIFT"),BD1632&gt;0),SUMIFS($BD$7:$BD$1843,$CG$7:$CG$1843,CG1632,$BH$7:$BH$1843,"&gt;"&amp;BH1632)+SUMIFS($BD$7:$BD$1843,$CG$7:$CG$1843,CG1632,$BH$7:$BH$1843,BH1632,$BX$7:$BX$1843,"&lt;="&amp;BX1632),"")</f>
        <v>31162.7142288032</v>
      </c>
      <c r="BJ1632" s="70" t="n">
        <f aca="false">IF(BI1632="",0,MAX(0,MIN(1,(IF(CG1632="L1",Parameter!$H$5,IF(CG1632="L23",Parameter!$H$6+Parameter!$H$7,Parameter!$H$5+Parameter!$H$6+Parameter!$H$7))-(BI1632-BD1632))/BD1632)))</f>
        <v>1</v>
      </c>
      <c r="BK1632" s="60" t="str">
        <f aca="false">IF(AJ1632&lt;=0,"",IF(CG1632="Aussen","Aussenlager",IF(CG1632="-","Nicht im Lift",IF(AP1632&gt;=1,"Lift",IF(AP1632&lt;=0,"Aussenlager","teilweise")))))</f>
        <v>Lift</v>
      </c>
      <c r="BL1632" s="60" t="str">
        <f aca="false">IF(AT1632&lt;=0,"",IF(CG1632="Aussen","Aussenlager",IF(CG1632="-","Nicht im Lift",IF(AZ1632&gt;=1,"Lift",IF(AZ1632&lt;=0,"Aussenlager","teilweise")))))</f>
        <v>Aussenlager</v>
      </c>
      <c r="BM1632" s="60" t="str">
        <f aca="false">IF(BD1632&lt;=0,"",IF(CG1632="Aussen","Aussenlager",IF(CG1632="-","Nicht im Lift",IF(BJ1632&gt;=1,"Lift",IF(BJ1632&lt;=0,"Aussenlager","teilweise")))))</f>
        <v>Lift</v>
      </c>
      <c r="BN1632" s="60" t="str">
        <f aca="false">IF(A1632="","",IF(BW1632=1,"Neu; ","")&amp;IF(AND(BW1632=0,BR1632&lt;0),"negativer Bestand (Export "&amp;BR1632&amp;"); ","")&amp;IF(J1632&lt;=0,"Kein Verbrauch; ","")&amp;IF(CR1632&gt;0,"Lift "&amp;W1632&amp;" lt. Liftbericht (Fach "&amp;X1632&amp;" Stk); ",IF(CB1632=1,"Gebinde geschätzt ("&amp;T1632&amp;"); ",IF(CA1632=1,"Lose – Tablare geschätzt; ","")))&amp;IF(H1632&gt;AW1632,"Überbestand "&amp;ROUND(H1632-AW1632,0)&amp;" Stk / CHF "&amp;ROUND((H1632-AW1632)*G1632,0)&amp;"; ","")&amp;IF(AND(CI1632=1,CJ1632&lt;CK1632),"MAX &lt; MB+LG; ","")&amp;IF(AND(CQ1632&gt;0,CP1632*10&gt;CQ1632),"zu hoch für Tablar; ","")&amp;IF(AND(BW1632=0,OR(CI1632=1,AB1632&lt;&gt;"",U1632&lt;&gt;"",V1632&lt;&gt;"",AC1632&lt;&gt;"")),"manuell übersteuert; ","")&amp;IF(AND(CA1632=0,R1632=0),"Gebinde unbekannt / Stellmass fehlt; ","")&amp;IF(AND(CA1632=0,N(V1632)&lt;=0,N(Q1632)&lt;=0),"Menge pro Gebinde fehlt (Ist = 1 Gebinde); ","")&amp;BV1632)</f>
        <v>Kein Verbrauch; Gebinde geschätzt (Klein); Überbestand 17 Stk / CHF 102; Menge pro Gebinde fehlt (Ist = 1 Gebinde); nur im Artikelstamm (Bestand 23.06.2026)</v>
      </c>
      <c r="BO1632" s="60"/>
      <c r="BP1632" s="60"/>
      <c r="BQ1632" s="67"/>
      <c r="BR1632" s="62" t="n">
        <v>37</v>
      </c>
      <c r="BS1632" s="62" t="n">
        <v>0</v>
      </c>
      <c r="BT1632" s="61" t="n">
        <v>0</v>
      </c>
      <c r="BU1632" s="62" t="n">
        <v>0</v>
      </c>
      <c r="BV1632" s="60" t="s">
        <v>2617</v>
      </c>
      <c r="BW1632" s="65" t="n">
        <v>0</v>
      </c>
      <c r="BX1632" s="65" t="n">
        <v>1632</v>
      </c>
      <c r="BY1632" s="60" t="str">
        <f aca="false">IF(U1632&lt;&gt;"",UPPER(TRIM(U1632)),IF(CB1632=1,UPPER(VLOOKUP(T1632,Parameter!$I$27:$K$29,2,0)),IF(P1632="","LOSE",P1632)))</f>
        <v>S51</v>
      </c>
      <c r="BZ1632" s="62" t="n">
        <f aca="false">IF(BY1632="LOSE",1,IF(N(V1632)&gt;0,V1632,IF(CB1632=1,MAX(1,N(VLOOKUP(T1632,Parameter!$I$27:$K$29,3,0)),H1632,N(N1632)),IF(N(Q1632)&gt;0,Q1632,MAX(1,H1632)))))</f>
        <v>37</v>
      </c>
      <c r="CA1632" s="65" t="n">
        <f aca="false">IF(BY1632="LOSE",1,0)</f>
        <v>0</v>
      </c>
      <c r="CB1632" s="65" t="n">
        <f aca="false">IF(AND(U1632="",OR(P1632="",P1632="LOSE"),T1632&lt;&gt;"",N(S1632)&lt;=0,ISNUMBER(MATCH(T1632,Parameter!$I$27:$I$29,0))),1,0)</f>
        <v>1</v>
      </c>
      <c r="CC1632" s="65" t="n">
        <f aca="false">IF(CR1632&gt;0,INDEX(Parameter!$H$5:$H$7,W1632)/INDEX(Parameter!$E$5:$E$7,W1632),IF(AND(CA1632=0,N(IFERROR(VLOOKUP(BY1632,'Gebinde-Kategorie'!$A$5:$N$45,14,0),0))&gt;0),VLOOKUP(BY1632,'Gebinde-Kategorie'!$A$5:$N$45,14,0)*10+Parameter!$M$23,Parameter!$M$24))</f>
        <v>155</v>
      </c>
      <c r="CD1632" s="60" t="str">
        <f aca="false">IF(AND(Parameter!$B$19="Ja",E1632&lt;&gt;"",ISNUMBER(MATCH(E1632,Parameter!$I$35:$I$52,0))),VLOOKUP(E1632,Parameter!$I$35:$J$52,2,0),IFERROR(VLOOKUP(D1632,Parameter!$A$35:$C$64,2,0),"Nein"))</f>
        <v>2+3</v>
      </c>
      <c r="CE1632" s="64" t="n">
        <f aca="false">IF(CA1632=0,0,IF(N(S1632)&gt;0,S1632,IFERROR(VLOOKUP(D1632,Parameter!$A$35:$C$64,3,0)+0,0)))</f>
        <v>0</v>
      </c>
      <c r="CF1632" s="60" t="n">
        <f aca="false">IF(AB1632&lt;&gt;"",AB1632,AA1632)</f>
        <v>3</v>
      </c>
      <c r="CG1632" s="60" t="str">
        <f aca="false">IF(OR(CF1632=1,CF1632=2,CF1632=3),IF(Parameter!$E$27="Ja","LIFT",IF(CF1632=1,"L1","L23")),IF(CF1632="Aussen","Aussen","-"))</f>
        <v>LIFT</v>
      </c>
      <c r="CH1632" s="71" t="n">
        <f aca="false">IF(N(AC1632)&gt;0,AC1632,0)</f>
        <v>0</v>
      </c>
      <c r="CI1632" s="65" t="n">
        <f aca="false">IF(ISNUMBER(AF1632),1,0)</f>
        <v>0</v>
      </c>
      <c r="CJ1632" s="62" t="n">
        <f aca="false">N(AF1632)</f>
        <v>0</v>
      </c>
      <c r="CK1632" s="62" t="n">
        <f aca="false">N(M1632)+N(N1632)</f>
        <v>20</v>
      </c>
      <c r="CL1632" s="62" t="n">
        <f aca="false">N(M1632)</f>
        <v>0</v>
      </c>
      <c r="CM1632" s="62" t="n">
        <f aca="false">N(N1632)</f>
        <v>20</v>
      </c>
      <c r="CN1632" s="62" t="n">
        <f aca="false">ROUNDUP(H1632/BZ1632,0)</f>
        <v>1</v>
      </c>
      <c r="CO1632" s="62" t="n">
        <f aca="false">ROUNDUP(CJ1632/BZ1632,0)</f>
        <v>0</v>
      </c>
      <c r="CP1632" s="65" t="n">
        <f aca="false">IF(CA1632=1,0,IFERROR(VLOOKUP(BY1632,'Gebinde-Kategorie'!$A$5:$N$45,5,0)+0,0))</f>
        <v>11</v>
      </c>
      <c r="CQ1632" s="65" t="n">
        <f aca="false">IFERROR(IF(OR(CF1632=1,CF1632=2,CF1632=3),N(INDEX(Parameter!$I$5:$I$7,CF1632)),0),0)</f>
        <v>0</v>
      </c>
      <c r="CR1632" s="64" t="n">
        <f aca="false">IF(AND(Parameter!$B$21="Ja",ISNUMBER(W1632),N(X1632)&gt;0),IFERROR(N(INDEX(Parameter!$L$5:$L$7,W1632))*INDEX(Parameter!$E$5:$E$7,W1632)*X1632/SUMIFS($X$7:$X$1843,$W$7:$W$1843,W1632),0),0)</f>
        <v>0</v>
      </c>
      <c r="CS1632" s="62" t="n">
        <f aca="false">IF(AND(OR(CG1632="L1",CG1632="L23",CG1632="LIFT"),H1632&gt;0),CC1632*IF(CR1632&gt;0,CR1632*MAX(1,H1632/X1632),IF(CA1632=1,CE1632,IF(R1632&gt;0,CN1632/R1632,0))/MAX(0.1,N(Parameter!$M$21))),"")</f>
        <v>5.96153846153846</v>
      </c>
      <c r="CT1632" s="64" t="n">
        <f aca="false">IF(CS1632="","",J1632/H1632)</f>
        <v>0</v>
      </c>
      <c r="CU1632" s="62" t="n">
        <f aca="false">IF(CS1632="","",H1632*G1632)</f>
        <v>222</v>
      </c>
      <c r="CV1632" s="63" t="n">
        <f aca="false">IF(CS1632="","",(CL1632+ROUNDUP(CL1632+MAX(CM1632,2*(J1632/MAX(0.1,N(Einkauf!$C$6))-CL1632)),0))/2)</f>
        <v>10</v>
      </c>
      <c r="CW1632" s="62" t="n">
        <f aca="false">IF(CS1632="","",MAX(0,H1632-CV1632)*G1632)</f>
        <v>162</v>
      </c>
      <c r="CX1632" s="62" t="n">
        <f aca="false">IF(CS1632="","",CS1632*MAX(0,1-CV1632/H1632))</f>
        <v>4.35031185031185</v>
      </c>
      <c r="CY1632" s="64" t="n">
        <f aca="false">IF(CS1632="","",PERCENTRANK($CS$7:$CS$1843,CS1632)+PERCENTRANK($CU$7:$CU$1843,CU1632)+1-PERCENTRANK($CT$7:$CT$1843,CT1632))</f>
        <v>1.712</v>
      </c>
      <c r="CZ1632" s="72" t="n">
        <f aca="false">IF(CS1632="","",CHOOSE(MATCH(Einkauf!$C$5,Parameter!$G$23:$G$27,0),CY1632,CS1632,CU1632,-CT1632,CW1632)+ROW()/1000000000)</f>
        <v>1.712001632</v>
      </c>
    </row>
    <row r="1633" customFormat="false" ht="15" hidden="false" customHeight="false" outlineLevel="0" collapsed="false">
      <c r="A1633" s="60" t="s">
        <v>2883</v>
      </c>
      <c r="B1633" s="60" t="s">
        <v>510</v>
      </c>
      <c r="C1633" s="60" t="s">
        <v>206</v>
      </c>
      <c r="D1633" s="60" t="s">
        <v>226</v>
      </c>
      <c r="E1633" s="60"/>
      <c r="F1633" s="60"/>
      <c r="G1633" s="61" t="n">
        <v>3.1</v>
      </c>
      <c r="H1633" s="62" t="n">
        <f aca="false">MAX(0,IF(AND(Parameter!$B$21="Ja",ISNUMBER(Y1633)),Y1633,IF(Parameter!$B$20="Jahresanfang 2025 + Export",BS1633+BR1633,BR1633)))</f>
        <v>7</v>
      </c>
      <c r="I1633" s="62" t="n">
        <f aca="false">H1633*G1633</f>
        <v>21.7</v>
      </c>
      <c r="J1633" s="62" t="n">
        <f aca="false">BU1633*Parameter!$B$18</f>
        <v>0</v>
      </c>
      <c r="K1633" s="63"/>
      <c r="L1633" s="64"/>
      <c r="M1633" s="62" t="n">
        <v>0</v>
      </c>
      <c r="N1633" s="62" t="n">
        <v>20</v>
      </c>
      <c r="O1633" s="65" t="n">
        <v>14</v>
      </c>
      <c r="P1633" s="60" t="s">
        <v>210</v>
      </c>
      <c r="Q1633" s="62"/>
      <c r="R1633" s="65" t="n">
        <f aca="false">IF(CA1633=1,0,IFERROR(VLOOKUP(BY1633,'Gebinde-Kategorie'!$A$5:$N$45,13,0)+0,0))</f>
        <v>26</v>
      </c>
      <c r="S1633" s="66"/>
      <c r="T1633" s="67" t="s">
        <v>317</v>
      </c>
      <c r="U1633" s="67"/>
      <c r="V1633" s="67"/>
      <c r="W1633" s="60"/>
      <c r="X1633" s="62"/>
      <c r="Y1633" s="62"/>
      <c r="Z1633" s="60" t="n">
        <v>3</v>
      </c>
      <c r="AA1633" s="60" t="n">
        <f aca="false">IF(A1633="","",IF(AND(Parameter!$B$21="Ja",ISNUMBER(W1633)),W1633,IF(AND(Parameter!$E$27="Ja",ISNUMBER(Z1633),CD1633&lt;&gt;"Nein"),Z1633,IF(CD1633="2+3",IF(ISNUMBER(SEARCH("grosser Artikel",BV1633)),2,IFERROR(VLOOKUP(BY1633,Parameter!$F$35:$G$64,2,0),2)),IF(OR(CD1633="Nein",CD1633=""),"-",CD1633)))))</f>
        <v>3</v>
      </c>
      <c r="AB1633" s="67"/>
      <c r="AC1633" s="68"/>
      <c r="AD1633" s="62" t="n">
        <f aca="false">AW1633</f>
        <v>20</v>
      </c>
      <c r="AE1633" s="62" t="n">
        <f aca="false">MAX(AW1633,H1633)</f>
        <v>20</v>
      </c>
      <c r="AF1633" s="69"/>
      <c r="AG1633" s="62" t="n">
        <f aca="false">IF(LEFT(Cockpit!$C$5,1)="A",H1633,IF(Parameter!$E$30="MAX-Bestand",IF(CI1633=1,CJ1633,IF(LEFT(Cockpit!$C$5,1)="B",AM1633,MAX(AM1633,H1633))),ROUNDUP(AK1633,0)))</f>
        <v>7</v>
      </c>
      <c r="AH1633" s="62" t="n">
        <f aca="false">IF(CA1633=1,0,ROUNDUP(AG1633/BZ1633,0))</f>
        <v>1</v>
      </c>
      <c r="AI1633" s="64" t="n">
        <f aca="false">IF(CR1633&gt;0,CR1633*MAX(1,AG1633/X1633),IF(CA1633=1,IF(AG1633&lt;=0,0,CE1633*MAX(1,IF(H1633&gt;0,AG1633/H1633,1))),IF(R1633&gt;0,AH1633/R1633,0))/MAX(0.1,N(Parameter!$M$21)))</f>
        <v>0.0384615384615385</v>
      </c>
      <c r="AJ1633" s="62" t="n">
        <f aca="false">AI1633*CC1633</f>
        <v>5.96153846153846</v>
      </c>
      <c r="AK1633" s="63" t="n">
        <f aca="false">IF(LEFT(Cockpit!$C$5,1)="A",H1633,IF(CI1633=1,(CL1633+CJ1633)/2,IF(LEFT(Cockpit!$C$5,1)="B",(CL1633+AM1633)/2,MAX((CL1633+AM1633)/2,H1633))))</f>
        <v>7</v>
      </c>
      <c r="AL1633" s="62" t="n">
        <f aca="false">AK1633*G1633</f>
        <v>21.7</v>
      </c>
      <c r="AM1633" s="62" t="n">
        <f aca="false">ROUNDUP(CL1633+MAX(CM1633,2*(J1633/IF(CH1633&gt;0,CH1633,MAX(0.1,N(Cockpit!$C$6)))-CL1633)),0)</f>
        <v>20</v>
      </c>
      <c r="AN1633" s="63" t="n">
        <f aca="false">IF(AJ1633&gt;0,J1633/AJ1633,-1)</f>
        <v>0</v>
      </c>
      <c r="AO1633" s="63" t="n">
        <f aca="false">IF(AND(OR(CG1633="L1",CG1633="L23",CG1633="LIFT"),AJ1633&gt;0),SUMIFS($AJ$7:$AJ$1843,$CG$7:$CG$1843,CG1633,$AN$7:$AN$1843,"&gt;"&amp;AN1633)+SUMIFS($AJ$7:$AJ$1843,$CG$7:$CG$1843,CG1633,$AN$7:$AN$1843,AN1633,$BX$7:$BX$1843,"&lt;="&amp;BX1633),"")</f>
        <v>30939.377974897</v>
      </c>
      <c r="AP1633" s="70" t="n">
        <f aca="false">IF(AO1633="",0,MAX(0,MIN(1,(IF(CG1633="L1",Parameter!$H$5,IF(CG1633="L23",Parameter!$H$6+Parameter!$H$7,Parameter!$H$5+Parameter!$H$6+Parameter!$H$7))-(AO1633-AJ1633))/AJ1633)))</f>
        <v>1</v>
      </c>
      <c r="AQ1633" s="62" t="n">
        <f aca="false">IF(LEFT(Cockpit!$I$5,1)="A",H1633,IF(Parameter!$E$30="MAX-Bestand",IF(CI1633=1,CJ1633,IF(LEFT(Cockpit!$I$5,1)="B",AW1633,MAX(AW1633,H1633))),ROUNDUP(AU1633,0)))</f>
        <v>10</v>
      </c>
      <c r="AR1633" s="62" t="n">
        <f aca="false">IF(CA1633=1,0,ROUNDUP(AQ1633/BZ1633,0))</f>
        <v>1</v>
      </c>
      <c r="AS1633" s="64" t="n">
        <f aca="false">IF(CR1633&gt;0,CR1633*MAX(1,AQ1633/X1633),IF(CA1633=1,IF(AQ1633&lt;=0,0,CE1633*MAX(1,IF(H1633&gt;0,AQ1633/H1633,1))),IF(R1633&gt;0,AR1633/R1633,0))/MAX(0.1,N(Parameter!$M$21)))</f>
        <v>0.0384615384615385</v>
      </c>
      <c r="AT1633" s="62" t="n">
        <f aca="false">AS1633*CC1633</f>
        <v>5.96153846153846</v>
      </c>
      <c r="AU1633" s="63" t="n">
        <f aca="false">IF(LEFT(Cockpit!$I$5,1)="A",H1633,IF(CI1633=1,(CL1633+CJ1633)/2,IF(LEFT(Cockpit!$I$5,1)="B",(CL1633+AW1633)/2,MAX((CL1633+AW1633)/2,H1633))))</f>
        <v>10</v>
      </c>
      <c r="AV1633" s="62" t="n">
        <f aca="false">AU1633*G1633</f>
        <v>31</v>
      </c>
      <c r="AW1633" s="62" t="n">
        <f aca="false">ROUNDUP(CL1633+MAX(CM1633,2*(J1633/IF(CH1633&gt;0,CH1633,MAX(0.1,N(Cockpit!$I$6)))-CL1633)),0)</f>
        <v>20</v>
      </c>
      <c r="AX1633" s="63" t="n">
        <f aca="false">IF(AT1633&gt;0,J1633/AT1633,-1)</f>
        <v>0</v>
      </c>
      <c r="AY1633" s="63" t="n">
        <f aca="false">IF(AND(OR(CG1633="L1",CG1633="L23",CG1633="LIFT"),AT1633&gt;0),SUMIFS($AT$7:$AT$1843,$CG$7:$CG$1843,CG1633,$AX$7:$AX$1843,"&gt;"&amp;AX1633)+SUMIFS($AT$7:$AT$1843,$CG$7:$CG$1843,CG1633,$AX$7:$AX$1843,AX1633,$BX$7:$BX$1843,"&lt;="&amp;BX1633),"")</f>
        <v>37259.2344917324</v>
      </c>
      <c r="AZ1633" s="70" t="n">
        <f aca="false">IF(AY1633="",0,MAX(0,MIN(1,(IF(CG1633="L1",Parameter!$H$5,IF(CG1633="L23",Parameter!$H$6+Parameter!$H$7,Parameter!$H$5+Parameter!$H$6+Parameter!$H$7))-(AY1633-AT1633))/AT1633)))</f>
        <v>0</v>
      </c>
      <c r="BA1633" s="62" t="n">
        <f aca="false">IF(LEFT(Cockpit!$O$5,1)="A",H1633,IF(Parameter!$E$30="MAX-Bestand",IF(CI1633=1,CJ1633,IF(LEFT(Cockpit!$O$5,1)="B",BG1633,MAX(BG1633,H1633))),ROUNDUP(BE1633,0)))</f>
        <v>10</v>
      </c>
      <c r="BB1633" s="62" t="n">
        <f aca="false">IF(CA1633=1,0,ROUNDUP(BA1633/BZ1633,0))</f>
        <v>1</v>
      </c>
      <c r="BC1633" s="64" t="n">
        <f aca="false">IF(CR1633&gt;0,CR1633*MAX(1,BA1633/X1633),IF(CA1633=1,IF(BA1633&lt;=0,0,CE1633*MAX(1,IF(H1633&gt;0,BA1633/H1633,1))),IF(R1633&gt;0,BB1633/R1633,0))/MAX(0.1,N(Parameter!$M$21)))</f>
        <v>0.0384615384615385</v>
      </c>
      <c r="BD1633" s="62" t="n">
        <f aca="false">BC1633*CC1633</f>
        <v>5.96153846153846</v>
      </c>
      <c r="BE1633" s="63" t="n">
        <f aca="false">IF(LEFT(Cockpit!$O$5,1)="A",H1633,IF(CI1633=1,(CL1633+CJ1633)/2,IF(LEFT(Cockpit!$O$5,1)="B",(CL1633+BG1633)/2,MAX((CL1633+BG1633)/2,H1633))))</f>
        <v>10</v>
      </c>
      <c r="BF1633" s="62" t="n">
        <f aca="false">BE1633*G1633</f>
        <v>31</v>
      </c>
      <c r="BG1633" s="62" t="n">
        <f aca="false">ROUNDUP(CL1633+MAX(CM1633,2*(J1633/IF(CH1633&gt;0,CH1633,MAX(0.1,N(Cockpit!$O$6)))-CL1633)),0)</f>
        <v>20</v>
      </c>
      <c r="BH1633" s="63" t="n">
        <f aca="false">IF(BD1633&gt;0,J1633/BD1633,-1)</f>
        <v>0</v>
      </c>
      <c r="BI1633" s="63" t="n">
        <f aca="false">IF(AND(OR(CG1633="L1",CG1633="L23",CG1633="LIFT"),BD1633&gt;0),SUMIFS($BD$7:$BD$1843,$CG$7:$CG$1843,CG1633,$BH$7:$BH$1843,"&gt;"&amp;BH1633)+SUMIFS($BD$7:$BD$1843,$CG$7:$CG$1843,CG1633,$BH$7:$BH$1843,BH1633,$BX$7:$BX$1843,"&lt;="&amp;BX1633),"")</f>
        <v>31168.6757672648</v>
      </c>
      <c r="BJ1633" s="70" t="n">
        <f aca="false">IF(BI1633="",0,MAX(0,MIN(1,(IF(CG1633="L1",Parameter!$H$5,IF(CG1633="L23",Parameter!$H$6+Parameter!$H$7,Parameter!$H$5+Parameter!$H$6+Parameter!$H$7))-(BI1633-BD1633))/BD1633)))</f>
        <v>1</v>
      </c>
      <c r="BK1633" s="60" t="str">
        <f aca="false">IF(AJ1633&lt;=0,"",IF(CG1633="Aussen","Aussenlager",IF(CG1633="-","Nicht im Lift",IF(AP1633&gt;=1,"Lift",IF(AP1633&lt;=0,"Aussenlager","teilweise")))))</f>
        <v>Lift</v>
      </c>
      <c r="BL1633" s="60" t="str">
        <f aca="false">IF(AT1633&lt;=0,"",IF(CG1633="Aussen","Aussenlager",IF(CG1633="-","Nicht im Lift",IF(AZ1633&gt;=1,"Lift",IF(AZ1633&lt;=0,"Aussenlager","teilweise")))))</f>
        <v>Aussenlager</v>
      </c>
      <c r="BM1633" s="60" t="str">
        <f aca="false">IF(BD1633&lt;=0,"",IF(CG1633="Aussen","Aussenlager",IF(CG1633="-","Nicht im Lift",IF(BJ1633&gt;=1,"Lift",IF(BJ1633&lt;=0,"Aussenlager","teilweise")))))</f>
        <v>Lift</v>
      </c>
      <c r="BN1633" s="60" t="str">
        <f aca="false">IF(A1633="","",IF(BW1633=1,"Neu; ","")&amp;IF(AND(BW1633=0,BR1633&lt;0),"negativer Bestand (Export "&amp;BR1633&amp;"); ","")&amp;IF(J1633&lt;=0,"Kein Verbrauch; ","")&amp;IF(CR1633&gt;0,"Lift "&amp;W1633&amp;" lt. Liftbericht (Fach "&amp;X1633&amp;" Stk); ",IF(CB1633=1,"Gebinde geschätzt ("&amp;T1633&amp;"); ",IF(CA1633=1,"Lose – Tablare geschätzt; ","")))&amp;IF(H1633&gt;AW1633,"Überbestand "&amp;ROUND(H1633-AW1633,0)&amp;" Stk / CHF "&amp;ROUND((H1633-AW1633)*G1633,0)&amp;"; ","")&amp;IF(AND(CI1633=1,CJ1633&lt;CK1633),"MAX &lt; MB+LG; ","")&amp;IF(AND(CQ1633&gt;0,CP1633*10&gt;CQ1633),"zu hoch für Tablar; ","")&amp;IF(AND(BW1633=0,OR(CI1633=1,AB1633&lt;&gt;"",U1633&lt;&gt;"",V1633&lt;&gt;"",AC1633&lt;&gt;"")),"manuell übersteuert; ","")&amp;IF(AND(CA1633=0,R1633=0),"Gebinde unbekannt / Stellmass fehlt; ","")&amp;IF(AND(CA1633=0,N(V1633)&lt;=0,N(Q1633)&lt;=0),"Menge pro Gebinde fehlt (Ist = 1 Gebinde); ","")&amp;BV1633)</f>
        <v>Kein Verbrauch; Gebinde geschätzt (Klein); Menge pro Gebinde fehlt (Ist = 1 Gebinde); nur im Artikelstamm (Bestand 23.06.2026)</v>
      </c>
      <c r="BO1633" s="60"/>
      <c r="BP1633" s="60"/>
      <c r="BQ1633" s="67"/>
      <c r="BR1633" s="62" t="n">
        <v>7</v>
      </c>
      <c r="BS1633" s="62" t="n">
        <v>0</v>
      </c>
      <c r="BT1633" s="61" t="n">
        <v>0</v>
      </c>
      <c r="BU1633" s="62" t="n">
        <v>0</v>
      </c>
      <c r="BV1633" s="60" t="s">
        <v>2617</v>
      </c>
      <c r="BW1633" s="65" t="n">
        <v>0</v>
      </c>
      <c r="BX1633" s="65" t="n">
        <v>1633</v>
      </c>
      <c r="BY1633" s="60" t="str">
        <f aca="false">IF(U1633&lt;&gt;"",UPPER(TRIM(U1633)),IF(CB1633=1,UPPER(VLOOKUP(T1633,Parameter!$I$27:$K$29,2,0)),IF(P1633="","LOSE",P1633)))</f>
        <v>S51</v>
      </c>
      <c r="BZ1633" s="62" t="n">
        <f aca="false">IF(BY1633="LOSE",1,IF(N(V1633)&gt;0,V1633,IF(CB1633=1,MAX(1,N(VLOOKUP(T1633,Parameter!$I$27:$K$29,3,0)),H1633,N(N1633)),IF(N(Q1633)&gt;0,Q1633,MAX(1,H1633)))))</f>
        <v>20</v>
      </c>
      <c r="CA1633" s="65" t="n">
        <f aca="false">IF(BY1633="LOSE",1,0)</f>
        <v>0</v>
      </c>
      <c r="CB1633" s="65" t="n">
        <f aca="false">IF(AND(U1633="",OR(P1633="",P1633="LOSE"),T1633&lt;&gt;"",N(S1633)&lt;=0,ISNUMBER(MATCH(T1633,Parameter!$I$27:$I$29,0))),1,0)</f>
        <v>1</v>
      </c>
      <c r="CC1633" s="65" t="n">
        <f aca="false">IF(CR1633&gt;0,INDEX(Parameter!$H$5:$H$7,W1633)/INDEX(Parameter!$E$5:$E$7,W1633),IF(AND(CA1633=0,N(IFERROR(VLOOKUP(BY1633,'Gebinde-Kategorie'!$A$5:$N$45,14,0),0))&gt;0),VLOOKUP(BY1633,'Gebinde-Kategorie'!$A$5:$N$45,14,0)*10+Parameter!$M$23,Parameter!$M$24))</f>
        <v>155</v>
      </c>
      <c r="CD1633" s="60" t="str">
        <f aca="false">IF(AND(Parameter!$B$19="Ja",E1633&lt;&gt;"",ISNUMBER(MATCH(E1633,Parameter!$I$35:$I$52,0))),VLOOKUP(E1633,Parameter!$I$35:$J$52,2,0),IFERROR(VLOOKUP(D1633,Parameter!$A$35:$C$64,2,0),"Nein"))</f>
        <v>2+3</v>
      </c>
      <c r="CE1633" s="64" t="n">
        <f aca="false">IF(CA1633=0,0,IF(N(S1633)&gt;0,S1633,IFERROR(VLOOKUP(D1633,Parameter!$A$35:$C$64,3,0)+0,0)))</f>
        <v>0</v>
      </c>
      <c r="CF1633" s="60" t="n">
        <f aca="false">IF(AB1633&lt;&gt;"",AB1633,AA1633)</f>
        <v>3</v>
      </c>
      <c r="CG1633" s="60" t="str">
        <f aca="false">IF(OR(CF1633=1,CF1633=2,CF1633=3),IF(Parameter!$E$27="Ja","LIFT",IF(CF1633=1,"L1","L23")),IF(CF1633="Aussen","Aussen","-"))</f>
        <v>LIFT</v>
      </c>
      <c r="CH1633" s="71" t="n">
        <f aca="false">IF(N(AC1633)&gt;0,AC1633,0)</f>
        <v>0</v>
      </c>
      <c r="CI1633" s="65" t="n">
        <f aca="false">IF(ISNUMBER(AF1633),1,0)</f>
        <v>0</v>
      </c>
      <c r="CJ1633" s="62" t="n">
        <f aca="false">N(AF1633)</f>
        <v>0</v>
      </c>
      <c r="CK1633" s="62" t="n">
        <f aca="false">N(M1633)+N(N1633)</f>
        <v>20</v>
      </c>
      <c r="CL1633" s="62" t="n">
        <f aca="false">N(M1633)</f>
        <v>0</v>
      </c>
      <c r="CM1633" s="62" t="n">
        <f aca="false">N(N1633)</f>
        <v>20</v>
      </c>
      <c r="CN1633" s="62" t="n">
        <f aca="false">ROUNDUP(H1633/BZ1633,0)</f>
        <v>1</v>
      </c>
      <c r="CO1633" s="62" t="n">
        <f aca="false">ROUNDUP(CJ1633/BZ1633,0)</f>
        <v>0</v>
      </c>
      <c r="CP1633" s="65" t="n">
        <f aca="false">IF(CA1633=1,0,IFERROR(VLOOKUP(BY1633,'Gebinde-Kategorie'!$A$5:$N$45,5,0)+0,0))</f>
        <v>11</v>
      </c>
      <c r="CQ1633" s="65" t="n">
        <f aca="false">IFERROR(IF(OR(CF1633=1,CF1633=2,CF1633=3),N(INDEX(Parameter!$I$5:$I$7,CF1633)),0),0)</f>
        <v>0</v>
      </c>
      <c r="CR1633" s="64" t="n">
        <f aca="false">IF(AND(Parameter!$B$21="Ja",ISNUMBER(W1633),N(X1633)&gt;0),IFERROR(N(INDEX(Parameter!$L$5:$L$7,W1633))*INDEX(Parameter!$E$5:$E$7,W1633)*X1633/SUMIFS($X$7:$X$1843,$W$7:$W$1843,W1633),0),0)</f>
        <v>0</v>
      </c>
      <c r="CS1633" s="62" t="n">
        <f aca="false">IF(AND(OR(CG1633="L1",CG1633="L23",CG1633="LIFT"),H1633&gt;0),CC1633*IF(CR1633&gt;0,CR1633*MAX(1,H1633/X1633),IF(CA1633=1,CE1633,IF(R1633&gt;0,CN1633/R1633,0))/MAX(0.1,N(Parameter!$M$21))),"")</f>
        <v>5.96153846153846</v>
      </c>
      <c r="CT1633" s="64" t="n">
        <f aca="false">IF(CS1633="","",J1633/H1633)</f>
        <v>0</v>
      </c>
      <c r="CU1633" s="62" t="n">
        <f aca="false">IF(CS1633="","",H1633*G1633)</f>
        <v>21.7</v>
      </c>
      <c r="CV1633" s="63" t="n">
        <f aca="false">IF(CS1633="","",(CL1633+ROUNDUP(CL1633+MAX(CM1633,2*(J1633/MAX(0.1,N(Einkauf!$C$6))-CL1633)),0))/2)</f>
        <v>10</v>
      </c>
      <c r="CW1633" s="62" t="n">
        <f aca="false">IF(CS1633="","",MAX(0,H1633-CV1633)*G1633)</f>
        <v>0</v>
      </c>
      <c r="CX1633" s="62" t="n">
        <f aca="false">IF(CS1633="","",CS1633*MAX(0,1-CV1633/H1633))</f>
        <v>0</v>
      </c>
      <c r="CY1633" s="64" t="n">
        <f aca="false">IF(CS1633="","",PERCENTRANK($CS$7:$CS$1843,CS1633)+PERCENTRANK($CU$7:$CU$1843,CU1633)+1-PERCENTRANK($CT$7:$CT$1843,CT1633))</f>
        <v>1.4388</v>
      </c>
      <c r="CZ1633" s="72" t="n">
        <f aca="false">IF(CS1633="","",CHOOSE(MATCH(Einkauf!$C$5,Parameter!$G$23:$G$27,0),CY1633,CS1633,CU1633,-CT1633,CW1633)+ROW()/1000000000)</f>
        <v>1.438801633</v>
      </c>
    </row>
    <row r="1634" customFormat="false" ht="15" hidden="false" customHeight="false" outlineLevel="0" collapsed="false">
      <c r="A1634" s="60" t="s">
        <v>2884</v>
      </c>
      <c r="B1634" s="60" t="s">
        <v>2885</v>
      </c>
      <c r="C1634" s="60" t="s">
        <v>206</v>
      </c>
      <c r="D1634" s="60" t="s">
        <v>226</v>
      </c>
      <c r="E1634" s="60"/>
      <c r="F1634" s="60"/>
      <c r="G1634" s="61" t="n">
        <v>26.1</v>
      </c>
      <c r="H1634" s="62" t="n">
        <f aca="false">MAX(0,IF(AND(Parameter!$B$21="Ja",ISNUMBER(Y1634)),Y1634,IF(Parameter!$B$20="Jahresanfang 2025 + Export",BS1634+BR1634,BR1634)))</f>
        <v>12</v>
      </c>
      <c r="I1634" s="62" t="n">
        <f aca="false">H1634*G1634</f>
        <v>313.2</v>
      </c>
      <c r="J1634" s="62" t="n">
        <f aca="false">BU1634*Parameter!$B$18</f>
        <v>0</v>
      </c>
      <c r="K1634" s="63"/>
      <c r="L1634" s="64"/>
      <c r="M1634" s="62" t="n">
        <v>0</v>
      </c>
      <c r="N1634" s="62" t="n">
        <v>10</v>
      </c>
      <c r="O1634" s="65" t="n">
        <v>14</v>
      </c>
      <c r="P1634" s="60" t="s">
        <v>210</v>
      </c>
      <c r="Q1634" s="62"/>
      <c r="R1634" s="65" t="n">
        <f aca="false">IF(CA1634=1,0,IFERROR(VLOOKUP(BY1634,'Gebinde-Kategorie'!$A$5:$N$45,13,0)+0,0))</f>
        <v>26</v>
      </c>
      <c r="S1634" s="66"/>
      <c r="T1634" s="67" t="s">
        <v>317</v>
      </c>
      <c r="U1634" s="67"/>
      <c r="V1634" s="67"/>
      <c r="W1634" s="60"/>
      <c r="X1634" s="62"/>
      <c r="Y1634" s="62"/>
      <c r="Z1634" s="60" t="n">
        <v>3</v>
      </c>
      <c r="AA1634" s="60" t="n">
        <f aca="false">IF(A1634="","",IF(AND(Parameter!$B$21="Ja",ISNUMBER(W1634)),W1634,IF(AND(Parameter!$E$27="Ja",ISNUMBER(Z1634),CD1634&lt;&gt;"Nein"),Z1634,IF(CD1634="2+3",IF(ISNUMBER(SEARCH("grosser Artikel",BV1634)),2,IFERROR(VLOOKUP(BY1634,Parameter!$F$35:$G$64,2,0),2)),IF(OR(CD1634="Nein",CD1634=""),"-",CD1634)))))</f>
        <v>3</v>
      </c>
      <c r="AB1634" s="67"/>
      <c r="AC1634" s="68"/>
      <c r="AD1634" s="62" t="n">
        <f aca="false">AW1634</f>
        <v>10</v>
      </c>
      <c r="AE1634" s="62" t="n">
        <f aca="false">MAX(AW1634,H1634)</f>
        <v>12</v>
      </c>
      <c r="AF1634" s="69"/>
      <c r="AG1634" s="62" t="n">
        <f aca="false">IF(LEFT(Cockpit!$C$5,1)="A",H1634,IF(Parameter!$E$30="MAX-Bestand",IF(CI1634=1,CJ1634,IF(LEFT(Cockpit!$C$5,1)="B",AM1634,MAX(AM1634,H1634))),ROUNDUP(AK1634,0)))</f>
        <v>12</v>
      </c>
      <c r="AH1634" s="62" t="n">
        <f aca="false">IF(CA1634=1,0,ROUNDUP(AG1634/BZ1634,0))</f>
        <v>1</v>
      </c>
      <c r="AI1634" s="64" t="n">
        <f aca="false">IF(CR1634&gt;0,CR1634*MAX(1,AG1634/X1634),IF(CA1634=1,IF(AG1634&lt;=0,0,CE1634*MAX(1,IF(H1634&gt;0,AG1634/H1634,1))),IF(R1634&gt;0,AH1634/R1634,0))/MAX(0.1,N(Parameter!$M$21)))</f>
        <v>0.0384615384615385</v>
      </c>
      <c r="AJ1634" s="62" t="n">
        <f aca="false">AI1634*CC1634</f>
        <v>5.96153846153846</v>
      </c>
      <c r="AK1634" s="63" t="n">
        <f aca="false">IF(LEFT(Cockpit!$C$5,1)="A",H1634,IF(CI1634=1,(CL1634+CJ1634)/2,IF(LEFT(Cockpit!$C$5,1)="B",(CL1634+AM1634)/2,MAX((CL1634+AM1634)/2,H1634))))</f>
        <v>12</v>
      </c>
      <c r="AL1634" s="62" t="n">
        <f aca="false">AK1634*G1634</f>
        <v>313.2</v>
      </c>
      <c r="AM1634" s="62" t="n">
        <f aca="false">ROUNDUP(CL1634+MAX(CM1634,2*(J1634/IF(CH1634&gt;0,CH1634,MAX(0.1,N(Cockpit!$C$6)))-CL1634)),0)</f>
        <v>10</v>
      </c>
      <c r="AN1634" s="63" t="n">
        <f aca="false">IF(AJ1634&gt;0,J1634/AJ1634,-1)</f>
        <v>0</v>
      </c>
      <c r="AO1634" s="63" t="n">
        <f aca="false">IF(AND(OR(CG1634="L1",CG1634="L23",CG1634="LIFT"),AJ1634&gt;0),SUMIFS($AJ$7:$AJ$1843,$CG$7:$CG$1843,CG1634,$AN$7:$AN$1843,"&gt;"&amp;AN1634)+SUMIFS($AJ$7:$AJ$1843,$CG$7:$CG$1843,CG1634,$AN$7:$AN$1843,AN1634,$BX$7:$BX$1843,"&lt;="&amp;BX1634),"")</f>
        <v>30945.3395133586</v>
      </c>
      <c r="AP1634" s="70" t="n">
        <f aca="false">IF(AO1634="",0,MAX(0,MIN(1,(IF(CG1634="L1",Parameter!$H$5,IF(CG1634="L23",Parameter!$H$6+Parameter!$H$7,Parameter!$H$5+Parameter!$H$6+Parameter!$H$7))-(AO1634-AJ1634))/AJ1634)))</f>
        <v>1</v>
      </c>
      <c r="AQ1634" s="62" t="n">
        <f aca="false">IF(LEFT(Cockpit!$I$5,1)="A",H1634,IF(Parameter!$E$30="MAX-Bestand",IF(CI1634=1,CJ1634,IF(LEFT(Cockpit!$I$5,1)="B",AW1634,MAX(AW1634,H1634))),ROUNDUP(AU1634,0)))</f>
        <v>12</v>
      </c>
      <c r="AR1634" s="62" t="n">
        <f aca="false">IF(CA1634=1,0,ROUNDUP(AQ1634/BZ1634,0))</f>
        <v>1</v>
      </c>
      <c r="AS1634" s="64" t="n">
        <f aca="false">IF(CR1634&gt;0,CR1634*MAX(1,AQ1634/X1634),IF(CA1634=1,IF(AQ1634&lt;=0,0,CE1634*MAX(1,IF(H1634&gt;0,AQ1634/H1634,1))),IF(R1634&gt;0,AR1634/R1634,0))/MAX(0.1,N(Parameter!$M$21)))</f>
        <v>0.0384615384615385</v>
      </c>
      <c r="AT1634" s="62" t="n">
        <f aca="false">AS1634*CC1634</f>
        <v>5.96153846153846</v>
      </c>
      <c r="AU1634" s="63" t="n">
        <f aca="false">IF(LEFT(Cockpit!$I$5,1)="A",H1634,IF(CI1634=1,(CL1634+CJ1634)/2,IF(LEFT(Cockpit!$I$5,1)="B",(CL1634+AW1634)/2,MAX((CL1634+AW1634)/2,H1634))))</f>
        <v>12</v>
      </c>
      <c r="AV1634" s="62" t="n">
        <f aca="false">AU1634*G1634</f>
        <v>313.2</v>
      </c>
      <c r="AW1634" s="62" t="n">
        <f aca="false">ROUNDUP(CL1634+MAX(CM1634,2*(J1634/IF(CH1634&gt;0,CH1634,MAX(0.1,N(Cockpit!$I$6)))-CL1634)),0)</f>
        <v>10</v>
      </c>
      <c r="AX1634" s="63" t="n">
        <f aca="false">IF(AT1634&gt;0,J1634/AT1634,-1)</f>
        <v>0</v>
      </c>
      <c r="AY1634" s="63" t="n">
        <f aca="false">IF(AND(OR(CG1634="L1",CG1634="L23",CG1634="LIFT"),AT1634&gt;0),SUMIFS($AT$7:$AT$1843,$CG$7:$CG$1843,CG1634,$AX$7:$AX$1843,"&gt;"&amp;AX1634)+SUMIFS($AT$7:$AT$1843,$CG$7:$CG$1843,CG1634,$AX$7:$AX$1843,AX1634,$BX$7:$BX$1843,"&lt;="&amp;BX1634),"")</f>
        <v>37265.1960301939</v>
      </c>
      <c r="AZ1634" s="70" t="n">
        <f aca="false">IF(AY1634="",0,MAX(0,MIN(1,(IF(CG1634="L1",Parameter!$H$5,IF(CG1634="L23",Parameter!$H$6+Parameter!$H$7,Parameter!$H$5+Parameter!$H$6+Parameter!$H$7))-(AY1634-AT1634))/AT1634)))</f>
        <v>0</v>
      </c>
      <c r="BA1634" s="62" t="n">
        <f aca="false">IF(LEFT(Cockpit!$O$5,1)="A",H1634,IF(Parameter!$E$30="MAX-Bestand",IF(CI1634=1,CJ1634,IF(LEFT(Cockpit!$O$5,1)="B",BG1634,MAX(BG1634,H1634))),ROUNDUP(BE1634,0)))</f>
        <v>5</v>
      </c>
      <c r="BB1634" s="62" t="n">
        <f aca="false">IF(CA1634=1,0,ROUNDUP(BA1634/BZ1634,0))</f>
        <v>1</v>
      </c>
      <c r="BC1634" s="64" t="n">
        <f aca="false">IF(CR1634&gt;0,CR1634*MAX(1,BA1634/X1634),IF(CA1634=1,IF(BA1634&lt;=0,0,CE1634*MAX(1,IF(H1634&gt;0,BA1634/H1634,1))),IF(R1634&gt;0,BB1634/R1634,0))/MAX(0.1,N(Parameter!$M$21)))</f>
        <v>0.0384615384615385</v>
      </c>
      <c r="BD1634" s="62" t="n">
        <f aca="false">BC1634*CC1634</f>
        <v>5.96153846153846</v>
      </c>
      <c r="BE1634" s="63" t="n">
        <f aca="false">IF(LEFT(Cockpit!$O$5,1)="A",H1634,IF(CI1634=1,(CL1634+CJ1634)/2,IF(LEFT(Cockpit!$O$5,1)="B",(CL1634+BG1634)/2,MAX((CL1634+BG1634)/2,H1634))))</f>
        <v>5</v>
      </c>
      <c r="BF1634" s="62" t="n">
        <f aca="false">BE1634*G1634</f>
        <v>130.5</v>
      </c>
      <c r="BG1634" s="62" t="n">
        <f aca="false">ROUNDUP(CL1634+MAX(CM1634,2*(J1634/IF(CH1634&gt;0,CH1634,MAX(0.1,N(Cockpit!$O$6)))-CL1634)),0)</f>
        <v>10</v>
      </c>
      <c r="BH1634" s="63" t="n">
        <f aca="false">IF(BD1634&gt;0,J1634/BD1634,-1)</f>
        <v>0</v>
      </c>
      <c r="BI1634" s="63" t="n">
        <f aca="false">IF(AND(OR(CG1634="L1",CG1634="L23",CG1634="LIFT"),BD1634&gt;0),SUMIFS($BD$7:$BD$1843,$CG$7:$CG$1843,CG1634,$BH$7:$BH$1843,"&gt;"&amp;BH1634)+SUMIFS($BD$7:$BD$1843,$CG$7:$CG$1843,CG1634,$BH$7:$BH$1843,BH1634,$BX$7:$BX$1843,"&lt;="&amp;BX1634),"")</f>
        <v>31174.6373057263</v>
      </c>
      <c r="BJ1634" s="70" t="n">
        <f aca="false">IF(BI1634="",0,MAX(0,MIN(1,(IF(CG1634="L1",Parameter!$H$5,IF(CG1634="L23",Parameter!$H$6+Parameter!$H$7,Parameter!$H$5+Parameter!$H$6+Parameter!$H$7))-(BI1634-BD1634))/BD1634)))</f>
        <v>1</v>
      </c>
      <c r="BK1634" s="60" t="str">
        <f aca="false">IF(AJ1634&lt;=0,"",IF(CG1634="Aussen","Aussenlager",IF(CG1634="-","Nicht im Lift",IF(AP1634&gt;=1,"Lift",IF(AP1634&lt;=0,"Aussenlager","teilweise")))))</f>
        <v>Lift</v>
      </c>
      <c r="BL1634" s="60" t="str">
        <f aca="false">IF(AT1634&lt;=0,"",IF(CG1634="Aussen","Aussenlager",IF(CG1634="-","Nicht im Lift",IF(AZ1634&gt;=1,"Lift",IF(AZ1634&lt;=0,"Aussenlager","teilweise")))))</f>
        <v>Aussenlager</v>
      </c>
      <c r="BM1634" s="60" t="str">
        <f aca="false">IF(BD1634&lt;=0,"",IF(CG1634="Aussen","Aussenlager",IF(CG1634="-","Nicht im Lift",IF(BJ1634&gt;=1,"Lift",IF(BJ1634&lt;=0,"Aussenlager","teilweise")))))</f>
        <v>Lift</v>
      </c>
      <c r="BN1634" s="60" t="str">
        <f aca="false">IF(A1634="","",IF(BW1634=1,"Neu; ","")&amp;IF(AND(BW1634=0,BR1634&lt;0),"negativer Bestand (Export "&amp;BR1634&amp;"); ","")&amp;IF(J1634&lt;=0,"Kein Verbrauch; ","")&amp;IF(CR1634&gt;0,"Lift "&amp;W1634&amp;" lt. Liftbericht (Fach "&amp;X1634&amp;" Stk); ",IF(CB1634=1,"Gebinde geschätzt ("&amp;T1634&amp;"); ",IF(CA1634=1,"Lose – Tablare geschätzt; ","")))&amp;IF(H1634&gt;AW1634,"Überbestand "&amp;ROUND(H1634-AW1634,0)&amp;" Stk / CHF "&amp;ROUND((H1634-AW1634)*G1634,0)&amp;"; ","")&amp;IF(AND(CI1634=1,CJ1634&lt;CK1634),"MAX &lt; MB+LG; ","")&amp;IF(AND(CQ1634&gt;0,CP1634*10&gt;CQ1634),"zu hoch für Tablar; ","")&amp;IF(AND(BW1634=0,OR(CI1634=1,AB1634&lt;&gt;"",U1634&lt;&gt;"",V1634&lt;&gt;"",AC1634&lt;&gt;"")),"manuell übersteuert; ","")&amp;IF(AND(CA1634=0,R1634=0),"Gebinde unbekannt / Stellmass fehlt; ","")&amp;IF(AND(CA1634=0,N(V1634)&lt;=0,N(Q1634)&lt;=0),"Menge pro Gebinde fehlt (Ist = 1 Gebinde); ","")&amp;BV1634)</f>
        <v>Kein Verbrauch; Gebinde geschätzt (Klein); Überbestand 2 Stk / CHF 52; Menge pro Gebinde fehlt (Ist = 1 Gebinde); nur im Artikelstamm (Bestand 23.06.2026)</v>
      </c>
      <c r="BO1634" s="60"/>
      <c r="BP1634" s="60"/>
      <c r="BQ1634" s="67"/>
      <c r="BR1634" s="62" t="n">
        <v>12</v>
      </c>
      <c r="BS1634" s="62" t="n">
        <v>0</v>
      </c>
      <c r="BT1634" s="61" t="n">
        <v>0</v>
      </c>
      <c r="BU1634" s="62" t="n">
        <v>0</v>
      </c>
      <c r="BV1634" s="60" t="s">
        <v>2617</v>
      </c>
      <c r="BW1634" s="65" t="n">
        <v>0</v>
      </c>
      <c r="BX1634" s="65" t="n">
        <v>1634</v>
      </c>
      <c r="BY1634" s="60" t="str">
        <f aca="false">IF(U1634&lt;&gt;"",UPPER(TRIM(U1634)),IF(CB1634=1,UPPER(VLOOKUP(T1634,Parameter!$I$27:$K$29,2,0)),IF(P1634="","LOSE",P1634)))</f>
        <v>S51</v>
      </c>
      <c r="BZ1634" s="62" t="n">
        <f aca="false">IF(BY1634="LOSE",1,IF(N(V1634)&gt;0,V1634,IF(CB1634=1,MAX(1,N(VLOOKUP(T1634,Parameter!$I$27:$K$29,3,0)),H1634,N(N1634)),IF(N(Q1634)&gt;0,Q1634,MAX(1,H1634)))))</f>
        <v>20</v>
      </c>
      <c r="CA1634" s="65" t="n">
        <f aca="false">IF(BY1634="LOSE",1,0)</f>
        <v>0</v>
      </c>
      <c r="CB1634" s="65" t="n">
        <f aca="false">IF(AND(U1634="",OR(P1634="",P1634="LOSE"),T1634&lt;&gt;"",N(S1634)&lt;=0,ISNUMBER(MATCH(T1634,Parameter!$I$27:$I$29,0))),1,0)</f>
        <v>1</v>
      </c>
      <c r="CC1634" s="65" t="n">
        <f aca="false">IF(CR1634&gt;0,INDEX(Parameter!$H$5:$H$7,W1634)/INDEX(Parameter!$E$5:$E$7,W1634),IF(AND(CA1634=0,N(IFERROR(VLOOKUP(BY1634,'Gebinde-Kategorie'!$A$5:$N$45,14,0),0))&gt;0),VLOOKUP(BY1634,'Gebinde-Kategorie'!$A$5:$N$45,14,0)*10+Parameter!$M$23,Parameter!$M$24))</f>
        <v>155</v>
      </c>
      <c r="CD1634" s="60" t="str">
        <f aca="false">IF(AND(Parameter!$B$19="Ja",E1634&lt;&gt;"",ISNUMBER(MATCH(E1634,Parameter!$I$35:$I$52,0))),VLOOKUP(E1634,Parameter!$I$35:$J$52,2,0),IFERROR(VLOOKUP(D1634,Parameter!$A$35:$C$64,2,0),"Nein"))</f>
        <v>2+3</v>
      </c>
      <c r="CE1634" s="64" t="n">
        <f aca="false">IF(CA1634=0,0,IF(N(S1634)&gt;0,S1634,IFERROR(VLOOKUP(D1634,Parameter!$A$35:$C$64,3,0)+0,0)))</f>
        <v>0</v>
      </c>
      <c r="CF1634" s="60" t="n">
        <f aca="false">IF(AB1634&lt;&gt;"",AB1634,AA1634)</f>
        <v>3</v>
      </c>
      <c r="CG1634" s="60" t="str">
        <f aca="false">IF(OR(CF1634=1,CF1634=2,CF1634=3),IF(Parameter!$E$27="Ja","LIFT",IF(CF1634=1,"L1","L23")),IF(CF1634="Aussen","Aussen","-"))</f>
        <v>LIFT</v>
      </c>
      <c r="CH1634" s="71" t="n">
        <f aca="false">IF(N(AC1634)&gt;0,AC1634,0)</f>
        <v>0</v>
      </c>
      <c r="CI1634" s="65" t="n">
        <f aca="false">IF(ISNUMBER(AF1634),1,0)</f>
        <v>0</v>
      </c>
      <c r="CJ1634" s="62" t="n">
        <f aca="false">N(AF1634)</f>
        <v>0</v>
      </c>
      <c r="CK1634" s="62" t="n">
        <f aca="false">N(M1634)+N(N1634)</f>
        <v>10</v>
      </c>
      <c r="CL1634" s="62" t="n">
        <f aca="false">N(M1634)</f>
        <v>0</v>
      </c>
      <c r="CM1634" s="62" t="n">
        <f aca="false">N(N1634)</f>
        <v>10</v>
      </c>
      <c r="CN1634" s="62" t="n">
        <f aca="false">ROUNDUP(H1634/BZ1634,0)</f>
        <v>1</v>
      </c>
      <c r="CO1634" s="62" t="n">
        <f aca="false">ROUNDUP(CJ1634/BZ1634,0)</f>
        <v>0</v>
      </c>
      <c r="CP1634" s="65" t="n">
        <f aca="false">IF(CA1634=1,0,IFERROR(VLOOKUP(BY1634,'Gebinde-Kategorie'!$A$5:$N$45,5,0)+0,0))</f>
        <v>11</v>
      </c>
      <c r="CQ1634" s="65" t="n">
        <f aca="false">IFERROR(IF(OR(CF1634=1,CF1634=2,CF1634=3),N(INDEX(Parameter!$I$5:$I$7,CF1634)),0),0)</f>
        <v>0</v>
      </c>
      <c r="CR1634" s="64" t="n">
        <f aca="false">IF(AND(Parameter!$B$21="Ja",ISNUMBER(W1634),N(X1634)&gt;0),IFERROR(N(INDEX(Parameter!$L$5:$L$7,W1634))*INDEX(Parameter!$E$5:$E$7,W1634)*X1634/SUMIFS($X$7:$X$1843,$W$7:$W$1843,W1634),0),0)</f>
        <v>0</v>
      </c>
      <c r="CS1634" s="62" t="n">
        <f aca="false">IF(AND(OR(CG1634="L1",CG1634="L23",CG1634="LIFT"),H1634&gt;0),CC1634*IF(CR1634&gt;0,CR1634*MAX(1,H1634/X1634),IF(CA1634=1,CE1634,IF(R1634&gt;0,CN1634/R1634,0))/MAX(0.1,N(Parameter!$M$21))),"")</f>
        <v>5.96153846153846</v>
      </c>
      <c r="CT1634" s="64" t="n">
        <f aca="false">IF(CS1634="","",J1634/H1634)</f>
        <v>0</v>
      </c>
      <c r="CU1634" s="62" t="n">
        <f aca="false">IF(CS1634="","",H1634*G1634)</f>
        <v>313.2</v>
      </c>
      <c r="CV1634" s="63" t="n">
        <f aca="false">IF(CS1634="","",(CL1634+ROUNDUP(CL1634+MAX(CM1634,2*(J1634/MAX(0.1,N(Einkauf!$C$6))-CL1634)),0))/2)</f>
        <v>5</v>
      </c>
      <c r="CW1634" s="62" t="n">
        <f aca="false">IF(CS1634="","",MAX(0,H1634-CV1634)*G1634)</f>
        <v>182.7</v>
      </c>
      <c r="CX1634" s="62" t="n">
        <f aca="false">IF(CS1634="","",CS1634*MAX(0,1-CV1634/H1634))</f>
        <v>3.4775641025641</v>
      </c>
      <c r="CY1634" s="64" t="n">
        <f aca="false">IF(CS1634="","",PERCENTRANK($CS$7:$CS$1843,CS1634)+PERCENTRANK($CU$7:$CU$1843,CU1634)+1-PERCENTRANK($CT$7:$CT$1843,CT1634))</f>
        <v>1.786</v>
      </c>
      <c r="CZ1634" s="72" t="n">
        <f aca="false">IF(CS1634="","",CHOOSE(MATCH(Einkauf!$C$5,Parameter!$G$23:$G$27,0),CY1634,CS1634,CU1634,-CT1634,CW1634)+ROW()/1000000000)</f>
        <v>1.786001634</v>
      </c>
    </row>
    <row r="1635" customFormat="false" ht="15" hidden="false" customHeight="false" outlineLevel="0" collapsed="false">
      <c r="A1635" s="60" t="s">
        <v>2886</v>
      </c>
      <c r="B1635" s="60" t="s">
        <v>2887</v>
      </c>
      <c r="C1635" s="60" t="s">
        <v>206</v>
      </c>
      <c r="D1635" s="60" t="s">
        <v>215</v>
      </c>
      <c r="E1635" s="60"/>
      <c r="F1635" s="60"/>
      <c r="G1635" s="61" t="n">
        <v>3705</v>
      </c>
      <c r="H1635" s="62" t="n">
        <f aca="false">MAX(0,IF(AND(Parameter!$B$21="Ja",ISNUMBER(Y1635)),Y1635,IF(Parameter!$B$20="Jahresanfang 2025 + Export",BS1635+BR1635,BR1635)))</f>
        <v>1</v>
      </c>
      <c r="I1635" s="62" t="n">
        <f aca="false">H1635*G1635</f>
        <v>3705</v>
      </c>
      <c r="J1635" s="62" t="n">
        <f aca="false">BU1635*Parameter!$B$18</f>
        <v>0</v>
      </c>
      <c r="K1635" s="63"/>
      <c r="L1635" s="64"/>
      <c r="M1635" s="62" t="n">
        <v>0</v>
      </c>
      <c r="N1635" s="62" t="n">
        <v>5</v>
      </c>
      <c r="O1635" s="65" t="n">
        <v>28</v>
      </c>
      <c r="P1635" s="60" t="s">
        <v>210</v>
      </c>
      <c r="Q1635" s="62"/>
      <c r="R1635" s="65" t="n">
        <f aca="false">IF(CA1635=1,0,IFERROR(VLOOKUP(BY1635,'Gebinde-Kategorie'!$A$5:$N$45,13,0)+0,0))</f>
        <v>12</v>
      </c>
      <c r="S1635" s="66"/>
      <c r="T1635" s="67" t="s">
        <v>221</v>
      </c>
      <c r="U1635" s="67"/>
      <c r="V1635" s="67"/>
      <c r="W1635" s="60"/>
      <c r="X1635" s="62"/>
      <c r="Y1635" s="62"/>
      <c r="Z1635" s="60" t="n">
        <v>3</v>
      </c>
      <c r="AA1635" s="60" t="n">
        <f aca="false">IF(A1635="","",IF(AND(Parameter!$B$21="Ja",ISNUMBER(W1635)),W1635,IF(AND(Parameter!$E$27="Ja",ISNUMBER(Z1635),CD1635&lt;&gt;"Nein"),Z1635,IF(CD1635="2+3",IF(ISNUMBER(SEARCH("grosser Artikel",BV1635)),2,IFERROR(VLOOKUP(BY1635,Parameter!$F$35:$G$64,2,0),2)),IF(OR(CD1635="Nein",CD1635=""),"-",CD1635)))))</f>
        <v>3</v>
      </c>
      <c r="AB1635" s="67"/>
      <c r="AC1635" s="68"/>
      <c r="AD1635" s="62" t="n">
        <f aca="false">AW1635</f>
        <v>5</v>
      </c>
      <c r="AE1635" s="62" t="n">
        <f aca="false">MAX(AW1635,H1635)</f>
        <v>5</v>
      </c>
      <c r="AF1635" s="69"/>
      <c r="AG1635" s="62" t="n">
        <f aca="false">IF(LEFT(Cockpit!$C$5,1)="A",H1635,IF(Parameter!$E$30="MAX-Bestand",IF(CI1635=1,CJ1635,IF(LEFT(Cockpit!$C$5,1)="B",AM1635,MAX(AM1635,H1635))),ROUNDUP(AK1635,0)))</f>
        <v>1</v>
      </c>
      <c r="AH1635" s="62" t="n">
        <f aca="false">IF(CA1635=1,0,ROUNDUP(AG1635/BZ1635,0))</f>
        <v>1</v>
      </c>
      <c r="AI1635" s="64" t="n">
        <f aca="false">IF(CR1635&gt;0,CR1635*MAX(1,AG1635/X1635),IF(CA1635=1,IF(AG1635&lt;=0,0,CE1635*MAX(1,IF(H1635&gt;0,AG1635/H1635,1))),IF(R1635&gt;0,AH1635/R1635,0))/MAX(0.1,N(Parameter!$M$21)))</f>
        <v>0.0833333333333333</v>
      </c>
      <c r="AJ1635" s="62" t="n">
        <f aca="false">AI1635*CC1635</f>
        <v>12.0833333333333</v>
      </c>
      <c r="AK1635" s="63" t="n">
        <f aca="false">IF(LEFT(Cockpit!$C$5,1)="A",H1635,IF(CI1635=1,(CL1635+CJ1635)/2,IF(LEFT(Cockpit!$C$5,1)="B",(CL1635+AM1635)/2,MAX((CL1635+AM1635)/2,H1635))))</f>
        <v>1</v>
      </c>
      <c r="AL1635" s="62" t="n">
        <f aca="false">AK1635*G1635</f>
        <v>3705</v>
      </c>
      <c r="AM1635" s="62" t="n">
        <f aca="false">ROUNDUP(CL1635+MAX(CM1635,2*(J1635/IF(CH1635&gt;0,CH1635,MAX(0.1,N(Cockpit!$C$6)))-CL1635)),0)</f>
        <v>5</v>
      </c>
      <c r="AN1635" s="63" t="n">
        <f aca="false">IF(AJ1635&gt;0,J1635/AJ1635,-1)</f>
        <v>0</v>
      </c>
      <c r="AO1635" s="63" t="n">
        <f aca="false">IF(AND(OR(CG1635="L1",CG1635="L23",CG1635="LIFT"),AJ1635&gt;0),SUMIFS($AJ$7:$AJ$1843,$CG$7:$CG$1843,CG1635,$AN$7:$AN$1843,"&gt;"&amp;AN1635)+SUMIFS($AJ$7:$AJ$1843,$CG$7:$CG$1843,CG1635,$AN$7:$AN$1843,AN1635,$BX$7:$BX$1843,"&lt;="&amp;BX1635),"")</f>
        <v>30957.4228466919</v>
      </c>
      <c r="AP1635" s="70" t="n">
        <f aca="false">IF(AO1635="",0,MAX(0,MIN(1,(IF(CG1635="L1",Parameter!$H$5,IF(CG1635="L23",Parameter!$H$6+Parameter!$H$7,Parameter!$H$5+Parameter!$H$6+Parameter!$H$7))-(AO1635-AJ1635))/AJ1635)))</f>
        <v>1</v>
      </c>
      <c r="AQ1635" s="62" t="n">
        <f aca="false">IF(LEFT(Cockpit!$I$5,1)="A",H1635,IF(Parameter!$E$30="MAX-Bestand",IF(CI1635=1,CJ1635,IF(LEFT(Cockpit!$I$5,1)="B",AW1635,MAX(AW1635,H1635))),ROUNDUP(AU1635,0)))</f>
        <v>3</v>
      </c>
      <c r="AR1635" s="62" t="n">
        <f aca="false">IF(CA1635=1,0,ROUNDUP(AQ1635/BZ1635,0))</f>
        <v>1</v>
      </c>
      <c r="AS1635" s="64" t="n">
        <f aca="false">IF(CR1635&gt;0,CR1635*MAX(1,AQ1635/X1635),IF(CA1635=1,IF(AQ1635&lt;=0,0,CE1635*MAX(1,IF(H1635&gt;0,AQ1635/H1635,1))),IF(R1635&gt;0,AR1635/R1635,0))/MAX(0.1,N(Parameter!$M$21)))</f>
        <v>0.0833333333333333</v>
      </c>
      <c r="AT1635" s="62" t="n">
        <f aca="false">AS1635*CC1635</f>
        <v>12.0833333333333</v>
      </c>
      <c r="AU1635" s="63" t="n">
        <f aca="false">IF(LEFT(Cockpit!$I$5,1)="A",H1635,IF(CI1635=1,(CL1635+CJ1635)/2,IF(LEFT(Cockpit!$I$5,1)="B",(CL1635+AW1635)/2,MAX((CL1635+AW1635)/2,H1635))))</f>
        <v>2.5</v>
      </c>
      <c r="AV1635" s="62" t="n">
        <f aca="false">AU1635*G1635</f>
        <v>9262.5</v>
      </c>
      <c r="AW1635" s="62" t="n">
        <f aca="false">ROUNDUP(CL1635+MAX(CM1635,2*(J1635/IF(CH1635&gt;0,CH1635,MAX(0.1,N(Cockpit!$I$6)))-CL1635)),0)</f>
        <v>5</v>
      </c>
      <c r="AX1635" s="63" t="n">
        <f aca="false">IF(AT1635&gt;0,J1635/AT1635,-1)</f>
        <v>0</v>
      </c>
      <c r="AY1635" s="63" t="n">
        <f aca="false">IF(AND(OR(CG1635="L1",CG1635="L23",CG1635="LIFT"),AT1635&gt;0),SUMIFS($AT$7:$AT$1843,$CG$7:$CG$1843,CG1635,$AX$7:$AX$1843,"&gt;"&amp;AX1635)+SUMIFS($AT$7:$AT$1843,$CG$7:$CG$1843,CG1635,$AX$7:$AX$1843,AX1635,$BX$7:$BX$1843,"&lt;="&amp;BX1635),"")</f>
        <v>37277.2793635273</v>
      </c>
      <c r="AZ1635" s="70" t="n">
        <f aca="false">IF(AY1635="",0,MAX(0,MIN(1,(IF(CG1635="L1",Parameter!$H$5,IF(CG1635="L23",Parameter!$H$6+Parameter!$H$7,Parameter!$H$5+Parameter!$H$6+Parameter!$H$7))-(AY1635-AT1635))/AT1635)))</f>
        <v>0</v>
      </c>
      <c r="BA1635" s="62" t="n">
        <f aca="false">IF(LEFT(Cockpit!$O$5,1)="A",H1635,IF(Parameter!$E$30="MAX-Bestand",IF(CI1635=1,CJ1635,IF(LEFT(Cockpit!$O$5,1)="B",BG1635,MAX(BG1635,H1635))),ROUNDUP(BE1635,0)))</f>
        <v>3</v>
      </c>
      <c r="BB1635" s="62" t="n">
        <f aca="false">IF(CA1635=1,0,ROUNDUP(BA1635/BZ1635,0))</f>
        <v>1</v>
      </c>
      <c r="BC1635" s="64" t="n">
        <f aca="false">IF(CR1635&gt;0,CR1635*MAX(1,BA1635/X1635),IF(CA1635=1,IF(BA1635&lt;=0,0,CE1635*MAX(1,IF(H1635&gt;0,BA1635/H1635,1))),IF(R1635&gt;0,BB1635/R1635,0))/MAX(0.1,N(Parameter!$M$21)))</f>
        <v>0.0833333333333333</v>
      </c>
      <c r="BD1635" s="62" t="n">
        <f aca="false">BC1635*CC1635</f>
        <v>12.0833333333333</v>
      </c>
      <c r="BE1635" s="63" t="n">
        <f aca="false">IF(LEFT(Cockpit!$O$5,1)="A",H1635,IF(CI1635=1,(CL1635+CJ1635)/2,IF(LEFT(Cockpit!$O$5,1)="B",(CL1635+BG1635)/2,MAX((CL1635+BG1635)/2,H1635))))</f>
        <v>2.5</v>
      </c>
      <c r="BF1635" s="62" t="n">
        <f aca="false">BE1635*G1635</f>
        <v>9262.5</v>
      </c>
      <c r="BG1635" s="62" t="n">
        <f aca="false">ROUNDUP(CL1635+MAX(CM1635,2*(J1635/IF(CH1635&gt;0,CH1635,MAX(0.1,N(Cockpit!$O$6)))-CL1635)),0)</f>
        <v>5</v>
      </c>
      <c r="BH1635" s="63" t="n">
        <f aca="false">IF(BD1635&gt;0,J1635/BD1635,-1)</f>
        <v>0</v>
      </c>
      <c r="BI1635" s="63" t="n">
        <f aca="false">IF(AND(OR(CG1635="L1",CG1635="L23",CG1635="LIFT"),BD1635&gt;0),SUMIFS($BD$7:$BD$1843,$CG$7:$CG$1843,CG1635,$BH$7:$BH$1843,"&gt;"&amp;BH1635)+SUMIFS($BD$7:$BD$1843,$CG$7:$CG$1843,CG1635,$BH$7:$BH$1843,BH1635,$BX$7:$BX$1843,"&lt;="&amp;BX1635),"")</f>
        <v>31186.7206390596</v>
      </c>
      <c r="BJ1635" s="70" t="n">
        <f aca="false">IF(BI1635="",0,MAX(0,MIN(1,(IF(CG1635="L1",Parameter!$H$5,IF(CG1635="L23",Parameter!$H$6+Parameter!$H$7,Parameter!$H$5+Parameter!$H$6+Parameter!$H$7))-(BI1635-BD1635))/BD1635)))</f>
        <v>1</v>
      </c>
      <c r="BK1635" s="60" t="str">
        <f aca="false">IF(AJ1635&lt;=0,"",IF(CG1635="Aussen","Aussenlager",IF(CG1635="-","Nicht im Lift",IF(AP1635&gt;=1,"Lift",IF(AP1635&lt;=0,"Aussenlager","teilweise")))))</f>
        <v>Lift</v>
      </c>
      <c r="BL1635" s="60" t="str">
        <f aca="false">IF(AT1635&lt;=0,"",IF(CG1635="Aussen","Aussenlager",IF(CG1635="-","Nicht im Lift",IF(AZ1635&gt;=1,"Lift",IF(AZ1635&lt;=0,"Aussenlager","teilweise")))))</f>
        <v>Aussenlager</v>
      </c>
      <c r="BM1635" s="60" t="str">
        <f aca="false">IF(BD1635&lt;=0,"",IF(CG1635="Aussen","Aussenlager",IF(CG1635="-","Nicht im Lift",IF(BJ1635&gt;=1,"Lift",IF(BJ1635&lt;=0,"Aussenlager","teilweise")))))</f>
        <v>Lift</v>
      </c>
      <c r="BN1635" s="60" t="str">
        <f aca="false">IF(A1635="","",IF(BW1635=1,"Neu; ","")&amp;IF(AND(BW1635=0,BR1635&lt;0),"negativer Bestand (Export "&amp;BR1635&amp;"); ","")&amp;IF(J1635&lt;=0,"Kein Verbrauch; ","")&amp;IF(CR1635&gt;0,"Lift "&amp;W1635&amp;" lt. Liftbericht (Fach "&amp;X1635&amp;" Stk); ",IF(CB1635=1,"Gebinde geschätzt ("&amp;T1635&amp;"); ",IF(CA1635=1,"Lose – Tablare geschätzt; ","")))&amp;IF(H1635&gt;AW1635,"Überbestand "&amp;ROUND(H1635-AW1635,0)&amp;" Stk / CHF "&amp;ROUND((H1635-AW1635)*G1635,0)&amp;"; ","")&amp;IF(AND(CI1635=1,CJ1635&lt;CK1635),"MAX &lt; MB+LG; ","")&amp;IF(AND(CQ1635&gt;0,CP1635*10&gt;CQ1635),"zu hoch für Tablar; ","")&amp;IF(AND(BW1635=0,OR(CI1635=1,AB1635&lt;&gt;"",U1635&lt;&gt;"",V1635&lt;&gt;"",AC1635&lt;&gt;"")),"manuell übersteuert; ","")&amp;IF(AND(CA1635=0,R1635=0),"Gebinde unbekannt / Stellmass fehlt; ","")&amp;IF(AND(CA1635=0,N(V1635)&lt;=0,N(Q1635)&lt;=0),"Menge pro Gebinde fehlt (Ist = 1 Gebinde); ","")&amp;BV1635)</f>
        <v>Kein Verbrauch; Gebinde geschätzt (Mittel); Menge pro Gebinde fehlt (Ist = 1 Gebinde); nur im Artikelstamm (Bestand 23.06.2026)</v>
      </c>
      <c r="BO1635" s="60"/>
      <c r="BP1635" s="60"/>
      <c r="BQ1635" s="67"/>
      <c r="BR1635" s="62" t="n">
        <v>1</v>
      </c>
      <c r="BS1635" s="62" t="n">
        <v>0</v>
      </c>
      <c r="BT1635" s="61" t="n">
        <v>0</v>
      </c>
      <c r="BU1635" s="62" t="n">
        <v>0</v>
      </c>
      <c r="BV1635" s="60" t="s">
        <v>2617</v>
      </c>
      <c r="BW1635" s="65" t="n">
        <v>0</v>
      </c>
      <c r="BX1635" s="65" t="n">
        <v>1635</v>
      </c>
      <c r="BY1635" s="60" t="str">
        <f aca="false">IF(U1635&lt;&gt;"",UPPER(TRIM(U1635)),IF(CB1635=1,UPPER(VLOOKUP(T1635,Parameter!$I$27:$K$29,2,0)),IF(P1635="","LOSE",P1635)))</f>
        <v>S61</v>
      </c>
      <c r="BZ1635" s="62" t="n">
        <f aca="false">IF(BY1635="LOSE",1,IF(N(V1635)&gt;0,V1635,IF(CB1635=1,MAX(1,N(VLOOKUP(T1635,Parameter!$I$27:$K$29,3,0)),H1635,N(N1635)),IF(N(Q1635)&gt;0,Q1635,MAX(1,H1635)))))</f>
        <v>5</v>
      </c>
      <c r="CA1635" s="65" t="n">
        <f aca="false">IF(BY1635="LOSE",1,0)</f>
        <v>0</v>
      </c>
      <c r="CB1635" s="65" t="n">
        <f aca="false">IF(AND(U1635="",OR(P1635="",P1635="LOSE"),T1635&lt;&gt;"",N(S1635)&lt;=0,ISNUMBER(MATCH(T1635,Parameter!$I$27:$I$29,0))),1,0)</f>
        <v>1</v>
      </c>
      <c r="CC1635" s="65" t="n">
        <f aca="false">IF(CR1635&gt;0,INDEX(Parameter!$H$5:$H$7,W1635)/INDEX(Parameter!$E$5:$E$7,W1635),IF(AND(CA1635=0,N(IFERROR(VLOOKUP(BY1635,'Gebinde-Kategorie'!$A$5:$N$45,14,0),0))&gt;0),VLOOKUP(BY1635,'Gebinde-Kategorie'!$A$5:$N$45,14,0)*10+Parameter!$M$23,Parameter!$M$24))</f>
        <v>145</v>
      </c>
      <c r="CD1635" s="60" t="str">
        <f aca="false">IF(AND(Parameter!$B$19="Ja",E1635&lt;&gt;"",ISNUMBER(MATCH(E1635,Parameter!$I$35:$I$52,0))),VLOOKUP(E1635,Parameter!$I$35:$J$52,2,0),IFERROR(VLOOKUP(D1635,Parameter!$A$35:$C$64,2,0),"Nein"))</f>
        <v>2+3</v>
      </c>
      <c r="CE1635" s="64" t="n">
        <f aca="false">IF(CA1635=0,0,IF(N(S1635)&gt;0,S1635,IFERROR(VLOOKUP(D1635,Parameter!$A$35:$C$64,3,0)+0,0)))</f>
        <v>0</v>
      </c>
      <c r="CF1635" s="60" t="n">
        <f aca="false">IF(AB1635&lt;&gt;"",AB1635,AA1635)</f>
        <v>3</v>
      </c>
      <c r="CG1635" s="60" t="str">
        <f aca="false">IF(OR(CF1635=1,CF1635=2,CF1635=3),IF(Parameter!$E$27="Ja","LIFT",IF(CF1635=1,"L1","L23")),IF(CF1635="Aussen","Aussen","-"))</f>
        <v>LIFT</v>
      </c>
      <c r="CH1635" s="71" t="n">
        <f aca="false">IF(N(AC1635)&gt;0,AC1635,0)</f>
        <v>0</v>
      </c>
      <c r="CI1635" s="65" t="n">
        <f aca="false">IF(ISNUMBER(AF1635),1,0)</f>
        <v>0</v>
      </c>
      <c r="CJ1635" s="62" t="n">
        <f aca="false">N(AF1635)</f>
        <v>0</v>
      </c>
      <c r="CK1635" s="62" t="n">
        <f aca="false">N(M1635)+N(N1635)</f>
        <v>5</v>
      </c>
      <c r="CL1635" s="62" t="n">
        <f aca="false">N(M1635)</f>
        <v>0</v>
      </c>
      <c r="CM1635" s="62" t="n">
        <f aca="false">N(N1635)</f>
        <v>5</v>
      </c>
      <c r="CN1635" s="62" t="n">
        <f aca="false">ROUNDUP(H1635/BZ1635,0)</f>
        <v>1</v>
      </c>
      <c r="CO1635" s="62" t="n">
        <f aca="false">ROUNDUP(CJ1635/BZ1635,0)</f>
        <v>0</v>
      </c>
      <c r="CP1635" s="65" t="n">
        <f aca="false">IF(CA1635=1,0,IFERROR(VLOOKUP(BY1635,'Gebinde-Kategorie'!$A$5:$N$45,5,0)+0,0))</f>
        <v>11</v>
      </c>
      <c r="CQ1635" s="65" t="n">
        <f aca="false">IFERROR(IF(OR(CF1635=1,CF1635=2,CF1635=3),N(INDEX(Parameter!$I$5:$I$7,CF1635)),0),0)</f>
        <v>0</v>
      </c>
      <c r="CR1635" s="64" t="n">
        <f aca="false">IF(AND(Parameter!$B$21="Ja",ISNUMBER(W1635),N(X1635)&gt;0),IFERROR(N(INDEX(Parameter!$L$5:$L$7,W1635))*INDEX(Parameter!$E$5:$E$7,W1635)*X1635/SUMIFS($X$7:$X$1843,$W$7:$W$1843,W1635),0),0)</f>
        <v>0</v>
      </c>
      <c r="CS1635" s="62" t="n">
        <f aca="false">IF(AND(OR(CG1635="L1",CG1635="L23",CG1635="LIFT"),H1635&gt;0),CC1635*IF(CR1635&gt;0,CR1635*MAX(1,H1635/X1635),IF(CA1635=1,CE1635,IF(R1635&gt;0,CN1635/R1635,0))/MAX(0.1,N(Parameter!$M$21))),"")</f>
        <v>12.0833333333333</v>
      </c>
      <c r="CT1635" s="64" t="n">
        <f aca="false">IF(CS1635="","",J1635/H1635)</f>
        <v>0</v>
      </c>
      <c r="CU1635" s="62" t="n">
        <f aca="false">IF(CS1635="","",H1635*G1635)</f>
        <v>3705</v>
      </c>
      <c r="CV1635" s="63" t="n">
        <f aca="false">IF(CS1635="","",(CL1635+ROUNDUP(CL1635+MAX(CM1635,2*(J1635/MAX(0.1,N(Einkauf!$C$6))-CL1635)),0))/2)</f>
        <v>2.5</v>
      </c>
      <c r="CW1635" s="62" t="n">
        <f aca="false">IF(CS1635="","",MAX(0,H1635-CV1635)*G1635)</f>
        <v>0</v>
      </c>
      <c r="CX1635" s="62" t="n">
        <f aca="false">IF(CS1635="","",CS1635*MAX(0,1-CV1635/H1635))</f>
        <v>0</v>
      </c>
      <c r="CY1635" s="64" t="n">
        <f aca="false">IF(CS1635="","",PERCENTRANK($CS$7:$CS$1843,CS1635)+PERCENTRANK($CU$7:$CU$1843,CU1635)+1-PERCENTRANK($CT$7:$CT$1843,CT1635))</f>
        <v>2.528</v>
      </c>
      <c r="CZ1635" s="72" t="n">
        <f aca="false">IF(CS1635="","",CHOOSE(MATCH(Einkauf!$C$5,Parameter!$G$23:$G$27,0),CY1635,CS1635,CU1635,-CT1635,CW1635)+ROW()/1000000000)</f>
        <v>2.528001635</v>
      </c>
    </row>
    <row r="1636" customFormat="false" ht="15" hidden="false" customHeight="false" outlineLevel="0" collapsed="false">
      <c r="A1636" s="60" t="s">
        <v>2888</v>
      </c>
      <c r="B1636" s="60" t="s">
        <v>2889</v>
      </c>
      <c r="C1636" s="60" t="s">
        <v>206</v>
      </c>
      <c r="D1636" s="60" t="s">
        <v>226</v>
      </c>
      <c r="E1636" s="60"/>
      <c r="F1636" s="60"/>
      <c r="G1636" s="61" t="n">
        <v>350</v>
      </c>
      <c r="H1636" s="62" t="n">
        <f aca="false">MAX(0,IF(AND(Parameter!$B$21="Ja",ISNUMBER(Y1636)),Y1636,IF(Parameter!$B$20="Jahresanfang 2025 + Export",BS1636+BR1636,BR1636)))</f>
        <v>4</v>
      </c>
      <c r="I1636" s="62" t="n">
        <f aca="false">H1636*G1636</f>
        <v>1400</v>
      </c>
      <c r="J1636" s="62" t="n">
        <f aca="false">BU1636*Parameter!$B$18</f>
        <v>0</v>
      </c>
      <c r="K1636" s="63"/>
      <c r="L1636" s="64"/>
      <c r="M1636" s="62" t="n">
        <v>0</v>
      </c>
      <c r="N1636" s="62" t="n">
        <v>1</v>
      </c>
      <c r="O1636" s="65" t="n">
        <v>0</v>
      </c>
      <c r="P1636" s="60" t="s">
        <v>210</v>
      </c>
      <c r="Q1636" s="62"/>
      <c r="R1636" s="65" t="n">
        <f aca="false">IF(CA1636=1,0,IFERROR(VLOOKUP(BY1636,'Gebinde-Kategorie'!$A$5:$N$45,13,0)+0,0))</f>
        <v>26</v>
      </c>
      <c r="S1636" s="66"/>
      <c r="T1636" s="67" t="s">
        <v>317</v>
      </c>
      <c r="U1636" s="67"/>
      <c r="V1636" s="67"/>
      <c r="W1636" s="60"/>
      <c r="X1636" s="62"/>
      <c r="Y1636" s="62"/>
      <c r="Z1636" s="60" t="n">
        <v>3</v>
      </c>
      <c r="AA1636" s="60" t="n">
        <f aca="false">IF(A1636="","",IF(AND(Parameter!$B$21="Ja",ISNUMBER(W1636)),W1636,IF(AND(Parameter!$E$27="Ja",ISNUMBER(Z1636),CD1636&lt;&gt;"Nein"),Z1636,IF(CD1636="2+3",IF(ISNUMBER(SEARCH("grosser Artikel",BV1636)),2,IFERROR(VLOOKUP(BY1636,Parameter!$F$35:$G$64,2,0),2)),IF(OR(CD1636="Nein",CD1636=""),"-",CD1636)))))</f>
        <v>3</v>
      </c>
      <c r="AB1636" s="67"/>
      <c r="AC1636" s="68"/>
      <c r="AD1636" s="62" t="n">
        <f aca="false">AW1636</f>
        <v>1</v>
      </c>
      <c r="AE1636" s="62" t="n">
        <f aca="false">MAX(AW1636,H1636)</f>
        <v>4</v>
      </c>
      <c r="AF1636" s="69"/>
      <c r="AG1636" s="62" t="n">
        <f aca="false">IF(LEFT(Cockpit!$C$5,1)="A",H1636,IF(Parameter!$E$30="MAX-Bestand",IF(CI1636=1,CJ1636,IF(LEFT(Cockpit!$C$5,1)="B",AM1636,MAX(AM1636,H1636))),ROUNDUP(AK1636,0)))</f>
        <v>4</v>
      </c>
      <c r="AH1636" s="62" t="n">
        <f aca="false">IF(CA1636=1,0,ROUNDUP(AG1636/BZ1636,0))</f>
        <v>1</v>
      </c>
      <c r="AI1636" s="64" t="n">
        <f aca="false">IF(CR1636&gt;0,CR1636*MAX(1,AG1636/X1636),IF(CA1636=1,IF(AG1636&lt;=0,0,CE1636*MAX(1,IF(H1636&gt;0,AG1636/H1636,1))),IF(R1636&gt;0,AH1636/R1636,0))/MAX(0.1,N(Parameter!$M$21)))</f>
        <v>0.0384615384615385</v>
      </c>
      <c r="AJ1636" s="62" t="n">
        <f aca="false">AI1636*CC1636</f>
        <v>5.96153846153846</v>
      </c>
      <c r="AK1636" s="63" t="n">
        <f aca="false">IF(LEFT(Cockpit!$C$5,1)="A",H1636,IF(CI1636=1,(CL1636+CJ1636)/2,IF(LEFT(Cockpit!$C$5,1)="B",(CL1636+AM1636)/2,MAX((CL1636+AM1636)/2,H1636))))</f>
        <v>4</v>
      </c>
      <c r="AL1636" s="62" t="n">
        <f aca="false">AK1636*G1636</f>
        <v>1400</v>
      </c>
      <c r="AM1636" s="62" t="n">
        <f aca="false">ROUNDUP(CL1636+MAX(CM1636,2*(J1636/IF(CH1636&gt;0,CH1636,MAX(0.1,N(Cockpit!$C$6)))-CL1636)),0)</f>
        <v>1</v>
      </c>
      <c r="AN1636" s="63" t="n">
        <f aca="false">IF(AJ1636&gt;0,J1636/AJ1636,-1)</f>
        <v>0</v>
      </c>
      <c r="AO1636" s="63" t="n">
        <f aca="false">IF(AND(OR(CG1636="L1",CG1636="L23",CG1636="LIFT"),AJ1636&gt;0),SUMIFS($AJ$7:$AJ$1843,$CG$7:$CG$1843,CG1636,$AN$7:$AN$1843,"&gt;"&amp;AN1636)+SUMIFS($AJ$7:$AJ$1843,$CG$7:$CG$1843,CG1636,$AN$7:$AN$1843,AN1636,$BX$7:$BX$1843,"&lt;="&amp;BX1636),"")</f>
        <v>30963.3843851535</v>
      </c>
      <c r="AP1636" s="70" t="n">
        <f aca="false">IF(AO1636="",0,MAX(0,MIN(1,(IF(CG1636="L1",Parameter!$H$5,IF(CG1636="L23",Parameter!$H$6+Parameter!$H$7,Parameter!$H$5+Parameter!$H$6+Parameter!$H$7))-(AO1636-AJ1636))/AJ1636)))</f>
        <v>1</v>
      </c>
      <c r="AQ1636" s="62" t="n">
        <f aca="false">IF(LEFT(Cockpit!$I$5,1)="A",H1636,IF(Parameter!$E$30="MAX-Bestand",IF(CI1636=1,CJ1636,IF(LEFT(Cockpit!$I$5,1)="B",AW1636,MAX(AW1636,H1636))),ROUNDUP(AU1636,0)))</f>
        <v>4</v>
      </c>
      <c r="AR1636" s="62" t="n">
        <f aca="false">IF(CA1636=1,0,ROUNDUP(AQ1636/BZ1636,0))</f>
        <v>1</v>
      </c>
      <c r="AS1636" s="64" t="n">
        <f aca="false">IF(CR1636&gt;0,CR1636*MAX(1,AQ1636/X1636),IF(CA1636=1,IF(AQ1636&lt;=0,0,CE1636*MAX(1,IF(H1636&gt;0,AQ1636/H1636,1))),IF(R1636&gt;0,AR1636/R1636,0))/MAX(0.1,N(Parameter!$M$21)))</f>
        <v>0.0384615384615385</v>
      </c>
      <c r="AT1636" s="62" t="n">
        <f aca="false">AS1636*CC1636</f>
        <v>5.96153846153846</v>
      </c>
      <c r="AU1636" s="63" t="n">
        <f aca="false">IF(LEFT(Cockpit!$I$5,1)="A",H1636,IF(CI1636=1,(CL1636+CJ1636)/2,IF(LEFT(Cockpit!$I$5,1)="B",(CL1636+AW1636)/2,MAX((CL1636+AW1636)/2,H1636))))</f>
        <v>4</v>
      </c>
      <c r="AV1636" s="62" t="n">
        <f aca="false">AU1636*G1636</f>
        <v>1400</v>
      </c>
      <c r="AW1636" s="62" t="n">
        <f aca="false">ROUNDUP(CL1636+MAX(CM1636,2*(J1636/IF(CH1636&gt;0,CH1636,MAX(0.1,N(Cockpit!$I$6)))-CL1636)),0)</f>
        <v>1</v>
      </c>
      <c r="AX1636" s="63" t="n">
        <f aca="false">IF(AT1636&gt;0,J1636/AT1636,-1)</f>
        <v>0</v>
      </c>
      <c r="AY1636" s="63" t="n">
        <f aca="false">IF(AND(OR(CG1636="L1",CG1636="L23",CG1636="LIFT"),AT1636&gt;0),SUMIFS($AT$7:$AT$1843,$CG$7:$CG$1843,CG1636,$AX$7:$AX$1843,"&gt;"&amp;AX1636)+SUMIFS($AT$7:$AT$1843,$CG$7:$CG$1843,CG1636,$AX$7:$AX$1843,AX1636,$BX$7:$BX$1843,"&lt;="&amp;BX1636),"")</f>
        <v>37283.2409019888</v>
      </c>
      <c r="AZ1636" s="70" t="n">
        <f aca="false">IF(AY1636="",0,MAX(0,MIN(1,(IF(CG1636="L1",Parameter!$H$5,IF(CG1636="L23",Parameter!$H$6+Parameter!$H$7,Parameter!$H$5+Parameter!$H$6+Parameter!$H$7))-(AY1636-AT1636))/AT1636)))</f>
        <v>0</v>
      </c>
      <c r="BA1636" s="62" t="n">
        <f aca="false">IF(LEFT(Cockpit!$O$5,1)="A",H1636,IF(Parameter!$E$30="MAX-Bestand",IF(CI1636=1,CJ1636,IF(LEFT(Cockpit!$O$5,1)="B",BG1636,MAX(BG1636,H1636))),ROUNDUP(BE1636,0)))</f>
        <v>1</v>
      </c>
      <c r="BB1636" s="62" t="n">
        <f aca="false">IF(CA1636=1,0,ROUNDUP(BA1636/BZ1636,0))</f>
        <v>1</v>
      </c>
      <c r="BC1636" s="64" t="n">
        <f aca="false">IF(CR1636&gt;0,CR1636*MAX(1,BA1636/X1636),IF(CA1636=1,IF(BA1636&lt;=0,0,CE1636*MAX(1,IF(H1636&gt;0,BA1636/H1636,1))),IF(R1636&gt;0,BB1636/R1636,0))/MAX(0.1,N(Parameter!$M$21)))</f>
        <v>0.0384615384615385</v>
      </c>
      <c r="BD1636" s="62" t="n">
        <f aca="false">BC1636*CC1636</f>
        <v>5.96153846153846</v>
      </c>
      <c r="BE1636" s="63" t="n">
        <f aca="false">IF(LEFT(Cockpit!$O$5,1)="A",H1636,IF(CI1636=1,(CL1636+CJ1636)/2,IF(LEFT(Cockpit!$O$5,1)="B",(CL1636+BG1636)/2,MAX((CL1636+BG1636)/2,H1636))))</f>
        <v>0.5</v>
      </c>
      <c r="BF1636" s="62" t="n">
        <f aca="false">BE1636*G1636</f>
        <v>175</v>
      </c>
      <c r="BG1636" s="62" t="n">
        <f aca="false">ROUNDUP(CL1636+MAX(CM1636,2*(J1636/IF(CH1636&gt;0,CH1636,MAX(0.1,N(Cockpit!$O$6)))-CL1636)),0)</f>
        <v>1</v>
      </c>
      <c r="BH1636" s="63" t="n">
        <f aca="false">IF(BD1636&gt;0,J1636/BD1636,-1)</f>
        <v>0</v>
      </c>
      <c r="BI1636" s="63" t="n">
        <f aca="false">IF(AND(OR(CG1636="L1",CG1636="L23",CG1636="LIFT"),BD1636&gt;0),SUMIFS($BD$7:$BD$1843,$CG$7:$CG$1843,CG1636,$BH$7:$BH$1843,"&gt;"&amp;BH1636)+SUMIFS($BD$7:$BD$1843,$CG$7:$CG$1843,CG1636,$BH$7:$BH$1843,BH1636,$BX$7:$BX$1843,"&lt;="&amp;BX1636),"")</f>
        <v>31192.6821775212</v>
      </c>
      <c r="BJ1636" s="70" t="n">
        <f aca="false">IF(BI1636="",0,MAX(0,MIN(1,(IF(CG1636="L1",Parameter!$H$5,IF(CG1636="L23",Parameter!$H$6+Parameter!$H$7,Parameter!$H$5+Parameter!$H$6+Parameter!$H$7))-(BI1636-BD1636))/BD1636)))</f>
        <v>1</v>
      </c>
      <c r="BK1636" s="60" t="str">
        <f aca="false">IF(AJ1636&lt;=0,"",IF(CG1636="Aussen","Aussenlager",IF(CG1636="-","Nicht im Lift",IF(AP1636&gt;=1,"Lift",IF(AP1636&lt;=0,"Aussenlager","teilweise")))))</f>
        <v>Lift</v>
      </c>
      <c r="BL1636" s="60" t="str">
        <f aca="false">IF(AT1636&lt;=0,"",IF(CG1636="Aussen","Aussenlager",IF(CG1636="-","Nicht im Lift",IF(AZ1636&gt;=1,"Lift",IF(AZ1636&lt;=0,"Aussenlager","teilweise")))))</f>
        <v>Aussenlager</v>
      </c>
      <c r="BM1636" s="60" t="str">
        <f aca="false">IF(BD1636&lt;=0,"",IF(CG1636="Aussen","Aussenlager",IF(CG1636="-","Nicht im Lift",IF(BJ1636&gt;=1,"Lift",IF(BJ1636&lt;=0,"Aussenlager","teilweise")))))</f>
        <v>Lift</v>
      </c>
      <c r="BN1636" s="60" t="str">
        <f aca="false">IF(A1636="","",IF(BW1636=1,"Neu; ","")&amp;IF(AND(BW1636=0,BR1636&lt;0),"negativer Bestand (Export "&amp;BR1636&amp;"); ","")&amp;IF(J1636&lt;=0,"Kein Verbrauch; ","")&amp;IF(CR1636&gt;0,"Lift "&amp;W1636&amp;" lt. Liftbericht (Fach "&amp;X1636&amp;" Stk); ",IF(CB1636=1,"Gebinde geschätzt ("&amp;T1636&amp;"); ",IF(CA1636=1,"Lose – Tablare geschätzt; ","")))&amp;IF(H1636&gt;AW1636,"Überbestand "&amp;ROUND(H1636-AW1636,0)&amp;" Stk / CHF "&amp;ROUND((H1636-AW1636)*G1636,0)&amp;"; ","")&amp;IF(AND(CI1636=1,CJ1636&lt;CK1636),"MAX &lt; MB+LG; ","")&amp;IF(AND(CQ1636&gt;0,CP1636*10&gt;CQ1636),"zu hoch für Tablar; ","")&amp;IF(AND(BW1636=0,OR(CI1636=1,AB1636&lt;&gt;"",U1636&lt;&gt;"",V1636&lt;&gt;"",AC1636&lt;&gt;"")),"manuell übersteuert; ","")&amp;IF(AND(CA1636=0,R1636=0),"Gebinde unbekannt / Stellmass fehlt; ","")&amp;IF(AND(CA1636=0,N(V1636)&lt;=0,N(Q1636)&lt;=0),"Menge pro Gebinde fehlt (Ist = 1 Gebinde); ","")&amp;BV1636)</f>
        <v>Kein Verbrauch; Gebinde geschätzt (Klein); Überbestand 3 Stk / CHF 1050; Menge pro Gebinde fehlt (Ist = 1 Gebinde); nur im Artikelstamm (Bestand 23.06.2026)</v>
      </c>
      <c r="BO1636" s="60"/>
      <c r="BP1636" s="60"/>
      <c r="BQ1636" s="67"/>
      <c r="BR1636" s="62" t="n">
        <v>4</v>
      </c>
      <c r="BS1636" s="62" t="n">
        <v>0</v>
      </c>
      <c r="BT1636" s="61" t="n">
        <v>0</v>
      </c>
      <c r="BU1636" s="62" t="n">
        <v>0</v>
      </c>
      <c r="BV1636" s="60" t="s">
        <v>2617</v>
      </c>
      <c r="BW1636" s="65" t="n">
        <v>0</v>
      </c>
      <c r="BX1636" s="65" t="n">
        <v>1636</v>
      </c>
      <c r="BY1636" s="60" t="str">
        <f aca="false">IF(U1636&lt;&gt;"",UPPER(TRIM(U1636)),IF(CB1636=1,UPPER(VLOOKUP(T1636,Parameter!$I$27:$K$29,2,0)),IF(P1636="","LOSE",P1636)))</f>
        <v>S51</v>
      </c>
      <c r="BZ1636" s="62" t="n">
        <f aca="false">IF(BY1636="LOSE",1,IF(N(V1636)&gt;0,V1636,IF(CB1636=1,MAX(1,N(VLOOKUP(T1636,Parameter!$I$27:$K$29,3,0)),H1636,N(N1636)),IF(N(Q1636)&gt;0,Q1636,MAX(1,H1636)))))</f>
        <v>20</v>
      </c>
      <c r="CA1636" s="65" t="n">
        <f aca="false">IF(BY1636="LOSE",1,0)</f>
        <v>0</v>
      </c>
      <c r="CB1636" s="65" t="n">
        <f aca="false">IF(AND(U1636="",OR(P1636="",P1636="LOSE"),T1636&lt;&gt;"",N(S1636)&lt;=0,ISNUMBER(MATCH(T1636,Parameter!$I$27:$I$29,0))),1,0)</f>
        <v>1</v>
      </c>
      <c r="CC1636" s="65" t="n">
        <f aca="false">IF(CR1636&gt;0,INDEX(Parameter!$H$5:$H$7,W1636)/INDEX(Parameter!$E$5:$E$7,W1636),IF(AND(CA1636=0,N(IFERROR(VLOOKUP(BY1636,'Gebinde-Kategorie'!$A$5:$N$45,14,0),0))&gt;0),VLOOKUP(BY1636,'Gebinde-Kategorie'!$A$5:$N$45,14,0)*10+Parameter!$M$23,Parameter!$M$24))</f>
        <v>155</v>
      </c>
      <c r="CD1636" s="60" t="str">
        <f aca="false">IF(AND(Parameter!$B$19="Ja",E1636&lt;&gt;"",ISNUMBER(MATCH(E1636,Parameter!$I$35:$I$52,0))),VLOOKUP(E1636,Parameter!$I$35:$J$52,2,0),IFERROR(VLOOKUP(D1636,Parameter!$A$35:$C$64,2,0),"Nein"))</f>
        <v>2+3</v>
      </c>
      <c r="CE1636" s="64" t="n">
        <f aca="false">IF(CA1636=0,0,IF(N(S1636)&gt;0,S1636,IFERROR(VLOOKUP(D1636,Parameter!$A$35:$C$64,3,0)+0,0)))</f>
        <v>0</v>
      </c>
      <c r="CF1636" s="60" t="n">
        <f aca="false">IF(AB1636&lt;&gt;"",AB1636,AA1636)</f>
        <v>3</v>
      </c>
      <c r="CG1636" s="60" t="str">
        <f aca="false">IF(OR(CF1636=1,CF1636=2,CF1636=3),IF(Parameter!$E$27="Ja","LIFT",IF(CF1636=1,"L1","L23")),IF(CF1636="Aussen","Aussen","-"))</f>
        <v>LIFT</v>
      </c>
      <c r="CH1636" s="71" t="n">
        <f aca="false">IF(N(AC1636)&gt;0,AC1636,0)</f>
        <v>0</v>
      </c>
      <c r="CI1636" s="65" t="n">
        <f aca="false">IF(ISNUMBER(AF1636),1,0)</f>
        <v>0</v>
      </c>
      <c r="CJ1636" s="62" t="n">
        <f aca="false">N(AF1636)</f>
        <v>0</v>
      </c>
      <c r="CK1636" s="62" t="n">
        <f aca="false">N(M1636)+N(N1636)</f>
        <v>1</v>
      </c>
      <c r="CL1636" s="62" t="n">
        <f aca="false">N(M1636)</f>
        <v>0</v>
      </c>
      <c r="CM1636" s="62" t="n">
        <f aca="false">N(N1636)</f>
        <v>1</v>
      </c>
      <c r="CN1636" s="62" t="n">
        <f aca="false">ROUNDUP(H1636/BZ1636,0)</f>
        <v>1</v>
      </c>
      <c r="CO1636" s="62" t="n">
        <f aca="false">ROUNDUP(CJ1636/BZ1636,0)</f>
        <v>0</v>
      </c>
      <c r="CP1636" s="65" t="n">
        <f aca="false">IF(CA1636=1,0,IFERROR(VLOOKUP(BY1636,'Gebinde-Kategorie'!$A$5:$N$45,5,0)+0,0))</f>
        <v>11</v>
      </c>
      <c r="CQ1636" s="65" t="n">
        <f aca="false">IFERROR(IF(OR(CF1636=1,CF1636=2,CF1636=3),N(INDEX(Parameter!$I$5:$I$7,CF1636)),0),0)</f>
        <v>0</v>
      </c>
      <c r="CR1636" s="64" t="n">
        <f aca="false">IF(AND(Parameter!$B$21="Ja",ISNUMBER(W1636),N(X1636)&gt;0),IFERROR(N(INDEX(Parameter!$L$5:$L$7,W1636))*INDEX(Parameter!$E$5:$E$7,W1636)*X1636/SUMIFS($X$7:$X$1843,$W$7:$W$1843,W1636),0),0)</f>
        <v>0</v>
      </c>
      <c r="CS1636" s="62" t="n">
        <f aca="false">IF(AND(OR(CG1636="L1",CG1636="L23",CG1636="LIFT"),H1636&gt;0),CC1636*IF(CR1636&gt;0,CR1636*MAX(1,H1636/X1636),IF(CA1636=1,CE1636,IF(R1636&gt;0,CN1636/R1636,0))/MAX(0.1,N(Parameter!$M$21))),"")</f>
        <v>5.96153846153846</v>
      </c>
      <c r="CT1636" s="64" t="n">
        <f aca="false">IF(CS1636="","",J1636/H1636)</f>
        <v>0</v>
      </c>
      <c r="CU1636" s="62" t="n">
        <f aca="false">IF(CS1636="","",H1636*G1636)</f>
        <v>1400</v>
      </c>
      <c r="CV1636" s="63" t="n">
        <f aca="false">IF(CS1636="","",(CL1636+ROUNDUP(CL1636+MAX(CM1636,2*(J1636/MAX(0.1,N(Einkauf!$C$6))-CL1636)),0))/2)</f>
        <v>0.5</v>
      </c>
      <c r="CW1636" s="62" t="n">
        <f aca="false">IF(CS1636="","",MAX(0,H1636-CV1636)*G1636)</f>
        <v>1225</v>
      </c>
      <c r="CX1636" s="62" t="n">
        <f aca="false">IF(CS1636="","",CS1636*MAX(0,1-CV1636/H1636))</f>
        <v>5.21634615384615</v>
      </c>
      <c r="CY1636" s="64" t="n">
        <f aca="false">IF(CS1636="","",PERCENTRANK($CS$7:$CS$1843,CS1636)+PERCENTRANK($CU$7:$CU$1843,CU1636)+1-PERCENTRANK($CT$7:$CT$1843,CT1636))</f>
        <v>2.064</v>
      </c>
      <c r="CZ1636" s="72" t="n">
        <f aca="false">IF(CS1636="","",CHOOSE(MATCH(Einkauf!$C$5,Parameter!$G$23:$G$27,0),CY1636,CS1636,CU1636,-CT1636,CW1636)+ROW()/1000000000)</f>
        <v>2.064001636</v>
      </c>
    </row>
    <row r="1637" customFormat="false" ht="15" hidden="false" customHeight="false" outlineLevel="0" collapsed="false">
      <c r="A1637" s="60" t="s">
        <v>2890</v>
      </c>
      <c r="B1637" s="60" t="s">
        <v>416</v>
      </c>
      <c r="C1637" s="60" t="s">
        <v>206</v>
      </c>
      <c r="D1637" s="60" t="s">
        <v>226</v>
      </c>
      <c r="E1637" s="60"/>
      <c r="F1637" s="60"/>
      <c r="G1637" s="61" t="n">
        <v>100</v>
      </c>
      <c r="H1637" s="62" t="n">
        <f aca="false">MAX(0,IF(AND(Parameter!$B$21="Ja",ISNUMBER(Y1637)),Y1637,IF(Parameter!$B$20="Jahresanfang 2025 + Export",BS1637+BR1637,BR1637)))</f>
        <v>10</v>
      </c>
      <c r="I1637" s="62" t="n">
        <f aca="false">H1637*G1637</f>
        <v>1000</v>
      </c>
      <c r="J1637" s="62" t="n">
        <f aca="false">BU1637*Parameter!$B$18</f>
        <v>0</v>
      </c>
      <c r="K1637" s="63"/>
      <c r="L1637" s="64"/>
      <c r="M1637" s="62" t="n">
        <v>0</v>
      </c>
      <c r="N1637" s="62" t="n">
        <v>4</v>
      </c>
      <c r="O1637" s="65" t="n">
        <v>35</v>
      </c>
      <c r="P1637" s="60" t="s">
        <v>210</v>
      </c>
      <c r="Q1637" s="62"/>
      <c r="R1637" s="65" t="n">
        <f aca="false">IF(CA1637=1,0,IFERROR(VLOOKUP(BY1637,'Gebinde-Kategorie'!$A$5:$N$45,13,0)+0,0))</f>
        <v>26</v>
      </c>
      <c r="S1637" s="66"/>
      <c r="T1637" s="67" t="s">
        <v>317</v>
      </c>
      <c r="U1637" s="67"/>
      <c r="V1637" s="67"/>
      <c r="W1637" s="60"/>
      <c r="X1637" s="62"/>
      <c r="Y1637" s="62"/>
      <c r="Z1637" s="60" t="n">
        <v>3</v>
      </c>
      <c r="AA1637" s="60" t="n">
        <f aca="false">IF(A1637="","",IF(AND(Parameter!$B$21="Ja",ISNUMBER(W1637)),W1637,IF(AND(Parameter!$E$27="Ja",ISNUMBER(Z1637),CD1637&lt;&gt;"Nein"),Z1637,IF(CD1637="2+3",IF(ISNUMBER(SEARCH("grosser Artikel",BV1637)),2,IFERROR(VLOOKUP(BY1637,Parameter!$F$35:$G$64,2,0),2)),IF(OR(CD1637="Nein",CD1637=""),"-",CD1637)))))</f>
        <v>3</v>
      </c>
      <c r="AB1637" s="67"/>
      <c r="AC1637" s="68"/>
      <c r="AD1637" s="62" t="n">
        <f aca="false">AW1637</f>
        <v>4</v>
      </c>
      <c r="AE1637" s="62" t="n">
        <f aca="false">MAX(AW1637,H1637)</f>
        <v>10</v>
      </c>
      <c r="AF1637" s="69"/>
      <c r="AG1637" s="62" t="n">
        <f aca="false">IF(LEFT(Cockpit!$C$5,1)="A",H1637,IF(Parameter!$E$30="MAX-Bestand",IF(CI1637=1,CJ1637,IF(LEFT(Cockpit!$C$5,1)="B",AM1637,MAX(AM1637,H1637))),ROUNDUP(AK1637,0)))</f>
        <v>10</v>
      </c>
      <c r="AH1637" s="62" t="n">
        <f aca="false">IF(CA1637=1,0,ROUNDUP(AG1637/BZ1637,0))</f>
        <v>1</v>
      </c>
      <c r="AI1637" s="64" t="n">
        <f aca="false">IF(CR1637&gt;0,CR1637*MAX(1,AG1637/X1637),IF(CA1637=1,IF(AG1637&lt;=0,0,CE1637*MAX(1,IF(H1637&gt;0,AG1637/H1637,1))),IF(R1637&gt;0,AH1637/R1637,0))/MAX(0.1,N(Parameter!$M$21)))</f>
        <v>0.0384615384615385</v>
      </c>
      <c r="AJ1637" s="62" t="n">
        <f aca="false">AI1637*CC1637</f>
        <v>5.96153846153846</v>
      </c>
      <c r="AK1637" s="63" t="n">
        <f aca="false">IF(LEFT(Cockpit!$C$5,1)="A",H1637,IF(CI1637=1,(CL1637+CJ1637)/2,IF(LEFT(Cockpit!$C$5,1)="B",(CL1637+AM1637)/2,MAX((CL1637+AM1637)/2,H1637))))</f>
        <v>10</v>
      </c>
      <c r="AL1637" s="62" t="n">
        <f aca="false">AK1637*G1637</f>
        <v>1000</v>
      </c>
      <c r="AM1637" s="62" t="n">
        <f aca="false">ROUNDUP(CL1637+MAX(CM1637,2*(J1637/IF(CH1637&gt;0,CH1637,MAX(0.1,N(Cockpit!$C$6)))-CL1637)),0)</f>
        <v>4</v>
      </c>
      <c r="AN1637" s="63" t="n">
        <f aca="false">IF(AJ1637&gt;0,J1637/AJ1637,-1)</f>
        <v>0</v>
      </c>
      <c r="AO1637" s="63" t="n">
        <f aca="false">IF(AND(OR(CG1637="L1",CG1637="L23",CG1637="LIFT"),AJ1637&gt;0),SUMIFS($AJ$7:$AJ$1843,$CG$7:$CG$1843,CG1637,$AN$7:$AN$1843,"&gt;"&amp;AN1637)+SUMIFS($AJ$7:$AJ$1843,$CG$7:$CG$1843,CG1637,$AN$7:$AN$1843,AN1637,$BX$7:$BX$1843,"&lt;="&amp;BX1637),"")</f>
        <v>30969.345923615</v>
      </c>
      <c r="AP1637" s="70" t="n">
        <f aca="false">IF(AO1637="",0,MAX(0,MIN(1,(IF(CG1637="L1",Parameter!$H$5,IF(CG1637="L23",Parameter!$H$6+Parameter!$H$7,Parameter!$H$5+Parameter!$H$6+Parameter!$H$7))-(AO1637-AJ1637))/AJ1637)))</f>
        <v>1</v>
      </c>
      <c r="AQ1637" s="62" t="n">
        <f aca="false">IF(LEFT(Cockpit!$I$5,1)="A",H1637,IF(Parameter!$E$30="MAX-Bestand",IF(CI1637=1,CJ1637,IF(LEFT(Cockpit!$I$5,1)="B",AW1637,MAX(AW1637,H1637))),ROUNDUP(AU1637,0)))</f>
        <v>10</v>
      </c>
      <c r="AR1637" s="62" t="n">
        <f aca="false">IF(CA1637=1,0,ROUNDUP(AQ1637/BZ1637,0))</f>
        <v>1</v>
      </c>
      <c r="AS1637" s="64" t="n">
        <f aca="false">IF(CR1637&gt;0,CR1637*MAX(1,AQ1637/X1637),IF(CA1637=1,IF(AQ1637&lt;=0,0,CE1637*MAX(1,IF(H1637&gt;0,AQ1637/H1637,1))),IF(R1637&gt;0,AR1637/R1637,0))/MAX(0.1,N(Parameter!$M$21)))</f>
        <v>0.0384615384615385</v>
      </c>
      <c r="AT1637" s="62" t="n">
        <f aca="false">AS1637*CC1637</f>
        <v>5.96153846153846</v>
      </c>
      <c r="AU1637" s="63" t="n">
        <f aca="false">IF(LEFT(Cockpit!$I$5,1)="A",H1637,IF(CI1637=1,(CL1637+CJ1637)/2,IF(LEFT(Cockpit!$I$5,1)="B",(CL1637+AW1637)/2,MAX((CL1637+AW1637)/2,H1637))))</f>
        <v>10</v>
      </c>
      <c r="AV1637" s="62" t="n">
        <f aca="false">AU1637*G1637</f>
        <v>1000</v>
      </c>
      <c r="AW1637" s="62" t="n">
        <f aca="false">ROUNDUP(CL1637+MAX(CM1637,2*(J1637/IF(CH1637&gt;0,CH1637,MAX(0.1,N(Cockpit!$I$6)))-CL1637)),0)</f>
        <v>4</v>
      </c>
      <c r="AX1637" s="63" t="n">
        <f aca="false">IF(AT1637&gt;0,J1637/AT1637,-1)</f>
        <v>0</v>
      </c>
      <c r="AY1637" s="63" t="n">
        <f aca="false">IF(AND(OR(CG1637="L1",CG1637="L23",CG1637="LIFT"),AT1637&gt;0),SUMIFS($AT$7:$AT$1843,$CG$7:$CG$1843,CG1637,$AX$7:$AX$1843,"&gt;"&amp;AX1637)+SUMIFS($AT$7:$AT$1843,$CG$7:$CG$1843,CG1637,$AX$7:$AX$1843,AX1637,$BX$7:$BX$1843,"&lt;="&amp;BX1637),"")</f>
        <v>37289.2024404503</v>
      </c>
      <c r="AZ1637" s="70" t="n">
        <f aca="false">IF(AY1637="",0,MAX(0,MIN(1,(IF(CG1637="L1",Parameter!$H$5,IF(CG1637="L23",Parameter!$H$6+Parameter!$H$7,Parameter!$H$5+Parameter!$H$6+Parameter!$H$7))-(AY1637-AT1637))/AT1637)))</f>
        <v>0</v>
      </c>
      <c r="BA1637" s="62" t="n">
        <f aca="false">IF(LEFT(Cockpit!$O$5,1)="A",H1637,IF(Parameter!$E$30="MAX-Bestand",IF(CI1637=1,CJ1637,IF(LEFT(Cockpit!$O$5,1)="B",BG1637,MAX(BG1637,H1637))),ROUNDUP(BE1637,0)))</f>
        <v>2</v>
      </c>
      <c r="BB1637" s="62" t="n">
        <f aca="false">IF(CA1637=1,0,ROUNDUP(BA1637/BZ1637,0))</f>
        <v>1</v>
      </c>
      <c r="BC1637" s="64" t="n">
        <f aca="false">IF(CR1637&gt;0,CR1637*MAX(1,BA1637/X1637),IF(CA1637=1,IF(BA1637&lt;=0,0,CE1637*MAX(1,IF(H1637&gt;0,BA1637/H1637,1))),IF(R1637&gt;0,BB1637/R1637,0))/MAX(0.1,N(Parameter!$M$21)))</f>
        <v>0.0384615384615385</v>
      </c>
      <c r="BD1637" s="62" t="n">
        <f aca="false">BC1637*CC1637</f>
        <v>5.96153846153846</v>
      </c>
      <c r="BE1637" s="63" t="n">
        <f aca="false">IF(LEFT(Cockpit!$O$5,1)="A",H1637,IF(CI1637=1,(CL1637+CJ1637)/2,IF(LEFT(Cockpit!$O$5,1)="B",(CL1637+BG1637)/2,MAX((CL1637+BG1637)/2,H1637))))</f>
        <v>2</v>
      </c>
      <c r="BF1637" s="62" t="n">
        <f aca="false">BE1637*G1637</f>
        <v>200</v>
      </c>
      <c r="BG1637" s="62" t="n">
        <f aca="false">ROUNDUP(CL1637+MAX(CM1637,2*(J1637/IF(CH1637&gt;0,CH1637,MAX(0.1,N(Cockpit!$O$6)))-CL1637)),0)</f>
        <v>4</v>
      </c>
      <c r="BH1637" s="63" t="n">
        <f aca="false">IF(BD1637&gt;0,J1637/BD1637,-1)</f>
        <v>0</v>
      </c>
      <c r="BI1637" s="63" t="n">
        <f aca="false">IF(AND(OR(CG1637="L1",CG1637="L23",CG1637="LIFT"),BD1637&gt;0),SUMIFS($BD$7:$BD$1843,$CG$7:$CG$1843,CG1637,$BH$7:$BH$1843,"&gt;"&amp;BH1637)+SUMIFS($BD$7:$BD$1843,$CG$7:$CG$1843,CG1637,$BH$7:$BH$1843,BH1637,$BX$7:$BX$1843,"&lt;="&amp;BX1637),"")</f>
        <v>31198.6437159827</v>
      </c>
      <c r="BJ1637" s="70" t="n">
        <f aca="false">IF(BI1637="",0,MAX(0,MIN(1,(IF(CG1637="L1",Parameter!$H$5,IF(CG1637="L23",Parameter!$H$6+Parameter!$H$7,Parameter!$H$5+Parameter!$H$6+Parameter!$H$7))-(BI1637-BD1637))/BD1637)))</f>
        <v>1</v>
      </c>
      <c r="BK1637" s="60" t="str">
        <f aca="false">IF(AJ1637&lt;=0,"",IF(CG1637="Aussen","Aussenlager",IF(CG1637="-","Nicht im Lift",IF(AP1637&gt;=1,"Lift",IF(AP1637&lt;=0,"Aussenlager","teilweise")))))</f>
        <v>Lift</v>
      </c>
      <c r="BL1637" s="60" t="str">
        <f aca="false">IF(AT1637&lt;=0,"",IF(CG1637="Aussen","Aussenlager",IF(CG1637="-","Nicht im Lift",IF(AZ1637&gt;=1,"Lift",IF(AZ1637&lt;=0,"Aussenlager","teilweise")))))</f>
        <v>Aussenlager</v>
      </c>
      <c r="BM1637" s="60" t="str">
        <f aca="false">IF(BD1637&lt;=0,"",IF(CG1637="Aussen","Aussenlager",IF(CG1637="-","Nicht im Lift",IF(BJ1637&gt;=1,"Lift",IF(BJ1637&lt;=0,"Aussenlager","teilweise")))))</f>
        <v>Lift</v>
      </c>
      <c r="BN1637" s="60" t="str">
        <f aca="false">IF(A1637="","",IF(BW1637=1,"Neu; ","")&amp;IF(AND(BW1637=0,BR1637&lt;0),"negativer Bestand (Export "&amp;BR1637&amp;"); ","")&amp;IF(J1637&lt;=0,"Kein Verbrauch; ","")&amp;IF(CR1637&gt;0,"Lift "&amp;W1637&amp;" lt. Liftbericht (Fach "&amp;X1637&amp;" Stk); ",IF(CB1637=1,"Gebinde geschätzt ("&amp;T1637&amp;"); ",IF(CA1637=1,"Lose – Tablare geschätzt; ","")))&amp;IF(H1637&gt;AW1637,"Überbestand "&amp;ROUND(H1637-AW1637,0)&amp;" Stk / CHF "&amp;ROUND((H1637-AW1637)*G1637,0)&amp;"; ","")&amp;IF(AND(CI1637=1,CJ1637&lt;CK1637),"MAX &lt; MB+LG; ","")&amp;IF(AND(CQ1637&gt;0,CP1637*10&gt;CQ1637),"zu hoch für Tablar; ","")&amp;IF(AND(BW1637=0,OR(CI1637=1,AB1637&lt;&gt;"",U1637&lt;&gt;"",V1637&lt;&gt;"",AC1637&lt;&gt;"")),"manuell übersteuert; ","")&amp;IF(AND(CA1637=0,R1637=0),"Gebinde unbekannt / Stellmass fehlt; ","")&amp;IF(AND(CA1637=0,N(V1637)&lt;=0,N(Q1637)&lt;=0),"Menge pro Gebinde fehlt (Ist = 1 Gebinde); ","")&amp;BV1637)</f>
        <v>Kein Verbrauch; Gebinde geschätzt (Klein); Überbestand 6 Stk / CHF 600; Menge pro Gebinde fehlt (Ist = 1 Gebinde); nur im Artikelstamm (Bestand 23.06.2026)</v>
      </c>
      <c r="BO1637" s="60"/>
      <c r="BP1637" s="60"/>
      <c r="BQ1637" s="67"/>
      <c r="BR1637" s="62" t="n">
        <v>10</v>
      </c>
      <c r="BS1637" s="62" t="n">
        <v>0</v>
      </c>
      <c r="BT1637" s="61" t="n">
        <v>0</v>
      </c>
      <c r="BU1637" s="62" t="n">
        <v>0</v>
      </c>
      <c r="BV1637" s="60" t="s">
        <v>2617</v>
      </c>
      <c r="BW1637" s="65" t="n">
        <v>0</v>
      </c>
      <c r="BX1637" s="65" t="n">
        <v>1637</v>
      </c>
      <c r="BY1637" s="60" t="str">
        <f aca="false">IF(U1637&lt;&gt;"",UPPER(TRIM(U1637)),IF(CB1637=1,UPPER(VLOOKUP(T1637,Parameter!$I$27:$K$29,2,0)),IF(P1637="","LOSE",P1637)))</f>
        <v>S51</v>
      </c>
      <c r="BZ1637" s="62" t="n">
        <f aca="false">IF(BY1637="LOSE",1,IF(N(V1637)&gt;0,V1637,IF(CB1637=1,MAX(1,N(VLOOKUP(T1637,Parameter!$I$27:$K$29,3,0)),H1637,N(N1637)),IF(N(Q1637)&gt;0,Q1637,MAX(1,H1637)))))</f>
        <v>20</v>
      </c>
      <c r="CA1637" s="65" t="n">
        <f aca="false">IF(BY1637="LOSE",1,0)</f>
        <v>0</v>
      </c>
      <c r="CB1637" s="65" t="n">
        <f aca="false">IF(AND(U1637="",OR(P1637="",P1637="LOSE"),T1637&lt;&gt;"",N(S1637)&lt;=0,ISNUMBER(MATCH(T1637,Parameter!$I$27:$I$29,0))),1,0)</f>
        <v>1</v>
      </c>
      <c r="CC1637" s="65" t="n">
        <f aca="false">IF(CR1637&gt;0,INDEX(Parameter!$H$5:$H$7,W1637)/INDEX(Parameter!$E$5:$E$7,W1637),IF(AND(CA1637=0,N(IFERROR(VLOOKUP(BY1637,'Gebinde-Kategorie'!$A$5:$N$45,14,0),0))&gt;0),VLOOKUP(BY1637,'Gebinde-Kategorie'!$A$5:$N$45,14,0)*10+Parameter!$M$23,Parameter!$M$24))</f>
        <v>155</v>
      </c>
      <c r="CD1637" s="60" t="str">
        <f aca="false">IF(AND(Parameter!$B$19="Ja",E1637&lt;&gt;"",ISNUMBER(MATCH(E1637,Parameter!$I$35:$I$52,0))),VLOOKUP(E1637,Parameter!$I$35:$J$52,2,0),IFERROR(VLOOKUP(D1637,Parameter!$A$35:$C$64,2,0),"Nein"))</f>
        <v>2+3</v>
      </c>
      <c r="CE1637" s="64" t="n">
        <f aca="false">IF(CA1637=0,0,IF(N(S1637)&gt;0,S1637,IFERROR(VLOOKUP(D1637,Parameter!$A$35:$C$64,3,0)+0,0)))</f>
        <v>0</v>
      </c>
      <c r="CF1637" s="60" t="n">
        <f aca="false">IF(AB1637&lt;&gt;"",AB1637,AA1637)</f>
        <v>3</v>
      </c>
      <c r="CG1637" s="60" t="str">
        <f aca="false">IF(OR(CF1637=1,CF1637=2,CF1637=3),IF(Parameter!$E$27="Ja","LIFT",IF(CF1637=1,"L1","L23")),IF(CF1637="Aussen","Aussen","-"))</f>
        <v>LIFT</v>
      </c>
      <c r="CH1637" s="71" t="n">
        <f aca="false">IF(N(AC1637)&gt;0,AC1637,0)</f>
        <v>0</v>
      </c>
      <c r="CI1637" s="65" t="n">
        <f aca="false">IF(ISNUMBER(AF1637),1,0)</f>
        <v>0</v>
      </c>
      <c r="CJ1637" s="62" t="n">
        <f aca="false">N(AF1637)</f>
        <v>0</v>
      </c>
      <c r="CK1637" s="62" t="n">
        <f aca="false">N(M1637)+N(N1637)</f>
        <v>4</v>
      </c>
      <c r="CL1637" s="62" t="n">
        <f aca="false">N(M1637)</f>
        <v>0</v>
      </c>
      <c r="CM1637" s="62" t="n">
        <f aca="false">N(N1637)</f>
        <v>4</v>
      </c>
      <c r="CN1637" s="62" t="n">
        <f aca="false">ROUNDUP(H1637/BZ1637,0)</f>
        <v>1</v>
      </c>
      <c r="CO1637" s="62" t="n">
        <f aca="false">ROUNDUP(CJ1637/BZ1637,0)</f>
        <v>0</v>
      </c>
      <c r="CP1637" s="65" t="n">
        <f aca="false">IF(CA1637=1,0,IFERROR(VLOOKUP(BY1637,'Gebinde-Kategorie'!$A$5:$N$45,5,0)+0,0))</f>
        <v>11</v>
      </c>
      <c r="CQ1637" s="65" t="n">
        <f aca="false">IFERROR(IF(OR(CF1637=1,CF1637=2,CF1637=3),N(INDEX(Parameter!$I$5:$I$7,CF1637)),0),0)</f>
        <v>0</v>
      </c>
      <c r="CR1637" s="64" t="n">
        <f aca="false">IF(AND(Parameter!$B$21="Ja",ISNUMBER(W1637),N(X1637)&gt;0),IFERROR(N(INDEX(Parameter!$L$5:$L$7,W1637))*INDEX(Parameter!$E$5:$E$7,W1637)*X1637/SUMIFS($X$7:$X$1843,$W$7:$W$1843,W1637),0),0)</f>
        <v>0</v>
      </c>
      <c r="CS1637" s="62" t="n">
        <f aca="false">IF(AND(OR(CG1637="L1",CG1637="L23",CG1637="LIFT"),H1637&gt;0),CC1637*IF(CR1637&gt;0,CR1637*MAX(1,H1637/X1637),IF(CA1637=1,CE1637,IF(R1637&gt;0,CN1637/R1637,0))/MAX(0.1,N(Parameter!$M$21))),"")</f>
        <v>5.96153846153846</v>
      </c>
      <c r="CT1637" s="64" t="n">
        <f aca="false">IF(CS1637="","",J1637/H1637)</f>
        <v>0</v>
      </c>
      <c r="CU1637" s="62" t="n">
        <f aca="false">IF(CS1637="","",H1637*G1637)</f>
        <v>1000</v>
      </c>
      <c r="CV1637" s="63" t="n">
        <f aca="false">IF(CS1637="","",(CL1637+ROUNDUP(CL1637+MAX(CM1637,2*(J1637/MAX(0.1,N(Einkauf!$C$6))-CL1637)),0))/2)</f>
        <v>2</v>
      </c>
      <c r="CW1637" s="62" t="n">
        <f aca="false">IF(CS1637="","",MAX(0,H1637-CV1637)*G1637)</f>
        <v>800</v>
      </c>
      <c r="CX1637" s="62" t="n">
        <f aca="false">IF(CS1637="","",CS1637*MAX(0,1-CV1637/H1637))</f>
        <v>4.76923076923077</v>
      </c>
      <c r="CY1637" s="64" t="n">
        <f aca="false">IF(CS1637="","",PERCENTRANK($CS$7:$CS$1843,CS1637)+PERCENTRANK($CU$7:$CU$1843,CU1637)+1-PERCENTRANK($CT$7:$CT$1843,CT1637))</f>
        <v>2.006</v>
      </c>
      <c r="CZ1637" s="72" t="n">
        <f aca="false">IF(CS1637="","",CHOOSE(MATCH(Einkauf!$C$5,Parameter!$G$23:$G$27,0),CY1637,CS1637,CU1637,-CT1637,CW1637)+ROW()/1000000000)</f>
        <v>2.006001637</v>
      </c>
    </row>
    <row r="1638" customFormat="false" ht="15" hidden="false" customHeight="false" outlineLevel="0" collapsed="false">
      <c r="A1638" s="60" t="s">
        <v>2891</v>
      </c>
      <c r="B1638" s="60" t="s">
        <v>447</v>
      </c>
      <c r="C1638" s="60" t="s">
        <v>206</v>
      </c>
      <c r="D1638" s="60" t="s">
        <v>226</v>
      </c>
      <c r="E1638" s="60"/>
      <c r="F1638" s="60"/>
      <c r="G1638" s="61" t="n">
        <v>0.67</v>
      </c>
      <c r="H1638" s="62" t="n">
        <f aca="false">MAX(0,IF(AND(Parameter!$B$21="Ja",ISNUMBER(Y1638)),Y1638,IF(Parameter!$B$20="Jahresanfang 2025 + Export",BS1638+BR1638,BR1638)))</f>
        <v>500</v>
      </c>
      <c r="I1638" s="62" t="n">
        <f aca="false">H1638*G1638</f>
        <v>335</v>
      </c>
      <c r="J1638" s="62" t="n">
        <f aca="false">BU1638*Parameter!$B$18</f>
        <v>0</v>
      </c>
      <c r="K1638" s="63"/>
      <c r="L1638" s="64"/>
      <c r="M1638" s="62" t="n">
        <v>0</v>
      </c>
      <c r="N1638" s="62" t="n">
        <v>100</v>
      </c>
      <c r="O1638" s="65" t="n">
        <v>28</v>
      </c>
      <c r="P1638" s="60" t="s">
        <v>210</v>
      </c>
      <c r="Q1638" s="62"/>
      <c r="R1638" s="65" t="n">
        <f aca="false">IF(CA1638=1,0,IFERROR(VLOOKUP(BY1638,'Gebinde-Kategorie'!$A$5:$N$45,13,0)+0,0))</f>
        <v>26</v>
      </c>
      <c r="S1638" s="66"/>
      <c r="T1638" s="67" t="s">
        <v>317</v>
      </c>
      <c r="U1638" s="67"/>
      <c r="V1638" s="67"/>
      <c r="W1638" s="60"/>
      <c r="X1638" s="62"/>
      <c r="Y1638" s="62"/>
      <c r="Z1638" s="60" t="n">
        <v>3</v>
      </c>
      <c r="AA1638" s="60" t="n">
        <f aca="false">IF(A1638="","",IF(AND(Parameter!$B$21="Ja",ISNUMBER(W1638)),W1638,IF(AND(Parameter!$E$27="Ja",ISNUMBER(Z1638),CD1638&lt;&gt;"Nein"),Z1638,IF(CD1638="2+3",IF(ISNUMBER(SEARCH("grosser Artikel",BV1638)),2,IFERROR(VLOOKUP(BY1638,Parameter!$F$35:$G$64,2,0),2)),IF(OR(CD1638="Nein",CD1638=""),"-",CD1638)))))</f>
        <v>3</v>
      </c>
      <c r="AB1638" s="67"/>
      <c r="AC1638" s="68"/>
      <c r="AD1638" s="62" t="n">
        <f aca="false">AW1638</f>
        <v>100</v>
      </c>
      <c r="AE1638" s="62" t="n">
        <f aca="false">MAX(AW1638,H1638)</f>
        <v>500</v>
      </c>
      <c r="AF1638" s="69"/>
      <c r="AG1638" s="62" t="n">
        <f aca="false">IF(LEFT(Cockpit!$C$5,1)="A",H1638,IF(Parameter!$E$30="MAX-Bestand",IF(CI1638=1,CJ1638,IF(LEFT(Cockpit!$C$5,1)="B",AM1638,MAX(AM1638,H1638))),ROUNDUP(AK1638,0)))</f>
        <v>500</v>
      </c>
      <c r="AH1638" s="62" t="n">
        <f aca="false">IF(CA1638=1,0,ROUNDUP(AG1638/BZ1638,0))</f>
        <v>1</v>
      </c>
      <c r="AI1638" s="64" t="n">
        <f aca="false">IF(CR1638&gt;0,CR1638*MAX(1,AG1638/X1638),IF(CA1638=1,IF(AG1638&lt;=0,0,CE1638*MAX(1,IF(H1638&gt;0,AG1638/H1638,1))),IF(R1638&gt;0,AH1638/R1638,0))/MAX(0.1,N(Parameter!$M$21)))</f>
        <v>0.0384615384615385</v>
      </c>
      <c r="AJ1638" s="62" t="n">
        <f aca="false">AI1638*CC1638</f>
        <v>5.96153846153846</v>
      </c>
      <c r="AK1638" s="63" t="n">
        <f aca="false">IF(LEFT(Cockpit!$C$5,1)="A",H1638,IF(CI1638=1,(CL1638+CJ1638)/2,IF(LEFT(Cockpit!$C$5,1)="B",(CL1638+AM1638)/2,MAX((CL1638+AM1638)/2,H1638))))</f>
        <v>500</v>
      </c>
      <c r="AL1638" s="62" t="n">
        <f aca="false">AK1638*G1638</f>
        <v>335</v>
      </c>
      <c r="AM1638" s="62" t="n">
        <f aca="false">ROUNDUP(CL1638+MAX(CM1638,2*(J1638/IF(CH1638&gt;0,CH1638,MAX(0.1,N(Cockpit!$C$6)))-CL1638)),0)</f>
        <v>100</v>
      </c>
      <c r="AN1638" s="63" t="n">
        <f aca="false">IF(AJ1638&gt;0,J1638/AJ1638,-1)</f>
        <v>0</v>
      </c>
      <c r="AO1638" s="63" t="n">
        <f aca="false">IF(AND(OR(CG1638="L1",CG1638="L23",CG1638="LIFT"),AJ1638&gt;0),SUMIFS($AJ$7:$AJ$1843,$CG$7:$CG$1843,CG1638,$AN$7:$AN$1843,"&gt;"&amp;AN1638)+SUMIFS($AJ$7:$AJ$1843,$CG$7:$CG$1843,CG1638,$AN$7:$AN$1843,AN1638,$BX$7:$BX$1843,"&lt;="&amp;BX1638),"")</f>
        <v>30975.3074620765</v>
      </c>
      <c r="AP1638" s="70" t="n">
        <f aca="false">IF(AO1638="",0,MAX(0,MIN(1,(IF(CG1638="L1",Parameter!$H$5,IF(CG1638="L23",Parameter!$H$6+Parameter!$H$7,Parameter!$H$5+Parameter!$H$6+Parameter!$H$7))-(AO1638-AJ1638))/AJ1638)))</f>
        <v>1</v>
      </c>
      <c r="AQ1638" s="62" t="n">
        <f aca="false">IF(LEFT(Cockpit!$I$5,1)="A",H1638,IF(Parameter!$E$30="MAX-Bestand",IF(CI1638=1,CJ1638,IF(LEFT(Cockpit!$I$5,1)="B",AW1638,MAX(AW1638,H1638))),ROUNDUP(AU1638,0)))</f>
        <v>500</v>
      </c>
      <c r="AR1638" s="62" t="n">
        <f aca="false">IF(CA1638=1,0,ROUNDUP(AQ1638/BZ1638,0))</f>
        <v>1</v>
      </c>
      <c r="AS1638" s="64" t="n">
        <f aca="false">IF(CR1638&gt;0,CR1638*MAX(1,AQ1638/X1638),IF(CA1638=1,IF(AQ1638&lt;=0,0,CE1638*MAX(1,IF(H1638&gt;0,AQ1638/H1638,1))),IF(R1638&gt;0,AR1638/R1638,0))/MAX(0.1,N(Parameter!$M$21)))</f>
        <v>0.0384615384615385</v>
      </c>
      <c r="AT1638" s="62" t="n">
        <f aca="false">AS1638*CC1638</f>
        <v>5.96153846153846</v>
      </c>
      <c r="AU1638" s="63" t="n">
        <f aca="false">IF(LEFT(Cockpit!$I$5,1)="A",H1638,IF(CI1638=1,(CL1638+CJ1638)/2,IF(LEFT(Cockpit!$I$5,1)="B",(CL1638+AW1638)/2,MAX((CL1638+AW1638)/2,H1638))))</f>
        <v>500</v>
      </c>
      <c r="AV1638" s="62" t="n">
        <f aca="false">AU1638*G1638</f>
        <v>335</v>
      </c>
      <c r="AW1638" s="62" t="n">
        <f aca="false">ROUNDUP(CL1638+MAX(CM1638,2*(J1638/IF(CH1638&gt;0,CH1638,MAX(0.1,N(Cockpit!$I$6)))-CL1638)),0)</f>
        <v>100</v>
      </c>
      <c r="AX1638" s="63" t="n">
        <f aca="false">IF(AT1638&gt;0,J1638/AT1638,-1)</f>
        <v>0</v>
      </c>
      <c r="AY1638" s="63" t="n">
        <f aca="false">IF(AND(OR(CG1638="L1",CG1638="L23",CG1638="LIFT"),AT1638&gt;0),SUMIFS($AT$7:$AT$1843,$CG$7:$CG$1843,CG1638,$AX$7:$AX$1843,"&gt;"&amp;AX1638)+SUMIFS($AT$7:$AT$1843,$CG$7:$CG$1843,CG1638,$AX$7:$AX$1843,AX1638,$BX$7:$BX$1843,"&lt;="&amp;BX1638),"")</f>
        <v>37295.1639789119</v>
      </c>
      <c r="AZ1638" s="70" t="n">
        <f aca="false">IF(AY1638="",0,MAX(0,MIN(1,(IF(CG1638="L1",Parameter!$H$5,IF(CG1638="L23",Parameter!$H$6+Parameter!$H$7,Parameter!$H$5+Parameter!$H$6+Parameter!$H$7))-(AY1638-AT1638))/AT1638)))</f>
        <v>0</v>
      </c>
      <c r="BA1638" s="62" t="n">
        <f aca="false">IF(LEFT(Cockpit!$O$5,1)="A",H1638,IF(Parameter!$E$30="MAX-Bestand",IF(CI1638=1,CJ1638,IF(LEFT(Cockpit!$O$5,1)="B",BG1638,MAX(BG1638,H1638))),ROUNDUP(BE1638,0)))</f>
        <v>50</v>
      </c>
      <c r="BB1638" s="62" t="n">
        <f aca="false">IF(CA1638=1,0,ROUNDUP(BA1638/BZ1638,0))</f>
        <v>1</v>
      </c>
      <c r="BC1638" s="64" t="n">
        <f aca="false">IF(CR1638&gt;0,CR1638*MAX(1,BA1638/X1638),IF(CA1638=1,IF(BA1638&lt;=0,0,CE1638*MAX(1,IF(H1638&gt;0,BA1638/H1638,1))),IF(R1638&gt;0,BB1638/R1638,0))/MAX(0.1,N(Parameter!$M$21)))</f>
        <v>0.0384615384615385</v>
      </c>
      <c r="BD1638" s="62" t="n">
        <f aca="false">BC1638*CC1638</f>
        <v>5.96153846153846</v>
      </c>
      <c r="BE1638" s="63" t="n">
        <f aca="false">IF(LEFT(Cockpit!$O$5,1)="A",H1638,IF(CI1638=1,(CL1638+CJ1638)/2,IF(LEFT(Cockpit!$O$5,1)="B",(CL1638+BG1638)/2,MAX((CL1638+BG1638)/2,H1638))))</f>
        <v>50</v>
      </c>
      <c r="BF1638" s="62" t="n">
        <f aca="false">BE1638*G1638</f>
        <v>33.5</v>
      </c>
      <c r="BG1638" s="62" t="n">
        <f aca="false">ROUNDUP(CL1638+MAX(CM1638,2*(J1638/IF(CH1638&gt;0,CH1638,MAX(0.1,N(Cockpit!$O$6)))-CL1638)),0)</f>
        <v>100</v>
      </c>
      <c r="BH1638" s="63" t="n">
        <f aca="false">IF(BD1638&gt;0,J1638/BD1638,-1)</f>
        <v>0</v>
      </c>
      <c r="BI1638" s="63" t="n">
        <f aca="false">IF(AND(OR(CG1638="L1",CG1638="L23",CG1638="LIFT"),BD1638&gt;0),SUMIFS($BD$7:$BD$1843,$CG$7:$CG$1843,CG1638,$BH$7:$BH$1843,"&gt;"&amp;BH1638)+SUMIFS($BD$7:$BD$1843,$CG$7:$CG$1843,CG1638,$BH$7:$BH$1843,BH1638,$BX$7:$BX$1843,"&lt;="&amp;BX1638),"")</f>
        <v>31204.6052544442</v>
      </c>
      <c r="BJ1638" s="70" t="n">
        <f aca="false">IF(BI1638="",0,MAX(0,MIN(1,(IF(CG1638="L1",Parameter!$H$5,IF(CG1638="L23",Parameter!$H$6+Parameter!$H$7,Parameter!$H$5+Parameter!$H$6+Parameter!$H$7))-(BI1638-BD1638))/BD1638)))</f>
        <v>1</v>
      </c>
      <c r="BK1638" s="60" t="str">
        <f aca="false">IF(AJ1638&lt;=0,"",IF(CG1638="Aussen","Aussenlager",IF(CG1638="-","Nicht im Lift",IF(AP1638&gt;=1,"Lift",IF(AP1638&lt;=0,"Aussenlager","teilweise")))))</f>
        <v>Lift</v>
      </c>
      <c r="BL1638" s="60" t="str">
        <f aca="false">IF(AT1638&lt;=0,"",IF(CG1638="Aussen","Aussenlager",IF(CG1638="-","Nicht im Lift",IF(AZ1638&gt;=1,"Lift",IF(AZ1638&lt;=0,"Aussenlager","teilweise")))))</f>
        <v>Aussenlager</v>
      </c>
      <c r="BM1638" s="60" t="str">
        <f aca="false">IF(BD1638&lt;=0,"",IF(CG1638="Aussen","Aussenlager",IF(CG1638="-","Nicht im Lift",IF(BJ1638&gt;=1,"Lift",IF(BJ1638&lt;=0,"Aussenlager","teilweise")))))</f>
        <v>Lift</v>
      </c>
      <c r="BN1638" s="60" t="str">
        <f aca="false">IF(A1638="","",IF(BW1638=1,"Neu; ","")&amp;IF(AND(BW1638=0,BR1638&lt;0),"negativer Bestand (Export "&amp;BR1638&amp;"); ","")&amp;IF(J1638&lt;=0,"Kein Verbrauch; ","")&amp;IF(CR1638&gt;0,"Lift "&amp;W1638&amp;" lt. Liftbericht (Fach "&amp;X1638&amp;" Stk); ",IF(CB1638=1,"Gebinde geschätzt ("&amp;T1638&amp;"); ",IF(CA1638=1,"Lose – Tablare geschätzt; ","")))&amp;IF(H1638&gt;AW1638,"Überbestand "&amp;ROUND(H1638-AW1638,0)&amp;" Stk / CHF "&amp;ROUND((H1638-AW1638)*G1638,0)&amp;"; ","")&amp;IF(AND(CI1638=1,CJ1638&lt;CK1638),"MAX &lt; MB+LG; ","")&amp;IF(AND(CQ1638&gt;0,CP1638*10&gt;CQ1638),"zu hoch für Tablar; ","")&amp;IF(AND(BW1638=0,OR(CI1638=1,AB1638&lt;&gt;"",U1638&lt;&gt;"",V1638&lt;&gt;"",AC1638&lt;&gt;"")),"manuell übersteuert; ","")&amp;IF(AND(CA1638=0,R1638=0),"Gebinde unbekannt / Stellmass fehlt; ","")&amp;IF(AND(CA1638=0,N(V1638)&lt;=0,N(Q1638)&lt;=0),"Menge pro Gebinde fehlt (Ist = 1 Gebinde); ","")&amp;BV1638)</f>
        <v>Kein Verbrauch; Gebinde geschätzt (Klein); Überbestand 400 Stk / CHF 268; Menge pro Gebinde fehlt (Ist = 1 Gebinde); nur im Artikelstamm (Bestand 23.06.2026)</v>
      </c>
      <c r="BO1638" s="60"/>
      <c r="BP1638" s="60"/>
      <c r="BQ1638" s="67"/>
      <c r="BR1638" s="62" t="n">
        <v>500</v>
      </c>
      <c r="BS1638" s="62" t="n">
        <v>0</v>
      </c>
      <c r="BT1638" s="61" t="n">
        <v>0</v>
      </c>
      <c r="BU1638" s="62" t="n">
        <v>0</v>
      </c>
      <c r="BV1638" s="60" t="s">
        <v>2617</v>
      </c>
      <c r="BW1638" s="65" t="n">
        <v>0</v>
      </c>
      <c r="BX1638" s="65" t="n">
        <v>1638</v>
      </c>
      <c r="BY1638" s="60" t="str">
        <f aca="false">IF(U1638&lt;&gt;"",UPPER(TRIM(U1638)),IF(CB1638=1,UPPER(VLOOKUP(T1638,Parameter!$I$27:$K$29,2,0)),IF(P1638="","LOSE",P1638)))</f>
        <v>S51</v>
      </c>
      <c r="BZ1638" s="62" t="n">
        <f aca="false">IF(BY1638="LOSE",1,IF(N(V1638)&gt;0,V1638,IF(CB1638=1,MAX(1,N(VLOOKUP(T1638,Parameter!$I$27:$K$29,3,0)),H1638,N(N1638)),IF(N(Q1638)&gt;0,Q1638,MAX(1,H1638)))))</f>
        <v>500</v>
      </c>
      <c r="CA1638" s="65" t="n">
        <f aca="false">IF(BY1638="LOSE",1,0)</f>
        <v>0</v>
      </c>
      <c r="CB1638" s="65" t="n">
        <f aca="false">IF(AND(U1638="",OR(P1638="",P1638="LOSE"),T1638&lt;&gt;"",N(S1638)&lt;=0,ISNUMBER(MATCH(T1638,Parameter!$I$27:$I$29,0))),1,0)</f>
        <v>1</v>
      </c>
      <c r="CC1638" s="65" t="n">
        <f aca="false">IF(CR1638&gt;0,INDEX(Parameter!$H$5:$H$7,W1638)/INDEX(Parameter!$E$5:$E$7,W1638),IF(AND(CA1638=0,N(IFERROR(VLOOKUP(BY1638,'Gebinde-Kategorie'!$A$5:$N$45,14,0),0))&gt;0),VLOOKUP(BY1638,'Gebinde-Kategorie'!$A$5:$N$45,14,0)*10+Parameter!$M$23,Parameter!$M$24))</f>
        <v>155</v>
      </c>
      <c r="CD1638" s="60" t="str">
        <f aca="false">IF(AND(Parameter!$B$19="Ja",E1638&lt;&gt;"",ISNUMBER(MATCH(E1638,Parameter!$I$35:$I$52,0))),VLOOKUP(E1638,Parameter!$I$35:$J$52,2,0),IFERROR(VLOOKUP(D1638,Parameter!$A$35:$C$64,2,0),"Nein"))</f>
        <v>2+3</v>
      </c>
      <c r="CE1638" s="64" t="n">
        <f aca="false">IF(CA1638=0,0,IF(N(S1638)&gt;0,S1638,IFERROR(VLOOKUP(D1638,Parameter!$A$35:$C$64,3,0)+0,0)))</f>
        <v>0</v>
      </c>
      <c r="CF1638" s="60" t="n">
        <f aca="false">IF(AB1638&lt;&gt;"",AB1638,AA1638)</f>
        <v>3</v>
      </c>
      <c r="CG1638" s="60" t="str">
        <f aca="false">IF(OR(CF1638=1,CF1638=2,CF1638=3),IF(Parameter!$E$27="Ja","LIFT",IF(CF1638=1,"L1","L23")),IF(CF1638="Aussen","Aussen","-"))</f>
        <v>LIFT</v>
      </c>
      <c r="CH1638" s="71" t="n">
        <f aca="false">IF(N(AC1638)&gt;0,AC1638,0)</f>
        <v>0</v>
      </c>
      <c r="CI1638" s="65" t="n">
        <f aca="false">IF(ISNUMBER(AF1638),1,0)</f>
        <v>0</v>
      </c>
      <c r="CJ1638" s="62" t="n">
        <f aca="false">N(AF1638)</f>
        <v>0</v>
      </c>
      <c r="CK1638" s="62" t="n">
        <f aca="false">N(M1638)+N(N1638)</f>
        <v>100</v>
      </c>
      <c r="CL1638" s="62" t="n">
        <f aca="false">N(M1638)</f>
        <v>0</v>
      </c>
      <c r="CM1638" s="62" t="n">
        <f aca="false">N(N1638)</f>
        <v>100</v>
      </c>
      <c r="CN1638" s="62" t="n">
        <f aca="false">ROUNDUP(H1638/BZ1638,0)</f>
        <v>1</v>
      </c>
      <c r="CO1638" s="62" t="n">
        <f aca="false">ROUNDUP(CJ1638/BZ1638,0)</f>
        <v>0</v>
      </c>
      <c r="CP1638" s="65" t="n">
        <f aca="false">IF(CA1638=1,0,IFERROR(VLOOKUP(BY1638,'Gebinde-Kategorie'!$A$5:$N$45,5,0)+0,0))</f>
        <v>11</v>
      </c>
      <c r="CQ1638" s="65" t="n">
        <f aca="false">IFERROR(IF(OR(CF1638=1,CF1638=2,CF1638=3),N(INDEX(Parameter!$I$5:$I$7,CF1638)),0),0)</f>
        <v>0</v>
      </c>
      <c r="CR1638" s="64" t="n">
        <f aca="false">IF(AND(Parameter!$B$21="Ja",ISNUMBER(W1638),N(X1638)&gt;0),IFERROR(N(INDEX(Parameter!$L$5:$L$7,W1638))*INDEX(Parameter!$E$5:$E$7,W1638)*X1638/SUMIFS($X$7:$X$1843,$W$7:$W$1843,W1638),0),0)</f>
        <v>0</v>
      </c>
      <c r="CS1638" s="62" t="n">
        <f aca="false">IF(AND(OR(CG1638="L1",CG1638="L23",CG1638="LIFT"),H1638&gt;0),CC1638*IF(CR1638&gt;0,CR1638*MAX(1,H1638/X1638),IF(CA1638=1,CE1638,IF(R1638&gt;0,CN1638/R1638,0))/MAX(0.1,N(Parameter!$M$21))),"")</f>
        <v>5.96153846153846</v>
      </c>
      <c r="CT1638" s="64" t="n">
        <f aca="false">IF(CS1638="","",J1638/H1638)</f>
        <v>0</v>
      </c>
      <c r="CU1638" s="62" t="n">
        <f aca="false">IF(CS1638="","",H1638*G1638)</f>
        <v>335</v>
      </c>
      <c r="CV1638" s="63" t="n">
        <f aca="false">IF(CS1638="","",(CL1638+ROUNDUP(CL1638+MAX(CM1638,2*(J1638/MAX(0.1,N(Einkauf!$C$6))-CL1638)),0))/2)</f>
        <v>50</v>
      </c>
      <c r="CW1638" s="62" t="n">
        <f aca="false">IF(CS1638="","",MAX(0,H1638-CV1638)*G1638)</f>
        <v>301.5</v>
      </c>
      <c r="CX1638" s="62" t="n">
        <f aca="false">IF(CS1638="","",CS1638*MAX(0,1-CV1638/H1638))</f>
        <v>5.36538461538462</v>
      </c>
      <c r="CY1638" s="64" t="n">
        <f aca="false">IF(CS1638="","",PERCENTRANK($CS$7:$CS$1843,CS1638)+PERCENTRANK($CU$7:$CU$1843,CU1638)+1-PERCENTRANK($CT$7:$CT$1843,CT1638))</f>
        <v>1.802</v>
      </c>
      <c r="CZ1638" s="72" t="n">
        <f aca="false">IF(CS1638="","",CHOOSE(MATCH(Einkauf!$C$5,Parameter!$G$23:$G$27,0),CY1638,CS1638,CU1638,-CT1638,CW1638)+ROW()/1000000000)</f>
        <v>1.802001638</v>
      </c>
    </row>
    <row r="1639" customFormat="false" ht="15" hidden="false" customHeight="false" outlineLevel="0" collapsed="false">
      <c r="A1639" s="60" t="s">
        <v>2892</v>
      </c>
      <c r="B1639" s="60" t="s">
        <v>2893</v>
      </c>
      <c r="C1639" s="60" t="s">
        <v>206</v>
      </c>
      <c r="D1639" s="60" t="s">
        <v>226</v>
      </c>
      <c r="E1639" s="60"/>
      <c r="F1639" s="60"/>
      <c r="G1639" s="61" t="n">
        <v>1.5</v>
      </c>
      <c r="H1639" s="62" t="n">
        <f aca="false">MAX(0,IF(AND(Parameter!$B$21="Ja",ISNUMBER(Y1639)),Y1639,IF(Parameter!$B$20="Jahresanfang 2025 + Export",BS1639+BR1639,BR1639)))</f>
        <v>83</v>
      </c>
      <c r="I1639" s="62" t="n">
        <f aca="false">H1639*G1639</f>
        <v>124.5</v>
      </c>
      <c r="J1639" s="62" t="n">
        <f aca="false">BU1639*Parameter!$B$18</f>
        <v>0</v>
      </c>
      <c r="K1639" s="63"/>
      <c r="L1639" s="64"/>
      <c r="M1639" s="62" t="n">
        <v>0</v>
      </c>
      <c r="N1639" s="62" t="n">
        <v>50</v>
      </c>
      <c r="O1639" s="65" t="n">
        <v>14</v>
      </c>
      <c r="P1639" s="60" t="s">
        <v>210</v>
      </c>
      <c r="Q1639" s="62"/>
      <c r="R1639" s="65" t="n">
        <f aca="false">IF(CA1639=1,0,IFERROR(VLOOKUP(BY1639,'Gebinde-Kategorie'!$A$5:$N$45,13,0)+0,0))</f>
        <v>26</v>
      </c>
      <c r="S1639" s="66"/>
      <c r="T1639" s="67" t="s">
        <v>317</v>
      </c>
      <c r="U1639" s="67"/>
      <c r="V1639" s="67"/>
      <c r="W1639" s="60"/>
      <c r="X1639" s="62"/>
      <c r="Y1639" s="62"/>
      <c r="Z1639" s="60" t="n">
        <v>3</v>
      </c>
      <c r="AA1639" s="60" t="n">
        <f aca="false">IF(A1639="","",IF(AND(Parameter!$B$21="Ja",ISNUMBER(W1639)),W1639,IF(AND(Parameter!$E$27="Ja",ISNUMBER(Z1639),CD1639&lt;&gt;"Nein"),Z1639,IF(CD1639="2+3",IF(ISNUMBER(SEARCH("grosser Artikel",BV1639)),2,IFERROR(VLOOKUP(BY1639,Parameter!$F$35:$G$64,2,0),2)),IF(OR(CD1639="Nein",CD1639=""),"-",CD1639)))))</f>
        <v>3</v>
      </c>
      <c r="AB1639" s="67"/>
      <c r="AC1639" s="68"/>
      <c r="AD1639" s="62" t="n">
        <f aca="false">AW1639</f>
        <v>50</v>
      </c>
      <c r="AE1639" s="62" t="n">
        <f aca="false">MAX(AW1639,H1639)</f>
        <v>83</v>
      </c>
      <c r="AF1639" s="69"/>
      <c r="AG1639" s="62" t="n">
        <f aca="false">IF(LEFT(Cockpit!$C$5,1)="A",H1639,IF(Parameter!$E$30="MAX-Bestand",IF(CI1639=1,CJ1639,IF(LEFT(Cockpit!$C$5,1)="B",AM1639,MAX(AM1639,H1639))),ROUNDUP(AK1639,0)))</f>
        <v>83</v>
      </c>
      <c r="AH1639" s="62" t="n">
        <f aca="false">IF(CA1639=1,0,ROUNDUP(AG1639/BZ1639,0))</f>
        <v>1</v>
      </c>
      <c r="AI1639" s="64" t="n">
        <f aca="false">IF(CR1639&gt;0,CR1639*MAX(1,AG1639/X1639),IF(CA1639=1,IF(AG1639&lt;=0,0,CE1639*MAX(1,IF(H1639&gt;0,AG1639/H1639,1))),IF(R1639&gt;0,AH1639/R1639,0))/MAX(0.1,N(Parameter!$M$21)))</f>
        <v>0.0384615384615385</v>
      </c>
      <c r="AJ1639" s="62" t="n">
        <f aca="false">AI1639*CC1639</f>
        <v>5.96153846153846</v>
      </c>
      <c r="AK1639" s="63" t="n">
        <f aca="false">IF(LEFT(Cockpit!$C$5,1)="A",H1639,IF(CI1639=1,(CL1639+CJ1639)/2,IF(LEFT(Cockpit!$C$5,1)="B",(CL1639+AM1639)/2,MAX((CL1639+AM1639)/2,H1639))))</f>
        <v>83</v>
      </c>
      <c r="AL1639" s="62" t="n">
        <f aca="false">AK1639*G1639</f>
        <v>124.5</v>
      </c>
      <c r="AM1639" s="62" t="n">
        <f aca="false">ROUNDUP(CL1639+MAX(CM1639,2*(J1639/IF(CH1639&gt;0,CH1639,MAX(0.1,N(Cockpit!$C$6)))-CL1639)),0)</f>
        <v>50</v>
      </c>
      <c r="AN1639" s="63" t="n">
        <f aca="false">IF(AJ1639&gt;0,J1639/AJ1639,-1)</f>
        <v>0</v>
      </c>
      <c r="AO1639" s="63" t="n">
        <f aca="false">IF(AND(OR(CG1639="L1",CG1639="L23",CG1639="LIFT"),AJ1639&gt;0),SUMIFS($AJ$7:$AJ$1843,$CG$7:$CG$1843,CG1639,$AN$7:$AN$1843,"&gt;"&amp;AN1639)+SUMIFS($AJ$7:$AJ$1843,$CG$7:$CG$1843,CG1639,$AN$7:$AN$1843,AN1639,$BX$7:$BX$1843,"&lt;="&amp;BX1639),"")</f>
        <v>30981.2690005381</v>
      </c>
      <c r="AP1639" s="70" t="n">
        <f aca="false">IF(AO1639="",0,MAX(0,MIN(1,(IF(CG1639="L1",Parameter!$H$5,IF(CG1639="L23",Parameter!$H$6+Parameter!$H$7,Parameter!$H$5+Parameter!$H$6+Parameter!$H$7))-(AO1639-AJ1639))/AJ1639)))</f>
        <v>1</v>
      </c>
      <c r="AQ1639" s="62" t="n">
        <f aca="false">IF(LEFT(Cockpit!$I$5,1)="A",H1639,IF(Parameter!$E$30="MAX-Bestand",IF(CI1639=1,CJ1639,IF(LEFT(Cockpit!$I$5,1)="B",AW1639,MAX(AW1639,H1639))),ROUNDUP(AU1639,0)))</f>
        <v>83</v>
      </c>
      <c r="AR1639" s="62" t="n">
        <f aca="false">IF(CA1639=1,0,ROUNDUP(AQ1639/BZ1639,0))</f>
        <v>1</v>
      </c>
      <c r="AS1639" s="64" t="n">
        <f aca="false">IF(CR1639&gt;0,CR1639*MAX(1,AQ1639/X1639),IF(CA1639=1,IF(AQ1639&lt;=0,0,CE1639*MAX(1,IF(H1639&gt;0,AQ1639/H1639,1))),IF(R1639&gt;0,AR1639/R1639,0))/MAX(0.1,N(Parameter!$M$21)))</f>
        <v>0.0384615384615385</v>
      </c>
      <c r="AT1639" s="62" t="n">
        <f aca="false">AS1639*CC1639</f>
        <v>5.96153846153846</v>
      </c>
      <c r="AU1639" s="63" t="n">
        <f aca="false">IF(LEFT(Cockpit!$I$5,1)="A",H1639,IF(CI1639=1,(CL1639+CJ1639)/2,IF(LEFT(Cockpit!$I$5,1)="B",(CL1639+AW1639)/2,MAX((CL1639+AW1639)/2,H1639))))</f>
        <v>83</v>
      </c>
      <c r="AV1639" s="62" t="n">
        <f aca="false">AU1639*G1639</f>
        <v>124.5</v>
      </c>
      <c r="AW1639" s="62" t="n">
        <f aca="false">ROUNDUP(CL1639+MAX(CM1639,2*(J1639/IF(CH1639&gt;0,CH1639,MAX(0.1,N(Cockpit!$I$6)))-CL1639)),0)</f>
        <v>50</v>
      </c>
      <c r="AX1639" s="63" t="n">
        <f aca="false">IF(AT1639&gt;0,J1639/AT1639,-1)</f>
        <v>0</v>
      </c>
      <c r="AY1639" s="63" t="n">
        <f aca="false">IF(AND(OR(CG1639="L1",CG1639="L23",CG1639="LIFT"),AT1639&gt;0),SUMIFS($AT$7:$AT$1843,$CG$7:$CG$1843,CG1639,$AX$7:$AX$1843,"&gt;"&amp;AX1639)+SUMIFS($AT$7:$AT$1843,$CG$7:$CG$1843,CG1639,$AX$7:$AX$1843,AX1639,$BX$7:$BX$1843,"&lt;="&amp;BX1639),"")</f>
        <v>37301.1255173734</v>
      </c>
      <c r="AZ1639" s="70" t="n">
        <f aca="false">IF(AY1639="",0,MAX(0,MIN(1,(IF(CG1639="L1",Parameter!$H$5,IF(CG1639="L23",Parameter!$H$6+Parameter!$H$7,Parameter!$H$5+Parameter!$H$6+Parameter!$H$7))-(AY1639-AT1639))/AT1639)))</f>
        <v>0</v>
      </c>
      <c r="BA1639" s="62" t="n">
        <f aca="false">IF(LEFT(Cockpit!$O$5,1)="A",H1639,IF(Parameter!$E$30="MAX-Bestand",IF(CI1639=1,CJ1639,IF(LEFT(Cockpit!$O$5,1)="B",BG1639,MAX(BG1639,H1639))),ROUNDUP(BE1639,0)))</f>
        <v>25</v>
      </c>
      <c r="BB1639" s="62" t="n">
        <f aca="false">IF(CA1639=1,0,ROUNDUP(BA1639/BZ1639,0))</f>
        <v>1</v>
      </c>
      <c r="BC1639" s="64" t="n">
        <f aca="false">IF(CR1639&gt;0,CR1639*MAX(1,BA1639/X1639),IF(CA1639=1,IF(BA1639&lt;=0,0,CE1639*MAX(1,IF(H1639&gt;0,BA1639/H1639,1))),IF(R1639&gt;0,BB1639/R1639,0))/MAX(0.1,N(Parameter!$M$21)))</f>
        <v>0.0384615384615385</v>
      </c>
      <c r="BD1639" s="62" t="n">
        <f aca="false">BC1639*CC1639</f>
        <v>5.96153846153846</v>
      </c>
      <c r="BE1639" s="63" t="n">
        <f aca="false">IF(LEFT(Cockpit!$O$5,1)="A",H1639,IF(CI1639=1,(CL1639+CJ1639)/2,IF(LEFT(Cockpit!$O$5,1)="B",(CL1639+BG1639)/2,MAX((CL1639+BG1639)/2,H1639))))</f>
        <v>25</v>
      </c>
      <c r="BF1639" s="62" t="n">
        <f aca="false">BE1639*G1639</f>
        <v>37.5</v>
      </c>
      <c r="BG1639" s="62" t="n">
        <f aca="false">ROUNDUP(CL1639+MAX(CM1639,2*(J1639/IF(CH1639&gt;0,CH1639,MAX(0.1,N(Cockpit!$O$6)))-CL1639)),0)</f>
        <v>50</v>
      </c>
      <c r="BH1639" s="63" t="n">
        <f aca="false">IF(BD1639&gt;0,J1639/BD1639,-1)</f>
        <v>0</v>
      </c>
      <c r="BI1639" s="63" t="n">
        <f aca="false">IF(AND(OR(CG1639="L1",CG1639="L23",CG1639="LIFT"),BD1639&gt;0),SUMIFS($BD$7:$BD$1843,$CG$7:$CG$1843,CG1639,$BH$7:$BH$1843,"&gt;"&amp;BH1639)+SUMIFS($BD$7:$BD$1843,$CG$7:$CG$1843,CG1639,$BH$7:$BH$1843,BH1639,$BX$7:$BX$1843,"&lt;="&amp;BX1639),"")</f>
        <v>31210.5667929058</v>
      </c>
      <c r="BJ1639" s="70" t="n">
        <f aca="false">IF(BI1639="",0,MAX(0,MIN(1,(IF(CG1639="L1",Parameter!$H$5,IF(CG1639="L23",Parameter!$H$6+Parameter!$H$7,Parameter!$H$5+Parameter!$H$6+Parameter!$H$7))-(BI1639-BD1639))/BD1639)))</f>
        <v>1</v>
      </c>
      <c r="BK1639" s="60" t="str">
        <f aca="false">IF(AJ1639&lt;=0,"",IF(CG1639="Aussen","Aussenlager",IF(CG1639="-","Nicht im Lift",IF(AP1639&gt;=1,"Lift",IF(AP1639&lt;=0,"Aussenlager","teilweise")))))</f>
        <v>Lift</v>
      </c>
      <c r="BL1639" s="60" t="str">
        <f aca="false">IF(AT1639&lt;=0,"",IF(CG1639="Aussen","Aussenlager",IF(CG1639="-","Nicht im Lift",IF(AZ1639&gt;=1,"Lift",IF(AZ1639&lt;=0,"Aussenlager","teilweise")))))</f>
        <v>Aussenlager</v>
      </c>
      <c r="BM1639" s="60" t="str">
        <f aca="false">IF(BD1639&lt;=0,"",IF(CG1639="Aussen","Aussenlager",IF(CG1639="-","Nicht im Lift",IF(BJ1639&gt;=1,"Lift",IF(BJ1639&lt;=0,"Aussenlager","teilweise")))))</f>
        <v>Lift</v>
      </c>
      <c r="BN1639" s="60" t="str">
        <f aca="false">IF(A1639="","",IF(BW1639=1,"Neu; ","")&amp;IF(AND(BW1639=0,BR1639&lt;0),"negativer Bestand (Export "&amp;BR1639&amp;"); ","")&amp;IF(J1639&lt;=0,"Kein Verbrauch; ","")&amp;IF(CR1639&gt;0,"Lift "&amp;W1639&amp;" lt. Liftbericht (Fach "&amp;X1639&amp;" Stk); ",IF(CB1639=1,"Gebinde geschätzt ("&amp;T1639&amp;"); ",IF(CA1639=1,"Lose – Tablare geschätzt; ","")))&amp;IF(H1639&gt;AW1639,"Überbestand "&amp;ROUND(H1639-AW1639,0)&amp;" Stk / CHF "&amp;ROUND((H1639-AW1639)*G1639,0)&amp;"; ","")&amp;IF(AND(CI1639=1,CJ1639&lt;CK1639),"MAX &lt; MB+LG; ","")&amp;IF(AND(CQ1639&gt;0,CP1639*10&gt;CQ1639),"zu hoch für Tablar; ","")&amp;IF(AND(BW1639=0,OR(CI1639=1,AB1639&lt;&gt;"",U1639&lt;&gt;"",V1639&lt;&gt;"",AC1639&lt;&gt;"")),"manuell übersteuert; ","")&amp;IF(AND(CA1639=0,R1639=0),"Gebinde unbekannt / Stellmass fehlt; ","")&amp;IF(AND(CA1639=0,N(V1639)&lt;=0,N(Q1639)&lt;=0),"Menge pro Gebinde fehlt (Ist = 1 Gebinde); ","")&amp;BV1639)</f>
        <v>Kein Verbrauch; Gebinde geschätzt (Klein); Überbestand 33 Stk / CHF 50; Menge pro Gebinde fehlt (Ist = 1 Gebinde); nur im Artikelstamm (Bestand 23.06.2026)</v>
      </c>
      <c r="BO1639" s="60"/>
      <c r="BP1639" s="60"/>
      <c r="BQ1639" s="67"/>
      <c r="BR1639" s="62" t="n">
        <v>83</v>
      </c>
      <c r="BS1639" s="62" t="n">
        <v>0</v>
      </c>
      <c r="BT1639" s="61" t="n">
        <v>0</v>
      </c>
      <c r="BU1639" s="62" t="n">
        <v>0</v>
      </c>
      <c r="BV1639" s="60" t="s">
        <v>2617</v>
      </c>
      <c r="BW1639" s="65" t="n">
        <v>0</v>
      </c>
      <c r="BX1639" s="65" t="n">
        <v>1639</v>
      </c>
      <c r="BY1639" s="60" t="str">
        <f aca="false">IF(U1639&lt;&gt;"",UPPER(TRIM(U1639)),IF(CB1639=1,UPPER(VLOOKUP(T1639,Parameter!$I$27:$K$29,2,0)),IF(P1639="","LOSE",P1639)))</f>
        <v>S51</v>
      </c>
      <c r="BZ1639" s="62" t="n">
        <f aca="false">IF(BY1639="LOSE",1,IF(N(V1639)&gt;0,V1639,IF(CB1639=1,MAX(1,N(VLOOKUP(T1639,Parameter!$I$27:$K$29,3,0)),H1639,N(N1639)),IF(N(Q1639)&gt;0,Q1639,MAX(1,H1639)))))</f>
        <v>83</v>
      </c>
      <c r="CA1639" s="65" t="n">
        <f aca="false">IF(BY1639="LOSE",1,0)</f>
        <v>0</v>
      </c>
      <c r="CB1639" s="65" t="n">
        <f aca="false">IF(AND(U1639="",OR(P1639="",P1639="LOSE"),T1639&lt;&gt;"",N(S1639)&lt;=0,ISNUMBER(MATCH(T1639,Parameter!$I$27:$I$29,0))),1,0)</f>
        <v>1</v>
      </c>
      <c r="CC1639" s="65" t="n">
        <f aca="false">IF(CR1639&gt;0,INDEX(Parameter!$H$5:$H$7,W1639)/INDEX(Parameter!$E$5:$E$7,W1639),IF(AND(CA1639=0,N(IFERROR(VLOOKUP(BY1639,'Gebinde-Kategorie'!$A$5:$N$45,14,0),0))&gt;0),VLOOKUP(BY1639,'Gebinde-Kategorie'!$A$5:$N$45,14,0)*10+Parameter!$M$23,Parameter!$M$24))</f>
        <v>155</v>
      </c>
      <c r="CD1639" s="60" t="str">
        <f aca="false">IF(AND(Parameter!$B$19="Ja",E1639&lt;&gt;"",ISNUMBER(MATCH(E1639,Parameter!$I$35:$I$52,0))),VLOOKUP(E1639,Parameter!$I$35:$J$52,2,0),IFERROR(VLOOKUP(D1639,Parameter!$A$35:$C$64,2,0),"Nein"))</f>
        <v>2+3</v>
      </c>
      <c r="CE1639" s="64" t="n">
        <f aca="false">IF(CA1639=0,0,IF(N(S1639)&gt;0,S1639,IFERROR(VLOOKUP(D1639,Parameter!$A$35:$C$64,3,0)+0,0)))</f>
        <v>0</v>
      </c>
      <c r="CF1639" s="60" t="n">
        <f aca="false">IF(AB1639&lt;&gt;"",AB1639,AA1639)</f>
        <v>3</v>
      </c>
      <c r="CG1639" s="60" t="str">
        <f aca="false">IF(OR(CF1639=1,CF1639=2,CF1639=3),IF(Parameter!$E$27="Ja","LIFT",IF(CF1639=1,"L1","L23")),IF(CF1639="Aussen","Aussen","-"))</f>
        <v>LIFT</v>
      </c>
      <c r="CH1639" s="71" t="n">
        <f aca="false">IF(N(AC1639)&gt;0,AC1639,0)</f>
        <v>0</v>
      </c>
      <c r="CI1639" s="65" t="n">
        <f aca="false">IF(ISNUMBER(AF1639),1,0)</f>
        <v>0</v>
      </c>
      <c r="CJ1639" s="62" t="n">
        <f aca="false">N(AF1639)</f>
        <v>0</v>
      </c>
      <c r="CK1639" s="62" t="n">
        <f aca="false">N(M1639)+N(N1639)</f>
        <v>50</v>
      </c>
      <c r="CL1639" s="62" t="n">
        <f aca="false">N(M1639)</f>
        <v>0</v>
      </c>
      <c r="CM1639" s="62" t="n">
        <f aca="false">N(N1639)</f>
        <v>50</v>
      </c>
      <c r="CN1639" s="62" t="n">
        <f aca="false">ROUNDUP(H1639/BZ1639,0)</f>
        <v>1</v>
      </c>
      <c r="CO1639" s="62" t="n">
        <f aca="false">ROUNDUP(CJ1639/BZ1639,0)</f>
        <v>0</v>
      </c>
      <c r="CP1639" s="65" t="n">
        <f aca="false">IF(CA1639=1,0,IFERROR(VLOOKUP(BY1639,'Gebinde-Kategorie'!$A$5:$N$45,5,0)+0,0))</f>
        <v>11</v>
      </c>
      <c r="CQ1639" s="65" t="n">
        <f aca="false">IFERROR(IF(OR(CF1639=1,CF1639=2,CF1639=3),N(INDEX(Parameter!$I$5:$I$7,CF1639)),0),0)</f>
        <v>0</v>
      </c>
      <c r="CR1639" s="64" t="n">
        <f aca="false">IF(AND(Parameter!$B$21="Ja",ISNUMBER(W1639),N(X1639)&gt;0),IFERROR(N(INDEX(Parameter!$L$5:$L$7,W1639))*INDEX(Parameter!$E$5:$E$7,W1639)*X1639/SUMIFS($X$7:$X$1843,$W$7:$W$1843,W1639),0),0)</f>
        <v>0</v>
      </c>
      <c r="CS1639" s="62" t="n">
        <f aca="false">IF(AND(OR(CG1639="L1",CG1639="L23",CG1639="LIFT"),H1639&gt;0),CC1639*IF(CR1639&gt;0,CR1639*MAX(1,H1639/X1639),IF(CA1639=1,CE1639,IF(R1639&gt;0,CN1639/R1639,0))/MAX(0.1,N(Parameter!$M$21))),"")</f>
        <v>5.96153846153846</v>
      </c>
      <c r="CT1639" s="64" t="n">
        <f aca="false">IF(CS1639="","",J1639/H1639)</f>
        <v>0</v>
      </c>
      <c r="CU1639" s="62" t="n">
        <f aca="false">IF(CS1639="","",H1639*G1639)</f>
        <v>124.5</v>
      </c>
      <c r="CV1639" s="63" t="n">
        <f aca="false">IF(CS1639="","",(CL1639+ROUNDUP(CL1639+MAX(CM1639,2*(J1639/MAX(0.1,N(Einkauf!$C$6))-CL1639)),0))/2)</f>
        <v>25</v>
      </c>
      <c r="CW1639" s="62" t="n">
        <f aca="false">IF(CS1639="","",MAX(0,H1639-CV1639)*G1639)</f>
        <v>87</v>
      </c>
      <c r="CX1639" s="62" t="n">
        <f aca="false">IF(CS1639="","",CS1639*MAX(0,1-CV1639/H1639))</f>
        <v>4.16589434661724</v>
      </c>
      <c r="CY1639" s="64" t="n">
        <f aca="false">IF(CS1639="","",PERCENTRANK($CS$7:$CS$1843,CS1639)+PERCENTRANK($CU$7:$CU$1843,CU1639)+1-PERCENTRANK($CT$7:$CT$1843,CT1639))</f>
        <v>1.621</v>
      </c>
      <c r="CZ1639" s="72" t="n">
        <f aca="false">IF(CS1639="","",CHOOSE(MATCH(Einkauf!$C$5,Parameter!$G$23:$G$27,0),CY1639,CS1639,CU1639,-CT1639,CW1639)+ROW()/1000000000)</f>
        <v>1.621001639</v>
      </c>
    </row>
    <row r="1640" customFormat="false" ht="15" hidden="false" customHeight="false" outlineLevel="0" collapsed="false">
      <c r="A1640" s="60" t="s">
        <v>2894</v>
      </c>
      <c r="B1640" s="60" t="s">
        <v>2895</v>
      </c>
      <c r="C1640" s="60" t="s">
        <v>209</v>
      </c>
      <c r="D1640" s="60" t="s">
        <v>215</v>
      </c>
      <c r="E1640" s="60" t="s">
        <v>208</v>
      </c>
      <c r="F1640" s="60"/>
      <c r="G1640" s="61" t="n">
        <v>165.63</v>
      </c>
      <c r="H1640" s="62" t="n">
        <f aca="false">MAX(0,IF(AND(Parameter!$B$21="Ja",ISNUMBER(Y1640)),Y1640,IF(Parameter!$B$20="Jahresanfang 2025 + Export",BS1640+BR1640,BR1640)))</f>
        <v>53</v>
      </c>
      <c r="I1640" s="62" t="n">
        <f aca="false">H1640*G1640</f>
        <v>8778.39</v>
      </c>
      <c r="J1640" s="62" t="n">
        <f aca="false">BU1640*Parameter!$B$18</f>
        <v>0</v>
      </c>
      <c r="K1640" s="63"/>
      <c r="L1640" s="64"/>
      <c r="M1640" s="62" t="n">
        <v>0</v>
      </c>
      <c r="N1640" s="62" t="n">
        <v>25</v>
      </c>
      <c r="O1640" s="65" t="n">
        <v>105</v>
      </c>
      <c r="P1640" s="60" t="s">
        <v>210</v>
      </c>
      <c r="Q1640" s="62"/>
      <c r="R1640" s="65" t="n">
        <f aca="false">IF(CA1640=1,0,IFERROR(VLOOKUP(BY1640,'Gebinde-Kategorie'!$A$5:$N$45,13,0)+0,0))</f>
        <v>12</v>
      </c>
      <c r="S1640" s="66"/>
      <c r="T1640" s="67" t="s">
        <v>221</v>
      </c>
      <c r="U1640" s="67"/>
      <c r="V1640" s="67"/>
      <c r="W1640" s="60"/>
      <c r="X1640" s="62"/>
      <c r="Y1640" s="62"/>
      <c r="Z1640" s="60" t="n">
        <v>3</v>
      </c>
      <c r="AA1640" s="60" t="n">
        <f aca="false">IF(A1640="","",IF(AND(Parameter!$B$21="Ja",ISNUMBER(W1640)),W1640,IF(AND(Parameter!$E$27="Ja",ISNUMBER(Z1640),CD1640&lt;&gt;"Nein"),Z1640,IF(CD1640="2+3",IF(ISNUMBER(SEARCH("grosser Artikel",BV1640)),2,IFERROR(VLOOKUP(BY1640,Parameter!$F$35:$G$64,2,0),2)),IF(OR(CD1640="Nein",CD1640=""),"-",CD1640)))))</f>
        <v>3</v>
      </c>
      <c r="AB1640" s="67"/>
      <c r="AC1640" s="68"/>
      <c r="AD1640" s="62" t="n">
        <f aca="false">AW1640</f>
        <v>25</v>
      </c>
      <c r="AE1640" s="62" t="n">
        <f aca="false">MAX(AW1640,H1640)</f>
        <v>53</v>
      </c>
      <c r="AF1640" s="69"/>
      <c r="AG1640" s="62" t="n">
        <f aca="false">IF(LEFT(Cockpit!$C$5,1)="A",H1640,IF(Parameter!$E$30="MAX-Bestand",IF(CI1640=1,CJ1640,IF(LEFT(Cockpit!$C$5,1)="B",AM1640,MAX(AM1640,H1640))),ROUNDUP(AK1640,0)))</f>
        <v>53</v>
      </c>
      <c r="AH1640" s="62" t="n">
        <f aca="false">IF(CA1640=1,0,ROUNDUP(AG1640/BZ1640,0))</f>
        <v>1</v>
      </c>
      <c r="AI1640" s="64" t="n">
        <f aca="false">IF(CR1640&gt;0,CR1640*MAX(1,AG1640/X1640),IF(CA1640=1,IF(AG1640&lt;=0,0,CE1640*MAX(1,IF(H1640&gt;0,AG1640/H1640,1))),IF(R1640&gt;0,AH1640/R1640,0))/MAX(0.1,N(Parameter!$M$21)))</f>
        <v>0.0833333333333333</v>
      </c>
      <c r="AJ1640" s="62" t="n">
        <f aca="false">AI1640*CC1640</f>
        <v>12.0833333333333</v>
      </c>
      <c r="AK1640" s="63" t="n">
        <f aca="false">IF(LEFT(Cockpit!$C$5,1)="A",H1640,IF(CI1640=1,(CL1640+CJ1640)/2,IF(LEFT(Cockpit!$C$5,1)="B",(CL1640+AM1640)/2,MAX((CL1640+AM1640)/2,H1640))))</f>
        <v>53</v>
      </c>
      <c r="AL1640" s="62" t="n">
        <f aca="false">AK1640*G1640</f>
        <v>8778.39</v>
      </c>
      <c r="AM1640" s="62" t="n">
        <f aca="false">ROUNDUP(CL1640+MAX(CM1640,2*(J1640/IF(CH1640&gt;0,CH1640,MAX(0.1,N(Cockpit!$C$6)))-CL1640)),0)</f>
        <v>25</v>
      </c>
      <c r="AN1640" s="63" t="n">
        <f aca="false">IF(AJ1640&gt;0,J1640/AJ1640,-1)</f>
        <v>0</v>
      </c>
      <c r="AO1640" s="63" t="n">
        <f aca="false">IF(AND(OR(CG1640="L1",CG1640="L23",CG1640="LIFT"),AJ1640&gt;0),SUMIFS($AJ$7:$AJ$1843,$CG$7:$CG$1843,CG1640,$AN$7:$AN$1843,"&gt;"&amp;AN1640)+SUMIFS($AJ$7:$AJ$1843,$CG$7:$CG$1843,CG1640,$AN$7:$AN$1843,AN1640,$BX$7:$BX$1843,"&lt;="&amp;BX1640),"")</f>
        <v>30993.3523338714</v>
      </c>
      <c r="AP1640" s="70" t="n">
        <f aca="false">IF(AO1640="",0,MAX(0,MIN(1,(IF(CG1640="L1",Parameter!$H$5,IF(CG1640="L23",Parameter!$H$6+Parameter!$H$7,Parameter!$H$5+Parameter!$H$6+Parameter!$H$7))-(AO1640-AJ1640))/AJ1640)))</f>
        <v>1</v>
      </c>
      <c r="AQ1640" s="62" t="n">
        <f aca="false">IF(LEFT(Cockpit!$I$5,1)="A",H1640,IF(Parameter!$E$30="MAX-Bestand",IF(CI1640=1,CJ1640,IF(LEFT(Cockpit!$I$5,1)="B",AW1640,MAX(AW1640,H1640))),ROUNDUP(AU1640,0)))</f>
        <v>53</v>
      </c>
      <c r="AR1640" s="62" t="n">
        <f aca="false">IF(CA1640=1,0,ROUNDUP(AQ1640/BZ1640,0))</f>
        <v>1</v>
      </c>
      <c r="AS1640" s="64" t="n">
        <f aca="false">IF(CR1640&gt;0,CR1640*MAX(1,AQ1640/X1640),IF(CA1640=1,IF(AQ1640&lt;=0,0,CE1640*MAX(1,IF(H1640&gt;0,AQ1640/H1640,1))),IF(R1640&gt;0,AR1640/R1640,0))/MAX(0.1,N(Parameter!$M$21)))</f>
        <v>0.0833333333333333</v>
      </c>
      <c r="AT1640" s="62" t="n">
        <f aca="false">AS1640*CC1640</f>
        <v>12.0833333333333</v>
      </c>
      <c r="AU1640" s="63" t="n">
        <f aca="false">IF(LEFT(Cockpit!$I$5,1)="A",H1640,IF(CI1640=1,(CL1640+CJ1640)/2,IF(LEFT(Cockpit!$I$5,1)="B",(CL1640+AW1640)/2,MAX((CL1640+AW1640)/2,H1640))))</f>
        <v>53</v>
      </c>
      <c r="AV1640" s="62" t="n">
        <f aca="false">AU1640*G1640</f>
        <v>8778.39</v>
      </c>
      <c r="AW1640" s="62" t="n">
        <f aca="false">ROUNDUP(CL1640+MAX(CM1640,2*(J1640/IF(CH1640&gt;0,CH1640,MAX(0.1,N(Cockpit!$I$6)))-CL1640)),0)</f>
        <v>25</v>
      </c>
      <c r="AX1640" s="63" t="n">
        <f aca="false">IF(AT1640&gt;0,J1640/AT1640,-1)</f>
        <v>0</v>
      </c>
      <c r="AY1640" s="63" t="n">
        <f aca="false">IF(AND(OR(CG1640="L1",CG1640="L23",CG1640="LIFT"),AT1640&gt;0),SUMIFS($AT$7:$AT$1843,$CG$7:$CG$1843,CG1640,$AX$7:$AX$1843,"&gt;"&amp;AX1640)+SUMIFS($AT$7:$AT$1843,$CG$7:$CG$1843,CG1640,$AX$7:$AX$1843,AX1640,$BX$7:$BX$1843,"&lt;="&amp;BX1640),"")</f>
        <v>37313.2088507067</v>
      </c>
      <c r="AZ1640" s="70" t="n">
        <f aca="false">IF(AY1640="",0,MAX(0,MIN(1,(IF(CG1640="L1",Parameter!$H$5,IF(CG1640="L23",Parameter!$H$6+Parameter!$H$7,Parameter!$H$5+Parameter!$H$6+Parameter!$H$7))-(AY1640-AT1640))/AT1640)))</f>
        <v>0</v>
      </c>
      <c r="BA1640" s="62" t="n">
        <f aca="false">IF(LEFT(Cockpit!$O$5,1)="A",H1640,IF(Parameter!$E$30="MAX-Bestand",IF(CI1640=1,CJ1640,IF(LEFT(Cockpit!$O$5,1)="B",BG1640,MAX(BG1640,H1640))),ROUNDUP(BE1640,0)))</f>
        <v>13</v>
      </c>
      <c r="BB1640" s="62" t="n">
        <f aca="false">IF(CA1640=1,0,ROUNDUP(BA1640/BZ1640,0))</f>
        <v>1</v>
      </c>
      <c r="BC1640" s="64" t="n">
        <f aca="false">IF(CR1640&gt;0,CR1640*MAX(1,BA1640/X1640),IF(CA1640=1,IF(BA1640&lt;=0,0,CE1640*MAX(1,IF(H1640&gt;0,BA1640/H1640,1))),IF(R1640&gt;0,BB1640/R1640,0))/MAX(0.1,N(Parameter!$M$21)))</f>
        <v>0.0833333333333333</v>
      </c>
      <c r="BD1640" s="62" t="n">
        <f aca="false">BC1640*CC1640</f>
        <v>12.0833333333333</v>
      </c>
      <c r="BE1640" s="63" t="n">
        <f aca="false">IF(LEFT(Cockpit!$O$5,1)="A",H1640,IF(CI1640=1,(CL1640+CJ1640)/2,IF(LEFT(Cockpit!$O$5,1)="B",(CL1640+BG1640)/2,MAX((CL1640+BG1640)/2,H1640))))</f>
        <v>12.5</v>
      </c>
      <c r="BF1640" s="62" t="n">
        <f aca="false">BE1640*G1640</f>
        <v>2070.375</v>
      </c>
      <c r="BG1640" s="62" t="n">
        <f aca="false">ROUNDUP(CL1640+MAX(CM1640,2*(J1640/IF(CH1640&gt;0,CH1640,MAX(0.1,N(Cockpit!$O$6)))-CL1640)),0)</f>
        <v>25</v>
      </c>
      <c r="BH1640" s="63" t="n">
        <f aca="false">IF(BD1640&gt;0,J1640/BD1640,-1)</f>
        <v>0</v>
      </c>
      <c r="BI1640" s="63" t="n">
        <f aca="false">IF(AND(OR(CG1640="L1",CG1640="L23",CG1640="LIFT"),BD1640&gt;0),SUMIFS($BD$7:$BD$1843,$CG$7:$CG$1843,CG1640,$BH$7:$BH$1843,"&gt;"&amp;BH1640)+SUMIFS($BD$7:$BD$1843,$CG$7:$CG$1843,CG1640,$BH$7:$BH$1843,BH1640,$BX$7:$BX$1843,"&lt;="&amp;BX1640),"")</f>
        <v>31222.6501262391</v>
      </c>
      <c r="BJ1640" s="70" t="n">
        <f aca="false">IF(BI1640="",0,MAX(0,MIN(1,(IF(CG1640="L1",Parameter!$H$5,IF(CG1640="L23",Parameter!$H$6+Parameter!$H$7,Parameter!$H$5+Parameter!$H$6+Parameter!$H$7))-(BI1640-BD1640))/BD1640)))</f>
        <v>1</v>
      </c>
      <c r="BK1640" s="60" t="str">
        <f aca="false">IF(AJ1640&lt;=0,"",IF(CG1640="Aussen","Aussenlager",IF(CG1640="-","Nicht im Lift",IF(AP1640&gt;=1,"Lift",IF(AP1640&lt;=0,"Aussenlager","teilweise")))))</f>
        <v>Lift</v>
      </c>
      <c r="BL1640" s="60" t="str">
        <f aca="false">IF(AT1640&lt;=0,"",IF(CG1640="Aussen","Aussenlager",IF(CG1640="-","Nicht im Lift",IF(AZ1640&gt;=1,"Lift",IF(AZ1640&lt;=0,"Aussenlager","teilweise")))))</f>
        <v>Aussenlager</v>
      </c>
      <c r="BM1640" s="60" t="str">
        <f aca="false">IF(BD1640&lt;=0,"",IF(CG1640="Aussen","Aussenlager",IF(CG1640="-","Nicht im Lift",IF(BJ1640&gt;=1,"Lift",IF(BJ1640&lt;=0,"Aussenlager","teilweise")))))</f>
        <v>Lift</v>
      </c>
      <c r="BN1640" s="60" t="str">
        <f aca="false">IF(A1640="","",IF(BW1640=1,"Neu; ","")&amp;IF(AND(BW1640=0,BR1640&lt;0),"negativer Bestand (Export "&amp;BR1640&amp;"); ","")&amp;IF(J1640&lt;=0,"Kein Verbrauch; ","")&amp;IF(CR1640&gt;0,"Lift "&amp;W1640&amp;" lt. Liftbericht (Fach "&amp;X1640&amp;" Stk); ",IF(CB1640=1,"Gebinde geschätzt ("&amp;T1640&amp;"); ",IF(CA1640=1,"Lose – Tablare geschätzt; ","")))&amp;IF(H1640&gt;AW1640,"Überbestand "&amp;ROUND(H1640-AW1640,0)&amp;" Stk / CHF "&amp;ROUND((H1640-AW1640)*G1640,0)&amp;"; ","")&amp;IF(AND(CI1640=1,CJ1640&lt;CK1640),"MAX &lt; MB+LG; ","")&amp;IF(AND(CQ1640&gt;0,CP1640*10&gt;CQ1640),"zu hoch für Tablar; ","")&amp;IF(AND(BW1640=0,OR(CI1640=1,AB1640&lt;&gt;"",U1640&lt;&gt;"",V1640&lt;&gt;"",AC1640&lt;&gt;"")),"manuell übersteuert; ","")&amp;IF(AND(CA1640=0,R1640=0),"Gebinde unbekannt / Stellmass fehlt; ","")&amp;IF(AND(CA1640=0,N(V1640)&lt;=0,N(Q1640)&lt;=0),"Menge pro Gebinde fehlt (Ist = 1 Gebinde); ","")&amp;BV1640)</f>
        <v>Kein Verbrauch; Gebinde geschätzt (Mittel); Überbestand 28 Stk / CHF 4638; Menge pro Gebinde fehlt (Ist = 1 Gebinde); nur im Artikelstamm (Bestand 23.06.2026)</v>
      </c>
      <c r="BO1640" s="60"/>
      <c r="BP1640" s="60"/>
      <c r="BQ1640" s="67"/>
      <c r="BR1640" s="62" t="n">
        <v>53</v>
      </c>
      <c r="BS1640" s="62" t="n">
        <v>0</v>
      </c>
      <c r="BT1640" s="61" t="n">
        <v>0</v>
      </c>
      <c r="BU1640" s="62" t="n">
        <v>0</v>
      </c>
      <c r="BV1640" s="60" t="s">
        <v>2617</v>
      </c>
      <c r="BW1640" s="65" t="n">
        <v>0</v>
      </c>
      <c r="BX1640" s="65" t="n">
        <v>1640</v>
      </c>
      <c r="BY1640" s="60" t="str">
        <f aca="false">IF(U1640&lt;&gt;"",UPPER(TRIM(U1640)),IF(CB1640=1,UPPER(VLOOKUP(T1640,Parameter!$I$27:$K$29,2,0)),IF(P1640="","LOSE",P1640)))</f>
        <v>S61</v>
      </c>
      <c r="BZ1640" s="62" t="n">
        <f aca="false">IF(BY1640="LOSE",1,IF(N(V1640)&gt;0,V1640,IF(CB1640=1,MAX(1,N(VLOOKUP(T1640,Parameter!$I$27:$K$29,3,0)),H1640,N(N1640)),IF(N(Q1640)&gt;0,Q1640,MAX(1,H1640)))))</f>
        <v>53</v>
      </c>
      <c r="CA1640" s="65" t="n">
        <f aca="false">IF(BY1640="LOSE",1,0)</f>
        <v>0</v>
      </c>
      <c r="CB1640" s="65" t="n">
        <f aca="false">IF(AND(U1640="",OR(P1640="",P1640="LOSE"),T1640&lt;&gt;"",N(S1640)&lt;=0,ISNUMBER(MATCH(T1640,Parameter!$I$27:$I$29,0))),1,0)</f>
        <v>1</v>
      </c>
      <c r="CC1640" s="65" t="n">
        <f aca="false">IF(CR1640&gt;0,INDEX(Parameter!$H$5:$H$7,W1640)/INDEX(Parameter!$E$5:$E$7,W1640),IF(AND(CA1640=0,N(IFERROR(VLOOKUP(BY1640,'Gebinde-Kategorie'!$A$5:$N$45,14,0),0))&gt;0),VLOOKUP(BY1640,'Gebinde-Kategorie'!$A$5:$N$45,14,0)*10+Parameter!$M$23,Parameter!$M$24))</f>
        <v>145</v>
      </c>
      <c r="CD1640" s="60" t="n">
        <f aca="false">IF(AND(Parameter!$B$19="Ja",E1640&lt;&gt;"",ISNUMBER(MATCH(E1640,Parameter!$I$35:$I$52,0))),VLOOKUP(E1640,Parameter!$I$35:$J$52,2,0),IFERROR(VLOOKUP(D1640,Parameter!$A$35:$C$64,2,0),"Nein"))</f>
        <v>1</v>
      </c>
      <c r="CE1640" s="64" t="n">
        <f aca="false">IF(CA1640=0,0,IF(N(S1640)&gt;0,S1640,IFERROR(VLOOKUP(D1640,Parameter!$A$35:$C$64,3,0)+0,0)))</f>
        <v>0</v>
      </c>
      <c r="CF1640" s="60" t="n">
        <f aca="false">IF(AB1640&lt;&gt;"",AB1640,AA1640)</f>
        <v>3</v>
      </c>
      <c r="CG1640" s="60" t="str">
        <f aca="false">IF(OR(CF1640=1,CF1640=2,CF1640=3),IF(Parameter!$E$27="Ja","LIFT",IF(CF1640=1,"L1","L23")),IF(CF1640="Aussen","Aussen","-"))</f>
        <v>LIFT</v>
      </c>
      <c r="CH1640" s="71" t="n">
        <f aca="false">IF(N(AC1640)&gt;0,AC1640,0)</f>
        <v>0</v>
      </c>
      <c r="CI1640" s="65" t="n">
        <f aca="false">IF(ISNUMBER(AF1640),1,0)</f>
        <v>0</v>
      </c>
      <c r="CJ1640" s="62" t="n">
        <f aca="false">N(AF1640)</f>
        <v>0</v>
      </c>
      <c r="CK1640" s="62" t="n">
        <f aca="false">N(M1640)+N(N1640)</f>
        <v>25</v>
      </c>
      <c r="CL1640" s="62" t="n">
        <f aca="false">N(M1640)</f>
        <v>0</v>
      </c>
      <c r="CM1640" s="62" t="n">
        <f aca="false">N(N1640)</f>
        <v>25</v>
      </c>
      <c r="CN1640" s="62" t="n">
        <f aca="false">ROUNDUP(H1640/BZ1640,0)</f>
        <v>1</v>
      </c>
      <c r="CO1640" s="62" t="n">
        <f aca="false">ROUNDUP(CJ1640/BZ1640,0)</f>
        <v>0</v>
      </c>
      <c r="CP1640" s="65" t="n">
        <f aca="false">IF(CA1640=1,0,IFERROR(VLOOKUP(BY1640,'Gebinde-Kategorie'!$A$5:$N$45,5,0)+0,0))</f>
        <v>11</v>
      </c>
      <c r="CQ1640" s="65" t="n">
        <f aca="false">IFERROR(IF(OR(CF1640=1,CF1640=2,CF1640=3),N(INDEX(Parameter!$I$5:$I$7,CF1640)),0),0)</f>
        <v>0</v>
      </c>
      <c r="CR1640" s="64" t="n">
        <f aca="false">IF(AND(Parameter!$B$21="Ja",ISNUMBER(W1640),N(X1640)&gt;0),IFERROR(N(INDEX(Parameter!$L$5:$L$7,W1640))*INDEX(Parameter!$E$5:$E$7,W1640)*X1640/SUMIFS($X$7:$X$1843,$W$7:$W$1843,W1640),0),0)</f>
        <v>0</v>
      </c>
      <c r="CS1640" s="62" t="n">
        <f aca="false">IF(AND(OR(CG1640="L1",CG1640="L23",CG1640="LIFT"),H1640&gt;0),CC1640*IF(CR1640&gt;0,CR1640*MAX(1,H1640/X1640),IF(CA1640=1,CE1640,IF(R1640&gt;0,CN1640/R1640,0))/MAX(0.1,N(Parameter!$M$21))),"")</f>
        <v>12.0833333333333</v>
      </c>
      <c r="CT1640" s="64" t="n">
        <f aca="false">IF(CS1640="","",J1640/H1640)</f>
        <v>0</v>
      </c>
      <c r="CU1640" s="62" t="n">
        <f aca="false">IF(CS1640="","",H1640*G1640)</f>
        <v>8778.39</v>
      </c>
      <c r="CV1640" s="63" t="n">
        <f aca="false">IF(CS1640="","",(CL1640+ROUNDUP(CL1640+MAX(CM1640,2*(J1640/MAX(0.1,N(Einkauf!$C$6))-CL1640)),0))/2)</f>
        <v>12.5</v>
      </c>
      <c r="CW1640" s="62" t="n">
        <f aca="false">IF(CS1640="","",MAX(0,H1640-CV1640)*G1640)</f>
        <v>6708.015</v>
      </c>
      <c r="CX1640" s="62" t="n">
        <f aca="false">IF(CS1640="","",CS1640*MAX(0,1-CV1640/H1640))</f>
        <v>9.23349056603773</v>
      </c>
      <c r="CY1640" s="64" t="n">
        <f aca="false">IF(CS1640="","",PERCENTRANK($CS$7:$CS$1843,CS1640)+PERCENTRANK($CU$7:$CU$1843,CU1640)+1-PERCENTRANK($CT$7:$CT$1843,CT1640))</f>
        <v>2.604</v>
      </c>
      <c r="CZ1640" s="72" t="n">
        <f aca="false">IF(CS1640="","",CHOOSE(MATCH(Einkauf!$C$5,Parameter!$G$23:$G$27,0),CY1640,CS1640,CU1640,-CT1640,CW1640)+ROW()/1000000000)</f>
        <v>2.60400164</v>
      </c>
    </row>
    <row r="1641" customFormat="false" ht="15" hidden="false" customHeight="false" outlineLevel="0" collapsed="false">
      <c r="A1641" s="60" t="s">
        <v>2896</v>
      </c>
      <c r="B1641" s="60" t="s">
        <v>2897</v>
      </c>
      <c r="C1641" s="60" t="s">
        <v>209</v>
      </c>
      <c r="D1641" s="60" t="s">
        <v>215</v>
      </c>
      <c r="E1641" s="60" t="s">
        <v>208</v>
      </c>
      <c r="F1641" s="60"/>
      <c r="G1641" s="61" t="n">
        <v>242.48</v>
      </c>
      <c r="H1641" s="62" t="n">
        <f aca="false">MAX(0,IF(AND(Parameter!$B$21="Ja",ISNUMBER(Y1641)),Y1641,IF(Parameter!$B$20="Jahresanfang 2025 + Export",BS1641+BR1641,BR1641)))</f>
        <v>48</v>
      </c>
      <c r="I1641" s="62" t="n">
        <f aca="false">H1641*G1641</f>
        <v>11639.04</v>
      </c>
      <c r="J1641" s="62" t="n">
        <f aca="false">BU1641*Parameter!$B$18</f>
        <v>0</v>
      </c>
      <c r="K1641" s="63"/>
      <c r="L1641" s="64"/>
      <c r="M1641" s="62" t="n">
        <v>0</v>
      </c>
      <c r="N1641" s="62" t="n">
        <v>15</v>
      </c>
      <c r="O1641" s="65" t="n">
        <v>105</v>
      </c>
      <c r="P1641" s="60" t="s">
        <v>210</v>
      </c>
      <c r="Q1641" s="62"/>
      <c r="R1641" s="65" t="n">
        <f aca="false">IF(CA1641=1,0,IFERROR(VLOOKUP(BY1641,'Gebinde-Kategorie'!$A$5:$N$45,13,0)+0,0))</f>
        <v>12</v>
      </c>
      <c r="S1641" s="66"/>
      <c r="T1641" s="67" t="s">
        <v>221</v>
      </c>
      <c r="U1641" s="67"/>
      <c r="V1641" s="67"/>
      <c r="W1641" s="60"/>
      <c r="X1641" s="62"/>
      <c r="Y1641" s="62"/>
      <c r="Z1641" s="60" t="n">
        <v>3</v>
      </c>
      <c r="AA1641" s="60" t="n">
        <f aca="false">IF(A1641="","",IF(AND(Parameter!$B$21="Ja",ISNUMBER(W1641)),W1641,IF(AND(Parameter!$E$27="Ja",ISNUMBER(Z1641),CD1641&lt;&gt;"Nein"),Z1641,IF(CD1641="2+3",IF(ISNUMBER(SEARCH("grosser Artikel",BV1641)),2,IFERROR(VLOOKUP(BY1641,Parameter!$F$35:$G$64,2,0),2)),IF(OR(CD1641="Nein",CD1641=""),"-",CD1641)))))</f>
        <v>3</v>
      </c>
      <c r="AB1641" s="67"/>
      <c r="AC1641" s="68"/>
      <c r="AD1641" s="62" t="n">
        <f aca="false">AW1641</f>
        <v>15</v>
      </c>
      <c r="AE1641" s="62" t="n">
        <f aca="false">MAX(AW1641,H1641)</f>
        <v>48</v>
      </c>
      <c r="AF1641" s="69"/>
      <c r="AG1641" s="62" t="n">
        <f aca="false">IF(LEFT(Cockpit!$C$5,1)="A",H1641,IF(Parameter!$E$30="MAX-Bestand",IF(CI1641=1,CJ1641,IF(LEFT(Cockpit!$C$5,1)="B",AM1641,MAX(AM1641,H1641))),ROUNDUP(AK1641,0)))</f>
        <v>48</v>
      </c>
      <c r="AH1641" s="62" t="n">
        <f aca="false">IF(CA1641=1,0,ROUNDUP(AG1641/BZ1641,0))</f>
        <v>1</v>
      </c>
      <c r="AI1641" s="64" t="n">
        <f aca="false">IF(CR1641&gt;0,CR1641*MAX(1,AG1641/X1641),IF(CA1641=1,IF(AG1641&lt;=0,0,CE1641*MAX(1,IF(H1641&gt;0,AG1641/H1641,1))),IF(R1641&gt;0,AH1641/R1641,0))/MAX(0.1,N(Parameter!$M$21)))</f>
        <v>0.0833333333333333</v>
      </c>
      <c r="AJ1641" s="62" t="n">
        <f aca="false">AI1641*CC1641</f>
        <v>12.0833333333333</v>
      </c>
      <c r="AK1641" s="63" t="n">
        <f aca="false">IF(LEFT(Cockpit!$C$5,1)="A",H1641,IF(CI1641=1,(CL1641+CJ1641)/2,IF(LEFT(Cockpit!$C$5,1)="B",(CL1641+AM1641)/2,MAX((CL1641+AM1641)/2,H1641))))</f>
        <v>48</v>
      </c>
      <c r="AL1641" s="62" t="n">
        <f aca="false">AK1641*G1641</f>
        <v>11639.04</v>
      </c>
      <c r="AM1641" s="62" t="n">
        <f aca="false">ROUNDUP(CL1641+MAX(CM1641,2*(J1641/IF(CH1641&gt;0,CH1641,MAX(0.1,N(Cockpit!$C$6)))-CL1641)),0)</f>
        <v>15</v>
      </c>
      <c r="AN1641" s="63" t="n">
        <f aca="false">IF(AJ1641&gt;0,J1641/AJ1641,-1)</f>
        <v>0</v>
      </c>
      <c r="AO1641" s="63" t="n">
        <f aca="false">IF(AND(OR(CG1641="L1",CG1641="L23",CG1641="LIFT"),AJ1641&gt;0),SUMIFS($AJ$7:$AJ$1843,$CG$7:$CG$1843,CG1641,$AN$7:$AN$1843,"&gt;"&amp;AN1641)+SUMIFS($AJ$7:$AJ$1843,$CG$7:$CG$1843,CG1641,$AN$7:$AN$1843,AN1641,$BX$7:$BX$1843,"&lt;="&amp;BX1641),"")</f>
        <v>31005.4356672047</v>
      </c>
      <c r="AP1641" s="70" t="n">
        <f aca="false">IF(AO1641="",0,MAX(0,MIN(1,(IF(CG1641="L1",Parameter!$H$5,IF(CG1641="L23",Parameter!$H$6+Parameter!$H$7,Parameter!$H$5+Parameter!$H$6+Parameter!$H$7))-(AO1641-AJ1641))/AJ1641)))</f>
        <v>1</v>
      </c>
      <c r="AQ1641" s="62" t="n">
        <f aca="false">IF(LEFT(Cockpit!$I$5,1)="A",H1641,IF(Parameter!$E$30="MAX-Bestand",IF(CI1641=1,CJ1641,IF(LEFT(Cockpit!$I$5,1)="B",AW1641,MAX(AW1641,H1641))),ROUNDUP(AU1641,0)))</f>
        <v>48</v>
      </c>
      <c r="AR1641" s="62" t="n">
        <f aca="false">IF(CA1641=1,0,ROUNDUP(AQ1641/BZ1641,0))</f>
        <v>1</v>
      </c>
      <c r="AS1641" s="64" t="n">
        <f aca="false">IF(CR1641&gt;0,CR1641*MAX(1,AQ1641/X1641),IF(CA1641=1,IF(AQ1641&lt;=0,0,CE1641*MAX(1,IF(H1641&gt;0,AQ1641/H1641,1))),IF(R1641&gt;0,AR1641/R1641,0))/MAX(0.1,N(Parameter!$M$21)))</f>
        <v>0.0833333333333333</v>
      </c>
      <c r="AT1641" s="62" t="n">
        <f aca="false">AS1641*CC1641</f>
        <v>12.0833333333333</v>
      </c>
      <c r="AU1641" s="63" t="n">
        <f aca="false">IF(LEFT(Cockpit!$I$5,1)="A",H1641,IF(CI1641=1,(CL1641+CJ1641)/2,IF(LEFT(Cockpit!$I$5,1)="B",(CL1641+AW1641)/2,MAX((CL1641+AW1641)/2,H1641))))</f>
        <v>48</v>
      </c>
      <c r="AV1641" s="62" t="n">
        <f aca="false">AU1641*G1641</f>
        <v>11639.04</v>
      </c>
      <c r="AW1641" s="62" t="n">
        <f aca="false">ROUNDUP(CL1641+MAX(CM1641,2*(J1641/IF(CH1641&gt;0,CH1641,MAX(0.1,N(Cockpit!$I$6)))-CL1641)),0)</f>
        <v>15</v>
      </c>
      <c r="AX1641" s="63" t="n">
        <f aca="false">IF(AT1641&gt;0,J1641/AT1641,-1)</f>
        <v>0</v>
      </c>
      <c r="AY1641" s="63" t="n">
        <f aca="false">IF(AND(OR(CG1641="L1",CG1641="L23",CG1641="LIFT"),AT1641&gt;0),SUMIFS($AT$7:$AT$1843,$CG$7:$CG$1843,CG1641,$AX$7:$AX$1843,"&gt;"&amp;AX1641)+SUMIFS($AT$7:$AT$1843,$CG$7:$CG$1843,CG1641,$AX$7:$AX$1843,AX1641,$BX$7:$BX$1843,"&lt;="&amp;BX1641),"")</f>
        <v>37325.2921840401</v>
      </c>
      <c r="AZ1641" s="70" t="n">
        <f aca="false">IF(AY1641="",0,MAX(0,MIN(1,(IF(CG1641="L1",Parameter!$H$5,IF(CG1641="L23",Parameter!$H$6+Parameter!$H$7,Parameter!$H$5+Parameter!$H$6+Parameter!$H$7))-(AY1641-AT1641))/AT1641)))</f>
        <v>0</v>
      </c>
      <c r="BA1641" s="62" t="n">
        <f aca="false">IF(LEFT(Cockpit!$O$5,1)="A",H1641,IF(Parameter!$E$30="MAX-Bestand",IF(CI1641=1,CJ1641,IF(LEFT(Cockpit!$O$5,1)="B",BG1641,MAX(BG1641,H1641))),ROUNDUP(BE1641,0)))</f>
        <v>8</v>
      </c>
      <c r="BB1641" s="62" t="n">
        <f aca="false">IF(CA1641=1,0,ROUNDUP(BA1641/BZ1641,0))</f>
        <v>1</v>
      </c>
      <c r="BC1641" s="64" t="n">
        <f aca="false">IF(CR1641&gt;0,CR1641*MAX(1,BA1641/X1641),IF(CA1641=1,IF(BA1641&lt;=0,0,CE1641*MAX(1,IF(H1641&gt;0,BA1641/H1641,1))),IF(R1641&gt;0,BB1641/R1641,0))/MAX(0.1,N(Parameter!$M$21)))</f>
        <v>0.0833333333333333</v>
      </c>
      <c r="BD1641" s="62" t="n">
        <f aca="false">BC1641*CC1641</f>
        <v>12.0833333333333</v>
      </c>
      <c r="BE1641" s="63" t="n">
        <f aca="false">IF(LEFT(Cockpit!$O$5,1)="A",H1641,IF(CI1641=1,(CL1641+CJ1641)/2,IF(LEFT(Cockpit!$O$5,1)="B",(CL1641+BG1641)/2,MAX((CL1641+BG1641)/2,H1641))))</f>
        <v>7.5</v>
      </c>
      <c r="BF1641" s="62" t="n">
        <f aca="false">BE1641*G1641</f>
        <v>1818.6</v>
      </c>
      <c r="BG1641" s="62" t="n">
        <f aca="false">ROUNDUP(CL1641+MAX(CM1641,2*(J1641/IF(CH1641&gt;0,CH1641,MAX(0.1,N(Cockpit!$O$6)))-CL1641)),0)</f>
        <v>15</v>
      </c>
      <c r="BH1641" s="63" t="n">
        <f aca="false">IF(BD1641&gt;0,J1641/BD1641,-1)</f>
        <v>0</v>
      </c>
      <c r="BI1641" s="63" t="n">
        <f aca="false">IF(AND(OR(CG1641="L1",CG1641="L23",CG1641="LIFT"),BD1641&gt;0),SUMIFS($BD$7:$BD$1843,$CG$7:$CG$1843,CG1641,$BH$7:$BH$1843,"&gt;"&amp;BH1641)+SUMIFS($BD$7:$BD$1843,$CG$7:$CG$1843,CG1641,$BH$7:$BH$1843,BH1641,$BX$7:$BX$1843,"&lt;="&amp;BX1641),"")</f>
        <v>31234.7334595724</v>
      </c>
      <c r="BJ1641" s="70" t="n">
        <f aca="false">IF(BI1641="",0,MAX(0,MIN(1,(IF(CG1641="L1",Parameter!$H$5,IF(CG1641="L23",Parameter!$H$6+Parameter!$H$7,Parameter!$H$5+Parameter!$H$6+Parameter!$H$7))-(BI1641-BD1641))/BD1641)))</f>
        <v>1</v>
      </c>
      <c r="BK1641" s="60" t="str">
        <f aca="false">IF(AJ1641&lt;=0,"",IF(CG1641="Aussen","Aussenlager",IF(CG1641="-","Nicht im Lift",IF(AP1641&gt;=1,"Lift",IF(AP1641&lt;=0,"Aussenlager","teilweise")))))</f>
        <v>Lift</v>
      </c>
      <c r="BL1641" s="60" t="str">
        <f aca="false">IF(AT1641&lt;=0,"",IF(CG1641="Aussen","Aussenlager",IF(CG1641="-","Nicht im Lift",IF(AZ1641&gt;=1,"Lift",IF(AZ1641&lt;=0,"Aussenlager","teilweise")))))</f>
        <v>Aussenlager</v>
      </c>
      <c r="BM1641" s="60" t="str">
        <f aca="false">IF(BD1641&lt;=0,"",IF(CG1641="Aussen","Aussenlager",IF(CG1641="-","Nicht im Lift",IF(BJ1641&gt;=1,"Lift",IF(BJ1641&lt;=0,"Aussenlager","teilweise")))))</f>
        <v>Lift</v>
      </c>
      <c r="BN1641" s="60" t="str">
        <f aca="false">IF(A1641="","",IF(BW1641=1,"Neu; ","")&amp;IF(AND(BW1641=0,BR1641&lt;0),"negativer Bestand (Export "&amp;BR1641&amp;"); ","")&amp;IF(J1641&lt;=0,"Kein Verbrauch; ","")&amp;IF(CR1641&gt;0,"Lift "&amp;W1641&amp;" lt. Liftbericht (Fach "&amp;X1641&amp;" Stk); ",IF(CB1641=1,"Gebinde geschätzt ("&amp;T1641&amp;"); ",IF(CA1641=1,"Lose – Tablare geschätzt; ","")))&amp;IF(H1641&gt;AW1641,"Überbestand "&amp;ROUND(H1641-AW1641,0)&amp;" Stk / CHF "&amp;ROUND((H1641-AW1641)*G1641,0)&amp;"; ","")&amp;IF(AND(CI1641=1,CJ1641&lt;CK1641),"MAX &lt; MB+LG; ","")&amp;IF(AND(CQ1641&gt;0,CP1641*10&gt;CQ1641),"zu hoch für Tablar; ","")&amp;IF(AND(BW1641=0,OR(CI1641=1,AB1641&lt;&gt;"",U1641&lt;&gt;"",V1641&lt;&gt;"",AC1641&lt;&gt;"")),"manuell übersteuert; ","")&amp;IF(AND(CA1641=0,R1641=0),"Gebinde unbekannt / Stellmass fehlt; ","")&amp;IF(AND(CA1641=0,N(V1641)&lt;=0,N(Q1641)&lt;=0),"Menge pro Gebinde fehlt (Ist = 1 Gebinde); ","")&amp;BV1641)</f>
        <v>Kein Verbrauch; Gebinde geschätzt (Mittel); Überbestand 33 Stk / CHF 8002; Menge pro Gebinde fehlt (Ist = 1 Gebinde); nur im Artikelstamm (Bestand 23.06.2026)</v>
      </c>
      <c r="BO1641" s="60"/>
      <c r="BP1641" s="60"/>
      <c r="BQ1641" s="67"/>
      <c r="BR1641" s="62" t="n">
        <v>48</v>
      </c>
      <c r="BS1641" s="62" t="n">
        <v>0</v>
      </c>
      <c r="BT1641" s="61" t="n">
        <v>0</v>
      </c>
      <c r="BU1641" s="62" t="n">
        <v>0</v>
      </c>
      <c r="BV1641" s="60" t="s">
        <v>2617</v>
      </c>
      <c r="BW1641" s="65" t="n">
        <v>0</v>
      </c>
      <c r="BX1641" s="65" t="n">
        <v>1641</v>
      </c>
      <c r="BY1641" s="60" t="str">
        <f aca="false">IF(U1641&lt;&gt;"",UPPER(TRIM(U1641)),IF(CB1641=1,UPPER(VLOOKUP(T1641,Parameter!$I$27:$K$29,2,0)),IF(P1641="","LOSE",P1641)))</f>
        <v>S61</v>
      </c>
      <c r="BZ1641" s="62" t="n">
        <f aca="false">IF(BY1641="LOSE",1,IF(N(V1641)&gt;0,V1641,IF(CB1641=1,MAX(1,N(VLOOKUP(T1641,Parameter!$I$27:$K$29,3,0)),H1641,N(N1641)),IF(N(Q1641)&gt;0,Q1641,MAX(1,H1641)))))</f>
        <v>48</v>
      </c>
      <c r="CA1641" s="65" t="n">
        <f aca="false">IF(BY1641="LOSE",1,0)</f>
        <v>0</v>
      </c>
      <c r="CB1641" s="65" t="n">
        <f aca="false">IF(AND(U1641="",OR(P1641="",P1641="LOSE"),T1641&lt;&gt;"",N(S1641)&lt;=0,ISNUMBER(MATCH(T1641,Parameter!$I$27:$I$29,0))),1,0)</f>
        <v>1</v>
      </c>
      <c r="CC1641" s="65" t="n">
        <f aca="false">IF(CR1641&gt;0,INDEX(Parameter!$H$5:$H$7,W1641)/INDEX(Parameter!$E$5:$E$7,W1641),IF(AND(CA1641=0,N(IFERROR(VLOOKUP(BY1641,'Gebinde-Kategorie'!$A$5:$N$45,14,0),0))&gt;0),VLOOKUP(BY1641,'Gebinde-Kategorie'!$A$5:$N$45,14,0)*10+Parameter!$M$23,Parameter!$M$24))</f>
        <v>145</v>
      </c>
      <c r="CD1641" s="60" t="n">
        <f aca="false">IF(AND(Parameter!$B$19="Ja",E1641&lt;&gt;"",ISNUMBER(MATCH(E1641,Parameter!$I$35:$I$52,0))),VLOOKUP(E1641,Parameter!$I$35:$J$52,2,0),IFERROR(VLOOKUP(D1641,Parameter!$A$35:$C$64,2,0),"Nein"))</f>
        <v>1</v>
      </c>
      <c r="CE1641" s="64" t="n">
        <f aca="false">IF(CA1641=0,0,IF(N(S1641)&gt;0,S1641,IFERROR(VLOOKUP(D1641,Parameter!$A$35:$C$64,3,0)+0,0)))</f>
        <v>0</v>
      </c>
      <c r="CF1641" s="60" t="n">
        <f aca="false">IF(AB1641&lt;&gt;"",AB1641,AA1641)</f>
        <v>3</v>
      </c>
      <c r="CG1641" s="60" t="str">
        <f aca="false">IF(OR(CF1641=1,CF1641=2,CF1641=3),IF(Parameter!$E$27="Ja","LIFT",IF(CF1641=1,"L1","L23")),IF(CF1641="Aussen","Aussen","-"))</f>
        <v>LIFT</v>
      </c>
      <c r="CH1641" s="71" t="n">
        <f aca="false">IF(N(AC1641)&gt;0,AC1641,0)</f>
        <v>0</v>
      </c>
      <c r="CI1641" s="65" t="n">
        <f aca="false">IF(ISNUMBER(AF1641),1,0)</f>
        <v>0</v>
      </c>
      <c r="CJ1641" s="62" t="n">
        <f aca="false">N(AF1641)</f>
        <v>0</v>
      </c>
      <c r="CK1641" s="62" t="n">
        <f aca="false">N(M1641)+N(N1641)</f>
        <v>15</v>
      </c>
      <c r="CL1641" s="62" t="n">
        <f aca="false">N(M1641)</f>
        <v>0</v>
      </c>
      <c r="CM1641" s="62" t="n">
        <f aca="false">N(N1641)</f>
        <v>15</v>
      </c>
      <c r="CN1641" s="62" t="n">
        <f aca="false">ROUNDUP(H1641/BZ1641,0)</f>
        <v>1</v>
      </c>
      <c r="CO1641" s="62" t="n">
        <f aca="false">ROUNDUP(CJ1641/BZ1641,0)</f>
        <v>0</v>
      </c>
      <c r="CP1641" s="65" t="n">
        <f aca="false">IF(CA1641=1,0,IFERROR(VLOOKUP(BY1641,'Gebinde-Kategorie'!$A$5:$N$45,5,0)+0,0))</f>
        <v>11</v>
      </c>
      <c r="CQ1641" s="65" t="n">
        <f aca="false">IFERROR(IF(OR(CF1641=1,CF1641=2,CF1641=3),N(INDEX(Parameter!$I$5:$I$7,CF1641)),0),0)</f>
        <v>0</v>
      </c>
      <c r="CR1641" s="64" t="n">
        <f aca="false">IF(AND(Parameter!$B$21="Ja",ISNUMBER(W1641),N(X1641)&gt;0),IFERROR(N(INDEX(Parameter!$L$5:$L$7,W1641))*INDEX(Parameter!$E$5:$E$7,W1641)*X1641/SUMIFS($X$7:$X$1843,$W$7:$W$1843,W1641),0),0)</f>
        <v>0</v>
      </c>
      <c r="CS1641" s="62" t="n">
        <f aca="false">IF(AND(OR(CG1641="L1",CG1641="L23",CG1641="LIFT"),H1641&gt;0),CC1641*IF(CR1641&gt;0,CR1641*MAX(1,H1641/X1641),IF(CA1641=1,CE1641,IF(R1641&gt;0,CN1641/R1641,0))/MAX(0.1,N(Parameter!$M$21))),"")</f>
        <v>12.0833333333333</v>
      </c>
      <c r="CT1641" s="64" t="n">
        <f aca="false">IF(CS1641="","",J1641/H1641)</f>
        <v>0</v>
      </c>
      <c r="CU1641" s="62" t="n">
        <f aca="false">IF(CS1641="","",H1641*G1641)</f>
        <v>11639.04</v>
      </c>
      <c r="CV1641" s="63" t="n">
        <f aca="false">IF(CS1641="","",(CL1641+ROUNDUP(CL1641+MAX(CM1641,2*(J1641/MAX(0.1,N(Einkauf!$C$6))-CL1641)),0))/2)</f>
        <v>7.5</v>
      </c>
      <c r="CW1641" s="62" t="n">
        <f aca="false">IF(CS1641="","",MAX(0,H1641-CV1641)*G1641)</f>
        <v>9820.44</v>
      </c>
      <c r="CX1641" s="62" t="n">
        <f aca="false">IF(CS1641="","",CS1641*MAX(0,1-CV1641/H1641))</f>
        <v>10.1953125</v>
      </c>
      <c r="CY1641" s="64" t="n">
        <f aca="false">IF(CS1641="","",PERCENTRANK($CS$7:$CS$1843,CS1641)+PERCENTRANK($CU$7:$CU$1843,CU1641)+1-PERCENTRANK($CT$7:$CT$1843,CT1641))</f>
        <v>2.618</v>
      </c>
      <c r="CZ1641" s="72" t="n">
        <f aca="false">IF(CS1641="","",CHOOSE(MATCH(Einkauf!$C$5,Parameter!$G$23:$G$27,0),CY1641,CS1641,CU1641,-CT1641,CW1641)+ROW()/1000000000)</f>
        <v>2.618001641</v>
      </c>
    </row>
    <row r="1642" customFormat="false" ht="15" hidden="false" customHeight="false" outlineLevel="0" collapsed="false">
      <c r="A1642" s="60" t="s">
        <v>2898</v>
      </c>
      <c r="B1642" s="60" t="s">
        <v>2899</v>
      </c>
      <c r="C1642" s="60" t="s">
        <v>206</v>
      </c>
      <c r="D1642" s="60" t="s">
        <v>215</v>
      </c>
      <c r="E1642" s="60"/>
      <c r="F1642" s="60"/>
      <c r="G1642" s="61" t="n">
        <v>11054.86</v>
      </c>
      <c r="H1642" s="62" t="n">
        <f aca="false">MAX(0,IF(AND(Parameter!$B$21="Ja",ISNUMBER(Y1642)),Y1642,IF(Parameter!$B$20="Jahresanfang 2025 + Export",BS1642+BR1642,BR1642)))</f>
        <v>1</v>
      </c>
      <c r="I1642" s="62" t="n">
        <f aca="false">H1642*G1642</f>
        <v>11054.86</v>
      </c>
      <c r="J1642" s="62" t="n">
        <f aca="false">BU1642*Parameter!$B$18</f>
        <v>0</v>
      </c>
      <c r="K1642" s="63"/>
      <c r="L1642" s="64"/>
      <c r="M1642" s="62" t="n">
        <v>0</v>
      </c>
      <c r="N1642" s="62" t="n">
        <v>1</v>
      </c>
      <c r="O1642" s="65" t="n">
        <v>0</v>
      </c>
      <c r="P1642" s="60" t="s">
        <v>210</v>
      </c>
      <c r="Q1642" s="62"/>
      <c r="R1642" s="65" t="n">
        <f aca="false">IF(CA1642=1,0,IFERROR(VLOOKUP(BY1642,'Gebinde-Kategorie'!$A$5:$N$45,13,0)+0,0))</f>
        <v>12</v>
      </c>
      <c r="S1642" s="66"/>
      <c r="T1642" s="67" t="s">
        <v>221</v>
      </c>
      <c r="U1642" s="67"/>
      <c r="V1642" s="67"/>
      <c r="W1642" s="60"/>
      <c r="X1642" s="62"/>
      <c r="Y1642" s="62"/>
      <c r="Z1642" s="60" t="n">
        <v>3</v>
      </c>
      <c r="AA1642" s="60" t="n">
        <f aca="false">IF(A1642="","",IF(AND(Parameter!$B$21="Ja",ISNUMBER(W1642)),W1642,IF(AND(Parameter!$E$27="Ja",ISNUMBER(Z1642),CD1642&lt;&gt;"Nein"),Z1642,IF(CD1642="2+3",IF(ISNUMBER(SEARCH("grosser Artikel",BV1642)),2,IFERROR(VLOOKUP(BY1642,Parameter!$F$35:$G$64,2,0),2)),IF(OR(CD1642="Nein",CD1642=""),"-",CD1642)))))</f>
        <v>3</v>
      </c>
      <c r="AB1642" s="67"/>
      <c r="AC1642" s="68"/>
      <c r="AD1642" s="62" t="n">
        <f aca="false">AW1642</f>
        <v>1</v>
      </c>
      <c r="AE1642" s="62" t="n">
        <f aca="false">MAX(AW1642,H1642)</f>
        <v>1</v>
      </c>
      <c r="AF1642" s="69"/>
      <c r="AG1642" s="62" t="n">
        <f aca="false">IF(LEFT(Cockpit!$C$5,1)="A",H1642,IF(Parameter!$E$30="MAX-Bestand",IF(CI1642=1,CJ1642,IF(LEFT(Cockpit!$C$5,1)="B",AM1642,MAX(AM1642,H1642))),ROUNDUP(AK1642,0)))</f>
        <v>1</v>
      </c>
      <c r="AH1642" s="62" t="n">
        <f aca="false">IF(CA1642=1,0,ROUNDUP(AG1642/BZ1642,0))</f>
        <v>1</v>
      </c>
      <c r="AI1642" s="64" t="n">
        <f aca="false">IF(CR1642&gt;0,CR1642*MAX(1,AG1642/X1642),IF(CA1642=1,IF(AG1642&lt;=0,0,CE1642*MAX(1,IF(H1642&gt;0,AG1642/H1642,1))),IF(R1642&gt;0,AH1642/R1642,0))/MAX(0.1,N(Parameter!$M$21)))</f>
        <v>0.0833333333333333</v>
      </c>
      <c r="AJ1642" s="62" t="n">
        <f aca="false">AI1642*CC1642</f>
        <v>12.0833333333333</v>
      </c>
      <c r="AK1642" s="63" t="n">
        <f aca="false">IF(LEFT(Cockpit!$C$5,1)="A",H1642,IF(CI1642=1,(CL1642+CJ1642)/2,IF(LEFT(Cockpit!$C$5,1)="B",(CL1642+AM1642)/2,MAX((CL1642+AM1642)/2,H1642))))</f>
        <v>1</v>
      </c>
      <c r="AL1642" s="62" t="n">
        <f aca="false">AK1642*G1642</f>
        <v>11054.86</v>
      </c>
      <c r="AM1642" s="62" t="n">
        <f aca="false">ROUNDUP(CL1642+MAX(CM1642,2*(J1642/IF(CH1642&gt;0,CH1642,MAX(0.1,N(Cockpit!$C$6)))-CL1642)),0)</f>
        <v>1</v>
      </c>
      <c r="AN1642" s="63" t="n">
        <f aca="false">IF(AJ1642&gt;0,J1642/AJ1642,-1)</f>
        <v>0</v>
      </c>
      <c r="AO1642" s="63" t="n">
        <f aca="false">IF(AND(OR(CG1642="L1",CG1642="L23",CG1642="LIFT"),AJ1642&gt;0),SUMIFS($AJ$7:$AJ$1843,$CG$7:$CG$1843,CG1642,$AN$7:$AN$1843,"&gt;"&amp;AN1642)+SUMIFS($AJ$7:$AJ$1843,$CG$7:$CG$1843,CG1642,$AN$7:$AN$1843,AN1642,$BX$7:$BX$1843,"&lt;="&amp;BX1642),"")</f>
        <v>31017.5190005381</v>
      </c>
      <c r="AP1642" s="70" t="n">
        <f aca="false">IF(AO1642="",0,MAX(0,MIN(1,(IF(CG1642="L1",Parameter!$H$5,IF(CG1642="L23",Parameter!$H$6+Parameter!$H$7,Parameter!$H$5+Parameter!$H$6+Parameter!$H$7))-(AO1642-AJ1642))/AJ1642)))</f>
        <v>1</v>
      </c>
      <c r="AQ1642" s="62" t="n">
        <f aca="false">IF(LEFT(Cockpit!$I$5,1)="A",H1642,IF(Parameter!$E$30="MAX-Bestand",IF(CI1642=1,CJ1642,IF(LEFT(Cockpit!$I$5,1)="B",AW1642,MAX(AW1642,H1642))),ROUNDUP(AU1642,0)))</f>
        <v>1</v>
      </c>
      <c r="AR1642" s="62" t="n">
        <f aca="false">IF(CA1642=1,0,ROUNDUP(AQ1642/BZ1642,0))</f>
        <v>1</v>
      </c>
      <c r="AS1642" s="64" t="n">
        <f aca="false">IF(CR1642&gt;0,CR1642*MAX(1,AQ1642/X1642),IF(CA1642=1,IF(AQ1642&lt;=0,0,CE1642*MAX(1,IF(H1642&gt;0,AQ1642/H1642,1))),IF(R1642&gt;0,AR1642/R1642,0))/MAX(0.1,N(Parameter!$M$21)))</f>
        <v>0.0833333333333333</v>
      </c>
      <c r="AT1642" s="62" t="n">
        <f aca="false">AS1642*CC1642</f>
        <v>12.0833333333333</v>
      </c>
      <c r="AU1642" s="63" t="n">
        <f aca="false">IF(LEFT(Cockpit!$I$5,1)="A",H1642,IF(CI1642=1,(CL1642+CJ1642)/2,IF(LEFT(Cockpit!$I$5,1)="B",(CL1642+AW1642)/2,MAX((CL1642+AW1642)/2,H1642))))</f>
        <v>1</v>
      </c>
      <c r="AV1642" s="62" t="n">
        <f aca="false">AU1642*G1642</f>
        <v>11054.86</v>
      </c>
      <c r="AW1642" s="62" t="n">
        <f aca="false">ROUNDUP(CL1642+MAX(CM1642,2*(J1642/IF(CH1642&gt;0,CH1642,MAX(0.1,N(Cockpit!$I$6)))-CL1642)),0)</f>
        <v>1</v>
      </c>
      <c r="AX1642" s="63" t="n">
        <f aca="false">IF(AT1642&gt;0,J1642/AT1642,-1)</f>
        <v>0</v>
      </c>
      <c r="AY1642" s="63" t="n">
        <f aca="false">IF(AND(OR(CG1642="L1",CG1642="L23",CG1642="LIFT"),AT1642&gt;0),SUMIFS($AT$7:$AT$1843,$CG$7:$CG$1843,CG1642,$AX$7:$AX$1843,"&gt;"&amp;AX1642)+SUMIFS($AT$7:$AT$1843,$CG$7:$CG$1843,CG1642,$AX$7:$AX$1843,AX1642,$BX$7:$BX$1843,"&lt;="&amp;BX1642),"")</f>
        <v>37337.3755173734</v>
      </c>
      <c r="AZ1642" s="70" t="n">
        <f aca="false">IF(AY1642="",0,MAX(0,MIN(1,(IF(CG1642="L1",Parameter!$H$5,IF(CG1642="L23",Parameter!$H$6+Parameter!$H$7,Parameter!$H$5+Parameter!$H$6+Parameter!$H$7))-(AY1642-AT1642))/AT1642)))</f>
        <v>0</v>
      </c>
      <c r="BA1642" s="62" t="n">
        <f aca="false">IF(LEFT(Cockpit!$O$5,1)="A",H1642,IF(Parameter!$E$30="MAX-Bestand",IF(CI1642=1,CJ1642,IF(LEFT(Cockpit!$O$5,1)="B",BG1642,MAX(BG1642,H1642))),ROUNDUP(BE1642,0)))</f>
        <v>1</v>
      </c>
      <c r="BB1642" s="62" t="n">
        <f aca="false">IF(CA1642=1,0,ROUNDUP(BA1642/BZ1642,0))</f>
        <v>1</v>
      </c>
      <c r="BC1642" s="64" t="n">
        <f aca="false">IF(CR1642&gt;0,CR1642*MAX(1,BA1642/X1642),IF(CA1642=1,IF(BA1642&lt;=0,0,CE1642*MAX(1,IF(H1642&gt;0,BA1642/H1642,1))),IF(R1642&gt;0,BB1642/R1642,0))/MAX(0.1,N(Parameter!$M$21)))</f>
        <v>0.0833333333333333</v>
      </c>
      <c r="BD1642" s="62" t="n">
        <f aca="false">BC1642*CC1642</f>
        <v>12.0833333333333</v>
      </c>
      <c r="BE1642" s="63" t="n">
        <f aca="false">IF(LEFT(Cockpit!$O$5,1)="A",H1642,IF(CI1642=1,(CL1642+CJ1642)/2,IF(LEFT(Cockpit!$O$5,1)="B",(CL1642+BG1642)/2,MAX((CL1642+BG1642)/2,H1642))))</f>
        <v>0.5</v>
      </c>
      <c r="BF1642" s="62" t="n">
        <f aca="false">BE1642*G1642</f>
        <v>5527.43</v>
      </c>
      <c r="BG1642" s="62" t="n">
        <f aca="false">ROUNDUP(CL1642+MAX(CM1642,2*(J1642/IF(CH1642&gt;0,CH1642,MAX(0.1,N(Cockpit!$O$6)))-CL1642)),0)</f>
        <v>1</v>
      </c>
      <c r="BH1642" s="63" t="n">
        <f aca="false">IF(BD1642&gt;0,J1642/BD1642,-1)</f>
        <v>0</v>
      </c>
      <c r="BI1642" s="63" t="n">
        <f aca="false">IF(AND(OR(CG1642="L1",CG1642="L23",CG1642="LIFT"),BD1642&gt;0),SUMIFS($BD$7:$BD$1843,$CG$7:$CG$1843,CG1642,$BH$7:$BH$1843,"&gt;"&amp;BH1642)+SUMIFS($BD$7:$BD$1843,$CG$7:$CG$1843,CG1642,$BH$7:$BH$1843,BH1642,$BX$7:$BX$1843,"&lt;="&amp;BX1642),"")</f>
        <v>31246.8167929058</v>
      </c>
      <c r="BJ1642" s="70" t="n">
        <f aca="false">IF(BI1642="",0,MAX(0,MIN(1,(IF(CG1642="L1",Parameter!$H$5,IF(CG1642="L23",Parameter!$H$6+Parameter!$H$7,Parameter!$H$5+Parameter!$H$6+Parameter!$H$7))-(BI1642-BD1642))/BD1642)))</f>
        <v>1</v>
      </c>
      <c r="BK1642" s="60" t="str">
        <f aca="false">IF(AJ1642&lt;=0,"",IF(CG1642="Aussen","Aussenlager",IF(CG1642="-","Nicht im Lift",IF(AP1642&gt;=1,"Lift",IF(AP1642&lt;=0,"Aussenlager","teilweise")))))</f>
        <v>Lift</v>
      </c>
      <c r="BL1642" s="60" t="str">
        <f aca="false">IF(AT1642&lt;=0,"",IF(CG1642="Aussen","Aussenlager",IF(CG1642="-","Nicht im Lift",IF(AZ1642&gt;=1,"Lift",IF(AZ1642&lt;=0,"Aussenlager","teilweise")))))</f>
        <v>Aussenlager</v>
      </c>
      <c r="BM1642" s="60" t="str">
        <f aca="false">IF(BD1642&lt;=0,"",IF(CG1642="Aussen","Aussenlager",IF(CG1642="-","Nicht im Lift",IF(BJ1642&gt;=1,"Lift",IF(BJ1642&lt;=0,"Aussenlager","teilweise")))))</f>
        <v>Lift</v>
      </c>
      <c r="BN1642" s="60" t="str">
        <f aca="false">IF(A1642="","",IF(BW1642=1,"Neu; ","")&amp;IF(AND(BW1642=0,BR1642&lt;0),"negativer Bestand (Export "&amp;BR1642&amp;"); ","")&amp;IF(J1642&lt;=0,"Kein Verbrauch; ","")&amp;IF(CR1642&gt;0,"Lift "&amp;W1642&amp;" lt. Liftbericht (Fach "&amp;X1642&amp;" Stk); ",IF(CB1642=1,"Gebinde geschätzt ("&amp;T1642&amp;"); ",IF(CA1642=1,"Lose – Tablare geschätzt; ","")))&amp;IF(H1642&gt;AW1642,"Überbestand "&amp;ROUND(H1642-AW1642,0)&amp;" Stk / CHF "&amp;ROUND((H1642-AW1642)*G1642,0)&amp;"; ","")&amp;IF(AND(CI1642=1,CJ1642&lt;CK1642),"MAX &lt; MB+LG; ","")&amp;IF(AND(CQ1642&gt;0,CP1642*10&gt;CQ1642),"zu hoch für Tablar; ","")&amp;IF(AND(BW1642=0,OR(CI1642=1,AB1642&lt;&gt;"",U1642&lt;&gt;"",V1642&lt;&gt;"",AC1642&lt;&gt;"")),"manuell übersteuert; ","")&amp;IF(AND(CA1642=0,R1642=0),"Gebinde unbekannt / Stellmass fehlt; ","")&amp;IF(AND(CA1642=0,N(V1642)&lt;=0,N(Q1642)&lt;=0),"Menge pro Gebinde fehlt (Ist = 1 Gebinde); ","")&amp;BV1642)</f>
        <v>Kein Verbrauch; Gebinde geschätzt (Mittel); Menge pro Gebinde fehlt (Ist = 1 Gebinde); nur im Artikelstamm (Bestand 23.06.2026)</v>
      </c>
      <c r="BO1642" s="60"/>
      <c r="BP1642" s="60"/>
      <c r="BQ1642" s="67"/>
      <c r="BR1642" s="62" t="n">
        <v>1</v>
      </c>
      <c r="BS1642" s="62" t="n">
        <v>0</v>
      </c>
      <c r="BT1642" s="61" t="n">
        <v>0</v>
      </c>
      <c r="BU1642" s="62" t="n">
        <v>0</v>
      </c>
      <c r="BV1642" s="60" t="s">
        <v>2617</v>
      </c>
      <c r="BW1642" s="65" t="n">
        <v>0</v>
      </c>
      <c r="BX1642" s="65" t="n">
        <v>1642</v>
      </c>
      <c r="BY1642" s="60" t="str">
        <f aca="false">IF(U1642&lt;&gt;"",UPPER(TRIM(U1642)),IF(CB1642=1,UPPER(VLOOKUP(T1642,Parameter!$I$27:$K$29,2,0)),IF(P1642="","LOSE",P1642)))</f>
        <v>S61</v>
      </c>
      <c r="BZ1642" s="62" t="n">
        <f aca="false">IF(BY1642="LOSE",1,IF(N(V1642)&gt;0,V1642,IF(CB1642=1,MAX(1,N(VLOOKUP(T1642,Parameter!$I$27:$K$29,3,0)),H1642,N(N1642)),IF(N(Q1642)&gt;0,Q1642,MAX(1,H1642)))))</f>
        <v>4</v>
      </c>
      <c r="CA1642" s="65" t="n">
        <f aca="false">IF(BY1642="LOSE",1,0)</f>
        <v>0</v>
      </c>
      <c r="CB1642" s="65" t="n">
        <f aca="false">IF(AND(U1642="",OR(P1642="",P1642="LOSE"),T1642&lt;&gt;"",N(S1642)&lt;=0,ISNUMBER(MATCH(T1642,Parameter!$I$27:$I$29,0))),1,0)</f>
        <v>1</v>
      </c>
      <c r="CC1642" s="65" t="n">
        <f aca="false">IF(CR1642&gt;0,INDEX(Parameter!$H$5:$H$7,W1642)/INDEX(Parameter!$E$5:$E$7,W1642),IF(AND(CA1642=0,N(IFERROR(VLOOKUP(BY1642,'Gebinde-Kategorie'!$A$5:$N$45,14,0),0))&gt;0),VLOOKUP(BY1642,'Gebinde-Kategorie'!$A$5:$N$45,14,0)*10+Parameter!$M$23,Parameter!$M$24))</f>
        <v>145</v>
      </c>
      <c r="CD1642" s="60" t="str">
        <f aca="false">IF(AND(Parameter!$B$19="Ja",E1642&lt;&gt;"",ISNUMBER(MATCH(E1642,Parameter!$I$35:$I$52,0))),VLOOKUP(E1642,Parameter!$I$35:$J$52,2,0),IFERROR(VLOOKUP(D1642,Parameter!$A$35:$C$64,2,0),"Nein"))</f>
        <v>2+3</v>
      </c>
      <c r="CE1642" s="64" t="n">
        <f aca="false">IF(CA1642=0,0,IF(N(S1642)&gt;0,S1642,IFERROR(VLOOKUP(D1642,Parameter!$A$35:$C$64,3,0)+0,0)))</f>
        <v>0</v>
      </c>
      <c r="CF1642" s="60" t="n">
        <f aca="false">IF(AB1642&lt;&gt;"",AB1642,AA1642)</f>
        <v>3</v>
      </c>
      <c r="CG1642" s="60" t="str">
        <f aca="false">IF(OR(CF1642=1,CF1642=2,CF1642=3),IF(Parameter!$E$27="Ja","LIFT",IF(CF1642=1,"L1","L23")),IF(CF1642="Aussen","Aussen","-"))</f>
        <v>LIFT</v>
      </c>
      <c r="CH1642" s="71" t="n">
        <f aca="false">IF(N(AC1642)&gt;0,AC1642,0)</f>
        <v>0</v>
      </c>
      <c r="CI1642" s="65" t="n">
        <f aca="false">IF(ISNUMBER(AF1642),1,0)</f>
        <v>0</v>
      </c>
      <c r="CJ1642" s="62" t="n">
        <f aca="false">N(AF1642)</f>
        <v>0</v>
      </c>
      <c r="CK1642" s="62" t="n">
        <f aca="false">N(M1642)+N(N1642)</f>
        <v>1</v>
      </c>
      <c r="CL1642" s="62" t="n">
        <f aca="false">N(M1642)</f>
        <v>0</v>
      </c>
      <c r="CM1642" s="62" t="n">
        <f aca="false">N(N1642)</f>
        <v>1</v>
      </c>
      <c r="CN1642" s="62" t="n">
        <f aca="false">ROUNDUP(H1642/BZ1642,0)</f>
        <v>1</v>
      </c>
      <c r="CO1642" s="62" t="n">
        <f aca="false">ROUNDUP(CJ1642/BZ1642,0)</f>
        <v>0</v>
      </c>
      <c r="CP1642" s="65" t="n">
        <f aca="false">IF(CA1642=1,0,IFERROR(VLOOKUP(BY1642,'Gebinde-Kategorie'!$A$5:$N$45,5,0)+0,0))</f>
        <v>11</v>
      </c>
      <c r="CQ1642" s="65" t="n">
        <f aca="false">IFERROR(IF(OR(CF1642=1,CF1642=2,CF1642=3),N(INDEX(Parameter!$I$5:$I$7,CF1642)),0),0)</f>
        <v>0</v>
      </c>
      <c r="CR1642" s="64" t="n">
        <f aca="false">IF(AND(Parameter!$B$21="Ja",ISNUMBER(W1642),N(X1642)&gt;0),IFERROR(N(INDEX(Parameter!$L$5:$L$7,W1642))*INDEX(Parameter!$E$5:$E$7,W1642)*X1642/SUMIFS($X$7:$X$1843,$W$7:$W$1843,W1642),0),0)</f>
        <v>0</v>
      </c>
      <c r="CS1642" s="62" t="n">
        <f aca="false">IF(AND(OR(CG1642="L1",CG1642="L23",CG1642="LIFT"),H1642&gt;0),CC1642*IF(CR1642&gt;0,CR1642*MAX(1,H1642/X1642),IF(CA1642=1,CE1642,IF(R1642&gt;0,CN1642/R1642,0))/MAX(0.1,N(Parameter!$M$21))),"")</f>
        <v>12.0833333333333</v>
      </c>
      <c r="CT1642" s="64" t="n">
        <f aca="false">IF(CS1642="","",J1642/H1642)</f>
        <v>0</v>
      </c>
      <c r="CU1642" s="62" t="n">
        <f aca="false">IF(CS1642="","",H1642*G1642)</f>
        <v>11054.86</v>
      </c>
      <c r="CV1642" s="63" t="n">
        <f aca="false">IF(CS1642="","",(CL1642+ROUNDUP(CL1642+MAX(CM1642,2*(J1642/MAX(0.1,N(Einkauf!$C$6))-CL1642)),0))/2)</f>
        <v>0.5</v>
      </c>
      <c r="CW1642" s="62" t="n">
        <f aca="false">IF(CS1642="","",MAX(0,H1642-CV1642)*G1642)</f>
        <v>5527.43</v>
      </c>
      <c r="CX1642" s="62" t="n">
        <f aca="false">IF(CS1642="","",CS1642*MAX(0,1-CV1642/H1642))</f>
        <v>6.04166666666667</v>
      </c>
      <c r="CY1642" s="64" t="n">
        <f aca="false">IF(CS1642="","",PERCENTRANK($CS$7:$CS$1843,CS1642)+PERCENTRANK($CU$7:$CU$1843,CU1642)+1-PERCENTRANK($CT$7:$CT$1843,CT1642))</f>
        <v>2.617</v>
      </c>
      <c r="CZ1642" s="72" t="n">
        <f aca="false">IF(CS1642="","",CHOOSE(MATCH(Einkauf!$C$5,Parameter!$G$23:$G$27,0),CY1642,CS1642,CU1642,-CT1642,CW1642)+ROW()/1000000000)</f>
        <v>2.617001642</v>
      </c>
    </row>
    <row r="1643" customFormat="false" ht="15" hidden="false" customHeight="false" outlineLevel="0" collapsed="false">
      <c r="A1643" s="60" t="s">
        <v>2900</v>
      </c>
      <c r="B1643" s="60" t="s">
        <v>2426</v>
      </c>
      <c r="C1643" s="60" t="s">
        <v>209</v>
      </c>
      <c r="D1643" s="60" t="s">
        <v>215</v>
      </c>
      <c r="E1643" s="60" t="s">
        <v>227</v>
      </c>
      <c r="F1643" s="60"/>
      <c r="G1643" s="61" t="n">
        <v>2289.27</v>
      </c>
      <c r="H1643" s="62" t="n">
        <f aca="false">MAX(0,IF(AND(Parameter!$B$21="Ja",ISNUMBER(Y1643)),Y1643,IF(Parameter!$B$20="Jahresanfang 2025 + Export",BS1643+BR1643,BR1643)))</f>
        <v>3</v>
      </c>
      <c r="I1643" s="62" t="n">
        <f aca="false">H1643*G1643</f>
        <v>6867.81</v>
      </c>
      <c r="J1643" s="62" t="n">
        <f aca="false">BU1643*Parameter!$B$18</f>
        <v>0</v>
      </c>
      <c r="K1643" s="63"/>
      <c r="L1643" s="64"/>
      <c r="M1643" s="62" t="n">
        <v>0</v>
      </c>
      <c r="N1643" s="62" t="n">
        <v>6</v>
      </c>
      <c r="O1643" s="65" t="n">
        <v>70</v>
      </c>
      <c r="P1643" s="60" t="s">
        <v>210</v>
      </c>
      <c r="Q1643" s="62"/>
      <c r="R1643" s="65" t="n">
        <f aca="false">IF(CA1643=1,0,IFERROR(VLOOKUP(BY1643,'Gebinde-Kategorie'!$A$5:$N$45,13,0)+0,0))</f>
        <v>0</v>
      </c>
      <c r="S1643" s="66"/>
      <c r="T1643" s="67"/>
      <c r="U1643" s="67"/>
      <c r="V1643" s="67"/>
      <c r="W1643" s="60" t="n">
        <v>1</v>
      </c>
      <c r="X1643" s="62" t="n">
        <v>4</v>
      </c>
      <c r="Y1643" s="62" t="n">
        <v>3</v>
      </c>
      <c r="Z1643" s="60" t="n">
        <v>1</v>
      </c>
      <c r="AA1643" s="60" t="n">
        <f aca="false">IF(A1643="","",IF(AND(Parameter!$B$21="Ja",ISNUMBER(W1643)),W1643,IF(AND(Parameter!$E$27="Ja",ISNUMBER(Z1643),CD1643&lt;&gt;"Nein"),Z1643,IF(CD1643="2+3",IF(ISNUMBER(SEARCH("grosser Artikel",BV1643)),2,IFERROR(VLOOKUP(BY1643,Parameter!$F$35:$G$64,2,0),2)),IF(OR(CD1643="Nein",CD1643=""),"-",CD1643)))))</f>
        <v>1</v>
      </c>
      <c r="AB1643" s="67"/>
      <c r="AC1643" s="68"/>
      <c r="AD1643" s="62" t="n">
        <f aca="false">AW1643</f>
        <v>6</v>
      </c>
      <c r="AE1643" s="62" t="n">
        <f aca="false">MAX(AW1643,H1643)</f>
        <v>6</v>
      </c>
      <c r="AF1643" s="69"/>
      <c r="AG1643" s="62" t="n">
        <f aca="false">IF(LEFT(Cockpit!$C$5,1)="A",H1643,IF(Parameter!$E$30="MAX-Bestand",IF(CI1643=1,CJ1643,IF(LEFT(Cockpit!$C$5,1)="B",AM1643,MAX(AM1643,H1643))),ROUNDUP(AK1643,0)))</f>
        <v>3</v>
      </c>
      <c r="AH1643" s="62" t="n">
        <f aca="false">IF(CA1643=1,0,ROUNDUP(AG1643/BZ1643,0))</f>
        <v>0</v>
      </c>
      <c r="AI1643" s="64" t="n">
        <f aca="false">IF(CR1643&gt;0,CR1643*MAX(1,AG1643/X1643),IF(CA1643=1,IF(AG1643&lt;=0,0,CE1643*MAX(1,IF(H1643&gt;0,AG1643/H1643,1))),IF(R1643&gt;0,AH1643/R1643,0))/MAX(0.1,N(Parameter!$M$21)))</f>
        <v>0.32015065913371</v>
      </c>
      <c r="AJ1643" s="62" t="n">
        <f aca="false">AI1643*CC1643</f>
        <v>76.195856873823</v>
      </c>
      <c r="AK1643" s="63" t="n">
        <f aca="false">IF(LEFT(Cockpit!$C$5,1)="A",H1643,IF(CI1643=1,(CL1643+CJ1643)/2,IF(LEFT(Cockpit!$C$5,1)="B",(CL1643+AM1643)/2,MAX((CL1643+AM1643)/2,H1643))))</f>
        <v>3</v>
      </c>
      <c r="AL1643" s="62" t="n">
        <f aca="false">AK1643*G1643</f>
        <v>6867.81</v>
      </c>
      <c r="AM1643" s="62" t="n">
        <f aca="false">ROUNDUP(CL1643+MAX(CM1643,2*(J1643/IF(CH1643&gt;0,CH1643,MAX(0.1,N(Cockpit!$C$6)))-CL1643)),0)</f>
        <v>6</v>
      </c>
      <c r="AN1643" s="63" t="n">
        <f aca="false">IF(AJ1643&gt;0,J1643/AJ1643,-1)</f>
        <v>0</v>
      </c>
      <c r="AO1643" s="63" t="n">
        <f aca="false">IF(AND(OR(CG1643="L1",CG1643="L23",CG1643="LIFT"),AJ1643&gt;0),SUMIFS($AJ$7:$AJ$1843,$CG$7:$CG$1843,CG1643,$AN$7:$AN$1843,"&gt;"&amp;AN1643)+SUMIFS($AJ$7:$AJ$1843,$CG$7:$CG$1843,CG1643,$AN$7:$AN$1843,AN1643,$BX$7:$BX$1843,"&lt;="&amp;BX1643),"")</f>
        <v>31093.7148574119</v>
      </c>
      <c r="AP1643" s="70" t="n">
        <f aca="false">IF(AO1643="",0,MAX(0,MIN(1,(IF(CG1643="L1",Parameter!$H$5,IF(CG1643="L23",Parameter!$H$6+Parameter!$H$7,Parameter!$H$5+Parameter!$H$6+Parameter!$H$7))-(AO1643-AJ1643))/AJ1643)))</f>
        <v>1</v>
      </c>
      <c r="AQ1643" s="62" t="n">
        <f aca="false">IF(LEFT(Cockpit!$I$5,1)="A",H1643,IF(Parameter!$E$30="MAX-Bestand",IF(CI1643=1,CJ1643,IF(LEFT(Cockpit!$I$5,1)="B",AW1643,MAX(AW1643,H1643))),ROUNDUP(AU1643,0)))</f>
        <v>3</v>
      </c>
      <c r="AR1643" s="62" t="n">
        <f aca="false">IF(CA1643=1,0,ROUNDUP(AQ1643/BZ1643,0))</f>
        <v>0</v>
      </c>
      <c r="AS1643" s="64" t="n">
        <f aca="false">IF(CR1643&gt;0,CR1643*MAX(1,AQ1643/X1643),IF(CA1643=1,IF(AQ1643&lt;=0,0,CE1643*MAX(1,IF(H1643&gt;0,AQ1643/H1643,1))),IF(R1643&gt;0,AR1643/R1643,0))/MAX(0.1,N(Parameter!$M$21)))</f>
        <v>0.32015065913371</v>
      </c>
      <c r="AT1643" s="62" t="n">
        <f aca="false">AS1643*CC1643</f>
        <v>76.195856873823</v>
      </c>
      <c r="AU1643" s="63" t="n">
        <f aca="false">IF(LEFT(Cockpit!$I$5,1)="A",H1643,IF(CI1643=1,(CL1643+CJ1643)/2,IF(LEFT(Cockpit!$I$5,1)="B",(CL1643+AW1643)/2,MAX((CL1643+AW1643)/2,H1643))))</f>
        <v>3</v>
      </c>
      <c r="AV1643" s="62" t="n">
        <f aca="false">AU1643*G1643</f>
        <v>6867.81</v>
      </c>
      <c r="AW1643" s="62" t="n">
        <f aca="false">ROUNDUP(CL1643+MAX(CM1643,2*(J1643/IF(CH1643&gt;0,CH1643,MAX(0.1,N(Cockpit!$I$6)))-CL1643)),0)</f>
        <v>6</v>
      </c>
      <c r="AX1643" s="63" t="n">
        <f aca="false">IF(AT1643&gt;0,J1643/AT1643,-1)</f>
        <v>0</v>
      </c>
      <c r="AY1643" s="63" t="n">
        <f aca="false">IF(AND(OR(CG1643="L1",CG1643="L23",CG1643="LIFT"),AT1643&gt;0),SUMIFS($AT$7:$AT$1843,$CG$7:$CG$1843,CG1643,$AX$7:$AX$1843,"&gt;"&amp;AX1643)+SUMIFS($AT$7:$AT$1843,$CG$7:$CG$1843,CG1643,$AX$7:$AX$1843,AX1643,$BX$7:$BX$1843,"&lt;="&amp;BX1643),"")</f>
        <v>37413.5713742472</v>
      </c>
      <c r="AZ1643" s="70" t="n">
        <f aca="false">IF(AY1643="",0,MAX(0,MIN(1,(IF(CG1643="L1",Parameter!$H$5,IF(CG1643="L23",Parameter!$H$6+Parameter!$H$7,Parameter!$H$5+Parameter!$H$6+Parameter!$H$7))-(AY1643-AT1643))/AT1643)))</f>
        <v>0</v>
      </c>
      <c r="BA1643" s="62" t="n">
        <f aca="false">IF(LEFT(Cockpit!$O$5,1)="A",H1643,IF(Parameter!$E$30="MAX-Bestand",IF(CI1643=1,CJ1643,IF(LEFT(Cockpit!$O$5,1)="B",BG1643,MAX(BG1643,H1643))),ROUNDUP(BE1643,0)))</f>
        <v>3</v>
      </c>
      <c r="BB1643" s="62" t="n">
        <f aca="false">IF(CA1643=1,0,ROUNDUP(BA1643/BZ1643,0))</f>
        <v>0</v>
      </c>
      <c r="BC1643" s="64" t="n">
        <f aca="false">IF(CR1643&gt;0,CR1643*MAX(1,BA1643/X1643),IF(CA1643=1,IF(BA1643&lt;=0,0,CE1643*MAX(1,IF(H1643&gt;0,BA1643/H1643,1))),IF(R1643&gt;0,BB1643/R1643,0))/MAX(0.1,N(Parameter!$M$21)))</f>
        <v>0.32015065913371</v>
      </c>
      <c r="BD1643" s="62" t="n">
        <f aca="false">BC1643*CC1643</f>
        <v>76.195856873823</v>
      </c>
      <c r="BE1643" s="63" t="n">
        <f aca="false">IF(LEFT(Cockpit!$O$5,1)="A",H1643,IF(CI1643=1,(CL1643+CJ1643)/2,IF(LEFT(Cockpit!$O$5,1)="B",(CL1643+BG1643)/2,MAX((CL1643+BG1643)/2,H1643))))</f>
        <v>3</v>
      </c>
      <c r="BF1643" s="62" t="n">
        <f aca="false">BE1643*G1643</f>
        <v>6867.81</v>
      </c>
      <c r="BG1643" s="62" t="n">
        <f aca="false">ROUNDUP(CL1643+MAX(CM1643,2*(J1643/IF(CH1643&gt;0,CH1643,MAX(0.1,N(Cockpit!$O$6)))-CL1643)),0)</f>
        <v>6</v>
      </c>
      <c r="BH1643" s="63" t="n">
        <f aca="false">IF(BD1643&gt;0,J1643/BD1643,-1)</f>
        <v>0</v>
      </c>
      <c r="BI1643" s="63" t="n">
        <f aca="false">IF(AND(OR(CG1643="L1",CG1643="L23",CG1643="LIFT"),BD1643&gt;0),SUMIFS($BD$7:$BD$1843,$CG$7:$CG$1843,CG1643,$BH$7:$BH$1843,"&gt;"&amp;BH1643)+SUMIFS($BD$7:$BD$1843,$CG$7:$CG$1843,CG1643,$BH$7:$BH$1843,BH1643,$BX$7:$BX$1843,"&lt;="&amp;BX1643),"")</f>
        <v>31323.0126497796</v>
      </c>
      <c r="BJ1643" s="70" t="n">
        <f aca="false">IF(BI1643="",0,MAX(0,MIN(1,(IF(CG1643="L1",Parameter!$H$5,IF(CG1643="L23",Parameter!$H$6+Parameter!$H$7,Parameter!$H$5+Parameter!$H$6+Parameter!$H$7))-(BI1643-BD1643))/BD1643)))</f>
        <v>1</v>
      </c>
      <c r="BK1643" s="60" t="str">
        <f aca="false">IF(AJ1643&lt;=0,"",IF(CG1643="Aussen","Aussenlager",IF(CG1643="-","Nicht im Lift",IF(AP1643&gt;=1,"Lift",IF(AP1643&lt;=0,"Aussenlager","teilweise")))))</f>
        <v>Lift</v>
      </c>
      <c r="BL1643" s="60" t="str">
        <f aca="false">IF(AT1643&lt;=0,"",IF(CG1643="Aussen","Aussenlager",IF(CG1643="-","Nicht im Lift",IF(AZ1643&gt;=1,"Lift",IF(AZ1643&lt;=0,"Aussenlager","teilweise")))))</f>
        <v>Aussenlager</v>
      </c>
      <c r="BM1643" s="60" t="str">
        <f aca="false">IF(BD1643&lt;=0,"",IF(CG1643="Aussen","Aussenlager",IF(CG1643="-","Nicht im Lift",IF(BJ1643&gt;=1,"Lift",IF(BJ1643&lt;=0,"Aussenlager","teilweise")))))</f>
        <v>Lift</v>
      </c>
      <c r="BN1643" s="60" t="str">
        <f aca="false">IF(A1643="","",IF(BW1643=1,"Neu; ","")&amp;IF(AND(BW1643=0,BR1643&lt;0),"negativer Bestand (Export "&amp;BR1643&amp;"); ","")&amp;IF(J1643&lt;=0,"Kein Verbrauch; ","")&amp;IF(CR1643&gt;0,"Lift "&amp;W1643&amp;" lt. Liftbericht (Fach "&amp;X1643&amp;" Stk); ",IF(CB1643=1,"Gebinde geschätzt ("&amp;T1643&amp;"); ",IF(CA1643=1,"Lose – Tablare geschätzt; ","")))&amp;IF(H1643&gt;AW1643,"Überbestand "&amp;ROUND(H1643-AW1643,0)&amp;" Stk / CHF "&amp;ROUND((H1643-AW1643)*G1643,0)&amp;"; ","")&amp;IF(AND(CI1643=1,CJ1643&lt;CK1643),"MAX &lt; MB+LG; ","")&amp;IF(AND(CQ1643&gt;0,CP1643*10&gt;CQ1643),"zu hoch für Tablar; ","")&amp;IF(AND(BW1643=0,OR(CI1643=1,AB1643&lt;&gt;"",U1643&lt;&gt;"",V1643&lt;&gt;"",AC1643&lt;&gt;"")),"manuell übersteuert; ","")&amp;IF(AND(CA1643=0,R1643=0),"Gebinde unbekannt / Stellmass fehlt; ","")&amp;IF(AND(CA1643=0,N(V1643)&lt;=0,N(Q1643)&lt;=0),"Menge pro Gebinde fehlt (Ist = 1 Gebinde); ","")&amp;BV1643)</f>
        <v>Kein Verbrauch; Lift 1 lt. Liftbericht (Fach 4 Stk); nur im Artikelstamm (Bestand 23.06.2026); grosser Artikel &amp; nicht im KTL</v>
      </c>
      <c r="BO1643" s="60"/>
      <c r="BP1643" s="60"/>
      <c r="BQ1643" s="67"/>
      <c r="BR1643" s="62" t="n">
        <v>8</v>
      </c>
      <c r="BS1643" s="62" t="n">
        <v>0</v>
      </c>
      <c r="BT1643" s="61" t="n">
        <v>0</v>
      </c>
      <c r="BU1643" s="62" t="n">
        <v>0</v>
      </c>
      <c r="BV1643" s="60" t="s">
        <v>2901</v>
      </c>
      <c r="BW1643" s="65" t="n">
        <v>0</v>
      </c>
      <c r="BX1643" s="65" t="n">
        <v>1643</v>
      </c>
      <c r="BY1643" s="60" t="str">
        <f aca="false">IF(U1643&lt;&gt;"",UPPER(TRIM(U1643)),IF(CB1643=1,UPPER(VLOOKUP(T1643,Parameter!$I$27:$K$29,2,0)),IF(P1643="","LOSE",P1643)))</f>
        <v>LOSE</v>
      </c>
      <c r="BZ1643" s="62" t="n">
        <f aca="false">IF(BY1643="LOSE",1,IF(N(V1643)&gt;0,V1643,IF(CB1643=1,MAX(1,N(VLOOKUP(T1643,Parameter!$I$27:$K$29,3,0)),H1643,N(N1643)),IF(N(Q1643)&gt;0,Q1643,MAX(1,H1643)))))</f>
        <v>1</v>
      </c>
      <c r="CA1643" s="65" t="n">
        <f aca="false">IF(BY1643="LOSE",1,0)</f>
        <v>1</v>
      </c>
      <c r="CB1643" s="65" t="n">
        <f aca="false">IF(AND(U1643="",OR(P1643="",P1643="LOSE"),T1643&lt;&gt;"",N(S1643)&lt;=0,ISNUMBER(MATCH(T1643,Parameter!$I$27:$I$29,0))),1,0)</f>
        <v>0</v>
      </c>
      <c r="CC1643" s="65" t="n">
        <f aca="false">IF(CR1643&gt;0,INDEX(Parameter!$H$5:$H$7,W1643)/INDEX(Parameter!$E$5:$E$7,W1643),IF(AND(CA1643=0,N(IFERROR(VLOOKUP(BY1643,'Gebinde-Kategorie'!$A$5:$N$45,14,0),0))&gt;0),VLOOKUP(BY1643,'Gebinde-Kategorie'!$A$5:$N$45,14,0)*10+Parameter!$M$23,Parameter!$M$24))</f>
        <v>238</v>
      </c>
      <c r="CD1643" s="60" t="str">
        <f aca="false">IF(AND(Parameter!$B$19="Ja",E1643&lt;&gt;"",ISNUMBER(MATCH(E1643,Parameter!$I$35:$I$52,0))),VLOOKUP(E1643,Parameter!$I$35:$J$52,2,0),IFERROR(VLOOKUP(D1643,Parameter!$A$35:$C$64,2,0),"Nein"))</f>
        <v>2+3</v>
      </c>
      <c r="CE1643" s="64" t="n">
        <f aca="false">IF(CA1643=0,0,IF(N(S1643)&gt;0,S1643,IFERROR(VLOOKUP(D1643,Parameter!$A$35:$C$64,3,0)+0,0)))</f>
        <v>0.15</v>
      </c>
      <c r="CF1643" s="60" t="n">
        <f aca="false">IF(AB1643&lt;&gt;"",AB1643,AA1643)</f>
        <v>1</v>
      </c>
      <c r="CG1643" s="60" t="str">
        <f aca="false">IF(OR(CF1643=1,CF1643=2,CF1643=3),IF(Parameter!$E$27="Ja","LIFT",IF(CF1643=1,"L1","L23")),IF(CF1643="Aussen","Aussen","-"))</f>
        <v>LIFT</v>
      </c>
      <c r="CH1643" s="71" t="n">
        <f aca="false">IF(N(AC1643)&gt;0,AC1643,0)</f>
        <v>0</v>
      </c>
      <c r="CI1643" s="65" t="n">
        <f aca="false">IF(ISNUMBER(AF1643),1,0)</f>
        <v>0</v>
      </c>
      <c r="CJ1643" s="62" t="n">
        <f aca="false">N(AF1643)</f>
        <v>0</v>
      </c>
      <c r="CK1643" s="62" t="n">
        <f aca="false">N(M1643)+N(N1643)</f>
        <v>6</v>
      </c>
      <c r="CL1643" s="62" t="n">
        <f aca="false">N(M1643)</f>
        <v>0</v>
      </c>
      <c r="CM1643" s="62" t="n">
        <f aca="false">N(N1643)</f>
        <v>6</v>
      </c>
      <c r="CN1643" s="62" t="n">
        <f aca="false">ROUNDUP(H1643/BZ1643,0)</f>
        <v>3</v>
      </c>
      <c r="CO1643" s="62" t="n">
        <f aca="false">ROUNDUP(CJ1643/BZ1643,0)</f>
        <v>0</v>
      </c>
      <c r="CP1643" s="65" t="n">
        <f aca="false">IF(CA1643=1,0,IFERROR(VLOOKUP(BY1643,'Gebinde-Kategorie'!$A$5:$N$45,5,0)+0,0))</f>
        <v>0</v>
      </c>
      <c r="CQ1643" s="65" t="n">
        <f aca="false">IFERROR(IF(OR(CF1643=1,CF1643=2,CF1643=3),N(INDEX(Parameter!$I$5:$I$7,CF1643)),0),0)</f>
        <v>0</v>
      </c>
      <c r="CR1643" s="64" t="n">
        <f aca="false">IF(AND(Parameter!$B$21="Ja",ISNUMBER(W1643),N(X1643)&gt;0),IFERROR(N(INDEX(Parameter!$L$5:$L$7,W1643))*INDEX(Parameter!$E$5:$E$7,W1643)*X1643/SUMIFS($X$7:$X$1843,$W$7:$W$1843,W1643),0),0)</f>
        <v>0.32015065913371</v>
      </c>
      <c r="CS1643" s="62" t="n">
        <f aca="false">IF(AND(OR(CG1643="L1",CG1643="L23",CG1643="LIFT"),H1643&gt;0),CC1643*IF(CR1643&gt;0,CR1643*MAX(1,H1643/X1643),IF(CA1643=1,CE1643,IF(R1643&gt;0,CN1643/R1643,0))/MAX(0.1,N(Parameter!$M$21))),"")</f>
        <v>76.195856873823</v>
      </c>
      <c r="CT1643" s="64" t="n">
        <f aca="false">IF(CS1643="","",J1643/H1643)</f>
        <v>0</v>
      </c>
      <c r="CU1643" s="62" t="n">
        <f aca="false">IF(CS1643="","",H1643*G1643)</f>
        <v>6867.81</v>
      </c>
      <c r="CV1643" s="63" t="n">
        <f aca="false">IF(CS1643="","",(CL1643+ROUNDUP(CL1643+MAX(CM1643,2*(J1643/MAX(0.1,N(Einkauf!$C$6))-CL1643)),0))/2)</f>
        <v>3</v>
      </c>
      <c r="CW1643" s="62" t="n">
        <f aca="false">IF(CS1643="","",MAX(0,H1643-CV1643)*G1643)</f>
        <v>0</v>
      </c>
      <c r="CX1643" s="62" t="n">
        <f aca="false">IF(CS1643="","",CS1643*MAX(0,1-CV1643/H1643))</f>
        <v>0</v>
      </c>
      <c r="CY1643" s="64" t="n">
        <f aca="false">IF(CS1643="","",PERCENTRANK($CS$7:$CS$1843,CS1643)+PERCENTRANK($CU$7:$CU$1843,CU1643)+1-PERCENTRANK($CT$7:$CT$1843,CT1643))</f>
        <v>2.877</v>
      </c>
      <c r="CZ1643" s="72" t="n">
        <f aca="false">IF(CS1643="","",CHOOSE(MATCH(Einkauf!$C$5,Parameter!$G$23:$G$27,0),CY1643,CS1643,CU1643,-CT1643,CW1643)+ROW()/1000000000)</f>
        <v>2.877001643</v>
      </c>
    </row>
    <row r="1644" customFormat="false" ht="15" hidden="false" customHeight="false" outlineLevel="0" collapsed="false">
      <c r="A1644" s="60" t="s">
        <v>2902</v>
      </c>
      <c r="B1644" s="60" t="s">
        <v>759</v>
      </c>
      <c r="C1644" s="60" t="s">
        <v>206</v>
      </c>
      <c r="D1644" s="60" t="s">
        <v>215</v>
      </c>
      <c r="E1644" s="60" t="s">
        <v>208</v>
      </c>
      <c r="F1644" s="60"/>
      <c r="G1644" s="61" t="n">
        <v>60.43</v>
      </c>
      <c r="H1644" s="62" t="n">
        <f aca="false">MAX(0,IF(AND(Parameter!$B$21="Ja",ISNUMBER(Y1644)),Y1644,IF(Parameter!$B$20="Jahresanfang 2025 + Export",BS1644+BR1644,BR1644)))</f>
        <v>13</v>
      </c>
      <c r="I1644" s="62" t="n">
        <f aca="false">H1644*G1644</f>
        <v>785.59</v>
      </c>
      <c r="J1644" s="62" t="n">
        <f aca="false">BU1644*Parameter!$B$18</f>
        <v>0</v>
      </c>
      <c r="K1644" s="63"/>
      <c r="L1644" s="64"/>
      <c r="M1644" s="62" t="n">
        <v>0</v>
      </c>
      <c r="N1644" s="62" t="n">
        <v>10</v>
      </c>
      <c r="O1644" s="65" t="n">
        <v>28</v>
      </c>
      <c r="P1644" s="60" t="s">
        <v>210</v>
      </c>
      <c r="Q1644" s="62"/>
      <c r="R1644" s="65" t="n">
        <f aca="false">IF(CA1644=1,0,IFERROR(VLOOKUP(BY1644,'Gebinde-Kategorie'!$A$5:$N$45,13,0)+0,0))</f>
        <v>12</v>
      </c>
      <c r="S1644" s="66"/>
      <c r="T1644" s="67" t="s">
        <v>221</v>
      </c>
      <c r="U1644" s="67"/>
      <c r="V1644" s="67"/>
      <c r="W1644" s="60"/>
      <c r="X1644" s="62"/>
      <c r="Y1644" s="62"/>
      <c r="Z1644" s="60" t="n">
        <v>3</v>
      </c>
      <c r="AA1644" s="60" t="n">
        <f aca="false">IF(A1644="","",IF(AND(Parameter!$B$21="Ja",ISNUMBER(W1644)),W1644,IF(AND(Parameter!$E$27="Ja",ISNUMBER(Z1644),CD1644&lt;&gt;"Nein"),Z1644,IF(CD1644="2+3",IF(ISNUMBER(SEARCH("grosser Artikel",BV1644)),2,IFERROR(VLOOKUP(BY1644,Parameter!$F$35:$G$64,2,0),2)),IF(OR(CD1644="Nein",CD1644=""),"-",CD1644)))))</f>
        <v>3</v>
      </c>
      <c r="AB1644" s="67"/>
      <c r="AC1644" s="68"/>
      <c r="AD1644" s="62" t="n">
        <f aca="false">AW1644</f>
        <v>10</v>
      </c>
      <c r="AE1644" s="62" t="n">
        <f aca="false">MAX(AW1644,H1644)</f>
        <v>13</v>
      </c>
      <c r="AF1644" s="69"/>
      <c r="AG1644" s="62" t="n">
        <f aca="false">IF(LEFT(Cockpit!$C$5,1)="A",H1644,IF(Parameter!$E$30="MAX-Bestand",IF(CI1644=1,CJ1644,IF(LEFT(Cockpit!$C$5,1)="B",AM1644,MAX(AM1644,H1644))),ROUNDUP(AK1644,0)))</f>
        <v>13</v>
      </c>
      <c r="AH1644" s="62" t="n">
        <f aca="false">IF(CA1644=1,0,ROUNDUP(AG1644/BZ1644,0))</f>
        <v>1</v>
      </c>
      <c r="AI1644" s="64" t="n">
        <f aca="false">IF(CR1644&gt;0,CR1644*MAX(1,AG1644/X1644),IF(CA1644=1,IF(AG1644&lt;=0,0,CE1644*MAX(1,IF(H1644&gt;0,AG1644/H1644,1))),IF(R1644&gt;0,AH1644/R1644,0))/MAX(0.1,N(Parameter!$M$21)))</f>
        <v>0.0833333333333333</v>
      </c>
      <c r="AJ1644" s="62" t="n">
        <f aca="false">AI1644*CC1644</f>
        <v>12.0833333333333</v>
      </c>
      <c r="AK1644" s="63" t="n">
        <f aca="false">IF(LEFT(Cockpit!$C$5,1)="A",H1644,IF(CI1644=1,(CL1644+CJ1644)/2,IF(LEFT(Cockpit!$C$5,1)="B",(CL1644+AM1644)/2,MAX((CL1644+AM1644)/2,H1644))))</f>
        <v>13</v>
      </c>
      <c r="AL1644" s="62" t="n">
        <f aca="false">AK1644*G1644</f>
        <v>785.59</v>
      </c>
      <c r="AM1644" s="62" t="n">
        <f aca="false">ROUNDUP(CL1644+MAX(CM1644,2*(J1644/IF(CH1644&gt;0,CH1644,MAX(0.1,N(Cockpit!$C$6)))-CL1644)),0)</f>
        <v>10</v>
      </c>
      <c r="AN1644" s="63" t="n">
        <f aca="false">IF(AJ1644&gt;0,J1644/AJ1644,-1)</f>
        <v>0</v>
      </c>
      <c r="AO1644" s="63" t="n">
        <f aca="false">IF(AND(OR(CG1644="L1",CG1644="L23",CG1644="LIFT"),AJ1644&gt;0),SUMIFS($AJ$7:$AJ$1843,$CG$7:$CG$1843,CG1644,$AN$7:$AN$1843,"&gt;"&amp;AN1644)+SUMIFS($AJ$7:$AJ$1843,$CG$7:$CG$1843,CG1644,$AN$7:$AN$1843,AN1644,$BX$7:$BX$1843,"&lt;="&amp;BX1644),"")</f>
        <v>31105.7981907452</v>
      </c>
      <c r="AP1644" s="70" t="n">
        <f aca="false">IF(AO1644="",0,MAX(0,MIN(1,(IF(CG1644="L1",Parameter!$H$5,IF(CG1644="L23",Parameter!$H$6+Parameter!$H$7,Parameter!$H$5+Parameter!$H$6+Parameter!$H$7))-(AO1644-AJ1644))/AJ1644)))</f>
        <v>1</v>
      </c>
      <c r="AQ1644" s="62" t="n">
        <f aca="false">IF(LEFT(Cockpit!$I$5,1)="A",H1644,IF(Parameter!$E$30="MAX-Bestand",IF(CI1644=1,CJ1644,IF(LEFT(Cockpit!$I$5,1)="B",AW1644,MAX(AW1644,H1644))),ROUNDUP(AU1644,0)))</f>
        <v>13</v>
      </c>
      <c r="AR1644" s="62" t="n">
        <f aca="false">IF(CA1644=1,0,ROUNDUP(AQ1644/BZ1644,0))</f>
        <v>1</v>
      </c>
      <c r="AS1644" s="64" t="n">
        <f aca="false">IF(CR1644&gt;0,CR1644*MAX(1,AQ1644/X1644),IF(CA1644=1,IF(AQ1644&lt;=0,0,CE1644*MAX(1,IF(H1644&gt;0,AQ1644/H1644,1))),IF(R1644&gt;0,AR1644/R1644,0))/MAX(0.1,N(Parameter!$M$21)))</f>
        <v>0.0833333333333333</v>
      </c>
      <c r="AT1644" s="62" t="n">
        <f aca="false">AS1644*CC1644</f>
        <v>12.0833333333333</v>
      </c>
      <c r="AU1644" s="63" t="n">
        <f aca="false">IF(LEFT(Cockpit!$I$5,1)="A",H1644,IF(CI1644=1,(CL1644+CJ1644)/2,IF(LEFT(Cockpit!$I$5,1)="B",(CL1644+AW1644)/2,MAX((CL1644+AW1644)/2,H1644))))</f>
        <v>13</v>
      </c>
      <c r="AV1644" s="62" t="n">
        <f aca="false">AU1644*G1644</f>
        <v>785.59</v>
      </c>
      <c r="AW1644" s="62" t="n">
        <f aca="false">ROUNDUP(CL1644+MAX(CM1644,2*(J1644/IF(CH1644&gt;0,CH1644,MAX(0.1,N(Cockpit!$I$6)))-CL1644)),0)</f>
        <v>10</v>
      </c>
      <c r="AX1644" s="63" t="n">
        <f aca="false">IF(AT1644&gt;0,J1644/AT1644,-1)</f>
        <v>0</v>
      </c>
      <c r="AY1644" s="63" t="n">
        <f aca="false">IF(AND(OR(CG1644="L1",CG1644="L23",CG1644="LIFT"),AT1644&gt;0),SUMIFS($AT$7:$AT$1843,$CG$7:$CG$1843,CG1644,$AX$7:$AX$1843,"&gt;"&amp;AX1644)+SUMIFS($AT$7:$AT$1843,$CG$7:$CG$1843,CG1644,$AX$7:$AX$1843,AX1644,$BX$7:$BX$1843,"&lt;="&amp;BX1644),"")</f>
        <v>37425.6547075806</v>
      </c>
      <c r="AZ1644" s="70" t="n">
        <f aca="false">IF(AY1644="",0,MAX(0,MIN(1,(IF(CG1644="L1",Parameter!$H$5,IF(CG1644="L23",Parameter!$H$6+Parameter!$H$7,Parameter!$H$5+Parameter!$H$6+Parameter!$H$7))-(AY1644-AT1644))/AT1644)))</f>
        <v>0</v>
      </c>
      <c r="BA1644" s="62" t="n">
        <f aca="false">IF(LEFT(Cockpit!$O$5,1)="A",H1644,IF(Parameter!$E$30="MAX-Bestand",IF(CI1644=1,CJ1644,IF(LEFT(Cockpit!$O$5,1)="B",BG1644,MAX(BG1644,H1644))),ROUNDUP(BE1644,0)))</f>
        <v>5</v>
      </c>
      <c r="BB1644" s="62" t="n">
        <f aca="false">IF(CA1644=1,0,ROUNDUP(BA1644/BZ1644,0))</f>
        <v>1</v>
      </c>
      <c r="BC1644" s="64" t="n">
        <f aca="false">IF(CR1644&gt;0,CR1644*MAX(1,BA1644/X1644),IF(CA1644=1,IF(BA1644&lt;=0,0,CE1644*MAX(1,IF(H1644&gt;0,BA1644/H1644,1))),IF(R1644&gt;0,BB1644/R1644,0))/MAX(0.1,N(Parameter!$M$21)))</f>
        <v>0.0833333333333333</v>
      </c>
      <c r="BD1644" s="62" t="n">
        <f aca="false">BC1644*CC1644</f>
        <v>12.0833333333333</v>
      </c>
      <c r="BE1644" s="63" t="n">
        <f aca="false">IF(LEFT(Cockpit!$O$5,1)="A",H1644,IF(CI1644=1,(CL1644+CJ1644)/2,IF(LEFT(Cockpit!$O$5,1)="B",(CL1644+BG1644)/2,MAX((CL1644+BG1644)/2,H1644))))</f>
        <v>5</v>
      </c>
      <c r="BF1644" s="62" t="n">
        <f aca="false">BE1644*G1644</f>
        <v>302.15</v>
      </c>
      <c r="BG1644" s="62" t="n">
        <f aca="false">ROUNDUP(CL1644+MAX(CM1644,2*(J1644/IF(CH1644&gt;0,CH1644,MAX(0.1,N(Cockpit!$O$6)))-CL1644)),0)</f>
        <v>10</v>
      </c>
      <c r="BH1644" s="63" t="n">
        <f aca="false">IF(BD1644&gt;0,J1644/BD1644,-1)</f>
        <v>0</v>
      </c>
      <c r="BI1644" s="63" t="n">
        <f aca="false">IF(AND(OR(CG1644="L1",CG1644="L23",CG1644="LIFT"),BD1644&gt;0),SUMIFS($BD$7:$BD$1843,$CG$7:$CG$1843,CG1644,$BH$7:$BH$1843,"&gt;"&amp;BH1644)+SUMIFS($BD$7:$BD$1843,$CG$7:$CG$1843,CG1644,$BH$7:$BH$1843,BH1644,$BX$7:$BX$1843,"&lt;="&amp;BX1644),"")</f>
        <v>31335.0959831129</v>
      </c>
      <c r="BJ1644" s="70" t="n">
        <f aca="false">IF(BI1644="",0,MAX(0,MIN(1,(IF(CG1644="L1",Parameter!$H$5,IF(CG1644="L23",Parameter!$H$6+Parameter!$H$7,Parameter!$H$5+Parameter!$H$6+Parameter!$H$7))-(BI1644-BD1644))/BD1644)))</f>
        <v>1</v>
      </c>
      <c r="BK1644" s="60" t="str">
        <f aca="false">IF(AJ1644&lt;=0,"",IF(CG1644="Aussen","Aussenlager",IF(CG1644="-","Nicht im Lift",IF(AP1644&gt;=1,"Lift",IF(AP1644&lt;=0,"Aussenlager","teilweise")))))</f>
        <v>Lift</v>
      </c>
      <c r="BL1644" s="60" t="str">
        <f aca="false">IF(AT1644&lt;=0,"",IF(CG1644="Aussen","Aussenlager",IF(CG1644="-","Nicht im Lift",IF(AZ1644&gt;=1,"Lift",IF(AZ1644&lt;=0,"Aussenlager","teilweise")))))</f>
        <v>Aussenlager</v>
      </c>
      <c r="BM1644" s="60" t="str">
        <f aca="false">IF(BD1644&lt;=0,"",IF(CG1644="Aussen","Aussenlager",IF(CG1644="-","Nicht im Lift",IF(BJ1644&gt;=1,"Lift",IF(BJ1644&lt;=0,"Aussenlager","teilweise")))))</f>
        <v>Lift</v>
      </c>
      <c r="BN1644" s="60" t="str">
        <f aca="false">IF(A1644="","",IF(BW1644=1,"Neu; ","")&amp;IF(AND(BW1644=0,BR1644&lt;0),"negativer Bestand (Export "&amp;BR1644&amp;"); ","")&amp;IF(J1644&lt;=0,"Kein Verbrauch; ","")&amp;IF(CR1644&gt;0,"Lift "&amp;W1644&amp;" lt. Liftbericht (Fach "&amp;X1644&amp;" Stk); ",IF(CB1644=1,"Gebinde geschätzt ("&amp;T1644&amp;"); ",IF(CA1644=1,"Lose – Tablare geschätzt; ","")))&amp;IF(H1644&gt;AW1644,"Überbestand "&amp;ROUND(H1644-AW1644,0)&amp;" Stk / CHF "&amp;ROUND((H1644-AW1644)*G1644,0)&amp;"; ","")&amp;IF(AND(CI1644=1,CJ1644&lt;CK1644),"MAX &lt; MB+LG; ","")&amp;IF(AND(CQ1644&gt;0,CP1644*10&gt;CQ1644),"zu hoch für Tablar; ","")&amp;IF(AND(BW1644=0,OR(CI1644=1,AB1644&lt;&gt;"",U1644&lt;&gt;"",V1644&lt;&gt;"",AC1644&lt;&gt;"")),"manuell übersteuert; ","")&amp;IF(AND(CA1644=0,R1644=0),"Gebinde unbekannt / Stellmass fehlt; ","")&amp;IF(AND(CA1644=0,N(V1644)&lt;=0,N(Q1644)&lt;=0),"Menge pro Gebinde fehlt (Ist = 1 Gebinde); ","")&amp;BV1644)</f>
        <v>Kein Verbrauch; Gebinde geschätzt (Mittel); Überbestand 3 Stk / CHF 181; Menge pro Gebinde fehlt (Ist = 1 Gebinde); nur im Artikelstamm (Bestand 23.06.2026); Überbestand</v>
      </c>
      <c r="BO1644" s="60"/>
      <c r="BP1644" s="60"/>
      <c r="BQ1644" s="67"/>
      <c r="BR1644" s="62" t="n">
        <v>13</v>
      </c>
      <c r="BS1644" s="62" t="n">
        <v>0</v>
      </c>
      <c r="BT1644" s="61" t="n">
        <v>0</v>
      </c>
      <c r="BU1644" s="62" t="n">
        <v>0</v>
      </c>
      <c r="BV1644" s="60" t="s">
        <v>2614</v>
      </c>
      <c r="BW1644" s="65" t="n">
        <v>0</v>
      </c>
      <c r="BX1644" s="65" t="n">
        <v>1644</v>
      </c>
      <c r="BY1644" s="60" t="str">
        <f aca="false">IF(U1644&lt;&gt;"",UPPER(TRIM(U1644)),IF(CB1644=1,UPPER(VLOOKUP(T1644,Parameter!$I$27:$K$29,2,0)),IF(P1644="","LOSE",P1644)))</f>
        <v>S61</v>
      </c>
      <c r="BZ1644" s="62" t="n">
        <f aca="false">IF(BY1644="LOSE",1,IF(N(V1644)&gt;0,V1644,IF(CB1644=1,MAX(1,N(VLOOKUP(T1644,Parameter!$I$27:$K$29,3,0)),H1644,N(N1644)),IF(N(Q1644)&gt;0,Q1644,MAX(1,H1644)))))</f>
        <v>13</v>
      </c>
      <c r="CA1644" s="65" t="n">
        <f aca="false">IF(BY1644="LOSE",1,0)</f>
        <v>0</v>
      </c>
      <c r="CB1644" s="65" t="n">
        <f aca="false">IF(AND(U1644="",OR(P1644="",P1644="LOSE"),T1644&lt;&gt;"",N(S1644)&lt;=0,ISNUMBER(MATCH(T1644,Parameter!$I$27:$I$29,0))),1,0)</f>
        <v>1</v>
      </c>
      <c r="CC1644" s="65" t="n">
        <f aca="false">IF(CR1644&gt;0,INDEX(Parameter!$H$5:$H$7,W1644)/INDEX(Parameter!$E$5:$E$7,W1644),IF(AND(CA1644=0,N(IFERROR(VLOOKUP(BY1644,'Gebinde-Kategorie'!$A$5:$N$45,14,0),0))&gt;0),VLOOKUP(BY1644,'Gebinde-Kategorie'!$A$5:$N$45,14,0)*10+Parameter!$M$23,Parameter!$M$24))</f>
        <v>145</v>
      </c>
      <c r="CD1644" s="60" t="n">
        <f aca="false">IF(AND(Parameter!$B$19="Ja",E1644&lt;&gt;"",ISNUMBER(MATCH(E1644,Parameter!$I$35:$I$52,0))),VLOOKUP(E1644,Parameter!$I$35:$J$52,2,0),IFERROR(VLOOKUP(D1644,Parameter!$A$35:$C$64,2,0),"Nein"))</f>
        <v>1</v>
      </c>
      <c r="CE1644" s="64" t="n">
        <f aca="false">IF(CA1644=0,0,IF(N(S1644)&gt;0,S1644,IFERROR(VLOOKUP(D1644,Parameter!$A$35:$C$64,3,0)+0,0)))</f>
        <v>0</v>
      </c>
      <c r="CF1644" s="60" t="n">
        <f aca="false">IF(AB1644&lt;&gt;"",AB1644,AA1644)</f>
        <v>3</v>
      </c>
      <c r="CG1644" s="60" t="str">
        <f aca="false">IF(OR(CF1644=1,CF1644=2,CF1644=3),IF(Parameter!$E$27="Ja","LIFT",IF(CF1644=1,"L1","L23")),IF(CF1644="Aussen","Aussen","-"))</f>
        <v>LIFT</v>
      </c>
      <c r="CH1644" s="71" t="n">
        <f aca="false">IF(N(AC1644)&gt;0,AC1644,0)</f>
        <v>0</v>
      </c>
      <c r="CI1644" s="65" t="n">
        <f aca="false">IF(ISNUMBER(AF1644),1,0)</f>
        <v>0</v>
      </c>
      <c r="CJ1644" s="62" t="n">
        <f aca="false">N(AF1644)</f>
        <v>0</v>
      </c>
      <c r="CK1644" s="62" t="n">
        <f aca="false">N(M1644)+N(N1644)</f>
        <v>10</v>
      </c>
      <c r="CL1644" s="62" t="n">
        <f aca="false">N(M1644)</f>
        <v>0</v>
      </c>
      <c r="CM1644" s="62" t="n">
        <f aca="false">N(N1644)</f>
        <v>10</v>
      </c>
      <c r="CN1644" s="62" t="n">
        <f aca="false">ROUNDUP(H1644/BZ1644,0)</f>
        <v>1</v>
      </c>
      <c r="CO1644" s="62" t="n">
        <f aca="false">ROUNDUP(CJ1644/BZ1644,0)</f>
        <v>0</v>
      </c>
      <c r="CP1644" s="65" t="n">
        <f aca="false">IF(CA1644=1,0,IFERROR(VLOOKUP(BY1644,'Gebinde-Kategorie'!$A$5:$N$45,5,0)+0,0))</f>
        <v>11</v>
      </c>
      <c r="CQ1644" s="65" t="n">
        <f aca="false">IFERROR(IF(OR(CF1644=1,CF1644=2,CF1644=3),N(INDEX(Parameter!$I$5:$I$7,CF1644)),0),0)</f>
        <v>0</v>
      </c>
      <c r="CR1644" s="64" t="n">
        <f aca="false">IF(AND(Parameter!$B$21="Ja",ISNUMBER(W1644),N(X1644)&gt;0),IFERROR(N(INDEX(Parameter!$L$5:$L$7,W1644))*INDEX(Parameter!$E$5:$E$7,W1644)*X1644/SUMIFS($X$7:$X$1843,$W$7:$W$1843,W1644),0),0)</f>
        <v>0</v>
      </c>
      <c r="CS1644" s="62" t="n">
        <f aca="false">IF(AND(OR(CG1644="L1",CG1644="L23",CG1644="LIFT"),H1644&gt;0),CC1644*IF(CR1644&gt;0,CR1644*MAX(1,H1644/X1644),IF(CA1644=1,CE1644,IF(R1644&gt;0,CN1644/R1644,0))/MAX(0.1,N(Parameter!$M$21))),"")</f>
        <v>12.0833333333333</v>
      </c>
      <c r="CT1644" s="64" t="n">
        <f aca="false">IF(CS1644="","",J1644/H1644)</f>
        <v>0</v>
      </c>
      <c r="CU1644" s="62" t="n">
        <f aca="false">IF(CS1644="","",H1644*G1644)</f>
        <v>785.59</v>
      </c>
      <c r="CV1644" s="63" t="n">
        <f aca="false">IF(CS1644="","",(CL1644+ROUNDUP(CL1644+MAX(CM1644,2*(J1644/MAX(0.1,N(Einkauf!$C$6))-CL1644)),0))/2)</f>
        <v>5</v>
      </c>
      <c r="CW1644" s="62" t="n">
        <f aca="false">IF(CS1644="","",MAX(0,H1644-CV1644)*G1644)</f>
        <v>483.44</v>
      </c>
      <c r="CX1644" s="62" t="n">
        <f aca="false">IF(CS1644="","",CS1644*MAX(0,1-CV1644/H1644))</f>
        <v>7.43589743589744</v>
      </c>
      <c r="CY1644" s="64" t="n">
        <f aca="false">IF(CS1644="","",PERCENTRANK($CS$7:$CS$1843,CS1644)+PERCENTRANK($CU$7:$CU$1843,CU1644)+1-PERCENTRANK($CT$7:$CT$1843,CT1644))</f>
        <v>2.26</v>
      </c>
      <c r="CZ1644" s="72" t="n">
        <f aca="false">IF(CS1644="","",CHOOSE(MATCH(Einkauf!$C$5,Parameter!$G$23:$G$27,0),CY1644,CS1644,CU1644,-CT1644,CW1644)+ROW()/1000000000)</f>
        <v>2.260001644</v>
      </c>
    </row>
    <row r="1645" customFormat="false" ht="15" hidden="false" customHeight="false" outlineLevel="0" collapsed="false">
      <c r="A1645" s="60" t="s">
        <v>2903</v>
      </c>
      <c r="B1645" s="60" t="s">
        <v>2904</v>
      </c>
      <c r="C1645" s="60" t="s">
        <v>498</v>
      </c>
      <c r="D1645" s="60" t="s">
        <v>226</v>
      </c>
      <c r="E1645" s="60"/>
      <c r="F1645" s="60"/>
      <c r="G1645" s="61" t="n">
        <v>10.35</v>
      </c>
      <c r="H1645" s="62" t="n">
        <f aca="false">MAX(0,IF(AND(Parameter!$B$21="Ja",ISNUMBER(Y1645)),Y1645,IF(Parameter!$B$20="Jahresanfang 2025 + Export",BS1645+BR1645,BR1645)))</f>
        <v>2</v>
      </c>
      <c r="I1645" s="62" t="n">
        <f aca="false">H1645*G1645</f>
        <v>20.7</v>
      </c>
      <c r="J1645" s="62" t="n">
        <f aca="false">BU1645*Parameter!$B$18</f>
        <v>0</v>
      </c>
      <c r="K1645" s="63"/>
      <c r="L1645" s="64"/>
      <c r="M1645" s="62" t="n">
        <v>0</v>
      </c>
      <c r="N1645" s="62" t="n">
        <v>1</v>
      </c>
      <c r="O1645" s="65" t="n">
        <v>97</v>
      </c>
      <c r="P1645" s="60" t="s">
        <v>210</v>
      </c>
      <c r="Q1645" s="62"/>
      <c r="R1645" s="65" t="n">
        <f aca="false">IF(CA1645=1,0,IFERROR(VLOOKUP(BY1645,'Gebinde-Kategorie'!$A$5:$N$45,13,0)+0,0))</f>
        <v>26</v>
      </c>
      <c r="S1645" s="66"/>
      <c r="T1645" s="67" t="s">
        <v>317</v>
      </c>
      <c r="U1645" s="67"/>
      <c r="V1645" s="67"/>
      <c r="W1645" s="60"/>
      <c r="X1645" s="62"/>
      <c r="Y1645" s="62"/>
      <c r="Z1645" s="60" t="n">
        <v>3</v>
      </c>
      <c r="AA1645" s="60" t="n">
        <f aca="false">IF(A1645="","",IF(AND(Parameter!$B$21="Ja",ISNUMBER(W1645)),W1645,IF(AND(Parameter!$E$27="Ja",ISNUMBER(Z1645),CD1645&lt;&gt;"Nein"),Z1645,IF(CD1645="2+3",IF(ISNUMBER(SEARCH("grosser Artikel",BV1645)),2,IFERROR(VLOOKUP(BY1645,Parameter!$F$35:$G$64,2,0),2)),IF(OR(CD1645="Nein",CD1645=""),"-",CD1645)))))</f>
        <v>3</v>
      </c>
      <c r="AB1645" s="67"/>
      <c r="AC1645" s="68"/>
      <c r="AD1645" s="62" t="n">
        <f aca="false">AW1645</f>
        <v>1</v>
      </c>
      <c r="AE1645" s="62" t="n">
        <f aca="false">MAX(AW1645,H1645)</f>
        <v>2</v>
      </c>
      <c r="AF1645" s="69"/>
      <c r="AG1645" s="62" t="n">
        <f aca="false">IF(LEFT(Cockpit!$C$5,1)="A",H1645,IF(Parameter!$E$30="MAX-Bestand",IF(CI1645=1,CJ1645,IF(LEFT(Cockpit!$C$5,1)="B",AM1645,MAX(AM1645,H1645))),ROUNDUP(AK1645,0)))</f>
        <v>2</v>
      </c>
      <c r="AH1645" s="62" t="n">
        <f aca="false">IF(CA1645=1,0,ROUNDUP(AG1645/BZ1645,0))</f>
        <v>1</v>
      </c>
      <c r="AI1645" s="64" t="n">
        <f aca="false">IF(CR1645&gt;0,CR1645*MAX(1,AG1645/X1645),IF(CA1645=1,IF(AG1645&lt;=0,0,CE1645*MAX(1,IF(H1645&gt;0,AG1645/H1645,1))),IF(R1645&gt;0,AH1645/R1645,0))/MAX(0.1,N(Parameter!$M$21)))</f>
        <v>0.0384615384615385</v>
      </c>
      <c r="AJ1645" s="62" t="n">
        <f aca="false">AI1645*CC1645</f>
        <v>5.96153846153846</v>
      </c>
      <c r="AK1645" s="63" t="n">
        <f aca="false">IF(LEFT(Cockpit!$C$5,1)="A",H1645,IF(CI1645=1,(CL1645+CJ1645)/2,IF(LEFT(Cockpit!$C$5,1)="B",(CL1645+AM1645)/2,MAX((CL1645+AM1645)/2,H1645))))</f>
        <v>2</v>
      </c>
      <c r="AL1645" s="62" t="n">
        <f aca="false">AK1645*G1645</f>
        <v>20.7</v>
      </c>
      <c r="AM1645" s="62" t="n">
        <f aca="false">ROUNDUP(CL1645+MAX(CM1645,2*(J1645/IF(CH1645&gt;0,CH1645,MAX(0.1,N(Cockpit!$C$6)))-CL1645)),0)</f>
        <v>1</v>
      </c>
      <c r="AN1645" s="63" t="n">
        <f aca="false">IF(AJ1645&gt;0,J1645/AJ1645,-1)</f>
        <v>0</v>
      </c>
      <c r="AO1645" s="63" t="n">
        <f aca="false">IF(AND(OR(CG1645="L1",CG1645="L23",CG1645="LIFT"),AJ1645&gt;0),SUMIFS($AJ$7:$AJ$1843,$CG$7:$CG$1843,CG1645,$AN$7:$AN$1843,"&gt;"&amp;AN1645)+SUMIFS($AJ$7:$AJ$1843,$CG$7:$CG$1843,CG1645,$AN$7:$AN$1843,AN1645,$BX$7:$BX$1843,"&lt;="&amp;BX1645),"")</f>
        <v>31111.7597292068</v>
      </c>
      <c r="AP1645" s="70" t="n">
        <f aca="false">IF(AO1645="",0,MAX(0,MIN(1,(IF(CG1645="L1",Parameter!$H$5,IF(CG1645="L23",Parameter!$H$6+Parameter!$H$7,Parameter!$H$5+Parameter!$H$6+Parameter!$H$7))-(AO1645-AJ1645))/AJ1645)))</f>
        <v>1</v>
      </c>
      <c r="AQ1645" s="62" t="n">
        <f aca="false">IF(LEFT(Cockpit!$I$5,1)="A",H1645,IF(Parameter!$E$30="MAX-Bestand",IF(CI1645=1,CJ1645,IF(LEFT(Cockpit!$I$5,1)="B",AW1645,MAX(AW1645,H1645))),ROUNDUP(AU1645,0)))</f>
        <v>2</v>
      </c>
      <c r="AR1645" s="62" t="n">
        <f aca="false">IF(CA1645=1,0,ROUNDUP(AQ1645/BZ1645,0))</f>
        <v>1</v>
      </c>
      <c r="AS1645" s="64" t="n">
        <f aca="false">IF(CR1645&gt;0,CR1645*MAX(1,AQ1645/X1645),IF(CA1645=1,IF(AQ1645&lt;=0,0,CE1645*MAX(1,IF(H1645&gt;0,AQ1645/H1645,1))),IF(R1645&gt;0,AR1645/R1645,0))/MAX(0.1,N(Parameter!$M$21)))</f>
        <v>0.0384615384615385</v>
      </c>
      <c r="AT1645" s="62" t="n">
        <f aca="false">AS1645*CC1645</f>
        <v>5.96153846153846</v>
      </c>
      <c r="AU1645" s="63" t="n">
        <f aca="false">IF(LEFT(Cockpit!$I$5,1)="A",H1645,IF(CI1645=1,(CL1645+CJ1645)/2,IF(LEFT(Cockpit!$I$5,1)="B",(CL1645+AW1645)/2,MAX((CL1645+AW1645)/2,H1645))))</f>
        <v>2</v>
      </c>
      <c r="AV1645" s="62" t="n">
        <f aca="false">AU1645*G1645</f>
        <v>20.7</v>
      </c>
      <c r="AW1645" s="62" t="n">
        <f aca="false">ROUNDUP(CL1645+MAX(CM1645,2*(J1645/IF(CH1645&gt;0,CH1645,MAX(0.1,N(Cockpit!$I$6)))-CL1645)),0)</f>
        <v>1</v>
      </c>
      <c r="AX1645" s="63" t="n">
        <f aca="false">IF(AT1645&gt;0,J1645/AT1645,-1)</f>
        <v>0</v>
      </c>
      <c r="AY1645" s="63" t="n">
        <f aca="false">IF(AND(OR(CG1645="L1",CG1645="L23",CG1645="LIFT"),AT1645&gt;0),SUMIFS($AT$7:$AT$1843,$CG$7:$CG$1843,CG1645,$AX$7:$AX$1843,"&gt;"&amp;AX1645)+SUMIFS($AT$7:$AT$1843,$CG$7:$CG$1843,CG1645,$AX$7:$AX$1843,AX1645,$BX$7:$BX$1843,"&lt;="&amp;BX1645),"")</f>
        <v>37431.6162460421</v>
      </c>
      <c r="AZ1645" s="70" t="n">
        <f aca="false">IF(AY1645="",0,MAX(0,MIN(1,(IF(CG1645="L1",Parameter!$H$5,IF(CG1645="L23",Parameter!$H$6+Parameter!$H$7,Parameter!$H$5+Parameter!$H$6+Parameter!$H$7))-(AY1645-AT1645))/AT1645)))</f>
        <v>0</v>
      </c>
      <c r="BA1645" s="62" t="n">
        <f aca="false">IF(LEFT(Cockpit!$O$5,1)="A",H1645,IF(Parameter!$E$30="MAX-Bestand",IF(CI1645=1,CJ1645,IF(LEFT(Cockpit!$O$5,1)="B",BG1645,MAX(BG1645,H1645))),ROUNDUP(BE1645,0)))</f>
        <v>1</v>
      </c>
      <c r="BB1645" s="62" t="n">
        <f aca="false">IF(CA1645=1,0,ROUNDUP(BA1645/BZ1645,0))</f>
        <v>1</v>
      </c>
      <c r="BC1645" s="64" t="n">
        <f aca="false">IF(CR1645&gt;0,CR1645*MAX(1,BA1645/X1645),IF(CA1645=1,IF(BA1645&lt;=0,0,CE1645*MAX(1,IF(H1645&gt;0,BA1645/H1645,1))),IF(R1645&gt;0,BB1645/R1645,0))/MAX(0.1,N(Parameter!$M$21)))</f>
        <v>0.0384615384615385</v>
      </c>
      <c r="BD1645" s="62" t="n">
        <f aca="false">BC1645*CC1645</f>
        <v>5.96153846153846</v>
      </c>
      <c r="BE1645" s="63" t="n">
        <f aca="false">IF(LEFT(Cockpit!$O$5,1)="A",H1645,IF(CI1645=1,(CL1645+CJ1645)/2,IF(LEFT(Cockpit!$O$5,1)="B",(CL1645+BG1645)/2,MAX((CL1645+BG1645)/2,H1645))))</f>
        <v>0.5</v>
      </c>
      <c r="BF1645" s="62" t="n">
        <f aca="false">BE1645*G1645</f>
        <v>5.175</v>
      </c>
      <c r="BG1645" s="62" t="n">
        <f aca="false">ROUNDUP(CL1645+MAX(CM1645,2*(J1645/IF(CH1645&gt;0,CH1645,MAX(0.1,N(Cockpit!$O$6)))-CL1645)),0)</f>
        <v>1</v>
      </c>
      <c r="BH1645" s="63" t="n">
        <f aca="false">IF(BD1645&gt;0,J1645/BD1645,-1)</f>
        <v>0</v>
      </c>
      <c r="BI1645" s="63" t="n">
        <f aca="false">IF(AND(OR(CG1645="L1",CG1645="L23",CG1645="LIFT"),BD1645&gt;0),SUMIFS($BD$7:$BD$1843,$CG$7:$CG$1843,CG1645,$BH$7:$BH$1843,"&gt;"&amp;BH1645)+SUMIFS($BD$7:$BD$1843,$CG$7:$CG$1843,CG1645,$BH$7:$BH$1843,BH1645,$BX$7:$BX$1843,"&lt;="&amp;BX1645),"")</f>
        <v>31341.0575215745</v>
      </c>
      <c r="BJ1645" s="70" t="n">
        <f aca="false">IF(BI1645="",0,MAX(0,MIN(1,(IF(CG1645="L1",Parameter!$H$5,IF(CG1645="L23",Parameter!$H$6+Parameter!$H$7,Parameter!$H$5+Parameter!$H$6+Parameter!$H$7))-(BI1645-BD1645))/BD1645)))</f>
        <v>1</v>
      </c>
      <c r="BK1645" s="60" t="str">
        <f aca="false">IF(AJ1645&lt;=0,"",IF(CG1645="Aussen","Aussenlager",IF(CG1645="-","Nicht im Lift",IF(AP1645&gt;=1,"Lift",IF(AP1645&lt;=0,"Aussenlager","teilweise")))))</f>
        <v>Lift</v>
      </c>
      <c r="BL1645" s="60" t="str">
        <f aca="false">IF(AT1645&lt;=0,"",IF(CG1645="Aussen","Aussenlager",IF(CG1645="-","Nicht im Lift",IF(AZ1645&gt;=1,"Lift",IF(AZ1645&lt;=0,"Aussenlager","teilweise")))))</f>
        <v>Aussenlager</v>
      </c>
      <c r="BM1645" s="60" t="str">
        <f aca="false">IF(BD1645&lt;=0,"",IF(CG1645="Aussen","Aussenlager",IF(CG1645="-","Nicht im Lift",IF(BJ1645&gt;=1,"Lift",IF(BJ1645&lt;=0,"Aussenlager","teilweise")))))</f>
        <v>Lift</v>
      </c>
      <c r="BN1645" s="60" t="str">
        <f aca="false">IF(A1645="","",IF(BW1645=1,"Neu; ","")&amp;IF(AND(BW1645=0,BR1645&lt;0),"negativer Bestand (Export "&amp;BR1645&amp;"); ","")&amp;IF(J1645&lt;=0,"Kein Verbrauch; ","")&amp;IF(CR1645&gt;0,"Lift "&amp;W1645&amp;" lt. Liftbericht (Fach "&amp;X1645&amp;" Stk); ",IF(CB1645=1,"Gebinde geschätzt ("&amp;T1645&amp;"); ",IF(CA1645=1,"Lose – Tablare geschätzt; ","")))&amp;IF(H1645&gt;AW1645,"Überbestand "&amp;ROUND(H1645-AW1645,0)&amp;" Stk / CHF "&amp;ROUND((H1645-AW1645)*G1645,0)&amp;"; ","")&amp;IF(AND(CI1645=1,CJ1645&lt;CK1645),"MAX &lt; MB+LG; ","")&amp;IF(AND(CQ1645&gt;0,CP1645*10&gt;CQ1645),"zu hoch für Tablar; ","")&amp;IF(AND(BW1645=0,OR(CI1645=1,AB1645&lt;&gt;"",U1645&lt;&gt;"",V1645&lt;&gt;"",AC1645&lt;&gt;"")),"manuell übersteuert; ","")&amp;IF(AND(CA1645=0,R1645=0),"Gebinde unbekannt / Stellmass fehlt; ","")&amp;IF(AND(CA1645=0,N(V1645)&lt;=0,N(Q1645)&lt;=0),"Menge pro Gebinde fehlt (Ist = 1 Gebinde); ","")&amp;BV1645)</f>
        <v>Kein Verbrauch; Gebinde geschätzt (Klein); Überbestand 1 Stk / CHF 10; Menge pro Gebinde fehlt (Ist = 1 Gebinde); nur im Artikelstamm (Bestand 23.06.2026)</v>
      </c>
      <c r="BO1645" s="60"/>
      <c r="BP1645" s="60"/>
      <c r="BQ1645" s="67"/>
      <c r="BR1645" s="62" t="n">
        <v>2</v>
      </c>
      <c r="BS1645" s="62" t="n">
        <v>0</v>
      </c>
      <c r="BT1645" s="61" t="n">
        <v>0</v>
      </c>
      <c r="BU1645" s="62" t="n">
        <v>0</v>
      </c>
      <c r="BV1645" s="60" t="s">
        <v>2617</v>
      </c>
      <c r="BW1645" s="65" t="n">
        <v>0</v>
      </c>
      <c r="BX1645" s="65" t="n">
        <v>1645</v>
      </c>
      <c r="BY1645" s="60" t="str">
        <f aca="false">IF(U1645&lt;&gt;"",UPPER(TRIM(U1645)),IF(CB1645=1,UPPER(VLOOKUP(T1645,Parameter!$I$27:$K$29,2,0)),IF(P1645="","LOSE",P1645)))</f>
        <v>S51</v>
      </c>
      <c r="BZ1645" s="62" t="n">
        <f aca="false">IF(BY1645="LOSE",1,IF(N(V1645)&gt;0,V1645,IF(CB1645=1,MAX(1,N(VLOOKUP(T1645,Parameter!$I$27:$K$29,3,0)),H1645,N(N1645)),IF(N(Q1645)&gt;0,Q1645,MAX(1,H1645)))))</f>
        <v>20</v>
      </c>
      <c r="CA1645" s="65" t="n">
        <f aca="false">IF(BY1645="LOSE",1,0)</f>
        <v>0</v>
      </c>
      <c r="CB1645" s="65" t="n">
        <f aca="false">IF(AND(U1645="",OR(P1645="",P1645="LOSE"),T1645&lt;&gt;"",N(S1645)&lt;=0,ISNUMBER(MATCH(T1645,Parameter!$I$27:$I$29,0))),1,0)</f>
        <v>1</v>
      </c>
      <c r="CC1645" s="65" t="n">
        <f aca="false">IF(CR1645&gt;0,INDEX(Parameter!$H$5:$H$7,W1645)/INDEX(Parameter!$E$5:$E$7,W1645),IF(AND(CA1645=0,N(IFERROR(VLOOKUP(BY1645,'Gebinde-Kategorie'!$A$5:$N$45,14,0),0))&gt;0),VLOOKUP(BY1645,'Gebinde-Kategorie'!$A$5:$N$45,14,0)*10+Parameter!$M$23,Parameter!$M$24))</f>
        <v>155</v>
      </c>
      <c r="CD1645" s="60" t="str">
        <f aca="false">IF(AND(Parameter!$B$19="Ja",E1645&lt;&gt;"",ISNUMBER(MATCH(E1645,Parameter!$I$35:$I$52,0))),VLOOKUP(E1645,Parameter!$I$35:$J$52,2,0),IFERROR(VLOOKUP(D1645,Parameter!$A$35:$C$64,2,0),"Nein"))</f>
        <v>2+3</v>
      </c>
      <c r="CE1645" s="64" t="n">
        <f aca="false">IF(CA1645=0,0,IF(N(S1645)&gt;0,S1645,IFERROR(VLOOKUP(D1645,Parameter!$A$35:$C$64,3,0)+0,0)))</f>
        <v>0</v>
      </c>
      <c r="CF1645" s="60" t="n">
        <f aca="false">IF(AB1645&lt;&gt;"",AB1645,AA1645)</f>
        <v>3</v>
      </c>
      <c r="CG1645" s="60" t="str">
        <f aca="false">IF(OR(CF1645=1,CF1645=2,CF1645=3),IF(Parameter!$E$27="Ja","LIFT",IF(CF1645=1,"L1","L23")),IF(CF1645="Aussen","Aussen","-"))</f>
        <v>LIFT</v>
      </c>
      <c r="CH1645" s="71" t="n">
        <f aca="false">IF(N(AC1645)&gt;0,AC1645,0)</f>
        <v>0</v>
      </c>
      <c r="CI1645" s="65" t="n">
        <f aca="false">IF(ISNUMBER(AF1645),1,0)</f>
        <v>0</v>
      </c>
      <c r="CJ1645" s="62" t="n">
        <f aca="false">N(AF1645)</f>
        <v>0</v>
      </c>
      <c r="CK1645" s="62" t="n">
        <f aca="false">N(M1645)+N(N1645)</f>
        <v>1</v>
      </c>
      <c r="CL1645" s="62" t="n">
        <f aca="false">N(M1645)</f>
        <v>0</v>
      </c>
      <c r="CM1645" s="62" t="n">
        <f aca="false">N(N1645)</f>
        <v>1</v>
      </c>
      <c r="CN1645" s="62" t="n">
        <f aca="false">ROUNDUP(H1645/BZ1645,0)</f>
        <v>1</v>
      </c>
      <c r="CO1645" s="62" t="n">
        <f aca="false">ROUNDUP(CJ1645/BZ1645,0)</f>
        <v>0</v>
      </c>
      <c r="CP1645" s="65" t="n">
        <f aca="false">IF(CA1645=1,0,IFERROR(VLOOKUP(BY1645,'Gebinde-Kategorie'!$A$5:$N$45,5,0)+0,0))</f>
        <v>11</v>
      </c>
      <c r="CQ1645" s="65" t="n">
        <f aca="false">IFERROR(IF(OR(CF1645=1,CF1645=2,CF1645=3),N(INDEX(Parameter!$I$5:$I$7,CF1645)),0),0)</f>
        <v>0</v>
      </c>
      <c r="CR1645" s="64" t="n">
        <f aca="false">IF(AND(Parameter!$B$21="Ja",ISNUMBER(W1645),N(X1645)&gt;0),IFERROR(N(INDEX(Parameter!$L$5:$L$7,W1645))*INDEX(Parameter!$E$5:$E$7,W1645)*X1645/SUMIFS($X$7:$X$1843,$W$7:$W$1843,W1645),0),0)</f>
        <v>0</v>
      </c>
      <c r="CS1645" s="62" t="n">
        <f aca="false">IF(AND(OR(CG1645="L1",CG1645="L23",CG1645="LIFT"),H1645&gt;0),CC1645*IF(CR1645&gt;0,CR1645*MAX(1,H1645/X1645),IF(CA1645=1,CE1645,IF(R1645&gt;0,CN1645/R1645,0))/MAX(0.1,N(Parameter!$M$21))),"")</f>
        <v>5.96153846153846</v>
      </c>
      <c r="CT1645" s="64" t="n">
        <f aca="false">IF(CS1645="","",J1645/H1645)</f>
        <v>0</v>
      </c>
      <c r="CU1645" s="62" t="n">
        <f aca="false">IF(CS1645="","",H1645*G1645)</f>
        <v>20.7</v>
      </c>
      <c r="CV1645" s="63" t="n">
        <f aca="false">IF(CS1645="","",(CL1645+ROUNDUP(CL1645+MAX(CM1645,2*(J1645/MAX(0.1,N(Einkauf!$C$6))-CL1645)),0))/2)</f>
        <v>0.5</v>
      </c>
      <c r="CW1645" s="62" t="n">
        <f aca="false">IF(CS1645="","",MAX(0,H1645-CV1645)*G1645)</f>
        <v>15.525</v>
      </c>
      <c r="CX1645" s="62" t="n">
        <f aca="false">IF(CS1645="","",CS1645*MAX(0,1-CV1645/H1645))</f>
        <v>4.47115384615385</v>
      </c>
      <c r="CY1645" s="64" t="n">
        <f aca="false">IF(CS1645="","",PERCENTRANK($CS$7:$CS$1843,CS1645)+PERCENTRANK($CU$7:$CU$1843,CU1645)+1-PERCENTRANK($CT$7:$CT$1843,CT1645))</f>
        <v>1.4319</v>
      </c>
      <c r="CZ1645" s="72" t="n">
        <f aca="false">IF(CS1645="","",CHOOSE(MATCH(Einkauf!$C$5,Parameter!$G$23:$G$27,0),CY1645,CS1645,CU1645,-CT1645,CW1645)+ROW()/1000000000)</f>
        <v>1.431901645</v>
      </c>
    </row>
    <row r="1646" customFormat="false" ht="15" hidden="false" customHeight="false" outlineLevel="0" collapsed="false">
      <c r="A1646" s="60" t="s">
        <v>2905</v>
      </c>
      <c r="B1646" s="60" t="s">
        <v>2497</v>
      </c>
      <c r="C1646" s="60" t="s">
        <v>206</v>
      </c>
      <c r="D1646" s="60" t="s">
        <v>215</v>
      </c>
      <c r="E1646" s="60"/>
      <c r="F1646" s="60"/>
      <c r="G1646" s="61" t="n">
        <v>600</v>
      </c>
      <c r="H1646" s="62" t="n">
        <f aca="false">MAX(0,IF(AND(Parameter!$B$21="Ja",ISNUMBER(Y1646)),Y1646,IF(Parameter!$B$20="Jahresanfang 2025 + Export",BS1646+BR1646,BR1646)))</f>
        <v>1</v>
      </c>
      <c r="I1646" s="62" t="n">
        <f aca="false">H1646*G1646</f>
        <v>600</v>
      </c>
      <c r="J1646" s="62" t="n">
        <f aca="false">BU1646*Parameter!$B$18</f>
        <v>0</v>
      </c>
      <c r="K1646" s="63"/>
      <c r="L1646" s="64"/>
      <c r="M1646" s="62" t="n">
        <v>0</v>
      </c>
      <c r="N1646" s="62" t="n">
        <v>1</v>
      </c>
      <c r="O1646" s="65" t="n">
        <v>0</v>
      </c>
      <c r="P1646" s="60" t="s">
        <v>210</v>
      </c>
      <c r="Q1646" s="62"/>
      <c r="R1646" s="65" t="n">
        <f aca="false">IF(CA1646=1,0,IFERROR(VLOOKUP(BY1646,'Gebinde-Kategorie'!$A$5:$N$45,13,0)+0,0))</f>
        <v>4</v>
      </c>
      <c r="S1646" s="66"/>
      <c r="T1646" s="67" t="s">
        <v>231</v>
      </c>
      <c r="U1646" s="67"/>
      <c r="V1646" s="67"/>
      <c r="W1646" s="60"/>
      <c r="X1646" s="62"/>
      <c r="Y1646" s="62"/>
      <c r="Z1646" s="60" t="n">
        <v>2</v>
      </c>
      <c r="AA1646" s="60" t="n">
        <f aca="false">IF(A1646="","",IF(AND(Parameter!$B$21="Ja",ISNUMBER(W1646)),W1646,IF(AND(Parameter!$E$27="Ja",ISNUMBER(Z1646),CD1646&lt;&gt;"Nein"),Z1646,IF(CD1646="2+3",IF(ISNUMBER(SEARCH("grosser Artikel",BV1646)),2,IFERROR(VLOOKUP(BY1646,Parameter!$F$35:$G$64,2,0),2)),IF(OR(CD1646="Nein",CD1646=""),"-",CD1646)))))</f>
        <v>2</v>
      </c>
      <c r="AB1646" s="67"/>
      <c r="AC1646" s="68"/>
      <c r="AD1646" s="62" t="n">
        <f aca="false">AW1646</f>
        <v>1</v>
      </c>
      <c r="AE1646" s="62" t="n">
        <f aca="false">MAX(AW1646,H1646)</f>
        <v>1</v>
      </c>
      <c r="AF1646" s="69"/>
      <c r="AG1646" s="62" t="n">
        <f aca="false">IF(LEFT(Cockpit!$C$5,1)="A",H1646,IF(Parameter!$E$30="MAX-Bestand",IF(CI1646=1,CJ1646,IF(LEFT(Cockpit!$C$5,1)="B",AM1646,MAX(AM1646,H1646))),ROUNDUP(AK1646,0)))</f>
        <v>1</v>
      </c>
      <c r="AH1646" s="62" t="n">
        <f aca="false">IF(CA1646=1,0,ROUNDUP(AG1646/BZ1646,0))</f>
        <v>1</v>
      </c>
      <c r="AI1646" s="64" t="n">
        <f aca="false">IF(CR1646&gt;0,CR1646*MAX(1,AG1646/X1646),IF(CA1646=1,IF(AG1646&lt;=0,0,CE1646*MAX(1,IF(H1646&gt;0,AG1646/H1646,1))),IF(R1646&gt;0,AH1646/R1646,0))/MAX(0.1,N(Parameter!$M$21)))</f>
        <v>0.25</v>
      </c>
      <c r="AJ1646" s="62" t="n">
        <f aca="false">AI1646*CC1646</f>
        <v>58.75</v>
      </c>
      <c r="AK1646" s="63" t="n">
        <f aca="false">IF(LEFT(Cockpit!$C$5,1)="A",H1646,IF(CI1646=1,(CL1646+CJ1646)/2,IF(LEFT(Cockpit!$C$5,1)="B",(CL1646+AM1646)/2,MAX((CL1646+AM1646)/2,H1646))))</f>
        <v>1</v>
      </c>
      <c r="AL1646" s="62" t="n">
        <f aca="false">AK1646*G1646</f>
        <v>600</v>
      </c>
      <c r="AM1646" s="62" t="n">
        <f aca="false">ROUNDUP(CL1646+MAX(CM1646,2*(J1646/IF(CH1646&gt;0,CH1646,MAX(0.1,N(Cockpit!$C$6)))-CL1646)),0)</f>
        <v>1</v>
      </c>
      <c r="AN1646" s="63" t="n">
        <f aca="false">IF(AJ1646&gt;0,J1646/AJ1646,-1)</f>
        <v>0</v>
      </c>
      <c r="AO1646" s="63" t="n">
        <f aca="false">IF(AND(OR(CG1646="L1",CG1646="L23",CG1646="LIFT"),AJ1646&gt;0),SUMIFS($AJ$7:$AJ$1843,$CG$7:$CG$1843,CG1646,$AN$7:$AN$1843,"&gt;"&amp;AN1646)+SUMIFS($AJ$7:$AJ$1843,$CG$7:$CG$1843,CG1646,$AN$7:$AN$1843,AN1646,$BX$7:$BX$1843,"&lt;="&amp;BX1646),"")</f>
        <v>31170.5097292068</v>
      </c>
      <c r="AP1646" s="70" t="n">
        <f aca="false">IF(AO1646="",0,MAX(0,MIN(1,(IF(CG1646="L1",Parameter!$H$5,IF(CG1646="L23",Parameter!$H$6+Parameter!$H$7,Parameter!$H$5+Parameter!$H$6+Parameter!$H$7))-(AO1646-AJ1646))/AJ1646)))</f>
        <v>1</v>
      </c>
      <c r="AQ1646" s="62" t="n">
        <f aca="false">IF(LEFT(Cockpit!$I$5,1)="A",H1646,IF(Parameter!$E$30="MAX-Bestand",IF(CI1646=1,CJ1646,IF(LEFT(Cockpit!$I$5,1)="B",AW1646,MAX(AW1646,H1646))),ROUNDUP(AU1646,0)))</f>
        <v>1</v>
      </c>
      <c r="AR1646" s="62" t="n">
        <f aca="false">IF(CA1646=1,0,ROUNDUP(AQ1646/BZ1646,0))</f>
        <v>1</v>
      </c>
      <c r="AS1646" s="64" t="n">
        <f aca="false">IF(CR1646&gt;0,CR1646*MAX(1,AQ1646/X1646),IF(CA1646=1,IF(AQ1646&lt;=0,0,CE1646*MAX(1,IF(H1646&gt;0,AQ1646/H1646,1))),IF(R1646&gt;0,AR1646/R1646,0))/MAX(0.1,N(Parameter!$M$21)))</f>
        <v>0.25</v>
      </c>
      <c r="AT1646" s="62" t="n">
        <f aca="false">AS1646*CC1646</f>
        <v>58.75</v>
      </c>
      <c r="AU1646" s="63" t="n">
        <f aca="false">IF(LEFT(Cockpit!$I$5,1)="A",H1646,IF(CI1646=1,(CL1646+CJ1646)/2,IF(LEFT(Cockpit!$I$5,1)="B",(CL1646+AW1646)/2,MAX((CL1646+AW1646)/2,H1646))))</f>
        <v>1</v>
      </c>
      <c r="AV1646" s="62" t="n">
        <f aca="false">AU1646*G1646</f>
        <v>600</v>
      </c>
      <c r="AW1646" s="62" t="n">
        <f aca="false">ROUNDUP(CL1646+MAX(CM1646,2*(J1646/IF(CH1646&gt;0,CH1646,MAX(0.1,N(Cockpit!$I$6)))-CL1646)),0)</f>
        <v>1</v>
      </c>
      <c r="AX1646" s="63" t="n">
        <f aca="false">IF(AT1646&gt;0,J1646/AT1646,-1)</f>
        <v>0</v>
      </c>
      <c r="AY1646" s="63" t="n">
        <f aca="false">IF(AND(OR(CG1646="L1",CG1646="L23",CG1646="LIFT"),AT1646&gt;0),SUMIFS($AT$7:$AT$1843,$CG$7:$CG$1843,CG1646,$AX$7:$AX$1843,"&gt;"&amp;AX1646)+SUMIFS($AT$7:$AT$1843,$CG$7:$CG$1843,CG1646,$AX$7:$AX$1843,AX1646,$BX$7:$BX$1843,"&lt;="&amp;BX1646),"")</f>
        <v>37490.3662460421</v>
      </c>
      <c r="AZ1646" s="70" t="n">
        <f aca="false">IF(AY1646="",0,MAX(0,MIN(1,(IF(CG1646="L1",Parameter!$H$5,IF(CG1646="L23",Parameter!$H$6+Parameter!$H$7,Parameter!$H$5+Parameter!$H$6+Parameter!$H$7))-(AY1646-AT1646))/AT1646)))</f>
        <v>0</v>
      </c>
      <c r="BA1646" s="62" t="n">
        <f aca="false">IF(LEFT(Cockpit!$O$5,1)="A",H1646,IF(Parameter!$E$30="MAX-Bestand",IF(CI1646=1,CJ1646,IF(LEFT(Cockpit!$O$5,1)="B",BG1646,MAX(BG1646,H1646))),ROUNDUP(BE1646,0)))</f>
        <v>1</v>
      </c>
      <c r="BB1646" s="62" t="n">
        <f aca="false">IF(CA1646=1,0,ROUNDUP(BA1646/BZ1646,0))</f>
        <v>1</v>
      </c>
      <c r="BC1646" s="64" t="n">
        <f aca="false">IF(CR1646&gt;0,CR1646*MAX(1,BA1646/X1646),IF(CA1646=1,IF(BA1646&lt;=0,0,CE1646*MAX(1,IF(H1646&gt;0,BA1646/H1646,1))),IF(R1646&gt;0,BB1646/R1646,0))/MAX(0.1,N(Parameter!$M$21)))</f>
        <v>0.25</v>
      </c>
      <c r="BD1646" s="62" t="n">
        <f aca="false">BC1646*CC1646</f>
        <v>58.75</v>
      </c>
      <c r="BE1646" s="63" t="n">
        <f aca="false">IF(LEFT(Cockpit!$O$5,1)="A",H1646,IF(CI1646=1,(CL1646+CJ1646)/2,IF(LEFT(Cockpit!$O$5,1)="B",(CL1646+BG1646)/2,MAX((CL1646+BG1646)/2,H1646))))</f>
        <v>0.5</v>
      </c>
      <c r="BF1646" s="62" t="n">
        <f aca="false">BE1646*G1646</f>
        <v>300</v>
      </c>
      <c r="BG1646" s="62" t="n">
        <f aca="false">ROUNDUP(CL1646+MAX(CM1646,2*(J1646/IF(CH1646&gt;0,CH1646,MAX(0.1,N(Cockpit!$O$6)))-CL1646)),0)</f>
        <v>1</v>
      </c>
      <c r="BH1646" s="63" t="n">
        <f aca="false">IF(BD1646&gt;0,J1646/BD1646,-1)</f>
        <v>0</v>
      </c>
      <c r="BI1646" s="63" t="n">
        <f aca="false">IF(AND(OR(CG1646="L1",CG1646="L23",CG1646="LIFT"),BD1646&gt;0),SUMIFS($BD$7:$BD$1843,$CG$7:$CG$1843,CG1646,$BH$7:$BH$1843,"&gt;"&amp;BH1646)+SUMIFS($BD$7:$BD$1843,$CG$7:$CG$1843,CG1646,$BH$7:$BH$1843,BH1646,$BX$7:$BX$1843,"&lt;="&amp;BX1646),"")</f>
        <v>31399.8075215745</v>
      </c>
      <c r="BJ1646" s="70" t="n">
        <f aca="false">IF(BI1646="",0,MAX(0,MIN(1,(IF(CG1646="L1",Parameter!$H$5,IF(CG1646="L23",Parameter!$H$6+Parameter!$H$7,Parameter!$H$5+Parameter!$H$6+Parameter!$H$7))-(BI1646-BD1646))/BD1646)))</f>
        <v>1</v>
      </c>
      <c r="BK1646" s="60" t="str">
        <f aca="false">IF(AJ1646&lt;=0,"",IF(CG1646="Aussen","Aussenlager",IF(CG1646="-","Nicht im Lift",IF(AP1646&gt;=1,"Lift",IF(AP1646&lt;=0,"Aussenlager","teilweise")))))</f>
        <v>Lift</v>
      </c>
      <c r="BL1646" s="60" t="str">
        <f aca="false">IF(AT1646&lt;=0,"",IF(CG1646="Aussen","Aussenlager",IF(CG1646="-","Nicht im Lift",IF(AZ1646&gt;=1,"Lift",IF(AZ1646&lt;=0,"Aussenlager","teilweise")))))</f>
        <v>Aussenlager</v>
      </c>
      <c r="BM1646" s="60" t="str">
        <f aca="false">IF(BD1646&lt;=0,"",IF(CG1646="Aussen","Aussenlager",IF(CG1646="-","Nicht im Lift",IF(BJ1646&gt;=1,"Lift",IF(BJ1646&lt;=0,"Aussenlager","teilweise")))))</f>
        <v>Lift</v>
      </c>
      <c r="BN1646" s="60" t="str">
        <f aca="false">IF(A1646="","",IF(BW1646=1,"Neu; ","")&amp;IF(AND(BW1646=0,BR1646&lt;0),"negativer Bestand (Export "&amp;BR1646&amp;"); ","")&amp;IF(J1646&lt;=0,"Kein Verbrauch; ","")&amp;IF(CR1646&gt;0,"Lift "&amp;W1646&amp;" lt. Liftbericht (Fach "&amp;X1646&amp;" Stk); ",IF(CB1646=1,"Gebinde geschätzt ("&amp;T1646&amp;"); ",IF(CA1646=1,"Lose – Tablare geschätzt; ","")))&amp;IF(H1646&gt;AW1646,"Überbestand "&amp;ROUND(H1646-AW1646,0)&amp;" Stk / CHF "&amp;ROUND((H1646-AW1646)*G1646,0)&amp;"; ","")&amp;IF(AND(CI1646=1,CJ1646&lt;CK1646),"MAX &lt; MB+LG; ","")&amp;IF(AND(CQ1646&gt;0,CP1646*10&gt;CQ1646),"zu hoch für Tablar; ","")&amp;IF(AND(BW1646=0,OR(CI1646=1,AB1646&lt;&gt;"",U1646&lt;&gt;"",V1646&lt;&gt;"",AC1646&lt;&gt;"")),"manuell übersteuert; ","")&amp;IF(AND(CA1646=0,R1646=0),"Gebinde unbekannt / Stellmass fehlt; ","")&amp;IF(AND(CA1646=0,N(V1646)&lt;=0,N(Q1646)&lt;=0),"Menge pro Gebinde fehlt (Ist = 1 Gebinde); ","")&amp;BV1646)</f>
        <v>Kein Verbrauch; Gebinde geschätzt (Gross); Menge pro Gebinde fehlt (Ist = 1 Gebinde); nur im Artikelstamm (Bestand 23.06.2026)</v>
      </c>
      <c r="BO1646" s="60"/>
      <c r="BP1646" s="60"/>
      <c r="BQ1646" s="67"/>
      <c r="BR1646" s="62" t="n">
        <v>1</v>
      </c>
      <c r="BS1646" s="62" t="n">
        <v>0</v>
      </c>
      <c r="BT1646" s="61" t="n">
        <v>0</v>
      </c>
      <c r="BU1646" s="62" t="n">
        <v>0</v>
      </c>
      <c r="BV1646" s="60" t="s">
        <v>2617</v>
      </c>
      <c r="BW1646" s="65" t="n">
        <v>0</v>
      </c>
      <c r="BX1646" s="65" t="n">
        <v>1646</v>
      </c>
      <c r="BY1646" s="60" t="str">
        <f aca="false">IF(U1646&lt;&gt;"",UPPER(TRIM(U1646)),IF(CB1646=1,UPPER(VLOOKUP(T1646,Parameter!$I$27:$K$29,2,0)),IF(P1646="","LOSE",P1646)))</f>
        <v>S81</v>
      </c>
      <c r="BZ1646" s="62" t="n">
        <f aca="false">IF(BY1646="LOSE",1,IF(N(V1646)&gt;0,V1646,IF(CB1646=1,MAX(1,N(VLOOKUP(T1646,Parameter!$I$27:$K$29,3,0)),H1646,N(N1646)),IF(N(Q1646)&gt;0,Q1646,MAX(1,H1646)))))</f>
        <v>2</v>
      </c>
      <c r="CA1646" s="65" t="n">
        <f aca="false">IF(BY1646="LOSE",1,0)</f>
        <v>0</v>
      </c>
      <c r="CB1646" s="65" t="n">
        <f aca="false">IF(AND(U1646="",OR(P1646="",P1646="LOSE"),T1646&lt;&gt;"",N(S1646)&lt;=0,ISNUMBER(MATCH(T1646,Parameter!$I$27:$I$29,0))),1,0)</f>
        <v>1</v>
      </c>
      <c r="CC1646" s="65" t="n">
        <f aca="false">IF(CR1646&gt;0,INDEX(Parameter!$H$5:$H$7,W1646)/INDEX(Parameter!$E$5:$E$7,W1646),IF(AND(CA1646=0,N(IFERROR(VLOOKUP(BY1646,'Gebinde-Kategorie'!$A$5:$N$45,14,0),0))&gt;0),VLOOKUP(BY1646,'Gebinde-Kategorie'!$A$5:$N$45,14,0)*10+Parameter!$M$23,Parameter!$M$24))</f>
        <v>235</v>
      </c>
      <c r="CD1646" s="60" t="str">
        <f aca="false">IF(AND(Parameter!$B$19="Ja",E1646&lt;&gt;"",ISNUMBER(MATCH(E1646,Parameter!$I$35:$I$52,0))),VLOOKUP(E1646,Parameter!$I$35:$J$52,2,0),IFERROR(VLOOKUP(D1646,Parameter!$A$35:$C$64,2,0),"Nein"))</f>
        <v>2+3</v>
      </c>
      <c r="CE1646" s="64" t="n">
        <f aca="false">IF(CA1646=0,0,IF(N(S1646)&gt;0,S1646,IFERROR(VLOOKUP(D1646,Parameter!$A$35:$C$64,3,0)+0,0)))</f>
        <v>0</v>
      </c>
      <c r="CF1646" s="60" t="n">
        <f aca="false">IF(AB1646&lt;&gt;"",AB1646,AA1646)</f>
        <v>2</v>
      </c>
      <c r="CG1646" s="60" t="str">
        <f aca="false">IF(OR(CF1646=1,CF1646=2,CF1646=3),IF(Parameter!$E$27="Ja","LIFT",IF(CF1646=1,"L1","L23")),IF(CF1646="Aussen","Aussen","-"))</f>
        <v>LIFT</v>
      </c>
      <c r="CH1646" s="71" t="n">
        <f aca="false">IF(N(AC1646)&gt;0,AC1646,0)</f>
        <v>0</v>
      </c>
      <c r="CI1646" s="65" t="n">
        <f aca="false">IF(ISNUMBER(AF1646),1,0)</f>
        <v>0</v>
      </c>
      <c r="CJ1646" s="62" t="n">
        <f aca="false">N(AF1646)</f>
        <v>0</v>
      </c>
      <c r="CK1646" s="62" t="n">
        <f aca="false">N(M1646)+N(N1646)</f>
        <v>1</v>
      </c>
      <c r="CL1646" s="62" t="n">
        <f aca="false">N(M1646)</f>
        <v>0</v>
      </c>
      <c r="CM1646" s="62" t="n">
        <f aca="false">N(N1646)</f>
        <v>1</v>
      </c>
      <c r="CN1646" s="62" t="n">
        <f aca="false">ROUNDUP(H1646/BZ1646,0)</f>
        <v>1</v>
      </c>
      <c r="CO1646" s="62" t="n">
        <f aca="false">ROUNDUP(CJ1646/BZ1646,0)</f>
        <v>0</v>
      </c>
      <c r="CP1646" s="65" t="n">
        <f aca="false">IF(CA1646=1,0,IFERROR(VLOOKUP(BY1646,'Gebinde-Kategorie'!$A$5:$N$45,5,0)+0,0))</f>
        <v>20</v>
      </c>
      <c r="CQ1646" s="65" t="n">
        <f aca="false">IFERROR(IF(OR(CF1646=1,CF1646=2,CF1646=3),N(INDEX(Parameter!$I$5:$I$7,CF1646)),0),0)</f>
        <v>0</v>
      </c>
      <c r="CR1646" s="64" t="n">
        <f aca="false">IF(AND(Parameter!$B$21="Ja",ISNUMBER(W1646),N(X1646)&gt;0),IFERROR(N(INDEX(Parameter!$L$5:$L$7,W1646))*INDEX(Parameter!$E$5:$E$7,W1646)*X1646/SUMIFS($X$7:$X$1843,$W$7:$W$1843,W1646),0),0)</f>
        <v>0</v>
      </c>
      <c r="CS1646" s="62" t="n">
        <f aca="false">IF(AND(OR(CG1646="L1",CG1646="L23",CG1646="LIFT"),H1646&gt;0),CC1646*IF(CR1646&gt;0,CR1646*MAX(1,H1646/X1646),IF(CA1646=1,CE1646,IF(R1646&gt;0,CN1646/R1646,0))/MAX(0.1,N(Parameter!$M$21))),"")</f>
        <v>58.75</v>
      </c>
      <c r="CT1646" s="64" t="n">
        <f aca="false">IF(CS1646="","",J1646/H1646)</f>
        <v>0</v>
      </c>
      <c r="CU1646" s="62" t="n">
        <f aca="false">IF(CS1646="","",H1646*G1646)</f>
        <v>600</v>
      </c>
      <c r="CV1646" s="63" t="n">
        <f aca="false">IF(CS1646="","",(CL1646+ROUNDUP(CL1646+MAX(CM1646,2*(J1646/MAX(0.1,N(Einkauf!$C$6))-CL1646)),0))/2)</f>
        <v>0.5</v>
      </c>
      <c r="CW1646" s="62" t="n">
        <f aca="false">IF(CS1646="","",MAX(0,H1646-CV1646)*G1646)</f>
        <v>300</v>
      </c>
      <c r="CX1646" s="62" t="n">
        <f aca="false">IF(CS1646="","",CS1646*MAX(0,1-CV1646/H1646))</f>
        <v>29.375</v>
      </c>
      <c r="CY1646" s="64" t="n">
        <f aca="false">IF(CS1646="","",PERCENTRANK($CS$7:$CS$1843,CS1646)+PERCENTRANK($CU$7:$CU$1843,CU1646)+1-PERCENTRANK($CT$7:$CT$1843,CT1646))</f>
        <v>2.466</v>
      </c>
      <c r="CZ1646" s="72" t="n">
        <f aca="false">IF(CS1646="","",CHOOSE(MATCH(Einkauf!$C$5,Parameter!$G$23:$G$27,0),CY1646,CS1646,CU1646,-CT1646,CW1646)+ROW()/1000000000)</f>
        <v>2.466001646</v>
      </c>
    </row>
    <row r="1647" customFormat="false" ht="15" hidden="false" customHeight="false" outlineLevel="0" collapsed="false">
      <c r="A1647" s="60" t="s">
        <v>2906</v>
      </c>
      <c r="B1647" s="60" t="s">
        <v>2907</v>
      </c>
      <c r="C1647" s="60" t="s">
        <v>206</v>
      </c>
      <c r="D1647" s="60" t="s">
        <v>215</v>
      </c>
      <c r="E1647" s="60" t="s">
        <v>227</v>
      </c>
      <c r="F1647" s="60"/>
      <c r="G1647" s="61" t="n">
        <v>5.42</v>
      </c>
      <c r="H1647" s="62" t="n">
        <f aca="false">MAX(0,IF(AND(Parameter!$B$21="Ja",ISNUMBER(Y1647)),Y1647,IF(Parameter!$B$20="Jahresanfang 2025 + Export",BS1647+BR1647,BR1647)))</f>
        <v>203</v>
      </c>
      <c r="I1647" s="62" t="n">
        <f aca="false">H1647*G1647</f>
        <v>1100.26</v>
      </c>
      <c r="J1647" s="62" t="n">
        <f aca="false">BU1647*Parameter!$B$18</f>
        <v>0</v>
      </c>
      <c r="K1647" s="63"/>
      <c r="L1647" s="64"/>
      <c r="M1647" s="62" t="n">
        <v>0</v>
      </c>
      <c r="N1647" s="62" t="n">
        <v>50</v>
      </c>
      <c r="O1647" s="65" t="n">
        <v>14</v>
      </c>
      <c r="P1647" s="60" t="s">
        <v>210</v>
      </c>
      <c r="Q1647" s="62"/>
      <c r="R1647" s="65" t="n">
        <f aca="false">IF(CA1647=1,0,IFERROR(VLOOKUP(BY1647,'Gebinde-Kategorie'!$A$5:$N$45,13,0)+0,0))</f>
        <v>12</v>
      </c>
      <c r="S1647" s="66"/>
      <c r="T1647" s="67" t="s">
        <v>221</v>
      </c>
      <c r="U1647" s="67"/>
      <c r="V1647" s="67"/>
      <c r="W1647" s="60"/>
      <c r="X1647" s="62"/>
      <c r="Y1647" s="62"/>
      <c r="Z1647" s="60" t="n">
        <v>3</v>
      </c>
      <c r="AA1647" s="60" t="n">
        <f aca="false">IF(A1647="","",IF(AND(Parameter!$B$21="Ja",ISNUMBER(W1647)),W1647,IF(AND(Parameter!$E$27="Ja",ISNUMBER(Z1647),CD1647&lt;&gt;"Nein"),Z1647,IF(CD1647="2+3",IF(ISNUMBER(SEARCH("grosser Artikel",BV1647)),2,IFERROR(VLOOKUP(BY1647,Parameter!$F$35:$G$64,2,0),2)),IF(OR(CD1647="Nein",CD1647=""),"-",CD1647)))))</f>
        <v>3</v>
      </c>
      <c r="AB1647" s="67"/>
      <c r="AC1647" s="68"/>
      <c r="AD1647" s="62" t="n">
        <f aca="false">AW1647</f>
        <v>50</v>
      </c>
      <c r="AE1647" s="62" t="n">
        <f aca="false">MAX(AW1647,H1647)</f>
        <v>203</v>
      </c>
      <c r="AF1647" s="69"/>
      <c r="AG1647" s="62" t="n">
        <f aca="false">IF(LEFT(Cockpit!$C$5,1)="A",H1647,IF(Parameter!$E$30="MAX-Bestand",IF(CI1647=1,CJ1647,IF(LEFT(Cockpit!$C$5,1)="B",AM1647,MAX(AM1647,H1647))),ROUNDUP(AK1647,0)))</f>
        <v>203</v>
      </c>
      <c r="AH1647" s="62" t="n">
        <f aca="false">IF(CA1647=1,0,ROUNDUP(AG1647/BZ1647,0))</f>
        <v>1</v>
      </c>
      <c r="AI1647" s="64" t="n">
        <f aca="false">IF(CR1647&gt;0,CR1647*MAX(1,AG1647/X1647),IF(CA1647=1,IF(AG1647&lt;=0,0,CE1647*MAX(1,IF(H1647&gt;0,AG1647/H1647,1))),IF(R1647&gt;0,AH1647/R1647,0))/MAX(0.1,N(Parameter!$M$21)))</f>
        <v>0.0833333333333333</v>
      </c>
      <c r="AJ1647" s="62" t="n">
        <f aca="false">AI1647*CC1647</f>
        <v>12.0833333333333</v>
      </c>
      <c r="AK1647" s="63" t="n">
        <f aca="false">IF(LEFT(Cockpit!$C$5,1)="A",H1647,IF(CI1647=1,(CL1647+CJ1647)/2,IF(LEFT(Cockpit!$C$5,1)="B",(CL1647+AM1647)/2,MAX((CL1647+AM1647)/2,H1647))))</f>
        <v>203</v>
      </c>
      <c r="AL1647" s="62" t="n">
        <f aca="false">AK1647*G1647</f>
        <v>1100.26</v>
      </c>
      <c r="AM1647" s="62" t="n">
        <f aca="false">ROUNDUP(CL1647+MAX(CM1647,2*(J1647/IF(CH1647&gt;0,CH1647,MAX(0.1,N(Cockpit!$C$6)))-CL1647)),0)</f>
        <v>50</v>
      </c>
      <c r="AN1647" s="63" t="n">
        <f aca="false">IF(AJ1647&gt;0,J1647/AJ1647,-1)</f>
        <v>0</v>
      </c>
      <c r="AO1647" s="63" t="n">
        <f aca="false">IF(AND(OR(CG1647="L1",CG1647="L23",CG1647="LIFT"),AJ1647&gt;0),SUMIFS($AJ$7:$AJ$1843,$CG$7:$CG$1843,CG1647,$AN$7:$AN$1843,"&gt;"&amp;AN1647)+SUMIFS($AJ$7:$AJ$1843,$CG$7:$CG$1843,CG1647,$AN$7:$AN$1843,AN1647,$BX$7:$BX$1843,"&lt;="&amp;BX1647),"")</f>
        <v>31182.5930625401</v>
      </c>
      <c r="AP1647" s="70" t="n">
        <f aca="false">IF(AO1647="",0,MAX(0,MIN(1,(IF(CG1647="L1",Parameter!$H$5,IF(CG1647="L23",Parameter!$H$6+Parameter!$H$7,Parameter!$H$5+Parameter!$H$6+Parameter!$H$7))-(AO1647-AJ1647))/AJ1647)))</f>
        <v>1</v>
      </c>
      <c r="AQ1647" s="62" t="n">
        <f aca="false">IF(LEFT(Cockpit!$I$5,1)="A",H1647,IF(Parameter!$E$30="MAX-Bestand",IF(CI1647=1,CJ1647,IF(LEFT(Cockpit!$I$5,1)="B",AW1647,MAX(AW1647,H1647))),ROUNDUP(AU1647,0)))</f>
        <v>203</v>
      </c>
      <c r="AR1647" s="62" t="n">
        <f aca="false">IF(CA1647=1,0,ROUNDUP(AQ1647/BZ1647,0))</f>
        <v>1</v>
      </c>
      <c r="AS1647" s="64" t="n">
        <f aca="false">IF(CR1647&gt;0,CR1647*MAX(1,AQ1647/X1647),IF(CA1647=1,IF(AQ1647&lt;=0,0,CE1647*MAX(1,IF(H1647&gt;0,AQ1647/H1647,1))),IF(R1647&gt;0,AR1647/R1647,0))/MAX(0.1,N(Parameter!$M$21)))</f>
        <v>0.0833333333333333</v>
      </c>
      <c r="AT1647" s="62" t="n">
        <f aca="false">AS1647*CC1647</f>
        <v>12.0833333333333</v>
      </c>
      <c r="AU1647" s="63" t="n">
        <f aca="false">IF(LEFT(Cockpit!$I$5,1)="A",H1647,IF(CI1647=1,(CL1647+CJ1647)/2,IF(LEFT(Cockpit!$I$5,1)="B",(CL1647+AW1647)/2,MAX((CL1647+AW1647)/2,H1647))))</f>
        <v>203</v>
      </c>
      <c r="AV1647" s="62" t="n">
        <f aca="false">AU1647*G1647</f>
        <v>1100.26</v>
      </c>
      <c r="AW1647" s="62" t="n">
        <f aca="false">ROUNDUP(CL1647+MAX(CM1647,2*(J1647/IF(CH1647&gt;0,CH1647,MAX(0.1,N(Cockpit!$I$6)))-CL1647)),0)</f>
        <v>50</v>
      </c>
      <c r="AX1647" s="63" t="n">
        <f aca="false">IF(AT1647&gt;0,J1647/AT1647,-1)</f>
        <v>0</v>
      </c>
      <c r="AY1647" s="63" t="n">
        <f aca="false">IF(AND(OR(CG1647="L1",CG1647="L23",CG1647="LIFT"),AT1647&gt;0),SUMIFS($AT$7:$AT$1843,$CG$7:$CG$1843,CG1647,$AX$7:$AX$1843,"&gt;"&amp;AX1647)+SUMIFS($AT$7:$AT$1843,$CG$7:$CG$1843,CG1647,$AX$7:$AX$1843,AX1647,$BX$7:$BX$1843,"&lt;="&amp;BX1647),"")</f>
        <v>37502.4495793754</v>
      </c>
      <c r="AZ1647" s="70" t="n">
        <f aca="false">IF(AY1647="",0,MAX(0,MIN(1,(IF(CG1647="L1",Parameter!$H$5,IF(CG1647="L23",Parameter!$H$6+Parameter!$H$7,Parameter!$H$5+Parameter!$H$6+Parameter!$H$7))-(AY1647-AT1647))/AT1647)))</f>
        <v>0</v>
      </c>
      <c r="BA1647" s="62" t="n">
        <f aca="false">IF(LEFT(Cockpit!$O$5,1)="A",H1647,IF(Parameter!$E$30="MAX-Bestand",IF(CI1647=1,CJ1647,IF(LEFT(Cockpit!$O$5,1)="B",BG1647,MAX(BG1647,H1647))),ROUNDUP(BE1647,0)))</f>
        <v>25</v>
      </c>
      <c r="BB1647" s="62" t="n">
        <f aca="false">IF(CA1647=1,0,ROUNDUP(BA1647/BZ1647,0))</f>
        <v>1</v>
      </c>
      <c r="BC1647" s="64" t="n">
        <f aca="false">IF(CR1647&gt;0,CR1647*MAX(1,BA1647/X1647),IF(CA1647=1,IF(BA1647&lt;=0,0,CE1647*MAX(1,IF(H1647&gt;0,BA1647/H1647,1))),IF(R1647&gt;0,BB1647/R1647,0))/MAX(0.1,N(Parameter!$M$21)))</f>
        <v>0.0833333333333333</v>
      </c>
      <c r="BD1647" s="62" t="n">
        <f aca="false">BC1647*CC1647</f>
        <v>12.0833333333333</v>
      </c>
      <c r="BE1647" s="63" t="n">
        <f aca="false">IF(LEFT(Cockpit!$O$5,1)="A",H1647,IF(CI1647=1,(CL1647+CJ1647)/2,IF(LEFT(Cockpit!$O$5,1)="B",(CL1647+BG1647)/2,MAX((CL1647+BG1647)/2,H1647))))</f>
        <v>25</v>
      </c>
      <c r="BF1647" s="62" t="n">
        <f aca="false">BE1647*G1647</f>
        <v>135.5</v>
      </c>
      <c r="BG1647" s="62" t="n">
        <f aca="false">ROUNDUP(CL1647+MAX(CM1647,2*(J1647/IF(CH1647&gt;0,CH1647,MAX(0.1,N(Cockpit!$O$6)))-CL1647)),0)</f>
        <v>50</v>
      </c>
      <c r="BH1647" s="63" t="n">
        <f aca="false">IF(BD1647&gt;0,J1647/BD1647,-1)</f>
        <v>0</v>
      </c>
      <c r="BI1647" s="63" t="n">
        <f aca="false">IF(AND(OR(CG1647="L1",CG1647="L23",CG1647="LIFT"),BD1647&gt;0),SUMIFS($BD$7:$BD$1843,$CG$7:$CG$1843,CG1647,$BH$7:$BH$1843,"&gt;"&amp;BH1647)+SUMIFS($BD$7:$BD$1843,$CG$7:$CG$1843,CG1647,$BH$7:$BH$1843,BH1647,$BX$7:$BX$1843,"&lt;="&amp;BX1647),"")</f>
        <v>31411.8908549078</v>
      </c>
      <c r="BJ1647" s="70" t="n">
        <f aca="false">IF(BI1647="",0,MAX(0,MIN(1,(IF(CG1647="L1",Parameter!$H$5,IF(CG1647="L23",Parameter!$H$6+Parameter!$H$7,Parameter!$H$5+Parameter!$H$6+Parameter!$H$7))-(BI1647-BD1647))/BD1647)))</f>
        <v>1</v>
      </c>
      <c r="BK1647" s="60" t="str">
        <f aca="false">IF(AJ1647&lt;=0,"",IF(CG1647="Aussen","Aussenlager",IF(CG1647="-","Nicht im Lift",IF(AP1647&gt;=1,"Lift",IF(AP1647&lt;=0,"Aussenlager","teilweise")))))</f>
        <v>Lift</v>
      </c>
      <c r="BL1647" s="60" t="str">
        <f aca="false">IF(AT1647&lt;=0,"",IF(CG1647="Aussen","Aussenlager",IF(CG1647="-","Nicht im Lift",IF(AZ1647&gt;=1,"Lift",IF(AZ1647&lt;=0,"Aussenlager","teilweise")))))</f>
        <v>Aussenlager</v>
      </c>
      <c r="BM1647" s="60" t="str">
        <f aca="false">IF(BD1647&lt;=0,"",IF(CG1647="Aussen","Aussenlager",IF(CG1647="-","Nicht im Lift",IF(BJ1647&gt;=1,"Lift",IF(BJ1647&lt;=0,"Aussenlager","teilweise")))))</f>
        <v>Lift</v>
      </c>
      <c r="BN1647" s="60" t="str">
        <f aca="false">IF(A1647="","",IF(BW1647=1,"Neu; ","")&amp;IF(AND(BW1647=0,BR1647&lt;0),"negativer Bestand (Export "&amp;BR1647&amp;"); ","")&amp;IF(J1647&lt;=0,"Kein Verbrauch; ","")&amp;IF(CR1647&gt;0,"Lift "&amp;W1647&amp;" lt. Liftbericht (Fach "&amp;X1647&amp;" Stk); ",IF(CB1647=1,"Gebinde geschätzt ("&amp;T1647&amp;"); ",IF(CA1647=1,"Lose – Tablare geschätzt; ","")))&amp;IF(H1647&gt;AW1647,"Überbestand "&amp;ROUND(H1647-AW1647,0)&amp;" Stk / CHF "&amp;ROUND((H1647-AW1647)*G1647,0)&amp;"; ","")&amp;IF(AND(CI1647=1,CJ1647&lt;CK1647),"MAX &lt; MB+LG; ","")&amp;IF(AND(CQ1647&gt;0,CP1647*10&gt;CQ1647),"zu hoch für Tablar; ","")&amp;IF(AND(BW1647=0,OR(CI1647=1,AB1647&lt;&gt;"",U1647&lt;&gt;"",V1647&lt;&gt;"",AC1647&lt;&gt;"")),"manuell übersteuert; ","")&amp;IF(AND(CA1647=0,R1647=0),"Gebinde unbekannt / Stellmass fehlt; ","")&amp;IF(AND(CA1647=0,N(V1647)&lt;=0,N(Q1647)&lt;=0),"Menge pro Gebinde fehlt (Ist = 1 Gebinde); ","")&amp;BV1647)</f>
        <v>Kein Verbrauch; Gebinde geschätzt (Mittel); Überbestand 153 Stk / CHF 829; Menge pro Gebinde fehlt (Ist = 1 Gebinde); nur im Artikelstamm (Bestand 23.06.2026); Neu; nicht im KTL vorhanden</v>
      </c>
      <c r="BO1647" s="60"/>
      <c r="BP1647" s="60"/>
      <c r="BQ1647" s="67"/>
      <c r="BR1647" s="62" t="n">
        <v>203</v>
      </c>
      <c r="BS1647" s="62" t="n">
        <v>0</v>
      </c>
      <c r="BT1647" s="61" t="n">
        <v>0</v>
      </c>
      <c r="BU1647" s="62" t="n">
        <v>0</v>
      </c>
      <c r="BV1647" s="60" t="s">
        <v>2908</v>
      </c>
      <c r="BW1647" s="65" t="n">
        <v>0</v>
      </c>
      <c r="BX1647" s="65" t="n">
        <v>1647</v>
      </c>
      <c r="BY1647" s="60" t="str">
        <f aca="false">IF(U1647&lt;&gt;"",UPPER(TRIM(U1647)),IF(CB1647=1,UPPER(VLOOKUP(T1647,Parameter!$I$27:$K$29,2,0)),IF(P1647="","LOSE",P1647)))</f>
        <v>S61</v>
      </c>
      <c r="BZ1647" s="62" t="n">
        <f aca="false">IF(BY1647="LOSE",1,IF(N(V1647)&gt;0,V1647,IF(CB1647=1,MAX(1,N(VLOOKUP(T1647,Parameter!$I$27:$K$29,3,0)),H1647,N(N1647)),IF(N(Q1647)&gt;0,Q1647,MAX(1,H1647)))))</f>
        <v>203</v>
      </c>
      <c r="CA1647" s="65" t="n">
        <f aca="false">IF(BY1647="LOSE",1,0)</f>
        <v>0</v>
      </c>
      <c r="CB1647" s="65" t="n">
        <f aca="false">IF(AND(U1647="",OR(P1647="",P1647="LOSE"),T1647&lt;&gt;"",N(S1647)&lt;=0,ISNUMBER(MATCH(T1647,Parameter!$I$27:$I$29,0))),1,0)</f>
        <v>1</v>
      </c>
      <c r="CC1647" s="65" t="n">
        <f aca="false">IF(CR1647&gt;0,INDEX(Parameter!$H$5:$H$7,W1647)/INDEX(Parameter!$E$5:$E$7,W1647),IF(AND(CA1647=0,N(IFERROR(VLOOKUP(BY1647,'Gebinde-Kategorie'!$A$5:$N$45,14,0),0))&gt;0),VLOOKUP(BY1647,'Gebinde-Kategorie'!$A$5:$N$45,14,0)*10+Parameter!$M$23,Parameter!$M$24))</f>
        <v>145</v>
      </c>
      <c r="CD1647" s="60" t="str">
        <f aca="false">IF(AND(Parameter!$B$19="Ja",E1647&lt;&gt;"",ISNUMBER(MATCH(E1647,Parameter!$I$35:$I$52,0))),VLOOKUP(E1647,Parameter!$I$35:$J$52,2,0),IFERROR(VLOOKUP(D1647,Parameter!$A$35:$C$64,2,0),"Nein"))</f>
        <v>2+3</v>
      </c>
      <c r="CE1647" s="64" t="n">
        <f aca="false">IF(CA1647=0,0,IF(N(S1647)&gt;0,S1647,IFERROR(VLOOKUP(D1647,Parameter!$A$35:$C$64,3,0)+0,0)))</f>
        <v>0</v>
      </c>
      <c r="CF1647" s="60" t="n">
        <f aca="false">IF(AB1647&lt;&gt;"",AB1647,AA1647)</f>
        <v>3</v>
      </c>
      <c r="CG1647" s="60" t="str">
        <f aca="false">IF(OR(CF1647=1,CF1647=2,CF1647=3),IF(Parameter!$E$27="Ja","LIFT",IF(CF1647=1,"L1","L23")),IF(CF1647="Aussen","Aussen","-"))</f>
        <v>LIFT</v>
      </c>
      <c r="CH1647" s="71" t="n">
        <f aca="false">IF(N(AC1647)&gt;0,AC1647,0)</f>
        <v>0</v>
      </c>
      <c r="CI1647" s="65" t="n">
        <f aca="false">IF(ISNUMBER(AF1647),1,0)</f>
        <v>0</v>
      </c>
      <c r="CJ1647" s="62" t="n">
        <f aca="false">N(AF1647)</f>
        <v>0</v>
      </c>
      <c r="CK1647" s="62" t="n">
        <f aca="false">N(M1647)+N(N1647)</f>
        <v>50</v>
      </c>
      <c r="CL1647" s="62" t="n">
        <f aca="false">N(M1647)</f>
        <v>0</v>
      </c>
      <c r="CM1647" s="62" t="n">
        <f aca="false">N(N1647)</f>
        <v>50</v>
      </c>
      <c r="CN1647" s="62" t="n">
        <f aca="false">ROUNDUP(H1647/BZ1647,0)</f>
        <v>1</v>
      </c>
      <c r="CO1647" s="62" t="n">
        <f aca="false">ROUNDUP(CJ1647/BZ1647,0)</f>
        <v>0</v>
      </c>
      <c r="CP1647" s="65" t="n">
        <f aca="false">IF(CA1647=1,0,IFERROR(VLOOKUP(BY1647,'Gebinde-Kategorie'!$A$5:$N$45,5,0)+0,0))</f>
        <v>11</v>
      </c>
      <c r="CQ1647" s="65" t="n">
        <f aca="false">IFERROR(IF(OR(CF1647=1,CF1647=2,CF1647=3),N(INDEX(Parameter!$I$5:$I$7,CF1647)),0),0)</f>
        <v>0</v>
      </c>
      <c r="CR1647" s="64" t="n">
        <f aca="false">IF(AND(Parameter!$B$21="Ja",ISNUMBER(W1647),N(X1647)&gt;0),IFERROR(N(INDEX(Parameter!$L$5:$L$7,W1647))*INDEX(Parameter!$E$5:$E$7,W1647)*X1647/SUMIFS($X$7:$X$1843,$W$7:$W$1843,W1647),0),0)</f>
        <v>0</v>
      </c>
      <c r="CS1647" s="62" t="n">
        <f aca="false">IF(AND(OR(CG1647="L1",CG1647="L23",CG1647="LIFT"),H1647&gt;0),CC1647*IF(CR1647&gt;0,CR1647*MAX(1,H1647/X1647),IF(CA1647=1,CE1647,IF(R1647&gt;0,CN1647/R1647,0))/MAX(0.1,N(Parameter!$M$21))),"")</f>
        <v>12.0833333333333</v>
      </c>
      <c r="CT1647" s="64" t="n">
        <f aca="false">IF(CS1647="","",J1647/H1647)</f>
        <v>0</v>
      </c>
      <c r="CU1647" s="62" t="n">
        <f aca="false">IF(CS1647="","",H1647*G1647)</f>
        <v>1100.26</v>
      </c>
      <c r="CV1647" s="63" t="n">
        <f aca="false">IF(CS1647="","",(CL1647+ROUNDUP(CL1647+MAX(CM1647,2*(J1647/MAX(0.1,N(Einkauf!$C$6))-CL1647)),0))/2)</f>
        <v>25</v>
      </c>
      <c r="CW1647" s="62" t="n">
        <f aca="false">IF(CS1647="","",MAX(0,H1647-CV1647)*G1647)</f>
        <v>964.76</v>
      </c>
      <c r="CX1647" s="62" t="n">
        <f aca="false">IF(CS1647="","",CS1647*MAX(0,1-CV1647/H1647))</f>
        <v>10.5952380952381</v>
      </c>
      <c r="CY1647" s="64" t="n">
        <f aca="false">IF(CS1647="","",PERCENTRANK($CS$7:$CS$1843,CS1647)+PERCENTRANK($CU$7:$CU$1843,CU1647)+1-PERCENTRANK($CT$7:$CT$1843,CT1647))</f>
        <v>2.326</v>
      </c>
      <c r="CZ1647" s="72" t="n">
        <f aca="false">IF(CS1647="","",CHOOSE(MATCH(Einkauf!$C$5,Parameter!$G$23:$G$27,0),CY1647,CS1647,CU1647,-CT1647,CW1647)+ROW()/1000000000)</f>
        <v>2.326001647</v>
      </c>
    </row>
    <row r="1648" customFormat="false" ht="15" hidden="false" customHeight="false" outlineLevel="0" collapsed="false">
      <c r="A1648" s="60" t="s">
        <v>2909</v>
      </c>
      <c r="B1648" s="60" t="s">
        <v>2910</v>
      </c>
      <c r="C1648" s="60" t="s">
        <v>206</v>
      </c>
      <c r="D1648" s="60" t="s">
        <v>226</v>
      </c>
      <c r="E1648" s="60"/>
      <c r="F1648" s="60"/>
      <c r="G1648" s="61" t="n">
        <v>1.87</v>
      </c>
      <c r="H1648" s="62" t="n">
        <f aca="false">MAX(0,IF(AND(Parameter!$B$21="Ja",ISNUMBER(Y1648)),Y1648,IF(Parameter!$B$20="Jahresanfang 2025 + Export",BS1648+BR1648,BR1648)))</f>
        <v>44</v>
      </c>
      <c r="I1648" s="62" t="n">
        <f aca="false">H1648*G1648</f>
        <v>82.28</v>
      </c>
      <c r="J1648" s="62" t="n">
        <f aca="false">BU1648*Parameter!$B$18</f>
        <v>0</v>
      </c>
      <c r="K1648" s="63"/>
      <c r="L1648" s="64"/>
      <c r="M1648" s="62" t="n">
        <v>0</v>
      </c>
      <c r="N1648" s="62" t="n">
        <v>25</v>
      </c>
      <c r="O1648" s="65" t="n">
        <v>42</v>
      </c>
      <c r="P1648" s="60" t="s">
        <v>210</v>
      </c>
      <c r="Q1648" s="62"/>
      <c r="R1648" s="65" t="n">
        <f aca="false">IF(CA1648=1,0,IFERROR(VLOOKUP(BY1648,'Gebinde-Kategorie'!$A$5:$N$45,13,0)+0,0))</f>
        <v>26</v>
      </c>
      <c r="S1648" s="66"/>
      <c r="T1648" s="67" t="s">
        <v>317</v>
      </c>
      <c r="U1648" s="67"/>
      <c r="V1648" s="67"/>
      <c r="W1648" s="60"/>
      <c r="X1648" s="62"/>
      <c r="Y1648" s="62"/>
      <c r="Z1648" s="60" t="n">
        <v>3</v>
      </c>
      <c r="AA1648" s="60" t="n">
        <f aca="false">IF(A1648="","",IF(AND(Parameter!$B$21="Ja",ISNUMBER(W1648)),W1648,IF(AND(Parameter!$E$27="Ja",ISNUMBER(Z1648),CD1648&lt;&gt;"Nein"),Z1648,IF(CD1648="2+3",IF(ISNUMBER(SEARCH("grosser Artikel",BV1648)),2,IFERROR(VLOOKUP(BY1648,Parameter!$F$35:$G$64,2,0),2)),IF(OR(CD1648="Nein",CD1648=""),"-",CD1648)))))</f>
        <v>3</v>
      </c>
      <c r="AB1648" s="67"/>
      <c r="AC1648" s="68"/>
      <c r="AD1648" s="62" t="n">
        <f aca="false">AW1648</f>
        <v>25</v>
      </c>
      <c r="AE1648" s="62" t="n">
        <f aca="false">MAX(AW1648,H1648)</f>
        <v>44</v>
      </c>
      <c r="AF1648" s="69"/>
      <c r="AG1648" s="62" t="n">
        <f aca="false">IF(LEFT(Cockpit!$C$5,1)="A",H1648,IF(Parameter!$E$30="MAX-Bestand",IF(CI1648=1,CJ1648,IF(LEFT(Cockpit!$C$5,1)="B",AM1648,MAX(AM1648,H1648))),ROUNDUP(AK1648,0)))</f>
        <v>44</v>
      </c>
      <c r="AH1648" s="62" t="n">
        <f aca="false">IF(CA1648=1,0,ROUNDUP(AG1648/BZ1648,0))</f>
        <v>1</v>
      </c>
      <c r="AI1648" s="64" t="n">
        <f aca="false">IF(CR1648&gt;0,CR1648*MAX(1,AG1648/X1648),IF(CA1648=1,IF(AG1648&lt;=0,0,CE1648*MAX(1,IF(H1648&gt;0,AG1648/H1648,1))),IF(R1648&gt;0,AH1648/R1648,0))/MAX(0.1,N(Parameter!$M$21)))</f>
        <v>0.0384615384615385</v>
      </c>
      <c r="AJ1648" s="62" t="n">
        <f aca="false">AI1648*CC1648</f>
        <v>5.96153846153846</v>
      </c>
      <c r="AK1648" s="63" t="n">
        <f aca="false">IF(LEFT(Cockpit!$C$5,1)="A",H1648,IF(CI1648=1,(CL1648+CJ1648)/2,IF(LEFT(Cockpit!$C$5,1)="B",(CL1648+AM1648)/2,MAX((CL1648+AM1648)/2,H1648))))</f>
        <v>44</v>
      </c>
      <c r="AL1648" s="62" t="n">
        <f aca="false">AK1648*G1648</f>
        <v>82.28</v>
      </c>
      <c r="AM1648" s="62" t="n">
        <f aca="false">ROUNDUP(CL1648+MAX(CM1648,2*(J1648/IF(CH1648&gt;0,CH1648,MAX(0.1,N(Cockpit!$C$6)))-CL1648)),0)</f>
        <v>25</v>
      </c>
      <c r="AN1648" s="63" t="n">
        <f aca="false">IF(AJ1648&gt;0,J1648/AJ1648,-1)</f>
        <v>0</v>
      </c>
      <c r="AO1648" s="63" t="n">
        <f aca="false">IF(AND(OR(CG1648="L1",CG1648="L23",CG1648="LIFT"),AJ1648&gt;0),SUMIFS($AJ$7:$AJ$1843,$CG$7:$CG$1843,CG1648,$AN$7:$AN$1843,"&gt;"&amp;AN1648)+SUMIFS($AJ$7:$AJ$1843,$CG$7:$CG$1843,CG1648,$AN$7:$AN$1843,AN1648,$BX$7:$BX$1843,"&lt;="&amp;BX1648),"")</f>
        <v>31188.5546010016</v>
      </c>
      <c r="AP1648" s="70" t="n">
        <f aca="false">IF(AO1648="",0,MAX(0,MIN(1,(IF(CG1648="L1",Parameter!$H$5,IF(CG1648="L23",Parameter!$H$6+Parameter!$H$7,Parameter!$H$5+Parameter!$H$6+Parameter!$H$7))-(AO1648-AJ1648))/AJ1648)))</f>
        <v>1</v>
      </c>
      <c r="AQ1648" s="62" t="n">
        <f aca="false">IF(LEFT(Cockpit!$I$5,1)="A",H1648,IF(Parameter!$E$30="MAX-Bestand",IF(CI1648=1,CJ1648,IF(LEFT(Cockpit!$I$5,1)="B",AW1648,MAX(AW1648,H1648))),ROUNDUP(AU1648,0)))</f>
        <v>44</v>
      </c>
      <c r="AR1648" s="62" t="n">
        <f aca="false">IF(CA1648=1,0,ROUNDUP(AQ1648/BZ1648,0))</f>
        <v>1</v>
      </c>
      <c r="AS1648" s="64" t="n">
        <f aca="false">IF(CR1648&gt;0,CR1648*MAX(1,AQ1648/X1648),IF(CA1648=1,IF(AQ1648&lt;=0,0,CE1648*MAX(1,IF(H1648&gt;0,AQ1648/H1648,1))),IF(R1648&gt;0,AR1648/R1648,0))/MAX(0.1,N(Parameter!$M$21)))</f>
        <v>0.0384615384615385</v>
      </c>
      <c r="AT1648" s="62" t="n">
        <f aca="false">AS1648*CC1648</f>
        <v>5.96153846153846</v>
      </c>
      <c r="AU1648" s="63" t="n">
        <f aca="false">IF(LEFT(Cockpit!$I$5,1)="A",H1648,IF(CI1648=1,(CL1648+CJ1648)/2,IF(LEFT(Cockpit!$I$5,1)="B",(CL1648+AW1648)/2,MAX((CL1648+AW1648)/2,H1648))))</f>
        <v>44</v>
      </c>
      <c r="AV1648" s="62" t="n">
        <f aca="false">AU1648*G1648</f>
        <v>82.28</v>
      </c>
      <c r="AW1648" s="62" t="n">
        <f aca="false">ROUNDUP(CL1648+MAX(CM1648,2*(J1648/IF(CH1648&gt;0,CH1648,MAX(0.1,N(Cockpit!$I$6)))-CL1648)),0)</f>
        <v>25</v>
      </c>
      <c r="AX1648" s="63" t="n">
        <f aca="false">IF(AT1648&gt;0,J1648/AT1648,-1)</f>
        <v>0</v>
      </c>
      <c r="AY1648" s="63" t="n">
        <f aca="false">IF(AND(OR(CG1648="L1",CG1648="L23",CG1648="LIFT"),AT1648&gt;0),SUMIFS($AT$7:$AT$1843,$CG$7:$CG$1843,CG1648,$AX$7:$AX$1843,"&gt;"&amp;AX1648)+SUMIFS($AT$7:$AT$1843,$CG$7:$CG$1843,CG1648,$AX$7:$AX$1843,AX1648,$BX$7:$BX$1843,"&lt;="&amp;BX1648),"")</f>
        <v>37508.411117837</v>
      </c>
      <c r="AZ1648" s="70" t="n">
        <f aca="false">IF(AY1648="",0,MAX(0,MIN(1,(IF(CG1648="L1",Parameter!$H$5,IF(CG1648="L23",Parameter!$H$6+Parameter!$H$7,Parameter!$H$5+Parameter!$H$6+Parameter!$H$7))-(AY1648-AT1648))/AT1648)))</f>
        <v>0</v>
      </c>
      <c r="BA1648" s="62" t="n">
        <f aca="false">IF(LEFT(Cockpit!$O$5,1)="A",H1648,IF(Parameter!$E$30="MAX-Bestand",IF(CI1648=1,CJ1648,IF(LEFT(Cockpit!$O$5,1)="B",BG1648,MAX(BG1648,H1648))),ROUNDUP(BE1648,0)))</f>
        <v>13</v>
      </c>
      <c r="BB1648" s="62" t="n">
        <f aca="false">IF(CA1648=1,0,ROUNDUP(BA1648/BZ1648,0))</f>
        <v>1</v>
      </c>
      <c r="BC1648" s="64" t="n">
        <f aca="false">IF(CR1648&gt;0,CR1648*MAX(1,BA1648/X1648),IF(CA1648=1,IF(BA1648&lt;=0,0,CE1648*MAX(1,IF(H1648&gt;0,BA1648/H1648,1))),IF(R1648&gt;0,BB1648/R1648,0))/MAX(0.1,N(Parameter!$M$21)))</f>
        <v>0.0384615384615385</v>
      </c>
      <c r="BD1648" s="62" t="n">
        <f aca="false">BC1648*CC1648</f>
        <v>5.96153846153846</v>
      </c>
      <c r="BE1648" s="63" t="n">
        <f aca="false">IF(LEFT(Cockpit!$O$5,1)="A",H1648,IF(CI1648=1,(CL1648+CJ1648)/2,IF(LEFT(Cockpit!$O$5,1)="B",(CL1648+BG1648)/2,MAX((CL1648+BG1648)/2,H1648))))</f>
        <v>12.5</v>
      </c>
      <c r="BF1648" s="62" t="n">
        <f aca="false">BE1648*G1648</f>
        <v>23.375</v>
      </c>
      <c r="BG1648" s="62" t="n">
        <f aca="false">ROUNDUP(CL1648+MAX(CM1648,2*(J1648/IF(CH1648&gt;0,CH1648,MAX(0.1,N(Cockpit!$O$6)))-CL1648)),0)</f>
        <v>25</v>
      </c>
      <c r="BH1648" s="63" t="n">
        <f aca="false">IF(BD1648&gt;0,J1648/BD1648,-1)</f>
        <v>0</v>
      </c>
      <c r="BI1648" s="63" t="n">
        <f aca="false">IF(AND(OR(CG1648="L1",CG1648="L23",CG1648="LIFT"),BD1648&gt;0),SUMIFS($BD$7:$BD$1843,$CG$7:$CG$1843,CG1648,$BH$7:$BH$1843,"&gt;"&amp;BH1648)+SUMIFS($BD$7:$BD$1843,$CG$7:$CG$1843,CG1648,$BH$7:$BH$1843,BH1648,$BX$7:$BX$1843,"&lt;="&amp;BX1648),"")</f>
        <v>31417.8523933693</v>
      </c>
      <c r="BJ1648" s="70" t="n">
        <f aca="false">IF(BI1648="",0,MAX(0,MIN(1,(IF(CG1648="L1",Parameter!$H$5,IF(CG1648="L23",Parameter!$H$6+Parameter!$H$7,Parameter!$H$5+Parameter!$H$6+Parameter!$H$7))-(BI1648-BD1648))/BD1648)))</f>
        <v>1</v>
      </c>
      <c r="BK1648" s="60" t="str">
        <f aca="false">IF(AJ1648&lt;=0,"",IF(CG1648="Aussen","Aussenlager",IF(CG1648="-","Nicht im Lift",IF(AP1648&gt;=1,"Lift",IF(AP1648&lt;=0,"Aussenlager","teilweise")))))</f>
        <v>Lift</v>
      </c>
      <c r="BL1648" s="60" t="str">
        <f aca="false">IF(AT1648&lt;=0,"",IF(CG1648="Aussen","Aussenlager",IF(CG1648="-","Nicht im Lift",IF(AZ1648&gt;=1,"Lift",IF(AZ1648&lt;=0,"Aussenlager","teilweise")))))</f>
        <v>Aussenlager</v>
      </c>
      <c r="BM1648" s="60" t="str">
        <f aca="false">IF(BD1648&lt;=0,"",IF(CG1648="Aussen","Aussenlager",IF(CG1648="-","Nicht im Lift",IF(BJ1648&gt;=1,"Lift",IF(BJ1648&lt;=0,"Aussenlager","teilweise")))))</f>
        <v>Lift</v>
      </c>
      <c r="BN1648" s="60" t="str">
        <f aca="false">IF(A1648="","",IF(BW1648=1,"Neu; ","")&amp;IF(AND(BW1648=0,BR1648&lt;0),"negativer Bestand (Export "&amp;BR1648&amp;"); ","")&amp;IF(J1648&lt;=0,"Kein Verbrauch; ","")&amp;IF(CR1648&gt;0,"Lift "&amp;W1648&amp;" lt. Liftbericht (Fach "&amp;X1648&amp;" Stk); ",IF(CB1648=1,"Gebinde geschätzt ("&amp;T1648&amp;"); ",IF(CA1648=1,"Lose – Tablare geschätzt; ","")))&amp;IF(H1648&gt;AW1648,"Überbestand "&amp;ROUND(H1648-AW1648,0)&amp;" Stk / CHF "&amp;ROUND((H1648-AW1648)*G1648,0)&amp;"; ","")&amp;IF(AND(CI1648=1,CJ1648&lt;CK1648),"MAX &lt; MB+LG; ","")&amp;IF(AND(CQ1648&gt;0,CP1648*10&gt;CQ1648),"zu hoch für Tablar; ","")&amp;IF(AND(BW1648=0,OR(CI1648=1,AB1648&lt;&gt;"",U1648&lt;&gt;"",V1648&lt;&gt;"",AC1648&lt;&gt;"")),"manuell übersteuert; ","")&amp;IF(AND(CA1648=0,R1648=0),"Gebinde unbekannt / Stellmass fehlt; ","")&amp;IF(AND(CA1648=0,N(V1648)&lt;=0,N(Q1648)&lt;=0),"Menge pro Gebinde fehlt (Ist = 1 Gebinde); ","")&amp;BV1648)</f>
        <v>Kein Verbrauch; Gebinde geschätzt (Klein); Überbestand 19 Stk / CHF 36; Menge pro Gebinde fehlt (Ist = 1 Gebinde); nur im Artikelstamm (Bestand 23.06.2026)</v>
      </c>
      <c r="BO1648" s="60"/>
      <c r="BP1648" s="60"/>
      <c r="BQ1648" s="67"/>
      <c r="BR1648" s="62" t="n">
        <v>44</v>
      </c>
      <c r="BS1648" s="62" t="n">
        <v>0</v>
      </c>
      <c r="BT1648" s="61" t="n">
        <v>0</v>
      </c>
      <c r="BU1648" s="62" t="n">
        <v>0</v>
      </c>
      <c r="BV1648" s="60" t="s">
        <v>2617</v>
      </c>
      <c r="BW1648" s="65" t="n">
        <v>0</v>
      </c>
      <c r="BX1648" s="65" t="n">
        <v>1648</v>
      </c>
      <c r="BY1648" s="60" t="str">
        <f aca="false">IF(U1648&lt;&gt;"",UPPER(TRIM(U1648)),IF(CB1648=1,UPPER(VLOOKUP(T1648,Parameter!$I$27:$K$29,2,0)),IF(P1648="","LOSE",P1648)))</f>
        <v>S51</v>
      </c>
      <c r="BZ1648" s="62" t="n">
        <f aca="false">IF(BY1648="LOSE",1,IF(N(V1648)&gt;0,V1648,IF(CB1648=1,MAX(1,N(VLOOKUP(T1648,Parameter!$I$27:$K$29,3,0)),H1648,N(N1648)),IF(N(Q1648)&gt;0,Q1648,MAX(1,H1648)))))</f>
        <v>44</v>
      </c>
      <c r="CA1648" s="65" t="n">
        <f aca="false">IF(BY1648="LOSE",1,0)</f>
        <v>0</v>
      </c>
      <c r="CB1648" s="65" t="n">
        <f aca="false">IF(AND(U1648="",OR(P1648="",P1648="LOSE"),T1648&lt;&gt;"",N(S1648)&lt;=0,ISNUMBER(MATCH(T1648,Parameter!$I$27:$I$29,0))),1,0)</f>
        <v>1</v>
      </c>
      <c r="CC1648" s="65" t="n">
        <f aca="false">IF(CR1648&gt;0,INDEX(Parameter!$H$5:$H$7,W1648)/INDEX(Parameter!$E$5:$E$7,W1648),IF(AND(CA1648=0,N(IFERROR(VLOOKUP(BY1648,'Gebinde-Kategorie'!$A$5:$N$45,14,0),0))&gt;0),VLOOKUP(BY1648,'Gebinde-Kategorie'!$A$5:$N$45,14,0)*10+Parameter!$M$23,Parameter!$M$24))</f>
        <v>155</v>
      </c>
      <c r="CD1648" s="60" t="str">
        <f aca="false">IF(AND(Parameter!$B$19="Ja",E1648&lt;&gt;"",ISNUMBER(MATCH(E1648,Parameter!$I$35:$I$52,0))),VLOOKUP(E1648,Parameter!$I$35:$J$52,2,0),IFERROR(VLOOKUP(D1648,Parameter!$A$35:$C$64,2,0),"Nein"))</f>
        <v>2+3</v>
      </c>
      <c r="CE1648" s="64" t="n">
        <f aca="false">IF(CA1648=0,0,IF(N(S1648)&gt;0,S1648,IFERROR(VLOOKUP(D1648,Parameter!$A$35:$C$64,3,0)+0,0)))</f>
        <v>0</v>
      </c>
      <c r="CF1648" s="60" t="n">
        <f aca="false">IF(AB1648&lt;&gt;"",AB1648,AA1648)</f>
        <v>3</v>
      </c>
      <c r="CG1648" s="60" t="str">
        <f aca="false">IF(OR(CF1648=1,CF1648=2,CF1648=3),IF(Parameter!$E$27="Ja","LIFT",IF(CF1648=1,"L1","L23")),IF(CF1648="Aussen","Aussen","-"))</f>
        <v>LIFT</v>
      </c>
      <c r="CH1648" s="71" t="n">
        <f aca="false">IF(N(AC1648)&gt;0,AC1648,0)</f>
        <v>0</v>
      </c>
      <c r="CI1648" s="65" t="n">
        <f aca="false">IF(ISNUMBER(AF1648),1,0)</f>
        <v>0</v>
      </c>
      <c r="CJ1648" s="62" t="n">
        <f aca="false">N(AF1648)</f>
        <v>0</v>
      </c>
      <c r="CK1648" s="62" t="n">
        <f aca="false">N(M1648)+N(N1648)</f>
        <v>25</v>
      </c>
      <c r="CL1648" s="62" t="n">
        <f aca="false">N(M1648)</f>
        <v>0</v>
      </c>
      <c r="CM1648" s="62" t="n">
        <f aca="false">N(N1648)</f>
        <v>25</v>
      </c>
      <c r="CN1648" s="62" t="n">
        <f aca="false">ROUNDUP(H1648/BZ1648,0)</f>
        <v>1</v>
      </c>
      <c r="CO1648" s="62" t="n">
        <f aca="false">ROUNDUP(CJ1648/BZ1648,0)</f>
        <v>0</v>
      </c>
      <c r="CP1648" s="65" t="n">
        <f aca="false">IF(CA1648=1,0,IFERROR(VLOOKUP(BY1648,'Gebinde-Kategorie'!$A$5:$N$45,5,0)+0,0))</f>
        <v>11</v>
      </c>
      <c r="CQ1648" s="65" t="n">
        <f aca="false">IFERROR(IF(OR(CF1648=1,CF1648=2,CF1648=3),N(INDEX(Parameter!$I$5:$I$7,CF1648)),0),0)</f>
        <v>0</v>
      </c>
      <c r="CR1648" s="64" t="n">
        <f aca="false">IF(AND(Parameter!$B$21="Ja",ISNUMBER(W1648),N(X1648)&gt;0),IFERROR(N(INDEX(Parameter!$L$5:$L$7,W1648))*INDEX(Parameter!$E$5:$E$7,W1648)*X1648/SUMIFS($X$7:$X$1843,$W$7:$W$1843,W1648),0),0)</f>
        <v>0</v>
      </c>
      <c r="CS1648" s="62" t="n">
        <f aca="false">IF(AND(OR(CG1648="L1",CG1648="L23",CG1648="LIFT"),H1648&gt;0),CC1648*IF(CR1648&gt;0,CR1648*MAX(1,H1648/X1648),IF(CA1648=1,CE1648,IF(R1648&gt;0,CN1648/R1648,0))/MAX(0.1,N(Parameter!$M$21))),"")</f>
        <v>5.96153846153846</v>
      </c>
      <c r="CT1648" s="64" t="n">
        <f aca="false">IF(CS1648="","",J1648/H1648)</f>
        <v>0</v>
      </c>
      <c r="CU1648" s="62" t="n">
        <f aca="false">IF(CS1648="","",H1648*G1648)</f>
        <v>82.28</v>
      </c>
      <c r="CV1648" s="63" t="n">
        <f aca="false">IF(CS1648="","",(CL1648+ROUNDUP(CL1648+MAX(CM1648,2*(J1648/MAX(0.1,N(Einkauf!$C$6))-CL1648)),0))/2)</f>
        <v>12.5</v>
      </c>
      <c r="CW1648" s="62" t="n">
        <f aca="false">IF(CS1648="","",MAX(0,H1648-CV1648)*G1648)</f>
        <v>58.905</v>
      </c>
      <c r="CX1648" s="62" t="n">
        <f aca="false">IF(CS1648="","",CS1648*MAX(0,1-CV1648/H1648))</f>
        <v>4.26791958041958</v>
      </c>
      <c r="CY1648" s="64" t="n">
        <f aca="false">IF(CS1648="","",PERCENTRANK($CS$7:$CS$1843,CS1648)+PERCENTRANK($CU$7:$CU$1843,CU1648)+1-PERCENTRANK($CT$7:$CT$1843,CT1648))</f>
        <v>1.56</v>
      </c>
      <c r="CZ1648" s="72" t="n">
        <f aca="false">IF(CS1648="","",CHOOSE(MATCH(Einkauf!$C$5,Parameter!$G$23:$G$27,0),CY1648,CS1648,CU1648,-CT1648,CW1648)+ROW()/1000000000)</f>
        <v>1.560001648</v>
      </c>
    </row>
    <row r="1649" customFormat="false" ht="15" hidden="false" customHeight="false" outlineLevel="0" collapsed="false">
      <c r="A1649" s="60" t="s">
        <v>2911</v>
      </c>
      <c r="B1649" s="60" t="s">
        <v>2466</v>
      </c>
      <c r="C1649" s="60" t="s">
        <v>206</v>
      </c>
      <c r="D1649" s="60" t="s">
        <v>215</v>
      </c>
      <c r="E1649" s="60"/>
      <c r="F1649" s="60"/>
      <c r="G1649" s="61" t="n">
        <v>341</v>
      </c>
      <c r="H1649" s="62" t="n">
        <f aca="false">MAX(0,IF(AND(Parameter!$B$21="Ja",ISNUMBER(Y1649)),Y1649,IF(Parameter!$B$20="Jahresanfang 2025 + Export",BS1649+BR1649,BR1649)))</f>
        <v>1</v>
      </c>
      <c r="I1649" s="62" t="n">
        <f aca="false">H1649*G1649</f>
        <v>341</v>
      </c>
      <c r="J1649" s="62" t="n">
        <f aca="false">BU1649*Parameter!$B$18</f>
        <v>0</v>
      </c>
      <c r="K1649" s="63"/>
      <c r="L1649" s="64"/>
      <c r="M1649" s="62" t="n">
        <v>1</v>
      </c>
      <c r="N1649" s="62" t="n">
        <v>7</v>
      </c>
      <c r="O1649" s="65" t="n">
        <v>56</v>
      </c>
      <c r="P1649" s="60" t="s">
        <v>210</v>
      </c>
      <c r="Q1649" s="62"/>
      <c r="R1649" s="65" t="n">
        <f aca="false">IF(CA1649=1,0,IFERROR(VLOOKUP(BY1649,'Gebinde-Kategorie'!$A$5:$N$45,13,0)+0,0))</f>
        <v>0</v>
      </c>
      <c r="S1649" s="66"/>
      <c r="T1649" s="67"/>
      <c r="U1649" s="67"/>
      <c r="V1649" s="67"/>
      <c r="W1649" s="60" t="n">
        <v>1</v>
      </c>
      <c r="X1649" s="62" t="n">
        <v>1</v>
      </c>
      <c r="Y1649" s="62" t="n">
        <v>1</v>
      </c>
      <c r="Z1649" s="60" t="n">
        <v>1</v>
      </c>
      <c r="AA1649" s="60" t="n">
        <f aca="false">IF(A1649="","",IF(AND(Parameter!$B$21="Ja",ISNUMBER(W1649)),W1649,IF(AND(Parameter!$E$27="Ja",ISNUMBER(Z1649),CD1649&lt;&gt;"Nein"),Z1649,IF(CD1649="2+3",IF(ISNUMBER(SEARCH("grosser Artikel",BV1649)),2,IFERROR(VLOOKUP(BY1649,Parameter!$F$35:$G$64,2,0),2)),IF(OR(CD1649="Nein",CD1649=""),"-",CD1649)))))</f>
        <v>1</v>
      </c>
      <c r="AB1649" s="67"/>
      <c r="AC1649" s="68"/>
      <c r="AD1649" s="62" t="n">
        <f aca="false">AW1649</f>
        <v>8</v>
      </c>
      <c r="AE1649" s="62" t="n">
        <f aca="false">MAX(AW1649,H1649)</f>
        <v>8</v>
      </c>
      <c r="AF1649" s="69"/>
      <c r="AG1649" s="62" t="n">
        <f aca="false">IF(LEFT(Cockpit!$C$5,1)="A",H1649,IF(Parameter!$E$30="MAX-Bestand",IF(CI1649=1,CJ1649,IF(LEFT(Cockpit!$C$5,1)="B",AM1649,MAX(AM1649,H1649))),ROUNDUP(AK1649,0)))</f>
        <v>1</v>
      </c>
      <c r="AH1649" s="62" t="n">
        <f aca="false">IF(CA1649=1,0,ROUNDUP(AG1649/BZ1649,0))</f>
        <v>0</v>
      </c>
      <c r="AI1649" s="64" t="n">
        <f aca="false">IF(CR1649&gt;0,CR1649*MAX(1,AG1649/X1649),IF(CA1649=1,IF(AG1649&lt;=0,0,CE1649*MAX(1,IF(H1649&gt;0,AG1649/H1649,1))),IF(R1649&gt;0,AH1649/R1649,0))/MAX(0.1,N(Parameter!$M$21)))</f>
        <v>0.0800376647834275</v>
      </c>
      <c r="AJ1649" s="62" t="n">
        <f aca="false">AI1649*CC1649</f>
        <v>19.0489642184557</v>
      </c>
      <c r="AK1649" s="63" t="n">
        <f aca="false">IF(LEFT(Cockpit!$C$5,1)="A",H1649,IF(CI1649=1,(CL1649+CJ1649)/2,IF(LEFT(Cockpit!$C$5,1)="B",(CL1649+AM1649)/2,MAX((CL1649+AM1649)/2,H1649))))</f>
        <v>1</v>
      </c>
      <c r="AL1649" s="62" t="n">
        <f aca="false">AK1649*G1649</f>
        <v>341</v>
      </c>
      <c r="AM1649" s="62" t="n">
        <f aca="false">ROUNDUP(CL1649+MAX(CM1649,2*(J1649/IF(CH1649&gt;0,CH1649,MAX(0.1,N(Cockpit!$C$6)))-CL1649)),0)</f>
        <v>8</v>
      </c>
      <c r="AN1649" s="63" t="n">
        <f aca="false">IF(AJ1649&gt;0,J1649/AJ1649,-1)</f>
        <v>0</v>
      </c>
      <c r="AO1649" s="63" t="n">
        <f aca="false">IF(AND(OR(CG1649="L1",CG1649="L23",CG1649="LIFT"),AJ1649&gt;0),SUMIFS($AJ$7:$AJ$1843,$CG$7:$CG$1843,CG1649,$AN$7:$AN$1843,"&gt;"&amp;AN1649)+SUMIFS($AJ$7:$AJ$1843,$CG$7:$CG$1843,CG1649,$AN$7:$AN$1843,AN1649,$BX$7:$BX$1843,"&lt;="&amp;BX1649),"")</f>
        <v>31207.6035652201</v>
      </c>
      <c r="AP1649" s="70" t="n">
        <f aca="false">IF(AO1649="",0,MAX(0,MIN(1,(IF(CG1649="L1",Parameter!$H$5,IF(CG1649="L23",Parameter!$H$6+Parameter!$H$7,Parameter!$H$5+Parameter!$H$6+Parameter!$H$7))-(AO1649-AJ1649))/AJ1649)))</f>
        <v>1</v>
      </c>
      <c r="AQ1649" s="62" t="n">
        <f aca="false">IF(LEFT(Cockpit!$I$5,1)="A",H1649,IF(Parameter!$E$30="MAX-Bestand",IF(CI1649=1,CJ1649,IF(LEFT(Cockpit!$I$5,1)="B",AW1649,MAX(AW1649,H1649))),ROUNDUP(AU1649,0)))</f>
        <v>5</v>
      </c>
      <c r="AR1649" s="62" t="n">
        <f aca="false">IF(CA1649=1,0,ROUNDUP(AQ1649/BZ1649,0))</f>
        <v>0</v>
      </c>
      <c r="AS1649" s="64" t="n">
        <f aca="false">IF(CR1649&gt;0,CR1649*MAX(1,AQ1649/X1649),IF(CA1649=1,IF(AQ1649&lt;=0,0,CE1649*MAX(1,IF(H1649&gt;0,AQ1649/H1649,1))),IF(R1649&gt;0,AR1649/R1649,0))/MAX(0.1,N(Parameter!$M$21)))</f>
        <v>0.400188323917138</v>
      </c>
      <c r="AT1649" s="62" t="n">
        <f aca="false">AS1649*CC1649</f>
        <v>95.2448210922787</v>
      </c>
      <c r="AU1649" s="63" t="n">
        <f aca="false">IF(LEFT(Cockpit!$I$5,1)="A",H1649,IF(CI1649=1,(CL1649+CJ1649)/2,IF(LEFT(Cockpit!$I$5,1)="B",(CL1649+AW1649)/2,MAX((CL1649+AW1649)/2,H1649))))</f>
        <v>4.5</v>
      </c>
      <c r="AV1649" s="62" t="n">
        <f aca="false">AU1649*G1649</f>
        <v>1534.5</v>
      </c>
      <c r="AW1649" s="62" t="n">
        <f aca="false">ROUNDUP(CL1649+MAX(CM1649,2*(J1649/IF(CH1649&gt;0,CH1649,MAX(0.1,N(Cockpit!$I$6)))-CL1649)),0)</f>
        <v>8</v>
      </c>
      <c r="AX1649" s="63" t="n">
        <f aca="false">IF(AT1649&gt;0,J1649/AT1649,-1)</f>
        <v>0</v>
      </c>
      <c r="AY1649" s="63" t="n">
        <f aca="false">IF(AND(OR(CG1649="L1",CG1649="L23",CG1649="LIFT"),AT1649&gt;0),SUMIFS($AT$7:$AT$1843,$CG$7:$CG$1843,CG1649,$AX$7:$AX$1843,"&gt;"&amp;AX1649)+SUMIFS($AT$7:$AT$1843,$CG$7:$CG$1843,CG1649,$AX$7:$AX$1843,AX1649,$BX$7:$BX$1843,"&lt;="&amp;BX1649),"")</f>
        <v>37603.6559389292</v>
      </c>
      <c r="AZ1649" s="70" t="n">
        <f aca="false">IF(AY1649="",0,MAX(0,MIN(1,(IF(CG1649="L1",Parameter!$H$5,IF(CG1649="L23",Parameter!$H$6+Parameter!$H$7,Parameter!$H$5+Parameter!$H$6+Parameter!$H$7))-(AY1649-AT1649))/AT1649)))</f>
        <v>0</v>
      </c>
      <c r="BA1649" s="62" t="n">
        <f aca="false">IF(LEFT(Cockpit!$O$5,1)="A",H1649,IF(Parameter!$E$30="MAX-Bestand",IF(CI1649=1,CJ1649,IF(LEFT(Cockpit!$O$5,1)="B",BG1649,MAX(BG1649,H1649))),ROUNDUP(BE1649,0)))</f>
        <v>5</v>
      </c>
      <c r="BB1649" s="62" t="n">
        <f aca="false">IF(CA1649=1,0,ROUNDUP(BA1649/BZ1649,0))</f>
        <v>0</v>
      </c>
      <c r="BC1649" s="64" t="n">
        <f aca="false">IF(CR1649&gt;0,CR1649*MAX(1,BA1649/X1649),IF(CA1649=1,IF(BA1649&lt;=0,0,CE1649*MAX(1,IF(H1649&gt;0,BA1649/H1649,1))),IF(R1649&gt;0,BB1649/R1649,0))/MAX(0.1,N(Parameter!$M$21)))</f>
        <v>0.400188323917138</v>
      </c>
      <c r="BD1649" s="62" t="n">
        <f aca="false">BC1649*CC1649</f>
        <v>95.2448210922787</v>
      </c>
      <c r="BE1649" s="63" t="n">
        <f aca="false">IF(LEFT(Cockpit!$O$5,1)="A",H1649,IF(CI1649=1,(CL1649+CJ1649)/2,IF(LEFT(Cockpit!$O$5,1)="B",(CL1649+BG1649)/2,MAX((CL1649+BG1649)/2,H1649))))</f>
        <v>4.5</v>
      </c>
      <c r="BF1649" s="62" t="n">
        <f aca="false">BE1649*G1649</f>
        <v>1534.5</v>
      </c>
      <c r="BG1649" s="62" t="n">
        <f aca="false">ROUNDUP(CL1649+MAX(CM1649,2*(J1649/IF(CH1649&gt;0,CH1649,MAX(0.1,N(Cockpit!$O$6)))-CL1649)),0)</f>
        <v>8</v>
      </c>
      <c r="BH1649" s="63" t="n">
        <f aca="false">IF(BD1649&gt;0,J1649/BD1649,-1)</f>
        <v>0</v>
      </c>
      <c r="BI1649" s="63" t="n">
        <f aca="false">IF(AND(OR(CG1649="L1",CG1649="L23",CG1649="LIFT"),BD1649&gt;0),SUMIFS($BD$7:$BD$1843,$CG$7:$CG$1843,CG1649,$BH$7:$BH$1843,"&gt;"&amp;BH1649)+SUMIFS($BD$7:$BD$1843,$CG$7:$CG$1843,CG1649,$BH$7:$BH$1843,BH1649,$BX$7:$BX$1843,"&lt;="&amp;BX1649),"")</f>
        <v>31513.0972144616</v>
      </c>
      <c r="BJ1649" s="70" t="n">
        <f aca="false">IF(BI1649="",0,MAX(0,MIN(1,(IF(CG1649="L1",Parameter!$H$5,IF(CG1649="L23",Parameter!$H$6+Parameter!$H$7,Parameter!$H$5+Parameter!$H$6+Parameter!$H$7))-(BI1649-BD1649))/BD1649)))</f>
        <v>1</v>
      </c>
      <c r="BK1649" s="60" t="str">
        <f aca="false">IF(AJ1649&lt;=0,"",IF(CG1649="Aussen","Aussenlager",IF(CG1649="-","Nicht im Lift",IF(AP1649&gt;=1,"Lift",IF(AP1649&lt;=0,"Aussenlager","teilweise")))))</f>
        <v>Lift</v>
      </c>
      <c r="BL1649" s="60" t="str">
        <f aca="false">IF(AT1649&lt;=0,"",IF(CG1649="Aussen","Aussenlager",IF(CG1649="-","Nicht im Lift",IF(AZ1649&gt;=1,"Lift",IF(AZ1649&lt;=0,"Aussenlager","teilweise")))))</f>
        <v>Aussenlager</v>
      </c>
      <c r="BM1649" s="60" t="str">
        <f aca="false">IF(BD1649&lt;=0,"",IF(CG1649="Aussen","Aussenlager",IF(CG1649="-","Nicht im Lift",IF(BJ1649&gt;=1,"Lift",IF(BJ1649&lt;=0,"Aussenlager","teilweise")))))</f>
        <v>Lift</v>
      </c>
      <c r="BN1649" s="60" t="str">
        <f aca="false">IF(A1649="","",IF(BW1649=1,"Neu; ","")&amp;IF(AND(BW1649=0,BR1649&lt;0),"negativer Bestand (Export "&amp;BR1649&amp;"); ","")&amp;IF(J1649&lt;=0,"Kein Verbrauch; ","")&amp;IF(CR1649&gt;0,"Lift "&amp;W1649&amp;" lt. Liftbericht (Fach "&amp;X1649&amp;" Stk); ",IF(CB1649=1,"Gebinde geschätzt ("&amp;T1649&amp;"); ",IF(CA1649=1,"Lose – Tablare geschätzt; ","")))&amp;IF(H1649&gt;AW1649,"Überbestand "&amp;ROUND(H1649-AW1649,0)&amp;" Stk / CHF "&amp;ROUND((H1649-AW1649)*G1649,0)&amp;"; ","")&amp;IF(AND(CI1649=1,CJ1649&lt;CK1649),"MAX &lt; MB+LG; ","")&amp;IF(AND(CQ1649&gt;0,CP1649*10&gt;CQ1649),"zu hoch für Tablar; ","")&amp;IF(AND(BW1649=0,OR(CI1649=1,AB1649&lt;&gt;"",U1649&lt;&gt;"",V1649&lt;&gt;"",AC1649&lt;&gt;"")),"manuell übersteuert; ","")&amp;IF(AND(CA1649=0,R1649=0),"Gebinde unbekannt / Stellmass fehlt; ","")&amp;IF(AND(CA1649=0,N(V1649)&lt;=0,N(Q1649)&lt;=0),"Menge pro Gebinde fehlt (Ist = 1 Gebinde); ","")&amp;BV1649)</f>
        <v>Kein Verbrauch; Lift 1 lt. Liftbericht (Fach 1 Stk); nur im Artikelstamm (Bestand 23.06.2026)</v>
      </c>
      <c r="BO1649" s="60"/>
      <c r="BP1649" s="60"/>
      <c r="BQ1649" s="67"/>
      <c r="BR1649" s="62" t="n">
        <v>1</v>
      </c>
      <c r="BS1649" s="62" t="n">
        <v>0</v>
      </c>
      <c r="BT1649" s="61" t="n">
        <v>0</v>
      </c>
      <c r="BU1649" s="62" t="n">
        <v>0</v>
      </c>
      <c r="BV1649" s="60" t="s">
        <v>2617</v>
      </c>
      <c r="BW1649" s="65" t="n">
        <v>0</v>
      </c>
      <c r="BX1649" s="65" t="n">
        <v>1649</v>
      </c>
      <c r="BY1649" s="60" t="str">
        <f aca="false">IF(U1649&lt;&gt;"",UPPER(TRIM(U1649)),IF(CB1649=1,UPPER(VLOOKUP(T1649,Parameter!$I$27:$K$29,2,0)),IF(P1649="","LOSE",P1649)))</f>
        <v>LOSE</v>
      </c>
      <c r="BZ1649" s="62" t="n">
        <f aca="false">IF(BY1649="LOSE",1,IF(N(V1649)&gt;0,V1649,IF(CB1649=1,MAX(1,N(VLOOKUP(T1649,Parameter!$I$27:$K$29,3,0)),H1649,N(N1649)),IF(N(Q1649)&gt;0,Q1649,MAX(1,H1649)))))</f>
        <v>1</v>
      </c>
      <c r="CA1649" s="65" t="n">
        <f aca="false">IF(BY1649="LOSE",1,0)</f>
        <v>1</v>
      </c>
      <c r="CB1649" s="65" t="n">
        <f aca="false">IF(AND(U1649="",OR(P1649="",P1649="LOSE"),T1649&lt;&gt;"",N(S1649)&lt;=0,ISNUMBER(MATCH(T1649,Parameter!$I$27:$I$29,0))),1,0)</f>
        <v>0</v>
      </c>
      <c r="CC1649" s="65" t="n">
        <f aca="false">IF(CR1649&gt;0,INDEX(Parameter!$H$5:$H$7,W1649)/INDEX(Parameter!$E$5:$E$7,W1649),IF(AND(CA1649=0,N(IFERROR(VLOOKUP(BY1649,'Gebinde-Kategorie'!$A$5:$N$45,14,0),0))&gt;0),VLOOKUP(BY1649,'Gebinde-Kategorie'!$A$5:$N$45,14,0)*10+Parameter!$M$23,Parameter!$M$24))</f>
        <v>238</v>
      </c>
      <c r="CD1649" s="60" t="str">
        <f aca="false">IF(AND(Parameter!$B$19="Ja",E1649&lt;&gt;"",ISNUMBER(MATCH(E1649,Parameter!$I$35:$I$52,0))),VLOOKUP(E1649,Parameter!$I$35:$J$52,2,0),IFERROR(VLOOKUP(D1649,Parameter!$A$35:$C$64,2,0),"Nein"))</f>
        <v>2+3</v>
      </c>
      <c r="CE1649" s="64" t="n">
        <f aca="false">IF(CA1649=0,0,IF(N(S1649)&gt;0,S1649,IFERROR(VLOOKUP(D1649,Parameter!$A$35:$C$64,3,0)+0,0)))</f>
        <v>0.15</v>
      </c>
      <c r="CF1649" s="60" t="n">
        <f aca="false">IF(AB1649&lt;&gt;"",AB1649,AA1649)</f>
        <v>1</v>
      </c>
      <c r="CG1649" s="60" t="str">
        <f aca="false">IF(OR(CF1649=1,CF1649=2,CF1649=3),IF(Parameter!$E$27="Ja","LIFT",IF(CF1649=1,"L1","L23")),IF(CF1649="Aussen","Aussen","-"))</f>
        <v>LIFT</v>
      </c>
      <c r="CH1649" s="71" t="n">
        <f aca="false">IF(N(AC1649)&gt;0,AC1649,0)</f>
        <v>0</v>
      </c>
      <c r="CI1649" s="65" t="n">
        <f aca="false">IF(ISNUMBER(AF1649),1,0)</f>
        <v>0</v>
      </c>
      <c r="CJ1649" s="62" t="n">
        <f aca="false">N(AF1649)</f>
        <v>0</v>
      </c>
      <c r="CK1649" s="62" t="n">
        <f aca="false">N(M1649)+N(N1649)</f>
        <v>8</v>
      </c>
      <c r="CL1649" s="62" t="n">
        <f aca="false">N(M1649)</f>
        <v>1</v>
      </c>
      <c r="CM1649" s="62" t="n">
        <f aca="false">N(N1649)</f>
        <v>7</v>
      </c>
      <c r="CN1649" s="62" t="n">
        <f aca="false">ROUNDUP(H1649/BZ1649,0)</f>
        <v>1</v>
      </c>
      <c r="CO1649" s="62" t="n">
        <f aca="false">ROUNDUP(CJ1649/BZ1649,0)</f>
        <v>0</v>
      </c>
      <c r="CP1649" s="65" t="n">
        <f aca="false">IF(CA1649=1,0,IFERROR(VLOOKUP(BY1649,'Gebinde-Kategorie'!$A$5:$N$45,5,0)+0,0))</f>
        <v>0</v>
      </c>
      <c r="CQ1649" s="65" t="n">
        <f aca="false">IFERROR(IF(OR(CF1649=1,CF1649=2,CF1649=3),N(INDEX(Parameter!$I$5:$I$7,CF1649)),0),0)</f>
        <v>0</v>
      </c>
      <c r="CR1649" s="64" t="n">
        <f aca="false">IF(AND(Parameter!$B$21="Ja",ISNUMBER(W1649),N(X1649)&gt;0),IFERROR(N(INDEX(Parameter!$L$5:$L$7,W1649))*INDEX(Parameter!$E$5:$E$7,W1649)*X1649/SUMIFS($X$7:$X$1843,$W$7:$W$1843,W1649),0),0)</f>
        <v>0.0800376647834275</v>
      </c>
      <c r="CS1649" s="62" t="n">
        <f aca="false">IF(AND(OR(CG1649="L1",CG1649="L23",CG1649="LIFT"),H1649&gt;0),CC1649*IF(CR1649&gt;0,CR1649*MAX(1,H1649/X1649),IF(CA1649=1,CE1649,IF(R1649&gt;0,CN1649/R1649,0))/MAX(0.1,N(Parameter!$M$21))),"")</f>
        <v>19.0489642184557</v>
      </c>
      <c r="CT1649" s="64" t="n">
        <f aca="false">IF(CS1649="","",J1649/H1649)</f>
        <v>0</v>
      </c>
      <c r="CU1649" s="62" t="n">
        <f aca="false">IF(CS1649="","",H1649*G1649)</f>
        <v>341</v>
      </c>
      <c r="CV1649" s="63" t="n">
        <f aca="false">IF(CS1649="","",(CL1649+ROUNDUP(CL1649+MAX(CM1649,2*(J1649/MAX(0.1,N(Einkauf!$C$6))-CL1649)),0))/2)</f>
        <v>4.5</v>
      </c>
      <c r="CW1649" s="62" t="n">
        <f aca="false">IF(CS1649="","",MAX(0,H1649-CV1649)*G1649)</f>
        <v>0</v>
      </c>
      <c r="CX1649" s="62" t="n">
        <f aca="false">IF(CS1649="","",CS1649*MAX(0,1-CV1649/H1649))</f>
        <v>0</v>
      </c>
      <c r="CY1649" s="64" t="n">
        <f aca="false">IF(CS1649="","",PERCENTRANK($CS$7:$CS$1843,CS1649)+PERCENTRANK($CU$7:$CU$1843,CU1649)+1-PERCENTRANK($CT$7:$CT$1843,CT1649))</f>
        <v>2.228</v>
      </c>
      <c r="CZ1649" s="72" t="n">
        <f aca="false">IF(CS1649="","",CHOOSE(MATCH(Einkauf!$C$5,Parameter!$G$23:$G$27,0),CY1649,CS1649,CU1649,-CT1649,CW1649)+ROW()/1000000000)</f>
        <v>2.228001649</v>
      </c>
    </row>
    <row r="1650" customFormat="false" ht="15" hidden="false" customHeight="false" outlineLevel="0" collapsed="false">
      <c r="A1650" s="60" t="s">
        <v>2912</v>
      </c>
      <c r="B1650" s="60" t="s">
        <v>2466</v>
      </c>
      <c r="C1650" s="60" t="s">
        <v>206</v>
      </c>
      <c r="D1650" s="60" t="s">
        <v>215</v>
      </c>
      <c r="E1650" s="60"/>
      <c r="F1650" s="60"/>
      <c r="G1650" s="61" t="n">
        <v>463.5</v>
      </c>
      <c r="H1650" s="62" t="n">
        <f aca="false">MAX(0,IF(AND(Parameter!$B$21="Ja",ISNUMBER(Y1650)),Y1650,IF(Parameter!$B$20="Jahresanfang 2025 + Export",BS1650+BR1650,BR1650)))</f>
        <v>1</v>
      </c>
      <c r="I1650" s="62" t="n">
        <f aca="false">H1650*G1650</f>
        <v>463.5</v>
      </c>
      <c r="J1650" s="62" t="n">
        <f aca="false">BU1650*Parameter!$B$18</f>
        <v>0</v>
      </c>
      <c r="K1650" s="63"/>
      <c r="L1650" s="64"/>
      <c r="M1650" s="62" t="n">
        <v>1</v>
      </c>
      <c r="N1650" s="62" t="n">
        <v>7</v>
      </c>
      <c r="O1650" s="65" t="n">
        <v>56</v>
      </c>
      <c r="P1650" s="60" t="s">
        <v>210</v>
      </c>
      <c r="Q1650" s="62"/>
      <c r="R1650" s="65" t="n">
        <f aca="false">IF(CA1650=1,0,IFERROR(VLOOKUP(BY1650,'Gebinde-Kategorie'!$A$5:$N$45,13,0)+0,0))</f>
        <v>0</v>
      </c>
      <c r="S1650" s="66"/>
      <c r="T1650" s="67"/>
      <c r="U1650" s="67"/>
      <c r="V1650" s="67"/>
      <c r="W1650" s="60" t="n">
        <v>1</v>
      </c>
      <c r="X1650" s="62" t="n">
        <v>1</v>
      </c>
      <c r="Y1650" s="62" t="n">
        <v>1</v>
      </c>
      <c r="Z1650" s="60" t="n">
        <v>1</v>
      </c>
      <c r="AA1650" s="60" t="n">
        <f aca="false">IF(A1650="","",IF(AND(Parameter!$B$21="Ja",ISNUMBER(W1650)),W1650,IF(AND(Parameter!$E$27="Ja",ISNUMBER(Z1650),CD1650&lt;&gt;"Nein"),Z1650,IF(CD1650="2+3",IF(ISNUMBER(SEARCH("grosser Artikel",BV1650)),2,IFERROR(VLOOKUP(BY1650,Parameter!$F$35:$G$64,2,0),2)),IF(OR(CD1650="Nein",CD1650=""),"-",CD1650)))))</f>
        <v>1</v>
      </c>
      <c r="AB1650" s="67"/>
      <c r="AC1650" s="68"/>
      <c r="AD1650" s="62" t="n">
        <f aca="false">AW1650</f>
        <v>8</v>
      </c>
      <c r="AE1650" s="62" t="n">
        <f aca="false">MAX(AW1650,H1650)</f>
        <v>8</v>
      </c>
      <c r="AF1650" s="69"/>
      <c r="AG1650" s="62" t="n">
        <f aca="false">IF(LEFT(Cockpit!$C$5,1)="A",H1650,IF(Parameter!$E$30="MAX-Bestand",IF(CI1650=1,CJ1650,IF(LEFT(Cockpit!$C$5,1)="B",AM1650,MAX(AM1650,H1650))),ROUNDUP(AK1650,0)))</f>
        <v>1</v>
      </c>
      <c r="AH1650" s="62" t="n">
        <f aca="false">IF(CA1650=1,0,ROUNDUP(AG1650/BZ1650,0))</f>
        <v>0</v>
      </c>
      <c r="AI1650" s="64" t="n">
        <f aca="false">IF(CR1650&gt;0,CR1650*MAX(1,AG1650/X1650),IF(CA1650=1,IF(AG1650&lt;=0,0,CE1650*MAX(1,IF(H1650&gt;0,AG1650/H1650,1))),IF(R1650&gt;0,AH1650/R1650,0))/MAX(0.1,N(Parameter!$M$21)))</f>
        <v>0.0800376647834275</v>
      </c>
      <c r="AJ1650" s="62" t="n">
        <f aca="false">AI1650*CC1650</f>
        <v>19.0489642184557</v>
      </c>
      <c r="AK1650" s="63" t="n">
        <f aca="false">IF(LEFT(Cockpit!$C$5,1)="A",H1650,IF(CI1650=1,(CL1650+CJ1650)/2,IF(LEFT(Cockpit!$C$5,1)="B",(CL1650+AM1650)/2,MAX((CL1650+AM1650)/2,H1650))))</f>
        <v>1</v>
      </c>
      <c r="AL1650" s="62" t="n">
        <f aca="false">AK1650*G1650</f>
        <v>463.5</v>
      </c>
      <c r="AM1650" s="62" t="n">
        <f aca="false">ROUNDUP(CL1650+MAX(CM1650,2*(J1650/IF(CH1650&gt;0,CH1650,MAX(0.1,N(Cockpit!$C$6)))-CL1650)),0)</f>
        <v>8</v>
      </c>
      <c r="AN1650" s="63" t="n">
        <f aca="false">IF(AJ1650&gt;0,J1650/AJ1650,-1)</f>
        <v>0</v>
      </c>
      <c r="AO1650" s="63" t="n">
        <f aca="false">IF(AND(OR(CG1650="L1",CG1650="L23",CG1650="LIFT"),AJ1650&gt;0),SUMIFS($AJ$7:$AJ$1843,$CG$7:$CG$1843,CG1650,$AN$7:$AN$1843,"&gt;"&amp;AN1650)+SUMIFS($AJ$7:$AJ$1843,$CG$7:$CG$1843,CG1650,$AN$7:$AN$1843,AN1650,$BX$7:$BX$1843,"&lt;="&amp;BX1650),"")</f>
        <v>31226.6525294385</v>
      </c>
      <c r="AP1650" s="70" t="n">
        <f aca="false">IF(AO1650="",0,MAX(0,MIN(1,(IF(CG1650="L1",Parameter!$H$5,IF(CG1650="L23",Parameter!$H$6+Parameter!$H$7,Parameter!$H$5+Parameter!$H$6+Parameter!$H$7))-(AO1650-AJ1650))/AJ1650)))</f>
        <v>1</v>
      </c>
      <c r="AQ1650" s="62" t="n">
        <f aca="false">IF(LEFT(Cockpit!$I$5,1)="A",H1650,IF(Parameter!$E$30="MAX-Bestand",IF(CI1650=1,CJ1650,IF(LEFT(Cockpit!$I$5,1)="B",AW1650,MAX(AW1650,H1650))),ROUNDUP(AU1650,0)))</f>
        <v>5</v>
      </c>
      <c r="AR1650" s="62" t="n">
        <f aca="false">IF(CA1650=1,0,ROUNDUP(AQ1650/BZ1650,0))</f>
        <v>0</v>
      </c>
      <c r="AS1650" s="64" t="n">
        <f aca="false">IF(CR1650&gt;0,CR1650*MAX(1,AQ1650/X1650),IF(CA1650=1,IF(AQ1650&lt;=0,0,CE1650*MAX(1,IF(H1650&gt;0,AQ1650/H1650,1))),IF(R1650&gt;0,AR1650/R1650,0))/MAX(0.1,N(Parameter!$M$21)))</f>
        <v>0.400188323917138</v>
      </c>
      <c r="AT1650" s="62" t="n">
        <f aca="false">AS1650*CC1650</f>
        <v>95.2448210922787</v>
      </c>
      <c r="AU1650" s="63" t="n">
        <f aca="false">IF(LEFT(Cockpit!$I$5,1)="A",H1650,IF(CI1650=1,(CL1650+CJ1650)/2,IF(LEFT(Cockpit!$I$5,1)="B",(CL1650+AW1650)/2,MAX((CL1650+AW1650)/2,H1650))))</f>
        <v>4.5</v>
      </c>
      <c r="AV1650" s="62" t="n">
        <f aca="false">AU1650*G1650</f>
        <v>2085.75</v>
      </c>
      <c r="AW1650" s="62" t="n">
        <f aca="false">ROUNDUP(CL1650+MAX(CM1650,2*(J1650/IF(CH1650&gt;0,CH1650,MAX(0.1,N(Cockpit!$I$6)))-CL1650)),0)</f>
        <v>8</v>
      </c>
      <c r="AX1650" s="63" t="n">
        <f aca="false">IF(AT1650&gt;0,J1650/AT1650,-1)</f>
        <v>0</v>
      </c>
      <c r="AY1650" s="63" t="n">
        <f aca="false">IF(AND(OR(CG1650="L1",CG1650="L23",CG1650="LIFT"),AT1650&gt;0),SUMIFS($AT$7:$AT$1843,$CG$7:$CG$1843,CG1650,$AX$7:$AX$1843,"&gt;"&amp;AX1650)+SUMIFS($AT$7:$AT$1843,$CG$7:$CG$1843,CG1650,$AX$7:$AX$1843,AX1650,$BX$7:$BX$1843,"&lt;="&amp;BX1650),"")</f>
        <v>37698.9007600215</v>
      </c>
      <c r="AZ1650" s="70" t="n">
        <f aca="false">IF(AY1650="",0,MAX(0,MIN(1,(IF(CG1650="L1",Parameter!$H$5,IF(CG1650="L23",Parameter!$H$6+Parameter!$H$7,Parameter!$H$5+Parameter!$H$6+Parameter!$H$7))-(AY1650-AT1650))/AT1650)))</f>
        <v>0</v>
      </c>
      <c r="BA1650" s="62" t="n">
        <f aca="false">IF(LEFT(Cockpit!$O$5,1)="A",H1650,IF(Parameter!$E$30="MAX-Bestand",IF(CI1650=1,CJ1650,IF(LEFT(Cockpit!$O$5,1)="B",BG1650,MAX(BG1650,H1650))),ROUNDUP(BE1650,0)))</f>
        <v>5</v>
      </c>
      <c r="BB1650" s="62" t="n">
        <f aca="false">IF(CA1650=1,0,ROUNDUP(BA1650/BZ1650,0))</f>
        <v>0</v>
      </c>
      <c r="BC1650" s="64" t="n">
        <f aca="false">IF(CR1650&gt;0,CR1650*MAX(1,BA1650/X1650),IF(CA1650=1,IF(BA1650&lt;=0,0,CE1650*MAX(1,IF(H1650&gt;0,BA1650/H1650,1))),IF(R1650&gt;0,BB1650/R1650,0))/MAX(0.1,N(Parameter!$M$21)))</f>
        <v>0.400188323917138</v>
      </c>
      <c r="BD1650" s="62" t="n">
        <f aca="false">BC1650*CC1650</f>
        <v>95.2448210922787</v>
      </c>
      <c r="BE1650" s="63" t="n">
        <f aca="false">IF(LEFT(Cockpit!$O$5,1)="A",H1650,IF(CI1650=1,(CL1650+CJ1650)/2,IF(LEFT(Cockpit!$O$5,1)="B",(CL1650+BG1650)/2,MAX((CL1650+BG1650)/2,H1650))))</f>
        <v>4.5</v>
      </c>
      <c r="BF1650" s="62" t="n">
        <f aca="false">BE1650*G1650</f>
        <v>2085.75</v>
      </c>
      <c r="BG1650" s="62" t="n">
        <f aca="false">ROUNDUP(CL1650+MAX(CM1650,2*(J1650/IF(CH1650&gt;0,CH1650,MAX(0.1,N(Cockpit!$O$6)))-CL1650)),0)</f>
        <v>8</v>
      </c>
      <c r="BH1650" s="63" t="n">
        <f aca="false">IF(BD1650&gt;0,J1650/BD1650,-1)</f>
        <v>0</v>
      </c>
      <c r="BI1650" s="63" t="n">
        <f aca="false">IF(AND(OR(CG1650="L1",CG1650="L23",CG1650="LIFT"),BD1650&gt;0),SUMIFS($BD$7:$BD$1843,$CG$7:$CG$1843,CG1650,$BH$7:$BH$1843,"&gt;"&amp;BH1650)+SUMIFS($BD$7:$BD$1843,$CG$7:$CG$1843,CG1650,$BH$7:$BH$1843,BH1650,$BX$7:$BX$1843,"&lt;="&amp;BX1650),"")</f>
        <v>31608.3420355539</v>
      </c>
      <c r="BJ1650" s="70" t="n">
        <f aca="false">IF(BI1650="",0,MAX(0,MIN(1,(IF(CG1650="L1",Parameter!$H$5,IF(CG1650="L23",Parameter!$H$6+Parameter!$H$7,Parameter!$H$5+Parameter!$H$6+Parameter!$H$7))-(BI1650-BD1650))/BD1650)))</f>
        <v>1</v>
      </c>
      <c r="BK1650" s="60" t="str">
        <f aca="false">IF(AJ1650&lt;=0,"",IF(CG1650="Aussen","Aussenlager",IF(CG1650="-","Nicht im Lift",IF(AP1650&gt;=1,"Lift",IF(AP1650&lt;=0,"Aussenlager","teilweise")))))</f>
        <v>Lift</v>
      </c>
      <c r="BL1650" s="60" t="str">
        <f aca="false">IF(AT1650&lt;=0,"",IF(CG1650="Aussen","Aussenlager",IF(CG1650="-","Nicht im Lift",IF(AZ1650&gt;=1,"Lift",IF(AZ1650&lt;=0,"Aussenlager","teilweise")))))</f>
        <v>Aussenlager</v>
      </c>
      <c r="BM1650" s="60" t="str">
        <f aca="false">IF(BD1650&lt;=0,"",IF(CG1650="Aussen","Aussenlager",IF(CG1650="-","Nicht im Lift",IF(BJ1650&gt;=1,"Lift",IF(BJ1650&lt;=0,"Aussenlager","teilweise")))))</f>
        <v>Lift</v>
      </c>
      <c r="BN1650" s="60" t="str">
        <f aca="false">IF(A1650="","",IF(BW1650=1,"Neu; ","")&amp;IF(AND(BW1650=0,BR1650&lt;0),"negativer Bestand (Export "&amp;BR1650&amp;"); ","")&amp;IF(J1650&lt;=0,"Kein Verbrauch; ","")&amp;IF(CR1650&gt;0,"Lift "&amp;W1650&amp;" lt. Liftbericht (Fach "&amp;X1650&amp;" Stk); ",IF(CB1650=1,"Gebinde geschätzt ("&amp;T1650&amp;"); ",IF(CA1650=1,"Lose – Tablare geschätzt; ","")))&amp;IF(H1650&gt;AW1650,"Überbestand "&amp;ROUND(H1650-AW1650,0)&amp;" Stk / CHF "&amp;ROUND((H1650-AW1650)*G1650,0)&amp;"; ","")&amp;IF(AND(CI1650=1,CJ1650&lt;CK1650),"MAX &lt; MB+LG; ","")&amp;IF(AND(CQ1650&gt;0,CP1650*10&gt;CQ1650),"zu hoch für Tablar; ","")&amp;IF(AND(BW1650=0,OR(CI1650=1,AB1650&lt;&gt;"",U1650&lt;&gt;"",V1650&lt;&gt;"",AC1650&lt;&gt;"")),"manuell übersteuert; ","")&amp;IF(AND(CA1650=0,R1650=0),"Gebinde unbekannt / Stellmass fehlt; ","")&amp;IF(AND(CA1650=0,N(V1650)&lt;=0,N(Q1650)&lt;=0),"Menge pro Gebinde fehlt (Ist = 1 Gebinde); ","")&amp;BV1650)</f>
        <v>Kein Verbrauch; Lift 1 lt. Liftbericht (Fach 1 Stk); nur im Artikelstamm (Bestand 23.06.2026)</v>
      </c>
      <c r="BO1650" s="60"/>
      <c r="BP1650" s="60"/>
      <c r="BQ1650" s="67"/>
      <c r="BR1650" s="62" t="n">
        <v>1</v>
      </c>
      <c r="BS1650" s="62" t="n">
        <v>0</v>
      </c>
      <c r="BT1650" s="61" t="n">
        <v>0</v>
      </c>
      <c r="BU1650" s="62" t="n">
        <v>0</v>
      </c>
      <c r="BV1650" s="60" t="s">
        <v>2617</v>
      </c>
      <c r="BW1650" s="65" t="n">
        <v>0</v>
      </c>
      <c r="BX1650" s="65" t="n">
        <v>1650</v>
      </c>
      <c r="BY1650" s="60" t="str">
        <f aca="false">IF(U1650&lt;&gt;"",UPPER(TRIM(U1650)),IF(CB1650=1,UPPER(VLOOKUP(T1650,Parameter!$I$27:$K$29,2,0)),IF(P1650="","LOSE",P1650)))</f>
        <v>LOSE</v>
      </c>
      <c r="BZ1650" s="62" t="n">
        <f aca="false">IF(BY1650="LOSE",1,IF(N(V1650)&gt;0,V1650,IF(CB1650=1,MAX(1,N(VLOOKUP(T1650,Parameter!$I$27:$K$29,3,0)),H1650,N(N1650)),IF(N(Q1650)&gt;0,Q1650,MAX(1,H1650)))))</f>
        <v>1</v>
      </c>
      <c r="CA1650" s="65" t="n">
        <f aca="false">IF(BY1650="LOSE",1,0)</f>
        <v>1</v>
      </c>
      <c r="CB1650" s="65" t="n">
        <f aca="false">IF(AND(U1650="",OR(P1650="",P1650="LOSE"),T1650&lt;&gt;"",N(S1650)&lt;=0,ISNUMBER(MATCH(T1650,Parameter!$I$27:$I$29,0))),1,0)</f>
        <v>0</v>
      </c>
      <c r="CC1650" s="65" t="n">
        <f aca="false">IF(CR1650&gt;0,INDEX(Parameter!$H$5:$H$7,W1650)/INDEX(Parameter!$E$5:$E$7,W1650),IF(AND(CA1650=0,N(IFERROR(VLOOKUP(BY1650,'Gebinde-Kategorie'!$A$5:$N$45,14,0),0))&gt;0),VLOOKUP(BY1650,'Gebinde-Kategorie'!$A$5:$N$45,14,0)*10+Parameter!$M$23,Parameter!$M$24))</f>
        <v>238</v>
      </c>
      <c r="CD1650" s="60" t="str">
        <f aca="false">IF(AND(Parameter!$B$19="Ja",E1650&lt;&gt;"",ISNUMBER(MATCH(E1650,Parameter!$I$35:$I$52,0))),VLOOKUP(E1650,Parameter!$I$35:$J$52,2,0),IFERROR(VLOOKUP(D1650,Parameter!$A$35:$C$64,2,0),"Nein"))</f>
        <v>2+3</v>
      </c>
      <c r="CE1650" s="64" t="n">
        <f aca="false">IF(CA1650=0,0,IF(N(S1650)&gt;0,S1650,IFERROR(VLOOKUP(D1650,Parameter!$A$35:$C$64,3,0)+0,0)))</f>
        <v>0.15</v>
      </c>
      <c r="CF1650" s="60" t="n">
        <f aca="false">IF(AB1650&lt;&gt;"",AB1650,AA1650)</f>
        <v>1</v>
      </c>
      <c r="CG1650" s="60" t="str">
        <f aca="false">IF(OR(CF1650=1,CF1650=2,CF1650=3),IF(Parameter!$E$27="Ja","LIFT",IF(CF1650=1,"L1","L23")),IF(CF1650="Aussen","Aussen","-"))</f>
        <v>LIFT</v>
      </c>
      <c r="CH1650" s="71" t="n">
        <f aca="false">IF(N(AC1650)&gt;0,AC1650,0)</f>
        <v>0</v>
      </c>
      <c r="CI1650" s="65" t="n">
        <f aca="false">IF(ISNUMBER(AF1650),1,0)</f>
        <v>0</v>
      </c>
      <c r="CJ1650" s="62" t="n">
        <f aca="false">N(AF1650)</f>
        <v>0</v>
      </c>
      <c r="CK1650" s="62" t="n">
        <f aca="false">N(M1650)+N(N1650)</f>
        <v>8</v>
      </c>
      <c r="CL1650" s="62" t="n">
        <f aca="false">N(M1650)</f>
        <v>1</v>
      </c>
      <c r="CM1650" s="62" t="n">
        <f aca="false">N(N1650)</f>
        <v>7</v>
      </c>
      <c r="CN1650" s="62" t="n">
        <f aca="false">ROUNDUP(H1650/BZ1650,0)</f>
        <v>1</v>
      </c>
      <c r="CO1650" s="62" t="n">
        <f aca="false">ROUNDUP(CJ1650/BZ1650,0)</f>
        <v>0</v>
      </c>
      <c r="CP1650" s="65" t="n">
        <f aca="false">IF(CA1650=1,0,IFERROR(VLOOKUP(BY1650,'Gebinde-Kategorie'!$A$5:$N$45,5,0)+0,0))</f>
        <v>0</v>
      </c>
      <c r="CQ1650" s="65" t="n">
        <f aca="false">IFERROR(IF(OR(CF1650=1,CF1650=2,CF1650=3),N(INDEX(Parameter!$I$5:$I$7,CF1650)),0),0)</f>
        <v>0</v>
      </c>
      <c r="CR1650" s="64" t="n">
        <f aca="false">IF(AND(Parameter!$B$21="Ja",ISNUMBER(W1650),N(X1650)&gt;0),IFERROR(N(INDEX(Parameter!$L$5:$L$7,W1650))*INDEX(Parameter!$E$5:$E$7,W1650)*X1650/SUMIFS($X$7:$X$1843,$W$7:$W$1843,W1650),0),0)</f>
        <v>0.0800376647834275</v>
      </c>
      <c r="CS1650" s="62" t="n">
        <f aca="false">IF(AND(OR(CG1650="L1",CG1650="L23",CG1650="LIFT"),H1650&gt;0),CC1650*IF(CR1650&gt;0,CR1650*MAX(1,H1650/X1650),IF(CA1650=1,CE1650,IF(R1650&gt;0,CN1650/R1650,0))/MAX(0.1,N(Parameter!$M$21))),"")</f>
        <v>19.0489642184557</v>
      </c>
      <c r="CT1650" s="64" t="n">
        <f aca="false">IF(CS1650="","",J1650/H1650)</f>
        <v>0</v>
      </c>
      <c r="CU1650" s="62" t="n">
        <f aca="false">IF(CS1650="","",H1650*G1650)</f>
        <v>463.5</v>
      </c>
      <c r="CV1650" s="63" t="n">
        <f aca="false">IF(CS1650="","",(CL1650+ROUNDUP(CL1650+MAX(CM1650,2*(J1650/MAX(0.1,N(Einkauf!$C$6))-CL1650)),0))/2)</f>
        <v>4.5</v>
      </c>
      <c r="CW1650" s="62" t="n">
        <f aca="false">IF(CS1650="","",MAX(0,H1650-CV1650)*G1650)</f>
        <v>0</v>
      </c>
      <c r="CX1650" s="62" t="n">
        <f aca="false">IF(CS1650="","",CS1650*MAX(0,1-CV1650/H1650))</f>
        <v>0</v>
      </c>
      <c r="CY1650" s="64" t="n">
        <f aca="false">IF(CS1650="","",PERCENTRANK($CS$7:$CS$1843,CS1650)+PERCENTRANK($CU$7:$CU$1843,CU1650)+1-PERCENTRANK($CT$7:$CT$1843,CT1650))</f>
        <v>2.277</v>
      </c>
      <c r="CZ1650" s="72" t="n">
        <f aca="false">IF(CS1650="","",CHOOSE(MATCH(Einkauf!$C$5,Parameter!$G$23:$G$27,0),CY1650,CS1650,CU1650,-CT1650,CW1650)+ROW()/1000000000)</f>
        <v>2.27700165</v>
      </c>
    </row>
    <row r="1651" customFormat="false" ht="15" hidden="false" customHeight="false" outlineLevel="0" collapsed="false">
      <c r="A1651" s="60" t="s">
        <v>2913</v>
      </c>
      <c r="B1651" s="60" t="s">
        <v>381</v>
      </c>
      <c r="C1651" s="60" t="s">
        <v>206</v>
      </c>
      <c r="D1651" s="60" t="s">
        <v>215</v>
      </c>
      <c r="E1651" s="60"/>
      <c r="F1651" s="60"/>
      <c r="G1651" s="61" t="n">
        <v>368</v>
      </c>
      <c r="H1651" s="62" t="n">
        <f aca="false">MAX(0,IF(AND(Parameter!$B$21="Ja",ISNUMBER(Y1651)),Y1651,IF(Parameter!$B$20="Jahresanfang 2025 + Export",BS1651+BR1651,BR1651)))</f>
        <v>8</v>
      </c>
      <c r="I1651" s="62" t="n">
        <f aca="false">H1651*G1651</f>
        <v>2944</v>
      </c>
      <c r="J1651" s="62" t="n">
        <f aca="false">BU1651*Parameter!$B$18</f>
        <v>0</v>
      </c>
      <c r="K1651" s="63"/>
      <c r="L1651" s="64"/>
      <c r="M1651" s="62" t="n">
        <v>0</v>
      </c>
      <c r="N1651" s="62" t="n">
        <v>5</v>
      </c>
      <c r="O1651" s="65" t="n">
        <v>42</v>
      </c>
      <c r="P1651" s="60" t="s">
        <v>210</v>
      </c>
      <c r="Q1651" s="62"/>
      <c r="R1651" s="65" t="n">
        <f aca="false">IF(CA1651=1,0,IFERROR(VLOOKUP(BY1651,'Gebinde-Kategorie'!$A$5:$N$45,13,0)+0,0))</f>
        <v>26</v>
      </c>
      <c r="S1651" s="66"/>
      <c r="T1651" s="67" t="s">
        <v>317</v>
      </c>
      <c r="U1651" s="67"/>
      <c r="V1651" s="67"/>
      <c r="W1651" s="60"/>
      <c r="X1651" s="62"/>
      <c r="Y1651" s="62"/>
      <c r="Z1651" s="60" t="n">
        <v>3</v>
      </c>
      <c r="AA1651" s="60" t="n">
        <f aca="false">IF(A1651="","",IF(AND(Parameter!$B$21="Ja",ISNUMBER(W1651)),W1651,IF(AND(Parameter!$E$27="Ja",ISNUMBER(Z1651),CD1651&lt;&gt;"Nein"),Z1651,IF(CD1651="2+3",IF(ISNUMBER(SEARCH("grosser Artikel",BV1651)),2,IFERROR(VLOOKUP(BY1651,Parameter!$F$35:$G$64,2,0),2)),IF(OR(CD1651="Nein",CD1651=""),"-",CD1651)))))</f>
        <v>3</v>
      </c>
      <c r="AB1651" s="67"/>
      <c r="AC1651" s="68"/>
      <c r="AD1651" s="62" t="n">
        <f aca="false">AW1651</f>
        <v>5</v>
      </c>
      <c r="AE1651" s="62" t="n">
        <f aca="false">MAX(AW1651,H1651)</f>
        <v>8</v>
      </c>
      <c r="AF1651" s="69"/>
      <c r="AG1651" s="62" t="n">
        <f aca="false">IF(LEFT(Cockpit!$C$5,1)="A",H1651,IF(Parameter!$E$30="MAX-Bestand",IF(CI1651=1,CJ1651,IF(LEFT(Cockpit!$C$5,1)="B",AM1651,MAX(AM1651,H1651))),ROUNDUP(AK1651,0)))</f>
        <v>8</v>
      </c>
      <c r="AH1651" s="62" t="n">
        <f aca="false">IF(CA1651=1,0,ROUNDUP(AG1651/BZ1651,0))</f>
        <v>1</v>
      </c>
      <c r="AI1651" s="64" t="n">
        <f aca="false">IF(CR1651&gt;0,CR1651*MAX(1,AG1651/X1651),IF(CA1651=1,IF(AG1651&lt;=0,0,CE1651*MAX(1,IF(H1651&gt;0,AG1651/H1651,1))),IF(R1651&gt;0,AH1651/R1651,0))/MAX(0.1,N(Parameter!$M$21)))</f>
        <v>0.0384615384615385</v>
      </c>
      <c r="AJ1651" s="62" t="n">
        <f aca="false">AI1651*CC1651</f>
        <v>5.96153846153846</v>
      </c>
      <c r="AK1651" s="63" t="n">
        <f aca="false">IF(LEFT(Cockpit!$C$5,1)="A",H1651,IF(CI1651=1,(CL1651+CJ1651)/2,IF(LEFT(Cockpit!$C$5,1)="B",(CL1651+AM1651)/2,MAX((CL1651+AM1651)/2,H1651))))</f>
        <v>8</v>
      </c>
      <c r="AL1651" s="62" t="n">
        <f aca="false">AK1651*G1651</f>
        <v>2944</v>
      </c>
      <c r="AM1651" s="62" t="n">
        <f aca="false">ROUNDUP(CL1651+MAX(CM1651,2*(J1651/IF(CH1651&gt;0,CH1651,MAX(0.1,N(Cockpit!$C$6)))-CL1651)),0)</f>
        <v>5</v>
      </c>
      <c r="AN1651" s="63" t="n">
        <f aca="false">IF(AJ1651&gt;0,J1651/AJ1651,-1)</f>
        <v>0</v>
      </c>
      <c r="AO1651" s="63" t="n">
        <f aca="false">IF(AND(OR(CG1651="L1",CG1651="L23",CG1651="LIFT"),AJ1651&gt;0),SUMIFS($AJ$7:$AJ$1843,$CG$7:$CG$1843,CG1651,$AN$7:$AN$1843,"&gt;"&amp;AN1651)+SUMIFS($AJ$7:$AJ$1843,$CG$7:$CG$1843,CG1651,$AN$7:$AN$1843,AN1651,$BX$7:$BX$1843,"&lt;="&amp;BX1651),"")</f>
        <v>31232.6140679001</v>
      </c>
      <c r="AP1651" s="70" t="n">
        <f aca="false">IF(AO1651="",0,MAX(0,MIN(1,(IF(CG1651="L1",Parameter!$H$5,IF(CG1651="L23",Parameter!$H$6+Parameter!$H$7,Parameter!$H$5+Parameter!$H$6+Parameter!$H$7))-(AO1651-AJ1651))/AJ1651)))</f>
        <v>1</v>
      </c>
      <c r="AQ1651" s="62" t="n">
        <f aca="false">IF(LEFT(Cockpit!$I$5,1)="A",H1651,IF(Parameter!$E$30="MAX-Bestand",IF(CI1651=1,CJ1651,IF(LEFT(Cockpit!$I$5,1)="B",AW1651,MAX(AW1651,H1651))),ROUNDUP(AU1651,0)))</f>
        <v>8</v>
      </c>
      <c r="AR1651" s="62" t="n">
        <f aca="false">IF(CA1651=1,0,ROUNDUP(AQ1651/BZ1651,0))</f>
        <v>1</v>
      </c>
      <c r="AS1651" s="64" t="n">
        <f aca="false">IF(CR1651&gt;0,CR1651*MAX(1,AQ1651/X1651),IF(CA1651=1,IF(AQ1651&lt;=0,0,CE1651*MAX(1,IF(H1651&gt;0,AQ1651/H1651,1))),IF(R1651&gt;0,AR1651/R1651,0))/MAX(0.1,N(Parameter!$M$21)))</f>
        <v>0.0384615384615385</v>
      </c>
      <c r="AT1651" s="62" t="n">
        <f aca="false">AS1651*CC1651</f>
        <v>5.96153846153846</v>
      </c>
      <c r="AU1651" s="63" t="n">
        <f aca="false">IF(LEFT(Cockpit!$I$5,1)="A",H1651,IF(CI1651=1,(CL1651+CJ1651)/2,IF(LEFT(Cockpit!$I$5,1)="B",(CL1651+AW1651)/2,MAX((CL1651+AW1651)/2,H1651))))</f>
        <v>8</v>
      </c>
      <c r="AV1651" s="62" t="n">
        <f aca="false">AU1651*G1651</f>
        <v>2944</v>
      </c>
      <c r="AW1651" s="62" t="n">
        <f aca="false">ROUNDUP(CL1651+MAX(CM1651,2*(J1651/IF(CH1651&gt;0,CH1651,MAX(0.1,N(Cockpit!$I$6)))-CL1651)),0)</f>
        <v>5</v>
      </c>
      <c r="AX1651" s="63" t="n">
        <f aca="false">IF(AT1651&gt;0,J1651/AT1651,-1)</f>
        <v>0</v>
      </c>
      <c r="AY1651" s="63" t="n">
        <f aca="false">IF(AND(OR(CG1651="L1",CG1651="L23",CG1651="LIFT"),AT1651&gt;0),SUMIFS($AT$7:$AT$1843,$CG$7:$CG$1843,CG1651,$AX$7:$AX$1843,"&gt;"&amp;AX1651)+SUMIFS($AT$7:$AT$1843,$CG$7:$CG$1843,CG1651,$AX$7:$AX$1843,AX1651,$BX$7:$BX$1843,"&lt;="&amp;BX1651),"")</f>
        <v>37704.8622984831</v>
      </c>
      <c r="AZ1651" s="70" t="n">
        <f aca="false">IF(AY1651="",0,MAX(0,MIN(1,(IF(CG1651="L1",Parameter!$H$5,IF(CG1651="L23",Parameter!$H$6+Parameter!$H$7,Parameter!$H$5+Parameter!$H$6+Parameter!$H$7))-(AY1651-AT1651))/AT1651)))</f>
        <v>0</v>
      </c>
      <c r="BA1651" s="62" t="n">
        <f aca="false">IF(LEFT(Cockpit!$O$5,1)="A",H1651,IF(Parameter!$E$30="MAX-Bestand",IF(CI1651=1,CJ1651,IF(LEFT(Cockpit!$O$5,1)="B",BG1651,MAX(BG1651,H1651))),ROUNDUP(BE1651,0)))</f>
        <v>3</v>
      </c>
      <c r="BB1651" s="62" t="n">
        <f aca="false">IF(CA1651=1,0,ROUNDUP(BA1651/BZ1651,0))</f>
        <v>1</v>
      </c>
      <c r="BC1651" s="64" t="n">
        <f aca="false">IF(CR1651&gt;0,CR1651*MAX(1,BA1651/X1651),IF(CA1651=1,IF(BA1651&lt;=0,0,CE1651*MAX(1,IF(H1651&gt;0,BA1651/H1651,1))),IF(R1651&gt;0,BB1651/R1651,0))/MAX(0.1,N(Parameter!$M$21)))</f>
        <v>0.0384615384615385</v>
      </c>
      <c r="BD1651" s="62" t="n">
        <f aca="false">BC1651*CC1651</f>
        <v>5.96153846153846</v>
      </c>
      <c r="BE1651" s="63" t="n">
        <f aca="false">IF(LEFT(Cockpit!$O$5,1)="A",H1651,IF(CI1651=1,(CL1651+CJ1651)/2,IF(LEFT(Cockpit!$O$5,1)="B",(CL1651+BG1651)/2,MAX((CL1651+BG1651)/2,H1651))))</f>
        <v>2.5</v>
      </c>
      <c r="BF1651" s="62" t="n">
        <f aca="false">BE1651*G1651</f>
        <v>920</v>
      </c>
      <c r="BG1651" s="62" t="n">
        <f aca="false">ROUNDUP(CL1651+MAX(CM1651,2*(J1651/IF(CH1651&gt;0,CH1651,MAX(0.1,N(Cockpit!$O$6)))-CL1651)),0)</f>
        <v>5</v>
      </c>
      <c r="BH1651" s="63" t="n">
        <f aca="false">IF(BD1651&gt;0,J1651/BD1651,-1)</f>
        <v>0</v>
      </c>
      <c r="BI1651" s="63" t="n">
        <f aca="false">IF(AND(OR(CG1651="L1",CG1651="L23",CG1651="LIFT"),BD1651&gt;0),SUMIFS($BD$7:$BD$1843,$CG$7:$CG$1843,CG1651,$BH$7:$BH$1843,"&gt;"&amp;BH1651)+SUMIFS($BD$7:$BD$1843,$CG$7:$CG$1843,CG1651,$BH$7:$BH$1843,BH1651,$BX$7:$BX$1843,"&lt;="&amp;BX1651),"")</f>
        <v>31614.3035740154</v>
      </c>
      <c r="BJ1651" s="70" t="n">
        <f aca="false">IF(BI1651="",0,MAX(0,MIN(1,(IF(CG1651="L1",Parameter!$H$5,IF(CG1651="L23",Parameter!$H$6+Parameter!$H$7,Parameter!$H$5+Parameter!$H$6+Parameter!$H$7))-(BI1651-BD1651))/BD1651)))</f>
        <v>1</v>
      </c>
      <c r="BK1651" s="60" t="str">
        <f aca="false">IF(AJ1651&lt;=0,"",IF(CG1651="Aussen","Aussenlager",IF(CG1651="-","Nicht im Lift",IF(AP1651&gt;=1,"Lift",IF(AP1651&lt;=0,"Aussenlager","teilweise")))))</f>
        <v>Lift</v>
      </c>
      <c r="BL1651" s="60" t="str">
        <f aca="false">IF(AT1651&lt;=0,"",IF(CG1651="Aussen","Aussenlager",IF(CG1651="-","Nicht im Lift",IF(AZ1651&gt;=1,"Lift",IF(AZ1651&lt;=0,"Aussenlager","teilweise")))))</f>
        <v>Aussenlager</v>
      </c>
      <c r="BM1651" s="60" t="str">
        <f aca="false">IF(BD1651&lt;=0,"",IF(CG1651="Aussen","Aussenlager",IF(CG1651="-","Nicht im Lift",IF(BJ1651&gt;=1,"Lift",IF(BJ1651&lt;=0,"Aussenlager","teilweise")))))</f>
        <v>Lift</v>
      </c>
      <c r="BN1651" s="60" t="str">
        <f aca="false">IF(A1651="","",IF(BW1651=1,"Neu; ","")&amp;IF(AND(BW1651=0,BR1651&lt;0),"negativer Bestand (Export "&amp;BR1651&amp;"); ","")&amp;IF(J1651&lt;=0,"Kein Verbrauch; ","")&amp;IF(CR1651&gt;0,"Lift "&amp;W1651&amp;" lt. Liftbericht (Fach "&amp;X1651&amp;" Stk); ",IF(CB1651=1,"Gebinde geschätzt ("&amp;T1651&amp;"); ",IF(CA1651=1,"Lose – Tablare geschätzt; ","")))&amp;IF(H1651&gt;AW1651,"Überbestand "&amp;ROUND(H1651-AW1651,0)&amp;" Stk / CHF "&amp;ROUND((H1651-AW1651)*G1651,0)&amp;"; ","")&amp;IF(AND(CI1651=1,CJ1651&lt;CK1651),"MAX &lt; MB+LG; ","")&amp;IF(AND(CQ1651&gt;0,CP1651*10&gt;CQ1651),"zu hoch für Tablar; ","")&amp;IF(AND(BW1651=0,OR(CI1651=1,AB1651&lt;&gt;"",U1651&lt;&gt;"",V1651&lt;&gt;"",AC1651&lt;&gt;"")),"manuell übersteuert; ","")&amp;IF(AND(CA1651=0,R1651=0),"Gebinde unbekannt / Stellmass fehlt; ","")&amp;IF(AND(CA1651=0,N(V1651)&lt;=0,N(Q1651)&lt;=0),"Menge pro Gebinde fehlt (Ist = 1 Gebinde); ","")&amp;BV1651)</f>
        <v>Kein Verbrauch; Gebinde geschätzt (Klein); Überbestand 3 Stk / CHF 1104; Menge pro Gebinde fehlt (Ist = 1 Gebinde); nur im Artikelstamm (Bestand 23.06.2026)</v>
      </c>
      <c r="BO1651" s="60"/>
      <c r="BP1651" s="60"/>
      <c r="BQ1651" s="67"/>
      <c r="BR1651" s="62" t="n">
        <v>8</v>
      </c>
      <c r="BS1651" s="62" t="n">
        <v>0</v>
      </c>
      <c r="BT1651" s="61" t="n">
        <v>0</v>
      </c>
      <c r="BU1651" s="62" t="n">
        <v>0</v>
      </c>
      <c r="BV1651" s="60" t="s">
        <v>2617</v>
      </c>
      <c r="BW1651" s="65" t="n">
        <v>0</v>
      </c>
      <c r="BX1651" s="65" t="n">
        <v>1651</v>
      </c>
      <c r="BY1651" s="60" t="str">
        <f aca="false">IF(U1651&lt;&gt;"",UPPER(TRIM(U1651)),IF(CB1651=1,UPPER(VLOOKUP(T1651,Parameter!$I$27:$K$29,2,0)),IF(P1651="","LOSE",P1651)))</f>
        <v>S51</v>
      </c>
      <c r="BZ1651" s="62" t="n">
        <f aca="false">IF(BY1651="LOSE",1,IF(N(V1651)&gt;0,V1651,IF(CB1651=1,MAX(1,N(VLOOKUP(T1651,Parameter!$I$27:$K$29,3,0)),H1651,N(N1651)),IF(N(Q1651)&gt;0,Q1651,MAX(1,H1651)))))</f>
        <v>20</v>
      </c>
      <c r="CA1651" s="65" t="n">
        <f aca="false">IF(BY1651="LOSE",1,0)</f>
        <v>0</v>
      </c>
      <c r="CB1651" s="65" t="n">
        <f aca="false">IF(AND(U1651="",OR(P1651="",P1651="LOSE"),T1651&lt;&gt;"",N(S1651)&lt;=0,ISNUMBER(MATCH(T1651,Parameter!$I$27:$I$29,0))),1,0)</f>
        <v>1</v>
      </c>
      <c r="CC1651" s="65" t="n">
        <f aca="false">IF(CR1651&gt;0,INDEX(Parameter!$H$5:$H$7,W1651)/INDEX(Parameter!$E$5:$E$7,W1651),IF(AND(CA1651=0,N(IFERROR(VLOOKUP(BY1651,'Gebinde-Kategorie'!$A$5:$N$45,14,0),0))&gt;0),VLOOKUP(BY1651,'Gebinde-Kategorie'!$A$5:$N$45,14,0)*10+Parameter!$M$23,Parameter!$M$24))</f>
        <v>155</v>
      </c>
      <c r="CD1651" s="60" t="str">
        <f aca="false">IF(AND(Parameter!$B$19="Ja",E1651&lt;&gt;"",ISNUMBER(MATCH(E1651,Parameter!$I$35:$I$52,0))),VLOOKUP(E1651,Parameter!$I$35:$J$52,2,0),IFERROR(VLOOKUP(D1651,Parameter!$A$35:$C$64,2,0),"Nein"))</f>
        <v>2+3</v>
      </c>
      <c r="CE1651" s="64" t="n">
        <f aca="false">IF(CA1651=0,0,IF(N(S1651)&gt;0,S1651,IFERROR(VLOOKUP(D1651,Parameter!$A$35:$C$64,3,0)+0,0)))</f>
        <v>0</v>
      </c>
      <c r="CF1651" s="60" t="n">
        <f aca="false">IF(AB1651&lt;&gt;"",AB1651,AA1651)</f>
        <v>3</v>
      </c>
      <c r="CG1651" s="60" t="str">
        <f aca="false">IF(OR(CF1651=1,CF1651=2,CF1651=3),IF(Parameter!$E$27="Ja","LIFT",IF(CF1651=1,"L1","L23")),IF(CF1651="Aussen","Aussen","-"))</f>
        <v>LIFT</v>
      </c>
      <c r="CH1651" s="71" t="n">
        <f aca="false">IF(N(AC1651)&gt;0,AC1651,0)</f>
        <v>0</v>
      </c>
      <c r="CI1651" s="65" t="n">
        <f aca="false">IF(ISNUMBER(AF1651),1,0)</f>
        <v>0</v>
      </c>
      <c r="CJ1651" s="62" t="n">
        <f aca="false">N(AF1651)</f>
        <v>0</v>
      </c>
      <c r="CK1651" s="62" t="n">
        <f aca="false">N(M1651)+N(N1651)</f>
        <v>5</v>
      </c>
      <c r="CL1651" s="62" t="n">
        <f aca="false">N(M1651)</f>
        <v>0</v>
      </c>
      <c r="CM1651" s="62" t="n">
        <f aca="false">N(N1651)</f>
        <v>5</v>
      </c>
      <c r="CN1651" s="62" t="n">
        <f aca="false">ROUNDUP(H1651/BZ1651,0)</f>
        <v>1</v>
      </c>
      <c r="CO1651" s="62" t="n">
        <f aca="false">ROUNDUP(CJ1651/BZ1651,0)</f>
        <v>0</v>
      </c>
      <c r="CP1651" s="65" t="n">
        <f aca="false">IF(CA1651=1,0,IFERROR(VLOOKUP(BY1651,'Gebinde-Kategorie'!$A$5:$N$45,5,0)+0,0))</f>
        <v>11</v>
      </c>
      <c r="CQ1651" s="65" t="n">
        <f aca="false">IFERROR(IF(OR(CF1651=1,CF1651=2,CF1651=3),N(INDEX(Parameter!$I$5:$I$7,CF1651)),0),0)</f>
        <v>0</v>
      </c>
      <c r="CR1651" s="64" t="n">
        <f aca="false">IF(AND(Parameter!$B$21="Ja",ISNUMBER(W1651),N(X1651)&gt;0),IFERROR(N(INDEX(Parameter!$L$5:$L$7,W1651))*INDEX(Parameter!$E$5:$E$7,W1651)*X1651/SUMIFS($X$7:$X$1843,$W$7:$W$1843,W1651),0),0)</f>
        <v>0</v>
      </c>
      <c r="CS1651" s="62" t="n">
        <f aca="false">IF(AND(OR(CG1651="L1",CG1651="L23",CG1651="LIFT"),H1651&gt;0),CC1651*IF(CR1651&gt;0,CR1651*MAX(1,H1651/X1651),IF(CA1651=1,CE1651,IF(R1651&gt;0,CN1651/R1651,0))/MAX(0.1,N(Parameter!$M$21))),"")</f>
        <v>5.96153846153846</v>
      </c>
      <c r="CT1651" s="64" t="n">
        <f aca="false">IF(CS1651="","",J1651/H1651)</f>
        <v>0</v>
      </c>
      <c r="CU1651" s="62" t="n">
        <f aca="false">IF(CS1651="","",H1651*G1651)</f>
        <v>2944</v>
      </c>
      <c r="CV1651" s="63" t="n">
        <f aca="false">IF(CS1651="","",(CL1651+ROUNDUP(CL1651+MAX(CM1651,2*(J1651/MAX(0.1,N(Einkauf!$C$6))-CL1651)),0))/2)</f>
        <v>2.5</v>
      </c>
      <c r="CW1651" s="62" t="n">
        <f aca="false">IF(CS1651="","",MAX(0,H1651-CV1651)*G1651)</f>
        <v>2024</v>
      </c>
      <c r="CX1651" s="62" t="n">
        <f aca="false">IF(CS1651="","",CS1651*MAX(0,1-CV1651/H1651))</f>
        <v>4.09855769230769</v>
      </c>
      <c r="CY1651" s="64" t="n">
        <f aca="false">IF(CS1651="","",PERCENTRANK($CS$7:$CS$1843,CS1651)+PERCENTRANK($CU$7:$CU$1843,CU1651)+1-PERCENTRANK($CT$7:$CT$1843,CT1651))</f>
        <v>2.184</v>
      </c>
      <c r="CZ1651" s="72" t="n">
        <f aca="false">IF(CS1651="","",CHOOSE(MATCH(Einkauf!$C$5,Parameter!$G$23:$G$27,0),CY1651,CS1651,CU1651,-CT1651,CW1651)+ROW()/1000000000)</f>
        <v>2.184001651</v>
      </c>
    </row>
    <row r="1652" customFormat="false" ht="15" hidden="false" customHeight="false" outlineLevel="0" collapsed="false">
      <c r="A1652" s="60" t="s">
        <v>2914</v>
      </c>
      <c r="B1652" s="60" t="s">
        <v>248</v>
      </c>
      <c r="C1652" s="60" t="s">
        <v>209</v>
      </c>
      <c r="D1652" s="60" t="s">
        <v>215</v>
      </c>
      <c r="E1652" s="60"/>
      <c r="F1652" s="60"/>
      <c r="G1652" s="61" t="n">
        <v>1370</v>
      </c>
      <c r="H1652" s="62" t="n">
        <f aca="false">MAX(0,IF(AND(Parameter!$B$21="Ja",ISNUMBER(Y1652)),Y1652,IF(Parameter!$B$20="Jahresanfang 2025 + Export",BS1652+BR1652,BR1652)))</f>
        <v>1</v>
      </c>
      <c r="I1652" s="62" t="n">
        <f aca="false">H1652*G1652</f>
        <v>1370</v>
      </c>
      <c r="J1652" s="62" t="n">
        <f aca="false">BU1652*Parameter!$B$18</f>
        <v>0</v>
      </c>
      <c r="K1652" s="63"/>
      <c r="L1652" s="64"/>
      <c r="M1652" s="62" t="n">
        <v>0</v>
      </c>
      <c r="N1652" s="62" t="n">
        <v>5</v>
      </c>
      <c r="O1652" s="65" t="n">
        <v>35</v>
      </c>
      <c r="P1652" s="60" t="s">
        <v>210</v>
      </c>
      <c r="Q1652" s="62"/>
      <c r="R1652" s="65" t="n">
        <f aca="false">IF(CA1652=1,0,IFERROR(VLOOKUP(BY1652,'Gebinde-Kategorie'!$A$5:$N$45,13,0)+0,0))</f>
        <v>12</v>
      </c>
      <c r="S1652" s="66"/>
      <c r="T1652" s="67" t="s">
        <v>221</v>
      </c>
      <c r="U1652" s="67"/>
      <c r="V1652" s="67"/>
      <c r="W1652" s="60"/>
      <c r="X1652" s="62"/>
      <c r="Y1652" s="62"/>
      <c r="Z1652" s="60" t="n">
        <v>3</v>
      </c>
      <c r="AA1652" s="60" t="n">
        <f aca="false">IF(A1652="","",IF(AND(Parameter!$B$21="Ja",ISNUMBER(W1652)),W1652,IF(AND(Parameter!$E$27="Ja",ISNUMBER(Z1652),CD1652&lt;&gt;"Nein"),Z1652,IF(CD1652="2+3",IF(ISNUMBER(SEARCH("grosser Artikel",BV1652)),2,IFERROR(VLOOKUP(BY1652,Parameter!$F$35:$G$64,2,0),2)),IF(OR(CD1652="Nein",CD1652=""),"-",CD1652)))))</f>
        <v>3</v>
      </c>
      <c r="AB1652" s="67"/>
      <c r="AC1652" s="68"/>
      <c r="AD1652" s="62" t="n">
        <f aca="false">AW1652</f>
        <v>5</v>
      </c>
      <c r="AE1652" s="62" t="n">
        <f aca="false">MAX(AW1652,H1652)</f>
        <v>5</v>
      </c>
      <c r="AF1652" s="69"/>
      <c r="AG1652" s="62" t="n">
        <f aca="false">IF(LEFT(Cockpit!$C$5,1)="A",H1652,IF(Parameter!$E$30="MAX-Bestand",IF(CI1652=1,CJ1652,IF(LEFT(Cockpit!$C$5,1)="B",AM1652,MAX(AM1652,H1652))),ROUNDUP(AK1652,0)))</f>
        <v>1</v>
      </c>
      <c r="AH1652" s="62" t="n">
        <f aca="false">IF(CA1652=1,0,ROUNDUP(AG1652/BZ1652,0))</f>
        <v>1</v>
      </c>
      <c r="AI1652" s="64" t="n">
        <f aca="false">IF(CR1652&gt;0,CR1652*MAX(1,AG1652/X1652),IF(CA1652=1,IF(AG1652&lt;=0,0,CE1652*MAX(1,IF(H1652&gt;0,AG1652/H1652,1))),IF(R1652&gt;0,AH1652/R1652,0))/MAX(0.1,N(Parameter!$M$21)))</f>
        <v>0.0833333333333333</v>
      </c>
      <c r="AJ1652" s="62" t="n">
        <f aca="false">AI1652*CC1652</f>
        <v>12.0833333333333</v>
      </c>
      <c r="AK1652" s="63" t="n">
        <f aca="false">IF(LEFT(Cockpit!$C$5,1)="A",H1652,IF(CI1652=1,(CL1652+CJ1652)/2,IF(LEFT(Cockpit!$C$5,1)="B",(CL1652+AM1652)/2,MAX((CL1652+AM1652)/2,H1652))))</f>
        <v>1</v>
      </c>
      <c r="AL1652" s="62" t="n">
        <f aca="false">AK1652*G1652</f>
        <v>1370</v>
      </c>
      <c r="AM1652" s="62" t="n">
        <f aca="false">ROUNDUP(CL1652+MAX(CM1652,2*(J1652/IF(CH1652&gt;0,CH1652,MAX(0.1,N(Cockpit!$C$6)))-CL1652)),0)</f>
        <v>5</v>
      </c>
      <c r="AN1652" s="63" t="n">
        <f aca="false">IF(AJ1652&gt;0,J1652/AJ1652,-1)</f>
        <v>0</v>
      </c>
      <c r="AO1652" s="63" t="n">
        <f aca="false">IF(AND(OR(CG1652="L1",CG1652="L23",CG1652="LIFT"),AJ1652&gt;0),SUMIFS($AJ$7:$AJ$1843,$CG$7:$CG$1843,CG1652,$AN$7:$AN$1843,"&gt;"&amp;AN1652)+SUMIFS($AJ$7:$AJ$1843,$CG$7:$CG$1843,CG1652,$AN$7:$AN$1843,AN1652,$BX$7:$BX$1843,"&lt;="&amp;BX1652),"")</f>
        <v>31244.6974012334</v>
      </c>
      <c r="AP1652" s="70" t="n">
        <f aca="false">IF(AO1652="",0,MAX(0,MIN(1,(IF(CG1652="L1",Parameter!$H$5,IF(CG1652="L23",Parameter!$H$6+Parameter!$H$7,Parameter!$H$5+Parameter!$H$6+Parameter!$H$7))-(AO1652-AJ1652))/AJ1652)))</f>
        <v>1</v>
      </c>
      <c r="AQ1652" s="62" t="n">
        <f aca="false">IF(LEFT(Cockpit!$I$5,1)="A",H1652,IF(Parameter!$E$30="MAX-Bestand",IF(CI1652=1,CJ1652,IF(LEFT(Cockpit!$I$5,1)="B",AW1652,MAX(AW1652,H1652))),ROUNDUP(AU1652,0)))</f>
        <v>3</v>
      </c>
      <c r="AR1652" s="62" t="n">
        <f aca="false">IF(CA1652=1,0,ROUNDUP(AQ1652/BZ1652,0))</f>
        <v>1</v>
      </c>
      <c r="AS1652" s="64" t="n">
        <f aca="false">IF(CR1652&gt;0,CR1652*MAX(1,AQ1652/X1652),IF(CA1652=1,IF(AQ1652&lt;=0,0,CE1652*MAX(1,IF(H1652&gt;0,AQ1652/H1652,1))),IF(R1652&gt;0,AR1652/R1652,0))/MAX(0.1,N(Parameter!$M$21)))</f>
        <v>0.0833333333333333</v>
      </c>
      <c r="AT1652" s="62" t="n">
        <f aca="false">AS1652*CC1652</f>
        <v>12.0833333333333</v>
      </c>
      <c r="AU1652" s="63" t="n">
        <f aca="false">IF(LEFT(Cockpit!$I$5,1)="A",H1652,IF(CI1652=1,(CL1652+CJ1652)/2,IF(LEFT(Cockpit!$I$5,1)="B",(CL1652+AW1652)/2,MAX((CL1652+AW1652)/2,H1652))))</f>
        <v>2.5</v>
      </c>
      <c r="AV1652" s="62" t="n">
        <f aca="false">AU1652*G1652</f>
        <v>3425</v>
      </c>
      <c r="AW1652" s="62" t="n">
        <f aca="false">ROUNDUP(CL1652+MAX(CM1652,2*(J1652/IF(CH1652&gt;0,CH1652,MAX(0.1,N(Cockpit!$I$6)))-CL1652)),0)</f>
        <v>5</v>
      </c>
      <c r="AX1652" s="63" t="n">
        <f aca="false">IF(AT1652&gt;0,J1652/AT1652,-1)</f>
        <v>0</v>
      </c>
      <c r="AY1652" s="63" t="n">
        <f aca="false">IF(AND(OR(CG1652="L1",CG1652="L23",CG1652="LIFT"),AT1652&gt;0),SUMIFS($AT$7:$AT$1843,$CG$7:$CG$1843,CG1652,$AX$7:$AX$1843,"&gt;"&amp;AX1652)+SUMIFS($AT$7:$AT$1843,$CG$7:$CG$1843,CG1652,$AX$7:$AX$1843,AX1652,$BX$7:$BX$1843,"&lt;="&amp;BX1652),"")</f>
        <v>37716.9456318164</v>
      </c>
      <c r="AZ1652" s="70" t="n">
        <f aca="false">IF(AY1652="",0,MAX(0,MIN(1,(IF(CG1652="L1",Parameter!$H$5,IF(CG1652="L23",Parameter!$H$6+Parameter!$H$7,Parameter!$H$5+Parameter!$H$6+Parameter!$H$7))-(AY1652-AT1652))/AT1652)))</f>
        <v>0</v>
      </c>
      <c r="BA1652" s="62" t="n">
        <f aca="false">IF(LEFT(Cockpit!$O$5,1)="A",H1652,IF(Parameter!$E$30="MAX-Bestand",IF(CI1652=1,CJ1652,IF(LEFT(Cockpit!$O$5,1)="B",BG1652,MAX(BG1652,H1652))),ROUNDUP(BE1652,0)))</f>
        <v>3</v>
      </c>
      <c r="BB1652" s="62" t="n">
        <f aca="false">IF(CA1652=1,0,ROUNDUP(BA1652/BZ1652,0))</f>
        <v>1</v>
      </c>
      <c r="BC1652" s="64" t="n">
        <f aca="false">IF(CR1652&gt;0,CR1652*MAX(1,BA1652/X1652),IF(CA1652=1,IF(BA1652&lt;=0,0,CE1652*MAX(1,IF(H1652&gt;0,BA1652/H1652,1))),IF(R1652&gt;0,BB1652/R1652,0))/MAX(0.1,N(Parameter!$M$21)))</f>
        <v>0.0833333333333333</v>
      </c>
      <c r="BD1652" s="62" t="n">
        <f aca="false">BC1652*CC1652</f>
        <v>12.0833333333333</v>
      </c>
      <c r="BE1652" s="63" t="n">
        <f aca="false">IF(LEFT(Cockpit!$O$5,1)="A",H1652,IF(CI1652=1,(CL1652+CJ1652)/2,IF(LEFT(Cockpit!$O$5,1)="B",(CL1652+BG1652)/2,MAX((CL1652+BG1652)/2,H1652))))</f>
        <v>2.5</v>
      </c>
      <c r="BF1652" s="62" t="n">
        <f aca="false">BE1652*G1652</f>
        <v>3425</v>
      </c>
      <c r="BG1652" s="62" t="n">
        <f aca="false">ROUNDUP(CL1652+MAX(CM1652,2*(J1652/IF(CH1652&gt;0,CH1652,MAX(0.1,N(Cockpit!$O$6)))-CL1652)),0)</f>
        <v>5</v>
      </c>
      <c r="BH1652" s="63" t="n">
        <f aca="false">IF(BD1652&gt;0,J1652/BD1652,-1)</f>
        <v>0</v>
      </c>
      <c r="BI1652" s="63" t="n">
        <f aca="false">IF(AND(OR(CG1652="L1",CG1652="L23",CG1652="LIFT"),BD1652&gt;0),SUMIFS($BD$7:$BD$1843,$CG$7:$CG$1843,CG1652,$BH$7:$BH$1843,"&gt;"&amp;BH1652)+SUMIFS($BD$7:$BD$1843,$CG$7:$CG$1843,CG1652,$BH$7:$BH$1843,BH1652,$BX$7:$BX$1843,"&lt;="&amp;BX1652),"")</f>
        <v>31626.3869073488</v>
      </c>
      <c r="BJ1652" s="70" t="n">
        <f aca="false">IF(BI1652="",0,MAX(0,MIN(1,(IF(CG1652="L1",Parameter!$H$5,IF(CG1652="L23",Parameter!$H$6+Parameter!$H$7,Parameter!$H$5+Parameter!$H$6+Parameter!$H$7))-(BI1652-BD1652))/BD1652)))</f>
        <v>1</v>
      </c>
      <c r="BK1652" s="60" t="str">
        <f aca="false">IF(AJ1652&lt;=0,"",IF(CG1652="Aussen","Aussenlager",IF(CG1652="-","Nicht im Lift",IF(AP1652&gt;=1,"Lift",IF(AP1652&lt;=0,"Aussenlager","teilweise")))))</f>
        <v>Lift</v>
      </c>
      <c r="BL1652" s="60" t="str">
        <f aca="false">IF(AT1652&lt;=0,"",IF(CG1652="Aussen","Aussenlager",IF(CG1652="-","Nicht im Lift",IF(AZ1652&gt;=1,"Lift",IF(AZ1652&lt;=0,"Aussenlager","teilweise")))))</f>
        <v>Aussenlager</v>
      </c>
      <c r="BM1652" s="60" t="str">
        <f aca="false">IF(BD1652&lt;=0,"",IF(CG1652="Aussen","Aussenlager",IF(CG1652="-","Nicht im Lift",IF(BJ1652&gt;=1,"Lift",IF(BJ1652&lt;=0,"Aussenlager","teilweise")))))</f>
        <v>Lift</v>
      </c>
      <c r="BN1652" s="60" t="str">
        <f aca="false">IF(A1652="","",IF(BW1652=1,"Neu; ","")&amp;IF(AND(BW1652=0,BR1652&lt;0),"negativer Bestand (Export "&amp;BR1652&amp;"); ","")&amp;IF(J1652&lt;=0,"Kein Verbrauch; ","")&amp;IF(CR1652&gt;0,"Lift "&amp;W1652&amp;" lt. Liftbericht (Fach "&amp;X1652&amp;" Stk); ",IF(CB1652=1,"Gebinde geschätzt ("&amp;T1652&amp;"); ",IF(CA1652=1,"Lose – Tablare geschätzt; ","")))&amp;IF(H1652&gt;AW1652,"Überbestand "&amp;ROUND(H1652-AW1652,0)&amp;" Stk / CHF "&amp;ROUND((H1652-AW1652)*G1652,0)&amp;"; ","")&amp;IF(AND(CI1652=1,CJ1652&lt;CK1652),"MAX &lt; MB+LG; ","")&amp;IF(AND(CQ1652&gt;0,CP1652*10&gt;CQ1652),"zu hoch für Tablar; ","")&amp;IF(AND(BW1652=0,OR(CI1652=1,AB1652&lt;&gt;"",U1652&lt;&gt;"",V1652&lt;&gt;"",AC1652&lt;&gt;"")),"manuell übersteuert; ","")&amp;IF(AND(CA1652=0,R1652=0),"Gebinde unbekannt / Stellmass fehlt; ","")&amp;IF(AND(CA1652=0,N(V1652)&lt;=0,N(Q1652)&lt;=0),"Menge pro Gebinde fehlt (Ist = 1 Gebinde); ","")&amp;BV1652)</f>
        <v>Kein Verbrauch; Gebinde geschätzt (Mittel); Menge pro Gebinde fehlt (Ist = 1 Gebinde); nur im Artikelstamm (Bestand 23.06.2026); Neuer Art.</v>
      </c>
      <c r="BO1652" s="60"/>
      <c r="BP1652" s="60"/>
      <c r="BQ1652" s="67"/>
      <c r="BR1652" s="62" t="n">
        <v>1</v>
      </c>
      <c r="BS1652" s="62" t="n">
        <v>0</v>
      </c>
      <c r="BT1652" s="61" t="n">
        <v>0</v>
      </c>
      <c r="BU1652" s="62" t="n">
        <v>0</v>
      </c>
      <c r="BV1652" s="60" t="s">
        <v>2915</v>
      </c>
      <c r="BW1652" s="65" t="n">
        <v>0</v>
      </c>
      <c r="BX1652" s="65" t="n">
        <v>1652</v>
      </c>
      <c r="BY1652" s="60" t="str">
        <f aca="false">IF(U1652&lt;&gt;"",UPPER(TRIM(U1652)),IF(CB1652=1,UPPER(VLOOKUP(T1652,Parameter!$I$27:$K$29,2,0)),IF(P1652="","LOSE",P1652)))</f>
        <v>S61</v>
      </c>
      <c r="BZ1652" s="62" t="n">
        <f aca="false">IF(BY1652="LOSE",1,IF(N(V1652)&gt;0,V1652,IF(CB1652=1,MAX(1,N(VLOOKUP(T1652,Parameter!$I$27:$K$29,3,0)),H1652,N(N1652)),IF(N(Q1652)&gt;0,Q1652,MAX(1,H1652)))))</f>
        <v>5</v>
      </c>
      <c r="CA1652" s="65" t="n">
        <f aca="false">IF(BY1652="LOSE",1,0)</f>
        <v>0</v>
      </c>
      <c r="CB1652" s="65" t="n">
        <f aca="false">IF(AND(U1652="",OR(P1652="",P1652="LOSE"),T1652&lt;&gt;"",N(S1652)&lt;=0,ISNUMBER(MATCH(T1652,Parameter!$I$27:$I$29,0))),1,0)</f>
        <v>1</v>
      </c>
      <c r="CC1652" s="65" t="n">
        <f aca="false">IF(CR1652&gt;0,INDEX(Parameter!$H$5:$H$7,W1652)/INDEX(Parameter!$E$5:$E$7,W1652),IF(AND(CA1652=0,N(IFERROR(VLOOKUP(BY1652,'Gebinde-Kategorie'!$A$5:$N$45,14,0),0))&gt;0),VLOOKUP(BY1652,'Gebinde-Kategorie'!$A$5:$N$45,14,0)*10+Parameter!$M$23,Parameter!$M$24))</f>
        <v>145</v>
      </c>
      <c r="CD1652" s="60" t="str">
        <f aca="false">IF(AND(Parameter!$B$19="Ja",E1652&lt;&gt;"",ISNUMBER(MATCH(E1652,Parameter!$I$35:$I$52,0))),VLOOKUP(E1652,Parameter!$I$35:$J$52,2,0),IFERROR(VLOOKUP(D1652,Parameter!$A$35:$C$64,2,0),"Nein"))</f>
        <v>2+3</v>
      </c>
      <c r="CE1652" s="64" t="n">
        <f aca="false">IF(CA1652=0,0,IF(N(S1652)&gt;0,S1652,IFERROR(VLOOKUP(D1652,Parameter!$A$35:$C$64,3,0)+0,0)))</f>
        <v>0</v>
      </c>
      <c r="CF1652" s="60" t="n">
        <f aca="false">IF(AB1652&lt;&gt;"",AB1652,AA1652)</f>
        <v>3</v>
      </c>
      <c r="CG1652" s="60" t="str">
        <f aca="false">IF(OR(CF1652=1,CF1652=2,CF1652=3),IF(Parameter!$E$27="Ja","LIFT",IF(CF1652=1,"L1","L23")),IF(CF1652="Aussen","Aussen","-"))</f>
        <v>LIFT</v>
      </c>
      <c r="CH1652" s="71" t="n">
        <f aca="false">IF(N(AC1652)&gt;0,AC1652,0)</f>
        <v>0</v>
      </c>
      <c r="CI1652" s="65" t="n">
        <f aca="false">IF(ISNUMBER(AF1652),1,0)</f>
        <v>0</v>
      </c>
      <c r="CJ1652" s="62" t="n">
        <f aca="false">N(AF1652)</f>
        <v>0</v>
      </c>
      <c r="CK1652" s="62" t="n">
        <f aca="false">N(M1652)+N(N1652)</f>
        <v>5</v>
      </c>
      <c r="CL1652" s="62" t="n">
        <f aca="false">N(M1652)</f>
        <v>0</v>
      </c>
      <c r="CM1652" s="62" t="n">
        <f aca="false">N(N1652)</f>
        <v>5</v>
      </c>
      <c r="CN1652" s="62" t="n">
        <f aca="false">ROUNDUP(H1652/BZ1652,0)</f>
        <v>1</v>
      </c>
      <c r="CO1652" s="62" t="n">
        <f aca="false">ROUNDUP(CJ1652/BZ1652,0)</f>
        <v>0</v>
      </c>
      <c r="CP1652" s="65" t="n">
        <f aca="false">IF(CA1652=1,0,IFERROR(VLOOKUP(BY1652,'Gebinde-Kategorie'!$A$5:$N$45,5,0)+0,0))</f>
        <v>11</v>
      </c>
      <c r="CQ1652" s="65" t="n">
        <f aca="false">IFERROR(IF(OR(CF1652=1,CF1652=2,CF1652=3),N(INDEX(Parameter!$I$5:$I$7,CF1652)),0),0)</f>
        <v>0</v>
      </c>
      <c r="CR1652" s="64" t="n">
        <f aca="false">IF(AND(Parameter!$B$21="Ja",ISNUMBER(W1652),N(X1652)&gt;0),IFERROR(N(INDEX(Parameter!$L$5:$L$7,W1652))*INDEX(Parameter!$E$5:$E$7,W1652)*X1652/SUMIFS($X$7:$X$1843,$W$7:$W$1843,W1652),0),0)</f>
        <v>0</v>
      </c>
      <c r="CS1652" s="62" t="n">
        <f aca="false">IF(AND(OR(CG1652="L1",CG1652="L23",CG1652="LIFT"),H1652&gt;0),CC1652*IF(CR1652&gt;0,CR1652*MAX(1,H1652/X1652),IF(CA1652=1,CE1652,IF(R1652&gt;0,CN1652/R1652,0))/MAX(0.1,N(Parameter!$M$21))),"")</f>
        <v>12.0833333333333</v>
      </c>
      <c r="CT1652" s="64" t="n">
        <f aca="false">IF(CS1652="","",J1652/H1652)</f>
        <v>0</v>
      </c>
      <c r="CU1652" s="62" t="n">
        <f aca="false">IF(CS1652="","",H1652*G1652)</f>
        <v>1370</v>
      </c>
      <c r="CV1652" s="63" t="n">
        <f aca="false">IF(CS1652="","",(CL1652+ROUNDUP(CL1652+MAX(CM1652,2*(J1652/MAX(0.1,N(Einkauf!$C$6))-CL1652)),0))/2)</f>
        <v>2.5</v>
      </c>
      <c r="CW1652" s="62" t="n">
        <f aca="false">IF(CS1652="","",MAX(0,H1652-CV1652)*G1652)</f>
        <v>0</v>
      </c>
      <c r="CX1652" s="62" t="n">
        <f aca="false">IF(CS1652="","",CS1652*MAX(0,1-CV1652/H1652))</f>
        <v>0</v>
      </c>
      <c r="CY1652" s="64" t="n">
        <f aca="false">IF(CS1652="","",PERCENTRANK($CS$7:$CS$1843,CS1652)+PERCENTRANK($CU$7:$CU$1843,CU1652)+1-PERCENTRANK($CT$7:$CT$1843,CT1652))</f>
        <v>2.361</v>
      </c>
      <c r="CZ1652" s="72" t="n">
        <f aca="false">IF(CS1652="","",CHOOSE(MATCH(Einkauf!$C$5,Parameter!$G$23:$G$27,0),CY1652,CS1652,CU1652,-CT1652,CW1652)+ROW()/1000000000)</f>
        <v>2.361001652</v>
      </c>
    </row>
    <row r="1653" customFormat="false" ht="15" hidden="false" customHeight="false" outlineLevel="0" collapsed="false">
      <c r="A1653" s="60" t="s">
        <v>2916</v>
      </c>
      <c r="B1653" s="60" t="s">
        <v>2917</v>
      </c>
      <c r="C1653" s="60" t="s">
        <v>206</v>
      </c>
      <c r="D1653" s="60" t="s">
        <v>215</v>
      </c>
      <c r="E1653" s="60" t="s">
        <v>215</v>
      </c>
      <c r="F1653" s="60"/>
      <c r="G1653" s="61" t="n">
        <v>444.6</v>
      </c>
      <c r="H1653" s="62" t="n">
        <f aca="false">MAX(0,IF(AND(Parameter!$B$21="Ja",ISNUMBER(Y1653)),Y1653,IF(Parameter!$B$20="Jahresanfang 2025 + Export",BS1653+BR1653,BR1653)))</f>
        <v>1</v>
      </c>
      <c r="I1653" s="62" t="n">
        <f aca="false">H1653*G1653</f>
        <v>444.6</v>
      </c>
      <c r="J1653" s="62" t="n">
        <f aca="false">BU1653*Parameter!$B$18</f>
        <v>0</v>
      </c>
      <c r="K1653" s="63"/>
      <c r="L1653" s="64"/>
      <c r="M1653" s="62" t="n">
        <v>0</v>
      </c>
      <c r="N1653" s="62" t="n">
        <v>1</v>
      </c>
      <c r="O1653" s="65" t="n">
        <v>28</v>
      </c>
      <c r="P1653" s="60" t="s">
        <v>210</v>
      </c>
      <c r="Q1653" s="62"/>
      <c r="R1653" s="65" t="n">
        <f aca="false">IF(CA1653=1,0,IFERROR(VLOOKUP(BY1653,'Gebinde-Kategorie'!$A$5:$N$45,13,0)+0,0))</f>
        <v>12</v>
      </c>
      <c r="S1653" s="66"/>
      <c r="T1653" s="67" t="s">
        <v>221</v>
      </c>
      <c r="U1653" s="67"/>
      <c r="V1653" s="67"/>
      <c r="W1653" s="60"/>
      <c r="X1653" s="62"/>
      <c r="Y1653" s="62"/>
      <c r="Z1653" s="60"/>
      <c r="AA1653" s="60" t="str">
        <f aca="false">IF(A1653="","",IF(AND(Parameter!$B$21="Ja",ISNUMBER(W1653)),W1653,IF(AND(Parameter!$E$27="Ja",ISNUMBER(Z1653),CD1653&lt;&gt;"Nein"),Z1653,IF(CD1653="2+3",IF(ISNUMBER(SEARCH("grosser Artikel",BV1653)),2,IFERROR(VLOOKUP(BY1653,Parameter!$F$35:$G$64,2,0),2)),IF(OR(CD1653="Nein",CD1653=""),"-",CD1653)))))</f>
        <v>-</v>
      </c>
      <c r="AB1653" s="67"/>
      <c r="AC1653" s="68"/>
      <c r="AD1653" s="62" t="n">
        <f aca="false">AW1653</f>
        <v>1</v>
      </c>
      <c r="AE1653" s="62" t="n">
        <f aca="false">MAX(AW1653,H1653)</f>
        <v>1</v>
      </c>
      <c r="AF1653" s="69"/>
      <c r="AG1653" s="62" t="n">
        <f aca="false">IF(LEFT(Cockpit!$C$5,1)="A",H1653,IF(Parameter!$E$30="MAX-Bestand",IF(CI1653=1,CJ1653,IF(LEFT(Cockpit!$C$5,1)="B",AM1653,MAX(AM1653,H1653))),ROUNDUP(AK1653,0)))</f>
        <v>1</v>
      </c>
      <c r="AH1653" s="62" t="n">
        <f aca="false">IF(CA1653=1,0,ROUNDUP(AG1653/BZ1653,0))</f>
        <v>1</v>
      </c>
      <c r="AI1653" s="64" t="n">
        <f aca="false">IF(CR1653&gt;0,CR1653*MAX(1,AG1653/X1653),IF(CA1653=1,IF(AG1653&lt;=0,0,CE1653*MAX(1,IF(H1653&gt;0,AG1653/H1653,1))),IF(R1653&gt;0,AH1653/R1653,0))/MAX(0.1,N(Parameter!$M$21)))</f>
        <v>0.0833333333333333</v>
      </c>
      <c r="AJ1653" s="62" t="n">
        <f aca="false">AI1653*CC1653</f>
        <v>12.0833333333333</v>
      </c>
      <c r="AK1653" s="63" t="n">
        <f aca="false">IF(LEFT(Cockpit!$C$5,1)="A",H1653,IF(CI1653=1,(CL1653+CJ1653)/2,IF(LEFT(Cockpit!$C$5,1)="B",(CL1653+AM1653)/2,MAX((CL1653+AM1653)/2,H1653))))</f>
        <v>1</v>
      </c>
      <c r="AL1653" s="62" t="n">
        <f aca="false">AK1653*G1653</f>
        <v>444.6</v>
      </c>
      <c r="AM1653" s="62" t="n">
        <f aca="false">ROUNDUP(CL1653+MAX(CM1653,2*(J1653/IF(CH1653&gt;0,CH1653,MAX(0.1,N(Cockpit!$C$6)))-CL1653)),0)</f>
        <v>1</v>
      </c>
      <c r="AN1653" s="63" t="n">
        <f aca="false">IF(AJ1653&gt;0,J1653/AJ1653,-1)</f>
        <v>0</v>
      </c>
      <c r="AO1653" s="63" t="str">
        <f aca="false">IF(AND(OR(CG1653="L1",CG1653="L23",CG1653="LIFT"),AJ1653&gt;0),SUMIFS($AJ$7:$AJ$1843,$CG$7:$CG$1843,CG1653,$AN$7:$AN$1843,"&gt;"&amp;AN1653)+SUMIFS($AJ$7:$AJ$1843,$CG$7:$CG$1843,CG1653,$AN$7:$AN$1843,AN1653,$BX$7:$BX$1843,"&lt;="&amp;BX1653),"")</f>
        <v/>
      </c>
      <c r="AP1653" s="70" t="n">
        <f aca="false">IF(AO1653="",0,MAX(0,MIN(1,(IF(CG1653="L1",Parameter!$H$5,IF(CG1653="L23",Parameter!$H$6+Parameter!$H$7,Parameter!$H$5+Parameter!$H$6+Parameter!$H$7))-(AO1653-AJ1653))/AJ1653)))</f>
        <v>0</v>
      </c>
      <c r="AQ1653" s="62" t="n">
        <f aca="false">IF(LEFT(Cockpit!$I$5,1)="A",H1653,IF(Parameter!$E$30="MAX-Bestand",IF(CI1653=1,CJ1653,IF(LEFT(Cockpit!$I$5,1)="B",AW1653,MAX(AW1653,H1653))),ROUNDUP(AU1653,0)))</f>
        <v>1</v>
      </c>
      <c r="AR1653" s="62" t="n">
        <f aca="false">IF(CA1653=1,0,ROUNDUP(AQ1653/BZ1653,0))</f>
        <v>1</v>
      </c>
      <c r="AS1653" s="64" t="n">
        <f aca="false">IF(CR1653&gt;0,CR1653*MAX(1,AQ1653/X1653),IF(CA1653=1,IF(AQ1653&lt;=0,0,CE1653*MAX(1,IF(H1653&gt;0,AQ1653/H1653,1))),IF(R1653&gt;0,AR1653/R1653,0))/MAX(0.1,N(Parameter!$M$21)))</f>
        <v>0.0833333333333333</v>
      </c>
      <c r="AT1653" s="62" t="n">
        <f aca="false">AS1653*CC1653</f>
        <v>12.0833333333333</v>
      </c>
      <c r="AU1653" s="63" t="n">
        <f aca="false">IF(LEFT(Cockpit!$I$5,1)="A",H1653,IF(CI1653=1,(CL1653+CJ1653)/2,IF(LEFT(Cockpit!$I$5,1)="B",(CL1653+AW1653)/2,MAX((CL1653+AW1653)/2,H1653))))</f>
        <v>1</v>
      </c>
      <c r="AV1653" s="62" t="n">
        <f aca="false">AU1653*G1653</f>
        <v>444.6</v>
      </c>
      <c r="AW1653" s="62" t="n">
        <f aca="false">ROUNDUP(CL1653+MAX(CM1653,2*(J1653/IF(CH1653&gt;0,CH1653,MAX(0.1,N(Cockpit!$I$6)))-CL1653)),0)</f>
        <v>1</v>
      </c>
      <c r="AX1653" s="63" t="n">
        <f aca="false">IF(AT1653&gt;0,J1653/AT1653,-1)</f>
        <v>0</v>
      </c>
      <c r="AY1653" s="63" t="str">
        <f aca="false">IF(AND(OR(CG1653="L1",CG1653="L23",CG1653="LIFT"),AT1653&gt;0),SUMIFS($AT$7:$AT$1843,$CG$7:$CG$1843,CG1653,$AX$7:$AX$1843,"&gt;"&amp;AX1653)+SUMIFS($AT$7:$AT$1843,$CG$7:$CG$1843,CG1653,$AX$7:$AX$1843,AX1653,$BX$7:$BX$1843,"&lt;="&amp;BX1653),"")</f>
        <v/>
      </c>
      <c r="AZ1653" s="70" t="n">
        <f aca="false">IF(AY1653="",0,MAX(0,MIN(1,(IF(CG1653="L1",Parameter!$H$5,IF(CG1653="L23",Parameter!$H$6+Parameter!$H$7,Parameter!$H$5+Parameter!$H$6+Parameter!$H$7))-(AY1653-AT1653))/AT1653)))</f>
        <v>0</v>
      </c>
      <c r="BA1653" s="62" t="n">
        <f aca="false">IF(LEFT(Cockpit!$O$5,1)="A",H1653,IF(Parameter!$E$30="MAX-Bestand",IF(CI1653=1,CJ1653,IF(LEFT(Cockpit!$O$5,1)="B",BG1653,MAX(BG1653,H1653))),ROUNDUP(BE1653,0)))</f>
        <v>1</v>
      </c>
      <c r="BB1653" s="62" t="n">
        <f aca="false">IF(CA1653=1,0,ROUNDUP(BA1653/BZ1653,0))</f>
        <v>1</v>
      </c>
      <c r="BC1653" s="64" t="n">
        <f aca="false">IF(CR1653&gt;0,CR1653*MAX(1,BA1653/X1653),IF(CA1653=1,IF(BA1653&lt;=0,0,CE1653*MAX(1,IF(H1653&gt;0,BA1653/H1653,1))),IF(R1653&gt;0,BB1653/R1653,0))/MAX(0.1,N(Parameter!$M$21)))</f>
        <v>0.0833333333333333</v>
      </c>
      <c r="BD1653" s="62" t="n">
        <f aca="false">BC1653*CC1653</f>
        <v>12.0833333333333</v>
      </c>
      <c r="BE1653" s="63" t="n">
        <f aca="false">IF(LEFT(Cockpit!$O$5,1)="A",H1653,IF(CI1653=1,(CL1653+CJ1653)/2,IF(LEFT(Cockpit!$O$5,1)="B",(CL1653+BG1653)/2,MAX((CL1653+BG1653)/2,H1653))))</f>
        <v>0.5</v>
      </c>
      <c r="BF1653" s="62" t="n">
        <f aca="false">BE1653*G1653</f>
        <v>222.3</v>
      </c>
      <c r="BG1653" s="62" t="n">
        <f aca="false">ROUNDUP(CL1653+MAX(CM1653,2*(J1653/IF(CH1653&gt;0,CH1653,MAX(0.1,N(Cockpit!$O$6)))-CL1653)),0)</f>
        <v>1</v>
      </c>
      <c r="BH1653" s="63" t="n">
        <f aca="false">IF(BD1653&gt;0,J1653/BD1653,-1)</f>
        <v>0</v>
      </c>
      <c r="BI1653" s="63" t="str">
        <f aca="false">IF(AND(OR(CG1653="L1",CG1653="L23",CG1653="LIFT"),BD1653&gt;0),SUMIFS($BD$7:$BD$1843,$CG$7:$CG$1843,CG1653,$BH$7:$BH$1843,"&gt;"&amp;BH1653)+SUMIFS($BD$7:$BD$1843,$CG$7:$CG$1843,CG1653,$BH$7:$BH$1843,BH1653,$BX$7:$BX$1843,"&lt;="&amp;BX1653),"")</f>
        <v/>
      </c>
      <c r="BJ1653" s="70" t="n">
        <f aca="false">IF(BI1653="",0,MAX(0,MIN(1,(IF(CG1653="L1",Parameter!$H$5,IF(CG1653="L23",Parameter!$H$6+Parameter!$H$7,Parameter!$H$5+Parameter!$H$6+Parameter!$H$7))-(BI1653-BD1653))/BD1653)))</f>
        <v>0</v>
      </c>
      <c r="BK1653" s="60" t="str">
        <f aca="false">IF(AJ1653&lt;=0,"",IF(CG1653="Aussen","Aussenlager",IF(CG1653="-","Nicht im Lift",IF(AP1653&gt;=1,"Lift",IF(AP1653&lt;=0,"Aussenlager","teilweise")))))</f>
        <v>Nicht im Lift</v>
      </c>
      <c r="BL1653" s="60" t="str">
        <f aca="false">IF(AT1653&lt;=0,"",IF(CG1653="Aussen","Aussenlager",IF(CG1653="-","Nicht im Lift",IF(AZ1653&gt;=1,"Lift",IF(AZ1653&lt;=0,"Aussenlager","teilweise")))))</f>
        <v>Nicht im Lift</v>
      </c>
      <c r="BM1653" s="60" t="str">
        <f aca="false">IF(BD1653&lt;=0,"",IF(CG1653="Aussen","Aussenlager",IF(CG1653="-","Nicht im Lift",IF(BJ1653&gt;=1,"Lift",IF(BJ1653&lt;=0,"Aussenlager","teilweise")))))</f>
        <v>Nicht im Lift</v>
      </c>
      <c r="BN1653" s="60" t="str">
        <f aca="false">IF(A1653="","",IF(BW1653=1,"Neu; ","")&amp;IF(AND(BW1653=0,BR1653&lt;0),"negativer Bestand (Export "&amp;BR1653&amp;"); ","")&amp;IF(J1653&lt;=0,"Kein Verbrauch; ","")&amp;IF(CR1653&gt;0,"Lift "&amp;W1653&amp;" lt. Liftbericht (Fach "&amp;X1653&amp;" Stk); ",IF(CB1653=1,"Gebinde geschätzt ("&amp;T1653&amp;"); ",IF(CA1653=1,"Lose – Tablare geschätzt; ","")))&amp;IF(H1653&gt;AW1653,"Überbestand "&amp;ROUND(H1653-AW1653,0)&amp;" Stk / CHF "&amp;ROUND((H1653-AW1653)*G1653,0)&amp;"; ","")&amp;IF(AND(CI1653=1,CJ1653&lt;CK1653),"MAX &lt; MB+LG; ","")&amp;IF(AND(CQ1653&gt;0,CP1653*10&gt;CQ1653),"zu hoch für Tablar; ","")&amp;IF(AND(BW1653=0,OR(CI1653=1,AB1653&lt;&gt;"",U1653&lt;&gt;"",V1653&lt;&gt;"",AC1653&lt;&gt;"")),"manuell übersteuert; ","")&amp;IF(AND(CA1653=0,R1653=0),"Gebinde unbekannt / Stellmass fehlt; ","")&amp;IF(AND(CA1653=0,N(V1653)&lt;=0,N(Q1653)&lt;=0),"Menge pro Gebinde fehlt (Ist = 1 Gebinde); ","")&amp;BV1653)</f>
        <v>Kein Verbrauch; Gebinde geschätzt (Mittel); Menge pro Gebinde fehlt (Ist = 1 Gebinde); nur im Artikelstamm (Bestand 23.06.2026)</v>
      </c>
      <c r="BO1653" s="60"/>
      <c r="BP1653" s="60"/>
      <c r="BQ1653" s="67"/>
      <c r="BR1653" s="62" t="n">
        <v>1</v>
      </c>
      <c r="BS1653" s="62" t="n">
        <v>0</v>
      </c>
      <c r="BT1653" s="61" t="n">
        <v>0</v>
      </c>
      <c r="BU1653" s="62" t="n">
        <v>0</v>
      </c>
      <c r="BV1653" s="60" t="s">
        <v>2617</v>
      </c>
      <c r="BW1653" s="65" t="n">
        <v>0</v>
      </c>
      <c r="BX1653" s="65" t="n">
        <v>1653</v>
      </c>
      <c r="BY1653" s="60" t="str">
        <f aca="false">IF(U1653&lt;&gt;"",UPPER(TRIM(U1653)),IF(CB1653=1,UPPER(VLOOKUP(T1653,Parameter!$I$27:$K$29,2,0)),IF(P1653="","LOSE",P1653)))</f>
        <v>S61</v>
      </c>
      <c r="BZ1653" s="62" t="n">
        <f aca="false">IF(BY1653="LOSE",1,IF(N(V1653)&gt;0,V1653,IF(CB1653=1,MAX(1,N(VLOOKUP(T1653,Parameter!$I$27:$K$29,3,0)),H1653,N(N1653)),IF(N(Q1653)&gt;0,Q1653,MAX(1,H1653)))))</f>
        <v>4</v>
      </c>
      <c r="CA1653" s="65" t="n">
        <f aca="false">IF(BY1653="LOSE",1,0)</f>
        <v>0</v>
      </c>
      <c r="CB1653" s="65" t="n">
        <f aca="false">IF(AND(U1653="",OR(P1653="",P1653="LOSE"),T1653&lt;&gt;"",N(S1653)&lt;=0,ISNUMBER(MATCH(T1653,Parameter!$I$27:$I$29,0))),1,0)</f>
        <v>1</v>
      </c>
      <c r="CC1653" s="65" t="n">
        <f aca="false">IF(CR1653&gt;0,INDEX(Parameter!$H$5:$H$7,W1653)/INDEX(Parameter!$E$5:$E$7,W1653),IF(AND(CA1653=0,N(IFERROR(VLOOKUP(BY1653,'Gebinde-Kategorie'!$A$5:$N$45,14,0),0))&gt;0),VLOOKUP(BY1653,'Gebinde-Kategorie'!$A$5:$N$45,14,0)*10+Parameter!$M$23,Parameter!$M$24))</f>
        <v>145</v>
      </c>
      <c r="CD1653" s="60" t="str">
        <f aca="false">IF(AND(Parameter!$B$19="Ja",E1653&lt;&gt;"",ISNUMBER(MATCH(E1653,Parameter!$I$35:$I$52,0))),VLOOKUP(E1653,Parameter!$I$35:$J$52,2,0),IFERROR(VLOOKUP(D1653,Parameter!$A$35:$C$64,2,0),"Nein"))</f>
        <v>Nein</v>
      </c>
      <c r="CE1653" s="64" t="n">
        <f aca="false">IF(CA1653=0,0,IF(N(S1653)&gt;0,S1653,IFERROR(VLOOKUP(D1653,Parameter!$A$35:$C$64,3,0)+0,0)))</f>
        <v>0</v>
      </c>
      <c r="CF1653" s="60" t="str">
        <f aca="false">IF(AB1653&lt;&gt;"",AB1653,AA1653)</f>
        <v>-</v>
      </c>
      <c r="CG1653" s="60" t="str">
        <f aca="false">IF(OR(CF1653=1,CF1653=2,CF1653=3),IF(Parameter!$E$27="Ja","LIFT",IF(CF1653=1,"L1","L23")),IF(CF1653="Aussen","Aussen","-"))</f>
        <v>-</v>
      </c>
      <c r="CH1653" s="71" t="n">
        <f aca="false">IF(N(AC1653)&gt;0,AC1653,0)</f>
        <v>0</v>
      </c>
      <c r="CI1653" s="65" t="n">
        <f aca="false">IF(ISNUMBER(AF1653),1,0)</f>
        <v>0</v>
      </c>
      <c r="CJ1653" s="62" t="n">
        <f aca="false">N(AF1653)</f>
        <v>0</v>
      </c>
      <c r="CK1653" s="62" t="n">
        <f aca="false">N(M1653)+N(N1653)</f>
        <v>1</v>
      </c>
      <c r="CL1653" s="62" t="n">
        <f aca="false">N(M1653)</f>
        <v>0</v>
      </c>
      <c r="CM1653" s="62" t="n">
        <f aca="false">N(N1653)</f>
        <v>1</v>
      </c>
      <c r="CN1653" s="62" t="n">
        <f aca="false">ROUNDUP(H1653/BZ1653,0)</f>
        <v>1</v>
      </c>
      <c r="CO1653" s="62" t="n">
        <f aca="false">ROUNDUP(CJ1653/BZ1653,0)</f>
        <v>0</v>
      </c>
      <c r="CP1653" s="65" t="n">
        <f aca="false">IF(CA1653=1,0,IFERROR(VLOOKUP(BY1653,'Gebinde-Kategorie'!$A$5:$N$45,5,0)+0,0))</f>
        <v>11</v>
      </c>
      <c r="CQ1653" s="65" t="n">
        <f aca="false">IFERROR(IF(OR(CF1653=1,CF1653=2,CF1653=3),N(INDEX(Parameter!$I$5:$I$7,CF1653)),0),0)</f>
        <v>0</v>
      </c>
      <c r="CR1653" s="64" t="n">
        <f aca="false">IF(AND(Parameter!$B$21="Ja",ISNUMBER(W1653),N(X1653)&gt;0),IFERROR(N(INDEX(Parameter!$L$5:$L$7,W1653))*INDEX(Parameter!$E$5:$E$7,W1653)*X1653/SUMIFS($X$7:$X$1843,$W$7:$W$1843,W1653),0),0)</f>
        <v>0</v>
      </c>
      <c r="CS1653" s="62" t="str">
        <f aca="false">IF(AND(OR(CG1653="L1",CG1653="L23",CG1653="LIFT"),H1653&gt;0),CC1653*IF(CR1653&gt;0,CR1653*MAX(1,H1653/X1653),IF(CA1653=1,CE1653,IF(R1653&gt;0,CN1653/R1653,0))/MAX(0.1,N(Parameter!$M$21))),"")</f>
        <v/>
      </c>
      <c r="CT1653" s="64" t="str">
        <f aca="false">IF(CS1653="","",J1653/H1653)</f>
        <v/>
      </c>
      <c r="CU1653" s="62" t="str">
        <f aca="false">IF(CS1653="","",H1653*G1653)</f>
        <v/>
      </c>
      <c r="CV1653" s="63" t="str">
        <f aca="false">IF(CS1653="","",(CL1653+ROUNDUP(CL1653+MAX(CM1653,2*(J1653/MAX(0.1,N(Einkauf!$C$6))-CL1653)),0))/2)</f>
        <v/>
      </c>
      <c r="CW1653" s="62" t="str">
        <f aca="false">IF(CS1653="","",MAX(0,H1653-CV1653)*G1653)</f>
        <v/>
      </c>
      <c r="CX1653" s="62" t="str">
        <f aca="false">IF(CS1653="","",CS1653*MAX(0,1-CV1653/H1653))</f>
        <v/>
      </c>
      <c r="CY1653" s="64" t="str">
        <f aca="false">IF(CS1653="","",PERCENTRANK($CS$7:$CS$1843,CS1653)+PERCENTRANK($CU$7:$CU$1843,CU1653)+1-PERCENTRANK($CT$7:$CT$1843,CT1653))</f>
        <v/>
      </c>
      <c r="CZ1653" s="72" t="str">
        <f aca="false">IF(CS1653="","",CHOOSE(MATCH(Einkauf!$C$5,Parameter!$G$23:$G$27,0),CY1653,CS1653,CU1653,-CT1653,CW1653)+ROW()/1000000000)</f>
        <v/>
      </c>
    </row>
    <row r="1654" customFormat="false" ht="15" hidden="false" customHeight="false" outlineLevel="0" collapsed="false">
      <c r="A1654" s="60" t="s">
        <v>2918</v>
      </c>
      <c r="B1654" s="60" t="s">
        <v>2919</v>
      </c>
      <c r="C1654" s="60" t="s">
        <v>206</v>
      </c>
      <c r="D1654" s="60" t="s">
        <v>226</v>
      </c>
      <c r="E1654" s="60" t="s">
        <v>227</v>
      </c>
      <c r="F1654" s="60"/>
      <c r="G1654" s="61" t="n">
        <v>19</v>
      </c>
      <c r="H1654" s="62" t="n">
        <f aca="false">MAX(0,IF(AND(Parameter!$B$21="Ja",ISNUMBER(Y1654)),Y1654,IF(Parameter!$B$20="Jahresanfang 2025 + Export",BS1654+BR1654,BR1654)))</f>
        <v>45</v>
      </c>
      <c r="I1654" s="62" t="n">
        <f aca="false">H1654*G1654</f>
        <v>855</v>
      </c>
      <c r="J1654" s="62" t="n">
        <f aca="false">BU1654*Parameter!$B$18</f>
        <v>0</v>
      </c>
      <c r="K1654" s="63"/>
      <c r="L1654" s="64"/>
      <c r="M1654" s="62" t="n">
        <v>0</v>
      </c>
      <c r="N1654" s="62" t="n">
        <v>20</v>
      </c>
      <c r="O1654" s="65" t="n">
        <v>28</v>
      </c>
      <c r="P1654" s="60" t="s">
        <v>210</v>
      </c>
      <c r="Q1654" s="62"/>
      <c r="R1654" s="65" t="n">
        <f aca="false">IF(CA1654=1,0,IFERROR(VLOOKUP(BY1654,'Gebinde-Kategorie'!$A$5:$N$45,13,0)+0,0))</f>
        <v>26</v>
      </c>
      <c r="S1654" s="66"/>
      <c r="T1654" s="67" t="s">
        <v>317</v>
      </c>
      <c r="U1654" s="67"/>
      <c r="V1654" s="67"/>
      <c r="W1654" s="60"/>
      <c r="X1654" s="62"/>
      <c r="Y1654" s="62"/>
      <c r="Z1654" s="60" t="n">
        <v>3</v>
      </c>
      <c r="AA1654" s="60" t="n">
        <f aca="false">IF(A1654="","",IF(AND(Parameter!$B$21="Ja",ISNUMBER(W1654)),W1654,IF(AND(Parameter!$E$27="Ja",ISNUMBER(Z1654),CD1654&lt;&gt;"Nein"),Z1654,IF(CD1654="2+3",IF(ISNUMBER(SEARCH("grosser Artikel",BV1654)),2,IFERROR(VLOOKUP(BY1654,Parameter!$F$35:$G$64,2,0),2)),IF(OR(CD1654="Nein",CD1654=""),"-",CD1654)))))</f>
        <v>3</v>
      </c>
      <c r="AB1654" s="67"/>
      <c r="AC1654" s="68"/>
      <c r="AD1654" s="62" t="n">
        <f aca="false">AW1654</f>
        <v>20</v>
      </c>
      <c r="AE1654" s="62" t="n">
        <f aca="false">MAX(AW1654,H1654)</f>
        <v>45</v>
      </c>
      <c r="AF1654" s="69"/>
      <c r="AG1654" s="62" t="n">
        <f aca="false">IF(LEFT(Cockpit!$C$5,1)="A",H1654,IF(Parameter!$E$30="MAX-Bestand",IF(CI1654=1,CJ1654,IF(LEFT(Cockpit!$C$5,1)="B",AM1654,MAX(AM1654,H1654))),ROUNDUP(AK1654,0)))</f>
        <v>45</v>
      </c>
      <c r="AH1654" s="62" t="n">
        <f aca="false">IF(CA1654=1,0,ROUNDUP(AG1654/BZ1654,0))</f>
        <v>1</v>
      </c>
      <c r="AI1654" s="64" t="n">
        <f aca="false">IF(CR1654&gt;0,CR1654*MAX(1,AG1654/X1654),IF(CA1654=1,IF(AG1654&lt;=0,0,CE1654*MAX(1,IF(H1654&gt;0,AG1654/H1654,1))),IF(R1654&gt;0,AH1654/R1654,0))/MAX(0.1,N(Parameter!$M$21)))</f>
        <v>0.0384615384615385</v>
      </c>
      <c r="AJ1654" s="62" t="n">
        <f aca="false">AI1654*CC1654</f>
        <v>5.96153846153846</v>
      </c>
      <c r="AK1654" s="63" t="n">
        <f aca="false">IF(LEFT(Cockpit!$C$5,1)="A",H1654,IF(CI1654=1,(CL1654+CJ1654)/2,IF(LEFT(Cockpit!$C$5,1)="B",(CL1654+AM1654)/2,MAX((CL1654+AM1654)/2,H1654))))</f>
        <v>45</v>
      </c>
      <c r="AL1654" s="62" t="n">
        <f aca="false">AK1654*G1654</f>
        <v>855</v>
      </c>
      <c r="AM1654" s="62" t="n">
        <f aca="false">ROUNDUP(CL1654+MAX(CM1654,2*(J1654/IF(CH1654&gt;0,CH1654,MAX(0.1,N(Cockpit!$C$6)))-CL1654)),0)</f>
        <v>20</v>
      </c>
      <c r="AN1654" s="63" t="n">
        <f aca="false">IF(AJ1654&gt;0,J1654/AJ1654,-1)</f>
        <v>0</v>
      </c>
      <c r="AO1654" s="63" t="n">
        <f aca="false">IF(AND(OR(CG1654="L1",CG1654="L23",CG1654="LIFT"),AJ1654&gt;0),SUMIFS($AJ$7:$AJ$1843,$CG$7:$CG$1843,CG1654,$AN$7:$AN$1843,"&gt;"&amp;AN1654)+SUMIFS($AJ$7:$AJ$1843,$CG$7:$CG$1843,CG1654,$AN$7:$AN$1843,AN1654,$BX$7:$BX$1843,"&lt;="&amp;BX1654),"")</f>
        <v>31250.658939695</v>
      </c>
      <c r="AP1654" s="70" t="n">
        <f aca="false">IF(AO1654="",0,MAX(0,MIN(1,(IF(CG1654="L1",Parameter!$H$5,IF(CG1654="L23",Parameter!$H$6+Parameter!$H$7,Parameter!$H$5+Parameter!$H$6+Parameter!$H$7))-(AO1654-AJ1654))/AJ1654)))</f>
        <v>1</v>
      </c>
      <c r="AQ1654" s="62" t="n">
        <f aca="false">IF(LEFT(Cockpit!$I$5,1)="A",H1654,IF(Parameter!$E$30="MAX-Bestand",IF(CI1654=1,CJ1654,IF(LEFT(Cockpit!$I$5,1)="B",AW1654,MAX(AW1654,H1654))),ROUNDUP(AU1654,0)))</f>
        <v>45</v>
      </c>
      <c r="AR1654" s="62" t="n">
        <f aca="false">IF(CA1654=1,0,ROUNDUP(AQ1654/BZ1654,0))</f>
        <v>1</v>
      </c>
      <c r="AS1654" s="64" t="n">
        <f aca="false">IF(CR1654&gt;0,CR1654*MAX(1,AQ1654/X1654),IF(CA1654=1,IF(AQ1654&lt;=0,0,CE1654*MAX(1,IF(H1654&gt;0,AQ1654/H1654,1))),IF(R1654&gt;0,AR1654/R1654,0))/MAX(0.1,N(Parameter!$M$21)))</f>
        <v>0.0384615384615385</v>
      </c>
      <c r="AT1654" s="62" t="n">
        <f aca="false">AS1654*CC1654</f>
        <v>5.96153846153846</v>
      </c>
      <c r="AU1654" s="63" t="n">
        <f aca="false">IF(LEFT(Cockpit!$I$5,1)="A",H1654,IF(CI1654=1,(CL1654+CJ1654)/2,IF(LEFT(Cockpit!$I$5,1)="B",(CL1654+AW1654)/2,MAX((CL1654+AW1654)/2,H1654))))</f>
        <v>45</v>
      </c>
      <c r="AV1654" s="62" t="n">
        <f aca="false">AU1654*G1654</f>
        <v>855</v>
      </c>
      <c r="AW1654" s="62" t="n">
        <f aca="false">ROUNDUP(CL1654+MAX(CM1654,2*(J1654/IF(CH1654&gt;0,CH1654,MAX(0.1,N(Cockpit!$I$6)))-CL1654)),0)</f>
        <v>20</v>
      </c>
      <c r="AX1654" s="63" t="n">
        <f aca="false">IF(AT1654&gt;0,J1654/AT1654,-1)</f>
        <v>0</v>
      </c>
      <c r="AY1654" s="63" t="n">
        <f aca="false">IF(AND(OR(CG1654="L1",CG1654="L23",CG1654="LIFT"),AT1654&gt;0),SUMIFS($AT$7:$AT$1843,$CG$7:$CG$1843,CG1654,$AX$7:$AX$1843,"&gt;"&amp;AX1654)+SUMIFS($AT$7:$AT$1843,$CG$7:$CG$1843,CG1654,$AX$7:$AX$1843,AX1654,$BX$7:$BX$1843,"&lt;="&amp;BX1654),"")</f>
        <v>37722.9071702779</v>
      </c>
      <c r="AZ1654" s="70" t="n">
        <f aca="false">IF(AY1654="",0,MAX(0,MIN(1,(IF(CG1654="L1",Parameter!$H$5,IF(CG1654="L23",Parameter!$H$6+Parameter!$H$7,Parameter!$H$5+Parameter!$H$6+Parameter!$H$7))-(AY1654-AT1654))/AT1654)))</f>
        <v>0</v>
      </c>
      <c r="BA1654" s="62" t="n">
        <f aca="false">IF(LEFT(Cockpit!$O$5,1)="A",H1654,IF(Parameter!$E$30="MAX-Bestand",IF(CI1654=1,CJ1654,IF(LEFT(Cockpit!$O$5,1)="B",BG1654,MAX(BG1654,H1654))),ROUNDUP(BE1654,0)))</f>
        <v>10</v>
      </c>
      <c r="BB1654" s="62" t="n">
        <f aca="false">IF(CA1654=1,0,ROUNDUP(BA1654/BZ1654,0))</f>
        <v>1</v>
      </c>
      <c r="BC1654" s="64" t="n">
        <f aca="false">IF(CR1654&gt;0,CR1654*MAX(1,BA1654/X1654),IF(CA1654=1,IF(BA1654&lt;=0,0,CE1654*MAX(1,IF(H1654&gt;0,BA1654/H1654,1))),IF(R1654&gt;0,BB1654/R1654,0))/MAX(0.1,N(Parameter!$M$21)))</f>
        <v>0.0384615384615385</v>
      </c>
      <c r="BD1654" s="62" t="n">
        <f aca="false">BC1654*CC1654</f>
        <v>5.96153846153846</v>
      </c>
      <c r="BE1654" s="63" t="n">
        <f aca="false">IF(LEFT(Cockpit!$O$5,1)="A",H1654,IF(CI1654=1,(CL1654+CJ1654)/2,IF(LEFT(Cockpit!$O$5,1)="B",(CL1654+BG1654)/2,MAX((CL1654+BG1654)/2,H1654))))</f>
        <v>10</v>
      </c>
      <c r="BF1654" s="62" t="n">
        <f aca="false">BE1654*G1654</f>
        <v>190</v>
      </c>
      <c r="BG1654" s="62" t="n">
        <f aca="false">ROUNDUP(CL1654+MAX(CM1654,2*(J1654/IF(CH1654&gt;0,CH1654,MAX(0.1,N(Cockpit!$O$6)))-CL1654)),0)</f>
        <v>20</v>
      </c>
      <c r="BH1654" s="63" t="n">
        <f aca="false">IF(BD1654&gt;0,J1654/BD1654,-1)</f>
        <v>0</v>
      </c>
      <c r="BI1654" s="63" t="n">
        <f aca="false">IF(AND(OR(CG1654="L1",CG1654="L23",CG1654="LIFT"),BD1654&gt;0),SUMIFS($BD$7:$BD$1843,$CG$7:$CG$1843,CG1654,$BH$7:$BH$1843,"&gt;"&amp;BH1654)+SUMIFS($BD$7:$BD$1843,$CG$7:$CG$1843,CG1654,$BH$7:$BH$1843,BH1654,$BX$7:$BX$1843,"&lt;="&amp;BX1654),"")</f>
        <v>31632.3484458103</v>
      </c>
      <c r="BJ1654" s="70" t="n">
        <f aca="false">IF(BI1654="",0,MAX(0,MIN(1,(IF(CG1654="L1",Parameter!$H$5,IF(CG1654="L23",Parameter!$H$6+Parameter!$H$7,Parameter!$H$5+Parameter!$H$6+Parameter!$H$7))-(BI1654-BD1654))/BD1654)))</f>
        <v>1</v>
      </c>
      <c r="BK1654" s="60" t="str">
        <f aca="false">IF(AJ1654&lt;=0,"",IF(CG1654="Aussen","Aussenlager",IF(CG1654="-","Nicht im Lift",IF(AP1654&gt;=1,"Lift",IF(AP1654&lt;=0,"Aussenlager","teilweise")))))</f>
        <v>Lift</v>
      </c>
      <c r="BL1654" s="60" t="str">
        <f aca="false">IF(AT1654&lt;=0,"",IF(CG1654="Aussen","Aussenlager",IF(CG1654="-","Nicht im Lift",IF(AZ1654&gt;=1,"Lift",IF(AZ1654&lt;=0,"Aussenlager","teilweise")))))</f>
        <v>Aussenlager</v>
      </c>
      <c r="BM1654" s="60" t="str">
        <f aca="false">IF(BD1654&lt;=0,"",IF(CG1654="Aussen","Aussenlager",IF(CG1654="-","Nicht im Lift",IF(BJ1654&gt;=1,"Lift",IF(BJ1654&lt;=0,"Aussenlager","teilweise")))))</f>
        <v>Lift</v>
      </c>
      <c r="BN1654" s="60" t="str">
        <f aca="false">IF(A1654="","",IF(BW1654=1,"Neu; ","")&amp;IF(AND(BW1654=0,BR1654&lt;0),"negativer Bestand (Export "&amp;BR1654&amp;"); ","")&amp;IF(J1654&lt;=0,"Kein Verbrauch; ","")&amp;IF(CR1654&gt;0,"Lift "&amp;W1654&amp;" lt. Liftbericht (Fach "&amp;X1654&amp;" Stk); ",IF(CB1654=1,"Gebinde geschätzt ("&amp;T1654&amp;"); ",IF(CA1654=1,"Lose – Tablare geschätzt; ","")))&amp;IF(H1654&gt;AW1654,"Überbestand "&amp;ROUND(H1654-AW1654,0)&amp;" Stk / CHF "&amp;ROUND((H1654-AW1654)*G1654,0)&amp;"; ","")&amp;IF(AND(CI1654=1,CJ1654&lt;CK1654),"MAX &lt; MB+LG; ","")&amp;IF(AND(CQ1654&gt;0,CP1654*10&gt;CQ1654),"zu hoch für Tablar; ","")&amp;IF(AND(BW1654=0,OR(CI1654=1,AB1654&lt;&gt;"",U1654&lt;&gt;"",V1654&lt;&gt;"",AC1654&lt;&gt;"")),"manuell übersteuert; ","")&amp;IF(AND(CA1654=0,R1654=0),"Gebinde unbekannt / Stellmass fehlt; ","")&amp;IF(AND(CA1654=0,N(V1654)&lt;=0,N(Q1654)&lt;=0),"Menge pro Gebinde fehlt (Ist = 1 Gebinde); ","")&amp;BV1654)</f>
        <v>Kein Verbrauch; Gebinde geschätzt (Klein); Überbestand 25 Stk / CHF 475; Menge pro Gebinde fehlt (Ist = 1 Gebinde); nur im Artikelstamm (Bestand 23.06.2026); nicht im KTL vorhanden</v>
      </c>
      <c r="BO1654" s="60"/>
      <c r="BP1654" s="60"/>
      <c r="BQ1654" s="67"/>
      <c r="BR1654" s="62" t="n">
        <v>45</v>
      </c>
      <c r="BS1654" s="62" t="n">
        <v>0</v>
      </c>
      <c r="BT1654" s="61" t="n">
        <v>0</v>
      </c>
      <c r="BU1654" s="62" t="n">
        <v>0</v>
      </c>
      <c r="BV1654" s="60" t="s">
        <v>2920</v>
      </c>
      <c r="BW1654" s="65" t="n">
        <v>0</v>
      </c>
      <c r="BX1654" s="65" t="n">
        <v>1654</v>
      </c>
      <c r="BY1654" s="60" t="str">
        <f aca="false">IF(U1654&lt;&gt;"",UPPER(TRIM(U1654)),IF(CB1654=1,UPPER(VLOOKUP(T1654,Parameter!$I$27:$K$29,2,0)),IF(P1654="","LOSE",P1654)))</f>
        <v>S51</v>
      </c>
      <c r="BZ1654" s="62" t="n">
        <f aca="false">IF(BY1654="LOSE",1,IF(N(V1654)&gt;0,V1654,IF(CB1654=1,MAX(1,N(VLOOKUP(T1654,Parameter!$I$27:$K$29,3,0)),H1654,N(N1654)),IF(N(Q1654)&gt;0,Q1654,MAX(1,H1654)))))</f>
        <v>45</v>
      </c>
      <c r="CA1654" s="65" t="n">
        <f aca="false">IF(BY1654="LOSE",1,0)</f>
        <v>0</v>
      </c>
      <c r="CB1654" s="65" t="n">
        <f aca="false">IF(AND(U1654="",OR(P1654="",P1654="LOSE"),T1654&lt;&gt;"",N(S1654)&lt;=0,ISNUMBER(MATCH(T1654,Parameter!$I$27:$I$29,0))),1,0)</f>
        <v>1</v>
      </c>
      <c r="CC1654" s="65" t="n">
        <f aca="false">IF(CR1654&gt;0,INDEX(Parameter!$H$5:$H$7,W1654)/INDEX(Parameter!$E$5:$E$7,W1654),IF(AND(CA1654=0,N(IFERROR(VLOOKUP(BY1654,'Gebinde-Kategorie'!$A$5:$N$45,14,0),0))&gt;0),VLOOKUP(BY1654,'Gebinde-Kategorie'!$A$5:$N$45,14,0)*10+Parameter!$M$23,Parameter!$M$24))</f>
        <v>155</v>
      </c>
      <c r="CD1654" s="60" t="str">
        <f aca="false">IF(AND(Parameter!$B$19="Ja",E1654&lt;&gt;"",ISNUMBER(MATCH(E1654,Parameter!$I$35:$I$52,0))),VLOOKUP(E1654,Parameter!$I$35:$J$52,2,0),IFERROR(VLOOKUP(D1654,Parameter!$A$35:$C$64,2,0),"Nein"))</f>
        <v>2+3</v>
      </c>
      <c r="CE1654" s="64" t="n">
        <f aca="false">IF(CA1654=0,0,IF(N(S1654)&gt;0,S1654,IFERROR(VLOOKUP(D1654,Parameter!$A$35:$C$64,3,0)+0,0)))</f>
        <v>0</v>
      </c>
      <c r="CF1654" s="60" t="n">
        <f aca="false">IF(AB1654&lt;&gt;"",AB1654,AA1654)</f>
        <v>3</v>
      </c>
      <c r="CG1654" s="60" t="str">
        <f aca="false">IF(OR(CF1654=1,CF1654=2,CF1654=3),IF(Parameter!$E$27="Ja","LIFT",IF(CF1654=1,"L1","L23")),IF(CF1654="Aussen","Aussen","-"))</f>
        <v>LIFT</v>
      </c>
      <c r="CH1654" s="71" t="n">
        <f aca="false">IF(N(AC1654)&gt;0,AC1654,0)</f>
        <v>0</v>
      </c>
      <c r="CI1654" s="65" t="n">
        <f aca="false">IF(ISNUMBER(AF1654),1,0)</f>
        <v>0</v>
      </c>
      <c r="CJ1654" s="62" t="n">
        <f aca="false">N(AF1654)</f>
        <v>0</v>
      </c>
      <c r="CK1654" s="62" t="n">
        <f aca="false">N(M1654)+N(N1654)</f>
        <v>20</v>
      </c>
      <c r="CL1654" s="62" t="n">
        <f aca="false">N(M1654)</f>
        <v>0</v>
      </c>
      <c r="CM1654" s="62" t="n">
        <f aca="false">N(N1654)</f>
        <v>20</v>
      </c>
      <c r="CN1654" s="62" t="n">
        <f aca="false">ROUNDUP(H1654/BZ1654,0)</f>
        <v>1</v>
      </c>
      <c r="CO1654" s="62" t="n">
        <f aca="false">ROUNDUP(CJ1654/BZ1654,0)</f>
        <v>0</v>
      </c>
      <c r="CP1654" s="65" t="n">
        <f aca="false">IF(CA1654=1,0,IFERROR(VLOOKUP(BY1654,'Gebinde-Kategorie'!$A$5:$N$45,5,0)+0,0))</f>
        <v>11</v>
      </c>
      <c r="CQ1654" s="65" t="n">
        <f aca="false">IFERROR(IF(OR(CF1654=1,CF1654=2,CF1654=3),N(INDEX(Parameter!$I$5:$I$7,CF1654)),0),0)</f>
        <v>0</v>
      </c>
      <c r="CR1654" s="64" t="n">
        <f aca="false">IF(AND(Parameter!$B$21="Ja",ISNUMBER(W1654),N(X1654)&gt;0),IFERROR(N(INDEX(Parameter!$L$5:$L$7,W1654))*INDEX(Parameter!$E$5:$E$7,W1654)*X1654/SUMIFS($X$7:$X$1843,$W$7:$W$1843,W1654),0),0)</f>
        <v>0</v>
      </c>
      <c r="CS1654" s="62" t="n">
        <f aca="false">IF(AND(OR(CG1654="L1",CG1654="L23",CG1654="LIFT"),H1654&gt;0),CC1654*IF(CR1654&gt;0,CR1654*MAX(1,H1654/X1654),IF(CA1654=1,CE1654,IF(R1654&gt;0,CN1654/R1654,0))/MAX(0.1,N(Parameter!$M$21))),"")</f>
        <v>5.96153846153846</v>
      </c>
      <c r="CT1654" s="64" t="n">
        <f aca="false">IF(CS1654="","",J1654/H1654)</f>
        <v>0</v>
      </c>
      <c r="CU1654" s="62" t="n">
        <f aca="false">IF(CS1654="","",H1654*G1654)</f>
        <v>855</v>
      </c>
      <c r="CV1654" s="63" t="n">
        <f aca="false">IF(CS1654="","",(CL1654+ROUNDUP(CL1654+MAX(CM1654,2*(J1654/MAX(0.1,N(Einkauf!$C$6))-CL1654)),0))/2)</f>
        <v>10</v>
      </c>
      <c r="CW1654" s="62" t="n">
        <f aca="false">IF(CS1654="","",MAX(0,H1654-CV1654)*G1654)</f>
        <v>665</v>
      </c>
      <c r="CX1654" s="62" t="n">
        <f aca="false">IF(CS1654="","",CS1654*MAX(0,1-CV1654/H1654))</f>
        <v>4.63675213675214</v>
      </c>
      <c r="CY1654" s="64" t="n">
        <f aca="false">IF(CS1654="","",PERCENTRANK($CS$7:$CS$1843,CS1654)+PERCENTRANK($CU$7:$CU$1843,CU1654)+1-PERCENTRANK($CT$7:$CT$1843,CT1654))</f>
        <v>1.976</v>
      </c>
      <c r="CZ1654" s="72" t="n">
        <f aca="false">IF(CS1654="","",CHOOSE(MATCH(Einkauf!$C$5,Parameter!$G$23:$G$27,0),CY1654,CS1654,CU1654,-CT1654,CW1654)+ROW()/1000000000)</f>
        <v>1.976001654</v>
      </c>
    </row>
    <row r="1655" customFormat="false" ht="15" hidden="false" customHeight="false" outlineLevel="0" collapsed="false">
      <c r="A1655" s="60" t="s">
        <v>2921</v>
      </c>
      <c r="B1655" s="60" t="s">
        <v>329</v>
      </c>
      <c r="C1655" s="60" t="s">
        <v>206</v>
      </c>
      <c r="D1655" s="60" t="s">
        <v>215</v>
      </c>
      <c r="E1655" s="60"/>
      <c r="F1655" s="60"/>
      <c r="G1655" s="61" t="n">
        <v>1770</v>
      </c>
      <c r="H1655" s="62" t="n">
        <f aca="false">MAX(0,IF(AND(Parameter!$B$21="Ja",ISNUMBER(Y1655)),Y1655,IF(Parameter!$B$20="Jahresanfang 2025 + Export",BS1655+BR1655,BR1655)))</f>
        <v>1</v>
      </c>
      <c r="I1655" s="62" t="n">
        <f aca="false">H1655*G1655</f>
        <v>1770</v>
      </c>
      <c r="J1655" s="62" t="n">
        <f aca="false">BU1655*Parameter!$B$18</f>
        <v>0</v>
      </c>
      <c r="K1655" s="63"/>
      <c r="L1655" s="64"/>
      <c r="M1655" s="62" t="n">
        <v>0</v>
      </c>
      <c r="N1655" s="62" t="n">
        <v>1</v>
      </c>
      <c r="O1655" s="65" t="n">
        <v>35</v>
      </c>
      <c r="P1655" s="60" t="s">
        <v>210</v>
      </c>
      <c r="Q1655" s="62"/>
      <c r="R1655" s="65" t="n">
        <f aca="false">IF(CA1655=1,0,IFERROR(VLOOKUP(BY1655,'Gebinde-Kategorie'!$A$5:$N$45,13,0)+0,0))</f>
        <v>12</v>
      </c>
      <c r="S1655" s="66"/>
      <c r="T1655" s="67" t="s">
        <v>221</v>
      </c>
      <c r="U1655" s="67"/>
      <c r="V1655" s="67"/>
      <c r="W1655" s="60"/>
      <c r="X1655" s="62"/>
      <c r="Y1655" s="62"/>
      <c r="Z1655" s="60" t="n">
        <v>3</v>
      </c>
      <c r="AA1655" s="60" t="n">
        <f aca="false">IF(A1655="","",IF(AND(Parameter!$B$21="Ja",ISNUMBER(W1655)),W1655,IF(AND(Parameter!$E$27="Ja",ISNUMBER(Z1655),CD1655&lt;&gt;"Nein"),Z1655,IF(CD1655="2+3",IF(ISNUMBER(SEARCH("grosser Artikel",BV1655)),2,IFERROR(VLOOKUP(BY1655,Parameter!$F$35:$G$64,2,0),2)),IF(OR(CD1655="Nein",CD1655=""),"-",CD1655)))))</f>
        <v>3</v>
      </c>
      <c r="AB1655" s="67"/>
      <c r="AC1655" s="68"/>
      <c r="AD1655" s="62" t="n">
        <f aca="false">AW1655</f>
        <v>1</v>
      </c>
      <c r="AE1655" s="62" t="n">
        <f aca="false">MAX(AW1655,H1655)</f>
        <v>1</v>
      </c>
      <c r="AF1655" s="69"/>
      <c r="AG1655" s="62" t="n">
        <f aca="false">IF(LEFT(Cockpit!$C$5,1)="A",H1655,IF(Parameter!$E$30="MAX-Bestand",IF(CI1655=1,CJ1655,IF(LEFT(Cockpit!$C$5,1)="B",AM1655,MAX(AM1655,H1655))),ROUNDUP(AK1655,0)))</f>
        <v>1</v>
      </c>
      <c r="AH1655" s="62" t="n">
        <f aca="false">IF(CA1655=1,0,ROUNDUP(AG1655/BZ1655,0))</f>
        <v>1</v>
      </c>
      <c r="AI1655" s="64" t="n">
        <f aca="false">IF(CR1655&gt;0,CR1655*MAX(1,AG1655/X1655),IF(CA1655=1,IF(AG1655&lt;=0,0,CE1655*MAX(1,IF(H1655&gt;0,AG1655/H1655,1))),IF(R1655&gt;0,AH1655/R1655,0))/MAX(0.1,N(Parameter!$M$21)))</f>
        <v>0.0833333333333333</v>
      </c>
      <c r="AJ1655" s="62" t="n">
        <f aca="false">AI1655*CC1655</f>
        <v>12.0833333333333</v>
      </c>
      <c r="AK1655" s="63" t="n">
        <f aca="false">IF(LEFT(Cockpit!$C$5,1)="A",H1655,IF(CI1655=1,(CL1655+CJ1655)/2,IF(LEFT(Cockpit!$C$5,1)="B",(CL1655+AM1655)/2,MAX((CL1655+AM1655)/2,H1655))))</f>
        <v>1</v>
      </c>
      <c r="AL1655" s="62" t="n">
        <f aca="false">AK1655*G1655</f>
        <v>1770</v>
      </c>
      <c r="AM1655" s="62" t="n">
        <f aca="false">ROUNDUP(CL1655+MAX(CM1655,2*(J1655/IF(CH1655&gt;0,CH1655,MAX(0.1,N(Cockpit!$C$6)))-CL1655)),0)</f>
        <v>1</v>
      </c>
      <c r="AN1655" s="63" t="n">
        <f aca="false">IF(AJ1655&gt;0,J1655/AJ1655,-1)</f>
        <v>0</v>
      </c>
      <c r="AO1655" s="63" t="n">
        <f aca="false">IF(AND(OR(CG1655="L1",CG1655="L23",CG1655="LIFT"),AJ1655&gt;0),SUMIFS($AJ$7:$AJ$1843,$CG$7:$CG$1843,CG1655,$AN$7:$AN$1843,"&gt;"&amp;AN1655)+SUMIFS($AJ$7:$AJ$1843,$CG$7:$CG$1843,CG1655,$AN$7:$AN$1843,AN1655,$BX$7:$BX$1843,"&lt;="&amp;BX1655),"")</f>
        <v>31262.7422730283</v>
      </c>
      <c r="AP1655" s="70" t="n">
        <f aca="false">IF(AO1655="",0,MAX(0,MIN(1,(IF(CG1655="L1",Parameter!$H$5,IF(CG1655="L23",Parameter!$H$6+Parameter!$H$7,Parameter!$H$5+Parameter!$H$6+Parameter!$H$7))-(AO1655-AJ1655))/AJ1655)))</f>
        <v>1</v>
      </c>
      <c r="AQ1655" s="62" t="n">
        <f aca="false">IF(LEFT(Cockpit!$I$5,1)="A",H1655,IF(Parameter!$E$30="MAX-Bestand",IF(CI1655=1,CJ1655,IF(LEFT(Cockpit!$I$5,1)="B",AW1655,MAX(AW1655,H1655))),ROUNDUP(AU1655,0)))</f>
        <v>1</v>
      </c>
      <c r="AR1655" s="62" t="n">
        <f aca="false">IF(CA1655=1,0,ROUNDUP(AQ1655/BZ1655,0))</f>
        <v>1</v>
      </c>
      <c r="AS1655" s="64" t="n">
        <f aca="false">IF(CR1655&gt;0,CR1655*MAX(1,AQ1655/X1655),IF(CA1655=1,IF(AQ1655&lt;=0,0,CE1655*MAX(1,IF(H1655&gt;0,AQ1655/H1655,1))),IF(R1655&gt;0,AR1655/R1655,0))/MAX(0.1,N(Parameter!$M$21)))</f>
        <v>0.0833333333333333</v>
      </c>
      <c r="AT1655" s="62" t="n">
        <f aca="false">AS1655*CC1655</f>
        <v>12.0833333333333</v>
      </c>
      <c r="AU1655" s="63" t="n">
        <f aca="false">IF(LEFT(Cockpit!$I$5,1)="A",H1655,IF(CI1655=1,(CL1655+CJ1655)/2,IF(LEFT(Cockpit!$I$5,1)="B",(CL1655+AW1655)/2,MAX((CL1655+AW1655)/2,H1655))))</f>
        <v>1</v>
      </c>
      <c r="AV1655" s="62" t="n">
        <f aca="false">AU1655*G1655</f>
        <v>1770</v>
      </c>
      <c r="AW1655" s="62" t="n">
        <f aca="false">ROUNDUP(CL1655+MAX(CM1655,2*(J1655/IF(CH1655&gt;0,CH1655,MAX(0.1,N(Cockpit!$I$6)))-CL1655)),0)</f>
        <v>1</v>
      </c>
      <c r="AX1655" s="63" t="n">
        <f aca="false">IF(AT1655&gt;0,J1655/AT1655,-1)</f>
        <v>0</v>
      </c>
      <c r="AY1655" s="63" t="n">
        <f aca="false">IF(AND(OR(CG1655="L1",CG1655="L23",CG1655="LIFT"),AT1655&gt;0),SUMIFS($AT$7:$AT$1843,$CG$7:$CG$1843,CG1655,$AX$7:$AX$1843,"&gt;"&amp;AX1655)+SUMIFS($AT$7:$AT$1843,$CG$7:$CG$1843,CG1655,$AX$7:$AX$1843,AX1655,$BX$7:$BX$1843,"&lt;="&amp;BX1655),"")</f>
        <v>37734.9905036113</v>
      </c>
      <c r="AZ1655" s="70" t="n">
        <f aca="false">IF(AY1655="",0,MAX(0,MIN(1,(IF(CG1655="L1",Parameter!$H$5,IF(CG1655="L23",Parameter!$H$6+Parameter!$H$7,Parameter!$H$5+Parameter!$H$6+Parameter!$H$7))-(AY1655-AT1655))/AT1655)))</f>
        <v>0</v>
      </c>
      <c r="BA1655" s="62" t="n">
        <f aca="false">IF(LEFT(Cockpit!$O$5,1)="A",H1655,IF(Parameter!$E$30="MAX-Bestand",IF(CI1655=1,CJ1655,IF(LEFT(Cockpit!$O$5,1)="B",BG1655,MAX(BG1655,H1655))),ROUNDUP(BE1655,0)))</f>
        <v>1</v>
      </c>
      <c r="BB1655" s="62" t="n">
        <f aca="false">IF(CA1655=1,0,ROUNDUP(BA1655/BZ1655,0))</f>
        <v>1</v>
      </c>
      <c r="BC1655" s="64" t="n">
        <f aca="false">IF(CR1655&gt;0,CR1655*MAX(1,BA1655/X1655),IF(CA1655=1,IF(BA1655&lt;=0,0,CE1655*MAX(1,IF(H1655&gt;0,BA1655/H1655,1))),IF(R1655&gt;0,BB1655/R1655,0))/MAX(0.1,N(Parameter!$M$21)))</f>
        <v>0.0833333333333333</v>
      </c>
      <c r="BD1655" s="62" t="n">
        <f aca="false">BC1655*CC1655</f>
        <v>12.0833333333333</v>
      </c>
      <c r="BE1655" s="63" t="n">
        <f aca="false">IF(LEFT(Cockpit!$O$5,1)="A",H1655,IF(CI1655=1,(CL1655+CJ1655)/2,IF(LEFT(Cockpit!$O$5,1)="B",(CL1655+BG1655)/2,MAX((CL1655+BG1655)/2,H1655))))</f>
        <v>0.5</v>
      </c>
      <c r="BF1655" s="62" t="n">
        <f aca="false">BE1655*G1655</f>
        <v>885</v>
      </c>
      <c r="BG1655" s="62" t="n">
        <f aca="false">ROUNDUP(CL1655+MAX(CM1655,2*(J1655/IF(CH1655&gt;0,CH1655,MAX(0.1,N(Cockpit!$O$6)))-CL1655)),0)</f>
        <v>1</v>
      </c>
      <c r="BH1655" s="63" t="n">
        <f aca="false">IF(BD1655&gt;0,J1655/BD1655,-1)</f>
        <v>0</v>
      </c>
      <c r="BI1655" s="63" t="n">
        <f aca="false">IF(AND(OR(CG1655="L1",CG1655="L23",CG1655="LIFT"),BD1655&gt;0),SUMIFS($BD$7:$BD$1843,$CG$7:$CG$1843,CG1655,$BH$7:$BH$1843,"&gt;"&amp;BH1655)+SUMIFS($BD$7:$BD$1843,$CG$7:$CG$1843,CG1655,$BH$7:$BH$1843,BH1655,$BX$7:$BX$1843,"&lt;="&amp;BX1655),"")</f>
        <v>31644.4317791436</v>
      </c>
      <c r="BJ1655" s="70" t="n">
        <f aca="false">IF(BI1655="",0,MAX(0,MIN(1,(IF(CG1655="L1",Parameter!$H$5,IF(CG1655="L23",Parameter!$H$6+Parameter!$H$7,Parameter!$H$5+Parameter!$H$6+Parameter!$H$7))-(BI1655-BD1655))/BD1655)))</f>
        <v>1</v>
      </c>
      <c r="BK1655" s="60" t="str">
        <f aca="false">IF(AJ1655&lt;=0,"",IF(CG1655="Aussen","Aussenlager",IF(CG1655="-","Nicht im Lift",IF(AP1655&gt;=1,"Lift",IF(AP1655&lt;=0,"Aussenlager","teilweise")))))</f>
        <v>Lift</v>
      </c>
      <c r="BL1655" s="60" t="str">
        <f aca="false">IF(AT1655&lt;=0,"",IF(CG1655="Aussen","Aussenlager",IF(CG1655="-","Nicht im Lift",IF(AZ1655&gt;=1,"Lift",IF(AZ1655&lt;=0,"Aussenlager","teilweise")))))</f>
        <v>Aussenlager</v>
      </c>
      <c r="BM1655" s="60" t="str">
        <f aca="false">IF(BD1655&lt;=0,"",IF(CG1655="Aussen","Aussenlager",IF(CG1655="-","Nicht im Lift",IF(BJ1655&gt;=1,"Lift",IF(BJ1655&lt;=0,"Aussenlager","teilweise")))))</f>
        <v>Lift</v>
      </c>
      <c r="BN1655" s="60" t="str">
        <f aca="false">IF(A1655="","",IF(BW1655=1,"Neu; ","")&amp;IF(AND(BW1655=0,BR1655&lt;0),"negativer Bestand (Export "&amp;BR1655&amp;"); ","")&amp;IF(J1655&lt;=0,"Kein Verbrauch; ","")&amp;IF(CR1655&gt;0,"Lift "&amp;W1655&amp;" lt. Liftbericht (Fach "&amp;X1655&amp;" Stk); ",IF(CB1655=1,"Gebinde geschätzt ("&amp;T1655&amp;"); ",IF(CA1655=1,"Lose – Tablare geschätzt; ","")))&amp;IF(H1655&gt;AW1655,"Überbestand "&amp;ROUND(H1655-AW1655,0)&amp;" Stk / CHF "&amp;ROUND((H1655-AW1655)*G1655,0)&amp;"; ","")&amp;IF(AND(CI1655=1,CJ1655&lt;CK1655),"MAX &lt; MB+LG; ","")&amp;IF(AND(CQ1655&gt;0,CP1655*10&gt;CQ1655),"zu hoch für Tablar; ","")&amp;IF(AND(BW1655=0,OR(CI1655=1,AB1655&lt;&gt;"",U1655&lt;&gt;"",V1655&lt;&gt;"",AC1655&lt;&gt;"")),"manuell übersteuert; ","")&amp;IF(AND(CA1655=0,R1655=0),"Gebinde unbekannt / Stellmass fehlt; ","")&amp;IF(AND(CA1655=0,N(V1655)&lt;=0,N(Q1655)&lt;=0),"Menge pro Gebinde fehlt (Ist = 1 Gebinde); ","")&amp;BV1655)</f>
        <v>Kein Verbrauch; Gebinde geschätzt (Mittel); Menge pro Gebinde fehlt (Ist = 1 Gebinde); nur im Artikelstamm (Bestand 23.06.2026)</v>
      </c>
      <c r="BO1655" s="60"/>
      <c r="BP1655" s="60"/>
      <c r="BQ1655" s="67"/>
      <c r="BR1655" s="62" t="n">
        <v>1</v>
      </c>
      <c r="BS1655" s="62" t="n">
        <v>0</v>
      </c>
      <c r="BT1655" s="61" t="n">
        <v>0</v>
      </c>
      <c r="BU1655" s="62" t="n">
        <v>0</v>
      </c>
      <c r="BV1655" s="60" t="s">
        <v>2617</v>
      </c>
      <c r="BW1655" s="65" t="n">
        <v>0</v>
      </c>
      <c r="BX1655" s="65" t="n">
        <v>1655</v>
      </c>
      <c r="BY1655" s="60" t="str">
        <f aca="false">IF(U1655&lt;&gt;"",UPPER(TRIM(U1655)),IF(CB1655=1,UPPER(VLOOKUP(T1655,Parameter!$I$27:$K$29,2,0)),IF(P1655="","LOSE",P1655)))</f>
        <v>S61</v>
      </c>
      <c r="BZ1655" s="62" t="n">
        <f aca="false">IF(BY1655="LOSE",1,IF(N(V1655)&gt;0,V1655,IF(CB1655=1,MAX(1,N(VLOOKUP(T1655,Parameter!$I$27:$K$29,3,0)),H1655,N(N1655)),IF(N(Q1655)&gt;0,Q1655,MAX(1,H1655)))))</f>
        <v>4</v>
      </c>
      <c r="CA1655" s="65" t="n">
        <f aca="false">IF(BY1655="LOSE",1,0)</f>
        <v>0</v>
      </c>
      <c r="CB1655" s="65" t="n">
        <f aca="false">IF(AND(U1655="",OR(P1655="",P1655="LOSE"),T1655&lt;&gt;"",N(S1655)&lt;=0,ISNUMBER(MATCH(T1655,Parameter!$I$27:$I$29,0))),1,0)</f>
        <v>1</v>
      </c>
      <c r="CC1655" s="65" t="n">
        <f aca="false">IF(CR1655&gt;0,INDEX(Parameter!$H$5:$H$7,W1655)/INDEX(Parameter!$E$5:$E$7,W1655),IF(AND(CA1655=0,N(IFERROR(VLOOKUP(BY1655,'Gebinde-Kategorie'!$A$5:$N$45,14,0),0))&gt;0),VLOOKUP(BY1655,'Gebinde-Kategorie'!$A$5:$N$45,14,0)*10+Parameter!$M$23,Parameter!$M$24))</f>
        <v>145</v>
      </c>
      <c r="CD1655" s="60" t="str">
        <f aca="false">IF(AND(Parameter!$B$19="Ja",E1655&lt;&gt;"",ISNUMBER(MATCH(E1655,Parameter!$I$35:$I$52,0))),VLOOKUP(E1655,Parameter!$I$35:$J$52,2,0),IFERROR(VLOOKUP(D1655,Parameter!$A$35:$C$64,2,0),"Nein"))</f>
        <v>2+3</v>
      </c>
      <c r="CE1655" s="64" t="n">
        <f aca="false">IF(CA1655=0,0,IF(N(S1655)&gt;0,S1655,IFERROR(VLOOKUP(D1655,Parameter!$A$35:$C$64,3,0)+0,0)))</f>
        <v>0</v>
      </c>
      <c r="CF1655" s="60" t="n">
        <f aca="false">IF(AB1655&lt;&gt;"",AB1655,AA1655)</f>
        <v>3</v>
      </c>
      <c r="CG1655" s="60" t="str">
        <f aca="false">IF(OR(CF1655=1,CF1655=2,CF1655=3),IF(Parameter!$E$27="Ja","LIFT",IF(CF1655=1,"L1","L23")),IF(CF1655="Aussen","Aussen","-"))</f>
        <v>LIFT</v>
      </c>
      <c r="CH1655" s="71" t="n">
        <f aca="false">IF(N(AC1655)&gt;0,AC1655,0)</f>
        <v>0</v>
      </c>
      <c r="CI1655" s="65" t="n">
        <f aca="false">IF(ISNUMBER(AF1655),1,0)</f>
        <v>0</v>
      </c>
      <c r="CJ1655" s="62" t="n">
        <f aca="false">N(AF1655)</f>
        <v>0</v>
      </c>
      <c r="CK1655" s="62" t="n">
        <f aca="false">N(M1655)+N(N1655)</f>
        <v>1</v>
      </c>
      <c r="CL1655" s="62" t="n">
        <f aca="false">N(M1655)</f>
        <v>0</v>
      </c>
      <c r="CM1655" s="62" t="n">
        <f aca="false">N(N1655)</f>
        <v>1</v>
      </c>
      <c r="CN1655" s="62" t="n">
        <f aca="false">ROUNDUP(H1655/BZ1655,0)</f>
        <v>1</v>
      </c>
      <c r="CO1655" s="62" t="n">
        <f aca="false">ROUNDUP(CJ1655/BZ1655,0)</f>
        <v>0</v>
      </c>
      <c r="CP1655" s="65" t="n">
        <f aca="false">IF(CA1655=1,0,IFERROR(VLOOKUP(BY1655,'Gebinde-Kategorie'!$A$5:$N$45,5,0)+0,0))</f>
        <v>11</v>
      </c>
      <c r="CQ1655" s="65" t="n">
        <f aca="false">IFERROR(IF(OR(CF1655=1,CF1655=2,CF1655=3),N(INDEX(Parameter!$I$5:$I$7,CF1655)),0),0)</f>
        <v>0</v>
      </c>
      <c r="CR1655" s="64" t="n">
        <f aca="false">IF(AND(Parameter!$B$21="Ja",ISNUMBER(W1655),N(X1655)&gt;0),IFERROR(N(INDEX(Parameter!$L$5:$L$7,W1655))*INDEX(Parameter!$E$5:$E$7,W1655)*X1655/SUMIFS($X$7:$X$1843,$W$7:$W$1843,W1655),0),0)</f>
        <v>0</v>
      </c>
      <c r="CS1655" s="62" t="n">
        <f aca="false">IF(AND(OR(CG1655="L1",CG1655="L23",CG1655="LIFT"),H1655&gt;0),CC1655*IF(CR1655&gt;0,CR1655*MAX(1,H1655/X1655),IF(CA1655=1,CE1655,IF(R1655&gt;0,CN1655/R1655,0))/MAX(0.1,N(Parameter!$M$21))),"")</f>
        <v>12.0833333333333</v>
      </c>
      <c r="CT1655" s="64" t="n">
        <f aca="false">IF(CS1655="","",J1655/H1655)</f>
        <v>0</v>
      </c>
      <c r="CU1655" s="62" t="n">
        <f aca="false">IF(CS1655="","",H1655*G1655)</f>
        <v>1770</v>
      </c>
      <c r="CV1655" s="63" t="n">
        <f aca="false">IF(CS1655="","",(CL1655+ROUNDUP(CL1655+MAX(CM1655,2*(J1655/MAX(0.1,N(Einkauf!$C$6))-CL1655)),0))/2)</f>
        <v>0.5</v>
      </c>
      <c r="CW1655" s="62" t="n">
        <f aca="false">IF(CS1655="","",MAX(0,H1655-CV1655)*G1655)</f>
        <v>885</v>
      </c>
      <c r="CX1655" s="62" t="n">
        <f aca="false">IF(CS1655="","",CS1655*MAX(0,1-CV1655/H1655))</f>
        <v>6.04166666666667</v>
      </c>
      <c r="CY1655" s="64" t="n">
        <f aca="false">IF(CS1655="","",PERCENTRANK($CS$7:$CS$1843,CS1655)+PERCENTRANK($CU$7:$CU$1843,CU1655)+1-PERCENTRANK($CT$7:$CT$1843,CT1655))</f>
        <v>2.407</v>
      </c>
      <c r="CZ1655" s="72" t="n">
        <f aca="false">IF(CS1655="","",CHOOSE(MATCH(Einkauf!$C$5,Parameter!$G$23:$G$27,0),CY1655,CS1655,CU1655,-CT1655,CW1655)+ROW()/1000000000)</f>
        <v>2.407001655</v>
      </c>
    </row>
    <row r="1656" customFormat="false" ht="15" hidden="false" customHeight="false" outlineLevel="0" collapsed="false">
      <c r="A1656" s="60" t="s">
        <v>2922</v>
      </c>
      <c r="B1656" s="60" t="s">
        <v>2711</v>
      </c>
      <c r="C1656" s="60" t="s">
        <v>206</v>
      </c>
      <c r="D1656" s="60" t="s">
        <v>226</v>
      </c>
      <c r="E1656" s="60"/>
      <c r="F1656" s="60"/>
      <c r="G1656" s="61" t="n">
        <v>66.7</v>
      </c>
      <c r="H1656" s="62" t="n">
        <f aca="false">MAX(0,IF(AND(Parameter!$B$21="Ja",ISNUMBER(Y1656)),Y1656,IF(Parameter!$B$20="Jahresanfang 2025 + Export",BS1656+BR1656,BR1656)))</f>
        <v>32</v>
      </c>
      <c r="I1656" s="62" t="n">
        <f aca="false">H1656*G1656</f>
        <v>2134.4</v>
      </c>
      <c r="J1656" s="62" t="n">
        <f aca="false">BU1656*Parameter!$B$18</f>
        <v>0</v>
      </c>
      <c r="K1656" s="63"/>
      <c r="L1656" s="64"/>
      <c r="M1656" s="62" t="n">
        <v>0</v>
      </c>
      <c r="N1656" s="62" t="n">
        <v>8</v>
      </c>
      <c r="O1656" s="65" t="n">
        <v>42</v>
      </c>
      <c r="P1656" s="60" t="s">
        <v>210</v>
      </c>
      <c r="Q1656" s="62"/>
      <c r="R1656" s="65" t="n">
        <f aca="false">IF(CA1656=1,0,IFERROR(VLOOKUP(BY1656,'Gebinde-Kategorie'!$A$5:$N$45,13,0)+0,0))</f>
        <v>26</v>
      </c>
      <c r="S1656" s="66"/>
      <c r="T1656" s="67" t="s">
        <v>317</v>
      </c>
      <c r="U1656" s="67"/>
      <c r="V1656" s="67"/>
      <c r="W1656" s="60"/>
      <c r="X1656" s="62"/>
      <c r="Y1656" s="62"/>
      <c r="Z1656" s="60" t="n">
        <v>3</v>
      </c>
      <c r="AA1656" s="60" t="n">
        <f aca="false">IF(A1656="","",IF(AND(Parameter!$B$21="Ja",ISNUMBER(W1656)),W1656,IF(AND(Parameter!$E$27="Ja",ISNUMBER(Z1656),CD1656&lt;&gt;"Nein"),Z1656,IF(CD1656="2+3",IF(ISNUMBER(SEARCH("grosser Artikel",BV1656)),2,IFERROR(VLOOKUP(BY1656,Parameter!$F$35:$G$64,2,0),2)),IF(OR(CD1656="Nein",CD1656=""),"-",CD1656)))))</f>
        <v>3</v>
      </c>
      <c r="AB1656" s="67"/>
      <c r="AC1656" s="68"/>
      <c r="AD1656" s="62" t="n">
        <f aca="false">AW1656</f>
        <v>8</v>
      </c>
      <c r="AE1656" s="62" t="n">
        <f aca="false">MAX(AW1656,H1656)</f>
        <v>32</v>
      </c>
      <c r="AF1656" s="69"/>
      <c r="AG1656" s="62" t="n">
        <f aca="false">IF(LEFT(Cockpit!$C$5,1)="A",H1656,IF(Parameter!$E$30="MAX-Bestand",IF(CI1656=1,CJ1656,IF(LEFT(Cockpit!$C$5,1)="B",AM1656,MAX(AM1656,H1656))),ROUNDUP(AK1656,0)))</f>
        <v>32</v>
      </c>
      <c r="AH1656" s="62" t="n">
        <f aca="false">IF(CA1656=1,0,ROUNDUP(AG1656/BZ1656,0))</f>
        <v>1</v>
      </c>
      <c r="AI1656" s="64" t="n">
        <f aca="false">IF(CR1656&gt;0,CR1656*MAX(1,AG1656/X1656),IF(CA1656=1,IF(AG1656&lt;=0,0,CE1656*MAX(1,IF(H1656&gt;0,AG1656/H1656,1))),IF(R1656&gt;0,AH1656/R1656,0))/MAX(0.1,N(Parameter!$M$21)))</f>
        <v>0.0384615384615385</v>
      </c>
      <c r="AJ1656" s="62" t="n">
        <f aca="false">AI1656*CC1656</f>
        <v>5.96153846153846</v>
      </c>
      <c r="AK1656" s="63" t="n">
        <f aca="false">IF(LEFT(Cockpit!$C$5,1)="A",H1656,IF(CI1656=1,(CL1656+CJ1656)/2,IF(LEFT(Cockpit!$C$5,1)="B",(CL1656+AM1656)/2,MAX((CL1656+AM1656)/2,H1656))))</f>
        <v>32</v>
      </c>
      <c r="AL1656" s="62" t="n">
        <f aca="false">AK1656*G1656</f>
        <v>2134.4</v>
      </c>
      <c r="AM1656" s="62" t="n">
        <f aca="false">ROUNDUP(CL1656+MAX(CM1656,2*(J1656/IF(CH1656&gt;0,CH1656,MAX(0.1,N(Cockpit!$C$6)))-CL1656)),0)</f>
        <v>8</v>
      </c>
      <c r="AN1656" s="63" t="n">
        <f aca="false">IF(AJ1656&gt;0,J1656/AJ1656,-1)</f>
        <v>0</v>
      </c>
      <c r="AO1656" s="63" t="n">
        <f aca="false">IF(AND(OR(CG1656="L1",CG1656="L23",CG1656="LIFT"),AJ1656&gt;0),SUMIFS($AJ$7:$AJ$1843,$CG$7:$CG$1843,CG1656,$AN$7:$AN$1843,"&gt;"&amp;AN1656)+SUMIFS($AJ$7:$AJ$1843,$CG$7:$CG$1843,CG1656,$AN$7:$AN$1843,AN1656,$BX$7:$BX$1843,"&lt;="&amp;BX1656),"")</f>
        <v>31268.7038114898</v>
      </c>
      <c r="AP1656" s="70" t="n">
        <f aca="false">IF(AO1656="",0,MAX(0,MIN(1,(IF(CG1656="L1",Parameter!$H$5,IF(CG1656="L23",Parameter!$H$6+Parameter!$H$7,Parameter!$H$5+Parameter!$H$6+Parameter!$H$7))-(AO1656-AJ1656))/AJ1656)))</f>
        <v>1</v>
      </c>
      <c r="AQ1656" s="62" t="n">
        <f aca="false">IF(LEFT(Cockpit!$I$5,1)="A",H1656,IF(Parameter!$E$30="MAX-Bestand",IF(CI1656=1,CJ1656,IF(LEFT(Cockpit!$I$5,1)="B",AW1656,MAX(AW1656,H1656))),ROUNDUP(AU1656,0)))</f>
        <v>32</v>
      </c>
      <c r="AR1656" s="62" t="n">
        <f aca="false">IF(CA1656=1,0,ROUNDUP(AQ1656/BZ1656,0))</f>
        <v>1</v>
      </c>
      <c r="AS1656" s="64" t="n">
        <f aca="false">IF(CR1656&gt;0,CR1656*MAX(1,AQ1656/X1656),IF(CA1656=1,IF(AQ1656&lt;=0,0,CE1656*MAX(1,IF(H1656&gt;0,AQ1656/H1656,1))),IF(R1656&gt;0,AR1656/R1656,0))/MAX(0.1,N(Parameter!$M$21)))</f>
        <v>0.0384615384615385</v>
      </c>
      <c r="AT1656" s="62" t="n">
        <f aca="false">AS1656*CC1656</f>
        <v>5.96153846153846</v>
      </c>
      <c r="AU1656" s="63" t="n">
        <f aca="false">IF(LEFT(Cockpit!$I$5,1)="A",H1656,IF(CI1656=1,(CL1656+CJ1656)/2,IF(LEFT(Cockpit!$I$5,1)="B",(CL1656+AW1656)/2,MAX((CL1656+AW1656)/2,H1656))))</f>
        <v>32</v>
      </c>
      <c r="AV1656" s="62" t="n">
        <f aca="false">AU1656*G1656</f>
        <v>2134.4</v>
      </c>
      <c r="AW1656" s="62" t="n">
        <f aca="false">ROUNDUP(CL1656+MAX(CM1656,2*(J1656/IF(CH1656&gt;0,CH1656,MAX(0.1,N(Cockpit!$I$6)))-CL1656)),0)</f>
        <v>8</v>
      </c>
      <c r="AX1656" s="63" t="n">
        <f aca="false">IF(AT1656&gt;0,J1656/AT1656,-1)</f>
        <v>0</v>
      </c>
      <c r="AY1656" s="63" t="n">
        <f aca="false">IF(AND(OR(CG1656="L1",CG1656="L23",CG1656="LIFT"),AT1656&gt;0),SUMIFS($AT$7:$AT$1843,$CG$7:$CG$1843,CG1656,$AX$7:$AX$1843,"&gt;"&amp;AX1656)+SUMIFS($AT$7:$AT$1843,$CG$7:$CG$1843,CG1656,$AX$7:$AX$1843,AX1656,$BX$7:$BX$1843,"&lt;="&amp;BX1656),"")</f>
        <v>37740.9520420728</v>
      </c>
      <c r="AZ1656" s="70" t="n">
        <f aca="false">IF(AY1656="",0,MAX(0,MIN(1,(IF(CG1656="L1",Parameter!$H$5,IF(CG1656="L23",Parameter!$H$6+Parameter!$H$7,Parameter!$H$5+Parameter!$H$6+Parameter!$H$7))-(AY1656-AT1656))/AT1656)))</f>
        <v>0</v>
      </c>
      <c r="BA1656" s="62" t="n">
        <f aca="false">IF(LEFT(Cockpit!$O$5,1)="A",H1656,IF(Parameter!$E$30="MAX-Bestand",IF(CI1656=1,CJ1656,IF(LEFT(Cockpit!$O$5,1)="B",BG1656,MAX(BG1656,H1656))),ROUNDUP(BE1656,0)))</f>
        <v>4</v>
      </c>
      <c r="BB1656" s="62" t="n">
        <f aca="false">IF(CA1656=1,0,ROUNDUP(BA1656/BZ1656,0))</f>
        <v>1</v>
      </c>
      <c r="BC1656" s="64" t="n">
        <f aca="false">IF(CR1656&gt;0,CR1656*MAX(1,BA1656/X1656),IF(CA1656=1,IF(BA1656&lt;=0,0,CE1656*MAX(1,IF(H1656&gt;0,BA1656/H1656,1))),IF(R1656&gt;0,BB1656/R1656,0))/MAX(0.1,N(Parameter!$M$21)))</f>
        <v>0.0384615384615385</v>
      </c>
      <c r="BD1656" s="62" t="n">
        <f aca="false">BC1656*CC1656</f>
        <v>5.96153846153846</v>
      </c>
      <c r="BE1656" s="63" t="n">
        <f aca="false">IF(LEFT(Cockpit!$O$5,1)="A",H1656,IF(CI1656=1,(CL1656+CJ1656)/2,IF(LEFT(Cockpit!$O$5,1)="B",(CL1656+BG1656)/2,MAX((CL1656+BG1656)/2,H1656))))</f>
        <v>4</v>
      </c>
      <c r="BF1656" s="62" t="n">
        <f aca="false">BE1656*G1656</f>
        <v>266.8</v>
      </c>
      <c r="BG1656" s="62" t="n">
        <f aca="false">ROUNDUP(CL1656+MAX(CM1656,2*(J1656/IF(CH1656&gt;0,CH1656,MAX(0.1,N(Cockpit!$O$6)))-CL1656)),0)</f>
        <v>8</v>
      </c>
      <c r="BH1656" s="63" t="n">
        <f aca="false">IF(BD1656&gt;0,J1656/BD1656,-1)</f>
        <v>0</v>
      </c>
      <c r="BI1656" s="63" t="n">
        <f aca="false">IF(AND(OR(CG1656="L1",CG1656="L23",CG1656="LIFT"),BD1656&gt;0),SUMIFS($BD$7:$BD$1843,$CG$7:$CG$1843,CG1656,$BH$7:$BH$1843,"&gt;"&amp;BH1656)+SUMIFS($BD$7:$BD$1843,$CG$7:$CG$1843,CG1656,$BH$7:$BH$1843,BH1656,$BX$7:$BX$1843,"&lt;="&amp;BX1656),"")</f>
        <v>31650.3933176052</v>
      </c>
      <c r="BJ1656" s="70" t="n">
        <f aca="false">IF(BI1656="",0,MAX(0,MIN(1,(IF(CG1656="L1",Parameter!$H$5,IF(CG1656="L23",Parameter!$H$6+Parameter!$H$7,Parameter!$H$5+Parameter!$H$6+Parameter!$H$7))-(BI1656-BD1656))/BD1656)))</f>
        <v>1</v>
      </c>
      <c r="BK1656" s="60" t="str">
        <f aca="false">IF(AJ1656&lt;=0,"",IF(CG1656="Aussen","Aussenlager",IF(CG1656="-","Nicht im Lift",IF(AP1656&gt;=1,"Lift",IF(AP1656&lt;=0,"Aussenlager","teilweise")))))</f>
        <v>Lift</v>
      </c>
      <c r="BL1656" s="60" t="str">
        <f aca="false">IF(AT1656&lt;=0,"",IF(CG1656="Aussen","Aussenlager",IF(CG1656="-","Nicht im Lift",IF(AZ1656&gt;=1,"Lift",IF(AZ1656&lt;=0,"Aussenlager","teilweise")))))</f>
        <v>Aussenlager</v>
      </c>
      <c r="BM1656" s="60" t="str">
        <f aca="false">IF(BD1656&lt;=0,"",IF(CG1656="Aussen","Aussenlager",IF(CG1656="-","Nicht im Lift",IF(BJ1656&gt;=1,"Lift",IF(BJ1656&lt;=0,"Aussenlager","teilweise")))))</f>
        <v>Lift</v>
      </c>
      <c r="BN1656" s="60" t="str">
        <f aca="false">IF(A1656="","",IF(BW1656=1,"Neu; ","")&amp;IF(AND(BW1656=0,BR1656&lt;0),"negativer Bestand (Export "&amp;BR1656&amp;"); ","")&amp;IF(J1656&lt;=0,"Kein Verbrauch; ","")&amp;IF(CR1656&gt;0,"Lift "&amp;W1656&amp;" lt. Liftbericht (Fach "&amp;X1656&amp;" Stk); ",IF(CB1656=1,"Gebinde geschätzt ("&amp;T1656&amp;"); ",IF(CA1656=1,"Lose – Tablare geschätzt; ","")))&amp;IF(H1656&gt;AW1656,"Überbestand "&amp;ROUND(H1656-AW1656,0)&amp;" Stk / CHF "&amp;ROUND((H1656-AW1656)*G1656,0)&amp;"; ","")&amp;IF(AND(CI1656=1,CJ1656&lt;CK1656),"MAX &lt; MB+LG; ","")&amp;IF(AND(CQ1656&gt;0,CP1656*10&gt;CQ1656),"zu hoch für Tablar; ","")&amp;IF(AND(BW1656=0,OR(CI1656=1,AB1656&lt;&gt;"",U1656&lt;&gt;"",V1656&lt;&gt;"",AC1656&lt;&gt;"")),"manuell übersteuert; ","")&amp;IF(AND(CA1656=0,R1656=0),"Gebinde unbekannt / Stellmass fehlt; ","")&amp;IF(AND(CA1656=0,N(V1656)&lt;=0,N(Q1656)&lt;=0),"Menge pro Gebinde fehlt (Ist = 1 Gebinde); ","")&amp;BV1656)</f>
        <v>Kein Verbrauch; Gebinde geschätzt (Klein); Überbestand 24 Stk / CHF 1601; Menge pro Gebinde fehlt (Ist = 1 Gebinde); nur im Artikelstamm (Bestand 23.06.2026)</v>
      </c>
      <c r="BO1656" s="60"/>
      <c r="BP1656" s="60"/>
      <c r="BQ1656" s="67"/>
      <c r="BR1656" s="62" t="n">
        <v>32</v>
      </c>
      <c r="BS1656" s="62" t="n">
        <v>0</v>
      </c>
      <c r="BT1656" s="61" t="n">
        <v>0</v>
      </c>
      <c r="BU1656" s="62" t="n">
        <v>0</v>
      </c>
      <c r="BV1656" s="60" t="s">
        <v>2617</v>
      </c>
      <c r="BW1656" s="65" t="n">
        <v>0</v>
      </c>
      <c r="BX1656" s="65" t="n">
        <v>1656</v>
      </c>
      <c r="BY1656" s="60" t="str">
        <f aca="false">IF(U1656&lt;&gt;"",UPPER(TRIM(U1656)),IF(CB1656=1,UPPER(VLOOKUP(T1656,Parameter!$I$27:$K$29,2,0)),IF(P1656="","LOSE",P1656)))</f>
        <v>S51</v>
      </c>
      <c r="BZ1656" s="62" t="n">
        <f aca="false">IF(BY1656="LOSE",1,IF(N(V1656)&gt;0,V1656,IF(CB1656=1,MAX(1,N(VLOOKUP(T1656,Parameter!$I$27:$K$29,3,0)),H1656,N(N1656)),IF(N(Q1656)&gt;0,Q1656,MAX(1,H1656)))))</f>
        <v>32</v>
      </c>
      <c r="CA1656" s="65" t="n">
        <f aca="false">IF(BY1656="LOSE",1,0)</f>
        <v>0</v>
      </c>
      <c r="CB1656" s="65" t="n">
        <f aca="false">IF(AND(U1656="",OR(P1656="",P1656="LOSE"),T1656&lt;&gt;"",N(S1656)&lt;=0,ISNUMBER(MATCH(T1656,Parameter!$I$27:$I$29,0))),1,0)</f>
        <v>1</v>
      </c>
      <c r="CC1656" s="65" t="n">
        <f aca="false">IF(CR1656&gt;0,INDEX(Parameter!$H$5:$H$7,W1656)/INDEX(Parameter!$E$5:$E$7,W1656),IF(AND(CA1656=0,N(IFERROR(VLOOKUP(BY1656,'Gebinde-Kategorie'!$A$5:$N$45,14,0),0))&gt;0),VLOOKUP(BY1656,'Gebinde-Kategorie'!$A$5:$N$45,14,0)*10+Parameter!$M$23,Parameter!$M$24))</f>
        <v>155</v>
      </c>
      <c r="CD1656" s="60" t="str">
        <f aca="false">IF(AND(Parameter!$B$19="Ja",E1656&lt;&gt;"",ISNUMBER(MATCH(E1656,Parameter!$I$35:$I$52,0))),VLOOKUP(E1656,Parameter!$I$35:$J$52,2,0),IFERROR(VLOOKUP(D1656,Parameter!$A$35:$C$64,2,0),"Nein"))</f>
        <v>2+3</v>
      </c>
      <c r="CE1656" s="64" t="n">
        <f aca="false">IF(CA1656=0,0,IF(N(S1656)&gt;0,S1656,IFERROR(VLOOKUP(D1656,Parameter!$A$35:$C$64,3,0)+0,0)))</f>
        <v>0</v>
      </c>
      <c r="CF1656" s="60" t="n">
        <f aca="false">IF(AB1656&lt;&gt;"",AB1656,AA1656)</f>
        <v>3</v>
      </c>
      <c r="CG1656" s="60" t="str">
        <f aca="false">IF(OR(CF1656=1,CF1656=2,CF1656=3),IF(Parameter!$E$27="Ja","LIFT",IF(CF1656=1,"L1","L23")),IF(CF1656="Aussen","Aussen","-"))</f>
        <v>LIFT</v>
      </c>
      <c r="CH1656" s="71" t="n">
        <f aca="false">IF(N(AC1656)&gt;0,AC1656,0)</f>
        <v>0</v>
      </c>
      <c r="CI1656" s="65" t="n">
        <f aca="false">IF(ISNUMBER(AF1656),1,0)</f>
        <v>0</v>
      </c>
      <c r="CJ1656" s="62" t="n">
        <f aca="false">N(AF1656)</f>
        <v>0</v>
      </c>
      <c r="CK1656" s="62" t="n">
        <f aca="false">N(M1656)+N(N1656)</f>
        <v>8</v>
      </c>
      <c r="CL1656" s="62" t="n">
        <f aca="false">N(M1656)</f>
        <v>0</v>
      </c>
      <c r="CM1656" s="62" t="n">
        <f aca="false">N(N1656)</f>
        <v>8</v>
      </c>
      <c r="CN1656" s="62" t="n">
        <f aca="false">ROUNDUP(H1656/BZ1656,0)</f>
        <v>1</v>
      </c>
      <c r="CO1656" s="62" t="n">
        <f aca="false">ROUNDUP(CJ1656/BZ1656,0)</f>
        <v>0</v>
      </c>
      <c r="CP1656" s="65" t="n">
        <f aca="false">IF(CA1656=1,0,IFERROR(VLOOKUP(BY1656,'Gebinde-Kategorie'!$A$5:$N$45,5,0)+0,0))</f>
        <v>11</v>
      </c>
      <c r="CQ1656" s="65" t="n">
        <f aca="false">IFERROR(IF(OR(CF1656=1,CF1656=2,CF1656=3),N(INDEX(Parameter!$I$5:$I$7,CF1656)),0),0)</f>
        <v>0</v>
      </c>
      <c r="CR1656" s="64" t="n">
        <f aca="false">IF(AND(Parameter!$B$21="Ja",ISNUMBER(W1656),N(X1656)&gt;0),IFERROR(N(INDEX(Parameter!$L$5:$L$7,W1656))*INDEX(Parameter!$E$5:$E$7,W1656)*X1656/SUMIFS($X$7:$X$1843,$W$7:$W$1843,W1656),0),0)</f>
        <v>0</v>
      </c>
      <c r="CS1656" s="62" t="n">
        <f aca="false">IF(AND(OR(CG1656="L1",CG1656="L23",CG1656="LIFT"),H1656&gt;0),CC1656*IF(CR1656&gt;0,CR1656*MAX(1,H1656/X1656),IF(CA1656=1,CE1656,IF(R1656&gt;0,CN1656/R1656,0))/MAX(0.1,N(Parameter!$M$21))),"")</f>
        <v>5.96153846153846</v>
      </c>
      <c r="CT1656" s="64" t="n">
        <f aca="false">IF(CS1656="","",J1656/H1656)</f>
        <v>0</v>
      </c>
      <c r="CU1656" s="62" t="n">
        <f aca="false">IF(CS1656="","",H1656*G1656)</f>
        <v>2134.4</v>
      </c>
      <c r="CV1656" s="63" t="n">
        <f aca="false">IF(CS1656="","",(CL1656+ROUNDUP(CL1656+MAX(CM1656,2*(J1656/MAX(0.1,N(Einkauf!$C$6))-CL1656)),0))/2)</f>
        <v>4</v>
      </c>
      <c r="CW1656" s="62" t="n">
        <f aca="false">IF(CS1656="","",MAX(0,H1656-CV1656)*G1656)</f>
        <v>1867.6</v>
      </c>
      <c r="CX1656" s="62" t="n">
        <f aca="false">IF(CS1656="","",CS1656*MAX(0,1-CV1656/H1656))</f>
        <v>5.21634615384615</v>
      </c>
      <c r="CY1656" s="64" t="n">
        <f aca="false">IF(CS1656="","",PERCENTRANK($CS$7:$CS$1843,CS1656)+PERCENTRANK($CU$7:$CU$1843,CU1656)+1-PERCENTRANK($CT$7:$CT$1843,CT1656))</f>
        <v>2.138</v>
      </c>
      <c r="CZ1656" s="72" t="n">
        <f aca="false">IF(CS1656="","",CHOOSE(MATCH(Einkauf!$C$5,Parameter!$G$23:$G$27,0),CY1656,CS1656,CU1656,-CT1656,CW1656)+ROW()/1000000000)</f>
        <v>2.138001656</v>
      </c>
    </row>
    <row r="1657" customFormat="false" ht="15" hidden="false" customHeight="false" outlineLevel="0" collapsed="false">
      <c r="A1657" s="60" t="s">
        <v>2923</v>
      </c>
      <c r="B1657" s="60" t="s">
        <v>356</v>
      </c>
      <c r="C1657" s="60" t="s">
        <v>206</v>
      </c>
      <c r="D1657" s="60" t="s">
        <v>215</v>
      </c>
      <c r="E1657" s="60"/>
      <c r="F1657" s="60"/>
      <c r="G1657" s="61" t="n">
        <v>1596</v>
      </c>
      <c r="H1657" s="62" t="n">
        <f aca="false">MAX(0,IF(AND(Parameter!$B$21="Ja",ISNUMBER(Y1657)),Y1657,IF(Parameter!$B$20="Jahresanfang 2025 + Export",BS1657+BR1657,BR1657)))</f>
        <v>1</v>
      </c>
      <c r="I1657" s="62" t="n">
        <f aca="false">H1657*G1657</f>
        <v>1596</v>
      </c>
      <c r="J1657" s="62" t="n">
        <f aca="false">BU1657*Parameter!$B$18</f>
        <v>0</v>
      </c>
      <c r="K1657" s="63"/>
      <c r="L1657" s="64"/>
      <c r="M1657" s="62" t="n">
        <v>0</v>
      </c>
      <c r="N1657" s="62" t="n">
        <v>1</v>
      </c>
      <c r="O1657" s="65" t="n">
        <v>35</v>
      </c>
      <c r="P1657" s="60" t="s">
        <v>210</v>
      </c>
      <c r="Q1657" s="62"/>
      <c r="R1657" s="65" t="n">
        <f aca="false">IF(CA1657=1,0,IFERROR(VLOOKUP(BY1657,'Gebinde-Kategorie'!$A$5:$N$45,13,0)+0,0))</f>
        <v>12</v>
      </c>
      <c r="S1657" s="66"/>
      <c r="T1657" s="67" t="s">
        <v>221</v>
      </c>
      <c r="U1657" s="67"/>
      <c r="V1657" s="67"/>
      <c r="W1657" s="60"/>
      <c r="X1657" s="62"/>
      <c r="Y1657" s="62"/>
      <c r="Z1657" s="60" t="n">
        <v>3</v>
      </c>
      <c r="AA1657" s="60" t="n">
        <f aca="false">IF(A1657="","",IF(AND(Parameter!$B$21="Ja",ISNUMBER(W1657)),W1657,IF(AND(Parameter!$E$27="Ja",ISNUMBER(Z1657),CD1657&lt;&gt;"Nein"),Z1657,IF(CD1657="2+3",IF(ISNUMBER(SEARCH("grosser Artikel",BV1657)),2,IFERROR(VLOOKUP(BY1657,Parameter!$F$35:$G$64,2,0),2)),IF(OR(CD1657="Nein",CD1657=""),"-",CD1657)))))</f>
        <v>3</v>
      </c>
      <c r="AB1657" s="67"/>
      <c r="AC1657" s="68"/>
      <c r="AD1657" s="62" t="n">
        <f aca="false">AW1657</f>
        <v>1</v>
      </c>
      <c r="AE1657" s="62" t="n">
        <f aca="false">MAX(AW1657,H1657)</f>
        <v>1</v>
      </c>
      <c r="AF1657" s="69"/>
      <c r="AG1657" s="62" t="n">
        <f aca="false">IF(LEFT(Cockpit!$C$5,1)="A",H1657,IF(Parameter!$E$30="MAX-Bestand",IF(CI1657=1,CJ1657,IF(LEFT(Cockpit!$C$5,1)="B",AM1657,MAX(AM1657,H1657))),ROUNDUP(AK1657,0)))</f>
        <v>1</v>
      </c>
      <c r="AH1657" s="62" t="n">
        <f aca="false">IF(CA1657=1,0,ROUNDUP(AG1657/BZ1657,0))</f>
        <v>1</v>
      </c>
      <c r="AI1657" s="64" t="n">
        <f aca="false">IF(CR1657&gt;0,CR1657*MAX(1,AG1657/X1657),IF(CA1657=1,IF(AG1657&lt;=0,0,CE1657*MAX(1,IF(H1657&gt;0,AG1657/H1657,1))),IF(R1657&gt;0,AH1657/R1657,0))/MAX(0.1,N(Parameter!$M$21)))</f>
        <v>0.0833333333333333</v>
      </c>
      <c r="AJ1657" s="62" t="n">
        <f aca="false">AI1657*CC1657</f>
        <v>12.0833333333333</v>
      </c>
      <c r="AK1657" s="63" t="n">
        <f aca="false">IF(LEFT(Cockpit!$C$5,1)="A",H1657,IF(CI1657=1,(CL1657+CJ1657)/2,IF(LEFT(Cockpit!$C$5,1)="B",(CL1657+AM1657)/2,MAX((CL1657+AM1657)/2,H1657))))</f>
        <v>1</v>
      </c>
      <c r="AL1657" s="62" t="n">
        <f aca="false">AK1657*G1657</f>
        <v>1596</v>
      </c>
      <c r="AM1657" s="62" t="n">
        <f aca="false">ROUNDUP(CL1657+MAX(CM1657,2*(J1657/IF(CH1657&gt;0,CH1657,MAX(0.1,N(Cockpit!$C$6)))-CL1657)),0)</f>
        <v>1</v>
      </c>
      <c r="AN1657" s="63" t="n">
        <f aca="false">IF(AJ1657&gt;0,J1657/AJ1657,-1)</f>
        <v>0</v>
      </c>
      <c r="AO1657" s="63" t="n">
        <f aca="false">IF(AND(OR(CG1657="L1",CG1657="L23",CG1657="LIFT"),AJ1657&gt;0),SUMIFS($AJ$7:$AJ$1843,$CG$7:$CG$1843,CG1657,$AN$7:$AN$1843,"&gt;"&amp;AN1657)+SUMIFS($AJ$7:$AJ$1843,$CG$7:$CG$1843,CG1657,$AN$7:$AN$1843,AN1657,$BX$7:$BX$1843,"&lt;="&amp;BX1657),"")</f>
        <v>31280.7871448232</v>
      </c>
      <c r="AP1657" s="70" t="n">
        <f aca="false">IF(AO1657="",0,MAX(0,MIN(1,(IF(CG1657="L1",Parameter!$H$5,IF(CG1657="L23",Parameter!$H$6+Parameter!$H$7,Parameter!$H$5+Parameter!$H$6+Parameter!$H$7))-(AO1657-AJ1657))/AJ1657)))</f>
        <v>1</v>
      </c>
      <c r="AQ1657" s="62" t="n">
        <f aca="false">IF(LEFT(Cockpit!$I$5,1)="A",H1657,IF(Parameter!$E$30="MAX-Bestand",IF(CI1657=1,CJ1657,IF(LEFT(Cockpit!$I$5,1)="B",AW1657,MAX(AW1657,H1657))),ROUNDUP(AU1657,0)))</f>
        <v>1</v>
      </c>
      <c r="AR1657" s="62" t="n">
        <f aca="false">IF(CA1657=1,0,ROUNDUP(AQ1657/BZ1657,0))</f>
        <v>1</v>
      </c>
      <c r="AS1657" s="64" t="n">
        <f aca="false">IF(CR1657&gt;0,CR1657*MAX(1,AQ1657/X1657),IF(CA1657=1,IF(AQ1657&lt;=0,0,CE1657*MAX(1,IF(H1657&gt;0,AQ1657/H1657,1))),IF(R1657&gt;0,AR1657/R1657,0))/MAX(0.1,N(Parameter!$M$21)))</f>
        <v>0.0833333333333333</v>
      </c>
      <c r="AT1657" s="62" t="n">
        <f aca="false">AS1657*CC1657</f>
        <v>12.0833333333333</v>
      </c>
      <c r="AU1657" s="63" t="n">
        <f aca="false">IF(LEFT(Cockpit!$I$5,1)="A",H1657,IF(CI1657=1,(CL1657+CJ1657)/2,IF(LEFT(Cockpit!$I$5,1)="B",(CL1657+AW1657)/2,MAX((CL1657+AW1657)/2,H1657))))</f>
        <v>1</v>
      </c>
      <c r="AV1657" s="62" t="n">
        <f aca="false">AU1657*G1657</f>
        <v>1596</v>
      </c>
      <c r="AW1657" s="62" t="n">
        <f aca="false">ROUNDUP(CL1657+MAX(CM1657,2*(J1657/IF(CH1657&gt;0,CH1657,MAX(0.1,N(Cockpit!$I$6)))-CL1657)),0)</f>
        <v>1</v>
      </c>
      <c r="AX1657" s="63" t="n">
        <f aca="false">IF(AT1657&gt;0,J1657/AT1657,-1)</f>
        <v>0</v>
      </c>
      <c r="AY1657" s="63" t="n">
        <f aca="false">IF(AND(OR(CG1657="L1",CG1657="L23",CG1657="LIFT"),AT1657&gt;0),SUMIFS($AT$7:$AT$1843,$CG$7:$CG$1843,CG1657,$AX$7:$AX$1843,"&gt;"&amp;AX1657)+SUMIFS($AT$7:$AT$1843,$CG$7:$CG$1843,CG1657,$AX$7:$AX$1843,AX1657,$BX$7:$BX$1843,"&lt;="&amp;BX1657),"")</f>
        <v>37753.0353754061</v>
      </c>
      <c r="AZ1657" s="70" t="n">
        <f aca="false">IF(AY1657="",0,MAX(0,MIN(1,(IF(CG1657="L1",Parameter!$H$5,IF(CG1657="L23",Parameter!$H$6+Parameter!$H$7,Parameter!$H$5+Parameter!$H$6+Parameter!$H$7))-(AY1657-AT1657))/AT1657)))</f>
        <v>0</v>
      </c>
      <c r="BA1657" s="62" t="n">
        <f aca="false">IF(LEFT(Cockpit!$O$5,1)="A",H1657,IF(Parameter!$E$30="MAX-Bestand",IF(CI1657=1,CJ1657,IF(LEFT(Cockpit!$O$5,1)="B",BG1657,MAX(BG1657,H1657))),ROUNDUP(BE1657,0)))</f>
        <v>1</v>
      </c>
      <c r="BB1657" s="62" t="n">
        <f aca="false">IF(CA1657=1,0,ROUNDUP(BA1657/BZ1657,0))</f>
        <v>1</v>
      </c>
      <c r="BC1657" s="64" t="n">
        <f aca="false">IF(CR1657&gt;0,CR1657*MAX(1,BA1657/X1657),IF(CA1657=1,IF(BA1657&lt;=0,0,CE1657*MAX(1,IF(H1657&gt;0,BA1657/H1657,1))),IF(R1657&gt;0,BB1657/R1657,0))/MAX(0.1,N(Parameter!$M$21)))</f>
        <v>0.0833333333333333</v>
      </c>
      <c r="BD1657" s="62" t="n">
        <f aca="false">BC1657*CC1657</f>
        <v>12.0833333333333</v>
      </c>
      <c r="BE1657" s="63" t="n">
        <f aca="false">IF(LEFT(Cockpit!$O$5,1)="A",H1657,IF(CI1657=1,(CL1657+CJ1657)/2,IF(LEFT(Cockpit!$O$5,1)="B",(CL1657+BG1657)/2,MAX((CL1657+BG1657)/2,H1657))))</f>
        <v>0.5</v>
      </c>
      <c r="BF1657" s="62" t="n">
        <f aca="false">BE1657*G1657</f>
        <v>798</v>
      </c>
      <c r="BG1657" s="62" t="n">
        <f aca="false">ROUNDUP(CL1657+MAX(CM1657,2*(J1657/IF(CH1657&gt;0,CH1657,MAX(0.1,N(Cockpit!$O$6)))-CL1657)),0)</f>
        <v>1</v>
      </c>
      <c r="BH1657" s="63" t="n">
        <f aca="false">IF(BD1657&gt;0,J1657/BD1657,-1)</f>
        <v>0</v>
      </c>
      <c r="BI1657" s="63" t="n">
        <f aca="false">IF(AND(OR(CG1657="L1",CG1657="L23",CG1657="LIFT"),BD1657&gt;0),SUMIFS($BD$7:$BD$1843,$CG$7:$CG$1843,CG1657,$BH$7:$BH$1843,"&gt;"&amp;BH1657)+SUMIFS($BD$7:$BD$1843,$CG$7:$CG$1843,CG1657,$BH$7:$BH$1843,BH1657,$BX$7:$BX$1843,"&lt;="&amp;BX1657),"")</f>
        <v>31662.4766509385</v>
      </c>
      <c r="BJ1657" s="70" t="n">
        <f aca="false">IF(BI1657="",0,MAX(0,MIN(1,(IF(CG1657="L1",Parameter!$H$5,IF(CG1657="L23",Parameter!$H$6+Parameter!$H$7,Parameter!$H$5+Parameter!$H$6+Parameter!$H$7))-(BI1657-BD1657))/BD1657)))</f>
        <v>1</v>
      </c>
      <c r="BK1657" s="60" t="str">
        <f aca="false">IF(AJ1657&lt;=0,"",IF(CG1657="Aussen","Aussenlager",IF(CG1657="-","Nicht im Lift",IF(AP1657&gt;=1,"Lift",IF(AP1657&lt;=0,"Aussenlager","teilweise")))))</f>
        <v>Lift</v>
      </c>
      <c r="BL1657" s="60" t="str">
        <f aca="false">IF(AT1657&lt;=0,"",IF(CG1657="Aussen","Aussenlager",IF(CG1657="-","Nicht im Lift",IF(AZ1657&gt;=1,"Lift",IF(AZ1657&lt;=0,"Aussenlager","teilweise")))))</f>
        <v>Aussenlager</v>
      </c>
      <c r="BM1657" s="60" t="str">
        <f aca="false">IF(BD1657&lt;=0,"",IF(CG1657="Aussen","Aussenlager",IF(CG1657="-","Nicht im Lift",IF(BJ1657&gt;=1,"Lift",IF(BJ1657&lt;=0,"Aussenlager","teilweise")))))</f>
        <v>Lift</v>
      </c>
      <c r="BN1657" s="60" t="str">
        <f aca="false">IF(A1657="","",IF(BW1657=1,"Neu; ","")&amp;IF(AND(BW1657=0,BR1657&lt;0),"negativer Bestand (Export "&amp;BR1657&amp;"); ","")&amp;IF(J1657&lt;=0,"Kein Verbrauch; ","")&amp;IF(CR1657&gt;0,"Lift "&amp;W1657&amp;" lt. Liftbericht (Fach "&amp;X1657&amp;" Stk); ",IF(CB1657=1,"Gebinde geschätzt ("&amp;T1657&amp;"); ",IF(CA1657=1,"Lose – Tablare geschätzt; ","")))&amp;IF(H1657&gt;AW1657,"Überbestand "&amp;ROUND(H1657-AW1657,0)&amp;" Stk / CHF "&amp;ROUND((H1657-AW1657)*G1657,0)&amp;"; ","")&amp;IF(AND(CI1657=1,CJ1657&lt;CK1657),"MAX &lt; MB+LG; ","")&amp;IF(AND(CQ1657&gt;0,CP1657*10&gt;CQ1657),"zu hoch für Tablar; ","")&amp;IF(AND(BW1657=0,OR(CI1657=1,AB1657&lt;&gt;"",U1657&lt;&gt;"",V1657&lt;&gt;"",AC1657&lt;&gt;"")),"manuell übersteuert; ","")&amp;IF(AND(CA1657=0,R1657=0),"Gebinde unbekannt / Stellmass fehlt; ","")&amp;IF(AND(CA1657=0,N(V1657)&lt;=0,N(Q1657)&lt;=0),"Menge pro Gebinde fehlt (Ist = 1 Gebinde); ","")&amp;BV1657)</f>
        <v>Kein Verbrauch; Gebinde geschätzt (Mittel); Menge pro Gebinde fehlt (Ist = 1 Gebinde); nur im Artikelstamm (Bestand 23.06.2026)</v>
      </c>
      <c r="BO1657" s="60"/>
      <c r="BP1657" s="60"/>
      <c r="BQ1657" s="67"/>
      <c r="BR1657" s="62" t="n">
        <v>1</v>
      </c>
      <c r="BS1657" s="62" t="n">
        <v>0</v>
      </c>
      <c r="BT1657" s="61" t="n">
        <v>0</v>
      </c>
      <c r="BU1657" s="62" t="n">
        <v>0</v>
      </c>
      <c r="BV1657" s="60" t="s">
        <v>2617</v>
      </c>
      <c r="BW1657" s="65" t="n">
        <v>0</v>
      </c>
      <c r="BX1657" s="65" t="n">
        <v>1657</v>
      </c>
      <c r="BY1657" s="60" t="str">
        <f aca="false">IF(U1657&lt;&gt;"",UPPER(TRIM(U1657)),IF(CB1657=1,UPPER(VLOOKUP(T1657,Parameter!$I$27:$K$29,2,0)),IF(P1657="","LOSE",P1657)))</f>
        <v>S61</v>
      </c>
      <c r="BZ1657" s="62" t="n">
        <f aca="false">IF(BY1657="LOSE",1,IF(N(V1657)&gt;0,V1657,IF(CB1657=1,MAX(1,N(VLOOKUP(T1657,Parameter!$I$27:$K$29,3,0)),H1657,N(N1657)),IF(N(Q1657)&gt;0,Q1657,MAX(1,H1657)))))</f>
        <v>4</v>
      </c>
      <c r="CA1657" s="65" t="n">
        <f aca="false">IF(BY1657="LOSE",1,0)</f>
        <v>0</v>
      </c>
      <c r="CB1657" s="65" t="n">
        <f aca="false">IF(AND(U1657="",OR(P1657="",P1657="LOSE"),T1657&lt;&gt;"",N(S1657)&lt;=0,ISNUMBER(MATCH(T1657,Parameter!$I$27:$I$29,0))),1,0)</f>
        <v>1</v>
      </c>
      <c r="CC1657" s="65" t="n">
        <f aca="false">IF(CR1657&gt;0,INDEX(Parameter!$H$5:$H$7,W1657)/INDEX(Parameter!$E$5:$E$7,W1657),IF(AND(CA1657=0,N(IFERROR(VLOOKUP(BY1657,'Gebinde-Kategorie'!$A$5:$N$45,14,0),0))&gt;0),VLOOKUP(BY1657,'Gebinde-Kategorie'!$A$5:$N$45,14,0)*10+Parameter!$M$23,Parameter!$M$24))</f>
        <v>145</v>
      </c>
      <c r="CD1657" s="60" t="str">
        <f aca="false">IF(AND(Parameter!$B$19="Ja",E1657&lt;&gt;"",ISNUMBER(MATCH(E1657,Parameter!$I$35:$I$52,0))),VLOOKUP(E1657,Parameter!$I$35:$J$52,2,0),IFERROR(VLOOKUP(D1657,Parameter!$A$35:$C$64,2,0),"Nein"))</f>
        <v>2+3</v>
      </c>
      <c r="CE1657" s="64" t="n">
        <f aca="false">IF(CA1657=0,0,IF(N(S1657)&gt;0,S1657,IFERROR(VLOOKUP(D1657,Parameter!$A$35:$C$64,3,0)+0,0)))</f>
        <v>0</v>
      </c>
      <c r="CF1657" s="60" t="n">
        <f aca="false">IF(AB1657&lt;&gt;"",AB1657,AA1657)</f>
        <v>3</v>
      </c>
      <c r="CG1657" s="60" t="str">
        <f aca="false">IF(OR(CF1657=1,CF1657=2,CF1657=3),IF(Parameter!$E$27="Ja","LIFT",IF(CF1657=1,"L1","L23")),IF(CF1657="Aussen","Aussen","-"))</f>
        <v>LIFT</v>
      </c>
      <c r="CH1657" s="71" t="n">
        <f aca="false">IF(N(AC1657)&gt;0,AC1657,0)</f>
        <v>0</v>
      </c>
      <c r="CI1657" s="65" t="n">
        <f aca="false">IF(ISNUMBER(AF1657),1,0)</f>
        <v>0</v>
      </c>
      <c r="CJ1657" s="62" t="n">
        <f aca="false">N(AF1657)</f>
        <v>0</v>
      </c>
      <c r="CK1657" s="62" t="n">
        <f aca="false">N(M1657)+N(N1657)</f>
        <v>1</v>
      </c>
      <c r="CL1657" s="62" t="n">
        <f aca="false">N(M1657)</f>
        <v>0</v>
      </c>
      <c r="CM1657" s="62" t="n">
        <f aca="false">N(N1657)</f>
        <v>1</v>
      </c>
      <c r="CN1657" s="62" t="n">
        <f aca="false">ROUNDUP(H1657/BZ1657,0)</f>
        <v>1</v>
      </c>
      <c r="CO1657" s="62" t="n">
        <f aca="false">ROUNDUP(CJ1657/BZ1657,0)</f>
        <v>0</v>
      </c>
      <c r="CP1657" s="65" t="n">
        <f aca="false">IF(CA1657=1,0,IFERROR(VLOOKUP(BY1657,'Gebinde-Kategorie'!$A$5:$N$45,5,0)+0,0))</f>
        <v>11</v>
      </c>
      <c r="CQ1657" s="65" t="n">
        <f aca="false">IFERROR(IF(OR(CF1657=1,CF1657=2,CF1657=3),N(INDEX(Parameter!$I$5:$I$7,CF1657)),0),0)</f>
        <v>0</v>
      </c>
      <c r="CR1657" s="64" t="n">
        <f aca="false">IF(AND(Parameter!$B$21="Ja",ISNUMBER(W1657),N(X1657)&gt;0),IFERROR(N(INDEX(Parameter!$L$5:$L$7,W1657))*INDEX(Parameter!$E$5:$E$7,W1657)*X1657/SUMIFS($X$7:$X$1843,$W$7:$W$1843,W1657),0),0)</f>
        <v>0</v>
      </c>
      <c r="CS1657" s="62" t="n">
        <f aca="false">IF(AND(OR(CG1657="L1",CG1657="L23",CG1657="LIFT"),H1657&gt;0),CC1657*IF(CR1657&gt;0,CR1657*MAX(1,H1657/X1657),IF(CA1657=1,CE1657,IF(R1657&gt;0,CN1657/R1657,0))/MAX(0.1,N(Parameter!$M$21))),"")</f>
        <v>12.0833333333333</v>
      </c>
      <c r="CT1657" s="64" t="n">
        <f aca="false">IF(CS1657="","",J1657/H1657)</f>
        <v>0</v>
      </c>
      <c r="CU1657" s="62" t="n">
        <f aca="false">IF(CS1657="","",H1657*G1657)</f>
        <v>1596</v>
      </c>
      <c r="CV1657" s="63" t="n">
        <f aca="false">IF(CS1657="","",(CL1657+ROUNDUP(CL1657+MAX(CM1657,2*(J1657/MAX(0.1,N(Einkauf!$C$6))-CL1657)),0))/2)</f>
        <v>0.5</v>
      </c>
      <c r="CW1657" s="62" t="n">
        <f aca="false">IF(CS1657="","",MAX(0,H1657-CV1657)*G1657)</f>
        <v>798</v>
      </c>
      <c r="CX1657" s="62" t="n">
        <f aca="false">IF(CS1657="","",CS1657*MAX(0,1-CV1657/H1657))</f>
        <v>6.04166666666667</v>
      </c>
      <c r="CY1657" s="64" t="n">
        <f aca="false">IF(CS1657="","",PERCENTRANK($CS$7:$CS$1843,CS1657)+PERCENTRANK($CU$7:$CU$1843,CU1657)+1-PERCENTRANK($CT$7:$CT$1843,CT1657))</f>
        <v>2.386</v>
      </c>
      <c r="CZ1657" s="72" t="n">
        <f aca="false">IF(CS1657="","",CHOOSE(MATCH(Einkauf!$C$5,Parameter!$G$23:$G$27,0),CY1657,CS1657,CU1657,-CT1657,CW1657)+ROW()/1000000000)</f>
        <v>2.386001657</v>
      </c>
    </row>
    <row r="1658" customFormat="false" ht="15" hidden="false" customHeight="false" outlineLevel="0" collapsed="false">
      <c r="A1658" s="60" t="s">
        <v>2924</v>
      </c>
      <c r="B1658" s="60" t="s">
        <v>2925</v>
      </c>
      <c r="C1658" s="60" t="s">
        <v>209</v>
      </c>
      <c r="D1658" s="60" t="s">
        <v>215</v>
      </c>
      <c r="E1658" s="60"/>
      <c r="F1658" s="60"/>
      <c r="G1658" s="61" t="n">
        <v>65.21</v>
      </c>
      <c r="H1658" s="62" t="n">
        <f aca="false">MAX(0,IF(AND(Parameter!$B$21="Ja",ISNUMBER(Y1658)),Y1658,IF(Parameter!$B$20="Jahresanfang 2025 + Export",BS1658+BR1658,BR1658)))</f>
        <v>10</v>
      </c>
      <c r="I1658" s="62" t="n">
        <f aca="false">H1658*G1658</f>
        <v>652.1</v>
      </c>
      <c r="J1658" s="62" t="n">
        <f aca="false">BU1658*Parameter!$B$18</f>
        <v>0</v>
      </c>
      <c r="K1658" s="63"/>
      <c r="L1658" s="64"/>
      <c r="M1658" s="62" t="n">
        <v>0</v>
      </c>
      <c r="N1658" s="62" t="n">
        <v>10</v>
      </c>
      <c r="O1658" s="65" t="n">
        <v>150</v>
      </c>
      <c r="P1658" s="60" t="s">
        <v>210</v>
      </c>
      <c r="Q1658" s="62"/>
      <c r="R1658" s="65" t="n">
        <f aca="false">IF(CA1658=1,0,IFERROR(VLOOKUP(BY1658,'Gebinde-Kategorie'!$A$5:$N$45,13,0)+0,0))</f>
        <v>12</v>
      </c>
      <c r="S1658" s="66"/>
      <c r="T1658" s="67" t="s">
        <v>221</v>
      </c>
      <c r="U1658" s="67"/>
      <c r="V1658" s="67"/>
      <c r="W1658" s="60"/>
      <c r="X1658" s="62"/>
      <c r="Y1658" s="62"/>
      <c r="Z1658" s="60" t="n">
        <v>3</v>
      </c>
      <c r="AA1658" s="60" t="n">
        <f aca="false">IF(A1658="","",IF(AND(Parameter!$B$21="Ja",ISNUMBER(W1658)),W1658,IF(AND(Parameter!$E$27="Ja",ISNUMBER(Z1658),CD1658&lt;&gt;"Nein"),Z1658,IF(CD1658="2+3",IF(ISNUMBER(SEARCH("grosser Artikel",BV1658)),2,IFERROR(VLOOKUP(BY1658,Parameter!$F$35:$G$64,2,0),2)),IF(OR(CD1658="Nein",CD1658=""),"-",CD1658)))))</f>
        <v>3</v>
      </c>
      <c r="AB1658" s="67"/>
      <c r="AC1658" s="68"/>
      <c r="AD1658" s="62" t="n">
        <f aca="false">AW1658</f>
        <v>10</v>
      </c>
      <c r="AE1658" s="62" t="n">
        <f aca="false">MAX(AW1658,H1658)</f>
        <v>10</v>
      </c>
      <c r="AF1658" s="69"/>
      <c r="AG1658" s="62" t="n">
        <f aca="false">IF(LEFT(Cockpit!$C$5,1)="A",H1658,IF(Parameter!$E$30="MAX-Bestand",IF(CI1658=1,CJ1658,IF(LEFT(Cockpit!$C$5,1)="B",AM1658,MAX(AM1658,H1658))),ROUNDUP(AK1658,0)))</f>
        <v>10</v>
      </c>
      <c r="AH1658" s="62" t="n">
        <f aca="false">IF(CA1658=1,0,ROUNDUP(AG1658/BZ1658,0))</f>
        <v>1</v>
      </c>
      <c r="AI1658" s="64" t="n">
        <f aca="false">IF(CR1658&gt;0,CR1658*MAX(1,AG1658/X1658),IF(CA1658=1,IF(AG1658&lt;=0,0,CE1658*MAX(1,IF(H1658&gt;0,AG1658/H1658,1))),IF(R1658&gt;0,AH1658/R1658,0))/MAX(0.1,N(Parameter!$M$21)))</f>
        <v>0.0833333333333333</v>
      </c>
      <c r="AJ1658" s="62" t="n">
        <f aca="false">AI1658*CC1658</f>
        <v>12.0833333333333</v>
      </c>
      <c r="AK1658" s="63" t="n">
        <f aca="false">IF(LEFT(Cockpit!$C$5,1)="A",H1658,IF(CI1658=1,(CL1658+CJ1658)/2,IF(LEFT(Cockpit!$C$5,1)="B",(CL1658+AM1658)/2,MAX((CL1658+AM1658)/2,H1658))))</f>
        <v>10</v>
      </c>
      <c r="AL1658" s="62" t="n">
        <f aca="false">AK1658*G1658</f>
        <v>652.1</v>
      </c>
      <c r="AM1658" s="62" t="n">
        <f aca="false">ROUNDUP(CL1658+MAX(CM1658,2*(J1658/IF(CH1658&gt;0,CH1658,MAX(0.1,N(Cockpit!$C$6)))-CL1658)),0)</f>
        <v>10</v>
      </c>
      <c r="AN1658" s="63" t="n">
        <f aca="false">IF(AJ1658&gt;0,J1658/AJ1658,-1)</f>
        <v>0</v>
      </c>
      <c r="AO1658" s="63" t="n">
        <f aca="false">IF(AND(OR(CG1658="L1",CG1658="L23",CG1658="LIFT"),AJ1658&gt;0),SUMIFS($AJ$7:$AJ$1843,$CG$7:$CG$1843,CG1658,$AN$7:$AN$1843,"&gt;"&amp;AN1658)+SUMIFS($AJ$7:$AJ$1843,$CG$7:$CG$1843,CG1658,$AN$7:$AN$1843,AN1658,$BX$7:$BX$1843,"&lt;="&amp;BX1658),"")</f>
        <v>31292.8704781565</v>
      </c>
      <c r="AP1658" s="70" t="n">
        <f aca="false">IF(AO1658="",0,MAX(0,MIN(1,(IF(CG1658="L1",Parameter!$H$5,IF(CG1658="L23",Parameter!$H$6+Parameter!$H$7,Parameter!$H$5+Parameter!$H$6+Parameter!$H$7))-(AO1658-AJ1658))/AJ1658)))</f>
        <v>1</v>
      </c>
      <c r="AQ1658" s="62" t="n">
        <f aca="false">IF(LEFT(Cockpit!$I$5,1)="A",H1658,IF(Parameter!$E$30="MAX-Bestand",IF(CI1658=1,CJ1658,IF(LEFT(Cockpit!$I$5,1)="B",AW1658,MAX(AW1658,H1658))),ROUNDUP(AU1658,0)))</f>
        <v>10</v>
      </c>
      <c r="AR1658" s="62" t="n">
        <f aca="false">IF(CA1658=1,0,ROUNDUP(AQ1658/BZ1658,0))</f>
        <v>1</v>
      </c>
      <c r="AS1658" s="64" t="n">
        <f aca="false">IF(CR1658&gt;0,CR1658*MAX(1,AQ1658/X1658),IF(CA1658=1,IF(AQ1658&lt;=0,0,CE1658*MAX(1,IF(H1658&gt;0,AQ1658/H1658,1))),IF(R1658&gt;0,AR1658/R1658,0))/MAX(0.1,N(Parameter!$M$21)))</f>
        <v>0.0833333333333333</v>
      </c>
      <c r="AT1658" s="62" t="n">
        <f aca="false">AS1658*CC1658</f>
        <v>12.0833333333333</v>
      </c>
      <c r="AU1658" s="63" t="n">
        <f aca="false">IF(LEFT(Cockpit!$I$5,1)="A",H1658,IF(CI1658=1,(CL1658+CJ1658)/2,IF(LEFT(Cockpit!$I$5,1)="B",(CL1658+AW1658)/2,MAX((CL1658+AW1658)/2,H1658))))</f>
        <v>10</v>
      </c>
      <c r="AV1658" s="62" t="n">
        <f aca="false">AU1658*G1658</f>
        <v>652.1</v>
      </c>
      <c r="AW1658" s="62" t="n">
        <f aca="false">ROUNDUP(CL1658+MAX(CM1658,2*(J1658/IF(CH1658&gt;0,CH1658,MAX(0.1,N(Cockpit!$I$6)))-CL1658)),0)</f>
        <v>10</v>
      </c>
      <c r="AX1658" s="63" t="n">
        <f aca="false">IF(AT1658&gt;0,J1658/AT1658,-1)</f>
        <v>0</v>
      </c>
      <c r="AY1658" s="63" t="n">
        <f aca="false">IF(AND(OR(CG1658="L1",CG1658="L23",CG1658="LIFT"),AT1658&gt;0),SUMIFS($AT$7:$AT$1843,$CG$7:$CG$1843,CG1658,$AX$7:$AX$1843,"&gt;"&amp;AX1658)+SUMIFS($AT$7:$AT$1843,$CG$7:$CG$1843,CG1658,$AX$7:$AX$1843,AX1658,$BX$7:$BX$1843,"&lt;="&amp;BX1658),"")</f>
        <v>37765.1187087395</v>
      </c>
      <c r="AZ1658" s="70" t="n">
        <f aca="false">IF(AY1658="",0,MAX(0,MIN(1,(IF(CG1658="L1",Parameter!$H$5,IF(CG1658="L23",Parameter!$H$6+Parameter!$H$7,Parameter!$H$5+Parameter!$H$6+Parameter!$H$7))-(AY1658-AT1658))/AT1658)))</f>
        <v>0</v>
      </c>
      <c r="BA1658" s="62" t="n">
        <f aca="false">IF(LEFT(Cockpit!$O$5,1)="A",H1658,IF(Parameter!$E$30="MAX-Bestand",IF(CI1658=1,CJ1658,IF(LEFT(Cockpit!$O$5,1)="B",BG1658,MAX(BG1658,H1658))),ROUNDUP(BE1658,0)))</f>
        <v>5</v>
      </c>
      <c r="BB1658" s="62" t="n">
        <f aca="false">IF(CA1658=1,0,ROUNDUP(BA1658/BZ1658,0))</f>
        <v>1</v>
      </c>
      <c r="BC1658" s="64" t="n">
        <f aca="false">IF(CR1658&gt;0,CR1658*MAX(1,BA1658/X1658),IF(CA1658=1,IF(BA1658&lt;=0,0,CE1658*MAX(1,IF(H1658&gt;0,BA1658/H1658,1))),IF(R1658&gt;0,BB1658/R1658,0))/MAX(0.1,N(Parameter!$M$21)))</f>
        <v>0.0833333333333333</v>
      </c>
      <c r="BD1658" s="62" t="n">
        <f aca="false">BC1658*CC1658</f>
        <v>12.0833333333333</v>
      </c>
      <c r="BE1658" s="63" t="n">
        <f aca="false">IF(LEFT(Cockpit!$O$5,1)="A",H1658,IF(CI1658=1,(CL1658+CJ1658)/2,IF(LEFT(Cockpit!$O$5,1)="B",(CL1658+BG1658)/2,MAX((CL1658+BG1658)/2,H1658))))</f>
        <v>5</v>
      </c>
      <c r="BF1658" s="62" t="n">
        <f aca="false">BE1658*G1658</f>
        <v>326.05</v>
      </c>
      <c r="BG1658" s="62" t="n">
        <f aca="false">ROUNDUP(CL1658+MAX(CM1658,2*(J1658/IF(CH1658&gt;0,CH1658,MAX(0.1,N(Cockpit!$O$6)))-CL1658)),0)</f>
        <v>10</v>
      </c>
      <c r="BH1658" s="63" t="n">
        <f aca="false">IF(BD1658&gt;0,J1658/BD1658,-1)</f>
        <v>0</v>
      </c>
      <c r="BI1658" s="63" t="n">
        <f aca="false">IF(AND(OR(CG1658="L1",CG1658="L23",CG1658="LIFT"),BD1658&gt;0),SUMIFS($BD$7:$BD$1843,$CG$7:$CG$1843,CG1658,$BH$7:$BH$1843,"&gt;"&amp;BH1658)+SUMIFS($BD$7:$BD$1843,$CG$7:$CG$1843,CG1658,$BH$7:$BH$1843,BH1658,$BX$7:$BX$1843,"&lt;="&amp;BX1658),"")</f>
        <v>31674.5599842719</v>
      </c>
      <c r="BJ1658" s="70" t="n">
        <f aca="false">IF(BI1658="",0,MAX(0,MIN(1,(IF(CG1658="L1",Parameter!$H$5,IF(CG1658="L23",Parameter!$H$6+Parameter!$H$7,Parameter!$H$5+Parameter!$H$6+Parameter!$H$7))-(BI1658-BD1658))/BD1658)))</f>
        <v>1</v>
      </c>
      <c r="BK1658" s="60" t="str">
        <f aca="false">IF(AJ1658&lt;=0,"",IF(CG1658="Aussen","Aussenlager",IF(CG1658="-","Nicht im Lift",IF(AP1658&gt;=1,"Lift",IF(AP1658&lt;=0,"Aussenlager","teilweise")))))</f>
        <v>Lift</v>
      </c>
      <c r="BL1658" s="60" t="str">
        <f aca="false">IF(AT1658&lt;=0,"",IF(CG1658="Aussen","Aussenlager",IF(CG1658="-","Nicht im Lift",IF(AZ1658&gt;=1,"Lift",IF(AZ1658&lt;=0,"Aussenlager","teilweise")))))</f>
        <v>Aussenlager</v>
      </c>
      <c r="BM1658" s="60" t="str">
        <f aca="false">IF(BD1658&lt;=0,"",IF(CG1658="Aussen","Aussenlager",IF(CG1658="-","Nicht im Lift",IF(BJ1658&gt;=1,"Lift",IF(BJ1658&lt;=0,"Aussenlager","teilweise")))))</f>
        <v>Lift</v>
      </c>
      <c r="BN1658" s="60" t="str">
        <f aca="false">IF(A1658="","",IF(BW1658=1,"Neu; ","")&amp;IF(AND(BW1658=0,BR1658&lt;0),"negativer Bestand (Export "&amp;BR1658&amp;"); ","")&amp;IF(J1658&lt;=0,"Kein Verbrauch; ","")&amp;IF(CR1658&gt;0,"Lift "&amp;W1658&amp;" lt. Liftbericht (Fach "&amp;X1658&amp;" Stk); ",IF(CB1658=1,"Gebinde geschätzt ("&amp;T1658&amp;"); ",IF(CA1658=1,"Lose – Tablare geschätzt; ","")))&amp;IF(H1658&gt;AW1658,"Überbestand "&amp;ROUND(H1658-AW1658,0)&amp;" Stk / CHF "&amp;ROUND((H1658-AW1658)*G1658,0)&amp;"; ","")&amp;IF(AND(CI1658=1,CJ1658&lt;CK1658),"MAX &lt; MB+LG; ","")&amp;IF(AND(CQ1658&gt;0,CP1658*10&gt;CQ1658),"zu hoch für Tablar; ","")&amp;IF(AND(BW1658=0,OR(CI1658=1,AB1658&lt;&gt;"",U1658&lt;&gt;"",V1658&lt;&gt;"",AC1658&lt;&gt;"")),"manuell übersteuert; ","")&amp;IF(AND(CA1658=0,R1658=0),"Gebinde unbekannt / Stellmass fehlt; ","")&amp;IF(AND(CA1658=0,N(V1658)&lt;=0,N(Q1658)&lt;=0),"Menge pro Gebinde fehlt (Ist = 1 Gebinde); ","")&amp;BV1658)</f>
        <v>Kein Verbrauch; Gebinde geschätzt (Mittel); Menge pro Gebinde fehlt (Ist = 1 Gebinde); nur im Artikelstamm (Bestand 23.06.2026)</v>
      </c>
      <c r="BO1658" s="60"/>
      <c r="BP1658" s="60"/>
      <c r="BQ1658" s="67"/>
      <c r="BR1658" s="62" t="n">
        <v>10</v>
      </c>
      <c r="BS1658" s="62" t="n">
        <v>0</v>
      </c>
      <c r="BT1658" s="61" t="n">
        <v>0</v>
      </c>
      <c r="BU1658" s="62" t="n">
        <v>0</v>
      </c>
      <c r="BV1658" s="60" t="s">
        <v>2617</v>
      </c>
      <c r="BW1658" s="65" t="n">
        <v>0</v>
      </c>
      <c r="BX1658" s="65" t="n">
        <v>1658</v>
      </c>
      <c r="BY1658" s="60" t="str">
        <f aca="false">IF(U1658&lt;&gt;"",UPPER(TRIM(U1658)),IF(CB1658=1,UPPER(VLOOKUP(T1658,Parameter!$I$27:$K$29,2,0)),IF(P1658="","LOSE",P1658)))</f>
        <v>S61</v>
      </c>
      <c r="BZ1658" s="62" t="n">
        <f aca="false">IF(BY1658="LOSE",1,IF(N(V1658)&gt;0,V1658,IF(CB1658=1,MAX(1,N(VLOOKUP(T1658,Parameter!$I$27:$K$29,3,0)),H1658,N(N1658)),IF(N(Q1658)&gt;0,Q1658,MAX(1,H1658)))))</f>
        <v>10</v>
      </c>
      <c r="CA1658" s="65" t="n">
        <f aca="false">IF(BY1658="LOSE",1,0)</f>
        <v>0</v>
      </c>
      <c r="CB1658" s="65" t="n">
        <f aca="false">IF(AND(U1658="",OR(P1658="",P1658="LOSE"),T1658&lt;&gt;"",N(S1658)&lt;=0,ISNUMBER(MATCH(T1658,Parameter!$I$27:$I$29,0))),1,0)</f>
        <v>1</v>
      </c>
      <c r="CC1658" s="65" t="n">
        <f aca="false">IF(CR1658&gt;0,INDEX(Parameter!$H$5:$H$7,W1658)/INDEX(Parameter!$E$5:$E$7,W1658),IF(AND(CA1658=0,N(IFERROR(VLOOKUP(BY1658,'Gebinde-Kategorie'!$A$5:$N$45,14,0),0))&gt;0),VLOOKUP(BY1658,'Gebinde-Kategorie'!$A$5:$N$45,14,0)*10+Parameter!$M$23,Parameter!$M$24))</f>
        <v>145</v>
      </c>
      <c r="CD1658" s="60" t="str">
        <f aca="false">IF(AND(Parameter!$B$19="Ja",E1658&lt;&gt;"",ISNUMBER(MATCH(E1658,Parameter!$I$35:$I$52,0))),VLOOKUP(E1658,Parameter!$I$35:$J$52,2,0),IFERROR(VLOOKUP(D1658,Parameter!$A$35:$C$64,2,0),"Nein"))</f>
        <v>2+3</v>
      </c>
      <c r="CE1658" s="64" t="n">
        <f aca="false">IF(CA1658=0,0,IF(N(S1658)&gt;0,S1658,IFERROR(VLOOKUP(D1658,Parameter!$A$35:$C$64,3,0)+0,0)))</f>
        <v>0</v>
      </c>
      <c r="CF1658" s="60" t="n">
        <f aca="false">IF(AB1658&lt;&gt;"",AB1658,AA1658)</f>
        <v>3</v>
      </c>
      <c r="CG1658" s="60" t="str">
        <f aca="false">IF(OR(CF1658=1,CF1658=2,CF1658=3),IF(Parameter!$E$27="Ja","LIFT",IF(CF1658=1,"L1","L23")),IF(CF1658="Aussen","Aussen","-"))</f>
        <v>LIFT</v>
      </c>
      <c r="CH1658" s="71" t="n">
        <f aca="false">IF(N(AC1658)&gt;0,AC1658,0)</f>
        <v>0</v>
      </c>
      <c r="CI1658" s="65" t="n">
        <f aca="false">IF(ISNUMBER(AF1658),1,0)</f>
        <v>0</v>
      </c>
      <c r="CJ1658" s="62" t="n">
        <f aca="false">N(AF1658)</f>
        <v>0</v>
      </c>
      <c r="CK1658" s="62" t="n">
        <f aca="false">N(M1658)+N(N1658)</f>
        <v>10</v>
      </c>
      <c r="CL1658" s="62" t="n">
        <f aca="false">N(M1658)</f>
        <v>0</v>
      </c>
      <c r="CM1658" s="62" t="n">
        <f aca="false">N(N1658)</f>
        <v>10</v>
      </c>
      <c r="CN1658" s="62" t="n">
        <f aca="false">ROUNDUP(H1658/BZ1658,0)</f>
        <v>1</v>
      </c>
      <c r="CO1658" s="62" t="n">
        <f aca="false">ROUNDUP(CJ1658/BZ1658,0)</f>
        <v>0</v>
      </c>
      <c r="CP1658" s="65" t="n">
        <f aca="false">IF(CA1658=1,0,IFERROR(VLOOKUP(BY1658,'Gebinde-Kategorie'!$A$5:$N$45,5,0)+0,0))</f>
        <v>11</v>
      </c>
      <c r="CQ1658" s="65" t="n">
        <f aca="false">IFERROR(IF(OR(CF1658=1,CF1658=2,CF1658=3),N(INDEX(Parameter!$I$5:$I$7,CF1658)),0),0)</f>
        <v>0</v>
      </c>
      <c r="CR1658" s="64" t="n">
        <f aca="false">IF(AND(Parameter!$B$21="Ja",ISNUMBER(W1658),N(X1658)&gt;0),IFERROR(N(INDEX(Parameter!$L$5:$L$7,W1658))*INDEX(Parameter!$E$5:$E$7,W1658)*X1658/SUMIFS($X$7:$X$1843,$W$7:$W$1843,W1658),0),0)</f>
        <v>0</v>
      </c>
      <c r="CS1658" s="62" t="n">
        <f aca="false">IF(AND(OR(CG1658="L1",CG1658="L23",CG1658="LIFT"),H1658&gt;0),CC1658*IF(CR1658&gt;0,CR1658*MAX(1,H1658/X1658),IF(CA1658=1,CE1658,IF(R1658&gt;0,CN1658/R1658,0))/MAX(0.1,N(Parameter!$M$21))),"")</f>
        <v>12.0833333333333</v>
      </c>
      <c r="CT1658" s="64" t="n">
        <f aca="false">IF(CS1658="","",J1658/H1658)</f>
        <v>0</v>
      </c>
      <c r="CU1658" s="62" t="n">
        <f aca="false">IF(CS1658="","",H1658*G1658)</f>
        <v>652.1</v>
      </c>
      <c r="CV1658" s="63" t="n">
        <f aca="false">IF(CS1658="","",(CL1658+ROUNDUP(CL1658+MAX(CM1658,2*(J1658/MAX(0.1,N(Einkauf!$C$6))-CL1658)),0))/2)</f>
        <v>5</v>
      </c>
      <c r="CW1658" s="62" t="n">
        <f aca="false">IF(CS1658="","",MAX(0,H1658-CV1658)*G1658)</f>
        <v>326.05</v>
      </c>
      <c r="CX1658" s="62" t="n">
        <f aca="false">IF(CS1658="","",CS1658*MAX(0,1-CV1658/H1658))</f>
        <v>6.04166666666667</v>
      </c>
      <c r="CY1658" s="64" t="n">
        <f aca="false">IF(CS1658="","",PERCENTRANK($CS$7:$CS$1843,CS1658)+PERCENTRANK($CU$7:$CU$1843,CU1658)+1-PERCENTRANK($CT$7:$CT$1843,CT1658))</f>
        <v>2.228</v>
      </c>
      <c r="CZ1658" s="72" t="n">
        <f aca="false">IF(CS1658="","",CHOOSE(MATCH(Einkauf!$C$5,Parameter!$G$23:$G$27,0),CY1658,CS1658,CU1658,-CT1658,CW1658)+ROW()/1000000000)</f>
        <v>2.228001658</v>
      </c>
    </row>
    <row r="1659" customFormat="false" ht="15" hidden="false" customHeight="false" outlineLevel="0" collapsed="false">
      <c r="A1659" s="60" t="s">
        <v>2926</v>
      </c>
      <c r="B1659" s="60" t="s">
        <v>2466</v>
      </c>
      <c r="C1659" s="60" t="s">
        <v>206</v>
      </c>
      <c r="D1659" s="60" t="s">
        <v>215</v>
      </c>
      <c r="E1659" s="60"/>
      <c r="F1659" s="60"/>
      <c r="G1659" s="61" t="n">
        <v>607.5</v>
      </c>
      <c r="H1659" s="62" t="n">
        <f aca="false">MAX(0,IF(AND(Parameter!$B$21="Ja",ISNUMBER(Y1659)),Y1659,IF(Parameter!$B$20="Jahresanfang 2025 + Export",BS1659+BR1659,BR1659)))</f>
        <v>1</v>
      </c>
      <c r="I1659" s="62" t="n">
        <f aca="false">H1659*G1659</f>
        <v>607.5</v>
      </c>
      <c r="J1659" s="62" t="n">
        <f aca="false">BU1659*Parameter!$B$18</f>
        <v>0</v>
      </c>
      <c r="K1659" s="63"/>
      <c r="L1659" s="64"/>
      <c r="M1659" s="62" t="n">
        <v>1</v>
      </c>
      <c r="N1659" s="62" t="n">
        <v>1</v>
      </c>
      <c r="O1659" s="65" t="n">
        <v>42</v>
      </c>
      <c r="P1659" s="60" t="s">
        <v>210</v>
      </c>
      <c r="Q1659" s="62"/>
      <c r="R1659" s="65" t="n">
        <f aca="false">IF(CA1659=1,0,IFERROR(VLOOKUP(BY1659,'Gebinde-Kategorie'!$A$5:$N$45,13,0)+0,0))</f>
        <v>4</v>
      </c>
      <c r="S1659" s="66"/>
      <c r="T1659" s="67" t="s">
        <v>231</v>
      </c>
      <c r="U1659" s="67"/>
      <c r="V1659" s="67"/>
      <c r="W1659" s="60"/>
      <c r="X1659" s="62"/>
      <c r="Y1659" s="62"/>
      <c r="Z1659" s="60" t="n">
        <v>2</v>
      </c>
      <c r="AA1659" s="60" t="n">
        <f aca="false">IF(A1659="","",IF(AND(Parameter!$B$21="Ja",ISNUMBER(W1659)),W1659,IF(AND(Parameter!$E$27="Ja",ISNUMBER(Z1659),CD1659&lt;&gt;"Nein"),Z1659,IF(CD1659="2+3",IF(ISNUMBER(SEARCH("grosser Artikel",BV1659)),2,IFERROR(VLOOKUP(BY1659,Parameter!$F$35:$G$64,2,0),2)),IF(OR(CD1659="Nein",CD1659=""),"-",CD1659)))))</f>
        <v>2</v>
      </c>
      <c r="AB1659" s="67"/>
      <c r="AC1659" s="68"/>
      <c r="AD1659" s="62" t="n">
        <f aca="false">AW1659</f>
        <v>2</v>
      </c>
      <c r="AE1659" s="62" t="n">
        <f aca="false">MAX(AW1659,H1659)</f>
        <v>2</v>
      </c>
      <c r="AF1659" s="69"/>
      <c r="AG1659" s="62" t="n">
        <f aca="false">IF(LEFT(Cockpit!$C$5,1)="A",H1659,IF(Parameter!$E$30="MAX-Bestand",IF(CI1659=1,CJ1659,IF(LEFT(Cockpit!$C$5,1)="B",AM1659,MAX(AM1659,H1659))),ROUNDUP(AK1659,0)))</f>
        <v>1</v>
      </c>
      <c r="AH1659" s="62" t="n">
        <f aca="false">IF(CA1659=1,0,ROUNDUP(AG1659/BZ1659,0))</f>
        <v>1</v>
      </c>
      <c r="AI1659" s="64" t="n">
        <f aca="false">IF(CR1659&gt;0,CR1659*MAX(1,AG1659/X1659),IF(CA1659=1,IF(AG1659&lt;=0,0,CE1659*MAX(1,IF(H1659&gt;0,AG1659/H1659,1))),IF(R1659&gt;0,AH1659/R1659,0))/MAX(0.1,N(Parameter!$M$21)))</f>
        <v>0.25</v>
      </c>
      <c r="AJ1659" s="62" t="n">
        <f aca="false">AI1659*CC1659</f>
        <v>58.75</v>
      </c>
      <c r="AK1659" s="63" t="n">
        <f aca="false">IF(LEFT(Cockpit!$C$5,1)="A",H1659,IF(CI1659=1,(CL1659+CJ1659)/2,IF(LEFT(Cockpit!$C$5,1)="B",(CL1659+AM1659)/2,MAX((CL1659+AM1659)/2,H1659))))</f>
        <v>1</v>
      </c>
      <c r="AL1659" s="62" t="n">
        <f aca="false">AK1659*G1659</f>
        <v>607.5</v>
      </c>
      <c r="AM1659" s="62" t="n">
        <f aca="false">ROUNDUP(CL1659+MAX(CM1659,2*(J1659/IF(CH1659&gt;0,CH1659,MAX(0.1,N(Cockpit!$C$6)))-CL1659)),0)</f>
        <v>2</v>
      </c>
      <c r="AN1659" s="63" t="n">
        <f aca="false">IF(AJ1659&gt;0,J1659/AJ1659,-1)</f>
        <v>0</v>
      </c>
      <c r="AO1659" s="63" t="n">
        <f aca="false">IF(AND(OR(CG1659="L1",CG1659="L23",CG1659="LIFT"),AJ1659&gt;0),SUMIFS($AJ$7:$AJ$1843,$CG$7:$CG$1843,CG1659,$AN$7:$AN$1843,"&gt;"&amp;AN1659)+SUMIFS($AJ$7:$AJ$1843,$CG$7:$CG$1843,CG1659,$AN$7:$AN$1843,AN1659,$BX$7:$BX$1843,"&lt;="&amp;BX1659),"")</f>
        <v>31351.6204781565</v>
      </c>
      <c r="AP1659" s="70" t="n">
        <f aca="false">IF(AO1659="",0,MAX(0,MIN(1,(IF(CG1659="L1",Parameter!$H$5,IF(CG1659="L23",Parameter!$H$6+Parameter!$H$7,Parameter!$H$5+Parameter!$H$6+Parameter!$H$7))-(AO1659-AJ1659))/AJ1659)))</f>
        <v>1</v>
      </c>
      <c r="AQ1659" s="62" t="n">
        <f aca="false">IF(LEFT(Cockpit!$I$5,1)="A",H1659,IF(Parameter!$E$30="MAX-Bestand",IF(CI1659=1,CJ1659,IF(LEFT(Cockpit!$I$5,1)="B",AW1659,MAX(AW1659,H1659))),ROUNDUP(AU1659,0)))</f>
        <v>2</v>
      </c>
      <c r="AR1659" s="62" t="n">
        <f aca="false">IF(CA1659=1,0,ROUNDUP(AQ1659/BZ1659,0))</f>
        <v>1</v>
      </c>
      <c r="AS1659" s="64" t="n">
        <f aca="false">IF(CR1659&gt;0,CR1659*MAX(1,AQ1659/X1659),IF(CA1659=1,IF(AQ1659&lt;=0,0,CE1659*MAX(1,IF(H1659&gt;0,AQ1659/H1659,1))),IF(R1659&gt;0,AR1659/R1659,0))/MAX(0.1,N(Parameter!$M$21)))</f>
        <v>0.25</v>
      </c>
      <c r="AT1659" s="62" t="n">
        <f aca="false">AS1659*CC1659</f>
        <v>58.75</v>
      </c>
      <c r="AU1659" s="63" t="n">
        <f aca="false">IF(LEFT(Cockpit!$I$5,1)="A",H1659,IF(CI1659=1,(CL1659+CJ1659)/2,IF(LEFT(Cockpit!$I$5,1)="B",(CL1659+AW1659)/2,MAX((CL1659+AW1659)/2,H1659))))</f>
        <v>1.5</v>
      </c>
      <c r="AV1659" s="62" t="n">
        <f aca="false">AU1659*G1659</f>
        <v>911.25</v>
      </c>
      <c r="AW1659" s="62" t="n">
        <f aca="false">ROUNDUP(CL1659+MAX(CM1659,2*(J1659/IF(CH1659&gt;0,CH1659,MAX(0.1,N(Cockpit!$I$6)))-CL1659)),0)</f>
        <v>2</v>
      </c>
      <c r="AX1659" s="63" t="n">
        <f aca="false">IF(AT1659&gt;0,J1659/AT1659,-1)</f>
        <v>0</v>
      </c>
      <c r="AY1659" s="63" t="n">
        <f aca="false">IF(AND(OR(CG1659="L1",CG1659="L23",CG1659="LIFT"),AT1659&gt;0),SUMIFS($AT$7:$AT$1843,$CG$7:$CG$1843,CG1659,$AX$7:$AX$1843,"&gt;"&amp;AX1659)+SUMIFS($AT$7:$AT$1843,$CG$7:$CG$1843,CG1659,$AX$7:$AX$1843,AX1659,$BX$7:$BX$1843,"&lt;="&amp;BX1659),"")</f>
        <v>37823.8687087395</v>
      </c>
      <c r="AZ1659" s="70" t="n">
        <f aca="false">IF(AY1659="",0,MAX(0,MIN(1,(IF(CG1659="L1",Parameter!$H$5,IF(CG1659="L23",Parameter!$H$6+Parameter!$H$7,Parameter!$H$5+Parameter!$H$6+Parameter!$H$7))-(AY1659-AT1659))/AT1659)))</f>
        <v>0</v>
      </c>
      <c r="BA1659" s="62" t="n">
        <f aca="false">IF(LEFT(Cockpit!$O$5,1)="A",H1659,IF(Parameter!$E$30="MAX-Bestand",IF(CI1659=1,CJ1659,IF(LEFT(Cockpit!$O$5,1)="B",BG1659,MAX(BG1659,H1659))),ROUNDUP(BE1659,0)))</f>
        <v>2</v>
      </c>
      <c r="BB1659" s="62" t="n">
        <f aca="false">IF(CA1659=1,0,ROUNDUP(BA1659/BZ1659,0))</f>
        <v>1</v>
      </c>
      <c r="BC1659" s="64" t="n">
        <f aca="false">IF(CR1659&gt;0,CR1659*MAX(1,BA1659/X1659),IF(CA1659=1,IF(BA1659&lt;=0,0,CE1659*MAX(1,IF(H1659&gt;0,BA1659/H1659,1))),IF(R1659&gt;0,BB1659/R1659,0))/MAX(0.1,N(Parameter!$M$21)))</f>
        <v>0.25</v>
      </c>
      <c r="BD1659" s="62" t="n">
        <f aca="false">BC1659*CC1659</f>
        <v>58.75</v>
      </c>
      <c r="BE1659" s="63" t="n">
        <f aca="false">IF(LEFT(Cockpit!$O$5,1)="A",H1659,IF(CI1659=1,(CL1659+CJ1659)/2,IF(LEFT(Cockpit!$O$5,1)="B",(CL1659+BG1659)/2,MAX((CL1659+BG1659)/2,H1659))))</f>
        <v>1.5</v>
      </c>
      <c r="BF1659" s="62" t="n">
        <f aca="false">BE1659*G1659</f>
        <v>911.25</v>
      </c>
      <c r="BG1659" s="62" t="n">
        <f aca="false">ROUNDUP(CL1659+MAX(CM1659,2*(J1659/IF(CH1659&gt;0,CH1659,MAX(0.1,N(Cockpit!$O$6)))-CL1659)),0)</f>
        <v>2</v>
      </c>
      <c r="BH1659" s="63" t="n">
        <f aca="false">IF(BD1659&gt;0,J1659/BD1659,-1)</f>
        <v>0</v>
      </c>
      <c r="BI1659" s="63" t="n">
        <f aca="false">IF(AND(OR(CG1659="L1",CG1659="L23",CG1659="LIFT"),BD1659&gt;0),SUMIFS($BD$7:$BD$1843,$CG$7:$CG$1843,CG1659,$BH$7:$BH$1843,"&gt;"&amp;BH1659)+SUMIFS($BD$7:$BD$1843,$CG$7:$CG$1843,CG1659,$BH$7:$BH$1843,BH1659,$BX$7:$BX$1843,"&lt;="&amp;BX1659),"")</f>
        <v>31733.3099842719</v>
      </c>
      <c r="BJ1659" s="70" t="n">
        <f aca="false">IF(BI1659="",0,MAX(0,MIN(1,(IF(CG1659="L1",Parameter!$H$5,IF(CG1659="L23",Parameter!$H$6+Parameter!$H$7,Parameter!$H$5+Parameter!$H$6+Parameter!$H$7))-(BI1659-BD1659))/BD1659)))</f>
        <v>1</v>
      </c>
      <c r="BK1659" s="60" t="str">
        <f aca="false">IF(AJ1659&lt;=0,"",IF(CG1659="Aussen","Aussenlager",IF(CG1659="-","Nicht im Lift",IF(AP1659&gt;=1,"Lift",IF(AP1659&lt;=0,"Aussenlager","teilweise")))))</f>
        <v>Lift</v>
      </c>
      <c r="BL1659" s="60" t="str">
        <f aca="false">IF(AT1659&lt;=0,"",IF(CG1659="Aussen","Aussenlager",IF(CG1659="-","Nicht im Lift",IF(AZ1659&gt;=1,"Lift",IF(AZ1659&lt;=0,"Aussenlager","teilweise")))))</f>
        <v>Aussenlager</v>
      </c>
      <c r="BM1659" s="60" t="str">
        <f aca="false">IF(BD1659&lt;=0,"",IF(CG1659="Aussen","Aussenlager",IF(CG1659="-","Nicht im Lift",IF(BJ1659&gt;=1,"Lift",IF(BJ1659&lt;=0,"Aussenlager","teilweise")))))</f>
        <v>Lift</v>
      </c>
      <c r="BN1659" s="60" t="str">
        <f aca="false">IF(A1659="","",IF(BW1659=1,"Neu; ","")&amp;IF(AND(BW1659=0,BR1659&lt;0),"negativer Bestand (Export "&amp;BR1659&amp;"); ","")&amp;IF(J1659&lt;=0,"Kein Verbrauch; ","")&amp;IF(CR1659&gt;0,"Lift "&amp;W1659&amp;" lt. Liftbericht (Fach "&amp;X1659&amp;" Stk); ",IF(CB1659=1,"Gebinde geschätzt ("&amp;T1659&amp;"); ",IF(CA1659=1,"Lose – Tablare geschätzt; ","")))&amp;IF(H1659&gt;AW1659,"Überbestand "&amp;ROUND(H1659-AW1659,0)&amp;" Stk / CHF "&amp;ROUND((H1659-AW1659)*G1659,0)&amp;"; ","")&amp;IF(AND(CI1659=1,CJ1659&lt;CK1659),"MAX &lt; MB+LG; ","")&amp;IF(AND(CQ1659&gt;0,CP1659*10&gt;CQ1659),"zu hoch für Tablar; ","")&amp;IF(AND(BW1659=0,OR(CI1659=1,AB1659&lt;&gt;"",U1659&lt;&gt;"",V1659&lt;&gt;"",AC1659&lt;&gt;"")),"manuell übersteuert; ","")&amp;IF(AND(CA1659=0,R1659=0),"Gebinde unbekannt / Stellmass fehlt; ","")&amp;IF(AND(CA1659=0,N(V1659)&lt;=0,N(Q1659)&lt;=0),"Menge pro Gebinde fehlt (Ist = 1 Gebinde); ","")&amp;BV1659)</f>
        <v>Kein Verbrauch; Gebinde geschätzt (Gross); Menge pro Gebinde fehlt (Ist = 1 Gebinde); nur im Artikelstamm (Bestand 23.06.2026)</v>
      </c>
      <c r="BO1659" s="60"/>
      <c r="BP1659" s="60"/>
      <c r="BQ1659" s="67"/>
      <c r="BR1659" s="62" t="n">
        <v>1</v>
      </c>
      <c r="BS1659" s="62" t="n">
        <v>0</v>
      </c>
      <c r="BT1659" s="61" t="n">
        <v>0</v>
      </c>
      <c r="BU1659" s="62" t="n">
        <v>0</v>
      </c>
      <c r="BV1659" s="60" t="s">
        <v>2617</v>
      </c>
      <c r="BW1659" s="65" t="n">
        <v>0</v>
      </c>
      <c r="BX1659" s="65" t="n">
        <v>1659</v>
      </c>
      <c r="BY1659" s="60" t="str">
        <f aca="false">IF(U1659&lt;&gt;"",UPPER(TRIM(U1659)),IF(CB1659=1,UPPER(VLOOKUP(T1659,Parameter!$I$27:$K$29,2,0)),IF(P1659="","LOSE",P1659)))</f>
        <v>S81</v>
      </c>
      <c r="BZ1659" s="62" t="n">
        <f aca="false">IF(BY1659="LOSE",1,IF(N(V1659)&gt;0,V1659,IF(CB1659=1,MAX(1,N(VLOOKUP(T1659,Parameter!$I$27:$K$29,3,0)),H1659,N(N1659)),IF(N(Q1659)&gt;0,Q1659,MAX(1,H1659)))))</f>
        <v>2</v>
      </c>
      <c r="CA1659" s="65" t="n">
        <f aca="false">IF(BY1659="LOSE",1,0)</f>
        <v>0</v>
      </c>
      <c r="CB1659" s="65" t="n">
        <f aca="false">IF(AND(U1659="",OR(P1659="",P1659="LOSE"),T1659&lt;&gt;"",N(S1659)&lt;=0,ISNUMBER(MATCH(T1659,Parameter!$I$27:$I$29,0))),1,0)</f>
        <v>1</v>
      </c>
      <c r="CC1659" s="65" t="n">
        <f aca="false">IF(CR1659&gt;0,INDEX(Parameter!$H$5:$H$7,W1659)/INDEX(Parameter!$E$5:$E$7,W1659),IF(AND(CA1659=0,N(IFERROR(VLOOKUP(BY1659,'Gebinde-Kategorie'!$A$5:$N$45,14,0),0))&gt;0),VLOOKUP(BY1659,'Gebinde-Kategorie'!$A$5:$N$45,14,0)*10+Parameter!$M$23,Parameter!$M$24))</f>
        <v>235</v>
      </c>
      <c r="CD1659" s="60" t="str">
        <f aca="false">IF(AND(Parameter!$B$19="Ja",E1659&lt;&gt;"",ISNUMBER(MATCH(E1659,Parameter!$I$35:$I$52,0))),VLOOKUP(E1659,Parameter!$I$35:$J$52,2,0),IFERROR(VLOOKUP(D1659,Parameter!$A$35:$C$64,2,0),"Nein"))</f>
        <v>2+3</v>
      </c>
      <c r="CE1659" s="64" t="n">
        <f aca="false">IF(CA1659=0,0,IF(N(S1659)&gt;0,S1659,IFERROR(VLOOKUP(D1659,Parameter!$A$35:$C$64,3,0)+0,0)))</f>
        <v>0</v>
      </c>
      <c r="CF1659" s="60" t="n">
        <f aca="false">IF(AB1659&lt;&gt;"",AB1659,AA1659)</f>
        <v>2</v>
      </c>
      <c r="CG1659" s="60" t="str">
        <f aca="false">IF(OR(CF1659=1,CF1659=2,CF1659=3),IF(Parameter!$E$27="Ja","LIFT",IF(CF1659=1,"L1","L23")),IF(CF1659="Aussen","Aussen","-"))</f>
        <v>LIFT</v>
      </c>
      <c r="CH1659" s="71" t="n">
        <f aca="false">IF(N(AC1659)&gt;0,AC1659,0)</f>
        <v>0</v>
      </c>
      <c r="CI1659" s="65" t="n">
        <f aca="false">IF(ISNUMBER(AF1659),1,0)</f>
        <v>0</v>
      </c>
      <c r="CJ1659" s="62" t="n">
        <f aca="false">N(AF1659)</f>
        <v>0</v>
      </c>
      <c r="CK1659" s="62" t="n">
        <f aca="false">N(M1659)+N(N1659)</f>
        <v>2</v>
      </c>
      <c r="CL1659" s="62" t="n">
        <f aca="false">N(M1659)</f>
        <v>1</v>
      </c>
      <c r="CM1659" s="62" t="n">
        <f aca="false">N(N1659)</f>
        <v>1</v>
      </c>
      <c r="CN1659" s="62" t="n">
        <f aca="false">ROUNDUP(H1659/BZ1659,0)</f>
        <v>1</v>
      </c>
      <c r="CO1659" s="62" t="n">
        <f aca="false">ROUNDUP(CJ1659/BZ1659,0)</f>
        <v>0</v>
      </c>
      <c r="CP1659" s="65" t="n">
        <f aca="false">IF(CA1659=1,0,IFERROR(VLOOKUP(BY1659,'Gebinde-Kategorie'!$A$5:$N$45,5,0)+0,0))</f>
        <v>20</v>
      </c>
      <c r="CQ1659" s="65" t="n">
        <f aca="false">IFERROR(IF(OR(CF1659=1,CF1659=2,CF1659=3),N(INDEX(Parameter!$I$5:$I$7,CF1659)),0),0)</f>
        <v>0</v>
      </c>
      <c r="CR1659" s="64" t="n">
        <f aca="false">IF(AND(Parameter!$B$21="Ja",ISNUMBER(W1659),N(X1659)&gt;0),IFERROR(N(INDEX(Parameter!$L$5:$L$7,W1659))*INDEX(Parameter!$E$5:$E$7,W1659)*X1659/SUMIFS($X$7:$X$1843,$W$7:$W$1843,W1659),0),0)</f>
        <v>0</v>
      </c>
      <c r="CS1659" s="62" t="n">
        <f aca="false">IF(AND(OR(CG1659="L1",CG1659="L23",CG1659="LIFT"),H1659&gt;0),CC1659*IF(CR1659&gt;0,CR1659*MAX(1,H1659/X1659),IF(CA1659=1,CE1659,IF(R1659&gt;0,CN1659/R1659,0))/MAX(0.1,N(Parameter!$M$21))),"")</f>
        <v>58.75</v>
      </c>
      <c r="CT1659" s="64" t="n">
        <f aca="false">IF(CS1659="","",J1659/H1659)</f>
        <v>0</v>
      </c>
      <c r="CU1659" s="62" t="n">
        <f aca="false">IF(CS1659="","",H1659*G1659)</f>
        <v>607.5</v>
      </c>
      <c r="CV1659" s="63" t="n">
        <f aca="false">IF(CS1659="","",(CL1659+ROUNDUP(CL1659+MAX(CM1659,2*(J1659/MAX(0.1,N(Einkauf!$C$6))-CL1659)),0))/2)</f>
        <v>1.5</v>
      </c>
      <c r="CW1659" s="62" t="n">
        <f aca="false">IF(CS1659="","",MAX(0,H1659-CV1659)*G1659)</f>
        <v>0</v>
      </c>
      <c r="CX1659" s="62" t="n">
        <f aca="false">IF(CS1659="","",CS1659*MAX(0,1-CV1659/H1659))</f>
        <v>0</v>
      </c>
      <c r="CY1659" s="64" t="n">
        <f aca="false">IF(CS1659="","",PERCENTRANK($CS$7:$CS$1843,CS1659)+PERCENTRANK($CU$7:$CU$1843,CU1659)+1-PERCENTRANK($CT$7:$CT$1843,CT1659))</f>
        <v>2.468</v>
      </c>
      <c r="CZ1659" s="72" t="n">
        <f aca="false">IF(CS1659="","",CHOOSE(MATCH(Einkauf!$C$5,Parameter!$G$23:$G$27,0),CY1659,CS1659,CU1659,-CT1659,CW1659)+ROW()/1000000000)</f>
        <v>2.468001659</v>
      </c>
    </row>
    <row r="1660" customFormat="false" ht="15" hidden="false" customHeight="false" outlineLevel="0" collapsed="false">
      <c r="A1660" s="60" t="s">
        <v>2927</v>
      </c>
      <c r="B1660" s="60" t="s">
        <v>223</v>
      </c>
      <c r="C1660" s="60" t="s">
        <v>209</v>
      </c>
      <c r="D1660" s="60" t="s">
        <v>215</v>
      </c>
      <c r="E1660" s="60" t="s">
        <v>208</v>
      </c>
      <c r="F1660" s="60"/>
      <c r="G1660" s="61" t="n">
        <v>5331</v>
      </c>
      <c r="H1660" s="62" t="n">
        <f aca="false">MAX(0,IF(AND(Parameter!$B$21="Ja",ISNUMBER(Y1660)),Y1660,IF(Parameter!$B$20="Jahresanfang 2025 + Export",BS1660+BR1660,BR1660)))</f>
        <v>6</v>
      </c>
      <c r="I1660" s="62" t="n">
        <f aca="false">H1660*G1660</f>
        <v>31986</v>
      </c>
      <c r="J1660" s="62" t="n">
        <f aca="false">BU1660*Parameter!$B$18</f>
        <v>0</v>
      </c>
      <c r="K1660" s="63"/>
      <c r="L1660" s="64"/>
      <c r="M1660" s="62" t="n">
        <v>0</v>
      </c>
      <c r="N1660" s="62" t="n">
        <v>1</v>
      </c>
      <c r="O1660" s="65" t="n">
        <v>42</v>
      </c>
      <c r="P1660" s="60" t="s">
        <v>210</v>
      </c>
      <c r="Q1660" s="62"/>
      <c r="R1660" s="65" t="n">
        <f aca="false">IF(CA1660=1,0,IFERROR(VLOOKUP(BY1660,'Gebinde-Kategorie'!$A$5:$N$45,13,0)+0,0))</f>
        <v>12</v>
      </c>
      <c r="S1660" s="66"/>
      <c r="T1660" s="67" t="s">
        <v>221</v>
      </c>
      <c r="U1660" s="67"/>
      <c r="V1660" s="67"/>
      <c r="W1660" s="60"/>
      <c r="X1660" s="62"/>
      <c r="Y1660" s="62"/>
      <c r="Z1660" s="60" t="n">
        <v>3</v>
      </c>
      <c r="AA1660" s="60" t="n">
        <f aca="false">IF(A1660="","",IF(AND(Parameter!$B$21="Ja",ISNUMBER(W1660)),W1660,IF(AND(Parameter!$E$27="Ja",ISNUMBER(Z1660),CD1660&lt;&gt;"Nein"),Z1660,IF(CD1660="2+3",IF(ISNUMBER(SEARCH("grosser Artikel",BV1660)),2,IFERROR(VLOOKUP(BY1660,Parameter!$F$35:$G$64,2,0),2)),IF(OR(CD1660="Nein",CD1660=""),"-",CD1660)))))</f>
        <v>3</v>
      </c>
      <c r="AB1660" s="67"/>
      <c r="AC1660" s="68"/>
      <c r="AD1660" s="62" t="n">
        <f aca="false">AW1660</f>
        <v>1</v>
      </c>
      <c r="AE1660" s="62" t="n">
        <f aca="false">MAX(AW1660,H1660)</f>
        <v>6</v>
      </c>
      <c r="AF1660" s="69"/>
      <c r="AG1660" s="62" t="n">
        <f aca="false">IF(LEFT(Cockpit!$C$5,1)="A",H1660,IF(Parameter!$E$30="MAX-Bestand",IF(CI1660=1,CJ1660,IF(LEFT(Cockpit!$C$5,1)="B",AM1660,MAX(AM1660,H1660))),ROUNDUP(AK1660,0)))</f>
        <v>6</v>
      </c>
      <c r="AH1660" s="62" t="n">
        <f aca="false">IF(CA1660=1,0,ROUNDUP(AG1660/BZ1660,0))</f>
        <v>1</v>
      </c>
      <c r="AI1660" s="64" t="n">
        <f aca="false">IF(CR1660&gt;0,CR1660*MAX(1,AG1660/X1660),IF(CA1660=1,IF(AG1660&lt;=0,0,CE1660*MAX(1,IF(H1660&gt;0,AG1660/H1660,1))),IF(R1660&gt;0,AH1660/R1660,0))/MAX(0.1,N(Parameter!$M$21)))</f>
        <v>0.0833333333333333</v>
      </c>
      <c r="AJ1660" s="62" t="n">
        <f aca="false">AI1660*CC1660</f>
        <v>12.0833333333333</v>
      </c>
      <c r="AK1660" s="63" t="n">
        <f aca="false">IF(LEFT(Cockpit!$C$5,1)="A",H1660,IF(CI1660=1,(CL1660+CJ1660)/2,IF(LEFT(Cockpit!$C$5,1)="B",(CL1660+AM1660)/2,MAX((CL1660+AM1660)/2,H1660))))</f>
        <v>6</v>
      </c>
      <c r="AL1660" s="62" t="n">
        <f aca="false">AK1660*G1660</f>
        <v>31986</v>
      </c>
      <c r="AM1660" s="62" t="n">
        <f aca="false">ROUNDUP(CL1660+MAX(CM1660,2*(J1660/IF(CH1660&gt;0,CH1660,MAX(0.1,N(Cockpit!$C$6)))-CL1660)),0)</f>
        <v>1</v>
      </c>
      <c r="AN1660" s="63" t="n">
        <f aca="false">IF(AJ1660&gt;0,J1660/AJ1660,-1)</f>
        <v>0</v>
      </c>
      <c r="AO1660" s="63" t="n">
        <f aca="false">IF(AND(OR(CG1660="L1",CG1660="L23",CG1660="LIFT"),AJ1660&gt;0),SUMIFS($AJ$7:$AJ$1843,$CG$7:$CG$1843,CG1660,$AN$7:$AN$1843,"&gt;"&amp;AN1660)+SUMIFS($AJ$7:$AJ$1843,$CG$7:$CG$1843,CG1660,$AN$7:$AN$1843,AN1660,$BX$7:$BX$1843,"&lt;="&amp;BX1660),"")</f>
        <v>31363.7038114898</v>
      </c>
      <c r="AP1660" s="70" t="n">
        <f aca="false">IF(AO1660="",0,MAX(0,MIN(1,(IF(CG1660="L1",Parameter!$H$5,IF(CG1660="L23",Parameter!$H$6+Parameter!$H$7,Parameter!$H$5+Parameter!$H$6+Parameter!$H$7))-(AO1660-AJ1660))/AJ1660)))</f>
        <v>1</v>
      </c>
      <c r="AQ1660" s="62" t="n">
        <f aca="false">IF(LEFT(Cockpit!$I$5,1)="A",H1660,IF(Parameter!$E$30="MAX-Bestand",IF(CI1660=1,CJ1660,IF(LEFT(Cockpit!$I$5,1)="B",AW1660,MAX(AW1660,H1660))),ROUNDUP(AU1660,0)))</f>
        <v>6</v>
      </c>
      <c r="AR1660" s="62" t="n">
        <f aca="false">IF(CA1660=1,0,ROUNDUP(AQ1660/BZ1660,0))</f>
        <v>1</v>
      </c>
      <c r="AS1660" s="64" t="n">
        <f aca="false">IF(CR1660&gt;0,CR1660*MAX(1,AQ1660/X1660),IF(CA1660=1,IF(AQ1660&lt;=0,0,CE1660*MAX(1,IF(H1660&gt;0,AQ1660/H1660,1))),IF(R1660&gt;0,AR1660/R1660,0))/MAX(0.1,N(Parameter!$M$21)))</f>
        <v>0.0833333333333333</v>
      </c>
      <c r="AT1660" s="62" t="n">
        <f aca="false">AS1660*CC1660</f>
        <v>12.0833333333333</v>
      </c>
      <c r="AU1660" s="63" t="n">
        <f aca="false">IF(LEFT(Cockpit!$I$5,1)="A",H1660,IF(CI1660=1,(CL1660+CJ1660)/2,IF(LEFT(Cockpit!$I$5,1)="B",(CL1660+AW1660)/2,MAX((CL1660+AW1660)/2,H1660))))</f>
        <v>6</v>
      </c>
      <c r="AV1660" s="62" t="n">
        <f aca="false">AU1660*G1660</f>
        <v>31986</v>
      </c>
      <c r="AW1660" s="62" t="n">
        <f aca="false">ROUNDUP(CL1660+MAX(CM1660,2*(J1660/IF(CH1660&gt;0,CH1660,MAX(0.1,N(Cockpit!$I$6)))-CL1660)),0)</f>
        <v>1</v>
      </c>
      <c r="AX1660" s="63" t="n">
        <f aca="false">IF(AT1660&gt;0,J1660/AT1660,-1)</f>
        <v>0</v>
      </c>
      <c r="AY1660" s="63" t="n">
        <f aca="false">IF(AND(OR(CG1660="L1",CG1660="L23",CG1660="LIFT"),AT1660&gt;0),SUMIFS($AT$7:$AT$1843,$CG$7:$CG$1843,CG1660,$AX$7:$AX$1843,"&gt;"&amp;AX1660)+SUMIFS($AT$7:$AT$1843,$CG$7:$CG$1843,CG1660,$AX$7:$AX$1843,AX1660,$BX$7:$BX$1843,"&lt;="&amp;BX1660),"")</f>
        <v>37835.9520420728</v>
      </c>
      <c r="AZ1660" s="70" t="n">
        <f aca="false">IF(AY1660="",0,MAX(0,MIN(1,(IF(CG1660="L1",Parameter!$H$5,IF(CG1660="L23",Parameter!$H$6+Parameter!$H$7,Parameter!$H$5+Parameter!$H$6+Parameter!$H$7))-(AY1660-AT1660))/AT1660)))</f>
        <v>0</v>
      </c>
      <c r="BA1660" s="62" t="n">
        <f aca="false">IF(LEFT(Cockpit!$O$5,1)="A",H1660,IF(Parameter!$E$30="MAX-Bestand",IF(CI1660=1,CJ1660,IF(LEFT(Cockpit!$O$5,1)="B",BG1660,MAX(BG1660,H1660))),ROUNDUP(BE1660,0)))</f>
        <v>1</v>
      </c>
      <c r="BB1660" s="62" t="n">
        <f aca="false">IF(CA1660=1,0,ROUNDUP(BA1660/BZ1660,0))</f>
        <v>1</v>
      </c>
      <c r="BC1660" s="64" t="n">
        <f aca="false">IF(CR1660&gt;0,CR1660*MAX(1,BA1660/X1660),IF(CA1660=1,IF(BA1660&lt;=0,0,CE1660*MAX(1,IF(H1660&gt;0,BA1660/H1660,1))),IF(R1660&gt;0,BB1660/R1660,0))/MAX(0.1,N(Parameter!$M$21)))</f>
        <v>0.0833333333333333</v>
      </c>
      <c r="BD1660" s="62" t="n">
        <f aca="false">BC1660*CC1660</f>
        <v>12.0833333333333</v>
      </c>
      <c r="BE1660" s="63" t="n">
        <f aca="false">IF(LEFT(Cockpit!$O$5,1)="A",H1660,IF(CI1660=1,(CL1660+CJ1660)/2,IF(LEFT(Cockpit!$O$5,1)="B",(CL1660+BG1660)/2,MAX((CL1660+BG1660)/2,H1660))))</f>
        <v>0.5</v>
      </c>
      <c r="BF1660" s="62" t="n">
        <f aca="false">BE1660*G1660</f>
        <v>2665.5</v>
      </c>
      <c r="BG1660" s="62" t="n">
        <f aca="false">ROUNDUP(CL1660+MAX(CM1660,2*(J1660/IF(CH1660&gt;0,CH1660,MAX(0.1,N(Cockpit!$O$6)))-CL1660)),0)</f>
        <v>1</v>
      </c>
      <c r="BH1660" s="63" t="n">
        <f aca="false">IF(BD1660&gt;0,J1660/BD1660,-1)</f>
        <v>0</v>
      </c>
      <c r="BI1660" s="63" t="n">
        <f aca="false">IF(AND(OR(CG1660="L1",CG1660="L23",CG1660="LIFT"),BD1660&gt;0),SUMIFS($BD$7:$BD$1843,$CG$7:$CG$1843,CG1660,$BH$7:$BH$1843,"&gt;"&amp;BH1660)+SUMIFS($BD$7:$BD$1843,$CG$7:$CG$1843,CG1660,$BH$7:$BH$1843,BH1660,$BX$7:$BX$1843,"&lt;="&amp;BX1660),"")</f>
        <v>31745.3933176052</v>
      </c>
      <c r="BJ1660" s="70" t="n">
        <f aca="false">IF(BI1660="",0,MAX(0,MIN(1,(IF(CG1660="L1",Parameter!$H$5,IF(CG1660="L23",Parameter!$H$6+Parameter!$H$7,Parameter!$H$5+Parameter!$H$6+Parameter!$H$7))-(BI1660-BD1660))/BD1660)))</f>
        <v>1</v>
      </c>
      <c r="BK1660" s="60" t="str">
        <f aca="false">IF(AJ1660&lt;=0,"",IF(CG1660="Aussen","Aussenlager",IF(CG1660="-","Nicht im Lift",IF(AP1660&gt;=1,"Lift",IF(AP1660&lt;=0,"Aussenlager","teilweise")))))</f>
        <v>Lift</v>
      </c>
      <c r="BL1660" s="60" t="str">
        <f aca="false">IF(AT1660&lt;=0,"",IF(CG1660="Aussen","Aussenlager",IF(CG1660="-","Nicht im Lift",IF(AZ1660&gt;=1,"Lift",IF(AZ1660&lt;=0,"Aussenlager","teilweise")))))</f>
        <v>Aussenlager</v>
      </c>
      <c r="BM1660" s="60" t="str">
        <f aca="false">IF(BD1660&lt;=0,"",IF(CG1660="Aussen","Aussenlager",IF(CG1660="-","Nicht im Lift",IF(BJ1660&gt;=1,"Lift",IF(BJ1660&lt;=0,"Aussenlager","teilweise")))))</f>
        <v>Lift</v>
      </c>
      <c r="BN1660" s="60" t="str">
        <f aca="false">IF(A1660="","",IF(BW1660=1,"Neu; ","")&amp;IF(AND(BW1660=0,BR1660&lt;0),"negativer Bestand (Export "&amp;BR1660&amp;"); ","")&amp;IF(J1660&lt;=0,"Kein Verbrauch; ","")&amp;IF(CR1660&gt;0,"Lift "&amp;W1660&amp;" lt. Liftbericht (Fach "&amp;X1660&amp;" Stk); ",IF(CB1660=1,"Gebinde geschätzt ("&amp;T1660&amp;"); ",IF(CA1660=1,"Lose – Tablare geschätzt; ","")))&amp;IF(H1660&gt;AW1660,"Überbestand "&amp;ROUND(H1660-AW1660,0)&amp;" Stk / CHF "&amp;ROUND((H1660-AW1660)*G1660,0)&amp;"; ","")&amp;IF(AND(CI1660=1,CJ1660&lt;CK1660),"MAX &lt; MB+LG; ","")&amp;IF(AND(CQ1660&gt;0,CP1660*10&gt;CQ1660),"zu hoch für Tablar; ","")&amp;IF(AND(BW1660=0,OR(CI1660=1,AB1660&lt;&gt;"",U1660&lt;&gt;"",V1660&lt;&gt;"",AC1660&lt;&gt;"")),"manuell übersteuert; ","")&amp;IF(AND(CA1660=0,R1660=0),"Gebinde unbekannt / Stellmass fehlt; ","")&amp;IF(AND(CA1660=0,N(V1660)&lt;=0,N(Q1660)&lt;=0),"Menge pro Gebinde fehlt (Ist = 1 Gebinde); ","")&amp;BV1660)</f>
        <v>Kein Verbrauch; Gebinde geschätzt (Mittel); Überbestand 5 Stk / CHF 26655; Menge pro Gebinde fehlt (Ist = 1 Gebinde); nur im Artikelstamm (Bestand 23.06.2026)</v>
      </c>
      <c r="BO1660" s="60"/>
      <c r="BP1660" s="60"/>
      <c r="BQ1660" s="67"/>
      <c r="BR1660" s="62" t="n">
        <v>6</v>
      </c>
      <c r="BS1660" s="62" t="n">
        <v>0</v>
      </c>
      <c r="BT1660" s="61" t="n">
        <v>0</v>
      </c>
      <c r="BU1660" s="62" t="n">
        <v>0</v>
      </c>
      <c r="BV1660" s="60" t="s">
        <v>2617</v>
      </c>
      <c r="BW1660" s="65" t="n">
        <v>0</v>
      </c>
      <c r="BX1660" s="65" t="n">
        <v>1660</v>
      </c>
      <c r="BY1660" s="60" t="str">
        <f aca="false">IF(U1660&lt;&gt;"",UPPER(TRIM(U1660)),IF(CB1660=1,UPPER(VLOOKUP(T1660,Parameter!$I$27:$K$29,2,0)),IF(P1660="","LOSE",P1660)))</f>
        <v>S61</v>
      </c>
      <c r="BZ1660" s="62" t="n">
        <f aca="false">IF(BY1660="LOSE",1,IF(N(V1660)&gt;0,V1660,IF(CB1660=1,MAX(1,N(VLOOKUP(T1660,Parameter!$I$27:$K$29,3,0)),H1660,N(N1660)),IF(N(Q1660)&gt;0,Q1660,MAX(1,H1660)))))</f>
        <v>6</v>
      </c>
      <c r="CA1660" s="65" t="n">
        <f aca="false">IF(BY1660="LOSE",1,0)</f>
        <v>0</v>
      </c>
      <c r="CB1660" s="65" t="n">
        <f aca="false">IF(AND(U1660="",OR(P1660="",P1660="LOSE"),T1660&lt;&gt;"",N(S1660)&lt;=0,ISNUMBER(MATCH(T1660,Parameter!$I$27:$I$29,0))),1,0)</f>
        <v>1</v>
      </c>
      <c r="CC1660" s="65" t="n">
        <f aca="false">IF(CR1660&gt;0,INDEX(Parameter!$H$5:$H$7,W1660)/INDEX(Parameter!$E$5:$E$7,W1660),IF(AND(CA1660=0,N(IFERROR(VLOOKUP(BY1660,'Gebinde-Kategorie'!$A$5:$N$45,14,0),0))&gt;0),VLOOKUP(BY1660,'Gebinde-Kategorie'!$A$5:$N$45,14,0)*10+Parameter!$M$23,Parameter!$M$24))</f>
        <v>145</v>
      </c>
      <c r="CD1660" s="60" t="n">
        <f aca="false">IF(AND(Parameter!$B$19="Ja",E1660&lt;&gt;"",ISNUMBER(MATCH(E1660,Parameter!$I$35:$I$52,0))),VLOOKUP(E1660,Parameter!$I$35:$J$52,2,0),IFERROR(VLOOKUP(D1660,Parameter!$A$35:$C$64,2,0),"Nein"))</f>
        <v>1</v>
      </c>
      <c r="CE1660" s="64" t="n">
        <f aca="false">IF(CA1660=0,0,IF(N(S1660)&gt;0,S1660,IFERROR(VLOOKUP(D1660,Parameter!$A$35:$C$64,3,0)+0,0)))</f>
        <v>0</v>
      </c>
      <c r="CF1660" s="60" t="n">
        <f aca="false">IF(AB1660&lt;&gt;"",AB1660,AA1660)</f>
        <v>3</v>
      </c>
      <c r="CG1660" s="60" t="str">
        <f aca="false">IF(OR(CF1660=1,CF1660=2,CF1660=3),IF(Parameter!$E$27="Ja","LIFT",IF(CF1660=1,"L1","L23")),IF(CF1660="Aussen","Aussen","-"))</f>
        <v>LIFT</v>
      </c>
      <c r="CH1660" s="71" t="n">
        <f aca="false">IF(N(AC1660)&gt;0,AC1660,0)</f>
        <v>0</v>
      </c>
      <c r="CI1660" s="65" t="n">
        <f aca="false">IF(ISNUMBER(AF1660),1,0)</f>
        <v>0</v>
      </c>
      <c r="CJ1660" s="62" t="n">
        <f aca="false">N(AF1660)</f>
        <v>0</v>
      </c>
      <c r="CK1660" s="62" t="n">
        <f aca="false">N(M1660)+N(N1660)</f>
        <v>1</v>
      </c>
      <c r="CL1660" s="62" t="n">
        <f aca="false">N(M1660)</f>
        <v>0</v>
      </c>
      <c r="CM1660" s="62" t="n">
        <f aca="false">N(N1660)</f>
        <v>1</v>
      </c>
      <c r="CN1660" s="62" t="n">
        <f aca="false">ROUNDUP(H1660/BZ1660,0)</f>
        <v>1</v>
      </c>
      <c r="CO1660" s="62" t="n">
        <f aca="false">ROUNDUP(CJ1660/BZ1660,0)</f>
        <v>0</v>
      </c>
      <c r="CP1660" s="65" t="n">
        <f aca="false">IF(CA1660=1,0,IFERROR(VLOOKUP(BY1660,'Gebinde-Kategorie'!$A$5:$N$45,5,0)+0,0))</f>
        <v>11</v>
      </c>
      <c r="CQ1660" s="65" t="n">
        <f aca="false">IFERROR(IF(OR(CF1660=1,CF1660=2,CF1660=3),N(INDEX(Parameter!$I$5:$I$7,CF1660)),0),0)</f>
        <v>0</v>
      </c>
      <c r="CR1660" s="64" t="n">
        <f aca="false">IF(AND(Parameter!$B$21="Ja",ISNUMBER(W1660),N(X1660)&gt;0),IFERROR(N(INDEX(Parameter!$L$5:$L$7,W1660))*INDEX(Parameter!$E$5:$E$7,W1660)*X1660/SUMIFS($X$7:$X$1843,$W$7:$W$1843,W1660),0),0)</f>
        <v>0</v>
      </c>
      <c r="CS1660" s="62" t="n">
        <f aca="false">IF(AND(OR(CG1660="L1",CG1660="L23",CG1660="LIFT"),H1660&gt;0),CC1660*IF(CR1660&gt;0,CR1660*MAX(1,H1660/X1660),IF(CA1660=1,CE1660,IF(R1660&gt;0,CN1660/R1660,0))/MAX(0.1,N(Parameter!$M$21))),"")</f>
        <v>12.0833333333333</v>
      </c>
      <c r="CT1660" s="64" t="n">
        <f aca="false">IF(CS1660="","",J1660/H1660)</f>
        <v>0</v>
      </c>
      <c r="CU1660" s="62" t="n">
        <f aca="false">IF(CS1660="","",H1660*G1660)</f>
        <v>31986</v>
      </c>
      <c r="CV1660" s="63" t="n">
        <f aca="false">IF(CS1660="","",(CL1660+ROUNDUP(CL1660+MAX(CM1660,2*(J1660/MAX(0.1,N(Einkauf!$C$6))-CL1660)),0))/2)</f>
        <v>0.5</v>
      </c>
      <c r="CW1660" s="62" t="n">
        <f aca="false">IF(CS1660="","",MAX(0,H1660-CV1660)*G1660)</f>
        <v>29320.5</v>
      </c>
      <c r="CX1660" s="62" t="n">
        <f aca="false">IF(CS1660="","",CS1660*MAX(0,1-CV1660/H1660))</f>
        <v>11.0763888888889</v>
      </c>
      <c r="CY1660" s="64" t="n">
        <f aca="false">IF(CS1660="","",PERCENTRANK($CS$7:$CS$1843,CS1660)+PERCENTRANK($CU$7:$CU$1843,CU1660)+1-PERCENTRANK($CT$7:$CT$1843,CT1660))</f>
        <v>2.651</v>
      </c>
      <c r="CZ1660" s="72" t="n">
        <f aca="false">IF(CS1660="","",CHOOSE(MATCH(Einkauf!$C$5,Parameter!$G$23:$G$27,0),CY1660,CS1660,CU1660,-CT1660,CW1660)+ROW()/1000000000)</f>
        <v>2.65100166</v>
      </c>
    </row>
    <row r="1661" customFormat="false" ht="15" hidden="false" customHeight="false" outlineLevel="0" collapsed="false">
      <c r="A1661" s="60" t="s">
        <v>2928</v>
      </c>
      <c r="B1661" s="60" t="s">
        <v>238</v>
      </c>
      <c r="C1661" s="60" t="s">
        <v>209</v>
      </c>
      <c r="D1661" s="60" t="s">
        <v>215</v>
      </c>
      <c r="E1661" s="60" t="s">
        <v>208</v>
      </c>
      <c r="F1661" s="60"/>
      <c r="G1661" s="61" t="n">
        <v>4983</v>
      </c>
      <c r="H1661" s="62" t="n">
        <f aca="false">MAX(0,IF(AND(Parameter!$B$21="Ja",ISNUMBER(Y1661)),Y1661,IF(Parameter!$B$20="Jahresanfang 2025 + Export",BS1661+BR1661,BR1661)))</f>
        <v>1</v>
      </c>
      <c r="I1661" s="62" t="n">
        <f aca="false">H1661*G1661</f>
        <v>4983</v>
      </c>
      <c r="J1661" s="62" t="n">
        <f aca="false">BU1661*Parameter!$B$18</f>
        <v>0</v>
      </c>
      <c r="K1661" s="63"/>
      <c r="L1661" s="64"/>
      <c r="M1661" s="62" t="n">
        <v>0</v>
      </c>
      <c r="N1661" s="62" t="n">
        <v>1</v>
      </c>
      <c r="O1661" s="65" t="n">
        <v>42</v>
      </c>
      <c r="P1661" s="60" t="s">
        <v>210</v>
      </c>
      <c r="Q1661" s="62"/>
      <c r="R1661" s="65" t="n">
        <f aca="false">IF(CA1661=1,0,IFERROR(VLOOKUP(BY1661,'Gebinde-Kategorie'!$A$5:$N$45,13,0)+0,0))</f>
        <v>12</v>
      </c>
      <c r="S1661" s="66"/>
      <c r="T1661" s="67" t="s">
        <v>221</v>
      </c>
      <c r="U1661" s="67"/>
      <c r="V1661" s="67"/>
      <c r="W1661" s="60"/>
      <c r="X1661" s="62"/>
      <c r="Y1661" s="62"/>
      <c r="Z1661" s="60" t="n">
        <v>3</v>
      </c>
      <c r="AA1661" s="60" t="n">
        <f aca="false">IF(A1661="","",IF(AND(Parameter!$B$21="Ja",ISNUMBER(W1661)),W1661,IF(AND(Parameter!$E$27="Ja",ISNUMBER(Z1661),CD1661&lt;&gt;"Nein"),Z1661,IF(CD1661="2+3",IF(ISNUMBER(SEARCH("grosser Artikel",BV1661)),2,IFERROR(VLOOKUP(BY1661,Parameter!$F$35:$G$64,2,0),2)),IF(OR(CD1661="Nein",CD1661=""),"-",CD1661)))))</f>
        <v>3</v>
      </c>
      <c r="AB1661" s="67"/>
      <c r="AC1661" s="68"/>
      <c r="AD1661" s="62" t="n">
        <f aca="false">AW1661</f>
        <v>1</v>
      </c>
      <c r="AE1661" s="62" t="n">
        <f aca="false">MAX(AW1661,H1661)</f>
        <v>1</v>
      </c>
      <c r="AF1661" s="69"/>
      <c r="AG1661" s="62" t="n">
        <f aca="false">IF(LEFT(Cockpit!$C$5,1)="A",H1661,IF(Parameter!$E$30="MAX-Bestand",IF(CI1661=1,CJ1661,IF(LEFT(Cockpit!$C$5,1)="B",AM1661,MAX(AM1661,H1661))),ROUNDUP(AK1661,0)))</f>
        <v>1</v>
      </c>
      <c r="AH1661" s="62" t="n">
        <f aca="false">IF(CA1661=1,0,ROUNDUP(AG1661/BZ1661,0))</f>
        <v>1</v>
      </c>
      <c r="AI1661" s="64" t="n">
        <f aca="false">IF(CR1661&gt;0,CR1661*MAX(1,AG1661/X1661),IF(CA1661=1,IF(AG1661&lt;=0,0,CE1661*MAX(1,IF(H1661&gt;0,AG1661/H1661,1))),IF(R1661&gt;0,AH1661/R1661,0))/MAX(0.1,N(Parameter!$M$21)))</f>
        <v>0.0833333333333333</v>
      </c>
      <c r="AJ1661" s="62" t="n">
        <f aca="false">AI1661*CC1661</f>
        <v>12.0833333333333</v>
      </c>
      <c r="AK1661" s="63" t="n">
        <f aca="false">IF(LEFT(Cockpit!$C$5,1)="A",H1661,IF(CI1661=1,(CL1661+CJ1661)/2,IF(LEFT(Cockpit!$C$5,1)="B",(CL1661+AM1661)/2,MAX((CL1661+AM1661)/2,H1661))))</f>
        <v>1</v>
      </c>
      <c r="AL1661" s="62" t="n">
        <f aca="false">AK1661*G1661</f>
        <v>4983</v>
      </c>
      <c r="AM1661" s="62" t="n">
        <f aca="false">ROUNDUP(CL1661+MAX(CM1661,2*(J1661/IF(CH1661&gt;0,CH1661,MAX(0.1,N(Cockpit!$C$6)))-CL1661)),0)</f>
        <v>1</v>
      </c>
      <c r="AN1661" s="63" t="n">
        <f aca="false">IF(AJ1661&gt;0,J1661/AJ1661,-1)</f>
        <v>0</v>
      </c>
      <c r="AO1661" s="63" t="n">
        <f aca="false">IF(AND(OR(CG1661="L1",CG1661="L23",CG1661="LIFT"),AJ1661&gt;0),SUMIFS($AJ$7:$AJ$1843,$CG$7:$CG$1843,CG1661,$AN$7:$AN$1843,"&gt;"&amp;AN1661)+SUMIFS($AJ$7:$AJ$1843,$CG$7:$CG$1843,CG1661,$AN$7:$AN$1843,AN1661,$BX$7:$BX$1843,"&lt;="&amp;BX1661),"")</f>
        <v>31375.7871448232</v>
      </c>
      <c r="AP1661" s="70" t="n">
        <f aca="false">IF(AO1661="",0,MAX(0,MIN(1,(IF(CG1661="L1",Parameter!$H$5,IF(CG1661="L23",Parameter!$H$6+Parameter!$H$7,Parameter!$H$5+Parameter!$H$6+Parameter!$H$7))-(AO1661-AJ1661))/AJ1661)))</f>
        <v>1</v>
      </c>
      <c r="AQ1661" s="62" t="n">
        <f aca="false">IF(LEFT(Cockpit!$I$5,1)="A",H1661,IF(Parameter!$E$30="MAX-Bestand",IF(CI1661=1,CJ1661,IF(LEFT(Cockpit!$I$5,1)="B",AW1661,MAX(AW1661,H1661))),ROUNDUP(AU1661,0)))</f>
        <v>1</v>
      </c>
      <c r="AR1661" s="62" t="n">
        <f aca="false">IF(CA1661=1,0,ROUNDUP(AQ1661/BZ1661,0))</f>
        <v>1</v>
      </c>
      <c r="AS1661" s="64" t="n">
        <f aca="false">IF(CR1661&gt;0,CR1661*MAX(1,AQ1661/X1661),IF(CA1661=1,IF(AQ1661&lt;=0,0,CE1661*MAX(1,IF(H1661&gt;0,AQ1661/H1661,1))),IF(R1661&gt;0,AR1661/R1661,0))/MAX(0.1,N(Parameter!$M$21)))</f>
        <v>0.0833333333333333</v>
      </c>
      <c r="AT1661" s="62" t="n">
        <f aca="false">AS1661*CC1661</f>
        <v>12.0833333333333</v>
      </c>
      <c r="AU1661" s="63" t="n">
        <f aca="false">IF(LEFT(Cockpit!$I$5,1)="A",H1661,IF(CI1661=1,(CL1661+CJ1661)/2,IF(LEFT(Cockpit!$I$5,1)="B",(CL1661+AW1661)/2,MAX((CL1661+AW1661)/2,H1661))))</f>
        <v>1</v>
      </c>
      <c r="AV1661" s="62" t="n">
        <f aca="false">AU1661*G1661</f>
        <v>4983</v>
      </c>
      <c r="AW1661" s="62" t="n">
        <f aca="false">ROUNDUP(CL1661+MAX(CM1661,2*(J1661/IF(CH1661&gt;0,CH1661,MAX(0.1,N(Cockpit!$I$6)))-CL1661)),0)</f>
        <v>1</v>
      </c>
      <c r="AX1661" s="63" t="n">
        <f aca="false">IF(AT1661&gt;0,J1661/AT1661,-1)</f>
        <v>0</v>
      </c>
      <c r="AY1661" s="63" t="n">
        <f aca="false">IF(AND(OR(CG1661="L1",CG1661="L23",CG1661="LIFT"),AT1661&gt;0),SUMIFS($AT$7:$AT$1843,$CG$7:$CG$1843,CG1661,$AX$7:$AX$1843,"&gt;"&amp;AX1661)+SUMIFS($AT$7:$AT$1843,$CG$7:$CG$1843,CG1661,$AX$7:$AX$1843,AX1661,$BX$7:$BX$1843,"&lt;="&amp;BX1661),"")</f>
        <v>37848.0353754061</v>
      </c>
      <c r="AZ1661" s="70" t="n">
        <f aca="false">IF(AY1661="",0,MAX(0,MIN(1,(IF(CG1661="L1",Parameter!$H$5,IF(CG1661="L23",Parameter!$H$6+Parameter!$H$7,Parameter!$H$5+Parameter!$H$6+Parameter!$H$7))-(AY1661-AT1661))/AT1661)))</f>
        <v>0</v>
      </c>
      <c r="BA1661" s="62" t="n">
        <f aca="false">IF(LEFT(Cockpit!$O$5,1)="A",H1661,IF(Parameter!$E$30="MAX-Bestand",IF(CI1661=1,CJ1661,IF(LEFT(Cockpit!$O$5,1)="B",BG1661,MAX(BG1661,H1661))),ROUNDUP(BE1661,0)))</f>
        <v>1</v>
      </c>
      <c r="BB1661" s="62" t="n">
        <f aca="false">IF(CA1661=1,0,ROUNDUP(BA1661/BZ1661,0))</f>
        <v>1</v>
      </c>
      <c r="BC1661" s="64" t="n">
        <f aca="false">IF(CR1661&gt;0,CR1661*MAX(1,BA1661/X1661),IF(CA1661=1,IF(BA1661&lt;=0,0,CE1661*MAX(1,IF(H1661&gt;0,BA1661/H1661,1))),IF(R1661&gt;0,BB1661/R1661,0))/MAX(0.1,N(Parameter!$M$21)))</f>
        <v>0.0833333333333333</v>
      </c>
      <c r="BD1661" s="62" t="n">
        <f aca="false">BC1661*CC1661</f>
        <v>12.0833333333333</v>
      </c>
      <c r="BE1661" s="63" t="n">
        <f aca="false">IF(LEFT(Cockpit!$O$5,1)="A",H1661,IF(CI1661=1,(CL1661+CJ1661)/2,IF(LEFT(Cockpit!$O$5,1)="B",(CL1661+BG1661)/2,MAX((CL1661+BG1661)/2,H1661))))</f>
        <v>0.5</v>
      </c>
      <c r="BF1661" s="62" t="n">
        <f aca="false">BE1661*G1661</f>
        <v>2491.5</v>
      </c>
      <c r="BG1661" s="62" t="n">
        <f aca="false">ROUNDUP(CL1661+MAX(CM1661,2*(J1661/IF(CH1661&gt;0,CH1661,MAX(0.1,N(Cockpit!$O$6)))-CL1661)),0)</f>
        <v>1</v>
      </c>
      <c r="BH1661" s="63" t="n">
        <f aca="false">IF(BD1661&gt;0,J1661/BD1661,-1)</f>
        <v>0</v>
      </c>
      <c r="BI1661" s="63" t="n">
        <f aca="false">IF(AND(OR(CG1661="L1",CG1661="L23",CG1661="LIFT"),BD1661&gt;0),SUMIFS($BD$7:$BD$1843,$CG$7:$CG$1843,CG1661,$BH$7:$BH$1843,"&gt;"&amp;BH1661)+SUMIFS($BD$7:$BD$1843,$CG$7:$CG$1843,CG1661,$BH$7:$BH$1843,BH1661,$BX$7:$BX$1843,"&lt;="&amp;BX1661),"")</f>
        <v>31757.4766509385</v>
      </c>
      <c r="BJ1661" s="70" t="n">
        <f aca="false">IF(BI1661="",0,MAX(0,MIN(1,(IF(CG1661="L1",Parameter!$H$5,IF(CG1661="L23",Parameter!$H$6+Parameter!$H$7,Parameter!$H$5+Parameter!$H$6+Parameter!$H$7))-(BI1661-BD1661))/BD1661)))</f>
        <v>1</v>
      </c>
      <c r="BK1661" s="60" t="str">
        <f aca="false">IF(AJ1661&lt;=0,"",IF(CG1661="Aussen","Aussenlager",IF(CG1661="-","Nicht im Lift",IF(AP1661&gt;=1,"Lift",IF(AP1661&lt;=0,"Aussenlager","teilweise")))))</f>
        <v>Lift</v>
      </c>
      <c r="BL1661" s="60" t="str">
        <f aca="false">IF(AT1661&lt;=0,"",IF(CG1661="Aussen","Aussenlager",IF(CG1661="-","Nicht im Lift",IF(AZ1661&gt;=1,"Lift",IF(AZ1661&lt;=0,"Aussenlager","teilweise")))))</f>
        <v>Aussenlager</v>
      </c>
      <c r="BM1661" s="60" t="str">
        <f aca="false">IF(BD1661&lt;=0,"",IF(CG1661="Aussen","Aussenlager",IF(CG1661="-","Nicht im Lift",IF(BJ1661&gt;=1,"Lift",IF(BJ1661&lt;=0,"Aussenlager","teilweise")))))</f>
        <v>Lift</v>
      </c>
      <c r="BN1661" s="60" t="str">
        <f aca="false">IF(A1661="","",IF(BW1661=1,"Neu; ","")&amp;IF(AND(BW1661=0,BR1661&lt;0),"negativer Bestand (Export "&amp;BR1661&amp;"); ","")&amp;IF(J1661&lt;=0,"Kein Verbrauch; ","")&amp;IF(CR1661&gt;0,"Lift "&amp;W1661&amp;" lt. Liftbericht (Fach "&amp;X1661&amp;" Stk); ",IF(CB1661=1,"Gebinde geschätzt ("&amp;T1661&amp;"); ",IF(CA1661=1,"Lose – Tablare geschätzt; ","")))&amp;IF(H1661&gt;AW1661,"Überbestand "&amp;ROUND(H1661-AW1661,0)&amp;" Stk / CHF "&amp;ROUND((H1661-AW1661)*G1661,0)&amp;"; ","")&amp;IF(AND(CI1661=1,CJ1661&lt;CK1661),"MAX &lt; MB+LG; ","")&amp;IF(AND(CQ1661&gt;0,CP1661*10&gt;CQ1661),"zu hoch für Tablar; ","")&amp;IF(AND(BW1661=0,OR(CI1661=1,AB1661&lt;&gt;"",U1661&lt;&gt;"",V1661&lt;&gt;"",AC1661&lt;&gt;"")),"manuell übersteuert; ","")&amp;IF(AND(CA1661=0,R1661=0),"Gebinde unbekannt / Stellmass fehlt; ","")&amp;IF(AND(CA1661=0,N(V1661)&lt;=0,N(Q1661)&lt;=0),"Menge pro Gebinde fehlt (Ist = 1 Gebinde); ","")&amp;BV1661)</f>
        <v>Kein Verbrauch; Gebinde geschätzt (Mittel); Menge pro Gebinde fehlt (Ist = 1 Gebinde); nur im Artikelstamm (Bestand 23.06.2026)</v>
      </c>
      <c r="BO1661" s="60"/>
      <c r="BP1661" s="60"/>
      <c r="BQ1661" s="67"/>
      <c r="BR1661" s="62" t="n">
        <v>1</v>
      </c>
      <c r="BS1661" s="62" t="n">
        <v>0</v>
      </c>
      <c r="BT1661" s="61" t="n">
        <v>0</v>
      </c>
      <c r="BU1661" s="62" t="n">
        <v>0</v>
      </c>
      <c r="BV1661" s="60" t="s">
        <v>2617</v>
      </c>
      <c r="BW1661" s="65" t="n">
        <v>0</v>
      </c>
      <c r="BX1661" s="65" t="n">
        <v>1661</v>
      </c>
      <c r="BY1661" s="60" t="str">
        <f aca="false">IF(U1661&lt;&gt;"",UPPER(TRIM(U1661)),IF(CB1661=1,UPPER(VLOOKUP(T1661,Parameter!$I$27:$K$29,2,0)),IF(P1661="","LOSE",P1661)))</f>
        <v>S61</v>
      </c>
      <c r="BZ1661" s="62" t="n">
        <f aca="false">IF(BY1661="LOSE",1,IF(N(V1661)&gt;0,V1661,IF(CB1661=1,MAX(1,N(VLOOKUP(T1661,Parameter!$I$27:$K$29,3,0)),H1661,N(N1661)),IF(N(Q1661)&gt;0,Q1661,MAX(1,H1661)))))</f>
        <v>4</v>
      </c>
      <c r="CA1661" s="65" t="n">
        <f aca="false">IF(BY1661="LOSE",1,0)</f>
        <v>0</v>
      </c>
      <c r="CB1661" s="65" t="n">
        <f aca="false">IF(AND(U1661="",OR(P1661="",P1661="LOSE"),T1661&lt;&gt;"",N(S1661)&lt;=0,ISNUMBER(MATCH(T1661,Parameter!$I$27:$I$29,0))),1,0)</f>
        <v>1</v>
      </c>
      <c r="CC1661" s="65" t="n">
        <f aca="false">IF(CR1661&gt;0,INDEX(Parameter!$H$5:$H$7,W1661)/INDEX(Parameter!$E$5:$E$7,W1661),IF(AND(CA1661=0,N(IFERROR(VLOOKUP(BY1661,'Gebinde-Kategorie'!$A$5:$N$45,14,0),0))&gt;0),VLOOKUP(BY1661,'Gebinde-Kategorie'!$A$5:$N$45,14,0)*10+Parameter!$M$23,Parameter!$M$24))</f>
        <v>145</v>
      </c>
      <c r="CD1661" s="60" t="n">
        <f aca="false">IF(AND(Parameter!$B$19="Ja",E1661&lt;&gt;"",ISNUMBER(MATCH(E1661,Parameter!$I$35:$I$52,0))),VLOOKUP(E1661,Parameter!$I$35:$J$52,2,0),IFERROR(VLOOKUP(D1661,Parameter!$A$35:$C$64,2,0),"Nein"))</f>
        <v>1</v>
      </c>
      <c r="CE1661" s="64" t="n">
        <f aca="false">IF(CA1661=0,0,IF(N(S1661)&gt;0,S1661,IFERROR(VLOOKUP(D1661,Parameter!$A$35:$C$64,3,0)+0,0)))</f>
        <v>0</v>
      </c>
      <c r="CF1661" s="60" t="n">
        <f aca="false">IF(AB1661&lt;&gt;"",AB1661,AA1661)</f>
        <v>3</v>
      </c>
      <c r="CG1661" s="60" t="str">
        <f aca="false">IF(OR(CF1661=1,CF1661=2,CF1661=3),IF(Parameter!$E$27="Ja","LIFT",IF(CF1661=1,"L1","L23")),IF(CF1661="Aussen","Aussen","-"))</f>
        <v>LIFT</v>
      </c>
      <c r="CH1661" s="71" t="n">
        <f aca="false">IF(N(AC1661)&gt;0,AC1661,0)</f>
        <v>0</v>
      </c>
      <c r="CI1661" s="65" t="n">
        <f aca="false">IF(ISNUMBER(AF1661),1,0)</f>
        <v>0</v>
      </c>
      <c r="CJ1661" s="62" t="n">
        <f aca="false">N(AF1661)</f>
        <v>0</v>
      </c>
      <c r="CK1661" s="62" t="n">
        <f aca="false">N(M1661)+N(N1661)</f>
        <v>1</v>
      </c>
      <c r="CL1661" s="62" t="n">
        <f aca="false">N(M1661)</f>
        <v>0</v>
      </c>
      <c r="CM1661" s="62" t="n">
        <f aca="false">N(N1661)</f>
        <v>1</v>
      </c>
      <c r="CN1661" s="62" t="n">
        <f aca="false">ROUNDUP(H1661/BZ1661,0)</f>
        <v>1</v>
      </c>
      <c r="CO1661" s="62" t="n">
        <f aca="false">ROUNDUP(CJ1661/BZ1661,0)</f>
        <v>0</v>
      </c>
      <c r="CP1661" s="65" t="n">
        <f aca="false">IF(CA1661=1,0,IFERROR(VLOOKUP(BY1661,'Gebinde-Kategorie'!$A$5:$N$45,5,0)+0,0))</f>
        <v>11</v>
      </c>
      <c r="CQ1661" s="65" t="n">
        <f aca="false">IFERROR(IF(OR(CF1661=1,CF1661=2,CF1661=3),N(INDEX(Parameter!$I$5:$I$7,CF1661)),0),0)</f>
        <v>0</v>
      </c>
      <c r="CR1661" s="64" t="n">
        <f aca="false">IF(AND(Parameter!$B$21="Ja",ISNUMBER(W1661),N(X1661)&gt;0),IFERROR(N(INDEX(Parameter!$L$5:$L$7,W1661))*INDEX(Parameter!$E$5:$E$7,W1661)*X1661/SUMIFS($X$7:$X$1843,$W$7:$W$1843,W1661),0),0)</f>
        <v>0</v>
      </c>
      <c r="CS1661" s="62" t="n">
        <f aca="false">IF(AND(OR(CG1661="L1",CG1661="L23",CG1661="LIFT"),H1661&gt;0),CC1661*IF(CR1661&gt;0,CR1661*MAX(1,H1661/X1661),IF(CA1661=1,CE1661,IF(R1661&gt;0,CN1661/R1661,0))/MAX(0.1,N(Parameter!$M$21))),"")</f>
        <v>12.0833333333333</v>
      </c>
      <c r="CT1661" s="64" t="n">
        <f aca="false">IF(CS1661="","",J1661/H1661)</f>
        <v>0</v>
      </c>
      <c r="CU1661" s="62" t="n">
        <f aca="false">IF(CS1661="","",H1661*G1661)</f>
        <v>4983</v>
      </c>
      <c r="CV1661" s="63" t="n">
        <f aca="false">IF(CS1661="","",(CL1661+ROUNDUP(CL1661+MAX(CM1661,2*(J1661/MAX(0.1,N(Einkauf!$C$6))-CL1661)),0))/2)</f>
        <v>0.5</v>
      </c>
      <c r="CW1661" s="62" t="n">
        <f aca="false">IF(CS1661="","",MAX(0,H1661-CV1661)*G1661)</f>
        <v>2491.5</v>
      </c>
      <c r="CX1661" s="62" t="n">
        <f aca="false">IF(CS1661="","",CS1661*MAX(0,1-CV1661/H1661))</f>
        <v>6.04166666666667</v>
      </c>
      <c r="CY1661" s="64" t="n">
        <f aca="false">IF(CS1661="","",PERCENTRANK($CS$7:$CS$1843,CS1661)+PERCENTRANK($CU$7:$CU$1843,CU1661)+1-PERCENTRANK($CT$7:$CT$1843,CT1661))</f>
        <v>2.564</v>
      </c>
      <c r="CZ1661" s="72" t="n">
        <f aca="false">IF(CS1661="","",CHOOSE(MATCH(Einkauf!$C$5,Parameter!$G$23:$G$27,0),CY1661,CS1661,CU1661,-CT1661,CW1661)+ROW()/1000000000)</f>
        <v>2.564001661</v>
      </c>
    </row>
    <row r="1662" customFormat="false" ht="15" hidden="false" customHeight="false" outlineLevel="0" collapsed="false">
      <c r="A1662" s="60" t="s">
        <v>2929</v>
      </c>
      <c r="B1662" s="60" t="s">
        <v>2076</v>
      </c>
      <c r="C1662" s="60" t="s">
        <v>498</v>
      </c>
      <c r="D1662" s="60" t="s">
        <v>226</v>
      </c>
      <c r="E1662" s="60" t="s">
        <v>227</v>
      </c>
      <c r="F1662" s="60"/>
      <c r="G1662" s="61" t="n">
        <v>72.8</v>
      </c>
      <c r="H1662" s="62" t="n">
        <f aca="false">MAX(0,IF(AND(Parameter!$B$21="Ja",ISNUMBER(Y1662)),Y1662,IF(Parameter!$B$20="Jahresanfang 2025 + Export",BS1662+BR1662,BR1662)))</f>
        <v>10</v>
      </c>
      <c r="I1662" s="62" t="n">
        <f aca="false">H1662*G1662</f>
        <v>728</v>
      </c>
      <c r="J1662" s="62" t="n">
        <f aca="false">BU1662*Parameter!$B$18</f>
        <v>0</v>
      </c>
      <c r="K1662" s="63"/>
      <c r="L1662" s="64"/>
      <c r="M1662" s="62" t="n">
        <v>0</v>
      </c>
      <c r="N1662" s="62" t="n">
        <v>1</v>
      </c>
      <c r="O1662" s="65" t="n">
        <v>0</v>
      </c>
      <c r="P1662" s="60" t="s">
        <v>210</v>
      </c>
      <c r="Q1662" s="62"/>
      <c r="R1662" s="65" t="n">
        <f aca="false">IF(CA1662=1,0,IFERROR(VLOOKUP(BY1662,'Gebinde-Kategorie'!$A$5:$N$45,13,0)+0,0))</f>
        <v>26</v>
      </c>
      <c r="S1662" s="66"/>
      <c r="T1662" s="67" t="s">
        <v>317</v>
      </c>
      <c r="U1662" s="67"/>
      <c r="V1662" s="67"/>
      <c r="W1662" s="60"/>
      <c r="X1662" s="62"/>
      <c r="Y1662" s="62"/>
      <c r="Z1662" s="60" t="n">
        <v>3</v>
      </c>
      <c r="AA1662" s="60" t="n">
        <f aca="false">IF(A1662="","",IF(AND(Parameter!$B$21="Ja",ISNUMBER(W1662)),W1662,IF(AND(Parameter!$E$27="Ja",ISNUMBER(Z1662),CD1662&lt;&gt;"Nein"),Z1662,IF(CD1662="2+3",IF(ISNUMBER(SEARCH("grosser Artikel",BV1662)),2,IFERROR(VLOOKUP(BY1662,Parameter!$F$35:$G$64,2,0),2)),IF(OR(CD1662="Nein",CD1662=""),"-",CD1662)))))</f>
        <v>3</v>
      </c>
      <c r="AB1662" s="67"/>
      <c r="AC1662" s="68"/>
      <c r="AD1662" s="62" t="n">
        <f aca="false">AW1662</f>
        <v>1</v>
      </c>
      <c r="AE1662" s="62" t="n">
        <f aca="false">MAX(AW1662,H1662)</f>
        <v>10</v>
      </c>
      <c r="AF1662" s="69"/>
      <c r="AG1662" s="62" t="n">
        <f aca="false">IF(LEFT(Cockpit!$C$5,1)="A",H1662,IF(Parameter!$E$30="MAX-Bestand",IF(CI1662=1,CJ1662,IF(LEFT(Cockpit!$C$5,1)="B",AM1662,MAX(AM1662,H1662))),ROUNDUP(AK1662,0)))</f>
        <v>10</v>
      </c>
      <c r="AH1662" s="62" t="n">
        <f aca="false">IF(CA1662=1,0,ROUNDUP(AG1662/BZ1662,0))</f>
        <v>1</v>
      </c>
      <c r="AI1662" s="64" t="n">
        <f aca="false">IF(CR1662&gt;0,CR1662*MAX(1,AG1662/X1662),IF(CA1662=1,IF(AG1662&lt;=0,0,CE1662*MAX(1,IF(H1662&gt;0,AG1662/H1662,1))),IF(R1662&gt;0,AH1662/R1662,0))/MAX(0.1,N(Parameter!$M$21)))</f>
        <v>0.0384615384615385</v>
      </c>
      <c r="AJ1662" s="62" t="n">
        <f aca="false">AI1662*CC1662</f>
        <v>5.96153846153846</v>
      </c>
      <c r="AK1662" s="63" t="n">
        <f aca="false">IF(LEFT(Cockpit!$C$5,1)="A",H1662,IF(CI1662=1,(CL1662+CJ1662)/2,IF(LEFT(Cockpit!$C$5,1)="B",(CL1662+AM1662)/2,MAX((CL1662+AM1662)/2,H1662))))</f>
        <v>10</v>
      </c>
      <c r="AL1662" s="62" t="n">
        <f aca="false">AK1662*G1662</f>
        <v>728</v>
      </c>
      <c r="AM1662" s="62" t="n">
        <f aca="false">ROUNDUP(CL1662+MAX(CM1662,2*(J1662/IF(CH1662&gt;0,CH1662,MAX(0.1,N(Cockpit!$C$6)))-CL1662)),0)</f>
        <v>1</v>
      </c>
      <c r="AN1662" s="63" t="n">
        <f aca="false">IF(AJ1662&gt;0,J1662/AJ1662,-1)</f>
        <v>0</v>
      </c>
      <c r="AO1662" s="63" t="n">
        <f aca="false">IF(AND(OR(CG1662="L1",CG1662="L23",CG1662="LIFT"),AJ1662&gt;0),SUMIFS($AJ$7:$AJ$1843,$CG$7:$CG$1843,CG1662,$AN$7:$AN$1843,"&gt;"&amp;AN1662)+SUMIFS($AJ$7:$AJ$1843,$CG$7:$CG$1843,CG1662,$AN$7:$AN$1843,AN1662,$BX$7:$BX$1843,"&lt;="&amp;BX1662),"")</f>
        <v>31381.7486832847</v>
      </c>
      <c r="AP1662" s="70" t="n">
        <f aca="false">IF(AO1662="",0,MAX(0,MIN(1,(IF(CG1662="L1",Parameter!$H$5,IF(CG1662="L23",Parameter!$H$6+Parameter!$H$7,Parameter!$H$5+Parameter!$H$6+Parameter!$H$7))-(AO1662-AJ1662))/AJ1662)))</f>
        <v>1</v>
      </c>
      <c r="AQ1662" s="62" t="n">
        <f aca="false">IF(LEFT(Cockpit!$I$5,1)="A",H1662,IF(Parameter!$E$30="MAX-Bestand",IF(CI1662=1,CJ1662,IF(LEFT(Cockpit!$I$5,1)="B",AW1662,MAX(AW1662,H1662))),ROUNDUP(AU1662,0)))</f>
        <v>10</v>
      </c>
      <c r="AR1662" s="62" t="n">
        <f aca="false">IF(CA1662=1,0,ROUNDUP(AQ1662/BZ1662,0))</f>
        <v>1</v>
      </c>
      <c r="AS1662" s="64" t="n">
        <f aca="false">IF(CR1662&gt;0,CR1662*MAX(1,AQ1662/X1662),IF(CA1662=1,IF(AQ1662&lt;=0,0,CE1662*MAX(1,IF(H1662&gt;0,AQ1662/H1662,1))),IF(R1662&gt;0,AR1662/R1662,0))/MAX(0.1,N(Parameter!$M$21)))</f>
        <v>0.0384615384615385</v>
      </c>
      <c r="AT1662" s="62" t="n">
        <f aca="false">AS1662*CC1662</f>
        <v>5.96153846153846</v>
      </c>
      <c r="AU1662" s="63" t="n">
        <f aca="false">IF(LEFT(Cockpit!$I$5,1)="A",H1662,IF(CI1662=1,(CL1662+CJ1662)/2,IF(LEFT(Cockpit!$I$5,1)="B",(CL1662+AW1662)/2,MAX((CL1662+AW1662)/2,H1662))))</f>
        <v>10</v>
      </c>
      <c r="AV1662" s="62" t="n">
        <f aca="false">AU1662*G1662</f>
        <v>728</v>
      </c>
      <c r="AW1662" s="62" t="n">
        <f aca="false">ROUNDUP(CL1662+MAX(CM1662,2*(J1662/IF(CH1662&gt;0,CH1662,MAX(0.1,N(Cockpit!$I$6)))-CL1662)),0)</f>
        <v>1</v>
      </c>
      <c r="AX1662" s="63" t="n">
        <f aca="false">IF(AT1662&gt;0,J1662/AT1662,-1)</f>
        <v>0</v>
      </c>
      <c r="AY1662" s="63" t="n">
        <f aca="false">IF(AND(OR(CG1662="L1",CG1662="L23",CG1662="LIFT"),AT1662&gt;0),SUMIFS($AT$7:$AT$1843,$CG$7:$CG$1843,CG1662,$AX$7:$AX$1843,"&gt;"&amp;AX1662)+SUMIFS($AT$7:$AT$1843,$CG$7:$CG$1843,CG1662,$AX$7:$AX$1843,AX1662,$BX$7:$BX$1843,"&lt;="&amp;BX1662),"")</f>
        <v>37853.9969138677</v>
      </c>
      <c r="AZ1662" s="70" t="n">
        <f aca="false">IF(AY1662="",0,MAX(0,MIN(1,(IF(CG1662="L1",Parameter!$H$5,IF(CG1662="L23",Parameter!$H$6+Parameter!$H$7,Parameter!$H$5+Parameter!$H$6+Parameter!$H$7))-(AY1662-AT1662))/AT1662)))</f>
        <v>0</v>
      </c>
      <c r="BA1662" s="62" t="n">
        <f aca="false">IF(LEFT(Cockpit!$O$5,1)="A",H1662,IF(Parameter!$E$30="MAX-Bestand",IF(CI1662=1,CJ1662,IF(LEFT(Cockpit!$O$5,1)="B",BG1662,MAX(BG1662,H1662))),ROUNDUP(BE1662,0)))</f>
        <v>1</v>
      </c>
      <c r="BB1662" s="62" t="n">
        <f aca="false">IF(CA1662=1,0,ROUNDUP(BA1662/BZ1662,0))</f>
        <v>1</v>
      </c>
      <c r="BC1662" s="64" t="n">
        <f aca="false">IF(CR1662&gt;0,CR1662*MAX(1,BA1662/X1662),IF(CA1662=1,IF(BA1662&lt;=0,0,CE1662*MAX(1,IF(H1662&gt;0,BA1662/H1662,1))),IF(R1662&gt;0,BB1662/R1662,0))/MAX(0.1,N(Parameter!$M$21)))</f>
        <v>0.0384615384615385</v>
      </c>
      <c r="BD1662" s="62" t="n">
        <f aca="false">BC1662*CC1662</f>
        <v>5.96153846153846</v>
      </c>
      <c r="BE1662" s="63" t="n">
        <f aca="false">IF(LEFT(Cockpit!$O$5,1)="A",H1662,IF(CI1662=1,(CL1662+CJ1662)/2,IF(LEFT(Cockpit!$O$5,1)="B",(CL1662+BG1662)/2,MAX((CL1662+BG1662)/2,H1662))))</f>
        <v>0.5</v>
      </c>
      <c r="BF1662" s="62" t="n">
        <f aca="false">BE1662*G1662</f>
        <v>36.4</v>
      </c>
      <c r="BG1662" s="62" t="n">
        <f aca="false">ROUNDUP(CL1662+MAX(CM1662,2*(J1662/IF(CH1662&gt;0,CH1662,MAX(0.1,N(Cockpit!$O$6)))-CL1662)),0)</f>
        <v>1</v>
      </c>
      <c r="BH1662" s="63" t="n">
        <f aca="false">IF(BD1662&gt;0,J1662/BD1662,-1)</f>
        <v>0</v>
      </c>
      <c r="BI1662" s="63" t="n">
        <f aca="false">IF(AND(OR(CG1662="L1",CG1662="L23",CG1662="LIFT"),BD1662&gt;0),SUMIFS($BD$7:$BD$1843,$CG$7:$CG$1843,CG1662,$BH$7:$BH$1843,"&gt;"&amp;BH1662)+SUMIFS($BD$7:$BD$1843,$CG$7:$CG$1843,CG1662,$BH$7:$BH$1843,BH1662,$BX$7:$BX$1843,"&lt;="&amp;BX1662),"")</f>
        <v>31763.4381894001</v>
      </c>
      <c r="BJ1662" s="70" t="n">
        <f aca="false">IF(BI1662="",0,MAX(0,MIN(1,(IF(CG1662="L1",Parameter!$H$5,IF(CG1662="L23",Parameter!$H$6+Parameter!$H$7,Parameter!$H$5+Parameter!$H$6+Parameter!$H$7))-(BI1662-BD1662))/BD1662)))</f>
        <v>1</v>
      </c>
      <c r="BK1662" s="60" t="str">
        <f aca="false">IF(AJ1662&lt;=0,"",IF(CG1662="Aussen","Aussenlager",IF(CG1662="-","Nicht im Lift",IF(AP1662&gt;=1,"Lift",IF(AP1662&lt;=0,"Aussenlager","teilweise")))))</f>
        <v>Lift</v>
      </c>
      <c r="BL1662" s="60" t="str">
        <f aca="false">IF(AT1662&lt;=0,"",IF(CG1662="Aussen","Aussenlager",IF(CG1662="-","Nicht im Lift",IF(AZ1662&gt;=1,"Lift",IF(AZ1662&lt;=0,"Aussenlager","teilweise")))))</f>
        <v>Aussenlager</v>
      </c>
      <c r="BM1662" s="60" t="str">
        <f aca="false">IF(BD1662&lt;=0,"",IF(CG1662="Aussen","Aussenlager",IF(CG1662="-","Nicht im Lift",IF(BJ1662&gt;=1,"Lift",IF(BJ1662&lt;=0,"Aussenlager","teilweise")))))</f>
        <v>Lift</v>
      </c>
      <c r="BN1662" s="60" t="str">
        <f aca="false">IF(A1662="","",IF(BW1662=1,"Neu; ","")&amp;IF(AND(BW1662=0,BR1662&lt;0),"negativer Bestand (Export "&amp;BR1662&amp;"); ","")&amp;IF(J1662&lt;=0,"Kein Verbrauch; ","")&amp;IF(CR1662&gt;0,"Lift "&amp;W1662&amp;" lt. Liftbericht (Fach "&amp;X1662&amp;" Stk); ",IF(CB1662=1,"Gebinde geschätzt ("&amp;T1662&amp;"); ",IF(CA1662=1,"Lose – Tablare geschätzt; ","")))&amp;IF(H1662&gt;AW1662,"Überbestand "&amp;ROUND(H1662-AW1662,0)&amp;" Stk / CHF "&amp;ROUND((H1662-AW1662)*G1662,0)&amp;"; ","")&amp;IF(AND(CI1662=1,CJ1662&lt;CK1662),"MAX &lt; MB+LG; ","")&amp;IF(AND(CQ1662&gt;0,CP1662*10&gt;CQ1662),"zu hoch für Tablar; ","")&amp;IF(AND(BW1662=0,OR(CI1662=1,AB1662&lt;&gt;"",U1662&lt;&gt;"",V1662&lt;&gt;"",AC1662&lt;&gt;"")),"manuell übersteuert; ","")&amp;IF(AND(CA1662=0,R1662=0),"Gebinde unbekannt / Stellmass fehlt; ","")&amp;IF(AND(CA1662=0,N(V1662)&lt;=0,N(Q1662)&lt;=0),"Menge pro Gebinde fehlt (Ist = 1 Gebinde); ","")&amp;BV1662)</f>
        <v>Kein Verbrauch; Gebinde geschätzt (Klein); Überbestand 9 Stk / CHF 655; Menge pro Gebinde fehlt (Ist = 1 Gebinde); nur im Artikelstamm (Bestand 23.06.2026); nicht im KTL vorhanden</v>
      </c>
      <c r="BO1662" s="60"/>
      <c r="BP1662" s="60"/>
      <c r="BQ1662" s="67"/>
      <c r="BR1662" s="62" t="n">
        <v>10</v>
      </c>
      <c r="BS1662" s="62" t="n">
        <v>0</v>
      </c>
      <c r="BT1662" s="61" t="n">
        <v>0</v>
      </c>
      <c r="BU1662" s="62" t="n">
        <v>0</v>
      </c>
      <c r="BV1662" s="60" t="s">
        <v>2920</v>
      </c>
      <c r="BW1662" s="65" t="n">
        <v>0</v>
      </c>
      <c r="BX1662" s="65" t="n">
        <v>1662</v>
      </c>
      <c r="BY1662" s="60" t="str">
        <f aca="false">IF(U1662&lt;&gt;"",UPPER(TRIM(U1662)),IF(CB1662=1,UPPER(VLOOKUP(T1662,Parameter!$I$27:$K$29,2,0)),IF(P1662="","LOSE",P1662)))</f>
        <v>S51</v>
      </c>
      <c r="BZ1662" s="62" t="n">
        <f aca="false">IF(BY1662="LOSE",1,IF(N(V1662)&gt;0,V1662,IF(CB1662=1,MAX(1,N(VLOOKUP(T1662,Parameter!$I$27:$K$29,3,0)),H1662,N(N1662)),IF(N(Q1662)&gt;0,Q1662,MAX(1,H1662)))))</f>
        <v>20</v>
      </c>
      <c r="CA1662" s="65" t="n">
        <f aca="false">IF(BY1662="LOSE",1,0)</f>
        <v>0</v>
      </c>
      <c r="CB1662" s="65" t="n">
        <f aca="false">IF(AND(U1662="",OR(P1662="",P1662="LOSE"),T1662&lt;&gt;"",N(S1662)&lt;=0,ISNUMBER(MATCH(T1662,Parameter!$I$27:$I$29,0))),1,0)</f>
        <v>1</v>
      </c>
      <c r="CC1662" s="65" t="n">
        <f aca="false">IF(CR1662&gt;0,INDEX(Parameter!$H$5:$H$7,W1662)/INDEX(Parameter!$E$5:$E$7,W1662),IF(AND(CA1662=0,N(IFERROR(VLOOKUP(BY1662,'Gebinde-Kategorie'!$A$5:$N$45,14,0),0))&gt;0),VLOOKUP(BY1662,'Gebinde-Kategorie'!$A$5:$N$45,14,0)*10+Parameter!$M$23,Parameter!$M$24))</f>
        <v>155</v>
      </c>
      <c r="CD1662" s="60" t="str">
        <f aca="false">IF(AND(Parameter!$B$19="Ja",E1662&lt;&gt;"",ISNUMBER(MATCH(E1662,Parameter!$I$35:$I$52,0))),VLOOKUP(E1662,Parameter!$I$35:$J$52,2,0),IFERROR(VLOOKUP(D1662,Parameter!$A$35:$C$64,2,0),"Nein"))</f>
        <v>2+3</v>
      </c>
      <c r="CE1662" s="64" t="n">
        <f aca="false">IF(CA1662=0,0,IF(N(S1662)&gt;0,S1662,IFERROR(VLOOKUP(D1662,Parameter!$A$35:$C$64,3,0)+0,0)))</f>
        <v>0</v>
      </c>
      <c r="CF1662" s="60" t="n">
        <f aca="false">IF(AB1662&lt;&gt;"",AB1662,AA1662)</f>
        <v>3</v>
      </c>
      <c r="CG1662" s="60" t="str">
        <f aca="false">IF(OR(CF1662=1,CF1662=2,CF1662=3),IF(Parameter!$E$27="Ja","LIFT",IF(CF1662=1,"L1","L23")),IF(CF1662="Aussen","Aussen","-"))</f>
        <v>LIFT</v>
      </c>
      <c r="CH1662" s="71" t="n">
        <f aca="false">IF(N(AC1662)&gt;0,AC1662,0)</f>
        <v>0</v>
      </c>
      <c r="CI1662" s="65" t="n">
        <f aca="false">IF(ISNUMBER(AF1662),1,0)</f>
        <v>0</v>
      </c>
      <c r="CJ1662" s="62" t="n">
        <f aca="false">N(AF1662)</f>
        <v>0</v>
      </c>
      <c r="CK1662" s="62" t="n">
        <f aca="false">N(M1662)+N(N1662)</f>
        <v>1</v>
      </c>
      <c r="CL1662" s="62" t="n">
        <f aca="false">N(M1662)</f>
        <v>0</v>
      </c>
      <c r="CM1662" s="62" t="n">
        <f aca="false">N(N1662)</f>
        <v>1</v>
      </c>
      <c r="CN1662" s="62" t="n">
        <f aca="false">ROUNDUP(H1662/BZ1662,0)</f>
        <v>1</v>
      </c>
      <c r="CO1662" s="62" t="n">
        <f aca="false">ROUNDUP(CJ1662/BZ1662,0)</f>
        <v>0</v>
      </c>
      <c r="CP1662" s="65" t="n">
        <f aca="false">IF(CA1662=1,0,IFERROR(VLOOKUP(BY1662,'Gebinde-Kategorie'!$A$5:$N$45,5,0)+0,0))</f>
        <v>11</v>
      </c>
      <c r="CQ1662" s="65" t="n">
        <f aca="false">IFERROR(IF(OR(CF1662=1,CF1662=2,CF1662=3),N(INDEX(Parameter!$I$5:$I$7,CF1662)),0),0)</f>
        <v>0</v>
      </c>
      <c r="CR1662" s="64" t="n">
        <f aca="false">IF(AND(Parameter!$B$21="Ja",ISNUMBER(W1662),N(X1662)&gt;0),IFERROR(N(INDEX(Parameter!$L$5:$L$7,W1662))*INDEX(Parameter!$E$5:$E$7,W1662)*X1662/SUMIFS($X$7:$X$1843,$W$7:$W$1843,W1662),0),0)</f>
        <v>0</v>
      </c>
      <c r="CS1662" s="62" t="n">
        <f aca="false">IF(AND(OR(CG1662="L1",CG1662="L23",CG1662="LIFT"),H1662&gt;0),CC1662*IF(CR1662&gt;0,CR1662*MAX(1,H1662/X1662),IF(CA1662=1,CE1662,IF(R1662&gt;0,CN1662/R1662,0))/MAX(0.1,N(Parameter!$M$21))),"")</f>
        <v>5.96153846153846</v>
      </c>
      <c r="CT1662" s="64" t="n">
        <f aca="false">IF(CS1662="","",J1662/H1662)</f>
        <v>0</v>
      </c>
      <c r="CU1662" s="62" t="n">
        <f aca="false">IF(CS1662="","",H1662*G1662)</f>
        <v>728</v>
      </c>
      <c r="CV1662" s="63" t="n">
        <f aca="false">IF(CS1662="","",(CL1662+ROUNDUP(CL1662+MAX(CM1662,2*(J1662/MAX(0.1,N(Einkauf!$C$6))-CL1662)),0))/2)</f>
        <v>0.5</v>
      </c>
      <c r="CW1662" s="62" t="n">
        <f aca="false">IF(CS1662="","",MAX(0,H1662-CV1662)*G1662)</f>
        <v>691.6</v>
      </c>
      <c r="CX1662" s="62" t="n">
        <f aca="false">IF(CS1662="","",CS1662*MAX(0,1-CV1662/H1662))</f>
        <v>5.66346153846154</v>
      </c>
      <c r="CY1662" s="64" t="n">
        <f aca="false">IF(CS1662="","",PERCENTRANK($CS$7:$CS$1843,CS1662)+PERCENTRANK($CU$7:$CU$1843,CU1662)+1-PERCENTRANK($CT$7:$CT$1843,CT1662))</f>
        <v>1.943</v>
      </c>
      <c r="CZ1662" s="72" t="n">
        <f aca="false">IF(CS1662="","",CHOOSE(MATCH(Einkauf!$C$5,Parameter!$G$23:$G$27,0),CY1662,CS1662,CU1662,-CT1662,CW1662)+ROW()/1000000000)</f>
        <v>1.943001662</v>
      </c>
    </row>
    <row r="1663" customFormat="false" ht="15" hidden="false" customHeight="false" outlineLevel="0" collapsed="false">
      <c r="A1663" s="60" t="s">
        <v>2930</v>
      </c>
      <c r="B1663" s="60" t="s">
        <v>551</v>
      </c>
      <c r="C1663" s="60" t="s">
        <v>206</v>
      </c>
      <c r="D1663" s="60" t="s">
        <v>215</v>
      </c>
      <c r="E1663" s="60"/>
      <c r="F1663" s="60"/>
      <c r="G1663" s="61" t="n">
        <v>648.9</v>
      </c>
      <c r="H1663" s="62" t="n">
        <f aca="false">MAX(0,IF(AND(Parameter!$B$21="Ja",ISNUMBER(Y1663)),Y1663,IF(Parameter!$B$20="Jahresanfang 2025 + Export",BS1663+BR1663,BR1663)))</f>
        <v>1</v>
      </c>
      <c r="I1663" s="62" t="n">
        <f aca="false">H1663*G1663</f>
        <v>648.9</v>
      </c>
      <c r="J1663" s="62" t="n">
        <f aca="false">BU1663*Parameter!$B$18</f>
        <v>0</v>
      </c>
      <c r="K1663" s="63"/>
      <c r="L1663" s="64"/>
      <c r="M1663" s="62" t="n">
        <v>0</v>
      </c>
      <c r="N1663" s="62" t="n">
        <v>1</v>
      </c>
      <c r="O1663" s="65" t="n">
        <v>42</v>
      </c>
      <c r="P1663" s="60" t="s">
        <v>210</v>
      </c>
      <c r="Q1663" s="62"/>
      <c r="R1663" s="65" t="n">
        <f aca="false">IF(CA1663=1,0,IFERROR(VLOOKUP(BY1663,'Gebinde-Kategorie'!$A$5:$N$45,13,0)+0,0))</f>
        <v>12</v>
      </c>
      <c r="S1663" s="66"/>
      <c r="T1663" s="67" t="s">
        <v>221</v>
      </c>
      <c r="U1663" s="67"/>
      <c r="V1663" s="67"/>
      <c r="W1663" s="60"/>
      <c r="X1663" s="62"/>
      <c r="Y1663" s="62"/>
      <c r="Z1663" s="60" t="n">
        <v>3</v>
      </c>
      <c r="AA1663" s="60" t="n">
        <f aca="false">IF(A1663="","",IF(AND(Parameter!$B$21="Ja",ISNUMBER(W1663)),W1663,IF(AND(Parameter!$E$27="Ja",ISNUMBER(Z1663),CD1663&lt;&gt;"Nein"),Z1663,IF(CD1663="2+3",IF(ISNUMBER(SEARCH("grosser Artikel",BV1663)),2,IFERROR(VLOOKUP(BY1663,Parameter!$F$35:$G$64,2,0),2)),IF(OR(CD1663="Nein",CD1663=""),"-",CD1663)))))</f>
        <v>3</v>
      </c>
      <c r="AB1663" s="67"/>
      <c r="AC1663" s="68"/>
      <c r="AD1663" s="62" t="n">
        <f aca="false">AW1663</f>
        <v>1</v>
      </c>
      <c r="AE1663" s="62" t="n">
        <f aca="false">MAX(AW1663,H1663)</f>
        <v>1</v>
      </c>
      <c r="AF1663" s="69"/>
      <c r="AG1663" s="62" t="n">
        <f aca="false">IF(LEFT(Cockpit!$C$5,1)="A",H1663,IF(Parameter!$E$30="MAX-Bestand",IF(CI1663=1,CJ1663,IF(LEFT(Cockpit!$C$5,1)="B",AM1663,MAX(AM1663,H1663))),ROUNDUP(AK1663,0)))</f>
        <v>1</v>
      </c>
      <c r="AH1663" s="62" t="n">
        <f aca="false">IF(CA1663=1,0,ROUNDUP(AG1663/BZ1663,0))</f>
        <v>1</v>
      </c>
      <c r="AI1663" s="64" t="n">
        <f aca="false">IF(CR1663&gt;0,CR1663*MAX(1,AG1663/X1663),IF(CA1663=1,IF(AG1663&lt;=0,0,CE1663*MAX(1,IF(H1663&gt;0,AG1663/H1663,1))),IF(R1663&gt;0,AH1663/R1663,0))/MAX(0.1,N(Parameter!$M$21)))</f>
        <v>0.0833333333333333</v>
      </c>
      <c r="AJ1663" s="62" t="n">
        <f aca="false">AI1663*CC1663</f>
        <v>12.0833333333333</v>
      </c>
      <c r="AK1663" s="63" t="n">
        <f aca="false">IF(LEFT(Cockpit!$C$5,1)="A",H1663,IF(CI1663=1,(CL1663+CJ1663)/2,IF(LEFT(Cockpit!$C$5,1)="B",(CL1663+AM1663)/2,MAX((CL1663+AM1663)/2,H1663))))</f>
        <v>1</v>
      </c>
      <c r="AL1663" s="62" t="n">
        <f aca="false">AK1663*G1663</f>
        <v>648.9</v>
      </c>
      <c r="AM1663" s="62" t="n">
        <f aca="false">ROUNDUP(CL1663+MAX(CM1663,2*(J1663/IF(CH1663&gt;0,CH1663,MAX(0.1,N(Cockpit!$C$6)))-CL1663)),0)</f>
        <v>1</v>
      </c>
      <c r="AN1663" s="63" t="n">
        <f aca="false">IF(AJ1663&gt;0,J1663/AJ1663,-1)</f>
        <v>0</v>
      </c>
      <c r="AO1663" s="63" t="n">
        <f aca="false">IF(AND(OR(CG1663="L1",CG1663="L23",CG1663="LIFT"),AJ1663&gt;0),SUMIFS($AJ$7:$AJ$1843,$CG$7:$CG$1843,CG1663,$AN$7:$AN$1843,"&gt;"&amp;AN1663)+SUMIFS($AJ$7:$AJ$1843,$CG$7:$CG$1843,CG1663,$AN$7:$AN$1843,AN1663,$BX$7:$BX$1843,"&lt;="&amp;BX1663),"")</f>
        <v>31393.832016618</v>
      </c>
      <c r="AP1663" s="70" t="n">
        <f aca="false">IF(AO1663="",0,MAX(0,MIN(1,(IF(CG1663="L1",Parameter!$H$5,IF(CG1663="L23",Parameter!$H$6+Parameter!$H$7,Parameter!$H$5+Parameter!$H$6+Parameter!$H$7))-(AO1663-AJ1663))/AJ1663)))</f>
        <v>1</v>
      </c>
      <c r="AQ1663" s="62" t="n">
        <f aca="false">IF(LEFT(Cockpit!$I$5,1)="A",H1663,IF(Parameter!$E$30="MAX-Bestand",IF(CI1663=1,CJ1663,IF(LEFT(Cockpit!$I$5,1)="B",AW1663,MAX(AW1663,H1663))),ROUNDUP(AU1663,0)))</f>
        <v>1</v>
      </c>
      <c r="AR1663" s="62" t="n">
        <f aca="false">IF(CA1663=1,0,ROUNDUP(AQ1663/BZ1663,0))</f>
        <v>1</v>
      </c>
      <c r="AS1663" s="64" t="n">
        <f aca="false">IF(CR1663&gt;0,CR1663*MAX(1,AQ1663/X1663),IF(CA1663=1,IF(AQ1663&lt;=0,0,CE1663*MAX(1,IF(H1663&gt;0,AQ1663/H1663,1))),IF(R1663&gt;0,AR1663/R1663,0))/MAX(0.1,N(Parameter!$M$21)))</f>
        <v>0.0833333333333333</v>
      </c>
      <c r="AT1663" s="62" t="n">
        <f aca="false">AS1663*CC1663</f>
        <v>12.0833333333333</v>
      </c>
      <c r="AU1663" s="63" t="n">
        <f aca="false">IF(LEFT(Cockpit!$I$5,1)="A",H1663,IF(CI1663=1,(CL1663+CJ1663)/2,IF(LEFT(Cockpit!$I$5,1)="B",(CL1663+AW1663)/2,MAX((CL1663+AW1663)/2,H1663))))</f>
        <v>1</v>
      </c>
      <c r="AV1663" s="62" t="n">
        <f aca="false">AU1663*G1663</f>
        <v>648.9</v>
      </c>
      <c r="AW1663" s="62" t="n">
        <f aca="false">ROUNDUP(CL1663+MAX(CM1663,2*(J1663/IF(CH1663&gt;0,CH1663,MAX(0.1,N(Cockpit!$I$6)))-CL1663)),0)</f>
        <v>1</v>
      </c>
      <c r="AX1663" s="63" t="n">
        <f aca="false">IF(AT1663&gt;0,J1663/AT1663,-1)</f>
        <v>0</v>
      </c>
      <c r="AY1663" s="63" t="n">
        <f aca="false">IF(AND(OR(CG1663="L1",CG1663="L23",CG1663="LIFT"),AT1663&gt;0),SUMIFS($AT$7:$AT$1843,$CG$7:$CG$1843,CG1663,$AX$7:$AX$1843,"&gt;"&amp;AX1663)+SUMIFS($AT$7:$AT$1843,$CG$7:$CG$1843,CG1663,$AX$7:$AX$1843,AX1663,$BX$7:$BX$1843,"&lt;="&amp;BX1663),"")</f>
        <v>37866.080247201</v>
      </c>
      <c r="AZ1663" s="70" t="n">
        <f aca="false">IF(AY1663="",0,MAX(0,MIN(1,(IF(CG1663="L1",Parameter!$H$5,IF(CG1663="L23",Parameter!$H$6+Parameter!$H$7,Parameter!$H$5+Parameter!$H$6+Parameter!$H$7))-(AY1663-AT1663))/AT1663)))</f>
        <v>0</v>
      </c>
      <c r="BA1663" s="62" t="n">
        <f aca="false">IF(LEFT(Cockpit!$O$5,1)="A",H1663,IF(Parameter!$E$30="MAX-Bestand",IF(CI1663=1,CJ1663,IF(LEFT(Cockpit!$O$5,1)="B",BG1663,MAX(BG1663,H1663))),ROUNDUP(BE1663,0)))</f>
        <v>1</v>
      </c>
      <c r="BB1663" s="62" t="n">
        <f aca="false">IF(CA1663=1,0,ROUNDUP(BA1663/BZ1663,0))</f>
        <v>1</v>
      </c>
      <c r="BC1663" s="64" t="n">
        <f aca="false">IF(CR1663&gt;0,CR1663*MAX(1,BA1663/X1663),IF(CA1663=1,IF(BA1663&lt;=0,0,CE1663*MAX(1,IF(H1663&gt;0,BA1663/H1663,1))),IF(R1663&gt;0,BB1663/R1663,0))/MAX(0.1,N(Parameter!$M$21)))</f>
        <v>0.0833333333333333</v>
      </c>
      <c r="BD1663" s="62" t="n">
        <f aca="false">BC1663*CC1663</f>
        <v>12.0833333333333</v>
      </c>
      <c r="BE1663" s="63" t="n">
        <f aca="false">IF(LEFT(Cockpit!$O$5,1)="A",H1663,IF(CI1663=1,(CL1663+CJ1663)/2,IF(LEFT(Cockpit!$O$5,1)="B",(CL1663+BG1663)/2,MAX((CL1663+BG1663)/2,H1663))))</f>
        <v>0.5</v>
      </c>
      <c r="BF1663" s="62" t="n">
        <f aca="false">BE1663*G1663</f>
        <v>324.45</v>
      </c>
      <c r="BG1663" s="62" t="n">
        <f aca="false">ROUNDUP(CL1663+MAX(CM1663,2*(J1663/IF(CH1663&gt;0,CH1663,MAX(0.1,N(Cockpit!$O$6)))-CL1663)),0)</f>
        <v>1</v>
      </c>
      <c r="BH1663" s="63" t="n">
        <f aca="false">IF(BD1663&gt;0,J1663/BD1663,-1)</f>
        <v>0</v>
      </c>
      <c r="BI1663" s="63" t="n">
        <f aca="false">IF(AND(OR(CG1663="L1",CG1663="L23",CG1663="LIFT"),BD1663&gt;0),SUMIFS($BD$7:$BD$1843,$CG$7:$CG$1843,CG1663,$BH$7:$BH$1843,"&gt;"&amp;BH1663)+SUMIFS($BD$7:$BD$1843,$CG$7:$CG$1843,CG1663,$BH$7:$BH$1843,BH1663,$BX$7:$BX$1843,"&lt;="&amp;BX1663),"")</f>
        <v>31775.5215227334</v>
      </c>
      <c r="BJ1663" s="70" t="n">
        <f aca="false">IF(BI1663="",0,MAX(0,MIN(1,(IF(CG1663="L1",Parameter!$H$5,IF(CG1663="L23",Parameter!$H$6+Parameter!$H$7,Parameter!$H$5+Parameter!$H$6+Parameter!$H$7))-(BI1663-BD1663))/BD1663)))</f>
        <v>1</v>
      </c>
      <c r="BK1663" s="60" t="str">
        <f aca="false">IF(AJ1663&lt;=0,"",IF(CG1663="Aussen","Aussenlager",IF(CG1663="-","Nicht im Lift",IF(AP1663&gt;=1,"Lift",IF(AP1663&lt;=0,"Aussenlager","teilweise")))))</f>
        <v>Lift</v>
      </c>
      <c r="BL1663" s="60" t="str">
        <f aca="false">IF(AT1663&lt;=0,"",IF(CG1663="Aussen","Aussenlager",IF(CG1663="-","Nicht im Lift",IF(AZ1663&gt;=1,"Lift",IF(AZ1663&lt;=0,"Aussenlager","teilweise")))))</f>
        <v>Aussenlager</v>
      </c>
      <c r="BM1663" s="60" t="str">
        <f aca="false">IF(BD1663&lt;=0,"",IF(CG1663="Aussen","Aussenlager",IF(CG1663="-","Nicht im Lift",IF(BJ1663&gt;=1,"Lift",IF(BJ1663&lt;=0,"Aussenlager","teilweise")))))</f>
        <v>Lift</v>
      </c>
      <c r="BN1663" s="60" t="str">
        <f aca="false">IF(A1663="","",IF(BW1663=1,"Neu; ","")&amp;IF(AND(BW1663=0,BR1663&lt;0),"negativer Bestand (Export "&amp;BR1663&amp;"); ","")&amp;IF(J1663&lt;=0,"Kein Verbrauch; ","")&amp;IF(CR1663&gt;0,"Lift "&amp;W1663&amp;" lt. Liftbericht (Fach "&amp;X1663&amp;" Stk); ",IF(CB1663=1,"Gebinde geschätzt ("&amp;T1663&amp;"); ",IF(CA1663=1,"Lose – Tablare geschätzt; ","")))&amp;IF(H1663&gt;AW1663,"Überbestand "&amp;ROUND(H1663-AW1663,0)&amp;" Stk / CHF "&amp;ROUND((H1663-AW1663)*G1663,0)&amp;"; ","")&amp;IF(AND(CI1663=1,CJ1663&lt;CK1663),"MAX &lt; MB+LG; ","")&amp;IF(AND(CQ1663&gt;0,CP1663*10&gt;CQ1663),"zu hoch für Tablar; ","")&amp;IF(AND(BW1663=0,OR(CI1663=1,AB1663&lt;&gt;"",U1663&lt;&gt;"",V1663&lt;&gt;"",AC1663&lt;&gt;"")),"manuell übersteuert; ","")&amp;IF(AND(CA1663=0,R1663=0),"Gebinde unbekannt / Stellmass fehlt; ","")&amp;IF(AND(CA1663=0,N(V1663)&lt;=0,N(Q1663)&lt;=0),"Menge pro Gebinde fehlt (Ist = 1 Gebinde); ","")&amp;BV1663)</f>
        <v>Kein Verbrauch; Gebinde geschätzt (Mittel); Menge pro Gebinde fehlt (Ist = 1 Gebinde); nur im Artikelstamm (Bestand 23.06.2026); Neuer Art.</v>
      </c>
      <c r="BO1663" s="60"/>
      <c r="BP1663" s="60"/>
      <c r="BQ1663" s="67"/>
      <c r="BR1663" s="62" t="n">
        <v>1</v>
      </c>
      <c r="BS1663" s="62" t="n">
        <v>0</v>
      </c>
      <c r="BT1663" s="61" t="n">
        <v>0</v>
      </c>
      <c r="BU1663" s="62" t="n">
        <v>0</v>
      </c>
      <c r="BV1663" s="60" t="s">
        <v>2915</v>
      </c>
      <c r="BW1663" s="65" t="n">
        <v>0</v>
      </c>
      <c r="BX1663" s="65" t="n">
        <v>1663</v>
      </c>
      <c r="BY1663" s="60" t="str">
        <f aca="false">IF(U1663&lt;&gt;"",UPPER(TRIM(U1663)),IF(CB1663=1,UPPER(VLOOKUP(T1663,Parameter!$I$27:$K$29,2,0)),IF(P1663="","LOSE",P1663)))</f>
        <v>S61</v>
      </c>
      <c r="BZ1663" s="62" t="n">
        <f aca="false">IF(BY1663="LOSE",1,IF(N(V1663)&gt;0,V1663,IF(CB1663=1,MAX(1,N(VLOOKUP(T1663,Parameter!$I$27:$K$29,3,0)),H1663,N(N1663)),IF(N(Q1663)&gt;0,Q1663,MAX(1,H1663)))))</f>
        <v>4</v>
      </c>
      <c r="CA1663" s="65" t="n">
        <f aca="false">IF(BY1663="LOSE",1,0)</f>
        <v>0</v>
      </c>
      <c r="CB1663" s="65" t="n">
        <f aca="false">IF(AND(U1663="",OR(P1663="",P1663="LOSE"),T1663&lt;&gt;"",N(S1663)&lt;=0,ISNUMBER(MATCH(T1663,Parameter!$I$27:$I$29,0))),1,0)</f>
        <v>1</v>
      </c>
      <c r="CC1663" s="65" t="n">
        <f aca="false">IF(CR1663&gt;0,INDEX(Parameter!$H$5:$H$7,W1663)/INDEX(Parameter!$E$5:$E$7,W1663),IF(AND(CA1663=0,N(IFERROR(VLOOKUP(BY1663,'Gebinde-Kategorie'!$A$5:$N$45,14,0),0))&gt;0),VLOOKUP(BY1663,'Gebinde-Kategorie'!$A$5:$N$45,14,0)*10+Parameter!$M$23,Parameter!$M$24))</f>
        <v>145</v>
      </c>
      <c r="CD1663" s="60" t="str">
        <f aca="false">IF(AND(Parameter!$B$19="Ja",E1663&lt;&gt;"",ISNUMBER(MATCH(E1663,Parameter!$I$35:$I$52,0))),VLOOKUP(E1663,Parameter!$I$35:$J$52,2,0),IFERROR(VLOOKUP(D1663,Parameter!$A$35:$C$64,2,0),"Nein"))</f>
        <v>2+3</v>
      </c>
      <c r="CE1663" s="64" t="n">
        <f aca="false">IF(CA1663=0,0,IF(N(S1663)&gt;0,S1663,IFERROR(VLOOKUP(D1663,Parameter!$A$35:$C$64,3,0)+0,0)))</f>
        <v>0</v>
      </c>
      <c r="CF1663" s="60" t="n">
        <f aca="false">IF(AB1663&lt;&gt;"",AB1663,AA1663)</f>
        <v>3</v>
      </c>
      <c r="CG1663" s="60" t="str">
        <f aca="false">IF(OR(CF1663=1,CF1663=2,CF1663=3),IF(Parameter!$E$27="Ja","LIFT",IF(CF1663=1,"L1","L23")),IF(CF1663="Aussen","Aussen","-"))</f>
        <v>LIFT</v>
      </c>
      <c r="CH1663" s="71" t="n">
        <f aca="false">IF(N(AC1663)&gt;0,AC1663,0)</f>
        <v>0</v>
      </c>
      <c r="CI1663" s="65" t="n">
        <f aca="false">IF(ISNUMBER(AF1663),1,0)</f>
        <v>0</v>
      </c>
      <c r="CJ1663" s="62" t="n">
        <f aca="false">N(AF1663)</f>
        <v>0</v>
      </c>
      <c r="CK1663" s="62" t="n">
        <f aca="false">N(M1663)+N(N1663)</f>
        <v>1</v>
      </c>
      <c r="CL1663" s="62" t="n">
        <f aca="false">N(M1663)</f>
        <v>0</v>
      </c>
      <c r="CM1663" s="62" t="n">
        <f aca="false">N(N1663)</f>
        <v>1</v>
      </c>
      <c r="CN1663" s="62" t="n">
        <f aca="false">ROUNDUP(H1663/BZ1663,0)</f>
        <v>1</v>
      </c>
      <c r="CO1663" s="62" t="n">
        <f aca="false">ROUNDUP(CJ1663/BZ1663,0)</f>
        <v>0</v>
      </c>
      <c r="CP1663" s="65" t="n">
        <f aca="false">IF(CA1663=1,0,IFERROR(VLOOKUP(BY1663,'Gebinde-Kategorie'!$A$5:$N$45,5,0)+0,0))</f>
        <v>11</v>
      </c>
      <c r="CQ1663" s="65" t="n">
        <f aca="false">IFERROR(IF(OR(CF1663=1,CF1663=2,CF1663=3),N(INDEX(Parameter!$I$5:$I$7,CF1663)),0),0)</f>
        <v>0</v>
      </c>
      <c r="CR1663" s="64" t="n">
        <f aca="false">IF(AND(Parameter!$B$21="Ja",ISNUMBER(W1663),N(X1663)&gt;0),IFERROR(N(INDEX(Parameter!$L$5:$L$7,W1663))*INDEX(Parameter!$E$5:$E$7,W1663)*X1663/SUMIFS($X$7:$X$1843,$W$7:$W$1843,W1663),0),0)</f>
        <v>0</v>
      </c>
      <c r="CS1663" s="62" t="n">
        <f aca="false">IF(AND(OR(CG1663="L1",CG1663="L23",CG1663="LIFT"),H1663&gt;0),CC1663*IF(CR1663&gt;0,CR1663*MAX(1,H1663/X1663),IF(CA1663=1,CE1663,IF(R1663&gt;0,CN1663/R1663,0))/MAX(0.1,N(Parameter!$M$21))),"")</f>
        <v>12.0833333333333</v>
      </c>
      <c r="CT1663" s="64" t="n">
        <f aca="false">IF(CS1663="","",J1663/H1663)</f>
        <v>0</v>
      </c>
      <c r="CU1663" s="62" t="n">
        <f aca="false">IF(CS1663="","",H1663*G1663)</f>
        <v>648.9</v>
      </c>
      <c r="CV1663" s="63" t="n">
        <f aca="false">IF(CS1663="","",(CL1663+ROUNDUP(CL1663+MAX(CM1663,2*(J1663/MAX(0.1,N(Einkauf!$C$6))-CL1663)),0))/2)</f>
        <v>0.5</v>
      </c>
      <c r="CW1663" s="62" t="n">
        <f aca="false">IF(CS1663="","",MAX(0,H1663-CV1663)*G1663)</f>
        <v>324.45</v>
      </c>
      <c r="CX1663" s="62" t="n">
        <f aca="false">IF(CS1663="","",CS1663*MAX(0,1-CV1663/H1663))</f>
        <v>6.04166666666667</v>
      </c>
      <c r="CY1663" s="64" t="n">
        <f aca="false">IF(CS1663="","",PERCENTRANK($CS$7:$CS$1843,CS1663)+PERCENTRANK($CU$7:$CU$1843,CU1663)+1-PERCENTRANK($CT$7:$CT$1843,CT1663))</f>
        <v>2.226</v>
      </c>
      <c r="CZ1663" s="72" t="n">
        <f aca="false">IF(CS1663="","",CHOOSE(MATCH(Einkauf!$C$5,Parameter!$G$23:$G$27,0),CY1663,CS1663,CU1663,-CT1663,CW1663)+ROW()/1000000000)</f>
        <v>2.226001663</v>
      </c>
    </row>
    <row r="1664" customFormat="false" ht="15" hidden="false" customHeight="false" outlineLevel="0" collapsed="false">
      <c r="A1664" s="60" t="s">
        <v>2931</v>
      </c>
      <c r="B1664" s="60" t="s">
        <v>740</v>
      </c>
      <c r="C1664" s="60" t="s">
        <v>206</v>
      </c>
      <c r="D1664" s="60" t="s">
        <v>215</v>
      </c>
      <c r="E1664" s="60"/>
      <c r="F1664" s="60"/>
      <c r="G1664" s="61" t="n">
        <v>648.9</v>
      </c>
      <c r="H1664" s="62" t="n">
        <f aca="false">MAX(0,IF(AND(Parameter!$B$21="Ja",ISNUMBER(Y1664)),Y1664,IF(Parameter!$B$20="Jahresanfang 2025 + Export",BS1664+BR1664,BR1664)))</f>
        <v>1</v>
      </c>
      <c r="I1664" s="62" t="n">
        <f aca="false">H1664*G1664</f>
        <v>648.9</v>
      </c>
      <c r="J1664" s="62" t="n">
        <f aca="false">BU1664*Parameter!$B$18</f>
        <v>0</v>
      </c>
      <c r="K1664" s="63"/>
      <c r="L1664" s="64"/>
      <c r="M1664" s="62" t="n">
        <v>0</v>
      </c>
      <c r="N1664" s="62" t="n">
        <v>1</v>
      </c>
      <c r="O1664" s="65" t="n">
        <v>42</v>
      </c>
      <c r="P1664" s="60" t="s">
        <v>210</v>
      </c>
      <c r="Q1664" s="62"/>
      <c r="R1664" s="65" t="n">
        <f aca="false">IF(CA1664=1,0,IFERROR(VLOOKUP(BY1664,'Gebinde-Kategorie'!$A$5:$N$45,13,0)+0,0))</f>
        <v>12</v>
      </c>
      <c r="S1664" s="66"/>
      <c r="T1664" s="67" t="s">
        <v>221</v>
      </c>
      <c r="U1664" s="67"/>
      <c r="V1664" s="67"/>
      <c r="W1664" s="60"/>
      <c r="X1664" s="62"/>
      <c r="Y1664" s="62"/>
      <c r="Z1664" s="60" t="n">
        <v>3</v>
      </c>
      <c r="AA1664" s="60" t="n">
        <f aca="false">IF(A1664="","",IF(AND(Parameter!$B$21="Ja",ISNUMBER(W1664)),W1664,IF(AND(Parameter!$E$27="Ja",ISNUMBER(Z1664),CD1664&lt;&gt;"Nein"),Z1664,IF(CD1664="2+3",IF(ISNUMBER(SEARCH("grosser Artikel",BV1664)),2,IFERROR(VLOOKUP(BY1664,Parameter!$F$35:$G$64,2,0),2)),IF(OR(CD1664="Nein",CD1664=""),"-",CD1664)))))</f>
        <v>3</v>
      </c>
      <c r="AB1664" s="67"/>
      <c r="AC1664" s="68"/>
      <c r="AD1664" s="62" t="n">
        <f aca="false">AW1664</f>
        <v>1</v>
      </c>
      <c r="AE1664" s="62" t="n">
        <f aca="false">MAX(AW1664,H1664)</f>
        <v>1</v>
      </c>
      <c r="AF1664" s="69"/>
      <c r="AG1664" s="62" t="n">
        <f aca="false">IF(LEFT(Cockpit!$C$5,1)="A",H1664,IF(Parameter!$E$30="MAX-Bestand",IF(CI1664=1,CJ1664,IF(LEFT(Cockpit!$C$5,1)="B",AM1664,MAX(AM1664,H1664))),ROUNDUP(AK1664,0)))</f>
        <v>1</v>
      </c>
      <c r="AH1664" s="62" t="n">
        <f aca="false">IF(CA1664=1,0,ROUNDUP(AG1664/BZ1664,0))</f>
        <v>1</v>
      </c>
      <c r="AI1664" s="64" t="n">
        <f aca="false">IF(CR1664&gt;0,CR1664*MAX(1,AG1664/X1664),IF(CA1664=1,IF(AG1664&lt;=0,0,CE1664*MAX(1,IF(H1664&gt;0,AG1664/H1664,1))),IF(R1664&gt;0,AH1664/R1664,0))/MAX(0.1,N(Parameter!$M$21)))</f>
        <v>0.0833333333333333</v>
      </c>
      <c r="AJ1664" s="62" t="n">
        <f aca="false">AI1664*CC1664</f>
        <v>12.0833333333333</v>
      </c>
      <c r="AK1664" s="63" t="n">
        <f aca="false">IF(LEFT(Cockpit!$C$5,1)="A",H1664,IF(CI1664=1,(CL1664+CJ1664)/2,IF(LEFT(Cockpit!$C$5,1)="B",(CL1664+AM1664)/2,MAX((CL1664+AM1664)/2,H1664))))</f>
        <v>1</v>
      </c>
      <c r="AL1664" s="62" t="n">
        <f aca="false">AK1664*G1664</f>
        <v>648.9</v>
      </c>
      <c r="AM1664" s="62" t="n">
        <f aca="false">ROUNDUP(CL1664+MAX(CM1664,2*(J1664/IF(CH1664&gt;0,CH1664,MAX(0.1,N(Cockpit!$C$6)))-CL1664)),0)</f>
        <v>1</v>
      </c>
      <c r="AN1664" s="63" t="n">
        <f aca="false">IF(AJ1664&gt;0,J1664/AJ1664,-1)</f>
        <v>0</v>
      </c>
      <c r="AO1664" s="63" t="n">
        <f aca="false">IF(AND(OR(CG1664="L1",CG1664="L23",CG1664="LIFT"),AJ1664&gt;0),SUMIFS($AJ$7:$AJ$1843,$CG$7:$CG$1843,CG1664,$AN$7:$AN$1843,"&gt;"&amp;AN1664)+SUMIFS($AJ$7:$AJ$1843,$CG$7:$CG$1843,CG1664,$AN$7:$AN$1843,AN1664,$BX$7:$BX$1843,"&lt;="&amp;BX1664),"")</f>
        <v>31405.9153499514</v>
      </c>
      <c r="AP1664" s="70" t="n">
        <f aca="false">IF(AO1664="",0,MAX(0,MIN(1,(IF(CG1664="L1",Parameter!$H$5,IF(CG1664="L23",Parameter!$H$6+Parameter!$H$7,Parameter!$H$5+Parameter!$H$6+Parameter!$H$7))-(AO1664-AJ1664))/AJ1664)))</f>
        <v>1</v>
      </c>
      <c r="AQ1664" s="62" t="n">
        <f aca="false">IF(LEFT(Cockpit!$I$5,1)="A",H1664,IF(Parameter!$E$30="MAX-Bestand",IF(CI1664=1,CJ1664,IF(LEFT(Cockpit!$I$5,1)="B",AW1664,MAX(AW1664,H1664))),ROUNDUP(AU1664,0)))</f>
        <v>1</v>
      </c>
      <c r="AR1664" s="62" t="n">
        <f aca="false">IF(CA1664=1,0,ROUNDUP(AQ1664/BZ1664,0))</f>
        <v>1</v>
      </c>
      <c r="AS1664" s="64" t="n">
        <f aca="false">IF(CR1664&gt;0,CR1664*MAX(1,AQ1664/X1664),IF(CA1664=1,IF(AQ1664&lt;=0,0,CE1664*MAX(1,IF(H1664&gt;0,AQ1664/H1664,1))),IF(R1664&gt;0,AR1664/R1664,0))/MAX(0.1,N(Parameter!$M$21)))</f>
        <v>0.0833333333333333</v>
      </c>
      <c r="AT1664" s="62" t="n">
        <f aca="false">AS1664*CC1664</f>
        <v>12.0833333333333</v>
      </c>
      <c r="AU1664" s="63" t="n">
        <f aca="false">IF(LEFT(Cockpit!$I$5,1)="A",H1664,IF(CI1664=1,(CL1664+CJ1664)/2,IF(LEFT(Cockpit!$I$5,1)="B",(CL1664+AW1664)/2,MAX((CL1664+AW1664)/2,H1664))))</f>
        <v>1</v>
      </c>
      <c r="AV1664" s="62" t="n">
        <f aca="false">AU1664*G1664</f>
        <v>648.9</v>
      </c>
      <c r="AW1664" s="62" t="n">
        <f aca="false">ROUNDUP(CL1664+MAX(CM1664,2*(J1664/IF(CH1664&gt;0,CH1664,MAX(0.1,N(Cockpit!$I$6)))-CL1664)),0)</f>
        <v>1</v>
      </c>
      <c r="AX1664" s="63" t="n">
        <f aca="false">IF(AT1664&gt;0,J1664/AT1664,-1)</f>
        <v>0</v>
      </c>
      <c r="AY1664" s="63" t="n">
        <f aca="false">IF(AND(OR(CG1664="L1",CG1664="L23",CG1664="LIFT"),AT1664&gt;0),SUMIFS($AT$7:$AT$1843,$CG$7:$CG$1843,CG1664,$AX$7:$AX$1843,"&gt;"&amp;AX1664)+SUMIFS($AT$7:$AT$1843,$CG$7:$CG$1843,CG1664,$AX$7:$AX$1843,AX1664,$BX$7:$BX$1843,"&lt;="&amp;BX1664),"")</f>
        <v>37878.1635805343</v>
      </c>
      <c r="AZ1664" s="70" t="n">
        <f aca="false">IF(AY1664="",0,MAX(0,MIN(1,(IF(CG1664="L1",Parameter!$H$5,IF(CG1664="L23",Parameter!$H$6+Parameter!$H$7,Parameter!$H$5+Parameter!$H$6+Parameter!$H$7))-(AY1664-AT1664))/AT1664)))</f>
        <v>0</v>
      </c>
      <c r="BA1664" s="62" t="n">
        <f aca="false">IF(LEFT(Cockpit!$O$5,1)="A",H1664,IF(Parameter!$E$30="MAX-Bestand",IF(CI1664=1,CJ1664,IF(LEFT(Cockpit!$O$5,1)="B",BG1664,MAX(BG1664,H1664))),ROUNDUP(BE1664,0)))</f>
        <v>1</v>
      </c>
      <c r="BB1664" s="62" t="n">
        <f aca="false">IF(CA1664=1,0,ROUNDUP(BA1664/BZ1664,0))</f>
        <v>1</v>
      </c>
      <c r="BC1664" s="64" t="n">
        <f aca="false">IF(CR1664&gt;0,CR1664*MAX(1,BA1664/X1664),IF(CA1664=1,IF(BA1664&lt;=0,0,CE1664*MAX(1,IF(H1664&gt;0,BA1664/H1664,1))),IF(R1664&gt;0,BB1664/R1664,0))/MAX(0.1,N(Parameter!$M$21)))</f>
        <v>0.0833333333333333</v>
      </c>
      <c r="BD1664" s="62" t="n">
        <f aca="false">BC1664*CC1664</f>
        <v>12.0833333333333</v>
      </c>
      <c r="BE1664" s="63" t="n">
        <f aca="false">IF(LEFT(Cockpit!$O$5,1)="A",H1664,IF(CI1664=1,(CL1664+CJ1664)/2,IF(LEFT(Cockpit!$O$5,1)="B",(CL1664+BG1664)/2,MAX((CL1664+BG1664)/2,H1664))))</f>
        <v>0.5</v>
      </c>
      <c r="BF1664" s="62" t="n">
        <f aca="false">BE1664*G1664</f>
        <v>324.45</v>
      </c>
      <c r="BG1664" s="62" t="n">
        <f aca="false">ROUNDUP(CL1664+MAX(CM1664,2*(J1664/IF(CH1664&gt;0,CH1664,MAX(0.1,N(Cockpit!$O$6)))-CL1664)),0)</f>
        <v>1</v>
      </c>
      <c r="BH1664" s="63" t="n">
        <f aca="false">IF(BD1664&gt;0,J1664/BD1664,-1)</f>
        <v>0</v>
      </c>
      <c r="BI1664" s="63" t="n">
        <f aca="false">IF(AND(OR(CG1664="L1",CG1664="L23",CG1664="LIFT"),BD1664&gt;0),SUMIFS($BD$7:$BD$1843,$CG$7:$CG$1843,CG1664,$BH$7:$BH$1843,"&gt;"&amp;BH1664)+SUMIFS($BD$7:$BD$1843,$CG$7:$CG$1843,CG1664,$BH$7:$BH$1843,BH1664,$BX$7:$BX$1843,"&lt;="&amp;BX1664),"")</f>
        <v>31787.6048560667</v>
      </c>
      <c r="BJ1664" s="70" t="n">
        <f aca="false">IF(BI1664="",0,MAX(0,MIN(1,(IF(CG1664="L1",Parameter!$H$5,IF(CG1664="L23",Parameter!$H$6+Parameter!$H$7,Parameter!$H$5+Parameter!$H$6+Parameter!$H$7))-(BI1664-BD1664))/BD1664)))</f>
        <v>1</v>
      </c>
      <c r="BK1664" s="60" t="str">
        <f aca="false">IF(AJ1664&lt;=0,"",IF(CG1664="Aussen","Aussenlager",IF(CG1664="-","Nicht im Lift",IF(AP1664&gt;=1,"Lift",IF(AP1664&lt;=0,"Aussenlager","teilweise")))))</f>
        <v>Lift</v>
      </c>
      <c r="BL1664" s="60" t="str">
        <f aca="false">IF(AT1664&lt;=0,"",IF(CG1664="Aussen","Aussenlager",IF(CG1664="-","Nicht im Lift",IF(AZ1664&gt;=1,"Lift",IF(AZ1664&lt;=0,"Aussenlager","teilweise")))))</f>
        <v>Aussenlager</v>
      </c>
      <c r="BM1664" s="60" t="str">
        <f aca="false">IF(BD1664&lt;=0,"",IF(CG1664="Aussen","Aussenlager",IF(CG1664="-","Nicht im Lift",IF(BJ1664&gt;=1,"Lift",IF(BJ1664&lt;=0,"Aussenlager","teilweise")))))</f>
        <v>Lift</v>
      </c>
      <c r="BN1664" s="60" t="str">
        <f aca="false">IF(A1664="","",IF(BW1664=1,"Neu; ","")&amp;IF(AND(BW1664=0,BR1664&lt;0),"negativer Bestand (Export "&amp;BR1664&amp;"); ","")&amp;IF(J1664&lt;=0,"Kein Verbrauch; ","")&amp;IF(CR1664&gt;0,"Lift "&amp;W1664&amp;" lt. Liftbericht (Fach "&amp;X1664&amp;" Stk); ",IF(CB1664=1,"Gebinde geschätzt ("&amp;T1664&amp;"); ",IF(CA1664=1,"Lose – Tablare geschätzt; ","")))&amp;IF(H1664&gt;AW1664,"Überbestand "&amp;ROUND(H1664-AW1664,0)&amp;" Stk / CHF "&amp;ROUND((H1664-AW1664)*G1664,0)&amp;"; ","")&amp;IF(AND(CI1664=1,CJ1664&lt;CK1664),"MAX &lt; MB+LG; ","")&amp;IF(AND(CQ1664&gt;0,CP1664*10&gt;CQ1664),"zu hoch für Tablar; ","")&amp;IF(AND(BW1664=0,OR(CI1664=1,AB1664&lt;&gt;"",U1664&lt;&gt;"",V1664&lt;&gt;"",AC1664&lt;&gt;"")),"manuell übersteuert; ","")&amp;IF(AND(CA1664=0,R1664=0),"Gebinde unbekannt / Stellmass fehlt; ","")&amp;IF(AND(CA1664=0,N(V1664)&lt;=0,N(Q1664)&lt;=0),"Menge pro Gebinde fehlt (Ist = 1 Gebinde); ","")&amp;BV1664)</f>
        <v>Kein Verbrauch; Gebinde geschätzt (Mittel); Menge pro Gebinde fehlt (Ist = 1 Gebinde); nur im Artikelstamm (Bestand 23.06.2026); Neuer Art.</v>
      </c>
      <c r="BO1664" s="60"/>
      <c r="BP1664" s="60"/>
      <c r="BQ1664" s="67"/>
      <c r="BR1664" s="62" t="n">
        <v>1</v>
      </c>
      <c r="BS1664" s="62" t="n">
        <v>0</v>
      </c>
      <c r="BT1664" s="61" t="n">
        <v>0</v>
      </c>
      <c r="BU1664" s="62" t="n">
        <v>0</v>
      </c>
      <c r="BV1664" s="60" t="s">
        <v>2915</v>
      </c>
      <c r="BW1664" s="65" t="n">
        <v>0</v>
      </c>
      <c r="BX1664" s="65" t="n">
        <v>1664</v>
      </c>
      <c r="BY1664" s="60" t="str">
        <f aca="false">IF(U1664&lt;&gt;"",UPPER(TRIM(U1664)),IF(CB1664=1,UPPER(VLOOKUP(T1664,Parameter!$I$27:$K$29,2,0)),IF(P1664="","LOSE",P1664)))</f>
        <v>S61</v>
      </c>
      <c r="BZ1664" s="62" t="n">
        <f aca="false">IF(BY1664="LOSE",1,IF(N(V1664)&gt;0,V1664,IF(CB1664=1,MAX(1,N(VLOOKUP(T1664,Parameter!$I$27:$K$29,3,0)),H1664,N(N1664)),IF(N(Q1664)&gt;0,Q1664,MAX(1,H1664)))))</f>
        <v>4</v>
      </c>
      <c r="CA1664" s="65" t="n">
        <f aca="false">IF(BY1664="LOSE",1,0)</f>
        <v>0</v>
      </c>
      <c r="CB1664" s="65" t="n">
        <f aca="false">IF(AND(U1664="",OR(P1664="",P1664="LOSE"),T1664&lt;&gt;"",N(S1664)&lt;=0,ISNUMBER(MATCH(T1664,Parameter!$I$27:$I$29,0))),1,0)</f>
        <v>1</v>
      </c>
      <c r="CC1664" s="65" t="n">
        <f aca="false">IF(CR1664&gt;0,INDEX(Parameter!$H$5:$H$7,W1664)/INDEX(Parameter!$E$5:$E$7,W1664),IF(AND(CA1664=0,N(IFERROR(VLOOKUP(BY1664,'Gebinde-Kategorie'!$A$5:$N$45,14,0),0))&gt;0),VLOOKUP(BY1664,'Gebinde-Kategorie'!$A$5:$N$45,14,0)*10+Parameter!$M$23,Parameter!$M$24))</f>
        <v>145</v>
      </c>
      <c r="CD1664" s="60" t="str">
        <f aca="false">IF(AND(Parameter!$B$19="Ja",E1664&lt;&gt;"",ISNUMBER(MATCH(E1664,Parameter!$I$35:$I$52,0))),VLOOKUP(E1664,Parameter!$I$35:$J$52,2,0),IFERROR(VLOOKUP(D1664,Parameter!$A$35:$C$64,2,0),"Nein"))</f>
        <v>2+3</v>
      </c>
      <c r="CE1664" s="64" t="n">
        <f aca="false">IF(CA1664=0,0,IF(N(S1664)&gt;0,S1664,IFERROR(VLOOKUP(D1664,Parameter!$A$35:$C$64,3,0)+0,0)))</f>
        <v>0</v>
      </c>
      <c r="CF1664" s="60" t="n">
        <f aca="false">IF(AB1664&lt;&gt;"",AB1664,AA1664)</f>
        <v>3</v>
      </c>
      <c r="CG1664" s="60" t="str">
        <f aca="false">IF(OR(CF1664=1,CF1664=2,CF1664=3),IF(Parameter!$E$27="Ja","LIFT",IF(CF1664=1,"L1","L23")),IF(CF1664="Aussen","Aussen","-"))</f>
        <v>LIFT</v>
      </c>
      <c r="CH1664" s="71" t="n">
        <f aca="false">IF(N(AC1664)&gt;0,AC1664,0)</f>
        <v>0</v>
      </c>
      <c r="CI1664" s="65" t="n">
        <f aca="false">IF(ISNUMBER(AF1664),1,0)</f>
        <v>0</v>
      </c>
      <c r="CJ1664" s="62" t="n">
        <f aca="false">N(AF1664)</f>
        <v>0</v>
      </c>
      <c r="CK1664" s="62" t="n">
        <f aca="false">N(M1664)+N(N1664)</f>
        <v>1</v>
      </c>
      <c r="CL1664" s="62" t="n">
        <f aca="false">N(M1664)</f>
        <v>0</v>
      </c>
      <c r="CM1664" s="62" t="n">
        <f aca="false">N(N1664)</f>
        <v>1</v>
      </c>
      <c r="CN1664" s="62" t="n">
        <f aca="false">ROUNDUP(H1664/BZ1664,0)</f>
        <v>1</v>
      </c>
      <c r="CO1664" s="62" t="n">
        <f aca="false">ROUNDUP(CJ1664/BZ1664,0)</f>
        <v>0</v>
      </c>
      <c r="CP1664" s="65" t="n">
        <f aca="false">IF(CA1664=1,0,IFERROR(VLOOKUP(BY1664,'Gebinde-Kategorie'!$A$5:$N$45,5,0)+0,0))</f>
        <v>11</v>
      </c>
      <c r="CQ1664" s="65" t="n">
        <f aca="false">IFERROR(IF(OR(CF1664=1,CF1664=2,CF1664=3),N(INDEX(Parameter!$I$5:$I$7,CF1664)),0),0)</f>
        <v>0</v>
      </c>
      <c r="CR1664" s="64" t="n">
        <f aca="false">IF(AND(Parameter!$B$21="Ja",ISNUMBER(W1664),N(X1664)&gt;0),IFERROR(N(INDEX(Parameter!$L$5:$L$7,W1664))*INDEX(Parameter!$E$5:$E$7,W1664)*X1664/SUMIFS($X$7:$X$1843,$W$7:$W$1843,W1664),0),0)</f>
        <v>0</v>
      </c>
      <c r="CS1664" s="62" t="n">
        <f aca="false">IF(AND(OR(CG1664="L1",CG1664="L23",CG1664="LIFT"),H1664&gt;0),CC1664*IF(CR1664&gt;0,CR1664*MAX(1,H1664/X1664),IF(CA1664=1,CE1664,IF(R1664&gt;0,CN1664/R1664,0))/MAX(0.1,N(Parameter!$M$21))),"")</f>
        <v>12.0833333333333</v>
      </c>
      <c r="CT1664" s="64" t="n">
        <f aca="false">IF(CS1664="","",J1664/H1664)</f>
        <v>0</v>
      </c>
      <c r="CU1664" s="62" t="n">
        <f aca="false">IF(CS1664="","",H1664*G1664)</f>
        <v>648.9</v>
      </c>
      <c r="CV1664" s="63" t="n">
        <f aca="false">IF(CS1664="","",(CL1664+ROUNDUP(CL1664+MAX(CM1664,2*(J1664/MAX(0.1,N(Einkauf!$C$6))-CL1664)),0))/2)</f>
        <v>0.5</v>
      </c>
      <c r="CW1664" s="62" t="n">
        <f aca="false">IF(CS1664="","",MAX(0,H1664-CV1664)*G1664)</f>
        <v>324.45</v>
      </c>
      <c r="CX1664" s="62" t="n">
        <f aca="false">IF(CS1664="","",CS1664*MAX(0,1-CV1664/H1664))</f>
        <v>6.04166666666667</v>
      </c>
      <c r="CY1664" s="64" t="n">
        <f aca="false">IF(CS1664="","",PERCENTRANK($CS$7:$CS$1843,CS1664)+PERCENTRANK($CU$7:$CU$1843,CU1664)+1-PERCENTRANK($CT$7:$CT$1843,CT1664))</f>
        <v>2.226</v>
      </c>
      <c r="CZ1664" s="72" t="n">
        <f aca="false">IF(CS1664="","",CHOOSE(MATCH(Einkauf!$C$5,Parameter!$G$23:$G$27,0),CY1664,CS1664,CU1664,-CT1664,CW1664)+ROW()/1000000000)</f>
        <v>2.226001664</v>
      </c>
    </row>
    <row r="1665" customFormat="false" ht="15" hidden="false" customHeight="false" outlineLevel="0" collapsed="false">
      <c r="A1665" s="60" t="s">
        <v>2932</v>
      </c>
      <c r="B1665" s="60" t="s">
        <v>381</v>
      </c>
      <c r="C1665" s="60" t="s">
        <v>498</v>
      </c>
      <c r="D1665" s="60" t="s">
        <v>215</v>
      </c>
      <c r="E1665" s="60"/>
      <c r="F1665" s="60"/>
      <c r="G1665" s="61" t="n">
        <v>338</v>
      </c>
      <c r="H1665" s="62" t="n">
        <f aca="false">MAX(0,IF(AND(Parameter!$B$21="Ja",ISNUMBER(Y1665)),Y1665,IF(Parameter!$B$20="Jahresanfang 2025 + Export",BS1665+BR1665,BR1665)))</f>
        <v>2</v>
      </c>
      <c r="I1665" s="62" t="n">
        <f aca="false">H1665*G1665</f>
        <v>676</v>
      </c>
      <c r="J1665" s="62" t="n">
        <f aca="false">BU1665*Parameter!$B$18</f>
        <v>0</v>
      </c>
      <c r="K1665" s="63"/>
      <c r="L1665" s="64"/>
      <c r="M1665" s="62" t="n">
        <v>0</v>
      </c>
      <c r="N1665" s="62" t="n">
        <v>2</v>
      </c>
      <c r="O1665" s="65" t="n">
        <v>21</v>
      </c>
      <c r="P1665" s="60" t="s">
        <v>210</v>
      </c>
      <c r="Q1665" s="62"/>
      <c r="R1665" s="65" t="n">
        <f aca="false">IF(CA1665=1,0,IFERROR(VLOOKUP(BY1665,'Gebinde-Kategorie'!$A$5:$N$45,13,0)+0,0))</f>
        <v>26</v>
      </c>
      <c r="S1665" s="66"/>
      <c r="T1665" s="67" t="s">
        <v>317</v>
      </c>
      <c r="U1665" s="67"/>
      <c r="V1665" s="67"/>
      <c r="W1665" s="60"/>
      <c r="X1665" s="62"/>
      <c r="Y1665" s="62"/>
      <c r="Z1665" s="60" t="n">
        <v>3</v>
      </c>
      <c r="AA1665" s="60" t="n">
        <f aca="false">IF(A1665="","",IF(AND(Parameter!$B$21="Ja",ISNUMBER(W1665)),W1665,IF(AND(Parameter!$E$27="Ja",ISNUMBER(Z1665),CD1665&lt;&gt;"Nein"),Z1665,IF(CD1665="2+3",IF(ISNUMBER(SEARCH("grosser Artikel",BV1665)),2,IFERROR(VLOOKUP(BY1665,Parameter!$F$35:$G$64,2,0),2)),IF(OR(CD1665="Nein",CD1665=""),"-",CD1665)))))</f>
        <v>3</v>
      </c>
      <c r="AB1665" s="67"/>
      <c r="AC1665" s="68"/>
      <c r="AD1665" s="62" t="n">
        <f aca="false">AW1665</f>
        <v>2</v>
      </c>
      <c r="AE1665" s="62" t="n">
        <f aca="false">MAX(AW1665,H1665)</f>
        <v>2</v>
      </c>
      <c r="AF1665" s="69"/>
      <c r="AG1665" s="62" t="n">
        <f aca="false">IF(LEFT(Cockpit!$C$5,1)="A",H1665,IF(Parameter!$E$30="MAX-Bestand",IF(CI1665=1,CJ1665,IF(LEFT(Cockpit!$C$5,1)="B",AM1665,MAX(AM1665,H1665))),ROUNDUP(AK1665,0)))</f>
        <v>2</v>
      </c>
      <c r="AH1665" s="62" t="n">
        <f aca="false">IF(CA1665=1,0,ROUNDUP(AG1665/BZ1665,0))</f>
        <v>1</v>
      </c>
      <c r="AI1665" s="64" t="n">
        <f aca="false">IF(CR1665&gt;0,CR1665*MAX(1,AG1665/X1665),IF(CA1665=1,IF(AG1665&lt;=0,0,CE1665*MAX(1,IF(H1665&gt;0,AG1665/H1665,1))),IF(R1665&gt;0,AH1665/R1665,0))/MAX(0.1,N(Parameter!$M$21)))</f>
        <v>0.0384615384615385</v>
      </c>
      <c r="AJ1665" s="62" t="n">
        <f aca="false">AI1665*CC1665</f>
        <v>5.96153846153846</v>
      </c>
      <c r="AK1665" s="63" t="n">
        <f aca="false">IF(LEFT(Cockpit!$C$5,1)="A",H1665,IF(CI1665=1,(CL1665+CJ1665)/2,IF(LEFT(Cockpit!$C$5,1)="B",(CL1665+AM1665)/2,MAX((CL1665+AM1665)/2,H1665))))</f>
        <v>2</v>
      </c>
      <c r="AL1665" s="62" t="n">
        <f aca="false">AK1665*G1665</f>
        <v>676</v>
      </c>
      <c r="AM1665" s="62" t="n">
        <f aca="false">ROUNDUP(CL1665+MAX(CM1665,2*(J1665/IF(CH1665&gt;0,CH1665,MAX(0.1,N(Cockpit!$C$6)))-CL1665)),0)</f>
        <v>2</v>
      </c>
      <c r="AN1665" s="63" t="n">
        <f aca="false">IF(AJ1665&gt;0,J1665/AJ1665,-1)</f>
        <v>0</v>
      </c>
      <c r="AO1665" s="63" t="n">
        <f aca="false">IF(AND(OR(CG1665="L1",CG1665="L23",CG1665="LIFT"),AJ1665&gt;0),SUMIFS($AJ$7:$AJ$1843,$CG$7:$CG$1843,CG1665,$AN$7:$AN$1843,"&gt;"&amp;AN1665)+SUMIFS($AJ$7:$AJ$1843,$CG$7:$CG$1843,CG1665,$AN$7:$AN$1843,AN1665,$BX$7:$BX$1843,"&lt;="&amp;BX1665),"")</f>
        <v>31411.8768884129</v>
      </c>
      <c r="AP1665" s="70" t="n">
        <f aca="false">IF(AO1665="",0,MAX(0,MIN(1,(IF(CG1665="L1",Parameter!$H$5,IF(CG1665="L23",Parameter!$H$6+Parameter!$H$7,Parameter!$H$5+Parameter!$H$6+Parameter!$H$7))-(AO1665-AJ1665))/AJ1665)))</f>
        <v>1</v>
      </c>
      <c r="AQ1665" s="62" t="n">
        <f aca="false">IF(LEFT(Cockpit!$I$5,1)="A",H1665,IF(Parameter!$E$30="MAX-Bestand",IF(CI1665=1,CJ1665,IF(LEFT(Cockpit!$I$5,1)="B",AW1665,MAX(AW1665,H1665))),ROUNDUP(AU1665,0)))</f>
        <v>2</v>
      </c>
      <c r="AR1665" s="62" t="n">
        <f aca="false">IF(CA1665=1,0,ROUNDUP(AQ1665/BZ1665,0))</f>
        <v>1</v>
      </c>
      <c r="AS1665" s="64" t="n">
        <f aca="false">IF(CR1665&gt;0,CR1665*MAX(1,AQ1665/X1665),IF(CA1665=1,IF(AQ1665&lt;=0,0,CE1665*MAX(1,IF(H1665&gt;0,AQ1665/H1665,1))),IF(R1665&gt;0,AR1665/R1665,0))/MAX(0.1,N(Parameter!$M$21)))</f>
        <v>0.0384615384615385</v>
      </c>
      <c r="AT1665" s="62" t="n">
        <f aca="false">AS1665*CC1665</f>
        <v>5.96153846153846</v>
      </c>
      <c r="AU1665" s="63" t="n">
        <f aca="false">IF(LEFT(Cockpit!$I$5,1)="A",H1665,IF(CI1665=1,(CL1665+CJ1665)/2,IF(LEFT(Cockpit!$I$5,1)="B",(CL1665+AW1665)/2,MAX((CL1665+AW1665)/2,H1665))))</f>
        <v>2</v>
      </c>
      <c r="AV1665" s="62" t="n">
        <f aca="false">AU1665*G1665</f>
        <v>676</v>
      </c>
      <c r="AW1665" s="62" t="n">
        <f aca="false">ROUNDUP(CL1665+MAX(CM1665,2*(J1665/IF(CH1665&gt;0,CH1665,MAX(0.1,N(Cockpit!$I$6)))-CL1665)),0)</f>
        <v>2</v>
      </c>
      <c r="AX1665" s="63" t="n">
        <f aca="false">IF(AT1665&gt;0,J1665/AT1665,-1)</f>
        <v>0</v>
      </c>
      <c r="AY1665" s="63" t="n">
        <f aca="false">IF(AND(OR(CG1665="L1",CG1665="L23",CG1665="LIFT"),AT1665&gt;0),SUMIFS($AT$7:$AT$1843,$CG$7:$CG$1843,CG1665,$AX$7:$AX$1843,"&gt;"&amp;AX1665)+SUMIFS($AT$7:$AT$1843,$CG$7:$CG$1843,CG1665,$AX$7:$AX$1843,AX1665,$BX$7:$BX$1843,"&lt;="&amp;BX1665),"")</f>
        <v>37884.1251189959</v>
      </c>
      <c r="AZ1665" s="70" t="n">
        <f aca="false">IF(AY1665="",0,MAX(0,MIN(1,(IF(CG1665="L1",Parameter!$H$5,IF(CG1665="L23",Parameter!$H$6+Parameter!$H$7,Parameter!$H$5+Parameter!$H$6+Parameter!$H$7))-(AY1665-AT1665))/AT1665)))</f>
        <v>0</v>
      </c>
      <c r="BA1665" s="62" t="n">
        <f aca="false">IF(LEFT(Cockpit!$O$5,1)="A",H1665,IF(Parameter!$E$30="MAX-Bestand",IF(CI1665=1,CJ1665,IF(LEFT(Cockpit!$O$5,1)="B",BG1665,MAX(BG1665,H1665))),ROUNDUP(BE1665,0)))</f>
        <v>1</v>
      </c>
      <c r="BB1665" s="62" t="n">
        <f aca="false">IF(CA1665=1,0,ROUNDUP(BA1665/BZ1665,0))</f>
        <v>1</v>
      </c>
      <c r="BC1665" s="64" t="n">
        <f aca="false">IF(CR1665&gt;0,CR1665*MAX(1,BA1665/X1665),IF(CA1665=1,IF(BA1665&lt;=0,0,CE1665*MAX(1,IF(H1665&gt;0,BA1665/H1665,1))),IF(R1665&gt;0,BB1665/R1665,0))/MAX(0.1,N(Parameter!$M$21)))</f>
        <v>0.0384615384615385</v>
      </c>
      <c r="BD1665" s="62" t="n">
        <f aca="false">BC1665*CC1665</f>
        <v>5.96153846153846</v>
      </c>
      <c r="BE1665" s="63" t="n">
        <f aca="false">IF(LEFT(Cockpit!$O$5,1)="A",H1665,IF(CI1665=1,(CL1665+CJ1665)/2,IF(LEFT(Cockpit!$O$5,1)="B",(CL1665+BG1665)/2,MAX((CL1665+BG1665)/2,H1665))))</f>
        <v>1</v>
      </c>
      <c r="BF1665" s="62" t="n">
        <f aca="false">BE1665*G1665</f>
        <v>338</v>
      </c>
      <c r="BG1665" s="62" t="n">
        <f aca="false">ROUNDUP(CL1665+MAX(CM1665,2*(J1665/IF(CH1665&gt;0,CH1665,MAX(0.1,N(Cockpit!$O$6)))-CL1665)),0)</f>
        <v>2</v>
      </c>
      <c r="BH1665" s="63" t="n">
        <f aca="false">IF(BD1665&gt;0,J1665/BD1665,-1)</f>
        <v>0</v>
      </c>
      <c r="BI1665" s="63" t="n">
        <f aca="false">IF(AND(OR(CG1665="L1",CG1665="L23",CG1665="LIFT"),BD1665&gt;0),SUMIFS($BD$7:$BD$1843,$CG$7:$CG$1843,CG1665,$BH$7:$BH$1843,"&gt;"&amp;BH1665)+SUMIFS($BD$7:$BD$1843,$CG$7:$CG$1843,CG1665,$BH$7:$BH$1843,BH1665,$BX$7:$BX$1843,"&lt;="&amp;BX1665),"")</f>
        <v>31793.5663945283</v>
      </c>
      <c r="BJ1665" s="70" t="n">
        <f aca="false">IF(BI1665="",0,MAX(0,MIN(1,(IF(CG1665="L1",Parameter!$H$5,IF(CG1665="L23",Parameter!$H$6+Parameter!$H$7,Parameter!$H$5+Parameter!$H$6+Parameter!$H$7))-(BI1665-BD1665))/BD1665)))</f>
        <v>1</v>
      </c>
      <c r="BK1665" s="60" t="str">
        <f aca="false">IF(AJ1665&lt;=0,"",IF(CG1665="Aussen","Aussenlager",IF(CG1665="-","Nicht im Lift",IF(AP1665&gt;=1,"Lift",IF(AP1665&lt;=0,"Aussenlager","teilweise")))))</f>
        <v>Lift</v>
      </c>
      <c r="BL1665" s="60" t="str">
        <f aca="false">IF(AT1665&lt;=0,"",IF(CG1665="Aussen","Aussenlager",IF(CG1665="-","Nicht im Lift",IF(AZ1665&gt;=1,"Lift",IF(AZ1665&lt;=0,"Aussenlager","teilweise")))))</f>
        <v>Aussenlager</v>
      </c>
      <c r="BM1665" s="60" t="str">
        <f aca="false">IF(BD1665&lt;=0,"",IF(CG1665="Aussen","Aussenlager",IF(CG1665="-","Nicht im Lift",IF(BJ1665&gt;=1,"Lift",IF(BJ1665&lt;=0,"Aussenlager","teilweise")))))</f>
        <v>Lift</v>
      </c>
      <c r="BN1665" s="60" t="str">
        <f aca="false">IF(A1665="","",IF(BW1665=1,"Neu; ","")&amp;IF(AND(BW1665=0,BR1665&lt;0),"negativer Bestand (Export "&amp;BR1665&amp;"); ","")&amp;IF(J1665&lt;=0,"Kein Verbrauch; ","")&amp;IF(CR1665&gt;0,"Lift "&amp;W1665&amp;" lt. Liftbericht (Fach "&amp;X1665&amp;" Stk); ",IF(CB1665=1,"Gebinde geschätzt ("&amp;T1665&amp;"); ",IF(CA1665=1,"Lose – Tablare geschätzt; ","")))&amp;IF(H1665&gt;AW1665,"Überbestand "&amp;ROUND(H1665-AW1665,0)&amp;" Stk / CHF "&amp;ROUND((H1665-AW1665)*G1665,0)&amp;"; ","")&amp;IF(AND(CI1665=1,CJ1665&lt;CK1665),"MAX &lt; MB+LG; ","")&amp;IF(AND(CQ1665&gt;0,CP1665*10&gt;CQ1665),"zu hoch für Tablar; ","")&amp;IF(AND(BW1665=0,OR(CI1665=1,AB1665&lt;&gt;"",U1665&lt;&gt;"",V1665&lt;&gt;"",AC1665&lt;&gt;"")),"manuell übersteuert; ","")&amp;IF(AND(CA1665=0,R1665=0),"Gebinde unbekannt / Stellmass fehlt; ","")&amp;IF(AND(CA1665=0,N(V1665)&lt;=0,N(Q1665)&lt;=0),"Menge pro Gebinde fehlt (Ist = 1 Gebinde); ","")&amp;BV1665)</f>
        <v>Kein Verbrauch; Gebinde geschätzt (Klein); Menge pro Gebinde fehlt (Ist = 1 Gebinde); nur im Artikelstamm (Bestand 23.06.2026)</v>
      </c>
      <c r="BO1665" s="60"/>
      <c r="BP1665" s="60"/>
      <c r="BQ1665" s="67"/>
      <c r="BR1665" s="62" t="n">
        <v>2</v>
      </c>
      <c r="BS1665" s="62" t="n">
        <v>0</v>
      </c>
      <c r="BT1665" s="61" t="n">
        <v>0</v>
      </c>
      <c r="BU1665" s="62" t="n">
        <v>0</v>
      </c>
      <c r="BV1665" s="60" t="s">
        <v>2617</v>
      </c>
      <c r="BW1665" s="65" t="n">
        <v>0</v>
      </c>
      <c r="BX1665" s="65" t="n">
        <v>1665</v>
      </c>
      <c r="BY1665" s="60" t="str">
        <f aca="false">IF(U1665&lt;&gt;"",UPPER(TRIM(U1665)),IF(CB1665=1,UPPER(VLOOKUP(T1665,Parameter!$I$27:$K$29,2,0)),IF(P1665="","LOSE",P1665)))</f>
        <v>S51</v>
      </c>
      <c r="BZ1665" s="62" t="n">
        <f aca="false">IF(BY1665="LOSE",1,IF(N(V1665)&gt;0,V1665,IF(CB1665=1,MAX(1,N(VLOOKUP(T1665,Parameter!$I$27:$K$29,3,0)),H1665,N(N1665)),IF(N(Q1665)&gt;0,Q1665,MAX(1,H1665)))))</f>
        <v>20</v>
      </c>
      <c r="CA1665" s="65" t="n">
        <f aca="false">IF(BY1665="LOSE",1,0)</f>
        <v>0</v>
      </c>
      <c r="CB1665" s="65" t="n">
        <f aca="false">IF(AND(U1665="",OR(P1665="",P1665="LOSE"),T1665&lt;&gt;"",N(S1665)&lt;=0,ISNUMBER(MATCH(T1665,Parameter!$I$27:$I$29,0))),1,0)</f>
        <v>1</v>
      </c>
      <c r="CC1665" s="65" t="n">
        <f aca="false">IF(CR1665&gt;0,INDEX(Parameter!$H$5:$H$7,W1665)/INDEX(Parameter!$E$5:$E$7,W1665),IF(AND(CA1665=0,N(IFERROR(VLOOKUP(BY1665,'Gebinde-Kategorie'!$A$5:$N$45,14,0),0))&gt;0),VLOOKUP(BY1665,'Gebinde-Kategorie'!$A$5:$N$45,14,0)*10+Parameter!$M$23,Parameter!$M$24))</f>
        <v>155</v>
      </c>
      <c r="CD1665" s="60" t="str">
        <f aca="false">IF(AND(Parameter!$B$19="Ja",E1665&lt;&gt;"",ISNUMBER(MATCH(E1665,Parameter!$I$35:$I$52,0))),VLOOKUP(E1665,Parameter!$I$35:$J$52,2,0),IFERROR(VLOOKUP(D1665,Parameter!$A$35:$C$64,2,0),"Nein"))</f>
        <v>2+3</v>
      </c>
      <c r="CE1665" s="64" t="n">
        <f aca="false">IF(CA1665=0,0,IF(N(S1665)&gt;0,S1665,IFERROR(VLOOKUP(D1665,Parameter!$A$35:$C$64,3,0)+0,0)))</f>
        <v>0</v>
      </c>
      <c r="CF1665" s="60" t="n">
        <f aca="false">IF(AB1665&lt;&gt;"",AB1665,AA1665)</f>
        <v>3</v>
      </c>
      <c r="CG1665" s="60" t="str">
        <f aca="false">IF(OR(CF1665=1,CF1665=2,CF1665=3),IF(Parameter!$E$27="Ja","LIFT",IF(CF1665=1,"L1","L23")),IF(CF1665="Aussen","Aussen","-"))</f>
        <v>LIFT</v>
      </c>
      <c r="CH1665" s="71" t="n">
        <f aca="false">IF(N(AC1665)&gt;0,AC1665,0)</f>
        <v>0</v>
      </c>
      <c r="CI1665" s="65" t="n">
        <f aca="false">IF(ISNUMBER(AF1665),1,0)</f>
        <v>0</v>
      </c>
      <c r="CJ1665" s="62" t="n">
        <f aca="false">N(AF1665)</f>
        <v>0</v>
      </c>
      <c r="CK1665" s="62" t="n">
        <f aca="false">N(M1665)+N(N1665)</f>
        <v>2</v>
      </c>
      <c r="CL1665" s="62" t="n">
        <f aca="false">N(M1665)</f>
        <v>0</v>
      </c>
      <c r="CM1665" s="62" t="n">
        <f aca="false">N(N1665)</f>
        <v>2</v>
      </c>
      <c r="CN1665" s="62" t="n">
        <f aca="false">ROUNDUP(H1665/BZ1665,0)</f>
        <v>1</v>
      </c>
      <c r="CO1665" s="62" t="n">
        <f aca="false">ROUNDUP(CJ1665/BZ1665,0)</f>
        <v>0</v>
      </c>
      <c r="CP1665" s="65" t="n">
        <f aca="false">IF(CA1665=1,0,IFERROR(VLOOKUP(BY1665,'Gebinde-Kategorie'!$A$5:$N$45,5,0)+0,0))</f>
        <v>11</v>
      </c>
      <c r="CQ1665" s="65" t="n">
        <f aca="false">IFERROR(IF(OR(CF1665=1,CF1665=2,CF1665=3),N(INDEX(Parameter!$I$5:$I$7,CF1665)),0),0)</f>
        <v>0</v>
      </c>
      <c r="CR1665" s="64" t="n">
        <f aca="false">IF(AND(Parameter!$B$21="Ja",ISNUMBER(W1665),N(X1665)&gt;0),IFERROR(N(INDEX(Parameter!$L$5:$L$7,W1665))*INDEX(Parameter!$E$5:$E$7,W1665)*X1665/SUMIFS($X$7:$X$1843,$W$7:$W$1843,W1665),0),0)</f>
        <v>0</v>
      </c>
      <c r="CS1665" s="62" t="n">
        <f aca="false">IF(AND(OR(CG1665="L1",CG1665="L23",CG1665="LIFT"),H1665&gt;0),CC1665*IF(CR1665&gt;0,CR1665*MAX(1,H1665/X1665),IF(CA1665=1,CE1665,IF(R1665&gt;0,CN1665/R1665,0))/MAX(0.1,N(Parameter!$M$21))),"")</f>
        <v>5.96153846153846</v>
      </c>
      <c r="CT1665" s="64" t="n">
        <f aca="false">IF(CS1665="","",J1665/H1665)</f>
        <v>0</v>
      </c>
      <c r="CU1665" s="62" t="n">
        <f aca="false">IF(CS1665="","",H1665*G1665)</f>
        <v>676</v>
      </c>
      <c r="CV1665" s="63" t="n">
        <f aca="false">IF(CS1665="","",(CL1665+ROUNDUP(CL1665+MAX(CM1665,2*(J1665/MAX(0.1,N(Einkauf!$C$6))-CL1665)),0))/2)</f>
        <v>1</v>
      </c>
      <c r="CW1665" s="62" t="n">
        <f aca="false">IF(CS1665="","",MAX(0,H1665-CV1665)*G1665)</f>
        <v>338</v>
      </c>
      <c r="CX1665" s="62" t="n">
        <f aca="false">IF(CS1665="","",CS1665*MAX(0,1-CV1665/H1665))</f>
        <v>2.98076923076923</v>
      </c>
      <c r="CY1665" s="64" t="n">
        <f aca="false">IF(CS1665="","",PERCENTRANK($CS$7:$CS$1843,CS1665)+PERCENTRANK($CU$7:$CU$1843,CU1665)+1-PERCENTRANK($CT$7:$CT$1843,CT1665))</f>
        <v>1.931</v>
      </c>
      <c r="CZ1665" s="72" t="n">
        <f aca="false">IF(CS1665="","",CHOOSE(MATCH(Einkauf!$C$5,Parameter!$G$23:$G$27,0),CY1665,CS1665,CU1665,-CT1665,CW1665)+ROW()/1000000000)</f>
        <v>1.931001665</v>
      </c>
    </row>
    <row r="1666" customFormat="false" ht="15" hidden="false" customHeight="false" outlineLevel="0" collapsed="false">
      <c r="A1666" s="60" t="s">
        <v>2933</v>
      </c>
      <c r="B1666" s="60" t="s">
        <v>381</v>
      </c>
      <c r="C1666" s="60" t="s">
        <v>498</v>
      </c>
      <c r="D1666" s="60" t="s">
        <v>215</v>
      </c>
      <c r="E1666" s="60"/>
      <c r="F1666" s="60"/>
      <c r="G1666" s="61" t="n">
        <v>465</v>
      </c>
      <c r="H1666" s="62" t="n">
        <f aca="false">MAX(0,IF(AND(Parameter!$B$21="Ja",ISNUMBER(Y1666)),Y1666,IF(Parameter!$B$20="Jahresanfang 2025 + Export",BS1666+BR1666,BR1666)))</f>
        <v>7</v>
      </c>
      <c r="I1666" s="62" t="n">
        <f aca="false">H1666*G1666</f>
        <v>3255</v>
      </c>
      <c r="J1666" s="62" t="n">
        <f aca="false">BU1666*Parameter!$B$18</f>
        <v>0</v>
      </c>
      <c r="K1666" s="63"/>
      <c r="L1666" s="64"/>
      <c r="M1666" s="62" t="n">
        <v>0</v>
      </c>
      <c r="N1666" s="62" t="n">
        <v>3</v>
      </c>
      <c r="O1666" s="65" t="n">
        <v>14</v>
      </c>
      <c r="P1666" s="60" t="s">
        <v>210</v>
      </c>
      <c r="Q1666" s="62"/>
      <c r="R1666" s="65" t="n">
        <f aca="false">IF(CA1666=1,0,IFERROR(VLOOKUP(BY1666,'Gebinde-Kategorie'!$A$5:$N$45,13,0)+0,0))</f>
        <v>26</v>
      </c>
      <c r="S1666" s="66"/>
      <c r="T1666" s="67" t="s">
        <v>317</v>
      </c>
      <c r="U1666" s="67"/>
      <c r="V1666" s="67"/>
      <c r="W1666" s="60"/>
      <c r="X1666" s="62"/>
      <c r="Y1666" s="62"/>
      <c r="Z1666" s="60" t="n">
        <v>3</v>
      </c>
      <c r="AA1666" s="60" t="n">
        <f aca="false">IF(A1666="","",IF(AND(Parameter!$B$21="Ja",ISNUMBER(W1666)),W1666,IF(AND(Parameter!$E$27="Ja",ISNUMBER(Z1666),CD1666&lt;&gt;"Nein"),Z1666,IF(CD1666="2+3",IF(ISNUMBER(SEARCH("grosser Artikel",BV1666)),2,IFERROR(VLOOKUP(BY1666,Parameter!$F$35:$G$64,2,0),2)),IF(OR(CD1666="Nein",CD1666=""),"-",CD1666)))))</f>
        <v>3</v>
      </c>
      <c r="AB1666" s="67"/>
      <c r="AC1666" s="68"/>
      <c r="AD1666" s="62" t="n">
        <f aca="false">AW1666</f>
        <v>3</v>
      </c>
      <c r="AE1666" s="62" t="n">
        <f aca="false">MAX(AW1666,H1666)</f>
        <v>7</v>
      </c>
      <c r="AF1666" s="69"/>
      <c r="AG1666" s="62" t="n">
        <f aca="false">IF(LEFT(Cockpit!$C$5,1)="A",H1666,IF(Parameter!$E$30="MAX-Bestand",IF(CI1666=1,CJ1666,IF(LEFT(Cockpit!$C$5,1)="B",AM1666,MAX(AM1666,H1666))),ROUNDUP(AK1666,0)))</f>
        <v>7</v>
      </c>
      <c r="AH1666" s="62" t="n">
        <f aca="false">IF(CA1666=1,0,ROUNDUP(AG1666/BZ1666,0))</f>
        <v>1</v>
      </c>
      <c r="AI1666" s="64" t="n">
        <f aca="false">IF(CR1666&gt;0,CR1666*MAX(1,AG1666/X1666),IF(CA1666=1,IF(AG1666&lt;=0,0,CE1666*MAX(1,IF(H1666&gt;0,AG1666/H1666,1))),IF(R1666&gt;0,AH1666/R1666,0))/MAX(0.1,N(Parameter!$M$21)))</f>
        <v>0.0384615384615385</v>
      </c>
      <c r="AJ1666" s="62" t="n">
        <f aca="false">AI1666*CC1666</f>
        <v>5.96153846153846</v>
      </c>
      <c r="AK1666" s="63" t="n">
        <f aca="false">IF(LEFT(Cockpit!$C$5,1)="A",H1666,IF(CI1666=1,(CL1666+CJ1666)/2,IF(LEFT(Cockpit!$C$5,1)="B",(CL1666+AM1666)/2,MAX((CL1666+AM1666)/2,H1666))))</f>
        <v>7</v>
      </c>
      <c r="AL1666" s="62" t="n">
        <f aca="false">AK1666*G1666</f>
        <v>3255</v>
      </c>
      <c r="AM1666" s="62" t="n">
        <f aca="false">ROUNDUP(CL1666+MAX(CM1666,2*(J1666/IF(CH1666&gt;0,CH1666,MAX(0.1,N(Cockpit!$C$6)))-CL1666)),0)</f>
        <v>3</v>
      </c>
      <c r="AN1666" s="63" t="n">
        <f aca="false">IF(AJ1666&gt;0,J1666/AJ1666,-1)</f>
        <v>0</v>
      </c>
      <c r="AO1666" s="63" t="n">
        <f aca="false">IF(AND(OR(CG1666="L1",CG1666="L23",CG1666="LIFT"),AJ1666&gt;0),SUMIFS($AJ$7:$AJ$1843,$CG$7:$CG$1843,CG1666,$AN$7:$AN$1843,"&gt;"&amp;AN1666)+SUMIFS($AJ$7:$AJ$1843,$CG$7:$CG$1843,CG1666,$AN$7:$AN$1843,AN1666,$BX$7:$BX$1843,"&lt;="&amp;BX1666),"")</f>
        <v>31417.8384268744</v>
      </c>
      <c r="AP1666" s="70" t="n">
        <f aca="false">IF(AO1666="",0,MAX(0,MIN(1,(IF(CG1666="L1",Parameter!$H$5,IF(CG1666="L23",Parameter!$H$6+Parameter!$H$7,Parameter!$H$5+Parameter!$H$6+Parameter!$H$7))-(AO1666-AJ1666))/AJ1666)))</f>
        <v>1</v>
      </c>
      <c r="AQ1666" s="62" t="n">
        <f aca="false">IF(LEFT(Cockpit!$I$5,1)="A",H1666,IF(Parameter!$E$30="MAX-Bestand",IF(CI1666=1,CJ1666,IF(LEFT(Cockpit!$I$5,1)="B",AW1666,MAX(AW1666,H1666))),ROUNDUP(AU1666,0)))</f>
        <v>7</v>
      </c>
      <c r="AR1666" s="62" t="n">
        <f aca="false">IF(CA1666=1,0,ROUNDUP(AQ1666/BZ1666,0))</f>
        <v>1</v>
      </c>
      <c r="AS1666" s="64" t="n">
        <f aca="false">IF(CR1666&gt;0,CR1666*MAX(1,AQ1666/X1666),IF(CA1666=1,IF(AQ1666&lt;=0,0,CE1666*MAX(1,IF(H1666&gt;0,AQ1666/H1666,1))),IF(R1666&gt;0,AR1666/R1666,0))/MAX(0.1,N(Parameter!$M$21)))</f>
        <v>0.0384615384615385</v>
      </c>
      <c r="AT1666" s="62" t="n">
        <f aca="false">AS1666*CC1666</f>
        <v>5.96153846153846</v>
      </c>
      <c r="AU1666" s="63" t="n">
        <f aca="false">IF(LEFT(Cockpit!$I$5,1)="A",H1666,IF(CI1666=1,(CL1666+CJ1666)/2,IF(LEFT(Cockpit!$I$5,1)="B",(CL1666+AW1666)/2,MAX((CL1666+AW1666)/2,H1666))))</f>
        <v>7</v>
      </c>
      <c r="AV1666" s="62" t="n">
        <f aca="false">AU1666*G1666</f>
        <v>3255</v>
      </c>
      <c r="AW1666" s="62" t="n">
        <f aca="false">ROUNDUP(CL1666+MAX(CM1666,2*(J1666/IF(CH1666&gt;0,CH1666,MAX(0.1,N(Cockpit!$I$6)))-CL1666)),0)</f>
        <v>3</v>
      </c>
      <c r="AX1666" s="63" t="n">
        <f aca="false">IF(AT1666&gt;0,J1666/AT1666,-1)</f>
        <v>0</v>
      </c>
      <c r="AY1666" s="63" t="n">
        <f aca="false">IF(AND(OR(CG1666="L1",CG1666="L23",CG1666="LIFT"),AT1666&gt;0),SUMIFS($AT$7:$AT$1843,$CG$7:$CG$1843,CG1666,$AX$7:$AX$1843,"&gt;"&amp;AX1666)+SUMIFS($AT$7:$AT$1843,$CG$7:$CG$1843,CG1666,$AX$7:$AX$1843,AX1666,$BX$7:$BX$1843,"&lt;="&amp;BX1666),"")</f>
        <v>37890.0866574574</v>
      </c>
      <c r="AZ1666" s="70" t="n">
        <f aca="false">IF(AY1666="",0,MAX(0,MIN(1,(IF(CG1666="L1",Parameter!$H$5,IF(CG1666="L23",Parameter!$H$6+Parameter!$H$7,Parameter!$H$5+Parameter!$H$6+Parameter!$H$7))-(AY1666-AT1666))/AT1666)))</f>
        <v>0</v>
      </c>
      <c r="BA1666" s="62" t="n">
        <f aca="false">IF(LEFT(Cockpit!$O$5,1)="A",H1666,IF(Parameter!$E$30="MAX-Bestand",IF(CI1666=1,CJ1666,IF(LEFT(Cockpit!$O$5,1)="B",BG1666,MAX(BG1666,H1666))),ROUNDUP(BE1666,0)))</f>
        <v>2</v>
      </c>
      <c r="BB1666" s="62" t="n">
        <f aca="false">IF(CA1666=1,0,ROUNDUP(BA1666/BZ1666,0))</f>
        <v>1</v>
      </c>
      <c r="BC1666" s="64" t="n">
        <f aca="false">IF(CR1666&gt;0,CR1666*MAX(1,BA1666/X1666),IF(CA1666=1,IF(BA1666&lt;=0,0,CE1666*MAX(1,IF(H1666&gt;0,BA1666/H1666,1))),IF(R1666&gt;0,BB1666/R1666,0))/MAX(0.1,N(Parameter!$M$21)))</f>
        <v>0.0384615384615385</v>
      </c>
      <c r="BD1666" s="62" t="n">
        <f aca="false">BC1666*CC1666</f>
        <v>5.96153846153846</v>
      </c>
      <c r="BE1666" s="63" t="n">
        <f aca="false">IF(LEFT(Cockpit!$O$5,1)="A",H1666,IF(CI1666=1,(CL1666+CJ1666)/2,IF(LEFT(Cockpit!$O$5,1)="B",(CL1666+BG1666)/2,MAX((CL1666+BG1666)/2,H1666))))</f>
        <v>1.5</v>
      </c>
      <c r="BF1666" s="62" t="n">
        <f aca="false">BE1666*G1666</f>
        <v>697.5</v>
      </c>
      <c r="BG1666" s="62" t="n">
        <f aca="false">ROUNDUP(CL1666+MAX(CM1666,2*(J1666/IF(CH1666&gt;0,CH1666,MAX(0.1,N(Cockpit!$O$6)))-CL1666)),0)</f>
        <v>3</v>
      </c>
      <c r="BH1666" s="63" t="n">
        <f aca="false">IF(BD1666&gt;0,J1666/BD1666,-1)</f>
        <v>0</v>
      </c>
      <c r="BI1666" s="63" t="n">
        <f aca="false">IF(AND(OR(CG1666="L1",CG1666="L23",CG1666="LIFT"),BD1666&gt;0),SUMIFS($BD$7:$BD$1843,$CG$7:$CG$1843,CG1666,$BH$7:$BH$1843,"&gt;"&amp;BH1666)+SUMIFS($BD$7:$BD$1843,$CG$7:$CG$1843,CG1666,$BH$7:$BH$1843,BH1666,$BX$7:$BX$1843,"&lt;="&amp;BX1666),"")</f>
        <v>31799.5279329898</v>
      </c>
      <c r="BJ1666" s="70" t="n">
        <f aca="false">IF(BI1666="",0,MAX(0,MIN(1,(IF(CG1666="L1",Parameter!$H$5,IF(CG1666="L23",Parameter!$H$6+Parameter!$H$7,Parameter!$H$5+Parameter!$H$6+Parameter!$H$7))-(BI1666-BD1666))/BD1666)))</f>
        <v>1</v>
      </c>
      <c r="BK1666" s="60" t="str">
        <f aca="false">IF(AJ1666&lt;=0,"",IF(CG1666="Aussen","Aussenlager",IF(CG1666="-","Nicht im Lift",IF(AP1666&gt;=1,"Lift",IF(AP1666&lt;=0,"Aussenlager","teilweise")))))</f>
        <v>Lift</v>
      </c>
      <c r="BL1666" s="60" t="str">
        <f aca="false">IF(AT1666&lt;=0,"",IF(CG1666="Aussen","Aussenlager",IF(CG1666="-","Nicht im Lift",IF(AZ1666&gt;=1,"Lift",IF(AZ1666&lt;=0,"Aussenlager","teilweise")))))</f>
        <v>Aussenlager</v>
      </c>
      <c r="BM1666" s="60" t="str">
        <f aca="false">IF(BD1666&lt;=0,"",IF(CG1666="Aussen","Aussenlager",IF(CG1666="-","Nicht im Lift",IF(BJ1666&gt;=1,"Lift",IF(BJ1666&lt;=0,"Aussenlager","teilweise")))))</f>
        <v>Lift</v>
      </c>
      <c r="BN1666" s="60" t="str">
        <f aca="false">IF(A1666="","",IF(BW1666=1,"Neu; ","")&amp;IF(AND(BW1666=0,BR1666&lt;0),"negativer Bestand (Export "&amp;BR1666&amp;"); ","")&amp;IF(J1666&lt;=0,"Kein Verbrauch; ","")&amp;IF(CR1666&gt;0,"Lift "&amp;W1666&amp;" lt. Liftbericht (Fach "&amp;X1666&amp;" Stk); ",IF(CB1666=1,"Gebinde geschätzt ("&amp;T1666&amp;"); ",IF(CA1666=1,"Lose – Tablare geschätzt; ","")))&amp;IF(H1666&gt;AW1666,"Überbestand "&amp;ROUND(H1666-AW1666,0)&amp;" Stk / CHF "&amp;ROUND((H1666-AW1666)*G1666,0)&amp;"; ","")&amp;IF(AND(CI1666=1,CJ1666&lt;CK1666),"MAX &lt; MB+LG; ","")&amp;IF(AND(CQ1666&gt;0,CP1666*10&gt;CQ1666),"zu hoch für Tablar; ","")&amp;IF(AND(BW1666=0,OR(CI1666=1,AB1666&lt;&gt;"",U1666&lt;&gt;"",V1666&lt;&gt;"",AC1666&lt;&gt;"")),"manuell übersteuert; ","")&amp;IF(AND(CA1666=0,R1666=0),"Gebinde unbekannt / Stellmass fehlt; ","")&amp;IF(AND(CA1666=0,N(V1666)&lt;=0,N(Q1666)&lt;=0),"Menge pro Gebinde fehlt (Ist = 1 Gebinde); ","")&amp;BV1666)</f>
        <v>Kein Verbrauch; Gebinde geschätzt (Klein); Überbestand 4 Stk / CHF 1860; Menge pro Gebinde fehlt (Ist = 1 Gebinde); nur im Artikelstamm (Bestand 23.06.2026)</v>
      </c>
      <c r="BO1666" s="60"/>
      <c r="BP1666" s="60"/>
      <c r="BQ1666" s="67"/>
      <c r="BR1666" s="62" t="n">
        <v>7</v>
      </c>
      <c r="BS1666" s="62" t="n">
        <v>0</v>
      </c>
      <c r="BT1666" s="61" t="n">
        <v>0</v>
      </c>
      <c r="BU1666" s="62" t="n">
        <v>0</v>
      </c>
      <c r="BV1666" s="60" t="s">
        <v>2617</v>
      </c>
      <c r="BW1666" s="65" t="n">
        <v>0</v>
      </c>
      <c r="BX1666" s="65" t="n">
        <v>1666</v>
      </c>
      <c r="BY1666" s="60" t="str">
        <f aca="false">IF(U1666&lt;&gt;"",UPPER(TRIM(U1666)),IF(CB1666=1,UPPER(VLOOKUP(T1666,Parameter!$I$27:$K$29,2,0)),IF(P1666="","LOSE",P1666)))</f>
        <v>S51</v>
      </c>
      <c r="BZ1666" s="62" t="n">
        <f aca="false">IF(BY1666="LOSE",1,IF(N(V1666)&gt;0,V1666,IF(CB1666=1,MAX(1,N(VLOOKUP(T1666,Parameter!$I$27:$K$29,3,0)),H1666,N(N1666)),IF(N(Q1666)&gt;0,Q1666,MAX(1,H1666)))))</f>
        <v>20</v>
      </c>
      <c r="CA1666" s="65" t="n">
        <f aca="false">IF(BY1666="LOSE",1,0)</f>
        <v>0</v>
      </c>
      <c r="CB1666" s="65" t="n">
        <f aca="false">IF(AND(U1666="",OR(P1666="",P1666="LOSE"),T1666&lt;&gt;"",N(S1666)&lt;=0,ISNUMBER(MATCH(T1666,Parameter!$I$27:$I$29,0))),1,0)</f>
        <v>1</v>
      </c>
      <c r="CC1666" s="65" t="n">
        <f aca="false">IF(CR1666&gt;0,INDEX(Parameter!$H$5:$H$7,W1666)/INDEX(Parameter!$E$5:$E$7,W1666),IF(AND(CA1666=0,N(IFERROR(VLOOKUP(BY1666,'Gebinde-Kategorie'!$A$5:$N$45,14,0),0))&gt;0),VLOOKUP(BY1666,'Gebinde-Kategorie'!$A$5:$N$45,14,0)*10+Parameter!$M$23,Parameter!$M$24))</f>
        <v>155</v>
      </c>
      <c r="CD1666" s="60" t="str">
        <f aca="false">IF(AND(Parameter!$B$19="Ja",E1666&lt;&gt;"",ISNUMBER(MATCH(E1666,Parameter!$I$35:$I$52,0))),VLOOKUP(E1666,Parameter!$I$35:$J$52,2,0),IFERROR(VLOOKUP(D1666,Parameter!$A$35:$C$64,2,0),"Nein"))</f>
        <v>2+3</v>
      </c>
      <c r="CE1666" s="64" t="n">
        <f aca="false">IF(CA1666=0,0,IF(N(S1666)&gt;0,S1666,IFERROR(VLOOKUP(D1666,Parameter!$A$35:$C$64,3,0)+0,0)))</f>
        <v>0</v>
      </c>
      <c r="CF1666" s="60" t="n">
        <f aca="false">IF(AB1666&lt;&gt;"",AB1666,AA1666)</f>
        <v>3</v>
      </c>
      <c r="CG1666" s="60" t="str">
        <f aca="false">IF(OR(CF1666=1,CF1666=2,CF1666=3),IF(Parameter!$E$27="Ja","LIFT",IF(CF1666=1,"L1","L23")),IF(CF1666="Aussen","Aussen","-"))</f>
        <v>LIFT</v>
      </c>
      <c r="CH1666" s="71" t="n">
        <f aca="false">IF(N(AC1666)&gt;0,AC1666,0)</f>
        <v>0</v>
      </c>
      <c r="CI1666" s="65" t="n">
        <f aca="false">IF(ISNUMBER(AF1666),1,0)</f>
        <v>0</v>
      </c>
      <c r="CJ1666" s="62" t="n">
        <f aca="false">N(AF1666)</f>
        <v>0</v>
      </c>
      <c r="CK1666" s="62" t="n">
        <f aca="false">N(M1666)+N(N1666)</f>
        <v>3</v>
      </c>
      <c r="CL1666" s="62" t="n">
        <f aca="false">N(M1666)</f>
        <v>0</v>
      </c>
      <c r="CM1666" s="62" t="n">
        <f aca="false">N(N1666)</f>
        <v>3</v>
      </c>
      <c r="CN1666" s="62" t="n">
        <f aca="false">ROUNDUP(H1666/BZ1666,0)</f>
        <v>1</v>
      </c>
      <c r="CO1666" s="62" t="n">
        <f aca="false">ROUNDUP(CJ1666/BZ1666,0)</f>
        <v>0</v>
      </c>
      <c r="CP1666" s="65" t="n">
        <f aca="false">IF(CA1666=1,0,IFERROR(VLOOKUP(BY1666,'Gebinde-Kategorie'!$A$5:$N$45,5,0)+0,0))</f>
        <v>11</v>
      </c>
      <c r="CQ1666" s="65" t="n">
        <f aca="false">IFERROR(IF(OR(CF1666=1,CF1666=2,CF1666=3),N(INDEX(Parameter!$I$5:$I$7,CF1666)),0),0)</f>
        <v>0</v>
      </c>
      <c r="CR1666" s="64" t="n">
        <f aca="false">IF(AND(Parameter!$B$21="Ja",ISNUMBER(W1666),N(X1666)&gt;0),IFERROR(N(INDEX(Parameter!$L$5:$L$7,W1666))*INDEX(Parameter!$E$5:$E$7,W1666)*X1666/SUMIFS($X$7:$X$1843,$W$7:$W$1843,W1666),0),0)</f>
        <v>0</v>
      </c>
      <c r="CS1666" s="62" t="n">
        <f aca="false">IF(AND(OR(CG1666="L1",CG1666="L23",CG1666="LIFT"),H1666&gt;0),CC1666*IF(CR1666&gt;0,CR1666*MAX(1,H1666/X1666),IF(CA1666=1,CE1666,IF(R1666&gt;0,CN1666/R1666,0))/MAX(0.1,N(Parameter!$M$21))),"")</f>
        <v>5.96153846153846</v>
      </c>
      <c r="CT1666" s="64" t="n">
        <f aca="false">IF(CS1666="","",J1666/H1666)</f>
        <v>0</v>
      </c>
      <c r="CU1666" s="62" t="n">
        <f aca="false">IF(CS1666="","",H1666*G1666)</f>
        <v>3255</v>
      </c>
      <c r="CV1666" s="63" t="n">
        <f aca="false">IF(CS1666="","",(CL1666+ROUNDUP(CL1666+MAX(CM1666,2*(J1666/MAX(0.1,N(Einkauf!$C$6))-CL1666)),0))/2)</f>
        <v>1.5</v>
      </c>
      <c r="CW1666" s="62" t="n">
        <f aca="false">IF(CS1666="","",MAX(0,H1666-CV1666)*G1666)</f>
        <v>2557.5</v>
      </c>
      <c r="CX1666" s="62" t="n">
        <f aca="false">IF(CS1666="","",CS1666*MAX(0,1-CV1666/H1666))</f>
        <v>4.68406593406593</v>
      </c>
      <c r="CY1666" s="64" t="n">
        <f aca="false">IF(CS1666="","",PERCENTRANK($CS$7:$CS$1843,CS1666)+PERCENTRANK($CU$7:$CU$1843,CU1666)+1-PERCENTRANK($CT$7:$CT$1843,CT1666))</f>
        <v>2.202</v>
      </c>
      <c r="CZ1666" s="72" t="n">
        <f aca="false">IF(CS1666="","",CHOOSE(MATCH(Einkauf!$C$5,Parameter!$G$23:$G$27,0),CY1666,CS1666,CU1666,-CT1666,CW1666)+ROW()/1000000000)</f>
        <v>2.202001666</v>
      </c>
    </row>
    <row r="1667" customFormat="false" ht="15" hidden="false" customHeight="false" outlineLevel="0" collapsed="false">
      <c r="A1667" s="60" t="s">
        <v>2934</v>
      </c>
      <c r="B1667" s="60" t="s">
        <v>2935</v>
      </c>
      <c r="C1667" s="60" t="s">
        <v>206</v>
      </c>
      <c r="D1667" s="60" t="s">
        <v>215</v>
      </c>
      <c r="E1667" s="60"/>
      <c r="F1667" s="60"/>
      <c r="G1667" s="61" t="n">
        <v>17553.7</v>
      </c>
      <c r="H1667" s="62" t="n">
        <f aca="false">MAX(0,IF(AND(Parameter!$B$21="Ja",ISNUMBER(Y1667)),Y1667,IF(Parameter!$B$20="Jahresanfang 2025 + Export",BS1667+BR1667,BR1667)))</f>
        <v>1</v>
      </c>
      <c r="I1667" s="62" t="n">
        <f aca="false">H1667*G1667</f>
        <v>17553.7</v>
      </c>
      <c r="J1667" s="62" t="n">
        <f aca="false">BU1667*Parameter!$B$18</f>
        <v>0</v>
      </c>
      <c r="K1667" s="63"/>
      <c r="L1667" s="64"/>
      <c r="M1667" s="62" t="n">
        <v>0</v>
      </c>
      <c r="N1667" s="62" t="n">
        <v>1</v>
      </c>
      <c r="O1667" s="65" t="n">
        <v>7</v>
      </c>
      <c r="P1667" s="60" t="s">
        <v>210</v>
      </c>
      <c r="Q1667" s="62"/>
      <c r="R1667" s="65" t="n">
        <f aca="false">IF(CA1667=1,0,IFERROR(VLOOKUP(BY1667,'Gebinde-Kategorie'!$A$5:$N$45,13,0)+0,0))</f>
        <v>12</v>
      </c>
      <c r="S1667" s="66"/>
      <c r="T1667" s="67" t="s">
        <v>221</v>
      </c>
      <c r="U1667" s="67"/>
      <c r="V1667" s="67"/>
      <c r="W1667" s="60"/>
      <c r="X1667" s="62"/>
      <c r="Y1667" s="62"/>
      <c r="Z1667" s="60" t="n">
        <v>3</v>
      </c>
      <c r="AA1667" s="60" t="n">
        <f aca="false">IF(A1667="","",IF(AND(Parameter!$B$21="Ja",ISNUMBER(W1667)),W1667,IF(AND(Parameter!$E$27="Ja",ISNUMBER(Z1667),CD1667&lt;&gt;"Nein"),Z1667,IF(CD1667="2+3",IF(ISNUMBER(SEARCH("grosser Artikel",BV1667)),2,IFERROR(VLOOKUP(BY1667,Parameter!$F$35:$G$64,2,0),2)),IF(OR(CD1667="Nein",CD1667=""),"-",CD1667)))))</f>
        <v>3</v>
      </c>
      <c r="AB1667" s="67"/>
      <c r="AC1667" s="68"/>
      <c r="AD1667" s="62" t="n">
        <f aca="false">AW1667</f>
        <v>1</v>
      </c>
      <c r="AE1667" s="62" t="n">
        <f aca="false">MAX(AW1667,H1667)</f>
        <v>1</v>
      </c>
      <c r="AF1667" s="69"/>
      <c r="AG1667" s="62" t="n">
        <f aca="false">IF(LEFT(Cockpit!$C$5,1)="A",H1667,IF(Parameter!$E$30="MAX-Bestand",IF(CI1667=1,CJ1667,IF(LEFT(Cockpit!$C$5,1)="B",AM1667,MAX(AM1667,H1667))),ROUNDUP(AK1667,0)))</f>
        <v>1</v>
      </c>
      <c r="AH1667" s="62" t="n">
        <f aca="false">IF(CA1667=1,0,ROUNDUP(AG1667/BZ1667,0))</f>
        <v>1</v>
      </c>
      <c r="AI1667" s="64" t="n">
        <f aca="false">IF(CR1667&gt;0,CR1667*MAX(1,AG1667/X1667),IF(CA1667=1,IF(AG1667&lt;=0,0,CE1667*MAX(1,IF(H1667&gt;0,AG1667/H1667,1))),IF(R1667&gt;0,AH1667/R1667,0))/MAX(0.1,N(Parameter!$M$21)))</f>
        <v>0.0833333333333333</v>
      </c>
      <c r="AJ1667" s="62" t="n">
        <f aca="false">AI1667*CC1667</f>
        <v>12.0833333333333</v>
      </c>
      <c r="AK1667" s="63" t="n">
        <f aca="false">IF(LEFT(Cockpit!$C$5,1)="A",H1667,IF(CI1667=1,(CL1667+CJ1667)/2,IF(LEFT(Cockpit!$C$5,1)="B",(CL1667+AM1667)/2,MAX((CL1667+AM1667)/2,H1667))))</f>
        <v>1</v>
      </c>
      <c r="AL1667" s="62" t="n">
        <f aca="false">AK1667*G1667</f>
        <v>17553.7</v>
      </c>
      <c r="AM1667" s="62" t="n">
        <f aca="false">ROUNDUP(CL1667+MAX(CM1667,2*(J1667/IF(CH1667&gt;0,CH1667,MAX(0.1,N(Cockpit!$C$6)))-CL1667)),0)</f>
        <v>1</v>
      </c>
      <c r="AN1667" s="63" t="n">
        <f aca="false">IF(AJ1667&gt;0,J1667/AJ1667,-1)</f>
        <v>0</v>
      </c>
      <c r="AO1667" s="63" t="n">
        <f aca="false">IF(AND(OR(CG1667="L1",CG1667="L23",CG1667="LIFT"),AJ1667&gt;0),SUMIFS($AJ$7:$AJ$1843,$CG$7:$CG$1843,CG1667,$AN$7:$AN$1843,"&gt;"&amp;AN1667)+SUMIFS($AJ$7:$AJ$1843,$CG$7:$CG$1843,CG1667,$AN$7:$AN$1843,AN1667,$BX$7:$BX$1843,"&lt;="&amp;BX1667),"")</f>
        <v>31429.9217602078</v>
      </c>
      <c r="AP1667" s="70" t="n">
        <f aca="false">IF(AO1667="",0,MAX(0,MIN(1,(IF(CG1667="L1",Parameter!$H$5,IF(CG1667="L23",Parameter!$H$6+Parameter!$H$7,Parameter!$H$5+Parameter!$H$6+Parameter!$H$7))-(AO1667-AJ1667))/AJ1667)))</f>
        <v>1</v>
      </c>
      <c r="AQ1667" s="62" t="n">
        <f aca="false">IF(LEFT(Cockpit!$I$5,1)="A",H1667,IF(Parameter!$E$30="MAX-Bestand",IF(CI1667=1,CJ1667,IF(LEFT(Cockpit!$I$5,1)="B",AW1667,MAX(AW1667,H1667))),ROUNDUP(AU1667,0)))</f>
        <v>1</v>
      </c>
      <c r="AR1667" s="62" t="n">
        <f aca="false">IF(CA1667=1,0,ROUNDUP(AQ1667/BZ1667,0))</f>
        <v>1</v>
      </c>
      <c r="AS1667" s="64" t="n">
        <f aca="false">IF(CR1667&gt;0,CR1667*MAX(1,AQ1667/X1667),IF(CA1667=1,IF(AQ1667&lt;=0,0,CE1667*MAX(1,IF(H1667&gt;0,AQ1667/H1667,1))),IF(R1667&gt;0,AR1667/R1667,0))/MAX(0.1,N(Parameter!$M$21)))</f>
        <v>0.0833333333333333</v>
      </c>
      <c r="AT1667" s="62" t="n">
        <f aca="false">AS1667*CC1667</f>
        <v>12.0833333333333</v>
      </c>
      <c r="AU1667" s="63" t="n">
        <f aca="false">IF(LEFT(Cockpit!$I$5,1)="A",H1667,IF(CI1667=1,(CL1667+CJ1667)/2,IF(LEFT(Cockpit!$I$5,1)="B",(CL1667+AW1667)/2,MAX((CL1667+AW1667)/2,H1667))))</f>
        <v>1</v>
      </c>
      <c r="AV1667" s="62" t="n">
        <f aca="false">AU1667*G1667</f>
        <v>17553.7</v>
      </c>
      <c r="AW1667" s="62" t="n">
        <f aca="false">ROUNDUP(CL1667+MAX(CM1667,2*(J1667/IF(CH1667&gt;0,CH1667,MAX(0.1,N(Cockpit!$I$6)))-CL1667)),0)</f>
        <v>1</v>
      </c>
      <c r="AX1667" s="63" t="n">
        <f aca="false">IF(AT1667&gt;0,J1667/AT1667,-1)</f>
        <v>0</v>
      </c>
      <c r="AY1667" s="63" t="n">
        <f aca="false">IF(AND(OR(CG1667="L1",CG1667="L23",CG1667="LIFT"),AT1667&gt;0),SUMIFS($AT$7:$AT$1843,$CG$7:$CG$1843,CG1667,$AX$7:$AX$1843,"&gt;"&amp;AX1667)+SUMIFS($AT$7:$AT$1843,$CG$7:$CG$1843,CG1667,$AX$7:$AX$1843,AX1667,$BX$7:$BX$1843,"&lt;="&amp;BX1667),"")</f>
        <v>37902.1699907908</v>
      </c>
      <c r="AZ1667" s="70" t="n">
        <f aca="false">IF(AY1667="",0,MAX(0,MIN(1,(IF(CG1667="L1",Parameter!$H$5,IF(CG1667="L23",Parameter!$H$6+Parameter!$H$7,Parameter!$H$5+Parameter!$H$6+Parameter!$H$7))-(AY1667-AT1667))/AT1667)))</f>
        <v>0</v>
      </c>
      <c r="BA1667" s="62" t="n">
        <f aca="false">IF(LEFT(Cockpit!$O$5,1)="A",H1667,IF(Parameter!$E$30="MAX-Bestand",IF(CI1667=1,CJ1667,IF(LEFT(Cockpit!$O$5,1)="B",BG1667,MAX(BG1667,H1667))),ROUNDUP(BE1667,0)))</f>
        <v>1</v>
      </c>
      <c r="BB1667" s="62" t="n">
        <f aca="false">IF(CA1667=1,0,ROUNDUP(BA1667/BZ1667,0))</f>
        <v>1</v>
      </c>
      <c r="BC1667" s="64" t="n">
        <f aca="false">IF(CR1667&gt;0,CR1667*MAX(1,BA1667/X1667),IF(CA1667=1,IF(BA1667&lt;=0,0,CE1667*MAX(1,IF(H1667&gt;0,BA1667/H1667,1))),IF(R1667&gt;0,BB1667/R1667,0))/MAX(0.1,N(Parameter!$M$21)))</f>
        <v>0.0833333333333333</v>
      </c>
      <c r="BD1667" s="62" t="n">
        <f aca="false">BC1667*CC1667</f>
        <v>12.0833333333333</v>
      </c>
      <c r="BE1667" s="63" t="n">
        <f aca="false">IF(LEFT(Cockpit!$O$5,1)="A",H1667,IF(CI1667=1,(CL1667+CJ1667)/2,IF(LEFT(Cockpit!$O$5,1)="B",(CL1667+BG1667)/2,MAX((CL1667+BG1667)/2,H1667))))</f>
        <v>0.5</v>
      </c>
      <c r="BF1667" s="62" t="n">
        <f aca="false">BE1667*G1667</f>
        <v>8776.85</v>
      </c>
      <c r="BG1667" s="62" t="n">
        <f aca="false">ROUNDUP(CL1667+MAX(CM1667,2*(J1667/IF(CH1667&gt;0,CH1667,MAX(0.1,N(Cockpit!$O$6)))-CL1667)),0)</f>
        <v>1</v>
      </c>
      <c r="BH1667" s="63" t="n">
        <f aca="false">IF(BD1667&gt;0,J1667/BD1667,-1)</f>
        <v>0</v>
      </c>
      <c r="BI1667" s="63" t="n">
        <f aca="false">IF(AND(OR(CG1667="L1",CG1667="L23",CG1667="LIFT"),BD1667&gt;0),SUMIFS($BD$7:$BD$1843,$CG$7:$CG$1843,CG1667,$BH$7:$BH$1843,"&gt;"&amp;BH1667)+SUMIFS($BD$7:$BD$1843,$CG$7:$CG$1843,CG1667,$BH$7:$BH$1843,BH1667,$BX$7:$BX$1843,"&lt;="&amp;BX1667),"")</f>
        <v>31811.6112663231</v>
      </c>
      <c r="BJ1667" s="70" t="n">
        <f aca="false">IF(BI1667="",0,MAX(0,MIN(1,(IF(CG1667="L1",Parameter!$H$5,IF(CG1667="L23",Parameter!$H$6+Parameter!$H$7,Parameter!$H$5+Parameter!$H$6+Parameter!$H$7))-(BI1667-BD1667))/BD1667)))</f>
        <v>1</v>
      </c>
      <c r="BK1667" s="60" t="str">
        <f aca="false">IF(AJ1667&lt;=0,"",IF(CG1667="Aussen","Aussenlager",IF(CG1667="-","Nicht im Lift",IF(AP1667&gt;=1,"Lift",IF(AP1667&lt;=0,"Aussenlager","teilweise")))))</f>
        <v>Lift</v>
      </c>
      <c r="BL1667" s="60" t="str">
        <f aca="false">IF(AT1667&lt;=0,"",IF(CG1667="Aussen","Aussenlager",IF(CG1667="-","Nicht im Lift",IF(AZ1667&gt;=1,"Lift",IF(AZ1667&lt;=0,"Aussenlager","teilweise")))))</f>
        <v>Aussenlager</v>
      </c>
      <c r="BM1667" s="60" t="str">
        <f aca="false">IF(BD1667&lt;=0,"",IF(CG1667="Aussen","Aussenlager",IF(CG1667="-","Nicht im Lift",IF(BJ1667&gt;=1,"Lift",IF(BJ1667&lt;=0,"Aussenlager","teilweise")))))</f>
        <v>Lift</v>
      </c>
      <c r="BN1667" s="60" t="str">
        <f aca="false">IF(A1667="","",IF(BW1667=1,"Neu; ","")&amp;IF(AND(BW1667=0,BR1667&lt;0),"negativer Bestand (Export "&amp;BR1667&amp;"); ","")&amp;IF(J1667&lt;=0,"Kein Verbrauch; ","")&amp;IF(CR1667&gt;0,"Lift "&amp;W1667&amp;" lt. Liftbericht (Fach "&amp;X1667&amp;" Stk); ",IF(CB1667=1,"Gebinde geschätzt ("&amp;T1667&amp;"); ",IF(CA1667=1,"Lose – Tablare geschätzt; ","")))&amp;IF(H1667&gt;AW1667,"Überbestand "&amp;ROUND(H1667-AW1667,0)&amp;" Stk / CHF "&amp;ROUND((H1667-AW1667)*G1667,0)&amp;"; ","")&amp;IF(AND(CI1667=1,CJ1667&lt;CK1667),"MAX &lt; MB+LG; ","")&amp;IF(AND(CQ1667&gt;0,CP1667*10&gt;CQ1667),"zu hoch für Tablar; ","")&amp;IF(AND(BW1667=0,OR(CI1667=1,AB1667&lt;&gt;"",U1667&lt;&gt;"",V1667&lt;&gt;"",AC1667&lt;&gt;"")),"manuell übersteuert; ","")&amp;IF(AND(CA1667=0,R1667=0),"Gebinde unbekannt / Stellmass fehlt; ","")&amp;IF(AND(CA1667=0,N(V1667)&lt;=0,N(Q1667)&lt;=0),"Menge pro Gebinde fehlt (Ist = 1 Gebinde); ","")&amp;BV1667)</f>
        <v>Kein Verbrauch; Gebinde geschätzt (Mittel); Menge pro Gebinde fehlt (Ist = 1 Gebinde); nur im Artikelstamm (Bestand 23.06.2026)</v>
      </c>
      <c r="BO1667" s="60"/>
      <c r="BP1667" s="60"/>
      <c r="BQ1667" s="67"/>
      <c r="BR1667" s="62" t="n">
        <v>1</v>
      </c>
      <c r="BS1667" s="62" t="n">
        <v>0</v>
      </c>
      <c r="BT1667" s="61" t="n">
        <v>0</v>
      </c>
      <c r="BU1667" s="62" t="n">
        <v>0</v>
      </c>
      <c r="BV1667" s="60" t="s">
        <v>2617</v>
      </c>
      <c r="BW1667" s="65" t="n">
        <v>0</v>
      </c>
      <c r="BX1667" s="65" t="n">
        <v>1667</v>
      </c>
      <c r="BY1667" s="60" t="str">
        <f aca="false">IF(U1667&lt;&gt;"",UPPER(TRIM(U1667)),IF(CB1667=1,UPPER(VLOOKUP(T1667,Parameter!$I$27:$K$29,2,0)),IF(P1667="","LOSE",P1667)))</f>
        <v>S61</v>
      </c>
      <c r="BZ1667" s="62" t="n">
        <f aca="false">IF(BY1667="LOSE",1,IF(N(V1667)&gt;0,V1667,IF(CB1667=1,MAX(1,N(VLOOKUP(T1667,Parameter!$I$27:$K$29,3,0)),H1667,N(N1667)),IF(N(Q1667)&gt;0,Q1667,MAX(1,H1667)))))</f>
        <v>4</v>
      </c>
      <c r="CA1667" s="65" t="n">
        <f aca="false">IF(BY1667="LOSE",1,0)</f>
        <v>0</v>
      </c>
      <c r="CB1667" s="65" t="n">
        <f aca="false">IF(AND(U1667="",OR(P1667="",P1667="LOSE"),T1667&lt;&gt;"",N(S1667)&lt;=0,ISNUMBER(MATCH(T1667,Parameter!$I$27:$I$29,0))),1,0)</f>
        <v>1</v>
      </c>
      <c r="CC1667" s="65" t="n">
        <f aca="false">IF(CR1667&gt;0,INDEX(Parameter!$H$5:$H$7,W1667)/INDEX(Parameter!$E$5:$E$7,W1667),IF(AND(CA1667=0,N(IFERROR(VLOOKUP(BY1667,'Gebinde-Kategorie'!$A$5:$N$45,14,0),0))&gt;0),VLOOKUP(BY1667,'Gebinde-Kategorie'!$A$5:$N$45,14,0)*10+Parameter!$M$23,Parameter!$M$24))</f>
        <v>145</v>
      </c>
      <c r="CD1667" s="60" t="str">
        <f aca="false">IF(AND(Parameter!$B$19="Ja",E1667&lt;&gt;"",ISNUMBER(MATCH(E1667,Parameter!$I$35:$I$52,0))),VLOOKUP(E1667,Parameter!$I$35:$J$52,2,0),IFERROR(VLOOKUP(D1667,Parameter!$A$35:$C$64,2,0),"Nein"))</f>
        <v>2+3</v>
      </c>
      <c r="CE1667" s="64" t="n">
        <f aca="false">IF(CA1667=0,0,IF(N(S1667)&gt;0,S1667,IFERROR(VLOOKUP(D1667,Parameter!$A$35:$C$64,3,0)+0,0)))</f>
        <v>0</v>
      </c>
      <c r="CF1667" s="60" t="n">
        <f aca="false">IF(AB1667&lt;&gt;"",AB1667,AA1667)</f>
        <v>3</v>
      </c>
      <c r="CG1667" s="60" t="str">
        <f aca="false">IF(OR(CF1667=1,CF1667=2,CF1667=3),IF(Parameter!$E$27="Ja","LIFT",IF(CF1667=1,"L1","L23")),IF(CF1667="Aussen","Aussen","-"))</f>
        <v>LIFT</v>
      </c>
      <c r="CH1667" s="71" t="n">
        <f aca="false">IF(N(AC1667)&gt;0,AC1667,0)</f>
        <v>0</v>
      </c>
      <c r="CI1667" s="65" t="n">
        <f aca="false">IF(ISNUMBER(AF1667),1,0)</f>
        <v>0</v>
      </c>
      <c r="CJ1667" s="62" t="n">
        <f aca="false">N(AF1667)</f>
        <v>0</v>
      </c>
      <c r="CK1667" s="62" t="n">
        <f aca="false">N(M1667)+N(N1667)</f>
        <v>1</v>
      </c>
      <c r="CL1667" s="62" t="n">
        <f aca="false">N(M1667)</f>
        <v>0</v>
      </c>
      <c r="CM1667" s="62" t="n">
        <f aca="false">N(N1667)</f>
        <v>1</v>
      </c>
      <c r="CN1667" s="62" t="n">
        <f aca="false">ROUNDUP(H1667/BZ1667,0)</f>
        <v>1</v>
      </c>
      <c r="CO1667" s="62" t="n">
        <f aca="false">ROUNDUP(CJ1667/BZ1667,0)</f>
        <v>0</v>
      </c>
      <c r="CP1667" s="65" t="n">
        <f aca="false">IF(CA1667=1,0,IFERROR(VLOOKUP(BY1667,'Gebinde-Kategorie'!$A$5:$N$45,5,0)+0,0))</f>
        <v>11</v>
      </c>
      <c r="CQ1667" s="65" t="n">
        <f aca="false">IFERROR(IF(OR(CF1667=1,CF1667=2,CF1667=3),N(INDEX(Parameter!$I$5:$I$7,CF1667)),0),0)</f>
        <v>0</v>
      </c>
      <c r="CR1667" s="64" t="n">
        <f aca="false">IF(AND(Parameter!$B$21="Ja",ISNUMBER(W1667),N(X1667)&gt;0),IFERROR(N(INDEX(Parameter!$L$5:$L$7,W1667))*INDEX(Parameter!$E$5:$E$7,W1667)*X1667/SUMIFS($X$7:$X$1843,$W$7:$W$1843,W1667),0),0)</f>
        <v>0</v>
      </c>
      <c r="CS1667" s="62" t="n">
        <f aca="false">IF(AND(OR(CG1667="L1",CG1667="L23",CG1667="LIFT"),H1667&gt;0),CC1667*IF(CR1667&gt;0,CR1667*MAX(1,H1667/X1667),IF(CA1667=1,CE1667,IF(R1667&gt;0,CN1667/R1667,0))/MAX(0.1,N(Parameter!$M$21))),"")</f>
        <v>12.0833333333333</v>
      </c>
      <c r="CT1667" s="64" t="n">
        <f aca="false">IF(CS1667="","",J1667/H1667)</f>
        <v>0</v>
      </c>
      <c r="CU1667" s="62" t="n">
        <f aca="false">IF(CS1667="","",H1667*G1667)</f>
        <v>17553.7</v>
      </c>
      <c r="CV1667" s="63" t="n">
        <f aca="false">IF(CS1667="","",(CL1667+ROUNDUP(CL1667+MAX(CM1667,2*(J1667/MAX(0.1,N(Einkauf!$C$6))-CL1667)),0))/2)</f>
        <v>0.5</v>
      </c>
      <c r="CW1667" s="62" t="n">
        <f aca="false">IF(CS1667="","",MAX(0,H1667-CV1667)*G1667)</f>
        <v>8776.85</v>
      </c>
      <c r="CX1667" s="62" t="n">
        <f aca="false">IF(CS1667="","",CS1667*MAX(0,1-CV1667/H1667))</f>
        <v>6.04166666666667</v>
      </c>
      <c r="CY1667" s="64" t="n">
        <f aca="false">IF(CS1667="","",PERCENTRANK($CS$7:$CS$1843,CS1667)+PERCENTRANK($CU$7:$CU$1843,CU1667)+1-PERCENTRANK($CT$7:$CT$1843,CT1667))</f>
        <v>2.637</v>
      </c>
      <c r="CZ1667" s="72" t="n">
        <f aca="false">IF(CS1667="","",CHOOSE(MATCH(Einkauf!$C$5,Parameter!$G$23:$G$27,0),CY1667,CS1667,CU1667,-CT1667,CW1667)+ROW()/1000000000)</f>
        <v>2.637001667</v>
      </c>
    </row>
    <row r="1668" customFormat="false" ht="15" hidden="false" customHeight="false" outlineLevel="0" collapsed="false">
      <c r="A1668" s="60" t="s">
        <v>2936</v>
      </c>
      <c r="B1668" s="60" t="s">
        <v>2937</v>
      </c>
      <c r="C1668" s="60" t="s">
        <v>206</v>
      </c>
      <c r="D1668" s="60" t="s">
        <v>215</v>
      </c>
      <c r="E1668" s="60" t="s">
        <v>227</v>
      </c>
      <c r="F1668" s="60"/>
      <c r="G1668" s="61" t="n">
        <v>168</v>
      </c>
      <c r="H1668" s="62" t="n">
        <f aca="false">MAX(0,IF(AND(Parameter!$B$21="Ja",ISNUMBER(Y1668)),Y1668,IF(Parameter!$B$20="Jahresanfang 2025 + Export",BS1668+BR1668,BR1668)))</f>
        <v>23</v>
      </c>
      <c r="I1668" s="62" t="n">
        <f aca="false">H1668*G1668</f>
        <v>3864</v>
      </c>
      <c r="J1668" s="62" t="n">
        <f aca="false">BU1668*Parameter!$B$18</f>
        <v>0</v>
      </c>
      <c r="K1668" s="63"/>
      <c r="L1668" s="64"/>
      <c r="M1668" s="62" t="n">
        <v>0</v>
      </c>
      <c r="N1668" s="62" t="n">
        <v>10</v>
      </c>
      <c r="O1668" s="65" t="n">
        <v>84</v>
      </c>
      <c r="P1668" s="60" t="s">
        <v>216</v>
      </c>
      <c r="Q1668" s="62" t="n">
        <v>9</v>
      </c>
      <c r="R1668" s="65" t="n">
        <f aca="false">IF(CA1668=1,0,IFERROR(VLOOKUP(BY1668,'Gebinde-Kategorie'!$A$5:$N$45,13,0)+0,0))</f>
        <v>6</v>
      </c>
      <c r="S1668" s="66"/>
      <c r="T1668" s="67"/>
      <c r="U1668" s="67"/>
      <c r="V1668" s="67"/>
      <c r="W1668" s="60"/>
      <c r="X1668" s="62"/>
      <c r="Y1668" s="62"/>
      <c r="Z1668" s="60" t="n">
        <v>2</v>
      </c>
      <c r="AA1668" s="60" t="n">
        <f aca="false">IF(A1668="","",IF(AND(Parameter!$B$21="Ja",ISNUMBER(W1668)),W1668,IF(AND(Parameter!$E$27="Ja",ISNUMBER(Z1668),CD1668&lt;&gt;"Nein"),Z1668,IF(CD1668="2+3",IF(ISNUMBER(SEARCH("grosser Artikel",BV1668)),2,IFERROR(VLOOKUP(BY1668,Parameter!$F$35:$G$64,2,0),2)),IF(OR(CD1668="Nein",CD1668=""),"-",CD1668)))))</f>
        <v>2</v>
      </c>
      <c r="AB1668" s="67"/>
      <c r="AC1668" s="68"/>
      <c r="AD1668" s="62" t="n">
        <f aca="false">AW1668</f>
        <v>10</v>
      </c>
      <c r="AE1668" s="62" t="n">
        <f aca="false">MAX(AW1668,H1668)</f>
        <v>23</v>
      </c>
      <c r="AF1668" s="69"/>
      <c r="AG1668" s="62" t="n">
        <f aca="false">IF(LEFT(Cockpit!$C$5,1)="A",H1668,IF(Parameter!$E$30="MAX-Bestand",IF(CI1668=1,CJ1668,IF(LEFT(Cockpit!$C$5,1)="B",AM1668,MAX(AM1668,H1668))),ROUNDUP(AK1668,0)))</f>
        <v>23</v>
      </c>
      <c r="AH1668" s="62" t="n">
        <f aca="false">IF(CA1668=1,0,ROUNDUP(AG1668/BZ1668,0))</f>
        <v>3</v>
      </c>
      <c r="AI1668" s="64" t="n">
        <f aca="false">IF(CR1668&gt;0,CR1668*MAX(1,AG1668/X1668),IF(CA1668=1,IF(AG1668&lt;=0,0,CE1668*MAX(1,IF(H1668&gt;0,AG1668/H1668,1))),IF(R1668&gt;0,AH1668/R1668,0))/MAX(0.1,N(Parameter!$M$21)))</f>
        <v>0.5</v>
      </c>
      <c r="AJ1668" s="62" t="n">
        <f aca="false">AI1668*CC1668</f>
        <v>117.5</v>
      </c>
      <c r="AK1668" s="63" t="n">
        <f aca="false">IF(LEFT(Cockpit!$C$5,1)="A",H1668,IF(CI1668=1,(CL1668+CJ1668)/2,IF(LEFT(Cockpit!$C$5,1)="B",(CL1668+AM1668)/2,MAX((CL1668+AM1668)/2,H1668))))</f>
        <v>23</v>
      </c>
      <c r="AL1668" s="62" t="n">
        <f aca="false">AK1668*G1668</f>
        <v>3864</v>
      </c>
      <c r="AM1668" s="62" t="n">
        <f aca="false">ROUNDUP(CL1668+MAX(CM1668,2*(J1668/IF(CH1668&gt;0,CH1668,MAX(0.1,N(Cockpit!$C$6)))-CL1668)),0)</f>
        <v>10</v>
      </c>
      <c r="AN1668" s="63" t="n">
        <f aca="false">IF(AJ1668&gt;0,J1668/AJ1668,-1)</f>
        <v>0</v>
      </c>
      <c r="AO1668" s="63" t="n">
        <f aca="false">IF(AND(OR(CG1668="L1",CG1668="L23",CG1668="LIFT"),AJ1668&gt;0),SUMIFS($AJ$7:$AJ$1843,$CG$7:$CG$1843,CG1668,$AN$7:$AN$1843,"&gt;"&amp;AN1668)+SUMIFS($AJ$7:$AJ$1843,$CG$7:$CG$1843,CG1668,$AN$7:$AN$1843,AN1668,$BX$7:$BX$1843,"&lt;="&amp;BX1668),"")</f>
        <v>31547.4217602078</v>
      </c>
      <c r="AP1668" s="70" t="n">
        <f aca="false">IF(AO1668="",0,MAX(0,MIN(1,(IF(CG1668="L1",Parameter!$H$5,IF(CG1668="L23",Parameter!$H$6+Parameter!$H$7,Parameter!$H$5+Parameter!$H$6+Parameter!$H$7))-(AO1668-AJ1668))/AJ1668)))</f>
        <v>1</v>
      </c>
      <c r="AQ1668" s="62" t="n">
        <f aca="false">IF(LEFT(Cockpit!$I$5,1)="A",H1668,IF(Parameter!$E$30="MAX-Bestand",IF(CI1668=1,CJ1668,IF(LEFT(Cockpit!$I$5,1)="B",AW1668,MAX(AW1668,H1668))),ROUNDUP(AU1668,0)))</f>
        <v>23</v>
      </c>
      <c r="AR1668" s="62" t="n">
        <f aca="false">IF(CA1668=1,0,ROUNDUP(AQ1668/BZ1668,0))</f>
        <v>3</v>
      </c>
      <c r="AS1668" s="64" t="n">
        <f aca="false">IF(CR1668&gt;0,CR1668*MAX(1,AQ1668/X1668),IF(CA1668=1,IF(AQ1668&lt;=0,0,CE1668*MAX(1,IF(H1668&gt;0,AQ1668/H1668,1))),IF(R1668&gt;0,AR1668/R1668,0))/MAX(0.1,N(Parameter!$M$21)))</f>
        <v>0.5</v>
      </c>
      <c r="AT1668" s="62" t="n">
        <f aca="false">AS1668*CC1668</f>
        <v>117.5</v>
      </c>
      <c r="AU1668" s="63" t="n">
        <f aca="false">IF(LEFT(Cockpit!$I$5,1)="A",H1668,IF(CI1668=1,(CL1668+CJ1668)/2,IF(LEFT(Cockpit!$I$5,1)="B",(CL1668+AW1668)/2,MAX((CL1668+AW1668)/2,H1668))))</f>
        <v>23</v>
      </c>
      <c r="AV1668" s="62" t="n">
        <f aca="false">AU1668*G1668</f>
        <v>3864</v>
      </c>
      <c r="AW1668" s="62" t="n">
        <f aca="false">ROUNDUP(CL1668+MAX(CM1668,2*(J1668/IF(CH1668&gt;0,CH1668,MAX(0.1,N(Cockpit!$I$6)))-CL1668)),0)</f>
        <v>10</v>
      </c>
      <c r="AX1668" s="63" t="n">
        <f aca="false">IF(AT1668&gt;0,J1668/AT1668,-1)</f>
        <v>0</v>
      </c>
      <c r="AY1668" s="63" t="n">
        <f aca="false">IF(AND(OR(CG1668="L1",CG1668="L23",CG1668="LIFT"),AT1668&gt;0),SUMIFS($AT$7:$AT$1843,$CG$7:$CG$1843,CG1668,$AX$7:$AX$1843,"&gt;"&amp;AX1668)+SUMIFS($AT$7:$AT$1843,$CG$7:$CG$1843,CG1668,$AX$7:$AX$1843,AX1668,$BX$7:$BX$1843,"&lt;="&amp;BX1668),"")</f>
        <v>38019.6699907908</v>
      </c>
      <c r="AZ1668" s="70" t="n">
        <f aca="false">IF(AY1668="",0,MAX(0,MIN(1,(IF(CG1668="L1",Parameter!$H$5,IF(CG1668="L23",Parameter!$H$6+Parameter!$H$7,Parameter!$H$5+Parameter!$H$6+Parameter!$H$7))-(AY1668-AT1668))/AT1668)))</f>
        <v>0</v>
      </c>
      <c r="BA1668" s="62" t="n">
        <f aca="false">IF(LEFT(Cockpit!$O$5,1)="A",H1668,IF(Parameter!$E$30="MAX-Bestand",IF(CI1668=1,CJ1668,IF(LEFT(Cockpit!$O$5,1)="B",BG1668,MAX(BG1668,H1668))),ROUNDUP(BE1668,0)))</f>
        <v>5</v>
      </c>
      <c r="BB1668" s="62" t="n">
        <f aca="false">IF(CA1668=1,0,ROUNDUP(BA1668/BZ1668,0))</f>
        <v>1</v>
      </c>
      <c r="BC1668" s="64" t="n">
        <f aca="false">IF(CR1668&gt;0,CR1668*MAX(1,BA1668/X1668),IF(CA1668=1,IF(BA1668&lt;=0,0,CE1668*MAX(1,IF(H1668&gt;0,BA1668/H1668,1))),IF(R1668&gt;0,BB1668/R1668,0))/MAX(0.1,N(Parameter!$M$21)))</f>
        <v>0.166666666666667</v>
      </c>
      <c r="BD1668" s="62" t="n">
        <f aca="false">BC1668*CC1668</f>
        <v>39.1666666666667</v>
      </c>
      <c r="BE1668" s="63" t="n">
        <f aca="false">IF(LEFT(Cockpit!$O$5,1)="A",H1668,IF(CI1668=1,(CL1668+CJ1668)/2,IF(LEFT(Cockpit!$O$5,1)="B",(CL1668+BG1668)/2,MAX((CL1668+BG1668)/2,H1668))))</f>
        <v>5</v>
      </c>
      <c r="BF1668" s="62" t="n">
        <f aca="false">BE1668*G1668</f>
        <v>840</v>
      </c>
      <c r="BG1668" s="62" t="n">
        <f aca="false">ROUNDUP(CL1668+MAX(CM1668,2*(J1668/IF(CH1668&gt;0,CH1668,MAX(0.1,N(Cockpit!$O$6)))-CL1668)),0)</f>
        <v>10</v>
      </c>
      <c r="BH1668" s="63" t="n">
        <f aca="false">IF(BD1668&gt;0,J1668/BD1668,-1)</f>
        <v>0</v>
      </c>
      <c r="BI1668" s="63" t="n">
        <f aca="false">IF(AND(OR(CG1668="L1",CG1668="L23",CG1668="LIFT"),BD1668&gt;0),SUMIFS($BD$7:$BD$1843,$CG$7:$CG$1843,CG1668,$BH$7:$BH$1843,"&gt;"&amp;BH1668)+SUMIFS($BD$7:$BD$1843,$CG$7:$CG$1843,CG1668,$BH$7:$BH$1843,BH1668,$BX$7:$BX$1843,"&lt;="&amp;BX1668),"")</f>
        <v>31850.7779329898</v>
      </c>
      <c r="BJ1668" s="70" t="n">
        <f aca="false">IF(BI1668="",0,MAX(0,MIN(1,(IF(CG1668="L1",Parameter!$H$5,IF(CG1668="L23",Parameter!$H$6+Parameter!$H$7,Parameter!$H$5+Parameter!$H$6+Parameter!$H$7))-(BI1668-BD1668))/BD1668)))</f>
        <v>1</v>
      </c>
      <c r="BK1668" s="60" t="str">
        <f aca="false">IF(AJ1668&lt;=0,"",IF(CG1668="Aussen","Aussenlager",IF(CG1668="-","Nicht im Lift",IF(AP1668&gt;=1,"Lift",IF(AP1668&lt;=0,"Aussenlager","teilweise")))))</f>
        <v>Lift</v>
      </c>
      <c r="BL1668" s="60" t="str">
        <f aca="false">IF(AT1668&lt;=0,"",IF(CG1668="Aussen","Aussenlager",IF(CG1668="-","Nicht im Lift",IF(AZ1668&gt;=1,"Lift",IF(AZ1668&lt;=0,"Aussenlager","teilweise")))))</f>
        <v>Aussenlager</v>
      </c>
      <c r="BM1668" s="60" t="str">
        <f aca="false">IF(BD1668&lt;=0,"",IF(CG1668="Aussen","Aussenlager",IF(CG1668="-","Nicht im Lift",IF(BJ1668&gt;=1,"Lift",IF(BJ1668&lt;=0,"Aussenlager","teilweise")))))</f>
        <v>Lift</v>
      </c>
      <c r="BN1668" s="60" t="str">
        <f aca="false">IF(A1668="","",IF(BW1668=1,"Neu; ","")&amp;IF(AND(BW1668=0,BR1668&lt;0),"negativer Bestand (Export "&amp;BR1668&amp;"); ","")&amp;IF(J1668&lt;=0,"Kein Verbrauch; ","")&amp;IF(CR1668&gt;0,"Lift "&amp;W1668&amp;" lt. Liftbericht (Fach "&amp;X1668&amp;" Stk); ",IF(CB1668=1,"Gebinde geschätzt ("&amp;T1668&amp;"); ",IF(CA1668=1,"Lose – Tablare geschätzt; ","")))&amp;IF(H1668&gt;AW1668,"Überbestand "&amp;ROUND(H1668-AW1668,0)&amp;" Stk / CHF "&amp;ROUND((H1668-AW1668)*G1668,0)&amp;"; ","")&amp;IF(AND(CI1668=1,CJ1668&lt;CK1668),"MAX &lt; MB+LG; ","")&amp;IF(AND(CQ1668&gt;0,CP1668*10&gt;CQ1668),"zu hoch für Tablar; ","")&amp;IF(AND(BW1668=0,OR(CI1668=1,AB1668&lt;&gt;"",U1668&lt;&gt;"",V1668&lt;&gt;"",AC1668&lt;&gt;"")),"manuell übersteuert; ","")&amp;IF(AND(CA1668=0,R1668=0),"Gebinde unbekannt / Stellmass fehlt; ","")&amp;IF(AND(CA1668=0,N(V1668)&lt;=0,N(Q1668)&lt;=0),"Menge pro Gebinde fehlt (Ist = 1 Gebinde); ","")&amp;BV1668)</f>
        <v>Kein Verbrauch; Überbestand 13 Stk / CHF 2184; nur im Artikelstamm (Bestand 23.06.2026); Überbestand; grosser Artikel &amp; nicht im KTL</v>
      </c>
      <c r="BO1668" s="60"/>
      <c r="BP1668" s="60"/>
      <c r="BQ1668" s="67"/>
      <c r="BR1668" s="62" t="n">
        <v>23</v>
      </c>
      <c r="BS1668" s="62" t="n">
        <v>0</v>
      </c>
      <c r="BT1668" s="61" t="n">
        <v>0</v>
      </c>
      <c r="BU1668" s="62" t="n">
        <v>0</v>
      </c>
      <c r="BV1668" s="60" t="s">
        <v>2798</v>
      </c>
      <c r="BW1668" s="65" t="n">
        <v>0</v>
      </c>
      <c r="BX1668" s="65" t="n">
        <v>1668</v>
      </c>
      <c r="BY1668" s="60" t="str">
        <f aca="false">IF(U1668&lt;&gt;"",UPPER(TRIM(U1668)),IF(CB1668=1,UPPER(VLOOKUP(T1668,Parameter!$I$27:$K$29,2,0)),IF(P1668="","LOSE",P1668)))</f>
        <v>S71</v>
      </c>
      <c r="BZ1668" s="62" t="n">
        <f aca="false">IF(BY1668="LOSE",1,IF(N(V1668)&gt;0,V1668,IF(CB1668=1,MAX(1,N(VLOOKUP(T1668,Parameter!$I$27:$K$29,3,0)),H1668,N(N1668)),IF(N(Q1668)&gt;0,Q1668,MAX(1,H1668)))))</f>
        <v>9</v>
      </c>
      <c r="CA1668" s="65" t="n">
        <f aca="false">IF(BY1668="LOSE",1,0)</f>
        <v>0</v>
      </c>
      <c r="CB1668" s="65" t="n">
        <f aca="false">IF(AND(U1668="",OR(P1668="",P1668="LOSE"),T1668&lt;&gt;"",N(S1668)&lt;=0,ISNUMBER(MATCH(T1668,Parameter!$I$27:$I$29,0))),1,0)</f>
        <v>0</v>
      </c>
      <c r="CC1668" s="65" t="n">
        <f aca="false">IF(CR1668&gt;0,INDEX(Parameter!$H$5:$H$7,W1668)/INDEX(Parameter!$E$5:$E$7,W1668),IF(AND(CA1668=0,N(IFERROR(VLOOKUP(BY1668,'Gebinde-Kategorie'!$A$5:$N$45,14,0),0))&gt;0),VLOOKUP(BY1668,'Gebinde-Kategorie'!$A$5:$N$45,14,0)*10+Parameter!$M$23,Parameter!$M$24))</f>
        <v>235</v>
      </c>
      <c r="CD1668" s="60" t="str">
        <f aca="false">IF(AND(Parameter!$B$19="Ja",E1668&lt;&gt;"",ISNUMBER(MATCH(E1668,Parameter!$I$35:$I$52,0))),VLOOKUP(E1668,Parameter!$I$35:$J$52,2,0),IFERROR(VLOOKUP(D1668,Parameter!$A$35:$C$64,2,0),"Nein"))</f>
        <v>2+3</v>
      </c>
      <c r="CE1668" s="64" t="n">
        <f aca="false">IF(CA1668=0,0,IF(N(S1668)&gt;0,S1668,IFERROR(VLOOKUP(D1668,Parameter!$A$35:$C$64,3,0)+0,0)))</f>
        <v>0</v>
      </c>
      <c r="CF1668" s="60" t="n">
        <f aca="false">IF(AB1668&lt;&gt;"",AB1668,AA1668)</f>
        <v>2</v>
      </c>
      <c r="CG1668" s="60" t="str">
        <f aca="false">IF(OR(CF1668=1,CF1668=2,CF1668=3),IF(Parameter!$E$27="Ja","LIFT",IF(CF1668=1,"L1","L23")),IF(CF1668="Aussen","Aussen","-"))</f>
        <v>LIFT</v>
      </c>
      <c r="CH1668" s="71" t="n">
        <f aca="false">IF(N(AC1668)&gt;0,AC1668,0)</f>
        <v>0</v>
      </c>
      <c r="CI1668" s="65" t="n">
        <f aca="false">IF(ISNUMBER(AF1668),1,0)</f>
        <v>0</v>
      </c>
      <c r="CJ1668" s="62" t="n">
        <f aca="false">N(AF1668)</f>
        <v>0</v>
      </c>
      <c r="CK1668" s="62" t="n">
        <f aca="false">N(M1668)+N(N1668)</f>
        <v>10</v>
      </c>
      <c r="CL1668" s="62" t="n">
        <f aca="false">N(M1668)</f>
        <v>0</v>
      </c>
      <c r="CM1668" s="62" t="n">
        <f aca="false">N(N1668)</f>
        <v>10</v>
      </c>
      <c r="CN1668" s="62" t="n">
        <f aca="false">ROUNDUP(H1668/BZ1668,0)</f>
        <v>3</v>
      </c>
      <c r="CO1668" s="62" t="n">
        <f aca="false">ROUNDUP(CJ1668/BZ1668,0)</f>
        <v>0</v>
      </c>
      <c r="CP1668" s="65" t="n">
        <f aca="false">IF(CA1668=1,0,IFERROR(VLOOKUP(BY1668,'Gebinde-Kategorie'!$A$5:$N$45,5,0)+0,0))</f>
        <v>20</v>
      </c>
      <c r="CQ1668" s="65" t="n">
        <f aca="false">IFERROR(IF(OR(CF1668=1,CF1668=2,CF1668=3),N(INDEX(Parameter!$I$5:$I$7,CF1668)),0),0)</f>
        <v>0</v>
      </c>
      <c r="CR1668" s="64" t="n">
        <f aca="false">IF(AND(Parameter!$B$21="Ja",ISNUMBER(W1668),N(X1668)&gt;0),IFERROR(N(INDEX(Parameter!$L$5:$L$7,W1668))*INDEX(Parameter!$E$5:$E$7,W1668)*X1668/SUMIFS($X$7:$X$1843,$W$7:$W$1843,W1668),0),0)</f>
        <v>0</v>
      </c>
      <c r="CS1668" s="62" t="n">
        <f aca="false">IF(AND(OR(CG1668="L1",CG1668="L23",CG1668="LIFT"),H1668&gt;0),CC1668*IF(CR1668&gt;0,CR1668*MAX(1,H1668/X1668),IF(CA1668=1,CE1668,IF(R1668&gt;0,CN1668/R1668,0))/MAX(0.1,N(Parameter!$M$21))),"")</f>
        <v>117.5</v>
      </c>
      <c r="CT1668" s="64" t="n">
        <f aca="false">IF(CS1668="","",J1668/H1668)</f>
        <v>0</v>
      </c>
      <c r="CU1668" s="62" t="n">
        <f aca="false">IF(CS1668="","",H1668*G1668)</f>
        <v>3864</v>
      </c>
      <c r="CV1668" s="63" t="n">
        <f aca="false">IF(CS1668="","",(CL1668+ROUNDUP(CL1668+MAX(CM1668,2*(J1668/MAX(0.1,N(Einkauf!$C$6))-CL1668)),0))/2)</f>
        <v>5</v>
      </c>
      <c r="CW1668" s="62" t="n">
        <f aca="false">IF(CS1668="","",MAX(0,H1668-CV1668)*G1668)</f>
        <v>3024</v>
      </c>
      <c r="CX1668" s="62" t="n">
        <f aca="false">IF(CS1668="","",CS1668*MAX(0,1-CV1668/H1668))</f>
        <v>91.9565217391304</v>
      </c>
      <c r="CY1668" s="64" t="n">
        <f aca="false">IF(CS1668="","",PERCENTRANK($CS$7:$CS$1843,CS1668)+PERCENTRANK($CU$7:$CU$1843,CU1668)+1-PERCENTRANK($CT$7:$CT$1843,CT1668))</f>
        <v>2.838</v>
      </c>
      <c r="CZ1668" s="72" t="n">
        <f aca="false">IF(CS1668="","",CHOOSE(MATCH(Einkauf!$C$5,Parameter!$G$23:$G$27,0),CY1668,CS1668,CU1668,-CT1668,CW1668)+ROW()/1000000000)</f>
        <v>2.838001668</v>
      </c>
    </row>
    <row r="1669" customFormat="false" ht="15" hidden="false" customHeight="false" outlineLevel="0" collapsed="false">
      <c r="A1669" s="60" t="s">
        <v>2938</v>
      </c>
      <c r="B1669" s="60" t="s">
        <v>2939</v>
      </c>
      <c r="C1669" s="60" t="s">
        <v>206</v>
      </c>
      <c r="D1669" s="60" t="s">
        <v>215</v>
      </c>
      <c r="E1669" s="60" t="s">
        <v>227</v>
      </c>
      <c r="F1669" s="60"/>
      <c r="G1669" s="61" t="n">
        <v>291.88</v>
      </c>
      <c r="H1669" s="62" t="n">
        <f aca="false">MAX(0,IF(AND(Parameter!$B$21="Ja",ISNUMBER(Y1669)),Y1669,IF(Parameter!$B$20="Jahresanfang 2025 + Export",BS1669+BR1669,BR1669)))</f>
        <v>16</v>
      </c>
      <c r="I1669" s="62" t="n">
        <f aca="false">H1669*G1669</f>
        <v>4670.08</v>
      </c>
      <c r="J1669" s="62" t="n">
        <f aca="false">BU1669*Parameter!$B$18</f>
        <v>0</v>
      </c>
      <c r="K1669" s="63"/>
      <c r="L1669" s="64"/>
      <c r="M1669" s="62" t="n">
        <v>0</v>
      </c>
      <c r="N1669" s="62" t="n">
        <v>5</v>
      </c>
      <c r="O1669" s="65" t="n">
        <v>84</v>
      </c>
      <c r="P1669" s="60" t="s">
        <v>216</v>
      </c>
      <c r="Q1669" s="62" t="n">
        <v>6</v>
      </c>
      <c r="R1669" s="65" t="n">
        <f aca="false">IF(CA1669=1,0,IFERROR(VLOOKUP(BY1669,'Gebinde-Kategorie'!$A$5:$N$45,13,0)+0,0))</f>
        <v>6</v>
      </c>
      <c r="S1669" s="66"/>
      <c r="T1669" s="67"/>
      <c r="U1669" s="67"/>
      <c r="V1669" s="67"/>
      <c r="W1669" s="60"/>
      <c r="X1669" s="62"/>
      <c r="Y1669" s="62"/>
      <c r="Z1669" s="60" t="n">
        <v>2</v>
      </c>
      <c r="AA1669" s="60" t="n">
        <f aca="false">IF(A1669="","",IF(AND(Parameter!$B$21="Ja",ISNUMBER(W1669)),W1669,IF(AND(Parameter!$E$27="Ja",ISNUMBER(Z1669),CD1669&lt;&gt;"Nein"),Z1669,IF(CD1669="2+3",IF(ISNUMBER(SEARCH("grosser Artikel",BV1669)),2,IFERROR(VLOOKUP(BY1669,Parameter!$F$35:$G$64,2,0),2)),IF(OR(CD1669="Nein",CD1669=""),"-",CD1669)))))</f>
        <v>2</v>
      </c>
      <c r="AB1669" s="67"/>
      <c r="AC1669" s="68"/>
      <c r="AD1669" s="62" t="n">
        <f aca="false">AW1669</f>
        <v>5</v>
      </c>
      <c r="AE1669" s="62" t="n">
        <f aca="false">MAX(AW1669,H1669)</f>
        <v>16</v>
      </c>
      <c r="AF1669" s="69"/>
      <c r="AG1669" s="62" t="n">
        <f aca="false">IF(LEFT(Cockpit!$C$5,1)="A",H1669,IF(Parameter!$E$30="MAX-Bestand",IF(CI1669=1,CJ1669,IF(LEFT(Cockpit!$C$5,1)="B",AM1669,MAX(AM1669,H1669))),ROUNDUP(AK1669,0)))</f>
        <v>16</v>
      </c>
      <c r="AH1669" s="62" t="n">
        <f aca="false">IF(CA1669=1,0,ROUNDUP(AG1669/BZ1669,0))</f>
        <v>3</v>
      </c>
      <c r="AI1669" s="64" t="n">
        <f aca="false">IF(CR1669&gt;0,CR1669*MAX(1,AG1669/X1669),IF(CA1669=1,IF(AG1669&lt;=0,0,CE1669*MAX(1,IF(H1669&gt;0,AG1669/H1669,1))),IF(R1669&gt;0,AH1669/R1669,0))/MAX(0.1,N(Parameter!$M$21)))</f>
        <v>0.5</v>
      </c>
      <c r="AJ1669" s="62" t="n">
        <f aca="false">AI1669*CC1669</f>
        <v>117.5</v>
      </c>
      <c r="AK1669" s="63" t="n">
        <f aca="false">IF(LEFT(Cockpit!$C$5,1)="A",H1669,IF(CI1669=1,(CL1669+CJ1669)/2,IF(LEFT(Cockpit!$C$5,1)="B",(CL1669+AM1669)/2,MAX((CL1669+AM1669)/2,H1669))))</f>
        <v>16</v>
      </c>
      <c r="AL1669" s="62" t="n">
        <f aca="false">AK1669*G1669</f>
        <v>4670.08</v>
      </c>
      <c r="AM1669" s="62" t="n">
        <f aca="false">ROUNDUP(CL1669+MAX(CM1669,2*(J1669/IF(CH1669&gt;0,CH1669,MAX(0.1,N(Cockpit!$C$6)))-CL1669)),0)</f>
        <v>5</v>
      </c>
      <c r="AN1669" s="63" t="n">
        <f aca="false">IF(AJ1669&gt;0,J1669/AJ1669,-1)</f>
        <v>0</v>
      </c>
      <c r="AO1669" s="63" t="n">
        <f aca="false">IF(AND(OR(CG1669="L1",CG1669="L23",CG1669="LIFT"),AJ1669&gt;0),SUMIFS($AJ$7:$AJ$1843,$CG$7:$CG$1843,CG1669,$AN$7:$AN$1843,"&gt;"&amp;AN1669)+SUMIFS($AJ$7:$AJ$1843,$CG$7:$CG$1843,CG1669,$AN$7:$AN$1843,AN1669,$BX$7:$BX$1843,"&lt;="&amp;BX1669),"")</f>
        <v>31664.9217602078</v>
      </c>
      <c r="AP1669" s="70" t="n">
        <f aca="false">IF(AO1669="",0,MAX(0,MIN(1,(IF(CG1669="L1",Parameter!$H$5,IF(CG1669="L23",Parameter!$H$6+Parameter!$H$7,Parameter!$H$5+Parameter!$H$6+Parameter!$H$7))-(AO1669-AJ1669))/AJ1669)))</f>
        <v>1</v>
      </c>
      <c r="AQ1669" s="62" t="n">
        <f aca="false">IF(LEFT(Cockpit!$I$5,1)="A",H1669,IF(Parameter!$E$30="MAX-Bestand",IF(CI1669=1,CJ1669,IF(LEFT(Cockpit!$I$5,1)="B",AW1669,MAX(AW1669,H1669))),ROUNDUP(AU1669,0)))</f>
        <v>16</v>
      </c>
      <c r="AR1669" s="62" t="n">
        <f aca="false">IF(CA1669=1,0,ROUNDUP(AQ1669/BZ1669,0))</f>
        <v>3</v>
      </c>
      <c r="AS1669" s="64" t="n">
        <f aca="false">IF(CR1669&gt;0,CR1669*MAX(1,AQ1669/X1669),IF(CA1669=1,IF(AQ1669&lt;=0,0,CE1669*MAX(1,IF(H1669&gt;0,AQ1669/H1669,1))),IF(R1669&gt;0,AR1669/R1669,0))/MAX(0.1,N(Parameter!$M$21)))</f>
        <v>0.5</v>
      </c>
      <c r="AT1669" s="62" t="n">
        <f aca="false">AS1669*CC1669</f>
        <v>117.5</v>
      </c>
      <c r="AU1669" s="63" t="n">
        <f aca="false">IF(LEFT(Cockpit!$I$5,1)="A",H1669,IF(CI1669=1,(CL1669+CJ1669)/2,IF(LEFT(Cockpit!$I$5,1)="B",(CL1669+AW1669)/2,MAX((CL1669+AW1669)/2,H1669))))</f>
        <v>16</v>
      </c>
      <c r="AV1669" s="62" t="n">
        <f aca="false">AU1669*G1669</f>
        <v>4670.08</v>
      </c>
      <c r="AW1669" s="62" t="n">
        <f aca="false">ROUNDUP(CL1669+MAX(CM1669,2*(J1669/IF(CH1669&gt;0,CH1669,MAX(0.1,N(Cockpit!$I$6)))-CL1669)),0)</f>
        <v>5</v>
      </c>
      <c r="AX1669" s="63" t="n">
        <f aca="false">IF(AT1669&gt;0,J1669/AT1669,-1)</f>
        <v>0</v>
      </c>
      <c r="AY1669" s="63" t="n">
        <f aca="false">IF(AND(OR(CG1669="L1",CG1669="L23",CG1669="LIFT"),AT1669&gt;0),SUMIFS($AT$7:$AT$1843,$CG$7:$CG$1843,CG1669,$AX$7:$AX$1843,"&gt;"&amp;AX1669)+SUMIFS($AT$7:$AT$1843,$CG$7:$CG$1843,CG1669,$AX$7:$AX$1843,AX1669,$BX$7:$BX$1843,"&lt;="&amp;BX1669),"")</f>
        <v>38137.1699907908</v>
      </c>
      <c r="AZ1669" s="70" t="n">
        <f aca="false">IF(AY1669="",0,MAX(0,MIN(1,(IF(CG1669="L1",Parameter!$H$5,IF(CG1669="L23",Parameter!$H$6+Parameter!$H$7,Parameter!$H$5+Parameter!$H$6+Parameter!$H$7))-(AY1669-AT1669))/AT1669)))</f>
        <v>0</v>
      </c>
      <c r="BA1669" s="62" t="n">
        <f aca="false">IF(LEFT(Cockpit!$O$5,1)="A",H1669,IF(Parameter!$E$30="MAX-Bestand",IF(CI1669=1,CJ1669,IF(LEFT(Cockpit!$O$5,1)="B",BG1669,MAX(BG1669,H1669))),ROUNDUP(BE1669,0)))</f>
        <v>3</v>
      </c>
      <c r="BB1669" s="62" t="n">
        <f aca="false">IF(CA1669=1,0,ROUNDUP(BA1669/BZ1669,0))</f>
        <v>1</v>
      </c>
      <c r="BC1669" s="64" t="n">
        <f aca="false">IF(CR1669&gt;0,CR1669*MAX(1,BA1669/X1669),IF(CA1669=1,IF(BA1669&lt;=0,0,CE1669*MAX(1,IF(H1669&gt;0,BA1669/H1669,1))),IF(R1669&gt;0,BB1669/R1669,0))/MAX(0.1,N(Parameter!$M$21)))</f>
        <v>0.166666666666667</v>
      </c>
      <c r="BD1669" s="62" t="n">
        <f aca="false">BC1669*CC1669</f>
        <v>39.1666666666667</v>
      </c>
      <c r="BE1669" s="63" t="n">
        <f aca="false">IF(LEFT(Cockpit!$O$5,1)="A",H1669,IF(CI1669=1,(CL1669+CJ1669)/2,IF(LEFT(Cockpit!$O$5,1)="B",(CL1669+BG1669)/2,MAX((CL1669+BG1669)/2,H1669))))</f>
        <v>2.5</v>
      </c>
      <c r="BF1669" s="62" t="n">
        <f aca="false">BE1669*G1669</f>
        <v>729.7</v>
      </c>
      <c r="BG1669" s="62" t="n">
        <f aca="false">ROUNDUP(CL1669+MAX(CM1669,2*(J1669/IF(CH1669&gt;0,CH1669,MAX(0.1,N(Cockpit!$O$6)))-CL1669)),0)</f>
        <v>5</v>
      </c>
      <c r="BH1669" s="63" t="n">
        <f aca="false">IF(BD1669&gt;0,J1669/BD1669,-1)</f>
        <v>0</v>
      </c>
      <c r="BI1669" s="63" t="n">
        <f aca="false">IF(AND(OR(CG1669="L1",CG1669="L23",CG1669="LIFT"),BD1669&gt;0),SUMIFS($BD$7:$BD$1843,$CG$7:$CG$1843,CG1669,$BH$7:$BH$1843,"&gt;"&amp;BH1669)+SUMIFS($BD$7:$BD$1843,$CG$7:$CG$1843,CG1669,$BH$7:$BH$1843,BH1669,$BX$7:$BX$1843,"&lt;="&amp;BX1669),"")</f>
        <v>31889.9445996565</v>
      </c>
      <c r="BJ1669" s="70" t="n">
        <f aca="false">IF(BI1669="",0,MAX(0,MIN(1,(IF(CG1669="L1",Parameter!$H$5,IF(CG1669="L23",Parameter!$H$6+Parameter!$H$7,Parameter!$H$5+Parameter!$H$6+Parameter!$H$7))-(BI1669-BD1669))/BD1669)))</f>
        <v>1</v>
      </c>
      <c r="BK1669" s="60" t="str">
        <f aca="false">IF(AJ1669&lt;=0,"",IF(CG1669="Aussen","Aussenlager",IF(CG1669="-","Nicht im Lift",IF(AP1669&gt;=1,"Lift",IF(AP1669&lt;=0,"Aussenlager","teilweise")))))</f>
        <v>Lift</v>
      </c>
      <c r="BL1669" s="60" t="str">
        <f aca="false">IF(AT1669&lt;=0,"",IF(CG1669="Aussen","Aussenlager",IF(CG1669="-","Nicht im Lift",IF(AZ1669&gt;=1,"Lift",IF(AZ1669&lt;=0,"Aussenlager","teilweise")))))</f>
        <v>Aussenlager</v>
      </c>
      <c r="BM1669" s="60" t="str">
        <f aca="false">IF(BD1669&lt;=0,"",IF(CG1669="Aussen","Aussenlager",IF(CG1669="-","Nicht im Lift",IF(BJ1669&gt;=1,"Lift",IF(BJ1669&lt;=0,"Aussenlager","teilweise")))))</f>
        <v>Lift</v>
      </c>
      <c r="BN1669" s="60" t="str">
        <f aca="false">IF(A1669="","",IF(BW1669=1,"Neu; ","")&amp;IF(AND(BW1669=0,BR1669&lt;0),"negativer Bestand (Export "&amp;BR1669&amp;"); ","")&amp;IF(J1669&lt;=0,"Kein Verbrauch; ","")&amp;IF(CR1669&gt;0,"Lift "&amp;W1669&amp;" lt. Liftbericht (Fach "&amp;X1669&amp;" Stk); ",IF(CB1669=1,"Gebinde geschätzt ("&amp;T1669&amp;"); ",IF(CA1669=1,"Lose – Tablare geschätzt; ","")))&amp;IF(H1669&gt;AW1669,"Überbestand "&amp;ROUND(H1669-AW1669,0)&amp;" Stk / CHF "&amp;ROUND((H1669-AW1669)*G1669,0)&amp;"; ","")&amp;IF(AND(CI1669=1,CJ1669&lt;CK1669),"MAX &lt; MB+LG; ","")&amp;IF(AND(CQ1669&gt;0,CP1669*10&gt;CQ1669),"zu hoch für Tablar; ","")&amp;IF(AND(BW1669=0,OR(CI1669=1,AB1669&lt;&gt;"",U1669&lt;&gt;"",V1669&lt;&gt;"",AC1669&lt;&gt;"")),"manuell übersteuert; ","")&amp;IF(AND(CA1669=0,R1669=0),"Gebinde unbekannt / Stellmass fehlt; ","")&amp;IF(AND(CA1669=0,N(V1669)&lt;=0,N(Q1669)&lt;=0),"Menge pro Gebinde fehlt (Ist = 1 Gebinde); ","")&amp;BV1669)</f>
        <v>Kein Verbrauch; Überbestand 11 Stk / CHF 3211; nur im Artikelstamm (Bestand 23.06.2026); Überbestand; grosser Artikel &amp; nicht im KTL</v>
      </c>
      <c r="BO1669" s="60"/>
      <c r="BP1669" s="60"/>
      <c r="BQ1669" s="67"/>
      <c r="BR1669" s="62" t="n">
        <v>16</v>
      </c>
      <c r="BS1669" s="62" t="n">
        <v>0</v>
      </c>
      <c r="BT1669" s="61" t="n">
        <v>0</v>
      </c>
      <c r="BU1669" s="62" t="n">
        <v>0</v>
      </c>
      <c r="BV1669" s="60" t="s">
        <v>2798</v>
      </c>
      <c r="BW1669" s="65" t="n">
        <v>0</v>
      </c>
      <c r="BX1669" s="65" t="n">
        <v>1669</v>
      </c>
      <c r="BY1669" s="60" t="str">
        <f aca="false">IF(U1669&lt;&gt;"",UPPER(TRIM(U1669)),IF(CB1669=1,UPPER(VLOOKUP(T1669,Parameter!$I$27:$K$29,2,0)),IF(P1669="","LOSE",P1669)))</f>
        <v>S71</v>
      </c>
      <c r="BZ1669" s="62" t="n">
        <f aca="false">IF(BY1669="LOSE",1,IF(N(V1669)&gt;0,V1669,IF(CB1669=1,MAX(1,N(VLOOKUP(T1669,Parameter!$I$27:$K$29,3,0)),H1669,N(N1669)),IF(N(Q1669)&gt;0,Q1669,MAX(1,H1669)))))</f>
        <v>6</v>
      </c>
      <c r="CA1669" s="65" t="n">
        <f aca="false">IF(BY1669="LOSE",1,0)</f>
        <v>0</v>
      </c>
      <c r="CB1669" s="65" t="n">
        <f aca="false">IF(AND(U1669="",OR(P1669="",P1669="LOSE"),T1669&lt;&gt;"",N(S1669)&lt;=0,ISNUMBER(MATCH(T1669,Parameter!$I$27:$I$29,0))),1,0)</f>
        <v>0</v>
      </c>
      <c r="CC1669" s="65" t="n">
        <f aca="false">IF(CR1669&gt;0,INDEX(Parameter!$H$5:$H$7,W1669)/INDEX(Parameter!$E$5:$E$7,W1669),IF(AND(CA1669=0,N(IFERROR(VLOOKUP(BY1669,'Gebinde-Kategorie'!$A$5:$N$45,14,0),0))&gt;0),VLOOKUP(BY1669,'Gebinde-Kategorie'!$A$5:$N$45,14,0)*10+Parameter!$M$23,Parameter!$M$24))</f>
        <v>235</v>
      </c>
      <c r="CD1669" s="60" t="str">
        <f aca="false">IF(AND(Parameter!$B$19="Ja",E1669&lt;&gt;"",ISNUMBER(MATCH(E1669,Parameter!$I$35:$I$52,0))),VLOOKUP(E1669,Parameter!$I$35:$J$52,2,0),IFERROR(VLOOKUP(D1669,Parameter!$A$35:$C$64,2,0),"Nein"))</f>
        <v>2+3</v>
      </c>
      <c r="CE1669" s="64" t="n">
        <f aca="false">IF(CA1669=0,0,IF(N(S1669)&gt;0,S1669,IFERROR(VLOOKUP(D1669,Parameter!$A$35:$C$64,3,0)+0,0)))</f>
        <v>0</v>
      </c>
      <c r="CF1669" s="60" t="n">
        <f aca="false">IF(AB1669&lt;&gt;"",AB1669,AA1669)</f>
        <v>2</v>
      </c>
      <c r="CG1669" s="60" t="str">
        <f aca="false">IF(OR(CF1669=1,CF1669=2,CF1669=3),IF(Parameter!$E$27="Ja","LIFT",IF(CF1669=1,"L1","L23")),IF(CF1669="Aussen","Aussen","-"))</f>
        <v>LIFT</v>
      </c>
      <c r="CH1669" s="71" t="n">
        <f aca="false">IF(N(AC1669)&gt;0,AC1669,0)</f>
        <v>0</v>
      </c>
      <c r="CI1669" s="65" t="n">
        <f aca="false">IF(ISNUMBER(AF1669),1,0)</f>
        <v>0</v>
      </c>
      <c r="CJ1669" s="62" t="n">
        <f aca="false">N(AF1669)</f>
        <v>0</v>
      </c>
      <c r="CK1669" s="62" t="n">
        <f aca="false">N(M1669)+N(N1669)</f>
        <v>5</v>
      </c>
      <c r="CL1669" s="62" t="n">
        <f aca="false">N(M1669)</f>
        <v>0</v>
      </c>
      <c r="CM1669" s="62" t="n">
        <f aca="false">N(N1669)</f>
        <v>5</v>
      </c>
      <c r="CN1669" s="62" t="n">
        <f aca="false">ROUNDUP(H1669/BZ1669,0)</f>
        <v>3</v>
      </c>
      <c r="CO1669" s="62" t="n">
        <f aca="false">ROUNDUP(CJ1669/BZ1669,0)</f>
        <v>0</v>
      </c>
      <c r="CP1669" s="65" t="n">
        <f aca="false">IF(CA1669=1,0,IFERROR(VLOOKUP(BY1669,'Gebinde-Kategorie'!$A$5:$N$45,5,0)+0,0))</f>
        <v>20</v>
      </c>
      <c r="CQ1669" s="65" t="n">
        <f aca="false">IFERROR(IF(OR(CF1669=1,CF1669=2,CF1669=3),N(INDEX(Parameter!$I$5:$I$7,CF1669)),0),0)</f>
        <v>0</v>
      </c>
      <c r="CR1669" s="64" t="n">
        <f aca="false">IF(AND(Parameter!$B$21="Ja",ISNUMBER(W1669),N(X1669)&gt;0),IFERROR(N(INDEX(Parameter!$L$5:$L$7,W1669))*INDEX(Parameter!$E$5:$E$7,W1669)*X1669/SUMIFS($X$7:$X$1843,$W$7:$W$1843,W1669),0),0)</f>
        <v>0</v>
      </c>
      <c r="CS1669" s="62" t="n">
        <f aca="false">IF(AND(OR(CG1669="L1",CG1669="L23",CG1669="LIFT"),H1669&gt;0),CC1669*IF(CR1669&gt;0,CR1669*MAX(1,H1669/X1669),IF(CA1669=1,CE1669,IF(R1669&gt;0,CN1669/R1669,0))/MAX(0.1,N(Parameter!$M$21))),"")</f>
        <v>117.5</v>
      </c>
      <c r="CT1669" s="64" t="n">
        <f aca="false">IF(CS1669="","",J1669/H1669)</f>
        <v>0</v>
      </c>
      <c r="CU1669" s="62" t="n">
        <f aca="false">IF(CS1669="","",H1669*G1669)</f>
        <v>4670.08</v>
      </c>
      <c r="CV1669" s="63" t="n">
        <f aca="false">IF(CS1669="","",(CL1669+ROUNDUP(CL1669+MAX(CM1669,2*(J1669/MAX(0.1,N(Einkauf!$C$6))-CL1669)),0))/2)</f>
        <v>2.5</v>
      </c>
      <c r="CW1669" s="62" t="n">
        <f aca="false">IF(CS1669="","",MAX(0,H1669-CV1669)*G1669)</f>
        <v>3940.38</v>
      </c>
      <c r="CX1669" s="62" t="n">
        <f aca="false">IF(CS1669="","",CS1669*MAX(0,1-CV1669/H1669))</f>
        <v>99.140625</v>
      </c>
      <c r="CY1669" s="64" t="n">
        <f aca="false">IF(CS1669="","",PERCENTRANK($CS$7:$CS$1843,CS1669)+PERCENTRANK($CU$7:$CU$1843,CU1669)+1-PERCENTRANK($CT$7:$CT$1843,CT1669))</f>
        <v>2.859</v>
      </c>
      <c r="CZ1669" s="72" t="n">
        <f aca="false">IF(CS1669="","",CHOOSE(MATCH(Einkauf!$C$5,Parameter!$G$23:$G$27,0),CY1669,CS1669,CU1669,-CT1669,CW1669)+ROW()/1000000000)</f>
        <v>2.859001669</v>
      </c>
    </row>
    <row r="1670" customFormat="false" ht="15" hidden="false" customHeight="false" outlineLevel="0" collapsed="false">
      <c r="A1670" s="60" t="s">
        <v>2940</v>
      </c>
      <c r="B1670" s="60" t="s">
        <v>2937</v>
      </c>
      <c r="C1670" s="60" t="s">
        <v>206</v>
      </c>
      <c r="D1670" s="60" t="s">
        <v>215</v>
      </c>
      <c r="E1670" s="60" t="s">
        <v>227</v>
      </c>
      <c r="F1670" s="60"/>
      <c r="G1670" s="61" t="n">
        <v>292.31</v>
      </c>
      <c r="H1670" s="62" t="n">
        <f aca="false">MAX(0,IF(AND(Parameter!$B$21="Ja",ISNUMBER(Y1670)),Y1670,IF(Parameter!$B$20="Jahresanfang 2025 + Export",BS1670+BR1670,BR1670)))</f>
        <v>11</v>
      </c>
      <c r="I1670" s="62" t="n">
        <f aca="false">H1670*G1670</f>
        <v>3215.41</v>
      </c>
      <c r="J1670" s="62" t="n">
        <f aca="false">BU1670*Parameter!$B$18</f>
        <v>0</v>
      </c>
      <c r="K1670" s="63"/>
      <c r="L1670" s="64"/>
      <c r="M1670" s="62" t="n">
        <v>0</v>
      </c>
      <c r="N1670" s="62" t="n">
        <v>5</v>
      </c>
      <c r="O1670" s="65" t="n">
        <v>84</v>
      </c>
      <c r="P1670" s="60" t="s">
        <v>216</v>
      </c>
      <c r="Q1670" s="62" t="n">
        <v>5</v>
      </c>
      <c r="R1670" s="65" t="n">
        <f aca="false">IF(CA1670=1,0,IFERROR(VLOOKUP(BY1670,'Gebinde-Kategorie'!$A$5:$N$45,13,0)+0,0))</f>
        <v>6</v>
      </c>
      <c r="S1670" s="66"/>
      <c r="T1670" s="67"/>
      <c r="U1670" s="67"/>
      <c r="V1670" s="67"/>
      <c r="W1670" s="60"/>
      <c r="X1670" s="62"/>
      <c r="Y1670" s="62"/>
      <c r="Z1670" s="60" t="n">
        <v>2</v>
      </c>
      <c r="AA1670" s="60" t="n">
        <f aca="false">IF(A1670="","",IF(AND(Parameter!$B$21="Ja",ISNUMBER(W1670)),W1670,IF(AND(Parameter!$E$27="Ja",ISNUMBER(Z1670),CD1670&lt;&gt;"Nein"),Z1670,IF(CD1670="2+3",IF(ISNUMBER(SEARCH("grosser Artikel",BV1670)),2,IFERROR(VLOOKUP(BY1670,Parameter!$F$35:$G$64,2,0),2)),IF(OR(CD1670="Nein",CD1670=""),"-",CD1670)))))</f>
        <v>2</v>
      </c>
      <c r="AB1670" s="67"/>
      <c r="AC1670" s="68"/>
      <c r="AD1670" s="62" t="n">
        <f aca="false">AW1670</f>
        <v>5</v>
      </c>
      <c r="AE1670" s="62" t="n">
        <f aca="false">MAX(AW1670,H1670)</f>
        <v>11</v>
      </c>
      <c r="AF1670" s="69"/>
      <c r="AG1670" s="62" t="n">
        <f aca="false">IF(LEFT(Cockpit!$C$5,1)="A",H1670,IF(Parameter!$E$30="MAX-Bestand",IF(CI1670=1,CJ1670,IF(LEFT(Cockpit!$C$5,1)="B",AM1670,MAX(AM1670,H1670))),ROUNDUP(AK1670,0)))</f>
        <v>11</v>
      </c>
      <c r="AH1670" s="62" t="n">
        <f aca="false">IF(CA1670=1,0,ROUNDUP(AG1670/BZ1670,0))</f>
        <v>3</v>
      </c>
      <c r="AI1670" s="64" t="n">
        <f aca="false">IF(CR1670&gt;0,CR1670*MAX(1,AG1670/X1670),IF(CA1670=1,IF(AG1670&lt;=0,0,CE1670*MAX(1,IF(H1670&gt;0,AG1670/H1670,1))),IF(R1670&gt;0,AH1670/R1670,0))/MAX(0.1,N(Parameter!$M$21)))</f>
        <v>0.5</v>
      </c>
      <c r="AJ1670" s="62" t="n">
        <f aca="false">AI1670*CC1670</f>
        <v>117.5</v>
      </c>
      <c r="AK1670" s="63" t="n">
        <f aca="false">IF(LEFT(Cockpit!$C$5,1)="A",H1670,IF(CI1670=1,(CL1670+CJ1670)/2,IF(LEFT(Cockpit!$C$5,1)="B",(CL1670+AM1670)/2,MAX((CL1670+AM1670)/2,H1670))))</f>
        <v>11</v>
      </c>
      <c r="AL1670" s="62" t="n">
        <f aca="false">AK1670*G1670</f>
        <v>3215.41</v>
      </c>
      <c r="AM1670" s="62" t="n">
        <f aca="false">ROUNDUP(CL1670+MAX(CM1670,2*(J1670/IF(CH1670&gt;0,CH1670,MAX(0.1,N(Cockpit!$C$6)))-CL1670)),0)</f>
        <v>5</v>
      </c>
      <c r="AN1670" s="63" t="n">
        <f aca="false">IF(AJ1670&gt;0,J1670/AJ1670,-1)</f>
        <v>0</v>
      </c>
      <c r="AO1670" s="63" t="n">
        <f aca="false">IF(AND(OR(CG1670="L1",CG1670="L23",CG1670="LIFT"),AJ1670&gt;0),SUMIFS($AJ$7:$AJ$1843,$CG$7:$CG$1843,CG1670,$AN$7:$AN$1843,"&gt;"&amp;AN1670)+SUMIFS($AJ$7:$AJ$1843,$CG$7:$CG$1843,CG1670,$AN$7:$AN$1843,AN1670,$BX$7:$BX$1843,"&lt;="&amp;BX1670),"")</f>
        <v>31782.4217602078</v>
      </c>
      <c r="AP1670" s="70" t="n">
        <f aca="false">IF(AO1670="",0,MAX(0,MIN(1,(IF(CG1670="L1",Parameter!$H$5,IF(CG1670="L23",Parameter!$H$6+Parameter!$H$7,Parameter!$H$5+Parameter!$H$6+Parameter!$H$7))-(AO1670-AJ1670))/AJ1670)))</f>
        <v>1</v>
      </c>
      <c r="AQ1670" s="62" t="n">
        <f aca="false">IF(LEFT(Cockpit!$I$5,1)="A",H1670,IF(Parameter!$E$30="MAX-Bestand",IF(CI1670=1,CJ1670,IF(LEFT(Cockpit!$I$5,1)="B",AW1670,MAX(AW1670,H1670))),ROUNDUP(AU1670,0)))</f>
        <v>11</v>
      </c>
      <c r="AR1670" s="62" t="n">
        <f aca="false">IF(CA1670=1,0,ROUNDUP(AQ1670/BZ1670,0))</f>
        <v>3</v>
      </c>
      <c r="AS1670" s="64" t="n">
        <f aca="false">IF(CR1670&gt;0,CR1670*MAX(1,AQ1670/X1670),IF(CA1670=1,IF(AQ1670&lt;=0,0,CE1670*MAX(1,IF(H1670&gt;0,AQ1670/H1670,1))),IF(R1670&gt;0,AR1670/R1670,0))/MAX(0.1,N(Parameter!$M$21)))</f>
        <v>0.5</v>
      </c>
      <c r="AT1670" s="62" t="n">
        <f aca="false">AS1670*CC1670</f>
        <v>117.5</v>
      </c>
      <c r="AU1670" s="63" t="n">
        <f aca="false">IF(LEFT(Cockpit!$I$5,1)="A",H1670,IF(CI1670=1,(CL1670+CJ1670)/2,IF(LEFT(Cockpit!$I$5,1)="B",(CL1670+AW1670)/2,MAX((CL1670+AW1670)/2,H1670))))</f>
        <v>11</v>
      </c>
      <c r="AV1670" s="62" t="n">
        <f aca="false">AU1670*G1670</f>
        <v>3215.41</v>
      </c>
      <c r="AW1670" s="62" t="n">
        <f aca="false">ROUNDUP(CL1670+MAX(CM1670,2*(J1670/IF(CH1670&gt;0,CH1670,MAX(0.1,N(Cockpit!$I$6)))-CL1670)),0)</f>
        <v>5</v>
      </c>
      <c r="AX1670" s="63" t="n">
        <f aca="false">IF(AT1670&gt;0,J1670/AT1670,-1)</f>
        <v>0</v>
      </c>
      <c r="AY1670" s="63" t="n">
        <f aca="false">IF(AND(OR(CG1670="L1",CG1670="L23",CG1670="LIFT"),AT1670&gt;0),SUMIFS($AT$7:$AT$1843,$CG$7:$CG$1843,CG1670,$AX$7:$AX$1843,"&gt;"&amp;AX1670)+SUMIFS($AT$7:$AT$1843,$CG$7:$CG$1843,CG1670,$AX$7:$AX$1843,AX1670,$BX$7:$BX$1843,"&lt;="&amp;BX1670),"")</f>
        <v>38254.6699907908</v>
      </c>
      <c r="AZ1670" s="70" t="n">
        <f aca="false">IF(AY1670="",0,MAX(0,MIN(1,(IF(CG1670="L1",Parameter!$H$5,IF(CG1670="L23",Parameter!$H$6+Parameter!$H$7,Parameter!$H$5+Parameter!$H$6+Parameter!$H$7))-(AY1670-AT1670))/AT1670)))</f>
        <v>0</v>
      </c>
      <c r="BA1670" s="62" t="n">
        <f aca="false">IF(LEFT(Cockpit!$O$5,1)="A",H1670,IF(Parameter!$E$30="MAX-Bestand",IF(CI1670=1,CJ1670,IF(LEFT(Cockpit!$O$5,1)="B",BG1670,MAX(BG1670,H1670))),ROUNDUP(BE1670,0)))</f>
        <v>3</v>
      </c>
      <c r="BB1670" s="62" t="n">
        <f aca="false">IF(CA1670=1,0,ROUNDUP(BA1670/BZ1670,0))</f>
        <v>1</v>
      </c>
      <c r="BC1670" s="64" t="n">
        <f aca="false">IF(CR1670&gt;0,CR1670*MAX(1,BA1670/X1670),IF(CA1670=1,IF(BA1670&lt;=0,0,CE1670*MAX(1,IF(H1670&gt;0,BA1670/H1670,1))),IF(R1670&gt;0,BB1670/R1670,0))/MAX(0.1,N(Parameter!$M$21)))</f>
        <v>0.166666666666667</v>
      </c>
      <c r="BD1670" s="62" t="n">
        <f aca="false">BC1670*CC1670</f>
        <v>39.1666666666667</v>
      </c>
      <c r="BE1670" s="63" t="n">
        <f aca="false">IF(LEFT(Cockpit!$O$5,1)="A",H1670,IF(CI1670=1,(CL1670+CJ1670)/2,IF(LEFT(Cockpit!$O$5,1)="B",(CL1670+BG1670)/2,MAX((CL1670+BG1670)/2,H1670))))</f>
        <v>2.5</v>
      </c>
      <c r="BF1670" s="62" t="n">
        <f aca="false">BE1670*G1670</f>
        <v>730.775</v>
      </c>
      <c r="BG1670" s="62" t="n">
        <f aca="false">ROUNDUP(CL1670+MAX(CM1670,2*(J1670/IF(CH1670&gt;0,CH1670,MAX(0.1,N(Cockpit!$O$6)))-CL1670)),0)</f>
        <v>5</v>
      </c>
      <c r="BH1670" s="63" t="n">
        <f aca="false">IF(BD1670&gt;0,J1670/BD1670,-1)</f>
        <v>0</v>
      </c>
      <c r="BI1670" s="63" t="n">
        <f aca="false">IF(AND(OR(CG1670="L1",CG1670="L23",CG1670="LIFT"),BD1670&gt;0),SUMIFS($BD$7:$BD$1843,$CG$7:$CG$1843,CG1670,$BH$7:$BH$1843,"&gt;"&amp;BH1670)+SUMIFS($BD$7:$BD$1843,$CG$7:$CG$1843,CG1670,$BH$7:$BH$1843,BH1670,$BX$7:$BX$1843,"&lt;="&amp;BX1670),"")</f>
        <v>31929.1112663231</v>
      </c>
      <c r="BJ1670" s="70" t="n">
        <f aca="false">IF(BI1670="",0,MAX(0,MIN(1,(IF(CG1670="L1",Parameter!$H$5,IF(CG1670="L23",Parameter!$H$6+Parameter!$H$7,Parameter!$H$5+Parameter!$H$6+Parameter!$H$7))-(BI1670-BD1670))/BD1670)))</f>
        <v>1</v>
      </c>
      <c r="BK1670" s="60" t="str">
        <f aca="false">IF(AJ1670&lt;=0,"",IF(CG1670="Aussen","Aussenlager",IF(CG1670="-","Nicht im Lift",IF(AP1670&gt;=1,"Lift",IF(AP1670&lt;=0,"Aussenlager","teilweise")))))</f>
        <v>Lift</v>
      </c>
      <c r="BL1670" s="60" t="str">
        <f aca="false">IF(AT1670&lt;=0,"",IF(CG1670="Aussen","Aussenlager",IF(CG1670="-","Nicht im Lift",IF(AZ1670&gt;=1,"Lift",IF(AZ1670&lt;=0,"Aussenlager","teilweise")))))</f>
        <v>Aussenlager</v>
      </c>
      <c r="BM1670" s="60" t="str">
        <f aca="false">IF(BD1670&lt;=0,"",IF(CG1670="Aussen","Aussenlager",IF(CG1670="-","Nicht im Lift",IF(BJ1670&gt;=1,"Lift",IF(BJ1670&lt;=0,"Aussenlager","teilweise")))))</f>
        <v>Lift</v>
      </c>
      <c r="BN1670" s="60" t="str">
        <f aca="false">IF(A1670="","",IF(BW1670=1,"Neu; ","")&amp;IF(AND(BW1670=0,BR1670&lt;0),"negativer Bestand (Export "&amp;BR1670&amp;"); ","")&amp;IF(J1670&lt;=0,"Kein Verbrauch; ","")&amp;IF(CR1670&gt;0,"Lift "&amp;W1670&amp;" lt. Liftbericht (Fach "&amp;X1670&amp;" Stk); ",IF(CB1670=1,"Gebinde geschätzt ("&amp;T1670&amp;"); ",IF(CA1670=1,"Lose – Tablare geschätzt; ","")))&amp;IF(H1670&gt;AW1670,"Überbestand "&amp;ROUND(H1670-AW1670,0)&amp;" Stk / CHF "&amp;ROUND((H1670-AW1670)*G1670,0)&amp;"; ","")&amp;IF(AND(CI1670=1,CJ1670&lt;CK1670),"MAX &lt; MB+LG; ","")&amp;IF(AND(CQ1670&gt;0,CP1670*10&gt;CQ1670),"zu hoch für Tablar; ","")&amp;IF(AND(BW1670=0,OR(CI1670=1,AB1670&lt;&gt;"",U1670&lt;&gt;"",V1670&lt;&gt;"",AC1670&lt;&gt;"")),"manuell übersteuert; ","")&amp;IF(AND(CA1670=0,R1670=0),"Gebinde unbekannt / Stellmass fehlt; ","")&amp;IF(AND(CA1670=0,N(V1670)&lt;=0,N(Q1670)&lt;=0),"Menge pro Gebinde fehlt (Ist = 1 Gebinde); ","")&amp;BV1670)</f>
        <v>Kein Verbrauch; Überbestand 6 Stk / CHF 1754; nur im Artikelstamm (Bestand 23.06.2026); Überbestand; grosser Artikel &amp; nicht im KTL</v>
      </c>
      <c r="BO1670" s="60"/>
      <c r="BP1670" s="60"/>
      <c r="BQ1670" s="67"/>
      <c r="BR1670" s="62" t="n">
        <v>11</v>
      </c>
      <c r="BS1670" s="62" t="n">
        <v>0</v>
      </c>
      <c r="BT1670" s="61" t="n">
        <v>0</v>
      </c>
      <c r="BU1670" s="62" t="n">
        <v>0</v>
      </c>
      <c r="BV1670" s="60" t="s">
        <v>2798</v>
      </c>
      <c r="BW1670" s="65" t="n">
        <v>0</v>
      </c>
      <c r="BX1670" s="65" t="n">
        <v>1670</v>
      </c>
      <c r="BY1670" s="60" t="str">
        <f aca="false">IF(U1670&lt;&gt;"",UPPER(TRIM(U1670)),IF(CB1670=1,UPPER(VLOOKUP(T1670,Parameter!$I$27:$K$29,2,0)),IF(P1670="","LOSE",P1670)))</f>
        <v>S71</v>
      </c>
      <c r="BZ1670" s="62" t="n">
        <f aca="false">IF(BY1670="LOSE",1,IF(N(V1670)&gt;0,V1670,IF(CB1670=1,MAX(1,N(VLOOKUP(T1670,Parameter!$I$27:$K$29,3,0)),H1670,N(N1670)),IF(N(Q1670)&gt;0,Q1670,MAX(1,H1670)))))</f>
        <v>5</v>
      </c>
      <c r="CA1670" s="65" t="n">
        <f aca="false">IF(BY1670="LOSE",1,0)</f>
        <v>0</v>
      </c>
      <c r="CB1670" s="65" t="n">
        <f aca="false">IF(AND(U1670="",OR(P1670="",P1670="LOSE"),T1670&lt;&gt;"",N(S1670)&lt;=0,ISNUMBER(MATCH(T1670,Parameter!$I$27:$I$29,0))),1,0)</f>
        <v>0</v>
      </c>
      <c r="CC1670" s="65" t="n">
        <f aca="false">IF(CR1670&gt;0,INDEX(Parameter!$H$5:$H$7,W1670)/INDEX(Parameter!$E$5:$E$7,W1670),IF(AND(CA1670=0,N(IFERROR(VLOOKUP(BY1670,'Gebinde-Kategorie'!$A$5:$N$45,14,0),0))&gt;0),VLOOKUP(BY1670,'Gebinde-Kategorie'!$A$5:$N$45,14,0)*10+Parameter!$M$23,Parameter!$M$24))</f>
        <v>235</v>
      </c>
      <c r="CD1670" s="60" t="str">
        <f aca="false">IF(AND(Parameter!$B$19="Ja",E1670&lt;&gt;"",ISNUMBER(MATCH(E1670,Parameter!$I$35:$I$52,0))),VLOOKUP(E1670,Parameter!$I$35:$J$52,2,0),IFERROR(VLOOKUP(D1670,Parameter!$A$35:$C$64,2,0),"Nein"))</f>
        <v>2+3</v>
      </c>
      <c r="CE1670" s="64" t="n">
        <f aca="false">IF(CA1670=0,0,IF(N(S1670)&gt;0,S1670,IFERROR(VLOOKUP(D1670,Parameter!$A$35:$C$64,3,0)+0,0)))</f>
        <v>0</v>
      </c>
      <c r="CF1670" s="60" t="n">
        <f aca="false">IF(AB1670&lt;&gt;"",AB1670,AA1670)</f>
        <v>2</v>
      </c>
      <c r="CG1670" s="60" t="str">
        <f aca="false">IF(OR(CF1670=1,CF1670=2,CF1670=3),IF(Parameter!$E$27="Ja","LIFT",IF(CF1670=1,"L1","L23")),IF(CF1670="Aussen","Aussen","-"))</f>
        <v>LIFT</v>
      </c>
      <c r="CH1670" s="71" t="n">
        <f aca="false">IF(N(AC1670)&gt;0,AC1670,0)</f>
        <v>0</v>
      </c>
      <c r="CI1670" s="65" t="n">
        <f aca="false">IF(ISNUMBER(AF1670),1,0)</f>
        <v>0</v>
      </c>
      <c r="CJ1670" s="62" t="n">
        <f aca="false">N(AF1670)</f>
        <v>0</v>
      </c>
      <c r="CK1670" s="62" t="n">
        <f aca="false">N(M1670)+N(N1670)</f>
        <v>5</v>
      </c>
      <c r="CL1670" s="62" t="n">
        <f aca="false">N(M1670)</f>
        <v>0</v>
      </c>
      <c r="CM1670" s="62" t="n">
        <f aca="false">N(N1670)</f>
        <v>5</v>
      </c>
      <c r="CN1670" s="62" t="n">
        <f aca="false">ROUNDUP(H1670/BZ1670,0)</f>
        <v>3</v>
      </c>
      <c r="CO1670" s="62" t="n">
        <f aca="false">ROUNDUP(CJ1670/BZ1670,0)</f>
        <v>0</v>
      </c>
      <c r="CP1670" s="65" t="n">
        <f aca="false">IF(CA1670=1,0,IFERROR(VLOOKUP(BY1670,'Gebinde-Kategorie'!$A$5:$N$45,5,0)+0,0))</f>
        <v>20</v>
      </c>
      <c r="CQ1670" s="65" t="n">
        <f aca="false">IFERROR(IF(OR(CF1670=1,CF1670=2,CF1670=3),N(INDEX(Parameter!$I$5:$I$7,CF1670)),0),0)</f>
        <v>0</v>
      </c>
      <c r="CR1670" s="64" t="n">
        <f aca="false">IF(AND(Parameter!$B$21="Ja",ISNUMBER(W1670),N(X1670)&gt;0),IFERROR(N(INDEX(Parameter!$L$5:$L$7,W1670))*INDEX(Parameter!$E$5:$E$7,W1670)*X1670/SUMIFS($X$7:$X$1843,$W$7:$W$1843,W1670),0),0)</f>
        <v>0</v>
      </c>
      <c r="CS1670" s="62" t="n">
        <f aca="false">IF(AND(OR(CG1670="L1",CG1670="L23",CG1670="LIFT"),H1670&gt;0),CC1670*IF(CR1670&gt;0,CR1670*MAX(1,H1670/X1670),IF(CA1670=1,CE1670,IF(R1670&gt;0,CN1670/R1670,0))/MAX(0.1,N(Parameter!$M$21))),"")</f>
        <v>117.5</v>
      </c>
      <c r="CT1670" s="64" t="n">
        <f aca="false">IF(CS1670="","",J1670/H1670)</f>
        <v>0</v>
      </c>
      <c r="CU1670" s="62" t="n">
        <f aca="false">IF(CS1670="","",H1670*G1670)</f>
        <v>3215.41</v>
      </c>
      <c r="CV1670" s="63" t="n">
        <f aca="false">IF(CS1670="","",(CL1670+ROUNDUP(CL1670+MAX(CM1670,2*(J1670/MAX(0.1,N(Einkauf!$C$6))-CL1670)),0))/2)</f>
        <v>2.5</v>
      </c>
      <c r="CW1670" s="62" t="n">
        <f aca="false">IF(CS1670="","",MAX(0,H1670-CV1670)*G1670)</f>
        <v>2484.635</v>
      </c>
      <c r="CX1670" s="62" t="n">
        <f aca="false">IF(CS1670="","",CS1670*MAX(0,1-CV1670/H1670))</f>
        <v>90.7954545454546</v>
      </c>
      <c r="CY1670" s="64" t="n">
        <f aca="false">IF(CS1670="","",PERCENTRANK($CS$7:$CS$1843,CS1670)+PERCENTRANK($CU$7:$CU$1843,CU1670)+1-PERCENTRANK($CT$7:$CT$1843,CT1670))</f>
        <v>2.805</v>
      </c>
      <c r="CZ1670" s="72" t="n">
        <f aca="false">IF(CS1670="","",CHOOSE(MATCH(Einkauf!$C$5,Parameter!$G$23:$G$27,0),CY1670,CS1670,CU1670,-CT1670,CW1670)+ROW()/1000000000)</f>
        <v>2.80500167</v>
      </c>
    </row>
    <row r="1671" customFormat="false" ht="15" hidden="false" customHeight="false" outlineLevel="0" collapsed="false">
      <c r="A1671" s="60" t="s">
        <v>2941</v>
      </c>
      <c r="B1671" s="60" t="s">
        <v>2942</v>
      </c>
      <c r="C1671" s="60" t="s">
        <v>206</v>
      </c>
      <c r="D1671" s="60" t="s">
        <v>215</v>
      </c>
      <c r="E1671" s="60"/>
      <c r="F1671" s="60"/>
      <c r="G1671" s="61" t="n">
        <v>0</v>
      </c>
      <c r="H1671" s="62" t="n">
        <f aca="false">MAX(0,IF(AND(Parameter!$B$21="Ja",ISNUMBER(Y1671)),Y1671,IF(Parameter!$B$20="Jahresanfang 2025 + Export",BS1671+BR1671,BR1671)))</f>
        <v>2</v>
      </c>
      <c r="I1671" s="62" t="n">
        <f aca="false">H1671*G1671</f>
        <v>0</v>
      </c>
      <c r="J1671" s="62" t="n">
        <f aca="false">BU1671*Parameter!$B$18</f>
        <v>0</v>
      </c>
      <c r="K1671" s="63"/>
      <c r="L1671" s="64"/>
      <c r="M1671" s="62" t="n">
        <v>0</v>
      </c>
      <c r="N1671" s="62" t="n">
        <v>1</v>
      </c>
      <c r="O1671" s="65" t="n">
        <v>0</v>
      </c>
      <c r="P1671" s="60" t="s">
        <v>265</v>
      </c>
      <c r="Q1671" s="62" t="n">
        <v>10</v>
      </c>
      <c r="R1671" s="65" t="n">
        <f aca="false">IF(CA1671=1,0,IFERROR(VLOOKUP(BY1671,'Gebinde-Kategorie'!$A$5:$N$45,13,0)+0,0))</f>
        <v>4</v>
      </c>
      <c r="S1671" s="66"/>
      <c r="T1671" s="67"/>
      <c r="U1671" s="67"/>
      <c r="V1671" s="67"/>
      <c r="W1671" s="60"/>
      <c r="X1671" s="62"/>
      <c r="Y1671" s="62"/>
      <c r="Z1671" s="60" t="n">
        <v>2</v>
      </c>
      <c r="AA1671" s="60" t="n">
        <f aca="false">IF(A1671="","",IF(AND(Parameter!$B$21="Ja",ISNUMBER(W1671)),W1671,IF(AND(Parameter!$E$27="Ja",ISNUMBER(Z1671),CD1671&lt;&gt;"Nein"),Z1671,IF(CD1671="2+3",IF(ISNUMBER(SEARCH("grosser Artikel",BV1671)),2,IFERROR(VLOOKUP(BY1671,Parameter!$F$35:$G$64,2,0),2)),IF(OR(CD1671="Nein",CD1671=""),"-",CD1671)))))</f>
        <v>2</v>
      </c>
      <c r="AB1671" s="67"/>
      <c r="AC1671" s="68"/>
      <c r="AD1671" s="62" t="n">
        <f aca="false">AW1671</f>
        <v>1</v>
      </c>
      <c r="AE1671" s="62" t="n">
        <f aca="false">MAX(AW1671,H1671)</f>
        <v>2</v>
      </c>
      <c r="AF1671" s="69"/>
      <c r="AG1671" s="62" t="n">
        <f aca="false">IF(LEFT(Cockpit!$C$5,1)="A",H1671,IF(Parameter!$E$30="MAX-Bestand",IF(CI1671=1,CJ1671,IF(LEFT(Cockpit!$C$5,1)="B",AM1671,MAX(AM1671,H1671))),ROUNDUP(AK1671,0)))</f>
        <v>2</v>
      </c>
      <c r="AH1671" s="62" t="n">
        <f aca="false">IF(CA1671=1,0,ROUNDUP(AG1671/BZ1671,0))</f>
        <v>1</v>
      </c>
      <c r="AI1671" s="64" t="n">
        <f aca="false">IF(CR1671&gt;0,CR1671*MAX(1,AG1671/X1671),IF(CA1671=1,IF(AG1671&lt;=0,0,CE1671*MAX(1,IF(H1671&gt;0,AG1671/H1671,1))),IF(R1671&gt;0,AH1671/R1671,0))/MAX(0.1,N(Parameter!$M$21)))</f>
        <v>0.25</v>
      </c>
      <c r="AJ1671" s="62" t="n">
        <f aca="false">AI1671*CC1671</f>
        <v>58.75</v>
      </c>
      <c r="AK1671" s="63" t="n">
        <f aca="false">IF(LEFT(Cockpit!$C$5,1)="A",H1671,IF(CI1671=1,(CL1671+CJ1671)/2,IF(LEFT(Cockpit!$C$5,1)="B",(CL1671+AM1671)/2,MAX((CL1671+AM1671)/2,H1671))))</f>
        <v>2</v>
      </c>
      <c r="AL1671" s="62" t="n">
        <f aca="false">AK1671*G1671</f>
        <v>0</v>
      </c>
      <c r="AM1671" s="62" t="n">
        <f aca="false">ROUNDUP(CL1671+MAX(CM1671,2*(J1671/IF(CH1671&gt;0,CH1671,MAX(0.1,N(Cockpit!$C$6)))-CL1671)),0)</f>
        <v>1</v>
      </c>
      <c r="AN1671" s="63" t="n">
        <f aca="false">IF(AJ1671&gt;0,J1671/AJ1671,-1)</f>
        <v>0</v>
      </c>
      <c r="AO1671" s="63" t="n">
        <f aca="false">IF(AND(OR(CG1671="L1",CG1671="L23",CG1671="LIFT"),AJ1671&gt;0),SUMIFS($AJ$7:$AJ$1843,$CG$7:$CG$1843,CG1671,$AN$7:$AN$1843,"&gt;"&amp;AN1671)+SUMIFS($AJ$7:$AJ$1843,$CG$7:$CG$1843,CG1671,$AN$7:$AN$1843,AN1671,$BX$7:$BX$1843,"&lt;="&amp;BX1671),"")</f>
        <v>31841.1717602078</v>
      </c>
      <c r="AP1671" s="70" t="n">
        <f aca="false">IF(AO1671="",0,MAX(0,MIN(1,(IF(CG1671="L1",Parameter!$H$5,IF(CG1671="L23",Parameter!$H$6+Parameter!$H$7,Parameter!$H$5+Parameter!$H$6+Parameter!$H$7))-(AO1671-AJ1671))/AJ1671)))</f>
        <v>1</v>
      </c>
      <c r="AQ1671" s="62" t="n">
        <f aca="false">IF(LEFT(Cockpit!$I$5,1)="A",H1671,IF(Parameter!$E$30="MAX-Bestand",IF(CI1671=1,CJ1671,IF(LEFT(Cockpit!$I$5,1)="B",AW1671,MAX(AW1671,H1671))),ROUNDUP(AU1671,0)))</f>
        <v>2</v>
      </c>
      <c r="AR1671" s="62" t="n">
        <f aca="false">IF(CA1671=1,0,ROUNDUP(AQ1671/BZ1671,0))</f>
        <v>1</v>
      </c>
      <c r="AS1671" s="64" t="n">
        <f aca="false">IF(CR1671&gt;0,CR1671*MAX(1,AQ1671/X1671),IF(CA1671=1,IF(AQ1671&lt;=0,0,CE1671*MAX(1,IF(H1671&gt;0,AQ1671/H1671,1))),IF(R1671&gt;0,AR1671/R1671,0))/MAX(0.1,N(Parameter!$M$21)))</f>
        <v>0.25</v>
      </c>
      <c r="AT1671" s="62" t="n">
        <f aca="false">AS1671*CC1671</f>
        <v>58.75</v>
      </c>
      <c r="AU1671" s="63" t="n">
        <f aca="false">IF(LEFT(Cockpit!$I$5,1)="A",H1671,IF(CI1671=1,(CL1671+CJ1671)/2,IF(LEFT(Cockpit!$I$5,1)="B",(CL1671+AW1671)/2,MAX((CL1671+AW1671)/2,H1671))))</f>
        <v>2</v>
      </c>
      <c r="AV1671" s="62" t="n">
        <f aca="false">AU1671*G1671</f>
        <v>0</v>
      </c>
      <c r="AW1671" s="62" t="n">
        <f aca="false">ROUNDUP(CL1671+MAX(CM1671,2*(J1671/IF(CH1671&gt;0,CH1671,MAX(0.1,N(Cockpit!$I$6)))-CL1671)),0)</f>
        <v>1</v>
      </c>
      <c r="AX1671" s="63" t="n">
        <f aca="false">IF(AT1671&gt;0,J1671/AT1671,-1)</f>
        <v>0</v>
      </c>
      <c r="AY1671" s="63" t="n">
        <f aca="false">IF(AND(OR(CG1671="L1",CG1671="L23",CG1671="LIFT"),AT1671&gt;0),SUMIFS($AT$7:$AT$1843,$CG$7:$CG$1843,CG1671,$AX$7:$AX$1843,"&gt;"&amp;AX1671)+SUMIFS($AT$7:$AT$1843,$CG$7:$CG$1843,CG1671,$AX$7:$AX$1843,AX1671,$BX$7:$BX$1843,"&lt;="&amp;BX1671),"")</f>
        <v>38313.4199907908</v>
      </c>
      <c r="AZ1671" s="70" t="n">
        <f aca="false">IF(AY1671="",0,MAX(0,MIN(1,(IF(CG1671="L1",Parameter!$H$5,IF(CG1671="L23",Parameter!$H$6+Parameter!$H$7,Parameter!$H$5+Parameter!$H$6+Parameter!$H$7))-(AY1671-AT1671))/AT1671)))</f>
        <v>0</v>
      </c>
      <c r="BA1671" s="62" t="n">
        <f aca="false">IF(LEFT(Cockpit!$O$5,1)="A",H1671,IF(Parameter!$E$30="MAX-Bestand",IF(CI1671=1,CJ1671,IF(LEFT(Cockpit!$O$5,1)="B",BG1671,MAX(BG1671,H1671))),ROUNDUP(BE1671,0)))</f>
        <v>1</v>
      </c>
      <c r="BB1671" s="62" t="n">
        <f aca="false">IF(CA1671=1,0,ROUNDUP(BA1671/BZ1671,0))</f>
        <v>1</v>
      </c>
      <c r="BC1671" s="64" t="n">
        <f aca="false">IF(CR1671&gt;0,CR1671*MAX(1,BA1671/X1671),IF(CA1671=1,IF(BA1671&lt;=0,0,CE1671*MAX(1,IF(H1671&gt;0,BA1671/H1671,1))),IF(R1671&gt;0,BB1671/R1671,0))/MAX(0.1,N(Parameter!$M$21)))</f>
        <v>0.25</v>
      </c>
      <c r="BD1671" s="62" t="n">
        <f aca="false">BC1671*CC1671</f>
        <v>58.75</v>
      </c>
      <c r="BE1671" s="63" t="n">
        <f aca="false">IF(LEFT(Cockpit!$O$5,1)="A",H1671,IF(CI1671=1,(CL1671+CJ1671)/2,IF(LEFT(Cockpit!$O$5,1)="B",(CL1671+BG1671)/2,MAX((CL1671+BG1671)/2,H1671))))</f>
        <v>0.5</v>
      </c>
      <c r="BF1671" s="62" t="n">
        <f aca="false">BE1671*G1671</f>
        <v>0</v>
      </c>
      <c r="BG1671" s="62" t="n">
        <f aca="false">ROUNDUP(CL1671+MAX(CM1671,2*(J1671/IF(CH1671&gt;0,CH1671,MAX(0.1,N(Cockpit!$O$6)))-CL1671)),0)</f>
        <v>1</v>
      </c>
      <c r="BH1671" s="63" t="n">
        <f aca="false">IF(BD1671&gt;0,J1671/BD1671,-1)</f>
        <v>0</v>
      </c>
      <c r="BI1671" s="63" t="n">
        <f aca="false">IF(AND(OR(CG1671="L1",CG1671="L23",CG1671="LIFT"),BD1671&gt;0),SUMIFS($BD$7:$BD$1843,$CG$7:$CG$1843,CG1671,$BH$7:$BH$1843,"&gt;"&amp;BH1671)+SUMIFS($BD$7:$BD$1843,$CG$7:$CG$1843,CG1671,$BH$7:$BH$1843,BH1671,$BX$7:$BX$1843,"&lt;="&amp;BX1671),"")</f>
        <v>31987.8612663231</v>
      </c>
      <c r="BJ1671" s="70" t="n">
        <f aca="false">IF(BI1671="",0,MAX(0,MIN(1,(IF(CG1671="L1",Parameter!$H$5,IF(CG1671="L23",Parameter!$H$6+Parameter!$H$7,Parameter!$H$5+Parameter!$H$6+Parameter!$H$7))-(BI1671-BD1671))/BD1671)))</f>
        <v>1</v>
      </c>
      <c r="BK1671" s="60" t="str">
        <f aca="false">IF(AJ1671&lt;=0,"",IF(CG1671="Aussen","Aussenlager",IF(CG1671="-","Nicht im Lift",IF(AP1671&gt;=1,"Lift",IF(AP1671&lt;=0,"Aussenlager","teilweise")))))</f>
        <v>Lift</v>
      </c>
      <c r="BL1671" s="60" t="str">
        <f aca="false">IF(AT1671&lt;=0,"",IF(CG1671="Aussen","Aussenlager",IF(CG1671="-","Nicht im Lift",IF(AZ1671&gt;=1,"Lift",IF(AZ1671&lt;=0,"Aussenlager","teilweise")))))</f>
        <v>Aussenlager</v>
      </c>
      <c r="BM1671" s="60" t="str">
        <f aca="false">IF(BD1671&lt;=0,"",IF(CG1671="Aussen","Aussenlager",IF(CG1671="-","Nicht im Lift",IF(BJ1671&gt;=1,"Lift",IF(BJ1671&lt;=0,"Aussenlager","teilweise")))))</f>
        <v>Lift</v>
      </c>
      <c r="BN1671" s="60" t="str">
        <f aca="false">IF(A1671="","",IF(BW1671=1,"Neu; ","")&amp;IF(AND(BW1671=0,BR1671&lt;0),"negativer Bestand (Export "&amp;BR1671&amp;"); ","")&amp;IF(J1671&lt;=0,"Kein Verbrauch; ","")&amp;IF(CR1671&gt;0,"Lift "&amp;W1671&amp;" lt. Liftbericht (Fach "&amp;X1671&amp;" Stk); ",IF(CB1671=1,"Gebinde geschätzt ("&amp;T1671&amp;"); ",IF(CA1671=1,"Lose – Tablare geschätzt; ","")))&amp;IF(H1671&gt;AW1671,"Überbestand "&amp;ROUND(H1671-AW1671,0)&amp;" Stk / CHF "&amp;ROUND((H1671-AW1671)*G1671,0)&amp;"; ","")&amp;IF(AND(CI1671=1,CJ1671&lt;CK1671),"MAX &lt; MB+LG; ","")&amp;IF(AND(CQ1671&gt;0,CP1671*10&gt;CQ1671),"zu hoch für Tablar; ","")&amp;IF(AND(BW1671=0,OR(CI1671=1,AB1671&lt;&gt;"",U1671&lt;&gt;"",V1671&lt;&gt;"",AC1671&lt;&gt;"")),"manuell übersteuert; ","")&amp;IF(AND(CA1671=0,R1671=0),"Gebinde unbekannt / Stellmass fehlt; ","")&amp;IF(AND(CA1671=0,N(V1671)&lt;=0,N(Q1671)&lt;=0),"Menge pro Gebinde fehlt (Ist = 1 Gebinde); ","")&amp;BV1671)</f>
        <v>Kein Verbrauch; Überbestand 1 Stk / CHF 0; nur im Artikelstamm (Bestand 23.06.2026)</v>
      </c>
      <c r="BO1671" s="60"/>
      <c r="BP1671" s="60"/>
      <c r="BQ1671" s="67"/>
      <c r="BR1671" s="62" t="n">
        <v>2</v>
      </c>
      <c r="BS1671" s="62" t="n">
        <v>0</v>
      </c>
      <c r="BT1671" s="61" t="n">
        <v>0</v>
      </c>
      <c r="BU1671" s="62" t="n">
        <v>0</v>
      </c>
      <c r="BV1671" s="60" t="s">
        <v>2617</v>
      </c>
      <c r="BW1671" s="65" t="n">
        <v>0</v>
      </c>
      <c r="BX1671" s="65" t="n">
        <v>1671</v>
      </c>
      <c r="BY1671" s="60" t="str">
        <f aca="false">IF(U1671&lt;&gt;"",UPPER(TRIM(U1671)),IF(CB1671=1,UPPER(VLOOKUP(T1671,Parameter!$I$27:$K$29,2,0)),IF(P1671="","LOSE",P1671)))</f>
        <v>S81</v>
      </c>
      <c r="BZ1671" s="62" t="n">
        <f aca="false">IF(BY1671="LOSE",1,IF(N(V1671)&gt;0,V1671,IF(CB1671=1,MAX(1,N(VLOOKUP(T1671,Parameter!$I$27:$K$29,3,0)),H1671,N(N1671)),IF(N(Q1671)&gt;0,Q1671,MAX(1,H1671)))))</f>
        <v>10</v>
      </c>
      <c r="CA1671" s="65" t="n">
        <f aca="false">IF(BY1671="LOSE",1,0)</f>
        <v>0</v>
      </c>
      <c r="CB1671" s="65" t="n">
        <f aca="false">IF(AND(U1671="",OR(P1671="",P1671="LOSE"),T1671&lt;&gt;"",N(S1671)&lt;=0,ISNUMBER(MATCH(T1671,Parameter!$I$27:$I$29,0))),1,0)</f>
        <v>0</v>
      </c>
      <c r="CC1671" s="65" t="n">
        <f aca="false">IF(CR1671&gt;0,INDEX(Parameter!$H$5:$H$7,W1671)/INDEX(Parameter!$E$5:$E$7,W1671),IF(AND(CA1671=0,N(IFERROR(VLOOKUP(BY1671,'Gebinde-Kategorie'!$A$5:$N$45,14,0),0))&gt;0),VLOOKUP(BY1671,'Gebinde-Kategorie'!$A$5:$N$45,14,0)*10+Parameter!$M$23,Parameter!$M$24))</f>
        <v>235</v>
      </c>
      <c r="CD1671" s="60" t="str">
        <f aca="false">IF(AND(Parameter!$B$19="Ja",E1671&lt;&gt;"",ISNUMBER(MATCH(E1671,Parameter!$I$35:$I$52,0))),VLOOKUP(E1671,Parameter!$I$35:$J$52,2,0),IFERROR(VLOOKUP(D1671,Parameter!$A$35:$C$64,2,0),"Nein"))</f>
        <v>2+3</v>
      </c>
      <c r="CE1671" s="64" t="n">
        <f aca="false">IF(CA1671=0,0,IF(N(S1671)&gt;0,S1671,IFERROR(VLOOKUP(D1671,Parameter!$A$35:$C$64,3,0)+0,0)))</f>
        <v>0</v>
      </c>
      <c r="CF1671" s="60" t="n">
        <f aca="false">IF(AB1671&lt;&gt;"",AB1671,AA1671)</f>
        <v>2</v>
      </c>
      <c r="CG1671" s="60" t="str">
        <f aca="false">IF(OR(CF1671=1,CF1671=2,CF1671=3),IF(Parameter!$E$27="Ja","LIFT",IF(CF1671=1,"L1","L23")),IF(CF1671="Aussen","Aussen","-"))</f>
        <v>LIFT</v>
      </c>
      <c r="CH1671" s="71" t="n">
        <f aca="false">IF(N(AC1671)&gt;0,AC1671,0)</f>
        <v>0</v>
      </c>
      <c r="CI1671" s="65" t="n">
        <f aca="false">IF(ISNUMBER(AF1671),1,0)</f>
        <v>0</v>
      </c>
      <c r="CJ1671" s="62" t="n">
        <f aca="false">N(AF1671)</f>
        <v>0</v>
      </c>
      <c r="CK1671" s="62" t="n">
        <f aca="false">N(M1671)+N(N1671)</f>
        <v>1</v>
      </c>
      <c r="CL1671" s="62" t="n">
        <f aca="false">N(M1671)</f>
        <v>0</v>
      </c>
      <c r="CM1671" s="62" t="n">
        <f aca="false">N(N1671)</f>
        <v>1</v>
      </c>
      <c r="CN1671" s="62" t="n">
        <f aca="false">ROUNDUP(H1671/BZ1671,0)</f>
        <v>1</v>
      </c>
      <c r="CO1671" s="62" t="n">
        <f aca="false">ROUNDUP(CJ1671/BZ1671,0)</f>
        <v>0</v>
      </c>
      <c r="CP1671" s="65" t="n">
        <f aca="false">IF(CA1671=1,0,IFERROR(VLOOKUP(BY1671,'Gebinde-Kategorie'!$A$5:$N$45,5,0)+0,0))</f>
        <v>20</v>
      </c>
      <c r="CQ1671" s="65" t="n">
        <f aca="false">IFERROR(IF(OR(CF1671=1,CF1671=2,CF1671=3),N(INDEX(Parameter!$I$5:$I$7,CF1671)),0),0)</f>
        <v>0</v>
      </c>
      <c r="CR1671" s="64" t="n">
        <f aca="false">IF(AND(Parameter!$B$21="Ja",ISNUMBER(W1671),N(X1671)&gt;0),IFERROR(N(INDEX(Parameter!$L$5:$L$7,W1671))*INDEX(Parameter!$E$5:$E$7,W1671)*X1671/SUMIFS($X$7:$X$1843,$W$7:$W$1843,W1671),0),0)</f>
        <v>0</v>
      </c>
      <c r="CS1671" s="62" t="n">
        <f aca="false">IF(AND(OR(CG1671="L1",CG1671="L23",CG1671="LIFT"),H1671&gt;0),CC1671*IF(CR1671&gt;0,CR1671*MAX(1,H1671/X1671),IF(CA1671=1,CE1671,IF(R1671&gt;0,CN1671/R1671,0))/MAX(0.1,N(Parameter!$M$21))),"")</f>
        <v>58.75</v>
      </c>
      <c r="CT1671" s="64" t="n">
        <f aca="false">IF(CS1671="","",J1671/H1671)</f>
        <v>0</v>
      </c>
      <c r="CU1671" s="62" t="n">
        <f aca="false">IF(CS1671="","",H1671*G1671)</f>
        <v>0</v>
      </c>
      <c r="CV1671" s="63" t="n">
        <f aca="false">IF(CS1671="","",(CL1671+ROUNDUP(CL1671+MAX(CM1671,2*(J1671/MAX(0.1,N(Einkauf!$C$6))-CL1671)),0))/2)</f>
        <v>0.5</v>
      </c>
      <c r="CW1671" s="62" t="n">
        <f aca="false">IF(CS1671="","",MAX(0,H1671-CV1671)*G1671)</f>
        <v>0</v>
      </c>
      <c r="CX1671" s="62" t="n">
        <f aca="false">IF(CS1671="","",CS1671*MAX(0,1-CV1671/H1671))</f>
        <v>44.0625</v>
      </c>
      <c r="CY1671" s="64" t="n">
        <f aca="false">IF(CS1671="","",PERCENTRANK($CS$7:$CS$1843,CS1671)+PERCENTRANK($CU$7:$CU$1843,CU1671)+1-PERCENTRANK($CT$7:$CT$1843,CT1671))</f>
        <v>1.915</v>
      </c>
      <c r="CZ1671" s="72" t="n">
        <f aca="false">IF(CS1671="","",CHOOSE(MATCH(Einkauf!$C$5,Parameter!$G$23:$G$27,0),CY1671,CS1671,CU1671,-CT1671,CW1671)+ROW()/1000000000)</f>
        <v>1.915001671</v>
      </c>
    </row>
    <row r="1672" customFormat="false" ht="15" hidden="false" customHeight="false" outlineLevel="0" collapsed="false">
      <c r="A1672" s="60" t="s">
        <v>2943</v>
      </c>
      <c r="B1672" s="60" t="s">
        <v>2944</v>
      </c>
      <c r="C1672" s="60" t="s">
        <v>206</v>
      </c>
      <c r="D1672" s="60" t="s">
        <v>215</v>
      </c>
      <c r="E1672" s="60"/>
      <c r="F1672" s="60"/>
      <c r="G1672" s="61" t="n">
        <v>1426.13</v>
      </c>
      <c r="H1672" s="62" t="n">
        <f aca="false">MAX(0,IF(AND(Parameter!$B$21="Ja",ISNUMBER(Y1672)),Y1672,IF(Parameter!$B$20="Jahresanfang 2025 + Export",BS1672+BR1672,BR1672)))</f>
        <v>7</v>
      </c>
      <c r="I1672" s="62" t="n">
        <f aca="false">H1672*G1672</f>
        <v>9982.91</v>
      </c>
      <c r="J1672" s="62" t="n">
        <f aca="false">BU1672*Parameter!$B$18</f>
        <v>0</v>
      </c>
      <c r="K1672" s="63"/>
      <c r="L1672" s="64"/>
      <c r="M1672" s="62" t="n">
        <v>0</v>
      </c>
      <c r="N1672" s="62" t="n">
        <v>1</v>
      </c>
      <c r="O1672" s="65" t="n">
        <v>35</v>
      </c>
      <c r="P1672" s="60" t="s">
        <v>265</v>
      </c>
      <c r="Q1672" s="62" t="n">
        <v>10</v>
      </c>
      <c r="R1672" s="65" t="n">
        <f aca="false">IF(CA1672=1,0,IFERROR(VLOOKUP(BY1672,'Gebinde-Kategorie'!$A$5:$N$45,13,0)+0,0))</f>
        <v>4</v>
      </c>
      <c r="S1672" s="66"/>
      <c r="T1672" s="67"/>
      <c r="U1672" s="67"/>
      <c r="V1672" s="67"/>
      <c r="W1672" s="60"/>
      <c r="X1672" s="62"/>
      <c r="Y1672" s="62"/>
      <c r="Z1672" s="60" t="n">
        <v>2</v>
      </c>
      <c r="AA1672" s="60" t="n">
        <f aca="false">IF(A1672="","",IF(AND(Parameter!$B$21="Ja",ISNUMBER(W1672)),W1672,IF(AND(Parameter!$E$27="Ja",ISNUMBER(Z1672),CD1672&lt;&gt;"Nein"),Z1672,IF(CD1672="2+3",IF(ISNUMBER(SEARCH("grosser Artikel",BV1672)),2,IFERROR(VLOOKUP(BY1672,Parameter!$F$35:$G$64,2,0),2)),IF(OR(CD1672="Nein",CD1672=""),"-",CD1672)))))</f>
        <v>2</v>
      </c>
      <c r="AB1672" s="67"/>
      <c r="AC1672" s="68"/>
      <c r="AD1672" s="62" t="n">
        <f aca="false">AW1672</f>
        <v>1</v>
      </c>
      <c r="AE1672" s="62" t="n">
        <f aca="false">MAX(AW1672,H1672)</f>
        <v>7</v>
      </c>
      <c r="AF1672" s="69"/>
      <c r="AG1672" s="62" t="n">
        <f aca="false">IF(LEFT(Cockpit!$C$5,1)="A",H1672,IF(Parameter!$E$30="MAX-Bestand",IF(CI1672=1,CJ1672,IF(LEFT(Cockpit!$C$5,1)="B",AM1672,MAX(AM1672,H1672))),ROUNDUP(AK1672,0)))</f>
        <v>7</v>
      </c>
      <c r="AH1672" s="62" t="n">
        <f aca="false">IF(CA1672=1,0,ROUNDUP(AG1672/BZ1672,0))</f>
        <v>1</v>
      </c>
      <c r="AI1672" s="64" t="n">
        <f aca="false">IF(CR1672&gt;0,CR1672*MAX(1,AG1672/X1672),IF(CA1672=1,IF(AG1672&lt;=0,0,CE1672*MAX(1,IF(H1672&gt;0,AG1672/H1672,1))),IF(R1672&gt;0,AH1672/R1672,0))/MAX(0.1,N(Parameter!$M$21)))</f>
        <v>0.25</v>
      </c>
      <c r="AJ1672" s="62" t="n">
        <f aca="false">AI1672*CC1672</f>
        <v>58.75</v>
      </c>
      <c r="AK1672" s="63" t="n">
        <f aca="false">IF(LEFT(Cockpit!$C$5,1)="A",H1672,IF(CI1672=1,(CL1672+CJ1672)/2,IF(LEFT(Cockpit!$C$5,1)="B",(CL1672+AM1672)/2,MAX((CL1672+AM1672)/2,H1672))))</f>
        <v>7</v>
      </c>
      <c r="AL1672" s="62" t="n">
        <f aca="false">AK1672*G1672</f>
        <v>9982.91</v>
      </c>
      <c r="AM1672" s="62" t="n">
        <f aca="false">ROUNDUP(CL1672+MAX(CM1672,2*(J1672/IF(CH1672&gt;0,CH1672,MAX(0.1,N(Cockpit!$C$6)))-CL1672)),0)</f>
        <v>1</v>
      </c>
      <c r="AN1672" s="63" t="n">
        <f aca="false">IF(AJ1672&gt;0,J1672/AJ1672,-1)</f>
        <v>0</v>
      </c>
      <c r="AO1672" s="63" t="n">
        <f aca="false">IF(AND(OR(CG1672="L1",CG1672="L23",CG1672="LIFT"),AJ1672&gt;0),SUMIFS($AJ$7:$AJ$1843,$CG$7:$CG$1843,CG1672,$AN$7:$AN$1843,"&gt;"&amp;AN1672)+SUMIFS($AJ$7:$AJ$1843,$CG$7:$CG$1843,CG1672,$AN$7:$AN$1843,AN1672,$BX$7:$BX$1843,"&lt;="&amp;BX1672),"")</f>
        <v>31899.9217602078</v>
      </c>
      <c r="AP1672" s="70" t="n">
        <f aca="false">IF(AO1672="",0,MAX(0,MIN(1,(IF(CG1672="L1",Parameter!$H$5,IF(CG1672="L23",Parameter!$H$6+Parameter!$H$7,Parameter!$H$5+Parameter!$H$6+Parameter!$H$7))-(AO1672-AJ1672))/AJ1672)))</f>
        <v>1</v>
      </c>
      <c r="AQ1672" s="62" t="n">
        <f aca="false">IF(LEFT(Cockpit!$I$5,1)="A",H1672,IF(Parameter!$E$30="MAX-Bestand",IF(CI1672=1,CJ1672,IF(LEFT(Cockpit!$I$5,1)="B",AW1672,MAX(AW1672,H1672))),ROUNDUP(AU1672,0)))</f>
        <v>7</v>
      </c>
      <c r="AR1672" s="62" t="n">
        <f aca="false">IF(CA1672=1,0,ROUNDUP(AQ1672/BZ1672,0))</f>
        <v>1</v>
      </c>
      <c r="AS1672" s="64" t="n">
        <f aca="false">IF(CR1672&gt;0,CR1672*MAX(1,AQ1672/X1672),IF(CA1672=1,IF(AQ1672&lt;=0,0,CE1672*MAX(1,IF(H1672&gt;0,AQ1672/H1672,1))),IF(R1672&gt;0,AR1672/R1672,0))/MAX(0.1,N(Parameter!$M$21)))</f>
        <v>0.25</v>
      </c>
      <c r="AT1672" s="62" t="n">
        <f aca="false">AS1672*CC1672</f>
        <v>58.75</v>
      </c>
      <c r="AU1672" s="63" t="n">
        <f aca="false">IF(LEFT(Cockpit!$I$5,1)="A",H1672,IF(CI1672=1,(CL1672+CJ1672)/2,IF(LEFT(Cockpit!$I$5,1)="B",(CL1672+AW1672)/2,MAX((CL1672+AW1672)/2,H1672))))</f>
        <v>7</v>
      </c>
      <c r="AV1672" s="62" t="n">
        <f aca="false">AU1672*G1672</f>
        <v>9982.91</v>
      </c>
      <c r="AW1672" s="62" t="n">
        <f aca="false">ROUNDUP(CL1672+MAX(CM1672,2*(J1672/IF(CH1672&gt;0,CH1672,MAX(0.1,N(Cockpit!$I$6)))-CL1672)),0)</f>
        <v>1</v>
      </c>
      <c r="AX1672" s="63" t="n">
        <f aca="false">IF(AT1672&gt;0,J1672/AT1672,-1)</f>
        <v>0</v>
      </c>
      <c r="AY1672" s="63" t="n">
        <f aca="false">IF(AND(OR(CG1672="L1",CG1672="L23",CG1672="LIFT"),AT1672&gt;0),SUMIFS($AT$7:$AT$1843,$CG$7:$CG$1843,CG1672,$AX$7:$AX$1843,"&gt;"&amp;AX1672)+SUMIFS($AT$7:$AT$1843,$CG$7:$CG$1843,CG1672,$AX$7:$AX$1843,AX1672,$BX$7:$BX$1843,"&lt;="&amp;BX1672),"")</f>
        <v>38372.1699907908</v>
      </c>
      <c r="AZ1672" s="70" t="n">
        <f aca="false">IF(AY1672="",0,MAX(0,MIN(1,(IF(CG1672="L1",Parameter!$H$5,IF(CG1672="L23",Parameter!$H$6+Parameter!$H$7,Parameter!$H$5+Parameter!$H$6+Parameter!$H$7))-(AY1672-AT1672))/AT1672)))</f>
        <v>0</v>
      </c>
      <c r="BA1672" s="62" t="n">
        <f aca="false">IF(LEFT(Cockpit!$O$5,1)="A",H1672,IF(Parameter!$E$30="MAX-Bestand",IF(CI1672=1,CJ1672,IF(LEFT(Cockpit!$O$5,1)="B",BG1672,MAX(BG1672,H1672))),ROUNDUP(BE1672,0)))</f>
        <v>1</v>
      </c>
      <c r="BB1672" s="62" t="n">
        <f aca="false">IF(CA1672=1,0,ROUNDUP(BA1672/BZ1672,0))</f>
        <v>1</v>
      </c>
      <c r="BC1672" s="64" t="n">
        <f aca="false">IF(CR1672&gt;0,CR1672*MAX(1,BA1672/X1672),IF(CA1672=1,IF(BA1672&lt;=0,0,CE1672*MAX(1,IF(H1672&gt;0,BA1672/H1672,1))),IF(R1672&gt;0,BB1672/R1672,0))/MAX(0.1,N(Parameter!$M$21)))</f>
        <v>0.25</v>
      </c>
      <c r="BD1672" s="62" t="n">
        <f aca="false">BC1672*CC1672</f>
        <v>58.75</v>
      </c>
      <c r="BE1672" s="63" t="n">
        <f aca="false">IF(LEFT(Cockpit!$O$5,1)="A",H1672,IF(CI1672=1,(CL1672+CJ1672)/2,IF(LEFT(Cockpit!$O$5,1)="B",(CL1672+BG1672)/2,MAX((CL1672+BG1672)/2,H1672))))</f>
        <v>0.5</v>
      </c>
      <c r="BF1672" s="62" t="n">
        <f aca="false">BE1672*G1672</f>
        <v>713.065</v>
      </c>
      <c r="BG1672" s="62" t="n">
        <f aca="false">ROUNDUP(CL1672+MAX(CM1672,2*(J1672/IF(CH1672&gt;0,CH1672,MAX(0.1,N(Cockpit!$O$6)))-CL1672)),0)</f>
        <v>1</v>
      </c>
      <c r="BH1672" s="63" t="n">
        <f aca="false">IF(BD1672&gt;0,J1672/BD1672,-1)</f>
        <v>0</v>
      </c>
      <c r="BI1672" s="63" t="n">
        <f aca="false">IF(AND(OR(CG1672="L1",CG1672="L23",CG1672="LIFT"),BD1672&gt;0),SUMIFS($BD$7:$BD$1843,$CG$7:$CG$1843,CG1672,$BH$7:$BH$1843,"&gt;"&amp;BH1672)+SUMIFS($BD$7:$BD$1843,$CG$7:$CG$1843,CG1672,$BH$7:$BH$1843,BH1672,$BX$7:$BX$1843,"&lt;="&amp;BX1672),"")</f>
        <v>32046.6112663231</v>
      </c>
      <c r="BJ1672" s="70" t="n">
        <f aca="false">IF(BI1672="",0,MAX(0,MIN(1,(IF(CG1672="L1",Parameter!$H$5,IF(CG1672="L23",Parameter!$H$6+Parameter!$H$7,Parameter!$H$5+Parameter!$H$6+Parameter!$H$7))-(BI1672-BD1672))/BD1672)))</f>
        <v>1</v>
      </c>
      <c r="BK1672" s="60" t="str">
        <f aca="false">IF(AJ1672&lt;=0,"",IF(CG1672="Aussen","Aussenlager",IF(CG1672="-","Nicht im Lift",IF(AP1672&gt;=1,"Lift",IF(AP1672&lt;=0,"Aussenlager","teilweise")))))</f>
        <v>Lift</v>
      </c>
      <c r="BL1672" s="60" t="str">
        <f aca="false">IF(AT1672&lt;=0,"",IF(CG1672="Aussen","Aussenlager",IF(CG1672="-","Nicht im Lift",IF(AZ1672&gt;=1,"Lift",IF(AZ1672&lt;=0,"Aussenlager","teilweise")))))</f>
        <v>Aussenlager</v>
      </c>
      <c r="BM1672" s="60" t="str">
        <f aca="false">IF(BD1672&lt;=0,"",IF(CG1672="Aussen","Aussenlager",IF(CG1672="-","Nicht im Lift",IF(BJ1672&gt;=1,"Lift",IF(BJ1672&lt;=0,"Aussenlager","teilweise")))))</f>
        <v>Lift</v>
      </c>
      <c r="BN1672" s="60" t="str">
        <f aca="false">IF(A1672="","",IF(BW1672=1,"Neu; ","")&amp;IF(AND(BW1672=0,BR1672&lt;0),"negativer Bestand (Export "&amp;BR1672&amp;"); ","")&amp;IF(J1672&lt;=0,"Kein Verbrauch; ","")&amp;IF(CR1672&gt;0,"Lift "&amp;W1672&amp;" lt. Liftbericht (Fach "&amp;X1672&amp;" Stk); ",IF(CB1672=1,"Gebinde geschätzt ("&amp;T1672&amp;"); ",IF(CA1672=1,"Lose – Tablare geschätzt; ","")))&amp;IF(H1672&gt;AW1672,"Überbestand "&amp;ROUND(H1672-AW1672,0)&amp;" Stk / CHF "&amp;ROUND((H1672-AW1672)*G1672,0)&amp;"; ","")&amp;IF(AND(CI1672=1,CJ1672&lt;CK1672),"MAX &lt; MB+LG; ","")&amp;IF(AND(CQ1672&gt;0,CP1672*10&gt;CQ1672),"zu hoch für Tablar; ","")&amp;IF(AND(BW1672=0,OR(CI1672=1,AB1672&lt;&gt;"",U1672&lt;&gt;"",V1672&lt;&gt;"",AC1672&lt;&gt;"")),"manuell übersteuert; ","")&amp;IF(AND(CA1672=0,R1672=0),"Gebinde unbekannt / Stellmass fehlt; ","")&amp;IF(AND(CA1672=0,N(V1672)&lt;=0,N(Q1672)&lt;=0),"Menge pro Gebinde fehlt (Ist = 1 Gebinde); ","")&amp;BV1672)</f>
        <v>Kein Verbrauch; Überbestand 6 Stk / CHF 8557; nur im Artikelstamm (Bestand 23.06.2026)</v>
      </c>
      <c r="BO1672" s="60"/>
      <c r="BP1672" s="60"/>
      <c r="BQ1672" s="67"/>
      <c r="BR1672" s="62" t="n">
        <v>7</v>
      </c>
      <c r="BS1672" s="62" t="n">
        <v>0</v>
      </c>
      <c r="BT1672" s="61" t="n">
        <v>0</v>
      </c>
      <c r="BU1672" s="62" t="n">
        <v>0</v>
      </c>
      <c r="BV1672" s="60" t="s">
        <v>2617</v>
      </c>
      <c r="BW1672" s="65" t="n">
        <v>0</v>
      </c>
      <c r="BX1672" s="65" t="n">
        <v>1672</v>
      </c>
      <c r="BY1672" s="60" t="str">
        <f aca="false">IF(U1672&lt;&gt;"",UPPER(TRIM(U1672)),IF(CB1672=1,UPPER(VLOOKUP(T1672,Parameter!$I$27:$K$29,2,0)),IF(P1672="","LOSE",P1672)))</f>
        <v>S81</v>
      </c>
      <c r="BZ1672" s="62" t="n">
        <f aca="false">IF(BY1672="LOSE",1,IF(N(V1672)&gt;0,V1672,IF(CB1672=1,MAX(1,N(VLOOKUP(T1672,Parameter!$I$27:$K$29,3,0)),H1672,N(N1672)),IF(N(Q1672)&gt;0,Q1672,MAX(1,H1672)))))</f>
        <v>10</v>
      </c>
      <c r="CA1672" s="65" t="n">
        <f aca="false">IF(BY1672="LOSE",1,0)</f>
        <v>0</v>
      </c>
      <c r="CB1672" s="65" t="n">
        <f aca="false">IF(AND(U1672="",OR(P1672="",P1672="LOSE"),T1672&lt;&gt;"",N(S1672)&lt;=0,ISNUMBER(MATCH(T1672,Parameter!$I$27:$I$29,0))),1,0)</f>
        <v>0</v>
      </c>
      <c r="CC1672" s="65" t="n">
        <f aca="false">IF(CR1672&gt;0,INDEX(Parameter!$H$5:$H$7,W1672)/INDEX(Parameter!$E$5:$E$7,W1672),IF(AND(CA1672=0,N(IFERROR(VLOOKUP(BY1672,'Gebinde-Kategorie'!$A$5:$N$45,14,0),0))&gt;0),VLOOKUP(BY1672,'Gebinde-Kategorie'!$A$5:$N$45,14,0)*10+Parameter!$M$23,Parameter!$M$24))</f>
        <v>235</v>
      </c>
      <c r="CD1672" s="60" t="str">
        <f aca="false">IF(AND(Parameter!$B$19="Ja",E1672&lt;&gt;"",ISNUMBER(MATCH(E1672,Parameter!$I$35:$I$52,0))),VLOOKUP(E1672,Parameter!$I$35:$J$52,2,0),IFERROR(VLOOKUP(D1672,Parameter!$A$35:$C$64,2,0),"Nein"))</f>
        <v>2+3</v>
      </c>
      <c r="CE1672" s="64" t="n">
        <f aca="false">IF(CA1672=0,0,IF(N(S1672)&gt;0,S1672,IFERROR(VLOOKUP(D1672,Parameter!$A$35:$C$64,3,0)+0,0)))</f>
        <v>0</v>
      </c>
      <c r="CF1672" s="60" t="n">
        <f aca="false">IF(AB1672&lt;&gt;"",AB1672,AA1672)</f>
        <v>2</v>
      </c>
      <c r="CG1672" s="60" t="str">
        <f aca="false">IF(OR(CF1672=1,CF1672=2,CF1672=3),IF(Parameter!$E$27="Ja","LIFT",IF(CF1672=1,"L1","L23")),IF(CF1672="Aussen","Aussen","-"))</f>
        <v>LIFT</v>
      </c>
      <c r="CH1672" s="71" t="n">
        <f aca="false">IF(N(AC1672)&gt;0,AC1672,0)</f>
        <v>0</v>
      </c>
      <c r="CI1672" s="65" t="n">
        <f aca="false">IF(ISNUMBER(AF1672),1,0)</f>
        <v>0</v>
      </c>
      <c r="CJ1672" s="62" t="n">
        <f aca="false">N(AF1672)</f>
        <v>0</v>
      </c>
      <c r="CK1672" s="62" t="n">
        <f aca="false">N(M1672)+N(N1672)</f>
        <v>1</v>
      </c>
      <c r="CL1672" s="62" t="n">
        <f aca="false">N(M1672)</f>
        <v>0</v>
      </c>
      <c r="CM1672" s="62" t="n">
        <f aca="false">N(N1672)</f>
        <v>1</v>
      </c>
      <c r="CN1672" s="62" t="n">
        <f aca="false">ROUNDUP(H1672/BZ1672,0)</f>
        <v>1</v>
      </c>
      <c r="CO1672" s="62" t="n">
        <f aca="false">ROUNDUP(CJ1672/BZ1672,0)</f>
        <v>0</v>
      </c>
      <c r="CP1672" s="65" t="n">
        <f aca="false">IF(CA1672=1,0,IFERROR(VLOOKUP(BY1672,'Gebinde-Kategorie'!$A$5:$N$45,5,0)+0,0))</f>
        <v>20</v>
      </c>
      <c r="CQ1672" s="65" t="n">
        <f aca="false">IFERROR(IF(OR(CF1672=1,CF1672=2,CF1672=3),N(INDEX(Parameter!$I$5:$I$7,CF1672)),0),0)</f>
        <v>0</v>
      </c>
      <c r="CR1672" s="64" t="n">
        <f aca="false">IF(AND(Parameter!$B$21="Ja",ISNUMBER(W1672),N(X1672)&gt;0),IFERROR(N(INDEX(Parameter!$L$5:$L$7,W1672))*INDEX(Parameter!$E$5:$E$7,W1672)*X1672/SUMIFS($X$7:$X$1843,$W$7:$W$1843,W1672),0),0)</f>
        <v>0</v>
      </c>
      <c r="CS1672" s="62" t="n">
        <f aca="false">IF(AND(OR(CG1672="L1",CG1672="L23",CG1672="LIFT"),H1672&gt;0),CC1672*IF(CR1672&gt;0,CR1672*MAX(1,H1672/X1672),IF(CA1672=1,CE1672,IF(R1672&gt;0,CN1672/R1672,0))/MAX(0.1,N(Parameter!$M$21))),"")</f>
        <v>58.75</v>
      </c>
      <c r="CT1672" s="64" t="n">
        <f aca="false">IF(CS1672="","",J1672/H1672)</f>
        <v>0</v>
      </c>
      <c r="CU1672" s="62" t="n">
        <f aca="false">IF(CS1672="","",H1672*G1672)</f>
        <v>9982.91</v>
      </c>
      <c r="CV1672" s="63" t="n">
        <f aca="false">IF(CS1672="","",(CL1672+ROUNDUP(CL1672+MAX(CM1672,2*(J1672/MAX(0.1,N(Einkauf!$C$6))-CL1672)),0))/2)</f>
        <v>0.5</v>
      </c>
      <c r="CW1672" s="62" t="n">
        <f aca="false">IF(CS1672="","",MAX(0,H1672-CV1672)*G1672)</f>
        <v>9269.845</v>
      </c>
      <c r="CX1672" s="62" t="n">
        <f aca="false">IF(CS1672="","",CS1672*MAX(0,1-CV1672/H1672))</f>
        <v>54.5535714285714</v>
      </c>
      <c r="CY1672" s="64" t="n">
        <f aca="false">IF(CS1672="","",PERCENTRANK($CS$7:$CS$1843,CS1672)+PERCENTRANK($CU$7:$CU$1843,CU1672)+1-PERCENTRANK($CT$7:$CT$1843,CT1672))</f>
        <v>2.867</v>
      </c>
      <c r="CZ1672" s="72" t="n">
        <f aca="false">IF(CS1672="","",CHOOSE(MATCH(Einkauf!$C$5,Parameter!$G$23:$G$27,0),CY1672,CS1672,CU1672,-CT1672,CW1672)+ROW()/1000000000)</f>
        <v>2.867001672</v>
      </c>
    </row>
    <row r="1673" customFormat="false" ht="15" hidden="false" customHeight="false" outlineLevel="0" collapsed="false">
      <c r="A1673" s="60" t="s">
        <v>2945</v>
      </c>
      <c r="B1673" s="60" t="s">
        <v>339</v>
      </c>
      <c r="C1673" s="60" t="s">
        <v>206</v>
      </c>
      <c r="D1673" s="60" t="s">
        <v>215</v>
      </c>
      <c r="E1673" s="60"/>
      <c r="F1673" s="60"/>
      <c r="G1673" s="61" t="n">
        <v>330.76</v>
      </c>
      <c r="H1673" s="62" t="n">
        <f aca="false">MAX(0,IF(AND(Parameter!$B$21="Ja",ISNUMBER(Y1673)),Y1673,IF(Parameter!$B$20="Jahresanfang 2025 + Export",BS1673+BR1673,BR1673)))</f>
        <v>8</v>
      </c>
      <c r="I1673" s="62" t="n">
        <f aca="false">H1673*G1673</f>
        <v>2646.08</v>
      </c>
      <c r="J1673" s="62" t="n">
        <f aca="false">BU1673*Parameter!$B$18</f>
        <v>0</v>
      </c>
      <c r="K1673" s="63"/>
      <c r="L1673" s="64"/>
      <c r="M1673" s="62" t="n">
        <v>0</v>
      </c>
      <c r="N1673" s="62" t="n">
        <v>1</v>
      </c>
      <c r="O1673" s="65" t="n">
        <v>21</v>
      </c>
      <c r="P1673" s="60" t="s">
        <v>265</v>
      </c>
      <c r="Q1673" s="62" t="n">
        <v>7</v>
      </c>
      <c r="R1673" s="65" t="n">
        <f aca="false">IF(CA1673=1,0,IFERROR(VLOOKUP(BY1673,'Gebinde-Kategorie'!$A$5:$N$45,13,0)+0,0))</f>
        <v>4</v>
      </c>
      <c r="S1673" s="66"/>
      <c r="T1673" s="67"/>
      <c r="U1673" s="67"/>
      <c r="V1673" s="67"/>
      <c r="W1673" s="60"/>
      <c r="X1673" s="62"/>
      <c r="Y1673" s="62"/>
      <c r="Z1673" s="60" t="n">
        <v>2</v>
      </c>
      <c r="AA1673" s="60" t="n">
        <f aca="false">IF(A1673="","",IF(AND(Parameter!$B$21="Ja",ISNUMBER(W1673)),W1673,IF(AND(Parameter!$E$27="Ja",ISNUMBER(Z1673),CD1673&lt;&gt;"Nein"),Z1673,IF(CD1673="2+3",IF(ISNUMBER(SEARCH("grosser Artikel",BV1673)),2,IFERROR(VLOOKUP(BY1673,Parameter!$F$35:$G$64,2,0),2)),IF(OR(CD1673="Nein",CD1673=""),"-",CD1673)))))</f>
        <v>2</v>
      </c>
      <c r="AB1673" s="67"/>
      <c r="AC1673" s="68"/>
      <c r="AD1673" s="62" t="n">
        <f aca="false">AW1673</f>
        <v>1</v>
      </c>
      <c r="AE1673" s="62" t="n">
        <f aca="false">MAX(AW1673,H1673)</f>
        <v>8</v>
      </c>
      <c r="AF1673" s="69"/>
      <c r="AG1673" s="62" t="n">
        <f aca="false">IF(LEFT(Cockpit!$C$5,1)="A",H1673,IF(Parameter!$E$30="MAX-Bestand",IF(CI1673=1,CJ1673,IF(LEFT(Cockpit!$C$5,1)="B",AM1673,MAX(AM1673,H1673))),ROUNDUP(AK1673,0)))</f>
        <v>8</v>
      </c>
      <c r="AH1673" s="62" t="n">
        <f aca="false">IF(CA1673=1,0,ROUNDUP(AG1673/BZ1673,0))</f>
        <v>2</v>
      </c>
      <c r="AI1673" s="64" t="n">
        <f aca="false">IF(CR1673&gt;0,CR1673*MAX(1,AG1673/X1673),IF(CA1673=1,IF(AG1673&lt;=0,0,CE1673*MAX(1,IF(H1673&gt;0,AG1673/H1673,1))),IF(R1673&gt;0,AH1673/R1673,0))/MAX(0.1,N(Parameter!$M$21)))</f>
        <v>0.5</v>
      </c>
      <c r="AJ1673" s="62" t="n">
        <f aca="false">AI1673*CC1673</f>
        <v>117.5</v>
      </c>
      <c r="AK1673" s="63" t="n">
        <f aca="false">IF(LEFT(Cockpit!$C$5,1)="A",H1673,IF(CI1673=1,(CL1673+CJ1673)/2,IF(LEFT(Cockpit!$C$5,1)="B",(CL1673+AM1673)/2,MAX((CL1673+AM1673)/2,H1673))))</f>
        <v>8</v>
      </c>
      <c r="AL1673" s="62" t="n">
        <f aca="false">AK1673*G1673</f>
        <v>2646.08</v>
      </c>
      <c r="AM1673" s="62" t="n">
        <f aca="false">ROUNDUP(CL1673+MAX(CM1673,2*(J1673/IF(CH1673&gt;0,CH1673,MAX(0.1,N(Cockpit!$C$6)))-CL1673)),0)</f>
        <v>1</v>
      </c>
      <c r="AN1673" s="63" t="n">
        <f aca="false">IF(AJ1673&gt;0,J1673/AJ1673,-1)</f>
        <v>0</v>
      </c>
      <c r="AO1673" s="63" t="n">
        <f aca="false">IF(AND(OR(CG1673="L1",CG1673="L23",CG1673="LIFT"),AJ1673&gt;0),SUMIFS($AJ$7:$AJ$1843,$CG$7:$CG$1843,CG1673,$AN$7:$AN$1843,"&gt;"&amp;AN1673)+SUMIFS($AJ$7:$AJ$1843,$CG$7:$CG$1843,CG1673,$AN$7:$AN$1843,AN1673,$BX$7:$BX$1843,"&lt;="&amp;BX1673),"")</f>
        <v>32017.4217602078</v>
      </c>
      <c r="AP1673" s="70" t="n">
        <f aca="false">IF(AO1673="",0,MAX(0,MIN(1,(IF(CG1673="L1",Parameter!$H$5,IF(CG1673="L23",Parameter!$H$6+Parameter!$H$7,Parameter!$H$5+Parameter!$H$6+Parameter!$H$7))-(AO1673-AJ1673))/AJ1673)))</f>
        <v>1</v>
      </c>
      <c r="AQ1673" s="62" t="n">
        <f aca="false">IF(LEFT(Cockpit!$I$5,1)="A",H1673,IF(Parameter!$E$30="MAX-Bestand",IF(CI1673=1,CJ1673,IF(LEFT(Cockpit!$I$5,1)="B",AW1673,MAX(AW1673,H1673))),ROUNDUP(AU1673,0)))</f>
        <v>8</v>
      </c>
      <c r="AR1673" s="62" t="n">
        <f aca="false">IF(CA1673=1,0,ROUNDUP(AQ1673/BZ1673,0))</f>
        <v>2</v>
      </c>
      <c r="AS1673" s="64" t="n">
        <f aca="false">IF(CR1673&gt;0,CR1673*MAX(1,AQ1673/X1673),IF(CA1673=1,IF(AQ1673&lt;=0,0,CE1673*MAX(1,IF(H1673&gt;0,AQ1673/H1673,1))),IF(R1673&gt;0,AR1673/R1673,0))/MAX(0.1,N(Parameter!$M$21)))</f>
        <v>0.5</v>
      </c>
      <c r="AT1673" s="62" t="n">
        <f aca="false">AS1673*CC1673</f>
        <v>117.5</v>
      </c>
      <c r="AU1673" s="63" t="n">
        <f aca="false">IF(LEFT(Cockpit!$I$5,1)="A",H1673,IF(CI1673=1,(CL1673+CJ1673)/2,IF(LEFT(Cockpit!$I$5,1)="B",(CL1673+AW1673)/2,MAX((CL1673+AW1673)/2,H1673))))</f>
        <v>8</v>
      </c>
      <c r="AV1673" s="62" t="n">
        <f aca="false">AU1673*G1673</f>
        <v>2646.08</v>
      </c>
      <c r="AW1673" s="62" t="n">
        <f aca="false">ROUNDUP(CL1673+MAX(CM1673,2*(J1673/IF(CH1673&gt;0,CH1673,MAX(0.1,N(Cockpit!$I$6)))-CL1673)),0)</f>
        <v>1</v>
      </c>
      <c r="AX1673" s="63" t="n">
        <f aca="false">IF(AT1673&gt;0,J1673/AT1673,-1)</f>
        <v>0</v>
      </c>
      <c r="AY1673" s="63" t="n">
        <f aca="false">IF(AND(OR(CG1673="L1",CG1673="L23",CG1673="LIFT"),AT1673&gt;0),SUMIFS($AT$7:$AT$1843,$CG$7:$CG$1843,CG1673,$AX$7:$AX$1843,"&gt;"&amp;AX1673)+SUMIFS($AT$7:$AT$1843,$CG$7:$CG$1843,CG1673,$AX$7:$AX$1843,AX1673,$BX$7:$BX$1843,"&lt;="&amp;BX1673),"")</f>
        <v>38489.6699907908</v>
      </c>
      <c r="AZ1673" s="70" t="n">
        <f aca="false">IF(AY1673="",0,MAX(0,MIN(1,(IF(CG1673="L1",Parameter!$H$5,IF(CG1673="L23",Parameter!$H$6+Parameter!$H$7,Parameter!$H$5+Parameter!$H$6+Parameter!$H$7))-(AY1673-AT1673))/AT1673)))</f>
        <v>0</v>
      </c>
      <c r="BA1673" s="62" t="n">
        <f aca="false">IF(LEFT(Cockpit!$O$5,1)="A",H1673,IF(Parameter!$E$30="MAX-Bestand",IF(CI1673=1,CJ1673,IF(LEFT(Cockpit!$O$5,1)="B",BG1673,MAX(BG1673,H1673))),ROUNDUP(BE1673,0)))</f>
        <v>1</v>
      </c>
      <c r="BB1673" s="62" t="n">
        <f aca="false">IF(CA1673=1,0,ROUNDUP(BA1673/BZ1673,0))</f>
        <v>1</v>
      </c>
      <c r="BC1673" s="64" t="n">
        <f aca="false">IF(CR1673&gt;0,CR1673*MAX(1,BA1673/X1673),IF(CA1673=1,IF(BA1673&lt;=0,0,CE1673*MAX(1,IF(H1673&gt;0,BA1673/H1673,1))),IF(R1673&gt;0,BB1673/R1673,0))/MAX(0.1,N(Parameter!$M$21)))</f>
        <v>0.25</v>
      </c>
      <c r="BD1673" s="62" t="n">
        <f aca="false">BC1673*CC1673</f>
        <v>58.75</v>
      </c>
      <c r="BE1673" s="63" t="n">
        <f aca="false">IF(LEFT(Cockpit!$O$5,1)="A",H1673,IF(CI1673=1,(CL1673+CJ1673)/2,IF(LEFT(Cockpit!$O$5,1)="B",(CL1673+BG1673)/2,MAX((CL1673+BG1673)/2,H1673))))</f>
        <v>0.5</v>
      </c>
      <c r="BF1673" s="62" t="n">
        <f aca="false">BE1673*G1673</f>
        <v>165.38</v>
      </c>
      <c r="BG1673" s="62" t="n">
        <f aca="false">ROUNDUP(CL1673+MAX(CM1673,2*(J1673/IF(CH1673&gt;0,CH1673,MAX(0.1,N(Cockpit!$O$6)))-CL1673)),0)</f>
        <v>1</v>
      </c>
      <c r="BH1673" s="63" t="n">
        <f aca="false">IF(BD1673&gt;0,J1673/BD1673,-1)</f>
        <v>0</v>
      </c>
      <c r="BI1673" s="63" t="n">
        <f aca="false">IF(AND(OR(CG1673="L1",CG1673="L23",CG1673="LIFT"),BD1673&gt;0),SUMIFS($BD$7:$BD$1843,$CG$7:$CG$1843,CG1673,$BH$7:$BH$1843,"&gt;"&amp;BH1673)+SUMIFS($BD$7:$BD$1843,$CG$7:$CG$1843,CG1673,$BH$7:$BH$1843,BH1673,$BX$7:$BX$1843,"&lt;="&amp;BX1673),"")</f>
        <v>32105.3612663231</v>
      </c>
      <c r="BJ1673" s="70" t="n">
        <f aca="false">IF(BI1673="",0,MAX(0,MIN(1,(IF(CG1673="L1",Parameter!$H$5,IF(CG1673="L23",Parameter!$H$6+Parameter!$H$7,Parameter!$H$5+Parameter!$H$6+Parameter!$H$7))-(BI1673-BD1673))/BD1673)))</f>
        <v>1</v>
      </c>
      <c r="BK1673" s="60" t="str">
        <f aca="false">IF(AJ1673&lt;=0,"",IF(CG1673="Aussen","Aussenlager",IF(CG1673="-","Nicht im Lift",IF(AP1673&gt;=1,"Lift",IF(AP1673&lt;=0,"Aussenlager","teilweise")))))</f>
        <v>Lift</v>
      </c>
      <c r="BL1673" s="60" t="str">
        <f aca="false">IF(AT1673&lt;=0,"",IF(CG1673="Aussen","Aussenlager",IF(CG1673="-","Nicht im Lift",IF(AZ1673&gt;=1,"Lift",IF(AZ1673&lt;=0,"Aussenlager","teilweise")))))</f>
        <v>Aussenlager</v>
      </c>
      <c r="BM1673" s="60" t="str">
        <f aca="false">IF(BD1673&lt;=0,"",IF(CG1673="Aussen","Aussenlager",IF(CG1673="-","Nicht im Lift",IF(BJ1673&gt;=1,"Lift",IF(BJ1673&lt;=0,"Aussenlager","teilweise")))))</f>
        <v>Lift</v>
      </c>
      <c r="BN1673" s="60" t="str">
        <f aca="false">IF(A1673="","",IF(BW1673=1,"Neu; ","")&amp;IF(AND(BW1673=0,BR1673&lt;0),"negativer Bestand (Export "&amp;BR1673&amp;"); ","")&amp;IF(J1673&lt;=0,"Kein Verbrauch; ","")&amp;IF(CR1673&gt;0,"Lift "&amp;W1673&amp;" lt. Liftbericht (Fach "&amp;X1673&amp;" Stk); ",IF(CB1673=1,"Gebinde geschätzt ("&amp;T1673&amp;"); ",IF(CA1673=1,"Lose – Tablare geschätzt; ","")))&amp;IF(H1673&gt;AW1673,"Überbestand "&amp;ROUND(H1673-AW1673,0)&amp;" Stk / CHF "&amp;ROUND((H1673-AW1673)*G1673,0)&amp;"; ","")&amp;IF(AND(CI1673=1,CJ1673&lt;CK1673),"MAX &lt; MB+LG; ","")&amp;IF(AND(CQ1673&gt;0,CP1673*10&gt;CQ1673),"zu hoch für Tablar; ","")&amp;IF(AND(BW1673=0,OR(CI1673=1,AB1673&lt;&gt;"",U1673&lt;&gt;"",V1673&lt;&gt;"",AC1673&lt;&gt;"")),"manuell übersteuert; ","")&amp;IF(AND(CA1673=0,R1673=0),"Gebinde unbekannt / Stellmass fehlt; ","")&amp;IF(AND(CA1673=0,N(V1673)&lt;=0,N(Q1673)&lt;=0),"Menge pro Gebinde fehlt (Ist = 1 Gebinde); ","")&amp;BV1673)</f>
        <v>Kein Verbrauch; Überbestand 7 Stk / CHF 2315; nur im Artikelstamm (Bestand 23.06.2026)</v>
      </c>
      <c r="BO1673" s="60"/>
      <c r="BP1673" s="60"/>
      <c r="BQ1673" s="67"/>
      <c r="BR1673" s="62" t="n">
        <v>8</v>
      </c>
      <c r="BS1673" s="62" t="n">
        <v>0</v>
      </c>
      <c r="BT1673" s="61" t="n">
        <v>0</v>
      </c>
      <c r="BU1673" s="62" t="n">
        <v>0</v>
      </c>
      <c r="BV1673" s="60" t="s">
        <v>2617</v>
      </c>
      <c r="BW1673" s="65" t="n">
        <v>0</v>
      </c>
      <c r="BX1673" s="65" t="n">
        <v>1673</v>
      </c>
      <c r="BY1673" s="60" t="str">
        <f aca="false">IF(U1673&lt;&gt;"",UPPER(TRIM(U1673)),IF(CB1673=1,UPPER(VLOOKUP(T1673,Parameter!$I$27:$K$29,2,0)),IF(P1673="","LOSE",P1673)))</f>
        <v>S81</v>
      </c>
      <c r="BZ1673" s="62" t="n">
        <f aca="false">IF(BY1673="LOSE",1,IF(N(V1673)&gt;0,V1673,IF(CB1673=1,MAX(1,N(VLOOKUP(T1673,Parameter!$I$27:$K$29,3,0)),H1673,N(N1673)),IF(N(Q1673)&gt;0,Q1673,MAX(1,H1673)))))</f>
        <v>7</v>
      </c>
      <c r="CA1673" s="65" t="n">
        <f aca="false">IF(BY1673="LOSE",1,0)</f>
        <v>0</v>
      </c>
      <c r="CB1673" s="65" t="n">
        <f aca="false">IF(AND(U1673="",OR(P1673="",P1673="LOSE"),T1673&lt;&gt;"",N(S1673)&lt;=0,ISNUMBER(MATCH(T1673,Parameter!$I$27:$I$29,0))),1,0)</f>
        <v>0</v>
      </c>
      <c r="CC1673" s="65" t="n">
        <f aca="false">IF(CR1673&gt;0,INDEX(Parameter!$H$5:$H$7,W1673)/INDEX(Parameter!$E$5:$E$7,W1673),IF(AND(CA1673=0,N(IFERROR(VLOOKUP(BY1673,'Gebinde-Kategorie'!$A$5:$N$45,14,0),0))&gt;0),VLOOKUP(BY1673,'Gebinde-Kategorie'!$A$5:$N$45,14,0)*10+Parameter!$M$23,Parameter!$M$24))</f>
        <v>235</v>
      </c>
      <c r="CD1673" s="60" t="str">
        <f aca="false">IF(AND(Parameter!$B$19="Ja",E1673&lt;&gt;"",ISNUMBER(MATCH(E1673,Parameter!$I$35:$I$52,0))),VLOOKUP(E1673,Parameter!$I$35:$J$52,2,0),IFERROR(VLOOKUP(D1673,Parameter!$A$35:$C$64,2,0),"Nein"))</f>
        <v>2+3</v>
      </c>
      <c r="CE1673" s="64" t="n">
        <f aca="false">IF(CA1673=0,0,IF(N(S1673)&gt;0,S1673,IFERROR(VLOOKUP(D1673,Parameter!$A$35:$C$64,3,0)+0,0)))</f>
        <v>0</v>
      </c>
      <c r="CF1673" s="60" t="n">
        <f aca="false">IF(AB1673&lt;&gt;"",AB1673,AA1673)</f>
        <v>2</v>
      </c>
      <c r="CG1673" s="60" t="str">
        <f aca="false">IF(OR(CF1673=1,CF1673=2,CF1673=3),IF(Parameter!$E$27="Ja","LIFT",IF(CF1673=1,"L1","L23")),IF(CF1673="Aussen","Aussen","-"))</f>
        <v>LIFT</v>
      </c>
      <c r="CH1673" s="71" t="n">
        <f aca="false">IF(N(AC1673)&gt;0,AC1673,0)</f>
        <v>0</v>
      </c>
      <c r="CI1673" s="65" t="n">
        <f aca="false">IF(ISNUMBER(AF1673),1,0)</f>
        <v>0</v>
      </c>
      <c r="CJ1673" s="62" t="n">
        <f aca="false">N(AF1673)</f>
        <v>0</v>
      </c>
      <c r="CK1673" s="62" t="n">
        <f aca="false">N(M1673)+N(N1673)</f>
        <v>1</v>
      </c>
      <c r="CL1673" s="62" t="n">
        <f aca="false">N(M1673)</f>
        <v>0</v>
      </c>
      <c r="CM1673" s="62" t="n">
        <f aca="false">N(N1673)</f>
        <v>1</v>
      </c>
      <c r="CN1673" s="62" t="n">
        <f aca="false">ROUNDUP(H1673/BZ1673,0)</f>
        <v>2</v>
      </c>
      <c r="CO1673" s="62" t="n">
        <f aca="false">ROUNDUP(CJ1673/BZ1673,0)</f>
        <v>0</v>
      </c>
      <c r="CP1673" s="65" t="n">
        <f aca="false">IF(CA1673=1,0,IFERROR(VLOOKUP(BY1673,'Gebinde-Kategorie'!$A$5:$N$45,5,0)+0,0))</f>
        <v>20</v>
      </c>
      <c r="CQ1673" s="65" t="n">
        <f aca="false">IFERROR(IF(OR(CF1673=1,CF1673=2,CF1673=3),N(INDEX(Parameter!$I$5:$I$7,CF1673)),0),0)</f>
        <v>0</v>
      </c>
      <c r="CR1673" s="64" t="n">
        <f aca="false">IF(AND(Parameter!$B$21="Ja",ISNUMBER(W1673),N(X1673)&gt;0),IFERROR(N(INDEX(Parameter!$L$5:$L$7,W1673))*INDEX(Parameter!$E$5:$E$7,W1673)*X1673/SUMIFS($X$7:$X$1843,$W$7:$W$1843,W1673),0),0)</f>
        <v>0</v>
      </c>
      <c r="CS1673" s="62" t="n">
        <f aca="false">IF(AND(OR(CG1673="L1",CG1673="L23",CG1673="LIFT"),H1673&gt;0),CC1673*IF(CR1673&gt;0,CR1673*MAX(1,H1673/X1673),IF(CA1673=1,CE1673,IF(R1673&gt;0,CN1673/R1673,0))/MAX(0.1,N(Parameter!$M$21))),"")</f>
        <v>117.5</v>
      </c>
      <c r="CT1673" s="64" t="n">
        <f aca="false">IF(CS1673="","",J1673/H1673)</f>
        <v>0</v>
      </c>
      <c r="CU1673" s="62" t="n">
        <f aca="false">IF(CS1673="","",H1673*G1673)</f>
        <v>2646.08</v>
      </c>
      <c r="CV1673" s="63" t="n">
        <f aca="false">IF(CS1673="","",(CL1673+ROUNDUP(CL1673+MAX(CM1673,2*(J1673/MAX(0.1,N(Einkauf!$C$6))-CL1673)),0))/2)</f>
        <v>0.5</v>
      </c>
      <c r="CW1673" s="62" t="n">
        <f aca="false">IF(CS1673="","",MAX(0,H1673-CV1673)*G1673)</f>
        <v>2480.7</v>
      </c>
      <c r="CX1673" s="62" t="n">
        <f aca="false">IF(CS1673="","",CS1673*MAX(0,1-CV1673/H1673))</f>
        <v>110.15625</v>
      </c>
      <c r="CY1673" s="64" t="n">
        <f aca="false">IF(CS1673="","",PERCENTRANK($CS$7:$CS$1843,CS1673)+PERCENTRANK($CU$7:$CU$1843,CU1673)+1-PERCENTRANK($CT$7:$CT$1843,CT1673))</f>
        <v>2.773</v>
      </c>
      <c r="CZ1673" s="72" t="n">
        <f aca="false">IF(CS1673="","",CHOOSE(MATCH(Einkauf!$C$5,Parameter!$G$23:$G$27,0),CY1673,CS1673,CU1673,-CT1673,CW1673)+ROW()/1000000000)</f>
        <v>2.773001673</v>
      </c>
    </row>
    <row r="1674" customFormat="false" ht="15" hidden="false" customHeight="false" outlineLevel="0" collapsed="false">
      <c r="A1674" s="60" t="s">
        <v>2946</v>
      </c>
      <c r="B1674" s="60" t="s">
        <v>1464</v>
      </c>
      <c r="C1674" s="60" t="s">
        <v>206</v>
      </c>
      <c r="D1674" s="60" t="s">
        <v>215</v>
      </c>
      <c r="E1674" s="60"/>
      <c r="F1674" s="60"/>
      <c r="G1674" s="61" t="n">
        <v>785</v>
      </c>
      <c r="H1674" s="62" t="n">
        <f aca="false">MAX(0,IF(AND(Parameter!$B$21="Ja",ISNUMBER(Y1674)),Y1674,IF(Parameter!$B$20="Jahresanfang 2025 + Export",BS1674+BR1674,BR1674)))</f>
        <v>26</v>
      </c>
      <c r="I1674" s="62" t="n">
        <f aca="false">H1674*G1674</f>
        <v>20410</v>
      </c>
      <c r="J1674" s="62" t="n">
        <f aca="false">BU1674*Parameter!$B$18</f>
        <v>0</v>
      </c>
      <c r="K1674" s="63"/>
      <c r="L1674" s="64"/>
      <c r="M1674" s="62" t="n">
        <v>0</v>
      </c>
      <c r="N1674" s="62" t="n">
        <v>1</v>
      </c>
      <c r="O1674" s="65" t="n">
        <v>0</v>
      </c>
      <c r="P1674" s="60" t="s">
        <v>265</v>
      </c>
      <c r="Q1674" s="62" t="n">
        <v>5</v>
      </c>
      <c r="R1674" s="65" t="n">
        <f aca="false">IF(CA1674=1,0,IFERROR(VLOOKUP(BY1674,'Gebinde-Kategorie'!$A$5:$N$45,13,0)+0,0))</f>
        <v>4</v>
      </c>
      <c r="S1674" s="66"/>
      <c r="T1674" s="67"/>
      <c r="U1674" s="67"/>
      <c r="V1674" s="67"/>
      <c r="W1674" s="60"/>
      <c r="X1674" s="62"/>
      <c r="Y1674" s="62"/>
      <c r="Z1674" s="60" t="n">
        <v>2</v>
      </c>
      <c r="AA1674" s="60" t="n">
        <f aca="false">IF(A1674="","",IF(AND(Parameter!$B$21="Ja",ISNUMBER(W1674)),W1674,IF(AND(Parameter!$E$27="Ja",ISNUMBER(Z1674),CD1674&lt;&gt;"Nein"),Z1674,IF(CD1674="2+3",IF(ISNUMBER(SEARCH("grosser Artikel",BV1674)),2,IFERROR(VLOOKUP(BY1674,Parameter!$F$35:$G$64,2,0),2)),IF(OR(CD1674="Nein",CD1674=""),"-",CD1674)))))</f>
        <v>2</v>
      </c>
      <c r="AB1674" s="67"/>
      <c r="AC1674" s="68"/>
      <c r="AD1674" s="62" t="n">
        <f aca="false">AW1674</f>
        <v>1</v>
      </c>
      <c r="AE1674" s="62" t="n">
        <f aca="false">MAX(AW1674,H1674)</f>
        <v>26</v>
      </c>
      <c r="AF1674" s="69"/>
      <c r="AG1674" s="62" t="n">
        <f aca="false">IF(LEFT(Cockpit!$C$5,1)="A",H1674,IF(Parameter!$E$30="MAX-Bestand",IF(CI1674=1,CJ1674,IF(LEFT(Cockpit!$C$5,1)="B",AM1674,MAX(AM1674,H1674))),ROUNDUP(AK1674,0)))</f>
        <v>26</v>
      </c>
      <c r="AH1674" s="62" t="n">
        <f aca="false">IF(CA1674=1,0,ROUNDUP(AG1674/BZ1674,0))</f>
        <v>6</v>
      </c>
      <c r="AI1674" s="64" t="n">
        <f aca="false">IF(CR1674&gt;0,CR1674*MAX(1,AG1674/X1674),IF(CA1674=1,IF(AG1674&lt;=0,0,CE1674*MAX(1,IF(H1674&gt;0,AG1674/H1674,1))),IF(R1674&gt;0,AH1674/R1674,0))/MAX(0.1,N(Parameter!$M$21)))</f>
        <v>1.5</v>
      </c>
      <c r="AJ1674" s="62" t="n">
        <f aca="false">AI1674*CC1674</f>
        <v>352.5</v>
      </c>
      <c r="AK1674" s="63" t="n">
        <f aca="false">IF(LEFT(Cockpit!$C$5,1)="A",H1674,IF(CI1674=1,(CL1674+CJ1674)/2,IF(LEFT(Cockpit!$C$5,1)="B",(CL1674+AM1674)/2,MAX((CL1674+AM1674)/2,H1674))))</f>
        <v>26</v>
      </c>
      <c r="AL1674" s="62" t="n">
        <f aca="false">AK1674*G1674</f>
        <v>20410</v>
      </c>
      <c r="AM1674" s="62" t="n">
        <f aca="false">ROUNDUP(CL1674+MAX(CM1674,2*(J1674/IF(CH1674&gt;0,CH1674,MAX(0.1,N(Cockpit!$C$6)))-CL1674)),0)</f>
        <v>1</v>
      </c>
      <c r="AN1674" s="63" t="n">
        <f aca="false">IF(AJ1674&gt;0,J1674/AJ1674,-1)</f>
        <v>0</v>
      </c>
      <c r="AO1674" s="63" t="n">
        <f aca="false">IF(AND(OR(CG1674="L1",CG1674="L23",CG1674="LIFT"),AJ1674&gt;0),SUMIFS($AJ$7:$AJ$1843,$CG$7:$CG$1843,CG1674,$AN$7:$AN$1843,"&gt;"&amp;AN1674)+SUMIFS($AJ$7:$AJ$1843,$CG$7:$CG$1843,CG1674,$AN$7:$AN$1843,AN1674,$BX$7:$BX$1843,"&lt;="&amp;BX1674),"")</f>
        <v>32369.9217602078</v>
      </c>
      <c r="AP1674" s="70" t="n">
        <f aca="false">IF(AO1674="",0,MAX(0,MIN(1,(IF(CG1674="L1",Parameter!$H$5,IF(CG1674="L23",Parameter!$H$6+Parameter!$H$7,Parameter!$H$5+Parameter!$H$6+Parameter!$H$7))-(AO1674-AJ1674))/AJ1674)))</f>
        <v>1</v>
      </c>
      <c r="AQ1674" s="62" t="n">
        <f aca="false">IF(LEFT(Cockpit!$I$5,1)="A",H1674,IF(Parameter!$E$30="MAX-Bestand",IF(CI1674=1,CJ1674,IF(LEFT(Cockpit!$I$5,1)="B",AW1674,MAX(AW1674,H1674))),ROUNDUP(AU1674,0)))</f>
        <v>26</v>
      </c>
      <c r="AR1674" s="62" t="n">
        <f aca="false">IF(CA1674=1,0,ROUNDUP(AQ1674/BZ1674,0))</f>
        <v>6</v>
      </c>
      <c r="AS1674" s="64" t="n">
        <f aca="false">IF(CR1674&gt;0,CR1674*MAX(1,AQ1674/X1674),IF(CA1674=1,IF(AQ1674&lt;=0,0,CE1674*MAX(1,IF(H1674&gt;0,AQ1674/H1674,1))),IF(R1674&gt;0,AR1674/R1674,0))/MAX(0.1,N(Parameter!$M$21)))</f>
        <v>1.5</v>
      </c>
      <c r="AT1674" s="62" t="n">
        <f aca="false">AS1674*CC1674</f>
        <v>352.5</v>
      </c>
      <c r="AU1674" s="63" t="n">
        <f aca="false">IF(LEFT(Cockpit!$I$5,1)="A",H1674,IF(CI1674=1,(CL1674+CJ1674)/2,IF(LEFT(Cockpit!$I$5,1)="B",(CL1674+AW1674)/2,MAX((CL1674+AW1674)/2,H1674))))</f>
        <v>26</v>
      </c>
      <c r="AV1674" s="62" t="n">
        <f aca="false">AU1674*G1674</f>
        <v>20410</v>
      </c>
      <c r="AW1674" s="62" t="n">
        <f aca="false">ROUNDUP(CL1674+MAX(CM1674,2*(J1674/IF(CH1674&gt;0,CH1674,MAX(0.1,N(Cockpit!$I$6)))-CL1674)),0)</f>
        <v>1</v>
      </c>
      <c r="AX1674" s="63" t="n">
        <f aca="false">IF(AT1674&gt;0,J1674/AT1674,-1)</f>
        <v>0</v>
      </c>
      <c r="AY1674" s="63" t="n">
        <f aca="false">IF(AND(OR(CG1674="L1",CG1674="L23",CG1674="LIFT"),AT1674&gt;0),SUMIFS($AT$7:$AT$1843,$CG$7:$CG$1843,CG1674,$AX$7:$AX$1843,"&gt;"&amp;AX1674)+SUMIFS($AT$7:$AT$1843,$CG$7:$CG$1843,CG1674,$AX$7:$AX$1843,AX1674,$BX$7:$BX$1843,"&lt;="&amp;BX1674),"")</f>
        <v>38842.1699907908</v>
      </c>
      <c r="AZ1674" s="70" t="n">
        <f aca="false">IF(AY1674="",0,MAX(0,MIN(1,(IF(CG1674="L1",Parameter!$H$5,IF(CG1674="L23",Parameter!$H$6+Parameter!$H$7,Parameter!$H$5+Parameter!$H$6+Parameter!$H$7))-(AY1674-AT1674))/AT1674)))</f>
        <v>0</v>
      </c>
      <c r="BA1674" s="62" t="n">
        <f aca="false">IF(LEFT(Cockpit!$O$5,1)="A",H1674,IF(Parameter!$E$30="MAX-Bestand",IF(CI1674=1,CJ1674,IF(LEFT(Cockpit!$O$5,1)="B",BG1674,MAX(BG1674,H1674))),ROUNDUP(BE1674,0)))</f>
        <v>1</v>
      </c>
      <c r="BB1674" s="62" t="n">
        <f aca="false">IF(CA1674=1,0,ROUNDUP(BA1674/BZ1674,0))</f>
        <v>1</v>
      </c>
      <c r="BC1674" s="64" t="n">
        <f aca="false">IF(CR1674&gt;0,CR1674*MAX(1,BA1674/X1674),IF(CA1674=1,IF(BA1674&lt;=0,0,CE1674*MAX(1,IF(H1674&gt;0,BA1674/H1674,1))),IF(R1674&gt;0,BB1674/R1674,0))/MAX(0.1,N(Parameter!$M$21)))</f>
        <v>0.25</v>
      </c>
      <c r="BD1674" s="62" t="n">
        <f aca="false">BC1674*CC1674</f>
        <v>58.75</v>
      </c>
      <c r="BE1674" s="63" t="n">
        <f aca="false">IF(LEFT(Cockpit!$O$5,1)="A",H1674,IF(CI1674=1,(CL1674+CJ1674)/2,IF(LEFT(Cockpit!$O$5,1)="B",(CL1674+BG1674)/2,MAX((CL1674+BG1674)/2,H1674))))</f>
        <v>0.5</v>
      </c>
      <c r="BF1674" s="62" t="n">
        <f aca="false">BE1674*G1674</f>
        <v>392.5</v>
      </c>
      <c r="BG1674" s="62" t="n">
        <f aca="false">ROUNDUP(CL1674+MAX(CM1674,2*(J1674/IF(CH1674&gt;0,CH1674,MAX(0.1,N(Cockpit!$O$6)))-CL1674)),0)</f>
        <v>1</v>
      </c>
      <c r="BH1674" s="63" t="n">
        <f aca="false">IF(BD1674&gt;0,J1674/BD1674,-1)</f>
        <v>0</v>
      </c>
      <c r="BI1674" s="63" t="n">
        <f aca="false">IF(AND(OR(CG1674="L1",CG1674="L23",CG1674="LIFT"),BD1674&gt;0),SUMIFS($BD$7:$BD$1843,$CG$7:$CG$1843,CG1674,$BH$7:$BH$1843,"&gt;"&amp;BH1674)+SUMIFS($BD$7:$BD$1843,$CG$7:$CG$1843,CG1674,$BH$7:$BH$1843,BH1674,$BX$7:$BX$1843,"&lt;="&amp;BX1674),"")</f>
        <v>32164.1112663231</v>
      </c>
      <c r="BJ1674" s="70" t="n">
        <f aca="false">IF(BI1674="",0,MAX(0,MIN(1,(IF(CG1674="L1",Parameter!$H$5,IF(CG1674="L23",Parameter!$H$6+Parameter!$H$7,Parameter!$H$5+Parameter!$H$6+Parameter!$H$7))-(BI1674-BD1674))/BD1674)))</f>
        <v>1</v>
      </c>
      <c r="BK1674" s="60" t="str">
        <f aca="false">IF(AJ1674&lt;=0,"",IF(CG1674="Aussen","Aussenlager",IF(CG1674="-","Nicht im Lift",IF(AP1674&gt;=1,"Lift",IF(AP1674&lt;=0,"Aussenlager","teilweise")))))</f>
        <v>Lift</v>
      </c>
      <c r="BL1674" s="60" t="str">
        <f aca="false">IF(AT1674&lt;=0,"",IF(CG1674="Aussen","Aussenlager",IF(CG1674="-","Nicht im Lift",IF(AZ1674&gt;=1,"Lift",IF(AZ1674&lt;=0,"Aussenlager","teilweise")))))</f>
        <v>Aussenlager</v>
      </c>
      <c r="BM1674" s="60" t="str">
        <f aca="false">IF(BD1674&lt;=0,"",IF(CG1674="Aussen","Aussenlager",IF(CG1674="-","Nicht im Lift",IF(BJ1674&gt;=1,"Lift",IF(BJ1674&lt;=0,"Aussenlager","teilweise")))))</f>
        <v>Lift</v>
      </c>
      <c r="BN1674" s="60" t="str">
        <f aca="false">IF(A1674="","",IF(BW1674=1,"Neu; ","")&amp;IF(AND(BW1674=0,BR1674&lt;0),"negativer Bestand (Export "&amp;BR1674&amp;"); ","")&amp;IF(J1674&lt;=0,"Kein Verbrauch; ","")&amp;IF(CR1674&gt;0,"Lift "&amp;W1674&amp;" lt. Liftbericht (Fach "&amp;X1674&amp;" Stk); ",IF(CB1674=1,"Gebinde geschätzt ("&amp;T1674&amp;"); ",IF(CA1674=1,"Lose – Tablare geschätzt; ","")))&amp;IF(H1674&gt;AW1674,"Überbestand "&amp;ROUND(H1674-AW1674,0)&amp;" Stk / CHF "&amp;ROUND((H1674-AW1674)*G1674,0)&amp;"; ","")&amp;IF(AND(CI1674=1,CJ1674&lt;CK1674),"MAX &lt; MB+LG; ","")&amp;IF(AND(CQ1674&gt;0,CP1674*10&gt;CQ1674),"zu hoch für Tablar; ","")&amp;IF(AND(BW1674=0,OR(CI1674=1,AB1674&lt;&gt;"",U1674&lt;&gt;"",V1674&lt;&gt;"",AC1674&lt;&gt;"")),"manuell übersteuert; ","")&amp;IF(AND(CA1674=0,R1674=0),"Gebinde unbekannt / Stellmass fehlt; ","")&amp;IF(AND(CA1674=0,N(V1674)&lt;=0,N(Q1674)&lt;=0),"Menge pro Gebinde fehlt (Ist = 1 Gebinde); ","")&amp;BV1674)</f>
        <v>Kein Verbrauch; Überbestand 25 Stk / CHF 19625; nur im Artikelstamm (Bestand 23.06.2026)</v>
      </c>
      <c r="BO1674" s="60"/>
      <c r="BP1674" s="60"/>
      <c r="BQ1674" s="67"/>
      <c r="BR1674" s="62" t="n">
        <v>26</v>
      </c>
      <c r="BS1674" s="62" t="n">
        <v>0</v>
      </c>
      <c r="BT1674" s="61" t="n">
        <v>0</v>
      </c>
      <c r="BU1674" s="62" t="n">
        <v>0</v>
      </c>
      <c r="BV1674" s="60" t="s">
        <v>2617</v>
      </c>
      <c r="BW1674" s="65" t="n">
        <v>0</v>
      </c>
      <c r="BX1674" s="65" t="n">
        <v>1674</v>
      </c>
      <c r="BY1674" s="60" t="str">
        <f aca="false">IF(U1674&lt;&gt;"",UPPER(TRIM(U1674)),IF(CB1674=1,UPPER(VLOOKUP(T1674,Parameter!$I$27:$K$29,2,0)),IF(P1674="","LOSE",P1674)))</f>
        <v>S81</v>
      </c>
      <c r="BZ1674" s="62" t="n">
        <f aca="false">IF(BY1674="LOSE",1,IF(N(V1674)&gt;0,V1674,IF(CB1674=1,MAX(1,N(VLOOKUP(T1674,Parameter!$I$27:$K$29,3,0)),H1674,N(N1674)),IF(N(Q1674)&gt;0,Q1674,MAX(1,H1674)))))</f>
        <v>5</v>
      </c>
      <c r="CA1674" s="65" t="n">
        <f aca="false">IF(BY1674="LOSE",1,0)</f>
        <v>0</v>
      </c>
      <c r="CB1674" s="65" t="n">
        <f aca="false">IF(AND(U1674="",OR(P1674="",P1674="LOSE"),T1674&lt;&gt;"",N(S1674)&lt;=0,ISNUMBER(MATCH(T1674,Parameter!$I$27:$I$29,0))),1,0)</f>
        <v>0</v>
      </c>
      <c r="CC1674" s="65" t="n">
        <f aca="false">IF(CR1674&gt;0,INDEX(Parameter!$H$5:$H$7,W1674)/INDEX(Parameter!$E$5:$E$7,W1674),IF(AND(CA1674=0,N(IFERROR(VLOOKUP(BY1674,'Gebinde-Kategorie'!$A$5:$N$45,14,0),0))&gt;0),VLOOKUP(BY1674,'Gebinde-Kategorie'!$A$5:$N$45,14,0)*10+Parameter!$M$23,Parameter!$M$24))</f>
        <v>235</v>
      </c>
      <c r="CD1674" s="60" t="str">
        <f aca="false">IF(AND(Parameter!$B$19="Ja",E1674&lt;&gt;"",ISNUMBER(MATCH(E1674,Parameter!$I$35:$I$52,0))),VLOOKUP(E1674,Parameter!$I$35:$J$52,2,0),IFERROR(VLOOKUP(D1674,Parameter!$A$35:$C$64,2,0),"Nein"))</f>
        <v>2+3</v>
      </c>
      <c r="CE1674" s="64" t="n">
        <f aca="false">IF(CA1674=0,0,IF(N(S1674)&gt;0,S1674,IFERROR(VLOOKUP(D1674,Parameter!$A$35:$C$64,3,0)+0,0)))</f>
        <v>0</v>
      </c>
      <c r="CF1674" s="60" t="n">
        <f aca="false">IF(AB1674&lt;&gt;"",AB1674,AA1674)</f>
        <v>2</v>
      </c>
      <c r="CG1674" s="60" t="str">
        <f aca="false">IF(OR(CF1674=1,CF1674=2,CF1674=3),IF(Parameter!$E$27="Ja","LIFT",IF(CF1674=1,"L1","L23")),IF(CF1674="Aussen","Aussen","-"))</f>
        <v>LIFT</v>
      </c>
      <c r="CH1674" s="71" t="n">
        <f aca="false">IF(N(AC1674)&gt;0,AC1674,0)</f>
        <v>0</v>
      </c>
      <c r="CI1674" s="65" t="n">
        <f aca="false">IF(ISNUMBER(AF1674),1,0)</f>
        <v>0</v>
      </c>
      <c r="CJ1674" s="62" t="n">
        <f aca="false">N(AF1674)</f>
        <v>0</v>
      </c>
      <c r="CK1674" s="62" t="n">
        <f aca="false">N(M1674)+N(N1674)</f>
        <v>1</v>
      </c>
      <c r="CL1674" s="62" t="n">
        <f aca="false">N(M1674)</f>
        <v>0</v>
      </c>
      <c r="CM1674" s="62" t="n">
        <f aca="false">N(N1674)</f>
        <v>1</v>
      </c>
      <c r="CN1674" s="62" t="n">
        <f aca="false">ROUNDUP(H1674/BZ1674,0)</f>
        <v>6</v>
      </c>
      <c r="CO1674" s="62" t="n">
        <f aca="false">ROUNDUP(CJ1674/BZ1674,0)</f>
        <v>0</v>
      </c>
      <c r="CP1674" s="65" t="n">
        <f aca="false">IF(CA1674=1,0,IFERROR(VLOOKUP(BY1674,'Gebinde-Kategorie'!$A$5:$N$45,5,0)+0,0))</f>
        <v>20</v>
      </c>
      <c r="CQ1674" s="65" t="n">
        <f aca="false">IFERROR(IF(OR(CF1674=1,CF1674=2,CF1674=3),N(INDEX(Parameter!$I$5:$I$7,CF1674)),0),0)</f>
        <v>0</v>
      </c>
      <c r="CR1674" s="64" t="n">
        <f aca="false">IF(AND(Parameter!$B$21="Ja",ISNUMBER(W1674),N(X1674)&gt;0),IFERROR(N(INDEX(Parameter!$L$5:$L$7,W1674))*INDEX(Parameter!$E$5:$E$7,W1674)*X1674/SUMIFS($X$7:$X$1843,$W$7:$W$1843,W1674),0),0)</f>
        <v>0</v>
      </c>
      <c r="CS1674" s="62" t="n">
        <f aca="false">IF(AND(OR(CG1674="L1",CG1674="L23",CG1674="LIFT"),H1674&gt;0),CC1674*IF(CR1674&gt;0,CR1674*MAX(1,H1674/X1674),IF(CA1674=1,CE1674,IF(R1674&gt;0,CN1674/R1674,0))/MAX(0.1,N(Parameter!$M$21))),"")</f>
        <v>352.5</v>
      </c>
      <c r="CT1674" s="64" t="n">
        <f aca="false">IF(CS1674="","",J1674/H1674)</f>
        <v>0</v>
      </c>
      <c r="CU1674" s="62" t="n">
        <f aca="false">IF(CS1674="","",H1674*G1674)</f>
        <v>20410</v>
      </c>
      <c r="CV1674" s="63" t="n">
        <f aca="false">IF(CS1674="","",(CL1674+ROUNDUP(CL1674+MAX(CM1674,2*(J1674/MAX(0.1,N(Einkauf!$C$6))-CL1674)),0))/2)</f>
        <v>0.5</v>
      </c>
      <c r="CW1674" s="62" t="n">
        <f aca="false">IF(CS1674="","",MAX(0,H1674-CV1674)*G1674)</f>
        <v>20017.5</v>
      </c>
      <c r="CX1674" s="62" t="n">
        <f aca="false">IF(CS1674="","",CS1674*MAX(0,1-CV1674/H1674))</f>
        <v>345.721153846154</v>
      </c>
      <c r="CY1674" s="64" t="n">
        <f aca="false">IF(CS1674="","",PERCENTRANK($CS$7:$CS$1843,CS1674)+PERCENTRANK($CU$7:$CU$1843,CU1674)+1-PERCENTRANK($CT$7:$CT$1843,CT1674))</f>
        <v>2.975</v>
      </c>
      <c r="CZ1674" s="72" t="n">
        <f aca="false">IF(CS1674="","",CHOOSE(MATCH(Einkauf!$C$5,Parameter!$G$23:$G$27,0),CY1674,CS1674,CU1674,-CT1674,CW1674)+ROW()/1000000000)</f>
        <v>2.975001674</v>
      </c>
    </row>
    <row r="1675" customFormat="false" ht="15" hidden="false" customHeight="false" outlineLevel="0" collapsed="false">
      <c r="A1675" s="60" t="s">
        <v>2947</v>
      </c>
      <c r="B1675" s="60" t="s">
        <v>2948</v>
      </c>
      <c r="C1675" s="60" t="s">
        <v>206</v>
      </c>
      <c r="D1675" s="60" t="s">
        <v>215</v>
      </c>
      <c r="E1675" s="60"/>
      <c r="F1675" s="60"/>
      <c r="G1675" s="61" t="n">
        <v>288.29</v>
      </c>
      <c r="H1675" s="62" t="n">
        <f aca="false">MAX(0,IF(AND(Parameter!$B$21="Ja",ISNUMBER(Y1675)),Y1675,IF(Parameter!$B$20="Jahresanfang 2025 + Export",BS1675+BR1675,BR1675)))</f>
        <v>13</v>
      </c>
      <c r="I1675" s="62" t="n">
        <f aca="false">H1675*G1675</f>
        <v>3747.77</v>
      </c>
      <c r="J1675" s="62" t="n">
        <f aca="false">BU1675*Parameter!$B$18</f>
        <v>0</v>
      </c>
      <c r="K1675" s="63"/>
      <c r="L1675" s="64"/>
      <c r="M1675" s="62" t="n">
        <v>0</v>
      </c>
      <c r="N1675" s="62" t="n">
        <v>5</v>
      </c>
      <c r="O1675" s="65" t="n">
        <v>84</v>
      </c>
      <c r="P1675" s="60" t="s">
        <v>216</v>
      </c>
      <c r="Q1675" s="62" t="n">
        <v>15</v>
      </c>
      <c r="R1675" s="65" t="n">
        <f aca="false">IF(CA1675=1,0,IFERROR(VLOOKUP(BY1675,'Gebinde-Kategorie'!$A$5:$N$45,13,0)+0,0))</f>
        <v>6</v>
      </c>
      <c r="S1675" s="66"/>
      <c r="T1675" s="67"/>
      <c r="U1675" s="67"/>
      <c r="V1675" s="67"/>
      <c r="W1675" s="60"/>
      <c r="X1675" s="62"/>
      <c r="Y1675" s="62"/>
      <c r="Z1675" s="60" t="n">
        <v>2</v>
      </c>
      <c r="AA1675" s="60" t="n">
        <f aca="false">IF(A1675="","",IF(AND(Parameter!$B$21="Ja",ISNUMBER(W1675)),W1675,IF(AND(Parameter!$E$27="Ja",ISNUMBER(Z1675),CD1675&lt;&gt;"Nein"),Z1675,IF(CD1675="2+3",IF(ISNUMBER(SEARCH("grosser Artikel",BV1675)),2,IFERROR(VLOOKUP(BY1675,Parameter!$F$35:$G$64,2,0),2)),IF(OR(CD1675="Nein",CD1675=""),"-",CD1675)))))</f>
        <v>2</v>
      </c>
      <c r="AB1675" s="67"/>
      <c r="AC1675" s="68"/>
      <c r="AD1675" s="62" t="n">
        <f aca="false">AW1675</f>
        <v>5</v>
      </c>
      <c r="AE1675" s="62" t="n">
        <f aca="false">MAX(AW1675,H1675)</f>
        <v>13</v>
      </c>
      <c r="AF1675" s="69"/>
      <c r="AG1675" s="62" t="n">
        <f aca="false">IF(LEFT(Cockpit!$C$5,1)="A",H1675,IF(Parameter!$E$30="MAX-Bestand",IF(CI1675=1,CJ1675,IF(LEFT(Cockpit!$C$5,1)="B",AM1675,MAX(AM1675,H1675))),ROUNDUP(AK1675,0)))</f>
        <v>13</v>
      </c>
      <c r="AH1675" s="62" t="n">
        <f aca="false">IF(CA1675=1,0,ROUNDUP(AG1675/BZ1675,0))</f>
        <v>1</v>
      </c>
      <c r="AI1675" s="64" t="n">
        <f aca="false">IF(CR1675&gt;0,CR1675*MAX(1,AG1675/X1675),IF(CA1675=1,IF(AG1675&lt;=0,0,CE1675*MAX(1,IF(H1675&gt;0,AG1675/H1675,1))),IF(R1675&gt;0,AH1675/R1675,0))/MAX(0.1,N(Parameter!$M$21)))</f>
        <v>0.166666666666667</v>
      </c>
      <c r="AJ1675" s="62" t="n">
        <f aca="false">AI1675*CC1675</f>
        <v>39.1666666666667</v>
      </c>
      <c r="AK1675" s="63" t="n">
        <f aca="false">IF(LEFT(Cockpit!$C$5,1)="A",H1675,IF(CI1675=1,(CL1675+CJ1675)/2,IF(LEFT(Cockpit!$C$5,1)="B",(CL1675+AM1675)/2,MAX((CL1675+AM1675)/2,H1675))))</f>
        <v>13</v>
      </c>
      <c r="AL1675" s="62" t="n">
        <f aca="false">AK1675*G1675</f>
        <v>3747.77</v>
      </c>
      <c r="AM1675" s="62" t="n">
        <f aca="false">ROUNDUP(CL1675+MAX(CM1675,2*(J1675/IF(CH1675&gt;0,CH1675,MAX(0.1,N(Cockpit!$C$6)))-CL1675)),0)</f>
        <v>5</v>
      </c>
      <c r="AN1675" s="63" t="n">
        <f aca="false">IF(AJ1675&gt;0,J1675/AJ1675,-1)</f>
        <v>0</v>
      </c>
      <c r="AO1675" s="63" t="n">
        <f aca="false">IF(AND(OR(CG1675="L1",CG1675="L23",CG1675="LIFT"),AJ1675&gt;0),SUMIFS($AJ$7:$AJ$1843,$CG$7:$CG$1843,CG1675,$AN$7:$AN$1843,"&gt;"&amp;AN1675)+SUMIFS($AJ$7:$AJ$1843,$CG$7:$CG$1843,CG1675,$AN$7:$AN$1843,AN1675,$BX$7:$BX$1843,"&lt;="&amp;BX1675),"")</f>
        <v>32409.0884268744</v>
      </c>
      <c r="AP1675" s="70" t="n">
        <f aca="false">IF(AO1675="",0,MAX(0,MIN(1,(IF(CG1675="L1",Parameter!$H$5,IF(CG1675="L23",Parameter!$H$6+Parameter!$H$7,Parameter!$H$5+Parameter!$H$6+Parameter!$H$7))-(AO1675-AJ1675))/AJ1675)))</f>
        <v>1</v>
      </c>
      <c r="AQ1675" s="62" t="n">
        <f aca="false">IF(LEFT(Cockpit!$I$5,1)="A",H1675,IF(Parameter!$E$30="MAX-Bestand",IF(CI1675=1,CJ1675,IF(LEFT(Cockpit!$I$5,1)="B",AW1675,MAX(AW1675,H1675))),ROUNDUP(AU1675,0)))</f>
        <v>13</v>
      </c>
      <c r="AR1675" s="62" t="n">
        <f aca="false">IF(CA1675=1,0,ROUNDUP(AQ1675/BZ1675,0))</f>
        <v>1</v>
      </c>
      <c r="AS1675" s="64" t="n">
        <f aca="false">IF(CR1675&gt;0,CR1675*MAX(1,AQ1675/X1675),IF(CA1675=1,IF(AQ1675&lt;=0,0,CE1675*MAX(1,IF(H1675&gt;0,AQ1675/H1675,1))),IF(R1675&gt;0,AR1675/R1675,0))/MAX(0.1,N(Parameter!$M$21)))</f>
        <v>0.166666666666667</v>
      </c>
      <c r="AT1675" s="62" t="n">
        <f aca="false">AS1675*CC1675</f>
        <v>39.1666666666667</v>
      </c>
      <c r="AU1675" s="63" t="n">
        <f aca="false">IF(LEFT(Cockpit!$I$5,1)="A",H1675,IF(CI1675=1,(CL1675+CJ1675)/2,IF(LEFT(Cockpit!$I$5,1)="B",(CL1675+AW1675)/2,MAX((CL1675+AW1675)/2,H1675))))</f>
        <v>13</v>
      </c>
      <c r="AV1675" s="62" t="n">
        <f aca="false">AU1675*G1675</f>
        <v>3747.77</v>
      </c>
      <c r="AW1675" s="62" t="n">
        <f aca="false">ROUNDUP(CL1675+MAX(CM1675,2*(J1675/IF(CH1675&gt;0,CH1675,MAX(0.1,N(Cockpit!$I$6)))-CL1675)),0)</f>
        <v>5</v>
      </c>
      <c r="AX1675" s="63" t="n">
        <f aca="false">IF(AT1675&gt;0,J1675/AT1675,-1)</f>
        <v>0</v>
      </c>
      <c r="AY1675" s="63" t="n">
        <f aca="false">IF(AND(OR(CG1675="L1",CG1675="L23",CG1675="LIFT"),AT1675&gt;0),SUMIFS($AT$7:$AT$1843,$CG$7:$CG$1843,CG1675,$AX$7:$AX$1843,"&gt;"&amp;AX1675)+SUMIFS($AT$7:$AT$1843,$CG$7:$CG$1843,CG1675,$AX$7:$AX$1843,AX1675,$BX$7:$BX$1843,"&lt;="&amp;BX1675),"")</f>
        <v>38881.3366574574</v>
      </c>
      <c r="AZ1675" s="70" t="n">
        <f aca="false">IF(AY1675="",0,MAX(0,MIN(1,(IF(CG1675="L1",Parameter!$H$5,IF(CG1675="L23",Parameter!$H$6+Parameter!$H$7,Parameter!$H$5+Parameter!$H$6+Parameter!$H$7))-(AY1675-AT1675))/AT1675)))</f>
        <v>0</v>
      </c>
      <c r="BA1675" s="62" t="n">
        <f aca="false">IF(LEFT(Cockpit!$O$5,1)="A",H1675,IF(Parameter!$E$30="MAX-Bestand",IF(CI1675=1,CJ1675,IF(LEFT(Cockpit!$O$5,1)="B",BG1675,MAX(BG1675,H1675))),ROUNDUP(BE1675,0)))</f>
        <v>3</v>
      </c>
      <c r="BB1675" s="62" t="n">
        <f aca="false">IF(CA1675=1,0,ROUNDUP(BA1675/BZ1675,0))</f>
        <v>1</v>
      </c>
      <c r="BC1675" s="64" t="n">
        <f aca="false">IF(CR1675&gt;0,CR1675*MAX(1,BA1675/X1675),IF(CA1675=1,IF(BA1675&lt;=0,0,CE1675*MAX(1,IF(H1675&gt;0,BA1675/H1675,1))),IF(R1675&gt;0,BB1675/R1675,0))/MAX(0.1,N(Parameter!$M$21)))</f>
        <v>0.166666666666667</v>
      </c>
      <c r="BD1675" s="62" t="n">
        <f aca="false">BC1675*CC1675</f>
        <v>39.1666666666667</v>
      </c>
      <c r="BE1675" s="63" t="n">
        <f aca="false">IF(LEFT(Cockpit!$O$5,1)="A",H1675,IF(CI1675=1,(CL1675+CJ1675)/2,IF(LEFT(Cockpit!$O$5,1)="B",(CL1675+BG1675)/2,MAX((CL1675+BG1675)/2,H1675))))</f>
        <v>2.5</v>
      </c>
      <c r="BF1675" s="62" t="n">
        <f aca="false">BE1675*G1675</f>
        <v>720.725</v>
      </c>
      <c r="BG1675" s="62" t="n">
        <f aca="false">ROUNDUP(CL1675+MAX(CM1675,2*(J1675/IF(CH1675&gt;0,CH1675,MAX(0.1,N(Cockpit!$O$6)))-CL1675)),0)</f>
        <v>5</v>
      </c>
      <c r="BH1675" s="63" t="n">
        <f aca="false">IF(BD1675&gt;0,J1675/BD1675,-1)</f>
        <v>0</v>
      </c>
      <c r="BI1675" s="63" t="n">
        <f aca="false">IF(AND(OR(CG1675="L1",CG1675="L23",CG1675="LIFT"),BD1675&gt;0),SUMIFS($BD$7:$BD$1843,$CG$7:$CG$1843,CG1675,$BH$7:$BH$1843,"&gt;"&amp;BH1675)+SUMIFS($BD$7:$BD$1843,$CG$7:$CG$1843,CG1675,$BH$7:$BH$1843,BH1675,$BX$7:$BX$1843,"&lt;="&amp;BX1675),"")</f>
        <v>32203.2779329898</v>
      </c>
      <c r="BJ1675" s="70" t="n">
        <f aca="false">IF(BI1675="",0,MAX(0,MIN(1,(IF(CG1675="L1",Parameter!$H$5,IF(CG1675="L23",Parameter!$H$6+Parameter!$H$7,Parameter!$H$5+Parameter!$H$6+Parameter!$H$7))-(BI1675-BD1675))/BD1675)))</f>
        <v>1</v>
      </c>
      <c r="BK1675" s="60" t="str">
        <f aca="false">IF(AJ1675&lt;=0,"",IF(CG1675="Aussen","Aussenlager",IF(CG1675="-","Nicht im Lift",IF(AP1675&gt;=1,"Lift",IF(AP1675&lt;=0,"Aussenlager","teilweise")))))</f>
        <v>Lift</v>
      </c>
      <c r="BL1675" s="60" t="str">
        <f aca="false">IF(AT1675&lt;=0,"",IF(CG1675="Aussen","Aussenlager",IF(CG1675="-","Nicht im Lift",IF(AZ1675&gt;=1,"Lift",IF(AZ1675&lt;=0,"Aussenlager","teilweise")))))</f>
        <v>Aussenlager</v>
      </c>
      <c r="BM1675" s="60" t="str">
        <f aca="false">IF(BD1675&lt;=0,"",IF(CG1675="Aussen","Aussenlager",IF(CG1675="-","Nicht im Lift",IF(BJ1675&gt;=1,"Lift",IF(BJ1675&lt;=0,"Aussenlager","teilweise")))))</f>
        <v>Lift</v>
      </c>
      <c r="BN1675" s="60" t="str">
        <f aca="false">IF(A1675="","",IF(BW1675=1,"Neu; ","")&amp;IF(AND(BW1675=0,BR1675&lt;0),"negativer Bestand (Export "&amp;BR1675&amp;"); ","")&amp;IF(J1675&lt;=0,"Kein Verbrauch; ","")&amp;IF(CR1675&gt;0,"Lift "&amp;W1675&amp;" lt. Liftbericht (Fach "&amp;X1675&amp;" Stk); ",IF(CB1675=1,"Gebinde geschätzt ("&amp;T1675&amp;"); ",IF(CA1675=1,"Lose – Tablare geschätzt; ","")))&amp;IF(H1675&gt;AW1675,"Überbestand "&amp;ROUND(H1675-AW1675,0)&amp;" Stk / CHF "&amp;ROUND((H1675-AW1675)*G1675,0)&amp;"; ","")&amp;IF(AND(CI1675=1,CJ1675&lt;CK1675),"MAX &lt; MB+LG; ","")&amp;IF(AND(CQ1675&gt;0,CP1675*10&gt;CQ1675),"zu hoch für Tablar; ","")&amp;IF(AND(BW1675=0,OR(CI1675=1,AB1675&lt;&gt;"",U1675&lt;&gt;"",V1675&lt;&gt;"",AC1675&lt;&gt;"")),"manuell übersteuert; ","")&amp;IF(AND(CA1675=0,R1675=0),"Gebinde unbekannt / Stellmass fehlt; ","")&amp;IF(AND(CA1675=0,N(V1675)&lt;=0,N(Q1675)&lt;=0),"Menge pro Gebinde fehlt (Ist = 1 Gebinde); ","")&amp;BV1675)</f>
        <v>Kein Verbrauch; Überbestand 8 Stk / CHF 2306; nur im Artikelstamm (Bestand 23.06.2026); Überbestand</v>
      </c>
      <c r="BO1675" s="60"/>
      <c r="BP1675" s="60"/>
      <c r="BQ1675" s="67"/>
      <c r="BR1675" s="62" t="n">
        <v>13</v>
      </c>
      <c r="BS1675" s="62" t="n">
        <v>0</v>
      </c>
      <c r="BT1675" s="61" t="n">
        <v>0</v>
      </c>
      <c r="BU1675" s="62" t="n">
        <v>0</v>
      </c>
      <c r="BV1675" s="60" t="s">
        <v>2614</v>
      </c>
      <c r="BW1675" s="65" t="n">
        <v>0</v>
      </c>
      <c r="BX1675" s="65" t="n">
        <v>1675</v>
      </c>
      <c r="BY1675" s="60" t="str">
        <f aca="false">IF(U1675&lt;&gt;"",UPPER(TRIM(U1675)),IF(CB1675=1,UPPER(VLOOKUP(T1675,Parameter!$I$27:$K$29,2,0)),IF(P1675="","LOSE",P1675)))</f>
        <v>S71</v>
      </c>
      <c r="BZ1675" s="62" t="n">
        <f aca="false">IF(BY1675="LOSE",1,IF(N(V1675)&gt;0,V1675,IF(CB1675=1,MAX(1,N(VLOOKUP(T1675,Parameter!$I$27:$K$29,3,0)),H1675,N(N1675)),IF(N(Q1675)&gt;0,Q1675,MAX(1,H1675)))))</f>
        <v>15</v>
      </c>
      <c r="CA1675" s="65" t="n">
        <f aca="false">IF(BY1675="LOSE",1,0)</f>
        <v>0</v>
      </c>
      <c r="CB1675" s="65" t="n">
        <f aca="false">IF(AND(U1675="",OR(P1675="",P1675="LOSE"),T1675&lt;&gt;"",N(S1675)&lt;=0,ISNUMBER(MATCH(T1675,Parameter!$I$27:$I$29,0))),1,0)</f>
        <v>0</v>
      </c>
      <c r="CC1675" s="65" t="n">
        <f aca="false">IF(CR1675&gt;0,INDEX(Parameter!$H$5:$H$7,W1675)/INDEX(Parameter!$E$5:$E$7,W1675),IF(AND(CA1675=0,N(IFERROR(VLOOKUP(BY1675,'Gebinde-Kategorie'!$A$5:$N$45,14,0),0))&gt;0),VLOOKUP(BY1675,'Gebinde-Kategorie'!$A$5:$N$45,14,0)*10+Parameter!$M$23,Parameter!$M$24))</f>
        <v>235</v>
      </c>
      <c r="CD1675" s="60" t="str">
        <f aca="false">IF(AND(Parameter!$B$19="Ja",E1675&lt;&gt;"",ISNUMBER(MATCH(E1675,Parameter!$I$35:$I$52,0))),VLOOKUP(E1675,Parameter!$I$35:$J$52,2,0),IFERROR(VLOOKUP(D1675,Parameter!$A$35:$C$64,2,0),"Nein"))</f>
        <v>2+3</v>
      </c>
      <c r="CE1675" s="64" t="n">
        <f aca="false">IF(CA1675=0,0,IF(N(S1675)&gt;0,S1675,IFERROR(VLOOKUP(D1675,Parameter!$A$35:$C$64,3,0)+0,0)))</f>
        <v>0</v>
      </c>
      <c r="CF1675" s="60" t="n">
        <f aca="false">IF(AB1675&lt;&gt;"",AB1675,AA1675)</f>
        <v>2</v>
      </c>
      <c r="CG1675" s="60" t="str">
        <f aca="false">IF(OR(CF1675=1,CF1675=2,CF1675=3),IF(Parameter!$E$27="Ja","LIFT",IF(CF1675=1,"L1","L23")),IF(CF1675="Aussen","Aussen","-"))</f>
        <v>LIFT</v>
      </c>
      <c r="CH1675" s="71" t="n">
        <f aca="false">IF(N(AC1675)&gt;0,AC1675,0)</f>
        <v>0</v>
      </c>
      <c r="CI1675" s="65" t="n">
        <f aca="false">IF(ISNUMBER(AF1675),1,0)</f>
        <v>0</v>
      </c>
      <c r="CJ1675" s="62" t="n">
        <f aca="false">N(AF1675)</f>
        <v>0</v>
      </c>
      <c r="CK1675" s="62" t="n">
        <f aca="false">N(M1675)+N(N1675)</f>
        <v>5</v>
      </c>
      <c r="CL1675" s="62" t="n">
        <f aca="false">N(M1675)</f>
        <v>0</v>
      </c>
      <c r="CM1675" s="62" t="n">
        <f aca="false">N(N1675)</f>
        <v>5</v>
      </c>
      <c r="CN1675" s="62" t="n">
        <f aca="false">ROUNDUP(H1675/BZ1675,0)</f>
        <v>1</v>
      </c>
      <c r="CO1675" s="62" t="n">
        <f aca="false">ROUNDUP(CJ1675/BZ1675,0)</f>
        <v>0</v>
      </c>
      <c r="CP1675" s="65" t="n">
        <f aca="false">IF(CA1675=1,0,IFERROR(VLOOKUP(BY1675,'Gebinde-Kategorie'!$A$5:$N$45,5,0)+0,0))</f>
        <v>20</v>
      </c>
      <c r="CQ1675" s="65" t="n">
        <f aca="false">IFERROR(IF(OR(CF1675=1,CF1675=2,CF1675=3),N(INDEX(Parameter!$I$5:$I$7,CF1675)),0),0)</f>
        <v>0</v>
      </c>
      <c r="CR1675" s="64" t="n">
        <f aca="false">IF(AND(Parameter!$B$21="Ja",ISNUMBER(W1675),N(X1675)&gt;0),IFERROR(N(INDEX(Parameter!$L$5:$L$7,W1675))*INDEX(Parameter!$E$5:$E$7,W1675)*X1675/SUMIFS($X$7:$X$1843,$W$7:$W$1843,W1675),0),0)</f>
        <v>0</v>
      </c>
      <c r="CS1675" s="62" t="n">
        <f aca="false">IF(AND(OR(CG1675="L1",CG1675="L23",CG1675="LIFT"),H1675&gt;0),CC1675*IF(CR1675&gt;0,CR1675*MAX(1,H1675/X1675),IF(CA1675=1,CE1675,IF(R1675&gt;0,CN1675/R1675,0))/MAX(0.1,N(Parameter!$M$21))),"")</f>
        <v>39.1666666666667</v>
      </c>
      <c r="CT1675" s="64" t="n">
        <f aca="false">IF(CS1675="","",J1675/H1675)</f>
        <v>0</v>
      </c>
      <c r="CU1675" s="62" t="n">
        <f aca="false">IF(CS1675="","",H1675*G1675)</f>
        <v>3747.77</v>
      </c>
      <c r="CV1675" s="63" t="n">
        <f aca="false">IF(CS1675="","",(CL1675+ROUNDUP(CL1675+MAX(CM1675,2*(J1675/MAX(0.1,N(Einkauf!$C$6))-CL1675)),0))/2)</f>
        <v>2.5</v>
      </c>
      <c r="CW1675" s="62" t="n">
        <f aca="false">IF(CS1675="","",MAX(0,H1675-CV1675)*G1675)</f>
        <v>3027.045</v>
      </c>
      <c r="CX1675" s="62" t="n">
        <f aca="false">IF(CS1675="","",CS1675*MAX(0,1-CV1675/H1675))</f>
        <v>31.6346153846154</v>
      </c>
      <c r="CY1675" s="64" t="n">
        <f aca="false">IF(CS1675="","",PERCENTRANK($CS$7:$CS$1843,CS1675)+PERCENTRANK($CU$7:$CU$1843,CU1675)+1-PERCENTRANK($CT$7:$CT$1843,CT1675))</f>
        <v>2.727</v>
      </c>
      <c r="CZ1675" s="72" t="n">
        <f aca="false">IF(CS1675="","",CHOOSE(MATCH(Einkauf!$C$5,Parameter!$G$23:$G$27,0),CY1675,CS1675,CU1675,-CT1675,CW1675)+ROW()/1000000000)</f>
        <v>2.727001675</v>
      </c>
    </row>
    <row r="1676" customFormat="false" ht="15" hidden="false" customHeight="false" outlineLevel="0" collapsed="false">
      <c r="A1676" s="60" t="s">
        <v>2949</v>
      </c>
      <c r="B1676" s="60" t="s">
        <v>564</v>
      </c>
      <c r="C1676" s="60" t="s">
        <v>206</v>
      </c>
      <c r="D1676" s="60" t="s">
        <v>215</v>
      </c>
      <c r="E1676" s="60" t="s">
        <v>227</v>
      </c>
      <c r="F1676" s="60"/>
      <c r="G1676" s="61" t="n">
        <v>486.67</v>
      </c>
      <c r="H1676" s="62" t="n">
        <f aca="false">MAX(0,IF(AND(Parameter!$B$21="Ja",ISNUMBER(Y1676)),Y1676,IF(Parameter!$B$20="Jahresanfang 2025 + Export",BS1676+BR1676,BR1676)))</f>
        <v>2</v>
      </c>
      <c r="I1676" s="62" t="n">
        <f aca="false">H1676*G1676</f>
        <v>973.34</v>
      </c>
      <c r="J1676" s="62" t="n">
        <f aca="false">BU1676*Parameter!$B$18</f>
        <v>0</v>
      </c>
      <c r="K1676" s="63"/>
      <c r="L1676" s="64"/>
      <c r="M1676" s="62" t="n">
        <v>0</v>
      </c>
      <c r="N1676" s="62" t="n">
        <v>1</v>
      </c>
      <c r="O1676" s="65" t="n">
        <v>56</v>
      </c>
      <c r="P1676" s="60" t="s">
        <v>216</v>
      </c>
      <c r="Q1676" s="62" t="n">
        <v>7</v>
      </c>
      <c r="R1676" s="65" t="n">
        <f aca="false">IF(CA1676=1,0,IFERROR(VLOOKUP(BY1676,'Gebinde-Kategorie'!$A$5:$N$45,13,0)+0,0))</f>
        <v>6</v>
      </c>
      <c r="S1676" s="66"/>
      <c r="T1676" s="67"/>
      <c r="U1676" s="67"/>
      <c r="V1676" s="67"/>
      <c r="W1676" s="60"/>
      <c r="X1676" s="62"/>
      <c r="Y1676" s="62"/>
      <c r="Z1676" s="60" t="n">
        <v>1</v>
      </c>
      <c r="AA1676" s="60" t="n">
        <f aca="false">IF(A1676="","",IF(AND(Parameter!$B$21="Ja",ISNUMBER(W1676)),W1676,IF(AND(Parameter!$E$27="Ja",ISNUMBER(Z1676),CD1676&lt;&gt;"Nein"),Z1676,IF(CD1676="2+3",IF(ISNUMBER(SEARCH("grosser Artikel",BV1676)),2,IFERROR(VLOOKUP(BY1676,Parameter!$F$35:$G$64,2,0),2)),IF(OR(CD1676="Nein",CD1676=""),"-",CD1676)))))</f>
        <v>1</v>
      </c>
      <c r="AB1676" s="67"/>
      <c r="AC1676" s="68"/>
      <c r="AD1676" s="62" t="n">
        <f aca="false">AW1676</f>
        <v>1</v>
      </c>
      <c r="AE1676" s="62" t="n">
        <f aca="false">MAX(AW1676,H1676)</f>
        <v>2</v>
      </c>
      <c r="AF1676" s="69"/>
      <c r="AG1676" s="62" t="n">
        <f aca="false">IF(LEFT(Cockpit!$C$5,1)="A",H1676,IF(Parameter!$E$30="MAX-Bestand",IF(CI1676=1,CJ1676,IF(LEFT(Cockpit!$C$5,1)="B",AM1676,MAX(AM1676,H1676))),ROUNDUP(AK1676,0)))</f>
        <v>2</v>
      </c>
      <c r="AH1676" s="62" t="n">
        <f aca="false">IF(CA1676=1,0,ROUNDUP(AG1676/BZ1676,0))</f>
        <v>1</v>
      </c>
      <c r="AI1676" s="64" t="n">
        <f aca="false">IF(CR1676&gt;0,CR1676*MAX(1,AG1676/X1676),IF(CA1676=1,IF(AG1676&lt;=0,0,CE1676*MAX(1,IF(H1676&gt;0,AG1676/H1676,1))),IF(R1676&gt;0,AH1676/R1676,0))/MAX(0.1,N(Parameter!$M$21)))</f>
        <v>0.166666666666667</v>
      </c>
      <c r="AJ1676" s="62" t="n">
        <f aca="false">AI1676*CC1676</f>
        <v>39.1666666666667</v>
      </c>
      <c r="AK1676" s="63" t="n">
        <f aca="false">IF(LEFT(Cockpit!$C$5,1)="A",H1676,IF(CI1676=1,(CL1676+CJ1676)/2,IF(LEFT(Cockpit!$C$5,1)="B",(CL1676+AM1676)/2,MAX((CL1676+AM1676)/2,H1676))))</f>
        <v>2</v>
      </c>
      <c r="AL1676" s="62" t="n">
        <f aca="false">AK1676*G1676</f>
        <v>973.34</v>
      </c>
      <c r="AM1676" s="62" t="n">
        <f aca="false">ROUNDUP(CL1676+MAX(CM1676,2*(J1676/IF(CH1676&gt;0,CH1676,MAX(0.1,N(Cockpit!$C$6)))-CL1676)),0)</f>
        <v>1</v>
      </c>
      <c r="AN1676" s="63" t="n">
        <f aca="false">IF(AJ1676&gt;0,J1676/AJ1676,-1)</f>
        <v>0</v>
      </c>
      <c r="AO1676" s="63" t="n">
        <f aca="false">IF(AND(OR(CG1676="L1",CG1676="L23",CG1676="LIFT"),AJ1676&gt;0),SUMIFS($AJ$7:$AJ$1843,$CG$7:$CG$1843,CG1676,$AN$7:$AN$1843,"&gt;"&amp;AN1676)+SUMIFS($AJ$7:$AJ$1843,$CG$7:$CG$1843,CG1676,$AN$7:$AN$1843,AN1676,$BX$7:$BX$1843,"&lt;="&amp;BX1676),"")</f>
        <v>32448.2550935411</v>
      </c>
      <c r="AP1676" s="70" t="n">
        <f aca="false">IF(AO1676="",0,MAX(0,MIN(1,(IF(CG1676="L1",Parameter!$H$5,IF(CG1676="L23",Parameter!$H$6+Parameter!$H$7,Parameter!$H$5+Parameter!$H$6+Parameter!$H$7))-(AO1676-AJ1676))/AJ1676)))</f>
        <v>1</v>
      </c>
      <c r="AQ1676" s="62" t="n">
        <f aca="false">IF(LEFT(Cockpit!$I$5,1)="A",H1676,IF(Parameter!$E$30="MAX-Bestand",IF(CI1676=1,CJ1676,IF(LEFT(Cockpit!$I$5,1)="B",AW1676,MAX(AW1676,H1676))),ROUNDUP(AU1676,0)))</f>
        <v>2</v>
      </c>
      <c r="AR1676" s="62" t="n">
        <f aca="false">IF(CA1676=1,0,ROUNDUP(AQ1676/BZ1676,0))</f>
        <v>1</v>
      </c>
      <c r="AS1676" s="64" t="n">
        <f aca="false">IF(CR1676&gt;0,CR1676*MAX(1,AQ1676/X1676),IF(CA1676=1,IF(AQ1676&lt;=0,0,CE1676*MAX(1,IF(H1676&gt;0,AQ1676/H1676,1))),IF(R1676&gt;0,AR1676/R1676,0))/MAX(0.1,N(Parameter!$M$21)))</f>
        <v>0.166666666666667</v>
      </c>
      <c r="AT1676" s="62" t="n">
        <f aca="false">AS1676*CC1676</f>
        <v>39.1666666666667</v>
      </c>
      <c r="AU1676" s="63" t="n">
        <f aca="false">IF(LEFT(Cockpit!$I$5,1)="A",H1676,IF(CI1676=1,(CL1676+CJ1676)/2,IF(LEFT(Cockpit!$I$5,1)="B",(CL1676+AW1676)/2,MAX((CL1676+AW1676)/2,H1676))))</f>
        <v>2</v>
      </c>
      <c r="AV1676" s="62" t="n">
        <f aca="false">AU1676*G1676</f>
        <v>973.34</v>
      </c>
      <c r="AW1676" s="62" t="n">
        <f aca="false">ROUNDUP(CL1676+MAX(CM1676,2*(J1676/IF(CH1676&gt;0,CH1676,MAX(0.1,N(Cockpit!$I$6)))-CL1676)),0)</f>
        <v>1</v>
      </c>
      <c r="AX1676" s="63" t="n">
        <f aca="false">IF(AT1676&gt;0,J1676/AT1676,-1)</f>
        <v>0</v>
      </c>
      <c r="AY1676" s="63" t="n">
        <f aca="false">IF(AND(OR(CG1676="L1",CG1676="L23",CG1676="LIFT"),AT1676&gt;0),SUMIFS($AT$7:$AT$1843,$CG$7:$CG$1843,CG1676,$AX$7:$AX$1843,"&gt;"&amp;AX1676)+SUMIFS($AT$7:$AT$1843,$CG$7:$CG$1843,CG1676,$AX$7:$AX$1843,AX1676,$BX$7:$BX$1843,"&lt;="&amp;BX1676),"")</f>
        <v>38920.5033241241</v>
      </c>
      <c r="AZ1676" s="70" t="n">
        <f aca="false">IF(AY1676="",0,MAX(0,MIN(1,(IF(CG1676="L1",Parameter!$H$5,IF(CG1676="L23",Parameter!$H$6+Parameter!$H$7,Parameter!$H$5+Parameter!$H$6+Parameter!$H$7))-(AY1676-AT1676))/AT1676)))</f>
        <v>0</v>
      </c>
      <c r="BA1676" s="62" t="n">
        <f aca="false">IF(LEFT(Cockpit!$O$5,1)="A",H1676,IF(Parameter!$E$30="MAX-Bestand",IF(CI1676=1,CJ1676,IF(LEFT(Cockpit!$O$5,1)="B",BG1676,MAX(BG1676,H1676))),ROUNDUP(BE1676,0)))</f>
        <v>1</v>
      </c>
      <c r="BB1676" s="62" t="n">
        <f aca="false">IF(CA1676=1,0,ROUNDUP(BA1676/BZ1676,0))</f>
        <v>1</v>
      </c>
      <c r="BC1676" s="64" t="n">
        <f aca="false">IF(CR1676&gt;0,CR1676*MAX(1,BA1676/X1676),IF(CA1676=1,IF(BA1676&lt;=0,0,CE1676*MAX(1,IF(H1676&gt;0,BA1676/H1676,1))),IF(R1676&gt;0,BB1676/R1676,0))/MAX(0.1,N(Parameter!$M$21)))</f>
        <v>0.166666666666667</v>
      </c>
      <c r="BD1676" s="62" t="n">
        <f aca="false">BC1676*CC1676</f>
        <v>39.1666666666667</v>
      </c>
      <c r="BE1676" s="63" t="n">
        <f aca="false">IF(LEFT(Cockpit!$O$5,1)="A",H1676,IF(CI1676=1,(CL1676+CJ1676)/2,IF(LEFT(Cockpit!$O$5,1)="B",(CL1676+BG1676)/2,MAX((CL1676+BG1676)/2,H1676))))</f>
        <v>0.5</v>
      </c>
      <c r="BF1676" s="62" t="n">
        <f aca="false">BE1676*G1676</f>
        <v>243.335</v>
      </c>
      <c r="BG1676" s="62" t="n">
        <f aca="false">ROUNDUP(CL1676+MAX(CM1676,2*(J1676/IF(CH1676&gt;0,CH1676,MAX(0.1,N(Cockpit!$O$6)))-CL1676)),0)</f>
        <v>1</v>
      </c>
      <c r="BH1676" s="63" t="n">
        <f aca="false">IF(BD1676&gt;0,J1676/BD1676,-1)</f>
        <v>0</v>
      </c>
      <c r="BI1676" s="63" t="n">
        <f aca="false">IF(AND(OR(CG1676="L1",CG1676="L23",CG1676="LIFT"),BD1676&gt;0),SUMIFS($BD$7:$BD$1843,$CG$7:$CG$1843,CG1676,$BH$7:$BH$1843,"&gt;"&amp;BH1676)+SUMIFS($BD$7:$BD$1843,$CG$7:$CG$1843,CG1676,$BH$7:$BH$1843,BH1676,$BX$7:$BX$1843,"&lt;="&amp;BX1676),"")</f>
        <v>32242.4445996565</v>
      </c>
      <c r="BJ1676" s="70" t="n">
        <f aca="false">IF(BI1676="",0,MAX(0,MIN(1,(IF(CG1676="L1",Parameter!$H$5,IF(CG1676="L23",Parameter!$H$6+Parameter!$H$7,Parameter!$H$5+Parameter!$H$6+Parameter!$H$7))-(BI1676-BD1676))/BD1676)))</f>
        <v>1</v>
      </c>
      <c r="BK1676" s="60" t="str">
        <f aca="false">IF(AJ1676&lt;=0,"",IF(CG1676="Aussen","Aussenlager",IF(CG1676="-","Nicht im Lift",IF(AP1676&gt;=1,"Lift",IF(AP1676&lt;=0,"Aussenlager","teilweise")))))</f>
        <v>Lift</v>
      </c>
      <c r="BL1676" s="60" t="str">
        <f aca="false">IF(AT1676&lt;=0,"",IF(CG1676="Aussen","Aussenlager",IF(CG1676="-","Nicht im Lift",IF(AZ1676&gt;=1,"Lift",IF(AZ1676&lt;=0,"Aussenlager","teilweise")))))</f>
        <v>Aussenlager</v>
      </c>
      <c r="BM1676" s="60" t="str">
        <f aca="false">IF(BD1676&lt;=0,"",IF(CG1676="Aussen","Aussenlager",IF(CG1676="-","Nicht im Lift",IF(BJ1676&gt;=1,"Lift",IF(BJ1676&lt;=0,"Aussenlager","teilweise")))))</f>
        <v>Lift</v>
      </c>
      <c r="BN1676" s="60" t="str">
        <f aca="false">IF(A1676="","",IF(BW1676=1,"Neu; ","")&amp;IF(AND(BW1676=0,BR1676&lt;0),"negativer Bestand (Export "&amp;BR1676&amp;"); ","")&amp;IF(J1676&lt;=0,"Kein Verbrauch; ","")&amp;IF(CR1676&gt;0,"Lift "&amp;W1676&amp;" lt. Liftbericht (Fach "&amp;X1676&amp;" Stk); ",IF(CB1676=1,"Gebinde geschätzt ("&amp;T1676&amp;"); ",IF(CA1676=1,"Lose – Tablare geschätzt; ","")))&amp;IF(H1676&gt;AW1676,"Überbestand "&amp;ROUND(H1676-AW1676,0)&amp;" Stk / CHF "&amp;ROUND((H1676-AW1676)*G1676,0)&amp;"; ","")&amp;IF(AND(CI1676=1,CJ1676&lt;CK1676),"MAX &lt; MB+LG; ","")&amp;IF(AND(CQ1676&gt;0,CP1676*10&gt;CQ1676),"zu hoch für Tablar; ","")&amp;IF(AND(BW1676=0,OR(CI1676=1,AB1676&lt;&gt;"",U1676&lt;&gt;"",V1676&lt;&gt;"",AC1676&lt;&gt;"")),"manuell übersteuert; ","")&amp;IF(AND(CA1676=0,R1676=0),"Gebinde unbekannt / Stellmass fehlt; ","")&amp;IF(AND(CA1676=0,N(V1676)&lt;=0,N(Q1676)&lt;=0),"Menge pro Gebinde fehlt (Ist = 1 Gebinde); ","")&amp;BV1676)</f>
        <v>Kein Verbrauch; Überbestand 1 Stk / CHF 487; nur im Artikelstamm (Bestand 23.06.2026); grosser Artikel &amp; nicht im KTL</v>
      </c>
      <c r="BO1676" s="60"/>
      <c r="BP1676" s="60"/>
      <c r="BQ1676" s="67"/>
      <c r="BR1676" s="62" t="n">
        <v>2</v>
      </c>
      <c r="BS1676" s="62" t="n">
        <v>0</v>
      </c>
      <c r="BT1676" s="61" t="n">
        <v>0</v>
      </c>
      <c r="BU1676" s="62" t="n">
        <v>0</v>
      </c>
      <c r="BV1676" s="60" t="s">
        <v>2901</v>
      </c>
      <c r="BW1676" s="65" t="n">
        <v>0</v>
      </c>
      <c r="BX1676" s="65" t="n">
        <v>1676</v>
      </c>
      <c r="BY1676" s="60" t="str">
        <f aca="false">IF(U1676&lt;&gt;"",UPPER(TRIM(U1676)),IF(CB1676=1,UPPER(VLOOKUP(T1676,Parameter!$I$27:$K$29,2,0)),IF(P1676="","LOSE",P1676)))</f>
        <v>S71</v>
      </c>
      <c r="BZ1676" s="62" t="n">
        <f aca="false">IF(BY1676="LOSE",1,IF(N(V1676)&gt;0,V1676,IF(CB1676=1,MAX(1,N(VLOOKUP(T1676,Parameter!$I$27:$K$29,3,0)),H1676,N(N1676)),IF(N(Q1676)&gt;0,Q1676,MAX(1,H1676)))))</f>
        <v>7</v>
      </c>
      <c r="CA1676" s="65" t="n">
        <f aca="false">IF(BY1676="LOSE",1,0)</f>
        <v>0</v>
      </c>
      <c r="CB1676" s="65" t="n">
        <f aca="false">IF(AND(U1676="",OR(P1676="",P1676="LOSE"),T1676&lt;&gt;"",N(S1676)&lt;=0,ISNUMBER(MATCH(T1676,Parameter!$I$27:$I$29,0))),1,0)</f>
        <v>0</v>
      </c>
      <c r="CC1676" s="65" t="n">
        <f aca="false">IF(CR1676&gt;0,INDEX(Parameter!$H$5:$H$7,W1676)/INDEX(Parameter!$E$5:$E$7,W1676),IF(AND(CA1676=0,N(IFERROR(VLOOKUP(BY1676,'Gebinde-Kategorie'!$A$5:$N$45,14,0),0))&gt;0),VLOOKUP(BY1676,'Gebinde-Kategorie'!$A$5:$N$45,14,0)*10+Parameter!$M$23,Parameter!$M$24))</f>
        <v>235</v>
      </c>
      <c r="CD1676" s="60" t="str">
        <f aca="false">IF(AND(Parameter!$B$19="Ja",E1676&lt;&gt;"",ISNUMBER(MATCH(E1676,Parameter!$I$35:$I$52,0))),VLOOKUP(E1676,Parameter!$I$35:$J$52,2,0),IFERROR(VLOOKUP(D1676,Parameter!$A$35:$C$64,2,0),"Nein"))</f>
        <v>2+3</v>
      </c>
      <c r="CE1676" s="64" t="n">
        <f aca="false">IF(CA1676=0,0,IF(N(S1676)&gt;0,S1676,IFERROR(VLOOKUP(D1676,Parameter!$A$35:$C$64,3,0)+0,0)))</f>
        <v>0</v>
      </c>
      <c r="CF1676" s="60" t="n">
        <f aca="false">IF(AB1676&lt;&gt;"",AB1676,AA1676)</f>
        <v>1</v>
      </c>
      <c r="CG1676" s="60" t="str">
        <f aca="false">IF(OR(CF1676=1,CF1676=2,CF1676=3),IF(Parameter!$E$27="Ja","LIFT",IF(CF1676=1,"L1","L23")),IF(CF1676="Aussen","Aussen","-"))</f>
        <v>LIFT</v>
      </c>
      <c r="CH1676" s="71" t="n">
        <f aca="false">IF(N(AC1676)&gt;0,AC1676,0)</f>
        <v>0</v>
      </c>
      <c r="CI1676" s="65" t="n">
        <f aca="false">IF(ISNUMBER(AF1676),1,0)</f>
        <v>0</v>
      </c>
      <c r="CJ1676" s="62" t="n">
        <f aca="false">N(AF1676)</f>
        <v>0</v>
      </c>
      <c r="CK1676" s="62" t="n">
        <f aca="false">N(M1676)+N(N1676)</f>
        <v>1</v>
      </c>
      <c r="CL1676" s="62" t="n">
        <f aca="false">N(M1676)</f>
        <v>0</v>
      </c>
      <c r="CM1676" s="62" t="n">
        <f aca="false">N(N1676)</f>
        <v>1</v>
      </c>
      <c r="CN1676" s="62" t="n">
        <f aca="false">ROUNDUP(H1676/BZ1676,0)</f>
        <v>1</v>
      </c>
      <c r="CO1676" s="62" t="n">
        <f aca="false">ROUNDUP(CJ1676/BZ1676,0)</f>
        <v>0</v>
      </c>
      <c r="CP1676" s="65" t="n">
        <f aca="false">IF(CA1676=1,0,IFERROR(VLOOKUP(BY1676,'Gebinde-Kategorie'!$A$5:$N$45,5,0)+0,0))</f>
        <v>20</v>
      </c>
      <c r="CQ1676" s="65" t="n">
        <f aca="false">IFERROR(IF(OR(CF1676=1,CF1676=2,CF1676=3),N(INDEX(Parameter!$I$5:$I$7,CF1676)),0),0)</f>
        <v>0</v>
      </c>
      <c r="CR1676" s="64" t="n">
        <f aca="false">IF(AND(Parameter!$B$21="Ja",ISNUMBER(W1676),N(X1676)&gt;0),IFERROR(N(INDEX(Parameter!$L$5:$L$7,W1676))*INDEX(Parameter!$E$5:$E$7,W1676)*X1676/SUMIFS($X$7:$X$1843,$W$7:$W$1843,W1676),0),0)</f>
        <v>0</v>
      </c>
      <c r="CS1676" s="62" t="n">
        <f aca="false">IF(AND(OR(CG1676="L1",CG1676="L23",CG1676="LIFT"),H1676&gt;0),CC1676*IF(CR1676&gt;0,CR1676*MAX(1,H1676/X1676),IF(CA1676=1,CE1676,IF(R1676&gt;0,CN1676/R1676,0))/MAX(0.1,N(Parameter!$M$21))),"")</f>
        <v>39.1666666666667</v>
      </c>
      <c r="CT1676" s="64" t="n">
        <f aca="false">IF(CS1676="","",J1676/H1676)</f>
        <v>0</v>
      </c>
      <c r="CU1676" s="62" t="n">
        <f aca="false">IF(CS1676="","",H1676*G1676)</f>
        <v>973.34</v>
      </c>
      <c r="CV1676" s="63" t="n">
        <f aca="false">IF(CS1676="","",(CL1676+ROUNDUP(CL1676+MAX(CM1676,2*(J1676/MAX(0.1,N(Einkauf!$C$6))-CL1676)),0))/2)</f>
        <v>0.5</v>
      </c>
      <c r="CW1676" s="62" t="n">
        <f aca="false">IF(CS1676="","",MAX(0,H1676-CV1676)*G1676)</f>
        <v>730.005</v>
      </c>
      <c r="CX1676" s="62" t="n">
        <f aca="false">IF(CS1676="","",CS1676*MAX(0,1-CV1676/H1676))</f>
        <v>29.375</v>
      </c>
      <c r="CY1676" s="64" t="n">
        <f aca="false">IF(CS1676="","",PERCENTRANK($CS$7:$CS$1843,CS1676)+PERCENTRANK($CU$7:$CU$1843,CU1676)+1-PERCENTRANK($CT$7:$CT$1843,CT1676))</f>
        <v>2.505</v>
      </c>
      <c r="CZ1676" s="72" t="n">
        <f aca="false">IF(CS1676="","",CHOOSE(MATCH(Einkauf!$C$5,Parameter!$G$23:$G$27,0),CY1676,CS1676,CU1676,-CT1676,CW1676)+ROW()/1000000000)</f>
        <v>2.505001676</v>
      </c>
    </row>
    <row r="1677" customFormat="false" ht="15" hidden="false" customHeight="false" outlineLevel="0" collapsed="false">
      <c r="A1677" s="60" t="s">
        <v>2950</v>
      </c>
      <c r="B1677" s="60" t="s">
        <v>1464</v>
      </c>
      <c r="C1677" s="60" t="s">
        <v>206</v>
      </c>
      <c r="D1677" s="60" t="s">
        <v>215</v>
      </c>
      <c r="E1677" s="60"/>
      <c r="F1677" s="60"/>
      <c r="G1677" s="61" t="n">
        <v>550</v>
      </c>
      <c r="H1677" s="62" t="n">
        <f aca="false">MAX(0,IF(AND(Parameter!$B$21="Ja",ISNUMBER(Y1677)),Y1677,IF(Parameter!$B$20="Jahresanfang 2025 + Export",BS1677+BR1677,BR1677)))</f>
        <v>10</v>
      </c>
      <c r="I1677" s="62" t="n">
        <f aca="false">H1677*G1677</f>
        <v>5500</v>
      </c>
      <c r="J1677" s="62" t="n">
        <f aca="false">BU1677*Parameter!$B$18</f>
        <v>0</v>
      </c>
      <c r="K1677" s="63"/>
      <c r="L1677" s="64"/>
      <c r="M1677" s="62" t="n">
        <v>0</v>
      </c>
      <c r="N1677" s="62" t="n">
        <v>1</v>
      </c>
      <c r="O1677" s="65" t="n">
        <v>0</v>
      </c>
      <c r="P1677" s="60" t="s">
        <v>216</v>
      </c>
      <c r="Q1677" s="62" t="n">
        <v>6</v>
      </c>
      <c r="R1677" s="65" t="n">
        <f aca="false">IF(CA1677=1,0,IFERROR(VLOOKUP(BY1677,'Gebinde-Kategorie'!$A$5:$N$45,13,0)+0,0))</f>
        <v>6</v>
      </c>
      <c r="S1677" s="66"/>
      <c r="T1677" s="67"/>
      <c r="U1677" s="67"/>
      <c r="V1677" s="67"/>
      <c r="W1677" s="60"/>
      <c r="X1677" s="62"/>
      <c r="Y1677" s="62"/>
      <c r="Z1677" s="60" t="n">
        <v>2</v>
      </c>
      <c r="AA1677" s="60" t="n">
        <f aca="false">IF(A1677="","",IF(AND(Parameter!$B$21="Ja",ISNUMBER(W1677)),W1677,IF(AND(Parameter!$E$27="Ja",ISNUMBER(Z1677),CD1677&lt;&gt;"Nein"),Z1677,IF(CD1677="2+3",IF(ISNUMBER(SEARCH("grosser Artikel",BV1677)),2,IFERROR(VLOOKUP(BY1677,Parameter!$F$35:$G$64,2,0),2)),IF(OR(CD1677="Nein",CD1677=""),"-",CD1677)))))</f>
        <v>2</v>
      </c>
      <c r="AB1677" s="67"/>
      <c r="AC1677" s="68"/>
      <c r="AD1677" s="62" t="n">
        <f aca="false">AW1677</f>
        <v>1</v>
      </c>
      <c r="AE1677" s="62" t="n">
        <f aca="false">MAX(AW1677,H1677)</f>
        <v>10</v>
      </c>
      <c r="AF1677" s="69"/>
      <c r="AG1677" s="62" t="n">
        <f aca="false">IF(LEFT(Cockpit!$C$5,1)="A",H1677,IF(Parameter!$E$30="MAX-Bestand",IF(CI1677=1,CJ1677,IF(LEFT(Cockpit!$C$5,1)="B",AM1677,MAX(AM1677,H1677))),ROUNDUP(AK1677,0)))</f>
        <v>10</v>
      </c>
      <c r="AH1677" s="62" t="n">
        <f aca="false">IF(CA1677=1,0,ROUNDUP(AG1677/BZ1677,0))</f>
        <v>2</v>
      </c>
      <c r="AI1677" s="64" t="n">
        <f aca="false">IF(CR1677&gt;0,CR1677*MAX(1,AG1677/X1677),IF(CA1677=1,IF(AG1677&lt;=0,0,CE1677*MAX(1,IF(H1677&gt;0,AG1677/H1677,1))),IF(R1677&gt;0,AH1677/R1677,0))/MAX(0.1,N(Parameter!$M$21)))</f>
        <v>0.333333333333333</v>
      </c>
      <c r="AJ1677" s="62" t="n">
        <f aca="false">AI1677*CC1677</f>
        <v>78.3333333333333</v>
      </c>
      <c r="AK1677" s="63" t="n">
        <f aca="false">IF(LEFT(Cockpit!$C$5,1)="A",H1677,IF(CI1677=1,(CL1677+CJ1677)/2,IF(LEFT(Cockpit!$C$5,1)="B",(CL1677+AM1677)/2,MAX((CL1677+AM1677)/2,H1677))))</f>
        <v>10</v>
      </c>
      <c r="AL1677" s="62" t="n">
        <f aca="false">AK1677*G1677</f>
        <v>5500</v>
      </c>
      <c r="AM1677" s="62" t="n">
        <f aca="false">ROUNDUP(CL1677+MAX(CM1677,2*(J1677/IF(CH1677&gt;0,CH1677,MAX(0.1,N(Cockpit!$C$6)))-CL1677)),0)</f>
        <v>1</v>
      </c>
      <c r="AN1677" s="63" t="n">
        <f aca="false">IF(AJ1677&gt;0,J1677/AJ1677,-1)</f>
        <v>0</v>
      </c>
      <c r="AO1677" s="63" t="n">
        <f aca="false">IF(AND(OR(CG1677="L1",CG1677="L23",CG1677="LIFT"),AJ1677&gt;0),SUMIFS($AJ$7:$AJ$1843,$CG$7:$CG$1843,CG1677,$AN$7:$AN$1843,"&gt;"&amp;AN1677)+SUMIFS($AJ$7:$AJ$1843,$CG$7:$CG$1843,CG1677,$AN$7:$AN$1843,AN1677,$BX$7:$BX$1843,"&lt;="&amp;BX1677),"")</f>
        <v>32526.5884268744</v>
      </c>
      <c r="AP1677" s="70" t="n">
        <f aca="false">IF(AO1677="",0,MAX(0,MIN(1,(IF(CG1677="L1",Parameter!$H$5,IF(CG1677="L23",Parameter!$H$6+Parameter!$H$7,Parameter!$H$5+Parameter!$H$6+Parameter!$H$7))-(AO1677-AJ1677))/AJ1677)))</f>
        <v>1</v>
      </c>
      <c r="AQ1677" s="62" t="n">
        <f aca="false">IF(LEFT(Cockpit!$I$5,1)="A",H1677,IF(Parameter!$E$30="MAX-Bestand",IF(CI1677=1,CJ1677,IF(LEFT(Cockpit!$I$5,1)="B",AW1677,MAX(AW1677,H1677))),ROUNDUP(AU1677,0)))</f>
        <v>10</v>
      </c>
      <c r="AR1677" s="62" t="n">
        <f aca="false">IF(CA1677=1,0,ROUNDUP(AQ1677/BZ1677,0))</f>
        <v>2</v>
      </c>
      <c r="AS1677" s="64" t="n">
        <f aca="false">IF(CR1677&gt;0,CR1677*MAX(1,AQ1677/X1677),IF(CA1677=1,IF(AQ1677&lt;=0,0,CE1677*MAX(1,IF(H1677&gt;0,AQ1677/H1677,1))),IF(R1677&gt;0,AR1677/R1677,0))/MAX(0.1,N(Parameter!$M$21)))</f>
        <v>0.333333333333333</v>
      </c>
      <c r="AT1677" s="62" t="n">
        <f aca="false">AS1677*CC1677</f>
        <v>78.3333333333333</v>
      </c>
      <c r="AU1677" s="63" t="n">
        <f aca="false">IF(LEFT(Cockpit!$I$5,1)="A",H1677,IF(CI1677=1,(CL1677+CJ1677)/2,IF(LEFT(Cockpit!$I$5,1)="B",(CL1677+AW1677)/2,MAX((CL1677+AW1677)/2,H1677))))</f>
        <v>10</v>
      </c>
      <c r="AV1677" s="62" t="n">
        <f aca="false">AU1677*G1677</f>
        <v>5500</v>
      </c>
      <c r="AW1677" s="62" t="n">
        <f aca="false">ROUNDUP(CL1677+MAX(CM1677,2*(J1677/IF(CH1677&gt;0,CH1677,MAX(0.1,N(Cockpit!$I$6)))-CL1677)),0)</f>
        <v>1</v>
      </c>
      <c r="AX1677" s="63" t="n">
        <f aca="false">IF(AT1677&gt;0,J1677/AT1677,-1)</f>
        <v>0</v>
      </c>
      <c r="AY1677" s="63" t="n">
        <f aca="false">IF(AND(OR(CG1677="L1",CG1677="L23",CG1677="LIFT"),AT1677&gt;0),SUMIFS($AT$7:$AT$1843,$CG$7:$CG$1843,CG1677,$AX$7:$AX$1843,"&gt;"&amp;AX1677)+SUMIFS($AT$7:$AT$1843,$CG$7:$CG$1843,CG1677,$AX$7:$AX$1843,AX1677,$BX$7:$BX$1843,"&lt;="&amp;BX1677),"")</f>
        <v>38998.8366574574</v>
      </c>
      <c r="AZ1677" s="70" t="n">
        <f aca="false">IF(AY1677="",0,MAX(0,MIN(1,(IF(CG1677="L1",Parameter!$H$5,IF(CG1677="L23",Parameter!$H$6+Parameter!$H$7,Parameter!$H$5+Parameter!$H$6+Parameter!$H$7))-(AY1677-AT1677))/AT1677)))</f>
        <v>0</v>
      </c>
      <c r="BA1677" s="62" t="n">
        <f aca="false">IF(LEFT(Cockpit!$O$5,1)="A",H1677,IF(Parameter!$E$30="MAX-Bestand",IF(CI1677=1,CJ1677,IF(LEFT(Cockpit!$O$5,1)="B",BG1677,MAX(BG1677,H1677))),ROUNDUP(BE1677,0)))</f>
        <v>1</v>
      </c>
      <c r="BB1677" s="62" t="n">
        <f aca="false">IF(CA1677=1,0,ROUNDUP(BA1677/BZ1677,0))</f>
        <v>1</v>
      </c>
      <c r="BC1677" s="64" t="n">
        <f aca="false">IF(CR1677&gt;0,CR1677*MAX(1,BA1677/X1677),IF(CA1677=1,IF(BA1677&lt;=0,0,CE1677*MAX(1,IF(H1677&gt;0,BA1677/H1677,1))),IF(R1677&gt;0,BB1677/R1677,0))/MAX(0.1,N(Parameter!$M$21)))</f>
        <v>0.166666666666667</v>
      </c>
      <c r="BD1677" s="62" t="n">
        <f aca="false">BC1677*CC1677</f>
        <v>39.1666666666667</v>
      </c>
      <c r="BE1677" s="63" t="n">
        <f aca="false">IF(LEFT(Cockpit!$O$5,1)="A",H1677,IF(CI1677=1,(CL1677+CJ1677)/2,IF(LEFT(Cockpit!$O$5,1)="B",(CL1677+BG1677)/2,MAX((CL1677+BG1677)/2,H1677))))</f>
        <v>0.5</v>
      </c>
      <c r="BF1677" s="62" t="n">
        <f aca="false">BE1677*G1677</f>
        <v>275</v>
      </c>
      <c r="BG1677" s="62" t="n">
        <f aca="false">ROUNDUP(CL1677+MAX(CM1677,2*(J1677/IF(CH1677&gt;0,CH1677,MAX(0.1,N(Cockpit!$O$6)))-CL1677)),0)</f>
        <v>1</v>
      </c>
      <c r="BH1677" s="63" t="n">
        <f aca="false">IF(BD1677&gt;0,J1677/BD1677,-1)</f>
        <v>0</v>
      </c>
      <c r="BI1677" s="63" t="n">
        <f aca="false">IF(AND(OR(CG1677="L1",CG1677="L23",CG1677="LIFT"),BD1677&gt;0),SUMIFS($BD$7:$BD$1843,$CG$7:$CG$1843,CG1677,$BH$7:$BH$1843,"&gt;"&amp;BH1677)+SUMIFS($BD$7:$BD$1843,$CG$7:$CG$1843,CG1677,$BH$7:$BH$1843,BH1677,$BX$7:$BX$1843,"&lt;="&amp;BX1677),"")</f>
        <v>32281.6112663231</v>
      </c>
      <c r="BJ1677" s="70" t="n">
        <f aca="false">IF(BI1677="",0,MAX(0,MIN(1,(IF(CG1677="L1",Parameter!$H$5,IF(CG1677="L23",Parameter!$H$6+Parameter!$H$7,Parameter!$H$5+Parameter!$H$6+Parameter!$H$7))-(BI1677-BD1677))/BD1677)))</f>
        <v>1</v>
      </c>
      <c r="BK1677" s="60" t="str">
        <f aca="false">IF(AJ1677&lt;=0,"",IF(CG1677="Aussen","Aussenlager",IF(CG1677="-","Nicht im Lift",IF(AP1677&gt;=1,"Lift",IF(AP1677&lt;=0,"Aussenlager","teilweise")))))</f>
        <v>Lift</v>
      </c>
      <c r="BL1677" s="60" t="str">
        <f aca="false">IF(AT1677&lt;=0,"",IF(CG1677="Aussen","Aussenlager",IF(CG1677="-","Nicht im Lift",IF(AZ1677&gt;=1,"Lift",IF(AZ1677&lt;=0,"Aussenlager","teilweise")))))</f>
        <v>Aussenlager</v>
      </c>
      <c r="BM1677" s="60" t="str">
        <f aca="false">IF(BD1677&lt;=0,"",IF(CG1677="Aussen","Aussenlager",IF(CG1677="-","Nicht im Lift",IF(BJ1677&gt;=1,"Lift",IF(BJ1677&lt;=0,"Aussenlager","teilweise")))))</f>
        <v>Lift</v>
      </c>
      <c r="BN1677" s="60" t="str">
        <f aca="false">IF(A1677="","",IF(BW1677=1,"Neu; ","")&amp;IF(AND(BW1677=0,BR1677&lt;0),"negativer Bestand (Export "&amp;BR1677&amp;"); ","")&amp;IF(J1677&lt;=0,"Kein Verbrauch; ","")&amp;IF(CR1677&gt;0,"Lift "&amp;W1677&amp;" lt. Liftbericht (Fach "&amp;X1677&amp;" Stk); ",IF(CB1677=1,"Gebinde geschätzt ("&amp;T1677&amp;"); ",IF(CA1677=1,"Lose – Tablare geschätzt; ","")))&amp;IF(H1677&gt;AW1677,"Überbestand "&amp;ROUND(H1677-AW1677,0)&amp;" Stk / CHF "&amp;ROUND((H1677-AW1677)*G1677,0)&amp;"; ","")&amp;IF(AND(CI1677=1,CJ1677&lt;CK1677),"MAX &lt; MB+LG; ","")&amp;IF(AND(CQ1677&gt;0,CP1677*10&gt;CQ1677),"zu hoch für Tablar; ","")&amp;IF(AND(BW1677=0,OR(CI1677=1,AB1677&lt;&gt;"",U1677&lt;&gt;"",V1677&lt;&gt;"",AC1677&lt;&gt;"")),"manuell übersteuert; ","")&amp;IF(AND(CA1677=0,R1677=0),"Gebinde unbekannt / Stellmass fehlt; ","")&amp;IF(AND(CA1677=0,N(V1677)&lt;=0,N(Q1677)&lt;=0),"Menge pro Gebinde fehlt (Ist = 1 Gebinde); ","")&amp;BV1677)</f>
        <v>Kein Verbrauch; Überbestand 9 Stk / CHF 4950; nur im Artikelstamm (Bestand 23.06.2026)</v>
      </c>
      <c r="BO1677" s="60"/>
      <c r="BP1677" s="60"/>
      <c r="BQ1677" s="67"/>
      <c r="BR1677" s="62" t="n">
        <v>10</v>
      </c>
      <c r="BS1677" s="62" t="n">
        <v>0</v>
      </c>
      <c r="BT1677" s="61" t="n">
        <v>0</v>
      </c>
      <c r="BU1677" s="62" t="n">
        <v>0</v>
      </c>
      <c r="BV1677" s="60" t="s">
        <v>2617</v>
      </c>
      <c r="BW1677" s="65" t="n">
        <v>0</v>
      </c>
      <c r="BX1677" s="65" t="n">
        <v>1677</v>
      </c>
      <c r="BY1677" s="60" t="str">
        <f aca="false">IF(U1677&lt;&gt;"",UPPER(TRIM(U1677)),IF(CB1677=1,UPPER(VLOOKUP(T1677,Parameter!$I$27:$K$29,2,0)),IF(P1677="","LOSE",P1677)))</f>
        <v>S71</v>
      </c>
      <c r="BZ1677" s="62" t="n">
        <f aca="false">IF(BY1677="LOSE",1,IF(N(V1677)&gt;0,V1677,IF(CB1677=1,MAX(1,N(VLOOKUP(T1677,Parameter!$I$27:$K$29,3,0)),H1677,N(N1677)),IF(N(Q1677)&gt;0,Q1677,MAX(1,H1677)))))</f>
        <v>6</v>
      </c>
      <c r="CA1677" s="65" t="n">
        <f aca="false">IF(BY1677="LOSE",1,0)</f>
        <v>0</v>
      </c>
      <c r="CB1677" s="65" t="n">
        <f aca="false">IF(AND(U1677="",OR(P1677="",P1677="LOSE"),T1677&lt;&gt;"",N(S1677)&lt;=0,ISNUMBER(MATCH(T1677,Parameter!$I$27:$I$29,0))),1,0)</f>
        <v>0</v>
      </c>
      <c r="CC1677" s="65" t="n">
        <f aca="false">IF(CR1677&gt;0,INDEX(Parameter!$H$5:$H$7,W1677)/INDEX(Parameter!$E$5:$E$7,W1677),IF(AND(CA1677=0,N(IFERROR(VLOOKUP(BY1677,'Gebinde-Kategorie'!$A$5:$N$45,14,0),0))&gt;0),VLOOKUP(BY1677,'Gebinde-Kategorie'!$A$5:$N$45,14,0)*10+Parameter!$M$23,Parameter!$M$24))</f>
        <v>235</v>
      </c>
      <c r="CD1677" s="60" t="str">
        <f aca="false">IF(AND(Parameter!$B$19="Ja",E1677&lt;&gt;"",ISNUMBER(MATCH(E1677,Parameter!$I$35:$I$52,0))),VLOOKUP(E1677,Parameter!$I$35:$J$52,2,0),IFERROR(VLOOKUP(D1677,Parameter!$A$35:$C$64,2,0),"Nein"))</f>
        <v>2+3</v>
      </c>
      <c r="CE1677" s="64" t="n">
        <f aca="false">IF(CA1677=0,0,IF(N(S1677)&gt;0,S1677,IFERROR(VLOOKUP(D1677,Parameter!$A$35:$C$64,3,0)+0,0)))</f>
        <v>0</v>
      </c>
      <c r="CF1677" s="60" t="n">
        <f aca="false">IF(AB1677&lt;&gt;"",AB1677,AA1677)</f>
        <v>2</v>
      </c>
      <c r="CG1677" s="60" t="str">
        <f aca="false">IF(OR(CF1677=1,CF1677=2,CF1677=3),IF(Parameter!$E$27="Ja","LIFT",IF(CF1677=1,"L1","L23")),IF(CF1677="Aussen","Aussen","-"))</f>
        <v>LIFT</v>
      </c>
      <c r="CH1677" s="71" t="n">
        <f aca="false">IF(N(AC1677)&gt;0,AC1677,0)</f>
        <v>0</v>
      </c>
      <c r="CI1677" s="65" t="n">
        <f aca="false">IF(ISNUMBER(AF1677),1,0)</f>
        <v>0</v>
      </c>
      <c r="CJ1677" s="62" t="n">
        <f aca="false">N(AF1677)</f>
        <v>0</v>
      </c>
      <c r="CK1677" s="62" t="n">
        <f aca="false">N(M1677)+N(N1677)</f>
        <v>1</v>
      </c>
      <c r="CL1677" s="62" t="n">
        <f aca="false">N(M1677)</f>
        <v>0</v>
      </c>
      <c r="CM1677" s="62" t="n">
        <f aca="false">N(N1677)</f>
        <v>1</v>
      </c>
      <c r="CN1677" s="62" t="n">
        <f aca="false">ROUNDUP(H1677/BZ1677,0)</f>
        <v>2</v>
      </c>
      <c r="CO1677" s="62" t="n">
        <f aca="false">ROUNDUP(CJ1677/BZ1677,0)</f>
        <v>0</v>
      </c>
      <c r="CP1677" s="65" t="n">
        <f aca="false">IF(CA1677=1,0,IFERROR(VLOOKUP(BY1677,'Gebinde-Kategorie'!$A$5:$N$45,5,0)+0,0))</f>
        <v>20</v>
      </c>
      <c r="CQ1677" s="65" t="n">
        <f aca="false">IFERROR(IF(OR(CF1677=1,CF1677=2,CF1677=3),N(INDEX(Parameter!$I$5:$I$7,CF1677)),0),0)</f>
        <v>0</v>
      </c>
      <c r="CR1677" s="64" t="n">
        <f aca="false">IF(AND(Parameter!$B$21="Ja",ISNUMBER(W1677),N(X1677)&gt;0),IFERROR(N(INDEX(Parameter!$L$5:$L$7,W1677))*INDEX(Parameter!$E$5:$E$7,W1677)*X1677/SUMIFS($X$7:$X$1843,$W$7:$W$1843,W1677),0),0)</f>
        <v>0</v>
      </c>
      <c r="CS1677" s="62" t="n">
        <f aca="false">IF(AND(OR(CG1677="L1",CG1677="L23",CG1677="LIFT"),H1677&gt;0),CC1677*IF(CR1677&gt;0,CR1677*MAX(1,H1677/X1677),IF(CA1677=1,CE1677,IF(R1677&gt;0,CN1677/R1677,0))/MAX(0.1,N(Parameter!$M$21))),"")</f>
        <v>78.3333333333333</v>
      </c>
      <c r="CT1677" s="64" t="n">
        <f aca="false">IF(CS1677="","",J1677/H1677)</f>
        <v>0</v>
      </c>
      <c r="CU1677" s="62" t="n">
        <f aca="false">IF(CS1677="","",H1677*G1677)</f>
        <v>5500</v>
      </c>
      <c r="CV1677" s="63" t="n">
        <f aca="false">IF(CS1677="","",(CL1677+ROUNDUP(CL1677+MAX(CM1677,2*(J1677/MAX(0.1,N(Einkauf!$C$6))-CL1677)),0))/2)</f>
        <v>0.5</v>
      </c>
      <c r="CW1677" s="62" t="n">
        <f aca="false">IF(CS1677="","",MAX(0,H1677-CV1677)*G1677)</f>
        <v>5225</v>
      </c>
      <c r="CX1677" s="62" t="n">
        <f aca="false">IF(CS1677="","",CS1677*MAX(0,1-CV1677/H1677))</f>
        <v>74.4166666666667</v>
      </c>
      <c r="CY1677" s="64" t="n">
        <f aca="false">IF(CS1677="","",PERCENTRANK($CS$7:$CS$1843,CS1677)+PERCENTRANK($CU$7:$CU$1843,CU1677)+1-PERCENTRANK($CT$7:$CT$1843,CT1677))</f>
        <v>2.861</v>
      </c>
      <c r="CZ1677" s="72" t="n">
        <f aca="false">IF(CS1677="","",CHOOSE(MATCH(Einkauf!$C$5,Parameter!$G$23:$G$27,0),CY1677,CS1677,CU1677,-CT1677,CW1677)+ROW()/1000000000)</f>
        <v>2.861001677</v>
      </c>
    </row>
    <row r="1678" customFormat="false" ht="15" hidden="false" customHeight="false" outlineLevel="0" collapsed="false">
      <c r="A1678" s="60" t="s">
        <v>2951</v>
      </c>
      <c r="B1678" s="60" t="s">
        <v>389</v>
      </c>
      <c r="C1678" s="60" t="s">
        <v>206</v>
      </c>
      <c r="D1678" s="60" t="s">
        <v>215</v>
      </c>
      <c r="E1678" s="60" t="s">
        <v>215</v>
      </c>
      <c r="F1678" s="60"/>
      <c r="G1678" s="61" t="n">
        <v>100.12</v>
      </c>
      <c r="H1678" s="62" t="n">
        <f aca="false">MAX(0,IF(AND(Parameter!$B$21="Ja",ISNUMBER(Y1678)),Y1678,IF(Parameter!$B$20="Jahresanfang 2025 + Export",BS1678+BR1678,BR1678)))</f>
        <v>25</v>
      </c>
      <c r="I1678" s="62" t="n">
        <f aca="false">H1678*G1678</f>
        <v>2503</v>
      </c>
      <c r="J1678" s="62" t="n">
        <f aca="false">BU1678*Parameter!$B$18</f>
        <v>0</v>
      </c>
      <c r="K1678" s="63"/>
      <c r="L1678" s="64"/>
      <c r="M1678" s="62" t="n">
        <v>0</v>
      </c>
      <c r="N1678" s="62" t="n">
        <v>10</v>
      </c>
      <c r="O1678" s="65" t="n">
        <v>77</v>
      </c>
      <c r="P1678" s="60" t="s">
        <v>335</v>
      </c>
      <c r="Q1678" s="62" t="n">
        <v>25</v>
      </c>
      <c r="R1678" s="65" t="n">
        <f aca="false">IF(CA1678=1,0,IFERROR(VLOOKUP(BY1678,'Gebinde-Kategorie'!$A$5:$N$45,13,0)+0,0))</f>
        <v>12</v>
      </c>
      <c r="S1678" s="66"/>
      <c r="T1678" s="67"/>
      <c r="U1678" s="67"/>
      <c r="V1678" s="67"/>
      <c r="W1678" s="60"/>
      <c r="X1678" s="62"/>
      <c r="Y1678" s="62"/>
      <c r="Z1678" s="60"/>
      <c r="AA1678" s="60" t="str">
        <f aca="false">IF(A1678="","",IF(AND(Parameter!$B$21="Ja",ISNUMBER(W1678)),W1678,IF(AND(Parameter!$E$27="Ja",ISNUMBER(Z1678),CD1678&lt;&gt;"Nein"),Z1678,IF(CD1678="2+3",IF(ISNUMBER(SEARCH("grosser Artikel",BV1678)),2,IFERROR(VLOOKUP(BY1678,Parameter!$F$35:$G$64,2,0),2)),IF(OR(CD1678="Nein",CD1678=""),"-",CD1678)))))</f>
        <v>-</v>
      </c>
      <c r="AB1678" s="67"/>
      <c r="AC1678" s="68"/>
      <c r="AD1678" s="62" t="n">
        <f aca="false">AW1678</f>
        <v>10</v>
      </c>
      <c r="AE1678" s="62" t="n">
        <f aca="false">MAX(AW1678,H1678)</f>
        <v>25</v>
      </c>
      <c r="AF1678" s="69"/>
      <c r="AG1678" s="62" t="n">
        <f aca="false">IF(LEFT(Cockpit!$C$5,1)="A",H1678,IF(Parameter!$E$30="MAX-Bestand",IF(CI1678=1,CJ1678,IF(LEFT(Cockpit!$C$5,1)="B",AM1678,MAX(AM1678,H1678))),ROUNDUP(AK1678,0)))</f>
        <v>25</v>
      </c>
      <c r="AH1678" s="62" t="n">
        <f aca="false">IF(CA1678=1,0,ROUNDUP(AG1678/BZ1678,0))</f>
        <v>1</v>
      </c>
      <c r="AI1678" s="64" t="n">
        <f aca="false">IF(CR1678&gt;0,CR1678*MAX(1,AG1678/X1678),IF(CA1678=1,IF(AG1678&lt;=0,0,CE1678*MAX(1,IF(H1678&gt;0,AG1678/H1678,1))),IF(R1678&gt;0,AH1678/R1678,0))/MAX(0.1,N(Parameter!$M$21)))</f>
        <v>0.0833333333333333</v>
      </c>
      <c r="AJ1678" s="62" t="n">
        <f aca="false">AI1678*CC1678</f>
        <v>20.4166666666667</v>
      </c>
      <c r="AK1678" s="63" t="n">
        <f aca="false">IF(LEFT(Cockpit!$C$5,1)="A",H1678,IF(CI1678=1,(CL1678+CJ1678)/2,IF(LEFT(Cockpit!$C$5,1)="B",(CL1678+AM1678)/2,MAX((CL1678+AM1678)/2,H1678))))</f>
        <v>25</v>
      </c>
      <c r="AL1678" s="62" t="n">
        <f aca="false">AK1678*G1678</f>
        <v>2503</v>
      </c>
      <c r="AM1678" s="62" t="n">
        <f aca="false">ROUNDUP(CL1678+MAX(CM1678,2*(J1678/IF(CH1678&gt;0,CH1678,MAX(0.1,N(Cockpit!$C$6)))-CL1678)),0)</f>
        <v>10</v>
      </c>
      <c r="AN1678" s="63" t="n">
        <f aca="false">IF(AJ1678&gt;0,J1678/AJ1678,-1)</f>
        <v>0</v>
      </c>
      <c r="AO1678" s="63" t="str">
        <f aca="false">IF(AND(OR(CG1678="L1",CG1678="L23",CG1678="LIFT"),AJ1678&gt;0),SUMIFS($AJ$7:$AJ$1843,$CG$7:$CG$1843,CG1678,$AN$7:$AN$1843,"&gt;"&amp;AN1678)+SUMIFS($AJ$7:$AJ$1843,$CG$7:$CG$1843,CG1678,$AN$7:$AN$1843,AN1678,$BX$7:$BX$1843,"&lt;="&amp;BX1678),"")</f>
        <v/>
      </c>
      <c r="AP1678" s="70" t="n">
        <f aca="false">IF(AO1678="",0,MAX(0,MIN(1,(IF(CG1678="L1",Parameter!$H$5,IF(CG1678="L23",Parameter!$H$6+Parameter!$H$7,Parameter!$H$5+Parameter!$H$6+Parameter!$H$7))-(AO1678-AJ1678))/AJ1678)))</f>
        <v>0</v>
      </c>
      <c r="AQ1678" s="62" t="n">
        <f aca="false">IF(LEFT(Cockpit!$I$5,1)="A",H1678,IF(Parameter!$E$30="MAX-Bestand",IF(CI1678=1,CJ1678,IF(LEFT(Cockpit!$I$5,1)="B",AW1678,MAX(AW1678,H1678))),ROUNDUP(AU1678,0)))</f>
        <v>25</v>
      </c>
      <c r="AR1678" s="62" t="n">
        <f aca="false">IF(CA1678=1,0,ROUNDUP(AQ1678/BZ1678,0))</f>
        <v>1</v>
      </c>
      <c r="AS1678" s="64" t="n">
        <f aca="false">IF(CR1678&gt;0,CR1678*MAX(1,AQ1678/X1678),IF(CA1678=1,IF(AQ1678&lt;=0,0,CE1678*MAX(1,IF(H1678&gt;0,AQ1678/H1678,1))),IF(R1678&gt;0,AR1678/R1678,0))/MAX(0.1,N(Parameter!$M$21)))</f>
        <v>0.0833333333333333</v>
      </c>
      <c r="AT1678" s="62" t="n">
        <f aca="false">AS1678*CC1678</f>
        <v>20.4166666666667</v>
      </c>
      <c r="AU1678" s="63" t="n">
        <f aca="false">IF(LEFT(Cockpit!$I$5,1)="A",H1678,IF(CI1678=1,(CL1678+CJ1678)/2,IF(LEFT(Cockpit!$I$5,1)="B",(CL1678+AW1678)/2,MAX((CL1678+AW1678)/2,H1678))))</f>
        <v>25</v>
      </c>
      <c r="AV1678" s="62" t="n">
        <f aca="false">AU1678*G1678</f>
        <v>2503</v>
      </c>
      <c r="AW1678" s="62" t="n">
        <f aca="false">ROUNDUP(CL1678+MAX(CM1678,2*(J1678/IF(CH1678&gt;0,CH1678,MAX(0.1,N(Cockpit!$I$6)))-CL1678)),0)</f>
        <v>10</v>
      </c>
      <c r="AX1678" s="63" t="n">
        <f aca="false">IF(AT1678&gt;0,J1678/AT1678,-1)</f>
        <v>0</v>
      </c>
      <c r="AY1678" s="63" t="str">
        <f aca="false">IF(AND(OR(CG1678="L1",CG1678="L23",CG1678="LIFT"),AT1678&gt;0),SUMIFS($AT$7:$AT$1843,$CG$7:$CG$1843,CG1678,$AX$7:$AX$1843,"&gt;"&amp;AX1678)+SUMIFS($AT$7:$AT$1843,$CG$7:$CG$1843,CG1678,$AX$7:$AX$1843,AX1678,$BX$7:$BX$1843,"&lt;="&amp;BX1678),"")</f>
        <v/>
      </c>
      <c r="AZ1678" s="70" t="n">
        <f aca="false">IF(AY1678="",0,MAX(0,MIN(1,(IF(CG1678="L1",Parameter!$H$5,IF(CG1678="L23",Parameter!$H$6+Parameter!$H$7,Parameter!$H$5+Parameter!$H$6+Parameter!$H$7))-(AY1678-AT1678))/AT1678)))</f>
        <v>0</v>
      </c>
      <c r="BA1678" s="62" t="n">
        <f aca="false">IF(LEFT(Cockpit!$O$5,1)="A",H1678,IF(Parameter!$E$30="MAX-Bestand",IF(CI1678=1,CJ1678,IF(LEFT(Cockpit!$O$5,1)="B",BG1678,MAX(BG1678,H1678))),ROUNDUP(BE1678,0)))</f>
        <v>5</v>
      </c>
      <c r="BB1678" s="62" t="n">
        <f aca="false">IF(CA1678=1,0,ROUNDUP(BA1678/BZ1678,0))</f>
        <v>1</v>
      </c>
      <c r="BC1678" s="64" t="n">
        <f aca="false">IF(CR1678&gt;0,CR1678*MAX(1,BA1678/X1678),IF(CA1678=1,IF(BA1678&lt;=0,0,CE1678*MAX(1,IF(H1678&gt;0,BA1678/H1678,1))),IF(R1678&gt;0,BB1678/R1678,0))/MAX(0.1,N(Parameter!$M$21)))</f>
        <v>0.0833333333333333</v>
      </c>
      <c r="BD1678" s="62" t="n">
        <f aca="false">BC1678*CC1678</f>
        <v>20.4166666666667</v>
      </c>
      <c r="BE1678" s="63" t="n">
        <f aca="false">IF(LEFT(Cockpit!$O$5,1)="A",H1678,IF(CI1678=1,(CL1678+CJ1678)/2,IF(LEFT(Cockpit!$O$5,1)="B",(CL1678+BG1678)/2,MAX((CL1678+BG1678)/2,H1678))))</f>
        <v>5</v>
      </c>
      <c r="BF1678" s="62" t="n">
        <f aca="false">BE1678*G1678</f>
        <v>500.6</v>
      </c>
      <c r="BG1678" s="62" t="n">
        <f aca="false">ROUNDUP(CL1678+MAX(CM1678,2*(J1678/IF(CH1678&gt;0,CH1678,MAX(0.1,N(Cockpit!$O$6)))-CL1678)),0)</f>
        <v>10</v>
      </c>
      <c r="BH1678" s="63" t="n">
        <f aca="false">IF(BD1678&gt;0,J1678/BD1678,-1)</f>
        <v>0</v>
      </c>
      <c r="BI1678" s="63" t="str">
        <f aca="false">IF(AND(OR(CG1678="L1",CG1678="L23",CG1678="LIFT"),BD1678&gt;0),SUMIFS($BD$7:$BD$1843,$CG$7:$CG$1843,CG1678,$BH$7:$BH$1843,"&gt;"&amp;BH1678)+SUMIFS($BD$7:$BD$1843,$CG$7:$CG$1843,CG1678,$BH$7:$BH$1843,BH1678,$BX$7:$BX$1843,"&lt;="&amp;BX1678),"")</f>
        <v/>
      </c>
      <c r="BJ1678" s="70" t="n">
        <f aca="false">IF(BI1678="",0,MAX(0,MIN(1,(IF(CG1678="L1",Parameter!$H$5,IF(CG1678="L23",Parameter!$H$6+Parameter!$H$7,Parameter!$H$5+Parameter!$H$6+Parameter!$H$7))-(BI1678-BD1678))/BD1678)))</f>
        <v>0</v>
      </c>
      <c r="BK1678" s="60" t="str">
        <f aca="false">IF(AJ1678&lt;=0,"",IF(CG1678="Aussen","Aussenlager",IF(CG1678="-","Nicht im Lift",IF(AP1678&gt;=1,"Lift",IF(AP1678&lt;=0,"Aussenlager","teilweise")))))</f>
        <v>Nicht im Lift</v>
      </c>
      <c r="BL1678" s="60" t="str">
        <f aca="false">IF(AT1678&lt;=0,"",IF(CG1678="Aussen","Aussenlager",IF(CG1678="-","Nicht im Lift",IF(AZ1678&gt;=1,"Lift",IF(AZ1678&lt;=0,"Aussenlager","teilweise")))))</f>
        <v>Nicht im Lift</v>
      </c>
      <c r="BM1678" s="60" t="str">
        <f aca="false">IF(BD1678&lt;=0,"",IF(CG1678="Aussen","Aussenlager",IF(CG1678="-","Nicht im Lift",IF(BJ1678&gt;=1,"Lift",IF(BJ1678&lt;=0,"Aussenlager","teilweise")))))</f>
        <v>Nicht im Lift</v>
      </c>
      <c r="BN1678" s="60" t="str">
        <f aca="false">IF(A1678="","",IF(BW1678=1,"Neu; ","")&amp;IF(AND(BW1678=0,BR1678&lt;0),"negativer Bestand (Export "&amp;BR1678&amp;"); ","")&amp;IF(J1678&lt;=0,"Kein Verbrauch; ","")&amp;IF(CR1678&gt;0,"Lift "&amp;W1678&amp;" lt. Liftbericht (Fach "&amp;X1678&amp;" Stk); ",IF(CB1678=1,"Gebinde geschätzt ("&amp;T1678&amp;"); ",IF(CA1678=1,"Lose – Tablare geschätzt; ","")))&amp;IF(H1678&gt;AW1678,"Überbestand "&amp;ROUND(H1678-AW1678,0)&amp;" Stk / CHF "&amp;ROUND((H1678-AW1678)*G1678,0)&amp;"; ","")&amp;IF(AND(CI1678=1,CJ1678&lt;CK1678),"MAX &lt; MB+LG; ","")&amp;IF(AND(CQ1678&gt;0,CP1678*10&gt;CQ1678),"zu hoch für Tablar; ","")&amp;IF(AND(BW1678=0,OR(CI1678=1,AB1678&lt;&gt;"",U1678&lt;&gt;"",V1678&lt;&gt;"",AC1678&lt;&gt;"")),"manuell übersteuert; ","")&amp;IF(AND(CA1678=0,R1678=0),"Gebinde unbekannt / Stellmass fehlt; ","")&amp;IF(AND(CA1678=0,N(V1678)&lt;=0,N(Q1678)&lt;=0),"Menge pro Gebinde fehlt (Ist = 1 Gebinde); ","")&amp;BV1678)</f>
        <v>Kein Verbrauch; Überbestand 15 Stk / CHF 1502; nur im Artikelstamm (Bestand 23.06.2026); Überbestand</v>
      </c>
      <c r="BO1678" s="60"/>
      <c r="BP1678" s="60"/>
      <c r="BQ1678" s="67"/>
      <c r="BR1678" s="62" t="n">
        <v>25</v>
      </c>
      <c r="BS1678" s="62" t="n">
        <v>0</v>
      </c>
      <c r="BT1678" s="61" t="n">
        <v>0</v>
      </c>
      <c r="BU1678" s="62" t="n">
        <v>0</v>
      </c>
      <c r="BV1678" s="60" t="s">
        <v>2614</v>
      </c>
      <c r="BW1678" s="65" t="n">
        <v>0</v>
      </c>
      <c r="BX1678" s="65" t="n">
        <v>1678</v>
      </c>
      <c r="BY1678" s="60" t="str">
        <f aca="false">IF(U1678&lt;&gt;"",UPPER(TRIM(U1678)),IF(CB1678=1,UPPER(VLOOKUP(T1678,Parameter!$I$27:$K$29,2,0)),IF(P1678="","LOSE",P1678)))</f>
        <v>S62</v>
      </c>
      <c r="BZ1678" s="62" t="n">
        <f aca="false">IF(BY1678="LOSE",1,IF(N(V1678)&gt;0,V1678,IF(CB1678=1,MAX(1,N(VLOOKUP(T1678,Parameter!$I$27:$K$29,3,0)),H1678,N(N1678)),IF(N(Q1678)&gt;0,Q1678,MAX(1,H1678)))))</f>
        <v>25</v>
      </c>
      <c r="CA1678" s="65" t="n">
        <f aca="false">IF(BY1678="LOSE",1,0)</f>
        <v>0</v>
      </c>
      <c r="CB1678" s="65" t="n">
        <f aca="false">IF(AND(U1678="",OR(P1678="",P1678="LOSE"),T1678&lt;&gt;"",N(S1678)&lt;=0,ISNUMBER(MATCH(T1678,Parameter!$I$27:$I$29,0))),1,0)</f>
        <v>0</v>
      </c>
      <c r="CC1678" s="65" t="n">
        <f aca="false">IF(CR1678&gt;0,INDEX(Parameter!$H$5:$H$7,W1678)/INDEX(Parameter!$E$5:$E$7,W1678),IF(AND(CA1678=0,N(IFERROR(VLOOKUP(BY1678,'Gebinde-Kategorie'!$A$5:$N$45,14,0),0))&gt;0),VLOOKUP(BY1678,'Gebinde-Kategorie'!$A$5:$N$45,14,0)*10+Parameter!$M$23,Parameter!$M$24))</f>
        <v>245</v>
      </c>
      <c r="CD1678" s="60" t="str">
        <f aca="false">IF(AND(Parameter!$B$19="Ja",E1678&lt;&gt;"",ISNUMBER(MATCH(E1678,Parameter!$I$35:$I$52,0))),VLOOKUP(E1678,Parameter!$I$35:$J$52,2,0),IFERROR(VLOOKUP(D1678,Parameter!$A$35:$C$64,2,0),"Nein"))</f>
        <v>Nein</v>
      </c>
      <c r="CE1678" s="64" t="n">
        <f aca="false">IF(CA1678=0,0,IF(N(S1678)&gt;0,S1678,IFERROR(VLOOKUP(D1678,Parameter!$A$35:$C$64,3,0)+0,0)))</f>
        <v>0</v>
      </c>
      <c r="CF1678" s="60" t="str">
        <f aca="false">IF(AB1678&lt;&gt;"",AB1678,AA1678)</f>
        <v>-</v>
      </c>
      <c r="CG1678" s="60" t="str">
        <f aca="false">IF(OR(CF1678=1,CF1678=2,CF1678=3),IF(Parameter!$E$27="Ja","LIFT",IF(CF1678=1,"L1","L23")),IF(CF1678="Aussen","Aussen","-"))</f>
        <v>-</v>
      </c>
      <c r="CH1678" s="71" t="n">
        <f aca="false">IF(N(AC1678)&gt;0,AC1678,0)</f>
        <v>0</v>
      </c>
      <c r="CI1678" s="65" t="n">
        <f aca="false">IF(ISNUMBER(AF1678),1,0)</f>
        <v>0</v>
      </c>
      <c r="CJ1678" s="62" t="n">
        <f aca="false">N(AF1678)</f>
        <v>0</v>
      </c>
      <c r="CK1678" s="62" t="n">
        <f aca="false">N(M1678)+N(N1678)</f>
        <v>10</v>
      </c>
      <c r="CL1678" s="62" t="n">
        <f aca="false">N(M1678)</f>
        <v>0</v>
      </c>
      <c r="CM1678" s="62" t="n">
        <f aca="false">N(N1678)</f>
        <v>10</v>
      </c>
      <c r="CN1678" s="62" t="n">
        <f aca="false">ROUNDUP(H1678/BZ1678,0)</f>
        <v>1</v>
      </c>
      <c r="CO1678" s="62" t="n">
        <f aca="false">ROUNDUP(CJ1678/BZ1678,0)</f>
        <v>0</v>
      </c>
      <c r="CP1678" s="65" t="n">
        <f aca="false">IF(CA1678=1,0,IFERROR(VLOOKUP(BY1678,'Gebinde-Kategorie'!$A$5:$N$45,5,0)+0,0))</f>
        <v>21</v>
      </c>
      <c r="CQ1678" s="65" t="n">
        <f aca="false">IFERROR(IF(OR(CF1678=1,CF1678=2,CF1678=3),N(INDEX(Parameter!$I$5:$I$7,CF1678)),0),0)</f>
        <v>0</v>
      </c>
      <c r="CR1678" s="64" t="n">
        <f aca="false">IF(AND(Parameter!$B$21="Ja",ISNUMBER(W1678),N(X1678)&gt;0),IFERROR(N(INDEX(Parameter!$L$5:$L$7,W1678))*INDEX(Parameter!$E$5:$E$7,W1678)*X1678/SUMIFS($X$7:$X$1843,$W$7:$W$1843,W1678),0),0)</f>
        <v>0</v>
      </c>
      <c r="CS1678" s="62" t="str">
        <f aca="false">IF(AND(OR(CG1678="L1",CG1678="L23",CG1678="LIFT"),H1678&gt;0),CC1678*IF(CR1678&gt;0,CR1678*MAX(1,H1678/X1678),IF(CA1678=1,CE1678,IF(R1678&gt;0,CN1678/R1678,0))/MAX(0.1,N(Parameter!$M$21))),"")</f>
        <v/>
      </c>
      <c r="CT1678" s="64" t="str">
        <f aca="false">IF(CS1678="","",J1678/H1678)</f>
        <v/>
      </c>
      <c r="CU1678" s="62" t="str">
        <f aca="false">IF(CS1678="","",H1678*G1678)</f>
        <v/>
      </c>
      <c r="CV1678" s="63" t="str">
        <f aca="false">IF(CS1678="","",(CL1678+ROUNDUP(CL1678+MAX(CM1678,2*(J1678/MAX(0.1,N(Einkauf!$C$6))-CL1678)),0))/2)</f>
        <v/>
      </c>
      <c r="CW1678" s="62" t="str">
        <f aca="false">IF(CS1678="","",MAX(0,H1678-CV1678)*G1678)</f>
        <v/>
      </c>
      <c r="CX1678" s="62" t="str">
        <f aca="false">IF(CS1678="","",CS1678*MAX(0,1-CV1678/H1678))</f>
        <v/>
      </c>
      <c r="CY1678" s="64" t="str">
        <f aca="false">IF(CS1678="","",PERCENTRANK($CS$7:$CS$1843,CS1678)+PERCENTRANK($CU$7:$CU$1843,CU1678)+1-PERCENTRANK($CT$7:$CT$1843,CT1678))</f>
        <v/>
      </c>
      <c r="CZ1678" s="72" t="str">
        <f aca="false">IF(CS1678="","",CHOOSE(MATCH(Einkauf!$C$5,Parameter!$G$23:$G$27,0),CY1678,CS1678,CU1678,-CT1678,CW1678)+ROW()/1000000000)</f>
        <v/>
      </c>
    </row>
    <row r="1679" customFormat="false" ht="15" hidden="false" customHeight="false" outlineLevel="0" collapsed="false">
      <c r="A1679" s="60" t="s">
        <v>2952</v>
      </c>
      <c r="B1679" s="60" t="s">
        <v>2756</v>
      </c>
      <c r="C1679" s="60" t="s">
        <v>206</v>
      </c>
      <c r="D1679" s="60" t="s">
        <v>226</v>
      </c>
      <c r="E1679" s="60"/>
      <c r="F1679" s="60"/>
      <c r="G1679" s="61" t="n">
        <v>14.43</v>
      </c>
      <c r="H1679" s="62" t="n">
        <f aca="false">MAX(0,IF(AND(Parameter!$B$21="Ja",ISNUMBER(Y1679)),Y1679,IF(Parameter!$B$20="Jahresanfang 2025 + Export",BS1679+BR1679,BR1679)))</f>
        <v>20</v>
      </c>
      <c r="I1679" s="62" t="n">
        <f aca="false">H1679*G1679</f>
        <v>288.6</v>
      </c>
      <c r="J1679" s="62" t="n">
        <f aca="false">BU1679*Parameter!$B$18</f>
        <v>0</v>
      </c>
      <c r="K1679" s="63"/>
      <c r="L1679" s="64"/>
      <c r="M1679" s="62" t="n">
        <v>0</v>
      </c>
      <c r="N1679" s="62" t="n">
        <v>20</v>
      </c>
      <c r="O1679" s="65" t="n">
        <v>28</v>
      </c>
      <c r="P1679" s="60" t="s">
        <v>335</v>
      </c>
      <c r="Q1679" s="62" t="n">
        <v>19</v>
      </c>
      <c r="R1679" s="65" t="n">
        <f aca="false">IF(CA1679=1,0,IFERROR(VLOOKUP(BY1679,'Gebinde-Kategorie'!$A$5:$N$45,13,0)+0,0))</f>
        <v>12</v>
      </c>
      <c r="S1679" s="66"/>
      <c r="T1679" s="67"/>
      <c r="U1679" s="67"/>
      <c r="V1679" s="67"/>
      <c r="W1679" s="60"/>
      <c r="X1679" s="62"/>
      <c r="Y1679" s="62"/>
      <c r="Z1679" s="60" t="n">
        <v>3</v>
      </c>
      <c r="AA1679" s="60" t="n">
        <f aca="false">IF(A1679="","",IF(AND(Parameter!$B$21="Ja",ISNUMBER(W1679)),W1679,IF(AND(Parameter!$E$27="Ja",ISNUMBER(Z1679),CD1679&lt;&gt;"Nein"),Z1679,IF(CD1679="2+3",IF(ISNUMBER(SEARCH("grosser Artikel",BV1679)),2,IFERROR(VLOOKUP(BY1679,Parameter!$F$35:$G$64,2,0),2)),IF(OR(CD1679="Nein",CD1679=""),"-",CD1679)))))</f>
        <v>3</v>
      </c>
      <c r="AB1679" s="67"/>
      <c r="AC1679" s="68"/>
      <c r="AD1679" s="62" t="n">
        <f aca="false">AW1679</f>
        <v>20</v>
      </c>
      <c r="AE1679" s="62" t="n">
        <f aca="false">MAX(AW1679,H1679)</f>
        <v>20</v>
      </c>
      <c r="AF1679" s="69"/>
      <c r="AG1679" s="62" t="n">
        <f aca="false">IF(LEFT(Cockpit!$C$5,1)="A",H1679,IF(Parameter!$E$30="MAX-Bestand",IF(CI1679=1,CJ1679,IF(LEFT(Cockpit!$C$5,1)="B",AM1679,MAX(AM1679,H1679))),ROUNDUP(AK1679,0)))</f>
        <v>20</v>
      </c>
      <c r="AH1679" s="62" t="n">
        <f aca="false">IF(CA1679=1,0,ROUNDUP(AG1679/BZ1679,0))</f>
        <v>2</v>
      </c>
      <c r="AI1679" s="64" t="n">
        <f aca="false">IF(CR1679&gt;0,CR1679*MAX(1,AG1679/X1679),IF(CA1679=1,IF(AG1679&lt;=0,0,CE1679*MAX(1,IF(H1679&gt;0,AG1679/H1679,1))),IF(R1679&gt;0,AH1679/R1679,0))/MAX(0.1,N(Parameter!$M$21)))</f>
        <v>0.166666666666667</v>
      </c>
      <c r="AJ1679" s="62" t="n">
        <f aca="false">AI1679*CC1679</f>
        <v>40.8333333333333</v>
      </c>
      <c r="AK1679" s="63" t="n">
        <f aca="false">IF(LEFT(Cockpit!$C$5,1)="A",H1679,IF(CI1679=1,(CL1679+CJ1679)/2,IF(LEFT(Cockpit!$C$5,1)="B",(CL1679+AM1679)/2,MAX((CL1679+AM1679)/2,H1679))))</f>
        <v>20</v>
      </c>
      <c r="AL1679" s="62" t="n">
        <f aca="false">AK1679*G1679</f>
        <v>288.6</v>
      </c>
      <c r="AM1679" s="62" t="n">
        <f aca="false">ROUNDUP(CL1679+MAX(CM1679,2*(J1679/IF(CH1679&gt;0,CH1679,MAX(0.1,N(Cockpit!$C$6)))-CL1679)),0)</f>
        <v>20</v>
      </c>
      <c r="AN1679" s="63" t="n">
        <f aca="false">IF(AJ1679&gt;0,J1679/AJ1679,-1)</f>
        <v>0</v>
      </c>
      <c r="AO1679" s="63" t="n">
        <f aca="false">IF(AND(OR(CG1679="L1",CG1679="L23",CG1679="LIFT"),AJ1679&gt;0),SUMIFS($AJ$7:$AJ$1843,$CG$7:$CG$1843,CG1679,$AN$7:$AN$1843,"&gt;"&amp;AN1679)+SUMIFS($AJ$7:$AJ$1843,$CG$7:$CG$1843,CG1679,$AN$7:$AN$1843,AN1679,$BX$7:$BX$1843,"&lt;="&amp;BX1679),"")</f>
        <v>32567.4217602078</v>
      </c>
      <c r="AP1679" s="70" t="n">
        <f aca="false">IF(AO1679="",0,MAX(0,MIN(1,(IF(CG1679="L1",Parameter!$H$5,IF(CG1679="L23",Parameter!$H$6+Parameter!$H$7,Parameter!$H$5+Parameter!$H$6+Parameter!$H$7))-(AO1679-AJ1679))/AJ1679)))</f>
        <v>1</v>
      </c>
      <c r="AQ1679" s="62" t="n">
        <f aca="false">IF(LEFT(Cockpit!$I$5,1)="A",H1679,IF(Parameter!$E$30="MAX-Bestand",IF(CI1679=1,CJ1679,IF(LEFT(Cockpit!$I$5,1)="B",AW1679,MAX(AW1679,H1679))),ROUNDUP(AU1679,0)))</f>
        <v>20</v>
      </c>
      <c r="AR1679" s="62" t="n">
        <f aca="false">IF(CA1679=1,0,ROUNDUP(AQ1679/BZ1679,0))</f>
        <v>2</v>
      </c>
      <c r="AS1679" s="64" t="n">
        <f aca="false">IF(CR1679&gt;0,CR1679*MAX(1,AQ1679/X1679),IF(CA1679=1,IF(AQ1679&lt;=0,0,CE1679*MAX(1,IF(H1679&gt;0,AQ1679/H1679,1))),IF(R1679&gt;0,AR1679/R1679,0))/MAX(0.1,N(Parameter!$M$21)))</f>
        <v>0.166666666666667</v>
      </c>
      <c r="AT1679" s="62" t="n">
        <f aca="false">AS1679*CC1679</f>
        <v>40.8333333333333</v>
      </c>
      <c r="AU1679" s="63" t="n">
        <f aca="false">IF(LEFT(Cockpit!$I$5,1)="A",H1679,IF(CI1679=1,(CL1679+CJ1679)/2,IF(LEFT(Cockpit!$I$5,1)="B",(CL1679+AW1679)/2,MAX((CL1679+AW1679)/2,H1679))))</f>
        <v>20</v>
      </c>
      <c r="AV1679" s="62" t="n">
        <f aca="false">AU1679*G1679</f>
        <v>288.6</v>
      </c>
      <c r="AW1679" s="62" t="n">
        <f aca="false">ROUNDUP(CL1679+MAX(CM1679,2*(J1679/IF(CH1679&gt;0,CH1679,MAX(0.1,N(Cockpit!$I$6)))-CL1679)),0)</f>
        <v>20</v>
      </c>
      <c r="AX1679" s="63" t="n">
        <f aca="false">IF(AT1679&gt;0,J1679/AT1679,-1)</f>
        <v>0</v>
      </c>
      <c r="AY1679" s="63" t="n">
        <f aca="false">IF(AND(OR(CG1679="L1",CG1679="L23",CG1679="LIFT"),AT1679&gt;0),SUMIFS($AT$7:$AT$1843,$CG$7:$CG$1843,CG1679,$AX$7:$AX$1843,"&gt;"&amp;AX1679)+SUMIFS($AT$7:$AT$1843,$CG$7:$CG$1843,CG1679,$AX$7:$AX$1843,AX1679,$BX$7:$BX$1843,"&lt;="&amp;BX1679),"")</f>
        <v>39039.6699907908</v>
      </c>
      <c r="AZ1679" s="70" t="n">
        <f aca="false">IF(AY1679="",0,MAX(0,MIN(1,(IF(CG1679="L1",Parameter!$H$5,IF(CG1679="L23",Parameter!$H$6+Parameter!$H$7,Parameter!$H$5+Parameter!$H$6+Parameter!$H$7))-(AY1679-AT1679))/AT1679)))</f>
        <v>0</v>
      </c>
      <c r="BA1679" s="62" t="n">
        <f aca="false">IF(LEFT(Cockpit!$O$5,1)="A",H1679,IF(Parameter!$E$30="MAX-Bestand",IF(CI1679=1,CJ1679,IF(LEFT(Cockpit!$O$5,1)="B",BG1679,MAX(BG1679,H1679))),ROUNDUP(BE1679,0)))</f>
        <v>10</v>
      </c>
      <c r="BB1679" s="62" t="n">
        <f aca="false">IF(CA1679=1,0,ROUNDUP(BA1679/BZ1679,0))</f>
        <v>1</v>
      </c>
      <c r="BC1679" s="64" t="n">
        <f aca="false">IF(CR1679&gt;0,CR1679*MAX(1,BA1679/X1679),IF(CA1679=1,IF(BA1679&lt;=0,0,CE1679*MAX(1,IF(H1679&gt;0,BA1679/H1679,1))),IF(R1679&gt;0,BB1679/R1679,0))/MAX(0.1,N(Parameter!$M$21)))</f>
        <v>0.0833333333333333</v>
      </c>
      <c r="BD1679" s="62" t="n">
        <f aca="false">BC1679*CC1679</f>
        <v>20.4166666666667</v>
      </c>
      <c r="BE1679" s="63" t="n">
        <f aca="false">IF(LEFT(Cockpit!$O$5,1)="A",H1679,IF(CI1679=1,(CL1679+CJ1679)/2,IF(LEFT(Cockpit!$O$5,1)="B",(CL1679+BG1679)/2,MAX((CL1679+BG1679)/2,H1679))))</f>
        <v>10</v>
      </c>
      <c r="BF1679" s="62" t="n">
        <f aca="false">BE1679*G1679</f>
        <v>144.3</v>
      </c>
      <c r="BG1679" s="62" t="n">
        <f aca="false">ROUNDUP(CL1679+MAX(CM1679,2*(J1679/IF(CH1679&gt;0,CH1679,MAX(0.1,N(Cockpit!$O$6)))-CL1679)),0)</f>
        <v>20</v>
      </c>
      <c r="BH1679" s="63" t="n">
        <f aca="false">IF(BD1679&gt;0,J1679/BD1679,-1)</f>
        <v>0</v>
      </c>
      <c r="BI1679" s="63" t="n">
        <f aca="false">IF(AND(OR(CG1679="L1",CG1679="L23",CG1679="LIFT"),BD1679&gt;0),SUMIFS($BD$7:$BD$1843,$CG$7:$CG$1843,CG1679,$BH$7:$BH$1843,"&gt;"&amp;BH1679)+SUMIFS($BD$7:$BD$1843,$CG$7:$CG$1843,CG1679,$BH$7:$BH$1843,BH1679,$BX$7:$BX$1843,"&lt;="&amp;BX1679),"")</f>
        <v>32302.0279329898</v>
      </c>
      <c r="BJ1679" s="70" t="n">
        <f aca="false">IF(BI1679="",0,MAX(0,MIN(1,(IF(CG1679="L1",Parameter!$H$5,IF(CG1679="L23",Parameter!$H$6+Parameter!$H$7,Parameter!$H$5+Parameter!$H$6+Parameter!$H$7))-(BI1679-BD1679))/BD1679)))</f>
        <v>1</v>
      </c>
      <c r="BK1679" s="60" t="str">
        <f aca="false">IF(AJ1679&lt;=0,"",IF(CG1679="Aussen","Aussenlager",IF(CG1679="-","Nicht im Lift",IF(AP1679&gt;=1,"Lift",IF(AP1679&lt;=0,"Aussenlager","teilweise")))))</f>
        <v>Lift</v>
      </c>
      <c r="BL1679" s="60" t="str">
        <f aca="false">IF(AT1679&lt;=0,"",IF(CG1679="Aussen","Aussenlager",IF(CG1679="-","Nicht im Lift",IF(AZ1679&gt;=1,"Lift",IF(AZ1679&lt;=0,"Aussenlager","teilweise")))))</f>
        <v>Aussenlager</v>
      </c>
      <c r="BM1679" s="60" t="str">
        <f aca="false">IF(BD1679&lt;=0,"",IF(CG1679="Aussen","Aussenlager",IF(CG1679="-","Nicht im Lift",IF(BJ1679&gt;=1,"Lift",IF(BJ1679&lt;=0,"Aussenlager","teilweise")))))</f>
        <v>Lift</v>
      </c>
      <c r="BN1679" s="60" t="str">
        <f aca="false">IF(A1679="","",IF(BW1679=1,"Neu; ","")&amp;IF(AND(BW1679=0,BR1679&lt;0),"negativer Bestand (Export "&amp;BR1679&amp;"); ","")&amp;IF(J1679&lt;=0,"Kein Verbrauch; ","")&amp;IF(CR1679&gt;0,"Lift "&amp;W1679&amp;" lt. Liftbericht (Fach "&amp;X1679&amp;" Stk); ",IF(CB1679=1,"Gebinde geschätzt ("&amp;T1679&amp;"); ",IF(CA1679=1,"Lose – Tablare geschätzt; ","")))&amp;IF(H1679&gt;AW1679,"Überbestand "&amp;ROUND(H1679-AW1679,0)&amp;" Stk / CHF "&amp;ROUND((H1679-AW1679)*G1679,0)&amp;"; ","")&amp;IF(AND(CI1679=1,CJ1679&lt;CK1679),"MAX &lt; MB+LG; ","")&amp;IF(AND(CQ1679&gt;0,CP1679*10&gt;CQ1679),"zu hoch für Tablar; ","")&amp;IF(AND(BW1679=0,OR(CI1679=1,AB1679&lt;&gt;"",U1679&lt;&gt;"",V1679&lt;&gt;"",AC1679&lt;&gt;"")),"manuell übersteuert; ","")&amp;IF(AND(CA1679=0,R1679=0),"Gebinde unbekannt / Stellmass fehlt; ","")&amp;IF(AND(CA1679=0,N(V1679)&lt;=0,N(Q1679)&lt;=0),"Menge pro Gebinde fehlt (Ist = 1 Gebinde); ","")&amp;BV1679)</f>
        <v>Kein Verbrauch; nur im Artikelstamm (Bestand 23.06.2026)</v>
      </c>
      <c r="BO1679" s="60"/>
      <c r="BP1679" s="60"/>
      <c r="BQ1679" s="67"/>
      <c r="BR1679" s="62" t="n">
        <v>20</v>
      </c>
      <c r="BS1679" s="62" t="n">
        <v>0</v>
      </c>
      <c r="BT1679" s="61" t="n">
        <v>0</v>
      </c>
      <c r="BU1679" s="62" t="n">
        <v>0</v>
      </c>
      <c r="BV1679" s="60" t="s">
        <v>2617</v>
      </c>
      <c r="BW1679" s="65" t="n">
        <v>0</v>
      </c>
      <c r="BX1679" s="65" t="n">
        <v>1679</v>
      </c>
      <c r="BY1679" s="60" t="str">
        <f aca="false">IF(U1679&lt;&gt;"",UPPER(TRIM(U1679)),IF(CB1679=1,UPPER(VLOOKUP(T1679,Parameter!$I$27:$K$29,2,0)),IF(P1679="","LOSE",P1679)))</f>
        <v>S62</v>
      </c>
      <c r="BZ1679" s="62" t="n">
        <f aca="false">IF(BY1679="LOSE",1,IF(N(V1679)&gt;0,V1679,IF(CB1679=1,MAX(1,N(VLOOKUP(T1679,Parameter!$I$27:$K$29,3,0)),H1679,N(N1679)),IF(N(Q1679)&gt;0,Q1679,MAX(1,H1679)))))</f>
        <v>19</v>
      </c>
      <c r="CA1679" s="65" t="n">
        <f aca="false">IF(BY1679="LOSE",1,0)</f>
        <v>0</v>
      </c>
      <c r="CB1679" s="65" t="n">
        <f aca="false">IF(AND(U1679="",OR(P1679="",P1679="LOSE"),T1679&lt;&gt;"",N(S1679)&lt;=0,ISNUMBER(MATCH(T1679,Parameter!$I$27:$I$29,0))),1,0)</f>
        <v>0</v>
      </c>
      <c r="CC1679" s="65" t="n">
        <f aca="false">IF(CR1679&gt;0,INDEX(Parameter!$H$5:$H$7,W1679)/INDEX(Parameter!$E$5:$E$7,W1679),IF(AND(CA1679=0,N(IFERROR(VLOOKUP(BY1679,'Gebinde-Kategorie'!$A$5:$N$45,14,0),0))&gt;0),VLOOKUP(BY1679,'Gebinde-Kategorie'!$A$5:$N$45,14,0)*10+Parameter!$M$23,Parameter!$M$24))</f>
        <v>245</v>
      </c>
      <c r="CD1679" s="60" t="str">
        <f aca="false">IF(AND(Parameter!$B$19="Ja",E1679&lt;&gt;"",ISNUMBER(MATCH(E1679,Parameter!$I$35:$I$52,0))),VLOOKUP(E1679,Parameter!$I$35:$J$52,2,0),IFERROR(VLOOKUP(D1679,Parameter!$A$35:$C$64,2,0),"Nein"))</f>
        <v>2+3</v>
      </c>
      <c r="CE1679" s="64" t="n">
        <f aca="false">IF(CA1679=0,0,IF(N(S1679)&gt;0,S1679,IFERROR(VLOOKUP(D1679,Parameter!$A$35:$C$64,3,0)+0,0)))</f>
        <v>0</v>
      </c>
      <c r="CF1679" s="60" t="n">
        <f aca="false">IF(AB1679&lt;&gt;"",AB1679,AA1679)</f>
        <v>3</v>
      </c>
      <c r="CG1679" s="60" t="str">
        <f aca="false">IF(OR(CF1679=1,CF1679=2,CF1679=3),IF(Parameter!$E$27="Ja","LIFT",IF(CF1679=1,"L1","L23")),IF(CF1679="Aussen","Aussen","-"))</f>
        <v>LIFT</v>
      </c>
      <c r="CH1679" s="71" t="n">
        <f aca="false">IF(N(AC1679)&gt;0,AC1679,0)</f>
        <v>0</v>
      </c>
      <c r="CI1679" s="65" t="n">
        <f aca="false">IF(ISNUMBER(AF1679),1,0)</f>
        <v>0</v>
      </c>
      <c r="CJ1679" s="62" t="n">
        <f aca="false">N(AF1679)</f>
        <v>0</v>
      </c>
      <c r="CK1679" s="62" t="n">
        <f aca="false">N(M1679)+N(N1679)</f>
        <v>20</v>
      </c>
      <c r="CL1679" s="62" t="n">
        <f aca="false">N(M1679)</f>
        <v>0</v>
      </c>
      <c r="CM1679" s="62" t="n">
        <f aca="false">N(N1679)</f>
        <v>20</v>
      </c>
      <c r="CN1679" s="62" t="n">
        <f aca="false">ROUNDUP(H1679/BZ1679,0)</f>
        <v>2</v>
      </c>
      <c r="CO1679" s="62" t="n">
        <f aca="false">ROUNDUP(CJ1679/BZ1679,0)</f>
        <v>0</v>
      </c>
      <c r="CP1679" s="65" t="n">
        <f aca="false">IF(CA1679=1,0,IFERROR(VLOOKUP(BY1679,'Gebinde-Kategorie'!$A$5:$N$45,5,0)+0,0))</f>
        <v>21</v>
      </c>
      <c r="CQ1679" s="65" t="n">
        <f aca="false">IFERROR(IF(OR(CF1679=1,CF1679=2,CF1679=3),N(INDEX(Parameter!$I$5:$I$7,CF1679)),0),0)</f>
        <v>0</v>
      </c>
      <c r="CR1679" s="64" t="n">
        <f aca="false">IF(AND(Parameter!$B$21="Ja",ISNUMBER(W1679),N(X1679)&gt;0),IFERROR(N(INDEX(Parameter!$L$5:$L$7,W1679))*INDEX(Parameter!$E$5:$E$7,W1679)*X1679/SUMIFS($X$7:$X$1843,$W$7:$W$1843,W1679),0),0)</f>
        <v>0</v>
      </c>
      <c r="CS1679" s="62" t="n">
        <f aca="false">IF(AND(OR(CG1679="L1",CG1679="L23",CG1679="LIFT"),H1679&gt;0),CC1679*IF(CR1679&gt;0,CR1679*MAX(1,H1679/X1679),IF(CA1679=1,CE1679,IF(R1679&gt;0,CN1679/R1679,0))/MAX(0.1,N(Parameter!$M$21))),"")</f>
        <v>40.8333333333333</v>
      </c>
      <c r="CT1679" s="64" t="n">
        <f aca="false">IF(CS1679="","",J1679/H1679)</f>
        <v>0</v>
      </c>
      <c r="CU1679" s="62" t="n">
        <f aca="false">IF(CS1679="","",H1679*G1679)</f>
        <v>288.6</v>
      </c>
      <c r="CV1679" s="63" t="n">
        <f aca="false">IF(CS1679="","",(CL1679+ROUNDUP(CL1679+MAX(CM1679,2*(J1679/MAX(0.1,N(Einkauf!$C$6))-CL1679)),0))/2)</f>
        <v>10</v>
      </c>
      <c r="CW1679" s="62" t="n">
        <f aca="false">IF(CS1679="","",MAX(0,H1679-CV1679)*G1679)</f>
        <v>144.3</v>
      </c>
      <c r="CX1679" s="62" t="n">
        <f aca="false">IF(CS1679="","",CS1679*MAX(0,1-CV1679/H1679))</f>
        <v>20.4166666666667</v>
      </c>
      <c r="CY1679" s="64" t="n">
        <f aca="false">IF(CS1679="","",PERCENTRANK($CS$7:$CS$1843,CS1679)+PERCENTRANK($CU$7:$CU$1843,CU1679)+1-PERCENTRANK($CT$7:$CT$1843,CT1679))</f>
        <v>2.307</v>
      </c>
      <c r="CZ1679" s="72" t="n">
        <f aca="false">IF(CS1679="","",CHOOSE(MATCH(Einkauf!$C$5,Parameter!$G$23:$G$27,0),CY1679,CS1679,CU1679,-CT1679,CW1679)+ROW()/1000000000)</f>
        <v>2.307001679</v>
      </c>
    </row>
    <row r="1680" customFormat="false" ht="15" hidden="false" customHeight="false" outlineLevel="0" collapsed="false">
      <c r="A1680" s="60" t="s">
        <v>2953</v>
      </c>
      <c r="B1680" s="60" t="s">
        <v>2954</v>
      </c>
      <c r="C1680" s="60" t="s">
        <v>206</v>
      </c>
      <c r="D1680" s="60" t="s">
        <v>215</v>
      </c>
      <c r="E1680" s="60"/>
      <c r="F1680" s="60"/>
      <c r="G1680" s="61" t="n">
        <v>434.06</v>
      </c>
      <c r="H1680" s="62" t="n">
        <f aca="false">MAX(0,IF(AND(Parameter!$B$21="Ja",ISNUMBER(Y1680)),Y1680,IF(Parameter!$B$20="Jahresanfang 2025 + Export",BS1680+BR1680,BR1680)))</f>
        <v>16</v>
      </c>
      <c r="I1680" s="62" t="n">
        <f aca="false">H1680*G1680</f>
        <v>6944.96</v>
      </c>
      <c r="J1680" s="62" t="n">
        <f aca="false">BU1680*Parameter!$B$18</f>
        <v>0</v>
      </c>
      <c r="K1680" s="63"/>
      <c r="L1680" s="64"/>
      <c r="M1680" s="62" t="n">
        <v>0</v>
      </c>
      <c r="N1680" s="62" t="n">
        <v>10</v>
      </c>
      <c r="O1680" s="65" t="n">
        <v>70</v>
      </c>
      <c r="P1680" s="60" t="s">
        <v>335</v>
      </c>
      <c r="Q1680" s="62" t="n">
        <v>16</v>
      </c>
      <c r="R1680" s="65" t="n">
        <f aca="false">IF(CA1680=1,0,IFERROR(VLOOKUP(BY1680,'Gebinde-Kategorie'!$A$5:$N$45,13,0)+0,0))</f>
        <v>12</v>
      </c>
      <c r="S1680" s="66"/>
      <c r="T1680" s="67"/>
      <c r="U1680" s="67"/>
      <c r="V1680" s="67"/>
      <c r="W1680" s="60"/>
      <c r="X1680" s="62"/>
      <c r="Y1680" s="62"/>
      <c r="Z1680" s="60" t="n">
        <v>3</v>
      </c>
      <c r="AA1680" s="60" t="n">
        <f aca="false">IF(A1680="","",IF(AND(Parameter!$B$21="Ja",ISNUMBER(W1680)),W1680,IF(AND(Parameter!$E$27="Ja",ISNUMBER(Z1680),CD1680&lt;&gt;"Nein"),Z1680,IF(CD1680="2+3",IF(ISNUMBER(SEARCH("grosser Artikel",BV1680)),2,IFERROR(VLOOKUP(BY1680,Parameter!$F$35:$G$64,2,0),2)),IF(OR(CD1680="Nein",CD1680=""),"-",CD1680)))))</f>
        <v>3</v>
      </c>
      <c r="AB1680" s="67"/>
      <c r="AC1680" s="68"/>
      <c r="AD1680" s="62" t="n">
        <f aca="false">AW1680</f>
        <v>10</v>
      </c>
      <c r="AE1680" s="62" t="n">
        <f aca="false">MAX(AW1680,H1680)</f>
        <v>16</v>
      </c>
      <c r="AF1680" s="69"/>
      <c r="AG1680" s="62" t="n">
        <f aca="false">IF(LEFT(Cockpit!$C$5,1)="A",H1680,IF(Parameter!$E$30="MAX-Bestand",IF(CI1680=1,CJ1680,IF(LEFT(Cockpit!$C$5,1)="B",AM1680,MAX(AM1680,H1680))),ROUNDUP(AK1680,0)))</f>
        <v>16</v>
      </c>
      <c r="AH1680" s="62" t="n">
        <f aca="false">IF(CA1680=1,0,ROUNDUP(AG1680/BZ1680,0))</f>
        <v>1</v>
      </c>
      <c r="AI1680" s="64" t="n">
        <f aca="false">IF(CR1680&gt;0,CR1680*MAX(1,AG1680/X1680),IF(CA1680=1,IF(AG1680&lt;=0,0,CE1680*MAX(1,IF(H1680&gt;0,AG1680/H1680,1))),IF(R1680&gt;0,AH1680/R1680,0))/MAX(0.1,N(Parameter!$M$21)))</f>
        <v>0.0833333333333333</v>
      </c>
      <c r="AJ1680" s="62" t="n">
        <f aca="false">AI1680*CC1680</f>
        <v>20.4166666666667</v>
      </c>
      <c r="AK1680" s="63" t="n">
        <f aca="false">IF(LEFT(Cockpit!$C$5,1)="A",H1680,IF(CI1680=1,(CL1680+CJ1680)/2,IF(LEFT(Cockpit!$C$5,1)="B",(CL1680+AM1680)/2,MAX((CL1680+AM1680)/2,H1680))))</f>
        <v>16</v>
      </c>
      <c r="AL1680" s="62" t="n">
        <f aca="false">AK1680*G1680</f>
        <v>6944.96</v>
      </c>
      <c r="AM1680" s="62" t="n">
        <f aca="false">ROUNDUP(CL1680+MAX(CM1680,2*(J1680/IF(CH1680&gt;0,CH1680,MAX(0.1,N(Cockpit!$C$6)))-CL1680)),0)</f>
        <v>10</v>
      </c>
      <c r="AN1680" s="63" t="n">
        <f aca="false">IF(AJ1680&gt;0,J1680/AJ1680,-1)</f>
        <v>0</v>
      </c>
      <c r="AO1680" s="63" t="n">
        <f aca="false">IF(AND(OR(CG1680="L1",CG1680="L23",CG1680="LIFT"),AJ1680&gt;0),SUMIFS($AJ$7:$AJ$1843,$CG$7:$CG$1843,CG1680,$AN$7:$AN$1843,"&gt;"&amp;AN1680)+SUMIFS($AJ$7:$AJ$1843,$CG$7:$CG$1843,CG1680,$AN$7:$AN$1843,AN1680,$BX$7:$BX$1843,"&lt;="&amp;BX1680),"")</f>
        <v>32587.8384268744</v>
      </c>
      <c r="AP1680" s="70" t="n">
        <f aca="false">IF(AO1680="",0,MAX(0,MIN(1,(IF(CG1680="L1",Parameter!$H$5,IF(CG1680="L23",Parameter!$H$6+Parameter!$H$7,Parameter!$H$5+Parameter!$H$6+Parameter!$H$7))-(AO1680-AJ1680))/AJ1680)))</f>
        <v>1</v>
      </c>
      <c r="AQ1680" s="62" t="n">
        <f aca="false">IF(LEFT(Cockpit!$I$5,1)="A",H1680,IF(Parameter!$E$30="MAX-Bestand",IF(CI1680=1,CJ1680,IF(LEFT(Cockpit!$I$5,1)="B",AW1680,MAX(AW1680,H1680))),ROUNDUP(AU1680,0)))</f>
        <v>16</v>
      </c>
      <c r="AR1680" s="62" t="n">
        <f aca="false">IF(CA1680=1,0,ROUNDUP(AQ1680/BZ1680,0))</f>
        <v>1</v>
      </c>
      <c r="AS1680" s="64" t="n">
        <f aca="false">IF(CR1680&gt;0,CR1680*MAX(1,AQ1680/X1680),IF(CA1680=1,IF(AQ1680&lt;=0,0,CE1680*MAX(1,IF(H1680&gt;0,AQ1680/H1680,1))),IF(R1680&gt;0,AR1680/R1680,0))/MAX(0.1,N(Parameter!$M$21)))</f>
        <v>0.0833333333333333</v>
      </c>
      <c r="AT1680" s="62" t="n">
        <f aca="false">AS1680*CC1680</f>
        <v>20.4166666666667</v>
      </c>
      <c r="AU1680" s="63" t="n">
        <f aca="false">IF(LEFT(Cockpit!$I$5,1)="A",H1680,IF(CI1680=1,(CL1680+CJ1680)/2,IF(LEFT(Cockpit!$I$5,1)="B",(CL1680+AW1680)/2,MAX((CL1680+AW1680)/2,H1680))))</f>
        <v>16</v>
      </c>
      <c r="AV1680" s="62" t="n">
        <f aca="false">AU1680*G1680</f>
        <v>6944.96</v>
      </c>
      <c r="AW1680" s="62" t="n">
        <f aca="false">ROUNDUP(CL1680+MAX(CM1680,2*(J1680/IF(CH1680&gt;0,CH1680,MAX(0.1,N(Cockpit!$I$6)))-CL1680)),0)</f>
        <v>10</v>
      </c>
      <c r="AX1680" s="63" t="n">
        <f aca="false">IF(AT1680&gt;0,J1680/AT1680,-1)</f>
        <v>0</v>
      </c>
      <c r="AY1680" s="63" t="n">
        <f aca="false">IF(AND(OR(CG1680="L1",CG1680="L23",CG1680="LIFT"),AT1680&gt;0),SUMIFS($AT$7:$AT$1843,$CG$7:$CG$1843,CG1680,$AX$7:$AX$1843,"&gt;"&amp;AX1680)+SUMIFS($AT$7:$AT$1843,$CG$7:$CG$1843,CG1680,$AX$7:$AX$1843,AX1680,$BX$7:$BX$1843,"&lt;="&amp;BX1680),"")</f>
        <v>39060.0866574574</v>
      </c>
      <c r="AZ1680" s="70" t="n">
        <f aca="false">IF(AY1680="",0,MAX(0,MIN(1,(IF(CG1680="L1",Parameter!$H$5,IF(CG1680="L23",Parameter!$H$6+Parameter!$H$7,Parameter!$H$5+Parameter!$H$6+Parameter!$H$7))-(AY1680-AT1680))/AT1680)))</f>
        <v>0</v>
      </c>
      <c r="BA1680" s="62" t="n">
        <f aca="false">IF(LEFT(Cockpit!$O$5,1)="A",H1680,IF(Parameter!$E$30="MAX-Bestand",IF(CI1680=1,CJ1680,IF(LEFT(Cockpit!$O$5,1)="B",BG1680,MAX(BG1680,H1680))),ROUNDUP(BE1680,0)))</f>
        <v>5</v>
      </c>
      <c r="BB1680" s="62" t="n">
        <f aca="false">IF(CA1680=1,0,ROUNDUP(BA1680/BZ1680,0))</f>
        <v>1</v>
      </c>
      <c r="BC1680" s="64" t="n">
        <f aca="false">IF(CR1680&gt;0,CR1680*MAX(1,BA1680/X1680),IF(CA1680=1,IF(BA1680&lt;=0,0,CE1680*MAX(1,IF(H1680&gt;0,BA1680/H1680,1))),IF(R1680&gt;0,BB1680/R1680,0))/MAX(0.1,N(Parameter!$M$21)))</f>
        <v>0.0833333333333333</v>
      </c>
      <c r="BD1680" s="62" t="n">
        <f aca="false">BC1680*CC1680</f>
        <v>20.4166666666667</v>
      </c>
      <c r="BE1680" s="63" t="n">
        <f aca="false">IF(LEFT(Cockpit!$O$5,1)="A",H1680,IF(CI1680=1,(CL1680+CJ1680)/2,IF(LEFT(Cockpit!$O$5,1)="B",(CL1680+BG1680)/2,MAX((CL1680+BG1680)/2,H1680))))</f>
        <v>5</v>
      </c>
      <c r="BF1680" s="62" t="n">
        <f aca="false">BE1680*G1680</f>
        <v>2170.3</v>
      </c>
      <c r="BG1680" s="62" t="n">
        <f aca="false">ROUNDUP(CL1680+MAX(CM1680,2*(J1680/IF(CH1680&gt;0,CH1680,MAX(0.1,N(Cockpit!$O$6)))-CL1680)),0)</f>
        <v>10</v>
      </c>
      <c r="BH1680" s="63" t="n">
        <f aca="false">IF(BD1680&gt;0,J1680/BD1680,-1)</f>
        <v>0</v>
      </c>
      <c r="BI1680" s="63" t="n">
        <f aca="false">IF(AND(OR(CG1680="L1",CG1680="L23",CG1680="LIFT"),BD1680&gt;0),SUMIFS($BD$7:$BD$1843,$CG$7:$CG$1843,CG1680,$BH$7:$BH$1843,"&gt;"&amp;BH1680)+SUMIFS($BD$7:$BD$1843,$CG$7:$CG$1843,CG1680,$BH$7:$BH$1843,BH1680,$BX$7:$BX$1843,"&lt;="&amp;BX1680),"")</f>
        <v>32322.4445996565</v>
      </c>
      <c r="BJ1680" s="70" t="n">
        <f aca="false">IF(BI1680="",0,MAX(0,MIN(1,(IF(CG1680="L1",Parameter!$H$5,IF(CG1680="L23",Parameter!$H$6+Parameter!$H$7,Parameter!$H$5+Parameter!$H$6+Parameter!$H$7))-(BI1680-BD1680))/BD1680)))</f>
        <v>1</v>
      </c>
      <c r="BK1680" s="60" t="str">
        <f aca="false">IF(AJ1680&lt;=0,"",IF(CG1680="Aussen","Aussenlager",IF(CG1680="-","Nicht im Lift",IF(AP1680&gt;=1,"Lift",IF(AP1680&lt;=0,"Aussenlager","teilweise")))))</f>
        <v>Lift</v>
      </c>
      <c r="BL1680" s="60" t="str">
        <f aca="false">IF(AT1680&lt;=0,"",IF(CG1680="Aussen","Aussenlager",IF(CG1680="-","Nicht im Lift",IF(AZ1680&gt;=1,"Lift",IF(AZ1680&lt;=0,"Aussenlager","teilweise")))))</f>
        <v>Aussenlager</v>
      </c>
      <c r="BM1680" s="60" t="str">
        <f aca="false">IF(BD1680&lt;=0,"",IF(CG1680="Aussen","Aussenlager",IF(CG1680="-","Nicht im Lift",IF(BJ1680&gt;=1,"Lift",IF(BJ1680&lt;=0,"Aussenlager","teilweise")))))</f>
        <v>Lift</v>
      </c>
      <c r="BN1680" s="60" t="str">
        <f aca="false">IF(A1680="","",IF(BW1680=1,"Neu; ","")&amp;IF(AND(BW1680=0,BR1680&lt;0),"negativer Bestand (Export "&amp;BR1680&amp;"); ","")&amp;IF(J1680&lt;=0,"Kein Verbrauch; ","")&amp;IF(CR1680&gt;0,"Lift "&amp;W1680&amp;" lt. Liftbericht (Fach "&amp;X1680&amp;" Stk); ",IF(CB1680=1,"Gebinde geschätzt ("&amp;T1680&amp;"); ",IF(CA1680=1,"Lose – Tablare geschätzt; ","")))&amp;IF(H1680&gt;AW1680,"Überbestand "&amp;ROUND(H1680-AW1680,0)&amp;" Stk / CHF "&amp;ROUND((H1680-AW1680)*G1680,0)&amp;"; ","")&amp;IF(AND(CI1680=1,CJ1680&lt;CK1680),"MAX &lt; MB+LG; ","")&amp;IF(AND(CQ1680&gt;0,CP1680*10&gt;CQ1680),"zu hoch für Tablar; ","")&amp;IF(AND(BW1680=0,OR(CI1680=1,AB1680&lt;&gt;"",U1680&lt;&gt;"",V1680&lt;&gt;"",AC1680&lt;&gt;"")),"manuell übersteuert; ","")&amp;IF(AND(CA1680=0,R1680=0),"Gebinde unbekannt / Stellmass fehlt; ","")&amp;IF(AND(CA1680=0,N(V1680)&lt;=0,N(Q1680)&lt;=0),"Menge pro Gebinde fehlt (Ist = 1 Gebinde); ","")&amp;BV1680)</f>
        <v>Kein Verbrauch; Überbestand 6 Stk / CHF 2604; nur im Artikelstamm (Bestand 23.06.2026)</v>
      </c>
      <c r="BO1680" s="60"/>
      <c r="BP1680" s="60"/>
      <c r="BQ1680" s="67"/>
      <c r="BR1680" s="62" t="n">
        <v>16</v>
      </c>
      <c r="BS1680" s="62" t="n">
        <v>0</v>
      </c>
      <c r="BT1680" s="61" t="n">
        <v>0</v>
      </c>
      <c r="BU1680" s="62" t="n">
        <v>0</v>
      </c>
      <c r="BV1680" s="60" t="s">
        <v>2617</v>
      </c>
      <c r="BW1680" s="65" t="n">
        <v>0</v>
      </c>
      <c r="BX1680" s="65" t="n">
        <v>1680</v>
      </c>
      <c r="BY1680" s="60" t="str">
        <f aca="false">IF(U1680&lt;&gt;"",UPPER(TRIM(U1680)),IF(CB1680=1,UPPER(VLOOKUP(T1680,Parameter!$I$27:$K$29,2,0)),IF(P1680="","LOSE",P1680)))</f>
        <v>S62</v>
      </c>
      <c r="BZ1680" s="62" t="n">
        <f aca="false">IF(BY1680="LOSE",1,IF(N(V1680)&gt;0,V1680,IF(CB1680=1,MAX(1,N(VLOOKUP(T1680,Parameter!$I$27:$K$29,3,0)),H1680,N(N1680)),IF(N(Q1680)&gt;0,Q1680,MAX(1,H1680)))))</f>
        <v>16</v>
      </c>
      <c r="CA1680" s="65" t="n">
        <f aca="false">IF(BY1680="LOSE",1,0)</f>
        <v>0</v>
      </c>
      <c r="CB1680" s="65" t="n">
        <f aca="false">IF(AND(U1680="",OR(P1680="",P1680="LOSE"),T1680&lt;&gt;"",N(S1680)&lt;=0,ISNUMBER(MATCH(T1680,Parameter!$I$27:$I$29,0))),1,0)</f>
        <v>0</v>
      </c>
      <c r="CC1680" s="65" t="n">
        <f aca="false">IF(CR1680&gt;0,INDEX(Parameter!$H$5:$H$7,W1680)/INDEX(Parameter!$E$5:$E$7,W1680),IF(AND(CA1680=0,N(IFERROR(VLOOKUP(BY1680,'Gebinde-Kategorie'!$A$5:$N$45,14,0),0))&gt;0),VLOOKUP(BY1680,'Gebinde-Kategorie'!$A$5:$N$45,14,0)*10+Parameter!$M$23,Parameter!$M$24))</f>
        <v>245</v>
      </c>
      <c r="CD1680" s="60" t="str">
        <f aca="false">IF(AND(Parameter!$B$19="Ja",E1680&lt;&gt;"",ISNUMBER(MATCH(E1680,Parameter!$I$35:$I$52,0))),VLOOKUP(E1680,Parameter!$I$35:$J$52,2,0),IFERROR(VLOOKUP(D1680,Parameter!$A$35:$C$64,2,0),"Nein"))</f>
        <v>2+3</v>
      </c>
      <c r="CE1680" s="64" t="n">
        <f aca="false">IF(CA1680=0,0,IF(N(S1680)&gt;0,S1680,IFERROR(VLOOKUP(D1680,Parameter!$A$35:$C$64,3,0)+0,0)))</f>
        <v>0</v>
      </c>
      <c r="CF1680" s="60" t="n">
        <f aca="false">IF(AB1680&lt;&gt;"",AB1680,AA1680)</f>
        <v>3</v>
      </c>
      <c r="CG1680" s="60" t="str">
        <f aca="false">IF(OR(CF1680=1,CF1680=2,CF1680=3),IF(Parameter!$E$27="Ja","LIFT",IF(CF1680=1,"L1","L23")),IF(CF1680="Aussen","Aussen","-"))</f>
        <v>LIFT</v>
      </c>
      <c r="CH1680" s="71" t="n">
        <f aca="false">IF(N(AC1680)&gt;0,AC1680,0)</f>
        <v>0</v>
      </c>
      <c r="CI1680" s="65" t="n">
        <f aca="false">IF(ISNUMBER(AF1680),1,0)</f>
        <v>0</v>
      </c>
      <c r="CJ1680" s="62" t="n">
        <f aca="false">N(AF1680)</f>
        <v>0</v>
      </c>
      <c r="CK1680" s="62" t="n">
        <f aca="false">N(M1680)+N(N1680)</f>
        <v>10</v>
      </c>
      <c r="CL1680" s="62" t="n">
        <f aca="false">N(M1680)</f>
        <v>0</v>
      </c>
      <c r="CM1680" s="62" t="n">
        <f aca="false">N(N1680)</f>
        <v>10</v>
      </c>
      <c r="CN1680" s="62" t="n">
        <f aca="false">ROUNDUP(H1680/BZ1680,0)</f>
        <v>1</v>
      </c>
      <c r="CO1680" s="62" t="n">
        <f aca="false">ROUNDUP(CJ1680/BZ1680,0)</f>
        <v>0</v>
      </c>
      <c r="CP1680" s="65" t="n">
        <f aca="false">IF(CA1680=1,0,IFERROR(VLOOKUP(BY1680,'Gebinde-Kategorie'!$A$5:$N$45,5,0)+0,0))</f>
        <v>21</v>
      </c>
      <c r="CQ1680" s="65" t="n">
        <f aca="false">IFERROR(IF(OR(CF1680=1,CF1680=2,CF1680=3),N(INDEX(Parameter!$I$5:$I$7,CF1680)),0),0)</f>
        <v>0</v>
      </c>
      <c r="CR1680" s="64" t="n">
        <f aca="false">IF(AND(Parameter!$B$21="Ja",ISNUMBER(W1680),N(X1680)&gt;0),IFERROR(N(INDEX(Parameter!$L$5:$L$7,W1680))*INDEX(Parameter!$E$5:$E$7,W1680)*X1680/SUMIFS($X$7:$X$1843,$W$7:$W$1843,W1680),0),0)</f>
        <v>0</v>
      </c>
      <c r="CS1680" s="62" t="n">
        <f aca="false">IF(AND(OR(CG1680="L1",CG1680="L23",CG1680="LIFT"),H1680&gt;0),CC1680*IF(CR1680&gt;0,CR1680*MAX(1,H1680/X1680),IF(CA1680=1,CE1680,IF(R1680&gt;0,CN1680/R1680,0))/MAX(0.1,N(Parameter!$M$21))),"")</f>
        <v>20.4166666666667</v>
      </c>
      <c r="CT1680" s="64" t="n">
        <f aca="false">IF(CS1680="","",J1680/H1680)</f>
        <v>0</v>
      </c>
      <c r="CU1680" s="62" t="n">
        <f aca="false">IF(CS1680="","",H1680*G1680)</f>
        <v>6944.96</v>
      </c>
      <c r="CV1680" s="63" t="n">
        <f aca="false">IF(CS1680="","",(CL1680+ROUNDUP(CL1680+MAX(CM1680,2*(J1680/MAX(0.1,N(Einkauf!$C$6))-CL1680)),0))/2)</f>
        <v>5</v>
      </c>
      <c r="CW1680" s="62" t="n">
        <f aca="false">IF(CS1680="","",MAX(0,H1680-CV1680)*G1680)</f>
        <v>4774.66</v>
      </c>
      <c r="CX1680" s="62" t="n">
        <f aca="false">IF(CS1680="","",CS1680*MAX(0,1-CV1680/H1680))</f>
        <v>14.0364583333333</v>
      </c>
      <c r="CY1680" s="64" t="n">
        <f aca="false">IF(CS1680="","",PERCENTRANK($CS$7:$CS$1843,CS1680)+PERCENTRANK($CU$7:$CU$1843,CU1680)+1-PERCENTRANK($CT$7:$CT$1843,CT1680))</f>
        <v>2.714</v>
      </c>
      <c r="CZ1680" s="72" t="n">
        <f aca="false">IF(CS1680="","",CHOOSE(MATCH(Einkauf!$C$5,Parameter!$G$23:$G$27,0),CY1680,CS1680,CU1680,-CT1680,CW1680)+ROW()/1000000000)</f>
        <v>2.71400168</v>
      </c>
    </row>
    <row r="1681" customFormat="false" ht="15" hidden="false" customHeight="false" outlineLevel="0" collapsed="false">
      <c r="A1681" s="60" t="s">
        <v>2955</v>
      </c>
      <c r="B1681" s="60" t="s">
        <v>2153</v>
      </c>
      <c r="C1681" s="60" t="s">
        <v>206</v>
      </c>
      <c r="D1681" s="60" t="s">
        <v>215</v>
      </c>
      <c r="E1681" s="60" t="s">
        <v>208</v>
      </c>
      <c r="F1681" s="60"/>
      <c r="G1681" s="61" t="n">
        <v>377.25</v>
      </c>
      <c r="H1681" s="62" t="n">
        <f aca="false">MAX(0,IF(AND(Parameter!$B$21="Ja",ISNUMBER(Y1681)),Y1681,IF(Parameter!$B$20="Jahresanfang 2025 + Export",BS1681+BR1681,BR1681)))</f>
        <v>14</v>
      </c>
      <c r="I1681" s="62" t="n">
        <f aca="false">H1681*G1681</f>
        <v>5281.5</v>
      </c>
      <c r="J1681" s="62" t="n">
        <f aca="false">BU1681*Parameter!$B$18</f>
        <v>0</v>
      </c>
      <c r="K1681" s="63"/>
      <c r="L1681" s="64"/>
      <c r="M1681" s="62" t="n">
        <v>0</v>
      </c>
      <c r="N1681" s="62" t="n">
        <v>10</v>
      </c>
      <c r="O1681" s="65" t="n">
        <v>35</v>
      </c>
      <c r="P1681" s="60" t="s">
        <v>335</v>
      </c>
      <c r="Q1681" s="62" t="n">
        <v>15</v>
      </c>
      <c r="R1681" s="65" t="n">
        <f aca="false">IF(CA1681=1,0,IFERROR(VLOOKUP(BY1681,'Gebinde-Kategorie'!$A$5:$N$45,13,0)+0,0))</f>
        <v>12</v>
      </c>
      <c r="S1681" s="66"/>
      <c r="T1681" s="67"/>
      <c r="U1681" s="67"/>
      <c r="V1681" s="67"/>
      <c r="W1681" s="60"/>
      <c r="X1681" s="62"/>
      <c r="Y1681" s="62"/>
      <c r="Z1681" s="60" t="n">
        <v>3</v>
      </c>
      <c r="AA1681" s="60" t="n">
        <f aca="false">IF(A1681="","",IF(AND(Parameter!$B$21="Ja",ISNUMBER(W1681)),W1681,IF(AND(Parameter!$E$27="Ja",ISNUMBER(Z1681),CD1681&lt;&gt;"Nein"),Z1681,IF(CD1681="2+3",IF(ISNUMBER(SEARCH("grosser Artikel",BV1681)),2,IFERROR(VLOOKUP(BY1681,Parameter!$F$35:$G$64,2,0),2)),IF(OR(CD1681="Nein",CD1681=""),"-",CD1681)))))</f>
        <v>3</v>
      </c>
      <c r="AB1681" s="67"/>
      <c r="AC1681" s="68"/>
      <c r="AD1681" s="62" t="n">
        <f aca="false">AW1681</f>
        <v>10</v>
      </c>
      <c r="AE1681" s="62" t="n">
        <f aca="false">MAX(AW1681,H1681)</f>
        <v>14</v>
      </c>
      <c r="AF1681" s="69"/>
      <c r="AG1681" s="62" t="n">
        <f aca="false">IF(LEFT(Cockpit!$C$5,1)="A",H1681,IF(Parameter!$E$30="MAX-Bestand",IF(CI1681=1,CJ1681,IF(LEFT(Cockpit!$C$5,1)="B",AM1681,MAX(AM1681,H1681))),ROUNDUP(AK1681,0)))</f>
        <v>14</v>
      </c>
      <c r="AH1681" s="62" t="n">
        <f aca="false">IF(CA1681=1,0,ROUNDUP(AG1681/BZ1681,0))</f>
        <v>1</v>
      </c>
      <c r="AI1681" s="64" t="n">
        <f aca="false">IF(CR1681&gt;0,CR1681*MAX(1,AG1681/X1681),IF(CA1681=1,IF(AG1681&lt;=0,0,CE1681*MAX(1,IF(H1681&gt;0,AG1681/H1681,1))),IF(R1681&gt;0,AH1681/R1681,0))/MAX(0.1,N(Parameter!$M$21)))</f>
        <v>0.0833333333333333</v>
      </c>
      <c r="AJ1681" s="62" t="n">
        <f aca="false">AI1681*CC1681</f>
        <v>20.4166666666667</v>
      </c>
      <c r="AK1681" s="63" t="n">
        <f aca="false">IF(LEFT(Cockpit!$C$5,1)="A",H1681,IF(CI1681=1,(CL1681+CJ1681)/2,IF(LEFT(Cockpit!$C$5,1)="B",(CL1681+AM1681)/2,MAX((CL1681+AM1681)/2,H1681))))</f>
        <v>14</v>
      </c>
      <c r="AL1681" s="62" t="n">
        <f aca="false">AK1681*G1681</f>
        <v>5281.5</v>
      </c>
      <c r="AM1681" s="62" t="n">
        <f aca="false">ROUNDUP(CL1681+MAX(CM1681,2*(J1681/IF(CH1681&gt;0,CH1681,MAX(0.1,N(Cockpit!$C$6)))-CL1681)),0)</f>
        <v>10</v>
      </c>
      <c r="AN1681" s="63" t="n">
        <f aca="false">IF(AJ1681&gt;0,J1681/AJ1681,-1)</f>
        <v>0</v>
      </c>
      <c r="AO1681" s="63" t="n">
        <f aca="false">IF(AND(OR(CG1681="L1",CG1681="L23",CG1681="LIFT"),AJ1681&gt;0),SUMIFS($AJ$7:$AJ$1843,$CG$7:$CG$1843,CG1681,$AN$7:$AN$1843,"&gt;"&amp;AN1681)+SUMIFS($AJ$7:$AJ$1843,$CG$7:$CG$1843,CG1681,$AN$7:$AN$1843,AN1681,$BX$7:$BX$1843,"&lt;="&amp;BX1681),"")</f>
        <v>32608.2550935411</v>
      </c>
      <c r="AP1681" s="70" t="n">
        <f aca="false">IF(AO1681="",0,MAX(0,MIN(1,(IF(CG1681="L1",Parameter!$H$5,IF(CG1681="L23",Parameter!$H$6+Parameter!$H$7,Parameter!$H$5+Parameter!$H$6+Parameter!$H$7))-(AO1681-AJ1681))/AJ1681)))</f>
        <v>1</v>
      </c>
      <c r="AQ1681" s="62" t="n">
        <f aca="false">IF(LEFT(Cockpit!$I$5,1)="A",H1681,IF(Parameter!$E$30="MAX-Bestand",IF(CI1681=1,CJ1681,IF(LEFT(Cockpit!$I$5,1)="B",AW1681,MAX(AW1681,H1681))),ROUNDUP(AU1681,0)))</f>
        <v>14</v>
      </c>
      <c r="AR1681" s="62" t="n">
        <f aca="false">IF(CA1681=1,0,ROUNDUP(AQ1681/BZ1681,0))</f>
        <v>1</v>
      </c>
      <c r="AS1681" s="64" t="n">
        <f aca="false">IF(CR1681&gt;0,CR1681*MAX(1,AQ1681/X1681),IF(CA1681=1,IF(AQ1681&lt;=0,0,CE1681*MAX(1,IF(H1681&gt;0,AQ1681/H1681,1))),IF(R1681&gt;0,AR1681/R1681,0))/MAX(0.1,N(Parameter!$M$21)))</f>
        <v>0.0833333333333333</v>
      </c>
      <c r="AT1681" s="62" t="n">
        <f aca="false">AS1681*CC1681</f>
        <v>20.4166666666667</v>
      </c>
      <c r="AU1681" s="63" t="n">
        <f aca="false">IF(LEFT(Cockpit!$I$5,1)="A",H1681,IF(CI1681=1,(CL1681+CJ1681)/2,IF(LEFT(Cockpit!$I$5,1)="B",(CL1681+AW1681)/2,MAX((CL1681+AW1681)/2,H1681))))</f>
        <v>14</v>
      </c>
      <c r="AV1681" s="62" t="n">
        <f aca="false">AU1681*G1681</f>
        <v>5281.5</v>
      </c>
      <c r="AW1681" s="62" t="n">
        <f aca="false">ROUNDUP(CL1681+MAX(CM1681,2*(J1681/IF(CH1681&gt;0,CH1681,MAX(0.1,N(Cockpit!$I$6)))-CL1681)),0)</f>
        <v>10</v>
      </c>
      <c r="AX1681" s="63" t="n">
        <f aca="false">IF(AT1681&gt;0,J1681/AT1681,-1)</f>
        <v>0</v>
      </c>
      <c r="AY1681" s="63" t="n">
        <f aca="false">IF(AND(OR(CG1681="L1",CG1681="L23",CG1681="LIFT"),AT1681&gt;0),SUMIFS($AT$7:$AT$1843,$CG$7:$CG$1843,CG1681,$AX$7:$AX$1843,"&gt;"&amp;AX1681)+SUMIFS($AT$7:$AT$1843,$CG$7:$CG$1843,CG1681,$AX$7:$AX$1843,AX1681,$BX$7:$BX$1843,"&lt;="&amp;BX1681),"")</f>
        <v>39080.5033241241</v>
      </c>
      <c r="AZ1681" s="70" t="n">
        <f aca="false">IF(AY1681="",0,MAX(0,MIN(1,(IF(CG1681="L1",Parameter!$H$5,IF(CG1681="L23",Parameter!$H$6+Parameter!$H$7,Parameter!$H$5+Parameter!$H$6+Parameter!$H$7))-(AY1681-AT1681))/AT1681)))</f>
        <v>0</v>
      </c>
      <c r="BA1681" s="62" t="n">
        <f aca="false">IF(LEFT(Cockpit!$O$5,1)="A",H1681,IF(Parameter!$E$30="MAX-Bestand",IF(CI1681=1,CJ1681,IF(LEFT(Cockpit!$O$5,1)="B",BG1681,MAX(BG1681,H1681))),ROUNDUP(BE1681,0)))</f>
        <v>5</v>
      </c>
      <c r="BB1681" s="62" t="n">
        <f aca="false">IF(CA1681=1,0,ROUNDUP(BA1681/BZ1681,0))</f>
        <v>1</v>
      </c>
      <c r="BC1681" s="64" t="n">
        <f aca="false">IF(CR1681&gt;0,CR1681*MAX(1,BA1681/X1681),IF(CA1681=1,IF(BA1681&lt;=0,0,CE1681*MAX(1,IF(H1681&gt;0,BA1681/H1681,1))),IF(R1681&gt;0,BB1681/R1681,0))/MAX(0.1,N(Parameter!$M$21)))</f>
        <v>0.0833333333333333</v>
      </c>
      <c r="BD1681" s="62" t="n">
        <f aca="false">BC1681*CC1681</f>
        <v>20.4166666666667</v>
      </c>
      <c r="BE1681" s="63" t="n">
        <f aca="false">IF(LEFT(Cockpit!$O$5,1)="A",H1681,IF(CI1681=1,(CL1681+CJ1681)/2,IF(LEFT(Cockpit!$O$5,1)="B",(CL1681+BG1681)/2,MAX((CL1681+BG1681)/2,H1681))))</f>
        <v>5</v>
      </c>
      <c r="BF1681" s="62" t="n">
        <f aca="false">BE1681*G1681</f>
        <v>1886.25</v>
      </c>
      <c r="BG1681" s="62" t="n">
        <f aca="false">ROUNDUP(CL1681+MAX(CM1681,2*(J1681/IF(CH1681&gt;0,CH1681,MAX(0.1,N(Cockpit!$O$6)))-CL1681)),0)</f>
        <v>10</v>
      </c>
      <c r="BH1681" s="63" t="n">
        <f aca="false">IF(BD1681&gt;0,J1681/BD1681,-1)</f>
        <v>0</v>
      </c>
      <c r="BI1681" s="63" t="n">
        <f aca="false">IF(AND(OR(CG1681="L1",CG1681="L23",CG1681="LIFT"),BD1681&gt;0),SUMIFS($BD$7:$BD$1843,$CG$7:$CG$1843,CG1681,$BH$7:$BH$1843,"&gt;"&amp;BH1681)+SUMIFS($BD$7:$BD$1843,$CG$7:$CG$1843,CG1681,$BH$7:$BH$1843,BH1681,$BX$7:$BX$1843,"&lt;="&amp;BX1681),"")</f>
        <v>32342.8612663231</v>
      </c>
      <c r="BJ1681" s="70" t="n">
        <f aca="false">IF(BI1681="",0,MAX(0,MIN(1,(IF(CG1681="L1",Parameter!$H$5,IF(CG1681="L23",Parameter!$H$6+Parameter!$H$7,Parameter!$H$5+Parameter!$H$6+Parameter!$H$7))-(BI1681-BD1681))/BD1681)))</f>
        <v>1</v>
      </c>
      <c r="BK1681" s="60" t="str">
        <f aca="false">IF(AJ1681&lt;=0,"",IF(CG1681="Aussen","Aussenlager",IF(CG1681="-","Nicht im Lift",IF(AP1681&gt;=1,"Lift",IF(AP1681&lt;=0,"Aussenlager","teilweise")))))</f>
        <v>Lift</v>
      </c>
      <c r="BL1681" s="60" t="str">
        <f aca="false">IF(AT1681&lt;=0,"",IF(CG1681="Aussen","Aussenlager",IF(CG1681="-","Nicht im Lift",IF(AZ1681&gt;=1,"Lift",IF(AZ1681&lt;=0,"Aussenlager","teilweise")))))</f>
        <v>Aussenlager</v>
      </c>
      <c r="BM1681" s="60" t="str">
        <f aca="false">IF(BD1681&lt;=0,"",IF(CG1681="Aussen","Aussenlager",IF(CG1681="-","Nicht im Lift",IF(BJ1681&gt;=1,"Lift",IF(BJ1681&lt;=0,"Aussenlager","teilweise")))))</f>
        <v>Lift</v>
      </c>
      <c r="BN1681" s="60" t="str">
        <f aca="false">IF(A1681="","",IF(BW1681=1,"Neu; ","")&amp;IF(AND(BW1681=0,BR1681&lt;0),"negativer Bestand (Export "&amp;BR1681&amp;"); ","")&amp;IF(J1681&lt;=0,"Kein Verbrauch; ","")&amp;IF(CR1681&gt;0,"Lift "&amp;W1681&amp;" lt. Liftbericht (Fach "&amp;X1681&amp;" Stk); ",IF(CB1681=1,"Gebinde geschätzt ("&amp;T1681&amp;"); ",IF(CA1681=1,"Lose – Tablare geschätzt; ","")))&amp;IF(H1681&gt;AW1681,"Überbestand "&amp;ROUND(H1681-AW1681,0)&amp;" Stk / CHF "&amp;ROUND((H1681-AW1681)*G1681,0)&amp;"; ","")&amp;IF(AND(CI1681=1,CJ1681&lt;CK1681),"MAX &lt; MB+LG; ","")&amp;IF(AND(CQ1681&gt;0,CP1681*10&gt;CQ1681),"zu hoch für Tablar; ","")&amp;IF(AND(BW1681=0,OR(CI1681=1,AB1681&lt;&gt;"",U1681&lt;&gt;"",V1681&lt;&gt;"",AC1681&lt;&gt;"")),"manuell übersteuert; ","")&amp;IF(AND(CA1681=0,R1681=0),"Gebinde unbekannt / Stellmass fehlt; ","")&amp;IF(AND(CA1681=0,N(V1681)&lt;=0,N(Q1681)&lt;=0),"Menge pro Gebinde fehlt (Ist = 1 Gebinde); ","")&amp;BV1681)</f>
        <v>Kein Verbrauch; Überbestand 4 Stk / CHF 1509; nur im Artikelstamm (Bestand 23.06.2026)</v>
      </c>
      <c r="BO1681" s="60"/>
      <c r="BP1681" s="60"/>
      <c r="BQ1681" s="67"/>
      <c r="BR1681" s="62" t="n">
        <v>14</v>
      </c>
      <c r="BS1681" s="62" t="n">
        <v>0</v>
      </c>
      <c r="BT1681" s="61" t="n">
        <v>0</v>
      </c>
      <c r="BU1681" s="62" t="n">
        <v>0</v>
      </c>
      <c r="BV1681" s="60" t="s">
        <v>2617</v>
      </c>
      <c r="BW1681" s="65" t="n">
        <v>0</v>
      </c>
      <c r="BX1681" s="65" t="n">
        <v>1681</v>
      </c>
      <c r="BY1681" s="60" t="str">
        <f aca="false">IF(U1681&lt;&gt;"",UPPER(TRIM(U1681)),IF(CB1681=1,UPPER(VLOOKUP(T1681,Parameter!$I$27:$K$29,2,0)),IF(P1681="","LOSE",P1681)))</f>
        <v>S62</v>
      </c>
      <c r="BZ1681" s="62" t="n">
        <f aca="false">IF(BY1681="LOSE",1,IF(N(V1681)&gt;0,V1681,IF(CB1681=1,MAX(1,N(VLOOKUP(T1681,Parameter!$I$27:$K$29,3,0)),H1681,N(N1681)),IF(N(Q1681)&gt;0,Q1681,MAX(1,H1681)))))</f>
        <v>15</v>
      </c>
      <c r="CA1681" s="65" t="n">
        <f aca="false">IF(BY1681="LOSE",1,0)</f>
        <v>0</v>
      </c>
      <c r="CB1681" s="65" t="n">
        <f aca="false">IF(AND(U1681="",OR(P1681="",P1681="LOSE"),T1681&lt;&gt;"",N(S1681)&lt;=0,ISNUMBER(MATCH(T1681,Parameter!$I$27:$I$29,0))),1,0)</f>
        <v>0</v>
      </c>
      <c r="CC1681" s="65" t="n">
        <f aca="false">IF(CR1681&gt;0,INDEX(Parameter!$H$5:$H$7,W1681)/INDEX(Parameter!$E$5:$E$7,W1681),IF(AND(CA1681=0,N(IFERROR(VLOOKUP(BY1681,'Gebinde-Kategorie'!$A$5:$N$45,14,0),0))&gt;0),VLOOKUP(BY1681,'Gebinde-Kategorie'!$A$5:$N$45,14,0)*10+Parameter!$M$23,Parameter!$M$24))</f>
        <v>245</v>
      </c>
      <c r="CD1681" s="60" t="n">
        <f aca="false">IF(AND(Parameter!$B$19="Ja",E1681&lt;&gt;"",ISNUMBER(MATCH(E1681,Parameter!$I$35:$I$52,0))),VLOOKUP(E1681,Parameter!$I$35:$J$52,2,0),IFERROR(VLOOKUP(D1681,Parameter!$A$35:$C$64,2,0),"Nein"))</f>
        <v>1</v>
      </c>
      <c r="CE1681" s="64" t="n">
        <f aca="false">IF(CA1681=0,0,IF(N(S1681)&gt;0,S1681,IFERROR(VLOOKUP(D1681,Parameter!$A$35:$C$64,3,0)+0,0)))</f>
        <v>0</v>
      </c>
      <c r="CF1681" s="60" t="n">
        <f aca="false">IF(AB1681&lt;&gt;"",AB1681,AA1681)</f>
        <v>3</v>
      </c>
      <c r="CG1681" s="60" t="str">
        <f aca="false">IF(OR(CF1681=1,CF1681=2,CF1681=3),IF(Parameter!$E$27="Ja","LIFT",IF(CF1681=1,"L1","L23")),IF(CF1681="Aussen","Aussen","-"))</f>
        <v>LIFT</v>
      </c>
      <c r="CH1681" s="71" t="n">
        <f aca="false">IF(N(AC1681)&gt;0,AC1681,0)</f>
        <v>0</v>
      </c>
      <c r="CI1681" s="65" t="n">
        <f aca="false">IF(ISNUMBER(AF1681),1,0)</f>
        <v>0</v>
      </c>
      <c r="CJ1681" s="62" t="n">
        <f aca="false">N(AF1681)</f>
        <v>0</v>
      </c>
      <c r="CK1681" s="62" t="n">
        <f aca="false">N(M1681)+N(N1681)</f>
        <v>10</v>
      </c>
      <c r="CL1681" s="62" t="n">
        <f aca="false">N(M1681)</f>
        <v>0</v>
      </c>
      <c r="CM1681" s="62" t="n">
        <f aca="false">N(N1681)</f>
        <v>10</v>
      </c>
      <c r="CN1681" s="62" t="n">
        <f aca="false">ROUNDUP(H1681/BZ1681,0)</f>
        <v>1</v>
      </c>
      <c r="CO1681" s="62" t="n">
        <f aca="false">ROUNDUP(CJ1681/BZ1681,0)</f>
        <v>0</v>
      </c>
      <c r="CP1681" s="65" t="n">
        <f aca="false">IF(CA1681=1,0,IFERROR(VLOOKUP(BY1681,'Gebinde-Kategorie'!$A$5:$N$45,5,0)+0,0))</f>
        <v>21</v>
      </c>
      <c r="CQ1681" s="65" t="n">
        <f aca="false">IFERROR(IF(OR(CF1681=1,CF1681=2,CF1681=3),N(INDEX(Parameter!$I$5:$I$7,CF1681)),0),0)</f>
        <v>0</v>
      </c>
      <c r="CR1681" s="64" t="n">
        <f aca="false">IF(AND(Parameter!$B$21="Ja",ISNUMBER(W1681),N(X1681)&gt;0),IFERROR(N(INDEX(Parameter!$L$5:$L$7,W1681))*INDEX(Parameter!$E$5:$E$7,W1681)*X1681/SUMIFS($X$7:$X$1843,$W$7:$W$1843,W1681),0),0)</f>
        <v>0</v>
      </c>
      <c r="CS1681" s="62" t="n">
        <f aca="false">IF(AND(OR(CG1681="L1",CG1681="L23",CG1681="LIFT"),H1681&gt;0),CC1681*IF(CR1681&gt;0,CR1681*MAX(1,H1681/X1681),IF(CA1681=1,CE1681,IF(R1681&gt;0,CN1681/R1681,0))/MAX(0.1,N(Parameter!$M$21))),"")</f>
        <v>20.4166666666667</v>
      </c>
      <c r="CT1681" s="64" t="n">
        <f aca="false">IF(CS1681="","",J1681/H1681)</f>
        <v>0</v>
      </c>
      <c r="CU1681" s="62" t="n">
        <f aca="false">IF(CS1681="","",H1681*G1681)</f>
        <v>5281.5</v>
      </c>
      <c r="CV1681" s="63" t="n">
        <f aca="false">IF(CS1681="","",(CL1681+ROUNDUP(CL1681+MAX(CM1681,2*(J1681/MAX(0.1,N(Einkauf!$C$6))-CL1681)),0))/2)</f>
        <v>5</v>
      </c>
      <c r="CW1681" s="62" t="n">
        <f aca="false">IF(CS1681="","",MAX(0,H1681-CV1681)*G1681)</f>
        <v>3395.25</v>
      </c>
      <c r="CX1681" s="62" t="n">
        <f aca="false">IF(CS1681="","",CS1681*MAX(0,1-CV1681/H1681))</f>
        <v>13.125</v>
      </c>
      <c r="CY1681" s="64" t="n">
        <f aca="false">IF(CS1681="","",PERCENTRANK($CS$7:$CS$1843,CS1681)+PERCENTRANK($CU$7:$CU$1843,CU1681)+1-PERCENTRANK($CT$7:$CT$1843,CT1681))</f>
        <v>2.692</v>
      </c>
      <c r="CZ1681" s="72" t="n">
        <f aca="false">IF(CS1681="","",CHOOSE(MATCH(Einkauf!$C$5,Parameter!$G$23:$G$27,0),CY1681,CS1681,CU1681,-CT1681,CW1681)+ROW()/1000000000)</f>
        <v>2.692001681</v>
      </c>
    </row>
    <row r="1682" customFormat="false" ht="15" hidden="false" customHeight="false" outlineLevel="0" collapsed="false">
      <c r="A1682" s="60" t="s">
        <v>2956</v>
      </c>
      <c r="B1682" s="60" t="s">
        <v>2942</v>
      </c>
      <c r="C1682" s="60" t="s">
        <v>206</v>
      </c>
      <c r="D1682" s="60" t="s">
        <v>215</v>
      </c>
      <c r="E1682" s="60"/>
      <c r="F1682" s="60"/>
      <c r="G1682" s="61" t="n">
        <v>0</v>
      </c>
      <c r="H1682" s="62" t="n">
        <f aca="false">MAX(0,IF(AND(Parameter!$B$21="Ja",ISNUMBER(Y1682)),Y1682,IF(Parameter!$B$20="Jahresanfang 2025 + Export",BS1682+BR1682,BR1682)))</f>
        <v>4</v>
      </c>
      <c r="I1682" s="62" t="n">
        <f aca="false">H1682*G1682</f>
        <v>0</v>
      </c>
      <c r="J1682" s="62" t="n">
        <f aca="false">BU1682*Parameter!$B$18</f>
        <v>0</v>
      </c>
      <c r="K1682" s="63"/>
      <c r="L1682" s="64"/>
      <c r="M1682" s="62" t="n">
        <v>0</v>
      </c>
      <c r="N1682" s="62" t="n">
        <v>1</v>
      </c>
      <c r="O1682" s="65" t="n">
        <v>0</v>
      </c>
      <c r="P1682" s="60" t="s">
        <v>335</v>
      </c>
      <c r="Q1682" s="62" t="n">
        <v>5</v>
      </c>
      <c r="R1682" s="65" t="n">
        <f aca="false">IF(CA1682=1,0,IFERROR(VLOOKUP(BY1682,'Gebinde-Kategorie'!$A$5:$N$45,13,0)+0,0))</f>
        <v>12</v>
      </c>
      <c r="S1682" s="66"/>
      <c r="T1682" s="67"/>
      <c r="U1682" s="67"/>
      <c r="V1682" s="67"/>
      <c r="W1682" s="60"/>
      <c r="X1682" s="62"/>
      <c r="Y1682" s="62"/>
      <c r="Z1682" s="60" t="n">
        <v>3</v>
      </c>
      <c r="AA1682" s="60" t="n">
        <f aca="false">IF(A1682="","",IF(AND(Parameter!$B$21="Ja",ISNUMBER(W1682)),W1682,IF(AND(Parameter!$E$27="Ja",ISNUMBER(Z1682),CD1682&lt;&gt;"Nein"),Z1682,IF(CD1682="2+3",IF(ISNUMBER(SEARCH("grosser Artikel",BV1682)),2,IFERROR(VLOOKUP(BY1682,Parameter!$F$35:$G$64,2,0),2)),IF(OR(CD1682="Nein",CD1682=""),"-",CD1682)))))</f>
        <v>3</v>
      </c>
      <c r="AB1682" s="67"/>
      <c r="AC1682" s="68"/>
      <c r="AD1682" s="62" t="n">
        <f aca="false">AW1682</f>
        <v>1</v>
      </c>
      <c r="AE1682" s="62" t="n">
        <f aca="false">MAX(AW1682,H1682)</f>
        <v>4</v>
      </c>
      <c r="AF1682" s="69"/>
      <c r="AG1682" s="62" t="n">
        <f aca="false">IF(LEFT(Cockpit!$C$5,1)="A",H1682,IF(Parameter!$E$30="MAX-Bestand",IF(CI1682=1,CJ1682,IF(LEFT(Cockpit!$C$5,1)="B",AM1682,MAX(AM1682,H1682))),ROUNDUP(AK1682,0)))</f>
        <v>4</v>
      </c>
      <c r="AH1682" s="62" t="n">
        <f aca="false">IF(CA1682=1,0,ROUNDUP(AG1682/BZ1682,0))</f>
        <v>1</v>
      </c>
      <c r="AI1682" s="64" t="n">
        <f aca="false">IF(CR1682&gt;0,CR1682*MAX(1,AG1682/X1682),IF(CA1682=1,IF(AG1682&lt;=0,0,CE1682*MAX(1,IF(H1682&gt;0,AG1682/H1682,1))),IF(R1682&gt;0,AH1682/R1682,0))/MAX(0.1,N(Parameter!$M$21)))</f>
        <v>0.0833333333333333</v>
      </c>
      <c r="AJ1682" s="62" t="n">
        <f aca="false">AI1682*CC1682</f>
        <v>20.4166666666667</v>
      </c>
      <c r="AK1682" s="63" t="n">
        <f aca="false">IF(LEFT(Cockpit!$C$5,1)="A",H1682,IF(CI1682=1,(CL1682+CJ1682)/2,IF(LEFT(Cockpit!$C$5,1)="B",(CL1682+AM1682)/2,MAX((CL1682+AM1682)/2,H1682))))</f>
        <v>4</v>
      </c>
      <c r="AL1682" s="62" t="n">
        <f aca="false">AK1682*G1682</f>
        <v>0</v>
      </c>
      <c r="AM1682" s="62" t="n">
        <f aca="false">ROUNDUP(CL1682+MAX(CM1682,2*(J1682/IF(CH1682&gt;0,CH1682,MAX(0.1,N(Cockpit!$C$6)))-CL1682)),0)</f>
        <v>1</v>
      </c>
      <c r="AN1682" s="63" t="n">
        <f aca="false">IF(AJ1682&gt;0,J1682/AJ1682,-1)</f>
        <v>0</v>
      </c>
      <c r="AO1682" s="63" t="n">
        <f aca="false">IF(AND(OR(CG1682="L1",CG1682="L23",CG1682="LIFT"),AJ1682&gt;0),SUMIFS($AJ$7:$AJ$1843,$CG$7:$CG$1843,CG1682,$AN$7:$AN$1843,"&gt;"&amp;AN1682)+SUMIFS($AJ$7:$AJ$1843,$CG$7:$CG$1843,CG1682,$AN$7:$AN$1843,AN1682,$BX$7:$BX$1843,"&lt;="&amp;BX1682),"")</f>
        <v>32628.6717602078</v>
      </c>
      <c r="AP1682" s="70" t="n">
        <f aca="false">IF(AO1682="",0,MAX(0,MIN(1,(IF(CG1682="L1",Parameter!$H$5,IF(CG1682="L23",Parameter!$H$6+Parameter!$H$7,Parameter!$H$5+Parameter!$H$6+Parameter!$H$7))-(AO1682-AJ1682))/AJ1682)))</f>
        <v>1</v>
      </c>
      <c r="AQ1682" s="62" t="n">
        <f aca="false">IF(LEFT(Cockpit!$I$5,1)="A",H1682,IF(Parameter!$E$30="MAX-Bestand",IF(CI1682=1,CJ1682,IF(LEFT(Cockpit!$I$5,1)="B",AW1682,MAX(AW1682,H1682))),ROUNDUP(AU1682,0)))</f>
        <v>4</v>
      </c>
      <c r="AR1682" s="62" t="n">
        <f aca="false">IF(CA1682=1,0,ROUNDUP(AQ1682/BZ1682,0))</f>
        <v>1</v>
      </c>
      <c r="AS1682" s="64" t="n">
        <f aca="false">IF(CR1682&gt;0,CR1682*MAX(1,AQ1682/X1682),IF(CA1682=1,IF(AQ1682&lt;=0,0,CE1682*MAX(1,IF(H1682&gt;0,AQ1682/H1682,1))),IF(R1682&gt;0,AR1682/R1682,0))/MAX(0.1,N(Parameter!$M$21)))</f>
        <v>0.0833333333333333</v>
      </c>
      <c r="AT1682" s="62" t="n">
        <f aca="false">AS1682*CC1682</f>
        <v>20.4166666666667</v>
      </c>
      <c r="AU1682" s="63" t="n">
        <f aca="false">IF(LEFT(Cockpit!$I$5,1)="A",H1682,IF(CI1682=1,(CL1682+CJ1682)/2,IF(LEFT(Cockpit!$I$5,1)="B",(CL1682+AW1682)/2,MAX((CL1682+AW1682)/2,H1682))))</f>
        <v>4</v>
      </c>
      <c r="AV1682" s="62" t="n">
        <f aca="false">AU1682*G1682</f>
        <v>0</v>
      </c>
      <c r="AW1682" s="62" t="n">
        <f aca="false">ROUNDUP(CL1682+MAX(CM1682,2*(J1682/IF(CH1682&gt;0,CH1682,MAX(0.1,N(Cockpit!$I$6)))-CL1682)),0)</f>
        <v>1</v>
      </c>
      <c r="AX1682" s="63" t="n">
        <f aca="false">IF(AT1682&gt;0,J1682/AT1682,-1)</f>
        <v>0</v>
      </c>
      <c r="AY1682" s="63" t="n">
        <f aca="false">IF(AND(OR(CG1682="L1",CG1682="L23",CG1682="LIFT"),AT1682&gt;0),SUMIFS($AT$7:$AT$1843,$CG$7:$CG$1843,CG1682,$AX$7:$AX$1843,"&gt;"&amp;AX1682)+SUMIFS($AT$7:$AT$1843,$CG$7:$CG$1843,CG1682,$AX$7:$AX$1843,AX1682,$BX$7:$BX$1843,"&lt;="&amp;BX1682),"")</f>
        <v>39100.9199907908</v>
      </c>
      <c r="AZ1682" s="70" t="n">
        <f aca="false">IF(AY1682="",0,MAX(0,MIN(1,(IF(CG1682="L1",Parameter!$H$5,IF(CG1682="L23",Parameter!$H$6+Parameter!$H$7,Parameter!$H$5+Parameter!$H$6+Parameter!$H$7))-(AY1682-AT1682))/AT1682)))</f>
        <v>0</v>
      </c>
      <c r="BA1682" s="62" t="n">
        <f aca="false">IF(LEFT(Cockpit!$O$5,1)="A",H1682,IF(Parameter!$E$30="MAX-Bestand",IF(CI1682=1,CJ1682,IF(LEFT(Cockpit!$O$5,1)="B",BG1682,MAX(BG1682,H1682))),ROUNDUP(BE1682,0)))</f>
        <v>1</v>
      </c>
      <c r="BB1682" s="62" t="n">
        <f aca="false">IF(CA1682=1,0,ROUNDUP(BA1682/BZ1682,0))</f>
        <v>1</v>
      </c>
      <c r="BC1682" s="64" t="n">
        <f aca="false">IF(CR1682&gt;0,CR1682*MAX(1,BA1682/X1682),IF(CA1682=1,IF(BA1682&lt;=0,0,CE1682*MAX(1,IF(H1682&gt;0,BA1682/H1682,1))),IF(R1682&gt;0,BB1682/R1682,0))/MAX(0.1,N(Parameter!$M$21)))</f>
        <v>0.0833333333333333</v>
      </c>
      <c r="BD1682" s="62" t="n">
        <f aca="false">BC1682*CC1682</f>
        <v>20.4166666666667</v>
      </c>
      <c r="BE1682" s="63" t="n">
        <f aca="false">IF(LEFT(Cockpit!$O$5,1)="A",H1682,IF(CI1682=1,(CL1682+CJ1682)/2,IF(LEFT(Cockpit!$O$5,1)="B",(CL1682+BG1682)/2,MAX((CL1682+BG1682)/2,H1682))))</f>
        <v>0.5</v>
      </c>
      <c r="BF1682" s="62" t="n">
        <f aca="false">BE1682*G1682</f>
        <v>0</v>
      </c>
      <c r="BG1682" s="62" t="n">
        <f aca="false">ROUNDUP(CL1682+MAX(CM1682,2*(J1682/IF(CH1682&gt;0,CH1682,MAX(0.1,N(Cockpit!$O$6)))-CL1682)),0)</f>
        <v>1</v>
      </c>
      <c r="BH1682" s="63" t="n">
        <f aca="false">IF(BD1682&gt;0,J1682/BD1682,-1)</f>
        <v>0</v>
      </c>
      <c r="BI1682" s="63" t="n">
        <f aca="false">IF(AND(OR(CG1682="L1",CG1682="L23",CG1682="LIFT"),BD1682&gt;0),SUMIFS($BD$7:$BD$1843,$CG$7:$CG$1843,CG1682,$BH$7:$BH$1843,"&gt;"&amp;BH1682)+SUMIFS($BD$7:$BD$1843,$CG$7:$CG$1843,CG1682,$BH$7:$BH$1843,BH1682,$BX$7:$BX$1843,"&lt;="&amp;BX1682),"")</f>
        <v>32363.2779329898</v>
      </c>
      <c r="BJ1682" s="70" t="n">
        <f aca="false">IF(BI1682="",0,MAX(0,MIN(1,(IF(CG1682="L1",Parameter!$H$5,IF(CG1682="L23",Parameter!$H$6+Parameter!$H$7,Parameter!$H$5+Parameter!$H$6+Parameter!$H$7))-(BI1682-BD1682))/BD1682)))</f>
        <v>1</v>
      </c>
      <c r="BK1682" s="60" t="str">
        <f aca="false">IF(AJ1682&lt;=0,"",IF(CG1682="Aussen","Aussenlager",IF(CG1682="-","Nicht im Lift",IF(AP1682&gt;=1,"Lift",IF(AP1682&lt;=0,"Aussenlager","teilweise")))))</f>
        <v>Lift</v>
      </c>
      <c r="BL1682" s="60" t="str">
        <f aca="false">IF(AT1682&lt;=0,"",IF(CG1682="Aussen","Aussenlager",IF(CG1682="-","Nicht im Lift",IF(AZ1682&gt;=1,"Lift",IF(AZ1682&lt;=0,"Aussenlager","teilweise")))))</f>
        <v>Aussenlager</v>
      </c>
      <c r="BM1682" s="60" t="str">
        <f aca="false">IF(BD1682&lt;=0,"",IF(CG1682="Aussen","Aussenlager",IF(CG1682="-","Nicht im Lift",IF(BJ1682&gt;=1,"Lift",IF(BJ1682&lt;=0,"Aussenlager","teilweise")))))</f>
        <v>Lift</v>
      </c>
      <c r="BN1682" s="60" t="str">
        <f aca="false">IF(A1682="","",IF(BW1682=1,"Neu; ","")&amp;IF(AND(BW1682=0,BR1682&lt;0),"negativer Bestand (Export "&amp;BR1682&amp;"); ","")&amp;IF(J1682&lt;=0,"Kein Verbrauch; ","")&amp;IF(CR1682&gt;0,"Lift "&amp;W1682&amp;" lt. Liftbericht (Fach "&amp;X1682&amp;" Stk); ",IF(CB1682=1,"Gebinde geschätzt ("&amp;T1682&amp;"); ",IF(CA1682=1,"Lose – Tablare geschätzt; ","")))&amp;IF(H1682&gt;AW1682,"Überbestand "&amp;ROUND(H1682-AW1682,0)&amp;" Stk / CHF "&amp;ROUND((H1682-AW1682)*G1682,0)&amp;"; ","")&amp;IF(AND(CI1682=1,CJ1682&lt;CK1682),"MAX &lt; MB+LG; ","")&amp;IF(AND(CQ1682&gt;0,CP1682*10&gt;CQ1682),"zu hoch für Tablar; ","")&amp;IF(AND(BW1682=0,OR(CI1682=1,AB1682&lt;&gt;"",U1682&lt;&gt;"",V1682&lt;&gt;"",AC1682&lt;&gt;"")),"manuell übersteuert; ","")&amp;IF(AND(CA1682=0,R1682=0),"Gebinde unbekannt / Stellmass fehlt; ","")&amp;IF(AND(CA1682=0,N(V1682)&lt;=0,N(Q1682)&lt;=0),"Menge pro Gebinde fehlt (Ist = 1 Gebinde); ","")&amp;BV1682)</f>
        <v>Kein Verbrauch; Überbestand 3 Stk / CHF 0; nur im Artikelstamm (Bestand 23.06.2026)</v>
      </c>
      <c r="BO1682" s="60"/>
      <c r="BP1682" s="60"/>
      <c r="BQ1682" s="67"/>
      <c r="BR1682" s="62" t="n">
        <v>4</v>
      </c>
      <c r="BS1682" s="62" t="n">
        <v>0</v>
      </c>
      <c r="BT1682" s="61" t="n">
        <v>0</v>
      </c>
      <c r="BU1682" s="62" t="n">
        <v>0</v>
      </c>
      <c r="BV1682" s="60" t="s">
        <v>2617</v>
      </c>
      <c r="BW1682" s="65" t="n">
        <v>0</v>
      </c>
      <c r="BX1682" s="65" t="n">
        <v>1682</v>
      </c>
      <c r="BY1682" s="60" t="str">
        <f aca="false">IF(U1682&lt;&gt;"",UPPER(TRIM(U1682)),IF(CB1682=1,UPPER(VLOOKUP(T1682,Parameter!$I$27:$K$29,2,0)),IF(P1682="","LOSE",P1682)))</f>
        <v>S62</v>
      </c>
      <c r="BZ1682" s="62" t="n">
        <f aca="false">IF(BY1682="LOSE",1,IF(N(V1682)&gt;0,V1682,IF(CB1682=1,MAX(1,N(VLOOKUP(T1682,Parameter!$I$27:$K$29,3,0)),H1682,N(N1682)),IF(N(Q1682)&gt;0,Q1682,MAX(1,H1682)))))</f>
        <v>5</v>
      </c>
      <c r="CA1682" s="65" t="n">
        <f aca="false">IF(BY1682="LOSE",1,0)</f>
        <v>0</v>
      </c>
      <c r="CB1682" s="65" t="n">
        <f aca="false">IF(AND(U1682="",OR(P1682="",P1682="LOSE"),T1682&lt;&gt;"",N(S1682)&lt;=0,ISNUMBER(MATCH(T1682,Parameter!$I$27:$I$29,0))),1,0)</f>
        <v>0</v>
      </c>
      <c r="CC1682" s="65" t="n">
        <f aca="false">IF(CR1682&gt;0,INDEX(Parameter!$H$5:$H$7,W1682)/INDEX(Parameter!$E$5:$E$7,W1682),IF(AND(CA1682=0,N(IFERROR(VLOOKUP(BY1682,'Gebinde-Kategorie'!$A$5:$N$45,14,0),0))&gt;0),VLOOKUP(BY1682,'Gebinde-Kategorie'!$A$5:$N$45,14,0)*10+Parameter!$M$23,Parameter!$M$24))</f>
        <v>245</v>
      </c>
      <c r="CD1682" s="60" t="str">
        <f aca="false">IF(AND(Parameter!$B$19="Ja",E1682&lt;&gt;"",ISNUMBER(MATCH(E1682,Parameter!$I$35:$I$52,0))),VLOOKUP(E1682,Parameter!$I$35:$J$52,2,0),IFERROR(VLOOKUP(D1682,Parameter!$A$35:$C$64,2,0),"Nein"))</f>
        <v>2+3</v>
      </c>
      <c r="CE1682" s="64" t="n">
        <f aca="false">IF(CA1682=0,0,IF(N(S1682)&gt;0,S1682,IFERROR(VLOOKUP(D1682,Parameter!$A$35:$C$64,3,0)+0,0)))</f>
        <v>0</v>
      </c>
      <c r="CF1682" s="60" t="n">
        <f aca="false">IF(AB1682&lt;&gt;"",AB1682,AA1682)</f>
        <v>3</v>
      </c>
      <c r="CG1682" s="60" t="str">
        <f aca="false">IF(OR(CF1682=1,CF1682=2,CF1682=3),IF(Parameter!$E$27="Ja","LIFT",IF(CF1682=1,"L1","L23")),IF(CF1682="Aussen","Aussen","-"))</f>
        <v>LIFT</v>
      </c>
      <c r="CH1682" s="71" t="n">
        <f aca="false">IF(N(AC1682)&gt;0,AC1682,0)</f>
        <v>0</v>
      </c>
      <c r="CI1682" s="65" t="n">
        <f aca="false">IF(ISNUMBER(AF1682),1,0)</f>
        <v>0</v>
      </c>
      <c r="CJ1682" s="62" t="n">
        <f aca="false">N(AF1682)</f>
        <v>0</v>
      </c>
      <c r="CK1682" s="62" t="n">
        <f aca="false">N(M1682)+N(N1682)</f>
        <v>1</v>
      </c>
      <c r="CL1682" s="62" t="n">
        <f aca="false">N(M1682)</f>
        <v>0</v>
      </c>
      <c r="CM1682" s="62" t="n">
        <f aca="false">N(N1682)</f>
        <v>1</v>
      </c>
      <c r="CN1682" s="62" t="n">
        <f aca="false">ROUNDUP(H1682/BZ1682,0)</f>
        <v>1</v>
      </c>
      <c r="CO1682" s="62" t="n">
        <f aca="false">ROUNDUP(CJ1682/BZ1682,0)</f>
        <v>0</v>
      </c>
      <c r="CP1682" s="65" t="n">
        <f aca="false">IF(CA1682=1,0,IFERROR(VLOOKUP(BY1682,'Gebinde-Kategorie'!$A$5:$N$45,5,0)+0,0))</f>
        <v>21</v>
      </c>
      <c r="CQ1682" s="65" t="n">
        <f aca="false">IFERROR(IF(OR(CF1682=1,CF1682=2,CF1682=3),N(INDEX(Parameter!$I$5:$I$7,CF1682)),0),0)</f>
        <v>0</v>
      </c>
      <c r="CR1682" s="64" t="n">
        <f aca="false">IF(AND(Parameter!$B$21="Ja",ISNUMBER(W1682),N(X1682)&gt;0),IFERROR(N(INDEX(Parameter!$L$5:$L$7,W1682))*INDEX(Parameter!$E$5:$E$7,W1682)*X1682/SUMIFS($X$7:$X$1843,$W$7:$W$1843,W1682),0),0)</f>
        <v>0</v>
      </c>
      <c r="CS1682" s="62" t="n">
        <f aca="false">IF(AND(OR(CG1682="L1",CG1682="L23",CG1682="LIFT"),H1682&gt;0),CC1682*IF(CR1682&gt;0,CR1682*MAX(1,H1682/X1682),IF(CA1682=1,CE1682,IF(R1682&gt;0,CN1682/R1682,0))/MAX(0.1,N(Parameter!$M$21))),"")</f>
        <v>20.4166666666667</v>
      </c>
      <c r="CT1682" s="64" t="n">
        <f aca="false">IF(CS1682="","",J1682/H1682)</f>
        <v>0</v>
      </c>
      <c r="CU1682" s="62" t="n">
        <f aca="false">IF(CS1682="","",H1682*G1682)</f>
        <v>0</v>
      </c>
      <c r="CV1682" s="63" t="n">
        <f aca="false">IF(CS1682="","",(CL1682+ROUNDUP(CL1682+MAX(CM1682,2*(J1682/MAX(0.1,N(Einkauf!$C$6))-CL1682)),0))/2)</f>
        <v>0.5</v>
      </c>
      <c r="CW1682" s="62" t="n">
        <f aca="false">IF(CS1682="","",MAX(0,H1682-CV1682)*G1682)</f>
        <v>0</v>
      </c>
      <c r="CX1682" s="62" t="n">
        <f aca="false">IF(CS1682="","",CS1682*MAX(0,1-CV1682/H1682))</f>
        <v>17.8645833333333</v>
      </c>
      <c r="CY1682" s="64" t="n">
        <f aca="false">IF(CS1682="","",PERCENTRANK($CS$7:$CS$1843,CS1682)+PERCENTRANK($CU$7:$CU$1843,CU1682)+1-PERCENTRANK($CT$7:$CT$1843,CT1682))</f>
        <v>1.782</v>
      </c>
      <c r="CZ1682" s="72" t="n">
        <f aca="false">IF(CS1682="","",CHOOSE(MATCH(Einkauf!$C$5,Parameter!$G$23:$G$27,0),CY1682,CS1682,CU1682,-CT1682,CW1682)+ROW()/1000000000)</f>
        <v>1.782001682</v>
      </c>
    </row>
    <row r="1683" customFormat="false" ht="15" hidden="false" customHeight="false" outlineLevel="0" collapsed="false">
      <c r="A1683" s="60" t="s">
        <v>2957</v>
      </c>
      <c r="B1683" s="60" t="s">
        <v>2417</v>
      </c>
      <c r="C1683" s="60" t="s">
        <v>206</v>
      </c>
      <c r="D1683" s="60" t="s">
        <v>226</v>
      </c>
      <c r="E1683" s="60"/>
      <c r="F1683" s="60"/>
      <c r="G1683" s="61" t="n">
        <v>26.76</v>
      </c>
      <c r="H1683" s="62" t="n">
        <f aca="false">MAX(0,IF(AND(Parameter!$B$21="Ja",ISNUMBER(Y1683)),Y1683,IF(Parameter!$B$20="Jahresanfang 2025 + Export",BS1683+BR1683,BR1683)))</f>
        <v>1</v>
      </c>
      <c r="I1683" s="62" t="n">
        <f aca="false">H1683*G1683</f>
        <v>26.76</v>
      </c>
      <c r="J1683" s="62" t="n">
        <f aca="false">BU1683*Parameter!$B$18</f>
        <v>0</v>
      </c>
      <c r="K1683" s="63"/>
      <c r="L1683" s="64"/>
      <c r="M1683" s="62" t="n">
        <v>0</v>
      </c>
      <c r="N1683" s="62" t="n">
        <v>1</v>
      </c>
      <c r="O1683" s="65" t="n">
        <v>224</v>
      </c>
      <c r="P1683" s="60" t="s">
        <v>228</v>
      </c>
      <c r="Q1683" s="62" t="n">
        <v>65</v>
      </c>
      <c r="R1683" s="65" t="n">
        <f aca="false">IF(CA1683=1,0,IFERROR(VLOOKUP(BY1683,'Gebinde-Kategorie'!$A$5:$N$45,13,0)+0,0))</f>
        <v>12</v>
      </c>
      <c r="S1683" s="66"/>
      <c r="T1683" s="67"/>
      <c r="U1683" s="67"/>
      <c r="V1683" s="67"/>
      <c r="W1683" s="60"/>
      <c r="X1683" s="62"/>
      <c r="Y1683" s="62"/>
      <c r="Z1683" s="60" t="n">
        <v>3</v>
      </c>
      <c r="AA1683" s="60" t="n">
        <f aca="false">IF(A1683="","",IF(AND(Parameter!$B$21="Ja",ISNUMBER(W1683)),W1683,IF(AND(Parameter!$E$27="Ja",ISNUMBER(Z1683),CD1683&lt;&gt;"Nein"),Z1683,IF(CD1683="2+3",IF(ISNUMBER(SEARCH("grosser Artikel",BV1683)),2,IFERROR(VLOOKUP(BY1683,Parameter!$F$35:$G$64,2,0),2)),IF(OR(CD1683="Nein",CD1683=""),"-",CD1683)))))</f>
        <v>3</v>
      </c>
      <c r="AB1683" s="67"/>
      <c r="AC1683" s="68"/>
      <c r="AD1683" s="62" t="n">
        <f aca="false">AW1683</f>
        <v>1</v>
      </c>
      <c r="AE1683" s="62" t="n">
        <f aca="false">MAX(AW1683,H1683)</f>
        <v>1</v>
      </c>
      <c r="AF1683" s="69"/>
      <c r="AG1683" s="62" t="n">
        <f aca="false">IF(LEFT(Cockpit!$C$5,1)="A",H1683,IF(Parameter!$E$30="MAX-Bestand",IF(CI1683=1,CJ1683,IF(LEFT(Cockpit!$C$5,1)="B",AM1683,MAX(AM1683,H1683))),ROUNDUP(AK1683,0)))</f>
        <v>1</v>
      </c>
      <c r="AH1683" s="62" t="n">
        <f aca="false">IF(CA1683=1,0,ROUNDUP(AG1683/BZ1683,0))</f>
        <v>1</v>
      </c>
      <c r="AI1683" s="64" t="n">
        <f aca="false">IF(CR1683&gt;0,CR1683*MAX(1,AG1683/X1683),IF(CA1683=1,IF(AG1683&lt;=0,0,CE1683*MAX(1,IF(H1683&gt;0,AG1683/H1683,1))),IF(R1683&gt;0,AH1683/R1683,0))/MAX(0.1,N(Parameter!$M$21)))</f>
        <v>0.0833333333333333</v>
      </c>
      <c r="AJ1683" s="62" t="n">
        <f aca="false">AI1683*CC1683</f>
        <v>12.0833333333333</v>
      </c>
      <c r="AK1683" s="63" t="n">
        <f aca="false">IF(LEFT(Cockpit!$C$5,1)="A",H1683,IF(CI1683=1,(CL1683+CJ1683)/2,IF(LEFT(Cockpit!$C$5,1)="B",(CL1683+AM1683)/2,MAX((CL1683+AM1683)/2,H1683))))</f>
        <v>1</v>
      </c>
      <c r="AL1683" s="62" t="n">
        <f aca="false">AK1683*G1683</f>
        <v>26.76</v>
      </c>
      <c r="AM1683" s="62" t="n">
        <f aca="false">ROUNDUP(CL1683+MAX(CM1683,2*(J1683/IF(CH1683&gt;0,CH1683,MAX(0.1,N(Cockpit!$C$6)))-CL1683)),0)</f>
        <v>1</v>
      </c>
      <c r="AN1683" s="63" t="n">
        <f aca="false">IF(AJ1683&gt;0,J1683/AJ1683,-1)</f>
        <v>0</v>
      </c>
      <c r="AO1683" s="63" t="n">
        <f aca="false">IF(AND(OR(CG1683="L1",CG1683="L23",CG1683="LIFT"),AJ1683&gt;0),SUMIFS($AJ$7:$AJ$1843,$CG$7:$CG$1843,CG1683,$AN$7:$AN$1843,"&gt;"&amp;AN1683)+SUMIFS($AJ$7:$AJ$1843,$CG$7:$CG$1843,CG1683,$AN$7:$AN$1843,AN1683,$BX$7:$BX$1843,"&lt;="&amp;BX1683),"")</f>
        <v>32640.7550935411</v>
      </c>
      <c r="AP1683" s="70" t="n">
        <f aca="false">IF(AO1683="",0,MAX(0,MIN(1,(IF(CG1683="L1",Parameter!$H$5,IF(CG1683="L23",Parameter!$H$6+Parameter!$H$7,Parameter!$H$5+Parameter!$H$6+Parameter!$H$7))-(AO1683-AJ1683))/AJ1683)))</f>
        <v>1</v>
      </c>
      <c r="AQ1683" s="62" t="n">
        <f aca="false">IF(LEFT(Cockpit!$I$5,1)="A",H1683,IF(Parameter!$E$30="MAX-Bestand",IF(CI1683=1,CJ1683,IF(LEFT(Cockpit!$I$5,1)="B",AW1683,MAX(AW1683,H1683))),ROUNDUP(AU1683,0)))</f>
        <v>1</v>
      </c>
      <c r="AR1683" s="62" t="n">
        <f aca="false">IF(CA1683=1,0,ROUNDUP(AQ1683/BZ1683,0))</f>
        <v>1</v>
      </c>
      <c r="AS1683" s="64" t="n">
        <f aca="false">IF(CR1683&gt;0,CR1683*MAX(1,AQ1683/X1683),IF(CA1683=1,IF(AQ1683&lt;=0,0,CE1683*MAX(1,IF(H1683&gt;0,AQ1683/H1683,1))),IF(R1683&gt;0,AR1683/R1683,0))/MAX(0.1,N(Parameter!$M$21)))</f>
        <v>0.0833333333333333</v>
      </c>
      <c r="AT1683" s="62" t="n">
        <f aca="false">AS1683*CC1683</f>
        <v>12.0833333333333</v>
      </c>
      <c r="AU1683" s="63" t="n">
        <f aca="false">IF(LEFT(Cockpit!$I$5,1)="A",H1683,IF(CI1683=1,(CL1683+CJ1683)/2,IF(LEFT(Cockpit!$I$5,1)="B",(CL1683+AW1683)/2,MAX((CL1683+AW1683)/2,H1683))))</f>
        <v>1</v>
      </c>
      <c r="AV1683" s="62" t="n">
        <f aca="false">AU1683*G1683</f>
        <v>26.76</v>
      </c>
      <c r="AW1683" s="62" t="n">
        <f aca="false">ROUNDUP(CL1683+MAX(CM1683,2*(J1683/IF(CH1683&gt;0,CH1683,MAX(0.1,N(Cockpit!$I$6)))-CL1683)),0)</f>
        <v>1</v>
      </c>
      <c r="AX1683" s="63" t="n">
        <f aca="false">IF(AT1683&gt;0,J1683/AT1683,-1)</f>
        <v>0</v>
      </c>
      <c r="AY1683" s="63" t="n">
        <f aca="false">IF(AND(OR(CG1683="L1",CG1683="L23",CG1683="LIFT"),AT1683&gt;0),SUMIFS($AT$7:$AT$1843,$CG$7:$CG$1843,CG1683,$AX$7:$AX$1843,"&gt;"&amp;AX1683)+SUMIFS($AT$7:$AT$1843,$CG$7:$CG$1843,CG1683,$AX$7:$AX$1843,AX1683,$BX$7:$BX$1843,"&lt;="&amp;BX1683),"")</f>
        <v>39113.0033241241</v>
      </c>
      <c r="AZ1683" s="70" t="n">
        <f aca="false">IF(AY1683="",0,MAX(0,MIN(1,(IF(CG1683="L1",Parameter!$H$5,IF(CG1683="L23",Parameter!$H$6+Parameter!$H$7,Parameter!$H$5+Parameter!$H$6+Parameter!$H$7))-(AY1683-AT1683))/AT1683)))</f>
        <v>0</v>
      </c>
      <c r="BA1683" s="62" t="n">
        <f aca="false">IF(LEFT(Cockpit!$O$5,1)="A",H1683,IF(Parameter!$E$30="MAX-Bestand",IF(CI1683=1,CJ1683,IF(LEFT(Cockpit!$O$5,1)="B",BG1683,MAX(BG1683,H1683))),ROUNDUP(BE1683,0)))</f>
        <v>1</v>
      </c>
      <c r="BB1683" s="62" t="n">
        <f aca="false">IF(CA1683=1,0,ROUNDUP(BA1683/BZ1683,0))</f>
        <v>1</v>
      </c>
      <c r="BC1683" s="64" t="n">
        <f aca="false">IF(CR1683&gt;0,CR1683*MAX(1,BA1683/X1683),IF(CA1683=1,IF(BA1683&lt;=0,0,CE1683*MAX(1,IF(H1683&gt;0,BA1683/H1683,1))),IF(R1683&gt;0,BB1683/R1683,0))/MAX(0.1,N(Parameter!$M$21)))</f>
        <v>0.0833333333333333</v>
      </c>
      <c r="BD1683" s="62" t="n">
        <f aca="false">BC1683*CC1683</f>
        <v>12.0833333333333</v>
      </c>
      <c r="BE1683" s="63" t="n">
        <f aca="false">IF(LEFT(Cockpit!$O$5,1)="A",H1683,IF(CI1683=1,(CL1683+CJ1683)/2,IF(LEFT(Cockpit!$O$5,1)="B",(CL1683+BG1683)/2,MAX((CL1683+BG1683)/2,H1683))))</f>
        <v>0.5</v>
      </c>
      <c r="BF1683" s="62" t="n">
        <f aca="false">BE1683*G1683</f>
        <v>13.38</v>
      </c>
      <c r="BG1683" s="62" t="n">
        <f aca="false">ROUNDUP(CL1683+MAX(CM1683,2*(J1683/IF(CH1683&gt;0,CH1683,MAX(0.1,N(Cockpit!$O$6)))-CL1683)),0)</f>
        <v>1</v>
      </c>
      <c r="BH1683" s="63" t="n">
        <f aca="false">IF(BD1683&gt;0,J1683/BD1683,-1)</f>
        <v>0</v>
      </c>
      <c r="BI1683" s="63" t="n">
        <f aca="false">IF(AND(OR(CG1683="L1",CG1683="L23",CG1683="LIFT"),BD1683&gt;0),SUMIFS($BD$7:$BD$1843,$CG$7:$CG$1843,CG1683,$BH$7:$BH$1843,"&gt;"&amp;BH1683)+SUMIFS($BD$7:$BD$1843,$CG$7:$CG$1843,CG1683,$BH$7:$BH$1843,BH1683,$BX$7:$BX$1843,"&lt;="&amp;BX1683),"")</f>
        <v>32375.3612663231</v>
      </c>
      <c r="BJ1683" s="70" t="n">
        <f aca="false">IF(BI1683="",0,MAX(0,MIN(1,(IF(CG1683="L1",Parameter!$H$5,IF(CG1683="L23",Parameter!$H$6+Parameter!$H$7,Parameter!$H$5+Parameter!$H$6+Parameter!$H$7))-(BI1683-BD1683))/BD1683)))</f>
        <v>1</v>
      </c>
      <c r="BK1683" s="60" t="str">
        <f aca="false">IF(AJ1683&lt;=0,"",IF(CG1683="Aussen","Aussenlager",IF(CG1683="-","Nicht im Lift",IF(AP1683&gt;=1,"Lift",IF(AP1683&lt;=0,"Aussenlager","teilweise")))))</f>
        <v>Lift</v>
      </c>
      <c r="BL1683" s="60" t="str">
        <f aca="false">IF(AT1683&lt;=0,"",IF(CG1683="Aussen","Aussenlager",IF(CG1683="-","Nicht im Lift",IF(AZ1683&gt;=1,"Lift",IF(AZ1683&lt;=0,"Aussenlager","teilweise")))))</f>
        <v>Aussenlager</v>
      </c>
      <c r="BM1683" s="60" t="str">
        <f aca="false">IF(BD1683&lt;=0,"",IF(CG1683="Aussen","Aussenlager",IF(CG1683="-","Nicht im Lift",IF(BJ1683&gt;=1,"Lift",IF(BJ1683&lt;=0,"Aussenlager","teilweise")))))</f>
        <v>Lift</v>
      </c>
      <c r="BN1683" s="60" t="str">
        <f aca="false">IF(A1683="","",IF(BW1683=1,"Neu; ","")&amp;IF(AND(BW1683=0,BR1683&lt;0),"negativer Bestand (Export "&amp;BR1683&amp;"); ","")&amp;IF(J1683&lt;=0,"Kein Verbrauch; ","")&amp;IF(CR1683&gt;0,"Lift "&amp;W1683&amp;" lt. Liftbericht (Fach "&amp;X1683&amp;" Stk); ",IF(CB1683=1,"Gebinde geschätzt ("&amp;T1683&amp;"); ",IF(CA1683=1,"Lose – Tablare geschätzt; ","")))&amp;IF(H1683&gt;AW1683,"Überbestand "&amp;ROUND(H1683-AW1683,0)&amp;" Stk / CHF "&amp;ROUND((H1683-AW1683)*G1683,0)&amp;"; ","")&amp;IF(AND(CI1683=1,CJ1683&lt;CK1683),"MAX &lt; MB+LG; ","")&amp;IF(AND(CQ1683&gt;0,CP1683*10&gt;CQ1683),"zu hoch für Tablar; ","")&amp;IF(AND(BW1683=0,OR(CI1683=1,AB1683&lt;&gt;"",U1683&lt;&gt;"",V1683&lt;&gt;"",AC1683&lt;&gt;"")),"manuell übersteuert; ","")&amp;IF(AND(CA1683=0,R1683=0),"Gebinde unbekannt / Stellmass fehlt; ","")&amp;IF(AND(CA1683=0,N(V1683)&lt;=0,N(Q1683)&lt;=0),"Menge pro Gebinde fehlt (Ist = 1 Gebinde); ","")&amp;BV1683)</f>
        <v>Kein Verbrauch; nur im Artikelstamm (Bestand 23.06.2026)</v>
      </c>
      <c r="BO1683" s="60"/>
      <c r="BP1683" s="60"/>
      <c r="BQ1683" s="67"/>
      <c r="BR1683" s="62" t="n">
        <v>1</v>
      </c>
      <c r="BS1683" s="62" t="n">
        <v>0</v>
      </c>
      <c r="BT1683" s="61" t="n">
        <v>0</v>
      </c>
      <c r="BU1683" s="62" t="n">
        <v>0</v>
      </c>
      <c r="BV1683" s="60" t="s">
        <v>2617</v>
      </c>
      <c r="BW1683" s="65" t="n">
        <v>0</v>
      </c>
      <c r="BX1683" s="65" t="n">
        <v>1683</v>
      </c>
      <c r="BY1683" s="60" t="str">
        <f aca="false">IF(U1683&lt;&gt;"",UPPER(TRIM(U1683)),IF(CB1683=1,UPPER(VLOOKUP(T1683,Parameter!$I$27:$K$29,2,0)),IF(P1683="","LOSE",P1683)))</f>
        <v>S61</v>
      </c>
      <c r="BZ1683" s="62" t="n">
        <f aca="false">IF(BY1683="LOSE",1,IF(N(V1683)&gt;0,V1683,IF(CB1683=1,MAX(1,N(VLOOKUP(T1683,Parameter!$I$27:$K$29,3,0)),H1683,N(N1683)),IF(N(Q1683)&gt;0,Q1683,MAX(1,H1683)))))</f>
        <v>65</v>
      </c>
      <c r="CA1683" s="65" t="n">
        <f aca="false">IF(BY1683="LOSE",1,0)</f>
        <v>0</v>
      </c>
      <c r="CB1683" s="65" t="n">
        <f aca="false">IF(AND(U1683="",OR(P1683="",P1683="LOSE"),T1683&lt;&gt;"",N(S1683)&lt;=0,ISNUMBER(MATCH(T1683,Parameter!$I$27:$I$29,0))),1,0)</f>
        <v>0</v>
      </c>
      <c r="CC1683" s="65" t="n">
        <f aca="false">IF(CR1683&gt;0,INDEX(Parameter!$H$5:$H$7,W1683)/INDEX(Parameter!$E$5:$E$7,W1683),IF(AND(CA1683=0,N(IFERROR(VLOOKUP(BY1683,'Gebinde-Kategorie'!$A$5:$N$45,14,0),0))&gt;0),VLOOKUP(BY1683,'Gebinde-Kategorie'!$A$5:$N$45,14,0)*10+Parameter!$M$23,Parameter!$M$24))</f>
        <v>145</v>
      </c>
      <c r="CD1683" s="60" t="str">
        <f aca="false">IF(AND(Parameter!$B$19="Ja",E1683&lt;&gt;"",ISNUMBER(MATCH(E1683,Parameter!$I$35:$I$52,0))),VLOOKUP(E1683,Parameter!$I$35:$J$52,2,0),IFERROR(VLOOKUP(D1683,Parameter!$A$35:$C$64,2,0),"Nein"))</f>
        <v>2+3</v>
      </c>
      <c r="CE1683" s="64" t="n">
        <f aca="false">IF(CA1683=0,0,IF(N(S1683)&gt;0,S1683,IFERROR(VLOOKUP(D1683,Parameter!$A$35:$C$64,3,0)+0,0)))</f>
        <v>0</v>
      </c>
      <c r="CF1683" s="60" t="n">
        <f aca="false">IF(AB1683&lt;&gt;"",AB1683,AA1683)</f>
        <v>3</v>
      </c>
      <c r="CG1683" s="60" t="str">
        <f aca="false">IF(OR(CF1683=1,CF1683=2,CF1683=3),IF(Parameter!$E$27="Ja","LIFT",IF(CF1683=1,"L1","L23")),IF(CF1683="Aussen","Aussen","-"))</f>
        <v>LIFT</v>
      </c>
      <c r="CH1683" s="71" t="n">
        <f aca="false">IF(N(AC1683)&gt;0,AC1683,0)</f>
        <v>0</v>
      </c>
      <c r="CI1683" s="65" t="n">
        <f aca="false">IF(ISNUMBER(AF1683),1,0)</f>
        <v>0</v>
      </c>
      <c r="CJ1683" s="62" t="n">
        <f aca="false">N(AF1683)</f>
        <v>0</v>
      </c>
      <c r="CK1683" s="62" t="n">
        <f aca="false">N(M1683)+N(N1683)</f>
        <v>1</v>
      </c>
      <c r="CL1683" s="62" t="n">
        <f aca="false">N(M1683)</f>
        <v>0</v>
      </c>
      <c r="CM1683" s="62" t="n">
        <f aca="false">N(N1683)</f>
        <v>1</v>
      </c>
      <c r="CN1683" s="62" t="n">
        <f aca="false">ROUNDUP(H1683/BZ1683,0)</f>
        <v>1</v>
      </c>
      <c r="CO1683" s="62" t="n">
        <f aca="false">ROUNDUP(CJ1683/BZ1683,0)</f>
        <v>0</v>
      </c>
      <c r="CP1683" s="65" t="n">
        <f aca="false">IF(CA1683=1,0,IFERROR(VLOOKUP(BY1683,'Gebinde-Kategorie'!$A$5:$N$45,5,0)+0,0))</f>
        <v>11</v>
      </c>
      <c r="CQ1683" s="65" t="n">
        <f aca="false">IFERROR(IF(OR(CF1683=1,CF1683=2,CF1683=3),N(INDEX(Parameter!$I$5:$I$7,CF1683)),0),0)</f>
        <v>0</v>
      </c>
      <c r="CR1683" s="64" t="n">
        <f aca="false">IF(AND(Parameter!$B$21="Ja",ISNUMBER(W1683),N(X1683)&gt;0),IFERROR(N(INDEX(Parameter!$L$5:$L$7,W1683))*INDEX(Parameter!$E$5:$E$7,W1683)*X1683/SUMIFS($X$7:$X$1843,$W$7:$W$1843,W1683),0),0)</f>
        <v>0</v>
      </c>
      <c r="CS1683" s="62" t="n">
        <f aca="false">IF(AND(OR(CG1683="L1",CG1683="L23",CG1683="LIFT"),H1683&gt;0),CC1683*IF(CR1683&gt;0,CR1683*MAX(1,H1683/X1683),IF(CA1683=1,CE1683,IF(R1683&gt;0,CN1683/R1683,0))/MAX(0.1,N(Parameter!$M$21))),"")</f>
        <v>12.0833333333333</v>
      </c>
      <c r="CT1683" s="64" t="n">
        <f aca="false">IF(CS1683="","",J1683/H1683)</f>
        <v>0</v>
      </c>
      <c r="CU1683" s="62" t="n">
        <f aca="false">IF(CS1683="","",H1683*G1683)</f>
        <v>26.76</v>
      </c>
      <c r="CV1683" s="63" t="n">
        <f aca="false">IF(CS1683="","",(CL1683+ROUNDUP(CL1683+MAX(CM1683,2*(J1683/MAX(0.1,N(Einkauf!$C$6))-CL1683)),0))/2)</f>
        <v>0.5</v>
      </c>
      <c r="CW1683" s="62" t="n">
        <f aca="false">IF(CS1683="","",MAX(0,H1683-CV1683)*G1683)</f>
        <v>13.38</v>
      </c>
      <c r="CX1683" s="62" t="n">
        <f aca="false">IF(CS1683="","",CS1683*MAX(0,1-CV1683/H1683))</f>
        <v>6.04166666666667</v>
      </c>
      <c r="CY1683" s="64" t="n">
        <f aca="false">IF(CS1683="","",PERCENTRANK($CS$7:$CS$1843,CS1683)+PERCENTRANK($CU$7:$CU$1843,CU1683)+1-PERCENTRANK($CT$7:$CT$1843,CT1683))</f>
        <v>1.76</v>
      </c>
      <c r="CZ1683" s="72" t="n">
        <f aca="false">IF(CS1683="","",CHOOSE(MATCH(Einkauf!$C$5,Parameter!$G$23:$G$27,0),CY1683,CS1683,CU1683,-CT1683,CW1683)+ROW()/1000000000)</f>
        <v>1.760001683</v>
      </c>
    </row>
    <row r="1684" customFormat="false" ht="15" hidden="false" customHeight="false" outlineLevel="0" collapsed="false">
      <c r="A1684" s="60" t="s">
        <v>2958</v>
      </c>
      <c r="B1684" s="60" t="s">
        <v>2959</v>
      </c>
      <c r="C1684" s="60" t="s">
        <v>206</v>
      </c>
      <c r="D1684" s="60" t="s">
        <v>215</v>
      </c>
      <c r="E1684" s="60"/>
      <c r="F1684" s="60"/>
      <c r="G1684" s="61" t="n">
        <v>180</v>
      </c>
      <c r="H1684" s="62" t="n">
        <f aca="false">MAX(0,IF(AND(Parameter!$B$21="Ja",ISNUMBER(Y1684)),Y1684,IF(Parameter!$B$20="Jahresanfang 2025 + Export",BS1684+BR1684,BR1684)))</f>
        <v>6</v>
      </c>
      <c r="I1684" s="62" t="n">
        <f aca="false">H1684*G1684</f>
        <v>1080</v>
      </c>
      <c r="J1684" s="62" t="n">
        <f aca="false">BU1684*Parameter!$B$18</f>
        <v>0</v>
      </c>
      <c r="K1684" s="63"/>
      <c r="L1684" s="64"/>
      <c r="M1684" s="62" t="n">
        <v>0</v>
      </c>
      <c r="N1684" s="62" t="n">
        <v>6</v>
      </c>
      <c r="O1684" s="65" t="n">
        <v>35</v>
      </c>
      <c r="P1684" s="60" t="s">
        <v>228</v>
      </c>
      <c r="Q1684" s="62" t="n">
        <v>6</v>
      </c>
      <c r="R1684" s="65" t="n">
        <f aca="false">IF(CA1684=1,0,IFERROR(VLOOKUP(BY1684,'Gebinde-Kategorie'!$A$5:$N$45,13,0)+0,0))</f>
        <v>12</v>
      </c>
      <c r="S1684" s="66"/>
      <c r="T1684" s="67"/>
      <c r="U1684" s="67"/>
      <c r="V1684" s="67"/>
      <c r="W1684" s="60"/>
      <c r="X1684" s="62"/>
      <c r="Y1684" s="62"/>
      <c r="Z1684" s="60" t="n">
        <v>3</v>
      </c>
      <c r="AA1684" s="60" t="n">
        <f aca="false">IF(A1684="","",IF(AND(Parameter!$B$21="Ja",ISNUMBER(W1684)),W1684,IF(AND(Parameter!$E$27="Ja",ISNUMBER(Z1684),CD1684&lt;&gt;"Nein"),Z1684,IF(CD1684="2+3",IF(ISNUMBER(SEARCH("grosser Artikel",BV1684)),2,IFERROR(VLOOKUP(BY1684,Parameter!$F$35:$G$64,2,0),2)),IF(OR(CD1684="Nein",CD1684=""),"-",CD1684)))))</f>
        <v>3</v>
      </c>
      <c r="AB1684" s="67"/>
      <c r="AC1684" s="68"/>
      <c r="AD1684" s="62" t="n">
        <f aca="false">AW1684</f>
        <v>6</v>
      </c>
      <c r="AE1684" s="62" t="n">
        <f aca="false">MAX(AW1684,H1684)</f>
        <v>6</v>
      </c>
      <c r="AF1684" s="69"/>
      <c r="AG1684" s="62" t="n">
        <f aca="false">IF(LEFT(Cockpit!$C$5,1)="A",H1684,IF(Parameter!$E$30="MAX-Bestand",IF(CI1684=1,CJ1684,IF(LEFT(Cockpit!$C$5,1)="B",AM1684,MAX(AM1684,H1684))),ROUNDUP(AK1684,0)))</f>
        <v>6</v>
      </c>
      <c r="AH1684" s="62" t="n">
        <f aca="false">IF(CA1684=1,0,ROUNDUP(AG1684/BZ1684,0))</f>
        <v>1</v>
      </c>
      <c r="AI1684" s="64" t="n">
        <f aca="false">IF(CR1684&gt;0,CR1684*MAX(1,AG1684/X1684),IF(CA1684=1,IF(AG1684&lt;=0,0,CE1684*MAX(1,IF(H1684&gt;0,AG1684/H1684,1))),IF(R1684&gt;0,AH1684/R1684,0))/MAX(0.1,N(Parameter!$M$21)))</f>
        <v>0.0833333333333333</v>
      </c>
      <c r="AJ1684" s="62" t="n">
        <f aca="false">AI1684*CC1684</f>
        <v>12.0833333333333</v>
      </c>
      <c r="AK1684" s="63" t="n">
        <f aca="false">IF(LEFT(Cockpit!$C$5,1)="A",H1684,IF(CI1684=1,(CL1684+CJ1684)/2,IF(LEFT(Cockpit!$C$5,1)="B",(CL1684+AM1684)/2,MAX((CL1684+AM1684)/2,H1684))))</f>
        <v>6</v>
      </c>
      <c r="AL1684" s="62" t="n">
        <f aca="false">AK1684*G1684</f>
        <v>1080</v>
      </c>
      <c r="AM1684" s="62" t="n">
        <f aca="false">ROUNDUP(CL1684+MAX(CM1684,2*(J1684/IF(CH1684&gt;0,CH1684,MAX(0.1,N(Cockpit!$C$6)))-CL1684)),0)</f>
        <v>6</v>
      </c>
      <c r="AN1684" s="63" t="n">
        <f aca="false">IF(AJ1684&gt;0,J1684/AJ1684,-1)</f>
        <v>0</v>
      </c>
      <c r="AO1684" s="63" t="n">
        <f aca="false">IF(AND(OR(CG1684="L1",CG1684="L23",CG1684="LIFT"),AJ1684&gt;0),SUMIFS($AJ$7:$AJ$1843,$CG$7:$CG$1843,CG1684,$AN$7:$AN$1843,"&gt;"&amp;AN1684)+SUMIFS($AJ$7:$AJ$1843,$CG$7:$CG$1843,CG1684,$AN$7:$AN$1843,AN1684,$BX$7:$BX$1843,"&lt;="&amp;BX1684),"")</f>
        <v>32652.8384268744</v>
      </c>
      <c r="AP1684" s="70" t="n">
        <f aca="false">IF(AO1684="",0,MAX(0,MIN(1,(IF(CG1684="L1",Parameter!$H$5,IF(CG1684="L23",Parameter!$H$6+Parameter!$H$7,Parameter!$H$5+Parameter!$H$6+Parameter!$H$7))-(AO1684-AJ1684))/AJ1684)))</f>
        <v>1</v>
      </c>
      <c r="AQ1684" s="62" t="n">
        <f aca="false">IF(LEFT(Cockpit!$I$5,1)="A",H1684,IF(Parameter!$E$30="MAX-Bestand",IF(CI1684=1,CJ1684,IF(LEFT(Cockpit!$I$5,1)="B",AW1684,MAX(AW1684,H1684))),ROUNDUP(AU1684,0)))</f>
        <v>6</v>
      </c>
      <c r="AR1684" s="62" t="n">
        <f aca="false">IF(CA1684=1,0,ROUNDUP(AQ1684/BZ1684,0))</f>
        <v>1</v>
      </c>
      <c r="AS1684" s="64" t="n">
        <f aca="false">IF(CR1684&gt;0,CR1684*MAX(1,AQ1684/X1684),IF(CA1684=1,IF(AQ1684&lt;=0,0,CE1684*MAX(1,IF(H1684&gt;0,AQ1684/H1684,1))),IF(R1684&gt;0,AR1684/R1684,0))/MAX(0.1,N(Parameter!$M$21)))</f>
        <v>0.0833333333333333</v>
      </c>
      <c r="AT1684" s="62" t="n">
        <f aca="false">AS1684*CC1684</f>
        <v>12.0833333333333</v>
      </c>
      <c r="AU1684" s="63" t="n">
        <f aca="false">IF(LEFT(Cockpit!$I$5,1)="A",H1684,IF(CI1684=1,(CL1684+CJ1684)/2,IF(LEFT(Cockpit!$I$5,1)="B",(CL1684+AW1684)/2,MAX((CL1684+AW1684)/2,H1684))))</f>
        <v>6</v>
      </c>
      <c r="AV1684" s="62" t="n">
        <f aca="false">AU1684*G1684</f>
        <v>1080</v>
      </c>
      <c r="AW1684" s="62" t="n">
        <f aca="false">ROUNDUP(CL1684+MAX(CM1684,2*(J1684/IF(CH1684&gt;0,CH1684,MAX(0.1,N(Cockpit!$I$6)))-CL1684)),0)</f>
        <v>6</v>
      </c>
      <c r="AX1684" s="63" t="n">
        <f aca="false">IF(AT1684&gt;0,J1684/AT1684,-1)</f>
        <v>0</v>
      </c>
      <c r="AY1684" s="63" t="n">
        <f aca="false">IF(AND(OR(CG1684="L1",CG1684="L23",CG1684="LIFT"),AT1684&gt;0),SUMIFS($AT$7:$AT$1843,$CG$7:$CG$1843,CG1684,$AX$7:$AX$1843,"&gt;"&amp;AX1684)+SUMIFS($AT$7:$AT$1843,$CG$7:$CG$1843,CG1684,$AX$7:$AX$1843,AX1684,$BX$7:$BX$1843,"&lt;="&amp;BX1684),"")</f>
        <v>39125.0866574574</v>
      </c>
      <c r="AZ1684" s="70" t="n">
        <f aca="false">IF(AY1684="",0,MAX(0,MIN(1,(IF(CG1684="L1",Parameter!$H$5,IF(CG1684="L23",Parameter!$H$6+Parameter!$H$7,Parameter!$H$5+Parameter!$H$6+Parameter!$H$7))-(AY1684-AT1684))/AT1684)))</f>
        <v>0</v>
      </c>
      <c r="BA1684" s="62" t="n">
        <f aca="false">IF(LEFT(Cockpit!$O$5,1)="A",H1684,IF(Parameter!$E$30="MAX-Bestand",IF(CI1684=1,CJ1684,IF(LEFT(Cockpit!$O$5,1)="B",BG1684,MAX(BG1684,H1684))),ROUNDUP(BE1684,0)))</f>
        <v>3</v>
      </c>
      <c r="BB1684" s="62" t="n">
        <f aca="false">IF(CA1684=1,0,ROUNDUP(BA1684/BZ1684,0))</f>
        <v>1</v>
      </c>
      <c r="BC1684" s="64" t="n">
        <f aca="false">IF(CR1684&gt;0,CR1684*MAX(1,BA1684/X1684),IF(CA1684=1,IF(BA1684&lt;=0,0,CE1684*MAX(1,IF(H1684&gt;0,BA1684/H1684,1))),IF(R1684&gt;0,BB1684/R1684,0))/MAX(0.1,N(Parameter!$M$21)))</f>
        <v>0.0833333333333333</v>
      </c>
      <c r="BD1684" s="62" t="n">
        <f aca="false">BC1684*CC1684</f>
        <v>12.0833333333333</v>
      </c>
      <c r="BE1684" s="63" t="n">
        <f aca="false">IF(LEFT(Cockpit!$O$5,1)="A",H1684,IF(CI1684=1,(CL1684+CJ1684)/2,IF(LEFT(Cockpit!$O$5,1)="B",(CL1684+BG1684)/2,MAX((CL1684+BG1684)/2,H1684))))</f>
        <v>3</v>
      </c>
      <c r="BF1684" s="62" t="n">
        <f aca="false">BE1684*G1684</f>
        <v>540</v>
      </c>
      <c r="BG1684" s="62" t="n">
        <f aca="false">ROUNDUP(CL1684+MAX(CM1684,2*(J1684/IF(CH1684&gt;0,CH1684,MAX(0.1,N(Cockpit!$O$6)))-CL1684)),0)</f>
        <v>6</v>
      </c>
      <c r="BH1684" s="63" t="n">
        <f aca="false">IF(BD1684&gt;0,J1684/BD1684,-1)</f>
        <v>0</v>
      </c>
      <c r="BI1684" s="63" t="n">
        <f aca="false">IF(AND(OR(CG1684="L1",CG1684="L23",CG1684="LIFT"),BD1684&gt;0),SUMIFS($BD$7:$BD$1843,$CG$7:$CG$1843,CG1684,$BH$7:$BH$1843,"&gt;"&amp;BH1684)+SUMIFS($BD$7:$BD$1843,$CG$7:$CG$1843,CG1684,$BH$7:$BH$1843,BH1684,$BX$7:$BX$1843,"&lt;="&amp;BX1684),"")</f>
        <v>32387.4445996565</v>
      </c>
      <c r="BJ1684" s="70" t="n">
        <f aca="false">IF(BI1684="",0,MAX(0,MIN(1,(IF(CG1684="L1",Parameter!$H$5,IF(CG1684="L23",Parameter!$H$6+Parameter!$H$7,Parameter!$H$5+Parameter!$H$6+Parameter!$H$7))-(BI1684-BD1684))/BD1684)))</f>
        <v>1</v>
      </c>
      <c r="BK1684" s="60" t="str">
        <f aca="false">IF(AJ1684&lt;=0,"",IF(CG1684="Aussen","Aussenlager",IF(CG1684="-","Nicht im Lift",IF(AP1684&gt;=1,"Lift",IF(AP1684&lt;=0,"Aussenlager","teilweise")))))</f>
        <v>Lift</v>
      </c>
      <c r="BL1684" s="60" t="str">
        <f aca="false">IF(AT1684&lt;=0,"",IF(CG1684="Aussen","Aussenlager",IF(CG1684="-","Nicht im Lift",IF(AZ1684&gt;=1,"Lift",IF(AZ1684&lt;=0,"Aussenlager","teilweise")))))</f>
        <v>Aussenlager</v>
      </c>
      <c r="BM1684" s="60" t="str">
        <f aca="false">IF(BD1684&lt;=0,"",IF(CG1684="Aussen","Aussenlager",IF(CG1684="-","Nicht im Lift",IF(BJ1684&gt;=1,"Lift",IF(BJ1684&lt;=0,"Aussenlager","teilweise")))))</f>
        <v>Lift</v>
      </c>
      <c r="BN1684" s="60" t="str">
        <f aca="false">IF(A1684="","",IF(BW1684=1,"Neu; ","")&amp;IF(AND(BW1684=0,BR1684&lt;0),"negativer Bestand (Export "&amp;BR1684&amp;"); ","")&amp;IF(J1684&lt;=0,"Kein Verbrauch; ","")&amp;IF(CR1684&gt;0,"Lift "&amp;W1684&amp;" lt. Liftbericht (Fach "&amp;X1684&amp;" Stk); ",IF(CB1684=1,"Gebinde geschätzt ("&amp;T1684&amp;"); ",IF(CA1684=1,"Lose – Tablare geschätzt; ","")))&amp;IF(H1684&gt;AW1684,"Überbestand "&amp;ROUND(H1684-AW1684,0)&amp;" Stk / CHF "&amp;ROUND((H1684-AW1684)*G1684,0)&amp;"; ","")&amp;IF(AND(CI1684=1,CJ1684&lt;CK1684),"MAX &lt; MB+LG; ","")&amp;IF(AND(CQ1684&gt;0,CP1684*10&gt;CQ1684),"zu hoch für Tablar; ","")&amp;IF(AND(BW1684=0,OR(CI1684=1,AB1684&lt;&gt;"",U1684&lt;&gt;"",V1684&lt;&gt;"",AC1684&lt;&gt;"")),"manuell übersteuert; ","")&amp;IF(AND(CA1684=0,R1684=0),"Gebinde unbekannt / Stellmass fehlt; ","")&amp;IF(AND(CA1684=0,N(V1684)&lt;=0,N(Q1684)&lt;=0),"Menge pro Gebinde fehlt (Ist = 1 Gebinde); ","")&amp;BV1684)</f>
        <v>Kein Verbrauch; nur im Artikelstamm (Bestand 23.06.2026); Neuer Art.</v>
      </c>
      <c r="BO1684" s="60"/>
      <c r="BP1684" s="60"/>
      <c r="BQ1684" s="67"/>
      <c r="BR1684" s="62" t="n">
        <v>6</v>
      </c>
      <c r="BS1684" s="62" t="n">
        <v>0</v>
      </c>
      <c r="BT1684" s="61" t="n">
        <v>0</v>
      </c>
      <c r="BU1684" s="62" t="n">
        <v>0</v>
      </c>
      <c r="BV1684" s="60" t="s">
        <v>2915</v>
      </c>
      <c r="BW1684" s="65" t="n">
        <v>0</v>
      </c>
      <c r="BX1684" s="65" t="n">
        <v>1684</v>
      </c>
      <c r="BY1684" s="60" t="str">
        <f aca="false">IF(U1684&lt;&gt;"",UPPER(TRIM(U1684)),IF(CB1684=1,UPPER(VLOOKUP(T1684,Parameter!$I$27:$K$29,2,0)),IF(P1684="","LOSE",P1684)))</f>
        <v>S61</v>
      </c>
      <c r="BZ1684" s="62" t="n">
        <f aca="false">IF(BY1684="LOSE",1,IF(N(V1684)&gt;0,V1684,IF(CB1684=1,MAX(1,N(VLOOKUP(T1684,Parameter!$I$27:$K$29,3,0)),H1684,N(N1684)),IF(N(Q1684)&gt;0,Q1684,MAX(1,H1684)))))</f>
        <v>6</v>
      </c>
      <c r="CA1684" s="65" t="n">
        <f aca="false">IF(BY1684="LOSE",1,0)</f>
        <v>0</v>
      </c>
      <c r="CB1684" s="65" t="n">
        <f aca="false">IF(AND(U1684="",OR(P1684="",P1684="LOSE"),T1684&lt;&gt;"",N(S1684)&lt;=0,ISNUMBER(MATCH(T1684,Parameter!$I$27:$I$29,0))),1,0)</f>
        <v>0</v>
      </c>
      <c r="CC1684" s="65" t="n">
        <f aca="false">IF(CR1684&gt;0,INDEX(Parameter!$H$5:$H$7,W1684)/INDEX(Parameter!$E$5:$E$7,W1684),IF(AND(CA1684=0,N(IFERROR(VLOOKUP(BY1684,'Gebinde-Kategorie'!$A$5:$N$45,14,0),0))&gt;0),VLOOKUP(BY1684,'Gebinde-Kategorie'!$A$5:$N$45,14,0)*10+Parameter!$M$23,Parameter!$M$24))</f>
        <v>145</v>
      </c>
      <c r="CD1684" s="60" t="str">
        <f aca="false">IF(AND(Parameter!$B$19="Ja",E1684&lt;&gt;"",ISNUMBER(MATCH(E1684,Parameter!$I$35:$I$52,0))),VLOOKUP(E1684,Parameter!$I$35:$J$52,2,0),IFERROR(VLOOKUP(D1684,Parameter!$A$35:$C$64,2,0),"Nein"))</f>
        <v>2+3</v>
      </c>
      <c r="CE1684" s="64" t="n">
        <f aca="false">IF(CA1684=0,0,IF(N(S1684)&gt;0,S1684,IFERROR(VLOOKUP(D1684,Parameter!$A$35:$C$64,3,0)+0,0)))</f>
        <v>0</v>
      </c>
      <c r="CF1684" s="60" t="n">
        <f aca="false">IF(AB1684&lt;&gt;"",AB1684,AA1684)</f>
        <v>3</v>
      </c>
      <c r="CG1684" s="60" t="str">
        <f aca="false">IF(OR(CF1684=1,CF1684=2,CF1684=3),IF(Parameter!$E$27="Ja","LIFT",IF(CF1684=1,"L1","L23")),IF(CF1684="Aussen","Aussen","-"))</f>
        <v>LIFT</v>
      </c>
      <c r="CH1684" s="71" t="n">
        <f aca="false">IF(N(AC1684)&gt;0,AC1684,0)</f>
        <v>0</v>
      </c>
      <c r="CI1684" s="65" t="n">
        <f aca="false">IF(ISNUMBER(AF1684),1,0)</f>
        <v>0</v>
      </c>
      <c r="CJ1684" s="62" t="n">
        <f aca="false">N(AF1684)</f>
        <v>0</v>
      </c>
      <c r="CK1684" s="62" t="n">
        <f aca="false">N(M1684)+N(N1684)</f>
        <v>6</v>
      </c>
      <c r="CL1684" s="62" t="n">
        <f aca="false">N(M1684)</f>
        <v>0</v>
      </c>
      <c r="CM1684" s="62" t="n">
        <f aca="false">N(N1684)</f>
        <v>6</v>
      </c>
      <c r="CN1684" s="62" t="n">
        <f aca="false">ROUNDUP(H1684/BZ1684,0)</f>
        <v>1</v>
      </c>
      <c r="CO1684" s="62" t="n">
        <f aca="false">ROUNDUP(CJ1684/BZ1684,0)</f>
        <v>0</v>
      </c>
      <c r="CP1684" s="65" t="n">
        <f aca="false">IF(CA1684=1,0,IFERROR(VLOOKUP(BY1684,'Gebinde-Kategorie'!$A$5:$N$45,5,0)+0,0))</f>
        <v>11</v>
      </c>
      <c r="CQ1684" s="65" t="n">
        <f aca="false">IFERROR(IF(OR(CF1684=1,CF1684=2,CF1684=3),N(INDEX(Parameter!$I$5:$I$7,CF1684)),0),0)</f>
        <v>0</v>
      </c>
      <c r="CR1684" s="64" t="n">
        <f aca="false">IF(AND(Parameter!$B$21="Ja",ISNUMBER(W1684),N(X1684)&gt;0),IFERROR(N(INDEX(Parameter!$L$5:$L$7,W1684))*INDEX(Parameter!$E$5:$E$7,W1684)*X1684/SUMIFS($X$7:$X$1843,$W$7:$W$1843,W1684),0),0)</f>
        <v>0</v>
      </c>
      <c r="CS1684" s="62" t="n">
        <f aca="false">IF(AND(OR(CG1684="L1",CG1684="L23",CG1684="LIFT"),H1684&gt;0),CC1684*IF(CR1684&gt;0,CR1684*MAX(1,H1684/X1684),IF(CA1684=1,CE1684,IF(R1684&gt;0,CN1684/R1684,0))/MAX(0.1,N(Parameter!$M$21))),"")</f>
        <v>12.0833333333333</v>
      </c>
      <c r="CT1684" s="64" t="n">
        <f aca="false">IF(CS1684="","",J1684/H1684)</f>
        <v>0</v>
      </c>
      <c r="CU1684" s="62" t="n">
        <f aca="false">IF(CS1684="","",H1684*G1684)</f>
        <v>1080</v>
      </c>
      <c r="CV1684" s="63" t="n">
        <f aca="false">IF(CS1684="","",(CL1684+ROUNDUP(CL1684+MAX(CM1684,2*(J1684/MAX(0.1,N(Einkauf!$C$6))-CL1684)),0))/2)</f>
        <v>3</v>
      </c>
      <c r="CW1684" s="62" t="n">
        <f aca="false">IF(CS1684="","",MAX(0,H1684-CV1684)*G1684)</f>
        <v>540</v>
      </c>
      <c r="CX1684" s="62" t="n">
        <f aca="false">IF(CS1684="","",CS1684*MAX(0,1-CV1684/H1684))</f>
        <v>6.04166666666667</v>
      </c>
      <c r="CY1684" s="64" t="n">
        <f aca="false">IF(CS1684="","",PERCENTRANK($CS$7:$CS$1843,CS1684)+PERCENTRANK($CU$7:$CU$1843,CU1684)+1-PERCENTRANK($CT$7:$CT$1843,CT1684))</f>
        <v>2.323</v>
      </c>
      <c r="CZ1684" s="72" t="n">
        <f aca="false">IF(CS1684="","",CHOOSE(MATCH(Einkauf!$C$5,Parameter!$G$23:$G$27,0),CY1684,CS1684,CU1684,-CT1684,CW1684)+ROW()/1000000000)</f>
        <v>2.323001684</v>
      </c>
    </row>
    <row r="1685" customFormat="false" ht="15" hidden="false" customHeight="false" outlineLevel="0" collapsed="false">
      <c r="A1685" s="60" t="s">
        <v>2960</v>
      </c>
      <c r="B1685" s="60" t="s">
        <v>2961</v>
      </c>
      <c r="C1685" s="60" t="s">
        <v>206</v>
      </c>
      <c r="D1685" s="60" t="s">
        <v>215</v>
      </c>
      <c r="E1685" s="60"/>
      <c r="F1685" s="60"/>
      <c r="G1685" s="61" t="n">
        <v>95.8</v>
      </c>
      <c r="H1685" s="62" t="n">
        <f aca="false">MAX(0,IF(AND(Parameter!$B$21="Ja",ISNUMBER(Y1685)),Y1685,IF(Parameter!$B$20="Jahresanfang 2025 + Export",BS1685+BR1685,BR1685)))</f>
        <v>5</v>
      </c>
      <c r="I1685" s="62" t="n">
        <f aca="false">H1685*G1685</f>
        <v>479</v>
      </c>
      <c r="J1685" s="62" t="n">
        <f aca="false">BU1685*Parameter!$B$18</f>
        <v>0</v>
      </c>
      <c r="K1685" s="63"/>
      <c r="L1685" s="64"/>
      <c r="M1685" s="62" t="n">
        <v>0</v>
      </c>
      <c r="N1685" s="62" t="n">
        <v>5</v>
      </c>
      <c r="O1685" s="65" t="n">
        <v>21</v>
      </c>
      <c r="P1685" s="60" t="s">
        <v>228</v>
      </c>
      <c r="Q1685" s="62" t="n">
        <v>5</v>
      </c>
      <c r="R1685" s="65" t="n">
        <f aca="false">IF(CA1685=1,0,IFERROR(VLOOKUP(BY1685,'Gebinde-Kategorie'!$A$5:$N$45,13,0)+0,0))</f>
        <v>12</v>
      </c>
      <c r="S1685" s="66"/>
      <c r="T1685" s="67"/>
      <c r="U1685" s="67"/>
      <c r="V1685" s="67"/>
      <c r="W1685" s="60"/>
      <c r="X1685" s="62"/>
      <c r="Y1685" s="62"/>
      <c r="Z1685" s="60" t="n">
        <v>3</v>
      </c>
      <c r="AA1685" s="60" t="n">
        <f aca="false">IF(A1685="","",IF(AND(Parameter!$B$21="Ja",ISNUMBER(W1685)),W1685,IF(AND(Parameter!$E$27="Ja",ISNUMBER(Z1685),CD1685&lt;&gt;"Nein"),Z1685,IF(CD1685="2+3",IF(ISNUMBER(SEARCH("grosser Artikel",BV1685)),2,IFERROR(VLOOKUP(BY1685,Parameter!$F$35:$G$64,2,0),2)),IF(OR(CD1685="Nein",CD1685=""),"-",CD1685)))))</f>
        <v>3</v>
      </c>
      <c r="AB1685" s="67"/>
      <c r="AC1685" s="68"/>
      <c r="AD1685" s="62" t="n">
        <f aca="false">AW1685</f>
        <v>5</v>
      </c>
      <c r="AE1685" s="62" t="n">
        <f aca="false">MAX(AW1685,H1685)</f>
        <v>5</v>
      </c>
      <c r="AF1685" s="69"/>
      <c r="AG1685" s="62" t="n">
        <f aca="false">IF(LEFT(Cockpit!$C$5,1)="A",H1685,IF(Parameter!$E$30="MAX-Bestand",IF(CI1685=1,CJ1685,IF(LEFT(Cockpit!$C$5,1)="B",AM1685,MAX(AM1685,H1685))),ROUNDUP(AK1685,0)))</f>
        <v>5</v>
      </c>
      <c r="AH1685" s="62" t="n">
        <f aca="false">IF(CA1685=1,0,ROUNDUP(AG1685/BZ1685,0))</f>
        <v>1</v>
      </c>
      <c r="AI1685" s="64" t="n">
        <f aca="false">IF(CR1685&gt;0,CR1685*MAX(1,AG1685/X1685),IF(CA1685=1,IF(AG1685&lt;=0,0,CE1685*MAX(1,IF(H1685&gt;0,AG1685/H1685,1))),IF(R1685&gt;0,AH1685/R1685,0))/MAX(0.1,N(Parameter!$M$21)))</f>
        <v>0.0833333333333333</v>
      </c>
      <c r="AJ1685" s="62" t="n">
        <f aca="false">AI1685*CC1685</f>
        <v>12.0833333333333</v>
      </c>
      <c r="AK1685" s="63" t="n">
        <f aca="false">IF(LEFT(Cockpit!$C$5,1)="A",H1685,IF(CI1685=1,(CL1685+CJ1685)/2,IF(LEFT(Cockpit!$C$5,1)="B",(CL1685+AM1685)/2,MAX((CL1685+AM1685)/2,H1685))))</f>
        <v>5</v>
      </c>
      <c r="AL1685" s="62" t="n">
        <f aca="false">AK1685*G1685</f>
        <v>479</v>
      </c>
      <c r="AM1685" s="62" t="n">
        <f aca="false">ROUNDUP(CL1685+MAX(CM1685,2*(J1685/IF(CH1685&gt;0,CH1685,MAX(0.1,N(Cockpit!$C$6)))-CL1685)),0)</f>
        <v>5</v>
      </c>
      <c r="AN1685" s="63" t="n">
        <f aca="false">IF(AJ1685&gt;0,J1685/AJ1685,-1)</f>
        <v>0</v>
      </c>
      <c r="AO1685" s="63" t="n">
        <f aca="false">IF(AND(OR(CG1685="L1",CG1685="L23",CG1685="LIFT"),AJ1685&gt;0),SUMIFS($AJ$7:$AJ$1843,$CG$7:$CG$1843,CG1685,$AN$7:$AN$1843,"&gt;"&amp;AN1685)+SUMIFS($AJ$7:$AJ$1843,$CG$7:$CG$1843,CG1685,$AN$7:$AN$1843,AN1685,$BX$7:$BX$1843,"&lt;="&amp;BX1685),"")</f>
        <v>32664.9217602078</v>
      </c>
      <c r="AP1685" s="70" t="n">
        <f aca="false">IF(AO1685="",0,MAX(0,MIN(1,(IF(CG1685="L1",Parameter!$H$5,IF(CG1685="L23",Parameter!$H$6+Parameter!$H$7,Parameter!$H$5+Parameter!$H$6+Parameter!$H$7))-(AO1685-AJ1685))/AJ1685)))</f>
        <v>1</v>
      </c>
      <c r="AQ1685" s="62" t="n">
        <f aca="false">IF(LEFT(Cockpit!$I$5,1)="A",H1685,IF(Parameter!$E$30="MAX-Bestand",IF(CI1685=1,CJ1685,IF(LEFT(Cockpit!$I$5,1)="B",AW1685,MAX(AW1685,H1685))),ROUNDUP(AU1685,0)))</f>
        <v>5</v>
      </c>
      <c r="AR1685" s="62" t="n">
        <f aca="false">IF(CA1685=1,0,ROUNDUP(AQ1685/BZ1685,0))</f>
        <v>1</v>
      </c>
      <c r="AS1685" s="64" t="n">
        <f aca="false">IF(CR1685&gt;0,CR1685*MAX(1,AQ1685/X1685),IF(CA1685=1,IF(AQ1685&lt;=0,0,CE1685*MAX(1,IF(H1685&gt;0,AQ1685/H1685,1))),IF(R1685&gt;0,AR1685/R1685,0))/MAX(0.1,N(Parameter!$M$21)))</f>
        <v>0.0833333333333333</v>
      </c>
      <c r="AT1685" s="62" t="n">
        <f aca="false">AS1685*CC1685</f>
        <v>12.0833333333333</v>
      </c>
      <c r="AU1685" s="63" t="n">
        <f aca="false">IF(LEFT(Cockpit!$I$5,1)="A",H1685,IF(CI1685=1,(CL1685+CJ1685)/2,IF(LEFT(Cockpit!$I$5,1)="B",(CL1685+AW1685)/2,MAX((CL1685+AW1685)/2,H1685))))</f>
        <v>5</v>
      </c>
      <c r="AV1685" s="62" t="n">
        <f aca="false">AU1685*G1685</f>
        <v>479</v>
      </c>
      <c r="AW1685" s="62" t="n">
        <f aca="false">ROUNDUP(CL1685+MAX(CM1685,2*(J1685/IF(CH1685&gt;0,CH1685,MAX(0.1,N(Cockpit!$I$6)))-CL1685)),0)</f>
        <v>5</v>
      </c>
      <c r="AX1685" s="63" t="n">
        <f aca="false">IF(AT1685&gt;0,J1685/AT1685,-1)</f>
        <v>0</v>
      </c>
      <c r="AY1685" s="63" t="n">
        <f aca="false">IF(AND(OR(CG1685="L1",CG1685="L23",CG1685="LIFT"),AT1685&gt;0),SUMIFS($AT$7:$AT$1843,$CG$7:$CG$1843,CG1685,$AX$7:$AX$1843,"&gt;"&amp;AX1685)+SUMIFS($AT$7:$AT$1843,$CG$7:$CG$1843,CG1685,$AX$7:$AX$1843,AX1685,$BX$7:$BX$1843,"&lt;="&amp;BX1685),"")</f>
        <v>39137.1699907908</v>
      </c>
      <c r="AZ1685" s="70" t="n">
        <f aca="false">IF(AY1685="",0,MAX(0,MIN(1,(IF(CG1685="L1",Parameter!$H$5,IF(CG1685="L23",Parameter!$H$6+Parameter!$H$7,Parameter!$H$5+Parameter!$H$6+Parameter!$H$7))-(AY1685-AT1685))/AT1685)))</f>
        <v>0</v>
      </c>
      <c r="BA1685" s="62" t="n">
        <f aca="false">IF(LEFT(Cockpit!$O$5,1)="A",H1685,IF(Parameter!$E$30="MAX-Bestand",IF(CI1685=1,CJ1685,IF(LEFT(Cockpit!$O$5,1)="B",BG1685,MAX(BG1685,H1685))),ROUNDUP(BE1685,0)))</f>
        <v>3</v>
      </c>
      <c r="BB1685" s="62" t="n">
        <f aca="false">IF(CA1685=1,0,ROUNDUP(BA1685/BZ1685,0))</f>
        <v>1</v>
      </c>
      <c r="BC1685" s="64" t="n">
        <f aca="false">IF(CR1685&gt;0,CR1685*MAX(1,BA1685/X1685),IF(CA1685=1,IF(BA1685&lt;=0,0,CE1685*MAX(1,IF(H1685&gt;0,BA1685/H1685,1))),IF(R1685&gt;0,BB1685/R1685,0))/MAX(0.1,N(Parameter!$M$21)))</f>
        <v>0.0833333333333333</v>
      </c>
      <c r="BD1685" s="62" t="n">
        <f aca="false">BC1685*CC1685</f>
        <v>12.0833333333333</v>
      </c>
      <c r="BE1685" s="63" t="n">
        <f aca="false">IF(LEFT(Cockpit!$O$5,1)="A",H1685,IF(CI1685=1,(CL1685+CJ1685)/2,IF(LEFT(Cockpit!$O$5,1)="B",(CL1685+BG1685)/2,MAX((CL1685+BG1685)/2,H1685))))</f>
        <v>2.5</v>
      </c>
      <c r="BF1685" s="62" t="n">
        <f aca="false">BE1685*G1685</f>
        <v>239.5</v>
      </c>
      <c r="BG1685" s="62" t="n">
        <f aca="false">ROUNDUP(CL1685+MAX(CM1685,2*(J1685/IF(CH1685&gt;0,CH1685,MAX(0.1,N(Cockpit!$O$6)))-CL1685)),0)</f>
        <v>5</v>
      </c>
      <c r="BH1685" s="63" t="n">
        <f aca="false">IF(BD1685&gt;0,J1685/BD1685,-1)</f>
        <v>0</v>
      </c>
      <c r="BI1685" s="63" t="n">
        <f aca="false">IF(AND(OR(CG1685="L1",CG1685="L23",CG1685="LIFT"),BD1685&gt;0),SUMIFS($BD$7:$BD$1843,$CG$7:$CG$1843,CG1685,$BH$7:$BH$1843,"&gt;"&amp;BH1685)+SUMIFS($BD$7:$BD$1843,$CG$7:$CG$1843,CG1685,$BH$7:$BH$1843,BH1685,$BX$7:$BX$1843,"&lt;="&amp;BX1685),"")</f>
        <v>32399.5279329898</v>
      </c>
      <c r="BJ1685" s="70" t="n">
        <f aca="false">IF(BI1685="",0,MAX(0,MIN(1,(IF(CG1685="L1",Parameter!$H$5,IF(CG1685="L23",Parameter!$H$6+Parameter!$H$7,Parameter!$H$5+Parameter!$H$6+Parameter!$H$7))-(BI1685-BD1685))/BD1685)))</f>
        <v>1</v>
      </c>
      <c r="BK1685" s="60" t="str">
        <f aca="false">IF(AJ1685&lt;=0,"",IF(CG1685="Aussen","Aussenlager",IF(CG1685="-","Nicht im Lift",IF(AP1685&gt;=1,"Lift",IF(AP1685&lt;=0,"Aussenlager","teilweise")))))</f>
        <v>Lift</v>
      </c>
      <c r="BL1685" s="60" t="str">
        <f aca="false">IF(AT1685&lt;=0,"",IF(CG1685="Aussen","Aussenlager",IF(CG1685="-","Nicht im Lift",IF(AZ1685&gt;=1,"Lift",IF(AZ1685&lt;=0,"Aussenlager","teilweise")))))</f>
        <v>Aussenlager</v>
      </c>
      <c r="BM1685" s="60" t="str">
        <f aca="false">IF(BD1685&lt;=0,"",IF(CG1685="Aussen","Aussenlager",IF(CG1685="-","Nicht im Lift",IF(BJ1685&gt;=1,"Lift",IF(BJ1685&lt;=0,"Aussenlager","teilweise")))))</f>
        <v>Lift</v>
      </c>
      <c r="BN1685" s="60" t="str">
        <f aca="false">IF(A1685="","",IF(BW1685=1,"Neu; ","")&amp;IF(AND(BW1685=0,BR1685&lt;0),"negativer Bestand (Export "&amp;BR1685&amp;"); ","")&amp;IF(J1685&lt;=0,"Kein Verbrauch; ","")&amp;IF(CR1685&gt;0,"Lift "&amp;W1685&amp;" lt. Liftbericht (Fach "&amp;X1685&amp;" Stk); ",IF(CB1685=1,"Gebinde geschätzt ("&amp;T1685&amp;"); ",IF(CA1685=1,"Lose – Tablare geschätzt; ","")))&amp;IF(H1685&gt;AW1685,"Überbestand "&amp;ROUND(H1685-AW1685,0)&amp;" Stk / CHF "&amp;ROUND((H1685-AW1685)*G1685,0)&amp;"; ","")&amp;IF(AND(CI1685=1,CJ1685&lt;CK1685),"MAX &lt; MB+LG; ","")&amp;IF(AND(CQ1685&gt;0,CP1685*10&gt;CQ1685),"zu hoch für Tablar; ","")&amp;IF(AND(BW1685=0,OR(CI1685=1,AB1685&lt;&gt;"",U1685&lt;&gt;"",V1685&lt;&gt;"",AC1685&lt;&gt;"")),"manuell übersteuert; ","")&amp;IF(AND(CA1685=0,R1685=0),"Gebinde unbekannt / Stellmass fehlt; ","")&amp;IF(AND(CA1685=0,N(V1685)&lt;=0,N(Q1685)&lt;=0),"Menge pro Gebinde fehlt (Ist = 1 Gebinde); ","")&amp;BV1685)</f>
        <v>Kein Verbrauch; nur im Artikelstamm (Bestand 23.06.2026)</v>
      </c>
      <c r="BO1685" s="60"/>
      <c r="BP1685" s="60"/>
      <c r="BQ1685" s="67"/>
      <c r="BR1685" s="62" t="n">
        <v>5</v>
      </c>
      <c r="BS1685" s="62" t="n">
        <v>0</v>
      </c>
      <c r="BT1685" s="61" t="n">
        <v>0</v>
      </c>
      <c r="BU1685" s="62" t="n">
        <v>0</v>
      </c>
      <c r="BV1685" s="60" t="s">
        <v>2617</v>
      </c>
      <c r="BW1685" s="65" t="n">
        <v>0</v>
      </c>
      <c r="BX1685" s="65" t="n">
        <v>1685</v>
      </c>
      <c r="BY1685" s="60" t="str">
        <f aca="false">IF(U1685&lt;&gt;"",UPPER(TRIM(U1685)),IF(CB1685=1,UPPER(VLOOKUP(T1685,Parameter!$I$27:$K$29,2,0)),IF(P1685="","LOSE",P1685)))</f>
        <v>S61</v>
      </c>
      <c r="BZ1685" s="62" t="n">
        <f aca="false">IF(BY1685="LOSE",1,IF(N(V1685)&gt;0,V1685,IF(CB1685=1,MAX(1,N(VLOOKUP(T1685,Parameter!$I$27:$K$29,3,0)),H1685,N(N1685)),IF(N(Q1685)&gt;0,Q1685,MAX(1,H1685)))))</f>
        <v>5</v>
      </c>
      <c r="CA1685" s="65" t="n">
        <f aca="false">IF(BY1685="LOSE",1,0)</f>
        <v>0</v>
      </c>
      <c r="CB1685" s="65" t="n">
        <f aca="false">IF(AND(U1685="",OR(P1685="",P1685="LOSE"),T1685&lt;&gt;"",N(S1685)&lt;=0,ISNUMBER(MATCH(T1685,Parameter!$I$27:$I$29,0))),1,0)</f>
        <v>0</v>
      </c>
      <c r="CC1685" s="65" t="n">
        <f aca="false">IF(CR1685&gt;0,INDEX(Parameter!$H$5:$H$7,W1685)/INDEX(Parameter!$E$5:$E$7,W1685),IF(AND(CA1685=0,N(IFERROR(VLOOKUP(BY1685,'Gebinde-Kategorie'!$A$5:$N$45,14,0),0))&gt;0),VLOOKUP(BY1685,'Gebinde-Kategorie'!$A$5:$N$45,14,0)*10+Parameter!$M$23,Parameter!$M$24))</f>
        <v>145</v>
      </c>
      <c r="CD1685" s="60" t="str">
        <f aca="false">IF(AND(Parameter!$B$19="Ja",E1685&lt;&gt;"",ISNUMBER(MATCH(E1685,Parameter!$I$35:$I$52,0))),VLOOKUP(E1685,Parameter!$I$35:$J$52,2,0),IFERROR(VLOOKUP(D1685,Parameter!$A$35:$C$64,2,0),"Nein"))</f>
        <v>2+3</v>
      </c>
      <c r="CE1685" s="64" t="n">
        <f aca="false">IF(CA1685=0,0,IF(N(S1685)&gt;0,S1685,IFERROR(VLOOKUP(D1685,Parameter!$A$35:$C$64,3,0)+0,0)))</f>
        <v>0</v>
      </c>
      <c r="CF1685" s="60" t="n">
        <f aca="false">IF(AB1685&lt;&gt;"",AB1685,AA1685)</f>
        <v>3</v>
      </c>
      <c r="CG1685" s="60" t="str">
        <f aca="false">IF(OR(CF1685=1,CF1685=2,CF1685=3),IF(Parameter!$E$27="Ja","LIFT",IF(CF1685=1,"L1","L23")),IF(CF1685="Aussen","Aussen","-"))</f>
        <v>LIFT</v>
      </c>
      <c r="CH1685" s="71" t="n">
        <f aca="false">IF(N(AC1685)&gt;0,AC1685,0)</f>
        <v>0</v>
      </c>
      <c r="CI1685" s="65" t="n">
        <f aca="false">IF(ISNUMBER(AF1685),1,0)</f>
        <v>0</v>
      </c>
      <c r="CJ1685" s="62" t="n">
        <f aca="false">N(AF1685)</f>
        <v>0</v>
      </c>
      <c r="CK1685" s="62" t="n">
        <f aca="false">N(M1685)+N(N1685)</f>
        <v>5</v>
      </c>
      <c r="CL1685" s="62" t="n">
        <f aca="false">N(M1685)</f>
        <v>0</v>
      </c>
      <c r="CM1685" s="62" t="n">
        <f aca="false">N(N1685)</f>
        <v>5</v>
      </c>
      <c r="CN1685" s="62" t="n">
        <f aca="false">ROUNDUP(H1685/BZ1685,0)</f>
        <v>1</v>
      </c>
      <c r="CO1685" s="62" t="n">
        <f aca="false">ROUNDUP(CJ1685/BZ1685,0)</f>
        <v>0</v>
      </c>
      <c r="CP1685" s="65" t="n">
        <f aca="false">IF(CA1685=1,0,IFERROR(VLOOKUP(BY1685,'Gebinde-Kategorie'!$A$5:$N$45,5,0)+0,0))</f>
        <v>11</v>
      </c>
      <c r="CQ1685" s="65" t="n">
        <f aca="false">IFERROR(IF(OR(CF1685=1,CF1685=2,CF1685=3),N(INDEX(Parameter!$I$5:$I$7,CF1685)),0),0)</f>
        <v>0</v>
      </c>
      <c r="CR1685" s="64" t="n">
        <f aca="false">IF(AND(Parameter!$B$21="Ja",ISNUMBER(W1685),N(X1685)&gt;0),IFERROR(N(INDEX(Parameter!$L$5:$L$7,W1685))*INDEX(Parameter!$E$5:$E$7,W1685)*X1685/SUMIFS($X$7:$X$1843,$W$7:$W$1843,W1685),0),0)</f>
        <v>0</v>
      </c>
      <c r="CS1685" s="62" t="n">
        <f aca="false">IF(AND(OR(CG1685="L1",CG1685="L23",CG1685="LIFT"),H1685&gt;0),CC1685*IF(CR1685&gt;0,CR1685*MAX(1,H1685/X1685),IF(CA1685=1,CE1685,IF(R1685&gt;0,CN1685/R1685,0))/MAX(0.1,N(Parameter!$M$21))),"")</f>
        <v>12.0833333333333</v>
      </c>
      <c r="CT1685" s="64" t="n">
        <f aca="false">IF(CS1685="","",J1685/H1685)</f>
        <v>0</v>
      </c>
      <c r="CU1685" s="62" t="n">
        <f aca="false">IF(CS1685="","",H1685*G1685)</f>
        <v>479</v>
      </c>
      <c r="CV1685" s="63" t="n">
        <f aca="false">IF(CS1685="","",(CL1685+ROUNDUP(CL1685+MAX(CM1685,2*(J1685/MAX(0.1,N(Einkauf!$C$6))-CL1685)),0))/2)</f>
        <v>2.5</v>
      </c>
      <c r="CW1685" s="62" t="n">
        <f aca="false">IF(CS1685="","",MAX(0,H1685-CV1685)*G1685)</f>
        <v>239.5</v>
      </c>
      <c r="CX1685" s="62" t="n">
        <f aca="false">IF(CS1685="","",CS1685*MAX(0,1-CV1685/H1685))</f>
        <v>6.04166666666667</v>
      </c>
      <c r="CY1685" s="64" t="n">
        <f aca="false">IF(CS1685="","",PERCENTRANK($CS$7:$CS$1843,CS1685)+PERCENTRANK($CU$7:$CU$1843,CU1685)+1-PERCENTRANK($CT$7:$CT$1843,CT1685))</f>
        <v>2.164</v>
      </c>
      <c r="CZ1685" s="72" t="n">
        <f aca="false">IF(CS1685="","",CHOOSE(MATCH(Einkauf!$C$5,Parameter!$G$23:$G$27,0),CY1685,CS1685,CU1685,-CT1685,CW1685)+ROW()/1000000000)</f>
        <v>2.164001685</v>
      </c>
    </row>
    <row r="1686" customFormat="false" ht="15" hidden="false" customHeight="false" outlineLevel="0" collapsed="false">
      <c r="A1686" s="60" t="s">
        <v>2962</v>
      </c>
      <c r="B1686" s="60" t="s">
        <v>2963</v>
      </c>
      <c r="C1686" s="60" t="s">
        <v>206</v>
      </c>
      <c r="D1686" s="60" t="s">
        <v>226</v>
      </c>
      <c r="E1686" s="60"/>
      <c r="F1686" s="60"/>
      <c r="G1686" s="61" t="n">
        <v>198.07</v>
      </c>
      <c r="H1686" s="62" t="n">
        <f aca="false">MAX(0,IF(AND(Parameter!$B$21="Ja",ISNUMBER(Y1686)),Y1686,IF(Parameter!$B$20="Jahresanfang 2025 + Export",BS1686+BR1686,BR1686)))</f>
        <v>3</v>
      </c>
      <c r="I1686" s="62" t="n">
        <f aca="false">H1686*G1686</f>
        <v>594.21</v>
      </c>
      <c r="J1686" s="62" t="n">
        <f aca="false">BU1686*Parameter!$B$18</f>
        <v>0</v>
      </c>
      <c r="K1686" s="63"/>
      <c r="L1686" s="64"/>
      <c r="M1686" s="62" t="n">
        <v>0</v>
      </c>
      <c r="N1686" s="62" t="n">
        <v>2</v>
      </c>
      <c r="O1686" s="65" t="n">
        <v>21</v>
      </c>
      <c r="P1686" s="60" t="s">
        <v>228</v>
      </c>
      <c r="Q1686" s="62" t="n">
        <v>5</v>
      </c>
      <c r="R1686" s="65" t="n">
        <f aca="false">IF(CA1686=1,0,IFERROR(VLOOKUP(BY1686,'Gebinde-Kategorie'!$A$5:$N$45,13,0)+0,0))</f>
        <v>12</v>
      </c>
      <c r="S1686" s="66"/>
      <c r="T1686" s="67"/>
      <c r="U1686" s="67"/>
      <c r="V1686" s="67"/>
      <c r="W1686" s="60"/>
      <c r="X1686" s="62"/>
      <c r="Y1686" s="62"/>
      <c r="Z1686" s="60" t="n">
        <v>3</v>
      </c>
      <c r="AA1686" s="60" t="n">
        <f aca="false">IF(A1686="","",IF(AND(Parameter!$B$21="Ja",ISNUMBER(W1686)),W1686,IF(AND(Parameter!$E$27="Ja",ISNUMBER(Z1686),CD1686&lt;&gt;"Nein"),Z1686,IF(CD1686="2+3",IF(ISNUMBER(SEARCH("grosser Artikel",BV1686)),2,IFERROR(VLOOKUP(BY1686,Parameter!$F$35:$G$64,2,0),2)),IF(OR(CD1686="Nein",CD1686=""),"-",CD1686)))))</f>
        <v>3</v>
      </c>
      <c r="AB1686" s="67"/>
      <c r="AC1686" s="68"/>
      <c r="AD1686" s="62" t="n">
        <f aca="false">AW1686</f>
        <v>2</v>
      </c>
      <c r="AE1686" s="62" t="n">
        <f aca="false">MAX(AW1686,H1686)</f>
        <v>3</v>
      </c>
      <c r="AF1686" s="69"/>
      <c r="AG1686" s="62" t="n">
        <f aca="false">IF(LEFT(Cockpit!$C$5,1)="A",H1686,IF(Parameter!$E$30="MAX-Bestand",IF(CI1686=1,CJ1686,IF(LEFT(Cockpit!$C$5,1)="B",AM1686,MAX(AM1686,H1686))),ROUNDUP(AK1686,0)))</f>
        <v>3</v>
      </c>
      <c r="AH1686" s="62" t="n">
        <f aca="false">IF(CA1686=1,0,ROUNDUP(AG1686/BZ1686,0))</f>
        <v>1</v>
      </c>
      <c r="AI1686" s="64" t="n">
        <f aca="false">IF(CR1686&gt;0,CR1686*MAX(1,AG1686/X1686),IF(CA1686=1,IF(AG1686&lt;=0,0,CE1686*MAX(1,IF(H1686&gt;0,AG1686/H1686,1))),IF(R1686&gt;0,AH1686/R1686,0))/MAX(0.1,N(Parameter!$M$21)))</f>
        <v>0.0833333333333333</v>
      </c>
      <c r="AJ1686" s="62" t="n">
        <f aca="false">AI1686*CC1686</f>
        <v>12.0833333333333</v>
      </c>
      <c r="AK1686" s="63" t="n">
        <f aca="false">IF(LEFT(Cockpit!$C$5,1)="A",H1686,IF(CI1686=1,(CL1686+CJ1686)/2,IF(LEFT(Cockpit!$C$5,1)="B",(CL1686+AM1686)/2,MAX((CL1686+AM1686)/2,H1686))))</f>
        <v>3</v>
      </c>
      <c r="AL1686" s="62" t="n">
        <f aca="false">AK1686*G1686</f>
        <v>594.21</v>
      </c>
      <c r="AM1686" s="62" t="n">
        <f aca="false">ROUNDUP(CL1686+MAX(CM1686,2*(J1686/IF(CH1686&gt;0,CH1686,MAX(0.1,N(Cockpit!$C$6)))-CL1686)),0)</f>
        <v>2</v>
      </c>
      <c r="AN1686" s="63" t="n">
        <f aca="false">IF(AJ1686&gt;0,J1686/AJ1686,-1)</f>
        <v>0</v>
      </c>
      <c r="AO1686" s="63" t="n">
        <f aca="false">IF(AND(OR(CG1686="L1",CG1686="L23",CG1686="LIFT"),AJ1686&gt;0),SUMIFS($AJ$7:$AJ$1843,$CG$7:$CG$1843,CG1686,$AN$7:$AN$1843,"&gt;"&amp;AN1686)+SUMIFS($AJ$7:$AJ$1843,$CG$7:$CG$1843,CG1686,$AN$7:$AN$1843,AN1686,$BX$7:$BX$1843,"&lt;="&amp;BX1686),"")</f>
        <v>32677.0050935411</v>
      </c>
      <c r="AP1686" s="70" t="n">
        <f aca="false">IF(AO1686="",0,MAX(0,MIN(1,(IF(CG1686="L1",Parameter!$H$5,IF(CG1686="L23",Parameter!$H$6+Parameter!$H$7,Parameter!$H$5+Parameter!$H$6+Parameter!$H$7))-(AO1686-AJ1686))/AJ1686)))</f>
        <v>1</v>
      </c>
      <c r="AQ1686" s="62" t="n">
        <f aca="false">IF(LEFT(Cockpit!$I$5,1)="A",H1686,IF(Parameter!$E$30="MAX-Bestand",IF(CI1686=1,CJ1686,IF(LEFT(Cockpit!$I$5,1)="B",AW1686,MAX(AW1686,H1686))),ROUNDUP(AU1686,0)))</f>
        <v>3</v>
      </c>
      <c r="AR1686" s="62" t="n">
        <f aca="false">IF(CA1686=1,0,ROUNDUP(AQ1686/BZ1686,0))</f>
        <v>1</v>
      </c>
      <c r="AS1686" s="64" t="n">
        <f aca="false">IF(CR1686&gt;0,CR1686*MAX(1,AQ1686/X1686),IF(CA1686=1,IF(AQ1686&lt;=0,0,CE1686*MAX(1,IF(H1686&gt;0,AQ1686/H1686,1))),IF(R1686&gt;0,AR1686/R1686,0))/MAX(0.1,N(Parameter!$M$21)))</f>
        <v>0.0833333333333333</v>
      </c>
      <c r="AT1686" s="62" t="n">
        <f aca="false">AS1686*CC1686</f>
        <v>12.0833333333333</v>
      </c>
      <c r="AU1686" s="63" t="n">
        <f aca="false">IF(LEFT(Cockpit!$I$5,1)="A",H1686,IF(CI1686=1,(CL1686+CJ1686)/2,IF(LEFT(Cockpit!$I$5,1)="B",(CL1686+AW1686)/2,MAX((CL1686+AW1686)/2,H1686))))</f>
        <v>3</v>
      </c>
      <c r="AV1686" s="62" t="n">
        <f aca="false">AU1686*G1686</f>
        <v>594.21</v>
      </c>
      <c r="AW1686" s="62" t="n">
        <f aca="false">ROUNDUP(CL1686+MAX(CM1686,2*(J1686/IF(CH1686&gt;0,CH1686,MAX(0.1,N(Cockpit!$I$6)))-CL1686)),0)</f>
        <v>2</v>
      </c>
      <c r="AX1686" s="63" t="n">
        <f aca="false">IF(AT1686&gt;0,J1686/AT1686,-1)</f>
        <v>0</v>
      </c>
      <c r="AY1686" s="63" t="n">
        <f aca="false">IF(AND(OR(CG1686="L1",CG1686="L23",CG1686="LIFT"),AT1686&gt;0),SUMIFS($AT$7:$AT$1843,$CG$7:$CG$1843,CG1686,$AX$7:$AX$1843,"&gt;"&amp;AX1686)+SUMIFS($AT$7:$AT$1843,$CG$7:$CG$1843,CG1686,$AX$7:$AX$1843,AX1686,$BX$7:$BX$1843,"&lt;="&amp;BX1686),"")</f>
        <v>39149.2533241241</v>
      </c>
      <c r="AZ1686" s="70" t="n">
        <f aca="false">IF(AY1686="",0,MAX(0,MIN(1,(IF(CG1686="L1",Parameter!$H$5,IF(CG1686="L23",Parameter!$H$6+Parameter!$H$7,Parameter!$H$5+Parameter!$H$6+Parameter!$H$7))-(AY1686-AT1686))/AT1686)))</f>
        <v>0</v>
      </c>
      <c r="BA1686" s="62" t="n">
        <f aca="false">IF(LEFT(Cockpit!$O$5,1)="A",H1686,IF(Parameter!$E$30="MAX-Bestand",IF(CI1686=1,CJ1686,IF(LEFT(Cockpit!$O$5,1)="B",BG1686,MAX(BG1686,H1686))),ROUNDUP(BE1686,0)))</f>
        <v>1</v>
      </c>
      <c r="BB1686" s="62" t="n">
        <f aca="false">IF(CA1686=1,0,ROUNDUP(BA1686/BZ1686,0))</f>
        <v>1</v>
      </c>
      <c r="BC1686" s="64" t="n">
        <f aca="false">IF(CR1686&gt;0,CR1686*MAX(1,BA1686/X1686),IF(CA1686=1,IF(BA1686&lt;=0,0,CE1686*MAX(1,IF(H1686&gt;0,BA1686/H1686,1))),IF(R1686&gt;0,BB1686/R1686,0))/MAX(0.1,N(Parameter!$M$21)))</f>
        <v>0.0833333333333333</v>
      </c>
      <c r="BD1686" s="62" t="n">
        <f aca="false">BC1686*CC1686</f>
        <v>12.0833333333333</v>
      </c>
      <c r="BE1686" s="63" t="n">
        <f aca="false">IF(LEFT(Cockpit!$O$5,1)="A",H1686,IF(CI1686=1,(CL1686+CJ1686)/2,IF(LEFT(Cockpit!$O$5,1)="B",(CL1686+BG1686)/2,MAX((CL1686+BG1686)/2,H1686))))</f>
        <v>1</v>
      </c>
      <c r="BF1686" s="62" t="n">
        <f aca="false">BE1686*G1686</f>
        <v>198.07</v>
      </c>
      <c r="BG1686" s="62" t="n">
        <f aca="false">ROUNDUP(CL1686+MAX(CM1686,2*(J1686/IF(CH1686&gt;0,CH1686,MAX(0.1,N(Cockpit!$O$6)))-CL1686)),0)</f>
        <v>2</v>
      </c>
      <c r="BH1686" s="63" t="n">
        <f aca="false">IF(BD1686&gt;0,J1686/BD1686,-1)</f>
        <v>0</v>
      </c>
      <c r="BI1686" s="63" t="n">
        <f aca="false">IF(AND(OR(CG1686="L1",CG1686="L23",CG1686="LIFT"),BD1686&gt;0),SUMIFS($BD$7:$BD$1843,$CG$7:$CG$1843,CG1686,$BH$7:$BH$1843,"&gt;"&amp;BH1686)+SUMIFS($BD$7:$BD$1843,$CG$7:$CG$1843,CG1686,$BH$7:$BH$1843,BH1686,$BX$7:$BX$1843,"&lt;="&amp;BX1686),"")</f>
        <v>32411.6112663231</v>
      </c>
      <c r="BJ1686" s="70" t="n">
        <f aca="false">IF(BI1686="",0,MAX(0,MIN(1,(IF(CG1686="L1",Parameter!$H$5,IF(CG1686="L23",Parameter!$H$6+Parameter!$H$7,Parameter!$H$5+Parameter!$H$6+Parameter!$H$7))-(BI1686-BD1686))/BD1686)))</f>
        <v>1</v>
      </c>
      <c r="BK1686" s="60" t="str">
        <f aca="false">IF(AJ1686&lt;=0,"",IF(CG1686="Aussen","Aussenlager",IF(CG1686="-","Nicht im Lift",IF(AP1686&gt;=1,"Lift",IF(AP1686&lt;=0,"Aussenlager","teilweise")))))</f>
        <v>Lift</v>
      </c>
      <c r="BL1686" s="60" t="str">
        <f aca="false">IF(AT1686&lt;=0,"",IF(CG1686="Aussen","Aussenlager",IF(CG1686="-","Nicht im Lift",IF(AZ1686&gt;=1,"Lift",IF(AZ1686&lt;=0,"Aussenlager","teilweise")))))</f>
        <v>Aussenlager</v>
      </c>
      <c r="BM1686" s="60" t="str">
        <f aca="false">IF(BD1686&lt;=0,"",IF(CG1686="Aussen","Aussenlager",IF(CG1686="-","Nicht im Lift",IF(BJ1686&gt;=1,"Lift",IF(BJ1686&lt;=0,"Aussenlager","teilweise")))))</f>
        <v>Lift</v>
      </c>
      <c r="BN1686" s="60" t="str">
        <f aca="false">IF(A1686="","",IF(BW1686=1,"Neu; ","")&amp;IF(AND(BW1686=0,BR1686&lt;0),"negativer Bestand (Export "&amp;BR1686&amp;"); ","")&amp;IF(J1686&lt;=0,"Kein Verbrauch; ","")&amp;IF(CR1686&gt;0,"Lift "&amp;W1686&amp;" lt. Liftbericht (Fach "&amp;X1686&amp;" Stk); ",IF(CB1686=1,"Gebinde geschätzt ("&amp;T1686&amp;"); ",IF(CA1686=1,"Lose – Tablare geschätzt; ","")))&amp;IF(H1686&gt;AW1686,"Überbestand "&amp;ROUND(H1686-AW1686,0)&amp;" Stk / CHF "&amp;ROUND((H1686-AW1686)*G1686,0)&amp;"; ","")&amp;IF(AND(CI1686=1,CJ1686&lt;CK1686),"MAX &lt; MB+LG; ","")&amp;IF(AND(CQ1686&gt;0,CP1686*10&gt;CQ1686),"zu hoch für Tablar; ","")&amp;IF(AND(BW1686=0,OR(CI1686=1,AB1686&lt;&gt;"",U1686&lt;&gt;"",V1686&lt;&gt;"",AC1686&lt;&gt;"")),"manuell übersteuert; ","")&amp;IF(AND(CA1686=0,R1686=0),"Gebinde unbekannt / Stellmass fehlt; ","")&amp;IF(AND(CA1686=0,N(V1686)&lt;=0,N(Q1686)&lt;=0),"Menge pro Gebinde fehlt (Ist = 1 Gebinde); ","")&amp;BV1686)</f>
        <v>Kein Verbrauch; Überbestand 1 Stk / CHF 198; nur im Artikelstamm (Bestand 23.06.2026); Neuer Art.</v>
      </c>
      <c r="BO1686" s="60"/>
      <c r="BP1686" s="60"/>
      <c r="BQ1686" s="67"/>
      <c r="BR1686" s="62" t="n">
        <v>3</v>
      </c>
      <c r="BS1686" s="62" t="n">
        <v>0</v>
      </c>
      <c r="BT1686" s="61" t="n">
        <v>0</v>
      </c>
      <c r="BU1686" s="62" t="n">
        <v>0</v>
      </c>
      <c r="BV1686" s="60" t="s">
        <v>2915</v>
      </c>
      <c r="BW1686" s="65" t="n">
        <v>0</v>
      </c>
      <c r="BX1686" s="65" t="n">
        <v>1686</v>
      </c>
      <c r="BY1686" s="60" t="str">
        <f aca="false">IF(U1686&lt;&gt;"",UPPER(TRIM(U1686)),IF(CB1686=1,UPPER(VLOOKUP(T1686,Parameter!$I$27:$K$29,2,0)),IF(P1686="","LOSE",P1686)))</f>
        <v>S61</v>
      </c>
      <c r="BZ1686" s="62" t="n">
        <f aca="false">IF(BY1686="LOSE",1,IF(N(V1686)&gt;0,V1686,IF(CB1686=1,MAX(1,N(VLOOKUP(T1686,Parameter!$I$27:$K$29,3,0)),H1686,N(N1686)),IF(N(Q1686)&gt;0,Q1686,MAX(1,H1686)))))</f>
        <v>5</v>
      </c>
      <c r="CA1686" s="65" t="n">
        <f aca="false">IF(BY1686="LOSE",1,0)</f>
        <v>0</v>
      </c>
      <c r="CB1686" s="65" t="n">
        <f aca="false">IF(AND(U1686="",OR(P1686="",P1686="LOSE"),T1686&lt;&gt;"",N(S1686)&lt;=0,ISNUMBER(MATCH(T1686,Parameter!$I$27:$I$29,0))),1,0)</f>
        <v>0</v>
      </c>
      <c r="CC1686" s="65" t="n">
        <f aca="false">IF(CR1686&gt;0,INDEX(Parameter!$H$5:$H$7,W1686)/INDEX(Parameter!$E$5:$E$7,W1686),IF(AND(CA1686=0,N(IFERROR(VLOOKUP(BY1686,'Gebinde-Kategorie'!$A$5:$N$45,14,0),0))&gt;0),VLOOKUP(BY1686,'Gebinde-Kategorie'!$A$5:$N$45,14,0)*10+Parameter!$M$23,Parameter!$M$24))</f>
        <v>145</v>
      </c>
      <c r="CD1686" s="60" t="str">
        <f aca="false">IF(AND(Parameter!$B$19="Ja",E1686&lt;&gt;"",ISNUMBER(MATCH(E1686,Parameter!$I$35:$I$52,0))),VLOOKUP(E1686,Parameter!$I$35:$J$52,2,0),IFERROR(VLOOKUP(D1686,Parameter!$A$35:$C$64,2,0),"Nein"))</f>
        <v>2+3</v>
      </c>
      <c r="CE1686" s="64" t="n">
        <f aca="false">IF(CA1686=0,0,IF(N(S1686)&gt;0,S1686,IFERROR(VLOOKUP(D1686,Parameter!$A$35:$C$64,3,0)+0,0)))</f>
        <v>0</v>
      </c>
      <c r="CF1686" s="60" t="n">
        <f aca="false">IF(AB1686&lt;&gt;"",AB1686,AA1686)</f>
        <v>3</v>
      </c>
      <c r="CG1686" s="60" t="str">
        <f aca="false">IF(OR(CF1686=1,CF1686=2,CF1686=3),IF(Parameter!$E$27="Ja","LIFT",IF(CF1686=1,"L1","L23")),IF(CF1686="Aussen","Aussen","-"))</f>
        <v>LIFT</v>
      </c>
      <c r="CH1686" s="71" t="n">
        <f aca="false">IF(N(AC1686)&gt;0,AC1686,0)</f>
        <v>0</v>
      </c>
      <c r="CI1686" s="65" t="n">
        <f aca="false">IF(ISNUMBER(AF1686),1,0)</f>
        <v>0</v>
      </c>
      <c r="CJ1686" s="62" t="n">
        <f aca="false">N(AF1686)</f>
        <v>0</v>
      </c>
      <c r="CK1686" s="62" t="n">
        <f aca="false">N(M1686)+N(N1686)</f>
        <v>2</v>
      </c>
      <c r="CL1686" s="62" t="n">
        <f aca="false">N(M1686)</f>
        <v>0</v>
      </c>
      <c r="CM1686" s="62" t="n">
        <f aca="false">N(N1686)</f>
        <v>2</v>
      </c>
      <c r="CN1686" s="62" t="n">
        <f aca="false">ROUNDUP(H1686/BZ1686,0)</f>
        <v>1</v>
      </c>
      <c r="CO1686" s="62" t="n">
        <f aca="false">ROUNDUP(CJ1686/BZ1686,0)</f>
        <v>0</v>
      </c>
      <c r="CP1686" s="65" t="n">
        <f aca="false">IF(CA1686=1,0,IFERROR(VLOOKUP(BY1686,'Gebinde-Kategorie'!$A$5:$N$45,5,0)+0,0))</f>
        <v>11</v>
      </c>
      <c r="CQ1686" s="65" t="n">
        <f aca="false">IFERROR(IF(OR(CF1686=1,CF1686=2,CF1686=3),N(INDEX(Parameter!$I$5:$I$7,CF1686)),0),0)</f>
        <v>0</v>
      </c>
      <c r="CR1686" s="64" t="n">
        <f aca="false">IF(AND(Parameter!$B$21="Ja",ISNUMBER(W1686),N(X1686)&gt;0),IFERROR(N(INDEX(Parameter!$L$5:$L$7,W1686))*INDEX(Parameter!$E$5:$E$7,W1686)*X1686/SUMIFS($X$7:$X$1843,$W$7:$W$1843,W1686),0),0)</f>
        <v>0</v>
      </c>
      <c r="CS1686" s="62" t="n">
        <f aca="false">IF(AND(OR(CG1686="L1",CG1686="L23",CG1686="LIFT"),H1686&gt;0),CC1686*IF(CR1686&gt;0,CR1686*MAX(1,H1686/X1686),IF(CA1686=1,CE1686,IF(R1686&gt;0,CN1686/R1686,0))/MAX(0.1,N(Parameter!$M$21))),"")</f>
        <v>12.0833333333333</v>
      </c>
      <c r="CT1686" s="64" t="n">
        <f aca="false">IF(CS1686="","",J1686/H1686)</f>
        <v>0</v>
      </c>
      <c r="CU1686" s="62" t="n">
        <f aca="false">IF(CS1686="","",H1686*G1686)</f>
        <v>594.21</v>
      </c>
      <c r="CV1686" s="63" t="n">
        <f aca="false">IF(CS1686="","",(CL1686+ROUNDUP(CL1686+MAX(CM1686,2*(J1686/MAX(0.1,N(Einkauf!$C$6))-CL1686)),0))/2)</f>
        <v>1</v>
      </c>
      <c r="CW1686" s="62" t="n">
        <f aca="false">IF(CS1686="","",MAX(0,H1686-CV1686)*G1686)</f>
        <v>396.14</v>
      </c>
      <c r="CX1686" s="62" t="n">
        <f aca="false">IF(CS1686="","",CS1686*MAX(0,1-CV1686/H1686))</f>
        <v>8.05555555555556</v>
      </c>
      <c r="CY1686" s="64" t="n">
        <f aca="false">IF(CS1686="","",PERCENTRANK($CS$7:$CS$1843,CS1686)+PERCENTRANK($CU$7:$CU$1843,CU1686)+1-PERCENTRANK($CT$7:$CT$1843,CT1686))</f>
        <v>2.208</v>
      </c>
      <c r="CZ1686" s="72" t="n">
        <f aca="false">IF(CS1686="","",CHOOSE(MATCH(Einkauf!$C$5,Parameter!$G$23:$G$27,0),CY1686,CS1686,CU1686,-CT1686,CW1686)+ROW()/1000000000)</f>
        <v>2.208001686</v>
      </c>
    </row>
    <row r="1687" customFormat="false" ht="15" hidden="false" customHeight="false" outlineLevel="0" collapsed="false">
      <c r="A1687" s="60" t="s">
        <v>2964</v>
      </c>
      <c r="B1687" s="60" t="s">
        <v>2965</v>
      </c>
      <c r="C1687" s="60" t="s">
        <v>206</v>
      </c>
      <c r="D1687" s="60" t="s">
        <v>215</v>
      </c>
      <c r="E1687" s="60"/>
      <c r="F1687" s="60"/>
      <c r="G1687" s="61" t="n">
        <v>230</v>
      </c>
      <c r="H1687" s="62" t="n">
        <f aca="false">MAX(0,IF(AND(Parameter!$B$21="Ja",ISNUMBER(Y1687)),Y1687,IF(Parameter!$B$20="Jahresanfang 2025 + Export",BS1687+BR1687,BR1687)))</f>
        <v>6</v>
      </c>
      <c r="I1687" s="62" t="n">
        <f aca="false">H1687*G1687</f>
        <v>1380</v>
      </c>
      <c r="J1687" s="62" t="n">
        <f aca="false">BU1687*Parameter!$B$18</f>
        <v>0</v>
      </c>
      <c r="K1687" s="63"/>
      <c r="L1687" s="64"/>
      <c r="M1687" s="62" t="n">
        <v>0</v>
      </c>
      <c r="N1687" s="62" t="n">
        <v>6</v>
      </c>
      <c r="O1687" s="65" t="n">
        <v>49</v>
      </c>
      <c r="P1687" s="60" t="s">
        <v>228</v>
      </c>
      <c r="Q1687" s="62" t="n">
        <v>5</v>
      </c>
      <c r="R1687" s="65" t="n">
        <f aca="false">IF(CA1687=1,0,IFERROR(VLOOKUP(BY1687,'Gebinde-Kategorie'!$A$5:$N$45,13,0)+0,0))</f>
        <v>12</v>
      </c>
      <c r="S1687" s="66"/>
      <c r="T1687" s="67"/>
      <c r="U1687" s="67"/>
      <c r="V1687" s="67"/>
      <c r="W1687" s="60"/>
      <c r="X1687" s="62"/>
      <c r="Y1687" s="62"/>
      <c r="Z1687" s="60" t="n">
        <v>3</v>
      </c>
      <c r="AA1687" s="60" t="n">
        <f aca="false">IF(A1687="","",IF(AND(Parameter!$B$21="Ja",ISNUMBER(W1687)),W1687,IF(AND(Parameter!$E$27="Ja",ISNUMBER(Z1687),CD1687&lt;&gt;"Nein"),Z1687,IF(CD1687="2+3",IF(ISNUMBER(SEARCH("grosser Artikel",BV1687)),2,IFERROR(VLOOKUP(BY1687,Parameter!$F$35:$G$64,2,0),2)),IF(OR(CD1687="Nein",CD1687=""),"-",CD1687)))))</f>
        <v>3</v>
      </c>
      <c r="AB1687" s="67"/>
      <c r="AC1687" s="68"/>
      <c r="AD1687" s="62" t="n">
        <f aca="false">AW1687</f>
        <v>6</v>
      </c>
      <c r="AE1687" s="62" t="n">
        <f aca="false">MAX(AW1687,H1687)</f>
        <v>6</v>
      </c>
      <c r="AF1687" s="69"/>
      <c r="AG1687" s="62" t="n">
        <f aca="false">IF(LEFT(Cockpit!$C$5,1)="A",H1687,IF(Parameter!$E$30="MAX-Bestand",IF(CI1687=1,CJ1687,IF(LEFT(Cockpit!$C$5,1)="B",AM1687,MAX(AM1687,H1687))),ROUNDUP(AK1687,0)))</f>
        <v>6</v>
      </c>
      <c r="AH1687" s="62" t="n">
        <f aca="false">IF(CA1687=1,0,ROUNDUP(AG1687/BZ1687,0))</f>
        <v>2</v>
      </c>
      <c r="AI1687" s="64" t="n">
        <f aca="false">IF(CR1687&gt;0,CR1687*MAX(1,AG1687/X1687),IF(CA1687=1,IF(AG1687&lt;=0,0,CE1687*MAX(1,IF(H1687&gt;0,AG1687/H1687,1))),IF(R1687&gt;0,AH1687/R1687,0))/MAX(0.1,N(Parameter!$M$21)))</f>
        <v>0.166666666666667</v>
      </c>
      <c r="AJ1687" s="62" t="n">
        <f aca="false">AI1687*CC1687</f>
        <v>24.1666666666667</v>
      </c>
      <c r="AK1687" s="63" t="n">
        <f aca="false">IF(LEFT(Cockpit!$C$5,1)="A",H1687,IF(CI1687=1,(CL1687+CJ1687)/2,IF(LEFT(Cockpit!$C$5,1)="B",(CL1687+AM1687)/2,MAX((CL1687+AM1687)/2,H1687))))</f>
        <v>6</v>
      </c>
      <c r="AL1687" s="62" t="n">
        <f aca="false">AK1687*G1687</f>
        <v>1380</v>
      </c>
      <c r="AM1687" s="62" t="n">
        <f aca="false">ROUNDUP(CL1687+MAX(CM1687,2*(J1687/IF(CH1687&gt;0,CH1687,MAX(0.1,N(Cockpit!$C$6)))-CL1687)),0)</f>
        <v>6</v>
      </c>
      <c r="AN1687" s="63" t="n">
        <f aca="false">IF(AJ1687&gt;0,J1687/AJ1687,-1)</f>
        <v>0</v>
      </c>
      <c r="AO1687" s="63" t="n">
        <f aca="false">IF(AND(OR(CG1687="L1",CG1687="L23",CG1687="LIFT"),AJ1687&gt;0),SUMIFS($AJ$7:$AJ$1843,$CG$7:$CG$1843,CG1687,$AN$7:$AN$1843,"&gt;"&amp;AN1687)+SUMIFS($AJ$7:$AJ$1843,$CG$7:$CG$1843,CG1687,$AN$7:$AN$1843,AN1687,$BX$7:$BX$1843,"&lt;="&amp;BX1687),"")</f>
        <v>32701.1717602078</v>
      </c>
      <c r="AP1687" s="70" t="n">
        <f aca="false">IF(AO1687="",0,MAX(0,MIN(1,(IF(CG1687="L1",Parameter!$H$5,IF(CG1687="L23",Parameter!$H$6+Parameter!$H$7,Parameter!$H$5+Parameter!$H$6+Parameter!$H$7))-(AO1687-AJ1687))/AJ1687)))</f>
        <v>1</v>
      </c>
      <c r="AQ1687" s="62" t="n">
        <f aca="false">IF(LEFT(Cockpit!$I$5,1)="A",H1687,IF(Parameter!$E$30="MAX-Bestand",IF(CI1687=1,CJ1687,IF(LEFT(Cockpit!$I$5,1)="B",AW1687,MAX(AW1687,H1687))),ROUNDUP(AU1687,0)))</f>
        <v>6</v>
      </c>
      <c r="AR1687" s="62" t="n">
        <f aca="false">IF(CA1687=1,0,ROUNDUP(AQ1687/BZ1687,0))</f>
        <v>2</v>
      </c>
      <c r="AS1687" s="64" t="n">
        <f aca="false">IF(CR1687&gt;0,CR1687*MAX(1,AQ1687/X1687),IF(CA1687=1,IF(AQ1687&lt;=0,0,CE1687*MAX(1,IF(H1687&gt;0,AQ1687/H1687,1))),IF(R1687&gt;0,AR1687/R1687,0))/MAX(0.1,N(Parameter!$M$21)))</f>
        <v>0.166666666666667</v>
      </c>
      <c r="AT1687" s="62" t="n">
        <f aca="false">AS1687*CC1687</f>
        <v>24.1666666666667</v>
      </c>
      <c r="AU1687" s="63" t="n">
        <f aca="false">IF(LEFT(Cockpit!$I$5,1)="A",H1687,IF(CI1687=1,(CL1687+CJ1687)/2,IF(LEFT(Cockpit!$I$5,1)="B",(CL1687+AW1687)/2,MAX((CL1687+AW1687)/2,H1687))))</f>
        <v>6</v>
      </c>
      <c r="AV1687" s="62" t="n">
        <f aca="false">AU1687*G1687</f>
        <v>1380</v>
      </c>
      <c r="AW1687" s="62" t="n">
        <f aca="false">ROUNDUP(CL1687+MAX(CM1687,2*(J1687/IF(CH1687&gt;0,CH1687,MAX(0.1,N(Cockpit!$I$6)))-CL1687)),0)</f>
        <v>6</v>
      </c>
      <c r="AX1687" s="63" t="n">
        <f aca="false">IF(AT1687&gt;0,J1687/AT1687,-1)</f>
        <v>0</v>
      </c>
      <c r="AY1687" s="63" t="n">
        <f aca="false">IF(AND(OR(CG1687="L1",CG1687="L23",CG1687="LIFT"),AT1687&gt;0),SUMIFS($AT$7:$AT$1843,$CG$7:$CG$1843,CG1687,$AX$7:$AX$1843,"&gt;"&amp;AX1687)+SUMIFS($AT$7:$AT$1843,$CG$7:$CG$1843,CG1687,$AX$7:$AX$1843,AX1687,$BX$7:$BX$1843,"&lt;="&amp;BX1687),"")</f>
        <v>39173.4199907908</v>
      </c>
      <c r="AZ1687" s="70" t="n">
        <f aca="false">IF(AY1687="",0,MAX(0,MIN(1,(IF(CG1687="L1",Parameter!$H$5,IF(CG1687="L23",Parameter!$H$6+Parameter!$H$7,Parameter!$H$5+Parameter!$H$6+Parameter!$H$7))-(AY1687-AT1687))/AT1687)))</f>
        <v>0</v>
      </c>
      <c r="BA1687" s="62" t="n">
        <f aca="false">IF(LEFT(Cockpit!$O$5,1)="A",H1687,IF(Parameter!$E$30="MAX-Bestand",IF(CI1687=1,CJ1687,IF(LEFT(Cockpit!$O$5,1)="B",BG1687,MAX(BG1687,H1687))),ROUNDUP(BE1687,0)))</f>
        <v>3</v>
      </c>
      <c r="BB1687" s="62" t="n">
        <f aca="false">IF(CA1687=1,0,ROUNDUP(BA1687/BZ1687,0))</f>
        <v>1</v>
      </c>
      <c r="BC1687" s="64" t="n">
        <f aca="false">IF(CR1687&gt;0,CR1687*MAX(1,BA1687/X1687),IF(CA1687=1,IF(BA1687&lt;=0,0,CE1687*MAX(1,IF(H1687&gt;0,BA1687/H1687,1))),IF(R1687&gt;0,BB1687/R1687,0))/MAX(0.1,N(Parameter!$M$21)))</f>
        <v>0.0833333333333333</v>
      </c>
      <c r="BD1687" s="62" t="n">
        <f aca="false">BC1687*CC1687</f>
        <v>12.0833333333333</v>
      </c>
      <c r="BE1687" s="63" t="n">
        <f aca="false">IF(LEFT(Cockpit!$O$5,1)="A",H1687,IF(CI1687=1,(CL1687+CJ1687)/2,IF(LEFT(Cockpit!$O$5,1)="B",(CL1687+BG1687)/2,MAX((CL1687+BG1687)/2,H1687))))</f>
        <v>3</v>
      </c>
      <c r="BF1687" s="62" t="n">
        <f aca="false">BE1687*G1687</f>
        <v>690</v>
      </c>
      <c r="BG1687" s="62" t="n">
        <f aca="false">ROUNDUP(CL1687+MAX(CM1687,2*(J1687/IF(CH1687&gt;0,CH1687,MAX(0.1,N(Cockpit!$O$6)))-CL1687)),0)</f>
        <v>6</v>
      </c>
      <c r="BH1687" s="63" t="n">
        <f aca="false">IF(BD1687&gt;0,J1687/BD1687,-1)</f>
        <v>0</v>
      </c>
      <c r="BI1687" s="63" t="n">
        <f aca="false">IF(AND(OR(CG1687="L1",CG1687="L23",CG1687="LIFT"),BD1687&gt;0),SUMIFS($BD$7:$BD$1843,$CG$7:$CG$1843,CG1687,$BH$7:$BH$1843,"&gt;"&amp;BH1687)+SUMIFS($BD$7:$BD$1843,$CG$7:$CG$1843,CG1687,$BH$7:$BH$1843,BH1687,$BX$7:$BX$1843,"&lt;="&amp;BX1687),"")</f>
        <v>32423.6945996565</v>
      </c>
      <c r="BJ1687" s="70" t="n">
        <f aca="false">IF(BI1687="",0,MAX(0,MIN(1,(IF(CG1687="L1",Parameter!$H$5,IF(CG1687="L23",Parameter!$H$6+Parameter!$H$7,Parameter!$H$5+Parameter!$H$6+Parameter!$H$7))-(BI1687-BD1687))/BD1687)))</f>
        <v>1</v>
      </c>
      <c r="BK1687" s="60" t="str">
        <f aca="false">IF(AJ1687&lt;=0,"",IF(CG1687="Aussen","Aussenlager",IF(CG1687="-","Nicht im Lift",IF(AP1687&gt;=1,"Lift",IF(AP1687&lt;=0,"Aussenlager","teilweise")))))</f>
        <v>Lift</v>
      </c>
      <c r="BL1687" s="60" t="str">
        <f aca="false">IF(AT1687&lt;=0,"",IF(CG1687="Aussen","Aussenlager",IF(CG1687="-","Nicht im Lift",IF(AZ1687&gt;=1,"Lift",IF(AZ1687&lt;=0,"Aussenlager","teilweise")))))</f>
        <v>Aussenlager</v>
      </c>
      <c r="BM1687" s="60" t="str">
        <f aca="false">IF(BD1687&lt;=0,"",IF(CG1687="Aussen","Aussenlager",IF(CG1687="-","Nicht im Lift",IF(BJ1687&gt;=1,"Lift",IF(BJ1687&lt;=0,"Aussenlager","teilweise")))))</f>
        <v>Lift</v>
      </c>
      <c r="BN1687" s="60" t="str">
        <f aca="false">IF(A1687="","",IF(BW1687=1,"Neu; ","")&amp;IF(AND(BW1687=0,BR1687&lt;0),"negativer Bestand (Export "&amp;BR1687&amp;"); ","")&amp;IF(J1687&lt;=0,"Kein Verbrauch; ","")&amp;IF(CR1687&gt;0,"Lift "&amp;W1687&amp;" lt. Liftbericht (Fach "&amp;X1687&amp;" Stk); ",IF(CB1687=1,"Gebinde geschätzt ("&amp;T1687&amp;"); ",IF(CA1687=1,"Lose – Tablare geschätzt; ","")))&amp;IF(H1687&gt;AW1687,"Überbestand "&amp;ROUND(H1687-AW1687,0)&amp;" Stk / CHF "&amp;ROUND((H1687-AW1687)*G1687,0)&amp;"; ","")&amp;IF(AND(CI1687=1,CJ1687&lt;CK1687),"MAX &lt; MB+LG; ","")&amp;IF(AND(CQ1687&gt;0,CP1687*10&gt;CQ1687),"zu hoch für Tablar; ","")&amp;IF(AND(BW1687=0,OR(CI1687=1,AB1687&lt;&gt;"",U1687&lt;&gt;"",V1687&lt;&gt;"",AC1687&lt;&gt;"")),"manuell übersteuert; ","")&amp;IF(AND(CA1687=0,R1687=0),"Gebinde unbekannt / Stellmass fehlt; ","")&amp;IF(AND(CA1687=0,N(V1687)&lt;=0,N(Q1687)&lt;=0),"Menge pro Gebinde fehlt (Ist = 1 Gebinde); ","")&amp;BV1687)</f>
        <v>Kein Verbrauch; nur im Artikelstamm (Bestand 23.06.2026)</v>
      </c>
      <c r="BO1687" s="60"/>
      <c r="BP1687" s="60"/>
      <c r="BQ1687" s="67"/>
      <c r="BR1687" s="62" t="n">
        <v>6</v>
      </c>
      <c r="BS1687" s="62" t="n">
        <v>0</v>
      </c>
      <c r="BT1687" s="61" t="n">
        <v>0</v>
      </c>
      <c r="BU1687" s="62" t="n">
        <v>0</v>
      </c>
      <c r="BV1687" s="60" t="s">
        <v>2617</v>
      </c>
      <c r="BW1687" s="65" t="n">
        <v>0</v>
      </c>
      <c r="BX1687" s="65" t="n">
        <v>1687</v>
      </c>
      <c r="BY1687" s="60" t="str">
        <f aca="false">IF(U1687&lt;&gt;"",UPPER(TRIM(U1687)),IF(CB1687=1,UPPER(VLOOKUP(T1687,Parameter!$I$27:$K$29,2,0)),IF(P1687="","LOSE",P1687)))</f>
        <v>S61</v>
      </c>
      <c r="BZ1687" s="62" t="n">
        <f aca="false">IF(BY1687="LOSE",1,IF(N(V1687)&gt;0,V1687,IF(CB1687=1,MAX(1,N(VLOOKUP(T1687,Parameter!$I$27:$K$29,3,0)),H1687,N(N1687)),IF(N(Q1687)&gt;0,Q1687,MAX(1,H1687)))))</f>
        <v>5</v>
      </c>
      <c r="CA1687" s="65" t="n">
        <f aca="false">IF(BY1687="LOSE",1,0)</f>
        <v>0</v>
      </c>
      <c r="CB1687" s="65" t="n">
        <f aca="false">IF(AND(U1687="",OR(P1687="",P1687="LOSE"),T1687&lt;&gt;"",N(S1687)&lt;=0,ISNUMBER(MATCH(T1687,Parameter!$I$27:$I$29,0))),1,0)</f>
        <v>0</v>
      </c>
      <c r="CC1687" s="65" t="n">
        <f aca="false">IF(CR1687&gt;0,INDEX(Parameter!$H$5:$H$7,W1687)/INDEX(Parameter!$E$5:$E$7,W1687),IF(AND(CA1687=0,N(IFERROR(VLOOKUP(BY1687,'Gebinde-Kategorie'!$A$5:$N$45,14,0),0))&gt;0),VLOOKUP(BY1687,'Gebinde-Kategorie'!$A$5:$N$45,14,0)*10+Parameter!$M$23,Parameter!$M$24))</f>
        <v>145</v>
      </c>
      <c r="CD1687" s="60" t="str">
        <f aca="false">IF(AND(Parameter!$B$19="Ja",E1687&lt;&gt;"",ISNUMBER(MATCH(E1687,Parameter!$I$35:$I$52,0))),VLOOKUP(E1687,Parameter!$I$35:$J$52,2,0),IFERROR(VLOOKUP(D1687,Parameter!$A$35:$C$64,2,0),"Nein"))</f>
        <v>2+3</v>
      </c>
      <c r="CE1687" s="64" t="n">
        <f aca="false">IF(CA1687=0,0,IF(N(S1687)&gt;0,S1687,IFERROR(VLOOKUP(D1687,Parameter!$A$35:$C$64,3,0)+0,0)))</f>
        <v>0</v>
      </c>
      <c r="CF1687" s="60" t="n">
        <f aca="false">IF(AB1687&lt;&gt;"",AB1687,AA1687)</f>
        <v>3</v>
      </c>
      <c r="CG1687" s="60" t="str">
        <f aca="false">IF(OR(CF1687=1,CF1687=2,CF1687=3),IF(Parameter!$E$27="Ja","LIFT",IF(CF1687=1,"L1","L23")),IF(CF1687="Aussen","Aussen","-"))</f>
        <v>LIFT</v>
      </c>
      <c r="CH1687" s="71" t="n">
        <f aca="false">IF(N(AC1687)&gt;0,AC1687,0)</f>
        <v>0</v>
      </c>
      <c r="CI1687" s="65" t="n">
        <f aca="false">IF(ISNUMBER(AF1687),1,0)</f>
        <v>0</v>
      </c>
      <c r="CJ1687" s="62" t="n">
        <f aca="false">N(AF1687)</f>
        <v>0</v>
      </c>
      <c r="CK1687" s="62" t="n">
        <f aca="false">N(M1687)+N(N1687)</f>
        <v>6</v>
      </c>
      <c r="CL1687" s="62" t="n">
        <f aca="false">N(M1687)</f>
        <v>0</v>
      </c>
      <c r="CM1687" s="62" t="n">
        <f aca="false">N(N1687)</f>
        <v>6</v>
      </c>
      <c r="CN1687" s="62" t="n">
        <f aca="false">ROUNDUP(H1687/BZ1687,0)</f>
        <v>2</v>
      </c>
      <c r="CO1687" s="62" t="n">
        <f aca="false">ROUNDUP(CJ1687/BZ1687,0)</f>
        <v>0</v>
      </c>
      <c r="CP1687" s="65" t="n">
        <f aca="false">IF(CA1687=1,0,IFERROR(VLOOKUP(BY1687,'Gebinde-Kategorie'!$A$5:$N$45,5,0)+0,0))</f>
        <v>11</v>
      </c>
      <c r="CQ1687" s="65" t="n">
        <f aca="false">IFERROR(IF(OR(CF1687=1,CF1687=2,CF1687=3),N(INDEX(Parameter!$I$5:$I$7,CF1687)),0),0)</f>
        <v>0</v>
      </c>
      <c r="CR1687" s="64" t="n">
        <f aca="false">IF(AND(Parameter!$B$21="Ja",ISNUMBER(W1687),N(X1687)&gt;0),IFERROR(N(INDEX(Parameter!$L$5:$L$7,W1687))*INDEX(Parameter!$E$5:$E$7,W1687)*X1687/SUMIFS($X$7:$X$1843,$W$7:$W$1843,W1687),0),0)</f>
        <v>0</v>
      </c>
      <c r="CS1687" s="62" t="n">
        <f aca="false">IF(AND(OR(CG1687="L1",CG1687="L23",CG1687="LIFT"),H1687&gt;0),CC1687*IF(CR1687&gt;0,CR1687*MAX(1,H1687/X1687),IF(CA1687=1,CE1687,IF(R1687&gt;0,CN1687/R1687,0))/MAX(0.1,N(Parameter!$M$21))),"")</f>
        <v>24.1666666666667</v>
      </c>
      <c r="CT1687" s="64" t="n">
        <f aca="false">IF(CS1687="","",J1687/H1687)</f>
        <v>0</v>
      </c>
      <c r="CU1687" s="62" t="n">
        <f aca="false">IF(CS1687="","",H1687*G1687)</f>
        <v>1380</v>
      </c>
      <c r="CV1687" s="63" t="n">
        <f aca="false">IF(CS1687="","",(CL1687+ROUNDUP(CL1687+MAX(CM1687,2*(J1687/MAX(0.1,N(Einkauf!$C$6))-CL1687)),0))/2)</f>
        <v>3</v>
      </c>
      <c r="CW1687" s="62" t="n">
        <f aca="false">IF(CS1687="","",MAX(0,H1687-CV1687)*G1687)</f>
        <v>690</v>
      </c>
      <c r="CX1687" s="62" t="n">
        <f aca="false">IF(CS1687="","",CS1687*MAX(0,1-CV1687/H1687))</f>
        <v>12.0833333333333</v>
      </c>
      <c r="CY1687" s="64" t="n">
        <f aca="false">IF(CS1687="","",PERCENTRANK($CS$7:$CS$1843,CS1687)+PERCENTRANK($CU$7:$CU$1843,CU1687)+1-PERCENTRANK($CT$7:$CT$1843,CT1687))</f>
        <v>2.517</v>
      </c>
      <c r="CZ1687" s="72" t="n">
        <f aca="false">IF(CS1687="","",CHOOSE(MATCH(Einkauf!$C$5,Parameter!$G$23:$G$27,0),CY1687,CS1687,CU1687,-CT1687,CW1687)+ROW()/1000000000)</f>
        <v>2.517001687</v>
      </c>
    </row>
    <row r="1688" customFormat="false" ht="15" hidden="false" customHeight="false" outlineLevel="0" collapsed="false">
      <c r="A1688" s="60" t="s">
        <v>2966</v>
      </c>
      <c r="B1688" s="60" t="s">
        <v>2967</v>
      </c>
      <c r="C1688" s="60" t="s">
        <v>206</v>
      </c>
      <c r="D1688" s="60" t="s">
        <v>215</v>
      </c>
      <c r="E1688" s="60"/>
      <c r="F1688" s="60"/>
      <c r="G1688" s="61" t="n">
        <v>250</v>
      </c>
      <c r="H1688" s="62" t="n">
        <f aca="false">MAX(0,IF(AND(Parameter!$B$21="Ja",ISNUMBER(Y1688)),Y1688,IF(Parameter!$B$20="Jahresanfang 2025 + Export",BS1688+BR1688,BR1688)))</f>
        <v>3</v>
      </c>
      <c r="I1688" s="62" t="n">
        <f aca="false">H1688*G1688</f>
        <v>750</v>
      </c>
      <c r="J1688" s="62" t="n">
        <f aca="false">BU1688*Parameter!$B$18</f>
        <v>0</v>
      </c>
      <c r="K1688" s="63"/>
      <c r="L1688" s="64"/>
      <c r="M1688" s="62" t="n">
        <v>0</v>
      </c>
      <c r="N1688" s="62" t="n">
        <v>3</v>
      </c>
      <c r="O1688" s="65" t="n">
        <v>49</v>
      </c>
      <c r="P1688" s="60" t="s">
        <v>228</v>
      </c>
      <c r="Q1688" s="62" t="n">
        <v>5</v>
      </c>
      <c r="R1688" s="65" t="n">
        <f aca="false">IF(CA1688=1,0,IFERROR(VLOOKUP(BY1688,'Gebinde-Kategorie'!$A$5:$N$45,13,0)+0,0))</f>
        <v>12</v>
      </c>
      <c r="S1688" s="66"/>
      <c r="T1688" s="67"/>
      <c r="U1688" s="67"/>
      <c r="V1688" s="67"/>
      <c r="W1688" s="60"/>
      <c r="X1688" s="62"/>
      <c r="Y1688" s="62"/>
      <c r="Z1688" s="60" t="n">
        <v>3</v>
      </c>
      <c r="AA1688" s="60" t="n">
        <f aca="false">IF(A1688="","",IF(AND(Parameter!$B$21="Ja",ISNUMBER(W1688)),W1688,IF(AND(Parameter!$E$27="Ja",ISNUMBER(Z1688),CD1688&lt;&gt;"Nein"),Z1688,IF(CD1688="2+3",IF(ISNUMBER(SEARCH("grosser Artikel",BV1688)),2,IFERROR(VLOOKUP(BY1688,Parameter!$F$35:$G$64,2,0),2)),IF(OR(CD1688="Nein",CD1688=""),"-",CD1688)))))</f>
        <v>3</v>
      </c>
      <c r="AB1688" s="67"/>
      <c r="AC1688" s="68"/>
      <c r="AD1688" s="62" t="n">
        <f aca="false">AW1688</f>
        <v>3</v>
      </c>
      <c r="AE1688" s="62" t="n">
        <f aca="false">MAX(AW1688,H1688)</f>
        <v>3</v>
      </c>
      <c r="AF1688" s="69"/>
      <c r="AG1688" s="62" t="n">
        <f aca="false">IF(LEFT(Cockpit!$C$5,1)="A",H1688,IF(Parameter!$E$30="MAX-Bestand",IF(CI1688=1,CJ1688,IF(LEFT(Cockpit!$C$5,1)="B",AM1688,MAX(AM1688,H1688))),ROUNDUP(AK1688,0)))</f>
        <v>3</v>
      </c>
      <c r="AH1688" s="62" t="n">
        <f aca="false">IF(CA1688=1,0,ROUNDUP(AG1688/BZ1688,0))</f>
        <v>1</v>
      </c>
      <c r="AI1688" s="64" t="n">
        <f aca="false">IF(CR1688&gt;0,CR1688*MAX(1,AG1688/X1688),IF(CA1688=1,IF(AG1688&lt;=0,0,CE1688*MAX(1,IF(H1688&gt;0,AG1688/H1688,1))),IF(R1688&gt;0,AH1688/R1688,0))/MAX(0.1,N(Parameter!$M$21)))</f>
        <v>0.0833333333333333</v>
      </c>
      <c r="AJ1688" s="62" t="n">
        <f aca="false">AI1688*CC1688</f>
        <v>12.0833333333333</v>
      </c>
      <c r="AK1688" s="63" t="n">
        <f aca="false">IF(LEFT(Cockpit!$C$5,1)="A",H1688,IF(CI1688=1,(CL1688+CJ1688)/2,IF(LEFT(Cockpit!$C$5,1)="B",(CL1688+AM1688)/2,MAX((CL1688+AM1688)/2,H1688))))</f>
        <v>3</v>
      </c>
      <c r="AL1688" s="62" t="n">
        <f aca="false">AK1688*G1688</f>
        <v>750</v>
      </c>
      <c r="AM1688" s="62" t="n">
        <f aca="false">ROUNDUP(CL1688+MAX(CM1688,2*(J1688/IF(CH1688&gt;0,CH1688,MAX(0.1,N(Cockpit!$C$6)))-CL1688)),0)</f>
        <v>3</v>
      </c>
      <c r="AN1688" s="63" t="n">
        <f aca="false">IF(AJ1688&gt;0,J1688/AJ1688,-1)</f>
        <v>0</v>
      </c>
      <c r="AO1688" s="63" t="n">
        <f aca="false">IF(AND(OR(CG1688="L1",CG1688="L23",CG1688="LIFT"),AJ1688&gt;0),SUMIFS($AJ$7:$AJ$1843,$CG$7:$CG$1843,CG1688,$AN$7:$AN$1843,"&gt;"&amp;AN1688)+SUMIFS($AJ$7:$AJ$1843,$CG$7:$CG$1843,CG1688,$AN$7:$AN$1843,AN1688,$BX$7:$BX$1843,"&lt;="&amp;BX1688),"")</f>
        <v>32713.2550935411</v>
      </c>
      <c r="AP1688" s="70" t="n">
        <f aca="false">IF(AO1688="",0,MAX(0,MIN(1,(IF(CG1688="L1",Parameter!$H$5,IF(CG1688="L23",Parameter!$H$6+Parameter!$H$7,Parameter!$H$5+Parameter!$H$6+Parameter!$H$7))-(AO1688-AJ1688))/AJ1688)))</f>
        <v>1</v>
      </c>
      <c r="AQ1688" s="62" t="n">
        <f aca="false">IF(LEFT(Cockpit!$I$5,1)="A",H1688,IF(Parameter!$E$30="MAX-Bestand",IF(CI1688=1,CJ1688,IF(LEFT(Cockpit!$I$5,1)="B",AW1688,MAX(AW1688,H1688))),ROUNDUP(AU1688,0)))</f>
        <v>3</v>
      </c>
      <c r="AR1688" s="62" t="n">
        <f aca="false">IF(CA1688=1,0,ROUNDUP(AQ1688/BZ1688,0))</f>
        <v>1</v>
      </c>
      <c r="AS1688" s="64" t="n">
        <f aca="false">IF(CR1688&gt;0,CR1688*MAX(1,AQ1688/X1688),IF(CA1688=1,IF(AQ1688&lt;=0,0,CE1688*MAX(1,IF(H1688&gt;0,AQ1688/H1688,1))),IF(R1688&gt;0,AR1688/R1688,0))/MAX(0.1,N(Parameter!$M$21)))</f>
        <v>0.0833333333333333</v>
      </c>
      <c r="AT1688" s="62" t="n">
        <f aca="false">AS1688*CC1688</f>
        <v>12.0833333333333</v>
      </c>
      <c r="AU1688" s="63" t="n">
        <f aca="false">IF(LEFT(Cockpit!$I$5,1)="A",H1688,IF(CI1688=1,(CL1688+CJ1688)/2,IF(LEFT(Cockpit!$I$5,1)="B",(CL1688+AW1688)/2,MAX((CL1688+AW1688)/2,H1688))))</f>
        <v>3</v>
      </c>
      <c r="AV1688" s="62" t="n">
        <f aca="false">AU1688*G1688</f>
        <v>750</v>
      </c>
      <c r="AW1688" s="62" t="n">
        <f aca="false">ROUNDUP(CL1688+MAX(CM1688,2*(J1688/IF(CH1688&gt;0,CH1688,MAX(0.1,N(Cockpit!$I$6)))-CL1688)),0)</f>
        <v>3</v>
      </c>
      <c r="AX1688" s="63" t="n">
        <f aca="false">IF(AT1688&gt;0,J1688/AT1688,-1)</f>
        <v>0</v>
      </c>
      <c r="AY1688" s="63" t="n">
        <f aca="false">IF(AND(OR(CG1688="L1",CG1688="L23",CG1688="LIFT"),AT1688&gt;0),SUMIFS($AT$7:$AT$1843,$CG$7:$CG$1843,CG1688,$AX$7:$AX$1843,"&gt;"&amp;AX1688)+SUMIFS($AT$7:$AT$1843,$CG$7:$CG$1843,CG1688,$AX$7:$AX$1843,AX1688,$BX$7:$BX$1843,"&lt;="&amp;BX1688),"")</f>
        <v>39185.5033241241</v>
      </c>
      <c r="AZ1688" s="70" t="n">
        <f aca="false">IF(AY1688="",0,MAX(0,MIN(1,(IF(CG1688="L1",Parameter!$H$5,IF(CG1688="L23",Parameter!$H$6+Parameter!$H$7,Parameter!$H$5+Parameter!$H$6+Parameter!$H$7))-(AY1688-AT1688))/AT1688)))</f>
        <v>0</v>
      </c>
      <c r="BA1688" s="62" t="n">
        <f aca="false">IF(LEFT(Cockpit!$O$5,1)="A",H1688,IF(Parameter!$E$30="MAX-Bestand",IF(CI1688=1,CJ1688,IF(LEFT(Cockpit!$O$5,1)="B",BG1688,MAX(BG1688,H1688))),ROUNDUP(BE1688,0)))</f>
        <v>2</v>
      </c>
      <c r="BB1688" s="62" t="n">
        <f aca="false">IF(CA1688=1,0,ROUNDUP(BA1688/BZ1688,0))</f>
        <v>1</v>
      </c>
      <c r="BC1688" s="64" t="n">
        <f aca="false">IF(CR1688&gt;0,CR1688*MAX(1,BA1688/X1688),IF(CA1688=1,IF(BA1688&lt;=0,0,CE1688*MAX(1,IF(H1688&gt;0,BA1688/H1688,1))),IF(R1688&gt;0,BB1688/R1688,0))/MAX(0.1,N(Parameter!$M$21)))</f>
        <v>0.0833333333333333</v>
      </c>
      <c r="BD1688" s="62" t="n">
        <f aca="false">BC1688*CC1688</f>
        <v>12.0833333333333</v>
      </c>
      <c r="BE1688" s="63" t="n">
        <f aca="false">IF(LEFT(Cockpit!$O$5,1)="A",H1688,IF(CI1688=1,(CL1688+CJ1688)/2,IF(LEFT(Cockpit!$O$5,1)="B",(CL1688+BG1688)/2,MAX((CL1688+BG1688)/2,H1688))))</f>
        <v>1.5</v>
      </c>
      <c r="BF1688" s="62" t="n">
        <f aca="false">BE1688*G1688</f>
        <v>375</v>
      </c>
      <c r="BG1688" s="62" t="n">
        <f aca="false">ROUNDUP(CL1688+MAX(CM1688,2*(J1688/IF(CH1688&gt;0,CH1688,MAX(0.1,N(Cockpit!$O$6)))-CL1688)),0)</f>
        <v>3</v>
      </c>
      <c r="BH1688" s="63" t="n">
        <f aca="false">IF(BD1688&gt;0,J1688/BD1688,-1)</f>
        <v>0</v>
      </c>
      <c r="BI1688" s="63" t="n">
        <f aca="false">IF(AND(OR(CG1688="L1",CG1688="L23",CG1688="LIFT"),BD1688&gt;0),SUMIFS($BD$7:$BD$1843,$CG$7:$CG$1843,CG1688,$BH$7:$BH$1843,"&gt;"&amp;BH1688)+SUMIFS($BD$7:$BD$1843,$CG$7:$CG$1843,CG1688,$BH$7:$BH$1843,BH1688,$BX$7:$BX$1843,"&lt;="&amp;BX1688),"")</f>
        <v>32435.7779329898</v>
      </c>
      <c r="BJ1688" s="70" t="n">
        <f aca="false">IF(BI1688="",0,MAX(0,MIN(1,(IF(CG1688="L1",Parameter!$H$5,IF(CG1688="L23",Parameter!$H$6+Parameter!$H$7,Parameter!$H$5+Parameter!$H$6+Parameter!$H$7))-(BI1688-BD1688))/BD1688)))</f>
        <v>1</v>
      </c>
      <c r="BK1688" s="60" t="str">
        <f aca="false">IF(AJ1688&lt;=0,"",IF(CG1688="Aussen","Aussenlager",IF(CG1688="-","Nicht im Lift",IF(AP1688&gt;=1,"Lift",IF(AP1688&lt;=0,"Aussenlager","teilweise")))))</f>
        <v>Lift</v>
      </c>
      <c r="BL1688" s="60" t="str">
        <f aca="false">IF(AT1688&lt;=0,"",IF(CG1688="Aussen","Aussenlager",IF(CG1688="-","Nicht im Lift",IF(AZ1688&gt;=1,"Lift",IF(AZ1688&lt;=0,"Aussenlager","teilweise")))))</f>
        <v>Aussenlager</v>
      </c>
      <c r="BM1688" s="60" t="str">
        <f aca="false">IF(BD1688&lt;=0,"",IF(CG1688="Aussen","Aussenlager",IF(CG1688="-","Nicht im Lift",IF(BJ1688&gt;=1,"Lift",IF(BJ1688&lt;=0,"Aussenlager","teilweise")))))</f>
        <v>Lift</v>
      </c>
      <c r="BN1688" s="60" t="str">
        <f aca="false">IF(A1688="","",IF(BW1688=1,"Neu; ","")&amp;IF(AND(BW1688=0,BR1688&lt;0),"negativer Bestand (Export "&amp;BR1688&amp;"); ","")&amp;IF(J1688&lt;=0,"Kein Verbrauch; ","")&amp;IF(CR1688&gt;0,"Lift "&amp;W1688&amp;" lt. Liftbericht (Fach "&amp;X1688&amp;" Stk); ",IF(CB1688=1,"Gebinde geschätzt ("&amp;T1688&amp;"); ",IF(CA1688=1,"Lose – Tablare geschätzt; ","")))&amp;IF(H1688&gt;AW1688,"Überbestand "&amp;ROUND(H1688-AW1688,0)&amp;" Stk / CHF "&amp;ROUND((H1688-AW1688)*G1688,0)&amp;"; ","")&amp;IF(AND(CI1688=1,CJ1688&lt;CK1688),"MAX &lt; MB+LG; ","")&amp;IF(AND(CQ1688&gt;0,CP1688*10&gt;CQ1688),"zu hoch für Tablar; ","")&amp;IF(AND(BW1688=0,OR(CI1688=1,AB1688&lt;&gt;"",U1688&lt;&gt;"",V1688&lt;&gt;"",AC1688&lt;&gt;"")),"manuell übersteuert; ","")&amp;IF(AND(CA1688=0,R1688=0),"Gebinde unbekannt / Stellmass fehlt; ","")&amp;IF(AND(CA1688=0,N(V1688)&lt;=0,N(Q1688)&lt;=0),"Menge pro Gebinde fehlt (Ist = 1 Gebinde); ","")&amp;BV1688)</f>
        <v>Kein Verbrauch; nur im Artikelstamm (Bestand 23.06.2026)</v>
      </c>
      <c r="BO1688" s="60"/>
      <c r="BP1688" s="60"/>
      <c r="BQ1688" s="67"/>
      <c r="BR1688" s="62" t="n">
        <v>3</v>
      </c>
      <c r="BS1688" s="62" t="n">
        <v>0</v>
      </c>
      <c r="BT1688" s="61" t="n">
        <v>0</v>
      </c>
      <c r="BU1688" s="62" t="n">
        <v>0</v>
      </c>
      <c r="BV1688" s="60" t="s">
        <v>2617</v>
      </c>
      <c r="BW1688" s="65" t="n">
        <v>0</v>
      </c>
      <c r="BX1688" s="65" t="n">
        <v>1688</v>
      </c>
      <c r="BY1688" s="60" t="str">
        <f aca="false">IF(U1688&lt;&gt;"",UPPER(TRIM(U1688)),IF(CB1688=1,UPPER(VLOOKUP(T1688,Parameter!$I$27:$K$29,2,0)),IF(P1688="","LOSE",P1688)))</f>
        <v>S61</v>
      </c>
      <c r="BZ1688" s="62" t="n">
        <f aca="false">IF(BY1688="LOSE",1,IF(N(V1688)&gt;0,V1688,IF(CB1688=1,MAX(1,N(VLOOKUP(T1688,Parameter!$I$27:$K$29,3,0)),H1688,N(N1688)),IF(N(Q1688)&gt;0,Q1688,MAX(1,H1688)))))</f>
        <v>5</v>
      </c>
      <c r="CA1688" s="65" t="n">
        <f aca="false">IF(BY1688="LOSE",1,0)</f>
        <v>0</v>
      </c>
      <c r="CB1688" s="65" t="n">
        <f aca="false">IF(AND(U1688="",OR(P1688="",P1688="LOSE"),T1688&lt;&gt;"",N(S1688)&lt;=0,ISNUMBER(MATCH(T1688,Parameter!$I$27:$I$29,0))),1,0)</f>
        <v>0</v>
      </c>
      <c r="CC1688" s="65" t="n">
        <f aca="false">IF(CR1688&gt;0,INDEX(Parameter!$H$5:$H$7,W1688)/INDEX(Parameter!$E$5:$E$7,W1688),IF(AND(CA1688=0,N(IFERROR(VLOOKUP(BY1688,'Gebinde-Kategorie'!$A$5:$N$45,14,0),0))&gt;0),VLOOKUP(BY1688,'Gebinde-Kategorie'!$A$5:$N$45,14,0)*10+Parameter!$M$23,Parameter!$M$24))</f>
        <v>145</v>
      </c>
      <c r="CD1688" s="60" t="str">
        <f aca="false">IF(AND(Parameter!$B$19="Ja",E1688&lt;&gt;"",ISNUMBER(MATCH(E1688,Parameter!$I$35:$I$52,0))),VLOOKUP(E1688,Parameter!$I$35:$J$52,2,0),IFERROR(VLOOKUP(D1688,Parameter!$A$35:$C$64,2,0),"Nein"))</f>
        <v>2+3</v>
      </c>
      <c r="CE1688" s="64" t="n">
        <f aca="false">IF(CA1688=0,0,IF(N(S1688)&gt;0,S1688,IFERROR(VLOOKUP(D1688,Parameter!$A$35:$C$64,3,0)+0,0)))</f>
        <v>0</v>
      </c>
      <c r="CF1688" s="60" t="n">
        <f aca="false">IF(AB1688&lt;&gt;"",AB1688,AA1688)</f>
        <v>3</v>
      </c>
      <c r="CG1688" s="60" t="str">
        <f aca="false">IF(OR(CF1688=1,CF1688=2,CF1688=3),IF(Parameter!$E$27="Ja","LIFT",IF(CF1688=1,"L1","L23")),IF(CF1688="Aussen","Aussen","-"))</f>
        <v>LIFT</v>
      </c>
      <c r="CH1688" s="71" t="n">
        <f aca="false">IF(N(AC1688)&gt;0,AC1688,0)</f>
        <v>0</v>
      </c>
      <c r="CI1688" s="65" t="n">
        <f aca="false">IF(ISNUMBER(AF1688),1,0)</f>
        <v>0</v>
      </c>
      <c r="CJ1688" s="62" t="n">
        <f aca="false">N(AF1688)</f>
        <v>0</v>
      </c>
      <c r="CK1688" s="62" t="n">
        <f aca="false">N(M1688)+N(N1688)</f>
        <v>3</v>
      </c>
      <c r="CL1688" s="62" t="n">
        <f aca="false">N(M1688)</f>
        <v>0</v>
      </c>
      <c r="CM1688" s="62" t="n">
        <f aca="false">N(N1688)</f>
        <v>3</v>
      </c>
      <c r="CN1688" s="62" t="n">
        <f aca="false">ROUNDUP(H1688/BZ1688,0)</f>
        <v>1</v>
      </c>
      <c r="CO1688" s="62" t="n">
        <f aca="false">ROUNDUP(CJ1688/BZ1688,0)</f>
        <v>0</v>
      </c>
      <c r="CP1688" s="65" t="n">
        <f aca="false">IF(CA1688=1,0,IFERROR(VLOOKUP(BY1688,'Gebinde-Kategorie'!$A$5:$N$45,5,0)+0,0))</f>
        <v>11</v>
      </c>
      <c r="CQ1688" s="65" t="n">
        <f aca="false">IFERROR(IF(OR(CF1688=1,CF1688=2,CF1688=3),N(INDEX(Parameter!$I$5:$I$7,CF1688)),0),0)</f>
        <v>0</v>
      </c>
      <c r="CR1688" s="64" t="n">
        <f aca="false">IF(AND(Parameter!$B$21="Ja",ISNUMBER(W1688),N(X1688)&gt;0),IFERROR(N(INDEX(Parameter!$L$5:$L$7,W1688))*INDEX(Parameter!$E$5:$E$7,W1688)*X1688/SUMIFS($X$7:$X$1843,$W$7:$W$1843,W1688),0),0)</f>
        <v>0</v>
      </c>
      <c r="CS1688" s="62" t="n">
        <f aca="false">IF(AND(OR(CG1688="L1",CG1688="L23",CG1688="LIFT"),H1688&gt;0),CC1688*IF(CR1688&gt;0,CR1688*MAX(1,H1688/X1688),IF(CA1688=1,CE1688,IF(R1688&gt;0,CN1688/R1688,0))/MAX(0.1,N(Parameter!$M$21))),"")</f>
        <v>12.0833333333333</v>
      </c>
      <c r="CT1688" s="64" t="n">
        <f aca="false">IF(CS1688="","",J1688/H1688)</f>
        <v>0</v>
      </c>
      <c r="CU1688" s="62" t="n">
        <f aca="false">IF(CS1688="","",H1688*G1688)</f>
        <v>750</v>
      </c>
      <c r="CV1688" s="63" t="n">
        <f aca="false">IF(CS1688="","",(CL1688+ROUNDUP(CL1688+MAX(CM1688,2*(J1688/MAX(0.1,N(Einkauf!$C$6))-CL1688)),0))/2)</f>
        <v>1.5</v>
      </c>
      <c r="CW1688" s="62" t="n">
        <f aca="false">IF(CS1688="","",MAX(0,H1688-CV1688)*G1688)</f>
        <v>375</v>
      </c>
      <c r="CX1688" s="62" t="n">
        <f aca="false">IF(CS1688="","",CS1688*MAX(0,1-CV1688/H1688))</f>
        <v>6.04166666666667</v>
      </c>
      <c r="CY1688" s="64" t="n">
        <f aca="false">IF(CS1688="","",PERCENTRANK($CS$7:$CS$1843,CS1688)+PERCENTRANK($CU$7:$CU$1843,CU1688)+1-PERCENTRANK($CT$7:$CT$1843,CT1688))</f>
        <v>2.251</v>
      </c>
      <c r="CZ1688" s="72" t="n">
        <f aca="false">IF(CS1688="","",CHOOSE(MATCH(Einkauf!$C$5,Parameter!$G$23:$G$27,0),CY1688,CS1688,CU1688,-CT1688,CW1688)+ROW()/1000000000)</f>
        <v>2.251001688</v>
      </c>
    </row>
    <row r="1689" customFormat="false" ht="15" hidden="false" customHeight="false" outlineLevel="0" collapsed="false">
      <c r="A1689" s="60" t="s">
        <v>2968</v>
      </c>
      <c r="B1689" s="60" t="s">
        <v>2969</v>
      </c>
      <c r="C1689" s="60" t="s">
        <v>206</v>
      </c>
      <c r="D1689" s="60" t="s">
        <v>215</v>
      </c>
      <c r="E1689" s="60"/>
      <c r="F1689" s="60"/>
      <c r="G1689" s="61" t="n">
        <v>170.2</v>
      </c>
      <c r="H1689" s="62" t="n">
        <f aca="false">MAX(0,IF(AND(Parameter!$B$21="Ja",ISNUMBER(Y1689)),Y1689,IF(Parameter!$B$20="Jahresanfang 2025 + Export",BS1689+BR1689,BR1689)))</f>
        <v>4</v>
      </c>
      <c r="I1689" s="62" t="n">
        <f aca="false">H1689*G1689</f>
        <v>680.8</v>
      </c>
      <c r="J1689" s="62" t="n">
        <f aca="false">BU1689*Parameter!$B$18</f>
        <v>0</v>
      </c>
      <c r="K1689" s="63"/>
      <c r="L1689" s="64"/>
      <c r="M1689" s="62" t="n">
        <v>0</v>
      </c>
      <c r="N1689" s="62" t="n">
        <v>5</v>
      </c>
      <c r="O1689" s="65" t="n">
        <v>21</v>
      </c>
      <c r="P1689" s="60" t="s">
        <v>228</v>
      </c>
      <c r="Q1689" s="62" t="n">
        <v>4</v>
      </c>
      <c r="R1689" s="65" t="n">
        <f aca="false">IF(CA1689=1,0,IFERROR(VLOOKUP(BY1689,'Gebinde-Kategorie'!$A$5:$N$45,13,0)+0,0))</f>
        <v>12</v>
      </c>
      <c r="S1689" s="66"/>
      <c r="T1689" s="67"/>
      <c r="U1689" s="67"/>
      <c r="V1689" s="67"/>
      <c r="W1689" s="60"/>
      <c r="X1689" s="62"/>
      <c r="Y1689" s="62"/>
      <c r="Z1689" s="60" t="n">
        <v>3</v>
      </c>
      <c r="AA1689" s="60" t="n">
        <f aca="false">IF(A1689="","",IF(AND(Parameter!$B$21="Ja",ISNUMBER(W1689)),W1689,IF(AND(Parameter!$E$27="Ja",ISNUMBER(Z1689),CD1689&lt;&gt;"Nein"),Z1689,IF(CD1689="2+3",IF(ISNUMBER(SEARCH("grosser Artikel",BV1689)),2,IFERROR(VLOOKUP(BY1689,Parameter!$F$35:$G$64,2,0),2)),IF(OR(CD1689="Nein",CD1689=""),"-",CD1689)))))</f>
        <v>3</v>
      </c>
      <c r="AB1689" s="67"/>
      <c r="AC1689" s="68"/>
      <c r="AD1689" s="62" t="n">
        <f aca="false">AW1689</f>
        <v>5</v>
      </c>
      <c r="AE1689" s="62" t="n">
        <f aca="false">MAX(AW1689,H1689)</f>
        <v>5</v>
      </c>
      <c r="AF1689" s="69"/>
      <c r="AG1689" s="62" t="n">
        <f aca="false">IF(LEFT(Cockpit!$C$5,1)="A",H1689,IF(Parameter!$E$30="MAX-Bestand",IF(CI1689=1,CJ1689,IF(LEFT(Cockpit!$C$5,1)="B",AM1689,MAX(AM1689,H1689))),ROUNDUP(AK1689,0)))</f>
        <v>4</v>
      </c>
      <c r="AH1689" s="62" t="n">
        <f aca="false">IF(CA1689=1,0,ROUNDUP(AG1689/BZ1689,0))</f>
        <v>1</v>
      </c>
      <c r="AI1689" s="64" t="n">
        <f aca="false">IF(CR1689&gt;0,CR1689*MAX(1,AG1689/X1689),IF(CA1689=1,IF(AG1689&lt;=0,0,CE1689*MAX(1,IF(H1689&gt;0,AG1689/H1689,1))),IF(R1689&gt;0,AH1689/R1689,0))/MAX(0.1,N(Parameter!$M$21)))</f>
        <v>0.0833333333333333</v>
      </c>
      <c r="AJ1689" s="62" t="n">
        <f aca="false">AI1689*CC1689</f>
        <v>12.0833333333333</v>
      </c>
      <c r="AK1689" s="63" t="n">
        <f aca="false">IF(LEFT(Cockpit!$C$5,1)="A",H1689,IF(CI1689=1,(CL1689+CJ1689)/2,IF(LEFT(Cockpit!$C$5,1)="B",(CL1689+AM1689)/2,MAX((CL1689+AM1689)/2,H1689))))</f>
        <v>4</v>
      </c>
      <c r="AL1689" s="62" t="n">
        <f aca="false">AK1689*G1689</f>
        <v>680.8</v>
      </c>
      <c r="AM1689" s="62" t="n">
        <f aca="false">ROUNDUP(CL1689+MAX(CM1689,2*(J1689/IF(CH1689&gt;0,CH1689,MAX(0.1,N(Cockpit!$C$6)))-CL1689)),0)</f>
        <v>5</v>
      </c>
      <c r="AN1689" s="63" t="n">
        <f aca="false">IF(AJ1689&gt;0,J1689/AJ1689,-1)</f>
        <v>0</v>
      </c>
      <c r="AO1689" s="63" t="n">
        <f aca="false">IF(AND(OR(CG1689="L1",CG1689="L23",CG1689="LIFT"),AJ1689&gt;0),SUMIFS($AJ$7:$AJ$1843,$CG$7:$CG$1843,CG1689,$AN$7:$AN$1843,"&gt;"&amp;AN1689)+SUMIFS($AJ$7:$AJ$1843,$CG$7:$CG$1843,CG1689,$AN$7:$AN$1843,AN1689,$BX$7:$BX$1843,"&lt;="&amp;BX1689),"")</f>
        <v>32725.3384268744</v>
      </c>
      <c r="AP1689" s="70" t="n">
        <f aca="false">IF(AO1689="",0,MAX(0,MIN(1,(IF(CG1689="L1",Parameter!$H$5,IF(CG1689="L23",Parameter!$H$6+Parameter!$H$7,Parameter!$H$5+Parameter!$H$6+Parameter!$H$7))-(AO1689-AJ1689))/AJ1689)))</f>
        <v>1</v>
      </c>
      <c r="AQ1689" s="62" t="n">
        <f aca="false">IF(LEFT(Cockpit!$I$5,1)="A",H1689,IF(Parameter!$E$30="MAX-Bestand",IF(CI1689=1,CJ1689,IF(LEFT(Cockpit!$I$5,1)="B",AW1689,MAX(AW1689,H1689))),ROUNDUP(AU1689,0)))</f>
        <v>4</v>
      </c>
      <c r="AR1689" s="62" t="n">
        <f aca="false">IF(CA1689=1,0,ROUNDUP(AQ1689/BZ1689,0))</f>
        <v>1</v>
      </c>
      <c r="AS1689" s="64" t="n">
        <f aca="false">IF(CR1689&gt;0,CR1689*MAX(1,AQ1689/X1689),IF(CA1689=1,IF(AQ1689&lt;=0,0,CE1689*MAX(1,IF(H1689&gt;0,AQ1689/H1689,1))),IF(R1689&gt;0,AR1689/R1689,0))/MAX(0.1,N(Parameter!$M$21)))</f>
        <v>0.0833333333333333</v>
      </c>
      <c r="AT1689" s="62" t="n">
        <f aca="false">AS1689*CC1689</f>
        <v>12.0833333333333</v>
      </c>
      <c r="AU1689" s="63" t="n">
        <f aca="false">IF(LEFT(Cockpit!$I$5,1)="A",H1689,IF(CI1689=1,(CL1689+CJ1689)/2,IF(LEFT(Cockpit!$I$5,1)="B",(CL1689+AW1689)/2,MAX((CL1689+AW1689)/2,H1689))))</f>
        <v>4</v>
      </c>
      <c r="AV1689" s="62" t="n">
        <f aca="false">AU1689*G1689</f>
        <v>680.8</v>
      </c>
      <c r="AW1689" s="62" t="n">
        <f aca="false">ROUNDUP(CL1689+MAX(CM1689,2*(J1689/IF(CH1689&gt;0,CH1689,MAX(0.1,N(Cockpit!$I$6)))-CL1689)),0)</f>
        <v>5</v>
      </c>
      <c r="AX1689" s="63" t="n">
        <f aca="false">IF(AT1689&gt;0,J1689/AT1689,-1)</f>
        <v>0</v>
      </c>
      <c r="AY1689" s="63" t="n">
        <f aca="false">IF(AND(OR(CG1689="L1",CG1689="L23",CG1689="LIFT"),AT1689&gt;0),SUMIFS($AT$7:$AT$1843,$CG$7:$CG$1843,CG1689,$AX$7:$AX$1843,"&gt;"&amp;AX1689)+SUMIFS($AT$7:$AT$1843,$CG$7:$CG$1843,CG1689,$AX$7:$AX$1843,AX1689,$BX$7:$BX$1843,"&lt;="&amp;BX1689),"")</f>
        <v>39197.5866574574</v>
      </c>
      <c r="AZ1689" s="70" t="n">
        <f aca="false">IF(AY1689="",0,MAX(0,MIN(1,(IF(CG1689="L1",Parameter!$H$5,IF(CG1689="L23",Parameter!$H$6+Parameter!$H$7,Parameter!$H$5+Parameter!$H$6+Parameter!$H$7))-(AY1689-AT1689))/AT1689)))</f>
        <v>0</v>
      </c>
      <c r="BA1689" s="62" t="n">
        <f aca="false">IF(LEFT(Cockpit!$O$5,1)="A",H1689,IF(Parameter!$E$30="MAX-Bestand",IF(CI1689=1,CJ1689,IF(LEFT(Cockpit!$O$5,1)="B",BG1689,MAX(BG1689,H1689))),ROUNDUP(BE1689,0)))</f>
        <v>3</v>
      </c>
      <c r="BB1689" s="62" t="n">
        <f aca="false">IF(CA1689=1,0,ROUNDUP(BA1689/BZ1689,0))</f>
        <v>1</v>
      </c>
      <c r="BC1689" s="64" t="n">
        <f aca="false">IF(CR1689&gt;0,CR1689*MAX(1,BA1689/X1689),IF(CA1689=1,IF(BA1689&lt;=0,0,CE1689*MAX(1,IF(H1689&gt;0,BA1689/H1689,1))),IF(R1689&gt;0,BB1689/R1689,0))/MAX(0.1,N(Parameter!$M$21)))</f>
        <v>0.0833333333333333</v>
      </c>
      <c r="BD1689" s="62" t="n">
        <f aca="false">BC1689*CC1689</f>
        <v>12.0833333333333</v>
      </c>
      <c r="BE1689" s="63" t="n">
        <f aca="false">IF(LEFT(Cockpit!$O$5,1)="A",H1689,IF(CI1689=1,(CL1689+CJ1689)/2,IF(LEFT(Cockpit!$O$5,1)="B",(CL1689+BG1689)/2,MAX((CL1689+BG1689)/2,H1689))))</f>
        <v>2.5</v>
      </c>
      <c r="BF1689" s="62" t="n">
        <f aca="false">BE1689*G1689</f>
        <v>425.5</v>
      </c>
      <c r="BG1689" s="62" t="n">
        <f aca="false">ROUNDUP(CL1689+MAX(CM1689,2*(J1689/IF(CH1689&gt;0,CH1689,MAX(0.1,N(Cockpit!$O$6)))-CL1689)),0)</f>
        <v>5</v>
      </c>
      <c r="BH1689" s="63" t="n">
        <f aca="false">IF(BD1689&gt;0,J1689/BD1689,-1)</f>
        <v>0</v>
      </c>
      <c r="BI1689" s="63" t="n">
        <f aca="false">IF(AND(OR(CG1689="L1",CG1689="L23",CG1689="LIFT"),BD1689&gt;0),SUMIFS($BD$7:$BD$1843,$CG$7:$CG$1843,CG1689,$BH$7:$BH$1843,"&gt;"&amp;BH1689)+SUMIFS($BD$7:$BD$1843,$CG$7:$CG$1843,CG1689,$BH$7:$BH$1843,BH1689,$BX$7:$BX$1843,"&lt;="&amp;BX1689),"")</f>
        <v>32447.8612663231</v>
      </c>
      <c r="BJ1689" s="70" t="n">
        <f aca="false">IF(BI1689="",0,MAX(0,MIN(1,(IF(CG1689="L1",Parameter!$H$5,IF(CG1689="L23",Parameter!$H$6+Parameter!$H$7,Parameter!$H$5+Parameter!$H$6+Parameter!$H$7))-(BI1689-BD1689))/BD1689)))</f>
        <v>1</v>
      </c>
      <c r="BK1689" s="60" t="str">
        <f aca="false">IF(AJ1689&lt;=0,"",IF(CG1689="Aussen","Aussenlager",IF(CG1689="-","Nicht im Lift",IF(AP1689&gt;=1,"Lift",IF(AP1689&lt;=0,"Aussenlager","teilweise")))))</f>
        <v>Lift</v>
      </c>
      <c r="BL1689" s="60" t="str">
        <f aca="false">IF(AT1689&lt;=0,"",IF(CG1689="Aussen","Aussenlager",IF(CG1689="-","Nicht im Lift",IF(AZ1689&gt;=1,"Lift",IF(AZ1689&lt;=0,"Aussenlager","teilweise")))))</f>
        <v>Aussenlager</v>
      </c>
      <c r="BM1689" s="60" t="str">
        <f aca="false">IF(BD1689&lt;=0,"",IF(CG1689="Aussen","Aussenlager",IF(CG1689="-","Nicht im Lift",IF(BJ1689&gt;=1,"Lift",IF(BJ1689&lt;=0,"Aussenlager","teilweise")))))</f>
        <v>Lift</v>
      </c>
      <c r="BN1689" s="60" t="str">
        <f aca="false">IF(A1689="","",IF(BW1689=1,"Neu; ","")&amp;IF(AND(BW1689=0,BR1689&lt;0),"negativer Bestand (Export "&amp;BR1689&amp;"); ","")&amp;IF(J1689&lt;=0,"Kein Verbrauch; ","")&amp;IF(CR1689&gt;0,"Lift "&amp;W1689&amp;" lt. Liftbericht (Fach "&amp;X1689&amp;" Stk); ",IF(CB1689=1,"Gebinde geschätzt ("&amp;T1689&amp;"); ",IF(CA1689=1,"Lose – Tablare geschätzt; ","")))&amp;IF(H1689&gt;AW1689,"Überbestand "&amp;ROUND(H1689-AW1689,0)&amp;" Stk / CHF "&amp;ROUND((H1689-AW1689)*G1689,0)&amp;"; ","")&amp;IF(AND(CI1689=1,CJ1689&lt;CK1689),"MAX &lt; MB+LG; ","")&amp;IF(AND(CQ1689&gt;0,CP1689*10&gt;CQ1689),"zu hoch für Tablar; ","")&amp;IF(AND(BW1689=0,OR(CI1689=1,AB1689&lt;&gt;"",U1689&lt;&gt;"",V1689&lt;&gt;"",AC1689&lt;&gt;"")),"manuell übersteuert; ","")&amp;IF(AND(CA1689=0,R1689=0),"Gebinde unbekannt / Stellmass fehlt; ","")&amp;IF(AND(CA1689=0,N(V1689)&lt;=0,N(Q1689)&lt;=0),"Menge pro Gebinde fehlt (Ist = 1 Gebinde); ","")&amp;BV1689)</f>
        <v>Kein Verbrauch; nur im Artikelstamm (Bestand 23.06.2026)</v>
      </c>
      <c r="BO1689" s="60"/>
      <c r="BP1689" s="60"/>
      <c r="BQ1689" s="67"/>
      <c r="BR1689" s="62" t="n">
        <v>4</v>
      </c>
      <c r="BS1689" s="62" t="n">
        <v>0</v>
      </c>
      <c r="BT1689" s="61" t="n">
        <v>0</v>
      </c>
      <c r="BU1689" s="62" t="n">
        <v>0</v>
      </c>
      <c r="BV1689" s="60" t="s">
        <v>2617</v>
      </c>
      <c r="BW1689" s="65" t="n">
        <v>0</v>
      </c>
      <c r="BX1689" s="65" t="n">
        <v>1689</v>
      </c>
      <c r="BY1689" s="60" t="str">
        <f aca="false">IF(U1689&lt;&gt;"",UPPER(TRIM(U1689)),IF(CB1689=1,UPPER(VLOOKUP(T1689,Parameter!$I$27:$K$29,2,0)),IF(P1689="","LOSE",P1689)))</f>
        <v>S61</v>
      </c>
      <c r="BZ1689" s="62" t="n">
        <f aca="false">IF(BY1689="LOSE",1,IF(N(V1689)&gt;0,V1689,IF(CB1689=1,MAX(1,N(VLOOKUP(T1689,Parameter!$I$27:$K$29,3,0)),H1689,N(N1689)),IF(N(Q1689)&gt;0,Q1689,MAX(1,H1689)))))</f>
        <v>4</v>
      </c>
      <c r="CA1689" s="65" t="n">
        <f aca="false">IF(BY1689="LOSE",1,0)</f>
        <v>0</v>
      </c>
      <c r="CB1689" s="65" t="n">
        <f aca="false">IF(AND(U1689="",OR(P1689="",P1689="LOSE"),T1689&lt;&gt;"",N(S1689)&lt;=0,ISNUMBER(MATCH(T1689,Parameter!$I$27:$I$29,0))),1,0)</f>
        <v>0</v>
      </c>
      <c r="CC1689" s="65" t="n">
        <f aca="false">IF(CR1689&gt;0,INDEX(Parameter!$H$5:$H$7,W1689)/INDEX(Parameter!$E$5:$E$7,W1689),IF(AND(CA1689=0,N(IFERROR(VLOOKUP(BY1689,'Gebinde-Kategorie'!$A$5:$N$45,14,0),0))&gt;0),VLOOKUP(BY1689,'Gebinde-Kategorie'!$A$5:$N$45,14,0)*10+Parameter!$M$23,Parameter!$M$24))</f>
        <v>145</v>
      </c>
      <c r="CD1689" s="60" t="str">
        <f aca="false">IF(AND(Parameter!$B$19="Ja",E1689&lt;&gt;"",ISNUMBER(MATCH(E1689,Parameter!$I$35:$I$52,0))),VLOOKUP(E1689,Parameter!$I$35:$J$52,2,0),IFERROR(VLOOKUP(D1689,Parameter!$A$35:$C$64,2,0),"Nein"))</f>
        <v>2+3</v>
      </c>
      <c r="CE1689" s="64" t="n">
        <f aca="false">IF(CA1689=0,0,IF(N(S1689)&gt;0,S1689,IFERROR(VLOOKUP(D1689,Parameter!$A$35:$C$64,3,0)+0,0)))</f>
        <v>0</v>
      </c>
      <c r="CF1689" s="60" t="n">
        <f aca="false">IF(AB1689&lt;&gt;"",AB1689,AA1689)</f>
        <v>3</v>
      </c>
      <c r="CG1689" s="60" t="str">
        <f aca="false">IF(OR(CF1689=1,CF1689=2,CF1689=3),IF(Parameter!$E$27="Ja","LIFT",IF(CF1689=1,"L1","L23")),IF(CF1689="Aussen","Aussen","-"))</f>
        <v>LIFT</v>
      </c>
      <c r="CH1689" s="71" t="n">
        <f aca="false">IF(N(AC1689)&gt;0,AC1689,0)</f>
        <v>0</v>
      </c>
      <c r="CI1689" s="65" t="n">
        <f aca="false">IF(ISNUMBER(AF1689),1,0)</f>
        <v>0</v>
      </c>
      <c r="CJ1689" s="62" t="n">
        <f aca="false">N(AF1689)</f>
        <v>0</v>
      </c>
      <c r="CK1689" s="62" t="n">
        <f aca="false">N(M1689)+N(N1689)</f>
        <v>5</v>
      </c>
      <c r="CL1689" s="62" t="n">
        <f aca="false">N(M1689)</f>
        <v>0</v>
      </c>
      <c r="CM1689" s="62" t="n">
        <f aca="false">N(N1689)</f>
        <v>5</v>
      </c>
      <c r="CN1689" s="62" t="n">
        <f aca="false">ROUNDUP(H1689/BZ1689,0)</f>
        <v>1</v>
      </c>
      <c r="CO1689" s="62" t="n">
        <f aca="false">ROUNDUP(CJ1689/BZ1689,0)</f>
        <v>0</v>
      </c>
      <c r="CP1689" s="65" t="n">
        <f aca="false">IF(CA1689=1,0,IFERROR(VLOOKUP(BY1689,'Gebinde-Kategorie'!$A$5:$N$45,5,0)+0,0))</f>
        <v>11</v>
      </c>
      <c r="CQ1689" s="65" t="n">
        <f aca="false">IFERROR(IF(OR(CF1689=1,CF1689=2,CF1689=3),N(INDEX(Parameter!$I$5:$I$7,CF1689)),0),0)</f>
        <v>0</v>
      </c>
      <c r="CR1689" s="64" t="n">
        <f aca="false">IF(AND(Parameter!$B$21="Ja",ISNUMBER(W1689),N(X1689)&gt;0),IFERROR(N(INDEX(Parameter!$L$5:$L$7,W1689))*INDEX(Parameter!$E$5:$E$7,W1689)*X1689/SUMIFS($X$7:$X$1843,$W$7:$W$1843,W1689),0),0)</f>
        <v>0</v>
      </c>
      <c r="CS1689" s="62" t="n">
        <f aca="false">IF(AND(OR(CG1689="L1",CG1689="L23",CG1689="LIFT"),H1689&gt;0),CC1689*IF(CR1689&gt;0,CR1689*MAX(1,H1689/X1689),IF(CA1689=1,CE1689,IF(R1689&gt;0,CN1689/R1689,0))/MAX(0.1,N(Parameter!$M$21))),"")</f>
        <v>12.0833333333333</v>
      </c>
      <c r="CT1689" s="64" t="n">
        <f aca="false">IF(CS1689="","",J1689/H1689)</f>
        <v>0</v>
      </c>
      <c r="CU1689" s="62" t="n">
        <f aca="false">IF(CS1689="","",H1689*G1689)</f>
        <v>680.8</v>
      </c>
      <c r="CV1689" s="63" t="n">
        <f aca="false">IF(CS1689="","",(CL1689+ROUNDUP(CL1689+MAX(CM1689,2*(J1689/MAX(0.1,N(Einkauf!$C$6))-CL1689)),0))/2)</f>
        <v>2.5</v>
      </c>
      <c r="CW1689" s="62" t="n">
        <f aca="false">IF(CS1689="","",MAX(0,H1689-CV1689)*G1689)</f>
        <v>255.3</v>
      </c>
      <c r="CX1689" s="62" t="n">
        <f aca="false">IF(CS1689="","",CS1689*MAX(0,1-CV1689/H1689))</f>
        <v>4.53125</v>
      </c>
      <c r="CY1689" s="64" t="n">
        <f aca="false">IF(CS1689="","",PERCENTRANK($CS$7:$CS$1843,CS1689)+PERCENTRANK($CU$7:$CU$1843,CU1689)+1-PERCENTRANK($CT$7:$CT$1843,CT1689))</f>
        <v>2.236</v>
      </c>
      <c r="CZ1689" s="72" t="n">
        <f aca="false">IF(CS1689="","",CHOOSE(MATCH(Einkauf!$C$5,Parameter!$G$23:$G$27,0),CY1689,CS1689,CU1689,-CT1689,CW1689)+ROW()/1000000000)</f>
        <v>2.236001689</v>
      </c>
    </row>
    <row r="1690" customFormat="false" ht="15" hidden="false" customHeight="false" outlineLevel="0" collapsed="false">
      <c r="A1690" s="60" t="s">
        <v>2970</v>
      </c>
      <c r="B1690" s="60" t="s">
        <v>2971</v>
      </c>
      <c r="C1690" s="60" t="s">
        <v>206</v>
      </c>
      <c r="D1690" s="60" t="s">
        <v>215</v>
      </c>
      <c r="E1690" s="60"/>
      <c r="F1690" s="60"/>
      <c r="G1690" s="61" t="n">
        <v>295</v>
      </c>
      <c r="H1690" s="62" t="n">
        <f aca="false">MAX(0,IF(AND(Parameter!$B$21="Ja",ISNUMBER(Y1690)),Y1690,IF(Parameter!$B$20="Jahresanfang 2025 + Export",BS1690+BR1690,BR1690)))</f>
        <v>3</v>
      </c>
      <c r="I1690" s="62" t="n">
        <f aca="false">H1690*G1690</f>
        <v>885</v>
      </c>
      <c r="J1690" s="62" t="n">
        <f aca="false">BU1690*Parameter!$B$18</f>
        <v>0</v>
      </c>
      <c r="K1690" s="63"/>
      <c r="L1690" s="64"/>
      <c r="M1690" s="62" t="n">
        <v>0</v>
      </c>
      <c r="N1690" s="62" t="n">
        <v>3</v>
      </c>
      <c r="O1690" s="65" t="n">
        <v>35</v>
      </c>
      <c r="P1690" s="60" t="s">
        <v>228</v>
      </c>
      <c r="Q1690" s="62" t="n">
        <v>3</v>
      </c>
      <c r="R1690" s="65" t="n">
        <f aca="false">IF(CA1690=1,0,IFERROR(VLOOKUP(BY1690,'Gebinde-Kategorie'!$A$5:$N$45,13,0)+0,0))</f>
        <v>12</v>
      </c>
      <c r="S1690" s="66"/>
      <c r="T1690" s="67"/>
      <c r="U1690" s="67"/>
      <c r="V1690" s="67"/>
      <c r="W1690" s="60"/>
      <c r="X1690" s="62"/>
      <c r="Y1690" s="62"/>
      <c r="Z1690" s="60" t="n">
        <v>3</v>
      </c>
      <c r="AA1690" s="60" t="n">
        <f aca="false">IF(A1690="","",IF(AND(Parameter!$B$21="Ja",ISNUMBER(W1690)),W1690,IF(AND(Parameter!$E$27="Ja",ISNUMBER(Z1690),CD1690&lt;&gt;"Nein"),Z1690,IF(CD1690="2+3",IF(ISNUMBER(SEARCH("grosser Artikel",BV1690)),2,IFERROR(VLOOKUP(BY1690,Parameter!$F$35:$G$64,2,0),2)),IF(OR(CD1690="Nein",CD1690=""),"-",CD1690)))))</f>
        <v>3</v>
      </c>
      <c r="AB1690" s="67"/>
      <c r="AC1690" s="68"/>
      <c r="AD1690" s="62" t="n">
        <f aca="false">AW1690</f>
        <v>3</v>
      </c>
      <c r="AE1690" s="62" t="n">
        <f aca="false">MAX(AW1690,H1690)</f>
        <v>3</v>
      </c>
      <c r="AF1690" s="69"/>
      <c r="AG1690" s="62" t="n">
        <f aca="false">IF(LEFT(Cockpit!$C$5,1)="A",H1690,IF(Parameter!$E$30="MAX-Bestand",IF(CI1690=1,CJ1690,IF(LEFT(Cockpit!$C$5,1)="B",AM1690,MAX(AM1690,H1690))),ROUNDUP(AK1690,0)))</f>
        <v>3</v>
      </c>
      <c r="AH1690" s="62" t="n">
        <f aca="false">IF(CA1690=1,0,ROUNDUP(AG1690/BZ1690,0))</f>
        <v>1</v>
      </c>
      <c r="AI1690" s="64" t="n">
        <f aca="false">IF(CR1690&gt;0,CR1690*MAX(1,AG1690/X1690),IF(CA1690=1,IF(AG1690&lt;=0,0,CE1690*MAX(1,IF(H1690&gt;0,AG1690/H1690,1))),IF(R1690&gt;0,AH1690/R1690,0))/MAX(0.1,N(Parameter!$M$21)))</f>
        <v>0.0833333333333333</v>
      </c>
      <c r="AJ1690" s="62" t="n">
        <f aca="false">AI1690*CC1690</f>
        <v>12.0833333333333</v>
      </c>
      <c r="AK1690" s="63" t="n">
        <f aca="false">IF(LEFT(Cockpit!$C$5,1)="A",H1690,IF(CI1690=1,(CL1690+CJ1690)/2,IF(LEFT(Cockpit!$C$5,1)="B",(CL1690+AM1690)/2,MAX((CL1690+AM1690)/2,H1690))))</f>
        <v>3</v>
      </c>
      <c r="AL1690" s="62" t="n">
        <f aca="false">AK1690*G1690</f>
        <v>885</v>
      </c>
      <c r="AM1690" s="62" t="n">
        <f aca="false">ROUNDUP(CL1690+MAX(CM1690,2*(J1690/IF(CH1690&gt;0,CH1690,MAX(0.1,N(Cockpit!$C$6)))-CL1690)),0)</f>
        <v>3</v>
      </c>
      <c r="AN1690" s="63" t="n">
        <f aca="false">IF(AJ1690&gt;0,J1690/AJ1690,-1)</f>
        <v>0</v>
      </c>
      <c r="AO1690" s="63" t="n">
        <f aca="false">IF(AND(OR(CG1690="L1",CG1690="L23",CG1690="LIFT"),AJ1690&gt;0),SUMIFS($AJ$7:$AJ$1843,$CG$7:$CG$1843,CG1690,$AN$7:$AN$1843,"&gt;"&amp;AN1690)+SUMIFS($AJ$7:$AJ$1843,$CG$7:$CG$1843,CG1690,$AN$7:$AN$1843,AN1690,$BX$7:$BX$1843,"&lt;="&amp;BX1690),"")</f>
        <v>32737.4217602078</v>
      </c>
      <c r="AP1690" s="70" t="n">
        <f aca="false">IF(AO1690="",0,MAX(0,MIN(1,(IF(CG1690="L1",Parameter!$H$5,IF(CG1690="L23",Parameter!$H$6+Parameter!$H$7,Parameter!$H$5+Parameter!$H$6+Parameter!$H$7))-(AO1690-AJ1690))/AJ1690)))</f>
        <v>1</v>
      </c>
      <c r="AQ1690" s="62" t="n">
        <f aca="false">IF(LEFT(Cockpit!$I$5,1)="A",H1690,IF(Parameter!$E$30="MAX-Bestand",IF(CI1690=1,CJ1690,IF(LEFT(Cockpit!$I$5,1)="B",AW1690,MAX(AW1690,H1690))),ROUNDUP(AU1690,0)))</f>
        <v>3</v>
      </c>
      <c r="AR1690" s="62" t="n">
        <f aca="false">IF(CA1690=1,0,ROUNDUP(AQ1690/BZ1690,0))</f>
        <v>1</v>
      </c>
      <c r="AS1690" s="64" t="n">
        <f aca="false">IF(CR1690&gt;0,CR1690*MAX(1,AQ1690/X1690),IF(CA1690=1,IF(AQ1690&lt;=0,0,CE1690*MAX(1,IF(H1690&gt;0,AQ1690/H1690,1))),IF(R1690&gt;0,AR1690/R1690,0))/MAX(0.1,N(Parameter!$M$21)))</f>
        <v>0.0833333333333333</v>
      </c>
      <c r="AT1690" s="62" t="n">
        <f aca="false">AS1690*CC1690</f>
        <v>12.0833333333333</v>
      </c>
      <c r="AU1690" s="63" t="n">
        <f aca="false">IF(LEFT(Cockpit!$I$5,1)="A",H1690,IF(CI1690=1,(CL1690+CJ1690)/2,IF(LEFT(Cockpit!$I$5,1)="B",(CL1690+AW1690)/2,MAX((CL1690+AW1690)/2,H1690))))</f>
        <v>3</v>
      </c>
      <c r="AV1690" s="62" t="n">
        <f aca="false">AU1690*G1690</f>
        <v>885</v>
      </c>
      <c r="AW1690" s="62" t="n">
        <f aca="false">ROUNDUP(CL1690+MAX(CM1690,2*(J1690/IF(CH1690&gt;0,CH1690,MAX(0.1,N(Cockpit!$I$6)))-CL1690)),0)</f>
        <v>3</v>
      </c>
      <c r="AX1690" s="63" t="n">
        <f aca="false">IF(AT1690&gt;0,J1690/AT1690,-1)</f>
        <v>0</v>
      </c>
      <c r="AY1690" s="63" t="n">
        <f aca="false">IF(AND(OR(CG1690="L1",CG1690="L23",CG1690="LIFT"),AT1690&gt;0),SUMIFS($AT$7:$AT$1843,$CG$7:$CG$1843,CG1690,$AX$7:$AX$1843,"&gt;"&amp;AX1690)+SUMIFS($AT$7:$AT$1843,$CG$7:$CG$1843,CG1690,$AX$7:$AX$1843,AX1690,$BX$7:$BX$1843,"&lt;="&amp;BX1690),"")</f>
        <v>39209.6699907908</v>
      </c>
      <c r="AZ1690" s="70" t="n">
        <f aca="false">IF(AY1690="",0,MAX(0,MIN(1,(IF(CG1690="L1",Parameter!$H$5,IF(CG1690="L23",Parameter!$H$6+Parameter!$H$7,Parameter!$H$5+Parameter!$H$6+Parameter!$H$7))-(AY1690-AT1690))/AT1690)))</f>
        <v>0</v>
      </c>
      <c r="BA1690" s="62" t="n">
        <f aca="false">IF(LEFT(Cockpit!$O$5,1)="A",H1690,IF(Parameter!$E$30="MAX-Bestand",IF(CI1690=1,CJ1690,IF(LEFT(Cockpit!$O$5,1)="B",BG1690,MAX(BG1690,H1690))),ROUNDUP(BE1690,0)))</f>
        <v>2</v>
      </c>
      <c r="BB1690" s="62" t="n">
        <f aca="false">IF(CA1690=1,0,ROUNDUP(BA1690/BZ1690,0))</f>
        <v>1</v>
      </c>
      <c r="BC1690" s="64" t="n">
        <f aca="false">IF(CR1690&gt;0,CR1690*MAX(1,BA1690/X1690),IF(CA1690=1,IF(BA1690&lt;=0,0,CE1690*MAX(1,IF(H1690&gt;0,BA1690/H1690,1))),IF(R1690&gt;0,BB1690/R1690,0))/MAX(0.1,N(Parameter!$M$21)))</f>
        <v>0.0833333333333333</v>
      </c>
      <c r="BD1690" s="62" t="n">
        <f aca="false">BC1690*CC1690</f>
        <v>12.0833333333333</v>
      </c>
      <c r="BE1690" s="63" t="n">
        <f aca="false">IF(LEFT(Cockpit!$O$5,1)="A",H1690,IF(CI1690=1,(CL1690+CJ1690)/2,IF(LEFT(Cockpit!$O$5,1)="B",(CL1690+BG1690)/2,MAX((CL1690+BG1690)/2,H1690))))</f>
        <v>1.5</v>
      </c>
      <c r="BF1690" s="62" t="n">
        <f aca="false">BE1690*G1690</f>
        <v>442.5</v>
      </c>
      <c r="BG1690" s="62" t="n">
        <f aca="false">ROUNDUP(CL1690+MAX(CM1690,2*(J1690/IF(CH1690&gt;0,CH1690,MAX(0.1,N(Cockpit!$O$6)))-CL1690)),0)</f>
        <v>3</v>
      </c>
      <c r="BH1690" s="63" t="n">
        <f aca="false">IF(BD1690&gt;0,J1690/BD1690,-1)</f>
        <v>0</v>
      </c>
      <c r="BI1690" s="63" t="n">
        <f aca="false">IF(AND(OR(CG1690="L1",CG1690="L23",CG1690="LIFT"),BD1690&gt;0),SUMIFS($BD$7:$BD$1843,$CG$7:$CG$1843,CG1690,$BH$7:$BH$1843,"&gt;"&amp;BH1690)+SUMIFS($BD$7:$BD$1843,$CG$7:$CG$1843,CG1690,$BH$7:$BH$1843,BH1690,$BX$7:$BX$1843,"&lt;="&amp;BX1690),"")</f>
        <v>32459.9445996565</v>
      </c>
      <c r="BJ1690" s="70" t="n">
        <f aca="false">IF(BI1690="",0,MAX(0,MIN(1,(IF(CG1690="L1",Parameter!$H$5,IF(CG1690="L23",Parameter!$H$6+Parameter!$H$7,Parameter!$H$5+Parameter!$H$6+Parameter!$H$7))-(BI1690-BD1690))/BD1690)))</f>
        <v>1</v>
      </c>
      <c r="BK1690" s="60" t="str">
        <f aca="false">IF(AJ1690&lt;=0,"",IF(CG1690="Aussen","Aussenlager",IF(CG1690="-","Nicht im Lift",IF(AP1690&gt;=1,"Lift",IF(AP1690&lt;=0,"Aussenlager","teilweise")))))</f>
        <v>Lift</v>
      </c>
      <c r="BL1690" s="60" t="str">
        <f aca="false">IF(AT1690&lt;=0,"",IF(CG1690="Aussen","Aussenlager",IF(CG1690="-","Nicht im Lift",IF(AZ1690&gt;=1,"Lift",IF(AZ1690&lt;=0,"Aussenlager","teilweise")))))</f>
        <v>Aussenlager</v>
      </c>
      <c r="BM1690" s="60" t="str">
        <f aca="false">IF(BD1690&lt;=0,"",IF(CG1690="Aussen","Aussenlager",IF(CG1690="-","Nicht im Lift",IF(BJ1690&gt;=1,"Lift",IF(BJ1690&lt;=0,"Aussenlager","teilweise")))))</f>
        <v>Lift</v>
      </c>
      <c r="BN1690" s="60" t="str">
        <f aca="false">IF(A1690="","",IF(BW1690=1,"Neu; ","")&amp;IF(AND(BW1690=0,BR1690&lt;0),"negativer Bestand (Export "&amp;BR1690&amp;"); ","")&amp;IF(J1690&lt;=0,"Kein Verbrauch; ","")&amp;IF(CR1690&gt;0,"Lift "&amp;W1690&amp;" lt. Liftbericht (Fach "&amp;X1690&amp;" Stk); ",IF(CB1690=1,"Gebinde geschätzt ("&amp;T1690&amp;"); ",IF(CA1690=1,"Lose – Tablare geschätzt; ","")))&amp;IF(H1690&gt;AW1690,"Überbestand "&amp;ROUND(H1690-AW1690,0)&amp;" Stk / CHF "&amp;ROUND((H1690-AW1690)*G1690,0)&amp;"; ","")&amp;IF(AND(CI1690=1,CJ1690&lt;CK1690),"MAX &lt; MB+LG; ","")&amp;IF(AND(CQ1690&gt;0,CP1690*10&gt;CQ1690),"zu hoch für Tablar; ","")&amp;IF(AND(BW1690=0,OR(CI1690=1,AB1690&lt;&gt;"",U1690&lt;&gt;"",V1690&lt;&gt;"",AC1690&lt;&gt;"")),"manuell übersteuert; ","")&amp;IF(AND(CA1690=0,R1690=0),"Gebinde unbekannt / Stellmass fehlt; ","")&amp;IF(AND(CA1690=0,N(V1690)&lt;=0,N(Q1690)&lt;=0),"Menge pro Gebinde fehlt (Ist = 1 Gebinde); ","")&amp;BV1690)</f>
        <v>Kein Verbrauch; nur im Artikelstamm (Bestand 23.06.2026); Neuer Art.</v>
      </c>
      <c r="BO1690" s="60"/>
      <c r="BP1690" s="60"/>
      <c r="BQ1690" s="67"/>
      <c r="BR1690" s="62" t="n">
        <v>3</v>
      </c>
      <c r="BS1690" s="62" t="n">
        <v>0</v>
      </c>
      <c r="BT1690" s="61" t="n">
        <v>0</v>
      </c>
      <c r="BU1690" s="62" t="n">
        <v>0</v>
      </c>
      <c r="BV1690" s="60" t="s">
        <v>2915</v>
      </c>
      <c r="BW1690" s="65" t="n">
        <v>0</v>
      </c>
      <c r="BX1690" s="65" t="n">
        <v>1690</v>
      </c>
      <c r="BY1690" s="60" t="str">
        <f aca="false">IF(U1690&lt;&gt;"",UPPER(TRIM(U1690)),IF(CB1690=1,UPPER(VLOOKUP(T1690,Parameter!$I$27:$K$29,2,0)),IF(P1690="","LOSE",P1690)))</f>
        <v>S61</v>
      </c>
      <c r="BZ1690" s="62" t="n">
        <f aca="false">IF(BY1690="LOSE",1,IF(N(V1690)&gt;0,V1690,IF(CB1690=1,MAX(1,N(VLOOKUP(T1690,Parameter!$I$27:$K$29,3,0)),H1690,N(N1690)),IF(N(Q1690)&gt;0,Q1690,MAX(1,H1690)))))</f>
        <v>3</v>
      </c>
      <c r="CA1690" s="65" t="n">
        <f aca="false">IF(BY1690="LOSE",1,0)</f>
        <v>0</v>
      </c>
      <c r="CB1690" s="65" t="n">
        <f aca="false">IF(AND(U1690="",OR(P1690="",P1690="LOSE"),T1690&lt;&gt;"",N(S1690)&lt;=0,ISNUMBER(MATCH(T1690,Parameter!$I$27:$I$29,0))),1,0)</f>
        <v>0</v>
      </c>
      <c r="CC1690" s="65" t="n">
        <f aca="false">IF(CR1690&gt;0,INDEX(Parameter!$H$5:$H$7,W1690)/INDEX(Parameter!$E$5:$E$7,W1690),IF(AND(CA1690=0,N(IFERROR(VLOOKUP(BY1690,'Gebinde-Kategorie'!$A$5:$N$45,14,0),0))&gt;0),VLOOKUP(BY1690,'Gebinde-Kategorie'!$A$5:$N$45,14,0)*10+Parameter!$M$23,Parameter!$M$24))</f>
        <v>145</v>
      </c>
      <c r="CD1690" s="60" t="str">
        <f aca="false">IF(AND(Parameter!$B$19="Ja",E1690&lt;&gt;"",ISNUMBER(MATCH(E1690,Parameter!$I$35:$I$52,0))),VLOOKUP(E1690,Parameter!$I$35:$J$52,2,0),IFERROR(VLOOKUP(D1690,Parameter!$A$35:$C$64,2,0),"Nein"))</f>
        <v>2+3</v>
      </c>
      <c r="CE1690" s="64" t="n">
        <f aca="false">IF(CA1690=0,0,IF(N(S1690)&gt;0,S1690,IFERROR(VLOOKUP(D1690,Parameter!$A$35:$C$64,3,0)+0,0)))</f>
        <v>0</v>
      </c>
      <c r="CF1690" s="60" t="n">
        <f aca="false">IF(AB1690&lt;&gt;"",AB1690,AA1690)</f>
        <v>3</v>
      </c>
      <c r="CG1690" s="60" t="str">
        <f aca="false">IF(OR(CF1690=1,CF1690=2,CF1690=3),IF(Parameter!$E$27="Ja","LIFT",IF(CF1690=1,"L1","L23")),IF(CF1690="Aussen","Aussen","-"))</f>
        <v>LIFT</v>
      </c>
      <c r="CH1690" s="71" t="n">
        <f aca="false">IF(N(AC1690)&gt;0,AC1690,0)</f>
        <v>0</v>
      </c>
      <c r="CI1690" s="65" t="n">
        <f aca="false">IF(ISNUMBER(AF1690),1,0)</f>
        <v>0</v>
      </c>
      <c r="CJ1690" s="62" t="n">
        <f aca="false">N(AF1690)</f>
        <v>0</v>
      </c>
      <c r="CK1690" s="62" t="n">
        <f aca="false">N(M1690)+N(N1690)</f>
        <v>3</v>
      </c>
      <c r="CL1690" s="62" t="n">
        <f aca="false">N(M1690)</f>
        <v>0</v>
      </c>
      <c r="CM1690" s="62" t="n">
        <f aca="false">N(N1690)</f>
        <v>3</v>
      </c>
      <c r="CN1690" s="62" t="n">
        <f aca="false">ROUNDUP(H1690/BZ1690,0)</f>
        <v>1</v>
      </c>
      <c r="CO1690" s="62" t="n">
        <f aca="false">ROUNDUP(CJ1690/BZ1690,0)</f>
        <v>0</v>
      </c>
      <c r="CP1690" s="65" t="n">
        <f aca="false">IF(CA1690=1,0,IFERROR(VLOOKUP(BY1690,'Gebinde-Kategorie'!$A$5:$N$45,5,0)+0,0))</f>
        <v>11</v>
      </c>
      <c r="CQ1690" s="65" t="n">
        <f aca="false">IFERROR(IF(OR(CF1690=1,CF1690=2,CF1690=3),N(INDEX(Parameter!$I$5:$I$7,CF1690)),0),0)</f>
        <v>0</v>
      </c>
      <c r="CR1690" s="64" t="n">
        <f aca="false">IF(AND(Parameter!$B$21="Ja",ISNUMBER(W1690),N(X1690)&gt;0),IFERROR(N(INDEX(Parameter!$L$5:$L$7,W1690))*INDEX(Parameter!$E$5:$E$7,W1690)*X1690/SUMIFS($X$7:$X$1843,$W$7:$W$1843,W1690),0),0)</f>
        <v>0</v>
      </c>
      <c r="CS1690" s="62" t="n">
        <f aca="false">IF(AND(OR(CG1690="L1",CG1690="L23",CG1690="LIFT"),H1690&gt;0),CC1690*IF(CR1690&gt;0,CR1690*MAX(1,H1690/X1690),IF(CA1690=1,CE1690,IF(R1690&gt;0,CN1690/R1690,0))/MAX(0.1,N(Parameter!$M$21))),"")</f>
        <v>12.0833333333333</v>
      </c>
      <c r="CT1690" s="64" t="n">
        <f aca="false">IF(CS1690="","",J1690/H1690)</f>
        <v>0</v>
      </c>
      <c r="CU1690" s="62" t="n">
        <f aca="false">IF(CS1690="","",H1690*G1690)</f>
        <v>885</v>
      </c>
      <c r="CV1690" s="63" t="n">
        <f aca="false">IF(CS1690="","",(CL1690+ROUNDUP(CL1690+MAX(CM1690,2*(J1690/MAX(0.1,N(Einkauf!$C$6))-CL1690)),0))/2)</f>
        <v>1.5</v>
      </c>
      <c r="CW1690" s="62" t="n">
        <f aca="false">IF(CS1690="","",MAX(0,H1690-CV1690)*G1690)</f>
        <v>442.5</v>
      </c>
      <c r="CX1690" s="62" t="n">
        <f aca="false">IF(CS1690="","",CS1690*MAX(0,1-CV1690/H1690))</f>
        <v>6.04166666666667</v>
      </c>
      <c r="CY1690" s="64" t="n">
        <f aca="false">IF(CS1690="","",PERCENTRANK($CS$7:$CS$1843,CS1690)+PERCENTRANK($CU$7:$CU$1843,CU1690)+1-PERCENTRANK($CT$7:$CT$1843,CT1690))</f>
        <v>2.284</v>
      </c>
      <c r="CZ1690" s="72" t="n">
        <f aca="false">IF(CS1690="","",CHOOSE(MATCH(Einkauf!$C$5,Parameter!$G$23:$G$27,0),CY1690,CS1690,CU1690,-CT1690,CW1690)+ROW()/1000000000)</f>
        <v>2.28400169</v>
      </c>
    </row>
    <row r="1691" customFormat="false" ht="15" hidden="false" customHeight="false" outlineLevel="0" collapsed="false">
      <c r="A1691" s="60" t="s">
        <v>2972</v>
      </c>
      <c r="B1691" s="60" t="s">
        <v>604</v>
      </c>
      <c r="C1691" s="60" t="s">
        <v>206</v>
      </c>
      <c r="D1691" s="60" t="s">
        <v>226</v>
      </c>
      <c r="E1691" s="60"/>
      <c r="F1691" s="60"/>
      <c r="G1691" s="61" t="n">
        <v>127</v>
      </c>
      <c r="H1691" s="62" t="n">
        <f aca="false">MAX(0,IF(AND(Parameter!$B$21="Ja",ISNUMBER(Y1691)),Y1691,IF(Parameter!$B$20="Jahresanfang 2025 + Export",BS1691+BR1691,BR1691)))</f>
        <v>23</v>
      </c>
      <c r="I1691" s="62" t="n">
        <f aca="false">H1691*G1691</f>
        <v>2921</v>
      </c>
      <c r="J1691" s="62" t="n">
        <f aca="false">BU1691*Parameter!$B$18</f>
        <v>0</v>
      </c>
      <c r="K1691" s="63"/>
      <c r="L1691" s="64"/>
      <c r="M1691" s="62" t="n">
        <v>0</v>
      </c>
      <c r="N1691" s="62" t="n">
        <v>1</v>
      </c>
      <c r="O1691" s="65" t="n">
        <v>35</v>
      </c>
      <c r="P1691" s="60" t="s">
        <v>344</v>
      </c>
      <c r="Q1691" s="62" t="n">
        <v>20</v>
      </c>
      <c r="R1691" s="65" t="n">
        <f aca="false">IF(CA1691=1,0,IFERROR(VLOOKUP(BY1691,'Gebinde-Kategorie'!$A$5:$N$45,13,0)+0,0))</f>
        <v>26</v>
      </c>
      <c r="S1691" s="66"/>
      <c r="T1691" s="67"/>
      <c r="U1691" s="67"/>
      <c r="V1691" s="67"/>
      <c r="W1691" s="60"/>
      <c r="X1691" s="62"/>
      <c r="Y1691" s="62"/>
      <c r="Z1691" s="60" t="n">
        <v>3</v>
      </c>
      <c r="AA1691" s="60" t="n">
        <f aca="false">IF(A1691="","",IF(AND(Parameter!$B$21="Ja",ISNUMBER(W1691)),W1691,IF(AND(Parameter!$E$27="Ja",ISNUMBER(Z1691),CD1691&lt;&gt;"Nein"),Z1691,IF(CD1691="2+3",IF(ISNUMBER(SEARCH("grosser Artikel",BV1691)),2,IFERROR(VLOOKUP(BY1691,Parameter!$F$35:$G$64,2,0),2)),IF(OR(CD1691="Nein",CD1691=""),"-",CD1691)))))</f>
        <v>3</v>
      </c>
      <c r="AB1691" s="67"/>
      <c r="AC1691" s="68"/>
      <c r="AD1691" s="62" t="n">
        <f aca="false">AW1691</f>
        <v>1</v>
      </c>
      <c r="AE1691" s="62" t="n">
        <f aca="false">MAX(AW1691,H1691)</f>
        <v>23</v>
      </c>
      <c r="AF1691" s="69"/>
      <c r="AG1691" s="62" t="n">
        <f aca="false">IF(LEFT(Cockpit!$C$5,1)="A",H1691,IF(Parameter!$E$30="MAX-Bestand",IF(CI1691=1,CJ1691,IF(LEFT(Cockpit!$C$5,1)="B",AM1691,MAX(AM1691,H1691))),ROUNDUP(AK1691,0)))</f>
        <v>23</v>
      </c>
      <c r="AH1691" s="62" t="n">
        <f aca="false">IF(CA1691=1,0,ROUNDUP(AG1691/BZ1691,0))</f>
        <v>2</v>
      </c>
      <c r="AI1691" s="64" t="n">
        <f aca="false">IF(CR1691&gt;0,CR1691*MAX(1,AG1691/X1691),IF(CA1691=1,IF(AG1691&lt;=0,0,CE1691*MAX(1,IF(H1691&gt;0,AG1691/H1691,1))),IF(R1691&gt;0,AH1691/R1691,0))/MAX(0.1,N(Parameter!$M$21)))</f>
        <v>0.0769230769230769</v>
      </c>
      <c r="AJ1691" s="62" t="n">
        <f aca="false">AI1691*CC1691</f>
        <v>11.9230769230769</v>
      </c>
      <c r="AK1691" s="63" t="n">
        <f aca="false">IF(LEFT(Cockpit!$C$5,1)="A",H1691,IF(CI1691=1,(CL1691+CJ1691)/2,IF(LEFT(Cockpit!$C$5,1)="B",(CL1691+AM1691)/2,MAX((CL1691+AM1691)/2,H1691))))</f>
        <v>23</v>
      </c>
      <c r="AL1691" s="62" t="n">
        <f aca="false">AK1691*G1691</f>
        <v>2921</v>
      </c>
      <c r="AM1691" s="62" t="n">
        <f aca="false">ROUNDUP(CL1691+MAX(CM1691,2*(J1691/IF(CH1691&gt;0,CH1691,MAX(0.1,N(Cockpit!$C$6)))-CL1691)),0)</f>
        <v>1</v>
      </c>
      <c r="AN1691" s="63" t="n">
        <f aca="false">IF(AJ1691&gt;0,J1691/AJ1691,-1)</f>
        <v>0</v>
      </c>
      <c r="AO1691" s="63" t="n">
        <f aca="false">IF(AND(OR(CG1691="L1",CG1691="L23",CG1691="LIFT"),AJ1691&gt;0),SUMIFS($AJ$7:$AJ$1843,$CG$7:$CG$1843,CG1691,$AN$7:$AN$1843,"&gt;"&amp;AN1691)+SUMIFS($AJ$7:$AJ$1843,$CG$7:$CG$1843,CG1691,$AN$7:$AN$1843,AN1691,$BX$7:$BX$1843,"&lt;="&amp;BX1691),"")</f>
        <v>32749.3448371309</v>
      </c>
      <c r="AP1691" s="70" t="n">
        <f aca="false">IF(AO1691="",0,MAX(0,MIN(1,(IF(CG1691="L1",Parameter!$H$5,IF(CG1691="L23",Parameter!$H$6+Parameter!$H$7,Parameter!$H$5+Parameter!$H$6+Parameter!$H$7))-(AO1691-AJ1691))/AJ1691)))</f>
        <v>1</v>
      </c>
      <c r="AQ1691" s="62" t="n">
        <f aca="false">IF(LEFT(Cockpit!$I$5,1)="A",H1691,IF(Parameter!$E$30="MAX-Bestand",IF(CI1691=1,CJ1691,IF(LEFT(Cockpit!$I$5,1)="B",AW1691,MAX(AW1691,H1691))),ROUNDUP(AU1691,0)))</f>
        <v>23</v>
      </c>
      <c r="AR1691" s="62" t="n">
        <f aca="false">IF(CA1691=1,0,ROUNDUP(AQ1691/BZ1691,0))</f>
        <v>2</v>
      </c>
      <c r="AS1691" s="64" t="n">
        <f aca="false">IF(CR1691&gt;0,CR1691*MAX(1,AQ1691/X1691),IF(CA1691=1,IF(AQ1691&lt;=0,0,CE1691*MAX(1,IF(H1691&gt;0,AQ1691/H1691,1))),IF(R1691&gt;0,AR1691/R1691,0))/MAX(0.1,N(Parameter!$M$21)))</f>
        <v>0.0769230769230769</v>
      </c>
      <c r="AT1691" s="62" t="n">
        <f aca="false">AS1691*CC1691</f>
        <v>11.9230769230769</v>
      </c>
      <c r="AU1691" s="63" t="n">
        <f aca="false">IF(LEFT(Cockpit!$I$5,1)="A",H1691,IF(CI1691=1,(CL1691+CJ1691)/2,IF(LEFT(Cockpit!$I$5,1)="B",(CL1691+AW1691)/2,MAX((CL1691+AW1691)/2,H1691))))</f>
        <v>23</v>
      </c>
      <c r="AV1691" s="62" t="n">
        <f aca="false">AU1691*G1691</f>
        <v>2921</v>
      </c>
      <c r="AW1691" s="62" t="n">
        <f aca="false">ROUNDUP(CL1691+MAX(CM1691,2*(J1691/IF(CH1691&gt;0,CH1691,MAX(0.1,N(Cockpit!$I$6)))-CL1691)),0)</f>
        <v>1</v>
      </c>
      <c r="AX1691" s="63" t="n">
        <f aca="false">IF(AT1691&gt;0,J1691/AT1691,-1)</f>
        <v>0</v>
      </c>
      <c r="AY1691" s="63" t="n">
        <f aca="false">IF(AND(OR(CG1691="L1",CG1691="L23",CG1691="LIFT"),AT1691&gt;0),SUMIFS($AT$7:$AT$1843,$CG$7:$CG$1843,CG1691,$AX$7:$AX$1843,"&gt;"&amp;AX1691)+SUMIFS($AT$7:$AT$1843,$CG$7:$CG$1843,CG1691,$AX$7:$AX$1843,AX1691,$BX$7:$BX$1843,"&lt;="&amp;BX1691),"")</f>
        <v>39221.5930677138</v>
      </c>
      <c r="AZ1691" s="70" t="n">
        <f aca="false">IF(AY1691="",0,MAX(0,MIN(1,(IF(CG1691="L1",Parameter!$H$5,IF(CG1691="L23",Parameter!$H$6+Parameter!$H$7,Parameter!$H$5+Parameter!$H$6+Parameter!$H$7))-(AY1691-AT1691))/AT1691)))</f>
        <v>0</v>
      </c>
      <c r="BA1691" s="62" t="n">
        <f aca="false">IF(LEFT(Cockpit!$O$5,1)="A",H1691,IF(Parameter!$E$30="MAX-Bestand",IF(CI1691=1,CJ1691,IF(LEFT(Cockpit!$O$5,1)="B",BG1691,MAX(BG1691,H1691))),ROUNDUP(BE1691,0)))</f>
        <v>1</v>
      </c>
      <c r="BB1691" s="62" t="n">
        <f aca="false">IF(CA1691=1,0,ROUNDUP(BA1691/BZ1691,0))</f>
        <v>1</v>
      </c>
      <c r="BC1691" s="64" t="n">
        <f aca="false">IF(CR1691&gt;0,CR1691*MAX(1,BA1691/X1691),IF(CA1691=1,IF(BA1691&lt;=0,0,CE1691*MAX(1,IF(H1691&gt;0,BA1691/H1691,1))),IF(R1691&gt;0,BB1691/R1691,0))/MAX(0.1,N(Parameter!$M$21)))</f>
        <v>0.0384615384615385</v>
      </c>
      <c r="BD1691" s="62" t="n">
        <f aca="false">BC1691*CC1691</f>
        <v>5.96153846153846</v>
      </c>
      <c r="BE1691" s="63" t="n">
        <f aca="false">IF(LEFT(Cockpit!$O$5,1)="A",H1691,IF(CI1691=1,(CL1691+CJ1691)/2,IF(LEFT(Cockpit!$O$5,1)="B",(CL1691+BG1691)/2,MAX((CL1691+BG1691)/2,H1691))))</f>
        <v>0.5</v>
      </c>
      <c r="BF1691" s="62" t="n">
        <f aca="false">BE1691*G1691</f>
        <v>63.5</v>
      </c>
      <c r="BG1691" s="62" t="n">
        <f aca="false">ROUNDUP(CL1691+MAX(CM1691,2*(J1691/IF(CH1691&gt;0,CH1691,MAX(0.1,N(Cockpit!$O$6)))-CL1691)),0)</f>
        <v>1</v>
      </c>
      <c r="BH1691" s="63" t="n">
        <f aca="false">IF(BD1691&gt;0,J1691/BD1691,-1)</f>
        <v>0</v>
      </c>
      <c r="BI1691" s="63" t="n">
        <f aca="false">IF(AND(OR(CG1691="L1",CG1691="L23",CG1691="LIFT"),BD1691&gt;0),SUMIFS($BD$7:$BD$1843,$CG$7:$CG$1843,CG1691,$BH$7:$BH$1843,"&gt;"&amp;BH1691)+SUMIFS($BD$7:$BD$1843,$CG$7:$CG$1843,CG1691,$BH$7:$BH$1843,BH1691,$BX$7:$BX$1843,"&lt;="&amp;BX1691),"")</f>
        <v>32465.906138118</v>
      </c>
      <c r="BJ1691" s="70" t="n">
        <f aca="false">IF(BI1691="",0,MAX(0,MIN(1,(IF(CG1691="L1",Parameter!$H$5,IF(CG1691="L23",Parameter!$H$6+Parameter!$H$7,Parameter!$H$5+Parameter!$H$6+Parameter!$H$7))-(BI1691-BD1691))/BD1691)))</f>
        <v>1</v>
      </c>
      <c r="BK1691" s="60" t="str">
        <f aca="false">IF(AJ1691&lt;=0,"",IF(CG1691="Aussen","Aussenlager",IF(CG1691="-","Nicht im Lift",IF(AP1691&gt;=1,"Lift",IF(AP1691&lt;=0,"Aussenlager","teilweise")))))</f>
        <v>Lift</v>
      </c>
      <c r="BL1691" s="60" t="str">
        <f aca="false">IF(AT1691&lt;=0,"",IF(CG1691="Aussen","Aussenlager",IF(CG1691="-","Nicht im Lift",IF(AZ1691&gt;=1,"Lift",IF(AZ1691&lt;=0,"Aussenlager","teilweise")))))</f>
        <v>Aussenlager</v>
      </c>
      <c r="BM1691" s="60" t="str">
        <f aca="false">IF(BD1691&lt;=0,"",IF(CG1691="Aussen","Aussenlager",IF(CG1691="-","Nicht im Lift",IF(BJ1691&gt;=1,"Lift",IF(BJ1691&lt;=0,"Aussenlager","teilweise")))))</f>
        <v>Lift</v>
      </c>
      <c r="BN1691" s="60" t="str">
        <f aca="false">IF(A1691="","",IF(BW1691=1,"Neu; ","")&amp;IF(AND(BW1691=0,BR1691&lt;0),"negativer Bestand (Export "&amp;BR1691&amp;"); ","")&amp;IF(J1691&lt;=0,"Kein Verbrauch; ","")&amp;IF(CR1691&gt;0,"Lift "&amp;W1691&amp;" lt. Liftbericht (Fach "&amp;X1691&amp;" Stk); ",IF(CB1691=1,"Gebinde geschätzt ("&amp;T1691&amp;"); ",IF(CA1691=1,"Lose – Tablare geschätzt; ","")))&amp;IF(H1691&gt;AW1691,"Überbestand "&amp;ROUND(H1691-AW1691,0)&amp;" Stk / CHF "&amp;ROUND((H1691-AW1691)*G1691,0)&amp;"; ","")&amp;IF(AND(CI1691=1,CJ1691&lt;CK1691),"MAX &lt; MB+LG; ","")&amp;IF(AND(CQ1691&gt;0,CP1691*10&gt;CQ1691),"zu hoch für Tablar; ","")&amp;IF(AND(BW1691=0,OR(CI1691=1,AB1691&lt;&gt;"",U1691&lt;&gt;"",V1691&lt;&gt;"",AC1691&lt;&gt;"")),"manuell übersteuert; ","")&amp;IF(AND(CA1691=0,R1691=0),"Gebinde unbekannt / Stellmass fehlt; ","")&amp;IF(AND(CA1691=0,N(V1691)&lt;=0,N(Q1691)&lt;=0),"Menge pro Gebinde fehlt (Ist = 1 Gebinde); ","")&amp;BV1691)</f>
        <v>Kein Verbrauch; Überbestand 22 Stk / CHF 2794; nur im Artikelstamm (Bestand 23.06.2026)</v>
      </c>
      <c r="BO1691" s="60"/>
      <c r="BP1691" s="60"/>
      <c r="BQ1691" s="67"/>
      <c r="BR1691" s="62" t="n">
        <v>23</v>
      </c>
      <c r="BS1691" s="62" t="n">
        <v>0</v>
      </c>
      <c r="BT1691" s="61" t="n">
        <v>0</v>
      </c>
      <c r="BU1691" s="62" t="n">
        <v>0</v>
      </c>
      <c r="BV1691" s="60" t="s">
        <v>2617</v>
      </c>
      <c r="BW1691" s="65" t="n">
        <v>0</v>
      </c>
      <c r="BX1691" s="65" t="n">
        <v>1691</v>
      </c>
      <c r="BY1691" s="60" t="str">
        <f aca="false">IF(U1691&lt;&gt;"",UPPER(TRIM(U1691)),IF(CB1691=1,UPPER(VLOOKUP(T1691,Parameter!$I$27:$K$29,2,0)),IF(P1691="","LOSE",P1691)))</f>
        <v>S51</v>
      </c>
      <c r="BZ1691" s="62" t="n">
        <f aca="false">IF(BY1691="LOSE",1,IF(N(V1691)&gt;0,V1691,IF(CB1691=1,MAX(1,N(VLOOKUP(T1691,Parameter!$I$27:$K$29,3,0)),H1691,N(N1691)),IF(N(Q1691)&gt;0,Q1691,MAX(1,H1691)))))</f>
        <v>20</v>
      </c>
      <c r="CA1691" s="65" t="n">
        <f aca="false">IF(BY1691="LOSE",1,0)</f>
        <v>0</v>
      </c>
      <c r="CB1691" s="65" t="n">
        <f aca="false">IF(AND(U1691="",OR(P1691="",P1691="LOSE"),T1691&lt;&gt;"",N(S1691)&lt;=0,ISNUMBER(MATCH(T1691,Parameter!$I$27:$I$29,0))),1,0)</f>
        <v>0</v>
      </c>
      <c r="CC1691" s="65" t="n">
        <f aca="false">IF(CR1691&gt;0,INDEX(Parameter!$H$5:$H$7,W1691)/INDEX(Parameter!$E$5:$E$7,W1691),IF(AND(CA1691=0,N(IFERROR(VLOOKUP(BY1691,'Gebinde-Kategorie'!$A$5:$N$45,14,0),0))&gt;0),VLOOKUP(BY1691,'Gebinde-Kategorie'!$A$5:$N$45,14,0)*10+Parameter!$M$23,Parameter!$M$24))</f>
        <v>155</v>
      </c>
      <c r="CD1691" s="60" t="str">
        <f aca="false">IF(AND(Parameter!$B$19="Ja",E1691&lt;&gt;"",ISNUMBER(MATCH(E1691,Parameter!$I$35:$I$52,0))),VLOOKUP(E1691,Parameter!$I$35:$J$52,2,0),IFERROR(VLOOKUP(D1691,Parameter!$A$35:$C$64,2,0),"Nein"))</f>
        <v>2+3</v>
      </c>
      <c r="CE1691" s="64" t="n">
        <f aca="false">IF(CA1691=0,0,IF(N(S1691)&gt;0,S1691,IFERROR(VLOOKUP(D1691,Parameter!$A$35:$C$64,3,0)+0,0)))</f>
        <v>0</v>
      </c>
      <c r="CF1691" s="60" t="n">
        <f aca="false">IF(AB1691&lt;&gt;"",AB1691,AA1691)</f>
        <v>3</v>
      </c>
      <c r="CG1691" s="60" t="str">
        <f aca="false">IF(OR(CF1691=1,CF1691=2,CF1691=3),IF(Parameter!$E$27="Ja","LIFT",IF(CF1691=1,"L1","L23")),IF(CF1691="Aussen","Aussen","-"))</f>
        <v>LIFT</v>
      </c>
      <c r="CH1691" s="71" t="n">
        <f aca="false">IF(N(AC1691)&gt;0,AC1691,0)</f>
        <v>0</v>
      </c>
      <c r="CI1691" s="65" t="n">
        <f aca="false">IF(ISNUMBER(AF1691),1,0)</f>
        <v>0</v>
      </c>
      <c r="CJ1691" s="62" t="n">
        <f aca="false">N(AF1691)</f>
        <v>0</v>
      </c>
      <c r="CK1691" s="62" t="n">
        <f aca="false">N(M1691)+N(N1691)</f>
        <v>1</v>
      </c>
      <c r="CL1691" s="62" t="n">
        <f aca="false">N(M1691)</f>
        <v>0</v>
      </c>
      <c r="CM1691" s="62" t="n">
        <f aca="false">N(N1691)</f>
        <v>1</v>
      </c>
      <c r="CN1691" s="62" t="n">
        <f aca="false">ROUNDUP(H1691/BZ1691,0)</f>
        <v>2</v>
      </c>
      <c r="CO1691" s="62" t="n">
        <f aca="false">ROUNDUP(CJ1691/BZ1691,0)</f>
        <v>0</v>
      </c>
      <c r="CP1691" s="65" t="n">
        <f aca="false">IF(CA1691=1,0,IFERROR(VLOOKUP(BY1691,'Gebinde-Kategorie'!$A$5:$N$45,5,0)+0,0))</f>
        <v>11</v>
      </c>
      <c r="CQ1691" s="65" t="n">
        <f aca="false">IFERROR(IF(OR(CF1691=1,CF1691=2,CF1691=3),N(INDEX(Parameter!$I$5:$I$7,CF1691)),0),0)</f>
        <v>0</v>
      </c>
      <c r="CR1691" s="64" t="n">
        <f aca="false">IF(AND(Parameter!$B$21="Ja",ISNUMBER(W1691),N(X1691)&gt;0),IFERROR(N(INDEX(Parameter!$L$5:$L$7,W1691))*INDEX(Parameter!$E$5:$E$7,W1691)*X1691/SUMIFS($X$7:$X$1843,$W$7:$W$1843,W1691),0),0)</f>
        <v>0</v>
      </c>
      <c r="CS1691" s="62" t="n">
        <f aca="false">IF(AND(OR(CG1691="L1",CG1691="L23",CG1691="LIFT"),H1691&gt;0),CC1691*IF(CR1691&gt;0,CR1691*MAX(1,H1691/X1691),IF(CA1691=1,CE1691,IF(R1691&gt;0,CN1691/R1691,0))/MAX(0.1,N(Parameter!$M$21))),"")</f>
        <v>11.9230769230769</v>
      </c>
      <c r="CT1691" s="64" t="n">
        <f aca="false">IF(CS1691="","",J1691/H1691)</f>
        <v>0</v>
      </c>
      <c r="CU1691" s="62" t="n">
        <f aca="false">IF(CS1691="","",H1691*G1691)</f>
        <v>2921</v>
      </c>
      <c r="CV1691" s="63" t="n">
        <f aca="false">IF(CS1691="","",(CL1691+ROUNDUP(CL1691+MAX(CM1691,2*(J1691/MAX(0.1,N(Einkauf!$C$6))-CL1691)),0))/2)</f>
        <v>0.5</v>
      </c>
      <c r="CW1691" s="62" t="n">
        <f aca="false">IF(CS1691="","",MAX(0,H1691-CV1691)*G1691)</f>
        <v>2857.5</v>
      </c>
      <c r="CX1691" s="62" t="n">
        <f aca="false">IF(CS1691="","",CS1691*MAX(0,1-CV1691/H1691))</f>
        <v>11.6638795986622</v>
      </c>
      <c r="CY1691" s="64" t="n">
        <f aca="false">IF(CS1691="","",PERCENTRANK($CS$7:$CS$1843,CS1691)+PERCENTRANK($CU$7:$CU$1843,CU1691)+1-PERCENTRANK($CT$7:$CT$1843,CT1691))</f>
        <v>2.457</v>
      </c>
      <c r="CZ1691" s="72" t="n">
        <f aca="false">IF(CS1691="","",CHOOSE(MATCH(Einkauf!$C$5,Parameter!$G$23:$G$27,0),CY1691,CS1691,CU1691,-CT1691,CW1691)+ROW()/1000000000)</f>
        <v>2.457001691</v>
      </c>
    </row>
    <row r="1692" customFormat="false" ht="15" hidden="false" customHeight="false" outlineLevel="0" collapsed="false">
      <c r="A1692" s="60" t="s">
        <v>2973</v>
      </c>
      <c r="B1692" s="60" t="s">
        <v>574</v>
      </c>
      <c r="C1692" s="60" t="s">
        <v>206</v>
      </c>
      <c r="D1692" s="60" t="s">
        <v>226</v>
      </c>
      <c r="E1692" s="60"/>
      <c r="F1692" s="60"/>
      <c r="G1692" s="61" t="n">
        <v>15.36</v>
      </c>
      <c r="H1692" s="62" t="n">
        <f aca="false">MAX(0,IF(AND(Parameter!$B$21="Ja",ISNUMBER(Y1692)),Y1692,IF(Parameter!$B$20="Jahresanfang 2025 + Export",BS1692+BR1692,BR1692)))</f>
        <v>11</v>
      </c>
      <c r="I1692" s="62" t="n">
        <f aca="false">H1692*G1692</f>
        <v>168.96</v>
      </c>
      <c r="J1692" s="62" t="n">
        <f aca="false">BU1692*Parameter!$B$18</f>
        <v>0</v>
      </c>
      <c r="K1692" s="63"/>
      <c r="L1692" s="64"/>
      <c r="M1692" s="62" t="n">
        <v>0</v>
      </c>
      <c r="N1692" s="62" t="n">
        <v>1</v>
      </c>
      <c r="O1692" s="65" t="n">
        <v>97</v>
      </c>
      <c r="P1692" s="60" t="s">
        <v>344</v>
      </c>
      <c r="Q1692" s="62" t="n">
        <v>17</v>
      </c>
      <c r="R1692" s="65" t="n">
        <f aca="false">IF(CA1692=1,0,IFERROR(VLOOKUP(BY1692,'Gebinde-Kategorie'!$A$5:$N$45,13,0)+0,0))</f>
        <v>26</v>
      </c>
      <c r="S1692" s="66"/>
      <c r="T1692" s="67"/>
      <c r="U1692" s="67"/>
      <c r="V1692" s="67"/>
      <c r="W1692" s="60"/>
      <c r="X1692" s="62"/>
      <c r="Y1692" s="62"/>
      <c r="Z1692" s="60" t="n">
        <v>3</v>
      </c>
      <c r="AA1692" s="60" t="n">
        <f aca="false">IF(A1692="","",IF(AND(Parameter!$B$21="Ja",ISNUMBER(W1692)),W1692,IF(AND(Parameter!$E$27="Ja",ISNUMBER(Z1692),CD1692&lt;&gt;"Nein"),Z1692,IF(CD1692="2+3",IF(ISNUMBER(SEARCH("grosser Artikel",BV1692)),2,IFERROR(VLOOKUP(BY1692,Parameter!$F$35:$G$64,2,0),2)),IF(OR(CD1692="Nein",CD1692=""),"-",CD1692)))))</f>
        <v>3</v>
      </c>
      <c r="AB1692" s="67"/>
      <c r="AC1692" s="68"/>
      <c r="AD1692" s="62" t="n">
        <f aca="false">AW1692</f>
        <v>1</v>
      </c>
      <c r="AE1692" s="62" t="n">
        <f aca="false">MAX(AW1692,H1692)</f>
        <v>11</v>
      </c>
      <c r="AF1692" s="69"/>
      <c r="AG1692" s="62" t="n">
        <f aca="false">IF(LEFT(Cockpit!$C$5,1)="A",H1692,IF(Parameter!$E$30="MAX-Bestand",IF(CI1692=1,CJ1692,IF(LEFT(Cockpit!$C$5,1)="B",AM1692,MAX(AM1692,H1692))),ROUNDUP(AK1692,0)))</f>
        <v>11</v>
      </c>
      <c r="AH1692" s="62" t="n">
        <f aca="false">IF(CA1692=1,0,ROUNDUP(AG1692/BZ1692,0))</f>
        <v>1</v>
      </c>
      <c r="AI1692" s="64" t="n">
        <f aca="false">IF(CR1692&gt;0,CR1692*MAX(1,AG1692/X1692),IF(CA1692=1,IF(AG1692&lt;=0,0,CE1692*MAX(1,IF(H1692&gt;0,AG1692/H1692,1))),IF(R1692&gt;0,AH1692/R1692,0))/MAX(0.1,N(Parameter!$M$21)))</f>
        <v>0.0384615384615385</v>
      </c>
      <c r="AJ1692" s="62" t="n">
        <f aca="false">AI1692*CC1692</f>
        <v>5.96153846153846</v>
      </c>
      <c r="AK1692" s="63" t="n">
        <f aca="false">IF(LEFT(Cockpit!$C$5,1)="A",H1692,IF(CI1692=1,(CL1692+CJ1692)/2,IF(LEFT(Cockpit!$C$5,1)="B",(CL1692+AM1692)/2,MAX((CL1692+AM1692)/2,H1692))))</f>
        <v>11</v>
      </c>
      <c r="AL1692" s="62" t="n">
        <f aca="false">AK1692*G1692</f>
        <v>168.96</v>
      </c>
      <c r="AM1692" s="62" t="n">
        <f aca="false">ROUNDUP(CL1692+MAX(CM1692,2*(J1692/IF(CH1692&gt;0,CH1692,MAX(0.1,N(Cockpit!$C$6)))-CL1692)),0)</f>
        <v>1</v>
      </c>
      <c r="AN1692" s="63" t="n">
        <f aca="false">IF(AJ1692&gt;0,J1692/AJ1692,-1)</f>
        <v>0</v>
      </c>
      <c r="AO1692" s="63" t="n">
        <f aca="false">IF(AND(OR(CG1692="L1",CG1692="L23",CG1692="LIFT"),AJ1692&gt;0),SUMIFS($AJ$7:$AJ$1843,$CG$7:$CG$1843,CG1692,$AN$7:$AN$1843,"&gt;"&amp;AN1692)+SUMIFS($AJ$7:$AJ$1843,$CG$7:$CG$1843,CG1692,$AN$7:$AN$1843,AN1692,$BX$7:$BX$1843,"&lt;="&amp;BX1692),"")</f>
        <v>32755.3063755924</v>
      </c>
      <c r="AP1692" s="70" t="n">
        <f aca="false">IF(AO1692="",0,MAX(0,MIN(1,(IF(CG1692="L1",Parameter!$H$5,IF(CG1692="L23",Parameter!$H$6+Parameter!$H$7,Parameter!$H$5+Parameter!$H$6+Parameter!$H$7))-(AO1692-AJ1692))/AJ1692)))</f>
        <v>1</v>
      </c>
      <c r="AQ1692" s="62" t="n">
        <f aca="false">IF(LEFT(Cockpit!$I$5,1)="A",H1692,IF(Parameter!$E$30="MAX-Bestand",IF(CI1692=1,CJ1692,IF(LEFT(Cockpit!$I$5,1)="B",AW1692,MAX(AW1692,H1692))),ROUNDUP(AU1692,0)))</f>
        <v>11</v>
      </c>
      <c r="AR1692" s="62" t="n">
        <f aca="false">IF(CA1692=1,0,ROUNDUP(AQ1692/BZ1692,0))</f>
        <v>1</v>
      </c>
      <c r="AS1692" s="64" t="n">
        <f aca="false">IF(CR1692&gt;0,CR1692*MAX(1,AQ1692/X1692),IF(CA1692=1,IF(AQ1692&lt;=0,0,CE1692*MAX(1,IF(H1692&gt;0,AQ1692/H1692,1))),IF(R1692&gt;0,AR1692/R1692,0))/MAX(0.1,N(Parameter!$M$21)))</f>
        <v>0.0384615384615385</v>
      </c>
      <c r="AT1692" s="62" t="n">
        <f aca="false">AS1692*CC1692</f>
        <v>5.96153846153846</v>
      </c>
      <c r="AU1692" s="63" t="n">
        <f aca="false">IF(LEFT(Cockpit!$I$5,1)="A",H1692,IF(CI1692=1,(CL1692+CJ1692)/2,IF(LEFT(Cockpit!$I$5,1)="B",(CL1692+AW1692)/2,MAX((CL1692+AW1692)/2,H1692))))</f>
        <v>11</v>
      </c>
      <c r="AV1692" s="62" t="n">
        <f aca="false">AU1692*G1692</f>
        <v>168.96</v>
      </c>
      <c r="AW1692" s="62" t="n">
        <f aca="false">ROUNDUP(CL1692+MAX(CM1692,2*(J1692/IF(CH1692&gt;0,CH1692,MAX(0.1,N(Cockpit!$I$6)))-CL1692)),0)</f>
        <v>1</v>
      </c>
      <c r="AX1692" s="63" t="n">
        <f aca="false">IF(AT1692&gt;0,J1692/AT1692,-1)</f>
        <v>0</v>
      </c>
      <c r="AY1692" s="63" t="n">
        <f aca="false">IF(AND(OR(CG1692="L1",CG1692="L23",CG1692="LIFT"),AT1692&gt;0),SUMIFS($AT$7:$AT$1843,$CG$7:$CG$1843,CG1692,$AX$7:$AX$1843,"&gt;"&amp;AX1692)+SUMIFS($AT$7:$AT$1843,$CG$7:$CG$1843,CG1692,$AX$7:$AX$1843,AX1692,$BX$7:$BX$1843,"&lt;="&amp;BX1692),"")</f>
        <v>39227.5546061754</v>
      </c>
      <c r="AZ1692" s="70" t="n">
        <f aca="false">IF(AY1692="",0,MAX(0,MIN(1,(IF(CG1692="L1",Parameter!$H$5,IF(CG1692="L23",Parameter!$H$6+Parameter!$H$7,Parameter!$H$5+Parameter!$H$6+Parameter!$H$7))-(AY1692-AT1692))/AT1692)))</f>
        <v>0</v>
      </c>
      <c r="BA1692" s="62" t="n">
        <f aca="false">IF(LEFT(Cockpit!$O$5,1)="A",H1692,IF(Parameter!$E$30="MAX-Bestand",IF(CI1692=1,CJ1692,IF(LEFT(Cockpit!$O$5,1)="B",BG1692,MAX(BG1692,H1692))),ROUNDUP(BE1692,0)))</f>
        <v>1</v>
      </c>
      <c r="BB1692" s="62" t="n">
        <f aca="false">IF(CA1692=1,0,ROUNDUP(BA1692/BZ1692,0))</f>
        <v>1</v>
      </c>
      <c r="BC1692" s="64" t="n">
        <f aca="false">IF(CR1692&gt;0,CR1692*MAX(1,BA1692/X1692),IF(CA1692=1,IF(BA1692&lt;=0,0,CE1692*MAX(1,IF(H1692&gt;0,BA1692/H1692,1))),IF(R1692&gt;0,BB1692/R1692,0))/MAX(0.1,N(Parameter!$M$21)))</f>
        <v>0.0384615384615385</v>
      </c>
      <c r="BD1692" s="62" t="n">
        <f aca="false">BC1692*CC1692</f>
        <v>5.96153846153846</v>
      </c>
      <c r="BE1692" s="63" t="n">
        <f aca="false">IF(LEFT(Cockpit!$O$5,1)="A",H1692,IF(CI1692=1,(CL1692+CJ1692)/2,IF(LEFT(Cockpit!$O$5,1)="B",(CL1692+BG1692)/2,MAX((CL1692+BG1692)/2,H1692))))</f>
        <v>0.5</v>
      </c>
      <c r="BF1692" s="62" t="n">
        <f aca="false">BE1692*G1692</f>
        <v>7.68</v>
      </c>
      <c r="BG1692" s="62" t="n">
        <f aca="false">ROUNDUP(CL1692+MAX(CM1692,2*(J1692/IF(CH1692&gt;0,CH1692,MAX(0.1,N(Cockpit!$O$6)))-CL1692)),0)</f>
        <v>1</v>
      </c>
      <c r="BH1692" s="63" t="n">
        <f aca="false">IF(BD1692&gt;0,J1692/BD1692,-1)</f>
        <v>0</v>
      </c>
      <c r="BI1692" s="63" t="n">
        <f aca="false">IF(AND(OR(CG1692="L1",CG1692="L23",CG1692="LIFT"),BD1692&gt;0),SUMIFS($BD$7:$BD$1843,$CG$7:$CG$1843,CG1692,$BH$7:$BH$1843,"&gt;"&amp;BH1692)+SUMIFS($BD$7:$BD$1843,$CG$7:$CG$1843,CG1692,$BH$7:$BH$1843,BH1692,$BX$7:$BX$1843,"&lt;="&amp;BX1692),"")</f>
        <v>32471.8676765795</v>
      </c>
      <c r="BJ1692" s="70" t="n">
        <f aca="false">IF(BI1692="",0,MAX(0,MIN(1,(IF(CG1692="L1",Parameter!$H$5,IF(CG1692="L23",Parameter!$H$6+Parameter!$H$7,Parameter!$H$5+Parameter!$H$6+Parameter!$H$7))-(BI1692-BD1692))/BD1692)))</f>
        <v>1</v>
      </c>
      <c r="BK1692" s="60" t="str">
        <f aca="false">IF(AJ1692&lt;=0,"",IF(CG1692="Aussen","Aussenlager",IF(CG1692="-","Nicht im Lift",IF(AP1692&gt;=1,"Lift",IF(AP1692&lt;=0,"Aussenlager","teilweise")))))</f>
        <v>Lift</v>
      </c>
      <c r="BL1692" s="60" t="str">
        <f aca="false">IF(AT1692&lt;=0,"",IF(CG1692="Aussen","Aussenlager",IF(CG1692="-","Nicht im Lift",IF(AZ1692&gt;=1,"Lift",IF(AZ1692&lt;=0,"Aussenlager","teilweise")))))</f>
        <v>Aussenlager</v>
      </c>
      <c r="BM1692" s="60" t="str">
        <f aca="false">IF(BD1692&lt;=0,"",IF(CG1692="Aussen","Aussenlager",IF(CG1692="-","Nicht im Lift",IF(BJ1692&gt;=1,"Lift",IF(BJ1692&lt;=0,"Aussenlager","teilweise")))))</f>
        <v>Lift</v>
      </c>
      <c r="BN1692" s="60" t="str">
        <f aca="false">IF(A1692="","",IF(BW1692=1,"Neu; ","")&amp;IF(AND(BW1692=0,BR1692&lt;0),"negativer Bestand (Export "&amp;BR1692&amp;"); ","")&amp;IF(J1692&lt;=0,"Kein Verbrauch; ","")&amp;IF(CR1692&gt;0,"Lift "&amp;W1692&amp;" lt. Liftbericht (Fach "&amp;X1692&amp;" Stk); ",IF(CB1692=1,"Gebinde geschätzt ("&amp;T1692&amp;"); ",IF(CA1692=1,"Lose – Tablare geschätzt; ","")))&amp;IF(H1692&gt;AW1692,"Überbestand "&amp;ROUND(H1692-AW1692,0)&amp;" Stk / CHF "&amp;ROUND((H1692-AW1692)*G1692,0)&amp;"; ","")&amp;IF(AND(CI1692=1,CJ1692&lt;CK1692),"MAX &lt; MB+LG; ","")&amp;IF(AND(CQ1692&gt;0,CP1692*10&gt;CQ1692),"zu hoch für Tablar; ","")&amp;IF(AND(BW1692=0,OR(CI1692=1,AB1692&lt;&gt;"",U1692&lt;&gt;"",V1692&lt;&gt;"",AC1692&lt;&gt;"")),"manuell übersteuert; ","")&amp;IF(AND(CA1692=0,R1692=0),"Gebinde unbekannt / Stellmass fehlt; ","")&amp;IF(AND(CA1692=0,N(V1692)&lt;=0,N(Q1692)&lt;=0),"Menge pro Gebinde fehlt (Ist = 1 Gebinde); ","")&amp;BV1692)</f>
        <v>Kein Verbrauch; Überbestand 10 Stk / CHF 154; nur im Artikelstamm (Bestand 23.06.2026); Überbestand</v>
      </c>
      <c r="BO1692" s="60"/>
      <c r="BP1692" s="60"/>
      <c r="BQ1692" s="67"/>
      <c r="BR1692" s="62" t="n">
        <v>11</v>
      </c>
      <c r="BS1692" s="62" t="n">
        <v>0</v>
      </c>
      <c r="BT1692" s="61" t="n">
        <v>0</v>
      </c>
      <c r="BU1692" s="62" t="n">
        <v>0</v>
      </c>
      <c r="BV1692" s="60" t="s">
        <v>2614</v>
      </c>
      <c r="BW1692" s="65" t="n">
        <v>0</v>
      </c>
      <c r="BX1692" s="65" t="n">
        <v>1692</v>
      </c>
      <c r="BY1692" s="60" t="str">
        <f aca="false">IF(U1692&lt;&gt;"",UPPER(TRIM(U1692)),IF(CB1692=1,UPPER(VLOOKUP(T1692,Parameter!$I$27:$K$29,2,0)),IF(P1692="","LOSE",P1692)))</f>
        <v>S51</v>
      </c>
      <c r="BZ1692" s="62" t="n">
        <f aca="false">IF(BY1692="LOSE",1,IF(N(V1692)&gt;0,V1692,IF(CB1692=1,MAX(1,N(VLOOKUP(T1692,Parameter!$I$27:$K$29,3,0)),H1692,N(N1692)),IF(N(Q1692)&gt;0,Q1692,MAX(1,H1692)))))</f>
        <v>17</v>
      </c>
      <c r="CA1692" s="65" t="n">
        <f aca="false">IF(BY1692="LOSE",1,0)</f>
        <v>0</v>
      </c>
      <c r="CB1692" s="65" t="n">
        <f aca="false">IF(AND(U1692="",OR(P1692="",P1692="LOSE"),T1692&lt;&gt;"",N(S1692)&lt;=0,ISNUMBER(MATCH(T1692,Parameter!$I$27:$I$29,0))),1,0)</f>
        <v>0</v>
      </c>
      <c r="CC1692" s="65" t="n">
        <f aca="false">IF(CR1692&gt;0,INDEX(Parameter!$H$5:$H$7,W1692)/INDEX(Parameter!$E$5:$E$7,W1692),IF(AND(CA1692=0,N(IFERROR(VLOOKUP(BY1692,'Gebinde-Kategorie'!$A$5:$N$45,14,0),0))&gt;0),VLOOKUP(BY1692,'Gebinde-Kategorie'!$A$5:$N$45,14,0)*10+Parameter!$M$23,Parameter!$M$24))</f>
        <v>155</v>
      </c>
      <c r="CD1692" s="60" t="str">
        <f aca="false">IF(AND(Parameter!$B$19="Ja",E1692&lt;&gt;"",ISNUMBER(MATCH(E1692,Parameter!$I$35:$I$52,0))),VLOOKUP(E1692,Parameter!$I$35:$J$52,2,0),IFERROR(VLOOKUP(D1692,Parameter!$A$35:$C$64,2,0),"Nein"))</f>
        <v>2+3</v>
      </c>
      <c r="CE1692" s="64" t="n">
        <f aca="false">IF(CA1692=0,0,IF(N(S1692)&gt;0,S1692,IFERROR(VLOOKUP(D1692,Parameter!$A$35:$C$64,3,0)+0,0)))</f>
        <v>0</v>
      </c>
      <c r="CF1692" s="60" t="n">
        <f aca="false">IF(AB1692&lt;&gt;"",AB1692,AA1692)</f>
        <v>3</v>
      </c>
      <c r="CG1692" s="60" t="str">
        <f aca="false">IF(OR(CF1692=1,CF1692=2,CF1692=3),IF(Parameter!$E$27="Ja","LIFT",IF(CF1692=1,"L1","L23")),IF(CF1692="Aussen","Aussen","-"))</f>
        <v>LIFT</v>
      </c>
      <c r="CH1692" s="71" t="n">
        <f aca="false">IF(N(AC1692)&gt;0,AC1692,0)</f>
        <v>0</v>
      </c>
      <c r="CI1692" s="65" t="n">
        <f aca="false">IF(ISNUMBER(AF1692),1,0)</f>
        <v>0</v>
      </c>
      <c r="CJ1692" s="62" t="n">
        <f aca="false">N(AF1692)</f>
        <v>0</v>
      </c>
      <c r="CK1692" s="62" t="n">
        <f aca="false">N(M1692)+N(N1692)</f>
        <v>1</v>
      </c>
      <c r="CL1692" s="62" t="n">
        <f aca="false">N(M1692)</f>
        <v>0</v>
      </c>
      <c r="CM1692" s="62" t="n">
        <f aca="false">N(N1692)</f>
        <v>1</v>
      </c>
      <c r="CN1692" s="62" t="n">
        <f aca="false">ROUNDUP(H1692/BZ1692,0)</f>
        <v>1</v>
      </c>
      <c r="CO1692" s="62" t="n">
        <f aca="false">ROUNDUP(CJ1692/BZ1692,0)</f>
        <v>0</v>
      </c>
      <c r="CP1692" s="65" t="n">
        <f aca="false">IF(CA1692=1,0,IFERROR(VLOOKUP(BY1692,'Gebinde-Kategorie'!$A$5:$N$45,5,0)+0,0))</f>
        <v>11</v>
      </c>
      <c r="CQ1692" s="65" t="n">
        <f aca="false">IFERROR(IF(OR(CF1692=1,CF1692=2,CF1692=3),N(INDEX(Parameter!$I$5:$I$7,CF1692)),0),0)</f>
        <v>0</v>
      </c>
      <c r="CR1692" s="64" t="n">
        <f aca="false">IF(AND(Parameter!$B$21="Ja",ISNUMBER(W1692),N(X1692)&gt;0),IFERROR(N(INDEX(Parameter!$L$5:$L$7,W1692))*INDEX(Parameter!$E$5:$E$7,W1692)*X1692/SUMIFS($X$7:$X$1843,$W$7:$W$1843,W1692),0),0)</f>
        <v>0</v>
      </c>
      <c r="CS1692" s="62" t="n">
        <f aca="false">IF(AND(OR(CG1692="L1",CG1692="L23",CG1692="LIFT"),H1692&gt;0),CC1692*IF(CR1692&gt;0,CR1692*MAX(1,H1692/X1692),IF(CA1692=1,CE1692,IF(R1692&gt;0,CN1692/R1692,0))/MAX(0.1,N(Parameter!$M$21))),"")</f>
        <v>5.96153846153846</v>
      </c>
      <c r="CT1692" s="64" t="n">
        <f aca="false">IF(CS1692="","",J1692/H1692)</f>
        <v>0</v>
      </c>
      <c r="CU1692" s="62" t="n">
        <f aca="false">IF(CS1692="","",H1692*G1692)</f>
        <v>168.96</v>
      </c>
      <c r="CV1692" s="63" t="n">
        <f aca="false">IF(CS1692="","",(CL1692+ROUNDUP(CL1692+MAX(CM1692,2*(J1692/MAX(0.1,N(Einkauf!$C$6))-CL1692)),0))/2)</f>
        <v>0.5</v>
      </c>
      <c r="CW1692" s="62" t="n">
        <f aca="false">IF(CS1692="","",MAX(0,H1692-CV1692)*G1692)</f>
        <v>161.28</v>
      </c>
      <c r="CX1692" s="62" t="n">
        <f aca="false">IF(CS1692="","",CS1692*MAX(0,1-CV1692/H1692))</f>
        <v>5.69055944055944</v>
      </c>
      <c r="CY1692" s="64" t="n">
        <f aca="false">IF(CS1692="","",PERCENTRANK($CS$7:$CS$1843,CS1692)+PERCENTRANK($CU$7:$CU$1843,CU1692)+1-PERCENTRANK($CT$7:$CT$1843,CT1692))</f>
        <v>1.67</v>
      </c>
      <c r="CZ1692" s="72" t="n">
        <f aca="false">IF(CS1692="","",CHOOSE(MATCH(Einkauf!$C$5,Parameter!$G$23:$G$27,0),CY1692,CS1692,CU1692,-CT1692,CW1692)+ROW()/1000000000)</f>
        <v>1.670001692</v>
      </c>
    </row>
    <row r="1693" customFormat="false" ht="15" hidden="false" customHeight="false" outlineLevel="0" collapsed="false">
      <c r="A1693" s="60" t="s">
        <v>2974</v>
      </c>
      <c r="B1693" s="60" t="s">
        <v>759</v>
      </c>
      <c r="C1693" s="60" t="s">
        <v>206</v>
      </c>
      <c r="D1693" s="60" t="s">
        <v>215</v>
      </c>
      <c r="E1693" s="60" t="s">
        <v>208</v>
      </c>
      <c r="F1693" s="60"/>
      <c r="G1693" s="61" t="n">
        <v>69</v>
      </c>
      <c r="H1693" s="62" t="n">
        <f aca="false">MAX(0,IF(AND(Parameter!$B$21="Ja",ISNUMBER(Y1693)),Y1693,IF(Parameter!$B$20="Jahresanfang 2025 + Export",BS1693+BR1693,BR1693)))</f>
        <v>4</v>
      </c>
      <c r="I1693" s="62" t="n">
        <f aca="false">H1693*G1693</f>
        <v>276</v>
      </c>
      <c r="J1693" s="62" t="n">
        <f aca="false">BU1693*Parameter!$B$18</f>
        <v>0</v>
      </c>
      <c r="K1693" s="63"/>
      <c r="L1693" s="64"/>
      <c r="M1693" s="62" t="n">
        <v>0</v>
      </c>
      <c r="N1693" s="62" t="n">
        <v>10</v>
      </c>
      <c r="O1693" s="65" t="n">
        <v>56</v>
      </c>
      <c r="P1693" s="60" t="s">
        <v>344</v>
      </c>
      <c r="Q1693" s="62" t="n">
        <v>15</v>
      </c>
      <c r="R1693" s="65" t="n">
        <f aca="false">IF(CA1693=1,0,IFERROR(VLOOKUP(BY1693,'Gebinde-Kategorie'!$A$5:$N$45,13,0)+0,0))</f>
        <v>26</v>
      </c>
      <c r="S1693" s="66"/>
      <c r="T1693" s="67"/>
      <c r="U1693" s="67"/>
      <c r="V1693" s="67"/>
      <c r="W1693" s="60"/>
      <c r="X1693" s="62"/>
      <c r="Y1693" s="62"/>
      <c r="Z1693" s="60" t="n">
        <v>3</v>
      </c>
      <c r="AA1693" s="60" t="n">
        <f aca="false">IF(A1693="","",IF(AND(Parameter!$B$21="Ja",ISNUMBER(W1693)),W1693,IF(AND(Parameter!$E$27="Ja",ISNUMBER(Z1693),CD1693&lt;&gt;"Nein"),Z1693,IF(CD1693="2+3",IF(ISNUMBER(SEARCH("grosser Artikel",BV1693)),2,IFERROR(VLOOKUP(BY1693,Parameter!$F$35:$G$64,2,0),2)),IF(OR(CD1693="Nein",CD1693=""),"-",CD1693)))))</f>
        <v>3</v>
      </c>
      <c r="AB1693" s="67"/>
      <c r="AC1693" s="68"/>
      <c r="AD1693" s="62" t="n">
        <f aca="false">AW1693</f>
        <v>10</v>
      </c>
      <c r="AE1693" s="62" t="n">
        <f aca="false">MAX(AW1693,H1693)</f>
        <v>10</v>
      </c>
      <c r="AF1693" s="69"/>
      <c r="AG1693" s="62" t="n">
        <f aca="false">IF(LEFT(Cockpit!$C$5,1)="A",H1693,IF(Parameter!$E$30="MAX-Bestand",IF(CI1693=1,CJ1693,IF(LEFT(Cockpit!$C$5,1)="B",AM1693,MAX(AM1693,H1693))),ROUNDUP(AK1693,0)))</f>
        <v>4</v>
      </c>
      <c r="AH1693" s="62" t="n">
        <f aca="false">IF(CA1693=1,0,ROUNDUP(AG1693/BZ1693,0))</f>
        <v>1</v>
      </c>
      <c r="AI1693" s="64" t="n">
        <f aca="false">IF(CR1693&gt;0,CR1693*MAX(1,AG1693/X1693),IF(CA1693=1,IF(AG1693&lt;=0,0,CE1693*MAX(1,IF(H1693&gt;0,AG1693/H1693,1))),IF(R1693&gt;0,AH1693/R1693,0))/MAX(0.1,N(Parameter!$M$21)))</f>
        <v>0.0384615384615385</v>
      </c>
      <c r="AJ1693" s="62" t="n">
        <f aca="false">AI1693*CC1693</f>
        <v>5.96153846153846</v>
      </c>
      <c r="AK1693" s="63" t="n">
        <f aca="false">IF(LEFT(Cockpit!$C$5,1)="A",H1693,IF(CI1693=1,(CL1693+CJ1693)/2,IF(LEFT(Cockpit!$C$5,1)="B",(CL1693+AM1693)/2,MAX((CL1693+AM1693)/2,H1693))))</f>
        <v>4</v>
      </c>
      <c r="AL1693" s="62" t="n">
        <f aca="false">AK1693*G1693</f>
        <v>276</v>
      </c>
      <c r="AM1693" s="62" t="n">
        <f aca="false">ROUNDUP(CL1693+MAX(CM1693,2*(J1693/IF(CH1693&gt;0,CH1693,MAX(0.1,N(Cockpit!$C$6)))-CL1693)),0)</f>
        <v>10</v>
      </c>
      <c r="AN1693" s="63" t="n">
        <f aca="false">IF(AJ1693&gt;0,J1693/AJ1693,-1)</f>
        <v>0</v>
      </c>
      <c r="AO1693" s="63" t="n">
        <f aca="false">IF(AND(OR(CG1693="L1",CG1693="L23",CG1693="LIFT"),AJ1693&gt;0),SUMIFS($AJ$7:$AJ$1843,$CG$7:$CG$1843,CG1693,$AN$7:$AN$1843,"&gt;"&amp;AN1693)+SUMIFS($AJ$7:$AJ$1843,$CG$7:$CG$1843,CG1693,$AN$7:$AN$1843,AN1693,$BX$7:$BX$1843,"&lt;="&amp;BX1693),"")</f>
        <v>32761.2679140539</v>
      </c>
      <c r="AP1693" s="70" t="n">
        <f aca="false">IF(AO1693="",0,MAX(0,MIN(1,(IF(CG1693="L1",Parameter!$H$5,IF(CG1693="L23",Parameter!$H$6+Parameter!$H$7,Parameter!$H$5+Parameter!$H$6+Parameter!$H$7))-(AO1693-AJ1693))/AJ1693)))</f>
        <v>1</v>
      </c>
      <c r="AQ1693" s="62" t="n">
        <f aca="false">IF(LEFT(Cockpit!$I$5,1)="A",H1693,IF(Parameter!$E$30="MAX-Bestand",IF(CI1693=1,CJ1693,IF(LEFT(Cockpit!$I$5,1)="B",AW1693,MAX(AW1693,H1693))),ROUNDUP(AU1693,0)))</f>
        <v>5</v>
      </c>
      <c r="AR1693" s="62" t="n">
        <f aca="false">IF(CA1693=1,0,ROUNDUP(AQ1693/BZ1693,0))</f>
        <v>1</v>
      </c>
      <c r="AS1693" s="64" t="n">
        <f aca="false">IF(CR1693&gt;0,CR1693*MAX(1,AQ1693/X1693),IF(CA1693=1,IF(AQ1693&lt;=0,0,CE1693*MAX(1,IF(H1693&gt;0,AQ1693/H1693,1))),IF(R1693&gt;0,AR1693/R1693,0))/MAX(0.1,N(Parameter!$M$21)))</f>
        <v>0.0384615384615385</v>
      </c>
      <c r="AT1693" s="62" t="n">
        <f aca="false">AS1693*CC1693</f>
        <v>5.96153846153846</v>
      </c>
      <c r="AU1693" s="63" t="n">
        <f aca="false">IF(LEFT(Cockpit!$I$5,1)="A",H1693,IF(CI1693=1,(CL1693+CJ1693)/2,IF(LEFT(Cockpit!$I$5,1)="B",(CL1693+AW1693)/2,MAX((CL1693+AW1693)/2,H1693))))</f>
        <v>5</v>
      </c>
      <c r="AV1693" s="62" t="n">
        <f aca="false">AU1693*G1693</f>
        <v>345</v>
      </c>
      <c r="AW1693" s="62" t="n">
        <f aca="false">ROUNDUP(CL1693+MAX(CM1693,2*(J1693/IF(CH1693&gt;0,CH1693,MAX(0.1,N(Cockpit!$I$6)))-CL1693)),0)</f>
        <v>10</v>
      </c>
      <c r="AX1693" s="63" t="n">
        <f aca="false">IF(AT1693&gt;0,J1693/AT1693,-1)</f>
        <v>0</v>
      </c>
      <c r="AY1693" s="63" t="n">
        <f aca="false">IF(AND(OR(CG1693="L1",CG1693="L23",CG1693="LIFT"),AT1693&gt;0),SUMIFS($AT$7:$AT$1843,$CG$7:$CG$1843,CG1693,$AX$7:$AX$1843,"&gt;"&amp;AX1693)+SUMIFS($AT$7:$AT$1843,$CG$7:$CG$1843,CG1693,$AX$7:$AX$1843,AX1693,$BX$7:$BX$1843,"&lt;="&amp;BX1693),"")</f>
        <v>39233.5161446369</v>
      </c>
      <c r="AZ1693" s="70" t="n">
        <f aca="false">IF(AY1693="",0,MAX(0,MIN(1,(IF(CG1693="L1",Parameter!$H$5,IF(CG1693="L23",Parameter!$H$6+Parameter!$H$7,Parameter!$H$5+Parameter!$H$6+Parameter!$H$7))-(AY1693-AT1693))/AT1693)))</f>
        <v>0</v>
      </c>
      <c r="BA1693" s="62" t="n">
        <f aca="false">IF(LEFT(Cockpit!$O$5,1)="A",H1693,IF(Parameter!$E$30="MAX-Bestand",IF(CI1693=1,CJ1693,IF(LEFT(Cockpit!$O$5,1)="B",BG1693,MAX(BG1693,H1693))),ROUNDUP(BE1693,0)))</f>
        <v>5</v>
      </c>
      <c r="BB1693" s="62" t="n">
        <f aca="false">IF(CA1693=1,0,ROUNDUP(BA1693/BZ1693,0))</f>
        <v>1</v>
      </c>
      <c r="BC1693" s="64" t="n">
        <f aca="false">IF(CR1693&gt;0,CR1693*MAX(1,BA1693/X1693),IF(CA1693=1,IF(BA1693&lt;=0,0,CE1693*MAX(1,IF(H1693&gt;0,BA1693/H1693,1))),IF(R1693&gt;0,BB1693/R1693,0))/MAX(0.1,N(Parameter!$M$21)))</f>
        <v>0.0384615384615385</v>
      </c>
      <c r="BD1693" s="62" t="n">
        <f aca="false">BC1693*CC1693</f>
        <v>5.96153846153846</v>
      </c>
      <c r="BE1693" s="63" t="n">
        <f aca="false">IF(LEFT(Cockpit!$O$5,1)="A",H1693,IF(CI1693=1,(CL1693+CJ1693)/2,IF(LEFT(Cockpit!$O$5,1)="B",(CL1693+BG1693)/2,MAX((CL1693+BG1693)/2,H1693))))</f>
        <v>5</v>
      </c>
      <c r="BF1693" s="62" t="n">
        <f aca="false">BE1693*G1693</f>
        <v>345</v>
      </c>
      <c r="BG1693" s="62" t="n">
        <f aca="false">ROUNDUP(CL1693+MAX(CM1693,2*(J1693/IF(CH1693&gt;0,CH1693,MAX(0.1,N(Cockpit!$O$6)))-CL1693)),0)</f>
        <v>10</v>
      </c>
      <c r="BH1693" s="63" t="n">
        <f aca="false">IF(BD1693&gt;0,J1693/BD1693,-1)</f>
        <v>0</v>
      </c>
      <c r="BI1693" s="63" t="n">
        <f aca="false">IF(AND(OR(CG1693="L1",CG1693="L23",CG1693="LIFT"),BD1693&gt;0),SUMIFS($BD$7:$BD$1843,$CG$7:$CG$1843,CG1693,$BH$7:$BH$1843,"&gt;"&amp;BH1693)+SUMIFS($BD$7:$BD$1843,$CG$7:$CG$1843,CG1693,$BH$7:$BH$1843,BH1693,$BX$7:$BX$1843,"&lt;="&amp;BX1693),"")</f>
        <v>32477.8292150411</v>
      </c>
      <c r="BJ1693" s="70" t="n">
        <f aca="false">IF(BI1693="",0,MAX(0,MIN(1,(IF(CG1693="L1",Parameter!$H$5,IF(CG1693="L23",Parameter!$H$6+Parameter!$H$7,Parameter!$H$5+Parameter!$H$6+Parameter!$H$7))-(BI1693-BD1693))/BD1693)))</f>
        <v>1</v>
      </c>
      <c r="BK1693" s="60" t="str">
        <f aca="false">IF(AJ1693&lt;=0,"",IF(CG1693="Aussen","Aussenlager",IF(CG1693="-","Nicht im Lift",IF(AP1693&gt;=1,"Lift",IF(AP1693&lt;=0,"Aussenlager","teilweise")))))</f>
        <v>Lift</v>
      </c>
      <c r="BL1693" s="60" t="str">
        <f aca="false">IF(AT1693&lt;=0,"",IF(CG1693="Aussen","Aussenlager",IF(CG1693="-","Nicht im Lift",IF(AZ1693&gt;=1,"Lift",IF(AZ1693&lt;=0,"Aussenlager","teilweise")))))</f>
        <v>Aussenlager</v>
      </c>
      <c r="BM1693" s="60" t="str">
        <f aca="false">IF(BD1693&lt;=0,"",IF(CG1693="Aussen","Aussenlager",IF(CG1693="-","Nicht im Lift",IF(BJ1693&gt;=1,"Lift",IF(BJ1693&lt;=0,"Aussenlager","teilweise")))))</f>
        <v>Lift</v>
      </c>
      <c r="BN1693" s="60" t="str">
        <f aca="false">IF(A1693="","",IF(BW1693=1,"Neu; ","")&amp;IF(AND(BW1693=0,BR1693&lt;0),"negativer Bestand (Export "&amp;BR1693&amp;"); ","")&amp;IF(J1693&lt;=0,"Kein Verbrauch; ","")&amp;IF(CR1693&gt;0,"Lift "&amp;W1693&amp;" lt. Liftbericht (Fach "&amp;X1693&amp;" Stk); ",IF(CB1693=1,"Gebinde geschätzt ("&amp;T1693&amp;"); ",IF(CA1693=1,"Lose – Tablare geschätzt; ","")))&amp;IF(H1693&gt;AW1693,"Überbestand "&amp;ROUND(H1693-AW1693,0)&amp;" Stk / CHF "&amp;ROUND((H1693-AW1693)*G1693,0)&amp;"; ","")&amp;IF(AND(CI1693=1,CJ1693&lt;CK1693),"MAX &lt; MB+LG; ","")&amp;IF(AND(CQ1693&gt;0,CP1693*10&gt;CQ1693),"zu hoch für Tablar; ","")&amp;IF(AND(BW1693=0,OR(CI1693=1,AB1693&lt;&gt;"",U1693&lt;&gt;"",V1693&lt;&gt;"",AC1693&lt;&gt;"")),"manuell übersteuert; ","")&amp;IF(AND(CA1693=0,R1693=0),"Gebinde unbekannt / Stellmass fehlt; ","")&amp;IF(AND(CA1693=0,N(V1693)&lt;=0,N(Q1693)&lt;=0),"Menge pro Gebinde fehlt (Ist = 1 Gebinde); ","")&amp;BV1693)</f>
        <v>Kein Verbrauch; nur im Artikelstamm (Bestand 23.06.2026)</v>
      </c>
      <c r="BO1693" s="60"/>
      <c r="BP1693" s="60"/>
      <c r="BQ1693" s="67"/>
      <c r="BR1693" s="62" t="n">
        <v>4</v>
      </c>
      <c r="BS1693" s="62" t="n">
        <v>0</v>
      </c>
      <c r="BT1693" s="61" t="n">
        <v>0</v>
      </c>
      <c r="BU1693" s="62" t="n">
        <v>0</v>
      </c>
      <c r="BV1693" s="60" t="s">
        <v>2617</v>
      </c>
      <c r="BW1693" s="65" t="n">
        <v>0</v>
      </c>
      <c r="BX1693" s="65" t="n">
        <v>1693</v>
      </c>
      <c r="BY1693" s="60" t="str">
        <f aca="false">IF(U1693&lt;&gt;"",UPPER(TRIM(U1693)),IF(CB1693=1,UPPER(VLOOKUP(T1693,Parameter!$I$27:$K$29,2,0)),IF(P1693="","LOSE",P1693)))</f>
        <v>S51</v>
      </c>
      <c r="BZ1693" s="62" t="n">
        <f aca="false">IF(BY1693="LOSE",1,IF(N(V1693)&gt;0,V1693,IF(CB1693=1,MAX(1,N(VLOOKUP(T1693,Parameter!$I$27:$K$29,3,0)),H1693,N(N1693)),IF(N(Q1693)&gt;0,Q1693,MAX(1,H1693)))))</f>
        <v>15</v>
      </c>
      <c r="CA1693" s="65" t="n">
        <f aca="false">IF(BY1693="LOSE",1,0)</f>
        <v>0</v>
      </c>
      <c r="CB1693" s="65" t="n">
        <f aca="false">IF(AND(U1693="",OR(P1693="",P1693="LOSE"),T1693&lt;&gt;"",N(S1693)&lt;=0,ISNUMBER(MATCH(T1693,Parameter!$I$27:$I$29,0))),1,0)</f>
        <v>0</v>
      </c>
      <c r="CC1693" s="65" t="n">
        <f aca="false">IF(CR1693&gt;0,INDEX(Parameter!$H$5:$H$7,W1693)/INDEX(Parameter!$E$5:$E$7,W1693),IF(AND(CA1693=0,N(IFERROR(VLOOKUP(BY1693,'Gebinde-Kategorie'!$A$5:$N$45,14,0),0))&gt;0),VLOOKUP(BY1693,'Gebinde-Kategorie'!$A$5:$N$45,14,0)*10+Parameter!$M$23,Parameter!$M$24))</f>
        <v>155</v>
      </c>
      <c r="CD1693" s="60" t="n">
        <f aca="false">IF(AND(Parameter!$B$19="Ja",E1693&lt;&gt;"",ISNUMBER(MATCH(E1693,Parameter!$I$35:$I$52,0))),VLOOKUP(E1693,Parameter!$I$35:$J$52,2,0),IFERROR(VLOOKUP(D1693,Parameter!$A$35:$C$64,2,0),"Nein"))</f>
        <v>1</v>
      </c>
      <c r="CE1693" s="64" t="n">
        <f aca="false">IF(CA1693=0,0,IF(N(S1693)&gt;0,S1693,IFERROR(VLOOKUP(D1693,Parameter!$A$35:$C$64,3,0)+0,0)))</f>
        <v>0</v>
      </c>
      <c r="CF1693" s="60" t="n">
        <f aca="false">IF(AB1693&lt;&gt;"",AB1693,AA1693)</f>
        <v>3</v>
      </c>
      <c r="CG1693" s="60" t="str">
        <f aca="false">IF(OR(CF1693=1,CF1693=2,CF1693=3),IF(Parameter!$E$27="Ja","LIFT",IF(CF1693=1,"L1","L23")),IF(CF1693="Aussen","Aussen","-"))</f>
        <v>LIFT</v>
      </c>
      <c r="CH1693" s="71" t="n">
        <f aca="false">IF(N(AC1693)&gt;0,AC1693,0)</f>
        <v>0</v>
      </c>
      <c r="CI1693" s="65" t="n">
        <f aca="false">IF(ISNUMBER(AF1693),1,0)</f>
        <v>0</v>
      </c>
      <c r="CJ1693" s="62" t="n">
        <f aca="false">N(AF1693)</f>
        <v>0</v>
      </c>
      <c r="CK1693" s="62" t="n">
        <f aca="false">N(M1693)+N(N1693)</f>
        <v>10</v>
      </c>
      <c r="CL1693" s="62" t="n">
        <f aca="false">N(M1693)</f>
        <v>0</v>
      </c>
      <c r="CM1693" s="62" t="n">
        <f aca="false">N(N1693)</f>
        <v>10</v>
      </c>
      <c r="CN1693" s="62" t="n">
        <f aca="false">ROUNDUP(H1693/BZ1693,0)</f>
        <v>1</v>
      </c>
      <c r="CO1693" s="62" t="n">
        <f aca="false">ROUNDUP(CJ1693/BZ1693,0)</f>
        <v>0</v>
      </c>
      <c r="CP1693" s="65" t="n">
        <f aca="false">IF(CA1693=1,0,IFERROR(VLOOKUP(BY1693,'Gebinde-Kategorie'!$A$5:$N$45,5,0)+0,0))</f>
        <v>11</v>
      </c>
      <c r="CQ1693" s="65" t="n">
        <f aca="false">IFERROR(IF(OR(CF1693=1,CF1693=2,CF1693=3),N(INDEX(Parameter!$I$5:$I$7,CF1693)),0),0)</f>
        <v>0</v>
      </c>
      <c r="CR1693" s="64" t="n">
        <f aca="false">IF(AND(Parameter!$B$21="Ja",ISNUMBER(W1693),N(X1693)&gt;0),IFERROR(N(INDEX(Parameter!$L$5:$L$7,W1693))*INDEX(Parameter!$E$5:$E$7,W1693)*X1693/SUMIFS($X$7:$X$1843,$W$7:$W$1843,W1693),0),0)</f>
        <v>0</v>
      </c>
      <c r="CS1693" s="62" t="n">
        <f aca="false">IF(AND(OR(CG1693="L1",CG1693="L23",CG1693="LIFT"),H1693&gt;0),CC1693*IF(CR1693&gt;0,CR1693*MAX(1,H1693/X1693),IF(CA1693=1,CE1693,IF(R1693&gt;0,CN1693/R1693,0))/MAX(0.1,N(Parameter!$M$21))),"")</f>
        <v>5.96153846153846</v>
      </c>
      <c r="CT1693" s="64" t="n">
        <f aca="false">IF(CS1693="","",J1693/H1693)</f>
        <v>0</v>
      </c>
      <c r="CU1693" s="62" t="n">
        <f aca="false">IF(CS1693="","",H1693*G1693)</f>
        <v>276</v>
      </c>
      <c r="CV1693" s="63" t="n">
        <f aca="false">IF(CS1693="","",(CL1693+ROUNDUP(CL1693+MAX(CM1693,2*(J1693/MAX(0.1,N(Einkauf!$C$6))-CL1693)),0))/2)</f>
        <v>5</v>
      </c>
      <c r="CW1693" s="62" t="n">
        <f aca="false">IF(CS1693="","",MAX(0,H1693-CV1693)*G1693)</f>
        <v>0</v>
      </c>
      <c r="CX1693" s="62" t="n">
        <f aca="false">IF(CS1693="","",CS1693*MAX(0,1-CV1693/H1693))</f>
        <v>0</v>
      </c>
      <c r="CY1693" s="64" t="n">
        <f aca="false">IF(CS1693="","",PERCENTRANK($CS$7:$CS$1843,CS1693)+PERCENTRANK($CU$7:$CU$1843,CU1693)+1-PERCENTRANK($CT$7:$CT$1843,CT1693))</f>
        <v>1.755</v>
      </c>
      <c r="CZ1693" s="72" t="n">
        <f aca="false">IF(CS1693="","",CHOOSE(MATCH(Einkauf!$C$5,Parameter!$G$23:$G$27,0),CY1693,CS1693,CU1693,-CT1693,CW1693)+ROW()/1000000000)</f>
        <v>1.755001693</v>
      </c>
    </row>
    <row r="1694" customFormat="false" ht="15" hidden="false" customHeight="false" outlineLevel="0" collapsed="false">
      <c r="A1694" s="60" t="s">
        <v>2975</v>
      </c>
      <c r="B1694" s="60" t="s">
        <v>2976</v>
      </c>
      <c r="C1694" s="60" t="s">
        <v>206</v>
      </c>
      <c r="D1694" s="60" t="s">
        <v>226</v>
      </c>
      <c r="E1694" s="60"/>
      <c r="F1694" s="60"/>
      <c r="G1694" s="61" t="n">
        <v>195.58</v>
      </c>
      <c r="H1694" s="62" t="n">
        <f aca="false">MAX(0,IF(AND(Parameter!$B$21="Ja",ISNUMBER(Y1694)),Y1694,IF(Parameter!$B$20="Jahresanfang 2025 + Export",BS1694+BR1694,BR1694)))</f>
        <v>4</v>
      </c>
      <c r="I1694" s="62" t="n">
        <f aca="false">H1694*G1694</f>
        <v>782.32</v>
      </c>
      <c r="J1694" s="62" t="n">
        <f aca="false">BU1694*Parameter!$B$18</f>
        <v>0</v>
      </c>
      <c r="K1694" s="63"/>
      <c r="L1694" s="64"/>
      <c r="M1694" s="62" t="n">
        <v>0</v>
      </c>
      <c r="N1694" s="62" t="n">
        <v>5</v>
      </c>
      <c r="O1694" s="65" t="n">
        <v>14</v>
      </c>
      <c r="P1694" s="60" t="s">
        <v>344</v>
      </c>
      <c r="Q1694" s="62" t="n">
        <v>6</v>
      </c>
      <c r="R1694" s="65" t="n">
        <f aca="false">IF(CA1694=1,0,IFERROR(VLOOKUP(BY1694,'Gebinde-Kategorie'!$A$5:$N$45,13,0)+0,0))</f>
        <v>26</v>
      </c>
      <c r="S1694" s="66"/>
      <c r="T1694" s="67"/>
      <c r="U1694" s="67"/>
      <c r="V1694" s="67"/>
      <c r="W1694" s="60"/>
      <c r="X1694" s="62"/>
      <c r="Y1694" s="62"/>
      <c r="Z1694" s="60" t="n">
        <v>3</v>
      </c>
      <c r="AA1694" s="60" t="n">
        <f aca="false">IF(A1694="","",IF(AND(Parameter!$B$21="Ja",ISNUMBER(W1694)),W1694,IF(AND(Parameter!$E$27="Ja",ISNUMBER(Z1694),CD1694&lt;&gt;"Nein"),Z1694,IF(CD1694="2+3",IF(ISNUMBER(SEARCH("grosser Artikel",BV1694)),2,IFERROR(VLOOKUP(BY1694,Parameter!$F$35:$G$64,2,0),2)),IF(OR(CD1694="Nein",CD1694=""),"-",CD1694)))))</f>
        <v>3</v>
      </c>
      <c r="AB1694" s="67"/>
      <c r="AC1694" s="68"/>
      <c r="AD1694" s="62" t="n">
        <f aca="false">AW1694</f>
        <v>5</v>
      </c>
      <c r="AE1694" s="62" t="n">
        <f aca="false">MAX(AW1694,H1694)</f>
        <v>5</v>
      </c>
      <c r="AF1694" s="69"/>
      <c r="AG1694" s="62" t="n">
        <f aca="false">IF(LEFT(Cockpit!$C$5,1)="A",H1694,IF(Parameter!$E$30="MAX-Bestand",IF(CI1694=1,CJ1694,IF(LEFT(Cockpit!$C$5,1)="B",AM1694,MAX(AM1694,H1694))),ROUNDUP(AK1694,0)))</f>
        <v>4</v>
      </c>
      <c r="AH1694" s="62" t="n">
        <f aca="false">IF(CA1694=1,0,ROUNDUP(AG1694/BZ1694,0))</f>
        <v>1</v>
      </c>
      <c r="AI1694" s="64" t="n">
        <f aca="false">IF(CR1694&gt;0,CR1694*MAX(1,AG1694/X1694),IF(CA1694=1,IF(AG1694&lt;=0,0,CE1694*MAX(1,IF(H1694&gt;0,AG1694/H1694,1))),IF(R1694&gt;0,AH1694/R1694,0))/MAX(0.1,N(Parameter!$M$21)))</f>
        <v>0.0384615384615385</v>
      </c>
      <c r="AJ1694" s="62" t="n">
        <f aca="false">AI1694*CC1694</f>
        <v>5.96153846153846</v>
      </c>
      <c r="AK1694" s="63" t="n">
        <f aca="false">IF(LEFT(Cockpit!$C$5,1)="A",H1694,IF(CI1694=1,(CL1694+CJ1694)/2,IF(LEFT(Cockpit!$C$5,1)="B",(CL1694+AM1694)/2,MAX((CL1694+AM1694)/2,H1694))))</f>
        <v>4</v>
      </c>
      <c r="AL1694" s="62" t="n">
        <f aca="false">AK1694*G1694</f>
        <v>782.32</v>
      </c>
      <c r="AM1694" s="62" t="n">
        <f aca="false">ROUNDUP(CL1694+MAX(CM1694,2*(J1694/IF(CH1694&gt;0,CH1694,MAX(0.1,N(Cockpit!$C$6)))-CL1694)),0)</f>
        <v>5</v>
      </c>
      <c r="AN1694" s="63" t="n">
        <f aca="false">IF(AJ1694&gt;0,J1694/AJ1694,-1)</f>
        <v>0</v>
      </c>
      <c r="AO1694" s="63" t="n">
        <f aca="false">IF(AND(OR(CG1694="L1",CG1694="L23",CG1694="LIFT"),AJ1694&gt;0),SUMIFS($AJ$7:$AJ$1843,$CG$7:$CG$1843,CG1694,$AN$7:$AN$1843,"&gt;"&amp;AN1694)+SUMIFS($AJ$7:$AJ$1843,$CG$7:$CG$1843,CG1694,$AN$7:$AN$1843,AN1694,$BX$7:$BX$1843,"&lt;="&amp;BX1694),"")</f>
        <v>32767.2294525155</v>
      </c>
      <c r="AP1694" s="70" t="n">
        <f aca="false">IF(AO1694="",0,MAX(0,MIN(1,(IF(CG1694="L1",Parameter!$H$5,IF(CG1694="L23",Parameter!$H$6+Parameter!$H$7,Parameter!$H$5+Parameter!$H$6+Parameter!$H$7))-(AO1694-AJ1694))/AJ1694)))</f>
        <v>1</v>
      </c>
      <c r="AQ1694" s="62" t="n">
        <f aca="false">IF(LEFT(Cockpit!$I$5,1)="A",H1694,IF(Parameter!$E$30="MAX-Bestand",IF(CI1694=1,CJ1694,IF(LEFT(Cockpit!$I$5,1)="B",AW1694,MAX(AW1694,H1694))),ROUNDUP(AU1694,0)))</f>
        <v>4</v>
      </c>
      <c r="AR1694" s="62" t="n">
        <f aca="false">IF(CA1694=1,0,ROUNDUP(AQ1694/BZ1694,0))</f>
        <v>1</v>
      </c>
      <c r="AS1694" s="64" t="n">
        <f aca="false">IF(CR1694&gt;0,CR1694*MAX(1,AQ1694/X1694),IF(CA1694=1,IF(AQ1694&lt;=0,0,CE1694*MAX(1,IF(H1694&gt;0,AQ1694/H1694,1))),IF(R1694&gt;0,AR1694/R1694,0))/MAX(0.1,N(Parameter!$M$21)))</f>
        <v>0.0384615384615385</v>
      </c>
      <c r="AT1694" s="62" t="n">
        <f aca="false">AS1694*CC1694</f>
        <v>5.96153846153846</v>
      </c>
      <c r="AU1694" s="63" t="n">
        <f aca="false">IF(LEFT(Cockpit!$I$5,1)="A",H1694,IF(CI1694=1,(CL1694+CJ1694)/2,IF(LEFT(Cockpit!$I$5,1)="B",(CL1694+AW1694)/2,MAX((CL1694+AW1694)/2,H1694))))</f>
        <v>4</v>
      </c>
      <c r="AV1694" s="62" t="n">
        <f aca="false">AU1694*G1694</f>
        <v>782.32</v>
      </c>
      <c r="AW1694" s="62" t="n">
        <f aca="false">ROUNDUP(CL1694+MAX(CM1694,2*(J1694/IF(CH1694&gt;0,CH1694,MAX(0.1,N(Cockpit!$I$6)))-CL1694)),0)</f>
        <v>5</v>
      </c>
      <c r="AX1694" s="63" t="n">
        <f aca="false">IF(AT1694&gt;0,J1694/AT1694,-1)</f>
        <v>0</v>
      </c>
      <c r="AY1694" s="63" t="n">
        <f aca="false">IF(AND(OR(CG1694="L1",CG1694="L23",CG1694="LIFT"),AT1694&gt;0),SUMIFS($AT$7:$AT$1843,$CG$7:$CG$1843,CG1694,$AX$7:$AX$1843,"&gt;"&amp;AX1694)+SUMIFS($AT$7:$AT$1843,$CG$7:$CG$1843,CG1694,$AX$7:$AX$1843,AX1694,$BX$7:$BX$1843,"&lt;="&amp;BX1694),"")</f>
        <v>39239.4776830985</v>
      </c>
      <c r="AZ1694" s="70" t="n">
        <f aca="false">IF(AY1694="",0,MAX(0,MIN(1,(IF(CG1694="L1",Parameter!$H$5,IF(CG1694="L23",Parameter!$H$6+Parameter!$H$7,Parameter!$H$5+Parameter!$H$6+Parameter!$H$7))-(AY1694-AT1694))/AT1694)))</f>
        <v>0</v>
      </c>
      <c r="BA1694" s="62" t="n">
        <f aca="false">IF(LEFT(Cockpit!$O$5,1)="A",H1694,IF(Parameter!$E$30="MAX-Bestand",IF(CI1694=1,CJ1694,IF(LEFT(Cockpit!$O$5,1)="B",BG1694,MAX(BG1694,H1694))),ROUNDUP(BE1694,0)))</f>
        <v>3</v>
      </c>
      <c r="BB1694" s="62" t="n">
        <f aca="false">IF(CA1694=1,0,ROUNDUP(BA1694/BZ1694,0))</f>
        <v>1</v>
      </c>
      <c r="BC1694" s="64" t="n">
        <f aca="false">IF(CR1694&gt;0,CR1694*MAX(1,BA1694/X1694),IF(CA1694=1,IF(BA1694&lt;=0,0,CE1694*MAX(1,IF(H1694&gt;0,BA1694/H1694,1))),IF(R1694&gt;0,BB1694/R1694,0))/MAX(0.1,N(Parameter!$M$21)))</f>
        <v>0.0384615384615385</v>
      </c>
      <c r="BD1694" s="62" t="n">
        <f aca="false">BC1694*CC1694</f>
        <v>5.96153846153846</v>
      </c>
      <c r="BE1694" s="63" t="n">
        <f aca="false">IF(LEFT(Cockpit!$O$5,1)="A",H1694,IF(CI1694=1,(CL1694+CJ1694)/2,IF(LEFT(Cockpit!$O$5,1)="B",(CL1694+BG1694)/2,MAX((CL1694+BG1694)/2,H1694))))</f>
        <v>2.5</v>
      </c>
      <c r="BF1694" s="62" t="n">
        <f aca="false">BE1694*G1694</f>
        <v>488.95</v>
      </c>
      <c r="BG1694" s="62" t="n">
        <f aca="false">ROUNDUP(CL1694+MAX(CM1694,2*(J1694/IF(CH1694&gt;0,CH1694,MAX(0.1,N(Cockpit!$O$6)))-CL1694)),0)</f>
        <v>5</v>
      </c>
      <c r="BH1694" s="63" t="n">
        <f aca="false">IF(BD1694&gt;0,J1694/BD1694,-1)</f>
        <v>0</v>
      </c>
      <c r="BI1694" s="63" t="n">
        <f aca="false">IF(AND(OR(CG1694="L1",CG1694="L23",CG1694="LIFT"),BD1694&gt;0),SUMIFS($BD$7:$BD$1843,$CG$7:$CG$1843,CG1694,$BH$7:$BH$1843,"&gt;"&amp;BH1694)+SUMIFS($BD$7:$BD$1843,$CG$7:$CG$1843,CG1694,$BH$7:$BH$1843,BH1694,$BX$7:$BX$1843,"&lt;="&amp;BX1694),"")</f>
        <v>32483.7907535026</v>
      </c>
      <c r="BJ1694" s="70" t="n">
        <f aca="false">IF(BI1694="",0,MAX(0,MIN(1,(IF(CG1694="L1",Parameter!$H$5,IF(CG1694="L23",Parameter!$H$6+Parameter!$H$7,Parameter!$H$5+Parameter!$H$6+Parameter!$H$7))-(BI1694-BD1694))/BD1694)))</f>
        <v>1</v>
      </c>
      <c r="BK1694" s="60" t="str">
        <f aca="false">IF(AJ1694&lt;=0,"",IF(CG1694="Aussen","Aussenlager",IF(CG1694="-","Nicht im Lift",IF(AP1694&gt;=1,"Lift",IF(AP1694&lt;=0,"Aussenlager","teilweise")))))</f>
        <v>Lift</v>
      </c>
      <c r="BL1694" s="60" t="str">
        <f aca="false">IF(AT1694&lt;=0,"",IF(CG1694="Aussen","Aussenlager",IF(CG1694="-","Nicht im Lift",IF(AZ1694&gt;=1,"Lift",IF(AZ1694&lt;=0,"Aussenlager","teilweise")))))</f>
        <v>Aussenlager</v>
      </c>
      <c r="BM1694" s="60" t="str">
        <f aca="false">IF(BD1694&lt;=0,"",IF(CG1694="Aussen","Aussenlager",IF(CG1694="-","Nicht im Lift",IF(BJ1694&gt;=1,"Lift",IF(BJ1694&lt;=0,"Aussenlager","teilweise")))))</f>
        <v>Lift</v>
      </c>
      <c r="BN1694" s="60" t="str">
        <f aca="false">IF(A1694="","",IF(BW1694=1,"Neu; ","")&amp;IF(AND(BW1694=0,BR1694&lt;0),"negativer Bestand (Export "&amp;BR1694&amp;"); ","")&amp;IF(J1694&lt;=0,"Kein Verbrauch; ","")&amp;IF(CR1694&gt;0,"Lift "&amp;W1694&amp;" lt. Liftbericht (Fach "&amp;X1694&amp;" Stk); ",IF(CB1694=1,"Gebinde geschätzt ("&amp;T1694&amp;"); ",IF(CA1694=1,"Lose – Tablare geschätzt; ","")))&amp;IF(H1694&gt;AW1694,"Überbestand "&amp;ROUND(H1694-AW1694,0)&amp;" Stk / CHF "&amp;ROUND((H1694-AW1694)*G1694,0)&amp;"; ","")&amp;IF(AND(CI1694=1,CJ1694&lt;CK1694),"MAX &lt; MB+LG; ","")&amp;IF(AND(CQ1694&gt;0,CP1694*10&gt;CQ1694),"zu hoch für Tablar; ","")&amp;IF(AND(BW1694=0,OR(CI1694=1,AB1694&lt;&gt;"",U1694&lt;&gt;"",V1694&lt;&gt;"",AC1694&lt;&gt;"")),"manuell übersteuert; ","")&amp;IF(AND(CA1694=0,R1694=0),"Gebinde unbekannt / Stellmass fehlt; ","")&amp;IF(AND(CA1694=0,N(V1694)&lt;=0,N(Q1694)&lt;=0),"Menge pro Gebinde fehlt (Ist = 1 Gebinde); ","")&amp;BV1694)</f>
        <v>Kein Verbrauch; nur im Artikelstamm (Bestand 23.06.2026)</v>
      </c>
      <c r="BO1694" s="60"/>
      <c r="BP1694" s="60"/>
      <c r="BQ1694" s="67"/>
      <c r="BR1694" s="62" t="n">
        <v>4</v>
      </c>
      <c r="BS1694" s="62" t="n">
        <v>0</v>
      </c>
      <c r="BT1694" s="61" t="n">
        <v>0</v>
      </c>
      <c r="BU1694" s="62" t="n">
        <v>0</v>
      </c>
      <c r="BV1694" s="60" t="s">
        <v>2617</v>
      </c>
      <c r="BW1694" s="65" t="n">
        <v>0</v>
      </c>
      <c r="BX1694" s="65" t="n">
        <v>1694</v>
      </c>
      <c r="BY1694" s="60" t="str">
        <f aca="false">IF(U1694&lt;&gt;"",UPPER(TRIM(U1694)),IF(CB1694=1,UPPER(VLOOKUP(T1694,Parameter!$I$27:$K$29,2,0)),IF(P1694="","LOSE",P1694)))</f>
        <v>S51</v>
      </c>
      <c r="BZ1694" s="62" t="n">
        <f aca="false">IF(BY1694="LOSE",1,IF(N(V1694)&gt;0,V1694,IF(CB1694=1,MAX(1,N(VLOOKUP(T1694,Parameter!$I$27:$K$29,3,0)),H1694,N(N1694)),IF(N(Q1694)&gt;0,Q1694,MAX(1,H1694)))))</f>
        <v>6</v>
      </c>
      <c r="CA1694" s="65" t="n">
        <f aca="false">IF(BY1694="LOSE",1,0)</f>
        <v>0</v>
      </c>
      <c r="CB1694" s="65" t="n">
        <f aca="false">IF(AND(U1694="",OR(P1694="",P1694="LOSE"),T1694&lt;&gt;"",N(S1694)&lt;=0,ISNUMBER(MATCH(T1694,Parameter!$I$27:$I$29,0))),1,0)</f>
        <v>0</v>
      </c>
      <c r="CC1694" s="65" t="n">
        <f aca="false">IF(CR1694&gt;0,INDEX(Parameter!$H$5:$H$7,W1694)/INDEX(Parameter!$E$5:$E$7,W1694),IF(AND(CA1694=0,N(IFERROR(VLOOKUP(BY1694,'Gebinde-Kategorie'!$A$5:$N$45,14,0),0))&gt;0),VLOOKUP(BY1694,'Gebinde-Kategorie'!$A$5:$N$45,14,0)*10+Parameter!$M$23,Parameter!$M$24))</f>
        <v>155</v>
      </c>
      <c r="CD1694" s="60" t="str">
        <f aca="false">IF(AND(Parameter!$B$19="Ja",E1694&lt;&gt;"",ISNUMBER(MATCH(E1694,Parameter!$I$35:$I$52,0))),VLOOKUP(E1694,Parameter!$I$35:$J$52,2,0),IFERROR(VLOOKUP(D1694,Parameter!$A$35:$C$64,2,0),"Nein"))</f>
        <v>2+3</v>
      </c>
      <c r="CE1694" s="64" t="n">
        <f aca="false">IF(CA1694=0,0,IF(N(S1694)&gt;0,S1694,IFERROR(VLOOKUP(D1694,Parameter!$A$35:$C$64,3,0)+0,0)))</f>
        <v>0</v>
      </c>
      <c r="CF1694" s="60" t="n">
        <f aca="false">IF(AB1694&lt;&gt;"",AB1694,AA1694)</f>
        <v>3</v>
      </c>
      <c r="CG1694" s="60" t="str">
        <f aca="false">IF(OR(CF1694=1,CF1694=2,CF1694=3),IF(Parameter!$E$27="Ja","LIFT",IF(CF1694=1,"L1","L23")),IF(CF1694="Aussen","Aussen","-"))</f>
        <v>LIFT</v>
      </c>
      <c r="CH1694" s="71" t="n">
        <f aca="false">IF(N(AC1694)&gt;0,AC1694,0)</f>
        <v>0</v>
      </c>
      <c r="CI1694" s="65" t="n">
        <f aca="false">IF(ISNUMBER(AF1694),1,0)</f>
        <v>0</v>
      </c>
      <c r="CJ1694" s="62" t="n">
        <f aca="false">N(AF1694)</f>
        <v>0</v>
      </c>
      <c r="CK1694" s="62" t="n">
        <f aca="false">N(M1694)+N(N1694)</f>
        <v>5</v>
      </c>
      <c r="CL1694" s="62" t="n">
        <f aca="false">N(M1694)</f>
        <v>0</v>
      </c>
      <c r="CM1694" s="62" t="n">
        <f aca="false">N(N1694)</f>
        <v>5</v>
      </c>
      <c r="CN1694" s="62" t="n">
        <f aca="false">ROUNDUP(H1694/BZ1694,0)</f>
        <v>1</v>
      </c>
      <c r="CO1694" s="62" t="n">
        <f aca="false">ROUNDUP(CJ1694/BZ1694,0)</f>
        <v>0</v>
      </c>
      <c r="CP1694" s="65" t="n">
        <f aca="false">IF(CA1694=1,0,IFERROR(VLOOKUP(BY1694,'Gebinde-Kategorie'!$A$5:$N$45,5,0)+0,0))</f>
        <v>11</v>
      </c>
      <c r="CQ1694" s="65" t="n">
        <f aca="false">IFERROR(IF(OR(CF1694=1,CF1694=2,CF1694=3),N(INDEX(Parameter!$I$5:$I$7,CF1694)),0),0)</f>
        <v>0</v>
      </c>
      <c r="CR1694" s="64" t="n">
        <f aca="false">IF(AND(Parameter!$B$21="Ja",ISNUMBER(W1694),N(X1694)&gt;0),IFERROR(N(INDEX(Parameter!$L$5:$L$7,W1694))*INDEX(Parameter!$E$5:$E$7,W1694)*X1694/SUMIFS($X$7:$X$1843,$W$7:$W$1843,W1694),0),0)</f>
        <v>0</v>
      </c>
      <c r="CS1694" s="62" t="n">
        <f aca="false">IF(AND(OR(CG1694="L1",CG1694="L23",CG1694="LIFT"),H1694&gt;0),CC1694*IF(CR1694&gt;0,CR1694*MAX(1,H1694/X1694),IF(CA1694=1,CE1694,IF(R1694&gt;0,CN1694/R1694,0))/MAX(0.1,N(Parameter!$M$21))),"")</f>
        <v>5.96153846153846</v>
      </c>
      <c r="CT1694" s="64" t="n">
        <f aca="false">IF(CS1694="","",J1694/H1694)</f>
        <v>0</v>
      </c>
      <c r="CU1694" s="62" t="n">
        <f aca="false">IF(CS1694="","",H1694*G1694)</f>
        <v>782.32</v>
      </c>
      <c r="CV1694" s="63" t="n">
        <f aca="false">IF(CS1694="","",(CL1694+ROUNDUP(CL1694+MAX(CM1694,2*(J1694/MAX(0.1,N(Einkauf!$C$6))-CL1694)),0))/2)</f>
        <v>2.5</v>
      </c>
      <c r="CW1694" s="62" t="n">
        <f aca="false">IF(CS1694="","",MAX(0,H1694-CV1694)*G1694)</f>
        <v>293.37</v>
      </c>
      <c r="CX1694" s="62" t="n">
        <f aca="false">IF(CS1694="","",CS1694*MAX(0,1-CV1694/H1694))</f>
        <v>2.23557692307692</v>
      </c>
      <c r="CY1694" s="64" t="n">
        <f aca="false">IF(CS1694="","",PERCENTRANK($CS$7:$CS$1843,CS1694)+PERCENTRANK($CU$7:$CU$1843,CU1694)+1-PERCENTRANK($CT$7:$CT$1843,CT1694))</f>
        <v>1.956</v>
      </c>
      <c r="CZ1694" s="72" t="n">
        <f aca="false">IF(CS1694="","",CHOOSE(MATCH(Einkauf!$C$5,Parameter!$G$23:$G$27,0),CY1694,CS1694,CU1694,-CT1694,CW1694)+ROW()/1000000000)</f>
        <v>1.956001694</v>
      </c>
    </row>
    <row r="1695" customFormat="false" ht="15" hidden="false" customHeight="false" outlineLevel="0" collapsed="false">
      <c r="A1695" s="60" t="s">
        <v>2977</v>
      </c>
      <c r="B1695" s="60" t="s">
        <v>2978</v>
      </c>
      <c r="C1695" s="60" t="s">
        <v>206</v>
      </c>
      <c r="D1695" s="60" t="s">
        <v>226</v>
      </c>
      <c r="E1695" s="60" t="s">
        <v>208</v>
      </c>
      <c r="F1695" s="60"/>
      <c r="G1695" s="61" t="n">
        <v>29</v>
      </c>
      <c r="H1695" s="62" t="n">
        <f aca="false">MAX(0,IF(AND(Parameter!$B$21="Ja",ISNUMBER(Y1695)),Y1695,IF(Parameter!$B$20="Jahresanfang 2025 + Export",BS1695+BR1695,BR1695)))</f>
        <v>3</v>
      </c>
      <c r="I1695" s="62" t="n">
        <f aca="false">H1695*G1695</f>
        <v>87</v>
      </c>
      <c r="J1695" s="62" t="n">
        <f aca="false">BU1695*Parameter!$B$18</f>
        <v>0</v>
      </c>
      <c r="K1695" s="63"/>
      <c r="L1695" s="64"/>
      <c r="M1695" s="62" t="n">
        <v>0</v>
      </c>
      <c r="N1695" s="62" t="n">
        <v>3</v>
      </c>
      <c r="O1695" s="65" t="n">
        <v>35</v>
      </c>
      <c r="P1695" s="60" t="s">
        <v>344</v>
      </c>
      <c r="Q1695" s="62" t="n">
        <v>5</v>
      </c>
      <c r="R1695" s="65" t="n">
        <f aca="false">IF(CA1695=1,0,IFERROR(VLOOKUP(BY1695,'Gebinde-Kategorie'!$A$5:$N$45,13,0)+0,0))</f>
        <v>26</v>
      </c>
      <c r="S1695" s="66"/>
      <c r="T1695" s="67"/>
      <c r="U1695" s="67"/>
      <c r="V1695" s="67"/>
      <c r="W1695" s="60"/>
      <c r="X1695" s="62"/>
      <c r="Y1695" s="62"/>
      <c r="Z1695" s="60" t="n">
        <v>3</v>
      </c>
      <c r="AA1695" s="60" t="n">
        <f aca="false">IF(A1695="","",IF(AND(Parameter!$B$21="Ja",ISNUMBER(W1695)),W1695,IF(AND(Parameter!$E$27="Ja",ISNUMBER(Z1695),CD1695&lt;&gt;"Nein"),Z1695,IF(CD1695="2+3",IF(ISNUMBER(SEARCH("grosser Artikel",BV1695)),2,IFERROR(VLOOKUP(BY1695,Parameter!$F$35:$G$64,2,0),2)),IF(OR(CD1695="Nein",CD1695=""),"-",CD1695)))))</f>
        <v>3</v>
      </c>
      <c r="AB1695" s="67"/>
      <c r="AC1695" s="68"/>
      <c r="AD1695" s="62" t="n">
        <f aca="false">AW1695</f>
        <v>3</v>
      </c>
      <c r="AE1695" s="62" t="n">
        <f aca="false">MAX(AW1695,H1695)</f>
        <v>3</v>
      </c>
      <c r="AF1695" s="69"/>
      <c r="AG1695" s="62" t="n">
        <f aca="false">IF(LEFT(Cockpit!$C$5,1)="A",H1695,IF(Parameter!$E$30="MAX-Bestand",IF(CI1695=1,CJ1695,IF(LEFT(Cockpit!$C$5,1)="B",AM1695,MAX(AM1695,H1695))),ROUNDUP(AK1695,0)))</f>
        <v>3</v>
      </c>
      <c r="AH1695" s="62" t="n">
        <f aca="false">IF(CA1695=1,0,ROUNDUP(AG1695/BZ1695,0))</f>
        <v>1</v>
      </c>
      <c r="AI1695" s="64" t="n">
        <f aca="false">IF(CR1695&gt;0,CR1695*MAX(1,AG1695/X1695),IF(CA1695=1,IF(AG1695&lt;=0,0,CE1695*MAX(1,IF(H1695&gt;0,AG1695/H1695,1))),IF(R1695&gt;0,AH1695/R1695,0))/MAX(0.1,N(Parameter!$M$21)))</f>
        <v>0.0384615384615385</v>
      </c>
      <c r="AJ1695" s="62" t="n">
        <f aca="false">AI1695*CC1695</f>
        <v>5.96153846153846</v>
      </c>
      <c r="AK1695" s="63" t="n">
        <f aca="false">IF(LEFT(Cockpit!$C$5,1)="A",H1695,IF(CI1695=1,(CL1695+CJ1695)/2,IF(LEFT(Cockpit!$C$5,1)="B",(CL1695+AM1695)/2,MAX((CL1695+AM1695)/2,H1695))))</f>
        <v>3</v>
      </c>
      <c r="AL1695" s="62" t="n">
        <f aca="false">AK1695*G1695</f>
        <v>87</v>
      </c>
      <c r="AM1695" s="62" t="n">
        <f aca="false">ROUNDUP(CL1695+MAX(CM1695,2*(J1695/IF(CH1695&gt;0,CH1695,MAX(0.1,N(Cockpit!$C$6)))-CL1695)),0)</f>
        <v>3</v>
      </c>
      <c r="AN1695" s="63" t="n">
        <f aca="false">IF(AJ1695&gt;0,J1695/AJ1695,-1)</f>
        <v>0</v>
      </c>
      <c r="AO1695" s="63" t="n">
        <f aca="false">IF(AND(OR(CG1695="L1",CG1695="L23",CG1695="LIFT"),AJ1695&gt;0),SUMIFS($AJ$7:$AJ$1843,$CG$7:$CG$1843,CG1695,$AN$7:$AN$1843,"&gt;"&amp;AN1695)+SUMIFS($AJ$7:$AJ$1843,$CG$7:$CG$1843,CG1695,$AN$7:$AN$1843,AN1695,$BX$7:$BX$1843,"&lt;="&amp;BX1695),"")</f>
        <v>32773.190990977</v>
      </c>
      <c r="AP1695" s="70" t="n">
        <f aca="false">IF(AO1695="",0,MAX(0,MIN(1,(IF(CG1695="L1",Parameter!$H$5,IF(CG1695="L23",Parameter!$H$6+Parameter!$H$7,Parameter!$H$5+Parameter!$H$6+Parameter!$H$7))-(AO1695-AJ1695))/AJ1695)))</f>
        <v>1</v>
      </c>
      <c r="AQ1695" s="62" t="n">
        <f aca="false">IF(LEFT(Cockpit!$I$5,1)="A",H1695,IF(Parameter!$E$30="MAX-Bestand",IF(CI1695=1,CJ1695,IF(LEFT(Cockpit!$I$5,1)="B",AW1695,MAX(AW1695,H1695))),ROUNDUP(AU1695,0)))</f>
        <v>3</v>
      </c>
      <c r="AR1695" s="62" t="n">
        <f aca="false">IF(CA1695=1,0,ROUNDUP(AQ1695/BZ1695,0))</f>
        <v>1</v>
      </c>
      <c r="AS1695" s="64" t="n">
        <f aca="false">IF(CR1695&gt;0,CR1695*MAX(1,AQ1695/X1695),IF(CA1695=1,IF(AQ1695&lt;=0,0,CE1695*MAX(1,IF(H1695&gt;0,AQ1695/H1695,1))),IF(R1695&gt;0,AR1695/R1695,0))/MAX(0.1,N(Parameter!$M$21)))</f>
        <v>0.0384615384615385</v>
      </c>
      <c r="AT1695" s="62" t="n">
        <f aca="false">AS1695*CC1695</f>
        <v>5.96153846153846</v>
      </c>
      <c r="AU1695" s="63" t="n">
        <f aca="false">IF(LEFT(Cockpit!$I$5,1)="A",H1695,IF(CI1695=1,(CL1695+CJ1695)/2,IF(LEFT(Cockpit!$I$5,1)="B",(CL1695+AW1695)/2,MAX((CL1695+AW1695)/2,H1695))))</f>
        <v>3</v>
      </c>
      <c r="AV1695" s="62" t="n">
        <f aca="false">AU1695*G1695</f>
        <v>87</v>
      </c>
      <c r="AW1695" s="62" t="n">
        <f aca="false">ROUNDUP(CL1695+MAX(CM1695,2*(J1695/IF(CH1695&gt;0,CH1695,MAX(0.1,N(Cockpit!$I$6)))-CL1695)),0)</f>
        <v>3</v>
      </c>
      <c r="AX1695" s="63" t="n">
        <f aca="false">IF(AT1695&gt;0,J1695/AT1695,-1)</f>
        <v>0</v>
      </c>
      <c r="AY1695" s="63" t="n">
        <f aca="false">IF(AND(OR(CG1695="L1",CG1695="L23",CG1695="LIFT"),AT1695&gt;0),SUMIFS($AT$7:$AT$1843,$CG$7:$CG$1843,CG1695,$AX$7:$AX$1843,"&gt;"&amp;AX1695)+SUMIFS($AT$7:$AT$1843,$CG$7:$CG$1843,CG1695,$AX$7:$AX$1843,AX1695,$BX$7:$BX$1843,"&lt;="&amp;BX1695),"")</f>
        <v>39245.43922156</v>
      </c>
      <c r="AZ1695" s="70" t="n">
        <f aca="false">IF(AY1695="",0,MAX(0,MIN(1,(IF(CG1695="L1",Parameter!$H$5,IF(CG1695="L23",Parameter!$H$6+Parameter!$H$7,Parameter!$H$5+Parameter!$H$6+Parameter!$H$7))-(AY1695-AT1695))/AT1695)))</f>
        <v>0</v>
      </c>
      <c r="BA1695" s="62" t="n">
        <f aca="false">IF(LEFT(Cockpit!$O$5,1)="A",H1695,IF(Parameter!$E$30="MAX-Bestand",IF(CI1695=1,CJ1695,IF(LEFT(Cockpit!$O$5,1)="B",BG1695,MAX(BG1695,H1695))),ROUNDUP(BE1695,0)))</f>
        <v>2</v>
      </c>
      <c r="BB1695" s="62" t="n">
        <f aca="false">IF(CA1695=1,0,ROUNDUP(BA1695/BZ1695,0))</f>
        <v>1</v>
      </c>
      <c r="BC1695" s="64" t="n">
        <f aca="false">IF(CR1695&gt;0,CR1695*MAX(1,BA1695/X1695),IF(CA1695=1,IF(BA1695&lt;=0,0,CE1695*MAX(1,IF(H1695&gt;0,BA1695/H1695,1))),IF(R1695&gt;0,BB1695/R1695,0))/MAX(0.1,N(Parameter!$M$21)))</f>
        <v>0.0384615384615385</v>
      </c>
      <c r="BD1695" s="62" t="n">
        <f aca="false">BC1695*CC1695</f>
        <v>5.96153846153846</v>
      </c>
      <c r="BE1695" s="63" t="n">
        <f aca="false">IF(LEFT(Cockpit!$O$5,1)="A",H1695,IF(CI1695=1,(CL1695+CJ1695)/2,IF(LEFT(Cockpit!$O$5,1)="B",(CL1695+BG1695)/2,MAX((CL1695+BG1695)/2,H1695))))</f>
        <v>1.5</v>
      </c>
      <c r="BF1695" s="62" t="n">
        <f aca="false">BE1695*G1695</f>
        <v>43.5</v>
      </c>
      <c r="BG1695" s="62" t="n">
        <f aca="false">ROUNDUP(CL1695+MAX(CM1695,2*(J1695/IF(CH1695&gt;0,CH1695,MAX(0.1,N(Cockpit!$O$6)))-CL1695)),0)</f>
        <v>3</v>
      </c>
      <c r="BH1695" s="63" t="n">
        <f aca="false">IF(BD1695&gt;0,J1695/BD1695,-1)</f>
        <v>0</v>
      </c>
      <c r="BI1695" s="63" t="n">
        <f aca="false">IF(AND(OR(CG1695="L1",CG1695="L23",CG1695="LIFT"),BD1695&gt;0),SUMIFS($BD$7:$BD$1843,$CG$7:$CG$1843,CG1695,$BH$7:$BH$1843,"&gt;"&amp;BH1695)+SUMIFS($BD$7:$BD$1843,$CG$7:$CG$1843,CG1695,$BH$7:$BH$1843,BH1695,$BX$7:$BX$1843,"&lt;="&amp;BX1695),"")</f>
        <v>32489.7522919642</v>
      </c>
      <c r="BJ1695" s="70" t="n">
        <f aca="false">IF(BI1695="",0,MAX(0,MIN(1,(IF(CG1695="L1",Parameter!$H$5,IF(CG1695="L23",Parameter!$H$6+Parameter!$H$7,Parameter!$H$5+Parameter!$H$6+Parameter!$H$7))-(BI1695-BD1695))/BD1695)))</f>
        <v>1</v>
      </c>
      <c r="BK1695" s="60" t="str">
        <f aca="false">IF(AJ1695&lt;=0,"",IF(CG1695="Aussen","Aussenlager",IF(CG1695="-","Nicht im Lift",IF(AP1695&gt;=1,"Lift",IF(AP1695&lt;=0,"Aussenlager","teilweise")))))</f>
        <v>Lift</v>
      </c>
      <c r="BL1695" s="60" t="str">
        <f aca="false">IF(AT1695&lt;=0,"",IF(CG1695="Aussen","Aussenlager",IF(CG1695="-","Nicht im Lift",IF(AZ1695&gt;=1,"Lift",IF(AZ1695&lt;=0,"Aussenlager","teilweise")))))</f>
        <v>Aussenlager</v>
      </c>
      <c r="BM1695" s="60" t="str">
        <f aca="false">IF(BD1695&lt;=0,"",IF(CG1695="Aussen","Aussenlager",IF(CG1695="-","Nicht im Lift",IF(BJ1695&gt;=1,"Lift",IF(BJ1695&lt;=0,"Aussenlager","teilweise")))))</f>
        <v>Lift</v>
      </c>
      <c r="BN1695" s="60" t="str">
        <f aca="false">IF(A1695="","",IF(BW1695=1,"Neu; ","")&amp;IF(AND(BW1695=0,BR1695&lt;0),"negativer Bestand (Export "&amp;BR1695&amp;"); ","")&amp;IF(J1695&lt;=0,"Kein Verbrauch; ","")&amp;IF(CR1695&gt;0,"Lift "&amp;W1695&amp;" lt. Liftbericht (Fach "&amp;X1695&amp;" Stk); ",IF(CB1695=1,"Gebinde geschätzt ("&amp;T1695&amp;"); ",IF(CA1695=1,"Lose – Tablare geschätzt; ","")))&amp;IF(H1695&gt;AW1695,"Überbestand "&amp;ROUND(H1695-AW1695,0)&amp;" Stk / CHF "&amp;ROUND((H1695-AW1695)*G1695,0)&amp;"; ","")&amp;IF(AND(CI1695=1,CJ1695&lt;CK1695),"MAX &lt; MB+LG; ","")&amp;IF(AND(CQ1695&gt;0,CP1695*10&gt;CQ1695),"zu hoch für Tablar; ","")&amp;IF(AND(BW1695=0,OR(CI1695=1,AB1695&lt;&gt;"",U1695&lt;&gt;"",V1695&lt;&gt;"",AC1695&lt;&gt;"")),"manuell übersteuert; ","")&amp;IF(AND(CA1695=0,R1695=0),"Gebinde unbekannt / Stellmass fehlt; ","")&amp;IF(AND(CA1695=0,N(V1695)&lt;=0,N(Q1695)&lt;=0),"Menge pro Gebinde fehlt (Ist = 1 Gebinde); ","")&amp;BV1695)</f>
        <v>Kein Verbrauch; nur im Artikelstamm (Bestand 23.06.2026)</v>
      </c>
      <c r="BO1695" s="60"/>
      <c r="BP1695" s="60"/>
      <c r="BQ1695" s="67"/>
      <c r="BR1695" s="62" t="n">
        <v>3</v>
      </c>
      <c r="BS1695" s="62" t="n">
        <v>0</v>
      </c>
      <c r="BT1695" s="61" t="n">
        <v>0</v>
      </c>
      <c r="BU1695" s="62" t="n">
        <v>0</v>
      </c>
      <c r="BV1695" s="60" t="s">
        <v>2617</v>
      </c>
      <c r="BW1695" s="65" t="n">
        <v>0</v>
      </c>
      <c r="BX1695" s="65" t="n">
        <v>1695</v>
      </c>
      <c r="BY1695" s="60" t="str">
        <f aca="false">IF(U1695&lt;&gt;"",UPPER(TRIM(U1695)),IF(CB1695=1,UPPER(VLOOKUP(T1695,Parameter!$I$27:$K$29,2,0)),IF(P1695="","LOSE",P1695)))</f>
        <v>S51</v>
      </c>
      <c r="BZ1695" s="62" t="n">
        <f aca="false">IF(BY1695="LOSE",1,IF(N(V1695)&gt;0,V1695,IF(CB1695=1,MAX(1,N(VLOOKUP(T1695,Parameter!$I$27:$K$29,3,0)),H1695,N(N1695)),IF(N(Q1695)&gt;0,Q1695,MAX(1,H1695)))))</f>
        <v>5</v>
      </c>
      <c r="CA1695" s="65" t="n">
        <f aca="false">IF(BY1695="LOSE",1,0)</f>
        <v>0</v>
      </c>
      <c r="CB1695" s="65" t="n">
        <f aca="false">IF(AND(U1695="",OR(P1695="",P1695="LOSE"),T1695&lt;&gt;"",N(S1695)&lt;=0,ISNUMBER(MATCH(T1695,Parameter!$I$27:$I$29,0))),1,0)</f>
        <v>0</v>
      </c>
      <c r="CC1695" s="65" t="n">
        <f aca="false">IF(CR1695&gt;0,INDEX(Parameter!$H$5:$H$7,W1695)/INDEX(Parameter!$E$5:$E$7,W1695),IF(AND(CA1695=0,N(IFERROR(VLOOKUP(BY1695,'Gebinde-Kategorie'!$A$5:$N$45,14,0),0))&gt;0),VLOOKUP(BY1695,'Gebinde-Kategorie'!$A$5:$N$45,14,0)*10+Parameter!$M$23,Parameter!$M$24))</f>
        <v>155</v>
      </c>
      <c r="CD1695" s="60" t="n">
        <f aca="false">IF(AND(Parameter!$B$19="Ja",E1695&lt;&gt;"",ISNUMBER(MATCH(E1695,Parameter!$I$35:$I$52,0))),VLOOKUP(E1695,Parameter!$I$35:$J$52,2,0),IFERROR(VLOOKUP(D1695,Parameter!$A$35:$C$64,2,0),"Nein"))</f>
        <v>1</v>
      </c>
      <c r="CE1695" s="64" t="n">
        <f aca="false">IF(CA1695=0,0,IF(N(S1695)&gt;0,S1695,IFERROR(VLOOKUP(D1695,Parameter!$A$35:$C$64,3,0)+0,0)))</f>
        <v>0</v>
      </c>
      <c r="CF1695" s="60" t="n">
        <f aca="false">IF(AB1695&lt;&gt;"",AB1695,AA1695)</f>
        <v>3</v>
      </c>
      <c r="CG1695" s="60" t="str">
        <f aca="false">IF(OR(CF1695=1,CF1695=2,CF1695=3),IF(Parameter!$E$27="Ja","LIFT",IF(CF1695=1,"L1","L23")),IF(CF1695="Aussen","Aussen","-"))</f>
        <v>LIFT</v>
      </c>
      <c r="CH1695" s="71" t="n">
        <f aca="false">IF(N(AC1695)&gt;0,AC1695,0)</f>
        <v>0</v>
      </c>
      <c r="CI1695" s="65" t="n">
        <f aca="false">IF(ISNUMBER(AF1695),1,0)</f>
        <v>0</v>
      </c>
      <c r="CJ1695" s="62" t="n">
        <f aca="false">N(AF1695)</f>
        <v>0</v>
      </c>
      <c r="CK1695" s="62" t="n">
        <f aca="false">N(M1695)+N(N1695)</f>
        <v>3</v>
      </c>
      <c r="CL1695" s="62" t="n">
        <f aca="false">N(M1695)</f>
        <v>0</v>
      </c>
      <c r="CM1695" s="62" t="n">
        <f aca="false">N(N1695)</f>
        <v>3</v>
      </c>
      <c r="CN1695" s="62" t="n">
        <f aca="false">ROUNDUP(H1695/BZ1695,0)</f>
        <v>1</v>
      </c>
      <c r="CO1695" s="62" t="n">
        <f aca="false">ROUNDUP(CJ1695/BZ1695,0)</f>
        <v>0</v>
      </c>
      <c r="CP1695" s="65" t="n">
        <f aca="false">IF(CA1695=1,0,IFERROR(VLOOKUP(BY1695,'Gebinde-Kategorie'!$A$5:$N$45,5,0)+0,0))</f>
        <v>11</v>
      </c>
      <c r="CQ1695" s="65" t="n">
        <f aca="false">IFERROR(IF(OR(CF1695=1,CF1695=2,CF1695=3),N(INDEX(Parameter!$I$5:$I$7,CF1695)),0),0)</f>
        <v>0</v>
      </c>
      <c r="CR1695" s="64" t="n">
        <f aca="false">IF(AND(Parameter!$B$21="Ja",ISNUMBER(W1695),N(X1695)&gt;0),IFERROR(N(INDEX(Parameter!$L$5:$L$7,W1695))*INDEX(Parameter!$E$5:$E$7,W1695)*X1695/SUMIFS($X$7:$X$1843,$W$7:$W$1843,W1695),0),0)</f>
        <v>0</v>
      </c>
      <c r="CS1695" s="62" t="n">
        <f aca="false">IF(AND(OR(CG1695="L1",CG1695="L23",CG1695="LIFT"),H1695&gt;0),CC1695*IF(CR1695&gt;0,CR1695*MAX(1,H1695/X1695),IF(CA1695=1,CE1695,IF(R1695&gt;0,CN1695/R1695,0))/MAX(0.1,N(Parameter!$M$21))),"")</f>
        <v>5.96153846153846</v>
      </c>
      <c r="CT1695" s="64" t="n">
        <f aca="false">IF(CS1695="","",J1695/H1695)</f>
        <v>0</v>
      </c>
      <c r="CU1695" s="62" t="n">
        <f aca="false">IF(CS1695="","",H1695*G1695)</f>
        <v>87</v>
      </c>
      <c r="CV1695" s="63" t="n">
        <f aca="false">IF(CS1695="","",(CL1695+ROUNDUP(CL1695+MAX(CM1695,2*(J1695/MAX(0.1,N(Einkauf!$C$6))-CL1695)),0))/2)</f>
        <v>1.5</v>
      </c>
      <c r="CW1695" s="62" t="n">
        <f aca="false">IF(CS1695="","",MAX(0,H1695-CV1695)*G1695)</f>
        <v>43.5</v>
      </c>
      <c r="CX1695" s="62" t="n">
        <f aca="false">IF(CS1695="","",CS1695*MAX(0,1-CV1695/H1695))</f>
        <v>2.98076923076923</v>
      </c>
      <c r="CY1695" s="64" t="n">
        <f aca="false">IF(CS1695="","",PERCENTRANK($CS$7:$CS$1843,CS1695)+PERCENTRANK($CU$7:$CU$1843,CU1695)+1-PERCENTRANK($CT$7:$CT$1843,CT1695))</f>
        <v>1.57</v>
      </c>
      <c r="CZ1695" s="72" t="n">
        <f aca="false">IF(CS1695="","",CHOOSE(MATCH(Einkauf!$C$5,Parameter!$G$23:$G$27,0),CY1695,CS1695,CU1695,-CT1695,CW1695)+ROW()/1000000000)</f>
        <v>1.570001695</v>
      </c>
    </row>
    <row r="1696" customFormat="false" ht="15" hidden="false" customHeight="false" outlineLevel="0" collapsed="false">
      <c r="A1696" s="60" t="s">
        <v>2979</v>
      </c>
      <c r="B1696" s="60" t="s">
        <v>864</v>
      </c>
      <c r="C1696" s="60" t="s">
        <v>206</v>
      </c>
      <c r="D1696" s="60" t="s">
        <v>226</v>
      </c>
      <c r="E1696" s="60"/>
      <c r="F1696" s="60"/>
      <c r="G1696" s="61" t="n">
        <v>34</v>
      </c>
      <c r="H1696" s="62" t="n">
        <f aca="false">MAX(0,IF(AND(Parameter!$B$21="Ja",ISNUMBER(Y1696)),Y1696,IF(Parameter!$B$20="Jahresanfang 2025 + Export",BS1696+BR1696,BR1696)))</f>
        <v>3</v>
      </c>
      <c r="I1696" s="62" t="n">
        <f aca="false">H1696*G1696</f>
        <v>102</v>
      </c>
      <c r="J1696" s="62" t="n">
        <f aca="false">BU1696*Parameter!$B$18</f>
        <v>0</v>
      </c>
      <c r="K1696" s="63"/>
      <c r="L1696" s="64"/>
      <c r="M1696" s="62" t="n">
        <v>0</v>
      </c>
      <c r="N1696" s="62" t="n">
        <v>3</v>
      </c>
      <c r="O1696" s="65" t="n">
        <v>35</v>
      </c>
      <c r="P1696" s="60" t="s">
        <v>344</v>
      </c>
      <c r="Q1696" s="62" t="n">
        <v>5</v>
      </c>
      <c r="R1696" s="65" t="n">
        <f aca="false">IF(CA1696=1,0,IFERROR(VLOOKUP(BY1696,'Gebinde-Kategorie'!$A$5:$N$45,13,0)+0,0))</f>
        <v>26</v>
      </c>
      <c r="S1696" s="66"/>
      <c r="T1696" s="67"/>
      <c r="U1696" s="67"/>
      <c r="V1696" s="67"/>
      <c r="W1696" s="60"/>
      <c r="X1696" s="62"/>
      <c r="Y1696" s="62"/>
      <c r="Z1696" s="60" t="n">
        <v>3</v>
      </c>
      <c r="AA1696" s="60" t="n">
        <f aca="false">IF(A1696="","",IF(AND(Parameter!$B$21="Ja",ISNUMBER(W1696)),W1696,IF(AND(Parameter!$E$27="Ja",ISNUMBER(Z1696),CD1696&lt;&gt;"Nein"),Z1696,IF(CD1696="2+3",IF(ISNUMBER(SEARCH("grosser Artikel",BV1696)),2,IFERROR(VLOOKUP(BY1696,Parameter!$F$35:$G$64,2,0),2)),IF(OR(CD1696="Nein",CD1696=""),"-",CD1696)))))</f>
        <v>3</v>
      </c>
      <c r="AB1696" s="67"/>
      <c r="AC1696" s="68"/>
      <c r="AD1696" s="62" t="n">
        <f aca="false">AW1696</f>
        <v>3</v>
      </c>
      <c r="AE1696" s="62" t="n">
        <f aca="false">MAX(AW1696,H1696)</f>
        <v>3</v>
      </c>
      <c r="AF1696" s="69"/>
      <c r="AG1696" s="62" t="n">
        <f aca="false">IF(LEFT(Cockpit!$C$5,1)="A",H1696,IF(Parameter!$E$30="MAX-Bestand",IF(CI1696=1,CJ1696,IF(LEFT(Cockpit!$C$5,1)="B",AM1696,MAX(AM1696,H1696))),ROUNDUP(AK1696,0)))</f>
        <v>3</v>
      </c>
      <c r="AH1696" s="62" t="n">
        <f aca="false">IF(CA1696=1,0,ROUNDUP(AG1696/BZ1696,0))</f>
        <v>1</v>
      </c>
      <c r="AI1696" s="64" t="n">
        <f aca="false">IF(CR1696&gt;0,CR1696*MAX(1,AG1696/X1696),IF(CA1696=1,IF(AG1696&lt;=0,0,CE1696*MAX(1,IF(H1696&gt;0,AG1696/H1696,1))),IF(R1696&gt;0,AH1696/R1696,0))/MAX(0.1,N(Parameter!$M$21)))</f>
        <v>0.0384615384615385</v>
      </c>
      <c r="AJ1696" s="62" t="n">
        <f aca="false">AI1696*CC1696</f>
        <v>5.96153846153846</v>
      </c>
      <c r="AK1696" s="63" t="n">
        <f aca="false">IF(LEFT(Cockpit!$C$5,1)="A",H1696,IF(CI1696=1,(CL1696+CJ1696)/2,IF(LEFT(Cockpit!$C$5,1)="B",(CL1696+AM1696)/2,MAX((CL1696+AM1696)/2,H1696))))</f>
        <v>3</v>
      </c>
      <c r="AL1696" s="62" t="n">
        <f aca="false">AK1696*G1696</f>
        <v>102</v>
      </c>
      <c r="AM1696" s="62" t="n">
        <f aca="false">ROUNDUP(CL1696+MAX(CM1696,2*(J1696/IF(CH1696&gt;0,CH1696,MAX(0.1,N(Cockpit!$C$6)))-CL1696)),0)</f>
        <v>3</v>
      </c>
      <c r="AN1696" s="63" t="n">
        <f aca="false">IF(AJ1696&gt;0,J1696/AJ1696,-1)</f>
        <v>0</v>
      </c>
      <c r="AO1696" s="63" t="n">
        <f aca="false">IF(AND(OR(CG1696="L1",CG1696="L23",CG1696="LIFT"),AJ1696&gt;0),SUMIFS($AJ$7:$AJ$1843,$CG$7:$CG$1843,CG1696,$AN$7:$AN$1843,"&gt;"&amp;AN1696)+SUMIFS($AJ$7:$AJ$1843,$CG$7:$CG$1843,CG1696,$AN$7:$AN$1843,AN1696,$BX$7:$BX$1843,"&lt;="&amp;BX1696),"")</f>
        <v>32779.1525294385</v>
      </c>
      <c r="AP1696" s="70" t="n">
        <f aca="false">IF(AO1696="",0,MAX(0,MIN(1,(IF(CG1696="L1",Parameter!$H$5,IF(CG1696="L23",Parameter!$H$6+Parameter!$H$7,Parameter!$H$5+Parameter!$H$6+Parameter!$H$7))-(AO1696-AJ1696))/AJ1696)))</f>
        <v>1</v>
      </c>
      <c r="AQ1696" s="62" t="n">
        <f aca="false">IF(LEFT(Cockpit!$I$5,1)="A",H1696,IF(Parameter!$E$30="MAX-Bestand",IF(CI1696=1,CJ1696,IF(LEFT(Cockpit!$I$5,1)="B",AW1696,MAX(AW1696,H1696))),ROUNDUP(AU1696,0)))</f>
        <v>3</v>
      </c>
      <c r="AR1696" s="62" t="n">
        <f aca="false">IF(CA1696=1,0,ROUNDUP(AQ1696/BZ1696,0))</f>
        <v>1</v>
      </c>
      <c r="AS1696" s="64" t="n">
        <f aca="false">IF(CR1696&gt;0,CR1696*MAX(1,AQ1696/X1696),IF(CA1696=1,IF(AQ1696&lt;=0,0,CE1696*MAX(1,IF(H1696&gt;0,AQ1696/H1696,1))),IF(R1696&gt;0,AR1696/R1696,0))/MAX(0.1,N(Parameter!$M$21)))</f>
        <v>0.0384615384615385</v>
      </c>
      <c r="AT1696" s="62" t="n">
        <f aca="false">AS1696*CC1696</f>
        <v>5.96153846153846</v>
      </c>
      <c r="AU1696" s="63" t="n">
        <f aca="false">IF(LEFT(Cockpit!$I$5,1)="A",H1696,IF(CI1696=1,(CL1696+CJ1696)/2,IF(LEFT(Cockpit!$I$5,1)="B",(CL1696+AW1696)/2,MAX((CL1696+AW1696)/2,H1696))))</f>
        <v>3</v>
      </c>
      <c r="AV1696" s="62" t="n">
        <f aca="false">AU1696*G1696</f>
        <v>102</v>
      </c>
      <c r="AW1696" s="62" t="n">
        <f aca="false">ROUNDUP(CL1696+MAX(CM1696,2*(J1696/IF(CH1696&gt;0,CH1696,MAX(0.1,N(Cockpit!$I$6)))-CL1696)),0)</f>
        <v>3</v>
      </c>
      <c r="AX1696" s="63" t="n">
        <f aca="false">IF(AT1696&gt;0,J1696/AT1696,-1)</f>
        <v>0</v>
      </c>
      <c r="AY1696" s="63" t="n">
        <f aca="false">IF(AND(OR(CG1696="L1",CG1696="L23",CG1696="LIFT"),AT1696&gt;0),SUMIFS($AT$7:$AT$1843,$CG$7:$CG$1843,CG1696,$AX$7:$AX$1843,"&gt;"&amp;AX1696)+SUMIFS($AT$7:$AT$1843,$CG$7:$CG$1843,CG1696,$AX$7:$AX$1843,AX1696,$BX$7:$BX$1843,"&lt;="&amp;BX1696),"")</f>
        <v>39251.4007600215</v>
      </c>
      <c r="AZ1696" s="70" t="n">
        <f aca="false">IF(AY1696="",0,MAX(0,MIN(1,(IF(CG1696="L1",Parameter!$H$5,IF(CG1696="L23",Parameter!$H$6+Parameter!$H$7,Parameter!$H$5+Parameter!$H$6+Parameter!$H$7))-(AY1696-AT1696))/AT1696)))</f>
        <v>0</v>
      </c>
      <c r="BA1696" s="62" t="n">
        <f aca="false">IF(LEFT(Cockpit!$O$5,1)="A",H1696,IF(Parameter!$E$30="MAX-Bestand",IF(CI1696=1,CJ1696,IF(LEFT(Cockpit!$O$5,1)="B",BG1696,MAX(BG1696,H1696))),ROUNDUP(BE1696,0)))</f>
        <v>2</v>
      </c>
      <c r="BB1696" s="62" t="n">
        <f aca="false">IF(CA1696=1,0,ROUNDUP(BA1696/BZ1696,0))</f>
        <v>1</v>
      </c>
      <c r="BC1696" s="64" t="n">
        <f aca="false">IF(CR1696&gt;0,CR1696*MAX(1,BA1696/X1696),IF(CA1696=1,IF(BA1696&lt;=0,0,CE1696*MAX(1,IF(H1696&gt;0,BA1696/H1696,1))),IF(R1696&gt;0,BB1696/R1696,0))/MAX(0.1,N(Parameter!$M$21)))</f>
        <v>0.0384615384615385</v>
      </c>
      <c r="BD1696" s="62" t="n">
        <f aca="false">BC1696*CC1696</f>
        <v>5.96153846153846</v>
      </c>
      <c r="BE1696" s="63" t="n">
        <f aca="false">IF(LEFT(Cockpit!$O$5,1)="A",H1696,IF(CI1696=1,(CL1696+CJ1696)/2,IF(LEFT(Cockpit!$O$5,1)="B",(CL1696+BG1696)/2,MAX((CL1696+BG1696)/2,H1696))))</f>
        <v>1.5</v>
      </c>
      <c r="BF1696" s="62" t="n">
        <f aca="false">BE1696*G1696</f>
        <v>51</v>
      </c>
      <c r="BG1696" s="62" t="n">
        <f aca="false">ROUNDUP(CL1696+MAX(CM1696,2*(J1696/IF(CH1696&gt;0,CH1696,MAX(0.1,N(Cockpit!$O$6)))-CL1696)),0)</f>
        <v>3</v>
      </c>
      <c r="BH1696" s="63" t="n">
        <f aca="false">IF(BD1696&gt;0,J1696/BD1696,-1)</f>
        <v>0</v>
      </c>
      <c r="BI1696" s="63" t="n">
        <f aca="false">IF(AND(OR(CG1696="L1",CG1696="L23",CG1696="LIFT"),BD1696&gt;0),SUMIFS($BD$7:$BD$1843,$CG$7:$CG$1843,CG1696,$BH$7:$BH$1843,"&gt;"&amp;BH1696)+SUMIFS($BD$7:$BD$1843,$CG$7:$CG$1843,CG1696,$BH$7:$BH$1843,BH1696,$BX$7:$BX$1843,"&lt;="&amp;BX1696),"")</f>
        <v>32495.7138304257</v>
      </c>
      <c r="BJ1696" s="70" t="n">
        <f aca="false">IF(BI1696="",0,MAX(0,MIN(1,(IF(CG1696="L1",Parameter!$H$5,IF(CG1696="L23",Parameter!$H$6+Parameter!$H$7,Parameter!$H$5+Parameter!$H$6+Parameter!$H$7))-(BI1696-BD1696))/BD1696)))</f>
        <v>1</v>
      </c>
      <c r="BK1696" s="60" t="str">
        <f aca="false">IF(AJ1696&lt;=0,"",IF(CG1696="Aussen","Aussenlager",IF(CG1696="-","Nicht im Lift",IF(AP1696&gt;=1,"Lift",IF(AP1696&lt;=0,"Aussenlager","teilweise")))))</f>
        <v>Lift</v>
      </c>
      <c r="BL1696" s="60" t="str">
        <f aca="false">IF(AT1696&lt;=0,"",IF(CG1696="Aussen","Aussenlager",IF(CG1696="-","Nicht im Lift",IF(AZ1696&gt;=1,"Lift",IF(AZ1696&lt;=0,"Aussenlager","teilweise")))))</f>
        <v>Aussenlager</v>
      </c>
      <c r="BM1696" s="60" t="str">
        <f aca="false">IF(BD1696&lt;=0,"",IF(CG1696="Aussen","Aussenlager",IF(CG1696="-","Nicht im Lift",IF(BJ1696&gt;=1,"Lift",IF(BJ1696&lt;=0,"Aussenlager","teilweise")))))</f>
        <v>Lift</v>
      </c>
      <c r="BN1696" s="60" t="str">
        <f aca="false">IF(A1696="","",IF(BW1696=1,"Neu; ","")&amp;IF(AND(BW1696=0,BR1696&lt;0),"negativer Bestand (Export "&amp;BR1696&amp;"); ","")&amp;IF(J1696&lt;=0,"Kein Verbrauch; ","")&amp;IF(CR1696&gt;0,"Lift "&amp;W1696&amp;" lt. Liftbericht (Fach "&amp;X1696&amp;" Stk); ",IF(CB1696=1,"Gebinde geschätzt ("&amp;T1696&amp;"); ",IF(CA1696=1,"Lose – Tablare geschätzt; ","")))&amp;IF(H1696&gt;AW1696,"Überbestand "&amp;ROUND(H1696-AW1696,0)&amp;" Stk / CHF "&amp;ROUND((H1696-AW1696)*G1696,0)&amp;"; ","")&amp;IF(AND(CI1696=1,CJ1696&lt;CK1696),"MAX &lt; MB+LG; ","")&amp;IF(AND(CQ1696&gt;0,CP1696*10&gt;CQ1696),"zu hoch für Tablar; ","")&amp;IF(AND(BW1696=0,OR(CI1696=1,AB1696&lt;&gt;"",U1696&lt;&gt;"",V1696&lt;&gt;"",AC1696&lt;&gt;"")),"manuell übersteuert; ","")&amp;IF(AND(CA1696=0,R1696=0),"Gebinde unbekannt / Stellmass fehlt; ","")&amp;IF(AND(CA1696=0,N(V1696)&lt;=0,N(Q1696)&lt;=0),"Menge pro Gebinde fehlt (Ist = 1 Gebinde); ","")&amp;BV1696)</f>
        <v>Kein Verbrauch; nur im Artikelstamm (Bestand 23.06.2026)</v>
      </c>
      <c r="BO1696" s="60"/>
      <c r="BP1696" s="60"/>
      <c r="BQ1696" s="67"/>
      <c r="BR1696" s="62" t="n">
        <v>3</v>
      </c>
      <c r="BS1696" s="62" t="n">
        <v>0</v>
      </c>
      <c r="BT1696" s="61" t="n">
        <v>0</v>
      </c>
      <c r="BU1696" s="62" t="n">
        <v>0</v>
      </c>
      <c r="BV1696" s="60" t="s">
        <v>2617</v>
      </c>
      <c r="BW1696" s="65" t="n">
        <v>0</v>
      </c>
      <c r="BX1696" s="65" t="n">
        <v>1696</v>
      </c>
      <c r="BY1696" s="60" t="str">
        <f aca="false">IF(U1696&lt;&gt;"",UPPER(TRIM(U1696)),IF(CB1696=1,UPPER(VLOOKUP(T1696,Parameter!$I$27:$K$29,2,0)),IF(P1696="","LOSE",P1696)))</f>
        <v>S51</v>
      </c>
      <c r="BZ1696" s="62" t="n">
        <f aca="false">IF(BY1696="LOSE",1,IF(N(V1696)&gt;0,V1696,IF(CB1696=1,MAX(1,N(VLOOKUP(T1696,Parameter!$I$27:$K$29,3,0)),H1696,N(N1696)),IF(N(Q1696)&gt;0,Q1696,MAX(1,H1696)))))</f>
        <v>5</v>
      </c>
      <c r="CA1696" s="65" t="n">
        <f aca="false">IF(BY1696="LOSE",1,0)</f>
        <v>0</v>
      </c>
      <c r="CB1696" s="65" t="n">
        <f aca="false">IF(AND(U1696="",OR(P1696="",P1696="LOSE"),T1696&lt;&gt;"",N(S1696)&lt;=0,ISNUMBER(MATCH(T1696,Parameter!$I$27:$I$29,0))),1,0)</f>
        <v>0</v>
      </c>
      <c r="CC1696" s="65" t="n">
        <f aca="false">IF(CR1696&gt;0,INDEX(Parameter!$H$5:$H$7,W1696)/INDEX(Parameter!$E$5:$E$7,W1696),IF(AND(CA1696=0,N(IFERROR(VLOOKUP(BY1696,'Gebinde-Kategorie'!$A$5:$N$45,14,0),0))&gt;0),VLOOKUP(BY1696,'Gebinde-Kategorie'!$A$5:$N$45,14,0)*10+Parameter!$M$23,Parameter!$M$24))</f>
        <v>155</v>
      </c>
      <c r="CD1696" s="60" t="str">
        <f aca="false">IF(AND(Parameter!$B$19="Ja",E1696&lt;&gt;"",ISNUMBER(MATCH(E1696,Parameter!$I$35:$I$52,0))),VLOOKUP(E1696,Parameter!$I$35:$J$52,2,0),IFERROR(VLOOKUP(D1696,Parameter!$A$35:$C$64,2,0),"Nein"))</f>
        <v>2+3</v>
      </c>
      <c r="CE1696" s="64" t="n">
        <f aca="false">IF(CA1696=0,0,IF(N(S1696)&gt;0,S1696,IFERROR(VLOOKUP(D1696,Parameter!$A$35:$C$64,3,0)+0,0)))</f>
        <v>0</v>
      </c>
      <c r="CF1696" s="60" t="n">
        <f aca="false">IF(AB1696&lt;&gt;"",AB1696,AA1696)</f>
        <v>3</v>
      </c>
      <c r="CG1696" s="60" t="str">
        <f aca="false">IF(OR(CF1696=1,CF1696=2,CF1696=3),IF(Parameter!$E$27="Ja","LIFT",IF(CF1696=1,"L1","L23")),IF(CF1696="Aussen","Aussen","-"))</f>
        <v>LIFT</v>
      </c>
      <c r="CH1696" s="71" t="n">
        <f aca="false">IF(N(AC1696)&gt;0,AC1696,0)</f>
        <v>0</v>
      </c>
      <c r="CI1696" s="65" t="n">
        <f aca="false">IF(ISNUMBER(AF1696),1,0)</f>
        <v>0</v>
      </c>
      <c r="CJ1696" s="62" t="n">
        <f aca="false">N(AF1696)</f>
        <v>0</v>
      </c>
      <c r="CK1696" s="62" t="n">
        <f aca="false">N(M1696)+N(N1696)</f>
        <v>3</v>
      </c>
      <c r="CL1696" s="62" t="n">
        <f aca="false">N(M1696)</f>
        <v>0</v>
      </c>
      <c r="CM1696" s="62" t="n">
        <f aca="false">N(N1696)</f>
        <v>3</v>
      </c>
      <c r="CN1696" s="62" t="n">
        <f aca="false">ROUNDUP(H1696/BZ1696,0)</f>
        <v>1</v>
      </c>
      <c r="CO1696" s="62" t="n">
        <f aca="false">ROUNDUP(CJ1696/BZ1696,0)</f>
        <v>0</v>
      </c>
      <c r="CP1696" s="65" t="n">
        <f aca="false">IF(CA1696=1,0,IFERROR(VLOOKUP(BY1696,'Gebinde-Kategorie'!$A$5:$N$45,5,0)+0,0))</f>
        <v>11</v>
      </c>
      <c r="CQ1696" s="65" t="n">
        <f aca="false">IFERROR(IF(OR(CF1696=1,CF1696=2,CF1696=3),N(INDEX(Parameter!$I$5:$I$7,CF1696)),0),0)</f>
        <v>0</v>
      </c>
      <c r="CR1696" s="64" t="n">
        <f aca="false">IF(AND(Parameter!$B$21="Ja",ISNUMBER(W1696),N(X1696)&gt;0),IFERROR(N(INDEX(Parameter!$L$5:$L$7,W1696))*INDEX(Parameter!$E$5:$E$7,W1696)*X1696/SUMIFS($X$7:$X$1843,$W$7:$W$1843,W1696),0),0)</f>
        <v>0</v>
      </c>
      <c r="CS1696" s="62" t="n">
        <f aca="false">IF(AND(OR(CG1696="L1",CG1696="L23",CG1696="LIFT"),H1696&gt;0),CC1696*IF(CR1696&gt;0,CR1696*MAX(1,H1696/X1696),IF(CA1696=1,CE1696,IF(R1696&gt;0,CN1696/R1696,0))/MAX(0.1,N(Parameter!$M$21))),"")</f>
        <v>5.96153846153846</v>
      </c>
      <c r="CT1696" s="64" t="n">
        <f aca="false">IF(CS1696="","",J1696/H1696)</f>
        <v>0</v>
      </c>
      <c r="CU1696" s="62" t="n">
        <f aca="false">IF(CS1696="","",H1696*G1696)</f>
        <v>102</v>
      </c>
      <c r="CV1696" s="63" t="n">
        <f aca="false">IF(CS1696="","",(CL1696+ROUNDUP(CL1696+MAX(CM1696,2*(J1696/MAX(0.1,N(Einkauf!$C$6))-CL1696)),0))/2)</f>
        <v>1.5</v>
      </c>
      <c r="CW1696" s="62" t="n">
        <f aca="false">IF(CS1696="","",MAX(0,H1696-CV1696)*G1696)</f>
        <v>51</v>
      </c>
      <c r="CX1696" s="62" t="n">
        <f aca="false">IF(CS1696="","",CS1696*MAX(0,1-CV1696/H1696))</f>
        <v>2.98076923076923</v>
      </c>
      <c r="CY1696" s="64" t="n">
        <f aca="false">IF(CS1696="","",PERCENTRANK($CS$7:$CS$1843,CS1696)+PERCENTRANK($CU$7:$CU$1843,CU1696)+1-PERCENTRANK($CT$7:$CT$1843,CT1696))</f>
        <v>1.594</v>
      </c>
      <c r="CZ1696" s="72" t="n">
        <f aca="false">IF(CS1696="","",CHOOSE(MATCH(Einkauf!$C$5,Parameter!$G$23:$G$27,0),CY1696,CS1696,CU1696,-CT1696,CW1696)+ROW()/1000000000)</f>
        <v>1.594001696</v>
      </c>
    </row>
    <row r="1697" customFormat="false" ht="15" hidden="false" customHeight="false" outlineLevel="0" collapsed="false">
      <c r="A1697" s="60" t="s">
        <v>2980</v>
      </c>
      <c r="B1697" s="60" t="s">
        <v>1178</v>
      </c>
      <c r="C1697" s="60" t="s">
        <v>206</v>
      </c>
      <c r="D1697" s="60" t="s">
        <v>226</v>
      </c>
      <c r="E1697" s="60"/>
      <c r="F1697" s="60"/>
      <c r="G1697" s="61" t="n">
        <v>4.6</v>
      </c>
      <c r="H1697" s="62" t="n">
        <f aca="false">MAX(0,IF(AND(Parameter!$B$21="Ja",ISNUMBER(Y1697)),Y1697,IF(Parameter!$B$20="Jahresanfang 2025 + Export",BS1697+BR1697,BR1697)))</f>
        <v>10</v>
      </c>
      <c r="I1697" s="62" t="n">
        <f aca="false">H1697*G1697</f>
        <v>46</v>
      </c>
      <c r="J1697" s="62" t="n">
        <f aca="false">BU1697*Parameter!$B$18</f>
        <v>0</v>
      </c>
      <c r="K1697" s="63"/>
      <c r="L1697" s="64"/>
      <c r="M1697" s="62" t="n">
        <v>0</v>
      </c>
      <c r="N1697" s="62" t="n">
        <v>1</v>
      </c>
      <c r="O1697" s="65" t="n">
        <v>28</v>
      </c>
      <c r="P1697" s="60" t="s">
        <v>370</v>
      </c>
      <c r="Q1697" s="62" t="n">
        <v>9</v>
      </c>
      <c r="R1697" s="65" t="n">
        <f aca="false">IF(CA1697=1,0,IFERROR(VLOOKUP(BY1697,'Gebinde-Kategorie'!$A$5:$N$45,13,0)+0,0))</f>
        <v>52</v>
      </c>
      <c r="S1697" s="66"/>
      <c r="T1697" s="67"/>
      <c r="U1697" s="67"/>
      <c r="V1697" s="67"/>
      <c r="W1697" s="60"/>
      <c r="X1697" s="62"/>
      <c r="Y1697" s="62"/>
      <c r="Z1697" s="60" t="n">
        <v>3</v>
      </c>
      <c r="AA1697" s="60" t="n">
        <f aca="false">IF(A1697="","",IF(AND(Parameter!$B$21="Ja",ISNUMBER(W1697)),W1697,IF(AND(Parameter!$E$27="Ja",ISNUMBER(Z1697),CD1697&lt;&gt;"Nein"),Z1697,IF(CD1697="2+3",IF(ISNUMBER(SEARCH("grosser Artikel",BV1697)),2,IFERROR(VLOOKUP(BY1697,Parameter!$F$35:$G$64,2,0),2)),IF(OR(CD1697="Nein",CD1697=""),"-",CD1697)))))</f>
        <v>3</v>
      </c>
      <c r="AB1697" s="67"/>
      <c r="AC1697" s="68"/>
      <c r="AD1697" s="62" t="n">
        <f aca="false">AW1697</f>
        <v>1</v>
      </c>
      <c r="AE1697" s="62" t="n">
        <f aca="false">MAX(AW1697,H1697)</f>
        <v>10</v>
      </c>
      <c r="AF1697" s="69"/>
      <c r="AG1697" s="62" t="n">
        <f aca="false">IF(LEFT(Cockpit!$C$5,1)="A",H1697,IF(Parameter!$E$30="MAX-Bestand",IF(CI1697=1,CJ1697,IF(LEFT(Cockpit!$C$5,1)="B",AM1697,MAX(AM1697,H1697))),ROUNDUP(AK1697,0)))</f>
        <v>10</v>
      </c>
      <c r="AH1697" s="62" t="n">
        <f aca="false">IF(CA1697=1,0,ROUNDUP(AG1697/BZ1697,0))</f>
        <v>2</v>
      </c>
      <c r="AI1697" s="64" t="n">
        <f aca="false">IF(CR1697&gt;0,CR1697*MAX(1,AG1697/X1697),IF(CA1697=1,IF(AG1697&lt;=0,0,CE1697*MAX(1,IF(H1697&gt;0,AG1697/H1697,1))),IF(R1697&gt;0,AH1697/R1697,0))/MAX(0.1,N(Parameter!$M$21)))</f>
        <v>0.0384615384615385</v>
      </c>
      <c r="AJ1697" s="62" t="n">
        <f aca="false">AI1697*CC1697</f>
        <v>5.96153846153846</v>
      </c>
      <c r="AK1697" s="63" t="n">
        <f aca="false">IF(LEFT(Cockpit!$C$5,1)="A",H1697,IF(CI1697=1,(CL1697+CJ1697)/2,IF(LEFT(Cockpit!$C$5,1)="B",(CL1697+AM1697)/2,MAX((CL1697+AM1697)/2,H1697))))</f>
        <v>10</v>
      </c>
      <c r="AL1697" s="62" t="n">
        <f aca="false">AK1697*G1697</f>
        <v>46</v>
      </c>
      <c r="AM1697" s="62" t="n">
        <f aca="false">ROUNDUP(CL1697+MAX(CM1697,2*(J1697/IF(CH1697&gt;0,CH1697,MAX(0.1,N(Cockpit!$C$6)))-CL1697)),0)</f>
        <v>1</v>
      </c>
      <c r="AN1697" s="63" t="n">
        <f aca="false">IF(AJ1697&gt;0,J1697/AJ1697,-1)</f>
        <v>0</v>
      </c>
      <c r="AO1697" s="63" t="n">
        <f aca="false">IF(AND(OR(CG1697="L1",CG1697="L23",CG1697="LIFT"),AJ1697&gt;0),SUMIFS($AJ$7:$AJ$1843,$CG$7:$CG$1843,CG1697,$AN$7:$AN$1843,"&gt;"&amp;AN1697)+SUMIFS($AJ$7:$AJ$1843,$CG$7:$CG$1843,CG1697,$AN$7:$AN$1843,AN1697,$BX$7:$BX$1843,"&lt;="&amp;BX1697),"")</f>
        <v>32785.1140679001</v>
      </c>
      <c r="AP1697" s="70" t="n">
        <f aca="false">IF(AO1697="",0,MAX(0,MIN(1,(IF(CG1697="L1",Parameter!$H$5,IF(CG1697="L23",Parameter!$H$6+Parameter!$H$7,Parameter!$H$5+Parameter!$H$6+Parameter!$H$7))-(AO1697-AJ1697))/AJ1697)))</f>
        <v>1</v>
      </c>
      <c r="AQ1697" s="62" t="n">
        <f aca="false">IF(LEFT(Cockpit!$I$5,1)="A",H1697,IF(Parameter!$E$30="MAX-Bestand",IF(CI1697=1,CJ1697,IF(LEFT(Cockpit!$I$5,1)="B",AW1697,MAX(AW1697,H1697))),ROUNDUP(AU1697,0)))</f>
        <v>10</v>
      </c>
      <c r="AR1697" s="62" t="n">
        <f aca="false">IF(CA1697=1,0,ROUNDUP(AQ1697/BZ1697,0))</f>
        <v>2</v>
      </c>
      <c r="AS1697" s="64" t="n">
        <f aca="false">IF(CR1697&gt;0,CR1697*MAX(1,AQ1697/X1697),IF(CA1697=1,IF(AQ1697&lt;=0,0,CE1697*MAX(1,IF(H1697&gt;0,AQ1697/H1697,1))),IF(R1697&gt;0,AR1697/R1697,0))/MAX(0.1,N(Parameter!$M$21)))</f>
        <v>0.0384615384615385</v>
      </c>
      <c r="AT1697" s="62" t="n">
        <f aca="false">AS1697*CC1697</f>
        <v>5.96153846153846</v>
      </c>
      <c r="AU1697" s="63" t="n">
        <f aca="false">IF(LEFT(Cockpit!$I$5,1)="A",H1697,IF(CI1697=1,(CL1697+CJ1697)/2,IF(LEFT(Cockpit!$I$5,1)="B",(CL1697+AW1697)/2,MAX((CL1697+AW1697)/2,H1697))))</f>
        <v>10</v>
      </c>
      <c r="AV1697" s="62" t="n">
        <f aca="false">AU1697*G1697</f>
        <v>46</v>
      </c>
      <c r="AW1697" s="62" t="n">
        <f aca="false">ROUNDUP(CL1697+MAX(CM1697,2*(J1697/IF(CH1697&gt;0,CH1697,MAX(0.1,N(Cockpit!$I$6)))-CL1697)),0)</f>
        <v>1</v>
      </c>
      <c r="AX1697" s="63" t="n">
        <f aca="false">IF(AT1697&gt;0,J1697/AT1697,-1)</f>
        <v>0</v>
      </c>
      <c r="AY1697" s="63" t="n">
        <f aca="false">IF(AND(OR(CG1697="L1",CG1697="L23",CG1697="LIFT"),AT1697&gt;0),SUMIFS($AT$7:$AT$1843,$CG$7:$CG$1843,CG1697,$AX$7:$AX$1843,"&gt;"&amp;AX1697)+SUMIFS($AT$7:$AT$1843,$CG$7:$CG$1843,CG1697,$AX$7:$AX$1843,AX1697,$BX$7:$BX$1843,"&lt;="&amp;BX1697),"")</f>
        <v>39257.3622984831</v>
      </c>
      <c r="AZ1697" s="70" t="n">
        <f aca="false">IF(AY1697="",0,MAX(0,MIN(1,(IF(CG1697="L1",Parameter!$H$5,IF(CG1697="L23",Parameter!$H$6+Parameter!$H$7,Parameter!$H$5+Parameter!$H$6+Parameter!$H$7))-(AY1697-AT1697))/AT1697)))</f>
        <v>0</v>
      </c>
      <c r="BA1697" s="62" t="n">
        <f aca="false">IF(LEFT(Cockpit!$O$5,1)="A",H1697,IF(Parameter!$E$30="MAX-Bestand",IF(CI1697=1,CJ1697,IF(LEFT(Cockpit!$O$5,1)="B",BG1697,MAX(BG1697,H1697))),ROUNDUP(BE1697,0)))</f>
        <v>1</v>
      </c>
      <c r="BB1697" s="62" t="n">
        <f aca="false">IF(CA1697=1,0,ROUNDUP(BA1697/BZ1697,0))</f>
        <v>1</v>
      </c>
      <c r="BC1697" s="64" t="n">
        <f aca="false">IF(CR1697&gt;0,CR1697*MAX(1,BA1697/X1697),IF(CA1697=1,IF(BA1697&lt;=0,0,CE1697*MAX(1,IF(H1697&gt;0,BA1697/H1697,1))),IF(R1697&gt;0,BB1697/R1697,0))/MAX(0.1,N(Parameter!$M$21)))</f>
        <v>0.0192307692307692</v>
      </c>
      <c r="BD1697" s="62" t="n">
        <f aca="false">BC1697*CC1697</f>
        <v>2.98076923076923</v>
      </c>
      <c r="BE1697" s="63" t="n">
        <f aca="false">IF(LEFT(Cockpit!$O$5,1)="A",H1697,IF(CI1697=1,(CL1697+CJ1697)/2,IF(LEFT(Cockpit!$O$5,1)="B",(CL1697+BG1697)/2,MAX((CL1697+BG1697)/2,H1697))))</f>
        <v>0.5</v>
      </c>
      <c r="BF1697" s="62" t="n">
        <f aca="false">BE1697*G1697</f>
        <v>2.3</v>
      </c>
      <c r="BG1697" s="62" t="n">
        <f aca="false">ROUNDUP(CL1697+MAX(CM1697,2*(J1697/IF(CH1697&gt;0,CH1697,MAX(0.1,N(Cockpit!$O$6)))-CL1697)),0)</f>
        <v>1</v>
      </c>
      <c r="BH1697" s="63" t="n">
        <f aca="false">IF(BD1697&gt;0,J1697/BD1697,-1)</f>
        <v>0</v>
      </c>
      <c r="BI1697" s="63" t="n">
        <f aca="false">IF(AND(OR(CG1697="L1",CG1697="L23",CG1697="LIFT"),BD1697&gt;0),SUMIFS($BD$7:$BD$1843,$CG$7:$CG$1843,CG1697,$BH$7:$BH$1843,"&gt;"&amp;BH1697)+SUMIFS($BD$7:$BD$1843,$CG$7:$CG$1843,CG1697,$BH$7:$BH$1843,BH1697,$BX$7:$BX$1843,"&lt;="&amp;BX1697),"")</f>
        <v>32498.6945996565</v>
      </c>
      <c r="BJ1697" s="70" t="n">
        <f aca="false">IF(BI1697="",0,MAX(0,MIN(1,(IF(CG1697="L1",Parameter!$H$5,IF(CG1697="L23",Parameter!$H$6+Parameter!$H$7,Parameter!$H$5+Parameter!$H$6+Parameter!$H$7))-(BI1697-BD1697))/BD1697)))</f>
        <v>1</v>
      </c>
      <c r="BK1697" s="60" t="str">
        <f aca="false">IF(AJ1697&lt;=0,"",IF(CG1697="Aussen","Aussenlager",IF(CG1697="-","Nicht im Lift",IF(AP1697&gt;=1,"Lift",IF(AP1697&lt;=0,"Aussenlager","teilweise")))))</f>
        <v>Lift</v>
      </c>
      <c r="BL1697" s="60" t="str">
        <f aca="false">IF(AT1697&lt;=0,"",IF(CG1697="Aussen","Aussenlager",IF(CG1697="-","Nicht im Lift",IF(AZ1697&gt;=1,"Lift",IF(AZ1697&lt;=0,"Aussenlager","teilweise")))))</f>
        <v>Aussenlager</v>
      </c>
      <c r="BM1697" s="60" t="str">
        <f aca="false">IF(BD1697&lt;=0,"",IF(CG1697="Aussen","Aussenlager",IF(CG1697="-","Nicht im Lift",IF(BJ1697&gt;=1,"Lift",IF(BJ1697&lt;=0,"Aussenlager","teilweise")))))</f>
        <v>Lift</v>
      </c>
      <c r="BN1697" s="60" t="str">
        <f aca="false">IF(A1697="","",IF(BW1697=1,"Neu; ","")&amp;IF(AND(BW1697=0,BR1697&lt;0),"negativer Bestand (Export "&amp;BR1697&amp;"); ","")&amp;IF(J1697&lt;=0,"Kein Verbrauch; ","")&amp;IF(CR1697&gt;0,"Lift "&amp;W1697&amp;" lt. Liftbericht (Fach "&amp;X1697&amp;" Stk); ",IF(CB1697=1,"Gebinde geschätzt ("&amp;T1697&amp;"); ",IF(CA1697=1,"Lose – Tablare geschätzt; ","")))&amp;IF(H1697&gt;AW1697,"Überbestand "&amp;ROUND(H1697-AW1697,0)&amp;" Stk / CHF "&amp;ROUND((H1697-AW1697)*G1697,0)&amp;"; ","")&amp;IF(AND(CI1697=1,CJ1697&lt;CK1697),"MAX &lt; MB+LG; ","")&amp;IF(AND(CQ1697&gt;0,CP1697*10&gt;CQ1697),"zu hoch für Tablar; ","")&amp;IF(AND(BW1697=0,OR(CI1697=1,AB1697&lt;&gt;"",U1697&lt;&gt;"",V1697&lt;&gt;"",AC1697&lt;&gt;"")),"manuell übersteuert; ","")&amp;IF(AND(CA1697=0,R1697=0),"Gebinde unbekannt / Stellmass fehlt; ","")&amp;IF(AND(CA1697=0,N(V1697)&lt;=0,N(Q1697)&lt;=0),"Menge pro Gebinde fehlt (Ist = 1 Gebinde); ","")&amp;BV1697)</f>
        <v>Kein Verbrauch; Überbestand 9 Stk / CHF 41; nur im Artikelstamm (Bestand 23.06.2026)</v>
      </c>
      <c r="BO1697" s="60"/>
      <c r="BP1697" s="60"/>
      <c r="BQ1697" s="67"/>
      <c r="BR1697" s="62" t="n">
        <v>10</v>
      </c>
      <c r="BS1697" s="62" t="n">
        <v>0</v>
      </c>
      <c r="BT1697" s="61" t="n">
        <v>0</v>
      </c>
      <c r="BU1697" s="62" t="n">
        <v>0</v>
      </c>
      <c r="BV1697" s="60" t="s">
        <v>2617</v>
      </c>
      <c r="BW1697" s="65" t="n">
        <v>0</v>
      </c>
      <c r="BX1697" s="65" t="n">
        <v>1697</v>
      </c>
      <c r="BY1697" s="60" t="str">
        <f aca="false">IF(U1697&lt;&gt;"",UPPER(TRIM(U1697)),IF(CB1697=1,UPPER(VLOOKUP(T1697,Parameter!$I$27:$K$29,2,0)),IF(P1697="","LOSE",P1697)))</f>
        <v>S41</v>
      </c>
      <c r="BZ1697" s="62" t="n">
        <f aca="false">IF(BY1697="LOSE",1,IF(N(V1697)&gt;0,V1697,IF(CB1697=1,MAX(1,N(VLOOKUP(T1697,Parameter!$I$27:$K$29,3,0)),H1697,N(N1697)),IF(N(Q1697)&gt;0,Q1697,MAX(1,H1697)))))</f>
        <v>9</v>
      </c>
      <c r="CA1697" s="65" t="n">
        <f aca="false">IF(BY1697="LOSE",1,0)</f>
        <v>0</v>
      </c>
      <c r="CB1697" s="65" t="n">
        <f aca="false">IF(AND(U1697="",OR(P1697="",P1697="LOSE"),T1697&lt;&gt;"",N(S1697)&lt;=0,ISNUMBER(MATCH(T1697,Parameter!$I$27:$I$29,0))),1,0)</f>
        <v>0</v>
      </c>
      <c r="CC1697" s="65" t="n">
        <f aca="false">IF(CR1697&gt;0,INDEX(Parameter!$H$5:$H$7,W1697)/INDEX(Parameter!$E$5:$E$7,W1697),IF(AND(CA1697=0,N(IFERROR(VLOOKUP(BY1697,'Gebinde-Kategorie'!$A$5:$N$45,14,0),0))&gt;0),VLOOKUP(BY1697,'Gebinde-Kategorie'!$A$5:$N$45,14,0)*10+Parameter!$M$23,Parameter!$M$24))</f>
        <v>155</v>
      </c>
      <c r="CD1697" s="60" t="str">
        <f aca="false">IF(AND(Parameter!$B$19="Ja",E1697&lt;&gt;"",ISNUMBER(MATCH(E1697,Parameter!$I$35:$I$52,0))),VLOOKUP(E1697,Parameter!$I$35:$J$52,2,0),IFERROR(VLOOKUP(D1697,Parameter!$A$35:$C$64,2,0),"Nein"))</f>
        <v>2+3</v>
      </c>
      <c r="CE1697" s="64" t="n">
        <f aca="false">IF(CA1697=0,0,IF(N(S1697)&gt;0,S1697,IFERROR(VLOOKUP(D1697,Parameter!$A$35:$C$64,3,0)+0,0)))</f>
        <v>0</v>
      </c>
      <c r="CF1697" s="60" t="n">
        <f aca="false">IF(AB1697&lt;&gt;"",AB1697,AA1697)</f>
        <v>3</v>
      </c>
      <c r="CG1697" s="60" t="str">
        <f aca="false">IF(OR(CF1697=1,CF1697=2,CF1697=3),IF(Parameter!$E$27="Ja","LIFT",IF(CF1697=1,"L1","L23")),IF(CF1697="Aussen","Aussen","-"))</f>
        <v>LIFT</v>
      </c>
      <c r="CH1697" s="71" t="n">
        <f aca="false">IF(N(AC1697)&gt;0,AC1697,0)</f>
        <v>0</v>
      </c>
      <c r="CI1697" s="65" t="n">
        <f aca="false">IF(ISNUMBER(AF1697),1,0)</f>
        <v>0</v>
      </c>
      <c r="CJ1697" s="62" t="n">
        <f aca="false">N(AF1697)</f>
        <v>0</v>
      </c>
      <c r="CK1697" s="62" t="n">
        <f aca="false">N(M1697)+N(N1697)</f>
        <v>1</v>
      </c>
      <c r="CL1697" s="62" t="n">
        <f aca="false">N(M1697)</f>
        <v>0</v>
      </c>
      <c r="CM1697" s="62" t="n">
        <f aca="false">N(N1697)</f>
        <v>1</v>
      </c>
      <c r="CN1697" s="62" t="n">
        <f aca="false">ROUNDUP(H1697/BZ1697,0)</f>
        <v>2</v>
      </c>
      <c r="CO1697" s="62" t="n">
        <f aca="false">ROUNDUP(CJ1697/BZ1697,0)</f>
        <v>0</v>
      </c>
      <c r="CP1697" s="65" t="n">
        <f aca="false">IF(CA1697=1,0,IFERROR(VLOOKUP(BY1697,'Gebinde-Kategorie'!$A$5:$N$45,5,0)+0,0))</f>
        <v>11</v>
      </c>
      <c r="CQ1697" s="65" t="n">
        <f aca="false">IFERROR(IF(OR(CF1697=1,CF1697=2,CF1697=3),N(INDEX(Parameter!$I$5:$I$7,CF1697)),0),0)</f>
        <v>0</v>
      </c>
      <c r="CR1697" s="64" t="n">
        <f aca="false">IF(AND(Parameter!$B$21="Ja",ISNUMBER(W1697),N(X1697)&gt;0),IFERROR(N(INDEX(Parameter!$L$5:$L$7,W1697))*INDEX(Parameter!$E$5:$E$7,W1697)*X1697/SUMIFS($X$7:$X$1843,$W$7:$W$1843,W1697),0),0)</f>
        <v>0</v>
      </c>
      <c r="CS1697" s="62" t="n">
        <f aca="false">IF(AND(OR(CG1697="L1",CG1697="L23",CG1697="LIFT"),H1697&gt;0),CC1697*IF(CR1697&gt;0,CR1697*MAX(1,H1697/X1697),IF(CA1697=1,CE1697,IF(R1697&gt;0,CN1697/R1697,0))/MAX(0.1,N(Parameter!$M$21))),"")</f>
        <v>5.96153846153846</v>
      </c>
      <c r="CT1697" s="64" t="n">
        <f aca="false">IF(CS1697="","",J1697/H1697)</f>
        <v>0</v>
      </c>
      <c r="CU1697" s="62" t="n">
        <f aca="false">IF(CS1697="","",H1697*G1697)</f>
        <v>46</v>
      </c>
      <c r="CV1697" s="63" t="n">
        <f aca="false">IF(CS1697="","",(CL1697+ROUNDUP(CL1697+MAX(CM1697,2*(J1697/MAX(0.1,N(Einkauf!$C$6))-CL1697)),0))/2)</f>
        <v>0.5</v>
      </c>
      <c r="CW1697" s="62" t="n">
        <f aca="false">IF(CS1697="","",MAX(0,H1697-CV1697)*G1697)</f>
        <v>43.7</v>
      </c>
      <c r="CX1697" s="62" t="n">
        <f aca="false">IF(CS1697="","",CS1697*MAX(0,1-CV1697/H1697))</f>
        <v>5.66346153846154</v>
      </c>
      <c r="CY1697" s="64" t="n">
        <f aca="false">IF(CS1697="","",PERCENTRANK($CS$7:$CS$1843,CS1697)+PERCENTRANK($CU$7:$CU$1843,CU1697)+1-PERCENTRANK($CT$7:$CT$1843,CT1697))</f>
        <v>1.5</v>
      </c>
      <c r="CZ1697" s="72" t="n">
        <f aca="false">IF(CS1697="","",CHOOSE(MATCH(Einkauf!$C$5,Parameter!$G$23:$G$27,0),CY1697,CS1697,CU1697,-CT1697,CW1697)+ROW()/1000000000)</f>
        <v>1.500001697</v>
      </c>
    </row>
    <row r="1698" customFormat="false" ht="15" hidden="false" customHeight="false" outlineLevel="0" collapsed="false">
      <c r="A1698" s="60" t="s">
        <v>2981</v>
      </c>
      <c r="B1698" s="60" t="s">
        <v>2982</v>
      </c>
      <c r="C1698" s="60" t="s">
        <v>206</v>
      </c>
      <c r="D1698" s="60" t="s">
        <v>226</v>
      </c>
      <c r="E1698" s="60"/>
      <c r="F1698" s="60"/>
      <c r="G1698" s="61" t="n">
        <v>285.5</v>
      </c>
      <c r="H1698" s="62" t="n">
        <f aca="false">MAX(0,IF(AND(Parameter!$B$21="Ja",ISNUMBER(Y1698)),Y1698,IF(Parameter!$B$20="Jahresanfang 2025 + Export",BS1698+BR1698,BR1698)))</f>
        <v>2</v>
      </c>
      <c r="I1698" s="62" t="n">
        <f aca="false">H1698*G1698</f>
        <v>571</v>
      </c>
      <c r="J1698" s="62" t="n">
        <f aca="false">BU1698*Parameter!$B$18</f>
        <v>0</v>
      </c>
      <c r="K1698" s="63"/>
      <c r="L1698" s="64"/>
      <c r="M1698" s="62" t="n">
        <v>0</v>
      </c>
      <c r="N1698" s="62" t="n">
        <v>1</v>
      </c>
      <c r="O1698" s="65" t="n">
        <v>0</v>
      </c>
      <c r="P1698" s="60" t="s">
        <v>370</v>
      </c>
      <c r="Q1698" s="62" t="n">
        <v>4</v>
      </c>
      <c r="R1698" s="65" t="n">
        <f aca="false">IF(CA1698=1,0,IFERROR(VLOOKUP(BY1698,'Gebinde-Kategorie'!$A$5:$N$45,13,0)+0,0))</f>
        <v>52</v>
      </c>
      <c r="S1698" s="66"/>
      <c r="T1698" s="67"/>
      <c r="U1698" s="67"/>
      <c r="V1698" s="67"/>
      <c r="W1698" s="60"/>
      <c r="X1698" s="62"/>
      <c r="Y1698" s="62"/>
      <c r="Z1698" s="60" t="n">
        <v>1</v>
      </c>
      <c r="AA1698" s="60" t="n">
        <f aca="false">IF(A1698="","",IF(AND(Parameter!$B$21="Ja",ISNUMBER(W1698)),W1698,IF(AND(Parameter!$E$27="Ja",ISNUMBER(Z1698),CD1698&lt;&gt;"Nein"),Z1698,IF(CD1698="2+3",IF(ISNUMBER(SEARCH("grosser Artikel",BV1698)),2,IFERROR(VLOOKUP(BY1698,Parameter!$F$35:$G$64,2,0),2)),IF(OR(CD1698="Nein",CD1698=""),"-",CD1698)))))</f>
        <v>1</v>
      </c>
      <c r="AB1698" s="67"/>
      <c r="AC1698" s="68"/>
      <c r="AD1698" s="62" t="n">
        <f aca="false">AW1698</f>
        <v>1</v>
      </c>
      <c r="AE1698" s="62" t="n">
        <f aca="false">MAX(AW1698,H1698)</f>
        <v>2</v>
      </c>
      <c r="AF1698" s="69"/>
      <c r="AG1698" s="62" t="n">
        <f aca="false">IF(LEFT(Cockpit!$C$5,1)="A",H1698,IF(Parameter!$E$30="MAX-Bestand",IF(CI1698=1,CJ1698,IF(LEFT(Cockpit!$C$5,1)="B",AM1698,MAX(AM1698,H1698))),ROUNDUP(AK1698,0)))</f>
        <v>2</v>
      </c>
      <c r="AH1698" s="62" t="n">
        <f aca="false">IF(CA1698=1,0,ROUNDUP(AG1698/BZ1698,0))</f>
        <v>1</v>
      </c>
      <c r="AI1698" s="64" t="n">
        <f aca="false">IF(CR1698&gt;0,CR1698*MAX(1,AG1698/X1698),IF(CA1698=1,IF(AG1698&lt;=0,0,CE1698*MAX(1,IF(H1698&gt;0,AG1698/H1698,1))),IF(R1698&gt;0,AH1698/R1698,0))/MAX(0.1,N(Parameter!$M$21)))</f>
        <v>0.0192307692307692</v>
      </c>
      <c r="AJ1698" s="62" t="n">
        <f aca="false">AI1698*CC1698</f>
        <v>2.98076923076923</v>
      </c>
      <c r="AK1698" s="63" t="n">
        <f aca="false">IF(LEFT(Cockpit!$C$5,1)="A",H1698,IF(CI1698=1,(CL1698+CJ1698)/2,IF(LEFT(Cockpit!$C$5,1)="B",(CL1698+AM1698)/2,MAX((CL1698+AM1698)/2,H1698))))</f>
        <v>2</v>
      </c>
      <c r="AL1698" s="62" t="n">
        <f aca="false">AK1698*G1698</f>
        <v>571</v>
      </c>
      <c r="AM1698" s="62" t="n">
        <f aca="false">ROUNDUP(CL1698+MAX(CM1698,2*(J1698/IF(CH1698&gt;0,CH1698,MAX(0.1,N(Cockpit!$C$6)))-CL1698)),0)</f>
        <v>1</v>
      </c>
      <c r="AN1698" s="63" t="n">
        <f aca="false">IF(AJ1698&gt;0,J1698/AJ1698,-1)</f>
        <v>0</v>
      </c>
      <c r="AO1698" s="63" t="n">
        <f aca="false">IF(AND(OR(CG1698="L1",CG1698="L23",CG1698="LIFT"),AJ1698&gt;0),SUMIFS($AJ$7:$AJ$1843,$CG$7:$CG$1843,CG1698,$AN$7:$AN$1843,"&gt;"&amp;AN1698)+SUMIFS($AJ$7:$AJ$1843,$CG$7:$CG$1843,CG1698,$AN$7:$AN$1843,AN1698,$BX$7:$BX$1843,"&lt;="&amp;BX1698),"")</f>
        <v>32788.0948371309</v>
      </c>
      <c r="AP1698" s="70" t="n">
        <f aca="false">IF(AO1698="",0,MAX(0,MIN(1,(IF(CG1698="L1",Parameter!$H$5,IF(CG1698="L23",Parameter!$H$6+Parameter!$H$7,Parameter!$H$5+Parameter!$H$6+Parameter!$H$7))-(AO1698-AJ1698))/AJ1698)))</f>
        <v>1</v>
      </c>
      <c r="AQ1698" s="62" t="n">
        <f aca="false">IF(LEFT(Cockpit!$I$5,1)="A",H1698,IF(Parameter!$E$30="MAX-Bestand",IF(CI1698=1,CJ1698,IF(LEFT(Cockpit!$I$5,1)="B",AW1698,MAX(AW1698,H1698))),ROUNDUP(AU1698,0)))</f>
        <v>2</v>
      </c>
      <c r="AR1698" s="62" t="n">
        <f aca="false">IF(CA1698=1,0,ROUNDUP(AQ1698/BZ1698,0))</f>
        <v>1</v>
      </c>
      <c r="AS1698" s="64" t="n">
        <f aca="false">IF(CR1698&gt;0,CR1698*MAX(1,AQ1698/X1698),IF(CA1698=1,IF(AQ1698&lt;=0,0,CE1698*MAX(1,IF(H1698&gt;0,AQ1698/H1698,1))),IF(R1698&gt;0,AR1698/R1698,0))/MAX(0.1,N(Parameter!$M$21)))</f>
        <v>0.0192307692307692</v>
      </c>
      <c r="AT1698" s="62" t="n">
        <f aca="false">AS1698*CC1698</f>
        <v>2.98076923076923</v>
      </c>
      <c r="AU1698" s="63" t="n">
        <f aca="false">IF(LEFT(Cockpit!$I$5,1)="A",H1698,IF(CI1698=1,(CL1698+CJ1698)/2,IF(LEFT(Cockpit!$I$5,1)="B",(CL1698+AW1698)/2,MAX((CL1698+AW1698)/2,H1698))))</f>
        <v>2</v>
      </c>
      <c r="AV1698" s="62" t="n">
        <f aca="false">AU1698*G1698</f>
        <v>571</v>
      </c>
      <c r="AW1698" s="62" t="n">
        <f aca="false">ROUNDUP(CL1698+MAX(CM1698,2*(J1698/IF(CH1698&gt;0,CH1698,MAX(0.1,N(Cockpit!$I$6)))-CL1698)),0)</f>
        <v>1</v>
      </c>
      <c r="AX1698" s="63" t="n">
        <f aca="false">IF(AT1698&gt;0,J1698/AT1698,-1)</f>
        <v>0</v>
      </c>
      <c r="AY1698" s="63" t="n">
        <f aca="false">IF(AND(OR(CG1698="L1",CG1698="L23",CG1698="LIFT"),AT1698&gt;0),SUMIFS($AT$7:$AT$1843,$CG$7:$CG$1843,CG1698,$AX$7:$AX$1843,"&gt;"&amp;AX1698)+SUMIFS($AT$7:$AT$1843,$CG$7:$CG$1843,CG1698,$AX$7:$AX$1843,AX1698,$BX$7:$BX$1843,"&lt;="&amp;BX1698),"")</f>
        <v>39260.3430677138</v>
      </c>
      <c r="AZ1698" s="70" t="n">
        <f aca="false">IF(AY1698="",0,MAX(0,MIN(1,(IF(CG1698="L1",Parameter!$H$5,IF(CG1698="L23",Parameter!$H$6+Parameter!$H$7,Parameter!$H$5+Parameter!$H$6+Parameter!$H$7))-(AY1698-AT1698))/AT1698)))</f>
        <v>0</v>
      </c>
      <c r="BA1698" s="62" t="n">
        <f aca="false">IF(LEFT(Cockpit!$O$5,1)="A",H1698,IF(Parameter!$E$30="MAX-Bestand",IF(CI1698=1,CJ1698,IF(LEFT(Cockpit!$O$5,1)="B",BG1698,MAX(BG1698,H1698))),ROUNDUP(BE1698,0)))</f>
        <v>1</v>
      </c>
      <c r="BB1698" s="62" t="n">
        <f aca="false">IF(CA1698=1,0,ROUNDUP(BA1698/BZ1698,0))</f>
        <v>1</v>
      </c>
      <c r="BC1698" s="64" t="n">
        <f aca="false">IF(CR1698&gt;0,CR1698*MAX(1,BA1698/X1698),IF(CA1698=1,IF(BA1698&lt;=0,0,CE1698*MAX(1,IF(H1698&gt;0,BA1698/H1698,1))),IF(R1698&gt;0,BB1698/R1698,0))/MAX(0.1,N(Parameter!$M$21)))</f>
        <v>0.0192307692307692</v>
      </c>
      <c r="BD1698" s="62" t="n">
        <f aca="false">BC1698*CC1698</f>
        <v>2.98076923076923</v>
      </c>
      <c r="BE1698" s="63" t="n">
        <f aca="false">IF(LEFT(Cockpit!$O$5,1)="A",H1698,IF(CI1698=1,(CL1698+CJ1698)/2,IF(LEFT(Cockpit!$O$5,1)="B",(CL1698+BG1698)/2,MAX((CL1698+BG1698)/2,H1698))))</f>
        <v>0.5</v>
      </c>
      <c r="BF1698" s="62" t="n">
        <f aca="false">BE1698*G1698</f>
        <v>142.75</v>
      </c>
      <c r="BG1698" s="62" t="n">
        <f aca="false">ROUNDUP(CL1698+MAX(CM1698,2*(J1698/IF(CH1698&gt;0,CH1698,MAX(0.1,N(Cockpit!$O$6)))-CL1698)),0)</f>
        <v>1</v>
      </c>
      <c r="BH1698" s="63" t="n">
        <f aca="false">IF(BD1698&gt;0,J1698/BD1698,-1)</f>
        <v>0</v>
      </c>
      <c r="BI1698" s="63" t="n">
        <f aca="false">IF(AND(OR(CG1698="L1",CG1698="L23",CG1698="LIFT"),BD1698&gt;0),SUMIFS($BD$7:$BD$1843,$CG$7:$CG$1843,CG1698,$BH$7:$BH$1843,"&gt;"&amp;BH1698)+SUMIFS($BD$7:$BD$1843,$CG$7:$CG$1843,CG1698,$BH$7:$BH$1843,BH1698,$BX$7:$BX$1843,"&lt;="&amp;BX1698),"")</f>
        <v>32501.6753688872</v>
      </c>
      <c r="BJ1698" s="70" t="n">
        <f aca="false">IF(BI1698="",0,MAX(0,MIN(1,(IF(CG1698="L1",Parameter!$H$5,IF(CG1698="L23",Parameter!$H$6+Parameter!$H$7,Parameter!$H$5+Parameter!$H$6+Parameter!$H$7))-(BI1698-BD1698))/BD1698)))</f>
        <v>1</v>
      </c>
      <c r="BK1698" s="60" t="str">
        <f aca="false">IF(AJ1698&lt;=0,"",IF(CG1698="Aussen","Aussenlager",IF(CG1698="-","Nicht im Lift",IF(AP1698&gt;=1,"Lift",IF(AP1698&lt;=0,"Aussenlager","teilweise")))))</f>
        <v>Lift</v>
      </c>
      <c r="BL1698" s="60" t="str">
        <f aca="false">IF(AT1698&lt;=0,"",IF(CG1698="Aussen","Aussenlager",IF(CG1698="-","Nicht im Lift",IF(AZ1698&gt;=1,"Lift",IF(AZ1698&lt;=0,"Aussenlager","teilweise")))))</f>
        <v>Aussenlager</v>
      </c>
      <c r="BM1698" s="60" t="str">
        <f aca="false">IF(BD1698&lt;=0,"",IF(CG1698="Aussen","Aussenlager",IF(CG1698="-","Nicht im Lift",IF(BJ1698&gt;=1,"Lift",IF(BJ1698&lt;=0,"Aussenlager","teilweise")))))</f>
        <v>Lift</v>
      </c>
      <c r="BN1698" s="60" t="str">
        <f aca="false">IF(A1698="","",IF(BW1698=1,"Neu; ","")&amp;IF(AND(BW1698=0,BR1698&lt;0),"negativer Bestand (Export "&amp;BR1698&amp;"); ","")&amp;IF(J1698&lt;=0,"Kein Verbrauch; ","")&amp;IF(CR1698&gt;0,"Lift "&amp;W1698&amp;" lt. Liftbericht (Fach "&amp;X1698&amp;" Stk); ",IF(CB1698=1,"Gebinde geschätzt ("&amp;T1698&amp;"); ",IF(CA1698=1,"Lose – Tablare geschätzt; ","")))&amp;IF(H1698&gt;AW1698,"Überbestand "&amp;ROUND(H1698-AW1698,0)&amp;" Stk / CHF "&amp;ROUND((H1698-AW1698)*G1698,0)&amp;"; ","")&amp;IF(AND(CI1698=1,CJ1698&lt;CK1698),"MAX &lt; MB+LG; ","")&amp;IF(AND(CQ1698&gt;0,CP1698*10&gt;CQ1698),"zu hoch für Tablar; ","")&amp;IF(AND(BW1698=0,OR(CI1698=1,AB1698&lt;&gt;"",U1698&lt;&gt;"",V1698&lt;&gt;"",AC1698&lt;&gt;"")),"manuell übersteuert; ","")&amp;IF(AND(CA1698=0,R1698=0),"Gebinde unbekannt / Stellmass fehlt; ","")&amp;IF(AND(CA1698=0,N(V1698)&lt;=0,N(Q1698)&lt;=0),"Menge pro Gebinde fehlt (Ist = 1 Gebinde); ","")&amp;BV1698)</f>
        <v>Kein Verbrauch; Überbestand 1 Stk / CHF 286; nur im Artikelstamm (Bestand 23.06.2026)</v>
      </c>
      <c r="BO1698" s="60"/>
      <c r="BP1698" s="60"/>
      <c r="BQ1698" s="67"/>
      <c r="BR1698" s="62" t="n">
        <v>2</v>
      </c>
      <c r="BS1698" s="62" t="n">
        <v>0</v>
      </c>
      <c r="BT1698" s="61" t="n">
        <v>0</v>
      </c>
      <c r="BU1698" s="62" t="n">
        <v>0</v>
      </c>
      <c r="BV1698" s="60" t="s">
        <v>2617</v>
      </c>
      <c r="BW1698" s="65" t="n">
        <v>0</v>
      </c>
      <c r="BX1698" s="65" t="n">
        <v>1698</v>
      </c>
      <c r="BY1698" s="60" t="str">
        <f aca="false">IF(U1698&lt;&gt;"",UPPER(TRIM(U1698)),IF(CB1698=1,UPPER(VLOOKUP(T1698,Parameter!$I$27:$K$29,2,0)),IF(P1698="","LOSE",P1698)))</f>
        <v>S41</v>
      </c>
      <c r="BZ1698" s="62" t="n">
        <f aca="false">IF(BY1698="LOSE",1,IF(N(V1698)&gt;0,V1698,IF(CB1698=1,MAX(1,N(VLOOKUP(T1698,Parameter!$I$27:$K$29,3,0)),H1698,N(N1698)),IF(N(Q1698)&gt;0,Q1698,MAX(1,H1698)))))</f>
        <v>4</v>
      </c>
      <c r="CA1698" s="65" t="n">
        <f aca="false">IF(BY1698="LOSE",1,0)</f>
        <v>0</v>
      </c>
      <c r="CB1698" s="65" t="n">
        <f aca="false">IF(AND(U1698="",OR(P1698="",P1698="LOSE"),T1698&lt;&gt;"",N(S1698)&lt;=0,ISNUMBER(MATCH(T1698,Parameter!$I$27:$I$29,0))),1,0)</f>
        <v>0</v>
      </c>
      <c r="CC1698" s="65" t="n">
        <f aca="false">IF(CR1698&gt;0,INDEX(Parameter!$H$5:$H$7,W1698)/INDEX(Parameter!$E$5:$E$7,W1698),IF(AND(CA1698=0,N(IFERROR(VLOOKUP(BY1698,'Gebinde-Kategorie'!$A$5:$N$45,14,0),0))&gt;0),VLOOKUP(BY1698,'Gebinde-Kategorie'!$A$5:$N$45,14,0)*10+Parameter!$M$23,Parameter!$M$24))</f>
        <v>155</v>
      </c>
      <c r="CD1698" s="60" t="str">
        <f aca="false">IF(AND(Parameter!$B$19="Ja",E1698&lt;&gt;"",ISNUMBER(MATCH(E1698,Parameter!$I$35:$I$52,0))),VLOOKUP(E1698,Parameter!$I$35:$J$52,2,0),IFERROR(VLOOKUP(D1698,Parameter!$A$35:$C$64,2,0),"Nein"))</f>
        <v>2+3</v>
      </c>
      <c r="CE1698" s="64" t="n">
        <f aca="false">IF(CA1698=0,0,IF(N(S1698)&gt;0,S1698,IFERROR(VLOOKUP(D1698,Parameter!$A$35:$C$64,3,0)+0,0)))</f>
        <v>0</v>
      </c>
      <c r="CF1698" s="60" t="n">
        <f aca="false">IF(AB1698&lt;&gt;"",AB1698,AA1698)</f>
        <v>1</v>
      </c>
      <c r="CG1698" s="60" t="str">
        <f aca="false">IF(OR(CF1698=1,CF1698=2,CF1698=3),IF(Parameter!$E$27="Ja","LIFT",IF(CF1698=1,"L1","L23")),IF(CF1698="Aussen","Aussen","-"))</f>
        <v>LIFT</v>
      </c>
      <c r="CH1698" s="71" t="n">
        <f aca="false">IF(N(AC1698)&gt;0,AC1698,0)</f>
        <v>0</v>
      </c>
      <c r="CI1698" s="65" t="n">
        <f aca="false">IF(ISNUMBER(AF1698),1,0)</f>
        <v>0</v>
      </c>
      <c r="CJ1698" s="62" t="n">
        <f aca="false">N(AF1698)</f>
        <v>0</v>
      </c>
      <c r="CK1698" s="62" t="n">
        <f aca="false">N(M1698)+N(N1698)</f>
        <v>1</v>
      </c>
      <c r="CL1698" s="62" t="n">
        <f aca="false">N(M1698)</f>
        <v>0</v>
      </c>
      <c r="CM1698" s="62" t="n">
        <f aca="false">N(N1698)</f>
        <v>1</v>
      </c>
      <c r="CN1698" s="62" t="n">
        <f aca="false">ROUNDUP(H1698/BZ1698,0)</f>
        <v>1</v>
      </c>
      <c r="CO1698" s="62" t="n">
        <f aca="false">ROUNDUP(CJ1698/BZ1698,0)</f>
        <v>0</v>
      </c>
      <c r="CP1698" s="65" t="n">
        <f aca="false">IF(CA1698=1,0,IFERROR(VLOOKUP(BY1698,'Gebinde-Kategorie'!$A$5:$N$45,5,0)+0,0))</f>
        <v>11</v>
      </c>
      <c r="CQ1698" s="65" t="n">
        <f aca="false">IFERROR(IF(OR(CF1698=1,CF1698=2,CF1698=3),N(INDEX(Parameter!$I$5:$I$7,CF1698)),0),0)</f>
        <v>0</v>
      </c>
      <c r="CR1698" s="64" t="n">
        <f aca="false">IF(AND(Parameter!$B$21="Ja",ISNUMBER(W1698),N(X1698)&gt;0),IFERROR(N(INDEX(Parameter!$L$5:$L$7,W1698))*INDEX(Parameter!$E$5:$E$7,W1698)*X1698/SUMIFS($X$7:$X$1843,$W$7:$W$1843,W1698),0),0)</f>
        <v>0</v>
      </c>
      <c r="CS1698" s="62" t="n">
        <f aca="false">IF(AND(OR(CG1698="L1",CG1698="L23",CG1698="LIFT"),H1698&gt;0),CC1698*IF(CR1698&gt;0,CR1698*MAX(1,H1698/X1698),IF(CA1698=1,CE1698,IF(R1698&gt;0,CN1698/R1698,0))/MAX(0.1,N(Parameter!$M$21))),"")</f>
        <v>2.98076923076923</v>
      </c>
      <c r="CT1698" s="64" t="n">
        <f aca="false">IF(CS1698="","",J1698/H1698)</f>
        <v>0</v>
      </c>
      <c r="CU1698" s="62" t="n">
        <f aca="false">IF(CS1698="","",H1698*G1698)</f>
        <v>571</v>
      </c>
      <c r="CV1698" s="63" t="n">
        <f aca="false">IF(CS1698="","",(CL1698+ROUNDUP(CL1698+MAX(CM1698,2*(J1698/MAX(0.1,N(Einkauf!$C$6))-CL1698)),0))/2)</f>
        <v>0.5</v>
      </c>
      <c r="CW1698" s="62" t="n">
        <f aca="false">IF(CS1698="","",MAX(0,H1698-CV1698)*G1698)</f>
        <v>428.25</v>
      </c>
      <c r="CX1698" s="62" t="n">
        <f aca="false">IF(CS1698="","",CS1698*MAX(0,1-CV1698/H1698))</f>
        <v>2.23557692307692</v>
      </c>
      <c r="CY1698" s="64" t="n">
        <f aca="false">IF(CS1698="","",PERCENTRANK($CS$7:$CS$1843,CS1698)+PERCENTRANK($CU$7:$CU$1843,CU1698)+1-PERCENTRANK($CT$7:$CT$1843,CT1698))</f>
        <v>1.751</v>
      </c>
      <c r="CZ1698" s="72" t="n">
        <f aca="false">IF(CS1698="","",CHOOSE(MATCH(Einkauf!$C$5,Parameter!$G$23:$G$27,0),CY1698,CS1698,CU1698,-CT1698,CW1698)+ROW()/1000000000)</f>
        <v>1.751001698</v>
      </c>
    </row>
    <row r="1699" customFormat="false" ht="15" hidden="false" customHeight="false" outlineLevel="0" collapsed="false">
      <c r="A1699" s="60" t="s">
        <v>2983</v>
      </c>
      <c r="B1699" s="60" t="s">
        <v>2984</v>
      </c>
      <c r="C1699" s="60" t="s">
        <v>206</v>
      </c>
      <c r="D1699" s="60" t="s">
        <v>226</v>
      </c>
      <c r="E1699" s="60"/>
      <c r="F1699" s="60"/>
      <c r="G1699" s="61" t="n">
        <v>41.3</v>
      </c>
      <c r="H1699" s="62" t="n">
        <f aca="false">MAX(0,IF(AND(Parameter!$B$21="Ja",ISNUMBER(Y1699)),Y1699,IF(Parameter!$B$20="Jahresanfang 2025 + Export",BS1699+BR1699,BR1699)))</f>
        <v>3</v>
      </c>
      <c r="I1699" s="62" t="n">
        <f aca="false">H1699*G1699</f>
        <v>123.9</v>
      </c>
      <c r="J1699" s="62" t="n">
        <f aca="false">BU1699*Parameter!$B$18</f>
        <v>0</v>
      </c>
      <c r="K1699" s="63"/>
      <c r="L1699" s="64"/>
      <c r="M1699" s="62" t="n">
        <v>0</v>
      </c>
      <c r="N1699" s="62" t="n">
        <v>3</v>
      </c>
      <c r="O1699" s="65" t="n">
        <v>42</v>
      </c>
      <c r="P1699" s="60" t="s">
        <v>370</v>
      </c>
      <c r="Q1699" s="62" t="n">
        <v>3</v>
      </c>
      <c r="R1699" s="65" t="n">
        <f aca="false">IF(CA1699=1,0,IFERROR(VLOOKUP(BY1699,'Gebinde-Kategorie'!$A$5:$N$45,13,0)+0,0))</f>
        <v>52</v>
      </c>
      <c r="S1699" s="66"/>
      <c r="T1699" s="67"/>
      <c r="U1699" s="67"/>
      <c r="V1699" s="67"/>
      <c r="W1699" s="60"/>
      <c r="X1699" s="62"/>
      <c r="Y1699" s="62"/>
      <c r="Z1699" s="60" t="n">
        <v>1</v>
      </c>
      <c r="AA1699" s="60" t="n">
        <f aca="false">IF(A1699="","",IF(AND(Parameter!$B$21="Ja",ISNUMBER(W1699)),W1699,IF(AND(Parameter!$E$27="Ja",ISNUMBER(Z1699),CD1699&lt;&gt;"Nein"),Z1699,IF(CD1699="2+3",IF(ISNUMBER(SEARCH("grosser Artikel",BV1699)),2,IFERROR(VLOOKUP(BY1699,Parameter!$F$35:$G$64,2,0),2)),IF(OR(CD1699="Nein",CD1699=""),"-",CD1699)))))</f>
        <v>1</v>
      </c>
      <c r="AB1699" s="67"/>
      <c r="AC1699" s="68"/>
      <c r="AD1699" s="62" t="n">
        <f aca="false">AW1699</f>
        <v>3</v>
      </c>
      <c r="AE1699" s="62" t="n">
        <f aca="false">MAX(AW1699,H1699)</f>
        <v>3</v>
      </c>
      <c r="AF1699" s="69"/>
      <c r="AG1699" s="62" t="n">
        <f aca="false">IF(LEFT(Cockpit!$C$5,1)="A",H1699,IF(Parameter!$E$30="MAX-Bestand",IF(CI1699=1,CJ1699,IF(LEFT(Cockpit!$C$5,1)="B",AM1699,MAX(AM1699,H1699))),ROUNDUP(AK1699,0)))</f>
        <v>3</v>
      </c>
      <c r="AH1699" s="62" t="n">
        <f aca="false">IF(CA1699=1,0,ROUNDUP(AG1699/BZ1699,0))</f>
        <v>1</v>
      </c>
      <c r="AI1699" s="64" t="n">
        <f aca="false">IF(CR1699&gt;0,CR1699*MAX(1,AG1699/X1699),IF(CA1699=1,IF(AG1699&lt;=0,0,CE1699*MAX(1,IF(H1699&gt;0,AG1699/H1699,1))),IF(R1699&gt;0,AH1699/R1699,0))/MAX(0.1,N(Parameter!$M$21)))</f>
        <v>0.0192307692307692</v>
      </c>
      <c r="AJ1699" s="62" t="n">
        <f aca="false">AI1699*CC1699</f>
        <v>2.98076923076923</v>
      </c>
      <c r="AK1699" s="63" t="n">
        <f aca="false">IF(LEFT(Cockpit!$C$5,1)="A",H1699,IF(CI1699=1,(CL1699+CJ1699)/2,IF(LEFT(Cockpit!$C$5,1)="B",(CL1699+AM1699)/2,MAX((CL1699+AM1699)/2,H1699))))</f>
        <v>3</v>
      </c>
      <c r="AL1699" s="62" t="n">
        <f aca="false">AK1699*G1699</f>
        <v>123.9</v>
      </c>
      <c r="AM1699" s="62" t="n">
        <f aca="false">ROUNDUP(CL1699+MAX(CM1699,2*(J1699/IF(CH1699&gt;0,CH1699,MAX(0.1,N(Cockpit!$C$6)))-CL1699)),0)</f>
        <v>3</v>
      </c>
      <c r="AN1699" s="63" t="n">
        <f aca="false">IF(AJ1699&gt;0,J1699/AJ1699,-1)</f>
        <v>0</v>
      </c>
      <c r="AO1699" s="63" t="n">
        <f aca="false">IF(AND(OR(CG1699="L1",CG1699="L23",CG1699="LIFT"),AJ1699&gt;0),SUMIFS($AJ$7:$AJ$1843,$CG$7:$CG$1843,CG1699,$AN$7:$AN$1843,"&gt;"&amp;AN1699)+SUMIFS($AJ$7:$AJ$1843,$CG$7:$CG$1843,CG1699,$AN$7:$AN$1843,AN1699,$BX$7:$BX$1843,"&lt;="&amp;BX1699),"")</f>
        <v>32791.0756063616</v>
      </c>
      <c r="AP1699" s="70" t="n">
        <f aca="false">IF(AO1699="",0,MAX(0,MIN(1,(IF(CG1699="L1",Parameter!$H$5,IF(CG1699="L23",Parameter!$H$6+Parameter!$H$7,Parameter!$H$5+Parameter!$H$6+Parameter!$H$7))-(AO1699-AJ1699))/AJ1699)))</f>
        <v>1</v>
      </c>
      <c r="AQ1699" s="62" t="n">
        <f aca="false">IF(LEFT(Cockpit!$I$5,1)="A",H1699,IF(Parameter!$E$30="MAX-Bestand",IF(CI1699=1,CJ1699,IF(LEFT(Cockpit!$I$5,1)="B",AW1699,MAX(AW1699,H1699))),ROUNDUP(AU1699,0)))</f>
        <v>3</v>
      </c>
      <c r="AR1699" s="62" t="n">
        <f aca="false">IF(CA1699=1,0,ROUNDUP(AQ1699/BZ1699,0))</f>
        <v>1</v>
      </c>
      <c r="AS1699" s="64" t="n">
        <f aca="false">IF(CR1699&gt;0,CR1699*MAX(1,AQ1699/X1699),IF(CA1699=1,IF(AQ1699&lt;=0,0,CE1699*MAX(1,IF(H1699&gt;0,AQ1699/H1699,1))),IF(R1699&gt;0,AR1699/R1699,0))/MAX(0.1,N(Parameter!$M$21)))</f>
        <v>0.0192307692307692</v>
      </c>
      <c r="AT1699" s="62" t="n">
        <f aca="false">AS1699*CC1699</f>
        <v>2.98076923076923</v>
      </c>
      <c r="AU1699" s="63" t="n">
        <f aca="false">IF(LEFT(Cockpit!$I$5,1)="A",H1699,IF(CI1699=1,(CL1699+CJ1699)/2,IF(LEFT(Cockpit!$I$5,1)="B",(CL1699+AW1699)/2,MAX((CL1699+AW1699)/2,H1699))))</f>
        <v>3</v>
      </c>
      <c r="AV1699" s="62" t="n">
        <f aca="false">AU1699*G1699</f>
        <v>123.9</v>
      </c>
      <c r="AW1699" s="62" t="n">
        <f aca="false">ROUNDUP(CL1699+MAX(CM1699,2*(J1699/IF(CH1699&gt;0,CH1699,MAX(0.1,N(Cockpit!$I$6)))-CL1699)),0)</f>
        <v>3</v>
      </c>
      <c r="AX1699" s="63" t="n">
        <f aca="false">IF(AT1699&gt;0,J1699/AT1699,-1)</f>
        <v>0</v>
      </c>
      <c r="AY1699" s="63" t="n">
        <f aca="false">IF(AND(OR(CG1699="L1",CG1699="L23",CG1699="LIFT"),AT1699&gt;0),SUMIFS($AT$7:$AT$1843,$CG$7:$CG$1843,CG1699,$AX$7:$AX$1843,"&gt;"&amp;AX1699)+SUMIFS($AT$7:$AT$1843,$CG$7:$CG$1843,CG1699,$AX$7:$AX$1843,AX1699,$BX$7:$BX$1843,"&lt;="&amp;BX1699),"")</f>
        <v>39263.3238369446</v>
      </c>
      <c r="AZ1699" s="70" t="n">
        <f aca="false">IF(AY1699="",0,MAX(0,MIN(1,(IF(CG1699="L1",Parameter!$H$5,IF(CG1699="L23",Parameter!$H$6+Parameter!$H$7,Parameter!$H$5+Parameter!$H$6+Parameter!$H$7))-(AY1699-AT1699))/AT1699)))</f>
        <v>0</v>
      </c>
      <c r="BA1699" s="62" t="n">
        <f aca="false">IF(LEFT(Cockpit!$O$5,1)="A",H1699,IF(Parameter!$E$30="MAX-Bestand",IF(CI1699=1,CJ1699,IF(LEFT(Cockpit!$O$5,1)="B",BG1699,MAX(BG1699,H1699))),ROUNDUP(BE1699,0)))</f>
        <v>2</v>
      </c>
      <c r="BB1699" s="62" t="n">
        <f aca="false">IF(CA1699=1,0,ROUNDUP(BA1699/BZ1699,0))</f>
        <v>1</v>
      </c>
      <c r="BC1699" s="64" t="n">
        <f aca="false">IF(CR1699&gt;0,CR1699*MAX(1,BA1699/X1699),IF(CA1699=1,IF(BA1699&lt;=0,0,CE1699*MAX(1,IF(H1699&gt;0,BA1699/H1699,1))),IF(R1699&gt;0,BB1699/R1699,0))/MAX(0.1,N(Parameter!$M$21)))</f>
        <v>0.0192307692307692</v>
      </c>
      <c r="BD1699" s="62" t="n">
        <f aca="false">BC1699*CC1699</f>
        <v>2.98076923076923</v>
      </c>
      <c r="BE1699" s="63" t="n">
        <f aca="false">IF(LEFT(Cockpit!$O$5,1)="A",H1699,IF(CI1699=1,(CL1699+CJ1699)/2,IF(LEFT(Cockpit!$O$5,1)="B",(CL1699+BG1699)/2,MAX((CL1699+BG1699)/2,H1699))))</f>
        <v>1.5</v>
      </c>
      <c r="BF1699" s="62" t="n">
        <f aca="false">BE1699*G1699</f>
        <v>61.95</v>
      </c>
      <c r="BG1699" s="62" t="n">
        <f aca="false">ROUNDUP(CL1699+MAX(CM1699,2*(J1699/IF(CH1699&gt;0,CH1699,MAX(0.1,N(Cockpit!$O$6)))-CL1699)),0)</f>
        <v>3</v>
      </c>
      <c r="BH1699" s="63" t="n">
        <f aca="false">IF(BD1699&gt;0,J1699/BD1699,-1)</f>
        <v>0</v>
      </c>
      <c r="BI1699" s="63" t="n">
        <f aca="false">IF(AND(OR(CG1699="L1",CG1699="L23",CG1699="LIFT"),BD1699&gt;0),SUMIFS($BD$7:$BD$1843,$CG$7:$CG$1843,CG1699,$BH$7:$BH$1843,"&gt;"&amp;BH1699)+SUMIFS($BD$7:$BD$1843,$CG$7:$CG$1843,CG1699,$BH$7:$BH$1843,BH1699,$BX$7:$BX$1843,"&lt;="&amp;BX1699),"")</f>
        <v>32504.656138118</v>
      </c>
      <c r="BJ1699" s="70" t="n">
        <f aca="false">IF(BI1699="",0,MAX(0,MIN(1,(IF(CG1699="L1",Parameter!$H$5,IF(CG1699="L23",Parameter!$H$6+Parameter!$H$7,Parameter!$H$5+Parameter!$H$6+Parameter!$H$7))-(BI1699-BD1699))/BD1699)))</f>
        <v>1</v>
      </c>
      <c r="BK1699" s="60" t="str">
        <f aca="false">IF(AJ1699&lt;=0,"",IF(CG1699="Aussen","Aussenlager",IF(CG1699="-","Nicht im Lift",IF(AP1699&gt;=1,"Lift",IF(AP1699&lt;=0,"Aussenlager","teilweise")))))</f>
        <v>Lift</v>
      </c>
      <c r="BL1699" s="60" t="str">
        <f aca="false">IF(AT1699&lt;=0,"",IF(CG1699="Aussen","Aussenlager",IF(CG1699="-","Nicht im Lift",IF(AZ1699&gt;=1,"Lift",IF(AZ1699&lt;=0,"Aussenlager","teilweise")))))</f>
        <v>Aussenlager</v>
      </c>
      <c r="BM1699" s="60" t="str">
        <f aca="false">IF(BD1699&lt;=0,"",IF(CG1699="Aussen","Aussenlager",IF(CG1699="-","Nicht im Lift",IF(BJ1699&gt;=1,"Lift",IF(BJ1699&lt;=0,"Aussenlager","teilweise")))))</f>
        <v>Lift</v>
      </c>
      <c r="BN1699" s="60" t="str">
        <f aca="false">IF(A1699="","",IF(BW1699=1,"Neu; ","")&amp;IF(AND(BW1699=0,BR1699&lt;0),"negativer Bestand (Export "&amp;BR1699&amp;"); ","")&amp;IF(J1699&lt;=0,"Kein Verbrauch; ","")&amp;IF(CR1699&gt;0,"Lift "&amp;W1699&amp;" lt. Liftbericht (Fach "&amp;X1699&amp;" Stk); ",IF(CB1699=1,"Gebinde geschätzt ("&amp;T1699&amp;"); ",IF(CA1699=1,"Lose – Tablare geschätzt; ","")))&amp;IF(H1699&gt;AW1699,"Überbestand "&amp;ROUND(H1699-AW1699,0)&amp;" Stk / CHF "&amp;ROUND((H1699-AW1699)*G1699,0)&amp;"; ","")&amp;IF(AND(CI1699=1,CJ1699&lt;CK1699),"MAX &lt; MB+LG; ","")&amp;IF(AND(CQ1699&gt;0,CP1699*10&gt;CQ1699),"zu hoch für Tablar; ","")&amp;IF(AND(BW1699=0,OR(CI1699=1,AB1699&lt;&gt;"",U1699&lt;&gt;"",V1699&lt;&gt;"",AC1699&lt;&gt;"")),"manuell übersteuert; ","")&amp;IF(AND(CA1699=0,R1699=0),"Gebinde unbekannt / Stellmass fehlt; ","")&amp;IF(AND(CA1699=0,N(V1699)&lt;=0,N(Q1699)&lt;=0),"Menge pro Gebinde fehlt (Ist = 1 Gebinde); ","")&amp;BV1699)</f>
        <v>Kein Verbrauch; nur im Artikelstamm (Bestand 23.06.2026)</v>
      </c>
      <c r="BO1699" s="60"/>
      <c r="BP1699" s="60"/>
      <c r="BQ1699" s="67"/>
      <c r="BR1699" s="62" t="n">
        <v>3</v>
      </c>
      <c r="BS1699" s="62" t="n">
        <v>0</v>
      </c>
      <c r="BT1699" s="61" t="n">
        <v>0</v>
      </c>
      <c r="BU1699" s="62" t="n">
        <v>0</v>
      </c>
      <c r="BV1699" s="60" t="s">
        <v>2617</v>
      </c>
      <c r="BW1699" s="65" t="n">
        <v>0</v>
      </c>
      <c r="BX1699" s="65" t="n">
        <v>1699</v>
      </c>
      <c r="BY1699" s="60" t="str">
        <f aca="false">IF(U1699&lt;&gt;"",UPPER(TRIM(U1699)),IF(CB1699=1,UPPER(VLOOKUP(T1699,Parameter!$I$27:$K$29,2,0)),IF(P1699="","LOSE",P1699)))</f>
        <v>S41</v>
      </c>
      <c r="BZ1699" s="62" t="n">
        <f aca="false">IF(BY1699="LOSE",1,IF(N(V1699)&gt;0,V1699,IF(CB1699=1,MAX(1,N(VLOOKUP(T1699,Parameter!$I$27:$K$29,3,0)),H1699,N(N1699)),IF(N(Q1699)&gt;0,Q1699,MAX(1,H1699)))))</f>
        <v>3</v>
      </c>
      <c r="CA1699" s="65" t="n">
        <f aca="false">IF(BY1699="LOSE",1,0)</f>
        <v>0</v>
      </c>
      <c r="CB1699" s="65" t="n">
        <f aca="false">IF(AND(U1699="",OR(P1699="",P1699="LOSE"),T1699&lt;&gt;"",N(S1699)&lt;=0,ISNUMBER(MATCH(T1699,Parameter!$I$27:$I$29,0))),1,0)</f>
        <v>0</v>
      </c>
      <c r="CC1699" s="65" t="n">
        <f aca="false">IF(CR1699&gt;0,INDEX(Parameter!$H$5:$H$7,W1699)/INDEX(Parameter!$E$5:$E$7,W1699),IF(AND(CA1699=0,N(IFERROR(VLOOKUP(BY1699,'Gebinde-Kategorie'!$A$5:$N$45,14,0),0))&gt;0),VLOOKUP(BY1699,'Gebinde-Kategorie'!$A$5:$N$45,14,0)*10+Parameter!$M$23,Parameter!$M$24))</f>
        <v>155</v>
      </c>
      <c r="CD1699" s="60" t="str">
        <f aca="false">IF(AND(Parameter!$B$19="Ja",E1699&lt;&gt;"",ISNUMBER(MATCH(E1699,Parameter!$I$35:$I$52,0))),VLOOKUP(E1699,Parameter!$I$35:$J$52,2,0),IFERROR(VLOOKUP(D1699,Parameter!$A$35:$C$64,2,0),"Nein"))</f>
        <v>2+3</v>
      </c>
      <c r="CE1699" s="64" t="n">
        <f aca="false">IF(CA1699=0,0,IF(N(S1699)&gt;0,S1699,IFERROR(VLOOKUP(D1699,Parameter!$A$35:$C$64,3,0)+0,0)))</f>
        <v>0</v>
      </c>
      <c r="CF1699" s="60" t="n">
        <f aca="false">IF(AB1699&lt;&gt;"",AB1699,AA1699)</f>
        <v>1</v>
      </c>
      <c r="CG1699" s="60" t="str">
        <f aca="false">IF(OR(CF1699=1,CF1699=2,CF1699=3),IF(Parameter!$E$27="Ja","LIFT",IF(CF1699=1,"L1","L23")),IF(CF1699="Aussen","Aussen","-"))</f>
        <v>LIFT</v>
      </c>
      <c r="CH1699" s="71" t="n">
        <f aca="false">IF(N(AC1699)&gt;0,AC1699,0)</f>
        <v>0</v>
      </c>
      <c r="CI1699" s="65" t="n">
        <f aca="false">IF(ISNUMBER(AF1699),1,0)</f>
        <v>0</v>
      </c>
      <c r="CJ1699" s="62" t="n">
        <f aca="false">N(AF1699)</f>
        <v>0</v>
      </c>
      <c r="CK1699" s="62" t="n">
        <f aca="false">N(M1699)+N(N1699)</f>
        <v>3</v>
      </c>
      <c r="CL1699" s="62" t="n">
        <f aca="false">N(M1699)</f>
        <v>0</v>
      </c>
      <c r="CM1699" s="62" t="n">
        <f aca="false">N(N1699)</f>
        <v>3</v>
      </c>
      <c r="CN1699" s="62" t="n">
        <f aca="false">ROUNDUP(H1699/BZ1699,0)</f>
        <v>1</v>
      </c>
      <c r="CO1699" s="62" t="n">
        <f aca="false">ROUNDUP(CJ1699/BZ1699,0)</f>
        <v>0</v>
      </c>
      <c r="CP1699" s="65" t="n">
        <f aca="false">IF(CA1699=1,0,IFERROR(VLOOKUP(BY1699,'Gebinde-Kategorie'!$A$5:$N$45,5,0)+0,0))</f>
        <v>11</v>
      </c>
      <c r="CQ1699" s="65" t="n">
        <f aca="false">IFERROR(IF(OR(CF1699=1,CF1699=2,CF1699=3),N(INDEX(Parameter!$I$5:$I$7,CF1699)),0),0)</f>
        <v>0</v>
      </c>
      <c r="CR1699" s="64" t="n">
        <f aca="false">IF(AND(Parameter!$B$21="Ja",ISNUMBER(W1699),N(X1699)&gt;0),IFERROR(N(INDEX(Parameter!$L$5:$L$7,W1699))*INDEX(Parameter!$E$5:$E$7,W1699)*X1699/SUMIFS($X$7:$X$1843,$W$7:$W$1843,W1699),0),0)</f>
        <v>0</v>
      </c>
      <c r="CS1699" s="62" t="n">
        <f aca="false">IF(AND(OR(CG1699="L1",CG1699="L23",CG1699="LIFT"),H1699&gt;0),CC1699*IF(CR1699&gt;0,CR1699*MAX(1,H1699/X1699),IF(CA1699=1,CE1699,IF(R1699&gt;0,CN1699/R1699,0))/MAX(0.1,N(Parameter!$M$21))),"")</f>
        <v>2.98076923076923</v>
      </c>
      <c r="CT1699" s="64" t="n">
        <f aca="false">IF(CS1699="","",J1699/H1699)</f>
        <v>0</v>
      </c>
      <c r="CU1699" s="62" t="n">
        <f aca="false">IF(CS1699="","",H1699*G1699)</f>
        <v>123.9</v>
      </c>
      <c r="CV1699" s="63" t="n">
        <f aca="false">IF(CS1699="","",(CL1699+ROUNDUP(CL1699+MAX(CM1699,2*(J1699/MAX(0.1,N(Einkauf!$C$6))-CL1699)),0))/2)</f>
        <v>1.5</v>
      </c>
      <c r="CW1699" s="62" t="n">
        <f aca="false">IF(CS1699="","",MAX(0,H1699-CV1699)*G1699)</f>
        <v>61.95</v>
      </c>
      <c r="CX1699" s="62" t="n">
        <f aca="false">IF(CS1699="","",CS1699*MAX(0,1-CV1699/H1699))</f>
        <v>1.49038461538462</v>
      </c>
      <c r="CY1699" s="64" t="n">
        <f aca="false">IF(CS1699="","",PERCENTRANK($CS$7:$CS$1843,CS1699)+PERCENTRANK($CU$7:$CU$1843,CU1699)+1-PERCENTRANK($CT$7:$CT$1843,CT1699))</f>
        <v>1.474</v>
      </c>
      <c r="CZ1699" s="72" t="n">
        <f aca="false">IF(CS1699="","",CHOOSE(MATCH(Einkauf!$C$5,Parameter!$G$23:$G$27,0),CY1699,CS1699,CU1699,-CT1699,CW1699)+ROW()/1000000000)</f>
        <v>1.474001699</v>
      </c>
    </row>
    <row r="1700" customFormat="false" ht="15" hidden="false" customHeight="false" outlineLevel="0" collapsed="false">
      <c r="A1700" s="60" t="s">
        <v>2985</v>
      </c>
      <c r="B1700" s="60" t="s">
        <v>2986</v>
      </c>
      <c r="C1700" s="60" t="s">
        <v>206</v>
      </c>
      <c r="D1700" s="60" t="s">
        <v>226</v>
      </c>
      <c r="E1700" s="60"/>
      <c r="F1700" s="60"/>
      <c r="G1700" s="61" t="n">
        <v>99.94</v>
      </c>
      <c r="H1700" s="62" t="n">
        <f aca="false">MAX(0,IF(AND(Parameter!$B$21="Ja",ISNUMBER(Y1700)),Y1700,IF(Parameter!$B$20="Jahresanfang 2025 + Export",BS1700+BR1700,BR1700)))</f>
        <v>3</v>
      </c>
      <c r="I1700" s="62" t="n">
        <f aca="false">H1700*G1700</f>
        <v>299.82</v>
      </c>
      <c r="J1700" s="62" t="n">
        <f aca="false">BU1700*Parameter!$B$18</f>
        <v>0</v>
      </c>
      <c r="K1700" s="63"/>
      <c r="L1700" s="64"/>
      <c r="M1700" s="62" t="n">
        <v>0</v>
      </c>
      <c r="N1700" s="62" t="n">
        <v>3</v>
      </c>
      <c r="O1700" s="65" t="n">
        <v>42</v>
      </c>
      <c r="P1700" s="60" t="s">
        <v>370</v>
      </c>
      <c r="Q1700" s="62" t="n">
        <v>3</v>
      </c>
      <c r="R1700" s="65" t="n">
        <f aca="false">IF(CA1700=1,0,IFERROR(VLOOKUP(BY1700,'Gebinde-Kategorie'!$A$5:$N$45,13,0)+0,0))</f>
        <v>52</v>
      </c>
      <c r="S1700" s="66"/>
      <c r="T1700" s="67"/>
      <c r="U1700" s="67"/>
      <c r="V1700" s="67"/>
      <c r="W1700" s="60"/>
      <c r="X1700" s="62"/>
      <c r="Y1700" s="62"/>
      <c r="Z1700" s="60" t="n">
        <v>3</v>
      </c>
      <c r="AA1700" s="60" t="n">
        <f aca="false">IF(A1700="","",IF(AND(Parameter!$B$21="Ja",ISNUMBER(W1700)),W1700,IF(AND(Parameter!$E$27="Ja",ISNUMBER(Z1700),CD1700&lt;&gt;"Nein"),Z1700,IF(CD1700="2+3",IF(ISNUMBER(SEARCH("grosser Artikel",BV1700)),2,IFERROR(VLOOKUP(BY1700,Parameter!$F$35:$G$64,2,0),2)),IF(OR(CD1700="Nein",CD1700=""),"-",CD1700)))))</f>
        <v>3</v>
      </c>
      <c r="AB1700" s="67"/>
      <c r="AC1700" s="68"/>
      <c r="AD1700" s="62" t="n">
        <f aca="false">AW1700</f>
        <v>3</v>
      </c>
      <c r="AE1700" s="62" t="n">
        <f aca="false">MAX(AW1700,H1700)</f>
        <v>3</v>
      </c>
      <c r="AF1700" s="69"/>
      <c r="AG1700" s="62" t="n">
        <f aca="false">IF(LEFT(Cockpit!$C$5,1)="A",H1700,IF(Parameter!$E$30="MAX-Bestand",IF(CI1700=1,CJ1700,IF(LEFT(Cockpit!$C$5,1)="B",AM1700,MAX(AM1700,H1700))),ROUNDUP(AK1700,0)))</f>
        <v>3</v>
      </c>
      <c r="AH1700" s="62" t="n">
        <f aca="false">IF(CA1700=1,0,ROUNDUP(AG1700/BZ1700,0))</f>
        <v>1</v>
      </c>
      <c r="AI1700" s="64" t="n">
        <f aca="false">IF(CR1700&gt;0,CR1700*MAX(1,AG1700/X1700),IF(CA1700=1,IF(AG1700&lt;=0,0,CE1700*MAX(1,IF(H1700&gt;0,AG1700/H1700,1))),IF(R1700&gt;0,AH1700/R1700,0))/MAX(0.1,N(Parameter!$M$21)))</f>
        <v>0.0192307692307692</v>
      </c>
      <c r="AJ1700" s="62" t="n">
        <f aca="false">AI1700*CC1700</f>
        <v>2.98076923076923</v>
      </c>
      <c r="AK1700" s="63" t="n">
        <f aca="false">IF(LEFT(Cockpit!$C$5,1)="A",H1700,IF(CI1700=1,(CL1700+CJ1700)/2,IF(LEFT(Cockpit!$C$5,1)="B",(CL1700+AM1700)/2,MAX((CL1700+AM1700)/2,H1700))))</f>
        <v>3</v>
      </c>
      <c r="AL1700" s="62" t="n">
        <f aca="false">AK1700*G1700</f>
        <v>299.82</v>
      </c>
      <c r="AM1700" s="62" t="n">
        <f aca="false">ROUNDUP(CL1700+MAX(CM1700,2*(J1700/IF(CH1700&gt;0,CH1700,MAX(0.1,N(Cockpit!$C$6)))-CL1700)),0)</f>
        <v>3</v>
      </c>
      <c r="AN1700" s="63" t="n">
        <f aca="false">IF(AJ1700&gt;0,J1700/AJ1700,-1)</f>
        <v>0</v>
      </c>
      <c r="AO1700" s="63" t="n">
        <f aca="false">IF(AND(OR(CG1700="L1",CG1700="L23",CG1700="LIFT"),AJ1700&gt;0),SUMIFS($AJ$7:$AJ$1843,$CG$7:$CG$1843,CG1700,$AN$7:$AN$1843,"&gt;"&amp;AN1700)+SUMIFS($AJ$7:$AJ$1843,$CG$7:$CG$1843,CG1700,$AN$7:$AN$1843,AN1700,$BX$7:$BX$1843,"&lt;="&amp;BX1700),"")</f>
        <v>32794.0563755924</v>
      </c>
      <c r="AP1700" s="70" t="n">
        <f aca="false">IF(AO1700="",0,MAX(0,MIN(1,(IF(CG1700="L1",Parameter!$H$5,IF(CG1700="L23",Parameter!$H$6+Parameter!$H$7,Parameter!$H$5+Parameter!$H$6+Parameter!$H$7))-(AO1700-AJ1700))/AJ1700)))</f>
        <v>1</v>
      </c>
      <c r="AQ1700" s="62" t="n">
        <f aca="false">IF(LEFT(Cockpit!$I$5,1)="A",H1700,IF(Parameter!$E$30="MAX-Bestand",IF(CI1700=1,CJ1700,IF(LEFT(Cockpit!$I$5,1)="B",AW1700,MAX(AW1700,H1700))),ROUNDUP(AU1700,0)))</f>
        <v>3</v>
      </c>
      <c r="AR1700" s="62" t="n">
        <f aca="false">IF(CA1700=1,0,ROUNDUP(AQ1700/BZ1700,0))</f>
        <v>1</v>
      </c>
      <c r="AS1700" s="64" t="n">
        <f aca="false">IF(CR1700&gt;0,CR1700*MAX(1,AQ1700/X1700),IF(CA1700=1,IF(AQ1700&lt;=0,0,CE1700*MAX(1,IF(H1700&gt;0,AQ1700/H1700,1))),IF(R1700&gt;0,AR1700/R1700,0))/MAX(0.1,N(Parameter!$M$21)))</f>
        <v>0.0192307692307692</v>
      </c>
      <c r="AT1700" s="62" t="n">
        <f aca="false">AS1700*CC1700</f>
        <v>2.98076923076923</v>
      </c>
      <c r="AU1700" s="63" t="n">
        <f aca="false">IF(LEFT(Cockpit!$I$5,1)="A",H1700,IF(CI1700=1,(CL1700+CJ1700)/2,IF(LEFT(Cockpit!$I$5,1)="B",(CL1700+AW1700)/2,MAX((CL1700+AW1700)/2,H1700))))</f>
        <v>3</v>
      </c>
      <c r="AV1700" s="62" t="n">
        <f aca="false">AU1700*G1700</f>
        <v>299.82</v>
      </c>
      <c r="AW1700" s="62" t="n">
        <f aca="false">ROUNDUP(CL1700+MAX(CM1700,2*(J1700/IF(CH1700&gt;0,CH1700,MAX(0.1,N(Cockpit!$I$6)))-CL1700)),0)</f>
        <v>3</v>
      </c>
      <c r="AX1700" s="63" t="n">
        <f aca="false">IF(AT1700&gt;0,J1700/AT1700,-1)</f>
        <v>0</v>
      </c>
      <c r="AY1700" s="63" t="n">
        <f aca="false">IF(AND(OR(CG1700="L1",CG1700="L23",CG1700="LIFT"),AT1700&gt;0),SUMIFS($AT$7:$AT$1843,$CG$7:$CG$1843,CG1700,$AX$7:$AX$1843,"&gt;"&amp;AX1700)+SUMIFS($AT$7:$AT$1843,$CG$7:$CG$1843,CG1700,$AX$7:$AX$1843,AX1700,$BX$7:$BX$1843,"&lt;="&amp;BX1700),"")</f>
        <v>39266.3046061754</v>
      </c>
      <c r="AZ1700" s="70" t="n">
        <f aca="false">IF(AY1700="",0,MAX(0,MIN(1,(IF(CG1700="L1",Parameter!$H$5,IF(CG1700="L23",Parameter!$H$6+Parameter!$H$7,Parameter!$H$5+Parameter!$H$6+Parameter!$H$7))-(AY1700-AT1700))/AT1700)))</f>
        <v>0</v>
      </c>
      <c r="BA1700" s="62" t="n">
        <f aca="false">IF(LEFT(Cockpit!$O$5,1)="A",H1700,IF(Parameter!$E$30="MAX-Bestand",IF(CI1700=1,CJ1700,IF(LEFT(Cockpit!$O$5,1)="B",BG1700,MAX(BG1700,H1700))),ROUNDUP(BE1700,0)))</f>
        <v>2</v>
      </c>
      <c r="BB1700" s="62" t="n">
        <f aca="false">IF(CA1700=1,0,ROUNDUP(BA1700/BZ1700,0))</f>
        <v>1</v>
      </c>
      <c r="BC1700" s="64" t="n">
        <f aca="false">IF(CR1700&gt;0,CR1700*MAX(1,BA1700/X1700),IF(CA1700=1,IF(BA1700&lt;=0,0,CE1700*MAX(1,IF(H1700&gt;0,BA1700/H1700,1))),IF(R1700&gt;0,BB1700/R1700,0))/MAX(0.1,N(Parameter!$M$21)))</f>
        <v>0.0192307692307692</v>
      </c>
      <c r="BD1700" s="62" t="n">
        <f aca="false">BC1700*CC1700</f>
        <v>2.98076923076923</v>
      </c>
      <c r="BE1700" s="63" t="n">
        <f aca="false">IF(LEFT(Cockpit!$O$5,1)="A",H1700,IF(CI1700=1,(CL1700+CJ1700)/2,IF(LEFT(Cockpit!$O$5,1)="B",(CL1700+BG1700)/2,MAX((CL1700+BG1700)/2,H1700))))</f>
        <v>1.5</v>
      </c>
      <c r="BF1700" s="62" t="n">
        <f aca="false">BE1700*G1700</f>
        <v>149.91</v>
      </c>
      <c r="BG1700" s="62" t="n">
        <f aca="false">ROUNDUP(CL1700+MAX(CM1700,2*(J1700/IF(CH1700&gt;0,CH1700,MAX(0.1,N(Cockpit!$O$6)))-CL1700)),0)</f>
        <v>3</v>
      </c>
      <c r="BH1700" s="63" t="n">
        <f aca="false">IF(BD1700&gt;0,J1700/BD1700,-1)</f>
        <v>0</v>
      </c>
      <c r="BI1700" s="63" t="n">
        <f aca="false">IF(AND(OR(CG1700="L1",CG1700="L23",CG1700="LIFT"),BD1700&gt;0),SUMIFS($BD$7:$BD$1843,$CG$7:$CG$1843,CG1700,$BH$7:$BH$1843,"&gt;"&amp;BH1700)+SUMIFS($BD$7:$BD$1843,$CG$7:$CG$1843,CG1700,$BH$7:$BH$1843,BH1700,$BX$7:$BX$1843,"&lt;="&amp;BX1700),"")</f>
        <v>32507.6369073488</v>
      </c>
      <c r="BJ1700" s="70" t="n">
        <f aca="false">IF(BI1700="",0,MAX(0,MIN(1,(IF(CG1700="L1",Parameter!$H$5,IF(CG1700="L23",Parameter!$H$6+Parameter!$H$7,Parameter!$H$5+Parameter!$H$6+Parameter!$H$7))-(BI1700-BD1700))/BD1700)))</f>
        <v>1</v>
      </c>
      <c r="BK1700" s="60" t="str">
        <f aca="false">IF(AJ1700&lt;=0,"",IF(CG1700="Aussen","Aussenlager",IF(CG1700="-","Nicht im Lift",IF(AP1700&gt;=1,"Lift",IF(AP1700&lt;=0,"Aussenlager","teilweise")))))</f>
        <v>Lift</v>
      </c>
      <c r="BL1700" s="60" t="str">
        <f aca="false">IF(AT1700&lt;=0,"",IF(CG1700="Aussen","Aussenlager",IF(CG1700="-","Nicht im Lift",IF(AZ1700&gt;=1,"Lift",IF(AZ1700&lt;=0,"Aussenlager","teilweise")))))</f>
        <v>Aussenlager</v>
      </c>
      <c r="BM1700" s="60" t="str">
        <f aca="false">IF(BD1700&lt;=0,"",IF(CG1700="Aussen","Aussenlager",IF(CG1700="-","Nicht im Lift",IF(BJ1700&gt;=1,"Lift",IF(BJ1700&lt;=0,"Aussenlager","teilweise")))))</f>
        <v>Lift</v>
      </c>
      <c r="BN1700" s="60" t="str">
        <f aca="false">IF(A1700="","",IF(BW1700=1,"Neu; ","")&amp;IF(AND(BW1700=0,BR1700&lt;0),"negativer Bestand (Export "&amp;BR1700&amp;"); ","")&amp;IF(J1700&lt;=0,"Kein Verbrauch; ","")&amp;IF(CR1700&gt;0,"Lift "&amp;W1700&amp;" lt. Liftbericht (Fach "&amp;X1700&amp;" Stk); ",IF(CB1700=1,"Gebinde geschätzt ("&amp;T1700&amp;"); ",IF(CA1700=1,"Lose – Tablare geschätzt; ","")))&amp;IF(H1700&gt;AW1700,"Überbestand "&amp;ROUND(H1700-AW1700,0)&amp;" Stk / CHF "&amp;ROUND((H1700-AW1700)*G1700,0)&amp;"; ","")&amp;IF(AND(CI1700=1,CJ1700&lt;CK1700),"MAX &lt; MB+LG; ","")&amp;IF(AND(CQ1700&gt;0,CP1700*10&gt;CQ1700),"zu hoch für Tablar; ","")&amp;IF(AND(BW1700=0,OR(CI1700=1,AB1700&lt;&gt;"",U1700&lt;&gt;"",V1700&lt;&gt;"",AC1700&lt;&gt;"")),"manuell übersteuert; ","")&amp;IF(AND(CA1700=0,R1700=0),"Gebinde unbekannt / Stellmass fehlt; ","")&amp;IF(AND(CA1700=0,N(V1700)&lt;=0,N(Q1700)&lt;=0),"Menge pro Gebinde fehlt (Ist = 1 Gebinde); ","")&amp;BV1700)</f>
        <v>Kein Verbrauch; nur im Artikelstamm (Bestand 23.06.2026)</v>
      </c>
      <c r="BO1700" s="60"/>
      <c r="BP1700" s="60"/>
      <c r="BQ1700" s="67"/>
      <c r="BR1700" s="62" t="n">
        <v>3</v>
      </c>
      <c r="BS1700" s="62" t="n">
        <v>0</v>
      </c>
      <c r="BT1700" s="61" t="n">
        <v>0</v>
      </c>
      <c r="BU1700" s="62" t="n">
        <v>0</v>
      </c>
      <c r="BV1700" s="60" t="s">
        <v>2617</v>
      </c>
      <c r="BW1700" s="65" t="n">
        <v>0</v>
      </c>
      <c r="BX1700" s="65" t="n">
        <v>1700</v>
      </c>
      <c r="BY1700" s="60" t="str">
        <f aca="false">IF(U1700&lt;&gt;"",UPPER(TRIM(U1700)),IF(CB1700=1,UPPER(VLOOKUP(T1700,Parameter!$I$27:$K$29,2,0)),IF(P1700="","LOSE",P1700)))</f>
        <v>S41</v>
      </c>
      <c r="BZ1700" s="62" t="n">
        <f aca="false">IF(BY1700="LOSE",1,IF(N(V1700)&gt;0,V1700,IF(CB1700=1,MAX(1,N(VLOOKUP(T1700,Parameter!$I$27:$K$29,3,0)),H1700,N(N1700)),IF(N(Q1700)&gt;0,Q1700,MAX(1,H1700)))))</f>
        <v>3</v>
      </c>
      <c r="CA1700" s="65" t="n">
        <f aca="false">IF(BY1700="LOSE",1,0)</f>
        <v>0</v>
      </c>
      <c r="CB1700" s="65" t="n">
        <f aca="false">IF(AND(U1700="",OR(P1700="",P1700="LOSE"),T1700&lt;&gt;"",N(S1700)&lt;=0,ISNUMBER(MATCH(T1700,Parameter!$I$27:$I$29,0))),1,0)</f>
        <v>0</v>
      </c>
      <c r="CC1700" s="65" t="n">
        <f aca="false">IF(CR1700&gt;0,INDEX(Parameter!$H$5:$H$7,W1700)/INDEX(Parameter!$E$5:$E$7,W1700),IF(AND(CA1700=0,N(IFERROR(VLOOKUP(BY1700,'Gebinde-Kategorie'!$A$5:$N$45,14,0),0))&gt;0),VLOOKUP(BY1700,'Gebinde-Kategorie'!$A$5:$N$45,14,0)*10+Parameter!$M$23,Parameter!$M$24))</f>
        <v>155</v>
      </c>
      <c r="CD1700" s="60" t="str">
        <f aca="false">IF(AND(Parameter!$B$19="Ja",E1700&lt;&gt;"",ISNUMBER(MATCH(E1700,Parameter!$I$35:$I$52,0))),VLOOKUP(E1700,Parameter!$I$35:$J$52,2,0),IFERROR(VLOOKUP(D1700,Parameter!$A$35:$C$64,2,0),"Nein"))</f>
        <v>2+3</v>
      </c>
      <c r="CE1700" s="64" t="n">
        <f aca="false">IF(CA1700=0,0,IF(N(S1700)&gt;0,S1700,IFERROR(VLOOKUP(D1700,Parameter!$A$35:$C$64,3,0)+0,0)))</f>
        <v>0</v>
      </c>
      <c r="CF1700" s="60" t="n">
        <f aca="false">IF(AB1700&lt;&gt;"",AB1700,AA1700)</f>
        <v>3</v>
      </c>
      <c r="CG1700" s="60" t="str">
        <f aca="false">IF(OR(CF1700=1,CF1700=2,CF1700=3),IF(Parameter!$E$27="Ja","LIFT",IF(CF1700=1,"L1","L23")),IF(CF1700="Aussen","Aussen","-"))</f>
        <v>LIFT</v>
      </c>
      <c r="CH1700" s="71" t="n">
        <f aca="false">IF(N(AC1700)&gt;0,AC1700,0)</f>
        <v>0</v>
      </c>
      <c r="CI1700" s="65" t="n">
        <f aca="false">IF(ISNUMBER(AF1700),1,0)</f>
        <v>0</v>
      </c>
      <c r="CJ1700" s="62" t="n">
        <f aca="false">N(AF1700)</f>
        <v>0</v>
      </c>
      <c r="CK1700" s="62" t="n">
        <f aca="false">N(M1700)+N(N1700)</f>
        <v>3</v>
      </c>
      <c r="CL1700" s="62" t="n">
        <f aca="false">N(M1700)</f>
        <v>0</v>
      </c>
      <c r="CM1700" s="62" t="n">
        <f aca="false">N(N1700)</f>
        <v>3</v>
      </c>
      <c r="CN1700" s="62" t="n">
        <f aca="false">ROUNDUP(H1700/BZ1700,0)</f>
        <v>1</v>
      </c>
      <c r="CO1700" s="62" t="n">
        <f aca="false">ROUNDUP(CJ1700/BZ1700,0)</f>
        <v>0</v>
      </c>
      <c r="CP1700" s="65" t="n">
        <f aca="false">IF(CA1700=1,0,IFERROR(VLOOKUP(BY1700,'Gebinde-Kategorie'!$A$5:$N$45,5,0)+0,0))</f>
        <v>11</v>
      </c>
      <c r="CQ1700" s="65" t="n">
        <f aca="false">IFERROR(IF(OR(CF1700=1,CF1700=2,CF1700=3),N(INDEX(Parameter!$I$5:$I$7,CF1700)),0),0)</f>
        <v>0</v>
      </c>
      <c r="CR1700" s="64" t="n">
        <f aca="false">IF(AND(Parameter!$B$21="Ja",ISNUMBER(W1700),N(X1700)&gt;0),IFERROR(N(INDEX(Parameter!$L$5:$L$7,W1700))*INDEX(Parameter!$E$5:$E$7,W1700)*X1700/SUMIFS($X$7:$X$1843,$W$7:$W$1843,W1700),0),0)</f>
        <v>0</v>
      </c>
      <c r="CS1700" s="62" t="n">
        <f aca="false">IF(AND(OR(CG1700="L1",CG1700="L23",CG1700="LIFT"),H1700&gt;0),CC1700*IF(CR1700&gt;0,CR1700*MAX(1,H1700/X1700),IF(CA1700=1,CE1700,IF(R1700&gt;0,CN1700/R1700,0))/MAX(0.1,N(Parameter!$M$21))),"")</f>
        <v>2.98076923076923</v>
      </c>
      <c r="CT1700" s="64" t="n">
        <f aca="false">IF(CS1700="","",J1700/H1700)</f>
        <v>0</v>
      </c>
      <c r="CU1700" s="62" t="n">
        <f aca="false">IF(CS1700="","",H1700*G1700)</f>
        <v>299.82</v>
      </c>
      <c r="CV1700" s="63" t="n">
        <f aca="false">IF(CS1700="","",(CL1700+ROUNDUP(CL1700+MAX(CM1700,2*(J1700/MAX(0.1,N(Einkauf!$C$6))-CL1700)),0))/2)</f>
        <v>1.5</v>
      </c>
      <c r="CW1700" s="62" t="n">
        <f aca="false">IF(CS1700="","",MAX(0,H1700-CV1700)*G1700)</f>
        <v>149.91</v>
      </c>
      <c r="CX1700" s="62" t="n">
        <f aca="false">IF(CS1700="","",CS1700*MAX(0,1-CV1700/H1700))</f>
        <v>1.49038461538462</v>
      </c>
      <c r="CY1700" s="64" t="n">
        <f aca="false">IF(CS1700="","",PERCENTRANK($CS$7:$CS$1843,CS1700)+PERCENTRANK($CU$7:$CU$1843,CU1700)+1-PERCENTRANK($CT$7:$CT$1843,CT1700))</f>
        <v>1.63</v>
      </c>
      <c r="CZ1700" s="72" t="n">
        <f aca="false">IF(CS1700="","",CHOOSE(MATCH(Einkauf!$C$5,Parameter!$G$23:$G$27,0),CY1700,CS1700,CU1700,-CT1700,CW1700)+ROW()/1000000000)</f>
        <v>1.6300017</v>
      </c>
    </row>
    <row r="1701" customFormat="false" ht="15" hidden="false" customHeight="false" outlineLevel="0" collapsed="false">
      <c r="A1701" s="60" t="s">
        <v>2987</v>
      </c>
      <c r="B1701" s="60" t="s">
        <v>885</v>
      </c>
      <c r="C1701" s="60" t="s">
        <v>206</v>
      </c>
      <c r="D1701" s="60" t="s">
        <v>226</v>
      </c>
      <c r="E1701" s="60"/>
      <c r="F1701" s="60"/>
      <c r="G1701" s="61" t="n">
        <v>38.1</v>
      </c>
      <c r="H1701" s="62" t="n">
        <f aca="false">MAX(0,IF(AND(Parameter!$B$21="Ja",ISNUMBER(Y1701)),Y1701,IF(Parameter!$B$20="Jahresanfang 2025 + Export",BS1701+BR1701,BR1701)))</f>
        <v>3</v>
      </c>
      <c r="I1701" s="62" t="n">
        <f aca="false">H1701*G1701</f>
        <v>114.3</v>
      </c>
      <c r="J1701" s="62" t="n">
        <f aca="false">BU1701*Parameter!$B$18</f>
        <v>0</v>
      </c>
      <c r="K1701" s="63"/>
      <c r="L1701" s="64"/>
      <c r="M1701" s="62" t="n">
        <v>0</v>
      </c>
      <c r="N1701" s="62" t="n">
        <v>3</v>
      </c>
      <c r="O1701" s="65" t="n">
        <v>42</v>
      </c>
      <c r="P1701" s="60" t="s">
        <v>370</v>
      </c>
      <c r="Q1701" s="62" t="n">
        <v>3</v>
      </c>
      <c r="R1701" s="65" t="n">
        <f aca="false">IF(CA1701=1,0,IFERROR(VLOOKUP(BY1701,'Gebinde-Kategorie'!$A$5:$N$45,13,0)+0,0))</f>
        <v>52</v>
      </c>
      <c r="S1701" s="66"/>
      <c r="T1701" s="67"/>
      <c r="U1701" s="67"/>
      <c r="V1701" s="67"/>
      <c r="W1701" s="60"/>
      <c r="X1701" s="62"/>
      <c r="Y1701" s="62"/>
      <c r="Z1701" s="60" t="n">
        <v>3</v>
      </c>
      <c r="AA1701" s="60" t="n">
        <f aca="false">IF(A1701="","",IF(AND(Parameter!$B$21="Ja",ISNUMBER(W1701)),W1701,IF(AND(Parameter!$E$27="Ja",ISNUMBER(Z1701),CD1701&lt;&gt;"Nein"),Z1701,IF(CD1701="2+3",IF(ISNUMBER(SEARCH("grosser Artikel",BV1701)),2,IFERROR(VLOOKUP(BY1701,Parameter!$F$35:$G$64,2,0),2)),IF(OR(CD1701="Nein",CD1701=""),"-",CD1701)))))</f>
        <v>3</v>
      </c>
      <c r="AB1701" s="67"/>
      <c r="AC1701" s="68"/>
      <c r="AD1701" s="62" t="n">
        <f aca="false">AW1701</f>
        <v>3</v>
      </c>
      <c r="AE1701" s="62" t="n">
        <f aca="false">MAX(AW1701,H1701)</f>
        <v>3</v>
      </c>
      <c r="AF1701" s="69"/>
      <c r="AG1701" s="62" t="n">
        <f aca="false">IF(LEFT(Cockpit!$C$5,1)="A",H1701,IF(Parameter!$E$30="MAX-Bestand",IF(CI1701=1,CJ1701,IF(LEFT(Cockpit!$C$5,1)="B",AM1701,MAX(AM1701,H1701))),ROUNDUP(AK1701,0)))</f>
        <v>3</v>
      </c>
      <c r="AH1701" s="62" t="n">
        <f aca="false">IF(CA1701=1,0,ROUNDUP(AG1701/BZ1701,0))</f>
        <v>1</v>
      </c>
      <c r="AI1701" s="64" t="n">
        <f aca="false">IF(CR1701&gt;0,CR1701*MAX(1,AG1701/X1701),IF(CA1701=1,IF(AG1701&lt;=0,0,CE1701*MAX(1,IF(H1701&gt;0,AG1701/H1701,1))),IF(R1701&gt;0,AH1701/R1701,0))/MAX(0.1,N(Parameter!$M$21)))</f>
        <v>0.0192307692307692</v>
      </c>
      <c r="AJ1701" s="62" t="n">
        <f aca="false">AI1701*CC1701</f>
        <v>2.98076923076923</v>
      </c>
      <c r="AK1701" s="63" t="n">
        <f aca="false">IF(LEFT(Cockpit!$C$5,1)="A",H1701,IF(CI1701=1,(CL1701+CJ1701)/2,IF(LEFT(Cockpit!$C$5,1)="B",(CL1701+AM1701)/2,MAX((CL1701+AM1701)/2,H1701))))</f>
        <v>3</v>
      </c>
      <c r="AL1701" s="62" t="n">
        <f aca="false">AK1701*G1701</f>
        <v>114.3</v>
      </c>
      <c r="AM1701" s="62" t="n">
        <f aca="false">ROUNDUP(CL1701+MAX(CM1701,2*(J1701/IF(CH1701&gt;0,CH1701,MAX(0.1,N(Cockpit!$C$6)))-CL1701)),0)</f>
        <v>3</v>
      </c>
      <c r="AN1701" s="63" t="n">
        <f aca="false">IF(AJ1701&gt;0,J1701/AJ1701,-1)</f>
        <v>0</v>
      </c>
      <c r="AO1701" s="63" t="n">
        <f aca="false">IF(AND(OR(CG1701="L1",CG1701="L23",CG1701="LIFT"),AJ1701&gt;0),SUMIFS($AJ$7:$AJ$1843,$CG$7:$CG$1843,CG1701,$AN$7:$AN$1843,"&gt;"&amp;AN1701)+SUMIFS($AJ$7:$AJ$1843,$CG$7:$CG$1843,CG1701,$AN$7:$AN$1843,AN1701,$BX$7:$BX$1843,"&lt;="&amp;BX1701),"")</f>
        <v>32797.0371448232</v>
      </c>
      <c r="AP1701" s="70" t="n">
        <f aca="false">IF(AO1701="",0,MAX(0,MIN(1,(IF(CG1701="L1",Parameter!$H$5,IF(CG1701="L23",Parameter!$H$6+Parameter!$H$7,Parameter!$H$5+Parameter!$H$6+Parameter!$H$7))-(AO1701-AJ1701))/AJ1701)))</f>
        <v>1</v>
      </c>
      <c r="AQ1701" s="62" t="n">
        <f aca="false">IF(LEFT(Cockpit!$I$5,1)="A",H1701,IF(Parameter!$E$30="MAX-Bestand",IF(CI1701=1,CJ1701,IF(LEFT(Cockpit!$I$5,1)="B",AW1701,MAX(AW1701,H1701))),ROUNDUP(AU1701,0)))</f>
        <v>3</v>
      </c>
      <c r="AR1701" s="62" t="n">
        <f aca="false">IF(CA1701=1,0,ROUNDUP(AQ1701/BZ1701,0))</f>
        <v>1</v>
      </c>
      <c r="AS1701" s="64" t="n">
        <f aca="false">IF(CR1701&gt;0,CR1701*MAX(1,AQ1701/X1701),IF(CA1701=1,IF(AQ1701&lt;=0,0,CE1701*MAX(1,IF(H1701&gt;0,AQ1701/H1701,1))),IF(R1701&gt;0,AR1701/R1701,0))/MAX(0.1,N(Parameter!$M$21)))</f>
        <v>0.0192307692307692</v>
      </c>
      <c r="AT1701" s="62" t="n">
        <f aca="false">AS1701*CC1701</f>
        <v>2.98076923076923</v>
      </c>
      <c r="AU1701" s="63" t="n">
        <f aca="false">IF(LEFT(Cockpit!$I$5,1)="A",H1701,IF(CI1701=1,(CL1701+CJ1701)/2,IF(LEFT(Cockpit!$I$5,1)="B",(CL1701+AW1701)/2,MAX((CL1701+AW1701)/2,H1701))))</f>
        <v>3</v>
      </c>
      <c r="AV1701" s="62" t="n">
        <f aca="false">AU1701*G1701</f>
        <v>114.3</v>
      </c>
      <c r="AW1701" s="62" t="n">
        <f aca="false">ROUNDUP(CL1701+MAX(CM1701,2*(J1701/IF(CH1701&gt;0,CH1701,MAX(0.1,N(Cockpit!$I$6)))-CL1701)),0)</f>
        <v>3</v>
      </c>
      <c r="AX1701" s="63" t="n">
        <f aca="false">IF(AT1701&gt;0,J1701/AT1701,-1)</f>
        <v>0</v>
      </c>
      <c r="AY1701" s="63" t="n">
        <f aca="false">IF(AND(OR(CG1701="L1",CG1701="L23",CG1701="LIFT"),AT1701&gt;0),SUMIFS($AT$7:$AT$1843,$CG$7:$CG$1843,CG1701,$AX$7:$AX$1843,"&gt;"&amp;AX1701)+SUMIFS($AT$7:$AT$1843,$CG$7:$CG$1843,CG1701,$AX$7:$AX$1843,AX1701,$BX$7:$BX$1843,"&lt;="&amp;BX1701),"")</f>
        <v>39269.2853754061</v>
      </c>
      <c r="AZ1701" s="70" t="n">
        <f aca="false">IF(AY1701="",0,MAX(0,MIN(1,(IF(CG1701="L1",Parameter!$H$5,IF(CG1701="L23",Parameter!$H$6+Parameter!$H$7,Parameter!$H$5+Parameter!$H$6+Parameter!$H$7))-(AY1701-AT1701))/AT1701)))</f>
        <v>0</v>
      </c>
      <c r="BA1701" s="62" t="n">
        <f aca="false">IF(LEFT(Cockpit!$O$5,1)="A",H1701,IF(Parameter!$E$30="MAX-Bestand",IF(CI1701=1,CJ1701,IF(LEFT(Cockpit!$O$5,1)="B",BG1701,MAX(BG1701,H1701))),ROUNDUP(BE1701,0)))</f>
        <v>2</v>
      </c>
      <c r="BB1701" s="62" t="n">
        <f aca="false">IF(CA1701=1,0,ROUNDUP(BA1701/BZ1701,0))</f>
        <v>1</v>
      </c>
      <c r="BC1701" s="64" t="n">
        <f aca="false">IF(CR1701&gt;0,CR1701*MAX(1,BA1701/X1701),IF(CA1701=1,IF(BA1701&lt;=0,0,CE1701*MAX(1,IF(H1701&gt;0,BA1701/H1701,1))),IF(R1701&gt;0,BB1701/R1701,0))/MAX(0.1,N(Parameter!$M$21)))</f>
        <v>0.0192307692307692</v>
      </c>
      <c r="BD1701" s="62" t="n">
        <f aca="false">BC1701*CC1701</f>
        <v>2.98076923076923</v>
      </c>
      <c r="BE1701" s="63" t="n">
        <f aca="false">IF(LEFT(Cockpit!$O$5,1)="A",H1701,IF(CI1701=1,(CL1701+CJ1701)/2,IF(LEFT(Cockpit!$O$5,1)="B",(CL1701+BG1701)/2,MAX((CL1701+BG1701)/2,H1701))))</f>
        <v>1.5</v>
      </c>
      <c r="BF1701" s="62" t="n">
        <f aca="false">BE1701*G1701</f>
        <v>57.15</v>
      </c>
      <c r="BG1701" s="62" t="n">
        <f aca="false">ROUNDUP(CL1701+MAX(CM1701,2*(J1701/IF(CH1701&gt;0,CH1701,MAX(0.1,N(Cockpit!$O$6)))-CL1701)),0)</f>
        <v>3</v>
      </c>
      <c r="BH1701" s="63" t="n">
        <f aca="false">IF(BD1701&gt;0,J1701/BD1701,-1)</f>
        <v>0</v>
      </c>
      <c r="BI1701" s="63" t="n">
        <f aca="false">IF(AND(OR(CG1701="L1",CG1701="L23",CG1701="LIFT"),BD1701&gt;0),SUMIFS($BD$7:$BD$1843,$CG$7:$CG$1843,CG1701,$BH$7:$BH$1843,"&gt;"&amp;BH1701)+SUMIFS($BD$7:$BD$1843,$CG$7:$CG$1843,CG1701,$BH$7:$BH$1843,BH1701,$BX$7:$BX$1843,"&lt;="&amp;BX1701),"")</f>
        <v>32510.6176765795</v>
      </c>
      <c r="BJ1701" s="70" t="n">
        <f aca="false">IF(BI1701="",0,MAX(0,MIN(1,(IF(CG1701="L1",Parameter!$H$5,IF(CG1701="L23",Parameter!$H$6+Parameter!$H$7,Parameter!$H$5+Parameter!$H$6+Parameter!$H$7))-(BI1701-BD1701))/BD1701)))</f>
        <v>1</v>
      </c>
      <c r="BK1701" s="60" t="str">
        <f aca="false">IF(AJ1701&lt;=0,"",IF(CG1701="Aussen","Aussenlager",IF(CG1701="-","Nicht im Lift",IF(AP1701&gt;=1,"Lift",IF(AP1701&lt;=0,"Aussenlager","teilweise")))))</f>
        <v>Lift</v>
      </c>
      <c r="BL1701" s="60" t="str">
        <f aca="false">IF(AT1701&lt;=0,"",IF(CG1701="Aussen","Aussenlager",IF(CG1701="-","Nicht im Lift",IF(AZ1701&gt;=1,"Lift",IF(AZ1701&lt;=0,"Aussenlager","teilweise")))))</f>
        <v>Aussenlager</v>
      </c>
      <c r="BM1701" s="60" t="str">
        <f aca="false">IF(BD1701&lt;=0,"",IF(CG1701="Aussen","Aussenlager",IF(CG1701="-","Nicht im Lift",IF(BJ1701&gt;=1,"Lift",IF(BJ1701&lt;=0,"Aussenlager","teilweise")))))</f>
        <v>Lift</v>
      </c>
      <c r="BN1701" s="60" t="str">
        <f aca="false">IF(A1701="","",IF(BW1701=1,"Neu; ","")&amp;IF(AND(BW1701=0,BR1701&lt;0),"negativer Bestand (Export "&amp;BR1701&amp;"); ","")&amp;IF(J1701&lt;=0,"Kein Verbrauch; ","")&amp;IF(CR1701&gt;0,"Lift "&amp;W1701&amp;" lt. Liftbericht (Fach "&amp;X1701&amp;" Stk); ",IF(CB1701=1,"Gebinde geschätzt ("&amp;T1701&amp;"); ",IF(CA1701=1,"Lose – Tablare geschätzt; ","")))&amp;IF(H1701&gt;AW1701,"Überbestand "&amp;ROUND(H1701-AW1701,0)&amp;" Stk / CHF "&amp;ROUND((H1701-AW1701)*G1701,0)&amp;"; ","")&amp;IF(AND(CI1701=1,CJ1701&lt;CK1701),"MAX &lt; MB+LG; ","")&amp;IF(AND(CQ1701&gt;0,CP1701*10&gt;CQ1701),"zu hoch für Tablar; ","")&amp;IF(AND(BW1701=0,OR(CI1701=1,AB1701&lt;&gt;"",U1701&lt;&gt;"",V1701&lt;&gt;"",AC1701&lt;&gt;"")),"manuell übersteuert; ","")&amp;IF(AND(CA1701=0,R1701=0),"Gebinde unbekannt / Stellmass fehlt; ","")&amp;IF(AND(CA1701=0,N(V1701)&lt;=0,N(Q1701)&lt;=0),"Menge pro Gebinde fehlt (Ist = 1 Gebinde); ","")&amp;BV1701)</f>
        <v>Kein Verbrauch; nur im Artikelstamm (Bestand 23.06.2026)</v>
      </c>
      <c r="BO1701" s="60"/>
      <c r="BP1701" s="60"/>
      <c r="BQ1701" s="67"/>
      <c r="BR1701" s="62" t="n">
        <v>3</v>
      </c>
      <c r="BS1701" s="62" t="n">
        <v>0</v>
      </c>
      <c r="BT1701" s="61" t="n">
        <v>0</v>
      </c>
      <c r="BU1701" s="62" t="n">
        <v>0</v>
      </c>
      <c r="BV1701" s="60" t="s">
        <v>2617</v>
      </c>
      <c r="BW1701" s="65" t="n">
        <v>0</v>
      </c>
      <c r="BX1701" s="65" t="n">
        <v>1701</v>
      </c>
      <c r="BY1701" s="60" t="str">
        <f aca="false">IF(U1701&lt;&gt;"",UPPER(TRIM(U1701)),IF(CB1701=1,UPPER(VLOOKUP(T1701,Parameter!$I$27:$K$29,2,0)),IF(P1701="","LOSE",P1701)))</f>
        <v>S41</v>
      </c>
      <c r="BZ1701" s="62" t="n">
        <f aca="false">IF(BY1701="LOSE",1,IF(N(V1701)&gt;0,V1701,IF(CB1701=1,MAX(1,N(VLOOKUP(T1701,Parameter!$I$27:$K$29,3,0)),H1701,N(N1701)),IF(N(Q1701)&gt;0,Q1701,MAX(1,H1701)))))</f>
        <v>3</v>
      </c>
      <c r="CA1701" s="65" t="n">
        <f aca="false">IF(BY1701="LOSE",1,0)</f>
        <v>0</v>
      </c>
      <c r="CB1701" s="65" t="n">
        <f aca="false">IF(AND(U1701="",OR(P1701="",P1701="LOSE"),T1701&lt;&gt;"",N(S1701)&lt;=0,ISNUMBER(MATCH(T1701,Parameter!$I$27:$I$29,0))),1,0)</f>
        <v>0</v>
      </c>
      <c r="CC1701" s="65" t="n">
        <f aca="false">IF(CR1701&gt;0,INDEX(Parameter!$H$5:$H$7,W1701)/INDEX(Parameter!$E$5:$E$7,W1701),IF(AND(CA1701=0,N(IFERROR(VLOOKUP(BY1701,'Gebinde-Kategorie'!$A$5:$N$45,14,0),0))&gt;0),VLOOKUP(BY1701,'Gebinde-Kategorie'!$A$5:$N$45,14,0)*10+Parameter!$M$23,Parameter!$M$24))</f>
        <v>155</v>
      </c>
      <c r="CD1701" s="60" t="str">
        <f aca="false">IF(AND(Parameter!$B$19="Ja",E1701&lt;&gt;"",ISNUMBER(MATCH(E1701,Parameter!$I$35:$I$52,0))),VLOOKUP(E1701,Parameter!$I$35:$J$52,2,0),IFERROR(VLOOKUP(D1701,Parameter!$A$35:$C$64,2,0),"Nein"))</f>
        <v>2+3</v>
      </c>
      <c r="CE1701" s="64" t="n">
        <f aca="false">IF(CA1701=0,0,IF(N(S1701)&gt;0,S1701,IFERROR(VLOOKUP(D1701,Parameter!$A$35:$C$64,3,0)+0,0)))</f>
        <v>0</v>
      </c>
      <c r="CF1701" s="60" t="n">
        <f aca="false">IF(AB1701&lt;&gt;"",AB1701,AA1701)</f>
        <v>3</v>
      </c>
      <c r="CG1701" s="60" t="str">
        <f aca="false">IF(OR(CF1701=1,CF1701=2,CF1701=3),IF(Parameter!$E$27="Ja","LIFT",IF(CF1701=1,"L1","L23")),IF(CF1701="Aussen","Aussen","-"))</f>
        <v>LIFT</v>
      </c>
      <c r="CH1701" s="71" t="n">
        <f aca="false">IF(N(AC1701)&gt;0,AC1701,0)</f>
        <v>0</v>
      </c>
      <c r="CI1701" s="65" t="n">
        <f aca="false">IF(ISNUMBER(AF1701),1,0)</f>
        <v>0</v>
      </c>
      <c r="CJ1701" s="62" t="n">
        <f aca="false">N(AF1701)</f>
        <v>0</v>
      </c>
      <c r="CK1701" s="62" t="n">
        <f aca="false">N(M1701)+N(N1701)</f>
        <v>3</v>
      </c>
      <c r="CL1701" s="62" t="n">
        <f aca="false">N(M1701)</f>
        <v>0</v>
      </c>
      <c r="CM1701" s="62" t="n">
        <f aca="false">N(N1701)</f>
        <v>3</v>
      </c>
      <c r="CN1701" s="62" t="n">
        <f aca="false">ROUNDUP(H1701/BZ1701,0)</f>
        <v>1</v>
      </c>
      <c r="CO1701" s="62" t="n">
        <f aca="false">ROUNDUP(CJ1701/BZ1701,0)</f>
        <v>0</v>
      </c>
      <c r="CP1701" s="65" t="n">
        <f aca="false">IF(CA1701=1,0,IFERROR(VLOOKUP(BY1701,'Gebinde-Kategorie'!$A$5:$N$45,5,0)+0,0))</f>
        <v>11</v>
      </c>
      <c r="CQ1701" s="65" t="n">
        <f aca="false">IFERROR(IF(OR(CF1701=1,CF1701=2,CF1701=3),N(INDEX(Parameter!$I$5:$I$7,CF1701)),0),0)</f>
        <v>0</v>
      </c>
      <c r="CR1701" s="64" t="n">
        <f aca="false">IF(AND(Parameter!$B$21="Ja",ISNUMBER(W1701),N(X1701)&gt;0),IFERROR(N(INDEX(Parameter!$L$5:$L$7,W1701))*INDEX(Parameter!$E$5:$E$7,W1701)*X1701/SUMIFS($X$7:$X$1843,$W$7:$W$1843,W1701),0),0)</f>
        <v>0</v>
      </c>
      <c r="CS1701" s="62" t="n">
        <f aca="false">IF(AND(OR(CG1701="L1",CG1701="L23",CG1701="LIFT"),H1701&gt;0),CC1701*IF(CR1701&gt;0,CR1701*MAX(1,H1701/X1701),IF(CA1701=1,CE1701,IF(R1701&gt;0,CN1701/R1701,0))/MAX(0.1,N(Parameter!$M$21))),"")</f>
        <v>2.98076923076923</v>
      </c>
      <c r="CT1701" s="64" t="n">
        <f aca="false">IF(CS1701="","",J1701/H1701)</f>
        <v>0</v>
      </c>
      <c r="CU1701" s="62" t="n">
        <f aca="false">IF(CS1701="","",H1701*G1701)</f>
        <v>114.3</v>
      </c>
      <c r="CV1701" s="63" t="n">
        <f aca="false">IF(CS1701="","",(CL1701+ROUNDUP(CL1701+MAX(CM1701,2*(J1701/MAX(0.1,N(Einkauf!$C$6))-CL1701)),0))/2)</f>
        <v>1.5</v>
      </c>
      <c r="CW1701" s="62" t="n">
        <f aca="false">IF(CS1701="","",MAX(0,H1701-CV1701)*G1701)</f>
        <v>57.15</v>
      </c>
      <c r="CX1701" s="62" t="n">
        <f aca="false">IF(CS1701="","",CS1701*MAX(0,1-CV1701/H1701))</f>
        <v>1.49038461538462</v>
      </c>
      <c r="CY1701" s="64" t="n">
        <f aca="false">IF(CS1701="","",PERCENTRANK($CS$7:$CS$1843,CS1701)+PERCENTRANK($CU$7:$CU$1843,CU1701)+1-PERCENTRANK($CT$7:$CT$1843,CT1701))</f>
        <v>1.462</v>
      </c>
      <c r="CZ1701" s="72" t="n">
        <f aca="false">IF(CS1701="","",CHOOSE(MATCH(Einkauf!$C$5,Parameter!$G$23:$G$27,0),CY1701,CS1701,CU1701,-CT1701,CW1701)+ROW()/1000000000)</f>
        <v>1.462001701</v>
      </c>
    </row>
    <row r="1702" customFormat="false" ht="15" hidden="false" customHeight="false" outlineLevel="0" collapsed="false">
      <c r="A1702" s="60" t="s">
        <v>2988</v>
      </c>
      <c r="B1702" s="60" t="s">
        <v>447</v>
      </c>
      <c r="C1702" s="60" t="s">
        <v>206</v>
      </c>
      <c r="D1702" s="60" t="s">
        <v>226</v>
      </c>
      <c r="E1702" s="60"/>
      <c r="F1702" s="60"/>
      <c r="G1702" s="61" t="n">
        <v>0.46</v>
      </c>
      <c r="H1702" s="62" t="n">
        <f aca="false">MAX(0,IF(AND(Parameter!$B$21="Ja",ISNUMBER(Y1702)),Y1702,IF(Parameter!$B$20="Jahresanfang 2025 + Export",BS1702+BR1702,BR1702)))</f>
        <v>100</v>
      </c>
      <c r="I1702" s="62" t="n">
        <f aca="false">H1702*G1702</f>
        <v>46</v>
      </c>
      <c r="J1702" s="62" t="n">
        <f aca="false">BU1702*Parameter!$B$18</f>
        <v>0</v>
      </c>
      <c r="K1702" s="63"/>
      <c r="L1702" s="64"/>
      <c r="M1702" s="62" t="n">
        <v>0</v>
      </c>
      <c r="N1702" s="62" t="n">
        <v>100</v>
      </c>
      <c r="O1702" s="65" t="n">
        <v>0</v>
      </c>
      <c r="P1702" s="60" t="s">
        <v>463</v>
      </c>
      <c r="Q1702" s="62" t="n">
        <v>60</v>
      </c>
      <c r="R1702" s="65" t="n">
        <f aca="false">IF(CA1702=1,0,IFERROR(VLOOKUP(BY1702,'Gebinde-Kategorie'!$A$5:$N$45,13,0)+0,0))</f>
        <v>104</v>
      </c>
      <c r="S1702" s="66"/>
      <c r="T1702" s="67"/>
      <c r="U1702" s="67"/>
      <c r="V1702" s="67"/>
      <c r="W1702" s="60"/>
      <c r="X1702" s="62"/>
      <c r="Y1702" s="62"/>
      <c r="Z1702" s="60" t="n">
        <v>2</v>
      </c>
      <c r="AA1702" s="60" t="n">
        <f aca="false">IF(A1702="","",IF(AND(Parameter!$B$21="Ja",ISNUMBER(W1702)),W1702,IF(AND(Parameter!$E$27="Ja",ISNUMBER(Z1702),CD1702&lt;&gt;"Nein"),Z1702,IF(CD1702="2+3",IF(ISNUMBER(SEARCH("grosser Artikel",BV1702)),2,IFERROR(VLOOKUP(BY1702,Parameter!$F$35:$G$64,2,0),2)),IF(OR(CD1702="Nein",CD1702=""),"-",CD1702)))))</f>
        <v>2</v>
      </c>
      <c r="AB1702" s="67"/>
      <c r="AC1702" s="68"/>
      <c r="AD1702" s="62" t="n">
        <f aca="false">AW1702</f>
        <v>100</v>
      </c>
      <c r="AE1702" s="62" t="n">
        <f aca="false">MAX(AW1702,H1702)</f>
        <v>100</v>
      </c>
      <c r="AF1702" s="69"/>
      <c r="AG1702" s="62" t="n">
        <f aca="false">IF(LEFT(Cockpit!$C$5,1)="A",H1702,IF(Parameter!$E$30="MAX-Bestand",IF(CI1702=1,CJ1702,IF(LEFT(Cockpit!$C$5,1)="B",AM1702,MAX(AM1702,H1702))),ROUNDUP(AK1702,0)))</f>
        <v>100</v>
      </c>
      <c r="AH1702" s="62" t="n">
        <f aca="false">IF(CA1702=1,0,ROUNDUP(AG1702/BZ1702,0))</f>
        <v>2</v>
      </c>
      <c r="AI1702" s="64" t="n">
        <f aca="false">IF(CR1702&gt;0,CR1702*MAX(1,AG1702/X1702),IF(CA1702=1,IF(AG1702&lt;=0,0,CE1702*MAX(1,IF(H1702&gt;0,AG1702/H1702,1))),IF(R1702&gt;0,AH1702/R1702,0))/MAX(0.1,N(Parameter!$M$21)))</f>
        <v>0.0192307692307692</v>
      </c>
      <c r="AJ1702" s="62" t="n">
        <f aca="false">AI1702*CC1702</f>
        <v>2.98076923076923</v>
      </c>
      <c r="AK1702" s="63" t="n">
        <f aca="false">IF(LEFT(Cockpit!$C$5,1)="A",H1702,IF(CI1702=1,(CL1702+CJ1702)/2,IF(LEFT(Cockpit!$C$5,1)="B",(CL1702+AM1702)/2,MAX((CL1702+AM1702)/2,H1702))))</f>
        <v>100</v>
      </c>
      <c r="AL1702" s="62" t="n">
        <f aca="false">AK1702*G1702</f>
        <v>46</v>
      </c>
      <c r="AM1702" s="62" t="n">
        <f aca="false">ROUNDUP(CL1702+MAX(CM1702,2*(J1702/IF(CH1702&gt;0,CH1702,MAX(0.1,N(Cockpit!$C$6)))-CL1702)),0)</f>
        <v>100</v>
      </c>
      <c r="AN1702" s="63" t="n">
        <f aca="false">IF(AJ1702&gt;0,J1702/AJ1702,-1)</f>
        <v>0</v>
      </c>
      <c r="AO1702" s="63" t="n">
        <f aca="false">IF(AND(OR(CG1702="L1",CG1702="L23",CG1702="LIFT"),AJ1702&gt;0),SUMIFS($AJ$7:$AJ$1843,$CG$7:$CG$1843,CG1702,$AN$7:$AN$1843,"&gt;"&amp;AN1702)+SUMIFS($AJ$7:$AJ$1843,$CG$7:$CG$1843,CG1702,$AN$7:$AN$1843,AN1702,$BX$7:$BX$1843,"&lt;="&amp;BX1702),"")</f>
        <v>32800.0179140539</v>
      </c>
      <c r="AP1702" s="70" t="n">
        <f aca="false">IF(AO1702="",0,MAX(0,MIN(1,(IF(CG1702="L1",Parameter!$H$5,IF(CG1702="L23",Parameter!$H$6+Parameter!$H$7,Parameter!$H$5+Parameter!$H$6+Parameter!$H$7))-(AO1702-AJ1702))/AJ1702)))</f>
        <v>1</v>
      </c>
      <c r="AQ1702" s="62" t="n">
        <f aca="false">IF(LEFT(Cockpit!$I$5,1)="A",H1702,IF(Parameter!$E$30="MAX-Bestand",IF(CI1702=1,CJ1702,IF(LEFT(Cockpit!$I$5,1)="B",AW1702,MAX(AW1702,H1702))),ROUNDUP(AU1702,0)))</f>
        <v>100</v>
      </c>
      <c r="AR1702" s="62" t="n">
        <f aca="false">IF(CA1702=1,0,ROUNDUP(AQ1702/BZ1702,0))</f>
        <v>2</v>
      </c>
      <c r="AS1702" s="64" t="n">
        <f aca="false">IF(CR1702&gt;0,CR1702*MAX(1,AQ1702/X1702),IF(CA1702=1,IF(AQ1702&lt;=0,0,CE1702*MAX(1,IF(H1702&gt;0,AQ1702/H1702,1))),IF(R1702&gt;0,AR1702/R1702,0))/MAX(0.1,N(Parameter!$M$21)))</f>
        <v>0.0192307692307692</v>
      </c>
      <c r="AT1702" s="62" t="n">
        <f aca="false">AS1702*CC1702</f>
        <v>2.98076923076923</v>
      </c>
      <c r="AU1702" s="63" t="n">
        <f aca="false">IF(LEFT(Cockpit!$I$5,1)="A",H1702,IF(CI1702=1,(CL1702+CJ1702)/2,IF(LEFT(Cockpit!$I$5,1)="B",(CL1702+AW1702)/2,MAX((CL1702+AW1702)/2,H1702))))</f>
        <v>100</v>
      </c>
      <c r="AV1702" s="62" t="n">
        <f aca="false">AU1702*G1702</f>
        <v>46</v>
      </c>
      <c r="AW1702" s="62" t="n">
        <f aca="false">ROUNDUP(CL1702+MAX(CM1702,2*(J1702/IF(CH1702&gt;0,CH1702,MAX(0.1,N(Cockpit!$I$6)))-CL1702)),0)</f>
        <v>100</v>
      </c>
      <c r="AX1702" s="63" t="n">
        <f aca="false">IF(AT1702&gt;0,J1702/AT1702,-1)</f>
        <v>0</v>
      </c>
      <c r="AY1702" s="63" t="n">
        <f aca="false">IF(AND(OR(CG1702="L1",CG1702="L23",CG1702="LIFT"),AT1702&gt;0),SUMIFS($AT$7:$AT$1843,$CG$7:$CG$1843,CG1702,$AX$7:$AX$1843,"&gt;"&amp;AX1702)+SUMIFS($AT$7:$AT$1843,$CG$7:$CG$1843,CG1702,$AX$7:$AX$1843,AX1702,$BX$7:$BX$1843,"&lt;="&amp;BX1702),"")</f>
        <v>39272.2661446369</v>
      </c>
      <c r="AZ1702" s="70" t="n">
        <f aca="false">IF(AY1702="",0,MAX(0,MIN(1,(IF(CG1702="L1",Parameter!$H$5,IF(CG1702="L23",Parameter!$H$6+Parameter!$H$7,Parameter!$H$5+Parameter!$H$6+Parameter!$H$7))-(AY1702-AT1702))/AT1702)))</f>
        <v>0</v>
      </c>
      <c r="BA1702" s="62" t="n">
        <f aca="false">IF(LEFT(Cockpit!$O$5,1)="A",H1702,IF(Parameter!$E$30="MAX-Bestand",IF(CI1702=1,CJ1702,IF(LEFT(Cockpit!$O$5,1)="B",BG1702,MAX(BG1702,H1702))),ROUNDUP(BE1702,0)))</f>
        <v>50</v>
      </c>
      <c r="BB1702" s="62" t="n">
        <f aca="false">IF(CA1702=1,0,ROUNDUP(BA1702/BZ1702,0))</f>
        <v>1</v>
      </c>
      <c r="BC1702" s="64" t="n">
        <f aca="false">IF(CR1702&gt;0,CR1702*MAX(1,BA1702/X1702),IF(CA1702=1,IF(BA1702&lt;=0,0,CE1702*MAX(1,IF(H1702&gt;0,BA1702/H1702,1))),IF(R1702&gt;0,BB1702/R1702,0))/MAX(0.1,N(Parameter!$M$21)))</f>
        <v>0.00961538461538462</v>
      </c>
      <c r="BD1702" s="62" t="n">
        <f aca="false">BC1702*CC1702</f>
        <v>1.49038461538462</v>
      </c>
      <c r="BE1702" s="63" t="n">
        <f aca="false">IF(LEFT(Cockpit!$O$5,1)="A",H1702,IF(CI1702=1,(CL1702+CJ1702)/2,IF(LEFT(Cockpit!$O$5,1)="B",(CL1702+BG1702)/2,MAX((CL1702+BG1702)/2,H1702))))</f>
        <v>50</v>
      </c>
      <c r="BF1702" s="62" t="n">
        <f aca="false">BE1702*G1702</f>
        <v>23</v>
      </c>
      <c r="BG1702" s="62" t="n">
        <f aca="false">ROUNDUP(CL1702+MAX(CM1702,2*(J1702/IF(CH1702&gt;0,CH1702,MAX(0.1,N(Cockpit!$O$6)))-CL1702)),0)</f>
        <v>100</v>
      </c>
      <c r="BH1702" s="63" t="n">
        <f aca="false">IF(BD1702&gt;0,J1702/BD1702,-1)</f>
        <v>0</v>
      </c>
      <c r="BI1702" s="63" t="n">
        <f aca="false">IF(AND(OR(CG1702="L1",CG1702="L23",CG1702="LIFT"),BD1702&gt;0),SUMIFS($BD$7:$BD$1843,$CG$7:$CG$1843,CG1702,$BH$7:$BH$1843,"&gt;"&amp;BH1702)+SUMIFS($BD$7:$BD$1843,$CG$7:$CG$1843,CG1702,$BH$7:$BH$1843,BH1702,$BX$7:$BX$1843,"&lt;="&amp;BX1702),"")</f>
        <v>32512.1080611949</v>
      </c>
      <c r="BJ1702" s="70" t="n">
        <f aca="false">IF(BI1702="",0,MAX(0,MIN(1,(IF(CG1702="L1",Parameter!$H$5,IF(CG1702="L23",Parameter!$H$6+Parameter!$H$7,Parameter!$H$5+Parameter!$H$6+Parameter!$H$7))-(BI1702-BD1702))/BD1702)))</f>
        <v>1</v>
      </c>
      <c r="BK1702" s="60" t="str">
        <f aca="false">IF(AJ1702&lt;=0,"",IF(CG1702="Aussen","Aussenlager",IF(CG1702="-","Nicht im Lift",IF(AP1702&gt;=1,"Lift",IF(AP1702&lt;=0,"Aussenlager","teilweise")))))</f>
        <v>Lift</v>
      </c>
      <c r="BL1702" s="60" t="str">
        <f aca="false">IF(AT1702&lt;=0,"",IF(CG1702="Aussen","Aussenlager",IF(CG1702="-","Nicht im Lift",IF(AZ1702&gt;=1,"Lift",IF(AZ1702&lt;=0,"Aussenlager","teilweise")))))</f>
        <v>Aussenlager</v>
      </c>
      <c r="BM1702" s="60" t="str">
        <f aca="false">IF(BD1702&lt;=0,"",IF(CG1702="Aussen","Aussenlager",IF(CG1702="-","Nicht im Lift",IF(BJ1702&gt;=1,"Lift",IF(BJ1702&lt;=0,"Aussenlager","teilweise")))))</f>
        <v>Lift</v>
      </c>
      <c r="BN1702" s="60" t="str">
        <f aca="false">IF(A1702="","",IF(BW1702=1,"Neu; ","")&amp;IF(AND(BW1702=0,BR1702&lt;0),"negativer Bestand (Export "&amp;BR1702&amp;"); ","")&amp;IF(J1702&lt;=0,"Kein Verbrauch; ","")&amp;IF(CR1702&gt;0,"Lift "&amp;W1702&amp;" lt. Liftbericht (Fach "&amp;X1702&amp;" Stk); ",IF(CB1702=1,"Gebinde geschätzt ("&amp;T1702&amp;"); ",IF(CA1702=1,"Lose – Tablare geschätzt; ","")))&amp;IF(H1702&gt;AW1702,"Überbestand "&amp;ROUND(H1702-AW1702,0)&amp;" Stk / CHF "&amp;ROUND((H1702-AW1702)*G1702,0)&amp;"; ","")&amp;IF(AND(CI1702=1,CJ1702&lt;CK1702),"MAX &lt; MB+LG; ","")&amp;IF(AND(CQ1702&gt;0,CP1702*10&gt;CQ1702),"zu hoch für Tablar; ","")&amp;IF(AND(BW1702=0,OR(CI1702=1,AB1702&lt;&gt;"",U1702&lt;&gt;"",V1702&lt;&gt;"",AC1702&lt;&gt;"")),"manuell übersteuert; ","")&amp;IF(AND(CA1702=0,R1702=0),"Gebinde unbekannt / Stellmass fehlt; ","")&amp;IF(AND(CA1702=0,N(V1702)&lt;=0,N(Q1702)&lt;=0),"Menge pro Gebinde fehlt (Ist = 1 Gebinde); ","")&amp;BV1702)</f>
        <v>Kein Verbrauch; nur im Artikelstamm (Bestand 23.06.2026); Überbestand</v>
      </c>
      <c r="BO1702" s="60"/>
      <c r="BP1702" s="60"/>
      <c r="BQ1702" s="67"/>
      <c r="BR1702" s="62" t="n">
        <v>100</v>
      </c>
      <c r="BS1702" s="62" t="n">
        <v>0</v>
      </c>
      <c r="BT1702" s="61" t="n">
        <v>0</v>
      </c>
      <c r="BU1702" s="62" t="n">
        <v>0</v>
      </c>
      <c r="BV1702" s="60" t="s">
        <v>2614</v>
      </c>
      <c r="BW1702" s="65" t="n">
        <v>0</v>
      </c>
      <c r="BX1702" s="65" t="n">
        <v>1702</v>
      </c>
      <c r="BY1702" s="60" t="str">
        <f aca="false">IF(U1702&lt;&gt;"",UPPER(TRIM(U1702)),IF(CB1702=1,UPPER(VLOOKUP(T1702,Parameter!$I$27:$K$29,2,0)),IF(P1702="","LOSE",P1702)))</f>
        <v>S32</v>
      </c>
      <c r="BZ1702" s="62" t="n">
        <f aca="false">IF(BY1702="LOSE",1,IF(N(V1702)&gt;0,V1702,IF(CB1702=1,MAX(1,N(VLOOKUP(T1702,Parameter!$I$27:$K$29,3,0)),H1702,N(N1702)),IF(N(Q1702)&gt;0,Q1702,MAX(1,H1702)))))</f>
        <v>60</v>
      </c>
      <c r="CA1702" s="65" t="n">
        <f aca="false">IF(BY1702="LOSE",1,0)</f>
        <v>0</v>
      </c>
      <c r="CB1702" s="65" t="n">
        <f aca="false">IF(AND(U1702="",OR(P1702="",P1702="LOSE"),T1702&lt;&gt;"",N(S1702)&lt;=0,ISNUMBER(MATCH(T1702,Parameter!$I$27:$I$29,0))),1,0)</f>
        <v>0</v>
      </c>
      <c r="CC1702" s="65" t="n">
        <f aca="false">IF(CR1702&gt;0,INDEX(Parameter!$H$5:$H$7,W1702)/INDEX(Parameter!$E$5:$E$7,W1702),IF(AND(CA1702=0,N(IFERROR(VLOOKUP(BY1702,'Gebinde-Kategorie'!$A$5:$N$45,14,0),0))&gt;0),VLOOKUP(BY1702,'Gebinde-Kategorie'!$A$5:$N$45,14,0)*10+Parameter!$M$23,Parameter!$M$24))</f>
        <v>155</v>
      </c>
      <c r="CD1702" s="60" t="str">
        <f aca="false">IF(AND(Parameter!$B$19="Ja",E1702&lt;&gt;"",ISNUMBER(MATCH(E1702,Parameter!$I$35:$I$52,0))),VLOOKUP(E1702,Parameter!$I$35:$J$52,2,0),IFERROR(VLOOKUP(D1702,Parameter!$A$35:$C$64,2,0),"Nein"))</f>
        <v>2+3</v>
      </c>
      <c r="CE1702" s="64" t="n">
        <f aca="false">IF(CA1702=0,0,IF(N(S1702)&gt;0,S1702,IFERROR(VLOOKUP(D1702,Parameter!$A$35:$C$64,3,0)+0,0)))</f>
        <v>0</v>
      </c>
      <c r="CF1702" s="60" t="n">
        <f aca="false">IF(AB1702&lt;&gt;"",AB1702,AA1702)</f>
        <v>2</v>
      </c>
      <c r="CG1702" s="60" t="str">
        <f aca="false">IF(OR(CF1702=1,CF1702=2,CF1702=3),IF(Parameter!$E$27="Ja","LIFT",IF(CF1702=1,"L1","L23")),IF(CF1702="Aussen","Aussen","-"))</f>
        <v>LIFT</v>
      </c>
      <c r="CH1702" s="71" t="n">
        <f aca="false">IF(N(AC1702)&gt;0,AC1702,0)</f>
        <v>0</v>
      </c>
      <c r="CI1702" s="65" t="n">
        <f aca="false">IF(ISNUMBER(AF1702),1,0)</f>
        <v>0</v>
      </c>
      <c r="CJ1702" s="62" t="n">
        <f aca="false">N(AF1702)</f>
        <v>0</v>
      </c>
      <c r="CK1702" s="62" t="n">
        <f aca="false">N(M1702)+N(N1702)</f>
        <v>100</v>
      </c>
      <c r="CL1702" s="62" t="n">
        <f aca="false">N(M1702)</f>
        <v>0</v>
      </c>
      <c r="CM1702" s="62" t="n">
        <f aca="false">N(N1702)</f>
        <v>100</v>
      </c>
      <c r="CN1702" s="62" t="n">
        <f aca="false">ROUNDUP(H1702/BZ1702,0)</f>
        <v>2</v>
      </c>
      <c r="CO1702" s="62" t="n">
        <f aca="false">ROUNDUP(CJ1702/BZ1702,0)</f>
        <v>0</v>
      </c>
      <c r="CP1702" s="65" t="n">
        <f aca="false">IF(CA1702=1,0,IFERROR(VLOOKUP(BY1702,'Gebinde-Kategorie'!$A$5:$N$45,5,0)+0,0))</f>
        <v>8</v>
      </c>
      <c r="CQ1702" s="65" t="n">
        <f aca="false">IFERROR(IF(OR(CF1702=1,CF1702=2,CF1702=3),N(INDEX(Parameter!$I$5:$I$7,CF1702)),0),0)</f>
        <v>0</v>
      </c>
      <c r="CR1702" s="64" t="n">
        <f aca="false">IF(AND(Parameter!$B$21="Ja",ISNUMBER(W1702),N(X1702)&gt;0),IFERROR(N(INDEX(Parameter!$L$5:$L$7,W1702))*INDEX(Parameter!$E$5:$E$7,W1702)*X1702/SUMIFS($X$7:$X$1843,$W$7:$W$1843,W1702),0),0)</f>
        <v>0</v>
      </c>
      <c r="CS1702" s="62" t="n">
        <f aca="false">IF(AND(OR(CG1702="L1",CG1702="L23",CG1702="LIFT"),H1702&gt;0),CC1702*IF(CR1702&gt;0,CR1702*MAX(1,H1702/X1702),IF(CA1702=1,CE1702,IF(R1702&gt;0,CN1702/R1702,0))/MAX(0.1,N(Parameter!$M$21))),"")</f>
        <v>2.98076923076923</v>
      </c>
      <c r="CT1702" s="64" t="n">
        <f aca="false">IF(CS1702="","",J1702/H1702)</f>
        <v>0</v>
      </c>
      <c r="CU1702" s="62" t="n">
        <f aca="false">IF(CS1702="","",H1702*G1702)</f>
        <v>46</v>
      </c>
      <c r="CV1702" s="63" t="n">
        <f aca="false">IF(CS1702="","",(CL1702+ROUNDUP(CL1702+MAX(CM1702,2*(J1702/MAX(0.1,N(Einkauf!$C$6))-CL1702)),0))/2)</f>
        <v>50</v>
      </c>
      <c r="CW1702" s="62" t="n">
        <f aca="false">IF(CS1702="","",MAX(0,H1702-CV1702)*G1702)</f>
        <v>23</v>
      </c>
      <c r="CX1702" s="62" t="n">
        <f aca="false">IF(CS1702="","",CS1702*MAX(0,1-CV1702/H1702))</f>
        <v>1.49038461538462</v>
      </c>
      <c r="CY1702" s="64" t="n">
        <f aca="false">IF(CS1702="","",PERCENTRANK($CS$7:$CS$1843,CS1702)+PERCENTRANK($CU$7:$CU$1843,CU1702)+1-PERCENTRANK($CT$7:$CT$1843,CT1702))</f>
        <v>1.355</v>
      </c>
      <c r="CZ1702" s="72" t="n">
        <f aca="false">IF(CS1702="","",CHOOSE(MATCH(Einkauf!$C$5,Parameter!$G$23:$G$27,0),CY1702,CS1702,CU1702,-CT1702,CW1702)+ROW()/1000000000)</f>
        <v>1.355001702</v>
      </c>
    </row>
    <row r="1703" customFormat="false" ht="15" hidden="false" customHeight="false" outlineLevel="0" collapsed="false">
      <c r="A1703" s="60" t="s">
        <v>2989</v>
      </c>
      <c r="B1703" s="60" t="s">
        <v>766</v>
      </c>
      <c r="C1703" s="60" t="s">
        <v>206</v>
      </c>
      <c r="D1703" s="60" t="s">
        <v>226</v>
      </c>
      <c r="E1703" s="60"/>
      <c r="F1703" s="60"/>
      <c r="G1703" s="61" t="n">
        <v>47.5</v>
      </c>
      <c r="H1703" s="62" t="n">
        <f aca="false">MAX(0,IF(AND(Parameter!$B$21="Ja",ISNUMBER(Y1703)),Y1703,IF(Parameter!$B$20="Jahresanfang 2025 + Export",BS1703+BR1703,BR1703)))</f>
        <v>14</v>
      </c>
      <c r="I1703" s="62" t="n">
        <f aca="false">H1703*G1703</f>
        <v>665</v>
      </c>
      <c r="J1703" s="62" t="n">
        <f aca="false">BU1703*Parameter!$B$18</f>
        <v>0</v>
      </c>
      <c r="K1703" s="63"/>
      <c r="L1703" s="64"/>
      <c r="M1703" s="62" t="n">
        <v>0</v>
      </c>
      <c r="N1703" s="62" t="n">
        <v>15</v>
      </c>
      <c r="O1703" s="65" t="n">
        <v>21</v>
      </c>
      <c r="P1703" s="60" t="s">
        <v>463</v>
      </c>
      <c r="Q1703" s="62" t="n">
        <v>9</v>
      </c>
      <c r="R1703" s="65" t="n">
        <f aca="false">IF(CA1703=1,0,IFERROR(VLOOKUP(BY1703,'Gebinde-Kategorie'!$A$5:$N$45,13,0)+0,0))</f>
        <v>104</v>
      </c>
      <c r="S1703" s="66"/>
      <c r="T1703" s="67"/>
      <c r="U1703" s="67"/>
      <c r="V1703" s="67"/>
      <c r="W1703" s="60"/>
      <c r="X1703" s="62"/>
      <c r="Y1703" s="62"/>
      <c r="Z1703" s="60" t="n">
        <v>3</v>
      </c>
      <c r="AA1703" s="60" t="n">
        <f aca="false">IF(A1703="","",IF(AND(Parameter!$B$21="Ja",ISNUMBER(W1703)),W1703,IF(AND(Parameter!$E$27="Ja",ISNUMBER(Z1703),CD1703&lt;&gt;"Nein"),Z1703,IF(CD1703="2+3",IF(ISNUMBER(SEARCH("grosser Artikel",BV1703)),2,IFERROR(VLOOKUP(BY1703,Parameter!$F$35:$G$64,2,0),2)),IF(OR(CD1703="Nein",CD1703=""),"-",CD1703)))))</f>
        <v>3</v>
      </c>
      <c r="AB1703" s="67"/>
      <c r="AC1703" s="68"/>
      <c r="AD1703" s="62" t="n">
        <f aca="false">AW1703</f>
        <v>15</v>
      </c>
      <c r="AE1703" s="62" t="n">
        <f aca="false">MAX(AW1703,H1703)</f>
        <v>15</v>
      </c>
      <c r="AF1703" s="69"/>
      <c r="AG1703" s="62" t="n">
        <f aca="false">IF(LEFT(Cockpit!$C$5,1)="A",H1703,IF(Parameter!$E$30="MAX-Bestand",IF(CI1703=1,CJ1703,IF(LEFT(Cockpit!$C$5,1)="B",AM1703,MAX(AM1703,H1703))),ROUNDUP(AK1703,0)))</f>
        <v>14</v>
      </c>
      <c r="AH1703" s="62" t="n">
        <f aca="false">IF(CA1703=1,0,ROUNDUP(AG1703/BZ1703,0))</f>
        <v>2</v>
      </c>
      <c r="AI1703" s="64" t="n">
        <f aca="false">IF(CR1703&gt;0,CR1703*MAX(1,AG1703/X1703),IF(CA1703=1,IF(AG1703&lt;=0,0,CE1703*MAX(1,IF(H1703&gt;0,AG1703/H1703,1))),IF(R1703&gt;0,AH1703/R1703,0))/MAX(0.1,N(Parameter!$M$21)))</f>
        <v>0.0192307692307692</v>
      </c>
      <c r="AJ1703" s="62" t="n">
        <f aca="false">AI1703*CC1703</f>
        <v>2.98076923076923</v>
      </c>
      <c r="AK1703" s="63" t="n">
        <f aca="false">IF(LEFT(Cockpit!$C$5,1)="A",H1703,IF(CI1703=1,(CL1703+CJ1703)/2,IF(LEFT(Cockpit!$C$5,1)="B",(CL1703+AM1703)/2,MAX((CL1703+AM1703)/2,H1703))))</f>
        <v>14</v>
      </c>
      <c r="AL1703" s="62" t="n">
        <f aca="false">AK1703*G1703</f>
        <v>665</v>
      </c>
      <c r="AM1703" s="62" t="n">
        <f aca="false">ROUNDUP(CL1703+MAX(CM1703,2*(J1703/IF(CH1703&gt;0,CH1703,MAX(0.1,N(Cockpit!$C$6)))-CL1703)),0)</f>
        <v>15</v>
      </c>
      <c r="AN1703" s="63" t="n">
        <f aca="false">IF(AJ1703&gt;0,J1703/AJ1703,-1)</f>
        <v>0</v>
      </c>
      <c r="AO1703" s="63" t="n">
        <f aca="false">IF(AND(OR(CG1703="L1",CG1703="L23",CG1703="LIFT"),AJ1703&gt;0),SUMIFS($AJ$7:$AJ$1843,$CG$7:$CG$1843,CG1703,$AN$7:$AN$1843,"&gt;"&amp;AN1703)+SUMIFS($AJ$7:$AJ$1843,$CG$7:$CG$1843,CG1703,$AN$7:$AN$1843,AN1703,$BX$7:$BX$1843,"&lt;="&amp;BX1703),"")</f>
        <v>32802.9986832847</v>
      </c>
      <c r="AP1703" s="70" t="n">
        <f aca="false">IF(AO1703="",0,MAX(0,MIN(1,(IF(CG1703="L1",Parameter!$H$5,IF(CG1703="L23",Parameter!$H$6+Parameter!$H$7,Parameter!$H$5+Parameter!$H$6+Parameter!$H$7))-(AO1703-AJ1703))/AJ1703)))</f>
        <v>1</v>
      </c>
      <c r="AQ1703" s="62" t="n">
        <f aca="false">IF(LEFT(Cockpit!$I$5,1)="A",H1703,IF(Parameter!$E$30="MAX-Bestand",IF(CI1703=1,CJ1703,IF(LEFT(Cockpit!$I$5,1)="B",AW1703,MAX(AW1703,H1703))),ROUNDUP(AU1703,0)))</f>
        <v>14</v>
      </c>
      <c r="AR1703" s="62" t="n">
        <f aca="false">IF(CA1703=1,0,ROUNDUP(AQ1703/BZ1703,0))</f>
        <v>2</v>
      </c>
      <c r="AS1703" s="64" t="n">
        <f aca="false">IF(CR1703&gt;0,CR1703*MAX(1,AQ1703/X1703),IF(CA1703=1,IF(AQ1703&lt;=0,0,CE1703*MAX(1,IF(H1703&gt;0,AQ1703/H1703,1))),IF(R1703&gt;0,AR1703/R1703,0))/MAX(0.1,N(Parameter!$M$21)))</f>
        <v>0.0192307692307692</v>
      </c>
      <c r="AT1703" s="62" t="n">
        <f aca="false">AS1703*CC1703</f>
        <v>2.98076923076923</v>
      </c>
      <c r="AU1703" s="63" t="n">
        <f aca="false">IF(LEFT(Cockpit!$I$5,1)="A",H1703,IF(CI1703=1,(CL1703+CJ1703)/2,IF(LEFT(Cockpit!$I$5,1)="B",(CL1703+AW1703)/2,MAX((CL1703+AW1703)/2,H1703))))</f>
        <v>14</v>
      </c>
      <c r="AV1703" s="62" t="n">
        <f aca="false">AU1703*G1703</f>
        <v>665</v>
      </c>
      <c r="AW1703" s="62" t="n">
        <f aca="false">ROUNDUP(CL1703+MAX(CM1703,2*(J1703/IF(CH1703&gt;0,CH1703,MAX(0.1,N(Cockpit!$I$6)))-CL1703)),0)</f>
        <v>15</v>
      </c>
      <c r="AX1703" s="63" t="n">
        <f aca="false">IF(AT1703&gt;0,J1703/AT1703,-1)</f>
        <v>0</v>
      </c>
      <c r="AY1703" s="63" t="n">
        <f aca="false">IF(AND(OR(CG1703="L1",CG1703="L23",CG1703="LIFT"),AT1703&gt;0),SUMIFS($AT$7:$AT$1843,$CG$7:$CG$1843,CG1703,$AX$7:$AX$1843,"&gt;"&amp;AX1703)+SUMIFS($AT$7:$AT$1843,$CG$7:$CG$1843,CG1703,$AX$7:$AX$1843,AX1703,$BX$7:$BX$1843,"&lt;="&amp;BX1703),"")</f>
        <v>39275.2469138677</v>
      </c>
      <c r="AZ1703" s="70" t="n">
        <f aca="false">IF(AY1703="",0,MAX(0,MIN(1,(IF(CG1703="L1",Parameter!$H$5,IF(CG1703="L23",Parameter!$H$6+Parameter!$H$7,Parameter!$H$5+Parameter!$H$6+Parameter!$H$7))-(AY1703-AT1703))/AT1703)))</f>
        <v>0</v>
      </c>
      <c r="BA1703" s="62" t="n">
        <f aca="false">IF(LEFT(Cockpit!$O$5,1)="A",H1703,IF(Parameter!$E$30="MAX-Bestand",IF(CI1703=1,CJ1703,IF(LEFT(Cockpit!$O$5,1)="B",BG1703,MAX(BG1703,H1703))),ROUNDUP(BE1703,0)))</f>
        <v>8</v>
      </c>
      <c r="BB1703" s="62" t="n">
        <f aca="false">IF(CA1703=1,0,ROUNDUP(BA1703/BZ1703,0))</f>
        <v>1</v>
      </c>
      <c r="BC1703" s="64" t="n">
        <f aca="false">IF(CR1703&gt;0,CR1703*MAX(1,BA1703/X1703),IF(CA1703=1,IF(BA1703&lt;=0,0,CE1703*MAX(1,IF(H1703&gt;0,BA1703/H1703,1))),IF(R1703&gt;0,BB1703/R1703,0))/MAX(0.1,N(Parameter!$M$21)))</f>
        <v>0.00961538461538462</v>
      </c>
      <c r="BD1703" s="62" t="n">
        <f aca="false">BC1703*CC1703</f>
        <v>1.49038461538462</v>
      </c>
      <c r="BE1703" s="63" t="n">
        <f aca="false">IF(LEFT(Cockpit!$O$5,1)="A",H1703,IF(CI1703=1,(CL1703+CJ1703)/2,IF(LEFT(Cockpit!$O$5,1)="B",(CL1703+BG1703)/2,MAX((CL1703+BG1703)/2,H1703))))</f>
        <v>7.5</v>
      </c>
      <c r="BF1703" s="62" t="n">
        <f aca="false">BE1703*G1703</f>
        <v>356.25</v>
      </c>
      <c r="BG1703" s="62" t="n">
        <f aca="false">ROUNDUP(CL1703+MAX(CM1703,2*(J1703/IF(CH1703&gt;0,CH1703,MAX(0.1,N(Cockpit!$O$6)))-CL1703)),0)</f>
        <v>15</v>
      </c>
      <c r="BH1703" s="63" t="n">
        <f aca="false">IF(BD1703&gt;0,J1703/BD1703,-1)</f>
        <v>0</v>
      </c>
      <c r="BI1703" s="63" t="n">
        <f aca="false">IF(AND(OR(CG1703="L1",CG1703="L23",CG1703="LIFT"),BD1703&gt;0),SUMIFS($BD$7:$BD$1843,$CG$7:$CG$1843,CG1703,$BH$7:$BH$1843,"&gt;"&amp;BH1703)+SUMIFS($BD$7:$BD$1843,$CG$7:$CG$1843,CG1703,$BH$7:$BH$1843,BH1703,$BX$7:$BX$1843,"&lt;="&amp;BX1703),"")</f>
        <v>32513.5984458103</v>
      </c>
      <c r="BJ1703" s="70" t="n">
        <f aca="false">IF(BI1703="",0,MAX(0,MIN(1,(IF(CG1703="L1",Parameter!$H$5,IF(CG1703="L23",Parameter!$H$6+Parameter!$H$7,Parameter!$H$5+Parameter!$H$6+Parameter!$H$7))-(BI1703-BD1703))/BD1703)))</f>
        <v>1</v>
      </c>
      <c r="BK1703" s="60" t="str">
        <f aca="false">IF(AJ1703&lt;=0,"",IF(CG1703="Aussen","Aussenlager",IF(CG1703="-","Nicht im Lift",IF(AP1703&gt;=1,"Lift",IF(AP1703&lt;=0,"Aussenlager","teilweise")))))</f>
        <v>Lift</v>
      </c>
      <c r="BL1703" s="60" t="str">
        <f aca="false">IF(AT1703&lt;=0,"",IF(CG1703="Aussen","Aussenlager",IF(CG1703="-","Nicht im Lift",IF(AZ1703&gt;=1,"Lift",IF(AZ1703&lt;=0,"Aussenlager","teilweise")))))</f>
        <v>Aussenlager</v>
      </c>
      <c r="BM1703" s="60" t="str">
        <f aca="false">IF(BD1703&lt;=0,"",IF(CG1703="Aussen","Aussenlager",IF(CG1703="-","Nicht im Lift",IF(BJ1703&gt;=1,"Lift",IF(BJ1703&lt;=0,"Aussenlager","teilweise")))))</f>
        <v>Lift</v>
      </c>
      <c r="BN1703" s="60" t="str">
        <f aca="false">IF(A1703="","",IF(BW1703=1,"Neu; ","")&amp;IF(AND(BW1703=0,BR1703&lt;0),"negativer Bestand (Export "&amp;BR1703&amp;"); ","")&amp;IF(J1703&lt;=0,"Kein Verbrauch; ","")&amp;IF(CR1703&gt;0,"Lift "&amp;W1703&amp;" lt. Liftbericht (Fach "&amp;X1703&amp;" Stk); ",IF(CB1703=1,"Gebinde geschätzt ("&amp;T1703&amp;"); ",IF(CA1703=1,"Lose – Tablare geschätzt; ","")))&amp;IF(H1703&gt;AW1703,"Überbestand "&amp;ROUND(H1703-AW1703,0)&amp;" Stk / CHF "&amp;ROUND((H1703-AW1703)*G1703,0)&amp;"; ","")&amp;IF(AND(CI1703=1,CJ1703&lt;CK1703),"MAX &lt; MB+LG; ","")&amp;IF(AND(CQ1703&gt;0,CP1703*10&gt;CQ1703),"zu hoch für Tablar; ","")&amp;IF(AND(BW1703=0,OR(CI1703=1,AB1703&lt;&gt;"",U1703&lt;&gt;"",V1703&lt;&gt;"",AC1703&lt;&gt;"")),"manuell übersteuert; ","")&amp;IF(AND(CA1703=0,R1703=0),"Gebinde unbekannt / Stellmass fehlt; ","")&amp;IF(AND(CA1703=0,N(V1703)&lt;=0,N(Q1703)&lt;=0),"Menge pro Gebinde fehlt (Ist = 1 Gebinde); ","")&amp;BV1703)</f>
        <v>Kein Verbrauch; nur im Artikelstamm (Bestand 23.06.2026)</v>
      </c>
      <c r="BO1703" s="60"/>
      <c r="BP1703" s="60"/>
      <c r="BQ1703" s="67"/>
      <c r="BR1703" s="62" t="n">
        <v>14</v>
      </c>
      <c r="BS1703" s="62" t="n">
        <v>0</v>
      </c>
      <c r="BT1703" s="61" t="n">
        <v>0</v>
      </c>
      <c r="BU1703" s="62" t="n">
        <v>0</v>
      </c>
      <c r="BV1703" s="60" t="s">
        <v>2617</v>
      </c>
      <c r="BW1703" s="65" t="n">
        <v>0</v>
      </c>
      <c r="BX1703" s="65" t="n">
        <v>1703</v>
      </c>
      <c r="BY1703" s="60" t="str">
        <f aca="false">IF(U1703&lt;&gt;"",UPPER(TRIM(U1703)),IF(CB1703=1,UPPER(VLOOKUP(T1703,Parameter!$I$27:$K$29,2,0)),IF(P1703="","LOSE",P1703)))</f>
        <v>S32</v>
      </c>
      <c r="BZ1703" s="62" t="n">
        <f aca="false">IF(BY1703="LOSE",1,IF(N(V1703)&gt;0,V1703,IF(CB1703=1,MAX(1,N(VLOOKUP(T1703,Parameter!$I$27:$K$29,3,0)),H1703,N(N1703)),IF(N(Q1703)&gt;0,Q1703,MAX(1,H1703)))))</f>
        <v>9</v>
      </c>
      <c r="CA1703" s="65" t="n">
        <f aca="false">IF(BY1703="LOSE",1,0)</f>
        <v>0</v>
      </c>
      <c r="CB1703" s="65" t="n">
        <f aca="false">IF(AND(U1703="",OR(P1703="",P1703="LOSE"),T1703&lt;&gt;"",N(S1703)&lt;=0,ISNUMBER(MATCH(T1703,Parameter!$I$27:$I$29,0))),1,0)</f>
        <v>0</v>
      </c>
      <c r="CC1703" s="65" t="n">
        <f aca="false">IF(CR1703&gt;0,INDEX(Parameter!$H$5:$H$7,W1703)/INDEX(Parameter!$E$5:$E$7,W1703),IF(AND(CA1703=0,N(IFERROR(VLOOKUP(BY1703,'Gebinde-Kategorie'!$A$5:$N$45,14,0),0))&gt;0),VLOOKUP(BY1703,'Gebinde-Kategorie'!$A$5:$N$45,14,0)*10+Parameter!$M$23,Parameter!$M$24))</f>
        <v>155</v>
      </c>
      <c r="CD1703" s="60" t="str">
        <f aca="false">IF(AND(Parameter!$B$19="Ja",E1703&lt;&gt;"",ISNUMBER(MATCH(E1703,Parameter!$I$35:$I$52,0))),VLOOKUP(E1703,Parameter!$I$35:$J$52,2,0),IFERROR(VLOOKUP(D1703,Parameter!$A$35:$C$64,2,0),"Nein"))</f>
        <v>2+3</v>
      </c>
      <c r="CE1703" s="64" t="n">
        <f aca="false">IF(CA1703=0,0,IF(N(S1703)&gt;0,S1703,IFERROR(VLOOKUP(D1703,Parameter!$A$35:$C$64,3,0)+0,0)))</f>
        <v>0</v>
      </c>
      <c r="CF1703" s="60" t="n">
        <f aca="false">IF(AB1703&lt;&gt;"",AB1703,AA1703)</f>
        <v>3</v>
      </c>
      <c r="CG1703" s="60" t="str">
        <f aca="false">IF(OR(CF1703=1,CF1703=2,CF1703=3),IF(Parameter!$E$27="Ja","LIFT",IF(CF1703=1,"L1","L23")),IF(CF1703="Aussen","Aussen","-"))</f>
        <v>LIFT</v>
      </c>
      <c r="CH1703" s="71" t="n">
        <f aca="false">IF(N(AC1703)&gt;0,AC1703,0)</f>
        <v>0</v>
      </c>
      <c r="CI1703" s="65" t="n">
        <f aca="false">IF(ISNUMBER(AF1703),1,0)</f>
        <v>0</v>
      </c>
      <c r="CJ1703" s="62" t="n">
        <f aca="false">N(AF1703)</f>
        <v>0</v>
      </c>
      <c r="CK1703" s="62" t="n">
        <f aca="false">N(M1703)+N(N1703)</f>
        <v>15</v>
      </c>
      <c r="CL1703" s="62" t="n">
        <f aca="false">N(M1703)</f>
        <v>0</v>
      </c>
      <c r="CM1703" s="62" t="n">
        <f aca="false">N(N1703)</f>
        <v>15</v>
      </c>
      <c r="CN1703" s="62" t="n">
        <f aca="false">ROUNDUP(H1703/BZ1703,0)</f>
        <v>2</v>
      </c>
      <c r="CO1703" s="62" t="n">
        <f aca="false">ROUNDUP(CJ1703/BZ1703,0)</f>
        <v>0</v>
      </c>
      <c r="CP1703" s="65" t="n">
        <f aca="false">IF(CA1703=1,0,IFERROR(VLOOKUP(BY1703,'Gebinde-Kategorie'!$A$5:$N$45,5,0)+0,0))</f>
        <v>8</v>
      </c>
      <c r="CQ1703" s="65" t="n">
        <f aca="false">IFERROR(IF(OR(CF1703=1,CF1703=2,CF1703=3),N(INDEX(Parameter!$I$5:$I$7,CF1703)),0),0)</f>
        <v>0</v>
      </c>
      <c r="CR1703" s="64" t="n">
        <f aca="false">IF(AND(Parameter!$B$21="Ja",ISNUMBER(W1703),N(X1703)&gt;0),IFERROR(N(INDEX(Parameter!$L$5:$L$7,W1703))*INDEX(Parameter!$E$5:$E$7,W1703)*X1703/SUMIFS($X$7:$X$1843,$W$7:$W$1843,W1703),0),0)</f>
        <v>0</v>
      </c>
      <c r="CS1703" s="62" t="n">
        <f aca="false">IF(AND(OR(CG1703="L1",CG1703="L23",CG1703="LIFT"),H1703&gt;0),CC1703*IF(CR1703&gt;0,CR1703*MAX(1,H1703/X1703),IF(CA1703=1,CE1703,IF(R1703&gt;0,CN1703/R1703,0))/MAX(0.1,N(Parameter!$M$21))),"")</f>
        <v>2.98076923076923</v>
      </c>
      <c r="CT1703" s="64" t="n">
        <f aca="false">IF(CS1703="","",J1703/H1703)</f>
        <v>0</v>
      </c>
      <c r="CU1703" s="62" t="n">
        <f aca="false">IF(CS1703="","",H1703*G1703)</f>
        <v>665</v>
      </c>
      <c r="CV1703" s="63" t="n">
        <f aca="false">IF(CS1703="","",(CL1703+ROUNDUP(CL1703+MAX(CM1703,2*(J1703/MAX(0.1,N(Einkauf!$C$6))-CL1703)),0))/2)</f>
        <v>7.5</v>
      </c>
      <c r="CW1703" s="62" t="n">
        <f aca="false">IF(CS1703="","",MAX(0,H1703-CV1703)*G1703)</f>
        <v>308.75</v>
      </c>
      <c r="CX1703" s="62" t="n">
        <f aca="false">IF(CS1703="","",CS1703*MAX(0,1-CV1703/H1703))</f>
        <v>1.38392857142857</v>
      </c>
      <c r="CY1703" s="64" t="n">
        <f aca="false">IF(CS1703="","",PERCENTRANK($CS$7:$CS$1843,CS1703)+PERCENTRANK($CU$7:$CU$1843,CU1703)+1-PERCENTRANK($CT$7:$CT$1843,CT1703))</f>
        <v>1.783</v>
      </c>
      <c r="CZ1703" s="72" t="n">
        <f aca="false">IF(CS1703="","",CHOOSE(MATCH(Einkauf!$C$5,Parameter!$G$23:$G$27,0),CY1703,CS1703,CU1703,-CT1703,CW1703)+ROW()/1000000000)</f>
        <v>1.783001703</v>
      </c>
    </row>
    <row r="1704" customFormat="false" ht="15" hidden="false" customHeight="false" outlineLevel="0" collapsed="false">
      <c r="A1704" s="60" t="s">
        <v>2990</v>
      </c>
      <c r="B1704" s="60" t="s">
        <v>2991</v>
      </c>
      <c r="C1704" s="60" t="s">
        <v>206</v>
      </c>
      <c r="D1704" s="60" t="s">
        <v>226</v>
      </c>
      <c r="E1704" s="60"/>
      <c r="F1704" s="60"/>
      <c r="G1704" s="61" t="n">
        <v>37</v>
      </c>
      <c r="H1704" s="62" t="n">
        <f aca="false">MAX(0,IF(AND(Parameter!$B$21="Ja",ISNUMBER(Y1704)),Y1704,IF(Parameter!$B$20="Jahresanfang 2025 + Export",BS1704+BR1704,BR1704)))</f>
        <v>6</v>
      </c>
      <c r="I1704" s="62" t="n">
        <f aca="false">H1704*G1704</f>
        <v>222</v>
      </c>
      <c r="J1704" s="62" t="n">
        <f aca="false">BU1704*Parameter!$B$18</f>
        <v>0</v>
      </c>
      <c r="K1704" s="63"/>
      <c r="L1704" s="64"/>
      <c r="M1704" s="62" t="n">
        <v>0</v>
      </c>
      <c r="N1704" s="62" t="n">
        <v>5</v>
      </c>
      <c r="O1704" s="65" t="n">
        <v>21</v>
      </c>
      <c r="P1704" s="60" t="s">
        <v>463</v>
      </c>
      <c r="Q1704" s="62" t="n">
        <v>3</v>
      </c>
      <c r="R1704" s="65" t="n">
        <f aca="false">IF(CA1704=1,0,IFERROR(VLOOKUP(BY1704,'Gebinde-Kategorie'!$A$5:$N$45,13,0)+0,0))</f>
        <v>104</v>
      </c>
      <c r="S1704" s="66"/>
      <c r="T1704" s="67"/>
      <c r="U1704" s="67"/>
      <c r="V1704" s="67"/>
      <c r="W1704" s="60"/>
      <c r="X1704" s="62"/>
      <c r="Y1704" s="62"/>
      <c r="Z1704" s="60" t="n">
        <v>3</v>
      </c>
      <c r="AA1704" s="60" t="n">
        <f aca="false">IF(A1704="","",IF(AND(Parameter!$B$21="Ja",ISNUMBER(W1704)),W1704,IF(AND(Parameter!$E$27="Ja",ISNUMBER(Z1704),CD1704&lt;&gt;"Nein"),Z1704,IF(CD1704="2+3",IF(ISNUMBER(SEARCH("grosser Artikel",BV1704)),2,IFERROR(VLOOKUP(BY1704,Parameter!$F$35:$G$64,2,0),2)),IF(OR(CD1704="Nein",CD1704=""),"-",CD1704)))))</f>
        <v>3</v>
      </c>
      <c r="AB1704" s="67"/>
      <c r="AC1704" s="68"/>
      <c r="AD1704" s="62" t="n">
        <f aca="false">AW1704</f>
        <v>5</v>
      </c>
      <c r="AE1704" s="62" t="n">
        <f aca="false">MAX(AW1704,H1704)</f>
        <v>6</v>
      </c>
      <c r="AF1704" s="69"/>
      <c r="AG1704" s="62" t="n">
        <f aca="false">IF(LEFT(Cockpit!$C$5,1)="A",H1704,IF(Parameter!$E$30="MAX-Bestand",IF(CI1704=1,CJ1704,IF(LEFT(Cockpit!$C$5,1)="B",AM1704,MAX(AM1704,H1704))),ROUNDUP(AK1704,0)))</f>
        <v>6</v>
      </c>
      <c r="AH1704" s="62" t="n">
        <f aca="false">IF(CA1704=1,0,ROUNDUP(AG1704/BZ1704,0))</f>
        <v>2</v>
      </c>
      <c r="AI1704" s="64" t="n">
        <f aca="false">IF(CR1704&gt;0,CR1704*MAX(1,AG1704/X1704),IF(CA1704=1,IF(AG1704&lt;=0,0,CE1704*MAX(1,IF(H1704&gt;0,AG1704/H1704,1))),IF(R1704&gt;0,AH1704/R1704,0))/MAX(0.1,N(Parameter!$M$21)))</f>
        <v>0.0192307692307692</v>
      </c>
      <c r="AJ1704" s="62" t="n">
        <f aca="false">AI1704*CC1704</f>
        <v>2.98076923076923</v>
      </c>
      <c r="AK1704" s="63" t="n">
        <f aca="false">IF(LEFT(Cockpit!$C$5,1)="A",H1704,IF(CI1704=1,(CL1704+CJ1704)/2,IF(LEFT(Cockpit!$C$5,1)="B",(CL1704+AM1704)/2,MAX((CL1704+AM1704)/2,H1704))))</f>
        <v>6</v>
      </c>
      <c r="AL1704" s="62" t="n">
        <f aca="false">AK1704*G1704</f>
        <v>222</v>
      </c>
      <c r="AM1704" s="62" t="n">
        <f aca="false">ROUNDUP(CL1704+MAX(CM1704,2*(J1704/IF(CH1704&gt;0,CH1704,MAX(0.1,N(Cockpit!$C$6)))-CL1704)),0)</f>
        <v>5</v>
      </c>
      <c r="AN1704" s="63" t="n">
        <f aca="false">IF(AJ1704&gt;0,J1704/AJ1704,-1)</f>
        <v>0</v>
      </c>
      <c r="AO1704" s="63" t="n">
        <f aca="false">IF(AND(OR(CG1704="L1",CG1704="L23",CG1704="LIFT"),AJ1704&gt;0),SUMIFS($AJ$7:$AJ$1843,$CG$7:$CG$1843,CG1704,$AN$7:$AN$1843,"&gt;"&amp;AN1704)+SUMIFS($AJ$7:$AJ$1843,$CG$7:$CG$1843,CG1704,$AN$7:$AN$1843,AN1704,$BX$7:$BX$1843,"&lt;="&amp;BX1704),"")</f>
        <v>32805.9794525155</v>
      </c>
      <c r="AP1704" s="70" t="n">
        <f aca="false">IF(AO1704="",0,MAX(0,MIN(1,(IF(CG1704="L1",Parameter!$H$5,IF(CG1704="L23",Parameter!$H$6+Parameter!$H$7,Parameter!$H$5+Parameter!$H$6+Parameter!$H$7))-(AO1704-AJ1704))/AJ1704)))</f>
        <v>1</v>
      </c>
      <c r="AQ1704" s="62" t="n">
        <f aca="false">IF(LEFT(Cockpit!$I$5,1)="A",H1704,IF(Parameter!$E$30="MAX-Bestand",IF(CI1704=1,CJ1704,IF(LEFT(Cockpit!$I$5,1)="B",AW1704,MAX(AW1704,H1704))),ROUNDUP(AU1704,0)))</f>
        <v>6</v>
      </c>
      <c r="AR1704" s="62" t="n">
        <f aca="false">IF(CA1704=1,0,ROUNDUP(AQ1704/BZ1704,0))</f>
        <v>2</v>
      </c>
      <c r="AS1704" s="64" t="n">
        <f aca="false">IF(CR1704&gt;0,CR1704*MAX(1,AQ1704/X1704),IF(CA1704=1,IF(AQ1704&lt;=0,0,CE1704*MAX(1,IF(H1704&gt;0,AQ1704/H1704,1))),IF(R1704&gt;0,AR1704/R1704,0))/MAX(0.1,N(Parameter!$M$21)))</f>
        <v>0.0192307692307692</v>
      </c>
      <c r="AT1704" s="62" t="n">
        <f aca="false">AS1704*CC1704</f>
        <v>2.98076923076923</v>
      </c>
      <c r="AU1704" s="63" t="n">
        <f aca="false">IF(LEFT(Cockpit!$I$5,1)="A",H1704,IF(CI1704=1,(CL1704+CJ1704)/2,IF(LEFT(Cockpit!$I$5,1)="B",(CL1704+AW1704)/2,MAX((CL1704+AW1704)/2,H1704))))</f>
        <v>6</v>
      </c>
      <c r="AV1704" s="62" t="n">
        <f aca="false">AU1704*G1704</f>
        <v>222</v>
      </c>
      <c r="AW1704" s="62" t="n">
        <f aca="false">ROUNDUP(CL1704+MAX(CM1704,2*(J1704/IF(CH1704&gt;0,CH1704,MAX(0.1,N(Cockpit!$I$6)))-CL1704)),0)</f>
        <v>5</v>
      </c>
      <c r="AX1704" s="63" t="n">
        <f aca="false">IF(AT1704&gt;0,J1704/AT1704,-1)</f>
        <v>0</v>
      </c>
      <c r="AY1704" s="63" t="n">
        <f aca="false">IF(AND(OR(CG1704="L1",CG1704="L23",CG1704="LIFT"),AT1704&gt;0),SUMIFS($AT$7:$AT$1843,$CG$7:$CG$1843,CG1704,$AX$7:$AX$1843,"&gt;"&amp;AX1704)+SUMIFS($AT$7:$AT$1843,$CG$7:$CG$1843,CG1704,$AX$7:$AX$1843,AX1704,$BX$7:$BX$1843,"&lt;="&amp;BX1704),"")</f>
        <v>39278.2276830985</v>
      </c>
      <c r="AZ1704" s="70" t="n">
        <f aca="false">IF(AY1704="",0,MAX(0,MIN(1,(IF(CG1704="L1",Parameter!$H$5,IF(CG1704="L23",Parameter!$H$6+Parameter!$H$7,Parameter!$H$5+Parameter!$H$6+Parameter!$H$7))-(AY1704-AT1704))/AT1704)))</f>
        <v>0</v>
      </c>
      <c r="BA1704" s="62" t="n">
        <f aca="false">IF(LEFT(Cockpit!$O$5,1)="A",H1704,IF(Parameter!$E$30="MAX-Bestand",IF(CI1704=1,CJ1704,IF(LEFT(Cockpit!$O$5,1)="B",BG1704,MAX(BG1704,H1704))),ROUNDUP(BE1704,0)))</f>
        <v>3</v>
      </c>
      <c r="BB1704" s="62" t="n">
        <f aca="false">IF(CA1704=1,0,ROUNDUP(BA1704/BZ1704,0))</f>
        <v>1</v>
      </c>
      <c r="BC1704" s="64" t="n">
        <f aca="false">IF(CR1704&gt;0,CR1704*MAX(1,BA1704/X1704),IF(CA1704=1,IF(BA1704&lt;=0,0,CE1704*MAX(1,IF(H1704&gt;0,BA1704/H1704,1))),IF(R1704&gt;0,BB1704/R1704,0))/MAX(0.1,N(Parameter!$M$21)))</f>
        <v>0.00961538461538462</v>
      </c>
      <c r="BD1704" s="62" t="n">
        <f aca="false">BC1704*CC1704</f>
        <v>1.49038461538462</v>
      </c>
      <c r="BE1704" s="63" t="n">
        <f aca="false">IF(LEFT(Cockpit!$O$5,1)="A",H1704,IF(CI1704=1,(CL1704+CJ1704)/2,IF(LEFT(Cockpit!$O$5,1)="B",(CL1704+BG1704)/2,MAX((CL1704+BG1704)/2,H1704))))</f>
        <v>2.5</v>
      </c>
      <c r="BF1704" s="62" t="n">
        <f aca="false">BE1704*G1704</f>
        <v>92.5</v>
      </c>
      <c r="BG1704" s="62" t="n">
        <f aca="false">ROUNDUP(CL1704+MAX(CM1704,2*(J1704/IF(CH1704&gt;0,CH1704,MAX(0.1,N(Cockpit!$O$6)))-CL1704)),0)</f>
        <v>5</v>
      </c>
      <c r="BH1704" s="63" t="n">
        <f aca="false">IF(BD1704&gt;0,J1704/BD1704,-1)</f>
        <v>0</v>
      </c>
      <c r="BI1704" s="63" t="n">
        <f aca="false">IF(AND(OR(CG1704="L1",CG1704="L23",CG1704="LIFT"),BD1704&gt;0),SUMIFS($BD$7:$BD$1843,$CG$7:$CG$1843,CG1704,$BH$7:$BH$1843,"&gt;"&amp;BH1704)+SUMIFS($BD$7:$BD$1843,$CG$7:$CG$1843,CG1704,$BH$7:$BH$1843,BH1704,$BX$7:$BX$1843,"&lt;="&amp;BX1704),"")</f>
        <v>32515.0888304257</v>
      </c>
      <c r="BJ1704" s="70" t="n">
        <f aca="false">IF(BI1704="",0,MAX(0,MIN(1,(IF(CG1704="L1",Parameter!$H$5,IF(CG1704="L23",Parameter!$H$6+Parameter!$H$7,Parameter!$H$5+Parameter!$H$6+Parameter!$H$7))-(BI1704-BD1704))/BD1704)))</f>
        <v>1</v>
      </c>
      <c r="BK1704" s="60" t="str">
        <f aca="false">IF(AJ1704&lt;=0,"",IF(CG1704="Aussen","Aussenlager",IF(CG1704="-","Nicht im Lift",IF(AP1704&gt;=1,"Lift",IF(AP1704&lt;=0,"Aussenlager","teilweise")))))</f>
        <v>Lift</v>
      </c>
      <c r="BL1704" s="60" t="str">
        <f aca="false">IF(AT1704&lt;=0,"",IF(CG1704="Aussen","Aussenlager",IF(CG1704="-","Nicht im Lift",IF(AZ1704&gt;=1,"Lift",IF(AZ1704&lt;=0,"Aussenlager","teilweise")))))</f>
        <v>Aussenlager</v>
      </c>
      <c r="BM1704" s="60" t="str">
        <f aca="false">IF(BD1704&lt;=0,"",IF(CG1704="Aussen","Aussenlager",IF(CG1704="-","Nicht im Lift",IF(BJ1704&gt;=1,"Lift",IF(BJ1704&lt;=0,"Aussenlager","teilweise")))))</f>
        <v>Lift</v>
      </c>
      <c r="BN1704" s="60" t="str">
        <f aca="false">IF(A1704="","",IF(BW1704=1,"Neu; ","")&amp;IF(AND(BW1704=0,BR1704&lt;0),"negativer Bestand (Export "&amp;BR1704&amp;"); ","")&amp;IF(J1704&lt;=0,"Kein Verbrauch; ","")&amp;IF(CR1704&gt;0,"Lift "&amp;W1704&amp;" lt. Liftbericht (Fach "&amp;X1704&amp;" Stk); ",IF(CB1704=1,"Gebinde geschätzt ("&amp;T1704&amp;"); ",IF(CA1704=1,"Lose – Tablare geschätzt; ","")))&amp;IF(H1704&gt;AW1704,"Überbestand "&amp;ROUND(H1704-AW1704,0)&amp;" Stk / CHF "&amp;ROUND((H1704-AW1704)*G1704,0)&amp;"; ","")&amp;IF(AND(CI1704=1,CJ1704&lt;CK1704),"MAX &lt; MB+LG; ","")&amp;IF(AND(CQ1704&gt;0,CP1704*10&gt;CQ1704),"zu hoch für Tablar; ","")&amp;IF(AND(BW1704=0,OR(CI1704=1,AB1704&lt;&gt;"",U1704&lt;&gt;"",V1704&lt;&gt;"",AC1704&lt;&gt;"")),"manuell übersteuert; ","")&amp;IF(AND(CA1704=0,R1704=0),"Gebinde unbekannt / Stellmass fehlt; ","")&amp;IF(AND(CA1704=0,N(V1704)&lt;=0,N(Q1704)&lt;=0),"Menge pro Gebinde fehlt (Ist = 1 Gebinde); ","")&amp;BV1704)</f>
        <v>Kein Verbrauch; Überbestand 1 Stk / CHF 37; nur im Artikelstamm (Bestand 23.06.2026)</v>
      </c>
      <c r="BO1704" s="60"/>
      <c r="BP1704" s="60"/>
      <c r="BQ1704" s="67"/>
      <c r="BR1704" s="62" t="n">
        <v>6</v>
      </c>
      <c r="BS1704" s="62" t="n">
        <v>0</v>
      </c>
      <c r="BT1704" s="61" t="n">
        <v>0</v>
      </c>
      <c r="BU1704" s="62" t="n">
        <v>0</v>
      </c>
      <c r="BV1704" s="60" t="s">
        <v>2617</v>
      </c>
      <c r="BW1704" s="65" t="n">
        <v>0</v>
      </c>
      <c r="BX1704" s="65" t="n">
        <v>1704</v>
      </c>
      <c r="BY1704" s="60" t="str">
        <f aca="false">IF(U1704&lt;&gt;"",UPPER(TRIM(U1704)),IF(CB1704=1,UPPER(VLOOKUP(T1704,Parameter!$I$27:$K$29,2,0)),IF(P1704="","LOSE",P1704)))</f>
        <v>S32</v>
      </c>
      <c r="BZ1704" s="62" t="n">
        <f aca="false">IF(BY1704="LOSE",1,IF(N(V1704)&gt;0,V1704,IF(CB1704=1,MAX(1,N(VLOOKUP(T1704,Parameter!$I$27:$K$29,3,0)),H1704,N(N1704)),IF(N(Q1704)&gt;0,Q1704,MAX(1,H1704)))))</f>
        <v>3</v>
      </c>
      <c r="CA1704" s="65" t="n">
        <f aca="false">IF(BY1704="LOSE",1,0)</f>
        <v>0</v>
      </c>
      <c r="CB1704" s="65" t="n">
        <f aca="false">IF(AND(U1704="",OR(P1704="",P1704="LOSE"),T1704&lt;&gt;"",N(S1704)&lt;=0,ISNUMBER(MATCH(T1704,Parameter!$I$27:$I$29,0))),1,0)</f>
        <v>0</v>
      </c>
      <c r="CC1704" s="65" t="n">
        <f aca="false">IF(CR1704&gt;0,INDEX(Parameter!$H$5:$H$7,W1704)/INDEX(Parameter!$E$5:$E$7,W1704),IF(AND(CA1704=0,N(IFERROR(VLOOKUP(BY1704,'Gebinde-Kategorie'!$A$5:$N$45,14,0),0))&gt;0),VLOOKUP(BY1704,'Gebinde-Kategorie'!$A$5:$N$45,14,0)*10+Parameter!$M$23,Parameter!$M$24))</f>
        <v>155</v>
      </c>
      <c r="CD1704" s="60" t="str">
        <f aca="false">IF(AND(Parameter!$B$19="Ja",E1704&lt;&gt;"",ISNUMBER(MATCH(E1704,Parameter!$I$35:$I$52,0))),VLOOKUP(E1704,Parameter!$I$35:$J$52,2,0),IFERROR(VLOOKUP(D1704,Parameter!$A$35:$C$64,2,0),"Nein"))</f>
        <v>2+3</v>
      </c>
      <c r="CE1704" s="64" t="n">
        <f aca="false">IF(CA1704=0,0,IF(N(S1704)&gt;0,S1704,IFERROR(VLOOKUP(D1704,Parameter!$A$35:$C$64,3,0)+0,0)))</f>
        <v>0</v>
      </c>
      <c r="CF1704" s="60" t="n">
        <f aca="false">IF(AB1704&lt;&gt;"",AB1704,AA1704)</f>
        <v>3</v>
      </c>
      <c r="CG1704" s="60" t="str">
        <f aca="false">IF(OR(CF1704=1,CF1704=2,CF1704=3),IF(Parameter!$E$27="Ja","LIFT",IF(CF1704=1,"L1","L23")),IF(CF1704="Aussen","Aussen","-"))</f>
        <v>LIFT</v>
      </c>
      <c r="CH1704" s="71" t="n">
        <f aca="false">IF(N(AC1704)&gt;0,AC1704,0)</f>
        <v>0</v>
      </c>
      <c r="CI1704" s="65" t="n">
        <f aca="false">IF(ISNUMBER(AF1704),1,0)</f>
        <v>0</v>
      </c>
      <c r="CJ1704" s="62" t="n">
        <f aca="false">N(AF1704)</f>
        <v>0</v>
      </c>
      <c r="CK1704" s="62" t="n">
        <f aca="false">N(M1704)+N(N1704)</f>
        <v>5</v>
      </c>
      <c r="CL1704" s="62" t="n">
        <f aca="false">N(M1704)</f>
        <v>0</v>
      </c>
      <c r="CM1704" s="62" t="n">
        <f aca="false">N(N1704)</f>
        <v>5</v>
      </c>
      <c r="CN1704" s="62" t="n">
        <f aca="false">ROUNDUP(H1704/BZ1704,0)</f>
        <v>2</v>
      </c>
      <c r="CO1704" s="62" t="n">
        <f aca="false">ROUNDUP(CJ1704/BZ1704,0)</f>
        <v>0</v>
      </c>
      <c r="CP1704" s="65" t="n">
        <f aca="false">IF(CA1704=1,0,IFERROR(VLOOKUP(BY1704,'Gebinde-Kategorie'!$A$5:$N$45,5,0)+0,0))</f>
        <v>8</v>
      </c>
      <c r="CQ1704" s="65" t="n">
        <f aca="false">IFERROR(IF(OR(CF1704=1,CF1704=2,CF1704=3),N(INDEX(Parameter!$I$5:$I$7,CF1704)),0),0)</f>
        <v>0</v>
      </c>
      <c r="CR1704" s="64" t="n">
        <f aca="false">IF(AND(Parameter!$B$21="Ja",ISNUMBER(W1704),N(X1704)&gt;0),IFERROR(N(INDEX(Parameter!$L$5:$L$7,W1704))*INDEX(Parameter!$E$5:$E$7,W1704)*X1704/SUMIFS($X$7:$X$1843,$W$7:$W$1843,W1704),0),0)</f>
        <v>0</v>
      </c>
      <c r="CS1704" s="62" t="n">
        <f aca="false">IF(AND(OR(CG1704="L1",CG1704="L23",CG1704="LIFT"),H1704&gt;0),CC1704*IF(CR1704&gt;0,CR1704*MAX(1,H1704/X1704),IF(CA1704=1,CE1704,IF(R1704&gt;0,CN1704/R1704,0))/MAX(0.1,N(Parameter!$M$21))),"")</f>
        <v>2.98076923076923</v>
      </c>
      <c r="CT1704" s="64" t="n">
        <f aca="false">IF(CS1704="","",J1704/H1704)</f>
        <v>0</v>
      </c>
      <c r="CU1704" s="62" t="n">
        <f aca="false">IF(CS1704="","",H1704*G1704)</f>
        <v>222</v>
      </c>
      <c r="CV1704" s="63" t="n">
        <f aca="false">IF(CS1704="","",(CL1704+ROUNDUP(CL1704+MAX(CM1704,2*(J1704/MAX(0.1,N(Einkauf!$C$6))-CL1704)),0))/2)</f>
        <v>2.5</v>
      </c>
      <c r="CW1704" s="62" t="n">
        <f aca="false">IF(CS1704="","",MAX(0,H1704-CV1704)*G1704)</f>
        <v>129.5</v>
      </c>
      <c r="CX1704" s="62" t="n">
        <f aca="false">IF(CS1704="","",CS1704*MAX(0,1-CV1704/H1704))</f>
        <v>1.73878205128205</v>
      </c>
      <c r="CY1704" s="64" t="n">
        <f aca="false">IF(CS1704="","",PERCENTRANK($CS$7:$CS$1843,CS1704)+PERCENTRANK($CU$7:$CU$1843,CU1704)+1-PERCENTRANK($CT$7:$CT$1843,CT1704))</f>
        <v>1.567</v>
      </c>
      <c r="CZ1704" s="72" t="n">
        <f aca="false">IF(CS1704="","",CHOOSE(MATCH(Einkauf!$C$5,Parameter!$G$23:$G$27,0),CY1704,CS1704,CU1704,-CT1704,CW1704)+ROW()/1000000000)</f>
        <v>1.567001704</v>
      </c>
    </row>
    <row r="1705" customFormat="false" ht="15" hidden="false" customHeight="false" outlineLevel="0" collapsed="false">
      <c r="A1705" s="60" t="s">
        <v>2992</v>
      </c>
      <c r="B1705" s="60" t="s">
        <v>2993</v>
      </c>
      <c r="C1705" s="60" t="s">
        <v>206</v>
      </c>
      <c r="D1705" s="60" t="s">
        <v>226</v>
      </c>
      <c r="E1705" s="60"/>
      <c r="F1705" s="60"/>
      <c r="G1705" s="61" t="n">
        <v>2.38</v>
      </c>
      <c r="H1705" s="62" t="n">
        <f aca="false">MAX(0,IF(AND(Parameter!$B$21="Ja",ISNUMBER(Y1705)),Y1705,IF(Parameter!$B$20="Jahresanfang 2025 + Export",BS1705+BR1705,BR1705)))</f>
        <v>110</v>
      </c>
      <c r="I1705" s="62" t="n">
        <f aca="false">H1705*G1705</f>
        <v>261.8</v>
      </c>
      <c r="J1705" s="62" t="n">
        <f aca="false">BU1705*Parameter!$B$18</f>
        <v>0</v>
      </c>
      <c r="K1705" s="63"/>
      <c r="L1705" s="64"/>
      <c r="M1705" s="62" t="n">
        <v>0</v>
      </c>
      <c r="N1705" s="62" t="n">
        <v>100</v>
      </c>
      <c r="O1705" s="65" t="n">
        <v>28</v>
      </c>
      <c r="P1705" s="60" t="s">
        <v>518</v>
      </c>
      <c r="Q1705" s="62" t="n">
        <v>110</v>
      </c>
      <c r="R1705" s="65" t="n">
        <f aca="false">IF(CA1705=1,0,IFERROR(VLOOKUP(BY1705,'Gebinde-Kategorie'!$A$5:$N$45,13,0)+0,0))</f>
        <v>52</v>
      </c>
      <c r="S1705" s="66"/>
      <c r="T1705" s="67"/>
      <c r="U1705" s="67"/>
      <c r="V1705" s="67"/>
      <c r="W1705" s="60"/>
      <c r="X1705" s="62"/>
      <c r="Y1705" s="62"/>
      <c r="Z1705" s="60" t="n">
        <v>2</v>
      </c>
      <c r="AA1705" s="60" t="n">
        <f aca="false">IF(A1705="","",IF(AND(Parameter!$B$21="Ja",ISNUMBER(W1705)),W1705,IF(AND(Parameter!$E$27="Ja",ISNUMBER(Z1705),CD1705&lt;&gt;"Nein"),Z1705,IF(CD1705="2+3",IF(ISNUMBER(SEARCH("grosser Artikel",BV1705)),2,IFERROR(VLOOKUP(BY1705,Parameter!$F$35:$G$64,2,0),2)),IF(OR(CD1705="Nein",CD1705=""),"-",CD1705)))))</f>
        <v>2</v>
      </c>
      <c r="AB1705" s="67"/>
      <c r="AC1705" s="68"/>
      <c r="AD1705" s="62" t="n">
        <f aca="false">AW1705</f>
        <v>100</v>
      </c>
      <c r="AE1705" s="62" t="n">
        <f aca="false">MAX(AW1705,H1705)</f>
        <v>110</v>
      </c>
      <c r="AF1705" s="69"/>
      <c r="AG1705" s="62" t="n">
        <f aca="false">IF(LEFT(Cockpit!$C$5,1)="A",H1705,IF(Parameter!$E$30="MAX-Bestand",IF(CI1705=1,CJ1705,IF(LEFT(Cockpit!$C$5,1)="B",AM1705,MAX(AM1705,H1705))),ROUNDUP(AK1705,0)))</f>
        <v>110</v>
      </c>
      <c r="AH1705" s="62" t="n">
        <f aca="false">IF(CA1705=1,0,ROUNDUP(AG1705/BZ1705,0))</f>
        <v>1</v>
      </c>
      <c r="AI1705" s="64" t="n">
        <f aca="false">IF(CR1705&gt;0,CR1705*MAX(1,AG1705/X1705),IF(CA1705=1,IF(AG1705&lt;=0,0,CE1705*MAX(1,IF(H1705&gt;0,AG1705/H1705,1))),IF(R1705&gt;0,AH1705/R1705,0))/MAX(0.1,N(Parameter!$M$21)))</f>
        <v>0.0192307692307692</v>
      </c>
      <c r="AJ1705" s="62" t="n">
        <f aca="false">AI1705*CC1705</f>
        <v>2.98076923076923</v>
      </c>
      <c r="AK1705" s="63" t="n">
        <f aca="false">IF(LEFT(Cockpit!$C$5,1)="A",H1705,IF(CI1705=1,(CL1705+CJ1705)/2,IF(LEFT(Cockpit!$C$5,1)="B",(CL1705+AM1705)/2,MAX((CL1705+AM1705)/2,H1705))))</f>
        <v>110</v>
      </c>
      <c r="AL1705" s="62" t="n">
        <f aca="false">AK1705*G1705</f>
        <v>261.8</v>
      </c>
      <c r="AM1705" s="62" t="n">
        <f aca="false">ROUNDUP(CL1705+MAX(CM1705,2*(J1705/IF(CH1705&gt;0,CH1705,MAX(0.1,N(Cockpit!$C$6)))-CL1705)),0)</f>
        <v>100</v>
      </c>
      <c r="AN1705" s="63" t="n">
        <f aca="false">IF(AJ1705&gt;0,J1705/AJ1705,-1)</f>
        <v>0</v>
      </c>
      <c r="AO1705" s="63" t="n">
        <f aca="false">IF(AND(OR(CG1705="L1",CG1705="L23",CG1705="LIFT"),AJ1705&gt;0),SUMIFS($AJ$7:$AJ$1843,$CG$7:$CG$1843,CG1705,$AN$7:$AN$1843,"&gt;"&amp;AN1705)+SUMIFS($AJ$7:$AJ$1843,$CG$7:$CG$1843,CG1705,$AN$7:$AN$1843,AN1705,$BX$7:$BX$1843,"&lt;="&amp;BX1705),"")</f>
        <v>32808.9602217462</v>
      </c>
      <c r="AP1705" s="70" t="n">
        <f aca="false">IF(AO1705="",0,MAX(0,MIN(1,(IF(CG1705="L1",Parameter!$H$5,IF(CG1705="L23",Parameter!$H$6+Parameter!$H$7,Parameter!$H$5+Parameter!$H$6+Parameter!$H$7))-(AO1705-AJ1705))/AJ1705)))</f>
        <v>1</v>
      </c>
      <c r="AQ1705" s="62" t="n">
        <f aca="false">IF(LEFT(Cockpit!$I$5,1)="A",H1705,IF(Parameter!$E$30="MAX-Bestand",IF(CI1705=1,CJ1705,IF(LEFT(Cockpit!$I$5,1)="B",AW1705,MAX(AW1705,H1705))),ROUNDUP(AU1705,0)))</f>
        <v>110</v>
      </c>
      <c r="AR1705" s="62" t="n">
        <f aca="false">IF(CA1705=1,0,ROUNDUP(AQ1705/BZ1705,0))</f>
        <v>1</v>
      </c>
      <c r="AS1705" s="64" t="n">
        <f aca="false">IF(CR1705&gt;0,CR1705*MAX(1,AQ1705/X1705),IF(CA1705=1,IF(AQ1705&lt;=0,0,CE1705*MAX(1,IF(H1705&gt;0,AQ1705/H1705,1))),IF(R1705&gt;0,AR1705/R1705,0))/MAX(0.1,N(Parameter!$M$21)))</f>
        <v>0.0192307692307692</v>
      </c>
      <c r="AT1705" s="62" t="n">
        <f aca="false">AS1705*CC1705</f>
        <v>2.98076923076923</v>
      </c>
      <c r="AU1705" s="63" t="n">
        <f aca="false">IF(LEFT(Cockpit!$I$5,1)="A",H1705,IF(CI1705=1,(CL1705+CJ1705)/2,IF(LEFT(Cockpit!$I$5,1)="B",(CL1705+AW1705)/2,MAX((CL1705+AW1705)/2,H1705))))</f>
        <v>110</v>
      </c>
      <c r="AV1705" s="62" t="n">
        <f aca="false">AU1705*G1705</f>
        <v>261.8</v>
      </c>
      <c r="AW1705" s="62" t="n">
        <f aca="false">ROUNDUP(CL1705+MAX(CM1705,2*(J1705/IF(CH1705&gt;0,CH1705,MAX(0.1,N(Cockpit!$I$6)))-CL1705)),0)</f>
        <v>100</v>
      </c>
      <c r="AX1705" s="63" t="n">
        <f aca="false">IF(AT1705&gt;0,J1705/AT1705,-1)</f>
        <v>0</v>
      </c>
      <c r="AY1705" s="63" t="n">
        <f aca="false">IF(AND(OR(CG1705="L1",CG1705="L23",CG1705="LIFT"),AT1705&gt;0),SUMIFS($AT$7:$AT$1843,$CG$7:$CG$1843,CG1705,$AX$7:$AX$1843,"&gt;"&amp;AX1705)+SUMIFS($AT$7:$AT$1843,$CG$7:$CG$1843,CG1705,$AX$7:$AX$1843,AX1705,$BX$7:$BX$1843,"&lt;="&amp;BX1705),"")</f>
        <v>39281.2084523292</v>
      </c>
      <c r="AZ1705" s="70" t="n">
        <f aca="false">IF(AY1705="",0,MAX(0,MIN(1,(IF(CG1705="L1",Parameter!$H$5,IF(CG1705="L23",Parameter!$H$6+Parameter!$H$7,Parameter!$H$5+Parameter!$H$6+Parameter!$H$7))-(AY1705-AT1705))/AT1705)))</f>
        <v>0</v>
      </c>
      <c r="BA1705" s="62" t="n">
        <f aca="false">IF(LEFT(Cockpit!$O$5,1)="A",H1705,IF(Parameter!$E$30="MAX-Bestand",IF(CI1705=1,CJ1705,IF(LEFT(Cockpit!$O$5,1)="B",BG1705,MAX(BG1705,H1705))),ROUNDUP(BE1705,0)))</f>
        <v>50</v>
      </c>
      <c r="BB1705" s="62" t="n">
        <f aca="false">IF(CA1705=1,0,ROUNDUP(BA1705/BZ1705,0))</f>
        <v>1</v>
      </c>
      <c r="BC1705" s="64" t="n">
        <f aca="false">IF(CR1705&gt;0,CR1705*MAX(1,BA1705/X1705),IF(CA1705=1,IF(BA1705&lt;=0,0,CE1705*MAX(1,IF(H1705&gt;0,BA1705/H1705,1))),IF(R1705&gt;0,BB1705/R1705,0))/MAX(0.1,N(Parameter!$M$21)))</f>
        <v>0.0192307692307692</v>
      </c>
      <c r="BD1705" s="62" t="n">
        <f aca="false">BC1705*CC1705</f>
        <v>2.98076923076923</v>
      </c>
      <c r="BE1705" s="63" t="n">
        <f aca="false">IF(LEFT(Cockpit!$O$5,1)="A",H1705,IF(CI1705=1,(CL1705+CJ1705)/2,IF(LEFT(Cockpit!$O$5,1)="B",(CL1705+BG1705)/2,MAX((CL1705+BG1705)/2,H1705))))</f>
        <v>50</v>
      </c>
      <c r="BF1705" s="62" t="n">
        <f aca="false">BE1705*G1705</f>
        <v>119</v>
      </c>
      <c r="BG1705" s="62" t="n">
        <f aca="false">ROUNDUP(CL1705+MAX(CM1705,2*(J1705/IF(CH1705&gt;0,CH1705,MAX(0.1,N(Cockpit!$O$6)))-CL1705)),0)</f>
        <v>100</v>
      </c>
      <c r="BH1705" s="63" t="n">
        <f aca="false">IF(BD1705&gt;0,J1705/BD1705,-1)</f>
        <v>0</v>
      </c>
      <c r="BI1705" s="63" t="n">
        <f aca="false">IF(AND(OR(CG1705="L1",CG1705="L23",CG1705="LIFT"),BD1705&gt;0),SUMIFS($BD$7:$BD$1843,$CG$7:$CG$1843,CG1705,$BH$7:$BH$1843,"&gt;"&amp;BH1705)+SUMIFS($BD$7:$BD$1843,$CG$7:$CG$1843,CG1705,$BH$7:$BH$1843,BH1705,$BX$7:$BX$1843,"&lt;="&amp;BX1705),"")</f>
        <v>32518.0695996565</v>
      </c>
      <c r="BJ1705" s="70" t="n">
        <f aca="false">IF(BI1705="",0,MAX(0,MIN(1,(IF(CG1705="L1",Parameter!$H$5,IF(CG1705="L23",Parameter!$H$6+Parameter!$H$7,Parameter!$H$5+Parameter!$H$6+Parameter!$H$7))-(BI1705-BD1705))/BD1705)))</f>
        <v>1</v>
      </c>
      <c r="BK1705" s="60" t="str">
        <f aca="false">IF(AJ1705&lt;=0,"",IF(CG1705="Aussen","Aussenlager",IF(CG1705="-","Nicht im Lift",IF(AP1705&gt;=1,"Lift",IF(AP1705&lt;=0,"Aussenlager","teilweise")))))</f>
        <v>Lift</v>
      </c>
      <c r="BL1705" s="60" t="str">
        <f aca="false">IF(AT1705&lt;=0,"",IF(CG1705="Aussen","Aussenlager",IF(CG1705="-","Nicht im Lift",IF(AZ1705&gt;=1,"Lift",IF(AZ1705&lt;=0,"Aussenlager","teilweise")))))</f>
        <v>Aussenlager</v>
      </c>
      <c r="BM1705" s="60" t="str">
        <f aca="false">IF(BD1705&lt;=0,"",IF(CG1705="Aussen","Aussenlager",IF(CG1705="-","Nicht im Lift",IF(BJ1705&gt;=1,"Lift",IF(BJ1705&lt;=0,"Aussenlager","teilweise")))))</f>
        <v>Lift</v>
      </c>
      <c r="BN1705" s="60" t="str">
        <f aca="false">IF(A1705="","",IF(BW1705=1,"Neu; ","")&amp;IF(AND(BW1705=0,BR1705&lt;0),"negativer Bestand (Export "&amp;BR1705&amp;"); ","")&amp;IF(J1705&lt;=0,"Kein Verbrauch; ","")&amp;IF(CR1705&gt;0,"Lift "&amp;W1705&amp;" lt. Liftbericht (Fach "&amp;X1705&amp;" Stk); ",IF(CB1705=1,"Gebinde geschätzt ("&amp;T1705&amp;"); ",IF(CA1705=1,"Lose – Tablare geschätzt; ","")))&amp;IF(H1705&gt;AW1705,"Überbestand "&amp;ROUND(H1705-AW1705,0)&amp;" Stk / CHF "&amp;ROUND((H1705-AW1705)*G1705,0)&amp;"; ","")&amp;IF(AND(CI1705=1,CJ1705&lt;CK1705),"MAX &lt; MB+LG; ","")&amp;IF(AND(CQ1705&gt;0,CP1705*10&gt;CQ1705),"zu hoch für Tablar; ","")&amp;IF(AND(BW1705=0,OR(CI1705=1,AB1705&lt;&gt;"",U1705&lt;&gt;"",V1705&lt;&gt;"",AC1705&lt;&gt;"")),"manuell übersteuert; ","")&amp;IF(AND(CA1705=0,R1705=0),"Gebinde unbekannt / Stellmass fehlt; ","")&amp;IF(AND(CA1705=0,N(V1705)&lt;=0,N(Q1705)&lt;=0),"Menge pro Gebinde fehlt (Ist = 1 Gebinde); ","")&amp;BV1705)</f>
        <v>Kein Verbrauch; Überbestand 10 Stk / CHF 24; nur im Artikelstamm (Bestand 23.06.2026)</v>
      </c>
      <c r="BO1705" s="60"/>
      <c r="BP1705" s="60"/>
      <c r="BQ1705" s="67"/>
      <c r="BR1705" s="62" t="n">
        <v>110</v>
      </c>
      <c r="BS1705" s="62" t="n">
        <v>0</v>
      </c>
      <c r="BT1705" s="61" t="n">
        <v>0</v>
      </c>
      <c r="BU1705" s="62" t="n">
        <v>0</v>
      </c>
      <c r="BV1705" s="60" t="s">
        <v>2617</v>
      </c>
      <c r="BW1705" s="65" t="n">
        <v>0</v>
      </c>
      <c r="BX1705" s="65" t="n">
        <v>1705</v>
      </c>
      <c r="BY1705" s="60" t="str">
        <f aca="false">IF(U1705&lt;&gt;"",UPPER(TRIM(U1705)),IF(CB1705=1,UPPER(VLOOKUP(T1705,Parameter!$I$27:$K$29,2,0)),IF(P1705="","LOSE",P1705)))</f>
        <v>S33</v>
      </c>
      <c r="BZ1705" s="62" t="n">
        <f aca="false">IF(BY1705="LOSE",1,IF(N(V1705)&gt;0,V1705,IF(CB1705=1,MAX(1,N(VLOOKUP(T1705,Parameter!$I$27:$K$29,3,0)),H1705,N(N1705)),IF(N(Q1705)&gt;0,Q1705,MAX(1,H1705)))))</f>
        <v>110</v>
      </c>
      <c r="CA1705" s="65" t="n">
        <f aca="false">IF(BY1705="LOSE",1,0)</f>
        <v>0</v>
      </c>
      <c r="CB1705" s="65" t="n">
        <f aca="false">IF(AND(U1705="",OR(P1705="",P1705="LOSE"),T1705&lt;&gt;"",N(S1705)&lt;=0,ISNUMBER(MATCH(T1705,Parameter!$I$27:$I$29,0))),1,0)</f>
        <v>0</v>
      </c>
      <c r="CC1705" s="65" t="n">
        <f aca="false">IF(CR1705&gt;0,INDEX(Parameter!$H$5:$H$7,W1705)/INDEX(Parameter!$E$5:$E$7,W1705),IF(AND(CA1705=0,N(IFERROR(VLOOKUP(BY1705,'Gebinde-Kategorie'!$A$5:$N$45,14,0),0))&gt;0),VLOOKUP(BY1705,'Gebinde-Kategorie'!$A$5:$N$45,14,0)*10+Parameter!$M$23,Parameter!$M$24))</f>
        <v>155</v>
      </c>
      <c r="CD1705" s="60" t="str">
        <f aca="false">IF(AND(Parameter!$B$19="Ja",E1705&lt;&gt;"",ISNUMBER(MATCH(E1705,Parameter!$I$35:$I$52,0))),VLOOKUP(E1705,Parameter!$I$35:$J$52,2,0),IFERROR(VLOOKUP(D1705,Parameter!$A$35:$C$64,2,0),"Nein"))</f>
        <v>2+3</v>
      </c>
      <c r="CE1705" s="64" t="n">
        <f aca="false">IF(CA1705=0,0,IF(N(S1705)&gt;0,S1705,IFERROR(VLOOKUP(D1705,Parameter!$A$35:$C$64,3,0)+0,0)))</f>
        <v>0</v>
      </c>
      <c r="CF1705" s="60" t="n">
        <f aca="false">IF(AB1705&lt;&gt;"",AB1705,AA1705)</f>
        <v>2</v>
      </c>
      <c r="CG1705" s="60" t="str">
        <f aca="false">IF(OR(CF1705=1,CF1705=2,CF1705=3),IF(Parameter!$E$27="Ja","LIFT",IF(CF1705=1,"L1","L23")),IF(CF1705="Aussen","Aussen","-"))</f>
        <v>LIFT</v>
      </c>
      <c r="CH1705" s="71" t="n">
        <f aca="false">IF(N(AC1705)&gt;0,AC1705,0)</f>
        <v>0</v>
      </c>
      <c r="CI1705" s="65" t="n">
        <f aca="false">IF(ISNUMBER(AF1705),1,0)</f>
        <v>0</v>
      </c>
      <c r="CJ1705" s="62" t="n">
        <f aca="false">N(AF1705)</f>
        <v>0</v>
      </c>
      <c r="CK1705" s="62" t="n">
        <f aca="false">N(M1705)+N(N1705)</f>
        <v>100</v>
      </c>
      <c r="CL1705" s="62" t="n">
        <f aca="false">N(M1705)</f>
        <v>0</v>
      </c>
      <c r="CM1705" s="62" t="n">
        <f aca="false">N(N1705)</f>
        <v>100</v>
      </c>
      <c r="CN1705" s="62" t="n">
        <f aca="false">ROUNDUP(H1705/BZ1705,0)</f>
        <v>1</v>
      </c>
      <c r="CO1705" s="62" t="n">
        <f aca="false">ROUNDUP(CJ1705/BZ1705,0)</f>
        <v>0</v>
      </c>
      <c r="CP1705" s="65" t="n">
        <f aca="false">IF(CA1705=1,0,IFERROR(VLOOKUP(BY1705,'Gebinde-Kategorie'!$A$5:$N$45,5,0)+0,0))</f>
        <v>8</v>
      </c>
      <c r="CQ1705" s="65" t="n">
        <f aca="false">IFERROR(IF(OR(CF1705=1,CF1705=2,CF1705=3),N(INDEX(Parameter!$I$5:$I$7,CF1705)),0),0)</f>
        <v>0</v>
      </c>
      <c r="CR1705" s="64" t="n">
        <f aca="false">IF(AND(Parameter!$B$21="Ja",ISNUMBER(W1705),N(X1705)&gt;0),IFERROR(N(INDEX(Parameter!$L$5:$L$7,W1705))*INDEX(Parameter!$E$5:$E$7,W1705)*X1705/SUMIFS($X$7:$X$1843,$W$7:$W$1843,W1705),0),0)</f>
        <v>0</v>
      </c>
      <c r="CS1705" s="62" t="n">
        <f aca="false">IF(AND(OR(CG1705="L1",CG1705="L23",CG1705="LIFT"),H1705&gt;0),CC1705*IF(CR1705&gt;0,CR1705*MAX(1,H1705/X1705),IF(CA1705=1,CE1705,IF(R1705&gt;0,CN1705/R1705,0))/MAX(0.1,N(Parameter!$M$21))),"")</f>
        <v>2.98076923076923</v>
      </c>
      <c r="CT1705" s="64" t="n">
        <f aca="false">IF(CS1705="","",J1705/H1705)</f>
        <v>0</v>
      </c>
      <c r="CU1705" s="62" t="n">
        <f aca="false">IF(CS1705="","",H1705*G1705)</f>
        <v>261.8</v>
      </c>
      <c r="CV1705" s="63" t="n">
        <f aca="false">IF(CS1705="","",(CL1705+ROUNDUP(CL1705+MAX(CM1705,2*(J1705/MAX(0.1,N(Einkauf!$C$6))-CL1705)),0))/2)</f>
        <v>50</v>
      </c>
      <c r="CW1705" s="62" t="n">
        <f aca="false">IF(CS1705="","",MAX(0,H1705-CV1705)*G1705)</f>
        <v>142.8</v>
      </c>
      <c r="CX1705" s="62" t="n">
        <f aca="false">IF(CS1705="","",CS1705*MAX(0,1-CV1705/H1705))</f>
        <v>1.62587412587413</v>
      </c>
      <c r="CY1705" s="64" t="n">
        <f aca="false">IF(CS1705="","",PERCENTRANK($CS$7:$CS$1843,CS1705)+PERCENTRANK($CU$7:$CU$1843,CU1705)+1-PERCENTRANK($CT$7:$CT$1843,CT1705))</f>
        <v>1.596</v>
      </c>
      <c r="CZ1705" s="72" t="n">
        <f aca="false">IF(CS1705="","",CHOOSE(MATCH(Einkauf!$C$5,Parameter!$G$23:$G$27,0),CY1705,CS1705,CU1705,-CT1705,CW1705)+ROW()/1000000000)</f>
        <v>1.596001705</v>
      </c>
    </row>
    <row r="1706" customFormat="false" ht="15" hidden="false" customHeight="false" outlineLevel="0" collapsed="false">
      <c r="A1706" s="60" t="s">
        <v>2994</v>
      </c>
      <c r="B1706" s="60" t="s">
        <v>2995</v>
      </c>
      <c r="C1706" s="60" t="s">
        <v>206</v>
      </c>
      <c r="D1706" s="60" t="s">
        <v>226</v>
      </c>
      <c r="E1706" s="60"/>
      <c r="F1706" s="60"/>
      <c r="G1706" s="61" t="n">
        <v>0.76</v>
      </c>
      <c r="H1706" s="62" t="n">
        <f aca="false">MAX(0,IF(AND(Parameter!$B$21="Ja",ISNUMBER(Y1706)),Y1706,IF(Parameter!$B$20="Jahresanfang 2025 + Export",BS1706+BR1706,BR1706)))</f>
        <v>30</v>
      </c>
      <c r="I1706" s="62" t="n">
        <f aca="false">H1706*G1706</f>
        <v>22.8</v>
      </c>
      <c r="J1706" s="62" t="n">
        <f aca="false">BU1706*Parameter!$B$18</f>
        <v>0</v>
      </c>
      <c r="K1706" s="63"/>
      <c r="L1706" s="64"/>
      <c r="M1706" s="62" t="n">
        <v>0</v>
      </c>
      <c r="N1706" s="62" t="n">
        <v>10</v>
      </c>
      <c r="O1706" s="65" t="n">
        <v>21</v>
      </c>
      <c r="P1706" s="60" t="s">
        <v>518</v>
      </c>
      <c r="Q1706" s="62" t="n">
        <v>30</v>
      </c>
      <c r="R1706" s="65" t="n">
        <f aca="false">IF(CA1706=1,0,IFERROR(VLOOKUP(BY1706,'Gebinde-Kategorie'!$A$5:$N$45,13,0)+0,0))</f>
        <v>52</v>
      </c>
      <c r="S1706" s="66"/>
      <c r="T1706" s="67"/>
      <c r="U1706" s="67"/>
      <c r="V1706" s="67"/>
      <c r="W1706" s="60"/>
      <c r="X1706" s="62"/>
      <c r="Y1706" s="62"/>
      <c r="Z1706" s="60" t="n">
        <v>2</v>
      </c>
      <c r="AA1706" s="60" t="n">
        <f aca="false">IF(A1706="","",IF(AND(Parameter!$B$21="Ja",ISNUMBER(W1706)),W1706,IF(AND(Parameter!$E$27="Ja",ISNUMBER(Z1706),CD1706&lt;&gt;"Nein"),Z1706,IF(CD1706="2+3",IF(ISNUMBER(SEARCH("grosser Artikel",BV1706)),2,IFERROR(VLOOKUP(BY1706,Parameter!$F$35:$G$64,2,0),2)),IF(OR(CD1706="Nein",CD1706=""),"-",CD1706)))))</f>
        <v>2</v>
      </c>
      <c r="AB1706" s="67"/>
      <c r="AC1706" s="68"/>
      <c r="AD1706" s="62" t="n">
        <f aca="false">AW1706</f>
        <v>10</v>
      </c>
      <c r="AE1706" s="62" t="n">
        <f aca="false">MAX(AW1706,H1706)</f>
        <v>30</v>
      </c>
      <c r="AF1706" s="69"/>
      <c r="AG1706" s="62" t="n">
        <f aca="false">IF(LEFT(Cockpit!$C$5,1)="A",H1706,IF(Parameter!$E$30="MAX-Bestand",IF(CI1706=1,CJ1706,IF(LEFT(Cockpit!$C$5,1)="B",AM1706,MAX(AM1706,H1706))),ROUNDUP(AK1706,0)))</f>
        <v>30</v>
      </c>
      <c r="AH1706" s="62" t="n">
        <f aca="false">IF(CA1706=1,0,ROUNDUP(AG1706/BZ1706,0))</f>
        <v>1</v>
      </c>
      <c r="AI1706" s="64" t="n">
        <f aca="false">IF(CR1706&gt;0,CR1706*MAX(1,AG1706/X1706),IF(CA1706=1,IF(AG1706&lt;=0,0,CE1706*MAX(1,IF(H1706&gt;0,AG1706/H1706,1))),IF(R1706&gt;0,AH1706/R1706,0))/MAX(0.1,N(Parameter!$M$21)))</f>
        <v>0.0192307692307692</v>
      </c>
      <c r="AJ1706" s="62" t="n">
        <f aca="false">AI1706*CC1706</f>
        <v>2.98076923076923</v>
      </c>
      <c r="AK1706" s="63" t="n">
        <f aca="false">IF(LEFT(Cockpit!$C$5,1)="A",H1706,IF(CI1706=1,(CL1706+CJ1706)/2,IF(LEFT(Cockpit!$C$5,1)="B",(CL1706+AM1706)/2,MAX((CL1706+AM1706)/2,H1706))))</f>
        <v>30</v>
      </c>
      <c r="AL1706" s="62" t="n">
        <f aca="false">AK1706*G1706</f>
        <v>22.8</v>
      </c>
      <c r="AM1706" s="62" t="n">
        <f aca="false">ROUNDUP(CL1706+MAX(CM1706,2*(J1706/IF(CH1706&gt;0,CH1706,MAX(0.1,N(Cockpit!$C$6)))-CL1706)),0)</f>
        <v>10</v>
      </c>
      <c r="AN1706" s="63" t="n">
        <f aca="false">IF(AJ1706&gt;0,J1706/AJ1706,-1)</f>
        <v>0</v>
      </c>
      <c r="AO1706" s="63" t="n">
        <f aca="false">IF(AND(OR(CG1706="L1",CG1706="L23",CG1706="LIFT"),AJ1706&gt;0),SUMIFS($AJ$7:$AJ$1843,$CG$7:$CG$1843,CG1706,$AN$7:$AN$1843,"&gt;"&amp;AN1706)+SUMIFS($AJ$7:$AJ$1843,$CG$7:$CG$1843,CG1706,$AN$7:$AN$1843,AN1706,$BX$7:$BX$1843,"&lt;="&amp;BX1706),"")</f>
        <v>32811.940990977</v>
      </c>
      <c r="AP1706" s="70" t="n">
        <f aca="false">IF(AO1706="",0,MAX(0,MIN(1,(IF(CG1706="L1",Parameter!$H$5,IF(CG1706="L23",Parameter!$H$6+Parameter!$H$7,Parameter!$H$5+Parameter!$H$6+Parameter!$H$7))-(AO1706-AJ1706))/AJ1706)))</f>
        <v>1</v>
      </c>
      <c r="AQ1706" s="62" t="n">
        <f aca="false">IF(LEFT(Cockpit!$I$5,1)="A",H1706,IF(Parameter!$E$30="MAX-Bestand",IF(CI1706=1,CJ1706,IF(LEFT(Cockpit!$I$5,1)="B",AW1706,MAX(AW1706,H1706))),ROUNDUP(AU1706,0)))</f>
        <v>30</v>
      </c>
      <c r="AR1706" s="62" t="n">
        <f aca="false">IF(CA1706=1,0,ROUNDUP(AQ1706/BZ1706,0))</f>
        <v>1</v>
      </c>
      <c r="AS1706" s="64" t="n">
        <f aca="false">IF(CR1706&gt;0,CR1706*MAX(1,AQ1706/X1706),IF(CA1706=1,IF(AQ1706&lt;=0,0,CE1706*MAX(1,IF(H1706&gt;0,AQ1706/H1706,1))),IF(R1706&gt;0,AR1706/R1706,0))/MAX(0.1,N(Parameter!$M$21)))</f>
        <v>0.0192307692307692</v>
      </c>
      <c r="AT1706" s="62" t="n">
        <f aca="false">AS1706*CC1706</f>
        <v>2.98076923076923</v>
      </c>
      <c r="AU1706" s="63" t="n">
        <f aca="false">IF(LEFT(Cockpit!$I$5,1)="A",H1706,IF(CI1706=1,(CL1706+CJ1706)/2,IF(LEFT(Cockpit!$I$5,1)="B",(CL1706+AW1706)/2,MAX((CL1706+AW1706)/2,H1706))))</f>
        <v>30</v>
      </c>
      <c r="AV1706" s="62" t="n">
        <f aca="false">AU1706*G1706</f>
        <v>22.8</v>
      </c>
      <c r="AW1706" s="62" t="n">
        <f aca="false">ROUNDUP(CL1706+MAX(CM1706,2*(J1706/IF(CH1706&gt;0,CH1706,MAX(0.1,N(Cockpit!$I$6)))-CL1706)),0)</f>
        <v>10</v>
      </c>
      <c r="AX1706" s="63" t="n">
        <f aca="false">IF(AT1706&gt;0,J1706/AT1706,-1)</f>
        <v>0</v>
      </c>
      <c r="AY1706" s="63" t="n">
        <f aca="false">IF(AND(OR(CG1706="L1",CG1706="L23",CG1706="LIFT"),AT1706&gt;0),SUMIFS($AT$7:$AT$1843,$CG$7:$CG$1843,CG1706,$AX$7:$AX$1843,"&gt;"&amp;AX1706)+SUMIFS($AT$7:$AT$1843,$CG$7:$CG$1843,CG1706,$AX$7:$AX$1843,AX1706,$BX$7:$BX$1843,"&lt;="&amp;BX1706),"")</f>
        <v>39284.18922156</v>
      </c>
      <c r="AZ1706" s="70" t="n">
        <f aca="false">IF(AY1706="",0,MAX(0,MIN(1,(IF(CG1706="L1",Parameter!$H$5,IF(CG1706="L23",Parameter!$H$6+Parameter!$H$7,Parameter!$H$5+Parameter!$H$6+Parameter!$H$7))-(AY1706-AT1706))/AT1706)))</f>
        <v>0</v>
      </c>
      <c r="BA1706" s="62" t="n">
        <f aca="false">IF(LEFT(Cockpit!$O$5,1)="A",H1706,IF(Parameter!$E$30="MAX-Bestand",IF(CI1706=1,CJ1706,IF(LEFT(Cockpit!$O$5,1)="B",BG1706,MAX(BG1706,H1706))),ROUNDUP(BE1706,0)))</f>
        <v>5</v>
      </c>
      <c r="BB1706" s="62" t="n">
        <f aca="false">IF(CA1706=1,0,ROUNDUP(BA1706/BZ1706,0))</f>
        <v>1</v>
      </c>
      <c r="BC1706" s="64" t="n">
        <f aca="false">IF(CR1706&gt;0,CR1706*MAX(1,BA1706/X1706),IF(CA1706=1,IF(BA1706&lt;=0,0,CE1706*MAX(1,IF(H1706&gt;0,BA1706/H1706,1))),IF(R1706&gt;0,BB1706/R1706,0))/MAX(0.1,N(Parameter!$M$21)))</f>
        <v>0.0192307692307692</v>
      </c>
      <c r="BD1706" s="62" t="n">
        <f aca="false">BC1706*CC1706</f>
        <v>2.98076923076923</v>
      </c>
      <c r="BE1706" s="63" t="n">
        <f aca="false">IF(LEFT(Cockpit!$O$5,1)="A",H1706,IF(CI1706=1,(CL1706+CJ1706)/2,IF(LEFT(Cockpit!$O$5,1)="B",(CL1706+BG1706)/2,MAX((CL1706+BG1706)/2,H1706))))</f>
        <v>5</v>
      </c>
      <c r="BF1706" s="62" t="n">
        <f aca="false">BE1706*G1706</f>
        <v>3.8</v>
      </c>
      <c r="BG1706" s="62" t="n">
        <f aca="false">ROUNDUP(CL1706+MAX(CM1706,2*(J1706/IF(CH1706&gt;0,CH1706,MAX(0.1,N(Cockpit!$O$6)))-CL1706)),0)</f>
        <v>10</v>
      </c>
      <c r="BH1706" s="63" t="n">
        <f aca="false">IF(BD1706&gt;0,J1706/BD1706,-1)</f>
        <v>0</v>
      </c>
      <c r="BI1706" s="63" t="n">
        <f aca="false">IF(AND(OR(CG1706="L1",CG1706="L23",CG1706="LIFT"),BD1706&gt;0),SUMIFS($BD$7:$BD$1843,$CG$7:$CG$1843,CG1706,$BH$7:$BH$1843,"&gt;"&amp;BH1706)+SUMIFS($BD$7:$BD$1843,$CG$7:$CG$1843,CG1706,$BH$7:$BH$1843,BH1706,$BX$7:$BX$1843,"&lt;="&amp;BX1706),"")</f>
        <v>32521.0503688872</v>
      </c>
      <c r="BJ1706" s="70" t="n">
        <f aca="false">IF(BI1706="",0,MAX(0,MIN(1,(IF(CG1706="L1",Parameter!$H$5,IF(CG1706="L23",Parameter!$H$6+Parameter!$H$7,Parameter!$H$5+Parameter!$H$6+Parameter!$H$7))-(BI1706-BD1706))/BD1706)))</f>
        <v>1</v>
      </c>
      <c r="BK1706" s="60" t="str">
        <f aca="false">IF(AJ1706&lt;=0,"",IF(CG1706="Aussen","Aussenlager",IF(CG1706="-","Nicht im Lift",IF(AP1706&gt;=1,"Lift",IF(AP1706&lt;=0,"Aussenlager","teilweise")))))</f>
        <v>Lift</v>
      </c>
      <c r="BL1706" s="60" t="str">
        <f aca="false">IF(AT1706&lt;=0,"",IF(CG1706="Aussen","Aussenlager",IF(CG1706="-","Nicht im Lift",IF(AZ1706&gt;=1,"Lift",IF(AZ1706&lt;=0,"Aussenlager","teilweise")))))</f>
        <v>Aussenlager</v>
      </c>
      <c r="BM1706" s="60" t="str">
        <f aca="false">IF(BD1706&lt;=0,"",IF(CG1706="Aussen","Aussenlager",IF(CG1706="-","Nicht im Lift",IF(BJ1706&gt;=1,"Lift",IF(BJ1706&lt;=0,"Aussenlager","teilweise")))))</f>
        <v>Lift</v>
      </c>
      <c r="BN1706" s="60" t="str">
        <f aca="false">IF(A1706="","",IF(BW1706=1,"Neu; ","")&amp;IF(AND(BW1706=0,BR1706&lt;0),"negativer Bestand (Export "&amp;BR1706&amp;"); ","")&amp;IF(J1706&lt;=0,"Kein Verbrauch; ","")&amp;IF(CR1706&gt;0,"Lift "&amp;W1706&amp;" lt. Liftbericht (Fach "&amp;X1706&amp;" Stk); ",IF(CB1706=1,"Gebinde geschätzt ("&amp;T1706&amp;"); ",IF(CA1706=1,"Lose – Tablare geschätzt; ","")))&amp;IF(H1706&gt;AW1706,"Überbestand "&amp;ROUND(H1706-AW1706,0)&amp;" Stk / CHF "&amp;ROUND((H1706-AW1706)*G1706,0)&amp;"; ","")&amp;IF(AND(CI1706=1,CJ1706&lt;CK1706),"MAX &lt; MB+LG; ","")&amp;IF(AND(CQ1706&gt;0,CP1706*10&gt;CQ1706),"zu hoch für Tablar; ","")&amp;IF(AND(BW1706=0,OR(CI1706=1,AB1706&lt;&gt;"",U1706&lt;&gt;"",V1706&lt;&gt;"",AC1706&lt;&gt;"")),"manuell übersteuert; ","")&amp;IF(AND(CA1706=0,R1706=0),"Gebinde unbekannt / Stellmass fehlt; ","")&amp;IF(AND(CA1706=0,N(V1706)&lt;=0,N(Q1706)&lt;=0),"Menge pro Gebinde fehlt (Ist = 1 Gebinde); ","")&amp;BV1706)</f>
        <v>Kein Verbrauch; Überbestand 20 Stk / CHF 15; nur im Artikelstamm (Bestand 23.06.2026)</v>
      </c>
      <c r="BO1706" s="60"/>
      <c r="BP1706" s="60"/>
      <c r="BQ1706" s="67"/>
      <c r="BR1706" s="62" t="n">
        <v>30</v>
      </c>
      <c r="BS1706" s="62" t="n">
        <v>0</v>
      </c>
      <c r="BT1706" s="61" t="n">
        <v>0</v>
      </c>
      <c r="BU1706" s="62" t="n">
        <v>0</v>
      </c>
      <c r="BV1706" s="60" t="s">
        <v>2617</v>
      </c>
      <c r="BW1706" s="65" t="n">
        <v>0</v>
      </c>
      <c r="BX1706" s="65" t="n">
        <v>1706</v>
      </c>
      <c r="BY1706" s="60" t="str">
        <f aca="false">IF(U1706&lt;&gt;"",UPPER(TRIM(U1706)),IF(CB1706=1,UPPER(VLOOKUP(T1706,Parameter!$I$27:$K$29,2,0)),IF(P1706="","LOSE",P1706)))</f>
        <v>S33</v>
      </c>
      <c r="BZ1706" s="62" t="n">
        <f aca="false">IF(BY1706="LOSE",1,IF(N(V1706)&gt;0,V1706,IF(CB1706=1,MAX(1,N(VLOOKUP(T1706,Parameter!$I$27:$K$29,3,0)),H1706,N(N1706)),IF(N(Q1706)&gt;0,Q1706,MAX(1,H1706)))))</f>
        <v>30</v>
      </c>
      <c r="CA1706" s="65" t="n">
        <f aca="false">IF(BY1706="LOSE",1,0)</f>
        <v>0</v>
      </c>
      <c r="CB1706" s="65" t="n">
        <f aca="false">IF(AND(U1706="",OR(P1706="",P1706="LOSE"),T1706&lt;&gt;"",N(S1706)&lt;=0,ISNUMBER(MATCH(T1706,Parameter!$I$27:$I$29,0))),1,0)</f>
        <v>0</v>
      </c>
      <c r="CC1706" s="65" t="n">
        <f aca="false">IF(CR1706&gt;0,INDEX(Parameter!$H$5:$H$7,W1706)/INDEX(Parameter!$E$5:$E$7,W1706),IF(AND(CA1706=0,N(IFERROR(VLOOKUP(BY1706,'Gebinde-Kategorie'!$A$5:$N$45,14,0),0))&gt;0),VLOOKUP(BY1706,'Gebinde-Kategorie'!$A$5:$N$45,14,0)*10+Parameter!$M$23,Parameter!$M$24))</f>
        <v>155</v>
      </c>
      <c r="CD1706" s="60" t="str">
        <f aca="false">IF(AND(Parameter!$B$19="Ja",E1706&lt;&gt;"",ISNUMBER(MATCH(E1706,Parameter!$I$35:$I$52,0))),VLOOKUP(E1706,Parameter!$I$35:$J$52,2,0),IFERROR(VLOOKUP(D1706,Parameter!$A$35:$C$64,2,0),"Nein"))</f>
        <v>2+3</v>
      </c>
      <c r="CE1706" s="64" t="n">
        <f aca="false">IF(CA1706=0,0,IF(N(S1706)&gt;0,S1706,IFERROR(VLOOKUP(D1706,Parameter!$A$35:$C$64,3,0)+0,0)))</f>
        <v>0</v>
      </c>
      <c r="CF1706" s="60" t="n">
        <f aca="false">IF(AB1706&lt;&gt;"",AB1706,AA1706)</f>
        <v>2</v>
      </c>
      <c r="CG1706" s="60" t="str">
        <f aca="false">IF(OR(CF1706=1,CF1706=2,CF1706=3),IF(Parameter!$E$27="Ja","LIFT",IF(CF1706=1,"L1","L23")),IF(CF1706="Aussen","Aussen","-"))</f>
        <v>LIFT</v>
      </c>
      <c r="CH1706" s="71" t="n">
        <f aca="false">IF(N(AC1706)&gt;0,AC1706,0)</f>
        <v>0</v>
      </c>
      <c r="CI1706" s="65" t="n">
        <f aca="false">IF(ISNUMBER(AF1706),1,0)</f>
        <v>0</v>
      </c>
      <c r="CJ1706" s="62" t="n">
        <f aca="false">N(AF1706)</f>
        <v>0</v>
      </c>
      <c r="CK1706" s="62" t="n">
        <f aca="false">N(M1706)+N(N1706)</f>
        <v>10</v>
      </c>
      <c r="CL1706" s="62" t="n">
        <f aca="false">N(M1706)</f>
        <v>0</v>
      </c>
      <c r="CM1706" s="62" t="n">
        <f aca="false">N(N1706)</f>
        <v>10</v>
      </c>
      <c r="CN1706" s="62" t="n">
        <f aca="false">ROUNDUP(H1706/BZ1706,0)</f>
        <v>1</v>
      </c>
      <c r="CO1706" s="62" t="n">
        <f aca="false">ROUNDUP(CJ1706/BZ1706,0)</f>
        <v>0</v>
      </c>
      <c r="CP1706" s="65" t="n">
        <f aca="false">IF(CA1706=1,0,IFERROR(VLOOKUP(BY1706,'Gebinde-Kategorie'!$A$5:$N$45,5,0)+0,0))</f>
        <v>8</v>
      </c>
      <c r="CQ1706" s="65" t="n">
        <f aca="false">IFERROR(IF(OR(CF1706=1,CF1706=2,CF1706=3),N(INDEX(Parameter!$I$5:$I$7,CF1706)),0),0)</f>
        <v>0</v>
      </c>
      <c r="CR1706" s="64" t="n">
        <f aca="false">IF(AND(Parameter!$B$21="Ja",ISNUMBER(W1706),N(X1706)&gt;0),IFERROR(N(INDEX(Parameter!$L$5:$L$7,W1706))*INDEX(Parameter!$E$5:$E$7,W1706)*X1706/SUMIFS($X$7:$X$1843,$W$7:$W$1843,W1706),0),0)</f>
        <v>0</v>
      </c>
      <c r="CS1706" s="62" t="n">
        <f aca="false">IF(AND(OR(CG1706="L1",CG1706="L23",CG1706="LIFT"),H1706&gt;0),CC1706*IF(CR1706&gt;0,CR1706*MAX(1,H1706/X1706),IF(CA1706=1,CE1706,IF(R1706&gt;0,CN1706/R1706,0))/MAX(0.1,N(Parameter!$M$21))),"")</f>
        <v>2.98076923076923</v>
      </c>
      <c r="CT1706" s="64" t="n">
        <f aca="false">IF(CS1706="","",J1706/H1706)</f>
        <v>0</v>
      </c>
      <c r="CU1706" s="62" t="n">
        <f aca="false">IF(CS1706="","",H1706*G1706)</f>
        <v>22.8</v>
      </c>
      <c r="CV1706" s="63" t="n">
        <f aca="false">IF(CS1706="","",(CL1706+ROUNDUP(CL1706+MAX(CM1706,2*(J1706/MAX(0.1,N(Einkauf!$C$6))-CL1706)),0))/2)</f>
        <v>5</v>
      </c>
      <c r="CW1706" s="62" t="n">
        <f aca="false">IF(CS1706="","",MAX(0,H1706-CV1706)*G1706)</f>
        <v>19</v>
      </c>
      <c r="CX1706" s="62" t="n">
        <f aca="false">IF(CS1706="","",CS1706*MAX(0,1-CV1706/H1706))</f>
        <v>2.48397435897436</v>
      </c>
      <c r="CY1706" s="64" t="n">
        <f aca="false">IF(CS1706="","",PERCENTRANK($CS$7:$CS$1843,CS1706)+PERCENTRANK($CU$7:$CU$1843,CU1706)+1-PERCENTRANK($CT$7:$CT$1843,CT1706))</f>
        <v>1.3013</v>
      </c>
      <c r="CZ1706" s="72" t="n">
        <f aca="false">IF(CS1706="","",CHOOSE(MATCH(Einkauf!$C$5,Parameter!$G$23:$G$27,0),CY1706,CS1706,CU1706,-CT1706,CW1706)+ROW()/1000000000)</f>
        <v>1.301301706</v>
      </c>
    </row>
    <row r="1707" customFormat="false" ht="15" hidden="false" customHeight="false" outlineLevel="0" collapsed="false">
      <c r="A1707" s="60" t="s">
        <v>2996</v>
      </c>
      <c r="B1707" s="60" t="s">
        <v>1275</v>
      </c>
      <c r="C1707" s="60" t="s">
        <v>206</v>
      </c>
      <c r="D1707" s="60" t="s">
        <v>226</v>
      </c>
      <c r="E1707" s="60"/>
      <c r="F1707" s="60"/>
      <c r="G1707" s="61" t="n">
        <v>9.03</v>
      </c>
      <c r="H1707" s="62" t="n">
        <f aca="false">MAX(0,IF(AND(Parameter!$B$21="Ja",ISNUMBER(Y1707)),Y1707,IF(Parameter!$B$20="Jahresanfang 2025 + Export",BS1707+BR1707,BR1707)))</f>
        <v>3</v>
      </c>
      <c r="I1707" s="62" t="n">
        <f aca="false">H1707*G1707</f>
        <v>27.09</v>
      </c>
      <c r="J1707" s="62" t="n">
        <f aca="false">BU1707*Parameter!$B$18</f>
        <v>0</v>
      </c>
      <c r="K1707" s="63"/>
      <c r="L1707" s="64"/>
      <c r="M1707" s="62" t="n">
        <v>0</v>
      </c>
      <c r="N1707" s="62" t="n">
        <v>3</v>
      </c>
      <c r="O1707" s="65" t="n">
        <v>14</v>
      </c>
      <c r="P1707" s="60" t="s">
        <v>518</v>
      </c>
      <c r="Q1707" s="62" t="n">
        <v>20</v>
      </c>
      <c r="R1707" s="65" t="n">
        <f aca="false">IF(CA1707=1,0,IFERROR(VLOOKUP(BY1707,'Gebinde-Kategorie'!$A$5:$N$45,13,0)+0,0))</f>
        <v>52</v>
      </c>
      <c r="S1707" s="66"/>
      <c r="T1707" s="67"/>
      <c r="U1707" s="67"/>
      <c r="V1707" s="67"/>
      <c r="W1707" s="60"/>
      <c r="X1707" s="62"/>
      <c r="Y1707" s="62"/>
      <c r="Z1707" s="60" t="n">
        <v>2</v>
      </c>
      <c r="AA1707" s="60" t="n">
        <f aca="false">IF(A1707="","",IF(AND(Parameter!$B$21="Ja",ISNUMBER(W1707)),W1707,IF(AND(Parameter!$E$27="Ja",ISNUMBER(Z1707),CD1707&lt;&gt;"Nein"),Z1707,IF(CD1707="2+3",IF(ISNUMBER(SEARCH("grosser Artikel",BV1707)),2,IFERROR(VLOOKUP(BY1707,Parameter!$F$35:$G$64,2,0),2)),IF(OR(CD1707="Nein",CD1707=""),"-",CD1707)))))</f>
        <v>2</v>
      </c>
      <c r="AB1707" s="67"/>
      <c r="AC1707" s="68"/>
      <c r="AD1707" s="62" t="n">
        <f aca="false">AW1707</f>
        <v>3</v>
      </c>
      <c r="AE1707" s="62" t="n">
        <f aca="false">MAX(AW1707,H1707)</f>
        <v>3</v>
      </c>
      <c r="AF1707" s="69"/>
      <c r="AG1707" s="62" t="n">
        <f aca="false">IF(LEFT(Cockpit!$C$5,1)="A",H1707,IF(Parameter!$E$30="MAX-Bestand",IF(CI1707=1,CJ1707,IF(LEFT(Cockpit!$C$5,1)="B",AM1707,MAX(AM1707,H1707))),ROUNDUP(AK1707,0)))</f>
        <v>3</v>
      </c>
      <c r="AH1707" s="62" t="n">
        <f aca="false">IF(CA1707=1,0,ROUNDUP(AG1707/BZ1707,0))</f>
        <v>1</v>
      </c>
      <c r="AI1707" s="64" t="n">
        <f aca="false">IF(CR1707&gt;0,CR1707*MAX(1,AG1707/X1707),IF(CA1707=1,IF(AG1707&lt;=0,0,CE1707*MAX(1,IF(H1707&gt;0,AG1707/H1707,1))),IF(R1707&gt;0,AH1707/R1707,0))/MAX(0.1,N(Parameter!$M$21)))</f>
        <v>0.0192307692307692</v>
      </c>
      <c r="AJ1707" s="62" t="n">
        <f aca="false">AI1707*CC1707</f>
        <v>2.98076923076923</v>
      </c>
      <c r="AK1707" s="63" t="n">
        <f aca="false">IF(LEFT(Cockpit!$C$5,1)="A",H1707,IF(CI1707=1,(CL1707+CJ1707)/2,IF(LEFT(Cockpit!$C$5,1)="B",(CL1707+AM1707)/2,MAX((CL1707+AM1707)/2,H1707))))</f>
        <v>3</v>
      </c>
      <c r="AL1707" s="62" t="n">
        <f aca="false">AK1707*G1707</f>
        <v>27.09</v>
      </c>
      <c r="AM1707" s="62" t="n">
        <f aca="false">ROUNDUP(CL1707+MAX(CM1707,2*(J1707/IF(CH1707&gt;0,CH1707,MAX(0.1,N(Cockpit!$C$6)))-CL1707)),0)</f>
        <v>3</v>
      </c>
      <c r="AN1707" s="63" t="n">
        <f aca="false">IF(AJ1707&gt;0,J1707/AJ1707,-1)</f>
        <v>0</v>
      </c>
      <c r="AO1707" s="63" t="n">
        <f aca="false">IF(AND(OR(CG1707="L1",CG1707="L23",CG1707="LIFT"),AJ1707&gt;0),SUMIFS($AJ$7:$AJ$1843,$CG$7:$CG$1843,CG1707,$AN$7:$AN$1843,"&gt;"&amp;AN1707)+SUMIFS($AJ$7:$AJ$1843,$CG$7:$CG$1843,CG1707,$AN$7:$AN$1843,AN1707,$BX$7:$BX$1843,"&lt;="&amp;BX1707),"")</f>
        <v>32814.9217602078</v>
      </c>
      <c r="AP1707" s="70" t="n">
        <f aca="false">IF(AO1707="",0,MAX(0,MIN(1,(IF(CG1707="L1",Parameter!$H$5,IF(CG1707="L23",Parameter!$H$6+Parameter!$H$7,Parameter!$H$5+Parameter!$H$6+Parameter!$H$7))-(AO1707-AJ1707))/AJ1707)))</f>
        <v>1</v>
      </c>
      <c r="AQ1707" s="62" t="n">
        <f aca="false">IF(LEFT(Cockpit!$I$5,1)="A",H1707,IF(Parameter!$E$30="MAX-Bestand",IF(CI1707=1,CJ1707,IF(LEFT(Cockpit!$I$5,1)="B",AW1707,MAX(AW1707,H1707))),ROUNDUP(AU1707,0)))</f>
        <v>3</v>
      </c>
      <c r="AR1707" s="62" t="n">
        <f aca="false">IF(CA1707=1,0,ROUNDUP(AQ1707/BZ1707,0))</f>
        <v>1</v>
      </c>
      <c r="AS1707" s="64" t="n">
        <f aca="false">IF(CR1707&gt;0,CR1707*MAX(1,AQ1707/X1707),IF(CA1707=1,IF(AQ1707&lt;=0,0,CE1707*MAX(1,IF(H1707&gt;0,AQ1707/H1707,1))),IF(R1707&gt;0,AR1707/R1707,0))/MAX(0.1,N(Parameter!$M$21)))</f>
        <v>0.0192307692307692</v>
      </c>
      <c r="AT1707" s="62" t="n">
        <f aca="false">AS1707*CC1707</f>
        <v>2.98076923076923</v>
      </c>
      <c r="AU1707" s="63" t="n">
        <f aca="false">IF(LEFT(Cockpit!$I$5,1)="A",H1707,IF(CI1707=1,(CL1707+CJ1707)/2,IF(LEFT(Cockpit!$I$5,1)="B",(CL1707+AW1707)/2,MAX((CL1707+AW1707)/2,H1707))))</f>
        <v>3</v>
      </c>
      <c r="AV1707" s="62" t="n">
        <f aca="false">AU1707*G1707</f>
        <v>27.09</v>
      </c>
      <c r="AW1707" s="62" t="n">
        <f aca="false">ROUNDUP(CL1707+MAX(CM1707,2*(J1707/IF(CH1707&gt;0,CH1707,MAX(0.1,N(Cockpit!$I$6)))-CL1707)),0)</f>
        <v>3</v>
      </c>
      <c r="AX1707" s="63" t="n">
        <f aca="false">IF(AT1707&gt;0,J1707/AT1707,-1)</f>
        <v>0</v>
      </c>
      <c r="AY1707" s="63" t="n">
        <f aca="false">IF(AND(OR(CG1707="L1",CG1707="L23",CG1707="LIFT"),AT1707&gt;0),SUMIFS($AT$7:$AT$1843,$CG$7:$CG$1843,CG1707,$AX$7:$AX$1843,"&gt;"&amp;AX1707)+SUMIFS($AT$7:$AT$1843,$CG$7:$CG$1843,CG1707,$AX$7:$AX$1843,AX1707,$BX$7:$BX$1843,"&lt;="&amp;BX1707),"")</f>
        <v>39287.1699907908</v>
      </c>
      <c r="AZ1707" s="70" t="n">
        <f aca="false">IF(AY1707="",0,MAX(0,MIN(1,(IF(CG1707="L1",Parameter!$H$5,IF(CG1707="L23",Parameter!$H$6+Parameter!$H$7,Parameter!$H$5+Parameter!$H$6+Parameter!$H$7))-(AY1707-AT1707))/AT1707)))</f>
        <v>0</v>
      </c>
      <c r="BA1707" s="62" t="n">
        <f aca="false">IF(LEFT(Cockpit!$O$5,1)="A",H1707,IF(Parameter!$E$30="MAX-Bestand",IF(CI1707=1,CJ1707,IF(LEFT(Cockpit!$O$5,1)="B",BG1707,MAX(BG1707,H1707))),ROUNDUP(BE1707,0)))</f>
        <v>2</v>
      </c>
      <c r="BB1707" s="62" t="n">
        <f aca="false">IF(CA1707=1,0,ROUNDUP(BA1707/BZ1707,0))</f>
        <v>1</v>
      </c>
      <c r="BC1707" s="64" t="n">
        <f aca="false">IF(CR1707&gt;0,CR1707*MAX(1,BA1707/X1707),IF(CA1707=1,IF(BA1707&lt;=0,0,CE1707*MAX(1,IF(H1707&gt;0,BA1707/H1707,1))),IF(R1707&gt;0,BB1707/R1707,0))/MAX(0.1,N(Parameter!$M$21)))</f>
        <v>0.0192307692307692</v>
      </c>
      <c r="BD1707" s="62" t="n">
        <f aca="false">BC1707*CC1707</f>
        <v>2.98076923076923</v>
      </c>
      <c r="BE1707" s="63" t="n">
        <f aca="false">IF(LEFT(Cockpit!$O$5,1)="A",H1707,IF(CI1707=1,(CL1707+CJ1707)/2,IF(LEFT(Cockpit!$O$5,1)="B",(CL1707+BG1707)/2,MAX((CL1707+BG1707)/2,H1707))))</f>
        <v>1.5</v>
      </c>
      <c r="BF1707" s="62" t="n">
        <f aca="false">BE1707*G1707</f>
        <v>13.545</v>
      </c>
      <c r="BG1707" s="62" t="n">
        <f aca="false">ROUNDUP(CL1707+MAX(CM1707,2*(J1707/IF(CH1707&gt;0,CH1707,MAX(0.1,N(Cockpit!$O$6)))-CL1707)),0)</f>
        <v>3</v>
      </c>
      <c r="BH1707" s="63" t="n">
        <f aca="false">IF(BD1707&gt;0,J1707/BD1707,-1)</f>
        <v>0</v>
      </c>
      <c r="BI1707" s="63" t="n">
        <f aca="false">IF(AND(OR(CG1707="L1",CG1707="L23",CG1707="LIFT"),BD1707&gt;0),SUMIFS($BD$7:$BD$1843,$CG$7:$CG$1843,CG1707,$BH$7:$BH$1843,"&gt;"&amp;BH1707)+SUMIFS($BD$7:$BD$1843,$CG$7:$CG$1843,CG1707,$BH$7:$BH$1843,BH1707,$BX$7:$BX$1843,"&lt;="&amp;BX1707),"")</f>
        <v>32524.031138118</v>
      </c>
      <c r="BJ1707" s="70" t="n">
        <f aca="false">IF(BI1707="",0,MAX(0,MIN(1,(IF(CG1707="L1",Parameter!$H$5,IF(CG1707="L23",Parameter!$H$6+Parameter!$H$7,Parameter!$H$5+Parameter!$H$6+Parameter!$H$7))-(BI1707-BD1707))/BD1707)))</f>
        <v>1</v>
      </c>
      <c r="BK1707" s="60" t="str">
        <f aca="false">IF(AJ1707&lt;=0,"",IF(CG1707="Aussen","Aussenlager",IF(CG1707="-","Nicht im Lift",IF(AP1707&gt;=1,"Lift",IF(AP1707&lt;=0,"Aussenlager","teilweise")))))</f>
        <v>Lift</v>
      </c>
      <c r="BL1707" s="60" t="str">
        <f aca="false">IF(AT1707&lt;=0,"",IF(CG1707="Aussen","Aussenlager",IF(CG1707="-","Nicht im Lift",IF(AZ1707&gt;=1,"Lift",IF(AZ1707&lt;=0,"Aussenlager","teilweise")))))</f>
        <v>Aussenlager</v>
      </c>
      <c r="BM1707" s="60" t="str">
        <f aca="false">IF(BD1707&lt;=0,"",IF(CG1707="Aussen","Aussenlager",IF(CG1707="-","Nicht im Lift",IF(BJ1707&gt;=1,"Lift",IF(BJ1707&lt;=0,"Aussenlager","teilweise")))))</f>
        <v>Lift</v>
      </c>
      <c r="BN1707" s="60" t="str">
        <f aca="false">IF(A1707="","",IF(BW1707=1,"Neu; ","")&amp;IF(AND(BW1707=0,BR1707&lt;0),"negativer Bestand (Export "&amp;BR1707&amp;"); ","")&amp;IF(J1707&lt;=0,"Kein Verbrauch; ","")&amp;IF(CR1707&gt;0,"Lift "&amp;W1707&amp;" lt. Liftbericht (Fach "&amp;X1707&amp;" Stk); ",IF(CB1707=1,"Gebinde geschätzt ("&amp;T1707&amp;"); ",IF(CA1707=1,"Lose – Tablare geschätzt; ","")))&amp;IF(H1707&gt;AW1707,"Überbestand "&amp;ROUND(H1707-AW1707,0)&amp;" Stk / CHF "&amp;ROUND((H1707-AW1707)*G1707,0)&amp;"; ","")&amp;IF(AND(CI1707=1,CJ1707&lt;CK1707),"MAX &lt; MB+LG; ","")&amp;IF(AND(CQ1707&gt;0,CP1707*10&gt;CQ1707),"zu hoch für Tablar; ","")&amp;IF(AND(BW1707=0,OR(CI1707=1,AB1707&lt;&gt;"",U1707&lt;&gt;"",V1707&lt;&gt;"",AC1707&lt;&gt;"")),"manuell übersteuert; ","")&amp;IF(AND(CA1707=0,R1707=0),"Gebinde unbekannt / Stellmass fehlt; ","")&amp;IF(AND(CA1707=0,N(V1707)&lt;=0,N(Q1707)&lt;=0),"Menge pro Gebinde fehlt (Ist = 1 Gebinde); ","")&amp;BV1707)</f>
        <v>Kein Verbrauch; nur im Artikelstamm (Bestand 23.06.2026); Verb.Lager</v>
      </c>
      <c r="BO1707" s="60"/>
      <c r="BP1707" s="60"/>
      <c r="BQ1707" s="67"/>
      <c r="BR1707" s="62" t="n">
        <v>3</v>
      </c>
      <c r="BS1707" s="62" t="n">
        <v>0</v>
      </c>
      <c r="BT1707" s="61" t="n">
        <v>0</v>
      </c>
      <c r="BU1707" s="62" t="n">
        <v>0</v>
      </c>
      <c r="BV1707" s="60" t="s">
        <v>2611</v>
      </c>
      <c r="BW1707" s="65" t="n">
        <v>0</v>
      </c>
      <c r="BX1707" s="65" t="n">
        <v>1707</v>
      </c>
      <c r="BY1707" s="60" t="str">
        <f aca="false">IF(U1707&lt;&gt;"",UPPER(TRIM(U1707)),IF(CB1707=1,UPPER(VLOOKUP(T1707,Parameter!$I$27:$K$29,2,0)),IF(P1707="","LOSE",P1707)))</f>
        <v>S33</v>
      </c>
      <c r="BZ1707" s="62" t="n">
        <f aca="false">IF(BY1707="LOSE",1,IF(N(V1707)&gt;0,V1707,IF(CB1707=1,MAX(1,N(VLOOKUP(T1707,Parameter!$I$27:$K$29,3,0)),H1707,N(N1707)),IF(N(Q1707)&gt;0,Q1707,MAX(1,H1707)))))</f>
        <v>20</v>
      </c>
      <c r="CA1707" s="65" t="n">
        <f aca="false">IF(BY1707="LOSE",1,0)</f>
        <v>0</v>
      </c>
      <c r="CB1707" s="65" t="n">
        <f aca="false">IF(AND(U1707="",OR(P1707="",P1707="LOSE"),T1707&lt;&gt;"",N(S1707)&lt;=0,ISNUMBER(MATCH(T1707,Parameter!$I$27:$I$29,0))),1,0)</f>
        <v>0</v>
      </c>
      <c r="CC1707" s="65" t="n">
        <f aca="false">IF(CR1707&gt;0,INDEX(Parameter!$H$5:$H$7,W1707)/INDEX(Parameter!$E$5:$E$7,W1707),IF(AND(CA1707=0,N(IFERROR(VLOOKUP(BY1707,'Gebinde-Kategorie'!$A$5:$N$45,14,0),0))&gt;0),VLOOKUP(BY1707,'Gebinde-Kategorie'!$A$5:$N$45,14,0)*10+Parameter!$M$23,Parameter!$M$24))</f>
        <v>155</v>
      </c>
      <c r="CD1707" s="60" t="str">
        <f aca="false">IF(AND(Parameter!$B$19="Ja",E1707&lt;&gt;"",ISNUMBER(MATCH(E1707,Parameter!$I$35:$I$52,0))),VLOOKUP(E1707,Parameter!$I$35:$J$52,2,0),IFERROR(VLOOKUP(D1707,Parameter!$A$35:$C$64,2,0),"Nein"))</f>
        <v>2+3</v>
      </c>
      <c r="CE1707" s="64" t="n">
        <f aca="false">IF(CA1707=0,0,IF(N(S1707)&gt;0,S1707,IFERROR(VLOOKUP(D1707,Parameter!$A$35:$C$64,3,0)+0,0)))</f>
        <v>0</v>
      </c>
      <c r="CF1707" s="60" t="n">
        <f aca="false">IF(AB1707&lt;&gt;"",AB1707,AA1707)</f>
        <v>2</v>
      </c>
      <c r="CG1707" s="60" t="str">
        <f aca="false">IF(OR(CF1707=1,CF1707=2,CF1707=3),IF(Parameter!$E$27="Ja","LIFT",IF(CF1707=1,"L1","L23")),IF(CF1707="Aussen","Aussen","-"))</f>
        <v>LIFT</v>
      </c>
      <c r="CH1707" s="71" t="n">
        <f aca="false">IF(N(AC1707)&gt;0,AC1707,0)</f>
        <v>0</v>
      </c>
      <c r="CI1707" s="65" t="n">
        <f aca="false">IF(ISNUMBER(AF1707),1,0)</f>
        <v>0</v>
      </c>
      <c r="CJ1707" s="62" t="n">
        <f aca="false">N(AF1707)</f>
        <v>0</v>
      </c>
      <c r="CK1707" s="62" t="n">
        <f aca="false">N(M1707)+N(N1707)</f>
        <v>3</v>
      </c>
      <c r="CL1707" s="62" t="n">
        <f aca="false">N(M1707)</f>
        <v>0</v>
      </c>
      <c r="CM1707" s="62" t="n">
        <f aca="false">N(N1707)</f>
        <v>3</v>
      </c>
      <c r="CN1707" s="62" t="n">
        <f aca="false">ROUNDUP(H1707/BZ1707,0)</f>
        <v>1</v>
      </c>
      <c r="CO1707" s="62" t="n">
        <f aca="false">ROUNDUP(CJ1707/BZ1707,0)</f>
        <v>0</v>
      </c>
      <c r="CP1707" s="65" t="n">
        <f aca="false">IF(CA1707=1,0,IFERROR(VLOOKUP(BY1707,'Gebinde-Kategorie'!$A$5:$N$45,5,0)+0,0))</f>
        <v>8</v>
      </c>
      <c r="CQ1707" s="65" t="n">
        <f aca="false">IFERROR(IF(OR(CF1707=1,CF1707=2,CF1707=3),N(INDEX(Parameter!$I$5:$I$7,CF1707)),0),0)</f>
        <v>0</v>
      </c>
      <c r="CR1707" s="64" t="n">
        <f aca="false">IF(AND(Parameter!$B$21="Ja",ISNUMBER(W1707),N(X1707)&gt;0),IFERROR(N(INDEX(Parameter!$L$5:$L$7,W1707))*INDEX(Parameter!$E$5:$E$7,W1707)*X1707/SUMIFS($X$7:$X$1843,$W$7:$W$1843,W1707),0),0)</f>
        <v>0</v>
      </c>
      <c r="CS1707" s="62" t="n">
        <f aca="false">IF(AND(OR(CG1707="L1",CG1707="L23",CG1707="LIFT"),H1707&gt;0),CC1707*IF(CR1707&gt;0,CR1707*MAX(1,H1707/X1707),IF(CA1707=1,CE1707,IF(R1707&gt;0,CN1707/R1707,0))/MAX(0.1,N(Parameter!$M$21))),"")</f>
        <v>2.98076923076923</v>
      </c>
      <c r="CT1707" s="64" t="n">
        <f aca="false">IF(CS1707="","",J1707/H1707)</f>
        <v>0</v>
      </c>
      <c r="CU1707" s="62" t="n">
        <f aca="false">IF(CS1707="","",H1707*G1707)</f>
        <v>27.09</v>
      </c>
      <c r="CV1707" s="63" t="n">
        <f aca="false">IF(CS1707="","",(CL1707+ROUNDUP(CL1707+MAX(CM1707,2*(J1707/MAX(0.1,N(Einkauf!$C$6))-CL1707)),0))/2)</f>
        <v>1.5</v>
      </c>
      <c r="CW1707" s="62" t="n">
        <f aca="false">IF(CS1707="","",MAX(0,H1707-CV1707)*G1707)</f>
        <v>13.545</v>
      </c>
      <c r="CX1707" s="62" t="n">
        <f aca="false">IF(CS1707="","",CS1707*MAX(0,1-CV1707/H1707))</f>
        <v>1.49038461538462</v>
      </c>
      <c r="CY1707" s="64" t="n">
        <f aca="false">IF(CS1707="","",PERCENTRANK($CS$7:$CS$1843,CS1707)+PERCENTRANK($CU$7:$CU$1843,CU1707)+1-PERCENTRANK($CT$7:$CT$1843,CT1707))</f>
        <v>1.315</v>
      </c>
      <c r="CZ1707" s="72" t="n">
        <f aca="false">IF(CS1707="","",CHOOSE(MATCH(Einkauf!$C$5,Parameter!$G$23:$G$27,0),CY1707,CS1707,CU1707,-CT1707,CW1707)+ROW()/1000000000)</f>
        <v>1.315001707</v>
      </c>
    </row>
    <row r="1708" customFormat="false" ht="15" hidden="false" customHeight="false" outlineLevel="0" collapsed="false">
      <c r="A1708" s="60" t="s">
        <v>2997</v>
      </c>
      <c r="B1708" s="60" t="s">
        <v>2998</v>
      </c>
      <c r="C1708" s="60" t="s">
        <v>206</v>
      </c>
      <c r="D1708" s="60" t="s">
        <v>226</v>
      </c>
      <c r="E1708" s="60"/>
      <c r="F1708" s="60"/>
      <c r="G1708" s="61" t="n">
        <v>18</v>
      </c>
      <c r="H1708" s="62" t="n">
        <f aca="false">MAX(0,IF(AND(Parameter!$B$21="Ja",ISNUMBER(Y1708)),Y1708,IF(Parameter!$B$20="Jahresanfang 2025 + Export",BS1708+BR1708,BR1708)))</f>
        <v>7</v>
      </c>
      <c r="I1708" s="62" t="n">
        <f aca="false">H1708*G1708</f>
        <v>126</v>
      </c>
      <c r="J1708" s="62" t="n">
        <f aca="false">BU1708*Parameter!$B$18</f>
        <v>0</v>
      </c>
      <c r="K1708" s="63"/>
      <c r="L1708" s="64"/>
      <c r="M1708" s="62" t="n">
        <v>0</v>
      </c>
      <c r="N1708" s="62" t="n">
        <v>1</v>
      </c>
      <c r="O1708" s="65" t="n">
        <v>35</v>
      </c>
      <c r="P1708" s="60" t="s">
        <v>518</v>
      </c>
      <c r="Q1708" s="62" t="n">
        <v>6</v>
      </c>
      <c r="R1708" s="65" t="n">
        <f aca="false">IF(CA1708=1,0,IFERROR(VLOOKUP(BY1708,'Gebinde-Kategorie'!$A$5:$N$45,13,0)+0,0))</f>
        <v>52</v>
      </c>
      <c r="S1708" s="66"/>
      <c r="T1708" s="67"/>
      <c r="U1708" s="67"/>
      <c r="V1708" s="67"/>
      <c r="W1708" s="60"/>
      <c r="X1708" s="62"/>
      <c r="Y1708" s="62"/>
      <c r="Z1708" s="60" t="n">
        <v>3</v>
      </c>
      <c r="AA1708" s="60" t="n">
        <f aca="false">IF(A1708="","",IF(AND(Parameter!$B$21="Ja",ISNUMBER(W1708)),W1708,IF(AND(Parameter!$E$27="Ja",ISNUMBER(Z1708),CD1708&lt;&gt;"Nein"),Z1708,IF(CD1708="2+3",IF(ISNUMBER(SEARCH("grosser Artikel",BV1708)),2,IFERROR(VLOOKUP(BY1708,Parameter!$F$35:$G$64,2,0),2)),IF(OR(CD1708="Nein",CD1708=""),"-",CD1708)))))</f>
        <v>3</v>
      </c>
      <c r="AB1708" s="67"/>
      <c r="AC1708" s="68"/>
      <c r="AD1708" s="62" t="n">
        <f aca="false">AW1708</f>
        <v>1</v>
      </c>
      <c r="AE1708" s="62" t="n">
        <f aca="false">MAX(AW1708,H1708)</f>
        <v>7</v>
      </c>
      <c r="AF1708" s="69"/>
      <c r="AG1708" s="62" t="n">
        <f aca="false">IF(LEFT(Cockpit!$C$5,1)="A",H1708,IF(Parameter!$E$30="MAX-Bestand",IF(CI1708=1,CJ1708,IF(LEFT(Cockpit!$C$5,1)="B",AM1708,MAX(AM1708,H1708))),ROUNDUP(AK1708,0)))</f>
        <v>7</v>
      </c>
      <c r="AH1708" s="62" t="n">
        <f aca="false">IF(CA1708=1,0,ROUNDUP(AG1708/BZ1708,0))</f>
        <v>2</v>
      </c>
      <c r="AI1708" s="64" t="n">
        <f aca="false">IF(CR1708&gt;0,CR1708*MAX(1,AG1708/X1708),IF(CA1708=1,IF(AG1708&lt;=0,0,CE1708*MAX(1,IF(H1708&gt;0,AG1708/H1708,1))),IF(R1708&gt;0,AH1708/R1708,0))/MAX(0.1,N(Parameter!$M$21)))</f>
        <v>0.0384615384615385</v>
      </c>
      <c r="AJ1708" s="62" t="n">
        <f aca="false">AI1708*CC1708</f>
        <v>5.96153846153846</v>
      </c>
      <c r="AK1708" s="63" t="n">
        <f aca="false">IF(LEFT(Cockpit!$C$5,1)="A",H1708,IF(CI1708=1,(CL1708+CJ1708)/2,IF(LEFT(Cockpit!$C$5,1)="B",(CL1708+AM1708)/2,MAX((CL1708+AM1708)/2,H1708))))</f>
        <v>7</v>
      </c>
      <c r="AL1708" s="62" t="n">
        <f aca="false">AK1708*G1708</f>
        <v>126</v>
      </c>
      <c r="AM1708" s="62" t="n">
        <f aca="false">ROUNDUP(CL1708+MAX(CM1708,2*(J1708/IF(CH1708&gt;0,CH1708,MAX(0.1,N(Cockpit!$C$6)))-CL1708)),0)</f>
        <v>1</v>
      </c>
      <c r="AN1708" s="63" t="n">
        <f aca="false">IF(AJ1708&gt;0,J1708/AJ1708,-1)</f>
        <v>0</v>
      </c>
      <c r="AO1708" s="63" t="n">
        <f aca="false">IF(AND(OR(CG1708="L1",CG1708="L23",CG1708="LIFT"),AJ1708&gt;0),SUMIFS($AJ$7:$AJ$1843,$CG$7:$CG$1843,CG1708,$AN$7:$AN$1843,"&gt;"&amp;AN1708)+SUMIFS($AJ$7:$AJ$1843,$CG$7:$CG$1843,CG1708,$AN$7:$AN$1843,AN1708,$BX$7:$BX$1843,"&lt;="&amp;BX1708),"")</f>
        <v>32820.8832986693</v>
      </c>
      <c r="AP1708" s="70" t="n">
        <f aca="false">IF(AO1708="",0,MAX(0,MIN(1,(IF(CG1708="L1",Parameter!$H$5,IF(CG1708="L23",Parameter!$H$6+Parameter!$H$7,Parameter!$H$5+Parameter!$H$6+Parameter!$H$7))-(AO1708-AJ1708))/AJ1708)))</f>
        <v>1</v>
      </c>
      <c r="AQ1708" s="62" t="n">
        <f aca="false">IF(LEFT(Cockpit!$I$5,1)="A",H1708,IF(Parameter!$E$30="MAX-Bestand",IF(CI1708=1,CJ1708,IF(LEFT(Cockpit!$I$5,1)="B",AW1708,MAX(AW1708,H1708))),ROUNDUP(AU1708,0)))</f>
        <v>7</v>
      </c>
      <c r="AR1708" s="62" t="n">
        <f aca="false">IF(CA1708=1,0,ROUNDUP(AQ1708/BZ1708,0))</f>
        <v>2</v>
      </c>
      <c r="AS1708" s="64" t="n">
        <f aca="false">IF(CR1708&gt;0,CR1708*MAX(1,AQ1708/X1708),IF(CA1708=1,IF(AQ1708&lt;=0,0,CE1708*MAX(1,IF(H1708&gt;0,AQ1708/H1708,1))),IF(R1708&gt;0,AR1708/R1708,0))/MAX(0.1,N(Parameter!$M$21)))</f>
        <v>0.0384615384615385</v>
      </c>
      <c r="AT1708" s="62" t="n">
        <f aca="false">AS1708*CC1708</f>
        <v>5.96153846153846</v>
      </c>
      <c r="AU1708" s="63" t="n">
        <f aca="false">IF(LEFT(Cockpit!$I$5,1)="A",H1708,IF(CI1708=1,(CL1708+CJ1708)/2,IF(LEFT(Cockpit!$I$5,1)="B",(CL1708+AW1708)/2,MAX((CL1708+AW1708)/2,H1708))))</f>
        <v>7</v>
      </c>
      <c r="AV1708" s="62" t="n">
        <f aca="false">AU1708*G1708</f>
        <v>126</v>
      </c>
      <c r="AW1708" s="62" t="n">
        <f aca="false">ROUNDUP(CL1708+MAX(CM1708,2*(J1708/IF(CH1708&gt;0,CH1708,MAX(0.1,N(Cockpit!$I$6)))-CL1708)),0)</f>
        <v>1</v>
      </c>
      <c r="AX1708" s="63" t="n">
        <f aca="false">IF(AT1708&gt;0,J1708/AT1708,-1)</f>
        <v>0</v>
      </c>
      <c r="AY1708" s="63" t="n">
        <f aca="false">IF(AND(OR(CG1708="L1",CG1708="L23",CG1708="LIFT"),AT1708&gt;0),SUMIFS($AT$7:$AT$1843,$CG$7:$CG$1843,CG1708,$AX$7:$AX$1843,"&gt;"&amp;AX1708)+SUMIFS($AT$7:$AT$1843,$CG$7:$CG$1843,CG1708,$AX$7:$AX$1843,AX1708,$BX$7:$BX$1843,"&lt;="&amp;BX1708),"")</f>
        <v>39293.1315292523</v>
      </c>
      <c r="AZ1708" s="70" t="n">
        <f aca="false">IF(AY1708="",0,MAX(0,MIN(1,(IF(CG1708="L1",Parameter!$H$5,IF(CG1708="L23",Parameter!$H$6+Parameter!$H$7,Parameter!$H$5+Parameter!$H$6+Parameter!$H$7))-(AY1708-AT1708))/AT1708)))</f>
        <v>0</v>
      </c>
      <c r="BA1708" s="62" t="n">
        <f aca="false">IF(LEFT(Cockpit!$O$5,1)="A",H1708,IF(Parameter!$E$30="MAX-Bestand",IF(CI1708=1,CJ1708,IF(LEFT(Cockpit!$O$5,1)="B",BG1708,MAX(BG1708,H1708))),ROUNDUP(BE1708,0)))</f>
        <v>1</v>
      </c>
      <c r="BB1708" s="62" t="n">
        <f aca="false">IF(CA1708=1,0,ROUNDUP(BA1708/BZ1708,0))</f>
        <v>1</v>
      </c>
      <c r="BC1708" s="64" t="n">
        <f aca="false">IF(CR1708&gt;0,CR1708*MAX(1,BA1708/X1708),IF(CA1708=1,IF(BA1708&lt;=0,0,CE1708*MAX(1,IF(H1708&gt;0,BA1708/H1708,1))),IF(R1708&gt;0,BB1708/R1708,0))/MAX(0.1,N(Parameter!$M$21)))</f>
        <v>0.0192307692307692</v>
      </c>
      <c r="BD1708" s="62" t="n">
        <f aca="false">BC1708*CC1708</f>
        <v>2.98076923076923</v>
      </c>
      <c r="BE1708" s="63" t="n">
        <f aca="false">IF(LEFT(Cockpit!$O$5,1)="A",H1708,IF(CI1708=1,(CL1708+CJ1708)/2,IF(LEFT(Cockpit!$O$5,1)="B",(CL1708+BG1708)/2,MAX((CL1708+BG1708)/2,H1708))))</f>
        <v>0.5</v>
      </c>
      <c r="BF1708" s="62" t="n">
        <f aca="false">BE1708*G1708</f>
        <v>9</v>
      </c>
      <c r="BG1708" s="62" t="n">
        <f aca="false">ROUNDUP(CL1708+MAX(CM1708,2*(J1708/IF(CH1708&gt;0,CH1708,MAX(0.1,N(Cockpit!$O$6)))-CL1708)),0)</f>
        <v>1</v>
      </c>
      <c r="BH1708" s="63" t="n">
        <f aca="false">IF(BD1708&gt;0,J1708/BD1708,-1)</f>
        <v>0</v>
      </c>
      <c r="BI1708" s="63" t="n">
        <f aca="false">IF(AND(OR(CG1708="L1",CG1708="L23",CG1708="LIFT"),BD1708&gt;0),SUMIFS($BD$7:$BD$1843,$CG$7:$CG$1843,CG1708,$BH$7:$BH$1843,"&gt;"&amp;BH1708)+SUMIFS($BD$7:$BD$1843,$CG$7:$CG$1843,CG1708,$BH$7:$BH$1843,BH1708,$BX$7:$BX$1843,"&lt;="&amp;BX1708),"")</f>
        <v>32527.0119073488</v>
      </c>
      <c r="BJ1708" s="70" t="n">
        <f aca="false">IF(BI1708="",0,MAX(0,MIN(1,(IF(CG1708="L1",Parameter!$H$5,IF(CG1708="L23",Parameter!$H$6+Parameter!$H$7,Parameter!$H$5+Parameter!$H$6+Parameter!$H$7))-(BI1708-BD1708))/BD1708)))</f>
        <v>1</v>
      </c>
      <c r="BK1708" s="60" t="str">
        <f aca="false">IF(AJ1708&lt;=0,"",IF(CG1708="Aussen","Aussenlager",IF(CG1708="-","Nicht im Lift",IF(AP1708&gt;=1,"Lift",IF(AP1708&lt;=0,"Aussenlager","teilweise")))))</f>
        <v>Lift</v>
      </c>
      <c r="BL1708" s="60" t="str">
        <f aca="false">IF(AT1708&lt;=0,"",IF(CG1708="Aussen","Aussenlager",IF(CG1708="-","Nicht im Lift",IF(AZ1708&gt;=1,"Lift",IF(AZ1708&lt;=0,"Aussenlager","teilweise")))))</f>
        <v>Aussenlager</v>
      </c>
      <c r="BM1708" s="60" t="str">
        <f aca="false">IF(BD1708&lt;=0,"",IF(CG1708="Aussen","Aussenlager",IF(CG1708="-","Nicht im Lift",IF(BJ1708&gt;=1,"Lift",IF(BJ1708&lt;=0,"Aussenlager","teilweise")))))</f>
        <v>Lift</v>
      </c>
      <c r="BN1708" s="60" t="str">
        <f aca="false">IF(A1708="","",IF(BW1708=1,"Neu; ","")&amp;IF(AND(BW1708=0,BR1708&lt;0),"negativer Bestand (Export "&amp;BR1708&amp;"); ","")&amp;IF(J1708&lt;=0,"Kein Verbrauch; ","")&amp;IF(CR1708&gt;0,"Lift "&amp;W1708&amp;" lt. Liftbericht (Fach "&amp;X1708&amp;" Stk); ",IF(CB1708=1,"Gebinde geschätzt ("&amp;T1708&amp;"); ",IF(CA1708=1,"Lose – Tablare geschätzt; ","")))&amp;IF(H1708&gt;AW1708,"Überbestand "&amp;ROUND(H1708-AW1708,0)&amp;" Stk / CHF "&amp;ROUND((H1708-AW1708)*G1708,0)&amp;"; ","")&amp;IF(AND(CI1708=1,CJ1708&lt;CK1708),"MAX &lt; MB+LG; ","")&amp;IF(AND(CQ1708&gt;0,CP1708*10&gt;CQ1708),"zu hoch für Tablar; ","")&amp;IF(AND(BW1708=0,OR(CI1708=1,AB1708&lt;&gt;"",U1708&lt;&gt;"",V1708&lt;&gt;"",AC1708&lt;&gt;"")),"manuell übersteuert; ","")&amp;IF(AND(CA1708=0,R1708=0),"Gebinde unbekannt / Stellmass fehlt; ","")&amp;IF(AND(CA1708=0,N(V1708)&lt;=0,N(Q1708)&lt;=0),"Menge pro Gebinde fehlt (Ist = 1 Gebinde); ","")&amp;BV1708)</f>
        <v>Kein Verbrauch; Überbestand 6 Stk / CHF 108; nur im Artikelstamm (Bestand 23.06.2026); Neuer Art.</v>
      </c>
      <c r="BO1708" s="60"/>
      <c r="BP1708" s="60"/>
      <c r="BQ1708" s="67"/>
      <c r="BR1708" s="62" t="n">
        <v>7</v>
      </c>
      <c r="BS1708" s="62" t="n">
        <v>0</v>
      </c>
      <c r="BT1708" s="61" t="n">
        <v>0</v>
      </c>
      <c r="BU1708" s="62" t="n">
        <v>0</v>
      </c>
      <c r="BV1708" s="60" t="s">
        <v>2915</v>
      </c>
      <c r="BW1708" s="65" t="n">
        <v>0</v>
      </c>
      <c r="BX1708" s="65" t="n">
        <v>1708</v>
      </c>
      <c r="BY1708" s="60" t="str">
        <f aca="false">IF(U1708&lt;&gt;"",UPPER(TRIM(U1708)),IF(CB1708=1,UPPER(VLOOKUP(T1708,Parameter!$I$27:$K$29,2,0)),IF(P1708="","LOSE",P1708)))</f>
        <v>S33</v>
      </c>
      <c r="BZ1708" s="62" t="n">
        <f aca="false">IF(BY1708="LOSE",1,IF(N(V1708)&gt;0,V1708,IF(CB1708=1,MAX(1,N(VLOOKUP(T1708,Parameter!$I$27:$K$29,3,0)),H1708,N(N1708)),IF(N(Q1708)&gt;0,Q1708,MAX(1,H1708)))))</f>
        <v>6</v>
      </c>
      <c r="CA1708" s="65" t="n">
        <f aca="false">IF(BY1708="LOSE",1,0)</f>
        <v>0</v>
      </c>
      <c r="CB1708" s="65" t="n">
        <f aca="false">IF(AND(U1708="",OR(P1708="",P1708="LOSE"),T1708&lt;&gt;"",N(S1708)&lt;=0,ISNUMBER(MATCH(T1708,Parameter!$I$27:$I$29,0))),1,0)</f>
        <v>0</v>
      </c>
      <c r="CC1708" s="65" t="n">
        <f aca="false">IF(CR1708&gt;0,INDEX(Parameter!$H$5:$H$7,W1708)/INDEX(Parameter!$E$5:$E$7,W1708),IF(AND(CA1708=0,N(IFERROR(VLOOKUP(BY1708,'Gebinde-Kategorie'!$A$5:$N$45,14,0),0))&gt;0),VLOOKUP(BY1708,'Gebinde-Kategorie'!$A$5:$N$45,14,0)*10+Parameter!$M$23,Parameter!$M$24))</f>
        <v>155</v>
      </c>
      <c r="CD1708" s="60" t="str">
        <f aca="false">IF(AND(Parameter!$B$19="Ja",E1708&lt;&gt;"",ISNUMBER(MATCH(E1708,Parameter!$I$35:$I$52,0))),VLOOKUP(E1708,Parameter!$I$35:$J$52,2,0),IFERROR(VLOOKUP(D1708,Parameter!$A$35:$C$64,2,0),"Nein"))</f>
        <v>2+3</v>
      </c>
      <c r="CE1708" s="64" t="n">
        <f aca="false">IF(CA1708=0,0,IF(N(S1708)&gt;0,S1708,IFERROR(VLOOKUP(D1708,Parameter!$A$35:$C$64,3,0)+0,0)))</f>
        <v>0</v>
      </c>
      <c r="CF1708" s="60" t="n">
        <f aca="false">IF(AB1708&lt;&gt;"",AB1708,AA1708)</f>
        <v>3</v>
      </c>
      <c r="CG1708" s="60" t="str">
        <f aca="false">IF(OR(CF1708=1,CF1708=2,CF1708=3),IF(Parameter!$E$27="Ja","LIFT",IF(CF1708=1,"L1","L23")),IF(CF1708="Aussen","Aussen","-"))</f>
        <v>LIFT</v>
      </c>
      <c r="CH1708" s="71" t="n">
        <f aca="false">IF(N(AC1708)&gt;0,AC1708,0)</f>
        <v>0</v>
      </c>
      <c r="CI1708" s="65" t="n">
        <f aca="false">IF(ISNUMBER(AF1708),1,0)</f>
        <v>0</v>
      </c>
      <c r="CJ1708" s="62" t="n">
        <f aca="false">N(AF1708)</f>
        <v>0</v>
      </c>
      <c r="CK1708" s="62" t="n">
        <f aca="false">N(M1708)+N(N1708)</f>
        <v>1</v>
      </c>
      <c r="CL1708" s="62" t="n">
        <f aca="false">N(M1708)</f>
        <v>0</v>
      </c>
      <c r="CM1708" s="62" t="n">
        <f aca="false">N(N1708)</f>
        <v>1</v>
      </c>
      <c r="CN1708" s="62" t="n">
        <f aca="false">ROUNDUP(H1708/BZ1708,0)</f>
        <v>2</v>
      </c>
      <c r="CO1708" s="62" t="n">
        <f aca="false">ROUNDUP(CJ1708/BZ1708,0)</f>
        <v>0</v>
      </c>
      <c r="CP1708" s="65" t="n">
        <f aca="false">IF(CA1708=1,0,IFERROR(VLOOKUP(BY1708,'Gebinde-Kategorie'!$A$5:$N$45,5,0)+0,0))</f>
        <v>8</v>
      </c>
      <c r="CQ1708" s="65" t="n">
        <f aca="false">IFERROR(IF(OR(CF1708=1,CF1708=2,CF1708=3),N(INDEX(Parameter!$I$5:$I$7,CF1708)),0),0)</f>
        <v>0</v>
      </c>
      <c r="CR1708" s="64" t="n">
        <f aca="false">IF(AND(Parameter!$B$21="Ja",ISNUMBER(W1708),N(X1708)&gt;0),IFERROR(N(INDEX(Parameter!$L$5:$L$7,W1708))*INDEX(Parameter!$E$5:$E$7,W1708)*X1708/SUMIFS($X$7:$X$1843,$W$7:$W$1843,W1708),0),0)</f>
        <v>0</v>
      </c>
      <c r="CS1708" s="62" t="n">
        <f aca="false">IF(AND(OR(CG1708="L1",CG1708="L23",CG1708="LIFT"),H1708&gt;0),CC1708*IF(CR1708&gt;0,CR1708*MAX(1,H1708/X1708),IF(CA1708=1,CE1708,IF(R1708&gt;0,CN1708/R1708,0))/MAX(0.1,N(Parameter!$M$21))),"")</f>
        <v>5.96153846153846</v>
      </c>
      <c r="CT1708" s="64" t="n">
        <f aca="false">IF(CS1708="","",J1708/H1708)</f>
        <v>0</v>
      </c>
      <c r="CU1708" s="62" t="n">
        <f aca="false">IF(CS1708="","",H1708*G1708)</f>
        <v>126</v>
      </c>
      <c r="CV1708" s="63" t="n">
        <f aca="false">IF(CS1708="","",(CL1708+ROUNDUP(CL1708+MAX(CM1708,2*(J1708/MAX(0.1,N(Einkauf!$C$6))-CL1708)),0))/2)</f>
        <v>0.5</v>
      </c>
      <c r="CW1708" s="62" t="n">
        <f aca="false">IF(CS1708="","",MAX(0,H1708-CV1708)*G1708)</f>
        <v>117</v>
      </c>
      <c r="CX1708" s="62" t="n">
        <f aca="false">IF(CS1708="","",CS1708*MAX(0,1-CV1708/H1708))</f>
        <v>5.53571428571429</v>
      </c>
      <c r="CY1708" s="64" t="n">
        <f aca="false">IF(CS1708="","",PERCENTRANK($CS$7:$CS$1843,CS1708)+PERCENTRANK($CU$7:$CU$1843,CU1708)+1-PERCENTRANK($CT$7:$CT$1843,CT1708))</f>
        <v>1.623</v>
      </c>
      <c r="CZ1708" s="72" t="n">
        <f aca="false">IF(CS1708="","",CHOOSE(MATCH(Einkauf!$C$5,Parameter!$G$23:$G$27,0),CY1708,CS1708,CU1708,-CT1708,CW1708)+ROW()/1000000000)</f>
        <v>1.623001708</v>
      </c>
    </row>
    <row r="1709" customFormat="false" ht="15" hidden="false" customHeight="false" outlineLevel="0" collapsed="false">
      <c r="A1709" s="60" t="s">
        <v>2999</v>
      </c>
      <c r="B1709" s="60" t="s">
        <v>1064</v>
      </c>
      <c r="C1709" s="60" t="s">
        <v>206</v>
      </c>
      <c r="D1709" s="60" t="s">
        <v>226</v>
      </c>
      <c r="E1709" s="60"/>
      <c r="F1709" s="60"/>
      <c r="G1709" s="61" t="n">
        <v>3.72</v>
      </c>
      <c r="H1709" s="62" t="n">
        <f aca="false">MAX(0,IF(AND(Parameter!$B$21="Ja",ISNUMBER(Y1709)),Y1709,IF(Parameter!$B$20="Jahresanfang 2025 + Export",BS1709+BR1709,BR1709)))</f>
        <v>58</v>
      </c>
      <c r="I1709" s="62" t="n">
        <f aca="false">H1709*G1709</f>
        <v>215.76</v>
      </c>
      <c r="J1709" s="62" t="n">
        <f aca="false">BU1709*Parameter!$B$18</f>
        <v>0</v>
      </c>
      <c r="K1709" s="63"/>
      <c r="L1709" s="64"/>
      <c r="M1709" s="62" t="n">
        <v>0</v>
      </c>
      <c r="N1709" s="62" t="n">
        <v>1</v>
      </c>
      <c r="O1709" s="65" t="n">
        <v>28</v>
      </c>
      <c r="P1709" s="60" t="s">
        <v>468</v>
      </c>
      <c r="Q1709" s="62" t="n">
        <v>30</v>
      </c>
      <c r="R1709" s="65" t="n">
        <f aca="false">IF(CA1709=1,0,IFERROR(VLOOKUP(BY1709,'Gebinde-Kategorie'!$A$5:$N$45,13,0)+0,0))</f>
        <v>140</v>
      </c>
      <c r="S1709" s="66"/>
      <c r="T1709" s="67"/>
      <c r="U1709" s="67"/>
      <c r="V1709" s="67"/>
      <c r="W1709" s="60"/>
      <c r="X1709" s="62"/>
      <c r="Y1709" s="62"/>
      <c r="Z1709" s="60" t="n">
        <v>2</v>
      </c>
      <c r="AA1709" s="60" t="n">
        <f aca="false">IF(A1709="","",IF(AND(Parameter!$B$21="Ja",ISNUMBER(W1709)),W1709,IF(AND(Parameter!$E$27="Ja",ISNUMBER(Z1709),CD1709&lt;&gt;"Nein"),Z1709,IF(CD1709="2+3",IF(ISNUMBER(SEARCH("grosser Artikel",BV1709)),2,IFERROR(VLOOKUP(BY1709,Parameter!$F$35:$G$64,2,0),2)),IF(OR(CD1709="Nein",CD1709=""),"-",CD1709)))))</f>
        <v>2</v>
      </c>
      <c r="AB1709" s="67"/>
      <c r="AC1709" s="68"/>
      <c r="AD1709" s="62" t="n">
        <f aca="false">AW1709</f>
        <v>1</v>
      </c>
      <c r="AE1709" s="62" t="n">
        <f aca="false">MAX(AW1709,H1709)</f>
        <v>58</v>
      </c>
      <c r="AF1709" s="69"/>
      <c r="AG1709" s="62" t="n">
        <f aca="false">IF(LEFT(Cockpit!$C$5,1)="A",H1709,IF(Parameter!$E$30="MAX-Bestand",IF(CI1709=1,CJ1709,IF(LEFT(Cockpit!$C$5,1)="B",AM1709,MAX(AM1709,H1709))),ROUNDUP(AK1709,0)))</f>
        <v>58</v>
      </c>
      <c r="AH1709" s="62" t="n">
        <f aca="false">IF(CA1709=1,0,ROUNDUP(AG1709/BZ1709,0))</f>
        <v>2</v>
      </c>
      <c r="AI1709" s="64" t="n">
        <f aca="false">IF(CR1709&gt;0,CR1709*MAX(1,AG1709/X1709),IF(CA1709=1,IF(AG1709&lt;=0,0,CE1709*MAX(1,IF(H1709&gt;0,AG1709/H1709,1))),IF(R1709&gt;0,AH1709/R1709,0))/MAX(0.1,N(Parameter!$M$21)))</f>
        <v>0.0142857142857143</v>
      </c>
      <c r="AJ1709" s="62" t="n">
        <f aca="false">AI1709*CC1709</f>
        <v>2.21428571428571</v>
      </c>
      <c r="AK1709" s="63" t="n">
        <f aca="false">IF(LEFT(Cockpit!$C$5,1)="A",H1709,IF(CI1709=1,(CL1709+CJ1709)/2,IF(LEFT(Cockpit!$C$5,1)="B",(CL1709+AM1709)/2,MAX((CL1709+AM1709)/2,H1709))))</f>
        <v>58</v>
      </c>
      <c r="AL1709" s="62" t="n">
        <f aca="false">AK1709*G1709</f>
        <v>215.76</v>
      </c>
      <c r="AM1709" s="62" t="n">
        <f aca="false">ROUNDUP(CL1709+MAX(CM1709,2*(J1709/IF(CH1709&gt;0,CH1709,MAX(0.1,N(Cockpit!$C$6)))-CL1709)),0)</f>
        <v>1</v>
      </c>
      <c r="AN1709" s="63" t="n">
        <f aca="false">IF(AJ1709&gt;0,J1709/AJ1709,-1)</f>
        <v>0</v>
      </c>
      <c r="AO1709" s="63" t="n">
        <f aca="false">IF(AND(OR(CG1709="L1",CG1709="L23",CG1709="LIFT"),AJ1709&gt;0),SUMIFS($AJ$7:$AJ$1843,$CG$7:$CG$1843,CG1709,$AN$7:$AN$1843,"&gt;"&amp;AN1709)+SUMIFS($AJ$7:$AJ$1843,$CG$7:$CG$1843,CG1709,$AN$7:$AN$1843,AN1709,$BX$7:$BX$1843,"&lt;="&amp;BX1709),"")</f>
        <v>32823.0975843836</v>
      </c>
      <c r="AP1709" s="70" t="n">
        <f aca="false">IF(AO1709="",0,MAX(0,MIN(1,(IF(CG1709="L1",Parameter!$H$5,IF(CG1709="L23",Parameter!$H$6+Parameter!$H$7,Parameter!$H$5+Parameter!$H$6+Parameter!$H$7))-(AO1709-AJ1709))/AJ1709)))</f>
        <v>1</v>
      </c>
      <c r="AQ1709" s="62" t="n">
        <f aca="false">IF(LEFT(Cockpit!$I$5,1)="A",H1709,IF(Parameter!$E$30="MAX-Bestand",IF(CI1709=1,CJ1709,IF(LEFT(Cockpit!$I$5,1)="B",AW1709,MAX(AW1709,H1709))),ROUNDUP(AU1709,0)))</f>
        <v>58</v>
      </c>
      <c r="AR1709" s="62" t="n">
        <f aca="false">IF(CA1709=1,0,ROUNDUP(AQ1709/BZ1709,0))</f>
        <v>2</v>
      </c>
      <c r="AS1709" s="64" t="n">
        <f aca="false">IF(CR1709&gt;0,CR1709*MAX(1,AQ1709/X1709),IF(CA1709=1,IF(AQ1709&lt;=0,0,CE1709*MAX(1,IF(H1709&gt;0,AQ1709/H1709,1))),IF(R1709&gt;0,AR1709/R1709,0))/MAX(0.1,N(Parameter!$M$21)))</f>
        <v>0.0142857142857143</v>
      </c>
      <c r="AT1709" s="62" t="n">
        <f aca="false">AS1709*CC1709</f>
        <v>2.21428571428571</v>
      </c>
      <c r="AU1709" s="63" t="n">
        <f aca="false">IF(LEFT(Cockpit!$I$5,1)="A",H1709,IF(CI1709=1,(CL1709+CJ1709)/2,IF(LEFT(Cockpit!$I$5,1)="B",(CL1709+AW1709)/2,MAX((CL1709+AW1709)/2,H1709))))</f>
        <v>58</v>
      </c>
      <c r="AV1709" s="62" t="n">
        <f aca="false">AU1709*G1709</f>
        <v>215.76</v>
      </c>
      <c r="AW1709" s="62" t="n">
        <f aca="false">ROUNDUP(CL1709+MAX(CM1709,2*(J1709/IF(CH1709&gt;0,CH1709,MAX(0.1,N(Cockpit!$I$6)))-CL1709)),0)</f>
        <v>1</v>
      </c>
      <c r="AX1709" s="63" t="n">
        <f aca="false">IF(AT1709&gt;0,J1709/AT1709,-1)</f>
        <v>0</v>
      </c>
      <c r="AY1709" s="63" t="n">
        <f aca="false">IF(AND(OR(CG1709="L1",CG1709="L23",CG1709="LIFT"),AT1709&gt;0),SUMIFS($AT$7:$AT$1843,$CG$7:$CG$1843,CG1709,$AX$7:$AX$1843,"&gt;"&amp;AX1709)+SUMIFS($AT$7:$AT$1843,$CG$7:$CG$1843,CG1709,$AX$7:$AX$1843,AX1709,$BX$7:$BX$1843,"&lt;="&amp;BX1709),"")</f>
        <v>39295.3458149666</v>
      </c>
      <c r="AZ1709" s="70" t="n">
        <f aca="false">IF(AY1709="",0,MAX(0,MIN(1,(IF(CG1709="L1",Parameter!$H$5,IF(CG1709="L23",Parameter!$H$6+Parameter!$H$7,Parameter!$H$5+Parameter!$H$6+Parameter!$H$7))-(AY1709-AT1709))/AT1709)))</f>
        <v>0</v>
      </c>
      <c r="BA1709" s="62" t="n">
        <f aca="false">IF(LEFT(Cockpit!$O$5,1)="A",H1709,IF(Parameter!$E$30="MAX-Bestand",IF(CI1709=1,CJ1709,IF(LEFT(Cockpit!$O$5,1)="B",BG1709,MAX(BG1709,H1709))),ROUNDUP(BE1709,0)))</f>
        <v>1</v>
      </c>
      <c r="BB1709" s="62" t="n">
        <f aca="false">IF(CA1709=1,0,ROUNDUP(BA1709/BZ1709,0))</f>
        <v>1</v>
      </c>
      <c r="BC1709" s="64" t="n">
        <f aca="false">IF(CR1709&gt;0,CR1709*MAX(1,BA1709/X1709),IF(CA1709=1,IF(BA1709&lt;=0,0,CE1709*MAX(1,IF(H1709&gt;0,BA1709/H1709,1))),IF(R1709&gt;0,BB1709/R1709,0))/MAX(0.1,N(Parameter!$M$21)))</f>
        <v>0.00714285714285714</v>
      </c>
      <c r="BD1709" s="62" t="n">
        <f aca="false">BC1709*CC1709</f>
        <v>1.10714285714286</v>
      </c>
      <c r="BE1709" s="63" t="n">
        <f aca="false">IF(LEFT(Cockpit!$O$5,1)="A",H1709,IF(CI1709=1,(CL1709+CJ1709)/2,IF(LEFT(Cockpit!$O$5,1)="B",(CL1709+BG1709)/2,MAX((CL1709+BG1709)/2,H1709))))</f>
        <v>0.5</v>
      </c>
      <c r="BF1709" s="62" t="n">
        <f aca="false">BE1709*G1709</f>
        <v>1.86</v>
      </c>
      <c r="BG1709" s="62" t="n">
        <f aca="false">ROUNDUP(CL1709+MAX(CM1709,2*(J1709/IF(CH1709&gt;0,CH1709,MAX(0.1,N(Cockpit!$O$6)))-CL1709)),0)</f>
        <v>1</v>
      </c>
      <c r="BH1709" s="63" t="n">
        <f aca="false">IF(BD1709&gt;0,J1709/BD1709,-1)</f>
        <v>0</v>
      </c>
      <c r="BI1709" s="63" t="n">
        <f aca="false">IF(AND(OR(CG1709="L1",CG1709="L23",CG1709="LIFT"),BD1709&gt;0),SUMIFS($BD$7:$BD$1843,$CG$7:$CG$1843,CG1709,$BH$7:$BH$1843,"&gt;"&amp;BH1709)+SUMIFS($BD$7:$BD$1843,$CG$7:$CG$1843,CG1709,$BH$7:$BH$1843,BH1709,$BX$7:$BX$1843,"&lt;="&amp;BX1709),"")</f>
        <v>32528.1190502059</v>
      </c>
      <c r="BJ1709" s="70" t="n">
        <f aca="false">IF(BI1709="",0,MAX(0,MIN(1,(IF(CG1709="L1",Parameter!$H$5,IF(CG1709="L23",Parameter!$H$6+Parameter!$H$7,Parameter!$H$5+Parameter!$H$6+Parameter!$H$7))-(BI1709-BD1709))/BD1709)))</f>
        <v>1</v>
      </c>
      <c r="BK1709" s="60" t="str">
        <f aca="false">IF(AJ1709&lt;=0,"",IF(CG1709="Aussen","Aussenlager",IF(CG1709="-","Nicht im Lift",IF(AP1709&gt;=1,"Lift",IF(AP1709&lt;=0,"Aussenlager","teilweise")))))</f>
        <v>Lift</v>
      </c>
      <c r="BL1709" s="60" t="str">
        <f aca="false">IF(AT1709&lt;=0,"",IF(CG1709="Aussen","Aussenlager",IF(CG1709="-","Nicht im Lift",IF(AZ1709&gt;=1,"Lift",IF(AZ1709&lt;=0,"Aussenlager","teilweise")))))</f>
        <v>Aussenlager</v>
      </c>
      <c r="BM1709" s="60" t="str">
        <f aca="false">IF(BD1709&lt;=0,"",IF(CG1709="Aussen","Aussenlager",IF(CG1709="-","Nicht im Lift",IF(BJ1709&gt;=1,"Lift",IF(BJ1709&lt;=0,"Aussenlager","teilweise")))))</f>
        <v>Lift</v>
      </c>
      <c r="BN1709" s="60" t="str">
        <f aca="false">IF(A1709="","",IF(BW1709=1,"Neu; ","")&amp;IF(AND(BW1709=0,BR1709&lt;0),"negativer Bestand (Export "&amp;BR1709&amp;"); ","")&amp;IF(J1709&lt;=0,"Kein Verbrauch; ","")&amp;IF(CR1709&gt;0,"Lift "&amp;W1709&amp;" lt. Liftbericht (Fach "&amp;X1709&amp;" Stk); ",IF(CB1709=1,"Gebinde geschätzt ("&amp;T1709&amp;"); ",IF(CA1709=1,"Lose – Tablare geschätzt; ","")))&amp;IF(H1709&gt;AW1709,"Überbestand "&amp;ROUND(H1709-AW1709,0)&amp;" Stk / CHF "&amp;ROUND((H1709-AW1709)*G1709,0)&amp;"; ","")&amp;IF(AND(CI1709=1,CJ1709&lt;CK1709),"MAX &lt; MB+LG; ","")&amp;IF(AND(CQ1709&gt;0,CP1709*10&gt;CQ1709),"zu hoch für Tablar; ","")&amp;IF(AND(BW1709=0,OR(CI1709=1,AB1709&lt;&gt;"",U1709&lt;&gt;"",V1709&lt;&gt;"",AC1709&lt;&gt;"")),"manuell übersteuert; ","")&amp;IF(AND(CA1709=0,R1709=0),"Gebinde unbekannt / Stellmass fehlt; ","")&amp;IF(AND(CA1709=0,N(V1709)&lt;=0,N(Q1709)&lt;=0),"Menge pro Gebinde fehlt (Ist = 1 Gebinde); ","")&amp;BV1709)</f>
        <v>Kein Verbrauch; Überbestand 57 Stk / CHF 212; nur im Artikelstamm (Bestand 23.06.2026)</v>
      </c>
      <c r="BO1709" s="60"/>
      <c r="BP1709" s="60"/>
      <c r="BQ1709" s="67"/>
      <c r="BR1709" s="62" t="n">
        <v>58</v>
      </c>
      <c r="BS1709" s="62" t="n">
        <v>0</v>
      </c>
      <c r="BT1709" s="61" t="n">
        <v>0</v>
      </c>
      <c r="BU1709" s="62" t="n">
        <v>0</v>
      </c>
      <c r="BV1709" s="60" t="s">
        <v>2617</v>
      </c>
      <c r="BW1709" s="65" t="n">
        <v>0</v>
      </c>
      <c r="BX1709" s="65" t="n">
        <v>1709</v>
      </c>
      <c r="BY1709" s="60" t="str">
        <f aca="false">IF(U1709&lt;&gt;"",UPPER(TRIM(U1709)),IF(CB1709=1,UPPER(VLOOKUP(T1709,Parameter!$I$27:$K$29,2,0)),IF(P1709="","LOSE",P1709)))</f>
        <v>S22</v>
      </c>
      <c r="BZ1709" s="62" t="n">
        <f aca="false">IF(BY1709="LOSE",1,IF(N(V1709)&gt;0,V1709,IF(CB1709=1,MAX(1,N(VLOOKUP(T1709,Parameter!$I$27:$K$29,3,0)),H1709,N(N1709)),IF(N(Q1709)&gt;0,Q1709,MAX(1,H1709)))))</f>
        <v>30</v>
      </c>
      <c r="CA1709" s="65" t="n">
        <f aca="false">IF(BY1709="LOSE",1,0)</f>
        <v>0</v>
      </c>
      <c r="CB1709" s="65" t="n">
        <f aca="false">IF(AND(U1709="",OR(P1709="",P1709="LOSE"),T1709&lt;&gt;"",N(S1709)&lt;=0,ISNUMBER(MATCH(T1709,Parameter!$I$27:$I$29,0))),1,0)</f>
        <v>0</v>
      </c>
      <c r="CC1709" s="65" t="n">
        <f aca="false">IF(CR1709&gt;0,INDEX(Parameter!$H$5:$H$7,W1709)/INDEX(Parameter!$E$5:$E$7,W1709),IF(AND(CA1709=0,N(IFERROR(VLOOKUP(BY1709,'Gebinde-Kategorie'!$A$5:$N$45,14,0),0))&gt;0),VLOOKUP(BY1709,'Gebinde-Kategorie'!$A$5:$N$45,14,0)*10+Parameter!$M$23,Parameter!$M$24))</f>
        <v>155</v>
      </c>
      <c r="CD1709" s="60" t="str">
        <f aca="false">IF(AND(Parameter!$B$19="Ja",E1709&lt;&gt;"",ISNUMBER(MATCH(E1709,Parameter!$I$35:$I$52,0))),VLOOKUP(E1709,Parameter!$I$35:$J$52,2,0),IFERROR(VLOOKUP(D1709,Parameter!$A$35:$C$64,2,0),"Nein"))</f>
        <v>2+3</v>
      </c>
      <c r="CE1709" s="64" t="n">
        <f aca="false">IF(CA1709=0,0,IF(N(S1709)&gt;0,S1709,IFERROR(VLOOKUP(D1709,Parameter!$A$35:$C$64,3,0)+0,0)))</f>
        <v>0</v>
      </c>
      <c r="CF1709" s="60" t="n">
        <f aca="false">IF(AB1709&lt;&gt;"",AB1709,AA1709)</f>
        <v>2</v>
      </c>
      <c r="CG1709" s="60" t="str">
        <f aca="false">IF(OR(CF1709=1,CF1709=2,CF1709=3),IF(Parameter!$E$27="Ja","LIFT",IF(CF1709=1,"L1","L23")),IF(CF1709="Aussen","Aussen","-"))</f>
        <v>LIFT</v>
      </c>
      <c r="CH1709" s="71" t="n">
        <f aca="false">IF(N(AC1709)&gt;0,AC1709,0)</f>
        <v>0</v>
      </c>
      <c r="CI1709" s="65" t="n">
        <f aca="false">IF(ISNUMBER(AF1709),1,0)</f>
        <v>0</v>
      </c>
      <c r="CJ1709" s="62" t="n">
        <f aca="false">N(AF1709)</f>
        <v>0</v>
      </c>
      <c r="CK1709" s="62" t="n">
        <f aca="false">N(M1709)+N(N1709)</f>
        <v>1</v>
      </c>
      <c r="CL1709" s="62" t="n">
        <f aca="false">N(M1709)</f>
        <v>0</v>
      </c>
      <c r="CM1709" s="62" t="n">
        <f aca="false">N(N1709)</f>
        <v>1</v>
      </c>
      <c r="CN1709" s="62" t="n">
        <f aca="false">ROUNDUP(H1709/BZ1709,0)</f>
        <v>2</v>
      </c>
      <c r="CO1709" s="62" t="n">
        <f aca="false">ROUNDUP(CJ1709/BZ1709,0)</f>
        <v>0</v>
      </c>
      <c r="CP1709" s="65" t="n">
        <f aca="false">IF(CA1709=1,0,IFERROR(VLOOKUP(BY1709,'Gebinde-Kategorie'!$A$5:$N$45,5,0)+0,0))</f>
        <v>8</v>
      </c>
      <c r="CQ1709" s="65" t="n">
        <f aca="false">IFERROR(IF(OR(CF1709=1,CF1709=2,CF1709=3),N(INDEX(Parameter!$I$5:$I$7,CF1709)),0),0)</f>
        <v>0</v>
      </c>
      <c r="CR1709" s="64" t="n">
        <f aca="false">IF(AND(Parameter!$B$21="Ja",ISNUMBER(W1709),N(X1709)&gt;0),IFERROR(N(INDEX(Parameter!$L$5:$L$7,W1709))*INDEX(Parameter!$E$5:$E$7,W1709)*X1709/SUMIFS($X$7:$X$1843,$W$7:$W$1843,W1709),0),0)</f>
        <v>0</v>
      </c>
      <c r="CS1709" s="62" t="n">
        <f aca="false">IF(AND(OR(CG1709="L1",CG1709="L23",CG1709="LIFT"),H1709&gt;0),CC1709*IF(CR1709&gt;0,CR1709*MAX(1,H1709/X1709),IF(CA1709=1,CE1709,IF(R1709&gt;0,CN1709/R1709,0))/MAX(0.1,N(Parameter!$M$21))),"")</f>
        <v>2.21428571428571</v>
      </c>
      <c r="CT1709" s="64" t="n">
        <f aca="false">IF(CS1709="","",J1709/H1709)</f>
        <v>0</v>
      </c>
      <c r="CU1709" s="62" t="n">
        <f aca="false">IF(CS1709="","",H1709*G1709)</f>
        <v>215.76</v>
      </c>
      <c r="CV1709" s="63" t="n">
        <f aca="false">IF(CS1709="","",(CL1709+ROUNDUP(CL1709+MAX(CM1709,2*(J1709/MAX(0.1,N(Einkauf!$C$6))-CL1709)),0))/2)</f>
        <v>0.5</v>
      </c>
      <c r="CW1709" s="62" t="n">
        <f aca="false">IF(CS1709="","",MAX(0,H1709-CV1709)*G1709)</f>
        <v>213.9</v>
      </c>
      <c r="CX1709" s="62" t="n">
        <f aca="false">IF(CS1709="","",CS1709*MAX(0,1-CV1709/H1709))</f>
        <v>2.19519704433498</v>
      </c>
      <c r="CY1709" s="64" t="n">
        <f aca="false">IF(CS1709="","",PERCENTRANK($CS$7:$CS$1843,CS1709)+PERCENTRANK($CU$7:$CU$1843,CU1709)+1-PERCENTRANK($CT$7:$CT$1843,CT1709))</f>
        <v>1.551</v>
      </c>
      <c r="CZ1709" s="72" t="n">
        <f aca="false">IF(CS1709="","",CHOOSE(MATCH(Einkauf!$C$5,Parameter!$G$23:$G$27,0),CY1709,CS1709,CU1709,-CT1709,CW1709)+ROW()/1000000000)</f>
        <v>1.551001709</v>
      </c>
    </row>
    <row r="1710" customFormat="false" ht="15" hidden="false" customHeight="false" outlineLevel="0" collapsed="false">
      <c r="A1710" s="60" t="s">
        <v>3000</v>
      </c>
      <c r="B1710" s="60" t="s">
        <v>3001</v>
      </c>
      <c r="C1710" s="60" t="s">
        <v>206</v>
      </c>
      <c r="D1710" s="60" t="s">
        <v>226</v>
      </c>
      <c r="E1710" s="60"/>
      <c r="F1710" s="60"/>
      <c r="G1710" s="61" t="n">
        <v>36.4</v>
      </c>
      <c r="H1710" s="62" t="n">
        <f aca="false">MAX(0,IF(AND(Parameter!$B$21="Ja",ISNUMBER(Y1710)),Y1710,IF(Parameter!$B$20="Jahresanfang 2025 + Export",BS1710+BR1710,BR1710)))</f>
        <v>1</v>
      </c>
      <c r="I1710" s="62" t="n">
        <f aca="false">H1710*G1710</f>
        <v>36.4</v>
      </c>
      <c r="J1710" s="62" t="n">
        <f aca="false">BU1710*Parameter!$B$18</f>
        <v>0</v>
      </c>
      <c r="K1710" s="63"/>
      <c r="L1710" s="64"/>
      <c r="M1710" s="62" t="n">
        <v>0</v>
      </c>
      <c r="N1710" s="62" t="n">
        <v>6</v>
      </c>
      <c r="O1710" s="65" t="n">
        <v>0</v>
      </c>
      <c r="P1710" s="60" t="s">
        <v>468</v>
      </c>
      <c r="Q1710" s="62" t="n">
        <v>2</v>
      </c>
      <c r="R1710" s="65" t="n">
        <f aca="false">IF(CA1710=1,0,IFERROR(VLOOKUP(BY1710,'Gebinde-Kategorie'!$A$5:$N$45,13,0)+0,0))</f>
        <v>140</v>
      </c>
      <c r="S1710" s="66"/>
      <c r="T1710" s="67"/>
      <c r="U1710" s="67"/>
      <c r="V1710" s="67"/>
      <c r="W1710" s="60"/>
      <c r="X1710" s="62"/>
      <c r="Y1710" s="62"/>
      <c r="Z1710" s="60" t="n">
        <v>2</v>
      </c>
      <c r="AA1710" s="60" t="n">
        <f aca="false">IF(A1710="","",IF(AND(Parameter!$B$21="Ja",ISNUMBER(W1710)),W1710,IF(AND(Parameter!$E$27="Ja",ISNUMBER(Z1710),CD1710&lt;&gt;"Nein"),Z1710,IF(CD1710="2+3",IF(ISNUMBER(SEARCH("grosser Artikel",BV1710)),2,IFERROR(VLOOKUP(BY1710,Parameter!$F$35:$G$64,2,0),2)),IF(OR(CD1710="Nein",CD1710=""),"-",CD1710)))))</f>
        <v>2</v>
      </c>
      <c r="AB1710" s="67"/>
      <c r="AC1710" s="68"/>
      <c r="AD1710" s="62" t="n">
        <f aca="false">AW1710</f>
        <v>6</v>
      </c>
      <c r="AE1710" s="62" t="n">
        <f aca="false">MAX(AW1710,H1710)</f>
        <v>6</v>
      </c>
      <c r="AF1710" s="69"/>
      <c r="AG1710" s="62" t="n">
        <f aca="false">IF(LEFT(Cockpit!$C$5,1)="A",H1710,IF(Parameter!$E$30="MAX-Bestand",IF(CI1710=1,CJ1710,IF(LEFT(Cockpit!$C$5,1)="B",AM1710,MAX(AM1710,H1710))),ROUNDUP(AK1710,0)))</f>
        <v>1</v>
      </c>
      <c r="AH1710" s="62" t="n">
        <f aca="false">IF(CA1710=1,0,ROUNDUP(AG1710/BZ1710,0))</f>
        <v>1</v>
      </c>
      <c r="AI1710" s="64" t="n">
        <f aca="false">IF(CR1710&gt;0,CR1710*MAX(1,AG1710/X1710),IF(CA1710=1,IF(AG1710&lt;=0,0,CE1710*MAX(1,IF(H1710&gt;0,AG1710/H1710,1))),IF(R1710&gt;0,AH1710/R1710,0))/MAX(0.1,N(Parameter!$M$21)))</f>
        <v>0.00714285714285714</v>
      </c>
      <c r="AJ1710" s="62" t="n">
        <f aca="false">AI1710*CC1710</f>
        <v>1.10714285714286</v>
      </c>
      <c r="AK1710" s="63" t="n">
        <f aca="false">IF(LEFT(Cockpit!$C$5,1)="A",H1710,IF(CI1710=1,(CL1710+CJ1710)/2,IF(LEFT(Cockpit!$C$5,1)="B",(CL1710+AM1710)/2,MAX((CL1710+AM1710)/2,H1710))))</f>
        <v>1</v>
      </c>
      <c r="AL1710" s="62" t="n">
        <f aca="false">AK1710*G1710</f>
        <v>36.4</v>
      </c>
      <c r="AM1710" s="62" t="n">
        <f aca="false">ROUNDUP(CL1710+MAX(CM1710,2*(J1710/IF(CH1710&gt;0,CH1710,MAX(0.1,N(Cockpit!$C$6)))-CL1710)),0)</f>
        <v>6</v>
      </c>
      <c r="AN1710" s="63" t="n">
        <f aca="false">IF(AJ1710&gt;0,J1710/AJ1710,-1)</f>
        <v>0</v>
      </c>
      <c r="AO1710" s="63" t="n">
        <f aca="false">IF(AND(OR(CG1710="L1",CG1710="L23",CG1710="LIFT"),AJ1710&gt;0),SUMIFS($AJ$7:$AJ$1843,$CG$7:$CG$1843,CG1710,$AN$7:$AN$1843,"&gt;"&amp;AN1710)+SUMIFS($AJ$7:$AJ$1843,$CG$7:$CG$1843,CG1710,$AN$7:$AN$1843,AN1710,$BX$7:$BX$1843,"&lt;="&amp;BX1710),"")</f>
        <v>32824.2047272407</v>
      </c>
      <c r="AP1710" s="70" t="n">
        <f aca="false">IF(AO1710="",0,MAX(0,MIN(1,(IF(CG1710="L1",Parameter!$H$5,IF(CG1710="L23",Parameter!$H$6+Parameter!$H$7,Parameter!$H$5+Parameter!$H$6+Parameter!$H$7))-(AO1710-AJ1710))/AJ1710)))</f>
        <v>1</v>
      </c>
      <c r="AQ1710" s="62" t="n">
        <f aca="false">IF(LEFT(Cockpit!$I$5,1)="A",H1710,IF(Parameter!$E$30="MAX-Bestand",IF(CI1710=1,CJ1710,IF(LEFT(Cockpit!$I$5,1)="B",AW1710,MAX(AW1710,H1710))),ROUNDUP(AU1710,0)))</f>
        <v>3</v>
      </c>
      <c r="AR1710" s="62" t="n">
        <f aca="false">IF(CA1710=1,0,ROUNDUP(AQ1710/BZ1710,0))</f>
        <v>2</v>
      </c>
      <c r="AS1710" s="64" t="n">
        <f aca="false">IF(CR1710&gt;0,CR1710*MAX(1,AQ1710/X1710),IF(CA1710=1,IF(AQ1710&lt;=0,0,CE1710*MAX(1,IF(H1710&gt;0,AQ1710/H1710,1))),IF(R1710&gt;0,AR1710/R1710,0))/MAX(0.1,N(Parameter!$M$21)))</f>
        <v>0.0142857142857143</v>
      </c>
      <c r="AT1710" s="62" t="n">
        <f aca="false">AS1710*CC1710</f>
        <v>2.21428571428571</v>
      </c>
      <c r="AU1710" s="63" t="n">
        <f aca="false">IF(LEFT(Cockpit!$I$5,1)="A",H1710,IF(CI1710=1,(CL1710+CJ1710)/2,IF(LEFT(Cockpit!$I$5,1)="B",(CL1710+AW1710)/2,MAX((CL1710+AW1710)/2,H1710))))</f>
        <v>3</v>
      </c>
      <c r="AV1710" s="62" t="n">
        <f aca="false">AU1710*G1710</f>
        <v>109.2</v>
      </c>
      <c r="AW1710" s="62" t="n">
        <f aca="false">ROUNDUP(CL1710+MAX(CM1710,2*(J1710/IF(CH1710&gt;0,CH1710,MAX(0.1,N(Cockpit!$I$6)))-CL1710)),0)</f>
        <v>6</v>
      </c>
      <c r="AX1710" s="63" t="n">
        <f aca="false">IF(AT1710&gt;0,J1710/AT1710,-1)</f>
        <v>0</v>
      </c>
      <c r="AY1710" s="63" t="n">
        <f aca="false">IF(AND(OR(CG1710="L1",CG1710="L23",CG1710="LIFT"),AT1710&gt;0),SUMIFS($AT$7:$AT$1843,$CG$7:$CG$1843,CG1710,$AX$7:$AX$1843,"&gt;"&amp;AX1710)+SUMIFS($AT$7:$AT$1843,$CG$7:$CG$1843,CG1710,$AX$7:$AX$1843,AX1710,$BX$7:$BX$1843,"&lt;="&amp;BX1710),"")</f>
        <v>39297.5601006809</v>
      </c>
      <c r="AZ1710" s="70" t="n">
        <f aca="false">IF(AY1710="",0,MAX(0,MIN(1,(IF(CG1710="L1",Parameter!$H$5,IF(CG1710="L23",Parameter!$H$6+Parameter!$H$7,Parameter!$H$5+Parameter!$H$6+Parameter!$H$7))-(AY1710-AT1710))/AT1710)))</f>
        <v>0</v>
      </c>
      <c r="BA1710" s="62" t="n">
        <f aca="false">IF(LEFT(Cockpit!$O$5,1)="A",H1710,IF(Parameter!$E$30="MAX-Bestand",IF(CI1710=1,CJ1710,IF(LEFT(Cockpit!$O$5,1)="B",BG1710,MAX(BG1710,H1710))),ROUNDUP(BE1710,0)))</f>
        <v>3</v>
      </c>
      <c r="BB1710" s="62" t="n">
        <f aca="false">IF(CA1710=1,0,ROUNDUP(BA1710/BZ1710,0))</f>
        <v>2</v>
      </c>
      <c r="BC1710" s="64" t="n">
        <f aca="false">IF(CR1710&gt;0,CR1710*MAX(1,BA1710/X1710),IF(CA1710=1,IF(BA1710&lt;=0,0,CE1710*MAX(1,IF(H1710&gt;0,BA1710/H1710,1))),IF(R1710&gt;0,BB1710/R1710,0))/MAX(0.1,N(Parameter!$M$21)))</f>
        <v>0.0142857142857143</v>
      </c>
      <c r="BD1710" s="62" t="n">
        <f aca="false">BC1710*CC1710</f>
        <v>2.21428571428571</v>
      </c>
      <c r="BE1710" s="63" t="n">
        <f aca="false">IF(LEFT(Cockpit!$O$5,1)="A",H1710,IF(CI1710=1,(CL1710+CJ1710)/2,IF(LEFT(Cockpit!$O$5,1)="B",(CL1710+BG1710)/2,MAX((CL1710+BG1710)/2,H1710))))</f>
        <v>3</v>
      </c>
      <c r="BF1710" s="62" t="n">
        <f aca="false">BE1710*G1710</f>
        <v>109.2</v>
      </c>
      <c r="BG1710" s="62" t="n">
        <f aca="false">ROUNDUP(CL1710+MAX(CM1710,2*(J1710/IF(CH1710&gt;0,CH1710,MAX(0.1,N(Cockpit!$O$6)))-CL1710)),0)</f>
        <v>6</v>
      </c>
      <c r="BH1710" s="63" t="n">
        <f aca="false">IF(BD1710&gt;0,J1710/BD1710,-1)</f>
        <v>0</v>
      </c>
      <c r="BI1710" s="63" t="n">
        <f aca="false">IF(AND(OR(CG1710="L1",CG1710="L23",CG1710="LIFT"),BD1710&gt;0),SUMIFS($BD$7:$BD$1843,$CG$7:$CG$1843,CG1710,$BH$7:$BH$1843,"&gt;"&amp;BH1710)+SUMIFS($BD$7:$BD$1843,$CG$7:$CG$1843,CG1710,$BH$7:$BH$1843,BH1710,$BX$7:$BX$1843,"&lt;="&amp;BX1710),"")</f>
        <v>32530.3333359202</v>
      </c>
      <c r="BJ1710" s="70" t="n">
        <f aca="false">IF(BI1710="",0,MAX(0,MIN(1,(IF(CG1710="L1",Parameter!$H$5,IF(CG1710="L23",Parameter!$H$6+Parameter!$H$7,Parameter!$H$5+Parameter!$H$6+Parameter!$H$7))-(BI1710-BD1710))/BD1710)))</f>
        <v>1</v>
      </c>
      <c r="BK1710" s="60" t="str">
        <f aca="false">IF(AJ1710&lt;=0,"",IF(CG1710="Aussen","Aussenlager",IF(CG1710="-","Nicht im Lift",IF(AP1710&gt;=1,"Lift",IF(AP1710&lt;=0,"Aussenlager","teilweise")))))</f>
        <v>Lift</v>
      </c>
      <c r="BL1710" s="60" t="str">
        <f aca="false">IF(AT1710&lt;=0,"",IF(CG1710="Aussen","Aussenlager",IF(CG1710="-","Nicht im Lift",IF(AZ1710&gt;=1,"Lift",IF(AZ1710&lt;=0,"Aussenlager","teilweise")))))</f>
        <v>Aussenlager</v>
      </c>
      <c r="BM1710" s="60" t="str">
        <f aca="false">IF(BD1710&lt;=0,"",IF(CG1710="Aussen","Aussenlager",IF(CG1710="-","Nicht im Lift",IF(BJ1710&gt;=1,"Lift",IF(BJ1710&lt;=0,"Aussenlager","teilweise")))))</f>
        <v>Lift</v>
      </c>
      <c r="BN1710" s="60" t="str">
        <f aca="false">IF(A1710="","",IF(BW1710=1,"Neu; ","")&amp;IF(AND(BW1710=0,BR1710&lt;0),"negativer Bestand (Export "&amp;BR1710&amp;"); ","")&amp;IF(J1710&lt;=0,"Kein Verbrauch; ","")&amp;IF(CR1710&gt;0,"Lift "&amp;W1710&amp;" lt. Liftbericht (Fach "&amp;X1710&amp;" Stk); ",IF(CB1710=1,"Gebinde geschätzt ("&amp;T1710&amp;"); ",IF(CA1710=1,"Lose – Tablare geschätzt; ","")))&amp;IF(H1710&gt;AW1710,"Überbestand "&amp;ROUND(H1710-AW1710,0)&amp;" Stk / CHF "&amp;ROUND((H1710-AW1710)*G1710,0)&amp;"; ","")&amp;IF(AND(CI1710=1,CJ1710&lt;CK1710),"MAX &lt; MB+LG; ","")&amp;IF(AND(CQ1710&gt;0,CP1710*10&gt;CQ1710),"zu hoch für Tablar; ","")&amp;IF(AND(BW1710=0,OR(CI1710=1,AB1710&lt;&gt;"",U1710&lt;&gt;"",V1710&lt;&gt;"",AC1710&lt;&gt;"")),"manuell übersteuert; ","")&amp;IF(AND(CA1710=0,R1710=0),"Gebinde unbekannt / Stellmass fehlt; ","")&amp;IF(AND(CA1710=0,N(V1710)&lt;=0,N(Q1710)&lt;=0),"Menge pro Gebinde fehlt (Ist = 1 Gebinde); ","")&amp;BV1710)</f>
        <v>Kein Verbrauch; nur im Artikelstamm (Bestand 23.06.2026); i.o</v>
      </c>
      <c r="BO1710" s="60"/>
      <c r="BP1710" s="60"/>
      <c r="BQ1710" s="67"/>
      <c r="BR1710" s="62" t="n">
        <v>1</v>
      </c>
      <c r="BS1710" s="62" t="n">
        <v>0</v>
      </c>
      <c r="BT1710" s="61" t="n">
        <v>0</v>
      </c>
      <c r="BU1710" s="62" t="n">
        <v>0</v>
      </c>
      <c r="BV1710" s="60" t="s">
        <v>3002</v>
      </c>
      <c r="BW1710" s="65" t="n">
        <v>0</v>
      </c>
      <c r="BX1710" s="65" t="n">
        <v>1710</v>
      </c>
      <c r="BY1710" s="60" t="str">
        <f aca="false">IF(U1710&lt;&gt;"",UPPER(TRIM(U1710)),IF(CB1710=1,UPPER(VLOOKUP(T1710,Parameter!$I$27:$K$29,2,0)),IF(P1710="","LOSE",P1710)))</f>
        <v>S22</v>
      </c>
      <c r="BZ1710" s="62" t="n">
        <f aca="false">IF(BY1710="LOSE",1,IF(N(V1710)&gt;0,V1710,IF(CB1710=1,MAX(1,N(VLOOKUP(T1710,Parameter!$I$27:$K$29,3,0)),H1710,N(N1710)),IF(N(Q1710)&gt;0,Q1710,MAX(1,H1710)))))</f>
        <v>2</v>
      </c>
      <c r="CA1710" s="65" t="n">
        <f aca="false">IF(BY1710="LOSE",1,0)</f>
        <v>0</v>
      </c>
      <c r="CB1710" s="65" t="n">
        <f aca="false">IF(AND(U1710="",OR(P1710="",P1710="LOSE"),T1710&lt;&gt;"",N(S1710)&lt;=0,ISNUMBER(MATCH(T1710,Parameter!$I$27:$I$29,0))),1,0)</f>
        <v>0</v>
      </c>
      <c r="CC1710" s="65" t="n">
        <f aca="false">IF(CR1710&gt;0,INDEX(Parameter!$H$5:$H$7,W1710)/INDEX(Parameter!$E$5:$E$7,W1710),IF(AND(CA1710=0,N(IFERROR(VLOOKUP(BY1710,'Gebinde-Kategorie'!$A$5:$N$45,14,0),0))&gt;0),VLOOKUP(BY1710,'Gebinde-Kategorie'!$A$5:$N$45,14,0)*10+Parameter!$M$23,Parameter!$M$24))</f>
        <v>155</v>
      </c>
      <c r="CD1710" s="60" t="str">
        <f aca="false">IF(AND(Parameter!$B$19="Ja",E1710&lt;&gt;"",ISNUMBER(MATCH(E1710,Parameter!$I$35:$I$52,0))),VLOOKUP(E1710,Parameter!$I$35:$J$52,2,0),IFERROR(VLOOKUP(D1710,Parameter!$A$35:$C$64,2,0),"Nein"))</f>
        <v>2+3</v>
      </c>
      <c r="CE1710" s="64" t="n">
        <f aca="false">IF(CA1710=0,0,IF(N(S1710)&gt;0,S1710,IFERROR(VLOOKUP(D1710,Parameter!$A$35:$C$64,3,0)+0,0)))</f>
        <v>0</v>
      </c>
      <c r="CF1710" s="60" t="n">
        <f aca="false">IF(AB1710&lt;&gt;"",AB1710,AA1710)</f>
        <v>2</v>
      </c>
      <c r="CG1710" s="60" t="str">
        <f aca="false">IF(OR(CF1710=1,CF1710=2,CF1710=3),IF(Parameter!$E$27="Ja","LIFT",IF(CF1710=1,"L1","L23")),IF(CF1710="Aussen","Aussen","-"))</f>
        <v>LIFT</v>
      </c>
      <c r="CH1710" s="71" t="n">
        <f aca="false">IF(N(AC1710)&gt;0,AC1710,0)</f>
        <v>0</v>
      </c>
      <c r="CI1710" s="65" t="n">
        <f aca="false">IF(ISNUMBER(AF1710),1,0)</f>
        <v>0</v>
      </c>
      <c r="CJ1710" s="62" t="n">
        <f aca="false">N(AF1710)</f>
        <v>0</v>
      </c>
      <c r="CK1710" s="62" t="n">
        <f aca="false">N(M1710)+N(N1710)</f>
        <v>6</v>
      </c>
      <c r="CL1710" s="62" t="n">
        <f aca="false">N(M1710)</f>
        <v>0</v>
      </c>
      <c r="CM1710" s="62" t="n">
        <f aca="false">N(N1710)</f>
        <v>6</v>
      </c>
      <c r="CN1710" s="62" t="n">
        <f aca="false">ROUNDUP(H1710/BZ1710,0)</f>
        <v>1</v>
      </c>
      <c r="CO1710" s="62" t="n">
        <f aca="false">ROUNDUP(CJ1710/BZ1710,0)</f>
        <v>0</v>
      </c>
      <c r="CP1710" s="65" t="n">
        <f aca="false">IF(CA1710=1,0,IFERROR(VLOOKUP(BY1710,'Gebinde-Kategorie'!$A$5:$N$45,5,0)+0,0))</f>
        <v>8</v>
      </c>
      <c r="CQ1710" s="65" t="n">
        <f aca="false">IFERROR(IF(OR(CF1710=1,CF1710=2,CF1710=3),N(INDEX(Parameter!$I$5:$I$7,CF1710)),0),0)</f>
        <v>0</v>
      </c>
      <c r="CR1710" s="64" t="n">
        <f aca="false">IF(AND(Parameter!$B$21="Ja",ISNUMBER(W1710),N(X1710)&gt;0),IFERROR(N(INDEX(Parameter!$L$5:$L$7,W1710))*INDEX(Parameter!$E$5:$E$7,W1710)*X1710/SUMIFS($X$7:$X$1843,$W$7:$W$1843,W1710),0),0)</f>
        <v>0</v>
      </c>
      <c r="CS1710" s="62" t="n">
        <f aca="false">IF(AND(OR(CG1710="L1",CG1710="L23",CG1710="LIFT"),H1710&gt;0),CC1710*IF(CR1710&gt;0,CR1710*MAX(1,H1710/X1710),IF(CA1710=1,CE1710,IF(R1710&gt;0,CN1710/R1710,0))/MAX(0.1,N(Parameter!$M$21))),"")</f>
        <v>1.10714285714286</v>
      </c>
      <c r="CT1710" s="64" t="n">
        <f aca="false">IF(CS1710="","",J1710/H1710)</f>
        <v>0</v>
      </c>
      <c r="CU1710" s="62" t="n">
        <f aca="false">IF(CS1710="","",H1710*G1710)</f>
        <v>36.4</v>
      </c>
      <c r="CV1710" s="63" t="n">
        <f aca="false">IF(CS1710="","",(CL1710+ROUNDUP(CL1710+MAX(CM1710,2*(J1710/MAX(0.1,N(Einkauf!$C$6))-CL1710)),0))/2)</f>
        <v>3</v>
      </c>
      <c r="CW1710" s="62" t="n">
        <f aca="false">IF(CS1710="","",MAX(0,H1710-CV1710)*G1710)</f>
        <v>0</v>
      </c>
      <c r="CX1710" s="62" t="n">
        <f aca="false">IF(CS1710="","",CS1710*MAX(0,1-CV1710/H1710))</f>
        <v>0</v>
      </c>
      <c r="CY1710" s="64" t="n">
        <f aca="false">IF(CS1710="","",PERCENTRANK($CS$7:$CS$1843,CS1710)+PERCENTRANK($CU$7:$CU$1843,CU1710)+1-PERCENTRANK($CT$7:$CT$1843,CT1710))</f>
        <v>1.1824</v>
      </c>
      <c r="CZ1710" s="72" t="n">
        <f aca="false">IF(CS1710="","",CHOOSE(MATCH(Einkauf!$C$5,Parameter!$G$23:$G$27,0),CY1710,CS1710,CU1710,-CT1710,CW1710)+ROW()/1000000000)</f>
        <v>1.18240171</v>
      </c>
    </row>
    <row r="1711" customFormat="false" ht="15" hidden="false" customHeight="false" outlineLevel="0" collapsed="false">
      <c r="A1711" s="60" t="s">
        <v>3003</v>
      </c>
      <c r="B1711" s="60" t="s">
        <v>3004</v>
      </c>
      <c r="C1711" s="60" t="s">
        <v>206</v>
      </c>
      <c r="D1711" s="60" t="s">
        <v>226</v>
      </c>
      <c r="E1711" s="60"/>
      <c r="F1711" s="60"/>
      <c r="G1711" s="61" t="n">
        <v>85.5</v>
      </c>
      <c r="H1711" s="62" t="n">
        <f aca="false">MAX(0,IF(AND(Parameter!$B$21="Ja",ISNUMBER(Y1711)),Y1711,IF(Parameter!$B$20="Jahresanfang 2025 + Export",BS1711+BR1711,BR1711)))</f>
        <v>22</v>
      </c>
      <c r="I1711" s="62" t="n">
        <f aca="false">H1711*G1711</f>
        <v>1881</v>
      </c>
      <c r="J1711" s="62" t="n">
        <f aca="false">BU1711*Parameter!$B$18</f>
        <v>0</v>
      </c>
      <c r="K1711" s="63"/>
      <c r="L1711" s="64"/>
      <c r="M1711" s="62" t="n">
        <v>0</v>
      </c>
      <c r="N1711" s="62" t="n">
        <v>3</v>
      </c>
      <c r="O1711" s="65" t="n">
        <v>14</v>
      </c>
      <c r="P1711" s="60" t="s">
        <v>463</v>
      </c>
      <c r="Q1711" s="62" t="n">
        <v>22</v>
      </c>
      <c r="R1711" s="65" t="n">
        <f aca="false">IF(CA1711=1,0,IFERROR(VLOOKUP(BY1711,'Gebinde-Kategorie'!$A$5:$N$45,13,0)+0,0))</f>
        <v>104</v>
      </c>
      <c r="S1711" s="66"/>
      <c r="T1711" s="67"/>
      <c r="U1711" s="67"/>
      <c r="V1711" s="67"/>
      <c r="W1711" s="60"/>
      <c r="X1711" s="62"/>
      <c r="Y1711" s="62"/>
      <c r="Z1711" s="60" t="n">
        <v>3</v>
      </c>
      <c r="AA1711" s="60" t="n">
        <f aca="false">IF(A1711="","",IF(AND(Parameter!$B$21="Ja",ISNUMBER(W1711)),W1711,IF(AND(Parameter!$E$27="Ja",ISNUMBER(Z1711),CD1711&lt;&gt;"Nein"),Z1711,IF(CD1711="2+3",IF(ISNUMBER(SEARCH("grosser Artikel",BV1711)),2,IFERROR(VLOOKUP(BY1711,Parameter!$F$35:$G$64,2,0),2)),IF(OR(CD1711="Nein",CD1711=""),"-",CD1711)))))</f>
        <v>3</v>
      </c>
      <c r="AB1711" s="67"/>
      <c r="AC1711" s="68"/>
      <c r="AD1711" s="62" t="n">
        <f aca="false">AW1711</f>
        <v>3</v>
      </c>
      <c r="AE1711" s="62" t="n">
        <f aca="false">MAX(AW1711,H1711)</f>
        <v>22</v>
      </c>
      <c r="AF1711" s="69"/>
      <c r="AG1711" s="62" t="n">
        <f aca="false">IF(LEFT(Cockpit!$C$5,1)="A",H1711,IF(Parameter!$E$30="MAX-Bestand",IF(CI1711=1,CJ1711,IF(LEFT(Cockpit!$C$5,1)="B",AM1711,MAX(AM1711,H1711))),ROUNDUP(AK1711,0)))</f>
        <v>22</v>
      </c>
      <c r="AH1711" s="62" t="n">
        <f aca="false">IF(CA1711=1,0,ROUNDUP(AG1711/BZ1711,0))</f>
        <v>1</v>
      </c>
      <c r="AI1711" s="64" t="n">
        <f aca="false">IF(CR1711&gt;0,CR1711*MAX(1,AG1711/X1711),IF(CA1711=1,IF(AG1711&lt;=0,0,CE1711*MAX(1,IF(H1711&gt;0,AG1711/H1711,1))),IF(R1711&gt;0,AH1711/R1711,0))/MAX(0.1,N(Parameter!$M$21)))</f>
        <v>0.00961538461538462</v>
      </c>
      <c r="AJ1711" s="62" t="n">
        <f aca="false">AI1711*CC1711</f>
        <v>1.49038461538462</v>
      </c>
      <c r="AK1711" s="63" t="n">
        <f aca="false">IF(LEFT(Cockpit!$C$5,1)="A",H1711,IF(CI1711=1,(CL1711+CJ1711)/2,IF(LEFT(Cockpit!$C$5,1)="B",(CL1711+AM1711)/2,MAX((CL1711+AM1711)/2,H1711))))</f>
        <v>22</v>
      </c>
      <c r="AL1711" s="62" t="n">
        <f aca="false">AK1711*G1711</f>
        <v>1881</v>
      </c>
      <c r="AM1711" s="62" t="n">
        <f aca="false">ROUNDUP(CL1711+MAX(CM1711,2*(J1711/IF(CH1711&gt;0,CH1711,MAX(0.1,N(Cockpit!$C$6)))-CL1711)),0)</f>
        <v>3</v>
      </c>
      <c r="AN1711" s="63" t="n">
        <f aca="false">IF(AJ1711&gt;0,J1711/AJ1711,-1)</f>
        <v>0</v>
      </c>
      <c r="AO1711" s="63" t="n">
        <f aca="false">IF(AND(OR(CG1711="L1",CG1711="L23",CG1711="LIFT"),AJ1711&gt;0),SUMIFS($AJ$7:$AJ$1843,$CG$7:$CG$1843,CG1711,$AN$7:$AN$1843,"&gt;"&amp;AN1711)+SUMIFS($AJ$7:$AJ$1843,$CG$7:$CG$1843,CG1711,$AN$7:$AN$1843,AN1711,$BX$7:$BX$1843,"&lt;="&amp;BX1711),"")</f>
        <v>32825.6951118561</v>
      </c>
      <c r="AP1711" s="70" t="n">
        <f aca="false">IF(AO1711="",0,MAX(0,MIN(1,(IF(CG1711="L1",Parameter!$H$5,IF(CG1711="L23",Parameter!$H$6+Parameter!$H$7,Parameter!$H$5+Parameter!$H$6+Parameter!$H$7))-(AO1711-AJ1711))/AJ1711)))</f>
        <v>1</v>
      </c>
      <c r="AQ1711" s="62" t="n">
        <f aca="false">IF(LEFT(Cockpit!$I$5,1)="A",H1711,IF(Parameter!$E$30="MAX-Bestand",IF(CI1711=1,CJ1711,IF(LEFT(Cockpit!$I$5,1)="B",AW1711,MAX(AW1711,H1711))),ROUNDUP(AU1711,0)))</f>
        <v>22</v>
      </c>
      <c r="AR1711" s="62" t="n">
        <f aca="false">IF(CA1711=1,0,ROUNDUP(AQ1711/BZ1711,0))</f>
        <v>1</v>
      </c>
      <c r="AS1711" s="64" t="n">
        <f aca="false">IF(CR1711&gt;0,CR1711*MAX(1,AQ1711/X1711),IF(CA1711=1,IF(AQ1711&lt;=0,0,CE1711*MAX(1,IF(H1711&gt;0,AQ1711/H1711,1))),IF(R1711&gt;0,AR1711/R1711,0))/MAX(0.1,N(Parameter!$M$21)))</f>
        <v>0.00961538461538462</v>
      </c>
      <c r="AT1711" s="62" t="n">
        <f aca="false">AS1711*CC1711</f>
        <v>1.49038461538462</v>
      </c>
      <c r="AU1711" s="63" t="n">
        <f aca="false">IF(LEFT(Cockpit!$I$5,1)="A",H1711,IF(CI1711=1,(CL1711+CJ1711)/2,IF(LEFT(Cockpit!$I$5,1)="B",(CL1711+AW1711)/2,MAX((CL1711+AW1711)/2,H1711))))</f>
        <v>22</v>
      </c>
      <c r="AV1711" s="62" t="n">
        <f aca="false">AU1711*G1711</f>
        <v>1881</v>
      </c>
      <c r="AW1711" s="62" t="n">
        <f aca="false">ROUNDUP(CL1711+MAX(CM1711,2*(J1711/IF(CH1711&gt;0,CH1711,MAX(0.1,N(Cockpit!$I$6)))-CL1711)),0)</f>
        <v>3</v>
      </c>
      <c r="AX1711" s="63" t="n">
        <f aca="false">IF(AT1711&gt;0,J1711/AT1711,-1)</f>
        <v>0</v>
      </c>
      <c r="AY1711" s="63" t="n">
        <f aca="false">IF(AND(OR(CG1711="L1",CG1711="L23",CG1711="LIFT"),AT1711&gt;0),SUMIFS($AT$7:$AT$1843,$CG$7:$CG$1843,CG1711,$AX$7:$AX$1843,"&gt;"&amp;AX1711)+SUMIFS($AT$7:$AT$1843,$CG$7:$CG$1843,CG1711,$AX$7:$AX$1843,AX1711,$BX$7:$BX$1843,"&lt;="&amp;BX1711),"")</f>
        <v>39299.0504852963</v>
      </c>
      <c r="AZ1711" s="70" t="n">
        <f aca="false">IF(AY1711="",0,MAX(0,MIN(1,(IF(CG1711="L1",Parameter!$H$5,IF(CG1711="L23",Parameter!$H$6+Parameter!$H$7,Parameter!$H$5+Parameter!$H$6+Parameter!$H$7))-(AY1711-AT1711))/AT1711)))</f>
        <v>0</v>
      </c>
      <c r="BA1711" s="62" t="n">
        <f aca="false">IF(LEFT(Cockpit!$O$5,1)="A",H1711,IF(Parameter!$E$30="MAX-Bestand",IF(CI1711=1,CJ1711,IF(LEFT(Cockpit!$O$5,1)="B",BG1711,MAX(BG1711,H1711))),ROUNDUP(BE1711,0)))</f>
        <v>2</v>
      </c>
      <c r="BB1711" s="62" t="n">
        <f aca="false">IF(CA1711=1,0,ROUNDUP(BA1711/BZ1711,0))</f>
        <v>1</v>
      </c>
      <c r="BC1711" s="64" t="n">
        <f aca="false">IF(CR1711&gt;0,CR1711*MAX(1,BA1711/X1711),IF(CA1711=1,IF(BA1711&lt;=0,0,CE1711*MAX(1,IF(H1711&gt;0,BA1711/H1711,1))),IF(R1711&gt;0,BB1711/R1711,0))/MAX(0.1,N(Parameter!$M$21)))</f>
        <v>0.00961538461538462</v>
      </c>
      <c r="BD1711" s="62" t="n">
        <f aca="false">BC1711*CC1711</f>
        <v>1.49038461538462</v>
      </c>
      <c r="BE1711" s="63" t="n">
        <f aca="false">IF(LEFT(Cockpit!$O$5,1)="A",H1711,IF(CI1711=1,(CL1711+CJ1711)/2,IF(LEFT(Cockpit!$O$5,1)="B",(CL1711+BG1711)/2,MAX((CL1711+BG1711)/2,H1711))))</f>
        <v>1.5</v>
      </c>
      <c r="BF1711" s="62" t="n">
        <f aca="false">BE1711*G1711</f>
        <v>128.25</v>
      </c>
      <c r="BG1711" s="62" t="n">
        <f aca="false">ROUNDUP(CL1711+MAX(CM1711,2*(J1711/IF(CH1711&gt;0,CH1711,MAX(0.1,N(Cockpit!$O$6)))-CL1711)),0)</f>
        <v>3</v>
      </c>
      <c r="BH1711" s="63" t="n">
        <f aca="false">IF(BD1711&gt;0,J1711/BD1711,-1)</f>
        <v>0</v>
      </c>
      <c r="BI1711" s="63" t="n">
        <f aca="false">IF(AND(OR(CG1711="L1",CG1711="L23",CG1711="LIFT"),BD1711&gt;0),SUMIFS($BD$7:$BD$1843,$CG$7:$CG$1843,CG1711,$BH$7:$BH$1843,"&gt;"&amp;BH1711)+SUMIFS($BD$7:$BD$1843,$CG$7:$CG$1843,CG1711,$BH$7:$BH$1843,BH1711,$BX$7:$BX$1843,"&lt;="&amp;BX1711),"")</f>
        <v>32531.8237205356</v>
      </c>
      <c r="BJ1711" s="70" t="n">
        <f aca="false">IF(BI1711="",0,MAX(0,MIN(1,(IF(CG1711="L1",Parameter!$H$5,IF(CG1711="L23",Parameter!$H$6+Parameter!$H$7,Parameter!$H$5+Parameter!$H$6+Parameter!$H$7))-(BI1711-BD1711))/BD1711)))</f>
        <v>1</v>
      </c>
      <c r="BK1711" s="60" t="str">
        <f aca="false">IF(AJ1711&lt;=0,"",IF(CG1711="Aussen","Aussenlager",IF(CG1711="-","Nicht im Lift",IF(AP1711&gt;=1,"Lift",IF(AP1711&lt;=0,"Aussenlager","teilweise")))))</f>
        <v>Lift</v>
      </c>
      <c r="BL1711" s="60" t="str">
        <f aca="false">IF(AT1711&lt;=0,"",IF(CG1711="Aussen","Aussenlager",IF(CG1711="-","Nicht im Lift",IF(AZ1711&gt;=1,"Lift",IF(AZ1711&lt;=0,"Aussenlager","teilweise")))))</f>
        <v>Aussenlager</v>
      </c>
      <c r="BM1711" s="60" t="str">
        <f aca="false">IF(BD1711&lt;=0,"",IF(CG1711="Aussen","Aussenlager",IF(CG1711="-","Nicht im Lift",IF(BJ1711&gt;=1,"Lift",IF(BJ1711&lt;=0,"Aussenlager","teilweise")))))</f>
        <v>Lift</v>
      </c>
      <c r="BN1711" s="60" t="str">
        <f aca="false">IF(A1711="","",IF(BW1711=1,"Neu; ","")&amp;IF(AND(BW1711=0,BR1711&lt;0),"negativer Bestand (Export "&amp;BR1711&amp;"); ","")&amp;IF(J1711&lt;=0,"Kein Verbrauch; ","")&amp;IF(CR1711&gt;0,"Lift "&amp;W1711&amp;" lt. Liftbericht (Fach "&amp;X1711&amp;" Stk); ",IF(CB1711=1,"Gebinde geschätzt ("&amp;T1711&amp;"); ",IF(CA1711=1,"Lose – Tablare geschätzt; ","")))&amp;IF(H1711&gt;AW1711,"Überbestand "&amp;ROUND(H1711-AW1711,0)&amp;" Stk / CHF "&amp;ROUND((H1711-AW1711)*G1711,0)&amp;"; ","")&amp;IF(AND(CI1711=1,CJ1711&lt;CK1711),"MAX &lt; MB+LG; ","")&amp;IF(AND(CQ1711&gt;0,CP1711*10&gt;CQ1711),"zu hoch für Tablar; ","")&amp;IF(AND(BW1711=0,OR(CI1711=1,AB1711&lt;&gt;"",U1711&lt;&gt;"",V1711&lt;&gt;"",AC1711&lt;&gt;"")),"manuell übersteuert; ","")&amp;IF(AND(CA1711=0,R1711=0),"Gebinde unbekannt / Stellmass fehlt; ","")&amp;IF(AND(CA1711=0,N(V1711)&lt;=0,N(Q1711)&lt;=0),"Menge pro Gebinde fehlt (Ist = 1 Gebinde); ","")&amp;BV1711)</f>
        <v>Kein Verbrauch; Überbestand 19 Stk / CHF 1625; nur im Artikelstamm (Bestand 23.06.2026)</v>
      </c>
      <c r="BO1711" s="60"/>
      <c r="BP1711" s="60"/>
      <c r="BQ1711" s="67"/>
      <c r="BR1711" s="62" t="n">
        <v>22</v>
      </c>
      <c r="BS1711" s="62" t="n">
        <v>0</v>
      </c>
      <c r="BT1711" s="61" t="n">
        <v>0</v>
      </c>
      <c r="BU1711" s="62" t="n">
        <v>0</v>
      </c>
      <c r="BV1711" s="60" t="s">
        <v>2617</v>
      </c>
      <c r="BW1711" s="65" t="n">
        <v>0</v>
      </c>
      <c r="BX1711" s="65" t="n">
        <v>1711</v>
      </c>
      <c r="BY1711" s="60" t="str">
        <f aca="false">IF(U1711&lt;&gt;"",UPPER(TRIM(U1711)),IF(CB1711=1,UPPER(VLOOKUP(T1711,Parameter!$I$27:$K$29,2,0)),IF(P1711="","LOSE",P1711)))</f>
        <v>S32</v>
      </c>
      <c r="BZ1711" s="62" t="n">
        <f aca="false">IF(BY1711="LOSE",1,IF(N(V1711)&gt;0,V1711,IF(CB1711=1,MAX(1,N(VLOOKUP(T1711,Parameter!$I$27:$K$29,3,0)),H1711,N(N1711)),IF(N(Q1711)&gt;0,Q1711,MAX(1,H1711)))))</f>
        <v>22</v>
      </c>
      <c r="CA1711" s="65" t="n">
        <f aca="false">IF(BY1711="LOSE",1,0)</f>
        <v>0</v>
      </c>
      <c r="CB1711" s="65" t="n">
        <f aca="false">IF(AND(U1711="",OR(P1711="",P1711="LOSE"),T1711&lt;&gt;"",N(S1711)&lt;=0,ISNUMBER(MATCH(T1711,Parameter!$I$27:$I$29,0))),1,0)</f>
        <v>0</v>
      </c>
      <c r="CC1711" s="65" t="n">
        <f aca="false">IF(CR1711&gt;0,INDEX(Parameter!$H$5:$H$7,W1711)/INDEX(Parameter!$E$5:$E$7,W1711),IF(AND(CA1711=0,N(IFERROR(VLOOKUP(BY1711,'Gebinde-Kategorie'!$A$5:$N$45,14,0),0))&gt;0),VLOOKUP(BY1711,'Gebinde-Kategorie'!$A$5:$N$45,14,0)*10+Parameter!$M$23,Parameter!$M$24))</f>
        <v>155</v>
      </c>
      <c r="CD1711" s="60" t="str">
        <f aca="false">IF(AND(Parameter!$B$19="Ja",E1711&lt;&gt;"",ISNUMBER(MATCH(E1711,Parameter!$I$35:$I$52,0))),VLOOKUP(E1711,Parameter!$I$35:$J$52,2,0),IFERROR(VLOOKUP(D1711,Parameter!$A$35:$C$64,2,0),"Nein"))</f>
        <v>2+3</v>
      </c>
      <c r="CE1711" s="64" t="n">
        <f aca="false">IF(CA1711=0,0,IF(N(S1711)&gt;0,S1711,IFERROR(VLOOKUP(D1711,Parameter!$A$35:$C$64,3,0)+0,0)))</f>
        <v>0</v>
      </c>
      <c r="CF1711" s="60" t="n">
        <f aca="false">IF(AB1711&lt;&gt;"",AB1711,AA1711)</f>
        <v>3</v>
      </c>
      <c r="CG1711" s="60" t="str">
        <f aca="false">IF(OR(CF1711=1,CF1711=2,CF1711=3),IF(Parameter!$E$27="Ja","LIFT",IF(CF1711=1,"L1","L23")),IF(CF1711="Aussen","Aussen","-"))</f>
        <v>LIFT</v>
      </c>
      <c r="CH1711" s="71" t="n">
        <f aca="false">IF(N(AC1711)&gt;0,AC1711,0)</f>
        <v>0</v>
      </c>
      <c r="CI1711" s="65" t="n">
        <f aca="false">IF(ISNUMBER(AF1711),1,0)</f>
        <v>0</v>
      </c>
      <c r="CJ1711" s="62" t="n">
        <f aca="false">N(AF1711)</f>
        <v>0</v>
      </c>
      <c r="CK1711" s="62" t="n">
        <f aca="false">N(M1711)+N(N1711)</f>
        <v>3</v>
      </c>
      <c r="CL1711" s="62" t="n">
        <f aca="false">N(M1711)</f>
        <v>0</v>
      </c>
      <c r="CM1711" s="62" t="n">
        <f aca="false">N(N1711)</f>
        <v>3</v>
      </c>
      <c r="CN1711" s="62" t="n">
        <f aca="false">ROUNDUP(H1711/BZ1711,0)</f>
        <v>1</v>
      </c>
      <c r="CO1711" s="62" t="n">
        <f aca="false">ROUNDUP(CJ1711/BZ1711,0)</f>
        <v>0</v>
      </c>
      <c r="CP1711" s="65" t="n">
        <f aca="false">IF(CA1711=1,0,IFERROR(VLOOKUP(BY1711,'Gebinde-Kategorie'!$A$5:$N$45,5,0)+0,0))</f>
        <v>8</v>
      </c>
      <c r="CQ1711" s="65" t="n">
        <f aca="false">IFERROR(IF(OR(CF1711=1,CF1711=2,CF1711=3),N(INDEX(Parameter!$I$5:$I$7,CF1711)),0),0)</f>
        <v>0</v>
      </c>
      <c r="CR1711" s="64" t="n">
        <f aca="false">IF(AND(Parameter!$B$21="Ja",ISNUMBER(W1711),N(X1711)&gt;0),IFERROR(N(INDEX(Parameter!$L$5:$L$7,W1711))*INDEX(Parameter!$E$5:$E$7,W1711)*X1711/SUMIFS($X$7:$X$1843,$W$7:$W$1843,W1711),0),0)</f>
        <v>0</v>
      </c>
      <c r="CS1711" s="62" t="n">
        <f aca="false">IF(AND(OR(CG1711="L1",CG1711="L23",CG1711="LIFT"),H1711&gt;0),CC1711*IF(CR1711&gt;0,CR1711*MAX(1,H1711/X1711),IF(CA1711=1,CE1711,IF(R1711&gt;0,CN1711/R1711,0))/MAX(0.1,N(Parameter!$M$21))),"")</f>
        <v>1.49038461538462</v>
      </c>
      <c r="CT1711" s="64" t="n">
        <f aca="false">IF(CS1711="","",J1711/H1711)</f>
        <v>0</v>
      </c>
      <c r="CU1711" s="62" t="n">
        <f aca="false">IF(CS1711="","",H1711*G1711)</f>
        <v>1881</v>
      </c>
      <c r="CV1711" s="63" t="n">
        <f aca="false">IF(CS1711="","",(CL1711+ROUNDUP(CL1711+MAX(CM1711,2*(J1711/MAX(0.1,N(Einkauf!$C$6))-CL1711)),0))/2)</f>
        <v>1.5</v>
      </c>
      <c r="CW1711" s="62" t="n">
        <f aca="false">IF(CS1711="","",MAX(0,H1711-CV1711)*G1711)</f>
        <v>1752.75</v>
      </c>
      <c r="CX1711" s="62" t="n">
        <f aca="false">IF(CS1711="","",CS1711*MAX(0,1-CV1711/H1711))</f>
        <v>1.38876748251748</v>
      </c>
      <c r="CY1711" s="64" t="n">
        <f aca="false">IF(CS1711="","",PERCENTRANK($CS$7:$CS$1843,CS1711)+PERCENTRANK($CU$7:$CU$1843,CU1711)+1-PERCENTRANK($CT$7:$CT$1843,CT1711))</f>
        <v>1.879</v>
      </c>
      <c r="CZ1711" s="72" t="n">
        <f aca="false">IF(CS1711="","",CHOOSE(MATCH(Einkauf!$C$5,Parameter!$G$23:$G$27,0),CY1711,CS1711,CU1711,-CT1711,CW1711)+ROW()/1000000000)</f>
        <v>1.879001711</v>
      </c>
    </row>
    <row r="1712" customFormat="false" ht="15" hidden="false" customHeight="false" outlineLevel="0" collapsed="false">
      <c r="A1712" s="60" t="s">
        <v>3005</v>
      </c>
      <c r="B1712" s="60" t="s">
        <v>2736</v>
      </c>
      <c r="C1712" s="60" t="s">
        <v>206</v>
      </c>
      <c r="D1712" s="60" t="s">
        <v>226</v>
      </c>
      <c r="E1712" s="60"/>
      <c r="F1712" s="60"/>
      <c r="G1712" s="61" t="n">
        <v>35</v>
      </c>
      <c r="H1712" s="62" t="n">
        <f aca="false">MAX(0,IF(AND(Parameter!$B$21="Ja",ISNUMBER(Y1712)),Y1712,IF(Parameter!$B$20="Jahresanfang 2025 + Export",BS1712+BR1712,BR1712)))</f>
        <v>12</v>
      </c>
      <c r="I1712" s="62" t="n">
        <f aca="false">H1712*G1712</f>
        <v>420</v>
      </c>
      <c r="J1712" s="62" t="n">
        <f aca="false">BU1712*Parameter!$B$18</f>
        <v>0</v>
      </c>
      <c r="K1712" s="63"/>
      <c r="L1712" s="64"/>
      <c r="M1712" s="62" t="n">
        <v>0</v>
      </c>
      <c r="N1712" s="62" t="n">
        <v>12</v>
      </c>
      <c r="O1712" s="65" t="n">
        <v>35</v>
      </c>
      <c r="P1712" s="60" t="s">
        <v>463</v>
      </c>
      <c r="Q1712" s="62" t="n">
        <v>10</v>
      </c>
      <c r="R1712" s="65" t="n">
        <f aca="false">IF(CA1712=1,0,IFERROR(VLOOKUP(BY1712,'Gebinde-Kategorie'!$A$5:$N$45,13,0)+0,0))</f>
        <v>104</v>
      </c>
      <c r="S1712" s="66"/>
      <c r="T1712" s="67"/>
      <c r="U1712" s="67"/>
      <c r="V1712" s="67"/>
      <c r="W1712" s="60"/>
      <c r="X1712" s="62"/>
      <c r="Y1712" s="62"/>
      <c r="Z1712" s="60" t="n">
        <v>2</v>
      </c>
      <c r="AA1712" s="60" t="n">
        <f aca="false">IF(A1712="","",IF(AND(Parameter!$B$21="Ja",ISNUMBER(W1712)),W1712,IF(AND(Parameter!$E$27="Ja",ISNUMBER(Z1712),CD1712&lt;&gt;"Nein"),Z1712,IF(CD1712="2+3",IF(ISNUMBER(SEARCH("grosser Artikel",BV1712)),2,IFERROR(VLOOKUP(BY1712,Parameter!$F$35:$G$64,2,0),2)),IF(OR(CD1712="Nein",CD1712=""),"-",CD1712)))))</f>
        <v>2</v>
      </c>
      <c r="AB1712" s="67"/>
      <c r="AC1712" s="68"/>
      <c r="AD1712" s="62" t="n">
        <f aca="false">AW1712</f>
        <v>12</v>
      </c>
      <c r="AE1712" s="62" t="n">
        <f aca="false">MAX(AW1712,H1712)</f>
        <v>12</v>
      </c>
      <c r="AF1712" s="69"/>
      <c r="AG1712" s="62" t="n">
        <f aca="false">IF(LEFT(Cockpit!$C$5,1)="A",H1712,IF(Parameter!$E$30="MAX-Bestand",IF(CI1712=1,CJ1712,IF(LEFT(Cockpit!$C$5,1)="B",AM1712,MAX(AM1712,H1712))),ROUNDUP(AK1712,0)))</f>
        <v>12</v>
      </c>
      <c r="AH1712" s="62" t="n">
        <f aca="false">IF(CA1712=1,0,ROUNDUP(AG1712/BZ1712,0))</f>
        <v>2</v>
      </c>
      <c r="AI1712" s="64" t="n">
        <f aca="false">IF(CR1712&gt;0,CR1712*MAX(1,AG1712/X1712),IF(CA1712=1,IF(AG1712&lt;=0,0,CE1712*MAX(1,IF(H1712&gt;0,AG1712/H1712,1))),IF(R1712&gt;0,AH1712/R1712,0))/MAX(0.1,N(Parameter!$M$21)))</f>
        <v>0.0192307692307692</v>
      </c>
      <c r="AJ1712" s="62" t="n">
        <f aca="false">AI1712*CC1712</f>
        <v>2.98076923076923</v>
      </c>
      <c r="AK1712" s="63" t="n">
        <f aca="false">IF(LEFT(Cockpit!$C$5,1)="A",H1712,IF(CI1712=1,(CL1712+CJ1712)/2,IF(LEFT(Cockpit!$C$5,1)="B",(CL1712+AM1712)/2,MAX((CL1712+AM1712)/2,H1712))))</f>
        <v>12</v>
      </c>
      <c r="AL1712" s="62" t="n">
        <f aca="false">AK1712*G1712</f>
        <v>420</v>
      </c>
      <c r="AM1712" s="62" t="n">
        <f aca="false">ROUNDUP(CL1712+MAX(CM1712,2*(J1712/IF(CH1712&gt;0,CH1712,MAX(0.1,N(Cockpit!$C$6)))-CL1712)),0)</f>
        <v>12</v>
      </c>
      <c r="AN1712" s="63" t="n">
        <f aca="false">IF(AJ1712&gt;0,J1712/AJ1712,-1)</f>
        <v>0</v>
      </c>
      <c r="AO1712" s="63" t="n">
        <f aca="false">IF(AND(OR(CG1712="L1",CG1712="L23",CG1712="LIFT"),AJ1712&gt;0),SUMIFS($AJ$7:$AJ$1843,$CG$7:$CG$1843,CG1712,$AN$7:$AN$1843,"&gt;"&amp;AN1712)+SUMIFS($AJ$7:$AJ$1843,$CG$7:$CG$1843,CG1712,$AN$7:$AN$1843,AN1712,$BX$7:$BX$1843,"&lt;="&amp;BX1712),"")</f>
        <v>32828.6758810869</v>
      </c>
      <c r="AP1712" s="70" t="n">
        <f aca="false">IF(AO1712="",0,MAX(0,MIN(1,(IF(CG1712="L1",Parameter!$H$5,IF(CG1712="L23",Parameter!$H$6+Parameter!$H$7,Parameter!$H$5+Parameter!$H$6+Parameter!$H$7))-(AO1712-AJ1712))/AJ1712)))</f>
        <v>1</v>
      </c>
      <c r="AQ1712" s="62" t="n">
        <f aca="false">IF(LEFT(Cockpit!$I$5,1)="A",H1712,IF(Parameter!$E$30="MAX-Bestand",IF(CI1712=1,CJ1712,IF(LEFT(Cockpit!$I$5,1)="B",AW1712,MAX(AW1712,H1712))),ROUNDUP(AU1712,0)))</f>
        <v>12</v>
      </c>
      <c r="AR1712" s="62" t="n">
        <f aca="false">IF(CA1712=1,0,ROUNDUP(AQ1712/BZ1712,0))</f>
        <v>2</v>
      </c>
      <c r="AS1712" s="64" t="n">
        <f aca="false">IF(CR1712&gt;0,CR1712*MAX(1,AQ1712/X1712),IF(CA1712=1,IF(AQ1712&lt;=0,0,CE1712*MAX(1,IF(H1712&gt;0,AQ1712/H1712,1))),IF(R1712&gt;0,AR1712/R1712,0))/MAX(0.1,N(Parameter!$M$21)))</f>
        <v>0.0192307692307692</v>
      </c>
      <c r="AT1712" s="62" t="n">
        <f aca="false">AS1712*CC1712</f>
        <v>2.98076923076923</v>
      </c>
      <c r="AU1712" s="63" t="n">
        <f aca="false">IF(LEFT(Cockpit!$I$5,1)="A",H1712,IF(CI1712=1,(CL1712+CJ1712)/2,IF(LEFT(Cockpit!$I$5,1)="B",(CL1712+AW1712)/2,MAX((CL1712+AW1712)/2,H1712))))</f>
        <v>12</v>
      </c>
      <c r="AV1712" s="62" t="n">
        <f aca="false">AU1712*G1712</f>
        <v>420</v>
      </c>
      <c r="AW1712" s="62" t="n">
        <f aca="false">ROUNDUP(CL1712+MAX(CM1712,2*(J1712/IF(CH1712&gt;0,CH1712,MAX(0.1,N(Cockpit!$I$6)))-CL1712)),0)</f>
        <v>12</v>
      </c>
      <c r="AX1712" s="63" t="n">
        <f aca="false">IF(AT1712&gt;0,J1712/AT1712,-1)</f>
        <v>0</v>
      </c>
      <c r="AY1712" s="63" t="n">
        <f aca="false">IF(AND(OR(CG1712="L1",CG1712="L23",CG1712="LIFT"),AT1712&gt;0),SUMIFS($AT$7:$AT$1843,$CG$7:$CG$1843,CG1712,$AX$7:$AX$1843,"&gt;"&amp;AX1712)+SUMIFS($AT$7:$AT$1843,$CG$7:$CG$1843,CG1712,$AX$7:$AX$1843,AX1712,$BX$7:$BX$1843,"&lt;="&amp;BX1712),"")</f>
        <v>39302.031254527</v>
      </c>
      <c r="AZ1712" s="70" t="n">
        <f aca="false">IF(AY1712="",0,MAX(0,MIN(1,(IF(CG1712="L1",Parameter!$H$5,IF(CG1712="L23",Parameter!$H$6+Parameter!$H$7,Parameter!$H$5+Parameter!$H$6+Parameter!$H$7))-(AY1712-AT1712))/AT1712)))</f>
        <v>0</v>
      </c>
      <c r="BA1712" s="62" t="n">
        <f aca="false">IF(LEFT(Cockpit!$O$5,1)="A",H1712,IF(Parameter!$E$30="MAX-Bestand",IF(CI1712=1,CJ1712,IF(LEFT(Cockpit!$O$5,1)="B",BG1712,MAX(BG1712,H1712))),ROUNDUP(BE1712,0)))</f>
        <v>6</v>
      </c>
      <c r="BB1712" s="62" t="n">
        <f aca="false">IF(CA1712=1,0,ROUNDUP(BA1712/BZ1712,0))</f>
        <v>1</v>
      </c>
      <c r="BC1712" s="64" t="n">
        <f aca="false">IF(CR1712&gt;0,CR1712*MAX(1,BA1712/X1712),IF(CA1712=1,IF(BA1712&lt;=0,0,CE1712*MAX(1,IF(H1712&gt;0,BA1712/H1712,1))),IF(R1712&gt;0,BB1712/R1712,0))/MAX(0.1,N(Parameter!$M$21)))</f>
        <v>0.00961538461538462</v>
      </c>
      <c r="BD1712" s="62" t="n">
        <f aca="false">BC1712*CC1712</f>
        <v>1.49038461538462</v>
      </c>
      <c r="BE1712" s="63" t="n">
        <f aca="false">IF(LEFT(Cockpit!$O$5,1)="A",H1712,IF(CI1712=1,(CL1712+CJ1712)/2,IF(LEFT(Cockpit!$O$5,1)="B",(CL1712+BG1712)/2,MAX((CL1712+BG1712)/2,H1712))))</f>
        <v>6</v>
      </c>
      <c r="BF1712" s="62" t="n">
        <f aca="false">BE1712*G1712</f>
        <v>210</v>
      </c>
      <c r="BG1712" s="62" t="n">
        <f aca="false">ROUNDUP(CL1712+MAX(CM1712,2*(J1712/IF(CH1712&gt;0,CH1712,MAX(0.1,N(Cockpit!$O$6)))-CL1712)),0)</f>
        <v>12</v>
      </c>
      <c r="BH1712" s="63" t="n">
        <f aca="false">IF(BD1712&gt;0,J1712/BD1712,-1)</f>
        <v>0</v>
      </c>
      <c r="BI1712" s="63" t="n">
        <f aca="false">IF(AND(OR(CG1712="L1",CG1712="L23",CG1712="LIFT"),BD1712&gt;0),SUMIFS($BD$7:$BD$1843,$CG$7:$CG$1843,CG1712,$BH$7:$BH$1843,"&gt;"&amp;BH1712)+SUMIFS($BD$7:$BD$1843,$CG$7:$CG$1843,CG1712,$BH$7:$BH$1843,BH1712,$BX$7:$BX$1843,"&lt;="&amp;BX1712),"")</f>
        <v>32533.314105151</v>
      </c>
      <c r="BJ1712" s="70" t="n">
        <f aca="false">IF(BI1712="",0,MAX(0,MIN(1,(IF(CG1712="L1",Parameter!$H$5,IF(CG1712="L23",Parameter!$H$6+Parameter!$H$7,Parameter!$H$5+Parameter!$H$6+Parameter!$H$7))-(BI1712-BD1712))/BD1712)))</f>
        <v>1</v>
      </c>
      <c r="BK1712" s="60" t="str">
        <f aca="false">IF(AJ1712&lt;=0,"",IF(CG1712="Aussen","Aussenlager",IF(CG1712="-","Nicht im Lift",IF(AP1712&gt;=1,"Lift",IF(AP1712&lt;=0,"Aussenlager","teilweise")))))</f>
        <v>Lift</v>
      </c>
      <c r="BL1712" s="60" t="str">
        <f aca="false">IF(AT1712&lt;=0,"",IF(CG1712="Aussen","Aussenlager",IF(CG1712="-","Nicht im Lift",IF(AZ1712&gt;=1,"Lift",IF(AZ1712&lt;=0,"Aussenlager","teilweise")))))</f>
        <v>Aussenlager</v>
      </c>
      <c r="BM1712" s="60" t="str">
        <f aca="false">IF(BD1712&lt;=0,"",IF(CG1712="Aussen","Aussenlager",IF(CG1712="-","Nicht im Lift",IF(BJ1712&gt;=1,"Lift",IF(BJ1712&lt;=0,"Aussenlager","teilweise")))))</f>
        <v>Lift</v>
      </c>
      <c r="BN1712" s="60" t="str">
        <f aca="false">IF(A1712="","",IF(BW1712=1,"Neu; ","")&amp;IF(AND(BW1712=0,BR1712&lt;0),"negativer Bestand (Export "&amp;BR1712&amp;"); ","")&amp;IF(J1712&lt;=0,"Kein Verbrauch; ","")&amp;IF(CR1712&gt;0,"Lift "&amp;W1712&amp;" lt. Liftbericht (Fach "&amp;X1712&amp;" Stk); ",IF(CB1712=1,"Gebinde geschätzt ("&amp;T1712&amp;"); ",IF(CA1712=1,"Lose – Tablare geschätzt; ","")))&amp;IF(H1712&gt;AW1712,"Überbestand "&amp;ROUND(H1712-AW1712,0)&amp;" Stk / CHF "&amp;ROUND((H1712-AW1712)*G1712,0)&amp;"; ","")&amp;IF(AND(CI1712=1,CJ1712&lt;CK1712),"MAX &lt; MB+LG; ","")&amp;IF(AND(CQ1712&gt;0,CP1712*10&gt;CQ1712),"zu hoch für Tablar; ","")&amp;IF(AND(BW1712=0,OR(CI1712=1,AB1712&lt;&gt;"",U1712&lt;&gt;"",V1712&lt;&gt;"",AC1712&lt;&gt;"")),"manuell übersteuert; ","")&amp;IF(AND(CA1712=0,R1712=0),"Gebinde unbekannt / Stellmass fehlt; ","")&amp;IF(AND(CA1712=0,N(V1712)&lt;=0,N(Q1712)&lt;=0),"Menge pro Gebinde fehlt (Ist = 1 Gebinde); ","")&amp;BV1712)</f>
        <v>Kein Verbrauch; nur im Artikelstamm (Bestand 23.06.2026)</v>
      </c>
      <c r="BO1712" s="60"/>
      <c r="BP1712" s="60"/>
      <c r="BQ1712" s="67"/>
      <c r="BR1712" s="62" t="n">
        <v>12</v>
      </c>
      <c r="BS1712" s="62" t="n">
        <v>0</v>
      </c>
      <c r="BT1712" s="61" t="n">
        <v>0</v>
      </c>
      <c r="BU1712" s="62" t="n">
        <v>0</v>
      </c>
      <c r="BV1712" s="60" t="s">
        <v>2617</v>
      </c>
      <c r="BW1712" s="65" t="n">
        <v>0</v>
      </c>
      <c r="BX1712" s="65" t="n">
        <v>1712</v>
      </c>
      <c r="BY1712" s="60" t="str">
        <f aca="false">IF(U1712&lt;&gt;"",UPPER(TRIM(U1712)),IF(CB1712=1,UPPER(VLOOKUP(T1712,Parameter!$I$27:$K$29,2,0)),IF(P1712="","LOSE",P1712)))</f>
        <v>S32</v>
      </c>
      <c r="BZ1712" s="62" t="n">
        <f aca="false">IF(BY1712="LOSE",1,IF(N(V1712)&gt;0,V1712,IF(CB1712=1,MAX(1,N(VLOOKUP(T1712,Parameter!$I$27:$K$29,3,0)),H1712,N(N1712)),IF(N(Q1712)&gt;0,Q1712,MAX(1,H1712)))))</f>
        <v>10</v>
      </c>
      <c r="CA1712" s="65" t="n">
        <f aca="false">IF(BY1712="LOSE",1,0)</f>
        <v>0</v>
      </c>
      <c r="CB1712" s="65" t="n">
        <f aca="false">IF(AND(U1712="",OR(P1712="",P1712="LOSE"),T1712&lt;&gt;"",N(S1712)&lt;=0,ISNUMBER(MATCH(T1712,Parameter!$I$27:$I$29,0))),1,0)</f>
        <v>0</v>
      </c>
      <c r="CC1712" s="65" t="n">
        <f aca="false">IF(CR1712&gt;0,INDEX(Parameter!$H$5:$H$7,W1712)/INDEX(Parameter!$E$5:$E$7,W1712),IF(AND(CA1712=0,N(IFERROR(VLOOKUP(BY1712,'Gebinde-Kategorie'!$A$5:$N$45,14,0),0))&gt;0),VLOOKUP(BY1712,'Gebinde-Kategorie'!$A$5:$N$45,14,0)*10+Parameter!$M$23,Parameter!$M$24))</f>
        <v>155</v>
      </c>
      <c r="CD1712" s="60" t="str">
        <f aca="false">IF(AND(Parameter!$B$19="Ja",E1712&lt;&gt;"",ISNUMBER(MATCH(E1712,Parameter!$I$35:$I$52,0))),VLOOKUP(E1712,Parameter!$I$35:$J$52,2,0),IFERROR(VLOOKUP(D1712,Parameter!$A$35:$C$64,2,0),"Nein"))</f>
        <v>2+3</v>
      </c>
      <c r="CE1712" s="64" t="n">
        <f aca="false">IF(CA1712=0,0,IF(N(S1712)&gt;0,S1712,IFERROR(VLOOKUP(D1712,Parameter!$A$35:$C$64,3,0)+0,0)))</f>
        <v>0</v>
      </c>
      <c r="CF1712" s="60" t="n">
        <f aca="false">IF(AB1712&lt;&gt;"",AB1712,AA1712)</f>
        <v>2</v>
      </c>
      <c r="CG1712" s="60" t="str">
        <f aca="false">IF(OR(CF1712=1,CF1712=2,CF1712=3),IF(Parameter!$E$27="Ja","LIFT",IF(CF1712=1,"L1","L23")),IF(CF1712="Aussen","Aussen","-"))</f>
        <v>LIFT</v>
      </c>
      <c r="CH1712" s="71" t="n">
        <f aca="false">IF(N(AC1712)&gt;0,AC1712,0)</f>
        <v>0</v>
      </c>
      <c r="CI1712" s="65" t="n">
        <f aca="false">IF(ISNUMBER(AF1712),1,0)</f>
        <v>0</v>
      </c>
      <c r="CJ1712" s="62" t="n">
        <f aca="false">N(AF1712)</f>
        <v>0</v>
      </c>
      <c r="CK1712" s="62" t="n">
        <f aca="false">N(M1712)+N(N1712)</f>
        <v>12</v>
      </c>
      <c r="CL1712" s="62" t="n">
        <f aca="false">N(M1712)</f>
        <v>0</v>
      </c>
      <c r="CM1712" s="62" t="n">
        <f aca="false">N(N1712)</f>
        <v>12</v>
      </c>
      <c r="CN1712" s="62" t="n">
        <f aca="false">ROUNDUP(H1712/BZ1712,0)</f>
        <v>2</v>
      </c>
      <c r="CO1712" s="62" t="n">
        <f aca="false">ROUNDUP(CJ1712/BZ1712,0)</f>
        <v>0</v>
      </c>
      <c r="CP1712" s="65" t="n">
        <f aca="false">IF(CA1712=1,0,IFERROR(VLOOKUP(BY1712,'Gebinde-Kategorie'!$A$5:$N$45,5,0)+0,0))</f>
        <v>8</v>
      </c>
      <c r="CQ1712" s="65" t="n">
        <f aca="false">IFERROR(IF(OR(CF1712=1,CF1712=2,CF1712=3),N(INDEX(Parameter!$I$5:$I$7,CF1712)),0),0)</f>
        <v>0</v>
      </c>
      <c r="CR1712" s="64" t="n">
        <f aca="false">IF(AND(Parameter!$B$21="Ja",ISNUMBER(W1712),N(X1712)&gt;0),IFERROR(N(INDEX(Parameter!$L$5:$L$7,W1712))*INDEX(Parameter!$E$5:$E$7,W1712)*X1712/SUMIFS($X$7:$X$1843,$W$7:$W$1843,W1712),0),0)</f>
        <v>0</v>
      </c>
      <c r="CS1712" s="62" t="n">
        <f aca="false">IF(AND(OR(CG1712="L1",CG1712="L23",CG1712="LIFT"),H1712&gt;0),CC1712*IF(CR1712&gt;0,CR1712*MAX(1,H1712/X1712),IF(CA1712=1,CE1712,IF(R1712&gt;0,CN1712/R1712,0))/MAX(0.1,N(Parameter!$M$21))),"")</f>
        <v>2.98076923076923</v>
      </c>
      <c r="CT1712" s="64" t="n">
        <f aca="false">IF(CS1712="","",J1712/H1712)</f>
        <v>0</v>
      </c>
      <c r="CU1712" s="62" t="n">
        <f aca="false">IF(CS1712="","",H1712*G1712)</f>
        <v>420</v>
      </c>
      <c r="CV1712" s="63" t="n">
        <f aca="false">IF(CS1712="","",(CL1712+ROUNDUP(CL1712+MAX(CM1712,2*(J1712/MAX(0.1,N(Einkauf!$C$6))-CL1712)),0))/2)</f>
        <v>6</v>
      </c>
      <c r="CW1712" s="62" t="n">
        <f aca="false">IF(CS1712="","",MAX(0,H1712-CV1712)*G1712)</f>
        <v>210</v>
      </c>
      <c r="CX1712" s="62" t="n">
        <f aca="false">IF(CS1712="","",CS1712*MAX(0,1-CV1712/H1712))</f>
        <v>1.49038461538462</v>
      </c>
      <c r="CY1712" s="64" t="n">
        <f aca="false">IF(CS1712="","",PERCENTRANK($CS$7:$CS$1843,CS1712)+PERCENTRANK($CU$7:$CU$1843,CU1712)+1-PERCENTRANK($CT$7:$CT$1843,CT1712))</f>
        <v>1.697</v>
      </c>
      <c r="CZ1712" s="72" t="n">
        <f aca="false">IF(CS1712="","",CHOOSE(MATCH(Einkauf!$C$5,Parameter!$G$23:$G$27,0),CY1712,CS1712,CU1712,-CT1712,CW1712)+ROW()/1000000000)</f>
        <v>1.697001712</v>
      </c>
    </row>
    <row r="1713" customFormat="false" ht="15" hidden="false" customHeight="false" outlineLevel="0" collapsed="false">
      <c r="A1713" s="60" t="s">
        <v>3006</v>
      </c>
      <c r="B1713" s="60" t="s">
        <v>510</v>
      </c>
      <c r="C1713" s="60" t="s">
        <v>206</v>
      </c>
      <c r="D1713" s="60" t="s">
        <v>226</v>
      </c>
      <c r="E1713" s="60"/>
      <c r="F1713" s="60"/>
      <c r="G1713" s="61" t="n">
        <v>0.1</v>
      </c>
      <c r="H1713" s="62" t="n">
        <f aca="false">MAX(0,IF(AND(Parameter!$B$21="Ja",ISNUMBER(Y1713)),Y1713,IF(Parameter!$B$20="Jahresanfang 2025 + Export",BS1713+BR1713,BR1713)))</f>
        <v>9</v>
      </c>
      <c r="I1713" s="62" t="n">
        <f aca="false">H1713*G1713</f>
        <v>0.9</v>
      </c>
      <c r="J1713" s="62" t="n">
        <f aca="false">BU1713*Parameter!$B$18</f>
        <v>0</v>
      </c>
      <c r="K1713" s="63"/>
      <c r="L1713" s="64"/>
      <c r="M1713" s="62" t="n">
        <v>0</v>
      </c>
      <c r="N1713" s="62" t="n">
        <v>10</v>
      </c>
      <c r="O1713" s="65" t="n">
        <v>28</v>
      </c>
      <c r="P1713" s="60" t="s">
        <v>463</v>
      </c>
      <c r="Q1713" s="62" t="n">
        <v>9</v>
      </c>
      <c r="R1713" s="65" t="n">
        <f aca="false">IF(CA1713=1,0,IFERROR(VLOOKUP(BY1713,'Gebinde-Kategorie'!$A$5:$N$45,13,0)+0,0))</f>
        <v>104</v>
      </c>
      <c r="S1713" s="66"/>
      <c r="T1713" s="67"/>
      <c r="U1713" s="67"/>
      <c r="V1713" s="67"/>
      <c r="W1713" s="60"/>
      <c r="X1713" s="62"/>
      <c r="Y1713" s="62"/>
      <c r="Z1713" s="60" t="n">
        <v>3</v>
      </c>
      <c r="AA1713" s="60" t="n">
        <f aca="false">IF(A1713="","",IF(AND(Parameter!$B$21="Ja",ISNUMBER(W1713)),W1713,IF(AND(Parameter!$E$27="Ja",ISNUMBER(Z1713),CD1713&lt;&gt;"Nein"),Z1713,IF(CD1713="2+3",IF(ISNUMBER(SEARCH("grosser Artikel",BV1713)),2,IFERROR(VLOOKUP(BY1713,Parameter!$F$35:$G$64,2,0),2)),IF(OR(CD1713="Nein",CD1713=""),"-",CD1713)))))</f>
        <v>3</v>
      </c>
      <c r="AB1713" s="67"/>
      <c r="AC1713" s="68"/>
      <c r="AD1713" s="62" t="n">
        <f aca="false">AW1713</f>
        <v>10</v>
      </c>
      <c r="AE1713" s="62" t="n">
        <f aca="false">MAX(AW1713,H1713)</f>
        <v>10</v>
      </c>
      <c r="AF1713" s="69"/>
      <c r="AG1713" s="62" t="n">
        <f aca="false">IF(LEFT(Cockpit!$C$5,1)="A",H1713,IF(Parameter!$E$30="MAX-Bestand",IF(CI1713=1,CJ1713,IF(LEFT(Cockpit!$C$5,1)="B",AM1713,MAX(AM1713,H1713))),ROUNDUP(AK1713,0)))</f>
        <v>9</v>
      </c>
      <c r="AH1713" s="62" t="n">
        <f aca="false">IF(CA1713=1,0,ROUNDUP(AG1713/BZ1713,0))</f>
        <v>1</v>
      </c>
      <c r="AI1713" s="64" t="n">
        <f aca="false">IF(CR1713&gt;0,CR1713*MAX(1,AG1713/X1713),IF(CA1713=1,IF(AG1713&lt;=0,0,CE1713*MAX(1,IF(H1713&gt;0,AG1713/H1713,1))),IF(R1713&gt;0,AH1713/R1713,0))/MAX(0.1,N(Parameter!$M$21)))</f>
        <v>0.00961538461538462</v>
      </c>
      <c r="AJ1713" s="62" t="n">
        <f aca="false">AI1713*CC1713</f>
        <v>1.49038461538462</v>
      </c>
      <c r="AK1713" s="63" t="n">
        <f aca="false">IF(LEFT(Cockpit!$C$5,1)="A",H1713,IF(CI1713=1,(CL1713+CJ1713)/2,IF(LEFT(Cockpit!$C$5,1)="B",(CL1713+AM1713)/2,MAX((CL1713+AM1713)/2,H1713))))</f>
        <v>9</v>
      </c>
      <c r="AL1713" s="62" t="n">
        <f aca="false">AK1713*G1713</f>
        <v>0.9</v>
      </c>
      <c r="AM1713" s="62" t="n">
        <f aca="false">ROUNDUP(CL1713+MAX(CM1713,2*(J1713/IF(CH1713&gt;0,CH1713,MAX(0.1,N(Cockpit!$C$6)))-CL1713)),0)</f>
        <v>10</v>
      </c>
      <c r="AN1713" s="63" t="n">
        <f aca="false">IF(AJ1713&gt;0,J1713/AJ1713,-1)</f>
        <v>0</v>
      </c>
      <c r="AO1713" s="63" t="n">
        <f aca="false">IF(AND(OR(CG1713="L1",CG1713="L23",CG1713="LIFT"),AJ1713&gt;0),SUMIFS($AJ$7:$AJ$1843,$CG$7:$CG$1843,CG1713,$AN$7:$AN$1843,"&gt;"&amp;AN1713)+SUMIFS($AJ$7:$AJ$1843,$CG$7:$CG$1843,CG1713,$AN$7:$AN$1843,AN1713,$BX$7:$BX$1843,"&lt;="&amp;BX1713),"")</f>
        <v>32830.1662657023</v>
      </c>
      <c r="AP1713" s="70" t="n">
        <f aca="false">IF(AO1713="",0,MAX(0,MIN(1,(IF(CG1713="L1",Parameter!$H$5,IF(CG1713="L23",Parameter!$H$6+Parameter!$H$7,Parameter!$H$5+Parameter!$H$6+Parameter!$H$7))-(AO1713-AJ1713))/AJ1713)))</f>
        <v>1</v>
      </c>
      <c r="AQ1713" s="62" t="n">
        <f aca="false">IF(LEFT(Cockpit!$I$5,1)="A",H1713,IF(Parameter!$E$30="MAX-Bestand",IF(CI1713=1,CJ1713,IF(LEFT(Cockpit!$I$5,1)="B",AW1713,MAX(AW1713,H1713))),ROUNDUP(AU1713,0)))</f>
        <v>9</v>
      </c>
      <c r="AR1713" s="62" t="n">
        <f aca="false">IF(CA1713=1,0,ROUNDUP(AQ1713/BZ1713,0))</f>
        <v>1</v>
      </c>
      <c r="AS1713" s="64" t="n">
        <f aca="false">IF(CR1713&gt;0,CR1713*MAX(1,AQ1713/X1713),IF(CA1713=1,IF(AQ1713&lt;=0,0,CE1713*MAX(1,IF(H1713&gt;0,AQ1713/H1713,1))),IF(R1713&gt;0,AR1713/R1713,0))/MAX(0.1,N(Parameter!$M$21)))</f>
        <v>0.00961538461538462</v>
      </c>
      <c r="AT1713" s="62" t="n">
        <f aca="false">AS1713*CC1713</f>
        <v>1.49038461538462</v>
      </c>
      <c r="AU1713" s="63" t="n">
        <f aca="false">IF(LEFT(Cockpit!$I$5,1)="A",H1713,IF(CI1713=1,(CL1713+CJ1713)/2,IF(LEFT(Cockpit!$I$5,1)="B",(CL1713+AW1713)/2,MAX((CL1713+AW1713)/2,H1713))))</f>
        <v>9</v>
      </c>
      <c r="AV1713" s="62" t="n">
        <f aca="false">AU1713*G1713</f>
        <v>0.9</v>
      </c>
      <c r="AW1713" s="62" t="n">
        <f aca="false">ROUNDUP(CL1713+MAX(CM1713,2*(J1713/IF(CH1713&gt;0,CH1713,MAX(0.1,N(Cockpit!$I$6)))-CL1713)),0)</f>
        <v>10</v>
      </c>
      <c r="AX1713" s="63" t="n">
        <f aca="false">IF(AT1713&gt;0,J1713/AT1713,-1)</f>
        <v>0</v>
      </c>
      <c r="AY1713" s="63" t="n">
        <f aca="false">IF(AND(OR(CG1713="L1",CG1713="L23",CG1713="LIFT"),AT1713&gt;0),SUMIFS($AT$7:$AT$1843,$CG$7:$CG$1843,CG1713,$AX$7:$AX$1843,"&gt;"&amp;AX1713)+SUMIFS($AT$7:$AT$1843,$CG$7:$CG$1843,CG1713,$AX$7:$AX$1843,AX1713,$BX$7:$BX$1843,"&lt;="&amp;BX1713),"")</f>
        <v>39303.5216391424</v>
      </c>
      <c r="AZ1713" s="70" t="n">
        <f aca="false">IF(AY1713="",0,MAX(0,MIN(1,(IF(CG1713="L1",Parameter!$H$5,IF(CG1713="L23",Parameter!$H$6+Parameter!$H$7,Parameter!$H$5+Parameter!$H$6+Parameter!$H$7))-(AY1713-AT1713))/AT1713)))</f>
        <v>0</v>
      </c>
      <c r="BA1713" s="62" t="n">
        <f aca="false">IF(LEFT(Cockpit!$O$5,1)="A",H1713,IF(Parameter!$E$30="MAX-Bestand",IF(CI1713=1,CJ1713,IF(LEFT(Cockpit!$O$5,1)="B",BG1713,MAX(BG1713,H1713))),ROUNDUP(BE1713,0)))</f>
        <v>5</v>
      </c>
      <c r="BB1713" s="62" t="n">
        <f aca="false">IF(CA1713=1,0,ROUNDUP(BA1713/BZ1713,0))</f>
        <v>1</v>
      </c>
      <c r="BC1713" s="64" t="n">
        <f aca="false">IF(CR1713&gt;0,CR1713*MAX(1,BA1713/X1713),IF(CA1713=1,IF(BA1713&lt;=0,0,CE1713*MAX(1,IF(H1713&gt;0,BA1713/H1713,1))),IF(R1713&gt;0,BB1713/R1713,0))/MAX(0.1,N(Parameter!$M$21)))</f>
        <v>0.00961538461538462</v>
      </c>
      <c r="BD1713" s="62" t="n">
        <f aca="false">BC1713*CC1713</f>
        <v>1.49038461538462</v>
      </c>
      <c r="BE1713" s="63" t="n">
        <f aca="false">IF(LEFT(Cockpit!$O$5,1)="A",H1713,IF(CI1713=1,(CL1713+CJ1713)/2,IF(LEFT(Cockpit!$O$5,1)="B",(CL1713+BG1713)/2,MAX((CL1713+BG1713)/2,H1713))))</f>
        <v>5</v>
      </c>
      <c r="BF1713" s="62" t="n">
        <f aca="false">BE1713*G1713</f>
        <v>0.5</v>
      </c>
      <c r="BG1713" s="62" t="n">
        <f aca="false">ROUNDUP(CL1713+MAX(CM1713,2*(J1713/IF(CH1713&gt;0,CH1713,MAX(0.1,N(Cockpit!$O$6)))-CL1713)),0)</f>
        <v>10</v>
      </c>
      <c r="BH1713" s="63" t="n">
        <f aca="false">IF(BD1713&gt;0,J1713/BD1713,-1)</f>
        <v>0</v>
      </c>
      <c r="BI1713" s="63" t="n">
        <f aca="false">IF(AND(OR(CG1713="L1",CG1713="L23",CG1713="LIFT"),BD1713&gt;0),SUMIFS($BD$7:$BD$1843,$CG$7:$CG$1843,CG1713,$BH$7:$BH$1843,"&gt;"&amp;BH1713)+SUMIFS($BD$7:$BD$1843,$CG$7:$CG$1843,CG1713,$BH$7:$BH$1843,BH1713,$BX$7:$BX$1843,"&lt;="&amp;BX1713),"")</f>
        <v>32534.8044897664</v>
      </c>
      <c r="BJ1713" s="70" t="n">
        <f aca="false">IF(BI1713="",0,MAX(0,MIN(1,(IF(CG1713="L1",Parameter!$H$5,IF(CG1713="L23",Parameter!$H$6+Parameter!$H$7,Parameter!$H$5+Parameter!$H$6+Parameter!$H$7))-(BI1713-BD1713))/BD1713)))</f>
        <v>1</v>
      </c>
      <c r="BK1713" s="60" t="str">
        <f aca="false">IF(AJ1713&lt;=0,"",IF(CG1713="Aussen","Aussenlager",IF(CG1713="-","Nicht im Lift",IF(AP1713&gt;=1,"Lift",IF(AP1713&lt;=0,"Aussenlager","teilweise")))))</f>
        <v>Lift</v>
      </c>
      <c r="BL1713" s="60" t="str">
        <f aca="false">IF(AT1713&lt;=0,"",IF(CG1713="Aussen","Aussenlager",IF(CG1713="-","Nicht im Lift",IF(AZ1713&gt;=1,"Lift",IF(AZ1713&lt;=0,"Aussenlager","teilweise")))))</f>
        <v>Aussenlager</v>
      </c>
      <c r="BM1713" s="60" t="str">
        <f aca="false">IF(BD1713&lt;=0,"",IF(CG1713="Aussen","Aussenlager",IF(CG1713="-","Nicht im Lift",IF(BJ1713&gt;=1,"Lift",IF(BJ1713&lt;=0,"Aussenlager","teilweise")))))</f>
        <v>Lift</v>
      </c>
      <c r="BN1713" s="60" t="str">
        <f aca="false">IF(A1713="","",IF(BW1713=1,"Neu; ","")&amp;IF(AND(BW1713=0,BR1713&lt;0),"negativer Bestand (Export "&amp;BR1713&amp;"); ","")&amp;IF(J1713&lt;=0,"Kein Verbrauch; ","")&amp;IF(CR1713&gt;0,"Lift "&amp;W1713&amp;" lt. Liftbericht (Fach "&amp;X1713&amp;" Stk); ",IF(CB1713=1,"Gebinde geschätzt ("&amp;T1713&amp;"); ",IF(CA1713=1,"Lose – Tablare geschätzt; ","")))&amp;IF(H1713&gt;AW1713,"Überbestand "&amp;ROUND(H1713-AW1713,0)&amp;" Stk / CHF "&amp;ROUND((H1713-AW1713)*G1713,0)&amp;"; ","")&amp;IF(AND(CI1713=1,CJ1713&lt;CK1713),"MAX &lt; MB+LG; ","")&amp;IF(AND(CQ1713&gt;0,CP1713*10&gt;CQ1713),"zu hoch für Tablar; ","")&amp;IF(AND(BW1713=0,OR(CI1713=1,AB1713&lt;&gt;"",U1713&lt;&gt;"",V1713&lt;&gt;"",AC1713&lt;&gt;"")),"manuell übersteuert; ","")&amp;IF(AND(CA1713=0,R1713=0),"Gebinde unbekannt / Stellmass fehlt; ","")&amp;IF(AND(CA1713=0,N(V1713)&lt;=0,N(Q1713)&lt;=0),"Menge pro Gebinde fehlt (Ist = 1 Gebinde); ","")&amp;BV1713)</f>
        <v>Kein Verbrauch; nur im Artikelstamm (Bestand 23.06.2026)</v>
      </c>
      <c r="BO1713" s="60"/>
      <c r="BP1713" s="60"/>
      <c r="BQ1713" s="67"/>
      <c r="BR1713" s="62" t="n">
        <v>9</v>
      </c>
      <c r="BS1713" s="62" t="n">
        <v>0</v>
      </c>
      <c r="BT1713" s="61" t="n">
        <v>0</v>
      </c>
      <c r="BU1713" s="62" t="n">
        <v>0</v>
      </c>
      <c r="BV1713" s="60" t="s">
        <v>2617</v>
      </c>
      <c r="BW1713" s="65" t="n">
        <v>0</v>
      </c>
      <c r="BX1713" s="65" t="n">
        <v>1713</v>
      </c>
      <c r="BY1713" s="60" t="str">
        <f aca="false">IF(U1713&lt;&gt;"",UPPER(TRIM(U1713)),IF(CB1713=1,UPPER(VLOOKUP(T1713,Parameter!$I$27:$K$29,2,0)),IF(P1713="","LOSE",P1713)))</f>
        <v>S32</v>
      </c>
      <c r="BZ1713" s="62" t="n">
        <f aca="false">IF(BY1713="LOSE",1,IF(N(V1713)&gt;0,V1713,IF(CB1713=1,MAX(1,N(VLOOKUP(T1713,Parameter!$I$27:$K$29,3,0)),H1713,N(N1713)),IF(N(Q1713)&gt;0,Q1713,MAX(1,H1713)))))</f>
        <v>9</v>
      </c>
      <c r="CA1713" s="65" t="n">
        <f aca="false">IF(BY1713="LOSE",1,0)</f>
        <v>0</v>
      </c>
      <c r="CB1713" s="65" t="n">
        <f aca="false">IF(AND(U1713="",OR(P1713="",P1713="LOSE"),T1713&lt;&gt;"",N(S1713)&lt;=0,ISNUMBER(MATCH(T1713,Parameter!$I$27:$I$29,0))),1,0)</f>
        <v>0</v>
      </c>
      <c r="CC1713" s="65" t="n">
        <f aca="false">IF(CR1713&gt;0,INDEX(Parameter!$H$5:$H$7,W1713)/INDEX(Parameter!$E$5:$E$7,W1713),IF(AND(CA1713=0,N(IFERROR(VLOOKUP(BY1713,'Gebinde-Kategorie'!$A$5:$N$45,14,0),0))&gt;0),VLOOKUP(BY1713,'Gebinde-Kategorie'!$A$5:$N$45,14,0)*10+Parameter!$M$23,Parameter!$M$24))</f>
        <v>155</v>
      </c>
      <c r="CD1713" s="60" t="str">
        <f aca="false">IF(AND(Parameter!$B$19="Ja",E1713&lt;&gt;"",ISNUMBER(MATCH(E1713,Parameter!$I$35:$I$52,0))),VLOOKUP(E1713,Parameter!$I$35:$J$52,2,0),IFERROR(VLOOKUP(D1713,Parameter!$A$35:$C$64,2,0),"Nein"))</f>
        <v>2+3</v>
      </c>
      <c r="CE1713" s="64" t="n">
        <f aca="false">IF(CA1713=0,0,IF(N(S1713)&gt;0,S1713,IFERROR(VLOOKUP(D1713,Parameter!$A$35:$C$64,3,0)+0,0)))</f>
        <v>0</v>
      </c>
      <c r="CF1713" s="60" t="n">
        <f aca="false">IF(AB1713&lt;&gt;"",AB1713,AA1713)</f>
        <v>3</v>
      </c>
      <c r="CG1713" s="60" t="str">
        <f aca="false">IF(OR(CF1713=1,CF1713=2,CF1713=3),IF(Parameter!$E$27="Ja","LIFT",IF(CF1713=1,"L1","L23")),IF(CF1713="Aussen","Aussen","-"))</f>
        <v>LIFT</v>
      </c>
      <c r="CH1713" s="71" t="n">
        <f aca="false">IF(N(AC1713)&gt;0,AC1713,0)</f>
        <v>0</v>
      </c>
      <c r="CI1713" s="65" t="n">
        <f aca="false">IF(ISNUMBER(AF1713),1,0)</f>
        <v>0</v>
      </c>
      <c r="CJ1713" s="62" t="n">
        <f aca="false">N(AF1713)</f>
        <v>0</v>
      </c>
      <c r="CK1713" s="62" t="n">
        <f aca="false">N(M1713)+N(N1713)</f>
        <v>10</v>
      </c>
      <c r="CL1713" s="62" t="n">
        <f aca="false">N(M1713)</f>
        <v>0</v>
      </c>
      <c r="CM1713" s="62" t="n">
        <f aca="false">N(N1713)</f>
        <v>10</v>
      </c>
      <c r="CN1713" s="62" t="n">
        <f aca="false">ROUNDUP(H1713/BZ1713,0)</f>
        <v>1</v>
      </c>
      <c r="CO1713" s="62" t="n">
        <f aca="false">ROUNDUP(CJ1713/BZ1713,0)</f>
        <v>0</v>
      </c>
      <c r="CP1713" s="65" t="n">
        <f aca="false">IF(CA1713=1,0,IFERROR(VLOOKUP(BY1713,'Gebinde-Kategorie'!$A$5:$N$45,5,0)+0,0))</f>
        <v>8</v>
      </c>
      <c r="CQ1713" s="65" t="n">
        <f aca="false">IFERROR(IF(OR(CF1713=1,CF1713=2,CF1713=3),N(INDEX(Parameter!$I$5:$I$7,CF1713)),0),0)</f>
        <v>0</v>
      </c>
      <c r="CR1713" s="64" t="n">
        <f aca="false">IF(AND(Parameter!$B$21="Ja",ISNUMBER(W1713),N(X1713)&gt;0),IFERROR(N(INDEX(Parameter!$L$5:$L$7,W1713))*INDEX(Parameter!$E$5:$E$7,W1713)*X1713/SUMIFS($X$7:$X$1843,$W$7:$W$1843,W1713),0),0)</f>
        <v>0</v>
      </c>
      <c r="CS1713" s="62" t="n">
        <f aca="false">IF(AND(OR(CG1713="L1",CG1713="L23",CG1713="LIFT"),H1713&gt;0),CC1713*IF(CR1713&gt;0,CR1713*MAX(1,H1713/X1713),IF(CA1713=1,CE1713,IF(R1713&gt;0,CN1713/R1713,0))/MAX(0.1,N(Parameter!$M$21))),"")</f>
        <v>1.49038461538462</v>
      </c>
      <c r="CT1713" s="64" t="n">
        <f aca="false">IF(CS1713="","",J1713/H1713)</f>
        <v>0</v>
      </c>
      <c r="CU1713" s="62" t="n">
        <f aca="false">IF(CS1713="","",H1713*G1713)</f>
        <v>0.9</v>
      </c>
      <c r="CV1713" s="63" t="n">
        <f aca="false">IF(CS1713="","",(CL1713+ROUNDUP(CL1713+MAX(CM1713,2*(J1713/MAX(0.1,N(Einkauf!$C$6))-CL1713)),0))/2)</f>
        <v>5</v>
      </c>
      <c r="CW1713" s="62" t="n">
        <f aca="false">IF(CS1713="","",MAX(0,H1713-CV1713)*G1713)</f>
        <v>0.4</v>
      </c>
      <c r="CX1713" s="62" t="n">
        <f aca="false">IF(CS1713="","",CS1713*MAX(0,1-CV1713/H1713))</f>
        <v>0.662393162393162</v>
      </c>
      <c r="CY1713" s="64" t="n">
        <f aca="false">IF(CS1713="","",PERCENTRANK($CS$7:$CS$1843,CS1713)+PERCENTRANK($CU$7:$CU$1843,CU1713)+1-PERCENTRANK($CT$7:$CT$1843,CT1713))</f>
        <v>1.12558</v>
      </c>
      <c r="CZ1713" s="72" t="n">
        <f aca="false">IF(CS1713="","",CHOOSE(MATCH(Einkauf!$C$5,Parameter!$G$23:$G$27,0),CY1713,CS1713,CU1713,-CT1713,CW1713)+ROW()/1000000000)</f>
        <v>1.125581713</v>
      </c>
    </row>
    <row r="1714" customFormat="false" ht="15" hidden="false" customHeight="false" outlineLevel="0" collapsed="false">
      <c r="A1714" s="60" t="s">
        <v>3007</v>
      </c>
      <c r="B1714" s="60" t="s">
        <v>3008</v>
      </c>
      <c r="C1714" s="60" t="s">
        <v>206</v>
      </c>
      <c r="D1714" s="60" t="s">
        <v>226</v>
      </c>
      <c r="E1714" s="60"/>
      <c r="F1714" s="60"/>
      <c r="G1714" s="61" t="n">
        <v>72.47</v>
      </c>
      <c r="H1714" s="62" t="n">
        <f aca="false">MAX(0,IF(AND(Parameter!$B$21="Ja",ISNUMBER(Y1714)),Y1714,IF(Parameter!$B$20="Jahresanfang 2025 + Export",BS1714+BR1714,BR1714)))</f>
        <v>5</v>
      </c>
      <c r="I1714" s="62" t="n">
        <f aca="false">H1714*G1714</f>
        <v>362.35</v>
      </c>
      <c r="J1714" s="62" t="n">
        <f aca="false">BU1714*Parameter!$B$18</f>
        <v>0</v>
      </c>
      <c r="K1714" s="63"/>
      <c r="L1714" s="64"/>
      <c r="M1714" s="62" t="n">
        <v>0</v>
      </c>
      <c r="N1714" s="62" t="n">
        <v>1</v>
      </c>
      <c r="O1714" s="65" t="n">
        <v>35</v>
      </c>
      <c r="P1714" s="60" t="s">
        <v>463</v>
      </c>
      <c r="Q1714" s="62" t="n">
        <v>6</v>
      </c>
      <c r="R1714" s="65" t="n">
        <f aca="false">IF(CA1714=1,0,IFERROR(VLOOKUP(BY1714,'Gebinde-Kategorie'!$A$5:$N$45,13,0)+0,0))</f>
        <v>104</v>
      </c>
      <c r="S1714" s="66"/>
      <c r="T1714" s="67"/>
      <c r="U1714" s="67"/>
      <c r="V1714" s="67"/>
      <c r="W1714" s="60"/>
      <c r="X1714" s="62"/>
      <c r="Y1714" s="62"/>
      <c r="Z1714" s="60" t="n">
        <v>2</v>
      </c>
      <c r="AA1714" s="60" t="n">
        <f aca="false">IF(A1714="","",IF(AND(Parameter!$B$21="Ja",ISNUMBER(W1714)),W1714,IF(AND(Parameter!$E$27="Ja",ISNUMBER(Z1714),CD1714&lt;&gt;"Nein"),Z1714,IF(CD1714="2+3",IF(ISNUMBER(SEARCH("grosser Artikel",BV1714)),2,IFERROR(VLOOKUP(BY1714,Parameter!$F$35:$G$64,2,0),2)),IF(OR(CD1714="Nein",CD1714=""),"-",CD1714)))))</f>
        <v>2</v>
      </c>
      <c r="AB1714" s="67"/>
      <c r="AC1714" s="68"/>
      <c r="AD1714" s="62" t="n">
        <f aca="false">AW1714</f>
        <v>1</v>
      </c>
      <c r="AE1714" s="62" t="n">
        <f aca="false">MAX(AW1714,H1714)</f>
        <v>5</v>
      </c>
      <c r="AF1714" s="69"/>
      <c r="AG1714" s="62" t="n">
        <f aca="false">IF(LEFT(Cockpit!$C$5,1)="A",H1714,IF(Parameter!$E$30="MAX-Bestand",IF(CI1714=1,CJ1714,IF(LEFT(Cockpit!$C$5,1)="B",AM1714,MAX(AM1714,H1714))),ROUNDUP(AK1714,0)))</f>
        <v>5</v>
      </c>
      <c r="AH1714" s="62" t="n">
        <f aca="false">IF(CA1714=1,0,ROUNDUP(AG1714/BZ1714,0))</f>
        <v>1</v>
      </c>
      <c r="AI1714" s="64" t="n">
        <f aca="false">IF(CR1714&gt;0,CR1714*MAX(1,AG1714/X1714),IF(CA1714=1,IF(AG1714&lt;=0,0,CE1714*MAX(1,IF(H1714&gt;0,AG1714/H1714,1))),IF(R1714&gt;0,AH1714/R1714,0))/MAX(0.1,N(Parameter!$M$21)))</f>
        <v>0.00961538461538462</v>
      </c>
      <c r="AJ1714" s="62" t="n">
        <f aca="false">AI1714*CC1714</f>
        <v>1.49038461538462</v>
      </c>
      <c r="AK1714" s="63" t="n">
        <f aca="false">IF(LEFT(Cockpit!$C$5,1)="A",H1714,IF(CI1714=1,(CL1714+CJ1714)/2,IF(LEFT(Cockpit!$C$5,1)="B",(CL1714+AM1714)/2,MAX((CL1714+AM1714)/2,H1714))))</f>
        <v>5</v>
      </c>
      <c r="AL1714" s="62" t="n">
        <f aca="false">AK1714*G1714</f>
        <v>362.35</v>
      </c>
      <c r="AM1714" s="62" t="n">
        <f aca="false">ROUNDUP(CL1714+MAX(CM1714,2*(J1714/IF(CH1714&gt;0,CH1714,MAX(0.1,N(Cockpit!$C$6)))-CL1714)),0)</f>
        <v>1</v>
      </c>
      <c r="AN1714" s="63" t="n">
        <f aca="false">IF(AJ1714&gt;0,J1714/AJ1714,-1)</f>
        <v>0</v>
      </c>
      <c r="AO1714" s="63" t="n">
        <f aca="false">IF(AND(OR(CG1714="L1",CG1714="L23",CG1714="LIFT"),AJ1714&gt;0),SUMIFS($AJ$7:$AJ$1843,$CG$7:$CG$1843,CG1714,$AN$7:$AN$1843,"&gt;"&amp;AN1714)+SUMIFS($AJ$7:$AJ$1843,$CG$7:$CG$1843,CG1714,$AN$7:$AN$1843,AN1714,$BX$7:$BX$1843,"&lt;="&amp;BX1714),"")</f>
        <v>32831.6566503177</v>
      </c>
      <c r="AP1714" s="70" t="n">
        <f aca="false">IF(AO1714="",0,MAX(0,MIN(1,(IF(CG1714="L1",Parameter!$H$5,IF(CG1714="L23",Parameter!$H$6+Parameter!$H$7,Parameter!$H$5+Parameter!$H$6+Parameter!$H$7))-(AO1714-AJ1714))/AJ1714)))</f>
        <v>1</v>
      </c>
      <c r="AQ1714" s="62" t="n">
        <f aca="false">IF(LEFT(Cockpit!$I$5,1)="A",H1714,IF(Parameter!$E$30="MAX-Bestand",IF(CI1714=1,CJ1714,IF(LEFT(Cockpit!$I$5,1)="B",AW1714,MAX(AW1714,H1714))),ROUNDUP(AU1714,0)))</f>
        <v>5</v>
      </c>
      <c r="AR1714" s="62" t="n">
        <f aca="false">IF(CA1714=1,0,ROUNDUP(AQ1714/BZ1714,0))</f>
        <v>1</v>
      </c>
      <c r="AS1714" s="64" t="n">
        <f aca="false">IF(CR1714&gt;0,CR1714*MAX(1,AQ1714/X1714),IF(CA1714=1,IF(AQ1714&lt;=0,0,CE1714*MAX(1,IF(H1714&gt;0,AQ1714/H1714,1))),IF(R1714&gt;0,AR1714/R1714,0))/MAX(0.1,N(Parameter!$M$21)))</f>
        <v>0.00961538461538462</v>
      </c>
      <c r="AT1714" s="62" t="n">
        <f aca="false">AS1714*CC1714</f>
        <v>1.49038461538462</v>
      </c>
      <c r="AU1714" s="63" t="n">
        <f aca="false">IF(LEFT(Cockpit!$I$5,1)="A",H1714,IF(CI1714=1,(CL1714+CJ1714)/2,IF(LEFT(Cockpit!$I$5,1)="B",(CL1714+AW1714)/2,MAX((CL1714+AW1714)/2,H1714))))</f>
        <v>5</v>
      </c>
      <c r="AV1714" s="62" t="n">
        <f aca="false">AU1714*G1714</f>
        <v>362.35</v>
      </c>
      <c r="AW1714" s="62" t="n">
        <f aca="false">ROUNDUP(CL1714+MAX(CM1714,2*(J1714/IF(CH1714&gt;0,CH1714,MAX(0.1,N(Cockpit!$I$6)))-CL1714)),0)</f>
        <v>1</v>
      </c>
      <c r="AX1714" s="63" t="n">
        <f aca="false">IF(AT1714&gt;0,J1714/AT1714,-1)</f>
        <v>0</v>
      </c>
      <c r="AY1714" s="63" t="n">
        <f aca="false">IF(AND(OR(CG1714="L1",CG1714="L23",CG1714="LIFT"),AT1714&gt;0),SUMIFS($AT$7:$AT$1843,$CG$7:$CG$1843,CG1714,$AX$7:$AX$1843,"&gt;"&amp;AX1714)+SUMIFS($AT$7:$AT$1843,$CG$7:$CG$1843,CG1714,$AX$7:$AX$1843,AX1714,$BX$7:$BX$1843,"&lt;="&amp;BX1714),"")</f>
        <v>39305.0120237578</v>
      </c>
      <c r="AZ1714" s="70" t="n">
        <f aca="false">IF(AY1714="",0,MAX(0,MIN(1,(IF(CG1714="L1",Parameter!$H$5,IF(CG1714="L23",Parameter!$H$6+Parameter!$H$7,Parameter!$H$5+Parameter!$H$6+Parameter!$H$7))-(AY1714-AT1714))/AT1714)))</f>
        <v>0</v>
      </c>
      <c r="BA1714" s="62" t="n">
        <f aca="false">IF(LEFT(Cockpit!$O$5,1)="A",H1714,IF(Parameter!$E$30="MAX-Bestand",IF(CI1714=1,CJ1714,IF(LEFT(Cockpit!$O$5,1)="B",BG1714,MAX(BG1714,H1714))),ROUNDUP(BE1714,0)))</f>
        <v>1</v>
      </c>
      <c r="BB1714" s="62" t="n">
        <f aca="false">IF(CA1714=1,0,ROUNDUP(BA1714/BZ1714,0))</f>
        <v>1</v>
      </c>
      <c r="BC1714" s="64" t="n">
        <f aca="false">IF(CR1714&gt;0,CR1714*MAX(1,BA1714/X1714),IF(CA1714=1,IF(BA1714&lt;=0,0,CE1714*MAX(1,IF(H1714&gt;0,BA1714/H1714,1))),IF(R1714&gt;0,BB1714/R1714,0))/MAX(0.1,N(Parameter!$M$21)))</f>
        <v>0.00961538461538462</v>
      </c>
      <c r="BD1714" s="62" t="n">
        <f aca="false">BC1714*CC1714</f>
        <v>1.49038461538462</v>
      </c>
      <c r="BE1714" s="63" t="n">
        <f aca="false">IF(LEFT(Cockpit!$O$5,1)="A",H1714,IF(CI1714=1,(CL1714+CJ1714)/2,IF(LEFT(Cockpit!$O$5,1)="B",(CL1714+BG1714)/2,MAX((CL1714+BG1714)/2,H1714))))</f>
        <v>0.5</v>
      </c>
      <c r="BF1714" s="62" t="n">
        <f aca="false">BE1714*G1714</f>
        <v>36.235</v>
      </c>
      <c r="BG1714" s="62" t="n">
        <f aca="false">ROUNDUP(CL1714+MAX(CM1714,2*(J1714/IF(CH1714&gt;0,CH1714,MAX(0.1,N(Cockpit!$O$6)))-CL1714)),0)</f>
        <v>1</v>
      </c>
      <c r="BH1714" s="63" t="n">
        <f aca="false">IF(BD1714&gt;0,J1714/BD1714,-1)</f>
        <v>0</v>
      </c>
      <c r="BI1714" s="63" t="n">
        <f aca="false">IF(AND(OR(CG1714="L1",CG1714="L23",CG1714="LIFT"),BD1714&gt;0),SUMIFS($BD$7:$BD$1843,$CG$7:$CG$1843,CG1714,$BH$7:$BH$1843,"&gt;"&amp;BH1714)+SUMIFS($BD$7:$BD$1843,$CG$7:$CG$1843,CG1714,$BH$7:$BH$1843,BH1714,$BX$7:$BX$1843,"&lt;="&amp;BX1714),"")</f>
        <v>32536.2948743817</v>
      </c>
      <c r="BJ1714" s="70" t="n">
        <f aca="false">IF(BI1714="",0,MAX(0,MIN(1,(IF(CG1714="L1",Parameter!$H$5,IF(CG1714="L23",Parameter!$H$6+Parameter!$H$7,Parameter!$H$5+Parameter!$H$6+Parameter!$H$7))-(BI1714-BD1714))/BD1714)))</f>
        <v>1</v>
      </c>
      <c r="BK1714" s="60" t="str">
        <f aca="false">IF(AJ1714&lt;=0,"",IF(CG1714="Aussen","Aussenlager",IF(CG1714="-","Nicht im Lift",IF(AP1714&gt;=1,"Lift",IF(AP1714&lt;=0,"Aussenlager","teilweise")))))</f>
        <v>Lift</v>
      </c>
      <c r="BL1714" s="60" t="str">
        <f aca="false">IF(AT1714&lt;=0,"",IF(CG1714="Aussen","Aussenlager",IF(CG1714="-","Nicht im Lift",IF(AZ1714&gt;=1,"Lift",IF(AZ1714&lt;=0,"Aussenlager","teilweise")))))</f>
        <v>Aussenlager</v>
      </c>
      <c r="BM1714" s="60" t="str">
        <f aca="false">IF(BD1714&lt;=0,"",IF(CG1714="Aussen","Aussenlager",IF(CG1714="-","Nicht im Lift",IF(BJ1714&gt;=1,"Lift",IF(BJ1714&lt;=0,"Aussenlager","teilweise")))))</f>
        <v>Lift</v>
      </c>
      <c r="BN1714" s="60" t="str">
        <f aca="false">IF(A1714="","",IF(BW1714=1,"Neu; ","")&amp;IF(AND(BW1714=0,BR1714&lt;0),"negativer Bestand (Export "&amp;BR1714&amp;"); ","")&amp;IF(J1714&lt;=0,"Kein Verbrauch; ","")&amp;IF(CR1714&gt;0,"Lift "&amp;W1714&amp;" lt. Liftbericht (Fach "&amp;X1714&amp;" Stk); ",IF(CB1714=1,"Gebinde geschätzt ("&amp;T1714&amp;"); ",IF(CA1714=1,"Lose – Tablare geschätzt; ","")))&amp;IF(H1714&gt;AW1714,"Überbestand "&amp;ROUND(H1714-AW1714,0)&amp;" Stk / CHF "&amp;ROUND((H1714-AW1714)*G1714,0)&amp;"; ","")&amp;IF(AND(CI1714=1,CJ1714&lt;CK1714),"MAX &lt; MB+LG; ","")&amp;IF(AND(CQ1714&gt;0,CP1714*10&gt;CQ1714),"zu hoch für Tablar; ","")&amp;IF(AND(BW1714=0,OR(CI1714=1,AB1714&lt;&gt;"",U1714&lt;&gt;"",V1714&lt;&gt;"",AC1714&lt;&gt;"")),"manuell übersteuert; ","")&amp;IF(AND(CA1714=0,R1714=0),"Gebinde unbekannt / Stellmass fehlt; ","")&amp;IF(AND(CA1714=0,N(V1714)&lt;=0,N(Q1714)&lt;=0),"Menge pro Gebinde fehlt (Ist = 1 Gebinde); ","")&amp;BV1714)</f>
        <v>Kein Verbrauch; Überbestand 4 Stk / CHF 290; nur im Artikelstamm (Bestand 23.06.2026)</v>
      </c>
      <c r="BO1714" s="60"/>
      <c r="BP1714" s="60"/>
      <c r="BQ1714" s="67"/>
      <c r="BR1714" s="62" t="n">
        <v>5</v>
      </c>
      <c r="BS1714" s="62" t="n">
        <v>0</v>
      </c>
      <c r="BT1714" s="61" t="n">
        <v>0</v>
      </c>
      <c r="BU1714" s="62" t="n">
        <v>0</v>
      </c>
      <c r="BV1714" s="60" t="s">
        <v>2617</v>
      </c>
      <c r="BW1714" s="65" t="n">
        <v>0</v>
      </c>
      <c r="BX1714" s="65" t="n">
        <v>1714</v>
      </c>
      <c r="BY1714" s="60" t="str">
        <f aca="false">IF(U1714&lt;&gt;"",UPPER(TRIM(U1714)),IF(CB1714=1,UPPER(VLOOKUP(T1714,Parameter!$I$27:$K$29,2,0)),IF(P1714="","LOSE",P1714)))</f>
        <v>S32</v>
      </c>
      <c r="BZ1714" s="62" t="n">
        <f aca="false">IF(BY1714="LOSE",1,IF(N(V1714)&gt;0,V1714,IF(CB1714=1,MAX(1,N(VLOOKUP(T1714,Parameter!$I$27:$K$29,3,0)),H1714,N(N1714)),IF(N(Q1714)&gt;0,Q1714,MAX(1,H1714)))))</f>
        <v>6</v>
      </c>
      <c r="CA1714" s="65" t="n">
        <f aca="false">IF(BY1714="LOSE",1,0)</f>
        <v>0</v>
      </c>
      <c r="CB1714" s="65" t="n">
        <f aca="false">IF(AND(U1714="",OR(P1714="",P1714="LOSE"),T1714&lt;&gt;"",N(S1714)&lt;=0,ISNUMBER(MATCH(T1714,Parameter!$I$27:$I$29,0))),1,0)</f>
        <v>0</v>
      </c>
      <c r="CC1714" s="65" t="n">
        <f aca="false">IF(CR1714&gt;0,INDEX(Parameter!$H$5:$H$7,W1714)/INDEX(Parameter!$E$5:$E$7,W1714),IF(AND(CA1714=0,N(IFERROR(VLOOKUP(BY1714,'Gebinde-Kategorie'!$A$5:$N$45,14,0),0))&gt;0),VLOOKUP(BY1714,'Gebinde-Kategorie'!$A$5:$N$45,14,0)*10+Parameter!$M$23,Parameter!$M$24))</f>
        <v>155</v>
      </c>
      <c r="CD1714" s="60" t="str">
        <f aca="false">IF(AND(Parameter!$B$19="Ja",E1714&lt;&gt;"",ISNUMBER(MATCH(E1714,Parameter!$I$35:$I$52,0))),VLOOKUP(E1714,Parameter!$I$35:$J$52,2,0),IFERROR(VLOOKUP(D1714,Parameter!$A$35:$C$64,2,0),"Nein"))</f>
        <v>2+3</v>
      </c>
      <c r="CE1714" s="64" t="n">
        <f aca="false">IF(CA1714=0,0,IF(N(S1714)&gt;0,S1714,IFERROR(VLOOKUP(D1714,Parameter!$A$35:$C$64,3,0)+0,0)))</f>
        <v>0</v>
      </c>
      <c r="CF1714" s="60" t="n">
        <f aca="false">IF(AB1714&lt;&gt;"",AB1714,AA1714)</f>
        <v>2</v>
      </c>
      <c r="CG1714" s="60" t="str">
        <f aca="false">IF(OR(CF1714=1,CF1714=2,CF1714=3),IF(Parameter!$E$27="Ja","LIFT",IF(CF1714=1,"L1","L23")),IF(CF1714="Aussen","Aussen","-"))</f>
        <v>LIFT</v>
      </c>
      <c r="CH1714" s="71" t="n">
        <f aca="false">IF(N(AC1714)&gt;0,AC1714,0)</f>
        <v>0</v>
      </c>
      <c r="CI1714" s="65" t="n">
        <f aca="false">IF(ISNUMBER(AF1714),1,0)</f>
        <v>0</v>
      </c>
      <c r="CJ1714" s="62" t="n">
        <f aca="false">N(AF1714)</f>
        <v>0</v>
      </c>
      <c r="CK1714" s="62" t="n">
        <f aca="false">N(M1714)+N(N1714)</f>
        <v>1</v>
      </c>
      <c r="CL1714" s="62" t="n">
        <f aca="false">N(M1714)</f>
        <v>0</v>
      </c>
      <c r="CM1714" s="62" t="n">
        <f aca="false">N(N1714)</f>
        <v>1</v>
      </c>
      <c r="CN1714" s="62" t="n">
        <f aca="false">ROUNDUP(H1714/BZ1714,0)</f>
        <v>1</v>
      </c>
      <c r="CO1714" s="62" t="n">
        <f aca="false">ROUNDUP(CJ1714/BZ1714,0)</f>
        <v>0</v>
      </c>
      <c r="CP1714" s="65" t="n">
        <f aca="false">IF(CA1714=1,0,IFERROR(VLOOKUP(BY1714,'Gebinde-Kategorie'!$A$5:$N$45,5,0)+0,0))</f>
        <v>8</v>
      </c>
      <c r="CQ1714" s="65" t="n">
        <f aca="false">IFERROR(IF(OR(CF1714=1,CF1714=2,CF1714=3),N(INDEX(Parameter!$I$5:$I$7,CF1714)),0),0)</f>
        <v>0</v>
      </c>
      <c r="CR1714" s="64" t="n">
        <f aca="false">IF(AND(Parameter!$B$21="Ja",ISNUMBER(W1714),N(X1714)&gt;0),IFERROR(N(INDEX(Parameter!$L$5:$L$7,W1714))*INDEX(Parameter!$E$5:$E$7,W1714)*X1714/SUMIFS($X$7:$X$1843,$W$7:$W$1843,W1714),0),0)</f>
        <v>0</v>
      </c>
      <c r="CS1714" s="62" t="n">
        <f aca="false">IF(AND(OR(CG1714="L1",CG1714="L23",CG1714="LIFT"),H1714&gt;0),CC1714*IF(CR1714&gt;0,CR1714*MAX(1,H1714/X1714),IF(CA1714=1,CE1714,IF(R1714&gt;0,CN1714/R1714,0))/MAX(0.1,N(Parameter!$M$21))),"")</f>
        <v>1.49038461538462</v>
      </c>
      <c r="CT1714" s="64" t="n">
        <f aca="false">IF(CS1714="","",J1714/H1714)</f>
        <v>0</v>
      </c>
      <c r="CU1714" s="62" t="n">
        <f aca="false">IF(CS1714="","",H1714*G1714)</f>
        <v>362.35</v>
      </c>
      <c r="CV1714" s="63" t="n">
        <f aca="false">IF(CS1714="","",(CL1714+ROUNDUP(CL1714+MAX(CM1714,2*(J1714/MAX(0.1,N(Einkauf!$C$6))-CL1714)),0))/2)</f>
        <v>0.5</v>
      </c>
      <c r="CW1714" s="62" t="n">
        <f aca="false">IF(CS1714="","",MAX(0,H1714-CV1714)*G1714)</f>
        <v>326.115</v>
      </c>
      <c r="CX1714" s="62" t="n">
        <f aca="false">IF(CS1714="","",CS1714*MAX(0,1-CV1714/H1714))</f>
        <v>1.34134615384615</v>
      </c>
      <c r="CY1714" s="64" t="n">
        <f aca="false">IF(CS1714="","",PERCENTRANK($CS$7:$CS$1843,CS1714)+PERCENTRANK($CU$7:$CU$1843,CU1714)+1-PERCENTRANK($CT$7:$CT$1843,CT1714))</f>
        <v>1.579</v>
      </c>
      <c r="CZ1714" s="72" t="n">
        <f aca="false">IF(CS1714="","",CHOOSE(MATCH(Einkauf!$C$5,Parameter!$G$23:$G$27,0),CY1714,CS1714,CU1714,-CT1714,CW1714)+ROW()/1000000000)</f>
        <v>1.579001714</v>
      </c>
    </row>
    <row r="1715" customFormat="false" ht="15" hidden="false" customHeight="false" outlineLevel="0" collapsed="false">
      <c r="A1715" s="60" t="s">
        <v>3009</v>
      </c>
      <c r="B1715" s="60" t="s">
        <v>3010</v>
      </c>
      <c r="C1715" s="60" t="s">
        <v>206</v>
      </c>
      <c r="D1715" s="60" t="s">
        <v>226</v>
      </c>
      <c r="E1715" s="60"/>
      <c r="F1715" s="60"/>
      <c r="G1715" s="61" t="n">
        <v>17.25</v>
      </c>
      <c r="H1715" s="62" t="n">
        <f aca="false">MAX(0,IF(AND(Parameter!$B$21="Ja",ISNUMBER(Y1715)),Y1715,IF(Parameter!$B$20="Jahresanfang 2025 + Export",BS1715+BR1715,BR1715)))</f>
        <v>5</v>
      </c>
      <c r="I1715" s="62" t="n">
        <f aca="false">H1715*G1715</f>
        <v>86.25</v>
      </c>
      <c r="J1715" s="62" t="n">
        <f aca="false">BU1715*Parameter!$B$18</f>
        <v>0</v>
      </c>
      <c r="K1715" s="63"/>
      <c r="L1715" s="64"/>
      <c r="M1715" s="62" t="n">
        <v>0</v>
      </c>
      <c r="N1715" s="62" t="n">
        <v>5</v>
      </c>
      <c r="O1715" s="65" t="n">
        <v>35</v>
      </c>
      <c r="P1715" s="60" t="s">
        <v>463</v>
      </c>
      <c r="Q1715" s="62" t="n">
        <v>5</v>
      </c>
      <c r="R1715" s="65" t="n">
        <f aca="false">IF(CA1715=1,0,IFERROR(VLOOKUP(BY1715,'Gebinde-Kategorie'!$A$5:$N$45,13,0)+0,0))</f>
        <v>104</v>
      </c>
      <c r="S1715" s="66"/>
      <c r="T1715" s="67"/>
      <c r="U1715" s="67"/>
      <c r="V1715" s="67"/>
      <c r="W1715" s="60"/>
      <c r="X1715" s="62"/>
      <c r="Y1715" s="62"/>
      <c r="Z1715" s="60" t="n">
        <v>2</v>
      </c>
      <c r="AA1715" s="60" t="n">
        <f aca="false">IF(A1715="","",IF(AND(Parameter!$B$21="Ja",ISNUMBER(W1715)),W1715,IF(AND(Parameter!$E$27="Ja",ISNUMBER(Z1715),CD1715&lt;&gt;"Nein"),Z1715,IF(CD1715="2+3",IF(ISNUMBER(SEARCH("grosser Artikel",BV1715)),2,IFERROR(VLOOKUP(BY1715,Parameter!$F$35:$G$64,2,0),2)),IF(OR(CD1715="Nein",CD1715=""),"-",CD1715)))))</f>
        <v>2</v>
      </c>
      <c r="AB1715" s="67"/>
      <c r="AC1715" s="68"/>
      <c r="AD1715" s="62" t="n">
        <f aca="false">AW1715</f>
        <v>5</v>
      </c>
      <c r="AE1715" s="62" t="n">
        <f aca="false">MAX(AW1715,H1715)</f>
        <v>5</v>
      </c>
      <c r="AF1715" s="69"/>
      <c r="AG1715" s="62" t="n">
        <f aca="false">IF(LEFT(Cockpit!$C$5,1)="A",H1715,IF(Parameter!$E$30="MAX-Bestand",IF(CI1715=1,CJ1715,IF(LEFT(Cockpit!$C$5,1)="B",AM1715,MAX(AM1715,H1715))),ROUNDUP(AK1715,0)))</f>
        <v>5</v>
      </c>
      <c r="AH1715" s="62" t="n">
        <f aca="false">IF(CA1715=1,0,ROUNDUP(AG1715/BZ1715,0))</f>
        <v>1</v>
      </c>
      <c r="AI1715" s="64" t="n">
        <f aca="false">IF(CR1715&gt;0,CR1715*MAX(1,AG1715/X1715),IF(CA1715=1,IF(AG1715&lt;=0,0,CE1715*MAX(1,IF(H1715&gt;0,AG1715/H1715,1))),IF(R1715&gt;0,AH1715/R1715,0))/MAX(0.1,N(Parameter!$M$21)))</f>
        <v>0.00961538461538462</v>
      </c>
      <c r="AJ1715" s="62" t="n">
        <f aca="false">AI1715*CC1715</f>
        <v>1.49038461538462</v>
      </c>
      <c r="AK1715" s="63" t="n">
        <f aca="false">IF(LEFT(Cockpit!$C$5,1)="A",H1715,IF(CI1715=1,(CL1715+CJ1715)/2,IF(LEFT(Cockpit!$C$5,1)="B",(CL1715+AM1715)/2,MAX((CL1715+AM1715)/2,H1715))))</f>
        <v>5</v>
      </c>
      <c r="AL1715" s="62" t="n">
        <f aca="false">AK1715*G1715</f>
        <v>86.25</v>
      </c>
      <c r="AM1715" s="62" t="n">
        <f aca="false">ROUNDUP(CL1715+MAX(CM1715,2*(J1715/IF(CH1715&gt;0,CH1715,MAX(0.1,N(Cockpit!$C$6)))-CL1715)),0)</f>
        <v>5</v>
      </c>
      <c r="AN1715" s="63" t="n">
        <f aca="false">IF(AJ1715&gt;0,J1715/AJ1715,-1)</f>
        <v>0</v>
      </c>
      <c r="AO1715" s="63" t="n">
        <f aca="false">IF(AND(OR(CG1715="L1",CG1715="L23",CG1715="LIFT"),AJ1715&gt;0),SUMIFS($AJ$7:$AJ$1843,$CG$7:$CG$1843,CG1715,$AN$7:$AN$1843,"&gt;"&amp;AN1715)+SUMIFS($AJ$7:$AJ$1843,$CG$7:$CG$1843,CG1715,$AN$7:$AN$1843,AN1715,$BX$7:$BX$1843,"&lt;="&amp;BX1715),"")</f>
        <v>32833.1470349331</v>
      </c>
      <c r="AP1715" s="70" t="n">
        <f aca="false">IF(AO1715="",0,MAX(0,MIN(1,(IF(CG1715="L1",Parameter!$H$5,IF(CG1715="L23",Parameter!$H$6+Parameter!$H$7,Parameter!$H$5+Parameter!$H$6+Parameter!$H$7))-(AO1715-AJ1715))/AJ1715)))</f>
        <v>1</v>
      </c>
      <c r="AQ1715" s="62" t="n">
        <f aca="false">IF(LEFT(Cockpit!$I$5,1)="A",H1715,IF(Parameter!$E$30="MAX-Bestand",IF(CI1715=1,CJ1715,IF(LEFT(Cockpit!$I$5,1)="B",AW1715,MAX(AW1715,H1715))),ROUNDUP(AU1715,0)))</f>
        <v>5</v>
      </c>
      <c r="AR1715" s="62" t="n">
        <f aca="false">IF(CA1715=1,0,ROUNDUP(AQ1715/BZ1715,0))</f>
        <v>1</v>
      </c>
      <c r="AS1715" s="64" t="n">
        <f aca="false">IF(CR1715&gt;0,CR1715*MAX(1,AQ1715/X1715),IF(CA1715=1,IF(AQ1715&lt;=0,0,CE1715*MAX(1,IF(H1715&gt;0,AQ1715/H1715,1))),IF(R1715&gt;0,AR1715/R1715,0))/MAX(0.1,N(Parameter!$M$21)))</f>
        <v>0.00961538461538462</v>
      </c>
      <c r="AT1715" s="62" t="n">
        <f aca="false">AS1715*CC1715</f>
        <v>1.49038461538462</v>
      </c>
      <c r="AU1715" s="63" t="n">
        <f aca="false">IF(LEFT(Cockpit!$I$5,1)="A",H1715,IF(CI1715=1,(CL1715+CJ1715)/2,IF(LEFT(Cockpit!$I$5,1)="B",(CL1715+AW1715)/2,MAX((CL1715+AW1715)/2,H1715))))</f>
        <v>5</v>
      </c>
      <c r="AV1715" s="62" t="n">
        <f aca="false">AU1715*G1715</f>
        <v>86.25</v>
      </c>
      <c r="AW1715" s="62" t="n">
        <f aca="false">ROUNDUP(CL1715+MAX(CM1715,2*(J1715/IF(CH1715&gt;0,CH1715,MAX(0.1,N(Cockpit!$I$6)))-CL1715)),0)</f>
        <v>5</v>
      </c>
      <c r="AX1715" s="63" t="n">
        <f aca="false">IF(AT1715&gt;0,J1715/AT1715,-1)</f>
        <v>0</v>
      </c>
      <c r="AY1715" s="63" t="n">
        <f aca="false">IF(AND(OR(CG1715="L1",CG1715="L23",CG1715="LIFT"),AT1715&gt;0),SUMIFS($AT$7:$AT$1843,$CG$7:$CG$1843,CG1715,$AX$7:$AX$1843,"&gt;"&amp;AX1715)+SUMIFS($AT$7:$AT$1843,$CG$7:$CG$1843,CG1715,$AX$7:$AX$1843,AX1715,$BX$7:$BX$1843,"&lt;="&amp;BX1715),"")</f>
        <v>39306.5024083732</v>
      </c>
      <c r="AZ1715" s="70" t="n">
        <f aca="false">IF(AY1715="",0,MAX(0,MIN(1,(IF(CG1715="L1",Parameter!$H$5,IF(CG1715="L23",Parameter!$H$6+Parameter!$H$7,Parameter!$H$5+Parameter!$H$6+Parameter!$H$7))-(AY1715-AT1715))/AT1715)))</f>
        <v>0</v>
      </c>
      <c r="BA1715" s="62" t="n">
        <f aca="false">IF(LEFT(Cockpit!$O$5,1)="A",H1715,IF(Parameter!$E$30="MAX-Bestand",IF(CI1715=1,CJ1715,IF(LEFT(Cockpit!$O$5,1)="B",BG1715,MAX(BG1715,H1715))),ROUNDUP(BE1715,0)))</f>
        <v>3</v>
      </c>
      <c r="BB1715" s="62" t="n">
        <f aca="false">IF(CA1715=1,0,ROUNDUP(BA1715/BZ1715,0))</f>
        <v>1</v>
      </c>
      <c r="BC1715" s="64" t="n">
        <f aca="false">IF(CR1715&gt;0,CR1715*MAX(1,BA1715/X1715),IF(CA1715=1,IF(BA1715&lt;=0,0,CE1715*MAX(1,IF(H1715&gt;0,BA1715/H1715,1))),IF(R1715&gt;0,BB1715/R1715,0))/MAX(0.1,N(Parameter!$M$21)))</f>
        <v>0.00961538461538462</v>
      </c>
      <c r="BD1715" s="62" t="n">
        <f aca="false">BC1715*CC1715</f>
        <v>1.49038461538462</v>
      </c>
      <c r="BE1715" s="63" t="n">
        <f aca="false">IF(LEFT(Cockpit!$O$5,1)="A",H1715,IF(CI1715=1,(CL1715+CJ1715)/2,IF(LEFT(Cockpit!$O$5,1)="B",(CL1715+BG1715)/2,MAX((CL1715+BG1715)/2,H1715))))</f>
        <v>2.5</v>
      </c>
      <c r="BF1715" s="62" t="n">
        <f aca="false">BE1715*G1715</f>
        <v>43.125</v>
      </c>
      <c r="BG1715" s="62" t="n">
        <f aca="false">ROUNDUP(CL1715+MAX(CM1715,2*(J1715/IF(CH1715&gt;0,CH1715,MAX(0.1,N(Cockpit!$O$6)))-CL1715)),0)</f>
        <v>5</v>
      </c>
      <c r="BH1715" s="63" t="n">
        <f aca="false">IF(BD1715&gt;0,J1715/BD1715,-1)</f>
        <v>0</v>
      </c>
      <c r="BI1715" s="63" t="n">
        <f aca="false">IF(AND(OR(CG1715="L1",CG1715="L23",CG1715="LIFT"),BD1715&gt;0),SUMIFS($BD$7:$BD$1843,$CG$7:$CG$1843,CG1715,$BH$7:$BH$1843,"&gt;"&amp;BH1715)+SUMIFS($BD$7:$BD$1843,$CG$7:$CG$1843,CG1715,$BH$7:$BH$1843,BH1715,$BX$7:$BX$1843,"&lt;="&amp;BX1715),"")</f>
        <v>32537.7852589971</v>
      </c>
      <c r="BJ1715" s="70" t="n">
        <f aca="false">IF(BI1715="",0,MAX(0,MIN(1,(IF(CG1715="L1",Parameter!$H$5,IF(CG1715="L23",Parameter!$H$6+Parameter!$H$7,Parameter!$H$5+Parameter!$H$6+Parameter!$H$7))-(BI1715-BD1715))/BD1715)))</f>
        <v>1</v>
      </c>
      <c r="BK1715" s="60" t="str">
        <f aca="false">IF(AJ1715&lt;=0,"",IF(CG1715="Aussen","Aussenlager",IF(CG1715="-","Nicht im Lift",IF(AP1715&gt;=1,"Lift",IF(AP1715&lt;=0,"Aussenlager","teilweise")))))</f>
        <v>Lift</v>
      </c>
      <c r="BL1715" s="60" t="str">
        <f aca="false">IF(AT1715&lt;=0,"",IF(CG1715="Aussen","Aussenlager",IF(CG1715="-","Nicht im Lift",IF(AZ1715&gt;=1,"Lift",IF(AZ1715&lt;=0,"Aussenlager","teilweise")))))</f>
        <v>Aussenlager</v>
      </c>
      <c r="BM1715" s="60" t="str">
        <f aca="false">IF(BD1715&lt;=0,"",IF(CG1715="Aussen","Aussenlager",IF(CG1715="-","Nicht im Lift",IF(BJ1715&gt;=1,"Lift",IF(BJ1715&lt;=0,"Aussenlager","teilweise")))))</f>
        <v>Lift</v>
      </c>
      <c r="BN1715" s="60" t="str">
        <f aca="false">IF(A1715="","",IF(BW1715=1,"Neu; ","")&amp;IF(AND(BW1715=0,BR1715&lt;0),"negativer Bestand (Export "&amp;BR1715&amp;"); ","")&amp;IF(J1715&lt;=0,"Kein Verbrauch; ","")&amp;IF(CR1715&gt;0,"Lift "&amp;W1715&amp;" lt. Liftbericht (Fach "&amp;X1715&amp;" Stk); ",IF(CB1715=1,"Gebinde geschätzt ("&amp;T1715&amp;"); ",IF(CA1715=1,"Lose – Tablare geschätzt; ","")))&amp;IF(H1715&gt;AW1715,"Überbestand "&amp;ROUND(H1715-AW1715,0)&amp;" Stk / CHF "&amp;ROUND((H1715-AW1715)*G1715,0)&amp;"; ","")&amp;IF(AND(CI1715=1,CJ1715&lt;CK1715),"MAX &lt; MB+LG; ","")&amp;IF(AND(CQ1715&gt;0,CP1715*10&gt;CQ1715),"zu hoch für Tablar; ","")&amp;IF(AND(BW1715=0,OR(CI1715=1,AB1715&lt;&gt;"",U1715&lt;&gt;"",V1715&lt;&gt;"",AC1715&lt;&gt;"")),"manuell übersteuert; ","")&amp;IF(AND(CA1715=0,R1715=0),"Gebinde unbekannt / Stellmass fehlt; ","")&amp;IF(AND(CA1715=0,N(V1715)&lt;=0,N(Q1715)&lt;=0),"Menge pro Gebinde fehlt (Ist = 1 Gebinde); ","")&amp;BV1715)</f>
        <v>Kein Verbrauch; nur im Artikelstamm (Bestand 23.06.2026)</v>
      </c>
      <c r="BO1715" s="60"/>
      <c r="BP1715" s="60"/>
      <c r="BQ1715" s="67"/>
      <c r="BR1715" s="62" t="n">
        <v>5</v>
      </c>
      <c r="BS1715" s="62" t="n">
        <v>0</v>
      </c>
      <c r="BT1715" s="61" t="n">
        <v>0</v>
      </c>
      <c r="BU1715" s="62" t="n">
        <v>0</v>
      </c>
      <c r="BV1715" s="60" t="s">
        <v>2617</v>
      </c>
      <c r="BW1715" s="65" t="n">
        <v>0</v>
      </c>
      <c r="BX1715" s="65" t="n">
        <v>1715</v>
      </c>
      <c r="BY1715" s="60" t="str">
        <f aca="false">IF(U1715&lt;&gt;"",UPPER(TRIM(U1715)),IF(CB1715=1,UPPER(VLOOKUP(T1715,Parameter!$I$27:$K$29,2,0)),IF(P1715="","LOSE",P1715)))</f>
        <v>S32</v>
      </c>
      <c r="BZ1715" s="62" t="n">
        <f aca="false">IF(BY1715="LOSE",1,IF(N(V1715)&gt;0,V1715,IF(CB1715=1,MAX(1,N(VLOOKUP(T1715,Parameter!$I$27:$K$29,3,0)),H1715,N(N1715)),IF(N(Q1715)&gt;0,Q1715,MAX(1,H1715)))))</f>
        <v>5</v>
      </c>
      <c r="CA1715" s="65" t="n">
        <f aca="false">IF(BY1715="LOSE",1,0)</f>
        <v>0</v>
      </c>
      <c r="CB1715" s="65" t="n">
        <f aca="false">IF(AND(U1715="",OR(P1715="",P1715="LOSE"),T1715&lt;&gt;"",N(S1715)&lt;=0,ISNUMBER(MATCH(T1715,Parameter!$I$27:$I$29,0))),1,0)</f>
        <v>0</v>
      </c>
      <c r="CC1715" s="65" t="n">
        <f aca="false">IF(CR1715&gt;0,INDEX(Parameter!$H$5:$H$7,W1715)/INDEX(Parameter!$E$5:$E$7,W1715),IF(AND(CA1715=0,N(IFERROR(VLOOKUP(BY1715,'Gebinde-Kategorie'!$A$5:$N$45,14,0),0))&gt;0),VLOOKUP(BY1715,'Gebinde-Kategorie'!$A$5:$N$45,14,0)*10+Parameter!$M$23,Parameter!$M$24))</f>
        <v>155</v>
      </c>
      <c r="CD1715" s="60" t="str">
        <f aca="false">IF(AND(Parameter!$B$19="Ja",E1715&lt;&gt;"",ISNUMBER(MATCH(E1715,Parameter!$I$35:$I$52,0))),VLOOKUP(E1715,Parameter!$I$35:$J$52,2,0),IFERROR(VLOOKUP(D1715,Parameter!$A$35:$C$64,2,0),"Nein"))</f>
        <v>2+3</v>
      </c>
      <c r="CE1715" s="64" t="n">
        <f aca="false">IF(CA1715=0,0,IF(N(S1715)&gt;0,S1715,IFERROR(VLOOKUP(D1715,Parameter!$A$35:$C$64,3,0)+0,0)))</f>
        <v>0</v>
      </c>
      <c r="CF1715" s="60" t="n">
        <f aca="false">IF(AB1715&lt;&gt;"",AB1715,AA1715)</f>
        <v>2</v>
      </c>
      <c r="CG1715" s="60" t="str">
        <f aca="false">IF(OR(CF1715=1,CF1715=2,CF1715=3),IF(Parameter!$E$27="Ja","LIFT",IF(CF1715=1,"L1","L23")),IF(CF1715="Aussen","Aussen","-"))</f>
        <v>LIFT</v>
      </c>
      <c r="CH1715" s="71" t="n">
        <f aca="false">IF(N(AC1715)&gt;0,AC1715,0)</f>
        <v>0</v>
      </c>
      <c r="CI1715" s="65" t="n">
        <f aca="false">IF(ISNUMBER(AF1715),1,0)</f>
        <v>0</v>
      </c>
      <c r="CJ1715" s="62" t="n">
        <f aca="false">N(AF1715)</f>
        <v>0</v>
      </c>
      <c r="CK1715" s="62" t="n">
        <f aca="false">N(M1715)+N(N1715)</f>
        <v>5</v>
      </c>
      <c r="CL1715" s="62" t="n">
        <f aca="false">N(M1715)</f>
        <v>0</v>
      </c>
      <c r="CM1715" s="62" t="n">
        <f aca="false">N(N1715)</f>
        <v>5</v>
      </c>
      <c r="CN1715" s="62" t="n">
        <f aca="false">ROUNDUP(H1715/BZ1715,0)</f>
        <v>1</v>
      </c>
      <c r="CO1715" s="62" t="n">
        <f aca="false">ROUNDUP(CJ1715/BZ1715,0)</f>
        <v>0</v>
      </c>
      <c r="CP1715" s="65" t="n">
        <f aca="false">IF(CA1715=1,0,IFERROR(VLOOKUP(BY1715,'Gebinde-Kategorie'!$A$5:$N$45,5,0)+0,0))</f>
        <v>8</v>
      </c>
      <c r="CQ1715" s="65" t="n">
        <f aca="false">IFERROR(IF(OR(CF1715=1,CF1715=2,CF1715=3),N(INDEX(Parameter!$I$5:$I$7,CF1715)),0),0)</f>
        <v>0</v>
      </c>
      <c r="CR1715" s="64" t="n">
        <f aca="false">IF(AND(Parameter!$B$21="Ja",ISNUMBER(W1715),N(X1715)&gt;0),IFERROR(N(INDEX(Parameter!$L$5:$L$7,W1715))*INDEX(Parameter!$E$5:$E$7,W1715)*X1715/SUMIFS($X$7:$X$1843,$W$7:$W$1843,W1715),0),0)</f>
        <v>0</v>
      </c>
      <c r="CS1715" s="62" t="n">
        <f aca="false">IF(AND(OR(CG1715="L1",CG1715="L23",CG1715="LIFT"),H1715&gt;0),CC1715*IF(CR1715&gt;0,CR1715*MAX(1,H1715/X1715),IF(CA1715=1,CE1715,IF(R1715&gt;0,CN1715/R1715,0))/MAX(0.1,N(Parameter!$M$21))),"")</f>
        <v>1.49038461538462</v>
      </c>
      <c r="CT1715" s="64" t="n">
        <f aca="false">IF(CS1715="","",J1715/H1715)</f>
        <v>0</v>
      </c>
      <c r="CU1715" s="62" t="n">
        <f aca="false">IF(CS1715="","",H1715*G1715)</f>
        <v>86.25</v>
      </c>
      <c r="CV1715" s="63" t="n">
        <f aca="false">IF(CS1715="","",(CL1715+ROUNDUP(CL1715+MAX(CM1715,2*(J1715/MAX(0.1,N(Einkauf!$C$6))-CL1715)),0))/2)</f>
        <v>2.5</v>
      </c>
      <c r="CW1715" s="62" t="n">
        <f aca="false">IF(CS1715="","",MAX(0,H1715-CV1715)*G1715)</f>
        <v>43.125</v>
      </c>
      <c r="CX1715" s="62" t="n">
        <f aca="false">IF(CS1715="","",CS1715*MAX(0,1-CV1715/H1715))</f>
        <v>0.745192307692308</v>
      </c>
      <c r="CY1715" s="64" t="n">
        <f aca="false">IF(CS1715="","",PERCENTRANK($CS$7:$CS$1843,CS1715)+PERCENTRANK($CU$7:$CU$1843,CU1715)+1-PERCENTRANK($CT$7:$CT$1843,CT1715))</f>
        <v>1.329</v>
      </c>
      <c r="CZ1715" s="72" t="n">
        <f aca="false">IF(CS1715="","",CHOOSE(MATCH(Einkauf!$C$5,Parameter!$G$23:$G$27,0),CY1715,CS1715,CU1715,-CT1715,CW1715)+ROW()/1000000000)</f>
        <v>1.329001715</v>
      </c>
    </row>
    <row r="1716" customFormat="false" ht="15" hidden="false" customHeight="false" outlineLevel="0" collapsed="false">
      <c r="A1716" s="60" t="s">
        <v>3011</v>
      </c>
      <c r="B1716" s="60" t="s">
        <v>3012</v>
      </c>
      <c r="C1716" s="60" t="s">
        <v>206</v>
      </c>
      <c r="D1716" s="60" t="s">
        <v>226</v>
      </c>
      <c r="E1716" s="60"/>
      <c r="F1716" s="60"/>
      <c r="G1716" s="61" t="n">
        <v>123.64</v>
      </c>
      <c r="H1716" s="62" t="n">
        <f aca="false">MAX(0,IF(AND(Parameter!$B$21="Ja",ISNUMBER(Y1716)),Y1716,IF(Parameter!$B$20="Jahresanfang 2025 + Export",BS1716+BR1716,BR1716)))</f>
        <v>4</v>
      </c>
      <c r="I1716" s="62" t="n">
        <f aca="false">H1716*G1716</f>
        <v>494.56</v>
      </c>
      <c r="J1716" s="62" t="n">
        <f aca="false">BU1716*Parameter!$B$18</f>
        <v>0</v>
      </c>
      <c r="K1716" s="63"/>
      <c r="L1716" s="64"/>
      <c r="M1716" s="62" t="n">
        <v>0</v>
      </c>
      <c r="N1716" s="62" t="n">
        <v>1</v>
      </c>
      <c r="O1716" s="65" t="n">
        <v>0</v>
      </c>
      <c r="P1716" s="60" t="s">
        <v>463</v>
      </c>
      <c r="Q1716" s="62" t="n">
        <v>3</v>
      </c>
      <c r="R1716" s="65" t="n">
        <f aca="false">IF(CA1716=1,0,IFERROR(VLOOKUP(BY1716,'Gebinde-Kategorie'!$A$5:$N$45,13,0)+0,0))</f>
        <v>104</v>
      </c>
      <c r="S1716" s="66"/>
      <c r="T1716" s="67"/>
      <c r="U1716" s="67"/>
      <c r="V1716" s="67"/>
      <c r="W1716" s="60"/>
      <c r="X1716" s="62"/>
      <c r="Y1716" s="62"/>
      <c r="Z1716" s="60" t="n">
        <v>2</v>
      </c>
      <c r="AA1716" s="60" t="n">
        <f aca="false">IF(A1716="","",IF(AND(Parameter!$B$21="Ja",ISNUMBER(W1716)),W1716,IF(AND(Parameter!$E$27="Ja",ISNUMBER(Z1716),CD1716&lt;&gt;"Nein"),Z1716,IF(CD1716="2+3",IF(ISNUMBER(SEARCH("grosser Artikel",BV1716)),2,IFERROR(VLOOKUP(BY1716,Parameter!$F$35:$G$64,2,0),2)),IF(OR(CD1716="Nein",CD1716=""),"-",CD1716)))))</f>
        <v>2</v>
      </c>
      <c r="AB1716" s="67"/>
      <c r="AC1716" s="68"/>
      <c r="AD1716" s="62" t="n">
        <f aca="false">AW1716</f>
        <v>1</v>
      </c>
      <c r="AE1716" s="62" t="n">
        <f aca="false">MAX(AW1716,H1716)</f>
        <v>4</v>
      </c>
      <c r="AF1716" s="69"/>
      <c r="AG1716" s="62" t="n">
        <f aca="false">IF(LEFT(Cockpit!$C$5,1)="A",H1716,IF(Parameter!$E$30="MAX-Bestand",IF(CI1716=1,CJ1716,IF(LEFT(Cockpit!$C$5,1)="B",AM1716,MAX(AM1716,H1716))),ROUNDUP(AK1716,0)))</f>
        <v>4</v>
      </c>
      <c r="AH1716" s="62" t="n">
        <f aca="false">IF(CA1716=1,0,ROUNDUP(AG1716/BZ1716,0))</f>
        <v>2</v>
      </c>
      <c r="AI1716" s="64" t="n">
        <f aca="false">IF(CR1716&gt;0,CR1716*MAX(1,AG1716/X1716),IF(CA1716=1,IF(AG1716&lt;=0,0,CE1716*MAX(1,IF(H1716&gt;0,AG1716/H1716,1))),IF(R1716&gt;0,AH1716/R1716,0))/MAX(0.1,N(Parameter!$M$21)))</f>
        <v>0.0192307692307692</v>
      </c>
      <c r="AJ1716" s="62" t="n">
        <f aca="false">AI1716*CC1716</f>
        <v>2.98076923076923</v>
      </c>
      <c r="AK1716" s="63" t="n">
        <f aca="false">IF(LEFT(Cockpit!$C$5,1)="A",H1716,IF(CI1716=1,(CL1716+CJ1716)/2,IF(LEFT(Cockpit!$C$5,1)="B",(CL1716+AM1716)/2,MAX((CL1716+AM1716)/2,H1716))))</f>
        <v>4</v>
      </c>
      <c r="AL1716" s="62" t="n">
        <f aca="false">AK1716*G1716</f>
        <v>494.56</v>
      </c>
      <c r="AM1716" s="62" t="n">
        <f aca="false">ROUNDUP(CL1716+MAX(CM1716,2*(J1716/IF(CH1716&gt;0,CH1716,MAX(0.1,N(Cockpit!$C$6)))-CL1716)),0)</f>
        <v>1</v>
      </c>
      <c r="AN1716" s="63" t="n">
        <f aca="false">IF(AJ1716&gt;0,J1716/AJ1716,-1)</f>
        <v>0</v>
      </c>
      <c r="AO1716" s="63" t="n">
        <f aca="false">IF(AND(OR(CG1716="L1",CG1716="L23",CG1716="LIFT"),AJ1716&gt;0),SUMIFS($AJ$7:$AJ$1843,$CG$7:$CG$1843,CG1716,$AN$7:$AN$1843,"&gt;"&amp;AN1716)+SUMIFS($AJ$7:$AJ$1843,$CG$7:$CG$1843,CG1716,$AN$7:$AN$1843,AN1716,$BX$7:$BX$1843,"&lt;="&amp;BX1716),"")</f>
        <v>32836.1278041638</v>
      </c>
      <c r="AP1716" s="70" t="n">
        <f aca="false">IF(AO1716="",0,MAX(0,MIN(1,(IF(CG1716="L1",Parameter!$H$5,IF(CG1716="L23",Parameter!$H$6+Parameter!$H$7,Parameter!$H$5+Parameter!$H$6+Parameter!$H$7))-(AO1716-AJ1716))/AJ1716)))</f>
        <v>1</v>
      </c>
      <c r="AQ1716" s="62" t="n">
        <f aca="false">IF(LEFT(Cockpit!$I$5,1)="A",H1716,IF(Parameter!$E$30="MAX-Bestand",IF(CI1716=1,CJ1716,IF(LEFT(Cockpit!$I$5,1)="B",AW1716,MAX(AW1716,H1716))),ROUNDUP(AU1716,0)))</f>
        <v>4</v>
      </c>
      <c r="AR1716" s="62" t="n">
        <f aca="false">IF(CA1716=1,0,ROUNDUP(AQ1716/BZ1716,0))</f>
        <v>2</v>
      </c>
      <c r="AS1716" s="64" t="n">
        <f aca="false">IF(CR1716&gt;0,CR1716*MAX(1,AQ1716/X1716),IF(CA1716=1,IF(AQ1716&lt;=0,0,CE1716*MAX(1,IF(H1716&gt;0,AQ1716/H1716,1))),IF(R1716&gt;0,AR1716/R1716,0))/MAX(0.1,N(Parameter!$M$21)))</f>
        <v>0.0192307692307692</v>
      </c>
      <c r="AT1716" s="62" t="n">
        <f aca="false">AS1716*CC1716</f>
        <v>2.98076923076923</v>
      </c>
      <c r="AU1716" s="63" t="n">
        <f aca="false">IF(LEFT(Cockpit!$I$5,1)="A",H1716,IF(CI1716=1,(CL1716+CJ1716)/2,IF(LEFT(Cockpit!$I$5,1)="B",(CL1716+AW1716)/2,MAX((CL1716+AW1716)/2,H1716))))</f>
        <v>4</v>
      </c>
      <c r="AV1716" s="62" t="n">
        <f aca="false">AU1716*G1716</f>
        <v>494.56</v>
      </c>
      <c r="AW1716" s="62" t="n">
        <f aca="false">ROUNDUP(CL1716+MAX(CM1716,2*(J1716/IF(CH1716&gt;0,CH1716,MAX(0.1,N(Cockpit!$I$6)))-CL1716)),0)</f>
        <v>1</v>
      </c>
      <c r="AX1716" s="63" t="n">
        <f aca="false">IF(AT1716&gt;0,J1716/AT1716,-1)</f>
        <v>0</v>
      </c>
      <c r="AY1716" s="63" t="n">
        <f aca="false">IF(AND(OR(CG1716="L1",CG1716="L23",CG1716="LIFT"),AT1716&gt;0),SUMIFS($AT$7:$AT$1843,$CG$7:$CG$1843,CG1716,$AX$7:$AX$1843,"&gt;"&amp;AX1716)+SUMIFS($AT$7:$AT$1843,$CG$7:$CG$1843,CG1716,$AX$7:$AX$1843,AX1716,$BX$7:$BX$1843,"&lt;="&amp;BX1716),"")</f>
        <v>39309.4831776039</v>
      </c>
      <c r="AZ1716" s="70" t="n">
        <f aca="false">IF(AY1716="",0,MAX(0,MIN(1,(IF(CG1716="L1",Parameter!$H$5,IF(CG1716="L23",Parameter!$H$6+Parameter!$H$7,Parameter!$H$5+Parameter!$H$6+Parameter!$H$7))-(AY1716-AT1716))/AT1716)))</f>
        <v>0</v>
      </c>
      <c r="BA1716" s="62" t="n">
        <f aca="false">IF(LEFT(Cockpit!$O$5,1)="A",H1716,IF(Parameter!$E$30="MAX-Bestand",IF(CI1716=1,CJ1716,IF(LEFT(Cockpit!$O$5,1)="B",BG1716,MAX(BG1716,H1716))),ROUNDUP(BE1716,0)))</f>
        <v>1</v>
      </c>
      <c r="BB1716" s="62" t="n">
        <f aca="false">IF(CA1716=1,0,ROUNDUP(BA1716/BZ1716,0))</f>
        <v>1</v>
      </c>
      <c r="BC1716" s="64" t="n">
        <f aca="false">IF(CR1716&gt;0,CR1716*MAX(1,BA1716/X1716),IF(CA1716=1,IF(BA1716&lt;=0,0,CE1716*MAX(1,IF(H1716&gt;0,BA1716/H1716,1))),IF(R1716&gt;0,BB1716/R1716,0))/MAX(0.1,N(Parameter!$M$21)))</f>
        <v>0.00961538461538462</v>
      </c>
      <c r="BD1716" s="62" t="n">
        <f aca="false">BC1716*CC1716</f>
        <v>1.49038461538462</v>
      </c>
      <c r="BE1716" s="63" t="n">
        <f aca="false">IF(LEFT(Cockpit!$O$5,1)="A",H1716,IF(CI1716=1,(CL1716+CJ1716)/2,IF(LEFT(Cockpit!$O$5,1)="B",(CL1716+BG1716)/2,MAX((CL1716+BG1716)/2,H1716))))</f>
        <v>0.5</v>
      </c>
      <c r="BF1716" s="62" t="n">
        <f aca="false">BE1716*G1716</f>
        <v>61.82</v>
      </c>
      <c r="BG1716" s="62" t="n">
        <f aca="false">ROUNDUP(CL1716+MAX(CM1716,2*(J1716/IF(CH1716&gt;0,CH1716,MAX(0.1,N(Cockpit!$O$6)))-CL1716)),0)</f>
        <v>1</v>
      </c>
      <c r="BH1716" s="63" t="n">
        <f aca="false">IF(BD1716&gt;0,J1716/BD1716,-1)</f>
        <v>0</v>
      </c>
      <c r="BI1716" s="63" t="n">
        <f aca="false">IF(AND(OR(CG1716="L1",CG1716="L23",CG1716="LIFT"),BD1716&gt;0),SUMIFS($BD$7:$BD$1843,$CG$7:$CG$1843,CG1716,$BH$7:$BH$1843,"&gt;"&amp;BH1716)+SUMIFS($BD$7:$BD$1843,$CG$7:$CG$1843,CG1716,$BH$7:$BH$1843,BH1716,$BX$7:$BX$1843,"&lt;="&amp;BX1716),"")</f>
        <v>32539.2756436125</v>
      </c>
      <c r="BJ1716" s="70" t="n">
        <f aca="false">IF(BI1716="",0,MAX(0,MIN(1,(IF(CG1716="L1",Parameter!$H$5,IF(CG1716="L23",Parameter!$H$6+Parameter!$H$7,Parameter!$H$5+Parameter!$H$6+Parameter!$H$7))-(BI1716-BD1716))/BD1716)))</f>
        <v>1</v>
      </c>
      <c r="BK1716" s="60" t="str">
        <f aca="false">IF(AJ1716&lt;=0,"",IF(CG1716="Aussen","Aussenlager",IF(CG1716="-","Nicht im Lift",IF(AP1716&gt;=1,"Lift",IF(AP1716&lt;=0,"Aussenlager","teilweise")))))</f>
        <v>Lift</v>
      </c>
      <c r="BL1716" s="60" t="str">
        <f aca="false">IF(AT1716&lt;=0,"",IF(CG1716="Aussen","Aussenlager",IF(CG1716="-","Nicht im Lift",IF(AZ1716&gt;=1,"Lift",IF(AZ1716&lt;=0,"Aussenlager","teilweise")))))</f>
        <v>Aussenlager</v>
      </c>
      <c r="BM1716" s="60" t="str">
        <f aca="false">IF(BD1716&lt;=0,"",IF(CG1716="Aussen","Aussenlager",IF(CG1716="-","Nicht im Lift",IF(BJ1716&gt;=1,"Lift",IF(BJ1716&lt;=0,"Aussenlager","teilweise")))))</f>
        <v>Lift</v>
      </c>
      <c r="BN1716" s="60" t="str">
        <f aca="false">IF(A1716="","",IF(BW1716=1,"Neu; ","")&amp;IF(AND(BW1716=0,BR1716&lt;0),"negativer Bestand (Export "&amp;BR1716&amp;"); ","")&amp;IF(J1716&lt;=0,"Kein Verbrauch; ","")&amp;IF(CR1716&gt;0,"Lift "&amp;W1716&amp;" lt. Liftbericht (Fach "&amp;X1716&amp;" Stk); ",IF(CB1716=1,"Gebinde geschätzt ("&amp;T1716&amp;"); ",IF(CA1716=1,"Lose – Tablare geschätzt; ","")))&amp;IF(H1716&gt;AW1716,"Überbestand "&amp;ROUND(H1716-AW1716,0)&amp;" Stk / CHF "&amp;ROUND((H1716-AW1716)*G1716,0)&amp;"; ","")&amp;IF(AND(CI1716=1,CJ1716&lt;CK1716),"MAX &lt; MB+LG; ","")&amp;IF(AND(CQ1716&gt;0,CP1716*10&gt;CQ1716),"zu hoch für Tablar; ","")&amp;IF(AND(BW1716=0,OR(CI1716=1,AB1716&lt;&gt;"",U1716&lt;&gt;"",V1716&lt;&gt;"",AC1716&lt;&gt;"")),"manuell übersteuert; ","")&amp;IF(AND(CA1716=0,R1716=0),"Gebinde unbekannt / Stellmass fehlt; ","")&amp;IF(AND(CA1716=0,N(V1716)&lt;=0,N(Q1716)&lt;=0),"Menge pro Gebinde fehlt (Ist = 1 Gebinde); ","")&amp;BV1716)</f>
        <v>Kein Verbrauch; Überbestand 3 Stk / CHF 371; nur im Artikelstamm (Bestand 23.06.2026)</v>
      </c>
      <c r="BO1716" s="60"/>
      <c r="BP1716" s="60"/>
      <c r="BQ1716" s="67"/>
      <c r="BR1716" s="62" t="n">
        <v>4</v>
      </c>
      <c r="BS1716" s="62" t="n">
        <v>0</v>
      </c>
      <c r="BT1716" s="61" t="n">
        <v>0</v>
      </c>
      <c r="BU1716" s="62" t="n">
        <v>0</v>
      </c>
      <c r="BV1716" s="60" t="s">
        <v>2617</v>
      </c>
      <c r="BW1716" s="65" t="n">
        <v>0</v>
      </c>
      <c r="BX1716" s="65" t="n">
        <v>1716</v>
      </c>
      <c r="BY1716" s="60" t="str">
        <f aca="false">IF(U1716&lt;&gt;"",UPPER(TRIM(U1716)),IF(CB1716=1,UPPER(VLOOKUP(T1716,Parameter!$I$27:$K$29,2,0)),IF(P1716="","LOSE",P1716)))</f>
        <v>S32</v>
      </c>
      <c r="BZ1716" s="62" t="n">
        <f aca="false">IF(BY1716="LOSE",1,IF(N(V1716)&gt;0,V1716,IF(CB1716=1,MAX(1,N(VLOOKUP(T1716,Parameter!$I$27:$K$29,3,0)),H1716,N(N1716)),IF(N(Q1716)&gt;0,Q1716,MAX(1,H1716)))))</f>
        <v>3</v>
      </c>
      <c r="CA1716" s="65" t="n">
        <f aca="false">IF(BY1716="LOSE",1,0)</f>
        <v>0</v>
      </c>
      <c r="CB1716" s="65" t="n">
        <f aca="false">IF(AND(U1716="",OR(P1716="",P1716="LOSE"),T1716&lt;&gt;"",N(S1716)&lt;=0,ISNUMBER(MATCH(T1716,Parameter!$I$27:$I$29,0))),1,0)</f>
        <v>0</v>
      </c>
      <c r="CC1716" s="65" t="n">
        <f aca="false">IF(CR1716&gt;0,INDEX(Parameter!$H$5:$H$7,W1716)/INDEX(Parameter!$E$5:$E$7,W1716),IF(AND(CA1716=0,N(IFERROR(VLOOKUP(BY1716,'Gebinde-Kategorie'!$A$5:$N$45,14,0),0))&gt;0),VLOOKUP(BY1716,'Gebinde-Kategorie'!$A$5:$N$45,14,0)*10+Parameter!$M$23,Parameter!$M$24))</f>
        <v>155</v>
      </c>
      <c r="CD1716" s="60" t="str">
        <f aca="false">IF(AND(Parameter!$B$19="Ja",E1716&lt;&gt;"",ISNUMBER(MATCH(E1716,Parameter!$I$35:$I$52,0))),VLOOKUP(E1716,Parameter!$I$35:$J$52,2,0),IFERROR(VLOOKUP(D1716,Parameter!$A$35:$C$64,2,0),"Nein"))</f>
        <v>2+3</v>
      </c>
      <c r="CE1716" s="64" t="n">
        <f aca="false">IF(CA1716=0,0,IF(N(S1716)&gt;0,S1716,IFERROR(VLOOKUP(D1716,Parameter!$A$35:$C$64,3,0)+0,0)))</f>
        <v>0</v>
      </c>
      <c r="CF1716" s="60" t="n">
        <f aca="false">IF(AB1716&lt;&gt;"",AB1716,AA1716)</f>
        <v>2</v>
      </c>
      <c r="CG1716" s="60" t="str">
        <f aca="false">IF(OR(CF1716=1,CF1716=2,CF1716=3),IF(Parameter!$E$27="Ja","LIFT",IF(CF1716=1,"L1","L23")),IF(CF1716="Aussen","Aussen","-"))</f>
        <v>LIFT</v>
      </c>
      <c r="CH1716" s="71" t="n">
        <f aca="false">IF(N(AC1716)&gt;0,AC1716,0)</f>
        <v>0</v>
      </c>
      <c r="CI1716" s="65" t="n">
        <f aca="false">IF(ISNUMBER(AF1716),1,0)</f>
        <v>0</v>
      </c>
      <c r="CJ1716" s="62" t="n">
        <f aca="false">N(AF1716)</f>
        <v>0</v>
      </c>
      <c r="CK1716" s="62" t="n">
        <f aca="false">N(M1716)+N(N1716)</f>
        <v>1</v>
      </c>
      <c r="CL1716" s="62" t="n">
        <f aca="false">N(M1716)</f>
        <v>0</v>
      </c>
      <c r="CM1716" s="62" t="n">
        <f aca="false">N(N1716)</f>
        <v>1</v>
      </c>
      <c r="CN1716" s="62" t="n">
        <f aca="false">ROUNDUP(H1716/BZ1716,0)</f>
        <v>2</v>
      </c>
      <c r="CO1716" s="62" t="n">
        <f aca="false">ROUNDUP(CJ1716/BZ1716,0)</f>
        <v>0</v>
      </c>
      <c r="CP1716" s="65" t="n">
        <f aca="false">IF(CA1716=1,0,IFERROR(VLOOKUP(BY1716,'Gebinde-Kategorie'!$A$5:$N$45,5,0)+0,0))</f>
        <v>8</v>
      </c>
      <c r="CQ1716" s="65" t="n">
        <f aca="false">IFERROR(IF(OR(CF1716=1,CF1716=2,CF1716=3),N(INDEX(Parameter!$I$5:$I$7,CF1716)),0),0)</f>
        <v>0</v>
      </c>
      <c r="CR1716" s="64" t="n">
        <f aca="false">IF(AND(Parameter!$B$21="Ja",ISNUMBER(W1716),N(X1716)&gt;0),IFERROR(N(INDEX(Parameter!$L$5:$L$7,W1716))*INDEX(Parameter!$E$5:$E$7,W1716)*X1716/SUMIFS($X$7:$X$1843,$W$7:$W$1843,W1716),0),0)</f>
        <v>0</v>
      </c>
      <c r="CS1716" s="62" t="n">
        <f aca="false">IF(AND(OR(CG1716="L1",CG1716="L23",CG1716="LIFT"),H1716&gt;0),CC1716*IF(CR1716&gt;0,CR1716*MAX(1,H1716/X1716),IF(CA1716=1,CE1716,IF(R1716&gt;0,CN1716/R1716,0))/MAX(0.1,N(Parameter!$M$21))),"")</f>
        <v>2.98076923076923</v>
      </c>
      <c r="CT1716" s="64" t="n">
        <f aca="false">IF(CS1716="","",J1716/H1716)</f>
        <v>0</v>
      </c>
      <c r="CU1716" s="62" t="n">
        <f aca="false">IF(CS1716="","",H1716*G1716)</f>
        <v>494.56</v>
      </c>
      <c r="CV1716" s="63" t="n">
        <f aca="false">IF(CS1716="","",(CL1716+ROUNDUP(CL1716+MAX(CM1716,2*(J1716/MAX(0.1,N(Einkauf!$C$6))-CL1716)),0))/2)</f>
        <v>0.5</v>
      </c>
      <c r="CW1716" s="62" t="n">
        <f aca="false">IF(CS1716="","",MAX(0,H1716-CV1716)*G1716)</f>
        <v>432.74</v>
      </c>
      <c r="CX1716" s="62" t="n">
        <f aca="false">IF(CS1716="","",CS1716*MAX(0,1-CV1716/H1716))</f>
        <v>2.60817307692308</v>
      </c>
      <c r="CY1716" s="64" t="n">
        <f aca="false">IF(CS1716="","",PERCENTRANK($CS$7:$CS$1843,CS1716)+PERCENTRANK($CU$7:$CU$1843,CU1716)+1-PERCENTRANK($CT$7:$CT$1843,CT1716))</f>
        <v>1.723</v>
      </c>
      <c r="CZ1716" s="72" t="n">
        <f aca="false">IF(CS1716="","",CHOOSE(MATCH(Einkauf!$C$5,Parameter!$G$23:$G$27,0),CY1716,CS1716,CU1716,-CT1716,CW1716)+ROW()/1000000000)</f>
        <v>1.723001716</v>
      </c>
    </row>
    <row r="1717" customFormat="false" ht="15" hidden="false" customHeight="false" outlineLevel="0" collapsed="false">
      <c r="A1717" s="60" t="s">
        <v>3013</v>
      </c>
      <c r="B1717" s="60" t="s">
        <v>3014</v>
      </c>
      <c r="C1717" s="60" t="s">
        <v>206</v>
      </c>
      <c r="D1717" s="60" t="s">
        <v>226</v>
      </c>
      <c r="E1717" s="60"/>
      <c r="F1717" s="60"/>
      <c r="G1717" s="61" t="n">
        <v>75.83</v>
      </c>
      <c r="H1717" s="62" t="n">
        <f aca="false">MAX(0,IF(AND(Parameter!$B$21="Ja",ISNUMBER(Y1717)),Y1717,IF(Parameter!$B$20="Jahresanfang 2025 + Export",BS1717+BR1717,BR1717)))</f>
        <v>1</v>
      </c>
      <c r="I1717" s="62" t="n">
        <f aca="false">H1717*G1717</f>
        <v>75.83</v>
      </c>
      <c r="J1717" s="62" t="n">
        <f aca="false">BU1717*Parameter!$B$18</f>
        <v>0</v>
      </c>
      <c r="K1717" s="63"/>
      <c r="L1717" s="64"/>
      <c r="M1717" s="62" t="n">
        <v>0</v>
      </c>
      <c r="N1717" s="62" t="n">
        <v>1</v>
      </c>
      <c r="O1717" s="65" t="n">
        <v>28</v>
      </c>
      <c r="P1717" s="60" t="s">
        <v>463</v>
      </c>
      <c r="Q1717" s="62" t="n">
        <v>1</v>
      </c>
      <c r="R1717" s="65" t="n">
        <f aca="false">IF(CA1717=1,0,IFERROR(VLOOKUP(BY1717,'Gebinde-Kategorie'!$A$5:$N$45,13,0)+0,0))</f>
        <v>104</v>
      </c>
      <c r="S1717" s="66"/>
      <c r="T1717" s="67"/>
      <c r="U1717" s="67"/>
      <c r="V1717" s="67"/>
      <c r="W1717" s="60"/>
      <c r="X1717" s="62"/>
      <c r="Y1717" s="62"/>
      <c r="Z1717" s="60" t="n">
        <v>2</v>
      </c>
      <c r="AA1717" s="60" t="n">
        <f aca="false">IF(A1717="","",IF(AND(Parameter!$B$21="Ja",ISNUMBER(W1717)),W1717,IF(AND(Parameter!$E$27="Ja",ISNUMBER(Z1717),CD1717&lt;&gt;"Nein"),Z1717,IF(CD1717="2+3",IF(ISNUMBER(SEARCH("grosser Artikel",BV1717)),2,IFERROR(VLOOKUP(BY1717,Parameter!$F$35:$G$64,2,0),2)),IF(OR(CD1717="Nein",CD1717=""),"-",CD1717)))))</f>
        <v>2</v>
      </c>
      <c r="AB1717" s="67"/>
      <c r="AC1717" s="68"/>
      <c r="AD1717" s="62" t="n">
        <f aca="false">AW1717</f>
        <v>1</v>
      </c>
      <c r="AE1717" s="62" t="n">
        <f aca="false">MAX(AW1717,H1717)</f>
        <v>1</v>
      </c>
      <c r="AF1717" s="69"/>
      <c r="AG1717" s="62" t="n">
        <f aca="false">IF(LEFT(Cockpit!$C$5,1)="A",H1717,IF(Parameter!$E$30="MAX-Bestand",IF(CI1717=1,CJ1717,IF(LEFT(Cockpit!$C$5,1)="B",AM1717,MAX(AM1717,H1717))),ROUNDUP(AK1717,0)))</f>
        <v>1</v>
      </c>
      <c r="AH1717" s="62" t="n">
        <f aca="false">IF(CA1717=1,0,ROUNDUP(AG1717/BZ1717,0))</f>
        <v>1</v>
      </c>
      <c r="AI1717" s="64" t="n">
        <f aca="false">IF(CR1717&gt;0,CR1717*MAX(1,AG1717/X1717),IF(CA1717=1,IF(AG1717&lt;=0,0,CE1717*MAX(1,IF(H1717&gt;0,AG1717/H1717,1))),IF(R1717&gt;0,AH1717/R1717,0))/MAX(0.1,N(Parameter!$M$21)))</f>
        <v>0.00961538461538462</v>
      </c>
      <c r="AJ1717" s="62" t="n">
        <f aca="false">AI1717*CC1717</f>
        <v>1.49038461538462</v>
      </c>
      <c r="AK1717" s="63" t="n">
        <f aca="false">IF(LEFT(Cockpit!$C$5,1)="A",H1717,IF(CI1717=1,(CL1717+CJ1717)/2,IF(LEFT(Cockpit!$C$5,1)="B",(CL1717+AM1717)/2,MAX((CL1717+AM1717)/2,H1717))))</f>
        <v>1</v>
      </c>
      <c r="AL1717" s="62" t="n">
        <f aca="false">AK1717*G1717</f>
        <v>75.83</v>
      </c>
      <c r="AM1717" s="62" t="n">
        <f aca="false">ROUNDUP(CL1717+MAX(CM1717,2*(J1717/IF(CH1717&gt;0,CH1717,MAX(0.1,N(Cockpit!$C$6)))-CL1717)),0)</f>
        <v>1</v>
      </c>
      <c r="AN1717" s="63" t="n">
        <f aca="false">IF(AJ1717&gt;0,J1717/AJ1717,-1)</f>
        <v>0</v>
      </c>
      <c r="AO1717" s="63" t="n">
        <f aca="false">IF(AND(OR(CG1717="L1",CG1717="L23",CG1717="LIFT"),AJ1717&gt;0),SUMIFS($AJ$7:$AJ$1843,$CG$7:$CG$1843,CG1717,$AN$7:$AN$1843,"&gt;"&amp;AN1717)+SUMIFS($AJ$7:$AJ$1843,$CG$7:$CG$1843,CG1717,$AN$7:$AN$1843,AN1717,$BX$7:$BX$1843,"&lt;="&amp;BX1717),"")</f>
        <v>32837.6181887792</v>
      </c>
      <c r="AP1717" s="70" t="n">
        <f aca="false">IF(AO1717="",0,MAX(0,MIN(1,(IF(CG1717="L1",Parameter!$H$5,IF(CG1717="L23",Parameter!$H$6+Parameter!$H$7,Parameter!$H$5+Parameter!$H$6+Parameter!$H$7))-(AO1717-AJ1717))/AJ1717)))</f>
        <v>1</v>
      </c>
      <c r="AQ1717" s="62" t="n">
        <f aca="false">IF(LEFT(Cockpit!$I$5,1)="A",H1717,IF(Parameter!$E$30="MAX-Bestand",IF(CI1717=1,CJ1717,IF(LEFT(Cockpit!$I$5,1)="B",AW1717,MAX(AW1717,H1717))),ROUNDUP(AU1717,0)))</f>
        <v>1</v>
      </c>
      <c r="AR1717" s="62" t="n">
        <f aca="false">IF(CA1717=1,0,ROUNDUP(AQ1717/BZ1717,0))</f>
        <v>1</v>
      </c>
      <c r="AS1717" s="64" t="n">
        <f aca="false">IF(CR1717&gt;0,CR1717*MAX(1,AQ1717/X1717),IF(CA1717=1,IF(AQ1717&lt;=0,0,CE1717*MAX(1,IF(H1717&gt;0,AQ1717/H1717,1))),IF(R1717&gt;0,AR1717/R1717,0))/MAX(0.1,N(Parameter!$M$21)))</f>
        <v>0.00961538461538462</v>
      </c>
      <c r="AT1717" s="62" t="n">
        <f aca="false">AS1717*CC1717</f>
        <v>1.49038461538462</v>
      </c>
      <c r="AU1717" s="63" t="n">
        <f aca="false">IF(LEFT(Cockpit!$I$5,1)="A",H1717,IF(CI1717=1,(CL1717+CJ1717)/2,IF(LEFT(Cockpit!$I$5,1)="B",(CL1717+AW1717)/2,MAX((CL1717+AW1717)/2,H1717))))</f>
        <v>1</v>
      </c>
      <c r="AV1717" s="62" t="n">
        <f aca="false">AU1717*G1717</f>
        <v>75.83</v>
      </c>
      <c r="AW1717" s="62" t="n">
        <f aca="false">ROUNDUP(CL1717+MAX(CM1717,2*(J1717/IF(CH1717&gt;0,CH1717,MAX(0.1,N(Cockpit!$I$6)))-CL1717)),0)</f>
        <v>1</v>
      </c>
      <c r="AX1717" s="63" t="n">
        <f aca="false">IF(AT1717&gt;0,J1717/AT1717,-1)</f>
        <v>0</v>
      </c>
      <c r="AY1717" s="63" t="n">
        <f aca="false">IF(AND(OR(CG1717="L1",CG1717="L23",CG1717="LIFT"),AT1717&gt;0),SUMIFS($AT$7:$AT$1843,$CG$7:$CG$1843,CG1717,$AX$7:$AX$1843,"&gt;"&amp;AX1717)+SUMIFS($AT$7:$AT$1843,$CG$7:$CG$1843,CG1717,$AX$7:$AX$1843,AX1717,$BX$7:$BX$1843,"&lt;="&amp;BX1717),"")</f>
        <v>39310.9735622193</v>
      </c>
      <c r="AZ1717" s="70" t="n">
        <f aca="false">IF(AY1717="",0,MAX(0,MIN(1,(IF(CG1717="L1",Parameter!$H$5,IF(CG1717="L23",Parameter!$H$6+Parameter!$H$7,Parameter!$H$5+Parameter!$H$6+Parameter!$H$7))-(AY1717-AT1717))/AT1717)))</f>
        <v>0</v>
      </c>
      <c r="BA1717" s="62" t="n">
        <f aca="false">IF(LEFT(Cockpit!$O$5,1)="A",H1717,IF(Parameter!$E$30="MAX-Bestand",IF(CI1717=1,CJ1717,IF(LEFT(Cockpit!$O$5,1)="B",BG1717,MAX(BG1717,H1717))),ROUNDUP(BE1717,0)))</f>
        <v>1</v>
      </c>
      <c r="BB1717" s="62" t="n">
        <f aca="false">IF(CA1717=1,0,ROUNDUP(BA1717/BZ1717,0))</f>
        <v>1</v>
      </c>
      <c r="BC1717" s="64" t="n">
        <f aca="false">IF(CR1717&gt;0,CR1717*MAX(1,BA1717/X1717),IF(CA1717=1,IF(BA1717&lt;=0,0,CE1717*MAX(1,IF(H1717&gt;0,BA1717/H1717,1))),IF(R1717&gt;0,BB1717/R1717,0))/MAX(0.1,N(Parameter!$M$21)))</f>
        <v>0.00961538461538462</v>
      </c>
      <c r="BD1717" s="62" t="n">
        <f aca="false">BC1717*CC1717</f>
        <v>1.49038461538462</v>
      </c>
      <c r="BE1717" s="63" t="n">
        <f aca="false">IF(LEFT(Cockpit!$O$5,1)="A",H1717,IF(CI1717=1,(CL1717+CJ1717)/2,IF(LEFT(Cockpit!$O$5,1)="B",(CL1717+BG1717)/2,MAX((CL1717+BG1717)/2,H1717))))</f>
        <v>0.5</v>
      </c>
      <c r="BF1717" s="62" t="n">
        <f aca="false">BE1717*G1717</f>
        <v>37.915</v>
      </c>
      <c r="BG1717" s="62" t="n">
        <f aca="false">ROUNDUP(CL1717+MAX(CM1717,2*(J1717/IF(CH1717&gt;0,CH1717,MAX(0.1,N(Cockpit!$O$6)))-CL1717)),0)</f>
        <v>1</v>
      </c>
      <c r="BH1717" s="63" t="n">
        <f aca="false">IF(BD1717&gt;0,J1717/BD1717,-1)</f>
        <v>0</v>
      </c>
      <c r="BI1717" s="63" t="n">
        <f aca="false">IF(AND(OR(CG1717="L1",CG1717="L23",CG1717="LIFT"),BD1717&gt;0),SUMIFS($BD$7:$BD$1843,$CG$7:$CG$1843,CG1717,$BH$7:$BH$1843,"&gt;"&amp;BH1717)+SUMIFS($BD$7:$BD$1843,$CG$7:$CG$1843,CG1717,$BH$7:$BH$1843,BH1717,$BX$7:$BX$1843,"&lt;="&amp;BX1717),"")</f>
        <v>32540.7660282279</v>
      </c>
      <c r="BJ1717" s="70" t="n">
        <f aca="false">IF(BI1717="",0,MAX(0,MIN(1,(IF(CG1717="L1",Parameter!$H$5,IF(CG1717="L23",Parameter!$H$6+Parameter!$H$7,Parameter!$H$5+Parameter!$H$6+Parameter!$H$7))-(BI1717-BD1717))/BD1717)))</f>
        <v>1</v>
      </c>
      <c r="BK1717" s="60" t="str">
        <f aca="false">IF(AJ1717&lt;=0,"",IF(CG1717="Aussen","Aussenlager",IF(CG1717="-","Nicht im Lift",IF(AP1717&gt;=1,"Lift",IF(AP1717&lt;=0,"Aussenlager","teilweise")))))</f>
        <v>Lift</v>
      </c>
      <c r="BL1717" s="60" t="str">
        <f aca="false">IF(AT1717&lt;=0,"",IF(CG1717="Aussen","Aussenlager",IF(CG1717="-","Nicht im Lift",IF(AZ1717&gt;=1,"Lift",IF(AZ1717&lt;=0,"Aussenlager","teilweise")))))</f>
        <v>Aussenlager</v>
      </c>
      <c r="BM1717" s="60" t="str">
        <f aca="false">IF(BD1717&lt;=0,"",IF(CG1717="Aussen","Aussenlager",IF(CG1717="-","Nicht im Lift",IF(BJ1717&gt;=1,"Lift",IF(BJ1717&lt;=0,"Aussenlager","teilweise")))))</f>
        <v>Lift</v>
      </c>
      <c r="BN1717" s="60" t="str">
        <f aca="false">IF(A1717="","",IF(BW1717=1,"Neu; ","")&amp;IF(AND(BW1717=0,BR1717&lt;0),"negativer Bestand (Export "&amp;BR1717&amp;"); ","")&amp;IF(J1717&lt;=0,"Kein Verbrauch; ","")&amp;IF(CR1717&gt;0,"Lift "&amp;W1717&amp;" lt. Liftbericht (Fach "&amp;X1717&amp;" Stk); ",IF(CB1717=1,"Gebinde geschätzt ("&amp;T1717&amp;"); ",IF(CA1717=1,"Lose – Tablare geschätzt; ","")))&amp;IF(H1717&gt;AW1717,"Überbestand "&amp;ROUND(H1717-AW1717,0)&amp;" Stk / CHF "&amp;ROUND((H1717-AW1717)*G1717,0)&amp;"; ","")&amp;IF(AND(CI1717=1,CJ1717&lt;CK1717),"MAX &lt; MB+LG; ","")&amp;IF(AND(CQ1717&gt;0,CP1717*10&gt;CQ1717),"zu hoch für Tablar; ","")&amp;IF(AND(BW1717=0,OR(CI1717=1,AB1717&lt;&gt;"",U1717&lt;&gt;"",V1717&lt;&gt;"",AC1717&lt;&gt;"")),"manuell übersteuert; ","")&amp;IF(AND(CA1717=0,R1717=0),"Gebinde unbekannt / Stellmass fehlt; ","")&amp;IF(AND(CA1717=0,N(V1717)&lt;=0,N(Q1717)&lt;=0),"Menge pro Gebinde fehlt (Ist = 1 Gebinde); ","")&amp;BV1717)</f>
        <v>Kein Verbrauch; nur im Artikelstamm (Bestand 23.06.2026); Verb.Lager</v>
      </c>
      <c r="BO1717" s="60"/>
      <c r="BP1717" s="60"/>
      <c r="BQ1717" s="67"/>
      <c r="BR1717" s="62" t="n">
        <v>1</v>
      </c>
      <c r="BS1717" s="62" t="n">
        <v>0</v>
      </c>
      <c r="BT1717" s="61" t="n">
        <v>0</v>
      </c>
      <c r="BU1717" s="62" t="n">
        <v>0</v>
      </c>
      <c r="BV1717" s="60" t="s">
        <v>2611</v>
      </c>
      <c r="BW1717" s="65" t="n">
        <v>0</v>
      </c>
      <c r="BX1717" s="65" t="n">
        <v>1717</v>
      </c>
      <c r="BY1717" s="60" t="str">
        <f aca="false">IF(U1717&lt;&gt;"",UPPER(TRIM(U1717)),IF(CB1717=1,UPPER(VLOOKUP(T1717,Parameter!$I$27:$K$29,2,0)),IF(P1717="","LOSE",P1717)))</f>
        <v>S32</v>
      </c>
      <c r="BZ1717" s="62" t="n">
        <f aca="false">IF(BY1717="LOSE",1,IF(N(V1717)&gt;0,V1717,IF(CB1717=1,MAX(1,N(VLOOKUP(T1717,Parameter!$I$27:$K$29,3,0)),H1717,N(N1717)),IF(N(Q1717)&gt;0,Q1717,MAX(1,H1717)))))</f>
        <v>1</v>
      </c>
      <c r="CA1717" s="65" t="n">
        <f aca="false">IF(BY1717="LOSE",1,0)</f>
        <v>0</v>
      </c>
      <c r="CB1717" s="65" t="n">
        <f aca="false">IF(AND(U1717="",OR(P1717="",P1717="LOSE"),T1717&lt;&gt;"",N(S1717)&lt;=0,ISNUMBER(MATCH(T1717,Parameter!$I$27:$I$29,0))),1,0)</f>
        <v>0</v>
      </c>
      <c r="CC1717" s="65" t="n">
        <f aca="false">IF(CR1717&gt;0,INDEX(Parameter!$H$5:$H$7,W1717)/INDEX(Parameter!$E$5:$E$7,W1717),IF(AND(CA1717=0,N(IFERROR(VLOOKUP(BY1717,'Gebinde-Kategorie'!$A$5:$N$45,14,0),0))&gt;0),VLOOKUP(BY1717,'Gebinde-Kategorie'!$A$5:$N$45,14,0)*10+Parameter!$M$23,Parameter!$M$24))</f>
        <v>155</v>
      </c>
      <c r="CD1717" s="60" t="str">
        <f aca="false">IF(AND(Parameter!$B$19="Ja",E1717&lt;&gt;"",ISNUMBER(MATCH(E1717,Parameter!$I$35:$I$52,0))),VLOOKUP(E1717,Parameter!$I$35:$J$52,2,0),IFERROR(VLOOKUP(D1717,Parameter!$A$35:$C$64,2,0),"Nein"))</f>
        <v>2+3</v>
      </c>
      <c r="CE1717" s="64" t="n">
        <f aca="false">IF(CA1717=0,0,IF(N(S1717)&gt;0,S1717,IFERROR(VLOOKUP(D1717,Parameter!$A$35:$C$64,3,0)+0,0)))</f>
        <v>0</v>
      </c>
      <c r="CF1717" s="60" t="n">
        <f aca="false">IF(AB1717&lt;&gt;"",AB1717,AA1717)</f>
        <v>2</v>
      </c>
      <c r="CG1717" s="60" t="str">
        <f aca="false">IF(OR(CF1717=1,CF1717=2,CF1717=3),IF(Parameter!$E$27="Ja","LIFT",IF(CF1717=1,"L1","L23")),IF(CF1717="Aussen","Aussen","-"))</f>
        <v>LIFT</v>
      </c>
      <c r="CH1717" s="71" t="n">
        <f aca="false">IF(N(AC1717)&gt;0,AC1717,0)</f>
        <v>0</v>
      </c>
      <c r="CI1717" s="65" t="n">
        <f aca="false">IF(ISNUMBER(AF1717),1,0)</f>
        <v>0</v>
      </c>
      <c r="CJ1717" s="62" t="n">
        <f aca="false">N(AF1717)</f>
        <v>0</v>
      </c>
      <c r="CK1717" s="62" t="n">
        <f aca="false">N(M1717)+N(N1717)</f>
        <v>1</v>
      </c>
      <c r="CL1717" s="62" t="n">
        <f aca="false">N(M1717)</f>
        <v>0</v>
      </c>
      <c r="CM1717" s="62" t="n">
        <f aca="false">N(N1717)</f>
        <v>1</v>
      </c>
      <c r="CN1717" s="62" t="n">
        <f aca="false">ROUNDUP(H1717/BZ1717,0)</f>
        <v>1</v>
      </c>
      <c r="CO1717" s="62" t="n">
        <f aca="false">ROUNDUP(CJ1717/BZ1717,0)</f>
        <v>0</v>
      </c>
      <c r="CP1717" s="65" t="n">
        <f aca="false">IF(CA1717=1,0,IFERROR(VLOOKUP(BY1717,'Gebinde-Kategorie'!$A$5:$N$45,5,0)+0,0))</f>
        <v>8</v>
      </c>
      <c r="CQ1717" s="65" t="n">
        <f aca="false">IFERROR(IF(OR(CF1717=1,CF1717=2,CF1717=3),N(INDEX(Parameter!$I$5:$I$7,CF1717)),0),0)</f>
        <v>0</v>
      </c>
      <c r="CR1717" s="64" t="n">
        <f aca="false">IF(AND(Parameter!$B$21="Ja",ISNUMBER(W1717),N(X1717)&gt;0),IFERROR(N(INDEX(Parameter!$L$5:$L$7,W1717))*INDEX(Parameter!$E$5:$E$7,W1717)*X1717/SUMIFS($X$7:$X$1843,$W$7:$W$1843,W1717),0),0)</f>
        <v>0</v>
      </c>
      <c r="CS1717" s="62" t="n">
        <f aca="false">IF(AND(OR(CG1717="L1",CG1717="L23",CG1717="LIFT"),H1717&gt;0),CC1717*IF(CR1717&gt;0,CR1717*MAX(1,H1717/X1717),IF(CA1717=1,CE1717,IF(R1717&gt;0,CN1717/R1717,0))/MAX(0.1,N(Parameter!$M$21))),"")</f>
        <v>1.49038461538462</v>
      </c>
      <c r="CT1717" s="64" t="n">
        <f aca="false">IF(CS1717="","",J1717/H1717)</f>
        <v>0</v>
      </c>
      <c r="CU1717" s="62" t="n">
        <f aca="false">IF(CS1717="","",H1717*G1717)</f>
        <v>75.83</v>
      </c>
      <c r="CV1717" s="63" t="n">
        <f aca="false">IF(CS1717="","",(CL1717+ROUNDUP(CL1717+MAX(CM1717,2*(J1717/MAX(0.1,N(Einkauf!$C$6))-CL1717)),0))/2)</f>
        <v>0.5</v>
      </c>
      <c r="CW1717" s="62" t="n">
        <f aca="false">IF(CS1717="","",MAX(0,H1717-CV1717)*G1717)</f>
        <v>37.915</v>
      </c>
      <c r="CX1717" s="62" t="n">
        <f aca="false">IF(CS1717="","",CS1717*MAX(0,1-CV1717/H1717))</f>
        <v>0.745192307692308</v>
      </c>
      <c r="CY1717" s="64" t="n">
        <f aca="false">IF(CS1717="","",PERCENTRANK($CS$7:$CS$1843,CS1717)+PERCENTRANK($CU$7:$CU$1843,CU1717)+1-PERCENTRANK($CT$7:$CT$1843,CT1717))</f>
        <v>1.309</v>
      </c>
      <c r="CZ1717" s="72" t="n">
        <f aca="false">IF(CS1717="","",CHOOSE(MATCH(Einkauf!$C$5,Parameter!$G$23:$G$27,0),CY1717,CS1717,CU1717,-CT1717,CW1717)+ROW()/1000000000)</f>
        <v>1.309001717</v>
      </c>
    </row>
    <row r="1718" customFormat="false" ht="15" hidden="false" customHeight="false" outlineLevel="0" collapsed="false">
      <c r="A1718" s="60" t="s">
        <v>3015</v>
      </c>
      <c r="B1718" s="60" t="s">
        <v>3016</v>
      </c>
      <c r="C1718" s="60" t="s">
        <v>206</v>
      </c>
      <c r="D1718" s="60" t="s">
        <v>226</v>
      </c>
      <c r="E1718" s="60"/>
      <c r="F1718" s="60"/>
      <c r="G1718" s="61" t="n">
        <v>5.55</v>
      </c>
      <c r="H1718" s="62" t="n">
        <f aca="false">MAX(0,IF(AND(Parameter!$B$21="Ja",ISNUMBER(Y1718)),Y1718,IF(Parameter!$B$20="Jahresanfang 2025 + Export",BS1718+BR1718,BR1718)))</f>
        <v>4.5</v>
      </c>
      <c r="I1718" s="62" t="n">
        <f aca="false">H1718*G1718</f>
        <v>24.975</v>
      </c>
      <c r="J1718" s="62" t="n">
        <f aca="false">BU1718*Parameter!$B$18</f>
        <v>0</v>
      </c>
      <c r="K1718" s="63"/>
      <c r="L1718" s="64"/>
      <c r="M1718" s="62" t="n">
        <v>0</v>
      </c>
      <c r="N1718" s="62" t="n">
        <v>1</v>
      </c>
      <c r="O1718" s="65" t="n">
        <v>14</v>
      </c>
      <c r="P1718" s="60" t="s">
        <v>443</v>
      </c>
      <c r="Q1718" s="62" t="n">
        <v>100</v>
      </c>
      <c r="R1718" s="65" t="n">
        <f aca="false">IF(CA1718=1,0,IFERROR(VLOOKUP(BY1718,'Gebinde-Kategorie'!$A$5:$N$45,13,0)+0,0))</f>
        <v>280</v>
      </c>
      <c r="S1718" s="66"/>
      <c r="T1718" s="67"/>
      <c r="U1718" s="67"/>
      <c r="V1718" s="67"/>
      <c r="W1718" s="60"/>
      <c r="X1718" s="62"/>
      <c r="Y1718" s="62"/>
      <c r="Z1718" s="60" t="n">
        <v>1</v>
      </c>
      <c r="AA1718" s="60" t="n">
        <f aca="false">IF(A1718="","",IF(AND(Parameter!$B$21="Ja",ISNUMBER(W1718)),W1718,IF(AND(Parameter!$E$27="Ja",ISNUMBER(Z1718),CD1718&lt;&gt;"Nein"),Z1718,IF(CD1718="2+3",IF(ISNUMBER(SEARCH("grosser Artikel",BV1718)),2,IFERROR(VLOOKUP(BY1718,Parameter!$F$35:$G$64,2,0),2)),IF(OR(CD1718="Nein",CD1718=""),"-",CD1718)))))</f>
        <v>1</v>
      </c>
      <c r="AB1718" s="67"/>
      <c r="AC1718" s="68"/>
      <c r="AD1718" s="62" t="n">
        <f aca="false">AW1718</f>
        <v>1</v>
      </c>
      <c r="AE1718" s="62" t="n">
        <f aca="false">MAX(AW1718,H1718)</f>
        <v>4.5</v>
      </c>
      <c r="AF1718" s="69"/>
      <c r="AG1718" s="62" t="n">
        <f aca="false">IF(LEFT(Cockpit!$C$5,1)="A",H1718,IF(Parameter!$E$30="MAX-Bestand",IF(CI1718=1,CJ1718,IF(LEFT(Cockpit!$C$5,1)="B",AM1718,MAX(AM1718,H1718))),ROUNDUP(AK1718,0)))</f>
        <v>4.5</v>
      </c>
      <c r="AH1718" s="62" t="n">
        <f aca="false">IF(CA1718=1,0,ROUNDUP(AG1718/BZ1718,0))</f>
        <v>1</v>
      </c>
      <c r="AI1718" s="64" t="n">
        <f aca="false">IF(CR1718&gt;0,CR1718*MAX(1,AG1718/X1718),IF(CA1718=1,IF(AG1718&lt;=0,0,CE1718*MAX(1,IF(H1718&gt;0,AG1718/H1718,1))),IF(R1718&gt;0,AH1718/R1718,0))/MAX(0.1,N(Parameter!$M$21)))</f>
        <v>0.00357142857142857</v>
      </c>
      <c r="AJ1718" s="62" t="n">
        <f aca="false">AI1718*CC1718</f>
        <v>0.553571428571429</v>
      </c>
      <c r="AK1718" s="63" t="n">
        <f aca="false">IF(LEFT(Cockpit!$C$5,1)="A",H1718,IF(CI1718=1,(CL1718+CJ1718)/2,IF(LEFT(Cockpit!$C$5,1)="B",(CL1718+AM1718)/2,MAX((CL1718+AM1718)/2,H1718))))</f>
        <v>4.5</v>
      </c>
      <c r="AL1718" s="62" t="n">
        <f aca="false">AK1718*G1718</f>
        <v>24.975</v>
      </c>
      <c r="AM1718" s="62" t="n">
        <f aca="false">ROUNDUP(CL1718+MAX(CM1718,2*(J1718/IF(CH1718&gt;0,CH1718,MAX(0.1,N(Cockpit!$C$6)))-CL1718)),0)</f>
        <v>1</v>
      </c>
      <c r="AN1718" s="63" t="n">
        <f aca="false">IF(AJ1718&gt;0,J1718/AJ1718,-1)</f>
        <v>0</v>
      </c>
      <c r="AO1718" s="63" t="n">
        <f aca="false">IF(AND(OR(CG1718="L1",CG1718="L23",CG1718="LIFT"),AJ1718&gt;0),SUMIFS($AJ$7:$AJ$1843,$CG$7:$CG$1843,CG1718,$AN$7:$AN$1843,"&gt;"&amp;AN1718)+SUMIFS($AJ$7:$AJ$1843,$CG$7:$CG$1843,CG1718,$AN$7:$AN$1843,AN1718,$BX$7:$BX$1843,"&lt;="&amp;BX1718),"")</f>
        <v>32838.1717602078</v>
      </c>
      <c r="AP1718" s="70" t="n">
        <f aca="false">IF(AO1718="",0,MAX(0,MIN(1,(IF(CG1718="L1",Parameter!$H$5,IF(CG1718="L23",Parameter!$H$6+Parameter!$H$7,Parameter!$H$5+Parameter!$H$6+Parameter!$H$7))-(AO1718-AJ1718))/AJ1718)))</f>
        <v>1</v>
      </c>
      <c r="AQ1718" s="62" t="n">
        <f aca="false">IF(LEFT(Cockpit!$I$5,1)="A",H1718,IF(Parameter!$E$30="MAX-Bestand",IF(CI1718=1,CJ1718,IF(LEFT(Cockpit!$I$5,1)="B",AW1718,MAX(AW1718,H1718))),ROUNDUP(AU1718,0)))</f>
        <v>5</v>
      </c>
      <c r="AR1718" s="62" t="n">
        <f aca="false">IF(CA1718=1,0,ROUNDUP(AQ1718/BZ1718,0))</f>
        <v>1</v>
      </c>
      <c r="AS1718" s="64" t="n">
        <f aca="false">IF(CR1718&gt;0,CR1718*MAX(1,AQ1718/X1718),IF(CA1718=1,IF(AQ1718&lt;=0,0,CE1718*MAX(1,IF(H1718&gt;0,AQ1718/H1718,1))),IF(R1718&gt;0,AR1718/R1718,0))/MAX(0.1,N(Parameter!$M$21)))</f>
        <v>0.00357142857142857</v>
      </c>
      <c r="AT1718" s="62" t="n">
        <f aca="false">AS1718*CC1718</f>
        <v>0.553571428571429</v>
      </c>
      <c r="AU1718" s="63" t="n">
        <f aca="false">IF(LEFT(Cockpit!$I$5,1)="A",H1718,IF(CI1718=1,(CL1718+CJ1718)/2,IF(LEFT(Cockpit!$I$5,1)="B",(CL1718+AW1718)/2,MAX((CL1718+AW1718)/2,H1718))))</f>
        <v>4.5</v>
      </c>
      <c r="AV1718" s="62" t="n">
        <f aca="false">AU1718*G1718</f>
        <v>24.975</v>
      </c>
      <c r="AW1718" s="62" t="n">
        <f aca="false">ROUNDUP(CL1718+MAX(CM1718,2*(J1718/IF(CH1718&gt;0,CH1718,MAX(0.1,N(Cockpit!$I$6)))-CL1718)),0)</f>
        <v>1</v>
      </c>
      <c r="AX1718" s="63" t="n">
        <f aca="false">IF(AT1718&gt;0,J1718/AT1718,-1)</f>
        <v>0</v>
      </c>
      <c r="AY1718" s="63" t="n">
        <f aca="false">IF(AND(OR(CG1718="L1",CG1718="L23",CG1718="LIFT"),AT1718&gt;0),SUMIFS($AT$7:$AT$1843,$CG$7:$CG$1843,CG1718,$AX$7:$AX$1843,"&gt;"&amp;AX1718)+SUMIFS($AT$7:$AT$1843,$CG$7:$CG$1843,CG1718,$AX$7:$AX$1843,AX1718,$BX$7:$BX$1843,"&lt;="&amp;BX1718),"")</f>
        <v>39311.5271336479</v>
      </c>
      <c r="AZ1718" s="70" t="n">
        <f aca="false">IF(AY1718="",0,MAX(0,MIN(1,(IF(CG1718="L1",Parameter!$H$5,IF(CG1718="L23",Parameter!$H$6+Parameter!$H$7,Parameter!$H$5+Parameter!$H$6+Parameter!$H$7))-(AY1718-AT1718))/AT1718)))</f>
        <v>0</v>
      </c>
      <c r="BA1718" s="62" t="n">
        <f aca="false">IF(LEFT(Cockpit!$O$5,1)="A",H1718,IF(Parameter!$E$30="MAX-Bestand",IF(CI1718=1,CJ1718,IF(LEFT(Cockpit!$O$5,1)="B",BG1718,MAX(BG1718,H1718))),ROUNDUP(BE1718,0)))</f>
        <v>1</v>
      </c>
      <c r="BB1718" s="62" t="n">
        <f aca="false">IF(CA1718=1,0,ROUNDUP(BA1718/BZ1718,0))</f>
        <v>1</v>
      </c>
      <c r="BC1718" s="64" t="n">
        <f aca="false">IF(CR1718&gt;0,CR1718*MAX(1,BA1718/X1718),IF(CA1718=1,IF(BA1718&lt;=0,0,CE1718*MAX(1,IF(H1718&gt;0,BA1718/H1718,1))),IF(R1718&gt;0,BB1718/R1718,0))/MAX(0.1,N(Parameter!$M$21)))</f>
        <v>0.00357142857142857</v>
      </c>
      <c r="BD1718" s="62" t="n">
        <f aca="false">BC1718*CC1718</f>
        <v>0.553571428571429</v>
      </c>
      <c r="BE1718" s="63" t="n">
        <f aca="false">IF(LEFT(Cockpit!$O$5,1)="A",H1718,IF(CI1718=1,(CL1718+CJ1718)/2,IF(LEFT(Cockpit!$O$5,1)="B",(CL1718+BG1718)/2,MAX((CL1718+BG1718)/2,H1718))))</f>
        <v>0.5</v>
      </c>
      <c r="BF1718" s="62" t="n">
        <f aca="false">BE1718*G1718</f>
        <v>2.775</v>
      </c>
      <c r="BG1718" s="62" t="n">
        <f aca="false">ROUNDUP(CL1718+MAX(CM1718,2*(J1718/IF(CH1718&gt;0,CH1718,MAX(0.1,N(Cockpit!$O$6)))-CL1718)),0)</f>
        <v>1</v>
      </c>
      <c r="BH1718" s="63" t="n">
        <f aca="false">IF(BD1718&gt;0,J1718/BD1718,-1)</f>
        <v>0</v>
      </c>
      <c r="BI1718" s="63" t="n">
        <f aca="false">IF(AND(OR(CG1718="L1",CG1718="L23",CG1718="LIFT"),BD1718&gt;0),SUMIFS($BD$7:$BD$1843,$CG$7:$CG$1843,CG1718,$BH$7:$BH$1843,"&gt;"&amp;BH1718)+SUMIFS($BD$7:$BD$1843,$CG$7:$CG$1843,CG1718,$BH$7:$BH$1843,BH1718,$BX$7:$BX$1843,"&lt;="&amp;BX1718),"")</f>
        <v>32541.3195996565</v>
      </c>
      <c r="BJ1718" s="70" t="n">
        <f aca="false">IF(BI1718="",0,MAX(0,MIN(1,(IF(CG1718="L1",Parameter!$H$5,IF(CG1718="L23",Parameter!$H$6+Parameter!$H$7,Parameter!$H$5+Parameter!$H$6+Parameter!$H$7))-(BI1718-BD1718))/BD1718)))</f>
        <v>1</v>
      </c>
      <c r="BK1718" s="60" t="str">
        <f aca="false">IF(AJ1718&lt;=0,"",IF(CG1718="Aussen","Aussenlager",IF(CG1718="-","Nicht im Lift",IF(AP1718&gt;=1,"Lift",IF(AP1718&lt;=0,"Aussenlager","teilweise")))))</f>
        <v>Lift</v>
      </c>
      <c r="BL1718" s="60" t="str">
        <f aca="false">IF(AT1718&lt;=0,"",IF(CG1718="Aussen","Aussenlager",IF(CG1718="-","Nicht im Lift",IF(AZ1718&gt;=1,"Lift",IF(AZ1718&lt;=0,"Aussenlager","teilweise")))))</f>
        <v>Aussenlager</v>
      </c>
      <c r="BM1718" s="60" t="str">
        <f aca="false">IF(BD1718&lt;=0,"",IF(CG1718="Aussen","Aussenlager",IF(CG1718="-","Nicht im Lift",IF(BJ1718&gt;=1,"Lift",IF(BJ1718&lt;=0,"Aussenlager","teilweise")))))</f>
        <v>Lift</v>
      </c>
      <c r="BN1718" s="60" t="str">
        <f aca="false">IF(A1718="","",IF(BW1718=1,"Neu; ","")&amp;IF(AND(BW1718=0,BR1718&lt;0),"negativer Bestand (Export "&amp;BR1718&amp;"); ","")&amp;IF(J1718&lt;=0,"Kein Verbrauch; ","")&amp;IF(CR1718&gt;0,"Lift "&amp;W1718&amp;" lt. Liftbericht (Fach "&amp;X1718&amp;" Stk); ",IF(CB1718=1,"Gebinde geschätzt ("&amp;T1718&amp;"); ",IF(CA1718=1,"Lose – Tablare geschätzt; ","")))&amp;IF(H1718&gt;AW1718,"Überbestand "&amp;ROUND(H1718-AW1718,0)&amp;" Stk / CHF "&amp;ROUND((H1718-AW1718)*G1718,0)&amp;"; ","")&amp;IF(AND(CI1718=1,CJ1718&lt;CK1718),"MAX &lt; MB+LG; ","")&amp;IF(AND(CQ1718&gt;0,CP1718*10&gt;CQ1718),"zu hoch für Tablar; ","")&amp;IF(AND(BW1718=0,OR(CI1718=1,AB1718&lt;&gt;"",U1718&lt;&gt;"",V1718&lt;&gt;"",AC1718&lt;&gt;"")),"manuell übersteuert; ","")&amp;IF(AND(CA1718=0,R1718=0),"Gebinde unbekannt / Stellmass fehlt; ","")&amp;IF(AND(CA1718=0,N(V1718)&lt;=0,N(Q1718)&lt;=0),"Menge pro Gebinde fehlt (Ist = 1 Gebinde); ","")&amp;BV1718)</f>
        <v>Kein Verbrauch; Überbestand 4 Stk / CHF 19; nur im Artikelstamm (Bestand 23.06.2026)</v>
      </c>
      <c r="BO1718" s="60"/>
      <c r="BP1718" s="60"/>
      <c r="BQ1718" s="67"/>
      <c r="BR1718" s="62" t="n">
        <v>4.5</v>
      </c>
      <c r="BS1718" s="62" t="n">
        <v>0</v>
      </c>
      <c r="BT1718" s="61" t="n">
        <v>0</v>
      </c>
      <c r="BU1718" s="62" t="n">
        <v>0</v>
      </c>
      <c r="BV1718" s="60" t="s">
        <v>2617</v>
      </c>
      <c r="BW1718" s="65" t="n">
        <v>0</v>
      </c>
      <c r="BX1718" s="65" t="n">
        <v>1718</v>
      </c>
      <c r="BY1718" s="60" t="str">
        <f aca="false">IF(U1718&lt;&gt;"",UPPER(TRIM(U1718)),IF(CB1718=1,UPPER(VLOOKUP(T1718,Parameter!$I$27:$K$29,2,0)),IF(P1718="","LOSE",P1718)))</f>
        <v>S21</v>
      </c>
      <c r="BZ1718" s="62" t="n">
        <f aca="false">IF(BY1718="LOSE",1,IF(N(V1718)&gt;0,V1718,IF(CB1718=1,MAX(1,N(VLOOKUP(T1718,Parameter!$I$27:$K$29,3,0)),H1718,N(N1718)),IF(N(Q1718)&gt;0,Q1718,MAX(1,H1718)))))</f>
        <v>100</v>
      </c>
      <c r="CA1718" s="65" t="n">
        <f aca="false">IF(BY1718="LOSE",1,0)</f>
        <v>0</v>
      </c>
      <c r="CB1718" s="65" t="n">
        <f aca="false">IF(AND(U1718="",OR(P1718="",P1718="LOSE"),T1718&lt;&gt;"",N(S1718)&lt;=0,ISNUMBER(MATCH(T1718,Parameter!$I$27:$I$29,0))),1,0)</f>
        <v>0</v>
      </c>
      <c r="CC1718" s="65" t="n">
        <f aca="false">IF(CR1718&gt;0,INDEX(Parameter!$H$5:$H$7,W1718)/INDEX(Parameter!$E$5:$E$7,W1718),IF(AND(CA1718=0,N(IFERROR(VLOOKUP(BY1718,'Gebinde-Kategorie'!$A$5:$N$45,14,0),0))&gt;0),VLOOKUP(BY1718,'Gebinde-Kategorie'!$A$5:$N$45,14,0)*10+Parameter!$M$23,Parameter!$M$24))</f>
        <v>155</v>
      </c>
      <c r="CD1718" s="60" t="str">
        <f aca="false">IF(AND(Parameter!$B$19="Ja",E1718&lt;&gt;"",ISNUMBER(MATCH(E1718,Parameter!$I$35:$I$52,0))),VLOOKUP(E1718,Parameter!$I$35:$J$52,2,0),IFERROR(VLOOKUP(D1718,Parameter!$A$35:$C$64,2,0),"Nein"))</f>
        <v>2+3</v>
      </c>
      <c r="CE1718" s="64" t="n">
        <f aca="false">IF(CA1718=0,0,IF(N(S1718)&gt;0,S1718,IFERROR(VLOOKUP(D1718,Parameter!$A$35:$C$64,3,0)+0,0)))</f>
        <v>0</v>
      </c>
      <c r="CF1718" s="60" t="n">
        <f aca="false">IF(AB1718&lt;&gt;"",AB1718,AA1718)</f>
        <v>1</v>
      </c>
      <c r="CG1718" s="60" t="str">
        <f aca="false">IF(OR(CF1718=1,CF1718=2,CF1718=3),IF(Parameter!$E$27="Ja","LIFT",IF(CF1718=1,"L1","L23")),IF(CF1718="Aussen","Aussen","-"))</f>
        <v>LIFT</v>
      </c>
      <c r="CH1718" s="71" t="n">
        <f aca="false">IF(N(AC1718)&gt;0,AC1718,0)</f>
        <v>0</v>
      </c>
      <c r="CI1718" s="65" t="n">
        <f aca="false">IF(ISNUMBER(AF1718),1,0)</f>
        <v>0</v>
      </c>
      <c r="CJ1718" s="62" t="n">
        <f aca="false">N(AF1718)</f>
        <v>0</v>
      </c>
      <c r="CK1718" s="62" t="n">
        <f aca="false">N(M1718)+N(N1718)</f>
        <v>1</v>
      </c>
      <c r="CL1718" s="62" t="n">
        <f aca="false">N(M1718)</f>
        <v>0</v>
      </c>
      <c r="CM1718" s="62" t="n">
        <f aca="false">N(N1718)</f>
        <v>1</v>
      </c>
      <c r="CN1718" s="62" t="n">
        <f aca="false">ROUNDUP(H1718/BZ1718,0)</f>
        <v>1</v>
      </c>
      <c r="CO1718" s="62" t="n">
        <f aca="false">ROUNDUP(CJ1718/BZ1718,0)</f>
        <v>0</v>
      </c>
      <c r="CP1718" s="65" t="n">
        <f aca="false">IF(CA1718=1,0,IFERROR(VLOOKUP(BY1718,'Gebinde-Kategorie'!$A$5:$N$45,5,0)+0,0))</f>
        <v>8</v>
      </c>
      <c r="CQ1718" s="65" t="n">
        <f aca="false">IFERROR(IF(OR(CF1718=1,CF1718=2,CF1718=3),N(INDEX(Parameter!$I$5:$I$7,CF1718)),0),0)</f>
        <v>0</v>
      </c>
      <c r="CR1718" s="64" t="n">
        <f aca="false">IF(AND(Parameter!$B$21="Ja",ISNUMBER(W1718),N(X1718)&gt;0),IFERROR(N(INDEX(Parameter!$L$5:$L$7,W1718))*INDEX(Parameter!$E$5:$E$7,W1718)*X1718/SUMIFS($X$7:$X$1843,$W$7:$W$1843,W1718),0),0)</f>
        <v>0</v>
      </c>
      <c r="CS1718" s="62" t="n">
        <f aca="false">IF(AND(OR(CG1718="L1",CG1718="L23",CG1718="LIFT"),H1718&gt;0),CC1718*IF(CR1718&gt;0,CR1718*MAX(1,H1718/X1718),IF(CA1718=1,CE1718,IF(R1718&gt;0,CN1718/R1718,0))/MAX(0.1,N(Parameter!$M$21))),"")</f>
        <v>0.553571428571429</v>
      </c>
      <c r="CT1718" s="64" t="n">
        <f aca="false">IF(CS1718="","",J1718/H1718)</f>
        <v>0</v>
      </c>
      <c r="CU1718" s="62" t="n">
        <f aca="false">IF(CS1718="","",H1718*G1718)</f>
        <v>24.975</v>
      </c>
      <c r="CV1718" s="63" t="n">
        <f aca="false">IF(CS1718="","",(CL1718+ROUNDUP(CL1718+MAX(CM1718,2*(J1718/MAX(0.1,N(Einkauf!$C$6))-CL1718)),0))/2)</f>
        <v>0.5</v>
      </c>
      <c r="CW1718" s="62" t="n">
        <f aca="false">IF(CS1718="","",MAX(0,H1718-CV1718)*G1718)</f>
        <v>22.2</v>
      </c>
      <c r="CX1718" s="62" t="n">
        <f aca="false">IF(CS1718="","",CS1718*MAX(0,1-CV1718/H1718))</f>
        <v>0.492063492063492</v>
      </c>
      <c r="CY1718" s="64" t="n">
        <f aca="false">IF(CS1718="","",PERCENTRANK($CS$7:$CS$1843,CS1718)+PERCENTRANK($CU$7:$CU$1843,CU1718)+1-PERCENTRANK($CT$7:$CT$1843,CT1718))</f>
        <v>1.0958</v>
      </c>
      <c r="CZ1718" s="72" t="n">
        <f aca="false">IF(CS1718="","",CHOOSE(MATCH(Einkauf!$C$5,Parameter!$G$23:$G$27,0),CY1718,CS1718,CU1718,-CT1718,CW1718)+ROW()/1000000000)</f>
        <v>1.095801718</v>
      </c>
    </row>
    <row r="1719" customFormat="false" ht="15" hidden="false" customHeight="false" outlineLevel="0" collapsed="false">
      <c r="A1719" s="60" t="s">
        <v>3017</v>
      </c>
      <c r="B1719" s="60" t="s">
        <v>3018</v>
      </c>
      <c r="C1719" s="60" t="s">
        <v>206</v>
      </c>
      <c r="D1719" s="60" t="s">
        <v>226</v>
      </c>
      <c r="E1719" s="60"/>
      <c r="F1719" s="60"/>
      <c r="G1719" s="61" t="n">
        <v>6.21</v>
      </c>
      <c r="H1719" s="62" t="n">
        <f aca="false">MAX(0,IF(AND(Parameter!$B$21="Ja",ISNUMBER(Y1719)),Y1719,IF(Parameter!$B$20="Jahresanfang 2025 + Export",BS1719+BR1719,BR1719)))</f>
        <v>60</v>
      </c>
      <c r="I1719" s="62" t="n">
        <f aca="false">H1719*G1719</f>
        <v>372.6</v>
      </c>
      <c r="J1719" s="62" t="n">
        <f aca="false">BU1719*Parameter!$B$18</f>
        <v>0</v>
      </c>
      <c r="K1719" s="63"/>
      <c r="L1719" s="64"/>
      <c r="M1719" s="62" t="n">
        <v>0</v>
      </c>
      <c r="N1719" s="62" t="n">
        <v>20</v>
      </c>
      <c r="O1719" s="65" t="n">
        <v>0</v>
      </c>
      <c r="P1719" s="60" t="s">
        <v>443</v>
      </c>
      <c r="Q1719" s="62" t="n">
        <v>100</v>
      </c>
      <c r="R1719" s="65" t="n">
        <f aca="false">IF(CA1719=1,0,IFERROR(VLOOKUP(BY1719,'Gebinde-Kategorie'!$A$5:$N$45,13,0)+0,0))</f>
        <v>280</v>
      </c>
      <c r="S1719" s="66"/>
      <c r="T1719" s="67"/>
      <c r="U1719" s="67"/>
      <c r="V1719" s="67"/>
      <c r="W1719" s="60"/>
      <c r="X1719" s="62"/>
      <c r="Y1719" s="62"/>
      <c r="Z1719" s="60" t="n">
        <v>1</v>
      </c>
      <c r="AA1719" s="60" t="n">
        <f aca="false">IF(A1719="","",IF(AND(Parameter!$B$21="Ja",ISNUMBER(W1719)),W1719,IF(AND(Parameter!$E$27="Ja",ISNUMBER(Z1719),CD1719&lt;&gt;"Nein"),Z1719,IF(CD1719="2+3",IF(ISNUMBER(SEARCH("grosser Artikel",BV1719)),2,IFERROR(VLOOKUP(BY1719,Parameter!$F$35:$G$64,2,0),2)),IF(OR(CD1719="Nein",CD1719=""),"-",CD1719)))))</f>
        <v>1</v>
      </c>
      <c r="AB1719" s="67"/>
      <c r="AC1719" s="68"/>
      <c r="AD1719" s="62" t="n">
        <f aca="false">AW1719</f>
        <v>20</v>
      </c>
      <c r="AE1719" s="62" t="n">
        <f aca="false">MAX(AW1719,H1719)</f>
        <v>60</v>
      </c>
      <c r="AF1719" s="69"/>
      <c r="AG1719" s="62" t="n">
        <f aca="false">IF(LEFT(Cockpit!$C$5,1)="A",H1719,IF(Parameter!$E$30="MAX-Bestand",IF(CI1719=1,CJ1719,IF(LEFT(Cockpit!$C$5,1)="B",AM1719,MAX(AM1719,H1719))),ROUNDUP(AK1719,0)))</f>
        <v>60</v>
      </c>
      <c r="AH1719" s="62" t="n">
        <f aca="false">IF(CA1719=1,0,ROUNDUP(AG1719/BZ1719,0))</f>
        <v>1</v>
      </c>
      <c r="AI1719" s="64" t="n">
        <f aca="false">IF(CR1719&gt;0,CR1719*MAX(1,AG1719/X1719),IF(CA1719=1,IF(AG1719&lt;=0,0,CE1719*MAX(1,IF(H1719&gt;0,AG1719/H1719,1))),IF(R1719&gt;0,AH1719/R1719,0))/MAX(0.1,N(Parameter!$M$21)))</f>
        <v>0.00357142857142857</v>
      </c>
      <c r="AJ1719" s="62" t="n">
        <f aca="false">AI1719*CC1719</f>
        <v>0.553571428571429</v>
      </c>
      <c r="AK1719" s="63" t="n">
        <f aca="false">IF(LEFT(Cockpit!$C$5,1)="A",H1719,IF(CI1719=1,(CL1719+CJ1719)/2,IF(LEFT(Cockpit!$C$5,1)="B",(CL1719+AM1719)/2,MAX((CL1719+AM1719)/2,H1719))))</f>
        <v>60</v>
      </c>
      <c r="AL1719" s="62" t="n">
        <f aca="false">AK1719*G1719</f>
        <v>372.6</v>
      </c>
      <c r="AM1719" s="62" t="n">
        <f aca="false">ROUNDUP(CL1719+MAX(CM1719,2*(J1719/IF(CH1719&gt;0,CH1719,MAX(0.1,N(Cockpit!$C$6)))-CL1719)),0)</f>
        <v>20</v>
      </c>
      <c r="AN1719" s="63" t="n">
        <f aca="false">IF(AJ1719&gt;0,J1719/AJ1719,-1)</f>
        <v>0</v>
      </c>
      <c r="AO1719" s="63" t="n">
        <f aca="false">IF(AND(OR(CG1719="L1",CG1719="L23",CG1719="LIFT"),AJ1719&gt;0),SUMIFS($AJ$7:$AJ$1843,$CG$7:$CG$1843,CG1719,$AN$7:$AN$1843,"&gt;"&amp;AN1719)+SUMIFS($AJ$7:$AJ$1843,$CG$7:$CG$1843,CG1719,$AN$7:$AN$1843,AN1719,$BX$7:$BX$1843,"&lt;="&amp;BX1719),"")</f>
        <v>32838.7253316364</v>
      </c>
      <c r="AP1719" s="70" t="n">
        <f aca="false">IF(AO1719="",0,MAX(0,MIN(1,(IF(CG1719="L1",Parameter!$H$5,IF(CG1719="L23",Parameter!$H$6+Parameter!$H$7,Parameter!$H$5+Parameter!$H$6+Parameter!$H$7))-(AO1719-AJ1719))/AJ1719)))</f>
        <v>1</v>
      </c>
      <c r="AQ1719" s="62" t="n">
        <f aca="false">IF(LEFT(Cockpit!$I$5,1)="A",H1719,IF(Parameter!$E$30="MAX-Bestand",IF(CI1719=1,CJ1719,IF(LEFT(Cockpit!$I$5,1)="B",AW1719,MAX(AW1719,H1719))),ROUNDUP(AU1719,0)))</f>
        <v>60</v>
      </c>
      <c r="AR1719" s="62" t="n">
        <f aca="false">IF(CA1719=1,0,ROUNDUP(AQ1719/BZ1719,0))</f>
        <v>1</v>
      </c>
      <c r="AS1719" s="64" t="n">
        <f aca="false">IF(CR1719&gt;0,CR1719*MAX(1,AQ1719/X1719),IF(CA1719=1,IF(AQ1719&lt;=0,0,CE1719*MAX(1,IF(H1719&gt;0,AQ1719/H1719,1))),IF(R1719&gt;0,AR1719/R1719,0))/MAX(0.1,N(Parameter!$M$21)))</f>
        <v>0.00357142857142857</v>
      </c>
      <c r="AT1719" s="62" t="n">
        <f aca="false">AS1719*CC1719</f>
        <v>0.553571428571429</v>
      </c>
      <c r="AU1719" s="63" t="n">
        <f aca="false">IF(LEFT(Cockpit!$I$5,1)="A",H1719,IF(CI1719=1,(CL1719+CJ1719)/2,IF(LEFT(Cockpit!$I$5,1)="B",(CL1719+AW1719)/2,MAX((CL1719+AW1719)/2,H1719))))</f>
        <v>60</v>
      </c>
      <c r="AV1719" s="62" t="n">
        <f aca="false">AU1719*G1719</f>
        <v>372.6</v>
      </c>
      <c r="AW1719" s="62" t="n">
        <f aca="false">ROUNDUP(CL1719+MAX(CM1719,2*(J1719/IF(CH1719&gt;0,CH1719,MAX(0.1,N(Cockpit!$I$6)))-CL1719)),0)</f>
        <v>20</v>
      </c>
      <c r="AX1719" s="63" t="n">
        <f aca="false">IF(AT1719&gt;0,J1719/AT1719,-1)</f>
        <v>0</v>
      </c>
      <c r="AY1719" s="63" t="n">
        <f aca="false">IF(AND(OR(CG1719="L1",CG1719="L23",CG1719="LIFT"),AT1719&gt;0),SUMIFS($AT$7:$AT$1843,$CG$7:$CG$1843,CG1719,$AX$7:$AX$1843,"&gt;"&amp;AX1719)+SUMIFS($AT$7:$AT$1843,$CG$7:$CG$1843,CG1719,$AX$7:$AX$1843,AX1719,$BX$7:$BX$1843,"&lt;="&amp;BX1719),"")</f>
        <v>39312.0807050765</v>
      </c>
      <c r="AZ1719" s="70" t="n">
        <f aca="false">IF(AY1719="",0,MAX(0,MIN(1,(IF(CG1719="L1",Parameter!$H$5,IF(CG1719="L23",Parameter!$H$6+Parameter!$H$7,Parameter!$H$5+Parameter!$H$6+Parameter!$H$7))-(AY1719-AT1719))/AT1719)))</f>
        <v>0</v>
      </c>
      <c r="BA1719" s="62" t="n">
        <f aca="false">IF(LEFT(Cockpit!$O$5,1)="A",H1719,IF(Parameter!$E$30="MAX-Bestand",IF(CI1719=1,CJ1719,IF(LEFT(Cockpit!$O$5,1)="B",BG1719,MAX(BG1719,H1719))),ROUNDUP(BE1719,0)))</f>
        <v>10</v>
      </c>
      <c r="BB1719" s="62" t="n">
        <f aca="false">IF(CA1719=1,0,ROUNDUP(BA1719/BZ1719,0))</f>
        <v>1</v>
      </c>
      <c r="BC1719" s="64" t="n">
        <f aca="false">IF(CR1719&gt;0,CR1719*MAX(1,BA1719/X1719),IF(CA1719=1,IF(BA1719&lt;=0,0,CE1719*MAX(1,IF(H1719&gt;0,BA1719/H1719,1))),IF(R1719&gt;0,BB1719/R1719,0))/MAX(0.1,N(Parameter!$M$21)))</f>
        <v>0.00357142857142857</v>
      </c>
      <c r="BD1719" s="62" t="n">
        <f aca="false">BC1719*CC1719</f>
        <v>0.553571428571429</v>
      </c>
      <c r="BE1719" s="63" t="n">
        <f aca="false">IF(LEFT(Cockpit!$O$5,1)="A",H1719,IF(CI1719=1,(CL1719+CJ1719)/2,IF(LEFT(Cockpit!$O$5,1)="B",(CL1719+BG1719)/2,MAX((CL1719+BG1719)/2,H1719))))</f>
        <v>10</v>
      </c>
      <c r="BF1719" s="62" t="n">
        <f aca="false">BE1719*G1719</f>
        <v>62.1</v>
      </c>
      <c r="BG1719" s="62" t="n">
        <f aca="false">ROUNDUP(CL1719+MAX(CM1719,2*(J1719/IF(CH1719&gt;0,CH1719,MAX(0.1,N(Cockpit!$O$6)))-CL1719)),0)</f>
        <v>20</v>
      </c>
      <c r="BH1719" s="63" t="n">
        <f aca="false">IF(BD1719&gt;0,J1719/BD1719,-1)</f>
        <v>0</v>
      </c>
      <c r="BI1719" s="63" t="n">
        <f aca="false">IF(AND(OR(CG1719="L1",CG1719="L23",CG1719="LIFT"),BD1719&gt;0),SUMIFS($BD$7:$BD$1843,$CG$7:$CG$1843,CG1719,$BH$7:$BH$1843,"&gt;"&amp;BH1719)+SUMIFS($BD$7:$BD$1843,$CG$7:$CG$1843,CG1719,$BH$7:$BH$1843,BH1719,$BX$7:$BX$1843,"&lt;="&amp;BX1719),"")</f>
        <v>32541.873171085</v>
      </c>
      <c r="BJ1719" s="70" t="n">
        <f aca="false">IF(BI1719="",0,MAX(0,MIN(1,(IF(CG1719="L1",Parameter!$H$5,IF(CG1719="L23",Parameter!$H$6+Parameter!$H$7,Parameter!$H$5+Parameter!$H$6+Parameter!$H$7))-(BI1719-BD1719))/BD1719)))</f>
        <v>1</v>
      </c>
      <c r="BK1719" s="60" t="str">
        <f aca="false">IF(AJ1719&lt;=0,"",IF(CG1719="Aussen","Aussenlager",IF(CG1719="-","Nicht im Lift",IF(AP1719&gt;=1,"Lift",IF(AP1719&lt;=0,"Aussenlager","teilweise")))))</f>
        <v>Lift</v>
      </c>
      <c r="BL1719" s="60" t="str">
        <f aca="false">IF(AT1719&lt;=0,"",IF(CG1719="Aussen","Aussenlager",IF(CG1719="-","Nicht im Lift",IF(AZ1719&gt;=1,"Lift",IF(AZ1719&lt;=0,"Aussenlager","teilweise")))))</f>
        <v>Aussenlager</v>
      </c>
      <c r="BM1719" s="60" t="str">
        <f aca="false">IF(BD1719&lt;=0,"",IF(CG1719="Aussen","Aussenlager",IF(CG1719="-","Nicht im Lift",IF(BJ1719&gt;=1,"Lift",IF(BJ1719&lt;=0,"Aussenlager","teilweise")))))</f>
        <v>Lift</v>
      </c>
      <c r="BN1719" s="60" t="str">
        <f aca="false">IF(A1719="","",IF(BW1719=1,"Neu; ","")&amp;IF(AND(BW1719=0,BR1719&lt;0),"negativer Bestand (Export "&amp;BR1719&amp;"); ","")&amp;IF(J1719&lt;=0,"Kein Verbrauch; ","")&amp;IF(CR1719&gt;0,"Lift "&amp;W1719&amp;" lt. Liftbericht (Fach "&amp;X1719&amp;" Stk); ",IF(CB1719=1,"Gebinde geschätzt ("&amp;T1719&amp;"); ",IF(CA1719=1,"Lose – Tablare geschätzt; ","")))&amp;IF(H1719&gt;AW1719,"Überbestand "&amp;ROUND(H1719-AW1719,0)&amp;" Stk / CHF "&amp;ROUND((H1719-AW1719)*G1719,0)&amp;"; ","")&amp;IF(AND(CI1719=1,CJ1719&lt;CK1719),"MAX &lt; MB+LG; ","")&amp;IF(AND(CQ1719&gt;0,CP1719*10&gt;CQ1719),"zu hoch für Tablar; ","")&amp;IF(AND(BW1719=0,OR(CI1719=1,AB1719&lt;&gt;"",U1719&lt;&gt;"",V1719&lt;&gt;"",AC1719&lt;&gt;"")),"manuell übersteuert; ","")&amp;IF(AND(CA1719=0,R1719=0),"Gebinde unbekannt / Stellmass fehlt; ","")&amp;IF(AND(CA1719=0,N(V1719)&lt;=0,N(Q1719)&lt;=0),"Menge pro Gebinde fehlt (Ist = 1 Gebinde); ","")&amp;BV1719)</f>
        <v>Kein Verbrauch; Überbestand 40 Stk / CHF 248; nur im Artikelstamm (Bestand 23.06.2026)</v>
      </c>
      <c r="BO1719" s="60"/>
      <c r="BP1719" s="60"/>
      <c r="BQ1719" s="67"/>
      <c r="BR1719" s="62" t="n">
        <v>60</v>
      </c>
      <c r="BS1719" s="62" t="n">
        <v>0</v>
      </c>
      <c r="BT1719" s="61" t="n">
        <v>0</v>
      </c>
      <c r="BU1719" s="62" t="n">
        <v>0</v>
      </c>
      <c r="BV1719" s="60" t="s">
        <v>2617</v>
      </c>
      <c r="BW1719" s="65" t="n">
        <v>0</v>
      </c>
      <c r="BX1719" s="65" t="n">
        <v>1719</v>
      </c>
      <c r="BY1719" s="60" t="str">
        <f aca="false">IF(U1719&lt;&gt;"",UPPER(TRIM(U1719)),IF(CB1719=1,UPPER(VLOOKUP(T1719,Parameter!$I$27:$K$29,2,0)),IF(P1719="","LOSE",P1719)))</f>
        <v>S21</v>
      </c>
      <c r="BZ1719" s="62" t="n">
        <f aca="false">IF(BY1719="LOSE",1,IF(N(V1719)&gt;0,V1719,IF(CB1719=1,MAX(1,N(VLOOKUP(T1719,Parameter!$I$27:$K$29,3,0)),H1719,N(N1719)),IF(N(Q1719)&gt;0,Q1719,MAX(1,H1719)))))</f>
        <v>100</v>
      </c>
      <c r="CA1719" s="65" t="n">
        <f aca="false">IF(BY1719="LOSE",1,0)</f>
        <v>0</v>
      </c>
      <c r="CB1719" s="65" t="n">
        <f aca="false">IF(AND(U1719="",OR(P1719="",P1719="LOSE"),T1719&lt;&gt;"",N(S1719)&lt;=0,ISNUMBER(MATCH(T1719,Parameter!$I$27:$I$29,0))),1,0)</f>
        <v>0</v>
      </c>
      <c r="CC1719" s="65" t="n">
        <f aca="false">IF(CR1719&gt;0,INDEX(Parameter!$H$5:$H$7,W1719)/INDEX(Parameter!$E$5:$E$7,W1719),IF(AND(CA1719=0,N(IFERROR(VLOOKUP(BY1719,'Gebinde-Kategorie'!$A$5:$N$45,14,0),0))&gt;0),VLOOKUP(BY1719,'Gebinde-Kategorie'!$A$5:$N$45,14,0)*10+Parameter!$M$23,Parameter!$M$24))</f>
        <v>155</v>
      </c>
      <c r="CD1719" s="60" t="str">
        <f aca="false">IF(AND(Parameter!$B$19="Ja",E1719&lt;&gt;"",ISNUMBER(MATCH(E1719,Parameter!$I$35:$I$52,0))),VLOOKUP(E1719,Parameter!$I$35:$J$52,2,0),IFERROR(VLOOKUP(D1719,Parameter!$A$35:$C$64,2,0),"Nein"))</f>
        <v>2+3</v>
      </c>
      <c r="CE1719" s="64" t="n">
        <f aca="false">IF(CA1719=0,0,IF(N(S1719)&gt;0,S1719,IFERROR(VLOOKUP(D1719,Parameter!$A$35:$C$64,3,0)+0,0)))</f>
        <v>0</v>
      </c>
      <c r="CF1719" s="60" t="n">
        <f aca="false">IF(AB1719&lt;&gt;"",AB1719,AA1719)</f>
        <v>1</v>
      </c>
      <c r="CG1719" s="60" t="str">
        <f aca="false">IF(OR(CF1719=1,CF1719=2,CF1719=3),IF(Parameter!$E$27="Ja","LIFT",IF(CF1719=1,"L1","L23")),IF(CF1719="Aussen","Aussen","-"))</f>
        <v>LIFT</v>
      </c>
      <c r="CH1719" s="71" t="n">
        <f aca="false">IF(N(AC1719)&gt;0,AC1719,0)</f>
        <v>0</v>
      </c>
      <c r="CI1719" s="65" t="n">
        <f aca="false">IF(ISNUMBER(AF1719),1,0)</f>
        <v>0</v>
      </c>
      <c r="CJ1719" s="62" t="n">
        <f aca="false">N(AF1719)</f>
        <v>0</v>
      </c>
      <c r="CK1719" s="62" t="n">
        <f aca="false">N(M1719)+N(N1719)</f>
        <v>20</v>
      </c>
      <c r="CL1719" s="62" t="n">
        <f aca="false">N(M1719)</f>
        <v>0</v>
      </c>
      <c r="CM1719" s="62" t="n">
        <f aca="false">N(N1719)</f>
        <v>20</v>
      </c>
      <c r="CN1719" s="62" t="n">
        <f aca="false">ROUNDUP(H1719/BZ1719,0)</f>
        <v>1</v>
      </c>
      <c r="CO1719" s="62" t="n">
        <f aca="false">ROUNDUP(CJ1719/BZ1719,0)</f>
        <v>0</v>
      </c>
      <c r="CP1719" s="65" t="n">
        <f aca="false">IF(CA1719=1,0,IFERROR(VLOOKUP(BY1719,'Gebinde-Kategorie'!$A$5:$N$45,5,0)+0,0))</f>
        <v>8</v>
      </c>
      <c r="CQ1719" s="65" t="n">
        <f aca="false">IFERROR(IF(OR(CF1719=1,CF1719=2,CF1719=3),N(INDEX(Parameter!$I$5:$I$7,CF1719)),0),0)</f>
        <v>0</v>
      </c>
      <c r="CR1719" s="64" t="n">
        <f aca="false">IF(AND(Parameter!$B$21="Ja",ISNUMBER(W1719),N(X1719)&gt;0),IFERROR(N(INDEX(Parameter!$L$5:$L$7,W1719))*INDEX(Parameter!$E$5:$E$7,W1719)*X1719/SUMIFS($X$7:$X$1843,$W$7:$W$1843,W1719),0),0)</f>
        <v>0</v>
      </c>
      <c r="CS1719" s="62" t="n">
        <f aca="false">IF(AND(OR(CG1719="L1",CG1719="L23",CG1719="LIFT"),H1719&gt;0),CC1719*IF(CR1719&gt;0,CR1719*MAX(1,H1719/X1719),IF(CA1719=1,CE1719,IF(R1719&gt;0,CN1719/R1719,0))/MAX(0.1,N(Parameter!$M$21))),"")</f>
        <v>0.553571428571429</v>
      </c>
      <c r="CT1719" s="64" t="n">
        <f aca="false">IF(CS1719="","",J1719/H1719)</f>
        <v>0</v>
      </c>
      <c r="CU1719" s="62" t="n">
        <f aca="false">IF(CS1719="","",H1719*G1719)</f>
        <v>372.6</v>
      </c>
      <c r="CV1719" s="63" t="n">
        <f aca="false">IF(CS1719="","",(CL1719+ROUNDUP(CL1719+MAX(CM1719,2*(J1719/MAX(0.1,N(Einkauf!$C$6))-CL1719)),0))/2)</f>
        <v>10</v>
      </c>
      <c r="CW1719" s="62" t="n">
        <f aca="false">IF(CS1719="","",MAX(0,H1719-CV1719)*G1719)</f>
        <v>310.5</v>
      </c>
      <c r="CX1719" s="62" t="n">
        <f aca="false">IF(CS1719="","",CS1719*MAX(0,1-CV1719/H1719))</f>
        <v>0.461309523809524</v>
      </c>
      <c r="CY1719" s="64" t="n">
        <f aca="false">IF(CS1719="","",PERCENTRANK($CS$7:$CS$1843,CS1719)+PERCENTRANK($CU$7:$CU$1843,CU1719)+1-PERCENTRANK($CT$7:$CT$1843,CT1719))</f>
        <v>1.471</v>
      </c>
      <c r="CZ1719" s="72" t="n">
        <f aca="false">IF(CS1719="","",CHOOSE(MATCH(Einkauf!$C$5,Parameter!$G$23:$G$27,0),CY1719,CS1719,CU1719,-CT1719,CW1719)+ROW()/1000000000)</f>
        <v>1.471001719</v>
      </c>
    </row>
    <row r="1720" customFormat="false" ht="15" hidden="false" customHeight="false" outlineLevel="0" collapsed="false">
      <c r="A1720" s="60" t="s">
        <v>3019</v>
      </c>
      <c r="B1720" s="60" t="s">
        <v>3020</v>
      </c>
      <c r="C1720" s="60" t="s">
        <v>206</v>
      </c>
      <c r="D1720" s="60" t="s">
        <v>226</v>
      </c>
      <c r="E1720" s="60"/>
      <c r="F1720" s="60"/>
      <c r="G1720" s="61" t="n">
        <v>0.43</v>
      </c>
      <c r="H1720" s="62" t="n">
        <f aca="false">MAX(0,IF(AND(Parameter!$B$21="Ja",ISNUMBER(Y1720)),Y1720,IF(Parameter!$B$20="Jahresanfang 2025 + Export",BS1720+BR1720,BR1720)))</f>
        <v>45</v>
      </c>
      <c r="I1720" s="62" t="n">
        <f aca="false">H1720*G1720</f>
        <v>19.35</v>
      </c>
      <c r="J1720" s="62" t="n">
        <f aca="false">BU1720*Parameter!$B$18</f>
        <v>0</v>
      </c>
      <c r="K1720" s="63"/>
      <c r="L1720" s="64"/>
      <c r="M1720" s="62" t="n">
        <v>0</v>
      </c>
      <c r="N1720" s="62" t="n">
        <v>100</v>
      </c>
      <c r="O1720" s="65" t="n">
        <v>0</v>
      </c>
      <c r="P1720" s="60" t="s">
        <v>443</v>
      </c>
      <c r="Q1720" s="62" t="n">
        <v>100</v>
      </c>
      <c r="R1720" s="65" t="n">
        <f aca="false">IF(CA1720=1,0,IFERROR(VLOOKUP(BY1720,'Gebinde-Kategorie'!$A$5:$N$45,13,0)+0,0))</f>
        <v>280</v>
      </c>
      <c r="S1720" s="66"/>
      <c r="T1720" s="67"/>
      <c r="U1720" s="67"/>
      <c r="V1720" s="67"/>
      <c r="W1720" s="60"/>
      <c r="X1720" s="62"/>
      <c r="Y1720" s="62"/>
      <c r="Z1720" s="60" t="n">
        <v>3</v>
      </c>
      <c r="AA1720" s="60" t="n">
        <f aca="false">IF(A1720="","",IF(AND(Parameter!$B$21="Ja",ISNUMBER(W1720)),W1720,IF(AND(Parameter!$E$27="Ja",ISNUMBER(Z1720),CD1720&lt;&gt;"Nein"),Z1720,IF(CD1720="2+3",IF(ISNUMBER(SEARCH("grosser Artikel",BV1720)),2,IFERROR(VLOOKUP(BY1720,Parameter!$F$35:$G$64,2,0),2)),IF(OR(CD1720="Nein",CD1720=""),"-",CD1720)))))</f>
        <v>3</v>
      </c>
      <c r="AB1720" s="67"/>
      <c r="AC1720" s="68"/>
      <c r="AD1720" s="62" t="n">
        <f aca="false">AW1720</f>
        <v>100</v>
      </c>
      <c r="AE1720" s="62" t="n">
        <f aca="false">MAX(AW1720,H1720)</f>
        <v>100</v>
      </c>
      <c r="AF1720" s="69"/>
      <c r="AG1720" s="62" t="n">
        <f aca="false">IF(LEFT(Cockpit!$C$5,1)="A",H1720,IF(Parameter!$E$30="MAX-Bestand",IF(CI1720=1,CJ1720,IF(LEFT(Cockpit!$C$5,1)="B",AM1720,MAX(AM1720,H1720))),ROUNDUP(AK1720,0)))</f>
        <v>45</v>
      </c>
      <c r="AH1720" s="62" t="n">
        <f aca="false">IF(CA1720=1,0,ROUNDUP(AG1720/BZ1720,0))</f>
        <v>1</v>
      </c>
      <c r="AI1720" s="64" t="n">
        <f aca="false">IF(CR1720&gt;0,CR1720*MAX(1,AG1720/X1720),IF(CA1720=1,IF(AG1720&lt;=0,0,CE1720*MAX(1,IF(H1720&gt;0,AG1720/H1720,1))),IF(R1720&gt;0,AH1720/R1720,0))/MAX(0.1,N(Parameter!$M$21)))</f>
        <v>0.00357142857142857</v>
      </c>
      <c r="AJ1720" s="62" t="n">
        <f aca="false">AI1720*CC1720</f>
        <v>0.553571428571429</v>
      </c>
      <c r="AK1720" s="63" t="n">
        <f aca="false">IF(LEFT(Cockpit!$C$5,1)="A",H1720,IF(CI1720=1,(CL1720+CJ1720)/2,IF(LEFT(Cockpit!$C$5,1)="B",(CL1720+AM1720)/2,MAX((CL1720+AM1720)/2,H1720))))</f>
        <v>45</v>
      </c>
      <c r="AL1720" s="62" t="n">
        <f aca="false">AK1720*G1720</f>
        <v>19.35</v>
      </c>
      <c r="AM1720" s="62" t="n">
        <f aca="false">ROUNDUP(CL1720+MAX(CM1720,2*(J1720/IF(CH1720&gt;0,CH1720,MAX(0.1,N(Cockpit!$C$6)))-CL1720)),0)</f>
        <v>100</v>
      </c>
      <c r="AN1720" s="63" t="n">
        <f aca="false">IF(AJ1720&gt;0,J1720/AJ1720,-1)</f>
        <v>0</v>
      </c>
      <c r="AO1720" s="63" t="n">
        <f aca="false">IF(AND(OR(CG1720="L1",CG1720="L23",CG1720="LIFT"),AJ1720&gt;0),SUMIFS($AJ$7:$AJ$1843,$CG$7:$CG$1843,CG1720,$AN$7:$AN$1843,"&gt;"&amp;AN1720)+SUMIFS($AJ$7:$AJ$1843,$CG$7:$CG$1843,CG1720,$AN$7:$AN$1843,AN1720,$BX$7:$BX$1843,"&lt;="&amp;BX1720),"")</f>
        <v>32839.2789030649</v>
      </c>
      <c r="AP1720" s="70" t="n">
        <f aca="false">IF(AO1720="",0,MAX(0,MIN(1,(IF(CG1720="L1",Parameter!$H$5,IF(CG1720="L23",Parameter!$H$6+Parameter!$H$7,Parameter!$H$5+Parameter!$H$6+Parameter!$H$7))-(AO1720-AJ1720))/AJ1720)))</f>
        <v>1</v>
      </c>
      <c r="AQ1720" s="62" t="n">
        <f aca="false">IF(LEFT(Cockpit!$I$5,1)="A",H1720,IF(Parameter!$E$30="MAX-Bestand",IF(CI1720=1,CJ1720,IF(LEFT(Cockpit!$I$5,1)="B",AW1720,MAX(AW1720,H1720))),ROUNDUP(AU1720,0)))</f>
        <v>50</v>
      </c>
      <c r="AR1720" s="62" t="n">
        <f aca="false">IF(CA1720=1,0,ROUNDUP(AQ1720/BZ1720,0))</f>
        <v>1</v>
      </c>
      <c r="AS1720" s="64" t="n">
        <f aca="false">IF(CR1720&gt;0,CR1720*MAX(1,AQ1720/X1720),IF(CA1720=1,IF(AQ1720&lt;=0,0,CE1720*MAX(1,IF(H1720&gt;0,AQ1720/H1720,1))),IF(R1720&gt;0,AR1720/R1720,0))/MAX(0.1,N(Parameter!$M$21)))</f>
        <v>0.00357142857142857</v>
      </c>
      <c r="AT1720" s="62" t="n">
        <f aca="false">AS1720*CC1720</f>
        <v>0.553571428571429</v>
      </c>
      <c r="AU1720" s="63" t="n">
        <f aca="false">IF(LEFT(Cockpit!$I$5,1)="A",H1720,IF(CI1720=1,(CL1720+CJ1720)/2,IF(LEFT(Cockpit!$I$5,1)="B",(CL1720+AW1720)/2,MAX((CL1720+AW1720)/2,H1720))))</f>
        <v>50</v>
      </c>
      <c r="AV1720" s="62" t="n">
        <f aca="false">AU1720*G1720</f>
        <v>21.5</v>
      </c>
      <c r="AW1720" s="62" t="n">
        <f aca="false">ROUNDUP(CL1720+MAX(CM1720,2*(J1720/IF(CH1720&gt;0,CH1720,MAX(0.1,N(Cockpit!$I$6)))-CL1720)),0)</f>
        <v>100</v>
      </c>
      <c r="AX1720" s="63" t="n">
        <f aca="false">IF(AT1720&gt;0,J1720/AT1720,-1)</f>
        <v>0</v>
      </c>
      <c r="AY1720" s="63" t="n">
        <f aca="false">IF(AND(OR(CG1720="L1",CG1720="L23",CG1720="LIFT"),AT1720&gt;0),SUMIFS($AT$7:$AT$1843,$CG$7:$CG$1843,CG1720,$AX$7:$AX$1843,"&gt;"&amp;AX1720)+SUMIFS($AT$7:$AT$1843,$CG$7:$CG$1843,CG1720,$AX$7:$AX$1843,AX1720,$BX$7:$BX$1843,"&lt;="&amp;BX1720),"")</f>
        <v>39312.634276505</v>
      </c>
      <c r="AZ1720" s="70" t="n">
        <f aca="false">IF(AY1720="",0,MAX(0,MIN(1,(IF(CG1720="L1",Parameter!$H$5,IF(CG1720="L23",Parameter!$H$6+Parameter!$H$7,Parameter!$H$5+Parameter!$H$6+Parameter!$H$7))-(AY1720-AT1720))/AT1720)))</f>
        <v>0</v>
      </c>
      <c r="BA1720" s="62" t="n">
        <f aca="false">IF(LEFT(Cockpit!$O$5,1)="A",H1720,IF(Parameter!$E$30="MAX-Bestand",IF(CI1720=1,CJ1720,IF(LEFT(Cockpit!$O$5,1)="B",BG1720,MAX(BG1720,H1720))),ROUNDUP(BE1720,0)))</f>
        <v>50</v>
      </c>
      <c r="BB1720" s="62" t="n">
        <f aca="false">IF(CA1720=1,0,ROUNDUP(BA1720/BZ1720,0))</f>
        <v>1</v>
      </c>
      <c r="BC1720" s="64" t="n">
        <f aca="false">IF(CR1720&gt;0,CR1720*MAX(1,BA1720/X1720),IF(CA1720=1,IF(BA1720&lt;=0,0,CE1720*MAX(1,IF(H1720&gt;0,BA1720/H1720,1))),IF(R1720&gt;0,BB1720/R1720,0))/MAX(0.1,N(Parameter!$M$21)))</f>
        <v>0.00357142857142857</v>
      </c>
      <c r="BD1720" s="62" t="n">
        <f aca="false">BC1720*CC1720</f>
        <v>0.553571428571429</v>
      </c>
      <c r="BE1720" s="63" t="n">
        <f aca="false">IF(LEFT(Cockpit!$O$5,1)="A",H1720,IF(CI1720=1,(CL1720+CJ1720)/2,IF(LEFT(Cockpit!$O$5,1)="B",(CL1720+BG1720)/2,MAX((CL1720+BG1720)/2,H1720))))</f>
        <v>50</v>
      </c>
      <c r="BF1720" s="62" t="n">
        <f aca="false">BE1720*G1720</f>
        <v>21.5</v>
      </c>
      <c r="BG1720" s="62" t="n">
        <f aca="false">ROUNDUP(CL1720+MAX(CM1720,2*(J1720/IF(CH1720&gt;0,CH1720,MAX(0.1,N(Cockpit!$O$6)))-CL1720)),0)</f>
        <v>100</v>
      </c>
      <c r="BH1720" s="63" t="n">
        <f aca="false">IF(BD1720&gt;0,J1720/BD1720,-1)</f>
        <v>0</v>
      </c>
      <c r="BI1720" s="63" t="n">
        <f aca="false">IF(AND(OR(CG1720="L1",CG1720="L23",CG1720="LIFT"),BD1720&gt;0),SUMIFS($BD$7:$BD$1843,$CG$7:$CG$1843,CG1720,$BH$7:$BH$1843,"&gt;"&amp;BH1720)+SUMIFS($BD$7:$BD$1843,$CG$7:$CG$1843,CG1720,$BH$7:$BH$1843,BH1720,$BX$7:$BX$1843,"&lt;="&amp;BX1720),"")</f>
        <v>32542.4267425136</v>
      </c>
      <c r="BJ1720" s="70" t="n">
        <f aca="false">IF(BI1720="",0,MAX(0,MIN(1,(IF(CG1720="L1",Parameter!$H$5,IF(CG1720="L23",Parameter!$H$6+Parameter!$H$7,Parameter!$H$5+Parameter!$H$6+Parameter!$H$7))-(BI1720-BD1720))/BD1720)))</f>
        <v>1</v>
      </c>
      <c r="BK1720" s="60" t="str">
        <f aca="false">IF(AJ1720&lt;=0,"",IF(CG1720="Aussen","Aussenlager",IF(CG1720="-","Nicht im Lift",IF(AP1720&gt;=1,"Lift",IF(AP1720&lt;=0,"Aussenlager","teilweise")))))</f>
        <v>Lift</v>
      </c>
      <c r="BL1720" s="60" t="str">
        <f aca="false">IF(AT1720&lt;=0,"",IF(CG1720="Aussen","Aussenlager",IF(CG1720="-","Nicht im Lift",IF(AZ1720&gt;=1,"Lift",IF(AZ1720&lt;=0,"Aussenlager","teilweise")))))</f>
        <v>Aussenlager</v>
      </c>
      <c r="BM1720" s="60" t="str">
        <f aca="false">IF(BD1720&lt;=0,"",IF(CG1720="Aussen","Aussenlager",IF(CG1720="-","Nicht im Lift",IF(BJ1720&gt;=1,"Lift",IF(BJ1720&lt;=0,"Aussenlager","teilweise")))))</f>
        <v>Lift</v>
      </c>
      <c r="BN1720" s="60" t="str">
        <f aca="false">IF(A1720="","",IF(BW1720=1,"Neu; ","")&amp;IF(AND(BW1720=0,BR1720&lt;0),"negativer Bestand (Export "&amp;BR1720&amp;"); ","")&amp;IF(J1720&lt;=0,"Kein Verbrauch; ","")&amp;IF(CR1720&gt;0,"Lift "&amp;W1720&amp;" lt. Liftbericht (Fach "&amp;X1720&amp;" Stk); ",IF(CB1720=1,"Gebinde geschätzt ("&amp;T1720&amp;"); ",IF(CA1720=1,"Lose – Tablare geschätzt; ","")))&amp;IF(H1720&gt;AW1720,"Überbestand "&amp;ROUND(H1720-AW1720,0)&amp;" Stk / CHF "&amp;ROUND((H1720-AW1720)*G1720,0)&amp;"; ","")&amp;IF(AND(CI1720=1,CJ1720&lt;CK1720),"MAX &lt; MB+LG; ","")&amp;IF(AND(CQ1720&gt;0,CP1720*10&gt;CQ1720),"zu hoch für Tablar; ","")&amp;IF(AND(BW1720=0,OR(CI1720=1,AB1720&lt;&gt;"",U1720&lt;&gt;"",V1720&lt;&gt;"",AC1720&lt;&gt;"")),"manuell übersteuert; ","")&amp;IF(AND(CA1720=0,R1720=0),"Gebinde unbekannt / Stellmass fehlt; ","")&amp;IF(AND(CA1720=0,N(V1720)&lt;=0,N(Q1720)&lt;=0),"Menge pro Gebinde fehlt (Ist = 1 Gebinde); ","")&amp;BV1720)</f>
        <v>Kein Verbrauch; nur im Artikelstamm (Bestand 23.06.2026)</v>
      </c>
      <c r="BO1720" s="60"/>
      <c r="BP1720" s="60"/>
      <c r="BQ1720" s="67"/>
      <c r="BR1720" s="62" t="n">
        <v>45</v>
      </c>
      <c r="BS1720" s="62" t="n">
        <v>0</v>
      </c>
      <c r="BT1720" s="61" t="n">
        <v>0</v>
      </c>
      <c r="BU1720" s="62" t="n">
        <v>0</v>
      </c>
      <c r="BV1720" s="60" t="s">
        <v>2617</v>
      </c>
      <c r="BW1720" s="65" t="n">
        <v>0</v>
      </c>
      <c r="BX1720" s="65" t="n">
        <v>1720</v>
      </c>
      <c r="BY1720" s="60" t="str">
        <f aca="false">IF(U1720&lt;&gt;"",UPPER(TRIM(U1720)),IF(CB1720=1,UPPER(VLOOKUP(T1720,Parameter!$I$27:$K$29,2,0)),IF(P1720="","LOSE",P1720)))</f>
        <v>S21</v>
      </c>
      <c r="BZ1720" s="62" t="n">
        <f aca="false">IF(BY1720="LOSE",1,IF(N(V1720)&gt;0,V1720,IF(CB1720=1,MAX(1,N(VLOOKUP(T1720,Parameter!$I$27:$K$29,3,0)),H1720,N(N1720)),IF(N(Q1720)&gt;0,Q1720,MAX(1,H1720)))))</f>
        <v>100</v>
      </c>
      <c r="CA1720" s="65" t="n">
        <f aca="false">IF(BY1720="LOSE",1,0)</f>
        <v>0</v>
      </c>
      <c r="CB1720" s="65" t="n">
        <f aca="false">IF(AND(U1720="",OR(P1720="",P1720="LOSE"),T1720&lt;&gt;"",N(S1720)&lt;=0,ISNUMBER(MATCH(T1720,Parameter!$I$27:$I$29,0))),1,0)</f>
        <v>0</v>
      </c>
      <c r="CC1720" s="65" t="n">
        <f aca="false">IF(CR1720&gt;0,INDEX(Parameter!$H$5:$H$7,W1720)/INDEX(Parameter!$E$5:$E$7,W1720),IF(AND(CA1720=0,N(IFERROR(VLOOKUP(BY1720,'Gebinde-Kategorie'!$A$5:$N$45,14,0),0))&gt;0),VLOOKUP(BY1720,'Gebinde-Kategorie'!$A$5:$N$45,14,0)*10+Parameter!$M$23,Parameter!$M$24))</f>
        <v>155</v>
      </c>
      <c r="CD1720" s="60" t="str">
        <f aca="false">IF(AND(Parameter!$B$19="Ja",E1720&lt;&gt;"",ISNUMBER(MATCH(E1720,Parameter!$I$35:$I$52,0))),VLOOKUP(E1720,Parameter!$I$35:$J$52,2,0),IFERROR(VLOOKUP(D1720,Parameter!$A$35:$C$64,2,0),"Nein"))</f>
        <v>2+3</v>
      </c>
      <c r="CE1720" s="64" t="n">
        <f aca="false">IF(CA1720=0,0,IF(N(S1720)&gt;0,S1720,IFERROR(VLOOKUP(D1720,Parameter!$A$35:$C$64,3,0)+0,0)))</f>
        <v>0</v>
      </c>
      <c r="CF1720" s="60" t="n">
        <f aca="false">IF(AB1720&lt;&gt;"",AB1720,AA1720)</f>
        <v>3</v>
      </c>
      <c r="CG1720" s="60" t="str">
        <f aca="false">IF(OR(CF1720=1,CF1720=2,CF1720=3),IF(Parameter!$E$27="Ja","LIFT",IF(CF1720=1,"L1","L23")),IF(CF1720="Aussen","Aussen","-"))</f>
        <v>LIFT</v>
      </c>
      <c r="CH1720" s="71" t="n">
        <f aca="false">IF(N(AC1720)&gt;0,AC1720,0)</f>
        <v>0</v>
      </c>
      <c r="CI1720" s="65" t="n">
        <f aca="false">IF(ISNUMBER(AF1720),1,0)</f>
        <v>0</v>
      </c>
      <c r="CJ1720" s="62" t="n">
        <f aca="false">N(AF1720)</f>
        <v>0</v>
      </c>
      <c r="CK1720" s="62" t="n">
        <f aca="false">N(M1720)+N(N1720)</f>
        <v>100</v>
      </c>
      <c r="CL1720" s="62" t="n">
        <f aca="false">N(M1720)</f>
        <v>0</v>
      </c>
      <c r="CM1720" s="62" t="n">
        <f aca="false">N(N1720)</f>
        <v>100</v>
      </c>
      <c r="CN1720" s="62" t="n">
        <f aca="false">ROUNDUP(H1720/BZ1720,0)</f>
        <v>1</v>
      </c>
      <c r="CO1720" s="62" t="n">
        <f aca="false">ROUNDUP(CJ1720/BZ1720,0)</f>
        <v>0</v>
      </c>
      <c r="CP1720" s="65" t="n">
        <f aca="false">IF(CA1720=1,0,IFERROR(VLOOKUP(BY1720,'Gebinde-Kategorie'!$A$5:$N$45,5,0)+0,0))</f>
        <v>8</v>
      </c>
      <c r="CQ1720" s="65" t="n">
        <f aca="false">IFERROR(IF(OR(CF1720=1,CF1720=2,CF1720=3),N(INDEX(Parameter!$I$5:$I$7,CF1720)),0),0)</f>
        <v>0</v>
      </c>
      <c r="CR1720" s="64" t="n">
        <f aca="false">IF(AND(Parameter!$B$21="Ja",ISNUMBER(W1720),N(X1720)&gt;0),IFERROR(N(INDEX(Parameter!$L$5:$L$7,W1720))*INDEX(Parameter!$E$5:$E$7,W1720)*X1720/SUMIFS($X$7:$X$1843,$W$7:$W$1843,W1720),0),0)</f>
        <v>0</v>
      </c>
      <c r="CS1720" s="62" t="n">
        <f aca="false">IF(AND(OR(CG1720="L1",CG1720="L23",CG1720="LIFT"),H1720&gt;0),CC1720*IF(CR1720&gt;0,CR1720*MAX(1,H1720/X1720),IF(CA1720=1,CE1720,IF(R1720&gt;0,CN1720/R1720,0))/MAX(0.1,N(Parameter!$M$21))),"")</f>
        <v>0.553571428571429</v>
      </c>
      <c r="CT1720" s="64" t="n">
        <f aca="false">IF(CS1720="","",J1720/H1720)</f>
        <v>0</v>
      </c>
      <c r="CU1720" s="62" t="n">
        <f aca="false">IF(CS1720="","",H1720*G1720)</f>
        <v>19.35</v>
      </c>
      <c r="CV1720" s="63" t="n">
        <f aca="false">IF(CS1720="","",(CL1720+ROUNDUP(CL1720+MAX(CM1720,2*(J1720/MAX(0.1,N(Einkauf!$C$6))-CL1720)),0))/2)</f>
        <v>50</v>
      </c>
      <c r="CW1720" s="62" t="n">
        <f aca="false">IF(CS1720="","",MAX(0,H1720-CV1720)*G1720)</f>
        <v>0</v>
      </c>
      <c r="CX1720" s="62" t="n">
        <f aca="false">IF(CS1720="","",CS1720*MAX(0,1-CV1720/H1720))</f>
        <v>0</v>
      </c>
      <c r="CY1720" s="64" t="n">
        <f aca="false">IF(CS1720="","",PERCENTRANK($CS$7:$CS$1843,CS1720)+PERCENTRANK($CU$7:$CU$1843,CU1720)+1-PERCENTRANK($CT$7:$CT$1843,CT1720))</f>
        <v>1.0711</v>
      </c>
      <c r="CZ1720" s="72" t="n">
        <f aca="false">IF(CS1720="","",CHOOSE(MATCH(Einkauf!$C$5,Parameter!$G$23:$G$27,0),CY1720,CS1720,CU1720,-CT1720,CW1720)+ROW()/1000000000)</f>
        <v>1.07110172</v>
      </c>
    </row>
    <row r="1721" customFormat="false" ht="15" hidden="false" customHeight="false" outlineLevel="0" collapsed="false">
      <c r="A1721" s="60" t="s">
        <v>3021</v>
      </c>
      <c r="B1721" s="60" t="s">
        <v>409</v>
      </c>
      <c r="C1721" s="60" t="s">
        <v>206</v>
      </c>
      <c r="D1721" s="60" t="s">
        <v>226</v>
      </c>
      <c r="E1721" s="60"/>
      <c r="F1721" s="60"/>
      <c r="G1721" s="61" t="n">
        <v>6.3</v>
      </c>
      <c r="H1721" s="62" t="n">
        <f aca="false">MAX(0,IF(AND(Parameter!$B$21="Ja",ISNUMBER(Y1721)),Y1721,IF(Parameter!$B$20="Jahresanfang 2025 + Export",BS1721+BR1721,BR1721)))</f>
        <v>12</v>
      </c>
      <c r="I1721" s="62" t="n">
        <f aca="false">H1721*G1721</f>
        <v>75.6</v>
      </c>
      <c r="J1721" s="62" t="n">
        <f aca="false">BU1721*Parameter!$B$18</f>
        <v>0</v>
      </c>
      <c r="K1721" s="63"/>
      <c r="L1721" s="64"/>
      <c r="M1721" s="62" t="n">
        <v>0</v>
      </c>
      <c r="N1721" s="62" t="n">
        <v>15</v>
      </c>
      <c r="O1721" s="65" t="n">
        <v>14</v>
      </c>
      <c r="P1721" s="60" t="s">
        <v>443</v>
      </c>
      <c r="Q1721" s="62" t="n">
        <v>50</v>
      </c>
      <c r="R1721" s="65" t="n">
        <f aca="false">IF(CA1721=1,0,IFERROR(VLOOKUP(BY1721,'Gebinde-Kategorie'!$A$5:$N$45,13,0)+0,0))</f>
        <v>280</v>
      </c>
      <c r="S1721" s="66"/>
      <c r="T1721" s="67"/>
      <c r="U1721" s="67"/>
      <c r="V1721" s="67"/>
      <c r="W1721" s="60"/>
      <c r="X1721" s="62"/>
      <c r="Y1721" s="62"/>
      <c r="Z1721" s="60" t="n">
        <v>3</v>
      </c>
      <c r="AA1721" s="60" t="n">
        <f aca="false">IF(A1721="","",IF(AND(Parameter!$B$21="Ja",ISNUMBER(W1721)),W1721,IF(AND(Parameter!$E$27="Ja",ISNUMBER(Z1721),CD1721&lt;&gt;"Nein"),Z1721,IF(CD1721="2+3",IF(ISNUMBER(SEARCH("grosser Artikel",BV1721)),2,IFERROR(VLOOKUP(BY1721,Parameter!$F$35:$G$64,2,0),2)),IF(OR(CD1721="Nein",CD1721=""),"-",CD1721)))))</f>
        <v>3</v>
      </c>
      <c r="AB1721" s="67"/>
      <c r="AC1721" s="68"/>
      <c r="AD1721" s="62" t="n">
        <f aca="false">AW1721</f>
        <v>15</v>
      </c>
      <c r="AE1721" s="62" t="n">
        <f aca="false">MAX(AW1721,H1721)</f>
        <v>15</v>
      </c>
      <c r="AF1721" s="69"/>
      <c r="AG1721" s="62" t="n">
        <f aca="false">IF(LEFT(Cockpit!$C$5,1)="A",H1721,IF(Parameter!$E$30="MAX-Bestand",IF(CI1721=1,CJ1721,IF(LEFT(Cockpit!$C$5,1)="B",AM1721,MAX(AM1721,H1721))),ROUNDUP(AK1721,0)))</f>
        <v>12</v>
      </c>
      <c r="AH1721" s="62" t="n">
        <f aca="false">IF(CA1721=1,0,ROUNDUP(AG1721/BZ1721,0))</f>
        <v>1</v>
      </c>
      <c r="AI1721" s="64" t="n">
        <f aca="false">IF(CR1721&gt;0,CR1721*MAX(1,AG1721/X1721),IF(CA1721=1,IF(AG1721&lt;=0,0,CE1721*MAX(1,IF(H1721&gt;0,AG1721/H1721,1))),IF(R1721&gt;0,AH1721/R1721,0))/MAX(0.1,N(Parameter!$M$21)))</f>
        <v>0.00357142857142857</v>
      </c>
      <c r="AJ1721" s="62" t="n">
        <f aca="false">AI1721*CC1721</f>
        <v>0.553571428571429</v>
      </c>
      <c r="AK1721" s="63" t="n">
        <f aca="false">IF(LEFT(Cockpit!$C$5,1)="A",H1721,IF(CI1721=1,(CL1721+CJ1721)/2,IF(LEFT(Cockpit!$C$5,1)="B",(CL1721+AM1721)/2,MAX((CL1721+AM1721)/2,H1721))))</f>
        <v>12</v>
      </c>
      <c r="AL1721" s="62" t="n">
        <f aca="false">AK1721*G1721</f>
        <v>75.6</v>
      </c>
      <c r="AM1721" s="62" t="n">
        <f aca="false">ROUNDUP(CL1721+MAX(CM1721,2*(J1721/IF(CH1721&gt;0,CH1721,MAX(0.1,N(Cockpit!$C$6)))-CL1721)),0)</f>
        <v>15</v>
      </c>
      <c r="AN1721" s="63" t="n">
        <f aca="false">IF(AJ1721&gt;0,J1721/AJ1721,-1)</f>
        <v>0</v>
      </c>
      <c r="AO1721" s="63" t="n">
        <f aca="false">IF(AND(OR(CG1721="L1",CG1721="L23",CG1721="LIFT"),AJ1721&gt;0),SUMIFS($AJ$7:$AJ$1843,$CG$7:$CG$1843,CG1721,$AN$7:$AN$1843,"&gt;"&amp;AN1721)+SUMIFS($AJ$7:$AJ$1843,$CG$7:$CG$1843,CG1721,$AN$7:$AN$1843,AN1721,$BX$7:$BX$1843,"&lt;="&amp;BX1721),"")</f>
        <v>32839.8324744935</v>
      </c>
      <c r="AP1721" s="70" t="n">
        <f aca="false">IF(AO1721="",0,MAX(0,MIN(1,(IF(CG1721="L1",Parameter!$H$5,IF(CG1721="L23",Parameter!$H$6+Parameter!$H$7,Parameter!$H$5+Parameter!$H$6+Parameter!$H$7))-(AO1721-AJ1721))/AJ1721)))</f>
        <v>1</v>
      </c>
      <c r="AQ1721" s="62" t="n">
        <f aca="false">IF(LEFT(Cockpit!$I$5,1)="A",H1721,IF(Parameter!$E$30="MAX-Bestand",IF(CI1721=1,CJ1721,IF(LEFT(Cockpit!$I$5,1)="B",AW1721,MAX(AW1721,H1721))),ROUNDUP(AU1721,0)))</f>
        <v>12</v>
      </c>
      <c r="AR1721" s="62" t="n">
        <f aca="false">IF(CA1721=1,0,ROUNDUP(AQ1721/BZ1721,0))</f>
        <v>1</v>
      </c>
      <c r="AS1721" s="64" t="n">
        <f aca="false">IF(CR1721&gt;0,CR1721*MAX(1,AQ1721/X1721),IF(CA1721=1,IF(AQ1721&lt;=0,0,CE1721*MAX(1,IF(H1721&gt;0,AQ1721/H1721,1))),IF(R1721&gt;0,AR1721/R1721,0))/MAX(0.1,N(Parameter!$M$21)))</f>
        <v>0.00357142857142857</v>
      </c>
      <c r="AT1721" s="62" t="n">
        <f aca="false">AS1721*CC1721</f>
        <v>0.553571428571429</v>
      </c>
      <c r="AU1721" s="63" t="n">
        <f aca="false">IF(LEFT(Cockpit!$I$5,1)="A",H1721,IF(CI1721=1,(CL1721+CJ1721)/2,IF(LEFT(Cockpit!$I$5,1)="B",(CL1721+AW1721)/2,MAX((CL1721+AW1721)/2,H1721))))</f>
        <v>12</v>
      </c>
      <c r="AV1721" s="62" t="n">
        <f aca="false">AU1721*G1721</f>
        <v>75.6</v>
      </c>
      <c r="AW1721" s="62" t="n">
        <f aca="false">ROUNDUP(CL1721+MAX(CM1721,2*(J1721/IF(CH1721&gt;0,CH1721,MAX(0.1,N(Cockpit!$I$6)))-CL1721)),0)</f>
        <v>15</v>
      </c>
      <c r="AX1721" s="63" t="n">
        <f aca="false">IF(AT1721&gt;0,J1721/AT1721,-1)</f>
        <v>0</v>
      </c>
      <c r="AY1721" s="63" t="n">
        <f aca="false">IF(AND(OR(CG1721="L1",CG1721="L23",CG1721="LIFT"),AT1721&gt;0),SUMIFS($AT$7:$AT$1843,$CG$7:$CG$1843,CG1721,$AX$7:$AX$1843,"&gt;"&amp;AX1721)+SUMIFS($AT$7:$AT$1843,$CG$7:$CG$1843,CG1721,$AX$7:$AX$1843,AX1721,$BX$7:$BX$1843,"&lt;="&amp;BX1721),"")</f>
        <v>39313.1878479336</v>
      </c>
      <c r="AZ1721" s="70" t="n">
        <f aca="false">IF(AY1721="",0,MAX(0,MIN(1,(IF(CG1721="L1",Parameter!$H$5,IF(CG1721="L23",Parameter!$H$6+Parameter!$H$7,Parameter!$H$5+Parameter!$H$6+Parameter!$H$7))-(AY1721-AT1721))/AT1721)))</f>
        <v>0</v>
      </c>
      <c r="BA1721" s="62" t="n">
        <f aca="false">IF(LEFT(Cockpit!$O$5,1)="A",H1721,IF(Parameter!$E$30="MAX-Bestand",IF(CI1721=1,CJ1721,IF(LEFT(Cockpit!$O$5,1)="B",BG1721,MAX(BG1721,H1721))),ROUNDUP(BE1721,0)))</f>
        <v>8</v>
      </c>
      <c r="BB1721" s="62" t="n">
        <f aca="false">IF(CA1721=1,0,ROUNDUP(BA1721/BZ1721,0))</f>
        <v>1</v>
      </c>
      <c r="BC1721" s="64" t="n">
        <f aca="false">IF(CR1721&gt;0,CR1721*MAX(1,BA1721/X1721),IF(CA1721=1,IF(BA1721&lt;=0,0,CE1721*MAX(1,IF(H1721&gt;0,BA1721/H1721,1))),IF(R1721&gt;0,BB1721/R1721,0))/MAX(0.1,N(Parameter!$M$21)))</f>
        <v>0.00357142857142857</v>
      </c>
      <c r="BD1721" s="62" t="n">
        <f aca="false">BC1721*CC1721</f>
        <v>0.553571428571429</v>
      </c>
      <c r="BE1721" s="63" t="n">
        <f aca="false">IF(LEFT(Cockpit!$O$5,1)="A",H1721,IF(CI1721=1,(CL1721+CJ1721)/2,IF(LEFT(Cockpit!$O$5,1)="B",(CL1721+BG1721)/2,MAX((CL1721+BG1721)/2,H1721))))</f>
        <v>7.5</v>
      </c>
      <c r="BF1721" s="62" t="n">
        <f aca="false">BE1721*G1721</f>
        <v>47.25</v>
      </c>
      <c r="BG1721" s="62" t="n">
        <f aca="false">ROUNDUP(CL1721+MAX(CM1721,2*(J1721/IF(CH1721&gt;0,CH1721,MAX(0.1,N(Cockpit!$O$6)))-CL1721)),0)</f>
        <v>15</v>
      </c>
      <c r="BH1721" s="63" t="n">
        <f aca="false">IF(BD1721&gt;0,J1721/BD1721,-1)</f>
        <v>0</v>
      </c>
      <c r="BI1721" s="63" t="n">
        <f aca="false">IF(AND(OR(CG1721="L1",CG1721="L23",CG1721="LIFT"),BD1721&gt;0),SUMIFS($BD$7:$BD$1843,$CG$7:$CG$1843,CG1721,$BH$7:$BH$1843,"&gt;"&amp;BH1721)+SUMIFS($BD$7:$BD$1843,$CG$7:$CG$1843,CG1721,$BH$7:$BH$1843,BH1721,$BX$7:$BX$1843,"&lt;="&amp;BX1721),"")</f>
        <v>32542.9803139422</v>
      </c>
      <c r="BJ1721" s="70" t="n">
        <f aca="false">IF(BI1721="",0,MAX(0,MIN(1,(IF(CG1721="L1",Parameter!$H$5,IF(CG1721="L23",Parameter!$H$6+Parameter!$H$7,Parameter!$H$5+Parameter!$H$6+Parameter!$H$7))-(BI1721-BD1721))/BD1721)))</f>
        <v>1</v>
      </c>
      <c r="BK1721" s="60" t="str">
        <f aca="false">IF(AJ1721&lt;=0,"",IF(CG1721="Aussen","Aussenlager",IF(CG1721="-","Nicht im Lift",IF(AP1721&gt;=1,"Lift",IF(AP1721&lt;=0,"Aussenlager","teilweise")))))</f>
        <v>Lift</v>
      </c>
      <c r="BL1721" s="60" t="str">
        <f aca="false">IF(AT1721&lt;=0,"",IF(CG1721="Aussen","Aussenlager",IF(CG1721="-","Nicht im Lift",IF(AZ1721&gt;=1,"Lift",IF(AZ1721&lt;=0,"Aussenlager","teilweise")))))</f>
        <v>Aussenlager</v>
      </c>
      <c r="BM1721" s="60" t="str">
        <f aca="false">IF(BD1721&lt;=0,"",IF(CG1721="Aussen","Aussenlager",IF(CG1721="-","Nicht im Lift",IF(BJ1721&gt;=1,"Lift",IF(BJ1721&lt;=0,"Aussenlager","teilweise")))))</f>
        <v>Lift</v>
      </c>
      <c r="BN1721" s="60" t="str">
        <f aca="false">IF(A1721="","",IF(BW1721=1,"Neu; ","")&amp;IF(AND(BW1721=0,BR1721&lt;0),"negativer Bestand (Export "&amp;BR1721&amp;"); ","")&amp;IF(J1721&lt;=0,"Kein Verbrauch; ","")&amp;IF(CR1721&gt;0,"Lift "&amp;W1721&amp;" lt. Liftbericht (Fach "&amp;X1721&amp;" Stk); ",IF(CB1721=1,"Gebinde geschätzt ("&amp;T1721&amp;"); ",IF(CA1721=1,"Lose – Tablare geschätzt; ","")))&amp;IF(H1721&gt;AW1721,"Überbestand "&amp;ROUND(H1721-AW1721,0)&amp;" Stk / CHF "&amp;ROUND((H1721-AW1721)*G1721,0)&amp;"; ","")&amp;IF(AND(CI1721=1,CJ1721&lt;CK1721),"MAX &lt; MB+LG; ","")&amp;IF(AND(CQ1721&gt;0,CP1721*10&gt;CQ1721),"zu hoch für Tablar; ","")&amp;IF(AND(BW1721=0,OR(CI1721=1,AB1721&lt;&gt;"",U1721&lt;&gt;"",V1721&lt;&gt;"",AC1721&lt;&gt;"")),"manuell übersteuert; ","")&amp;IF(AND(CA1721=0,R1721=0),"Gebinde unbekannt / Stellmass fehlt; ","")&amp;IF(AND(CA1721=0,N(V1721)&lt;=0,N(Q1721)&lt;=0),"Menge pro Gebinde fehlt (Ist = 1 Gebinde); ","")&amp;BV1721)</f>
        <v>Kein Verbrauch; nur im Artikelstamm (Bestand 23.06.2026)</v>
      </c>
      <c r="BO1721" s="60"/>
      <c r="BP1721" s="60"/>
      <c r="BQ1721" s="67"/>
      <c r="BR1721" s="62" t="n">
        <v>12</v>
      </c>
      <c r="BS1721" s="62" t="n">
        <v>0</v>
      </c>
      <c r="BT1721" s="61" t="n">
        <v>0</v>
      </c>
      <c r="BU1721" s="62" t="n">
        <v>0</v>
      </c>
      <c r="BV1721" s="60" t="s">
        <v>2617</v>
      </c>
      <c r="BW1721" s="65" t="n">
        <v>0</v>
      </c>
      <c r="BX1721" s="65" t="n">
        <v>1721</v>
      </c>
      <c r="BY1721" s="60" t="str">
        <f aca="false">IF(U1721&lt;&gt;"",UPPER(TRIM(U1721)),IF(CB1721=1,UPPER(VLOOKUP(T1721,Parameter!$I$27:$K$29,2,0)),IF(P1721="","LOSE",P1721)))</f>
        <v>S21</v>
      </c>
      <c r="BZ1721" s="62" t="n">
        <f aca="false">IF(BY1721="LOSE",1,IF(N(V1721)&gt;0,V1721,IF(CB1721=1,MAX(1,N(VLOOKUP(T1721,Parameter!$I$27:$K$29,3,0)),H1721,N(N1721)),IF(N(Q1721)&gt;0,Q1721,MAX(1,H1721)))))</f>
        <v>50</v>
      </c>
      <c r="CA1721" s="65" t="n">
        <f aca="false">IF(BY1721="LOSE",1,0)</f>
        <v>0</v>
      </c>
      <c r="CB1721" s="65" t="n">
        <f aca="false">IF(AND(U1721="",OR(P1721="",P1721="LOSE"),T1721&lt;&gt;"",N(S1721)&lt;=0,ISNUMBER(MATCH(T1721,Parameter!$I$27:$I$29,0))),1,0)</f>
        <v>0</v>
      </c>
      <c r="CC1721" s="65" t="n">
        <f aca="false">IF(CR1721&gt;0,INDEX(Parameter!$H$5:$H$7,W1721)/INDEX(Parameter!$E$5:$E$7,W1721),IF(AND(CA1721=0,N(IFERROR(VLOOKUP(BY1721,'Gebinde-Kategorie'!$A$5:$N$45,14,0),0))&gt;0),VLOOKUP(BY1721,'Gebinde-Kategorie'!$A$5:$N$45,14,0)*10+Parameter!$M$23,Parameter!$M$24))</f>
        <v>155</v>
      </c>
      <c r="CD1721" s="60" t="str">
        <f aca="false">IF(AND(Parameter!$B$19="Ja",E1721&lt;&gt;"",ISNUMBER(MATCH(E1721,Parameter!$I$35:$I$52,0))),VLOOKUP(E1721,Parameter!$I$35:$J$52,2,0),IFERROR(VLOOKUP(D1721,Parameter!$A$35:$C$64,2,0),"Nein"))</f>
        <v>2+3</v>
      </c>
      <c r="CE1721" s="64" t="n">
        <f aca="false">IF(CA1721=0,0,IF(N(S1721)&gt;0,S1721,IFERROR(VLOOKUP(D1721,Parameter!$A$35:$C$64,3,0)+0,0)))</f>
        <v>0</v>
      </c>
      <c r="CF1721" s="60" t="n">
        <f aca="false">IF(AB1721&lt;&gt;"",AB1721,AA1721)</f>
        <v>3</v>
      </c>
      <c r="CG1721" s="60" t="str">
        <f aca="false">IF(OR(CF1721=1,CF1721=2,CF1721=3),IF(Parameter!$E$27="Ja","LIFT",IF(CF1721=1,"L1","L23")),IF(CF1721="Aussen","Aussen","-"))</f>
        <v>LIFT</v>
      </c>
      <c r="CH1721" s="71" t="n">
        <f aca="false">IF(N(AC1721)&gt;0,AC1721,0)</f>
        <v>0</v>
      </c>
      <c r="CI1721" s="65" t="n">
        <f aca="false">IF(ISNUMBER(AF1721),1,0)</f>
        <v>0</v>
      </c>
      <c r="CJ1721" s="62" t="n">
        <f aca="false">N(AF1721)</f>
        <v>0</v>
      </c>
      <c r="CK1721" s="62" t="n">
        <f aca="false">N(M1721)+N(N1721)</f>
        <v>15</v>
      </c>
      <c r="CL1721" s="62" t="n">
        <f aca="false">N(M1721)</f>
        <v>0</v>
      </c>
      <c r="CM1721" s="62" t="n">
        <f aca="false">N(N1721)</f>
        <v>15</v>
      </c>
      <c r="CN1721" s="62" t="n">
        <f aca="false">ROUNDUP(H1721/BZ1721,0)</f>
        <v>1</v>
      </c>
      <c r="CO1721" s="62" t="n">
        <f aca="false">ROUNDUP(CJ1721/BZ1721,0)</f>
        <v>0</v>
      </c>
      <c r="CP1721" s="65" t="n">
        <f aca="false">IF(CA1721=1,0,IFERROR(VLOOKUP(BY1721,'Gebinde-Kategorie'!$A$5:$N$45,5,0)+0,0))</f>
        <v>8</v>
      </c>
      <c r="CQ1721" s="65" t="n">
        <f aca="false">IFERROR(IF(OR(CF1721=1,CF1721=2,CF1721=3),N(INDEX(Parameter!$I$5:$I$7,CF1721)),0),0)</f>
        <v>0</v>
      </c>
      <c r="CR1721" s="64" t="n">
        <f aca="false">IF(AND(Parameter!$B$21="Ja",ISNUMBER(W1721),N(X1721)&gt;0),IFERROR(N(INDEX(Parameter!$L$5:$L$7,W1721))*INDEX(Parameter!$E$5:$E$7,W1721)*X1721/SUMIFS($X$7:$X$1843,$W$7:$W$1843,W1721),0),0)</f>
        <v>0</v>
      </c>
      <c r="CS1721" s="62" t="n">
        <f aca="false">IF(AND(OR(CG1721="L1",CG1721="L23",CG1721="LIFT"),H1721&gt;0),CC1721*IF(CR1721&gt;0,CR1721*MAX(1,H1721/X1721),IF(CA1721=1,CE1721,IF(R1721&gt;0,CN1721/R1721,0))/MAX(0.1,N(Parameter!$M$21))),"")</f>
        <v>0.553571428571429</v>
      </c>
      <c r="CT1721" s="64" t="n">
        <f aca="false">IF(CS1721="","",J1721/H1721)</f>
        <v>0</v>
      </c>
      <c r="CU1721" s="62" t="n">
        <f aca="false">IF(CS1721="","",H1721*G1721)</f>
        <v>75.6</v>
      </c>
      <c r="CV1721" s="63" t="n">
        <f aca="false">IF(CS1721="","",(CL1721+ROUNDUP(CL1721+MAX(CM1721,2*(J1721/MAX(0.1,N(Einkauf!$C$6))-CL1721)),0))/2)</f>
        <v>7.5</v>
      </c>
      <c r="CW1721" s="62" t="n">
        <f aca="false">IF(CS1721="","",MAX(0,H1721-CV1721)*G1721)</f>
        <v>28.35</v>
      </c>
      <c r="CX1721" s="62" t="n">
        <f aca="false">IF(CS1721="","",CS1721*MAX(0,1-CV1721/H1721))</f>
        <v>0.207589285714286</v>
      </c>
      <c r="CY1721" s="64" t="n">
        <f aca="false">IF(CS1721="","",PERCENTRANK($CS$7:$CS$1843,CS1721)+PERCENTRANK($CU$7:$CU$1843,CU1721)+1-PERCENTRANK($CT$7:$CT$1843,CT1721))</f>
        <v>1.192</v>
      </c>
      <c r="CZ1721" s="72" t="n">
        <f aca="false">IF(CS1721="","",CHOOSE(MATCH(Einkauf!$C$5,Parameter!$G$23:$G$27,0),CY1721,CS1721,CU1721,-CT1721,CW1721)+ROW()/1000000000)</f>
        <v>1.192001721</v>
      </c>
    </row>
    <row r="1722" customFormat="false" ht="15" hidden="false" customHeight="false" outlineLevel="0" collapsed="false">
      <c r="A1722" s="60" t="s">
        <v>3022</v>
      </c>
      <c r="B1722" s="60" t="s">
        <v>416</v>
      </c>
      <c r="C1722" s="60" t="s">
        <v>206</v>
      </c>
      <c r="D1722" s="60" t="s">
        <v>226</v>
      </c>
      <c r="E1722" s="60"/>
      <c r="F1722" s="60"/>
      <c r="G1722" s="61" t="n">
        <v>12.63</v>
      </c>
      <c r="H1722" s="62" t="n">
        <f aca="false">MAX(0,IF(AND(Parameter!$B$21="Ja",ISNUMBER(Y1722)),Y1722,IF(Parameter!$B$20="Jahresanfang 2025 + Export",BS1722+BR1722,BR1722)))</f>
        <v>25</v>
      </c>
      <c r="I1722" s="62" t="n">
        <f aca="false">H1722*G1722</f>
        <v>315.75</v>
      </c>
      <c r="J1722" s="62" t="n">
        <f aca="false">BU1722*Parameter!$B$18</f>
        <v>0</v>
      </c>
      <c r="K1722" s="63"/>
      <c r="L1722" s="64"/>
      <c r="M1722" s="62" t="n">
        <v>0</v>
      </c>
      <c r="N1722" s="62" t="n">
        <v>1</v>
      </c>
      <c r="O1722" s="65" t="n">
        <v>28</v>
      </c>
      <c r="P1722" s="60" t="s">
        <v>443</v>
      </c>
      <c r="Q1722" s="62" t="n">
        <v>50</v>
      </c>
      <c r="R1722" s="65" t="n">
        <f aca="false">IF(CA1722=1,0,IFERROR(VLOOKUP(BY1722,'Gebinde-Kategorie'!$A$5:$N$45,13,0)+0,0))</f>
        <v>280</v>
      </c>
      <c r="S1722" s="66"/>
      <c r="T1722" s="67"/>
      <c r="U1722" s="67"/>
      <c r="V1722" s="67"/>
      <c r="W1722" s="60"/>
      <c r="X1722" s="62"/>
      <c r="Y1722" s="62"/>
      <c r="Z1722" s="60" t="n">
        <v>3</v>
      </c>
      <c r="AA1722" s="60" t="n">
        <f aca="false">IF(A1722="","",IF(AND(Parameter!$B$21="Ja",ISNUMBER(W1722)),W1722,IF(AND(Parameter!$E$27="Ja",ISNUMBER(Z1722),CD1722&lt;&gt;"Nein"),Z1722,IF(CD1722="2+3",IF(ISNUMBER(SEARCH("grosser Artikel",BV1722)),2,IFERROR(VLOOKUP(BY1722,Parameter!$F$35:$G$64,2,0),2)),IF(OR(CD1722="Nein",CD1722=""),"-",CD1722)))))</f>
        <v>3</v>
      </c>
      <c r="AB1722" s="67"/>
      <c r="AC1722" s="68"/>
      <c r="AD1722" s="62" t="n">
        <f aca="false">AW1722</f>
        <v>1</v>
      </c>
      <c r="AE1722" s="62" t="n">
        <f aca="false">MAX(AW1722,H1722)</f>
        <v>25</v>
      </c>
      <c r="AF1722" s="69"/>
      <c r="AG1722" s="62" t="n">
        <f aca="false">IF(LEFT(Cockpit!$C$5,1)="A",H1722,IF(Parameter!$E$30="MAX-Bestand",IF(CI1722=1,CJ1722,IF(LEFT(Cockpit!$C$5,1)="B",AM1722,MAX(AM1722,H1722))),ROUNDUP(AK1722,0)))</f>
        <v>25</v>
      </c>
      <c r="AH1722" s="62" t="n">
        <f aca="false">IF(CA1722=1,0,ROUNDUP(AG1722/BZ1722,0))</f>
        <v>1</v>
      </c>
      <c r="AI1722" s="64" t="n">
        <f aca="false">IF(CR1722&gt;0,CR1722*MAX(1,AG1722/X1722),IF(CA1722=1,IF(AG1722&lt;=0,0,CE1722*MAX(1,IF(H1722&gt;0,AG1722/H1722,1))),IF(R1722&gt;0,AH1722/R1722,0))/MAX(0.1,N(Parameter!$M$21)))</f>
        <v>0.00357142857142857</v>
      </c>
      <c r="AJ1722" s="62" t="n">
        <f aca="false">AI1722*CC1722</f>
        <v>0.553571428571429</v>
      </c>
      <c r="AK1722" s="63" t="n">
        <f aca="false">IF(LEFT(Cockpit!$C$5,1)="A",H1722,IF(CI1722=1,(CL1722+CJ1722)/2,IF(LEFT(Cockpit!$C$5,1)="B",(CL1722+AM1722)/2,MAX((CL1722+AM1722)/2,H1722))))</f>
        <v>25</v>
      </c>
      <c r="AL1722" s="62" t="n">
        <f aca="false">AK1722*G1722</f>
        <v>315.75</v>
      </c>
      <c r="AM1722" s="62" t="n">
        <f aca="false">ROUNDUP(CL1722+MAX(CM1722,2*(J1722/IF(CH1722&gt;0,CH1722,MAX(0.1,N(Cockpit!$C$6)))-CL1722)),0)</f>
        <v>1</v>
      </c>
      <c r="AN1722" s="63" t="n">
        <f aca="false">IF(AJ1722&gt;0,J1722/AJ1722,-1)</f>
        <v>0</v>
      </c>
      <c r="AO1722" s="63" t="n">
        <f aca="false">IF(AND(OR(CG1722="L1",CG1722="L23",CG1722="LIFT"),AJ1722&gt;0),SUMIFS($AJ$7:$AJ$1843,$CG$7:$CG$1843,CG1722,$AN$7:$AN$1843,"&gt;"&amp;AN1722)+SUMIFS($AJ$7:$AJ$1843,$CG$7:$CG$1843,CG1722,$AN$7:$AN$1843,AN1722,$BX$7:$BX$1843,"&lt;="&amp;BX1722),"")</f>
        <v>32840.3860459221</v>
      </c>
      <c r="AP1722" s="70" t="n">
        <f aca="false">IF(AO1722="",0,MAX(0,MIN(1,(IF(CG1722="L1",Parameter!$H$5,IF(CG1722="L23",Parameter!$H$6+Parameter!$H$7,Parameter!$H$5+Parameter!$H$6+Parameter!$H$7))-(AO1722-AJ1722))/AJ1722)))</f>
        <v>1</v>
      </c>
      <c r="AQ1722" s="62" t="n">
        <f aca="false">IF(LEFT(Cockpit!$I$5,1)="A",H1722,IF(Parameter!$E$30="MAX-Bestand",IF(CI1722=1,CJ1722,IF(LEFT(Cockpit!$I$5,1)="B",AW1722,MAX(AW1722,H1722))),ROUNDUP(AU1722,0)))</f>
        <v>25</v>
      </c>
      <c r="AR1722" s="62" t="n">
        <f aca="false">IF(CA1722=1,0,ROUNDUP(AQ1722/BZ1722,0))</f>
        <v>1</v>
      </c>
      <c r="AS1722" s="64" t="n">
        <f aca="false">IF(CR1722&gt;0,CR1722*MAX(1,AQ1722/X1722),IF(CA1722=1,IF(AQ1722&lt;=0,0,CE1722*MAX(1,IF(H1722&gt;0,AQ1722/H1722,1))),IF(R1722&gt;0,AR1722/R1722,0))/MAX(0.1,N(Parameter!$M$21)))</f>
        <v>0.00357142857142857</v>
      </c>
      <c r="AT1722" s="62" t="n">
        <f aca="false">AS1722*CC1722</f>
        <v>0.553571428571429</v>
      </c>
      <c r="AU1722" s="63" t="n">
        <f aca="false">IF(LEFT(Cockpit!$I$5,1)="A",H1722,IF(CI1722=1,(CL1722+CJ1722)/2,IF(LEFT(Cockpit!$I$5,1)="B",(CL1722+AW1722)/2,MAX((CL1722+AW1722)/2,H1722))))</f>
        <v>25</v>
      </c>
      <c r="AV1722" s="62" t="n">
        <f aca="false">AU1722*G1722</f>
        <v>315.75</v>
      </c>
      <c r="AW1722" s="62" t="n">
        <f aca="false">ROUNDUP(CL1722+MAX(CM1722,2*(J1722/IF(CH1722&gt;0,CH1722,MAX(0.1,N(Cockpit!$I$6)))-CL1722)),0)</f>
        <v>1</v>
      </c>
      <c r="AX1722" s="63" t="n">
        <f aca="false">IF(AT1722&gt;0,J1722/AT1722,-1)</f>
        <v>0</v>
      </c>
      <c r="AY1722" s="63" t="n">
        <f aca="false">IF(AND(OR(CG1722="L1",CG1722="L23",CG1722="LIFT"),AT1722&gt;0),SUMIFS($AT$7:$AT$1843,$CG$7:$CG$1843,CG1722,$AX$7:$AX$1843,"&gt;"&amp;AX1722)+SUMIFS($AT$7:$AT$1843,$CG$7:$CG$1843,CG1722,$AX$7:$AX$1843,AX1722,$BX$7:$BX$1843,"&lt;="&amp;BX1722),"")</f>
        <v>39313.7414193622</v>
      </c>
      <c r="AZ1722" s="70" t="n">
        <f aca="false">IF(AY1722="",0,MAX(0,MIN(1,(IF(CG1722="L1",Parameter!$H$5,IF(CG1722="L23",Parameter!$H$6+Parameter!$H$7,Parameter!$H$5+Parameter!$H$6+Parameter!$H$7))-(AY1722-AT1722))/AT1722)))</f>
        <v>0</v>
      </c>
      <c r="BA1722" s="62" t="n">
        <f aca="false">IF(LEFT(Cockpit!$O$5,1)="A",H1722,IF(Parameter!$E$30="MAX-Bestand",IF(CI1722=1,CJ1722,IF(LEFT(Cockpit!$O$5,1)="B",BG1722,MAX(BG1722,H1722))),ROUNDUP(BE1722,0)))</f>
        <v>1</v>
      </c>
      <c r="BB1722" s="62" t="n">
        <f aca="false">IF(CA1722=1,0,ROUNDUP(BA1722/BZ1722,0))</f>
        <v>1</v>
      </c>
      <c r="BC1722" s="64" t="n">
        <f aca="false">IF(CR1722&gt;0,CR1722*MAX(1,BA1722/X1722),IF(CA1722=1,IF(BA1722&lt;=0,0,CE1722*MAX(1,IF(H1722&gt;0,BA1722/H1722,1))),IF(R1722&gt;0,BB1722/R1722,0))/MAX(0.1,N(Parameter!$M$21)))</f>
        <v>0.00357142857142857</v>
      </c>
      <c r="BD1722" s="62" t="n">
        <f aca="false">BC1722*CC1722</f>
        <v>0.553571428571429</v>
      </c>
      <c r="BE1722" s="63" t="n">
        <f aca="false">IF(LEFT(Cockpit!$O$5,1)="A",H1722,IF(CI1722=1,(CL1722+CJ1722)/2,IF(LEFT(Cockpit!$O$5,1)="B",(CL1722+BG1722)/2,MAX((CL1722+BG1722)/2,H1722))))</f>
        <v>0.5</v>
      </c>
      <c r="BF1722" s="62" t="n">
        <f aca="false">BE1722*G1722</f>
        <v>6.315</v>
      </c>
      <c r="BG1722" s="62" t="n">
        <f aca="false">ROUNDUP(CL1722+MAX(CM1722,2*(J1722/IF(CH1722&gt;0,CH1722,MAX(0.1,N(Cockpit!$O$6)))-CL1722)),0)</f>
        <v>1</v>
      </c>
      <c r="BH1722" s="63" t="n">
        <f aca="false">IF(BD1722&gt;0,J1722/BD1722,-1)</f>
        <v>0</v>
      </c>
      <c r="BI1722" s="63" t="n">
        <f aca="false">IF(AND(OR(CG1722="L1",CG1722="L23",CG1722="LIFT"),BD1722&gt;0),SUMIFS($BD$7:$BD$1843,$CG$7:$CG$1843,CG1722,$BH$7:$BH$1843,"&gt;"&amp;BH1722)+SUMIFS($BD$7:$BD$1843,$CG$7:$CG$1843,CG1722,$BH$7:$BH$1843,BH1722,$BX$7:$BX$1843,"&lt;="&amp;BX1722),"")</f>
        <v>32543.5338853708</v>
      </c>
      <c r="BJ1722" s="70" t="n">
        <f aca="false">IF(BI1722="",0,MAX(0,MIN(1,(IF(CG1722="L1",Parameter!$H$5,IF(CG1722="L23",Parameter!$H$6+Parameter!$H$7,Parameter!$H$5+Parameter!$H$6+Parameter!$H$7))-(BI1722-BD1722))/BD1722)))</f>
        <v>1</v>
      </c>
      <c r="BK1722" s="60" t="str">
        <f aca="false">IF(AJ1722&lt;=0,"",IF(CG1722="Aussen","Aussenlager",IF(CG1722="-","Nicht im Lift",IF(AP1722&gt;=1,"Lift",IF(AP1722&lt;=0,"Aussenlager","teilweise")))))</f>
        <v>Lift</v>
      </c>
      <c r="BL1722" s="60" t="str">
        <f aca="false">IF(AT1722&lt;=0,"",IF(CG1722="Aussen","Aussenlager",IF(CG1722="-","Nicht im Lift",IF(AZ1722&gt;=1,"Lift",IF(AZ1722&lt;=0,"Aussenlager","teilweise")))))</f>
        <v>Aussenlager</v>
      </c>
      <c r="BM1722" s="60" t="str">
        <f aca="false">IF(BD1722&lt;=0,"",IF(CG1722="Aussen","Aussenlager",IF(CG1722="-","Nicht im Lift",IF(BJ1722&gt;=1,"Lift",IF(BJ1722&lt;=0,"Aussenlager","teilweise")))))</f>
        <v>Lift</v>
      </c>
      <c r="BN1722" s="60" t="str">
        <f aca="false">IF(A1722="","",IF(BW1722=1,"Neu; ","")&amp;IF(AND(BW1722=0,BR1722&lt;0),"negativer Bestand (Export "&amp;BR1722&amp;"); ","")&amp;IF(J1722&lt;=0,"Kein Verbrauch; ","")&amp;IF(CR1722&gt;0,"Lift "&amp;W1722&amp;" lt. Liftbericht (Fach "&amp;X1722&amp;" Stk); ",IF(CB1722=1,"Gebinde geschätzt ("&amp;T1722&amp;"); ",IF(CA1722=1,"Lose – Tablare geschätzt; ","")))&amp;IF(H1722&gt;AW1722,"Überbestand "&amp;ROUND(H1722-AW1722,0)&amp;" Stk / CHF "&amp;ROUND((H1722-AW1722)*G1722,0)&amp;"; ","")&amp;IF(AND(CI1722=1,CJ1722&lt;CK1722),"MAX &lt; MB+LG; ","")&amp;IF(AND(CQ1722&gt;0,CP1722*10&gt;CQ1722),"zu hoch für Tablar; ","")&amp;IF(AND(BW1722=0,OR(CI1722=1,AB1722&lt;&gt;"",U1722&lt;&gt;"",V1722&lt;&gt;"",AC1722&lt;&gt;"")),"manuell übersteuert; ","")&amp;IF(AND(CA1722=0,R1722=0),"Gebinde unbekannt / Stellmass fehlt; ","")&amp;IF(AND(CA1722=0,N(V1722)&lt;=0,N(Q1722)&lt;=0),"Menge pro Gebinde fehlt (Ist = 1 Gebinde); ","")&amp;BV1722)</f>
        <v>Kein Verbrauch; Überbestand 24 Stk / CHF 303; nur im Artikelstamm (Bestand 23.06.2026)</v>
      </c>
      <c r="BO1722" s="60"/>
      <c r="BP1722" s="60"/>
      <c r="BQ1722" s="67"/>
      <c r="BR1722" s="62" t="n">
        <v>25</v>
      </c>
      <c r="BS1722" s="62" t="n">
        <v>0</v>
      </c>
      <c r="BT1722" s="61" t="n">
        <v>0</v>
      </c>
      <c r="BU1722" s="62" t="n">
        <v>0</v>
      </c>
      <c r="BV1722" s="60" t="s">
        <v>2617</v>
      </c>
      <c r="BW1722" s="65" t="n">
        <v>0</v>
      </c>
      <c r="BX1722" s="65" t="n">
        <v>1722</v>
      </c>
      <c r="BY1722" s="60" t="str">
        <f aca="false">IF(U1722&lt;&gt;"",UPPER(TRIM(U1722)),IF(CB1722=1,UPPER(VLOOKUP(T1722,Parameter!$I$27:$K$29,2,0)),IF(P1722="","LOSE",P1722)))</f>
        <v>S21</v>
      </c>
      <c r="BZ1722" s="62" t="n">
        <f aca="false">IF(BY1722="LOSE",1,IF(N(V1722)&gt;0,V1722,IF(CB1722=1,MAX(1,N(VLOOKUP(T1722,Parameter!$I$27:$K$29,3,0)),H1722,N(N1722)),IF(N(Q1722)&gt;0,Q1722,MAX(1,H1722)))))</f>
        <v>50</v>
      </c>
      <c r="CA1722" s="65" t="n">
        <f aca="false">IF(BY1722="LOSE",1,0)</f>
        <v>0</v>
      </c>
      <c r="CB1722" s="65" t="n">
        <f aca="false">IF(AND(U1722="",OR(P1722="",P1722="LOSE"),T1722&lt;&gt;"",N(S1722)&lt;=0,ISNUMBER(MATCH(T1722,Parameter!$I$27:$I$29,0))),1,0)</f>
        <v>0</v>
      </c>
      <c r="CC1722" s="65" t="n">
        <f aca="false">IF(CR1722&gt;0,INDEX(Parameter!$H$5:$H$7,W1722)/INDEX(Parameter!$E$5:$E$7,W1722),IF(AND(CA1722=0,N(IFERROR(VLOOKUP(BY1722,'Gebinde-Kategorie'!$A$5:$N$45,14,0),0))&gt;0),VLOOKUP(BY1722,'Gebinde-Kategorie'!$A$5:$N$45,14,0)*10+Parameter!$M$23,Parameter!$M$24))</f>
        <v>155</v>
      </c>
      <c r="CD1722" s="60" t="str">
        <f aca="false">IF(AND(Parameter!$B$19="Ja",E1722&lt;&gt;"",ISNUMBER(MATCH(E1722,Parameter!$I$35:$I$52,0))),VLOOKUP(E1722,Parameter!$I$35:$J$52,2,0),IFERROR(VLOOKUP(D1722,Parameter!$A$35:$C$64,2,0),"Nein"))</f>
        <v>2+3</v>
      </c>
      <c r="CE1722" s="64" t="n">
        <f aca="false">IF(CA1722=0,0,IF(N(S1722)&gt;0,S1722,IFERROR(VLOOKUP(D1722,Parameter!$A$35:$C$64,3,0)+0,0)))</f>
        <v>0</v>
      </c>
      <c r="CF1722" s="60" t="n">
        <f aca="false">IF(AB1722&lt;&gt;"",AB1722,AA1722)</f>
        <v>3</v>
      </c>
      <c r="CG1722" s="60" t="str">
        <f aca="false">IF(OR(CF1722=1,CF1722=2,CF1722=3),IF(Parameter!$E$27="Ja","LIFT",IF(CF1722=1,"L1","L23")),IF(CF1722="Aussen","Aussen","-"))</f>
        <v>LIFT</v>
      </c>
      <c r="CH1722" s="71" t="n">
        <f aca="false">IF(N(AC1722)&gt;0,AC1722,0)</f>
        <v>0</v>
      </c>
      <c r="CI1722" s="65" t="n">
        <f aca="false">IF(ISNUMBER(AF1722),1,0)</f>
        <v>0</v>
      </c>
      <c r="CJ1722" s="62" t="n">
        <f aca="false">N(AF1722)</f>
        <v>0</v>
      </c>
      <c r="CK1722" s="62" t="n">
        <f aca="false">N(M1722)+N(N1722)</f>
        <v>1</v>
      </c>
      <c r="CL1722" s="62" t="n">
        <f aca="false">N(M1722)</f>
        <v>0</v>
      </c>
      <c r="CM1722" s="62" t="n">
        <f aca="false">N(N1722)</f>
        <v>1</v>
      </c>
      <c r="CN1722" s="62" t="n">
        <f aca="false">ROUNDUP(H1722/BZ1722,0)</f>
        <v>1</v>
      </c>
      <c r="CO1722" s="62" t="n">
        <f aca="false">ROUNDUP(CJ1722/BZ1722,0)</f>
        <v>0</v>
      </c>
      <c r="CP1722" s="65" t="n">
        <f aca="false">IF(CA1722=1,0,IFERROR(VLOOKUP(BY1722,'Gebinde-Kategorie'!$A$5:$N$45,5,0)+0,0))</f>
        <v>8</v>
      </c>
      <c r="CQ1722" s="65" t="n">
        <f aca="false">IFERROR(IF(OR(CF1722=1,CF1722=2,CF1722=3),N(INDEX(Parameter!$I$5:$I$7,CF1722)),0),0)</f>
        <v>0</v>
      </c>
      <c r="CR1722" s="64" t="n">
        <f aca="false">IF(AND(Parameter!$B$21="Ja",ISNUMBER(W1722),N(X1722)&gt;0),IFERROR(N(INDEX(Parameter!$L$5:$L$7,W1722))*INDEX(Parameter!$E$5:$E$7,W1722)*X1722/SUMIFS($X$7:$X$1843,$W$7:$W$1843,W1722),0),0)</f>
        <v>0</v>
      </c>
      <c r="CS1722" s="62" t="n">
        <f aca="false">IF(AND(OR(CG1722="L1",CG1722="L23",CG1722="LIFT"),H1722&gt;0),CC1722*IF(CR1722&gt;0,CR1722*MAX(1,H1722/X1722),IF(CA1722=1,CE1722,IF(R1722&gt;0,CN1722/R1722,0))/MAX(0.1,N(Parameter!$M$21))),"")</f>
        <v>0.553571428571429</v>
      </c>
      <c r="CT1722" s="64" t="n">
        <f aca="false">IF(CS1722="","",J1722/H1722)</f>
        <v>0</v>
      </c>
      <c r="CU1722" s="62" t="n">
        <f aca="false">IF(CS1722="","",H1722*G1722)</f>
        <v>315.75</v>
      </c>
      <c r="CV1722" s="63" t="n">
        <f aca="false">IF(CS1722="","",(CL1722+ROUNDUP(CL1722+MAX(CM1722,2*(J1722/MAX(0.1,N(Einkauf!$C$6))-CL1722)),0))/2)</f>
        <v>0.5</v>
      </c>
      <c r="CW1722" s="62" t="n">
        <f aca="false">IF(CS1722="","",MAX(0,H1722-CV1722)*G1722)</f>
        <v>309.435</v>
      </c>
      <c r="CX1722" s="62" t="n">
        <f aca="false">IF(CS1722="","",CS1722*MAX(0,1-CV1722/H1722))</f>
        <v>0.5425</v>
      </c>
      <c r="CY1722" s="64" t="n">
        <f aca="false">IF(CS1722="","",PERCENTRANK($CS$7:$CS$1843,CS1722)+PERCENTRANK($CU$7:$CU$1843,CU1722)+1-PERCENTRANK($CT$7:$CT$1843,CT1722))</f>
        <v>1.432</v>
      </c>
      <c r="CZ1722" s="72" t="n">
        <f aca="false">IF(CS1722="","",CHOOSE(MATCH(Einkauf!$C$5,Parameter!$G$23:$G$27,0),CY1722,CS1722,CU1722,-CT1722,CW1722)+ROW()/1000000000)</f>
        <v>1.432001722</v>
      </c>
    </row>
    <row r="1723" customFormat="false" ht="15" hidden="false" customHeight="false" outlineLevel="0" collapsed="false">
      <c r="A1723" s="60" t="s">
        <v>3023</v>
      </c>
      <c r="B1723" s="60" t="s">
        <v>3024</v>
      </c>
      <c r="C1723" s="60" t="s">
        <v>206</v>
      </c>
      <c r="D1723" s="60" t="s">
        <v>226</v>
      </c>
      <c r="E1723" s="60"/>
      <c r="F1723" s="60"/>
      <c r="G1723" s="61" t="n">
        <v>5.09</v>
      </c>
      <c r="H1723" s="62" t="n">
        <f aca="false">MAX(0,IF(AND(Parameter!$B$21="Ja",ISNUMBER(Y1723)),Y1723,IF(Parameter!$B$20="Jahresanfang 2025 + Export",BS1723+BR1723,BR1723)))</f>
        <v>33</v>
      </c>
      <c r="I1723" s="62" t="n">
        <f aca="false">H1723*G1723</f>
        <v>167.97</v>
      </c>
      <c r="J1723" s="62" t="n">
        <f aca="false">BU1723*Parameter!$B$18</f>
        <v>0</v>
      </c>
      <c r="K1723" s="63"/>
      <c r="L1723" s="64"/>
      <c r="M1723" s="62" t="n">
        <v>0</v>
      </c>
      <c r="N1723" s="62" t="n">
        <v>200</v>
      </c>
      <c r="O1723" s="65" t="n">
        <v>21</v>
      </c>
      <c r="P1723" s="60" t="s">
        <v>443</v>
      </c>
      <c r="Q1723" s="62" t="n">
        <v>50</v>
      </c>
      <c r="R1723" s="65" t="n">
        <f aca="false">IF(CA1723=1,0,IFERROR(VLOOKUP(BY1723,'Gebinde-Kategorie'!$A$5:$N$45,13,0)+0,0))</f>
        <v>280</v>
      </c>
      <c r="S1723" s="66"/>
      <c r="T1723" s="67"/>
      <c r="U1723" s="67"/>
      <c r="V1723" s="67"/>
      <c r="W1723" s="60"/>
      <c r="X1723" s="62"/>
      <c r="Y1723" s="62"/>
      <c r="Z1723" s="60" t="n">
        <v>2</v>
      </c>
      <c r="AA1723" s="60" t="n">
        <f aca="false">IF(A1723="","",IF(AND(Parameter!$B$21="Ja",ISNUMBER(W1723)),W1723,IF(AND(Parameter!$E$27="Ja",ISNUMBER(Z1723),CD1723&lt;&gt;"Nein"),Z1723,IF(CD1723="2+3",IF(ISNUMBER(SEARCH("grosser Artikel",BV1723)),2,IFERROR(VLOOKUP(BY1723,Parameter!$F$35:$G$64,2,0),2)),IF(OR(CD1723="Nein",CD1723=""),"-",CD1723)))))</f>
        <v>2</v>
      </c>
      <c r="AB1723" s="67"/>
      <c r="AC1723" s="68"/>
      <c r="AD1723" s="62" t="n">
        <f aca="false">AW1723</f>
        <v>200</v>
      </c>
      <c r="AE1723" s="62" t="n">
        <f aca="false">MAX(AW1723,H1723)</f>
        <v>200</v>
      </c>
      <c r="AF1723" s="69"/>
      <c r="AG1723" s="62" t="n">
        <f aca="false">IF(LEFT(Cockpit!$C$5,1)="A",H1723,IF(Parameter!$E$30="MAX-Bestand",IF(CI1723=1,CJ1723,IF(LEFT(Cockpit!$C$5,1)="B",AM1723,MAX(AM1723,H1723))),ROUNDUP(AK1723,0)))</f>
        <v>33</v>
      </c>
      <c r="AH1723" s="62" t="n">
        <f aca="false">IF(CA1723=1,0,ROUNDUP(AG1723/BZ1723,0))</f>
        <v>1</v>
      </c>
      <c r="AI1723" s="64" t="n">
        <f aca="false">IF(CR1723&gt;0,CR1723*MAX(1,AG1723/X1723),IF(CA1723=1,IF(AG1723&lt;=0,0,CE1723*MAX(1,IF(H1723&gt;0,AG1723/H1723,1))),IF(R1723&gt;0,AH1723/R1723,0))/MAX(0.1,N(Parameter!$M$21)))</f>
        <v>0.00357142857142857</v>
      </c>
      <c r="AJ1723" s="62" t="n">
        <f aca="false">AI1723*CC1723</f>
        <v>0.553571428571429</v>
      </c>
      <c r="AK1723" s="63" t="n">
        <f aca="false">IF(LEFT(Cockpit!$C$5,1)="A",H1723,IF(CI1723=1,(CL1723+CJ1723)/2,IF(LEFT(Cockpit!$C$5,1)="B",(CL1723+AM1723)/2,MAX((CL1723+AM1723)/2,H1723))))</f>
        <v>33</v>
      </c>
      <c r="AL1723" s="62" t="n">
        <f aca="false">AK1723*G1723</f>
        <v>167.97</v>
      </c>
      <c r="AM1723" s="62" t="n">
        <f aca="false">ROUNDUP(CL1723+MAX(CM1723,2*(J1723/IF(CH1723&gt;0,CH1723,MAX(0.1,N(Cockpit!$C$6)))-CL1723)),0)</f>
        <v>200</v>
      </c>
      <c r="AN1723" s="63" t="n">
        <f aca="false">IF(AJ1723&gt;0,J1723/AJ1723,-1)</f>
        <v>0</v>
      </c>
      <c r="AO1723" s="63" t="n">
        <f aca="false">IF(AND(OR(CG1723="L1",CG1723="L23",CG1723="LIFT"),AJ1723&gt;0),SUMIFS($AJ$7:$AJ$1843,$CG$7:$CG$1843,CG1723,$AN$7:$AN$1843,"&gt;"&amp;AN1723)+SUMIFS($AJ$7:$AJ$1843,$CG$7:$CG$1843,CG1723,$AN$7:$AN$1843,AN1723,$BX$7:$BX$1843,"&lt;="&amp;BX1723),"")</f>
        <v>32840.9396173506</v>
      </c>
      <c r="AP1723" s="70" t="n">
        <f aca="false">IF(AO1723="",0,MAX(0,MIN(1,(IF(CG1723="L1",Parameter!$H$5,IF(CG1723="L23",Parameter!$H$6+Parameter!$H$7,Parameter!$H$5+Parameter!$H$6+Parameter!$H$7))-(AO1723-AJ1723))/AJ1723)))</f>
        <v>1</v>
      </c>
      <c r="AQ1723" s="62" t="n">
        <f aca="false">IF(LEFT(Cockpit!$I$5,1)="A",H1723,IF(Parameter!$E$30="MAX-Bestand",IF(CI1723=1,CJ1723,IF(LEFT(Cockpit!$I$5,1)="B",AW1723,MAX(AW1723,H1723))),ROUNDUP(AU1723,0)))</f>
        <v>100</v>
      </c>
      <c r="AR1723" s="62" t="n">
        <f aca="false">IF(CA1723=1,0,ROUNDUP(AQ1723/BZ1723,0))</f>
        <v>2</v>
      </c>
      <c r="AS1723" s="64" t="n">
        <f aca="false">IF(CR1723&gt;0,CR1723*MAX(1,AQ1723/X1723),IF(CA1723=1,IF(AQ1723&lt;=0,0,CE1723*MAX(1,IF(H1723&gt;0,AQ1723/H1723,1))),IF(R1723&gt;0,AR1723/R1723,0))/MAX(0.1,N(Parameter!$M$21)))</f>
        <v>0.00714285714285714</v>
      </c>
      <c r="AT1723" s="62" t="n">
        <f aca="false">AS1723*CC1723</f>
        <v>1.10714285714286</v>
      </c>
      <c r="AU1723" s="63" t="n">
        <f aca="false">IF(LEFT(Cockpit!$I$5,1)="A",H1723,IF(CI1723=1,(CL1723+CJ1723)/2,IF(LEFT(Cockpit!$I$5,1)="B",(CL1723+AW1723)/2,MAX((CL1723+AW1723)/2,H1723))))</f>
        <v>100</v>
      </c>
      <c r="AV1723" s="62" t="n">
        <f aca="false">AU1723*G1723</f>
        <v>509</v>
      </c>
      <c r="AW1723" s="62" t="n">
        <f aca="false">ROUNDUP(CL1723+MAX(CM1723,2*(J1723/IF(CH1723&gt;0,CH1723,MAX(0.1,N(Cockpit!$I$6)))-CL1723)),0)</f>
        <v>200</v>
      </c>
      <c r="AX1723" s="63" t="n">
        <f aca="false">IF(AT1723&gt;0,J1723/AT1723,-1)</f>
        <v>0</v>
      </c>
      <c r="AY1723" s="63" t="n">
        <f aca="false">IF(AND(OR(CG1723="L1",CG1723="L23",CG1723="LIFT"),AT1723&gt;0),SUMIFS($AT$7:$AT$1843,$CG$7:$CG$1843,CG1723,$AX$7:$AX$1843,"&gt;"&amp;AX1723)+SUMIFS($AT$7:$AT$1843,$CG$7:$CG$1843,CG1723,$AX$7:$AX$1843,AX1723,$BX$7:$BX$1843,"&lt;="&amp;BX1723),"")</f>
        <v>39314.8485622193</v>
      </c>
      <c r="AZ1723" s="70" t="n">
        <f aca="false">IF(AY1723="",0,MAX(0,MIN(1,(IF(CG1723="L1",Parameter!$H$5,IF(CG1723="L23",Parameter!$H$6+Parameter!$H$7,Parameter!$H$5+Parameter!$H$6+Parameter!$H$7))-(AY1723-AT1723))/AT1723)))</f>
        <v>0</v>
      </c>
      <c r="BA1723" s="62" t="n">
        <f aca="false">IF(LEFT(Cockpit!$O$5,1)="A",H1723,IF(Parameter!$E$30="MAX-Bestand",IF(CI1723=1,CJ1723,IF(LEFT(Cockpit!$O$5,1)="B",BG1723,MAX(BG1723,H1723))),ROUNDUP(BE1723,0)))</f>
        <v>100</v>
      </c>
      <c r="BB1723" s="62" t="n">
        <f aca="false">IF(CA1723=1,0,ROUNDUP(BA1723/BZ1723,0))</f>
        <v>2</v>
      </c>
      <c r="BC1723" s="64" t="n">
        <f aca="false">IF(CR1723&gt;0,CR1723*MAX(1,BA1723/X1723),IF(CA1723=1,IF(BA1723&lt;=0,0,CE1723*MAX(1,IF(H1723&gt;0,BA1723/H1723,1))),IF(R1723&gt;0,BB1723/R1723,0))/MAX(0.1,N(Parameter!$M$21)))</f>
        <v>0.00714285714285714</v>
      </c>
      <c r="BD1723" s="62" t="n">
        <f aca="false">BC1723*CC1723</f>
        <v>1.10714285714286</v>
      </c>
      <c r="BE1723" s="63" t="n">
        <f aca="false">IF(LEFT(Cockpit!$O$5,1)="A",H1723,IF(CI1723=1,(CL1723+CJ1723)/2,IF(LEFT(Cockpit!$O$5,1)="B",(CL1723+BG1723)/2,MAX((CL1723+BG1723)/2,H1723))))</f>
        <v>100</v>
      </c>
      <c r="BF1723" s="62" t="n">
        <f aca="false">BE1723*G1723</f>
        <v>509</v>
      </c>
      <c r="BG1723" s="62" t="n">
        <f aca="false">ROUNDUP(CL1723+MAX(CM1723,2*(J1723/IF(CH1723&gt;0,CH1723,MAX(0.1,N(Cockpit!$O$6)))-CL1723)),0)</f>
        <v>200</v>
      </c>
      <c r="BH1723" s="63" t="n">
        <f aca="false">IF(BD1723&gt;0,J1723/BD1723,-1)</f>
        <v>0</v>
      </c>
      <c r="BI1723" s="63" t="n">
        <f aca="false">IF(AND(OR(CG1723="L1",CG1723="L23",CG1723="LIFT"),BD1723&gt;0),SUMIFS($BD$7:$BD$1843,$CG$7:$CG$1843,CG1723,$BH$7:$BH$1843,"&gt;"&amp;BH1723)+SUMIFS($BD$7:$BD$1843,$CG$7:$CG$1843,CG1723,$BH$7:$BH$1843,BH1723,$BX$7:$BX$1843,"&lt;="&amp;BX1723),"")</f>
        <v>32544.6410282279</v>
      </c>
      <c r="BJ1723" s="70" t="n">
        <f aca="false">IF(BI1723="",0,MAX(0,MIN(1,(IF(CG1723="L1",Parameter!$H$5,IF(CG1723="L23",Parameter!$H$6+Parameter!$H$7,Parameter!$H$5+Parameter!$H$6+Parameter!$H$7))-(BI1723-BD1723))/BD1723)))</f>
        <v>1</v>
      </c>
      <c r="BK1723" s="60" t="str">
        <f aca="false">IF(AJ1723&lt;=0,"",IF(CG1723="Aussen","Aussenlager",IF(CG1723="-","Nicht im Lift",IF(AP1723&gt;=1,"Lift",IF(AP1723&lt;=0,"Aussenlager","teilweise")))))</f>
        <v>Lift</v>
      </c>
      <c r="BL1723" s="60" t="str">
        <f aca="false">IF(AT1723&lt;=0,"",IF(CG1723="Aussen","Aussenlager",IF(CG1723="-","Nicht im Lift",IF(AZ1723&gt;=1,"Lift",IF(AZ1723&lt;=0,"Aussenlager","teilweise")))))</f>
        <v>Aussenlager</v>
      </c>
      <c r="BM1723" s="60" t="str">
        <f aca="false">IF(BD1723&lt;=0,"",IF(CG1723="Aussen","Aussenlager",IF(CG1723="-","Nicht im Lift",IF(BJ1723&gt;=1,"Lift",IF(BJ1723&lt;=0,"Aussenlager","teilweise")))))</f>
        <v>Lift</v>
      </c>
      <c r="BN1723" s="60" t="str">
        <f aca="false">IF(A1723="","",IF(BW1723=1,"Neu; ","")&amp;IF(AND(BW1723=0,BR1723&lt;0),"negativer Bestand (Export "&amp;BR1723&amp;"); ","")&amp;IF(J1723&lt;=0,"Kein Verbrauch; ","")&amp;IF(CR1723&gt;0,"Lift "&amp;W1723&amp;" lt. Liftbericht (Fach "&amp;X1723&amp;" Stk); ",IF(CB1723=1,"Gebinde geschätzt ("&amp;T1723&amp;"); ",IF(CA1723=1,"Lose – Tablare geschätzt; ","")))&amp;IF(H1723&gt;AW1723,"Überbestand "&amp;ROUND(H1723-AW1723,0)&amp;" Stk / CHF "&amp;ROUND((H1723-AW1723)*G1723,0)&amp;"; ","")&amp;IF(AND(CI1723=1,CJ1723&lt;CK1723),"MAX &lt; MB+LG; ","")&amp;IF(AND(CQ1723&gt;0,CP1723*10&gt;CQ1723),"zu hoch für Tablar; ","")&amp;IF(AND(BW1723=0,OR(CI1723=1,AB1723&lt;&gt;"",U1723&lt;&gt;"",V1723&lt;&gt;"",AC1723&lt;&gt;"")),"manuell übersteuert; ","")&amp;IF(AND(CA1723=0,R1723=0),"Gebinde unbekannt / Stellmass fehlt; ","")&amp;IF(AND(CA1723=0,N(V1723)&lt;=0,N(Q1723)&lt;=0),"Menge pro Gebinde fehlt (Ist = 1 Gebinde); ","")&amp;BV1723)</f>
        <v>Kein Verbrauch; nur im Artikelstamm (Bestand 23.06.2026)</v>
      </c>
      <c r="BO1723" s="60"/>
      <c r="BP1723" s="60"/>
      <c r="BQ1723" s="67"/>
      <c r="BR1723" s="62" t="n">
        <v>33</v>
      </c>
      <c r="BS1723" s="62" t="n">
        <v>0</v>
      </c>
      <c r="BT1723" s="61" t="n">
        <v>0</v>
      </c>
      <c r="BU1723" s="62" t="n">
        <v>0</v>
      </c>
      <c r="BV1723" s="60" t="s">
        <v>2617</v>
      </c>
      <c r="BW1723" s="65" t="n">
        <v>0</v>
      </c>
      <c r="BX1723" s="65" t="n">
        <v>1723</v>
      </c>
      <c r="BY1723" s="60" t="str">
        <f aca="false">IF(U1723&lt;&gt;"",UPPER(TRIM(U1723)),IF(CB1723=1,UPPER(VLOOKUP(T1723,Parameter!$I$27:$K$29,2,0)),IF(P1723="","LOSE",P1723)))</f>
        <v>S21</v>
      </c>
      <c r="BZ1723" s="62" t="n">
        <f aca="false">IF(BY1723="LOSE",1,IF(N(V1723)&gt;0,V1723,IF(CB1723=1,MAX(1,N(VLOOKUP(T1723,Parameter!$I$27:$K$29,3,0)),H1723,N(N1723)),IF(N(Q1723)&gt;0,Q1723,MAX(1,H1723)))))</f>
        <v>50</v>
      </c>
      <c r="CA1723" s="65" t="n">
        <f aca="false">IF(BY1723="LOSE",1,0)</f>
        <v>0</v>
      </c>
      <c r="CB1723" s="65" t="n">
        <f aca="false">IF(AND(U1723="",OR(P1723="",P1723="LOSE"),T1723&lt;&gt;"",N(S1723)&lt;=0,ISNUMBER(MATCH(T1723,Parameter!$I$27:$I$29,0))),1,0)</f>
        <v>0</v>
      </c>
      <c r="CC1723" s="65" t="n">
        <f aca="false">IF(CR1723&gt;0,INDEX(Parameter!$H$5:$H$7,W1723)/INDEX(Parameter!$E$5:$E$7,W1723),IF(AND(CA1723=0,N(IFERROR(VLOOKUP(BY1723,'Gebinde-Kategorie'!$A$5:$N$45,14,0),0))&gt;0),VLOOKUP(BY1723,'Gebinde-Kategorie'!$A$5:$N$45,14,0)*10+Parameter!$M$23,Parameter!$M$24))</f>
        <v>155</v>
      </c>
      <c r="CD1723" s="60" t="str">
        <f aca="false">IF(AND(Parameter!$B$19="Ja",E1723&lt;&gt;"",ISNUMBER(MATCH(E1723,Parameter!$I$35:$I$52,0))),VLOOKUP(E1723,Parameter!$I$35:$J$52,2,0),IFERROR(VLOOKUP(D1723,Parameter!$A$35:$C$64,2,0),"Nein"))</f>
        <v>2+3</v>
      </c>
      <c r="CE1723" s="64" t="n">
        <f aca="false">IF(CA1723=0,0,IF(N(S1723)&gt;0,S1723,IFERROR(VLOOKUP(D1723,Parameter!$A$35:$C$64,3,0)+0,0)))</f>
        <v>0</v>
      </c>
      <c r="CF1723" s="60" t="n">
        <f aca="false">IF(AB1723&lt;&gt;"",AB1723,AA1723)</f>
        <v>2</v>
      </c>
      <c r="CG1723" s="60" t="str">
        <f aca="false">IF(OR(CF1723=1,CF1723=2,CF1723=3),IF(Parameter!$E$27="Ja","LIFT",IF(CF1723=1,"L1","L23")),IF(CF1723="Aussen","Aussen","-"))</f>
        <v>LIFT</v>
      </c>
      <c r="CH1723" s="71" t="n">
        <f aca="false">IF(N(AC1723)&gt;0,AC1723,0)</f>
        <v>0</v>
      </c>
      <c r="CI1723" s="65" t="n">
        <f aca="false">IF(ISNUMBER(AF1723),1,0)</f>
        <v>0</v>
      </c>
      <c r="CJ1723" s="62" t="n">
        <f aca="false">N(AF1723)</f>
        <v>0</v>
      </c>
      <c r="CK1723" s="62" t="n">
        <f aca="false">N(M1723)+N(N1723)</f>
        <v>200</v>
      </c>
      <c r="CL1723" s="62" t="n">
        <f aca="false">N(M1723)</f>
        <v>0</v>
      </c>
      <c r="CM1723" s="62" t="n">
        <f aca="false">N(N1723)</f>
        <v>200</v>
      </c>
      <c r="CN1723" s="62" t="n">
        <f aca="false">ROUNDUP(H1723/BZ1723,0)</f>
        <v>1</v>
      </c>
      <c r="CO1723" s="62" t="n">
        <f aca="false">ROUNDUP(CJ1723/BZ1723,0)</f>
        <v>0</v>
      </c>
      <c r="CP1723" s="65" t="n">
        <f aca="false">IF(CA1723=1,0,IFERROR(VLOOKUP(BY1723,'Gebinde-Kategorie'!$A$5:$N$45,5,0)+0,0))</f>
        <v>8</v>
      </c>
      <c r="CQ1723" s="65" t="n">
        <f aca="false">IFERROR(IF(OR(CF1723=1,CF1723=2,CF1723=3),N(INDEX(Parameter!$I$5:$I$7,CF1723)),0),0)</f>
        <v>0</v>
      </c>
      <c r="CR1723" s="64" t="n">
        <f aca="false">IF(AND(Parameter!$B$21="Ja",ISNUMBER(W1723),N(X1723)&gt;0),IFERROR(N(INDEX(Parameter!$L$5:$L$7,W1723))*INDEX(Parameter!$E$5:$E$7,W1723)*X1723/SUMIFS($X$7:$X$1843,$W$7:$W$1843,W1723),0),0)</f>
        <v>0</v>
      </c>
      <c r="CS1723" s="62" t="n">
        <f aca="false">IF(AND(OR(CG1723="L1",CG1723="L23",CG1723="LIFT"),H1723&gt;0),CC1723*IF(CR1723&gt;0,CR1723*MAX(1,H1723/X1723),IF(CA1723=1,CE1723,IF(R1723&gt;0,CN1723/R1723,0))/MAX(0.1,N(Parameter!$M$21))),"")</f>
        <v>0.553571428571429</v>
      </c>
      <c r="CT1723" s="64" t="n">
        <f aca="false">IF(CS1723="","",J1723/H1723)</f>
        <v>0</v>
      </c>
      <c r="CU1723" s="62" t="n">
        <f aca="false">IF(CS1723="","",H1723*G1723)</f>
        <v>167.97</v>
      </c>
      <c r="CV1723" s="63" t="n">
        <f aca="false">IF(CS1723="","",(CL1723+ROUNDUP(CL1723+MAX(CM1723,2*(J1723/MAX(0.1,N(Einkauf!$C$6))-CL1723)),0))/2)</f>
        <v>100</v>
      </c>
      <c r="CW1723" s="62" t="n">
        <f aca="false">IF(CS1723="","",MAX(0,H1723-CV1723)*G1723)</f>
        <v>0</v>
      </c>
      <c r="CX1723" s="62" t="n">
        <f aca="false">IF(CS1723="","",CS1723*MAX(0,1-CV1723/H1723))</f>
        <v>0</v>
      </c>
      <c r="CY1723" s="64" t="n">
        <f aca="false">IF(CS1723="","",PERCENTRANK($CS$7:$CS$1843,CS1723)+PERCENTRANK($CU$7:$CU$1843,CU1723)+1-PERCENTRANK($CT$7:$CT$1843,CT1723))</f>
        <v>1.311</v>
      </c>
      <c r="CZ1723" s="72" t="n">
        <f aca="false">IF(CS1723="","",CHOOSE(MATCH(Einkauf!$C$5,Parameter!$G$23:$G$27,0),CY1723,CS1723,CU1723,-CT1723,CW1723)+ROW()/1000000000)</f>
        <v>1.311001723</v>
      </c>
    </row>
    <row r="1724" customFormat="false" ht="15" hidden="false" customHeight="false" outlineLevel="0" collapsed="false">
      <c r="A1724" s="60" t="s">
        <v>3025</v>
      </c>
      <c r="B1724" s="60" t="s">
        <v>3026</v>
      </c>
      <c r="C1724" s="60" t="s">
        <v>206</v>
      </c>
      <c r="D1724" s="60" t="s">
        <v>226</v>
      </c>
      <c r="E1724" s="60"/>
      <c r="F1724" s="60"/>
      <c r="G1724" s="61" t="n">
        <v>15.4</v>
      </c>
      <c r="H1724" s="62" t="n">
        <f aca="false">MAX(0,IF(AND(Parameter!$B$21="Ja",ISNUMBER(Y1724)),Y1724,IF(Parameter!$B$20="Jahresanfang 2025 + Export",BS1724+BR1724,BR1724)))</f>
        <v>39</v>
      </c>
      <c r="I1724" s="62" t="n">
        <f aca="false">H1724*G1724</f>
        <v>600.6</v>
      </c>
      <c r="J1724" s="62" t="n">
        <f aca="false">BU1724*Parameter!$B$18</f>
        <v>0</v>
      </c>
      <c r="K1724" s="63"/>
      <c r="L1724" s="64"/>
      <c r="M1724" s="62" t="n">
        <v>2</v>
      </c>
      <c r="N1724" s="62" t="n">
        <v>20</v>
      </c>
      <c r="O1724" s="65" t="n">
        <v>21</v>
      </c>
      <c r="P1724" s="60" t="s">
        <v>468</v>
      </c>
      <c r="Q1724" s="62" t="n">
        <v>40</v>
      </c>
      <c r="R1724" s="65" t="n">
        <f aca="false">IF(CA1724=1,0,IFERROR(VLOOKUP(BY1724,'Gebinde-Kategorie'!$A$5:$N$45,13,0)+0,0))</f>
        <v>140</v>
      </c>
      <c r="S1724" s="66"/>
      <c r="T1724" s="67"/>
      <c r="U1724" s="67"/>
      <c r="V1724" s="67"/>
      <c r="W1724" s="60"/>
      <c r="X1724" s="62"/>
      <c r="Y1724" s="62"/>
      <c r="Z1724" s="60" t="n">
        <v>2</v>
      </c>
      <c r="AA1724" s="60" t="n">
        <f aca="false">IF(A1724="","",IF(AND(Parameter!$B$21="Ja",ISNUMBER(W1724)),W1724,IF(AND(Parameter!$E$27="Ja",ISNUMBER(Z1724),CD1724&lt;&gt;"Nein"),Z1724,IF(CD1724="2+3",IF(ISNUMBER(SEARCH("grosser Artikel",BV1724)),2,IFERROR(VLOOKUP(BY1724,Parameter!$F$35:$G$64,2,0),2)),IF(OR(CD1724="Nein",CD1724=""),"-",CD1724)))))</f>
        <v>2</v>
      </c>
      <c r="AB1724" s="67"/>
      <c r="AC1724" s="68"/>
      <c r="AD1724" s="62" t="n">
        <f aca="false">AW1724</f>
        <v>22</v>
      </c>
      <c r="AE1724" s="62" t="n">
        <f aca="false">MAX(AW1724,H1724)</f>
        <v>39</v>
      </c>
      <c r="AF1724" s="69"/>
      <c r="AG1724" s="62" t="n">
        <f aca="false">IF(LEFT(Cockpit!$C$5,1)="A",H1724,IF(Parameter!$E$30="MAX-Bestand",IF(CI1724=1,CJ1724,IF(LEFT(Cockpit!$C$5,1)="B",AM1724,MAX(AM1724,H1724))),ROUNDUP(AK1724,0)))</f>
        <v>39</v>
      </c>
      <c r="AH1724" s="62" t="n">
        <f aca="false">IF(CA1724=1,0,ROUNDUP(AG1724/BZ1724,0))</f>
        <v>1</v>
      </c>
      <c r="AI1724" s="64" t="n">
        <f aca="false">IF(CR1724&gt;0,CR1724*MAX(1,AG1724/X1724),IF(CA1724=1,IF(AG1724&lt;=0,0,CE1724*MAX(1,IF(H1724&gt;0,AG1724/H1724,1))),IF(R1724&gt;0,AH1724/R1724,0))/MAX(0.1,N(Parameter!$M$21)))</f>
        <v>0.00714285714285714</v>
      </c>
      <c r="AJ1724" s="62" t="n">
        <f aca="false">AI1724*CC1724</f>
        <v>1.10714285714286</v>
      </c>
      <c r="AK1724" s="63" t="n">
        <f aca="false">IF(LEFT(Cockpit!$C$5,1)="A",H1724,IF(CI1724=1,(CL1724+CJ1724)/2,IF(LEFT(Cockpit!$C$5,1)="B",(CL1724+AM1724)/2,MAX((CL1724+AM1724)/2,H1724))))</f>
        <v>39</v>
      </c>
      <c r="AL1724" s="62" t="n">
        <f aca="false">AK1724*G1724</f>
        <v>600.6</v>
      </c>
      <c r="AM1724" s="62" t="n">
        <f aca="false">ROUNDUP(CL1724+MAX(CM1724,2*(J1724/IF(CH1724&gt;0,CH1724,MAX(0.1,N(Cockpit!$C$6)))-CL1724)),0)</f>
        <v>22</v>
      </c>
      <c r="AN1724" s="63" t="n">
        <f aca="false">IF(AJ1724&gt;0,J1724/AJ1724,-1)</f>
        <v>0</v>
      </c>
      <c r="AO1724" s="63" t="n">
        <f aca="false">IF(AND(OR(CG1724="L1",CG1724="L23",CG1724="LIFT"),AJ1724&gt;0),SUMIFS($AJ$7:$AJ$1843,$CG$7:$CG$1843,CG1724,$AN$7:$AN$1843,"&gt;"&amp;AN1724)+SUMIFS($AJ$7:$AJ$1843,$CG$7:$CG$1843,CG1724,$AN$7:$AN$1843,AN1724,$BX$7:$BX$1843,"&lt;="&amp;BX1724),"")</f>
        <v>32842.0467602078</v>
      </c>
      <c r="AP1724" s="70" t="n">
        <f aca="false">IF(AO1724="",0,MAX(0,MIN(1,(IF(CG1724="L1",Parameter!$H$5,IF(CG1724="L23",Parameter!$H$6+Parameter!$H$7,Parameter!$H$5+Parameter!$H$6+Parameter!$H$7))-(AO1724-AJ1724))/AJ1724)))</f>
        <v>1</v>
      </c>
      <c r="AQ1724" s="62" t="n">
        <f aca="false">IF(LEFT(Cockpit!$I$5,1)="A",H1724,IF(Parameter!$E$30="MAX-Bestand",IF(CI1724=1,CJ1724,IF(LEFT(Cockpit!$I$5,1)="B",AW1724,MAX(AW1724,H1724))),ROUNDUP(AU1724,0)))</f>
        <v>39</v>
      </c>
      <c r="AR1724" s="62" t="n">
        <f aca="false">IF(CA1724=1,0,ROUNDUP(AQ1724/BZ1724,0))</f>
        <v>1</v>
      </c>
      <c r="AS1724" s="64" t="n">
        <f aca="false">IF(CR1724&gt;0,CR1724*MAX(1,AQ1724/X1724),IF(CA1724=1,IF(AQ1724&lt;=0,0,CE1724*MAX(1,IF(H1724&gt;0,AQ1724/H1724,1))),IF(R1724&gt;0,AR1724/R1724,0))/MAX(0.1,N(Parameter!$M$21)))</f>
        <v>0.00714285714285714</v>
      </c>
      <c r="AT1724" s="62" t="n">
        <f aca="false">AS1724*CC1724</f>
        <v>1.10714285714286</v>
      </c>
      <c r="AU1724" s="63" t="n">
        <f aca="false">IF(LEFT(Cockpit!$I$5,1)="A",H1724,IF(CI1724=1,(CL1724+CJ1724)/2,IF(LEFT(Cockpit!$I$5,1)="B",(CL1724+AW1724)/2,MAX((CL1724+AW1724)/2,H1724))))</f>
        <v>39</v>
      </c>
      <c r="AV1724" s="62" t="n">
        <f aca="false">AU1724*G1724</f>
        <v>600.6</v>
      </c>
      <c r="AW1724" s="62" t="n">
        <f aca="false">ROUNDUP(CL1724+MAX(CM1724,2*(J1724/IF(CH1724&gt;0,CH1724,MAX(0.1,N(Cockpit!$I$6)))-CL1724)),0)</f>
        <v>22</v>
      </c>
      <c r="AX1724" s="63" t="n">
        <f aca="false">IF(AT1724&gt;0,J1724/AT1724,-1)</f>
        <v>0</v>
      </c>
      <c r="AY1724" s="63" t="n">
        <f aca="false">IF(AND(OR(CG1724="L1",CG1724="L23",CG1724="LIFT"),AT1724&gt;0),SUMIFS($AT$7:$AT$1843,$CG$7:$CG$1843,CG1724,$AX$7:$AX$1843,"&gt;"&amp;AX1724)+SUMIFS($AT$7:$AT$1843,$CG$7:$CG$1843,CG1724,$AX$7:$AX$1843,AX1724,$BX$7:$BX$1843,"&lt;="&amp;BX1724),"")</f>
        <v>39315.9557050765</v>
      </c>
      <c r="AZ1724" s="70" t="n">
        <f aca="false">IF(AY1724="",0,MAX(0,MIN(1,(IF(CG1724="L1",Parameter!$H$5,IF(CG1724="L23",Parameter!$H$6+Parameter!$H$7,Parameter!$H$5+Parameter!$H$6+Parameter!$H$7))-(AY1724-AT1724))/AT1724)))</f>
        <v>0</v>
      </c>
      <c r="BA1724" s="62" t="n">
        <f aca="false">IF(LEFT(Cockpit!$O$5,1)="A",H1724,IF(Parameter!$E$30="MAX-Bestand",IF(CI1724=1,CJ1724,IF(LEFT(Cockpit!$O$5,1)="B",BG1724,MAX(BG1724,H1724))),ROUNDUP(BE1724,0)))</f>
        <v>12</v>
      </c>
      <c r="BB1724" s="62" t="n">
        <f aca="false">IF(CA1724=1,0,ROUNDUP(BA1724/BZ1724,0))</f>
        <v>1</v>
      </c>
      <c r="BC1724" s="64" t="n">
        <f aca="false">IF(CR1724&gt;0,CR1724*MAX(1,BA1724/X1724),IF(CA1724=1,IF(BA1724&lt;=0,0,CE1724*MAX(1,IF(H1724&gt;0,BA1724/H1724,1))),IF(R1724&gt;0,BB1724/R1724,0))/MAX(0.1,N(Parameter!$M$21)))</f>
        <v>0.00714285714285714</v>
      </c>
      <c r="BD1724" s="62" t="n">
        <f aca="false">BC1724*CC1724</f>
        <v>1.10714285714286</v>
      </c>
      <c r="BE1724" s="63" t="n">
        <f aca="false">IF(LEFT(Cockpit!$O$5,1)="A",H1724,IF(CI1724=1,(CL1724+CJ1724)/2,IF(LEFT(Cockpit!$O$5,1)="B",(CL1724+BG1724)/2,MAX((CL1724+BG1724)/2,H1724))))</f>
        <v>12</v>
      </c>
      <c r="BF1724" s="62" t="n">
        <f aca="false">BE1724*G1724</f>
        <v>184.8</v>
      </c>
      <c r="BG1724" s="62" t="n">
        <f aca="false">ROUNDUP(CL1724+MAX(CM1724,2*(J1724/IF(CH1724&gt;0,CH1724,MAX(0.1,N(Cockpit!$O$6)))-CL1724)),0)</f>
        <v>22</v>
      </c>
      <c r="BH1724" s="63" t="n">
        <f aca="false">IF(BD1724&gt;0,J1724/BD1724,-1)</f>
        <v>0</v>
      </c>
      <c r="BI1724" s="63" t="n">
        <f aca="false">IF(AND(OR(CG1724="L1",CG1724="L23",CG1724="LIFT"),BD1724&gt;0),SUMIFS($BD$7:$BD$1843,$CG$7:$CG$1843,CG1724,$BH$7:$BH$1843,"&gt;"&amp;BH1724)+SUMIFS($BD$7:$BD$1843,$CG$7:$CG$1843,CG1724,$BH$7:$BH$1843,BH1724,$BX$7:$BX$1843,"&lt;="&amp;BX1724),"")</f>
        <v>32545.748171085</v>
      </c>
      <c r="BJ1724" s="70" t="n">
        <f aca="false">IF(BI1724="",0,MAX(0,MIN(1,(IF(CG1724="L1",Parameter!$H$5,IF(CG1724="L23",Parameter!$H$6+Parameter!$H$7,Parameter!$H$5+Parameter!$H$6+Parameter!$H$7))-(BI1724-BD1724))/BD1724)))</f>
        <v>1</v>
      </c>
      <c r="BK1724" s="60" t="str">
        <f aca="false">IF(AJ1724&lt;=0,"",IF(CG1724="Aussen","Aussenlager",IF(CG1724="-","Nicht im Lift",IF(AP1724&gt;=1,"Lift",IF(AP1724&lt;=0,"Aussenlager","teilweise")))))</f>
        <v>Lift</v>
      </c>
      <c r="BL1724" s="60" t="str">
        <f aca="false">IF(AT1724&lt;=0,"",IF(CG1724="Aussen","Aussenlager",IF(CG1724="-","Nicht im Lift",IF(AZ1724&gt;=1,"Lift",IF(AZ1724&lt;=0,"Aussenlager","teilweise")))))</f>
        <v>Aussenlager</v>
      </c>
      <c r="BM1724" s="60" t="str">
        <f aca="false">IF(BD1724&lt;=0,"",IF(CG1724="Aussen","Aussenlager",IF(CG1724="-","Nicht im Lift",IF(BJ1724&gt;=1,"Lift",IF(BJ1724&lt;=0,"Aussenlager","teilweise")))))</f>
        <v>Lift</v>
      </c>
      <c r="BN1724" s="60" t="str">
        <f aca="false">IF(A1724="","",IF(BW1724=1,"Neu; ","")&amp;IF(AND(BW1724=0,BR1724&lt;0),"negativer Bestand (Export "&amp;BR1724&amp;"); ","")&amp;IF(J1724&lt;=0,"Kein Verbrauch; ","")&amp;IF(CR1724&gt;0,"Lift "&amp;W1724&amp;" lt. Liftbericht (Fach "&amp;X1724&amp;" Stk); ",IF(CB1724=1,"Gebinde geschätzt ("&amp;T1724&amp;"); ",IF(CA1724=1,"Lose – Tablare geschätzt; ","")))&amp;IF(H1724&gt;AW1724,"Überbestand "&amp;ROUND(H1724-AW1724,0)&amp;" Stk / CHF "&amp;ROUND((H1724-AW1724)*G1724,0)&amp;"; ","")&amp;IF(AND(CI1724=1,CJ1724&lt;CK1724),"MAX &lt; MB+LG; ","")&amp;IF(AND(CQ1724&gt;0,CP1724*10&gt;CQ1724),"zu hoch für Tablar; ","")&amp;IF(AND(BW1724=0,OR(CI1724=1,AB1724&lt;&gt;"",U1724&lt;&gt;"",V1724&lt;&gt;"",AC1724&lt;&gt;"")),"manuell übersteuert; ","")&amp;IF(AND(CA1724=0,R1724=0),"Gebinde unbekannt / Stellmass fehlt; ","")&amp;IF(AND(CA1724=0,N(V1724)&lt;=0,N(Q1724)&lt;=0),"Menge pro Gebinde fehlt (Ist = 1 Gebinde); ","")&amp;BV1724)</f>
        <v>Kein Verbrauch; Überbestand 17 Stk / CHF 262; nur im Artikelstamm (Bestand 23.06.2026); Neuer Art.</v>
      </c>
      <c r="BO1724" s="60"/>
      <c r="BP1724" s="60"/>
      <c r="BQ1724" s="67"/>
      <c r="BR1724" s="62" t="n">
        <v>39</v>
      </c>
      <c r="BS1724" s="62" t="n">
        <v>0</v>
      </c>
      <c r="BT1724" s="61" t="n">
        <v>0</v>
      </c>
      <c r="BU1724" s="62" t="n">
        <v>0</v>
      </c>
      <c r="BV1724" s="60" t="s">
        <v>2915</v>
      </c>
      <c r="BW1724" s="65" t="n">
        <v>0</v>
      </c>
      <c r="BX1724" s="65" t="n">
        <v>1724</v>
      </c>
      <c r="BY1724" s="60" t="str">
        <f aca="false">IF(U1724&lt;&gt;"",UPPER(TRIM(U1724)),IF(CB1724=1,UPPER(VLOOKUP(T1724,Parameter!$I$27:$K$29,2,0)),IF(P1724="","LOSE",P1724)))</f>
        <v>S22</v>
      </c>
      <c r="BZ1724" s="62" t="n">
        <f aca="false">IF(BY1724="LOSE",1,IF(N(V1724)&gt;0,V1724,IF(CB1724=1,MAX(1,N(VLOOKUP(T1724,Parameter!$I$27:$K$29,3,0)),H1724,N(N1724)),IF(N(Q1724)&gt;0,Q1724,MAX(1,H1724)))))</f>
        <v>40</v>
      </c>
      <c r="CA1724" s="65" t="n">
        <f aca="false">IF(BY1724="LOSE",1,0)</f>
        <v>0</v>
      </c>
      <c r="CB1724" s="65" t="n">
        <f aca="false">IF(AND(U1724="",OR(P1724="",P1724="LOSE"),T1724&lt;&gt;"",N(S1724)&lt;=0,ISNUMBER(MATCH(T1724,Parameter!$I$27:$I$29,0))),1,0)</f>
        <v>0</v>
      </c>
      <c r="CC1724" s="65" t="n">
        <f aca="false">IF(CR1724&gt;0,INDEX(Parameter!$H$5:$H$7,W1724)/INDEX(Parameter!$E$5:$E$7,W1724),IF(AND(CA1724=0,N(IFERROR(VLOOKUP(BY1724,'Gebinde-Kategorie'!$A$5:$N$45,14,0),0))&gt;0),VLOOKUP(BY1724,'Gebinde-Kategorie'!$A$5:$N$45,14,0)*10+Parameter!$M$23,Parameter!$M$24))</f>
        <v>155</v>
      </c>
      <c r="CD1724" s="60" t="str">
        <f aca="false">IF(AND(Parameter!$B$19="Ja",E1724&lt;&gt;"",ISNUMBER(MATCH(E1724,Parameter!$I$35:$I$52,0))),VLOOKUP(E1724,Parameter!$I$35:$J$52,2,0),IFERROR(VLOOKUP(D1724,Parameter!$A$35:$C$64,2,0),"Nein"))</f>
        <v>2+3</v>
      </c>
      <c r="CE1724" s="64" t="n">
        <f aca="false">IF(CA1724=0,0,IF(N(S1724)&gt;0,S1724,IFERROR(VLOOKUP(D1724,Parameter!$A$35:$C$64,3,0)+0,0)))</f>
        <v>0</v>
      </c>
      <c r="CF1724" s="60" t="n">
        <f aca="false">IF(AB1724&lt;&gt;"",AB1724,AA1724)</f>
        <v>2</v>
      </c>
      <c r="CG1724" s="60" t="str">
        <f aca="false">IF(OR(CF1724=1,CF1724=2,CF1724=3),IF(Parameter!$E$27="Ja","LIFT",IF(CF1724=1,"L1","L23")),IF(CF1724="Aussen","Aussen","-"))</f>
        <v>LIFT</v>
      </c>
      <c r="CH1724" s="71" t="n">
        <f aca="false">IF(N(AC1724)&gt;0,AC1724,0)</f>
        <v>0</v>
      </c>
      <c r="CI1724" s="65" t="n">
        <f aca="false">IF(ISNUMBER(AF1724),1,0)</f>
        <v>0</v>
      </c>
      <c r="CJ1724" s="62" t="n">
        <f aca="false">N(AF1724)</f>
        <v>0</v>
      </c>
      <c r="CK1724" s="62" t="n">
        <f aca="false">N(M1724)+N(N1724)</f>
        <v>22</v>
      </c>
      <c r="CL1724" s="62" t="n">
        <f aca="false">N(M1724)</f>
        <v>2</v>
      </c>
      <c r="CM1724" s="62" t="n">
        <f aca="false">N(N1724)</f>
        <v>20</v>
      </c>
      <c r="CN1724" s="62" t="n">
        <f aca="false">ROUNDUP(H1724/BZ1724,0)</f>
        <v>1</v>
      </c>
      <c r="CO1724" s="62" t="n">
        <f aca="false">ROUNDUP(CJ1724/BZ1724,0)</f>
        <v>0</v>
      </c>
      <c r="CP1724" s="65" t="n">
        <f aca="false">IF(CA1724=1,0,IFERROR(VLOOKUP(BY1724,'Gebinde-Kategorie'!$A$5:$N$45,5,0)+0,0))</f>
        <v>8</v>
      </c>
      <c r="CQ1724" s="65" t="n">
        <f aca="false">IFERROR(IF(OR(CF1724=1,CF1724=2,CF1724=3),N(INDEX(Parameter!$I$5:$I$7,CF1724)),0),0)</f>
        <v>0</v>
      </c>
      <c r="CR1724" s="64" t="n">
        <f aca="false">IF(AND(Parameter!$B$21="Ja",ISNUMBER(W1724),N(X1724)&gt;0),IFERROR(N(INDEX(Parameter!$L$5:$L$7,W1724))*INDEX(Parameter!$E$5:$E$7,W1724)*X1724/SUMIFS($X$7:$X$1843,$W$7:$W$1843,W1724),0),0)</f>
        <v>0</v>
      </c>
      <c r="CS1724" s="62" t="n">
        <f aca="false">IF(AND(OR(CG1724="L1",CG1724="L23",CG1724="LIFT"),H1724&gt;0),CC1724*IF(CR1724&gt;0,CR1724*MAX(1,H1724/X1724),IF(CA1724=1,CE1724,IF(R1724&gt;0,CN1724/R1724,0))/MAX(0.1,N(Parameter!$M$21))),"")</f>
        <v>1.10714285714286</v>
      </c>
      <c r="CT1724" s="64" t="n">
        <f aca="false">IF(CS1724="","",J1724/H1724)</f>
        <v>0</v>
      </c>
      <c r="CU1724" s="62" t="n">
        <f aca="false">IF(CS1724="","",H1724*G1724)</f>
        <v>600.6</v>
      </c>
      <c r="CV1724" s="63" t="n">
        <f aca="false">IF(CS1724="","",(CL1724+ROUNDUP(CL1724+MAX(CM1724,2*(J1724/MAX(0.1,N(Einkauf!$C$6))-CL1724)),0))/2)</f>
        <v>12</v>
      </c>
      <c r="CW1724" s="62" t="n">
        <f aca="false">IF(CS1724="","",MAX(0,H1724-CV1724)*G1724)</f>
        <v>415.8</v>
      </c>
      <c r="CX1724" s="62" t="n">
        <f aca="false">IF(CS1724="","",CS1724*MAX(0,1-CV1724/H1724))</f>
        <v>0.766483516483517</v>
      </c>
      <c r="CY1724" s="64" t="n">
        <f aca="false">IF(CS1724="","",PERCENTRANK($CS$7:$CS$1843,CS1724)+PERCENTRANK($CU$7:$CU$1843,CU1724)+1-PERCENTRANK($CT$7:$CT$1843,CT1724))</f>
        <v>1.6064</v>
      </c>
      <c r="CZ1724" s="72" t="n">
        <f aca="false">IF(CS1724="","",CHOOSE(MATCH(Einkauf!$C$5,Parameter!$G$23:$G$27,0),CY1724,CS1724,CU1724,-CT1724,CW1724)+ROW()/1000000000)</f>
        <v>1.606401724</v>
      </c>
    </row>
    <row r="1725" customFormat="false" ht="15" hidden="false" customHeight="false" outlineLevel="0" collapsed="false">
      <c r="A1725" s="60" t="s">
        <v>3027</v>
      </c>
      <c r="B1725" s="60" t="s">
        <v>3028</v>
      </c>
      <c r="C1725" s="60" t="s">
        <v>206</v>
      </c>
      <c r="D1725" s="60" t="s">
        <v>226</v>
      </c>
      <c r="E1725" s="60"/>
      <c r="F1725" s="60"/>
      <c r="G1725" s="61" t="n">
        <v>18.37</v>
      </c>
      <c r="H1725" s="62" t="n">
        <f aca="false">MAX(0,IF(AND(Parameter!$B$21="Ja",ISNUMBER(Y1725)),Y1725,IF(Parameter!$B$20="Jahresanfang 2025 + Export",BS1725+BR1725,BR1725)))</f>
        <v>39</v>
      </c>
      <c r="I1725" s="62" t="n">
        <f aca="false">H1725*G1725</f>
        <v>716.43</v>
      </c>
      <c r="J1725" s="62" t="n">
        <f aca="false">BU1725*Parameter!$B$18</f>
        <v>0</v>
      </c>
      <c r="K1725" s="63"/>
      <c r="L1725" s="64"/>
      <c r="M1725" s="62" t="n">
        <v>2</v>
      </c>
      <c r="N1725" s="62" t="n">
        <v>20</v>
      </c>
      <c r="O1725" s="65" t="n">
        <v>21</v>
      </c>
      <c r="P1725" s="60" t="s">
        <v>468</v>
      </c>
      <c r="Q1725" s="62" t="n">
        <v>40</v>
      </c>
      <c r="R1725" s="65" t="n">
        <f aca="false">IF(CA1725=1,0,IFERROR(VLOOKUP(BY1725,'Gebinde-Kategorie'!$A$5:$N$45,13,0)+0,0))</f>
        <v>140</v>
      </c>
      <c r="S1725" s="66"/>
      <c r="T1725" s="67"/>
      <c r="U1725" s="67"/>
      <c r="V1725" s="67"/>
      <c r="W1725" s="60"/>
      <c r="X1725" s="62"/>
      <c r="Y1725" s="62"/>
      <c r="Z1725" s="60" t="n">
        <v>2</v>
      </c>
      <c r="AA1725" s="60" t="n">
        <f aca="false">IF(A1725="","",IF(AND(Parameter!$B$21="Ja",ISNUMBER(W1725)),W1725,IF(AND(Parameter!$E$27="Ja",ISNUMBER(Z1725),CD1725&lt;&gt;"Nein"),Z1725,IF(CD1725="2+3",IF(ISNUMBER(SEARCH("grosser Artikel",BV1725)),2,IFERROR(VLOOKUP(BY1725,Parameter!$F$35:$G$64,2,0),2)),IF(OR(CD1725="Nein",CD1725=""),"-",CD1725)))))</f>
        <v>2</v>
      </c>
      <c r="AB1725" s="67"/>
      <c r="AC1725" s="68"/>
      <c r="AD1725" s="62" t="n">
        <f aca="false">AW1725</f>
        <v>22</v>
      </c>
      <c r="AE1725" s="62" t="n">
        <f aca="false">MAX(AW1725,H1725)</f>
        <v>39</v>
      </c>
      <c r="AF1725" s="69"/>
      <c r="AG1725" s="62" t="n">
        <f aca="false">IF(LEFT(Cockpit!$C$5,1)="A",H1725,IF(Parameter!$E$30="MAX-Bestand",IF(CI1725=1,CJ1725,IF(LEFT(Cockpit!$C$5,1)="B",AM1725,MAX(AM1725,H1725))),ROUNDUP(AK1725,0)))</f>
        <v>39</v>
      </c>
      <c r="AH1725" s="62" t="n">
        <f aca="false">IF(CA1725=1,0,ROUNDUP(AG1725/BZ1725,0))</f>
        <v>1</v>
      </c>
      <c r="AI1725" s="64" t="n">
        <f aca="false">IF(CR1725&gt;0,CR1725*MAX(1,AG1725/X1725),IF(CA1725=1,IF(AG1725&lt;=0,0,CE1725*MAX(1,IF(H1725&gt;0,AG1725/H1725,1))),IF(R1725&gt;0,AH1725/R1725,0))/MAX(0.1,N(Parameter!$M$21)))</f>
        <v>0.00714285714285714</v>
      </c>
      <c r="AJ1725" s="62" t="n">
        <f aca="false">AI1725*CC1725</f>
        <v>1.10714285714286</v>
      </c>
      <c r="AK1725" s="63" t="n">
        <f aca="false">IF(LEFT(Cockpit!$C$5,1)="A",H1725,IF(CI1725=1,(CL1725+CJ1725)/2,IF(LEFT(Cockpit!$C$5,1)="B",(CL1725+AM1725)/2,MAX((CL1725+AM1725)/2,H1725))))</f>
        <v>39</v>
      </c>
      <c r="AL1725" s="62" t="n">
        <f aca="false">AK1725*G1725</f>
        <v>716.43</v>
      </c>
      <c r="AM1725" s="62" t="n">
        <f aca="false">ROUNDUP(CL1725+MAX(CM1725,2*(J1725/IF(CH1725&gt;0,CH1725,MAX(0.1,N(Cockpit!$C$6)))-CL1725)),0)</f>
        <v>22</v>
      </c>
      <c r="AN1725" s="63" t="n">
        <f aca="false">IF(AJ1725&gt;0,J1725/AJ1725,-1)</f>
        <v>0</v>
      </c>
      <c r="AO1725" s="63" t="n">
        <f aca="false">IF(AND(OR(CG1725="L1",CG1725="L23",CG1725="LIFT"),AJ1725&gt;0),SUMIFS($AJ$7:$AJ$1843,$CG$7:$CG$1843,CG1725,$AN$7:$AN$1843,"&gt;"&amp;AN1725)+SUMIFS($AJ$7:$AJ$1843,$CG$7:$CG$1843,CG1725,$AN$7:$AN$1843,AN1725,$BX$7:$BX$1843,"&lt;="&amp;BX1725),"")</f>
        <v>32843.1539030649</v>
      </c>
      <c r="AP1725" s="70" t="n">
        <f aca="false">IF(AO1725="",0,MAX(0,MIN(1,(IF(CG1725="L1",Parameter!$H$5,IF(CG1725="L23",Parameter!$H$6+Parameter!$H$7,Parameter!$H$5+Parameter!$H$6+Parameter!$H$7))-(AO1725-AJ1725))/AJ1725)))</f>
        <v>1</v>
      </c>
      <c r="AQ1725" s="62" t="n">
        <f aca="false">IF(LEFT(Cockpit!$I$5,1)="A",H1725,IF(Parameter!$E$30="MAX-Bestand",IF(CI1725=1,CJ1725,IF(LEFT(Cockpit!$I$5,1)="B",AW1725,MAX(AW1725,H1725))),ROUNDUP(AU1725,0)))</f>
        <v>39</v>
      </c>
      <c r="AR1725" s="62" t="n">
        <f aca="false">IF(CA1725=1,0,ROUNDUP(AQ1725/BZ1725,0))</f>
        <v>1</v>
      </c>
      <c r="AS1725" s="64" t="n">
        <f aca="false">IF(CR1725&gt;0,CR1725*MAX(1,AQ1725/X1725),IF(CA1725=1,IF(AQ1725&lt;=0,0,CE1725*MAX(1,IF(H1725&gt;0,AQ1725/H1725,1))),IF(R1725&gt;0,AR1725/R1725,0))/MAX(0.1,N(Parameter!$M$21)))</f>
        <v>0.00714285714285714</v>
      </c>
      <c r="AT1725" s="62" t="n">
        <f aca="false">AS1725*CC1725</f>
        <v>1.10714285714286</v>
      </c>
      <c r="AU1725" s="63" t="n">
        <f aca="false">IF(LEFT(Cockpit!$I$5,1)="A",H1725,IF(CI1725=1,(CL1725+CJ1725)/2,IF(LEFT(Cockpit!$I$5,1)="B",(CL1725+AW1725)/2,MAX((CL1725+AW1725)/2,H1725))))</f>
        <v>39</v>
      </c>
      <c r="AV1725" s="62" t="n">
        <f aca="false">AU1725*G1725</f>
        <v>716.43</v>
      </c>
      <c r="AW1725" s="62" t="n">
        <f aca="false">ROUNDUP(CL1725+MAX(CM1725,2*(J1725/IF(CH1725&gt;0,CH1725,MAX(0.1,N(Cockpit!$I$6)))-CL1725)),0)</f>
        <v>22</v>
      </c>
      <c r="AX1725" s="63" t="n">
        <f aca="false">IF(AT1725&gt;0,J1725/AT1725,-1)</f>
        <v>0</v>
      </c>
      <c r="AY1725" s="63" t="n">
        <f aca="false">IF(AND(OR(CG1725="L1",CG1725="L23",CG1725="LIFT"),AT1725&gt;0),SUMIFS($AT$7:$AT$1843,$CG$7:$CG$1843,CG1725,$AX$7:$AX$1843,"&gt;"&amp;AX1725)+SUMIFS($AT$7:$AT$1843,$CG$7:$CG$1843,CG1725,$AX$7:$AX$1843,AX1725,$BX$7:$BX$1843,"&lt;="&amp;BX1725),"")</f>
        <v>39317.0628479336</v>
      </c>
      <c r="AZ1725" s="70" t="n">
        <f aca="false">IF(AY1725="",0,MAX(0,MIN(1,(IF(CG1725="L1",Parameter!$H$5,IF(CG1725="L23",Parameter!$H$6+Parameter!$H$7,Parameter!$H$5+Parameter!$H$6+Parameter!$H$7))-(AY1725-AT1725))/AT1725)))</f>
        <v>0</v>
      </c>
      <c r="BA1725" s="62" t="n">
        <f aca="false">IF(LEFT(Cockpit!$O$5,1)="A",H1725,IF(Parameter!$E$30="MAX-Bestand",IF(CI1725=1,CJ1725,IF(LEFT(Cockpit!$O$5,1)="B",BG1725,MAX(BG1725,H1725))),ROUNDUP(BE1725,0)))</f>
        <v>12</v>
      </c>
      <c r="BB1725" s="62" t="n">
        <f aca="false">IF(CA1725=1,0,ROUNDUP(BA1725/BZ1725,0))</f>
        <v>1</v>
      </c>
      <c r="BC1725" s="64" t="n">
        <f aca="false">IF(CR1725&gt;0,CR1725*MAX(1,BA1725/X1725),IF(CA1725=1,IF(BA1725&lt;=0,0,CE1725*MAX(1,IF(H1725&gt;0,BA1725/H1725,1))),IF(R1725&gt;0,BB1725/R1725,0))/MAX(0.1,N(Parameter!$M$21)))</f>
        <v>0.00714285714285714</v>
      </c>
      <c r="BD1725" s="62" t="n">
        <f aca="false">BC1725*CC1725</f>
        <v>1.10714285714286</v>
      </c>
      <c r="BE1725" s="63" t="n">
        <f aca="false">IF(LEFT(Cockpit!$O$5,1)="A",H1725,IF(CI1725=1,(CL1725+CJ1725)/2,IF(LEFT(Cockpit!$O$5,1)="B",(CL1725+BG1725)/2,MAX((CL1725+BG1725)/2,H1725))))</f>
        <v>12</v>
      </c>
      <c r="BF1725" s="62" t="n">
        <f aca="false">BE1725*G1725</f>
        <v>220.44</v>
      </c>
      <c r="BG1725" s="62" t="n">
        <f aca="false">ROUNDUP(CL1725+MAX(CM1725,2*(J1725/IF(CH1725&gt;0,CH1725,MAX(0.1,N(Cockpit!$O$6)))-CL1725)),0)</f>
        <v>22</v>
      </c>
      <c r="BH1725" s="63" t="n">
        <f aca="false">IF(BD1725&gt;0,J1725/BD1725,-1)</f>
        <v>0</v>
      </c>
      <c r="BI1725" s="63" t="n">
        <f aca="false">IF(AND(OR(CG1725="L1",CG1725="L23",CG1725="LIFT"),BD1725&gt;0),SUMIFS($BD$7:$BD$1843,$CG$7:$CG$1843,CG1725,$BH$7:$BH$1843,"&gt;"&amp;BH1725)+SUMIFS($BD$7:$BD$1843,$CG$7:$CG$1843,CG1725,$BH$7:$BH$1843,BH1725,$BX$7:$BX$1843,"&lt;="&amp;BX1725),"")</f>
        <v>32546.8553139422</v>
      </c>
      <c r="BJ1725" s="70" t="n">
        <f aca="false">IF(BI1725="",0,MAX(0,MIN(1,(IF(CG1725="L1",Parameter!$H$5,IF(CG1725="L23",Parameter!$H$6+Parameter!$H$7,Parameter!$H$5+Parameter!$H$6+Parameter!$H$7))-(BI1725-BD1725))/BD1725)))</f>
        <v>1</v>
      </c>
      <c r="BK1725" s="60" t="str">
        <f aca="false">IF(AJ1725&lt;=0,"",IF(CG1725="Aussen","Aussenlager",IF(CG1725="-","Nicht im Lift",IF(AP1725&gt;=1,"Lift",IF(AP1725&lt;=0,"Aussenlager","teilweise")))))</f>
        <v>Lift</v>
      </c>
      <c r="BL1725" s="60" t="str">
        <f aca="false">IF(AT1725&lt;=0,"",IF(CG1725="Aussen","Aussenlager",IF(CG1725="-","Nicht im Lift",IF(AZ1725&gt;=1,"Lift",IF(AZ1725&lt;=0,"Aussenlager","teilweise")))))</f>
        <v>Aussenlager</v>
      </c>
      <c r="BM1725" s="60" t="str">
        <f aca="false">IF(BD1725&lt;=0,"",IF(CG1725="Aussen","Aussenlager",IF(CG1725="-","Nicht im Lift",IF(BJ1725&gt;=1,"Lift",IF(BJ1725&lt;=0,"Aussenlager","teilweise")))))</f>
        <v>Lift</v>
      </c>
      <c r="BN1725" s="60" t="str">
        <f aca="false">IF(A1725="","",IF(BW1725=1,"Neu; ","")&amp;IF(AND(BW1725=0,BR1725&lt;0),"negativer Bestand (Export "&amp;BR1725&amp;"); ","")&amp;IF(J1725&lt;=0,"Kein Verbrauch; ","")&amp;IF(CR1725&gt;0,"Lift "&amp;W1725&amp;" lt. Liftbericht (Fach "&amp;X1725&amp;" Stk); ",IF(CB1725=1,"Gebinde geschätzt ("&amp;T1725&amp;"); ",IF(CA1725=1,"Lose – Tablare geschätzt; ","")))&amp;IF(H1725&gt;AW1725,"Überbestand "&amp;ROUND(H1725-AW1725,0)&amp;" Stk / CHF "&amp;ROUND((H1725-AW1725)*G1725,0)&amp;"; ","")&amp;IF(AND(CI1725=1,CJ1725&lt;CK1725),"MAX &lt; MB+LG; ","")&amp;IF(AND(CQ1725&gt;0,CP1725*10&gt;CQ1725),"zu hoch für Tablar; ","")&amp;IF(AND(BW1725=0,OR(CI1725=1,AB1725&lt;&gt;"",U1725&lt;&gt;"",V1725&lt;&gt;"",AC1725&lt;&gt;"")),"manuell übersteuert; ","")&amp;IF(AND(CA1725=0,R1725=0),"Gebinde unbekannt / Stellmass fehlt; ","")&amp;IF(AND(CA1725=0,N(V1725)&lt;=0,N(Q1725)&lt;=0),"Menge pro Gebinde fehlt (Ist = 1 Gebinde); ","")&amp;BV1725)</f>
        <v>Kein Verbrauch; Überbestand 17 Stk / CHF 312; nur im Artikelstamm (Bestand 23.06.2026); Neuer Art.</v>
      </c>
      <c r="BO1725" s="60"/>
      <c r="BP1725" s="60"/>
      <c r="BQ1725" s="67"/>
      <c r="BR1725" s="62" t="n">
        <v>39</v>
      </c>
      <c r="BS1725" s="62" t="n">
        <v>0</v>
      </c>
      <c r="BT1725" s="61" t="n">
        <v>0</v>
      </c>
      <c r="BU1725" s="62" t="n">
        <v>0</v>
      </c>
      <c r="BV1725" s="60" t="s">
        <v>2915</v>
      </c>
      <c r="BW1725" s="65" t="n">
        <v>0</v>
      </c>
      <c r="BX1725" s="65" t="n">
        <v>1725</v>
      </c>
      <c r="BY1725" s="60" t="str">
        <f aca="false">IF(U1725&lt;&gt;"",UPPER(TRIM(U1725)),IF(CB1725=1,UPPER(VLOOKUP(T1725,Parameter!$I$27:$K$29,2,0)),IF(P1725="","LOSE",P1725)))</f>
        <v>S22</v>
      </c>
      <c r="BZ1725" s="62" t="n">
        <f aca="false">IF(BY1725="LOSE",1,IF(N(V1725)&gt;0,V1725,IF(CB1725=1,MAX(1,N(VLOOKUP(T1725,Parameter!$I$27:$K$29,3,0)),H1725,N(N1725)),IF(N(Q1725)&gt;0,Q1725,MAX(1,H1725)))))</f>
        <v>40</v>
      </c>
      <c r="CA1725" s="65" t="n">
        <f aca="false">IF(BY1725="LOSE",1,0)</f>
        <v>0</v>
      </c>
      <c r="CB1725" s="65" t="n">
        <f aca="false">IF(AND(U1725="",OR(P1725="",P1725="LOSE"),T1725&lt;&gt;"",N(S1725)&lt;=0,ISNUMBER(MATCH(T1725,Parameter!$I$27:$I$29,0))),1,0)</f>
        <v>0</v>
      </c>
      <c r="CC1725" s="65" t="n">
        <f aca="false">IF(CR1725&gt;0,INDEX(Parameter!$H$5:$H$7,W1725)/INDEX(Parameter!$E$5:$E$7,W1725),IF(AND(CA1725=0,N(IFERROR(VLOOKUP(BY1725,'Gebinde-Kategorie'!$A$5:$N$45,14,0),0))&gt;0),VLOOKUP(BY1725,'Gebinde-Kategorie'!$A$5:$N$45,14,0)*10+Parameter!$M$23,Parameter!$M$24))</f>
        <v>155</v>
      </c>
      <c r="CD1725" s="60" t="str">
        <f aca="false">IF(AND(Parameter!$B$19="Ja",E1725&lt;&gt;"",ISNUMBER(MATCH(E1725,Parameter!$I$35:$I$52,0))),VLOOKUP(E1725,Parameter!$I$35:$J$52,2,0),IFERROR(VLOOKUP(D1725,Parameter!$A$35:$C$64,2,0),"Nein"))</f>
        <v>2+3</v>
      </c>
      <c r="CE1725" s="64" t="n">
        <f aca="false">IF(CA1725=0,0,IF(N(S1725)&gt;0,S1725,IFERROR(VLOOKUP(D1725,Parameter!$A$35:$C$64,3,0)+0,0)))</f>
        <v>0</v>
      </c>
      <c r="CF1725" s="60" t="n">
        <f aca="false">IF(AB1725&lt;&gt;"",AB1725,AA1725)</f>
        <v>2</v>
      </c>
      <c r="CG1725" s="60" t="str">
        <f aca="false">IF(OR(CF1725=1,CF1725=2,CF1725=3),IF(Parameter!$E$27="Ja","LIFT",IF(CF1725=1,"L1","L23")),IF(CF1725="Aussen","Aussen","-"))</f>
        <v>LIFT</v>
      </c>
      <c r="CH1725" s="71" t="n">
        <f aca="false">IF(N(AC1725)&gt;0,AC1725,0)</f>
        <v>0</v>
      </c>
      <c r="CI1725" s="65" t="n">
        <f aca="false">IF(ISNUMBER(AF1725),1,0)</f>
        <v>0</v>
      </c>
      <c r="CJ1725" s="62" t="n">
        <f aca="false">N(AF1725)</f>
        <v>0</v>
      </c>
      <c r="CK1725" s="62" t="n">
        <f aca="false">N(M1725)+N(N1725)</f>
        <v>22</v>
      </c>
      <c r="CL1725" s="62" t="n">
        <f aca="false">N(M1725)</f>
        <v>2</v>
      </c>
      <c r="CM1725" s="62" t="n">
        <f aca="false">N(N1725)</f>
        <v>20</v>
      </c>
      <c r="CN1725" s="62" t="n">
        <f aca="false">ROUNDUP(H1725/BZ1725,0)</f>
        <v>1</v>
      </c>
      <c r="CO1725" s="62" t="n">
        <f aca="false">ROUNDUP(CJ1725/BZ1725,0)</f>
        <v>0</v>
      </c>
      <c r="CP1725" s="65" t="n">
        <f aca="false">IF(CA1725=1,0,IFERROR(VLOOKUP(BY1725,'Gebinde-Kategorie'!$A$5:$N$45,5,0)+0,0))</f>
        <v>8</v>
      </c>
      <c r="CQ1725" s="65" t="n">
        <f aca="false">IFERROR(IF(OR(CF1725=1,CF1725=2,CF1725=3),N(INDEX(Parameter!$I$5:$I$7,CF1725)),0),0)</f>
        <v>0</v>
      </c>
      <c r="CR1725" s="64" t="n">
        <f aca="false">IF(AND(Parameter!$B$21="Ja",ISNUMBER(W1725),N(X1725)&gt;0),IFERROR(N(INDEX(Parameter!$L$5:$L$7,W1725))*INDEX(Parameter!$E$5:$E$7,W1725)*X1725/SUMIFS($X$7:$X$1843,$W$7:$W$1843,W1725),0),0)</f>
        <v>0</v>
      </c>
      <c r="CS1725" s="62" t="n">
        <f aca="false">IF(AND(OR(CG1725="L1",CG1725="L23",CG1725="LIFT"),H1725&gt;0),CC1725*IF(CR1725&gt;0,CR1725*MAX(1,H1725/X1725),IF(CA1725=1,CE1725,IF(R1725&gt;0,CN1725/R1725,0))/MAX(0.1,N(Parameter!$M$21))),"")</f>
        <v>1.10714285714286</v>
      </c>
      <c r="CT1725" s="64" t="n">
        <f aca="false">IF(CS1725="","",J1725/H1725)</f>
        <v>0</v>
      </c>
      <c r="CU1725" s="62" t="n">
        <f aca="false">IF(CS1725="","",H1725*G1725)</f>
        <v>716.43</v>
      </c>
      <c r="CV1725" s="63" t="n">
        <f aca="false">IF(CS1725="","",(CL1725+ROUNDUP(CL1725+MAX(CM1725,2*(J1725/MAX(0.1,N(Einkauf!$C$6))-CL1725)),0))/2)</f>
        <v>12</v>
      </c>
      <c r="CW1725" s="62" t="n">
        <f aca="false">IF(CS1725="","",MAX(0,H1725-CV1725)*G1725)</f>
        <v>495.99</v>
      </c>
      <c r="CX1725" s="62" t="n">
        <f aca="false">IF(CS1725="","",CS1725*MAX(0,1-CV1725/H1725))</f>
        <v>0.766483516483517</v>
      </c>
      <c r="CY1725" s="64" t="n">
        <f aca="false">IF(CS1725="","",PERCENTRANK($CS$7:$CS$1843,CS1725)+PERCENTRANK($CU$7:$CU$1843,CU1725)+1-PERCENTRANK($CT$7:$CT$1843,CT1725))</f>
        <v>1.6404</v>
      </c>
      <c r="CZ1725" s="72" t="n">
        <f aca="false">IF(CS1725="","",CHOOSE(MATCH(Einkauf!$C$5,Parameter!$G$23:$G$27,0),CY1725,CS1725,CU1725,-CT1725,CW1725)+ROW()/1000000000)</f>
        <v>1.640401725</v>
      </c>
    </row>
    <row r="1726" customFormat="false" ht="15" hidden="false" customHeight="false" outlineLevel="0" collapsed="false">
      <c r="A1726" s="60" t="s">
        <v>3029</v>
      </c>
      <c r="B1726" s="60" t="s">
        <v>409</v>
      </c>
      <c r="C1726" s="60" t="s">
        <v>206</v>
      </c>
      <c r="D1726" s="60" t="s">
        <v>226</v>
      </c>
      <c r="E1726" s="60"/>
      <c r="F1726" s="60"/>
      <c r="G1726" s="61" t="n">
        <v>6.75</v>
      </c>
      <c r="H1726" s="62" t="n">
        <f aca="false">MAX(0,IF(AND(Parameter!$B$21="Ja",ISNUMBER(Y1726)),Y1726,IF(Parameter!$B$20="Jahresanfang 2025 + Export",BS1726+BR1726,BR1726)))</f>
        <v>24</v>
      </c>
      <c r="I1726" s="62" t="n">
        <f aca="false">H1726*G1726</f>
        <v>162</v>
      </c>
      <c r="J1726" s="62" t="n">
        <f aca="false">BU1726*Parameter!$B$18</f>
        <v>0</v>
      </c>
      <c r="K1726" s="63"/>
      <c r="L1726" s="64"/>
      <c r="M1726" s="62" t="n">
        <v>0</v>
      </c>
      <c r="N1726" s="62" t="n">
        <v>15</v>
      </c>
      <c r="O1726" s="65" t="n">
        <v>14</v>
      </c>
      <c r="P1726" s="60" t="s">
        <v>443</v>
      </c>
      <c r="Q1726" s="62" t="n">
        <v>25</v>
      </c>
      <c r="R1726" s="65" t="n">
        <f aca="false">IF(CA1726=1,0,IFERROR(VLOOKUP(BY1726,'Gebinde-Kategorie'!$A$5:$N$45,13,0)+0,0))</f>
        <v>280</v>
      </c>
      <c r="S1726" s="66"/>
      <c r="T1726" s="67"/>
      <c r="U1726" s="67"/>
      <c r="V1726" s="67"/>
      <c r="W1726" s="60"/>
      <c r="X1726" s="62"/>
      <c r="Y1726" s="62"/>
      <c r="Z1726" s="60" t="n">
        <v>3</v>
      </c>
      <c r="AA1726" s="60" t="n">
        <f aca="false">IF(A1726="","",IF(AND(Parameter!$B$21="Ja",ISNUMBER(W1726)),W1726,IF(AND(Parameter!$E$27="Ja",ISNUMBER(Z1726),CD1726&lt;&gt;"Nein"),Z1726,IF(CD1726="2+3",IF(ISNUMBER(SEARCH("grosser Artikel",BV1726)),2,IFERROR(VLOOKUP(BY1726,Parameter!$F$35:$G$64,2,0),2)),IF(OR(CD1726="Nein",CD1726=""),"-",CD1726)))))</f>
        <v>3</v>
      </c>
      <c r="AB1726" s="67"/>
      <c r="AC1726" s="68"/>
      <c r="AD1726" s="62" t="n">
        <f aca="false">AW1726</f>
        <v>15</v>
      </c>
      <c r="AE1726" s="62" t="n">
        <f aca="false">MAX(AW1726,H1726)</f>
        <v>24</v>
      </c>
      <c r="AF1726" s="69"/>
      <c r="AG1726" s="62" t="n">
        <f aca="false">IF(LEFT(Cockpit!$C$5,1)="A",H1726,IF(Parameter!$E$30="MAX-Bestand",IF(CI1726=1,CJ1726,IF(LEFT(Cockpit!$C$5,1)="B",AM1726,MAX(AM1726,H1726))),ROUNDUP(AK1726,0)))</f>
        <v>24</v>
      </c>
      <c r="AH1726" s="62" t="n">
        <f aca="false">IF(CA1726=1,0,ROUNDUP(AG1726/BZ1726,0))</f>
        <v>1</v>
      </c>
      <c r="AI1726" s="64" t="n">
        <f aca="false">IF(CR1726&gt;0,CR1726*MAX(1,AG1726/X1726),IF(CA1726=1,IF(AG1726&lt;=0,0,CE1726*MAX(1,IF(H1726&gt;0,AG1726/H1726,1))),IF(R1726&gt;0,AH1726/R1726,0))/MAX(0.1,N(Parameter!$M$21)))</f>
        <v>0.00357142857142857</v>
      </c>
      <c r="AJ1726" s="62" t="n">
        <f aca="false">AI1726*CC1726</f>
        <v>0.553571428571429</v>
      </c>
      <c r="AK1726" s="63" t="n">
        <f aca="false">IF(LEFT(Cockpit!$C$5,1)="A",H1726,IF(CI1726=1,(CL1726+CJ1726)/2,IF(LEFT(Cockpit!$C$5,1)="B",(CL1726+AM1726)/2,MAX((CL1726+AM1726)/2,H1726))))</f>
        <v>24</v>
      </c>
      <c r="AL1726" s="62" t="n">
        <f aca="false">AK1726*G1726</f>
        <v>162</v>
      </c>
      <c r="AM1726" s="62" t="n">
        <f aca="false">ROUNDUP(CL1726+MAX(CM1726,2*(J1726/IF(CH1726&gt;0,CH1726,MAX(0.1,N(Cockpit!$C$6)))-CL1726)),0)</f>
        <v>15</v>
      </c>
      <c r="AN1726" s="63" t="n">
        <f aca="false">IF(AJ1726&gt;0,J1726/AJ1726,-1)</f>
        <v>0</v>
      </c>
      <c r="AO1726" s="63" t="n">
        <f aca="false">IF(AND(OR(CG1726="L1",CG1726="L23",CG1726="LIFT"),AJ1726&gt;0),SUMIFS($AJ$7:$AJ$1843,$CG$7:$CG$1843,CG1726,$AN$7:$AN$1843,"&gt;"&amp;AN1726)+SUMIFS($AJ$7:$AJ$1843,$CG$7:$CG$1843,CG1726,$AN$7:$AN$1843,AN1726,$BX$7:$BX$1843,"&lt;="&amp;BX1726),"")</f>
        <v>32843.7074744935</v>
      </c>
      <c r="AP1726" s="70" t="n">
        <f aca="false">IF(AO1726="",0,MAX(0,MIN(1,(IF(CG1726="L1",Parameter!$H$5,IF(CG1726="L23",Parameter!$H$6+Parameter!$H$7,Parameter!$H$5+Parameter!$H$6+Parameter!$H$7))-(AO1726-AJ1726))/AJ1726)))</f>
        <v>1</v>
      </c>
      <c r="AQ1726" s="62" t="n">
        <f aca="false">IF(LEFT(Cockpit!$I$5,1)="A",H1726,IF(Parameter!$E$30="MAX-Bestand",IF(CI1726=1,CJ1726,IF(LEFT(Cockpit!$I$5,1)="B",AW1726,MAX(AW1726,H1726))),ROUNDUP(AU1726,0)))</f>
        <v>24</v>
      </c>
      <c r="AR1726" s="62" t="n">
        <f aca="false">IF(CA1726=1,0,ROUNDUP(AQ1726/BZ1726,0))</f>
        <v>1</v>
      </c>
      <c r="AS1726" s="64" t="n">
        <f aca="false">IF(CR1726&gt;0,CR1726*MAX(1,AQ1726/X1726),IF(CA1726=1,IF(AQ1726&lt;=0,0,CE1726*MAX(1,IF(H1726&gt;0,AQ1726/H1726,1))),IF(R1726&gt;0,AR1726/R1726,0))/MAX(0.1,N(Parameter!$M$21)))</f>
        <v>0.00357142857142857</v>
      </c>
      <c r="AT1726" s="62" t="n">
        <f aca="false">AS1726*CC1726</f>
        <v>0.553571428571429</v>
      </c>
      <c r="AU1726" s="63" t="n">
        <f aca="false">IF(LEFT(Cockpit!$I$5,1)="A",H1726,IF(CI1726=1,(CL1726+CJ1726)/2,IF(LEFT(Cockpit!$I$5,1)="B",(CL1726+AW1726)/2,MAX((CL1726+AW1726)/2,H1726))))</f>
        <v>24</v>
      </c>
      <c r="AV1726" s="62" t="n">
        <f aca="false">AU1726*G1726</f>
        <v>162</v>
      </c>
      <c r="AW1726" s="62" t="n">
        <f aca="false">ROUNDUP(CL1726+MAX(CM1726,2*(J1726/IF(CH1726&gt;0,CH1726,MAX(0.1,N(Cockpit!$I$6)))-CL1726)),0)</f>
        <v>15</v>
      </c>
      <c r="AX1726" s="63" t="n">
        <f aca="false">IF(AT1726&gt;0,J1726/AT1726,-1)</f>
        <v>0</v>
      </c>
      <c r="AY1726" s="63" t="n">
        <f aca="false">IF(AND(OR(CG1726="L1",CG1726="L23",CG1726="LIFT"),AT1726&gt;0),SUMIFS($AT$7:$AT$1843,$CG$7:$CG$1843,CG1726,$AX$7:$AX$1843,"&gt;"&amp;AX1726)+SUMIFS($AT$7:$AT$1843,$CG$7:$CG$1843,CG1726,$AX$7:$AX$1843,AX1726,$BX$7:$BX$1843,"&lt;="&amp;BX1726),"")</f>
        <v>39317.6164193622</v>
      </c>
      <c r="AZ1726" s="70" t="n">
        <f aca="false">IF(AY1726="",0,MAX(0,MIN(1,(IF(CG1726="L1",Parameter!$H$5,IF(CG1726="L23",Parameter!$H$6+Parameter!$H$7,Parameter!$H$5+Parameter!$H$6+Parameter!$H$7))-(AY1726-AT1726))/AT1726)))</f>
        <v>0</v>
      </c>
      <c r="BA1726" s="62" t="n">
        <f aca="false">IF(LEFT(Cockpit!$O$5,1)="A",H1726,IF(Parameter!$E$30="MAX-Bestand",IF(CI1726=1,CJ1726,IF(LEFT(Cockpit!$O$5,1)="B",BG1726,MAX(BG1726,H1726))),ROUNDUP(BE1726,0)))</f>
        <v>8</v>
      </c>
      <c r="BB1726" s="62" t="n">
        <f aca="false">IF(CA1726=1,0,ROUNDUP(BA1726/BZ1726,0))</f>
        <v>1</v>
      </c>
      <c r="BC1726" s="64" t="n">
        <f aca="false">IF(CR1726&gt;0,CR1726*MAX(1,BA1726/X1726),IF(CA1726=1,IF(BA1726&lt;=0,0,CE1726*MAX(1,IF(H1726&gt;0,BA1726/H1726,1))),IF(R1726&gt;0,BB1726/R1726,0))/MAX(0.1,N(Parameter!$M$21)))</f>
        <v>0.00357142857142857</v>
      </c>
      <c r="BD1726" s="62" t="n">
        <f aca="false">BC1726*CC1726</f>
        <v>0.553571428571429</v>
      </c>
      <c r="BE1726" s="63" t="n">
        <f aca="false">IF(LEFT(Cockpit!$O$5,1)="A",H1726,IF(CI1726=1,(CL1726+CJ1726)/2,IF(LEFT(Cockpit!$O$5,1)="B",(CL1726+BG1726)/2,MAX((CL1726+BG1726)/2,H1726))))</f>
        <v>7.5</v>
      </c>
      <c r="BF1726" s="62" t="n">
        <f aca="false">BE1726*G1726</f>
        <v>50.625</v>
      </c>
      <c r="BG1726" s="62" t="n">
        <f aca="false">ROUNDUP(CL1726+MAX(CM1726,2*(J1726/IF(CH1726&gt;0,CH1726,MAX(0.1,N(Cockpit!$O$6)))-CL1726)),0)</f>
        <v>15</v>
      </c>
      <c r="BH1726" s="63" t="n">
        <f aca="false">IF(BD1726&gt;0,J1726/BD1726,-1)</f>
        <v>0</v>
      </c>
      <c r="BI1726" s="63" t="n">
        <f aca="false">IF(AND(OR(CG1726="L1",CG1726="L23",CG1726="LIFT"),BD1726&gt;0),SUMIFS($BD$7:$BD$1843,$CG$7:$CG$1843,CG1726,$BH$7:$BH$1843,"&gt;"&amp;BH1726)+SUMIFS($BD$7:$BD$1843,$CG$7:$CG$1843,CG1726,$BH$7:$BH$1843,BH1726,$BX$7:$BX$1843,"&lt;="&amp;BX1726),"")</f>
        <v>32547.4088853708</v>
      </c>
      <c r="BJ1726" s="70" t="n">
        <f aca="false">IF(BI1726="",0,MAX(0,MIN(1,(IF(CG1726="L1",Parameter!$H$5,IF(CG1726="L23",Parameter!$H$6+Parameter!$H$7,Parameter!$H$5+Parameter!$H$6+Parameter!$H$7))-(BI1726-BD1726))/BD1726)))</f>
        <v>1</v>
      </c>
      <c r="BK1726" s="60" t="str">
        <f aca="false">IF(AJ1726&lt;=0,"",IF(CG1726="Aussen","Aussenlager",IF(CG1726="-","Nicht im Lift",IF(AP1726&gt;=1,"Lift",IF(AP1726&lt;=0,"Aussenlager","teilweise")))))</f>
        <v>Lift</v>
      </c>
      <c r="BL1726" s="60" t="str">
        <f aca="false">IF(AT1726&lt;=0,"",IF(CG1726="Aussen","Aussenlager",IF(CG1726="-","Nicht im Lift",IF(AZ1726&gt;=1,"Lift",IF(AZ1726&lt;=0,"Aussenlager","teilweise")))))</f>
        <v>Aussenlager</v>
      </c>
      <c r="BM1726" s="60" t="str">
        <f aca="false">IF(BD1726&lt;=0,"",IF(CG1726="Aussen","Aussenlager",IF(CG1726="-","Nicht im Lift",IF(BJ1726&gt;=1,"Lift",IF(BJ1726&lt;=0,"Aussenlager","teilweise")))))</f>
        <v>Lift</v>
      </c>
      <c r="BN1726" s="60" t="str">
        <f aca="false">IF(A1726="","",IF(BW1726=1,"Neu; ","")&amp;IF(AND(BW1726=0,BR1726&lt;0),"negativer Bestand (Export "&amp;BR1726&amp;"); ","")&amp;IF(J1726&lt;=0,"Kein Verbrauch; ","")&amp;IF(CR1726&gt;0,"Lift "&amp;W1726&amp;" lt. Liftbericht (Fach "&amp;X1726&amp;" Stk); ",IF(CB1726=1,"Gebinde geschätzt ("&amp;T1726&amp;"); ",IF(CA1726=1,"Lose – Tablare geschätzt; ","")))&amp;IF(H1726&gt;AW1726,"Überbestand "&amp;ROUND(H1726-AW1726,0)&amp;" Stk / CHF "&amp;ROUND((H1726-AW1726)*G1726,0)&amp;"; ","")&amp;IF(AND(CI1726=1,CJ1726&lt;CK1726),"MAX &lt; MB+LG; ","")&amp;IF(AND(CQ1726&gt;0,CP1726*10&gt;CQ1726),"zu hoch für Tablar; ","")&amp;IF(AND(BW1726=0,OR(CI1726=1,AB1726&lt;&gt;"",U1726&lt;&gt;"",V1726&lt;&gt;"",AC1726&lt;&gt;"")),"manuell übersteuert; ","")&amp;IF(AND(CA1726=0,R1726=0),"Gebinde unbekannt / Stellmass fehlt; ","")&amp;IF(AND(CA1726=0,N(V1726)&lt;=0,N(Q1726)&lt;=0),"Menge pro Gebinde fehlt (Ist = 1 Gebinde); ","")&amp;BV1726)</f>
        <v>Kein Verbrauch; Überbestand 9 Stk / CHF 61; nur im Artikelstamm (Bestand 23.06.2026)</v>
      </c>
      <c r="BO1726" s="60"/>
      <c r="BP1726" s="60"/>
      <c r="BQ1726" s="67"/>
      <c r="BR1726" s="62" t="n">
        <v>24</v>
      </c>
      <c r="BS1726" s="62" t="n">
        <v>0</v>
      </c>
      <c r="BT1726" s="61" t="n">
        <v>0</v>
      </c>
      <c r="BU1726" s="62" t="n">
        <v>0</v>
      </c>
      <c r="BV1726" s="60" t="s">
        <v>2617</v>
      </c>
      <c r="BW1726" s="65" t="n">
        <v>0</v>
      </c>
      <c r="BX1726" s="65" t="n">
        <v>1726</v>
      </c>
      <c r="BY1726" s="60" t="str">
        <f aca="false">IF(U1726&lt;&gt;"",UPPER(TRIM(U1726)),IF(CB1726=1,UPPER(VLOOKUP(T1726,Parameter!$I$27:$K$29,2,0)),IF(P1726="","LOSE",P1726)))</f>
        <v>S21</v>
      </c>
      <c r="BZ1726" s="62" t="n">
        <f aca="false">IF(BY1726="LOSE",1,IF(N(V1726)&gt;0,V1726,IF(CB1726=1,MAX(1,N(VLOOKUP(T1726,Parameter!$I$27:$K$29,3,0)),H1726,N(N1726)),IF(N(Q1726)&gt;0,Q1726,MAX(1,H1726)))))</f>
        <v>25</v>
      </c>
      <c r="CA1726" s="65" t="n">
        <f aca="false">IF(BY1726="LOSE",1,0)</f>
        <v>0</v>
      </c>
      <c r="CB1726" s="65" t="n">
        <f aca="false">IF(AND(U1726="",OR(P1726="",P1726="LOSE"),T1726&lt;&gt;"",N(S1726)&lt;=0,ISNUMBER(MATCH(T1726,Parameter!$I$27:$I$29,0))),1,0)</f>
        <v>0</v>
      </c>
      <c r="CC1726" s="65" t="n">
        <f aca="false">IF(CR1726&gt;0,INDEX(Parameter!$H$5:$H$7,W1726)/INDEX(Parameter!$E$5:$E$7,W1726),IF(AND(CA1726=0,N(IFERROR(VLOOKUP(BY1726,'Gebinde-Kategorie'!$A$5:$N$45,14,0),0))&gt;0),VLOOKUP(BY1726,'Gebinde-Kategorie'!$A$5:$N$45,14,0)*10+Parameter!$M$23,Parameter!$M$24))</f>
        <v>155</v>
      </c>
      <c r="CD1726" s="60" t="str">
        <f aca="false">IF(AND(Parameter!$B$19="Ja",E1726&lt;&gt;"",ISNUMBER(MATCH(E1726,Parameter!$I$35:$I$52,0))),VLOOKUP(E1726,Parameter!$I$35:$J$52,2,0),IFERROR(VLOOKUP(D1726,Parameter!$A$35:$C$64,2,0),"Nein"))</f>
        <v>2+3</v>
      </c>
      <c r="CE1726" s="64" t="n">
        <f aca="false">IF(CA1726=0,0,IF(N(S1726)&gt;0,S1726,IFERROR(VLOOKUP(D1726,Parameter!$A$35:$C$64,3,0)+0,0)))</f>
        <v>0</v>
      </c>
      <c r="CF1726" s="60" t="n">
        <f aca="false">IF(AB1726&lt;&gt;"",AB1726,AA1726)</f>
        <v>3</v>
      </c>
      <c r="CG1726" s="60" t="str">
        <f aca="false">IF(OR(CF1726=1,CF1726=2,CF1726=3),IF(Parameter!$E$27="Ja","LIFT",IF(CF1726=1,"L1","L23")),IF(CF1726="Aussen","Aussen","-"))</f>
        <v>LIFT</v>
      </c>
      <c r="CH1726" s="71" t="n">
        <f aca="false">IF(N(AC1726)&gt;0,AC1726,0)</f>
        <v>0</v>
      </c>
      <c r="CI1726" s="65" t="n">
        <f aca="false">IF(ISNUMBER(AF1726),1,0)</f>
        <v>0</v>
      </c>
      <c r="CJ1726" s="62" t="n">
        <f aca="false">N(AF1726)</f>
        <v>0</v>
      </c>
      <c r="CK1726" s="62" t="n">
        <f aca="false">N(M1726)+N(N1726)</f>
        <v>15</v>
      </c>
      <c r="CL1726" s="62" t="n">
        <f aca="false">N(M1726)</f>
        <v>0</v>
      </c>
      <c r="CM1726" s="62" t="n">
        <f aca="false">N(N1726)</f>
        <v>15</v>
      </c>
      <c r="CN1726" s="62" t="n">
        <f aca="false">ROUNDUP(H1726/BZ1726,0)</f>
        <v>1</v>
      </c>
      <c r="CO1726" s="62" t="n">
        <f aca="false">ROUNDUP(CJ1726/BZ1726,0)</f>
        <v>0</v>
      </c>
      <c r="CP1726" s="65" t="n">
        <f aca="false">IF(CA1726=1,0,IFERROR(VLOOKUP(BY1726,'Gebinde-Kategorie'!$A$5:$N$45,5,0)+0,0))</f>
        <v>8</v>
      </c>
      <c r="CQ1726" s="65" t="n">
        <f aca="false">IFERROR(IF(OR(CF1726=1,CF1726=2,CF1726=3),N(INDEX(Parameter!$I$5:$I$7,CF1726)),0),0)</f>
        <v>0</v>
      </c>
      <c r="CR1726" s="64" t="n">
        <f aca="false">IF(AND(Parameter!$B$21="Ja",ISNUMBER(W1726),N(X1726)&gt;0),IFERROR(N(INDEX(Parameter!$L$5:$L$7,W1726))*INDEX(Parameter!$E$5:$E$7,W1726)*X1726/SUMIFS($X$7:$X$1843,$W$7:$W$1843,W1726),0),0)</f>
        <v>0</v>
      </c>
      <c r="CS1726" s="62" t="n">
        <f aca="false">IF(AND(OR(CG1726="L1",CG1726="L23",CG1726="LIFT"),H1726&gt;0),CC1726*IF(CR1726&gt;0,CR1726*MAX(1,H1726/X1726),IF(CA1726=1,CE1726,IF(R1726&gt;0,CN1726/R1726,0))/MAX(0.1,N(Parameter!$M$21))),"")</f>
        <v>0.553571428571429</v>
      </c>
      <c r="CT1726" s="64" t="n">
        <f aca="false">IF(CS1726="","",J1726/H1726)</f>
        <v>0</v>
      </c>
      <c r="CU1726" s="62" t="n">
        <f aca="false">IF(CS1726="","",H1726*G1726)</f>
        <v>162</v>
      </c>
      <c r="CV1726" s="63" t="n">
        <f aca="false">IF(CS1726="","",(CL1726+ROUNDUP(CL1726+MAX(CM1726,2*(J1726/MAX(0.1,N(Einkauf!$C$6))-CL1726)),0))/2)</f>
        <v>7.5</v>
      </c>
      <c r="CW1726" s="62" t="n">
        <f aca="false">IF(CS1726="","",MAX(0,H1726-CV1726)*G1726)</f>
        <v>111.375</v>
      </c>
      <c r="CX1726" s="62" t="n">
        <f aca="false">IF(CS1726="","",CS1726*MAX(0,1-CV1726/H1726))</f>
        <v>0.380580357142857</v>
      </c>
      <c r="CY1726" s="64" t="n">
        <f aca="false">IF(CS1726="","",PERCENTRANK($CS$7:$CS$1843,CS1726)+PERCENTRANK($CU$7:$CU$1843,CU1726)+1-PERCENTRANK($CT$7:$CT$1843,CT1726))</f>
        <v>1.306</v>
      </c>
      <c r="CZ1726" s="72" t="n">
        <f aca="false">IF(CS1726="","",CHOOSE(MATCH(Einkauf!$C$5,Parameter!$G$23:$G$27,0),CY1726,CS1726,CU1726,-CT1726,CW1726)+ROW()/1000000000)</f>
        <v>1.306001726</v>
      </c>
    </row>
    <row r="1727" customFormat="false" ht="15" hidden="false" customHeight="false" outlineLevel="0" collapsed="false">
      <c r="A1727" s="60" t="s">
        <v>3030</v>
      </c>
      <c r="B1727" s="60" t="s">
        <v>409</v>
      </c>
      <c r="C1727" s="60" t="s">
        <v>206</v>
      </c>
      <c r="D1727" s="60" t="s">
        <v>226</v>
      </c>
      <c r="E1727" s="60"/>
      <c r="F1727" s="60"/>
      <c r="G1727" s="61" t="n">
        <v>8.37</v>
      </c>
      <c r="H1727" s="62" t="n">
        <f aca="false">MAX(0,IF(AND(Parameter!$B$21="Ja",ISNUMBER(Y1727)),Y1727,IF(Parameter!$B$20="Jahresanfang 2025 + Export",BS1727+BR1727,BR1727)))</f>
        <v>13</v>
      </c>
      <c r="I1727" s="62" t="n">
        <f aca="false">H1727*G1727</f>
        <v>108.81</v>
      </c>
      <c r="J1727" s="62" t="n">
        <f aca="false">BU1727*Parameter!$B$18</f>
        <v>0</v>
      </c>
      <c r="K1727" s="63"/>
      <c r="L1727" s="64"/>
      <c r="M1727" s="62" t="n">
        <v>0</v>
      </c>
      <c r="N1727" s="62" t="n">
        <v>15</v>
      </c>
      <c r="O1727" s="65" t="n">
        <v>14</v>
      </c>
      <c r="P1727" s="60" t="s">
        <v>468</v>
      </c>
      <c r="Q1727" s="62" t="n">
        <v>20</v>
      </c>
      <c r="R1727" s="65" t="n">
        <f aca="false">IF(CA1727=1,0,IFERROR(VLOOKUP(BY1727,'Gebinde-Kategorie'!$A$5:$N$45,13,0)+0,0))</f>
        <v>140</v>
      </c>
      <c r="S1727" s="66"/>
      <c r="T1727" s="67"/>
      <c r="U1727" s="67"/>
      <c r="V1727" s="67"/>
      <c r="W1727" s="60"/>
      <c r="X1727" s="62"/>
      <c r="Y1727" s="62"/>
      <c r="Z1727" s="60" t="n">
        <v>2</v>
      </c>
      <c r="AA1727" s="60" t="n">
        <f aca="false">IF(A1727="","",IF(AND(Parameter!$B$21="Ja",ISNUMBER(W1727)),W1727,IF(AND(Parameter!$E$27="Ja",ISNUMBER(Z1727),CD1727&lt;&gt;"Nein"),Z1727,IF(CD1727="2+3",IF(ISNUMBER(SEARCH("grosser Artikel",BV1727)),2,IFERROR(VLOOKUP(BY1727,Parameter!$F$35:$G$64,2,0),2)),IF(OR(CD1727="Nein",CD1727=""),"-",CD1727)))))</f>
        <v>2</v>
      </c>
      <c r="AB1727" s="67"/>
      <c r="AC1727" s="68"/>
      <c r="AD1727" s="62" t="n">
        <f aca="false">AW1727</f>
        <v>15</v>
      </c>
      <c r="AE1727" s="62" t="n">
        <f aca="false">MAX(AW1727,H1727)</f>
        <v>15</v>
      </c>
      <c r="AF1727" s="69"/>
      <c r="AG1727" s="62" t="n">
        <f aca="false">IF(LEFT(Cockpit!$C$5,1)="A",H1727,IF(Parameter!$E$30="MAX-Bestand",IF(CI1727=1,CJ1727,IF(LEFT(Cockpit!$C$5,1)="B",AM1727,MAX(AM1727,H1727))),ROUNDUP(AK1727,0)))</f>
        <v>13</v>
      </c>
      <c r="AH1727" s="62" t="n">
        <f aca="false">IF(CA1727=1,0,ROUNDUP(AG1727/BZ1727,0))</f>
        <v>1</v>
      </c>
      <c r="AI1727" s="64" t="n">
        <f aca="false">IF(CR1727&gt;0,CR1727*MAX(1,AG1727/X1727),IF(CA1727=1,IF(AG1727&lt;=0,0,CE1727*MAX(1,IF(H1727&gt;0,AG1727/H1727,1))),IF(R1727&gt;0,AH1727/R1727,0))/MAX(0.1,N(Parameter!$M$21)))</f>
        <v>0.00714285714285714</v>
      </c>
      <c r="AJ1727" s="62" t="n">
        <f aca="false">AI1727*CC1727</f>
        <v>1.10714285714286</v>
      </c>
      <c r="AK1727" s="63" t="n">
        <f aca="false">IF(LEFT(Cockpit!$C$5,1)="A",H1727,IF(CI1727=1,(CL1727+CJ1727)/2,IF(LEFT(Cockpit!$C$5,1)="B",(CL1727+AM1727)/2,MAX((CL1727+AM1727)/2,H1727))))</f>
        <v>13</v>
      </c>
      <c r="AL1727" s="62" t="n">
        <f aca="false">AK1727*G1727</f>
        <v>108.81</v>
      </c>
      <c r="AM1727" s="62" t="n">
        <f aca="false">ROUNDUP(CL1727+MAX(CM1727,2*(J1727/IF(CH1727&gt;0,CH1727,MAX(0.1,N(Cockpit!$C$6)))-CL1727)),0)</f>
        <v>15</v>
      </c>
      <c r="AN1727" s="63" t="n">
        <f aca="false">IF(AJ1727&gt;0,J1727/AJ1727,-1)</f>
        <v>0</v>
      </c>
      <c r="AO1727" s="63" t="n">
        <f aca="false">IF(AND(OR(CG1727="L1",CG1727="L23",CG1727="LIFT"),AJ1727&gt;0),SUMIFS($AJ$7:$AJ$1843,$CG$7:$CG$1843,CG1727,$AN$7:$AN$1843,"&gt;"&amp;AN1727)+SUMIFS($AJ$7:$AJ$1843,$CG$7:$CG$1843,CG1727,$AN$7:$AN$1843,AN1727,$BX$7:$BX$1843,"&lt;="&amp;BX1727),"")</f>
        <v>32844.8146173506</v>
      </c>
      <c r="AP1727" s="70" t="n">
        <f aca="false">IF(AO1727="",0,MAX(0,MIN(1,(IF(CG1727="L1",Parameter!$H$5,IF(CG1727="L23",Parameter!$H$6+Parameter!$H$7,Parameter!$H$5+Parameter!$H$6+Parameter!$H$7))-(AO1727-AJ1727))/AJ1727)))</f>
        <v>1</v>
      </c>
      <c r="AQ1727" s="62" t="n">
        <f aca="false">IF(LEFT(Cockpit!$I$5,1)="A",H1727,IF(Parameter!$E$30="MAX-Bestand",IF(CI1727=1,CJ1727,IF(LEFT(Cockpit!$I$5,1)="B",AW1727,MAX(AW1727,H1727))),ROUNDUP(AU1727,0)))</f>
        <v>13</v>
      </c>
      <c r="AR1727" s="62" t="n">
        <f aca="false">IF(CA1727=1,0,ROUNDUP(AQ1727/BZ1727,0))</f>
        <v>1</v>
      </c>
      <c r="AS1727" s="64" t="n">
        <f aca="false">IF(CR1727&gt;0,CR1727*MAX(1,AQ1727/X1727),IF(CA1727=1,IF(AQ1727&lt;=0,0,CE1727*MAX(1,IF(H1727&gt;0,AQ1727/H1727,1))),IF(R1727&gt;0,AR1727/R1727,0))/MAX(0.1,N(Parameter!$M$21)))</f>
        <v>0.00714285714285714</v>
      </c>
      <c r="AT1727" s="62" t="n">
        <f aca="false">AS1727*CC1727</f>
        <v>1.10714285714286</v>
      </c>
      <c r="AU1727" s="63" t="n">
        <f aca="false">IF(LEFT(Cockpit!$I$5,1)="A",H1727,IF(CI1727=1,(CL1727+CJ1727)/2,IF(LEFT(Cockpit!$I$5,1)="B",(CL1727+AW1727)/2,MAX((CL1727+AW1727)/2,H1727))))</f>
        <v>13</v>
      </c>
      <c r="AV1727" s="62" t="n">
        <f aca="false">AU1727*G1727</f>
        <v>108.81</v>
      </c>
      <c r="AW1727" s="62" t="n">
        <f aca="false">ROUNDUP(CL1727+MAX(CM1727,2*(J1727/IF(CH1727&gt;0,CH1727,MAX(0.1,N(Cockpit!$I$6)))-CL1727)),0)</f>
        <v>15</v>
      </c>
      <c r="AX1727" s="63" t="n">
        <f aca="false">IF(AT1727&gt;0,J1727/AT1727,-1)</f>
        <v>0</v>
      </c>
      <c r="AY1727" s="63" t="n">
        <f aca="false">IF(AND(OR(CG1727="L1",CG1727="L23",CG1727="LIFT"),AT1727&gt;0),SUMIFS($AT$7:$AT$1843,$CG$7:$CG$1843,CG1727,$AX$7:$AX$1843,"&gt;"&amp;AX1727)+SUMIFS($AT$7:$AT$1843,$CG$7:$CG$1843,CG1727,$AX$7:$AX$1843,AX1727,$BX$7:$BX$1843,"&lt;="&amp;BX1727),"")</f>
        <v>39318.7235622193</v>
      </c>
      <c r="AZ1727" s="70" t="n">
        <f aca="false">IF(AY1727="",0,MAX(0,MIN(1,(IF(CG1727="L1",Parameter!$H$5,IF(CG1727="L23",Parameter!$H$6+Parameter!$H$7,Parameter!$H$5+Parameter!$H$6+Parameter!$H$7))-(AY1727-AT1727))/AT1727)))</f>
        <v>0</v>
      </c>
      <c r="BA1727" s="62" t="n">
        <f aca="false">IF(LEFT(Cockpit!$O$5,1)="A",H1727,IF(Parameter!$E$30="MAX-Bestand",IF(CI1727=1,CJ1727,IF(LEFT(Cockpit!$O$5,1)="B",BG1727,MAX(BG1727,H1727))),ROUNDUP(BE1727,0)))</f>
        <v>8</v>
      </c>
      <c r="BB1727" s="62" t="n">
        <f aca="false">IF(CA1727=1,0,ROUNDUP(BA1727/BZ1727,0))</f>
        <v>1</v>
      </c>
      <c r="BC1727" s="64" t="n">
        <f aca="false">IF(CR1727&gt;0,CR1727*MAX(1,BA1727/X1727),IF(CA1727=1,IF(BA1727&lt;=0,0,CE1727*MAX(1,IF(H1727&gt;0,BA1727/H1727,1))),IF(R1727&gt;0,BB1727/R1727,0))/MAX(0.1,N(Parameter!$M$21)))</f>
        <v>0.00714285714285714</v>
      </c>
      <c r="BD1727" s="62" t="n">
        <f aca="false">BC1727*CC1727</f>
        <v>1.10714285714286</v>
      </c>
      <c r="BE1727" s="63" t="n">
        <f aca="false">IF(LEFT(Cockpit!$O$5,1)="A",H1727,IF(CI1727=1,(CL1727+CJ1727)/2,IF(LEFT(Cockpit!$O$5,1)="B",(CL1727+BG1727)/2,MAX((CL1727+BG1727)/2,H1727))))</f>
        <v>7.5</v>
      </c>
      <c r="BF1727" s="62" t="n">
        <f aca="false">BE1727*G1727</f>
        <v>62.775</v>
      </c>
      <c r="BG1727" s="62" t="n">
        <f aca="false">ROUNDUP(CL1727+MAX(CM1727,2*(J1727/IF(CH1727&gt;0,CH1727,MAX(0.1,N(Cockpit!$O$6)))-CL1727)),0)</f>
        <v>15</v>
      </c>
      <c r="BH1727" s="63" t="n">
        <f aca="false">IF(BD1727&gt;0,J1727/BD1727,-1)</f>
        <v>0</v>
      </c>
      <c r="BI1727" s="63" t="n">
        <f aca="false">IF(AND(OR(CG1727="L1",CG1727="L23",CG1727="LIFT"),BD1727&gt;0),SUMIFS($BD$7:$BD$1843,$CG$7:$CG$1843,CG1727,$BH$7:$BH$1843,"&gt;"&amp;BH1727)+SUMIFS($BD$7:$BD$1843,$CG$7:$CG$1843,CG1727,$BH$7:$BH$1843,BH1727,$BX$7:$BX$1843,"&lt;="&amp;BX1727),"")</f>
        <v>32548.5160282279</v>
      </c>
      <c r="BJ1727" s="70" t="n">
        <f aca="false">IF(BI1727="",0,MAX(0,MIN(1,(IF(CG1727="L1",Parameter!$H$5,IF(CG1727="L23",Parameter!$H$6+Parameter!$H$7,Parameter!$H$5+Parameter!$H$6+Parameter!$H$7))-(BI1727-BD1727))/BD1727)))</f>
        <v>1</v>
      </c>
      <c r="BK1727" s="60" t="str">
        <f aca="false">IF(AJ1727&lt;=0,"",IF(CG1727="Aussen","Aussenlager",IF(CG1727="-","Nicht im Lift",IF(AP1727&gt;=1,"Lift",IF(AP1727&lt;=0,"Aussenlager","teilweise")))))</f>
        <v>Lift</v>
      </c>
      <c r="BL1727" s="60" t="str">
        <f aca="false">IF(AT1727&lt;=0,"",IF(CG1727="Aussen","Aussenlager",IF(CG1727="-","Nicht im Lift",IF(AZ1727&gt;=1,"Lift",IF(AZ1727&lt;=0,"Aussenlager","teilweise")))))</f>
        <v>Aussenlager</v>
      </c>
      <c r="BM1727" s="60" t="str">
        <f aca="false">IF(BD1727&lt;=0,"",IF(CG1727="Aussen","Aussenlager",IF(CG1727="-","Nicht im Lift",IF(BJ1727&gt;=1,"Lift",IF(BJ1727&lt;=0,"Aussenlager","teilweise")))))</f>
        <v>Lift</v>
      </c>
      <c r="BN1727" s="60" t="str">
        <f aca="false">IF(A1727="","",IF(BW1727=1,"Neu; ","")&amp;IF(AND(BW1727=0,BR1727&lt;0),"negativer Bestand (Export "&amp;BR1727&amp;"); ","")&amp;IF(J1727&lt;=0,"Kein Verbrauch; ","")&amp;IF(CR1727&gt;0,"Lift "&amp;W1727&amp;" lt. Liftbericht (Fach "&amp;X1727&amp;" Stk); ",IF(CB1727=1,"Gebinde geschätzt ("&amp;T1727&amp;"); ",IF(CA1727=1,"Lose – Tablare geschätzt; ","")))&amp;IF(H1727&gt;AW1727,"Überbestand "&amp;ROUND(H1727-AW1727,0)&amp;" Stk / CHF "&amp;ROUND((H1727-AW1727)*G1727,0)&amp;"; ","")&amp;IF(AND(CI1727=1,CJ1727&lt;CK1727),"MAX &lt; MB+LG; ","")&amp;IF(AND(CQ1727&gt;0,CP1727*10&gt;CQ1727),"zu hoch für Tablar; ","")&amp;IF(AND(BW1727=0,OR(CI1727=1,AB1727&lt;&gt;"",U1727&lt;&gt;"",V1727&lt;&gt;"",AC1727&lt;&gt;"")),"manuell übersteuert; ","")&amp;IF(AND(CA1727=0,R1727=0),"Gebinde unbekannt / Stellmass fehlt; ","")&amp;IF(AND(CA1727=0,N(V1727)&lt;=0,N(Q1727)&lt;=0),"Menge pro Gebinde fehlt (Ist = 1 Gebinde); ","")&amp;BV1727)</f>
        <v>Kein Verbrauch; nur im Artikelstamm (Bestand 23.06.2026)</v>
      </c>
      <c r="BO1727" s="60"/>
      <c r="BP1727" s="60"/>
      <c r="BQ1727" s="67"/>
      <c r="BR1727" s="62" t="n">
        <v>13</v>
      </c>
      <c r="BS1727" s="62" t="n">
        <v>0</v>
      </c>
      <c r="BT1727" s="61" t="n">
        <v>0</v>
      </c>
      <c r="BU1727" s="62" t="n">
        <v>0</v>
      </c>
      <c r="BV1727" s="60" t="s">
        <v>2617</v>
      </c>
      <c r="BW1727" s="65" t="n">
        <v>0</v>
      </c>
      <c r="BX1727" s="65" t="n">
        <v>1727</v>
      </c>
      <c r="BY1727" s="60" t="str">
        <f aca="false">IF(U1727&lt;&gt;"",UPPER(TRIM(U1727)),IF(CB1727=1,UPPER(VLOOKUP(T1727,Parameter!$I$27:$K$29,2,0)),IF(P1727="","LOSE",P1727)))</f>
        <v>S22</v>
      </c>
      <c r="BZ1727" s="62" t="n">
        <f aca="false">IF(BY1727="LOSE",1,IF(N(V1727)&gt;0,V1727,IF(CB1727=1,MAX(1,N(VLOOKUP(T1727,Parameter!$I$27:$K$29,3,0)),H1727,N(N1727)),IF(N(Q1727)&gt;0,Q1727,MAX(1,H1727)))))</f>
        <v>20</v>
      </c>
      <c r="CA1727" s="65" t="n">
        <f aca="false">IF(BY1727="LOSE",1,0)</f>
        <v>0</v>
      </c>
      <c r="CB1727" s="65" t="n">
        <f aca="false">IF(AND(U1727="",OR(P1727="",P1727="LOSE"),T1727&lt;&gt;"",N(S1727)&lt;=0,ISNUMBER(MATCH(T1727,Parameter!$I$27:$I$29,0))),1,0)</f>
        <v>0</v>
      </c>
      <c r="CC1727" s="65" t="n">
        <f aca="false">IF(CR1727&gt;0,INDEX(Parameter!$H$5:$H$7,W1727)/INDEX(Parameter!$E$5:$E$7,W1727),IF(AND(CA1727=0,N(IFERROR(VLOOKUP(BY1727,'Gebinde-Kategorie'!$A$5:$N$45,14,0),0))&gt;0),VLOOKUP(BY1727,'Gebinde-Kategorie'!$A$5:$N$45,14,0)*10+Parameter!$M$23,Parameter!$M$24))</f>
        <v>155</v>
      </c>
      <c r="CD1727" s="60" t="str">
        <f aca="false">IF(AND(Parameter!$B$19="Ja",E1727&lt;&gt;"",ISNUMBER(MATCH(E1727,Parameter!$I$35:$I$52,0))),VLOOKUP(E1727,Parameter!$I$35:$J$52,2,0),IFERROR(VLOOKUP(D1727,Parameter!$A$35:$C$64,2,0),"Nein"))</f>
        <v>2+3</v>
      </c>
      <c r="CE1727" s="64" t="n">
        <f aca="false">IF(CA1727=0,0,IF(N(S1727)&gt;0,S1727,IFERROR(VLOOKUP(D1727,Parameter!$A$35:$C$64,3,0)+0,0)))</f>
        <v>0</v>
      </c>
      <c r="CF1727" s="60" t="n">
        <f aca="false">IF(AB1727&lt;&gt;"",AB1727,AA1727)</f>
        <v>2</v>
      </c>
      <c r="CG1727" s="60" t="str">
        <f aca="false">IF(OR(CF1727=1,CF1727=2,CF1727=3),IF(Parameter!$E$27="Ja","LIFT",IF(CF1727=1,"L1","L23")),IF(CF1727="Aussen","Aussen","-"))</f>
        <v>LIFT</v>
      </c>
      <c r="CH1727" s="71" t="n">
        <f aca="false">IF(N(AC1727)&gt;0,AC1727,0)</f>
        <v>0</v>
      </c>
      <c r="CI1727" s="65" t="n">
        <f aca="false">IF(ISNUMBER(AF1727),1,0)</f>
        <v>0</v>
      </c>
      <c r="CJ1727" s="62" t="n">
        <f aca="false">N(AF1727)</f>
        <v>0</v>
      </c>
      <c r="CK1727" s="62" t="n">
        <f aca="false">N(M1727)+N(N1727)</f>
        <v>15</v>
      </c>
      <c r="CL1727" s="62" t="n">
        <f aca="false">N(M1727)</f>
        <v>0</v>
      </c>
      <c r="CM1727" s="62" t="n">
        <f aca="false">N(N1727)</f>
        <v>15</v>
      </c>
      <c r="CN1727" s="62" t="n">
        <f aca="false">ROUNDUP(H1727/BZ1727,0)</f>
        <v>1</v>
      </c>
      <c r="CO1727" s="62" t="n">
        <f aca="false">ROUNDUP(CJ1727/BZ1727,0)</f>
        <v>0</v>
      </c>
      <c r="CP1727" s="65" t="n">
        <f aca="false">IF(CA1727=1,0,IFERROR(VLOOKUP(BY1727,'Gebinde-Kategorie'!$A$5:$N$45,5,0)+0,0))</f>
        <v>8</v>
      </c>
      <c r="CQ1727" s="65" t="n">
        <f aca="false">IFERROR(IF(OR(CF1727=1,CF1727=2,CF1727=3),N(INDEX(Parameter!$I$5:$I$7,CF1727)),0),0)</f>
        <v>0</v>
      </c>
      <c r="CR1727" s="64" t="n">
        <f aca="false">IF(AND(Parameter!$B$21="Ja",ISNUMBER(W1727),N(X1727)&gt;0),IFERROR(N(INDEX(Parameter!$L$5:$L$7,W1727))*INDEX(Parameter!$E$5:$E$7,W1727)*X1727/SUMIFS($X$7:$X$1843,$W$7:$W$1843,W1727),0),0)</f>
        <v>0</v>
      </c>
      <c r="CS1727" s="62" t="n">
        <f aca="false">IF(AND(OR(CG1727="L1",CG1727="L23",CG1727="LIFT"),H1727&gt;0),CC1727*IF(CR1727&gt;0,CR1727*MAX(1,H1727/X1727),IF(CA1727=1,CE1727,IF(R1727&gt;0,CN1727/R1727,0))/MAX(0.1,N(Parameter!$M$21))),"")</f>
        <v>1.10714285714286</v>
      </c>
      <c r="CT1727" s="64" t="n">
        <f aca="false">IF(CS1727="","",J1727/H1727)</f>
        <v>0</v>
      </c>
      <c r="CU1727" s="62" t="n">
        <f aca="false">IF(CS1727="","",H1727*G1727)</f>
        <v>108.81</v>
      </c>
      <c r="CV1727" s="63" t="n">
        <f aca="false">IF(CS1727="","",(CL1727+ROUNDUP(CL1727+MAX(CM1727,2*(J1727/MAX(0.1,N(Einkauf!$C$6))-CL1727)),0))/2)</f>
        <v>7.5</v>
      </c>
      <c r="CW1727" s="62" t="n">
        <f aca="false">IF(CS1727="","",MAX(0,H1727-CV1727)*G1727)</f>
        <v>46.035</v>
      </c>
      <c r="CX1727" s="62" t="n">
        <f aca="false">IF(CS1727="","",CS1727*MAX(0,1-CV1727/H1727))</f>
        <v>0.468406593406593</v>
      </c>
      <c r="CY1727" s="64" t="n">
        <f aca="false">IF(CS1727="","",PERCENTRANK($CS$7:$CS$1843,CS1727)+PERCENTRANK($CU$7:$CU$1843,CU1727)+1-PERCENTRANK($CT$7:$CT$1843,CT1727))</f>
        <v>1.3014</v>
      </c>
      <c r="CZ1727" s="72" t="n">
        <f aca="false">IF(CS1727="","",CHOOSE(MATCH(Einkauf!$C$5,Parameter!$G$23:$G$27,0),CY1727,CS1727,CU1727,-CT1727,CW1727)+ROW()/1000000000)</f>
        <v>1.301401727</v>
      </c>
    </row>
    <row r="1728" customFormat="false" ht="15" hidden="false" customHeight="false" outlineLevel="0" collapsed="false">
      <c r="A1728" s="60" t="s">
        <v>3031</v>
      </c>
      <c r="B1728" s="60" t="s">
        <v>3032</v>
      </c>
      <c r="C1728" s="60" t="s">
        <v>206</v>
      </c>
      <c r="D1728" s="60" t="s">
        <v>226</v>
      </c>
      <c r="E1728" s="60"/>
      <c r="F1728" s="60"/>
      <c r="G1728" s="61" t="n">
        <v>93.36</v>
      </c>
      <c r="H1728" s="62" t="n">
        <f aca="false">MAX(0,IF(AND(Parameter!$B$21="Ja",ISNUMBER(Y1728)),Y1728,IF(Parameter!$B$20="Jahresanfang 2025 + Export",BS1728+BR1728,BR1728)))</f>
        <v>16</v>
      </c>
      <c r="I1728" s="62" t="n">
        <f aca="false">H1728*G1728</f>
        <v>1493.76</v>
      </c>
      <c r="J1728" s="62" t="n">
        <f aca="false">BU1728*Parameter!$B$18</f>
        <v>0</v>
      </c>
      <c r="K1728" s="63"/>
      <c r="L1728" s="64"/>
      <c r="M1728" s="62" t="n">
        <v>0</v>
      </c>
      <c r="N1728" s="62" t="n">
        <v>3</v>
      </c>
      <c r="O1728" s="65" t="n">
        <v>107</v>
      </c>
      <c r="P1728" s="60" t="s">
        <v>443</v>
      </c>
      <c r="Q1728" s="62" t="n">
        <v>15</v>
      </c>
      <c r="R1728" s="65" t="n">
        <f aca="false">IF(CA1728=1,0,IFERROR(VLOOKUP(BY1728,'Gebinde-Kategorie'!$A$5:$N$45,13,0)+0,0))</f>
        <v>280</v>
      </c>
      <c r="S1728" s="66"/>
      <c r="T1728" s="67"/>
      <c r="U1728" s="67"/>
      <c r="V1728" s="67"/>
      <c r="W1728" s="60"/>
      <c r="X1728" s="62"/>
      <c r="Y1728" s="62"/>
      <c r="Z1728" s="60" t="n">
        <v>2</v>
      </c>
      <c r="AA1728" s="60" t="n">
        <f aca="false">IF(A1728="","",IF(AND(Parameter!$B$21="Ja",ISNUMBER(W1728)),W1728,IF(AND(Parameter!$E$27="Ja",ISNUMBER(Z1728),CD1728&lt;&gt;"Nein"),Z1728,IF(CD1728="2+3",IF(ISNUMBER(SEARCH("grosser Artikel",BV1728)),2,IFERROR(VLOOKUP(BY1728,Parameter!$F$35:$G$64,2,0),2)),IF(OR(CD1728="Nein",CD1728=""),"-",CD1728)))))</f>
        <v>2</v>
      </c>
      <c r="AB1728" s="67"/>
      <c r="AC1728" s="68"/>
      <c r="AD1728" s="62" t="n">
        <f aca="false">AW1728</f>
        <v>3</v>
      </c>
      <c r="AE1728" s="62" t="n">
        <f aca="false">MAX(AW1728,H1728)</f>
        <v>16</v>
      </c>
      <c r="AF1728" s="69"/>
      <c r="AG1728" s="62" t="n">
        <f aca="false">IF(LEFT(Cockpit!$C$5,1)="A",H1728,IF(Parameter!$E$30="MAX-Bestand",IF(CI1728=1,CJ1728,IF(LEFT(Cockpit!$C$5,1)="B",AM1728,MAX(AM1728,H1728))),ROUNDUP(AK1728,0)))</f>
        <v>16</v>
      </c>
      <c r="AH1728" s="62" t="n">
        <f aca="false">IF(CA1728=1,0,ROUNDUP(AG1728/BZ1728,0))</f>
        <v>2</v>
      </c>
      <c r="AI1728" s="64" t="n">
        <f aca="false">IF(CR1728&gt;0,CR1728*MAX(1,AG1728/X1728),IF(CA1728=1,IF(AG1728&lt;=0,0,CE1728*MAX(1,IF(H1728&gt;0,AG1728/H1728,1))),IF(R1728&gt;0,AH1728/R1728,0))/MAX(0.1,N(Parameter!$M$21)))</f>
        <v>0.00714285714285714</v>
      </c>
      <c r="AJ1728" s="62" t="n">
        <f aca="false">AI1728*CC1728</f>
        <v>1.10714285714286</v>
      </c>
      <c r="AK1728" s="63" t="n">
        <f aca="false">IF(LEFT(Cockpit!$C$5,1)="A",H1728,IF(CI1728=1,(CL1728+CJ1728)/2,IF(LEFT(Cockpit!$C$5,1)="B",(CL1728+AM1728)/2,MAX((CL1728+AM1728)/2,H1728))))</f>
        <v>16</v>
      </c>
      <c r="AL1728" s="62" t="n">
        <f aca="false">AK1728*G1728</f>
        <v>1493.76</v>
      </c>
      <c r="AM1728" s="62" t="n">
        <f aca="false">ROUNDUP(CL1728+MAX(CM1728,2*(J1728/IF(CH1728&gt;0,CH1728,MAX(0.1,N(Cockpit!$C$6)))-CL1728)),0)</f>
        <v>3</v>
      </c>
      <c r="AN1728" s="63" t="n">
        <f aca="false">IF(AJ1728&gt;0,J1728/AJ1728,-1)</f>
        <v>0</v>
      </c>
      <c r="AO1728" s="63" t="n">
        <f aca="false">IF(AND(OR(CG1728="L1",CG1728="L23",CG1728="LIFT"),AJ1728&gt;0),SUMIFS($AJ$7:$AJ$1843,$CG$7:$CG$1843,CG1728,$AN$7:$AN$1843,"&gt;"&amp;AN1728)+SUMIFS($AJ$7:$AJ$1843,$CG$7:$CG$1843,CG1728,$AN$7:$AN$1843,AN1728,$BX$7:$BX$1843,"&lt;="&amp;BX1728),"")</f>
        <v>32845.9217602078</v>
      </c>
      <c r="AP1728" s="70" t="n">
        <f aca="false">IF(AO1728="",0,MAX(0,MIN(1,(IF(CG1728="L1",Parameter!$H$5,IF(CG1728="L23",Parameter!$H$6+Parameter!$H$7,Parameter!$H$5+Parameter!$H$6+Parameter!$H$7))-(AO1728-AJ1728))/AJ1728)))</f>
        <v>1</v>
      </c>
      <c r="AQ1728" s="62" t="n">
        <f aca="false">IF(LEFT(Cockpit!$I$5,1)="A",H1728,IF(Parameter!$E$30="MAX-Bestand",IF(CI1728=1,CJ1728,IF(LEFT(Cockpit!$I$5,1)="B",AW1728,MAX(AW1728,H1728))),ROUNDUP(AU1728,0)))</f>
        <v>16</v>
      </c>
      <c r="AR1728" s="62" t="n">
        <f aca="false">IF(CA1728=1,0,ROUNDUP(AQ1728/BZ1728,0))</f>
        <v>2</v>
      </c>
      <c r="AS1728" s="64" t="n">
        <f aca="false">IF(CR1728&gt;0,CR1728*MAX(1,AQ1728/X1728),IF(CA1728=1,IF(AQ1728&lt;=0,0,CE1728*MAX(1,IF(H1728&gt;0,AQ1728/H1728,1))),IF(R1728&gt;0,AR1728/R1728,0))/MAX(0.1,N(Parameter!$M$21)))</f>
        <v>0.00714285714285714</v>
      </c>
      <c r="AT1728" s="62" t="n">
        <f aca="false">AS1728*CC1728</f>
        <v>1.10714285714286</v>
      </c>
      <c r="AU1728" s="63" t="n">
        <f aca="false">IF(LEFT(Cockpit!$I$5,1)="A",H1728,IF(CI1728=1,(CL1728+CJ1728)/2,IF(LEFT(Cockpit!$I$5,1)="B",(CL1728+AW1728)/2,MAX((CL1728+AW1728)/2,H1728))))</f>
        <v>16</v>
      </c>
      <c r="AV1728" s="62" t="n">
        <f aca="false">AU1728*G1728</f>
        <v>1493.76</v>
      </c>
      <c r="AW1728" s="62" t="n">
        <f aca="false">ROUNDUP(CL1728+MAX(CM1728,2*(J1728/IF(CH1728&gt;0,CH1728,MAX(0.1,N(Cockpit!$I$6)))-CL1728)),0)</f>
        <v>3</v>
      </c>
      <c r="AX1728" s="63" t="n">
        <f aca="false">IF(AT1728&gt;0,J1728/AT1728,-1)</f>
        <v>0</v>
      </c>
      <c r="AY1728" s="63" t="n">
        <f aca="false">IF(AND(OR(CG1728="L1",CG1728="L23",CG1728="LIFT"),AT1728&gt;0),SUMIFS($AT$7:$AT$1843,$CG$7:$CG$1843,CG1728,$AX$7:$AX$1843,"&gt;"&amp;AX1728)+SUMIFS($AT$7:$AT$1843,$CG$7:$CG$1843,CG1728,$AX$7:$AX$1843,AX1728,$BX$7:$BX$1843,"&lt;="&amp;BX1728),"")</f>
        <v>39319.8307050765</v>
      </c>
      <c r="AZ1728" s="70" t="n">
        <f aca="false">IF(AY1728="",0,MAX(0,MIN(1,(IF(CG1728="L1",Parameter!$H$5,IF(CG1728="L23",Parameter!$H$6+Parameter!$H$7,Parameter!$H$5+Parameter!$H$6+Parameter!$H$7))-(AY1728-AT1728))/AT1728)))</f>
        <v>0</v>
      </c>
      <c r="BA1728" s="62" t="n">
        <f aca="false">IF(LEFT(Cockpit!$O$5,1)="A",H1728,IF(Parameter!$E$30="MAX-Bestand",IF(CI1728=1,CJ1728,IF(LEFT(Cockpit!$O$5,1)="B",BG1728,MAX(BG1728,H1728))),ROUNDUP(BE1728,0)))</f>
        <v>2</v>
      </c>
      <c r="BB1728" s="62" t="n">
        <f aca="false">IF(CA1728=1,0,ROUNDUP(BA1728/BZ1728,0))</f>
        <v>1</v>
      </c>
      <c r="BC1728" s="64" t="n">
        <f aca="false">IF(CR1728&gt;0,CR1728*MAX(1,BA1728/X1728),IF(CA1728=1,IF(BA1728&lt;=0,0,CE1728*MAX(1,IF(H1728&gt;0,BA1728/H1728,1))),IF(R1728&gt;0,BB1728/R1728,0))/MAX(0.1,N(Parameter!$M$21)))</f>
        <v>0.00357142857142857</v>
      </c>
      <c r="BD1728" s="62" t="n">
        <f aca="false">BC1728*CC1728</f>
        <v>0.553571428571429</v>
      </c>
      <c r="BE1728" s="63" t="n">
        <f aca="false">IF(LEFT(Cockpit!$O$5,1)="A",H1728,IF(CI1728=1,(CL1728+CJ1728)/2,IF(LEFT(Cockpit!$O$5,1)="B",(CL1728+BG1728)/2,MAX((CL1728+BG1728)/2,H1728))))</f>
        <v>1.5</v>
      </c>
      <c r="BF1728" s="62" t="n">
        <f aca="false">BE1728*G1728</f>
        <v>140.04</v>
      </c>
      <c r="BG1728" s="62" t="n">
        <f aca="false">ROUNDUP(CL1728+MAX(CM1728,2*(J1728/IF(CH1728&gt;0,CH1728,MAX(0.1,N(Cockpit!$O$6)))-CL1728)),0)</f>
        <v>3</v>
      </c>
      <c r="BH1728" s="63" t="n">
        <f aca="false">IF(BD1728&gt;0,J1728/BD1728,-1)</f>
        <v>0</v>
      </c>
      <c r="BI1728" s="63" t="n">
        <f aca="false">IF(AND(OR(CG1728="L1",CG1728="L23",CG1728="LIFT"),BD1728&gt;0),SUMIFS($BD$7:$BD$1843,$CG$7:$CG$1843,CG1728,$BH$7:$BH$1843,"&gt;"&amp;BH1728)+SUMIFS($BD$7:$BD$1843,$CG$7:$CG$1843,CG1728,$BH$7:$BH$1843,BH1728,$BX$7:$BX$1843,"&lt;="&amp;BX1728),"")</f>
        <v>32549.0695996565</v>
      </c>
      <c r="BJ1728" s="70" t="n">
        <f aca="false">IF(BI1728="",0,MAX(0,MIN(1,(IF(CG1728="L1",Parameter!$H$5,IF(CG1728="L23",Parameter!$H$6+Parameter!$H$7,Parameter!$H$5+Parameter!$H$6+Parameter!$H$7))-(BI1728-BD1728))/BD1728)))</f>
        <v>1</v>
      </c>
      <c r="BK1728" s="60" t="str">
        <f aca="false">IF(AJ1728&lt;=0,"",IF(CG1728="Aussen","Aussenlager",IF(CG1728="-","Nicht im Lift",IF(AP1728&gt;=1,"Lift",IF(AP1728&lt;=0,"Aussenlager","teilweise")))))</f>
        <v>Lift</v>
      </c>
      <c r="BL1728" s="60" t="str">
        <f aca="false">IF(AT1728&lt;=0,"",IF(CG1728="Aussen","Aussenlager",IF(CG1728="-","Nicht im Lift",IF(AZ1728&gt;=1,"Lift",IF(AZ1728&lt;=0,"Aussenlager","teilweise")))))</f>
        <v>Aussenlager</v>
      </c>
      <c r="BM1728" s="60" t="str">
        <f aca="false">IF(BD1728&lt;=0,"",IF(CG1728="Aussen","Aussenlager",IF(CG1728="-","Nicht im Lift",IF(BJ1728&gt;=1,"Lift",IF(BJ1728&lt;=0,"Aussenlager","teilweise")))))</f>
        <v>Lift</v>
      </c>
      <c r="BN1728" s="60" t="str">
        <f aca="false">IF(A1728="","",IF(BW1728=1,"Neu; ","")&amp;IF(AND(BW1728=0,BR1728&lt;0),"negativer Bestand (Export "&amp;BR1728&amp;"); ","")&amp;IF(J1728&lt;=0,"Kein Verbrauch; ","")&amp;IF(CR1728&gt;0,"Lift "&amp;W1728&amp;" lt. Liftbericht (Fach "&amp;X1728&amp;" Stk); ",IF(CB1728=1,"Gebinde geschätzt ("&amp;T1728&amp;"); ",IF(CA1728=1,"Lose – Tablare geschätzt; ","")))&amp;IF(H1728&gt;AW1728,"Überbestand "&amp;ROUND(H1728-AW1728,0)&amp;" Stk / CHF "&amp;ROUND((H1728-AW1728)*G1728,0)&amp;"; ","")&amp;IF(AND(CI1728=1,CJ1728&lt;CK1728),"MAX &lt; MB+LG; ","")&amp;IF(AND(CQ1728&gt;0,CP1728*10&gt;CQ1728),"zu hoch für Tablar; ","")&amp;IF(AND(BW1728=0,OR(CI1728=1,AB1728&lt;&gt;"",U1728&lt;&gt;"",V1728&lt;&gt;"",AC1728&lt;&gt;"")),"manuell übersteuert; ","")&amp;IF(AND(CA1728=0,R1728=0),"Gebinde unbekannt / Stellmass fehlt; ","")&amp;IF(AND(CA1728=0,N(V1728)&lt;=0,N(Q1728)&lt;=0),"Menge pro Gebinde fehlt (Ist = 1 Gebinde); ","")&amp;BV1728)</f>
        <v>Kein Verbrauch; Überbestand 13 Stk / CHF 1214; nur im Artikelstamm (Bestand 23.06.2026)</v>
      </c>
      <c r="BO1728" s="60"/>
      <c r="BP1728" s="60"/>
      <c r="BQ1728" s="67"/>
      <c r="BR1728" s="62" t="n">
        <v>16</v>
      </c>
      <c r="BS1728" s="62" t="n">
        <v>0</v>
      </c>
      <c r="BT1728" s="61" t="n">
        <v>0</v>
      </c>
      <c r="BU1728" s="62" t="n">
        <v>0</v>
      </c>
      <c r="BV1728" s="60" t="s">
        <v>2617</v>
      </c>
      <c r="BW1728" s="65" t="n">
        <v>0</v>
      </c>
      <c r="BX1728" s="65" t="n">
        <v>1728</v>
      </c>
      <c r="BY1728" s="60" t="str">
        <f aca="false">IF(U1728&lt;&gt;"",UPPER(TRIM(U1728)),IF(CB1728=1,UPPER(VLOOKUP(T1728,Parameter!$I$27:$K$29,2,0)),IF(P1728="","LOSE",P1728)))</f>
        <v>S21</v>
      </c>
      <c r="BZ1728" s="62" t="n">
        <f aca="false">IF(BY1728="LOSE",1,IF(N(V1728)&gt;0,V1728,IF(CB1728=1,MAX(1,N(VLOOKUP(T1728,Parameter!$I$27:$K$29,3,0)),H1728,N(N1728)),IF(N(Q1728)&gt;0,Q1728,MAX(1,H1728)))))</f>
        <v>15</v>
      </c>
      <c r="CA1728" s="65" t="n">
        <f aca="false">IF(BY1728="LOSE",1,0)</f>
        <v>0</v>
      </c>
      <c r="CB1728" s="65" t="n">
        <f aca="false">IF(AND(U1728="",OR(P1728="",P1728="LOSE"),T1728&lt;&gt;"",N(S1728)&lt;=0,ISNUMBER(MATCH(T1728,Parameter!$I$27:$I$29,0))),1,0)</f>
        <v>0</v>
      </c>
      <c r="CC1728" s="65" t="n">
        <f aca="false">IF(CR1728&gt;0,INDEX(Parameter!$H$5:$H$7,W1728)/INDEX(Parameter!$E$5:$E$7,W1728),IF(AND(CA1728=0,N(IFERROR(VLOOKUP(BY1728,'Gebinde-Kategorie'!$A$5:$N$45,14,0),0))&gt;0),VLOOKUP(BY1728,'Gebinde-Kategorie'!$A$5:$N$45,14,0)*10+Parameter!$M$23,Parameter!$M$24))</f>
        <v>155</v>
      </c>
      <c r="CD1728" s="60" t="str">
        <f aca="false">IF(AND(Parameter!$B$19="Ja",E1728&lt;&gt;"",ISNUMBER(MATCH(E1728,Parameter!$I$35:$I$52,0))),VLOOKUP(E1728,Parameter!$I$35:$J$52,2,0),IFERROR(VLOOKUP(D1728,Parameter!$A$35:$C$64,2,0),"Nein"))</f>
        <v>2+3</v>
      </c>
      <c r="CE1728" s="64" t="n">
        <f aca="false">IF(CA1728=0,0,IF(N(S1728)&gt;0,S1728,IFERROR(VLOOKUP(D1728,Parameter!$A$35:$C$64,3,0)+0,0)))</f>
        <v>0</v>
      </c>
      <c r="CF1728" s="60" t="n">
        <f aca="false">IF(AB1728&lt;&gt;"",AB1728,AA1728)</f>
        <v>2</v>
      </c>
      <c r="CG1728" s="60" t="str">
        <f aca="false">IF(OR(CF1728=1,CF1728=2,CF1728=3),IF(Parameter!$E$27="Ja","LIFT",IF(CF1728=1,"L1","L23")),IF(CF1728="Aussen","Aussen","-"))</f>
        <v>LIFT</v>
      </c>
      <c r="CH1728" s="71" t="n">
        <f aca="false">IF(N(AC1728)&gt;0,AC1728,0)</f>
        <v>0</v>
      </c>
      <c r="CI1728" s="65" t="n">
        <f aca="false">IF(ISNUMBER(AF1728),1,0)</f>
        <v>0</v>
      </c>
      <c r="CJ1728" s="62" t="n">
        <f aca="false">N(AF1728)</f>
        <v>0</v>
      </c>
      <c r="CK1728" s="62" t="n">
        <f aca="false">N(M1728)+N(N1728)</f>
        <v>3</v>
      </c>
      <c r="CL1728" s="62" t="n">
        <f aca="false">N(M1728)</f>
        <v>0</v>
      </c>
      <c r="CM1728" s="62" t="n">
        <f aca="false">N(N1728)</f>
        <v>3</v>
      </c>
      <c r="CN1728" s="62" t="n">
        <f aca="false">ROUNDUP(H1728/BZ1728,0)</f>
        <v>2</v>
      </c>
      <c r="CO1728" s="62" t="n">
        <f aca="false">ROUNDUP(CJ1728/BZ1728,0)</f>
        <v>0</v>
      </c>
      <c r="CP1728" s="65" t="n">
        <f aca="false">IF(CA1728=1,0,IFERROR(VLOOKUP(BY1728,'Gebinde-Kategorie'!$A$5:$N$45,5,0)+0,0))</f>
        <v>8</v>
      </c>
      <c r="CQ1728" s="65" t="n">
        <f aca="false">IFERROR(IF(OR(CF1728=1,CF1728=2,CF1728=3),N(INDEX(Parameter!$I$5:$I$7,CF1728)),0),0)</f>
        <v>0</v>
      </c>
      <c r="CR1728" s="64" t="n">
        <f aca="false">IF(AND(Parameter!$B$21="Ja",ISNUMBER(W1728),N(X1728)&gt;0),IFERROR(N(INDEX(Parameter!$L$5:$L$7,W1728))*INDEX(Parameter!$E$5:$E$7,W1728)*X1728/SUMIFS($X$7:$X$1843,$W$7:$W$1843,W1728),0),0)</f>
        <v>0</v>
      </c>
      <c r="CS1728" s="62" t="n">
        <f aca="false">IF(AND(OR(CG1728="L1",CG1728="L23",CG1728="LIFT"),H1728&gt;0),CC1728*IF(CR1728&gt;0,CR1728*MAX(1,H1728/X1728),IF(CA1728=1,CE1728,IF(R1728&gt;0,CN1728/R1728,0))/MAX(0.1,N(Parameter!$M$21))),"")</f>
        <v>1.10714285714286</v>
      </c>
      <c r="CT1728" s="64" t="n">
        <f aca="false">IF(CS1728="","",J1728/H1728)</f>
        <v>0</v>
      </c>
      <c r="CU1728" s="62" t="n">
        <f aca="false">IF(CS1728="","",H1728*G1728)</f>
        <v>1493.76</v>
      </c>
      <c r="CV1728" s="63" t="n">
        <f aca="false">IF(CS1728="","",(CL1728+ROUNDUP(CL1728+MAX(CM1728,2*(J1728/MAX(0.1,N(Einkauf!$C$6))-CL1728)),0))/2)</f>
        <v>1.5</v>
      </c>
      <c r="CW1728" s="62" t="n">
        <f aca="false">IF(CS1728="","",MAX(0,H1728-CV1728)*G1728)</f>
        <v>1353.72</v>
      </c>
      <c r="CX1728" s="62" t="n">
        <f aca="false">IF(CS1728="","",CS1728*MAX(0,1-CV1728/H1728))</f>
        <v>1.00334821428571</v>
      </c>
      <c r="CY1728" s="64" t="n">
        <f aca="false">IF(CS1728="","",PERCENTRANK($CS$7:$CS$1843,CS1728)+PERCENTRANK($CU$7:$CU$1843,CU1728)+1-PERCENTRANK($CT$7:$CT$1843,CT1728))</f>
        <v>1.7744</v>
      </c>
      <c r="CZ1728" s="72" t="n">
        <f aca="false">IF(CS1728="","",CHOOSE(MATCH(Einkauf!$C$5,Parameter!$G$23:$G$27,0),CY1728,CS1728,CU1728,-CT1728,CW1728)+ROW()/1000000000)</f>
        <v>1.774401728</v>
      </c>
    </row>
    <row r="1729" customFormat="false" ht="15" hidden="false" customHeight="false" outlineLevel="0" collapsed="false">
      <c r="A1729" s="60" t="s">
        <v>3033</v>
      </c>
      <c r="B1729" s="60" t="s">
        <v>3034</v>
      </c>
      <c r="C1729" s="60" t="s">
        <v>206</v>
      </c>
      <c r="D1729" s="60" t="s">
        <v>226</v>
      </c>
      <c r="E1729" s="60"/>
      <c r="F1729" s="60"/>
      <c r="G1729" s="61" t="n">
        <v>40</v>
      </c>
      <c r="H1729" s="62" t="n">
        <f aca="false">MAX(0,IF(AND(Parameter!$B$21="Ja",ISNUMBER(Y1729)),Y1729,IF(Parameter!$B$20="Jahresanfang 2025 + Export",BS1729+BR1729,BR1729)))</f>
        <v>13</v>
      </c>
      <c r="I1729" s="62" t="n">
        <f aca="false">H1729*G1729</f>
        <v>520</v>
      </c>
      <c r="J1729" s="62" t="n">
        <f aca="false">BU1729*Parameter!$B$18</f>
        <v>0</v>
      </c>
      <c r="K1729" s="63"/>
      <c r="L1729" s="64"/>
      <c r="M1729" s="62" t="n">
        <v>0</v>
      </c>
      <c r="N1729" s="62" t="n">
        <v>1</v>
      </c>
      <c r="O1729" s="65" t="n">
        <v>0</v>
      </c>
      <c r="P1729" s="60" t="s">
        <v>443</v>
      </c>
      <c r="Q1729" s="62" t="n">
        <v>12</v>
      </c>
      <c r="R1729" s="65" t="n">
        <f aca="false">IF(CA1729=1,0,IFERROR(VLOOKUP(BY1729,'Gebinde-Kategorie'!$A$5:$N$45,13,0)+0,0))</f>
        <v>280</v>
      </c>
      <c r="S1729" s="66"/>
      <c r="T1729" s="67"/>
      <c r="U1729" s="67"/>
      <c r="V1729" s="67"/>
      <c r="W1729" s="60"/>
      <c r="X1729" s="62"/>
      <c r="Y1729" s="62"/>
      <c r="Z1729" s="60" t="n">
        <v>1</v>
      </c>
      <c r="AA1729" s="60" t="n">
        <f aca="false">IF(A1729="","",IF(AND(Parameter!$B$21="Ja",ISNUMBER(W1729)),W1729,IF(AND(Parameter!$E$27="Ja",ISNUMBER(Z1729),CD1729&lt;&gt;"Nein"),Z1729,IF(CD1729="2+3",IF(ISNUMBER(SEARCH("grosser Artikel",BV1729)),2,IFERROR(VLOOKUP(BY1729,Parameter!$F$35:$G$64,2,0),2)),IF(OR(CD1729="Nein",CD1729=""),"-",CD1729)))))</f>
        <v>1</v>
      </c>
      <c r="AB1729" s="67"/>
      <c r="AC1729" s="68"/>
      <c r="AD1729" s="62" t="n">
        <f aca="false">AW1729</f>
        <v>1</v>
      </c>
      <c r="AE1729" s="62" t="n">
        <f aca="false">MAX(AW1729,H1729)</f>
        <v>13</v>
      </c>
      <c r="AF1729" s="69"/>
      <c r="AG1729" s="62" t="n">
        <f aca="false">IF(LEFT(Cockpit!$C$5,1)="A",H1729,IF(Parameter!$E$30="MAX-Bestand",IF(CI1729=1,CJ1729,IF(LEFT(Cockpit!$C$5,1)="B",AM1729,MAX(AM1729,H1729))),ROUNDUP(AK1729,0)))</f>
        <v>13</v>
      </c>
      <c r="AH1729" s="62" t="n">
        <f aca="false">IF(CA1729=1,0,ROUNDUP(AG1729/BZ1729,0))</f>
        <v>2</v>
      </c>
      <c r="AI1729" s="64" t="n">
        <f aca="false">IF(CR1729&gt;0,CR1729*MAX(1,AG1729/X1729),IF(CA1729=1,IF(AG1729&lt;=0,0,CE1729*MAX(1,IF(H1729&gt;0,AG1729/H1729,1))),IF(R1729&gt;0,AH1729/R1729,0))/MAX(0.1,N(Parameter!$M$21)))</f>
        <v>0.00714285714285714</v>
      </c>
      <c r="AJ1729" s="62" t="n">
        <f aca="false">AI1729*CC1729</f>
        <v>1.10714285714286</v>
      </c>
      <c r="AK1729" s="63" t="n">
        <f aca="false">IF(LEFT(Cockpit!$C$5,1)="A",H1729,IF(CI1729=1,(CL1729+CJ1729)/2,IF(LEFT(Cockpit!$C$5,1)="B",(CL1729+AM1729)/2,MAX((CL1729+AM1729)/2,H1729))))</f>
        <v>13</v>
      </c>
      <c r="AL1729" s="62" t="n">
        <f aca="false">AK1729*G1729</f>
        <v>520</v>
      </c>
      <c r="AM1729" s="62" t="n">
        <f aca="false">ROUNDUP(CL1729+MAX(CM1729,2*(J1729/IF(CH1729&gt;0,CH1729,MAX(0.1,N(Cockpit!$C$6)))-CL1729)),0)</f>
        <v>1</v>
      </c>
      <c r="AN1729" s="63" t="n">
        <f aca="false">IF(AJ1729&gt;0,J1729/AJ1729,-1)</f>
        <v>0</v>
      </c>
      <c r="AO1729" s="63" t="n">
        <f aca="false">IF(AND(OR(CG1729="L1",CG1729="L23",CG1729="LIFT"),AJ1729&gt;0),SUMIFS($AJ$7:$AJ$1843,$CG$7:$CG$1843,CG1729,$AN$7:$AN$1843,"&gt;"&amp;AN1729)+SUMIFS($AJ$7:$AJ$1843,$CG$7:$CG$1843,CG1729,$AN$7:$AN$1843,AN1729,$BX$7:$BX$1843,"&lt;="&amp;BX1729),"")</f>
        <v>32847.0289030649</v>
      </c>
      <c r="AP1729" s="70" t="n">
        <f aca="false">IF(AO1729="",0,MAX(0,MIN(1,(IF(CG1729="L1",Parameter!$H$5,IF(CG1729="L23",Parameter!$H$6+Parameter!$H$7,Parameter!$H$5+Parameter!$H$6+Parameter!$H$7))-(AO1729-AJ1729))/AJ1729)))</f>
        <v>1</v>
      </c>
      <c r="AQ1729" s="62" t="n">
        <f aca="false">IF(LEFT(Cockpit!$I$5,1)="A",H1729,IF(Parameter!$E$30="MAX-Bestand",IF(CI1729=1,CJ1729,IF(LEFT(Cockpit!$I$5,1)="B",AW1729,MAX(AW1729,H1729))),ROUNDUP(AU1729,0)))</f>
        <v>13</v>
      </c>
      <c r="AR1729" s="62" t="n">
        <f aca="false">IF(CA1729=1,0,ROUNDUP(AQ1729/BZ1729,0))</f>
        <v>2</v>
      </c>
      <c r="AS1729" s="64" t="n">
        <f aca="false">IF(CR1729&gt;0,CR1729*MAX(1,AQ1729/X1729),IF(CA1729=1,IF(AQ1729&lt;=0,0,CE1729*MAX(1,IF(H1729&gt;0,AQ1729/H1729,1))),IF(R1729&gt;0,AR1729/R1729,0))/MAX(0.1,N(Parameter!$M$21)))</f>
        <v>0.00714285714285714</v>
      </c>
      <c r="AT1729" s="62" t="n">
        <f aca="false">AS1729*CC1729</f>
        <v>1.10714285714286</v>
      </c>
      <c r="AU1729" s="63" t="n">
        <f aca="false">IF(LEFT(Cockpit!$I$5,1)="A",H1729,IF(CI1729=1,(CL1729+CJ1729)/2,IF(LEFT(Cockpit!$I$5,1)="B",(CL1729+AW1729)/2,MAX((CL1729+AW1729)/2,H1729))))</f>
        <v>13</v>
      </c>
      <c r="AV1729" s="62" t="n">
        <f aca="false">AU1729*G1729</f>
        <v>520</v>
      </c>
      <c r="AW1729" s="62" t="n">
        <f aca="false">ROUNDUP(CL1729+MAX(CM1729,2*(J1729/IF(CH1729&gt;0,CH1729,MAX(0.1,N(Cockpit!$I$6)))-CL1729)),0)</f>
        <v>1</v>
      </c>
      <c r="AX1729" s="63" t="n">
        <f aca="false">IF(AT1729&gt;0,J1729/AT1729,-1)</f>
        <v>0</v>
      </c>
      <c r="AY1729" s="63" t="n">
        <f aca="false">IF(AND(OR(CG1729="L1",CG1729="L23",CG1729="LIFT"),AT1729&gt;0),SUMIFS($AT$7:$AT$1843,$CG$7:$CG$1843,CG1729,$AX$7:$AX$1843,"&gt;"&amp;AX1729)+SUMIFS($AT$7:$AT$1843,$CG$7:$CG$1843,CG1729,$AX$7:$AX$1843,AX1729,$BX$7:$BX$1843,"&lt;="&amp;BX1729),"")</f>
        <v>39320.9378479336</v>
      </c>
      <c r="AZ1729" s="70" t="n">
        <f aca="false">IF(AY1729="",0,MAX(0,MIN(1,(IF(CG1729="L1",Parameter!$H$5,IF(CG1729="L23",Parameter!$H$6+Parameter!$H$7,Parameter!$H$5+Parameter!$H$6+Parameter!$H$7))-(AY1729-AT1729))/AT1729)))</f>
        <v>0</v>
      </c>
      <c r="BA1729" s="62" t="n">
        <f aca="false">IF(LEFT(Cockpit!$O$5,1)="A",H1729,IF(Parameter!$E$30="MAX-Bestand",IF(CI1729=1,CJ1729,IF(LEFT(Cockpit!$O$5,1)="B",BG1729,MAX(BG1729,H1729))),ROUNDUP(BE1729,0)))</f>
        <v>1</v>
      </c>
      <c r="BB1729" s="62" t="n">
        <f aca="false">IF(CA1729=1,0,ROUNDUP(BA1729/BZ1729,0))</f>
        <v>1</v>
      </c>
      <c r="BC1729" s="64" t="n">
        <f aca="false">IF(CR1729&gt;0,CR1729*MAX(1,BA1729/X1729),IF(CA1729=1,IF(BA1729&lt;=0,0,CE1729*MAX(1,IF(H1729&gt;0,BA1729/H1729,1))),IF(R1729&gt;0,BB1729/R1729,0))/MAX(0.1,N(Parameter!$M$21)))</f>
        <v>0.00357142857142857</v>
      </c>
      <c r="BD1729" s="62" t="n">
        <f aca="false">BC1729*CC1729</f>
        <v>0.553571428571429</v>
      </c>
      <c r="BE1729" s="63" t="n">
        <f aca="false">IF(LEFT(Cockpit!$O$5,1)="A",H1729,IF(CI1729=1,(CL1729+CJ1729)/2,IF(LEFT(Cockpit!$O$5,1)="B",(CL1729+BG1729)/2,MAX((CL1729+BG1729)/2,H1729))))</f>
        <v>0.5</v>
      </c>
      <c r="BF1729" s="62" t="n">
        <f aca="false">BE1729*G1729</f>
        <v>20</v>
      </c>
      <c r="BG1729" s="62" t="n">
        <f aca="false">ROUNDUP(CL1729+MAX(CM1729,2*(J1729/IF(CH1729&gt;0,CH1729,MAX(0.1,N(Cockpit!$O$6)))-CL1729)),0)</f>
        <v>1</v>
      </c>
      <c r="BH1729" s="63" t="n">
        <f aca="false">IF(BD1729&gt;0,J1729/BD1729,-1)</f>
        <v>0</v>
      </c>
      <c r="BI1729" s="63" t="n">
        <f aca="false">IF(AND(OR(CG1729="L1",CG1729="L23",CG1729="LIFT"),BD1729&gt;0),SUMIFS($BD$7:$BD$1843,$CG$7:$CG$1843,CG1729,$BH$7:$BH$1843,"&gt;"&amp;BH1729)+SUMIFS($BD$7:$BD$1843,$CG$7:$CG$1843,CG1729,$BH$7:$BH$1843,BH1729,$BX$7:$BX$1843,"&lt;="&amp;BX1729),"")</f>
        <v>32549.623171085</v>
      </c>
      <c r="BJ1729" s="70" t="n">
        <f aca="false">IF(BI1729="",0,MAX(0,MIN(1,(IF(CG1729="L1",Parameter!$H$5,IF(CG1729="L23",Parameter!$H$6+Parameter!$H$7,Parameter!$H$5+Parameter!$H$6+Parameter!$H$7))-(BI1729-BD1729))/BD1729)))</f>
        <v>1</v>
      </c>
      <c r="BK1729" s="60" t="str">
        <f aca="false">IF(AJ1729&lt;=0,"",IF(CG1729="Aussen","Aussenlager",IF(CG1729="-","Nicht im Lift",IF(AP1729&gt;=1,"Lift",IF(AP1729&lt;=0,"Aussenlager","teilweise")))))</f>
        <v>Lift</v>
      </c>
      <c r="BL1729" s="60" t="str">
        <f aca="false">IF(AT1729&lt;=0,"",IF(CG1729="Aussen","Aussenlager",IF(CG1729="-","Nicht im Lift",IF(AZ1729&gt;=1,"Lift",IF(AZ1729&lt;=0,"Aussenlager","teilweise")))))</f>
        <v>Aussenlager</v>
      </c>
      <c r="BM1729" s="60" t="str">
        <f aca="false">IF(BD1729&lt;=0,"",IF(CG1729="Aussen","Aussenlager",IF(CG1729="-","Nicht im Lift",IF(BJ1729&gt;=1,"Lift",IF(BJ1729&lt;=0,"Aussenlager","teilweise")))))</f>
        <v>Lift</v>
      </c>
      <c r="BN1729" s="60" t="str">
        <f aca="false">IF(A1729="","",IF(BW1729=1,"Neu; ","")&amp;IF(AND(BW1729=0,BR1729&lt;0),"negativer Bestand (Export "&amp;BR1729&amp;"); ","")&amp;IF(J1729&lt;=0,"Kein Verbrauch; ","")&amp;IF(CR1729&gt;0,"Lift "&amp;W1729&amp;" lt. Liftbericht (Fach "&amp;X1729&amp;" Stk); ",IF(CB1729=1,"Gebinde geschätzt ("&amp;T1729&amp;"); ",IF(CA1729=1,"Lose – Tablare geschätzt; ","")))&amp;IF(H1729&gt;AW1729,"Überbestand "&amp;ROUND(H1729-AW1729,0)&amp;" Stk / CHF "&amp;ROUND((H1729-AW1729)*G1729,0)&amp;"; ","")&amp;IF(AND(CI1729=1,CJ1729&lt;CK1729),"MAX &lt; MB+LG; ","")&amp;IF(AND(CQ1729&gt;0,CP1729*10&gt;CQ1729),"zu hoch für Tablar; ","")&amp;IF(AND(BW1729=0,OR(CI1729=1,AB1729&lt;&gt;"",U1729&lt;&gt;"",V1729&lt;&gt;"",AC1729&lt;&gt;"")),"manuell übersteuert; ","")&amp;IF(AND(CA1729=0,R1729=0),"Gebinde unbekannt / Stellmass fehlt; ","")&amp;IF(AND(CA1729=0,N(V1729)&lt;=0,N(Q1729)&lt;=0),"Menge pro Gebinde fehlt (Ist = 1 Gebinde); ","")&amp;BV1729)</f>
        <v>Kein Verbrauch; Überbestand 12 Stk / CHF 480; nur im Artikelstamm (Bestand 23.06.2026)</v>
      </c>
      <c r="BO1729" s="60"/>
      <c r="BP1729" s="60"/>
      <c r="BQ1729" s="67"/>
      <c r="BR1729" s="62" t="n">
        <v>13</v>
      </c>
      <c r="BS1729" s="62" t="n">
        <v>0</v>
      </c>
      <c r="BT1729" s="61" t="n">
        <v>0</v>
      </c>
      <c r="BU1729" s="62" t="n">
        <v>0</v>
      </c>
      <c r="BV1729" s="60" t="s">
        <v>2617</v>
      </c>
      <c r="BW1729" s="65" t="n">
        <v>0</v>
      </c>
      <c r="BX1729" s="65" t="n">
        <v>1729</v>
      </c>
      <c r="BY1729" s="60" t="str">
        <f aca="false">IF(U1729&lt;&gt;"",UPPER(TRIM(U1729)),IF(CB1729=1,UPPER(VLOOKUP(T1729,Parameter!$I$27:$K$29,2,0)),IF(P1729="","LOSE",P1729)))</f>
        <v>S21</v>
      </c>
      <c r="BZ1729" s="62" t="n">
        <f aca="false">IF(BY1729="LOSE",1,IF(N(V1729)&gt;0,V1729,IF(CB1729=1,MAX(1,N(VLOOKUP(T1729,Parameter!$I$27:$K$29,3,0)),H1729,N(N1729)),IF(N(Q1729)&gt;0,Q1729,MAX(1,H1729)))))</f>
        <v>12</v>
      </c>
      <c r="CA1729" s="65" t="n">
        <f aca="false">IF(BY1729="LOSE",1,0)</f>
        <v>0</v>
      </c>
      <c r="CB1729" s="65" t="n">
        <f aca="false">IF(AND(U1729="",OR(P1729="",P1729="LOSE"),T1729&lt;&gt;"",N(S1729)&lt;=0,ISNUMBER(MATCH(T1729,Parameter!$I$27:$I$29,0))),1,0)</f>
        <v>0</v>
      </c>
      <c r="CC1729" s="65" t="n">
        <f aca="false">IF(CR1729&gt;0,INDEX(Parameter!$H$5:$H$7,W1729)/INDEX(Parameter!$E$5:$E$7,W1729),IF(AND(CA1729=0,N(IFERROR(VLOOKUP(BY1729,'Gebinde-Kategorie'!$A$5:$N$45,14,0),0))&gt;0),VLOOKUP(BY1729,'Gebinde-Kategorie'!$A$5:$N$45,14,0)*10+Parameter!$M$23,Parameter!$M$24))</f>
        <v>155</v>
      </c>
      <c r="CD1729" s="60" t="str">
        <f aca="false">IF(AND(Parameter!$B$19="Ja",E1729&lt;&gt;"",ISNUMBER(MATCH(E1729,Parameter!$I$35:$I$52,0))),VLOOKUP(E1729,Parameter!$I$35:$J$52,2,0),IFERROR(VLOOKUP(D1729,Parameter!$A$35:$C$64,2,0),"Nein"))</f>
        <v>2+3</v>
      </c>
      <c r="CE1729" s="64" t="n">
        <f aca="false">IF(CA1729=0,0,IF(N(S1729)&gt;0,S1729,IFERROR(VLOOKUP(D1729,Parameter!$A$35:$C$64,3,0)+0,0)))</f>
        <v>0</v>
      </c>
      <c r="CF1729" s="60" t="n">
        <f aca="false">IF(AB1729&lt;&gt;"",AB1729,AA1729)</f>
        <v>1</v>
      </c>
      <c r="CG1729" s="60" t="str">
        <f aca="false">IF(OR(CF1729=1,CF1729=2,CF1729=3),IF(Parameter!$E$27="Ja","LIFT",IF(CF1729=1,"L1","L23")),IF(CF1729="Aussen","Aussen","-"))</f>
        <v>LIFT</v>
      </c>
      <c r="CH1729" s="71" t="n">
        <f aca="false">IF(N(AC1729)&gt;0,AC1729,0)</f>
        <v>0</v>
      </c>
      <c r="CI1729" s="65" t="n">
        <f aca="false">IF(ISNUMBER(AF1729),1,0)</f>
        <v>0</v>
      </c>
      <c r="CJ1729" s="62" t="n">
        <f aca="false">N(AF1729)</f>
        <v>0</v>
      </c>
      <c r="CK1729" s="62" t="n">
        <f aca="false">N(M1729)+N(N1729)</f>
        <v>1</v>
      </c>
      <c r="CL1729" s="62" t="n">
        <f aca="false">N(M1729)</f>
        <v>0</v>
      </c>
      <c r="CM1729" s="62" t="n">
        <f aca="false">N(N1729)</f>
        <v>1</v>
      </c>
      <c r="CN1729" s="62" t="n">
        <f aca="false">ROUNDUP(H1729/BZ1729,0)</f>
        <v>2</v>
      </c>
      <c r="CO1729" s="62" t="n">
        <f aca="false">ROUNDUP(CJ1729/BZ1729,0)</f>
        <v>0</v>
      </c>
      <c r="CP1729" s="65" t="n">
        <f aca="false">IF(CA1729=1,0,IFERROR(VLOOKUP(BY1729,'Gebinde-Kategorie'!$A$5:$N$45,5,0)+0,0))</f>
        <v>8</v>
      </c>
      <c r="CQ1729" s="65" t="n">
        <f aca="false">IFERROR(IF(OR(CF1729=1,CF1729=2,CF1729=3),N(INDEX(Parameter!$I$5:$I$7,CF1729)),0),0)</f>
        <v>0</v>
      </c>
      <c r="CR1729" s="64" t="n">
        <f aca="false">IF(AND(Parameter!$B$21="Ja",ISNUMBER(W1729),N(X1729)&gt;0),IFERROR(N(INDEX(Parameter!$L$5:$L$7,W1729))*INDEX(Parameter!$E$5:$E$7,W1729)*X1729/SUMIFS($X$7:$X$1843,$W$7:$W$1843,W1729),0),0)</f>
        <v>0</v>
      </c>
      <c r="CS1729" s="62" t="n">
        <f aca="false">IF(AND(OR(CG1729="L1",CG1729="L23",CG1729="LIFT"),H1729&gt;0),CC1729*IF(CR1729&gt;0,CR1729*MAX(1,H1729/X1729),IF(CA1729=1,CE1729,IF(R1729&gt;0,CN1729/R1729,0))/MAX(0.1,N(Parameter!$M$21))),"")</f>
        <v>1.10714285714286</v>
      </c>
      <c r="CT1729" s="64" t="n">
        <f aca="false">IF(CS1729="","",J1729/H1729)</f>
        <v>0</v>
      </c>
      <c r="CU1729" s="62" t="n">
        <f aca="false">IF(CS1729="","",H1729*G1729)</f>
        <v>520</v>
      </c>
      <c r="CV1729" s="63" t="n">
        <f aca="false">IF(CS1729="","",(CL1729+ROUNDUP(CL1729+MAX(CM1729,2*(J1729/MAX(0.1,N(Einkauf!$C$6))-CL1729)),0))/2)</f>
        <v>0.5</v>
      </c>
      <c r="CW1729" s="62" t="n">
        <f aca="false">IF(CS1729="","",MAX(0,H1729-CV1729)*G1729)</f>
        <v>500</v>
      </c>
      <c r="CX1729" s="62" t="n">
        <f aca="false">IF(CS1729="","",CS1729*MAX(0,1-CV1729/H1729))</f>
        <v>1.06456043956044</v>
      </c>
      <c r="CY1729" s="64" t="n">
        <f aca="false">IF(CS1729="","",PERCENTRANK($CS$7:$CS$1843,CS1729)+PERCENTRANK($CU$7:$CU$1843,CU1729)+1-PERCENTRANK($CT$7:$CT$1843,CT1729))</f>
        <v>1.5764</v>
      </c>
      <c r="CZ1729" s="72" t="n">
        <f aca="false">IF(CS1729="","",CHOOSE(MATCH(Einkauf!$C$5,Parameter!$G$23:$G$27,0),CY1729,CS1729,CU1729,-CT1729,CW1729)+ROW()/1000000000)</f>
        <v>1.576401729</v>
      </c>
    </row>
    <row r="1730" customFormat="false" ht="15" hidden="false" customHeight="false" outlineLevel="0" collapsed="false">
      <c r="A1730" s="60" t="s">
        <v>3035</v>
      </c>
      <c r="B1730" s="60" t="s">
        <v>467</v>
      </c>
      <c r="C1730" s="60" t="s">
        <v>206</v>
      </c>
      <c r="D1730" s="60" t="s">
        <v>226</v>
      </c>
      <c r="E1730" s="60"/>
      <c r="F1730" s="60"/>
      <c r="G1730" s="61" t="n">
        <v>136.13</v>
      </c>
      <c r="H1730" s="62" t="n">
        <f aca="false">MAX(0,IF(AND(Parameter!$B$21="Ja",ISNUMBER(Y1730)),Y1730,IF(Parameter!$B$20="Jahresanfang 2025 + Export",BS1730+BR1730,BR1730)))</f>
        <v>12</v>
      </c>
      <c r="I1730" s="62" t="n">
        <f aca="false">H1730*G1730</f>
        <v>1633.56</v>
      </c>
      <c r="J1730" s="62" t="n">
        <f aca="false">BU1730*Parameter!$B$18</f>
        <v>0</v>
      </c>
      <c r="K1730" s="63"/>
      <c r="L1730" s="64"/>
      <c r="M1730" s="62" t="n">
        <v>0</v>
      </c>
      <c r="N1730" s="62" t="n">
        <v>10</v>
      </c>
      <c r="O1730" s="65" t="n">
        <v>42</v>
      </c>
      <c r="P1730" s="60" t="s">
        <v>468</v>
      </c>
      <c r="Q1730" s="62" t="n">
        <v>12</v>
      </c>
      <c r="R1730" s="65" t="n">
        <f aca="false">IF(CA1730=1,0,IFERROR(VLOOKUP(BY1730,'Gebinde-Kategorie'!$A$5:$N$45,13,0)+0,0))</f>
        <v>140</v>
      </c>
      <c r="S1730" s="66"/>
      <c r="T1730" s="67"/>
      <c r="U1730" s="67"/>
      <c r="V1730" s="67"/>
      <c r="W1730" s="60"/>
      <c r="X1730" s="62"/>
      <c r="Y1730" s="62"/>
      <c r="Z1730" s="60" t="n">
        <v>1</v>
      </c>
      <c r="AA1730" s="60" t="n">
        <f aca="false">IF(A1730="","",IF(AND(Parameter!$B$21="Ja",ISNUMBER(W1730)),W1730,IF(AND(Parameter!$E$27="Ja",ISNUMBER(Z1730),CD1730&lt;&gt;"Nein"),Z1730,IF(CD1730="2+3",IF(ISNUMBER(SEARCH("grosser Artikel",BV1730)),2,IFERROR(VLOOKUP(BY1730,Parameter!$F$35:$G$64,2,0),2)),IF(OR(CD1730="Nein",CD1730=""),"-",CD1730)))))</f>
        <v>1</v>
      </c>
      <c r="AB1730" s="67"/>
      <c r="AC1730" s="68"/>
      <c r="AD1730" s="62" t="n">
        <f aca="false">AW1730</f>
        <v>10</v>
      </c>
      <c r="AE1730" s="62" t="n">
        <f aca="false">MAX(AW1730,H1730)</f>
        <v>12</v>
      </c>
      <c r="AF1730" s="69"/>
      <c r="AG1730" s="62" t="n">
        <f aca="false">IF(LEFT(Cockpit!$C$5,1)="A",H1730,IF(Parameter!$E$30="MAX-Bestand",IF(CI1730=1,CJ1730,IF(LEFT(Cockpit!$C$5,1)="B",AM1730,MAX(AM1730,H1730))),ROUNDUP(AK1730,0)))</f>
        <v>12</v>
      </c>
      <c r="AH1730" s="62" t="n">
        <f aca="false">IF(CA1730=1,0,ROUNDUP(AG1730/BZ1730,0))</f>
        <v>1</v>
      </c>
      <c r="AI1730" s="64" t="n">
        <f aca="false">IF(CR1730&gt;0,CR1730*MAX(1,AG1730/X1730),IF(CA1730=1,IF(AG1730&lt;=0,0,CE1730*MAX(1,IF(H1730&gt;0,AG1730/H1730,1))),IF(R1730&gt;0,AH1730/R1730,0))/MAX(0.1,N(Parameter!$M$21)))</f>
        <v>0.00714285714285714</v>
      </c>
      <c r="AJ1730" s="62" t="n">
        <f aca="false">AI1730*CC1730</f>
        <v>1.10714285714286</v>
      </c>
      <c r="AK1730" s="63" t="n">
        <f aca="false">IF(LEFT(Cockpit!$C$5,1)="A",H1730,IF(CI1730=1,(CL1730+CJ1730)/2,IF(LEFT(Cockpit!$C$5,1)="B",(CL1730+AM1730)/2,MAX((CL1730+AM1730)/2,H1730))))</f>
        <v>12</v>
      </c>
      <c r="AL1730" s="62" t="n">
        <f aca="false">AK1730*G1730</f>
        <v>1633.56</v>
      </c>
      <c r="AM1730" s="62" t="n">
        <f aca="false">ROUNDUP(CL1730+MAX(CM1730,2*(J1730/IF(CH1730&gt;0,CH1730,MAX(0.1,N(Cockpit!$C$6)))-CL1730)),0)</f>
        <v>10</v>
      </c>
      <c r="AN1730" s="63" t="n">
        <f aca="false">IF(AJ1730&gt;0,J1730/AJ1730,-1)</f>
        <v>0</v>
      </c>
      <c r="AO1730" s="63" t="n">
        <f aca="false">IF(AND(OR(CG1730="L1",CG1730="L23",CG1730="LIFT"),AJ1730&gt;0),SUMIFS($AJ$7:$AJ$1843,$CG$7:$CG$1843,CG1730,$AN$7:$AN$1843,"&gt;"&amp;AN1730)+SUMIFS($AJ$7:$AJ$1843,$CG$7:$CG$1843,CG1730,$AN$7:$AN$1843,AN1730,$BX$7:$BX$1843,"&lt;="&amp;BX1730),"")</f>
        <v>32848.1360459221</v>
      </c>
      <c r="AP1730" s="70" t="n">
        <f aca="false">IF(AO1730="",0,MAX(0,MIN(1,(IF(CG1730="L1",Parameter!$H$5,IF(CG1730="L23",Parameter!$H$6+Parameter!$H$7,Parameter!$H$5+Parameter!$H$6+Parameter!$H$7))-(AO1730-AJ1730))/AJ1730)))</f>
        <v>1</v>
      </c>
      <c r="AQ1730" s="62" t="n">
        <f aca="false">IF(LEFT(Cockpit!$I$5,1)="A",H1730,IF(Parameter!$E$30="MAX-Bestand",IF(CI1730=1,CJ1730,IF(LEFT(Cockpit!$I$5,1)="B",AW1730,MAX(AW1730,H1730))),ROUNDUP(AU1730,0)))</f>
        <v>12</v>
      </c>
      <c r="AR1730" s="62" t="n">
        <f aca="false">IF(CA1730=1,0,ROUNDUP(AQ1730/BZ1730,0))</f>
        <v>1</v>
      </c>
      <c r="AS1730" s="64" t="n">
        <f aca="false">IF(CR1730&gt;0,CR1730*MAX(1,AQ1730/X1730),IF(CA1730=1,IF(AQ1730&lt;=0,0,CE1730*MAX(1,IF(H1730&gt;0,AQ1730/H1730,1))),IF(R1730&gt;0,AR1730/R1730,0))/MAX(0.1,N(Parameter!$M$21)))</f>
        <v>0.00714285714285714</v>
      </c>
      <c r="AT1730" s="62" t="n">
        <f aca="false">AS1730*CC1730</f>
        <v>1.10714285714286</v>
      </c>
      <c r="AU1730" s="63" t="n">
        <f aca="false">IF(LEFT(Cockpit!$I$5,1)="A",H1730,IF(CI1730=1,(CL1730+CJ1730)/2,IF(LEFT(Cockpit!$I$5,1)="B",(CL1730+AW1730)/2,MAX((CL1730+AW1730)/2,H1730))))</f>
        <v>12</v>
      </c>
      <c r="AV1730" s="62" t="n">
        <f aca="false">AU1730*G1730</f>
        <v>1633.56</v>
      </c>
      <c r="AW1730" s="62" t="n">
        <f aca="false">ROUNDUP(CL1730+MAX(CM1730,2*(J1730/IF(CH1730&gt;0,CH1730,MAX(0.1,N(Cockpit!$I$6)))-CL1730)),0)</f>
        <v>10</v>
      </c>
      <c r="AX1730" s="63" t="n">
        <f aca="false">IF(AT1730&gt;0,J1730/AT1730,-1)</f>
        <v>0</v>
      </c>
      <c r="AY1730" s="63" t="n">
        <f aca="false">IF(AND(OR(CG1730="L1",CG1730="L23",CG1730="LIFT"),AT1730&gt;0),SUMIFS($AT$7:$AT$1843,$CG$7:$CG$1843,CG1730,$AX$7:$AX$1843,"&gt;"&amp;AX1730)+SUMIFS($AT$7:$AT$1843,$CG$7:$CG$1843,CG1730,$AX$7:$AX$1843,AX1730,$BX$7:$BX$1843,"&lt;="&amp;BX1730),"")</f>
        <v>39322.0449907908</v>
      </c>
      <c r="AZ1730" s="70" t="n">
        <f aca="false">IF(AY1730="",0,MAX(0,MIN(1,(IF(CG1730="L1",Parameter!$H$5,IF(CG1730="L23",Parameter!$H$6+Parameter!$H$7,Parameter!$H$5+Parameter!$H$6+Parameter!$H$7))-(AY1730-AT1730))/AT1730)))</f>
        <v>0</v>
      </c>
      <c r="BA1730" s="62" t="n">
        <f aca="false">IF(LEFT(Cockpit!$O$5,1)="A",H1730,IF(Parameter!$E$30="MAX-Bestand",IF(CI1730=1,CJ1730,IF(LEFT(Cockpit!$O$5,1)="B",BG1730,MAX(BG1730,H1730))),ROUNDUP(BE1730,0)))</f>
        <v>5</v>
      </c>
      <c r="BB1730" s="62" t="n">
        <f aca="false">IF(CA1730=1,0,ROUNDUP(BA1730/BZ1730,0))</f>
        <v>1</v>
      </c>
      <c r="BC1730" s="64" t="n">
        <f aca="false">IF(CR1730&gt;0,CR1730*MAX(1,BA1730/X1730),IF(CA1730=1,IF(BA1730&lt;=0,0,CE1730*MAX(1,IF(H1730&gt;0,BA1730/H1730,1))),IF(R1730&gt;0,BB1730/R1730,0))/MAX(0.1,N(Parameter!$M$21)))</f>
        <v>0.00714285714285714</v>
      </c>
      <c r="BD1730" s="62" t="n">
        <f aca="false">BC1730*CC1730</f>
        <v>1.10714285714286</v>
      </c>
      <c r="BE1730" s="63" t="n">
        <f aca="false">IF(LEFT(Cockpit!$O$5,1)="A",H1730,IF(CI1730=1,(CL1730+CJ1730)/2,IF(LEFT(Cockpit!$O$5,1)="B",(CL1730+BG1730)/2,MAX((CL1730+BG1730)/2,H1730))))</f>
        <v>5</v>
      </c>
      <c r="BF1730" s="62" t="n">
        <f aca="false">BE1730*G1730</f>
        <v>680.65</v>
      </c>
      <c r="BG1730" s="62" t="n">
        <f aca="false">ROUNDUP(CL1730+MAX(CM1730,2*(J1730/IF(CH1730&gt;0,CH1730,MAX(0.1,N(Cockpit!$O$6)))-CL1730)),0)</f>
        <v>10</v>
      </c>
      <c r="BH1730" s="63" t="n">
        <f aca="false">IF(BD1730&gt;0,J1730/BD1730,-1)</f>
        <v>0</v>
      </c>
      <c r="BI1730" s="63" t="n">
        <f aca="false">IF(AND(OR(CG1730="L1",CG1730="L23",CG1730="LIFT"),BD1730&gt;0),SUMIFS($BD$7:$BD$1843,$CG$7:$CG$1843,CG1730,$BH$7:$BH$1843,"&gt;"&amp;BH1730)+SUMIFS($BD$7:$BD$1843,$CG$7:$CG$1843,CG1730,$BH$7:$BH$1843,BH1730,$BX$7:$BX$1843,"&lt;="&amp;BX1730),"")</f>
        <v>32550.7303139422</v>
      </c>
      <c r="BJ1730" s="70" t="n">
        <f aca="false">IF(BI1730="",0,MAX(0,MIN(1,(IF(CG1730="L1",Parameter!$H$5,IF(CG1730="L23",Parameter!$H$6+Parameter!$H$7,Parameter!$H$5+Parameter!$H$6+Parameter!$H$7))-(BI1730-BD1730))/BD1730)))</f>
        <v>1</v>
      </c>
      <c r="BK1730" s="60" t="str">
        <f aca="false">IF(AJ1730&lt;=0,"",IF(CG1730="Aussen","Aussenlager",IF(CG1730="-","Nicht im Lift",IF(AP1730&gt;=1,"Lift",IF(AP1730&lt;=0,"Aussenlager","teilweise")))))</f>
        <v>Lift</v>
      </c>
      <c r="BL1730" s="60" t="str">
        <f aca="false">IF(AT1730&lt;=0,"",IF(CG1730="Aussen","Aussenlager",IF(CG1730="-","Nicht im Lift",IF(AZ1730&gt;=1,"Lift",IF(AZ1730&lt;=0,"Aussenlager","teilweise")))))</f>
        <v>Aussenlager</v>
      </c>
      <c r="BM1730" s="60" t="str">
        <f aca="false">IF(BD1730&lt;=0,"",IF(CG1730="Aussen","Aussenlager",IF(CG1730="-","Nicht im Lift",IF(BJ1730&gt;=1,"Lift",IF(BJ1730&lt;=0,"Aussenlager","teilweise")))))</f>
        <v>Lift</v>
      </c>
      <c r="BN1730" s="60" t="str">
        <f aca="false">IF(A1730="","",IF(BW1730=1,"Neu; ","")&amp;IF(AND(BW1730=0,BR1730&lt;0),"negativer Bestand (Export "&amp;BR1730&amp;"); ","")&amp;IF(J1730&lt;=0,"Kein Verbrauch; ","")&amp;IF(CR1730&gt;0,"Lift "&amp;W1730&amp;" lt. Liftbericht (Fach "&amp;X1730&amp;" Stk); ",IF(CB1730=1,"Gebinde geschätzt ("&amp;T1730&amp;"); ",IF(CA1730=1,"Lose – Tablare geschätzt; ","")))&amp;IF(H1730&gt;AW1730,"Überbestand "&amp;ROUND(H1730-AW1730,0)&amp;" Stk / CHF "&amp;ROUND((H1730-AW1730)*G1730,0)&amp;"; ","")&amp;IF(AND(CI1730=1,CJ1730&lt;CK1730),"MAX &lt; MB+LG; ","")&amp;IF(AND(CQ1730&gt;0,CP1730*10&gt;CQ1730),"zu hoch für Tablar; ","")&amp;IF(AND(BW1730=0,OR(CI1730=1,AB1730&lt;&gt;"",U1730&lt;&gt;"",V1730&lt;&gt;"",AC1730&lt;&gt;"")),"manuell übersteuert; ","")&amp;IF(AND(CA1730=0,R1730=0),"Gebinde unbekannt / Stellmass fehlt; ","")&amp;IF(AND(CA1730=0,N(V1730)&lt;=0,N(Q1730)&lt;=0),"Menge pro Gebinde fehlt (Ist = 1 Gebinde); ","")&amp;BV1730)</f>
        <v>Kein Verbrauch; Überbestand 2 Stk / CHF 272; nur im Artikelstamm (Bestand 23.06.2026)</v>
      </c>
      <c r="BO1730" s="60"/>
      <c r="BP1730" s="60"/>
      <c r="BQ1730" s="67"/>
      <c r="BR1730" s="62" t="n">
        <v>12</v>
      </c>
      <c r="BS1730" s="62" t="n">
        <v>0</v>
      </c>
      <c r="BT1730" s="61" t="n">
        <v>0</v>
      </c>
      <c r="BU1730" s="62" t="n">
        <v>0</v>
      </c>
      <c r="BV1730" s="60" t="s">
        <v>2617</v>
      </c>
      <c r="BW1730" s="65" t="n">
        <v>0</v>
      </c>
      <c r="BX1730" s="65" t="n">
        <v>1730</v>
      </c>
      <c r="BY1730" s="60" t="str">
        <f aca="false">IF(U1730&lt;&gt;"",UPPER(TRIM(U1730)),IF(CB1730=1,UPPER(VLOOKUP(T1730,Parameter!$I$27:$K$29,2,0)),IF(P1730="","LOSE",P1730)))</f>
        <v>S22</v>
      </c>
      <c r="BZ1730" s="62" t="n">
        <f aca="false">IF(BY1730="LOSE",1,IF(N(V1730)&gt;0,V1730,IF(CB1730=1,MAX(1,N(VLOOKUP(T1730,Parameter!$I$27:$K$29,3,0)),H1730,N(N1730)),IF(N(Q1730)&gt;0,Q1730,MAX(1,H1730)))))</f>
        <v>12</v>
      </c>
      <c r="CA1730" s="65" t="n">
        <f aca="false">IF(BY1730="LOSE",1,0)</f>
        <v>0</v>
      </c>
      <c r="CB1730" s="65" t="n">
        <f aca="false">IF(AND(U1730="",OR(P1730="",P1730="LOSE"),T1730&lt;&gt;"",N(S1730)&lt;=0,ISNUMBER(MATCH(T1730,Parameter!$I$27:$I$29,0))),1,0)</f>
        <v>0</v>
      </c>
      <c r="CC1730" s="65" t="n">
        <f aca="false">IF(CR1730&gt;0,INDEX(Parameter!$H$5:$H$7,W1730)/INDEX(Parameter!$E$5:$E$7,W1730),IF(AND(CA1730=0,N(IFERROR(VLOOKUP(BY1730,'Gebinde-Kategorie'!$A$5:$N$45,14,0),0))&gt;0),VLOOKUP(BY1730,'Gebinde-Kategorie'!$A$5:$N$45,14,0)*10+Parameter!$M$23,Parameter!$M$24))</f>
        <v>155</v>
      </c>
      <c r="CD1730" s="60" t="str">
        <f aca="false">IF(AND(Parameter!$B$19="Ja",E1730&lt;&gt;"",ISNUMBER(MATCH(E1730,Parameter!$I$35:$I$52,0))),VLOOKUP(E1730,Parameter!$I$35:$J$52,2,0),IFERROR(VLOOKUP(D1730,Parameter!$A$35:$C$64,2,0),"Nein"))</f>
        <v>2+3</v>
      </c>
      <c r="CE1730" s="64" t="n">
        <f aca="false">IF(CA1730=0,0,IF(N(S1730)&gt;0,S1730,IFERROR(VLOOKUP(D1730,Parameter!$A$35:$C$64,3,0)+0,0)))</f>
        <v>0</v>
      </c>
      <c r="CF1730" s="60" t="n">
        <f aca="false">IF(AB1730&lt;&gt;"",AB1730,AA1730)</f>
        <v>1</v>
      </c>
      <c r="CG1730" s="60" t="str">
        <f aca="false">IF(OR(CF1730=1,CF1730=2,CF1730=3),IF(Parameter!$E$27="Ja","LIFT",IF(CF1730=1,"L1","L23")),IF(CF1730="Aussen","Aussen","-"))</f>
        <v>LIFT</v>
      </c>
      <c r="CH1730" s="71" t="n">
        <f aca="false">IF(N(AC1730)&gt;0,AC1730,0)</f>
        <v>0</v>
      </c>
      <c r="CI1730" s="65" t="n">
        <f aca="false">IF(ISNUMBER(AF1730),1,0)</f>
        <v>0</v>
      </c>
      <c r="CJ1730" s="62" t="n">
        <f aca="false">N(AF1730)</f>
        <v>0</v>
      </c>
      <c r="CK1730" s="62" t="n">
        <f aca="false">N(M1730)+N(N1730)</f>
        <v>10</v>
      </c>
      <c r="CL1730" s="62" t="n">
        <f aca="false">N(M1730)</f>
        <v>0</v>
      </c>
      <c r="CM1730" s="62" t="n">
        <f aca="false">N(N1730)</f>
        <v>10</v>
      </c>
      <c r="CN1730" s="62" t="n">
        <f aca="false">ROUNDUP(H1730/BZ1730,0)</f>
        <v>1</v>
      </c>
      <c r="CO1730" s="62" t="n">
        <f aca="false">ROUNDUP(CJ1730/BZ1730,0)</f>
        <v>0</v>
      </c>
      <c r="CP1730" s="65" t="n">
        <f aca="false">IF(CA1730=1,0,IFERROR(VLOOKUP(BY1730,'Gebinde-Kategorie'!$A$5:$N$45,5,0)+0,0))</f>
        <v>8</v>
      </c>
      <c r="CQ1730" s="65" t="n">
        <f aca="false">IFERROR(IF(OR(CF1730=1,CF1730=2,CF1730=3),N(INDEX(Parameter!$I$5:$I$7,CF1730)),0),0)</f>
        <v>0</v>
      </c>
      <c r="CR1730" s="64" t="n">
        <f aca="false">IF(AND(Parameter!$B$21="Ja",ISNUMBER(W1730),N(X1730)&gt;0),IFERROR(N(INDEX(Parameter!$L$5:$L$7,W1730))*INDEX(Parameter!$E$5:$E$7,W1730)*X1730/SUMIFS($X$7:$X$1843,$W$7:$W$1843,W1730),0),0)</f>
        <v>0</v>
      </c>
      <c r="CS1730" s="62" t="n">
        <f aca="false">IF(AND(OR(CG1730="L1",CG1730="L23",CG1730="LIFT"),H1730&gt;0),CC1730*IF(CR1730&gt;0,CR1730*MAX(1,H1730/X1730),IF(CA1730=1,CE1730,IF(R1730&gt;0,CN1730/R1730,0))/MAX(0.1,N(Parameter!$M$21))),"")</f>
        <v>1.10714285714286</v>
      </c>
      <c r="CT1730" s="64" t="n">
        <f aca="false">IF(CS1730="","",J1730/H1730)</f>
        <v>0</v>
      </c>
      <c r="CU1730" s="62" t="n">
        <f aca="false">IF(CS1730="","",H1730*G1730)</f>
        <v>1633.56</v>
      </c>
      <c r="CV1730" s="63" t="n">
        <f aca="false">IF(CS1730="","",(CL1730+ROUNDUP(CL1730+MAX(CM1730,2*(J1730/MAX(0.1,N(Einkauf!$C$6))-CL1730)),0))/2)</f>
        <v>5</v>
      </c>
      <c r="CW1730" s="62" t="n">
        <f aca="false">IF(CS1730="","",MAX(0,H1730-CV1730)*G1730)</f>
        <v>952.91</v>
      </c>
      <c r="CX1730" s="62" t="n">
        <f aca="false">IF(CS1730="","",CS1730*MAX(0,1-CV1730/H1730))</f>
        <v>0.645833333333333</v>
      </c>
      <c r="CY1730" s="64" t="n">
        <f aca="false">IF(CS1730="","",PERCENTRANK($CS$7:$CS$1843,CS1730)+PERCENTRANK($CU$7:$CU$1843,CU1730)+1-PERCENTRANK($CT$7:$CT$1843,CT1730))</f>
        <v>1.7904</v>
      </c>
      <c r="CZ1730" s="72" t="n">
        <f aca="false">IF(CS1730="","",CHOOSE(MATCH(Einkauf!$C$5,Parameter!$G$23:$G$27,0),CY1730,CS1730,CU1730,-CT1730,CW1730)+ROW()/1000000000)</f>
        <v>1.79040173</v>
      </c>
    </row>
    <row r="1731" customFormat="false" ht="15" hidden="false" customHeight="false" outlineLevel="0" collapsed="false">
      <c r="A1731" s="60" t="s">
        <v>3036</v>
      </c>
      <c r="B1731" s="60" t="s">
        <v>3037</v>
      </c>
      <c r="C1731" s="60" t="s">
        <v>206</v>
      </c>
      <c r="D1731" s="60" t="s">
        <v>226</v>
      </c>
      <c r="E1731" s="60"/>
      <c r="F1731" s="60"/>
      <c r="G1731" s="61" t="n">
        <v>24</v>
      </c>
      <c r="H1731" s="62" t="n">
        <f aca="false">MAX(0,IF(AND(Parameter!$B$21="Ja",ISNUMBER(Y1731)),Y1731,IF(Parameter!$B$20="Jahresanfang 2025 + Export",BS1731+BR1731,BR1731)))</f>
        <v>6</v>
      </c>
      <c r="I1731" s="62" t="n">
        <f aca="false">H1731*G1731</f>
        <v>144</v>
      </c>
      <c r="J1731" s="62" t="n">
        <f aca="false">BU1731*Parameter!$B$18</f>
        <v>0</v>
      </c>
      <c r="K1731" s="63"/>
      <c r="L1731" s="64"/>
      <c r="M1731" s="62" t="n">
        <v>0</v>
      </c>
      <c r="N1731" s="62" t="n">
        <v>1</v>
      </c>
      <c r="O1731" s="65" t="n">
        <v>28</v>
      </c>
      <c r="P1731" s="60" t="s">
        <v>443</v>
      </c>
      <c r="Q1731" s="62" t="n">
        <v>10</v>
      </c>
      <c r="R1731" s="65" t="n">
        <f aca="false">IF(CA1731=1,0,IFERROR(VLOOKUP(BY1731,'Gebinde-Kategorie'!$A$5:$N$45,13,0)+0,0))</f>
        <v>280</v>
      </c>
      <c r="S1731" s="66"/>
      <c r="T1731" s="67"/>
      <c r="U1731" s="67"/>
      <c r="V1731" s="67"/>
      <c r="W1731" s="60"/>
      <c r="X1731" s="62"/>
      <c r="Y1731" s="62"/>
      <c r="Z1731" s="60" t="n">
        <v>3</v>
      </c>
      <c r="AA1731" s="60" t="n">
        <f aca="false">IF(A1731="","",IF(AND(Parameter!$B$21="Ja",ISNUMBER(W1731)),W1731,IF(AND(Parameter!$E$27="Ja",ISNUMBER(Z1731),CD1731&lt;&gt;"Nein"),Z1731,IF(CD1731="2+3",IF(ISNUMBER(SEARCH("grosser Artikel",BV1731)),2,IFERROR(VLOOKUP(BY1731,Parameter!$F$35:$G$64,2,0),2)),IF(OR(CD1731="Nein",CD1731=""),"-",CD1731)))))</f>
        <v>3</v>
      </c>
      <c r="AB1731" s="67"/>
      <c r="AC1731" s="68"/>
      <c r="AD1731" s="62" t="n">
        <f aca="false">AW1731</f>
        <v>1</v>
      </c>
      <c r="AE1731" s="62" t="n">
        <f aca="false">MAX(AW1731,H1731)</f>
        <v>6</v>
      </c>
      <c r="AF1731" s="69"/>
      <c r="AG1731" s="62" t="n">
        <f aca="false">IF(LEFT(Cockpit!$C$5,1)="A",H1731,IF(Parameter!$E$30="MAX-Bestand",IF(CI1731=1,CJ1731,IF(LEFT(Cockpit!$C$5,1)="B",AM1731,MAX(AM1731,H1731))),ROUNDUP(AK1731,0)))</f>
        <v>6</v>
      </c>
      <c r="AH1731" s="62" t="n">
        <f aca="false">IF(CA1731=1,0,ROUNDUP(AG1731/BZ1731,0))</f>
        <v>1</v>
      </c>
      <c r="AI1731" s="64" t="n">
        <f aca="false">IF(CR1731&gt;0,CR1731*MAX(1,AG1731/X1731),IF(CA1731=1,IF(AG1731&lt;=0,0,CE1731*MAX(1,IF(H1731&gt;0,AG1731/H1731,1))),IF(R1731&gt;0,AH1731/R1731,0))/MAX(0.1,N(Parameter!$M$21)))</f>
        <v>0.00357142857142857</v>
      </c>
      <c r="AJ1731" s="62" t="n">
        <f aca="false">AI1731*CC1731</f>
        <v>0.553571428571429</v>
      </c>
      <c r="AK1731" s="63" t="n">
        <f aca="false">IF(LEFT(Cockpit!$C$5,1)="A",H1731,IF(CI1731=1,(CL1731+CJ1731)/2,IF(LEFT(Cockpit!$C$5,1)="B",(CL1731+AM1731)/2,MAX((CL1731+AM1731)/2,H1731))))</f>
        <v>6</v>
      </c>
      <c r="AL1731" s="62" t="n">
        <f aca="false">AK1731*G1731</f>
        <v>144</v>
      </c>
      <c r="AM1731" s="62" t="n">
        <f aca="false">ROUNDUP(CL1731+MAX(CM1731,2*(J1731/IF(CH1731&gt;0,CH1731,MAX(0.1,N(Cockpit!$C$6)))-CL1731)),0)</f>
        <v>1</v>
      </c>
      <c r="AN1731" s="63" t="n">
        <f aca="false">IF(AJ1731&gt;0,J1731/AJ1731,-1)</f>
        <v>0</v>
      </c>
      <c r="AO1731" s="63" t="n">
        <f aca="false">IF(AND(OR(CG1731="L1",CG1731="L23",CG1731="LIFT"),AJ1731&gt;0),SUMIFS($AJ$7:$AJ$1843,$CG$7:$CG$1843,CG1731,$AN$7:$AN$1843,"&gt;"&amp;AN1731)+SUMIFS($AJ$7:$AJ$1843,$CG$7:$CG$1843,CG1731,$AN$7:$AN$1843,AN1731,$BX$7:$BX$1843,"&lt;="&amp;BX1731),"")</f>
        <v>32848.6896173506</v>
      </c>
      <c r="AP1731" s="70" t="n">
        <f aca="false">IF(AO1731="",0,MAX(0,MIN(1,(IF(CG1731="L1",Parameter!$H$5,IF(CG1731="L23",Parameter!$H$6+Parameter!$H$7,Parameter!$H$5+Parameter!$H$6+Parameter!$H$7))-(AO1731-AJ1731))/AJ1731)))</f>
        <v>1</v>
      </c>
      <c r="AQ1731" s="62" t="n">
        <f aca="false">IF(LEFT(Cockpit!$I$5,1)="A",H1731,IF(Parameter!$E$30="MAX-Bestand",IF(CI1731=1,CJ1731,IF(LEFT(Cockpit!$I$5,1)="B",AW1731,MAX(AW1731,H1731))),ROUNDUP(AU1731,0)))</f>
        <v>6</v>
      </c>
      <c r="AR1731" s="62" t="n">
        <f aca="false">IF(CA1731=1,0,ROUNDUP(AQ1731/BZ1731,0))</f>
        <v>1</v>
      </c>
      <c r="AS1731" s="64" t="n">
        <f aca="false">IF(CR1731&gt;0,CR1731*MAX(1,AQ1731/X1731),IF(CA1731=1,IF(AQ1731&lt;=0,0,CE1731*MAX(1,IF(H1731&gt;0,AQ1731/H1731,1))),IF(R1731&gt;0,AR1731/R1731,0))/MAX(0.1,N(Parameter!$M$21)))</f>
        <v>0.00357142857142857</v>
      </c>
      <c r="AT1731" s="62" t="n">
        <f aca="false">AS1731*CC1731</f>
        <v>0.553571428571429</v>
      </c>
      <c r="AU1731" s="63" t="n">
        <f aca="false">IF(LEFT(Cockpit!$I$5,1)="A",H1731,IF(CI1731=1,(CL1731+CJ1731)/2,IF(LEFT(Cockpit!$I$5,1)="B",(CL1731+AW1731)/2,MAX((CL1731+AW1731)/2,H1731))))</f>
        <v>6</v>
      </c>
      <c r="AV1731" s="62" t="n">
        <f aca="false">AU1731*G1731</f>
        <v>144</v>
      </c>
      <c r="AW1731" s="62" t="n">
        <f aca="false">ROUNDUP(CL1731+MAX(CM1731,2*(J1731/IF(CH1731&gt;0,CH1731,MAX(0.1,N(Cockpit!$I$6)))-CL1731)),0)</f>
        <v>1</v>
      </c>
      <c r="AX1731" s="63" t="n">
        <f aca="false">IF(AT1731&gt;0,J1731/AT1731,-1)</f>
        <v>0</v>
      </c>
      <c r="AY1731" s="63" t="n">
        <f aca="false">IF(AND(OR(CG1731="L1",CG1731="L23",CG1731="LIFT"),AT1731&gt;0),SUMIFS($AT$7:$AT$1843,$CG$7:$CG$1843,CG1731,$AX$7:$AX$1843,"&gt;"&amp;AX1731)+SUMIFS($AT$7:$AT$1843,$CG$7:$CG$1843,CG1731,$AX$7:$AX$1843,AX1731,$BX$7:$BX$1843,"&lt;="&amp;BX1731),"")</f>
        <v>39322.5985622193</v>
      </c>
      <c r="AZ1731" s="70" t="n">
        <f aca="false">IF(AY1731="",0,MAX(0,MIN(1,(IF(CG1731="L1",Parameter!$H$5,IF(CG1731="L23",Parameter!$H$6+Parameter!$H$7,Parameter!$H$5+Parameter!$H$6+Parameter!$H$7))-(AY1731-AT1731))/AT1731)))</f>
        <v>0</v>
      </c>
      <c r="BA1731" s="62" t="n">
        <f aca="false">IF(LEFT(Cockpit!$O$5,1)="A",H1731,IF(Parameter!$E$30="MAX-Bestand",IF(CI1731=1,CJ1731,IF(LEFT(Cockpit!$O$5,1)="B",BG1731,MAX(BG1731,H1731))),ROUNDUP(BE1731,0)))</f>
        <v>1</v>
      </c>
      <c r="BB1731" s="62" t="n">
        <f aca="false">IF(CA1731=1,0,ROUNDUP(BA1731/BZ1731,0))</f>
        <v>1</v>
      </c>
      <c r="BC1731" s="64" t="n">
        <f aca="false">IF(CR1731&gt;0,CR1731*MAX(1,BA1731/X1731),IF(CA1731=1,IF(BA1731&lt;=0,0,CE1731*MAX(1,IF(H1731&gt;0,BA1731/H1731,1))),IF(R1731&gt;0,BB1731/R1731,0))/MAX(0.1,N(Parameter!$M$21)))</f>
        <v>0.00357142857142857</v>
      </c>
      <c r="BD1731" s="62" t="n">
        <f aca="false">BC1731*CC1731</f>
        <v>0.553571428571429</v>
      </c>
      <c r="BE1731" s="63" t="n">
        <f aca="false">IF(LEFT(Cockpit!$O$5,1)="A",H1731,IF(CI1731=1,(CL1731+CJ1731)/2,IF(LEFT(Cockpit!$O$5,1)="B",(CL1731+BG1731)/2,MAX((CL1731+BG1731)/2,H1731))))</f>
        <v>0.5</v>
      </c>
      <c r="BF1731" s="62" t="n">
        <f aca="false">BE1731*G1731</f>
        <v>12</v>
      </c>
      <c r="BG1731" s="62" t="n">
        <f aca="false">ROUNDUP(CL1731+MAX(CM1731,2*(J1731/IF(CH1731&gt;0,CH1731,MAX(0.1,N(Cockpit!$O$6)))-CL1731)),0)</f>
        <v>1</v>
      </c>
      <c r="BH1731" s="63" t="n">
        <f aca="false">IF(BD1731&gt;0,J1731/BD1731,-1)</f>
        <v>0</v>
      </c>
      <c r="BI1731" s="63" t="n">
        <f aca="false">IF(AND(OR(CG1731="L1",CG1731="L23",CG1731="LIFT"),BD1731&gt;0),SUMIFS($BD$7:$BD$1843,$CG$7:$CG$1843,CG1731,$BH$7:$BH$1843,"&gt;"&amp;BH1731)+SUMIFS($BD$7:$BD$1843,$CG$7:$CG$1843,CG1731,$BH$7:$BH$1843,BH1731,$BX$7:$BX$1843,"&lt;="&amp;BX1731),"")</f>
        <v>32551.2838853708</v>
      </c>
      <c r="BJ1731" s="70" t="n">
        <f aca="false">IF(BI1731="",0,MAX(0,MIN(1,(IF(CG1731="L1",Parameter!$H$5,IF(CG1731="L23",Parameter!$H$6+Parameter!$H$7,Parameter!$H$5+Parameter!$H$6+Parameter!$H$7))-(BI1731-BD1731))/BD1731)))</f>
        <v>1</v>
      </c>
      <c r="BK1731" s="60" t="str">
        <f aca="false">IF(AJ1731&lt;=0,"",IF(CG1731="Aussen","Aussenlager",IF(CG1731="-","Nicht im Lift",IF(AP1731&gt;=1,"Lift",IF(AP1731&lt;=0,"Aussenlager","teilweise")))))</f>
        <v>Lift</v>
      </c>
      <c r="BL1731" s="60" t="str">
        <f aca="false">IF(AT1731&lt;=0,"",IF(CG1731="Aussen","Aussenlager",IF(CG1731="-","Nicht im Lift",IF(AZ1731&gt;=1,"Lift",IF(AZ1731&lt;=0,"Aussenlager","teilweise")))))</f>
        <v>Aussenlager</v>
      </c>
      <c r="BM1731" s="60" t="str">
        <f aca="false">IF(BD1731&lt;=0,"",IF(CG1731="Aussen","Aussenlager",IF(CG1731="-","Nicht im Lift",IF(BJ1731&gt;=1,"Lift",IF(BJ1731&lt;=0,"Aussenlager","teilweise")))))</f>
        <v>Lift</v>
      </c>
      <c r="BN1731" s="60" t="str">
        <f aca="false">IF(A1731="","",IF(BW1731=1,"Neu; ","")&amp;IF(AND(BW1731=0,BR1731&lt;0),"negativer Bestand (Export "&amp;BR1731&amp;"); ","")&amp;IF(J1731&lt;=0,"Kein Verbrauch; ","")&amp;IF(CR1731&gt;0,"Lift "&amp;W1731&amp;" lt. Liftbericht (Fach "&amp;X1731&amp;" Stk); ",IF(CB1731=1,"Gebinde geschätzt ("&amp;T1731&amp;"); ",IF(CA1731=1,"Lose – Tablare geschätzt; ","")))&amp;IF(H1731&gt;AW1731,"Überbestand "&amp;ROUND(H1731-AW1731,0)&amp;" Stk / CHF "&amp;ROUND((H1731-AW1731)*G1731,0)&amp;"; ","")&amp;IF(AND(CI1731=1,CJ1731&lt;CK1731),"MAX &lt; MB+LG; ","")&amp;IF(AND(CQ1731&gt;0,CP1731*10&gt;CQ1731),"zu hoch für Tablar; ","")&amp;IF(AND(BW1731=0,OR(CI1731=1,AB1731&lt;&gt;"",U1731&lt;&gt;"",V1731&lt;&gt;"",AC1731&lt;&gt;"")),"manuell übersteuert; ","")&amp;IF(AND(CA1731=0,R1731=0),"Gebinde unbekannt / Stellmass fehlt; ","")&amp;IF(AND(CA1731=0,N(V1731)&lt;=0,N(Q1731)&lt;=0),"Menge pro Gebinde fehlt (Ist = 1 Gebinde); ","")&amp;BV1731)</f>
        <v>Kein Verbrauch; Überbestand 5 Stk / CHF 120; nur im Artikelstamm (Bestand 23.06.2026); Überbestand</v>
      </c>
      <c r="BO1731" s="60"/>
      <c r="BP1731" s="60"/>
      <c r="BQ1731" s="67"/>
      <c r="BR1731" s="62" t="n">
        <v>6</v>
      </c>
      <c r="BS1731" s="62" t="n">
        <v>0</v>
      </c>
      <c r="BT1731" s="61" t="n">
        <v>0</v>
      </c>
      <c r="BU1731" s="62" t="n">
        <v>0</v>
      </c>
      <c r="BV1731" s="60" t="s">
        <v>2614</v>
      </c>
      <c r="BW1731" s="65" t="n">
        <v>0</v>
      </c>
      <c r="BX1731" s="65" t="n">
        <v>1731</v>
      </c>
      <c r="BY1731" s="60" t="str">
        <f aca="false">IF(U1731&lt;&gt;"",UPPER(TRIM(U1731)),IF(CB1731=1,UPPER(VLOOKUP(T1731,Parameter!$I$27:$K$29,2,0)),IF(P1731="","LOSE",P1731)))</f>
        <v>S21</v>
      </c>
      <c r="BZ1731" s="62" t="n">
        <f aca="false">IF(BY1731="LOSE",1,IF(N(V1731)&gt;0,V1731,IF(CB1731=1,MAX(1,N(VLOOKUP(T1731,Parameter!$I$27:$K$29,3,0)),H1731,N(N1731)),IF(N(Q1731)&gt;0,Q1731,MAX(1,H1731)))))</f>
        <v>10</v>
      </c>
      <c r="CA1731" s="65" t="n">
        <f aca="false">IF(BY1731="LOSE",1,0)</f>
        <v>0</v>
      </c>
      <c r="CB1731" s="65" t="n">
        <f aca="false">IF(AND(U1731="",OR(P1731="",P1731="LOSE"),T1731&lt;&gt;"",N(S1731)&lt;=0,ISNUMBER(MATCH(T1731,Parameter!$I$27:$I$29,0))),1,0)</f>
        <v>0</v>
      </c>
      <c r="CC1731" s="65" t="n">
        <f aca="false">IF(CR1731&gt;0,INDEX(Parameter!$H$5:$H$7,W1731)/INDEX(Parameter!$E$5:$E$7,W1731),IF(AND(CA1731=0,N(IFERROR(VLOOKUP(BY1731,'Gebinde-Kategorie'!$A$5:$N$45,14,0),0))&gt;0),VLOOKUP(BY1731,'Gebinde-Kategorie'!$A$5:$N$45,14,0)*10+Parameter!$M$23,Parameter!$M$24))</f>
        <v>155</v>
      </c>
      <c r="CD1731" s="60" t="str">
        <f aca="false">IF(AND(Parameter!$B$19="Ja",E1731&lt;&gt;"",ISNUMBER(MATCH(E1731,Parameter!$I$35:$I$52,0))),VLOOKUP(E1731,Parameter!$I$35:$J$52,2,0),IFERROR(VLOOKUP(D1731,Parameter!$A$35:$C$64,2,0),"Nein"))</f>
        <v>2+3</v>
      </c>
      <c r="CE1731" s="64" t="n">
        <f aca="false">IF(CA1731=0,0,IF(N(S1731)&gt;0,S1731,IFERROR(VLOOKUP(D1731,Parameter!$A$35:$C$64,3,0)+0,0)))</f>
        <v>0</v>
      </c>
      <c r="CF1731" s="60" t="n">
        <f aca="false">IF(AB1731&lt;&gt;"",AB1731,AA1731)</f>
        <v>3</v>
      </c>
      <c r="CG1731" s="60" t="str">
        <f aca="false">IF(OR(CF1731=1,CF1731=2,CF1731=3),IF(Parameter!$E$27="Ja","LIFT",IF(CF1731=1,"L1","L23")),IF(CF1731="Aussen","Aussen","-"))</f>
        <v>LIFT</v>
      </c>
      <c r="CH1731" s="71" t="n">
        <f aca="false">IF(N(AC1731)&gt;0,AC1731,0)</f>
        <v>0</v>
      </c>
      <c r="CI1731" s="65" t="n">
        <f aca="false">IF(ISNUMBER(AF1731),1,0)</f>
        <v>0</v>
      </c>
      <c r="CJ1731" s="62" t="n">
        <f aca="false">N(AF1731)</f>
        <v>0</v>
      </c>
      <c r="CK1731" s="62" t="n">
        <f aca="false">N(M1731)+N(N1731)</f>
        <v>1</v>
      </c>
      <c r="CL1731" s="62" t="n">
        <f aca="false">N(M1731)</f>
        <v>0</v>
      </c>
      <c r="CM1731" s="62" t="n">
        <f aca="false">N(N1731)</f>
        <v>1</v>
      </c>
      <c r="CN1731" s="62" t="n">
        <f aca="false">ROUNDUP(H1731/BZ1731,0)</f>
        <v>1</v>
      </c>
      <c r="CO1731" s="62" t="n">
        <f aca="false">ROUNDUP(CJ1731/BZ1731,0)</f>
        <v>0</v>
      </c>
      <c r="CP1731" s="65" t="n">
        <f aca="false">IF(CA1731=1,0,IFERROR(VLOOKUP(BY1731,'Gebinde-Kategorie'!$A$5:$N$45,5,0)+0,0))</f>
        <v>8</v>
      </c>
      <c r="CQ1731" s="65" t="n">
        <f aca="false">IFERROR(IF(OR(CF1731=1,CF1731=2,CF1731=3),N(INDEX(Parameter!$I$5:$I$7,CF1731)),0),0)</f>
        <v>0</v>
      </c>
      <c r="CR1731" s="64" t="n">
        <f aca="false">IF(AND(Parameter!$B$21="Ja",ISNUMBER(W1731),N(X1731)&gt;0),IFERROR(N(INDEX(Parameter!$L$5:$L$7,W1731))*INDEX(Parameter!$E$5:$E$7,W1731)*X1731/SUMIFS($X$7:$X$1843,$W$7:$W$1843,W1731),0),0)</f>
        <v>0</v>
      </c>
      <c r="CS1731" s="62" t="n">
        <f aca="false">IF(AND(OR(CG1731="L1",CG1731="L23",CG1731="LIFT"),H1731&gt;0),CC1731*IF(CR1731&gt;0,CR1731*MAX(1,H1731/X1731),IF(CA1731=1,CE1731,IF(R1731&gt;0,CN1731/R1731,0))/MAX(0.1,N(Parameter!$M$21))),"")</f>
        <v>0.553571428571429</v>
      </c>
      <c r="CT1731" s="64" t="n">
        <f aca="false">IF(CS1731="","",J1731/H1731)</f>
        <v>0</v>
      </c>
      <c r="CU1731" s="62" t="n">
        <f aca="false">IF(CS1731="","",H1731*G1731)</f>
        <v>144</v>
      </c>
      <c r="CV1731" s="63" t="n">
        <f aca="false">IF(CS1731="","",(CL1731+ROUNDUP(CL1731+MAX(CM1731,2*(J1731/MAX(0.1,N(Einkauf!$C$6))-CL1731)),0))/2)</f>
        <v>0.5</v>
      </c>
      <c r="CW1731" s="62" t="n">
        <f aca="false">IF(CS1731="","",MAX(0,H1731-CV1731)*G1731)</f>
        <v>132</v>
      </c>
      <c r="CX1731" s="62" t="n">
        <f aca="false">IF(CS1731="","",CS1731*MAX(0,1-CV1731/H1731))</f>
        <v>0.507440476190476</v>
      </c>
      <c r="CY1731" s="64" t="n">
        <f aca="false">IF(CS1731="","",PERCENTRANK($CS$7:$CS$1843,CS1731)+PERCENTRANK($CU$7:$CU$1843,CU1731)+1-PERCENTRANK($CT$7:$CT$1843,CT1731))</f>
        <v>1.293</v>
      </c>
      <c r="CZ1731" s="72" t="n">
        <f aca="false">IF(CS1731="","",CHOOSE(MATCH(Einkauf!$C$5,Parameter!$G$23:$G$27,0),CY1731,CS1731,CU1731,-CT1731,CW1731)+ROW()/1000000000)</f>
        <v>1.293001731</v>
      </c>
    </row>
    <row r="1732" customFormat="false" ht="15" hidden="false" customHeight="false" outlineLevel="0" collapsed="false">
      <c r="A1732" s="60" t="s">
        <v>3038</v>
      </c>
      <c r="B1732" s="60" t="s">
        <v>1668</v>
      </c>
      <c r="C1732" s="60" t="s">
        <v>206</v>
      </c>
      <c r="D1732" s="60" t="s">
        <v>226</v>
      </c>
      <c r="E1732" s="60"/>
      <c r="F1732" s="60"/>
      <c r="G1732" s="61" t="n">
        <v>6.66</v>
      </c>
      <c r="H1732" s="62" t="n">
        <f aca="false">MAX(0,IF(AND(Parameter!$B$21="Ja",ISNUMBER(Y1732)),Y1732,IF(Parameter!$B$20="Jahresanfang 2025 + Export",BS1732+BR1732,BR1732)))</f>
        <v>10</v>
      </c>
      <c r="I1732" s="62" t="n">
        <f aca="false">H1732*G1732</f>
        <v>66.6</v>
      </c>
      <c r="J1732" s="62" t="n">
        <f aca="false">BU1732*Parameter!$B$18</f>
        <v>0</v>
      </c>
      <c r="K1732" s="63"/>
      <c r="L1732" s="64"/>
      <c r="M1732" s="62" t="n">
        <v>0</v>
      </c>
      <c r="N1732" s="62" t="n">
        <v>0</v>
      </c>
      <c r="O1732" s="65" t="n">
        <v>14</v>
      </c>
      <c r="P1732" s="60" t="s">
        <v>468</v>
      </c>
      <c r="Q1732" s="62" t="n">
        <v>10</v>
      </c>
      <c r="R1732" s="65" t="n">
        <f aca="false">IF(CA1732=1,0,IFERROR(VLOOKUP(BY1732,'Gebinde-Kategorie'!$A$5:$N$45,13,0)+0,0))</f>
        <v>140</v>
      </c>
      <c r="S1732" s="66"/>
      <c r="T1732" s="67"/>
      <c r="U1732" s="67"/>
      <c r="V1732" s="67"/>
      <c r="W1732" s="60"/>
      <c r="X1732" s="62"/>
      <c r="Y1732" s="62"/>
      <c r="Z1732" s="60" t="n">
        <v>2</v>
      </c>
      <c r="AA1732" s="60" t="n">
        <f aca="false">IF(A1732="","",IF(AND(Parameter!$B$21="Ja",ISNUMBER(W1732)),W1732,IF(AND(Parameter!$E$27="Ja",ISNUMBER(Z1732),CD1732&lt;&gt;"Nein"),Z1732,IF(CD1732="2+3",IF(ISNUMBER(SEARCH("grosser Artikel",BV1732)),2,IFERROR(VLOOKUP(BY1732,Parameter!$F$35:$G$64,2,0),2)),IF(OR(CD1732="Nein",CD1732=""),"-",CD1732)))))</f>
        <v>2</v>
      </c>
      <c r="AB1732" s="67"/>
      <c r="AC1732" s="68"/>
      <c r="AD1732" s="62" t="n">
        <f aca="false">AW1732</f>
        <v>0</v>
      </c>
      <c r="AE1732" s="62" t="n">
        <f aca="false">MAX(AW1732,H1732)</f>
        <v>10</v>
      </c>
      <c r="AF1732" s="69"/>
      <c r="AG1732" s="62" t="n">
        <f aca="false">IF(LEFT(Cockpit!$C$5,1)="A",H1732,IF(Parameter!$E$30="MAX-Bestand",IF(CI1732=1,CJ1732,IF(LEFT(Cockpit!$C$5,1)="B",AM1732,MAX(AM1732,H1732))),ROUNDUP(AK1732,0)))</f>
        <v>10</v>
      </c>
      <c r="AH1732" s="62" t="n">
        <f aca="false">IF(CA1732=1,0,ROUNDUP(AG1732/BZ1732,0))</f>
        <v>1</v>
      </c>
      <c r="AI1732" s="64" t="n">
        <f aca="false">IF(CR1732&gt;0,CR1732*MAX(1,AG1732/X1732),IF(CA1732=1,IF(AG1732&lt;=0,0,CE1732*MAX(1,IF(H1732&gt;0,AG1732/H1732,1))),IF(R1732&gt;0,AH1732/R1732,0))/MAX(0.1,N(Parameter!$M$21)))</f>
        <v>0.00714285714285714</v>
      </c>
      <c r="AJ1732" s="62" t="n">
        <f aca="false">AI1732*CC1732</f>
        <v>1.10714285714286</v>
      </c>
      <c r="AK1732" s="63" t="n">
        <f aca="false">IF(LEFT(Cockpit!$C$5,1)="A",H1732,IF(CI1732=1,(CL1732+CJ1732)/2,IF(LEFT(Cockpit!$C$5,1)="B",(CL1732+AM1732)/2,MAX((CL1732+AM1732)/2,H1732))))</f>
        <v>10</v>
      </c>
      <c r="AL1732" s="62" t="n">
        <f aca="false">AK1732*G1732</f>
        <v>66.6</v>
      </c>
      <c r="AM1732" s="62" t="n">
        <f aca="false">ROUNDUP(CL1732+MAX(CM1732,2*(J1732/IF(CH1732&gt;0,CH1732,MAX(0.1,N(Cockpit!$C$6)))-CL1732)),0)</f>
        <v>0</v>
      </c>
      <c r="AN1732" s="63" t="n">
        <f aca="false">IF(AJ1732&gt;0,J1732/AJ1732,-1)</f>
        <v>0</v>
      </c>
      <c r="AO1732" s="63" t="n">
        <f aca="false">IF(AND(OR(CG1732="L1",CG1732="L23",CG1732="LIFT"),AJ1732&gt;0),SUMIFS($AJ$7:$AJ$1843,$CG$7:$CG$1843,CG1732,$AN$7:$AN$1843,"&gt;"&amp;AN1732)+SUMIFS($AJ$7:$AJ$1843,$CG$7:$CG$1843,CG1732,$AN$7:$AN$1843,AN1732,$BX$7:$BX$1843,"&lt;="&amp;BX1732),"")</f>
        <v>32849.7967602078</v>
      </c>
      <c r="AP1732" s="70" t="n">
        <f aca="false">IF(AO1732="",0,MAX(0,MIN(1,(IF(CG1732="L1",Parameter!$H$5,IF(CG1732="L23",Parameter!$H$6+Parameter!$H$7,Parameter!$H$5+Parameter!$H$6+Parameter!$H$7))-(AO1732-AJ1732))/AJ1732)))</f>
        <v>1</v>
      </c>
      <c r="AQ1732" s="62" t="n">
        <f aca="false">IF(LEFT(Cockpit!$I$5,1)="A",H1732,IF(Parameter!$E$30="MAX-Bestand",IF(CI1732=1,CJ1732,IF(LEFT(Cockpit!$I$5,1)="B",AW1732,MAX(AW1732,H1732))),ROUNDUP(AU1732,0)))</f>
        <v>10</v>
      </c>
      <c r="AR1732" s="62" t="n">
        <f aca="false">IF(CA1732=1,0,ROUNDUP(AQ1732/BZ1732,0))</f>
        <v>1</v>
      </c>
      <c r="AS1732" s="64" t="n">
        <f aca="false">IF(CR1732&gt;0,CR1732*MAX(1,AQ1732/X1732),IF(CA1732=1,IF(AQ1732&lt;=0,0,CE1732*MAX(1,IF(H1732&gt;0,AQ1732/H1732,1))),IF(R1732&gt;0,AR1732/R1732,0))/MAX(0.1,N(Parameter!$M$21)))</f>
        <v>0.00714285714285714</v>
      </c>
      <c r="AT1732" s="62" t="n">
        <f aca="false">AS1732*CC1732</f>
        <v>1.10714285714286</v>
      </c>
      <c r="AU1732" s="63" t="n">
        <f aca="false">IF(LEFT(Cockpit!$I$5,1)="A",H1732,IF(CI1732=1,(CL1732+CJ1732)/2,IF(LEFT(Cockpit!$I$5,1)="B",(CL1732+AW1732)/2,MAX((CL1732+AW1732)/2,H1732))))</f>
        <v>10</v>
      </c>
      <c r="AV1732" s="62" t="n">
        <f aca="false">AU1732*G1732</f>
        <v>66.6</v>
      </c>
      <c r="AW1732" s="62" t="n">
        <f aca="false">ROUNDUP(CL1732+MAX(CM1732,2*(J1732/IF(CH1732&gt;0,CH1732,MAX(0.1,N(Cockpit!$I$6)))-CL1732)),0)</f>
        <v>0</v>
      </c>
      <c r="AX1732" s="63" t="n">
        <f aca="false">IF(AT1732&gt;0,J1732/AT1732,-1)</f>
        <v>0</v>
      </c>
      <c r="AY1732" s="63" t="n">
        <f aca="false">IF(AND(OR(CG1732="L1",CG1732="L23",CG1732="LIFT"),AT1732&gt;0),SUMIFS($AT$7:$AT$1843,$CG$7:$CG$1843,CG1732,$AX$7:$AX$1843,"&gt;"&amp;AX1732)+SUMIFS($AT$7:$AT$1843,$CG$7:$CG$1843,CG1732,$AX$7:$AX$1843,AX1732,$BX$7:$BX$1843,"&lt;="&amp;BX1732),"")</f>
        <v>39323.7057050765</v>
      </c>
      <c r="AZ1732" s="70" t="n">
        <f aca="false">IF(AY1732="",0,MAX(0,MIN(1,(IF(CG1732="L1",Parameter!$H$5,IF(CG1732="L23",Parameter!$H$6+Parameter!$H$7,Parameter!$H$5+Parameter!$H$6+Parameter!$H$7))-(AY1732-AT1732))/AT1732)))</f>
        <v>0</v>
      </c>
      <c r="BA1732" s="62" t="n">
        <f aca="false">IF(LEFT(Cockpit!$O$5,1)="A",H1732,IF(Parameter!$E$30="MAX-Bestand",IF(CI1732=1,CJ1732,IF(LEFT(Cockpit!$O$5,1)="B",BG1732,MAX(BG1732,H1732))),ROUNDUP(BE1732,0)))</f>
        <v>0</v>
      </c>
      <c r="BB1732" s="62" t="n">
        <f aca="false">IF(CA1732=1,0,ROUNDUP(BA1732/BZ1732,0))</f>
        <v>0</v>
      </c>
      <c r="BC1732" s="64" t="n">
        <f aca="false">IF(CR1732&gt;0,CR1732*MAX(1,BA1732/X1732),IF(CA1732=1,IF(BA1732&lt;=0,0,CE1732*MAX(1,IF(H1732&gt;0,BA1732/H1732,1))),IF(R1732&gt;0,BB1732/R1732,0))/MAX(0.1,N(Parameter!$M$21)))</f>
        <v>0</v>
      </c>
      <c r="BD1732" s="62" t="n">
        <f aca="false">BC1732*CC1732</f>
        <v>0</v>
      </c>
      <c r="BE1732" s="63" t="n">
        <f aca="false">IF(LEFT(Cockpit!$O$5,1)="A",H1732,IF(CI1732=1,(CL1732+CJ1732)/2,IF(LEFT(Cockpit!$O$5,1)="B",(CL1732+BG1732)/2,MAX((CL1732+BG1732)/2,H1732))))</f>
        <v>0</v>
      </c>
      <c r="BF1732" s="62" t="n">
        <f aca="false">BE1732*G1732</f>
        <v>0</v>
      </c>
      <c r="BG1732" s="62" t="n">
        <f aca="false">ROUNDUP(CL1732+MAX(CM1732,2*(J1732/IF(CH1732&gt;0,CH1732,MAX(0.1,N(Cockpit!$O$6)))-CL1732)),0)</f>
        <v>0</v>
      </c>
      <c r="BH1732" s="63" t="n">
        <f aca="false">IF(BD1732&gt;0,J1732/BD1732,-1)</f>
        <v>-1</v>
      </c>
      <c r="BI1732" s="63" t="str">
        <f aca="false">IF(AND(OR(CG1732="L1",CG1732="L23",CG1732="LIFT"),BD1732&gt;0),SUMIFS($BD$7:$BD$1843,$CG$7:$CG$1843,CG1732,$BH$7:$BH$1843,"&gt;"&amp;BH1732)+SUMIFS($BD$7:$BD$1843,$CG$7:$CG$1843,CG1732,$BH$7:$BH$1843,BH1732,$BX$7:$BX$1843,"&lt;="&amp;BX1732),"")</f>
        <v/>
      </c>
      <c r="BJ1732" s="70" t="n">
        <f aca="false">IF(BI1732="",0,MAX(0,MIN(1,(IF(CG1732="L1",Parameter!$H$5,IF(CG1732="L23",Parameter!$H$6+Parameter!$H$7,Parameter!$H$5+Parameter!$H$6+Parameter!$H$7))-(BI1732-BD1732))/BD1732)))</f>
        <v>0</v>
      </c>
      <c r="BK1732" s="60" t="str">
        <f aca="false">IF(AJ1732&lt;=0,"",IF(CG1732="Aussen","Aussenlager",IF(CG1732="-","Nicht im Lift",IF(AP1732&gt;=1,"Lift",IF(AP1732&lt;=0,"Aussenlager","teilweise")))))</f>
        <v>Lift</v>
      </c>
      <c r="BL1732" s="60" t="str">
        <f aca="false">IF(AT1732&lt;=0,"",IF(CG1732="Aussen","Aussenlager",IF(CG1732="-","Nicht im Lift",IF(AZ1732&gt;=1,"Lift",IF(AZ1732&lt;=0,"Aussenlager","teilweise")))))</f>
        <v>Aussenlager</v>
      </c>
      <c r="BM1732" s="60" t="str">
        <f aca="false">IF(BD1732&lt;=0,"",IF(CG1732="Aussen","Aussenlager",IF(CG1732="-","Nicht im Lift",IF(BJ1732&gt;=1,"Lift",IF(BJ1732&lt;=0,"Aussenlager","teilweise")))))</f>
        <v/>
      </c>
      <c r="BN1732" s="60" t="str">
        <f aca="false">IF(A1732="","",IF(BW1732=1,"Neu; ","")&amp;IF(AND(BW1732=0,BR1732&lt;0),"negativer Bestand (Export "&amp;BR1732&amp;"); ","")&amp;IF(J1732&lt;=0,"Kein Verbrauch; ","")&amp;IF(CR1732&gt;0,"Lift "&amp;W1732&amp;" lt. Liftbericht (Fach "&amp;X1732&amp;" Stk); ",IF(CB1732=1,"Gebinde geschätzt ("&amp;T1732&amp;"); ",IF(CA1732=1,"Lose – Tablare geschätzt; ","")))&amp;IF(H1732&gt;AW1732,"Überbestand "&amp;ROUND(H1732-AW1732,0)&amp;" Stk / CHF "&amp;ROUND((H1732-AW1732)*G1732,0)&amp;"; ","")&amp;IF(AND(CI1732=1,CJ1732&lt;CK1732),"MAX &lt; MB+LG; ","")&amp;IF(AND(CQ1732&gt;0,CP1732*10&gt;CQ1732),"zu hoch für Tablar; ","")&amp;IF(AND(BW1732=0,OR(CI1732=1,AB1732&lt;&gt;"",U1732&lt;&gt;"",V1732&lt;&gt;"",AC1732&lt;&gt;"")),"manuell übersteuert; ","")&amp;IF(AND(CA1732=0,R1732=0),"Gebinde unbekannt / Stellmass fehlt; ","")&amp;IF(AND(CA1732=0,N(V1732)&lt;=0,N(Q1732)&lt;=0),"Menge pro Gebinde fehlt (Ist = 1 Gebinde); ","")&amp;BV1732)</f>
        <v>Kein Verbrauch; Überbestand 10 Stk / CHF 67; nur im Artikelstamm (Bestand 23.06.2026); Verb.Lager</v>
      </c>
      <c r="BO1732" s="60"/>
      <c r="BP1732" s="60"/>
      <c r="BQ1732" s="67"/>
      <c r="BR1732" s="62" t="n">
        <v>10</v>
      </c>
      <c r="BS1732" s="62" t="n">
        <v>0</v>
      </c>
      <c r="BT1732" s="61" t="n">
        <v>0</v>
      </c>
      <c r="BU1732" s="62" t="n">
        <v>0</v>
      </c>
      <c r="BV1732" s="60" t="s">
        <v>2611</v>
      </c>
      <c r="BW1732" s="65" t="n">
        <v>0</v>
      </c>
      <c r="BX1732" s="65" t="n">
        <v>1732</v>
      </c>
      <c r="BY1732" s="60" t="str">
        <f aca="false">IF(U1732&lt;&gt;"",UPPER(TRIM(U1732)),IF(CB1732=1,UPPER(VLOOKUP(T1732,Parameter!$I$27:$K$29,2,0)),IF(P1732="","LOSE",P1732)))</f>
        <v>S22</v>
      </c>
      <c r="BZ1732" s="62" t="n">
        <f aca="false">IF(BY1732="LOSE",1,IF(N(V1732)&gt;0,V1732,IF(CB1732=1,MAX(1,N(VLOOKUP(T1732,Parameter!$I$27:$K$29,3,0)),H1732,N(N1732)),IF(N(Q1732)&gt;0,Q1732,MAX(1,H1732)))))</f>
        <v>10</v>
      </c>
      <c r="CA1732" s="65" t="n">
        <f aca="false">IF(BY1732="LOSE",1,0)</f>
        <v>0</v>
      </c>
      <c r="CB1732" s="65" t="n">
        <f aca="false">IF(AND(U1732="",OR(P1732="",P1732="LOSE"),T1732&lt;&gt;"",N(S1732)&lt;=0,ISNUMBER(MATCH(T1732,Parameter!$I$27:$I$29,0))),1,0)</f>
        <v>0</v>
      </c>
      <c r="CC1732" s="65" t="n">
        <f aca="false">IF(CR1732&gt;0,INDEX(Parameter!$H$5:$H$7,W1732)/INDEX(Parameter!$E$5:$E$7,W1732),IF(AND(CA1732=0,N(IFERROR(VLOOKUP(BY1732,'Gebinde-Kategorie'!$A$5:$N$45,14,0),0))&gt;0),VLOOKUP(BY1732,'Gebinde-Kategorie'!$A$5:$N$45,14,0)*10+Parameter!$M$23,Parameter!$M$24))</f>
        <v>155</v>
      </c>
      <c r="CD1732" s="60" t="str">
        <f aca="false">IF(AND(Parameter!$B$19="Ja",E1732&lt;&gt;"",ISNUMBER(MATCH(E1732,Parameter!$I$35:$I$52,0))),VLOOKUP(E1732,Parameter!$I$35:$J$52,2,0),IFERROR(VLOOKUP(D1732,Parameter!$A$35:$C$64,2,0),"Nein"))</f>
        <v>2+3</v>
      </c>
      <c r="CE1732" s="64" t="n">
        <f aca="false">IF(CA1732=0,0,IF(N(S1732)&gt;0,S1732,IFERROR(VLOOKUP(D1732,Parameter!$A$35:$C$64,3,0)+0,0)))</f>
        <v>0</v>
      </c>
      <c r="CF1732" s="60" t="n">
        <f aca="false">IF(AB1732&lt;&gt;"",AB1732,AA1732)</f>
        <v>2</v>
      </c>
      <c r="CG1732" s="60" t="str">
        <f aca="false">IF(OR(CF1732=1,CF1732=2,CF1732=3),IF(Parameter!$E$27="Ja","LIFT",IF(CF1732=1,"L1","L23")),IF(CF1732="Aussen","Aussen","-"))</f>
        <v>LIFT</v>
      </c>
      <c r="CH1732" s="71" t="n">
        <f aca="false">IF(N(AC1732)&gt;0,AC1732,0)</f>
        <v>0</v>
      </c>
      <c r="CI1732" s="65" t="n">
        <f aca="false">IF(ISNUMBER(AF1732),1,0)</f>
        <v>0</v>
      </c>
      <c r="CJ1732" s="62" t="n">
        <f aca="false">N(AF1732)</f>
        <v>0</v>
      </c>
      <c r="CK1732" s="62" t="n">
        <f aca="false">N(M1732)+N(N1732)</f>
        <v>0</v>
      </c>
      <c r="CL1732" s="62" t="n">
        <f aca="false">N(M1732)</f>
        <v>0</v>
      </c>
      <c r="CM1732" s="62" t="n">
        <f aca="false">N(N1732)</f>
        <v>0</v>
      </c>
      <c r="CN1732" s="62" t="n">
        <f aca="false">ROUNDUP(H1732/BZ1732,0)</f>
        <v>1</v>
      </c>
      <c r="CO1732" s="62" t="n">
        <f aca="false">ROUNDUP(CJ1732/BZ1732,0)</f>
        <v>0</v>
      </c>
      <c r="CP1732" s="65" t="n">
        <f aca="false">IF(CA1732=1,0,IFERROR(VLOOKUP(BY1732,'Gebinde-Kategorie'!$A$5:$N$45,5,0)+0,0))</f>
        <v>8</v>
      </c>
      <c r="CQ1732" s="65" t="n">
        <f aca="false">IFERROR(IF(OR(CF1732=1,CF1732=2,CF1732=3),N(INDEX(Parameter!$I$5:$I$7,CF1732)),0),0)</f>
        <v>0</v>
      </c>
      <c r="CR1732" s="64" t="n">
        <f aca="false">IF(AND(Parameter!$B$21="Ja",ISNUMBER(W1732),N(X1732)&gt;0),IFERROR(N(INDEX(Parameter!$L$5:$L$7,W1732))*INDEX(Parameter!$E$5:$E$7,W1732)*X1732/SUMIFS($X$7:$X$1843,$W$7:$W$1843,W1732),0),0)</f>
        <v>0</v>
      </c>
      <c r="CS1732" s="62" t="n">
        <f aca="false">IF(AND(OR(CG1732="L1",CG1732="L23",CG1732="LIFT"),H1732&gt;0),CC1732*IF(CR1732&gt;0,CR1732*MAX(1,H1732/X1732),IF(CA1732=1,CE1732,IF(R1732&gt;0,CN1732/R1732,0))/MAX(0.1,N(Parameter!$M$21))),"")</f>
        <v>1.10714285714286</v>
      </c>
      <c r="CT1732" s="64" t="n">
        <f aca="false">IF(CS1732="","",J1732/H1732)</f>
        <v>0</v>
      </c>
      <c r="CU1732" s="62" t="n">
        <f aca="false">IF(CS1732="","",H1732*G1732)</f>
        <v>66.6</v>
      </c>
      <c r="CV1732" s="63" t="n">
        <f aca="false">IF(CS1732="","",(CL1732+ROUNDUP(CL1732+MAX(CM1732,2*(J1732/MAX(0.1,N(Einkauf!$C$6))-CL1732)),0))/2)</f>
        <v>0</v>
      </c>
      <c r="CW1732" s="62" t="n">
        <f aca="false">IF(CS1732="","",MAX(0,H1732-CV1732)*G1732)</f>
        <v>66.6</v>
      </c>
      <c r="CX1732" s="62" t="n">
        <f aca="false">IF(CS1732="","",CS1732*MAX(0,1-CV1732/H1732))</f>
        <v>1.10714285714286</v>
      </c>
      <c r="CY1732" s="64" t="n">
        <f aca="false">IF(CS1732="","",PERCENTRANK($CS$7:$CS$1843,CS1732)+PERCENTRANK($CU$7:$CU$1843,CU1732)+1-PERCENTRANK($CT$7:$CT$1843,CT1732))</f>
        <v>1.2334</v>
      </c>
      <c r="CZ1732" s="72" t="n">
        <f aca="false">IF(CS1732="","",CHOOSE(MATCH(Einkauf!$C$5,Parameter!$G$23:$G$27,0),CY1732,CS1732,CU1732,-CT1732,CW1732)+ROW()/1000000000)</f>
        <v>1.233401732</v>
      </c>
    </row>
    <row r="1733" customFormat="false" ht="15" hidden="false" customHeight="false" outlineLevel="0" collapsed="false">
      <c r="A1733" s="60" t="s">
        <v>3039</v>
      </c>
      <c r="B1733" s="60" t="s">
        <v>3040</v>
      </c>
      <c r="C1733" s="60" t="s">
        <v>206</v>
      </c>
      <c r="D1733" s="60" t="s">
        <v>226</v>
      </c>
      <c r="E1733" s="60"/>
      <c r="F1733" s="60"/>
      <c r="G1733" s="61" t="n">
        <v>22.61</v>
      </c>
      <c r="H1733" s="62" t="n">
        <f aca="false">MAX(0,IF(AND(Parameter!$B$21="Ja",ISNUMBER(Y1733)),Y1733,IF(Parameter!$B$20="Jahresanfang 2025 + Export",BS1733+BR1733,BR1733)))</f>
        <v>5</v>
      </c>
      <c r="I1733" s="62" t="n">
        <f aca="false">H1733*G1733</f>
        <v>113.05</v>
      </c>
      <c r="J1733" s="62" t="n">
        <f aca="false">BU1733*Parameter!$B$18</f>
        <v>0</v>
      </c>
      <c r="K1733" s="63"/>
      <c r="L1733" s="64"/>
      <c r="M1733" s="62" t="n">
        <v>0</v>
      </c>
      <c r="N1733" s="62" t="n">
        <v>3</v>
      </c>
      <c r="O1733" s="65" t="n">
        <v>0</v>
      </c>
      <c r="P1733" s="60" t="s">
        <v>443</v>
      </c>
      <c r="Q1733" s="62" t="n">
        <v>10</v>
      </c>
      <c r="R1733" s="65" t="n">
        <f aca="false">IF(CA1733=1,0,IFERROR(VLOOKUP(BY1733,'Gebinde-Kategorie'!$A$5:$N$45,13,0)+0,0))</f>
        <v>280</v>
      </c>
      <c r="S1733" s="66"/>
      <c r="T1733" s="67"/>
      <c r="U1733" s="67"/>
      <c r="V1733" s="67"/>
      <c r="W1733" s="60"/>
      <c r="X1733" s="62"/>
      <c r="Y1733" s="62"/>
      <c r="Z1733" s="60" t="n">
        <v>3</v>
      </c>
      <c r="AA1733" s="60" t="n">
        <f aca="false">IF(A1733="","",IF(AND(Parameter!$B$21="Ja",ISNUMBER(W1733)),W1733,IF(AND(Parameter!$E$27="Ja",ISNUMBER(Z1733),CD1733&lt;&gt;"Nein"),Z1733,IF(CD1733="2+3",IF(ISNUMBER(SEARCH("grosser Artikel",BV1733)),2,IFERROR(VLOOKUP(BY1733,Parameter!$F$35:$G$64,2,0),2)),IF(OR(CD1733="Nein",CD1733=""),"-",CD1733)))))</f>
        <v>3</v>
      </c>
      <c r="AB1733" s="67"/>
      <c r="AC1733" s="68"/>
      <c r="AD1733" s="62" t="n">
        <f aca="false">AW1733</f>
        <v>3</v>
      </c>
      <c r="AE1733" s="62" t="n">
        <f aca="false">MAX(AW1733,H1733)</f>
        <v>5</v>
      </c>
      <c r="AF1733" s="69"/>
      <c r="AG1733" s="62" t="n">
        <f aca="false">IF(LEFT(Cockpit!$C$5,1)="A",H1733,IF(Parameter!$E$30="MAX-Bestand",IF(CI1733=1,CJ1733,IF(LEFT(Cockpit!$C$5,1)="B",AM1733,MAX(AM1733,H1733))),ROUNDUP(AK1733,0)))</f>
        <v>5</v>
      </c>
      <c r="AH1733" s="62" t="n">
        <f aca="false">IF(CA1733=1,0,ROUNDUP(AG1733/BZ1733,0))</f>
        <v>1</v>
      </c>
      <c r="AI1733" s="64" t="n">
        <f aca="false">IF(CR1733&gt;0,CR1733*MAX(1,AG1733/X1733),IF(CA1733=1,IF(AG1733&lt;=0,0,CE1733*MAX(1,IF(H1733&gt;0,AG1733/H1733,1))),IF(R1733&gt;0,AH1733/R1733,0))/MAX(0.1,N(Parameter!$M$21)))</f>
        <v>0.00357142857142857</v>
      </c>
      <c r="AJ1733" s="62" t="n">
        <f aca="false">AI1733*CC1733</f>
        <v>0.553571428571429</v>
      </c>
      <c r="AK1733" s="63" t="n">
        <f aca="false">IF(LEFT(Cockpit!$C$5,1)="A",H1733,IF(CI1733=1,(CL1733+CJ1733)/2,IF(LEFT(Cockpit!$C$5,1)="B",(CL1733+AM1733)/2,MAX((CL1733+AM1733)/2,H1733))))</f>
        <v>5</v>
      </c>
      <c r="AL1733" s="62" t="n">
        <f aca="false">AK1733*G1733</f>
        <v>113.05</v>
      </c>
      <c r="AM1733" s="62" t="n">
        <f aca="false">ROUNDUP(CL1733+MAX(CM1733,2*(J1733/IF(CH1733&gt;0,CH1733,MAX(0.1,N(Cockpit!$C$6)))-CL1733)),0)</f>
        <v>3</v>
      </c>
      <c r="AN1733" s="63" t="n">
        <f aca="false">IF(AJ1733&gt;0,J1733/AJ1733,-1)</f>
        <v>0</v>
      </c>
      <c r="AO1733" s="63" t="n">
        <f aca="false">IF(AND(OR(CG1733="L1",CG1733="L23",CG1733="LIFT"),AJ1733&gt;0),SUMIFS($AJ$7:$AJ$1843,$CG$7:$CG$1843,CG1733,$AN$7:$AN$1843,"&gt;"&amp;AN1733)+SUMIFS($AJ$7:$AJ$1843,$CG$7:$CG$1843,CG1733,$AN$7:$AN$1843,AN1733,$BX$7:$BX$1843,"&lt;="&amp;BX1733),"")</f>
        <v>32850.3503316364</v>
      </c>
      <c r="AP1733" s="70" t="n">
        <f aca="false">IF(AO1733="",0,MAX(0,MIN(1,(IF(CG1733="L1",Parameter!$H$5,IF(CG1733="L23",Parameter!$H$6+Parameter!$H$7,Parameter!$H$5+Parameter!$H$6+Parameter!$H$7))-(AO1733-AJ1733))/AJ1733)))</f>
        <v>1</v>
      </c>
      <c r="AQ1733" s="62" t="n">
        <f aca="false">IF(LEFT(Cockpit!$I$5,1)="A",H1733,IF(Parameter!$E$30="MAX-Bestand",IF(CI1733=1,CJ1733,IF(LEFT(Cockpit!$I$5,1)="B",AW1733,MAX(AW1733,H1733))),ROUNDUP(AU1733,0)))</f>
        <v>5</v>
      </c>
      <c r="AR1733" s="62" t="n">
        <f aca="false">IF(CA1733=1,0,ROUNDUP(AQ1733/BZ1733,0))</f>
        <v>1</v>
      </c>
      <c r="AS1733" s="64" t="n">
        <f aca="false">IF(CR1733&gt;0,CR1733*MAX(1,AQ1733/X1733),IF(CA1733=1,IF(AQ1733&lt;=0,0,CE1733*MAX(1,IF(H1733&gt;0,AQ1733/H1733,1))),IF(R1733&gt;0,AR1733/R1733,0))/MAX(0.1,N(Parameter!$M$21)))</f>
        <v>0.00357142857142857</v>
      </c>
      <c r="AT1733" s="62" t="n">
        <f aca="false">AS1733*CC1733</f>
        <v>0.553571428571429</v>
      </c>
      <c r="AU1733" s="63" t="n">
        <f aca="false">IF(LEFT(Cockpit!$I$5,1)="A",H1733,IF(CI1733=1,(CL1733+CJ1733)/2,IF(LEFT(Cockpit!$I$5,1)="B",(CL1733+AW1733)/2,MAX((CL1733+AW1733)/2,H1733))))</f>
        <v>5</v>
      </c>
      <c r="AV1733" s="62" t="n">
        <f aca="false">AU1733*G1733</f>
        <v>113.05</v>
      </c>
      <c r="AW1733" s="62" t="n">
        <f aca="false">ROUNDUP(CL1733+MAX(CM1733,2*(J1733/IF(CH1733&gt;0,CH1733,MAX(0.1,N(Cockpit!$I$6)))-CL1733)),0)</f>
        <v>3</v>
      </c>
      <c r="AX1733" s="63" t="n">
        <f aca="false">IF(AT1733&gt;0,J1733/AT1733,-1)</f>
        <v>0</v>
      </c>
      <c r="AY1733" s="63" t="n">
        <f aca="false">IF(AND(OR(CG1733="L1",CG1733="L23",CG1733="LIFT"),AT1733&gt;0),SUMIFS($AT$7:$AT$1843,$CG$7:$CG$1843,CG1733,$AX$7:$AX$1843,"&gt;"&amp;AX1733)+SUMIFS($AT$7:$AT$1843,$CG$7:$CG$1843,CG1733,$AX$7:$AX$1843,AX1733,$BX$7:$BX$1843,"&lt;="&amp;BX1733),"")</f>
        <v>39324.259276505</v>
      </c>
      <c r="AZ1733" s="70" t="n">
        <f aca="false">IF(AY1733="",0,MAX(0,MIN(1,(IF(CG1733="L1",Parameter!$H$5,IF(CG1733="L23",Parameter!$H$6+Parameter!$H$7,Parameter!$H$5+Parameter!$H$6+Parameter!$H$7))-(AY1733-AT1733))/AT1733)))</f>
        <v>0</v>
      </c>
      <c r="BA1733" s="62" t="n">
        <f aca="false">IF(LEFT(Cockpit!$O$5,1)="A",H1733,IF(Parameter!$E$30="MAX-Bestand",IF(CI1733=1,CJ1733,IF(LEFT(Cockpit!$O$5,1)="B",BG1733,MAX(BG1733,H1733))),ROUNDUP(BE1733,0)))</f>
        <v>2</v>
      </c>
      <c r="BB1733" s="62" t="n">
        <f aca="false">IF(CA1733=1,0,ROUNDUP(BA1733/BZ1733,0))</f>
        <v>1</v>
      </c>
      <c r="BC1733" s="64" t="n">
        <f aca="false">IF(CR1733&gt;0,CR1733*MAX(1,BA1733/X1733),IF(CA1733=1,IF(BA1733&lt;=0,0,CE1733*MAX(1,IF(H1733&gt;0,BA1733/H1733,1))),IF(R1733&gt;0,BB1733/R1733,0))/MAX(0.1,N(Parameter!$M$21)))</f>
        <v>0.00357142857142857</v>
      </c>
      <c r="BD1733" s="62" t="n">
        <f aca="false">BC1733*CC1733</f>
        <v>0.553571428571429</v>
      </c>
      <c r="BE1733" s="63" t="n">
        <f aca="false">IF(LEFT(Cockpit!$O$5,1)="A",H1733,IF(CI1733=1,(CL1733+CJ1733)/2,IF(LEFT(Cockpit!$O$5,1)="B",(CL1733+BG1733)/2,MAX((CL1733+BG1733)/2,H1733))))</f>
        <v>1.5</v>
      </c>
      <c r="BF1733" s="62" t="n">
        <f aca="false">BE1733*G1733</f>
        <v>33.915</v>
      </c>
      <c r="BG1733" s="62" t="n">
        <f aca="false">ROUNDUP(CL1733+MAX(CM1733,2*(J1733/IF(CH1733&gt;0,CH1733,MAX(0.1,N(Cockpit!$O$6)))-CL1733)),0)</f>
        <v>3</v>
      </c>
      <c r="BH1733" s="63" t="n">
        <f aca="false">IF(BD1733&gt;0,J1733/BD1733,-1)</f>
        <v>0</v>
      </c>
      <c r="BI1733" s="63" t="n">
        <f aca="false">IF(AND(OR(CG1733="L1",CG1733="L23",CG1733="LIFT"),BD1733&gt;0),SUMIFS($BD$7:$BD$1843,$CG$7:$CG$1843,CG1733,$BH$7:$BH$1843,"&gt;"&amp;BH1733)+SUMIFS($BD$7:$BD$1843,$CG$7:$CG$1843,CG1733,$BH$7:$BH$1843,BH1733,$BX$7:$BX$1843,"&lt;="&amp;BX1733),"")</f>
        <v>32551.8374567993</v>
      </c>
      <c r="BJ1733" s="70" t="n">
        <f aca="false">IF(BI1733="",0,MAX(0,MIN(1,(IF(CG1733="L1",Parameter!$H$5,IF(CG1733="L23",Parameter!$H$6+Parameter!$H$7,Parameter!$H$5+Parameter!$H$6+Parameter!$H$7))-(BI1733-BD1733))/BD1733)))</f>
        <v>1</v>
      </c>
      <c r="BK1733" s="60" t="str">
        <f aca="false">IF(AJ1733&lt;=0,"",IF(CG1733="Aussen","Aussenlager",IF(CG1733="-","Nicht im Lift",IF(AP1733&gt;=1,"Lift",IF(AP1733&lt;=0,"Aussenlager","teilweise")))))</f>
        <v>Lift</v>
      </c>
      <c r="BL1733" s="60" t="str">
        <f aca="false">IF(AT1733&lt;=0,"",IF(CG1733="Aussen","Aussenlager",IF(CG1733="-","Nicht im Lift",IF(AZ1733&gt;=1,"Lift",IF(AZ1733&lt;=0,"Aussenlager","teilweise")))))</f>
        <v>Aussenlager</v>
      </c>
      <c r="BM1733" s="60" t="str">
        <f aca="false">IF(BD1733&lt;=0,"",IF(CG1733="Aussen","Aussenlager",IF(CG1733="-","Nicht im Lift",IF(BJ1733&gt;=1,"Lift",IF(BJ1733&lt;=0,"Aussenlager","teilweise")))))</f>
        <v>Lift</v>
      </c>
      <c r="BN1733" s="60" t="str">
        <f aca="false">IF(A1733="","",IF(BW1733=1,"Neu; ","")&amp;IF(AND(BW1733=0,BR1733&lt;0),"negativer Bestand (Export "&amp;BR1733&amp;"); ","")&amp;IF(J1733&lt;=0,"Kein Verbrauch; ","")&amp;IF(CR1733&gt;0,"Lift "&amp;W1733&amp;" lt. Liftbericht (Fach "&amp;X1733&amp;" Stk); ",IF(CB1733=1,"Gebinde geschätzt ("&amp;T1733&amp;"); ",IF(CA1733=1,"Lose – Tablare geschätzt; ","")))&amp;IF(H1733&gt;AW1733,"Überbestand "&amp;ROUND(H1733-AW1733,0)&amp;" Stk / CHF "&amp;ROUND((H1733-AW1733)*G1733,0)&amp;"; ","")&amp;IF(AND(CI1733=1,CJ1733&lt;CK1733),"MAX &lt; MB+LG; ","")&amp;IF(AND(CQ1733&gt;0,CP1733*10&gt;CQ1733),"zu hoch für Tablar; ","")&amp;IF(AND(BW1733=0,OR(CI1733=1,AB1733&lt;&gt;"",U1733&lt;&gt;"",V1733&lt;&gt;"",AC1733&lt;&gt;"")),"manuell übersteuert; ","")&amp;IF(AND(CA1733=0,R1733=0),"Gebinde unbekannt / Stellmass fehlt; ","")&amp;IF(AND(CA1733=0,N(V1733)&lt;=0,N(Q1733)&lt;=0),"Menge pro Gebinde fehlt (Ist = 1 Gebinde); ","")&amp;BV1733)</f>
        <v>Kein Verbrauch; Überbestand 2 Stk / CHF 45; nur im Artikelstamm (Bestand 23.06.2026); Verb.Lager</v>
      </c>
      <c r="BO1733" s="60"/>
      <c r="BP1733" s="60"/>
      <c r="BQ1733" s="67"/>
      <c r="BR1733" s="62" t="n">
        <v>5</v>
      </c>
      <c r="BS1733" s="62" t="n">
        <v>0</v>
      </c>
      <c r="BT1733" s="61" t="n">
        <v>0</v>
      </c>
      <c r="BU1733" s="62" t="n">
        <v>0</v>
      </c>
      <c r="BV1733" s="60" t="s">
        <v>2611</v>
      </c>
      <c r="BW1733" s="65" t="n">
        <v>0</v>
      </c>
      <c r="BX1733" s="65" t="n">
        <v>1733</v>
      </c>
      <c r="BY1733" s="60" t="str">
        <f aca="false">IF(U1733&lt;&gt;"",UPPER(TRIM(U1733)),IF(CB1733=1,UPPER(VLOOKUP(T1733,Parameter!$I$27:$K$29,2,0)),IF(P1733="","LOSE",P1733)))</f>
        <v>S21</v>
      </c>
      <c r="BZ1733" s="62" t="n">
        <f aca="false">IF(BY1733="LOSE",1,IF(N(V1733)&gt;0,V1733,IF(CB1733=1,MAX(1,N(VLOOKUP(T1733,Parameter!$I$27:$K$29,3,0)),H1733,N(N1733)),IF(N(Q1733)&gt;0,Q1733,MAX(1,H1733)))))</f>
        <v>10</v>
      </c>
      <c r="CA1733" s="65" t="n">
        <f aca="false">IF(BY1733="LOSE",1,0)</f>
        <v>0</v>
      </c>
      <c r="CB1733" s="65" t="n">
        <f aca="false">IF(AND(U1733="",OR(P1733="",P1733="LOSE"),T1733&lt;&gt;"",N(S1733)&lt;=0,ISNUMBER(MATCH(T1733,Parameter!$I$27:$I$29,0))),1,0)</f>
        <v>0</v>
      </c>
      <c r="CC1733" s="65" t="n">
        <f aca="false">IF(CR1733&gt;0,INDEX(Parameter!$H$5:$H$7,W1733)/INDEX(Parameter!$E$5:$E$7,W1733),IF(AND(CA1733=0,N(IFERROR(VLOOKUP(BY1733,'Gebinde-Kategorie'!$A$5:$N$45,14,0),0))&gt;0),VLOOKUP(BY1733,'Gebinde-Kategorie'!$A$5:$N$45,14,0)*10+Parameter!$M$23,Parameter!$M$24))</f>
        <v>155</v>
      </c>
      <c r="CD1733" s="60" t="str">
        <f aca="false">IF(AND(Parameter!$B$19="Ja",E1733&lt;&gt;"",ISNUMBER(MATCH(E1733,Parameter!$I$35:$I$52,0))),VLOOKUP(E1733,Parameter!$I$35:$J$52,2,0),IFERROR(VLOOKUP(D1733,Parameter!$A$35:$C$64,2,0),"Nein"))</f>
        <v>2+3</v>
      </c>
      <c r="CE1733" s="64" t="n">
        <f aca="false">IF(CA1733=0,0,IF(N(S1733)&gt;0,S1733,IFERROR(VLOOKUP(D1733,Parameter!$A$35:$C$64,3,0)+0,0)))</f>
        <v>0</v>
      </c>
      <c r="CF1733" s="60" t="n">
        <f aca="false">IF(AB1733&lt;&gt;"",AB1733,AA1733)</f>
        <v>3</v>
      </c>
      <c r="CG1733" s="60" t="str">
        <f aca="false">IF(OR(CF1733=1,CF1733=2,CF1733=3),IF(Parameter!$E$27="Ja","LIFT",IF(CF1733=1,"L1","L23")),IF(CF1733="Aussen","Aussen","-"))</f>
        <v>LIFT</v>
      </c>
      <c r="CH1733" s="71" t="n">
        <f aca="false">IF(N(AC1733)&gt;0,AC1733,0)</f>
        <v>0</v>
      </c>
      <c r="CI1733" s="65" t="n">
        <f aca="false">IF(ISNUMBER(AF1733),1,0)</f>
        <v>0</v>
      </c>
      <c r="CJ1733" s="62" t="n">
        <f aca="false">N(AF1733)</f>
        <v>0</v>
      </c>
      <c r="CK1733" s="62" t="n">
        <f aca="false">N(M1733)+N(N1733)</f>
        <v>3</v>
      </c>
      <c r="CL1733" s="62" t="n">
        <f aca="false">N(M1733)</f>
        <v>0</v>
      </c>
      <c r="CM1733" s="62" t="n">
        <f aca="false">N(N1733)</f>
        <v>3</v>
      </c>
      <c r="CN1733" s="62" t="n">
        <f aca="false">ROUNDUP(H1733/BZ1733,0)</f>
        <v>1</v>
      </c>
      <c r="CO1733" s="62" t="n">
        <f aca="false">ROUNDUP(CJ1733/BZ1733,0)</f>
        <v>0</v>
      </c>
      <c r="CP1733" s="65" t="n">
        <f aca="false">IF(CA1733=1,0,IFERROR(VLOOKUP(BY1733,'Gebinde-Kategorie'!$A$5:$N$45,5,0)+0,0))</f>
        <v>8</v>
      </c>
      <c r="CQ1733" s="65" t="n">
        <f aca="false">IFERROR(IF(OR(CF1733=1,CF1733=2,CF1733=3),N(INDEX(Parameter!$I$5:$I$7,CF1733)),0),0)</f>
        <v>0</v>
      </c>
      <c r="CR1733" s="64" t="n">
        <f aca="false">IF(AND(Parameter!$B$21="Ja",ISNUMBER(W1733),N(X1733)&gt;0),IFERROR(N(INDEX(Parameter!$L$5:$L$7,W1733))*INDEX(Parameter!$E$5:$E$7,W1733)*X1733/SUMIFS($X$7:$X$1843,$W$7:$W$1843,W1733),0),0)</f>
        <v>0</v>
      </c>
      <c r="CS1733" s="62" t="n">
        <f aca="false">IF(AND(OR(CG1733="L1",CG1733="L23",CG1733="LIFT"),H1733&gt;0),CC1733*IF(CR1733&gt;0,CR1733*MAX(1,H1733/X1733),IF(CA1733=1,CE1733,IF(R1733&gt;0,CN1733/R1733,0))/MAX(0.1,N(Parameter!$M$21))),"")</f>
        <v>0.553571428571429</v>
      </c>
      <c r="CT1733" s="64" t="n">
        <f aca="false">IF(CS1733="","",J1733/H1733)</f>
        <v>0</v>
      </c>
      <c r="CU1733" s="62" t="n">
        <f aca="false">IF(CS1733="","",H1733*G1733)</f>
        <v>113.05</v>
      </c>
      <c r="CV1733" s="63" t="n">
        <f aca="false">IF(CS1733="","",(CL1733+ROUNDUP(CL1733+MAX(CM1733,2*(J1733/MAX(0.1,N(Einkauf!$C$6))-CL1733)),0))/2)</f>
        <v>1.5</v>
      </c>
      <c r="CW1733" s="62" t="n">
        <f aca="false">IF(CS1733="","",MAX(0,H1733-CV1733)*G1733)</f>
        <v>79.135</v>
      </c>
      <c r="CX1733" s="62" t="n">
        <f aca="false">IF(CS1733="","",CS1733*MAX(0,1-CV1733/H1733))</f>
        <v>0.3875</v>
      </c>
      <c r="CY1733" s="64" t="n">
        <f aca="false">IF(CS1733="","",PERCENTRANK($CS$7:$CS$1843,CS1733)+PERCENTRANK($CU$7:$CU$1843,CU1733)+1-PERCENTRANK($CT$7:$CT$1843,CT1733))</f>
        <v>1.25</v>
      </c>
      <c r="CZ1733" s="72" t="n">
        <f aca="false">IF(CS1733="","",CHOOSE(MATCH(Einkauf!$C$5,Parameter!$G$23:$G$27,0),CY1733,CS1733,CU1733,-CT1733,CW1733)+ROW()/1000000000)</f>
        <v>1.250001733</v>
      </c>
    </row>
    <row r="1734" customFormat="false" ht="15" hidden="false" customHeight="false" outlineLevel="0" collapsed="false">
      <c r="A1734" s="60" t="s">
        <v>3041</v>
      </c>
      <c r="B1734" s="60" t="s">
        <v>3042</v>
      </c>
      <c r="C1734" s="60" t="s">
        <v>206</v>
      </c>
      <c r="D1734" s="60" t="s">
        <v>226</v>
      </c>
      <c r="E1734" s="60"/>
      <c r="F1734" s="60"/>
      <c r="G1734" s="61" t="n">
        <v>2.2</v>
      </c>
      <c r="H1734" s="62" t="n">
        <f aca="false">MAX(0,IF(AND(Parameter!$B$21="Ja",ISNUMBER(Y1734)),Y1734,IF(Parameter!$B$20="Jahresanfang 2025 + Export",BS1734+BR1734,BR1734)))</f>
        <v>10</v>
      </c>
      <c r="I1734" s="62" t="n">
        <f aca="false">H1734*G1734</f>
        <v>22</v>
      </c>
      <c r="J1734" s="62" t="n">
        <f aca="false">BU1734*Parameter!$B$18</f>
        <v>0</v>
      </c>
      <c r="K1734" s="63"/>
      <c r="L1734" s="64"/>
      <c r="M1734" s="62" t="n">
        <v>0</v>
      </c>
      <c r="N1734" s="62" t="n">
        <v>1</v>
      </c>
      <c r="O1734" s="65" t="n">
        <v>28</v>
      </c>
      <c r="P1734" s="60" t="s">
        <v>443</v>
      </c>
      <c r="Q1734" s="62" t="n">
        <v>10</v>
      </c>
      <c r="R1734" s="65" t="n">
        <f aca="false">IF(CA1734=1,0,IFERROR(VLOOKUP(BY1734,'Gebinde-Kategorie'!$A$5:$N$45,13,0)+0,0))</f>
        <v>280</v>
      </c>
      <c r="S1734" s="66"/>
      <c r="T1734" s="67"/>
      <c r="U1734" s="67"/>
      <c r="V1734" s="67"/>
      <c r="W1734" s="60"/>
      <c r="X1734" s="62"/>
      <c r="Y1734" s="62"/>
      <c r="Z1734" s="60" t="n">
        <v>3</v>
      </c>
      <c r="AA1734" s="60" t="n">
        <f aca="false">IF(A1734="","",IF(AND(Parameter!$B$21="Ja",ISNUMBER(W1734)),W1734,IF(AND(Parameter!$E$27="Ja",ISNUMBER(Z1734),CD1734&lt;&gt;"Nein"),Z1734,IF(CD1734="2+3",IF(ISNUMBER(SEARCH("grosser Artikel",BV1734)),2,IFERROR(VLOOKUP(BY1734,Parameter!$F$35:$G$64,2,0),2)),IF(OR(CD1734="Nein",CD1734=""),"-",CD1734)))))</f>
        <v>3</v>
      </c>
      <c r="AB1734" s="67"/>
      <c r="AC1734" s="68"/>
      <c r="AD1734" s="62" t="n">
        <f aca="false">AW1734</f>
        <v>1</v>
      </c>
      <c r="AE1734" s="62" t="n">
        <f aca="false">MAX(AW1734,H1734)</f>
        <v>10</v>
      </c>
      <c r="AF1734" s="69"/>
      <c r="AG1734" s="62" t="n">
        <f aca="false">IF(LEFT(Cockpit!$C$5,1)="A",H1734,IF(Parameter!$E$30="MAX-Bestand",IF(CI1734=1,CJ1734,IF(LEFT(Cockpit!$C$5,1)="B",AM1734,MAX(AM1734,H1734))),ROUNDUP(AK1734,0)))</f>
        <v>10</v>
      </c>
      <c r="AH1734" s="62" t="n">
        <f aca="false">IF(CA1734=1,0,ROUNDUP(AG1734/BZ1734,0))</f>
        <v>1</v>
      </c>
      <c r="AI1734" s="64" t="n">
        <f aca="false">IF(CR1734&gt;0,CR1734*MAX(1,AG1734/X1734),IF(CA1734=1,IF(AG1734&lt;=0,0,CE1734*MAX(1,IF(H1734&gt;0,AG1734/H1734,1))),IF(R1734&gt;0,AH1734/R1734,0))/MAX(0.1,N(Parameter!$M$21)))</f>
        <v>0.00357142857142857</v>
      </c>
      <c r="AJ1734" s="62" t="n">
        <f aca="false">AI1734*CC1734</f>
        <v>0.553571428571429</v>
      </c>
      <c r="AK1734" s="63" t="n">
        <f aca="false">IF(LEFT(Cockpit!$C$5,1)="A",H1734,IF(CI1734=1,(CL1734+CJ1734)/2,IF(LEFT(Cockpit!$C$5,1)="B",(CL1734+AM1734)/2,MAX((CL1734+AM1734)/2,H1734))))</f>
        <v>10</v>
      </c>
      <c r="AL1734" s="62" t="n">
        <f aca="false">AK1734*G1734</f>
        <v>22</v>
      </c>
      <c r="AM1734" s="62" t="n">
        <f aca="false">ROUNDUP(CL1734+MAX(CM1734,2*(J1734/IF(CH1734&gt;0,CH1734,MAX(0.1,N(Cockpit!$C$6)))-CL1734)),0)</f>
        <v>1</v>
      </c>
      <c r="AN1734" s="63" t="n">
        <f aca="false">IF(AJ1734&gt;0,J1734/AJ1734,-1)</f>
        <v>0</v>
      </c>
      <c r="AO1734" s="63" t="n">
        <f aca="false">IF(AND(OR(CG1734="L1",CG1734="L23",CG1734="LIFT"),AJ1734&gt;0),SUMIFS($AJ$7:$AJ$1843,$CG$7:$CG$1843,CG1734,$AN$7:$AN$1843,"&gt;"&amp;AN1734)+SUMIFS($AJ$7:$AJ$1843,$CG$7:$CG$1843,CG1734,$AN$7:$AN$1843,AN1734,$BX$7:$BX$1843,"&lt;="&amp;BX1734),"")</f>
        <v>32850.9039030649</v>
      </c>
      <c r="AP1734" s="70" t="n">
        <f aca="false">IF(AO1734="",0,MAX(0,MIN(1,(IF(CG1734="L1",Parameter!$H$5,IF(CG1734="L23",Parameter!$H$6+Parameter!$H$7,Parameter!$H$5+Parameter!$H$6+Parameter!$H$7))-(AO1734-AJ1734))/AJ1734)))</f>
        <v>1</v>
      </c>
      <c r="AQ1734" s="62" t="n">
        <f aca="false">IF(LEFT(Cockpit!$I$5,1)="A",H1734,IF(Parameter!$E$30="MAX-Bestand",IF(CI1734=1,CJ1734,IF(LEFT(Cockpit!$I$5,1)="B",AW1734,MAX(AW1734,H1734))),ROUNDUP(AU1734,0)))</f>
        <v>10</v>
      </c>
      <c r="AR1734" s="62" t="n">
        <f aca="false">IF(CA1734=1,0,ROUNDUP(AQ1734/BZ1734,0))</f>
        <v>1</v>
      </c>
      <c r="AS1734" s="64" t="n">
        <f aca="false">IF(CR1734&gt;0,CR1734*MAX(1,AQ1734/X1734),IF(CA1734=1,IF(AQ1734&lt;=0,0,CE1734*MAX(1,IF(H1734&gt;0,AQ1734/H1734,1))),IF(R1734&gt;0,AR1734/R1734,0))/MAX(0.1,N(Parameter!$M$21)))</f>
        <v>0.00357142857142857</v>
      </c>
      <c r="AT1734" s="62" t="n">
        <f aca="false">AS1734*CC1734</f>
        <v>0.553571428571429</v>
      </c>
      <c r="AU1734" s="63" t="n">
        <f aca="false">IF(LEFT(Cockpit!$I$5,1)="A",H1734,IF(CI1734=1,(CL1734+CJ1734)/2,IF(LEFT(Cockpit!$I$5,1)="B",(CL1734+AW1734)/2,MAX((CL1734+AW1734)/2,H1734))))</f>
        <v>10</v>
      </c>
      <c r="AV1734" s="62" t="n">
        <f aca="false">AU1734*G1734</f>
        <v>22</v>
      </c>
      <c r="AW1734" s="62" t="n">
        <f aca="false">ROUNDUP(CL1734+MAX(CM1734,2*(J1734/IF(CH1734&gt;0,CH1734,MAX(0.1,N(Cockpit!$I$6)))-CL1734)),0)</f>
        <v>1</v>
      </c>
      <c r="AX1734" s="63" t="n">
        <f aca="false">IF(AT1734&gt;0,J1734/AT1734,-1)</f>
        <v>0</v>
      </c>
      <c r="AY1734" s="63" t="n">
        <f aca="false">IF(AND(OR(CG1734="L1",CG1734="L23",CG1734="LIFT"),AT1734&gt;0),SUMIFS($AT$7:$AT$1843,$CG$7:$CG$1843,CG1734,$AX$7:$AX$1843,"&gt;"&amp;AX1734)+SUMIFS($AT$7:$AT$1843,$CG$7:$CG$1843,CG1734,$AX$7:$AX$1843,AX1734,$BX$7:$BX$1843,"&lt;="&amp;BX1734),"")</f>
        <v>39324.8128479336</v>
      </c>
      <c r="AZ1734" s="70" t="n">
        <f aca="false">IF(AY1734="",0,MAX(0,MIN(1,(IF(CG1734="L1",Parameter!$H$5,IF(CG1734="L23",Parameter!$H$6+Parameter!$H$7,Parameter!$H$5+Parameter!$H$6+Parameter!$H$7))-(AY1734-AT1734))/AT1734)))</f>
        <v>0</v>
      </c>
      <c r="BA1734" s="62" t="n">
        <f aca="false">IF(LEFT(Cockpit!$O$5,1)="A",H1734,IF(Parameter!$E$30="MAX-Bestand",IF(CI1734=1,CJ1734,IF(LEFT(Cockpit!$O$5,1)="B",BG1734,MAX(BG1734,H1734))),ROUNDUP(BE1734,0)))</f>
        <v>1</v>
      </c>
      <c r="BB1734" s="62" t="n">
        <f aca="false">IF(CA1734=1,0,ROUNDUP(BA1734/BZ1734,0))</f>
        <v>1</v>
      </c>
      <c r="BC1734" s="64" t="n">
        <f aca="false">IF(CR1734&gt;0,CR1734*MAX(1,BA1734/X1734),IF(CA1734=1,IF(BA1734&lt;=0,0,CE1734*MAX(1,IF(H1734&gt;0,BA1734/H1734,1))),IF(R1734&gt;0,BB1734/R1734,0))/MAX(0.1,N(Parameter!$M$21)))</f>
        <v>0.00357142857142857</v>
      </c>
      <c r="BD1734" s="62" t="n">
        <f aca="false">BC1734*CC1734</f>
        <v>0.553571428571429</v>
      </c>
      <c r="BE1734" s="63" t="n">
        <f aca="false">IF(LEFT(Cockpit!$O$5,1)="A",H1734,IF(CI1734=1,(CL1734+CJ1734)/2,IF(LEFT(Cockpit!$O$5,1)="B",(CL1734+BG1734)/2,MAX((CL1734+BG1734)/2,H1734))))</f>
        <v>0.5</v>
      </c>
      <c r="BF1734" s="62" t="n">
        <f aca="false">BE1734*G1734</f>
        <v>1.1</v>
      </c>
      <c r="BG1734" s="62" t="n">
        <f aca="false">ROUNDUP(CL1734+MAX(CM1734,2*(J1734/IF(CH1734&gt;0,CH1734,MAX(0.1,N(Cockpit!$O$6)))-CL1734)),0)</f>
        <v>1</v>
      </c>
      <c r="BH1734" s="63" t="n">
        <f aca="false">IF(BD1734&gt;0,J1734/BD1734,-1)</f>
        <v>0</v>
      </c>
      <c r="BI1734" s="63" t="n">
        <f aca="false">IF(AND(OR(CG1734="L1",CG1734="L23",CG1734="LIFT"),BD1734&gt;0),SUMIFS($BD$7:$BD$1843,$CG$7:$CG$1843,CG1734,$BH$7:$BH$1843,"&gt;"&amp;BH1734)+SUMIFS($BD$7:$BD$1843,$CG$7:$CG$1843,CG1734,$BH$7:$BH$1843,BH1734,$BX$7:$BX$1843,"&lt;="&amp;BX1734),"")</f>
        <v>32552.3910282279</v>
      </c>
      <c r="BJ1734" s="70" t="n">
        <f aca="false">IF(BI1734="",0,MAX(0,MIN(1,(IF(CG1734="L1",Parameter!$H$5,IF(CG1734="L23",Parameter!$H$6+Parameter!$H$7,Parameter!$H$5+Parameter!$H$6+Parameter!$H$7))-(BI1734-BD1734))/BD1734)))</f>
        <v>1</v>
      </c>
      <c r="BK1734" s="60" t="str">
        <f aca="false">IF(AJ1734&lt;=0,"",IF(CG1734="Aussen","Aussenlager",IF(CG1734="-","Nicht im Lift",IF(AP1734&gt;=1,"Lift",IF(AP1734&lt;=0,"Aussenlager","teilweise")))))</f>
        <v>Lift</v>
      </c>
      <c r="BL1734" s="60" t="str">
        <f aca="false">IF(AT1734&lt;=0,"",IF(CG1734="Aussen","Aussenlager",IF(CG1734="-","Nicht im Lift",IF(AZ1734&gt;=1,"Lift",IF(AZ1734&lt;=0,"Aussenlager","teilweise")))))</f>
        <v>Aussenlager</v>
      </c>
      <c r="BM1734" s="60" t="str">
        <f aca="false">IF(BD1734&lt;=0,"",IF(CG1734="Aussen","Aussenlager",IF(CG1734="-","Nicht im Lift",IF(BJ1734&gt;=1,"Lift",IF(BJ1734&lt;=0,"Aussenlager","teilweise")))))</f>
        <v>Lift</v>
      </c>
      <c r="BN1734" s="60" t="str">
        <f aca="false">IF(A1734="","",IF(BW1734=1,"Neu; ","")&amp;IF(AND(BW1734=0,BR1734&lt;0),"negativer Bestand (Export "&amp;BR1734&amp;"); ","")&amp;IF(J1734&lt;=0,"Kein Verbrauch; ","")&amp;IF(CR1734&gt;0,"Lift "&amp;W1734&amp;" lt. Liftbericht (Fach "&amp;X1734&amp;" Stk); ",IF(CB1734=1,"Gebinde geschätzt ("&amp;T1734&amp;"); ",IF(CA1734=1,"Lose – Tablare geschätzt; ","")))&amp;IF(H1734&gt;AW1734,"Überbestand "&amp;ROUND(H1734-AW1734,0)&amp;" Stk / CHF "&amp;ROUND((H1734-AW1734)*G1734,0)&amp;"; ","")&amp;IF(AND(CI1734=1,CJ1734&lt;CK1734),"MAX &lt; MB+LG; ","")&amp;IF(AND(CQ1734&gt;0,CP1734*10&gt;CQ1734),"zu hoch für Tablar; ","")&amp;IF(AND(BW1734=0,OR(CI1734=1,AB1734&lt;&gt;"",U1734&lt;&gt;"",V1734&lt;&gt;"",AC1734&lt;&gt;"")),"manuell übersteuert; ","")&amp;IF(AND(CA1734=0,R1734=0),"Gebinde unbekannt / Stellmass fehlt; ","")&amp;IF(AND(CA1734=0,N(V1734)&lt;=0,N(Q1734)&lt;=0),"Menge pro Gebinde fehlt (Ist = 1 Gebinde); ","")&amp;BV1734)</f>
        <v>Kein Verbrauch; Überbestand 9 Stk / CHF 20; nur im Artikelstamm (Bestand 23.06.2026)</v>
      </c>
      <c r="BO1734" s="60"/>
      <c r="BP1734" s="60"/>
      <c r="BQ1734" s="67"/>
      <c r="BR1734" s="62" t="n">
        <v>10</v>
      </c>
      <c r="BS1734" s="62" t="n">
        <v>0</v>
      </c>
      <c r="BT1734" s="61" t="n">
        <v>0</v>
      </c>
      <c r="BU1734" s="62" t="n">
        <v>0</v>
      </c>
      <c r="BV1734" s="60" t="s">
        <v>2617</v>
      </c>
      <c r="BW1734" s="65" t="n">
        <v>0</v>
      </c>
      <c r="BX1734" s="65" t="n">
        <v>1734</v>
      </c>
      <c r="BY1734" s="60" t="str">
        <f aca="false">IF(U1734&lt;&gt;"",UPPER(TRIM(U1734)),IF(CB1734=1,UPPER(VLOOKUP(T1734,Parameter!$I$27:$K$29,2,0)),IF(P1734="","LOSE",P1734)))</f>
        <v>S21</v>
      </c>
      <c r="BZ1734" s="62" t="n">
        <f aca="false">IF(BY1734="LOSE",1,IF(N(V1734)&gt;0,V1734,IF(CB1734=1,MAX(1,N(VLOOKUP(T1734,Parameter!$I$27:$K$29,3,0)),H1734,N(N1734)),IF(N(Q1734)&gt;0,Q1734,MAX(1,H1734)))))</f>
        <v>10</v>
      </c>
      <c r="CA1734" s="65" t="n">
        <f aca="false">IF(BY1734="LOSE",1,0)</f>
        <v>0</v>
      </c>
      <c r="CB1734" s="65" t="n">
        <f aca="false">IF(AND(U1734="",OR(P1734="",P1734="LOSE"),T1734&lt;&gt;"",N(S1734)&lt;=0,ISNUMBER(MATCH(T1734,Parameter!$I$27:$I$29,0))),1,0)</f>
        <v>0</v>
      </c>
      <c r="CC1734" s="65" t="n">
        <f aca="false">IF(CR1734&gt;0,INDEX(Parameter!$H$5:$H$7,W1734)/INDEX(Parameter!$E$5:$E$7,W1734),IF(AND(CA1734=0,N(IFERROR(VLOOKUP(BY1734,'Gebinde-Kategorie'!$A$5:$N$45,14,0),0))&gt;0),VLOOKUP(BY1734,'Gebinde-Kategorie'!$A$5:$N$45,14,0)*10+Parameter!$M$23,Parameter!$M$24))</f>
        <v>155</v>
      </c>
      <c r="CD1734" s="60" t="str">
        <f aca="false">IF(AND(Parameter!$B$19="Ja",E1734&lt;&gt;"",ISNUMBER(MATCH(E1734,Parameter!$I$35:$I$52,0))),VLOOKUP(E1734,Parameter!$I$35:$J$52,2,0),IFERROR(VLOOKUP(D1734,Parameter!$A$35:$C$64,2,0),"Nein"))</f>
        <v>2+3</v>
      </c>
      <c r="CE1734" s="64" t="n">
        <f aca="false">IF(CA1734=0,0,IF(N(S1734)&gt;0,S1734,IFERROR(VLOOKUP(D1734,Parameter!$A$35:$C$64,3,0)+0,0)))</f>
        <v>0</v>
      </c>
      <c r="CF1734" s="60" t="n">
        <f aca="false">IF(AB1734&lt;&gt;"",AB1734,AA1734)</f>
        <v>3</v>
      </c>
      <c r="CG1734" s="60" t="str">
        <f aca="false">IF(OR(CF1734=1,CF1734=2,CF1734=3),IF(Parameter!$E$27="Ja","LIFT",IF(CF1734=1,"L1","L23")),IF(CF1734="Aussen","Aussen","-"))</f>
        <v>LIFT</v>
      </c>
      <c r="CH1734" s="71" t="n">
        <f aca="false">IF(N(AC1734)&gt;0,AC1734,0)</f>
        <v>0</v>
      </c>
      <c r="CI1734" s="65" t="n">
        <f aca="false">IF(ISNUMBER(AF1734),1,0)</f>
        <v>0</v>
      </c>
      <c r="CJ1734" s="62" t="n">
        <f aca="false">N(AF1734)</f>
        <v>0</v>
      </c>
      <c r="CK1734" s="62" t="n">
        <f aca="false">N(M1734)+N(N1734)</f>
        <v>1</v>
      </c>
      <c r="CL1734" s="62" t="n">
        <f aca="false">N(M1734)</f>
        <v>0</v>
      </c>
      <c r="CM1734" s="62" t="n">
        <f aca="false">N(N1734)</f>
        <v>1</v>
      </c>
      <c r="CN1734" s="62" t="n">
        <f aca="false">ROUNDUP(H1734/BZ1734,0)</f>
        <v>1</v>
      </c>
      <c r="CO1734" s="62" t="n">
        <f aca="false">ROUNDUP(CJ1734/BZ1734,0)</f>
        <v>0</v>
      </c>
      <c r="CP1734" s="65" t="n">
        <f aca="false">IF(CA1734=1,0,IFERROR(VLOOKUP(BY1734,'Gebinde-Kategorie'!$A$5:$N$45,5,0)+0,0))</f>
        <v>8</v>
      </c>
      <c r="CQ1734" s="65" t="n">
        <f aca="false">IFERROR(IF(OR(CF1734=1,CF1734=2,CF1734=3),N(INDEX(Parameter!$I$5:$I$7,CF1734)),0),0)</f>
        <v>0</v>
      </c>
      <c r="CR1734" s="64" t="n">
        <f aca="false">IF(AND(Parameter!$B$21="Ja",ISNUMBER(W1734),N(X1734)&gt;0),IFERROR(N(INDEX(Parameter!$L$5:$L$7,W1734))*INDEX(Parameter!$E$5:$E$7,W1734)*X1734/SUMIFS($X$7:$X$1843,$W$7:$W$1843,W1734),0),0)</f>
        <v>0</v>
      </c>
      <c r="CS1734" s="62" t="n">
        <f aca="false">IF(AND(OR(CG1734="L1",CG1734="L23",CG1734="LIFT"),H1734&gt;0),CC1734*IF(CR1734&gt;0,CR1734*MAX(1,H1734/X1734),IF(CA1734=1,CE1734,IF(R1734&gt;0,CN1734/R1734,0))/MAX(0.1,N(Parameter!$M$21))),"")</f>
        <v>0.553571428571429</v>
      </c>
      <c r="CT1734" s="64" t="n">
        <f aca="false">IF(CS1734="","",J1734/H1734)</f>
        <v>0</v>
      </c>
      <c r="CU1734" s="62" t="n">
        <f aca="false">IF(CS1734="","",H1734*G1734)</f>
        <v>22</v>
      </c>
      <c r="CV1734" s="63" t="n">
        <f aca="false">IF(CS1734="","",(CL1734+ROUNDUP(CL1734+MAX(CM1734,2*(J1734/MAX(0.1,N(Einkauf!$C$6))-CL1734)),0))/2)</f>
        <v>0.5</v>
      </c>
      <c r="CW1734" s="62" t="n">
        <f aca="false">IF(CS1734="","",MAX(0,H1734-CV1734)*G1734)</f>
        <v>20.9</v>
      </c>
      <c r="CX1734" s="62" t="n">
        <f aca="false">IF(CS1734="","",CS1734*MAX(0,1-CV1734/H1734))</f>
        <v>0.525892857142857</v>
      </c>
      <c r="CY1734" s="64" t="n">
        <f aca="false">IF(CS1734="","",PERCENTRANK($CS$7:$CS$1843,CS1734)+PERCENTRANK($CU$7:$CU$1843,CU1734)+1-PERCENTRANK($CT$7:$CT$1843,CT1734))</f>
        <v>1.0841</v>
      </c>
      <c r="CZ1734" s="72" t="n">
        <f aca="false">IF(CS1734="","",CHOOSE(MATCH(Einkauf!$C$5,Parameter!$G$23:$G$27,0),CY1734,CS1734,CU1734,-CT1734,CW1734)+ROW()/1000000000)</f>
        <v>1.084101734</v>
      </c>
    </row>
    <row r="1735" customFormat="false" ht="15" hidden="false" customHeight="false" outlineLevel="0" collapsed="false">
      <c r="A1735" s="60" t="s">
        <v>3043</v>
      </c>
      <c r="B1735" s="60" t="s">
        <v>1919</v>
      </c>
      <c r="C1735" s="60" t="s">
        <v>206</v>
      </c>
      <c r="D1735" s="60" t="s">
        <v>226</v>
      </c>
      <c r="E1735" s="60"/>
      <c r="F1735" s="60"/>
      <c r="G1735" s="61" t="n">
        <v>24.29</v>
      </c>
      <c r="H1735" s="62" t="n">
        <f aca="false">MAX(0,IF(AND(Parameter!$B$21="Ja",ISNUMBER(Y1735)),Y1735,IF(Parameter!$B$20="Jahresanfang 2025 + Export",BS1735+BR1735,BR1735)))</f>
        <v>4</v>
      </c>
      <c r="I1735" s="62" t="n">
        <f aca="false">H1735*G1735</f>
        <v>97.16</v>
      </c>
      <c r="J1735" s="62" t="n">
        <f aca="false">BU1735*Parameter!$B$18</f>
        <v>0</v>
      </c>
      <c r="K1735" s="63"/>
      <c r="L1735" s="64"/>
      <c r="M1735" s="62" t="n">
        <v>0</v>
      </c>
      <c r="N1735" s="62" t="n">
        <v>5</v>
      </c>
      <c r="O1735" s="65" t="n">
        <v>14</v>
      </c>
      <c r="P1735" s="60" t="s">
        <v>468</v>
      </c>
      <c r="Q1735" s="62" t="n">
        <v>8</v>
      </c>
      <c r="R1735" s="65" t="n">
        <f aca="false">IF(CA1735=1,0,IFERROR(VLOOKUP(BY1735,'Gebinde-Kategorie'!$A$5:$N$45,13,0)+0,0))</f>
        <v>140</v>
      </c>
      <c r="S1735" s="66"/>
      <c r="T1735" s="67"/>
      <c r="U1735" s="67"/>
      <c r="V1735" s="67"/>
      <c r="W1735" s="60"/>
      <c r="X1735" s="62"/>
      <c r="Y1735" s="62"/>
      <c r="Z1735" s="60" t="n">
        <v>1</v>
      </c>
      <c r="AA1735" s="60" t="n">
        <f aca="false">IF(A1735="","",IF(AND(Parameter!$B$21="Ja",ISNUMBER(W1735)),W1735,IF(AND(Parameter!$E$27="Ja",ISNUMBER(Z1735),CD1735&lt;&gt;"Nein"),Z1735,IF(CD1735="2+3",IF(ISNUMBER(SEARCH("grosser Artikel",BV1735)),2,IFERROR(VLOOKUP(BY1735,Parameter!$F$35:$G$64,2,0),2)),IF(OR(CD1735="Nein",CD1735=""),"-",CD1735)))))</f>
        <v>1</v>
      </c>
      <c r="AB1735" s="67"/>
      <c r="AC1735" s="68"/>
      <c r="AD1735" s="62" t="n">
        <f aca="false">AW1735</f>
        <v>5</v>
      </c>
      <c r="AE1735" s="62" t="n">
        <f aca="false">MAX(AW1735,H1735)</f>
        <v>5</v>
      </c>
      <c r="AF1735" s="69"/>
      <c r="AG1735" s="62" t="n">
        <f aca="false">IF(LEFT(Cockpit!$C$5,1)="A",H1735,IF(Parameter!$E$30="MAX-Bestand",IF(CI1735=1,CJ1735,IF(LEFT(Cockpit!$C$5,1)="B",AM1735,MAX(AM1735,H1735))),ROUNDUP(AK1735,0)))</f>
        <v>4</v>
      </c>
      <c r="AH1735" s="62" t="n">
        <f aca="false">IF(CA1735=1,0,ROUNDUP(AG1735/BZ1735,0))</f>
        <v>1</v>
      </c>
      <c r="AI1735" s="64" t="n">
        <f aca="false">IF(CR1735&gt;0,CR1735*MAX(1,AG1735/X1735),IF(CA1735=1,IF(AG1735&lt;=0,0,CE1735*MAX(1,IF(H1735&gt;0,AG1735/H1735,1))),IF(R1735&gt;0,AH1735/R1735,0))/MAX(0.1,N(Parameter!$M$21)))</f>
        <v>0.00714285714285714</v>
      </c>
      <c r="AJ1735" s="62" t="n">
        <f aca="false">AI1735*CC1735</f>
        <v>1.10714285714286</v>
      </c>
      <c r="AK1735" s="63" t="n">
        <f aca="false">IF(LEFT(Cockpit!$C$5,1)="A",H1735,IF(CI1735=1,(CL1735+CJ1735)/2,IF(LEFT(Cockpit!$C$5,1)="B",(CL1735+AM1735)/2,MAX((CL1735+AM1735)/2,H1735))))</f>
        <v>4</v>
      </c>
      <c r="AL1735" s="62" t="n">
        <f aca="false">AK1735*G1735</f>
        <v>97.16</v>
      </c>
      <c r="AM1735" s="62" t="n">
        <f aca="false">ROUNDUP(CL1735+MAX(CM1735,2*(J1735/IF(CH1735&gt;0,CH1735,MAX(0.1,N(Cockpit!$C$6)))-CL1735)),0)</f>
        <v>5</v>
      </c>
      <c r="AN1735" s="63" t="n">
        <f aca="false">IF(AJ1735&gt;0,J1735/AJ1735,-1)</f>
        <v>0</v>
      </c>
      <c r="AO1735" s="63" t="n">
        <f aca="false">IF(AND(OR(CG1735="L1",CG1735="L23",CG1735="LIFT"),AJ1735&gt;0),SUMIFS($AJ$7:$AJ$1843,$CG$7:$CG$1843,CG1735,$AN$7:$AN$1843,"&gt;"&amp;AN1735)+SUMIFS($AJ$7:$AJ$1843,$CG$7:$CG$1843,CG1735,$AN$7:$AN$1843,AN1735,$BX$7:$BX$1843,"&lt;="&amp;BX1735),"")</f>
        <v>32852.0110459221</v>
      </c>
      <c r="AP1735" s="70" t="n">
        <f aca="false">IF(AO1735="",0,MAX(0,MIN(1,(IF(CG1735="L1",Parameter!$H$5,IF(CG1735="L23",Parameter!$H$6+Parameter!$H$7,Parameter!$H$5+Parameter!$H$6+Parameter!$H$7))-(AO1735-AJ1735))/AJ1735)))</f>
        <v>1</v>
      </c>
      <c r="AQ1735" s="62" t="n">
        <f aca="false">IF(LEFT(Cockpit!$I$5,1)="A",H1735,IF(Parameter!$E$30="MAX-Bestand",IF(CI1735=1,CJ1735,IF(LEFT(Cockpit!$I$5,1)="B",AW1735,MAX(AW1735,H1735))),ROUNDUP(AU1735,0)))</f>
        <v>4</v>
      </c>
      <c r="AR1735" s="62" t="n">
        <f aca="false">IF(CA1735=1,0,ROUNDUP(AQ1735/BZ1735,0))</f>
        <v>1</v>
      </c>
      <c r="AS1735" s="64" t="n">
        <f aca="false">IF(CR1735&gt;0,CR1735*MAX(1,AQ1735/X1735),IF(CA1735=1,IF(AQ1735&lt;=0,0,CE1735*MAX(1,IF(H1735&gt;0,AQ1735/H1735,1))),IF(R1735&gt;0,AR1735/R1735,0))/MAX(0.1,N(Parameter!$M$21)))</f>
        <v>0.00714285714285714</v>
      </c>
      <c r="AT1735" s="62" t="n">
        <f aca="false">AS1735*CC1735</f>
        <v>1.10714285714286</v>
      </c>
      <c r="AU1735" s="63" t="n">
        <f aca="false">IF(LEFT(Cockpit!$I$5,1)="A",H1735,IF(CI1735=1,(CL1735+CJ1735)/2,IF(LEFT(Cockpit!$I$5,1)="B",(CL1735+AW1735)/2,MAX((CL1735+AW1735)/2,H1735))))</f>
        <v>4</v>
      </c>
      <c r="AV1735" s="62" t="n">
        <f aca="false">AU1735*G1735</f>
        <v>97.16</v>
      </c>
      <c r="AW1735" s="62" t="n">
        <f aca="false">ROUNDUP(CL1735+MAX(CM1735,2*(J1735/IF(CH1735&gt;0,CH1735,MAX(0.1,N(Cockpit!$I$6)))-CL1735)),0)</f>
        <v>5</v>
      </c>
      <c r="AX1735" s="63" t="n">
        <f aca="false">IF(AT1735&gt;0,J1735/AT1735,-1)</f>
        <v>0</v>
      </c>
      <c r="AY1735" s="63" t="n">
        <f aca="false">IF(AND(OR(CG1735="L1",CG1735="L23",CG1735="LIFT"),AT1735&gt;0),SUMIFS($AT$7:$AT$1843,$CG$7:$CG$1843,CG1735,$AX$7:$AX$1843,"&gt;"&amp;AX1735)+SUMIFS($AT$7:$AT$1843,$CG$7:$CG$1843,CG1735,$AX$7:$AX$1843,AX1735,$BX$7:$BX$1843,"&lt;="&amp;BX1735),"")</f>
        <v>39325.9199907908</v>
      </c>
      <c r="AZ1735" s="70" t="n">
        <f aca="false">IF(AY1735="",0,MAX(0,MIN(1,(IF(CG1735="L1",Parameter!$H$5,IF(CG1735="L23",Parameter!$H$6+Parameter!$H$7,Parameter!$H$5+Parameter!$H$6+Parameter!$H$7))-(AY1735-AT1735))/AT1735)))</f>
        <v>0</v>
      </c>
      <c r="BA1735" s="62" t="n">
        <f aca="false">IF(LEFT(Cockpit!$O$5,1)="A",H1735,IF(Parameter!$E$30="MAX-Bestand",IF(CI1735=1,CJ1735,IF(LEFT(Cockpit!$O$5,1)="B",BG1735,MAX(BG1735,H1735))),ROUNDUP(BE1735,0)))</f>
        <v>3</v>
      </c>
      <c r="BB1735" s="62" t="n">
        <f aca="false">IF(CA1735=1,0,ROUNDUP(BA1735/BZ1735,0))</f>
        <v>1</v>
      </c>
      <c r="BC1735" s="64" t="n">
        <f aca="false">IF(CR1735&gt;0,CR1735*MAX(1,BA1735/X1735),IF(CA1735=1,IF(BA1735&lt;=0,0,CE1735*MAX(1,IF(H1735&gt;0,BA1735/H1735,1))),IF(R1735&gt;0,BB1735/R1735,0))/MAX(0.1,N(Parameter!$M$21)))</f>
        <v>0.00714285714285714</v>
      </c>
      <c r="BD1735" s="62" t="n">
        <f aca="false">BC1735*CC1735</f>
        <v>1.10714285714286</v>
      </c>
      <c r="BE1735" s="63" t="n">
        <f aca="false">IF(LEFT(Cockpit!$O$5,1)="A",H1735,IF(CI1735=1,(CL1735+CJ1735)/2,IF(LEFT(Cockpit!$O$5,1)="B",(CL1735+BG1735)/2,MAX((CL1735+BG1735)/2,H1735))))</f>
        <v>2.5</v>
      </c>
      <c r="BF1735" s="62" t="n">
        <f aca="false">BE1735*G1735</f>
        <v>60.725</v>
      </c>
      <c r="BG1735" s="62" t="n">
        <f aca="false">ROUNDUP(CL1735+MAX(CM1735,2*(J1735/IF(CH1735&gt;0,CH1735,MAX(0.1,N(Cockpit!$O$6)))-CL1735)),0)</f>
        <v>5</v>
      </c>
      <c r="BH1735" s="63" t="n">
        <f aca="false">IF(BD1735&gt;0,J1735/BD1735,-1)</f>
        <v>0</v>
      </c>
      <c r="BI1735" s="63" t="n">
        <f aca="false">IF(AND(OR(CG1735="L1",CG1735="L23",CG1735="LIFT"),BD1735&gt;0),SUMIFS($BD$7:$BD$1843,$CG$7:$CG$1843,CG1735,$BH$7:$BH$1843,"&gt;"&amp;BH1735)+SUMIFS($BD$7:$BD$1843,$CG$7:$CG$1843,CG1735,$BH$7:$BH$1843,BH1735,$BX$7:$BX$1843,"&lt;="&amp;BX1735),"")</f>
        <v>32553.498171085</v>
      </c>
      <c r="BJ1735" s="70" t="n">
        <f aca="false">IF(BI1735="",0,MAX(0,MIN(1,(IF(CG1735="L1",Parameter!$H$5,IF(CG1735="L23",Parameter!$H$6+Parameter!$H$7,Parameter!$H$5+Parameter!$H$6+Parameter!$H$7))-(BI1735-BD1735))/BD1735)))</f>
        <v>1</v>
      </c>
      <c r="BK1735" s="60" t="str">
        <f aca="false">IF(AJ1735&lt;=0,"",IF(CG1735="Aussen","Aussenlager",IF(CG1735="-","Nicht im Lift",IF(AP1735&gt;=1,"Lift",IF(AP1735&lt;=0,"Aussenlager","teilweise")))))</f>
        <v>Lift</v>
      </c>
      <c r="BL1735" s="60" t="str">
        <f aca="false">IF(AT1735&lt;=0,"",IF(CG1735="Aussen","Aussenlager",IF(CG1735="-","Nicht im Lift",IF(AZ1735&gt;=1,"Lift",IF(AZ1735&lt;=0,"Aussenlager","teilweise")))))</f>
        <v>Aussenlager</v>
      </c>
      <c r="BM1735" s="60" t="str">
        <f aca="false">IF(BD1735&lt;=0,"",IF(CG1735="Aussen","Aussenlager",IF(CG1735="-","Nicht im Lift",IF(BJ1735&gt;=1,"Lift",IF(BJ1735&lt;=0,"Aussenlager","teilweise")))))</f>
        <v>Lift</v>
      </c>
      <c r="BN1735" s="60" t="str">
        <f aca="false">IF(A1735="","",IF(BW1735=1,"Neu; ","")&amp;IF(AND(BW1735=0,BR1735&lt;0),"negativer Bestand (Export "&amp;BR1735&amp;"); ","")&amp;IF(J1735&lt;=0,"Kein Verbrauch; ","")&amp;IF(CR1735&gt;0,"Lift "&amp;W1735&amp;" lt. Liftbericht (Fach "&amp;X1735&amp;" Stk); ",IF(CB1735=1,"Gebinde geschätzt ("&amp;T1735&amp;"); ",IF(CA1735=1,"Lose – Tablare geschätzt; ","")))&amp;IF(H1735&gt;AW1735,"Überbestand "&amp;ROUND(H1735-AW1735,0)&amp;" Stk / CHF "&amp;ROUND((H1735-AW1735)*G1735,0)&amp;"; ","")&amp;IF(AND(CI1735=1,CJ1735&lt;CK1735),"MAX &lt; MB+LG; ","")&amp;IF(AND(CQ1735&gt;0,CP1735*10&gt;CQ1735),"zu hoch für Tablar; ","")&amp;IF(AND(BW1735=0,OR(CI1735=1,AB1735&lt;&gt;"",U1735&lt;&gt;"",V1735&lt;&gt;"",AC1735&lt;&gt;"")),"manuell übersteuert; ","")&amp;IF(AND(CA1735=0,R1735=0),"Gebinde unbekannt / Stellmass fehlt; ","")&amp;IF(AND(CA1735=0,N(V1735)&lt;=0,N(Q1735)&lt;=0),"Menge pro Gebinde fehlt (Ist = 1 Gebinde); ","")&amp;BV1735)</f>
        <v>Kein Verbrauch; nur im Artikelstamm (Bestand 23.06.2026); Verb.Lager</v>
      </c>
      <c r="BO1735" s="60"/>
      <c r="BP1735" s="60"/>
      <c r="BQ1735" s="67"/>
      <c r="BR1735" s="62" t="n">
        <v>4</v>
      </c>
      <c r="BS1735" s="62" t="n">
        <v>0</v>
      </c>
      <c r="BT1735" s="61" t="n">
        <v>0</v>
      </c>
      <c r="BU1735" s="62" t="n">
        <v>0</v>
      </c>
      <c r="BV1735" s="60" t="s">
        <v>2611</v>
      </c>
      <c r="BW1735" s="65" t="n">
        <v>0</v>
      </c>
      <c r="BX1735" s="65" t="n">
        <v>1735</v>
      </c>
      <c r="BY1735" s="60" t="str">
        <f aca="false">IF(U1735&lt;&gt;"",UPPER(TRIM(U1735)),IF(CB1735=1,UPPER(VLOOKUP(T1735,Parameter!$I$27:$K$29,2,0)),IF(P1735="","LOSE",P1735)))</f>
        <v>S22</v>
      </c>
      <c r="BZ1735" s="62" t="n">
        <f aca="false">IF(BY1735="LOSE",1,IF(N(V1735)&gt;0,V1735,IF(CB1735=1,MAX(1,N(VLOOKUP(T1735,Parameter!$I$27:$K$29,3,0)),H1735,N(N1735)),IF(N(Q1735)&gt;0,Q1735,MAX(1,H1735)))))</f>
        <v>8</v>
      </c>
      <c r="CA1735" s="65" t="n">
        <f aca="false">IF(BY1735="LOSE",1,0)</f>
        <v>0</v>
      </c>
      <c r="CB1735" s="65" t="n">
        <f aca="false">IF(AND(U1735="",OR(P1735="",P1735="LOSE"),T1735&lt;&gt;"",N(S1735)&lt;=0,ISNUMBER(MATCH(T1735,Parameter!$I$27:$I$29,0))),1,0)</f>
        <v>0</v>
      </c>
      <c r="CC1735" s="65" t="n">
        <f aca="false">IF(CR1735&gt;0,INDEX(Parameter!$H$5:$H$7,W1735)/INDEX(Parameter!$E$5:$E$7,W1735),IF(AND(CA1735=0,N(IFERROR(VLOOKUP(BY1735,'Gebinde-Kategorie'!$A$5:$N$45,14,0),0))&gt;0),VLOOKUP(BY1735,'Gebinde-Kategorie'!$A$5:$N$45,14,0)*10+Parameter!$M$23,Parameter!$M$24))</f>
        <v>155</v>
      </c>
      <c r="CD1735" s="60" t="str">
        <f aca="false">IF(AND(Parameter!$B$19="Ja",E1735&lt;&gt;"",ISNUMBER(MATCH(E1735,Parameter!$I$35:$I$52,0))),VLOOKUP(E1735,Parameter!$I$35:$J$52,2,0),IFERROR(VLOOKUP(D1735,Parameter!$A$35:$C$64,2,0),"Nein"))</f>
        <v>2+3</v>
      </c>
      <c r="CE1735" s="64" t="n">
        <f aca="false">IF(CA1735=0,0,IF(N(S1735)&gt;0,S1735,IFERROR(VLOOKUP(D1735,Parameter!$A$35:$C$64,3,0)+0,0)))</f>
        <v>0</v>
      </c>
      <c r="CF1735" s="60" t="n">
        <f aca="false">IF(AB1735&lt;&gt;"",AB1735,AA1735)</f>
        <v>1</v>
      </c>
      <c r="CG1735" s="60" t="str">
        <f aca="false">IF(OR(CF1735=1,CF1735=2,CF1735=3),IF(Parameter!$E$27="Ja","LIFT",IF(CF1735=1,"L1","L23")),IF(CF1735="Aussen","Aussen","-"))</f>
        <v>LIFT</v>
      </c>
      <c r="CH1735" s="71" t="n">
        <f aca="false">IF(N(AC1735)&gt;0,AC1735,0)</f>
        <v>0</v>
      </c>
      <c r="CI1735" s="65" t="n">
        <f aca="false">IF(ISNUMBER(AF1735),1,0)</f>
        <v>0</v>
      </c>
      <c r="CJ1735" s="62" t="n">
        <f aca="false">N(AF1735)</f>
        <v>0</v>
      </c>
      <c r="CK1735" s="62" t="n">
        <f aca="false">N(M1735)+N(N1735)</f>
        <v>5</v>
      </c>
      <c r="CL1735" s="62" t="n">
        <f aca="false">N(M1735)</f>
        <v>0</v>
      </c>
      <c r="CM1735" s="62" t="n">
        <f aca="false">N(N1735)</f>
        <v>5</v>
      </c>
      <c r="CN1735" s="62" t="n">
        <f aca="false">ROUNDUP(H1735/BZ1735,0)</f>
        <v>1</v>
      </c>
      <c r="CO1735" s="62" t="n">
        <f aca="false">ROUNDUP(CJ1735/BZ1735,0)</f>
        <v>0</v>
      </c>
      <c r="CP1735" s="65" t="n">
        <f aca="false">IF(CA1735=1,0,IFERROR(VLOOKUP(BY1735,'Gebinde-Kategorie'!$A$5:$N$45,5,0)+0,0))</f>
        <v>8</v>
      </c>
      <c r="CQ1735" s="65" t="n">
        <f aca="false">IFERROR(IF(OR(CF1735=1,CF1735=2,CF1735=3),N(INDEX(Parameter!$I$5:$I$7,CF1735)),0),0)</f>
        <v>0</v>
      </c>
      <c r="CR1735" s="64" t="n">
        <f aca="false">IF(AND(Parameter!$B$21="Ja",ISNUMBER(W1735),N(X1735)&gt;0),IFERROR(N(INDEX(Parameter!$L$5:$L$7,W1735))*INDEX(Parameter!$E$5:$E$7,W1735)*X1735/SUMIFS($X$7:$X$1843,$W$7:$W$1843,W1735),0),0)</f>
        <v>0</v>
      </c>
      <c r="CS1735" s="62" t="n">
        <f aca="false">IF(AND(OR(CG1735="L1",CG1735="L23",CG1735="LIFT"),H1735&gt;0),CC1735*IF(CR1735&gt;0,CR1735*MAX(1,H1735/X1735),IF(CA1735=1,CE1735,IF(R1735&gt;0,CN1735/R1735,0))/MAX(0.1,N(Parameter!$M$21))),"")</f>
        <v>1.10714285714286</v>
      </c>
      <c r="CT1735" s="64" t="n">
        <f aca="false">IF(CS1735="","",J1735/H1735)</f>
        <v>0</v>
      </c>
      <c r="CU1735" s="62" t="n">
        <f aca="false">IF(CS1735="","",H1735*G1735)</f>
        <v>97.16</v>
      </c>
      <c r="CV1735" s="63" t="n">
        <f aca="false">IF(CS1735="","",(CL1735+ROUNDUP(CL1735+MAX(CM1735,2*(J1735/MAX(0.1,N(Einkauf!$C$6))-CL1735)),0))/2)</f>
        <v>2.5</v>
      </c>
      <c r="CW1735" s="62" t="n">
        <f aca="false">IF(CS1735="","",MAX(0,H1735-CV1735)*G1735)</f>
        <v>36.435</v>
      </c>
      <c r="CX1735" s="62" t="n">
        <f aca="false">IF(CS1735="","",CS1735*MAX(0,1-CV1735/H1735))</f>
        <v>0.415178571428571</v>
      </c>
      <c r="CY1735" s="64" t="n">
        <f aca="false">IF(CS1735="","",PERCENTRANK($CS$7:$CS$1843,CS1735)+PERCENTRANK($CU$7:$CU$1843,CU1735)+1-PERCENTRANK($CT$7:$CT$1843,CT1735))</f>
        <v>1.2874</v>
      </c>
      <c r="CZ1735" s="72" t="n">
        <f aca="false">IF(CS1735="","",CHOOSE(MATCH(Einkauf!$C$5,Parameter!$G$23:$G$27,0),CY1735,CS1735,CU1735,-CT1735,CW1735)+ROW()/1000000000)</f>
        <v>1.287401735</v>
      </c>
    </row>
    <row r="1736" customFormat="false" ht="15" hidden="false" customHeight="false" outlineLevel="0" collapsed="false">
      <c r="A1736" s="60" t="s">
        <v>3044</v>
      </c>
      <c r="B1736" s="60" t="s">
        <v>2641</v>
      </c>
      <c r="C1736" s="60" t="s">
        <v>206</v>
      </c>
      <c r="D1736" s="60" t="s">
        <v>226</v>
      </c>
      <c r="E1736" s="60"/>
      <c r="F1736" s="60"/>
      <c r="G1736" s="61" t="n">
        <v>40.43</v>
      </c>
      <c r="H1736" s="62" t="n">
        <f aca="false">MAX(0,IF(AND(Parameter!$B$21="Ja",ISNUMBER(Y1736)),Y1736,IF(Parameter!$B$20="Jahresanfang 2025 + Export",BS1736+BR1736,BR1736)))</f>
        <v>8</v>
      </c>
      <c r="I1736" s="62" t="n">
        <f aca="false">H1736*G1736</f>
        <v>323.44</v>
      </c>
      <c r="J1736" s="62" t="n">
        <f aca="false">BU1736*Parameter!$B$18</f>
        <v>0</v>
      </c>
      <c r="K1736" s="63"/>
      <c r="L1736" s="64"/>
      <c r="M1736" s="62" t="n">
        <v>0</v>
      </c>
      <c r="N1736" s="62" t="n">
        <v>8</v>
      </c>
      <c r="O1736" s="65" t="n">
        <v>14</v>
      </c>
      <c r="P1736" s="60" t="s">
        <v>468</v>
      </c>
      <c r="Q1736" s="62" t="n">
        <v>8</v>
      </c>
      <c r="R1736" s="65" t="n">
        <f aca="false">IF(CA1736=1,0,IFERROR(VLOOKUP(BY1736,'Gebinde-Kategorie'!$A$5:$N$45,13,0)+0,0))</f>
        <v>140</v>
      </c>
      <c r="S1736" s="66"/>
      <c r="T1736" s="67"/>
      <c r="U1736" s="67"/>
      <c r="V1736" s="67"/>
      <c r="W1736" s="60"/>
      <c r="X1736" s="62"/>
      <c r="Y1736" s="62"/>
      <c r="Z1736" s="60" t="n">
        <v>1</v>
      </c>
      <c r="AA1736" s="60" t="n">
        <f aca="false">IF(A1736="","",IF(AND(Parameter!$B$21="Ja",ISNUMBER(W1736)),W1736,IF(AND(Parameter!$E$27="Ja",ISNUMBER(Z1736),CD1736&lt;&gt;"Nein"),Z1736,IF(CD1736="2+3",IF(ISNUMBER(SEARCH("grosser Artikel",BV1736)),2,IFERROR(VLOOKUP(BY1736,Parameter!$F$35:$G$64,2,0),2)),IF(OR(CD1736="Nein",CD1736=""),"-",CD1736)))))</f>
        <v>1</v>
      </c>
      <c r="AB1736" s="67"/>
      <c r="AC1736" s="68"/>
      <c r="AD1736" s="62" t="n">
        <f aca="false">AW1736</f>
        <v>8</v>
      </c>
      <c r="AE1736" s="62" t="n">
        <f aca="false">MAX(AW1736,H1736)</f>
        <v>8</v>
      </c>
      <c r="AF1736" s="69"/>
      <c r="AG1736" s="62" t="n">
        <f aca="false">IF(LEFT(Cockpit!$C$5,1)="A",H1736,IF(Parameter!$E$30="MAX-Bestand",IF(CI1736=1,CJ1736,IF(LEFT(Cockpit!$C$5,1)="B",AM1736,MAX(AM1736,H1736))),ROUNDUP(AK1736,0)))</f>
        <v>8</v>
      </c>
      <c r="AH1736" s="62" t="n">
        <f aca="false">IF(CA1736=1,0,ROUNDUP(AG1736/BZ1736,0))</f>
        <v>1</v>
      </c>
      <c r="AI1736" s="64" t="n">
        <f aca="false">IF(CR1736&gt;0,CR1736*MAX(1,AG1736/X1736),IF(CA1736=1,IF(AG1736&lt;=0,0,CE1736*MAX(1,IF(H1736&gt;0,AG1736/H1736,1))),IF(R1736&gt;0,AH1736/R1736,0))/MAX(0.1,N(Parameter!$M$21)))</f>
        <v>0.00714285714285714</v>
      </c>
      <c r="AJ1736" s="62" t="n">
        <f aca="false">AI1736*CC1736</f>
        <v>1.10714285714286</v>
      </c>
      <c r="AK1736" s="63" t="n">
        <f aca="false">IF(LEFT(Cockpit!$C$5,1)="A",H1736,IF(CI1736=1,(CL1736+CJ1736)/2,IF(LEFT(Cockpit!$C$5,1)="B",(CL1736+AM1736)/2,MAX((CL1736+AM1736)/2,H1736))))</f>
        <v>8</v>
      </c>
      <c r="AL1736" s="62" t="n">
        <f aca="false">AK1736*G1736</f>
        <v>323.44</v>
      </c>
      <c r="AM1736" s="62" t="n">
        <f aca="false">ROUNDUP(CL1736+MAX(CM1736,2*(J1736/IF(CH1736&gt;0,CH1736,MAX(0.1,N(Cockpit!$C$6)))-CL1736)),0)</f>
        <v>8</v>
      </c>
      <c r="AN1736" s="63" t="n">
        <f aca="false">IF(AJ1736&gt;0,J1736/AJ1736,-1)</f>
        <v>0</v>
      </c>
      <c r="AO1736" s="63" t="n">
        <f aca="false">IF(AND(OR(CG1736="L1",CG1736="L23",CG1736="LIFT"),AJ1736&gt;0),SUMIFS($AJ$7:$AJ$1843,$CG$7:$CG$1843,CG1736,$AN$7:$AN$1843,"&gt;"&amp;AN1736)+SUMIFS($AJ$7:$AJ$1843,$CG$7:$CG$1843,CG1736,$AN$7:$AN$1843,AN1736,$BX$7:$BX$1843,"&lt;="&amp;BX1736),"")</f>
        <v>32853.1181887792</v>
      </c>
      <c r="AP1736" s="70" t="n">
        <f aca="false">IF(AO1736="",0,MAX(0,MIN(1,(IF(CG1736="L1",Parameter!$H$5,IF(CG1736="L23",Parameter!$H$6+Parameter!$H$7,Parameter!$H$5+Parameter!$H$6+Parameter!$H$7))-(AO1736-AJ1736))/AJ1736)))</f>
        <v>1</v>
      </c>
      <c r="AQ1736" s="62" t="n">
        <f aca="false">IF(LEFT(Cockpit!$I$5,1)="A",H1736,IF(Parameter!$E$30="MAX-Bestand",IF(CI1736=1,CJ1736,IF(LEFT(Cockpit!$I$5,1)="B",AW1736,MAX(AW1736,H1736))),ROUNDUP(AU1736,0)))</f>
        <v>8</v>
      </c>
      <c r="AR1736" s="62" t="n">
        <f aca="false">IF(CA1736=1,0,ROUNDUP(AQ1736/BZ1736,0))</f>
        <v>1</v>
      </c>
      <c r="AS1736" s="64" t="n">
        <f aca="false">IF(CR1736&gt;0,CR1736*MAX(1,AQ1736/X1736),IF(CA1736=1,IF(AQ1736&lt;=0,0,CE1736*MAX(1,IF(H1736&gt;0,AQ1736/H1736,1))),IF(R1736&gt;0,AR1736/R1736,0))/MAX(0.1,N(Parameter!$M$21)))</f>
        <v>0.00714285714285714</v>
      </c>
      <c r="AT1736" s="62" t="n">
        <f aca="false">AS1736*CC1736</f>
        <v>1.10714285714286</v>
      </c>
      <c r="AU1736" s="63" t="n">
        <f aca="false">IF(LEFT(Cockpit!$I$5,1)="A",H1736,IF(CI1736=1,(CL1736+CJ1736)/2,IF(LEFT(Cockpit!$I$5,1)="B",(CL1736+AW1736)/2,MAX((CL1736+AW1736)/2,H1736))))</f>
        <v>8</v>
      </c>
      <c r="AV1736" s="62" t="n">
        <f aca="false">AU1736*G1736</f>
        <v>323.44</v>
      </c>
      <c r="AW1736" s="62" t="n">
        <f aca="false">ROUNDUP(CL1736+MAX(CM1736,2*(J1736/IF(CH1736&gt;0,CH1736,MAX(0.1,N(Cockpit!$I$6)))-CL1736)),0)</f>
        <v>8</v>
      </c>
      <c r="AX1736" s="63" t="n">
        <f aca="false">IF(AT1736&gt;0,J1736/AT1736,-1)</f>
        <v>0</v>
      </c>
      <c r="AY1736" s="63" t="n">
        <f aca="false">IF(AND(OR(CG1736="L1",CG1736="L23",CG1736="LIFT"),AT1736&gt;0),SUMIFS($AT$7:$AT$1843,$CG$7:$CG$1843,CG1736,$AX$7:$AX$1843,"&gt;"&amp;AX1736)+SUMIFS($AT$7:$AT$1843,$CG$7:$CG$1843,CG1736,$AX$7:$AX$1843,AX1736,$BX$7:$BX$1843,"&lt;="&amp;BX1736),"")</f>
        <v>39327.0271336479</v>
      </c>
      <c r="AZ1736" s="70" t="n">
        <f aca="false">IF(AY1736="",0,MAX(0,MIN(1,(IF(CG1736="L1",Parameter!$H$5,IF(CG1736="L23",Parameter!$H$6+Parameter!$H$7,Parameter!$H$5+Parameter!$H$6+Parameter!$H$7))-(AY1736-AT1736))/AT1736)))</f>
        <v>0</v>
      </c>
      <c r="BA1736" s="62" t="n">
        <f aca="false">IF(LEFT(Cockpit!$O$5,1)="A",H1736,IF(Parameter!$E$30="MAX-Bestand",IF(CI1736=1,CJ1736,IF(LEFT(Cockpit!$O$5,1)="B",BG1736,MAX(BG1736,H1736))),ROUNDUP(BE1736,0)))</f>
        <v>4</v>
      </c>
      <c r="BB1736" s="62" t="n">
        <f aca="false">IF(CA1736=1,0,ROUNDUP(BA1736/BZ1736,0))</f>
        <v>1</v>
      </c>
      <c r="BC1736" s="64" t="n">
        <f aca="false">IF(CR1736&gt;0,CR1736*MAX(1,BA1736/X1736),IF(CA1736=1,IF(BA1736&lt;=0,0,CE1736*MAX(1,IF(H1736&gt;0,BA1736/H1736,1))),IF(R1736&gt;0,BB1736/R1736,0))/MAX(0.1,N(Parameter!$M$21)))</f>
        <v>0.00714285714285714</v>
      </c>
      <c r="BD1736" s="62" t="n">
        <f aca="false">BC1736*CC1736</f>
        <v>1.10714285714286</v>
      </c>
      <c r="BE1736" s="63" t="n">
        <f aca="false">IF(LEFT(Cockpit!$O$5,1)="A",H1736,IF(CI1736=1,(CL1736+CJ1736)/2,IF(LEFT(Cockpit!$O$5,1)="B",(CL1736+BG1736)/2,MAX((CL1736+BG1736)/2,H1736))))</f>
        <v>4</v>
      </c>
      <c r="BF1736" s="62" t="n">
        <f aca="false">BE1736*G1736</f>
        <v>161.72</v>
      </c>
      <c r="BG1736" s="62" t="n">
        <f aca="false">ROUNDUP(CL1736+MAX(CM1736,2*(J1736/IF(CH1736&gt;0,CH1736,MAX(0.1,N(Cockpit!$O$6)))-CL1736)),0)</f>
        <v>8</v>
      </c>
      <c r="BH1736" s="63" t="n">
        <f aca="false">IF(BD1736&gt;0,J1736/BD1736,-1)</f>
        <v>0</v>
      </c>
      <c r="BI1736" s="63" t="n">
        <f aca="false">IF(AND(OR(CG1736="L1",CG1736="L23",CG1736="LIFT"),BD1736&gt;0),SUMIFS($BD$7:$BD$1843,$CG$7:$CG$1843,CG1736,$BH$7:$BH$1843,"&gt;"&amp;BH1736)+SUMIFS($BD$7:$BD$1843,$CG$7:$CG$1843,CG1736,$BH$7:$BH$1843,BH1736,$BX$7:$BX$1843,"&lt;="&amp;BX1736),"")</f>
        <v>32554.6053139422</v>
      </c>
      <c r="BJ1736" s="70" t="n">
        <f aca="false">IF(BI1736="",0,MAX(0,MIN(1,(IF(CG1736="L1",Parameter!$H$5,IF(CG1736="L23",Parameter!$H$6+Parameter!$H$7,Parameter!$H$5+Parameter!$H$6+Parameter!$H$7))-(BI1736-BD1736))/BD1736)))</f>
        <v>1</v>
      </c>
      <c r="BK1736" s="60" t="str">
        <f aca="false">IF(AJ1736&lt;=0,"",IF(CG1736="Aussen","Aussenlager",IF(CG1736="-","Nicht im Lift",IF(AP1736&gt;=1,"Lift",IF(AP1736&lt;=0,"Aussenlager","teilweise")))))</f>
        <v>Lift</v>
      </c>
      <c r="BL1736" s="60" t="str">
        <f aca="false">IF(AT1736&lt;=0,"",IF(CG1736="Aussen","Aussenlager",IF(CG1736="-","Nicht im Lift",IF(AZ1736&gt;=1,"Lift",IF(AZ1736&lt;=0,"Aussenlager","teilweise")))))</f>
        <v>Aussenlager</v>
      </c>
      <c r="BM1736" s="60" t="str">
        <f aca="false">IF(BD1736&lt;=0,"",IF(CG1736="Aussen","Aussenlager",IF(CG1736="-","Nicht im Lift",IF(BJ1736&gt;=1,"Lift",IF(BJ1736&lt;=0,"Aussenlager","teilweise")))))</f>
        <v>Lift</v>
      </c>
      <c r="BN1736" s="60" t="str">
        <f aca="false">IF(A1736="","",IF(BW1736=1,"Neu; ","")&amp;IF(AND(BW1736=0,BR1736&lt;0),"negativer Bestand (Export "&amp;BR1736&amp;"); ","")&amp;IF(J1736&lt;=0,"Kein Verbrauch; ","")&amp;IF(CR1736&gt;0,"Lift "&amp;W1736&amp;" lt. Liftbericht (Fach "&amp;X1736&amp;" Stk); ",IF(CB1736=1,"Gebinde geschätzt ("&amp;T1736&amp;"); ",IF(CA1736=1,"Lose – Tablare geschätzt; ","")))&amp;IF(H1736&gt;AW1736,"Überbestand "&amp;ROUND(H1736-AW1736,0)&amp;" Stk / CHF "&amp;ROUND((H1736-AW1736)*G1736,0)&amp;"; ","")&amp;IF(AND(CI1736=1,CJ1736&lt;CK1736),"MAX &lt; MB+LG; ","")&amp;IF(AND(CQ1736&gt;0,CP1736*10&gt;CQ1736),"zu hoch für Tablar; ","")&amp;IF(AND(BW1736=0,OR(CI1736=1,AB1736&lt;&gt;"",U1736&lt;&gt;"",V1736&lt;&gt;"",AC1736&lt;&gt;"")),"manuell übersteuert; ","")&amp;IF(AND(CA1736=0,R1736=0),"Gebinde unbekannt / Stellmass fehlt; ","")&amp;IF(AND(CA1736=0,N(V1736)&lt;=0,N(Q1736)&lt;=0),"Menge pro Gebinde fehlt (Ist = 1 Gebinde); ","")&amp;BV1736)</f>
        <v>Kein Verbrauch; nur im Artikelstamm (Bestand 23.06.2026)</v>
      </c>
      <c r="BO1736" s="60"/>
      <c r="BP1736" s="60"/>
      <c r="BQ1736" s="67"/>
      <c r="BR1736" s="62" t="n">
        <v>8</v>
      </c>
      <c r="BS1736" s="62" t="n">
        <v>0</v>
      </c>
      <c r="BT1736" s="61" t="n">
        <v>0</v>
      </c>
      <c r="BU1736" s="62" t="n">
        <v>0</v>
      </c>
      <c r="BV1736" s="60" t="s">
        <v>2617</v>
      </c>
      <c r="BW1736" s="65" t="n">
        <v>0</v>
      </c>
      <c r="BX1736" s="65" t="n">
        <v>1736</v>
      </c>
      <c r="BY1736" s="60" t="str">
        <f aca="false">IF(U1736&lt;&gt;"",UPPER(TRIM(U1736)),IF(CB1736=1,UPPER(VLOOKUP(T1736,Parameter!$I$27:$K$29,2,0)),IF(P1736="","LOSE",P1736)))</f>
        <v>S22</v>
      </c>
      <c r="BZ1736" s="62" t="n">
        <f aca="false">IF(BY1736="LOSE",1,IF(N(V1736)&gt;0,V1736,IF(CB1736=1,MAX(1,N(VLOOKUP(T1736,Parameter!$I$27:$K$29,3,0)),H1736,N(N1736)),IF(N(Q1736)&gt;0,Q1736,MAX(1,H1736)))))</f>
        <v>8</v>
      </c>
      <c r="CA1736" s="65" t="n">
        <f aca="false">IF(BY1736="LOSE",1,0)</f>
        <v>0</v>
      </c>
      <c r="CB1736" s="65" t="n">
        <f aca="false">IF(AND(U1736="",OR(P1736="",P1736="LOSE"),T1736&lt;&gt;"",N(S1736)&lt;=0,ISNUMBER(MATCH(T1736,Parameter!$I$27:$I$29,0))),1,0)</f>
        <v>0</v>
      </c>
      <c r="CC1736" s="65" t="n">
        <f aca="false">IF(CR1736&gt;0,INDEX(Parameter!$H$5:$H$7,W1736)/INDEX(Parameter!$E$5:$E$7,W1736),IF(AND(CA1736=0,N(IFERROR(VLOOKUP(BY1736,'Gebinde-Kategorie'!$A$5:$N$45,14,0),0))&gt;0),VLOOKUP(BY1736,'Gebinde-Kategorie'!$A$5:$N$45,14,0)*10+Parameter!$M$23,Parameter!$M$24))</f>
        <v>155</v>
      </c>
      <c r="CD1736" s="60" t="str">
        <f aca="false">IF(AND(Parameter!$B$19="Ja",E1736&lt;&gt;"",ISNUMBER(MATCH(E1736,Parameter!$I$35:$I$52,0))),VLOOKUP(E1736,Parameter!$I$35:$J$52,2,0),IFERROR(VLOOKUP(D1736,Parameter!$A$35:$C$64,2,0),"Nein"))</f>
        <v>2+3</v>
      </c>
      <c r="CE1736" s="64" t="n">
        <f aca="false">IF(CA1736=0,0,IF(N(S1736)&gt;0,S1736,IFERROR(VLOOKUP(D1736,Parameter!$A$35:$C$64,3,0)+0,0)))</f>
        <v>0</v>
      </c>
      <c r="CF1736" s="60" t="n">
        <f aca="false">IF(AB1736&lt;&gt;"",AB1736,AA1736)</f>
        <v>1</v>
      </c>
      <c r="CG1736" s="60" t="str">
        <f aca="false">IF(OR(CF1736=1,CF1736=2,CF1736=3),IF(Parameter!$E$27="Ja","LIFT",IF(CF1736=1,"L1","L23")),IF(CF1736="Aussen","Aussen","-"))</f>
        <v>LIFT</v>
      </c>
      <c r="CH1736" s="71" t="n">
        <f aca="false">IF(N(AC1736)&gt;0,AC1736,0)</f>
        <v>0</v>
      </c>
      <c r="CI1736" s="65" t="n">
        <f aca="false">IF(ISNUMBER(AF1736),1,0)</f>
        <v>0</v>
      </c>
      <c r="CJ1736" s="62" t="n">
        <f aca="false">N(AF1736)</f>
        <v>0</v>
      </c>
      <c r="CK1736" s="62" t="n">
        <f aca="false">N(M1736)+N(N1736)</f>
        <v>8</v>
      </c>
      <c r="CL1736" s="62" t="n">
        <f aca="false">N(M1736)</f>
        <v>0</v>
      </c>
      <c r="CM1736" s="62" t="n">
        <f aca="false">N(N1736)</f>
        <v>8</v>
      </c>
      <c r="CN1736" s="62" t="n">
        <f aca="false">ROUNDUP(H1736/BZ1736,0)</f>
        <v>1</v>
      </c>
      <c r="CO1736" s="62" t="n">
        <f aca="false">ROUNDUP(CJ1736/BZ1736,0)</f>
        <v>0</v>
      </c>
      <c r="CP1736" s="65" t="n">
        <f aca="false">IF(CA1736=1,0,IFERROR(VLOOKUP(BY1736,'Gebinde-Kategorie'!$A$5:$N$45,5,0)+0,0))</f>
        <v>8</v>
      </c>
      <c r="CQ1736" s="65" t="n">
        <f aca="false">IFERROR(IF(OR(CF1736=1,CF1736=2,CF1736=3),N(INDEX(Parameter!$I$5:$I$7,CF1736)),0),0)</f>
        <v>0</v>
      </c>
      <c r="CR1736" s="64" t="n">
        <f aca="false">IF(AND(Parameter!$B$21="Ja",ISNUMBER(W1736),N(X1736)&gt;0),IFERROR(N(INDEX(Parameter!$L$5:$L$7,W1736))*INDEX(Parameter!$E$5:$E$7,W1736)*X1736/SUMIFS($X$7:$X$1843,$W$7:$W$1843,W1736),0),0)</f>
        <v>0</v>
      </c>
      <c r="CS1736" s="62" t="n">
        <f aca="false">IF(AND(OR(CG1736="L1",CG1736="L23",CG1736="LIFT"),H1736&gt;0),CC1736*IF(CR1736&gt;0,CR1736*MAX(1,H1736/X1736),IF(CA1736=1,CE1736,IF(R1736&gt;0,CN1736/R1736,0))/MAX(0.1,N(Parameter!$M$21))),"")</f>
        <v>1.10714285714286</v>
      </c>
      <c r="CT1736" s="64" t="n">
        <f aca="false">IF(CS1736="","",J1736/H1736)</f>
        <v>0</v>
      </c>
      <c r="CU1736" s="62" t="n">
        <f aca="false">IF(CS1736="","",H1736*G1736)</f>
        <v>323.44</v>
      </c>
      <c r="CV1736" s="63" t="n">
        <f aca="false">IF(CS1736="","",(CL1736+ROUNDUP(CL1736+MAX(CM1736,2*(J1736/MAX(0.1,N(Einkauf!$C$6))-CL1736)),0))/2)</f>
        <v>4</v>
      </c>
      <c r="CW1736" s="62" t="n">
        <f aca="false">IF(CS1736="","",MAX(0,H1736-CV1736)*G1736)</f>
        <v>161.72</v>
      </c>
      <c r="CX1736" s="62" t="n">
        <f aca="false">IF(CS1736="","",CS1736*MAX(0,1-CV1736/H1736))</f>
        <v>0.553571428571429</v>
      </c>
      <c r="CY1736" s="64" t="n">
        <f aca="false">IF(CS1736="","",PERCENTRANK($CS$7:$CS$1843,CS1736)+PERCENTRANK($CU$7:$CU$1843,CU1736)+1-PERCENTRANK($CT$7:$CT$1843,CT1736))</f>
        <v>1.4914</v>
      </c>
      <c r="CZ1736" s="72" t="n">
        <f aca="false">IF(CS1736="","",CHOOSE(MATCH(Einkauf!$C$5,Parameter!$G$23:$G$27,0),CY1736,CS1736,CU1736,-CT1736,CW1736)+ROW()/1000000000)</f>
        <v>1.491401736</v>
      </c>
    </row>
    <row r="1737" customFormat="false" ht="15" hidden="false" customHeight="false" outlineLevel="0" collapsed="false">
      <c r="A1737" s="60" t="s">
        <v>3045</v>
      </c>
      <c r="B1737" s="60" t="s">
        <v>2484</v>
      </c>
      <c r="C1737" s="60" t="s">
        <v>206</v>
      </c>
      <c r="D1737" s="60" t="s">
        <v>226</v>
      </c>
      <c r="E1737" s="60"/>
      <c r="F1737" s="60"/>
      <c r="G1737" s="61" t="n">
        <v>300</v>
      </c>
      <c r="H1737" s="62" t="n">
        <f aca="false">MAX(0,IF(AND(Parameter!$B$21="Ja",ISNUMBER(Y1737)),Y1737,IF(Parameter!$B$20="Jahresanfang 2025 + Export",BS1737+BR1737,BR1737)))</f>
        <v>6</v>
      </c>
      <c r="I1737" s="62" t="n">
        <f aca="false">H1737*G1737</f>
        <v>1800</v>
      </c>
      <c r="J1737" s="62" t="n">
        <f aca="false">BU1737*Parameter!$B$18</f>
        <v>0</v>
      </c>
      <c r="K1737" s="63"/>
      <c r="L1737" s="64"/>
      <c r="M1737" s="62" t="n">
        <v>0</v>
      </c>
      <c r="N1737" s="62" t="n">
        <v>1</v>
      </c>
      <c r="O1737" s="65" t="n">
        <v>0</v>
      </c>
      <c r="P1737" s="60" t="s">
        <v>468</v>
      </c>
      <c r="Q1737" s="62" t="n">
        <v>6</v>
      </c>
      <c r="R1737" s="65" t="n">
        <f aca="false">IF(CA1737=1,0,IFERROR(VLOOKUP(BY1737,'Gebinde-Kategorie'!$A$5:$N$45,13,0)+0,0))</f>
        <v>140</v>
      </c>
      <c r="S1737" s="66"/>
      <c r="T1737" s="67"/>
      <c r="U1737" s="67"/>
      <c r="V1737" s="67"/>
      <c r="W1737" s="60"/>
      <c r="X1737" s="62"/>
      <c r="Y1737" s="62"/>
      <c r="Z1737" s="60" t="n">
        <v>1</v>
      </c>
      <c r="AA1737" s="60" t="n">
        <f aca="false">IF(A1737="","",IF(AND(Parameter!$B$21="Ja",ISNUMBER(W1737)),W1737,IF(AND(Parameter!$E$27="Ja",ISNUMBER(Z1737),CD1737&lt;&gt;"Nein"),Z1737,IF(CD1737="2+3",IF(ISNUMBER(SEARCH("grosser Artikel",BV1737)),2,IFERROR(VLOOKUP(BY1737,Parameter!$F$35:$G$64,2,0),2)),IF(OR(CD1737="Nein",CD1737=""),"-",CD1737)))))</f>
        <v>1</v>
      </c>
      <c r="AB1737" s="67"/>
      <c r="AC1737" s="68"/>
      <c r="AD1737" s="62" t="n">
        <f aca="false">AW1737</f>
        <v>1</v>
      </c>
      <c r="AE1737" s="62" t="n">
        <f aca="false">MAX(AW1737,H1737)</f>
        <v>6</v>
      </c>
      <c r="AF1737" s="69"/>
      <c r="AG1737" s="62" t="n">
        <f aca="false">IF(LEFT(Cockpit!$C$5,1)="A",H1737,IF(Parameter!$E$30="MAX-Bestand",IF(CI1737=1,CJ1737,IF(LEFT(Cockpit!$C$5,1)="B",AM1737,MAX(AM1737,H1737))),ROUNDUP(AK1737,0)))</f>
        <v>6</v>
      </c>
      <c r="AH1737" s="62" t="n">
        <f aca="false">IF(CA1737=1,0,ROUNDUP(AG1737/BZ1737,0))</f>
        <v>1</v>
      </c>
      <c r="AI1737" s="64" t="n">
        <f aca="false">IF(CR1737&gt;0,CR1737*MAX(1,AG1737/X1737),IF(CA1737=1,IF(AG1737&lt;=0,0,CE1737*MAX(1,IF(H1737&gt;0,AG1737/H1737,1))),IF(R1737&gt;0,AH1737/R1737,0))/MAX(0.1,N(Parameter!$M$21)))</f>
        <v>0.00714285714285714</v>
      </c>
      <c r="AJ1737" s="62" t="n">
        <f aca="false">AI1737*CC1737</f>
        <v>1.10714285714286</v>
      </c>
      <c r="AK1737" s="63" t="n">
        <f aca="false">IF(LEFT(Cockpit!$C$5,1)="A",H1737,IF(CI1737=1,(CL1737+CJ1737)/2,IF(LEFT(Cockpit!$C$5,1)="B",(CL1737+AM1737)/2,MAX((CL1737+AM1737)/2,H1737))))</f>
        <v>6</v>
      </c>
      <c r="AL1737" s="62" t="n">
        <f aca="false">AK1737*G1737</f>
        <v>1800</v>
      </c>
      <c r="AM1737" s="62" t="n">
        <f aca="false">ROUNDUP(CL1737+MAX(CM1737,2*(J1737/IF(CH1737&gt;0,CH1737,MAX(0.1,N(Cockpit!$C$6)))-CL1737)),0)</f>
        <v>1</v>
      </c>
      <c r="AN1737" s="63" t="n">
        <f aca="false">IF(AJ1737&gt;0,J1737/AJ1737,-1)</f>
        <v>0</v>
      </c>
      <c r="AO1737" s="63" t="n">
        <f aca="false">IF(AND(OR(CG1737="L1",CG1737="L23",CG1737="LIFT"),AJ1737&gt;0),SUMIFS($AJ$7:$AJ$1843,$CG$7:$CG$1843,CG1737,$AN$7:$AN$1843,"&gt;"&amp;AN1737)+SUMIFS($AJ$7:$AJ$1843,$CG$7:$CG$1843,CG1737,$AN$7:$AN$1843,AN1737,$BX$7:$BX$1843,"&lt;="&amp;BX1737),"")</f>
        <v>32854.2253316364</v>
      </c>
      <c r="AP1737" s="70" t="n">
        <f aca="false">IF(AO1737="",0,MAX(0,MIN(1,(IF(CG1737="L1",Parameter!$H$5,IF(CG1737="L23",Parameter!$H$6+Parameter!$H$7,Parameter!$H$5+Parameter!$H$6+Parameter!$H$7))-(AO1737-AJ1737))/AJ1737)))</f>
        <v>1</v>
      </c>
      <c r="AQ1737" s="62" t="n">
        <f aca="false">IF(LEFT(Cockpit!$I$5,1)="A",H1737,IF(Parameter!$E$30="MAX-Bestand",IF(CI1737=1,CJ1737,IF(LEFT(Cockpit!$I$5,1)="B",AW1737,MAX(AW1737,H1737))),ROUNDUP(AU1737,0)))</f>
        <v>6</v>
      </c>
      <c r="AR1737" s="62" t="n">
        <f aca="false">IF(CA1737=1,0,ROUNDUP(AQ1737/BZ1737,0))</f>
        <v>1</v>
      </c>
      <c r="AS1737" s="64" t="n">
        <f aca="false">IF(CR1737&gt;0,CR1737*MAX(1,AQ1737/X1737),IF(CA1737=1,IF(AQ1737&lt;=0,0,CE1737*MAX(1,IF(H1737&gt;0,AQ1737/H1737,1))),IF(R1737&gt;0,AR1737/R1737,0))/MAX(0.1,N(Parameter!$M$21)))</f>
        <v>0.00714285714285714</v>
      </c>
      <c r="AT1737" s="62" t="n">
        <f aca="false">AS1737*CC1737</f>
        <v>1.10714285714286</v>
      </c>
      <c r="AU1737" s="63" t="n">
        <f aca="false">IF(LEFT(Cockpit!$I$5,1)="A",H1737,IF(CI1737=1,(CL1737+CJ1737)/2,IF(LEFT(Cockpit!$I$5,1)="B",(CL1737+AW1737)/2,MAX((CL1737+AW1737)/2,H1737))))</f>
        <v>6</v>
      </c>
      <c r="AV1737" s="62" t="n">
        <f aca="false">AU1737*G1737</f>
        <v>1800</v>
      </c>
      <c r="AW1737" s="62" t="n">
        <f aca="false">ROUNDUP(CL1737+MAX(CM1737,2*(J1737/IF(CH1737&gt;0,CH1737,MAX(0.1,N(Cockpit!$I$6)))-CL1737)),0)</f>
        <v>1</v>
      </c>
      <c r="AX1737" s="63" t="n">
        <f aca="false">IF(AT1737&gt;0,J1737/AT1737,-1)</f>
        <v>0</v>
      </c>
      <c r="AY1737" s="63" t="n">
        <f aca="false">IF(AND(OR(CG1737="L1",CG1737="L23",CG1737="LIFT"),AT1737&gt;0),SUMIFS($AT$7:$AT$1843,$CG$7:$CG$1843,CG1737,$AX$7:$AX$1843,"&gt;"&amp;AX1737)+SUMIFS($AT$7:$AT$1843,$CG$7:$CG$1843,CG1737,$AX$7:$AX$1843,AX1737,$BX$7:$BX$1843,"&lt;="&amp;BX1737),"")</f>
        <v>39328.134276505</v>
      </c>
      <c r="AZ1737" s="70" t="n">
        <f aca="false">IF(AY1737="",0,MAX(0,MIN(1,(IF(CG1737="L1",Parameter!$H$5,IF(CG1737="L23",Parameter!$H$6+Parameter!$H$7,Parameter!$H$5+Parameter!$H$6+Parameter!$H$7))-(AY1737-AT1737))/AT1737)))</f>
        <v>0</v>
      </c>
      <c r="BA1737" s="62" t="n">
        <f aca="false">IF(LEFT(Cockpit!$O$5,1)="A",H1737,IF(Parameter!$E$30="MAX-Bestand",IF(CI1737=1,CJ1737,IF(LEFT(Cockpit!$O$5,1)="B",BG1737,MAX(BG1737,H1737))),ROUNDUP(BE1737,0)))</f>
        <v>1</v>
      </c>
      <c r="BB1737" s="62" t="n">
        <f aca="false">IF(CA1737=1,0,ROUNDUP(BA1737/BZ1737,0))</f>
        <v>1</v>
      </c>
      <c r="BC1737" s="64" t="n">
        <f aca="false">IF(CR1737&gt;0,CR1737*MAX(1,BA1737/X1737),IF(CA1737=1,IF(BA1737&lt;=0,0,CE1737*MAX(1,IF(H1737&gt;0,BA1737/H1737,1))),IF(R1737&gt;0,BB1737/R1737,0))/MAX(0.1,N(Parameter!$M$21)))</f>
        <v>0.00714285714285714</v>
      </c>
      <c r="BD1737" s="62" t="n">
        <f aca="false">BC1737*CC1737</f>
        <v>1.10714285714286</v>
      </c>
      <c r="BE1737" s="63" t="n">
        <f aca="false">IF(LEFT(Cockpit!$O$5,1)="A",H1737,IF(CI1737=1,(CL1737+CJ1737)/2,IF(LEFT(Cockpit!$O$5,1)="B",(CL1737+BG1737)/2,MAX((CL1737+BG1737)/2,H1737))))</f>
        <v>0.5</v>
      </c>
      <c r="BF1737" s="62" t="n">
        <f aca="false">BE1737*G1737</f>
        <v>150</v>
      </c>
      <c r="BG1737" s="62" t="n">
        <f aca="false">ROUNDUP(CL1737+MAX(CM1737,2*(J1737/IF(CH1737&gt;0,CH1737,MAX(0.1,N(Cockpit!$O$6)))-CL1737)),0)</f>
        <v>1</v>
      </c>
      <c r="BH1737" s="63" t="n">
        <f aca="false">IF(BD1737&gt;0,J1737/BD1737,-1)</f>
        <v>0</v>
      </c>
      <c r="BI1737" s="63" t="n">
        <f aca="false">IF(AND(OR(CG1737="L1",CG1737="L23",CG1737="LIFT"),BD1737&gt;0),SUMIFS($BD$7:$BD$1843,$CG$7:$CG$1843,CG1737,$BH$7:$BH$1843,"&gt;"&amp;BH1737)+SUMIFS($BD$7:$BD$1843,$CG$7:$CG$1843,CG1737,$BH$7:$BH$1843,BH1737,$BX$7:$BX$1843,"&lt;="&amp;BX1737),"")</f>
        <v>32555.7124567993</v>
      </c>
      <c r="BJ1737" s="70" t="n">
        <f aca="false">IF(BI1737="",0,MAX(0,MIN(1,(IF(CG1737="L1",Parameter!$H$5,IF(CG1737="L23",Parameter!$H$6+Parameter!$H$7,Parameter!$H$5+Parameter!$H$6+Parameter!$H$7))-(BI1737-BD1737))/BD1737)))</f>
        <v>1</v>
      </c>
      <c r="BK1737" s="60" t="str">
        <f aca="false">IF(AJ1737&lt;=0,"",IF(CG1737="Aussen","Aussenlager",IF(CG1737="-","Nicht im Lift",IF(AP1737&gt;=1,"Lift",IF(AP1737&lt;=0,"Aussenlager","teilweise")))))</f>
        <v>Lift</v>
      </c>
      <c r="BL1737" s="60" t="str">
        <f aca="false">IF(AT1737&lt;=0,"",IF(CG1737="Aussen","Aussenlager",IF(CG1737="-","Nicht im Lift",IF(AZ1737&gt;=1,"Lift",IF(AZ1737&lt;=0,"Aussenlager","teilweise")))))</f>
        <v>Aussenlager</v>
      </c>
      <c r="BM1737" s="60" t="str">
        <f aca="false">IF(BD1737&lt;=0,"",IF(CG1737="Aussen","Aussenlager",IF(CG1737="-","Nicht im Lift",IF(BJ1737&gt;=1,"Lift",IF(BJ1737&lt;=0,"Aussenlager","teilweise")))))</f>
        <v>Lift</v>
      </c>
      <c r="BN1737" s="60" t="str">
        <f aca="false">IF(A1737="","",IF(BW1737=1,"Neu; ","")&amp;IF(AND(BW1737=0,BR1737&lt;0),"negativer Bestand (Export "&amp;BR1737&amp;"); ","")&amp;IF(J1737&lt;=0,"Kein Verbrauch; ","")&amp;IF(CR1737&gt;0,"Lift "&amp;W1737&amp;" lt. Liftbericht (Fach "&amp;X1737&amp;" Stk); ",IF(CB1737=1,"Gebinde geschätzt ("&amp;T1737&amp;"); ",IF(CA1737=1,"Lose – Tablare geschätzt; ","")))&amp;IF(H1737&gt;AW1737,"Überbestand "&amp;ROUND(H1737-AW1737,0)&amp;" Stk / CHF "&amp;ROUND((H1737-AW1737)*G1737,0)&amp;"; ","")&amp;IF(AND(CI1737=1,CJ1737&lt;CK1737),"MAX &lt; MB+LG; ","")&amp;IF(AND(CQ1737&gt;0,CP1737*10&gt;CQ1737),"zu hoch für Tablar; ","")&amp;IF(AND(BW1737=0,OR(CI1737=1,AB1737&lt;&gt;"",U1737&lt;&gt;"",V1737&lt;&gt;"",AC1737&lt;&gt;"")),"manuell übersteuert; ","")&amp;IF(AND(CA1737=0,R1737=0),"Gebinde unbekannt / Stellmass fehlt; ","")&amp;IF(AND(CA1737=0,N(V1737)&lt;=0,N(Q1737)&lt;=0),"Menge pro Gebinde fehlt (Ist = 1 Gebinde); ","")&amp;BV1737)</f>
        <v>Kein Verbrauch; Überbestand 5 Stk / CHF 1500; nur im Artikelstamm (Bestand 23.06.2026)</v>
      </c>
      <c r="BO1737" s="60"/>
      <c r="BP1737" s="60"/>
      <c r="BQ1737" s="67"/>
      <c r="BR1737" s="62" t="n">
        <v>6</v>
      </c>
      <c r="BS1737" s="62" t="n">
        <v>0</v>
      </c>
      <c r="BT1737" s="61" t="n">
        <v>0</v>
      </c>
      <c r="BU1737" s="62" t="n">
        <v>0</v>
      </c>
      <c r="BV1737" s="60" t="s">
        <v>2617</v>
      </c>
      <c r="BW1737" s="65" t="n">
        <v>0</v>
      </c>
      <c r="BX1737" s="65" t="n">
        <v>1737</v>
      </c>
      <c r="BY1737" s="60" t="str">
        <f aca="false">IF(U1737&lt;&gt;"",UPPER(TRIM(U1737)),IF(CB1737=1,UPPER(VLOOKUP(T1737,Parameter!$I$27:$K$29,2,0)),IF(P1737="","LOSE",P1737)))</f>
        <v>S22</v>
      </c>
      <c r="BZ1737" s="62" t="n">
        <f aca="false">IF(BY1737="LOSE",1,IF(N(V1737)&gt;0,V1737,IF(CB1737=1,MAX(1,N(VLOOKUP(T1737,Parameter!$I$27:$K$29,3,0)),H1737,N(N1737)),IF(N(Q1737)&gt;0,Q1737,MAX(1,H1737)))))</f>
        <v>6</v>
      </c>
      <c r="CA1737" s="65" t="n">
        <f aca="false">IF(BY1737="LOSE",1,0)</f>
        <v>0</v>
      </c>
      <c r="CB1737" s="65" t="n">
        <f aca="false">IF(AND(U1737="",OR(P1737="",P1737="LOSE"),T1737&lt;&gt;"",N(S1737)&lt;=0,ISNUMBER(MATCH(T1737,Parameter!$I$27:$I$29,0))),1,0)</f>
        <v>0</v>
      </c>
      <c r="CC1737" s="65" t="n">
        <f aca="false">IF(CR1737&gt;0,INDEX(Parameter!$H$5:$H$7,W1737)/INDEX(Parameter!$E$5:$E$7,W1737),IF(AND(CA1737=0,N(IFERROR(VLOOKUP(BY1737,'Gebinde-Kategorie'!$A$5:$N$45,14,0),0))&gt;0),VLOOKUP(BY1737,'Gebinde-Kategorie'!$A$5:$N$45,14,0)*10+Parameter!$M$23,Parameter!$M$24))</f>
        <v>155</v>
      </c>
      <c r="CD1737" s="60" t="str">
        <f aca="false">IF(AND(Parameter!$B$19="Ja",E1737&lt;&gt;"",ISNUMBER(MATCH(E1737,Parameter!$I$35:$I$52,0))),VLOOKUP(E1737,Parameter!$I$35:$J$52,2,0),IFERROR(VLOOKUP(D1737,Parameter!$A$35:$C$64,2,0),"Nein"))</f>
        <v>2+3</v>
      </c>
      <c r="CE1737" s="64" t="n">
        <f aca="false">IF(CA1737=0,0,IF(N(S1737)&gt;0,S1737,IFERROR(VLOOKUP(D1737,Parameter!$A$35:$C$64,3,0)+0,0)))</f>
        <v>0</v>
      </c>
      <c r="CF1737" s="60" t="n">
        <f aca="false">IF(AB1737&lt;&gt;"",AB1737,AA1737)</f>
        <v>1</v>
      </c>
      <c r="CG1737" s="60" t="str">
        <f aca="false">IF(OR(CF1737=1,CF1737=2,CF1737=3),IF(Parameter!$E$27="Ja","LIFT",IF(CF1737=1,"L1","L23")),IF(CF1737="Aussen","Aussen","-"))</f>
        <v>LIFT</v>
      </c>
      <c r="CH1737" s="71" t="n">
        <f aca="false">IF(N(AC1737)&gt;0,AC1737,0)</f>
        <v>0</v>
      </c>
      <c r="CI1737" s="65" t="n">
        <f aca="false">IF(ISNUMBER(AF1737),1,0)</f>
        <v>0</v>
      </c>
      <c r="CJ1737" s="62" t="n">
        <f aca="false">N(AF1737)</f>
        <v>0</v>
      </c>
      <c r="CK1737" s="62" t="n">
        <f aca="false">N(M1737)+N(N1737)</f>
        <v>1</v>
      </c>
      <c r="CL1737" s="62" t="n">
        <f aca="false">N(M1737)</f>
        <v>0</v>
      </c>
      <c r="CM1737" s="62" t="n">
        <f aca="false">N(N1737)</f>
        <v>1</v>
      </c>
      <c r="CN1737" s="62" t="n">
        <f aca="false">ROUNDUP(H1737/BZ1737,0)</f>
        <v>1</v>
      </c>
      <c r="CO1737" s="62" t="n">
        <f aca="false">ROUNDUP(CJ1737/BZ1737,0)</f>
        <v>0</v>
      </c>
      <c r="CP1737" s="65" t="n">
        <f aca="false">IF(CA1737=1,0,IFERROR(VLOOKUP(BY1737,'Gebinde-Kategorie'!$A$5:$N$45,5,0)+0,0))</f>
        <v>8</v>
      </c>
      <c r="CQ1737" s="65" t="n">
        <f aca="false">IFERROR(IF(OR(CF1737=1,CF1737=2,CF1737=3),N(INDEX(Parameter!$I$5:$I$7,CF1737)),0),0)</f>
        <v>0</v>
      </c>
      <c r="CR1737" s="64" t="n">
        <f aca="false">IF(AND(Parameter!$B$21="Ja",ISNUMBER(W1737),N(X1737)&gt;0),IFERROR(N(INDEX(Parameter!$L$5:$L$7,W1737))*INDEX(Parameter!$E$5:$E$7,W1737)*X1737/SUMIFS($X$7:$X$1843,$W$7:$W$1843,W1737),0),0)</f>
        <v>0</v>
      </c>
      <c r="CS1737" s="62" t="n">
        <f aca="false">IF(AND(OR(CG1737="L1",CG1737="L23",CG1737="LIFT"),H1737&gt;0),CC1737*IF(CR1737&gt;0,CR1737*MAX(1,H1737/X1737),IF(CA1737=1,CE1737,IF(R1737&gt;0,CN1737/R1737,0))/MAX(0.1,N(Parameter!$M$21))),"")</f>
        <v>1.10714285714286</v>
      </c>
      <c r="CT1737" s="64" t="n">
        <f aca="false">IF(CS1737="","",J1737/H1737)</f>
        <v>0</v>
      </c>
      <c r="CU1737" s="62" t="n">
        <f aca="false">IF(CS1737="","",H1737*G1737)</f>
        <v>1800</v>
      </c>
      <c r="CV1737" s="63" t="n">
        <f aca="false">IF(CS1737="","",(CL1737+ROUNDUP(CL1737+MAX(CM1737,2*(J1737/MAX(0.1,N(Einkauf!$C$6))-CL1737)),0))/2)</f>
        <v>0.5</v>
      </c>
      <c r="CW1737" s="62" t="n">
        <f aca="false">IF(CS1737="","",MAX(0,H1737-CV1737)*G1737)</f>
        <v>1650</v>
      </c>
      <c r="CX1737" s="62" t="n">
        <f aca="false">IF(CS1737="","",CS1737*MAX(0,1-CV1737/H1737))</f>
        <v>1.01488095238095</v>
      </c>
      <c r="CY1737" s="64" t="n">
        <f aca="false">IF(CS1737="","",PERCENTRANK($CS$7:$CS$1843,CS1737)+PERCENTRANK($CU$7:$CU$1843,CU1737)+1-PERCENTRANK($CT$7:$CT$1843,CT1737))</f>
        <v>1.8064</v>
      </c>
      <c r="CZ1737" s="72" t="n">
        <f aca="false">IF(CS1737="","",CHOOSE(MATCH(Einkauf!$C$5,Parameter!$G$23:$G$27,0),CY1737,CS1737,CU1737,-CT1737,CW1737)+ROW()/1000000000)</f>
        <v>1.806401737</v>
      </c>
    </row>
    <row r="1738" customFormat="false" ht="15" hidden="false" customHeight="false" outlineLevel="0" collapsed="false">
      <c r="A1738" s="60" t="s">
        <v>3046</v>
      </c>
      <c r="B1738" s="60" t="s">
        <v>3047</v>
      </c>
      <c r="C1738" s="60" t="s">
        <v>206</v>
      </c>
      <c r="D1738" s="60" t="s">
        <v>226</v>
      </c>
      <c r="E1738" s="60"/>
      <c r="F1738" s="60"/>
      <c r="G1738" s="61" t="n">
        <v>7.05</v>
      </c>
      <c r="H1738" s="62" t="n">
        <f aca="false">MAX(0,IF(AND(Parameter!$B$21="Ja",ISNUMBER(Y1738)),Y1738,IF(Parameter!$B$20="Jahresanfang 2025 + Export",BS1738+BR1738,BR1738)))</f>
        <v>5</v>
      </c>
      <c r="I1738" s="62" t="n">
        <f aca="false">H1738*G1738</f>
        <v>35.25</v>
      </c>
      <c r="J1738" s="62" t="n">
        <f aca="false">BU1738*Parameter!$B$18</f>
        <v>0</v>
      </c>
      <c r="K1738" s="63"/>
      <c r="L1738" s="64"/>
      <c r="M1738" s="62" t="n">
        <v>0</v>
      </c>
      <c r="N1738" s="62" t="n">
        <v>1</v>
      </c>
      <c r="O1738" s="65" t="n">
        <v>97</v>
      </c>
      <c r="P1738" s="60" t="s">
        <v>468</v>
      </c>
      <c r="Q1738" s="62" t="n">
        <v>5</v>
      </c>
      <c r="R1738" s="65" t="n">
        <f aca="false">IF(CA1738=1,0,IFERROR(VLOOKUP(BY1738,'Gebinde-Kategorie'!$A$5:$N$45,13,0)+0,0))</f>
        <v>140</v>
      </c>
      <c r="S1738" s="66"/>
      <c r="T1738" s="67"/>
      <c r="U1738" s="67"/>
      <c r="V1738" s="67"/>
      <c r="W1738" s="60"/>
      <c r="X1738" s="62"/>
      <c r="Y1738" s="62"/>
      <c r="Z1738" s="60" t="n">
        <v>1</v>
      </c>
      <c r="AA1738" s="60" t="n">
        <f aca="false">IF(A1738="","",IF(AND(Parameter!$B$21="Ja",ISNUMBER(W1738)),W1738,IF(AND(Parameter!$E$27="Ja",ISNUMBER(Z1738),CD1738&lt;&gt;"Nein"),Z1738,IF(CD1738="2+3",IF(ISNUMBER(SEARCH("grosser Artikel",BV1738)),2,IFERROR(VLOOKUP(BY1738,Parameter!$F$35:$G$64,2,0),2)),IF(OR(CD1738="Nein",CD1738=""),"-",CD1738)))))</f>
        <v>1</v>
      </c>
      <c r="AB1738" s="67"/>
      <c r="AC1738" s="68"/>
      <c r="AD1738" s="62" t="n">
        <f aca="false">AW1738</f>
        <v>1</v>
      </c>
      <c r="AE1738" s="62" t="n">
        <f aca="false">MAX(AW1738,H1738)</f>
        <v>5</v>
      </c>
      <c r="AF1738" s="69"/>
      <c r="AG1738" s="62" t="n">
        <f aca="false">IF(LEFT(Cockpit!$C$5,1)="A",H1738,IF(Parameter!$E$30="MAX-Bestand",IF(CI1738=1,CJ1738,IF(LEFT(Cockpit!$C$5,1)="B",AM1738,MAX(AM1738,H1738))),ROUNDUP(AK1738,0)))</f>
        <v>5</v>
      </c>
      <c r="AH1738" s="62" t="n">
        <f aca="false">IF(CA1738=1,0,ROUNDUP(AG1738/BZ1738,0))</f>
        <v>1</v>
      </c>
      <c r="AI1738" s="64" t="n">
        <f aca="false">IF(CR1738&gt;0,CR1738*MAX(1,AG1738/X1738),IF(CA1738=1,IF(AG1738&lt;=0,0,CE1738*MAX(1,IF(H1738&gt;0,AG1738/H1738,1))),IF(R1738&gt;0,AH1738/R1738,0))/MAX(0.1,N(Parameter!$M$21)))</f>
        <v>0.00714285714285714</v>
      </c>
      <c r="AJ1738" s="62" t="n">
        <f aca="false">AI1738*CC1738</f>
        <v>1.10714285714286</v>
      </c>
      <c r="AK1738" s="63" t="n">
        <f aca="false">IF(LEFT(Cockpit!$C$5,1)="A",H1738,IF(CI1738=1,(CL1738+CJ1738)/2,IF(LEFT(Cockpit!$C$5,1)="B",(CL1738+AM1738)/2,MAX((CL1738+AM1738)/2,H1738))))</f>
        <v>5</v>
      </c>
      <c r="AL1738" s="62" t="n">
        <f aca="false">AK1738*G1738</f>
        <v>35.25</v>
      </c>
      <c r="AM1738" s="62" t="n">
        <f aca="false">ROUNDUP(CL1738+MAX(CM1738,2*(J1738/IF(CH1738&gt;0,CH1738,MAX(0.1,N(Cockpit!$C$6)))-CL1738)),0)</f>
        <v>1</v>
      </c>
      <c r="AN1738" s="63" t="n">
        <f aca="false">IF(AJ1738&gt;0,J1738/AJ1738,-1)</f>
        <v>0</v>
      </c>
      <c r="AO1738" s="63" t="n">
        <f aca="false">IF(AND(OR(CG1738="L1",CG1738="L23",CG1738="LIFT"),AJ1738&gt;0),SUMIFS($AJ$7:$AJ$1843,$CG$7:$CG$1843,CG1738,$AN$7:$AN$1843,"&gt;"&amp;AN1738)+SUMIFS($AJ$7:$AJ$1843,$CG$7:$CG$1843,CG1738,$AN$7:$AN$1843,AN1738,$BX$7:$BX$1843,"&lt;="&amp;BX1738),"")</f>
        <v>32855.3324744935</v>
      </c>
      <c r="AP1738" s="70" t="n">
        <f aca="false">IF(AO1738="",0,MAX(0,MIN(1,(IF(CG1738="L1",Parameter!$H$5,IF(CG1738="L23",Parameter!$H$6+Parameter!$H$7,Parameter!$H$5+Parameter!$H$6+Parameter!$H$7))-(AO1738-AJ1738))/AJ1738)))</f>
        <v>1</v>
      </c>
      <c r="AQ1738" s="62" t="n">
        <f aca="false">IF(LEFT(Cockpit!$I$5,1)="A",H1738,IF(Parameter!$E$30="MAX-Bestand",IF(CI1738=1,CJ1738,IF(LEFT(Cockpit!$I$5,1)="B",AW1738,MAX(AW1738,H1738))),ROUNDUP(AU1738,0)))</f>
        <v>5</v>
      </c>
      <c r="AR1738" s="62" t="n">
        <f aca="false">IF(CA1738=1,0,ROUNDUP(AQ1738/BZ1738,0))</f>
        <v>1</v>
      </c>
      <c r="AS1738" s="64" t="n">
        <f aca="false">IF(CR1738&gt;0,CR1738*MAX(1,AQ1738/X1738),IF(CA1738=1,IF(AQ1738&lt;=0,0,CE1738*MAX(1,IF(H1738&gt;0,AQ1738/H1738,1))),IF(R1738&gt;0,AR1738/R1738,0))/MAX(0.1,N(Parameter!$M$21)))</f>
        <v>0.00714285714285714</v>
      </c>
      <c r="AT1738" s="62" t="n">
        <f aca="false">AS1738*CC1738</f>
        <v>1.10714285714286</v>
      </c>
      <c r="AU1738" s="63" t="n">
        <f aca="false">IF(LEFT(Cockpit!$I$5,1)="A",H1738,IF(CI1738=1,(CL1738+CJ1738)/2,IF(LEFT(Cockpit!$I$5,1)="B",(CL1738+AW1738)/2,MAX((CL1738+AW1738)/2,H1738))))</f>
        <v>5</v>
      </c>
      <c r="AV1738" s="62" t="n">
        <f aca="false">AU1738*G1738</f>
        <v>35.25</v>
      </c>
      <c r="AW1738" s="62" t="n">
        <f aca="false">ROUNDUP(CL1738+MAX(CM1738,2*(J1738/IF(CH1738&gt;0,CH1738,MAX(0.1,N(Cockpit!$I$6)))-CL1738)),0)</f>
        <v>1</v>
      </c>
      <c r="AX1738" s="63" t="n">
        <f aca="false">IF(AT1738&gt;0,J1738/AT1738,-1)</f>
        <v>0</v>
      </c>
      <c r="AY1738" s="63" t="n">
        <f aca="false">IF(AND(OR(CG1738="L1",CG1738="L23",CG1738="LIFT"),AT1738&gt;0),SUMIFS($AT$7:$AT$1843,$CG$7:$CG$1843,CG1738,$AX$7:$AX$1843,"&gt;"&amp;AX1738)+SUMIFS($AT$7:$AT$1843,$CG$7:$CG$1843,CG1738,$AX$7:$AX$1843,AX1738,$BX$7:$BX$1843,"&lt;="&amp;BX1738),"")</f>
        <v>39329.2414193622</v>
      </c>
      <c r="AZ1738" s="70" t="n">
        <f aca="false">IF(AY1738="",0,MAX(0,MIN(1,(IF(CG1738="L1",Parameter!$H$5,IF(CG1738="L23",Parameter!$H$6+Parameter!$H$7,Parameter!$H$5+Parameter!$H$6+Parameter!$H$7))-(AY1738-AT1738))/AT1738)))</f>
        <v>0</v>
      </c>
      <c r="BA1738" s="62" t="n">
        <f aca="false">IF(LEFT(Cockpit!$O$5,1)="A",H1738,IF(Parameter!$E$30="MAX-Bestand",IF(CI1738=1,CJ1738,IF(LEFT(Cockpit!$O$5,1)="B",BG1738,MAX(BG1738,H1738))),ROUNDUP(BE1738,0)))</f>
        <v>1</v>
      </c>
      <c r="BB1738" s="62" t="n">
        <f aca="false">IF(CA1738=1,0,ROUNDUP(BA1738/BZ1738,0))</f>
        <v>1</v>
      </c>
      <c r="BC1738" s="64" t="n">
        <f aca="false">IF(CR1738&gt;0,CR1738*MAX(1,BA1738/X1738),IF(CA1738=1,IF(BA1738&lt;=0,0,CE1738*MAX(1,IF(H1738&gt;0,BA1738/H1738,1))),IF(R1738&gt;0,BB1738/R1738,0))/MAX(0.1,N(Parameter!$M$21)))</f>
        <v>0.00714285714285714</v>
      </c>
      <c r="BD1738" s="62" t="n">
        <f aca="false">BC1738*CC1738</f>
        <v>1.10714285714286</v>
      </c>
      <c r="BE1738" s="63" t="n">
        <f aca="false">IF(LEFT(Cockpit!$O$5,1)="A",H1738,IF(CI1738=1,(CL1738+CJ1738)/2,IF(LEFT(Cockpit!$O$5,1)="B",(CL1738+BG1738)/2,MAX((CL1738+BG1738)/2,H1738))))</f>
        <v>0.5</v>
      </c>
      <c r="BF1738" s="62" t="n">
        <f aca="false">BE1738*G1738</f>
        <v>3.525</v>
      </c>
      <c r="BG1738" s="62" t="n">
        <f aca="false">ROUNDUP(CL1738+MAX(CM1738,2*(J1738/IF(CH1738&gt;0,CH1738,MAX(0.1,N(Cockpit!$O$6)))-CL1738)),0)</f>
        <v>1</v>
      </c>
      <c r="BH1738" s="63" t="n">
        <f aca="false">IF(BD1738&gt;0,J1738/BD1738,-1)</f>
        <v>0</v>
      </c>
      <c r="BI1738" s="63" t="n">
        <f aca="false">IF(AND(OR(CG1738="L1",CG1738="L23",CG1738="LIFT"),BD1738&gt;0),SUMIFS($BD$7:$BD$1843,$CG$7:$CG$1843,CG1738,$BH$7:$BH$1843,"&gt;"&amp;BH1738)+SUMIFS($BD$7:$BD$1843,$CG$7:$CG$1843,CG1738,$BH$7:$BH$1843,BH1738,$BX$7:$BX$1843,"&lt;="&amp;BX1738),"")</f>
        <v>32556.8195996565</v>
      </c>
      <c r="BJ1738" s="70" t="n">
        <f aca="false">IF(BI1738="",0,MAX(0,MIN(1,(IF(CG1738="L1",Parameter!$H$5,IF(CG1738="L23",Parameter!$H$6+Parameter!$H$7,Parameter!$H$5+Parameter!$H$6+Parameter!$H$7))-(BI1738-BD1738))/BD1738)))</f>
        <v>1</v>
      </c>
      <c r="BK1738" s="60" t="str">
        <f aca="false">IF(AJ1738&lt;=0,"",IF(CG1738="Aussen","Aussenlager",IF(CG1738="-","Nicht im Lift",IF(AP1738&gt;=1,"Lift",IF(AP1738&lt;=0,"Aussenlager","teilweise")))))</f>
        <v>Lift</v>
      </c>
      <c r="BL1738" s="60" t="str">
        <f aca="false">IF(AT1738&lt;=0,"",IF(CG1738="Aussen","Aussenlager",IF(CG1738="-","Nicht im Lift",IF(AZ1738&gt;=1,"Lift",IF(AZ1738&lt;=0,"Aussenlager","teilweise")))))</f>
        <v>Aussenlager</v>
      </c>
      <c r="BM1738" s="60" t="str">
        <f aca="false">IF(BD1738&lt;=0,"",IF(CG1738="Aussen","Aussenlager",IF(CG1738="-","Nicht im Lift",IF(BJ1738&gt;=1,"Lift",IF(BJ1738&lt;=0,"Aussenlager","teilweise")))))</f>
        <v>Lift</v>
      </c>
      <c r="BN1738" s="60" t="str">
        <f aca="false">IF(A1738="","",IF(BW1738=1,"Neu; ","")&amp;IF(AND(BW1738=0,BR1738&lt;0),"negativer Bestand (Export "&amp;BR1738&amp;"); ","")&amp;IF(J1738&lt;=0,"Kein Verbrauch; ","")&amp;IF(CR1738&gt;0,"Lift "&amp;W1738&amp;" lt. Liftbericht (Fach "&amp;X1738&amp;" Stk); ",IF(CB1738=1,"Gebinde geschätzt ("&amp;T1738&amp;"); ",IF(CA1738=1,"Lose – Tablare geschätzt; ","")))&amp;IF(H1738&gt;AW1738,"Überbestand "&amp;ROUND(H1738-AW1738,0)&amp;" Stk / CHF "&amp;ROUND((H1738-AW1738)*G1738,0)&amp;"; ","")&amp;IF(AND(CI1738=1,CJ1738&lt;CK1738),"MAX &lt; MB+LG; ","")&amp;IF(AND(CQ1738&gt;0,CP1738*10&gt;CQ1738),"zu hoch für Tablar; ","")&amp;IF(AND(BW1738=0,OR(CI1738=1,AB1738&lt;&gt;"",U1738&lt;&gt;"",V1738&lt;&gt;"",AC1738&lt;&gt;"")),"manuell übersteuert; ","")&amp;IF(AND(CA1738=0,R1738=0),"Gebinde unbekannt / Stellmass fehlt; ","")&amp;IF(AND(CA1738=0,N(V1738)&lt;=0,N(Q1738)&lt;=0),"Menge pro Gebinde fehlt (Ist = 1 Gebinde); ","")&amp;BV1738)</f>
        <v>Kein Verbrauch; Überbestand 4 Stk / CHF 28; nur im Artikelstamm (Bestand 23.06.2026)</v>
      </c>
      <c r="BO1738" s="60"/>
      <c r="BP1738" s="60"/>
      <c r="BQ1738" s="67"/>
      <c r="BR1738" s="62" t="n">
        <v>5</v>
      </c>
      <c r="BS1738" s="62" t="n">
        <v>0</v>
      </c>
      <c r="BT1738" s="61" t="n">
        <v>0</v>
      </c>
      <c r="BU1738" s="62" t="n">
        <v>0</v>
      </c>
      <c r="BV1738" s="60" t="s">
        <v>2617</v>
      </c>
      <c r="BW1738" s="65" t="n">
        <v>0</v>
      </c>
      <c r="BX1738" s="65" t="n">
        <v>1738</v>
      </c>
      <c r="BY1738" s="60" t="str">
        <f aca="false">IF(U1738&lt;&gt;"",UPPER(TRIM(U1738)),IF(CB1738=1,UPPER(VLOOKUP(T1738,Parameter!$I$27:$K$29,2,0)),IF(P1738="","LOSE",P1738)))</f>
        <v>S22</v>
      </c>
      <c r="BZ1738" s="62" t="n">
        <f aca="false">IF(BY1738="LOSE",1,IF(N(V1738)&gt;0,V1738,IF(CB1738=1,MAX(1,N(VLOOKUP(T1738,Parameter!$I$27:$K$29,3,0)),H1738,N(N1738)),IF(N(Q1738)&gt;0,Q1738,MAX(1,H1738)))))</f>
        <v>5</v>
      </c>
      <c r="CA1738" s="65" t="n">
        <f aca="false">IF(BY1738="LOSE",1,0)</f>
        <v>0</v>
      </c>
      <c r="CB1738" s="65" t="n">
        <f aca="false">IF(AND(U1738="",OR(P1738="",P1738="LOSE"),T1738&lt;&gt;"",N(S1738)&lt;=0,ISNUMBER(MATCH(T1738,Parameter!$I$27:$I$29,0))),1,0)</f>
        <v>0</v>
      </c>
      <c r="CC1738" s="65" t="n">
        <f aca="false">IF(CR1738&gt;0,INDEX(Parameter!$H$5:$H$7,W1738)/INDEX(Parameter!$E$5:$E$7,W1738),IF(AND(CA1738=0,N(IFERROR(VLOOKUP(BY1738,'Gebinde-Kategorie'!$A$5:$N$45,14,0),0))&gt;0),VLOOKUP(BY1738,'Gebinde-Kategorie'!$A$5:$N$45,14,0)*10+Parameter!$M$23,Parameter!$M$24))</f>
        <v>155</v>
      </c>
      <c r="CD1738" s="60" t="str">
        <f aca="false">IF(AND(Parameter!$B$19="Ja",E1738&lt;&gt;"",ISNUMBER(MATCH(E1738,Parameter!$I$35:$I$52,0))),VLOOKUP(E1738,Parameter!$I$35:$J$52,2,0),IFERROR(VLOOKUP(D1738,Parameter!$A$35:$C$64,2,0),"Nein"))</f>
        <v>2+3</v>
      </c>
      <c r="CE1738" s="64" t="n">
        <f aca="false">IF(CA1738=0,0,IF(N(S1738)&gt;0,S1738,IFERROR(VLOOKUP(D1738,Parameter!$A$35:$C$64,3,0)+0,0)))</f>
        <v>0</v>
      </c>
      <c r="CF1738" s="60" t="n">
        <f aca="false">IF(AB1738&lt;&gt;"",AB1738,AA1738)</f>
        <v>1</v>
      </c>
      <c r="CG1738" s="60" t="str">
        <f aca="false">IF(OR(CF1738=1,CF1738=2,CF1738=3),IF(Parameter!$E$27="Ja","LIFT",IF(CF1738=1,"L1","L23")),IF(CF1738="Aussen","Aussen","-"))</f>
        <v>LIFT</v>
      </c>
      <c r="CH1738" s="71" t="n">
        <f aca="false">IF(N(AC1738)&gt;0,AC1738,0)</f>
        <v>0</v>
      </c>
      <c r="CI1738" s="65" t="n">
        <f aca="false">IF(ISNUMBER(AF1738),1,0)</f>
        <v>0</v>
      </c>
      <c r="CJ1738" s="62" t="n">
        <f aca="false">N(AF1738)</f>
        <v>0</v>
      </c>
      <c r="CK1738" s="62" t="n">
        <f aca="false">N(M1738)+N(N1738)</f>
        <v>1</v>
      </c>
      <c r="CL1738" s="62" t="n">
        <f aca="false">N(M1738)</f>
        <v>0</v>
      </c>
      <c r="CM1738" s="62" t="n">
        <f aca="false">N(N1738)</f>
        <v>1</v>
      </c>
      <c r="CN1738" s="62" t="n">
        <f aca="false">ROUNDUP(H1738/BZ1738,0)</f>
        <v>1</v>
      </c>
      <c r="CO1738" s="62" t="n">
        <f aca="false">ROUNDUP(CJ1738/BZ1738,0)</f>
        <v>0</v>
      </c>
      <c r="CP1738" s="65" t="n">
        <f aca="false">IF(CA1738=1,0,IFERROR(VLOOKUP(BY1738,'Gebinde-Kategorie'!$A$5:$N$45,5,0)+0,0))</f>
        <v>8</v>
      </c>
      <c r="CQ1738" s="65" t="n">
        <f aca="false">IFERROR(IF(OR(CF1738=1,CF1738=2,CF1738=3),N(INDEX(Parameter!$I$5:$I$7,CF1738)),0),0)</f>
        <v>0</v>
      </c>
      <c r="CR1738" s="64" t="n">
        <f aca="false">IF(AND(Parameter!$B$21="Ja",ISNUMBER(W1738),N(X1738)&gt;0),IFERROR(N(INDEX(Parameter!$L$5:$L$7,W1738))*INDEX(Parameter!$E$5:$E$7,W1738)*X1738/SUMIFS($X$7:$X$1843,$W$7:$W$1843,W1738),0),0)</f>
        <v>0</v>
      </c>
      <c r="CS1738" s="62" t="n">
        <f aca="false">IF(AND(OR(CG1738="L1",CG1738="L23",CG1738="LIFT"),H1738&gt;0),CC1738*IF(CR1738&gt;0,CR1738*MAX(1,H1738/X1738),IF(CA1738=1,CE1738,IF(R1738&gt;0,CN1738/R1738,0))/MAX(0.1,N(Parameter!$M$21))),"")</f>
        <v>1.10714285714286</v>
      </c>
      <c r="CT1738" s="64" t="n">
        <f aca="false">IF(CS1738="","",J1738/H1738)</f>
        <v>0</v>
      </c>
      <c r="CU1738" s="62" t="n">
        <f aca="false">IF(CS1738="","",H1738*G1738)</f>
        <v>35.25</v>
      </c>
      <c r="CV1738" s="63" t="n">
        <f aca="false">IF(CS1738="","",(CL1738+ROUNDUP(CL1738+MAX(CM1738,2*(J1738/MAX(0.1,N(Einkauf!$C$6))-CL1738)),0))/2)</f>
        <v>0.5</v>
      </c>
      <c r="CW1738" s="62" t="n">
        <f aca="false">IF(CS1738="","",MAX(0,H1738-CV1738)*G1738)</f>
        <v>31.725</v>
      </c>
      <c r="CX1738" s="62" t="n">
        <f aca="false">IF(CS1738="","",CS1738*MAX(0,1-CV1738/H1738))</f>
        <v>0.996428571428572</v>
      </c>
      <c r="CY1738" s="64" t="n">
        <f aca="false">IF(CS1738="","",PERCENTRANK($CS$7:$CS$1843,CS1738)+PERCENTRANK($CU$7:$CU$1843,CU1738)+1-PERCENTRANK($CT$7:$CT$1843,CT1738))</f>
        <v>1.1794</v>
      </c>
      <c r="CZ1738" s="72" t="n">
        <f aca="false">IF(CS1738="","",CHOOSE(MATCH(Einkauf!$C$5,Parameter!$G$23:$G$27,0),CY1738,CS1738,CU1738,-CT1738,CW1738)+ROW()/1000000000)</f>
        <v>1.179401738</v>
      </c>
    </row>
    <row r="1739" customFormat="false" ht="15" hidden="false" customHeight="false" outlineLevel="0" collapsed="false">
      <c r="A1739" s="60" t="s">
        <v>3048</v>
      </c>
      <c r="B1739" s="60" t="s">
        <v>3049</v>
      </c>
      <c r="C1739" s="60" t="s">
        <v>206</v>
      </c>
      <c r="D1739" s="60" t="s">
        <v>226</v>
      </c>
      <c r="E1739" s="60"/>
      <c r="F1739" s="60"/>
      <c r="G1739" s="61" t="n">
        <v>14.1</v>
      </c>
      <c r="H1739" s="62" t="n">
        <f aca="false">MAX(0,IF(AND(Parameter!$B$21="Ja",ISNUMBER(Y1739)),Y1739,IF(Parameter!$B$20="Jahresanfang 2025 + Export",BS1739+BR1739,BR1739)))</f>
        <v>5</v>
      </c>
      <c r="I1739" s="62" t="n">
        <f aca="false">H1739*G1739</f>
        <v>70.5</v>
      </c>
      <c r="J1739" s="62" t="n">
        <f aca="false">BU1739*Parameter!$B$18</f>
        <v>0</v>
      </c>
      <c r="K1739" s="63"/>
      <c r="L1739" s="64"/>
      <c r="M1739" s="62" t="n">
        <v>0</v>
      </c>
      <c r="N1739" s="62" t="n">
        <v>1</v>
      </c>
      <c r="O1739" s="65" t="n">
        <v>97</v>
      </c>
      <c r="P1739" s="60" t="s">
        <v>468</v>
      </c>
      <c r="Q1739" s="62" t="n">
        <v>5</v>
      </c>
      <c r="R1739" s="65" t="n">
        <f aca="false">IF(CA1739=1,0,IFERROR(VLOOKUP(BY1739,'Gebinde-Kategorie'!$A$5:$N$45,13,0)+0,0))</f>
        <v>140</v>
      </c>
      <c r="S1739" s="66"/>
      <c r="T1739" s="67"/>
      <c r="U1739" s="67"/>
      <c r="V1739" s="67"/>
      <c r="W1739" s="60"/>
      <c r="X1739" s="62"/>
      <c r="Y1739" s="62"/>
      <c r="Z1739" s="60" t="n">
        <v>1</v>
      </c>
      <c r="AA1739" s="60" t="n">
        <f aca="false">IF(A1739="","",IF(AND(Parameter!$B$21="Ja",ISNUMBER(W1739)),W1739,IF(AND(Parameter!$E$27="Ja",ISNUMBER(Z1739),CD1739&lt;&gt;"Nein"),Z1739,IF(CD1739="2+3",IF(ISNUMBER(SEARCH("grosser Artikel",BV1739)),2,IFERROR(VLOOKUP(BY1739,Parameter!$F$35:$G$64,2,0),2)),IF(OR(CD1739="Nein",CD1739=""),"-",CD1739)))))</f>
        <v>1</v>
      </c>
      <c r="AB1739" s="67"/>
      <c r="AC1739" s="68"/>
      <c r="AD1739" s="62" t="n">
        <f aca="false">AW1739</f>
        <v>1</v>
      </c>
      <c r="AE1739" s="62" t="n">
        <f aca="false">MAX(AW1739,H1739)</f>
        <v>5</v>
      </c>
      <c r="AF1739" s="69"/>
      <c r="AG1739" s="62" t="n">
        <f aca="false">IF(LEFT(Cockpit!$C$5,1)="A",H1739,IF(Parameter!$E$30="MAX-Bestand",IF(CI1739=1,CJ1739,IF(LEFT(Cockpit!$C$5,1)="B",AM1739,MAX(AM1739,H1739))),ROUNDUP(AK1739,0)))</f>
        <v>5</v>
      </c>
      <c r="AH1739" s="62" t="n">
        <f aca="false">IF(CA1739=1,0,ROUNDUP(AG1739/BZ1739,0))</f>
        <v>1</v>
      </c>
      <c r="AI1739" s="64" t="n">
        <f aca="false">IF(CR1739&gt;0,CR1739*MAX(1,AG1739/X1739),IF(CA1739=1,IF(AG1739&lt;=0,0,CE1739*MAX(1,IF(H1739&gt;0,AG1739/H1739,1))),IF(R1739&gt;0,AH1739/R1739,0))/MAX(0.1,N(Parameter!$M$21)))</f>
        <v>0.00714285714285714</v>
      </c>
      <c r="AJ1739" s="62" t="n">
        <f aca="false">AI1739*CC1739</f>
        <v>1.10714285714286</v>
      </c>
      <c r="AK1739" s="63" t="n">
        <f aca="false">IF(LEFT(Cockpit!$C$5,1)="A",H1739,IF(CI1739=1,(CL1739+CJ1739)/2,IF(LEFT(Cockpit!$C$5,1)="B",(CL1739+AM1739)/2,MAX((CL1739+AM1739)/2,H1739))))</f>
        <v>5</v>
      </c>
      <c r="AL1739" s="62" t="n">
        <f aca="false">AK1739*G1739</f>
        <v>70.5</v>
      </c>
      <c r="AM1739" s="62" t="n">
        <f aca="false">ROUNDUP(CL1739+MAX(CM1739,2*(J1739/IF(CH1739&gt;0,CH1739,MAX(0.1,N(Cockpit!$C$6)))-CL1739)),0)</f>
        <v>1</v>
      </c>
      <c r="AN1739" s="63" t="n">
        <f aca="false">IF(AJ1739&gt;0,J1739/AJ1739,-1)</f>
        <v>0</v>
      </c>
      <c r="AO1739" s="63" t="n">
        <f aca="false">IF(AND(OR(CG1739="L1",CG1739="L23",CG1739="LIFT"),AJ1739&gt;0),SUMIFS($AJ$7:$AJ$1843,$CG$7:$CG$1843,CG1739,$AN$7:$AN$1843,"&gt;"&amp;AN1739)+SUMIFS($AJ$7:$AJ$1843,$CG$7:$CG$1843,CG1739,$AN$7:$AN$1843,AN1739,$BX$7:$BX$1843,"&lt;="&amp;BX1739),"")</f>
        <v>32856.4396173506</v>
      </c>
      <c r="AP1739" s="70" t="n">
        <f aca="false">IF(AO1739="",0,MAX(0,MIN(1,(IF(CG1739="L1",Parameter!$H$5,IF(CG1739="L23",Parameter!$H$6+Parameter!$H$7,Parameter!$H$5+Parameter!$H$6+Parameter!$H$7))-(AO1739-AJ1739))/AJ1739)))</f>
        <v>1</v>
      </c>
      <c r="AQ1739" s="62" t="n">
        <f aca="false">IF(LEFT(Cockpit!$I$5,1)="A",H1739,IF(Parameter!$E$30="MAX-Bestand",IF(CI1739=1,CJ1739,IF(LEFT(Cockpit!$I$5,1)="B",AW1739,MAX(AW1739,H1739))),ROUNDUP(AU1739,0)))</f>
        <v>5</v>
      </c>
      <c r="AR1739" s="62" t="n">
        <f aca="false">IF(CA1739=1,0,ROUNDUP(AQ1739/BZ1739,0))</f>
        <v>1</v>
      </c>
      <c r="AS1739" s="64" t="n">
        <f aca="false">IF(CR1739&gt;0,CR1739*MAX(1,AQ1739/X1739),IF(CA1739=1,IF(AQ1739&lt;=0,0,CE1739*MAX(1,IF(H1739&gt;0,AQ1739/H1739,1))),IF(R1739&gt;0,AR1739/R1739,0))/MAX(0.1,N(Parameter!$M$21)))</f>
        <v>0.00714285714285714</v>
      </c>
      <c r="AT1739" s="62" t="n">
        <f aca="false">AS1739*CC1739</f>
        <v>1.10714285714286</v>
      </c>
      <c r="AU1739" s="63" t="n">
        <f aca="false">IF(LEFT(Cockpit!$I$5,1)="A",H1739,IF(CI1739=1,(CL1739+CJ1739)/2,IF(LEFT(Cockpit!$I$5,1)="B",(CL1739+AW1739)/2,MAX((CL1739+AW1739)/2,H1739))))</f>
        <v>5</v>
      </c>
      <c r="AV1739" s="62" t="n">
        <f aca="false">AU1739*G1739</f>
        <v>70.5</v>
      </c>
      <c r="AW1739" s="62" t="n">
        <f aca="false">ROUNDUP(CL1739+MAX(CM1739,2*(J1739/IF(CH1739&gt;0,CH1739,MAX(0.1,N(Cockpit!$I$6)))-CL1739)),0)</f>
        <v>1</v>
      </c>
      <c r="AX1739" s="63" t="n">
        <f aca="false">IF(AT1739&gt;0,J1739/AT1739,-1)</f>
        <v>0</v>
      </c>
      <c r="AY1739" s="63" t="n">
        <f aca="false">IF(AND(OR(CG1739="L1",CG1739="L23",CG1739="LIFT"),AT1739&gt;0),SUMIFS($AT$7:$AT$1843,$CG$7:$CG$1843,CG1739,$AX$7:$AX$1843,"&gt;"&amp;AX1739)+SUMIFS($AT$7:$AT$1843,$CG$7:$CG$1843,CG1739,$AX$7:$AX$1843,AX1739,$BX$7:$BX$1843,"&lt;="&amp;BX1739),"")</f>
        <v>39330.3485622193</v>
      </c>
      <c r="AZ1739" s="70" t="n">
        <f aca="false">IF(AY1739="",0,MAX(0,MIN(1,(IF(CG1739="L1",Parameter!$H$5,IF(CG1739="L23",Parameter!$H$6+Parameter!$H$7,Parameter!$H$5+Parameter!$H$6+Parameter!$H$7))-(AY1739-AT1739))/AT1739)))</f>
        <v>0</v>
      </c>
      <c r="BA1739" s="62" t="n">
        <f aca="false">IF(LEFT(Cockpit!$O$5,1)="A",H1739,IF(Parameter!$E$30="MAX-Bestand",IF(CI1739=1,CJ1739,IF(LEFT(Cockpit!$O$5,1)="B",BG1739,MAX(BG1739,H1739))),ROUNDUP(BE1739,0)))</f>
        <v>1</v>
      </c>
      <c r="BB1739" s="62" t="n">
        <f aca="false">IF(CA1739=1,0,ROUNDUP(BA1739/BZ1739,0))</f>
        <v>1</v>
      </c>
      <c r="BC1739" s="64" t="n">
        <f aca="false">IF(CR1739&gt;0,CR1739*MAX(1,BA1739/X1739),IF(CA1739=1,IF(BA1739&lt;=0,0,CE1739*MAX(1,IF(H1739&gt;0,BA1739/H1739,1))),IF(R1739&gt;0,BB1739/R1739,0))/MAX(0.1,N(Parameter!$M$21)))</f>
        <v>0.00714285714285714</v>
      </c>
      <c r="BD1739" s="62" t="n">
        <f aca="false">BC1739*CC1739</f>
        <v>1.10714285714286</v>
      </c>
      <c r="BE1739" s="63" t="n">
        <f aca="false">IF(LEFT(Cockpit!$O$5,1)="A",H1739,IF(CI1739=1,(CL1739+CJ1739)/2,IF(LEFT(Cockpit!$O$5,1)="B",(CL1739+BG1739)/2,MAX((CL1739+BG1739)/2,H1739))))</f>
        <v>0.5</v>
      </c>
      <c r="BF1739" s="62" t="n">
        <f aca="false">BE1739*G1739</f>
        <v>7.05</v>
      </c>
      <c r="BG1739" s="62" t="n">
        <f aca="false">ROUNDUP(CL1739+MAX(CM1739,2*(J1739/IF(CH1739&gt;0,CH1739,MAX(0.1,N(Cockpit!$O$6)))-CL1739)),0)</f>
        <v>1</v>
      </c>
      <c r="BH1739" s="63" t="n">
        <f aca="false">IF(BD1739&gt;0,J1739/BD1739,-1)</f>
        <v>0</v>
      </c>
      <c r="BI1739" s="63" t="n">
        <f aca="false">IF(AND(OR(CG1739="L1",CG1739="L23",CG1739="LIFT"),BD1739&gt;0),SUMIFS($BD$7:$BD$1843,$CG$7:$CG$1843,CG1739,$BH$7:$BH$1843,"&gt;"&amp;BH1739)+SUMIFS($BD$7:$BD$1843,$CG$7:$CG$1843,CG1739,$BH$7:$BH$1843,BH1739,$BX$7:$BX$1843,"&lt;="&amp;BX1739),"")</f>
        <v>32557.9267425136</v>
      </c>
      <c r="BJ1739" s="70" t="n">
        <f aca="false">IF(BI1739="",0,MAX(0,MIN(1,(IF(CG1739="L1",Parameter!$H$5,IF(CG1739="L23",Parameter!$H$6+Parameter!$H$7,Parameter!$H$5+Parameter!$H$6+Parameter!$H$7))-(BI1739-BD1739))/BD1739)))</f>
        <v>1</v>
      </c>
      <c r="BK1739" s="60" t="str">
        <f aca="false">IF(AJ1739&lt;=0,"",IF(CG1739="Aussen","Aussenlager",IF(CG1739="-","Nicht im Lift",IF(AP1739&gt;=1,"Lift",IF(AP1739&lt;=0,"Aussenlager","teilweise")))))</f>
        <v>Lift</v>
      </c>
      <c r="BL1739" s="60" t="str">
        <f aca="false">IF(AT1739&lt;=0,"",IF(CG1739="Aussen","Aussenlager",IF(CG1739="-","Nicht im Lift",IF(AZ1739&gt;=1,"Lift",IF(AZ1739&lt;=0,"Aussenlager","teilweise")))))</f>
        <v>Aussenlager</v>
      </c>
      <c r="BM1739" s="60" t="str">
        <f aca="false">IF(BD1739&lt;=0,"",IF(CG1739="Aussen","Aussenlager",IF(CG1739="-","Nicht im Lift",IF(BJ1739&gt;=1,"Lift",IF(BJ1739&lt;=0,"Aussenlager","teilweise")))))</f>
        <v>Lift</v>
      </c>
      <c r="BN1739" s="60" t="str">
        <f aca="false">IF(A1739="","",IF(BW1739=1,"Neu; ","")&amp;IF(AND(BW1739=0,BR1739&lt;0),"negativer Bestand (Export "&amp;BR1739&amp;"); ","")&amp;IF(J1739&lt;=0,"Kein Verbrauch; ","")&amp;IF(CR1739&gt;0,"Lift "&amp;W1739&amp;" lt. Liftbericht (Fach "&amp;X1739&amp;" Stk); ",IF(CB1739=1,"Gebinde geschätzt ("&amp;T1739&amp;"); ",IF(CA1739=1,"Lose – Tablare geschätzt; ","")))&amp;IF(H1739&gt;AW1739,"Überbestand "&amp;ROUND(H1739-AW1739,0)&amp;" Stk / CHF "&amp;ROUND((H1739-AW1739)*G1739,0)&amp;"; ","")&amp;IF(AND(CI1739=1,CJ1739&lt;CK1739),"MAX &lt; MB+LG; ","")&amp;IF(AND(CQ1739&gt;0,CP1739*10&gt;CQ1739),"zu hoch für Tablar; ","")&amp;IF(AND(BW1739=0,OR(CI1739=1,AB1739&lt;&gt;"",U1739&lt;&gt;"",V1739&lt;&gt;"",AC1739&lt;&gt;"")),"manuell übersteuert; ","")&amp;IF(AND(CA1739=0,R1739=0),"Gebinde unbekannt / Stellmass fehlt; ","")&amp;IF(AND(CA1739=0,N(V1739)&lt;=0,N(Q1739)&lt;=0),"Menge pro Gebinde fehlt (Ist = 1 Gebinde); ","")&amp;BV1739)</f>
        <v>Kein Verbrauch; Überbestand 4 Stk / CHF 56; nur im Artikelstamm (Bestand 23.06.2026)</v>
      </c>
      <c r="BO1739" s="60"/>
      <c r="BP1739" s="60"/>
      <c r="BQ1739" s="67"/>
      <c r="BR1739" s="62" t="n">
        <v>5</v>
      </c>
      <c r="BS1739" s="62" t="n">
        <v>0</v>
      </c>
      <c r="BT1739" s="61" t="n">
        <v>0</v>
      </c>
      <c r="BU1739" s="62" t="n">
        <v>0</v>
      </c>
      <c r="BV1739" s="60" t="s">
        <v>2617</v>
      </c>
      <c r="BW1739" s="65" t="n">
        <v>0</v>
      </c>
      <c r="BX1739" s="65" t="n">
        <v>1739</v>
      </c>
      <c r="BY1739" s="60" t="str">
        <f aca="false">IF(U1739&lt;&gt;"",UPPER(TRIM(U1739)),IF(CB1739=1,UPPER(VLOOKUP(T1739,Parameter!$I$27:$K$29,2,0)),IF(P1739="","LOSE",P1739)))</f>
        <v>S22</v>
      </c>
      <c r="BZ1739" s="62" t="n">
        <f aca="false">IF(BY1739="LOSE",1,IF(N(V1739)&gt;0,V1739,IF(CB1739=1,MAX(1,N(VLOOKUP(T1739,Parameter!$I$27:$K$29,3,0)),H1739,N(N1739)),IF(N(Q1739)&gt;0,Q1739,MAX(1,H1739)))))</f>
        <v>5</v>
      </c>
      <c r="CA1739" s="65" t="n">
        <f aca="false">IF(BY1739="LOSE",1,0)</f>
        <v>0</v>
      </c>
      <c r="CB1739" s="65" t="n">
        <f aca="false">IF(AND(U1739="",OR(P1739="",P1739="LOSE"),T1739&lt;&gt;"",N(S1739)&lt;=0,ISNUMBER(MATCH(T1739,Parameter!$I$27:$I$29,0))),1,0)</f>
        <v>0</v>
      </c>
      <c r="CC1739" s="65" t="n">
        <f aca="false">IF(CR1739&gt;0,INDEX(Parameter!$H$5:$H$7,W1739)/INDEX(Parameter!$E$5:$E$7,W1739),IF(AND(CA1739=0,N(IFERROR(VLOOKUP(BY1739,'Gebinde-Kategorie'!$A$5:$N$45,14,0),0))&gt;0),VLOOKUP(BY1739,'Gebinde-Kategorie'!$A$5:$N$45,14,0)*10+Parameter!$M$23,Parameter!$M$24))</f>
        <v>155</v>
      </c>
      <c r="CD1739" s="60" t="str">
        <f aca="false">IF(AND(Parameter!$B$19="Ja",E1739&lt;&gt;"",ISNUMBER(MATCH(E1739,Parameter!$I$35:$I$52,0))),VLOOKUP(E1739,Parameter!$I$35:$J$52,2,0),IFERROR(VLOOKUP(D1739,Parameter!$A$35:$C$64,2,0),"Nein"))</f>
        <v>2+3</v>
      </c>
      <c r="CE1739" s="64" t="n">
        <f aca="false">IF(CA1739=0,0,IF(N(S1739)&gt;0,S1739,IFERROR(VLOOKUP(D1739,Parameter!$A$35:$C$64,3,0)+0,0)))</f>
        <v>0</v>
      </c>
      <c r="CF1739" s="60" t="n">
        <f aca="false">IF(AB1739&lt;&gt;"",AB1739,AA1739)</f>
        <v>1</v>
      </c>
      <c r="CG1739" s="60" t="str">
        <f aca="false">IF(OR(CF1739=1,CF1739=2,CF1739=3),IF(Parameter!$E$27="Ja","LIFT",IF(CF1739=1,"L1","L23")),IF(CF1739="Aussen","Aussen","-"))</f>
        <v>LIFT</v>
      </c>
      <c r="CH1739" s="71" t="n">
        <f aca="false">IF(N(AC1739)&gt;0,AC1739,0)</f>
        <v>0</v>
      </c>
      <c r="CI1739" s="65" t="n">
        <f aca="false">IF(ISNUMBER(AF1739),1,0)</f>
        <v>0</v>
      </c>
      <c r="CJ1739" s="62" t="n">
        <f aca="false">N(AF1739)</f>
        <v>0</v>
      </c>
      <c r="CK1739" s="62" t="n">
        <f aca="false">N(M1739)+N(N1739)</f>
        <v>1</v>
      </c>
      <c r="CL1739" s="62" t="n">
        <f aca="false">N(M1739)</f>
        <v>0</v>
      </c>
      <c r="CM1739" s="62" t="n">
        <f aca="false">N(N1739)</f>
        <v>1</v>
      </c>
      <c r="CN1739" s="62" t="n">
        <f aca="false">ROUNDUP(H1739/BZ1739,0)</f>
        <v>1</v>
      </c>
      <c r="CO1739" s="62" t="n">
        <f aca="false">ROUNDUP(CJ1739/BZ1739,0)</f>
        <v>0</v>
      </c>
      <c r="CP1739" s="65" t="n">
        <f aca="false">IF(CA1739=1,0,IFERROR(VLOOKUP(BY1739,'Gebinde-Kategorie'!$A$5:$N$45,5,0)+0,0))</f>
        <v>8</v>
      </c>
      <c r="CQ1739" s="65" t="n">
        <f aca="false">IFERROR(IF(OR(CF1739=1,CF1739=2,CF1739=3),N(INDEX(Parameter!$I$5:$I$7,CF1739)),0),0)</f>
        <v>0</v>
      </c>
      <c r="CR1739" s="64" t="n">
        <f aca="false">IF(AND(Parameter!$B$21="Ja",ISNUMBER(W1739),N(X1739)&gt;0),IFERROR(N(INDEX(Parameter!$L$5:$L$7,W1739))*INDEX(Parameter!$E$5:$E$7,W1739)*X1739/SUMIFS($X$7:$X$1843,$W$7:$W$1843,W1739),0),0)</f>
        <v>0</v>
      </c>
      <c r="CS1739" s="62" t="n">
        <f aca="false">IF(AND(OR(CG1739="L1",CG1739="L23",CG1739="LIFT"),H1739&gt;0),CC1739*IF(CR1739&gt;0,CR1739*MAX(1,H1739/X1739),IF(CA1739=1,CE1739,IF(R1739&gt;0,CN1739/R1739,0))/MAX(0.1,N(Parameter!$M$21))),"")</f>
        <v>1.10714285714286</v>
      </c>
      <c r="CT1739" s="64" t="n">
        <f aca="false">IF(CS1739="","",J1739/H1739)</f>
        <v>0</v>
      </c>
      <c r="CU1739" s="62" t="n">
        <f aca="false">IF(CS1739="","",H1739*G1739)</f>
        <v>70.5</v>
      </c>
      <c r="CV1739" s="63" t="n">
        <f aca="false">IF(CS1739="","",(CL1739+ROUNDUP(CL1739+MAX(CM1739,2*(J1739/MAX(0.1,N(Einkauf!$C$6))-CL1739)),0))/2)</f>
        <v>0.5</v>
      </c>
      <c r="CW1739" s="62" t="n">
        <f aca="false">IF(CS1739="","",MAX(0,H1739-CV1739)*G1739)</f>
        <v>63.45</v>
      </c>
      <c r="CX1739" s="62" t="n">
        <f aca="false">IF(CS1739="","",CS1739*MAX(0,1-CV1739/H1739))</f>
        <v>0.996428571428572</v>
      </c>
      <c r="CY1739" s="64" t="n">
        <f aca="false">IF(CS1739="","",PERCENTRANK($CS$7:$CS$1843,CS1739)+PERCENTRANK($CU$7:$CU$1843,CU1739)+1-PERCENTRANK($CT$7:$CT$1843,CT1739))</f>
        <v>1.2384</v>
      </c>
      <c r="CZ1739" s="72" t="n">
        <f aca="false">IF(CS1739="","",CHOOSE(MATCH(Einkauf!$C$5,Parameter!$G$23:$G$27,0),CY1739,CS1739,CU1739,-CT1739,CW1739)+ROW()/1000000000)</f>
        <v>1.238401739</v>
      </c>
    </row>
    <row r="1740" customFormat="false" ht="15" hidden="false" customHeight="false" outlineLevel="0" collapsed="false">
      <c r="A1740" s="60" t="s">
        <v>3050</v>
      </c>
      <c r="B1740" s="60" t="s">
        <v>3010</v>
      </c>
      <c r="C1740" s="60" t="s">
        <v>206</v>
      </c>
      <c r="D1740" s="60" t="s">
        <v>226</v>
      </c>
      <c r="E1740" s="60"/>
      <c r="F1740" s="60"/>
      <c r="G1740" s="61" t="n">
        <v>21.2</v>
      </c>
      <c r="H1740" s="62" t="n">
        <f aca="false">MAX(0,IF(AND(Parameter!$B$21="Ja",ISNUMBER(Y1740)),Y1740,IF(Parameter!$B$20="Jahresanfang 2025 + Export",BS1740+BR1740,BR1740)))</f>
        <v>10</v>
      </c>
      <c r="I1740" s="62" t="n">
        <f aca="false">H1740*G1740</f>
        <v>212</v>
      </c>
      <c r="J1740" s="62" t="n">
        <f aca="false">BU1740*Parameter!$B$18</f>
        <v>0</v>
      </c>
      <c r="K1740" s="63"/>
      <c r="L1740" s="64"/>
      <c r="M1740" s="62" t="n">
        <v>0</v>
      </c>
      <c r="N1740" s="62" t="n">
        <v>2</v>
      </c>
      <c r="O1740" s="65" t="n">
        <v>21</v>
      </c>
      <c r="P1740" s="60" t="s">
        <v>443</v>
      </c>
      <c r="Q1740" s="62" t="n">
        <v>5</v>
      </c>
      <c r="R1740" s="65" t="n">
        <f aca="false">IF(CA1740=1,0,IFERROR(VLOOKUP(BY1740,'Gebinde-Kategorie'!$A$5:$N$45,13,0)+0,0))</f>
        <v>280</v>
      </c>
      <c r="S1740" s="66"/>
      <c r="T1740" s="67"/>
      <c r="U1740" s="67"/>
      <c r="V1740" s="67"/>
      <c r="W1740" s="60"/>
      <c r="X1740" s="62"/>
      <c r="Y1740" s="62"/>
      <c r="Z1740" s="60" t="n">
        <v>1</v>
      </c>
      <c r="AA1740" s="60" t="n">
        <f aca="false">IF(A1740="","",IF(AND(Parameter!$B$21="Ja",ISNUMBER(W1740)),W1740,IF(AND(Parameter!$E$27="Ja",ISNUMBER(Z1740),CD1740&lt;&gt;"Nein"),Z1740,IF(CD1740="2+3",IF(ISNUMBER(SEARCH("grosser Artikel",BV1740)),2,IFERROR(VLOOKUP(BY1740,Parameter!$F$35:$G$64,2,0),2)),IF(OR(CD1740="Nein",CD1740=""),"-",CD1740)))))</f>
        <v>1</v>
      </c>
      <c r="AB1740" s="67"/>
      <c r="AC1740" s="68"/>
      <c r="AD1740" s="62" t="n">
        <f aca="false">AW1740</f>
        <v>2</v>
      </c>
      <c r="AE1740" s="62" t="n">
        <f aca="false">MAX(AW1740,H1740)</f>
        <v>10</v>
      </c>
      <c r="AF1740" s="69"/>
      <c r="AG1740" s="62" t="n">
        <f aca="false">IF(LEFT(Cockpit!$C$5,1)="A",H1740,IF(Parameter!$E$30="MAX-Bestand",IF(CI1740=1,CJ1740,IF(LEFT(Cockpit!$C$5,1)="B",AM1740,MAX(AM1740,H1740))),ROUNDUP(AK1740,0)))</f>
        <v>10</v>
      </c>
      <c r="AH1740" s="62" t="n">
        <f aca="false">IF(CA1740=1,0,ROUNDUP(AG1740/BZ1740,0))</f>
        <v>2</v>
      </c>
      <c r="AI1740" s="64" t="n">
        <f aca="false">IF(CR1740&gt;0,CR1740*MAX(1,AG1740/X1740),IF(CA1740=1,IF(AG1740&lt;=0,0,CE1740*MAX(1,IF(H1740&gt;0,AG1740/H1740,1))),IF(R1740&gt;0,AH1740/R1740,0))/MAX(0.1,N(Parameter!$M$21)))</f>
        <v>0.00714285714285714</v>
      </c>
      <c r="AJ1740" s="62" t="n">
        <f aca="false">AI1740*CC1740</f>
        <v>1.10714285714286</v>
      </c>
      <c r="AK1740" s="63" t="n">
        <f aca="false">IF(LEFT(Cockpit!$C$5,1)="A",H1740,IF(CI1740=1,(CL1740+CJ1740)/2,IF(LEFT(Cockpit!$C$5,1)="B",(CL1740+AM1740)/2,MAX((CL1740+AM1740)/2,H1740))))</f>
        <v>10</v>
      </c>
      <c r="AL1740" s="62" t="n">
        <f aca="false">AK1740*G1740</f>
        <v>212</v>
      </c>
      <c r="AM1740" s="62" t="n">
        <f aca="false">ROUNDUP(CL1740+MAX(CM1740,2*(J1740/IF(CH1740&gt;0,CH1740,MAX(0.1,N(Cockpit!$C$6)))-CL1740)),0)</f>
        <v>2</v>
      </c>
      <c r="AN1740" s="63" t="n">
        <f aca="false">IF(AJ1740&gt;0,J1740/AJ1740,-1)</f>
        <v>0</v>
      </c>
      <c r="AO1740" s="63" t="n">
        <f aca="false">IF(AND(OR(CG1740="L1",CG1740="L23",CG1740="LIFT"),AJ1740&gt;0),SUMIFS($AJ$7:$AJ$1843,$CG$7:$CG$1843,CG1740,$AN$7:$AN$1843,"&gt;"&amp;AN1740)+SUMIFS($AJ$7:$AJ$1843,$CG$7:$CG$1843,CG1740,$AN$7:$AN$1843,AN1740,$BX$7:$BX$1843,"&lt;="&amp;BX1740),"")</f>
        <v>32857.5467602078</v>
      </c>
      <c r="AP1740" s="70" t="n">
        <f aca="false">IF(AO1740="",0,MAX(0,MIN(1,(IF(CG1740="L1",Parameter!$H$5,IF(CG1740="L23",Parameter!$H$6+Parameter!$H$7,Parameter!$H$5+Parameter!$H$6+Parameter!$H$7))-(AO1740-AJ1740))/AJ1740)))</f>
        <v>1</v>
      </c>
      <c r="AQ1740" s="62" t="n">
        <f aca="false">IF(LEFT(Cockpit!$I$5,1)="A",H1740,IF(Parameter!$E$30="MAX-Bestand",IF(CI1740=1,CJ1740,IF(LEFT(Cockpit!$I$5,1)="B",AW1740,MAX(AW1740,H1740))),ROUNDUP(AU1740,0)))</f>
        <v>10</v>
      </c>
      <c r="AR1740" s="62" t="n">
        <f aca="false">IF(CA1740=1,0,ROUNDUP(AQ1740/BZ1740,0))</f>
        <v>2</v>
      </c>
      <c r="AS1740" s="64" t="n">
        <f aca="false">IF(CR1740&gt;0,CR1740*MAX(1,AQ1740/X1740),IF(CA1740=1,IF(AQ1740&lt;=0,0,CE1740*MAX(1,IF(H1740&gt;0,AQ1740/H1740,1))),IF(R1740&gt;0,AR1740/R1740,0))/MAX(0.1,N(Parameter!$M$21)))</f>
        <v>0.00714285714285714</v>
      </c>
      <c r="AT1740" s="62" t="n">
        <f aca="false">AS1740*CC1740</f>
        <v>1.10714285714286</v>
      </c>
      <c r="AU1740" s="63" t="n">
        <f aca="false">IF(LEFT(Cockpit!$I$5,1)="A",H1740,IF(CI1740=1,(CL1740+CJ1740)/2,IF(LEFT(Cockpit!$I$5,1)="B",(CL1740+AW1740)/2,MAX((CL1740+AW1740)/2,H1740))))</f>
        <v>10</v>
      </c>
      <c r="AV1740" s="62" t="n">
        <f aca="false">AU1740*G1740</f>
        <v>212</v>
      </c>
      <c r="AW1740" s="62" t="n">
        <f aca="false">ROUNDUP(CL1740+MAX(CM1740,2*(J1740/IF(CH1740&gt;0,CH1740,MAX(0.1,N(Cockpit!$I$6)))-CL1740)),0)</f>
        <v>2</v>
      </c>
      <c r="AX1740" s="63" t="n">
        <f aca="false">IF(AT1740&gt;0,J1740/AT1740,-1)</f>
        <v>0</v>
      </c>
      <c r="AY1740" s="63" t="n">
        <f aca="false">IF(AND(OR(CG1740="L1",CG1740="L23",CG1740="LIFT"),AT1740&gt;0),SUMIFS($AT$7:$AT$1843,$CG$7:$CG$1843,CG1740,$AX$7:$AX$1843,"&gt;"&amp;AX1740)+SUMIFS($AT$7:$AT$1843,$CG$7:$CG$1843,CG1740,$AX$7:$AX$1843,AX1740,$BX$7:$BX$1843,"&lt;="&amp;BX1740),"")</f>
        <v>39331.4557050765</v>
      </c>
      <c r="AZ1740" s="70" t="n">
        <f aca="false">IF(AY1740="",0,MAX(0,MIN(1,(IF(CG1740="L1",Parameter!$H$5,IF(CG1740="L23",Parameter!$H$6+Parameter!$H$7,Parameter!$H$5+Parameter!$H$6+Parameter!$H$7))-(AY1740-AT1740))/AT1740)))</f>
        <v>0</v>
      </c>
      <c r="BA1740" s="62" t="n">
        <f aca="false">IF(LEFT(Cockpit!$O$5,1)="A",H1740,IF(Parameter!$E$30="MAX-Bestand",IF(CI1740=1,CJ1740,IF(LEFT(Cockpit!$O$5,1)="B",BG1740,MAX(BG1740,H1740))),ROUNDUP(BE1740,0)))</f>
        <v>1</v>
      </c>
      <c r="BB1740" s="62" t="n">
        <f aca="false">IF(CA1740=1,0,ROUNDUP(BA1740/BZ1740,0))</f>
        <v>1</v>
      </c>
      <c r="BC1740" s="64" t="n">
        <f aca="false">IF(CR1740&gt;0,CR1740*MAX(1,BA1740/X1740),IF(CA1740=1,IF(BA1740&lt;=0,0,CE1740*MAX(1,IF(H1740&gt;0,BA1740/H1740,1))),IF(R1740&gt;0,BB1740/R1740,0))/MAX(0.1,N(Parameter!$M$21)))</f>
        <v>0.00357142857142857</v>
      </c>
      <c r="BD1740" s="62" t="n">
        <f aca="false">BC1740*CC1740</f>
        <v>0.553571428571429</v>
      </c>
      <c r="BE1740" s="63" t="n">
        <f aca="false">IF(LEFT(Cockpit!$O$5,1)="A",H1740,IF(CI1740=1,(CL1740+CJ1740)/2,IF(LEFT(Cockpit!$O$5,1)="B",(CL1740+BG1740)/2,MAX((CL1740+BG1740)/2,H1740))))</f>
        <v>1</v>
      </c>
      <c r="BF1740" s="62" t="n">
        <f aca="false">BE1740*G1740</f>
        <v>21.2</v>
      </c>
      <c r="BG1740" s="62" t="n">
        <f aca="false">ROUNDUP(CL1740+MAX(CM1740,2*(J1740/IF(CH1740&gt;0,CH1740,MAX(0.1,N(Cockpit!$O$6)))-CL1740)),0)</f>
        <v>2</v>
      </c>
      <c r="BH1740" s="63" t="n">
        <f aca="false">IF(BD1740&gt;0,J1740/BD1740,-1)</f>
        <v>0</v>
      </c>
      <c r="BI1740" s="63" t="n">
        <f aca="false">IF(AND(OR(CG1740="L1",CG1740="L23",CG1740="LIFT"),BD1740&gt;0),SUMIFS($BD$7:$BD$1843,$CG$7:$CG$1843,CG1740,$BH$7:$BH$1843,"&gt;"&amp;BH1740)+SUMIFS($BD$7:$BD$1843,$CG$7:$CG$1843,CG1740,$BH$7:$BH$1843,BH1740,$BX$7:$BX$1843,"&lt;="&amp;BX1740),"")</f>
        <v>32558.4803139422</v>
      </c>
      <c r="BJ1740" s="70" t="n">
        <f aca="false">IF(BI1740="",0,MAX(0,MIN(1,(IF(CG1740="L1",Parameter!$H$5,IF(CG1740="L23",Parameter!$H$6+Parameter!$H$7,Parameter!$H$5+Parameter!$H$6+Parameter!$H$7))-(BI1740-BD1740))/BD1740)))</f>
        <v>1</v>
      </c>
      <c r="BK1740" s="60" t="str">
        <f aca="false">IF(AJ1740&lt;=0,"",IF(CG1740="Aussen","Aussenlager",IF(CG1740="-","Nicht im Lift",IF(AP1740&gt;=1,"Lift",IF(AP1740&lt;=0,"Aussenlager","teilweise")))))</f>
        <v>Lift</v>
      </c>
      <c r="BL1740" s="60" t="str">
        <f aca="false">IF(AT1740&lt;=0,"",IF(CG1740="Aussen","Aussenlager",IF(CG1740="-","Nicht im Lift",IF(AZ1740&gt;=1,"Lift",IF(AZ1740&lt;=0,"Aussenlager","teilweise")))))</f>
        <v>Aussenlager</v>
      </c>
      <c r="BM1740" s="60" t="str">
        <f aca="false">IF(BD1740&lt;=0,"",IF(CG1740="Aussen","Aussenlager",IF(CG1740="-","Nicht im Lift",IF(BJ1740&gt;=1,"Lift",IF(BJ1740&lt;=0,"Aussenlager","teilweise")))))</f>
        <v>Lift</v>
      </c>
      <c r="BN1740" s="60" t="str">
        <f aca="false">IF(A1740="","",IF(BW1740=1,"Neu; ","")&amp;IF(AND(BW1740=0,BR1740&lt;0),"negativer Bestand (Export "&amp;BR1740&amp;"); ","")&amp;IF(J1740&lt;=0,"Kein Verbrauch; ","")&amp;IF(CR1740&gt;0,"Lift "&amp;W1740&amp;" lt. Liftbericht (Fach "&amp;X1740&amp;" Stk); ",IF(CB1740=1,"Gebinde geschätzt ("&amp;T1740&amp;"); ",IF(CA1740=1,"Lose – Tablare geschätzt; ","")))&amp;IF(H1740&gt;AW1740,"Überbestand "&amp;ROUND(H1740-AW1740,0)&amp;" Stk / CHF "&amp;ROUND((H1740-AW1740)*G1740,0)&amp;"; ","")&amp;IF(AND(CI1740=1,CJ1740&lt;CK1740),"MAX &lt; MB+LG; ","")&amp;IF(AND(CQ1740&gt;0,CP1740*10&gt;CQ1740),"zu hoch für Tablar; ","")&amp;IF(AND(BW1740=0,OR(CI1740=1,AB1740&lt;&gt;"",U1740&lt;&gt;"",V1740&lt;&gt;"",AC1740&lt;&gt;"")),"manuell übersteuert; ","")&amp;IF(AND(CA1740=0,R1740=0),"Gebinde unbekannt / Stellmass fehlt; ","")&amp;IF(AND(CA1740=0,N(V1740)&lt;=0,N(Q1740)&lt;=0),"Menge pro Gebinde fehlt (Ist = 1 Gebinde); ","")&amp;BV1740)</f>
        <v>Kein Verbrauch; Überbestand 8 Stk / CHF 170; nur im Artikelstamm (Bestand 23.06.2026); Neuer Art.</v>
      </c>
      <c r="BO1740" s="60"/>
      <c r="BP1740" s="60"/>
      <c r="BQ1740" s="67"/>
      <c r="BR1740" s="62" t="n">
        <v>10</v>
      </c>
      <c r="BS1740" s="62" t="n">
        <v>0</v>
      </c>
      <c r="BT1740" s="61" t="n">
        <v>0</v>
      </c>
      <c r="BU1740" s="62" t="n">
        <v>0</v>
      </c>
      <c r="BV1740" s="60" t="s">
        <v>2915</v>
      </c>
      <c r="BW1740" s="65" t="n">
        <v>0</v>
      </c>
      <c r="BX1740" s="65" t="n">
        <v>1740</v>
      </c>
      <c r="BY1740" s="60" t="str">
        <f aca="false">IF(U1740&lt;&gt;"",UPPER(TRIM(U1740)),IF(CB1740=1,UPPER(VLOOKUP(T1740,Parameter!$I$27:$K$29,2,0)),IF(P1740="","LOSE",P1740)))</f>
        <v>S21</v>
      </c>
      <c r="BZ1740" s="62" t="n">
        <f aca="false">IF(BY1740="LOSE",1,IF(N(V1740)&gt;0,V1740,IF(CB1740=1,MAX(1,N(VLOOKUP(T1740,Parameter!$I$27:$K$29,3,0)),H1740,N(N1740)),IF(N(Q1740)&gt;0,Q1740,MAX(1,H1740)))))</f>
        <v>5</v>
      </c>
      <c r="CA1740" s="65" t="n">
        <f aca="false">IF(BY1740="LOSE",1,0)</f>
        <v>0</v>
      </c>
      <c r="CB1740" s="65" t="n">
        <f aca="false">IF(AND(U1740="",OR(P1740="",P1740="LOSE"),T1740&lt;&gt;"",N(S1740)&lt;=0,ISNUMBER(MATCH(T1740,Parameter!$I$27:$I$29,0))),1,0)</f>
        <v>0</v>
      </c>
      <c r="CC1740" s="65" t="n">
        <f aca="false">IF(CR1740&gt;0,INDEX(Parameter!$H$5:$H$7,W1740)/INDEX(Parameter!$E$5:$E$7,W1740),IF(AND(CA1740=0,N(IFERROR(VLOOKUP(BY1740,'Gebinde-Kategorie'!$A$5:$N$45,14,0),0))&gt;0),VLOOKUP(BY1740,'Gebinde-Kategorie'!$A$5:$N$45,14,0)*10+Parameter!$M$23,Parameter!$M$24))</f>
        <v>155</v>
      </c>
      <c r="CD1740" s="60" t="str">
        <f aca="false">IF(AND(Parameter!$B$19="Ja",E1740&lt;&gt;"",ISNUMBER(MATCH(E1740,Parameter!$I$35:$I$52,0))),VLOOKUP(E1740,Parameter!$I$35:$J$52,2,0),IFERROR(VLOOKUP(D1740,Parameter!$A$35:$C$64,2,0),"Nein"))</f>
        <v>2+3</v>
      </c>
      <c r="CE1740" s="64" t="n">
        <f aca="false">IF(CA1740=0,0,IF(N(S1740)&gt;0,S1740,IFERROR(VLOOKUP(D1740,Parameter!$A$35:$C$64,3,0)+0,0)))</f>
        <v>0</v>
      </c>
      <c r="CF1740" s="60" t="n">
        <f aca="false">IF(AB1740&lt;&gt;"",AB1740,AA1740)</f>
        <v>1</v>
      </c>
      <c r="CG1740" s="60" t="str">
        <f aca="false">IF(OR(CF1740=1,CF1740=2,CF1740=3),IF(Parameter!$E$27="Ja","LIFT",IF(CF1740=1,"L1","L23")),IF(CF1740="Aussen","Aussen","-"))</f>
        <v>LIFT</v>
      </c>
      <c r="CH1740" s="71" t="n">
        <f aca="false">IF(N(AC1740)&gt;0,AC1740,0)</f>
        <v>0</v>
      </c>
      <c r="CI1740" s="65" t="n">
        <f aca="false">IF(ISNUMBER(AF1740),1,0)</f>
        <v>0</v>
      </c>
      <c r="CJ1740" s="62" t="n">
        <f aca="false">N(AF1740)</f>
        <v>0</v>
      </c>
      <c r="CK1740" s="62" t="n">
        <f aca="false">N(M1740)+N(N1740)</f>
        <v>2</v>
      </c>
      <c r="CL1740" s="62" t="n">
        <f aca="false">N(M1740)</f>
        <v>0</v>
      </c>
      <c r="CM1740" s="62" t="n">
        <f aca="false">N(N1740)</f>
        <v>2</v>
      </c>
      <c r="CN1740" s="62" t="n">
        <f aca="false">ROUNDUP(H1740/BZ1740,0)</f>
        <v>2</v>
      </c>
      <c r="CO1740" s="62" t="n">
        <f aca="false">ROUNDUP(CJ1740/BZ1740,0)</f>
        <v>0</v>
      </c>
      <c r="CP1740" s="65" t="n">
        <f aca="false">IF(CA1740=1,0,IFERROR(VLOOKUP(BY1740,'Gebinde-Kategorie'!$A$5:$N$45,5,0)+0,0))</f>
        <v>8</v>
      </c>
      <c r="CQ1740" s="65" t="n">
        <f aca="false">IFERROR(IF(OR(CF1740=1,CF1740=2,CF1740=3),N(INDEX(Parameter!$I$5:$I$7,CF1740)),0),0)</f>
        <v>0</v>
      </c>
      <c r="CR1740" s="64" t="n">
        <f aca="false">IF(AND(Parameter!$B$21="Ja",ISNUMBER(W1740),N(X1740)&gt;0),IFERROR(N(INDEX(Parameter!$L$5:$L$7,W1740))*INDEX(Parameter!$E$5:$E$7,W1740)*X1740/SUMIFS($X$7:$X$1843,$W$7:$W$1843,W1740),0),0)</f>
        <v>0</v>
      </c>
      <c r="CS1740" s="62" t="n">
        <f aca="false">IF(AND(OR(CG1740="L1",CG1740="L23",CG1740="LIFT"),H1740&gt;0),CC1740*IF(CR1740&gt;0,CR1740*MAX(1,H1740/X1740),IF(CA1740=1,CE1740,IF(R1740&gt;0,CN1740/R1740,0))/MAX(0.1,N(Parameter!$M$21))),"")</f>
        <v>1.10714285714286</v>
      </c>
      <c r="CT1740" s="64" t="n">
        <f aca="false">IF(CS1740="","",J1740/H1740)</f>
        <v>0</v>
      </c>
      <c r="CU1740" s="62" t="n">
        <f aca="false">IF(CS1740="","",H1740*G1740)</f>
        <v>212</v>
      </c>
      <c r="CV1740" s="63" t="n">
        <f aca="false">IF(CS1740="","",(CL1740+ROUNDUP(CL1740+MAX(CM1740,2*(J1740/MAX(0.1,N(Einkauf!$C$6))-CL1740)),0))/2)</f>
        <v>1</v>
      </c>
      <c r="CW1740" s="62" t="n">
        <f aca="false">IF(CS1740="","",MAX(0,H1740-CV1740)*G1740)</f>
        <v>190.8</v>
      </c>
      <c r="CX1740" s="62" t="n">
        <f aca="false">IF(CS1740="","",CS1740*MAX(0,1-CV1740/H1740))</f>
        <v>0.996428571428572</v>
      </c>
      <c r="CY1740" s="64" t="n">
        <f aca="false">IF(CS1740="","",PERCENTRANK($CS$7:$CS$1843,CS1740)+PERCENTRANK($CU$7:$CU$1843,CU1740)+1-PERCENTRANK($CT$7:$CT$1843,CT1740))</f>
        <v>1.4054</v>
      </c>
      <c r="CZ1740" s="72" t="n">
        <f aca="false">IF(CS1740="","",CHOOSE(MATCH(Einkauf!$C$5,Parameter!$G$23:$G$27,0),CY1740,CS1740,CU1740,-CT1740,CW1740)+ROW()/1000000000)</f>
        <v>1.40540174</v>
      </c>
    </row>
    <row r="1741" customFormat="false" ht="15" hidden="false" customHeight="false" outlineLevel="0" collapsed="false">
      <c r="A1741" s="60" t="s">
        <v>3051</v>
      </c>
      <c r="B1741" s="60" t="s">
        <v>3052</v>
      </c>
      <c r="C1741" s="60" t="s">
        <v>206</v>
      </c>
      <c r="D1741" s="60" t="s">
        <v>226</v>
      </c>
      <c r="E1741" s="60"/>
      <c r="F1741" s="60"/>
      <c r="G1741" s="61" t="n">
        <v>124</v>
      </c>
      <c r="H1741" s="62" t="n">
        <f aca="false">MAX(0,IF(AND(Parameter!$B$21="Ja",ISNUMBER(Y1741)),Y1741,IF(Parameter!$B$20="Jahresanfang 2025 + Export",BS1741+BR1741,BR1741)))</f>
        <v>4</v>
      </c>
      <c r="I1741" s="62" t="n">
        <f aca="false">H1741*G1741</f>
        <v>496</v>
      </c>
      <c r="J1741" s="62" t="n">
        <f aca="false">BU1741*Parameter!$B$18</f>
        <v>0</v>
      </c>
      <c r="K1741" s="63"/>
      <c r="L1741" s="64"/>
      <c r="M1741" s="62" t="n">
        <v>0</v>
      </c>
      <c r="N1741" s="62" t="n">
        <v>5</v>
      </c>
      <c r="O1741" s="65" t="n">
        <v>49</v>
      </c>
      <c r="P1741" s="60" t="s">
        <v>468</v>
      </c>
      <c r="Q1741" s="62" t="n">
        <v>4</v>
      </c>
      <c r="R1741" s="65" t="n">
        <f aca="false">IF(CA1741=1,0,IFERROR(VLOOKUP(BY1741,'Gebinde-Kategorie'!$A$5:$N$45,13,0)+0,0))</f>
        <v>140</v>
      </c>
      <c r="S1741" s="66"/>
      <c r="T1741" s="67"/>
      <c r="U1741" s="67"/>
      <c r="V1741" s="67"/>
      <c r="W1741" s="60"/>
      <c r="X1741" s="62"/>
      <c r="Y1741" s="62"/>
      <c r="Z1741" s="60" t="n">
        <v>1</v>
      </c>
      <c r="AA1741" s="60" t="n">
        <f aca="false">IF(A1741="","",IF(AND(Parameter!$B$21="Ja",ISNUMBER(W1741)),W1741,IF(AND(Parameter!$E$27="Ja",ISNUMBER(Z1741),CD1741&lt;&gt;"Nein"),Z1741,IF(CD1741="2+3",IF(ISNUMBER(SEARCH("grosser Artikel",BV1741)),2,IFERROR(VLOOKUP(BY1741,Parameter!$F$35:$G$64,2,0),2)),IF(OR(CD1741="Nein",CD1741=""),"-",CD1741)))))</f>
        <v>1</v>
      </c>
      <c r="AB1741" s="67"/>
      <c r="AC1741" s="68"/>
      <c r="AD1741" s="62" t="n">
        <f aca="false">AW1741</f>
        <v>5</v>
      </c>
      <c r="AE1741" s="62" t="n">
        <f aca="false">MAX(AW1741,H1741)</f>
        <v>5</v>
      </c>
      <c r="AF1741" s="69"/>
      <c r="AG1741" s="62" t="n">
        <f aca="false">IF(LEFT(Cockpit!$C$5,1)="A",H1741,IF(Parameter!$E$30="MAX-Bestand",IF(CI1741=1,CJ1741,IF(LEFT(Cockpit!$C$5,1)="B",AM1741,MAX(AM1741,H1741))),ROUNDUP(AK1741,0)))</f>
        <v>4</v>
      </c>
      <c r="AH1741" s="62" t="n">
        <f aca="false">IF(CA1741=1,0,ROUNDUP(AG1741/BZ1741,0))</f>
        <v>1</v>
      </c>
      <c r="AI1741" s="64" t="n">
        <f aca="false">IF(CR1741&gt;0,CR1741*MAX(1,AG1741/X1741),IF(CA1741=1,IF(AG1741&lt;=0,0,CE1741*MAX(1,IF(H1741&gt;0,AG1741/H1741,1))),IF(R1741&gt;0,AH1741/R1741,0))/MAX(0.1,N(Parameter!$M$21)))</f>
        <v>0.00714285714285714</v>
      </c>
      <c r="AJ1741" s="62" t="n">
        <f aca="false">AI1741*CC1741</f>
        <v>1.10714285714286</v>
      </c>
      <c r="AK1741" s="63" t="n">
        <f aca="false">IF(LEFT(Cockpit!$C$5,1)="A",H1741,IF(CI1741=1,(CL1741+CJ1741)/2,IF(LEFT(Cockpit!$C$5,1)="B",(CL1741+AM1741)/2,MAX((CL1741+AM1741)/2,H1741))))</f>
        <v>4</v>
      </c>
      <c r="AL1741" s="62" t="n">
        <f aca="false">AK1741*G1741</f>
        <v>496</v>
      </c>
      <c r="AM1741" s="62" t="n">
        <f aca="false">ROUNDUP(CL1741+MAX(CM1741,2*(J1741/IF(CH1741&gt;0,CH1741,MAX(0.1,N(Cockpit!$C$6)))-CL1741)),0)</f>
        <v>5</v>
      </c>
      <c r="AN1741" s="63" t="n">
        <f aca="false">IF(AJ1741&gt;0,J1741/AJ1741,-1)</f>
        <v>0</v>
      </c>
      <c r="AO1741" s="63" t="n">
        <f aca="false">IF(AND(OR(CG1741="L1",CG1741="L23",CG1741="LIFT"),AJ1741&gt;0),SUMIFS($AJ$7:$AJ$1843,$CG$7:$CG$1843,CG1741,$AN$7:$AN$1843,"&gt;"&amp;AN1741)+SUMIFS($AJ$7:$AJ$1843,$CG$7:$CG$1843,CG1741,$AN$7:$AN$1843,AN1741,$BX$7:$BX$1843,"&lt;="&amp;BX1741),"")</f>
        <v>32858.6539030649</v>
      </c>
      <c r="AP1741" s="70" t="n">
        <f aca="false">IF(AO1741="",0,MAX(0,MIN(1,(IF(CG1741="L1",Parameter!$H$5,IF(CG1741="L23",Parameter!$H$6+Parameter!$H$7,Parameter!$H$5+Parameter!$H$6+Parameter!$H$7))-(AO1741-AJ1741))/AJ1741)))</f>
        <v>1</v>
      </c>
      <c r="AQ1741" s="62" t="n">
        <f aca="false">IF(LEFT(Cockpit!$I$5,1)="A",H1741,IF(Parameter!$E$30="MAX-Bestand",IF(CI1741=1,CJ1741,IF(LEFT(Cockpit!$I$5,1)="B",AW1741,MAX(AW1741,H1741))),ROUNDUP(AU1741,0)))</f>
        <v>4</v>
      </c>
      <c r="AR1741" s="62" t="n">
        <f aca="false">IF(CA1741=1,0,ROUNDUP(AQ1741/BZ1741,0))</f>
        <v>1</v>
      </c>
      <c r="AS1741" s="64" t="n">
        <f aca="false">IF(CR1741&gt;0,CR1741*MAX(1,AQ1741/X1741),IF(CA1741=1,IF(AQ1741&lt;=0,0,CE1741*MAX(1,IF(H1741&gt;0,AQ1741/H1741,1))),IF(R1741&gt;0,AR1741/R1741,0))/MAX(0.1,N(Parameter!$M$21)))</f>
        <v>0.00714285714285714</v>
      </c>
      <c r="AT1741" s="62" t="n">
        <f aca="false">AS1741*CC1741</f>
        <v>1.10714285714286</v>
      </c>
      <c r="AU1741" s="63" t="n">
        <f aca="false">IF(LEFT(Cockpit!$I$5,1)="A",H1741,IF(CI1741=1,(CL1741+CJ1741)/2,IF(LEFT(Cockpit!$I$5,1)="B",(CL1741+AW1741)/2,MAX((CL1741+AW1741)/2,H1741))))</f>
        <v>4</v>
      </c>
      <c r="AV1741" s="62" t="n">
        <f aca="false">AU1741*G1741</f>
        <v>496</v>
      </c>
      <c r="AW1741" s="62" t="n">
        <f aca="false">ROUNDUP(CL1741+MAX(CM1741,2*(J1741/IF(CH1741&gt;0,CH1741,MAX(0.1,N(Cockpit!$I$6)))-CL1741)),0)</f>
        <v>5</v>
      </c>
      <c r="AX1741" s="63" t="n">
        <f aca="false">IF(AT1741&gt;0,J1741/AT1741,-1)</f>
        <v>0</v>
      </c>
      <c r="AY1741" s="63" t="n">
        <f aca="false">IF(AND(OR(CG1741="L1",CG1741="L23",CG1741="LIFT"),AT1741&gt;0),SUMIFS($AT$7:$AT$1843,$CG$7:$CG$1843,CG1741,$AX$7:$AX$1843,"&gt;"&amp;AX1741)+SUMIFS($AT$7:$AT$1843,$CG$7:$CG$1843,CG1741,$AX$7:$AX$1843,AX1741,$BX$7:$BX$1843,"&lt;="&amp;BX1741),"")</f>
        <v>39332.5628479336</v>
      </c>
      <c r="AZ1741" s="70" t="n">
        <f aca="false">IF(AY1741="",0,MAX(0,MIN(1,(IF(CG1741="L1",Parameter!$H$5,IF(CG1741="L23",Parameter!$H$6+Parameter!$H$7,Parameter!$H$5+Parameter!$H$6+Parameter!$H$7))-(AY1741-AT1741))/AT1741)))</f>
        <v>0</v>
      </c>
      <c r="BA1741" s="62" t="n">
        <f aca="false">IF(LEFT(Cockpit!$O$5,1)="A",H1741,IF(Parameter!$E$30="MAX-Bestand",IF(CI1741=1,CJ1741,IF(LEFT(Cockpit!$O$5,1)="B",BG1741,MAX(BG1741,H1741))),ROUNDUP(BE1741,0)))</f>
        <v>3</v>
      </c>
      <c r="BB1741" s="62" t="n">
        <f aca="false">IF(CA1741=1,0,ROUNDUP(BA1741/BZ1741,0))</f>
        <v>1</v>
      </c>
      <c r="BC1741" s="64" t="n">
        <f aca="false">IF(CR1741&gt;0,CR1741*MAX(1,BA1741/X1741),IF(CA1741=1,IF(BA1741&lt;=0,0,CE1741*MAX(1,IF(H1741&gt;0,BA1741/H1741,1))),IF(R1741&gt;0,BB1741/R1741,0))/MAX(0.1,N(Parameter!$M$21)))</f>
        <v>0.00714285714285714</v>
      </c>
      <c r="BD1741" s="62" t="n">
        <f aca="false">BC1741*CC1741</f>
        <v>1.10714285714286</v>
      </c>
      <c r="BE1741" s="63" t="n">
        <f aca="false">IF(LEFT(Cockpit!$O$5,1)="A",H1741,IF(CI1741=1,(CL1741+CJ1741)/2,IF(LEFT(Cockpit!$O$5,1)="B",(CL1741+BG1741)/2,MAX((CL1741+BG1741)/2,H1741))))</f>
        <v>2.5</v>
      </c>
      <c r="BF1741" s="62" t="n">
        <f aca="false">BE1741*G1741</f>
        <v>310</v>
      </c>
      <c r="BG1741" s="62" t="n">
        <f aca="false">ROUNDUP(CL1741+MAX(CM1741,2*(J1741/IF(CH1741&gt;0,CH1741,MAX(0.1,N(Cockpit!$O$6)))-CL1741)),0)</f>
        <v>5</v>
      </c>
      <c r="BH1741" s="63" t="n">
        <f aca="false">IF(BD1741&gt;0,J1741/BD1741,-1)</f>
        <v>0</v>
      </c>
      <c r="BI1741" s="63" t="n">
        <f aca="false">IF(AND(OR(CG1741="L1",CG1741="L23",CG1741="LIFT"),BD1741&gt;0),SUMIFS($BD$7:$BD$1843,$CG$7:$CG$1843,CG1741,$BH$7:$BH$1843,"&gt;"&amp;BH1741)+SUMIFS($BD$7:$BD$1843,$CG$7:$CG$1843,CG1741,$BH$7:$BH$1843,BH1741,$BX$7:$BX$1843,"&lt;="&amp;BX1741),"")</f>
        <v>32559.5874567993</v>
      </c>
      <c r="BJ1741" s="70" t="n">
        <f aca="false">IF(BI1741="",0,MAX(0,MIN(1,(IF(CG1741="L1",Parameter!$H$5,IF(CG1741="L23",Parameter!$H$6+Parameter!$H$7,Parameter!$H$5+Parameter!$H$6+Parameter!$H$7))-(BI1741-BD1741))/BD1741)))</f>
        <v>1</v>
      </c>
      <c r="BK1741" s="60" t="str">
        <f aca="false">IF(AJ1741&lt;=0,"",IF(CG1741="Aussen","Aussenlager",IF(CG1741="-","Nicht im Lift",IF(AP1741&gt;=1,"Lift",IF(AP1741&lt;=0,"Aussenlager","teilweise")))))</f>
        <v>Lift</v>
      </c>
      <c r="BL1741" s="60" t="str">
        <f aca="false">IF(AT1741&lt;=0,"",IF(CG1741="Aussen","Aussenlager",IF(CG1741="-","Nicht im Lift",IF(AZ1741&gt;=1,"Lift",IF(AZ1741&lt;=0,"Aussenlager","teilweise")))))</f>
        <v>Aussenlager</v>
      </c>
      <c r="BM1741" s="60" t="str">
        <f aca="false">IF(BD1741&lt;=0,"",IF(CG1741="Aussen","Aussenlager",IF(CG1741="-","Nicht im Lift",IF(BJ1741&gt;=1,"Lift",IF(BJ1741&lt;=0,"Aussenlager","teilweise")))))</f>
        <v>Lift</v>
      </c>
      <c r="BN1741" s="60" t="str">
        <f aca="false">IF(A1741="","",IF(BW1741=1,"Neu; ","")&amp;IF(AND(BW1741=0,BR1741&lt;0),"negativer Bestand (Export "&amp;BR1741&amp;"); ","")&amp;IF(J1741&lt;=0,"Kein Verbrauch; ","")&amp;IF(CR1741&gt;0,"Lift "&amp;W1741&amp;" lt. Liftbericht (Fach "&amp;X1741&amp;" Stk); ",IF(CB1741=1,"Gebinde geschätzt ("&amp;T1741&amp;"); ",IF(CA1741=1,"Lose – Tablare geschätzt; ","")))&amp;IF(H1741&gt;AW1741,"Überbestand "&amp;ROUND(H1741-AW1741,0)&amp;" Stk / CHF "&amp;ROUND((H1741-AW1741)*G1741,0)&amp;"; ","")&amp;IF(AND(CI1741=1,CJ1741&lt;CK1741),"MAX &lt; MB+LG; ","")&amp;IF(AND(CQ1741&gt;0,CP1741*10&gt;CQ1741),"zu hoch für Tablar; ","")&amp;IF(AND(BW1741=0,OR(CI1741=1,AB1741&lt;&gt;"",U1741&lt;&gt;"",V1741&lt;&gt;"",AC1741&lt;&gt;"")),"manuell übersteuert; ","")&amp;IF(AND(CA1741=0,R1741=0),"Gebinde unbekannt / Stellmass fehlt; ","")&amp;IF(AND(CA1741=0,N(V1741)&lt;=0,N(Q1741)&lt;=0),"Menge pro Gebinde fehlt (Ist = 1 Gebinde); ","")&amp;BV1741)</f>
        <v>Kein Verbrauch; nur im Artikelstamm (Bestand 23.06.2026); Neuer Art.</v>
      </c>
      <c r="BO1741" s="60"/>
      <c r="BP1741" s="60"/>
      <c r="BQ1741" s="67"/>
      <c r="BR1741" s="62" t="n">
        <v>4</v>
      </c>
      <c r="BS1741" s="62" t="n">
        <v>0</v>
      </c>
      <c r="BT1741" s="61" t="n">
        <v>0</v>
      </c>
      <c r="BU1741" s="62" t="n">
        <v>0</v>
      </c>
      <c r="BV1741" s="60" t="s">
        <v>2915</v>
      </c>
      <c r="BW1741" s="65" t="n">
        <v>0</v>
      </c>
      <c r="BX1741" s="65" t="n">
        <v>1741</v>
      </c>
      <c r="BY1741" s="60" t="str">
        <f aca="false">IF(U1741&lt;&gt;"",UPPER(TRIM(U1741)),IF(CB1741=1,UPPER(VLOOKUP(T1741,Parameter!$I$27:$K$29,2,0)),IF(P1741="","LOSE",P1741)))</f>
        <v>S22</v>
      </c>
      <c r="BZ1741" s="62" t="n">
        <f aca="false">IF(BY1741="LOSE",1,IF(N(V1741)&gt;0,V1741,IF(CB1741=1,MAX(1,N(VLOOKUP(T1741,Parameter!$I$27:$K$29,3,0)),H1741,N(N1741)),IF(N(Q1741)&gt;0,Q1741,MAX(1,H1741)))))</f>
        <v>4</v>
      </c>
      <c r="CA1741" s="65" t="n">
        <f aca="false">IF(BY1741="LOSE",1,0)</f>
        <v>0</v>
      </c>
      <c r="CB1741" s="65" t="n">
        <f aca="false">IF(AND(U1741="",OR(P1741="",P1741="LOSE"),T1741&lt;&gt;"",N(S1741)&lt;=0,ISNUMBER(MATCH(T1741,Parameter!$I$27:$I$29,0))),1,0)</f>
        <v>0</v>
      </c>
      <c r="CC1741" s="65" t="n">
        <f aca="false">IF(CR1741&gt;0,INDEX(Parameter!$H$5:$H$7,W1741)/INDEX(Parameter!$E$5:$E$7,W1741),IF(AND(CA1741=0,N(IFERROR(VLOOKUP(BY1741,'Gebinde-Kategorie'!$A$5:$N$45,14,0),0))&gt;0),VLOOKUP(BY1741,'Gebinde-Kategorie'!$A$5:$N$45,14,0)*10+Parameter!$M$23,Parameter!$M$24))</f>
        <v>155</v>
      </c>
      <c r="CD1741" s="60" t="str">
        <f aca="false">IF(AND(Parameter!$B$19="Ja",E1741&lt;&gt;"",ISNUMBER(MATCH(E1741,Parameter!$I$35:$I$52,0))),VLOOKUP(E1741,Parameter!$I$35:$J$52,2,0),IFERROR(VLOOKUP(D1741,Parameter!$A$35:$C$64,2,0),"Nein"))</f>
        <v>2+3</v>
      </c>
      <c r="CE1741" s="64" t="n">
        <f aca="false">IF(CA1741=0,0,IF(N(S1741)&gt;0,S1741,IFERROR(VLOOKUP(D1741,Parameter!$A$35:$C$64,3,0)+0,0)))</f>
        <v>0</v>
      </c>
      <c r="CF1741" s="60" t="n">
        <f aca="false">IF(AB1741&lt;&gt;"",AB1741,AA1741)</f>
        <v>1</v>
      </c>
      <c r="CG1741" s="60" t="str">
        <f aca="false">IF(OR(CF1741=1,CF1741=2,CF1741=3),IF(Parameter!$E$27="Ja","LIFT",IF(CF1741=1,"L1","L23")),IF(CF1741="Aussen","Aussen","-"))</f>
        <v>LIFT</v>
      </c>
      <c r="CH1741" s="71" t="n">
        <f aca="false">IF(N(AC1741)&gt;0,AC1741,0)</f>
        <v>0</v>
      </c>
      <c r="CI1741" s="65" t="n">
        <f aca="false">IF(ISNUMBER(AF1741),1,0)</f>
        <v>0</v>
      </c>
      <c r="CJ1741" s="62" t="n">
        <f aca="false">N(AF1741)</f>
        <v>0</v>
      </c>
      <c r="CK1741" s="62" t="n">
        <f aca="false">N(M1741)+N(N1741)</f>
        <v>5</v>
      </c>
      <c r="CL1741" s="62" t="n">
        <f aca="false">N(M1741)</f>
        <v>0</v>
      </c>
      <c r="CM1741" s="62" t="n">
        <f aca="false">N(N1741)</f>
        <v>5</v>
      </c>
      <c r="CN1741" s="62" t="n">
        <f aca="false">ROUNDUP(H1741/BZ1741,0)</f>
        <v>1</v>
      </c>
      <c r="CO1741" s="62" t="n">
        <f aca="false">ROUNDUP(CJ1741/BZ1741,0)</f>
        <v>0</v>
      </c>
      <c r="CP1741" s="65" t="n">
        <f aca="false">IF(CA1741=1,0,IFERROR(VLOOKUP(BY1741,'Gebinde-Kategorie'!$A$5:$N$45,5,0)+0,0))</f>
        <v>8</v>
      </c>
      <c r="CQ1741" s="65" t="n">
        <f aca="false">IFERROR(IF(OR(CF1741=1,CF1741=2,CF1741=3),N(INDEX(Parameter!$I$5:$I$7,CF1741)),0),0)</f>
        <v>0</v>
      </c>
      <c r="CR1741" s="64" t="n">
        <f aca="false">IF(AND(Parameter!$B$21="Ja",ISNUMBER(W1741),N(X1741)&gt;0),IFERROR(N(INDEX(Parameter!$L$5:$L$7,W1741))*INDEX(Parameter!$E$5:$E$7,W1741)*X1741/SUMIFS($X$7:$X$1843,$W$7:$W$1843,W1741),0),0)</f>
        <v>0</v>
      </c>
      <c r="CS1741" s="62" t="n">
        <f aca="false">IF(AND(OR(CG1741="L1",CG1741="L23",CG1741="LIFT"),H1741&gt;0),CC1741*IF(CR1741&gt;0,CR1741*MAX(1,H1741/X1741),IF(CA1741=1,CE1741,IF(R1741&gt;0,CN1741/R1741,0))/MAX(0.1,N(Parameter!$M$21))),"")</f>
        <v>1.10714285714286</v>
      </c>
      <c r="CT1741" s="64" t="n">
        <f aca="false">IF(CS1741="","",J1741/H1741)</f>
        <v>0</v>
      </c>
      <c r="CU1741" s="62" t="n">
        <f aca="false">IF(CS1741="","",H1741*G1741)</f>
        <v>496</v>
      </c>
      <c r="CV1741" s="63" t="n">
        <f aca="false">IF(CS1741="","",(CL1741+ROUNDUP(CL1741+MAX(CM1741,2*(J1741/MAX(0.1,N(Einkauf!$C$6))-CL1741)),0))/2)</f>
        <v>2.5</v>
      </c>
      <c r="CW1741" s="62" t="n">
        <f aca="false">IF(CS1741="","",MAX(0,H1741-CV1741)*G1741)</f>
        <v>186</v>
      </c>
      <c r="CX1741" s="62" t="n">
        <f aca="false">IF(CS1741="","",CS1741*MAX(0,1-CV1741/H1741))</f>
        <v>0.415178571428571</v>
      </c>
      <c r="CY1741" s="64" t="n">
        <f aca="false">IF(CS1741="","",PERCENTRANK($CS$7:$CS$1843,CS1741)+PERCENTRANK($CU$7:$CU$1843,CU1741)+1-PERCENTRANK($CT$7:$CT$1843,CT1741))</f>
        <v>1.5694</v>
      </c>
      <c r="CZ1741" s="72" t="n">
        <f aca="false">IF(CS1741="","",CHOOSE(MATCH(Einkauf!$C$5,Parameter!$G$23:$G$27,0),CY1741,CS1741,CU1741,-CT1741,CW1741)+ROW()/1000000000)</f>
        <v>1.569401741</v>
      </c>
    </row>
    <row r="1742" customFormat="false" ht="15" hidden="false" customHeight="false" outlineLevel="0" collapsed="false">
      <c r="A1742" s="60" t="s">
        <v>3053</v>
      </c>
      <c r="B1742" s="60" t="s">
        <v>3054</v>
      </c>
      <c r="C1742" s="60" t="s">
        <v>206</v>
      </c>
      <c r="D1742" s="60" t="s">
        <v>226</v>
      </c>
      <c r="E1742" s="60"/>
      <c r="F1742" s="60"/>
      <c r="G1742" s="61" t="n">
        <v>185</v>
      </c>
      <c r="H1742" s="62" t="n">
        <f aca="false">MAX(0,IF(AND(Parameter!$B$21="Ja",ISNUMBER(Y1742)),Y1742,IF(Parameter!$B$20="Jahresanfang 2025 + Export",BS1742+BR1742,BR1742)))</f>
        <v>3</v>
      </c>
      <c r="I1742" s="62" t="n">
        <f aca="false">H1742*G1742</f>
        <v>555</v>
      </c>
      <c r="J1742" s="62" t="n">
        <f aca="false">BU1742*Parameter!$B$18</f>
        <v>0</v>
      </c>
      <c r="K1742" s="63"/>
      <c r="L1742" s="64"/>
      <c r="M1742" s="62" t="n">
        <v>0</v>
      </c>
      <c r="N1742" s="62" t="n">
        <v>3</v>
      </c>
      <c r="O1742" s="65" t="n">
        <v>49</v>
      </c>
      <c r="P1742" s="60" t="s">
        <v>443</v>
      </c>
      <c r="Q1742" s="62" t="n">
        <v>2</v>
      </c>
      <c r="R1742" s="65" t="n">
        <f aca="false">IF(CA1742=1,0,IFERROR(VLOOKUP(BY1742,'Gebinde-Kategorie'!$A$5:$N$45,13,0)+0,0))</f>
        <v>280</v>
      </c>
      <c r="S1742" s="66"/>
      <c r="T1742" s="67"/>
      <c r="U1742" s="67"/>
      <c r="V1742" s="67"/>
      <c r="W1742" s="60"/>
      <c r="X1742" s="62"/>
      <c r="Y1742" s="62"/>
      <c r="Z1742" s="60" t="n">
        <v>1</v>
      </c>
      <c r="AA1742" s="60" t="n">
        <f aca="false">IF(A1742="","",IF(AND(Parameter!$B$21="Ja",ISNUMBER(W1742)),W1742,IF(AND(Parameter!$E$27="Ja",ISNUMBER(Z1742),CD1742&lt;&gt;"Nein"),Z1742,IF(CD1742="2+3",IF(ISNUMBER(SEARCH("grosser Artikel",BV1742)),2,IFERROR(VLOOKUP(BY1742,Parameter!$F$35:$G$64,2,0),2)),IF(OR(CD1742="Nein",CD1742=""),"-",CD1742)))))</f>
        <v>1</v>
      </c>
      <c r="AB1742" s="67"/>
      <c r="AC1742" s="68"/>
      <c r="AD1742" s="62" t="n">
        <f aca="false">AW1742</f>
        <v>3</v>
      </c>
      <c r="AE1742" s="62" t="n">
        <f aca="false">MAX(AW1742,H1742)</f>
        <v>3</v>
      </c>
      <c r="AF1742" s="69"/>
      <c r="AG1742" s="62" t="n">
        <f aca="false">IF(LEFT(Cockpit!$C$5,1)="A",H1742,IF(Parameter!$E$30="MAX-Bestand",IF(CI1742=1,CJ1742,IF(LEFT(Cockpit!$C$5,1)="B",AM1742,MAX(AM1742,H1742))),ROUNDUP(AK1742,0)))</f>
        <v>3</v>
      </c>
      <c r="AH1742" s="62" t="n">
        <f aca="false">IF(CA1742=1,0,ROUNDUP(AG1742/BZ1742,0))</f>
        <v>2</v>
      </c>
      <c r="AI1742" s="64" t="n">
        <f aca="false">IF(CR1742&gt;0,CR1742*MAX(1,AG1742/X1742),IF(CA1742=1,IF(AG1742&lt;=0,0,CE1742*MAX(1,IF(H1742&gt;0,AG1742/H1742,1))),IF(R1742&gt;0,AH1742/R1742,0))/MAX(0.1,N(Parameter!$M$21)))</f>
        <v>0.00714285714285714</v>
      </c>
      <c r="AJ1742" s="62" t="n">
        <f aca="false">AI1742*CC1742</f>
        <v>1.10714285714286</v>
      </c>
      <c r="AK1742" s="63" t="n">
        <f aca="false">IF(LEFT(Cockpit!$C$5,1)="A",H1742,IF(CI1742=1,(CL1742+CJ1742)/2,IF(LEFT(Cockpit!$C$5,1)="B",(CL1742+AM1742)/2,MAX((CL1742+AM1742)/2,H1742))))</f>
        <v>3</v>
      </c>
      <c r="AL1742" s="62" t="n">
        <f aca="false">AK1742*G1742</f>
        <v>555</v>
      </c>
      <c r="AM1742" s="62" t="n">
        <f aca="false">ROUNDUP(CL1742+MAX(CM1742,2*(J1742/IF(CH1742&gt;0,CH1742,MAX(0.1,N(Cockpit!$C$6)))-CL1742)),0)</f>
        <v>3</v>
      </c>
      <c r="AN1742" s="63" t="n">
        <f aca="false">IF(AJ1742&gt;0,J1742/AJ1742,-1)</f>
        <v>0</v>
      </c>
      <c r="AO1742" s="63" t="n">
        <f aca="false">IF(AND(OR(CG1742="L1",CG1742="L23",CG1742="LIFT"),AJ1742&gt;0),SUMIFS($AJ$7:$AJ$1843,$CG$7:$CG$1843,CG1742,$AN$7:$AN$1843,"&gt;"&amp;AN1742)+SUMIFS($AJ$7:$AJ$1843,$CG$7:$CG$1843,CG1742,$AN$7:$AN$1843,AN1742,$BX$7:$BX$1843,"&lt;="&amp;BX1742),"")</f>
        <v>32859.7610459221</v>
      </c>
      <c r="AP1742" s="70" t="n">
        <f aca="false">IF(AO1742="",0,MAX(0,MIN(1,(IF(CG1742="L1",Parameter!$H$5,IF(CG1742="L23",Parameter!$H$6+Parameter!$H$7,Parameter!$H$5+Parameter!$H$6+Parameter!$H$7))-(AO1742-AJ1742))/AJ1742)))</f>
        <v>1</v>
      </c>
      <c r="AQ1742" s="62" t="n">
        <f aca="false">IF(LEFT(Cockpit!$I$5,1)="A",H1742,IF(Parameter!$E$30="MAX-Bestand",IF(CI1742=1,CJ1742,IF(LEFT(Cockpit!$I$5,1)="B",AW1742,MAX(AW1742,H1742))),ROUNDUP(AU1742,0)))</f>
        <v>3</v>
      </c>
      <c r="AR1742" s="62" t="n">
        <f aca="false">IF(CA1742=1,0,ROUNDUP(AQ1742/BZ1742,0))</f>
        <v>2</v>
      </c>
      <c r="AS1742" s="64" t="n">
        <f aca="false">IF(CR1742&gt;0,CR1742*MAX(1,AQ1742/X1742),IF(CA1742=1,IF(AQ1742&lt;=0,0,CE1742*MAX(1,IF(H1742&gt;0,AQ1742/H1742,1))),IF(R1742&gt;0,AR1742/R1742,0))/MAX(0.1,N(Parameter!$M$21)))</f>
        <v>0.00714285714285714</v>
      </c>
      <c r="AT1742" s="62" t="n">
        <f aca="false">AS1742*CC1742</f>
        <v>1.10714285714286</v>
      </c>
      <c r="AU1742" s="63" t="n">
        <f aca="false">IF(LEFT(Cockpit!$I$5,1)="A",H1742,IF(CI1742=1,(CL1742+CJ1742)/2,IF(LEFT(Cockpit!$I$5,1)="B",(CL1742+AW1742)/2,MAX((CL1742+AW1742)/2,H1742))))</f>
        <v>3</v>
      </c>
      <c r="AV1742" s="62" t="n">
        <f aca="false">AU1742*G1742</f>
        <v>555</v>
      </c>
      <c r="AW1742" s="62" t="n">
        <f aca="false">ROUNDUP(CL1742+MAX(CM1742,2*(J1742/IF(CH1742&gt;0,CH1742,MAX(0.1,N(Cockpit!$I$6)))-CL1742)),0)</f>
        <v>3</v>
      </c>
      <c r="AX1742" s="63" t="n">
        <f aca="false">IF(AT1742&gt;0,J1742/AT1742,-1)</f>
        <v>0</v>
      </c>
      <c r="AY1742" s="63" t="n">
        <f aca="false">IF(AND(OR(CG1742="L1",CG1742="L23",CG1742="LIFT"),AT1742&gt;0),SUMIFS($AT$7:$AT$1843,$CG$7:$CG$1843,CG1742,$AX$7:$AX$1843,"&gt;"&amp;AX1742)+SUMIFS($AT$7:$AT$1843,$CG$7:$CG$1843,CG1742,$AX$7:$AX$1843,AX1742,$BX$7:$BX$1843,"&lt;="&amp;BX1742),"")</f>
        <v>39333.6699907908</v>
      </c>
      <c r="AZ1742" s="70" t="n">
        <f aca="false">IF(AY1742="",0,MAX(0,MIN(1,(IF(CG1742="L1",Parameter!$H$5,IF(CG1742="L23",Parameter!$H$6+Parameter!$H$7,Parameter!$H$5+Parameter!$H$6+Parameter!$H$7))-(AY1742-AT1742))/AT1742)))</f>
        <v>0</v>
      </c>
      <c r="BA1742" s="62" t="n">
        <f aca="false">IF(LEFT(Cockpit!$O$5,1)="A",H1742,IF(Parameter!$E$30="MAX-Bestand",IF(CI1742=1,CJ1742,IF(LEFT(Cockpit!$O$5,1)="B",BG1742,MAX(BG1742,H1742))),ROUNDUP(BE1742,0)))</f>
        <v>2</v>
      </c>
      <c r="BB1742" s="62" t="n">
        <f aca="false">IF(CA1742=1,0,ROUNDUP(BA1742/BZ1742,0))</f>
        <v>1</v>
      </c>
      <c r="BC1742" s="64" t="n">
        <f aca="false">IF(CR1742&gt;0,CR1742*MAX(1,BA1742/X1742),IF(CA1742=1,IF(BA1742&lt;=0,0,CE1742*MAX(1,IF(H1742&gt;0,BA1742/H1742,1))),IF(R1742&gt;0,BB1742/R1742,0))/MAX(0.1,N(Parameter!$M$21)))</f>
        <v>0.00357142857142857</v>
      </c>
      <c r="BD1742" s="62" t="n">
        <f aca="false">BC1742*CC1742</f>
        <v>0.553571428571429</v>
      </c>
      <c r="BE1742" s="63" t="n">
        <f aca="false">IF(LEFT(Cockpit!$O$5,1)="A",H1742,IF(CI1742=1,(CL1742+CJ1742)/2,IF(LEFT(Cockpit!$O$5,1)="B",(CL1742+BG1742)/2,MAX((CL1742+BG1742)/2,H1742))))</f>
        <v>1.5</v>
      </c>
      <c r="BF1742" s="62" t="n">
        <f aca="false">BE1742*G1742</f>
        <v>277.5</v>
      </c>
      <c r="BG1742" s="62" t="n">
        <f aca="false">ROUNDUP(CL1742+MAX(CM1742,2*(J1742/IF(CH1742&gt;0,CH1742,MAX(0.1,N(Cockpit!$O$6)))-CL1742)),0)</f>
        <v>3</v>
      </c>
      <c r="BH1742" s="63" t="n">
        <f aca="false">IF(BD1742&gt;0,J1742/BD1742,-1)</f>
        <v>0</v>
      </c>
      <c r="BI1742" s="63" t="n">
        <f aca="false">IF(AND(OR(CG1742="L1",CG1742="L23",CG1742="LIFT"),BD1742&gt;0),SUMIFS($BD$7:$BD$1843,$CG$7:$CG$1843,CG1742,$BH$7:$BH$1843,"&gt;"&amp;BH1742)+SUMIFS($BD$7:$BD$1843,$CG$7:$CG$1843,CG1742,$BH$7:$BH$1843,BH1742,$BX$7:$BX$1843,"&lt;="&amp;BX1742),"")</f>
        <v>32560.1410282279</v>
      </c>
      <c r="BJ1742" s="70" t="n">
        <f aca="false">IF(BI1742="",0,MAX(0,MIN(1,(IF(CG1742="L1",Parameter!$H$5,IF(CG1742="L23",Parameter!$H$6+Parameter!$H$7,Parameter!$H$5+Parameter!$H$6+Parameter!$H$7))-(BI1742-BD1742))/BD1742)))</f>
        <v>1</v>
      </c>
      <c r="BK1742" s="60" t="str">
        <f aca="false">IF(AJ1742&lt;=0,"",IF(CG1742="Aussen","Aussenlager",IF(CG1742="-","Nicht im Lift",IF(AP1742&gt;=1,"Lift",IF(AP1742&lt;=0,"Aussenlager","teilweise")))))</f>
        <v>Lift</v>
      </c>
      <c r="BL1742" s="60" t="str">
        <f aca="false">IF(AT1742&lt;=0,"",IF(CG1742="Aussen","Aussenlager",IF(CG1742="-","Nicht im Lift",IF(AZ1742&gt;=1,"Lift",IF(AZ1742&lt;=0,"Aussenlager","teilweise")))))</f>
        <v>Aussenlager</v>
      </c>
      <c r="BM1742" s="60" t="str">
        <f aca="false">IF(BD1742&lt;=0,"",IF(CG1742="Aussen","Aussenlager",IF(CG1742="-","Nicht im Lift",IF(BJ1742&gt;=1,"Lift",IF(BJ1742&lt;=0,"Aussenlager","teilweise")))))</f>
        <v>Lift</v>
      </c>
      <c r="BN1742" s="60" t="str">
        <f aca="false">IF(A1742="","",IF(BW1742=1,"Neu; ","")&amp;IF(AND(BW1742=0,BR1742&lt;0),"negativer Bestand (Export "&amp;BR1742&amp;"); ","")&amp;IF(J1742&lt;=0,"Kein Verbrauch; ","")&amp;IF(CR1742&gt;0,"Lift "&amp;W1742&amp;" lt. Liftbericht (Fach "&amp;X1742&amp;" Stk); ",IF(CB1742=1,"Gebinde geschätzt ("&amp;T1742&amp;"); ",IF(CA1742=1,"Lose – Tablare geschätzt; ","")))&amp;IF(H1742&gt;AW1742,"Überbestand "&amp;ROUND(H1742-AW1742,0)&amp;" Stk / CHF "&amp;ROUND((H1742-AW1742)*G1742,0)&amp;"; ","")&amp;IF(AND(CI1742=1,CJ1742&lt;CK1742),"MAX &lt; MB+LG; ","")&amp;IF(AND(CQ1742&gt;0,CP1742*10&gt;CQ1742),"zu hoch für Tablar; ","")&amp;IF(AND(BW1742=0,OR(CI1742=1,AB1742&lt;&gt;"",U1742&lt;&gt;"",V1742&lt;&gt;"",AC1742&lt;&gt;"")),"manuell übersteuert; ","")&amp;IF(AND(CA1742=0,R1742=0),"Gebinde unbekannt / Stellmass fehlt; ","")&amp;IF(AND(CA1742=0,N(V1742)&lt;=0,N(Q1742)&lt;=0),"Menge pro Gebinde fehlt (Ist = 1 Gebinde); ","")&amp;BV1742)</f>
        <v>Kein Verbrauch; nur im Artikelstamm (Bestand 23.06.2026)</v>
      </c>
      <c r="BO1742" s="60"/>
      <c r="BP1742" s="60"/>
      <c r="BQ1742" s="67"/>
      <c r="BR1742" s="62" t="n">
        <v>3</v>
      </c>
      <c r="BS1742" s="62" t="n">
        <v>0</v>
      </c>
      <c r="BT1742" s="61" t="n">
        <v>0</v>
      </c>
      <c r="BU1742" s="62" t="n">
        <v>0</v>
      </c>
      <c r="BV1742" s="60" t="s">
        <v>2617</v>
      </c>
      <c r="BW1742" s="65" t="n">
        <v>0</v>
      </c>
      <c r="BX1742" s="65" t="n">
        <v>1742</v>
      </c>
      <c r="BY1742" s="60" t="str">
        <f aca="false">IF(U1742&lt;&gt;"",UPPER(TRIM(U1742)),IF(CB1742=1,UPPER(VLOOKUP(T1742,Parameter!$I$27:$K$29,2,0)),IF(P1742="","LOSE",P1742)))</f>
        <v>S21</v>
      </c>
      <c r="BZ1742" s="62" t="n">
        <f aca="false">IF(BY1742="LOSE",1,IF(N(V1742)&gt;0,V1742,IF(CB1742=1,MAX(1,N(VLOOKUP(T1742,Parameter!$I$27:$K$29,3,0)),H1742,N(N1742)),IF(N(Q1742)&gt;0,Q1742,MAX(1,H1742)))))</f>
        <v>2</v>
      </c>
      <c r="CA1742" s="65" t="n">
        <f aca="false">IF(BY1742="LOSE",1,0)</f>
        <v>0</v>
      </c>
      <c r="CB1742" s="65" t="n">
        <f aca="false">IF(AND(U1742="",OR(P1742="",P1742="LOSE"),T1742&lt;&gt;"",N(S1742)&lt;=0,ISNUMBER(MATCH(T1742,Parameter!$I$27:$I$29,0))),1,0)</f>
        <v>0</v>
      </c>
      <c r="CC1742" s="65" t="n">
        <f aca="false">IF(CR1742&gt;0,INDEX(Parameter!$H$5:$H$7,W1742)/INDEX(Parameter!$E$5:$E$7,W1742),IF(AND(CA1742=0,N(IFERROR(VLOOKUP(BY1742,'Gebinde-Kategorie'!$A$5:$N$45,14,0),0))&gt;0),VLOOKUP(BY1742,'Gebinde-Kategorie'!$A$5:$N$45,14,0)*10+Parameter!$M$23,Parameter!$M$24))</f>
        <v>155</v>
      </c>
      <c r="CD1742" s="60" t="str">
        <f aca="false">IF(AND(Parameter!$B$19="Ja",E1742&lt;&gt;"",ISNUMBER(MATCH(E1742,Parameter!$I$35:$I$52,0))),VLOOKUP(E1742,Parameter!$I$35:$J$52,2,0),IFERROR(VLOOKUP(D1742,Parameter!$A$35:$C$64,2,0),"Nein"))</f>
        <v>2+3</v>
      </c>
      <c r="CE1742" s="64" t="n">
        <f aca="false">IF(CA1742=0,0,IF(N(S1742)&gt;0,S1742,IFERROR(VLOOKUP(D1742,Parameter!$A$35:$C$64,3,0)+0,0)))</f>
        <v>0</v>
      </c>
      <c r="CF1742" s="60" t="n">
        <f aca="false">IF(AB1742&lt;&gt;"",AB1742,AA1742)</f>
        <v>1</v>
      </c>
      <c r="CG1742" s="60" t="str">
        <f aca="false">IF(OR(CF1742=1,CF1742=2,CF1742=3),IF(Parameter!$E$27="Ja","LIFT",IF(CF1742=1,"L1","L23")),IF(CF1742="Aussen","Aussen","-"))</f>
        <v>LIFT</v>
      </c>
      <c r="CH1742" s="71" t="n">
        <f aca="false">IF(N(AC1742)&gt;0,AC1742,0)</f>
        <v>0</v>
      </c>
      <c r="CI1742" s="65" t="n">
        <f aca="false">IF(ISNUMBER(AF1742),1,0)</f>
        <v>0</v>
      </c>
      <c r="CJ1742" s="62" t="n">
        <f aca="false">N(AF1742)</f>
        <v>0</v>
      </c>
      <c r="CK1742" s="62" t="n">
        <f aca="false">N(M1742)+N(N1742)</f>
        <v>3</v>
      </c>
      <c r="CL1742" s="62" t="n">
        <f aca="false">N(M1742)</f>
        <v>0</v>
      </c>
      <c r="CM1742" s="62" t="n">
        <f aca="false">N(N1742)</f>
        <v>3</v>
      </c>
      <c r="CN1742" s="62" t="n">
        <f aca="false">ROUNDUP(H1742/BZ1742,0)</f>
        <v>2</v>
      </c>
      <c r="CO1742" s="62" t="n">
        <f aca="false">ROUNDUP(CJ1742/BZ1742,0)</f>
        <v>0</v>
      </c>
      <c r="CP1742" s="65" t="n">
        <f aca="false">IF(CA1742=1,0,IFERROR(VLOOKUP(BY1742,'Gebinde-Kategorie'!$A$5:$N$45,5,0)+0,0))</f>
        <v>8</v>
      </c>
      <c r="CQ1742" s="65" t="n">
        <f aca="false">IFERROR(IF(OR(CF1742=1,CF1742=2,CF1742=3),N(INDEX(Parameter!$I$5:$I$7,CF1742)),0),0)</f>
        <v>0</v>
      </c>
      <c r="CR1742" s="64" t="n">
        <f aca="false">IF(AND(Parameter!$B$21="Ja",ISNUMBER(W1742),N(X1742)&gt;0),IFERROR(N(INDEX(Parameter!$L$5:$L$7,W1742))*INDEX(Parameter!$E$5:$E$7,W1742)*X1742/SUMIFS($X$7:$X$1843,$W$7:$W$1843,W1742),0),0)</f>
        <v>0</v>
      </c>
      <c r="CS1742" s="62" t="n">
        <f aca="false">IF(AND(OR(CG1742="L1",CG1742="L23",CG1742="LIFT"),H1742&gt;0),CC1742*IF(CR1742&gt;0,CR1742*MAX(1,H1742/X1742),IF(CA1742=1,CE1742,IF(R1742&gt;0,CN1742/R1742,0))/MAX(0.1,N(Parameter!$M$21))),"")</f>
        <v>1.10714285714286</v>
      </c>
      <c r="CT1742" s="64" t="n">
        <f aca="false">IF(CS1742="","",J1742/H1742)</f>
        <v>0</v>
      </c>
      <c r="CU1742" s="62" t="n">
        <f aca="false">IF(CS1742="","",H1742*G1742)</f>
        <v>555</v>
      </c>
      <c r="CV1742" s="63" t="n">
        <f aca="false">IF(CS1742="","",(CL1742+ROUNDUP(CL1742+MAX(CM1742,2*(J1742/MAX(0.1,N(Einkauf!$C$6))-CL1742)),0))/2)</f>
        <v>1.5</v>
      </c>
      <c r="CW1742" s="62" t="n">
        <f aca="false">IF(CS1742="","",MAX(0,H1742-CV1742)*G1742)</f>
        <v>277.5</v>
      </c>
      <c r="CX1742" s="62" t="n">
        <f aca="false">IF(CS1742="","",CS1742*MAX(0,1-CV1742/H1742))</f>
        <v>0.553571428571429</v>
      </c>
      <c r="CY1742" s="64" t="n">
        <f aca="false">IF(CS1742="","",PERCENTRANK($CS$7:$CS$1843,CS1742)+PERCENTRANK($CU$7:$CU$1843,CU1742)+1-PERCENTRANK($CT$7:$CT$1843,CT1742))</f>
        <v>1.5894</v>
      </c>
      <c r="CZ1742" s="72" t="n">
        <f aca="false">IF(CS1742="","",CHOOSE(MATCH(Einkauf!$C$5,Parameter!$G$23:$G$27,0),CY1742,CS1742,CU1742,-CT1742,CW1742)+ROW()/1000000000)</f>
        <v>1.589401742</v>
      </c>
    </row>
    <row r="1743" customFormat="false" ht="15" hidden="false" customHeight="false" outlineLevel="0" collapsed="false">
      <c r="A1743" s="60" t="s">
        <v>3055</v>
      </c>
      <c r="B1743" s="60" t="s">
        <v>2466</v>
      </c>
      <c r="C1743" s="60" t="s">
        <v>206</v>
      </c>
      <c r="D1743" s="60" t="s">
        <v>215</v>
      </c>
      <c r="E1743" s="60"/>
      <c r="F1743" s="60"/>
      <c r="G1743" s="61" t="n">
        <v>513.5</v>
      </c>
      <c r="H1743" s="62" t="n">
        <f aca="false">MAX(0,IF(AND(Parameter!$B$21="Ja",ISNUMBER(Y1743)),Y1743,IF(Parameter!$B$20="Jahresanfang 2025 + Export",BS1743+BR1743,BR1743)))</f>
        <v>2</v>
      </c>
      <c r="I1743" s="62" t="n">
        <f aca="false">H1743*G1743</f>
        <v>1027</v>
      </c>
      <c r="J1743" s="62" t="n">
        <f aca="false">BU1743*Parameter!$B$18</f>
        <v>0</v>
      </c>
      <c r="K1743" s="63"/>
      <c r="L1743" s="64"/>
      <c r="M1743" s="62" t="n">
        <v>1</v>
      </c>
      <c r="N1743" s="62" t="n">
        <v>1</v>
      </c>
      <c r="O1743" s="65" t="n">
        <v>42</v>
      </c>
      <c r="P1743" s="60" t="s">
        <v>210</v>
      </c>
      <c r="Q1743" s="62"/>
      <c r="R1743" s="65" t="n">
        <f aca="false">IF(CA1743=1,0,IFERROR(VLOOKUP(BY1743,'Gebinde-Kategorie'!$A$5:$N$45,13,0)+0,0))</f>
        <v>0</v>
      </c>
      <c r="S1743" s="66"/>
      <c r="T1743" s="67"/>
      <c r="U1743" s="67"/>
      <c r="V1743" s="67"/>
      <c r="W1743" s="60" t="n">
        <v>1</v>
      </c>
      <c r="X1743" s="62" t="n">
        <v>2</v>
      </c>
      <c r="Y1743" s="62" t="n">
        <v>2</v>
      </c>
      <c r="Z1743" s="60" t="n">
        <v>1</v>
      </c>
      <c r="AA1743" s="60" t="n">
        <f aca="false">IF(A1743="","",IF(AND(Parameter!$B$21="Ja",ISNUMBER(W1743)),W1743,IF(AND(Parameter!$E$27="Ja",ISNUMBER(Z1743),CD1743&lt;&gt;"Nein"),Z1743,IF(CD1743="2+3",IF(ISNUMBER(SEARCH("grosser Artikel",BV1743)),2,IFERROR(VLOOKUP(BY1743,Parameter!$F$35:$G$64,2,0),2)),IF(OR(CD1743="Nein",CD1743=""),"-",CD1743)))))</f>
        <v>1</v>
      </c>
      <c r="AB1743" s="67"/>
      <c r="AC1743" s="68"/>
      <c r="AD1743" s="62" t="n">
        <f aca="false">AW1743</f>
        <v>2</v>
      </c>
      <c r="AE1743" s="62" t="n">
        <f aca="false">MAX(AW1743,H1743)</f>
        <v>2</v>
      </c>
      <c r="AF1743" s="69"/>
      <c r="AG1743" s="62" t="n">
        <f aca="false">IF(LEFT(Cockpit!$C$5,1)="A",H1743,IF(Parameter!$E$30="MAX-Bestand",IF(CI1743=1,CJ1743,IF(LEFT(Cockpit!$C$5,1)="B",AM1743,MAX(AM1743,H1743))),ROUNDUP(AK1743,0)))</f>
        <v>2</v>
      </c>
      <c r="AH1743" s="62" t="n">
        <f aca="false">IF(CA1743=1,0,ROUNDUP(AG1743/BZ1743,0))</f>
        <v>0</v>
      </c>
      <c r="AI1743" s="64" t="n">
        <f aca="false">IF(CR1743&gt;0,CR1743*MAX(1,AG1743/X1743),IF(CA1743=1,IF(AG1743&lt;=0,0,CE1743*MAX(1,IF(H1743&gt;0,AG1743/H1743,1))),IF(R1743&gt;0,AH1743/R1743,0))/MAX(0.1,N(Parameter!$M$21)))</f>
        <v>0.160075329566855</v>
      </c>
      <c r="AJ1743" s="62" t="n">
        <f aca="false">AI1743*CC1743</f>
        <v>38.0979284369115</v>
      </c>
      <c r="AK1743" s="63" t="n">
        <f aca="false">IF(LEFT(Cockpit!$C$5,1)="A",H1743,IF(CI1743=1,(CL1743+CJ1743)/2,IF(LEFT(Cockpit!$C$5,1)="B",(CL1743+AM1743)/2,MAX((CL1743+AM1743)/2,H1743))))</f>
        <v>2</v>
      </c>
      <c r="AL1743" s="62" t="n">
        <f aca="false">AK1743*G1743</f>
        <v>1027</v>
      </c>
      <c r="AM1743" s="62" t="n">
        <f aca="false">ROUNDUP(CL1743+MAX(CM1743,2*(J1743/IF(CH1743&gt;0,CH1743,MAX(0.1,N(Cockpit!$C$6)))-CL1743)),0)</f>
        <v>2</v>
      </c>
      <c r="AN1743" s="63" t="n">
        <f aca="false">IF(AJ1743&gt;0,J1743/AJ1743,-1)</f>
        <v>0</v>
      </c>
      <c r="AO1743" s="63" t="n">
        <f aca="false">IF(AND(OR(CG1743="L1",CG1743="L23",CG1743="LIFT"),AJ1743&gt;0),SUMIFS($AJ$7:$AJ$1843,$CG$7:$CG$1843,CG1743,$AN$7:$AN$1843,"&gt;"&amp;AN1743)+SUMIFS($AJ$7:$AJ$1843,$CG$7:$CG$1843,CG1743,$AN$7:$AN$1843,AN1743,$BX$7:$BX$1843,"&lt;="&amp;BX1743),"")</f>
        <v>32897.858974359</v>
      </c>
      <c r="AP1743" s="70" t="n">
        <f aca="false">IF(AO1743="",0,MAX(0,MIN(1,(IF(CG1743="L1",Parameter!$H$5,IF(CG1743="L23",Parameter!$H$6+Parameter!$H$7,Parameter!$H$5+Parameter!$H$6+Parameter!$H$7))-(AO1743-AJ1743))/AJ1743)))</f>
        <v>1</v>
      </c>
      <c r="AQ1743" s="62" t="n">
        <f aca="false">IF(LEFT(Cockpit!$I$5,1)="A",H1743,IF(Parameter!$E$30="MAX-Bestand",IF(CI1743=1,CJ1743,IF(LEFT(Cockpit!$I$5,1)="B",AW1743,MAX(AW1743,H1743))),ROUNDUP(AU1743,0)))</f>
        <v>2</v>
      </c>
      <c r="AR1743" s="62" t="n">
        <f aca="false">IF(CA1743=1,0,ROUNDUP(AQ1743/BZ1743,0))</f>
        <v>0</v>
      </c>
      <c r="AS1743" s="64" t="n">
        <f aca="false">IF(CR1743&gt;0,CR1743*MAX(1,AQ1743/X1743),IF(CA1743=1,IF(AQ1743&lt;=0,0,CE1743*MAX(1,IF(H1743&gt;0,AQ1743/H1743,1))),IF(R1743&gt;0,AR1743/R1743,0))/MAX(0.1,N(Parameter!$M$21)))</f>
        <v>0.160075329566855</v>
      </c>
      <c r="AT1743" s="62" t="n">
        <f aca="false">AS1743*CC1743</f>
        <v>38.0979284369115</v>
      </c>
      <c r="AU1743" s="63" t="n">
        <f aca="false">IF(LEFT(Cockpit!$I$5,1)="A",H1743,IF(CI1743=1,(CL1743+CJ1743)/2,IF(LEFT(Cockpit!$I$5,1)="B",(CL1743+AW1743)/2,MAX((CL1743+AW1743)/2,H1743))))</f>
        <v>2</v>
      </c>
      <c r="AV1743" s="62" t="n">
        <f aca="false">AU1743*G1743</f>
        <v>1027</v>
      </c>
      <c r="AW1743" s="62" t="n">
        <f aca="false">ROUNDUP(CL1743+MAX(CM1743,2*(J1743/IF(CH1743&gt;0,CH1743,MAX(0.1,N(Cockpit!$I$6)))-CL1743)),0)</f>
        <v>2</v>
      </c>
      <c r="AX1743" s="63" t="n">
        <f aca="false">IF(AT1743&gt;0,J1743/AT1743,-1)</f>
        <v>0</v>
      </c>
      <c r="AY1743" s="63" t="n">
        <f aca="false">IF(AND(OR(CG1743="L1",CG1743="L23",CG1743="LIFT"),AT1743&gt;0),SUMIFS($AT$7:$AT$1843,$CG$7:$CG$1843,CG1743,$AX$7:$AX$1843,"&gt;"&amp;AX1743)+SUMIFS($AT$7:$AT$1843,$CG$7:$CG$1843,CG1743,$AX$7:$AX$1843,AX1743,$BX$7:$BX$1843,"&lt;="&amp;BX1743),"")</f>
        <v>39371.7679192277</v>
      </c>
      <c r="AZ1743" s="70" t="n">
        <f aca="false">IF(AY1743="",0,MAX(0,MIN(1,(IF(CG1743="L1",Parameter!$H$5,IF(CG1743="L23",Parameter!$H$6+Parameter!$H$7,Parameter!$H$5+Parameter!$H$6+Parameter!$H$7))-(AY1743-AT1743))/AT1743)))</f>
        <v>0</v>
      </c>
      <c r="BA1743" s="62" t="n">
        <f aca="false">IF(LEFT(Cockpit!$O$5,1)="A",H1743,IF(Parameter!$E$30="MAX-Bestand",IF(CI1743=1,CJ1743,IF(LEFT(Cockpit!$O$5,1)="B",BG1743,MAX(BG1743,H1743))),ROUNDUP(BE1743,0)))</f>
        <v>2</v>
      </c>
      <c r="BB1743" s="62" t="n">
        <f aca="false">IF(CA1743=1,0,ROUNDUP(BA1743/BZ1743,0))</f>
        <v>0</v>
      </c>
      <c r="BC1743" s="64" t="n">
        <f aca="false">IF(CR1743&gt;0,CR1743*MAX(1,BA1743/X1743),IF(CA1743=1,IF(BA1743&lt;=0,0,CE1743*MAX(1,IF(H1743&gt;0,BA1743/H1743,1))),IF(R1743&gt;0,BB1743/R1743,0))/MAX(0.1,N(Parameter!$M$21)))</f>
        <v>0.160075329566855</v>
      </c>
      <c r="BD1743" s="62" t="n">
        <f aca="false">BC1743*CC1743</f>
        <v>38.0979284369115</v>
      </c>
      <c r="BE1743" s="63" t="n">
        <f aca="false">IF(LEFT(Cockpit!$O$5,1)="A",H1743,IF(CI1743=1,(CL1743+CJ1743)/2,IF(LEFT(Cockpit!$O$5,1)="B",(CL1743+BG1743)/2,MAX((CL1743+BG1743)/2,H1743))))</f>
        <v>1.5</v>
      </c>
      <c r="BF1743" s="62" t="n">
        <f aca="false">BE1743*G1743</f>
        <v>770.25</v>
      </c>
      <c r="BG1743" s="62" t="n">
        <f aca="false">ROUNDUP(CL1743+MAX(CM1743,2*(J1743/IF(CH1743&gt;0,CH1743,MAX(0.1,N(Cockpit!$O$6)))-CL1743)),0)</f>
        <v>2</v>
      </c>
      <c r="BH1743" s="63" t="n">
        <f aca="false">IF(BD1743&gt;0,J1743/BD1743,-1)</f>
        <v>0</v>
      </c>
      <c r="BI1743" s="63" t="n">
        <f aca="false">IF(AND(OR(CG1743="L1",CG1743="L23",CG1743="LIFT"),BD1743&gt;0),SUMIFS($BD$7:$BD$1843,$CG$7:$CG$1843,CG1743,$BH$7:$BH$1843,"&gt;"&amp;BH1743)+SUMIFS($BD$7:$BD$1843,$CG$7:$CG$1843,CG1743,$BH$7:$BH$1843,BH1743,$BX$7:$BX$1843,"&lt;="&amp;BX1743),"")</f>
        <v>32598.2389566648</v>
      </c>
      <c r="BJ1743" s="70" t="n">
        <f aca="false">IF(BI1743="",0,MAX(0,MIN(1,(IF(CG1743="L1",Parameter!$H$5,IF(CG1743="L23",Parameter!$H$6+Parameter!$H$7,Parameter!$H$5+Parameter!$H$6+Parameter!$H$7))-(BI1743-BD1743))/BD1743)))</f>
        <v>1</v>
      </c>
      <c r="BK1743" s="60" t="str">
        <f aca="false">IF(AJ1743&lt;=0,"",IF(CG1743="Aussen","Aussenlager",IF(CG1743="-","Nicht im Lift",IF(AP1743&gt;=1,"Lift",IF(AP1743&lt;=0,"Aussenlager","teilweise")))))</f>
        <v>Lift</v>
      </c>
      <c r="BL1743" s="60" t="str">
        <f aca="false">IF(AT1743&lt;=0,"",IF(CG1743="Aussen","Aussenlager",IF(CG1743="-","Nicht im Lift",IF(AZ1743&gt;=1,"Lift",IF(AZ1743&lt;=0,"Aussenlager","teilweise")))))</f>
        <v>Aussenlager</v>
      </c>
      <c r="BM1743" s="60" t="str">
        <f aca="false">IF(BD1743&lt;=0,"",IF(CG1743="Aussen","Aussenlager",IF(CG1743="-","Nicht im Lift",IF(BJ1743&gt;=1,"Lift",IF(BJ1743&lt;=0,"Aussenlager","teilweise")))))</f>
        <v>Lift</v>
      </c>
      <c r="BN1743" s="60" t="str">
        <f aca="false">IF(A1743="","",IF(BW1743=1,"Neu; ","")&amp;IF(AND(BW1743=0,BR1743&lt;0),"negativer Bestand (Export "&amp;BR1743&amp;"); ","")&amp;IF(J1743&lt;=0,"Kein Verbrauch; ","")&amp;IF(CR1743&gt;0,"Lift "&amp;W1743&amp;" lt. Liftbericht (Fach "&amp;X1743&amp;" Stk); ",IF(CB1743=1,"Gebinde geschätzt ("&amp;T1743&amp;"); ",IF(CA1743=1,"Lose – Tablare geschätzt; ","")))&amp;IF(H1743&gt;AW1743,"Überbestand "&amp;ROUND(H1743-AW1743,0)&amp;" Stk / CHF "&amp;ROUND((H1743-AW1743)*G1743,0)&amp;"; ","")&amp;IF(AND(CI1743=1,CJ1743&lt;CK1743),"MAX &lt; MB+LG; ","")&amp;IF(AND(CQ1743&gt;0,CP1743*10&gt;CQ1743),"zu hoch für Tablar; ","")&amp;IF(AND(BW1743=0,OR(CI1743=1,AB1743&lt;&gt;"",U1743&lt;&gt;"",V1743&lt;&gt;"",AC1743&lt;&gt;"")),"manuell übersteuert; ","")&amp;IF(AND(CA1743=0,R1743=0),"Gebinde unbekannt / Stellmass fehlt; ","")&amp;IF(AND(CA1743=0,N(V1743)&lt;=0,N(Q1743)&lt;=0),"Menge pro Gebinde fehlt (Ist = 1 Gebinde); ","")&amp;BV1743)</f>
        <v>Kein Verbrauch; Lift 1 lt. Liftbericht (Fach 2 Stk); nur im Liftbericht (nicht im Kennzahlen-Auszug)</v>
      </c>
      <c r="BO1743" s="60"/>
      <c r="BP1743" s="60"/>
      <c r="BQ1743" s="67"/>
      <c r="BR1743" s="62" t="n">
        <v>2</v>
      </c>
      <c r="BS1743" s="62" t="n">
        <v>0</v>
      </c>
      <c r="BT1743" s="61" t="n">
        <v>0</v>
      </c>
      <c r="BU1743" s="62" t="n">
        <v>0</v>
      </c>
      <c r="BV1743" s="60" t="s">
        <v>3056</v>
      </c>
      <c r="BW1743" s="65" t="n">
        <v>0</v>
      </c>
      <c r="BX1743" s="65" t="n">
        <v>1743</v>
      </c>
      <c r="BY1743" s="60" t="str">
        <f aca="false">IF(U1743&lt;&gt;"",UPPER(TRIM(U1743)),IF(CB1743=1,UPPER(VLOOKUP(T1743,Parameter!$I$27:$K$29,2,0)),IF(P1743="","LOSE",P1743)))</f>
        <v>LOSE</v>
      </c>
      <c r="BZ1743" s="62" t="n">
        <f aca="false">IF(BY1743="LOSE",1,IF(N(V1743)&gt;0,V1743,IF(CB1743=1,MAX(1,N(VLOOKUP(T1743,Parameter!$I$27:$K$29,3,0)),H1743,N(N1743)),IF(N(Q1743)&gt;0,Q1743,MAX(1,H1743)))))</f>
        <v>1</v>
      </c>
      <c r="CA1743" s="65" t="n">
        <f aca="false">IF(BY1743="LOSE",1,0)</f>
        <v>1</v>
      </c>
      <c r="CB1743" s="65" t="n">
        <f aca="false">IF(AND(U1743="",OR(P1743="",P1743="LOSE"),T1743&lt;&gt;"",N(S1743)&lt;=0,ISNUMBER(MATCH(T1743,Parameter!$I$27:$I$29,0))),1,0)</f>
        <v>0</v>
      </c>
      <c r="CC1743" s="65" t="n">
        <f aca="false">IF(CR1743&gt;0,INDEX(Parameter!$H$5:$H$7,W1743)/INDEX(Parameter!$E$5:$E$7,W1743),IF(AND(CA1743=0,N(IFERROR(VLOOKUP(BY1743,'Gebinde-Kategorie'!$A$5:$N$45,14,0),0))&gt;0),VLOOKUP(BY1743,'Gebinde-Kategorie'!$A$5:$N$45,14,0)*10+Parameter!$M$23,Parameter!$M$24))</f>
        <v>238</v>
      </c>
      <c r="CD1743" s="60" t="str">
        <f aca="false">IF(AND(Parameter!$B$19="Ja",E1743&lt;&gt;"",ISNUMBER(MATCH(E1743,Parameter!$I$35:$I$52,0))),VLOOKUP(E1743,Parameter!$I$35:$J$52,2,0),IFERROR(VLOOKUP(D1743,Parameter!$A$35:$C$64,2,0),"Nein"))</f>
        <v>2+3</v>
      </c>
      <c r="CE1743" s="64" t="n">
        <f aca="false">IF(CA1743=0,0,IF(N(S1743)&gt;0,S1743,IFERROR(VLOOKUP(D1743,Parameter!$A$35:$C$64,3,0)+0,0)))</f>
        <v>0.15</v>
      </c>
      <c r="CF1743" s="60" t="n">
        <f aca="false">IF(AB1743&lt;&gt;"",AB1743,AA1743)</f>
        <v>1</v>
      </c>
      <c r="CG1743" s="60" t="str">
        <f aca="false">IF(OR(CF1743=1,CF1743=2,CF1743=3),IF(Parameter!$E$27="Ja","LIFT",IF(CF1743=1,"L1","L23")),IF(CF1743="Aussen","Aussen","-"))</f>
        <v>LIFT</v>
      </c>
      <c r="CH1743" s="71" t="n">
        <f aca="false">IF(N(AC1743)&gt;0,AC1743,0)</f>
        <v>0</v>
      </c>
      <c r="CI1743" s="65" t="n">
        <f aca="false">IF(ISNUMBER(AF1743),1,0)</f>
        <v>0</v>
      </c>
      <c r="CJ1743" s="62" t="n">
        <f aca="false">N(AF1743)</f>
        <v>0</v>
      </c>
      <c r="CK1743" s="62" t="n">
        <f aca="false">N(M1743)+N(N1743)</f>
        <v>2</v>
      </c>
      <c r="CL1743" s="62" t="n">
        <f aca="false">N(M1743)</f>
        <v>1</v>
      </c>
      <c r="CM1743" s="62" t="n">
        <f aca="false">N(N1743)</f>
        <v>1</v>
      </c>
      <c r="CN1743" s="62" t="n">
        <f aca="false">ROUNDUP(H1743/BZ1743,0)</f>
        <v>2</v>
      </c>
      <c r="CO1743" s="62" t="n">
        <f aca="false">ROUNDUP(CJ1743/BZ1743,0)</f>
        <v>0</v>
      </c>
      <c r="CP1743" s="65" t="n">
        <f aca="false">IF(CA1743=1,0,IFERROR(VLOOKUP(BY1743,'Gebinde-Kategorie'!$A$5:$N$45,5,0)+0,0))</f>
        <v>0</v>
      </c>
      <c r="CQ1743" s="65" t="n">
        <f aca="false">IFERROR(IF(OR(CF1743=1,CF1743=2,CF1743=3),N(INDEX(Parameter!$I$5:$I$7,CF1743)),0),0)</f>
        <v>0</v>
      </c>
      <c r="CR1743" s="64" t="n">
        <f aca="false">IF(AND(Parameter!$B$21="Ja",ISNUMBER(W1743),N(X1743)&gt;0),IFERROR(N(INDEX(Parameter!$L$5:$L$7,W1743))*INDEX(Parameter!$E$5:$E$7,W1743)*X1743/SUMIFS($X$7:$X$1843,$W$7:$W$1843,W1743),0),0)</f>
        <v>0.160075329566855</v>
      </c>
      <c r="CS1743" s="62" t="n">
        <f aca="false">IF(AND(OR(CG1743="L1",CG1743="L23",CG1743="LIFT"),H1743&gt;0),CC1743*IF(CR1743&gt;0,CR1743*MAX(1,H1743/X1743),IF(CA1743=1,CE1743,IF(R1743&gt;0,CN1743/R1743,0))/MAX(0.1,N(Parameter!$M$21))),"")</f>
        <v>38.0979284369115</v>
      </c>
      <c r="CT1743" s="64" t="n">
        <f aca="false">IF(CS1743="","",J1743/H1743)</f>
        <v>0</v>
      </c>
      <c r="CU1743" s="62" t="n">
        <f aca="false">IF(CS1743="","",H1743*G1743)</f>
        <v>1027</v>
      </c>
      <c r="CV1743" s="63" t="n">
        <f aca="false">IF(CS1743="","",(CL1743+ROUNDUP(CL1743+MAX(CM1743,2*(J1743/MAX(0.1,N(Einkauf!$C$6))-CL1743)),0))/2)</f>
        <v>1.5</v>
      </c>
      <c r="CW1743" s="62" t="n">
        <f aca="false">IF(CS1743="","",MAX(0,H1743-CV1743)*G1743)</f>
        <v>256.75</v>
      </c>
      <c r="CX1743" s="62" t="n">
        <f aca="false">IF(CS1743="","",CS1743*MAX(0,1-CV1743/H1743))</f>
        <v>9.52448210922787</v>
      </c>
      <c r="CY1743" s="64" t="n">
        <f aca="false">IF(CS1743="","",PERCENTRANK($CS$7:$CS$1843,CS1743)+PERCENTRANK($CU$7:$CU$1843,CU1743)+1-PERCENTRANK($CT$7:$CT$1843,CT1743))</f>
        <v>2.51</v>
      </c>
      <c r="CZ1743" s="72" t="n">
        <f aca="false">IF(CS1743="","",CHOOSE(MATCH(Einkauf!$C$5,Parameter!$G$23:$G$27,0),CY1743,CS1743,CU1743,-CT1743,CW1743)+ROW()/1000000000)</f>
        <v>2.510001743</v>
      </c>
    </row>
    <row r="1744" customFormat="false" ht="15" hidden="false" customHeight="false" outlineLevel="0" collapsed="false">
      <c r="A1744" s="60" t="str">
        <f aca="false">IF('Neue Artikel'!$A$5="","",'Neue Artikel'!$A$5&amp;"")</f>
        <v/>
      </c>
      <c r="B1744" s="60" t="str">
        <f aca="false">'Neue Artikel'!$B$5&amp;""</f>
        <v/>
      </c>
      <c r="C1744" s="60"/>
      <c r="D1744" s="60" t="s">
        <v>3057</v>
      </c>
      <c r="E1744" s="60"/>
      <c r="F1744" s="60"/>
      <c r="G1744" s="61" t="n">
        <f aca="false">N('Neue Artikel'!$G$5)</f>
        <v>0</v>
      </c>
      <c r="H1744" s="62" t="n">
        <f aca="false">MAX(0,IF(AND(Parameter!$B$21="Ja",ISNUMBER(Y1744)),Y1744,IF(Parameter!$B$20="Jahresanfang 2025 + Export",BS1744+BR1744,BR1744)))</f>
        <v>0</v>
      </c>
      <c r="I1744" s="62" t="n">
        <f aca="false">H1744*G1744</f>
        <v>0</v>
      </c>
      <c r="J1744" s="62" t="n">
        <f aca="false">BU1744*Parameter!$B$18</f>
        <v>0</v>
      </c>
      <c r="K1744" s="63"/>
      <c r="L1744" s="64"/>
      <c r="M1744" s="62" t="n">
        <f aca="false">N('Neue Artikel'!$E$5)</f>
        <v>0</v>
      </c>
      <c r="N1744" s="62" t="n">
        <f aca="false">N('Neue Artikel'!$F$5)</f>
        <v>0</v>
      </c>
      <c r="O1744" s="65"/>
      <c r="P1744" s="60" t="str">
        <f aca="false">IF('Neue Artikel'!$H$5="","LOSE",UPPER(TRIM('Neue Artikel'!$H$5)))</f>
        <v>LOSE</v>
      </c>
      <c r="Q1744" s="62" t="n">
        <f aca="false">N('Neue Artikel'!$I$5)</f>
        <v>0</v>
      </c>
      <c r="R1744" s="65" t="n">
        <f aca="false">IF(CA1744=1,0,IFERROR(VLOOKUP(BY1744,'Gebinde-Kategorie'!$A$5:$N$45,13,0)+0,0))</f>
        <v>0</v>
      </c>
      <c r="S1744" s="66"/>
      <c r="T1744" s="67"/>
      <c r="U1744" s="67"/>
      <c r="V1744" s="67"/>
      <c r="W1744" s="60"/>
      <c r="X1744" s="62"/>
      <c r="Y1744" s="62"/>
      <c r="Z1744" s="60"/>
      <c r="AA1744" s="60" t="str">
        <f aca="false">IF(A1744="","",IF(AND(Parameter!$B$21="Ja",ISNUMBER(W1744)),W1744,IF(AND(Parameter!$E$27="Ja",ISNUMBER(Z1744),CD1744&lt;&gt;"Nein"),Z1744,IF(CD1744="2+3",IF(ISNUMBER(SEARCH("grosser Artikel",BV1744)),2,IFERROR(VLOOKUP(BY1744,Parameter!$F$35:$G$64,2,0),2)),IF(OR(CD1744="Nein",CD1744=""),"-",CD1744)))))</f>
        <v/>
      </c>
      <c r="AB1744" s="60" t="str">
        <f aca="false">IF('Neue Artikel'!$J$5="","",'Neue Artikel'!$J$5)</f>
        <v/>
      </c>
      <c r="AC1744" s="68"/>
      <c r="AD1744" s="62" t="n">
        <f aca="false">AW1744</f>
        <v>0</v>
      </c>
      <c r="AE1744" s="62" t="n">
        <f aca="false">MAX(AW1744,H1744)</f>
        <v>0</v>
      </c>
      <c r="AF1744" s="69"/>
      <c r="AG1744" s="62" t="n">
        <f aca="false">IF(LEFT(Cockpit!$C$5,1)="A",H1744,IF(Parameter!$E$30="MAX-Bestand",IF(CI1744=1,CJ1744,IF(LEFT(Cockpit!$C$5,1)="B",AM1744,MAX(AM1744,H1744))),ROUNDUP(AK1744,0)))</f>
        <v>0</v>
      </c>
      <c r="AH1744" s="62" t="n">
        <f aca="false">IF(CA1744=1,0,ROUNDUP(AG1744/BZ1744,0))</f>
        <v>0</v>
      </c>
      <c r="AI1744" s="64" t="n">
        <f aca="false">IF(CR1744&gt;0,CR1744*MAX(1,AG1744/X1744),IF(CA1744=1,IF(AG1744&lt;=0,0,CE1744*MAX(1,IF(H1744&gt;0,AG1744/H1744,1))),IF(R1744&gt;0,AH1744/R1744,0))/MAX(0.1,N(Parameter!$M$21)))</f>
        <v>0</v>
      </c>
      <c r="AJ1744" s="62" t="n">
        <f aca="false">AI1744*CC1744</f>
        <v>0</v>
      </c>
      <c r="AK1744" s="63" t="n">
        <f aca="false">IF(LEFT(Cockpit!$C$5,1)="A",H1744,IF(CI1744=1,(CL1744+CJ1744)/2,IF(LEFT(Cockpit!$C$5,1)="B",(CL1744+AM1744)/2,MAX((CL1744+AM1744)/2,H1744))))</f>
        <v>0</v>
      </c>
      <c r="AL1744" s="62" t="n">
        <f aca="false">AK1744*G1744</f>
        <v>0</v>
      </c>
      <c r="AM1744" s="62" t="n">
        <f aca="false">ROUNDUP(CL1744+MAX(CM1744,2*(J1744/IF(CH1744&gt;0,CH1744,MAX(0.1,N(Cockpit!$C$6)))-CL1744)),0)</f>
        <v>0</v>
      </c>
      <c r="AN1744" s="63" t="n">
        <f aca="false">IF(AJ1744&gt;0,J1744/AJ1744,-1)</f>
        <v>-1</v>
      </c>
      <c r="AO1744" s="63" t="str">
        <f aca="false">IF(AND(OR(CG1744="L1",CG1744="L23",CG1744="LIFT"),AJ1744&gt;0),SUMIFS($AJ$7:$AJ$1843,$CG$7:$CG$1843,CG1744,$AN$7:$AN$1843,"&gt;"&amp;AN1744)+SUMIFS($AJ$7:$AJ$1843,$CG$7:$CG$1843,CG1744,$AN$7:$AN$1843,AN1744,$BX$7:$BX$1843,"&lt;="&amp;BX1744),"")</f>
        <v/>
      </c>
      <c r="AP1744" s="70" t="n">
        <f aca="false">IF(AO1744="",0,MAX(0,MIN(1,(IF(CG1744="L1",Parameter!$H$5,IF(CG1744="L23",Parameter!$H$6+Parameter!$H$7,Parameter!$H$5+Parameter!$H$6+Parameter!$H$7))-(AO1744-AJ1744))/AJ1744)))</f>
        <v>0</v>
      </c>
      <c r="AQ1744" s="62" t="n">
        <f aca="false">IF(LEFT(Cockpit!$I$5,1)="A",H1744,IF(Parameter!$E$30="MAX-Bestand",IF(CI1744=1,CJ1744,IF(LEFT(Cockpit!$I$5,1)="B",AW1744,MAX(AW1744,H1744))),ROUNDUP(AU1744,0)))</f>
        <v>0</v>
      </c>
      <c r="AR1744" s="62" t="n">
        <f aca="false">IF(CA1744=1,0,ROUNDUP(AQ1744/BZ1744,0))</f>
        <v>0</v>
      </c>
      <c r="AS1744" s="64" t="n">
        <f aca="false">IF(CR1744&gt;0,CR1744*MAX(1,AQ1744/X1744),IF(CA1744=1,IF(AQ1744&lt;=0,0,CE1744*MAX(1,IF(H1744&gt;0,AQ1744/H1744,1))),IF(R1744&gt;0,AR1744/R1744,0))/MAX(0.1,N(Parameter!$M$21)))</f>
        <v>0</v>
      </c>
      <c r="AT1744" s="62" t="n">
        <f aca="false">AS1744*CC1744</f>
        <v>0</v>
      </c>
      <c r="AU1744" s="63" t="n">
        <f aca="false">IF(LEFT(Cockpit!$I$5,1)="A",H1744,IF(CI1744=1,(CL1744+CJ1744)/2,IF(LEFT(Cockpit!$I$5,1)="B",(CL1744+AW1744)/2,MAX((CL1744+AW1744)/2,H1744))))</f>
        <v>0</v>
      </c>
      <c r="AV1744" s="62" t="n">
        <f aca="false">AU1744*G1744</f>
        <v>0</v>
      </c>
      <c r="AW1744" s="62" t="n">
        <f aca="false">ROUNDUP(CL1744+MAX(CM1744,2*(J1744/IF(CH1744&gt;0,CH1744,MAX(0.1,N(Cockpit!$I$6)))-CL1744)),0)</f>
        <v>0</v>
      </c>
      <c r="AX1744" s="63" t="n">
        <f aca="false">IF(AT1744&gt;0,J1744/AT1744,-1)</f>
        <v>-1</v>
      </c>
      <c r="AY1744" s="63" t="str">
        <f aca="false">IF(AND(OR(CG1744="L1",CG1744="L23",CG1744="LIFT"),AT1744&gt;0),SUMIFS($AT$7:$AT$1843,$CG$7:$CG$1843,CG1744,$AX$7:$AX$1843,"&gt;"&amp;AX1744)+SUMIFS($AT$7:$AT$1843,$CG$7:$CG$1843,CG1744,$AX$7:$AX$1843,AX1744,$BX$7:$BX$1843,"&lt;="&amp;BX1744),"")</f>
        <v/>
      </c>
      <c r="AZ1744" s="70" t="n">
        <f aca="false">IF(AY1744="",0,MAX(0,MIN(1,(IF(CG1744="L1",Parameter!$H$5,IF(CG1744="L23",Parameter!$H$6+Parameter!$H$7,Parameter!$H$5+Parameter!$H$6+Parameter!$H$7))-(AY1744-AT1744))/AT1744)))</f>
        <v>0</v>
      </c>
      <c r="BA1744" s="62" t="n">
        <f aca="false">IF(LEFT(Cockpit!$O$5,1)="A",H1744,IF(Parameter!$E$30="MAX-Bestand",IF(CI1744=1,CJ1744,IF(LEFT(Cockpit!$O$5,1)="B",BG1744,MAX(BG1744,H1744))),ROUNDUP(BE1744,0)))</f>
        <v>0</v>
      </c>
      <c r="BB1744" s="62" t="n">
        <f aca="false">IF(CA1744=1,0,ROUNDUP(BA1744/BZ1744,0))</f>
        <v>0</v>
      </c>
      <c r="BC1744" s="64" t="n">
        <f aca="false">IF(CR1744&gt;0,CR1744*MAX(1,BA1744/X1744),IF(CA1744=1,IF(BA1744&lt;=0,0,CE1744*MAX(1,IF(H1744&gt;0,BA1744/H1744,1))),IF(R1744&gt;0,BB1744/R1744,0))/MAX(0.1,N(Parameter!$M$21)))</f>
        <v>0</v>
      </c>
      <c r="BD1744" s="62" t="n">
        <f aca="false">BC1744*CC1744</f>
        <v>0</v>
      </c>
      <c r="BE1744" s="63" t="n">
        <f aca="false">IF(LEFT(Cockpit!$O$5,1)="A",H1744,IF(CI1744=1,(CL1744+CJ1744)/2,IF(LEFT(Cockpit!$O$5,1)="B",(CL1744+BG1744)/2,MAX((CL1744+BG1744)/2,H1744))))</f>
        <v>0</v>
      </c>
      <c r="BF1744" s="62" t="n">
        <f aca="false">BE1744*G1744</f>
        <v>0</v>
      </c>
      <c r="BG1744" s="62" t="n">
        <f aca="false">ROUNDUP(CL1744+MAX(CM1744,2*(J1744/IF(CH1744&gt;0,CH1744,MAX(0.1,N(Cockpit!$O$6)))-CL1744)),0)</f>
        <v>0</v>
      </c>
      <c r="BH1744" s="63" t="n">
        <f aca="false">IF(BD1744&gt;0,J1744/BD1744,-1)</f>
        <v>-1</v>
      </c>
      <c r="BI1744" s="63" t="str">
        <f aca="false">IF(AND(OR(CG1744="L1",CG1744="L23",CG1744="LIFT"),BD1744&gt;0),SUMIFS($BD$7:$BD$1843,$CG$7:$CG$1843,CG1744,$BH$7:$BH$1843,"&gt;"&amp;BH1744)+SUMIFS($BD$7:$BD$1843,$CG$7:$CG$1843,CG1744,$BH$7:$BH$1843,BH1744,$BX$7:$BX$1843,"&lt;="&amp;BX1744),"")</f>
        <v/>
      </c>
      <c r="BJ1744" s="70" t="n">
        <f aca="false">IF(BI1744="",0,MAX(0,MIN(1,(IF(CG1744="L1",Parameter!$H$5,IF(CG1744="L23",Parameter!$H$6+Parameter!$H$7,Parameter!$H$5+Parameter!$H$6+Parameter!$H$7))-(BI1744-BD1744))/BD1744)))</f>
        <v>0</v>
      </c>
      <c r="BK1744" s="60" t="str">
        <f aca="false">IF(AJ1744&lt;=0,"",IF(CG1744="Aussen","Aussenlager",IF(CG1744="-","Nicht im Lift",IF(AP1744&gt;=1,"Lift",IF(AP1744&lt;=0,"Aussenlager","teilweise")))))</f>
        <v/>
      </c>
      <c r="BL1744" s="60" t="str">
        <f aca="false">IF(AT1744&lt;=0,"",IF(CG1744="Aussen","Aussenlager",IF(CG1744="-","Nicht im Lift",IF(AZ1744&gt;=1,"Lift",IF(AZ1744&lt;=0,"Aussenlager","teilweise")))))</f>
        <v/>
      </c>
      <c r="BM1744" s="60" t="str">
        <f aca="false">IF(BD1744&lt;=0,"",IF(CG1744="Aussen","Aussenlager",IF(CG1744="-","Nicht im Lift",IF(BJ1744&gt;=1,"Lift",IF(BJ1744&lt;=0,"Aussenlager","teilweise")))))</f>
        <v/>
      </c>
      <c r="BN1744" s="60" t="str">
        <f aca="false">IF(A1744="","",IF(BW1744=1,"Neu; ","")&amp;IF(AND(BW1744=0,BR1744&lt;0),"negativer Bestand (Export "&amp;BR1744&amp;"); ","")&amp;IF(J1744&lt;=0,"Kein Verbrauch; ","")&amp;IF(CR1744&gt;0,"Lift "&amp;W1744&amp;" lt. Liftbericht (Fach "&amp;X1744&amp;" Stk); ",IF(CB1744=1,"Gebinde geschätzt ("&amp;T1744&amp;"); ",IF(CA1744=1,"Lose – Tablare geschätzt; ","")))&amp;IF(H1744&gt;AW1744,"Überbestand "&amp;ROUND(H1744-AW1744,0)&amp;" Stk / CHF "&amp;ROUND((H1744-AW1744)*G1744,0)&amp;"; ","")&amp;IF(AND(CI1744=1,CJ1744&lt;CK1744),"MAX &lt; MB+LG; ","")&amp;IF(AND(CQ1744&gt;0,CP1744*10&gt;CQ1744),"zu hoch für Tablar; ","")&amp;IF(AND(BW1744=0,OR(CI1744=1,AB1744&lt;&gt;"",U1744&lt;&gt;"",V1744&lt;&gt;"",AC1744&lt;&gt;"")),"manuell übersteuert; ","")&amp;IF(AND(CA1744=0,R1744=0),"Gebinde unbekannt / Stellmass fehlt; ","")&amp;IF(AND(CA1744=0,N(V1744)&lt;=0,N(Q1744)&lt;=0),"Menge pro Gebinde fehlt (Ist = 1 Gebinde); ","")&amp;BV1744)</f>
        <v/>
      </c>
      <c r="BO1744" s="60"/>
      <c r="BP1744" s="60"/>
      <c r="BQ1744" s="67"/>
      <c r="BR1744" s="62" t="n">
        <f aca="false">N('Neue Artikel'!$D$5)</f>
        <v>0</v>
      </c>
      <c r="BS1744" s="62" t="n">
        <v>0</v>
      </c>
      <c r="BT1744" s="61" t="n">
        <v>0</v>
      </c>
      <c r="BU1744" s="62" t="n">
        <f aca="false">N('Neue Artikel'!$C$5)/Parameter!$B$18</f>
        <v>0</v>
      </c>
      <c r="BV1744" s="60"/>
      <c r="BW1744" s="65" t="n">
        <v>1</v>
      </c>
      <c r="BX1744" s="65" t="n">
        <v>1744</v>
      </c>
      <c r="BY1744" s="60" t="str">
        <f aca="false">IF(U1744&lt;&gt;"",UPPER(TRIM(U1744)),IF(CB1744=1,UPPER(VLOOKUP(T1744,Parameter!$I$27:$K$29,2,0)),IF(P1744="","LOSE",P1744)))</f>
        <v>LOSE</v>
      </c>
      <c r="BZ1744" s="62" t="n">
        <f aca="false">IF(BY1744="LOSE",1,IF(N(V1744)&gt;0,V1744,IF(CB1744=1,MAX(1,N(VLOOKUP(T1744,Parameter!$I$27:$K$29,3,0)),H1744,N(N1744)),IF(N(Q1744)&gt;0,Q1744,MAX(1,H1744)))))</f>
        <v>1</v>
      </c>
      <c r="CA1744" s="65" t="n">
        <f aca="false">IF(BY1744="LOSE",1,0)</f>
        <v>1</v>
      </c>
      <c r="CB1744" s="65" t="n">
        <f aca="false">IF(AND(U1744="",OR(P1744="",P1744="LOSE"),T1744&lt;&gt;"",N(S1744)&lt;=0,ISNUMBER(MATCH(T1744,Parameter!$I$27:$I$29,0))),1,0)</f>
        <v>0</v>
      </c>
      <c r="CC1744" s="65" t="n">
        <f aca="false">IF(CR1744&gt;0,INDEX(Parameter!$H$5:$H$7,W1744)/INDEX(Parameter!$E$5:$E$7,W1744),IF(AND(CA1744=0,N(IFERROR(VLOOKUP(BY1744,'Gebinde-Kategorie'!$A$5:$N$45,14,0),0))&gt;0),VLOOKUP(BY1744,'Gebinde-Kategorie'!$A$5:$N$45,14,0)*10+Parameter!$M$23,Parameter!$M$24))</f>
        <v>235</v>
      </c>
      <c r="CD1744" s="60" t="str">
        <f aca="false">IF(AND(Parameter!$B$19="Ja",E1744&lt;&gt;"",ISNUMBER(MATCH(E1744,Parameter!$I$35:$I$52,0))),VLOOKUP(E1744,Parameter!$I$35:$J$52,2,0),IFERROR(VLOOKUP(D1744,Parameter!$A$35:$C$64,2,0),"Nein"))</f>
        <v>2+3</v>
      </c>
      <c r="CE1744" s="64" t="n">
        <f aca="false">IF(CA1744=0,0,IF(N(S1744)&gt;0,S1744,IFERROR(VLOOKUP(D1744,Parameter!$A$35:$C$64,3,0)+0,0)))</f>
        <v>0.15</v>
      </c>
      <c r="CF1744" s="60" t="str">
        <f aca="false">IF(AB1744&lt;&gt;"",AB1744,AA1744)</f>
        <v/>
      </c>
      <c r="CG1744" s="60" t="str">
        <f aca="false">IF(OR(CF1744=1,CF1744=2,CF1744=3),IF(Parameter!$E$27="Ja","LIFT",IF(CF1744=1,"L1","L23")),IF(CF1744="Aussen","Aussen","-"))</f>
        <v>-</v>
      </c>
      <c r="CH1744" s="71" t="n">
        <f aca="false">IF(N(AC1744)&gt;0,AC1744,0)</f>
        <v>0</v>
      </c>
      <c r="CI1744" s="65" t="n">
        <f aca="false">IF(ISNUMBER(AF1744),1,0)</f>
        <v>0</v>
      </c>
      <c r="CJ1744" s="62" t="n">
        <f aca="false">N(AF1744)</f>
        <v>0</v>
      </c>
      <c r="CK1744" s="62" t="n">
        <f aca="false">N(M1744)+N(N1744)</f>
        <v>0</v>
      </c>
      <c r="CL1744" s="62" t="n">
        <f aca="false">N(M1744)</f>
        <v>0</v>
      </c>
      <c r="CM1744" s="62" t="n">
        <f aca="false">N(N1744)</f>
        <v>0</v>
      </c>
      <c r="CN1744" s="62" t="n">
        <f aca="false">ROUNDUP(H1744/BZ1744,0)</f>
        <v>0</v>
      </c>
      <c r="CO1744" s="62" t="n">
        <f aca="false">ROUNDUP(CJ1744/BZ1744,0)</f>
        <v>0</v>
      </c>
      <c r="CP1744" s="65" t="n">
        <f aca="false">IF(CA1744=1,0,IFERROR(VLOOKUP(BY1744,'Gebinde-Kategorie'!$A$5:$N$45,5,0)+0,0))</f>
        <v>0</v>
      </c>
      <c r="CQ1744" s="65" t="n">
        <f aca="false">IFERROR(IF(OR(CF1744=1,CF1744=2,CF1744=3),N(INDEX(Parameter!$I$5:$I$7,CF1744)),0),0)</f>
        <v>0</v>
      </c>
      <c r="CR1744" s="64" t="n">
        <f aca="false">IF(AND(Parameter!$B$21="Ja",ISNUMBER(W1744),N(X1744)&gt;0),IFERROR(N(INDEX(Parameter!$L$5:$L$7,W1744))*INDEX(Parameter!$E$5:$E$7,W1744)*X1744/SUMIFS($X$7:$X$1843,$W$7:$W$1843,W1744),0),0)</f>
        <v>0</v>
      </c>
      <c r="CS1744" s="62" t="str">
        <f aca="false">IF(AND(OR(CG1744="L1",CG1744="L23",CG1744="LIFT"),H1744&gt;0),CC1744*IF(CR1744&gt;0,CR1744*MAX(1,H1744/X1744),IF(CA1744=1,CE1744,IF(R1744&gt;0,CN1744/R1744,0))/MAX(0.1,N(Parameter!$M$21))),"")</f>
        <v/>
      </c>
      <c r="CT1744" s="64" t="str">
        <f aca="false">IF(CS1744="","",J1744/H1744)</f>
        <v/>
      </c>
      <c r="CU1744" s="62" t="str">
        <f aca="false">IF(CS1744="","",H1744*G1744)</f>
        <v/>
      </c>
      <c r="CV1744" s="63" t="str">
        <f aca="false">IF(CS1744="","",(CL1744+ROUNDUP(CL1744+MAX(CM1744,2*(J1744/MAX(0.1,N(Einkauf!$C$6))-CL1744)),0))/2)</f>
        <v/>
      </c>
      <c r="CW1744" s="62" t="str">
        <f aca="false">IF(CS1744="","",MAX(0,H1744-CV1744)*G1744)</f>
        <v/>
      </c>
      <c r="CX1744" s="62" t="str">
        <f aca="false">IF(CS1744="","",CS1744*MAX(0,1-CV1744/H1744))</f>
        <v/>
      </c>
      <c r="CY1744" s="64" t="str">
        <f aca="false">IF(CS1744="","",PERCENTRANK($CS$7:$CS$1843,CS1744)+PERCENTRANK($CU$7:$CU$1843,CU1744)+1-PERCENTRANK($CT$7:$CT$1843,CT1744))</f>
        <v/>
      </c>
      <c r="CZ1744" s="72" t="str">
        <f aca="false">IF(CS1744="","",CHOOSE(MATCH(Einkauf!$C$5,Parameter!$G$23:$G$27,0),CY1744,CS1744,CU1744,-CT1744,CW1744)+ROW()/1000000000)</f>
        <v/>
      </c>
    </row>
    <row r="1745" customFormat="false" ht="15" hidden="false" customHeight="false" outlineLevel="0" collapsed="false">
      <c r="A1745" s="60" t="str">
        <f aca="false">IF('Neue Artikel'!$A$6="","",'Neue Artikel'!$A$6&amp;"")</f>
        <v/>
      </c>
      <c r="B1745" s="60" t="str">
        <f aca="false">'Neue Artikel'!$B$6&amp;""</f>
        <v/>
      </c>
      <c r="C1745" s="60"/>
      <c r="D1745" s="60" t="s">
        <v>3057</v>
      </c>
      <c r="E1745" s="60"/>
      <c r="F1745" s="60"/>
      <c r="G1745" s="61" t="n">
        <f aca="false">N('Neue Artikel'!$G$6)</f>
        <v>0</v>
      </c>
      <c r="H1745" s="62" t="n">
        <f aca="false">MAX(0,IF(AND(Parameter!$B$21="Ja",ISNUMBER(Y1745)),Y1745,IF(Parameter!$B$20="Jahresanfang 2025 + Export",BS1745+BR1745,BR1745)))</f>
        <v>0</v>
      </c>
      <c r="I1745" s="62" t="n">
        <f aca="false">H1745*G1745</f>
        <v>0</v>
      </c>
      <c r="J1745" s="62" t="n">
        <f aca="false">BU1745*Parameter!$B$18</f>
        <v>0</v>
      </c>
      <c r="K1745" s="63"/>
      <c r="L1745" s="64"/>
      <c r="M1745" s="62" t="n">
        <f aca="false">N('Neue Artikel'!$E$6)</f>
        <v>0</v>
      </c>
      <c r="N1745" s="62" t="n">
        <f aca="false">N('Neue Artikel'!$F$6)</f>
        <v>0</v>
      </c>
      <c r="O1745" s="65"/>
      <c r="P1745" s="60" t="str">
        <f aca="false">IF('Neue Artikel'!$H$6="","LOSE",UPPER(TRIM('Neue Artikel'!$H$6)))</f>
        <v>LOSE</v>
      </c>
      <c r="Q1745" s="62" t="n">
        <f aca="false">N('Neue Artikel'!$I$6)</f>
        <v>0</v>
      </c>
      <c r="R1745" s="65" t="n">
        <f aca="false">IF(CA1745=1,0,IFERROR(VLOOKUP(BY1745,'Gebinde-Kategorie'!$A$5:$N$45,13,0)+0,0))</f>
        <v>0</v>
      </c>
      <c r="S1745" s="66"/>
      <c r="T1745" s="67"/>
      <c r="U1745" s="67"/>
      <c r="V1745" s="67"/>
      <c r="W1745" s="60"/>
      <c r="X1745" s="62"/>
      <c r="Y1745" s="62"/>
      <c r="Z1745" s="60"/>
      <c r="AA1745" s="60" t="str">
        <f aca="false">IF(A1745="","",IF(AND(Parameter!$B$21="Ja",ISNUMBER(W1745)),W1745,IF(AND(Parameter!$E$27="Ja",ISNUMBER(Z1745),CD1745&lt;&gt;"Nein"),Z1745,IF(CD1745="2+3",IF(ISNUMBER(SEARCH("grosser Artikel",BV1745)),2,IFERROR(VLOOKUP(BY1745,Parameter!$F$35:$G$64,2,0),2)),IF(OR(CD1745="Nein",CD1745=""),"-",CD1745)))))</f>
        <v/>
      </c>
      <c r="AB1745" s="60" t="str">
        <f aca="false">IF('Neue Artikel'!$J$6="","",'Neue Artikel'!$J$6)</f>
        <v/>
      </c>
      <c r="AC1745" s="68"/>
      <c r="AD1745" s="62" t="n">
        <f aca="false">AW1745</f>
        <v>0</v>
      </c>
      <c r="AE1745" s="62" t="n">
        <f aca="false">MAX(AW1745,H1745)</f>
        <v>0</v>
      </c>
      <c r="AF1745" s="69"/>
      <c r="AG1745" s="62" t="n">
        <f aca="false">IF(LEFT(Cockpit!$C$5,1)="A",H1745,IF(Parameter!$E$30="MAX-Bestand",IF(CI1745=1,CJ1745,IF(LEFT(Cockpit!$C$5,1)="B",AM1745,MAX(AM1745,H1745))),ROUNDUP(AK1745,0)))</f>
        <v>0</v>
      </c>
      <c r="AH1745" s="62" t="n">
        <f aca="false">IF(CA1745=1,0,ROUNDUP(AG1745/BZ1745,0))</f>
        <v>0</v>
      </c>
      <c r="AI1745" s="64" t="n">
        <f aca="false">IF(CR1745&gt;0,CR1745*MAX(1,AG1745/X1745),IF(CA1745=1,IF(AG1745&lt;=0,0,CE1745*MAX(1,IF(H1745&gt;0,AG1745/H1745,1))),IF(R1745&gt;0,AH1745/R1745,0))/MAX(0.1,N(Parameter!$M$21)))</f>
        <v>0</v>
      </c>
      <c r="AJ1745" s="62" t="n">
        <f aca="false">AI1745*CC1745</f>
        <v>0</v>
      </c>
      <c r="AK1745" s="63" t="n">
        <f aca="false">IF(LEFT(Cockpit!$C$5,1)="A",H1745,IF(CI1745=1,(CL1745+CJ1745)/2,IF(LEFT(Cockpit!$C$5,1)="B",(CL1745+AM1745)/2,MAX((CL1745+AM1745)/2,H1745))))</f>
        <v>0</v>
      </c>
      <c r="AL1745" s="62" t="n">
        <f aca="false">AK1745*G1745</f>
        <v>0</v>
      </c>
      <c r="AM1745" s="62" t="n">
        <f aca="false">ROUNDUP(CL1745+MAX(CM1745,2*(J1745/IF(CH1745&gt;0,CH1745,MAX(0.1,N(Cockpit!$C$6)))-CL1745)),0)</f>
        <v>0</v>
      </c>
      <c r="AN1745" s="63" t="n">
        <f aca="false">IF(AJ1745&gt;0,J1745/AJ1745,-1)</f>
        <v>-1</v>
      </c>
      <c r="AO1745" s="63" t="str">
        <f aca="false">IF(AND(OR(CG1745="L1",CG1745="L23",CG1745="LIFT"),AJ1745&gt;0),SUMIFS($AJ$7:$AJ$1843,$CG$7:$CG$1843,CG1745,$AN$7:$AN$1843,"&gt;"&amp;AN1745)+SUMIFS($AJ$7:$AJ$1843,$CG$7:$CG$1843,CG1745,$AN$7:$AN$1843,AN1745,$BX$7:$BX$1843,"&lt;="&amp;BX1745),"")</f>
        <v/>
      </c>
      <c r="AP1745" s="70" t="n">
        <f aca="false">IF(AO1745="",0,MAX(0,MIN(1,(IF(CG1745="L1",Parameter!$H$5,IF(CG1745="L23",Parameter!$H$6+Parameter!$H$7,Parameter!$H$5+Parameter!$H$6+Parameter!$H$7))-(AO1745-AJ1745))/AJ1745)))</f>
        <v>0</v>
      </c>
      <c r="AQ1745" s="62" t="n">
        <f aca="false">IF(LEFT(Cockpit!$I$5,1)="A",H1745,IF(Parameter!$E$30="MAX-Bestand",IF(CI1745=1,CJ1745,IF(LEFT(Cockpit!$I$5,1)="B",AW1745,MAX(AW1745,H1745))),ROUNDUP(AU1745,0)))</f>
        <v>0</v>
      </c>
      <c r="AR1745" s="62" t="n">
        <f aca="false">IF(CA1745=1,0,ROUNDUP(AQ1745/BZ1745,0))</f>
        <v>0</v>
      </c>
      <c r="AS1745" s="64" t="n">
        <f aca="false">IF(CR1745&gt;0,CR1745*MAX(1,AQ1745/X1745),IF(CA1745=1,IF(AQ1745&lt;=0,0,CE1745*MAX(1,IF(H1745&gt;0,AQ1745/H1745,1))),IF(R1745&gt;0,AR1745/R1745,0))/MAX(0.1,N(Parameter!$M$21)))</f>
        <v>0</v>
      </c>
      <c r="AT1745" s="62" t="n">
        <f aca="false">AS1745*CC1745</f>
        <v>0</v>
      </c>
      <c r="AU1745" s="63" t="n">
        <f aca="false">IF(LEFT(Cockpit!$I$5,1)="A",H1745,IF(CI1745=1,(CL1745+CJ1745)/2,IF(LEFT(Cockpit!$I$5,1)="B",(CL1745+AW1745)/2,MAX((CL1745+AW1745)/2,H1745))))</f>
        <v>0</v>
      </c>
      <c r="AV1745" s="62" t="n">
        <f aca="false">AU1745*G1745</f>
        <v>0</v>
      </c>
      <c r="AW1745" s="62" t="n">
        <f aca="false">ROUNDUP(CL1745+MAX(CM1745,2*(J1745/IF(CH1745&gt;0,CH1745,MAX(0.1,N(Cockpit!$I$6)))-CL1745)),0)</f>
        <v>0</v>
      </c>
      <c r="AX1745" s="63" t="n">
        <f aca="false">IF(AT1745&gt;0,J1745/AT1745,-1)</f>
        <v>-1</v>
      </c>
      <c r="AY1745" s="63" t="str">
        <f aca="false">IF(AND(OR(CG1745="L1",CG1745="L23",CG1745="LIFT"),AT1745&gt;0),SUMIFS($AT$7:$AT$1843,$CG$7:$CG$1843,CG1745,$AX$7:$AX$1843,"&gt;"&amp;AX1745)+SUMIFS($AT$7:$AT$1843,$CG$7:$CG$1843,CG1745,$AX$7:$AX$1843,AX1745,$BX$7:$BX$1843,"&lt;="&amp;BX1745),"")</f>
        <v/>
      </c>
      <c r="AZ1745" s="70" t="n">
        <f aca="false">IF(AY1745="",0,MAX(0,MIN(1,(IF(CG1745="L1",Parameter!$H$5,IF(CG1745="L23",Parameter!$H$6+Parameter!$H$7,Parameter!$H$5+Parameter!$H$6+Parameter!$H$7))-(AY1745-AT1745))/AT1745)))</f>
        <v>0</v>
      </c>
      <c r="BA1745" s="62" t="n">
        <f aca="false">IF(LEFT(Cockpit!$O$5,1)="A",H1745,IF(Parameter!$E$30="MAX-Bestand",IF(CI1745=1,CJ1745,IF(LEFT(Cockpit!$O$5,1)="B",BG1745,MAX(BG1745,H1745))),ROUNDUP(BE1745,0)))</f>
        <v>0</v>
      </c>
      <c r="BB1745" s="62" t="n">
        <f aca="false">IF(CA1745=1,0,ROUNDUP(BA1745/BZ1745,0))</f>
        <v>0</v>
      </c>
      <c r="BC1745" s="64" t="n">
        <f aca="false">IF(CR1745&gt;0,CR1745*MAX(1,BA1745/X1745),IF(CA1745=1,IF(BA1745&lt;=0,0,CE1745*MAX(1,IF(H1745&gt;0,BA1745/H1745,1))),IF(R1745&gt;0,BB1745/R1745,0))/MAX(0.1,N(Parameter!$M$21)))</f>
        <v>0</v>
      </c>
      <c r="BD1745" s="62" t="n">
        <f aca="false">BC1745*CC1745</f>
        <v>0</v>
      </c>
      <c r="BE1745" s="63" t="n">
        <f aca="false">IF(LEFT(Cockpit!$O$5,1)="A",H1745,IF(CI1745=1,(CL1745+CJ1745)/2,IF(LEFT(Cockpit!$O$5,1)="B",(CL1745+BG1745)/2,MAX((CL1745+BG1745)/2,H1745))))</f>
        <v>0</v>
      </c>
      <c r="BF1745" s="62" t="n">
        <f aca="false">BE1745*G1745</f>
        <v>0</v>
      </c>
      <c r="BG1745" s="62" t="n">
        <f aca="false">ROUNDUP(CL1745+MAX(CM1745,2*(J1745/IF(CH1745&gt;0,CH1745,MAX(0.1,N(Cockpit!$O$6)))-CL1745)),0)</f>
        <v>0</v>
      </c>
      <c r="BH1745" s="63" t="n">
        <f aca="false">IF(BD1745&gt;0,J1745/BD1745,-1)</f>
        <v>-1</v>
      </c>
      <c r="BI1745" s="63" t="str">
        <f aca="false">IF(AND(OR(CG1745="L1",CG1745="L23",CG1745="LIFT"),BD1745&gt;0),SUMIFS($BD$7:$BD$1843,$CG$7:$CG$1843,CG1745,$BH$7:$BH$1843,"&gt;"&amp;BH1745)+SUMIFS($BD$7:$BD$1843,$CG$7:$CG$1843,CG1745,$BH$7:$BH$1843,BH1745,$BX$7:$BX$1843,"&lt;="&amp;BX1745),"")</f>
        <v/>
      </c>
      <c r="BJ1745" s="70" t="n">
        <f aca="false">IF(BI1745="",0,MAX(0,MIN(1,(IF(CG1745="L1",Parameter!$H$5,IF(CG1745="L23",Parameter!$H$6+Parameter!$H$7,Parameter!$H$5+Parameter!$H$6+Parameter!$H$7))-(BI1745-BD1745))/BD1745)))</f>
        <v>0</v>
      </c>
      <c r="BK1745" s="60" t="str">
        <f aca="false">IF(AJ1745&lt;=0,"",IF(CG1745="Aussen","Aussenlager",IF(CG1745="-","Nicht im Lift",IF(AP1745&gt;=1,"Lift",IF(AP1745&lt;=0,"Aussenlager","teilweise")))))</f>
        <v/>
      </c>
      <c r="BL1745" s="60" t="str">
        <f aca="false">IF(AT1745&lt;=0,"",IF(CG1745="Aussen","Aussenlager",IF(CG1745="-","Nicht im Lift",IF(AZ1745&gt;=1,"Lift",IF(AZ1745&lt;=0,"Aussenlager","teilweise")))))</f>
        <v/>
      </c>
      <c r="BM1745" s="60" t="str">
        <f aca="false">IF(BD1745&lt;=0,"",IF(CG1745="Aussen","Aussenlager",IF(CG1745="-","Nicht im Lift",IF(BJ1745&gt;=1,"Lift",IF(BJ1745&lt;=0,"Aussenlager","teilweise")))))</f>
        <v/>
      </c>
      <c r="BN1745" s="60" t="str">
        <f aca="false">IF(A1745="","",IF(BW1745=1,"Neu; ","")&amp;IF(AND(BW1745=0,BR1745&lt;0),"negativer Bestand (Export "&amp;BR1745&amp;"); ","")&amp;IF(J1745&lt;=0,"Kein Verbrauch; ","")&amp;IF(CR1745&gt;0,"Lift "&amp;W1745&amp;" lt. Liftbericht (Fach "&amp;X1745&amp;" Stk); ",IF(CB1745=1,"Gebinde geschätzt ("&amp;T1745&amp;"); ",IF(CA1745=1,"Lose – Tablare geschätzt; ","")))&amp;IF(H1745&gt;AW1745,"Überbestand "&amp;ROUND(H1745-AW1745,0)&amp;" Stk / CHF "&amp;ROUND((H1745-AW1745)*G1745,0)&amp;"; ","")&amp;IF(AND(CI1745=1,CJ1745&lt;CK1745),"MAX &lt; MB+LG; ","")&amp;IF(AND(CQ1745&gt;0,CP1745*10&gt;CQ1745),"zu hoch für Tablar; ","")&amp;IF(AND(BW1745=0,OR(CI1745=1,AB1745&lt;&gt;"",U1745&lt;&gt;"",V1745&lt;&gt;"",AC1745&lt;&gt;"")),"manuell übersteuert; ","")&amp;IF(AND(CA1745=0,R1745=0),"Gebinde unbekannt / Stellmass fehlt; ","")&amp;IF(AND(CA1745=0,N(V1745)&lt;=0,N(Q1745)&lt;=0),"Menge pro Gebinde fehlt (Ist = 1 Gebinde); ","")&amp;BV1745)</f>
        <v/>
      </c>
      <c r="BO1745" s="60"/>
      <c r="BP1745" s="60"/>
      <c r="BQ1745" s="67"/>
      <c r="BR1745" s="62" t="n">
        <f aca="false">N('Neue Artikel'!$D$6)</f>
        <v>0</v>
      </c>
      <c r="BS1745" s="62" t="n">
        <v>0</v>
      </c>
      <c r="BT1745" s="61" t="n">
        <v>0</v>
      </c>
      <c r="BU1745" s="62" t="n">
        <f aca="false">N('Neue Artikel'!$C$6)/Parameter!$B$18</f>
        <v>0</v>
      </c>
      <c r="BV1745" s="60"/>
      <c r="BW1745" s="65" t="n">
        <v>1</v>
      </c>
      <c r="BX1745" s="65" t="n">
        <v>1745</v>
      </c>
      <c r="BY1745" s="60" t="str">
        <f aca="false">IF(U1745&lt;&gt;"",UPPER(TRIM(U1745)),IF(CB1745=1,UPPER(VLOOKUP(T1745,Parameter!$I$27:$K$29,2,0)),IF(P1745="","LOSE",P1745)))</f>
        <v>LOSE</v>
      </c>
      <c r="BZ1745" s="62" t="n">
        <f aca="false">IF(BY1745="LOSE",1,IF(N(V1745)&gt;0,V1745,IF(CB1745=1,MAX(1,N(VLOOKUP(T1745,Parameter!$I$27:$K$29,3,0)),H1745,N(N1745)),IF(N(Q1745)&gt;0,Q1745,MAX(1,H1745)))))</f>
        <v>1</v>
      </c>
      <c r="CA1745" s="65" t="n">
        <f aca="false">IF(BY1745="LOSE",1,0)</f>
        <v>1</v>
      </c>
      <c r="CB1745" s="65" t="n">
        <f aca="false">IF(AND(U1745="",OR(P1745="",P1745="LOSE"),T1745&lt;&gt;"",N(S1745)&lt;=0,ISNUMBER(MATCH(T1745,Parameter!$I$27:$I$29,0))),1,0)</f>
        <v>0</v>
      </c>
      <c r="CC1745" s="65" t="n">
        <f aca="false">IF(CR1745&gt;0,INDEX(Parameter!$H$5:$H$7,W1745)/INDEX(Parameter!$E$5:$E$7,W1745),IF(AND(CA1745=0,N(IFERROR(VLOOKUP(BY1745,'Gebinde-Kategorie'!$A$5:$N$45,14,0),0))&gt;0),VLOOKUP(BY1745,'Gebinde-Kategorie'!$A$5:$N$45,14,0)*10+Parameter!$M$23,Parameter!$M$24))</f>
        <v>235</v>
      </c>
      <c r="CD1745" s="60" t="str">
        <f aca="false">IF(AND(Parameter!$B$19="Ja",E1745&lt;&gt;"",ISNUMBER(MATCH(E1745,Parameter!$I$35:$I$52,0))),VLOOKUP(E1745,Parameter!$I$35:$J$52,2,0),IFERROR(VLOOKUP(D1745,Parameter!$A$35:$C$64,2,0),"Nein"))</f>
        <v>2+3</v>
      </c>
      <c r="CE1745" s="64" t="n">
        <f aca="false">IF(CA1745=0,0,IF(N(S1745)&gt;0,S1745,IFERROR(VLOOKUP(D1745,Parameter!$A$35:$C$64,3,0)+0,0)))</f>
        <v>0.15</v>
      </c>
      <c r="CF1745" s="60" t="str">
        <f aca="false">IF(AB1745&lt;&gt;"",AB1745,AA1745)</f>
        <v/>
      </c>
      <c r="CG1745" s="60" t="str">
        <f aca="false">IF(OR(CF1745=1,CF1745=2,CF1745=3),IF(Parameter!$E$27="Ja","LIFT",IF(CF1745=1,"L1","L23")),IF(CF1745="Aussen","Aussen","-"))</f>
        <v>-</v>
      </c>
      <c r="CH1745" s="71" t="n">
        <f aca="false">IF(N(AC1745)&gt;0,AC1745,0)</f>
        <v>0</v>
      </c>
      <c r="CI1745" s="65" t="n">
        <f aca="false">IF(ISNUMBER(AF1745),1,0)</f>
        <v>0</v>
      </c>
      <c r="CJ1745" s="62" t="n">
        <f aca="false">N(AF1745)</f>
        <v>0</v>
      </c>
      <c r="CK1745" s="62" t="n">
        <f aca="false">N(M1745)+N(N1745)</f>
        <v>0</v>
      </c>
      <c r="CL1745" s="62" t="n">
        <f aca="false">N(M1745)</f>
        <v>0</v>
      </c>
      <c r="CM1745" s="62" t="n">
        <f aca="false">N(N1745)</f>
        <v>0</v>
      </c>
      <c r="CN1745" s="62" t="n">
        <f aca="false">ROUNDUP(H1745/BZ1745,0)</f>
        <v>0</v>
      </c>
      <c r="CO1745" s="62" t="n">
        <f aca="false">ROUNDUP(CJ1745/BZ1745,0)</f>
        <v>0</v>
      </c>
      <c r="CP1745" s="65" t="n">
        <f aca="false">IF(CA1745=1,0,IFERROR(VLOOKUP(BY1745,'Gebinde-Kategorie'!$A$5:$N$45,5,0)+0,0))</f>
        <v>0</v>
      </c>
      <c r="CQ1745" s="65" t="n">
        <f aca="false">IFERROR(IF(OR(CF1745=1,CF1745=2,CF1745=3),N(INDEX(Parameter!$I$5:$I$7,CF1745)),0),0)</f>
        <v>0</v>
      </c>
      <c r="CR1745" s="64" t="n">
        <f aca="false">IF(AND(Parameter!$B$21="Ja",ISNUMBER(W1745),N(X1745)&gt;0),IFERROR(N(INDEX(Parameter!$L$5:$L$7,W1745))*INDEX(Parameter!$E$5:$E$7,W1745)*X1745/SUMIFS($X$7:$X$1843,$W$7:$W$1843,W1745),0),0)</f>
        <v>0</v>
      </c>
      <c r="CS1745" s="62" t="str">
        <f aca="false">IF(AND(OR(CG1745="L1",CG1745="L23",CG1745="LIFT"),H1745&gt;0),CC1745*IF(CR1745&gt;0,CR1745*MAX(1,H1745/X1745),IF(CA1745=1,CE1745,IF(R1745&gt;0,CN1745/R1745,0))/MAX(0.1,N(Parameter!$M$21))),"")</f>
        <v/>
      </c>
      <c r="CT1745" s="64" t="str">
        <f aca="false">IF(CS1745="","",J1745/H1745)</f>
        <v/>
      </c>
      <c r="CU1745" s="62" t="str">
        <f aca="false">IF(CS1745="","",H1745*G1745)</f>
        <v/>
      </c>
      <c r="CV1745" s="63" t="str">
        <f aca="false">IF(CS1745="","",(CL1745+ROUNDUP(CL1745+MAX(CM1745,2*(J1745/MAX(0.1,N(Einkauf!$C$6))-CL1745)),0))/2)</f>
        <v/>
      </c>
      <c r="CW1745" s="62" t="str">
        <f aca="false">IF(CS1745="","",MAX(0,H1745-CV1745)*G1745)</f>
        <v/>
      </c>
      <c r="CX1745" s="62" t="str">
        <f aca="false">IF(CS1745="","",CS1745*MAX(0,1-CV1745/H1745))</f>
        <v/>
      </c>
      <c r="CY1745" s="64" t="str">
        <f aca="false">IF(CS1745="","",PERCENTRANK($CS$7:$CS$1843,CS1745)+PERCENTRANK($CU$7:$CU$1843,CU1745)+1-PERCENTRANK($CT$7:$CT$1843,CT1745))</f>
        <v/>
      </c>
      <c r="CZ1745" s="72" t="str">
        <f aca="false">IF(CS1745="","",CHOOSE(MATCH(Einkauf!$C$5,Parameter!$G$23:$G$27,0),CY1745,CS1745,CU1745,-CT1745,CW1745)+ROW()/1000000000)</f>
        <v/>
      </c>
    </row>
    <row r="1746" customFormat="false" ht="15" hidden="false" customHeight="false" outlineLevel="0" collapsed="false">
      <c r="A1746" s="60" t="str">
        <f aca="false">IF('Neue Artikel'!$A$7="","",'Neue Artikel'!$A$7&amp;"")</f>
        <v/>
      </c>
      <c r="B1746" s="60" t="str">
        <f aca="false">'Neue Artikel'!$B$7&amp;""</f>
        <v/>
      </c>
      <c r="C1746" s="60"/>
      <c r="D1746" s="60" t="s">
        <v>3057</v>
      </c>
      <c r="E1746" s="60"/>
      <c r="F1746" s="60"/>
      <c r="G1746" s="61" t="n">
        <f aca="false">N('Neue Artikel'!$G$7)</f>
        <v>0</v>
      </c>
      <c r="H1746" s="62" t="n">
        <f aca="false">MAX(0,IF(AND(Parameter!$B$21="Ja",ISNUMBER(Y1746)),Y1746,IF(Parameter!$B$20="Jahresanfang 2025 + Export",BS1746+BR1746,BR1746)))</f>
        <v>0</v>
      </c>
      <c r="I1746" s="62" t="n">
        <f aca="false">H1746*G1746</f>
        <v>0</v>
      </c>
      <c r="J1746" s="62" t="n">
        <f aca="false">BU1746*Parameter!$B$18</f>
        <v>0</v>
      </c>
      <c r="K1746" s="63"/>
      <c r="L1746" s="64"/>
      <c r="M1746" s="62" t="n">
        <f aca="false">N('Neue Artikel'!$E$7)</f>
        <v>0</v>
      </c>
      <c r="N1746" s="62" t="n">
        <f aca="false">N('Neue Artikel'!$F$7)</f>
        <v>0</v>
      </c>
      <c r="O1746" s="65"/>
      <c r="P1746" s="60" t="str">
        <f aca="false">IF('Neue Artikel'!$H$7="","LOSE",UPPER(TRIM('Neue Artikel'!$H$7)))</f>
        <v>LOSE</v>
      </c>
      <c r="Q1746" s="62" t="n">
        <f aca="false">N('Neue Artikel'!$I$7)</f>
        <v>0</v>
      </c>
      <c r="R1746" s="65" t="n">
        <f aca="false">IF(CA1746=1,0,IFERROR(VLOOKUP(BY1746,'Gebinde-Kategorie'!$A$5:$N$45,13,0)+0,0))</f>
        <v>0</v>
      </c>
      <c r="S1746" s="66"/>
      <c r="T1746" s="67"/>
      <c r="U1746" s="67"/>
      <c r="V1746" s="67"/>
      <c r="W1746" s="60"/>
      <c r="X1746" s="62"/>
      <c r="Y1746" s="62"/>
      <c r="Z1746" s="60"/>
      <c r="AA1746" s="60" t="str">
        <f aca="false">IF(A1746="","",IF(AND(Parameter!$B$21="Ja",ISNUMBER(W1746)),W1746,IF(AND(Parameter!$E$27="Ja",ISNUMBER(Z1746),CD1746&lt;&gt;"Nein"),Z1746,IF(CD1746="2+3",IF(ISNUMBER(SEARCH("grosser Artikel",BV1746)),2,IFERROR(VLOOKUP(BY1746,Parameter!$F$35:$G$64,2,0),2)),IF(OR(CD1746="Nein",CD1746=""),"-",CD1746)))))</f>
        <v/>
      </c>
      <c r="AB1746" s="60" t="str">
        <f aca="false">IF('Neue Artikel'!$J$7="","",'Neue Artikel'!$J$7)</f>
        <v/>
      </c>
      <c r="AC1746" s="68"/>
      <c r="AD1746" s="62" t="n">
        <f aca="false">AW1746</f>
        <v>0</v>
      </c>
      <c r="AE1746" s="62" t="n">
        <f aca="false">MAX(AW1746,H1746)</f>
        <v>0</v>
      </c>
      <c r="AF1746" s="69"/>
      <c r="AG1746" s="62" t="n">
        <f aca="false">IF(LEFT(Cockpit!$C$5,1)="A",H1746,IF(Parameter!$E$30="MAX-Bestand",IF(CI1746=1,CJ1746,IF(LEFT(Cockpit!$C$5,1)="B",AM1746,MAX(AM1746,H1746))),ROUNDUP(AK1746,0)))</f>
        <v>0</v>
      </c>
      <c r="AH1746" s="62" t="n">
        <f aca="false">IF(CA1746=1,0,ROUNDUP(AG1746/BZ1746,0))</f>
        <v>0</v>
      </c>
      <c r="AI1746" s="64" t="n">
        <f aca="false">IF(CR1746&gt;0,CR1746*MAX(1,AG1746/X1746),IF(CA1746=1,IF(AG1746&lt;=0,0,CE1746*MAX(1,IF(H1746&gt;0,AG1746/H1746,1))),IF(R1746&gt;0,AH1746/R1746,0))/MAX(0.1,N(Parameter!$M$21)))</f>
        <v>0</v>
      </c>
      <c r="AJ1746" s="62" t="n">
        <f aca="false">AI1746*CC1746</f>
        <v>0</v>
      </c>
      <c r="AK1746" s="63" t="n">
        <f aca="false">IF(LEFT(Cockpit!$C$5,1)="A",H1746,IF(CI1746=1,(CL1746+CJ1746)/2,IF(LEFT(Cockpit!$C$5,1)="B",(CL1746+AM1746)/2,MAX((CL1746+AM1746)/2,H1746))))</f>
        <v>0</v>
      </c>
      <c r="AL1746" s="62" t="n">
        <f aca="false">AK1746*G1746</f>
        <v>0</v>
      </c>
      <c r="AM1746" s="62" t="n">
        <f aca="false">ROUNDUP(CL1746+MAX(CM1746,2*(J1746/IF(CH1746&gt;0,CH1746,MAX(0.1,N(Cockpit!$C$6)))-CL1746)),0)</f>
        <v>0</v>
      </c>
      <c r="AN1746" s="63" t="n">
        <f aca="false">IF(AJ1746&gt;0,J1746/AJ1746,-1)</f>
        <v>-1</v>
      </c>
      <c r="AO1746" s="63" t="str">
        <f aca="false">IF(AND(OR(CG1746="L1",CG1746="L23",CG1746="LIFT"),AJ1746&gt;0),SUMIFS($AJ$7:$AJ$1843,$CG$7:$CG$1843,CG1746,$AN$7:$AN$1843,"&gt;"&amp;AN1746)+SUMIFS($AJ$7:$AJ$1843,$CG$7:$CG$1843,CG1746,$AN$7:$AN$1843,AN1746,$BX$7:$BX$1843,"&lt;="&amp;BX1746),"")</f>
        <v/>
      </c>
      <c r="AP1746" s="70" t="n">
        <f aca="false">IF(AO1746="",0,MAX(0,MIN(1,(IF(CG1746="L1",Parameter!$H$5,IF(CG1746="L23",Parameter!$H$6+Parameter!$H$7,Parameter!$H$5+Parameter!$H$6+Parameter!$H$7))-(AO1746-AJ1746))/AJ1746)))</f>
        <v>0</v>
      </c>
      <c r="AQ1746" s="62" t="n">
        <f aca="false">IF(LEFT(Cockpit!$I$5,1)="A",H1746,IF(Parameter!$E$30="MAX-Bestand",IF(CI1746=1,CJ1746,IF(LEFT(Cockpit!$I$5,1)="B",AW1746,MAX(AW1746,H1746))),ROUNDUP(AU1746,0)))</f>
        <v>0</v>
      </c>
      <c r="AR1746" s="62" t="n">
        <f aca="false">IF(CA1746=1,0,ROUNDUP(AQ1746/BZ1746,0))</f>
        <v>0</v>
      </c>
      <c r="AS1746" s="64" t="n">
        <f aca="false">IF(CR1746&gt;0,CR1746*MAX(1,AQ1746/X1746),IF(CA1746=1,IF(AQ1746&lt;=0,0,CE1746*MAX(1,IF(H1746&gt;0,AQ1746/H1746,1))),IF(R1746&gt;0,AR1746/R1746,0))/MAX(0.1,N(Parameter!$M$21)))</f>
        <v>0</v>
      </c>
      <c r="AT1746" s="62" t="n">
        <f aca="false">AS1746*CC1746</f>
        <v>0</v>
      </c>
      <c r="AU1746" s="63" t="n">
        <f aca="false">IF(LEFT(Cockpit!$I$5,1)="A",H1746,IF(CI1746=1,(CL1746+CJ1746)/2,IF(LEFT(Cockpit!$I$5,1)="B",(CL1746+AW1746)/2,MAX((CL1746+AW1746)/2,H1746))))</f>
        <v>0</v>
      </c>
      <c r="AV1746" s="62" t="n">
        <f aca="false">AU1746*G1746</f>
        <v>0</v>
      </c>
      <c r="AW1746" s="62" t="n">
        <f aca="false">ROUNDUP(CL1746+MAX(CM1746,2*(J1746/IF(CH1746&gt;0,CH1746,MAX(0.1,N(Cockpit!$I$6)))-CL1746)),0)</f>
        <v>0</v>
      </c>
      <c r="AX1746" s="63" t="n">
        <f aca="false">IF(AT1746&gt;0,J1746/AT1746,-1)</f>
        <v>-1</v>
      </c>
      <c r="AY1746" s="63" t="str">
        <f aca="false">IF(AND(OR(CG1746="L1",CG1746="L23",CG1746="LIFT"),AT1746&gt;0),SUMIFS($AT$7:$AT$1843,$CG$7:$CG$1843,CG1746,$AX$7:$AX$1843,"&gt;"&amp;AX1746)+SUMIFS($AT$7:$AT$1843,$CG$7:$CG$1843,CG1746,$AX$7:$AX$1843,AX1746,$BX$7:$BX$1843,"&lt;="&amp;BX1746),"")</f>
        <v/>
      </c>
      <c r="AZ1746" s="70" t="n">
        <f aca="false">IF(AY1746="",0,MAX(0,MIN(1,(IF(CG1746="L1",Parameter!$H$5,IF(CG1746="L23",Parameter!$H$6+Parameter!$H$7,Parameter!$H$5+Parameter!$H$6+Parameter!$H$7))-(AY1746-AT1746))/AT1746)))</f>
        <v>0</v>
      </c>
      <c r="BA1746" s="62" t="n">
        <f aca="false">IF(LEFT(Cockpit!$O$5,1)="A",H1746,IF(Parameter!$E$30="MAX-Bestand",IF(CI1746=1,CJ1746,IF(LEFT(Cockpit!$O$5,1)="B",BG1746,MAX(BG1746,H1746))),ROUNDUP(BE1746,0)))</f>
        <v>0</v>
      </c>
      <c r="BB1746" s="62" t="n">
        <f aca="false">IF(CA1746=1,0,ROUNDUP(BA1746/BZ1746,0))</f>
        <v>0</v>
      </c>
      <c r="BC1746" s="64" t="n">
        <f aca="false">IF(CR1746&gt;0,CR1746*MAX(1,BA1746/X1746),IF(CA1746=1,IF(BA1746&lt;=0,0,CE1746*MAX(1,IF(H1746&gt;0,BA1746/H1746,1))),IF(R1746&gt;0,BB1746/R1746,0))/MAX(0.1,N(Parameter!$M$21)))</f>
        <v>0</v>
      </c>
      <c r="BD1746" s="62" t="n">
        <f aca="false">BC1746*CC1746</f>
        <v>0</v>
      </c>
      <c r="BE1746" s="63" t="n">
        <f aca="false">IF(LEFT(Cockpit!$O$5,1)="A",H1746,IF(CI1746=1,(CL1746+CJ1746)/2,IF(LEFT(Cockpit!$O$5,1)="B",(CL1746+BG1746)/2,MAX((CL1746+BG1746)/2,H1746))))</f>
        <v>0</v>
      </c>
      <c r="BF1746" s="62" t="n">
        <f aca="false">BE1746*G1746</f>
        <v>0</v>
      </c>
      <c r="BG1746" s="62" t="n">
        <f aca="false">ROUNDUP(CL1746+MAX(CM1746,2*(J1746/IF(CH1746&gt;0,CH1746,MAX(0.1,N(Cockpit!$O$6)))-CL1746)),0)</f>
        <v>0</v>
      </c>
      <c r="BH1746" s="63" t="n">
        <f aca="false">IF(BD1746&gt;0,J1746/BD1746,-1)</f>
        <v>-1</v>
      </c>
      <c r="BI1746" s="63" t="str">
        <f aca="false">IF(AND(OR(CG1746="L1",CG1746="L23",CG1746="LIFT"),BD1746&gt;0),SUMIFS($BD$7:$BD$1843,$CG$7:$CG$1843,CG1746,$BH$7:$BH$1843,"&gt;"&amp;BH1746)+SUMIFS($BD$7:$BD$1843,$CG$7:$CG$1843,CG1746,$BH$7:$BH$1843,BH1746,$BX$7:$BX$1843,"&lt;="&amp;BX1746),"")</f>
        <v/>
      </c>
      <c r="BJ1746" s="70" t="n">
        <f aca="false">IF(BI1746="",0,MAX(0,MIN(1,(IF(CG1746="L1",Parameter!$H$5,IF(CG1746="L23",Parameter!$H$6+Parameter!$H$7,Parameter!$H$5+Parameter!$H$6+Parameter!$H$7))-(BI1746-BD1746))/BD1746)))</f>
        <v>0</v>
      </c>
      <c r="BK1746" s="60" t="str">
        <f aca="false">IF(AJ1746&lt;=0,"",IF(CG1746="Aussen","Aussenlager",IF(CG1746="-","Nicht im Lift",IF(AP1746&gt;=1,"Lift",IF(AP1746&lt;=0,"Aussenlager","teilweise")))))</f>
        <v/>
      </c>
      <c r="BL1746" s="60" t="str">
        <f aca="false">IF(AT1746&lt;=0,"",IF(CG1746="Aussen","Aussenlager",IF(CG1746="-","Nicht im Lift",IF(AZ1746&gt;=1,"Lift",IF(AZ1746&lt;=0,"Aussenlager","teilweise")))))</f>
        <v/>
      </c>
      <c r="BM1746" s="60" t="str">
        <f aca="false">IF(BD1746&lt;=0,"",IF(CG1746="Aussen","Aussenlager",IF(CG1746="-","Nicht im Lift",IF(BJ1746&gt;=1,"Lift",IF(BJ1746&lt;=0,"Aussenlager","teilweise")))))</f>
        <v/>
      </c>
      <c r="BN1746" s="60" t="str">
        <f aca="false">IF(A1746="","",IF(BW1746=1,"Neu; ","")&amp;IF(AND(BW1746=0,BR1746&lt;0),"negativer Bestand (Export "&amp;BR1746&amp;"); ","")&amp;IF(J1746&lt;=0,"Kein Verbrauch; ","")&amp;IF(CR1746&gt;0,"Lift "&amp;W1746&amp;" lt. Liftbericht (Fach "&amp;X1746&amp;" Stk); ",IF(CB1746=1,"Gebinde geschätzt ("&amp;T1746&amp;"); ",IF(CA1746=1,"Lose – Tablare geschätzt; ","")))&amp;IF(H1746&gt;AW1746,"Überbestand "&amp;ROUND(H1746-AW1746,0)&amp;" Stk / CHF "&amp;ROUND((H1746-AW1746)*G1746,0)&amp;"; ","")&amp;IF(AND(CI1746=1,CJ1746&lt;CK1746),"MAX &lt; MB+LG; ","")&amp;IF(AND(CQ1746&gt;0,CP1746*10&gt;CQ1746),"zu hoch für Tablar; ","")&amp;IF(AND(BW1746=0,OR(CI1746=1,AB1746&lt;&gt;"",U1746&lt;&gt;"",V1746&lt;&gt;"",AC1746&lt;&gt;"")),"manuell übersteuert; ","")&amp;IF(AND(CA1746=0,R1746=0),"Gebinde unbekannt / Stellmass fehlt; ","")&amp;IF(AND(CA1746=0,N(V1746)&lt;=0,N(Q1746)&lt;=0),"Menge pro Gebinde fehlt (Ist = 1 Gebinde); ","")&amp;BV1746)</f>
        <v/>
      </c>
      <c r="BO1746" s="60"/>
      <c r="BP1746" s="60"/>
      <c r="BQ1746" s="67"/>
      <c r="BR1746" s="62" t="n">
        <f aca="false">N('Neue Artikel'!$D$7)</f>
        <v>0</v>
      </c>
      <c r="BS1746" s="62" t="n">
        <v>0</v>
      </c>
      <c r="BT1746" s="61" t="n">
        <v>0</v>
      </c>
      <c r="BU1746" s="62" t="n">
        <f aca="false">N('Neue Artikel'!$C$7)/Parameter!$B$18</f>
        <v>0</v>
      </c>
      <c r="BV1746" s="60"/>
      <c r="BW1746" s="65" t="n">
        <v>1</v>
      </c>
      <c r="BX1746" s="65" t="n">
        <v>1746</v>
      </c>
      <c r="BY1746" s="60" t="str">
        <f aca="false">IF(U1746&lt;&gt;"",UPPER(TRIM(U1746)),IF(CB1746=1,UPPER(VLOOKUP(T1746,Parameter!$I$27:$K$29,2,0)),IF(P1746="","LOSE",P1746)))</f>
        <v>LOSE</v>
      </c>
      <c r="BZ1746" s="62" t="n">
        <f aca="false">IF(BY1746="LOSE",1,IF(N(V1746)&gt;0,V1746,IF(CB1746=1,MAX(1,N(VLOOKUP(T1746,Parameter!$I$27:$K$29,3,0)),H1746,N(N1746)),IF(N(Q1746)&gt;0,Q1746,MAX(1,H1746)))))</f>
        <v>1</v>
      </c>
      <c r="CA1746" s="65" t="n">
        <f aca="false">IF(BY1746="LOSE",1,0)</f>
        <v>1</v>
      </c>
      <c r="CB1746" s="65" t="n">
        <f aca="false">IF(AND(U1746="",OR(P1746="",P1746="LOSE"),T1746&lt;&gt;"",N(S1746)&lt;=0,ISNUMBER(MATCH(T1746,Parameter!$I$27:$I$29,0))),1,0)</f>
        <v>0</v>
      </c>
      <c r="CC1746" s="65" t="n">
        <f aca="false">IF(CR1746&gt;0,INDEX(Parameter!$H$5:$H$7,W1746)/INDEX(Parameter!$E$5:$E$7,W1746),IF(AND(CA1746=0,N(IFERROR(VLOOKUP(BY1746,'Gebinde-Kategorie'!$A$5:$N$45,14,0),0))&gt;0),VLOOKUP(BY1746,'Gebinde-Kategorie'!$A$5:$N$45,14,0)*10+Parameter!$M$23,Parameter!$M$24))</f>
        <v>235</v>
      </c>
      <c r="CD1746" s="60" t="str">
        <f aca="false">IF(AND(Parameter!$B$19="Ja",E1746&lt;&gt;"",ISNUMBER(MATCH(E1746,Parameter!$I$35:$I$52,0))),VLOOKUP(E1746,Parameter!$I$35:$J$52,2,0),IFERROR(VLOOKUP(D1746,Parameter!$A$35:$C$64,2,0),"Nein"))</f>
        <v>2+3</v>
      </c>
      <c r="CE1746" s="64" t="n">
        <f aca="false">IF(CA1746=0,0,IF(N(S1746)&gt;0,S1746,IFERROR(VLOOKUP(D1746,Parameter!$A$35:$C$64,3,0)+0,0)))</f>
        <v>0.15</v>
      </c>
      <c r="CF1746" s="60" t="str">
        <f aca="false">IF(AB1746&lt;&gt;"",AB1746,AA1746)</f>
        <v/>
      </c>
      <c r="CG1746" s="60" t="str">
        <f aca="false">IF(OR(CF1746=1,CF1746=2,CF1746=3),IF(Parameter!$E$27="Ja","LIFT",IF(CF1746=1,"L1","L23")),IF(CF1746="Aussen","Aussen","-"))</f>
        <v>-</v>
      </c>
      <c r="CH1746" s="71" t="n">
        <f aca="false">IF(N(AC1746)&gt;0,AC1746,0)</f>
        <v>0</v>
      </c>
      <c r="CI1746" s="65" t="n">
        <f aca="false">IF(ISNUMBER(AF1746),1,0)</f>
        <v>0</v>
      </c>
      <c r="CJ1746" s="62" t="n">
        <f aca="false">N(AF1746)</f>
        <v>0</v>
      </c>
      <c r="CK1746" s="62" t="n">
        <f aca="false">N(M1746)+N(N1746)</f>
        <v>0</v>
      </c>
      <c r="CL1746" s="62" t="n">
        <f aca="false">N(M1746)</f>
        <v>0</v>
      </c>
      <c r="CM1746" s="62" t="n">
        <f aca="false">N(N1746)</f>
        <v>0</v>
      </c>
      <c r="CN1746" s="62" t="n">
        <f aca="false">ROUNDUP(H1746/BZ1746,0)</f>
        <v>0</v>
      </c>
      <c r="CO1746" s="62" t="n">
        <f aca="false">ROUNDUP(CJ1746/BZ1746,0)</f>
        <v>0</v>
      </c>
      <c r="CP1746" s="65" t="n">
        <f aca="false">IF(CA1746=1,0,IFERROR(VLOOKUP(BY1746,'Gebinde-Kategorie'!$A$5:$N$45,5,0)+0,0))</f>
        <v>0</v>
      </c>
      <c r="CQ1746" s="65" t="n">
        <f aca="false">IFERROR(IF(OR(CF1746=1,CF1746=2,CF1746=3),N(INDEX(Parameter!$I$5:$I$7,CF1746)),0),0)</f>
        <v>0</v>
      </c>
      <c r="CR1746" s="64" t="n">
        <f aca="false">IF(AND(Parameter!$B$21="Ja",ISNUMBER(W1746),N(X1746)&gt;0),IFERROR(N(INDEX(Parameter!$L$5:$L$7,W1746))*INDEX(Parameter!$E$5:$E$7,W1746)*X1746/SUMIFS($X$7:$X$1843,$W$7:$W$1843,W1746),0),0)</f>
        <v>0</v>
      </c>
      <c r="CS1746" s="62" t="str">
        <f aca="false">IF(AND(OR(CG1746="L1",CG1746="L23",CG1746="LIFT"),H1746&gt;0),CC1746*IF(CR1746&gt;0,CR1746*MAX(1,H1746/X1746),IF(CA1746=1,CE1746,IF(R1746&gt;0,CN1746/R1746,0))/MAX(0.1,N(Parameter!$M$21))),"")</f>
        <v/>
      </c>
      <c r="CT1746" s="64" t="str">
        <f aca="false">IF(CS1746="","",J1746/H1746)</f>
        <v/>
      </c>
      <c r="CU1746" s="62" t="str">
        <f aca="false">IF(CS1746="","",H1746*G1746)</f>
        <v/>
      </c>
      <c r="CV1746" s="63" t="str">
        <f aca="false">IF(CS1746="","",(CL1746+ROUNDUP(CL1746+MAX(CM1746,2*(J1746/MAX(0.1,N(Einkauf!$C$6))-CL1746)),0))/2)</f>
        <v/>
      </c>
      <c r="CW1746" s="62" t="str">
        <f aca="false">IF(CS1746="","",MAX(0,H1746-CV1746)*G1746)</f>
        <v/>
      </c>
      <c r="CX1746" s="62" t="str">
        <f aca="false">IF(CS1746="","",CS1746*MAX(0,1-CV1746/H1746))</f>
        <v/>
      </c>
      <c r="CY1746" s="64" t="str">
        <f aca="false">IF(CS1746="","",PERCENTRANK($CS$7:$CS$1843,CS1746)+PERCENTRANK($CU$7:$CU$1843,CU1746)+1-PERCENTRANK($CT$7:$CT$1843,CT1746))</f>
        <v/>
      </c>
      <c r="CZ1746" s="72" t="str">
        <f aca="false">IF(CS1746="","",CHOOSE(MATCH(Einkauf!$C$5,Parameter!$G$23:$G$27,0),CY1746,CS1746,CU1746,-CT1746,CW1746)+ROW()/1000000000)</f>
        <v/>
      </c>
    </row>
    <row r="1747" customFormat="false" ht="15" hidden="false" customHeight="false" outlineLevel="0" collapsed="false">
      <c r="A1747" s="60" t="str">
        <f aca="false">IF('Neue Artikel'!$A$8="","",'Neue Artikel'!$A$8&amp;"")</f>
        <v/>
      </c>
      <c r="B1747" s="60" t="str">
        <f aca="false">'Neue Artikel'!$B$8&amp;""</f>
        <v/>
      </c>
      <c r="C1747" s="60"/>
      <c r="D1747" s="60" t="s">
        <v>3057</v>
      </c>
      <c r="E1747" s="60"/>
      <c r="F1747" s="60"/>
      <c r="G1747" s="61" t="n">
        <f aca="false">N('Neue Artikel'!$G$8)</f>
        <v>0</v>
      </c>
      <c r="H1747" s="62" t="n">
        <f aca="false">MAX(0,IF(AND(Parameter!$B$21="Ja",ISNUMBER(Y1747)),Y1747,IF(Parameter!$B$20="Jahresanfang 2025 + Export",BS1747+BR1747,BR1747)))</f>
        <v>0</v>
      </c>
      <c r="I1747" s="62" t="n">
        <f aca="false">H1747*G1747</f>
        <v>0</v>
      </c>
      <c r="J1747" s="62" t="n">
        <f aca="false">BU1747*Parameter!$B$18</f>
        <v>0</v>
      </c>
      <c r="K1747" s="63"/>
      <c r="L1747" s="64"/>
      <c r="M1747" s="62" t="n">
        <f aca="false">N('Neue Artikel'!$E$8)</f>
        <v>0</v>
      </c>
      <c r="N1747" s="62" t="n">
        <f aca="false">N('Neue Artikel'!$F$8)</f>
        <v>0</v>
      </c>
      <c r="O1747" s="65"/>
      <c r="P1747" s="60" t="str">
        <f aca="false">IF('Neue Artikel'!$H$8="","LOSE",UPPER(TRIM('Neue Artikel'!$H$8)))</f>
        <v>LOSE</v>
      </c>
      <c r="Q1747" s="62" t="n">
        <f aca="false">N('Neue Artikel'!$I$8)</f>
        <v>0</v>
      </c>
      <c r="R1747" s="65" t="n">
        <f aca="false">IF(CA1747=1,0,IFERROR(VLOOKUP(BY1747,'Gebinde-Kategorie'!$A$5:$N$45,13,0)+0,0))</f>
        <v>0</v>
      </c>
      <c r="S1747" s="66"/>
      <c r="T1747" s="67"/>
      <c r="U1747" s="67"/>
      <c r="V1747" s="67"/>
      <c r="W1747" s="60"/>
      <c r="X1747" s="62"/>
      <c r="Y1747" s="62"/>
      <c r="Z1747" s="60"/>
      <c r="AA1747" s="60" t="str">
        <f aca="false">IF(A1747="","",IF(AND(Parameter!$B$21="Ja",ISNUMBER(W1747)),W1747,IF(AND(Parameter!$E$27="Ja",ISNUMBER(Z1747),CD1747&lt;&gt;"Nein"),Z1747,IF(CD1747="2+3",IF(ISNUMBER(SEARCH("grosser Artikel",BV1747)),2,IFERROR(VLOOKUP(BY1747,Parameter!$F$35:$G$64,2,0),2)),IF(OR(CD1747="Nein",CD1747=""),"-",CD1747)))))</f>
        <v/>
      </c>
      <c r="AB1747" s="60" t="str">
        <f aca="false">IF('Neue Artikel'!$J$8="","",'Neue Artikel'!$J$8)</f>
        <v/>
      </c>
      <c r="AC1747" s="68"/>
      <c r="AD1747" s="62" t="n">
        <f aca="false">AW1747</f>
        <v>0</v>
      </c>
      <c r="AE1747" s="62" t="n">
        <f aca="false">MAX(AW1747,H1747)</f>
        <v>0</v>
      </c>
      <c r="AF1747" s="69"/>
      <c r="AG1747" s="62" t="n">
        <f aca="false">IF(LEFT(Cockpit!$C$5,1)="A",H1747,IF(Parameter!$E$30="MAX-Bestand",IF(CI1747=1,CJ1747,IF(LEFT(Cockpit!$C$5,1)="B",AM1747,MAX(AM1747,H1747))),ROUNDUP(AK1747,0)))</f>
        <v>0</v>
      </c>
      <c r="AH1747" s="62" t="n">
        <f aca="false">IF(CA1747=1,0,ROUNDUP(AG1747/BZ1747,0))</f>
        <v>0</v>
      </c>
      <c r="AI1747" s="64" t="n">
        <f aca="false">IF(CR1747&gt;0,CR1747*MAX(1,AG1747/X1747),IF(CA1747=1,IF(AG1747&lt;=0,0,CE1747*MAX(1,IF(H1747&gt;0,AG1747/H1747,1))),IF(R1747&gt;0,AH1747/R1747,0))/MAX(0.1,N(Parameter!$M$21)))</f>
        <v>0</v>
      </c>
      <c r="AJ1747" s="62" t="n">
        <f aca="false">AI1747*CC1747</f>
        <v>0</v>
      </c>
      <c r="AK1747" s="63" t="n">
        <f aca="false">IF(LEFT(Cockpit!$C$5,1)="A",H1747,IF(CI1747=1,(CL1747+CJ1747)/2,IF(LEFT(Cockpit!$C$5,1)="B",(CL1747+AM1747)/2,MAX((CL1747+AM1747)/2,H1747))))</f>
        <v>0</v>
      </c>
      <c r="AL1747" s="62" t="n">
        <f aca="false">AK1747*G1747</f>
        <v>0</v>
      </c>
      <c r="AM1747" s="62" t="n">
        <f aca="false">ROUNDUP(CL1747+MAX(CM1747,2*(J1747/IF(CH1747&gt;0,CH1747,MAX(0.1,N(Cockpit!$C$6)))-CL1747)),0)</f>
        <v>0</v>
      </c>
      <c r="AN1747" s="63" t="n">
        <f aca="false">IF(AJ1747&gt;0,J1747/AJ1747,-1)</f>
        <v>-1</v>
      </c>
      <c r="AO1747" s="63" t="str">
        <f aca="false">IF(AND(OR(CG1747="L1",CG1747="L23",CG1747="LIFT"),AJ1747&gt;0),SUMIFS($AJ$7:$AJ$1843,$CG$7:$CG$1843,CG1747,$AN$7:$AN$1843,"&gt;"&amp;AN1747)+SUMIFS($AJ$7:$AJ$1843,$CG$7:$CG$1843,CG1747,$AN$7:$AN$1843,AN1747,$BX$7:$BX$1843,"&lt;="&amp;BX1747),"")</f>
        <v/>
      </c>
      <c r="AP1747" s="70" t="n">
        <f aca="false">IF(AO1747="",0,MAX(0,MIN(1,(IF(CG1747="L1",Parameter!$H$5,IF(CG1747="L23",Parameter!$H$6+Parameter!$H$7,Parameter!$H$5+Parameter!$H$6+Parameter!$H$7))-(AO1747-AJ1747))/AJ1747)))</f>
        <v>0</v>
      </c>
      <c r="AQ1747" s="62" t="n">
        <f aca="false">IF(LEFT(Cockpit!$I$5,1)="A",H1747,IF(Parameter!$E$30="MAX-Bestand",IF(CI1747=1,CJ1747,IF(LEFT(Cockpit!$I$5,1)="B",AW1747,MAX(AW1747,H1747))),ROUNDUP(AU1747,0)))</f>
        <v>0</v>
      </c>
      <c r="AR1747" s="62" t="n">
        <f aca="false">IF(CA1747=1,0,ROUNDUP(AQ1747/BZ1747,0))</f>
        <v>0</v>
      </c>
      <c r="AS1747" s="64" t="n">
        <f aca="false">IF(CR1747&gt;0,CR1747*MAX(1,AQ1747/X1747),IF(CA1747=1,IF(AQ1747&lt;=0,0,CE1747*MAX(1,IF(H1747&gt;0,AQ1747/H1747,1))),IF(R1747&gt;0,AR1747/R1747,0))/MAX(0.1,N(Parameter!$M$21)))</f>
        <v>0</v>
      </c>
      <c r="AT1747" s="62" t="n">
        <f aca="false">AS1747*CC1747</f>
        <v>0</v>
      </c>
      <c r="AU1747" s="63" t="n">
        <f aca="false">IF(LEFT(Cockpit!$I$5,1)="A",H1747,IF(CI1747=1,(CL1747+CJ1747)/2,IF(LEFT(Cockpit!$I$5,1)="B",(CL1747+AW1747)/2,MAX((CL1747+AW1747)/2,H1747))))</f>
        <v>0</v>
      </c>
      <c r="AV1747" s="62" t="n">
        <f aca="false">AU1747*G1747</f>
        <v>0</v>
      </c>
      <c r="AW1747" s="62" t="n">
        <f aca="false">ROUNDUP(CL1747+MAX(CM1747,2*(J1747/IF(CH1747&gt;0,CH1747,MAX(0.1,N(Cockpit!$I$6)))-CL1747)),0)</f>
        <v>0</v>
      </c>
      <c r="AX1747" s="63" t="n">
        <f aca="false">IF(AT1747&gt;0,J1747/AT1747,-1)</f>
        <v>-1</v>
      </c>
      <c r="AY1747" s="63" t="str">
        <f aca="false">IF(AND(OR(CG1747="L1",CG1747="L23",CG1747="LIFT"),AT1747&gt;0),SUMIFS($AT$7:$AT$1843,$CG$7:$CG$1843,CG1747,$AX$7:$AX$1843,"&gt;"&amp;AX1747)+SUMIFS($AT$7:$AT$1843,$CG$7:$CG$1843,CG1747,$AX$7:$AX$1843,AX1747,$BX$7:$BX$1843,"&lt;="&amp;BX1747),"")</f>
        <v/>
      </c>
      <c r="AZ1747" s="70" t="n">
        <f aca="false">IF(AY1747="",0,MAX(0,MIN(1,(IF(CG1747="L1",Parameter!$H$5,IF(CG1747="L23",Parameter!$H$6+Parameter!$H$7,Parameter!$H$5+Parameter!$H$6+Parameter!$H$7))-(AY1747-AT1747))/AT1747)))</f>
        <v>0</v>
      </c>
      <c r="BA1747" s="62" t="n">
        <f aca="false">IF(LEFT(Cockpit!$O$5,1)="A",H1747,IF(Parameter!$E$30="MAX-Bestand",IF(CI1747=1,CJ1747,IF(LEFT(Cockpit!$O$5,1)="B",BG1747,MAX(BG1747,H1747))),ROUNDUP(BE1747,0)))</f>
        <v>0</v>
      </c>
      <c r="BB1747" s="62" t="n">
        <f aca="false">IF(CA1747=1,0,ROUNDUP(BA1747/BZ1747,0))</f>
        <v>0</v>
      </c>
      <c r="BC1747" s="64" t="n">
        <f aca="false">IF(CR1747&gt;0,CR1747*MAX(1,BA1747/X1747),IF(CA1747=1,IF(BA1747&lt;=0,0,CE1747*MAX(1,IF(H1747&gt;0,BA1747/H1747,1))),IF(R1747&gt;0,BB1747/R1747,0))/MAX(0.1,N(Parameter!$M$21)))</f>
        <v>0</v>
      </c>
      <c r="BD1747" s="62" t="n">
        <f aca="false">BC1747*CC1747</f>
        <v>0</v>
      </c>
      <c r="BE1747" s="63" t="n">
        <f aca="false">IF(LEFT(Cockpit!$O$5,1)="A",H1747,IF(CI1747=1,(CL1747+CJ1747)/2,IF(LEFT(Cockpit!$O$5,1)="B",(CL1747+BG1747)/2,MAX((CL1747+BG1747)/2,H1747))))</f>
        <v>0</v>
      </c>
      <c r="BF1747" s="62" t="n">
        <f aca="false">BE1747*G1747</f>
        <v>0</v>
      </c>
      <c r="BG1747" s="62" t="n">
        <f aca="false">ROUNDUP(CL1747+MAX(CM1747,2*(J1747/IF(CH1747&gt;0,CH1747,MAX(0.1,N(Cockpit!$O$6)))-CL1747)),0)</f>
        <v>0</v>
      </c>
      <c r="BH1747" s="63" t="n">
        <f aca="false">IF(BD1747&gt;0,J1747/BD1747,-1)</f>
        <v>-1</v>
      </c>
      <c r="BI1747" s="63" t="str">
        <f aca="false">IF(AND(OR(CG1747="L1",CG1747="L23",CG1747="LIFT"),BD1747&gt;0),SUMIFS($BD$7:$BD$1843,$CG$7:$CG$1843,CG1747,$BH$7:$BH$1843,"&gt;"&amp;BH1747)+SUMIFS($BD$7:$BD$1843,$CG$7:$CG$1843,CG1747,$BH$7:$BH$1843,BH1747,$BX$7:$BX$1843,"&lt;="&amp;BX1747),"")</f>
        <v/>
      </c>
      <c r="BJ1747" s="70" t="n">
        <f aca="false">IF(BI1747="",0,MAX(0,MIN(1,(IF(CG1747="L1",Parameter!$H$5,IF(CG1747="L23",Parameter!$H$6+Parameter!$H$7,Parameter!$H$5+Parameter!$H$6+Parameter!$H$7))-(BI1747-BD1747))/BD1747)))</f>
        <v>0</v>
      </c>
      <c r="BK1747" s="60" t="str">
        <f aca="false">IF(AJ1747&lt;=0,"",IF(CG1747="Aussen","Aussenlager",IF(CG1747="-","Nicht im Lift",IF(AP1747&gt;=1,"Lift",IF(AP1747&lt;=0,"Aussenlager","teilweise")))))</f>
        <v/>
      </c>
      <c r="BL1747" s="60" t="str">
        <f aca="false">IF(AT1747&lt;=0,"",IF(CG1747="Aussen","Aussenlager",IF(CG1747="-","Nicht im Lift",IF(AZ1747&gt;=1,"Lift",IF(AZ1747&lt;=0,"Aussenlager","teilweise")))))</f>
        <v/>
      </c>
      <c r="BM1747" s="60" t="str">
        <f aca="false">IF(BD1747&lt;=0,"",IF(CG1747="Aussen","Aussenlager",IF(CG1747="-","Nicht im Lift",IF(BJ1747&gt;=1,"Lift",IF(BJ1747&lt;=0,"Aussenlager","teilweise")))))</f>
        <v/>
      </c>
      <c r="BN1747" s="60" t="str">
        <f aca="false">IF(A1747="","",IF(BW1747=1,"Neu; ","")&amp;IF(AND(BW1747=0,BR1747&lt;0),"negativer Bestand (Export "&amp;BR1747&amp;"); ","")&amp;IF(J1747&lt;=0,"Kein Verbrauch; ","")&amp;IF(CR1747&gt;0,"Lift "&amp;W1747&amp;" lt. Liftbericht (Fach "&amp;X1747&amp;" Stk); ",IF(CB1747=1,"Gebinde geschätzt ("&amp;T1747&amp;"); ",IF(CA1747=1,"Lose – Tablare geschätzt; ","")))&amp;IF(H1747&gt;AW1747,"Überbestand "&amp;ROUND(H1747-AW1747,0)&amp;" Stk / CHF "&amp;ROUND((H1747-AW1747)*G1747,0)&amp;"; ","")&amp;IF(AND(CI1747=1,CJ1747&lt;CK1747),"MAX &lt; MB+LG; ","")&amp;IF(AND(CQ1747&gt;0,CP1747*10&gt;CQ1747),"zu hoch für Tablar; ","")&amp;IF(AND(BW1747=0,OR(CI1747=1,AB1747&lt;&gt;"",U1747&lt;&gt;"",V1747&lt;&gt;"",AC1747&lt;&gt;"")),"manuell übersteuert; ","")&amp;IF(AND(CA1747=0,R1747=0),"Gebinde unbekannt / Stellmass fehlt; ","")&amp;IF(AND(CA1747=0,N(V1747)&lt;=0,N(Q1747)&lt;=0),"Menge pro Gebinde fehlt (Ist = 1 Gebinde); ","")&amp;BV1747)</f>
        <v/>
      </c>
      <c r="BO1747" s="60"/>
      <c r="BP1747" s="60"/>
      <c r="BQ1747" s="67"/>
      <c r="BR1747" s="62" t="n">
        <f aca="false">N('Neue Artikel'!$D$8)</f>
        <v>0</v>
      </c>
      <c r="BS1747" s="62" t="n">
        <v>0</v>
      </c>
      <c r="BT1747" s="61" t="n">
        <v>0</v>
      </c>
      <c r="BU1747" s="62" t="n">
        <f aca="false">N('Neue Artikel'!$C$8)/Parameter!$B$18</f>
        <v>0</v>
      </c>
      <c r="BV1747" s="60"/>
      <c r="BW1747" s="65" t="n">
        <v>1</v>
      </c>
      <c r="BX1747" s="65" t="n">
        <v>1747</v>
      </c>
      <c r="BY1747" s="60" t="str">
        <f aca="false">IF(U1747&lt;&gt;"",UPPER(TRIM(U1747)),IF(CB1747=1,UPPER(VLOOKUP(T1747,Parameter!$I$27:$K$29,2,0)),IF(P1747="","LOSE",P1747)))</f>
        <v>LOSE</v>
      </c>
      <c r="BZ1747" s="62" t="n">
        <f aca="false">IF(BY1747="LOSE",1,IF(N(V1747)&gt;0,V1747,IF(CB1747=1,MAX(1,N(VLOOKUP(T1747,Parameter!$I$27:$K$29,3,0)),H1747,N(N1747)),IF(N(Q1747)&gt;0,Q1747,MAX(1,H1747)))))</f>
        <v>1</v>
      </c>
      <c r="CA1747" s="65" t="n">
        <f aca="false">IF(BY1747="LOSE",1,0)</f>
        <v>1</v>
      </c>
      <c r="CB1747" s="65" t="n">
        <f aca="false">IF(AND(U1747="",OR(P1747="",P1747="LOSE"),T1747&lt;&gt;"",N(S1747)&lt;=0,ISNUMBER(MATCH(T1747,Parameter!$I$27:$I$29,0))),1,0)</f>
        <v>0</v>
      </c>
      <c r="CC1747" s="65" t="n">
        <f aca="false">IF(CR1747&gt;0,INDEX(Parameter!$H$5:$H$7,W1747)/INDEX(Parameter!$E$5:$E$7,W1747),IF(AND(CA1747=0,N(IFERROR(VLOOKUP(BY1747,'Gebinde-Kategorie'!$A$5:$N$45,14,0),0))&gt;0),VLOOKUP(BY1747,'Gebinde-Kategorie'!$A$5:$N$45,14,0)*10+Parameter!$M$23,Parameter!$M$24))</f>
        <v>235</v>
      </c>
      <c r="CD1747" s="60" t="str">
        <f aca="false">IF(AND(Parameter!$B$19="Ja",E1747&lt;&gt;"",ISNUMBER(MATCH(E1747,Parameter!$I$35:$I$52,0))),VLOOKUP(E1747,Parameter!$I$35:$J$52,2,0),IFERROR(VLOOKUP(D1747,Parameter!$A$35:$C$64,2,0),"Nein"))</f>
        <v>2+3</v>
      </c>
      <c r="CE1747" s="64" t="n">
        <f aca="false">IF(CA1747=0,0,IF(N(S1747)&gt;0,S1747,IFERROR(VLOOKUP(D1747,Parameter!$A$35:$C$64,3,0)+0,0)))</f>
        <v>0.15</v>
      </c>
      <c r="CF1747" s="60" t="str">
        <f aca="false">IF(AB1747&lt;&gt;"",AB1747,AA1747)</f>
        <v/>
      </c>
      <c r="CG1747" s="60" t="str">
        <f aca="false">IF(OR(CF1747=1,CF1747=2,CF1747=3),IF(Parameter!$E$27="Ja","LIFT",IF(CF1747=1,"L1","L23")),IF(CF1747="Aussen","Aussen","-"))</f>
        <v>-</v>
      </c>
      <c r="CH1747" s="71" t="n">
        <f aca="false">IF(N(AC1747)&gt;0,AC1747,0)</f>
        <v>0</v>
      </c>
      <c r="CI1747" s="65" t="n">
        <f aca="false">IF(ISNUMBER(AF1747),1,0)</f>
        <v>0</v>
      </c>
      <c r="CJ1747" s="62" t="n">
        <f aca="false">N(AF1747)</f>
        <v>0</v>
      </c>
      <c r="CK1747" s="62" t="n">
        <f aca="false">N(M1747)+N(N1747)</f>
        <v>0</v>
      </c>
      <c r="CL1747" s="62" t="n">
        <f aca="false">N(M1747)</f>
        <v>0</v>
      </c>
      <c r="CM1747" s="62" t="n">
        <f aca="false">N(N1747)</f>
        <v>0</v>
      </c>
      <c r="CN1747" s="62" t="n">
        <f aca="false">ROUNDUP(H1747/BZ1747,0)</f>
        <v>0</v>
      </c>
      <c r="CO1747" s="62" t="n">
        <f aca="false">ROUNDUP(CJ1747/BZ1747,0)</f>
        <v>0</v>
      </c>
      <c r="CP1747" s="65" t="n">
        <f aca="false">IF(CA1747=1,0,IFERROR(VLOOKUP(BY1747,'Gebinde-Kategorie'!$A$5:$N$45,5,0)+0,0))</f>
        <v>0</v>
      </c>
      <c r="CQ1747" s="65" t="n">
        <f aca="false">IFERROR(IF(OR(CF1747=1,CF1747=2,CF1747=3),N(INDEX(Parameter!$I$5:$I$7,CF1747)),0),0)</f>
        <v>0</v>
      </c>
      <c r="CR1747" s="64" t="n">
        <f aca="false">IF(AND(Parameter!$B$21="Ja",ISNUMBER(W1747),N(X1747)&gt;0),IFERROR(N(INDEX(Parameter!$L$5:$L$7,W1747))*INDEX(Parameter!$E$5:$E$7,W1747)*X1747/SUMIFS($X$7:$X$1843,$W$7:$W$1843,W1747),0),0)</f>
        <v>0</v>
      </c>
      <c r="CS1747" s="62" t="str">
        <f aca="false">IF(AND(OR(CG1747="L1",CG1747="L23",CG1747="LIFT"),H1747&gt;0),CC1747*IF(CR1747&gt;0,CR1747*MAX(1,H1747/X1747),IF(CA1747=1,CE1747,IF(R1747&gt;0,CN1747/R1747,0))/MAX(0.1,N(Parameter!$M$21))),"")</f>
        <v/>
      </c>
      <c r="CT1747" s="64" t="str">
        <f aca="false">IF(CS1747="","",J1747/H1747)</f>
        <v/>
      </c>
      <c r="CU1747" s="62" t="str">
        <f aca="false">IF(CS1747="","",H1747*G1747)</f>
        <v/>
      </c>
      <c r="CV1747" s="63" t="str">
        <f aca="false">IF(CS1747="","",(CL1747+ROUNDUP(CL1747+MAX(CM1747,2*(J1747/MAX(0.1,N(Einkauf!$C$6))-CL1747)),0))/2)</f>
        <v/>
      </c>
      <c r="CW1747" s="62" t="str">
        <f aca="false">IF(CS1747="","",MAX(0,H1747-CV1747)*G1747)</f>
        <v/>
      </c>
      <c r="CX1747" s="62" t="str">
        <f aca="false">IF(CS1747="","",CS1747*MAX(0,1-CV1747/H1747))</f>
        <v/>
      </c>
      <c r="CY1747" s="64" t="str">
        <f aca="false">IF(CS1747="","",PERCENTRANK($CS$7:$CS$1843,CS1747)+PERCENTRANK($CU$7:$CU$1843,CU1747)+1-PERCENTRANK($CT$7:$CT$1843,CT1747))</f>
        <v/>
      </c>
      <c r="CZ1747" s="72" t="str">
        <f aca="false">IF(CS1747="","",CHOOSE(MATCH(Einkauf!$C$5,Parameter!$G$23:$G$27,0),CY1747,CS1747,CU1747,-CT1747,CW1747)+ROW()/1000000000)</f>
        <v/>
      </c>
    </row>
    <row r="1748" customFormat="false" ht="15" hidden="false" customHeight="false" outlineLevel="0" collapsed="false">
      <c r="A1748" s="60" t="str">
        <f aca="false">IF('Neue Artikel'!$A$9="","",'Neue Artikel'!$A$9&amp;"")</f>
        <v/>
      </c>
      <c r="B1748" s="60" t="str">
        <f aca="false">'Neue Artikel'!$B$9&amp;""</f>
        <v/>
      </c>
      <c r="C1748" s="60"/>
      <c r="D1748" s="60" t="s">
        <v>3057</v>
      </c>
      <c r="E1748" s="60"/>
      <c r="F1748" s="60"/>
      <c r="G1748" s="61" t="n">
        <f aca="false">N('Neue Artikel'!$G$9)</f>
        <v>0</v>
      </c>
      <c r="H1748" s="62" t="n">
        <f aca="false">MAX(0,IF(AND(Parameter!$B$21="Ja",ISNUMBER(Y1748)),Y1748,IF(Parameter!$B$20="Jahresanfang 2025 + Export",BS1748+BR1748,BR1748)))</f>
        <v>0</v>
      </c>
      <c r="I1748" s="62" t="n">
        <f aca="false">H1748*G1748</f>
        <v>0</v>
      </c>
      <c r="J1748" s="62" t="n">
        <f aca="false">BU1748*Parameter!$B$18</f>
        <v>0</v>
      </c>
      <c r="K1748" s="63"/>
      <c r="L1748" s="64"/>
      <c r="M1748" s="62" t="n">
        <f aca="false">N('Neue Artikel'!$E$9)</f>
        <v>0</v>
      </c>
      <c r="N1748" s="62" t="n">
        <f aca="false">N('Neue Artikel'!$F$9)</f>
        <v>0</v>
      </c>
      <c r="O1748" s="65"/>
      <c r="P1748" s="60" t="str">
        <f aca="false">IF('Neue Artikel'!$H$9="","LOSE",UPPER(TRIM('Neue Artikel'!$H$9)))</f>
        <v>LOSE</v>
      </c>
      <c r="Q1748" s="62" t="n">
        <f aca="false">N('Neue Artikel'!$I$9)</f>
        <v>0</v>
      </c>
      <c r="R1748" s="65" t="n">
        <f aca="false">IF(CA1748=1,0,IFERROR(VLOOKUP(BY1748,'Gebinde-Kategorie'!$A$5:$N$45,13,0)+0,0))</f>
        <v>0</v>
      </c>
      <c r="S1748" s="66"/>
      <c r="T1748" s="67"/>
      <c r="U1748" s="67"/>
      <c r="V1748" s="67"/>
      <c r="W1748" s="60"/>
      <c r="X1748" s="62"/>
      <c r="Y1748" s="62"/>
      <c r="Z1748" s="60"/>
      <c r="AA1748" s="60" t="str">
        <f aca="false">IF(A1748="","",IF(AND(Parameter!$B$21="Ja",ISNUMBER(W1748)),W1748,IF(AND(Parameter!$E$27="Ja",ISNUMBER(Z1748),CD1748&lt;&gt;"Nein"),Z1748,IF(CD1748="2+3",IF(ISNUMBER(SEARCH("grosser Artikel",BV1748)),2,IFERROR(VLOOKUP(BY1748,Parameter!$F$35:$G$64,2,0),2)),IF(OR(CD1748="Nein",CD1748=""),"-",CD1748)))))</f>
        <v/>
      </c>
      <c r="AB1748" s="60" t="str">
        <f aca="false">IF('Neue Artikel'!$J$9="","",'Neue Artikel'!$J$9)</f>
        <v/>
      </c>
      <c r="AC1748" s="68"/>
      <c r="AD1748" s="62" t="n">
        <f aca="false">AW1748</f>
        <v>0</v>
      </c>
      <c r="AE1748" s="62" t="n">
        <f aca="false">MAX(AW1748,H1748)</f>
        <v>0</v>
      </c>
      <c r="AF1748" s="69"/>
      <c r="AG1748" s="62" t="n">
        <f aca="false">IF(LEFT(Cockpit!$C$5,1)="A",H1748,IF(Parameter!$E$30="MAX-Bestand",IF(CI1748=1,CJ1748,IF(LEFT(Cockpit!$C$5,1)="B",AM1748,MAX(AM1748,H1748))),ROUNDUP(AK1748,0)))</f>
        <v>0</v>
      </c>
      <c r="AH1748" s="62" t="n">
        <f aca="false">IF(CA1748=1,0,ROUNDUP(AG1748/BZ1748,0))</f>
        <v>0</v>
      </c>
      <c r="AI1748" s="64" t="n">
        <f aca="false">IF(CR1748&gt;0,CR1748*MAX(1,AG1748/X1748),IF(CA1748=1,IF(AG1748&lt;=0,0,CE1748*MAX(1,IF(H1748&gt;0,AG1748/H1748,1))),IF(R1748&gt;0,AH1748/R1748,0))/MAX(0.1,N(Parameter!$M$21)))</f>
        <v>0</v>
      </c>
      <c r="AJ1748" s="62" t="n">
        <f aca="false">AI1748*CC1748</f>
        <v>0</v>
      </c>
      <c r="AK1748" s="63" t="n">
        <f aca="false">IF(LEFT(Cockpit!$C$5,1)="A",H1748,IF(CI1748=1,(CL1748+CJ1748)/2,IF(LEFT(Cockpit!$C$5,1)="B",(CL1748+AM1748)/2,MAX((CL1748+AM1748)/2,H1748))))</f>
        <v>0</v>
      </c>
      <c r="AL1748" s="62" t="n">
        <f aca="false">AK1748*G1748</f>
        <v>0</v>
      </c>
      <c r="AM1748" s="62" t="n">
        <f aca="false">ROUNDUP(CL1748+MAX(CM1748,2*(J1748/IF(CH1748&gt;0,CH1748,MAX(0.1,N(Cockpit!$C$6)))-CL1748)),0)</f>
        <v>0</v>
      </c>
      <c r="AN1748" s="63" t="n">
        <f aca="false">IF(AJ1748&gt;0,J1748/AJ1748,-1)</f>
        <v>-1</v>
      </c>
      <c r="AO1748" s="63" t="str">
        <f aca="false">IF(AND(OR(CG1748="L1",CG1748="L23",CG1748="LIFT"),AJ1748&gt;0),SUMIFS($AJ$7:$AJ$1843,$CG$7:$CG$1843,CG1748,$AN$7:$AN$1843,"&gt;"&amp;AN1748)+SUMIFS($AJ$7:$AJ$1843,$CG$7:$CG$1843,CG1748,$AN$7:$AN$1843,AN1748,$BX$7:$BX$1843,"&lt;="&amp;BX1748),"")</f>
        <v/>
      </c>
      <c r="AP1748" s="70" t="n">
        <f aca="false">IF(AO1748="",0,MAX(0,MIN(1,(IF(CG1748="L1",Parameter!$H$5,IF(CG1748="L23",Parameter!$H$6+Parameter!$H$7,Parameter!$H$5+Parameter!$H$6+Parameter!$H$7))-(AO1748-AJ1748))/AJ1748)))</f>
        <v>0</v>
      </c>
      <c r="AQ1748" s="62" t="n">
        <f aca="false">IF(LEFT(Cockpit!$I$5,1)="A",H1748,IF(Parameter!$E$30="MAX-Bestand",IF(CI1748=1,CJ1748,IF(LEFT(Cockpit!$I$5,1)="B",AW1748,MAX(AW1748,H1748))),ROUNDUP(AU1748,0)))</f>
        <v>0</v>
      </c>
      <c r="AR1748" s="62" t="n">
        <f aca="false">IF(CA1748=1,0,ROUNDUP(AQ1748/BZ1748,0))</f>
        <v>0</v>
      </c>
      <c r="AS1748" s="64" t="n">
        <f aca="false">IF(CR1748&gt;0,CR1748*MAX(1,AQ1748/X1748),IF(CA1748=1,IF(AQ1748&lt;=0,0,CE1748*MAX(1,IF(H1748&gt;0,AQ1748/H1748,1))),IF(R1748&gt;0,AR1748/R1748,0))/MAX(0.1,N(Parameter!$M$21)))</f>
        <v>0</v>
      </c>
      <c r="AT1748" s="62" t="n">
        <f aca="false">AS1748*CC1748</f>
        <v>0</v>
      </c>
      <c r="AU1748" s="63" t="n">
        <f aca="false">IF(LEFT(Cockpit!$I$5,1)="A",H1748,IF(CI1748=1,(CL1748+CJ1748)/2,IF(LEFT(Cockpit!$I$5,1)="B",(CL1748+AW1748)/2,MAX((CL1748+AW1748)/2,H1748))))</f>
        <v>0</v>
      </c>
      <c r="AV1748" s="62" t="n">
        <f aca="false">AU1748*G1748</f>
        <v>0</v>
      </c>
      <c r="AW1748" s="62" t="n">
        <f aca="false">ROUNDUP(CL1748+MAX(CM1748,2*(J1748/IF(CH1748&gt;0,CH1748,MAX(0.1,N(Cockpit!$I$6)))-CL1748)),0)</f>
        <v>0</v>
      </c>
      <c r="AX1748" s="63" t="n">
        <f aca="false">IF(AT1748&gt;0,J1748/AT1748,-1)</f>
        <v>-1</v>
      </c>
      <c r="AY1748" s="63" t="str">
        <f aca="false">IF(AND(OR(CG1748="L1",CG1748="L23",CG1748="LIFT"),AT1748&gt;0),SUMIFS($AT$7:$AT$1843,$CG$7:$CG$1843,CG1748,$AX$7:$AX$1843,"&gt;"&amp;AX1748)+SUMIFS($AT$7:$AT$1843,$CG$7:$CG$1843,CG1748,$AX$7:$AX$1843,AX1748,$BX$7:$BX$1843,"&lt;="&amp;BX1748),"")</f>
        <v/>
      </c>
      <c r="AZ1748" s="70" t="n">
        <f aca="false">IF(AY1748="",0,MAX(0,MIN(1,(IF(CG1748="L1",Parameter!$H$5,IF(CG1748="L23",Parameter!$H$6+Parameter!$H$7,Parameter!$H$5+Parameter!$H$6+Parameter!$H$7))-(AY1748-AT1748))/AT1748)))</f>
        <v>0</v>
      </c>
      <c r="BA1748" s="62" t="n">
        <f aca="false">IF(LEFT(Cockpit!$O$5,1)="A",H1748,IF(Parameter!$E$30="MAX-Bestand",IF(CI1748=1,CJ1748,IF(LEFT(Cockpit!$O$5,1)="B",BG1748,MAX(BG1748,H1748))),ROUNDUP(BE1748,0)))</f>
        <v>0</v>
      </c>
      <c r="BB1748" s="62" t="n">
        <f aca="false">IF(CA1748=1,0,ROUNDUP(BA1748/BZ1748,0))</f>
        <v>0</v>
      </c>
      <c r="BC1748" s="64" t="n">
        <f aca="false">IF(CR1748&gt;0,CR1748*MAX(1,BA1748/X1748),IF(CA1748=1,IF(BA1748&lt;=0,0,CE1748*MAX(1,IF(H1748&gt;0,BA1748/H1748,1))),IF(R1748&gt;0,BB1748/R1748,0))/MAX(0.1,N(Parameter!$M$21)))</f>
        <v>0</v>
      </c>
      <c r="BD1748" s="62" t="n">
        <f aca="false">BC1748*CC1748</f>
        <v>0</v>
      </c>
      <c r="BE1748" s="63" t="n">
        <f aca="false">IF(LEFT(Cockpit!$O$5,1)="A",H1748,IF(CI1748=1,(CL1748+CJ1748)/2,IF(LEFT(Cockpit!$O$5,1)="B",(CL1748+BG1748)/2,MAX((CL1748+BG1748)/2,H1748))))</f>
        <v>0</v>
      </c>
      <c r="BF1748" s="62" t="n">
        <f aca="false">BE1748*G1748</f>
        <v>0</v>
      </c>
      <c r="BG1748" s="62" t="n">
        <f aca="false">ROUNDUP(CL1748+MAX(CM1748,2*(J1748/IF(CH1748&gt;0,CH1748,MAX(0.1,N(Cockpit!$O$6)))-CL1748)),0)</f>
        <v>0</v>
      </c>
      <c r="BH1748" s="63" t="n">
        <f aca="false">IF(BD1748&gt;0,J1748/BD1748,-1)</f>
        <v>-1</v>
      </c>
      <c r="BI1748" s="63" t="str">
        <f aca="false">IF(AND(OR(CG1748="L1",CG1748="L23",CG1748="LIFT"),BD1748&gt;0),SUMIFS($BD$7:$BD$1843,$CG$7:$CG$1843,CG1748,$BH$7:$BH$1843,"&gt;"&amp;BH1748)+SUMIFS($BD$7:$BD$1843,$CG$7:$CG$1843,CG1748,$BH$7:$BH$1843,BH1748,$BX$7:$BX$1843,"&lt;="&amp;BX1748),"")</f>
        <v/>
      </c>
      <c r="BJ1748" s="70" t="n">
        <f aca="false">IF(BI1748="",0,MAX(0,MIN(1,(IF(CG1748="L1",Parameter!$H$5,IF(CG1748="L23",Parameter!$H$6+Parameter!$H$7,Parameter!$H$5+Parameter!$H$6+Parameter!$H$7))-(BI1748-BD1748))/BD1748)))</f>
        <v>0</v>
      </c>
      <c r="BK1748" s="60" t="str">
        <f aca="false">IF(AJ1748&lt;=0,"",IF(CG1748="Aussen","Aussenlager",IF(CG1748="-","Nicht im Lift",IF(AP1748&gt;=1,"Lift",IF(AP1748&lt;=0,"Aussenlager","teilweise")))))</f>
        <v/>
      </c>
      <c r="BL1748" s="60" t="str">
        <f aca="false">IF(AT1748&lt;=0,"",IF(CG1748="Aussen","Aussenlager",IF(CG1748="-","Nicht im Lift",IF(AZ1748&gt;=1,"Lift",IF(AZ1748&lt;=0,"Aussenlager","teilweise")))))</f>
        <v/>
      </c>
      <c r="BM1748" s="60" t="str">
        <f aca="false">IF(BD1748&lt;=0,"",IF(CG1748="Aussen","Aussenlager",IF(CG1748="-","Nicht im Lift",IF(BJ1748&gt;=1,"Lift",IF(BJ1748&lt;=0,"Aussenlager","teilweise")))))</f>
        <v/>
      </c>
      <c r="BN1748" s="60" t="str">
        <f aca="false">IF(A1748="","",IF(BW1748=1,"Neu; ","")&amp;IF(AND(BW1748=0,BR1748&lt;0),"negativer Bestand (Export "&amp;BR1748&amp;"); ","")&amp;IF(J1748&lt;=0,"Kein Verbrauch; ","")&amp;IF(CR1748&gt;0,"Lift "&amp;W1748&amp;" lt. Liftbericht (Fach "&amp;X1748&amp;" Stk); ",IF(CB1748=1,"Gebinde geschätzt ("&amp;T1748&amp;"); ",IF(CA1748=1,"Lose – Tablare geschätzt; ","")))&amp;IF(H1748&gt;AW1748,"Überbestand "&amp;ROUND(H1748-AW1748,0)&amp;" Stk / CHF "&amp;ROUND((H1748-AW1748)*G1748,0)&amp;"; ","")&amp;IF(AND(CI1748=1,CJ1748&lt;CK1748),"MAX &lt; MB+LG; ","")&amp;IF(AND(CQ1748&gt;0,CP1748*10&gt;CQ1748),"zu hoch für Tablar; ","")&amp;IF(AND(BW1748=0,OR(CI1748=1,AB1748&lt;&gt;"",U1748&lt;&gt;"",V1748&lt;&gt;"",AC1748&lt;&gt;"")),"manuell übersteuert; ","")&amp;IF(AND(CA1748=0,R1748=0),"Gebinde unbekannt / Stellmass fehlt; ","")&amp;IF(AND(CA1748=0,N(V1748)&lt;=0,N(Q1748)&lt;=0),"Menge pro Gebinde fehlt (Ist = 1 Gebinde); ","")&amp;BV1748)</f>
        <v/>
      </c>
      <c r="BO1748" s="60"/>
      <c r="BP1748" s="60"/>
      <c r="BQ1748" s="67"/>
      <c r="BR1748" s="62" t="n">
        <f aca="false">N('Neue Artikel'!$D$9)</f>
        <v>0</v>
      </c>
      <c r="BS1748" s="62" t="n">
        <v>0</v>
      </c>
      <c r="BT1748" s="61" t="n">
        <v>0</v>
      </c>
      <c r="BU1748" s="62" t="n">
        <f aca="false">N('Neue Artikel'!$C$9)/Parameter!$B$18</f>
        <v>0</v>
      </c>
      <c r="BV1748" s="60"/>
      <c r="BW1748" s="65" t="n">
        <v>1</v>
      </c>
      <c r="BX1748" s="65" t="n">
        <v>1748</v>
      </c>
      <c r="BY1748" s="60" t="str">
        <f aca="false">IF(U1748&lt;&gt;"",UPPER(TRIM(U1748)),IF(CB1748=1,UPPER(VLOOKUP(T1748,Parameter!$I$27:$K$29,2,0)),IF(P1748="","LOSE",P1748)))</f>
        <v>LOSE</v>
      </c>
      <c r="BZ1748" s="62" t="n">
        <f aca="false">IF(BY1748="LOSE",1,IF(N(V1748)&gt;0,V1748,IF(CB1748=1,MAX(1,N(VLOOKUP(T1748,Parameter!$I$27:$K$29,3,0)),H1748,N(N1748)),IF(N(Q1748)&gt;0,Q1748,MAX(1,H1748)))))</f>
        <v>1</v>
      </c>
      <c r="CA1748" s="65" t="n">
        <f aca="false">IF(BY1748="LOSE",1,0)</f>
        <v>1</v>
      </c>
      <c r="CB1748" s="65" t="n">
        <f aca="false">IF(AND(U1748="",OR(P1748="",P1748="LOSE"),T1748&lt;&gt;"",N(S1748)&lt;=0,ISNUMBER(MATCH(T1748,Parameter!$I$27:$I$29,0))),1,0)</f>
        <v>0</v>
      </c>
      <c r="CC1748" s="65" t="n">
        <f aca="false">IF(CR1748&gt;0,INDEX(Parameter!$H$5:$H$7,W1748)/INDEX(Parameter!$E$5:$E$7,W1748),IF(AND(CA1748=0,N(IFERROR(VLOOKUP(BY1748,'Gebinde-Kategorie'!$A$5:$N$45,14,0),0))&gt;0),VLOOKUP(BY1748,'Gebinde-Kategorie'!$A$5:$N$45,14,0)*10+Parameter!$M$23,Parameter!$M$24))</f>
        <v>235</v>
      </c>
      <c r="CD1748" s="60" t="str">
        <f aca="false">IF(AND(Parameter!$B$19="Ja",E1748&lt;&gt;"",ISNUMBER(MATCH(E1748,Parameter!$I$35:$I$52,0))),VLOOKUP(E1748,Parameter!$I$35:$J$52,2,0),IFERROR(VLOOKUP(D1748,Parameter!$A$35:$C$64,2,0),"Nein"))</f>
        <v>2+3</v>
      </c>
      <c r="CE1748" s="64" t="n">
        <f aca="false">IF(CA1748=0,0,IF(N(S1748)&gt;0,S1748,IFERROR(VLOOKUP(D1748,Parameter!$A$35:$C$64,3,0)+0,0)))</f>
        <v>0.15</v>
      </c>
      <c r="CF1748" s="60" t="str">
        <f aca="false">IF(AB1748&lt;&gt;"",AB1748,AA1748)</f>
        <v/>
      </c>
      <c r="CG1748" s="60" t="str">
        <f aca="false">IF(OR(CF1748=1,CF1748=2,CF1748=3),IF(Parameter!$E$27="Ja","LIFT",IF(CF1748=1,"L1","L23")),IF(CF1748="Aussen","Aussen","-"))</f>
        <v>-</v>
      </c>
      <c r="CH1748" s="71" t="n">
        <f aca="false">IF(N(AC1748)&gt;0,AC1748,0)</f>
        <v>0</v>
      </c>
      <c r="CI1748" s="65" t="n">
        <f aca="false">IF(ISNUMBER(AF1748),1,0)</f>
        <v>0</v>
      </c>
      <c r="CJ1748" s="62" t="n">
        <f aca="false">N(AF1748)</f>
        <v>0</v>
      </c>
      <c r="CK1748" s="62" t="n">
        <f aca="false">N(M1748)+N(N1748)</f>
        <v>0</v>
      </c>
      <c r="CL1748" s="62" t="n">
        <f aca="false">N(M1748)</f>
        <v>0</v>
      </c>
      <c r="CM1748" s="62" t="n">
        <f aca="false">N(N1748)</f>
        <v>0</v>
      </c>
      <c r="CN1748" s="62" t="n">
        <f aca="false">ROUNDUP(H1748/BZ1748,0)</f>
        <v>0</v>
      </c>
      <c r="CO1748" s="62" t="n">
        <f aca="false">ROUNDUP(CJ1748/BZ1748,0)</f>
        <v>0</v>
      </c>
      <c r="CP1748" s="65" t="n">
        <f aca="false">IF(CA1748=1,0,IFERROR(VLOOKUP(BY1748,'Gebinde-Kategorie'!$A$5:$N$45,5,0)+0,0))</f>
        <v>0</v>
      </c>
      <c r="CQ1748" s="65" t="n">
        <f aca="false">IFERROR(IF(OR(CF1748=1,CF1748=2,CF1748=3),N(INDEX(Parameter!$I$5:$I$7,CF1748)),0),0)</f>
        <v>0</v>
      </c>
      <c r="CR1748" s="64" t="n">
        <f aca="false">IF(AND(Parameter!$B$21="Ja",ISNUMBER(W1748),N(X1748)&gt;0),IFERROR(N(INDEX(Parameter!$L$5:$L$7,W1748))*INDEX(Parameter!$E$5:$E$7,W1748)*X1748/SUMIFS($X$7:$X$1843,$W$7:$W$1843,W1748),0),0)</f>
        <v>0</v>
      </c>
      <c r="CS1748" s="62" t="str">
        <f aca="false">IF(AND(OR(CG1748="L1",CG1748="L23",CG1748="LIFT"),H1748&gt;0),CC1748*IF(CR1748&gt;0,CR1748*MAX(1,H1748/X1748),IF(CA1748=1,CE1748,IF(R1748&gt;0,CN1748/R1748,0))/MAX(0.1,N(Parameter!$M$21))),"")</f>
        <v/>
      </c>
      <c r="CT1748" s="64" t="str">
        <f aca="false">IF(CS1748="","",J1748/H1748)</f>
        <v/>
      </c>
      <c r="CU1748" s="62" t="str">
        <f aca="false">IF(CS1748="","",H1748*G1748)</f>
        <v/>
      </c>
      <c r="CV1748" s="63" t="str">
        <f aca="false">IF(CS1748="","",(CL1748+ROUNDUP(CL1748+MAX(CM1748,2*(J1748/MAX(0.1,N(Einkauf!$C$6))-CL1748)),0))/2)</f>
        <v/>
      </c>
      <c r="CW1748" s="62" t="str">
        <f aca="false">IF(CS1748="","",MAX(0,H1748-CV1748)*G1748)</f>
        <v/>
      </c>
      <c r="CX1748" s="62" t="str">
        <f aca="false">IF(CS1748="","",CS1748*MAX(0,1-CV1748/H1748))</f>
        <v/>
      </c>
      <c r="CY1748" s="64" t="str">
        <f aca="false">IF(CS1748="","",PERCENTRANK($CS$7:$CS$1843,CS1748)+PERCENTRANK($CU$7:$CU$1843,CU1748)+1-PERCENTRANK($CT$7:$CT$1843,CT1748))</f>
        <v/>
      </c>
      <c r="CZ1748" s="72" t="str">
        <f aca="false">IF(CS1748="","",CHOOSE(MATCH(Einkauf!$C$5,Parameter!$G$23:$G$27,0),CY1748,CS1748,CU1748,-CT1748,CW1748)+ROW()/1000000000)</f>
        <v/>
      </c>
    </row>
    <row r="1749" customFormat="false" ht="15" hidden="false" customHeight="false" outlineLevel="0" collapsed="false">
      <c r="A1749" s="60" t="str">
        <f aca="false">IF('Neue Artikel'!$A$10="","",'Neue Artikel'!$A$10&amp;"")</f>
        <v/>
      </c>
      <c r="B1749" s="60" t="str">
        <f aca="false">'Neue Artikel'!$B$10&amp;""</f>
        <v/>
      </c>
      <c r="C1749" s="60"/>
      <c r="D1749" s="60" t="s">
        <v>3057</v>
      </c>
      <c r="E1749" s="60"/>
      <c r="F1749" s="60"/>
      <c r="G1749" s="61" t="n">
        <f aca="false">N('Neue Artikel'!$G$10)</f>
        <v>0</v>
      </c>
      <c r="H1749" s="62" t="n">
        <f aca="false">MAX(0,IF(AND(Parameter!$B$21="Ja",ISNUMBER(Y1749)),Y1749,IF(Parameter!$B$20="Jahresanfang 2025 + Export",BS1749+BR1749,BR1749)))</f>
        <v>0</v>
      </c>
      <c r="I1749" s="62" t="n">
        <f aca="false">H1749*G1749</f>
        <v>0</v>
      </c>
      <c r="J1749" s="62" t="n">
        <f aca="false">BU1749*Parameter!$B$18</f>
        <v>0</v>
      </c>
      <c r="K1749" s="63"/>
      <c r="L1749" s="64"/>
      <c r="M1749" s="62" t="n">
        <f aca="false">N('Neue Artikel'!$E$10)</f>
        <v>0</v>
      </c>
      <c r="N1749" s="62" t="n">
        <f aca="false">N('Neue Artikel'!$F$10)</f>
        <v>0</v>
      </c>
      <c r="O1749" s="65"/>
      <c r="P1749" s="60" t="str">
        <f aca="false">IF('Neue Artikel'!$H$10="","LOSE",UPPER(TRIM('Neue Artikel'!$H$10)))</f>
        <v>LOSE</v>
      </c>
      <c r="Q1749" s="62" t="n">
        <f aca="false">N('Neue Artikel'!$I$10)</f>
        <v>0</v>
      </c>
      <c r="R1749" s="65" t="n">
        <f aca="false">IF(CA1749=1,0,IFERROR(VLOOKUP(BY1749,'Gebinde-Kategorie'!$A$5:$N$45,13,0)+0,0))</f>
        <v>0</v>
      </c>
      <c r="S1749" s="66"/>
      <c r="T1749" s="67"/>
      <c r="U1749" s="67"/>
      <c r="V1749" s="67"/>
      <c r="W1749" s="60"/>
      <c r="X1749" s="62"/>
      <c r="Y1749" s="62"/>
      <c r="Z1749" s="60"/>
      <c r="AA1749" s="60" t="str">
        <f aca="false">IF(A1749="","",IF(AND(Parameter!$B$21="Ja",ISNUMBER(W1749)),W1749,IF(AND(Parameter!$E$27="Ja",ISNUMBER(Z1749),CD1749&lt;&gt;"Nein"),Z1749,IF(CD1749="2+3",IF(ISNUMBER(SEARCH("grosser Artikel",BV1749)),2,IFERROR(VLOOKUP(BY1749,Parameter!$F$35:$G$64,2,0),2)),IF(OR(CD1749="Nein",CD1749=""),"-",CD1749)))))</f>
        <v/>
      </c>
      <c r="AB1749" s="60" t="str">
        <f aca="false">IF('Neue Artikel'!$J$10="","",'Neue Artikel'!$J$10)</f>
        <v/>
      </c>
      <c r="AC1749" s="68"/>
      <c r="AD1749" s="62" t="n">
        <f aca="false">AW1749</f>
        <v>0</v>
      </c>
      <c r="AE1749" s="62" t="n">
        <f aca="false">MAX(AW1749,H1749)</f>
        <v>0</v>
      </c>
      <c r="AF1749" s="69"/>
      <c r="AG1749" s="62" t="n">
        <f aca="false">IF(LEFT(Cockpit!$C$5,1)="A",H1749,IF(Parameter!$E$30="MAX-Bestand",IF(CI1749=1,CJ1749,IF(LEFT(Cockpit!$C$5,1)="B",AM1749,MAX(AM1749,H1749))),ROUNDUP(AK1749,0)))</f>
        <v>0</v>
      </c>
      <c r="AH1749" s="62" t="n">
        <f aca="false">IF(CA1749=1,0,ROUNDUP(AG1749/BZ1749,0))</f>
        <v>0</v>
      </c>
      <c r="AI1749" s="64" t="n">
        <f aca="false">IF(CR1749&gt;0,CR1749*MAX(1,AG1749/X1749),IF(CA1749=1,IF(AG1749&lt;=0,0,CE1749*MAX(1,IF(H1749&gt;0,AG1749/H1749,1))),IF(R1749&gt;0,AH1749/R1749,0))/MAX(0.1,N(Parameter!$M$21)))</f>
        <v>0</v>
      </c>
      <c r="AJ1749" s="62" t="n">
        <f aca="false">AI1749*CC1749</f>
        <v>0</v>
      </c>
      <c r="AK1749" s="63" t="n">
        <f aca="false">IF(LEFT(Cockpit!$C$5,1)="A",H1749,IF(CI1749=1,(CL1749+CJ1749)/2,IF(LEFT(Cockpit!$C$5,1)="B",(CL1749+AM1749)/2,MAX((CL1749+AM1749)/2,H1749))))</f>
        <v>0</v>
      </c>
      <c r="AL1749" s="62" t="n">
        <f aca="false">AK1749*G1749</f>
        <v>0</v>
      </c>
      <c r="AM1749" s="62" t="n">
        <f aca="false">ROUNDUP(CL1749+MAX(CM1749,2*(J1749/IF(CH1749&gt;0,CH1749,MAX(0.1,N(Cockpit!$C$6)))-CL1749)),0)</f>
        <v>0</v>
      </c>
      <c r="AN1749" s="63" t="n">
        <f aca="false">IF(AJ1749&gt;0,J1749/AJ1749,-1)</f>
        <v>-1</v>
      </c>
      <c r="AO1749" s="63" t="str">
        <f aca="false">IF(AND(OR(CG1749="L1",CG1749="L23",CG1749="LIFT"),AJ1749&gt;0),SUMIFS($AJ$7:$AJ$1843,$CG$7:$CG$1843,CG1749,$AN$7:$AN$1843,"&gt;"&amp;AN1749)+SUMIFS($AJ$7:$AJ$1843,$CG$7:$CG$1843,CG1749,$AN$7:$AN$1843,AN1749,$BX$7:$BX$1843,"&lt;="&amp;BX1749),"")</f>
        <v/>
      </c>
      <c r="AP1749" s="70" t="n">
        <f aca="false">IF(AO1749="",0,MAX(0,MIN(1,(IF(CG1749="L1",Parameter!$H$5,IF(CG1749="L23",Parameter!$H$6+Parameter!$H$7,Parameter!$H$5+Parameter!$H$6+Parameter!$H$7))-(AO1749-AJ1749))/AJ1749)))</f>
        <v>0</v>
      </c>
      <c r="AQ1749" s="62" t="n">
        <f aca="false">IF(LEFT(Cockpit!$I$5,1)="A",H1749,IF(Parameter!$E$30="MAX-Bestand",IF(CI1749=1,CJ1749,IF(LEFT(Cockpit!$I$5,1)="B",AW1749,MAX(AW1749,H1749))),ROUNDUP(AU1749,0)))</f>
        <v>0</v>
      </c>
      <c r="AR1749" s="62" t="n">
        <f aca="false">IF(CA1749=1,0,ROUNDUP(AQ1749/BZ1749,0))</f>
        <v>0</v>
      </c>
      <c r="AS1749" s="64" t="n">
        <f aca="false">IF(CR1749&gt;0,CR1749*MAX(1,AQ1749/X1749),IF(CA1749=1,IF(AQ1749&lt;=0,0,CE1749*MAX(1,IF(H1749&gt;0,AQ1749/H1749,1))),IF(R1749&gt;0,AR1749/R1749,0))/MAX(0.1,N(Parameter!$M$21)))</f>
        <v>0</v>
      </c>
      <c r="AT1749" s="62" t="n">
        <f aca="false">AS1749*CC1749</f>
        <v>0</v>
      </c>
      <c r="AU1749" s="63" t="n">
        <f aca="false">IF(LEFT(Cockpit!$I$5,1)="A",H1749,IF(CI1749=1,(CL1749+CJ1749)/2,IF(LEFT(Cockpit!$I$5,1)="B",(CL1749+AW1749)/2,MAX((CL1749+AW1749)/2,H1749))))</f>
        <v>0</v>
      </c>
      <c r="AV1749" s="62" t="n">
        <f aca="false">AU1749*G1749</f>
        <v>0</v>
      </c>
      <c r="AW1749" s="62" t="n">
        <f aca="false">ROUNDUP(CL1749+MAX(CM1749,2*(J1749/IF(CH1749&gt;0,CH1749,MAX(0.1,N(Cockpit!$I$6)))-CL1749)),0)</f>
        <v>0</v>
      </c>
      <c r="AX1749" s="63" t="n">
        <f aca="false">IF(AT1749&gt;0,J1749/AT1749,-1)</f>
        <v>-1</v>
      </c>
      <c r="AY1749" s="63" t="str">
        <f aca="false">IF(AND(OR(CG1749="L1",CG1749="L23",CG1749="LIFT"),AT1749&gt;0),SUMIFS($AT$7:$AT$1843,$CG$7:$CG$1843,CG1749,$AX$7:$AX$1843,"&gt;"&amp;AX1749)+SUMIFS($AT$7:$AT$1843,$CG$7:$CG$1843,CG1749,$AX$7:$AX$1843,AX1749,$BX$7:$BX$1843,"&lt;="&amp;BX1749),"")</f>
        <v/>
      </c>
      <c r="AZ1749" s="70" t="n">
        <f aca="false">IF(AY1749="",0,MAX(0,MIN(1,(IF(CG1749="L1",Parameter!$H$5,IF(CG1749="L23",Parameter!$H$6+Parameter!$H$7,Parameter!$H$5+Parameter!$H$6+Parameter!$H$7))-(AY1749-AT1749))/AT1749)))</f>
        <v>0</v>
      </c>
      <c r="BA1749" s="62" t="n">
        <f aca="false">IF(LEFT(Cockpit!$O$5,1)="A",H1749,IF(Parameter!$E$30="MAX-Bestand",IF(CI1749=1,CJ1749,IF(LEFT(Cockpit!$O$5,1)="B",BG1749,MAX(BG1749,H1749))),ROUNDUP(BE1749,0)))</f>
        <v>0</v>
      </c>
      <c r="BB1749" s="62" t="n">
        <f aca="false">IF(CA1749=1,0,ROUNDUP(BA1749/BZ1749,0))</f>
        <v>0</v>
      </c>
      <c r="BC1749" s="64" t="n">
        <f aca="false">IF(CR1749&gt;0,CR1749*MAX(1,BA1749/X1749),IF(CA1749=1,IF(BA1749&lt;=0,0,CE1749*MAX(1,IF(H1749&gt;0,BA1749/H1749,1))),IF(R1749&gt;0,BB1749/R1749,0))/MAX(0.1,N(Parameter!$M$21)))</f>
        <v>0</v>
      </c>
      <c r="BD1749" s="62" t="n">
        <f aca="false">BC1749*CC1749</f>
        <v>0</v>
      </c>
      <c r="BE1749" s="63" t="n">
        <f aca="false">IF(LEFT(Cockpit!$O$5,1)="A",H1749,IF(CI1749=1,(CL1749+CJ1749)/2,IF(LEFT(Cockpit!$O$5,1)="B",(CL1749+BG1749)/2,MAX((CL1749+BG1749)/2,H1749))))</f>
        <v>0</v>
      </c>
      <c r="BF1749" s="62" t="n">
        <f aca="false">BE1749*G1749</f>
        <v>0</v>
      </c>
      <c r="BG1749" s="62" t="n">
        <f aca="false">ROUNDUP(CL1749+MAX(CM1749,2*(J1749/IF(CH1749&gt;0,CH1749,MAX(0.1,N(Cockpit!$O$6)))-CL1749)),0)</f>
        <v>0</v>
      </c>
      <c r="BH1749" s="63" t="n">
        <f aca="false">IF(BD1749&gt;0,J1749/BD1749,-1)</f>
        <v>-1</v>
      </c>
      <c r="BI1749" s="63" t="str">
        <f aca="false">IF(AND(OR(CG1749="L1",CG1749="L23",CG1749="LIFT"),BD1749&gt;0),SUMIFS($BD$7:$BD$1843,$CG$7:$CG$1843,CG1749,$BH$7:$BH$1843,"&gt;"&amp;BH1749)+SUMIFS($BD$7:$BD$1843,$CG$7:$CG$1843,CG1749,$BH$7:$BH$1843,BH1749,$BX$7:$BX$1843,"&lt;="&amp;BX1749),"")</f>
        <v/>
      </c>
      <c r="BJ1749" s="70" t="n">
        <f aca="false">IF(BI1749="",0,MAX(0,MIN(1,(IF(CG1749="L1",Parameter!$H$5,IF(CG1749="L23",Parameter!$H$6+Parameter!$H$7,Parameter!$H$5+Parameter!$H$6+Parameter!$H$7))-(BI1749-BD1749))/BD1749)))</f>
        <v>0</v>
      </c>
      <c r="BK1749" s="60" t="str">
        <f aca="false">IF(AJ1749&lt;=0,"",IF(CG1749="Aussen","Aussenlager",IF(CG1749="-","Nicht im Lift",IF(AP1749&gt;=1,"Lift",IF(AP1749&lt;=0,"Aussenlager","teilweise")))))</f>
        <v/>
      </c>
      <c r="BL1749" s="60" t="str">
        <f aca="false">IF(AT1749&lt;=0,"",IF(CG1749="Aussen","Aussenlager",IF(CG1749="-","Nicht im Lift",IF(AZ1749&gt;=1,"Lift",IF(AZ1749&lt;=0,"Aussenlager","teilweise")))))</f>
        <v/>
      </c>
      <c r="BM1749" s="60" t="str">
        <f aca="false">IF(BD1749&lt;=0,"",IF(CG1749="Aussen","Aussenlager",IF(CG1749="-","Nicht im Lift",IF(BJ1749&gt;=1,"Lift",IF(BJ1749&lt;=0,"Aussenlager","teilweise")))))</f>
        <v/>
      </c>
      <c r="BN1749" s="60" t="str">
        <f aca="false">IF(A1749="","",IF(BW1749=1,"Neu; ","")&amp;IF(AND(BW1749=0,BR1749&lt;0),"negativer Bestand (Export "&amp;BR1749&amp;"); ","")&amp;IF(J1749&lt;=0,"Kein Verbrauch; ","")&amp;IF(CR1749&gt;0,"Lift "&amp;W1749&amp;" lt. Liftbericht (Fach "&amp;X1749&amp;" Stk); ",IF(CB1749=1,"Gebinde geschätzt ("&amp;T1749&amp;"); ",IF(CA1749=1,"Lose – Tablare geschätzt; ","")))&amp;IF(H1749&gt;AW1749,"Überbestand "&amp;ROUND(H1749-AW1749,0)&amp;" Stk / CHF "&amp;ROUND((H1749-AW1749)*G1749,0)&amp;"; ","")&amp;IF(AND(CI1749=1,CJ1749&lt;CK1749),"MAX &lt; MB+LG; ","")&amp;IF(AND(CQ1749&gt;0,CP1749*10&gt;CQ1749),"zu hoch für Tablar; ","")&amp;IF(AND(BW1749=0,OR(CI1749=1,AB1749&lt;&gt;"",U1749&lt;&gt;"",V1749&lt;&gt;"",AC1749&lt;&gt;"")),"manuell übersteuert; ","")&amp;IF(AND(CA1749=0,R1749=0),"Gebinde unbekannt / Stellmass fehlt; ","")&amp;IF(AND(CA1749=0,N(V1749)&lt;=0,N(Q1749)&lt;=0),"Menge pro Gebinde fehlt (Ist = 1 Gebinde); ","")&amp;BV1749)</f>
        <v/>
      </c>
      <c r="BO1749" s="60"/>
      <c r="BP1749" s="60"/>
      <c r="BQ1749" s="67"/>
      <c r="BR1749" s="62" t="n">
        <f aca="false">N('Neue Artikel'!$D$10)</f>
        <v>0</v>
      </c>
      <c r="BS1749" s="62" t="n">
        <v>0</v>
      </c>
      <c r="BT1749" s="61" t="n">
        <v>0</v>
      </c>
      <c r="BU1749" s="62" t="n">
        <f aca="false">N('Neue Artikel'!$C$10)/Parameter!$B$18</f>
        <v>0</v>
      </c>
      <c r="BV1749" s="60"/>
      <c r="BW1749" s="65" t="n">
        <v>1</v>
      </c>
      <c r="BX1749" s="65" t="n">
        <v>1749</v>
      </c>
      <c r="BY1749" s="60" t="str">
        <f aca="false">IF(U1749&lt;&gt;"",UPPER(TRIM(U1749)),IF(CB1749=1,UPPER(VLOOKUP(T1749,Parameter!$I$27:$K$29,2,0)),IF(P1749="","LOSE",P1749)))</f>
        <v>LOSE</v>
      </c>
      <c r="BZ1749" s="62" t="n">
        <f aca="false">IF(BY1749="LOSE",1,IF(N(V1749)&gt;0,V1749,IF(CB1749=1,MAX(1,N(VLOOKUP(T1749,Parameter!$I$27:$K$29,3,0)),H1749,N(N1749)),IF(N(Q1749)&gt;0,Q1749,MAX(1,H1749)))))</f>
        <v>1</v>
      </c>
      <c r="CA1749" s="65" t="n">
        <f aca="false">IF(BY1749="LOSE",1,0)</f>
        <v>1</v>
      </c>
      <c r="CB1749" s="65" t="n">
        <f aca="false">IF(AND(U1749="",OR(P1749="",P1749="LOSE"),T1749&lt;&gt;"",N(S1749)&lt;=0,ISNUMBER(MATCH(T1749,Parameter!$I$27:$I$29,0))),1,0)</f>
        <v>0</v>
      </c>
      <c r="CC1749" s="65" t="n">
        <f aca="false">IF(CR1749&gt;0,INDEX(Parameter!$H$5:$H$7,W1749)/INDEX(Parameter!$E$5:$E$7,W1749),IF(AND(CA1749=0,N(IFERROR(VLOOKUP(BY1749,'Gebinde-Kategorie'!$A$5:$N$45,14,0),0))&gt;0),VLOOKUP(BY1749,'Gebinde-Kategorie'!$A$5:$N$45,14,0)*10+Parameter!$M$23,Parameter!$M$24))</f>
        <v>235</v>
      </c>
      <c r="CD1749" s="60" t="str">
        <f aca="false">IF(AND(Parameter!$B$19="Ja",E1749&lt;&gt;"",ISNUMBER(MATCH(E1749,Parameter!$I$35:$I$52,0))),VLOOKUP(E1749,Parameter!$I$35:$J$52,2,0),IFERROR(VLOOKUP(D1749,Parameter!$A$35:$C$64,2,0),"Nein"))</f>
        <v>2+3</v>
      </c>
      <c r="CE1749" s="64" t="n">
        <f aca="false">IF(CA1749=0,0,IF(N(S1749)&gt;0,S1749,IFERROR(VLOOKUP(D1749,Parameter!$A$35:$C$64,3,0)+0,0)))</f>
        <v>0.15</v>
      </c>
      <c r="CF1749" s="60" t="str">
        <f aca="false">IF(AB1749&lt;&gt;"",AB1749,AA1749)</f>
        <v/>
      </c>
      <c r="CG1749" s="60" t="str">
        <f aca="false">IF(OR(CF1749=1,CF1749=2,CF1749=3),IF(Parameter!$E$27="Ja","LIFT",IF(CF1749=1,"L1","L23")),IF(CF1749="Aussen","Aussen","-"))</f>
        <v>-</v>
      </c>
      <c r="CH1749" s="71" t="n">
        <f aca="false">IF(N(AC1749)&gt;0,AC1749,0)</f>
        <v>0</v>
      </c>
      <c r="CI1749" s="65" t="n">
        <f aca="false">IF(ISNUMBER(AF1749),1,0)</f>
        <v>0</v>
      </c>
      <c r="CJ1749" s="62" t="n">
        <f aca="false">N(AF1749)</f>
        <v>0</v>
      </c>
      <c r="CK1749" s="62" t="n">
        <f aca="false">N(M1749)+N(N1749)</f>
        <v>0</v>
      </c>
      <c r="CL1749" s="62" t="n">
        <f aca="false">N(M1749)</f>
        <v>0</v>
      </c>
      <c r="CM1749" s="62" t="n">
        <f aca="false">N(N1749)</f>
        <v>0</v>
      </c>
      <c r="CN1749" s="62" t="n">
        <f aca="false">ROUNDUP(H1749/BZ1749,0)</f>
        <v>0</v>
      </c>
      <c r="CO1749" s="62" t="n">
        <f aca="false">ROUNDUP(CJ1749/BZ1749,0)</f>
        <v>0</v>
      </c>
      <c r="CP1749" s="65" t="n">
        <f aca="false">IF(CA1749=1,0,IFERROR(VLOOKUP(BY1749,'Gebinde-Kategorie'!$A$5:$N$45,5,0)+0,0))</f>
        <v>0</v>
      </c>
      <c r="CQ1749" s="65" t="n">
        <f aca="false">IFERROR(IF(OR(CF1749=1,CF1749=2,CF1749=3),N(INDEX(Parameter!$I$5:$I$7,CF1749)),0),0)</f>
        <v>0</v>
      </c>
      <c r="CR1749" s="64" t="n">
        <f aca="false">IF(AND(Parameter!$B$21="Ja",ISNUMBER(W1749),N(X1749)&gt;0),IFERROR(N(INDEX(Parameter!$L$5:$L$7,W1749))*INDEX(Parameter!$E$5:$E$7,W1749)*X1749/SUMIFS($X$7:$X$1843,$W$7:$W$1843,W1749),0),0)</f>
        <v>0</v>
      </c>
      <c r="CS1749" s="62" t="str">
        <f aca="false">IF(AND(OR(CG1749="L1",CG1749="L23",CG1749="LIFT"),H1749&gt;0),CC1749*IF(CR1749&gt;0,CR1749*MAX(1,H1749/X1749),IF(CA1749=1,CE1749,IF(R1749&gt;0,CN1749/R1749,0))/MAX(0.1,N(Parameter!$M$21))),"")</f>
        <v/>
      </c>
      <c r="CT1749" s="64" t="str">
        <f aca="false">IF(CS1749="","",J1749/H1749)</f>
        <v/>
      </c>
      <c r="CU1749" s="62" t="str">
        <f aca="false">IF(CS1749="","",H1749*G1749)</f>
        <v/>
      </c>
      <c r="CV1749" s="63" t="str">
        <f aca="false">IF(CS1749="","",(CL1749+ROUNDUP(CL1749+MAX(CM1749,2*(J1749/MAX(0.1,N(Einkauf!$C$6))-CL1749)),0))/2)</f>
        <v/>
      </c>
      <c r="CW1749" s="62" t="str">
        <f aca="false">IF(CS1749="","",MAX(0,H1749-CV1749)*G1749)</f>
        <v/>
      </c>
      <c r="CX1749" s="62" t="str">
        <f aca="false">IF(CS1749="","",CS1749*MAX(0,1-CV1749/H1749))</f>
        <v/>
      </c>
      <c r="CY1749" s="64" t="str">
        <f aca="false">IF(CS1749="","",PERCENTRANK($CS$7:$CS$1843,CS1749)+PERCENTRANK($CU$7:$CU$1843,CU1749)+1-PERCENTRANK($CT$7:$CT$1843,CT1749))</f>
        <v/>
      </c>
      <c r="CZ1749" s="72" t="str">
        <f aca="false">IF(CS1749="","",CHOOSE(MATCH(Einkauf!$C$5,Parameter!$G$23:$G$27,0),CY1749,CS1749,CU1749,-CT1749,CW1749)+ROW()/1000000000)</f>
        <v/>
      </c>
    </row>
    <row r="1750" customFormat="false" ht="15" hidden="false" customHeight="false" outlineLevel="0" collapsed="false">
      <c r="A1750" s="60" t="str">
        <f aca="false">IF('Neue Artikel'!$A$11="","",'Neue Artikel'!$A$11&amp;"")</f>
        <v/>
      </c>
      <c r="B1750" s="60" t="str">
        <f aca="false">'Neue Artikel'!$B$11&amp;""</f>
        <v/>
      </c>
      <c r="C1750" s="60"/>
      <c r="D1750" s="60" t="s">
        <v>3057</v>
      </c>
      <c r="E1750" s="60"/>
      <c r="F1750" s="60"/>
      <c r="G1750" s="61" t="n">
        <f aca="false">N('Neue Artikel'!$G$11)</f>
        <v>0</v>
      </c>
      <c r="H1750" s="62" t="n">
        <f aca="false">MAX(0,IF(AND(Parameter!$B$21="Ja",ISNUMBER(Y1750)),Y1750,IF(Parameter!$B$20="Jahresanfang 2025 + Export",BS1750+BR1750,BR1750)))</f>
        <v>0</v>
      </c>
      <c r="I1750" s="62" t="n">
        <f aca="false">H1750*G1750</f>
        <v>0</v>
      </c>
      <c r="J1750" s="62" t="n">
        <f aca="false">BU1750*Parameter!$B$18</f>
        <v>0</v>
      </c>
      <c r="K1750" s="63"/>
      <c r="L1750" s="64"/>
      <c r="M1750" s="62" t="n">
        <f aca="false">N('Neue Artikel'!$E$11)</f>
        <v>0</v>
      </c>
      <c r="N1750" s="62" t="n">
        <f aca="false">N('Neue Artikel'!$F$11)</f>
        <v>0</v>
      </c>
      <c r="O1750" s="65"/>
      <c r="P1750" s="60" t="str">
        <f aca="false">IF('Neue Artikel'!$H$11="","LOSE",UPPER(TRIM('Neue Artikel'!$H$11)))</f>
        <v>LOSE</v>
      </c>
      <c r="Q1750" s="62" t="n">
        <f aca="false">N('Neue Artikel'!$I$11)</f>
        <v>0</v>
      </c>
      <c r="R1750" s="65" t="n">
        <f aca="false">IF(CA1750=1,0,IFERROR(VLOOKUP(BY1750,'Gebinde-Kategorie'!$A$5:$N$45,13,0)+0,0))</f>
        <v>0</v>
      </c>
      <c r="S1750" s="66"/>
      <c r="T1750" s="67"/>
      <c r="U1750" s="67"/>
      <c r="V1750" s="67"/>
      <c r="W1750" s="60"/>
      <c r="X1750" s="62"/>
      <c r="Y1750" s="62"/>
      <c r="Z1750" s="60"/>
      <c r="AA1750" s="60" t="str">
        <f aca="false">IF(A1750="","",IF(AND(Parameter!$B$21="Ja",ISNUMBER(W1750)),W1750,IF(AND(Parameter!$E$27="Ja",ISNUMBER(Z1750),CD1750&lt;&gt;"Nein"),Z1750,IF(CD1750="2+3",IF(ISNUMBER(SEARCH("grosser Artikel",BV1750)),2,IFERROR(VLOOKUP(BY1750,Parameter!$F$35:$G$64,2,0),2)),IF(OR(CD1750="Nein",CD1750=""),"-",CD1750)))))</f>
        <v/>
      </c>
      <c r="AB1750" s="60" t="str">
        <f aca="false">IF('Neue Artikel'!$J$11="","",'Neue Artikel'!$J$11)</f>
        <v/>
      </c>
      <c r="AC1750" s="68"/>
      <c r="AD1750" s="62" t="n">
        <f aca="false">AW1750</f>
        <v>0</v>
      </c>
      <c r="AE1750" s="62" t="n">
        <f aca="false">MAX(AW1750,H1750)</f>
        <v>0</v>
      </c>
      <c r="AF1750" s="69"/>
      <c r="AG1750" s="62" t="n">
        <f aca="false">IF(LEFT(Cockpit!$C$5,1)="A",H1750,IF(Parameter!$E$30="MAX-Bestand",IF(CI1750=1,CJ1750,IF(LEFT(Cockpit!$C$5,1)="B",AM1750,MAX(AM1750,H1750))),ROUNDUP(AK1750,0)))</f>
        <v>0</v>
      </c>
      <c r="AH1750" s="62" t="n">
        <f aca="false">IF(CA1750=1,0,ROUNDUP(AG1750/BZ1750,0))</f>
        <v>0</v>
      </c>
      <c r="AI1750" s="64" t="n">
        <f aca="false">IF(CR1750&gt;0,CR1750*MAX(1,AG1750/X1750),IF(CA1750=1,IF(AG1750&lt;=0,0,CE1750*MAX(1,IF(H1750&gt;0,AG1750/H1750,1))),IF(R1750&gt;0,AH1750/R1750,0))/MAX(0.1,N(Parameter!$M$21)))</f>
        <v>0</v>
      </c>
      <c r="AJ1750" s="62" t="n">
        <f aca="false">AI1750*CC1750</f>
        <v>0</v>
      </c>
      <c r="AK1750" s="63" t="n">
        <f aca="false">IF(LEFT(Cockpit!$C$5,1)="A",H1750,IF(CI1750=1,(CL1750+CJ1750)/2,IF(LEFT(Cockpit!$C$5,1)="B",(CL1750+AM1750)/2,MAX((CL1750+AM1750)/2,H1750))))</f>
        <v>0</v>
      </c>
      <c r="AL1750" s="62" t="n">
        <f aca="false">AK1750*G1750</f>
        <v>0</v>
      </c>
      <c r="AM1750" s="62" t="n">
        <f aca="false">ROUNDUP(CL1750+MAX(CM1750,2*(J1750/IF(CH1750&gt;0,CH1750,MAX(0.1,N(Cockpit!$C$6)))-CL1750)),0)</f>
        <v>0</v>
      </c>
      <c r="AN1750" s="63" t="n">
        <f aca="false">IF(AJ1750&gt;0,J1750/AJ1750,-1)</f>
        <v>-1</v>
      </c>
      <c r="AO1750" s="63" t="str">
        <f aca="false">IF(AND(OR(CG1750="L1",CG1750="L23",CG1750="LIFT"),AJ1750&gt;0),SUMIFS($AJ$7:$AJ$1843,$CG$7:$CG$1843,CG1750,$AN$7:$AN$1843,"&gt;"&amp;AN1750)+SUMIFS($AJ$7:$AJ$1843,$CG$7:$CG$1843,CG1750,$AN$7:$AN$1843,AN1750,$BX$7:$BX$1843,"&lt;="&amp;BX1750),"")</f>
        <v/>
      </c>
      <c r="AP1750" s="70" t="n">
        <f aca="false">IF(AO1750="",0,MAX(0,MIN(1,(IF(CG1750="L1",Parameter!$H$5,IF(CG1750="L23",Parameter!$H$6+Parameter!$H$7,Parameter!$H$5+Parameter!$H$6+Parameter!$H$7))-(AO1750-AJ1750))/AJ1750)))</f>
        <v>0</v>
      </c>
      <c r="AQ1750" s="62" t="n">
        <f aca="false">IF(LEFT(Cockpit!$I$5,1)="A",H1750,IF(Parameter!$E$30="MAX-Bestand",IF(CI1750=1,CJ1750,IF(LEFT(Cockpit!$I$5,1)="B",AW1750,MAX(AW1750,H1750))),ROUNDUP(AU1750,0)))</f>
        <v>0</v>
      </c>
      <c r="AR1750" s="62" t="n">
        <f aca="false">IF(CA1750=1,0,ROUNDUP(AQ1750/BZ1750,0))</f>
        <v>0</v>
      </c>
      <c r="AS1750" s="64" t="n">
        <f aca="false">IF(CR1750&gt;0,CR1750*MAX(1,AQ1750/X1750),IF(CA1750=1,IF(AQ1750&lt;=0,0,CE1750*MAX(1,IF(H1750&gt;0,AQ1750/H1750,1))),IF(R1750&gt;0,AR1750/R1750,0))/MAX(0.1,N(Parameter!$M$21)))</f>
        <v>0</v>
      </c>
      <c r="AT1750" s="62" t="n">
        <f aca="false">AS1750*CC1750</f>
        <v>0</v>
      </c>
      <c r="AU1750" s="63" t="n">
        <f aca="false">IF(LEFT(Cockpit!$I$5,1)="A",H1750,IF(CI1750=1,(CL1750+CJ1750)/2,IF(LEFT(Cockpit!$I$5,1)="B",(CL1750+AW1750)/2,MAX((CL1750+AW1750)/2,H1750))))</f>
        <v>0</v>
      </c>
      <c r="AV1750" s="62" t="n">
        <f aca="false">AU1750*G1750</f>
        <v>0</v>
      </c>
      <c r="AW1750" s="62" t="n">
        <f aca="false">ROUNDUP(CL1750+MAX(CM1750,2*(J1750/IF(CH1750&gt;0,CH1750,MAX(0.1,N(Cockpit!$I$6)))-CL1750)),0)</f>
        <v>0</v>
      </c>
      <c r="AX1750" s="63" t="n">
        <f aca="false">IF(AT1750&gt;0,J1750/AT1750,-1)</f>
        <v>-1</v>
      </c>
      <c r="AY1750" s="63" t="str">
        <f aca="false">IF(AND(OR(CG1750="L1",CG1750="L23",CG1750="LIFT"),AT1750&gt;0),SUMIFS($AT$7:$AT$1843,$CG$7:$CG$1843,CG1750,$AX$7:$AX$1843,"&gt;"&amp;AX1750)+SUMIFS($AT$7:$AT$1843,$CG$7:$CG$1843,CG1750,$AX$7:$AX$1843,AX1750,$BX$7:$BX$1843,"&lt;="&amp;BX1750),"")</f>
        <v/>
      </c>
      <c r="AZ1750" s="70" t="n">
        <f aca="false">IF(AY1750="",0,MAX(0,MIN(1,(IF(CG1750="L1",Parameter!$H$5,IF(CG1750="L23",Parameter!$H$6+Parameter!$H$7,Parameter!$H$5+Parameter!$H$6+Parameter!$H$7))-(AY1750-AT1750))/AT1750)))</f>
        <v>0</v>
      </c>
      <c r="BA1750" s="62" t="n">
        <f aca="false">IF(LEFT(Cockpit!$O$5,1)="A",H1750,IF(Parameter!$E$30="MAX-Bestand",IF(CI1750=1,CJ1750,IF(LEFT(Cockpit!$O$5,1)="B",BG1750,MAX(BG1750,H1750))),ROUNDUP(BE1750,0)))</f>
        <v>0</v>
      </c>
      <c r="BB1750" s="62" t="n">
        <f aca="false">IF(CA1750=1,0,ROUNDUP(BA1750/BZ1750,0))</f>
        <v>0</v>
      </c>
      <c r="BC1750" s="64" t="n">
        <f aca="false">IF(CR1750&gt;0,CR1750*MAX(1,BA1750/X1750),IF(CA1750=1,IF(BA1750&lt;=0,0,CE1750*MAX(1,IF(H1750&gt;0,BA1750/H1750,1))),IF(R1750&gt;0,BB1750/R1750,0))/MAX(0.1,N(Parameter!$M$21)))</f>
        <v>0</v>
      </c>
      <c r="BD1750" s="62" t="n">
        <f aca="false">BC1750*CC1750</f>
        <v>0</v>
      </c>
      <c r="BE1750" s="63" t="n">
        <f aca="false">IF(LEFT(Cockpit!$O$5,1)="A",H1750,IF(CI1750=1,(CL1750+CJ1750)/2,IF(LEFT(Cockpit!$O$5,1)="B",(CL1750+BG1750)/2,MAX((CL1750+BG1750)/2,H1750))))</f>
        <v>0</v>
      </c>
      <c r="BF1750" s="62" t="n">
        <f aca="false">BE1750*G1750</f>
        <v>0</v>
      </c>
      <c r="BG1750" s="62" t="n">
        <f aca="false">ROUNDUP(CL1750+MAX(CM1750,2*(J1750/IF(CH1750&gt;0,CH1750,MAX(0.1,N(Cockpit!$O$6)))-CL1750)),0)</f>
        <v>0</v>
      </c>
      <c r="BH1750" s="63" t="n">
        <f aca="false">IF(BD1750&gt;0,J1750/BD1750,-1)</f>
        <v>-1</v>
      </c>
      <c r="BI1750" s="63" t="str">
        <f aca="false">IF(AND(OR(CG1750="L1",CG1750="L23",CG1750="LIFT"),BD1750&gt;0),SUMIFS($BD$7:$BD$1843,$CG$7:$CG$1843,CG1750,$BH$7:$BH$1843,"&gt;"&amp;BH1750)+SUMIFS($BD$7:$BD$1843,$CG$7:$CG$1843,CG1750,$BH$7:$BH$1843,BH1750,$BX$7:$BX$1843,"&lt;="&amp;BX1750),"")</f>
        <v/>
      </c>
      <c r="BJ1750" s="70" t="n">
        <f aca="false">IF(BI1750="",0,MAX(0,MIN(1,(IF(CG1750="L1",Parameter!$H$5,IF(CG1750="L23",Parameter!$H$6+Parameter!$H$7,Parameter!$H$5+Parameter!$H$6+Parameter!$H$7))-(BI1750-BD1750))/BD1750)))</f>
        <v>0</v>
      </c>
      <c r="BK1750" s="60" t="str">
        <f aca="false">IF(AJ1750&lt;=0,"",IF(CG1750="Aussen","Aussenlager",IF(CG1750="-","Nicht im Lift",IF(AP1750&gt;=1,"Lift",IF(AP1750&lt;=0,"Aussenlager","teilweise")))))</f>
        <v/>
      </c>
      <c r="BL1750" s="60" t="str">
        <f aca="false">IF(AT1750&lt;=0,"",IF(CG1750="Aussen","Aussenlager",IF(CG1750="-","Nicht im Lift",IF(AZ1750&gt;=1,"Lift",IF(AZ1750&lt;=0,"Aussenlager","teilweise")))))</f>
        <v/>
      </c>
      <c r="BM1750" s="60" t="str">
        <f aca="false">IF(BD1750&lt;=0,"",IF(CG1750="Aussen","Aussenlager",IF(CG1750="-","Nicht im Lift",IF(BJ1750&gt;=1,"Lift",IF(BJ1750&lt;=0,"Aussenlager","teilweise")))))</f>
        <v/>
      </c>
      <c r="BN1750" s="60" t="str">
        <f aca="false">IF(A1750="","",IF(BW1750=1,"Neu; ","")&amp;IF(AND(BW1750=0,BR1750&lt;0),"negativer Bestand (Export "&amp;BR1750&amp;"); ","")&amp;IF(J1750&lt;=0,"Kein Verbrauch; ","")&amp;IF(CR1750&gt;0,"Lift "&amp;W1750&amp;" lt. Liftbericht (Fach "&amp;X1750&amp;" Stk); ",IF(CB1750=1,"Gebinde geschätzt ("&amp;T1750&amp;"); ",IF(CA1750=1,"Lose – Tablare geschätzt; ","")))&amp;IF(H1750&gt;AW1750,"Überbestand "&amp;ROUND(H1750-AW1750,0)&amp;" Stk / CHF "&amp;ROUND((H1750-AW1750)*G1750,0)&amp;"; ","")&amp;IF(AND(CI1750=1,CJ1750&lt;CK1750),"MAX &lt; MB+LG; ","")&amp;IF(AND(CQ1750&gt;0,CP1750*10&gt;CQ1750),"zu hoch für Tablar; ","")&amp;IF(AND(BW1750=0,OR(CI1750=1,AB1750&lt;&gt;"",U1750&lt;&gt;"",V1750&lt;&gt;"",AC1750&lt;&gt;"")),"manuell übersteuert; ","")&amp;IF(AND(CA1750=0,R1750=0),"Gebinde unbekannt / Stellmass fehlt; ","")&amp;IF(AND(CA1750=0,N(V1750)&lt;=0,N(Q1750)&lt;=0),"Menge pro Gebinde fehlt (Ist = 1 Gebinde); ","")&amp;BV1750)</f>
        <v/>
      </c>
      <c r="BO1750" s="60"/>
      <c r="BP1750" s="60"/>
      <c r="BQ1750" s="67"/>
      <c r="BR1750" s="62" t="n">
        <f aca="false">N('Neue Artikel'!$D$11)</f>
        <v>0</v>
      </c>
      <c r="BS1750" s="62" t="n">
        <v>0</v>
      </c>
      <c r="BT1750" s="61" t="n">
        <v>0</v>
      </c>
      <c r="BU1750" s="62" t="n">
        <f aca="false">N('Neue Artikel'!$C$11)/Parameter!$B$18</f>
        <v>0</v>
      </c>
      <c r="BV1750" s="60"/>
      <c r="BW1750" s="65" t="n">
        <v>1</v>
      </c>
      <c r="BX1750" s="65" t="n">
        <v>1750</v>
      </c>
      <c r="BY1750" s="60" t="str">
        <f aca="false">IF(U1750&lt;&gt;"",UPPER(TRIM(U1750)),IF(CB1750=1,UPPER(VLOOKUP(T1750,Parameter!$I$27:$K$29,2,0)),IF(P1750="","LOSE",P1750)))</f>
        <v>LOSE</v>
      </c>
      <c r="BZ1750" s="62" t="n">
        <f aca="false">IF(BY1750="LOSE",1,IF(N(V1750)&gt;0,V1750,IF(CB1750=1,MAX(1,N(VLOOKUP(T1750,Parameter!$I$27:$K$29,3,0)),H1750,N(N1750)),IF(N(Q1750)&gt;0,Q1750,MAX(1,H1750)))))</f>
        <v>1</v>
      </c>
      <c r="CA1750" s="65" t="n">
        <f aca="false">IF(BY1750="LOSE",1,0)</f>
        <v>1</v>
      </c>
      <c r="CB1750" s="65" t="n">
        <f aca="false">IF(AND(U1750="",OR(P1750="",P1750="LOSE"),T1750&lt;&gt;"",N(S1750)&lt;=0,ISNUMBER(MATCH(T1750,Parameter!$I$27:$I$29,0))),1,0)</f>
        <v>0</v>
      </c>
      <c r="CC1750" s="65" t="n">
        <f aca="false">IF(CR1750&gt;0,INDEX(Parameter!$H$5:$H$7,W1750)/INDEX(Parameter!$E$5:$E$7,W1750),IF(AND(CA1750=0,N(IFERROR(VLOOKUP(BY1750,'Gebinde-Kategorie'!$A$5:$N$45,14,0),0))&gt;0),VLOOKUP(BY1750,'Gebinde-Kategorie'!$A$5:$N$45,14,0)*10+Parameter!$M$23,Parameter!$M$24))</f>
        <v>235</v>
      </c>
      <c r="CD1750" s="60" t="str">
        <f aca="false">IF(AND(Parameter!$B$19="Ja",E1750&lt;&gt;"",ISNUMBER(MATCH(E1750,Parameter!$I$35:$I$52,0))),VLOOKUP(E1750,Parameter!$I$35:$J$52,2,0),IFERROR(VLOOKUP(D1750,Parameter!$A$35:$C$64,2,0),"Nein"))</f>
        <v>2+3</v>
      </c>
      <c r="CE1750" s="64" t="n">
        <f aca="false">IF(CA1750=0,0,IF(N(S1750)&gt;0,S1750,IFERROR(VLOOKUP(D1750,Parameter!$A$35:$C$64,3,0)+0,0)))</f>
        <v>0.15</v>
      </c>
      <c r="CF1750" s="60" t="str">
        <f aca="false">IF(AB1750&lt;&gt;"",AB1750,AA1750)</f>
        <v/>
      </c>
      <c r="CG1750" s="60" t="str">
        <f aca="false">IF(OR(CF1750=1,CF1750=2,CF1750=3),IF(Parameter!$E$27="Ja","LIFT",IF(CF1750=1,"L1","L23")),IF(CF1750="Aussen","Aussen","-"))</f>
        <v>-</v>
      </c>
      <c r="CH1750" s="71" t="n">
        <f aca="false">IF(N(AC1750)&gt;0,AC1750,0)</f>
        <v>0</v>
      </c>
      <c r="CI1750" s="65" t="n">
        <f aca="false">IF(ISNUMBER(AF1750),1,0)</f>
        <v>0</v>
      </c>
      <c r="CJ1750" s="62" t="n">
        <f aca="false">N(AF1750)</f>
        <v>0</v>
      </c>
      <c r="CK1750" s="62" t="n">
        <f aca="false">N(M1750)+N(N1750)</f>
        <v>0</v>
      </c>
      <c r="CL1750" s="62" t="n">
        <f aca="false">N(M1750)</f>
        <v>0</v>
      </c>
      <c r="CM1750" s="62" t="n">
        <f aca="false">N(N1750)</f>
        <v>0</v>
      </c>
      <c r="CN1750" s="62" t="n">
        <f aca="false">ROUNDUP(H1750/BZ1750,0)</f>
        <v>0</v>
      </c>
      <c r="CO1750" s="62" t="n">
        <f aca="false">ROUNDUP(CJ1750/BZ1750,0)</f>
        <v>0</v>
      </c>
      <c r="CP1750" s="65" t="n">
        <f aca="false">IF(CA1750=1,0,IFERROR(VLOOKUP(BY1750,'Gebinde-Kategorie'!$A$5:$N$45,5,0)+0,0))</f>
        <v>0</v>
      </c>
      <c r="CQ1750" s="65" t="n">
        <f aca="false">IFERROR(IF(OR(CF1750=1,CF1750=2,CF1750=3),N(INDEX(Parameter!$I$5:$I$7,CF1750)),0),0)</f>
        <v>0</v>
      </c>
      <c r="CR1750" s="64" t="n">
        <f aca="false">IF(AND(Parameter!$B$21="Ja",ISNUMBER(W1750),N(X1750)&gt;0),IFERROR(N(INDEX(Parameter!$L$5:$L$7,W1750))*INDEX(Parameter!$E$5:$E$7,W1750)*X1750/SUMIFS($X$7:$X$1843,$W$7:$W$1843,W1750),0),0)</f>
        <v>0</v>
      </c>
      <c r="CS1750" s="62" t="str">
        <f aca="false">IF(AND(OR(CG1750="L1",CG1750="L23",CG1750="LIFT"),H1750&gt;0),CC1750*IF(CR1750&gt;0,CR1750*MAX(1,H1750/X1750),IF(CA1750=1,CE1750,IF(R1750&gt;0,CN1750/R1750,0))/MAX(0.1,N(Parameter!$M$21))),"")</f>
        <v/>
      </c>
      <c r="CT1750" s="64" t="str">
        <f aca="false">IF(CS1750="","",J1750/H1750)</f>
        <v/>
      </c>
      <c r="CU1750" s="62" t="str">
        <f aca="false">IF(CS1750="","",H1750*G1750)</f>
        <v/>
      </c>
      <c r="CV1750" s="63" t="str">
        <f aca="false">IF(CS1750="","",(CL1750+ROUNDUP(CL1750+MAX(CM1750,2*(J1750/MAX(0.1,N(Einkauf!$C$6))-CL1750)),0))/2)</f>
        <v/>
      </c>
      <c r="CW1750" s="62" t="str">
        <f aca="false">IF(CS1750="","",MAX(0,H1750-CV1750)*G1750)</f>
        <v/>
      </c>
      <c r="CX1750" s="62" t="str">
        <f aca="false">IF(CS1750="","",CS1750*MAX(0,1-CV1750/H1750))</f>
        <v/>
      </c>
      <c r="CY1750" s="64" t="str">
        <f aca="false">IF(CS1750="","",PERCENTRANK($CS$7:$CS$1843,CS1750)+PERCENTRANK($CU$7:$CU$1843,CU1750)+1-PERCENTRANK($CT$7:$CT$1843,CT1750))</f>
        <v/>
      </c>
      <c r="CZ1750" s="72" t="str">
        <f aca="false">IF(CS1750="","",CHOOSE(MATCH(Einkauf!$C$5,Parameter!$G$23:$G$27,0),CY1750,CS1750,CU1750,-CT1750,CW1750)+ROW()/1000000000)</f>
        <v/>
      </c>
    </row>
    <row r="1751" customFormat="false" ht="15" hidden="false" customHeight="false" outlineLevel="0" collapsed="false">
      <c r="A1751" s="60" t="str">
        <f aca="false">IF('Neue Artikel'!$A$12="","",'Neue Artikel'!$A$12&amp;"")</f>
        <v/>
      </c>
      <c r="B1751" s="60" t="str">
        <f aca="false">'Neue Artikel'!$B$12&amp;""</f>
        <v/>
      </c>
      <c r="C1751" s="60"/>
      <c r="D1751" s="60" t="s">
        <v>3057</v>
      </c>
      <c r="E1751" s="60"/>
      <c r="F1751" s="60"/>
      <c r="G1751" s="61" t="n">
        <f aca="false">N('Neue Artikel'!$G$12)</f>
        <v>0</v>
      </c>
      <c r="H1751" s="62" t="n">
        <f aca="false">MAX(0,IF(AND(Parameter!$B$21="Ja",ISNUMBER(Y1751)),Y1751,IF(Parameter!$B$20="Jahresanfang 2025 + Export",BS1751+BR1751,BR1751)))</f>
        <v>0</v>
      </c>
      <c r="I1751" s="62" t="n">
        <f aca="false">H1751*G1751</f>
        <v>0</v>
      </c>
      <c r="J1751" s="62" t="n">
        <f aca="false">BU1751*Parameter!$B$18</f>
        <v>0</v>
      </c>
      <c r="K1751" s="63"/>
      <c r="L1751" s="64"/>
      <c r="M1751" s="62" t="n">
        <f aca="false">N('Neue Artikel'!$E$12)</f>
        <v>0</v>
      </c>
      <c r="N1751" s="62" t="n">
        <f aca="false">N('Neue Artikel'!$F$12)</f>
        <v>0</v>
      </c>
      <c r="O1751" s="65"/>
      <c r="P1751" s="60" t="str">
        <f aca="false">IF('Neue Artikel'!$H$12="","LOSE",UPPER(TRIM('Neue Artikel'!$H$12)))</f>
        <v>LOSE</v>
      </c>
      <c r="Q1751" s="62" t="n">
        <f aca="false">N('Neue Artikel'!$I$12)</f>
        <v>0</v>
      </c>
      <c r="R1751" s="65" t="n">
        <f aca="false">IF(CA1751=1,0,IFERROR(VLOOKUP(BY1751,'Gebinde-Kategorie'!$A$5:$N$45,13,0)+0,0))</f>
        <v>0</v>
      </c>
      <c r="S1751" s="66"/>
      <c r="T1751" s="67"/>
      <c r="U1751" s="67"/>
      <c r="V1751" s="67"/>
      <c r="W1751" s="60"/>
      <c r="X1751" s="62"/>
      <c r="Y1751" s="62"/>
      <c r="Z1751" s="60"/>
      <c r="AA1751" s="60" t="str">
        <f aca="false">IF(A1751="","",IF(AND(Parameter!$B$21="Ja",ISNUMBER(W1751)),W1751,IF(AND(Parameter!$E$27="Ja",ISNUMBER(Z1751),CD1751&lt;&gt;"Nein"),Z1751,IF(CD1751="2+3",IF(ISNUMBER(SEARCH("grosser Artikel",BV1751)),2,IFERROR(VLOOKUP(BY1751,Parameter!$F$35:$G$64,2,0),2)),IF(OR(CD1751="Nein",CD1751=""),"-",CD1751)))))</f>
        <v/>
      </c>
      <c r="AB1751" s="60" t="str">
        <f aca="false">IF('Neue Artikel'!$J$12="","",'Neue Artikel'!$J$12)</f>
        <v/>
      </c>
      <c r="AC1751" s="68"/>
      <c r="AD1751" s="62" t="n">
        <f aca="false">AW1751</f>
        <v>0</v>
      </c>
      <c r="AE1751" s="62" t="n">
        <f aca="false">MAX(AW1751,H1751)</f>
        <v>0</v>
      </c>
      <c r="AF1751" s="69"/>
      <c r="AG1751" s="62" t="n">
        <f aca="false">IF(LEFT(Cockpit!$C$5,1)="A",H1751,IF(Parameter!$E$30="MAX-Bestand",IF(CI1751=1,CJ1751,IF(LEFT(Cockpit!$C$5,1)="B",AM1751,MAX(AM1751,H1751))),ROUNDUP(AK1751,0)))</f>
        <v>0</v>
      </c>
      <c r="AH1751" s="62" t="n">
        <f aca="false">IF(CA1751=1,0,ROUNDUP(AG1751/BZ1751,0))</f>
        <v>0</v>
      </c>
      <c r="AI1751" s="64" t="n">
        <f aca="false">IF(CR1751&gt;0,CR1751*MAX(1,AG1751/X1751),IF(CA1751=1,IF(AG1751&lt;=0,0,CE1751*MAX(1,IF(H1751&gt;0,AG1751/H1751,1))),IF(R1751&gt;0,AH1751/R1751,0))/MAX(0.1,N(Parameter!$M$21)))</f>
        <v>0</v>
      </c>
      <c r="AJ1751" s="62" t="n">
        <f aca="false">AI1751*CC1751</f>
        <v>0</v>
      </c>
      <c r="AK1751" s="63" t="n">
        <f aca="false">IF(LEFT(Cockpit!$C$5,1)="A",H1751,IF(CI1751=1,(CL1751+CJ1751)/2,IF(LEFT(Cockpit!$C$5,1)="B",(CL1751+AM1751)/2,MAX((CL1751+AM1751)/2,H1751))))</f>
        <v>0</v>
      </c>
      <c r="AL1751" s="62" t="n">
        <f aca="false">AK1751*G1751</f>
        <v>0</v>
      </c>
      <c r="AM1751" s="62" t="n">
        <f aca="false">ROUNDUP(CL1751+MAX(CM1751,2*(J1751/IF(CH1751&gt;0,CH1751,MAX(0.1,N(Cockpit!$C$6)))-CL1751)),0)</f>
        <v>0</v>
      </c>
      <c r="AN1751" s="63" t="n">
        <f aca="false">IF(AJ1751&gt;0,J1751/AJ1751,-1)</f>
        <v>-1</v>
      </c>
      <c r="AO1751" s="63" t="str">
        <f aca="false">IF(AND(OR(CG1751="L1",CG1751="L23",CG1751="LIFT"),AJ1751&gt;0),SUMIFS($AJ$7:$AJ$1843,$CG$7:$CG$1843,CG1751,$AN$7:$AN$1843,"&gt;"&amp;AN1751)+SUMIFS($AJ$7:$AJ$1843,$CG$7:$CG$1843,CG1751,$AN$7:$AN$1843,AN1751,$BX$7:$BX$1843,"&lt;="&amp;BX1751),"")</f>
        <v/>
      </c>
      <c r="AP1751" s="70" t="n">
        <f aca="false">IF(AO1751="",0,MAX(0,MIN(1,(IF(CG1751="L1",Parameter!$H$5,IF(CG1751="L23",Parameter!$H$6+Parameter!$H$7,Parameter!$H$5+Parameter!$H$6+Parameter!$H$7))-(AO1751-AJ1751))/AJ1751)))</f>
        <v>0</v>
      </c>
      <c r="AQ1751" s="62" t="n">
        <f aca="false">IF(LEFT(Cockpit!$I$5,1)="A",H1751,IF(Parameter!$E$30="MAX-Bestand",IF(CI1751=1,CJ1751,IF(LEFT(Cockpit!$I$5,1)="B",AW1751,MAX(AW1751,H1751))),ROUNDUP(AU1751,0)))</f>
        <v>0</v>
      </c>
      <c r="AR1751" s="62" t="n">
        <f aca="false">IF(CA1751=1,0,ROUNDUP(AQ1751/BZ1751,0))</f>
        <v>0</v>
      </c>
      <c r="AS1751" s="64" t="n">
        <f aca="false">IF(CR1751&gt;0,CR1751*MAX(1,AQ1751/X1751),IF(CA1751=1,IF(AQ1751&lt;=0,0,CE1751*MAX(1,IF(H1751&gt;0,AQ1751/H1751,1))),IF(R1751&gt;0,AR1751/R1751,0))/MAX(0.1,N(Parameter!$M$21)))</f>
        <v>0</v>
      </c>
      <c r="AT1751" s="62" t="n">
        <f aca="false">AS1751*CC1751</f>
        <v>0</v>
      </c>
      <c r="AU1751" s="63" t="n">
        <f aca="false">IF(LEFT(Cockpit!$I$5,1)="A",H1751,IF(CI1751=1,(CL1751+CJ1751)/2,IF(LEFT(Cockpit!$I$5,1)="B",(CL1751+AW1751)/2,MAX((CL1751+AW1751)/2,H1751))))</f>
        <v>0</v>
      </c>
      <c r="AV1751" s="62" t="n">
        <f aca="false">AU1751*G1751</f>
        <v>0</v>
      </c>
      <c r="AW1751" s="62" t="n">
        <f aca="false">ROUNDUP(CL1751+MAX(CM1751,2*(J1751/IF(CH1751&gt;0,CH1751,MAX(0.1,N(Cockpit!$I$6)))-CL1751)),0)</f>
        <v>0</v>
      </c>
      <c r="AX1751" s="63" t="n">
        <f aca="false">IF(AT1751&gt;0,J1751/AT1751,-1)</f>
        <v>-1</v>
      </c>
      <c r="AY1751" s="63" t="str">
        <f aca="false">IF(AND(OR(CG1751="L1",CG1751="L23",CG1751="LIFT"),AT1751&gt;0),SUMIFS($AT$7:$AT$1843,$CG$7:$CG$1843,CG1751,$AX$7:$AX$1843,"&gt;"&amp;AX1751)+SUMIFS($AT$7:$AT$1843,$CG$7:$CG$1843,CG1751,$AX$7:$AX$1843,AX1751,$BX$7:$BX$1843,"&lt;="&amp;BX1751),"")</f>
        <v/>
      </c>
      <c r="AZ1751" s="70" t="n">
        <f aca="false">IF(AY1751="",0,MAX(0,MIN(1,(IF(CG1751="L1",Parameter!$H$5,IF(CG1751="L23",Parameter!$H$6+Parameter!$H$7,Parameter!$H$5+Parameter!$H$6+Parameter!$H$7))-(AY1751-AT1751))/AT1751)))</f>
        <v>0</v>
      </c>
      <c r="BA1751" s="62" t="n">
        <f aca="false">IF(LEFT(Cockpit!$O$5,1)="A",H1751,IF(Parameter!$E$30="MAX-Bestand",IF(CI1751=1,CJ1751,IF(LEFT(Cockpit!$O$5,1)="B",BG1751,MAX(BG1751,H1751))),ROUNDUP(BE1751,0)))</f>
        <v>0</v>
      </c>
      <c r="BB1751" s="62" t="n">
        <f aca="false">IF(CA1751=1,0,ROUNDUP(BA1751/BZ1751,0))</f>
        <v>0</v>
      </c>
      <c r="BC1751" s="64" t="n">
        <f aca="false">IF(CR1751&gt;0,CR1751*MAX(1,BA1751/X1751),IF(CA1751=1,IF(BA1751&lt;=0,0,CE1751*MAX(1,IF(H1751&gt;0,BA1751/H1751,1))),IF(R1751&gt;0,BB1751/R1751,0))/MAX(0.1,N(Parameter!$M$21)))</f>
        <v>0</v>
      </c>
      <c r="BD1751" s="62" t="n">
        <f aca="false">BC1751*CC1751</f>
        <v>0</v>
      </c>
      <c r="BE1751" s="63" t="n">
        <f aca="false">IF(LEFT(Cockpit!$O$5,1)="A",H1751,IF(CI1751=1,(CL1751+CJ1751)/2,IF(LEFT(Cockpit!$O$5,1)="B",(CL1751+BG1751)/2,MAX((CL1751+BG1751)/2,H1751))))</f>
        <v>0</v>
      </c>
      <c r="BF1751" s="62" t="n">
        <f aca="false">BE1751*G1751</f>
        <v>0</v>
      </c>
      <c r="BG1751" s="62" t="n">
        <f aca="false">ROUNDUP(CL1751+MAX(CM1751,2*(J1751/IF(CH1751&gt;0,CH1751,MAX(0.1,N(Cockpit!$O$6)))-CL1751)),0)</f>
        <v>0</v>
      </c>
      <c r="BH1751" s="63" t="n">
        <f aca="false">IF(BD1751&gt;0,J1751/BD1751,-1)</f>
        <v>-1</v>
      </c>
      <c r="BI1751" s="63" t="str">
        <f aca="false">IF(AND(OR(CG1751="L1",CG1751="L23",CG1751="LIFT"),BD1751&gt;0),SUMIFS($BD$7:$BD$1843,$CG$7:$CG$1843,CG1751,$BH$7:$BH$1843,"&gt;"&amp;BH1751)+SUMIFS($BD$7:$BD$1843,$CG$7:$CG$1843,CG1751,$BH$7:$BH$1843,BH1751,$BX$7:$BX$1843,"&lt;="&amp;BX1751),"")</f>
        <v/>
      </c>
      <c r="BJ1751" s="70" t="n">
        <f aca="false">IF(BI1751="",0,MAX(0,MIN(1,(IF(CG1751="L1",Parameter!$H$5,IF(CG1751="L23",Parameter!$H$6+Parameter!$H$7,Parameter!$H$5+Parameter!$H$6+Parameter!$H$7))-(BI1751-BD1751))/BD1751)))</f>
        <v>0</v>
      </c>
      <c r="BK1751" s="60" t="str">
        <f aca="false">IF(AJ1751&lt;=0,"",IF(CG1751="Aussen","Aussenlager",IF(CG1751="-","Nicht im Lift",IF(AP1751&gt;=1,"Lift",IF(AP1751&lt;=0,"Aussenlager","teilweise")))))</f>
        <v/>
      </c>
      <c r="BL1751" s="60" t="str">
        <f aca="false">IF(AT1751&lt;=0,"",IF(CG1751="Aussen","Aussenlager",IF(CG1751="-","Nicht im Lift",IF(AZ1751&gt;=1,"Lift",IF(AZ1751&lt;=0,"Aussenlager","teilweise")))))</f>
        <v/>
      </c>
      <c r="BM1751" s="60" t="str">
        <f aca="false">IF(BD1751&lt;=0,"",IF(CG1751="Aussen","Aussenlager",IF(CG1751="-","Nicht im Lift",IF(BJ1751&gt;=1,"Lift",IF(BJ1751&lt;=0,"Aussenlager","teilweise")))))</f>
        <v/>
      </c>
      <c r="BN1751" s="60" t="str">
        <f aca="false">IF(A1751="","",IF(BW1751=1,"Neu; ","")&amp;IF(AND(BW1751=0,BR1751&lt;0),"negativer Bestand (Export "&amp;BR1751&amp;"); ","")&amp;IF(J1751&lt;=0,"Kein Verbrauch; ","")&amp;IF(CR1751&gt;0,"Lift "&amp;W1751&amp;" lt. Liftbericht (Fach "&amp;X1751&amp;" Stk); ",IF(CB1751=1,"Gebinde geschätzt ("&amp;T1751&amp;"); ",IF(CA1751=1,"Lose – Tablare geschätzt; ","")))&amp;IF(H1751&gt;AW1751,"Überbestand "&amp;ROUND(H1751-AW1751,0)&amp;" Stk / CHF "&amp;ROUND((H1751-AW1751)*G1751,0)&amp;"; ","")&amp;IF(AND(CI1751=1,CJ1751&lt;CK1751),"MAX &lt; MB+LG; ","")&amp;IF(AND(CQ1751&gt;0,CP1751*10&gt;CQ1751),"zu hoch für Tablar; ","")&amp;IF(AND(BW1751=0,OR(CI1751=1,AB1751&lt;&gt;"",U1751&lt;&gt;"",V1751&lt;&gt;"",AC1751&lt;&gt;"")),"manuell übersteuert; ","")&amp;IF(AND(CA1751=0,R1751=0),"Gebinde unbekannt / Stellmass fehlt; ","")&amp;IF(AND(CA1751=0,N(V1751)&lt;=0,N(Q1751)&lt;=0),"Menge pro Gebinde fehlt (Ist = 1 Gebinde); ","")&amp;BV1751)</f>
        <v/>
      </c>
      <c r="BO1751" s="60"/>
      <c r="BP1751" s="60"/>
      <c r="BQ1751" s="67"/>
      <c r="BR1751" s="62" t="n">
        <f aca="false">N('Neue Artikel'!$D$12)</f>
        <v>0</v>
      </c>
      <c r="BS1751" s="62" t="n">
        <v>0</v>
      </c>
      <c r="BT1751" s="61" t="n">
        <v>0</v>
      </c>
      <c r="BU1751" s="62" t="n">
        <f aca="false">N('Neue Artikel'!$C$12)/Parameter!$B$18</f>
        <v>0</v>
      </c>
      <c r="BV1751" s="60"/>
      <c r="BW1751" s="65" t="n">
        <v>1</v>
      </c>
      <c r="BX1751" s="65" t="n">
        <v>1751</v>
      </c>
      <c r="BY1751" s="60" t="str">
        <f aca="false">IF(U1751&lt;&gt;"",UPPER(TRIM(U1751)),IF(CB1751=1,UPPER(VLOOKUP(T1751,Parameter!$I$27:$K$29,2,0)),IF(P1751="","LOSE",P1751)))</f>
        <v>LOSE</v>
      </c>
      <c r="BZ1751" s="62" t="n">
        <f aca="false">IF(BY1751="LOSE",1,IF(N(V1751)&gt;0,V1751,IF(CB1751=1,MAX(1,N(VLOOKUP(T1751,Parameter!$I$27:$K$29,3,0)),H1751,N(N1751)),IF(N(Q1751)&gt;0,Q1751,MAX(1,H1751)))))</f>
        <v>1</v>
      </c>
      <c r="CA1751" s="65" t="n">
        <f aca="false">IF(BY1751="LOSE",1,0)</f>
        <v>1</v>
      </c>
      <c r="CB1751" s="65" t="n">
        <f aca="false">IF(AND(U1751="",OR(P1751="",P1751="LOSE"),T1751&lt;&gt;"",N(S1751)&lt;=0,ISNUMBER(MATCH(T1751,Parameter!$I$27:$I$29,0))),1,0)</f>
        <v>0</v>
      </c>
      <c r="CC1751" s="65" t="n">
        <f aca="false">IF(CR1751&gt;0,INDEX(Parameter!$H$5:$H$7,W1751)/INDEX(Parameter!$E$5:$E$7,W1751),IF(AND(CA1751=0,N(IFERROR(VLOOKUP(BY1751,'Gebinde-Kategorie'!$A$5:$N$45,14,0),0))&gt;0),VLOOKUP(BY1751,'Gebinde-Kategorie'!$A$5:$N$45,14,0)*10+Parameter!$M$23,Parameter!$M$24))</f>
        <v>235</v>
      </c>
      <c r="CD1751" s="60" t="str">
        <f aca="false">IF(AND(Parameter!$B$19="Ja",E1751&lt;&gt;"",ISNUMBER(MATCH(E1751,Parameter!$I$35:$I$52,0))),VLOOKUP(E1751,Parameter!$I$35:$J$52,2,0),IFERROR(VLOOKUP(D1751,Parameter!$A$35:$C$64,2,0),"Nein"))</f>
        <v>2+3</v>
      </c>
      <c r="CE1751" s="64" t="n">
        <f aca="false">IF(CA1751=0,0,IF(N(S1751)&gt;0,S1751,IFERROR(VLOOKUP(D1751,Parameter!$A$35:$C$64,3,0)+0,0)))</f>
        <v>0.15</v>
      </c>
      <c r="CF1751" s="60" t="str">
        <f aca="false">IF(AB1751&lt;&gt;"",AB1751,AA1751)</f>
        <v/>
      </c>
      <c r="CG1751" s="60" t="str">
        <f aca="false">IF(OR(CF1751=1,CF1751=2,CF1751=3),IF(Parameter!$E$27="Ja","LIFT",IF(CF1751=1,"L1","L23")),IF(CF1751="Aussen","Aussen","-"))</f>
        <v>-</v>
      </c>
      <c r="CH1751" s="71" t="n">
        <f aca="false">IF(N(AC1751)&gt;0,AC1751,0)</f>
        <v>0</v>
      </c>
      <c r="CI1751" s="65" t="n">
        <f aca="false">IF(ISNUMBER(AF1751),1,0)</f>
        <v>0</v>
      </c>
      <c r="CJ1751" s="62" t="n">
        <f aca="false">N(AF1751)</f>
        <v>0</v>
      </c>
      <c r="CK1751" s="62" t="n">
        <f aca="false">N(M1751)+N(N1751)</f>
        <v>0</v>
      </c>
      <c r="CL1751" s="62" t="n">
        <f aca="false">N(M1751)</f>
        <v>0</v>
      </c>
      <c r="CM1751" s="62" t="n">
        <f aca="false">N(N1751)</f>
        <v>0</v>
      </c>
      <c r="CN1751" s="62" t="n">
        <f aca="false">ROUNDUP(H1751/BZ1751,0)</f>
        <v>0</v>
      </c>
      <c r="CO1751" s="62" t="n">
        <f aca="false">ROUNDUP(CJ1751/BZ1751,0)</f>
        <v>0</v>
      </c>
      <c r="CP1751" s="65" t="n">
        <f aca="false">IF(CA1751=1,0,IFERROR(VLOOKUP(BY1751,'Gebinde-Kategorie'!$A$5:$N$45,5,0)+0,0))</f>
        <v>0</v>
      </c>
      <c r="CQ1751" s="65" t="n">
        <f aca="false">IFERROR(IF(OR(CF1751=1,CF1751=2,CF1751=3),N(INDEX(Parameter!$I$5:$I$7,CF1751)),0),0)</f>
        <v>0</v>
      </c>
      <c r="CR1751" s="64" t="n">
        <f aca="false">IF(AND(Parameter!$B$21="Ja",ISNUMBER(W1751),N(X1751)&gt;0),IFERROR(N(INDEX(Parameter!$L$5:$L$7,W1751))*INDEX(Parameter!$E$5:$E$7,W1751)*X1751/SUMIFS($X$7:$X$1843,$W$7:$W$1843,W1751),0),0)</f>
        <v>0</v>
      </c>
      <c r="CS1751" s="62" t="str">
        <f aca="false">IF(AND(OR(CG1751="L1",CG1751="L23",CG1751="LIFT"),H1751&gt;0),CC1751*IF(CR1751&gt;0,CR1751*MAX(1,H1751/X1751),IF(CA1751=1,CE1751,IF(R1751&gt;0,CN1751/R1751,0))/MAX(0.1,N(Parameter!$M$21))),"")</f>
        <v/>
      </c>
      <c r="CT1751" s="64" t="str">
        <f aca="false">IF(CS1751="","",J1751/H1751)</f>
        <v/>
      </c>
      <c r="CU1751" s="62" t="str">
        <f aca="false">IF(CS1751="","",H1751*G1751)</f>
        <v/>
      </c>
      <c r="CV1751" s="63" t="str">
        <f aca="false">IF(CS1751="","",(CL1751+ROUNDUP(CL1751+MAX(CM1751,2*(J1751/MAX(0.1,N(Einkauf!$C$6))-CL1751)),0))/2)</f>
        <v/>
      </c>
      <c r="CW1751" s="62" t="str">
        <f aca="false">IF(CS1751="","",MAX(0,H1751-CV1751)*G1751)</f>
        <v/>
      </c>
      <c r="CX1751" s="62" t="str">
        <f aca="false">IF(CS1751="","",CS1751*MAX(0,1-CV1751/H1751))</f>
        <v/>
      </c>
      <c r="CY1751" s="64" t="str">
        <f aca="false">IF(CS1751="","",PERCENTRANK($CS$7:$CS$1843,CS1751)+PERCENTRANK($CU$7:$CU$1843,CU1751)+1-PERCENTRANK($CT$7:$CT$1843,CT1751))</f>
        <v/>
      </c>
      <c r="CZ1751" s="72" t="str">
        <f aca="false">IF(CS1751="","",CHOOSE(MATCH(Einkauf!$C$5,Parameter!$G$23:$G$27,0),CY1751,CS1751,CU1751,-CT1751,CW1751)+ROW()/1000000000)</f>
        <v/>
      </c>
    </row>
    <row r="1752" customFormat="false" ht="15" hidden="false" customHeight="false" outlineLevel="0" collapsed="false">
      <c r="A1752" s="60" t="str">
        <f aca="false">IF('Neue Artikel'!$A$13="","",'Neue Artikel'!$A$13&amp;"")</f>
        <v/>
      </c>
      <c r="B1752" s="60" t="str">
        <f aca="false">'Neue Artikel'!$B$13&amp;""</f>
        <v/>
      </c>
      <c r="C1752" s="60"/>
      <c r="D1752" s="60" t="s">
        <v>3057</v>
      </c>
      <c r="E1752" s="60"/>
      <c r="F1752" s="60"/>
      <c r="G1752" s="61" t="n">
        <f aca="false">N('Neue Artikel'!$G$13)</f>
        <v>0</v>
      </c>
      <c r="H1752" s="62" t="n">
        <f aca="false">MAX(0,IF(AND(Parameter!$B$21="Ja",ISNUMBER(Y1752)),Y1752,IF(Parameter!$B$20="Jahresanfang 2025 + Export",BS1752+BR1752,BR1752)))</f>
        <v>0</v>
      </c>
      <c r="I1752" s="62" t="n">
        <f aca="false">H1752*G1752</f>
        <v>0</v>
      </c>
      <c r="J1752" s="62" t="n">
        <f aca="false">BU1752*Parameter!$B$18</f>
        <v>0</v>
      </c>
      <c r="K1752" s="63"/>
      <c r="L1752" s="64"/>
      <c r="M1752" s="62" t="n">
        <f aca="false">N('Neue Artikel'!$E$13)</f>
        <v>0</v>
      </c>
      <c r="N1752" s="62" t="n">
        <f aca="false">N('Neue Artikel'!$F$13)</f>
        <v>0</v>
      </c>
      <c r="O1752" s="65"/>
      <c r="P1752" s="60" t="str">
        <f aca="false">IF('Neue Artikel'!$H$13="","LOSE",UPPER(TRIM('Neue Artikel'!$H$13)))</f>
        <v>LOSE</v>
      </c>
      <c r="Q1752" s="62" t="n">
        <f aca="false">N('Neue Artikel'!$I$13)</f>
        <v>0</v>
      </c>
      <c r="R1752" s="65" t="n">
        <f aca="false">IF(CA1752=1,0,IFERROR(VLOOKUP(BY1752,'Gebinde-Kategorie'!$A$5:$N$45,13,0)+0,0))</f>
        <v>0</v>
      </c>
      <c r="S1752" s="66"/>
      <c r="T1752" s="67"/>
      <c r="U1752" s="67"/>
      <c r="V1752" s="67"/>
      <c r="W1752" s="60"/>
      <c r="X1752" s="62"/>
      <c r="Y1752" s="62"/>
      <c r="Z1752" s="60"/>
      <c r="AA1752" s="60" t="str">
        <f aca="false">IF(A1752="","",IF(AND(Parameter!$B$21="Ja",ISNUMBER(W1752)),W1752,IF(AND(Parameter!$E$27="Ja",ISNUMBER(Z1752),CD1752&lt;&gt;"Nein"),Z1752,IF(CD1752="2+3",IF(ISNUMBER(SEARCH("grosser Artikel",BV1752)),2,IFERROR(VLOOKUP(BY1752,Parameter!$F$35:$G$64,2,0),2)),IF(OR(CD1752="Nein",CD1752=""),"-",CD1752)))))</f>
        <v/>
      </c>
      <c r="AB1752" s="60" t="str">
        <f aca="false">IF('Neue Artikel'!$J$13="","",'Neue Artikel'!$J$13)</f>
        <v/>
      </c>
      <c r="AC1752" s="68"/>
      <c r="AD1752" s="62" t="n">
        <f aca="false">AW1752</f>
        <v>0</v>
      </c>
      <c r="AE1752" s="62" t="n">
        <f aca="false">MAX(AW1752,H1752)</f>
        <v>0</v>
      </c>
      <c r="AF1752" s="69"/>
      <c r="AG1752" s="62" t="n">
        <f aca="false">IF(LEFT(Cockpit!$C$5,1)="A",H1752,IF(Parameter!$E$30="MAX-Bestand",IF(CI1752=1,CJ1752,IF(LEFT(Cockpit!$C$5,1)="B",AM1752,MAX(AM1752,H1752))),ROUNDUP(AK1752,0)))</f>
        <v>0</v>
      </c>
      <c r="AH1752" s="62" t="n">
        <f aca="false">IF(CA1752=1,0,ROUNDUP(AG1752/BZ1752,0))</f>
        <v>0</v>
      </c>
      <c r="AI1752" s="64" t="n">
        <f aca="false">IF(CR1752&gt;0,CR1752*MAX(1,AG1752/X1752),IF(CA1752=1,IF(AG1752&lt;=0,0,CE1752*MAX(1,IF(H1752&gt;0,AG1752/H1752,1))),IF(R1752&gt;0,AH1752/R1752,0))/MAX(0.1,N(Parameter!$M$21)))</f>
        <v>0</v>
      </c>
      <c r="AJ1752" s="62" t="n">
        <f aca="false">AI1752*CC1752</f>
        <v>0</v>
      </c>
      <c r="AK1752" s="63" t="n">
        <f aca="false">IF(LEFT(Cockpit!$C$5,1)="A",H1752,IF(CI1752=1,(CL1752+CJ1752)/2,IF(LEFT(Cockpit!$C$5,1)="B",(CL1752+AM1752)/2,MAX((CL1752+AM1752)/2,H1752))))</f>
        <v>0</v>
      </c>
      <c r="AL1752" s="62" t="n">
        <f aca="false">AK1752*G1752</f>
        <v>0</v>
      </c>
      <c r="AM1752" s="62" t="n">
        <f aca="false">ROUNDUP(CL1752+MAX(CM1752,2*(J1752/IF(CH1752&gt;0,CH1752,MAX(0.1,N(Cockpit!$C$6)))-CL1752)),0)</f>
        <v>0</v>
      </c>
      <c r="AN1752" s="63" t="n">
        <f aca="false">IF(AJ1752&gt;0,J1752/AJ1752,-1)</f>
        <v>-1</v>
      </c>
      <c r="AO1752" s="63" t="str">
        <f aca="false">IF(AND(OR(CG1752="L1",CG1752="L23",CG1752="LIFT"),AJ1752&gt;0),SUMIFS($AJ$7:$AJ$1843,$CG$7:$CG$1843,CG1752,$AN$7:$AN$1843,"&gt;"&amp;AN1752)+SUMIFS($AJ$7:$AJ$1843,$CG$7:$CG$1843,CG1752,$AN$7:$AN$1843,AN1752,$BX$7:$BX$1843,"&lt;="&amp;BX1752),"")</f>
        <v/>
      </c>
      <c r="AP1752" s="70" t="n">
        <f aca="false">IF(AO1752="",0,MAX(0,MIN(1,(IF(CG1752="L1",Parameter!$H$5,IF(CG1752="L23",Parameter!$H$6+Parameter!$H$7,Parameter!$H$5+Parameter!$H$6+Parameter!$H$7))-(AO1752-AJ1752))/AJ1752)))</f>
        <v>0</v>
      </c>
      <c r="AQ1752" s="62" t="n">
        <f aca="false">IF(LEFT(Cockpit!$I$5,1)="A",H1752,IF(Parameter!$E$30="MAX-Bestand",IF(CI1752=1,CJ1752,IF(LEFT(Cockpit!$I$5,1)="B",AW1752,MAX(AW1752,H1752))),ROUNDUP(AU1752,0)))</f>
        <v>0</v>
      </c>
      <c r="AR1752" s="62" t="n">
        <f aca="false">IF(CA1752=1,0,ROUNDUP(AQ1752/BZ1752,0))</f>
        <v>0</v>
      </c>
      <c r="AS1752" s="64" t="n">
        <f aca="false">IF(CR1752&gt;0,CR1752*MAX(1,AQ1752/X1752),IF(CA1752=1,IF(AQ1752&lt;=0,0,CE1752*MAX(1,IF(H1752&gt;0,AQ1752/H1752,1))),IF(R1752&gt;0,AR1752/R1752,0))/MAX(0.1,N(Parameter!$M$21)))</f>
        <v>0</v>
      </c>
      <c r="AT1752" s="62" t="n">
        <f aca="false">AS1752*CC1752</f>
        <v>0</v>
      </c>
      <c r="AU1752" s="63" t="n">
        <f aca="false">IF(LEFT(Cockpit!$I$5,1)="A",H1752,IF(CI1752=1,(CL1752+CJ1752)/2,IF(LEFT(Cockpit!$I$5,1)="B",(CL1752+AW1752)/2,MAX((CL1752+AW1752)/2,H1752))))</f>
        <v>0</v>
      </c>
      <c r="AV1752" s="62" t="n">
        <f aca="false">AU1752*G1752</f>
        <v>0</v>
      </c>
      <c r="AW1752" s="62" t="n">
        <f aca="false">ROUNDUP(CL1752+MAX(CM1752,2*(J1752/IF(CH1752&gt;0,CH1752,MAX(0.1,N(Cockpit!$I$6)))-CL1752)),0)</f>
        <v>0</v>
      </c>
      <c r="AX1752" s="63" t="n">
        <f aca="false">IF(AT1752&gt;0,J1752/AT1752,-1)</f>
        <v>-1</v>
      </c>
      <c r="AY1752" s="63" t="str">
        <f aca="false">IF(AND(OR(CG1752="L1",CG1752="L23",CG1752="LIFT"),AT1752&gt;0),SUMIFS($AT$7:$AT$1843,$CG$7:$CG$1843,CG1752,$AX$7:$AX$1843,"&gt;"&amp;AX1752)+SUMIFS($AT$7:$AT$1843,$CG$7:$CG$1843,CG1752,$AX$7:$AX$1843,AX1752,$BX$7:$BX$1843,"&lt;="&amp;BX1752),"")</f>
        <v/>
      </c>
      <c r="AZ1752" s="70" t="n">
        <f aca="false">IF(AY1752="",0,MAX(0,MIN(1,(IF(CG1752="L1",Parameter!$H$5,IF(CG1752="L23",Parameter!$H$6+Parameter!$H$7,Parameter!$H$5+Parameter!$H$6+Parameter!$H$7))-(AY1752-AT1752))/AT1752)))</f>
        <v>0</v>
      </c>
      <c r="BA1752" s="62" t="n">
        <f aca="false">IF(LEFT(Cockpit!$O$5,1)="A",H1752,IF(Parameter!$E$30="MAX-Bestand",IF(CI1752=1,CJ1752,IF(LEFT(Cockpit!$O$5,1)="B",BG1752,MAX(BG1752,H1752))),ROUNDUP(BE1752,0)))</f>
        <v>0</v>
      </c>
      <c r="BB1752" s="62" t="n">
        <f aca="false">IF(CA1752=1,0,ROUNDUP(BA1752/BZ1752,0))</f>
        <v>0</v>
      </c>
      <c r="BC1752" s="64" t="n">
        <f aca="false">IF(CR1752&gt;0,CR1752*MAX(1,BA1752/X1752),IF(CA1752=1,IF(BA1752&lt;=0,0,CE1752*MAX(1,IF(H1752&gt;0,BA1752/H1752,1))),IF(R1752&gt;0,BB1752/R1752,0))/MAX(0.1,N(Parameter!$M$21)))</f>
        <v>0</v>
      </c>
      <c r="BD1752" s="62" t="n">
        <f aca="false">BC1752*CC1752</f>
        <v>0</v>
      </c>
      <c r="BE1752" s="63" t="n">
        <f aca="false">IF(LEFT(Cockpit!$O$5,1)="A",H1752,IF(CI1752=1,(CL1752+CJ1752)/2,IF(LEFT(Cockpit!$O$5,1)="B",(CL1752+BG1752)/2,MAX((CL1752+BG1752)/2,H1752))))</f>
        <v>0</v>
      </c>
      <c r="BF1752" s="62" t="n">
        <f aca="false">BE1752*G1752</f>
        <v>0</v>
      </c>
      <c r="BG1752" s="62" t="n">
        <f aca="false">ROUNDUP(CL1752+MAX(CM1752,2*(J1752/IF(CH1752&gt;0,CH1752,MAX(0.1,N(Cockpit!$O$6)))-CL1752)),0)</f>
        <v>0</v>
      </c>
      <c r="BH1752" s="63" t="n">
        <f aca="false">IF(BD1752&gt;0,J1752/BD1752,-1)</f>
        <v>-1</v>
      </c>
      <c r="BI1752" s="63" t="str">
        <f aca="false">IF(AND(OR(CG1752="L1",CG1752="L23",CG1752="LIFT"),BD1752&gt;0),SUMIFS($BD$7:$BD$1843,$CG$7:$CG$1843,CG1752,$BH$7:$BH$1843,"&gt;"&amp;BH1752)+SUMIFS($BD$7:$BD$1843,$CG$7:$CG$1843,CG1752,$BH$7:$BH$1843,BH1752,$BX$7:$BX$1843,"&lt;="&amp;BX1752),"")</f>
        <v/>
      </c>
      <c r="BJ1752" s="70" t="n">
        <f aca="false">IF(BI1752="",0,MAX(0,MIN(1,(IF(CG1752="L1",Parameter!$H$5,IF(CG1752="L23",Parameter!$H$6+Parameter!$H$7,Parameter!$H$5+Parameter!$H$6+Parameter!$H$7))-(BI1752-BD1752))/BD1752)))</f>
        <v>0</v>
      </c>
      <c r="BK1752" s="60" t="str">
        <f aca="false">IF(AJ1752&lt;=0,"",IF(CG1752="Aussen","Aussenlager",IF(CG1752="-","Nicht im Lift",IF(AP1752&gt;=1,"Lift",IF(AP1752&lt;=0,"Aussenlager","teilweise")))))</f>
        <v/>
      </c>
      <c r="BL1752" s="60" t="str">
        <f aca="false">IF(AT1752&lt;=0,"",IF(CG1752="Aussen","Aussenlager",IF(CG1752="-","Nicht im Lift",IF(AZ1752&gt;=1,"Lift",IF(AZ1752&lt;=0,"Aussenlager","teilweise")))))</f>
        <v/>
      </c>
      <c r="BM1752" s="60" t="str">
        <f aca="false">IF(BD1752&lt;=0,"",IF(CG1752="Aussen","Aussenlager",IF(CG1752="-","Nicht im Lift",IF(BJ1752&gt;=1,"Lift",IF(BJ1752&lt;=0,"Aussenlager","teilweise")))))</f>
        <v/>
      </c>
      <c r="BN1752" s="60" t="str">
        <f aca="false">IF(A1752="","",IF(BW1752=1,"Neu; ","")&amp;IF(AND(BW1752=0,BR1752&lt;0),"negativer Bestand (Export "&amp;BR1752&amp;"); ","")&amp;IF(J1752&lt;=0,"Kein Verbrauch; ","")&amp;IF(CR1752&gt;0,"Lift "&amp;W1752&amp;" lt. Liftbericht (Fach "&amp;X1752&amp;" Stk); ",IF(CB1752=1,"Gebinde geschätzt ("&amp;T1752&amp;"); ",IF(CA1752=1,"Lose – Tablare geschätzt; ","")))&amp;IF(H1752&gt;AW1752,"Überbestand "&amp;ROUND(H1752-AW1752,0)&amp;" Stk / CHF "&amp;ROUND((H1752-AW1752)*G1752,0)&amp;"; ","")&amp;IF(AND(CI1752=1,CJ1752&lt;CK1752),"MAX &lt; MB+LG; ","")&amp;IF(AND(CQ1752&gt;0,CP1752*10&gt;CQ1752),"zu hoch für Tablar; ","")&amp;IF(AND(BW1752=0,OR(CI1752=1,AB1752&lt;&gt;"",U1752&lt;&gt;"",V1752&lt;&gt;"",AC1752&lt;&gt;"")),"manuell übersteuert; ","")&amp;IF(AND(CA1752=0,R1752=0),"Gebinde unbekannt / Stellmass fehlt; ","")&amp;IF(AND(CA1752=0,N(V1752)&lt;=0,N(Q1752)&lt;=0),"Menge pro Gebinde fehlt (Ist = 1 Gebinde); ","")&amp;BV1752)</f>
        <v/>
      </c>
      <c r="BO1752" s="60"/>
      <c r="BP1752" s="60"/>
      <c r="BQ1752" s="67"/>
      <c r="BR1752" s="62" t="n">
        <f aca="false">N('Neue Artikel'!$D$13)</f>
        <v>0</v>
      </c>
      <c r="BS1752" s="62" t="n">
        <v>0</v>
      </c>
      <c r="BT1752" s="61" t="n">
        <v>0</v>
      </c>
      <c r="BU1752" s="62" t="n">
        <f aca="false">N('Neue Artikel'!$C$13)/Parameter!$B$18</f>
        <v>0</v>
      </c>
      <c r="BV1752" s="60"/>
      <c r="BW1752" s="65" t="n">
        <v>1</v>
      </c>
      <c r="BX1752" s="65" t="n">
        <v>1752</v>
      </c>
      <c r="BY1752" s="60" t="str">
        <f aca="false">IF(U1752&lt;&gt;"",UPPER(TRIM(U1752)),IF(CB1752=1,UPPER(VLOOKUP(T1752,Parameter!$I$27:$K$29,2,0)),IF(P1752="","LOSE",P1752)))</f>
        <v>LOSE</v>
      </c>
      <c r="BZ1752" s="62" t="n">
        <f aca="false">IF(BY1752="LOSE",1,IF(N(V1752)&gt;0,V1752,IF(CB1752=1,MAX(1,N(VLOOKUP(T1752,Parameter!$I$27:$K$29,3,0)),H1752,N(N1752)),IF(N(Q1752)&gt;0,Q1752,MAX(1,H1752)))))</f>
        <v>1</v>
      </c>
      <c r="CA1752" s="65" t="n">
        <f aca="false">IF(BY1752="LOSE",1,0)</f>
        <v>1</v>
      </c>
      <c r="CB1752" s="65" t="n">
        <f aca="false">IF(AND(U1752="",OR(P1752="",P1752="LOSE"),T1752&lt;&gt;"",N(S1752)&lt;=0,ISNUMBER(MATCH(T1752,Parameter!$I$27:$I$29,0))),1,0)</f>
        <v>0</v>
      </c>
      <c r="CC1752" s="65" t="n">
        <f aca="false">IF(CR1752&gt;0,INDEX(Parameter!$H$5:$H$7,W1752)/INDEX(Parameter!$E$5:$E$7,W1752),IF(AND(CA1752=0,N(IFERROR(VLOOKUP(BY1752,'Gebinde-Kategorie'!$A$5:$N$45,14,0),0))&gt;0),VLOOKUP(BY1752,'Gebinde-Kategorie'!$A$5:$N$45,14,0)*10+Parameter!$M$23,Parameter!$M$24))</f>
        <v>235</v>
      </c>
      <c r="CD1752" s="60" t="str">
        <f aca="false">IF(AND(Parameter!$B$19="Ja",E1752&lt;&gt;"",ISNUMBER(MATCH(E1752,Parameter!$I$35:$I$52,0))),VLOOKUP(E1752,Parameter!$I$35:$J$52,2,0),IFERROR(VLOOKUP(D1752,Parameter!$A$35:$C$64,2,0),"Nein"))</f>
        <v>2+3</v>
      </c>
      <c r="CE1752" s="64" t="n">
        <f aca="false">IF(CA1752=0,0,IF(N(S1752)&gt;0,S1752,IFERROR(VLOOKUP(D1752,Parameter!$A$35:$C$64,3,0)+0,0)))</f>
        <v>0.15</v>
      </c>
      <c r="CF1752" s="60" t="str">
        <f aca="false">IF(AB1752&lt;&gt;"",AB1752,AA1752)</f>
        <v/>
      </c>
      <c r="CG1752" s="60" t="str">
        <f aca="false">IF(OR(CF1752=1,CF1752=2,CF1752=3),IF(Parameter!$E$27="Ja","LIFT",IF(CF1752=1,"L1","L23")),IF(CF1752="Aussen","Aussen","-"))</f>
        <v>-</v>
      </c>
      <c r="CH1752" s="71" t="n">
        <f aca="false">IF(N(AC1752)&gt;0,AC1752,0)</f>
        <v>0</v>
      </c>
      <c r="CI1752" s="65" t="n">
        <f aca="false">IF(ISNUMBER(AF1752),1,0)</f>
        <v>0</v>
      </c>
      <c r="CJ1752" s="62" t="n">
        <f aca="false">N(AF1752)</f>
        <v>0</v>
      </c>
      <c r="CK1752" s="62" t="n">
        <f aca="false">N(M1752)+N(N1752)</f>
        <v>0</v>
      </c>
      <c r="CL1752" s="62" t="n">
        <f aca="false">N(M1752)</f>
        <v>0</v>
      </c>
      <c r="CM1752" s="62" t="n">
        <f aca="false">N(N1752)</f>
        <v>0</v>
      </c>
      <c r="CN1752" s="62" t="n">
        <f aca="false">ROUNDUP(H1752/BZ1752,0)</f>
        <v>0</v>
      </c>
      <c r="CO1752" s="62" t="n">
        <f aca="false">ROUNDUP(CJ1752/BZ1752,0)</f>
        <v>0</v>
      </c>
      <c r="CP1752" s="65" t="n">
        <f aca="false">IF(CA1752=1,0,IFERROR(VLOOKUP(BY1752,'Gebinde-Kategorie'!$A$5:$N$45,5,0)+0,0))</f>
        <v>0</v>
      </c>
      <c r="CQ1752" s="65" t="n">
        <f aca="false">IFERROR(IF(OR(CF1752=1,CF1752=2,CF1752=3),N(INDEX(Parameter!$I$5:$I$7,CF1752)),0),0)</f>
        <v>0</v>
      </c>
      <c r="CR1752" s="64" t="n">
        <f aca="false">IF(AND(Parameter!$B$21="Ja",ISNUMBER(W1752),N(X1752)&gt;0),IFERROR(N(INDEX(Parameter!$L$5:$L$7,W1752))*INDEX(Parameter!$E$5:$E$7,W1752)*X1752/SUMIFS($X$7:$X$1843,$W$7:$W$1843,W1752),0),0)</f>
        <v>0</v>
      </c>
      <c r="CS1752" s="62" t="str">
        <f aca="false">IF(AND(OR(CG1752="L1",CG1752="L23",CG1752="LIFT"),H1752&gt;0),CC1752*IF(CR1752&gt;0,CR1752*MAX(1,H1752/X1752),IF(CA1752=1,CE1752,IF(R1752&gt;0,CN1752/R1752,0))/MAX(0.1,N(Parameter!$M$21))),"")</f>
        <v/>
      </c>
      <c r="CT1752" s="64" t="str">
        <f aca="false">IF(CS1752="","",J1752/H1752)</f>
        <v/>
      </c>
      <c r="CU1752" s="62" t="str">
        <f aca="false">IF(CS1752="","",H1752*G1752)</f>
        <v/>
      </c>
      <c r="CV1752" s="63" t="str">
        <f aca="false">IF(CS1752="","",(CL1752+ROUNDUP(CL1752+MAX(CM1752,2*(J1752/MAX(0.1,N(Einkauf!$C$6))-CL1752)),0))/2)</f>
        <v/>
      </c>
      <c r="CW1752" s="62" t="str">
        <f aca="false">IF(CS1752="","",MAX(0,H1752-CV1752)*G1752)</f>
        <v/>
      </c>
      <c r="CX1752" s="62" t="str">
        <f aca="false">IF(CS1752="","",CS1752*MAX(0,1-CV1752/H1752))</f>
        <v/>
      </c>
      <c r="CY1752" s="64" t="str">
        <f aca="false">IF(CS1752="","",PERCENTRANK($CS$7:$CS$1843,CS1752)+PERCENTRANK($CU$7:$CU$1843,CU1752)+1-PERCENTRANK($CT$7:$CT$1843,CT1752))</f>
        <v/>
      </c>
      <c r="CZ1752" s="72" t="str">
        <f aca="false">IF(CS1752="","",CHOOSE(MATCH(Einkauf!$C$5,Parameter!$G$23:$G$27,0),CY1752,CS1752,CU1752,-CT1752,CW1752)+ROW()/1000000000)</f>
        <v/>
      </c>
    </row>
    <row r="1753" customFormat="false" ht="15" hidden="false" customHeight="false" outlineLevel="0" collapsed="false">
      <c r="A1753" s="60" t="str">
        <f aca="false">IF('Neue Artikel'!$A$14="","",'Neue Artikel'!$A$14&amp;"")</f>
        <v/>
      </c>
      <c r="B1753" s="60" t="str">
        <f aca="false">'Neue Artikel'!$B$14&amp;""</f>
        <v/>
      </c>
      <c r="C1753" s="60"/>
      <c r="D1753" s="60" t="s">
        <v>3057</v>
      </c>
      <c r="E1753" s="60"/>
      <c r="F1753" s="60"/>
      <c r="G1753" s="61" t="n">
        <f aca="false">N('Neue Artikel'!$G$14)</f>
        <v>0</v>
      </c>
      <c r="H1753" s="62" t="n">
        <f aca="false">MAX(0,IF(AND(Parameter!$B$21="Ja",ISNUMBER(Y1753)),Y1753,IF(Parameter!$B$20="Jahresanfang 2025 + Export",BS1753+BR1753,BR1753)))</f>
        <v>0</v>
      </c>
      <c r="I1753" s="62" t="n">
        <f aca="false">H1753*G1753</f>
        <v>0</v>
      </c>
      <c r="J1753" s="62" t="n">
        <f aca="false">BU1753*Parameter!$B$18</f>
        <v>0</v>
      </c>
      <c r="K1753" s="63"/>
      <c r="L1753" s="64"/>
      <c r="M1753" s="62" t="n">
        <f aca="false">N('Neue Artikel'!$E$14)</f>
        <v>0</v>
      </c>
      <c r="N1753" s="62" t="n">
        <f aca="false">N('Neue Artikel'!$F$14)</f>
        <v>0</v>
      </c>
      <c r="O1753" s="65"/>
      <c r="P1753" s="60" t="str">
        <f aca="false">IF('Neue Artikel'!$H$14="","LOSE",UPPER(TRIM('Neue Artikel'!$H$14)))</f>
        <v>LOSE</v>
      </c>
      <c r="Q1753" s="62" t="n">
        <f aca="false">N('Neue Artikel'!$I$14)</f>
        <v>0</v>
      </c>
      <c r="R1753" s="65" t="n">
        <f aca="false">IF(CA1753=1,0,IFERROR(VLOOKUP(BY1753,'Gebinde-Kategorie'!$A$5:$N$45,13,0)+0,0))</f>
        <v>0</v>
      </c>
      <c r="S1753" s="66"/>
      <c r="T1753" s="67"/>
      <c r="U1753" s="67"/>
      <c r="V1753" s="67"/>
      <c r="W1753" s="60"/>
      <c r="X1753" s="62"/>
      <c r="Y1753" s="62"/>
      <c r="Z1753" s="60"/>
      <c r="AA1753" s="60" t="str">
        <f aca="false">IF(A1753="","",IF(AND(Parameter!$B$21="Ja",ISNUMBER(W1753)),W1753,IF(AND(Parameter!$E$27="Ja",ISNUMBER(Z1753),CD1753&lt;&gt;"Nein"),Z1753,IF(CD1753="2+3",IF(ISNUMBER(SEARCH("grosser Artikel",BV1753)),2,IFERROR(VLOOKUP(BY1753,Parameter!$F$35:$G$64,2,0),2)),IF(OR(CD1753="Nein",CD1753=""),"-",CD1753)))))</f>
        <v/>
      </c>
      <c r="AB1753" s="60" t="str">
        <f aca="false">IF('Neue Artikel'!$J$14="","",'Neue Artikel'!$J$14)</f>
        <v/>
      </c>
      <c r="AC1753" s="68"/>
      <c r="AD1753" s="62" t="n">
        <f aca="false">AW1753</f>
        <v>0</v>
      </c>
      <c r="AE1753" s="62" t="n">
        <f aca="false">MAX(AW1753,H1753)</f>
        <v>0</v>
      </c>
      <c r="AF1753" s="69"/>
      <c r="AG1753" s="62" t="n">
        <f aca="false">IF(LEFT(Cockpit!$C$5,1)="A",H1753,IF(Parameter!$E$30="MAX-Bestand",IF(CI1753=1,CJ1753,IF(LEFT(Cockpit!$C$5,1)="B",AM1753,MAX(AM1753,H1753))),ROUNDUP(AK1753,0)))</f>
        <v>0</v>
      </c>
      <c r="AH1753" s="62" t="n">
        <f aca="false">IF(CA1753=1,0,ROUNDUP(AG1753/BZ1753,0))</f>
        <v>0</v>
      </c>
      <c r="AI1753" s="64" t="n">
        <f aca="false">IF(CR1753&gt;0,CR1753*MAX(1,AG1753/X1753),IF(CA1753=1,IF(AG1753&lt;=0,0,CE1753*MAX(1,IF(H1753&gt;0,AG1753/H1753,1))),IF(R1753&gt;0,AH1753/R1753,0))/MAX(0.1,N(Parameter!$M$21)))</f>
        <v>0</v>
      </c>
      <c r="AJ1753" s="62" t="n">
        <f aca="false">AI1753*CC1753</f>
        <v>0</v>
      </c>
      <c r="AK1753" s="63" t="n">
        <f aca="false">IF(LEFT(Cockpit!$C$5,1)="A",H1753,IF(CI1753=1,(CL1753+CJ1753)/2,IF(LEFT(Cockpit!$C$5,1)="B",(CL1753+AM1753)/2,MAX((CL1753+AM1753)/2,H1753))))</f>
        <v>0</v>
      </c>
      <c r="AL1753" s="62" t="n">
        <f aca="false">AK1753*G1753</f>
        <v>0</v>
      </c>
      <c r="AM1753" s="62" t="n">
        <f aca="false">ROUNDUP(CL1753+MAX(CM1753,2*(J1753/IF(CH1753&gt;0,CH1753,MAX(0.1,N(Cockpit!$C$6)))-CL1753)),0)</f>
        <v>0</v>
      </c>
      <c r="AN1753" s="63" t="n">
        <f aca="false">IF(AJ1753&gt;0,J1753/AJ1753,-1)</f>
        <v>-1</v>
      </c>
      <c r="AO1753" s="63" t="str">
        <f aca="false">IF(AND(OR(CG1753="L1",CG1753="L23",CG1753="LIFT"),AJ1753&gt;0),SUMIFS($AJ$7:$AJ$1843,$CG$7:$CG$1843,CG1753,$AN$7:$AN$1843,"&gt;"&amp;AN1753)+SUMIFS($AJ$7:$AJ$1843,$CG$7:$CG$1843,CG1753,$AN$7:$AN$1843,AN1753,$BX$7:$BX$1843,"&lt;="&amp;BX1753),"")</f>
        <v/>
      </c>
      <c r="AP1753" s="70" t="n">
        <f aca="false">IF(AO1753="",0,MAX(0,MIN(1,(IF(CG1753="L1",Parameter!$H$5,IF(CG1753="L23",Parameter!$H$6+Parameter!$H$7,Parameter!$H$5+Parameter!$H$6+Parameter!$H$7))-(AO1753-AJ1753))/AJ1753)))</f>
        <v>0</v>
      </c>
      <c r="AQ1753" s="62" t="n">
        <f aca="false">IF(LEFT(Cockpit!$I$5,1)="A",H1753,IF(Parameter!$E$30="MAX-Bestand",IF(CI1753=1,CJ1753,IF(LEFT(Cockpit!$I$5,1)="B",AW1753,MAX(AW1753,H1753))),ROUNDUP(AU1753,0)))</f>
        <v>0</v>
      </c>
      <c r="AR1753" s="62" t="n">
        <f aca="false">IF(CA1753=1,0,ROUNDUP(AQ1753/BZ1753,0))</f>
        <v>0</v>
      </c>
      <c r="AS1753" s="64" t="n">
        <f aca="false">IF(CR1753&gt;0,CR1753*MAX(1,AQ1753/X1753),IF(CA1753=1,IF(AQ1753&lt;=0,0,CE1753*MAX(1,IF(H1753&gt;0,AQ1753/H1753,1))),IF(R1753&gt;0,AR1753/R1753,0))/MAX(0.1,N(Parameter!$M$21)))</f>
        <v>0</v>
      </c>
      <c r="AT1753" s="62" t="n">
        <f aca="false">AS1753*CC1753</f>
        <v>0</v>
      </c>
      <c r="AU1753" s="63" t="n">
        <f aca="false">IF(LEFT(Cockpit!$I$5,1)="A",H1753,IF(CI1753=1,(CL1753+CJ1753)/2,IF(LEFT(Cockpit!$I$5,1)="B",(CL1753+AW1753)/2,MAX((CL1753+AW1753)/2,H1753))))</f>
        <v>0</v>
      </c>
      <c r="AV1753" s="62" t="n">
        <f aca="false">AU1753*G1753</f>
        <v>0</v>
      </c>
      <c r="AW1753" s="62" t="n">
        <f aca="false">ROUNDUP(CL1753+MAX(CM1753,2*(J1753/IF(CH1753&gt;0,CH1753,MAX(0.1,N(Cockpit!$I$6)))-CL1753)),0)</f>
        <v>0</v>
      </c>
      <c r="AX1753" s="63" t="n">
        <f aca="false">IF(AT1753&gt;0,J1753/AT1753,-1)</f>
        <v>-1</v>
      </c>
      <c r="AY1753" s="63" t="str">
        <f aca="false">IF(AND(OR(CG1753="L1",CG1753="L23",CG1753="LIFT"),AT1753&gt;0),SUMIFS($AT$7:$AT$1843,$CG$7:$CG$1843,CG1753,$AX$7:$AX$1843,"&gt;"&amp;AX1753)+SUMIFS($AT$7:$AT$1843,$CG$7:$CG$1843,CG1753,$AX$7:$AX$1843,AX1753,$BX$7:$BX$1843,"&lt;="&amp;BX1753),"")</f>
        <v/>
      </c>
      <c r="AZ1753" s="70" t="n">
        <f aca="false">IF(AY1753="",0,MAX(0,MIN(1,(IF(CG1753="L1",Parameter!$H$5,IF(CG1753="L23",Parameter!$H$6+Parameter!$H$7,Parameter!$H$5+Parameter!$H$6+Parameter!$H$7))-(AY1753-AT1753))/AT1753)))</f>
        <v>0</v>
      </c>
      <c r="BA1753" s="62" t="n">
        <f aca="false">IF(LEFT(Cockpit!$O$5,1)="A",H1753,IF(Parameter!$E$30="MAX-Bestand",IF(CI1753=1,CJ1753,IF(LEFT(Cockpit!$O$5,1)="B",BG1753,MAX(BG1753,H1753))),ROUNDUP(BE1753,0)))</f>
        <v>0</v>
      </c>
      <c r="BB1753" s="62" t="n">
        <f aca="false">IF(CA1753=1,0,ROUNDUP(BA1753/BZ1753,0))</f>
        <v>0</v>
      </c>
      <c r="BC1753" s="64" t="n">
        <f aca="false">IF(CR1753&gt;0,CR1753*MAX(1,BA1753/X1753),IF(CA1753=1,IF(BA1753&lt;=0,0,CE1753*MAX(1,IF(H1753&gt;0,BA1753/H1753,1))),IF(R1753&gt;0,BB1753/R1753,0))/MAX(0.1,N(Parameter!$M$21)))</f>
        <v>0</v>
      </c>
      <c r="BD1753" s="62" t="n">
        <f aca="false">BC1753*CC1753</f>
        <v>0</v>
      </c>
      <c r="BE1753" s="63" t="n">
        <f aca="false">IF(LEFT(Cockpit!$O$5,1)="A",H1753,IF(CI1753=1,(CL1753+CJ1753)/2,IF(LEFT(Cockpit!$O$5,1)="B",(CL1753+BG1753)/2,MAX((CL1753+BG1753)/2,H1753))))</f>
        <v>0</v>
      </c>
      <c r="BF1753" s="62" t="n">
        <f aca="false">BE1753*G1753</f>
        <v>0</v>
      </c>
      <c r="BG1753" s="62" t="n">
        <f aca="false">ROUNDUP(CL1753+MAX(CM1753,2*(J1753/IF(CH1753&gt;0,CH1753,MAX(0.1,N(Cockpit!$O$6)))-CL1753)),0)</f>
        <v>0</v>
      </c>
      <c r="BH1753" s="63" t="n">
        <f aca="false">IF(BD1753&gt;0,J1753/BD1753,-1)</f>
        <v>-1</v>
      </c>
      <c r="BI1753" s="63" t="str">
        <f aca="false">IF(AND(OR(CG1753="L1",CG1753="L23",CG1753="LIFT"),BD1753&gt;0),SUMIFS($BD$7:$BD$1843,$CG$7:$CG$1843,CG1753,$BH$7:$BH$1843,"&gt;"&amp;BH1753)+SUMIFS($BD$7:$BD$1843,$CG$7:$CG$1843,CG1753,$BH$7:$BH$1843,BH1753,$BX$7:$BX$1843,"&lt;="&amp;BX1753),"")</f>
        <v/>
      </c>
      <c r="BJ1753" s="70" t="n">
        <f aca="false">IF(BI1753="",0,MAX(0,MIN(1,(IF(CG1753="L1",Parameter!$H$5,IF(CG1753="L23",Parameter!$H$6+Parameter!$H$7,Parameter!$H$5+Parameter!$H$6+Parameter!$H$7))-(BI1753-BD1753))/BD1753)))</f>
        <v>0</v>
      </c>
      <c r="BK1753" s="60" t="str">
        <f aca="false">IF(AJ1753&lt;=0,"",IF(CG1753="Aussen","Aussenlager",IF(CG1753="-","Nicht im Lift",IF(AP1753&gt;=1,"Lift",IF(AP1753&lt;=0,"Aussenlager","teilweise")))))</f>
        <v/>
      </c>
      <c r="BL1753" s="60" t="str">
        <f aca="false">IF(AT1753&lt;=0,"",IF(CG1753="Aussen","Aussenlager",IF(CG1753="-","Nicht im Lift",IF(AZ1753&gt;=1,"Lift",IF(AZ1753&lt;=0,"Aussenlager","teilweise")))))</f>
        <v/>
      </c>
      <c r="BM1753" s="60" t="str">
        <f aca="false">IF(BD1753&lt;=0,"",IF(CG1753="Aussen","Aussenlager",IF(CG1753="-","Nicht im Lift",IF(BJ1753&gt;=1,"Lift",IF(BJ1753&lt;=0,"Aussenlager","teilweise")))))</f>
        <v/>
      </c>
      <c r="BN1753" s="60" t="str">
        <f aca="false">IF(A1753="","",IF(BW1753=1,"Neu; ","")&amp;IF(AND(BW1753=0,BR1753&lt;0),"negativer Bestand (Export "&amp;BR1753&amp;"); ","")&amp;IF(J1753&lt;=0,"Kein Verbrauch; ","")&amp;IF(CR1753&gt;0,"Lift "&amp;W1753&amp;" lt. Liftbericht (Fach "&amp;X1753&amp;" Stk); ",IF(CB1753=1,"Gebinde geschätzt ("&amp;T1753&amp;"); ",IF(CA1753=1,"Lose – Tablare geschätzt; ","")))&amp;IF(H1753&gt;AW1753,"Überbestand "&amp;ROUND(H1753-AW1753,0)&amp;" Stk / CHF "&amp;ROUND((H1753-AW1753)*G1753,0)&amp;"; ","")&amp;IF(AND(CI1753=1,CJ1753&lt;CK1753),"MAX &lt; MB+LG; ","")&amp;IF(AND(CQ1753&gt;0,CP1753*10&gt;CQ1753),"zu hoch für Tablar; ","")&amp;IF(AND(BW1753=0,OR(CI1753=1,AB1753&lt;&gt;"",U1753&lt;&gt;"",V1753&lt;&gt;"",AC1753&lt;&gt;"")),"manuell übersteuert; ","")&amp;IF(AND(CA1753=0,R1753=0),"Gebinde unbekannt / Stellmass fehlt; ","")&amp;IF(AND(CA1753=0,N(V1753)&lt;=0,N(Q1753)&lt;=0),"Menge pro Gebinde fehlt (Ist = 1 Gebinde); ","")&amp;BV1753)</f>
        <v/>
      </c>
      <c r="BO1753" s="60"/>
      <c r="BP1753" s="60"/>
      <c r="BQ1753" s="67"/>
      <c r="BR1753" s="62" t="n">
        <f aca="false">N('Neue Artikel'!$D$14)</f>
        <v>0</v>
      </c>
      <c r="BS1753" s="62" t="n">
        <v>0</v>
      </c>
      <c r="BT1753" s="61" t="n">
        <v>0</v>
      </c>
      <c r="BU1753" s="62" t="n">
        <f aca="false">N('Neue Artikel'!$C$14)/Parameter!$B$18</f>
        <v>0</v>
      </c>
      <c r="BV1753" s="60"/>
      <c r="BW1753" s="65" t="n">
        <v>1</v>
      </c>
      <c r="BX1753" s="65" t="n">
        <v>1753</v>
      </c>
      <c r="BY1753" s="60" t="str">
        <f aca="false">IF(U1753&lt;&gt;"",UPPER(TRIM(U1753)),IF(CB1753=1,UPPER(VLOOKUP(T1753,Parameter!$I$27:$K$29,2,0)),IF(P1753="","LOSE",P1753)))</f>
        <v>LOSE</v>
      </c>
      <c r="BZ1753" s="62" t="n">
        <f aca="false">IF(BY1753="LOSE",1,IF(N(V1753)&gt;0,V1753,IF(CB1753=1,MAX(1,N(VLOOKUP(T1753,Parameter!$I$27:$K$29,3,0)),H1753,N(N1753)),IF(N(Q1753)&gt;0,Q1753,MAX(1,H1753)))))</f>
        <v>1</v>
      </c>
      <c r="CA1753" s="65" t="n">
        <f aca="false">IF(BY1753="LOSE",1,0)</f>
        <v>1</v>
      </c>
      <c r="CB1753" s="65" t="n">
        <f aca="false">IF(AND(U1753="",OR(P1753="",P1753="LOSE"),T1753&lt;&gt;"",N(S1753)&lt;=0,ISNUMBER(MATCH(T1753,Parameter!$I$27:$I$29,0))),1,0)</f>
        <v>0</v>
      </c>
      <c r="CC1753" s="65" t="n">
        <f aca="false">IF(CR1753&gt;0,INDEX(Parameter!$H$5:$H$7,W1753)/INDEX(Parameter!$E$5:$E$7,W1753),IF(AND(CA1753=0,N(IFERROR(VLOOKUP(BY1753,'Gebinde-Kategorie'!$A$5:$N$45,14,0),0))&gt;0),VLOOKUP(BY1753,'Gebinde-Kategorie'!$A$5:$N$45,14,0)*10+Parameter!$M$23,Parameter!$M$24))</f>
        <v>235</v>
      </c>
      <c r="CD1753" s="60" t="str">
        <f aca="false">IF(AND(Parameter!$B$19="Ja",E1753&lt;&gt;"",ISNUMBER(MATCH(E1753,Parameter!$I$35:$I$52,0))),VLOOKUP(E1753,Parameter!$I$35:$J$52,2,0),IFERROR(VLOOKUP(D1753,Parameter!$A$35:$C$64,2,0),"Nein"))</f>
        <v>2+3</v>
      </c>
      <c r="CE1753" s="64" t="n">
        <f aca="false">IF(CA1753=0,0,IF(N(S1753)&gt;0,S1753,IFERROR(VLOOKUP(D1753,Parameter!$A$35:$C$64,3,0)+0,0)))</f>
        <v>0.15</v>
      </c>
      <c r="CF1753" s="60" t="str">
        <f aca="false">IF(AB1753&lt;&gt;"",AB1753,AA1753)</f>
        <v/>
      </c>
      <c r="CG1753" s="60" t="str">
        <f aca="false">IF(OR(CF1753=1,CF1753=2,CF1753=3),IF(Parameter!$E$27="Ja","LIFT",IF(CF1753=1,"L1","L23")),IF(CF1753="Aussen","Aussen","-"))</f>
        <v>-</v>
      </c>
      <c r="CH1753" s="71" t="n">
        <f aca="false">IF(N(AC1753)&gt;0,AC1753,0)</f>
        <v>0</v>
      </c>
      <c r="CI1753" s="65" t="n">
        <f aca="false">IF(ISNUMBER(AF1753),1,0)</f>
        <v>0</v>
      </c>
      <c r="CJ1753" s="62" t="n">
        <f aca="false">N(AF1753)</f>
        <v>0</v>
      </c>
      <c r="CK1753" s="62" t="n">
        <f aca="false">N(M1753)+N(N1753)</f>
        <v>0</v>
      </c>
      <c r="CL1753" s="62" t="n">
        <f aca="false">N(M1753)</f>
        <v>0</v>
      </c>
      <c r="CM1753" s="62" t="n">
        <f aca="false">N(N1753)</f>
        <v>0</v>
      </c>
      <c r="CN1753" s="62" t="n">
        <f aca="false">ROUNDUP(H1753/BZ1753,0)</f>
        <v>0</v>
      </c>
      <c r="CO1753" s="62" t="n">
        <f aca="false">ROUNDUP(CJ1753/BZ1753,0)</f>
        <v>0</v>
      </c>
      <c r="CP1753" s="65" t="n">
        <f aca="false">IF(CA1753=1,0,IFERROR(VLOOKUP(BY1753,'Gebinde-Kategorie'!$A$5:$N$45,5,0)+0,0))</f>
        <v>0</v>
      </c>
      <c r="CQ1753" s="65" t="n">
        <f aca="false">IFERROR(IF(OR(CF1753=1,CF1753=2,CF1753=3),N(INDEX(Parameter!$I$5:$I$7,CF1753)),0),0)</f>
        <v>0</v>
      </c>
      <c r="CR1753" s="64" t="n">
        <f aca="false">IF(AND(Parameter!$B$21="Ja",ISNUMBER(W1753),N(X1753)&gt;0),IFERROR(N(INDEX(Parameter!$L$5:$L$7,W1753))*INDEX(Parameter!$E$5:$E$7,W1753)*X1753/SUMIFS($X$7:$X$1843,$W$7:$W$1843,W1753),0),0)</f>
        <v>0</v>
      </c>
      <c r="CS1753" s="62" t="str">
        <f aca="false">IF(AND(OR(CG1753="L1",CG1753="L23",CG1753="LIFT"),H1753&gt;0),CC1753*IF(CR1753&gt;0,CR1753*MAX(1,H1753/X1753),IF(CA1753=1,CE1753,IF(R1753&gt;0,CN1753/R1753,0))/MAX(0.1,N(Parameter!$M$21))),"")</f>
        <v/>
      </c>
      <c r="CT1753" s="64" t="str">
        <f aca="false">IF(CS1753="","",J1753/H1753)</f>
        <v/>
      </c>
      <c r="CU1753" s="62" t="str">
        <f aca="false">IF(CS1753="","",H1753*G1753)</f>
        <v/>
      </c>
      <c r="CV1753" s="63" t="str">
        <f aca="false">IF(CS1753="","",(CL1753+ROUNDUP(CL1753+MAX(CM1753,2*(J1753/MAX(0.1,N(Einkauf!$C$6))-CL1753)),0))/2)</f>
        <v/>
      </c>
      <c r="CW1753" s="62" t="str">
        <f aca="false">IF(CS1753="","",MAX(0,H1753-CV1753)*G1753)</f>
        <v/>
      </c>
      <c r="CX1753" s="62" t="str">
        <f aca="false">IF(CS1753="","",CS1753*MAX(0,1-CV1753/H1753))</f>
        <v/>
      </c>
      <c r="CY1753" s="64" t="str">
        <f aca="false">IF(CS1753="","",PERCENTRANK($CS$7:$CS$1843,CS1753)+PERCENTRANK($CU$7:$CU$1843,CU1753)+1-PERCENTRANK($CT$7:$CT$1843,CT1753))</f>
        <v/>
      </c>
      <c r="CZ1753" s="72" t="str">
        <f aca="false">IF(CS1753="","",CHOOSE(MATCH(Einkauf!$C$5,Parameter!$G$23:$G$27,0),CY1753,CS1753,CU1753,-CT1753,CW1753)+ROW()/1000000000)</f>
        <v/>
      </c>
    </row>
    <row r="1754" customFormat="false" ht="15" hidden="false" customHeight="false" outlineLevel="0" collapsed="false">
      <c r="A1754" s="60" t="str">
        <f aca="false">IF('Neue Artikel'!$A$15="","",'Neue Artikel'!$A$15&amp;"")</f>
        <v/>
      </c>
      <c r="B1754" s="60" t="str">
        <f aca="false">'Neue Artikel'!$B$15&amp;""</f>
        <v/>
      </c>
      <c r="C1754" s="60"/>
      <c r="D1754" s="60" t="s">
        <v>3057</v>
      </c>
      <c r="E1754" s="60"/>
      <c r="F1754" s="60"/>
      <c r="G1754" s="61" t="n">
        <f aca="false">N('Neue Artikel'!$G$15)</f>
        <v>0</v>
      </c>
      <c r="H1754" s="62" t="n">
        <f aca="false">MAX(0,IF(AND(Parameter!$B$21="Ja",ISNUMBER(Y1754)),Y1754,IF(Parameter!$B$20="Jahresanfang 2025 + Export",BS1754+BR1754,BR1754)))</f>
        <v>0</v>
      </c>
      <c r="I1754" s="62" t="n">
        <f aca="false">H1754*G1754</f>
        <v>0</v>
      </c>
      <c r="J1754" s="62" t="n">
        <f aca="false">BU1754*Parameter!$B$18</f>
        <v>0</v>
      </c>
      <c r="K1754" s="63"/>
      <c r="L1754" s="64"/>
      <c r="M1754" s="62" t="n">
        <f aca="false">N('Neue Artikel'!$E$15)</f>
        <v>0</v>
      </c>
      <c r="N1754" s="62" t="n">
        <f aca="false">N('Neue Artikel'!$F$15)</f>
        <v>0</v>
      </c>
      <c r="O1754" s="65"/>
      <c r="P1754" s="60" t="str">
        <f aca="false">IF('Neue Artikel'!$H$15="","LOSE",UPPER(TRIM('Neue Artikel'!$H$15)))</f>
        <v>LOSE</v>
      </c>
      <c r="Q1754" s="62" t="n">
        <f aca="false">N('Neue Artikel'!$I$15)</f>
        <v>0</v>
      </c>
      <c r="R1754" s="65" t="n">
        <f aca="false">IF(CA1754=1,0,IFERROR(VLOOKUP(BY1754,'Gebinde-Kategorie'!$A$5:$N$45,13,0)+0,0))</f>
        <v>0</v>
      </c>
      <c r="S1754" s="66"/>
      <c r="T1754" s="67"/>
      <c r="U1754" s="67"/>
      <c r="V1754" s="67"/>
      <c r="W1754" s="60"/>
      <c r="X1754" s="62"/>
      <c r="Y1754" s="62"/>
      <c r="Z1754" s="60"/>
      <c r="AA1754" s="60" t="str">
        <f aca="false">IF(A1754="","",IF(AND(Parameter!$B$21="Ja",ISNUMBER(W1754)),W1754,IF(AND(Parameter!$E$27="Ja",ISNUMBER(Z1754),CD1754&lt;&gt;"Nein"),Z1754,IF(CD1754="2+3",IF(ISNUMBER(SEARCH("grosser Artikel",BV1754)),2,IFERROR(VLOOKUP(BY1754,Parameter!$F$35:$G$64,2,0),2)),IF(OR(CD1754="Nein",CD1754=""),"-",CD1754)))))</f>
        <v/>
      </c>
      <c r="AB1754" s="60" t="str">
        <f aca="false">IF('Neue Artikel'!$J$15="","",'Neue Artikel'!$J$15)</f>
        <v/>
      </c>
      <c r="AC1754" s="68"/>
      <c r="AD1754" s="62" t="n">
        <f aca="false">AW1754</f>
        <v>0</v>
      </c>
      <c r="AE1754" s="62" t="n">
        <f aca="false">MAX(AW1754,H1754)</f>
        <v>0</v>
      </c>
      <c r="AF1754" s="69"/>
      <c r="AG1754" s="62" t="n">
        <f aca="false">IF(LEFT(Cockpit!$C$5,1)="A",H1754,IF(Parameter!$E$30="MAX-Bestand",IF(CI1754=1,CJ1754,IF(LEFT(Cockpit!$C$5,1)="B",AM1754,MAX(AM1754,H1754))),ROUNDUP(AK1754,0)))</f>
        <v>0</v>
      </c>
      <c r="AH1754" s="62" t="n">
        <f aca="false">IF(CA1754=1,0,ROUNDUP(AG1754/BZ1754,0))</f>
        <v>0</v>
      </c>
      <c r="AI1754" s="64" t="n">
        <f aca="false">IF(CR1754&gt;0,CR1754*MAX(1,AG1754/X1754),IF(CA1754=1,IF(AG1754&lt;=0,0,CE1754*MAX(1,IF(H1754&gt;0,AG1754/H1754,1))),IF(R1754&gt;0,AH1754/R1754,0))/MAX(0.1,N(Parameter!$M$21)))</f>
        <v>0</v>
      </c>
      <c r="AJ1754" s="62" t="n">
        <f aca="false">AI1754*CC1754</f>
        <v>0</v>
      </c>
      <c r="AK1754" s="63" t="n">
        <f aca="false">IF(LEFT(Cockpit!$C$5,1)="A",H1754,IF(CI1754=1,(CL1754+CJ1754)/2,IF(LEFT(Cockpit!$C$5,1)="B",(CL1754+AM1754)/2,MAX((CL1754+AM1754)/2,H1754))))</f>
        <v>0</v>
      </c>
      <c r="AL1754" s="62" t="n">
        <f aca="false">AK1754*G1754</f>
        <v>0</v>
      </c>
      <c r="AM1754" s="62" t="n">
        <f aca="false">ROUNDUP(CL1754+MAX(CM1754,2*(J1754/IF(CH1754&gt;0,CH1754,MAX(0.1,N(Cockpit!$C$6)))-CL1754)),0)</f>
        <v>0</v>
      </c>
      <c r="AN1754" s="63" t="n">
        <f aca="false">IF(AJ1754&gt;0,J1754/AJ1754,-1)</f>
        <v>-1</v>
      </c>
      <c r="AO1754" s="63" t="str">
        <f aca="false">IF(AND(OR(CG1754="L1",CG1754="L23",CG1754="LIFT"),AJ1754&gt;0),SUMIFS($AJ$7:$AJ$1843,$CG$7:$CG$1843,CG1754,$AN$7:$AN$1843,"&gt;"&amp;AN1754)+SUMIFS($AJ$7:$AJ$1843,$CG$7:$CG$1843,CG1754,$AN$7:$AN$1843,AN1754,$BX$7:$BX$1843,"&lt;="&amp;BX1754),"")</f>
        <v/>
      </c>
      <c r="AP1754" s="70" t="n">
        <f aca="false">IF(AO1754="",0,MAX(0,MIN(1,(IF(CG1754="L1",Parameter!$H$5,IF(CG1754="L23",Parameter!$H$6+Parameter!$H$7,Parameter!$H$5+Parameter!$H$6+Parameter!$H$7))-(AO1754-AJ1754))/AJ1754)))</f>
        <v>0</v>
      </c>
      <c r="AQ1754" s="62" t="n">
        <f aca="false">IF(LEFT(Cockpit!$I$5,1)="A",H1754,IF(Parameter!$E$30="MAX-Bestand",IF(CI1754=1,CJ1754,IF(LEFT(Cockpit!$I$5,1)="B",AW1754,MAX(AW1754,H1754))),ROUNDUP(AU1754,0)))</f>
        <v>0</v>
      </c>
      <c r="AR1754" s="62" t="n">
        <f aca="false">IF(CA1754=1,0,ROUNDUP(AQ1754/BZ1754,0))</f>
        <v>0</v>
      </c>
      <c r="AS1754" s="64" t="n">
        <f aca="false">IF(CR1754&gt;0,CR1754*MAX(1,AQ1754/X1754),IF(CA1754=1,IF(AQ1754&lt;=0,0,CE1754*MAX(1,IF(H1754&gt;0,AQ1754/H1754,1))),IF(R1754&gt;0,AR1754/R1754,0))/MAX(0.1,N(Parameter!$M$21)))</f>
        <v>0</v>
      </c>
      <c r="AT1754" s="62" t="n">
        <f aca="false">AS1754*CC1754</f>
        <v>0</v>
      </c>
      <c r="AU1754" s="63" t="n">
        <f aca="false">IF(LEFT(Cockpit!$I$5,1)="A",H1754,IF(CI1754=1,(CL1754+CJ1754)/2,IF(LEFT(Cockpit!$I$5,1)="B",(CL1754+AW1754)/2,MAX((CL1754+AW1754)/2,H1754))))</f>
        <v>0</v>
      </c>
      <c r="AV1754" s="62" t="n">
        <f aca="false">AU1754*G1754</f>
        <v>0</v>
      </c>
      <c r="AW1754" s="62" t="n">
        <f aca="false">ROUNDUP(CL1754+MAX(CM1754,2*(J1754/IF(CH1754&gt;0,CH1754,MAX(0.1,N(Cockpit!$I$6)))-CL1754)),0)</f>
        <v>0</v>
      </c>
      <c r="AX1754" s="63" t="n">
        <f aca="false">IF(AT1754&gt;0,J1754/AT1754,-1)</f>
        <v>-1</v>
      </c>
      <c r="AY1754" s="63" t="str">
        <f aca="false">IF(AND(OR(CG1754="L1",CG1754="L23",CG1754="LIFT"),AT1754&gt;0),SUMIFS($AT$7:$AT$1843,$CG$7:$CG$1843,CG1754,$AX$7:$AX$1843,"&gt;"&amp;AX1754)+SUMIFS($AT$7:$AT$1843,$CG$7:$CG$1843,CG1754,$AX$7:$AX$1843,AX1754,$BX$7:$BX$1843,"&lt;="&amp;BX1754),"")</f>
        <v/>
      </c>
      <c r="AZ1754" s="70" t="n">
        <f aca="false">IF(AY1754="",0,MAX(0,MIN(1,(IF(CG1754="L1",Parameter!$H$5,IF(CG1754="L23",Parameter!$H$6+Parameter!$H$7,Parameter!$H$5+Parameter!$H$6+Parameter!$H$7))-(AY1754-AT1754))/AT1754)))</f>
        <v>0</v>
      </c>
      <c r="BA1754" s="62" t="n">
        <f aca="false">IF(LEFT(Cockpit!$O$5,1)="A",H1754,IF(Parameter!$E$30="MAX-Bestand",IF(CI1754=1,CJ1754,IF(LEFT(Cockpit!$O$5,1)="B",BG1754,MAX(BG1754,H1754))),ROUNDUP(BE1754,0)))</f>
        <v>0</v>
      </c>
      <c r="BB1754" s="62" t="n">
        <f aca="false">IF(CA1754=1,0,ROUNDUP(BA1754/BZ1754,0))</f>
        <v>0</v>
      </c>
      <c r="BC1754" s="64" t="n">
        <f aca="false">IF(CR1754&gt;0,CR1754*MAX(1,BA1754/X1754),IF(CA1754=1,IF(BA1754&lt;=0,0,CE1754*MAX(1,IF(H1754&gt;0,BA1754/H1754,1))),IF(R1754&gt;0,BB1754/R1754,0))/MAX(0.1,N(Parameter!$M$21)))</f>
        <v>0</v>
      </c>
      <c r="BD1754" s="62" t="n">
        <f aca="false">BC1754*CC1754</f>
        <v>0</v>
      </c>
      <c r="BE1754" s="63" t="n">
        <f aca="false">IF(LEFT(Cockpit!$O$5,1)="A",H1754,IF(CI1754=1,(CL1754+CJ1754)/2,IF(LEFT(Cockpit!$O$5,1)="B",(CL1754+BG1754)/2,MAX((CL1754+BG1754)/2,H1754))))</f>
        <v>0</v>
      </c>
      <c r="BF1754" s="62" t="n">
        <f aca="false">BE1754*G1754</f>
        <v>0</v>
      </c>
      <c r="BG1754" s="62" t="n">
        <f aca="false">ROUNDUP(CL1754+MAX(CM1754,2*(J1754/IF(CH1754&gt;0,CH1754,MAX(0.1,N(Cockpit!$O$6)))-CL1754)),0)</f>
        <v>0</v>
      </c>
      <c r="BH1754" s="63" t="n">
        <f aca="false">IF(BD1754&gt;0,J1754/BD1754,-1)</f>
        <v>-1</v>
      </c>
      <c r="BI1754" s="63" t="str">
        <f aca="false">IF(AND(OR(CG1754="L1",CG1754="L23",CG1754="LIFT"),BD1754&gt;0),SUMIFS($BD$7:$BD$1843,$CG$7:$CG$1843,CG1754,$BH$7:$BH$1843,"&gt;"&amp;BH1754)+SUMIFS($BD$7:$BD$1843,$CG$7:$CG$1843,CG1754,$BH$7:$BH$1843,BH1754,$BX$7:$BX$1843,"&lt;="&amp;BX1754),"")</f>
        <v/>
      </c>
      <c r="BJ1754" s="70" t="n">
        <f aca="false">IF(BI1754="",0,MAX(0,MIN(1,(IF(CG1754="L1",Parameter!$H$5,IF(CG1754="L23",Parameter!$H$6+Parameter!$H$7,Parameter!$H$5+Parameter!$H$6+Parameter!$H$7))-(BI1754-BD1754))/BD1754)))</f>
        <v>0</v>
      </c>
      <c r="BK1754" s="60" t="str">
        <f aca="false">IF(AJ1754&lt;=0,"",IF(CG1754="Aussen","Aussenlager",IF(CG1754="-","Nicht im Lift",IF(AP1754&gt;=1,"Lift",IF(AP1754&lt;=0,"Aussenlager","teilweise")))))</f>
        <v/>
      </c>
      <c r="BL1754" s="60" t="str">
        <f aca="false">IF(AT1754&lt;=0,"",IF(CG1754="Aussen","Aussenlager",IF(CG1754="-","Nicht im Lift",IF(AZ1754&gt;=1,"Lift",IF(AZ1754&lt;=0,"Aussenlager","teilweise")))))</f>
        <v/>
      </c>
      <c r="BM1754" s="60" t="str">
        <f aca="false">IF(BD1754&lt;=0,"",IF(CG1754="Aussen","Aussenlager",IF(CG1754="-","Nicht im Lift",IF(BJ1754&gt;=1,"Lift",IF(BJ1754&lt;=0,"Aussenlager","teilweise")))))</f>
        <v/>
      </c>
      <c r="BN1754" s="60" t="str">
        <f aca="false">IF(A1754="","",IF(BW1754=1,"Neu; ","")&amp;IF(AND(BW1754=0,BR1754&lt;0),"negativer Bestand (Export "&amp;BR1754&amp;"); ","")&amp;IF(J1754&lt;=0,"Kein Verbrauch; ","")&amp;IF(CR1754&gt;0,"Lift "&amp;W1754&amp;" lt. Liftbericht (Fach "&amp;X1754&amp;" Stk); ",IF(CB1754=1,"Gebinde geschätzt ("&amp;T1754&amp;"); ",IF(CA1754=1,"Lose – Tablare geschätzt; ","")))&amp;IF(H1754&gt;AW1754,"Überbestand "&amp;ROUND(H1754-AW1754,0)&amp;" Stk / CHF "&amp;ROUND((H1754-AW1754)*G1754,0)&amp;"; ","")&amp;IF(AND(CI1754=1,CJ1754&lt;CK1754),"MAX &lt; MB+LG; ","")&amp;IF(AND(CQ1754&gt;0,CP1754*10&gt;CQ1754),"zu hoch für Tablar; ","")&amp;IF(AND(BW1754=0,OR(CI1754=1,AB1754&lt;&gt;"",U1754&lt;&gt;"",V1754&lt;&gt;"",AC1754&lt;&gt;"")),"manuell übersteuert; ","")&amp;IF(AND(CA1754=0,R1754=0),"Gebinde unbekannt / Stellmass fehlt; ","")&amp;IF(AND(CA1754=0,N(V1754)&lt;=0,N(Q1754)&lt;=0),"Menge pro Gebinde fehlt (Ist = 1 Gebinde); ","")&amp;BV1754)</f>
        <v/>
      </c>
      <c r="BO1754" s="60"/>
      <c r="BP1754" s="60"/>
      <c r="BQ1754" s="67"/>
      <c r="BR1754" s="62" t="n">
        <f aca="false">N('Neue Artikel'!$D$15)</f>
        <v>0</v>
      </c>
      <c r="BS1754" s="62" t="n">
        <v>0</v>
      </c>
      <c r="BT1754" s="61" t="n">
        <v>0</v>
      </c>
      <c r="BU1754" s="62" t="n">
        <f aca="false">N('Neue Artikel'!$C$15)/Parameter!$B$18</f>
        <v>0</v>
      </c>
      <c r="BV1754" s="60"/>
      <c r="BW1754" s="65" t="n">
        <v>1</v>
      </c>
      <c r="BX1754" s="65" t="n">
        <v>1754</v>
      </c>
      <c r="BY1754" s="60" t="str">
        <f aca="false">IF(U1754&lt;&gt;"",UPPER(TRIM(U1754)),IF(CB1754=1,UPPER(VLOOKUP(T1754,Parameter!$I$27:$K$29,2,0)),IF(P1754="","LOSE",P1754)))</f>
        <v>LOSE</v>
      </c>
      <c r="BZ1754" s="62" t="n">
        <f aca="false">IF(BY1754="LOSE",1,IF(N(V1754)&gt;0,V1754,IF(CB1754=1,MAX(1,N(VLOOKUP(T1754,Parameter!$I$27:$K$29,3,0)),H1754,N(N1754)),IF(N(Q1754)&gt;0,Q1754,MAX(1,H1754)))))</f>
        <v>1</v>
      </c>
      <c r="CA1754" s="65" t="n">
        <f aca="false">IF(BY1754="LOSE",1,0)</f>
        <v>1</v>
      </c>
      <c r="CB1754" s="65" t="n">
        <f aca="false">IF(AND(U1754="",OR(P1754="",P1754="LOSE"),T1754&lt;&gt;"",N(S1754)&lt;=0,ISNUMBER(MATCH(T1754,Parameter!$I$27:$I$29,0))),1,0)</f>
        <v>0</v>
      </c>
      <c r="CC1754" s="65" t="n">
        <f aca="false">IF(CR1754&gt;0,INDEX(Parameter!$H$5:$H$7,W1754)/INDEX(Parameter!$E$5:$E$7,W1754),IF(AND(CA1754=0,N(IFERROR(VLOOKUP(BY1754,'Gebinde-Kategorie'!$A$5:$N$45,14,0),0))&gt;0),VLOOKUP(BY1754,'Gebinde-Kategorie'!$A$5:$N$45,14,0)*10+Parameter!$M$23,Parameter!$M$24))</f>
        <v>235</v>
      </c>
      <c r="CD1754" s="60" t="str">
        <f aca="false">IF(AND(Parameter!$B$19="Ja",E1754&lt;&gt;"",ISNUMBER(MATCH(E1754,Parameter!$I$35:$I$52,0))),VLOOKUP(E1754,Parameter!$I$35:$J$52,2,0),IFERROR(VLOOKUP(D1754,Parameter!$A$35:$C$64,2,0),"Nein"))</f>
        <v>2+3</v>
      </c>
      <c r="CE1754" s="64" t="n">
        <f aca="false">IF(CA1754=0,0,IF(N(S1754)&gt;0,S1754,IFERROR(VLOOKUP(D1754,Parameter!$A$35:$C$64,3,0)+0,0)))</f>
        <v>0.15</v>
      </c>
      <c r="CF1754" s="60" t="str">
        <f aca="false">IF(AB1754&lt;&gt;"",AB1754,AA1754)</f>
        <v/>
      </c>
      <c r="CG1754" s="60" t="str">
        <f aca="false">IF(OR(CF1754=1,CF1754=2,CF1754=3),IF(Parameter!$E$27="Ja","LIFT",IF(CF1754=1,"L1","L23")),IF(CF1754="Aussen","Aussen","-"))</f>
        <v>-</v>
      </c>
      <c r="CH1754" s="71" t="n">
        <f aca="false">IF(N(AC1754)&gt;0,AC1754,0)</f>
        <v>0</v>
      </c>
      <c r="CI1754" s="65" t="n">
        <f aca="false">IF(ISNUMBER(AF1754),1,0)</f>
        <v>0</v>
      </c>
      <c r="CJ1754" s="62" t="n">
        <f aca="false">N(AF1754)</f>
        <v>0</v>
      </c>
      <c r="CK1754" s="62" t="n">
        <f aca="false">N(M1754)+N(N1754)</f>
        <v>0</v>
      </c>
      <c r="CL1754" s="62" t="n">
        <f aca="false">N(M1754)</f>
        <v>0</v>
      </c>
      <c r="CM1754" s="62" t="n">
        <f aca="false">N(N1754)</f>
        <v>0</v>
      </c>
      <c r="CN1754" s="62" t="n">
        <f aca="false">ROUNDUP(H1754/BZ1754,0)</f>
        <v>0</v>
      </c>
      <c r="CO1754" s="62" t="n">
        <f aca="false">ROUNDUP(CJ1754/BZ1754,0)</f>
        <v>0</v>
      </c>
      <c r="CP1754" s="65" t="n">
        <f aca="false">IF(CA1754=1,0,IFERROR(VLOOKUP(BY1754,'Gebinde-Kategorie'!$A$5:$N$45,5,0)+0,0))</f>
        <v>0</v>
      </c>
      <c r="CQ1754" s="65" t="n">
        <f aca="false">IFERROR(IF(OR(CF1754=1,CF1754=2,CF1754=3),N(INDEX(Parameter!$I$5:$I$7,CF1754)),0),0)</f>
        <v>0</v>
      </c>
      <c r="CR1754" s="64" t="n">
        <f aca="false">IF(AND(Parameter!$B$21="Ja",ISNUMBER(W1754),N(X1754)&gt;0),IFERROR(N(INDEX(Parameter!$L$5:$L$7,W1754))*INDEX(Parameter!$E$5:$E$7,W1754)*X1754/SUMIFS($X$7:$X$1843,$W$7:$W$1843,W1754),0),0)</f>
        <v>0</v>
      </c>
      <c r="CS1754" s="62" t="str">
        <f aca="false">IF(AND(OR(CG1754="L1",CG1754="L23",CG1754="LIFT"),H1754&gt;0),CC1754*IF(CR1754&gt;0,CR1754*MAX(1,H1754/X1754),IF(CA1754=1,CE1754,IF(R1754&gt;0,CN1754/R1754,0))/MAX(0.1,N(Parameter!$M$21))),"")</f>
        <v/>
      </c>
      <c r="CT1754" s="64" t="str">
        <f aca="false">IF(CS1754="","",J1754/H1754)</f>
        <v/>
      </c>
      <c r="CU1754" s="62" t="str">
        <f aca="false">IF(CS1754="","",H1754*G1754)</f>
        <v/>
      </c>
      <c r="CV1754" s="63" t="str">
        <f aca="false">IF(CS1754="","",(CL1754+ROUNDUP(CL1754+MAX(CM1754,2*(J1754/MAX(0.1,N(Einkauf!$C$6))-CL1754)),0))/2)</f>
        <v/>
      </c>
      <c r="CW1754" s="62" t="str">
        <f aca="false">IF(CS1754="","",MAX(0,H1754-CV1754)*G1754)</f>
        <v/>
      </c>
      <c r="CX1754" s="62" t="str">
        <f aca="false">IF(CS1754="","",CS1754*MAX(0,1-CV1754/H1754))</f>
        <v/>
      </c>
      <c r="CY1754" s="64" t="str">
        <f aca="false">IF(CS1754="","",PERCENTRANK($CS$7:$CS$1843,CS1754)+PERCENTRANK($CU$7:$CU$1843,CU1754)+1-PERCENTRANK($CT$7:$CT$1843,CT1754))</f>
        <v/>
      </c>
      <c r="CZ1754" s="72" t="str">
        <f aca="false">IF(CS1754="","",CHOOSE(MATCH(Einkauf!$C$5,Parameter!$G$23:$G$27,0),CY1754,CS1754,CU1754,-CT1754,CW1754)+ROW()/1000000000)</f>
        <v/>
      </c>
    </row>
    <row r="1755" customFormat="false" ht="15" hidden="false" customHeight="false" outlineLevel="0" collapsed="false">
      <c r="A1755" s="60" t="str">
        <f aca="false">IF('Neue Artikel'!$A$16="","",'Neue Artikel'!$A$16&amp;"")</f>
        <v/>
      </c>
      <c r="B1755" s="60" t="str">
        <f aca="false">'Neue Artikel'!$B$16&amp;""</f>
        <v/>
      </c>
      <c r="C1755" s="60"/>
      <c r="D1755" s="60" t="s">
        <v>3057</v>
      </c>
      <c r="E1755" s="60"/>
      <c r="F1755" s="60"/>
      <c r="G1755" s="61" t="n">
        <f aca="false">N('Neue Artikel'!$G$16)</f>
        <v>0</v>
      </c>
      <c r="H1755" s="62" t="n">
        <f aca="false">MAX(0,IF(AND(Parameter!$B$21="Ja",ISNUMBER(Y1755)),Y1755,IF(Parameter!$B$20="Jahresanfang 2025 + Export",BS1755+BR1755,BR1755)))</f>
        <v>0</v>
      </c>
      <c r="I1755" s="62" t="n">
        <f aca="false">H1755*G1755</f>
        <v>0</v>
      </c>
      <c r="J1755" s="62" t="n">
        <f aca="false">BU1755*Parameter!$B$18</f>
        <v>0</v>
      </c>
      <c r="K1755" s="63"/>
      <c r="L1755" s="64"/>
      <c r="M1755" s="62" t="n">
        <f aca="false">N('Neue Artikel'!$E$16)</f>
        <v>0</v>
      </c>
      <c r="N1755" s="62" t="n">
        <f aca="false">N('Neue Artikel'!$F$16)</f>
        <v>0</v>
      </c>
      <c r="O1755" s="65"/>
      <c r="P1755" s="60" t="str">
        <f aca="false">IF('Neue Artikel'!$H$16="","LOSE",UPPER(TRIM('Neue Artikel'!$H$16)))</f>
        <v>LOSE</v>
      </c>
      <c r="Q1755" s="62" t="n">
        <f aca="false">N('Neue Artikel'!$I$16)</f>
        <v>0</v>
      </c>
      <c r="R1755" s="65" t="n">
        <f aca="false">IF(CA1755=1,0,IFERROR(VLOOKUP(BY1755,'Gebinde-Kategorie'!$A$5:$N$45,13,0)+0,0))</f>
        <v>0</v>
      </c>
      <c r="S1755" s="66"/>
      <c r="T1755" s="67"/>
      <c r="U1755" s="67"/>
      <c r="V1755" s="67"/>
      <c r="W1755" s="60"/>
      <c r="X1755" s="62"/>
      <c r="Y1755" s="62"/>
      <c r="Z1755" s="60"/>
      <c r="AA1755" s="60" t="str">
        <f aca="false">IF(A1755="","",IF(AND(Parameter!$B$21="Ja",ISNUMBER(W1755)),W1755,IF(AND(Parameter!$E$27="Ja",ISNUMBER(Z1755),CD1755&lt;&gt;"Nein"),Z1755,IF(CD1755="2+3",IF(ISNUMBER(SEARCH("grosser Artikel",BV1755)),2,IFERROR(VLOOKUP(BY1755,Parameter!$F$35:$G$64,2,0),2)),IF(OR(CD1755="Nein",CD1755=""),"-",CD1755)))))</f>
        <v/>
      </c>
      <c r="AB1755" s="60" t="str">
        <f aca="false">IF('Neue Artikel'!$J$16="","",'Neue Artikel'!$J$16)</f>
        <v/>
      </c>
      <c r="AC1755" s="68"/>
      <c r="AD1755" s="62" t="n">
        <f aca="false">AW1755</f>
        <v>0</v>
      </c>
      <c r="AE1755" s="62" t="n">
        <f aca="false">MAX(AW1755,H1755)</f>
        <v>0</v>
      </c>
      <c r="AF1755" s="69"/>
      <c r="AG1755" s="62" t="n">
        <f aca="false">IF(LEFT(Cockpit!$C$5,1)="A",H1755,IF(Parameter!$E$30="MAX-Bestand",IF(CI1755=1,CJ1755,IF(LEFT(Cockpit!$C$5,1)="B",AM1755,MAX(AM1755,H1755))),ROUNDUP(AK1755,0)))</f>
        <v>0</v>
      </c>
      <c r="AH1755" s="62" t="n">
        <f aca="false">IF(CA1755=1,0,ROUNDUP(AG1755/BZ1755,0))</f>
        <v>0</v>
      </c>
      <c r="AI1755" s="64" t="n">
        <f aca="false">IF(CR1755&gt;0,CR1755*MAX(1,AG1755/X1755),IF(CA1755=1,IF(AG1755&lt;=0,0,CE1755*MAX(1,IF(H1755&gt;0,AG1755/H1755,1))),IF(R1755&gt;0,AH1755/R1755,0))/MAX(0.1,N(Parameter!$M$21)))</f>
        <v>0</v>
      </c>
      <c r="AJ1755" s="62" t="n">
        <f aca="false">AI1755*CC1755</f>
        <v>0</v>
      </c>
      <c r="AK1755" s="63" t="n">
        <f aca="false">IF(LEFT(Cockpit!$C$5,1)="A",H1755,IF(CI1755=1,(CL1755+CJ1755)/2,IF(LEFT(Cockpit!$C$5,1)="B",(CL1755+AM1755)/2,MAX((CL1755+AM1755)/2,H1755))))</f>
        <v>0</v>
      </c>
      <c r="AL1755" s="62" t="n">
        <f aca="false">AK1755*G1755</f>
        <v>0</v>
      </c>
      <c r="AM1755" s="62" t="n">
        <f aca="false">ROUNDUP(CL1755+MAX(CM1755,2*(J1755/IF(CH1755&gt;0,CH1755,MAX(0.1,N(Cockpit!$C$6)))-CL1755)),0)</f>
        <v>0</v>
      </c>
      <c r="AN1755" s="63" t="n">
        <f aca="false">IF(AJ1755&gt;0,J1755/AJ1755,-1)</f>
        <v>-1</v>
      </c>
      <c r="AO1755" s="63" t="str">
        <f aca="false">IF(AND(OR(CG1755="L1",CG1755="L23",CG1755="LIFT"),AJ1755&gt;0),SUMIFS($AJ$7:$AJ$1843,$CG$7:$CG$1843,CG1755,$AN$7:$AN$1843,"&gt;"&amp;AN1755)+SUMIFS($AJ$7:$AJ$1843,$CG$7:$CG$1843,CG1755,$AN$7:$AN$1843,AN1755,$BX$7:$BX$1843,"&lt;="&amp;BX1755),"")</f>
        <v/>
      </c>
      <c r="AP1755" s="70" t="n">
        <f aca="false">IF(AO1755="",0,MAX(0,MIN(1,(IF(CG1755="L1",Parameter!$H$5,IF(CG1755="L23",Parameter!$H$6+Parameter!$H$7,Parameter!$H$5+Parameter!$H$6+Parameter!$H$7))-(AO1755-AJ1755))/AJ1755)))</f>
        <v>0</v>
      </c>
      <c r="AQ1755" s="62" t="n">
        <f aca="false">IF(LEFT(Cockpit!$I$5,1)="A",H1755,IF(Parameter!$E$30="MAX-Bestand",IF(CI1755=1,CJ1755,IF(LEFT(Cockpit!$I$5,1)="B",AW1755,MAX(AW1755,H1755))),ROUNDUP(AU1755,0)))</f>
        <v>0</v>
      </c>
      <c r="AR1755" s="62" t="n">
        <f aca="false">IF(CA1755=1,0,ROUNDUP(AQ1755/BZ1755,0))</f>
        <v>0</v>
      </c>
      <c r="AS1755" s="64" t="n">
        <f aca="false">IF(CR1755&gt;0,CR1755*MAX(1,AQ1755/X1755),IF(CA1755=1,IF(AQ1755&lt;=0,0,CE1755*MAX(1,IF(H1755&gt;0,AQ1755/H1755,1))),IF(R1755&gt;0,AR1755/R1755,0))/MAX(0.1,N(Parameter!$M$21)))</f>
        <v>0</v>
      </c>
      <c r="AT1755" s="62" t="n">
        <f aca="false">AS1755*CC1755</f>
        <v>0</v>
      </c>
      <c r="AU1755" s="63" t="n">
        <f aca="false">IF(LEFT(Cockpit!$I$5,1)="A",H1755,IF(CI1755=1,(CL1755+CJ1755)/2,IF(LEFT(Cockpit!$I$5,1)="B",(CL1755+AW1755)/2,MAX((CL1755+AW1755)/2,H1755))))</f>
        <v>0</v>
      </c>
      <c r="AV1755" s="62" t="n">
        <f aca="false">AU1755*G1755</f>
        <v>0</v>
      </c>
      <c r="AW1755" s="62" t="n">
        <f aca="false">ROUNDUP(CL1755+MAX(CM1755,2*(J1755/IF(CH1755&gt;0,CH1755,MAX(0.1,N(Cockpit!$I$6)))-CL1755)),0)</f>
        <v>0</v>
      </c>
      <c r="AX1755" s="63" t="n">
        <f aca="false">IF(AT1755&gt;0,J1755/AT1755,-1)</f>
        <v>-1</v>
      </c>
      <c r="AY1755" s="63" t="str">
        <f aca="false">IF(AND(OR(CG1755="L1",CG1755="L23",CG1755="LIFT"),AT1755&gt;0),SUMIFS($AT$7:$AT$1843,$CG$7:$CG$1843,CG1755,$AX$7:$AX$1843,"&gt;"&amp;AX1755)+SUMIFS($AT$7:$AT$1843,$CG$7:$CG$1843,CG1755,$AX$7:$AX$1843,AX1755,$BX$7:$BX$1843,"&lt;="&amp;BX1755),"")</f>
        <v/>
      </c>
      <c r="AZ1755" s="70" t="n">
        <f aca="false">IF(AY1755="",0,MAX(0,MIN(1,(IF(CG1755="L1",Parameter!$H$5,IF(CG1755="L23",Parameter!$H$6+Parameter!$H$7,Parameter!$H$5+Parameter!$H$6+Parameter!$H$7))-(AY1755-AT1755))/AT1755)))</f>
        <v>0</v>
      </c>
      <c r="BA1755" s="62" t="n">
        <f aca="false">IF(LEFT(Cockpit!$O$5,1)="A",H1755,IF(Parameter!$E$30="MAX-Bestand",IF(CI1755=1,CJ1755,IF(LEFT(Cockpit!$O$5,1)="B",BG1755,MAX(BG1755,H1755))),ROUNDUP(BE1755,0)))</f>
        <v>0</v>
      </c>
      <c r="BB1755" s="62" t="n">
        <f aca="false">IF(CA1755=1,0,ROUNDUP(BA1755/BZ1755,0))</f>
        <v>0</v>
      </c>
      <c r="BC1755" s="64" t="n">
        <f aca="false">IF(CR1755&gt;0,CR1755*MAX(1,BA1755/X1755),IF(CA1755=1,IF(BA1755&lt;=0,0,CE1755*MAX(1,IF(H1755&gt;0,BA1755/H1755,1))),IF(R1755&gt;0,BB1755/R1755,0))/MAX(0.1,N(Parameter!$M$21)))</f>
        <v>0</v>
      </c>
      <c r="BD1755" s="62" t="n">
        <f aca="false">BC1755*CC1755</f>
        <v>0</v>
      </c>
      <c r="BE1755" s="63" t="n">
        <f aca="false">IF(LEFT(Cockpit!$O$5,1)="A",H1755,IF(CI1755=1,(CL1755+CJ1755)/2,IF(LEFT(Cockpit!$O$5,1)="B",(CL1755+BG1755)/2,MAX((CL1755+BG1755)/2,H1755))))</f>
        <v>0</v>
      </c>
      <c r="BF1755" s="62" t="n">
        <f aca="false">BE1755*G1755</f>
        <v>0</v>
      </c>
      <c r="BG1755" s="62" t="n">
        <f aca="false">ROUNDUP(CL1755+MAX(CM1755,2*(J1755/IF(CH1755&gt;0,CH1755,MAX(0.1,N(Cockpit!$O$6)))-CL1755)),0)</f>
        <v>0</v>
      </c>
      <c r="BH1755" s="63" t="n">
        <f aca="false">IF(BD1755&gt;0,J1755/BD1755,-1)</f>
        <v>-1</v>
      </c>
      <c r="BI1755" s="63" t="str">
        <f aca="false">IF(AND(OR(CG1755="L1",CG1755="L23",CG1755="LIFT"),BD1755&gt;0),SUMIFS($BD$7:$BD$1843,$CG$7:$CG$1843,CG1755,$BH$7:$BH$1843,"&gt;"&amp;BH1755)+SUMIFS($BD$7:$BD$1843,$CG$7:$CG$1843,CG1755,$BH$7:$BH$1843,BH1755,$BX$7:$BX$1843,"&lt;="&amp;BX1755),"")</f>
        <v/>
      </c>
      <c r="BJ1755" s="70" t="n">
        <f aca="false">IF(BI1755="",0,MAX(0,MIN(1,(IF(CG1755="L1",Parameter!$H$5,IF(CG1755="L23",Parameter!$H$6+Parameter!$H$7,Parameter!$H$5+Parameter!$H$6+Parameter!$H$7))-(BI1755-BD1755))/BD1755)))</f>
        <v>0</v>
      </c>
      <c r="BK1755" s="60" t="str">
        <f aca="false">IF(AJ1755&lt;=0,"",IF(CG1755="Aussen","Aussenlager",IF(CG1755="-","Nicht im Lift",IF(AP1755&gt;=1,"Lift",IF(AP1755&lt;=0,"Aussenlager","teilweise")))))</f>
        <v/>
      </c>
      <c r="BL1755" s="60" t="str">
        <f aca="false">IF(AT1755&lt;=0,"",IF(CG1755="Aussen","Aussenlager",IF(CG1755="-","Nicht im Lift",IF(AZ1755&gt;=1,"Lift",IF(AZ1755&lt;=0,"Aussenlager","teilweise")))))</f>
        <v/>
      </c>
      <c r="BM1755" s="60" t="str">
        <f aca="false">IF(BD1755&lt;=0,"",IF(CG1755="Aussen","Aussenlager",IF(CG1755="-","Nicht im Lift",IF(BJ1755&gt;=1,"Lift",IF(BJ1755&lt;=0,"Aussenlager","teilweise")))))</f>
        <v/>
      </c>
      <c r="BN1755" s="60" t="str">
        <f aca="false">IF(A1755="","",IF(BW1755=1,"Neu; ","")&amp;IF(AND(BW1755=0,BR1755&lt;0),"negativer Bestand (Export "&amp;BR1755&amp;"); ","")&amp;IF(J1755&lt;=0,"Kein Verbrauch; ","")&amp;IF(CR1755&gt;0,"Lift "&amp;W1755&amp;" lt. Liftbericht (Fach "&amp;X1755&amp;" Stk); ",IF(CB1755=1,"Gebinde geschätzt ("&amp;T1755&amp;"); ",IF(CA1755=1,"Lose – Tablare geschätzt; ","")))&amp;IF(H1755&gt;AW1755,"Überbestand "&amp;ROUND(H1755-AW1755,0)&amp;" Stk / CHF "&amp;ROUND((H1755-AW1755)*G1755,0)&amp;"; ","")&amp;IF(AND(CI1755=1,CJ1755&lt;CK1755),"MAX &lt; MB+LG; ","")&amp;IF(AND(CQ1755&gt;0,CP1755*10&gt;CQ1755),"zu hoch für Tablar; ","")&amp;IF(AND(BW1755=0,OR(CI1755=1,AB1755&lt;&gt;"",U1755&lt;&gt;"",V1755&lt;&gt;"",AC1755&lt;&gt;"")),"manuell übersteuert; ","")&amp;IF(AND(CA1755=0,R1755=0),"Gebinde unbekannt / Stellmass fehlt; ","")&amp;IF(AND(CA1755=0,N(V1755)&lt;=0,N(Q1755)&lt;=0),"Menge pro Gebinde fehlt (Ist = 1 Gebinde); ","")&amp;BV1755)</f>
        <v/>
      </c>
      <c r="BO1755" s="60"/>
      <c r="BP1755" s="60"/>
      <c r="BQ1755" s="67"/>
      <c r="BR1755" s="62" t="n">
        <f aca="false">N('Neue Artikel'!$D$16)</f>
        <v>0</v>
      </c>
      <c r="BS1755" s="62" t="n">
        <v>0</v>
      </c>
      <c r="BT1755" s="61" t="n">
        <v>0</v>
      </c>
      <c r="BU1755" s="62" t="n">
        <f aca="false">N('Neue Artikel'!$C$16)/Parameter!$B$18</f>
        <v>0</v>
      </c>
      <c r="BV1755" s="60"/>
      <c r="BW1755" s="65" t="n">
        <v>1</v>
      </c>
      <c r="BX1755" s="65" t="n">
        <v>1755</v>
      </c>
      <c r="BY1755" s="60" t="str">
        <f aca="false">IF(U1755&lt;&gt;"",UPPER(TRIM(U1755)),IF(CB1755=1,UPPER(VLOOKUP(T1755,Parameter!$I$27:$K$29,2,0)),IF(P1755="","LOSE",P1755)))</f>
        <v>LOSE</v>
      </c>
      <c r="BZ1755" s="62" t="n">
        <f aca="false">IF(BY1755="LOSE",1,IF(N(V1755)&gt;0,V1755,IF(CB1755=1,MAX(1,N(VLOOKUP(T1755,Parameter!$I$27:$K$29,3,0)),H1755,N(N1755)),IF(N(Q1755)&gt;0,Q1755,MAX(1,H1755)))))</f>
        <v>1</v>
      </c>
      <c r="CA1755" s="65" t="n">
        <f aca="false">IF(BY1755="LOSE",1,0)</f>
        <v>1</v>
      </c>
      <c r="CB1755" s="65" t="n">
        <f aca="false">IF(AND(U1755="",OR(P1755="",P1755="LOSE"),T1755&lt;&gt;"",N(S1755)&lt;=0,ISNUMBER(MATCH(T1755,Parameter!$I$27:$I$29,0))),1,0)</f>
        <v>0</v>
      </c>
      <c r="CC1755" s="65" t="n">
        <f aca="false">IF(CR1755&gt;0,INDEX(Parameter!$H$5:$H$7,W1755)/INDEX(Parameter!$E$5:$E$7,W1755),IF(AND(CA1755=0,N(IFERROR(VLOOKUP(BY1755,'Gebinde-Kategorie'!$A$5:$N$45,14,0),0))&gt;0),VLOOKUP(BY1755,'Gebinde-Kategorie'!$A$5:$N$45,14,0)*10+Parameter!$M$23,Parameter!$M$24))</f>
        <v>235</v>
      </c>
      <c r="CD1755" s="60" t="str">
        <f aca="false">IF(AND(Parameter!$B$19="Ja",E1755&lt;&gt;"",ISNUMBER(MATCH(E1755,Parameter!$I$35:$I$52,0))),VLOOKUP(E1755,Parameter!$I$35:$J$52,2,0),IFERROR(VLOOKUP(D1755,Parameter!$A$35:$C$64,2,0),"Nein"))</f>
        <v>2+3</v>
      </c>
      <c r="CE1755" s="64" t="n">
        <f aca="false">IF(CA1755=0,0,IF(N(S1755)&gt;0,S1755,IFERROR(VLOOKUP(D1755,Parameter!$A$35:$C$64,3,0)+0,0)))</f>
        <v>0.15</v>
      </c>
      <c r="CF1755" s="60" t="str">
        <f aca="false">IF(AB1755&lt;&gt;"",AB1755,AA1755)</f>
        <v/>
      </c>
      <c r="CG1755" s="60" t="str">
        <f aca="false">IF(OR(CF1755=1,CF1755=2,CF1755=3),IF(Parameter!$E$27="Ja","LIFT",IF(CF1755=1,"L1","L23")),IF(CF1755="Aussen","Aussen","-"))</f>
        <v>-</v>
      </c>
      <c r="CH1755" s="71" t="n">
        <f aca="false">IF(N(AC1755)&gt;0,AC1755,0)</f>
        <v>0</v>
      </c>
      <c r="CI1755" s="65" t="n">
        <f aca="false">IF(ISNUMBER(AF1755),1,0)</f>
        <v>0</v>
      </c>
      <c r="CJ1755" s="62" t="n">
        <f aca="false">N(AF1755)</f>
        <v>0</v>
      </c>
      <c r="CK1755" s="62" t="n">
        <f aca="false">N(M1755)+N(N1755)</f>
        <v>0</v>
      </c>
      <c r="CL1755" s="62" t="n">
        <f aca="false">N(M1755)</f>
        <v>0</v>
      </c>
      <c r="CM1755" s="62" t="n">
        <f aca="false">N(N1755)</f>
        <v>0</v>
      </c>
      <c r="CN1755" s="62" t="n">
        <f aca="false">ROUNDUP(H1755/BZ1755,0)</f>
        <v>0</v>
      </c>
      <c r="CO1755" s="62" t="n">
        <f aca="false">ROUNDUP(CJ1755/BZ1755,0)</f>
        <v>0</v>
      </c>
      <c r="CP1755" s="65" t="n">
        <f aca="false">IF(CA1755=1,0,IFERROR(VLOOKUP(BY1755,'Gebinde-Kategorie'!$A$5:$N$45,5,0)+0,0))</f>
        <v>0</v>
      </c>
      <c r="CQ1755" s="65" t="n">
        <f aca="false">IFERROR(IF(OR(CF1755=1,CF1755=2,CF1755=3),N(INDEX(Parameter!$I$5:$I$7,CF1755)),0),0)</f>
        <v>0</v>
      </c>
      <c r="CR1755" s="64" t="n">
        <f aca="false">IF(AND(Parameter!$B$21="Ja",ISNUMBER(W1755),N(X1755)&gt;0),IFERROR(N(INDEX(Parameter!$L$5:$L$7,W1755))*INDEX(Parameter!$E$5:$E$7,W1755)*X1755/SUMIFS($X$7:$X$1843,$W$7:$W$1843,W1755),0),0)</f>
        <v>0</v>
      </c>
      <c r="CS1755" s="62" t="str">
        <f aca="false">IF(AND(OR(CG1755="L1",CG1755="L23",CG1755="LIFT"),H1755&gt;0),CC1755*IF(CR1755&gt;0,CR1755*MAX(1,H1755/X1755),IF(CA1755=1,CE1755,IF(R1755&gt;0,CN1755/R1755,0))/MAX(0.1,N(Parameter!$M$21))),"")</f>
        <v/>
      </c>
      <c r="CT1755" s="64" t="str">
        <f aca="false">IF(CS1755="","",J1755/H1755)</f>
        <v/>
      </c>
      <c r="CU1755" s="62" t="str">
        <f aca="false">IF(CS1755="","",H1755*G1755)</f>
        <v/>
      </c>
      <c r="CV1755" s="63" t="str">
        <f aca="false">IF(CS1755="","",(CL1755+ROUNDUP(CL1755+MAX(CM1755,2*(J1755/MAX(0.1,N(Einkauf!$C$6))-CL1755)),0))/2)</f>
        <v/>
      </c>
      <c r="CW1755" s="62" t="str">
        <f aca="false">IF(CS1755="","",MAX(0,H1755-CV1755)*G1755)</f>
        <v/>
      </c>
      <c r="CX1755" s="62" t="str">
        <f aca="false">IF(CS1755="","",CS1755*MAX(0,1-CV1755/H1755))</f>
        <v/>
      </c>
      <c r="CY1755" s="64" t="str">
        <f aca="false">IF(CS1755="","",PERCENTRANK($CS$7:$CS$1843,CS1755)+PERCENTRANK($CU$7:$CU$1843,CU1755)+1-PERCENTRANK($CT$7:$CT$1843,CT1755))</f>
        <v/>
      </c>
      <c r="CZ1755" s="72" t="str">
        <f aca="false">IF(CS1755="","",CHOOSE(MATCH(Einkauf!$C$5,Parameter!$G$23:$G$27,0),CY1755,CS1755,CU1755,-CT1755,CW1755)+ROW()/1000000000)</f>
        <v/>
      </c>
    </row>
    <row r="1756" customFormat="false" ht="15" hidden="false" customHeight="false" outlineLevel="0" collapsed="false">
      <c r="A1756" s="60" t="str">
        <f aca="false">IF('Neue Artikel'!$A$17="","",'Neue Artikel'!$A$17&amp;"")</f>
        <v/>
      </c>
      <c r="B1756" s="60" t="str">
        <f aca="false">'Neue Artikel'!$B$17&amp;""</f>
        <v/>
      </c>
      <c r="C1756" s="60"/>
      <c r="D1756" s="60" t="s">
        <v>3057</v>
      </c>
      <c r="E1756" s="60"/>
      <c r="F1756" s="60"/>
      <c r="G1756" s="61" t="n">
        <f aca="false">N('Neue Artikel'!$G$17)</f>
        <v>0</v>
      </c>
      <c r="H1756" s="62" t="n">
        <f aca="false">MAX(0,IF(AND(Parameter!$B$21="Ja",ISNUMBER(Y1756)),Y1756,IF(Parameter!$B$20="Jahresanfang 2025 + Export",BS1756+BR1756,BR1756)))</f>
        <v>0</v>
      </c>
      <c r="I1756" s="62" t="n">
        <f aca="false">H1756*G1756</f>
        <v>0</v>
      </c>
      <c r="J1756" s="62" t="n">
        <f aca="false">BU1756*Parameter!$B$18</f>
        <v>0</v>
      </c>
      <c r="K1756" s="63"/>
      <c r="L1756" s="64"/>
      <c r="M1756" s="62" t="n">
        <f aca="false">N('Neue Artikel'!$E$17)</f>
        <v>0</v>
      </c>
      <c r="N1756" s="62" t="n">
        <f aca="false">N('Neue Artikel'!$F$17)</f>
        <v>0</v>
      </c>
      <c r="O1756" s="65"/>
      <c r="P1756" s="60" t="str">
        <f aca="false">IF('Neue Artikel'!$H$17="","LOSE",UPPER(TRIM('Neue Artikel'!$H$17)))</f>
        <v>LOSE</v>
      </c>
      <c r="Q1756" s="62" t="n">
        <f aca="false">N('Neue Artikel'!$I$17)</f>
        <v>0</v>
      </c>
      <c r="R1756" s="65" t="n">
        <f aca="false">IF(CA1756=1,0,IFERROR(VLOOKUP(BY1756,'Gebinde-Kategorie'!$A$5:$N$45,13,0)+0,0))</f>
        <v>0</v>
      </c>
      <c r="S1756" s="66"/>
      <c r="T1756" s="67"/>
      <c r="U1756" s="67"/>
      <c r="V1756" s="67"/>
      <c r="W1756" s="60"/>
      <c r="X1756" s="62"/>
      <c r="Y1756" s="62"/>
      <c r="Z1756" s="60"/>
      <c r="AA1756" s="60" t="str">
        <f aca="false">IF(A1756="","",IF(AND(Parameter!$B$21="Ja",ISNUMBER(W1756)),W1756,IF(AND(Parameter!$E$27="Ja",ISNUMBER(Z1756),CD1756&lt;&gt;"Nein"),Z1756,IF(CD1756="2+3",IF(ISNUMBER(SEARCH("grosser Artikel",BV1756)),2,IFERROR(VLOOKUP(BY1756,Parameter!$F$35:$G$64,2,0),2)),IF(OR(CD1756="Nein",CD1756=""),"-",CD1756)))))</f>
        <v/>
      </c>
      <c r="AB1756" s="60" t="str">
        <f aca="false">IF('Neue Artikel'!$J$17="","",'Neue Artikel'!$J$17)</f>
        <v/>
      </c>
      <c r="AC1756" s="68"/>
      <c r="AD1756" s="62" t="n">
        <f aca="false">AW1756</f>
        <v>0</v>
      </c>
      <c r="AE1756" s="62" t="n">
        <f aca="false">MAX(AW1756,H1756)</f>
        <v>0</v>
      </c>
      <c r="AF1756" s="69"/>
      <c r="AG1756" s="62" t="n">
        <f aca="false">IF(LEFT(Cockpit!$C$5,1)="A",H1756,IF(Parameter!$E$30="MAX-Bestand",IF(CI1756=1,CJ1756,IF(LEFT(Cockpit!$C$5,1)="B",AM1756,MAX(AM1756,H1756))),ROUNDUP(AK1756,0)))</f>
        <v>0</v>
      </c>
      <c r="AH1756" s="62" t="n">
        <f aca="false">IF(CA1756=1,0,ROUNDUP(AG1756/BZ1756,0))</f>
        <v>0</v>
      </c>
      <c r="AI1756" s="64" t="n">
        <f aca="false">IF(CR1756&gt;0,CR1756*MAX(1,AG1756/X1756),IF(CA1756=1,IF(AG1756&lt;=0,0,CE1756*MAX(1,IF(H1756&gt;0,AG1756/H1756,1))),IF(R1756&gt;0,AH1756/R1756,0))/MAX(0.1,N(Parameter!$M$21)))</f>
        <v>0</v>
      </c>
      <c r="AJ1756" s="62" t="n">
        <f aca="false">AI1756*CC1756</f>
        <v>0</v>
      </c>
      <c r="AK1756" s="63" t="n">
        <f aca="false">IF(LEFT(Cockpit!$C$5,1)="A",H1756,IF(CI1756=1,(CL1756+CJ1756)/2,IF(LEFT(Cockpit!$C$5,1)="B",(CL1756+AM1756)/2,MAX((CL1756+AM1756)/2,H1756))))</f>
        <v>0</v>
      </c>
      <c r="AL1756" s="62" t="n">
        <f aca="false">AK1756*G1756</f>
        <v>0</v>
      </c>
      <c r="AM1756" s="62" t="n">
        <f aca="false">ROUNDUP(CL1756+MAX(CM1756,2*(J1756/IF(CH1756&gt;0,CH1756,MAX(0.1,N(Cockpit!$C$6)))-CL1756)),0)</f>
        <v>0</v>
      </c>
      <c r="AN1756" s="63" t="n">
        <f aca="false">IF(AJ1756&gt;0,J1756/AJ1756,-1)</f>
        <v>-1</v>
      </c>
      <c r="AO1756" s="63" t="str">
        <f aca="false">IF(AND(OR(CG1756="L1",CG1756="L23",CG1756="LIFT"),AJ1756&gt;0),SUMIFS($AJ$7:$AJ$1843,$CG$7:$CG$1843,CG1756,$AN$7:$AN$1843,"&gt;"&amp;AN1756)+SUMIFS($AJ$7:$AJ$1843,$CG$7:$CG$1843,CG1756,$AN$7:$AN$1843,AN1756,$BX$7:$BX$1843,"&lt;="&amp;BX1756),"")</f>
        <v/>
      </c>
      <c r="AP1756" s="70" t="n">
        <f aca="false">IF(AO1756="",0,MAX(0,MIN(1,(IF(CG1756="L1",Parameter!$H$5,IF(CG1756="L23",Parameter!$H$6+Parameter!$H$7,Parameter!$H$5+Parameter!$H$6+Parameter!$H$7))-(AO1756-AJ1756))/AJ1756)))</f>
        <v>0</v>
      </c>
      <c r="AQ1756" s="62" t="n">
        <f aca="false">IF(LEFT(Cockpit!$I$5,1)="A",H1756,IF(Parameter!$E$30="MAX-Bestand",IF(CI1756=1,CJ1756,IF(LEFT(Cockpit!$I$5,1)="B",AW1756,MAX(AW1756,H1756))),ROUNDUP(AU1756,0)))</f>
        <v>0</v>
      </c>
      <c r="AR1756" s="62" t="n">
        <f aca="false">IF(CA1756=1,0,ROUNDUP(AQ1756/BZ1756,0))</f>
        <v>0</v>
      </c>
      <c r="AS1756" s="64" t="n">
        <f aca="false">IF(CR1756&gt;0,CR1756*MAX(1,AQ1756/X1756),IF(CA1756=1,IF(AQ1756&lt;=0,0,CE1756*MAX(1,IF(H1756&gt;0,AQ1756/H1756,1))),IF(R1756&gt;0,AR1756/R1756,0))/MAX(0.1,N(Parameter!$M$21)))</f>
        <v>0</v>
      </c>
      <c r="AT1756" s="62" t="n">
        <f aca="false">AS1756*CC1756</f>
        <v>0</v>
      </c>
      <c r="AU1756" s="63" t="n">
        <f aca="false">IF(LEFT(Cockpit!$I$5,1)="A",H1756,IF(CI1756=1,(CL1756+CJ1756)/2,IF(LEFT(Cockpit!$I$5,1)="B",(CL1756+AW1756)/2,MAX((CL1756+AW1756)/2,H1756))))</f>
        <v>0</v>
      </c>
      <c r="AV1756" s="62" t="n">
        <f aca="false">AU1756*G1756</f>
        <v>0</v>
      </c>
      <c r="AW1756" s="62" t="n">
        <f aca="false">ROUNDUP(CL1756+MAX(CM1756,2*(J1756/IF(CH1756&gt;0,CH1756,MAX(0.1,N(Cockpit!$I$6)))-CL1756)),0)</f>
        <v>0</v>
      </c>
      <c r="AX1756" s="63" t="n">
        <f aca="false">IF(AT1756&gt;0,J1756/AT1756,-1)</f>
        <v>-1</v>
      </c>
      <c r="AY1756" s="63" t="str">
        <f aca="false">IF(AND(OR(CG1756="L1",CG1756="L23",CG1756="LIFT"),AT1756&gt;0),SUMIFS($AT$7:$AT$1843,$CG$7:$CG$1843,CG1756,$AX$7:$AX$1843,"&gt;"&amp;AX1756)+SUMIFS($AT$7:$AT$1843,$CG$7:$CG$1843,CG1756,$AX$7:$AX$1843,AX1756,$BX$7:$BX$1843,"&lt;="&amp;BX1756),"")</f>
        <v/>
      </c>
      <c r="AZ1756" s="70" t="n">
        <f aca="false">IF(AY1756="",0,MAX(0,MIN(1,(IF(CG1756="L1",Parameter!$H$5,IF(CG1756="L23",Parameter!$H$6+Parameter!$H$7,Parameter!$H$5+Parameter!$H$6+Parameter!$H$7))-(AY1756-AT1756))/AT1756)))</f>
        <v>0</v>
      </c>
      <c r="BA1756" s="62" t="n">
        <f aca="false">IF(LEFT(Cockpit!$O$5,1)="A",H1756,IF(Parameter!$E$30="MAX-Bestand",IF(CI1756=1,CJ1756,IF(LEFT(Cockpit!$O$5,1)="B",BG1756,MAX(BG1756,H1756))),ROUNDUP(BE1756,0)))</f>
        <v>0</v>
      </c>
      <c r="BB1756" s="62" t="n">
        <f aca="false">IF(CA1756=1,0,ROUNDUP(BA1756/BZ1756,0))</f>
        <v>0</v>
      </c>
      <c r="BC1756" s="64" t="n">
        <f aca="false">IF(CR1756&gt;0,CR1756*MAX(1,BA1756/X1756),IF(CA1756=1,IF(BA1756&lt;=0,0,CE1756*MAX(1,IF(H1756&gt;0,BA1756/H1756,1))),IF(R1756&gt;0,BB1756/R1756,0))/MAX(0.1,N(Parameter!$M$21)))</f>
        <v>0</v>
      </c>
      <c r="BD1756" s="62" t="n">
        <f aca="false">BC1756*CC1756</f>
        <v>0</v>
      </c>
      <c r="BE1756" s="63" t="n">
        <f aca="false">IF(LEFT(Cockpit!$O$5,1)="A",H1756,IF(CI1756=1,(CL1756+CJ1756)/2,IF(LEFT(Cockpit!$O$5,1)="B",(CL1756+BG1756)/2,MAX((CL1756+BG1756)/2,H1756))))</f>
        <v>0</v>
      </c>
      <c r="BF1756" s="62" t="n">
        <f aca="false">BE1756*G1756</f>
        <v>0</v>
      </c>
      <c r="BG1756" s="62" t="n">
        <f aca="false">ROUNDUP(CL1756+MAX(CM1756,2*(J1756/IF(CH1756&gt;0,CH1756,MAX(0.1,N(Cockpit!$O$6)))-CL1756)),0)</f>
        <v>0</v>
      </c>
      <c r="BH1756" s="63" t="n">
        <f aca="false">IF(BD1756&gt;0,J1756/BD1756,-1)</f>
        <v>-1</v>
      </c>
      <c r="BI1756" s="63" t="str">
        <f aca="false">IF(AND(OR(CG1756="L1",CG1756="L23",CG1756="LIFT"),BD1756&gt;0),SUMIFS($BD$7:$BD$1843,$CG$7:$CG$1843,CG1756,$BH$7:$BH$1843,"&gt;"&amp;BH1756)+SUMIFS($BD$7:$BD$1843,$CG$7:$CG$1843,CG1756,$BH$7:$BH$1843,BH1756,$BX$7:$BX$1843,"&lt;="&amp;BX1756),"")</f>
        <v/>
      </c>
      <c r="BJ1756" s="70" t="n">
        <f aca="false">IF(BI1756="",0,MAX(0,MIN(1,(IF(CG1756="L1",Parameter!$H$5,IF(CG1756="L23",Parameter!$H$6+Parameter!$H$7,Parameter!$H$5+Parameter!$H$6+Parameter!$H$7))-(BI1756-BD1756))/BD1756)))</f>
        <v>0</v>
      </c>
      <c r="BK1756" s="60" t="str">
        <f aca="false">IF(AJ1756&lt;=0,"",IF(CG1756="Aussen","Aussenlager",IF(CG1756="-","Nicht im Lift",IF(AP1756&gt;=1,"Lift",IF(AP1756&lt;=0,"Aussenlager","teilweise")))))</f>
        <v/>
      </c>
      <c r="BL1756" s="60" t="str">
        <f aca="false">IF(AT1756&lt;=0,"",IF(CG1756="Aussen","Aussenlager",IF(CG1756="-","Nicht im Lift",IF(AZ1756&gt;=1,"Lift",IF(AZ1756&lt;=0,"Aussenlager","teilweise")))))</f>
        <v/>
      </c>
      <c r="BM1756" s="60" t="str">
        <f aca="false">IF(BD1756&lt;=0,"",IF(CG1756="Aussen","Aussenlager",IF(CG1756="-","Nicht im Lift",IF(BJ1756&gt;=1,"Lift",IF(BJ1756&lt;=0,"Aussenlager","teilweise")))))</f>
        <v/>
      </c>
      <c r="BN1756" s="60" t="str">
        <f aca="false">IF(A1756="","",IF(BW1756=1,"Neu; ","")&amp;IF(AND(BW1756=0,BR1756&lt;0),"negativer Bestand (Export "&amp;BR1756&amp;"); ","")&amp;IF(J1756&lt;=0,"Kein Verbrauch; ","")&amp;IF(CR1756&gt;0,"Lift "&amp;W1756&amp;" lt. Liftbericht (Fach "&amp;X1756&amp;" Stk); ",IF(CB1756=1,"Gebinde geschätzt ("&amp;T1756&amp;"); ",IF(CA1756=1,"Lose – Tablare geschätzt; ","")))&amp;IF(H1756&gt;AW1756,"Überbestand "&amp;ROUND(H1756-AW1756,0)&amp;" Stk / CHF "&amp;ROUND((H1756-AW1756)*G1756,0)&amp;"; ","")&amp;IF(AND(CI1756=1,CJ1756&lt;CK1756),"MAX &lt; MB+LG; ","")&amp;IF(AND(CQ1756&gt;0,CP1756*10&gt;CQ1756),"zu hoch für Tablar; ","")&amp;IF(AND(BW1756=0,OR(CI1756=1,AB1756&lt;&gt;"",U1756&lt;&gt;"",V1756&lt;&gt;"",AC1756&lt;&gt;"")),"manuell übersteuert; ","")&amp;IF(AND(CA1756=0,R1756=0),"Gebinde unbekannt / Stellmass fehlt; ","")&amp;IF(AND(CA1756=0,N(V1756)&lt;=0,N(Q1756)&lt;=0),"Menge pro Gebinde fehlt (Ist = 1 Gebinde); ","")&amp;BV1756)</f>
        <v/>
      </c>
      <c r="BO1756" s="60"/>
      <c r="BP1756" s="60"/>
      <c r="BQ1756" s="67"/>
      <c r="BR1756" s="62" t="n">
        <f aca="false">N('Neue Artikel'!$D$17)</f>
        <v>0</v>
      </c>
      <c r="BS1756" s="62" t="n">
        <v>0</v>
      </c>
      <c r="BT1756" s="61" t="n">
        <v>0</v>
      </c>
      <c r="BU1756" s="62" t="n">
        <f aca="false">N('Neue Artikel'!$C$17)/Parameter!$B$18</f>
        <v>0</v>
      </c>
      <c r="BV1756" s="60"/>
      <c r="BW1756" s="65" t="n">
        <v>1</v>
      </c>
      <c r="BX1756" s="65" t="n">
        <v>1756</v>
      </c>
      <c r="BY1756" s="60" t="str">
        <f aca="false">IF(U1756&lt;&gt;"",UPPER(TRIM(U1756)),IF(CB1756=1,UPPER(VLOOKUP(T1756,Parameter!$I$27:$K$29,2,0)),IF(P1756="","LOSE",P1756)))</f>
        <v>LOSE</v>
      </c>
      <c r="BZ1756" s="62" t="n">
        <f aca="false">IF(BY1756="LOSE",1,IF(N(V1756)&gt;0,V1756,IF(CB1756=1,MAX(1,N(VLOOKUP(T1756,Parameter!$I$27:$K$29,3,0)),H1756,N(N1756)),IF(N(Q1756)&gt;0,Q1756,MAX(1,H1756)))))</f>
        <v>1</v>
      </c>
      <c r="CA1756" s="65" t="n">
        <f aca="false">IF(BY1756="LOSE",1,0)</f>
        <v>1</v>
      </c>
      <c r="CB1756" s="65" t="n">
        <f aca="false">IF(AND(U1756="",OR(P1756="",P1756="LOSE"),T1756&lt;&gt;"",N(S1756)&lt;=0,ISNUMBER(MATCH(T1756,Parameter!$I$27:$I$29,0))),1,0)</f>
        <v>0</v>
      </c>
      <c r="CC1756" s="65" t="n">
        <f aca="false">IF(CR1756&gt;0,INDEX(Parameter!$H$5:$H$7,W1756)/INDEX(Parameter!$E$5:$E$7,W1756),IF(AND(CA1756=0,N(IFERROR(VLOOKUP(BY1756,'Gebinde-Kategorie'!$A$5:$N$45,14,0),0))&gt;0),VLOOKUP(BY1756,'Gebinde-Kategorie'!$A$5:$N$45,14,0)*10+Parameter!$M$23,Parameter!$M$24))</f>
        <v>235</v>
      </c>
      <c r="CD1756" s="60" t="str">
        <f aca="false">IF(AND(Parameter!$B$19="Ja",E1756&lt;&gt;"",ISNUMBER(MATCH(E1756,Parameter!$I$35:$I$52,0))),VLOOKUP(E1756,Parameter!$I$35:$J$52,2,0),IFERROR(VLOOKUP(D1756,Parameter!$A$35:$C$64,2,0),"Nein"))</f>
        <v>2+3</v>
      </c>
      <c r="CE1756" s="64" t="n">
        <f aca="false">IF(CA1756=0,0,IF(N(S1756)&gt;0,S1756,IFERROR(VLOOKUP(D1756,Parameter!$A$35:$C$64,3,0)+0,0)))</f>
        <v>0.15</v>
      </c>
      <c r="CF1756" s="60" t="str">
        <f aca="false">IF(AB1756&lt;&gt;"",AB1756,AA1756)</f>
        <v/>
      </c>
      <c r="CG1756" s="60" t="str">
        <f aca="false">IF(OR(CF1756=1,CF1756=2,CF1756=3),IF(Parameter!$E$27="Ja","LIFT",IF(CF1756=1,"L1","L23")),IF(CF1756="Aussen","Aussen","-"))</f>
        <v>-</v>
      </c>
      <c r="CH1756" s="71" t="n">
        <f aca="false">IF(N(AC1756)&gt;0,AC1756,0)</f>
        <v>0</v>
      </c>
      <c r="CI1756" s="65" t="n">
        <f aca="false">IF(ISNUMBER(AF1756),1,0)</f>
        <v>0</v>
      </c>
      <c r="CJ1756" s="62" t="n">
        <f aca="false">N(AF1756)</f>
        <v>0</v>
      </c>
      <c r="CK1756" s="62" t="n">
        <f aca="false">N(M1756)+N(N1756)</f>
        <v>0</v>
      </c>
      <c r="CL1756" s="62" t="n">
        <f aca="false">N(M1756)</f>
        <v>0</v>
      </c>
      <c r="CM1756" s="62" t="n">
        <f aca="false">N(N1756)</f>
        <v>0</v>
      </c>
      <c r="CN1756" s="62" t="n">
        <f aca="false">ROUNDUP(H1756/BZ1756,0)</f>
        <v>0</v>
      </c>
      <c r="CO1756" s="62" t="n">
        <f aca="false">ROUNDUP(CJ1756/BZ1756,0)</f>
        <v>0</v>
      </c>
      <c r="CP1756" s="65" t="n">
        <f aca="false">IF(CA1756=1,0,IFERROR(VLOOKUP(BY1756,'Gebinde-Kategorie'!$A$5:$N$45,5,0)+0,0))</f>
        <v>0</v>
      </c>
      <c r="CQ1756" s="65" t="n">
        <f aca="false">IFERROR(IF(OR(CF1756=1,CF1756=2,CF1756=3),N(INDEX(Parameter!$I$5:$I$7,CF1756)),0),0)</f>
        <v>0</v>
      </c>
      <c r="CR1756" s="64" t="n">
        <f aca="false">IF(AND(Parameter!$B$21="Ja",ISNUMBER(W1756),N(X1756)&gt;0),IFERROR(N(INDEX(Parameter!$L$5:$L$7,W1756))*INDEX(Parameter!$E$5:$E$7,W1756)*X1756/SUMIFS($X$7:$X$1843,$W$7:$W$1843,W1756),0),0)</f>
        <v>0</v>
      </c>
      <c r="CS1756" s="62" t="str">
        <f aca="false">IF(AND(OR(CG1756="L1",CG1756="L23",CG1756="LIFT"),H1756&gt;0),CC1756*IF(CR1756&gt;0,CR1756*MAX(1,H1756/X1756),IF(CA1756=1,CE1756,IF(R1756&gt;0,CN1756/R1756,0))/MAX(0.1,N(Parameter!$M$21))),"")</f>
        <v/>
      </c>
      <c r="CT1756" s="64" t="str">
        <f aca="false">IF(CS1756="","",J1756/H1756)</f>
        <v/>
      </c>
      <c r="CU1756" s="62" t="str">
        <f aca="false">IF(CS1756="","",H1756*G1756)</f>
        <v/>
      </c>
      <c r="CV1756" s="63" t="str">
        <f aca="false">IF(CS1756="","",(CL1756+ROUNDUP(CL1756+MAX(CM1756,2*(J1756/MAX(0.1,N(Einkauf!$C$6))-CL1756)),0))/2)</f>
        <v/>
      </c>
      <c r="CW1756" s="62" t="str">
        <f aca="false">IF(CS1756="","",MAX(0,H1756-CV1756)*G1756)</f>
        <v/>
      </c>
      <c r="CX1756" s="62" t="str">
        <f aca="false">IF(CS1756="","",CS1756*MAX(0,1-CV1756/H1756))</f>
        <v/>
      </c>
      <c r="CY1756" s="64" t="str">
        <f aca="false">IF(CS1756="","",PERCENTRANK($CS$7:$CS$1843,CS1756)+PERCENTRANK($CU$7:$CU$1843,CU1756)+1-PERCENTRANK($CT$7:$CT$1843,CT1756))</f>
        <v/>
      </c>
      <c r="CZ1756" s="72" t="str">
        <f aca="false">IF(CS1756="","",CHOOSE(MATCH(Einkauf!$C$5,Parameter!$G$23:$G$27,0),CY1756,CS1756,CU1756,-CT1756,CW1756)+ROW()/1000000000)</f>
        <v/>
      </c>
    </row>
    <row r="1757" customFormat="false" ht="15" hidden="false" customHeight="false" outlineLevel="0" collapsed="false">
      <c r="A1757" s="60" t="str">
        <f aca="false">IF('Neue Artikel'!$A$18="","",'Neue Artikel'!$A$18&amp;"")</f>
        <v/>
      </c>
      <c r="B1757" s="60" t="str">
        <f aca="false">'Neue Artikel'!$B$18&amp;""</f>
        <v/>
      </c>
      <c r="C1757" s="60"/>
      <c r="D1757" s="60" t="s">
        <v>3057</v>
      </c>
      <c r="E1757" s="60"/>
      <c r="F1757" s="60"/>
      <c r="G1757" s="61" t="n">
        <f aca="false">N('Neue Artikel'!$G$18)</f>
        <v>0</v>
      </c>
      <c r="H1757" s="62" t="n">
        <f aca="false">MAX(0,IF(AND(Parameter!$B$21="Ja",ISNUMBER(Y1757)),Y1757,IF(Parameter!$B$20="Jahresanfang 2025 + Export",BS1757+BR1757,BR1757)))</f>
        <v>0</v>
      </c>
      <c r="I1757" s="62" t="n">
        <f aca="false">H1757*G1757</f>
        <v>0</v>
      </c>
      <c r="J1757" s="62" t="n">
        <f aca="false">BU1757*Parameter!$B$18</f>
        <v>0</v>
      </c>
      <c r="K1757" s="63"/>
      <c r="L1757" s="64"/>
      <c r="M1757" s="62" t="n">
        <f aca="false">N('Neue Artikel'!$E$18)</f>
        <v>0</v>
      </c>
      <c r="N1757" s="62" t="n">
        <f aca="false">N('Neue Artikel'!$F$18)</f>
        <v>0</v>
      </c>
      <c r="O1757" s="65"/>
      <c r="P1757" s="60" t="str">
        <f aca="false">IF('Neue Artikel'!$H$18="","LOSE",UPPER(TRIM('Neue Artikel'!$H$18)))</f>
        <v>LOSE</v>
      </c>
      <c r="Q1757" s="62" t="n">
        <f aca="false">N('Neue Artikel'!$I$18)</f>
        <v>0</v>
      </c>
      <c r="R1757" s="65" t="n">
        <f aca="false">IF(CA1757=1,0,IFERROR(VLOOKUP(BY1757,'Gebinde-Kategorie'!$A$5:$N$45,13,0)+0,0))</f>
        <v>0</v>
      </c>
      <c r="S1757" s="66"/>
      <c r="T1757" s="67"/>
      <c r="U1757" s="67"/>
      <c r="V1757" s="67"/>
      <c r="W1757" s="60"/>
      <c r="X1757" s="62"/>
      <c r="Y1757" s="62"/>
      <c r="Z1757" s="60"/>
      <c r="AA1757" s="60" t="str">
        <f aca="false">IF(A1757="","",IF(AND(Parameter!$B$21="Ja",ISNUMBER(W1757)),W1757,IF(AND(Parameter!$E$27="Ja",ISNUMBER(Z1757),CD1757&lt;&gt;"Nein"),Z1757,IF(CD1757="2+3",IF(ISNUMBER(SEARCH("grosser Artikel",BV1757)),2,IFERROR(VLOOKUP(BY1757,Parameter!$F$35:$G$64,2,0),2)),IF(OR(CD1757="Nein",CD1757=""),"-",CD1757)))))</f>
        <v/>
      </c>
      <c r="AB1757" s="60" t="str">
        <f aca="false">IF('Neue Artikel'!$J$18="","",'Neue Artikel'!$J$18)</f>
        <v/>
      </c>
      <c r="AC1757" s="68"/>
      <c r="AD1757" s="62" t="n">
        <f aca="false">AW1757</f>
        <v>0</v>
      </c>
      <c r="AE1757" s="62" t="n">
        <f aca="false">MAX(AW1757,H1757)</f>
        <v>0</v>
      </c>
      <c r="AF1757" s="69"/>
      <c r="AG1757" s="62" t="n">
        <f aca="false">IF(LEFT(Cockpit!$C$5,1)="A",H1757,IF(Parameter!$E$30="MAX-Bestand",IF(CI1757=1,CJ1757,IF(LEFT(Cockpit!$C$5,1)="B",AM1757,MAX(AM1757,H1757))),ROUNDUP(AK1757,0)))</f>
        <v>0</v>
      </c>
      <c r="AH1757" s="62" t="n">
        <f aca="false">IF(CA1757=1,0,ROUNDUP(AG1757/BZ1757,0))</f>
        <v>0</v>
      </c>
      <c r="AI1757" s="64" t="n">
        <f aca="false">IF(CR1757&gt;0,CR1757*MAX(1,AG1757/X1757),IF(CA1757=1,IF(AG1757&lt;=0,0,CE1757*MAX(1,IF(H1757&gt;0,AG1757/H1757,1))),IF(R1757&gt;0,AH1757/R1757,0))/MAX(0.1,N(Parameter!$M$21)))</f>
        <v>0</v>
      </c>
      <c r="AJ1757" s="62" t="n">
        <f aca="false">AI1757*CC1757</f>
        <v>0</v>
      </c>
      <c r="AK1757" s="63" t="n">
        <f aca="false">IF(LEFT(Cockpit!$C$5,1)="A",H1757,IF(CI1757=1,(CL1757+CJ1757)/2,IF(LEFT(Cockpit!$C$5,1)="B",(CL1757+AM1757)/2,MAX((CL1757+AM1757)/2,H1757))))</f>
        <v>0</v>
      </c>
      <c r="AL1757" s="62" t="n">
        <f aca="false">AK1757*G1757</f>
        <v>0</v>
      </c>
      <c r="AM1757" s="62" t="n">
        <f aca="false">ROUNDUP(CL1757+MAX(CM1757,2*(J1757/IF(CH1757&gt;0,CH1757,MAX(0.1,N(Cockpit!$C$6)))-CL1757)),0)</f>
        <v>0</v>
      </c>
      <c r="AN1757" s="63" t="n">
        <f aca="false">IF(AJ1757&gt;0,J1757/AJ1757,-1)</f>
        <v>-1</v>
      </c>
      <c r="AO1757" s="63" t="str">
        <f aca="false">IF(AND(OR(CG1757="L1",CG1757="L23",CG1757="LIFT"),AJ1757&gt;0),SUMIFS($AJ$7:$AJ$1843,$CG$7:$CG$1843,CG1757,$AN$7:$AN$1843,"&gt;"&amp;AN1757)+SUMIFS($AJ$7:$AJ$1843,$CG$7:$CG$1843,CG1757,$AN$7:$AN$1843,AN1757,$BX$7:$BX$1843,"&lt;="&amp;BX1757),"")</f>
        <v/>
      </c>
      <c r="AP1757" s="70" t="n">
        <f aca="false">IF(AO1757="",0,MAX(0,MIN(1,(IF(CG1757="L1",Parameter!$H$5,IF(CG1757="L23",Parameter!$H$6+Parameter!$H$7,Parameter!$H$5+Parameter!$H$6+Parameter!$H$7))-(AO1757-AJ1757))/AJ1757)))</f>
        <v>0</v>
      </c>
      <c r="AQ1757" s="62" t="n">
        <f aca="false">IF(LEFT(Cockpit!$I$5,1)="A",H1757,IF(Parameter!$E$30="MAX-Bestand",IF(CI1757=1,CJ1757,IF(LEFT(Cockpit!$I$5,1)="B",AW1757,MAX(AW1757,H1757))),ROUNDUP(AU1757,0)))</f>
        <v>0</v>
      </c>
      <c r="AR1757" s="62" t="n">
        <f aca="false">IF(CA1757=1,0,ROUNDUP(AQ1757/BZ1757,0))</f>
        <v>0</v>
      </c>
      <c r="AS1757" s="64" t="n">
        <f aca="false">IF(CR1757&gt;0,CR1757*MAX(1,AQ1757/X1757),IF(CA1757=1,IF(AQ1757&lt;=0,0,CE1757*MAX(1,IF(H1757&gt;0,AQ1757/H1757,1))),IF(R1757&gt;0,AR1757/R1757,0))/MAX(0.1,N(Parameter!$M$21)))</f>
        <v>0</v>
      </c>
      <c r="AT1757" s="62" t="n">
        <f aca="false">AS1757*CC1757</f>
        <v>0</v>
      </c>
      <c r="AU1757" s="63" t="n">
        <f aca="false">IF(LEFT(Cockpit!$I$5,1)="A",H1757,IF(CI1757=1,(CL1757+CJ1757)/2,IF(LEFT(Cockpit!$I$5,1)="B",(CL1757+AW1757)/2,MAX((CL1757+AW1757)/2,H1757))))</f>
        <v>0</v>
      </c>
      <c r="AV1757" s="62" t="n">
        <f aca="false">AU1757*G1757</f>
        <v>0</v>
      </c>
      <c r="AW1757" s="62" t="n">
        <f aca="false">ROUNDUP(CL1757+MAX(CM1757,2*(J1757/IF(CH1757&gt;0,CH1757,MAX(0.1,N(Cockpit!$I$6)))-CL1757)),0)</f>
        <v>0</v>
      </c>
      <c r="AX1757" s="63" t="n">
        <f aca="false">IF(AT1757&gt;0,J1757/AT1757,-1)</f>
        <v>-1</v>
      </c>
      <c r="AY1757" s="63" t="str">
        <f aca="false">IF(AND(OR(CG1757="L1",CG1757="L23",CG1757="LIFT"),AT1757&gt;0),SUMIFS($AT$7:$AT$1843,$CG$7:$CG$1843,CG1757,$AX$7:$AX$1843,"&gt;"&amp;AX1757)+SUMIFS($AT$7:$AT$1843,$CG$7:$CG$1843,CG1757,$AX$7:$AX$1843,AX1757,$BX$7:$BX$1843,"&lt;="&amp;BX1757),"")</f>
        <v/>
      </c>
      <c r="AZ1757" s="70" t="n">
        <f aca="false">IF(AY1757="",0,MAX(0,MIN(1,(IF(CG1757="L1",Parameter!$H$5,IF(CG1757="L23",Parameter!$H$6+Parameter!$H$7,Parameter!$H$5+Parameter!$H$6+Parameter!$H$7))-(AY1757-AT1757))/AT1757)))</f>
        <v>0</v>
      </c>
      <c r="BA1757" s="62" t="n">
        <f aca="false">IF(LEFT(Cockpit!$O$5,1)="A",H1757,IF(Parameter!$E$30="MAX-Bestand",IF(CI1757=1,CJ1757,IF(LEFT(Cockpit!$O$5,1)="B",BG1757,MAX(BG1757,H1757))),ROUNDUP(BE1757,0)))</f>
        <v>0</v>
      </c>
      <c r="BB1757" s="62" t="n">
        <f aca="false">IF(CA1757=1,0,ROUNDUP(BA1757/BZ1757,0))</f>
        <v>0</v>
      </c>
      <c r="BC1757" s="64" t="n">
        <f aca="false">IF(CR1757&gt;0,CR1757*MAX(1,BA1757/X1757),IF(CA1757=1,IF(BA1757&lt;=0,0,CE1757*MAX(1,IF(H1757&gt;0,BA1757/H1757,1))),IF(R1757&gt;0,BB1757/R1757,0))/MAX(0.1,N(Parameter!$M$21)))</f>
        <v>0</v>
      </c>
      <c r="BD1757" s="62" t="n">
        <f aca="false">BC1757*CC1757</f>
        <v>0</v>
      </c>
      <c r="BE1757" s="63" t="n">
        <f aca="false">IF(LEFT(Cockpit!$O$5,1)="A",H1757,IF(CI1757=1,(CL1757+CJ1757)/2,IF(LEFT(Cockpit!$O$5,1)="B",(CL1757+BG1757)/2,MAX((CL1757+BG1757)/2,H1757))))</f>
        <v>0</v>
      </c>
      <c r="BF1757" s="62" t="n">
        <f aca="false">BE1757*G1757</f>
        <v>0</v>
      </c>
      <c r="BG1757" s="62" t="n">
        <f aca="false">ROUNDUP(CL1757+MAX(CM1757,2*(J1757/IF(CH1757&gt;0,CH1757,MAX(0.1,N(Cockpit!$O$6)))-CL1757)),0)</f>
        <v>0</v>
      </c>
      <c r="BH1757" s="63" t="n">
        <f aca="false">IF(BD1757&gt;0,J1757/BD1757,-1)</f>
        <v>-1</v>
      </c>
      <c r="BI1757" s="63" t="str">
        <f aca="false">IF(AND(OR(CG1757="L1",CG1757="L23",CG1757="LIFT"),BD1757&gt;0),SUMIFS($BD$7:$BD$1843,$CG$7:$CG$1843,CG1757,$BH$7:$BH$1843,"&gt;"&amp;BH1757)+SUMIFS($BD$7:$BD$1843,$CG$7:$CG$1843,CG1757,$BH$7:$BH$1843,BH1757,$BX$7:$BX$1843,"&lt;="&amp;BX1757),"")</f>
        <v/>
      </c>
      <c r="BJ1757" s="70" t="n">
        <f aca="false">IF(BI1757="",0,MAX(0,MIN(1,(IF(CG1757="L1",Parameter!$H$5,IF(CG1757="L23",Parameter!$H$6+Parameter!$H$7,Parameter!$H$5+Parameter!$H$6+Parameter!$H$7))-(BI1757-BD1757))/BD1757)))</f>
        <v>0</v>
      </c>
      <c r="BK1757" s="60" t="str">
        <f aca="false">IF(AJ1757&lt;=0,"",IF(CG1757="Aussen","Aussenlager",IF(CG1757="-","Nicht im Lift",IF(AP1757&gt;=1,"Lift",IF(AP1757&lt;=0,"Aussenlager","teilweise")))))</f>
        <v/>
      </c>
      <c r="BL1757" s="60" t="str">
        <f aca="false">IF(AT1757&lt;=0,"",IF(CG1757="Aussen","Aussenlager",IF(CG1757="-","Nicht im Lift",IF(AZ1757&gt;=1,"Lift",IF(AZ1757&lt;=0,"Aussenlager","teilweise")))))</f>
        <v/>
      </c>
      <c r="BM1757" s="60" t="str">
        <f aca="false">IF(BD1757&lt;=0,"",IF(CG1757="Aussen","Aussenlager",IF(CG1757="-","Nicht im Lift",IF(BJ1757&gt;=1,"Lift",IF(BJ1757&lt;=0,"Aussenlager","teilweise")))))</f>
        <v/>
      </c>
      <c r="BN1757" s="60" t="str">
        <f aca="false">IF(A1757="","",IF(BW1757=1,"Neu; ","")&amp;IF(AND(BW1757=0,BR1757&lt;0),"negativer Bestand (Export "&amp;BR1757&amp;"); ","")&amp;IF(J1757&lt;=0,"Kein Verbrauch; ","")&amp;IF(CR1757&gt;0,"Lift "&amp;W1757&amp;" lt. Liftbericht (Fach "&amp;X1757&amp;" Stk); ",IF(CB1757=1,"Gebinde geschätzt ("&amp;T1757&amp;"); ",IF(CA1757=1,"Lose – Tablare geschätzt; ","")))&amp;IF(H1757&gt;AW1757,"Überbestand "&amp;ROUND(H1757-AW1757,0)&amp;" Stk / CHF "&amp;ROUND((H1757-AW1757)*G1757,0)&amp;"; ","")&amp;IF(AND(CI1757=1,CJ1757&lt;CK1757),"MAX &lt; MB+LG; ","")&amp;IF(AND(CQ1757&gt;0,CP1757*10&gt;CQ1757),"zu hoch für Tablar; ","")&amp;IF(AND(BW1757=0,OR(CI1757=1,AB1757&lt;&gt;"",U1757&lt;&gt;"",V1757&lt;&gt;"",AC1757&lt;&gt;"")),"manuell übersteuert; ","")&amp;IF(AND(CA1757=0,R1757=0),"Gebinde unbekannt / Stellmass fehlt; ","")&amp;IF(AND(CA1757=0,N(V1757)&lt;=0,N(Q1757)&lt;=0),"Menge pro Gebinde fehlt (Ist = 1 Gebinde); ","")&amp;BV1757)</f>
        <v/>
      </c>
      <c r="BO1757" s="60"/>
      <c r="BP1757" s="60"/>
      <c r="BQ1757" s="67"/>
      <c r="BR1757" s="62" t="n">
        <f aca="false">N('Neue Artikel'!$D$18)</f>
        <v>0</v>
      </c>
      <c r="BS1757" s="62" t="n">
        <v>0</v>
      </c>
      <c r="BT1757" s="61" t="n">
        <v>0</v>
      </c>
      <c r="BU1757" s="62" t="n">
        <f aca="false">N('Neue Artikel'!$C$18)/Parameter!$B$18</f>
        <v>0</v>
      </c>
      <c r="BV1757" s="60"/>
      <c r="BW1757" s="65" t="n">
        <v>1</v>
      </c>
      <c r="BX1757" s="65" t="n">
        <v>1757</v>
      </c>
      <c r="BY1757" s="60" t="str">
        <f aca="false">IF(U1757&lt;&gt;"",UPPER(TRIM(U1757)),IF(CB1757=1,UPPER(VLOOKUP(T1757,Parameter!$I$27:$K$29,2,0)),IF(P1757="","LOSE",P1757)))</f>
        <v>LOSE</v>
      </c>
      <c r="BZ1757" s="62" t="n">
        <f aca="false">IF(BY1757="LOSE",1,IF(N(V1757)&gt;0,V1757,IF(CB1757=1,MAX(1,N(VLOOKUP(T1757,Parameter!$I$27:$K$29,3,0)),H1757,N(N1757)),IF(N(Q1757)&gt;0,Q1757,MAX(1,H1757)))))</f>
        <v>1</v>
      </c>
      <c r="CA1757" s="65" t="n">
        <f aca="false">IF(BY1757="LOSE",1,0)</f>
        <v>1</v>
      </c>
      <c r="CB1757" s="65" t="n">
        <f aca="false">IF(AND(U1757="",OR(P1757="",P1757="LOSE"),T1757&lt;&gt;"",N(S1757)&lt;=0,ISNUMBER(MATCH(T1757,Parameter!$I$27:$I$29,0))),1,0)</f>
        <v>0</v>
      </c>
      <c r="CC1757" s="65" t="n">
        <f aca="false">IF(CR1757&gt;0,INDEX(Parameter!$H$5:$H$7,W1757)/INDEX(Parameter!$E$5:$E$7,W1757),IF(AND(CA1757=0,N(IFERROR(VLOOKUP(BY1757,'Gebinde-Kategorie'!$A$5:$N$45,14,0),0))&gt;0),VLOOKUP(BY1757,'Gebinde-Kategorie'!$A$5:$N$45,14,0)*10+Parameter!$M$23,Parameter!$M$24))</f>
        <v>235</v>
      </c>
      <c r="CD1757" s="60" t="str">
        <f aca="false">IF(AND(Parameter!$B$19="Ja",E1757&lt;&gt;"",ISNUMBER(MATCH(E1757,Parameter!$I$35:$I$52,0))),VLOOKUP(E1757,Parameter!$I$35:$J$52,2,0),IFERROR(VLOOKUP(D1757,Parameter!$A$35:$C$64,2,0),"Nein"))</f>
        <v>2+3</v>
      </c>
      <c r="CE1757" s="64" t="n">
        <f aca="false">IF(CA1757=0,0,IF(N(S1757)&gt;0,S1757,IFERROR(VLOOKUP(D1757,Parameter!$A$35:$C$64,3,0)+0,0)))</f>
        <v>0.15</v>
      </c>
      <c r="CF1757" s="60" t="str">
        <f aca="false">IF(AB1757&lt;&gt;"",AB1757,AA1757)</f>
        <v/>
      </c>
      <c r="CG1757" s="60" t="str">
        <f aca="false">IF(OR(CF1757=1,CF1757=2,CF1757=3),IF(Parameter!$E$27="Ja","LIFT",IF(CF1757=1,"L1","L23")),IF(CF1757="Aussen","Aussen","-"))</f>
        <v>-</v>
      </c>
      <c r="CH1757" s="71" t="n">
        <f aca="false">IF(N(AC1757)&gt;0,AC1757,0)</f>
        <v>0</v>
      </c>
      <c r="CI1757" s="65" t="n">
        <f aca="false">IF(ISNUMBER(AF1757),1,0)</f>
        <v>0</v>
      </c>
      <c r="CJ1757" s="62" t="n">
        <f aca="false">N(AF1757)</f>
        <v>0</v>
      </c>
      <c r="CK1757" s="62" t="n">
        <f aca="false">N(M1757)+N(N1757)</f>
        <v>0</v>
      </c>
      <c r="CL1757" s="62" t="n">
        <f aca="false">N(M1757)</f>
        <v>0</v>
      </c>
      <c r="CM1757" s="62" t="n">
        <f aca="false">N(N1757)</f>
        <v>0</v>
      </c>
      <c r="CN1757" s="62" t="n">
        <f aca="false">ROUNDUP(H1757/BZ1757,0)</f>
        <v>0</v>
      </c>
      <c r="CO1757" s="62" t="n">
        <f aca="false">ROUNDUP(CJ1757/BZ1757,0)</f>
        <v>0</v>
      </c>
      <c r="CP1757" s="65" t="n">
        <f aca="false">IF(CA1757=1,0,IFERROR(VLOOKUP(BY1757,'Gebinde-Kategorie'!$A$5:$N$45,5,0)+0,0))</f>
        <v>0</v>
      </c>
      <c r="CQ1757" s="65" t="n">
        <f aca="false">IFERROR(IF(OR(CF1757=1,CF1757=2,CF1757=3),N(INDEX(Parameter!$I$5:$I$7,CF1757)),0),0)</f>
        <v>0</v>
      </c>
      <c r="CR1757" s="64" t="n">
        <f aca="false">IF(AND(Parameter!$B$21="Ja",ISNUMBER(W1757),N(X1757)&gt;0),IFERROR(N(INDEX(Parameter!$L$5:$L$7,W1757))*INDEX(Parameter!$E$5:$E$7,W1757)*X1757/SUMIFS($X$7:$X$1843,$W$7:$W$1843,W1757),0),0)</f>
        <v>0</v>
      </c>
      <c r="CS1757" s="62" t="str">
        <f aca="false">IF(AND(OR(CG1757="L1",CG1757="L23",CG1757="LIFT"),H1757&gt;0),CC1757*IF(CR1757&gt;0,CR1757*MAX(1,H1757/X1757),IF(CA1757=1,CE1757,IF(R1757&gt;0,CN1757/R1757,0))/MAX(0.1,N(Parameter!$M$21))),"")</f>
        <v/>
      </c>
      <c r="CT1757" s="64" t="str">
        <f aca="false">IF(CS1757="","",J1757/H1757)</f>
        <v/>
      </c>
      <c r="CU1757" s="62" t="str">
        <f aca="false">IF(CS1757="","",H1757*G1757)</f>
        <v/>
      </c>
      <c r="CV1757" s="63" t="str">
        <f aca="false">IF(CS1757="","",(CL1757+ROUNDUP(CL1757+MAX(CM1757,2*(J1757/MAX(0.1,N(Einkauf!$C$6))-CL1757)),0))/2)</f>
        <v/>
      </c>
      <c r="CW1757" s="62" t="str">
        <f aca="false">IF(CS1757="","",MAX(0,H1757-CV1757)*G1757)</f>
        <v/>
      </c>
      <c r="CX1757" s="62" t="str">
        <f aca="false">IF(CS1757="","",CS1757*MAX(0,1-CV1757/H1757))</f>
        <v/>
      </c>
      <c r="CY1757" s="64" t="str">
        <f aca="false">IF(CS1757="","",PERCENTRANK($CS$7:$CS$1843,CS1757)+PERCENTRANK($CU$7:$CU$1843,CU1757)+1-PERCENTRANK($CT$7:$CT$1843,CT1757))</f>
        <v/>
      </c>
      <c r="CZ1757" s="72" t="str">
        <f aca="false">IF(CS1757="","",CHOOSE(MATCH(Einkauf!$C$5,Parameter!$G$23:$G$27,0),CY1757,CS1757,CU1757,-CT1757,CW1757)+ROW()/1000000000)</f>
        <v/>
      </c>
    </row>
    <row r="1758" customFormat="false" ht="15" hidden="false" customHeight="false" outlineLevel="0" collapsed="false">
      <c r="A1758" s="60" t="str">
        <f aca="false">IF('Neue Artikel'!$A$19="","",'Neue Artikel'!$A$19&amp;"")</f>
        <v/>
      </c>
      <c r="B1758" s="60" t="str">
        <f aca="false">'Neue Artikel'!$B$19&amp;""</f>
        <v/>
      </c>
      <c r="C1758" s="60"/>
      <c r="D1758" s="60" t="s">
        <v>3057</v>
      </c>
      <c r="E1758" s="60"/>
      <c r="F1758" s="60"/>
      <c r="G1758" s="61" t="n">
        <f aca="false">N('Neue Artikel'!$G$19)</f>
        <v>0</v>
      </c>
      <c r="H1758" s="62" t="n">
        <f aca="false">MAX(0,IF(AND(Parameter!$B$21="Ja",ISNUMBER(Y1758)),Y1758,IF(Parameter!$B$20="Jahresanfang 2025 + Export",BS1758+BR1758,BR1758)))</f>
        <v>0</v>
      </c>
      <c r="I1758" s="62" t="n">
        <f aca="false">H1758*G1758</f>
        <v>0</v>
      </c>
      <c r="J1758" s="62" t="n">
        <f aca="false">BU1758*Parameter!$B$18</f>
        <v>0</v>
      </c>
      <c r="K1758" s="63"/>
      <c r="L1758" s="64"/>
      <c r="M1758" s="62" t="n">
        <f aca="false">N('Neue Artikel'!$E$19)</f>
        <v>0</v>
      </c>
      <c r="N1758" s="62" t="n">
        <f aca="false">N('Neue Artikel'!$F$19)</f>
        <v>0</v>
      </c>
      <c r="O1758" s="65"/>
      <c r="P1758" s="60" t="str">
        <f aca="false">IF('Neue Artikel'!$H$19="","LOSE",UPPER(TRIM('Neue Artikel'!$H$19)))</f>
        <v>LOSE</v>
      </c>
      <c r="Q1758" s="62" t="n">
        <f aca="false">N('Neue Artikel'!$I$19)</f>
        <v>0</v>
      </c>
      <c r="R1758" s="65" t="n">
        <f aca="false">IF(CA1758=1,0,IFERROR(VLOOKUP(BY1758,'Gebinde-Kategorie'!$A$5:$N$45,13,0)+0,0))</f>
        <v>0</v>
      </c>
      <c r="S1758" s="66"/>
      <c r="T1758" s="67"/>
      <c r="U1758" s="67"/>
      <c r="V1758" s="67"/>
      <c r="W1758" s="60"/>
      <c r="X1758" s="62"/>
      <c r="Y1758" s="62"/>
      <c r="Z1758" s="60"/>
      <c r="AA1758" s="60" t="str">
        <f aca="false">IF(A1758="","",IF(AND(Parameter!$B$21="Ja",ISNUMBER(W1758)),W1758,IF(AND(Parameter!$E$27="Ja",ISNUMBER(Z1758),CD1758&lt;&gt;"Nein"),Z1758,IF(CD1758="2+3",IF(ISNUMBER(SEARCH("grosser Artikel",BV1758)),2,IFERROR(VLOOKUP(BY1758,Parameter!$F$35:$G$64,2,0),2)),IF(OR(CD1758="Nein",CD1758=""),"-",CD1758)))))</f>
        <v/>
      </c>
      <c r="AB1758" s="60" t="str">
        <f aca="false">IF('Neue Artikel'!$J$19="","",'Neue Artikel'!$J$19)</f>
        <v/>
      </c>
      <c r="AC1758" s="68"/>
      <c r="AD1758" s="62" t="n">
        <f aca="false">AW1758</f>
        <v>0</v>
      </c>
      <c r="AE1758" s="62" t="n">
        <f aca="false">MAX(AW1758,H1758)</f>
        <v>0</v>
      </c>
      <c r="AF1758" s="69"/>
      <c r="AG1758" s="62" t="n">
        <f aca="false">IF(LEFT(Cockpit!$C$5,1)="A",H1758,IF(Parameter!$E$30="MAX-Bestand",IF(CI1758=1,CJ1758,IF(LEFT(Cockpit!$C$5,1)="B",AM1758,MAX(AM1758,H1758))),ROUNDUP(AK1758,0)))</f>
        <v>0</v>
      </c>
      <c r="AH1758" s="62" t="n">
        <f aca="false">IF(CA1758=1,0,ROUNDUP(AG1758/BZ1758,0))</f>
        <v>0</v>
      </c>
      <c r="AI1758" s="64" t="n">
        <f aca="false">IF(CR1758&gt;0,CR1758*MAX(1,AG1758/X1758),IF(CA1758=1,IF(AG1758&lt;=0,0,CE1758*MAX(1,IF(H1758&gt;0,AG1758/H1758,1))),IF(R1758&gt;0,AH1758/R1758,0))/MAX(0.1,N(Parameter!$M$21)))</f>
        <v>0</v>
      </c>
      <c r="AJ1758" s="62" t="n">
        <f aca="false">AI1758*CC1758</f>
        <v>0</v>
      </c>
      <c r="AK1758" s="63" t="n">
        <f aca="false">IF(LEFT(Cockpit!$C$5,1)="A",H1758,IF(CI1758=1,(CL1758+CJ1758)/2,IF(LEFT(Cockpit!$C$5,1)="B",(CL1758+AM1758)/2,MAX((CL1758+AM1758)/2,H1758))))</f>
        <v>0</v>
      </c>
      <c r="AL1758" s="62" t="n">
        <f aca="false">AK1758*G1758</f>
        <v>0</v>
      </c>
      <c r="AM1758" s="62" t="n">
        <f aca="false">ROUNDUP(CL1758+MAX(CM1758,2*(J1758/IF(CH1758&gt;0,CH1758,MAX(0.1,N(Cockpit!$C$6)))-CL1758)),0)</f>
        <v>0</v>
      </c>
      <c r="AN1758" s="63" t="n">
        <f aca="false">IF(AJ1758&gt;0,J1758/AJ1758,-1)</f>
        <v>-1</v>
      </c>
      <c r="AO1758" s="63" t="str">
        <f aca="false">IF(AND(OR(CG1758="L1",CG1758="L23",CG1758="LIFT"),AJ1758&gt;0),SUMIFS($AJ$7:$AJ$1843,$CG$7:$CG$1843,CG1758,$AN$7:$AN$1843,"&gt;"&amp;AN1758)+SUMIFS($AJ$7:$AJ$1843,$CG$7:$CG$1843,CG1758,$AN$7:$AN$1843,AN1758,$BX$7:$BX$1843,"&lt;="&amp;BX1758),"")</f>
        <v/>
      </c>
      <c r="AP1758" s="70" t="n">
        <f aca="false">IF(AO1758="",0,MAX(0,MIN(1,(IF(CG1758="L1",Parameter!$H$5,IF(CG1758="L23",Parameter!$H$6+Parameter!$H$7,Parameter!$H$5+Parameter!$H$6+Parameter!$H$7))-(AO1758-AJ1758))/AJ1758)))</f>
        <v>0</v>
      </c>
      <c r="AQ1758" s="62" t="n">
        <f aca="false">IF(LEFT(Cockpit!$I$5,1)="A",H1758,IF(Parameter!$E$30="MAX-Bestand",IF(CI1758=1,CJ1758,IF(LEFT(Cockpit!$I$5,1)="B",AW1758,MAX(AW1758,H1758))),ROUNDUP(AU1758,0)))</f>
        <v>0</v>
      </c>
      <c r="AR1758" s="62" t="n">
        <f aca="false">IF(CA1758=1,0,ROUNDUP(AQ1758/BZ1758,0))</f>
        <v>0</v>
      </c>
      <c r="AS1758" s="64" t="n">
        <f aca="false">IF(CR1758&gt;0,CR1758*MAX(1,AQ1758/X1758),IF(CA1758=1,IF(AQ1758&lt;=0,0,CE1758*MAX(1,IF(H1758&gt;0,AQ1758/H1758,1))),IF(R1758&gt;0,AR1758/R1758,0))/MAX(0.1,N(Parameter!$M$21)))</f>
        <v>0</v>
      </c>
      <c r="AT1758" s="62" t="n">
        <f aca="false">AS1758*CC1758</f>
        <v>0</v>
      </c>
      <c r="AU1758" s="63" t="n">
        <f aca="false">IF(LEFT(Cockpit!$I$5,1)="A",H1758,IF(CI1758=1,(CL1758+CJ1758)/2,IF(LEFT(Cockpit!$I$5,1)="B",(CL1758+AW1758)/2,MAX((CL1758+AW1758)/2,H1758))))</f>
        <v>0</v>
      </c>
      <c r="AV1758" s="62" t="n">
        <f aca="false">AU1758*G1758</f>
        <v>0</v>
      </c>
      <c r="AW1758" s="62" t="n">
        <f aca="false">ROUNDUP(CL1758+MAX(CM1758,2*(J1758/IF(CH1758&gt;0,CH1758,MAX(0.1,N(Cockpit!$I$6)))-CL1758)),0)</f>
        <v>0</v>
      </c>
      <c r="AX1758" s="63" t="n">
        <f aca="false">IF(AT1758&gt;0,J1758/AT1758,-1)</f>
        <v>-1</v>
      </c>
      <c r="AY1758" s="63" t="str">
        <f aca="false">IF(AND(OR(CG1758="L1",CG1758="L23",CG1758="LIFT"),AT1758&gt;0),SUMIFS($AT$7:$AT$1843,$CG$7:$CG$1843,CG1758,$AX$7:$AX$1843,"&gt;"&amp;AX1758)+SUMIFS($AT$7:$AT$1843,$CG$7:$CG$1843,CG1758,$AX$7:$AX$1843,AX1758,$BX$7:$BX$1843,"&lt;="&amp;BX1758),"")</f>
        <v/>
      </c>
      <c r="AZ1758" s="70" t="n">
        <f aca="false">IF(AY1758="",0,MAX(0,MIN(1,(IF(CG1758="L1",Parameter!$H$5,IF(CG1758="L23",Parameter!$H$6+Parameter!$H$7,Parameter!$H$5+Parameter!$H$6+Parameter!$H$7))-(AY1758-AT1758))/AT1758)))</f>
        <v>0</v>
      </c>
      <c r="BA1758" s="62" t="n">
        <f aca="false">IF(LEFT(Cockpit!$O$5,1)="A",H1758,IF(Parameter!$E$30="MAX-Bestand",IF(CI1758=1,CJ1758,IF(LEFT(Cockpit!$O$5,1)="B",BG1758,MAX(BG1758,H1758))),ROUNDUP(BE1758,0)))</f>
        <v>0</v>
      </c>
      <c r="BB1758" s="62" t="n">
        <f aca="false">IF(CA1758=1,0,ROUNDUP(BA1758/BZ1758,0))</f>
        <v>0</v>
      </c>
      <c r="BC1758" s="64" t="n">
        <f aca="false">IF(CR1758&gt;0,CR1758*MAX(1,BA1758/X1758),IF(CA1758=1,IF(BA1758&lt;=0,0,CE1758*MAX(1,IF(H1758&gt;0,BA1758/H1758,1))),IF(R1758&gt;0,BB1758/R1758,0))/MAX(0.1,N(Parameter!$M$21)))</f>
        <v>0</v>
      </c>
      <c r="BD1758" s="62" t="n">
        <f aca="false">BC1758*CC1758</f>
        <v>0</v>
      </c>
      <c r="BE1758" s="63" t="n">
        <f aca="false">IF(LEFT(Cockpit!$O$5,1)="A",H1758,IF(CI1758=1,(CL1758+CJ1758)/2,IF(LEFT(Cockpit!$O$5,1)="B",(CL1758+BG1758)/2,MAX((CL1758+BG1758)/2,H1758))))</f>
        <v>0</v>
      </c>
      <c r="BF1758" s="62" t="n">
        <f aca="false">BE1758*G1758</f>
        <v>0</v>
      </c>
      <c r="BG1758" s="62" t="n">
        <f aca="false">ROUNDUP(CL1758+MAX(CM1758,2*(J1758/IF(CH1758&gt;0,CH1758,MAX(0.1,N(Cockpit!$O$6)))-CL1758)),0)</f>
        <v>0</v>
      </c>
      <c r="BH1758" s="63" t="n">
        <f aca="false">IF(BD1758&gt;0,J1758/BD1758,-1)</f>
        <v>-1</v>
      </c>
      <c r="BI1758" s="63" t="str">
        <f aca="false">IF(AND(OR(CG1758="L1",CG1758="L23",CG1758="LIFT"),BD1758&gt;0),SUMIFS($BD$7:$BD$1843,$CG$7:$CG$1843,CG1758,$BH$7:$BH$1843,"&gt;"&amp;BH1758)+SUMIFS($BD$7:$BD$1843,$CG$7:$CG$1843,CG1758,$BH$7:$BH$1843,BH1758,$BX$7:$BX$1843,"&lt;="&amp;BX1758),"")</f>
        <v/>
      </c>
      <c r="BJ1758" s="70" t="n">
        <f aca="false">IF(BI1758="",0,MAX(0,MIN(1,(IF(CG1758="L1",Parameter!$H$5,IF(CG1758="L23",Parameter!$H$6+Parameter!$H$7,Parameter!$H$5+Parameter!$H$6+Parameter!$H$7))-(BI1758-BD1758))/BD1758)))</f>
        <v>0</v>
      </c>
      <c r="BK1758" s="60" t="str">
        <f aca="false">IF(AJ1758&lt;=0,"",IF(CG1758="Aussen","Aussenlager",IF(CG1758="-","Nicht im Lift",IF(AP1758&gt;=1,"Lift",IF(AP1758&lt;=0,"Aussenlager","teilweise")))))</f>
        <v/>
      </c>
      <c r="BL1758" s="60" t="str">
        <f aca="false">IF(AT1758&lt;=0,"",IF(CG1758="Aussen","Aussenlager",IF(CG1758="-","Nicht im Lift",IF(AZ1758&gt;=1,"Lift",IF(AZ1758&lt;=0,"Aussenlager","teilweise")))))</f>
        <v/>
      </c>
      <c r="BM1758" s="60" t="str">
        <f aca="false">IF(BD1758&lt;=0,"",IF(CG1758="Aussen","Aussenlager",IF(CG1758="-","Nicht im Lift",IF(BJ1758&gt;=1,"Lift",IF(BJ1758&lt;=0,"Aussenlager","teilweise")))))</f>
        <v/>
      </c>
      <c r="BN1758" s="60" t="str">
        <f aca="false">IF(A1758="","",IF(BW1758=1,"Neu; ","")&amp;IF(AND(BW1758=0,BR1758&lt;0),"negativer Bestand (Export "&amp;BR1758&amp;"); ","")&amp;IF(J1758&lt;=0,"Kein Verbrauch; ","")&amp;IF(CR1758&gt;0,"Lift "&amp;W1758&amp;" lt. Liftbericht (Fach "&amp;X1758&amp;" Stk); ",IF(CB1758=1,"Gebinde geschätzt ("&amp;T1758&amp;"); ",IF(CA1758=1,"Lose – Tablare geschätzt; ","")))&amp;IF(H1758&gt;AW1758,"Überbestand "&amp;ROUND(H1758-AW1758,0)&amp;" Stk / CHF "&amp;ROUND((H1758-AW1758)*G1758,0)&amp;"; ","")&amp;IF(AND(CI1758=1,CJ1758&lt;CK1758),"MAX &lt; MB+LG; ","")&amp;IF(AND(CQ1758&gt;0,CP1758*10&gt;CQ1758),"zu hoch für Tablar; ","")&amp;IF(AND(BW1758=0,OR(CI1758=1,AB1758&lt;&gt;"",U1758&lt;&gt;"",V1758&lt;&gt;"",AC1758&lt;&gt;"")),"manuell übersteuert; ","")&amp;IF(AND(CA1758=0,R1758=0),"Gebinde unbekannt / Stellmass fehlt; ","")&amp;IF(AND(CA1758=0,N(V1758)&lt;=0,N(Q1758)&lt;=0),"Menge pro Gebinde fehlt (Ist = 1 Gebinde); ","")&amp;BV1758)</f>
        <v/>
      </c>
      <c r="BO1758" s="60"/>
      <c r="BP1758" s="60"/>
      <c r="BQ1758" s="67"/>
      <c r="BR1758" s="62" t="n">
        <f aca="false">N('Neue Artikel'!$D$19)</f>
        <v>0</v>
      </c>
      <c r="BS1758" s="62" t="n">
        <v>0</v>
      </c>
      <c r="BT1758" s="61" t="n">
        <v>0</v>
      </c>
      <c r="BU1758" s="62" t="n">
        <f aca="false">N('Neue Artikel'!$C$19)/Parameter!$B$18</f>
        <v>0</v>
      </c>
      <c r="BV1758" s="60"/>
      <c r="BW1758" s="65" t="n">
        <v>1</v>
      </c>
      <c r="BX1758" s="65" t="n">
        <v>1758</v>
      </c>
      <c r="BY1758" s="60" t="str">
        <f aca="false">IF(U1758&lt;&gt;"",UPPER(TRIM(U1758)),IF(CB1758=1,UPPER(VLOOKUP(T1758,Parameter!$I$27:$K$29,2,0)),IF(P1758="","LOSE",P1758)))</f>
        <v>LOSE</v>
      </c>
      <c r="BZ1758" s="62" t="n">
        <f aca="false">IF(BY1758="LOSE",1,IF(N(V1758)&gt;0,V1758,IF(CB1758=1,MAX(1,N(VLOOKUP(T1758,Parameter!$I$27:$K$29,3,0)),H1758,N(N1758)),IF(N(Q1758)&gt;0,Q1758,MAX(1,H1758)))))</f>
        <v>1</v>
      </c>
      <c r="CA1758" s="65" t="n">
        <f aca="false">IF(BY1758="LOSE",1,0)</f>
        <v>1</v>
      </c>
      <c r="CB1758" s="65" t="n">
        <f aca="false">IF(AND(U1758="",OR(P1758="",P1758="LOSE"),T1758&lt;&gt;"",N(S1758)&lt;=0,ISNUMBER(MATCH(T1758,Parameter!$I$27:$I$29,0))),1,0)</f>
        <v>0</v>
      </c>
      <c r="CC1758" s="65" t="n">
        <f aca="false">IF(CR1758&gt;0,INDEX(Parameter!$H$5:$H$7,W1758)/INDEX(Parameter!$E$5:$E$7,W1758),IF(AND(CA1758=0,N(IFERROR(VLOOKUP(BY1758,'Gebinde-Kategorie'!$A$5:$N$45,14,0),0))&gt;0),VLOOKUP(BY1758,'Gebinde-Kategorie'!$A$5:$N$45,14,0)*10+Parameter!$M$23,Parameter!$M$24))</f>
        <v>235</v>
      </c>
      <c r="CD1758" s="60" t="str">
        <f aca="false">IF(AND(Parameter!$B$19="Ja",E1758&lt;&gt;"",ISNUMBER(MATCH(E1758,Parameter!$I$35:$I$52,0))),VLOOKUP(E1758,Parameter!$I$35:$J$52,2,0),IFERROR(VLOOKUP(D1758,Parameter!$A$35:$C$64,2,0),"Nein"))</f>
        <v>2+3</v>
      </c>
      <c r="CE1758" s="64" t="n">
        <f aca="false">IF(CA1758=0,0,IF(N(S1758)&gt;0,S1758,IFERROR(VLOOKUP(D1758,Parameter!$A$35:$C$64,3,0)+0,0)))</f>
        <v>0.15</v>
      </c>
      <c r="CF1758" s="60" t="str">
        <f aca="false">IF(AB1758&lt;&gt;"",AB1758,AA1758)</f>
        <v/>
      </c>
      <c r="CG1758" s="60" t="str">
        <f aca="false">IF(OR(CF1758=1,CF1758=2,CF1758=3),IF(Parameter!$E$27="Ja","LIFT",IF(CF1758=1,"L1","L23")),IF(CF1758="Aussen","Aussen","-"))</f>
        <v>-</v>
      </c>
      <c r="CH1758" s="71" t="n">
        <f aca="false">IF(N(AC1758)&gt;0,AC1758,0)</f>
        <v>0</v>
      </c>
      <c r="CI1758" s="65" t="n">
        <f aca="false">IF(ISNUMBER(AF1758),1,0)</f>
        <v>0</v>
      </c>
      <c r="CJ1758" s="62" t="n">
        <f aca="false">N(AF1758)</f>
        <v>0</v>
      </c>
      <c r="CK1758" s="62" t="n">
        <f aca="false">N(M1758)+N(N1758)</f>
        <v>0</v>
      </c>
      <c r="CL1758" s="62" t="n">
        <f aca="false">N(M1758)</f>
        <v>0</v>
      </c>
      <c r="CM1758" s="62" t="n">
        <f aca="false">N(N1758)</f>
        <v>0</v>
      </c>
      <c r="CN1758" s="62" t="n">
        <f aca="false">ROUNDUP(H1758/BZ1758,0)</f>
        <v>0</v>
      </c>
      <c r="CO1758" s="62" t="n">
        <f aca="false">ROUNDUP(CJ1758/BZ1758,0)</f>
        <v>0</v>
      </c>
      <c r="CP1758" s="65" t="n">
        <f aca="false">IF(CA1758=1,0,IFERROR(VLOOKUP(BY1758,'Gebinde-Kategorie'!$A$5:$N$45,5,0)+0,0))</f>
        <v>0</v>
      </c>
      <c r="CQ1758" s="65" t="n">
        <f aca="false">IFERROR(IF(OR(CF1758=1,CF1758=2,CF1758=3),N(INDEX(Parameter!$I$5:$I$7,CF1758)),0),0)</f>
        <v>0</v>
      </c>
      <c r="CR1758" s="64" t="n">
        <f aca="false">IF(AND(Parameter!$B$21="Ja",ISNUMBER(W1758),N(X1758)&gt;0),IFERROR(N(INDEX(Parameter!$L$5:$L$7,W1758))*INDEX(Parameter!$E$5:$E$7,W1758)*X1758/SUMIFS($X$7:$X$1843,$W$7:$W$1843,W1758),0),0)</f>
        <v>0</v>
      </c>
      <c r="CS1758" s="62" t="str">
        <f aca="false">IF(AND(OR(CG1758="L1",CG1758="L23",CG1758="LIFT"),H1758&gt;0),CC1758*IF(CR1758&gt;0,CR1758*MAX(1,H1758/X1758),IF(CA1758=1,CE1758,IF(R1758&gt;0,CN1758/R1758,0))/MAX(0.1,N(Parameter!$M$21))),"")</f>
        <v/>
      </c>
      <c r="CT1758" s="64" t="str">
        <f aca="false">IF(CS1758="","",J1758/H1758)</f>
        <v/>
      </c>
      <c r="CU1758" s="62" t="str">
        <f aca="false">IF(CS1758="","",H1758*G1758)</f>
        <v/>
      </c>
      <c r="CV1758" s="63" t="str">
        <f aca="false">IF(CS1758="","",(CL1758+ROUNDUP(CL1758+MAX(CM1758,2*(J1758/MAX(0.1,N(Einkauf!$C$6))-CL1758)),0))/2)</f>
        <v/>
      </c>
      <c r="CW1758" s="62" t="str">
        <f aca="false">IF(CS1758="","",MAX(0,H1758-CV1758)*G1758)</f>
        <v/>
      </c>
      <c r="CX1758" s="62" t="str">
        <f aca="false">IF(CS1758="","",CS1758*MAX(0,1-CV1758/H1758))</f>
        <v/>
      </c>
      <c r="CY1758" s="64" t="str">
        <f aca="false">IF(CS1758="","",PERCENTRANK($CS$7:$CS$1843,CS1758)+PERCENTRANK($CU$7:$CU$1843,CU1758)+1-PERCENTRANK($CT$7:$CT$1843,CT1758))</f>
        <v/>
      </c>
      <c r="CZ1758" s="72" t="str">
        <f aca="false">IF(CS1758="","",CHOOSE(MATCH(Einkauf!$C$5,Parameter!$G$23:$G$27,0),CY1758,CS1758,CU1758,-CT1758,CW1758)+ROW()/1000000000)</f>
        <v/>
      </c>
    </row>
    <row r="1759" customFormat="false" ht="15" hidden="false" customHeight="false" outlineLevel="0" collapsed="false">
      <c r="A1759" s="60" t="str">
        <f aca="false">IF('Neue Artikel'!$A$20="","",'Neue Artikel'!$A$20&amp;"")</f>
        <v/>
      </c>
      <c r="B1759" s="60" t="str">
        <f aca="false">'Neue Artikel'!$B$20&amp;""</f>
        <v/>
      </c>
      <c r="C1759" s="60"/>
      <c r="D1759" s="60" t="s">
        <v>3057</v>
      </c>
      <c r="E1759" s="60"/>
      <c r="F1759" s="60"/>
      <c r="G1759" s="61" t="n">
        <f aca="false">N('Neue Artikel'!$G$20)</f>
        <v>0</v>
      </c>
      <c r="H1759" s="62" t="n">
        <f aca="false">MAX(0,IF(AND(Parameter!$B$21="Ja",ISNUMBER(Y1759)),Y1759,IF(Parameter!$B$20="Jahresanfang 2025 + Export",BS1759+BR1759,BR1759)))</f>
        <v>0</v>
      </c>
      <c r="I1759" s="62" t="n">
        <f aca="false">H1759*G1759</f>
        <v>0</v>
      </c>
      <c r="J1759" s="62" t="n">
        <f aca="false">BU1759*Parameter!$B$18</f>
        <v>0</v>
      </c>
      <c r="K1759" s="63"/>
      <c r="L1759" s="64"/>
      <c r="M1759" s="62" t="n">
        <f aca="false">N('Neue Artikel'!$E$20)</f>
        <v>0</v>
      </c>
      <c r="N1759" s="62" t="n">
        <f aca="false">N('Neue Artikel'!$F$20)</f>
        <v>0</v>
      </c>
      <c r="O1759" s="65"/>
      <c r="P1759" s="60" t="str">
        <f aca="false">IF('Neue Artikel'!$H$20="","LOSE",UPPER(TRIM('Neue Artikel'!$H$20)))</f>
        <v>LOSE</v>
      </c>
      <c r="Q1759" s="62" t="n">
        <f aca="false">N('Neue Artikel'!$I$20)</f>
        <v>0</v>
      </c>
      <c r="R1759" s="65" t="n">
        <f aca="false">IF(CA1759=1,0,IFERROR(VLOOKUP(BY1759,'Gebinde-Kategorie'!$A$5:$N$45,13,0)+0,0))</f>
        <v>0</v>
      </c>
      <c r="S1759" s="66"/>
      <c r="T1759" s="67"/>
      <c r="U1759" s="67"/>
      <c r="V1759" s="67"/>
      <c r="W1759" s="60"/>
      <c r="X1759" s="62"/>
      <c r="Y1759" s="62"/>
      <c r="Z1759" s="60"/>
      <c r="AA1759" s="60" t="str">
        <f aca="false">IF(A1759="","",IF(AND(Parameter!$B$21="Ja",ISNUMBER(W1759)),W1759,IF(AND(Parameter!$E$27="Ja",ISNUMBER(Z1759),CD1759&lt;&gt;"Nein"),Z1759,IF(CD1759="2+3",IF(ISNUMBER(SEARCH("grosser Artikel",BV1759)),2,IFERROR(VLOOKUP(BY1759,Parameter!$F$35:$G$64,2,0),2)),IF(OR(CD1759="Nein",CD1759=""),"-",CD1759)))))</f>
        <v/>
      </c>
      <c r="AB1759" s="60" t="str">
        <f aca="false">IF('Neue Artikel'!$J$20="","",'Neue Artikel'!$J$20)</f>
        <v/>
      </c>
      <c r="AC1759" s="68"/>
      <c r="AD1759" s="62" t="n">
        <f aca="false">AW1759</f>
        <v>0</v>
      </c>
      <c r="AE1759" s="62" t="n">
        <f aca="false">MAX(AW1759,H1759)</f>
        <v>0</v>
      </c>
      <c r="AF1759" s="69"/>
      <c r="AG1759" s="62" t="n">
        <f aca="false">IF(LEFT(Cockpit!$C$5,1)="A",H1759,IF(Parameter!$E$30="MAX-Bestand",IF(CI1759=1,CJ1759,IF(LEFT(Cockpit!$C$5,1)="B",AM1759,MAX(AM1759,H1759))),ROUNDUP(AK1759,0)))</f>
        <v>0</v>
      </c>
      <c r="AH1759" s="62" t="n">
        <f aca="false">IF(CA1759=1,0,ROUNDUP(AG1759/BZ1759,0))</f>
        <v>0</v>
      </c>
      <c r="AI1759" s="64" t="n">
        <f aca="false">IF(CR1759&gt;0,CR1759*MAX(1,AG1759/X1759),IF(CA1759=1,IF(AG1759&lt;=0,0,CE1759*MAX(1,IF(H1759&gt;0,AG1759/H1759,1))),IF(R1759&gt;0,AH1759/R1759,0))/MAX(0.1,N(Parameter!$M$21)))</f>
        <v>0</v>
      </c>
      <c r="AJ1759" s="62" t="n">
        <f aca="false">AI1759*CC1759</f>
        <v>0</v>
      </c>
      <c r="AK1759" s="63" t="n">
        <f aca="false">IF(LEFT(Cockpit!$C$5,1)="A",H1759,IF(CI1759=1,(CL1759+CJ1759)/2,IF(LEFT(Cockpit!$C$5,1)="B",(CL1759+AM1759)/2,MAX((CL1759+AM1759)/2,H1759))))</f>
        <v>0</v>
      </c>
      <c r="AL1759" s="62" t="n">
        <f aca="false">AK1759*G1759</f>
        <v>0</v>
      </c>
      <c r="AM1759" s="62" t="n">
        <f aca="false">ROUNDUP(CL1759+MAX(CM1759,2*(J1759/IF(CH1759&gt;0,CH1759,MAX(0.1,N(Cockpit!$C$6)))-CL1759)),0)</f>
        <v>0</v>
      </c>
      <c r="AN1759" s="63" t="n">
        <f aca="false">IF(AJ1759&gt;0,J1759/AJ1759,-1)</f>
        <v>-1</v>
      </c>
      <c r="AO1759" s="63" t="str">
        <f aca="false">IF(AND(OR(CG1759="L1",CG1759="L23",CG1759="LIFT"),AJ1759&gt;0),SUMIFS($AJ$7:$AJ$1843,$CG$7:$CG$1843,CG1759,$AN$7:$AN$1843,"&gt;"&amp;AN1759)+SUMIFS($AJ$7:$AJ$1843,$CG$7:$CG$1843,CG1759,$AN$7:$AN$1843,AN1759,$BX$7:$BX$1843,"&lt;="&amp;BX1759),"")</f>
        <v/>
      </c>
      <c r="AP1759" s="70" t="n">
        <f aca="false">IF(AO1759="",0,MAX(0,MIN(1,(IF(CG1759="L1",Parameter!$H$5,IF(CG1759="L23",Parameter!$H$6+Parameter!$H$7,Parameter!$H$5+Parameter!$H$6+Parameter!$H$7))-(AO1759-AJ1759))/AJ1759)))</f>
        <v>0</v>
      </c>
      <c r="AQ1759" s="62" t="n">
        <f aca="false">IF(LEFT(Cockpit!$I$5,1)="A",H1759,IF(Parameter!$E$30="MAX-Bestand",IF(CI1759=1,CJ1759,IF(LEFT(Cockpit!$I$5,1)="B",AW1759,MAX(AW1759,H1759))),ROUNDUP(AU1759,0)))</f>
        <v>0</v>
      </c>
      <c r="AR1759" s="62" t="n">
        <f aca="false">IF(CA1759=1,0,ROUNDUP(AQ1759/BZ1759,0))</f>
        <v>0</v>
      </c>
      <c r="AS1759" s="64" t="n">
        <f aca="false">IF(CR1759&gt;0,CR1759*MAX(1,AQ1759/X1759),IF(CA1759=1,IF(AQ1759&lt;=0,0,CE1759*MAX(1,IF(H1759&gt;0,AQ1759/H1759,1))),IF(R1759&gt;0,AR1759/R1759,0))/MAX(0.1,N(Parameter!$M$21)))</f>
        <v>0</v>
      </c>
      <c r="AT1759" s="62" t="n">
        <f aca="false">AS1759*CC1759</f>
        <v>0</v>
      </c>
      <c r="AU1759" s="63" t="n">
        <f aca="false">IF(LEFT(Cockpit!$I$5,1)="A",H1759,IF(CI1759=1,(CL1759+CJ1759)/2,IF(LEFT(Cockpit!$I$5,1)="B",(CL1759+AW1759)/2,MAX((CL1759+AW1759)/2,H1759))))</f>
        <v>0</v>
      </c>
      <c r="AV1759" s="62" t="n">
        <f aca="false">AU1759*G1759</f>
        <v>0</v>
      </c>
      <c r="AW1759" s="62" t="n">
        <f aca="false">ROUNDUP(CL1759+MAX(CM1759,2*(J1759/IF(CH1759&gt;0,CH1759,MAX(0.1,N(Cockpit!$I$6)))-CL1759)),0)</f>
        <v>0</v>
      </c>
      <c r="AX1759" s="63" t="n">
        <f aca="false">IF(AT1759&gt;0,J1759/AT1759,-1)</f>
        <v>-1</v>
      </c>
      <c r="AY1759" s="63" t="str">
        <f aca="false">IF(AND(OR(CG1759="L1",CG1759="L23",CG1759="LIFT"),AT1759&gt;0),SUMIFS($AT$7:$AT$1843,$CG$7:$CG$1843,CG1759,$AX$7:$AX$1843,"&gt;"&amp;AX1759)+SUMIFS($AT$7:$AT$1843,$CG$7:$CG$1843,CG1759,$AX$7:$AX$1843,AX1759,$BX$7:$BX$1843,"&lt;="&amp;BX1759),"")</f>
        <v/>
      </c>
      <c r="AZ1759" s="70" t="n">
        <f aca="false">IF(AY1759="",0,MAX(0,MIN(1,(IF(CG1759="L1",Parameter!$H$5,IF(CG1759="L23",Parameter!$H$6+Parameter!$H$7,Parameter!$H$5+Parameter!$H$6+Parameter!$H$7))-(AY1759-AT1759))/AT1759)))</f>
        <v>0</v>
      </c>
      <c r="BA1759" s="62" t="n">
        <f aca="false">IF(LEFT(Cockpit!$O$5,1)="A",H1759,IF(Parameter!$E$30="MAX-Bestand",IF(CI1759=1,CJ1759,IF(LEFT(Cockpit!$O$5,1)="B",BG1759,MAX(BG1759,H1759))),ROUNDUP(BE1759,0)))</f>
        <v>0</v>
      </c>
      <c r="BB1759" s="62" t="n">
        <f aca="false">IF(CA1759=1,0,ROUNDUP(BA1759/BZ1759,0))</f>
        <v>0</v>
      </c>
      <c r="BC1759" s="64" t="n">
        <f aca="false">IF(CR1759&gt;0,CR1759*MAX(1,BA1759/X1759),IF(CA1759=1,IF(BA1759&lt;=0,0,CE1759*MAX(1,IF(H1759&gt;0,BA1759/H1759,1))),IF(R1759&gt;0,BB1759/R1759,0))/MAX(0.1,N(Parameter!$M$21)))</f>
        <v>0</v>
      </c>
      <c r="BD1759" s="62" t="n">
        <f aca="false">BC1759*CC1759</f>
        <v>0</v>
      </c>
      <c r="BE1759" s="63" t="n">
        <f aca="false">IF(LEFT(Cockpit!$O$5,1)="A",H1759,IF(CI1759=1,(CL1759+CJ1759)/2,IF(LEFT(Cockpit!$O$5,1)="B",(CL1759+BG1759)/2,MAX((CL1759+BG1759)/2,H1759))))</f>
        <v>0</v>
      </c>
      <c r="BF1759" s="62" t="n">
        <f aca="false">BE1759*G1759</f>
        <v>0</v>
      </c>
      <c r="BG1759" s="62" t="n">
        <f aca="false">ROUNDUP(CL1759+MAX(CM1759,2*(J1759/IF(CH1759&gt;0,CH1759,MAX(0.1,N(Cockpit!$O$6)))-CL1759)),0)</f>
        <v>0</v>
      </c>
      <c r="BH1759" s="63" t="n">
        <f aca="false">IF(BD1759&gt;0,J1759/BD1759,-1)</f>
        <v>-1</v>
      </c>
      <c r="BI1759" s="63" t="str">
        <f aca="false">IF(AND(OR(CG1759="L1",CG1759="L23",CG1759="LIFT"),BD1759&gt;0),SUMIFS($BD$7:$BD$1843,$CG$7:$CG$1843,CG1759,$BH$7:$BH$1843,"&gt;"&amp;BH1759)+SUMIFS($BD$7:$BD$1843,$CG$7:$CG$1843,CG1759,$BH$7:$BH$1843,BH1759,$BX$7:$BX$1843,"&lt;="&amp;BX1759),"")</f>
        <v/>
      </c>
      <c r="BJ1759" s="70" t="n">
        <f aca="false">IF(BI1759="",0,MAX(0,MIN(1,(IF(CG1759="L1",Parameter!$H$5,IF(CG1759="L23",Parameter!$H$6+Parameter!$H$7,Parameter!$H$5+Parameter!$H$6+Parameter!$H$7))-(BI1759-BD1759))/BD1759)))</f>
        <v>0</v>
      </c>
      <c r="BK1759" s="60" t="str">
        <f aca="false">IF(AJ1759&lt;=0,"",IF(CG1759="Aussen","Aussenlager",IF(CG1759="-","Nicht im Lift",IF(AP1759&gt;=1,"Lift",IF(AP1759&lt;=0,"Aussenlager","teilweise")))))</f>
        <v/>
      </c>
      <c r="BL1759" s="60" t="str">
        <f aca="false">IF(AT1759&lt;=0,"",IF(CG1759="Aussen","Aussenlager",IF(CG1759="-","Nicht im Lift",IF(AZ1759&gt;=1,"Lift",IF(AZ1759&lt;=0,"Aussenlager","teilweise")))))</f>
        <v/>
      </c>
      <c r="BM1759" s="60" t="str">
        <f aca="false">IF(BD1759&lt;=0,"",IF(CG1759="Aussen","Aussenlager",IF(CG1759="-","Nicht im Lift",IF(BJ1759&gt;=1,"Lift",IF(BJ1759&lt;=0,"Aussenlager","teilweise")))))</f>
        <v/>
      </c>
      <c r="BN1759" s="60" t="str">
        <f aca="false">IF(A1759="","",IF(BW1759=1,"Neu; ","")&amp;IF(AND(BW1759=0,BR1759&lt;0),"negativer Bestand (Export "&amp;BR1759&amp;"); ","")&amp;IF(J1759&lt;=0,"Kein Verbrauch; ","")&amp;IF(CR1759&gt;0,"Lift "&amp;W1759&amp;" lt. Liftbericht (Fach "&amp;X1759&amp;" Stk); ",IF(CB1759=1,"Gebinde geschätzt ("&amp;T1759&amp;"); ",IF(CA1759=1,"Lose – Tablare geschätzt; ","")))&amp;IF(H1759&gt;AW1759,"Überbestand "&amp;ROUND(H1759-AW1759,0)&amp;" Stk / CHF "&amp;ROUND((H1759-AW1759)*G1759,0)&amp;"; ","")&amp;IF(AND(CI1759=1,CJ1759&lt;CK1759),"MAX &lt; MB+LG; ","")&amp;IF(AND(CQ1759&gt;0,CP1759*10&gt;CQ1759),"zu hoch für Tablar; ","")&amp;IF(AND(BW1759=0,OR(CI1759=1,AB1759&lt;&gt;"",U1759&lt;&gt;"",V1759&lt;&gt;"",AC1759&lt;&gt;"")),"manuell übersteuert; ","")&amp;IF(AND(CA1759=0,R1759=0),"Gebinde unbekannt / Stellmass fehlt; ","")&amp;IF(AND(CA1759=0,N(V1759)&lt;=0,N(Q1759)&lt;=0),"Menge pro Gebinde fehlt (Ist = 1 Gebinde); ","")&amp;BV1759)</f>
        <v/>
      </c>
      <c r="BO1759" s="60"/>
      <c r="BP1759" s="60"/>
      <c r="BQ1759" s="67"/>
      <c r="BR1759" s="62" t="n">
        <f aca="false">N('Neue Artikel'!$D$20)</f>
        <v>0</v>
      </c>
      <c r="BS1759" s="62" t="n">
        <v>0</v>
      </c>
      <c r="BT1759" s="61" t="n">
        <v>0</v>
      </c>
      <c r="BU1759" s="62" t="n">
        <f aca="false">N('Neue Artikel'!$C$20)/Parameter!$B$18</f>
        <v>0</v>
      </c>
      <c r="BV1759" s="60"/>
      <c r="BW1759" s="65" t="n">
        <v>1</v>
      </c>
      <c r="BX1759" s="65" t="n">
        <v>1759</v>
      </c>
      <c r="BY1759" s="60" t="str">
        <f aca="false">IF(U1759&lt;&gt;"",UPPER(TRIM(U1759)),IF(CB1759=1,UPPER(VLOOKUP(T1759,Parameter!$I$27:$K$29,2,0)),IF(P1759="","LOSE",P1759)))</f>
        <v>LOSE</v>
      </c>
      <c r="BZ1759" s="62" t="n">
        <f aca="false">IF(BY1759="LOSE",1,IF(N(V1759)&gt;0,V1759,IF(CB1759=1,MAX(1,N(VLOOKUP(T1759,Parameter!$I$27:$K$29,3,0)),H1759,N(N1759)),IF(N(Q1759)&gt;0,Q1759,MAX(1,H1759)))))</f>
        <v>1</v>
      </c>
      <c r="CA1759" s="65" t="n">
        <f aca="false">IF(BY1759="LOSE",1,0)</f>
        <v>1</v>
      </c>
      <c r="CB1759" s="65" t="n">
        <f aca="false">IF(AND(U1759="",OR(P1759="",P1759="LOSE"),T1759&lt;&gt;"",N(S1759)&lt;=0,ISNUMBER(MATCH(T1759,Parameter!$I$27:$I$29,0))),1,0)</f>
        <v>0</v>
      </c>
      <c r="CC1759" s="65" t="n">
        <f aca="false">IF(CR1759&gt;0,INDEX(Parameter!$H$5:$H$7,W1759)/INDEX(Parameter!$E$5:$E$7,W1759),IF(AND(CA1759=0,N(IFERROR(VLOOKUP(BY1759,'Gebinde-Kategorie'!$A$5:$N$45,14,0),0))&gt;0),VLOOKUP(BY1759,'Gebinde-Kategorie'!$A$5:$N$45,14,0)*10+Parameter!$M$23,Parameter!$M$24))</f>
        <v>235</v>
      </c>
      <c r="CD1759" s="60" t="str">
        <f aca="false">IF(AND(Parameter!$B$19="Ja",E1759&lt;&gt;"",ISNUMBER(MATCH(E1759,Parameter!$I$35:$I$52,0))),VLOOKUP(E1759,Parameter!$I$35:$J$52,2,0),IFERROR(VLOOKUP(D1759,Parameter!$A$35:$C$64,2,0),"Nein"))</f>
        <v>2+3</v>
      </c>
      <c r="CE1759" s="64" t="n">
        <f aca="false">IF(CA1759=0,0,IF(N(S1759)&gt;0,S1759,IFERROR(VLOOKUP(D1759,Parameter!$A$35:$C$64,3,0)+0,0)))</f>
        <v>0.15</v>
      </c>
      <c r="CF1759" s="60" t="str">
        <f aca="false">IF(AB1759&lt;&gt;"",AB1759,AA1759)</f>
        <v/>
      </c>
      <c r="CG1759" s="60" t="str">
        <f aca="false">IF(OR(CF1759=1,CF1759=2,CF1759=3),IF(Parameter!$E$27="Ja","LIFT",IF(CF1759=1,"L1","L23")),IF(CF1759="Aussen","Aussen","-"))</f>
        <v>-</v>
      </c>
      <c r="CH1759" s="71" t="n">
        <f aca="false">IF(N(AC1759)&gt;0,AC1759,0)</f>
        <v>0</v>
      </c>
      <c r="CI1759" s="65" t="n">
        <f aca="false">IF(ISNUMBER(AF1759),1,0)</f>
        <v>0</v>
      </c>
      <c r="CJ1759" s="62" t="n">
        <f aca="false">N(AF1759)</f>
        <v>0</v>
      </c>
      <c r="CK1759" s="62" t="n">
        <f aca="false">N(M1759)+N(N1759)</f>
        <v>0</v>
      </c>
      <c r="CL1759" s="62" t="n">
        <f aca="false">N(M1759)</f>
        <v>0</v>
      </c>
      <c r="CM1759" s="62" t="n">
        <f aca="false">N(N1759)</f>
        <v>0</v>
      </c>
      <c r="CN1759" s="62" t="n">
        <f aca="false">ROUNDUP(H1759/BZ1759,0)</f>
        <v>0</v>
      </c>
      <c r="CO1759" s="62" t="n">
        <f aca="false">ROUNDUP(CJ1759/BZ1759,0)</f>
        <v>0</v>
      </c>
      <c r="CP1759" s="65" t="n">
        <f aca="false">IF(CA1759=1,0,IFERROR(VLOOKUP(BY1759,'Gebinde-Kategorie'!$A$5:$N$45,5,0)+0,0))</f>
        <v>0</v>
      </c>
      <c r="CQ1759" s="65" t="n">
        <f aca="false">IFERROR(IF(OR(CF1759=1,CF1759=2,CF1759=3),N(INDEX(Parameter!$I$5:$I$7,CF1759)),0),0)</f>
        <v>0</v>
      </c>
      <c r="CR1759" s="64" t="n">
        <f aca="false">IF(AND(Parameter!$B$21="Ja",ISNUMBER(W1759),N(X1759)&gt;0),IFERROR(N(INDEX(Parameter!$L$5:$L$7,W1759))*INDEX(Parameter!$E$5:$E$7,W1759)*X1759/SUMIFS($X$7:$X$1843,$W$7:$W$1843,W1759),0),0)</f>
        <v>0</v>
      </c>
      <c r="CS1759" s="62" t="str">
        <f aca="false">IF(AND(OR(CG1759="L1",CG1759="L23",CG1759="LIFT"),H1759&gt;0),CC1759*IF(CR1759&gt;0,CR1759*MAX(1,H1759/X1759),IF(CA1759=1,CE1759,IF(R1759&gt;0,CN1759/R1759,0))/MAX(0.1,N(Parameter!$M$21))),"")</f>
        <v/>
      </c>
      <c r="CT1759" s="64" t="str">
        <f aca="false">IF(CS1759="","",J1759/H1759)</f>
        <v/>
      </c>
      <c r="CU1759" s="62" t="str">
        <f aca="false">IF(CS1759="","",H1759*G1759)</f>
        <v/>
      </c>
      <c r="CV1759" s="63" t="str">
        <f aca="false">IF(CS1759="","",(CL1759+ROUNDUP(CL1759+MAX(CM1759,2*(J1759/MAX(0.1,N(Einkauf!$C$6))-CL1759)),0))/2)</f>
        <v/>
      </c>
      <c r="CW1759" s="62" t="str">
        <f aca="false">IF(CS1759="","",MAX(0,H1759-CV1759)*G1759)</f>
        <v/>
      </c>
      <c r="CX1759" s="62" t="str">
        <f aca="false">IF(CS1759="","",CS1759*MAX(0,1-CV1759/H1759))</f>
        <v/>
      </c>
      <c r="CY1759" s="64" t="str">
        <f aca="false">IF(CS1759="","",PERCENTRANK($CS$7:$CS$1843,CS1759)+PERCENTRANK($CU$7:$CU$1843,CU1759)+1-PERCENTRANK($CT$7:$CT$1843,CT1759))</f>
        <v/>
      </c>
      <c r="CZ1759" s="72" t="str">
        <f aca="false">IF(CS1759="","",CHOOSE(MATCH(Einkauf!$C$5,Parameter!$G$23:$G$27,0),CY1759,CS1759,CU1759,-CT1759,CW1759)+ROW()/1000000000)</f>
        <v/>
      </c>
    </row>
    <row r="1760" customFormat="false" ht="15" hidden="false" customHeight="false" outlineLevel="0" collapsed="false">
      <c r="A1760" s="60" t="str">
        <f aca="false">IF('Neue Artikel'!$A$21="","",'Neue Artikel'!$A$21&amp;"")</f>
        <v/>
      </c>
      <c r="B1760" s="60" t="str">
        <f aca="false">'Neue Artikel'!$B$21&amp;""</f>
        <v/>
      </c>
      <c r="C1760" s="60"/>
      <c r="D1760" s="60" t="s">
        <v>3057</v>
      </c>
      <c r="E1760" s="60"/>
      <c r="F1760" s="60"/>
      <c r="G1760" s="61" t="n">
        <f aca="false">N('Neue Artikel'!$G$21)</f>
        <v>0</v>
      </c>
      <c r="H1760" s="62" t="n">
        <f aca="false">MAX(0,IF(AND(Parameter!$B$21="Ja",ISNUMBER(Y1760)),Y1760,IF(Parameter!$B$20="Jahresanfang 2025 + Export",BS1760+BR1760,BR1760)))</f>
        <v>0</v>
      </c>
      <c r="I1760" s="62" t="n">
        <f aca="false">H1760*G1760</f>
        <v>0</v>
      </c>
      <c r="J1760" s="62" t="n">
        <f aca="false">BU1760*Parameter!$B$18</f>
        <v>0</v>
      </c>
      <c r="K1760" s="63"/>
      <c r="L1760" s="64"/>
      <c r="M1760" s="62" t="n">
        <f aca="false">N('Neue Artikel'!$E$21)</f>
        <v>0</v>
      </c>
      <c r="N1760" s="62" t="n">
        <f aca="false">N('Neue Artikel'!$F$21)</f>
        <v>0</v>
      </c>
      <c r="O1760" s="65"/>
      <c r="P1760" s="60" t="str">
        <f aca="false">IF('Neue Artikel'!$H$21="","LOSE",UPPER(TRIM('Neue Artikel'!$H$21)))</f>
        <v>LOSE</v>
      </c>
      <c r="Q1760" s="62" t="n">
        <f aca="false">N('Neue Artikel'!$I$21)</f>
        <v>0</v>
      </c>
      <c r="R1760" s="65" t="n">
        <f aca="false">IF(CA1760=1,0,IFERROR(VLOOKUP(BY1760,'Gebinde-Kategorie'!$A$5:$N$45,13,0)+0,0))</f>
        <v>0</v>
      </c>
      <c r="S1760" s="66"/>
      <c r="T1760" s="67"/>
      <c r="U1760" s="67"/>
      <c r="V1760" s="67"/>
      <c r="W1760" s="60"/>
      <c r="X1760" s="62"/>
      <c r="Y1760" s="62"/>
      <c r="Z1760" s="60"/>
      <c r="AA1760" s="60" t="str">
        <f aca="false">IF(A1760="","",IF(AND(Parameter!$B$21="Ja",ISNUMBER(W1760)),W1760,IF(AND(Parameter!$E$27="Ja",ISNUMBER(Z1760),CD1760&lt;&gt;"Nein"),Z1760,IF(CD1760="2+3",IF(ISNUMBER(SEARCH("grosser Artikel",BV1760)),2,IFERROR(VLOOKUP(BY1760,Parameter!$F$35:$G$64,2,0),2)),IF(OR(CD1760="Nein",CD1760=""),"-",CD1760)))))</f>
        <v/>
      </c>
      <c r="AB1760" s="60" t="str">
        <f aca="false">IF('Neue Artikel'!$J$21="","",'Neue Artikel'!$J$21)</f>
        <v/>
      </c>
      <c r="AC1760" s="68"/>
      <c r="AD1760" s="62" t="n">
        <f aca="false">AW1760</f>
        <v>0</v>
      </c>
      <c r="AE1760" s="62" t="n">
        <f aca="false">MAX(AW1760,H1760)</f>
        <v>0</v>
      </c>
      <c r="AF1760" s="69"/>
      <c r="AG1760" s="62" t="n">
        <f aca="false">IF(LEFT(Cockpit!$C$5,1)="A",H1760,IF(Parameter!$E$30="MAX-Bestand",IF(CI1760=1,CJ1760,IF(LEFT(Cockpit!$C$5,1)="B",AM1760,MAX(AM1760,H1760))),ROUNDUP(AK1760,0)))</f>
        <v>0</v>
      </c>
      <c r="AH1760" s="62" t="n">
        <f aca="false">IF(CA1760=1,0,ROUNDUP(AG1760/BZ1760,0))</f>
        <v>0</v>
      </c>
      <c r="AI1760" s="64" t="n">
        <f aca="false">IF(CR1760&gt;0,CR1760*MAX(1,AG1760/X1760),IF(CA1760=1,IF(AG1760&lt;=0,0,CE1760*MAX(1,IF(H1760&gt;0,AG1760/H1760,1))),IF(R1760&gt;0,AH1760/R1760,0))/MAX(0.1,N(Parameter!$M$21)))</f>
        <v>0</v>
      </c>
      <c r="AJ1760" s="62" t="n">
        <f aca="false">AI1760*CC1760</f>
        <v>0</v>
      </c>
      <c r="AK1760" s="63" t="n">
        <f aca="false">IF(LEFT(Cockpit!$C$5,1)="A",H1760,IF(CI1760=1,(CL1760+CJ1760)/2,IF(LEFT(Cockpit!$C$5,1)="B",(CL1760+AM1760)/2,MAX((CL1760+AM1760)/2,H1760))))</f>
        <v>0</v>
      </c>
      <c r="AL1760" s="62" t="n">
        <f aca="false">AK1760*G1760</f>
        <v>0</v>
      </c>
      <c r="AM1760" s="62" t="n">
        <f aca="false">ROUNDUP(CL1760+MAX(CM1760,2*(J1760/IF(CH1760&gt;0,CH1760,MAX(0.1,N(Cockpit!$C$6)))-CL1760)),0)</f>
        <v>0</v>
      </c>
      <c r="AN1760" s="63" t="n">
        <f aca="false">IF(AJ1760&gt;0,J1760/AJ1760,-1)</f>
        <v>-1</v>
      </c>
      <c r="AO1760" s="63" t="str">
        <f aca="false">IF(AND(OR(CG1760="L1",CG1760="L23",CG1760="LIFT"),AJ1760&gt;0),SUMIFS($AJ$7:$AJ$1843,$CG$7:$CG$1843,CG1760,$AN$7:$AN$1843,"&gt;"&amp;AN1760)+SUMIFS($AJ$7:$AJ$1843,$CG$7:$CG$1843,CG1760,$AN$7:$AN$1843,AN1760,$BX$7:$BX$1843,"&lt;="&amp;BX1760),"")</f>
        <v/>
      </c>
      <c r="AP1760" s="70" t="n">
        <f aca="false">IF(AO1760="",0,MAX(0,MIN(1,(IF(CG1760="L1",Parameter!$H$5,IF(CG1760="L23",Parameter!$H$6+Parameter!$H$7,Parameter!$H$5+Parameter!$H$6+Parameter!$H$7))-(AO1760-AJ1760))/AJ1760)))</f>
        <v>0</v>
      </c>
      <c r="AQ1760" s="62" t="n">
        <f aca="false">IF(LEFT(Cockpit!$I$5,1)="A",H1760,IF(Parameter!$E$30="MAX-Bestand",IF(CI1760=1,CJ1760,IF(LEFT(Cockpit!$I$5,1)="B",AW1760,MAX(AW1760,H1760))),ROUNDUP(AU1760,0)))</f>
        <v>0</v>
      </c>
      <c r="AR1760" s="62" t="n">
        <f aca="false">IF(CA1760=1,0,ROUNDUP(AQ1760/BZ1760,0))</f>
        <v>0</v>
      </c>
      <c r="AS1760" s="64" t="n">
        <f aca="false">IF(CR1760&gt;0,CR1760*MAX(1,AQ1760/X1760),IF(CA1760=1,IF(AQ1760&lt;=0,0,CE1760*MAX(1,IF(H1760&gt;0,AQ1760/H1760,1))),IF(R1760&gt;0,AR1760/R1760,0))/MAX(0.1,N(Parameter!$M$21)))</f>
        <v>0</v>
      </c>
      <c r="AT1760" s="62" t="n">
        <f aca="false">AS1760*CC1760</f>
        <v>0</v>
      </c>
      <c r="AU1760" s="63" t="n">
        <f aca="false">IF(LEFT(Cockpit!$I$5,1)="A",H1760,IF(CI1760=1,(CL1760+CJ1760)/2,IF(LEFT(Cockpit!$I$5,1)="B",(CL1760+AW1760)/2,MAX((CL1760+AW1760)/2,H1760))))</f>
        <v>0</v>
      </c>
      <c r="AV1760" s="62" t="n">
        <f aca="false">AU1760*G1760</f>
        <v>0</v>
      </c>
      <c r="AW1760" s="62" t="n">
        <f aca="false">ROUNDUP(CL1760+MAX(CM1760,2*(J1760/IF(CH1760&gt;0,CH1760,MAX(0.1,N(Cockpit!$I$6)))-CL1760)),0)</f>
        <v>0</v>
      </c>
      <c r="AX1760" s="63" t="n">
        <f aca="false">IF(AT1760&gt;0,J1760/AT1760,-1)</f>
        <v>-1</v>
      </c>
      <c r="AY1760" s="63" t="str">
        <f aca="false">IF(AND(OR(CG1760="L1",CG1760="L23",CG1760="LIFT"),AT1760&gt;0),SUMIFS($AT$7:$AT$1843,$CG$7:$CG$1843,CG1760,$AX$7:$AX$1843,"&gt;"&amp;AX1760)+SUMIFS($AT$7:$AT$1843,$CG$7:$CG$1843,CG1760,$AX$7:$AX$1843,AX1760,$BX$7:$BX$1843,"&lt;="&amp;BX1760),"")</f>
        <v/>
      </c>
      <c r="AZ1760" s="70" t="n">
        <f aca="false">IF(AY1760="",0,MAX(0,MIN(1,(IF(CG1760="L1",Parameter!$H$5,IF(CG1760="L23",Parameter!$H$6+Parameter!$H$7,Parameter!$H$5+Parameter!$H$6+Parameter!$H$7))-(AY1760-AT1760))/AT1760)))</f>
        <v>0</v>
      </c>
      <c r="BA1760" s="62" t="n">
        <f aca="false">IF(LEFT(Cockpit!$O$5,1)="A",H1760,IF(Parameter!$E$30="MAX-Bestand",IF(CI1760=1,CJ1760,IF(LEFT(Cockpit!$O$5,1)="B",BG1760,MAX(BG1760,H1760))),ROUNDUP(BE1760,0)))</f>
        <v>0</v>
      </c>
      <c r="BB1760" s="62" t="n">
        <f aca="false">IF(CA1760=1,0,ROUNDUP(BA1760/BZ1760,0))</f>
        <v>0</v>
      </c>
      <c r="BC1760" s="64" t="n">
        <f aca="false">IF(CR1760&gt;0,CR1760*MAX(1,BA1760/X1760),IF(CA1760=1,IF(BA1760&lt;=0,0,CE1760*MAX(1,IF(H1760&gt;0,BA1760/H1760,1))),IF(R1760&gt;0,BB1760/R1760,0))/MAX(0.1,N(Parameter!$M$21)))</f>
        <v>0</v>
      </c>
      <c r="BD1760" s="62" t="n">
        <f aca="false">BC1760*CC1760</f>
        <v>0</v>
      </c>
      <c r="BE1760" s="63" t="n">
        <f aca="false">IF(LEFT(Cockpit!$O$5,1)="A",H1760,IF(CI1760=1,(CL1760+CJ1760)/2,IF(LEFT(Cockpit!$O$5,1)="B",(CL1760+BG1760)/2,MAX((CL1760+BG1760)/2,H1760))))</f>
        <v>0</v>
      </c>
      <c r="BF1760" s="62" t="n">
        <f aca="false">BE1760*G1760</f>
        <v>0</v>
      </c>
      <c r="BG1760" s="62" t="n">
        <f aca="false">ROUNDUP(CL1760+MAX(CM1760,2*(J1760/IF(CH1760&gt;0,CH1760,MAX(0.1,N(Cockpit!$O$6)))-CL1760)),0)</f>
        <v>0</v>
      </c>
      <c r="BH1760" s="63" t="n">
        <f aca="false">IF(BD1760&gt;0,J1760/BD1760,-1)</f>
        <v>-1</v>
      </c>
      <c r="BI1760" s="63" t="str">
        <f aca="false">IF(AND(OR(CG1760="L1",CG1760="L23",CG1760="LIFT"),BD1760&gt;0),SUMIFS($BD$7:$BD$1843,$CG$7:$CG$1843,CG1760,$BH$7:$BH$1843,"&gt;"&amp;BH1760)+SUMIFS($BD$7:$BD$1843,$CG$7:$CG$1843,CG1760,$BH$7:$BH$1843,BH1760,$BX$7:$BX$1843,"&lt;="&amp;BX1760),"")</f>
        <v/>
      </c>
      <c r="BJ1760" s="70" t="n">
        <f aca="false">IF(BI1760="",0,MAX(0,MIN(1,(IF(CG1760="L1",Parameter!$H$5,IF(CG1760="L23",Parameter!$H$6+Parameter!$H$7,Parameter!$H$5+Parameter!$H$6+Parameter!$H$7))-(BI1760-BD1760))/BD1760)))</f>
        <v>0</v>
      </c>
      <c r="BK1760" s="60" t="str">
        <f aca="false">IF(AJ1760&lt;=0,"",IF(CG1760="Aussen","Aussenlager",IF(CG1760="-","Nicht im Lift",IF(AP1760&gt;=1,"Lift",IF(AP1760&lt;=0,"Aussenlager","teilweise")))))</f>
        <v/>
      </c>
      <c r="BL1760" s="60" t="str">
        <f aca="false">IF(AT1760&lt;=0,"",IF(CG1760="Aussen","Aussenlager",IF(CG1760="-","Nicht im Lift",IF(AZ1760&gt;=1,"Lift",IF(AZ1760&lt;=0,"Aussenlager","teilweise")))))</f>
        <v/>
      </c>
      <c r="BM1760" s="60" t="str">
        <f aca="false">IF(BD1760&lt;=0,"",IF(CG1760="Aussen","Aussenlager",IF(CG1760="-","Nicht im Lift",IF(BJ1760&gt;=1,"Lift",IF(BJ1760&lt;=0,"Aussenlager","teilweise")))))</f>
        <v/>
      </c>
      <c r="BN1760" s="60" t="str">
        <f aca="false">IF(A1760="","",IF(BW1760=1,"Neu; ","")&amp;IF(AND(BW1760=0,BR1760&lt;0),"negativer Bestand (Export "&amp;BR1760&amp;"); ","")&amp;IF(J1760&lt;=0,"Kein Verbrauch; ","")&amp;IF(CR1760&gt;0,"Lift "&amp;W1760&amp;" lt. Liftbericht (Fach "&amp;X1760&amp;" Stk); ",IF(CB1760=1,"Gebinde geschätzt ("&amp;T1760&amp;"); ",IF(CA1760=1,"Lose – Tablare geschätzt; ","")))&amp;IF(H1760&gt;AW1760,"Überbestand "&amp;ROUND(H1760-AW1760,0)&amp;" Stk / CHF "&amp;ROUND((H1760-AW1760)*G1760,0)&amp;"; ","")&amp;IF(AND(CI1760=1,CJ1760&lt;CK1760),"MAX &lt; MB+LG; ","")&amp;IF(AND(CQ1760&gt;0,CP1760*10&gt;CQ1760),"zu hoch für Tablar; ","")&amp;IF(AND(BW1760=0,OR(CI1760=1,AB1760&lt;&gt;"",U1760&lt;&gt;"",V1760&lt;&gt;"",AC1760&lt;&gt;"")),"manuell übersteuert; ","")&amp;IF(AND(CA1760=0,R1760=0),"Gebinde unbekannt / Stellmass fehlt; ","")&amp;IF(AND(CA1760=0,N(V1760)&lt;=0,N(Q1760)&lt;=0),"Menge pro Gebinde fehlt (Ist = 1 Gebinde); ","")&amp;BV1760)</f>
        <v/>
      </c>
      <c r="BO1760" s="60"/>
      <c r="BP1760" s="60"/>
      <c r="BQ1760" s="67"/>
      <c r="BR1760" s="62" t="n">
        <f aca="false">N('Neue Artikel'!$D$21)</f>
        <v>0</v>
      </c>
      <c r="BS1760" s="62" t="n">
        <v>0</v>
      </c>
      <c r="BT1760" s="61" t="n">
        <v>0</v>
      </c>
      <c r="BU1760" s="62" t="n">
        <f aca="false">N('Neue Artikel'!$C$21)/Parameter!$B$18</f>
        <v>0</v>
      </c>
      <c r="BV1760" s="60"/>
      <c r="BW1760" s="65" t="n">
        <v>1</v>
      </c>
      <c r="BX1760" s="65" t="n">
        <v>1760</v>
      </c>
      <c r="BY1760" s="60" t="str">
        <f aca="false">IF(U1760&lt;&gt;"",UPPER(TRIM(U1760)),IF(CB1760=1,UPPER(VLOOKUP(T1760,Parameter!$I$27:$K$29,2,0)),IF(P1760="","LOSE",P1760)))</f>
        <v>LOSE</v>
      </c>
      <c r="BZ1760" s="62" t="n">
        <f aca="false">IF(BY1760="LOSE",1,IF(N(V1760)&gt;0,V1760,IF(CB1760=1,MAX(1,N(VLOOKUP(T1760,Parameter!$I$27:$K$29,3,0)),H1760,N(N1760)),IF(N(Q1760)&gt;0,Q1760,MAX(1,H1760)))))</f>
        <v>1</v>
      </c>
      <c r="CA1760" s="65" t="n">
        <f aca="false">IF(BY1760="LOSE",1,0)</f>
        <v>1</v>
      </c>
      <c r="CB1760" s="65" t="n">
        <f aca="false">IF(AND(U1760="",OR(P1760="",P1760="LOSE"),T1760&lt;&gt;"",N(S1760)&lt;=0,ISNUMBER(MATCH(T1760,Parameter!$I$27:$I$29,0))),1,0)</f>
        <v>0</v>
      </c>
      <c r="CC1760" s="65" t="n">
        <f aca="false">IF(CR1760&gt;0,INDEX(Parameter!$H$5:$H$7,W1760)/INDEX(Parameter!$E$5:$E$7,W1760),IF(AND(CA1760=0,N(IFERROR(VLOOKUP(BY1760,'Gebinde-Kategorie'!$A$5:$N$45,14,0),0))&gt;0),VLOOKUP(BY1760,'Gebinde-Kategorie'!$A$5:$N$45,14,0)*10+Parameter!$M$23,Parameter!$M$24))</f>
        <v>235</v>
      </c>
      <c r="CD1760" s="60" t="str">
        <f aca="false">IF(AND(Parameter!$B$19="Ja",E1760&lt;&gt;"",ISNUMBER(MATCH(E1760,Parameter!$I$35:$I$52,0))),VLOOKUP(E1760,Parameter!$I$35:$J$52,2,0),IFERROR(VLOOKUP(D1760,Parameter!$A$35:$C$64,2,0),"Nein"))</f>
        <v>2+3</v>
      </c>
      <c r="CE1760" s="64" t="n">
        <f aca="false">IF(CA1760=0,0,IF(N(S1760)&gt;0,S1760,IFERROR(VLOOKUP(D1760,Parameter!$A$35:$C$64,3,0)+0,0)))</f>
        <v>0.15</v>
      </c>
      <c r="CF1760" s="60" t="str">
        <f aca="false">IF(AB1760&lt;&gt;"",AB1760,AA1760)</f>
        <v/>
      </c>
      <c r="CG1760" s="60" t="str">
        <f aca="false">IF(OR(CF1760=1,CF1760=2,CF1760=3),IF(Parameter!$E$27="Ja","LIFT",IF(CF1760=1,"L1","L23")),IF(CF1760="Aussen","Aussen","-"))</f>
        <v>-</v>
      </c>
      <c r="CH1760" s="71" t="n">
        <f aca="false">IF(N(AC1760)&gt;0,AC1760,0)</f>
        <v>0</v>
      </c>
      <c r="CI1760" s="65" t="n">
        <f aca="false">IF(ISNUMBER(AF1760),1,0)</f>
        <v>0</v>
      </c>
      <c r="CJ1760" s="62" t="n">
        <f aca="false">N(AF1760)</f>
        <v>0</v>
      </c>
      <c r="CK1760" s="62" t="n">
        <f aca="false">N(M1760)+N(N1760)</f>
        <v>0</v>
      </c>
      <c r="CL1760" s="62" t="n">
        <f aca="false">N(M1760)</f>
        <v>0</v>
      </c>
      <c r="CM1760" s="62" t="n">
        <f aca="false">N(N1760)</f>
        <v>0</v>
      </c>
      <c r="CN1760" s="62" t="n">
        <f aca="false">ROUNDUP(H1760/BZ1760,0)</f>
        <v>0</v>
      </c>
      <c r="CO1760" s="62" t="n">
        <f aca="false">ROUNDUP(CJ1760/BZ1760,0)</f>
        <v>0</v>
      </c>
      <c r="CP1760" s="65" t="n">
        <f aca="false">IF(CA1760=1,0,IFERROR(VLOOKUP(BY1760,'Gebinde-Kategorie'!$A$5:$N$45,5,0)+0,0))</f>
        <v>0</v>
      </c>
      <c r="CQ1760" s="65" t="n">
        <f aca="false">IFERROR(IF(OR(CF1760=1,CF1760=2,CF1760=3),N(INDEX(Parameter!$I$5:$I$7,CF1760)),0),0)</f>
        <v>0</v>
      </c>
      <c r="CR1760" s="64" t="n">
        <f aca="false">IF(AND(Parameter!$B$21="Ja",ISNUMBER(W1760),N(X1760)&gt;0),IFERROR(N(INDEX(Parameter!$L$5:$L$7,W1760))*INDEX(Parameter!$E$5:$E$7,W1760)*X1760/SUMIFS($X$7:$X$1843,$W$7:$W$1843,W1760),0),0)</f>
        <v>0</v>
      </c>
      <c r="CS1760" s="62" t="str">
        <f aca="false">IF(AND(OR(CG1760="L1",CG1760="L23",CG1760="LIFT"),H1760&gt;0),CC1760*IF(CR1760&gt;0,CR1760*MAX(1,H1760/X1760),IF(CA1760=1,CE1760,IF(R1760&gt;0,CN1760/R1760,0))/MAX(0.1,N(Parameter!$M$21))),"")</f>
        <v/>
      </c>
      <c r="CT1760" s="64" t="str">
        <f aca="false">IF(CS1760="","",J1760/H1760)</f>
        <v/>
      </c>
      <c r="CU1760" s="62" t="str">
        <f aca="false">IF(CS1760="","",H1760*G1760)</f>
        <v/>
      </c>
      <c r="CV1760" s="63" t="str">
        <f aca="false">IF(CS1760="","",(CL1760+ROUNDUP(CL1760+MAX(CM1760,2*(J1760/MAX(0.1,N(Einkauf!$C$6))-CL1760)),0))/2)</f>
        <v/>
      </c>
      <c r="CW1760" s="62" t="str">
        <f aca="false">IF(CS1760="","",MAX(0,H1760-CV1760)*G1760)</f>
        <v/>
      </c>
      <c r="CX1760" s="62" t="str">
        <f aca="false">IF(CS1760="","",CS1760*MAX(0,1-CV1760/H1760))</f>
        <v/>
      </c>
      <c r="CY1760" s="64" t="str">
        <f aca="false">IF(CS1760="","",PERCENTRANK($CS$7:$CS$1843,CS1760)+PERCENTRANK($CU$7:$CU$1843,CU1760)+1-PERCENTRANK($CT$7:$CT$1843,CT1760))</f>
        <v/>
      </c>
      <c r="CZ1760" s="72" t="str">
        <f aca="false">IF(CS1760="","",CHOOSE(MATCH(Einkauf!$C$5,Parameter!$G$23:$G$27,0),CY1760,CS1760,CU1760,-CT1760,CW1760)+ROW()/1000000000)</f>
        <v/>
      </c>
    </row>
    <row r="1761" customFormat="false" ht="15" hidden="false" customHeight="false" outlineLevel="0" collapsed="false">
      <c r="A1761" s="60" t="str">
        <f aca="false">IF('Neue Artikel'!$A$22="","",'Neue Artikel'!$A$22&amp;"")</f>
        <v/>
      </c>
      <c r="B1761" s="60" t="str">
        <f aca="false">'Neue Artikel'!$B$22&amp;""</f>
        <v/>
      </c>
      <c r="C1761" s="60"/>
      <c r="D1761" s="60" t="s">
        <v>3057</v>
      </c>
      <c r="E1761" s="60"/>
      <c r="F1761" s="60"/>
      <c r="G1761" s="61" t="n">
        <f aca="false">N('Neue Artikel'!$G$22)</f>
        <v>0</v>
      </c>
      <c r="H1761" s="62" t="n">
        <f aca="false">MAX(0,IF(AND(Parameter!$B$21="Ja",ISNUMBER(Y1761)),Y1761,IF(Parameter!$B$20="Jahresanfang 2025 + Export",BS1761+BR1761,BR1761)))</f>
        <v>0</v>
      </c>
      <c r="I1761" s="62" t="n">
        <f aca="false">H1761*G1761</f>
        <v>0</v>
      </c>
      <c r="J1761" s="62" t="n">
        <f aca="false">BU1761*Parameter!$B$18</f>
        <v>0</v>
      </c>
      <c r="K1761" s="63"/>
      <c r="L1761" s="64"/>
      <c r="M1761" s="62" t="n">
        <f aca="false">N('Neue Artikel'!$E$22)</f>
        <v>0</v>
      </c>
      <c r="N1761" s="62" t="n">
        <f aca="false">N('Neue Artikel'!$F$22)</f>
        <v>0</v>
      </c>
      <c r="O1761" s="65"/>
      <c r="P1761" s="60" t="str">
        <f aca="false">IF('Neue Artikel'!$H$22="","LOSE",UPPER(TRIM('Neue Artikel'!$H$22)))</f>
        <v>LOSE</v>
      </c>
      <c r="Q1761" s="62" t="n">
        <f aca="false">N('Neue Artikel'!$I$22)</f>
        <v>0</v>
      </c>
      <c r="R1761" s="65" t="n">
        <f aca="false">IF(CA1761=1,0,IFERROR(VLOOKUP(BY1761,'Gebinde-Kategorie'!$A$5:$N$45,13,0)+0,0))</f>
        <v>0</v>
      </c>
      <c r="S1761" s="66"/>
      <c r="T1761" s="67"/>
      <c r="U1761" s="67"/>
      <c r="V1761" s="67"/>
      <c r="W1761" s="60"/>
      <c r="X1761" s="62"/>
      <c r="Y1761" s="62"/>
      <c r="Z1761" s="60"/>
      <c r="AA1761" s="60" t="str">
        <f aca="false">IF(A1761="","",IF(AND(Parameter!$B$21="Ja",ISNUMBER(W1761)),W1761,IF(AND(Parameter!$E$27="Ja",ISNUMBER(Z1761),CD1761&lt;&gt;"Nein"),Z1761,IF(CD1761="2+3",IF(ISNUMBER(SEARCH("grosser Artikel",BV1761)),2,IFERROR(VLOOKUP(BY1761,Parameter!$F$35:$G$64,2,0),2)),IF(OR(CD1761="Nein",CD1761=""),"-",CD1761)))))</f>
        <v/>
      </c>
      <c r="AB1761" s="60" t="str">
        <f aca="false">IF('Neue Artikel'!$J$22="","",'Neue Artikel'!$J$22)</f>
        <v/>
      </c>
      <c r="AC1761" s="68"/>
      <c r="AD1761" s="62" t="n">
        <f aca="false">AW1761</f>
        <v>0</v>
      </c>
      <c r="AE1761" s="62" t="n">
        <f aca="false">MAX(AW1761,H1761)</f>
        <v>0</v>
      </c>
      <c r="AF1761" s="69"/>
      <c r="AG1761" s="62" t="n">
        <f aca="false">IF(LEFT(Cockpit!$C$5,1)="A",H1761,IF(Parameter!$E$30="MAX-Bestand",IF(CI1761=1,CJ1761,IF(LEFT(Cockpit!$C$5,1)="B",AM1761,MAX(AM1761,H1761))),ROUNDUP(AK1761,0)))</f>
        <v>0</v>
      </c>
      <c r="AH1761" s="62" t="n">
        <f aca="false">IF(CA1761=1,0,ROUNDUP(AG1761/BZ1761,0))</f>
        <v>0</v>
      </c>
      <c r="AI1761" s="64" t="n">
        <f aca="false">IF(CR1761&gt;0,CR1761*MAX(1,AG1761/X1761),IF(CA1761=1,IF(AG1761&lt;=0,0,CE1761*MAX(1,IF(H1761&gt;0,AG1761/H1761,1))),IF(R1761&gt;0,AH1761/R1761,0))/MAX(0.1,N(Parameter!$M$21)))</f>
        <v>0</v>
      </c>
      <c r="AJ1761" s="62" t="n">
        <f aca="false">AI1761*CC1761</f>
        <v>0</v>
      </c>
      <c r="AK1761" s="63" t="n">
        <f aca="false">IF(LEFT(Cockpit!$C$5,1)="A",H1761,IF(CI1761=1,(CL1761+CJ1761)/2,IF(LEFT(Cockpit!$C$5,1)="B",(CL1761+AM1761)/2,MAX((CL1761+AM1761)/2,H1761))))</f>
        <v>0</v>
      </c>
      <c r="AL1761" s="62" t="n">
        <f aca="false">AK1761*G1761</f>
        <v>0</v>
      </c>
      <c r="AM1761" s="62" t="n">
        <f aca="false">ROUNDUP(CL1761+MAX(CM1761,2*(J1761/IF(CH1761&gt;0,CH1761,MAX(0.1,N(Cockpit!$C$6)))-CL1761)),0)</f>
        <v>0</v>
      </c>
      <c r="AN1761" s="63" t="n">
        <f aca="false">IF(AJ1761&gt;0,J1761/AJ1761,-1)</f>
        <v>-1</v>
      </c>
      <c r="AO1761" s="63" t="str">
        <f aca="false">IF(AND(OR(CG1761="L1",CG1761="L23",CG1761="LIFT"),AJ1761&gt;0),SUMIFS($AJ$7:$AJ$1843,$CG$7:$CG$1843,CG1761,$AN$7:$AN$1843,"&gt;"&amp;AN1761)+SUMIFS($AJ$7:$AJ$1843,$CG$7:$CG$1843,CG1761,$AN$7:$AN$1843,AN1761,$BX$7:$BX$1843,"&lt;="&amp;BX1761),"")</f>
        <v/>
      </c>
      <c r="AP1761" s="70" t="n">
        <f aca="false">IF(AO1761="",0,MAX(0,MIN(1,(IF(CG1761="L1",Parameter!$H$5,IF(CG1761="L23",Parameter!$H$6+Parameter!$H$7,Parameter!$H$5+Parameter!$H$6+Parameter!$H$7))-(AO1761-AJ1761))/AJ1761)))</f>
        <v>0</v>
      </c>
      <c r="AQ1761" s="62" t="n">
        <f aca="false">IF(LEFT(Cockpit!$I$5,1)="A",H1761,IF(Parameter!$E$30="MAX-Bestand",IF(CI1761=1,CJ1761,IF(LEFT(Cockpit!$I$5,1)="B",AW1761,MAX(AW1761,H1761))),ROUNDUP(AU1761,0)))</f>
        <v>0</v>
      </c>
      <c r="AR1761" s="62" t="n">
        <f aca="false">IF(CA1761=1,0,ROUNDUP(AQ1761/BZ1761,0))</f>
        <v>0</v>
      </c>
      <c r="AS1761" s="64" t="n">
        <f aca="false">IF(CR1761&gt;0,CR1761*MAX(1,AQ1761/X1761),IF(CA1761=1,IF(AQ1761&lt;=0,0,CE1761*MAX(1,IF(H1761&gt;0,AQ1761/H1761,1))),IF(R1761&gt;0,AR1761/R1761,0))/MAX(0.1,N(Parameter!$M$21)))</f>
        <v>0</v>
      </c>
      <c r="AT1761" s="62" t="n">
        <f aca="false">AS1761*CC1761</f>
        <v>0</v>
      </c>
      <c r="AU1761" s="63" t="n">
        <f aca="false">IF(LEFT(Cockpit!$I$5,1)="A",H1761,IF(CI1761=1,(CL1761+CJ1761)/2,IF(LEFT(Cockpit!$I$5,1)="B",(CL1761+AW1761)/2,MAX((CL1761+AW1761)/2,H1761))))</f>
        <v>0</v>
      </c>
      <c r="AV1761" s="62" t="n">
        <f aca="false">AU1761*G1761</f>
        <v>0</v>
      </c>
      <c r="AW1761" s="62" t="n">
        <f aca="false">ROUNDUP(CL1761+MAX(CM1761,2*(J1761/IF(CH1761&gt;0,CH1761,MAX(0.1,N(Cockpit!$I$6)))-CL1761)),0)</f>
        <v>0</v>
      </c>
      <c r="AX1761" s="63" t="n">
        <f aca="false">IF(AT1761&gt;0,J1761/AT1761,-1)</f>
        <v>-1</v>
      </c>
      <c r="AY1761" s="63" t="str">
        <f aca="false">IF(AND(OR(CG1761="L1",CG1761="L23",CG1761="LIFT"),AT1761&gt;0),SUMIFS($AT$7:$AT$1843,$CG$7:$CG$1843,CG1761,$AX$7:$AX$1843,"&gt;"&amp;AX1761)+SUMIFS($AT$7:$AT$1843,$CG$7:$CG$1843,CG1761,$AX$7:$AX$1843,AX1761,$BX$7:$BX$1843,"&lt;="&amp;BX1761),"")</f>
        <v/>
      </c>
      <c r="AZ1761" s="70" t="n">
        <f aca="false">IF(AY1761="",0,MAX(0,MIN(1,(IF(CG1761="L1",Parameter!$H$5,IF(CG1761="L23",Parameter!$H$6+Parameter!$H$7,Parameter!$H$5+Parameter!$H$6+Parameter!$H$7))-(AY1761-AT1761))/AT1761)))</f>
        <v>0</v>
      </c>
      <c r="BA1761" s="62" t="n">
        <f aca="false">IF(LEFT(Cockpit!$O$5,1)="A",H1761,IF(Parameter!$E$30="MAX-Bestand",IF(CI1761=1,CJ1761,IF(LEFT(Cockpit!$O$5,1)="B",BG1761,MAX(BG1761,H1761))),ROUNDUP(BE1761,0)))</f>
        <v>0</v>
      </c>
      <c r="BB1761" s="62" t="n">
        <f aca="false">IF(CA1761=1,0,ROUNDUP(BA1761/BZ1761,0))</f>
        <v>0</v>
      </c>
      <c r="BC1761" s="64" t="n">
        <f aca="false">IF(CR1761&gt;0,CR1761*MAX(1,BA1761/X1761),IF(CA1761=1,IF(BA1761&lt;=0,0,CE1761*MAX(1,IF(H1761&gt;0,BA1761/H1761,1))),IF(R1761&gt;0,BB1761/R1761,0))/MAX(0.1,N(Parameter!$M$21)))</f>
        <v>0</v>
      </c>
      <c r="BD1761" s="62" t="n">
        <f aca="false">BC1761*CC1761</f>
        <v>0</v>
      </c>
      <c r="BE1761" s="63" t="n">
        <f aca="false">IF(LEFT(Cockpit!$O$5,1)="A",H1761,IF(CI1761=1,(CL1761+CJ1761)/2,IF(LEFT(Cockpit!$O$5,1)="B",(CL1761+BG1761)/2,MAX((CL1761+BG1761)/2,H1761))))</f>
        <v>0</v>
      </c>
      <c r="BF1761" s="62" t="n">
        <f aca="false">BE1761*G1761</f>
        <v>0</v>
      </c>
      <c r="BG1761" s="62" t="n">
        <f aca="false">ROUNDUP(CL1761+MAX(CM1761,2*(J1761/IF(CH1761&gt;0,CH1761,MAX(0.1,N(Cockpit!$O$6)))-CL1761)),0)</f>
        <v>0</v>
      </c>
      <c r="BH1761" s="63" t="n">
        <f aca="false">IF(BD1761&gt;0,J1761/BD1761,-1)</f>
        <v>-1</v>
      </c>
      <c r="BI1761" s="63" t="str">
        <f aca="false">IF(AND(OR(CG1761="L1",CG1761="L23",CG1761="LIFT"),BD1761&gt;0),SUMIFS($BD$7:$BD$1843,$CG$7:$CG$1843,CG1761,$BH$7:$BH$1843,"&gt;"&amp;BH1761)+SUMIFS($BD$7:$BD$1843,$CG$7:$CG$1843,CG1761,$BH$7:$BH$1843,BH1761,$BX$7:$BX$1843,"&lt;="&amp;BX1761),"")</f>
        <v/>
      </c>
      <c r="BJ1761" s="70" t="n">
        <f aca="false">IF(BI1761="",0,MAX(0,MIN(1,(IF(CG1761="L1",Parameter!$H$5,IF(CG1761="L23",Parameter!$H$6+Parameter!$H$7,Parameter!$H$5+Parameter!$H$6+Parameter!$H$7))-(BI1761-BD1761))/BD1761)))</f>
        <v>0</v>
      </c>
      <c r="BK1761" s="60" t="str">
        <f aca="false">IF(AJ1761&lt;=0,"",IF(CG1761="Aussen","Aussenlager",IF(CG1761="-","Nicht im Lift",IF(AP1761&gt;=1,"Lift",IF(AP1761&lt;=0,"Aussenlager","teilweise")))))</f>
        <v/>
      </c>
      <c r="BL1761" s="60" t="str">
        <f aca="false">IF(AT1761&lt;=0,"",IF(CG1761="Aussen","Aussenlager",IF(CG1761="-","Nicht im Lift",IF(AZ1761&gt;=1,"Lift",IF(AZ1761&lt;=0,"Aussenlager","teilweise")))))</f>
        <v/>
      </c>
      <c r="BM1761" s="60" t="str">
        <f aca="false">IF(BD1761&lt;=0,"",IF(CG1761="Aussen","Aussenlager",IF(CG1761="-","Nicht im Lift",IF(BJ1761&gt;=1,"Lift",IF(BJ1761&lt;=0,"Aussenlager","teilweise")))))</f>
        <v/>
      </c>
      <c r="BN1761" s="60" t="str">
        <f aca="false">IF(A1761="","",IF(BW1761=1,"Neu; ","")&amp;IF(AND(BW1761=0,BR1761&lt;0),"negativer Bestand (Export "&amp;BR1761&amp;"); ","")&amp;IF(J1761&lt;=0,"Kein Verbrauch; ","")&amp;IF(CR1761&gt;0,"Lift "&amp;W1761&amp;" lt. Liftbericht (Fach "&amp;X1761&amp;" Stk); ",IF(CB1761=1,"Gebinde geschätzt ("&amp;T1761&amp;"); ",IF(CA1761=1,"Lose – Tablare geschätzt; ","")))&amp;IF(H1761&gt;AW1761,"Überbestand "&amp;ROUND(H1761-AW1761,0)&amp;" Stk / CHF "&amp;ROUND((H1761-AW1761)*G1761,0)&amp;"; ","")&amp;IF(AND(CI1761=1,CJ1761&lt;CK1761),"MAX &lt; MB+LG; ","")&amp;IF(AND(CQ1761&gt;0,CP1761*10&gt;CQ1761),"zu hoch für Tablar; ","")&amp;IF(AND(BW1761=0,OR(CI1761=1,AB1761&lt;&gt;"",U1761&lt;&gt;"",V1761&lt;&gt;"",AC1761&lt;&gt;"")),"manuell übersteuert; ","")&amp;IF(AND(CA1761=0,R1761=0),"Gebinde unbekannt / Stellmass fehlt; ","")&amp;IF(AND(CA1761=0,N(V1761)&lt;=0,N(Q1761)&lt;=0),"Menge pro Gebinde fehlt (Ist = 1 Gebinde); ","")&amp;BV1761)</f>
        <v/>
      </c>
      <c r="BO1761" s="60"/>
      <c r="BP1761" s="60"/>
      <c r="BQ1761" s="67"/>
      <c r="BR1761" s="62" t="n">
        <f aca="false">N('Neue Artikel'!$D$22)</f>
        <v>0</v>
      </c>
      <c r="BS1761" s="62" t="n">
        <v>0</v>
      </c>
      <c r="BT1761" s="61" t="n">
        <v>0</v>
      </c>
      <c r="BU1761" s="62" t="n">
        <f aca="false">N('Neue Artikel'!$C$22)/Parameter!$B$18</f>
        <v>0</v>
      </c>
      <c r="BV1761" s="60"/>
      <c r="BW1761" s="65" t="n">
        <v>1</v>
      </c>
      <c r="BX1761" s="65" t="n">
        <v>1761</v>
      </c>
      <c r="BY1761" s="60" t="str">
        <f aca="false">IF(U1761&lt;&gt;"",UPPER(TRIM(U1761)),IF(CB1761=1,UPPER(VLOOKUP(T1761,Parameter!$I$27:$K$29,2,0)),IF(P1761="","LOSE",P1761)))</f>
        <v>LOSE</v>
      </c>
      <c r="BZ1761" s="62" t="n">
        <f aca="false">IF(BY1761="LOSE",1,IF(N(V1761)&gt;0,V1761,IF(CB1761=1,MAX(1,N(VLOOKUP(T1761,Parameter!$I$27:$K$29,3,0)),H1761,N(N1761)),IF(N(Q1761)&gt;0,Q1761,MAX(1,H1761)))))</f>
        <v>1</v>
      </c>
      <c r="CA1761" s="65" t="n">
        <f aca="false">IF(BY1761="LOSE",1,0)</f>
        <v>1</v>
      </c>
      <c r="CB1761" s="65" t="n">
        <f aca="false">IF(AND(U1761="",OR(P1761="",P1761="LOSE"),T1761&lt;&gt;"",N(S1761)&lt;=0,ISNUMBER(MATCH(T1761,Parameter!$I$27:$I$29,0))),1,0)</f>
        <v>0</v>
      </c>
      <c r="CC1761" s="65" t="n">
        <f aca="false">IF(CR1761&gt;0,INDEX(Parameter!$H$5:$H$7,W1761)/INDEX(Parameter!$E$5:$E$7,W1761),IF(AND(CA1761=0,N(IFERROR(VLOOKUP(BY1761,'Gebinde-Kategorie'!$A$5:$N$45,14,0),0))&gt;0),VLOOKUP(BY1761,'Gebinde-Kategorie'!$A$5:$N$45,14,0)*10+Parameter!$M$23,Parameter!$M$24))</f>
        <v>235</v>
      </c>
      <c r="CD1761" s="60" t="str">
        <f aca="false">IF(AND(Parameter!$B$19="Ja",E1761&lt;&gt;"",ISNUMBER(MATCH(E1761,Parameter!$I$35:$I$52,0))),VLOOKUP(E1761,Parameter!$I$35:$J$52,2,0),IFERROR(VLOOKUP(D1761,Parameter!$A$35:$C$64,2,0),"Nein"))</f>
        <v>2+3</v>
      </c>
      <c r="CE1761" s="64" t="n">
        <f aca="false">IF(CA1761=0,0,IF(N(S1761)&gt;0,S1761,IFERROR(VLOOKUP(D1761,Parameter!$A$35:$C$64,3,0)+0,0)))</f>
        <v>0.15</v>
      </c>
      <c r="CF1761" s="60" t="str">
        <f aca="false">IF(AB1761&lt;&gt;"",AB1761,AA1761)</f>
        <v/>
      </c>
      <c r="CG1761" s="60" t="str">
        <f aca="false">IF(OR(CF1761=1,CF1761=2,CF1761=3),IF(Parameter!$E$27="Ja","LIFT",IF(CF1761=1,"L1","L23")),IF(CF1761="Aussen","Aussen","-"))</f>
        <v>-</v>
      </c>
      <c r="CH1761" s="71" t="n">
        <f aca="false">IF(N(AC1761)&gt;0,AC1761,0)</f>
        <v>0</v>
      </c>
      <c r="CI1761" s="65" t="n">
        <f aca="false">IF(ISNUMBER(AF1761),1,0)</f>
        <v>0</v>
      </c>
      <c r="CJ1761" s="62" t="n">
        <f aca="false">N(AF1761)</f>
        <v>0</v>
      </c>
      <c r="CK1761" s="62" t="n">
        <f aca="false">N(M1761)+N(N1761)</f>
        <v>0</v>
      </c>
      <c r="CL1761" s="62" t="n">
        <f aca="false">N(M1761)</f>
        <v>0</v>
      </c>
      <c r="CM1761" s="62" t="n">
        <f aca="false">N(N1761)</f>
        <v>0</v>
      </c>
      <c r="CN1761" s="62" t="n">
        <f aca="false">ROUNDUP(H1761/BZ1761,0)</f>
        <v>0</v>
      </c>
      <c r="CO1761" s="62" t="n">
        <f aca="false">ROUNDUP(CJ1761/BZ1761,0)</f>
        <v>0</v>
      </c>
      <c r="CP1761" s="65" t="n">
        <f aca="false">IF(CA1761=1,0,IFERROR(VLOOKUP(BY1761,'Gebinde-Kategorie'!$A$5:$N$45,5,0)+0,0))</f>
        <v>0</v>
      </c>
      <c r="CQ1761" s="65" t="n">
        <f aca="false">IFERROR(IF(OR(CF1761=1,CF1761=2,CF1761=3),N(INDEX(Parameter!$I$5:$I$7,CF1761)),0),0)</f>
        <v>0</v>
      </c>
      <c r="CR1761" s="64" t="n">
        <f aca="false">IF(AND(Parameter!$B$21="Ja",ISNUMBER(W1761),N(X1761)&gt;0),IFERROR(N(INDEX(Parameter!$L$5:$L$7,W1761))*INDEX(Parameter!$E$5:$E$7,W1761)*X1761/SUMIFS($X$7:$X$1843,$W$7:$W$1843,W1761),0),0)</f>
        <v>0</v>
      </c>
      <c r="CS1761" s="62" t="str">
        <f aca="false">IF(AND(OR(CG1761="L1",CG1761="L23",CG1761="LIFT"),H1761&gt;0),CC1761*IF(CR1761&gt;0,CR1761*MAX(1,H1761/X1761),IF(CA1761=1,CE1761,IF(R1761&gt;0,CN1761/R1761,0))/MAX(0.1,N(Parameter!$M$21))),"")</f>
        <v/>
      </c>
      <c r="CT1761" s="64" t="str">
        <f aca="false">IF(CS1761="","",J1761/H1761)</f>
        <v/>
      </c>
      <c r="CU1761" s="62" t="str">
        <f aca="false">IF(CS1761="","",H1761*G1761)</f>
        <v/>
      </c>
      <c r="CV1761" s="63" t="str">
        <f aca="false">IF(CS1761="","",(CL1761+ROUNDUP(CL1761+MAX(CM1761,2*(J1761/MAX(0.1,N(Einkauf!$C$6))-CL1761)),0))/2)</f>
        <v/>
      </c>
      <c r="CW1761" s="62" t="str">
        <f aca="false">IF(CS1761="","",MAX(0,H1761-CV1761)*G1761)</f>
        <v/>
      </c>
      <c r="CX1761" s="62" t="str">
        <f aca="false">IF(CS1761="","",CS1761*MAX(0,1-CV1761/H1761))</f>
        <v/>
      </c>
      <c r="CY1761" s="64" t="str">
        <f aca="false">IF(CS1761="","",PERCENTRANK($CS$7:$CS$1843,CS1761)+PERCENTRANK($CU$7:$CU$1843,CU1761)+1-PERCENTRANK($CT$7:$CT$1843,CT1761))</f>
        <v/>
      </c>
      <c r="CZ1761" s="72" t="str">
        <f aca="false">IF(CS1761="","",CHOOSE(MATCH(Einkauf!$C$5,Parameter!$G$23:$G$27,0),CY1761,CS1761,CU1761,-CT1761,CW1761)+ROW()/1000000000)</f>
        <v/>
      </c>
    </row>
    <row r="1762" customFormat="false" ht="15" hidden="false" customHeight="false" outlineLevel="0" collapsed="false">
      <c r="A1762" s="60" t="str">
        <f aca="false">IF('Neue Artikel'!$A$23="","",'Neue Artikel'!$A$23&amp;"")</f>
        <v/>
      </c>
      <c r="B1762" s="60" t="str">
        <f aca="false">'Neue Artikel'!$B$23&amp;""</f>
        <v/>
      </c>
      <c r="C1762" s="60"/>
      <c r="D1762" s="60" t="s">
        <v>3057</v>
      </c>
      <c r="E1762" s="60"/>
      <c r="F1762" s="60"/>
      <c r="G1762" s="61" t="n">
        <f aca="false">N('Neue Artikel'!$G$23)</f>
        <v>0</v>
      </c>
      <c r="H1762" s="62" t="n">
        <f aca="false">MAX(0,IF(AND(Parameter!$B$21="Ja",ISNUMBER(Y1762)),Y1762,IF(Parameter!$B$20="Jahresanfang 2025 + Export",BS1762+BR1762,BR1762)))</f>
        <v>0</v>
      </c>
      <c r="I1762" s="62" t="n">
        <f aca="false">H1762*G1762</f>
        <v>0</v>
      </c>
      <c r="J1762" s="62" t="n">
        <f aca="false">BU1762*Parameter!$B$18</f>
        <v>0</v>
      </c>
      <c r="K1762" s="63"/>
      <c r="L1762" s="64"/>
      <c r="M1762" s="62" t="n">
        <f aca="false">N('Neue Artikel'!$E$23)</f>
        <v>0</v>
      </c>
      <c r="N1762" s="62" t="n">
        <f aca="false">N('Neue Artikel'!$F$23)</f>
        <v>0</v>
      </c>
      <c r="O1762" s="65"/>
      <c r="P1762" s="60" t="str">
        <f aca="false">IF('Neue Artikel'!$H$23="","LOSE",UPPER(TRIM('Neue Artikel'!$H$23)))</f>
        <v>LOSE</v>
      </c>
      <c r="Q1762" s="62" t="n">
        <f aca="false">N('Neue Artikel'!$I$23)</f>
        <v>0</v>
      </c>
      <c r="R1762" s="65" t="n">
        <f aca="false">IF(CA1762=1,0,IFERROR(VLOOKUP(BY1762,'Gebinde-Kategorie'!$A$5:$N$45,13,0)+0,0))</f>
        <v>0</v>
      </c>
      <c r="S1762" s="66"/>
      <c r="T1762" s="67"/>
      <c r="U1762" s="67"/>
      <c r="V1762" s="67"/>
      <c r="W1762" s="60"/>
      <c r="X1762" s="62"/>
      <c r="Y1762" s="62"/>
      <c r="Z1762" s="60"/>
      <c r="AA1762" s="60" t="str">
        <f aca="false">IF(A1762="","",IF(AND(Parameter!$B$21="Ja",ISNUMBER(W1762)),W1762,IF(AND(Parameter!$E$27="Ja",ISNUMBER(Z1762),CD1762&lt;&gt;"Nein"),Z1762,IF(CD1762="2+3",IF(ISNUMBER(SEARCH("grosser Artikel",BV1762)),2,IFERROR(VLOOKUP(BY1762,Parameter!$F$35:$G$64,2,0),2)),IF(OR(CD1762="Nein",CD1762=""),"-",CD1762)))))</f>
        <v/>
      </c>
      <c r="AB1762" s="60" t="str">
        <f aca="false">IF('Neue Artikel'!$J$23="","",'Neue Artikel'!$J$23)</f>
        <v/>
      </c>
      <c r="AC1762" s="68"/>
      <c r="AD1762" s="62" t="n">
        <f aca="false">AW1762</f>
        <v>0</v>
      </c>
      <c r="AE1762" s="62" t="n">
        <f aca="false">MAX(AW1762,H1762)</f>
        <v>0</v>
      </c>
      <c r="AF1762" s="69"/>
      <c r="AG1762" s="62" t="n">
        <f aca="false">IF(LEFT(Cockpit!$C$5,1)="A",H1762,IF(Parameter!$E$30="MAX-Bestand",IF(CI1762=1,CJ1762,IF(LEFT(Cockpit!$C$5,1)="B",AM1762,MAX(AM1762,H1762))),ROUNDUP(AK1762,0)))</f>
        <v>0</v>
      </c>
      <c r="AH1762" s="62" t="n">
        <f aca="false">IF(CA1762=1,0,ROUNDUP(AG1762/BZ1762,0))</f>
        <v>0</v>
      </c>
      <c r="AI1762" s="64" t="n">
        <f aca="false">IF(CR1762&gt;0,CR1762*MAX(1,AG1762/X1762),IF(CA1762=1,IF(AG1762&lt;=0,0,CE1762*MAX(1,IF(H1762&gt;0,AG1762/H1762,1))),IF(R1762&gt;0,AH1762/R1762,0))/MAX(0.1,N(Parameter!$M$21)))</f>
        <v>0</v>
      </c>
      <c r="AJ1762" s="62" t="n">
        <f aca="false">AI1762*CC1762</f>
        <v>0</v>
      </c>
      <c r="AK1762" s="63" t="n">
        <f aca="false">IF(LEFT(Cockpit!$C$5,1)="A",H1762,IF(CI1762=1,(CL1762+CJ1762)/2,IF(LEFT(Cockpit!$C$5,1)="B",(CL1762+AM1762)/2,MAX((CL1762+AM1762)/2,H1762))))</f>
        <v>0</v>
      </c>
      <c r="AL1762" s="62" t="n">
        <f aca="false">AK1762*G1762</f>
        <v>0</v>
      </c>
      <c r="AM1762" s="62" t="n">
        <f aca="false">ROUNDUP(CL1762+MAX(CM1762,2*(J1762/IF(CH1762&gt;0,CH1762,MAX(0.1,N(Cockpit!$C$6)))-CL1762)),0)</f>
        <v>0</v>
      </c>
      <c r="AN1762" s="63" t="n">
        <f aca="false">IF(AJ1762&gt;0,J1762/AJ1762,-1)</f>
        <v>-1</v>
      </c>
      <c r="AO1762" s="63" t="str">
        <f aca="false">IF(AND(OR(CG1762="L1",CG1762="L23",CG1762="LIFT"),AJ1762&gt;0),SUMIFS($AJ$7:$AJ$1843,$CG$7:$CG$1843,CG1762,$AN$7:$AN$1843,"&gt;"&amp;AN1762)+SUMIFS($AJ$7:$AJ$1843,$CG$7:$CG$1843,CG1762,$AN$7:$AN$1843,AN1762,$BX$7:$BX$1843,"&lt;="&amp;BX1762),"")</f>
        <v/>
      </c>
      <c r="AP1762" s="70" t="n">
        <f aca="false">IF(AO1762="",0,MAX(0,MIN(1,(IF(CG1762="L1",Parameter!$H$5,IF(CG1762="L23",Parameter!$H$6+Parameter!$H$7,Parameter!$H$5+Parameter!$H$6+Parameter!$H$7))-(AO1762-AJ1762))/AJ1762)))</f>
        <v>0</v>
      </c>
      <c r="AQ1762" s="62" t="n">
        <f aca="false">IF(LEFT(Cockpit!$I$5,1)="A",H1762,IF(Parameter!$E$30="MAX-Bestand",IF(CI1762=1,CJ1762,IF(LEFT(Cockpit!$I$5,1)="B",AW1762,MAX(AW1762,H1762))),ROUNDUP(AU1762,0)))</f>
        <v>0</v>
      </c>
      <c r="AR1762" s="62" t="n">
        <f aca="false">IF(CA1762=1,0,ROUNDUP(AQ1762/BZ1762,0))</f>
        <v>0</v>
      </c>
      <c r="AS1762" s="64" t="n">
        <f aca="false">IF(CR1762&gt;0,CR1762*MAX(1,AQ1762/X1762),IF(CA1762=1,IF(AQ1762&lt;=0,0,CE1762*MAX(1,IF(H1762&gt;0,AQ1762/H1762,1))),IF(R1762&gt;0,AR1762/R1762,0))/MAX(0.1,N(Parameter!$M$21)))</f>
        <v>0</v>
      </c>
      <c r="AT1762" s="62" t="n">
        <f aca="false">AS1762*CC1762</f>
        <v>0</v>
      </c>
      <c r="AU1762" s="63" t="n">
        <f aca="false">IF(LEFT(Cockpit!$I$5,1)="A",H1762,IF(CI1762=1,(CL1762+CJ1762)/2,IF(LEFT(Cockpit!$I$5,1)="B",(CL1762+AW1762)/2,MAX((CL1762+AW1762)/2,H1762))))</f>
        <v>0</v>
      </c>
      <c r="AV1762" s="62" t="n">
        <f aca="false">AU1762*G1762</f>
        <v>0</v>
      </c>
      <c r="AW1762" s="62" t="n">
        <f aca="false">ROUNDUP(CL1762+MAX(CM1762,2*(J1762/IF(CH1762&gt;0,CH1762,MAX(0.1,N(Cockpit!$I$6)))-CL1762)),0)</f>
        <v>0</v>
      </c>
      <c r="AX1762" s="63" t="n">
        <f aca="false">IF(AT1762&gt;0,J1762/AT1762,-1)</f>
        <v>-1</v>
      </c>
      <c r="AY1762" s="63" t="str">
        <f aca="false">IF(AND(OR(CG1762="L1",CG1762="L23",CG1762="LIFT"),AT1762&gt;0),SUMIFS($AT$7:$AT$1843,$CG$7:$CG$1843,CG1762,$AX$7:$AX$1843,"&gt;"&amp;AX1762)+SUMIFS($AT$7:$AT$1843,$CG$7:$CG$1843,CG1762,$AX$7:$AX$1843,AX1762,$BX$7:$BX$1843,"&lt;="&amp;BX1762),"")</f>
        <v/>
      </c>
      <c r="AZ1762" s="70" t="n">
        <f aca="false">IF(AY1762="",0,MAX(0,MIN(1,(IF(CG1762="L1",Parameter!$H$5,IF(CG1762="L23",Parameter!$H$6+Parameter!$H$7,Parameter!$H$5+Parameter!$H$6+Parameter!$H$7))-(AY1762-AT1762))/AT1762)))</f>
        <v>0</v>
      </c>
      <c r="BA1762" s="62" t="n">
        <f aca="false">IF(LEFT(Cockpit!$O$5,1)="A",H1762,IF(Parameter!$E$30="MAX-Bestand",IF(CI1762=1,CJ1762,IF(LEFT(Cockpit!$O$5,1)="B",BG1762,MAX(BG1762,H1762))),ROUNDUP(BE1762,0)))</f>
        <v>0</v>
      </c>
      <c r="BB1762" s="62" t="n">
        <f aca="false">IF(CA1762=1,0,ROUNDUP(BA1762/BZ1762,0))</f>
        <v>0</v>
      </c>
      <c r="BC1762" s="64" t="n">
        <f aca="false">IF(CR1762&gt;0,CR1762*MAX(1,BA1762/X1762),IF(CA1762=1,IF(BA1762&lt;=0,0,CE1762*MAX(1,IF(H1762&gt;0,BA1762/H1762,1))),IF(R1762&gt;0,BB1762/R1762,0))/MAX(0.1,N(Parameter!$M$21)))</f>
        <v>0</v>
      </c>
      <c r="BD1762" s="62" t="n">
        <f aca="false">BC1762*CC1762</f>
        <v>0</v>
      </c>
      <c r="BE1762" s="63" t="n">
        <f aca="false">IF(LEFT(Cockpit!$O$5,1)="A",H1762,IF(CI1762=1,(CL1762+CJ1762)/2,IF(LEFT(Cockpit!$O$5,1)="B",(CL1762+BG1762)/2,MAX((CL1762+BG1762)/2,H1762))))</f>
        <v>0</v>
      </c>
      <c r="BF1762" s="62" t="n">
        <f aca="false">BE1762*G1762</f>
        <v>0</v>
      </c>
      <c r="BG1762" s="62" t="n">
        <f aca="false">ROUNDUP(CL1762+MAX(CM1762,2*(J1762/IF(CH1762&gt;0,CH1762,MAX(0.1,N(Cockpit!$O$6)))-CL1762)),0)</f>
        <v>0</v>
      </c>
      <c r="BH1762" s="63" t="n">
        <f aca="false">IF(BD1762&gt;0,J1762/BD1762,-1)</f>
        <v>-1</v>
      </c>
      <c r="BI1762" s="63" t="str">
        <f aca="false">IF(AND(OR(CG1762="L1",CG1762="L23",CG1762="LIFT"),BD1762&gt;0),SUMIFS($BD$7:$BD$1843,$CG$7:$CG$1843,CG1762,$BH$7:$BH$1843,"&gt;"&amp;BH1762)+SUMIFS($BD$7:$BD$1843,$CG$7:$CG$1843,CG1762,$BH$7:$BH$1843,BH1762,$BX$7:$BX$1843,"&lt;="&amp;BX1762),"")</f>
        <v/>
      </c>
      <c r="BJ1762" s="70" t="n">
        <f aca="false">IF(BI1762="",0,MAX(0,MIN(1,(IF(CG1762="L1",Parameter!$H$5,IF(CG1762="L23",Parameter!$H$6+Parameter!$H$7,Parameter!$H$5+Parameter!$H$6+Parameter!$H$7))-(BI1762-BD1762))/BD1762)))</f>
        <v>0</v>
      </c>
      <c r="BK1762" s="60" t="str">
        <f aca="false">IF(AJ1762&lt;=0,"",IF(CG1762="Aussen","Aussenlager",IF(CG1762="-","Nicht im Lift",IF(AP1762&gt;=1,"Lift",IF(AP1762&lt;=0,"Aussenlager","teilweise")))))</f>
        <v/>
      </c>
      <c r="BL1762" s="60" t="str">
        <f aca="false">IF(AT1762&lt;=0,"",IF(CG1762="Aussen","Aussenlager",IF(CG1762="-","Nicht im Lift",IF(AZ1762&gt;=1,"Lift",IF(AZ1762&lt;=0,"Aussenlager","teilweise")))))</f>
        <v/>
      </c>
      <c r="BM1762" s="60" t="str">
        <f aca="false">IF(BD1762&lt;=0,"",IF(CG1762="Aussen","Aussenlager",IF(CG1762="-","Nicht im Lift",IF(BJ1762&gt;=1,"Lift",IF(BJ1762&lt;=0,"Aussenlager","teilweise")))))</f>
        <v/>
      </c>
      <c r="BN1762" s="60" t="str">
        <f aca="false">IF(A1762="","",IF(BW1762=1,"Neu; ","")&amp;IF(AND(BW1762=0,BR1762&lt;0),"negativer Bestand (Export "&amp;BR1762&amp;"); ","")&amp;IF(J1762&lt;=0,"Kein Verbrauch; ","")&amp;IF(CR1762&gt;0,"Lift "&amp;W1762&amp;" lt. Liftbericht (Fach "&amp;X1762&amp;" Stk); ",IF(CB1762=1,"Gebinde geschätzt ("&amp;T1762&amp;"); ",IF(CA1762=1,"Lose – Tablare geschätzt; ","")))&amp;IF(H1762&gt;AW1762,"Überbestand "&amp;ROUND(H1762-AW1762,0)&amp;" Stk / CHF "&amp;ROUND((H1762-AW1762)*G1762,0)&amp;"; ","")&amp;IF(AND(CI1762=1,CJ1762&lt;CK1762),"MAX &lt; MB+LG; ","")&amp;IF(AND(CQ1762&gt;0,CP1762*10&gt;CQ1762),"zu hoch für Tablar; ","")&amp;IF(AND(BW1762=0,OR(CI1762=1,AB1762&lt;&gt;"",U1762&lt;&gt;"",V1762&lt;&gt;"",AC1762&lt;&gt;"")),"manuell übersteuert; ","")&amp;IF(AND(CA1762=0,R1762=0),"Gebinde unbekannt / Stellmass fehlt; ","")&amp;IF(AND(CA1762=0,N(V1762)&lt;=0,N(Q1762)&lt;=0),"Menge pro Gebinde fehlt (Ist = 1 Gebinde); ","")&amp;BV1762)</f>
        <v/>
      </c>
      <c r="BO1762" s="60"/>
      <c r="BP1762" s="60"/>
      <c r="BQ1762" s="67"/>
      <c r="BR1762" s="62" t="n">
        <f aca="false">N('Neue Artikel'!$D$23)</f>
        <v>0</v>
      </c>
      <c r="BS1762" s="62" t="n">
        <v>0</v>
      </c>
      <c r="BT1762" s="61" t="n">
        <v>0</v>
      </c>
      <c r="BU1762" s="62" t="n">
        <f aca="false">N('Neue Artikel'!$C$23)/Parameter!$B$18</f>
        <v>0</v>
      </c>
      <c r="BV1762" s="60"/>
      <c r="BW1762" s="65" t="n">
        <v>1</v>
      </c>
      <c r="BX1762" s="65" t="n">
        <v>1762</v>
      </c>
      <c r="BY1762" s="60" t="str">
        <f aca="false">IF(U1762&lt;&gt;"",UPPER(TRIM(U1762)),IF(CB1762=1,UPPER(VLOOKUP(T1762,Parameter!$I$27:$K$29,2,0)),IF(P1762="","LOSE",P1762)))</f>
        <v>LOSE</v>
      </c>
      <c r="BZ1762" s="62" t="n">
        <f aca="false">IF(BY1762="LOSE",1,IF(N(V1762)&gt;0,V1762,IF(CB1762=1,MAX(1,N(VLOOKUP(T1762,Parameter!$I$27:$K$29,3,0)),H1762,N(N1762)),IF(N(Q1762)&gt;0,Q1762,MAX(1,H1762)))))</f>
        <v>1</v>
      </c>
      <c r="CA1762" s="65" t="n">
        <f aca="false">IF(BY1762="LOSE",1,0)</f>
        <v>1</v>
      </c>
      <c r="CB1762" s="65" t="n">
        <f aca="false">IF(AND(U1762="",OR(P1762="",P1762="LOSE"),T1762&lt;&gt;"",N(S1762)&lt;=0,ISNUMBER(MATCH(T1762,Parameter!$I$27:$I$29,0))),1,0)</f>
        <v>0</v>
      </c>
      <c r="CC1762" s="65" t="n">
        <f aca="false">IF(CR1762&gt;0,INDEX(Parameter!$H$5:$H$7,W1762)/INDEX(Parameter!$E$5:$E$7,W1762),IF(AND(CA1762=0,N(IFERROR(VLOOKUP(BY1762,'Gebinde-Kategorie'!$A$5:$N$45,14,0),0))&gt;0),VLOOKUP(BY1762,'Gebinde-Kategorie'!$A$5:$N$45,14,0)*10+Parameter!$M$23,Parameter!$M$24))</f>
        <v>235</v>
      </c>
      <c r="CD1762" s="60" t="str">
        <f aca="false">IF(AND(Parameter!$B$19="Ja",E1762&lt;&gt;"",ISNUMBER(MATCH(E1762,Parameter!$I$35:$I$52,0))),VLOOKUP(E1762,Parameter!$I$35:$J$52,2,0),IFERROR(VLOOKUP(D1762,Parameter!$A$35:$C$64,2,0),"Nein"))</f>
        <v>2+3</v>
      </c>
      <c r="CE1762" s="64" t="n">
        <f aca="false">IF(CA1762=0,0,IF(N(S1762)&gt;0,S1762,IFERROR(VLOOKUP(D1762,Parameter!$A$35:$C$64,3,0)+0,0)))</f>
        <v>0.15</v>
      </c>
      <c r="CF1762" s="60" t="str">
        <f aca="false">IF(AB1762&lt;&gt;"",AB1762,AA1762)</f>
        <v/>
      </c>
      <c r="CG1762" s="60" t="str">
        <f aca="false">IF(OR(CF1762=1,CF1762=2,CF1762=3),IF(Parameter!$E$27="Ja","LIFT",IF(CF1762=1,"L1","L23")),IF(CF1762="Aussen","Aussen","-"))</f>
        <v>-</v>
      </c>
      <c r="CH1762" s="71" t="n">
        <f aca="false">IF(N(AC1762)&gt;0,AC1762,0)</f>
        <v>0</v>
      </c>
      <c r="CI1762" s="65" t="n">
        <f aca="false">IF(ISNUMBER(AF1762),1,0)</f>
        <v>0</v>
      </c>
      <c r="CJ1762" s="62" t="n">
        <f aca="false">N(AF1762)</f>
        <v>0</v>
      </c>
      <c r="CK1762" s="62" t="n">
        <f aca="false">N(M1762)+N(N1762)</f>
        <v>0</v>
      </c>
      <c r="CL1762" s="62" t="n">
        <f aca="false">N(M1762)</f>
        <v>0</v>
      </c>
      <c r="CM1762" s="62" t="n">
        <f aca="false">N(N1762)</f>
        <v>0</v>
      </c>
      <c r="CN1762" s="62" t="n">
        <f aca="false">ROUNDUP(H1762/BZ1762,0)</f>
        <v>0</v>
      </c>
      <c r="CO1762" s="62" t="n">
        <f aca="false">ROUNDUP(CJ1762/BZ1762,0)</f>
        <v>0</v>
      </c>
      <c r="CP1762" s="65" t="n">
        <f aca="false">IF(CA1762=1,0,IFERROR(VLOOKUP(BY1762,'Gebinde-Kategorie'!$A$5:$N$45,5,0)+0,0))</f>
        <v>0</v>
      </c>
      <c r="CQ1762" s="65" t="n">
        <f aca="false">IFERROR(IF(OR(CF1762=1,CF1762=2,CF1762=3),N(INDEX(Parameter!$I$5:$I$7,CF1762)),0),0)</f>
        <v>0</v>
      </c>
      <c r="CR1762" s="64" t="n">
        <f aca="false">IF(AND(Parameter!$B$21="Ja",ISNUMBER(W1762),N(X1762)&gt;0),IFERROR(N(INDEX(Parameter!$L$5:$L$7,W1762))*INDEX(Parameter!$E$5:$E$7,W1762)*X1762/SUMIFS($X$7:$X$1843,$W$7:$W$1843,W1762),0),0)</f>
        <v>0</v>
      </c>
      <c r="CS1762" s="62" t="str">
        <f aca="false">IF(AND(OR(CG1762="L1",CG1762="L23",CG1762="LIFT"),H1762&gt;0),CC1762*IF(CR1762&gt;0,CR1762*MAX(1,H1762/X1762),IF(CA1762=1,CE1762,IF(R1762&gt;0,CN1762/R1762,0))/MAX(0.1,N(Parameter!$M$21))),"")</f>
        <v/>
      </c>
      <c r="CT1762" s="64" t="str">
        <f aca="false">IF(CS1762="","",J1762/H1762)</f>
        <v/>
      </c>
      <c r="CU1762" s="62" t="str">
        <f aca="false">IF(CS1762="","",H1762*G1762)</f>
        <v/>
      </c>
      <c r="CV1762" s="63" t="str">
        <f aca="false">IF(CS1762="","",(CL1762+ROUNDUP(CL1762+MAX(CM1762,2*(J1762/MAX(0.1,N(Einkauf!$C$6))-CL1762)),0))/2)</f>
        <v/>
      </c>
      <c r="CW1762" s="62" t="str">
        <f aca="false">IF(CS1762="","",MAX(0,H1762-CV1762)*G1762)</f>
        <v/>
      </c>
      <c r="CX1762" s="62" t="str">
        <f aca="false">IF(CS1762="","",CS1762*MAX(0,1-CV1762/H1762))</f>
        <v/>
      </c>
      <c r="CY1762" s="64" t="str">
        <f aca="false">IF(CS1762="","",PERCENTRANK($CS$7:$CS$1843,CS1762)+PERCENTRANK($CU$7:$CU$1843,CU1762)+1-PERCENTRANK($CT$7:$CT$1843,CT1762))</f>
        <v/>
      </c>
      <c r="CZ1762" s="72" t="str">
        <f aca="false">IF(CS1762="","",CHOOSE(MATCH(Einkauf!$C$5,Parameter!$G$23:$G$27,0),CY1762,CS1762,CU1762,-CT1762,CW1762)+ROW()/1000000000)</f>
        <v/>
      </c>
    </row>
    <row r="1763" customFormat="false" ht="15" hidden="false" customHeight="false" outlineLevel="0" collapsed="false">
      <c r="A1763" s="60" t="str">
        <f aca="false">IF('Neue Artikel'!$A$24="","",'Neue Artikel'!$A$24&amp;"")</f>
        <v/>
      </c>
      <c r="B1763" s="60" t="str">
        <f aca="false">'Neue Artikel'!$B$24&amp;""</f>
        <v/>
      </c>
      <c r="C1763" s="60"/>
      <c r="D1763" s="60" t="s">
        <v>3057</v>
      </c>
      <c r="E1763" s="60"/>
      <c r="F1763" s="60"/>
      <c r="G1763" s="61" t="n">
        <f aca="false">N('Neue Artikel'!$G$24)</f>
        <v>0</v>
      </c>
      <c r="H1763" s="62" t="n">
        <f aca="false">MAX(0,IF(AND(Parameter!$B$21="Ja",ISNUMBER(Y1763)),Y1763,IF(Parameter!$B$20="Jahresanfang 2025 + Export",BS1763+BR1763,BR1763)))</f>
        <v>0</v>
      </c>
      <c r="I1763" s="62" t="n">
        <f aca="false">H1763*G1763</f>
        <v>0</v>
      </c>
      <c r="J1763" s="62" t="n">
        <f aca="false">BU1763*Parameter!$B$18</f>
        <v>0</v>
      </c>
      <c r="K1763" s="63"/>
      <c r="L1763" s="64"/>
      <c r="M1763" s="62" t="n">
        <f aca="false">N('Neue Artikel'!$E$24)</f>
        <v>0</v>
      </c>
      <c r="N1763" s="62" t="n">
        <f aca="false">N('Neue Artikel'!$F$24)</f>
        <v>0</v>
      </c>
      <c r="O1763" s="65"/>
      <c r="P1763" s="60" t="str">
        <f aca="false">IF('Neue Artikel'!$H$24="","LOSE",UPPER(TRIM('Neue Artikel'!$H$24)))</f>
        <v>LOSE</v>
      </c>
      <c r="Q1763" s="62" t="n">
        <f aca="false">N('Neue Artikel'!$I$24)</f>
        <v>0</v>
      </c>
      <c r="R1763" s="65" t="n">
        <f aca="false">IF(CA1763=1,0,IFERROR(VLOOKUP(BY1763,'Gebinde-Kategorie'!$A$5:$N$45,13,0)+0,0))</f>
        <v>0</v>
      </c>
      <c r="S1763" s="66"/>
      <c r="T1763" s="67"/>
      <c r="U1763" s="67"/>
      <c r="V1763" s="67"/>
      <c r="W1763" s="60"/>
      <c r="X1763" s="62"/>
      <c r="Y1763" s="62"/>
      <c r="Z1763" s="60"/>
      <c r="AA1763" s="60" t="str">
        <f aca="false">IF(A1763="","",IF(AND(Parameter!$B$21="Ja",ISNUMBER(W1763)),W1763,IF(AND(Parameter!$E$27="Ja",ISNUMBER(Z1763),CD1763&lt;&gt;"Nein"),Z1763,IF(CD1763="2+3",IF(ISNUMBER(SEARCH("grosser Artikel",BV1763)),2,IFERROR(VLOOKUP(BY1763,Parameter!$F$35:$G$64,2,0),2)),IF(OR(CD1763="Nein",CD1763=""),"-",CD1763)))))</f>
        <v/>
      </c>
      <c r="AB1763" s="60" t="str">
        <f aca="false">IF('Neue Artikel'!$J$24="","",'Neue Artikel'!$J$24)</f>
        <v/>
      </c>
      <c r="AC1763" s="68"/>
      <c r="AD1763" s="62" t="n">
        <f aca="false">AW1763</f>
        <v>0</v>
      </c>
      <c r="AE1763" s="62" t="n">
        <f aca="false">MAX(AW1763,H1763)</f>
        <v>0</v>
      </c>
      <c r="AF1763" s="69"/>
      <c r="AG1763" s="62" t="n">
        <f aca="false">IF(LEFT(Cockpit!$C$5,1)="A",H1763,IF(Parameter!$E$30="MAX-Bestand",IF(CI1763=1,CJ1763,IF(LEFT(Cockpit!$C$5,1)="B",AM1763,MAX(AM1763,H1763))),ROUNDUP(AK1763,0)))</f>
        <v>0</v>
      </c>
      <c r="AH1763" s="62" t="n">
        <f aca="false">IF(CA1763=1,0,ROUNDUP(AG1763/BZ1763,0))</f>
        <v>0</v>
      </c>
      <c r="AI1763" s="64" t="n">
        <f aca="false">IF(CR1763&gt;0,CR1763*MAX(1,AG1763/X1763),IF(CA1763=1,IF(AG1763&lt;=0,0,CE1763*MAX(1,IF(H1763&gt;0,AG1763/H1763,1))),IF(R1763&gt;0,AH1763/R1763,0))/MAX(0.1,N(Parameter!$M$21)))</f>
        <v>0</v>
      </c>
      <c r="AJ1763" s="62" t="n">
        <f aca="false">AI1763*CC1763</f>
        <v>0</v>
      </c>
      <c r="AK1763" s="63" t="n">
        <f aca="false">IF(LEFT(Cockpit!$C$5,1)="A",H1763,IF(CI1763=1,(CL1763+CJ1763)/2,IF(LEFT(Cockpit!$C$5,1)="B",(CL1763+AM1763)/2,MAX((CL1763+AM1763)/2,H1763))))</f>
        <v>0</v>
      </c>
      <c r="AL1763" s="62" t="n">
        <f aca="false">AK1763*G1763</f>
        <v>0</v>
      </c>
      <c r="AM1763" s="62" t="n">
        <f aca="false">ROUNDUP(CL1763+MAX(CM1763,2*(J1763/IF(CH1763&gt;0,CH1763,MAX(0.1,N(Cockpit!$C$6)))-CL1763)),0)</f>
        <v>0</v>
      </c>
      <c r="AN1763" s="63" t="n">
        <f aca="false">IF(AJ1763&gt;0,J1763/AJ1763,-1)</f>
        <v>-1</v>
      </c>
      <c r="AO1763" s="63" t="str">
        <f aca="false">IF(AND(OR(CG1763="L1",CG1763="L23",CG1763="LIFT"),AJ1763&gt;0),SUMIFS($AJ$7:$AJ$1843,$CG$7:$CG$1843,CG1763,$AN$7:$AN$1843,"&gt;"&amp;AN1763)+SUMIFS($AJ$7:$AJ$1843,$CG$7:$CG$1843,CG1763,$AN$7:$AN$1843,AN1763,$BX$7:$BX$1843,"&lt;="&amp;BX1763),"")</f>
        <v/>
      </c>
      <c r="AP1763" s="70" t="n">
        <f aca="false">IF(AO1763="",0,MAX(0,MIN(1,(IF(CG1763="L1",Parameter!$H$5,IF(CG1763="L23",Parameter!$H$6+Parameter!$H$7,Parameter!$H$5+Parameter!$H$6+Parameter!$H$7))-(AO1763-AJ1763))/AJ1763)))</f>
        <v>0</v>
      </c>
      <c r="AQ1763" s="62" t="n">
        <f aca="false">IF(LEFT(Cockpit!$I$5,1)="A",H1763,IF(Parameter!$E$30="MAX-Bestand",IF(CI1763=1,CJ1763,IF(LEFT(Cockpit!$I$5,1)="B",AW1763,MAX(AW1763,H1763))),ROUNDUP(AU1763,0)))</f>
        <v>0</v>
      </c>
      <c r="AR1763" s="62" t="n">
        <f aca="false">IF(CA1763=1,0,ROUNDUP(AQ1763/BZ1763,0))</f>
        <v>0</v>
      </c>
      <c r="AS1763" s="64" t="n">
        <f aca="false">IF(CR1763&gt;0,CR1763*MAX(1,AQ1763/X1763),IF(CA1763=1,IF(AQ1763&lt;=0,0,CE1763*MAX(1,IF(H1763&gt;0,AQ1763/H1763,1))),IF(R1763&gt;0,AR1763/R1763,0))/MAX(0.1,N(Parameter!$M$21)))</f>
        <v>0</v>
      </c>
      <c r="AT1763" s="62" t="n">
        <f aca="false">AS1763*CC1763</f>
        <v>0</v>
      </c>
      <c r="AU1763" s="63" t="n">
        <f aca="false">IF(LEFT(Cockpit!$I$5,1)="A",H1763,IF(CI1763=1,(CL1763+CJ1763)/2,IF(LEFT(Cockpit!$I$5,1)="B",(CL1763+AW1763)/2,MAX((CL1763+AW1763)/2,H1763))))</f>
        <v>0</v>
      </c>
      <c r="AV1763" s="62" t="n">
        <f aca="false">AU1763*G1763</f>
        <v>0</v>
      </c>
      <c r="AW1763" s="62" t="n">
        <f aca="false">ROUNDUP(CL1763+MAX(CM1763,2*(J1763/IF(CH1763&gt;0,CH1763,MAX(0.1,N(Cockpit!$I$6)))-CL1763)),0)</f>
        <v>0</v>
      </c>
      <c r="AX1763" s="63" t="n">
        <f aca="false">IF(AT1763&gt;0,J1763/AT1763,-1)</f>
        <v>-1</v>
      </c>
      <c r="AY1763" s="63" t="str">
        <f aca="false">IF(AND(OR(CG1763="L1",CG1763="L23",CG1763="LIFT"),AT1763&gt;0),SUMIFS($AT$7:$AT$1843,$CG$7:$CG$1843,CG1763,$AX$7:$AX$1843,"&gt;"&amp;AX1763)+SUMIFS($AT$7:$AT$1843,$CG$7:$CG$1843,CG1763,$AX$7:$AX$1843,AX1763,$BX$7:$BX$1843,"&lt;="&amp;BX1763),"")</f>
        <v/>
      </c>
      <c r="AZ1763" s="70" t="n">
        <f aca="false">IF(AY1763="",0,MAX(0,MIN(1,(IF(CG1763="L1",Parameter!$H$5,IF(CG1763="L23",Parameter!$H$6+Parameter!$H$7,Parameter!$H$5+Parameter!$H$6+Parameter!$H$7))-(AY1763-AT1763))/AT1763)))</f>
        <v>0</v>
      </c>
      <c r="BA1763" s="62" t="n">
        <f aca="false">IF(LEFT(Cockpit!$O$5,1)="A",H1763,IF(Parameter!$E$30="MAX-Bestand",IF(CI1763=1,CJ1763,IF(LEFT(Cockpit!$O$5,1)="B",BG1763,MAX(BG1763,H1763))),ROUNDUP(BE1763,0)))</f>
        <v>0</v>
      </c>
      <c r="BB1763" s="62" t="n">
        <f aca="false">IF(CA1763=1,0,ROUNDUP(BA1763/BZ1763,0))</f>
        <v>0</v>
      </c>
      <c r="BC1763" s="64" t="n">
        <f aca="false">IF(CR1763&gt;0,CR1763*MAX(1,BA1763/X1763),IF(CA1763=1,IF(BA1763&lt;=0,0,CE1763*MAX(1,IF(H1763&gt;0,BA1763/H1763,1))),IF(R1763&gt;0,BB1763/R1763,0))/MAX(0.1,N(Parameter!$M$21)))</f>
        <v>0</v>
      </c>
      <c r="BD1763" s="62" t="n">
        <f aca="false">BC1763*CC1763</f>
        <v>0</v>
      </c>
      <c r="BE1763" s="63" t="n">
        <f aca="false">IF(LEFT(Cockpit!$O$5,1)="A",H1763,IF(CI1763=1,(CL1763+CJ1763)/2,IF(LEFT(Cockpit!$O$5,1)="B",(CL1763+BG1763)/2,MAX((CL1763+BG1763)/2,H1763))))</f>
        <v>0</v>
      </c>
      <c r="BF1763" s="62" t="n">
        <f aca="false">BE1763*G1763</f>
        <v>0</v>
      </c>
      <c r="BG1763" s="62" t="n">
        <f aca="false">ROUNDUP(CL1763+MAX(CM1763,2*(J1763/IF(CH1763&gt;0,CH1763,MAX(0.1,N(Cockpit!$O$6)))-CL1763)),0)</f>
        <v>0</v>
      </c>
      <c r="BH1763" s="63" t="n">
        <f aca="false">IF(BD1763&gt;0,J1763/BD1763,-1)</f>
        <v>-1</v>
      </c>
      <c r="BI1763" s="63" t="str">
        <f aca="false">IF(AND(OR(CG1763="L1",CG1763="L23",CG1763="LIFT"),BD1763&gt;0),SUMIFS($BD$7:$BD$1843,$CG$7:$CG$1843,CG1763,$BH$7:$BH$1843,"&gt;"&amp;BH1763)+SUMIFS($BD$7:$BD$1843,$CG$7:$CG$1843,CG1763,$BH$7:$BH$1843,BH1763,$BX$7:$BX$1843,"&lt;="&amp;BX1763),"")</f>
        <v/>
      </c>
      <c r="BJ1763" s="70" t="n">
        <f aca="false">IF(BI1763="",0,MAX(0,MIN(1,(IF(CG1763="L1",Parameter!$H$5,IF(CG1763="L23",Parameter!$H$6+Parameter!$H$7,Parameter!$H$5+Parameter!$H$6+Parameter!$H$7))-(BI1763-BD1763))/BD1763)))</f>
        <v>0</v>
      </c>
      <c r="BK1763" s="60" t="str">
        <f aca="false">IF(AJ1763&lt;=0,"",IF(CG1763="Aussen","Aussenlager",IF(CG1763="-","Nicht im Lift",IF(AP1763&gt;=1,"Lift",IF(AP1763&lt;=0,"Aussenlager","teilweise")))))</f>
        <v/>
      </c>
      <c r="BL1763" s="60" t="str">
        <f aca="false">IF(AT1763&lt;=0,"",IF(CG1763="Aussen","Aussenlager",IF(CG1763="-","Nicht im Lift",IF(AZ1763&gt;=1,"Lift",IF(AZ1763&lt;=0,"Aussenlager","teilweise")))))</f>
        <v/>
      </c>
      <c r="BM1763" s="60" t="str">
        <f aca="false">IF(BD1763&lt;=0,"",IF(CG1763="Aussen","Aussenlager",IF(CG1763="-","Nicht im Lift",IF(BJ1763&gt;=1,"Lift",IF(BJ1763&lt;=0,"Aussenlager","teilweise")))))</f>
        <v/>
      </c>
      <c r="BN1763" s="60" t="str">
        <f aca="false">IF(A1763="","",IF(BW1763=1,"Neu; ","")&amp;IF(AND(BW1763=0,BR1763&lt;0),"negativer Bestand (Export "&amp;BR1763&amp;"); ","")&amp;IF(J1763&lt;=0,"Kein Verbrauch; ","")&amp;IF(CR1763&gt;0,"Lift "&amp;W1763&amp;" lt. Liftbericht (Fach "&amp;X1763&amp;" Stk); ",IF(CB1763=1,"Gebinde geschätzt ("&amp;T1763&amp;"); ",IF(CA1763=1,"Lose – Tablare geschätzt; ","")))&amp;IF(H1763&gt;AW1763,"Überbestand "&amp;ROUND(H1763-AW1763,0)&amp;" Stk / CHF "&amp;ROUND((H1763-AW1763)*G1763,0)&amp;"; ","")&amp;IF(AND(CI1763=1,CJ1763&lt;CK1763),"MAX &lt; MB+LG; ","")&amp;IF(AND(CQ1763&gt;0,CP1763*10&gt;CQ1763),"zu hoch für Tablar; ","")&amp;IF(AND(BW1763=0,OR(CI1763=1,AB1763&lt;&gt;"",U1763&lt;&gt;"",V1763&lt;&gt;"",AC1763&lt;&gt;"")),"manuell übersteuert; ","")&amp;IF(AND(CA1763=0,R1763=0),"Gebinde unbekannt / Stellmass fehlt; ","")&amp;IF(AND(CA1763=0,N(V1763)&lt;=0,N(Q1763)&lt;=0),"Menge pro Gebinde fehlt (Ist = 1 Gebinde); ","")&amp;BV1763)</f>
        <v/>
      </c>
      <c r="BO1763" s="60"/>
      <c r="BP1763" s="60"/>
      <c r="BQ1763" s="67"/>
      <c r="BR1763" s="62" t="n">
        <f aca="false">N('Neue Artikel'!$D$24)</f>
        <v>0</v>
      </c>
      <c r="BS1763" s="62" t="n">
        <v>0</v>
      </c>
      <c r="BT1763" s="61" t="n">
        <v>0</v>
      </c>
      <c r="BU1763" s="62" t="n">
        <f aca="false">N('Neue Artikel'!$C$24)/Parameter!$B$18</f>
        <v>0</v>
      </c>
      <c r="BV1763" s="60"/>
      <c r="BW1763" s="65" t="n">
        <v>1</v>
      </c>
      <c r="BX1763" s="65" t="n">
        <v>1763</v>
      </c>
      <c r="BY1763" s="60" t="str">
        <f aca="false">IF(U1763&lt;&gt;"",UPPER(TRIM(U1763)),IF(CB1763=1,UPPER(VLOOKUP(T1763,Parameter!$I$27:$K$29,2,0)),IF(P1763="","LOSE",P1763)))</f>
        <v>LOSE</v>
      </c>
      <c r="BZ1763" s="62" t="n">
        <f aca="false">IF(BY1763="LOSE",1,IF(N(V1763)&gt;0,V1763,IF(CB1763=1,MAX(1,N(VLOOKUP(T1763,Parameter!$I$27:$K$29,3,0)),H1763,N(N1763)),IF(N(Q1763)&gt;0,Q1763,MAX(1,H1763)))))</f>
        <v>1</v>
      </c>
      <c r="CA1763" s="65" t="n">
        <f aca="false">IF(BY1763="LOSE",1,0)</f>
        <v>1</v>
      </c>
      <c r="CB1763" s="65" t="n">
        <f aca="false">IF(AND(U1763="",OR(P1763="",P1763="LOSE"),T1763&lt;&gt;"",N(S1763)&lt;=0,ISNUMBER(MATCH(T1763,Parameter!$I$27:$I$29,0))),1,0)</f>
        <v>0</v>
      </c>
      <c r="CC1763" s="65" t="n">
        <f aca="false">IF(CR1763&gt;0,INDEX(Parameter!$H$5:$H$7,W1763)/INDEX(Parameter!$E$5:$E$7,W1763),IF(AND(CA1763=0,N(IFERROR(VLOOKUP(BY1763,'Gebinde-Kategorie'!$A$5:$N$45,14,0),0))&gt;0),VLOOKUP(BY1763,'Gebinde-Kategorie'!$A$5:$N$45,14,0)*10+Parameter!$M$23,Parameter!$M$24))</f>
        <v>235</v>
      </c>
      <c r="CD1763" s="60" t="str">
        <f aca="false">IF(AND(Parameter!$B$19="Ja",E1763&lt;&gt;"",ISNUMBER(MATCH(E1763,Parameter!$I$35:$I$52,0))),VLOOKUP(E1763,Parameter!$I$35:$J$52,2,0),IFERROR(VLOOKUP(D1763,Parameter!$A$35:$C$64,2,0),"Nein"))</f>
        <v>2+3</v>
      </c>
      <c r="CE1763" s="64" t="n">
        <f aca="false">IF(CA1763=0,0,IF(N(S1763)&gt;0,S1763,IFERROR(VLOOKUP(D1763,Parameter!$A$35:$C$64,3,0)+0,0)))</f>
        <v>0.15</v>
      </c>
      <c r="CF1763" s="60" t="str">
        <f aca="false">IF(AB1763&lt;&gt;"",AB1763,AA1763)</f>
        <v/>
      </c>
      <c r="CG1763" s="60" t="str">
        <f aca="false">IF(OR(CF1763=1,CF1763=2,CF1763=3),IF(Parameter!$E$27="Ja","LIFT",IF(CF1763=1,"L1","L23")),IF(CF1763="Aussen","Aussen","-"))</f>
        <v>-</v>
      </c>
      <c r="CH1763" s="71" t="n">
        <f aca="false">IF(N(AC1763)&gt;0,AC1763,0)</f>
        <v>0</v>
      </c>
      <c r="CI1763" s="65" t="n">
        <f aca="false">IF(ISNUMBER(AF1763),1,0)</f>
        <v>0</v>
      </c>
      <c r="CJ1763" s="62" t="n">
        <f aca="false">N(AF1763)</f>
        <v>0</v>
      </c>
      <c r="CK1763" s="62" t="n">
        <f aca="false">N(M1763)+N(N1763)</f>
        <v>0</v>
      </c>
      <c r="CL1763" s="62" t="n">
        <f aca="false">N(M1763)</f>
        <v>0</v>
      </c>
      <c r="CM1763" s="62" t="n">
        <f aca="false">N(N1763)</f>
        <v>0</v>
      </c>
      <c r="CN1763" s="62" t="n">
        <f aca="false">ROUNDUP(H1763/BZ1763,0)</f>
        <v>0</v>
      </c>
      <c r="CO1763" s="62" t="n">
        <f aca="false">ROUNDUP(CJ1763/BZ1763,0)</f>
        <v>0</v>
      </c>
      <c r="CP1763" s="65" t="n">
        <f aca="false">IF(CA1763=1,0,IFERROR(VLOOKUP(BY1763,'Gebinde-Kategorie'!$A$5:$N$45,5,0)+0,0))</f>
        <v>0</v>
      </c>
      <c r="CQ1763" s="65" t="n">
        <f aca="false">IFERROR(IF(OR(CF1763=1,CF1763=2,CF1763=3),N(INDEX(Parameter!$I$5:$I$7,CF1763)),0),0)</f>
        <v>0</v>
      </c>
      <c r="CR1763" s="64" t="n">
        <f aca="false">IF(AND(Parameter!$B$21="Ja",ISNUMBER(W1763),N(X1763)&gt;0),IFERROR(N(INDEX(Parameter!$L$5:$L$7,W1763))*INDEX(Parameter!$E$5:$E$7,W1763)*X1763/SUMIFS($X$7:$X$1843,$W$7:$W$1843,W1763),0),0)</f>
        <v>0</v>
      </c>
      <c r="CS1763" s="62" t="str">
        <f aca="false">IF(AND(OR(CG1763="L1",CG1763="L23",CG1763="LIFT"),H1763&gt;0),CC1763*IF(CR1763&gt;0,CR1763*MAX(1,H1763/X1763),IF(CA1763=1,CE1763,IF(R1763&gt;0,CN1763/R1763,0))/MAX(0.1,N(Parameter!$M$21))),"")</f>
        <v/>
      </c>
      <c r="CT1763" s="64" t="str">
        <f aca="false">IF(CS1763="","",J1763/H1763)</f>
        <v/>
      </c>
      <c r="CU1763" s="62" t="str">
        <f aca="false">IF(CS1763="","",H1763*G1763)</f>
        <v/>
      </c>
      <c r="CV1763" s="63" t="str">
        <f aca="false">IF(CS1763="","",(CL1763+ROUNDUP(CL1763+MAX(CM1763,2*(J1763/MAX(0.1,N(Einkauf!$C$6))-CL1763)),0))/2)</f>
        <v/>
      </c>
      <c r="CW1763" s="62" t="str">
        <f aca="false">IF(CS1763="","",MAX(0,H1763-CV1763)*G1763)</f>
        <v/>
      </c>
      <c r="CX1763" s="62" t="str">
        <f aca="false">IF(CS1763="","",CS1763*MAX(0,1-CV1763/H1763))</f>
        <v/>
      </c>
      <c r="CY1763" s="64" t="str">
        <f aca="false">IF(CS1763="","",PERCENTRANK($CS$7:$CS$1843,CS1763)+PERCENTRANK($CU$7:$CU$1843,CU1763)+1-PERCENTRANK($CT$7:$CT$1843,CT1763))</f>
        <v/>
      </c>
      <c r="CZ1763" s="72" t="str">
        <f aca="false">IF(CS1763="","",CHOOSE(MATCH(Einkauf!$C$5,Parameter!$G$23:$G$27,0),CY1763,CS1763,CU1763,-CT1763,CW1763)+ROW()/1000000000)</f>
        <v/>
      </c>
    </row>
    <row r="1764" customFormat="false" ht="15" hidden="false" customHeight="false" outlineLevel="0" collapsed="false">
      <c r="A1764" s="60" t="str">
        <f aca="false">IF('Neue Artikel'!$A$25="","",'Neue Artikel'!$A$25&amp;"")</f>
        <v/>
      </c>
      <c r="B1764" s="60" t="str">
        <f aca="false">'Neue Artikel'!$B$25&amp;""</f>
        <v/>
      </c>
      <c r="C1764" s="60"/>
      <c r="D1764" s="60" t="s">
        <v>3057</v>
      </c>
      <c r="E1764" s="60"/>
      <c r="F1764" s="60"/>
      <c r="G1764" s="61" t="n">
        <f aca="false">N('Neue Artikel'!$G$25)</f>
        <v>0</v>
      </c>
      <c r="H1764" s="62" t="n">
        <f aca="false">MAX(0,IF(AND(Parameter!$B$21="Ja",ISNUMBER(Y1764)),Y1764,IF(Parameter!$B$20="Jahresanfang 2025 + Export",BS1764+BR1764,BR1764)))</f>
        <v>0</v>
      </c>
      <c r="I1764" s="62" t="n">
        <f aca="false">H1764*G1764</f>
        <v>0</v>
      </c>
      <c r="J1764" s="62" t="n">
        <f aca="false">BU1764*Parameter!$B$18</f>
        <v>0</v>
      </c>
      <c r="K1764" s="63"/>
      <c r="L1764" s="64"/>
      <c r="M1764" s="62" t="n">
        <f aca="false">N('Neue Artikel'!$E$25)</f>
        <v>0</v>
      </c>
      <c r="N1764" s="62" t="n">
        <f aca="false">N('Neue Artikel'!$F$25)</f>
        <v>0</v>
      </c>
      <c r="O1764" s="65"/>
      <c r="P1764" s="60" t="str">
        <f aca="false">IF('Neue Artikel'!$H$25="","LOSE",UPPER(TRIM('Neue Artikel'!$H$25)))</f>
        <v>LOSE</v>
      </c>
      <c r="Q1764" s="62" t="n">
        <f aca="false">N('Neue Artikel'!$I$25)</f>
        <v>0</v>
      </c>
      <c r="R1764" s="65" t="n">
        <f aca="false">IF(CA1764=1,0,IFERROR(VLOOKUP(BY1764,'Gebinde-Kategorie'!$A$5:$N$45,13,0)+0,0))</f>
        <v>0</v>
      </c>
      <c r="S1764" s="66"/>
      <c r="T1764" s="67"/>
      <c r="U1764" s="67"/>
      <c r="V1764" s="67"/>
      <c r="W1764" s="60"/>
      <c r="X1764" s="62"/>
      <c r="Y1764" s="62"/>
      <c r="Z1764" s="60"/>
      <c r="AA1764" s="60" t="str">
        <f aca="false">IF(A1764="","",IF(AND(Parameter!$B$21="Ja",ISNUMBER(W1764)),W1764,IF(AND(Parameter!$E$27="Ja",ISNUMBER(Z1764),CD1764&lt;&gt;"Nein"),Z1764,IF(CD1764="2+3",IF(ISNUMBER(SEARCH("grosser Artikel",BV1764)),2,IFERROR(VLOOKUP(BY1764,Parameter!$F$35:$G$64,2,0),2)),IF(OR(CD1764="Nein",CD1764=""),"-",CD1764)))))</f>
        <v/>
      </c>
      <c r="AB1764" s="60" t="str">
        <f aca="false">IF('Neue Artikel'!$J$25="","",'Neue Artikel'!$J$25)</f>
        <v/>
      </c>
      <c r="AC1764" s="68"/>
      <c r="AD1764" s="62" t="n">
        <f aca="false">AW1764</f>
        <v>0</v>
      </c>
      <c r="AE1764" s="62" t="n">
        <f aca="false">MAX(AW1764,H1764)</f>
        <v>0</v>
      </c>
      <c r="AF1764" s="69"/>
      <c r="AG1764" s="62" t="n">
        <f aca="false">IF(LEFT(Cockpit!$C$5,1)="A",H1764,IF(Parameter!$E$30="MAX-Bestand",IF(CI1764=1,CJ1764,IF(LEFT(Cockpit!$C$5,1)="B",AM1764,MAX(AM1764,H1764))),ROUNDUP(AK1764,0)))</f>
        <v>0</v>
      </c>
      <c r="AH1764" s="62" t="n">
        <f aca="false">IF(CA1764=1,0,ROUNDUP(AG1764/BZ1764,0))</f>
        <v>0</v>
      </c>
      <c r="AI1764" s="64" t="n">
        <f aca="false">IF(CR1764&gt;0,CR1764*MAX(1,AG1764/X1764),IF(CA1764=1,IF(AG1764&lt;=0,0,CE1764*MAX(1,IF(H1764&gt;0,AG1764/H1764,1))),IF(R1764&gt;0,AH1764/R1764,0))/MAX(0.1,N(Parameter!$M$21)))</f>
        <v>0</v>
      </c>
      <c r="AJ1764" s="62" t="n">
        <f aca="false">AI1764*CC1764</f>
        <v>0</v>
      </c>
      <c r="AK1764" s="63" t="n">
        <f aca="false">IF(LEFT(Cockpit!$C$5,1)="A",H1764,IF(CI1764=1,(CL1764+CJ1764)/2,IF(LEFT(Cockpit!$C$5,1)="B",(CL1764+AM1764)/2,MAX((CL1764+AM1764)/2,H1764))))</f>
        <v>0</v>
      </c>
      <c r="AL1764" s="62" t="n">
        <f aca="false">AK1764*G1764</f>
        <v>0</v>
      </c>
      <c r="AM1764" s="62" t="n">
        <f aca="false">ROUNDUP(CL1764+MAX(CM1764,2*(J1764/IF(CH1764&gt;0,CH1764,MAX(0.1,N(Cockpit!$C$6)))-CL1764)),0)</f>
        <v>0</v>
      </c>
      <c r="AN1764" s="63" t="n">
        <f aca="false">IF(AJ1764&gt;0,J1764/AJ1764,-1)</f>
        <v>-1</v>
      </c>
      <c r="AO1764" s="63" t="str">
        <f aca="false">IF(AND(OR(CG1764="L1",CG1764="L23",CG1764="LIFT"),AJ1764&gt;0),SUMIFS($AJ$7:$AJ$1843,$CG$7:$CG$1843,CG1764,$AN$7:$AN$1843,"&gt;"&amp;AN1764)+SUMIFS($AJ$7:$AJ$1843,$CG$7:$CG$1843,CG1764,$AN$7:$AN$1843,AN1764,$BX$7:$BX$1843,"&lt;="&amp;BX1764),"")</f>
        <v/>
      </c>
      <c r="AP1764" s="70" t="n">
        <f aca="false">IF(AO1764="",0,MAX(0,MIN(1,(IF(CG1764="L1",Parameter!$H$5,IF(CG1764="L23",Parameter!$H$6+Parameter!$H$7,Parameter!$H$5+Parameter!$H$6+Parameter!$H$7))-(AO1764-AJ1764))/AJ1764)))</f>
        <v>0</v>
      </c>
      <c r="AQ1764" s="62" t="n">
        <f aca="false">IF(LEFT(Cockpit!$I$5,1)="A",H1764,IF(Parameter!$E$30="MAX-Bestand",IF(CI1764=1,CJ1764,IF(LEFT(Cockpit!$I$5,1)="B",AW1764,MAX(AW1764,H1764))),ROUNDUP(AU1764,0)))</f>
        <v>0</v>
      </c>
      <c r="AR1764" s="62" t="n">
        <f aca="false">IF(CA1764=1,0,ROUNDUP(AQ1764/BZ1764,0))</f>
        <v>0</v>
      </c>
      <c r="AS1764" s="64" t="n">
        <f aca="false">IF(CR1764&gt;0,CR1764*MAX(1,AQ1764/X1764),IF(CA1764=1,IF(AQ1764&lt;=0,0,CE1764*MAX(1,IF(H1764&gt;0,AQ1764/H1764,1))),IF(R1764&gt;0,AR1764/R1764,0))/MAX(0.1,N(Parameter!$M$21)))</f>
        <v>0</v>
      </c>
      <c r="AT1764" s="62" t="n">
        <f aca="false">AS1764*CC1764</f>
        <v>0</v>
      </c>
      <c r="AU1764" s="63" t="n">
        <f aca="false">IF(LEFT(Cockpit!$I$5,1)="A",H1764,IF(CI1764=1,(CL1764+CJ1764)/2,IF(LEFT(Cockpit!$I$5,1)="B",(CL1764+AW1764)/2,MAX((CL1764+AW1764)/2,H1764))))</f>
        <v>0</v>
      </c>
      <c r="AV1764" s="62" t="n">
        <f aca="false">AU1764*G1764</f>
        <v>0</v>
      </c>
      <c r="AW1764" s="62" t="n">
        <f aca="false">ROUNDUP(CL1764+MAX(CM1764,2*(J1764/IF(CH1764&gt;0,CH1764,MAX(0.1,N(Cockpit!$I$6)))-CL1764)),0)</f>
        <v>0</v>
      </c>
      <c r="AX1764" s="63" t="n">
        <f aca="false">IF(AT1764&gt;0,J1764/AT1764,-1)</f>
        <v>-1</v>
      </c>
      <c r="AY1764" s="63" t="str">
        <f aca="false">IF(AND(OR(CG1764="L1",CG1764="L23",CG1764="LIFT"),AT1764&gt;0),SUMIFS($AT$7:$AT$1843,$CG$7:$CG$1843,CG1764,$AX$7:$AX$1843,"&gt;"&amp;AX1764)+SUMIFS($AT$7:$AT$1843,$CG$7:$CG$1843,CG1764,$AX$7:$AX$1843,AX1764,$BX$7:$BX$1843,"&lt;="&amp;BX1764),"")</f>
        <v/>
      </c>
      <c r="AZ1764" s="70" t="n">
        <f aca="false">IF(AY1764="",0,MAX(0,MIN(1,(IF(CG1764="L1",Parameter!$H$5,IF(CG1764="L23",Parameter!$H$6+Parameter!$H$7,Parameter!$H$5+Parameter!$H$6+Parameter!$H$7))-(AY1764-AT1764))/AT1764)))</f>
        <v>0</v>
      </c>
      <c r="BA1764" s="62" t="n">
        <f aca="false">IF(LEFT(Cockpit!$O$5,1)="A",H1764,IF(Parameter!$E$30="MAX-Bestand",IF(CI1764=1,CJ1764,IF(LEFT(Cockpit!$O$5,1)="B",BG1764,MAX(BG1764,H1764))),ROUNDUP(BE1764,0)))</f>
        <v>0</v>
      </c>
      <c r="BB1764" s="62" t="n">
        <f aca="false">IF(CA1764=1,0,ROUNDUP(BA1764/BZ1764,0))</f>
        <v>0</v>
      </c>
      <c r="BC1764" s="64" t="n">
        <f aca="false">IF(CR1764&gt;0,CR1764*MAX(1,BA1764/X1764),IF(CA1764=1,IF(BA1764&lt;=0,0,CE1764*MAX(1,IF(H1764&gt;0,BA1764/H1764,1))),IF(R1764&gt;0,BB1764/R1764,0))/MAX(0.1,N(Parameter!$M$21)))</f>
        <v>0</v>
      </c>
      <c r="BD1764" s="62" t="n">
        <f aca="false">BC1764*CC1764</f>
        <v>0</v>
      </c>
      <c r="BE1764" s="63" t="n">
        <f aca="false">IF(LEFT(Cockpit!$O$5,1)="A",H1764,IF(CI1764=1,(CL1764+CJ1764)/2,IF(LEFT(Cockpit!$O$5,1)="B",(CL1764+BG1764)/2,MAX((CL1764+BG1764)/2,H1764))))</f>
        <v>0</v>
      </c>
      <c r="BF1764" s="62" t="n">
        <f aca="false">BE1764*G1764</f>
        <v>0</v>
      </c>
      <c r="BG1764" s="62" t="n">
        <f aca="false">ROUNDUP(CL1764+MAX(CM1764,2*(J1764/IF(CH1764&gt;0,CH1764,MAX(0.1,N(Cockpit!$O$6)))-CL1764)),0)</f>
        <v>0</v>
      </c>
      <c r="BH1764" s="63" t="n">
        <f aca="false">IF(BD1764&gt;0,J1764/BD1764,-1)</f>
        <v>-1</v>
      </c>
      <c r="BI1764" s="63" t="str">
        <f aca="false">IF(AND(OR(CG1764="L1",CG1764="L23",CG1764="LIFT"),BD1764&gt;0),SUMIFS($BD$7:$BD$1843,$CG$7:$CG$1843,CG1764,$BH$7:$BH$1843,"&gt;"&amp;BH1764)+SUMIFS($BD$7:$BD$1843,$CG$7:$CG$1843,CG1764,$BH$7:$BH$1843,BH1764,$BX$7:$BX$1843,"&lt;="&amp;BX1764),"")</f>
        <v/>
      </c>
      <c r="BJ1764" s="70" t="n">
        <f aca="false">IF(BI1764="",0,MAX(0,MIN(1,(IF(CG1764="L1",Parameter!$H$5,IF(CG1764="L23",Parameter!$H$6+Parameter!$H$7,Parameter!$H$5+Parameter!$H$6+Parameter!$H$7))-(BI1764-BD1764))/BD1764)))</f>
        <v>0</v>
      </c>
      <c r="BK1764" s="60" t="str">
        <f aca="false">IF(AJ1764&lt;=0,"",IF(CG1764="Aussen","Aussenlager",IF(CG1764="-","Nicht im Lift",IF(AP1764&gt;=1,"Lift",IF(AP1764&lt;=0,"Aussenlager","teilweise")))))</f>
        <v/>
      </c>
      <c r="BL1764" s="60" t="str">
        <f aca="false">IF(AT1764&lt;=0,"",IF(CG1764="Aussen","Aussenlager",IF(CG1764="-","Nicht im Lift",IF(AZ1764&gt;=1,"Lift",IF(AZ1764&lt;=0,"Aussenlager","teilweise")))))</f>
        <v/>
      </c>
      <c r="BM1764" s="60" t="str">
        <f aca="false">IF(BD1764&lt;=0,"",IF(CG1764="Aussen","Aussenlager",IF(CG1764="-","Nicht im Lift",IF(BJ1764&gt;=1,"Lift",IF(BJ1764&lt;=0,"Aussenlager","teilweise")))))</f>
        <v/>
      </c>
      <c r="BN1764" s="60" t="str">
        <f aca="false">IF(A1764="","",IF(BW1764=1,"Neu; ","")&amp;IF(AND(BW1764=0,BR1764&lt;0),"negativer Bestand (Export "&amp;BR1764&amp;"); ","")&amp;IF(J1764&lt;=0,"Kein Verbrauch; ","")&amp;IF(CR1764&gt;0,"Lift "&amp;W1764&amp;" lt. Liftbericht (Fach "&amp;X1764&amp;" Stk); ",IF(CB1764=1,"Gebinde geschätzt ("&amp;T1764&amp;"); ",IF(CA1764=1,"Lose – Tablare geschätzt; ","")))&amp;IF(H1764&gt;AW1764,"Überbestand "&amp;ROUND(H1764-AW1764,0)&amp;" Stk / CHF "&amp;ROUND((H1764-AW1764)*G1764,0)&amp;"; ","")&amp;IF(AND(CI1764=1,CJ1764&lt;CK1764),"MAX &lt; MB+LG; ","")&amp;IF(AND(CQ1764&gt;0,CP1764*10&gt;CQ1764),"zu hoch für Tablar; ","")&amp;IF(AND(BW1764=0,OR(CI1764=1,AB1764&lt;&gt;"",U1764&lt;&gt;"",V1764&lt;&gt;"",AC1764&lt;&gt;"")),"manuell übersteuert; ","")&amp;IF(AND(CA1764=0,R1764=0),"Gebinde unbekannt / Stellmass fehlt; ","")&amp;IF(AND(CA1764=0,N(V1764)&lt;=0,N(Q1764)&lt;=0),"Menge pro Gebinde fehlt (Ist = 1 Gebinde); ","")&amp;BV1764)</f>
        <v/>
      </c>
      <c r="BO1764" s="60"/>
      <c r="BP1764" s="60"/>
      <c r="BQ1764" s="67"/>
      <c r="BR1764" s="62" t="n">
        <f aca="false">N('Neue Artikel'!$D$25)</f>
        <v>0</v>
      </c>
      <c r="BS1764" s="62" t="n">
        <v>0</v>
      </c>
      <c r="BT1764" s="61" t="n">
        <v>0</v>
      </c>
      <c r="BU1764" s="62" t="n">
        <f aca="false">N('Neue Artikel'!$C$25)/Parameter!$B$18</f>
        <v>0</v>
      </c>
      <c r="BV1764" s="60"/>
      <c r="BW1764" s="65" t="n">
        <v>1</v>
      </c>
      <c r="BX1764" s="65" t="n">
        <v>1764</v>
      </c>
      <c r="BY1764" s="60" t="str">
        <f aca="false">IF(U1764&lt;&gt;"",UPPER(TRIM(U1764)),IF(CB1764=1,UPPER(VLOOKUP(T1764,Parameter!$I$27:$K$29,2,0)),IF(P1764="","LOSE",P1764)))</f>
        <v>LOSE</v>
      </c>
      <c r="BZ1764" s="62" t="n">
        <f aca="false">IF(BY1764="LOSE",1,IF(N(V1764)&gt;0,V1764,IF(CB1764=1,MAX(1,N(VLOOKUP(T1764,Parameter!$I$27:$K$29,3,0)),H1764,N(N1764)),IF(N(Q1764)&gt;0,Q1764,MAX(1,H1764)))))</f>
        <v>1</v>
      </c>
      <c r="CA1764" s="65" t="n">
        <f aca="false">IF(BY1764="LOSE",1,0)</f>
        <v>1</v>
      </c>
      <c r="CB1764" s="65" t="n">
        <f aca="false">IF(AND(U1764="",OR(P1764="",P1764="LOSE"),T1764&lt;&gt;"",N(S1764)&lt;=0,ISNUMBER(MATCH(T1764,Parameter!$I$27:$I$29,0))),1,0)</f>
        <v>0</v>
      </c>
      <c r="CC1764" s="65" t="n">
        <f aca="false">IF(CR1764&gt;0,INDEX(Parameter!$H$5:$H$7,W1764)/INDEX(Parameter!$E$5:$E$7,W1764),IF(AND(CA1764=0,N(IFERROR(VLOOKUP(BY1764,'Gebinde-Kategorie'!$A$5:$N$45,14,0),0))&gt;0),VLOOKUP(BY1764,'Gebinde-Kategorie'!$A$5:$N$45,14,0)*10+Parameter!$M$23,Parameter!$M$24))</f>
        <v>235</v>
      </c>
      <c r="CD1764" s="60" t="str">
        <f aca="false">IF(AND(Parameter!$B$19="Ja",E1764&lt;&gt;"",ISNUMBER(MATCH(E1764,Parameter!$I$35:$I$52,0))),VLOOKUP(E1764,Parameter!$I$35:$J$52,2,0),IFERROR(VLOOKUP(D1764,Parameter!$A$35:$C$64,2,0),"Nein"))</f>
        <v>2+3</v>
      </c>
      <c r="CE1764" s="64" t="n">
        <f aca="false">IF(CA1764=0,0,IF(N(S1764)&gt;0,S1764,IFERROR(VLOOKUP(D1764,Parameter!$A$35:$C$64,3,0)+0,0)))</f>
        <v>0.15</v>
      </c>
      <c r="CF1764" s="60" t="str">
        <f aca="false">IF(AB1764&lt;&gt;"",AB1764,AA1764)</f>
        <v/>
      </c>
      <c r="CG1764" s="60" t="str">
        <f aca="false">IF(OR(CF1764=1,CF1764=2,CF1764=3),IF(Parameter!$E$27="Ja","LIFT",IF(CF1764=1,"L1","L23")),IF(CF1764="Aussen","Aussen","-"))</f>
        <v>-</v>
      </c>
      <c r="CH1764" s="71" t="n">
        <f aca="false">IF(N(AC1764)&gt;0,AC1764,0)</f>
        <v>0</v>
      </c>
      <c r="CI1764" s="65" t="n">
        <f aca="false">IF(ISNUMBER(AF1764),1,0)</f>
        <v>0</v>
      </c>
      <c r="CJ1764" s="62" t="n">
        <f aca="false">N(AF1764)</f>
        <v>0</v>
      </c>
      <c r="CK1764" s="62" t="n">
        <f aca="false">N(M1764)+N(N1764)</f>
        <v>0</v>
      </c>
      <c r="CL1764" s="62" t="n">
        <f aca="false">N(M1764)</f>
        <v>0</v>
      </c>
      <c r="CM1764" s="62" t="n">
        <f aca="false">N(N1764)</f>
        <v>0</v>
      </c>
      <c r="CN1764" s="62" t="n">
        <f aca="false">ROUNDUP(H1764/BZ1764,0)</f>
        <v>0</v>
      </c>
      <c r="CO1764" s="62" t="n">
        <f aca="false">ROUNDUP(CJ1764/BZ1764,0)</f>
        <v>0</v>
      </c>
      <c r="CP1764" s="65" t="n">
        <f aca="false">IF(CA1764=1,0,IFERROR(VLOOKUP(BY1764,'Gebinde-Kategorie'!$A$5:$N$45,5,0)+0,0))</f>
        <v>0</v>
      </c>
      <c r="CQ1764" s="65" t="n">
        <f aca="false">IFERROR(IF(OR(CF1764=1,CF1764=2,CF1764=3),N(INDEX(Parameter!$I$5:$I$7,CF1764)),0),0)</f>
        <v>0</v>
      </c>
      <c r="CR1764" s="64" t="n">
        <f aca="false">IF(AND(Parameter!$B$21="Ja",ISNUMBER(W1764),N(X1764)&gt;0),IFERROR(N(INDEX(Parameter!$L$5:$L$7,W1764))*INDEX(Parameter!$E$5:$E$7,W1764)*X1764/SUMIFS($X$7:$X$1843,$W$7:$W$1843,W1764),0),0)</f>
        <v>0</v>
      </c>
      <c r="CS1764" s="62" t="str">
        <f aca="false">IF(AND(OR(CG1764="L1",CG1764="L23",CG1764="LIFT"),H1764&gt;0),CC1764*IF(CR1764&gt;0,CR1764*MAX(1,H1764/X1764),IF(CA1764=1,CE1764,IF(R1764&gt;0,CN1764/R1764,0))/MAX(0.1,N(Parameter!$M$21))),"")</f>
        <v/>
      </c>
      <c r="CT1764" s="64" t="str">
        <f aca="false">IF(CS1764="","",J1764/H1764)</f>
        <v/>
      </c>
      <c r="CU1764" s="62" t="str">
        <f aca="false">IF(CS1764="","",H1764*G1764)</f>
        <v/>
      </c>
      <c r="CV1764" s="63" t="str">
        <f aca="false">IF(CS1764="","",(CL1764+ROUNDUP(CL1764+MAX(CM1764,2*(J1764/MAX(0.1,N(Einkauf!$C$6))-CL1764)),0))/2)</f>
        <v/>
      </c>
      <c r="CW1764" s="62" t="str">
        <f aca="false">IF(CS1764="","",MAX(0,H1764-CV1764)*G1764)</f>
        <v/>
      </c>
      <c r="CX1764" s="62" t="str">
        <f aca="false">IF(CS1764="","",CS1764*MAX(0,1-CV1764/H1764))</f>
        <v/>
      </c>
      <c r="CY1764" s="64" t="str">
        <f aca="false">IF(CS1764="","",PERCENTRANK($CS$7:$CS$1843,CS1764)+PERCENTRANK($CU$7:$CU$1843,CU1764)+1-PERCENTRANK($CT$7:$CT$1843,CT1764))</f>
        <v/>
      </c>
      <c r="CZ1764" s="72" t="str">
        <f aca="false">IF(CS1764="","",CHOOSE(MATCH(Einkauf!$C$5,Parameter!$G$23:$G$27,0),CY1764,CS1764,CU1764,-CT1764,CW1764)+ROW()/1000000000)</f>
        <v/>
      </c>
    </row>
    <row r="1765" customFormat="false" ht="15" hidden="false" customHeight="false" outlineLevel="0" collapsed="false">
      <c r="A1765" s="60" t="str">
        <f aca="false">IF('Neue Artikel'!$A$26="","",'Neue Artikel'!$A$26&amp;"")</f>
        <v/>
      </c>
      <c r="B1765" s="60" t="str">
        <f aca="false">'Neue Artikel'!$B$26&amp;""</f>
        <v/>
      </c>
      <c r="C1765" s="60"/>
      <c r="D1765" s="60" t="s">
        <v>3057</v>
      </c>
      <c r="E1765" s="60"/>
      <c r="F1765" s="60"/>
      <c r="G1765" s="61" t="n">
        <f aca="false">N('Neue Artikel'!$G$26)</f>
        <v>0</v>
      </c>
      <c r="H1765" s="62" t="n">
        <f aca="false">MAX(0,IF(AND(Parameter!$B$21="Ja",ISNUMBER(Y1765)),Y1765,IF(Parameter!$B$20="Jahresanfang 2025 + Export",BS1765+BR1765,BR1765)))</f>
        <v>0</v>
      </c>
      <c r="I1765" s="62" t="n">
        <f aca="false">H1765*G1765</f>
        <v>0</v>
      </c>
      <c r="J1765" s="62" t="n">
        <f aca="false">BU1765*Parameter!$B$18</f>
        <v>0</v>
      </c>
      <c r="K1765" s="63"/>
      <c r="L1765" s="64"/>
      <c r="M1765" s="62" t="n">
        <f aca="false">N('Neue Artikel'!$E$26)</f>
        <v>0</v>
      </c>
      <c r="N1765" s="62" t="n">
        <f aca="false">N('Neue Artikel'!$F$26)</f>
        <v>0</v>
      </c>
      <c r="O1765" s="65"/>
      <c r="P1765" s="60" t="str">
        <f aca="false">IF('Neue Artikel'!$H$26="","LOSE",UPPER(TRIM('Neue Artikel'!$H$26)))</f>
        <v>LOSE</v>
      </c>
      <c r="Q1765" s="62" t="n">
        <f aca="false">N('Neue Artikel'!$I$26)</f>
        <v>0</v>
      </c>
      <c r="R1765" s="65" t="n">
        <f aca="false">IF(CA1765=1,0,IFERROR(VLOOKUP(BY1765,'Gebinde-Kategorie'!$A$5:$N$45,13,0)+0,0))</f>
        <v>0</v>
      </c>
      <c r="S1765" s="66"/>
      <c r="T1765" s="67"/>
      <c r="U1765" s="67"/>
      <c r="V1765" s="67"/>
      <c r="W1765" s="60"/>
      <c r="X1765" s="62"/>
      <c r="Y1765" s="62"/>
      <c r="Z1765" s="60"/>
      <c r="AA1765" s="60" t="str">
        <f aca="false">IF(A1765="","",IF(AND(Parameter!$B$21="Ja",ISNUMBER(W1765)),W1765,IF(AND(Parameter!$E$27="Ja",ISNUMBER(Z1765),CD1765&lt;&gt;"Nein"),Z1765,IF(CD1765="2+3",IF(ISNUMBER(SEARCH("grosser Artikel",BV1765)),2,IFERROR(VLOOKUP(BY1765,Parameter!$F$35:$G$64,2,0),2)),IF(OR(CD1765="Nein",CD1765=""),"-",CD1765)))))</f>
        <v/>
      </c>
      <c r="AB1765" s="60" t="str">
        <f aca="false">IF('Neue Artikel'!$J$26="","",'Neue Artikel'!$J$26)</f>
        <v/>
      </c>
      <c r="AC1765" s="68"/>
      <c r="AD1765" s="62" t="n">
        <f aca="false">AW1765</f>
        <v>0</v>
      </c>
      <c r="AE1765" s="62" t="n">
        <f aca="false">MAX(AW1765,H1765)</f>
        <v>0</v>
      </c>
      <c r="AF1765" s="69"/>
      <c r="AG1765" s="62" t="n">
        <f aca="false">IF(LEFT(Cockpit!$C$5,1)="A",H1765,IF(Parameter!$E$30="MAX-Bestand",IF(CI1765=1,CJ1765,IF(LEFT(Cockpit!$C$5,1)="B",AM1765,MAX(AM1765,H1765))),ROUNDUP(AK1765,0)))</f>
        <v>0</v>
      </c>
      <c r="AH1765" s="62" t="n">
        <f aca="false">IF(CA1765=1,0,ROUNDUP(AG1765/BZ1765,0))</f>
        <v>0</v>
      </c>
      <c r="AI1765" s="64" t="n">
        <f aca="false">IF(CR1765&gt;0,CR1765*MAX(1,AG1765/X1765),IF(CA1765=1,IF(AG1765&lt;=0,0,CE1765*MAX(1,IF(H1765&gt;0,AG1765/H1765,1))),IF(R1765&gt;0,AH1765/R1765,0))/MAX(0.1,N(Parameter!$M$21)))</f>
        <v>0</v>
      </c>
      <c r="AJ1765" s="62" t="n">
        <f aca="false">AI1765*CC1765</f>
        <v>0</v>
      </c>
      <c r="AK1765" s="63" t="n">
        <f aca="false">IF(LEFT(Cockpit!$C$5,1)="A",H1765,IF(CI1765=1,(CL1765+CJ1765)/2,IF(LEFT(Cockpit!$C$5,1)="B",(CL1765+AM1765)/2,MAX((CL1765+AM1765)/2,H1765))))</f>
        <v>0</v>
      </c>
      <c r="AL1765" s="62" t="n">
        <f aca="false">AK1765*G1765</f>
        <v>0</v>
      </c>
      <c r="AM1765" s="62" t="n">
        <f aca="false">ROUNDUP(CL1765+MAX(CM1765,2*(J1765/IF(CH1765&gt;0,CH1765,MAX(0.1,N(Cockpit!$C$6)))-CL1765)),0)</f>
        <v>0</v>
      </c>
      <c r="AN1765" s="63" t="n">
        <f aca="false">IF(AJ1765&gt;0,J1765/AJ1765,-1)</f>
        <v>-1</v>
      </c>
      <c r="AO1765" s="63" t="str">
        <f aca="false">IF(AND(OR(CG1765="L1",CG1765="L23",CG1765="LIFT"),AJ1765&gt;0),SUMIFS($AJ$7:$AJ$1843,$CG$7:$CG$1843,CG1765,$AN$7:$AN$1843,"&gt;"&amp;AN1765)+SUMIFS($AJ$7:$AJ$1843,$CG$7:$CG$1843,CG1765,$AN$7:$AN$1843,AN1765,$BX$7:$BX$1843,"&lt;="&amp;BX1765),"")</f>
        <v/>
      </c>
      <c r="AP1765" s="70" t="n">
        <f aca="false">IF(AO1765="",0,MAX(0,MIN(1,(IF(CG1765="L1",Parameter!$H$5,IF(CG1765="L23",Parameter!$H$6+Parameter!$H$7,Parameter!$H$5+Parameter!$H$6+Parameter!$H$7))-(AO1765-AJ1765))/AJ1765)))</f>
        <v>0</v>
      </c>
      <c r="AQ1765" s="62" t="n">
        <f aca="false">IF(LEFT(Cockpit!$I$5,1)="A",H1765,IF(Parameter!$E$30="MAX-Bestand",IF(CI1765=1,CJ1765,IF(LEFT(Cockpit!$I$5,1)="B",AW1765,MAX(AW1765,H1765))),ROUNDUP(AU1765,0)))</f>
        <v>0</v>
      </c>
      <c r="AR1765" s="62" t="n">
        <f aca="false">IF(CA1765=1,0,ROUNDUP(AQ1765/BZ1765,0))</f>
        <v>0</v>
      </c>
      <c r="AS1765" s="64" t="n">
        <f aca="false">IF(CR1765&gt;0,CR1765*MAX(1,AQ1765/X1765),IF(CA1765=1,IF(AQ1765&lt;=0,0,CE1765*MAX(1,IF(H1765&gt;0,AQ1765/H1765,1))),IF(R1765&gt;0,AR1765/R1765,0))/MAX(0.1,N(Parameter!$M$21)))</f>
        <v>0</v>
      </c>
      <c r="AT1765" s="62" t="n">
        <f aca="false">AS1765*CC1765</f>
        <v>0</v>
      </c>
      <c r="AU1765" s="63" t="n">
        <f aca="false">IF(LEFT(Cockpit!$I$5,1)="A",H1765,IF(CI1765=1,(CL1765+CJ1765)/2,IF(LEFT(Cockpit!$I$5,1)="B",(CL1765+AW1765)/2,MAX((CL1765+AW1765)/2,H1765))))</f>
        <v>0</v>
      </c>
      <c r="AV1765" s="62" t="n">
        <f aca="false">AU1765*G1765</f>
        <v>0</v>
      </c>
      <c r="AW1765" s="62" t="n">
        <f aca="false">ROUNDUP(CL1765+MAX(CM1765,2*(J1765/IF(CH1765&gt;0,CH1765,MAX(0.1,N(Cockpit!$I$6)))-CL1765)),0)</f>
        <v>0</v>
      </c>
      <c r="AX1765" s="63" t="n">
        <f aca="false">IF(AT1765&gt;0,J1765/AT1765,-1)</f>
        <v>-1</v>
      </c>
      <c r="AY1765" s="63" t="str">
        <f aca="false">IF(AND(OR(CG1765="L1",CG1765="L23",CG1765="LIFT"),AT1765&gt;0),SUMIFS($AT$7:$AT$1843,$CG$7:$CG$1843,CG1765,$AX$7:$AX$1843,"&gt;"&amp;AX1765)+SUMIFS($AT$7:$AT$1843,$CG$7:$CG$1843,CG1765,$AX$7:$AX$1843,AX1765,$BX$7:$BX$1843,"&lt;="&amp;BX1765),"")</f>
        <v/>
      </c>
      <c r="AZ1765" s="70" t="n">
        <f aca="false">IF(AY1765="",0,MAX(0,MIN(1,(IF(CG1765="L1",Parameter!$H$5,IF(CG1765="L23",Parameter!$H$6+Parameter!$H$7,Parameter!$H$5+Parameter!$H$6+Parameter!$H$7))-(AY1765-AT1765))/AT1765)))</f>
        <v>0</v>
      </c>
      <c r="BA1765" s="62" t="n">
        <f aca="false">IF(LEFT(Cockpit!$O$5,1)="A",H1765,IF(Parameter!$E$30="MAX-Bestand",IF(CI1765=1,CJ1765,IF(LEFT(Cockpit!$O$5,1)="B",BG1765,MAX(BG1765,H1765))),ROUNDUP(BE1765,0)))</f>
        <v>0</v>
      </c>
      <c r="BB1765" s="62" t="n">
        <f aca="false">IF(CA1765=1,0,ROUNDUP(BA1765/BZ1765,0))</f>
        <v>0</v>
      </c>
      <c r="BC1765" s="64" t="n">
        <f aca="false">IF(CR1765&gt;0,CR1765*MAX(1,BA1765/X1765),IF(CA1765=1,IF(BA1765&lt;=0,0,CE1765*MAX(1,IF(H1765&gt;0,BA1765/H1765,1))),IF(R1765&gt;0,BB1765/R1765,0))/MAX(0.1,N(Parameter!$M$21)))</f>
        <v>0</v>
      </c>
      <c r="BD1765" s="62" t="n">
        <f aca="false">BC1765*CC1765</f>
        <v>0</v>
      </c>
      <c r="BE1765" s="63" t="n">
        <f aca="false">IF(LEFT(Cockpit!$O$5,1)="A",H1765,IF(CI1765=1,(CL1765+CJ1765)/2,IF(LEFT(Cockpit!$O$5,1)="B",(CL1765+BG1765)/2,MAX((CL1765+BG1765)/2,H1765))))</f>
        <v>0</v>
      </c>
      <c r="BF1765" s="62" t="n">
        <f aca="false">BE1765*G1765</f>
        <v>0</v>
      </c>
      <c r="BG1765" s="62" t="n">
        <f aca="false">ROUNDUP(CL1765+MAX(CM1765,2*(J1765/IF(CH1765&gt;0,CH1765,MAX(0.1,N(Cockpit!$O$6)))-CL1765)),0)</f>
        <v>0</v>
      </c>
      <c r="BH1765" s="63" t="n">
        <f aca="false">IF(BD1765&gt;0,J1765/BD1765,-1)</f>
        <v>-1</v>
      </c>
      <c r="BI1765" s="63" t="str">
        <f aca="false">IF(AND(OR(CG1765="L1",CG1765="L23",CG1765="LIFT"),BD1765&gt;0),SUMIFS($BD$7:$BD$1843,$CG$7:$CG$1843,CG1765,$BH$7:$BH$1843,"&gt;"&amp;BH1765)+SUMIFS($BD$7:$BD$1843,$CG$7:$CG$1843,CG1765,$BH$7:$BH$1843,BH1765,$BX$7:$BX$1843,"&lt;="&amp;BX1765),"")</f>
        <v/>
      </c>
      <c r="BJ1765" s="70" t="n">
        <f aca="false">IF(BI1765="",0,MAX(0,MIN(1,(IF(CG1765="L1",Parameter!$H$5,IF(CG1765="L23",Parameter!$H$6+Parameter!$H$7,Parameter!$H$5+Parameter!$H$6+Parameter!$H$7))-(BI1765-BD1765))/BD1765)))</f>
        <v>0</v>
      </c>
      <c r="BK1765" s="60" t="str">
        <f aca="false">IF(AJ1765&lt;=0,"",IF(CG1765="Aussen","Aussenlager",IF(CG1765="-","Nicht im Lift",IF(AP1765&gt;=1,"Lift",IF(AP1765&lt;=0,"Aussenlager","teilweise")))))</f>
        <v/>
      </c>
      <c r="BL1765" s="60" t="str">
        <f aca="false">IF(AT1765&lt;=0,"",IF(CG1765="Aussen","Aussenlager",IF(CG1765="-","Nicht im Lift",IF(AZ1765&gt;=1,"Lift",IF(AZ1765&lt;=0,"Aussenlager","teilweise")))))</f>
        <v/>
      </c>
      <c r="BM1765" s="60" t="str">
        <f aca="false">IF(BD1765&lt;=0,"",IF(CG1765="Aussen","Aussenlager",IF(CG1765="-","Nicht im Lift",IF(BJ1765&gt;=1,"Lift",IF(BJ1765&lt;=0,"Aussenlager","teilweise")))))</f>
        <v/>
      </c>
      <c r="BN1765" s="60" t="str">
        <f aca="false">IF(A1765="","",IF(BW1765=1,"Neu; ","")&amp;IF(AND(BW1765=0,BR1765&lt;0),"negativer Bestand (Export "&amp;BR1765&amp;"); ","")&amp;IF(J1765&lt;=0,"Kein Verbrauch; ","")&amp;IF(CR1765&gt;0,"Lift "&amp;W1765&amp;" lt. Liftbericht (Fach "&amp;X1765&amp;" Stk); ",IF(CB1765=1,"Gebinde geschätzt ("&amp;T1765&amp;"); ",IF(CA1765=1,"Lose – Tablare geschätzt; ","")))&amp;IF(H1765&gt;AW1765,"Überbestand "&amp;ROUND(H1765-AW1765,0)&amp;" Stk / CHF "&amp;ROUND((H1765-AW1765)*G1765,0)&amp;"; ","")&amp;IF(AND(CI1765=1,CJ1765&lt;CK1765),"MAX &lt; MB+LG; ","")&amp;IF(AND(CQ1765&gt;0,CP1765*10&gt;CQ1765),"zu hoch für Tablar; ","")&amp;IF(AND(BW1765=0,OR(CI1765=1,AB1765&lt;&gt;"",U1765&lt;&gt;"",V1765&lt;&gt;"",AC1765&lt;&gt;"")),"manuell übersteuert; ","")&amp;IF(AND(CA1765=0,R1765=0),"Gebinde unbekannt / Stellmass fehlt; ","")&amp;IF(AND(CA1765=0,N(V1765)&lt;=0,N(Q1765)&lt;=0),"Menge pro Gebinde fehlt (Ist = 1 Gebinde); ","")&amp;BV1765)</f>
        <v/>
      </c>
      <c r="BO1765" s="60"/>
      <c r="BP1765" s="60"/>
      <c r="BQ1765" s="67"/>
      <c r="BR1765" s="62" t="n">
        <f aca="false">N('Neue Artikel'!$D$26)</f>
        <v>0</v>
      </c>
      <c r="BS1765" s="62" t="n">
        <v>0</v>
      </c>
      <c r="BT1765" s="61" t="n">
        <v>0</v>
      </c>
      <c r="BU1765" s="62" t="n">
        <f aca="false">N('Neue Artikel'!$C$26)/Parameter!$B$18</f>
        <v>0</v>
      </c>
      <c r="BV1765" s="60"/>
      <c r="BW1765" s="65" t="n">
        <v>1</v>
      </c>
      <c r="BX1765" s="65" t="n">
        <v>1765</v>
      </c>
      <c r="BY1765" s="60" t="str">
        <f aca="false">IF(U1765&lt;&gt;"",UPPER(TRIM(U1765)),IF(CB1765=1,UPPER(VLOOKUP(T1765,Parameter!$I$27:$K$29,2,0)),IF(P1765="","LOSE",P1765)))</f>
        <v>LOSE</v>
      </c>
      <c r="BZ1765" s="62" t="n">
        <f aca="false">IF(BY1765="LOSE",1,IF(N(V1765)&gt;0,V1765,IF(CB1765=1,MAX(1,N(VLOOKUP(T1765,Parameter!$I$27:$K$29,3,0)),H1765,N(N1765)),IF(N(Q1765)&gt;0,Q1765,MAX(1,H1765)))))</f>
        <v>1</v>
      </c>
      <c r="CA1765" s="65" t="n">
        <f aca="false">IF(BY1765="LOSE",1,0)</f>
        <v>1</v>
      </c>
      <c r="CB1765" s="65" t="n">
        <f aca="false">IF(AND(U1765="",OR(P1765="",P1765="LOSE"),T1765&lt;&gt;"",N(S1765)&lt;=0,ISNUMBER(MATCH(T1765,Parameter!$I$27:$I$29,0))),1,0)</f>
        <v>0</v>
      </c>
      <c r="CC1765" s="65" t="n">
        <f aca="false">IF(CR1765&gt;0,INDEX(Parameter!$H$5:$H$7,W1765)/INDEX(Parameter!$E$5:$E$7,W1765),IF(AND(CA1765=0,N(IFERROR(VLOOKUP(BY1765,'Gebinde-Kategorie'!$A$5:$N$45,14,0),0))&gt;0),VLOOKUP(BY1765,'Gebinde-Kategorie'!$A$5:$N$45,14,0)*10+Parameter!$M$23,Parameter!$M$24))</f>
        <v>235</v>
      </c>
      <c r="CD1765" s="60" t="str">
        <f aca="false">IF(AND(Parameter!$B$19="Ja",E1765&lt;&gt;"",ISNUMBER(MATCH(E1765,Parameter!$I$35:$I$52,0))),VLOOKUP(E1765,Parameter!$I$35:$J$52,2,0),IFERROR(VLOOKUP(D1765,Parameter!$A$35:$C$64,2,0),"Nein"))</f>
        <v>2+3</v>
      </c>
      <c r="CE1765" s="64" t="n">
        <f aca="false">IF(CA1765=0,0,IF(N(S1765)&gt;0,S1765,IFERROR(VLOOKUP(D1765,Parameter!$A$35:$C$64,3,0)+0,0)))</f>
        <v>0.15</v>
      </c>
      <c r="CF1765" s="60" t="str">
        <f aca="false">IF(AB1765&lt;&gt;"",AB1765,AA1765)</f>
        <v/>
      </c>
      <c r="CG1765" s="60" t="str">
        <f aca="false">IF(OR(CF1765=1,CF1765=2,CF1765=3),IF(Parameter!$E$27="Ja","LIFT",IF(CF1765=1,"L1","L23")),IF(CF1765="Aussen","Aussen","-"))</f>
        <v>-</v>
      </c>
      <c r="CH1765" s="71" t="n">
        <f aca="false">IF(N(AC1765)&gt;0,AC1765,0)</f>
        <v>0</v>
      </c>
      <c r="CI1765" s="65" t="n">
        <f aca="false">IF(ISNUMBER(AF1765),1,0)</f>
        <v>0</v>
      </c>
      <c r="CJ1765" s="62" t="n">
        <f aca="false">N(AF1765)</f>
        <v>0</v>
      </c>
      <c r="CK1765" s="62" t="n">
        <f aca="false">N(M1765)+N(N1765)</f>
        <v>0</v>
      </c>
      <c r="CL1765" s="62" t="n">
        <f aca="false">N(M1765)</f>
        <v>0</v>
      </c>
      <c r="CM1765" s="62" t="n">
        <f aca="false">N(N1765)</f>
        <v>0</v>
      </c>
      <c r="CN1765" s="62" t="n">
        <f aca="false">ROUNDUP(H1765/BZ1765,0)</f>
        <v>0</v>
      </c>
      <c r="CO1765" s="62" t="n">
        <f aca="false">ROUNDUP(CJ1765/BZ1765,0)</f>
        <v>0</v>
      </c>
      <c r="CP1765" s="65" t="n">
        <f aca="false">IF(CA1765=1,0,IFERROR(VLOOKUP(BY1765,'Gebinde-Kategorie'!$A$5:$N$45,5,0)+0,0))</f>
        <v>0</v>
      </c>
      <c r="CQ1765" s="65" t="n">
        <f aca="false">IFERROR(IF(OR(CF1765=1,CF1765=2,CF1765=3),N(INDEX(Parameter!$I$5:$I$7,CF1765)),0),0)</f>
        <v>0</v>
      </c>
      <c r="CR1765" s="64" t="n">
        <f aca="false">IF(AND(Parameter!$B$21="Ja",ISNUMBER(W1765),N(X1765)&gt;0),IFERROR(N(INDEX(Parameter!$L$5:$L$7,W1765))*INDEX(Parameter!$E$5:$E$7,W1765)*X1765/SUMIFS($X$7:$X$1843,$W$7:$W$1843,W1765),0),0)</f>
        <v>0</v>
      </c>
      <c r="CS1765" s="62" t="str">
        <f aca="false">IF(AND(OR(CG1765="L1",CG1765="L23",CG1765="LIFT"),H1765&gt;0),CC1765*IF(CR1765&gt;0,CR1765*MAX(1,H1765/X1765),IF(CA1765=1,CE1765,IF(R1765&gt;0,CN1765/R1765,0))/MAX(0.1,N(Parameter!$M$21))),"")</f>
        <v/>
      </c>
      <c r="CT1765" s="64" t="str">
        <f aca="false">IF(CS1765="","",J1765/H1765)</f>
        <v/>
      </c>
      <c r="CU1765" s="62" t="str">
        <f aca="false">IF(CS1765="","",H1765*G1765)</f>
        <v/>
      </c>
      <c r="CV1765" s="63" t="str">
        <f aca="false">IF(CS1765="","",(CL1765+ROUNDUP(CL1765+MAX(CM1765,2*(J1765/MAX(0.1,N(Einkauf!$C$6))-CL1765)),0))/2)</f>
        <v/>
      </c>
      <c r="CW1765" s="62" t="str">
        <f aca="false">IF(CS1765="","",MAX(0,H1765-CV1765)*G1765)</f>
        <v/>
      </c>
      <c r="CX1765" s="62" t="str">
        <f aca="false">IF(CS1765="","",CS1765*MAX(0,1-CV1765/H1765))</f>
        <v/>
      </c>
      <c r="CY1765" s="64" t="str">
        <f aca="false">IF(CS1765="","",PERCENTRANK($CS$7:$CS$1843,CS1765)+PERCENTRANK($CU$7:$CU$1843,CU1765)+1-PERCENTRANK($CT$7:$CT$1843,CT1765))</f>
        <v/>
      </c>
      <c r="CZ1765" s="72" t="str">
        <f aca="false">IF(CS1765="","",CHOOSE(MATCH(Einkauf!$C$5,Parameter!$G$23:$G$27,0),CY1765,CS1765,CU1765,-CT1765,CW1765)+ROW()/1000000000)</f>
        <v/>
      </c>
    </row>
    <row r="1766" customFormat="false" ht="15" hidden="false" customHeight="false" outlineLevel="0" collapsed="false">
      <c r="A1766" s="60" t="str">
        <f aca="false">IF('Neue Artikel'!$A$27="","",'Neue Artikel'!$A$27&amp;"")</f>
        <v/>
      </c>
      <c r="B1766" s="60" t="str">
        <f aca="false">'Neue Artikel'!$B$27&amp;""</f>
        <v/>
      </c>
      <c r="C1766" s="60"/>
      <c r="D1766" s="60" t="s">
        <v>3057</v>
      </c>
      <c r="E1766" s="60"/>
      <c r="F1766" s="60"/>
      <c r="G1766" s="61" t="n">
        <f aca="false">N('Neue Artikel'!$G$27)</f>
        <v>0</v>
      </c>
      <c r="H1766" s="62" t="n">
        <f aca="false">MAX(0,IF(AND(Parameter!$B$21="Ja",ISNUMBER(Y1766)),Y1766,IF(Parameter!$B$20="Jahresanfang 2025 + Export",BS1766+BR1766,BR1766)))</f>
        <v>0</v>
      </c>
      <c r="I1766" s="62" t="n">
        <f aca="false">H1766*G1766</f>
        <v>0</v>
      </c>
      <c r="J1766" s="62" t="n">
        <f aca="false">BU1766*Parameter!$B$18</f>
        <v>0</v>
      </c>
      <c r="K1766" s="63"/>
      <c r="L1766" s="64"/>
      <c r="M1766" s="62" t="n">
        <f aca="false">N('Neue Artikel'!$E$27)</f>
        <v>0</v>
      </c>
      <c r="N1766" s="62" t="n">
        <f aca="false">N('Neue Artikel'!$F$27)</f>
        <v>0</v>
      </c>
      <c r="O1766" s="65"/>
      <c r="P1766" s="60" t="str">
        <f aca="false">IF('Neue Artikel'!$H$27="","LOSE",UPPER(TRIM('Neue Artikel'!$H$27)))</f>
        <v>LOSE</v>
      </c>
      <c r="Q1766" s="62" t="n">
        <f aca="false">N('Neue Artikel'!$I$27)</f>
        <v>0</v>
      </c>
      <c r="R1766" s="65" t="n">
        <f aca="false">IF(CA1766=1,0,IFERROR(VLOOKUP(BY1766,'Gebinde-Kategorie'!$A$5:$N$45,13,0)+0,0))</f>
        <v>0</v>
      </c>
      <c r="S1766" s="66"/>
      <c r="T1766" s="67"/>
      <c r="U1766" s="67"/>
      <c r="V1766" s="67"/>
      <c r="W1766" s="60"/>
      <c r="X1766" s="62"/>
      <c r="Y1766" s="62"/>
      <c r="Z1766" s="60"/>
      <c r="AA1766" s="60" t="str">
        <f aca="false">IF(A1766="","",IF(AND(Parameter!$B$21="Ja",ISNUMBER(W1766)),W1766,IF(AND(Parameter!$E$27="Ja",ISNUMBER(Z1766),CD1766&lt;&gt;"Nein"),Z1766,IF(CD1766="2+3",IF(ISNUMBER(SEARCH("grosser Artikel",BV1766)),2,IFERROR(VLOOKUP(BY1766,Parameter!$F$35:$G$64,2,0),2)),IF(OR(CD1766="Nein",CD1766=""),"-",CD1766)))))</f>
        <v/>
      </c>
      <c r="AB1766" s="60" t="str">
        <f aca="false">IF('Neue Artikel'!$J$27="","",'Neue Artikel'!$J$27)</f>
        <v/>
      </c>
      <c r="AC1766" s="68"/>
      <c r="AD1766" s="62" t="n">
        <f aca="false">AW1766</f>
        <v>0</v>
      </c>
      <c r="AE1766" s="62" t="n">
        <f aca="false">MAX(AW1766,H1766)</f>
        <v>0</v>
      </c>
      <c r="AF1766" s="69"/>
      <c r="AG1766" s="62" t="n">
        <f aca="false">IF(LEFT(Cockpit!$C$5,1)="A",H1766,IF(Parameter!$E$30="MAX-Bestand",IF(CI1766=1,CJ1766,IF(LEFT(Cockpit!$C$5,1)="B",AM1766,MAX(AM1766,H1766))),ROUNDUP(AK1766,0)))</f>
        <v>0</v>
      </c>
      <c r="AH1766" s="62" t="n">
        <f aca="false">IF(CA1766=1,0,ROUNDUP(AG1766/BZ1766,0))</f>
        <v>0</v>
      </c>
      <c r="AI1766" s="64" t="n">
        <f aca="false">IF(CR1766&gt;0,CR1766*MAX(1,AG1766/X1766),IF(CA1766=1,IF(AG1766&lt;=0,0,CE1766*MAX(1,IF(H1766&gt;0,AG1766/H1766,1))),IF(R1766&gt;0,AH1766/R1766,0))/MAX(0.1,N(Parameter!$M$21)))</f>
        <v>0</v>
      </c>
      <c r="AJ1766" s="62" t="n">
        <f aca="false">AI1766*CC1766</f>
        <v>0</v>
      </c>
      <c r="AK1766" s="63" t="n">
        <f aca="false">IF(LEFT(Cockpit!$C$5,1)="A",H1766,IF(CI1766=1,(CL1766+CJ1766)/2,IF(LEFT(Cockpit!$C$5,1)="B",(CL1766+AM1766)/2,MAX((CL1766+AM1766)/2,H1766))))</f>
        <v>0</v>
      </c>
      <c r="AL1766" s="62" t="n">
        <f aca="false">AK1766*G1766</f>
        <v>0</v>
      </c>
      <c r="AM1766" s="62" t="n">
        <f aca="false">ROUNDUP(CL1766+MAX(CM1766,2*(J1766/IF(CH1766&gt;0,CH1766,MAX(0.1,N(Cockpit!$C$6)))-CL1766)),0)</f>
        <v>0</v>
      </c>
      <c r="AN1766" s="63" t="n">
        <f aca="false">IF(AJ1766&gt;0,J1766/AJ1766,-1)</f>
        <v>-1</v>
      </c>
      <c r="AO1766" s="63" t="str">
        <f aca="false">IF(AND(OR(CG1766="L1",CG1766="L23",CG1766="LIFT"),AJ1766&gt;0),SUMIFS($AJ$7:$AJ$1843,$CG$7:$CG$1843,CG1766,$AN$7:$AN$1843,"&gt;"&amp;AN1766)+SUMIFS($AJ$7:$AJ$1843,$CG$7:$CG$1843,CG1766,$AN$7:$AN$1843,AN1766,$BX$7:$BX$1843,"&lt;="&amp;BX1766),"")</f>
        <v/>
      </c>
      <c r="AP1766" s="70" t="n">
        <f aca="false">IF(AO1766="",0,MAX(0,MIN(1,(IF(CG1766="L1",Parameter!$H$5,IF(CG1766="L23",Parameter!$H$6+Parameter!$H$7,Parameter!$H$5+Parameter!$H$6+Parameter!$H$7))-(AO1766-AJ1766))/AJ1766)))</f>
        <v>0</v>
      </c>
      <c r="AQ1766" s="62" t="n">
        <f aca="false">IF(LEFT(Cockpit!$I$5,1)="A",H1766,IF(Parameter!$E$30="MAX-Bestand",IF(CI1766=1,CJ1766,IF(LEFT(Cockpit!$I$5,1)="B",AW1766,MAX(AW1766,H1766))),ROUNDUP(AU1766,0)))</f>
        <v>0</v>
      </c>
      <c r="AR1766" s="62" t="n">
        <f aca="false">IF(CA1766=1,0,ROUNDUP(AQ1766/BZ1766,0))</f>
        <v>0</v>
      </c>
      <c r="AS1766" s="64" t="n">
        <f aca="false">IF(CR1766&gt;0,CR1766*MAX(1,AQ1766/X1766),IF(CA1766=1,IF(AQ1766&lt;=0,0,CE1766*MAX(1,IF(H1766&gt;0,AQ1766/H1766,1))),IF(R1766&gt;0,AR1766/R1766,0))/MAX(0.1,N(Parameter!$M$21)))</f>
        <v>0</v>
      </c>
      <c r="AT1766" s="62" t="n">
        <f aca="false">AS1766*CC1766</f>
        <v>0</v>
      </c>
      <c r="AU1766" s="63" t="n">
        <f aca="false">IF(LEFT(Cockpit!$I$5,1)="A",H1766,IF(CI1766=1,(CL1766+CJ1766)/2,IF(LEFT(Cockpit!$I$5,1)="B",(CL1766+AW1766)/2,MAX((CL1766+AW1766)/2,H1766))))</f>
        <v>0</v>
      </c>
      <c r="AV1766" s="62" t="n">
        <f aca="false">AU1766*G1766</f>
        <v>0</v>
      </c>
      <c r="AW1766" s="62" t="n">
        <f aca="false">ROUNDUP(CL1766+MAX(CM1766,2*(J1766/IF(CH1766&gt;0,CH1766,MAX(0.1,N(Cockpit!$I$6)))-CL1766)),0)</f>
        <v>0</v>
      </c>
      <c r="AX1766" s="63" t="n">
        <f aca="false">IF(AT1766&gt;0,J1766/AT1766,-1)</f>
        <v>-1</v>
      </c>
      <c r="AY1766" s="63" t="str">
        <f aca="false">IF(AND(OR(CG1766="L1",CG1766="L23",CG1766="LIFT"),AT1766&gt;0),SUMIFS($AT$7:$AT$1843,$CG$7:$CG$1843,CG1766,$AX$7:$AX$1843,"&gt;"&amp;AX1766)+SUMIFS($AT$7:$AT$1843,$CG$7:$CG$1843,CG1766,$AX$7:$AX$1843,AX1766,$BX$7:$BX$1843,"&lt;="&amp;BX1766),"")</f>
        <v/>
      </c>
      <c r="AZ1766" s="70" t="n">
        <f aca="false">IF(AY1766="",0,MAX(0,MIN(1,(IF(CG1766="L1",Parameter!$H$5,IF(CG1766="L23",Parameter!$H$6+Parameter!$H$7,Parameter!$H$5+Parameter!$H$6+Parameter!$H$7))-(AY1766-AT1766))/AT1766)))</f>
        <v>0</v>
      </c>
      <c r="BA1766" s="62" t="n">
        <f aca="false">IF(LEFT(Cockpit!$O$5,1)="A",H1766,IF(Parameter!$E$30="MAX-Bestand",IF(CI1766=1,CJ1766,IF(LEFT(Cockpit!$O$5,1)="B",BG1766,MAX(BG1766,H1766))),ROUNDUP(BE1766,0)))</f>
        <v>0</v>
      </c>
      <c r="BB1766" s="62" t="n">
        <f aca="false">IF(CA1766=1,0,ROUNDUP(BA1766/BZ1766,0))</f>
        <v>0</v>
      </c>
      <c r="BC1766" s="64" t="n">
        <f aca="false">IF(CR1766&gt;0,CR1766*MAX(1,BA1766/X1766),IF(CA1766=1,IF(BA1766&lt;=0,0,CE1766*MAX(1,IF(H1766&gt;0,BA1766/H1766,1))),IF(R1766&gt;0,BB1766/R1766,0))/MAX(0.1,N(Parameter!$M$21)))</f>
        <v>0</v>
      </c>
      <c r="BD1766" s="62" t="n">
        <f aca="false">BC1766*CC1766</f>
        <v>0</v>
      </c>
      <c r="BE1766" s="63" t="n">
        <f aca="false">IF(LEFT(Cockpit!$O$5,1)="A",H1766,IF(CI1766=1,(CL1766+CJ1766)/2,IF(LEFT(Cockpit!$O$5,1)="B",(CL1766+BG1766)/2,MAX((CL1766+BG1766)/2,H1766))))</f>
        <v>0</v>
      </c>
      <c r="BF1766" s="62" t="n">
        <f aca="false">BE1766*G1766</f>
        <v>0</v>
      </c>
      <c r="BG1766" s="62" t="n">
        <f aca="false">ROUNDUP(CL1766+MAX(CM1766,2*(J1766/IF(CH1766&gt;0,CH1766,MAX(0.1,N(Cockpit!$O$6)))-CL1766)),0)</f>
        <v>0</v>
      </c>
      <c r="BH1766" s="63" t="n">
        <f aca="false">IF(BD1766&gt;0,J1766/BD1766,-1)</f>
        <v>-1</v>
      </c>
      <c r="BI1766" s="63" t="str">
        <f aca="false">IF(AND(OR(CG1766="L1",CG1766="L23",CG1766="LIFT"),BD1766&gt;0),SUMIFS($BD$7:$BD$1843,$CG$7:$CG$1843,CG1766,$BH$7:$BH$1843,"&gt;"&amp;BH1766)+SUMIFS($BD$7:$BD$1843,$CG$7:$CG$1843,CG1766,$BH$7:$BH$1843,BH1766,$BX$7:$BX$1843,"&lt;="&amp;BX1766),"")</f>
        <v/>
      </c>
      <c r="BJ1766" s="70" t="n">
        <f aca="false">IF(BI1766="",0,MAX(0,MIN(1,(IF(CG1766="L1",Parameter!$H$5,IF(CG1766="L23",Parameter!$H$6+Parameter!$H$7,Parameter!$H$5+Parameter!$H$6+Parameter!$H$7))-(BI1766-BD1766))/BD1766)))</f>
        <v>0</v>
      </c>
      <c r="BK1766" s="60" t="str">
        <f aca="false">IF(AJ1766&lt;=0,"",IF(CG1766="Aussen","Aussenlager",IF(CG1766="-","Nicht im Lift",IF(AP1766&gt;=1,"Lift",IF(AP1766&lt;=0,"Aussenlager","teilweise")))))</f>
        <v/>
      </c>
      <c r="BL1766" s="60" t="str">
        <f aca="false">IF(AT1766&lt;=0,"",IF(CG1766="Aussen","Aussenlager",IF(CG1766="-","Nicht im Lift",IF(AZ1766&gt;=1,"Lift",IF(AZ1766&lt;=0,"Aussenlager","teilweise")))))</f>
        <v/>
      </c>
      <c r="BM1766" s="60" t="str">
        <f aca="false">IF(BD1766&lt;=0,"",IF(CG1766="Aussen","Aussenlager",IF(CG1766="-","Nicht im Lift",IF(BJ1766&gt;=1,"Lift",IF(BJ1766&lt;=0,"Aussenlager","teilweise")))))</f>
        <v/>
      </c>
      <c r="BN1766" s="60" t="str">
        <f aca="false">IF(A1766="","",IF(BW1766=1,"Neu; ","")&amp;IF(AND(BW1766=0,BR1766&lt;0),"negativer Bestand (Export "&amp;BR1766&amp;"); ","")&amp;IF(J1766&lt;=0,"Kein Verbrauch; ","")&amp;IF(CR1766&gt;0,"Lift "&amp;W1766&amp;" lt. Liftbericht (Fach "&amp;X1766&amp;" Stk); ",IF(CB1766=1,"Gebinde geschätzt ("&amp;T1766&amp;"); ",IF(CA1766=1,"Lose – Tablare geschätzt; ","")))&amp;IF(H1766&gt;AW1766,"Überbestand "&amp;ROUND(H1766-AW1766,0)&amp;" Stk / CHF "&amp;ROUND((H1766-AW1766)*G1766,0)&amp;"; ","")&amp;IF(AND(CI1766=1,CJ1766&lt;CK1766),"MAX &lt; MB+LG; ","")&amp;IF(AND(CQ1766&gt;0,CP1766*10&gt;CQ1766),"zu hoch für Tablar; ","")&amp;IF(AND(BW1766=0,OR(CI1766=1,AB1766&lt;&gt;"",U1766&lt;&gt;"",V1766&lt;&gt;"",AC1766&lt;&gt;"")),"manuell übersteuert; ","")&amp;IF(AND(CA1766=0,R1766=0),"Gebinde unbekannt / Stellmass fehlt; ","")&amp;IF(AND(CA1766=0,N(V1766)&lt;=0,N(Q1766)&lt;=0),"Menge pro Gebinde fehlt (Ist = 1 Gebinde); ","")&amp;BV1766)</f>
        <v/>
      </c>
      <c r="BO1766" s="60"/>
      <c r="BP1766" s="60"/>
      <c r="BQ1766" s="67"/>
      <c r="BR1766" s="62" t="n">
        <f aca="false">N('Neue Artikel'!$D$27)</f>
        <v>0</v>
      </c>
      <c r="BS1766" s="62" t="n">
        <v>0</v>
      </c>
      <c r="BT1766" s="61" t="n">
        <v>0</v>
      </c>
      <c r="BU1766" s="62" t="n">
        <f aca="false">N('Neue Artikel'!$C$27)/Parameter!$B$18</f>
        <v>0</v>
      </c>
      <c r="BV1766" s="60"/>
      <c r="BW1766" s="65" t="n">
        <v>1</v>
      </c>
      <c r="BX1766" s="65" t="n">
        <v>1766</v>
      </c>
      <c r="BY1766" s="60" t="str">
        <f aca="false">IF(U1766&lt;&gt;"",UPPER(TRIM(U1766)),IF(CB1766=1,UPPER(VLOOKUP(T1766,Parameter!$I$27:$K$29,2,0)),IF(P1766="","LOSE",P1766)))</f>
        <v>LOSE</v>
      </c>
      <c r="BZ1766" s="62" t="n">
        <f aca="false">IF(BY1766="LOSE",1,IF(N(V1766)&gt;0,V1766,IF(CB1766=1,MAX(1,N(VLOOKUP(T1766,Parameter!$I$27:$K$29,3,0)),H1766,N(N1766)),IF(N(Q1766)&gt;0,Q1766,MAX(1,H1766)))))</f>
        <v>1</v>
      </c>
      <c r="CA1766" s="65" t="n">
        <f aca="false">IF(BY1766="LOSE",1,0)</f>
        <v>1</v>
      </c>
      <c r="CB1766" s="65" t="n">
        <f aca="false">IF(AND(U1766="",OR(P1766="",P1766="LOSE"),T1766&lt;&gt;"",N(S1766)&lt;=0,ISNUMBER(MATCH(T1766,Parameter!$I$27:$I$29,0))),1,0)</f>
        <v>0</v>
      </c>
      <c r="CC1766" s="65" t="n">
        <f aca="false">IF(CR1766&gt;0,INDEX(Parameter!$H$5:$H$7,W1766)/INDEX(Parameter!$E$5:$E$7,W1766),IF(AND(CA1766=0,N(IFERROR(VLOOKUP(BY1766,'Gebinde-Kategorie'!$A$5:$N$45,14,0),0))&gt;0),VLOOKUP(BY1766,'Gebinde-Kategorie'!$A$5:$N$45,14,0)*10+Parameter!$M$23,Parameter!$M$24))</f>
        <v>235</v>
      </c>
      <c r="CD1766" s="60" t="str">
        <f aca="false">IF(AND(Parameter!$B$19="Ja",E1766&lt;&gt;"",ISNUMBER(MATCH(E1766,Parameter!$I$35:$I$52,0))),VLOOKUP(E1766,Parameter!$I$35:$J$52,2,0),IFERROR(VLOOKUP(D1766,Parameter!$A$35:$C$64,2,0),"Nein"))</f>
        <v>2+3</v>
      </c>
      <c r="CE1766" s="64" t="n">
        <f aca="false">IF(CA1766=0,0,IF(N(S1766)&gt;0,S1766,IFERROR(VLOOKUP(D1766,Parameter!$A$35:$C$64,3,0)+0,0)))</f>
        <v>0.15</v>
      </c>
      <c r="CF1766" s="60" t="str">
        <f aca="false">IF(AB1766&lt;&gt;"",AB1766,AA1766)</f>
        <v/>
      </c>
      <c r="CG1766" s="60" t="str">
        <f aca="false">IF(OR(CF1766=1,CF1766=2,CF1766=3),IF(Parameter!$E$27="Ja","LIFT",IF(CF1766=1,"L1","L23")),IF(CF1766="Aussen","Aussen","-"))</f>
        <v>-</v>
      </c>
      <c r="CH1766" s="71" t="n">
        <f aca="false">IF(N(AC1766)&gt;0,AC1766,0)</f>
        <v>0</v>
      </c>
      <c r="CI1766" s="65" t="n">
        <f aca="false">IF(ISNUMBER(AF1766),1,0)</f>
        <v>0</v>
      </c>
      <c r="CJ1766" s="62" t="n">
        <f aca="false">N(AF1766)</f>
        <v>0</v>
      </c>
      <c r="CK1766" s="62" t="n">
        <f aca="false">N(M1766)+N(N1766)</f>
        <v>0</v>
      </c>
      <c r="CL1766" s="62" t="n">
        <f aca="false">N(M1766)</f>
        <v>0</v>
      </c>
      <c r="CM1766" s="62" t="n">
        <f aca="false">N(N1766)</f>
        <v>0</v>
      </c>
      <c r="CN1766" s="62" t="n">
        <f aca="false">ROUNDUP(H1766/BZ1766,0)</f>
        <v>0</v>
      </c>
      <c r="CO1766" s="62" t="n">
        <f aca="false">ROUNDUP(CJ1766/BZ1766,0)</f>
        <v>0</v>
      </c>
      <c r="CP1766" s="65" t="n">
        <f aca="false">IF(CA1766=1,0,IFERROR(VLOOKUP(BY1766,'Gebinde-Kategorie'!$A$5:$N$45,5,0)+0,0))</f>
        <v>0</v>
      </c>
      <c r="CQ1766" s="65" t="n">
        <f aca="false">IFERROR(IF(OR(CF1766=1,CF1766=2,CF1766=3),N(INDEX(Parameter!$I$5:$I$7,CF1766)),0),0)</f>
        <v>0</v>
      </c>
      <c r="CR1766" s="64" t="n">
        <f aca="false">IF(AND(Parameter!$B$21="Ja",ISNUMBER(W1766),N(X1766)&gt;0),IFERROR(N(INDEX(Parameter!$L$5:$L$7,W1766))*INDEX(Parameter!$E$5:$E$7,W1766)*X1766/SUMIFS($X$7:$X$1843,$W$7:$W$1843,W1766),0),0)</f>
        <v>0</v>
      </c>
      <c r="CS1766" s="62" t="str">
        <f aca="false">IF(AND(OR(CG1766="L1",CG1766="L23",CG1766="LIFT"),H1766&gt;0),CC1766*IF(CR1766&gt;0,CR1766*MAX(1,H1766/X1766),IF(CA1766=1,CE1766,IF(R1766&gt;0,CN1766/R1766,0))/MAX(0.1,N(Parameter!$M$21))),"")</f>
        <v/>
      </c>
      <c r="CT1766" s="64" t="str">
        <f aca="false">IF(CS1766="","",J1766/H1766)</f>
        <v/>
      </c>
      <c r="CU1766" s="62" t="str">
        <f aca="false">IF(CS1766="","",H1766*G1766)</f>
        <v/>
      </c>
      <c r="CV1766" s="63" t="str">
        <f aca="false">IF(CS1766="","",(CL1766+ROUNDUP(CL1766+MAX(CM1766,2*(J1766/MAX(0.1,N(Einkauf!$C$6))-CL1766)),0))/2)</f>
        <v/>
      </c>
      <c r="CW1766" s="62" t="str">
        <f aca="false">IF(CS1766="","",MAX(0,H1766-CV1766)*G1766)</f>
        <v/>
      </c>
      <c r="CX1766" s="62" t="str">
        <f aca="false">IF(CS1766="","",CS1766*MAX(0,1-CV1766/H1766))</f>
        <v/>
      </c>
      <c r="CY1766" s="64" t="str">
        <f aca="false">IF(CS1766="","",PERCENTRANK($CS$7:$CS$1843,CS1766)+PERCENTRANK($CU$7:$CU$1843,CU1766)+1-PERCENTRANK($CT$7:$CT$1843,CT1766))</f>
        <v/>
      </c>
      <c r="CZ1766" s="72" t="str">
        <f aca="false">IF(CS1766="","",CHOOSE(MATCH(Einkauf!$C$5,Parameter!$G$23:$G$27,0),CY1766,CS1766,CU1766,-CT1766,CW1766)+ROW()/1000000000)</f>
        <v/>
      </c>
    </row>
    <row r="1767" customFormat="false" ht="15" hidden="false" customHeight="false" outlineLevel="0" collapsed="false">
      <c r="A1767" s="60" t="str">
        <f aca="false">IF('Neue Artikel'!$A$28="","",'Neue Artikel'!$A$28&amp;"")</f>
        <v/>
      </c>
      <c r="B1767" s="60" t="str">
        <f aca="false">'Neue Artikel'!$B$28&amp;""</f>
        <v/>
      </c>
      <c r="C1767" s="60"/>
      <c r="D1767" s="60" t="s">
        <v>3057</v>
      </c>
      <c r="E1767" s="60"/>
      <c r="F1767" s="60"/>
      <c r="G1767" s="61" t="n">
        <f aca="false">N('Neue Artikel'!$G$28)</f>
        <v>0</v>
      </c>
      <c r="H1767" s="62" t="n">
        <f aca="false">MAX(0,IF(AND(Parameter!$B$21="Ja",ISNUMBER(Y1767)),Y1767,IF(Parameter!$B$20="Jahresanfang 2025 + Export",BS1767+BR1767,BR1767)))</f>
        <v>0</v>
      </c>
      <c r="I1767" s="62" t="n">
        <f aca="false">H1767*G1767</f>
        <v>0</v>
      </c>
      <c r="J1767" s="62" t="n">
        <f aca="false">BU1767*Parameter!$B$18</f>
        <v>0</v>
      </c>
      <c r="K1767" s="63"/>
      <c r="L1767" s="64"/>
      <c r="M1767" s="62" t="n">
        <f aca="false">N('Neue Artikel'!$E$28)</f>
        <v>0</v>
      </c>
      <c r="N1767" s="62" t="n">
        <f aca="false">N('Neue Artikel'!$F$28)</f>
        <v>0</v>
      </c>
      <c r="O1767" s="65"/>
      <c r="P1767" s="60" t="str">
        <f aca="false">IF('Neue Artikel'!$H$28="","LOSE",UPPER(TRIM('Neue Artikel'!$H$28)))</f>
        <v>LOSE</v>
      </c>
      <c r="Q1767" s="62" t="n">
        <f aca="false">N('Neue Artikel'!$I$28)</f>
        <v>0</v>
      </c>
      <c r="R1767" s="65" t="n">
        <f aca="false">IF(CA1767=1,0,IFERROR(VLOOKUP(BY1767,'Gebinde-Kategorie'!$A$5:$N$45,13,0)+0,0))</f>
        <v>0</v>
      </c>
      <c r="S1767" s="66"/>
      <c r="T1767" s="67"/>
      <c r="U1767" s="67"/>
      <c r="V1767" s="67"/>
      <c r="W1767" s="60"/>
      <c r="X1767" s="62"/>
      <c r="Y1767" s="62"/>
      <c r="Z1767" s="60"/>
      <c r="AA1767" s="60" t="str">
        <f aca="false">IF(A1767="","",IF(AND(Parameter!$B$21="Ja",ISNUMBER(W1767)),W1767,IF(AND(Parameter!$E$27="Ja",ISNUMBER(Z1767),CD1767&lt;&gt;"Nein"),Z1767,IF(CD1767="2+3",IF(ISNUMBER(SEARCH("grosser Artikel",BV1767)),2,IFERROR(VLOOKUP(BY1767,Parameter!$F$35:$G$64,2,0),2)),IF(OR(CD1767="Nein",CD1767=""),"-",CD1767)))))</f>
        <v/>
      </c>
      <c r="AB1767" s="60" t="str">
        <f aca="false">IF('Neue Artikel'!$J$28="","",'Neue Artikel'!$J$28)</f>
        <v/>
      </c>
      <c r="AC1767" s="68"/>
      <c r="AD1767" s="62" t="n">
        <f aca="false">AW1767</f>
        <v>0</v>
      </c>
      <c r="AE1767" s="62" t="n">
        <f aca="false">MAX(AW1767,H1767)</f>
        <v>0</v>
      </c>
      <c r="AF1767" s="69"/>
      <c r="AG1767" s="62" t="n">
        <f aca="false">IF(LEFT(Cockpit!$C$5,1)="A",H1767,IF(Parameter!$E$30="MAX-Bestand",IF(CI1767=1,CJ1767,IF(LEFT(Cockpit!$C$5,1)="B",AM1767,MAX(AM1767,H1767))),ROUNDUP(AK1767,0)))</f>
        <v>0</v>
      </c>
      <c r="AH1767" s="62" t="n">
        <f aca="false">IF(CA1767=1,0,ROUNDUP(AG1767/BZ1767,0))</f>
        <v>0</v>
      </c>
      <c r="AI1767" s="64" t="n">
        <f aca="false">IF(CR1767&gt;0,CR1767*MAX(1,AG1767/X1767),IF(CA1767=1,IF(AG1767&lt;=0,0,CE1767*MAX(1,IF(H1767&gt;0,AG1767/H1767,1))),IF(R1767&gt;0,AH1767/R1767,0))/MAX(0.1,N(Parameter!$M$21)))</f>
        <v>0</v>
      </c>
      <c r="AJ1767" s="62" t="n">
        <f aca="false">AI1767*CC1767</f>
        <v>0</v>
      </c>
      <c r="AK1767" s="63" t="n">
        <f aca="false">IF(LEFT(Cockpit!$C$5,1)="A",H1767,IF(CI1767=1,(CL1767+CJ1767)/2,IF(LEFT(Cockpit!$C$5,1)="B",(CL1767+AM1767)/2,MAX((CL1767+AM1767)/2,H1767))))</f>
        <v>0</v>
      </c>
      <c r="AL1767" s="62" t="n">
        <f aca="false">AK1767*G1767</f>
        <v>0</v>
      </c>
      <c r="AM1767" s="62" t="n">
        <f aca="false">ROUNDUP(CL1767+MAX(CM1767,2*(J1767/IF(CH1767&gt;0,CH1767,MAX(0.1,N(Cockpit!$C$6)))-CL1767)),0)</f>
        <v>0</v>
      </c>
      <c r="AN1767" s="63" t="n">
        <f aca="false">IF(AJ1767&gt;0,J1767/AJ1767,-1)</f>
        <v>-1</v>
      </c>
      <c r="AO1767" s="63" t="str">
        <f aca="false">IF(AND(OR(CG1767="L1",CG1767="L23",CG1767="LIFT"),AJ1767&gt;0),SUMIFS($AJ$7:$AJ$1843,$CG$7:$CG$1843,CG1767,$AN$7:$AN$1843,"&gt;"&amp;AN1767)+SUMIFS($AJ$7:$AJ$1843,$CG$7:$CG$1843,CG1767,$AN$7:$AN$1843,AN1767,$BX$7:$BX$1843,"&lt;="&amp;BX1767),"")</f>
        <v/>
      </c>
      <c r="AP1767" s="70" t="n">
        <f aca="false">IF(AO1767="",0,MAX(0,MIN(1,(IF(CG1767="L1",Parameter!$H$5,IF(CG1767="L23",Parameter!$H$6+Parameter!$H$7,Parameter!$H$5+Parameter!$H$6+Parameter!$H$7))-(AO1767-AJ1767))/AJ1767)))</f>
        <v>0</v>
      </c>
      <c r="AQ1767" s="62" t="n">
        <f aca="false">IF(LEFT(Cockpit!$I$5,1)="A",H1767,IF(Parameter!$E$30="MAX-Bestand",IF(CI1767=1,CJ1767,IF(LEFT(Cockpit!$I$5,1)="B",AW1767,MAX(AW1767,H1767))),ROUNDUP(AU1767,0)))</f>
        <v>0</v>
      </c>
      <c r="AR1767" s="62" t="n">
        <f aca="false">IF(CA1767=1,0,ROUNDUP(AQ1767/BZ1767,0))</f>
        <v>0</v>
      </c>
      <c r="AS1767" s="64" t="n">
        <f aca="false">IF(CR1767&gt;0,CR1767*MAX(1,AQ1767/X1767),IF(CA1767=1,IF(AQ1767&lt;=0,0,CE1767*MAX(1,IF(H1767&gt;0,AQ1767/H1767,1))),IF(R1767&gt;0,AR1767/R1767,0))/MAX(0.1,N(Parameter!$M$21)))</f>
        <v>0</v>
      </c>
      <c r="AT1767" s="62" t="n">
        <f aca="false">AS1767*CC1767</f>
        <v>0</v>
      </c>
      <c r="AU1767" s="63" t="n">
        <f aca="false">IF(LEFT(Cockpit!$I$5,1)="A",H1767,IF(CI1767=1,(CL1767+CJ1767)/2,IF(LEFT(Cockpit!$I$5,1)="B",(CL1767+AW1767)/2,MAX((CL1767+AW1767)/2,H1767))))</f>
        <v>0</v>
      </c>
      <c r="AV1767" s="62" t="n">
        <f aca="false">AU1767*G1767</f>
        <v>0</v>
      </c>
      <c r="AW1767" s="62" t="n">
        <f aca="false">ROUNDUP(CL1767+MAX(CM1767,2*(J1767/IF(CH1767&gt;0,CH1767,MAX(0.1,N(Cockpit!$I$6)))-CL1767)),0)</f>
        <v>0</v>
      </c>
      <c r="AX1767" s="63" t="n">
        <f aca="false">IF(AT1767&gt;0,J1767/AT1767,-1)</f>
        <v>-1</v>
      </c>
      <c r="AY1767" s="63" t="str">
        <f aca="false">IF(AND(OR(CG1767="L1",CG1767="L23",CG1767="LIFT"),AT1767&gt;0),SUMIFS($AT$7:$AT$1843,$CG$7:$CG$1843,CG1767,$AX$7:$AX$1843,"&gt;"&amp;AX1767)+SUMIFS($AT$7:$AT$1843,$CG$7:$CG$1843,CG1767,$AX$7:$AX$1843,AX1767,$BX$7:$BX$1843,"&lt;="&amp;BX1767),"")</f>
        <v/>
      </c>
      <c r="AZ1767" s="70" t="n">
        <f aca="false">IF(AY1767="",0,MAX(0,MIN(1,(IF(CG1767="L1",Parameter!$H$5,IF(CG1767="L23",Parameter!$H$6+Parameter!$H$7,Parameter!$H$5+Parameter!$H$6+Parameter!$H$7))-(AY1767-AT1767))/AT1767)))</f>
        <v>0</v>
      </c>
      <c r="BA1767" s="62" t="n">
        <f aca="false">IF(LEFT(Cockpit!$O$5,1)="A",H1767,IF(Parameter!$E$30="MAX-Bestand",IF(CI1767=1,CJ1767,IF(LEFT(Cockpit!$O$5,1)="B",BG1767,MAX(BG1767,H1767))),ROUNDUP(BE1767,0)))</f>
        <v>0</v>
      </c>
      <c r="BB1767" s="62" t="n">
        <f aca="false">IF(CA1767=1,0,ROUNDUP(BA1767/BZ1767,0))</f>
        <v>0</v>
      </c>
      <c r="BC1767" s="64" t="n">
        <f aca="false">IF(CR1767&gt;0,CR1767*MAX(1,BA1767/X1767),IF(CA1767=1,IF(BA1767&lt;=0,0,CE1767*MAX(1,IF(H1767&gt;0,BA1767/H1767,1))),IF(R1767&gt;0,BB1767/R1767,0))/MAX(0.1,N(Parameter!$M$21)))</f>
        <v>0</v>
      </c>
      <c r="BD1767" s="62" t="n">
        <f aca="false">BC1767*CC1767</f>
        <v>0</v>
      </c>
      <c r="BE1767" s="63" t="n">
        <f aca="false">IF(LEFT(Cockpit!$O$5,1)="A",H1767,IF(CI1767=1,(CL1767+CJ1767)/2,IF(LEFT(Cockpit!$O$5,1)="B",(CL1767+BG1767)/2,MAX((CL1767+BG1767)/2,H1767))))</f>
        <v>0</v>
      </c>
      <c r="BF1767" s="62" t="n">
        <f aca="false">BE1767*G1767</f>
        <v>0</v>
      </c>
      <c r="BG1767" s="62" t="n">
        <f aca="false">ROUNDUP(CL1767+MAX(CM1767,2*(J1767/IF(CH1767&gt;0,CH1767,MAX(0.1,N(Cockpit!$O$6)))-CL1767)),0)</f>
        <v>0</v>
      </c>
      <c r="BH1767" s="63" t="n">
        <f aca="false">IF(BD1767&gt;0,J1767/BD1767,-1)</f>
        <v>-1</v>
      </c>
      <c r="BI1767" s="63" t="str">
        <f aca="false">IF(AND(OR(CG1767="L1",CG1767="L23",CG1767="LIFT"),BD1767&gt;0),SUMIFS($BD$7:$BD$1843,$CG$7:$CG$1843,CG1767,$BH$7:$BH$1843,"&gt;"&amp;BH1767)+SUMIFS($BD$7:$BD$1843,$CG$7:$CG$1843,CG1767,$BH$7:$BH$1843,BH1767,$BX$7:$BX$1843,"&lt;="&amp;BX1767),"")</f>
        <v/>
      </c>
      <c r="BJ1767" s="70" t="n">
        <f aca="false">IF(BI1767="",0,MAX(0,MIN(1,(IF(CG1767="L1",Parameter!$H$5,IF(CG1767="L23",Parameter!$H$6+Parameter!$H$7,Parameter!$H$5+Parameter!$H$6+Parameter!$H$7))-(BI1767-BD1767))/BD1767)))</f>
        <v>0</v>
      </c>
      <c r="BK1767" s="60" t="str">
        <f aca="false">IF(AJ1767&lt;=0,"",IF(CG1767="Aussen","Aussenlager",IF(CG1767="-","Nicht im Lift",IF(AP1767&gt;=1,"Lift",IF(AP1767&lt;=0,"Aussenlager","teilweise")))))</f>
        <v/>
      </c>
      <c r="BL1767" s="60" t="str">
        <f aca="false">IF(AT1767&lt;=0,"",IF(CG1767="Aussen","Aussenlager",IF(CG1767="-","Nicht im Lift",IF(AZ1767&gt;=1,"Lift",IF(AZ1767&lt;=0,"Aussenlager","teilweise")))))</f>
        <v/>
      </c>
      <c r="BM1767" s="60" t="str">
        <f aca="false">IF(BD1767&lt;=0,"",IF(CG1767="Aussen","Aussenlager",IF(CG1767="-","Nicht im Lift",IF(BJ1767&gt;=1,"Lift",IF(BJ1767&lt;=0,"Aussenlager","teilweise")))))</f>
        <v/>
      </c>
      <c r="BN1767" s="60" t="str">
        <f aca="false">IF(A1767="","",IF(BW1767=1,"Neu; ","")&amp;IF(AND(BW1767=0,BR1767&lt;0),"negativer Bestand (Export "&amp;BR1767&amp;"); ","")&amp;IF(J1767&lt;=0,"Kein Verbrauch; ","")&amp;IF(CR1767&gt;0,"Lift "&amp;W1767&amp;" lt. Liftbericht (Fach "&amp;X1767&amp;" Stk); ",IF(CB1767=1,"Gebinde geschätzt ("&amp;T1767&amp;"); ",IF(CA1767=1,"Lose – Tablare geschätzt; ","")))&amp;IF(H1767&gt;AW1767,"Überbestand "&amp;ROUND(H1767-AW1767,0)&amp;" Stk / CHF "&amp;ROUND((H1767-AW1767)*G1767,0)&amp;"; ","")&amp;IF(AND(CI1767=1,CJ1767&lt;CK1767),"MAX &lt; MB+LG; ","")&amp;IF(AND(CQ1767&gt;0,CP1767*10&gt;CQ1767),"zu hoch für Tablar; ","")&amp;IF(AND(BW1767=0,OR(CI1767=1,AB1767&lt;&gt;"",U1767&lt;&gt;"",V1767&lt;&gt;"",AC1767&lt;&gt;"")),"manuell übersteuert; ","")&amp;IF(AND(CA1767=0,R1767=0),"Gebinde unbekannt / Stellmass fehlt; ","")&amp;IF(AND(CA1767=0,N(V1767)&lt;=0,N(Q1767)&lt;=0),"Menge pro Gebinde fehlt (Ist = 1 Gebinde); ","")&amp;BV1767)</f>
        <v/>
      </c>
      <c r="BO1767" s="60"/>
      <c r="BP1767" s="60"/>
      <c r="BQ1767" s="67"/>
      <c r="BR1767" s="62" t="n">
        <f aca="false">N('Neue Artikel'!$D$28)</f>
        <v>0</v>
      </c>
      <c r="BS1767" s="62" t="n">
        <v>0</v>
      </c>
      <c r="BT1767" s="61" t="n">
        <v>0</v>
      </c>
      <c r="BU1767" s="62" t="n">
        <f aca="false">N('Neue Artikel'!$C$28)/Parameter!$B$18</f>
        <v>0</v>
      </c>
      <c r="BV1767" s="60"/>
      <c r="BW1767" s="65" t="n">
        <v>1</v>
      </c>
      <c r="BX1767" s="65" t="n">
        <v>1767</v>
      </c>
      <c r="BY1767" s="60" t="str">
        <f aca="false">IF(U1767&lt;&gt;"",UPPER(TRIM(U1767)),IF(CB1767=1,UPPER(VLOOKUP(T1767,Parameter!$I$27:$K$29,2,0)),IF(P1767="","LOSE",P1767)))</f>
        <v>LOSE</v>
      </c>
      <c r="BZ1767" s="62" t="n">
        <f aca="false">IF(BY1767="LOSE",1,IF(N(V1767)&gt;0,V1767,IF(CB1767=1,MAX(1,N(VLOOKUP(T1767,Parameter!$I$27:$K$29,3,0)),H1767,N(N1767)),IF(N(Q1767)&gt;0,Q1767,MAX(1,H1767)))))</f>
        <v>1</v>
      </c>
      <c r="CA1767" s="65" t="n">
        <f aca="false">IF(BY1767="LOSE",1,0)</f>
        <v>1</v>
      </c>
      <c r="CB1767" s="65" t="n">
        <f aca="false">IF(AND(U1767="",OR(P1767="",P1767="LOSE"),T1767&lt;&gt;"",N(S1767)&lt;=0,ISNUMBER(MATCH(T1767,Parameter!$I$27:$I$29,0))),1,0)</f>
        <v>0</v>
      </c>
      <c r="CC1767" s="65" t="n">
        <f aca="false">IF(CR1767&gt;0,INDEX(Parameter!$H$5:$H$7,W1767)/INDEX(Parameter!$E$5:$E$7,W1767),IF(AND(CA1767=0,N(IFERROR(VLOOKUP(BY1767,'Gebinde-Kategorie'!$A$5:$N$45,14,0),0))&gt;0),VLOOKUP(BY1767,'Gebinde-Kategorie'!$A$5:$N$45,14,0)*10+Parameter!$M$23,Parameter!$M$24))</f>
        <v>235</v>
      </c>
      <c r="CD1767" s="60" t="str">
        <f aca="false">IF(AND(Parameter!$B$19="Ja",E1767&lt;&gt;"",ISNUMBER(MATCH(E1767,Parameter!$I$35:$I$52,0))),VLOOKUP(E1767,Parameter!$I$35:$J$52,2,0),IFERROR(VLOOKUP(D1767,Parameter!$A$35:$C$64,2,0),"Nein"))</f>
        <v>2+3</v>
      </c>
      <c r="CE1767" s="64" t="n">
        <f aca="false">IF(CA1767=0,0,IF(N(S1767)&gt;0,S1767,IFERROR(VLOOKUP(D1767,Parameter!$A$35:$C$64,3,0)+0,0)))</f>
        <v>0.15</v>
      </c>
      <c r="CF1767" s="60" t="str">
        <f aca="false">IF(AB1767&lt;&gt;"",AB1767,AA1767)</f>
        <v/>
      </c>
      <c r="CG1767" s="60" t="str">
        <f aca="false">IF(OR(CF1767=1,CF1767=2,CF1767=3),IF(Parameter!$E$27="Ja","LIFT",IF(CF1767=1,"L1","L23")),IF(CF1767="Aussen","Aussen","-"))</f>
        <v>-</v>
      </c>
      <c r="CH1767" s="71" t="n">
        <f aca="false">IF(N(AC1767)&gt;0,AC1767,0)</f>
        <v>0</v>
      </c>
      <c r="CI1767" s="65" t="n">
        <f aca="false">IF(ISNUMBER(AF1767),1,0)</f>
        <v>0</v>
      </c>
      <c r="CJ1767" s="62" t="n">
        <f aca="false">N(AF1767)</f>
        <v>0</v>
      </c>
      <c r="CK1767" s="62" t="n">
        <f aca="false">N(M1767)+N(N1767)</f>
        <v>0</v>
      </c>
      <c r="CL1767" s="62" t="n">
        <f aca="false">N(M1767)</f>
        <v>0</v>
      </c>
      <c r="CM1767" s="62" t="n">
        <f aca="false">N(N1767)</f>
        <v>0</v>
      </c>
      <c r="CN1767" s="62" t="n">
        <f aca="false">ROUNDUP(H1767/BZ1767,0)</f>
        <v>0</v>
      </c>
      <c r="CO1767" s="62" t="n">
        <f aca="false">ROUNDUP(CJ1767/BZ1767,0)</f>
        <v>0</v>
      </c>
      <c r="CP1767" s="65" t="n">
        <f aca="false">IF(CA1767=1,0,IFERROR(VLOOKUP(BY1767,'Gebinde-Kategorie'!$A$5:$N$45,5,0)+0,0))</f>
        <v>0</v>
      </c>
      <c r="CQ1767" s="65" t="n">
        <f aca="false">IFERROR(IF(OR(CF1767=1,CF1767=2,CF1767=3),N(INDEX(Parameter!$I$5:$I$7,CF1767)),0),0)</f>
        <v>0</v>
      </c>
      <c r="CR1767" s="64" t="n">
        <f aca="false">IF(AND(Parameter!$B$21="Ja",ISNUMBER(W1767),N(X1767)&gt;0),IFERROR(N(INDEX(Parameter!$L$5:$L$7,W1767))*INDEX(Parameter!$E$5:$E$7,W1767)*X1767/SUMIFS($X$7:$X$1843,$W$7:$W$1843,W1767),0),0)</f>
        <v>0</v>
      </c>
      <c r="CS1767" s="62" t="str">
        <f aca="false">IF(AND(OR(CG1767="L1",CG1767="L23",CG1767="LIFT"),H1767&gt;0),CC1767*IF(CR1767&gt;0,CR1767*MAX(1,H1767/X1767),IF(CA1767=1,CE1767,IF(R1767&gt;0,CN1767/R1767,0))/MAX(0.1,N(Parameter!$M$21))),"")</f>
        <v/>
      </c>
      <c r="CT1767" s="64" t="str">
        <f aca="false">IF(CS1767="","",J1767/H1767)</f>
        <v/>
      </c>
      <c r="CU1767" s="62" t="str">
        <f aca="false">IF(CS1767="","",H1767*G1767)</f>
        <v/>
      </c>
      <c r="CV1767" s="63" t="str">
        <f aca="false">IF(CS1767="","",(CL1767+ROUNDUP(CL1767+MAX(CM1767,2*(J1767/MAX(0.1,N(Einkauf!$C$6))-CL1767)),0))/2)</f>
        <v/>
      </c>
      <c r="CW1767" s="62" t="str">
        <f aca="false">IF(CS1767="","",MAX(0,H1767-CV1767)*G1767)</f>
        <v/>
      </c>
      <c r="CX1767" s="62" t="str">
        <f aca="false">IF(CS1767="","",CS1767*MAX(0,1-CV1767/H1767))</f>
        <v/>
      </c>
      <c r="CY1767" s="64" t="str">
        <f aca="false">IF(CS1767="","",PERCENTRANK($CS$7:$CS$1843,CS1767)+PERCENTRANK($CU$7:$CU$1843,CU1767)+1-PERCENTRANK($CT$7:$CT$1843,CT1767))</f>
        <v/>
      </c>
      <c r="CZ1767" s="72" t="str">
        <f aca="false">IF(CS1767="","",CHOOSE(MATCH(Einkauf!$C$5,Parameter!$G$23:$G$27,0),CY1767,CS1767,CU1767,-CT1767,CW1767)+ROW()/1000000000)</f>
        <v/>
      </c>
    </row>
    <row r="1768" customFormat="false" ht="15" hidden="false" customHeight="false" outlineLevel="0" collapsed="false">
      <c r="A1768" s="60" t="str">
        <f aca="false">IF('Neue Artikel'!$A$29="","",'Neue Artikel'!$A$29&amp;"")</f>
        <v/>
      </c>
      <c r="B1768" s="60" t="str">
        <f aca="false">'Neue Artikel'!$B$29&amp;""</f>
        <v/>
      </c>
      <c r="C1768" s="60"/>
      <c r="D1768" s="60" t="s">
        <v>3057</v>
      </c>
      <c r="E1768" s="60"/>
      <c r="F1768" s="60"/>
      <c r="G1768" s="61" t="n">
        <f aca="false">N('Neue Artikel'!$G$29)</f>
        <v>0</v>
      </c>
      <c r="H1768" s="62" t="n">
        <f aca="false">MAX(0,IF(AND(Parameter!$B$21="Ja",ISNUMBER(Y1768)),Y1768,IF(Parameter!$B$20="Jahresanfang 2025 + Export",BS1768+BR1768,BR1768)))</f>
        <v>0</v>
      </c>
      <c r="I1768" s="62" t="n">
        <f aca="false">H1768*G1768</f>
        <v>0</v>
      </c>
      <c r="J1768" s="62" t="n">
        <f aca="false">BU1768*Parameter!$B$18</f>
        <v>0</v>
      </c>
      <c r="K1768" s="63"/>
      <c r="L1768" s="64"/>
      <c r="M1768" s="62" t="n">
        <f aca="false">N('Neue Artikel'!$E$29)</f>
        <v>0</v>
      </c>
      <c r="N1768" s="62" t="n">
        <f aca="false">N('Neue Artikel'!$F$29)</f>
        <v>0</v>
      </c>
      <c r="O1768" s="65"/>
      <c r="P1768" s="60" t="str">
        <f aca="false">IF('Neue Artikel'!$H$29="","LOSE",UPPER(TRIM('Neue Artikel'!$H$29)))</f>
        <v>LOSE</v>
      </c>
      <c r="Q1768" s="62" t="n">
        <f aca="false">N('Neue Artikel'!$I$29)</f>
        <v>0</v>
      </c>
      <c r="R1768" s="65" t="n">
        <f aca="false">IF(CA1768=1,0,IFERROR(VLOOKUP(BY1768,'Gebinde-Kategorie'!$A$5:$N$45,13,0)+0,0))</f>
        <v>0</v>
      </c>
      <c r="S1768" s="66"/>
      <c r="T1768" s="67"/>
      <c r="U1768" s="67"/>
      <c r="V1768" s="67"/>
      <c r="W1768" s="60"/>
      <c r="X1768" s="62"/>
      <c r="Y1768" s="62"/>
      <c r="Z1768" s="60"/>
      <c r="AA1768" s="60" t="str">
        <f aca="false">IF(A1768="","",IF(AND(Parameter!$B$21="Ja",ISNUMBER(W1768)),W1768,IF(AND(Parameter!$E$27="Ja",ISNUMBER(Z1768),CD1768&lt;&gt;"Nein"),Z1768,IF(CD1768="2+3",IF(ISNUMBER(SEARCH("grosser Artikel",BV1768)),2,IFERROR(VLOOKUP(BY1768,Parameter!$F$35:$G$64,2,0),2)),IF(OR(CD1768="Nein",CD1768=""),"-",CD1768)))))</f>
        <v/>
      </c>
      <c r="AB1768" s="60" t="str">
        <f aca="false">IF('Neue Artikel'!$J$29="","",'Neue Artikel'!$J$29)</f>
        <v/>
      </c>
      <c r="AC1768" s="68"/>
      <c r="AD1768" s="62" t="n">
        <f aca="false">AW1768</f>
        <v>0</v>
      </c>
      <c r="AE1768" s="62" t="n">
        <f aca="false">MAX(AW1768,H1768)</f>
        <v>0</v>
      </c>
      <c r="AF1768" s="69"/>
      <c r="AG1768" s="62" t="n">
        <f aca="false">IF(LEFT(Cockpit!$C$5,1)="A",H1768,IF(Parameter!$E$30="MAX-Bestand",IF(CI1768=1,CJ1768,IF(LEFT(Cockpit!$C$5,1)="B",AM1768,MAX(AM1768,H1768))),ROUNDUP(AK1768,0)))</f>
        <v>0</v>
      </c>
      <c r="AH1768" s="62" t="n">
        <f aca="false">IF(CA1768=1,0,ROUNDUP(AG1768/BZ1768,0))</f>
        <v>0</v>
      </c>
      <c r="AI1768" s="64" t="n">
        <f aca="false">IF(CR1768&gt;0,CR1768*MAX(1,AG1768/X1768),IF(CA1768=1,IF(AG1768&lt;=0,0,CE1768*MAX(1,IF(H1768&gt;0,AG1768/H1768,1))),IF(R1768&gt;0,AH1768/R1768,0))/MAX(0.1,N(Parameter!$M$21)))</f>
        <v>0</v>
      </c>
      <c r="AJ1768" s="62" t="n">
        <f aca="false">AI1768*CC1768</f>
        <v>0</v>
      </c>
      <c r="AK1768" s="63" t="n">
        <f aca="false">IF(LEFT(Cockpit!$C$5,1)="A",H1768,IF(CI1768=1,(CL1768+CJ1768)/2,IF(LEFT(Cockpit!$C$5,1)="B",(CL1768+AM1768)/2,MAX((CL1768+AM1768)/2,H1768))))</f>
        <v>0</v>
      </c>
      <c r="AL1768" s="62" t="n">
        <f aca="false">AK1768*G1768</f>
        <v>0</v>
      </c>
      <c r="AM1768" s="62" t="n">
        <f aca="false">ROUNDUP(CL1768+MAX(CM1768,2*(J1768/IF(CH1768&gt;0,CH1768,MAX(0.1,N(Cockpit!$C$6)))-CL1768)),0)</f>
        <v>0</v>
      </c>
      <c r="AN1768" s="63" t="n">
        <f aca="false">IF(AJ1768&gt;0,J1768/AJ1768,-1)</f>
        <v>-1</v>
      </c>
      <c r="AO1768" s="63" t="str">
        <f aca="false">IF(AND(OR(CG1768="L1",CG1768="L23",CG1768="LIFT"),AJ1768&gt;0),SUMIFS($AJ$7:$AJ$1843,$CG$7:$CG$1843,CG1768,$AN$7:$AN$1843,"&gt;"&amp;AN1768)+SUMIFS($AJ$7:$AJ$1843,$CG$7:$CG$1843,CG1768,$AN$7:$AN$1843,AN1768,$BX$7:$BX$1843,"&lt;="&amp;BX1768),"")</f>
        <v/>
      </c>
      <c r="AP1768" s="70" t="n">
        <f aca="false">IF(AO1768="",0,MAX(0,MIN(1,(IF(CG1768="L1",Parameter!$H$5,IF(CG1768="L23",Parameter!$H$6+Parameter!$H$7,Parameter!$H$5+Parameter!$H$6+Parameter!$H$7))-(AO1768-AJ1768))/AJ1768)))</f>
        <v>0</v>
      </c>
      <c r="AQ1768" s="62" t="n">
        <f aca="false">IF(LEFT(Cockpit!$I$5,1)="A",H1768,IF(Parameter!$E$30="MAX-Bestand",IF(CI1768=1,CJ1768,IF(LEFT(Cockpit!$I$5,1)="B",AW1768,MAX(AW1768,H1768))),ROUNDUP(AU1768,0)))</f>
        <v>0</v>
      </c>
      <c r="AR1768" s="62" t="n">
        <f aca="false">IF(CA1768=1,0,ROUNDUP(AQ1768/BZ1768,0))</f>
        <v>0</v>
      </c>
      <c r="AS1768" s="64" t="n">
        <f aca="false">IF(CR1768&gt;0,CR1768*MAX(1,AQ1768/X1768),IF(CA1768=1,IF(AQ1768&lt;=0,0,CE1768*MAX(1,IF(H1768&gt;0,AQ1768/H1768,1))),IF(R1768&gt;0,AR1768/R1768,0))/MAX(0.1,N(Parameter!$M$21)))</f>
        <v>0</v>
      </c>
      <c r="AT1768" s="62" t="n">
        <f aca="false">AS1768*CC1768</f>
        <v>0</v>
      </c>
      <c r="AU1768" s="63" t="n">
        <f aca="false">IF(LEFT(Cockpit!$I$5,1)="A",H1768,IF(CI1768=1,(CL1768+CJ1768)/2,IF(LEFT(Cockpit!$I$5,1)="B",(CL1768+AW1768)/2,MAX((CL1768+AW1768)/2,H1768))))</f>
        <v>0</v>
      </c>
      <c r="AV1768" s="62" t="n">
        <f aca="false">AU1768*G1768</f>
        <v>0</v>
      </c>
      <c r="AW1768" s="62" t="n">
        <f aca="false">ROUNDUP(CL1768+MAX(CM1768,2*(J1768/IF(CH1768&gt;0,CH1768,MAX(0.1,N(Cockpit!$I$6)))-CL1768)),0)</f>
        <v>0</v>
      </c>
      <c r="AX1768" s="63" t="n">
        <f aca="false">IF(AT1768&gt;0,J1768/AT1768,-1)</f>
        <v>-1</v>
      </c>
      <c r="AY1768" s="63" t="str">
        <f aca="false">IF(AND(OR(CG1768="L1",CG1768="L23",CG1768="LIFT"),AT1768&gt;0),SUMIFS($AT$7:$AT$1843,$CG$7:$CG$1843,CG1768,$AX$7:$AX$1843,"&gt;"&amp;AX1768)+SUMIFS($AT$7:$AT$1843,$CG$7:$CG$1843,CG1768,$AX$7:$AX$1843,AX1768,$BX$7:$BX$1843,"&lt;="&amp;BX1768),"")</f>
        <v/>
      </c>
      <c r="AZ1768" s="70" t="n">
        <f aca="false">IF(AY1768="",0,MAX(0,MIN(1,(IF(CG1768="L1",Parameter!$H$5,IF(CG1768="L23",Parameter!$H$6+Parameter!$H$7,Parameter!$H$5+Parameter!$H$6+Parameter!$H$7))-(AY1768-AT1768))/AT1768)))</f>
        <v>0</v>
      </c>
      <c r="BA1768" s="62" t="n">
        <f aca="false">IF(LEFT(Cockpit!$O$5,1)="A",H1768,IF(Parameter!$E$30="MAX-Bestand",IF(CI1768=1,CJ1768,IF(LEFT(Cockpit!$O$5,1)="B",BG1768,MAX(BG1768,H1768))),ROUNDUP(BE1768,0)))</f>
        <v>0</v>
      </c>
      <c r="BB1768" s="62" t="n">
        <f aca="false">IF(CA1768=1,0,ROUNDUP(BA1768/BZ1768,0))</f>
        <v>0</v>
      </c>
      <c r="BC1768" s="64" t="n">
        <f aca="false">IF(CR1768&gt;0,CR1768*MAX(1,BA1768/X1768),IF(CA1768=1,IF(BA1768&lt;=0,0,CE1768*MAX(1,IF(H1768&gt;0,BA1768/H1768,1))),IF(R1768&gt;0,BB1768/R1768,0))/MAX(0.1,N(Parameter!$M$21)))</f>
        <v>0</v>
      </c>
      <c r="BD1768" s="62" t="n">
        <f aca="false">BC1768*CC1768</f>
        <v>0</v>
      </c>
      <c r="BE1768" s="63" t="n">
        <f aca="false">IF(LEFT(Cockpit!$O$5,1)="A",H1768,IF(CI1768=1,(CL1768+CJ1768)/2,IF(LEFT(Cockpit!$O$5,1)="B",(CL1768+BG1768)/2,MAX((CL1768+BG1768)/2,H1768))))</f>
        <v>0</v>
      </c>
      <c r="BF1768" s="62" t="n">
        <f aca="false">BE1768*G1768</f>
        <v>0</v>
      </c>
      <c r="BG1768" s="62" t="n">
        <f aca="false">ROUNDUP(CL1768+MAX(CM1768,2*(J1768/IF(CH1768&gt;0,CH1768,MAX(0.1,N(Cockpit!$O$6)))-CL1768)),0)</f>
        <v>0</v>
      </c>
      <c r="BH1768" s="63" t="n">
        <f aca="false">IF(BD1768&gt;0,J1768/BD1768,-1)</f>
        <v>-1</v>
      </c>
      <c r="BI1768" s="63" t="str">
        <f aca="false">IF(AND(OR(CG1768="L1",CG1768="L23",CG1768="LIFT"),BD1768&gt;0),SUMIFS($BD$7:$BD$1843,$CG$7:$CG$1843,CG1768,$BH$7:$BH$1843,"&gt;"&amp;BH1768)+SUMIFS($BD$7:$BD$1843,$CG$7:$CG$1843,CG1768,$BH$7:$BH$1843,BH1768,$BX$7:$BX$1843,"&lt;="&amp;BX1768),"")</f>
        <v/>
      </c>
      <c r="BJ1768" s="70" t="n">
        <f aca="false">IF(BI1768="",0,MAX(0,MIN(1,(IF(CG1768="L1",Parameter!$H$5,IF(CG1768="L23",Parameter!$H$6+Parameter!$H$7,Parameter!$H$5+Parameter!$H$6+Parameter!$H$7))-(BI1768-BD1768))/BD1768)))</f>
        <v>0</v>
      </c>
      <c r="BK1768" s="60" t="str">
        <f aca="false">IF(AJ1768&lt;=0,"",IF(CG1768="Aussen","Aussenlager",IF(CG1768="-","Nicht im Lift",IF(AP1768&gt;=1,"Lift",IF(AP1768&lt;=0,"Aussenlager","teilweise")))))</f>
        <v/>
      </c>
      <c r="BL1768" s="60" t="str">
        <f aca="false">IF(AT1768&lt;=0,"",IF(CG1768="Aussen","Aussenlager",IF(CG1768="-","Nicht im Lift",IF(AZ1768&gt;=1,"Lift",IF(AZ1768&lt;=0,"Aussenlager","teilweise")))))</f>
        <v/>
      </c>
      <c r="BM1768" s="60" t="str">
        <f aca="false">IF(BD1768&lt;=0,"",IF(CG1768="Aussen","Aussenlager",IF(CG1768="-","Nicht im Lift",IF(BJ1768&gt;=1,"Lift",IF(BJ1768&lt;=0,"Aussenlager","teilweise")))))</f>
        <v/>
      </c>
      <c r="BN1768" s="60" t="str">
        <f aca="false">IF(A1768="","",IF(BW1768=1,"Neu; ","")&amp;IF(AND(BW1768=0,BR1768&lt;0),"negativer Bestand (Export "&amp;BR1768&amp;"); ","")&amp;IF(J1768&lt;=0,"Kein Verbrauch; ","")&amp;IF(CR1768&gt;0,"Lift "&amp;W1768&amp;" lt. Liftbericht (Fach "&amp;X1768&amp;" Stk); ",IF(CB1768=1,"Gebinde geschätzt ("&amp;T1768&amp;"); ",IF(CA1768=1,"Lose – Tablare geschätzt; ","")))&amp;IF(H1768&gt;AW1768,"Überbestand "&amp;ROUND(H1768-AW1768,0)&amp;" Stk / CHF "&amp;ROUND((H1768-AW1768)*G1768,0)&amp;"; ","")&amp;IF(AND(CI1768=1,CJ1768&lt;CK1768),"MAX &lt; MB+LG; ","")&amp;IF(AND(CQ1768&gt;0,CP1768*10&gt;CQ1768),"zu hoch für Tablar; ","")&amp;IF(AND(BW1768=0,OR(CI1768=1,AB1768&lt;&gt;"",U1768&lt;&gt;"",V1768&lt;&gt;"",AC1768&lt;&gt;"")),"manuell übersteuert; ","")&amp;IF(AND(CA1768=0,R1768=0),"Gebinde unbekannt / Stellmass fehlt; ","")&amp;IF(AND(CA1768=0,N(V1768)&lt;=0,N(Q1768)&lt;=0),"Menge pro Gebinde fehlt (Ist = 1 Gebinde); ","")&amp;BV1768)</f>
        <v/>
      </c>
      <c r="BO1768" s="60"/>
      <c r="BP1768" s="60"/>
      <c r="BQ1768" s="67"/>
      <c r="BR1768" s="62" t="n">
        <f aca="false">N('Neue Artikel'!$D$29)</f>
        <v>0</v>
      </c>
      <c r="BS1768" s="62" t="n">
        <v>0</v>
      </c>
      <c r="BT1768" s="61" t="n">
        <v>0</v>
      </c>
      <c r="BU1768" s="62" t="n">
        <f aca="false">N('Neue Artikel'!$C$29)/Parameter!$B$18</f>
        <v>0</v>
      </c>
      <c r="BV1768" s="60"/>
      <c r="BW1768" s="65" t="n">
        <v>1</v>
      </c>
      <c r="BX1768" s="65" t="n">
        <v>1768</v>
      </c>
      <c r="BY1768" s="60" t="str">
        <f aca="false">IF(U1768&lt;&gt;"",UPPER(TRIM(U1768)),IF(CB1768=1,UPPER(VLOOKUP(T1768,Parameter!$I$27:$K$29,2,0)),IF(P1768="","LOSE",P1768)))</f>
        <v>LOSE</v>
      </c>
      <c r="BZ1768" s="62" t="n">
        <f aca="false">IF(BY1768="LOSE",1,IF(N(V1768)&gt;0,V1768,IF(CB1768=1,MAX(1,N(VLOOKUP(T1768,Parameter!$I$27:$K$29,3,0)),H1768,N(N1768)),IF(N(Q1768)&gt;0,Q1768,MAX(1,H1768)))))</f>
        <v>1</v>
      </c>
      <c r="CA1768" s="65" t="n">
        <f aca="false">IF(BY1768="LOSE",1,0)</f>
        <v>1</v>
      </c>
      <c r="CB1768" s="65" t="n">
        <f aca="false">IF(AND(U1768="",OR(P1768="",P1768="LOSE"),T1768&lt;&gt;"",N(S1768)&lt;=0,ISNUMBER(MATCH(T1768,Parameter!$I$27:$I$29,0))),1,0)</f>
        <v>0</v>
      </c>
      <c r="CC1768" s="65" t="n">
        <f aca="false">IF(CR1768&gt;0,INDEX(Parameter!$H$5:$H$7,W1768)/INDEX(Parameter!$E$5:$E$7,W1768),IF(AND(CA1768=0,N(IFERROR(VLOOKUP(BY1768,'Gebinde-Kategorie'!$A$5:$N$45,14,0),0))&gt;0),VLOOKUP(BY1768,'Gebinde-Kategorie'!$A$5:$N$45,14,0)*10+Parameter!$M$23,Parameter!$M$24))</f>
        <v>235</v>
      </c>
      <c r="CD1768" s="60" t="str">
        <f aca="false">IF(AND(Parameter!$B$19="Ja",E1768&lt;&gt;"",ISNUMBER(MATCH(E1768,Parameter!$I$35:$I$52,0))),VLOOKUP(E1768,Parameter!$I$35:$J$52,2,0),IFERROR(VLOOKUP(D1768,Parameter!$A$35:$C$64,2,0),"Nein"))</f>
        <v>2+3</v>
      </c>
      <c r="CE1768" s="64" t="n">
        <f aca="false">IF(CA1768=0,0,IF(N(S1768)&gt;0,S1768,IFERROR(VLOOKUP(D1768,Parameter!$A$35:$C$64,3,0)+0,0)))</f>
        <v>0.15</v>
      </c>
      <c r="CF1768" s="60" t="str">
        <f aca="false">IF(AB1768&lt;&gt;"",AB1768,AA1768)</f>
        <v/>
      </c>
      <c r="CG1768" s="60" t="str">
        <f aca="false">IF(OR(CF1768=1,CF1768=2,CF1768=3),IF(Parameter!$E$27="Ja","LIFT",IF(CF1768=1,"L1","L23")),IF(CF1768="Aussen","Aussen","-"))</f>
        <v>-</v>
      </c>
      <c r="CH1768" s="71" t="n">
        <f aca="false">IF(N(AC1768)&gt;0,AC1768,0)</f>
        <v>0</v>
      </c>
      <c r="CI1768" s="65" t="n">
        <f aca="false">IF(ISNUMBER(AF1768),1,0)</f>
        <v>0</v>
      </c>
      <c r="CJ1768" s="62" t="n">
        <f aca="false">N(AF1768)</f>
        <v>0</v>
      </c>
      <c r="CK1768" s="62" t="n">
        <f aca="false">N(M1768)+N(N1768)</f>
        <v>0</v>
      </c>
      <c r="CL1768" s="62" t="n">
        <f aca="false">N(M1768)</f>
        <v>0</v>
      </c>
      <c r="CM1768" s="62" t="n">
        <f aca="false">N(N1768)</f>
        <v>0</v>
      </c>
      <c r="CN1768" s="62" t="n">
        <f aca="false">ROUNDUP(H1768/BZ1768,0)</f>
        <v>0</v>
      </c>
      <c r="CO1768" s="62" t="n">
        <f aca="false">ROUNDUP(CJ1768/BZ1768,0)</f>
        <v>0</v>
      </c>
      <c r="CP1768" s="65" t="n">
        <f aca="false">IF(CA1768=1,0,IFERROR(VLOOKUP(BY1768,'Gebinde-Kategorie'!$A$5:$N$45,5,0)+0,0))</f>
        <v>0</v>
      </c>
      <c r="CQ1768" s="65" t="n">
        <f aca="false">IFERROR(IF(OR(CF1768=1,CF1768=2,CF1768=3),N(INDEX(Parameter!$I$5:$I$7,CF1768)),0),0)</f>
        <v>0</v>
      </c>
      <c r="CR1768" s="64" t="n">
        <f aca="false">IF(AND(Parameter!$B$21="Ja",ISNUMBER(W1768),N(X1768)&gt;0),IFERROR(N(INDEX(Parameter!$L$5:$L$7,W1768))*INDEX(Parameter!$E$5:$E$7,W1768)*X1768/SUMIFS($X$7:$X$1843,$W$7:$W$1843,W1768),0),0)</f>
        <v>0</v>
      </c>
      <c r="CS1768" s="62" t="str">
        <f aca="false">IF(AND(OR(CG1768="L1",CG1768="L23",CG1768="LIFT"),H1768&gt;0),CC1768*IF(CR1768&gt;0,CR1768*MAX(1,H1768/X1768),IF(CA1768=1,CE1768,IF(R1768&gt;0,CN1768/R1768,0))/MAX(0.1,N(Parameter!$M$21))),"")</f>
        <v/>
      </c>
      <c r="CT1768" s="64" t="str">
        <f aca="false">IF(CS1768="","",J1768/H1768)</f>
        <v/>
      </c>
      <c r="CU1768" s="62" t="str">
        <f aca="false">IF(CS1768="","",H1768*G1768)</f>
        <v/>
      </c>
      <c r="CV1768" s="63" t="str">
        <f aca="false">IF(CS1768="","",(CL1768+ROUNDUP(CL1768+MAX(CM1768,2*(J1768/MAX(0.1,N(Einkauf!$C$6))-CL1768)),0))/2)</f>
        <v/>
      </c>
      <c r="CW1768" s="62" t="str">
        <f aca="false">IF(CS1768="","",MAX(0,H1768-CV1768)*G1768)</f>
        <v/>
      </c>
      <c r="CX1768" s="62" t="str">
        <f aca="false">IF(CS1768="","",CS1768*MAX(0,1-CV1768/H1768))</f>
        <v/>
      </c>
      <c r="CY1768" s="64" t="str">
        <f aca="false">IF(CS1768="","",PERCENTRANK($CS$7:$CS$1843,CS1768)+PERCENTRANK($CU$7:$CU$1843,CU1768)+1-PERCENTRANK($CT$7:$CT$1843,CT1768))</f>
        <v/>
      </c>
      <c r="CZ1768" s="72" t="str">
        <f aca="false">IF(CS1768="","",CHOOSE(MATCH(Einkauf!$C$5,Parameter!$G$23:$G$27,0),CY1768,CS1768,CU1768,-CT1768,CW1768)+ROW()/1000000000)</f>
        <v/>
      </c>
    </row>
    <row r="1769" customFormat="false" ht="15" hidden="false" customHeight="false" outlineLevel="0" collapsed="false">
      <c r="A1769" s="60" t="str">
        <f aca="false">IF('Neue Artikel'!$A$30="","",'Neue Artikel'!$A$30&amp;"")</f>
        <v/>
      </c>
      <c r="B1769" s="60" t="str">
        <f aca="false">'Neue Artikel'!$B$30&amp;""</f>
        <v/>
      </c>
      <c r="C1769" s="60"/>
      <c r="D1769" s="60" t="s">
        <v>3057</v>
      </c>
      <c r="E1769" s="60"/>
      <c r="F1769" s="60"/>
      <c r="G1769" s="61" t="n">
        <f aca="false">N('Neue Artikel'!$G$30)</f>
        <v>0</v>
      </c>
      <c r="H1769" s="62" t="n">
        <f aca="false">MAX(0,IF(AND(Parameter!$B$21="Ja",ISNUMBER(Y1769)),Y1769,IF(Parameter!$B$20="Jahresanfang 2025 + Export",BS1769+BR1769,BR1769)))</f>
        <v>0</v>
      </c>
      <c r="I1769" s="62" t="n">
        <f aca="false">H1769*G1769</f>
        <v>0</v>
      </c>
      <c r="J1769" s="62" t="n">
        <f aca="false">BU1769*Parameter!$B$18</f>
        <v>0</v>
      </c>
      <c r="K1769" s="63"/>
      <c r="L1769" s="64"/>
      <c r="M1769" s="62" t="n">
        <f aca="false">N('Neue Artikel'!$E$30)</f>
        <v>0</v>
      </c>
      <c r="N1769" s="62" t="n">
        <f aca="false">N('Neue Artikel'!$F$30)</f>
        <v>0</v>
      </c>
      <c r="O1769" s="65"/>
      <c r="P1769" s="60" t="str">
        <f aca="false">IF('Neue Artikel'!$H$30="","LOSE",UPPER(TRIM('Neue Artikel'!$H$30)))</f>
        <v>LOSE</v>
      </c>
      <c r="Q1769" s="62" t="n">
        <f aca="false">N('Neue Artikel'!$I$30)</f>
        <v>0</v>
      </c>
      <c r="R1769" s="65" t="n">
        <f aca="false">IF(CA1769=1,0,IFERROR(VLOOKUP(BY1769,'Gebinde-Kategorie'!$A$5:$N$45,13,0)+0,0))</f>
        <v>0</v>
      </c>
      <c r="S1769" s="66"/>
      <c r="T1769" s="67"/>
      <c r="U1769" s="67"/>
      <c r="V1769" s="67"/>
      <c r="W1769" s="60"/>
      <c r="X1769" s="62"/>
      <c r="Y1769" s="62"/>
      <c r="Z1769" s="60"/>
      <c r="AA1769" s="60" t="str">
        <f aca="false">IF(A1769="","",IF(AND(Parameter!$B$21="Ja",ISNUMBER(W1769)),W1769,IF(AND(Parameter!$E$27="Ja",ISNUMBER(Z1769),CD1769&lt;&gt;"Nein"),Z1769,IF(CD1769="2+3",IF(ISNUMBER(SEARCH("grosser Artikel",BV1769)),2,IFERROR(VLOOKUP(BY1769,Parameter!$F$35:$G$64,2,0),2)),IF(OR(CD1769="Nein",CD1769=""),"-",CD1769)))))</f>
        <v/>
      </c>
      <c r="AB1769" s="60" t="str">
        <f aca="false">IF('Neue Artikel'!$J$30="","",'Neue Artikel'!$J$30)</f>
        <v/>
      </c>
      <c r="AC1769" s="68"/>
      <c r="AD1769" s="62" t="n">
        <f aca="false">AW1769</f>
        <v>0</v>
      </c>
      <c r="AE1769" s="62" t="n">
        <f aca="false">MAX(AW1769,H1769)</f>
        <v>0</v>
      </c>
      <c r="AF1769" s="69"/>
      <c r="AG1769" s="62" t="n">
        <f aca="false">IF(LEFT(Cockpit!$C$5,1)="A",H1769,IF(Parameter!$E$30="MAX-Bestand",IF(CI1769=1,CJ1769,IF(LEFT(Cockpit!$C$5,1)="B",AM1769,MAX(AM1769,H1769))),ROUNDUP(AK1769,0)))</f>
        <v>0</v>
      </c>
      <c r="AH1769" s="62" t="n">
        <f aca="false">IF(CA1769=1,0,ROUNDUP(AG1769/BZ1769,0))</f>
        <v>0</v>
      </c>
      <c r="AI1769" s="64" t="n">
        <f aca="false">IF(CR1769&gt;0,CR1769*MAX(1,AG1769/X1769),IF(CA1769=1,IF(AG1769&lt;=0,0,CE1769*MAX(1,IF(H1769&gt;0,AG1769/H1769,1))),IF(R1769&gt;0,AH1769/R1769,0))/MAX(0.1,N(Parameter!$M$21)))</f>
        <v>0</v>
      </c>
      <c r="AJ1769" s="62" t="n">
        <f aca="false">AI1769*CC1769</f>
        <v>0</v>
      </c>
      <c r="AK1769" s="63" t="n">
        <f aca="false">IF(LEFT(Cockpit!$C$5,1)="A",H1769,IF(CI1769=1,(CL1769+CJ1769)/2,IF(LEFT(Cockpit!$C$5,1)="B",(CL1769+AM1769)/2,MAX((CL1769+AM1769)/2,H1769))))</f>
        <v>0</v>
      </c>
      <c r="AL1769" s="62" t="n">
        <f aca="false">AK1769*G1769</f>
        <v>0</v>
      </c>
      <c r="AM1769" s="62" t="n">
        <f aca="false">ROUNDUP(CL1769+MAX(CM1769,2*(J1769/IF(CH1769&gt;0,CH1769,MAX(0.1,N(Cockpit!$C$6)))-CL1769)),0)</f>
        <v>0</v>
      </c>
      <c r="AN1769" s="63" t="n">
        <f aca="false">IF(AJ1769&gt;0,J1769/AJ1769,-1)</f>
        <v>-1</v>
      </c>
      <c r="AO1769" s="63" t="str">
        <f aca="false">IF(AND(OR(CG1769="L1",CG1769="L23",CG1769="LIFT"),AJ1769&gt;0),SUMIFS($AJ$7:$AJ$1843,$CG$7:$CG$1843,CG1769,$AN$7:$AN$1843,"&gt;"&amp;AN1769)+SUMIFS($AJ$7:$AJ$1843,$CG$7:$CG$1843,CG1769,$AN$7:$AN$1843,AN1769,$BX$7:$BX$1843,"&lt;="&amp;BX1769),"")</f>
        <v/>
      </c>
      <c r="AP1769" s="70" t="n">
        <f aca="false">IF(AO1769="",0,MAX(0,MIN(1,(IF(CG1769="L1",Parameter!$H$5,IF(CG1769="L23",Parameter!$H$6+Parameter!$H$7,Parameter!$H$5+Parameter!$H$6+Parameter!$H$7))-(AO1769-AJ1769))/AJ1769)))</f>
        <v>0</v>
      </c>
      <c r="AQ1769" s="62" t="n">
        <f aca="false">IF(LEFT(Cockpit!$I$5,1)="A",H1769,IF(Parameter!$E$30="MAX-Bestand",IF(CI1769=1,CJ1769,IF(LEFT(Cockpit!$I$5,1)="B",AW1769,MAX(AW1769,H1769))),ROUNDUP(AU1769,0)))</f>
        <v>0</v>
      </c>
      <c r="AR1769" s="62" t="n">
        <f aca="false">IF(CA1769=1,0,ROUNDUP(AQ1769/BZ1769,0))</f>
        <v>0</v>
      </c>
      <c r="AS1769" s="64" t="n">
        <f aca="false">IF(CR1769&gt;0,CR1769*MAX(1,AQ1769/X1769),IF(CA1769=1,IF(AQ1769&lt;=0,0,CE1769*MAX(1,IF(H1769&gt;0,AQ1769/H1769,1))),IF(R1769&gt;0,AR1769/R1769,0))/MAX(0.1,N(Parameter!$M$21)))</f>
        <v>0</v>
      </c>
      <c r="AT1769" s="62" t="n">
        <f aca="false">AS1769*CC1769</f>
        <v>0</v>
      </c>
      <c r="AU1769" s="63" t="n">
        <f aca="false">IF(LEFT(Cockpit!$I$5,1)="A",H1769,IF(CI1769=1,(CL1769+CJ1769)/2,IF(LEFT(Cockpit!$I$5,1)="B",(CL1769+AW1769)/2,MAX((CL1769+AW1769)/2,H1769))))</f>
        <v>0</v>
      </c>
      <c r="AV1769" s="62" t="n">
        <f aca="false">AU1769*G1769</f>
        <v>0</v>
      </c>
      <c r="AW1769" s="62" t="n">
        <f aca="false">ROUNDUP(CL1769+MAX(CM1769,2*(J1769/IF(CH1769&gt;0,CH1769,MAX(0.1,N(Cockpit!$I$6)))-CL1769)),0)</f>
        <v>0</v>
      </c>
      <c r="AX1769" s="63" t="n">
        <f aca="false">IF(AT1769&gt;0,J1769/AT1769,-1)</f>
        <v>-1</v>
      </c>
      <c r="AY1769" s="63" t="str">
        <f aca="false">IF(AND(OR(CG1769="L1",CG1769="L23",CG1769="LIFT"),AT1769&gt;0),SUMIFS($AT$7:$AT$1843,$CG$7:$CG$1843,CG1769,$AX$7:$AX$1843,"&gt;"&amp;AX1769)+SUMIFS($AT$7:$AT$1843,$CG$7:$CG$1843,CG1769,$AX$7:$AX$1843,AX1769,$BX$7:$BX$1843,"&lt;="&amp;BX1769),"")</f>
        <v/>
      </c>
      <c r="AZ1769" s="70" t="n">
        <f aca="false">IF(AY1769="",0,MAX(0,MIN(1,(IF(CG1769="L1",Parameter!$H$5,IF(CG1769="L23",Parameter!$H$6+Parameter!$H$7,Parameter!$H$5+Parameter!$H$6+Parameter!$H$7))-(AY1769-AT1769))/AT1769)))</f>
        <v>0</v>
      </c>
      <c r="BA1769" s="62" t="n">
        <f aca="false">IF(LEFT(Cockpit!$O$5,1)="A",H1769,IF(Parameter!$E$30="MAX-Bestand",IF(CI1769=1,CJ1769,IF(LEFT(Cockpit!$O$5,1)="B",BG1769,MAX(BG1769,H1769))),ROUNDUP(BE1769,0)))</f>
        <v>0</v>
      </c>
      <c r="BB1769" s="62" t="n">
        <f aca="false">IF(CA1769=1,0,ROUNDUP(BA1769/BZ1769,0))</f>
        <v>0</v>
      </c>
      <c r="BC1769" s="64" t="n">
        <f aca="false">IF(CR1769&gt;0,CR1769*MAX(1,BA1769/X1769),IF(CA1769=1,IF(BA1769&lt;=0,0,CE1769*MAX(1,IF(H1769&gt;0,BA1769/H1769,1))),IF(R1769&gt;0,BB1769/R1769,0))/MAX(0.1,N(Parameter!$M$21)))</f>
        <v>0</v>
      </c>
      <c r="BD1769" s="62" t="n">
        <f aca="false">BC1769*CC1769</f>
        <v>0</v>
      </c>
      <c r="BE1769" s="63" t="n">
        <f aca="false">IF(LEFT(Cockpit!$O$5,1)="A",H1769,IF(CI1769=1,(CL1769+CJ1769)/2,IF(LEFT(Cockpit!$O$5,1)="B",(CL1769+BG1769)/2,MAX((CL1769+BG1769)/2,H1769))))</f>
        <v>0</v>
      </c>
      <c r="BF1769" s="62" t="n">
        <f aca="false">BE1769*G1769</f>
        <v>0</v>
      </c>
      <c r="BG1769" s="62" t="n">
        <f aca="false">ROUNDUP(CL1769+MAX(CM1769,2*(J1769/IF(CH1769&gt;0,CH1769,MAX(0.1,N(Cockpit!$O$6)))-CL1769)),0)</f>
        <v>0</v>
      </c>
      <c r="BH1769" s="63" t="n">
        <f aca="false">IF(BD1769&gt;0,J1769/BD1769,-1)</f>
        <v>-1</v>
      </c>
      <c r="BI1769" s="63" t="str">
        <f aca="false">IF(AND(OR(CG1769="L1",CG1769="L23",CG1769="LIFT"),BD1769&gt;0),SUMIFS($BD$7:$BD$1843,$CG$7:$CG$1843,CG1769,$BH$7:$BH$1843,"&gt;"&amp;BH1769)+SUMIFS($BD$7:$BD$1843,$CG$7:$CG$1843,CG1769,$BH$7:$BH$1843,BH1769,$BX$7:$BX$1843,"&lt;="&amp;BX1769),"")</f>
        <v/>
      </c>
      <c r="BJ1769" s="70" t="n">
        <f aca="false">IF(BI1769="",0,MAX(0,MIN(1,(IF(CG1769="L1",Parameter!$H$5,IF(CG1769="L23",Parameter!$H$6+Parameter!$H$7,Parameter!$H$5+Parameter!$H$6+Parameter!$H$7))-(BI1769-BD1769))/BD1769)))</f>
        <v>0</v>
      </c>
      <c r="BK1769" s="60" t="str">
        <f aca="false">IF(AJ1769&lt;=0,"",IF(CG1769="Aussen","Aussenlager",IF(CG1769="-","Nicht im Lift",IF(AP1769&gt;=1,"Lift",IF(AP1769&lt;=0,"Aussenlager","teilweise")))))</f>
        <v/>
      </c>
      <c r="BL1769" s="60" t="str">
        <f aca="false">IF(AT1769&lt;=0,"",IF(CG1769="Aussen","Aussenlager",IF(CG1769="-","Nicht im Lift",IF(AZ1769&gt;=1,"Lift",IF(AZ1769&lt;=0,"Aussenlager","teilweise")))))</f>
        <v/>
      </c>
      <c r="BM1769" s="60" t="str">
        <f aca="false">IF(BD1769&lt;=0,"",IF(CG1769="Aussen","Aussenlager",IF(CG1769="-","Nicht im Lift",IF(BJ1769&gt;=1,"Lift",IF(BJ1769&lt;=0,"Aussenlager","teilweise")))))</f>
        <v/>
      </c>
      <c r="BN1769" s="60" t="str">
        <f aca="false">IF(A1769="","",IF(BW1769=1,"Neu; ","")&amp;IF(AND(BW1769=0,BR1769&lt;0),"negativer Bestand (Export "&amp;BR1769&amp;"); ","")&amp;IF(J1769&lt;=0,"Kein Verbrauch; ","")&amp;IF(CR1769&gt;0,"Lift "&amp;W1769&amp;" lt. Liftbericht (Fach "&amp;X1769&amp;" Stk); ",IF(CB1769=1,"Gebinde geschätzt ("&amp;T1769&amp;"); ",IF(CA1769=1,"Lose – Tablare geschätzt; ","")))&amp;IF(H1769&gt;AW1769,"Überbestand "&amp;ROUND(H1769-AW1769,0)&amp;" Stk / CHF "&amp;ROUND((H1769-AW1769)*G1769,0)&amp;"; ","")&amp;IF(AND(CI1769=1,CJ1769&lt;CK1769),"MAX &lt; MB+LG; ","")&amp;IF(AND(CQ1769&gt;0,CP1769*10&gt;CQ1769),"zu hoch für Tablar; ","")&amp;IF(AND(BW1769=0,OR(CI1769=1,AB1769&lt;&gt;"",U1769&lt;&gt;"",V1769&lt;&gt;"",AC1769&lt;&gt;"")),"manuell übersteuert; ","")&amp;IF(AND(CA1769=0,R1769=0),"Gebinde unbekannt / Stellmass fehlt; ","")&amp;IF(AND(CA1769=0,N(V1769)&lt;=0,N(Q1769)&lt;=0),"Menge pro Gebinde fehlt (Ist = 1 Gebinde); ","")&amp;BV1769)</f>
        <v/>
      </c>
      <c r="BO1769" s="60"/>
      <c r="BP1769" s="60"/>
      <c r="BQ1769" s="67"/>
      <c r="BR1769" s="62" t="n">
        <f aca="false">N('Neue Artikel'!$D$30)</f>
        <v>0</v>
      </c>
      <c r="BS1769" s="62" t="n">
        <v>0</v>
      </c>
      <c r="BT1769" s="61" t="n">
        <v>0</v>
      </c>
      <c r="BU1769" s="62" t="n">
        <f aca="false">N('Neue Artikel'!$C$30)/Parameter!$B$18</f>
        <v>0</v>
      </c>
      <c r="BV1769" s="60"/>
      <c r="BW1769" s="65" t="n">
        <v>1</v>
      </c>
      <c r="BX1769" s="65" t="n">
        <v>1769</v>
      </c>
      <c r="BY1769" s="60" t="str">
        <f aca="false">IF(U1769&lt;&gt;"",UPPER(TRIM(U1769)),IF(CB1769=1,UPPER(VLOOKUP(T1769,Parameter!$I$27:$K$29,2,0)),IF(P1769="","LOSE",P1769)))</f>
        <v>LOSE</v>
      </c>
      <c r="BZ1769" s="62" t="n">
        <f aca="false">IF(BY1769="LOSE",1,IF(N(V1769)&gt;0,V1769,IF(CB1769=1,MAX(1,N(VLOOKUP(T1769,Parameter!$I$27:$K$29,3,0)),H1769,N(N1769)),IF(N(Q1769)&gt;0,Q1769,MAX(1,H1769)))))</f>
        <v>1</v>
      </c>
      <c r="CA1769" s="65" t="n">
        <f aca="false">IF(BY1769="LOSE",1,0)</f>
        <v>1</v>
      </c>
      <c r="CB1769" s="65" t="n">
        <f aca="false">IF(AND(U1769="",OR(P1769="",P1769="LOSE"),T1769&lt;&gt;"",N(S1769)&lt;=0,ISNUMBER(MATCH(T1769,Parameter!$I$27:$I$29,0))),1,0)</f>
        <v>0</v>
      </c>
      <c r="CC1769" s="65" t="n">
        <f aca="false">IF(CR1769&gt;0,INDEX(Parameter!$H$5:$H$7,W1769)/INDEX(Parameter!$E$5:$E$7,W1769),IF(AND(CA1769=0,N(IFERROR(VLOOKUP(BY1769,'Gebinde-Kategorie'!$A$5:$N$45,14,0),0))&gt;0),VLOOKUP(BY1769,'Gebinde-Kategorie'!$A$5:$N$45,14,0)*10+Parameter!$M$23,Parameter!$M$24))</f>
        <v>235</v>
      </c>
      <c r="CD1769" s="60" t="str">
        <f aca="false">IF(AND(Parameter!$B$19="Ja",E1769&lt;&gt;"",ISNUMBER(MATCH(E1769,Parameter!$I$35:$I$52,0))),VLOOKUP(E1769,Parameter!$I$35:$J$52,2,0),IFERROR(VLOOKUP(D1769,Parameter!$A$35:$C$64,2,0),"Nein"))</f>
        <v>2+3</v>
      </c>
      <c r="CE1769" s="64" t="n">
        <f aca="false">IF(CA1769=0,0,IF(N(S1769)&gt;0,S1769,IFERROR(VLOOKUP(D1769,Parameter!$A$35:$C$64,3,0)+0,0)))</f>
        <v>0.15</v>
      </c>
      <c r="CF1769" s="60" t="str">
        <f aca="false">IF(AB1769&lt;&gt;"",AB1769,AA1769)</f>
        <v/>
      </c>
      <c r="CG1769" s="60" t="str">
        <f aca="false">IF(OR(CF1769=1,CF1769=2,CF1769=3),IF(Parameter!$E$27="Ja","LIFT",IF(CF1769=1,"L1","L23")),IF(CF1769="Aussen","Aussen","-"))</f>
        <v>-</v>
      </c>
      <c r="CH1769" s="71" t="n">
        <f aca="false">IF(N(AC1769)&gt;0,AC1769,0)</f>
        <v>0</v>
      </c>
      <c r="CI1769" s="65" t="n">
        <f aca="false">IF(ISNUMBER(AF1769),1,0)</f>
        <v>0</v>
      </c>
      <c r="CJ1769" s="62" t="n">
        <f aca="false">N(AF1769)</f>
        <v>0</v>
      </c>
      <c r="CK1769" s="62" t="n">
        <f aca="false">N(M1769)+N(N1769)</f>
        <v>0</v>
      </c>
      <c r="CL1769" s="62" t="n">
        <f aca="false">N(M1769)</f>
        <v>0</v>
      </c>
      <c r="CM1769" s="62" t="n">
        <f aca="false">N(N1769)</f>
        <v>0</v>
      </c>
      <c r="CN1769" s="62" t="n">
        <f aca="false">ROUNDUP(H1769/BZ1769,0)</f>
        <v>0</v>
      </c>
      <c r="CO1769" s="62" t="n">
        <f aca="false">ROUNDUP(CJ1769/BZ1769,0)</f>
        <v>0</v>
      </c>
      <c r="CP1769" s="65" t="n">
        <f aca="false">IF(CA1769=1,0,IFERROR(VLOOKUP(BY1769,'Gebinde-Kategorie'!$A$5:$N$45,5,0)+0,0))</f>
        <v>0</v>
      </c>
      <c r="CQ1769" s="65" t="n">
        <f aca="false">IFERROR(IF(OR(CF1769=1,CF1769=2,CF1769=3),N(INDEX(Parameter!$I$5:$I$7,CF1769)),0),0)</f>
        <v>0</v>
      </c>
      <c r="CR1769" s="64" t="n">
        <f aca="false">IF(AND(Parameter!$B$21="Ja",ISNUMBER(W1769),N(X1769)&gt;0),IFERROR(N(INDEX(Parameter!$L$5:$L$7,W1769))*INDEX(Parameter!$E$5:$E$7,W1769)*X1769/SUMIFS($X$7:$X$1843,$W$7:$W$1843,W1769),0),0)</f>
        <v>0</v>
      </c>
      <c r="CS1769" s="62" t="str">
        <f aca="false">IF(AND(OR(CG1769="L1",CG1769="L23",CG1769="LIFT"),H1769&gt;0),CC1769*IF(CR1769&gt;0,CR1769*MAX(1,H1769/X1769),IF(CA1769=1,CE1769,IF(R1769&gt;0,CN1769/R1769,0))/MAX(0.1,N(Parameter!$M$21))),"")</f>
        <v/>
      </c>
      <c r="CT1769" s="64" t="str">
        <f aca="false">IF(CS1769="","",J1769/H1769)</f>
        <v/>
      </c>
      <c r="CU1769" s="62" t="str">
        <f aca="false">IF(CS1769="","",H1769*G1769)</f>
        <v/>
      </c>
      <c r="CV1769" s="63" t="str">
        <f aca="false">IF(CS1769="","",(CL1769+ROUNDUP(CL1769+MAX(CM1769,2*(J1769/MAX(0.1,N(Einkauf!$C$6))-CL1769)),0))/2)</f>
        <v/>
      </c>
      <c r="CW1769" s="62" t="str">
        <f aca="false">IF(CS1769="","",MAX(0,H1769-CV1769)*G1769)</f>
        <v/>
      </c>
      <c r="CX1769" s="62" t="str">
        <f aca="false">IF(CS1769="","",CS1769*MAX(0,1-CV1769/H1769))</f>
        <v/>
      </c>
      <c r="CY1769" s="64" t="str">
        <f aca="false">IF(CS1769="","",PERCENTRANK($CS$7:$CS$1843,CS1769)+PERCENTRANK($CU$7:$CU$1843,CU1769)+1-PERCENTRANK($CT$7:$CT$1843,CT1769))</f>
        <v/>
      </c>
      <c r="CZ1769" s="72" t="str">
        <f aca="false">IF(CS1769="","",CHOOSE(MATCH(Einkauf!$C$5,Parameter!$G$23:$G$27,0),CY1769,CS1769,CU1769,-CT1769,CW1769)+ROW()/1000000000)</f>
        <v/>
      </c>
    </row>
    <row r="1770" customFormat="false" ht="15" hidden="false" customHeight="false" outlineLevel="0" collapsed="false">
      <c r="A1770" s="60" t="str">
        <f aca="false">IF('Neue Artikel'!$A$31="","",'Neue Artikel'!$A$31&amp;"")</f>
        <v/>
      </c>
      <c r="B1770" s="60" t="str">
        <f aca="false">'Neue Artikel'!$B$31&amp;""</f>
        <v/>
      </c>
      <c r="C1770" s="60"/>
      <c r="D1770" s="60" t="s">
        <v>3057</v>
      </c>
      <c r="E1770" s="60"/>
      <c r="F1770" s="60"/>
      <c r="G1770" s="61" t="n">
        <f aca="false">N('Neue Artikel'!$G$31)</f>
        <v>0</v>
      </c>
      <c r="H1770" s="62" t="n">
        <f aca="false">MAX(0,IF(AND(Parameter!$B$21="Ja",ISNUMBER(Y1770)),Y1770,IF(Parameter!$B$20="Jahresanfang 2025 + Export",BS1770+BR1770,BR1770)))</f>
        <v>0</v>
      </c>
      <c r="I1770" s="62" t="n">
        <f aca="false">H1770*G1770</f>
        <v>0</v>
      </c>
      <c r="J1770" s="62" t="n">
        <f aca="false">BU1770*Parameter!$B$18</f>
        <v>0</v>
      </c>
      <c r="K1770" s="63"/>
      <c r="L1770" s="64"/>
      <c r="M1770" s="62" t="n">
        <f aca="false">N('Neue Artikel'!$E$31)</f>
        <v>0</v>
      </c>
      <c r="N1770" s="62" t="n">
        <f aca="false">N('Neue Artikel'!$F$31)</f>
        <v>0</v>
      </c>
      <c r="O1770" s="65"/>
      <c r="P1770" s="60" t="str">
        <f aca="false">IF('Neue Artikel'!$H$31="","LOSE",UPPER(TRIM('Neue Artikel'!$H$31)))</f>
        <v>LOSE</v>
      </c>
      <c r="Q1770" s="62" t="n">
        <f aca="false">N('Neue Artikel'!$I$31)</f>
        <v>0</v>
      </c>
      <c r="R1770" s="65" t="n">
        <f aca="false">IF(CA1770=1,0,IFERROR(VLOOKUP(BY1770,'Gebinde-Kategorie'!$A$5:$N$45,13,0)+0,0))</f>
        <v>0</v>
      </c>
      <c r="S1770" s="66"/>
      <c r="T1770" s="67"/>
      <c r="U1770" s="67"/>
      <c r="V1770" s="67"/>
      <c r="W1770" s="60"/>
      <c r="X1770" s="62"/>
      <c r="Y1770" s="62"/>
      <c r="Z1770" s="60"/>
      <c r="AA1770" s="60" t="str">
        <f aca="false">IF(A1770="","",IF(AND(Parameter!$B$21="Ja",ISNUMBER(W1770)),W1770,IF(AND(Parameter!$E$27="Ja",ISNUMBER(Z1770),CD1770&lt;&gt;"Nein"),Z1770,IF(CD1770="2+3",IF(ISNUMBER(SEARCH("grosser Artikel",BV1770)),2,IFERROR(VLOOKUP(BY1770,Parameter!$F$35:$G$64,2,0),2)),IF(OR(CD1770="Nein",CD1770=""),"-",CD1770)))))</f>
        <v/>
      </c>
      <c r="AB1770" s="60" t="str">
        <f aca="false">IF('Neue Artikel'!$J$31="","",'Neue Artikel'!$J$31)</f>
        <v/>
      </c>
      <c r="AC1770" s="68"/>
      <c r="AD1770" s="62" t="n">
        <f aca="false">AW1770</f>
        <v>0</v>
      </c>
      <c r="AE1770" s="62" t="n">
        <f aca="false">MAX(AW1770,H1770)</f>
        <v>0</v>
      </c>
      <c r="AF1770" s="69"/>
      <c r="AG1770" s="62" t="n">
        <f aca="false">IF(LEFT(Cockpit!$C$5,1)="A",H1770,IF(Parameter!$E$30="MAX-Bestand",IF(CI1770=1,CJ1770,IF(LEFT(Cockpit!$C$5,1)="B",AM1770,MAX(AM1770,H1770))),ROUNDUP(AK1770,0)))</f>
        <v>0</v>
      </c>
      <c r="AH1770" s="62" t="n">
        <f aca="false">IF(CA1770=1,0,ROUNDUP(AG1770/BZ1770,0))</f>
        <v>0</v>
      </c>
      <c r="AI1770" s="64" t="n">
        <f aca="false">IF(CR1770&gt;0,CR1770*MAX(1,AG1770/X1770),IF(CA1770=1,IF(AG1770&lt;=0,0,CE1770*MAX(1,IF(H1770&gt;0,AG1770/H1770,1))),IF(R1770&gt;0,AH1770/R1770,0))/MAX(0.1,N(Parameter!$M$21)))</f>
        <v>0</v>
      </c>
      <c r="AJ1770" s="62" t="n">
        <f aca="false">AI1770*CC1770</f>
        <v>0</v>
      </c>
      <c r="AK1770" s="63" t="n">
        <f aca="false">IF(LEFT(Cockpit!$C$5,1)="A",H1770,IF(CI1770=1,(CL1770+CJ1770)/2,IF(LEFT(Cockpit!$C$5,1)="B",(CL1770+AM1770)/2,MAX((CL1770+AM1770)/2,H1770))))</f>
        <v>0</v>
      </c>
      <c r="AL1770" s="62" t="n">
        <f aca="false">AK1770*G1770</f>
        <v>0</v>
      </c>
      <c r="AM1770" s="62" t="n">
        <f aca="false">ROUNDUP(CL1770+MAX(CM1770,2*(J1770/IF(CH1770&gt;0,CH1770,MAX(0.1,N(Cockpit!$C$6)))-CL1770)),0)</f>
        <v>0</v>
      </c>
      <c r="AN1770" s="63" t="n">
        <f aca="false">IF(AJ1770&gt;0,J1770/AJ1770,-1)</f>
        <v>-1</v>
      </c>
      <c r="AO1770" s="63" t="str">
        <f aca="false">IF(AND(OR(CG1770="L1",CG1770="L23",CG1770="LIFT"),AJ1770&gt;0),SUMIFS($AJ$7:$AJ$1843,$CG$7:$CG$1843,CG1770,$AN$7:$AN$1843,"&gt;"&amp;AN1770)+SUMIFS($AJ$7:$AJ$1843,$CG$7:$CG$1843,CG1770,$AN$7:$AN$1843,AN1770,$BX$7:$BX$1843,"&lt;="&amp;BX1770),"")</f>
        <v/>
      </c>
      <c r="AP1770" s="70" t="n">
        <f aca="false">IF(AO1770="",0,MAX(0,MIN(1,(IF(CG1770="L1",Parameter!$H$5,IF(CG1770="L23",Parameter!$H$6+Parameter!$H$7,Parameter!$H$5+Parameter!$H$6+Parameter!$H$7))-(AO1770-AJ1770))/AJ1770)))</f>
        <v>0</v>
      </c>
      <c r="AQ1770" s="62" t="n">
        <f aca="false">IF(LEFT(Cockpit!$I$5,1)="A",H1770,IF(Parameter!$E$30="MAX-Bestand",IF(CI1770=1,CJ1770,IF(LEFT(Cockpit!$I$5,1)="B",AW1770,MAX(AW1770,H1770))),ROUNDUP(AU1770,0)))</f>
        <v>0</v>
      </c>
      <c r="AR1770" s="62" t="n">
        <f aca="false">IF(CA1770=1,0,ROUNDUP(AQ1770/BZ1770,0))</f>
        <v>0</v>
      </c>
      <c r="AS1770" s="64" t="n">
        <f aca="false">IF(CR1770&gt;0,CR1770*MAX(1,AQ1770/X1770),IF(CA1770=1,IF(AQ1770&lt;=0,0,CE1770*MAX(1,IF(H1770&gt;0,AQ1770/H1770,1))),IF(R1770&gt;0,AR1770/R1770,0))/MAX(0.1,N(Parameter!$M$21)))</f>
        <v>0</v>
      </c>
      <c r="AT1770" s="62" t="n">
        <f aca="false">AS1770*CC1770</f>
        <v>0</v>
      </c>
      <c r="AU1770" s="63" t="n">
        <f aca="false">IF(LEFT(Cockpit!$I$5,1)="A",H1770,IF(CI1770=1,(CL1770+CJ1770)/2,IF(LEFT(Cockpit!$I$5,1)="B",(CL1770+AW1770)/2,MAX((CL1770+AW1770)/2,H1770))))</f>
        <v>0</v>
      </c>
      <c r="AV1770" s="62" t="n">
        <f aca="false">AU1770*G1770</f>
        <v>0</v>
      </c>
      <c r="AW1770" s="62" t="n">
        <f aca="false">ROUNDUP(CL1770+MAX(CM1770,2*(J1770/IF(CH1770&gt;0,CH1770,MAX(0.1,N(Cockpit!$I$6)))-CL1770)),0)</f>
        <v>0</v>
      </c>
      <c r="AX1770" s="63" t="n">
        <f aca="false">IF(AT1770&gt;0,J1770/AT1770,-1)</f>
        <v>-1</v>
      </c>
      <c r="AY1770" s="63" t="str">
        <f aca="false">IF(AND(OR(CG1770="L1",CG1770="L23",CG1770="LIFT"),AT1770&gt;0),SUMIFS($AT$7:$AT$1843,$CG$7:$CG$1843,CG1770,$AX$7:$AX$1843,"&gt;"&amp;AX1770)+SUMIFS($AT$7:$AT$1843,$CG$7:$CG$1843,CG1770,$AX$7:$AX$1843,AX1770,$BX$7:$BX$1843,"&lt;="&amp;BX1770),"")</f>
        <v/>
      </c>
      <c r="AZ1770" s="70" t="n">
        <f aca="false">IF(AY1770="",0,MAX(0,MIN(1,(IF(CG1770="L1",Parameter!$H$5,IF(CG1770="L23",Parameter!$H$6+Parameter!$H$7,Parameter!$H$5+Parameter!$H$6+Parameter!$H$7))-(AY1770-AT1770))/AT1770)))</f>
        <v>0</v>
      </c>
      <c r="BA1770" s="62" t="n">
        <f aca="false">IF(LEFT(Cockpit!$O$5,1)="A",H1770,IF(Parameter!$E$30="MAX-Bestand",IF(CI1770=1,CJ1770,IF(LEFT(Cockpit!$O$5,1)="B",BG1770,MAX(BG1770,H1770))),ROUNDUP(BE1770,0)))</f>
        <v>0</v>
      </c>
      <c r="BB1770" s="62" t="n">
        <f aca="false">IF(CA1770=1,0,ROUNDUP(BA1770/BZ1770,0))</f>
        <v>0</v>
      </c>
      <c r="BC1770" s="64" t="n">
        <f aca="false">IF(CR1770&gt;0,CR1770*MAX(1,BA1770/X1770),IF(CA1770=1,IF(BA1770&lt;=0,0,CE1770*MAX(1,IF(H1770&gt;0,BA1770/H1770,1))),IF(R1770&gt;0,BB1770/R1770,0))/MAX(0.1,N(Parameter!$M$21)))</f>
        <v>0</v>
      </c>
      <c r="BD1770" s="62" t="n">
        <f aca="false">BC1770*CC1770</f>
        <v>0</v>
      </c>
      <c r="BE1770" s="63" t="n">
        <f aca="false">IF(LEFT(Cockpit!$O$5,1)="A",H1770,IF(CI1770=1,(CL1770+CJ1770)/2,IF(LEFT(Cockpit!$O$5,1)="B",(CL1770+BG1770)/2,MAX((CL1770+BG1770)/2,H1770))))</f>
        <v>0</v>
      </c>
      <c r="BF1770" s="62" t="n">
        <f aca="false">BE1770*G1770</f>
        <v>0</v>
      </c>
      <c r="BG1770" s="62" t="n">
        <f aca="false">ROUNDUP(CL1770+MAX(CM1770,2*(J1770/IF(CH1770&gt;0,CH1770,MAX(0.1,N(Cockpit!$O$6)))-CL1770)),0)</f>
        <v>0</v>
      </c>
      <c r="BH1770" s="63" t="n">
        <f aca="false">IF(BD1770&gt;0,J1770/BD1770,-1)</f>
        <v>-1</v>
      </c>
      <c r="BI1770" s="63" t="str">
        <f aca="false">IF(AND(OR(CG1770="L1",CG1770="L23",CG1770="LIFT"),BD1770&gt;0),SUMIFS($BD$7:$BD$1843,$CG$7:$CG$1843,CG1770,$BH$7:$BH$1843,"&gt;"&amp;BH1770)+SUMIFS($BD$7:$BD$1843,$CG$7:$CG$1843,CG1770,$BH$7:$BH$1843,BH1770,$BX$7:$BX$1843,"&lt;="&amp;BX1770),"")</f>
        <v/>
      </c>
      <c r="BJ1770" s="70" t="n">
        <f aca="false">IF(BI1770="",0,MAX(0,MIN(1,(IF(CG1770="L1",Parameter!$H$5,IF(CG1770="L23",Parameter!$H$6+Parameter!$H$7,Parameter!$H$5+Parameter!$H$6+Parameter!$H$7))-(BI1770-BD1770))/BD1770)))</f>
        <v>0</v>
      </c>
      <c r="BK1770" s="60" t="str">
        <f aca="false">IF(AJ1770&lt;=0,"",IF(CG1770="Aussen","Aussenlager",IF(CG1770="-","Nicht im Lift",IF(AP1770&gt;=1,"Lift",IF(AP1770&lt;=0,"Aussenlager","teilweise")))))</f>
        <v/>
      </c>
      <c r="BL1770" s="60" t="str">
        <f aca="false">IF(AT1770&lt;=0,"",IF(CG1770="Aussen","Aussenlager",IF(CG1770="-","Nicht im Lift",IF(AZ1770&gt;=1,"Lift",IF(AZ1770&lt;=0,"Aussenlager","teilweise")))))</f>
        <v/>
      </c>
      <c r="BM1770" s="60" t="str">
        <f aca="false">IF(BD1770&lt;=0,"",IF(CG1770="Aussen","Aussenlager",IF(CG1770="-","Nicht im Lift",IF(BJ1770&gt;=1,"Lift",IF(BJ1770&lt;=0,"Aussenlager","teilweise")))))</f>
        <v/>
      </c>
      <c r="BN1770" s="60" t="str">
        <f aca="false">IF(A1770="","",IF(BW1770=1,"Neu; ","")&amp;IF(AND(BW1770=0,BR1770&lt;0),"negativer Bestand (Export "&amp;BR1770&amp;"); ","")&amp;IF(J1770&lt;=0,"Kein Verbrauch; ","")&amp;IF(CR1770&gt;0,"Lift "&amp;W1770&amp;" lt. Liftbericht (Fach "&amp;X1770&amp;" Stk); ",IF(CB1770=1,"Gebinde geschätzt ("&amp;T1770&amp;"); ",IF(CA1770=1,"Lose – Tablare geschätzt; ","")))&amp;IF(H1770&gt;AW1770,"Überbestand "&amp;ROUND(H1770-AW1770,0)&amp;" Stk / CHF "&amp;ROUND((H1770-AW1770)*G1770,0)&amp;"; ","")&amp;IF(AND(CI1770=1,CJ1770&lt;CK1770),"MAX &lt; MB+LG; ","")&amp;IF(AND(CQ1770&gt;0,CP1770*10&gt;CQ1770),"zu hoch für Tablar; ","")&amp;IF(AND(BW1770=0,OR(CI1770=1,AB1770&lt;&gt;"",U1770&lt;&gt;"",V1770&lt;&gt;"",AC1770&lt;&gt;"")),"manuell übersteuert; ","")&amp;IF(AND(CA1770=0,R1770=0),"Gebinde unbekannt / Stellmass fehlt; ","")&amp;IF(AND(CA1770=0,N(V1770)&lt;=0,N(Q1770)&lt;=0),"Menge pro Gebinde fehlt (Ist = 1 Gebinde); ","")&amp;BV1770)</f>
        <v/>
      </c>
      <c r="BO1770" s="60"/>
      <c r="BP1770" s="60"/>
      <c r="BQ1770" s="67"/>
      <c r="BR1770" s="62" t="n">
        <f aca="false">N('Neue Artikel'!$D$31)</f>
        <v>0</v>
      </c>
      <c r="BS1770" s="62" t="n">
        <v>0</v>
      </c>
      <c r="BT1770" s="61" t="n">
        <v>0</v>
      </c>
      <c r="BU1770" s="62" t="n">
        <f aca="false">N('Neue Artikel'!$C$31)/Parameter!$B$18</f>
        <v>0</v>
      </c>
      <c r="BV1770" s="60"/>
      <c r="BW1770" s="65" t="n">
        <v>1</v>
      </c>
      <c r="BX1770" s="65" t="n">
        <v>1770</v>
      </c>
      <c r="BY1770" s="60" t="str">
        <f aca="false">IF(U1770&lt;&gt;"",UPPER(TRIM(U1770)),IF(CB1770=1,UPPER(VLOOKUP(T1770,Parameter!$I$27:$K$29,2,0)),IF(P1770="","LOSE",P1770)))</f>
        <v>LOSE</v>
      </c>
      <c r="BZ1770" s="62" t="n">
        <f aca="false">IF(BY1770="LOSE",1,IF(N(V1770)&gt;0,V1770,IF(CB1770=1,MAX(1,N(VLOOKUP(T1770,Parameter!$I$27:$K$29,3,0)),H1770,N(N1770)),IF(N(Q1770)&gt;0,Q1770,MAX(1,H1770)))))</f>
        <v>1</v>
      </c>
      <c r="CA1770" s="65" t="n">
        <f aca="false">IF(BY1770="LOSE",1,0)</f>
        <v>1</v>
      </c>
      <c r="CB1770" s="65" t="n">
        <f aca="false">IF(AND(U1770="",OR(P1770="",P1770="LOSE"),T1770&lt;&gt;"",N(S1770)&lt;=0,ISNUMBER(MATCH(T1770,Parameter!$I$27:$I$29,0))),1,0)</f>
        <v>0</v>
      </c>
      <c r="CC1770" s="65" t="n">
        <f aca="false">IF(CR1770&gt;0,INDEX(Parameter!$H$5:$H$7,W1770)/INDEX(Parameter!$E$5:$E$7,W1770),IF(AND(CA1770=0,N(IFERROR(VLOOKUP(BY1770,'Gebinde-Kategorie'!$A$5:$N$45,14,0),0))&gt;0),VLOOKUP(BY1770,'Gebinde-Kategorie'!$A$5:$N$45,14,0)*10+Parameter!$M$23,Parameter!$M$24))</f>
        <v>235</v>
      </c>
      <c r="CD1770" s="60" t="str">
        <f aca="false">IF(AND(Parameter!$B$19="Ja",E1770&lt;&gt;"",ISNUMBER(MATCH(E1770,Parameter!$I$35:$I$52,0))),VLOOKUP(E1770,Parameter!$I$35:$J$52,2,0),IFERROR(VLOOKUP(D1770,Parameter!$A$35:$C$64,2,0),"Nein"))</f>
        <v>2+3</v>
      </c>
      <c r="CE1770" s="64" t="n">
        <f aca="false">IF(CA1770=0,0,IF(N(S1770)&gt;0,S1770,IFERROR(VLOOKUP(D1770,Parameter!$A$35:$C$64,3,0)+0,0)))</f>
        <v>0.15</v>
      </c>
      <c r="CF1770" s="60" t="str">
        <f aca="false">IF(AB1770&lt;&gt;"",AB1770,AA1770)</f>
        <v/>
      </c>
      <c r="CG1770" s="60" t="str">
        <f aca="false">IF(OR(CF1770=1,CF1770=2,CF1770=3),IF(Parameter!$E$27="Ja","LIFT",IF(CF1770=1,"L1","L23")),IF(CF1770="Aussen","Aussen","-"))</f>
        <v>-</v>
      </c>
      <c r="CH1770" s="71" t="n">
        <f aca="false">IF(N(AC1770)&gt;0,AC1770,0)</f>
        <v>0</v>
      </c>
      <c r="CI1770" s="65" t="n">
        <f aca="false">IF(ISNUMBER(AF1770),1,0)</f>
        <v>0</v>
      </c>
      <c r="CJ1770" s="62" t="n">
        <f aca="false">N(AF1770)</f>
        <v>0</v>
      </c>
      <c r="CK1770" s="62" t="n">
        <f aca="false">N(M1770)+N(N1770)</f>
        <v>0</v>
      </c>
      <c r="CL1770" s="62" t="n">
        <f aca="false">N(M1770)</f>
        <v>0</v>
      </c>
      <c r="CM1770" s="62" t="n">
        <f aca="false">N(N1770)</f>
        <v>0</v>
      </c>
      <c r="CN1770" s="62" t="n">
        <f aca="false">ROUNDUP(H1770/BZ1770,0)</f>
        <v>0</v>
      </c>
      <c r="CO1770" s="62" t="n">
        <f aca="false">ROUNDUP(CJ1770/BZ1770,0)</f>
        <v>0</v>
      </c>
      <c r="CP1770" s="65" t="n">
        <f aca="false">IF(CA1770=1,0,IFERROR(VLOOKUP(BY1770,'Gebinde-Kategorie'!$A$5:$N$45,5,0)+0,0))</f>
        <v>0</v>
      </c>
      <c r="CQ1770" s="65" t="n">
        <f aca="false">IFERROR(IF(OR(CF1770=1,CF1770=2,CF1770=3),N(INDEX(Parameter!$I$5:$I$7,CF1770)),0),0)</f>
        <v>0</v>
      </c>
      <c r="CR1770" s="64" t="n">
        <f aca="false">IF(AND(Parameter!$B$21="Ja",ISNUMBER(W1770),N(X1770)&gt;0),IFERROR(N(INDEX(Parameter!$L$5:$L$7,W1770))*INDEX(Parameter!$E$5:$E$7,W1770)*X1770/SUMIFS($X$7:$X$1843,$W$7:$W$1843,W1770),0),0)</f>
        <v>0</v>
      </c>
      <c r="CS1770" s="62" t="str">
        <f aca="false">IF(AND(OR(CG1770="L1",CG1770="L23",CG1770="LIFT"),H1770&gt;0),CC1770*IF(CR1770&gt;0,CR1770*MAX(1,H1770/X1770),IF(CA1770=1,CE1770,IF(R1770&gt;0,CN1770/R1770,0))/MAX(0.1,N(Parameter!$M$21))),"")</f>
        <v/>
      </c>
      <c r="CT1770" s="64" t="str">
        <f aca="false">IF(CS1770="","",J1770/H1770)</f>
        <v/>
      </c>
      <c r="CU1770" s="62" t="str">
        <f aca="false">IF(CS1770="","",H1770*G1770)</f>
        <v/>
      </c>
      <c r="CV1770" s="63" t="str">
        <f aca="false">IF(CS1770="","",(CL1770+ROUNDUP(CL1770+MAX(CM1770,2*(J1770/MAX(0.1,N(Einkauf!$C$6))-CL1770)),0))/2)</f>
        <v/>
      </c>
      <c r="CW1770" s="62" t="str">
        <f aca="false">IF(CS1770="","",MAX(0,H1770-CV1770)*G1770)</f>
        <v/>
      </c>
      <c r="CX1770" s="62" t="str">
        <f aca="false">IF(CS1770="","",CS1770*MAX(0,1-CV1770/H1770))</f>
        <v/>
      </c>
      <c r="CY1770" s="64" t="str">
        <f aca="false">IF(CS1770="","",PERCENTRANK($CS$7:$CS$1843,CS1770)+PERCENTRANK($CU$7:$CU$1843,CU1770)+1-PERCENTRANK($CT$7:$CT$1843,CT1770))</f>
        <v/>
      </c>
      <c r="CZ1770" s="72" t="str">
        <f aca="false">IF(CS1770="","",CHOOSE(MATCH(Einkauf!$C$5,Parameter!$G$23:$G$27,0),CY1770,CS1770,CU1770,-CT1770,CW1770)+ROW()/1000000000)</f>
        <v/>
      </c>
    </row>
    <row r="1771" customFormat="false" ht="15" hidden="false" customHeight="false" outlineLevel="0" collapsed="false">
      <c r="A1771" s="60" t="str">
        <f aca="false">IF('Neue Artikel'!$A$32="","",'Neue Artikel'!$A$32&amp;"")</f>
        <v/>
      </c>
      <c r="B1771" s="60" t="str">
        <f aca="false">'Neue Artikel'!$B$32&amp;""</f>
        <v/>
      </c>
      <c r="C1771" s="60"/>
      <c r="D1771" s="60" t="s">
        <v>3057</v>
      </c>
      <c r="E1771" s="60"/>
      <c r="F1771" s="60"/>
      <c r="G1771" s="61" t="n">
        <f aca="false">N('Neue Artikel'!$G$32)</f>
        <v>0</v>
      </c>
      <c r="H1771" s="62" t="n">
        <f aca="false">MAX(0,IF(AND(Parameter!$B$21="Ja",ISNUMBER(Y1771)),Y1771,IF(Parameter!$B$20="Jahresanfang 2025 + Export",BS1771+BR1771,BR1771)))</f>
        <v>0</v>
      </c>
      <c r="I1771" s="62" t="n">
        <f aca="false">H1771*G1771</f>
        <v>0</v>
      </c>
      <c r="J1771" s="62" t="n">
        <f aca="false">BU1771*Parameter!$B$18</f>
        <v>0</v>
      </c>
      <c r="K1771" s="63"/>
      <c r="L1771" s="64"/>
      <c r="M1771" s="62" t="n">
        <f aca="false">N('Neue Artikel'!$E$32)</f>
        <v>0</v>
      </c>
      <c r="N1771" s="62" t="n">
        <f aca="false">N('Neue Artikel'!$F$32)</f>
        <v>0</v>
      </c>
      <c r="O1771" s="65"/>
      <c r="P1771" s="60" t="str">
        <f aca="false">IF('Neue Artikel'!$H$32="","LOSE",UPPER(TRIM('Neue Artikel'!$H$32)))</f>
        <v>LOSE</v>
      </c>
      <c r="Q1771" s="62" t="n">
        <f aca="false">N('Neue Artikel'!$I$32)</f>
        <v>0</v>
      </c>
      <c r="R1771" s="65" t="n">
        <f aca="false">IF(CA1771=1,0,IFERROR(VLOOKUP(BY1771,'Gebinde-Kategorie'!$A$5:$N$45,13,0)+0,0))</f>
        <v>0</v>
      </c>
      <c r="S1771" s="66"/>
      <c r="T1771" s="67"/>
      <c r="U1771" s="67"/>
      <c r="V1771" s="67"/>
      <c r="W1771" s="60"/>
      <c r="X1771" s="62"/>
      <c r="Y1771" s="62"/>
      <c r="Z1771" s="60"/>
      <c r="AA1771" s="60" t="str">
        <f aca="false">IF(A1771="","",IF(AND(Parameter!$B$21="Ja",ISNUMBER(W1771)),W1771,IF(AND(Parameter!$E$27="Ja",ISNUMBER(Z1771),CD1771&lt;&gt;"Nein"),Z1771,IF(CD1771="2+3",IF(ISNUMBER(SEARCH("grosser Artikel",BV1771)),2,IFERROR(VLOOKUP(BY1771,Parameter!$F$35:$G$64,2,0),2)),IF(OR(CD1771="Nein",CD1771=""),"-",CD1771)))))</f>
        <v/>
      </c>
      <c r="AB1771" s="60" t="str">
        <f aca="false">IF('Neue Artikel'!$J$32="","",'Neue Artikel'!$J$32)</f>
        <v/>
      </c>
      <c r="AC1771" s="68"/>
      <c r="AD1771" s="62" t="n">
        <f aca="false">AW1771</f>
        <v>0</v>
      </c>
      <c r="AE1771" s="62" t="n">
        <f aca="false">MAX(AW1771,H1771)</f>
        <v>0</v>
      </c>
      <c r="AF1771" s="69"/>
      <c r="AG1771" s="62" t="n">
        <f aca="false">IF(LEFT(Cockpit!$C$5,1)="A",H1771,IF(Parameter!$E$30="MAX-Bestand",IF(CI1771=1,CJ1771,IF(LEFT(Cockpit!$C$5,1)="B",AM1771,MAX(AM1771,H1771))),ROUNDUP(AK1771,0)))</f>
        <v>0</v>
      </c>
      <c r="AH1771" s="62" t="n">
        <f aca="false">IF(CA1771=1,0,ROUNDUP(AG1771/BZ1771,0))</f>
        <v>0</v>
      </c>
      <c r="AI1771" s="64" t="n">
        <f aca="false">IF(CR1771&gt;0,CR1771*MAX(1,AG1771/X1771),IF(CA1771=1,IF(AG1771&lt;=0,0,CE1771*MAX(1,IF(H1771&gt;0,AG1771/H1771,1))),IF(R1771&gt;0,AH1771/R1771,0))/MAX(0.1,N(Parameter!$M$21)))</f>
        <v>0</v>
      </c>
      <c r="AJ1771" s="62" t="n">
        <f aca="false">AI1771*CC1771</f>
        <v>0</v>
      </c>
      <c r="AK1771" s="63" t="n">
        <f aca="false">IF(LEFT(Cockpit!$C$5,1)="A",H1771,IF(CI1771=1,(CL1771+CJ1771)/2,IF(LEFT(Cockpit!$C$5,1)="B",(CL1771+AM1771)/2,MAX((CL1771+AM1771)/2,H1771))))</f>
        <v>0</v>
      </c>
      <c r="AL1771" s="62" t="n">
        <f aca="false">AK1771*G1771</f>
        <v>0</v>
      </c>
      <c r="AM1771" s="62" t="n">
        <f aca="false">ROUNDUP(CL1771+MAX(CM1771,2*(J1771/IF(CH1771&gt;0,CH1771,MAX(0.1,N(Cockpit!$C$6)))-CL1771)),0)</f>
        <v>0</v>
      </c>
      <c r="AN1771" s="63" t="n">
        <f aca="false">IF(AJ1771&gt;0,J1771/AJ1771,-1)</f>
        <v>-1</v>
      </c>
      <c r="AO1771" s="63" t="str">
        <f aca="false">IF(AND(OR(CG1771="L1",CG1771="L23",CG1771="LIFT"),AJ1771&gt;0),SUMIFS($AJ$7:$AJ$1843,$CG$7:$CG$1843,CG1771,$AN$7:$AN$1843,"&gt;"&amp;AN1771)+SUMIFS($AJ$7:$AJ$1843,$CG$7:$CG$1843,CG1771,$AN$7:$AN$1843,AN1771,$BX$7:$BX$1843,"&lt;="&amp;BX1771),"")</f>
        <v/>
      </c>
      <c r="AP1771" s="70" t="n">
        <f aca="false">IF(AO1771="",0,MAX(0,MIN(1,(IF(CG1771="L1",Parameter!$H$5,IF(CG1771="L23",Parameter!$H$6+Parameter!$H$7,Parameter!$H$5+Parameter!$H$6+Parameter!$H$7))-(AO1771-AJ1771))/AJ1771)))</f>
        <v>0</v>
      </c>
      <c r="AQ1771" s="62" t="n">
        <f aca="false">IF(LEFT(Cockpit!$I$5,1)="A",H1771,IF(Parameter!$E$30="MAX-Bestand",IF(CI1771=1,CJ1771,IF(LEFT(Cockpit!$I$5,1)="B",AW1771,MAX(AW1771,H1771))),ROUNDUP(AU1771,0)))</f>
        <v>0</v>
      </c>
      <c r="AR1771" s="62" t="n">
        <f aca="false">IF(CA1771=1,0,ROUNDUP(AQ1771/BZ1771,0))</f>
        <v>0</v>
      </c>
      <c r="AS1771" s="64" t="n">
        <f aca="false">IF(CR1771&gt;0,CR1771*MAX(1,AQ1771/X1771),IF(CA1771=1,IF(AQ1771&lt;=0,0,CE1771*MAX(1,IF(H1771&gt;0,AQ1771/H1771,1))),IF(R1771&gt;0,AR1771/R1771,0))/MAX(0.1,N(Parameter!$M$21)))</f>
        <v>0</v>
      </c>
      <c r="AT1771" s="62" t="n">
        <f aca="false">AS1771*CC1771</f>
        <v>0</v>
      </c>
      <c r="AU1771" s="63" t="n">
        <f aca="false">IF(LEFT(Cockpit!$I$5,1)="A",H1771,IF(CI1771=1,(CL1771+CJ1771)/2,IF(LEFT(Cockpit!$I$5,1)="B",(CL1771+AW1771)/2,MAX((CL1771+AW1771)/2,H1771))))</f>
        <v>0</v>
      </c>
      <c r="AV1771" s="62" t="n">
        <f aca="false">AU1771*G1771</f>
        <v>0</v>
      </c>
      <c r="AW1771" s="62" t="n">
        <f aca="false">ROUNDUP(CL1771+MAX(CM1771,2*(J1771/IF(CH1771&gt;0,CH1771,MAX(0.1,N(Cockpit!$I$6)))-CL1771)),0)</f>
        <v>0</v>
      </c>
      <c r="AX1771" s="63" t="n">
        <f aca="false">IF(AT1771&gt;0,J1771/AT1771,-1)</f>
        <v>-1</v>
      </c>
      <c r="AY1771" s="63" t="str">
        <f aca="false">IF(AND(OR(CG1771="L1",CG1771="L23",CG1771="LIFT"),AT1771&gt;0),SUMIFS($AT$7:$AT$1843,$CG$7:$CG$1843,CG1771,$AX$7:$AX$1843,"&gt;"&amp;AX1771)+SUMIFS($AT$7:$AT$1843,$CG$7:$CG$1843,CG1771,$AX$7:$AX$1843,AX1771,$BX$7:$BX$1843,"&lt;="&amp;BX1771),"")</f>
        <v/>
      </c>
      <c r="AZ1771" s="70" t="n">
        <f aca="false">IF(AY1771="",0,MAX(0,MIN(1,(IF(CG1771="L1",Parameter!$H$5,IF(CG1771="L23",Parameter!$H$6+Parameter!$H$7,Parameter!$H$5+Parameter!$H$6+Parameter!$H$7))-(AY1771-AT1771))/AT1771)))</f>
        <v>0</v>
      </c>
      <c r="BA1771" s="62" t="n">
        <f aca="false">IF(LEFT(Cockpit!$O$5,1)="A",H1771,IF(Parameter!$E$30="MAX-Bestand",IF(CI1771=1,CJ1771,IF(LEFT(Cockpit!$O$5,1)="B",BG1771,MAX(BG1771,H1771))),ROUNDUP(BE1771,0)))</f>
        <v>0</v>
      </c>
      <c r="BB1771" s="62" t="n">
        <f aca="false">IF(CA1771=1,0,ROUNDUP(BA1771/BZ1771,0))</f>
        <v>0</v>
      </c>
      <c r="BC1771" s="64" t="n">
        <f aca="false">IF(CR1771&gt;0,CR1771*MAX(1,BA1771/X1771),IF(CA1771=1,IF(BA1771&lt;=0,0,CE1771*MAX(1,IF(H1771&gt;0,BA1771/H1771,1))),IF(R1771&gt;0,BB1771/R1771,0))/MAX(0.1,N(Parameter!$M$21)))</f>
        <v>0</v>
      </c>
      <c r="BD1771" s="62" t="n">
        <f aca="false">BC1771*CC1771</f>
        <v>0</v>
      </c>
      <c r="BE1771" s="63" t="n">
        <f aca="false">IF(LEFT(Cockpit!$O$5,1)="A",H1771,IF(CI1771=1,(CL1771+CJ1771)/2,IF(LEFT(Cockpit!$O$5,1)="B",(CL1771+BG1771)/2,MAX((CL1771+BG1771)/2,H1771))))</f>
        <v>0</v>
      </c>
      <c r="BF1771" s="62" t="n">
        <f aca="false">BE1771*G1771</f>
        <v>0</v>
      </c>
      <c r="BG1771" s="62" t="n">
        <f aca="false">ROUNDUP(CL1771+MAX(CM1771,2*(J1771/IF(CH1771&gt;0,CH1771,MAX(0.1,N(Cockpit!$O$6)))-CL1771)),0)</f>
        <v>0</v>
      </c>
      <c r="BH1771" s="63" t="n">
        <f aca="false">IF(BD1771&gt;0,J1771/BD1771,-1)</f>
        <v>-1</v>
      </c>
      <c r="BI1771" s="63" t="str">
        <f aca="false">IF(AND(OR(CG1771="L1",CG1771="L23",CG1771="LIFT"),BD1771&gt;0),SUMIFS($BD$7:$BD$1843,$CG$7:$CG$1843,CG1771,$BH$7:$BH$1843,"&gt;"&amp;BH1771)+SUMIFS($BD$7:$BD$1843,$CG$7:$CG$1843,CG1771,$BH$7:$BH$1843,BH1771,$BX$7:$BX$1843,"&lt;="&amp;BX1771),"")</f>
        <v/>
      </c>
      <c r="BJ1771" s="70" t="n">
        <f aca="false">IF(BI1771="",0,MAX(0,MIN(1,(IF(CG1771="L1",Parameter!$H$5,IF(CG1771="L23",Parameter!$H$6+Parameter!$H$7,Parameter!$H$5+Parameter!$H$6+Parameter!$H$7))-(BI1771-BD1771))/BD1771)))</f>
        <v>0</v>
      </c>
      <c r="BK1771" s="60" t="str">
        <f aca="false">IF(AJ1771&lt;=0,"",IF(CG1771="Aussen","Aussenlager",IF(CG1771="-","Nicht im Lift",IF(AP1771&gt;=1,"Lift",IF(AP1771&lt;=0,"Aussenlager","teilweise")))))</f>
        <v/>
      </c>
      <c r="BL1771" s="60" t="str">
        <f aca="false">IF(AT1771&lt;=0,"",IF(CG1771="Aussen","Aussenlager",IF(CG1771="-","Nicht im Lift",IF(AZ1771&gt;=1,"Lift",IF(AZ1771&lt;=0,"Aussenlager","teilweise")))))</f>
        <v/>
      </c>
      <c r="BM1771" s="60" t="str">
        <f aca="false">IF(BD1771&lt;=0,"",IF(CG1771="Aussen","Aussenlager",IF(CG1771="-","Nicht im Lift",IF(BJ1771&gt;=1,"Lift",IF(BJ1771&lt;=0,"Aussenlager","teilweise")))))</f>
        <v/>
      </c>
      <c r="BN1771" s="60" t="str">
        <f aca="false">IF(A1771="","",IF(BW1771=1,"Neu; ","")&amp;IF(AND(BW1771=0,BR1771&lt;0),"negativer Bestand (Export "&amp;BR1771&amp;"); ","")&amp;IF(J1771&lt;=0,"Kein Verbrauch; ","")&amp;IF(CR1771&gt;0,"Lift "&amp;W1771&amp;" lt. Liftbericht (Fach "&amp;X1771&amp;" Stk); ",IF(CB1771=1,"Gebinde geschätzt ("&amp;T1771&amp;"); ",IF(CA1771=1,"Lose – Tablare geschätzt; ","")))&amp;IF(H1771&gt;AW1771,"Überbestand "&amp;ROUND(H1771-AW1771,0)&amp;" Stk / CHF "&amp;ROUND((H1771-AW1771)*G1771,0)&amp;"; ","")&amp;IF(AND(CI1771=1,CJ1771&lt;CK1771),"MAX &lt; MB+LG; ","")&amp;IF(AND(CQ1771&gt;0,CP1771*10&gt;CQ1771),"zu hoch für Tablar; ","")&amp;IF(AND(BW1771=0,OR(CI1771=1,AB1771&lt;&gt;"",U1771&lt;&gt;"",V1771&lt;&gt;"",AC1771&lt;&gt;"")),"manuell übersteuert; ","")&amp;IF(AND(CA1771=0,R1771=0),"Gebinde unbekannt / Stellmass fehlt; ","")&amp;IF(AND(CA1771=0,N(V1771)&lt;=0,N(Q1771)&lt;=0),"Menge pro Gebinde fehlt (Ist = 1 Gebinde); ","")&amp;BV1771)</f>
        <v/>
      </c>
      <c r="BO1771" s="60"/>
      <c r="BP1771" s="60"/>
      <c r="BQ1771" s="67"/>
      <c r="BR1771" s="62" t="n">
        <f aca="false">N('Neue Artikel'!$D$32)</f>
        <v>0</v>
      </c>
      <c r="BS1771" s="62" t="n">
        <v>0</v>
      </c>
      <c r="BT1771" s="61" t="n">
        <v>0</v>
      </c>
      <c r="BU1771" s="62" t="n">
        <f aca="false">N('Neue Artikel'!$C$32)/Parameter!$B$18</f>
        <v>0</v>
      </c>
      <c r="BV1771" s="60"/>
      <c r="BW1771" s="65" t="n">
        <v>1</v>
      </c>
      <c r="BX1771" s="65" t="n">
        <v>1771</v>
      </c>
      <c r="BY1771" s="60" t="str">
        <f aca="false">IF(U1771&lt;&gt;"",UPPER(TRIM(U1771)),IF(CB1771=1,UPPER(VLOOKUP(T1771,Parameter!$I$27:$K$29,2,0)),IF(P1771="","LOSE",P1771)))</f>
        <v>LOSE</v>
      </c>
      <c r="BZ1771" s="62" t="n">
        <f aca="false">IF(BY1771="LOSE",1,IF(N(V1771)&gt;0,V1771,IF(CB1771=1,MAX(1,N(VLOOKUP(T1771,Parameter!$I$27:$K$29,3,0)),H1771,N(N1771)),IF(N(Q1771)&gt;0,Q1771,MAX(1,H1771)))))</f>
        <v>1</v>
      </c>
      <c r="CA1771" s="65" t="n">
        <f aca="false">IF(BY1771="LOSE",1,0)</f>
        <v>1</v>
      </c>
      <c r="CB1771" s="65" t="n">
        <f aca="false">IF(AND(U1771="",OR(P1771="",P1771="LOSE"),T1771&lt;&gt;"",N(S1771)&lt;=0,ISNUMBER(MATCH(T1771,Parameter!$I$27:$I$29,0))),1,0)</f>
        <v>0</v>
      </c>
      <c r="CC1771" s="65" t="n">
        <f aca="false">IF(CR1771&gt;0,INDEX(Parameter!$H$5:$H$7,W1771)/INDEX(Parameter!$E$5:$E$7,W1771),IF(AND(CA1771=0,N(IFERROR(VLOOKUP(BY1771,'Gebinde-Kategorie'!$A$5:$N$45,14,0),0))&gt;0),VLOOKUP(BY1771,'Gebinde-Kategorie'!$A$5:$N$45,14,0)*10+Parameter!$M$23,Parameter!$M$24))</f>
        <v>235</v>
      </c>
      <c r="CD1771" s="60" t="str">
        <f aca="false">IF(AND(Parameter!$B$19="Ja",E1771&lt;&gt;"",ISNUMBER(MATCH(E1771,Parameter!$I$35:$I$52,0))),VLOOKUP(E1771,Parameter!$I$35:$J$52,2,0),IFERROR(VLOOKUP(D1771,Parameter!$A$35:$C$64,2,0),"Nein"))</f>
        <v>2+3</v>
      </c>
      <c r="CE1771" s="64" t="n">
        <f aca="false">IF(CA1771=0,0,IF(N(S1771)&gt;0,S1771,IFERROR(VLOOKUP(D1771,Parameter!$A$35:$C$64,3,0)+0,0)))</f>
        <v>0.15</v>
      </c>
      <c r="CF1771" s="60" t="str">
        <f aca="false">IF(AB1771&lt;&gt;"",AB1771,AA1771)</f>
        <v/>
      </c>
      <c r="CG1771" s="60" t="str">
        <f aca="false">IF(OR(CF1771=1,CF1771=2,CF1771=3),IF(Parameter!$E$27="Ja","LIFT",IF(CF1771=1,"L1","L23")),IF(CF1771="Aussen","Aussen","-"))</f>
        <v>-</v>
      </c>
      <c r="CH1771" s="71" t="n">
        <f aca="false">IF(N(AC1771)&gt;0,AC1771,0)</f>
        <v>0</v>
      </c>
      <c r="CI1771" s="65" t="n">
        <f aca="false">IF(ISNUMBER(AF1771),1,0)</f>
        <v>0</v>
      </c>
      <c r="CJ1771" s="62" t="n">
        <f aca="false">N(AF1771)</f>
        <v>0</v>
      </c>
      <c r="CK1771" s="62" t="n">
        <f aca="false">N(M1771)+N(N1771)</f>
        <v>0</v>
      </c>
      <c r="CL1771" s="62" t="n">
        <f aca="false">N(M1771)</f>
        <v>0</v>
      </c>
      <c r="CM1771" s="62" t="n">
        <f aca="false">N(N1771)</f>
        <v>0</v>
      </c>
      <c r="CN1771" s="62" t="n">
        <f aca="false">ROUNDUP(H1771/BZ1771,0)</f>
        <v>0</v>
      </c>
      <c r="CO1771" s="62" t="n">
        <f aca="false">ROUNDUP(CJ1771/BZ1771,0)</f>
        <v>0</v>
      </c>
      <c r="CP1771" s="65" t="n">
        <f aca="false">IF(CA1771=1,0,IFERROR(VLOOKUP(BY1771,'Gebinde-Kategorie'!$A$5:$N$45,5,0)+0,0))</f>
        <v>0</v>
      </c>
      <c r="CQ1771" s="65" t="n">
        <f aca="false">IFERROR(IF(OR(CF1771=1,CF1771=2,CF1771=3),N(INDEX(Parameter!$I$5:$I$7,CF1771)),0),0)</f>
        <v>0</v>
      </c>
      <c r="CR1771" s="64" t="n">
        <f aca="false">IF(AND(Parameter!$B$21="Ja",ISNUMBER(W1771),N(X1771)&gt;0),IFERROR(N(INDEX(Parameter!$L$5:$L$7,W1771))*INDEX(Parameter!$E$5:$E$7,W1771)*X1771/SUMIFS($X$7:$X$1843,$W$7:$W$1843,W1771),0),0)</f>
        <v>0</v>
      </c>
      <c r="CS1771" s="62" t="str">
        <f aca="false">IF(AND(OR(CG1771="L1",CG1771="L23",CG1771="LIFT"),H1771&gt;0),CC1771*IF(CR1771&gt;0,CR1771*MAX(1,H1771/X1771),IF(CA1771=1,CE1771,IF(R1771&gt;0,CN1771/R1771,0))/MAX(0.1,N(Parameter!$M$21))),"")</f>
        <v/>
      </c>
      <c r="CT1771" s="64" t="str">
        <f aca="false">IF(CS1771="","",J1771/H1771)</f>
        <v/>
      </c>
      <c r="CU1771" s="62" t="str">
        <f aca="false">IF(CS1771="","",H1771*G1771)</f>
        <v/>
      </c>
      <c r="CV1771" s="63" t="str">
        <f aca="false">IF(CS1771="","",(CL1771+ROUNDUP(CL1771+MAX(CM1771,2*(J1771/MAX(0.1,N(Einkauf!$C$6))-CL1771)),0))/2)</f>
        <v/>
      </c>
      <c r="CW1771" s="62" t="str">
        <f aca="false">IF(CS1771="","",MAX(0,H1771-CV1771)*G1771)</f>
        <v/>
      </c>
      <c r="CX1771" s="62" t="str">
        <f aca="false">IF(CS1771="","",CS1771*MAX(0,1-CV1771/H1771))</f>
        <v/>
      </c>
      <c r="CY1771" s="64" t="str">
        <f aca="false">IF(CS1771="","",PERCENTRANK($CS$7:$CS$1843,CS1771)+PERCENTRANK($CU$7:$CU$1843,CU1771)+1-PERCENTRANK($CT$7:$CT$1843,CT1771))</f>
        <v/>
      </c>
      <c r="CZ1771" s="72" t="str">
        <f aca="false">IF(CS1771="","",CHOOSE(MATCH(Einkauf!$C$5,Parameter!$G$23:$G$27,0),CY1771,CS1771,CU1771,-CT1771,CW1771)+ROW()/1000000000)</f>
        <v/>
      </c>
    </row>
    <row r="1772" customFormat="false" ht="15" hidden="false" customHeight="false" outlineLevel="0" collapsed="false">
      <c r="A1772" s="60" t="str">
        <f aca="false">IF('Neue Artikel'!$A$33="","",'Neue Artikel'!$A$33&amp;"")</f>
        <v/>
      </c>
      <c r="B1772" s="60" t="str">
        <f aca="false">'Neue Artikel'!$B$33&amp;""</f>
        <v/>
      </c>
      <c r="C1772" s="60"/>
      <c r="D1772" s="60" t="s">
        <v>3057</v>
      </c>
      <c r="E1772" s="60"/>
      <c r="F1772" s="60"/>
      <c r="G1772" s="61" t="n">
        <f aca="false">N('Neue Artikel'!$G$33)</f>
        <v>0</v>
      </c>
      <c r="H1772" s="62" t="n">
        <f aca="false">MAX(0,IF(AND(Parameter!$B$21="Ja",ISNUMBER(Y1772)),Y1772,IF(Parameter!$B$20="Jahresanfang 2025 + Export",BS1772+BR1772,BR1772)))</f>
        <v>0</v>
      </c>
      <c r="I1772" s="62" t="n">
        <f aca="false">H1772*G1772</f>
        <v>0</v>
      </c>
      <c r="J1772" s="62" t="n">
        <f aca="false">BU1772*Parameter!$B$18</f>
        <v>0</v>
      </c>
      <c r="K1772" s="63"/>
      <c r="L1772" s="64"/>
      <c r="M1772" s="62" t="n">
        <f aca="false">N('Neue Artikel'!$E$33)</f>
        <v>0</v>
      </c>
      <c r="N1772" s="62" t="n">
        <f aca="false">N('Neue Artikel'!$F$33)</f>
        <v>0</v>
      </c>
      <c r="O1772" s="65"/>
      <c r="P1772" s="60" t="str">
        <f aca="false">IF('Neue Artikel'!$H$33="","LOSE",UPPER(TRIM('Neue Artikel'!$H$33)))</f>
        <v>LOSE</v>
      </c>
      <c r="Q1772" s="62" t="n">
        <f aca="false">N('Neue Artikel'!$I$33)</f>
        <v>0</v>
      </c>
      <c r="R1772" s="65" t="n">
        <f aca="false">IF(CA1772=1,0,IFERROR(VLOOKUP(BY1772,'Gebinde-Kategorie'!$A$5:$N$45,13,0)+0,0))</f>
        <v>0</v>
      </c>
      <c r="S1772" s="66"/>
      <c r="T1772" s="67"/>
      <c r="U1772" s="67"/>
      <c r="V1772" s="67"/>
      <c r="W1772" s="60"/>
      <c r="X1772" s="62"/>
      <c r="Y1772" s="62"/>
      <c r="Z1772" s="60"/>
      <c r="AA1772" s="60" t="str">
        <f aca="false">IF(A1772="","",IF(AND(Parameter!$B$21="Ja",ISNUMBER(W1772)),W1772,IF(AND(Parameter!$E$27="Ja",ISNUMBER(Z1772),CD1772&lt;&gt;"Nein"),Z1772,IF(CD1772="2+3",IF(ISNUMBER(SEARCH("grosser Artikel",BV1772)),2,IFERROR(VLOOKUP(BY1772,Parameter!$F$35:$G$64,2,0),2)),IF(OR(CD1772="Nein",CD1772=""),"-",CD1772)))))</f>
        <v/>
      </c>
      <c r="AB1772" s="60" t="str">
        <f aca="false">IF('Neue Artikel'!$J$33="","",'Neue Artikel'!$J$33)</f>
        <v/>
      </c>
      <c r="AC1772" s="68"/>
      <c r="AD1772" s="62" t="n">
        <f aca="false">AW1772</f>
        <v>0</v>
      </c>
      <c r="AE1772" s="62" t="n">
        <f aca="false">MAX(AW1772,H1772)</f>
        <v>0</v>
      </c>
      <c r="AF1772" s="69"/>
      <c r="AG1772" s="62" t="n">
        <f aca="false">IF(LEFT(Cockpit!$C$5,1)="A",H1772,IF(Parameter!$E$30="MAX-Bestand",IF(CI1772=1,CJ1772,IF(LEFT(Cockpit!$C$5,1)="B",AM1772,MAX(AM1772,H1772))),ROUNDUP(AK1772,0)))</f>
        <v>0</v>
      </c>
      <c r="AH1772" s="62" t="n">
        <f aca="false">IF(CA1772=1,0,ROUNDUP(AG1772/BZ1772,0))</f>
        <v>0</v>
      </c>
      <c r="AI1772" s="64" t="n">
        <f aca="false">IF(CR1772&gt;0,CR1772*MAX(1,AG1772/X1772),IF(CA1772=1,IF(AG1772&lt;=0,0,CE1772*MAX(1,IF(H1772&gt;0,AG1772/H1772,1))),IF(R1772&gt;0,AH1772/R1772,0))/MAX(0.1,N(Parameter!$M$21)))</f>
        <v>0</v>
      </c>
      <c r="AJ1772" s="62" t="n">
        <f aca="false">AI1772*CC1772</f>
        <v>0</v>
      </c>
      <c r="AK1772" s="63" t="n">
        <f aca="false">IF(LEFT(Cockpit!$C$5,1)="A",H1772,IF(CI1772=1,(CL1772+CJ1772)/2,IF(LEFT(Cockpit!$C$5,1)="B",(CL1772+AM1772)/2,MAX((CL1772+AM1772)/2,H1772))))</f>
        <v>0</v>
      </c>
      <c r="AL1772" s="62" t="n">
        <f aca="false">AK1772*G1772</f>
        <v>0</v>
      </c>
      <c r="AM1772" s="62" t="n">
        <f aca="false">ROUNDUP(CL1772+MAX(CM1772,2*(J1772/IF(CH1772&gt;0,CH1772,MAX(0.1,N(Cockpit!$C$6)))-CL1772)),0)</f>
        <v>0</v>
      </c>
      <c r="AN1772" s="63" t="n">
        <f aca="false">IF(AJ1772&gt;0,J1772/AJ1772,-1)</f>
        <v>-1</v>
      </c>
      <c r="AO1772" s="63" t="str">
        <f aca="false">IF(AND(OR(CG1772="L1",CG1772="L23",CG1772="LIFT"),AJ1772&gt;0),SUMIFS($AJ$7:$AJ$1843,$CG$7:$CG$1843,CG1772,$AN$7:$AN$1843,"&gt;"&amp;AN1772)+SUMIFS($AJ$7:$AJ$1843,$CG$7:$CG$1843,CG1772,$AN$7:$AN$1843,AN1772,$BX$7:$BX$1843,"&lt;="&amp;BX1772),"")</f>
        <v/>
      </c>
      <c r="AP1772" s="70" t="n">
        <f aca="false">IF(AO1772="",0,MAX(0,MIN(1,(IF(CG1772="L1",Parameter!$H$5,IF(CG1772="L23",Parameter!$H$6+Parameter!$H$7,Parameter!$H$5+Parameter!$H$6+Parameter!$H$7))-(AO1772-AJ1772))/AJ1772)))</f>
        <v>0</v>
      </c>
      <c r="AQ1772" s="62" t="n">
        <f aca="false">IF(LEFT(Cockpit!$I$5,1)="A",H1772,IF(Parameter!$E$30="MAX-Bestand",IF(CI1772=1,CJ1772,IF(LEFT(Cockpit!$I$5,1)="B",AW1772,MAX(AW1772,H1772))),ROUNDUP(AU1772,0)))</f>
        <v>0</v>
      </c>
      <c r="AR1772" s="62" t="n">
        <f aca="false">IF(CA1772=1,0,ROUNDUP(AQ1772/BZ1772,0))</f>
        <v>0</v>
      </c>
      <c r="AS1772" s="64" t="n">
        <f aca="false">IF(CR1772&gt;0,CR1772*MAX(1,AQ1772/X1772),IF(CA1772=1,IF(AQ1772&lt;=0,0,CE1772*MAX(1,IF(H1772&gt;0,AQ1772/H1772,1))),IF(R1772&gt;0,AR1772/R1772,0))/MAX(0.1,N(Parameter!$M$21)))</f>
        <v>0</v>
      </c>
      <c r="AT1772" s="62" t="n">
        <f aca="false">AS1772*CC1772</f>
        <v>0</v>
      </c>
      <c r="AU1772" s="63" t="n">
        <f aca="false">IF(LEFT(Cockpit!$I$5,1)="A",H1772,IF(CI1772=1,(CL1772+CJ1772)/2,IF(LEFT(Cockpit!$I$5,1)="B",(CL1772+AW1772)/2,MAX((CL1772+AW1772)/2,H1772))))</f>
        <v>0</v>
      </c>
      <c r="AV1772" s="62" t="n">
        <f aca="false">AU1772*G1772</f>
        <v>0</v>
      </c>
      <c r="AW1772" s="62" t="n">
        <f aca="false">ROUNDUP(CL1772+MAX(CM1772,2*(J1772/IF(CH1772&gt;0,CH1772,MAX(0.1,N(Cockpit!$I$6)))-CL1772)),0)</f>
        <v>0</v>
      </c>
      <c r="AX1772" s="63" t="n">
        <f aca="false">IF(AT1772&gt;0,J1772/AT1772,-1)</f>
        <v>-1</v>
      </c>
      <c r="AY1772" s="63" t="str">
        <f aca="false">IF(AND(OR(CG1772="L1",CG1772="L23",CG1772="LIFT"),AT1772&gt;0),SUMIFS($AT$7:$AT$1843,$CG$7:$CG$1843,CG1772,$AX$7:$AX$1843,"&gt;"&amp;AX1772)+SUMIFS($AT$7:$AT$1843,$CG$7:$CG$1843,CG1772,$AX$7:$AX$1843,AX1772,$BX$7:$BX$1843,"&lt;="&amp;BX1772),"")</f>
        <v/>
      </c>
      <c r="AZ1772" s="70" t="n">
        <f aca="false">IF(AY1772="",0,MAX(0,MIN(1,(IF(CG1772="L1",Parameter!$H$5,IF(CG1772="L23",Parameter!$H$6+Parameter!$H$7,Parameter!$H$5+Parameter!$H$6+Parameter!$H$7))-(AY1772-AT1772))/AT1772)))</f>
        <v>0</v>
      </c>
      <c r="BA1772" s="62" t="n">
        <f aca="false">IF(LEFT(Cockpit!$O$5,1)="A",H1772,IF(Parameter!$E$30="MAX-Bestand",IF(CI1772=1,CJ1772,IF(LEFT(Cockpit!$O$5,1)="B",BG1772,MAX(BG1772,H1772))),ROUNDUP(BE1772,0)))</f>
        <v>0</v>
      </c>
      <c r="BB1772" s="62" t="n">
        <f aca="false">IF(CA1772=1,0,ROUNDUP(BA1772/BZ1772,0))</f>
        <v>0</v>
      </c>
      <c r="BC1772" s="64" t="n">
        <f aca="false">IF(CR1772&gt;0,CR1772*MAX(1,BA1772/X1772),IF(CA1772=1,IF(BA1772&lt;=0,0,CE1772*MAX(1,IF(H1772&gt;0,BA1772/H1772,1))),IF(R1772&gt;0,BB1772/R1772,0))/MAX(0.1,N(Parameter!$M$21)))</f>
        <v>0</v>
      </c>
      <c r="BD1772" s="62" t="n">
        <f aca="false">BC1772*CC1772</f>
        <v>0</v>
      </c>
      <c r="BE1772" s="63" t="n">
        <f aca="false">IF(LEFT(Cockpit!$O$5,1)="A",H1772,IF(CI1772=1,(CL1772+CJ1772)/2,IF(LEFT(Cockpit!$O$5,1)="B",(CL1772+BG1772)/2,MAX((CL1772+BG1772)/2,H1772))))</f>
        <v>0</v>
      </c>
      <c r="BF1772" s="62" t="n">
        <f aca="false">BE1772*G1772</f>
        <v>0</v>
      </c>
      <c r="BG1772" s="62" t="n">
        <f aca="false">ROUNDUP(CL1772+MAX(CM1772,2*(J1772/IF(CH1772&gt;0,CH1772,MAX(0.1,N(Cockpit!$O$6)))-CL1772)),0)</f>
        <v>0</v>
      </c>
      <c r="BH1772" s="63" t="n">
        <f aca="false">IF(BD1772&gt;0,J1772/BD1772,-1)</f>
        <v>-1</v>
      </c>
      <c r="BI1772" s="63" t="str">
        <f aca="false">IF(AND(OR(CG1772="L1",CG1772="L23",CG1772="LIFT"),BD1772&gt;0),SUMIFS($BD$7:$BD$1843,$CG$7:$CG$1843,CG1772,$BH$7:$BH$1843,"&gt;"&amp;BH1772)+SUMIFS($BD$7:$BD$1843,$CG$7:$CG$1843,CG1772,$BH$7:$BH$1843,BH1772,$BX$7:$BX$1843,"&lt;="&amp;BX1772),"")</f>
        <v/>
      </c>
      <c r="BJ1772" s="70" t="n">
        <f aca="false">IF(BI1772="",0,MAX(0,MIN(1,(IF(CG1772="L1",Parameter!$H$5,IF(CG1772="L23",Parameter!$H$6+Parameter!$H$7,Parameter!$H$5+Parameter!$H$6+Parameter!$H$7))-(BI1772-BD1772))/BD1772)))</f>
        <v>0</v>
      </c>
      <c r="BK1772" s="60" t="str">
        <f aca="false">IF(AJ1772&lt;=0,"",IF(CG1772="Aussen","Aussenlager",IF(CG1772="-","Nicht im Lift",IF(AP1772&gt;=1,"Lift",IF(AP1772&lt;=0,"Aussenlager","teilweise")))))</f>
        <v/>
      </c>
      <c r="BL1772" s="60" t="str">
        <f aca="false">IF(AT1772&lt;=0,"",IF(CG1772="Aussen","Aussenlager",IF(CG1772="-","Nicht im Lift",IF(AZ1772&gt;=1,"Lift",IF(AZ1772&lt;=0,"Aussenlager","teilweise")))))</f>
        <v/>
      </c>
      <c r="BM1772" s="60" t="str">
        <f aca="false">IF(BD1772&lt;=0,"",IF(CG1772="Aussen","Aussenlager",IF(CG1772="-","Nicht im Lift",IF(BJ1772&gt;=1,"Lift",IF(BJ1772&lt;=0,"Aussenlager","teilweise")))))</f>
        <v/>
      </c>
      <c r="BN1772" s="60" t="str">
        <f aca="false">IF(A1772="","",IF(BW1772=1,"Neu; ","")&amp;IF(AND(BW1772=0,BR1772&lt;0),"negativer Bestand (Export "&amp;BR1772&amp;"); ","")&amp;IF(J1772&lt;=0,"Kein Verbrauch; ","")&amp;IF(CR1772&gt;0,"Lift "&amp;W1772&amp;" lt. Liftbericht (Fach "&amp;X1772&amp;" Stk); ",IF(CB1772=1,"Gebinde geschätzt ("&amp;T1772&amp;"); ",IF(CA1772=1,"Lose – Tablare geschätzt; ","")))&amp;IF(H1772&gt;AW1772,"Überbestand "&amp;ROUND(H1772-AW1772,0)&amp;" Stk / CHF "&amp;ROUND((H1772-AW1772)*G1772,0)&amp;"; ","")&amp;IF(AND(CI1772=1,CJ1772&lt;CK1772),"MAX &lt; MB+LG; ","")&amp;IF(AND(CQ1772&gt;0,CP1772*10&gt;CQ1772),"zu hoch für Tablar; ","")&amp;IF(AND(BW1772=0,OR(CI1772=1,AB1772&lt;&gt;"",U1772&lt;&gt;"",V1772&lt;&gt;"",AC1772&lt;&gt;"")),"manuell übersteuert; ","")&amp;IF(AND(CA1772=0,R1772=0),"Gebinde unbekannt / Stellmass fehlt; ","")&amp;IF(AND(CA1772=0,N(V1772)&lt;=0,N(Q1772)&lt;=0),"Menge pro Gebinde fehlt (Ist = 1 Gebinde); ","")&amp;BV1772)</f>
        <v/>
      </c>
      <c r="BO1772" s="60"/>
      <c r="BP1772" s="60"/>
      <c r="BQ1772" s="67"/>
      <c r="BR1772" s="62" t="n">
        <f aca="false">N('Neue Artikel'!$D$33)</f>
        <v>0</v>
      </c>
      <c r="BS1772" s="62" t="n">
        <v>0</v>
      </c>
      <c r="BT1772" s="61" t="n">
        <v>0</v>
      </c>
      <c r="BU1772" s="62" t="n">
        <f aca="false">N('Neue Artikel'!$C$33)/Parameter!$B$18</f>
        <v>0</v>
      </c>
      <c r="BV1772" s="60"/>
      <c r="BW1772" s="65" t="n">
        <v>1</v>
      </c>
      <c r="BX1772" s="65" t="n">
        <v>1772</v>
      </c>
      <c r="BY1772" s="60" t="str">
        <f aca="false">IF(U1772&lt;&gt;"",UPPER(TRIM(U1772)),IF(CB1772=1,UPPER(VLOOKUP(T1772,Parameter!$I$27:$K$29,2,0)),IF(P1772="","LOSE",P1772)))</f>
        <v>LOSE</v>
      </c>
      <c r="BZ1772" s="62" t="n">
        <f aca="false">IF(BY1772="LOSE",1,IF(N(V1772)&gt;0,V1772,IF(CB1772=1,MAX(1,N(VLOOKUP(T1772,Parameter!$I$27:$K$29,3,0)),H1772,N(N1772)),IF(N(Q1772)&gt;0,Q1772,MAX(1,H1772)))))</f>
        <v>1</v>
      </c>
      <c r="CA1772" s="65" t="n">
        <f aca="false">IF(BY1772="LOSE",1,0)</f>
        <v>1</v>
      </c>
      <c r="CB1772" s="65" t="n">
        <f aca="false">IF(AND(U1772="",OR(P1772="",P1772="LOSE"),T1772&lt;&gt;"",N(S1772)&lt;=0,ISNUMBER(MATCH(T1772,Parameter!$I$27:$I$29,0))),1,0)</f>
        <v>0</v>
      </c>
      <c r="CC1772" s="65" t="n">
        <f aca="false">IF(CR1772&gt;0,INDEX(Parameter!$H$5:$H$7,W1772)/INDEX(Parameter!$E$5:$E$7,W1772),IF(AND(CA1772=0,N(IFERROR(VLOOKUP(BY1772,'Gebinde-Kategorie'!$A$5:$N$45,14,0),0))&gt;0),VLOOKUP(BY1772,'Gebinde-Kategorie'!$A$5:$N$45,14,0)*10+Parameter!$M$23,Parameter!$M$24))</f>
        <v>235</v>
      </c>
      <c r="CD1772" s="60" t="str">
        <f aca="false">IF(AND(Parameter!$B$19="Ja",E1772&lt;&gt;"",ISNUMBER(MATCH(E1772,Parameter!$I$35:$I$52,0))),VLOOKUP(E1772,Parameter!$I$35:$J$52,2,0),IFERROR(VLOOKUP(D1772,Parameter!$A$35:$C$64,2,0),"Nein"))</f>
        <v>2+3</v>
      </c>
      <c r="CE1772" s="64" t="n">
        <f aca="false">IF(CA1772=0,0,IF(N(S1772)&gt;0,S1772,IFERROR(VLOOKUP(D1772,Parameter!$A$35:$C$64,3,0)+0,0)))</f>
        <v>0.15</v>
      </c>
      <c r="CF1772" s="60" t="str">
        <f aca="false">IF(AB1772&lt;&gt;"",AB1772,AA1772)</f>
        <v/>
      </c>
      <c r="CG1772" s="60" t="str">
        <f aca="false">IF(OR(CF1772=1,CF1772=2,CF1772=3),IF(Parameter!$E$27="Ja","LIFT",IF(CF1772=1,"L1","L23")),IF(CF1772="Aussen","Aussen","-"))</f>
        <v>-</v>
      </c>
      <c r="CH1772" s="71" t="n">
        <f aca="false">IF(N(AC1772)&gt;0,AC1772,0)</f>
        <v>0</v>
      </c>
      <c r="CI1772" s="65" t="n">
        <f aca="false">IF(ISNUMBER(AF1772),1,0)</f>
        <v>0</v>
      </c>
      <c r="CJ1772" s="62" t="n">
        <f aca="false">N(AF1772)</f>
        <v>0</v>
      </c>
      <c r="CK1772" s="62" t="n">
        <f aca="false">N(M1772)+N(N1772)</f>
        <v>0</v>
      </c>
      <c r="CL1772" s="62" t="n">
        <f aca="false">N(M1772)</f>
        <v>0</v>
      </c>
      <c r="CM1772" s="62" t="n">
        <f aca="false">N(N1772)</f>
        <v>0</v>
      </c>
      <c r="CN1772" s="62" t="n">
        <f aca="false">ROUNDUP(H1772/BZ1772,0)</f>
        <v>0</v>
      </c>
      <c r="CO1772" s="62" t="n">
        <f aca="false">ROUNDUP(CJ1772/BZ1772,0)</f>
        <v>0</v>
      </c>
      <c r="CP1772" s="65" t="n">
        <f aca="false">IF(CA1772=1,0,IFERROR(VLOOKUP(BY1772,'Gebinde-Kategorie'!$A$5:$N$45,5,0)+0,0))</f>
        <v>0</v>
      </c>
      <c r="CQ1772" s="65" t="n">
        <f aca="false">IFERROR(IF(OR(CF1772=1,CF1772=2,CF1772=3),N(INDEX(Parameter!$I$5:$I$7,CF1772)),0),0)</f>
        <v>0</v>
      </c>
      <c r="CR1772" s="64" t="n">
        <f aca="false">IF(AND(Parameter!$B$21="Ja",ISNUMBER(W1772),N(X1772)&gt;0),IFERROR(N(INDEX(Parameter!$L$5:$L$7,W1772))*INDEX(Parameter!$E$5:$E$7,W1772)*X1772/SUMIFS($X$7:$X$1843,$W$7:$W$1843,W1772),0),0)</f>
        <v>0</v>
      </c>
      <c r="CS1772" s="62" t="str">
        <f aca="false">IF(AND(OR(CG1772="L1",CG1772="L23",CG1772="LIFT"),H1772&gt;0),CC1772*IF(CR1772&gt;0,CR1772*MAX(1,H1772/X1772),IF(CA1772=1,CE1772,IF(R1772&gt;0,CN1772/R1772,0))/MAX(0.1,N(Parameter!$M$21))),"")</f>
        <v/>
      </c>
      <c r="CT1772" s="64" t="str">
        <f aca="false">IF(CS1772="","",J1772/H1772)</f>
        <v/>
      </c>
      <c r="CU1772" s="62" t="str">
        <f aca="false">IF(CS1772="","",H1772*G1772)</f>
        <v/>
      </c>
      <c r="CV1772" s="63" t="str">
        <f aca="false">IF(CS1772="","",(CL1772+ROUNDUP(CL1772+MAX(CM1772,2*(J1772/MAX(0.1,N(Einkauf!$C$6))-CL1772)),0))/2)</f>
        <v/>
      </c>
      <c r="CW1772" s="62" t="str">
        <f aca="false">IF(CS1772="","",MAX(0,H1772-CV1772)*G1772)</f>
        <v/>
      </c>
      <c r="CX1772" s="62" t="str">
        <f aca="false">IF(CS1772="","",CS1772*MAX(0,1-CV1772/H1772))</f>
        <v/>
      </c>
      <c r="CY1772" s="64" t="str">
        <f aca="false">IF(CS1772="","",PERCENTRANK($CS$7:$CS$1843,CS1772)+PERCENTRANK($CU$7:$CU$1843,CU1772)+1-PERCENTRANK($CT$7:$CT$1843,CT1772))</f>
        <v/>
      </c>
      <c r="CZ1772" s="72" t="str">
        <f aca="false">IF(CS1772="","",CHOOSE(MATCH(Einkauf!$C$5,Parameter!$G$23:$G$27,0),CY1772,CS1772,CU1772,-CT1772,CW1772)+ROW()/1000000000)</f>
        <v/>
      </c>
    </row>
    <row r="1773" customFormat="false" ht="15" hidden="false" customHeight="false" outlineLevel="0" collapsed="false">
      <c r="A1773" s="60" t="str">
        <f aca="false">IF('Neue Artikel'!$A$34="","",'Neue Artikel'!$A$34&amp;"")</f>
        <v/>
      </c>
      <c r="B1773" s="60" t="str">
        <f aca="false">'Neue Artikel'!$B$34&amp;""</f>
        <v/>
      </c>
      <c r="C1773" s="60"/>
      <c r="D1773" s="60" t="s">
        <v>3057</v>
      </c>
      <c r="E1773" s="60"/>
      <c r="F1773" s="60"/>
      <c r="G1773" s="61" t="n">
        <f aca="false">N('Neue Artikel'!$G$34)</f>
        <v>0</v>
      </c>
      <c r="H1773" s="62" t="n">
        <f aca="false">MAX(0,IF(AND(Parameter!$B$21="Ja",ISNUMBER(Y1773)),Y1773,IF(Parameter!$B$20="Jahresanfang 2025 + Export",BS1773+BR1773,BR1773)))</f>
        <v>0</v>
      </c>
      <c r="I1773" s="62" t="n">
        <f aca="false">H1773*G1773</f>
        <v>0</v>
      </c>
      <c r="J1773" s="62" t="n">
        <f aca="false">BU1773*Parameter!$B$18</f>
        <v>0</v>
      </c>
      <c r="K1773" s="63"/>
      <c r="L1773" s="64"/>
      <c r="M1773" s="62" t="n">
        <f aca="false">N('Neue Artikel'!$E$34)</f>
        <v>0</v>
      </c>
      <c r="N1773" s="62" t="n">
        <f aca="false">N('Neue Artikel'!$F$34)</f>
        <v>0</v>
      </c>
      <c r="O1773" s="65"/>
      <c r="P1773" s="60" t="str">
        <f aca="false">IF('Neue Artikel'!$H$34="","LOSE",UPPER(TRIM('Neue Artikel'!$H$34)))</f>
        <v>LOSE</v>
      </c>
      <c r="Q1773" s="62" t="n">
        <f aca="false">N('Neue Artikel'!$I$34)</f>
        <v>0</v>
      </c>
      <c r="R1773" s="65" t="n">
        <f aca="false">IF(CA1773=1,0,IFERROR(VLOOKUP(BY1773,'Gebinde-Kategorie'!$A$5:$N$45,13,0)+0,0))</f>
        <v>0</v>
      </c>
      <c r="S1773" s="66"/>
      <c r="T1773" s="67"/>
      <c r="U1773" s="67"/>
      <c r="V1773" s="67"/>
      <c r="W1773" s="60"/>
      <c r="X1773" s="62"/>
      <c r="Y1773" s="62"/>
      <c r="Z1773" s="60"/>
      <c r="AA1773" s="60" t="str">
        <f aca="false">IF(A1773="","",IF(AND(Parameter!$B$21="Ja",ISNUMBER(W1773)),W1773,IF(AND(Parameter!$E$27="Ja",ISNUMBER(Z1773),CD1773&lt;&gt;"Nein"),Z1773,IF(CD1773="2+3",IF(ISNUMBER(SEARCH("grosser Artikel",BV1773)),2,IFERROR(VLOOKUP(BY1773,Parameter!$F$35:$G$64,2,0),2)),IF(OR(CD1773="Nein",CD1773=""),"-",CD1773)))))</f>
        <v/>
      </c>
      <c r="AB1773" s="60" t="str">
        <f aca="false">IF('Neue Artikel'!$J$34="","",'Neue Artikel'!$J$34)</f>
        <v/>
      </c>
      <c r="AC1773" s="68"/>
      <c r="AD1773" s="62" t="n">
        <f aca="false">AW1773</f>
        <v>0</v>
      </c>
      <c r="AE1773" s="62" t="n">
        <f aca="false">MAX(AW1773,H1773)</f>
        <v>0</v>
      </c>
      <c r="AF1773" s="69"/>
      <c r="AG1773" s="62" t="n">
        <f aca="false">IF(LEFT(Cockpit!$C$5,1)="A",H1773,IF(Parameter!$E$30="MAX-Bestand",IF(CI1773=1,CJ1773,IF(LEFT(Cockpit!$C$5,1)="B",AM1773,MAX(AM1773,H1773))),ROUNDUP(AK1773,0)))</f>
        <v>0</v>
      </c>
      <c r="AH1773" s="62" t="n">
        <f aca="false">IF(CA1773=1,0,ROUNDUP(AG1773/BZ1773,0))</f>
        <v>0</v>
      </c>
      <c r="AI1773" s="64" t="n">
        <f aca="false">IF(CR1773&gt;0,CR1773*MAX(1,AG1773/X1773),IF(CA1773=1,IF(AG1773&lt;=0,0,CE1773*MAX(1,IF(H1773&gt;0,AG1773/H1773,1))),IF(R1773&gt;0,AH1773/R1773,0))/MAX(0.1,N(Parameter!$M$21)))</f>
        <v>0</v>
      </c>
      <c r="AJ1773" s="62" t="n">
        <f aca="false">AI1773*CC1773</f>
        <v>0</v>
      </c>
      <c r="AK1773" s="63" t="n">
        <f aca="false">IF(LEFT(Cockpit!$C$5,1)="A",H1773,IF(CI1773=1,(CL1773+CJ1773)/2,IF(LEFT(Cockpit!$C$5,1)="B",(CL1773+AM1773)/2,MAX((CL1773+AM1773)/2,H1773))))</f>
        <v>0</v>
      </c>
      <c r="AL1773" s="62" t="n">
        <f aca="false">AK1773*G1773</f>
        <v>0</v>
      </c>
      <c r="AM1773" s="62" t="n">
        <f aca="false">ROUNDUP(CL1773+MAX(CM1773,2*(J1773/IF(CH1773&gt;0,CH1773,MAX(0.1,N(Cockpit!$C$6)))-CL1773)),0)</f>
        <v>0</v>
      </c>
      <c r="AN1773" s="63" t="n">
        <f aca="false">IF(AJ1773&gt;0,J1773/AJ1773,-1)</f>
        <v>-1</v>
      </c>
      <c r="AO1773" s="63" t="str">
        <f aca="false">IF(AND(OR(CG1773="L1",CG1773="L23",CG1773="LIFT"),AJ1773&gt;0),SUMIFS($AJ$7:$AJ$1843,$CG$7:$CG$1843,CG1773,$AN$7:$AN$1843,"&gt;"&amp;AN1773)+SUMIFS($AJ$7:$AJ$1843,$CG$7:$CG$1843,CG1773,$AN$7:$AN$1843,AN1773,$BX$7:$BX$1843,"&lt;="&amp;BX1773),"")</f>
        <v/>
      </c>
      <c r="AP1773" s="70" t="n">
        <f aca="false">IF(AO1773="",0,MAX(0,MIN(1,(IF(CG1773="L1",Parameter!$H$5,IF(CG1773="L23",Parameter!$H$6+Parameter!$H$7,Parameter!$H$5+Parameter!$H$6+Parameter!$H$7))-(AO1773-AJ1773))/AJ1773)))</f>
        <v>0</v>
      </c>
      <c r="AQ1773" s="62" t="n">
        <f aca="false">IF(LEFT(Cockpit!$I$5,1)="A",H1773,IF(Parameter!$E$30="MAX-Bestand",IF(CI1773=1,CJ1773,IF(LEFT(Cockpit!$I$5,1)="B",AW1773,MAX(AW1773,H1773))),ROUNDUP(AU1773,0)))</f>
        <v>0</v>
      </c>
      <c r="AR1773" s="62" t="n">
        <f aca="false">IF(CA1773=1,0,ROUNDUP(AQ1773/BZ1773,0))</f>
        <v>0</v>
      </c>
      <c r="AS1773" s="64" t="n">
        <f aca="false">IF(CR1773&gt;0,CR1773*MAX(1,AQ1773/X1773),IF(CA1773=1,IF(AQ1773&lt;=0,0,CE1773*MAX(1,IF(H1773&gt;0,AQ1773/H1773,1))),IF(R1773&gt;0,AR1773/R1773,0))/MAX(0.1,N(Parameter!$M$21)))</f>
        <v>0</v>
      </c>
      <c r="AT1773" s="62" t="n">
        <f aca="false">AS1773*CC1773</f>
        <v>0</v>
      </c>
      <c r="AU1773" s="63" t="n">
        <f aca="false">IF(LEFT(Cockpit!$I$5,1)="A",H1773,IF(CI1773=1,(CL1773+CJ1773)/2,IF(LEFT(Cockpit!$I$5,1)="B",(CL1773+AW1773)/2,MAX((CL1773+AW1773)/2,H1773))))</f>
        <v>0</v>
      </c>
      <c r="AV1773" s="62" t="n">
        <f aca="false">AU1773*G1773</f>
        <v>0</v>
      </c>
      <c r="AW1773" s="62" t="n">
        <f aca="false">ROUNDUP(CL1773+MAX(CM1773,2*(J1773/IF(CH1773&gt;0,CH1773,MAX(0.1,N(Cockpit!$I$6)))-CL1773)),0)</f>
        <v>0</v>
      </c>
      <c r="AX1773" s="63" t="n">
        <f aca="false">IF(AT1773&gt;0,J1773/AT1773,-1)</f>
        <v>-1</v>
      </c>
      <c r="AY1773" s="63" t="str">
        <f aca="false">IF(AND(OR(CG1773="L1",CG1773="L23",CG1773="LIFT"),AT1773&gt;0),SUMIFS($AT$7:$AT$1843,$CG$7:$CG$1843,CG1773,$AX$7:$AX$1843,"&gt;"&amp;AX1773)+SUMIFS($AT$7:$AT$1843,$CG$7:$CG$1843,CG1773,$AX$7:$AX$1843,AX1773,$BX$7:$BX$1843,"&lt;="&amp;BX1773),"")</f>
        <v/>
      </c>
      <c r="AZ1773" s="70" t="n">
        <f aca="false">IF(AY1773="",0,MAX(0,MIN(1,(IF(CG1773="L1",Parameter!$H$5,IF(CG1773="L23",Parameter!$H$6+Parameter!$H$7,Parameter!$H$5+Parameter!$H$6+Parameter!$H$7))-(AY1773-AT1773))/AT1773)))</f>
        <v>0</v>
      </c>
      <c r="BA1773" s="62" t="n">
        <f aca="false">IF(LEFT(Cockpit!$O$5,1)="A",H1773,IF(Parameter!$E$30="MAX-Bestand",IF(CI1773=1,CJ1773,IF(LEFT(Cockpit!$O$5,1)="B",BG1773,MAX(BG1773,H1773))),ROUNDUP(BE1773,0)))</f>
        <v>0</v>
      </c>
      <c r="BB1773" s="62" t="n">
        <f aca="false">IF(CA1773=1,0,ROUNDUP(BA1773/BZ1773,0))</f>
        <v>0</v>
      </c>
      <c r="BC1773" s="64" t="n">
        <f aca="false">IF(CR1773&gt;0,CR1773*MAX(1,BA1773/X1773),IF(CA1773=1,IF(BA1773&lt;=0,0,CE1773*MAX(1,IF(H1773&gt;0,BA1773/H1773,1))),IF(R1773&gt;0,BB1773/R1773,0))/MAX(0.1,N(Parameter!$M$21)))</f>
        <v>0</v>
      </c>
      <c r="BD1773" s="62" t="n">
        <f aca="false">BC1773*CC1773</f>
        <v>0</v>
      </c>
      <c r="BE1773" s="63" t="n">
        <f aca="false">IF(LEFT(Cockpit!$O$5,1)="A",H1773,IF(CI1773=1,(CL1773+CJ1773)/2,IF(LEFT(Cockpit!$O$5,1)="B",(CL1773+BG1773)/2,MAX((CL1773+BG1773)/2,H1773))))</f>
        <v>0</v>
      </c>
      <c r="BF1773" s="62" t="n">
        <f aca="false">BE1773*G1773</f>
        <v>0</v>
      </c>
      <c r="BG1773" s="62" t="n">
        <f aca="false">ROUNDUP(CL1773+MAX(CM1773,2*(J1773/IF(CH1773&gt;0,CH1773,MAX(0.1,N(Cockpit!$O$6)))-CL1773)),0)</f>
        <v>0</v>
      </c>
      <c r="BH1773" s="63" t="n">
        <f aca="false">IF(BD1773&gt;0,J1773/BD1773,-1)</f>
        <v>-1</v>
      </c>
      <c r="BI1773" s="63" t="str">
        <f aca="false">IF(AND(OR(CG1773="L1",CG1773="L23",CG1773="LIFT"),BD1773&gt;0),SUMIFS($BD$7:$BD$1843,$CG$7:$CG$1843,CG1773,$BH$7:$BH$1843,"&gt;"&amp;BH1773)+SUMIFS($BD$7:$BD$1843,$CG$7:$CG$1843,CG1773,$BH$7:$BH$1843,BH1773,$BX$7:$BX$1843,"&lt;="&amp;BX1773),"")</f>
        <v/>
      </c>
      <c r="BJ1773" s="70" t="n">
        <f aca="false">IF(BI1773="",0,MAX(0,MIN(1,(IF(CG1773="L1",Parameter!$H$5,IF(CG1773="L23",Parameter!$H$6+Parameter!$H$7,Parameter!$H$5+Parameter!$H$6+Parameter!$H$7))-(BI1773-BD1773))/BD1773)))</f>
        <v>0</v>
      </c>
      <c r="BK1773" s="60" t="str">
        <f aca="false">IF(AJ1773&lt;=0,"",IF(CG1773="Aussen","Aussenlager",IF(CG1773="-","Nicht im Lift",IF(AP1773&gt;=1,"Lift",IF(AP1773&lt;=0,"Aussenlager","teilweise")))))</f>
        <v/>
      </c>
      <c r="BL1773" s="60" t="str">
        <f aca="false">IF(AT1773&lt;=0,"",IF(CG1773="Aussen","Aussenlager",IF(CG1773="-","Nicht im Lift",IF(AZ1773&gt;=1,"Lift",IF(AZ1773&lt;=0,"Aussenlager","teilweise")))))</f>
        <v/>
      </c>
      <c r="BM1773" s="60" t="str">
        <f aca="false">IF(BD1773&lt;=0,"",IF(CG1773="Aussen","Aussenlager",IF(CG1773="-","Nicht im Lift",IF(BJ1773&gt;=1,"Lift",IF(BJ1773&lt;=0,"Aussenlager","teilweise")))))</f>
        <v/>
      </c>
      <c r="BN1773" s="60" t="str">
        <f aca="false">IF(A1773="","",IF(BW1773=1,"Neu; ","")&amp;IF(AND(BW1773=0,BR1773&lt;0),"negativer Bestand (Export "&amp;BR1773&amp;"); ","")&amp;IF(J1773&lt;=0,"Kein Verbrauch; ","")&amp;IF(CR1773&gt;0,"Lift "&amp;W1773&amp;" lt. Liftbericht (Fach "&amp;X1773&amp;" Stk); ",IF(CB1773=1,"Gebinde geschätzt ("&amp;T1773&amp;"); ",IF(CA1773=1,"Lose – Tablare geschätzt; ","")))&amp;IF(H1773&gt;AW1773,"Überbestand "&amp;ROUND(H1773-AW1773,0)&amp;" Stk / CHF "&amp;ROUND((H1773-AW1773)*G1773,0)&amp;"; ","")&amp;IF(AND(CI1773=1,CJ1773&lt;CK1773),"MAX &lt; MB+LG; ","")&amp;IF(AND(CQ1773&gt;0,CP1773*10&gt;CQ1773),"zu hoch für Tablar; ","")&amp;IF(AND(BW1773=0,OR(CI1773=1,AB1773&lt;&gt;"",U1773&lt;&gt;"",V1773&lt;&gt;"",AC1773&lt;&gt;"")),"manuell übersteuert; ","")&amp;IF(AND(CA1773=0,R1773=0),"Gebinde unbekannt / Stellmass fehlt; ","")&amp;IF(AND(CA1773=0,N(V1773)&lt;=0,N(Q1773)&lt;=0),"Menge pro Gebinde fehlt (Ist = 1 Gebinde); ","")&amp;BV1773)</f>
        <v/>
      </c>
      <c r="BO1773" s="60"/>
      <c r="BP1773" s="60"/>
      <c r="BQ1773" s="67"/>
      <c r="BR1773" s="62" t="n">
        <f aca="false">N('Neue Artikel'!$D$34)</f>
        <v>0</v>
      </c>
      <c r="BS1773" s="62" t="n">
        <v>0</v>
      </c>
      <c r="BT1773" s="61" t="n">
        <v>0</v>
      </c>
      <c r="BU1773" s="62" t="n">
        <f aca="false">N('Neue Artikel'!$C$34)/Parameter!$B$18</f>
        <v>0</v>
      </c>
      <c r="BV1773" s="60"/>
      <c r="BW1773" s="65" t="n">
        <v>1</v>
      </c>
      <c r="BX1773" s="65" t="n">
        <v>1773</v>
      </c>
      <c r="BY1773" s="60" t="str">
        <f aca="false">IF(U1773&lt;&gt;"",UPPER(TRIM(U1773)),IF(CB1773=1,UPPER(VLOOKUP(T1773,Parameter!$I$27:$K$29,2,0)),IF(P1773="","LOSE",P1773)))</f>
        <v>LOSE</v>
      </c>
      <c r="BZ1773" s="62" t="n">
        <f aca="false">IF(BY1773="LOSE",1,IF(N(V1773)&gt;0,V1773,IF(CB1773=1,MAX(1,N(VLOOKUP(T1773,Parameter!$I$27:$K$29,3,0)),H1773,N(N1773)),IF(N(Q1773)&gt;0,Q1773,MAX(1,H1773)))))</f>
        <v>1</v>
      </c>
      <c r="CA1773" s="65" t="n">
        <f aca="false">IF(BY1773="LOSE",1,0)</f>
        <v>1</v>
      </c>
      <c r="CB1773" s="65" t="n">
        <f aca="false">IF(AND(U1773="",OR(P1773="",P1773="LOSE"),T1773&lt;&gt;"",N(S1773)&lt;=0,ISNUMBER(MATCH(T1773,Parameter!$I$27:$I$29,0))),1,0)</f>
        <v>0</v>
      </c>
      <c r="CC1773" s="65" t="n">
        <f aca="false">IF(CR1773&gt;0,INDEX(Parameter!$H$5:$H$7,W1773)/INDEX(Parameter!$E$5:$E$7,W1773),IF(AND(CA1773=0,N(IFERROR(VLOOKUP(BY1773,'Gebinde-Kategorie'!$A$5:$N$45,14,0),0))&gt;0),VLOOKUP(BY1773,'Gebinde-Kategorie'!$A$5:$N$45,14,0)*10+Parameter!$M$23,Parameter!$M$24))</f>
        <v>235</v>
      </c>
      <c r="CD1773" s="60" t="str">
        <f aca="false">IF(AND(Parameter!$B$19="Ja",E1773&lt;&gt;"",ISNUMBER(MATCH(E1773,Parameter!$I$35:$I$52,0))),VLOOKUP(E1773,Parameter!$I$35:$J$52,2,0),IFERROR(VLOOKUP(D1773,Parameter!$A$35:$C$64,2,0),"Nein"))</f>
        <v>2+3</v>
      </c>
      <c r="CE1773" s="64" t="n">
        <f aca="false">IF(CA1773=0,0,IF(N(S1773)&gt;0,S1773,IFERROR(VLOOKUP(D1773,Parameter!$A$35:$C$64,3,0)+0,0)))</f>
        <v>0.15</v>
      </c>
      <c r="CF1773" s="60" t="str">
        <f aca="false">IF(AB1773&lt;&gt;"",AB1773,AA1773)</f>
        <v/>
      </c>
      <c r="CG1773" s="60" t="str">
        <f aca="false">IF(OR(CF1773=1,CF1773=2,CF1773=3),IF(Parameter!$E$27="Ja","LIFT",IF(CF1773=1,"L1","L23")),IF(CF1773="Aussen","Aussen","-"))</f>
        <v>-</v>
      </c>
      <c r="CH1773" s="71" t="n">
        <f aca="false">IF(N(AC1773)&gt;0,AC1773,0)</f>
        <v>0</v>
      </c>
      <c r="CI1773" s="65" t="n">
        <f aca="false">IF(ISNUMBER(AF1773),1,0)</f>
        <v>0</v>
      </c>
      <c r="CJ1773" s="62" t="n">
        <f aca="false">N(AF1773)</f>
        <v>0</v>
      </c>
      <c r="CK1773" s="62" t="n">
        <f aca="false">N(M1773)+N(N1773)</f>
        <v>0</v>
      </c>
      <c r="CL1773" s="62" t="n">
        <f aca="false">N(M1773)</f>
        <v>0</v>
      </c>
      <c r="CM1773" s="62" t="n">
        <f aca="false">N(N1773)</f>
        <v>0</v>
      </c>
      <c r="CN1773" s="62" t="n">
        <f aca="false">ROUNDUP(H1773/BZ1773,0)</f>
        <v>0</v>
      </c>
      <c r="CO1773" s="62" t="n">
        <f aca="false">ROUNDUP(CJ1773/BZ1773,0)</f>
        <v>0</v>
      </c>
      <c r="CP1773" s="65" t="n">
        <f aca="false">IF(CA1773=1,0,IFERROR(VLOOKUP(BY1773,'Gebinde-Kategorie'!$A$5:$N$45,5,0)+0,0))</f>
        <v>0</v>
      </c>
      <c r="CQ1773" s="65" t="n">
        <f aca="false">IFERROR(IF(OR(CF1773=1,CF1773=2,CF1773=3),N(INDEX(Parameter!$I$5:$I$7,CF1773)),0),0)</f>
        <v>0</v>
      </c>
      <c r="CR1773" s="64" t="n">
        <f aca="false">IF(AND(Parameter!$B$21="Ja",ISNUMBER(W1773),N(X1773)&gt;0),IFERROR(N(INDEX(Parameter!$L$5:$L$7,W1773))*INDEX(Parameter!$E$5:$E$7,W1773)*X1773/SUMIFS($X$7:$X$1843,$W$7:$W$1843,W1773),0),0)</f>
        <v>0</v>
      </c>
      <c r="CS1773" s="62" t="str">
        <f aca="false">IF(AND(OR(CG1773="L1",CG1773="L23",CG1773="LIFT"),H1773&gt;0),CC1773*IF(CR1773&gt;0,CR1773*MAX(1,H1773/X1773),IF(CA1773=1,CE1773,IF(R1773&gt;0,CN1773/R1773,0))/MAX(0.1,N(Parameter!$M$21))),"")</f>
        <v/>
      </c>
      <c r="CT1773" s="64" t="str">
        <f aca="false">IF(CS1773="","",J1773/H1773)</f>
        <v/>
      </c>
      <c r="CU1773" s="62" t="str">
        <f aca="false">IF(CS1773="","",H1773*G1773)</f>
        <v/>
      </c>
      <c r="CV1773" s="63" t="str">
        <f aca="false">IF(CS1773="","",(CL1773+ROUNDUP(CL1773+MAX(CM1773,2*(J1773/MAX(0.1,N(Einkauf!$C$6))-CL1773)),0))/2)</f>
        <v/>
      </c>
      <c r="CW1773" s="62" t="str">
        <f aca="false">IF(CS1773="","",MAX(0,H1773-CV1773)*G1773)</f>
        <v/>
      </c>
      <c r="CX1773" s="62" t="str">
        <f aca="false">IF(CS1773="","",CS1773*MAX(0,1-CV1773/H1773))</f>
        <v/>
      </c>
      <c r="CY1773" s="64" t="str">
        <f aca="false">IF(CS1773="","",PERCENTRANK($CS$7:$CS$1843,CS1773)+PERCENTRANK($CU$7:$CU$1843,CU1773)+1-PERCENTRANK($CT$7:$CT$1843,CT1773))</f>
        <v/>
      </c>
      <c r="CZ1773" s="72" t="str">
        <f aca="false">IF(CS1773="","",CHOOSE(MATCH(Einkauf!$C$5,Parameter!$G$23:$G$27,0),CY1773,CS1773,CU1773,-CT1773,CW1773)+ROW()/1000000000)</f>
        <v/>
      </c>
    </row>
    <row r="1774" customFormat="false" ht="15" hidden="false" customHeight="false" outlineLevel="0" collapsed="false">
      <c r="A1774" s="60" t="str">
        <f aca="false">IF('Neue Artikel'!$A$35="","",'Neue Artikel'!$A$35&amp;"")</f>
        <v/>
      </c>
      <c r="B1774" s="60" t="str">
        <f aca="false">'Neue Artikel'!$B$35&amp;""</f>
        <v/>
      </c>
      <c r="C1774" s="60"/>
      <c r="D1774" s="60" t="s">
        <v>3057</v>
      </c>
      <c r="E1774" s="60"/>
      <c r="F1774" s="60"/>
      <c r="G1774" s="61" t="n">
        <f aca="false">N('Neue Artikel'!$G$35)</f>
        <v>0</v>
      </c>
      <c r="H1774" s="62" t="n">
        <f aca="false">MAX(0,IF(AND(Parameter!$B$21="Ja",ISNUMBER(Y1774)),Y1774,IF(Parameter!$B$20="Jahresanfang 2025 + Export",BS1774+BR1774,BR1774)))</f>
        <v>0</v>
      </c>
      <c r="I1774" s="62" t="n">
        <f aca="false">H1774*G1774</f>
        <v>0</v>
      </c>
      <c r="J1774" s="62" t="n">
        <f aca="false">BU1774*Parameter!$B$18</f>
        <v>0</v>
      </c>
      <c r="K1774" s="63"/>
      <c r="L1774" s="64"/>
      <c r="M1774" s="62" t="n">
        <f aca="false">N('Neue Artikel'!$E$35)</f>
        <v>0</v>
      </c>
      <c r="N1774" s="62" t="n">
        <f aca="false">N('Neue Artikel'!$F$35)</f>
        <v>0</v>
      </c>
      <c r="O1774" s="65"/>
      <c r="P1774" s="60" t="str">
        <f aca="false">IF('Neue Artikel'!$H$35="","LOSE",UPPER(TRIM('Neue Artikel'!$H$35)))</f>
        <v>LOSE</v>
      </c>
      <c r="Q1774" s="62" t="n">
        <f aca="false">N('Neue Artikel'!$I$35)</f>
        <v>0</v>
      </c>
      <c r="R1774" s="65" t="n">
        <f aca="false">IF(CA1774=1,0,IFERROR(VLOOKUP(BY1774,'Gebinde-Kategorie'!$A$5:$N$45,13,0)+0,0))</f>
        <v>0</v>
      </c>
      <c r="S1774" s="66"/>
      <c r="T1774" s="67"/>
      <c r="U1774" s="67"/>
      <c r="V1774" s="67"/>
      <c r="W1774" s="60"/>
      <c r="X1774" s="62"/>
      <c r="Y1774" s="62"/>
      <c r="Z1774" s="60"/>
      <c r="AA1774" s="60" t="str">
        <f aca="false">IF(A1774="","",IF(AND(Parameter!$B$21="Ja",ISNUMBER(W1774)),W1774,IF(AND(Parameter!$E$27="Ja",ISNUMBER(Z1774),CD1774&lt;&gt;"Nein"),Z1774,IF(CD1774="2+3",IF(ISNUMBER(SEARCH("grosser Artikel",BV1774)),2,IFERROR(VLOOKUP(BY1774,Parameter!$F$35:$G$64,2,0),2)),IF(OR(CD1774="Nein",CD1774=""),"-",CD1774)))))</f>
        <v/>
      </c>
      <c r="AB1774" s="60" t="str">
        <f aca="false">IF('Neue Artikel'!$J$35="","",'Neue Artikel'!$J$35)</f>
        <v/>
      </c>
      <c r="AC1774" s="68"/>
      <c r="AD1774" s="62" t="n">
        <f aca="false">AW1774</f>
        <v>0</v>
      </c>
      <c r="AE1774" s="62" t="n">
        <f aca="false">MAX(AW1774,H1774)</f>
        <v>0</v>
      </c>
      <c r="AF1774" s="69"/>
      <c r="AG1774" s="62" t="n">
        <f aca="false">IF(LEFT(Cockpit!$C$5,1)="A",H1774,IF(Parameter!$E$30="MAX-Bestand",IF(CI1774=1,CJ1774,IF(LEFT(Cockpit!$C$5,1)="B",AM1774,MAX(AM1774,H1774))),ROUNDUP(AK1774,0)))</f>
        <v>0</v>
      </c>
      <c r="AH1774" s="62" t="n">
        <f aca="false">IF(CA1774=1,0,ROUNDUP(AG1774/BZ1774,0))</f>
        <v>0</v>
      </c>
      <c r="AI1774" s="64" t="n">
        <f aca="false">IF(CR1774&gt;0,CR1774*MAX(1,AG1774/X1774),IF(CA1774=1,IF(AG1774&lt;=0,0,CE1774*MAX(1,IF(H1774&gt;0,AG1774/H1774,1))),IF(R1774&gt;0,AH1774/R1774,0))/MAX(0.1,N(Parameter!$M$21)))</f>
        <v>0</v>
      </c>
      <c r="AJ1774" s="62" t="n">
        <f aca="false">AI1774*CC1774</f>
        <v>0</v>
      </c>
      <c r="AK1774" s="63" t="n">
        <f aca="false">IF(LEFT(Cockpit!$C$5,1)="A",H1774,IF(CI1774=1,(CL1774+CJ1774)/2,IF(LEFT(Cockpit!$C$5,1)="B",(CL1774+AM1774)/2,MAX((CL1774+AM1774)/2,H1774))))</f>
        <v>0</v>
      </c>
      <c r="AL1774" s="62" t="n">
        <f aca="false">AK1774*G1774</f>
        <v>0</v>
      </c>
      <c r="AM1774" s="62" t="n">
        <f aca="false">ROUNDUP(CL1774+MAX(CM1774,2*(J1774/IF(CH1774&gt;0,CH1774,MAX(0.1,N(Cockpit!$C$6)))-CL1774)),0)</f>
        <v>0</v>
      </c>
      <c r="AN1774" s="63" t="n">
        <f aca="false">IF(AJ1774&gt;0,J1774/AJ1774,-1)</f>
        <v>-1</v>
      </c>
      <c r="AO1774" s="63" t="str">
        <f aca="false">IF(AND(OR(CG1774="L1",CG1774="L23",CG1774="LIFT"),AJ1774&gt;0),SUMIFS($AJ$7:$AJ$1843,$CG$7:$CG$1843,CG1774,$AN$7:$AN$1843,"&gt;"&amp;AN1774)+SUMIFS($AJ$7:$AJ$1843,$CG$7:$CG$1843,CG1774,$AN$7:$AN$1843,AN1774,$BX$7:$BX$1843,"&lt;="&amp;BX1774),"")</f>
        <v/>
      </c>
      <c r="AP1774" s="70" t="n">
        <f aca="false">IF(AO1774="",0,MAX(0,MIN(1,(IF(CG1774="L1",Parameter!$H$5,IF(CG1774="L23",Parameter!$H$6+Parameter!$H$7,Parameter!$H$5+Parameter!$H$6+Parameter!$H$7))-(AO1774-AJ1774))/AJ1774)))</f>
        <v>0</v>
      </c>
      <c r="AQ1774" s="62" t="n">
        <f aca="false">IF(LEFT(Cockpit!$I$5,1)="A",H1774,IF(Parameter!$E$30="MAX-Bestand",IF(CI1774=1,CJ1774,IF(LEFT(Cockpit!$I$5,1)="B",AW1774,MAX(AW1774,H1774))),ROUNDUP(AU1774,0)))</f>
        <v>0</v>
      </c>
      <c r="AR1774" s="62" t="n">
        <f aca="false">IF(CA1774=1,0,ROUNDUP(AQ1774/BZ1774,0))</f>
        <v>0</v>
      </c>
      <c r="AS1774" s="64" t="n">
        <f aca="false">IF(CR1774&gt;0,CR1774*MAX(1,AQ1774/X1774),IF(CA1774=1,IF(AQ1774&lt;=0,0,CE1774*MAX(1,IF(H1774&gt;0,AQ1774/H1774,1))),IF(R1774&gt;0,AR1774/R1774,0))/MAX(0.1,N(Parameter!$M$21)))</f>
        <v>0</v>
      </c>
      <c r="AT1774" s="62" t="n">
        <f aca="false">AS1774*CC1774</f>
        <v>0</v>
      </c>
      <c r="AU1774" s="63" t="n">
        <f aca="false">IF(LEFT(Cockpit!$I$5,1)="A",H1774,IF(CI1774=1,(CL1774+CJ1774)/2,IF(LEFT(Cockpit!$I$5,1)="B",(CL1774+AW1774)/2,MAX((CL1774+AW1774)/2,H1774))))</f>
        <v>0</v>
      </c>
      <c r="AV1774" s="62" t="n">
        <f aca="false">AU1774*G1774</f>
        <v>0</v>
      </c>
      <c r="AW1774" s="62" t="n">
        <f aca="false">ROUNDUP(CL1774+MAX(CM1774,2*(J1774/IF(CH1774&gt;0,CH1774,MAX(0.1,N(Cockpit!$I$6)))-CL1774)),0)</f>
        <v>0</v>
      </c>
      <c r="AX1774" s="63" t="n">
        <f aca="false">IF(AT1774&gt;0,J1774/AT1774,-1)</f>
        <v>-1</v>
      </c>
      <c r="AY1774" s="63" t="str">
        <f aca="false">IF(AND(OR(CG1774="L1",CG1774="L23",CG1774="LIFT"),AT1774&gt;0),SUMIFS($AT$7:$AT$1843,$CG$7:$CG$1843,CG1774,$AX$7:$AX$1843,"&gt;"&amp;AX1774)+SUMIFS($AT$7:$AT$1843,$CG$7:$CG$1843,CG1774,$AX$7:$AX$1843,AX1774,$BX$7:$BX$1843,"&lt;="&amp;BX1774),"")</f>
        <v/>
      </c>
      <c r="AZ1774" s="70" t="n">
        <f aca="false">IF(AY1774="",0,MAX(0,MIN(1,(IF(CG1774="L1",Parameter!$H$5,IF(CG1774="L23",Parameter!$H$6+Parameter!$H$7,Parameter!$H$5+Parameter!$H$6+Parameter!$H$7))-(AY1774-AT1774))/AT1774)))</f>
        <v>0</v>
      </c>
      <c r="BA1774" s="62" t="n">
        <f aca="false">IF(LEFT(Cockpit!$O$5,1)="A",H1774,IF(Parameter!$E$30="MAX-Bestand",IF(CI1774=1,CJ1774,IF(LEFT(Cockpit!$O$5,1)="B",BG1774,MAX(BG1774,H1774))),ROUNDUP(BE1774,0)))</f>
        <v>0</v>
      </c>
      <c r="BB1774" s="62" t="n">
        <f aca="false">IF(CA1774=1,0,ROUNDUP(BA1774/BZ1774,0))</f>
        <v>0</v>
      </c>
      <c r="BC1774" s="64" t="n">
        <f aca="false">IF(CR1774&gt;0,CR1774*MAX(1,BA1774/X1774),IF(CA1774=1,IF(BA1774&lt;=0,0,CE1774*MAX(1,IF(H1774&gt;0,BA1774/H1774,1))),IF(R1774&gt;0,BB1774/R1774,0))/MAX(0.1,N(Parameter!$M$21)))</f>
        <v>0</v>
      </c>
      <c r="BD1774" s="62" t="n">
        <f aca="false">BC1774*CC1774</f>
        <v>0</v>
      </c>
      <c r="BE1774" s="63" t="n">
        <f aca="false">IF(LEFT(Cockpit!$O$5,1)="A",H1774,IF(CI1774=1,(CL1774+CJ1774)/2,IF(LEFT(Cockpit!$O$5,1)="B",(CL1774+BG1774)/2,MAX((CL1774+BG1774)/2,H1774))))</f>
        <v>0</v>
      </c>
      <c r="BF1774" s="62" t="n">
        <f aca="false">BE1774*G1774</f>
        <v>0</v>
      </c>
      <c r="BG1774" s="62" t="n">
        <f aca="false">ROUNDUP(CL1774+MAX(CM1774,2*(J1774/IF(CH1774&gt;0,CH1774,MAX(0.1,N(Cockpit!$O$6)))-CL1774)),0)</f>
        <v>0</v>
      </c>
      <c r="BH1774" s="63" t="n">
        <f aca="false">IF(BD1774&gt;0,J1774/BD1774,-1)</f>
        <v>-1</v>
      </c>
      <c r="BI1774" s="63" t="str">
        <f aca="false">IF(AND(OR(CG1774="L1",CG1774="L23",CG1774="LIFT"),BD1774&gt;0),SUMIFS($BD$7:$BD$1843,$CG$7:$CG$1843,CG1774,$BH$7:$BH$1843,"&gt;"&amp;BH1774)+SUMIFS($BD$7:$BD$1843,$CG$7:$CG$1843,CG1774,$BH$7:$BH$1843,BH1774,$BX$7:$BX$1843,"&lt;="&amp;BX1774),"")</f>
        <v/>
      </c>
      <c r="BJ1774" s="70" t="n">
        <f aca="false">IF(BI1774="",0,MAX(0,MIN(1,(IF(CG1774="L1",Parameter!$H$5,IF(CG1774="L23",Parameter!$H$6+Parameter!$H$7,Parameter!$H$5+Parameter!$H$6+Parameter!$H$7))-(BI1774-BD1774))/BD1774)))</f>
        <v>0</v>
      </c>
      <c r="BK1774" s="60" t="str">
        <f aca="false">IF(AJ1774&lt;=0,"",IF(CG1774="Aussen","Aussenlager",IF(CG1774="-","Nicht im Lift",IF(AP1774&gt;=1,"Lift",IF(AP1774&lt;=0,"Aussenlager","teilweise")))))</f>
        <v/>
      </c>
      <c r="BL1774" s="60" t="str">
        <f aca="false">IF(AT1774&lt;=0,"",IF(CG1774="Aussen","Aussenlager",IF(CG1774="-","Nicht im Lift",IF(AZ1774&gt;=1,"Lift",IF(AZ1774&lt;=0,"Aussenlager","teilweise")))))</f>
        <v/>
      </c>
      <c r="BM1774" s="60" t="str">
        <f aca="false">IF(BD1774&lt;=0,"",IF(CG1774="Aussen","Aussenlager",IF(CG1774="-","Nicht im Lift",IF(BJ1774&gt;=1,"Lift",IF(BJ1774&lt;=0,"Aussenlager","teilweise")))))</f>
        <v/>
      </c>
      <c r="BN1774" s="60" t="str">
        <f aca="false">IF(A1774="","",IF(BW1774=1,"Neu; ","")&amp;IF(AND(BW1774=0,BR1774&lt;0),"negativer Bestand (Export "&amp;BR1774&amp;"); ","")&amp;IF(J1774&lt;=0,"Kein Verbrauch; ","")&amp;IF(CR1774&gt;0,"Lift "&amp;W1774&amp;" lt. Liftbericht (Fach "&amp;X1774&amp;" Stk); ",IF(CB1774=1,"Gebinde geschätzt ("&amp;T1774&amp;"); ",IF(CA1774=1,"Lose – Tablare geschätzt; ","")))&amp;IF(H1774&gt;AW1774,"Überbestand "&amp;ROUND(H1774-AW1774,0)&amp;" Stk / CHF "&amp;ROUND((H1774-AW1774)*G1774,0)&amp;"; ","")&amp;IF(AND(CI1774=1,CJ1774&lt;CK1774),"MAX &lt; MB+LG; ","")&amp;IF(AND(CQ1774&gt;0,CP1774*10&gt;CQ1774),"zu hoch für Tablar; ","")&amp;IF(AND(BW1774=0,OR(CI1774=1,AB1774&lt;&gt;"",U1774&lt;&gt;"",V1774&lt;&gt;"",AC1774&lt;&gt;"")),"manuell übersteuert; ","")&amp;IF(AND(CA1774=0,R1774=0),"Gebinde unbekannt / Stellmass fehlt; ","")&amp;IF(AND(CA1774=0,N(V1774)&lt;=0,N(Q1774)&lt;=0),"Menge pro Gebinde fehlt (Ist = 1 Gebinde); ","")&amp;BV1774)</f>
        <v/>
      </c>
      <c r="BO1774" s="60"/>
      <c r="BP1774" s="60"/>
      <c r="BQ1774" s="67"/>
      <c r="BR1774" s="62" t="n">
        <f aca="false">N('Neue Artikel'!$D$35)</f>
        <v>0</v>
      </c>
      <c r="BS1774" s="62" t="n">
        <v>0</v>
      </c>
      <c r="BT1774" s="61" t="n">
        <v>0</v>
      </c>
      <c r="BU1774" s="62" t="n">
        <f aca="false">N('Neue Artikel'!$C$35)/Parameter!$B$18</f>
        <v>0</v>
      </c>
      <c r="BV1774" s="60"/>
      <c r="BW1774" s="65" t="n">
        <v>1</v>
      </c>
      <c r="BX1774" s="65" t="n">
        <v>1774</v>
      </c>
      <c r="BY1774" s="60" t="str">
        <f aca="false">IF(U1774&lt;&gt;"",UPPER(TRIM(U1774)),IF(CB1774=1,UPPER(VLOOKUP(T1774,Parameter!$I$27:$K$29,2,0)),IF(P1774="","LOSE",P1774)))</f>
        <v>LOSE</v>
      </c>
      <c r="BZ1774" s="62" t="n">
        <f aca="false">IF(BY1774="LOSE",1,IF(N(V1774)&gt;0,V1774,IF(CB1774=1,MAX(1,N(VLOOKUP(T1774,Parameter!$I$27:$K$29,3,0)),H1774,N(N1774)),IF(N(Q1774)&gt;0,Q1774,MAX(1,H1774)))))</f>
        <v>1</v>
      </c>
      <c r="CA1774" s="65" t="n">
        <f aca="false">IF(BY1774="LOSE",1,0)</f>
        <v>1</v>
      </c>
      <c r="CB1774" s="65" t="n">
        <f aca="false">IF(AND(U1774="",OR(P1774="",P1774="LOSE"),T1774&lt;&gt;"",N(S1774)&lt;=0,ISNUMBER(MATCH(T1774,Parameter!$I$27:$I$29,0))),1,0)</f>
        <v>0</v>
      </c>
      <c r="CC1774" s="65" t="n">
        <f aca="false">IF(CR1774&gt;0,INDEX(Parameter!$H$5:$H$7,W1774)/INDEX(Parameter!$E$5:$E$7,W1774),IF(AND(CA1774=0,N(IFERROR(VLOOKUP(BY1774,'Gebinde-Kategorie'!$A$5:$N$45,14,0),0))&gt;0),VLOOKUP(BY1774,'Gebinde-Kategorie'!$A$5:$N$45,14,0)*10+Parameter!$M$23,Parameter!$M$24))</f>
        <v>235</v>
      </c>
      <c r="CD1774" s="60" t="str">
        <f aca="false">IF(AND(Parameter!$B$19="Ja",E1774&lt;&gt;"",ISNUMBER(MATCH(E1774,Parameter!$I$35:$I$52,0))),VLOOKUP(E1774,Parameter!$I$35:$J$52,2,0),IFERROR(VLOOKUP(D1774,Parameter!$A$35:$C$64,2,0),"Nein"))</f>
        <v>2+3</v>
      </c>
      <c r="CE1774" s="64" t="n">
        <f aca="false">IF(CA1774=0,0,IF(N(S1774)&gt;0,S1774,IFERROR(VLOOKUP(D1774,Parameter!$A$35:$C$64,3,0)+0,0)))</f>
        <v>0.15</v>
      </c>
      <c r="CF1774" s="60" t="str">
        <f aca="false">IF(AB1774&lt;&gt;"",AB1774,AA1774)</f>
        <v/>
      </c>
      <c r="CG1774" s="60" t="str">
        <f aca="false">IF(OR(CF1774=1,CF1774=2,CF1774=3),IF(Parameter!$E$27="Ja","LIFT",IF(CF1774=1,"L1","L23")),IF(CF1774="Aussen","Aussen","-"))</f>
        <v>-</v>
      </c>
      <c r="CH1774" s="71" t="n">
        <f aca="false">IF(N(AC1774)&gt;0,AC1774,0)</f>
        <v>0</v>
      </c>
      <c r="CI1774" s="65" t="n">
        <f aca="false">IF(ISNUMBER(AF1774),1,0)</f>
        <v>0</v>
      </c>
      <c r="CJ1774" s="62" t="n">
        <f aca="false">N(AF1774)</f>
        <v>0</v>
      </c>
      <c r="CK1774" s="62" t="n">
        <f aca="false">N(M1774)+N(N1774)</f>
        <v>0</v>
      </c>
      <c r="CL1774" s="62" t="n">
        <f aca="false">N(M1774)</f>
        <v>0</v>
      </c>
      <c r="CM1774" s="62" t="n">
        <f aca="false">N(N1774)</f>
        <v>0</v>
      </c>
      <c r="CN1774" s="62" t="n">
        <f aca="false">ROUNDUP(H1774/BZ1774,0)</f>
        <v>0</v>
      </c>
      <c r="CO1774" s="62" t="n">
        <f aca="false">ROUNDUP(CJ1774/BZ1774,0)</f>
        <v>0</v>
      </c>
      <c r="CP1774" s="65" t="n">
        <f aca="false">IF(CA1774=1,0,IFERROR(VLOOKUP(BY1774,'Gebinde-Kategorie'!$A$5:$N$45,5,0)+0,0))</f>
        <v>0</v>
      </c>
      <c r="CQ1774" s="65" t="n">
        <f aca="false">IFERROR(IF(OR(CF1774=1,CF1774=2,CF1774=3),N(INDEX(Parameter!$I$5:$I$7,CF1774)),0),0)</f>
        <v>0</v>
      </c>
      <c r="CR1774" s="64" t="n">
        <f aca="false">IF(AND(Parameter!$B$21="Ja",ISNUMBER(W1774),N(X1774)&gt;0),IFERROR(N(INDEX(Parameter!$L$5:$L$7,W1774))*INDEX(Parameter!$E$5:$E$7,W1774)*X1774/SUMIFS($X$7:$X$1843,$W$7:$W$1843,W1774),0),0)</f>
        <v>0</v>
      </c>
      <c r="CS1774" s="62" t="str">
        <f aca="false">IF(AND(OR(CG1774="L1",CG1774="L23",CG1774="LIFT"),H1774&gt;0),CC1774*IF(CR1774&gt;0,CR1774*MAX(1,H1774/X1774),IF(CA1774=1,CE1774,IF(R1774&gt;0,CN1774/R1774,0))/MAX(0.1,N(Parameter!$M$21))),"")</f>
        <v/>
      </c>
      <c r="CT1774" s="64" t="str">
        <f aca="false">IF(CS1774="","",J1774/H1774)</f>
        <v/>
      </c>
      <c r="CU1774" s="62" t="str">
        <f aca="false">IF(CS1774="","",H1774*G1774)</f>
        <v/>
      </c>
      <c r="CV1774" s="63" t="str">
        <f aca="false">IF(CS1774="","",(CL1774+ROUNDUP(CL1774+MAX(CM1774,2*(J1774/MAX(0.1,N(Einkauf!$C$6))-CL1774)),0))/2)</f>
        <v/>
      </c>
      <c r="CW1774" s="62" t="str">
        <f aca="false">IF(CS1774="","",MAX(0,H1774-CV1774)*G1774)</f>
        <v/>
      </c>
      <c r="CX1774" s="62" t="str">
        <f aca="false">IF(CS1774="","",CS1774*MAX(0,1-CV1774/H1774))</f>
        <v/>
      </c>
      <c r="CY1774" s="64" t="str">
        <f aca="false">IF(CS1774="","",PERCENTRANK($CS$7:$CS$1843,CS1774)+PERCENTRANK($CU$7:$CU$1843,CU1774)+1-PERCENTRANK($CT$7:$CT$1843,CT1774))</f>
        <v/>
      </c>
      <c r="CZ1774" s="72" t="str">
        <f aca="false">IF(CS1774="","",CHOOSE(MATCH(Einkauf!$C$5,Parameter!$G$23:$G$27,0),CY1774,CS1774,CU1774,-CT1774,CW1774)+ROW()/1000000000)</f>
        <v/>
      </c>
    </row>
    <row r="1775" customFormat="false" ht="15" hidden="false" customHeight="false" outlineLevel="0" collapsed="false">
      <c r="A1775" s="60" t="str">
        <f aca="false">IF('Neue Artikel'!$A$36="","",'Neue Artikel'!$A$36&amp;"")</f>
        <v/>
      </c>
      <c r="B1775" s="60" t="str">
        <f aca="false">'Neue Artikel'!$B$36&amp;""</f>
        <v/>
      </c>
      <c r="C1775" s="60"/>
      <c r="D1775" s="60" t="s">
        <v>3057</v>
      </c>
      <c r="E1775" s="60"/>
      <c r="F1775" s="60"/>
      <c r="G1775" s="61" t="n">
        <f aca="false">N('Neue Artikel'!$G$36)</f>
        <v>0</v>
      </c>
      <c r="H1775" s="62" t="n">
        <f aca="false">MAX(0,IF(AND(Parameter!$B$21="Ja",ISNUMBER(Y1775)),Y1775,IF(Parameter!$B$20="Jahresanfang 2025 + Export",BS1775+BR1775,BR1775)))</f>
        <v>0</v>
      </c>
      <c r="I1775" s="62" t="n">
        <f aca="false">H1775*G1775</f>
        <v>0</v>
      </c>
      <c r="J1775" s="62" t="n">
        <f aca="false">BU1775*Parameter!$B$18</f>
        <v>0</v>
      </c>
      <c r="K1775" s="63"/>
      <c r="L1775" s="64"/>
      <c r="M1775" s="62" t="n">
        <f aca="false">N('Neue Artikel'!$E$36)</f>
        <v>0</v>
      </c>
      <c r="N1775" s="62" t="n">
        <f aca="false">N('Neue Artikel'!$F$36)</f>
        <v>0</v>
      </c>
      <c r="O1775" s="65"/>
      <c r="P1775" s="60" t="str">
        <f aca="false">IF('Neue Artikel'!$H$36="","LOSE",UPPER(TRIM('Neue Artikel'!$H$36)))</f>
        <v>LOSE</v>
      </c>
      <c r="Q1775" s="62" t="n">
        <f aca="false">N('Neue Artikel'!$I$36)</f>
        <v>0</v>
      </c>
      <c r="R1775" s="65" t="n">
        <f aca="false">IF(CA1775=1,0,IFERROR(VLOOKUP(BY1775,'Gebinde-Kategorie'!$A$5:$N$45,13,0)+0,0))</f>
        <v>0</v>
      </c>
      <c r="S1775" s="66"/>
      <c r="T1775" s="67"/>
      <c r="U1775" s="67"/>
      <c r="V1775" s="67"/>
      <c r="W1775" s="60"/>
      <c r="X1775" s="62"/>
      <c r="Y1775" s="62"/>
      <c r="Z1775" s="60"/>
      <c r="AA1775" s="60" t="str">
        <f aca="false">IF(A1775="","",IF(AND(Parameter!$B$21="Ja",ISNUMBER(W1775)),W1775,IF(AND(Parameter!$E$27="Ja",ISNUMBER(Z1775),CD1775&lt;&gt;"Nein"),Z1775,IF(CD1775="2+3",IF(ISNUMBER(SEARCH("grosser Artikel",BV1775)),2,IFERROR(VLOOKUP(BY1775,Parameter!$F$35:$G$64,2,0),2)),IF(OR(CD1775="Nein",CD1775=""),"-",CD1775)))))</f>
        <v/>
      </c>
      <c r="AB1775" s="60" t="str">
        <f aca="false">IF('Neue Artikel'!$J$36="","",'Neue Artikel'!$J$36)</f>
        <v/>
      </c>
      <c r="AC1775" s="68"/>
      <c r="AD1775" s="62" t="n">
        <f aca="false">AW1775</f>
        <v>0</v>
      </c>
      <c r="AE1775" s="62" t="n">
        <f aca="false">MAX(AW1775,H1775)</f>
        <v>0</v>
      </c>
      <c r="AF1775" s="69"/>
      <c r="AG1775" s="62" t="n">
        <f aca="false">IF(LEFT(Cockpit!$C$5,1)="A",H1775,IF(Parameter!$E$30="MAX-Bestand",IF(CI1775=1,CJ1775,IF(LEFT(Cockpit!$C$5,1)="B",AM1775,MAX(AM1775,H1775))),ROUNDUP(AK1775,0)))</f>
        <v>0</v>
      </c>
      <c r="AH1775" s="62" t="n">
        <f aca="false">IF(CA1775=1,0,ROUNDUP(AG1775/BZ1775,0))</f>
        <v>0</v>
      </c>
      <c r="AI1775" s="64" t="n">
        <f aca="false">IF(CR1775&gt;0,CR1775*MAX(1,AG1775/X1775),IF(CA1775=1,IF(AG1775&lt;=0,0,CE1775*MAX(1,IF(H1775&gt;0,AG1775/H1775,1))),IF(R1775&gt;0,AH1775/R1775,0))/MAX(0.1,N(Parameter!$M$21)))</f>
        <v>0</v>
      </c>
      <c r="AJ1775" s="62" t="n">
        <f aca="false">AI1775*CC1775</f>
        <v>0</v>
      </c>
      <c r="AK1775" s="63" t="n">
        <f aca="false">IF(LEFT(Cockpit!$C$5,1)="A",H1775,IF(CI1775=1,(CL1775+CJ1775)/2,IF(LEFT(Cockpit!$C$5,1)="B",(CL1775+AM1775)/2,MAX((CL1775+AM1775)/2,H1775))))</f>
        <v>0</v>
      </c>
      <c r="AL1775" s="62" t="n">
        <f aca="false">AK1775*G1775</f>
        <v>0</v>
      </c>
      <c r="AM1775" s="62" t="n">
        <f aca="false">ROUNDUP(CL1775+MAX(CM1775,2*(J1775/IF(CH1775&gt;0,CH1775,MAX(0.1,N(Cockpit!$C$6)))-CL1775)),0)</f>
        <v>0</v>
      </c>
      <c r="AN1775" s="63" t="n">
        <f aca="false">IF(AJ1775&gt;0,J1775/AJ1775,-1)</f>
        <v>-1</v>
      </c>
      <c r="AO1775" s="63" t="str">
        <f aca="false">IF(AND(OR(CG1775="L1",CG1775="L23",CG1775="LIFT"),AJ1775&gt;0),SUMIFS($AJ$7:$AJ$1843,$CG$7:$CG$1843,CG1775,$AN$7:$AN$1843,"&gt;"&amp;AN1775)+SUMIFS($AJ$7:$AJ$1843,$CG$7:$CG$1843,CG1775,$AN$7:$AN$1843,AN1775,$BX$7:$BX$1843,"&lt;="&amp;BX1775),"")</f>
        <v/>
      </c>
      <c r="AP1775" s="70" t="n">
        <f aca="false">IF(AO1775="",0,MAX(0,MIN(1,(IF(CG1775="L1",Parameter!$H$5,IF(CG1775="L23",Parameter!$H$6+Parameter!$H$7,Parameter!$H$5+Parameter!$H$6+Parameter!$H$7))-(AO1775-AJ1775))/AJ1775)))</f>
        <v>0</v>
      </c>
      <c r="AQ1775" s="62" t="n">
        <f aca="false">IF(LEFT(Cockpit!$I$5,1)="A",H1775,IF(Parameter!$E$30="MAX-Bestand",IF(CI1775=1,CJ1775,IF(LEFT(Cockpit!$I$5,1)="B",AW1775,MAX(AW1775,H1775))),ROUNDUP(AU1775,0)))</f>
        <v>0</v>
      </c>
      <c r="AR1775" s="62" t="n">
        <f aca="false">IF(CA1775=1,0,ROUNDUP(AQ1775/BZ1775,0))</f>
        <v>0</v>
      </c>
      <c r="AS1775" s="64" t="n">
        <f aca="false">IF(CR1775&gt;0,CR1775*MAX(1,AQ1775/X1775),IF(CA1775=1,IF(AQ1775&lt;=0,0,CE1775*MAX(1,IF(H1775&gt;0,AQ1775/H1775,1))),IF(R1775&gt;0,AR1775/R1775,0))/MAX(0.1,N(Parameter!$M$21)))</f>
        <v>0</v>
      </c>
      <c r="AT1775" s="62" t="n">
        <f aca="false">AS1775*CC1775</f>
        <v>0</v>
      </c>
      <c r="AU1775" s="63" t="n">
        <f aca="false">IF(LEFT(Cockpit!$I$5,1)="A",H1775,IF(CI1775=1,(CL1775+CJ1775)/2,IF(LEFT(Cockpit!$I$5,1)="B",(CL1775+AW1775)/2,MAX((CL1775+AW1775)/2,H1775))))</f>
        <v>0</v>
      </c>
      <c r="AV1775" s="62" t="n">
        <f aca="false">AU1775*G1775</f>
        <v>0</v>
      </c>
      <c r="AW1775" s="62" t="n">
        <f aca="false">ROUNDUP(CL1775+MAX(CM1775,2*(J1775/IF(CH1775&gt;0,CH1775,MAX(0.1,N(Cockpit!$I$6)))-CL1775)),0)</f>
        <v>0</v>
      </c>
      <c r="AX1775" s="63" t="n">
        <f aca="false">IF(AT1775&gt;0,J1775/AT1775,-1)</f>
        <v>-1</v>
      </c>
      <c r="AY1775" s="63" t="str">
        <f aca="false">IF(AND(OR(CG1775="L1",CG1775="L23",CG1775="LIFT"),AT1775&gt;0),SUMIFS($AT$7:$AT$1843,$CG$7:$CG$1843,CG1775,$AX$7:$AX$1843,"&gt;"&amp;AX1775)+SUMIFS($AT$7:$AT$1843,$CG$7:$CG$1843,CG1775,$AX$7:$AX$1843,AX1775,$BX$7:$BX$1843,"&lt;="&amp;BX1775),"")</f>
        <v/>
      </c>
      <c r="AZ1775" s="70" t="n">
        <f aca="false">IF(AY1775="",0,MAX(0,MIN(1,(IF(CG1775="L1",Parameter!$H$5,IF(CG1775="L23",Parameter!$H$6+Parameter!$H$7,Parameter!$H$5+Parameter!$H$6+Parameter!$H$7))-(AY1775-AT1775))/AT1775)))</f>
        <v>0</v>
      </c>
      <c r="BA1775" s="62" t="n">
        <f aca="false">IF(LEFT(Cockpit!$O$5,1)="A",H1775,IF(Parameter!$E$30="MAX-Bestand",IF(CI1775=1,CJ1775,IF(LEFT(Cockpit!$O$5,1)="B",BG1775,MAX(BG1775,H1775))),ROUNDUP(BE1775,0)))</f>
        <v>0</v>
      </c>
      <c r="BB1775" s="62" t="n">
        <f aca="false">IF(CA1775=1,0,ROUNDUP(BA1775/BZ1775,0))</f>
        <v>0</v>
      </c>
      <c r="BC1775" s="64" t="n">
        <f aca="false">IF(CR1775&gt;0,CR1775*MAX(1,BA1775/X1775),IF(CA1775=1,IF(BA1775&lt;=0,0,CE1775*MAX(1,IF(H1775&gt;0,BA1775/H1775,1))),IF(R1775&gt;0,BB1775/R1775,0))/MAX(0.1,N(Parameter!$M$21)))</f>
        <v>0</v>
      </c>
      <c r="BD1775" s="62" t="n">
        <f aca="false">BC1775*CC1775</f>
        <v>0</v>
      </c>
      <c r="BE1775" s="63" t="n">
        <f aca="false">IF(LEFT(Cockpit!$O$5,1)="A",H1775,IF(CI1775=1,(CL1775+CJ1775)/2,IF(LEFT(Cockpit!$O$5,1)="B",(CL1775+BG1775)/2,MAX((CL1775+BG1775)/2,H1775))))</f>
        <v>0</v>
      </c>
      <c r="BF1775" s="62" t="n">
        <f aca="false">BE1775*G1775</f>
        <v>0</v>
      </c>
      <c r="BG1775" s="62" t="n">
        <f aca="false">ROUNDUP(CL1775+MAX(CM1775,2*(J1775/IF(CH1775&gt;0,CH1775,MAX(0.1,N(Cockpit!$O$6)))-CL1775)),0)</f>
        <v>0</v>
      </c>
      <c r="BH1775" s="63" t="n">
        <f aca="false">IF(BD1775&gt;0,J1775/BD1775,-1)</f>
        <v>-1</v>
      </c>
      <c r="BI1775" s="63" t="str">
        <f aca="false">IF(AND(OR(CG1775="L1",CG1775="L23",CG1775="LIFT"),BD1775&gt;0),SUMIFS($BD$7:$BD$1843,$CG$7:$CG$1843,CG1775,$BH$7:$BH$1843,"&gt;"&amp;BH1775)+SUMIFS($BD$7:$BD$1843,$CG$7:$CG$1843,CG1775,$BH$7:$BH$1843,BH1775,$BX$7:$BX$1843,"&lt;="&amp;BX1775),"")</f>
        <v/>
      </c>
      <c r="BJ1775" s="70" t="n">
        <f aca="false">IF(BI1775="",0,MAX(0,MIN(1,(IF(CG1775="L1",Parameter!$H$5,IF(CG1775="L23",Parameter!$H$6+Parameter!$H$7,Parameter!$H$5+Parameter!$H$6+Parameter!$H$7))-(BI1775-BD1775))/BD1775)))</f>
        <v>0</v>
      </c>
      <c r="BK1775" s="60" t="str">
        <f aca="false">IF(AJ1775&lt;=0,"",IF(CG1775="Aussen","Aussenlager",IF(CG1775="-","Nicht im Lift",IF(AP1775&gt;=1,"Lift",IF(AP1775&lt;=0,"Aussenlager","teilweise")))))</f>
        <v/>
      </c>
      <c r="BL1775" s="60" t="str">
        <f aca="false">IF(AT1775&lt;=0,"",IF(CG1775="Aussen","Aussenlager",IF(CG1775="-","Nicht im Lift",IF(AZ1775&gt;=1,"Lift",IF(AZ1775&lt;=0,"Aussenlager","teilweise")))))</f>
        <v/>
      </c>
      <c r="BM1775" s="60" t="str">
        <f aca="false">IF(BD1775&lt;=0,"",IF(CG1775="Aussen","Aussenlager",IF(CG1775="-","Nicht im Lift",IF(BJ1775&gt;=1,"Lift",IF(BJ1775&lt;=0,"Aussenlager","teilweise")))))</f>
        <v/>
      </c>
      <c r="BN1775" s="60" t="str">
        <f aca="false">IF(A1775="","",IF(BW1775=1,"Neu; ","")&amp;IF(AND(BW1775=0,BR1775&lt;0),"negativer Bestand (Export "&amp;BR1775&amp;"); ","")&amp;IF(J1775&lt;=0,"Kein Verbrauch; ","")&amp;IF(CR1775&gt;0,"Lift "&amp;W1775&amp;" lt. Liftbericht (Fach "&amp;X1775&amp;" Stk); ",IF(CB1775=1,"Gebinde geschätzt ("&amp;T1775&amp;"); ",IF(CA1775=1,"Lose – Tablare geschätzt; ","")))&amp;IF(H1775&gt;AW1775,"Überbestand "&amp;ROUND(H1775-AW1775,0)&amp;" Stk / CHF "&amp;ROUND((H1775-AW1775)*G1775,0)&amp;"; ","")&amp;IF(AND(CI1775=1,CJ1775&lt;CK1775),"MAX &lt; MB+LG; ","")&amp;IF(AND(CQ1775&gt;0,CP1775*10&gt;CQ1775),"zu hoch für Tablar; ","")&amp;IF(AND(BW1775=0,OR(CI1775=1,AB1775&lt;&gt;"",U1775&lt;&gt;"",V1775&lt;&gt;"",AC1775&lt;&gt;"")),"manuell übersteuert; ","")&amp;IF(AND(CA1775=0,R1775=0),"Gebinde unbekannt / Stellmass fehlt; ","")&amp;IF(AND(CA1775=0,N(V1775)&lt;=0,N(Q1775)&lt;=0),"Menge pro Gebinde fehlt (Ist = 1 Gebinde); ","")&amp;BV1775)</f>
        <v/>
      </c>
      <c r="BO1775" s="60"/>
      <c r="BP1775" s="60"/>
      <c r="BQ1775" s="67"/>
      <c r="BR1775" s="62" t="n">
        <f aca="false">N('Neue Artikel'!$D$36)</f>
        <v>0</v>
      </c>
      <c r="BS1775" s="62" t="n">
        <v>0</v>
      </c>
      <c r="BT1775" s="61" t="n">
        <v>0</v>
      </c>
      <c r="BU1775" s="62" t="n">
        <f aca="false">N('Neue Artikel'!$C$36)/Parameter!$B$18</f>
        <v>0</v>
      </c>
      <c r="BV1775" s="60"/>
      <c r="BW1775" s="65" t="n">
        <v>1</v>
      </c>
      <c r="BX1775" s="65" t="n">
        <v>1775</v>
      </c>
      <c r="BY1775" s="60" t="str">
        <f aca="false">IF(U1775&lt;&gt;"",UPPER(TRIM(U1775)),IF(CB1775=1,UPPER(VLOOKUP(T1775,Parameter!$I$27:$K$29,2,0)),IF(P1775="","LOSE",P1775)))</f>
        <v>LOSE</v>
      </c>
      <c r="BZ1775" s="62" t="n">
        <f aca="false">IF(BY1775="LOSE",1,IF(N(V1775)&gt;0,V1775,IF(CB1775=1,MAX(1,N(VLOOKUP(T1775,Parameter!$I$27:$K$29,3,0)),H1775,N(N1775)),IF(N(Q1775)&gt;0,Q1775,MAX(1,H1775)))))</f>
        <v>1</v>
      </c>
      <c r="CA1775" s="65" t="n">
        <f aca="false">IF(BY1775="LOSE",1,0)</f>
        <v>1</v>
      </c>
      <c r="CB1775" s="65" t="n">
        <f aca="false">IF(AND(U1775="",OR(P1775="",P1775="LOSE"),T1775&lt;&gt;"",N(S1775)&lt;=0,ISNUMBER(MATCH(T1775,Parameter!$I$27:$I$29,0))),1,0)</f>
        <v>0</v>
      </c>
      <c r="CC1775" s="65" t="n">
        <f aca="false">IF(CR1775&gt;0,INDEX(Parameter!$H$5:$H$7,W1775)/INDEX(Parameter!$E$5:$E$7,W1775),IF(AND(CA1775=0,N(IFERROR(VLOOKUP(BY1775,'Gebinde-Kategorie'!$A$5:$N$45,14,0),0))&gt;0),VLOOKUP(BY1775,'Gebinde-Kategorie'!$A$5:$N$45,14,0)*10+Parameter!$M$23,Parameter!$M$24))</f>
        <v>235</v>
      </c>
      <c r="CD1775" s="60" t="str">
        <f aca="false">IF(AND(Parameter!$B$19="Ja",E1775&lt;&gt;"",ISNUMBER(MATCH(E1775,Parameter!$I$35:$I$52,0))),VLOOKUP(E1775,Parameter!$I$35:$J$52,2,0),IFERROR(VLOOKUP(D1775,Parameter!$A$35:$C$64,2,0),"Nein"))</f>
        <v>2+3</v>
      </c>
      <c r="CE1775" s="64" t="n">
        <f aca="false">IF(CA1775=0,0,IF(N(S1775)&gt;0,S1775,IFERROR(VLOOKUP(D1775,Parameter!$A$35:$C$64,3,0)+0,0)))</f>
        <v>0.15</v>
      </c>
      <c r="CF1775" s="60" t="str">
        <f aca="false">IF(AB1775&lt;&gt;"",AB1775,AA1775)</f>
        <v/>
      </c>
      <c r="CG1775" s="60" t="str">
        <f aca="false">IF(OR(CF1775=1,CF1775=2,CF1775=3),IF(Parameter!$E$27="Ja","LIFT",IF(CF1775=1,"L1","L23")),IF(CF1775="Aussen","Aussen","-"))</f>
        <v>-</v>
      </c>
      <c r="CH1775" s="71" t="n">
        <f aca="false">IF(N(AC1775)&gt;0,AC1775,0)</f>
        <v>0</v>
      </c>
      <c r="CI1775" s="65" t="n">
        <f aca="false">IF(ISNUMBER(AF1775),1,0)</f>
        <v>0</v>
      </c>
      <c r="CJ1775" s="62" t="n">
        <f aca="false">N(AF1775)</f>
        <v>0</v>
      </c>
      <c r="CK1775" s="62" t="n">
        <f aca="false">N(M1775)+N(N1775)</f>
        <v>0</v>
      </c>
      <c r="CL1775" s="62" t="n">
        <f aca="false">N(M1775)</f>
        <v>0</v>
      </c>
      <c r="CM1775" s="62" t="n">
        <f aca="false">N(N1775)</f>
        <v>0</v>
      </c>
      <c r="CN1775" s="62" t="n">
        <f aca="false">ROUNDUP(H1775/BZ1775,0)</f>
        <v>0</v>
      </c>
      <c r="CO1775" s="62" t="n">
        <f aca="false">ROUNDUP(CJ1775/BZ1775,0)</f>
        <v>0</v>
      </c>
      <c r="CP1775" s="65" t="n">
        <f aca="false">IF(CA1775=1,0,IFERROR(VLOOKUP(BY1775,'Gebinde-Kategorie'!$A$5:$N$45,5,0)+0,0))</f>
        <v>0</v>
      </c>
      <c r="CQ1775" s="65" t="n">
        <f aca="false">IFERROR(IF(OR(CF1775=1,CF1775=2,CF1775=3),N(INDEX(Parameter!$I$5:$I$7,CF1775)),0),0)</f>
        <v>0</v>
      </c>
      <c r="CR1775" s="64" t="n">
        <f aca="false">IF(AND(Parameter!$B$21="Ja",ISNUMBER(W1775),N(X1775)&gt;0),IFERROR(N(INDEX(Parameter!$L$5:$L$7,W1775))*INDEX(Parameter!$E$5:$E$7,W1775)*X1775/SUMIFS($X$7:$X$1843,$W$7:$W$1843,W1775),0),0)</f>
        <v>0</v>
      </c>
      <c r="CS1775" s="62" t="str">
        <f aca="false">IF(AND(OR(CG1775="L1",CG1775="L23",CG1775="LIFT"),H1775&gt;0),CC1775*IF(CR1775&gt;0,CR1775*MAX(1,H1775/X1775),IF(CA1775=1,CE1775,IF(R1775&gt;0,CN1775/R1775,0))/MAX(0.1,N(Parameter!$M$21))),"")</f>
        <v/>
      </c>
      <c r="CT1775" s="64" t="str">
        <f aca="false">IF(CS1775="","",J1775/H1775)</f>
        <v/>
      </c>
      <c r="CU1775" s="62" t="str">
        <f aca="false">IF(CS1775="","",H1775*G1775)</f>
        <v/>
      </c>
      <c r="CV1775" s="63" t="str">
        <f aca="false">IF(CS1775="","",(CL1775+ROUNDUP(CL1775+MAX(CM1775,2*(J1775/MAX(0.1,N(Einkauf!$C$6))-CL1775)),0))/2)</f>
        <v/>
      </c>
      <c r="CW1775" s="62" t="str">
        <f aca="false">IF(CS1775="","",MAX(0,H1775-CV1775)*G1775)</f>
        <v/>
      </c>
      <c r="CX1775" s="62" t="str">
        <f aca="false">IF(CS1775="","",CS1775*MAX(0,1-CV1775/H1775))</f>
        <v/>
      </c>
      <c r="CY1775" s="64" t="str">
        <f aca="false">IF(CS1775="","",PERCENTRANK($CS$7:$CS$1843,CS1775)+PERCENTRANK($CU$7:$CU$1843,CU1775)+1-PERCENTRANK($CT$7:$CT$1843,CT1775))</f>
        <v/>
      </c>
      <c r="CZ1775" s="72" t="str">
        <f aca="false">IF(CS1775="","",CHOOSE(MATCH(Einkauf!$C$5,Parameter!$G$23:$G$27,0),CY1775,CS1775,CU1775,-CT1775,CW1775)+ROW()/1000000000)</f>
        <v/>
      </c>
    </row>
    <row r="1776" customFormat="false" ht="15" hidden="false" customHeight="false" outlineLevel="0" collapsed="false">
      <c r="A1776" s="60" t="str">
        <f aca="false">IF('Neue Artikel'!$A$37="","",'Neue Artikel'!$A$37&amp;"")</f>
        <v/>
      </c>
      <c r="B1776" s="60" t="str">
        <f aca="false">'Neue Artikel'!$B$37&amp;""</f>
        <v/>
      </c>
      <c r="C1776" s="60"/>
      <c r="D1776" s="60" t="s">
        <v>3057</v>
      </c>
      <c r="E1776" s="60"/>
      <c r="F1776" s="60"/>
      <c r="G1776" s="61" t="n">
        <f aca="false">N('Neue Artikel'!$G$37)</f>
        <v>0</v>
      </c>
      <c r="H1776" s="62" t="n">
        <f aca="false">MAX(0,IF(AND(Parameter!$B$21="Ja",ISNUMBER(Y1776)),Y1776,IF(Parameter!$B$20="Jahresanfang 2025 + Export",BS1776+BR1776,BR1776)))</f>
        <v>0</v>
      </c>
      <c r="I1776" s="62" t="n">
        <f aca="false">H1776*G1776</f>
        <v>0</v>
      </c>
      <c r="J1776" s="62" t="n">
        <f aca="false">BU1776*Parameter!$B$18</f>
        <v>0</v>
      </c>
      <c r="K1776" s="63"/>
      <c r="L1776" s="64"/>
      <c r="M1776" s="62" t="n">
        <f aca="false">N('Neue Artikel'!$E$37)</f>
        <v>0</v>
      </c>
      <c r="N1776" s="62" t="n">
        <f aca="false">N('Neue Artikel'!$F$37)</f>
        <v>0</v>
      </c>
      <c r="O1776" s="65"/>
      <c r="P1776" s="60" t="str">
        <f aca="false">IF('Neue Artikel'!$H$37="","LOSE",UPPER(TRIM('Neue Artikel'!$H$37)))</f>
        <v>LOSE</v>
      </c>
      <c r="Q1776" s="62" t="n">
        <f aca="false">N('Neue Artikel'!$I$37)</f>
        <v>0</v>
      </c>
      <c r="R1776" s="65" t="n">
        <f aca="false">IF(CA1776=1,0,IFERROR(VLOOKUP(BY1776,'Gebinde-Kategorie'!$A$5:$N$45,13,0)+0,0))</f>
        <v>0</v>
      </c>
      <c r="S1776" s="66"/>
      <c r="T1776" s="67"/>
      <c r="U1776" s="67"/>
      <c r="V1776" s="67"/>
      <c r="W1776" s="60"/>
      <c r="X1776" s="62"/>
      <c r="Y1776" s="62"/>
      <c r="Z1776" s="60"/>
      <c r="AA1776" s="60" t="str">
        <f aca="false">IF(A1776="","",IF(AND(Parameter!$B$21="Ja",ISNUMBER(W1776)),W1776,IF(AND(Parameter!$E$27="Ja",ISNUMBER(Z1776),CD1776&lt;&gt;"Nein"),Z1776,IF(CD1776="2+3",IF(ISNUMBER(SEARCH("grosser Artikel",BV1776)),2,IFERROR(VLOOKUP(BY1776,Parameter!$F$35:$G$64,2,0),2)),IF(OR(CD1776="Nein",CD1776=""),"-",CD1776)))))</f>
        <v/>
      </c>
      <c r="AB1776" s="60" t="str">
        <f aca="false">IF('Neue Artikel'!$J$37="","",'Neue Artikel'!$J$37)</f>
        <v/>
      </c>
      <c r="AC1776" s="68"/>
      <c r="AD1776" s="62" t="n">
        <f aca="false">AW1776</f>
        <v>0</v>
      </c>
      <c r="AE1776" s="62" t="n">
        <f aca="false">MAX(AW1776,H1776)</f>
        <v>0</v>
      </c>
      <c r="AF1776" s="69"/>
      <c r="AG1776" s="62" t="n">
        <f aca="false">IF(LEFT(Cockpit!$C$5,1)="A",H1776,IF(Parameter!$E$30="MAX-Bestand",IF(CI1776=1,CJ1776,IF(LEFT(Cockpit!$C$5,1)="B",AM1776,MAX(AM1776,H1776))),ROUNDUP(AK1776,0)))</f>
        <v>0</v>
      </c>
      <c r="AH1776" s="62" t="n">
        <f aca="false">IF(CA1776=1,0,ROUNDUP(AG1776/BZ1776,0))</f>
        <v>0</v>
      </c>
      <c r="AI1776" s="64" t="n">
        <f aca="false">IF(CR1776&gt;0,CR1776*MAX(1,AG1776/X1776),IF(CA1776=1,IF(AG1776&lt;=0,0,CE1776*MAX(1,IF(H1776&gt;0,AG1776/H1776,1))),IF(R1776&gt;0,AH1776/R1776,0))/MAX(0.1,N(Parameter!$M$21)))</f>
        <v>0</v>
      </c>
      <c r="AJ1776" s="62" t="n">
        <f aca="false">AI1776*CC1776</f>
        <v>0</v>
      </c>
      <c r="AK1776" s="63" t="n">
        <f aca="false">IF(LEFT(Cockpit!$C$5,1)="A",H1776,IF(CI1776=1,(CL1776+CJ1776)/2,IF(LEFT(Cockpit!$C$5,1)="B",(CL1776+AM1776)/2,MAX((CL1776+AM1776)/2,H1776))))</f>
        <v>0</v>
      </c>
      <c r="AL1776" s="62" t="n">
        <f aca="false">AK1776*G1776</f>
        <v>0</v>
      </c>
      <c r="AM1776" s="62" t="n">
        <f aca="false">ROUNDUP(CL1776+MAX(CM1776,2*(J1776/IF(CH1776&gt;0,CH1776,MAX(0.1,N(Cockpit!$C$6)))-CL1776)),0)</f>
        <v>0</v>
      </c>
      <c r="AN1776" s="63" t="n">
        <f aca="false">IF(AJ1776&gt;0,J1776/AJ1776,-1)</f>
        <v>-1</v>
      </c>
      <c r="AO1776" s="63" t="str">
        <f aca="false">IF(AND(OR(CG1776="L1",CG1776="L23",CG1776="LIFT"),AJ1776&gt;0),SUMIFS($AJ$7:$AJ$1843,$CG$7:$CG$1843,CG1776,$AN$7:$AN$1843,"&gt;"&amp;AN1776)+SUMIFS($AJ$7:$AJ$1843,$CG$7:$CG$1843,CG1776,$AN$7:$AN$1843,AN1776,$BX$7:$BX$1843,"&lt;="&amp;BX1776),"")</f>
        <v/>
      </c>
      <c r="AP1776" s="70" t="n">
        <f aca="false">IF(AO1776="",0,MAX(0,MIN(1,(IF(CG1776="L1",Parameter!$H$5,IF(CG1776="L23",Parameter!$H$6+Parameter!$H$7,Parameter!$H$5+Parameter!$H$6+Parameter!$H$7))-(AO1776-AJ1776))/AJ1776)))</f>
        <v>0</v>
      </c>
      <c r="AQ1776" s="62" t="n">
        <f aca="false">IF(LEFT(Cockpit!$I$5,1)="A",H1776,IF(Parameter!$E$30="MAX-Bestand",IF(CI1776=1,CJ1776,IF(LEFT(Cockpit!$I$5,1)="B",AW1776,MAX(AW1776,H1776))),ROUNDUP(AU1776,0)))</f>
        <v>0</v>
      </c>
      <c r="AR1776" s="62" t="n">
        <f aca="false">IF(CA1776=1,0,ROUNDUP(AQ1776/BZ1776,0))</f>
        <v>0</v>
      </c>
      <c r="AS1776" s="64" t="n">
        <f aca="false">IF(CR1776&gt;0,CR1776*MAX(1,AQ1776/X1776),IF(CA1776=1,IF(AQ1776&lt;=0,0,CE1776*MAX(1,IF(H1776&gt;0,AQ1776/H1776,1))),IF(R1776&gt;0,AR1776/R1776,0))/MAX(0.1,N(Parameter!$M$21)))</f>
        <v>0</v>
      </c>
      <c r="AT1776" s="62" t="n">
        <f aca="false">AS1776*CC1776</f>
        <v>0</v>
      </c>
      <c r="AU1776" s="63" t="n">
        <f aca="false">IF(LEFT(Cockpit!$I$5,1)="A",H1776,IF(CI1776=1,(CL1776+CJ1776)/2,IF(LEFT(Cockpit!$I$5,1)="B",(CL1776+AW1776)/2,MAX((CL1776+AW1776)/2,H1776))))</f>
        <v>0</v>
      </c>
      <c r="AV1776" s="62" t="n">
        <f aca="false">AU1776*G1776</f>
        <v>0</v>
      </c>
      <c r="AW1776" s="62" t="n">
        <f aca="false">ROUNDUP(CL1776+MAX(CM1776,2*(J1776/IF(CH1776&gt;0,CH1776,MAX(0.1,N(Cockpit!$I$6)))-CL1776)),0)</f>
        <v>0</v>
      </c>
      <c r="AX1776" s="63" t="n">
        <f aca="false">IF(AT1776&gt;0,J1776/AT1776,-1)</f>
        <v>-1</v>
      </c>
      <c r="AY1776" s="63" t="str">
        <f aca="false">IF(AND(OR(CG1776="L1",CG1776="L23",CG1776="LIFT"),AT1776&gt;0),SUMIFS($AT$7:$AT$1843,$CG$7:$CG$1843,CG1776,$AX$7:$AX$1843,"&gt;"&amp;AX1776)+SUMIFS($AT$7:$AT$1843,$CG$7:$CG$1843,CG1776,$AX$7:$AX$1843,AX1776,$BX$7:$BX$1843,"&lt;="&amp;BX1776),"")</f>
        <v/>
      </c>
      <c r="AZ1776" s="70" t="n">
        <f aca="false">IF(AY1776="",0,MAX(0,MIN(1,(IF(CG1776="L1",Parameter!$H$5,IF(CG1776="L23",Parameter!$H$6+Parameter!$H$7,Parameter!$H$5+Parameter!$H$6+Parameter!$H$7))-(AY1776-AT1776))/AT1776)))</f>
        <v>0</v>
      </c>
      <c r="BA1776" s="62" t="n">
        <f aca="false">IF(LEFT(Cockpit!$O$5,1)="A",H1776,IF(Parameter!$E$30="MAX-Bestand",IF(CI1776=1,CJ1776,IF(LEFT(Cockpit!$O$5,1)="B",BG1776,MAX(BG1776,H1776))),ROUNDUP(BE1776,0)))</f>
        <v>0</v>
      </c>
      <c r="BB1776" s="62" t="n">
        <f aca="false">IF(CA1776=1,0,ROUNDUP(BA1776/BZ1776,0))</f>
        <v>0</v>
      </c>
      <c r="BC1776" s="64" t="n">
        <f aca="false">IF(CR1776&gt;0,CR1776*MAX(1,BA1776/X1776),IF(CA1776=1,IF(BA1776&lt;=0,0,CE1776*MAX(1,IF(H1776&gt;0,BA1776/H1776,1))),IF(R1776&gt;0,BB1776/R1776,0))/MAX(0.1,N(Parameter!$M$21)))</f>
        <v>0</v>
      </c>
      <c r="BD1776" s="62" t="n">
        <f aca="false">BC1776*CC1776</f>
        <v>0</v>
      </c>
      <c r="BE1776" s="63" t="n">
        <f aca="false">IF(LEFT(Cockpit!$O$5,1)="A",H1776,IF(CI1776=1,(CL1776+CJ1776)/2,IF(LEFT(Cockpit!$O$5,1)="B",(CL1776+BG1776)/2,MAX((CL1776+BG1776)/2,H1776))))</f>
        <v>0</v>
      </c>
      <c r="BF1776" s="62" t="n">
        <f aca="false">BE1776*G1776</f>
        <v>0</v>
      </c>
      <c r="BG1776" s="62" t="n">
        <f aca="false">ROUNDUP(CL1776+MAX(CM1776,2*(J1776/IF(CH1776&gt;0,CH1776,MAX(0.1,N(Cockpit!$O$6)))-CL1776)),0)</f>
        <v>0</v>
      </c>
      <c r="BH1776" s="63" t="n">
        <f aca="false">IF(BD1776&gt;0,J1776/BD1776,-1)</f>
        <v>-1</v>
      </c>
      <c r="BI1776" s="63" t="str">
        <f aca="false">IF(AND(OR(CG1776="L1",CG1776="L23",CG1776="LIFT"),BD1776&gt;0),SUMIFS($BD$7:$BD$1843,$CG$7:$CG$1843,CG1776,$BH$7:$BH$1843,"&gt;"&amp;BH1776)+SUMIFS($BD$7:$BD$1843,$CG$7:$CG$1843,CG1776,$BH$7:$BH$1843,BH1776,$BX$7:$BX$1843,"&lt;="&amp;BX1776),"")</f>
        <v/>
      </c>
      <c r="BJ1776" s="70" t="n">
        <f aca="false">IF(BI1776="",0,MAX(0,MIN(1,(IF(CG1776="L1",Parameter!$H$5,IF(CG1776="L23",Parameter!$H$6+Parameter!$H$7,Parameter!$H$5+Parameter!$H$6+Parameter!$H$7))-(BI1776-BD1776))/BD1776)))</f>
        <v>0</v>
      </c>
      <c r="BK1776" s="60" t="str">
        <f aca="false">IF(AJ1776&lt;=0,"",IF(CG1776="Aussen","Aussenlager",IF(CG1776="-","Nicht im Lift",IF(AP1776&gt;=1,"Lift",IF(AP1776&lt;=0,"Aussenlager","teilweise")))))</f>
        <v/>
      </c>
      <c r="BL1776" s="60" t="str">
        <f aca="false">IF(AT1776&lt;=0,"",IF(CG1776="Aussen","Aussenlager",IF(CG1776="-","Nicht im Lift",IF(AZ1776&gt;=1,"Lift",IF(AZ1776&lt;=0,"Aussenlager","teilweise")))))</f>
        <v/>
      </c>
      <c r="BM1776" s="60" t="str">
        <f aca="false">IF(BD1776&lt;=0,"",IF(CG1776="Aussen","Aussenlager",IF(CG1776="-","Nicht im Lift",IF(BJ1776&gt;=1,"Lift",IF(BJ1776&lt;=0,"Aussenlager","teilweise")))))</f>
        <v/>
      </c>
      <c r="BN1776" s="60" t="str">
        <f aca="false">IF(A1776="","",IF(BW1776=1,"Neu; ","")&amp;IF(AND(BW1776=0,BR1776&lt;0),"negativer Bestand (Export "&amp;BR1776&amp;"); ","")&amp;IF(J1776&lt;=0,"Kein Verbrauch; ","")&amp;IF(CR1776&gt;0,"Lift "&amp;W1776&amp;" lt. Liftbericht (Fach "&amp;X1776&amp;" Stk); ",IF(CB1776=1,"Gebinde geschätzt ("&amp;T1776&amp;"); ",IF(CA1776=1,"Lose – Tablare geschätzt; ","")))&amp;IF(H1776&gt;AW1776,"Überbestand "&amp;ROUND(H1776-AW1776,0)&amp;" Stk / CHF "&amp;ROUND((H1776-AW1776)*G1776,0)&amp;"; ","")&amp;IF(AND(CI1776=1,CJ1776&lt;CK1776),"MAX &lt; MB+LG; ","")&amp;IF(AND(CQ1776&gt;0,CP1776*10&gt;CQ1776),"zu hoch für Tablar; ","")&amp;IF(AND(BW1776=0,OR(CI1776=1,AB1776&lt;&gt;"",U1776&lt;&gt;"",V1776&lt;&gt;"",AC1776&lt;&gt;"")),"manuell übersteuert; ","")&amp;IF(AND(CA1776=0,R1776=0),"Gebinde unbekannt / Stellmass fehlt; ","")&amp;IF(AND(CA1776=0,N(V1776)&lt;=0,N(Q1776)&lt;=0),"Menge pro Gebinde fehlt (Ist = 1 Gebinde); ","")&amp;BV1776)</f>
        <v/>
      </c>
      <c r="BO1776" s="60"/>
      <c r="BP1776" s="60"/>
      <c r="BQ1776" s="67"/>
      <c r="BR1776" s="62" t="n">
        <f aca="false">N('Neue Artikel'!$D$37)</f>
        <v>0</v>
      </c>
      <c r="BS1776" s="62" t="n">
        <v>0</v>
      </c>
      <c r="BT1776" s="61" t="n">
        <v>0</v>
      </c>
      <c r="BU1776" s="62" t="n">
        <f aca="false">N('Neue Artikel'!$C$37)/Parameter!$B$18</f>
        <v>0</v>
      </c>
      <c r="BV1776" s="60"/>
      <c r="BW1776" s="65" t="n">
        <v>1</v>
      </c>
      <c r="BX1776" s="65" t="n">
        <v>1776</v>
      </c>
      <c r="BY1776" s="60" t="str">
        <f aca="false">IF(U1776&lt;&gt;"",UPPER(TRIM(U1776)),IF(CB1776=1,UPPER(VLOOKUP(T1776,Parameter!$I$27:$K$29,2,0)),IF(P1776="","LOSE",P1776)))</f>
        <v>LOSE</v>
      </c>
      <c r="BZ1776" s="62" t="n">
        <f aca="false">IF(BY1776="LOSE",1,IF(N(V1776)&gt;0,V1776,IF(CB1776=1,MAX(1,N(VLOOKUP(T1776,Parameter!$I$27:$K$29,3,0)),H1776,N(N1776)),IF(N(Q1776)&gt;0,Q1776,MAX(1,H1776)))))</f>
        <v>1</v>
      </c>
      <c r="CA1776" s="65" t="n">
        <f aca="false">IF(BY1776="LOSE",1,0)</f>
        <v>1</v>
      </c>
      <c r="CB1776" s="65" t="n">
        <f aca="false">IF(AND(U1776="",OR(P1776="",P1776="LOSE"),T1776&lt;&gt;"",N(S1776)&lt;=0,ISNUMBER(MATCH(T1776,Parameter!$I$27:$I$29,0))),1,0)</f>
        <v>0</v>
      </c>
      <c r="CC1776" s="65" t="n">
        <f aca="false">IF(CR1776&gt;0,INDEX(Parameter!$H$5:$H$7,W1776)/INDEX(Parameter!$E$5:$E$7,W1776),IF(AND(CA1776=0,N(IFERROR(VLOOKUP(BY1776,'Gebinde-Kategorie'!$A$5:$N$45,14,0),0))&gt;0),VLOOKUP(BY1776,'Gebinde-Kategorie'!$A$5:$N$45,14,0)*10+Parameter!$M$23,Parameter!$M$24))</f>
        <v>235</v>
      </c>
      <c r="CD1776" s="60" t="str">
        <f aca="false">IF(AND(Parameter!$B$19="Ja",E1776&lt;&gt;"",ISNUMBER(MATCH(E1776,Parameter!$I$35:$I$52,0))),VLOOKUP(E1776,Parameter!$I$35:$J$52,2,0),IFERROR(VLOOKUP(D1776,Parameter!$A$35:$C$64,2,0),"Nein"))</f>
        <v>2+3</v>
      </c>
      <c r="CE1776" s="64" t="n">
        <f aca="false">IF(CA1776=0,0,IF(N(S1776)&gt;0,S1776,IFERROR(VLOOKUP(D1776,Parameter!$A$35:$C$64,3,0)+0,0)))</f>
        <v>0.15</v>
      </c>
      <c r="CF1776" s="60" t="str">
        <f aca="false">IF(AB1776&lt;&gt;"",AB1776,AA1776)</f>
        <v/>
      </c>
      <c r="CG1776" s="60" t="str">
        <f aca="false">IF(OR(CF1776=1,CF1776=2,CF1776=3),IF(Parameter!$E$27="Ja","LIFT",IF(CF1776=1,"L1","L23")),IF(CF1776="Aussen","Aussen","-"))</f>
        <v>-</v>
      </c>
      <c r="CH1776" s="71" t="n">
        <f aca="false">IF(N(AC1776)&gt;0,AC1776,0)</f>
        <v>0</v>
      </c>
      <c r="CI1776" s="65" t="n">
        <f aca="false">IF(ISNUMBER(AF1776),1,0)</f>
        <v>0</v>
      </c>
      <c r="CJ1776" s="62" t="n">
        <f aca="false">N(AF1776)</f>
        <v>0</v>
      </c>
      <c r="CK1776" s="62" t="n">
        <f aca="false">N(M1776)+N(N1776)</f>
        <v>0</v>
      </c>
      <c r="CL1776" s="62" t="n">
        <f aca="false">N(M1776)</f>
        <v>0</v>
      </c>
      <c r="CM1776" s="62" t="n">
        <f aca="false">N(N1776)</f>
        <v>0</v>
      </c>
      <c r="CN1776" s="62" t="n">
        <f aca="false">ROUNDUP(H1776/BZ1776,0)</f>
        <v>0</v>
      </c>
      <c r="CO1776" s="62" t="n">
        <f aca="false">ROUNDUP(CJ1776/BZ1776,0)</f>
        <v>0</v>
      </c>
      <c r="CP1776" s="65" t="n">
        <f aca="false">IF(CA1776=1,0,IFERROR(VLOOKUP(BY1776,'Gebinde-Kategorie'!$A$5:$N$45,5,0)+0,0))</f>
        <v>0</v>
      </c>
      <c r="CQ1776" s="65" t="n">
        <f aca="false">IFERROR(IF(OR(CF1776=1,CF1776=2,CF1776=3),N(INDEX(Parameter!$I$5:$I$7,CF1776)),0),0)</f>
        <v>0</v>
      </c>
      <c r="CR1776" s="64" t="n">
        <f aca="false">IF(AND(Parameter!$B$21="Ja",ISNUMBER(W1776),N(X1776)&gt;0),IFERROR(N(INDEX(Parameter!$L$5:$L$7,W1776))*INDEX(Parameter!$E$5:$E$7,W1776)*X1776/SUMIFS($X$7:$X$1843,$W$7:$W$1843,W1776),0),0)</f>
        <v>0</v>
      </c>
      <c r="CS1776" s="62" t="str">
        <f aca="false">IF(AND(OR(CG1776="L1",CG1776="L23",CG1776="LIFT"),H1776&gt;0),CC1776*IF(CR1776&gt;0,CR1776*MAX(1,H1776/X1776),IF(CA1776=1,CE1776,IF(R1776&gt;0,CN1776/R1776,0))/MAX(0.1,N(Parameter!$M$21))),"")</f>
        <v/>
      </c>
      <c r="CT1776" s="64" t="str">
        <f aca="false">IF(CS1776="","",J1776/H1776)</f>
        <v/>
      </c>
      <c r="CU1776" s="62" t="str">
        <f aca="false">IF(CS1776="","",H1776*G1776)</f>
        <v/>
      </c>
      <c r="CV1776" s="63" t="str">
        <f aca="false">IF(CS1776="","",(CL1776+ROUNDUP(CL1776+MAX(CM1776,2*(J1776/MAX(0.1,N(Einkauf!$C$6))-CL1776)),0))/2)</f>
        <v/>
      </c>
      <c r="CW1776" s="62" t="str">
        <f aca="false">IF(CS1776="","",MAX(0,H1776-CV1776)*G1776)</f>
        <v/>
      </c>
      <c r="CX1776" s="62" t="str">
        <f aca="false">IF(CS1776="","",CS1776*MAX(0,1-CV1776/H1776))</f>
        <v/>
      </c>
      <c r="CY1776" s="64" t="str">
        <f aca="false">IF(CS1776="","",PERCENTRANK($CS$7:$CS$1843,CS1776)+PERCENTRANK($CU$7:$CU$1843,CU1776)+1-PERCENTRANK($CT$7:$CT$1843,CT1776))</f>
        <v/>
      </c>
      <c r="CZ1776" s="72" t="str">
        <f aca="false">IF(CS1776="","",CHOOSE(MATCH(Einkauf!$C$5,Parameter!$G$23:$G$27,0),CY1776,CS1776,CU1776,-CT1776,CW1776)+ROW()/1000000000)</f>
        <v/>
      </c>
    </row>
    <row r="1777" customFormat="false" ht="15" hidden="false" customHeight="false" outlineLevel="0" collapsed="false">
      <c r="A1777" s="60" t="str">
        <f aca="false">IF('Neue Artikel'!$A$38="","",'Neue Artikel'!$A$38&amp;"")</f>
        <v/>
      </c>
      <c r="B1777" s="60" t="str">
        <f aca="false">'Neue Artikel'!$B$38&amp;""</f>
        <v/>
      </c>
      <c r="C1777" s="60"/>
      <c r="D1777" s="60" t="s">
        <v>3057</v>
      </c>
      <c r="E1777" s="60"/>
      <c r="F1777" s="60"/>
      <c r="G1777" s="61" t="n">
        <f aca="false">N('Neue Artikel'!$G$38)</f>
        <v>0</v>
      </c>
      <c r="H1777" s="62" t="n">
        <f aca="false">MAX(0,IF(AND(Parameter!$B$21="Ja",ISNUMBER(Y1777)),Y1777,IF(Parameter!$B$20="Jahresanfang 2025 + Export",BS1777+BR1777,BR1777)))</f>
        <v>0</v>
      </c>
      <c r="I1777" s="62" t="n">
        <f aca="false">H1777*G1777</f>
        <v>0</v>
      </c>
      <c r="J1777" s="62" t="n">
        <f aca="false">BU1777*Parameter!$B$18</f>
        <v>0</v>
      </c>
      <c r="K1777" s="63"/>
      <c r="L1777" s="64"/>
      <c r="M1777" s="62" t="n">
        <f aca="false">N('Neue Artikel'!$E$38)</f>
        <v>0</v>
      </c>
      <c r="N1777" s="62" t="n">
        <f aca="false">N('Neue Artikel'!$F$38)</f>
        <v>0</v>
      </c>
      <c r="O1777" s="65"/>
      <c r="P1777" s="60" t="str">
        <f aca="false">IF('Neue Artikel'!$H$38="","LOSE",UPPER(TRIM('Neue Artikel'!$H$38)))</f>
        <v>LOSE</v>
      </c>
      <c r="Q1777" s="62" t="n">
        <f aca="false">N('Neue Artikel'!$I$38)</f>
        <v>0</v>
      </c>
      <c r="R1777" s="65" t="n">
        <f aca="false">IF(CA1777=1,0,IFERROR(VLOOKUP(BY1777,'Gebinde-Kategorie'!$A$5:$N$45,13,0)+0,0))</f>
        <v>0</v>
      </c>
      <c r="S1777" s="66"/>
      <c r="T1777" s="67"/>
      <c r="U1777" s="67"/>
      <c r="V1777" s="67"/>
      <c r="W1777" s="60"/>
      <c r="X1777" s="62"/>
      <c r="Y1777" s="62"/>
      <c r="Z1777" s="60"/>
      <c r="AA1777" s="60" t="str">
        <f aca="false">IF(A1777="","",IF(AND(Parameter!$B$21="Ja",ISNUMBER(W1777)),W1777,IF(AND(Parameter!$E$27="Ja",ISNUMBER(Z1777),CD1777&lt;&gt;"Nein"),Z1777,IF(CD1777="2+3",IF(ISNUMBER(SEARCH("grosser Artikel",BV1777)),2,IFERROR(VLOOKUP(BY1777,Parameter!$F$35:$G$64,2,0),2)),IF(OR(CD1777="Nein",CD1777=""),"-",CD1777)))))</f>
        <v/>
      </c>
      <c r="AB1777" s="60" t="str">
        <f aca="false">IF('Neue Artikel'!$J$38="","",'Neue Artikel'!$J$38)</f>
        <v/>
      </c>
      <c r="AC1777" s="68"/>
      <c r="AD1777" s="62" t="n">
        <f aca="false">AW1777</f>
        <v>0</v>
      </c>
      <c r="AE1777" s="62" t="n">
        <f aca="false">MAX(AW1777,H1777)</f>
        <v>0</v>
      </c>
      <c r="AF1777" s="69"/>
      <c r="AG1777" s="62" t="n">
        <f aca="false">IF(LEFT(Cockpit!$C$5,1)="A",H1777,IF(Parameter!$E$30="MAX-Bestand",IF(CI1777=1,CJ1777,IF(LEFT(Cockpit!$C$5,1)="B",AM1777,MAX(AM1777,H1777))),ROUNDUP(AK1777,0)))</f>
        <v>0</v>
      </c>
      <c r="AH1777" s="62" t="n">
        <f aca="false">IF(CA1777=1,0,ROUNDUP(AG1777/BZ1777,0))</f>
        <v>0</v>
      </c>
      <c r="AI1777" s="64" t="n">
        <f aca="false">IF(CR1777&gt;0,CR1777*MAX(1,AG1777/X1777),IF(CA1777=1,IF(AG1777&lt;=0,0,CE1777*MAX(1,IF(H1777&gt;0,AG1777/H1777,1))),IF(R1777&gt;0,AH1777/R1777,0))/MAX(0.1,N(Parameter!$M$21)))</f>
        <v>0</v>
      </c>
      <c r="AJ1777" s="62" t="n">
        <f aca="false">AI1777*CC1777</f>
        <v>0</v>
      </c>
      <c r="AK1777" s="63" t="n">
        <f aca="false">IF(LEFT(Cockpit!$C$5,1)="A",H1777,IF(CI1777=1,(CL1777+CJ1777)/2,IF(LEFT(Cockpit!$C$5,1)="B",(CL1777+AM1777)/2,MAX((CL1777+AM1777)/2,H1777))))</f>
        <v>0</v>
      </c>
      <c r="AL1777" s="62" t="n">
        <f aca="false">AK1777*G1777</f>
        <v>0</v>
      </c>
      <c r="AM1777" s="62" t="n">
        <f aca="false">ROUNDUP(CL1777+MAX(CM1777,2*(J1777/IF(CH1777&gt;0,CH1777,MAX(0.1,N(Cockpit!$C$6)))-CL1777)),0)</f>
        <v>0</v>
      </c>
      <c r="AN1777" s="63" t="n">
        <f aca="false">IF(AJ1777&gt;0,J1777/AJ1777,-1)</f>
        <v>-1</v>
      </c>
      <c r="AO1777" s="63" t="str">
        <f aca="false">IF(AND(OR(CG1777="L1",CG1777="L23",CG1777="LIFT"),AJ1777&gt;0),SUMIFS($AJ$7:$AJ$1843,$CG$7:$CG$1843,CG1777,$AN$7:$AN$1843,"&gt;"&amp;AN1777)+SUMIFS($AJ$7:$AJ$1843,$CG$7:$CG$1843,CG1777,$AN$7:$AN$1843,AN1777,$BX$7:$BX$1843,"&lt;="&amp;BX1777),"")</f>
        <v/>
      </c>
      <c r="AP1777" s="70" t="n">
        <f aca="false">IF(AO1777="",0,MAX(0,MIN(1,(IF(CG1777="L1",Parameter!$H$5,IF(CG1777="L23",Parameter!$H$6+Parameter!$H$7,Parameter!$H$5+Parameter!$H$6+Parameter!$H$7))-(AO1777-AJ1777))/AJ1777)))</f>
        <v>0</v>
      </c>
      <c r="AQ1777" s="62" t="n">
        <f aca="false">IF(LEFT(Cockpit!$I$5,1)="A",H1777,IF(Parameter!$E$30="MAX-Bestand",IF(CI1777=1,CJ1777,IF(LEFT(Cockpit!$I$5,1)="B",AW1777,MAX(AW1777,H1777))),ROUNDUP(AU1777,0)))</f>
        <v>0</v>
      </c>
      <c r="AR1777" s="62" t="n">
        <f aca="false">IF(CA1777=1,0,ROUNDUP(AQ1777/BZ1777,0))</f>
        <v>0</v>
      </c>
      <c r="AS1777" s="64" t="n">
        <f aca="false">IF(CR1777&gt;0,CR1777*MAX(1,AQ1777/X1777),IF(CA1777=1,IF(AQ1777&lt;=0,0,CE1777*MAX(1,IF(H1777&gt;0,AQ1777/H1777,1))),IF(R1777&gt;0,AR1777/R1777,0))/MAX(0.1,N(Parameter!$M$21)))</f>
        <v>0</v>
      </c>
      <c r="AT1777" s="62" t="n">
        <f aca="false">AS1777*CC1777</f>
        <v>0</v>
      </c>
      <c r="AU1777" s="63" t="n">
        <f aca="false">IF(LEFT(Cockpit!$I$5,1)="A",H1777,IF(CI1777=1,(CL1777+CJ1777)/2,IF(LEFT(Cockpit!$I$5,1)="B",(CL1777+AW1777)/2,MAX((CL1777+AW1777)/2,H1777))))</f>
        <v>0</v>
      </c>
      <c r="AV1777" s="62" t="n">
        <f aca="false">AU1777*G1777</f>
        <v>0</v>
      </c>
      <c r="AW1777" s="62" t="n">
        <f aca="false">ROUNDUP(CL1777+MAX(CM1777,2*(J1777/IF(CH1777&gt;0,CH1777,MAX(0.1,N(Cockpit!$I$6)))-CL1777)),0)</f>
        <v>0</v>
      </c>
      <c r="AX1777" s="63" t="n">
        <f aca="false">IF(AT1777&gt;0,J1777/AT1777,-1)</f>
        <v>-1</v>
      </c>
      <c r="AY1777" s="63" t="str">
        <f aca="false">IF(AND(OR(CG1777="L1",CG1777="L23",CG1777="LIFT"),AT1777&gt;0),SUMIFS($AT$7:$AT$1843,$CG$7:$CG$1843,CG1777,$AX$7:$AX$1843,"&gt;"&amp;AX1777)+SUMIFS($AT$7:$AT$1843,$CG$7:$CG$1843,CG1777,$AX$7:$AX$1843,AX1777,$BX$7:$BX$1843,"&lt;="&amp;BX1777),"")</f>
        <v/>
      </c>
      <c r="AZ1777" s="70" t="n">
        <f aca="false">IF(AY1777="",0,MAX(0,MIN(1,(IF(CG1777="L1",Parameter!$H$5,IF(CG1777="L23",Parameter!$H$6+Parameter!$H$7,Parameter!$H$5+Parameter!$H$6+Parameter!$H$7))-(AY1777-AT1777))/AT1777)))</f>
        <v>0</v>
      </c>
      <c r="BA1777" s="62" t="n">
        <f aca="false">IF(LEFT(Cockpit!$O$5,1)="A",H1777,IF(Parameter!$E$30="MAX-Bestand",IF(CI1777=1,CJ1777,IF(LEFT(Cockpit!$O$5,1)="B",BG1777,MAX(BG1777,H1777))),ROUNDUP(BE1777,0)))</f>
        <v>0</v>
      </c>
      <c r="BB1777" s="62" t="n">
        <f aca="false">IF(CA1777=1,0,ROUNDUP(BA1777/BZ1777,0))</f>
        <v>0</v>
      </c>
      <c r="BC1777" s="64" t="n">
        <f aca="false">IF(CR1777&gt;0,CR1777*MAX(1,BA1777/X1777),IF(CA1777=1,IF(BA1777&lt;=0,0,CE1777*MAX(1,IF(H1777&gt;0,BA1777/H1777,1))),IF(R1777&gt;0,BB1777/R1777,0))/MAX(0.1,N(Parameter!$M$21)))</f>
        <v>0</v>
      </c>
      <c r="BD1777" s="62" t="n">
        <f aca="false">BC1777*CC1777</f>
        <v>0</v>
      </c>
      <c r="BE1777" s="63" t="n">
        <f aca="false">IF(LEFT(Cockpit!$O$5,1)="A",H1777,IF(CI1777=1,(CL1777+CJ1777)/2,IF(LEFT(Cockpit!$O$5,1)="B",(CL1777+BG1777)/2,MAX((CL1777+BG1777)/2,H1777))))</f>
        <v>0</v>
      </c>
      <c r="BF1777" s="62" t="n">
        <f aca="false">BE1777*G1777</f>
        <v>0</v>
      </c>
      <c r="BG1777" s="62" t="n">
        <f aca="false">ROUNDUP(CL1777+MAX(CM1777,2*(J1777/IF(CH1777&gt;0,CH1777,MAX(0.1,N(Cockpit!$O$6)))-CL1777)),0)</f>
        <v>0</v>
      </c>
      <c r="BH1777" s="63" t="n">
        <f aca="false">IF(BD1777&gt;0,J1777/BD1777,-1)</f>
        <v>-1</v>
      </c>
      <c r="BI1777" s="63" t="str">
        <f aca="false">IF(AND(OR(CG1777="L1",CG1777="L23",CG1777="LIFT"),BD1777&gt;0),SUMIFS($BD$7:$BD$1843,$CG$7:$CG$1843,CG1777,$BH$7:$BH$1843,"&gt;"&amp;BH1777)+SUMIFS($BD$7:$BD$1843,$CG$7:$CG$1843,CG1777,$BH$7:$BH$1843,BH1777,$BX$7:$BX$1843,"&lt;="&amp;BX1777),"")</f>
        <v/>
      </c>
      <c r="BJ1777" s="70" t="n">
        <f aca="false">IF(BI1777="",0,MAX(0,MIN(1,(IF(CG1777="L1",Parameter!$H$5,IF(CG1777="L23",Parameter!$H$6+Parameter!$H$7,Parameter!$H$5+Parameter!$H$6+Parameter!$H$7))-(BI1777-BD1777))/BD1777)))</f>
        <v>0</v>
      </c>
      <c r="BK1777" s="60" t="str">
        <f aca="false">IF(AJ1777&lt;=0,"",IF(CG1777="Aussen","Aussenlager",IF(CG1777="-","Nicht im Lift",IF(AP1777&gt;=1,"Lift",IF(AP1777&lt;=0,"Aussenlager","teilweise")))))</f>
        <v/>
      </c>
      <c r="BL1777" s="60" t="str">
        <f aca="false">IF(AT1777&lt;=0,"",IF(CG1777="Aussen","Aussenlager",IF(CG1777="-","Nicht im Lift",IF(AZ1777&gt;=1,"Lift",IF(AZ1777&lt;=0,"Aussenlager","teilweise")))))</f>
        <v/>
      </c>
      <c r="BM1777" s="60" t="str">
        <f aca="false">IF(BD1777&lt;=0,"",IF(CG1777="Aussen","Aussenlager",IF(CG1777="-","Nicht im Lift",IF(BJ1777&gt;=1,"Lift",IF(BJ1777&lt;=0,"Aussenlager","teilweise")))))</f>
        <v/>
      </c>
      <c r="BN1777" s="60" t="str">
        <f aca="false">IF(A1777="","",IF(BW1777=1,"Neu; ","")&amp;IF(AND(BW1777=0,BR1777&lt;0),"negativer Bestand (Export "&amp;BR1777&amp;"); ","")&amp;IF(J1777&lt;=0,"Kein Verbrauch; ","")&amp;IF(CR1777&gt;0,"Lift "&amp;W1777&amp;" lt. Liftbericht (Fach "&amp;X1777&amp;" Stk); ",IF(CB1777=1,"Gebinde geschätzt ("&amp;T1777&amp;"); ",IF(CA1777=1,"Lose – Tablare geschätzt; ","")))&amp;IF(H1777&gt;AW1777,"Überbestand "&amp;ROUND(H1777-AW1777,0)&amp;" Stk / CHF "&amp;ROUND((H1777-AW1777)*G1777,0)&amp;"; ","")&amp;IF(AND(CI1777=1,CJ1777&lt;CK1777),"MAX &lt; MB+LG; ","")&amp;IF(AND(CQ1777&gt;0,CP1777*10&gt;CQ1777),"zu hoch für Tablar; ","")&amp;IF(AND(BW1777=0,OR(CI1777=1,AB1777&lt;&gt;"",U1777&lt;&gt;"",V1777&lt;&gt;"",AC1777&lt;&gt;"")),"manuell übersteuert; ","")&amp;IF(AND(CA1777=0,R1777=0),"Gebinde unbekannt / Stellmass fehlt; ","")&amp;IF(AND(CA1777=0,N(V1777)&lt;=0,N(Q1777)&lt;=0),"Menge pro Gebinde fehlt (Ist = 1 Gebinde); ","")&amp;BV1777)</f>
        <v/>
      </c>
      <c r="BO1777" s="60"/>
      <c r="BP1777" s="60"/>
      <c r="BQ1777" s="67"/>
      <c r="BR1777" s="62" t="n">
        <f aca="false">N('Neue Artikel'!$D$38)</f>
        <v>0</v>
      </c>
      <c r="BS1777" s="62" t="n">
        <v>0</v>
      </c>
      <c r="BT1777" s="61" t="n">
        <v>0</v>
      </c>
      <c r="BU1777" s="62" t="n">
        <f aca="false">N('Neue Artikel'!$C$38)/Parameter!$B$18</f>
        <v>0</v>
      </c>
      <c r="BV1777" s="60"/>
      <c r="BW1777" s="65" t="n">
        <v>1</v>
      </c>
      <c r="BX1777" s="65" t="n">
        <v>1777</v>
      </c>
      <c r="BY1777" s="60" t="str">
        <f aca="false">IF(U1777&lt;&gt;"",UPPER(TRIM(U1777)),IF(CB1777=1,UPPER(VLOOKUP(T1777,Parameter!$I$27:$K$29,2,0)),IF(P1777="","LOSE",P1777)))</f>
        <v>LOSE</v>
      </c>
      <c r="BZ1777" s="62" t="n">
        <f aca="false">IF(BY1777="LOSE",1,IF(N(V1777)&gt;0,V1777,IF(CB1777=1,MAX(1,N(VLOOKUP(T1777,Parameter!$I$27:$K$29,3,0)),H1777,N(N1777)),IF(N(Q1777)&gt;0,Q1777,MAX(1,H1777)))))</f>
        <v>1</v>
      </c>
      <c r="CA1777" s="65" t="n">
        <f aca="false">IF(BY1777="LOSE",1,0)</f>
        <v>1</v>
      </c>
      <c r="CB1777" s="65" t="n">
        <f aca="false">IF(AND(U1777="",OR(P1777="",P1777="LOSE"),T1777&lt;&gt;"",N(S1777)&lt;=0,ISNUMBER(MATCH(T1777,Parameter!$I$27:$I$29,0))),1,0)</f>
        <v>0</v>
      </c>
      <c r="CC1777" s="65" t="n">
        <f aca="false">IF(CR1777&gt;0,INDEX(Parameter!$H$5:$H$7,W1777)/INDEX(Parameter!$E$5:$E$7,W1777),IF(AND(CA1777=0,N(IFERROR(VLOOKUP(BY1777,'Gebinde-Kategorie'!$A$5:$N$45,14,0),0))&gt;0),VLOOKUP(BY1777,'Gebinde-Kategorie'!$A$5:$N$45,14,0)*10+Parameter!$M$23,Parameter!$M$24))</f>
        <v>235</v>
      </c>
      <c r="CD1777" s="60" t="str">
        <f aca="false">IF(AND(Parameter!$B$19="Ja",E1777&lt;&gt;"",ISNUMBER(MATCH(E1777,Parameter!$I$35:$I$52,0))),VLOOKUP(E1777,Parameter!$I$35:$J$52,2,0),IFERROR(VLOOKUP(D1777,Parameter!$A$35:$C$64,2,0),"Nein"))</f>
        <v>2+3</v>
      </c>
      <c r="CE1777" s="64" t="n">
        <f aca="false">IF(CA1777=0,0,IF(N(S1777)&gt;0,S1777,IFERROR(VLOOKUP(D1777,Parameter!$A$35:$C$64,3,0)+0,0)))</f>
        <v>0.15</v>
      </c>
      <c r="CF1777" s="60" t="str">
        <f aca="false">IF(AB1777&lt;&gt;"",AB1777,AA1777)</f>
        <v/>
      </c>
      <c r="CG1777" s="60" t="str">
        <f aca="false">IF(OR(CF1777=1,CF1777=2,CF1777=3),IF(Parameter!$E$27="Ja","LIFT",IF(CF1777=1,"L1","L23")),IF(CF1777="Aussen","Aussen","-"))</f>
        <v>-</v>
      </c>
      <c r="CH1777" s="71" t="n">
        <f aca="false">IF(N(AC1777)&gt;0,AC1777,0)</f>
        <v>0</v>
      </c>
      <c r="CI1777" s="65" t="n">
        <f aca="false">IF(ISNUMBER(AF1777),1,0)</f>
        <v>0</v>
      </c>
      <c r="CJ1777" s="62" t="n">
        <f aca="false">N(AF1777)</f>
        <v>0</v>
      </c>
      <c r="CK1777" s="62" t="n">
        <f aca="false">N(M1777)+N(N1777)</f>
        <v>0</v>
      </c>
      <c r="CL1777" s="62" t="n">
        <f aca="false">N(M1777)</f>
        <v>0</v>
      </c>
      <c r="CM1777" s="62" t="n">
        <f aca="false">N(N1777)</f>
        <v>0</v>
      </c>
      <c r="CN1777" s="62" t="n">
        <f aca="false">ROUNDUP(H1777/BZ1777,0)</f>
        <v>0</v>
      </c>
      <c r="CO1777" s="62" t="n">
        <f aca="false">ROUNDUP(CJ1777/BZ1777,0)</f>
        <v>0</v>
      </c>
      <c r="CP1777" s="65" t="n">
        <f aca="false">IF(CA1777=1,0,IFERROR(VLOOKUP(BY1777,'Gebinde-Kategorie'!$A$5:$N$45,5,0)+0,0))</f>
        <v>0</v>
      </c>
      <c r="CQ1777" s="65" t="n">
        <f aca="false">IFERROR(IF(OR(CF1777=1,CF1777=2,CF1777=3),N(INDEX(Parameter!$I$5:$I$7,CF1777)),0),0)</f>
        <v>0</v>
      </c>
      <c r="CR1777" s="64" t="n">
        <f aca="false">IF(AND(Parameter!$B$21="Ja",ISNUMBER(W1777),N(X1777)&gt;0),IFERROR(N(INDEX(Parameter!$L$5:$L$7,W1777))*INDEX(Parameter!$E$5:$E$7,W1777)*X1777/SUMIFS($X$7:$X$1843,$W$7:$W$1843,W1777),0),0)</f>
        <v>0</v>
      </c>
      <c r="CS1777" s="62" t="str">
        <f aca="false">IF(AND(OR(CG1777="L1",CG1777="L23",CG1777="LIFT"),H1777&gt;0),CC1777*IF(CR1777&gt;0,CR1777*MAX(1,H1777/X1777),IF(CA1777=1,CE1777,IF(R1777&gt;0,CN1777/R1777,0))/MAX(0.1,N(Parameter!$M$21))),"")</f>
        <v/>
      </c>
      <c r="CT1777" s="64" t="str">
        <f aca="false">IF(CS1777="","",J1777/H1777)</f>
        <v/>
      </c>
      <c r="CU1777" s="62" t="str">
        <f aca="false">IF(CS1777="","",H1777*G1777)</f>
        <v/>
      </c>
      <c r="CV1777" s="63" t="str">
        <f aca="false">IF(CS1777="","",(CL1777+ROUNDUP(CL1777+MAX(CM1777,2*(J1777/MAX(0.1,N(Einkauf!$C$6))-CL1777)),0))/2)</f>
        <v/>
      </c>
      <c r="CW1777" s="62" t="str">
        <f aca="false">IF(CS1777="","",MAX(0,H1777-CV1777)*G1777)</f>
        <v/>
      </c>
      <c r="CX1777" s="62" t="str">
        <f aca="false">IF(CS1777="","",CS1777*MAX(0,1-CV1777/H1777))</f>
        <v/>
      </c>
      <c r="CY1777" s="64" t="str">
        <f aca="false">IF(CS1777="","",PERCENTRANK($CS$7:$CS$1843,CS1777)+PERCENTRANK($CU$7:$CU$1843,CU1777)+1-PERCENTRANK($CT$7:$CT$1843,CT1777))</f>
        <v/>
      </c>
      <c r="CZ1777" s="72" t="str">
        <f aca="false">IF(CS1777="","",CHOOSE(MATCH(Einkauf!$C$5,Parameter!$G$23:$G$27,0),CY1777,CS1777,CU1777,-CT1777,CW1777)+ROW()/1000000000)</f>
        <v/>
      </c>
    </row>
    <row r="1778" customFormat="false" ht="15" hidden="false" customHeight="false" outlineLevel="0" collapsed="false">
      <c r="A1778" s="60" t="str">
        <f aca="false">IF('Neue Artikel'!$A$39="","",'Neue Artikel'!$A$39&amp;"")</f>
        <v/>
      </c>
      <c r="B1778" s="60" t="str">
        <f aca="false">'Neue Artikel'!$B$39&amp;""</f>
        <v/>
      </c>
      <c r="C1778" s="60"/>
      <c r="D1778" s="60" t="s">
        <v>3057</v>
      </c>
      <c r="E1778" s="60"/>
      <c r="F1778" s="60"/>
      <c r="G1778" s="61" t="n">
        <f aca="false">N('Neue Artikel'!$G$39)</f>
        <v>0</v>
      </c>
      <c r="H1778" s="62" t="n">
        <f aca="false">MAX(0,IF(AND(Parameter!$B$21="Ja",ISNUMBER(Y1778)),Y1778,IF(Parameter!$B$20="Jahresanfang 2025 + Export",BS1778+BR1778,BR1778)))</f>
        <v>0</v>
      </c>
      <c r="I1778" s="62" t="n">
        <f aca="false">H1778*G1778</f>
        <v>0</v>
      </c>
      <c r="J1778" s="62" t="n">
        <f aca="false">BU1778*Parameter!$B$18</f>
        <v>0</v>
      </c>
      <c r="K1778" s="63"/>
      <c r="L1778" s="64"/>
      <c r="M1778" s="62" t="n">
        <f aca="false">N('Neue Artikel'!$E$39)</f>
        <v>0</v>
      </c>
      <c r="N1778" s="62" t="n">
        <f aca="false">N('Neue Artikel'!$F$39)</f>
        <v>0</v>
      </c>
      <c r="O1778" s="65"/>
      <c r="P1778" s="60" t="str">
        <f aca="false">IF('Neue Artikel'!$H$39="","LOSE",UPPER(TRIM('Neue Artikel'!$H$39)))</f>
        <v>LOSE</v>
      </c>
      <c r="Q1778" s="62" t="n">
        <f aca="false">N('Neue Artikel'!$I$39)</f>
        <v>0</v>
      </c>
      <c r="R1778" s="65" t="n">
        <f aca="false">IF(CA1778=1,0,IFERROR(VLOOKUP(BY1778,'Gebinde-Kategorie'!$A$5:$N$45,13,0)+0,0))</f>
        <v>0</v>
      </c>
      <c r="S1778" s="66"/>
      <c r="T1778" s="67"/>
      <c r="U1778" s="67"/>
      <c r="V1778" s="67"/>
      <c r="W1778" s="60"/>
      <c r="X1778" s="62"/>
      <c r="Y1778" s="62"/>
      <c r="Z1778" s="60"/>
      <c r="AA1778" s="60" t="str">
        <f aca="false">IF(A1778="","",IF(AND(Parameter!$B$21="Ja",ISNUMBER(W1778)),W1778,IF(AND(Parameter!$E$27="Ja",ISNUMBER(Z1778),CD1778&lt;&gt;"Nein"),Z1778,IF(CD1778="2+3",IF(ISNUMBER(SEARCH("grosser Artikel",BV1778)),2,IFERROR(VLOOKUP(BY1778,Parameter!$F$35:$G$64,2,0),2)),IF(OR(CD1778="Nein",CD1778=""),"-",CD1778)))))</f>
        <v/>
      </c>
      <c r="AB1778" s="60" t="str">
        <f aca="false">IF('Neue Artikel'!$J$39="","",'Neue Artikel'!$J$39)</f>
        <v/>
      </c>
      <c r="AC1778" s="68"/>
      <c r="AD1778" s="62" t="n">
        <f aca="false">AW1778</f>
        <v>0</v>
      </c>
      <c r="AE1778" s="62" t="n">
        <f aca="false">MAX(AW1778,H1778)</f>
        <v>0</v>
      </c>
      <c r="AF1778" s="69"/>
      <c r="AG1778" s="62" t="n">
        <f aca="false">IF(LEFT(Cockpit!$C$5,1)="A",H1778,IF(Parameter!$E$30="MAX-Bestand",IF(CI1778=1,CJ1778,IF(LEFT(Cockpit!$C$5,1)="B",AM1778,MAX(AM1778,H1778))),ROUNDUP(AK1778,0)))</f>
        <v>0</v>
      </c>
      <c r="AH1778" s="62" t="n">
        <f aca="false">IF(CA1778=1,0,ROUNDUP(AG1778/BZ1778,0))</f>
        <v>0</v>
      </c>
      <c r="AI1778" s="64" t="n">
        <f aca="false">IF(CR1778&gt;0,CR1778*MAX(1,AG1778/X1778),IF(CA1778=1,IF(AG1778&lt;=0,0,CE1778*MAX(1,IF(H1778&gt;0,AG1778/H1778,1))),IF(R1778&gt;0,AH1778/R1778,0))/MAX(0.1,N(Parameter!$M$21)))</f>
        <v>0</v>
      </c>
      <c r="AJ1778" s="62" t="n">
        <f aca="false">AI1778*CC1778</f>
        <v>0</v>
      </c>
      <c r="AK1778" s="63" t="n">
        <f aca="false">IF(LEFT(Cockpit!$C$5,1)="A",H1778,IF(CI1778=1,(CL1778+CJ1778)/2,IF(LEFT(Cockpit!$C$5,1)="B",(CL1778+AM1778)/2,MAX((CL1778+AM1778)/2,H1778))))</f>
        <v>0</v>
      </c>
      <c r="AL1778" s="62" t="n">
        <f aca="false">AK1778*G1778</f>
        <v>0</v>
      </c>
      <c r="AM1778" s="62" t="n">
        <f aca="false">ROUNDUP(CL1778+MAX(CM1778,2*(J1778/IF(CH1778&gt;0,CH1778,MAX(0.1,N(Cockpit!$C$6)))-CL1778)),0)</f>
        <v>0</v>
      </c>
      <c r="AN1778" s="63" t="n">
        <f aca="false">IF(AJ1778&gt;0,J1778/AJ1778,-1)</f>
        <v>-1</v>
      </c>
      <c r="AO1778" s="63" t="str">
        <f aca="false">IF(AND(OR(CG1778="L1",CG1778="L23",CG1778="LIFT"),AJ1778&gt;0),SUMIFS($AJ$7:$AJ$1843,$CG$7:$CG$1843,CG1778,$AN$7:$AN$1843,"&gt;"&amp;AN1778)+SUMIFS($AJ$7:$AJ$1843,$CG$7:$CG$1843,CG1778,$AN$7:$AN$1843,AN1778,$BX$7:$BX$1843,"&lt;="&amp;BX1778),"")</f>
        <v/>
      </c>
      <c r="AP1778" s="70" t="n">
        <f aca="false">IF(AO1778="",0,MAX(0,MIN(1,(IF(CG1778="L1",Parameter!$H$5,IF(CG1778="L23",Parameter!$H$6+Parameter!$H$7,Parameter!$H$5+Parameter!$H$6+Parameter!$H$7))-(AO1778-AJ1778))/AJ1778)))</f>
        <v>0</v>
      </c>
      <c r="AQ1778" s="62" t="n">
        <f aca="false">IF(LEFT(Cockpit!$I$5,1)="A",H1778,IF(Parameter!$E$30="MAX-Bestand",IF(CI1778=1,CJ1778,IF(LEFT(Cockpit!$I$5,1)="B",AW1778,MAX(AW1778,H1778))),ROUNDUP(AU1778,0)))</f>
        <v>0</v>
      </c>
      <c r="AR1778" s="62" t="n">
        <f aca="false">IF(CA1778=1,0,ROUNDUP(AQ1778/BZ1778,0))</f>
        <v>0</v>
      </c>
      <c r="AS1778" s="64" t="n">
        <f aca="false">IF(CR1778&gt;0,CR1778*MAX(1,AQ1778/X1778),IF(CA1778=1,IF(AQ1778&lt;=0,0,CE1778*MAX(1,IF(H1778&gt;0,AQ1778/H1778,1))),IF(R1778&gt;0,AR1778/R1778,0))/MAX(0.1,N(Parameter!$M$21)))</f>
        <v>0</v>
      </c>
      <c r="AT1778" s="62" t="n">
        <f aca="false">AS1778*CC1778</f>
        <v>0</v>
      </c>
      <c r="AU1778" s="63" t="n">
        <f aca="false">IF(LEFT(Cockpit!$I$5,1)="A",H1778,IF(CI1778=1,(CL1778+CJ1778)/2,IF(LEFT(Cockpit!$I$5,1)="B",(CL1778+AW1778)/2,MAX((CL1778+AW1778)/2,H1778))))</f>
        <v>0</v>
      </c>
      <c r="AV1778" s="62" t="n">
        <f aca="false">AU1778*G1778</f>
        <v>0</v>
      </c>
      <c r="AW1778" s="62" t="n">
        <f aca="false">ROUNDUP(CL1778+MAX(CM1778,2*(J1778/IF(CH1778&gt;0,CH1778,MAX(0.1,N(Cockpit!$I$6)))-CL1778)),0)</f>
        <v>0</v>
      </c>
      <c r="AX1778" s="63" t="n">
        <f aca="false">IF(AT1778&gt;0,J1778/AT1778,-1)</f>
        <v>-1</v>
      </c>
      <c r="AY1778" s="63" t="str">
        <f aca="false">IF(AND(OR(CG1778="L1",CG1778="L23",CG1778="LIFT"),AT1778&gt;0),SUMIFS($AT$7:$AT$1843,$CG$7:$CG$1843,CG1778,$AX$7:$AX$1843,"&gt;"&amp;AX1778)+SUMIFS($AT$7:$AT$1843,$CG$7:$CG$1843,CG1778,$AX$7:$AX$1843,AX1778,$BX$7:$BX$1843,"&lt;="&amp;BX1778),"")</f>
        <v/>
      </c>
      <c r="AZ1778" s="70" t="n">
        <f aca="false">IF(AY1778="",0,MAX(0,MIN(1,(IF(CG1778="L1",Parameter!$H$5,IF(CG1778="L23",Parameter!$H$6+Parameter!$H$7,Parameter!$H$5+Parameter!$H$6+Parameter!$H$7))-(AY1778-AT1778))/AT1778)))</f>
        <v>0</v>
      </c>
      <c r="BA1778" s="62" t="n">
        <f aca="false">IF(LEFT(Cockpit!$O$5,1)="A",H1778,IF(Parameter!$E$30="MAX-Bestand",IF(CI1778=1,CJ1778,IF(LEFT(Cockpit!$O$5,1)="B",BG1778,MAX(BG1778,H1778))),ROUNDUP(BE1778,0)))</f>
        <v>0</v>
      </c>
      <c r="BB1778" s="62" t="n">
        <f aca="false">IF(CA1778=1,0,ROUNDUP(BA1778/BZ1778,0))</f>
        <v>0</v>
      </c>
      <c r="BC1778" s="64" t="n">
        <f aca="false">IF(CR1778&gt;0,CR1778*MAX(1,BA1778/X1778),IF(CA1778=1,IF(BA1778&lt;=0,0,CE1778*MAX(1,IF(H1778&gt;0,BA1778/H1778,1))),IF(R1778&gt;0,BB1778/R1778,0))/MAX(0.1,N(Parameter!$M$21)))</f>
        <v>0</v>
      </c>
      <c r="BD1778" s="62" t="n">
        <f aca="false">BC1778*CC1778</f>
        <v>0</v>
      </c>
      <c r="BE1778" s="63" t="n">
        <f aca="false">IF(LEFT(Cockpit!$O$5,1)="A",H1778,IF(CI1778=1,(CL1778+CJ1778)/2,IF(LEFT(Cockpit!$O$5,1)="B",(CL1778+BG1778)/2,MAX((CL1778+BG1778)/2,H1778))))</f>
        <v>0</v>
      </c>
      <c r="BF1778" s="62" t="n">
        <f aca="false">BE1778*G1778</f>
        <v>0</v>
      </c>
      <c r="BG1778" s="62" t="n">
        <f aca="false">ROUNDUP(CL1778+MAX(CM1778,2*(J1778/IF(CH1778&gt;0,CH1778,MAX(0.1,N(Cockpit!$O$6)))-CL1778)),0)</f>
        <v>0</v>
      </c>
      <c r="BH1778" s="63" t="n">
        <f aca="false">IF(BD1778&gt;0,J1778/BD1778,-1)</f>
        <v>-1</v>
      </c>
      <c r="BI1778" s="63" t="str">
        <f aca="false">IF(AND(OR(CG1778="L1",CG1778="L23",CG1778="LIFT"),BD1778&gt;0),SUMIFS($BD$7:$BD$1843,$CG$7:$CG$1843,CG1778,$BH$7:$BH$1843,"&gt;"&amp;BH1778)+SUMIFS($BD$7:$BD$1843,$CG$7:$CG$1843,CG1778,$BH$7:$BH$1843,BH1778,$BX$7:$BX$1843,"&lt;="&amp;BX1778),"")</f>
        <v/>
      </c>
      <c r="BJ1778" s="70" t="n">
        <f aca="false">IF(BI1778="",0,MAX(0,MIN(1,(IF(CG1778="L1",Parameter!$H$5,IF(CG1778="L23",Parameter!$H$6+Parameter!$H$7,Parameter!$H$5+Parameter!$H$6+Parameter!$H$7))-(BI1778-BD1778))/BD1778)))</f>
        <v>0</v>
      </c>
      <c r="BK1778" s="60" t="str">
        <f aca="false">IF(AJ1778&lt;=0,"",IF(CG1778="Aussen","Aussenlager",IF(CG1778="-","Nicht im Lift",IF(AP1778&gt;=1,"Lift",IF(AP1778&lt;=0,"Aussenlager","teilweise")))))</f>
        <v/>
      </c>
      <c r="BL1778" s="60" t="str">
        <f aca="false">IF(AT1778&lt;=0,"",IF(CG1778="Aussen","Aussenlager",IF(CG1778="-","Nicht im Lift",IF(AZ1778&gt;=1,"Lift",IF(AZ1778&lt;=0,"Aussenlager","teilweise")))))</f>
        <v/>
      </c>
      <c r="BM1778" s="60" t="str">
        <f aca="false">IF(BD1778&lt;=0,"",IF(CG1778="Aussen","Aussenlager",IF(CG1778="-","Nicht im Lift",IF(BJ1778&gt;=1,"Lift",IF(BJ1778&lt;=0,"Aussenlager","teilweise")))))</f>
        <v/>
      </c>
      <c r="BN1778" s="60" t="str">
        <f aca="false">IF(A1778="","",IF(BW1778=1,"Neu; ","")&amp;IF(AND(BW1778=0,BR1778&lt;0),"negativer Bestand (Export "&amp;BR1778&amp;"); ","")&amp;IF(J1778&lt;=0,"Kein Verbrauch; ","")&amp;IF(CR1778&gt;0,"Lift "&amp;W1778&amp;" lt. Liftbericht (Fach "&amp;X1778&amp;" Stk); ",IF(CB1778=1,"Gebinde geschätzt ("&amp;T1778&amp;"); ",IF(CA1778=1,"Lose – Tablare geschätzt; ","")))&amp;IF(H1778&gt;AW1778,"Überbestand "&amp;ROUND(H1778-AW1778,0)&amp;" Stk / CHF "&amp;ROUND((H1778-AW1778)*G1778,0)&amp;"; ","")&amp;IF(AND(CI1778=1,CJ1778&lt;CK1778),"MAX &lt; MB+LG; ","")&amp;IF(AND(CQ1778&gt;0,CP1778*10&gt;CQ1778),"zu hoch für Tablar; ","")&amp;IF(AND(BW1778=0,OR(CI1778=1,AB1778&lt;&gt;"",U1778&lt;&gt;"",V1778&lt;&gt;"",AC1778&lt;&gt;"")),"manuell übersteuert; ","")&amp;IF(AND(CA1778=0,R1778=0),"Gebinde unbekannt / Stellmass fehlt; ","")&amp;IF(AND(CA1778=0,N(V1778)&lt;=0,N(Q1778)&lt;=0),"Menge pro Gebinde fehlt (Ist = 1 Gebinde); ","")&amp;BV1778)</f>
        <v/>
      </c>
      <c r="BO1778" s="60"/>
      <c r="BP1778" s="60"/>
      <c r="BQ1778" s="67"/>
      <c r="BR1778" s="62" t="n">
        <f aca="false">N('Neue Artikel'!$D$39)</f>
        <v>0</v>
      </c>
      <c r="BS1778" s="62" t="n">
        <v>0</v>
      </c>
      <c r="BT1778" s="61" t="n">
        <v>0</v>
      </c>
      <c r="BU1778" s="62" t="n">
        <f aca="false">N('Neue Artikel'!$C$39)/Parameter!$B$18</f>
        <v>0</v>
      </c>
      <c r="BV1778" s="60"/>
      <c r="BW1778" s="65" t="n">
        <v>1</v>
      </c>
      <c r="BX1778" s="65" t="n">
        <v>1778</v>
      </c>
      <c r="BY1778" s="60" t="str">
        <f aca="false">IF(U1778&lt;&gt;"",UPPER(TRIM(U1778)),IF(CB1778=1,UPPER(VLOOKUP(T1778,Parameter!$I$27:$K$29,2,0)),IF(P1778="","LOSE",P1778)))</f>
        <v>LOSE</v>
      </c>
      <c r="BZ1778" s="62" t="n">
        <f aca="false">IF(BY1778="LOSE",1,IF(N(V1778)&gt;0,V1778,IF(CB1778=1,MAX(1,N(VLOOKUP(T1778,Parameter!$I$27:$K$29,3,0)),H1778,N(N1778)),IF(N(Q1778)&gt;0,Q1778,MAX(1,H1778)))))</f>
        <v>1</v>
      </c>
      <c r="CA1778" s="65" t="n">
        <f aca="false">IF(BY1778="LOSE",1,0)</f>
        <v>1</v>
      </c>
      <c r="CB1778" s="65" t="n">
        <f aca="false">IF(AND(U1778="",OR(P1778="",P1778="LOSE"),T1778&lt;&gt;"",N(S1778)&lt;=0,ISNUMBER(MATCH(T1778,Parameter!$I$27:$I$29,0))),1,0)</f>
        <v>0</v>
      </c>
      <c r="CC1778" s="65" t="n">
        <f aca="false">IF(CR1778&gt;0,INDEX(Parameter!$H$5:$H$7,W1778)/INDEX(Parameter!$E$5:$E$7,W1778),IF(AND(CA1778=0,N(IFERROR(VLOOKUP(BY1778,'Gebinde-Kategorie'!$A$5:$N$45,14,0),0))&gt;0),VLOOKUP(BY1778,'Gebinde-Kategorie'!$A$5:$N$45,14,0)*10+Parameter!$M$23,Parameter!$M$24))</f>
        <v>235</v>
      </c>
      <c r="CD1778" s="60" t="str">
        <f aca="false">IF(AND(Parameter!$B$19="Ja",E1778&lt;&gt;"",ISNUMBER(MATCH(E1778,Parameter!$I$35:$I$52,0))),VLOOKUP(E1778,Parameter!$I$35:$J$52,2,0),IFERROR(VLOOKUP(D1778,Parameter!$A$35:$C$64,2,0),"Nein"))</f>
        <v>2+3</v>
      </c>
      <c r="CE1778" s="64" t="n">
        <f aca="false">IF(CA1778=0,0,IF(N(S1778)&gt;0,S1778,IFERROR(VLOOKUP(D1778,Parameter!$A$35:$C$64,3,0)+0,0)))</f>
        <v>0.15</v>
      </c>
      <c r="CF1778" s="60" t="str">
        <f aca="false">IF(AB1778&lt;&gt;"",AB1778,AA1778)</f>
        <v/>
      </c>
      <c r="CG1778" s="60" t="str">
        <f aca="false">IF(OR(CF1778=1,CF1778=2,CF1778=3),IF(Parameter!$E$27="Ja","LIFT",IF(CF1778=1,"L1","L23")),IF(CF1778="Aussen","Aussen","-"))</f>
        <v>-</v>
      </c>
      <c r="CH1778" s="71" t="n">
        <f aca="false">IF(N(AC1778)&gt;0,AC1778,0)</f>
        <v>0</v>
      </c>
      <c r="CI1778" s="65" t="n">
        <f aca="false">IF(ISNUMBER(AF1778),1,0)</f>
        <v>0</v>
      </c>
      <c r="CJ1778" s="62" t="n">
        <f aca="false">N(AF1778)</f>
        <v>0</v>
      </c>
      <c r="CK1778" s="62" t="n">
        <f aca="false">N(M1778)+N(N1778)</f>
        <v>0</v>
      </c>
      <c r="CL1778" s="62" t="n">
        <f aca="false">N(M1778)</f>
        <v>0</v>
      </c>
      <c r="CM1778" s="62" t="n">
        <f aca="false">N(N1778)</f>
        <v>0</v>
      </c>
      <c r="CN1778" s="62" t="n">
        <f aca="false">ROUNDUP(H1778/BZ1778,0)</f>
        <v>0</v>
      </c>
      <c r="CO1778" s="62" t="n">
        <f aca="false">ROUNDUP(CJ1778/BZ1778,0)</f>
        <v>0</v>
      </c>
      <c r="CP1778" s="65" t="n">
        <f aca="false">IF(CA1778=1,0,IFERROR(VLOOKUP(BY1778,'Gebinde-Kategorie'!$A$5:$N$45,5,0)+0,0))</f>
        <v>0</v>
      </c>
      <c r="CQ1778" s="65" t="n">
        <f aca="false">IFERROR(IF(OR(CF1778=1,CF1778=2,CF1778=3),N(INDEX(Parameter!$I$5:$I$7,CF1778)),0),0)</f>
        <v>0</v>
      </c>
      <c r="CR1778" s="64" t="n">
        <f aca="false">IF(AND(Parameter!$B$21="Ja",ISNUMBER(W1778),N(X1778)&gt;0),IFERROR(N(INDEX(Parameter!$L$5:$L$7,W1778))*INDEX(Parameter!$E$5:$E$7,W1778)*X1778/SUMIFS($X$7:$X$1843,$W$7:$W$1843,W1778),0),0)</f>
        <v>0</v>
      </c>
      <c r="CS1778" s="62" t="str">
        <f aca="false">IF(AND(OR(CG1778="L1",CG1778="L23",CG1778="LIFT"),H1778&gt;0),CC1778*IF(CR1778&gt;0,CR1778*MAX(1,H1778/X1778),IF(CA1778=1,CE1778,IF(R1778&gt;0,CN1778/R1778,0))/MAX(0.1,N(Parameter!$M$21))),"")</f>
        <v/>
      </c>
      <c r="CT1778" s="64" t="str">
        <f aca="false">IF(CS1778="","",J1778/H1778)</f>
        <v/>
      </c>
      <c r="CU1778" s="62" t="str">
        <f aca="false">IF(CS1778="","",H1778*G1778)</f>
        <v/>
      </c>
      <c r="CV1778" s="63" t="str">
        <f aca="false">IF(CS1778="","",(CL1778+ROUNDUP(CL1778+MAX(CM1778,2*(J1778/MAX(0.1,N(Einkauf!$C$6))-CL1778)),0))/2)</f>
        <v/>
      </c>
      <c r="CW1778" s="62" t="str">
        <f aca="false">IF(CS1778="","",MAX(0,H1778-CV1778)*G1778)</f>
        <v/>
      </c>
      <c r="CX1778" s="62" t="str">
        <f aca="false">IF(CS1778="","",CS1778*MAX(0,1-CV1778/H1778))</f>
        <v/>
      </c>
      <c r="CY1778" s="64" t="str">
        <f aca="false">IF(CS1778="","",PERCENTRANK($CS$7:$CS$1843,CS1778)+PERCENTRANK($CU$7:$CU$1843,CU1778)+1-PERCENTRANK($CT$7:$CT$1843,CT1778))</f>
        <v/>
      </c>
      <c r="CZ1778" s="72" t="str">
        <f aca="false">IF(CS1778="","",CHOOSE(MATCH(Einkauf!$C$5,Parameter!$G$23:$G$27,0),CY1778,CS1778,CU1778,-CT1778,CW1778)+ROW()/1000000000)</f>
        <v/>
      </c>
    </row>
    <row r="1779" customFormat="false" ht="15" hidden="false" customHeight="false" outlineLevel="0" collapsed="false">
      <c r="A1779" s="60" t="str">
        <f aca="false">IF('Neue Artikel'!$A$40="","",'Neue Artikel'!$A$40&amp;"")</f>
        <v/>
      </c>
      <c r="B1779" s="60" t="str">
        <f aca="false">'Neue Artikel'!$B$40&amp;""</f>
        <v/>
      </c>
      <c r="C1779" s="60"/>
      <c r="D1779" s="60" t="s">
        <v>3057</v>
      </c>
      <c r="E1779" s="60"/>
      <c r="F1779" s="60"/>
      <c r="G1779" s="61" t="n">
        <f aca="false">N('Neue Artikel'!$G$40)</f>
        <v>0</v>
      </c>
      <c r="H1779" s="62" t="n">
        <f aca="false">MAX(0,IF(AND(Parameter!$B$21="Ja",ISNUMBER(Y1779)),Y1779,IF(Parameter!$B$20="Jahresanfang 2025 + Export",BS1779+BR1779,BR1779)))</f>
        <v>0</v>
      </c>
      <c r="I1779" s="62" t="n">
        <f aca="false">H1779*G1779</f>
        <v>0</v>
      </c>
      <c r="J1779" s="62" t="n">
        <f aca="false">BU1779*Parameter!$B$18</f>
        <v>0</v>
      </c>
      <c r="K1779" s="63"/>
      <c r="L1779" s="64"/>
      <c r="M1779" s="62" t="n">
        <f aca="false">N('Neue Artikel'!$E$40)</f>
        <v>0</v>
      </c>
      <c r="N1779" s="62" t="n">
        <f aca="false">N('Neue Artikel'!$F$40)</f>
        <v>0</v>
      </c>
      <c r="O1779" s="65"/>
      <c r="P1779" s="60" t="str">
        <f aca="false">IF('Neue Artikel'!$H$40="","LOSE",UPPER(TRIM('Neue Artikel'!$H$40)))</f>
        <v>LOSE</v>
      </c>
      <c r="Q1779" s="62" t="n">
        <f aca="false">N('Neue Artikel'!$I$40)</f>
        <v>0</v>
      </c>
      <c r="R1779" s="65" t="n">
        <f aca="false">IF(CA1779=1,0,IFERROR(VLOOKUP(BY1779,'Gebinde-Kategorie'!$A$5:$N$45,13,0)+0,0))</f>
        <v>0</v>
      </c>
      <c r="S1779" s="66"/>
      <c r="T1779" s="67"/>
      <c r="U1779" s="67"/>
      <c r="V1779" s="67"/>
      <c r="W1779" s="60"/>
      <c r="X1779" s="62"/>
      <c r="Y1779" s="62"/>
      <c r="Z1779" s="60"/>
      <c r="AA1779" s="60" t="str">
        <f aca="false">IF(A1779="","",IF(AND(Parameter!$B$21="Ja",ISNUMBER(W1779)),W1779,IF(AND(Parameter!$E$27="Ja",ISNUMBER(Z1779),CD1779&lt;&gt;"Nein"),Z1779,IF(CD1779="2+3",IF(ISNUMBER(SEARCH("grosser Artikel",BV1779)),2,IFERROR(VLOOKUP(BY1779,Parameter!$F$35:$G$64,2,0),2)),IF(OR(CD1779="Nein",CD1779=""),"-",CD1779)))))</f>
        <v/>
      </c>
      <c r="AB1779" s="60" t="str">
        <f aca="false">IF('Neue Artikel'!$J$40="","",'Neue Artikel'!$J$40)</f>
        <v/>
      </c>
      <c r="AC1779" s="68"/>
      <c r="AD1779" s="62" t="n">
        <f aca="false">AW1779</f>
        <v>0</v>
      </c>
      <c r="AE1779" s="62" t="n">
        <f aca="false">MAX(AW1779,H1779)</f>
        <v>0</v>
      </c>
      <c r="AF1779" s="69"/>
      <c r="AG1779" s="62" t="n">
        <f aca="false">IF(LEFT(Cockpit!$C$5,1)="A",H1779,IF(Parameter!$E$30="MAX-Bestand",IF(CI1779=1,CJ1779,IF(LEFT(Cockpit!$C$5,1)="B",AM1779,MAX(AM1779,H1779))),ROUNDUP(AK1779,0)))</f>
        <v>0</v>
      </c>
      <c r="AH1779" s="62" t="n">
        <f aca="false">IF(CA1779=1,0,ROUNDUP(AG1779/BZ1779,0))</f>
        <v>0</v>
      </c>
      <c r="AI1779" s="64" t="n">
        <f aca="false">IF(CR1779&gt;0,CR1779*MAX(1,AG1779/X1779),IF(CA1779=1,IF(AG1779&lt;=0,0,CE1779*MAX(1,IF(H1779&gt;0,AG1779/H1779,1))),IF(R1779&gt;0,AH1779/R1779,0))/MAX(0.1,N(Parameter!$M$21)))</f>
        <v>0</v>
      </c>
      <c r="AJ1779" s="62" t="n">
        <f aca="false">AI1779*CC1779</f>
        <v>0</v>
      </c>
      <c r="AK1779" s="63" t="n">
        <f aca="false">IF(LEFT(Cockpit!$C$5,1)="A",H1779,IF(CI1779=1,(CL1779+CJ1779)/2,IF(LEFT(Cockpit!$C$5,1)="B",(CL1779+AM1779)/2,MAX((CL1779+AM1779)/2,H1779))))</f>
        <v>0</v>
      </c>
      <c r="AL1779" s="62" t="n">
        <f aca="false">AK1779*G1779</f>
        <v>0</v>
      </c>
      <c r="AM1779" s="62" t="n">
        <f aca="false">ROUNDUP(CL1779+MAX(CM1779,2*(J1779/IF(CH1779&gt;0,CH1779,MAX(0.1,N(Cockpit!$C$6)))-CL1779)),0)</f>
        <v>0</v>
      </c>
      <c r="AN1779" s="63" t="n">
        <f aca="false">IF(AJ1779&gt;0,J1779/AJ1779,-1)</f>
        <v>-1</v>
      </c>
      <c r="AO1779" s="63" t="str">
        <f aca="false">IF(AND(OR(CG1779="L1",CG1779="L23",CG1779="LIFT"),AJ1779&gt;0),SUMIFS($AJ$7:$AJ$1843,$CG$7:$CG$1843,CG1779,$AN$7:$AN$1843,"&gt;"&amp;AN1779)+SUMIFS($AJ$7:$AJ$1843,$CG$7:$CG$1843,CG1779,$AN$7:$AN$1843,AN1779,$BX$7:$BX$1843,"&lt;="&amp;BX1779),"")</f>
        <v/>
      </c>
      <c r="AP1779" s="70" t="n">
        <f aca="false">IF(AO1779="",0,MAX(0,MIN(1,(IF(CG1779="L1",Parameter!$H$5,IF(CG1779="L23",Parameter!$H$6+Parameter!$H$7,Parameter!$H$5+Parameter!$H$6+Parameter!$H$7))-(AO1779-AJ1779))/AJ1779)))</f>
        <v>0</v>
      </c>
      <c r="AQ1779" s="62" t="n">
        <f aca="false">IF(LEFT(Cockpit!$I$5,1)="A",H1779,IF(Parameter!$E$30="MAX-Bestand",IF(CI1779=1,CJ1779,IF(LEFT(Cockpit!$I$5,1)="B",AW1779,MAX(AW1779,H1779))),ROUNDUP(AU1779,0)))</f>
        <v>0</v>
      </c>
      <c r="AR1779" s="62" t="n">
        <f aca="false">IF(CA1779=1,0,ROUNDUP(AQ1779/BZ1779,0))</f>
        <v>0</v>
      </c>
      <c r="AS1779" s="64" t="n">
        <f aca="false">IF(CR1779&gt;0,CR1779*MAX(1,AQ1779/X1779),IF(CA1779=1,IF(AQ1779&lt;=0,0,CE1779*MAX(1,IF(H1779&gt;0,AQ1779/H1779,1))),IF(R1779&gt;0,AR1779/R1779,0))/MAX(0.1,N(Parameter!$M$21)))</f>
        <v>0</v>
      </c>
      <c r="AT1779" s="62" t="n">
        <f aca="false">AS1779*CC1779</f>
        <v>0</v>
      </c>
      <c r="AU1779" s="63" t="n">
        <f aca="false">IF(LEFT(Cockpit!$I$5,1)="A",H1779,IF(CI1779=1,(CL1779+CJ1779)/2,IF(LEFT(Cockpit!$I$5,1)="B",(CL1779+AW1779)/2,MAX((CL1779+AW1779)/2,H1779))))</f>
        <v>0</v>
      </c>
      <c r="AV1779" s="62" t="n">
        <f aca="false">AU1779*G1779</f>
        <v>0</v>
      </c>
      <c r="AW1779" s="62" t="n">
        <f aca="false">ROUNDUP(CL1779+MAX(CM1779,2*(J1779/IF(CH1779&gt;0,CH1779,MAX(0.1,N(Cockpit!$I$6)))-CL1779)),0)</f>
        <v>0</v>
      </c>
      <c r="AX1779" s="63" t="n">
        <f aca="false">IF(AT1779&gt;0,J1779/AT1779,-1)</f>
        <v>-1</v>
      </c>
      <c r="AY1779" s="63" t="str">
        <f aca="false">IF(AND(OR(CG1779="L1",CG1779="L23",CG1779="LIFT"),AT1779&gt;0),SUMIFS($AT$7:$AT$1843,$CG$7:$CG$1843,CG1779,$AX$7:$AX$1843,"&gt;"&amp;AX1779)+SUMIFS($AT$7:$AT$1843,$CG$7:$CG$1843,CG1779,$AX$7:$AX$1843,AX1779,$BX$7:$BX$1843,"&lt;="&amp;BX1779),"")</f>
        <v/>
      </c>
      <c r="AZ1779" s="70" t="n">
        <f aca="false">IF(AY1779="",0,MAX(0,MIN(1,(IF(CG1779="L1",Parameter!$H$5,IF(CG1779="L23",Parameter!$H$6+Parameter!$H$7,Parameter!$H$5+Parameter!$H$6+Parameter!$H$7))-(AY1779-AT1779))/AT1779)))</f>
        <v>0</v>
      </c>
      <c r="BA1779" s="62" t="n">
        <f aca="false">IF(LEFT(Cockpit!$O$5,1)="A",H1779,IF(Parameter!$E$30="MAX-Bestand",IF(CI1779=1,CJ1779,IF(LEFT(Cockpit!$O$5,1)="B",BG1779,MAX(BG1779,H1779))),ROUNDUP(BE1779,0)))</f>
        <v>0</v>
      </c>
      <c r="BB1779" s="62" t="n">
        <f aca="false">IF(CA1779=1,0,ROUNDUP(BA1779/BZ1779,0))</f>
        <v>0</v>
      </c>
      <c r="BC1779" s="64" t="n">
        <f aca="false">IF(CR1779&gt;0,CR1779*MAX(1,BA1779/X1779),IF(CA1779=1,IF(BA1779&lt;=0,0,CE1779*MAX(1,IF(H1779&gt;0,BA1779/H1779,1))),IF(R1779&gt;0,BB1779/R1779,0))/MAX(0.1,N(Parameter!$M$21)))</f>
        <v>0</v>
      </c>
      <c r="BD1779" s="62" t="n">
        <f aca="false">BC1779*CC1779</f>
        <v>0</v>
      </c>
      <c r="BE1779" s="63" t="n">
        <f aca="false">IF(LEFT(Cockpit!$O$5,1)="A",H1779,IF(CI1779=1,(CL1779+CJ1779)/2,IF(LEFT(Cockpit!$O$5,1)="B",(CL1779+BG1779)/2,MAX((CL1779+BG1779)/2,H1779))))</f>
        <v>0</v>
      </c>
      <c r="BF1779" s="62" t="n">
        <f aca="false">BE1779*G1779</f>
        <v>0</v>
      </c>
      <c r="BG1779" s="62" t="n">
        <f aca="false">ROUNDUP(CL1779+MAX(CM1779,2*(J1779/IF(CH1779&gt;0,CH1779,MAX(0.1,N(Cockpit!$O$6)))-CL1779)),0)</f>
        <v>0</v>
      </c>
      <c r="BH1779" s="63" t="n">
        <f aca="false">IF(BD1779&gt;0,J1779/BD1779,-1)</f>
        <v>-1</v>
      </c>
      <c r="BI1779" s="63" t="str">
        <f aca="false">IF(AND(OR(CG1779="L1",CG1779="L23",CG1779="LIFT"),BD1779&gt;0),SUMIFS($BD$7:$BD$1843,$CG$7:$CG$1843,CG1779,$BH$7:$BH$1843,"&gt;"&amp;BH1779)+SUMIFS($BD$7:$BD$1843,$CG$7:$CG$1843,CG1779,$BH$7:$BH$1843,BH1779,$BX$7:$BX$1843,"&lt;="&amp;BX1779),"")</f>
        <v/>
      </c>
      <c r="BJ1779" s="70" t="n">
        <f aca="false">IF(BI1779="",0,MAX(0,MIN(1,(IF(CG1779="L1",Parameter!$H$5,IF(CG1779="L23",Parameter!$H$6+Parameter!$H$7,Parameter!$H$5+Parameter!$H$6+Parameter!$H$7))-(BI1779-BD1779))/BD1779)))</f>
        <v>0</v>
      </c>
      <c r="BK1779" s="60" t="str">
        <f aca="false">IF(AJ1779&lt;=0,"",IF(CG1779="Aussen","Aussenlager",IF(CG1779="-","Nicht im Lift",IF(AP1779&gt;=1,"Lift",IF(AP1779&lt;=0,"Aussenlager","teilweise")))))</f>
        <v/>
      </c>
      <c r="BL1779" s="60" t="str">
        <f aca="false">IF(AT1779&lt;=0,"",IF(CG1779="Aussen","Aussenlager",IF(CG1779="-","Nicht im Lift",IF(AZ1779&gt;=1,"Lift",IF(AZ1779&lt;=0,"Aussenlager","teilweise")))))</f>
        <v/>
      </c>
      <c r="BM1779" s="60" t="str">
        <f aca="false">IF(BD1779&lt;=0,"",IF(CG1779="Aussen","Aussenlager",IF(CG1779="-","Nicht im Lift",IF(BJ1779&gt;=1,"Lift",IF(BJ1779&lt;=0,"Aussenlager","teilweise")))))</f>
        <v/>
      </c>
      <c r="BN1779" s="60" t="str">
        <f aca="false">IF(A1779="","",IF(BW1779=1,"Neu; ","")&amp;IF(AND(BW1779=0,BR1779&lt;0),"negativer Bestand (Export "&amp;BR1779&amp;"); ","")&amp;IF(J1779&lt;=0,"Kein Verbrauch; ","")&amp;IF(CR1779&gt;0,"Lift "&amp;W1779&amp;" lt. Liftbericht (Fach "&amp;X1779&amp;" Stk); ",IF(CB1779=1,"Gebinde geschätzt ("&amp;T1779&amp;"); ",IF(CA1779=1,"Lose – Tablare geschätzt; ","")))&amp;IF(H1779&gt;AW1779,"Überbestand "&amp;ROUND(H1779-AW1779,0)&amp;" Stk / CHF "&amp;ROUND((H1779-AW1779)*G1779,0)&amp;"; ","")&amp;IF(AND(CI1779=1,CJ1779&lt;CK1779),"MAX &lt; MB+LG; ","")&amp;IF(AND(CQ1779&gt;0,CP1779*10&gt;CQ1779),"zu hoch für Tablar; ","")&amp;IF(AND(BW1779=0,OR(CI1779=1,AB1779&lt;&gt;"",U1779&lt;&gt;"",V1779&lt;&gt;"",AC1779&lt;&gt;"")),"manuell übersteuert; ","")&amp;IF(AND(CA1779=0,R1779=0),"Gebinde unbekannt / Stellmass fehlt; ","")&amp;IF(AND(CA1779=0,N(V1779)&lt;=0,N(Q1779)&lt;=0),"Menge pro Gebinde fehlt (Ist = 1 Gebinde); ","")&amp;BV1779)</f>
        <v/>
      </c>
      <c r="BO1779" s="60"/>
      <c r="BP1779" s="60"/>
      <c r="BQ1779" s="67"/>
      <c r="BR1779" s="62" t="n">
        <f aca="false">N('Neue Artikel'!$D$40)</f>
        <v>0</v>
      </c>
      <c r="BS1779" s="62" t="n">
        <v>0</v>
      </c>
      <c r="BT1779" s="61" t="n">
        <v>0</v>
      </c>
      <c r="BU1779" s="62" t="n">
        <f aca="false">N('Neue Artikel'!$C$40)/Parameter!$B$18</f>
        <v>0</v>
      </c>
      <c r="BV1779" s="60"/>
      <c r="BW1779" s="65" t="n">
        <v>1</v>
      </c>
      <c r="BX1779" s="65" t="n">
        <v>1779</v>
      </c>
      <c r="BY1779" s="60" t="str">
        <f aca="false">IF(U1779&lt;&gt;"",UPPER(TRIM(U1779)),IF(CB1779=1,UPPER(VLOOKUP(T1779,Parameter!$I$27:$K$29,2,0)),IF(P1779="","LOSE",P1779)))</f>
        <v>LOSE</v>
      </c>
      <c r="BZ1779" s="62" t="n">
        <f aca="false">IF(BY1779="LOSE",1,IF(N(V1779)&gt;0,V1779,IF(CB1779=1,MAX(1,N(VLOOKUP(T1779,Parameter!$I$27:$K$29,3,0)),H1779,N(N1779)),IF(N(Q1779)&gt;0,Q1779,MAX(1,H1779)))))</f>
        <v>1</v>
      </c>
      <c r="CA1779" s="65" t="n">
        <f aca="false">IF(BY1779="LOSE",1,0)</f>
        <v>1</v>
      </c>
      <c r="CB1779" s="65" t="n">
        <f aca="false">IF(AND(U1779="",OR(P1779="",P1779="LOSE"),T1779&lt;&gt;"",N(S1779)&lt;=0,ISNUMBER(MATCH(T1779,Parameter!$I$27:$I$29,0))),1,0)</f>
        <v>0</v>
      </c>
      <c r="CC1779" s="65" t="n">
        <f aca="false">IF(CR1779&gt;0,INDEX(Parameter!$H$5:$H$7,W1779)/INDEX(Parameter!$E$5:$E$7,W1779),IF(AND(CA1779=0,N(IFERROR(VLOOKUP(BY1779,'Gebinde-Kategorie'!$A$5:$N$45,14,0),0))&gt;0),VLOOKUP(BY1779,'Gebinde-Kategorie'!$A$5:$N$45,14,0)*10+Parameter!$M$23,Parameter!$M$24))</f>
        <v>235</v>
      </c>
      <c r="CD1779" s="60" t="str">
        <f aca="false">IF(AND(Parameter!$B$19="Ja",E1779&lt;&gt;"",ISNUMBER(MATCH(E1779,Parameter!$I$35:$I$52,0))),VLOOKUP(E1779,Parameter!$I$35:$J$52,2,0),IFERROR(VLOOKUP(D1779,Parameter!$A$35:$C$64,2,0),"Nein"))</f>
        <v>2+3</v>
      </c>
      <c r="CE1779" s="64" t="n">
        <f aca="false">IF(CA1779=0,0,IF(N(S1779)&gt;0,S1779,IFERROR(VLOOKUP(D1779,Parameter!$A$35:$C$64,3,0)+0,0)))</f>
        <v>0.15</v>
      </c>
      <c r="CF1779" s="60" t="str">
        <f aca="false">IF(AB1779&lt;&gt;"",AB1779,AA1779)</f>
        <v/>
      </c>
      <c r="CG1779" s="60" t="str">
        <f aca="false">IF(OR(CF1779=1,CF1779=2,CF1779=3),IF(Parameter!$E$27="Ja","LIFT",IF(CF1779=1,"L1","L23")),IF(CF1779="Aussen","Aussen","-"))</f>
        <v>-</v>
      </c>
      <c r="CH1779" s="71" t="n">
        <f aca="false">IF(N(AC1779)&gt;0,AC1779,0)</f>
        <v>0</v>
      </c>
      <c r="CI1779" s="65" t="n">
        <f aca="false">IF(ISNUMBER(AF1779),1,0)</f>
        <v>0</v>
      </c>
      <c r="CJ1779" s="62" t="n">
        <f aca="false">N(AF1779)</f>
        <v>0</v>
      </c>
      <c r="CK1779" s="62" t="n">
        <f aca="false">N(M1779)+N(N1779)</f>
        <v>0</v>
      </c>
      <c r="CL1779" s="62" t="n">
        <f aca="false">N(M1779)</f>
        <v>0</v>
      </c>
      <c r="CM1779" s="62" t="n">
        <f aca="false">N(N1779)</f>
        <v>0</v>
      </c>
      <c r="CN1779" s="62" t="n">
        <f aca="false">ROUNDUP(H1779/BZ1779,0)</f>
        <v>0</v>
      </c>
      <c r="CO1779" s="62" t="n">
        <f aca="false">ROUNDUP(CJ1779/BZ1779,0)</f>
        <v>0</v>
      </c>
      <c r="CP1779" s="65" t="n">
        <f aca="false">IF(CA1779=1,0,IFERROR(VLOOKUP(BY1779,'Gebinde-Kategorie'!$A$5:$N$45,5,0)+0,0))</f>
        <v>0</v>
      </c>
      <c r="CQ1779" s="65" t="n">
        <f aca="false">IFERROR(IF(OR(CF1779=1,CF1779=2,CF1779=3),N(INDEX(Parameter!$I$5:$I$7,CF1779)),0),0)</f>
        <v>0</v>
      </c>
      <c r="CR1779" s="64" t="n">
        <f aca="false">IF(AND(Parameter!$B$21="Ja",ISNUMBER(W1779),N(X1779)&gt;0),IFERROR(N(INDEX(Parameter!$L$5:$L$7,W1779))*INDEX(Parameter!$E$5:$E$7,W1779)*X1779/SUMIFS($X$7:$X$1843,$W$7:$W$1843,W1779),0),0)</f>
        <v>0</v>
      </c>
      <c r="CS1779" s="62" t="str">
        <f aca="false">IF(AND(OR(CG1779="L1",CG1779="L23",CG1779="LIFT"),H1779&gt;0),CC1779*IF(CR1779&gt;0,CR1779*MAX(1,H1779/X1779),IF(CA1779=1,CE1779,IF(R1779&gt;0,CN1779/R1779,0))/MAX(0.1,N(Parameter!$M$21))),"")</f>
        <v/>
      </c>
      <c r="CT1779" s="64" t="str">
        <f aca="false">IF(CS1779="","",J1779/H1779)</f>
        <v/>
      </c>
      <c r="CU1779" s="62" t="str">
        <f aca="false">IF(CS1779="","",H1779*G1779)</f>
        <v/>
      </c>
      <c r="CV1779" s="63" t="str">
        <f aca="false">IF(CS1779="","",(CL1779+ROUNDUP(CL1779+MAX(CM1779,2*(J1779/MAX(0.1,N(Einkauf!$C$6))-CL1779)),0))/2)</f>
        <v/>
      </c>
      <c r="CW1779" s="62" t="str">
        <f aca="false">IF(CS1779="","",MAX(0,H1779-CV1779)*G1779)</f>
        <v/>
      </c>
      <c r="CX1779" s="62" t="str">
        <f aca="false">IF(CS1779="","",CS1779*MAX(0,1-CV1779/H1779))</f>
        <v/>
      </c>
      <c r="CY1779" s="64" t="str">
        <f aca="false">IF(CS1779="","",PERCENTRANK($CS$7:$CS$1843,CS1779)+PERCENTRANK($CU$7:$CU$1843,CU1779)+1-PERCENTRANK($CT$7:$CT$1843,CT1779))</f>
        <v/>
      </c>
      <c r="CZ1779" s="72" t="str">
        <f aca="false">IF(CS1779="","",CHOOSE(MATCH(Einkauf!$C$5,Parameter!$G$23:$G$27,0),CY1779,CS1779,CU1779,-CT1779,CW1779)+ROW()/1000000000)</f>
        <v/>
      </c>
    </row>
    <row r="1780" customFormat="false" ht="15" hidden="false" customHeight="false" outlineLevel="0" collapsed="false">
      <c r="A1780" s="60" t="str">
        <f aca="false">IF('Neue Artikel'!$A$41="","",'Neue Artikel'!$A$41&amp;"")</f>
        <v/>
      </c>
      <c r="B1780" s="60" t="str">
        <f aca="false">'Neue Artikel'!$B$41&amp;""</f>
        <v/>
      </c>
      <c r="C1780" s="60"/>
      <c r="D1780" s="60" t="s">
        <v>3057</v>
      </c>
      <c r="E1780" s="60"/>
      <c r="F1780" s="60"/>
      <c r="G1780" s="61" t="n">
        <f aca="false">N('Neue Artikel'!$G$41)</f>
        <v>0</v>
      </c>
      <c r="H1780" s="62" t="n">
        <f aca="false">MAX(0,IF(AND(Parameter!$B$21="Ja",ISNUMBER(Y1780)),Y1780,IF(Parameter!$B$20="Jahresanfang 2025 + Export",BS1780+BR1780,BR1780)))</f>
        <v>0</v>
      </c>
      <c r="I1780" s="62" t="n">
        <f aca="false">H1780*G1780</f>
        <v>0</v>
      </c>
      <c r="J1780" s="62" t="n">
        <f aca="false">BU1780*Parameter!$B$18</f>
        <v>0</v>
      </c>
      <c r="K1780" s="63"/>
      <c r="L1780" s="64"/>
      <c r="M1780" s="62" t="n">
        <f aca="false">N('Neue Artikel'!$E$41)</f>
        <v>0</v>
      </c>
      <c r="N1780" s="62" t="n">
        <f aca="false">N('Neue Artikel'!$F$41)</f>
        <v>0</v>
      </c>
      <c r="O1780" s="65"/>
      <c r="P1780" s="60" t="str">
        <f aca="false">IF('Neue Artikel'!$H$41="","LOSE",UPPER(TRIM('Neue Artikel'!$H$41)))</f>
        <v>LOSE</v>
      </c>
      <c r="Q1780" s="62" t="n">
        <f aca="false">N('Neue Artikel'!$I$41)</f>
        <v>0</v>
      </c>
      <c r="R1780" s="65" t="n">
        <f aca="false">IF(CA1780=1,0,IFERROR(VLOOKUP(BY1780,'Gebinde-Kategorie'!$A$5:$N$45,13,0)+0,0))</f>
        <v>0</v>
      </c>
      <c r="S1780" s="66"/>
      <c r="T1780" s="67"/>
      <c r="U1780" s="67"/>
      <c r="V1780" s="67"/>
      <c r="W1780" s="60"/>
      <c r="X1780" s="62"/>
      <c r="Y1780" s="62"/>
      <c r="Z1780" s="60"/>
      <c r="AA1780" s="60" t="str">
        <f aca="false">IF(A1780="","",IF(AND(Parameter!$B$21="Ja",ISNUMBER(W1780)),W1780,IF(AND(Parameter!$E$27="Ja",ISNUMBER(Z1780),CD1780&lt;&gt;"Nein"),Z1780,IF(CD1780="2+3",IF(ISNUMBER(SEARCH("grosser Artikel",BV1780)),2,IFERROR(VLOOKUP(BY1780,Parameter!$F$35:$G$64,2,0),2)),IF(OR(CD1780="Nein",CD1780=""),"-",CD1780)))))</f>
        <v/>
      </c>
      <c r="AB1780" s="60" t="str">
        <f aca="false">IF('Neue Artikel'!$J$41="","",'Neue Artikel'!$J$41)</f>
        <v/>
      </c>
      <c r="AC1780" s="68"/>
      <c r="AD1780" s="62" t="n">
        <f aca="false">AW1780</f>
        <v>0</v>
      </c>
      <c r="AE1780" s="62" t="n">
        <f aca="false">MAX(AW1780,H1780)</f>
        <v>0</v>
      </c>
      <c r="AF1780" s="69"/>
      <c r="AG1780" s="62" t="n">
        <f aca="false">IF(LEFT(Cockpit!$C$5,1)="A",H1780,IF(Parameter!$E$30="MAX-Bestand",IF(CI1780=1,CJ1780,IF(LEFT(Cockpit!$C$5,1)="B",AM1780,MAX(AM1780,H1780))),ROUNDUP(AK1780,0)))</f>
        <v>0</v>
      </c>
      <c r="AH1780" s="62" t="n">
        <f aca="false">IF(CA1780=1,0,ROUNDUP(AG1780/BZ1780,0))</f>
        <v>0</v>
      </c>
      <c r="AI1780" s="64" t="n">
        <f aca="false">IF(CR1780&gt;0,CR1780*MAX(1,AG1780/X1780),IF(CA1780=1,IF(AG1780&lt;=0,0,CE1780*MAX(1,IF(H1780&gt;0,AG1780/H1780,1))),IF(R1780&gt;0,AH1780/R1780,0))/MAX(0.1,N(Parameter!$M$21)))</f>
        <v>0</v>
      </c>
      <c r="AJ1780" s="62" t="n">
        <f aca="false">AI1780*CC1780</f>
        <v>0</v>
      </c>
      <c r="AK1780" s="63" t="n">
        <f aca="false">IF(LEFT(Cockpit!$C$5,1)="A",H1780,IF(CI1780=1,(CL1780+CJ1780)/2,IF(LEFT(Cockpit!$C$5,1)="B",(CL1780+AM1780)/2,MAX((CL1780+AM1780)/2,H1780))))</f>
        <v>0</v>
      </c>
      <c r="AL1780" s="62" t="n">
        <f aca="false">AK1780*G1780</f>
        <v>0</v>
      </c>
      <c r="AM1780" s="62" t="n">
        <f aca="false">ROUNDUP(CL1780+MAX(CM1780,2*(J1780/IF(CH1780&gt;0,CH1780,MAX(0.1,N(Cockpit!$C$6)))-CL1780)),0)</f>
        <v>0</v>
      </c>
      <c r="AN1780" s="63" t="n">
        <f aca="false">IF(AJ1780&gt;0,J1780/AJ1780,-1)</f>
        <v>-1</v>
      </c>
      <c r="AO1780" s="63" t="str">
        <f aca="false">IF(AND(OR(CG1780="L1",CG1780="L23",CG1780="LIFT"),AJ1780&gt;0),SUMIFS($AJ$7:$AJ$1843,$CG$7:$CG$1843,CG1780,$AN$7:$AN$1843,"&gt;"&amp;AN1780)+SUMIFS($AJ$7:$AJ$1843,$CG$7:$CG$1843,CG1780,$AN$7:$AN$1843,AN1780,$BX$7:$BX$1843,"&lt;="&amp;BX1780),"")</f>
        <v/>
      </c>
      <c r="AP1780" s="70" t="n">
        <f aca="false">IF(AO1780="",0,MAX(0,MIN(1,(IF(CG1780="L1",Parameter!$H$5,IF(CG1780="L23",Parameter!$H$6+Parameter!$H$7,Parameter!$H$5+Parameter!$H$6+Parameter!$H$7))-(AO1780-AJ1780))/AJ1780)))</f>
        <v>0</v>
      </c>
      <c r="AQ1780" s="62" t="n">
        <f aca="false">IF(LEFT(Cockpit!$I$5,1)="A",H1780,IF(Parameter!$E$30="MAX-Bestand",IF(CI1780=1,CJ1780,IF(LEFT(Cockpit!$I$5,1)="B",AW1780,MAX(AW1780,H1780))),ROUNDUP(AU1780,0)))</f>
        <v>0</v>
      </c>
      <c r="AR1780" s="62" t="n">
        <f aca="false">IF(CA1780=1,0,ROUNDUP(AQ1780/BZ1780,0))</f>
        <v>0</v>
      </c>
      <c r="AS1780" s="64" t="n">
        <f aca="false">IF(CR1780&gt;0,CR1780*MAX(1,AQ1780/X1780),IF(CA1780=1,IF(AQ1780&lt;=0,0,CE1780*MAX(1,IF(H1780&gt;0,AQ1780/H1780,1))),IF(R1780&gt;0,AR1780/R1780,0))/MAX(0.1,N(Parameter!$M$21)))</f>
        <v>0</v>
      </c>
      <c r="AT1780" s="62" t="n">
        <f aca="false">AS1780*CC1780</f>
        <v>0</v>
      </c>
      <c r="AU1780" s="63" t="n">
        <f aca="false">IF(LEFT(Cockpit!$I$5,1)="A",H1780,IF(CI1780=1,(CL1780+CJ1780)/2,IF(LEFT(Cockpit!$I$5,1)="B",(CL1780+AW1780)/2,MAX((CL1780+AW1780)/2,H1780))))</f>
        <v>0</v>
      </c>
      <c r="AV1780" s="62" t="n">
        <f aca="false">AU1780*G1780</f>
        <v>0</v>
      </c>
      <c r="AW1780" s="62" t="n">
        <f aca="false">ROUNDUP(CL1780+MAX(CM1780,2*(J1780/IF(CH1780&gt;0,CH1780,MAX(0.1,N(Cockpit!$I$6)))-CL1780)),0)</f>
        <v>0</v>
      </c>
      <c r="AX1780" s="63" t="n">
        <f aca="false">IF(AT1780&gt;0,J1780/AT1780,-1)</f>
        <v>-1</v>
      </c>
      <c r="AY1780" s="63" t="str">
        <f aca="false">IF(AND(OR(CG1780="L1",CG1780="L23",CG1780="LIFT"),AT1780&gt;0),SUMIFS($AT$7:$AT$1843,$CG$7:$CG$1843,CG1780,$AX$7:$AX$1843,"&gt;"&amp;AX1780)+SUMIFS($AT$7:$AT$1843,$CG$7:$CG$1843,CG1780,$AX$7:$AX$1843,AX1780,$BX$7:$BX$1843,"&lt;="&amp;BX1780),"")</f>
        <v/>
      </c>
      <c r="AZ1780" s="70" t="n">
        <f aca="false">IF(AY1780="",0,MAX(0,MIN(1,(IF(CG1780="L1",Parameter!$H$5,IF(CG1780="L23",Parameter!$H$6+Parameter!$H$7,Parameter!$H$5+Parameter!$H$6+Parameter!$H$7))-(AY1780-AT1780))/AT1780)))</f>
        <v>0</v>
      </c>
      <c r="BA1780" s="62" t="n">
        <f aca="false">IF(LEFT(Cockpit!$O$5,1)="A",H1780,IF(Parameter!$E$30="MAX-Bestand",IF(CI1780=1,CJ1780,IF(LEFT(Cockpit!$O$5,1)="B",BG1780,MAX(BG1780,H1780))),ROUNDUP(BE1780,0)))</f>
        <v>0</v>
      </c>
      <c r="BB1780" s="62" t="n">
        <f aca="false">IF(CA1780=1,0,ROUNDUP(BA1780/BZ1780,0))</f>
        <v>0</v>
      </c>
      <c r="BC1780" s="64" t="n">
        <f aca="false">IF(CR1780&gt;0,CR1780*MAX(1,BA1780/X1780),IF(CA1780=1,IF(BA1780&lt;=0,0,CE1780*MAX(1,IF(H1780&gt;0,BA1780/H1780,1))),IF(R1780&gt;0,BB1780/R1780,0))/MAX(0.1,N(Parameter!$M$21)))</f>
        <v>0</v>
      </c>
      <c r="BD1780" s="62" t="n">
        <f aca="false">BC1780*CC1780</f>
        <v>0</v>
      </c>
      <c r="BE1780" s="63" t="n">
        <f aca="false">IF(LEFT(Cockpit!$O$5,1)="A",H1780,IF(CI1780=1,(CL1780+CJ1780)/2,IF(LEFT(Cockpit!$O$5,1)="B",(CL1780+BG1780)/2,MAX((CL1780+BG1780)/2,H1780))))</f>
        <v>0</v>
      </c>
      <c r="BF1780" s="62" t="n">
        <f aca="false">BE1780*G1780</f>
        <v>0</v>
      </c>
      <c r="BG1780" s="62" t="n">
        <f aca="false">ROUNDUP(CL1780+MAX(CM1780,2*(J1780/IF(CH1780&gt;0,CH1780,MAX(0.1,N(Cockpit!$O$6)))-CL1780)),0)</f>
        <v>0</v>
      </c>
      <c r="BH1780" s="63" t="n">
        <f aca="false">IF(BD1780&gt;0,J1780/BD1780,-1)</f>
        <v>-1</v>
      </c>
      <c r="BI1780" s="63" t="str">
        <f aca="false">IF(AND(OR(CG1780="L1",CG1780="L23",CG1780="LIFT"),BD1780&gt;0),SUMIFS($BD$7:$BD$1843,$CG$7:$CG$1843,CG1780,$BH$7:$BH$1843,"&gt;"&amp;BH1780)+SUMIFS($BD$7:$BD$1843,$CG$7:$CG$1843,CG1780,$BH$7:$BH$1843,BH1780,$BX$7:$BX$1843,"&lt;="&amp;BX1780),"")</f>
        <v/>
      </c>
      <c r="BJ1780" s="70" t="n">
        <f aca="false">IF(BI1780="",0,MAX(0,MIN(1,(IF(CG1780="L1",Parameter!$H$5,IF(CG1780="L23",Parameter!$H$6+Parameter!$H$7,Parameter!$H$5+Parameter!$H$6+Parameter!$H$7))-(BI1780-BD1780))/BD1780)))</f>
        <v>0</v>
      </c>
      <c r="BK1780" s="60" t="str">
        <f aca="false">IF(AJ1780&lt;=0,"",IF(CG1780="Aussen","Aussenlager",IF(CG1780="-","Nicht im Lift",IF(AP1780&gt;=1,"Lift",IF(AP1780&lt;=0,"Aussenlager","teilweise")))))</f>
        <v/>
      </c>
      <c r="BL1780" s="60" t="str">
        <f aca="false">IF(AT1780&lt;=0,"",IF(CG1780="Aussen","Aussenlager",IF(CG1780="-","Nicht im Lift",IF(AZ1780&gt;=1,"Lift",IF(AZ1780&lt;=0,"Aussenlager","teilweise")))))</f>
        <v/>
      </c>
      <c r="BM1780" s="60" t="str">
        <f aca="false">IF(BD1780&lt;=0,"",IF(CG1780="Aussen","Aussenlager",IF(CG1780="-","Nicht im Lift",IF(BJ1780&gt;=1,"Lift",IF(BJ1780&lt;=0,"Aussenlager","teilweise")))))</f>
        <v/>
      </c>
      <c r="BN1780" s="60" t="str">
        <f aca="false">IF(A1780="","",IF(BW1780=1,"Neu; ","")&amp;IF(AND(BW1780=0,BR1780&lt;0),"negativer Bestand (Export "&amp;BR1780&amp;"); ","")&amp;IF(J1780&lt;=0,"Kein Verbrauch; ","")&amp;IF(CR1780&gt;0,"Lift "&amp;W1780&amp;" lt. Liftbericht (Fach "&amp;X1780&amp;" Stk); ",IF(CB1780=1,"Gebinde geschätzt ("&amp;T1780&amp;"); ",IF(CA1780=1,"Lose – Tablare geschätzt; ","")))&amp;IF(H1780&gt;AW1780,"Überbestand "&amp;ROUND(H1780-AW1780,0)&amp;" Stk / CHF "&amp;ROUND((H1780-AW1780)*G1780,0)&amp;"; ","")&amp;IF(AND(CI1780=1,CJ1780&lt;CK1780),"MAX &lt; MB+LG; ","")&amp;IF(AND(CQ1780&gt;0,CP1780*10&gt;CQ1780),"zu hoch für Tablar; ","")&amp;IF(AND(BW1780=0,OR(CI1780=1,AB1780&lt;&gt;"",U1780&lt;&gt;"",V1780&lt;&gt;"",AC1780&lt;&gt;"")),"manuell übersteuert; ","")&amp;IF(AND(CA1780=0,R1780=0),"Gebinde unbekannt / Stellmass fehlt; ","")&amp;IF(AND(CA1780=0,N(V1780)&lt;=0,N(Q1780)&lt;=0),"Menge pro Gebinde fehlt (Ist = 1 Gebinde); ","")&amp;BV1780)</f>
        <v/>
      </c>
      <c r="BO1780" s="60"/>
      <c r="BP1780" s="60"/>
      <c r="BQ1780" s="67"/>
      <c r="BR1780" s="62" t="n">
        <f aca="false">N('Neue Artikel'!$D$41)</f>
        <v>0</v>
      </c>
      <c r="BS1780" s="62" t="n">
        <v>0</v>
      </c>
      <c r="BT1780" s="61" t="n">
        <v>0</v>
      </c>
      <c r="BU1780" s="62" t="n">
        <f aca="false">N('Neue Artikel'!$C$41)/Parameter!$B$18</f>
        <v>0</v>
      </c>
      <c r="BV1780" s="60"/>
      <c r="BW1780" s="65" t="n">
        <v>1</v>
      </c>
      <c r="BX1780" s="65" t="n">
        <v>1780</v>
      </c>
      <c r="BY1780" s="60" t="str">
        <f aca="false">IF(U1780&lt;&gt;"",UPPER(TRIM(U1780)),IF(CB1780=1,UPPER(VLOOKUP(T1780,Parameter!$I$27:$K$29,2,0)),IF(P1780="","LOSE",P1780)))</f>
        <v>LOSE</v>
      </c>
      <c r="BZ1780" s="62" t="n">
        <f aca="false">IF(BY1780="LOSE",1,IF(N(V1780)&gt;0,V1780,IF(CB1780=1,MAX(1,N(VLOOKUP(T1780,Parameter!$I$27:$K$29,3,0)),H1780,N(N1780)),IF(N(Q1780)&gt;0,Q1780,MAX(1,H1780)))))</f>
        <v>1</v>
      </c>
      <c r="CA1780" s="65" t="n">
        <f aca="false">IF(BY1780="LOSE",1,0)</f>
        <v>1</v>
      </c>
      <c r="CB1780" s="65" t="n">
        <f aca="false">IF(AND(U1780="",OR(P1780="",P1780="LOSE"),T1780&lt;&gt;"",N(S1780)&lt;=0,ISNUMBER(MATCH(T1780,Parameter!$I$27:$I$29,0))),1,0)</f>
        <v>0</v>
      </c>
      <c r="CC1780" s="65" t="n">
        <f aca="false">IF(CR1780&gt;0,INDEX(Parameter!$H$5:$H$7,W1780)/INDEX(Parameter!$E$5:$E$7,W1780),IF(AND(CA1780=0,N(IFERROR(VLOOKUP(BY1780,'Gebinde-Kategorie'!$A$5:$N$45,14,0),0))&gt;0),VLOOKUP(BY1780,'Gebinde-Kategorie'!$A$5:$N$45,14,0)*10+Parameter!$M$23,Parameter!$M$24))</f>
        <v>235</v>
      </c>
      <c r="CD1780" s="60" t="str">
        <f aca="false">IF(AND(Parameter!$B$19="Ja",E1780&lt;&gt;"",ISNUMBER(MATCH(E1780,Parameter!$I$35:$I$52,0))),VLOOKUP(E1780,Parameter!$I$35:$J$52,2,0),IFERROR(VLOOKUP(D1780,Parameter!$A$35:$C$64,2,0),"Nein"))</f>
        <v>2+3</v>
      </c>
      <c r="CE1780" s="64" t="n">
        <f aca="false">IF(CA1780=0,0,IF(N(S1780)&gt;0,S1780,IFERROR(VLOOKUP(D1780,Parameter!$A$35:$C$64,3,0)+0,0)))</f>
        <v>0.15</v>
      </c>
      <c r="CF1780" s="60" t="str">
        <f aca="false">IF(AB1780&lt;&gt;"",AB1780,AA1780)</f>
        <v/>
      </c>
      <c r="CG1780" s="60" t="str">
        <f aca="false">IF(OR(CF1780=1,CF1780=2,CF1780=3),IF(Parameter!$E$27="Ja","LIFT",IF(CF1780=1,"L1","L23")),IF(CF1780="Aussen","Aussen","-"))</f>
        <v>-</v>
      </c>
      <c r="CH1780" s="71" t="n">
        <f aca="false">IF(N(AC1780)&gt;0,AC1780,0)</f>
        <v>0</v>
      </c>
      <c r="CI1780" s="65" t="n">
        <f aca="false">IF(ISNUMBER(AF1780),1,0)</f>
        <v>0</v>
      </c>
      <c r="CJ1780" s="62" t="n">
        <f aca="false">N(AF1780)</f>
        <v>0</v>
      </c>
      <c r="CK1780" s="62" t="n">
        <f aca="false">N(M1780)+N(N1780)</f>
        <v>0</v>
      </c>
      <c r="CL1780" s="62" t="n">
        <f aca="false">N(M1780)</f>
        <v>0</v>
      </c>
      <c r="CM1780" s="62" t="n">
        <f aca="false">N(N1780)</f>
        <v>0</v>
      </c>
      <c r="CN1780" s="62" t="n">
        <f aca="false">ROUNDUP(H1780/BZ1780,0)</f>
        <v>0</v>
      </c>
      <c r="CO1780" s="62" t="n">
        <f aca="false">ROUNDUP(CJ1780/BZ1780,0)</f>
        <v>0</v>
      </c>
      <c r="CP1780" s="65" t="n">
        <f aca="false">IF(CA1780=1,0,IFERROR(VLOOKUP(BY1780,'Gebinde-Kategorie'!$A$5:$N$45,5,0)+0,0))</f>
        <v>0</v>
      </c>
      <c r="CQ1780" s="65" t="n">
        <f aca="false">IFERROR(IF(OR(CF1780=1,CF1780=2,CF1780=3),N(INDEX(Parameter!$I$5:$I$7,CF1780)),0),0)</f>
        <v>0</v>
      </c>
      <c r="CR1780" s="64" t="n">
        <f aca="false">IF(AND(Parameter!$B$21="Ja",ISNUMBER(W1780),N(X1780)&gt;0),IFERROR(N(INDEX(Parameter!$L$5:$L$7,W1780))*INDEX(Parameter!$E$5:$E$7,W1780)*X1780/SUMIFS($X$7:$X$1843,$W$7:$W$1843,W1780),0),0)</f>
        <v>0</v>
      </c>
      <c r="CS1780" s="62" t="str">
        <f aca="false">IF(AND(OR(CG1780="L1",CG1780="L23",CG1780="LIFT"),H1780&gt;0),CC1780*IF(CR1780&gt;0,CR1780*MAX(1,H1780/X1780),IF(CA1780=1,CE1780,IF(R1780&gt;0,CN1780/R1780,0))/MAX(0.1,N(Parameter!$M$21))),"")</f>
        <v/>
      </c>
      <c r="CT1780" s="64" t="str">
        <f aca="false">IF(CS1780="","",J1780/H1780)</f>
        <v/>
      </c>
      <c r="CU1780" s="62" t="str">
        <f aca="false">IF(CS1780="","",H1780*G1780)</f>
        <v/>
      </c>
      <c r="CV1780" s="63" t="str">
        <f aca="false">IF(CS1780="","",(CL1780+ROUNDUP(CL1780+MAX(CM1780,2*(J1780/MAX(0.1,N(Einkauf!$C$6))-CL1780)),0))/2)</f>
        <v/>
      </c>
      <c r="CW1780" s="62" t="str">
        <f aca="false">IF(CS1780="","",MAX(0,H1780-CV1780)*G1780)</f>
        <v/>
      </c>
      <c r="CX1780" s="62" t="str">
        <f aca="false">IF(CS1780="","",CS1780*MAX(0,1-CV1780/H1780))</f>
        <v/>
      </c>
      <c r="CY1780" s="64" t="str">
        <f aca="false">IF(CS1780="","",PERCENTRANK($CS$7:$CS$1843,CS1780)+PERCENTRANK($CU$7:$CU$1843,CU1780)+1-PERCENTRANK($CT$7:$CT$1843,CT1780))</f>
        <v/>
      </c>
      <c r="CZ1780" s="72" t="str">
        <f aca="false">IF(CS1780="","",CHOOSE(MATCH(Einkauf!$C$5,Parameter!$G$23:$G$27,0),CY1780,CS1780,CU1780,-CT1780,CW1780)+ROW()/1000000000)</f>
        <v/>
      </c>
    </row>
    <row r="1781" customFormat="false" ht="15" hidden="false" customHeight="false" outlineLevel="0" collapsed="false">
      <c r="A1781" s="60" t="str">
        <f aca="false">IF('Neue Artikel'!$A$42="","",'Neue Artikel'!$A$42&amp;"")</f>
        <v/>
      </c>
      <c r="B1781" s="60" t="str">
        <f aca="false">'Neue Artikel'!$B$42&amp;""</f>
        <v/>
      </c>
      <c r="C1781" s="60"/>
      <c r="D1781" s="60" t="s">
        <v>3057</v>
      </c>
      <c r="E1781" s="60"/>
      <c r="F1781" s="60"/>
      <c r="G1781" s="61" t="n">
        <f aca="false">N('Neue Artikel'!$G$42)</f>
        <v>0</v>
      </c>
      <c r="H1781" s="62" t="n">
        <f aca="false">MAX(0,IF(AND(Parameter!$B$21="Ja",ISNUMBER(Y1781)),Y1781,IF(Parameter!$B$20="Jahresanfang 2025 + Export",BS1781+BR1781,BR1781)))</f>
        <v>0</v>
      </c>
      <c r="I1781" s="62" t="n">
        <f aca="false">H1781*G1781</f>
        <v>0</v>
      </c>
      <c r="J1781" s="62" t="n">
        <f aca="false">BU1781*Parameter!$B$18</f>
        <v>0</v>
      </c>
      <c r="K1781" s="63"/>
      <c r="L1781" s="64"/>
      <c r="M1781" s="62" t="n">
        <f aca="false">N('Neue Artikel'!$E$42)</f>
        <v>0</v>
      </c>
      <c r="N1781" s="62" t="n">
        <f aca="false">N('Neue Artikel'!$F$42)</f>
        <v>0</v>
      </c>
      <c r="O1781" s="65"/>
      <c r="P1781" s="60" t="str">
        <f aca="false">IF('Neue Artikel'!$H$42="","LOSE",UPPER(TRIM('Neue Artikel'!$H$42)))</f>
        <v>LOSE</v>
      </c>
      <c r="Q1781" s="62" t="n">
        <f aca="false">N('Neue Artikel'!$I$42)</f>
        <v>0</v>
      </c>
      <c r="R1781" s="65" t="n">
        <f aca="false">IF(CA1781=1,0,IFERROR(VLOOKUP(BY1781,'Gebinde-Kategorie'!$A$5:$N$45,13,0)+0,0))</f>
        <v>0</v>
      </c>
      <c r="S1781" s="66"/>
      <c r="T1781" s="67"/>
      <c r="U1781" s="67"/>
      <c r="V1781" s="67"/>
      <c r="W1781" s="60"/>
      <c r="X1781" s="62"/>
      <c r="Y1781" s="62"/>
      <c r="Z1781" s="60"/>
      <c r="AA1781" s="60" t="str">
        <f aca="false">IF(A1781="","",IF(AND(Parameter!$B$21="Ja",ISNUMBER(W1781)),W1781,IF(AND(Parameter!$E$27="Ja",ISNUMBER(Z1781),CD1781&lt;&gt;"Nein"),Z1781,IF(CD1781="2+3",IF(ISNUMBER(SEARCH("grosser Artikel",BV1781)),2,IFERROR(VLOOKUP(BY1781,Parameter!$F$35:$G$64,2,0),2)),IF(OR(CD1781="Nein",CD1781=""),"-",CD1781)))))</f>
        <v/>
      </c>
      <c r="AB1781" s="60" t="str">
        <f aca="false">IF('Neue Artikel'!$J$42="","",'Neue Artikel'!$J$42)</f>
        <v/>
      </c>
      <c r="AC1781" s="68"/>
      <c r="AD1781" s="62" t="n">
        <f aca="false">AW1781</f>
        <v>0</v>
      </c>
      <c r="AE1781" s="62" t="n">
        <f aca="false">MAX(AW1781,H1781)</f>
        <v>0</v>
      </c>
      <c r="AF1781" s="69"/>
      <c r="AG1781" s="62" t="n">
        <f aca="false">IF(LEFT(Cockpit!$C$5,1)="A",H1781,IF(Parameter!$E$30="MAX-Bestand",IF(CI1781=1,CJ1781,IF(LEFT(Cockpit!$C$5,1)="B",AM1781,MAX(AM1781,H1781))),ROUNDUP(AK1781,0)))</f>
        <v>0</v>
      </c>
      <c r="AH1781" s="62" t="n">
        <f aca="false">IF(CA1781=1,0,ROUNDUP(AG1781/BZ1781,0))</f>
        <v>0</v>
      </c>
      <c r="AI1781" s="64" t="n">
        <f aca="false">IF(CR1781&gt;0,CR1781*MAX(1,AG1781/X1781),IF(CA1781=1,IF(AG1781&lt;=0,0,CE1781*MAX(1,IF(H1781&gt;0,AG1781/H1781,1))),IF(R1781&gt;0,AH1781/R1781,0))/MAX(0.1,N(Parameter!$M$21)))</f>
        <v>0</v>
      </c>
      <c r="AJ1781" s="62" t="n">
        <f aca="false">AI1781*CC1781</f>
        <v>0</v>
      </c>
      <c r="AK1781" s="63" t="n">
        <f aca="false">IF(LEFT(Cockpit!$C$5,1)="A",H1781,IF(CI1781=1,(CL1781+CJ1781)/2,IF(LEFT(Cockpit!$C$5,1)="B",(CL1781+AM1781)/2,MAX((CL1781+AM1781)/2,H1781))))</f>
        <v>0</v>
      </c>
      <c r="AL1781" s="62" t="n">
        <f aca="false">AK1781*G1781</f>
        <v>0</v>
      </c>
      <c r="AM1781" s="62" t="n">
        <f aca="false">ROUNDUP(CL1781+MAX(CM1781,2*(J1781/IF(CH1781&gt;0,CH1781,MAX(0.1,N(Cockpit!$C$6)))-CL1781)),0)</f>
        <v>0</v>
      </c>
      <c r="AN1781" s="63" t="n">
        <f aca="false">IF(AJ1781&gt;0,J1781/AJ1781,-1)</f>
        <v>-1</v>
      </c>
      <c r="AO1781" s="63" t="str">
        <f aca="false">IF(AND(OR(CG1781="L1",CG1781="L23",CG1781="LIFT"),AJ1781&gt;0),SUMIFS($AJ$7:$AJ$1843,$CG$7:$CG$1843,CG1781,$AN$7:$AN$1843,"&gt;"&amp;AN1781)+SUMIFS($AJ$7:$AJ$1843,$CG$7:$CG$1843,CG1781,$AN$7:$AN$1843,AN1781,$BX$7:$BX$1843,"&lt;="&amp;BX1781),"")</f>
        <v/>
      </c>
      <c r="AP1781" s="70" t="n">
        <f aca="false">IF(AO1781="",0,MAX(0,MIN(1,(IF(CG1781="L1",Parameter!$H$5,IF(CG1781="L23",Parameter!$H$6+Parameter!$H$7,Parameter!$H$5+Parameter!$H$6+Parameter!$H$7))-(AO1781-AJ1781))/AJ1781)))</f>
        <v>0</v>
      </c>
      <c r="AQ1781" s="62" t="n">
        <f aca="false">IF(LEFT(Cockpit!$I$5,1)="A",H1781,IF(Parameter!$E$30="MAX-Bestand",IF(CI1781=1,CJ1781,IF(LEFT(Cockpit!$I$5,1)="B",AW1781,MAX(AW1781,H1781))),ROUNDUP(AU1781,0)))</f>
        <v>0</v>
      </c>
      <c r="AR1781" s="62" t="n">
        <f aca="false">IF(CA1781=1,0,ROUNDUP(AQ1781/BZ1781,0))</f>
        <v>0</v>
      </c>
      <c r="AS1781" s="64" t="n">
        <f aca="false">IF(CR1781&gt;0,CR1781*MAX(1,AQ1781/X1781),IF(CA1781=1,IF(AQ1781&lt;=0,0,CE1781*MAX(1,IF(H1781&gt;0,AQ1781/H1781,1))),IF(R1781&gt;0,AR1781/R1781,0))/MAX(0.1,N(Parameter!$M$21)))</f>
        <v>0</v>
      </c>
      <c r="AT1781" s="62" t="n">
        <f aca="false">AS1781*CC1781</f>
        <v>0</v>
      </c>
      <c r="AU1781" s="63" t="n">
        <f aca="false">IF(LEFT(Cockpit!$I$5,1)="A",H1781,IF(CI1781=1,(CL1781+CJ1781)/2,IF(LEFT(Cockpit!$I$5,1)="B",(CL1781+AW1781)/2,MAX((CL1781+AW1781)/2,H1781))))</f>
        <v>0</v>
      </c>
      <c r="AV1781" s="62" t="n">
        <f aca="false">AU1781*G1781</f>
        <v>0</v>
      </c>
      <c r="AW1781" s="62" t="n">
        <f aca="false">ROUNDUP(CL1781+MAX(CM1781,2*(J1781/IF(CH1781&gt;0,CH1781,MAX(0.1,N(Cockpit!$I$6)))-CL1781)),0)</f>
        <v>0</v>
      </c>
      <c r="AX1781" s="63" t="n">
        <f aca="false">IF(AT1781&gt;0,J1781/AT1781,-1)</f>
        <v>-1</v>
      </c>
      <c r="AY1781" s="63" t="str">
        <f aca="false">IF(AND(OR(CG1781="L1",CG1781="L23",CG1781="LIFT"),AT1781&gt;0),SUMIFS($AT$7:$AT$1843,$CG$7:$CG$1843,CG1781,$AX$7:$AX$1843,"&gt;"&amp;AX1781)+SUMIFS($AT$7:$AT$1843,$CG$7:$CG$1843,CG1781,$AX$7:$AX$1843,AX1781,$BX$7:$BX$1843,"&lt;="&amp;BX1781),"")</f>
        <v/>
      </c>
      <c r="AZ1781" s="70" t="n">
        <f aca="false">IF(AY1781="",0,MAX(0,MIN(1,(IF(CG1781="L1",Parameter!$H$5,IF(CG1781="L23",Parameter!$H$6+Parameter!$H$7,Parameter!$H$5+Parameter!$H$6+Parameter!$H$7))-(AY1781-AT1781))/AT1781)))</f>
        <v>0</v>
      </c>
      <c r="BA1781" s="62" t="n">
        <f aca="false">IF(LEFT(Cockpit!$O$5,1)="A",H1781,IF(Parameter!$E$30="MAX-Bestand",IF(CI1781=1,CJ1781,IF(LEFT(Cockpit!$O$5,1)="B",BG1781,MAX(BG1781,H1781))),ROUNDUP(BE1781,0)))</f>
        <v>0</v>
      </c>
      <c r="BB1781" s="62" t="n">
        <f aca="false">IF(CA1781=1,0,ROUNDUP(BA1781/BZ1781,0))</f>
        <v>0</v>
      </c>
      <c r="BC1781" s="64" t="n">
        <f aca="false">IF(CR1781&gt;0,CR1781*MAX(1,BA1781/X1781),IF(CA1781=1,IF(BA1781&lt;=0,0,CE1781*MAX(1,IF(H1781&gt;0,BA1781/H1781,1))),IF(R1781&gt;0,BB1781/R1781,0))/MAX(0.1,N(Parameter!$M$21)))</f>
        <v>0</v>
      </c>
      <c r="BD1781" s="62" t="n">
        <f aca="false">BC1781*CC1781</f>
        <v>0</v>
      </c>
      <c r="BE1781" s="63" t="n">
        <f aca="false">IF(LEFT(Cockpit!$O$5,1)="A",H1781,IF(CI1781=1,(CL1781+CJ1781)/2,IF(LEFT(Cockpit!$O$5,1)="B",(CL1781+BG1781)/2,MAX((CL1781+BG1781)/2,H1781))))</f>
        <v>0</v>
      </c>
      <c r="BF1781" s="62" t="n">
        <f aca="false">BE1781*G1781</f>
        <v>0</v>
      </c>
      <c r="BG1781" s="62" t="n">
        <f aca="false">ROUNDUP(CL1781+MAX(CM1781,2*(J1781/IF(CH1781&gt;0,CH1781,MAX(0.1,N(Cockpit!$O$6)))-CL1781)),0)</f>
        <v>0</v>
      </c>
      <c r="BH1781" s="63" t="n">
        <f aca="false">IF(BD1781&gt;0,J1781/BD1781,-1)</f>
        <v>-1</v>
      </c>
      <c r="BI1781" s="63" t="str">
        <f aca="false">IF(AND(OR(CG1781="L1",CG1781="L23",CG1781="LIFT"),BD1781&gt;0),SUMIFS($BD$7:$BD$1843,$CG$7:$CG$1843,CG1781,$BH$7:$BH$1843,"&gt;"&amp;BH1781)+SUMIFS($BD$7:$BD$1843,$CG$7:$CG$1843,CG1781,$BH$7:$BH$1843,BH1781,$BX$7:$BX$1843,"&lt;="&amp;BX1781),"")</f>
        <v/>
      </c>
      <c r="BJ1781" s="70" t="n">
        <f aca="false">IF(BI1781="",0,MAX(0,MIN(1,(IF(CG1781="L1",Parameter!$H$5,IF(CG1781="L23",Parameter!$H$6+Parameter!$H$7,Parameter!$H$5+Parameter!$H$6+Parameter!$H$7))-(BI1781-BD1781))/BD1781)))</f>
        <v>0</v>
      </c>
      <c r="BK1781" s="60" t="str">
        <f aca="false">IF(AJ1781&lt;=0,"",IF(CG1781="Aussen","Aussenlager",IF(CG1781="-","Nicht im Lift",IF(AP1781&gt;=1,"Lift",IF(AP1781&lt;=0,"Aussenlager","teilweise")))))</f>
        <v/>
      </c>
      <c r="BL1781" s="60" t="str">
        <f aca="false">IF(AT1781&lt;=0,"",IF(CG1781="Aussen","Aussenlager",IF(CG1781="-","Nicht im Lift",IF(AZ1781&gt;=1,"Lift",IF(AZ1781&lt;=0,"Aussenlager","teilweise")))))</f>
        <v/>
      </c>
      <c r="BM1781" s="60" t="str">
        <f aca="false">IF(BD1781&lt;=0,"",IF(CG1781="Aussen","Aussenlager",IF(CG1781="-","Nicht im Lift",IF(BJ1781&gt;=1,"Lift",IF(BJ1781&lt;=0,"Aussenlager","teilweise")))))</f>
        <v/>
      </c>
      <c r="BN1781" s="60" t="str">
        <f aca="false">IF(A1781="","",IF(BW1781=1,"Neu; ","")&amp;IF(AND(BW1781=0,BR1781&lt;0),"negativer Bestand (Export "&amp;BR1781&amp;"); ","")&amp;IF(J1781&lt;=0,"Kein Verbrauch; ","")&amp;IF(CR1781&gt;0,"Lift "&amp;W1781&amp;" lt. Liftbericht (Fach "&amp;X1781&amp;" Stk); ",IF(CB1781=1,"Gebinde geschätzt ("&amp;T1781&amp;"); ",IF(CA1781=1,"Lose – Tablare geschätzt; ","")))&amp;IF(H1781&gt;AW1781,"Überbestand "&amp;ROUND(H1781-AW1781,0)&amp;" Stk / CHF "&amp;ROUND((H1781-AW1781)*G1781,0)&amp;"; ","")&amp;IF(AND(CI1781=1,CJ1781&lt;CK1781),"MAX &lt; MB+LG; ","")&amp;IF(AND(CQ1781&gt;0,CP1781*10&gt;CQ1781),"zu hoch für Tablar; ","")&amp;IF(AND(BW1781=0,OR(CI1781=1,AB1781&lt;&gt;"",U1781&lt;&gt;"",V1781&lt;&gt;"",AC1781&lt;&gt;"")),"manuell übersteuert; ","")&amp;IF(AND(CA1781=0,R1781=0),"Gebinde unbekannt / Stellmass fehlt; ","")&amp;IF(AND(CA1781=0,N(V1781)&lt;=0,N(Q1781)&lt;=0),"Menge pro Gebinde fehlt (Ist = 1 Gebinde); ","")&amp;BV1781)</f>
        <v/>
      </c>
      <c r="BO1781" s="60"/>
      <c r="BP1781" s="60"/>
      <c r="BQ1781" s="67"/>
      <c r="BR1781" s="62" t="n">
        <f aca="false">N('Neue Artikel'!$D$42)</f>
        <v>0</v>
      </c>
      <c r="BS1781" s="62" t="n">
        <v>0</v>
      </c>
      <c r="BT1781" s="61" t="n">
        <v>0</v>
      </c>
      <c r="BU1781" s="62" t="n">
        <f aca="false">N('Neue Artikel'!$C$42)/Parameter!$B$18</f>
        <v>0</v>
      </c>
      <c r="BV1781" s="60"/>
      <c r="BW1781" s="65" t="n">
        <v>1</v>
      </c>
      <c r="BX1781" s="65" t="n">
        <v>1781</v>
      </c>
      <c r="BY1781" s="60" t="str">
        <f aca="false">IF(U1781&lt;&gt;"",UPPER(TRIM(U1781)),IF(CB1781=1,UPPER(VLOOKUP(T1781,Parameter!$I$27:$K$29,2,0)),IF(P1781="","LOSE",P1781)))</f>
        <v>LOSE</v>
      </c>
      <c r="BZ1781" s="62" t="n">
        <f aca="false">IF(BY1781="LOSE",1,IF(N(V1781)&gt;0,V1781,IF(CB1781=1,MAX(1,N(VLOOKUP(T1781,Parameter!$I$27:$K$29,3,0)),H1781,N(N1781)),IF(N(Q1781)&gt;0,Q1781,MAX(1,H1781)))))</f>
        <v>1</v>
      </c>
      <c r="CA1781" s="65" t="n">
        <f aca="false">IF(BY1781="LOSE",1,0)</f>
        <v>1</v>
      </c>
      <c r="CB1781" s="65" t="n">
        <f aca="false">IF(AND(U1781="",OR(P1781="",P1781="LOSE"),T1781&lt;&gt;"",N(S1781)&lt;=0,ISNUMBER(MATCH(T1781,Parameter!$I$27:$I$29,0))),1,0)</f>
        <v>0</v>
      </c>
      <c r="CC1781" s="65" t="n">
        <f aca="false">IF(CR1781&gt;0,INDEX(Parameter!$H$5:$H$7,W1781)/INDEX(Parameter!$E$5:$E$7,W1781),IF(AND(CA1781=0,N(IFERROR(VLOOKUP(BY1781,'Gebinde-Kategorie'!$A$5:$N$45,14,0),0))&gt;0),VLOOKUP(BY1781,'Gebinde-Kategorie'!$A$5:$N$45,14,0)*10+Parameter!$M$23,Parameter!$M$24))</f>
        <v>235</v>
      </c>
      <c r="CD1781" s="60" t="str">
        <f aca="false">IF(AND(Parameter!$B$19="Ja",E1781&lt;&gt;"",ISNUMBER(MATCH(E1781,Parameter!$I$35:$I$52,0))),VLOOKUP(E1781,Parameter!$I$35:$J$52,2,0),IFERROR(VLOOKUP(D1781,Parameter!$A$35:$C$64,2,0),"Nein"))</f>
        <v>2+3</v>
      </c>
      <c r="CE1781" s="64" t="n">
        <f aca="false">IF(CA1781=0,0,IF(N(S1781)&gt;0,S1781,IFERROR(VLOOKUP(D1781,Parameter!$A$35:$C$64,3,0)+0,0)))</f>
        <v>0.15</v>
      </c>
      <c r="CF1781" s="60" t="str">
        <f aca="false">IF(AB1781&lt;&gt;"",AB1781,AA1781)</f>
        <v/>
      </c>
      <c r="CG1781" s="60" t="str">
        <f aca="false">IF(OR(CF1781=1,CF1781=2,CF1781=3),IF(Parameter!$E$27="Ja","LIFT",IF(CF1781=1,"L1","L23")),IF(CF1781="Aussen","Aussen","-"))</f>
        <v>-</v>
      </c>
      <c r="CH1781" s="71" t="n">
        <f aca="false">IF(N(AC1781)&gt;0,AC1781,0)</f>
        <v>0</v>
      </c>
      <c r="CI1781" s="65" t="n">
        <f aca="false">IF(ISNUMBER(AF1781),1,0)</f>
        <v>0</v>
      </c>
      <c r="CJ1781" s="62" t="n">
        <f aca="false">N(AF1781)</f>
        <v>0</v>
      </c>
      <c r="CK1781" s="62" t="n">
        <f aca="false">N(M1781)+N(N1781)</f>
        <v>0</v>
      </c>
      <c r="CL1781" s="62" t="n">
        <f aca="false">N(M1781)</f>
        <v>0</v>
      </c>
      <c r="CM1781" s="62" t="n">
        <f aca="false">N(N1781)</f>
        <v>0</v>
      </c>
      <c r="CN1781" s="62" t="n">
        <f aca="false">ROUNDUP(H1781/BZ1781,0)</f>
        <v>0</v>
      </c>
      <c r="CO1781" s="62" t="n">
        <f aca="false">ROUNDUP(CJ1781/BZ1781,0)</f>
        <v>0</v>
      </c>
      <c r="CP1781" s="65" t="n">
        <f aca="false">IF(CA1781=1,0,IFERROR(VLOOKUP(BY1781,'Gebinde-Kategorie'!$A$5:$N$45,5,0)+0,0))</f>
        <v>0</v>
      </c>
      <c r="CQ1781" s="65" t="n">
        <f aca="false">IFERROR(IF(OR(CF1781=1,CF1781=2,CF1781=3),N(INDEX(Parameter!$I$5:$I$7,CF1781)),0),0)</f>
        <v>0</v>
      </c>
      <c r="CR1781" s="64" t="n">
        <f aca="false">IF(AND(Parameter!$B$21="Ja",ISNUMBER(W1781),N(X1781)&gt;0),IFERROR(N(INDEX(Parameter!$L$5:$L$7,W1781))*INDEX(Parameter!$E$5:$E$7,W1781)*X1781/SUMIFS($X$7:$X$1843,$W$7:$W$1843,W1781),0),0)</f>
        <v>0</v>
      </c>
      <c r="CS1781" s="62" t="str">
        <f aca="false">IF(AND(OR(CG1781="L1",CG1781="L23",CG1781="LIFT"),H1781&gt;0),CC1781*IF(CR1781&gt;0,CR1781*MAX(1,H1781/X1781),IF(CA1781=1,CE1781,IF(R1781&gt;0,CN1781/R1781,0))/MAX(0.1,N(Parameter!$M$21))),"")</f>
        <v/>
      </c>
      <c r="CT1781" s="64" t="str">
        <f aca="false">IF(CS1781="","",J1781/H1781)</f>
        <v/>
      </c>
      <c r="CU1781" s="62" t="str">
        <f aca="false">IF(CS1781="","",H1781*G1781)</f>
        <v/>
      </c>
      <c r="CV1781" s="63" t="str">
        <f aca="false">IF(CS1781="","",(CL1781+ROUNDUP(CL1781+MAX(CM1781,2*(J1781/MAX(0.1,N(Einkauf!$C$6))-CL1781)),0))/2)</f>
        <v/>
      </c>
      <c r="CW1781" s="62" t="str">
        <f aca="false">IF(CS1781="","",MAX(0,H1781-CV1781)*G1781)</f>
        <v/>
      </c>
      <c r="CX1781" s="62" t="str">
        <f aca="false">IF(CS1781="","",CS1781*MAX(0,1-CV1781/H1781))</f>
        <v/>
      </c>
      <c r="CY1781" s="64" t="str">
        <f aca="false">IF(CS1781="","",PERCENTRANK($CS$7:$CS$1843,CS1781)+PERCENTRANK($CU$7:$CU$1843,CU1781)+1-PERCENTRANK($CT$7:$CT$1843,CT1781))</f>
        <v/>
      </c>
      <c r="CZ1781" s="72" t="str">
        <f aca="false">IF(CS1781="","",CHOOSE(MATCH(Einkauf!$C$5,Parameter!$G$23:$G$27,0),CY1781,CS1781,CU1781,-CT1781,CW1781)+ROW()/1000000000)</f>
        <v/>
      </c>
    </row>
    <row r="1782" customFormat="false" ht="15" hidden="false" customHeight="false" outlineLevel="0" collapsed="false">
      <c r="A1782" s="60" t="str">
        <f aca="false">IF('Neue Artikel'!$A$43="","",'Neue Artikel'!$A$43&amp;"")</f>
        <v/>
      </c>
      <c r="B1782" s="60" t="str">
        <f aca="false">'Neue Artikel'!$B$43&amp;""</f>
        <v/>
      </c>
      <c r="C1782" s="60"/>
      <c r="D1782" s="60" t="s">
        <v>3057</v>
      </c>
      <c r="E1782" s="60"/>
      <c r="F1782" s="60"/>
      <c r="G1782" s="61" t="n">
        <f aca="false">N('Neue Artikel'!$G$43)</f>
        <v>0</v>
      </c>
      <c r="H1782" s="62" t="n">
        <f aca="false">MAX(0,IF(AND(Parameter!$B$21="Ja",ISNUMBER(Y1782)),Y1782,IF(Parameter!$B$20="Jahresanfang 2025 + Export",BS1782+BR1782,BR1782)))</f>
        <v>0</v>
      </c>
      <c r="I1782" s="62" t="n">
        <f aca="false">H1782*G1782</f>
        <v>0</v>
      </c>
      <c r="J1782" s="62" t="n">
        <f aca="false">BU1782*Parameter!$B$18</f>
        <v>0</v>
      </c>
      <c r="K1782" s="63"/>
      <c r="L1782" s="64"/>
      <c r="M1782" s="62" t="n">
        <f aca="false">N('Neue Artikel'!$E$43)</f>
        <v>0</v>
      </c>
      <c r="N1782" s="62" t="n">
        <f aca="false">N('Neue Artikel'!$F$43)</f>
        <v>0</v>
      </c>
      <c r="O1782" s="65"/>
      <c r="P1782" s="60" t="str">
        <f aca="false">IF('Neue Artikel'!$H$43="","LOSE",UPPER(TRIM('Neue Artikel'!$H$43)))</f>
        <v>LOSE</v>
      </c>
      <c r="Q1782" s="62" t="n">
        <f aca="false">N('Neue Artikel'!$I$43)</f>
        <v>0</v>
      </c>
      <c r="R1782" s="65" t="n">
        <f aca="false">IF(CA1782=1,0,IFERROR(VLOOKUP(BY1782,'Gebinde-Kategorie'!$A$5:$N$45,13,0)+0,0))</f>
        <v>0</v>
      </c>
      <c r="S1782" s="66"/>
      <c r="T1782" s="67"/>
      <c r="U1782" s="67"/>
      <c r="V1782" s="67"/>
      <c r="W1782" s="60"/>
      <c r="X1782" s="62"/>
      <c r="Y1782" s="62"/>
      <c r="Z1782" s="60"/>
      <c r="AA1782" s="60" t="str">
        <f aca="false">IF(A1782="","",IF(AND(Parameter!$B$21="Ja",ISNUMBER(W1782)),W1782,IF(AND(Parameter!$E$27="Ja",ISNUMBER(Z1782),CD1782&lt;&gt;"Nein"),Z1782,IF(CD1782="2+3",IF(ISNUMBER(SEARCH("grosser Artikel",BV1782)),2,IFERROR(VLOOKUP(BY1782,Parameter!$F$35:$G$64,2,0),2)),IF(OR(CD1782="Nein",CD1782=""),"-",CD1782)))))</f>
        <v/>
      </c>
      <c r="AB1782" s="60" t="str">
        <f aca="false">IF('Neue Artikel'!$J$43="","",'Neue Artikel'!$J$43)</f>
        <v/>
      </c>
      <c r="AC1782" s="68"/>
      <c r="AD1782" s="62" t="n">
        <f aca="false">AW1782</f>
        <v>0</v>
      </c>
      <c r="AE1782" s="62" t="n">
        <f aca="false">MAX(AW1782,H1782)</f>
        <v>0</v>
      </c>
      <c r="AF1782" s="69"/>
      <c r="AG1782" s="62" t="n">
        <f aca="false">IF(LEFT(Cockpit!$C$5,1)="A",H1782,IF(Parameter!$E$30="MAX-Bestand",IF(CI1782=1,CJ1782,IF(LEFT(Cockpit!$C$5,1)="B",AM1782,MAX(AM1782,H1782))),ROUNDUP(AK1782,0)))</f>
        <v>0</v>
      </c>
      <c r="AH1782" s="62" t="n">
        <f aca="false">IF(CA1782=1,0,ROUNDUP(AG1782/BZ1782,0))</f>
        <v>0</v>
      </c>
      <c r="AI1782" s="64" t="n">
        <f aca="false">IF(CR1782&gt;0,CR1782*MAX(1,AG1782/X1782),IF(CA1782=1,IF(AG1782&lt;=0,0,CE1782*MAX(1,IF(H1782&gt;0,AG1782/H1782,1))),IF(R1782&gt;0,AH1782/R1782,0))/MAX(0.1,N(Parameter!$M$21)))</f>
        <v>0</v>
      </c>
      <c r="AJ1782" s="62" t="n">
        <f aca="false">AI1782*CC1782</f>
        <v>0</v>
      </c>
      <c r="AK1782" s="63" t="n">
        <f aca="false">IF(LEFT(Cockpit!$C$5,1)="A",H1782,IF(CI1782=1,(CL1782+CJ1782)/2,IF(LEFT(Cockpit!$C$5,1)="B",(CL1782+AM1782)/2,MAX((CL1782+AM1782)/2,H1782))))</f>
        <v>0</v>
      </c>
      <c r="AL1782" s="62" t="n">
        <f aca="false">AK1782*G1782</f>
        <v>0</v>
      </c>
      <c r="AM1782" s="62" t="n">
        <f aca="false">ROUNDUP(CL1782+MAX(CM1782,2*(J1782/IF(CH1782&gt;0,CH1782,MAX(0.1,N(Cockpit!$C$6)))-CL1782)),0)</f>
        <v>0</v>
      </c>
      <c r="AN1782" s="63" t="n">
        <f aca="false">IF(AJ1782&gt;0,J1782/AJ1782,-1)</f>
        <v>-1</v>
      </c>
      <c r="AO1782" s="63" t="str">
        <f aca="false">IF(AND(OR(CG1782="L1",CG1782="L23",CG1782="LIFT"),AJ1782&gt;0),SUMIFS($AJ$7:$AJ$1843,$CG$7:$CG$1843,CG1782,$AN$7:$AN$1843,"&gt;"&amp;AN1782)+SUMIFS($AJ$7:$AJ$1843,$CG$7:$CG$1843,CG1782,$AN$7:$AN$1843,AN1782,$BX$7:$BX$1843,"&lt;="&amp;BX1782),"")</f>
        <v/>
      </c>
      <c r="AP1782" s="70" t="n">
        <f aca="false">IF(AO1782="",0,MAX(0,MIN(1,(IF(CG1782="L1",Parameter!$H$5,IF(CG1782="L23",Parameter!$H$6+Parameter!$H$7,Parameter!$H$5+Parameter!$H$6+Parameter!$H$7))-(AO1782-AJ1782))/AJ1782)))</f>
        <v>0</v>
      </c>
      <c r="AQ1782" s="62" t="n">
        <f aca="false">IF(LEFT(Cockpit!$I$5,1)="A",H1782,IF(Parameter!$E$30="MAX-Bestand",IF(CI1782=1,CJ1782,IF(LEFT(Cockpit!$I$5,1)="B",AW1782,MAX(AW1782,H1782))),ROUNDUP(AU1782,0)))</f>
        <v>0</v>
      </c>
      <c r="AR1782" s="62" t="n">
        <f aca="false">IF(CA1782=1,0,ROUNDUP(AQ1782/BZ1782,0))</f>
        <v>0</v>
      </c>
      <c r="AS1782" s="64" t="n">
        <f aca="false">IF(CR1782&gt;0,CR1782*MAX(1,AQ1782/X1782),IF(CA1782=1,IF(AQ1782&lt;=0,0,CE1782*MAX(1,IF(H1782&gt;0,AQ1782/H1782,1))),IF(R1782&gt;0,AR1782/R1782,0))/MAX(0.1,N(Parameter!$M$21)))</f>
        <v>0</v>
      </c>
      <c r="AT1782" s="62" t="n">
        <f aca="false">AS1782*CC1782</f>
        <v>0</v>
      </c>
      <c r="AU1782" s="63" t="n">
        <f aca="false">IF(LEFT(Cockpit!$I$5,1)="A",H1782,IF(CI1782=1,(CL1782+CJ1782)/2,IF(LEFT(Cockpit!$I$5,1)="B",(CL1782+AW1782)/2,MAX((CL1782+AW1782)/2,H1782))))</f>
        <v>0</v>
      </c>
      <c r="AV1782" s="62" t="n">
        <f aca="false">AU1782*G1782</f>
        <v>0</v>
      </c>
      <c r="AW1782" s="62" t="n">
        <f aca="false">ROUNDUP(CL1782+MAX(CM1782,2*(J1782/IF(CH1782&gt;0,CH1782,MAX(0.1,N(Cockpit!$I$6)))-CL1782)),0)</f>
        <v>0</v>
      </c>
      <c r="AX1782" s="63" t="n">
        <f aca="false">IF(AT1782&gt;0,J1782/AT1782,-1)</f>
        <v>-1</v>
      </c>
      <c r="AY1782" s="63" t="str">
        <f aca="false">IF(AND(OR(CG1782="L1",CG1782="L23",CG1782="LIFT"),AT1782&gt;0),SUMIFS($AT$7:$AT$1843,$CG$7:$CG$1843,CG1782,$AX$7:$AX$1843,"&gt;"&amp;AX1782)+SUMIFS($AT$7:$AT$1843,$CG$7:$CG$1843,CG1782,$AX$7:$AX$1843,AX1782,$BX$7:$BX$1843,"&lt;="&amp;BX1782),"")</f>
        <v/>
      </c>
      <c r="AZ1782" s="70" t="n">
        <f aca="false">IF(AY1782="",0,MAX(0,MIN(1,(IF(CG1782="L1",Parameter!$H$5,IF(CG1782="L23",Parameter!$H$6+Parameter!$H$7,Parameter!$H$5+Parameter!$H$6+Parameter!$H$7))-(AY1782-AT1782))/AT1782)))</f>
        <v>0</v>
      </c>
      <c r="BA1782" s="62" t="n">
        <f aca="false">IF(LEFT(Cockpit!$O$5,1)="A",H1782,IF(Parameter!$E$30="MAX-Bestand",IF(CI1782=1,CJ1782,IF(LEFT(Cockpit!$O$5,1)="B",BG1782,MAX(BG1782,H1782))),ROUNDUP(BE1782,0)))</f>
        <v>0</v>
      </c>
      <c r="BB1782" s="62" t="n">
        <f aca="false">IF(CA1782=1,0,ROUNDUP(BA1782/BZ1782,0))</f>
        <v>0</v>
      </c>
      <c r="BC1782" s="64" t="n">
        <f aca="false">IF(CR1782&gt;0,CR1782*MAX(1,BA1782/X1782),IF(CA1782=1,IF(BA1782&lt;=0,0,CE1782*MAX(1,IF(H1782&gt;0,BA1782/H1782,1))),IF(R1782&gt;0,BB1782/R1782,0))/MAX(0.1,N(Parameter!$M$21)))</f>
        <v>0</v>
      </c>
      <c r="BD1782" s="62" t="n">
        <f aca="false">BC1782*CC1782</f>
        <v>0</v>
      </c>
      <c r="BE1782" s="63" t="n">
        <f aca="false">IF(LEFT(Cockpit!$O$5,1)="A",H1782,IF(CI1782=1,(CL1782+CJ1782)/2,IF(LEFT(Cockpit!$O$5,1)="B",(CL1782+BG1782)/2,MAX((CL1782+BG1782)/2,H1782))))</f>
        <v>0</v>
      </c>
      <c r="BF1782" s="62" t="n">
        <f aca="false">BE1782*G1782</f>
        <v>0</v>
      </c>
      <c r="BG1782" s="62" t="n">
        <f aca="false">ROUNDUP(CL1782+MAX(CM1782,2*(J1782/IF(CH1782&gt;0,CH1782,MAX(0.1,N(Cockpit!$O$6)))-CL1782)),0)</f>
        <v>0</v>
      </c>
      <c r="BH1782" s="63" t="n">
        <f aca="false">IF(BD1782&gt;0,J1782/BD1782,-1)</f>
        <v>-1</v>
      </c>
      <c r="BI1782" s="63" t="str">
        <f aca="false">IF(AND(OR(CG1782="L1",CG1782="L23",CG1782="LIFT"),BD1782&gt;0),SUMIFS($BD$7:$BD$1843,$CG$7:$CG$1843,CG1782,$BH$7:$BH$1843,"&gt;"&amp;BH1782)+SUMIFS($BD$7:$BD$1843,$CG$7:$CG$1843,CG1782,$BH$7:$BH$1843,BH1782,$BX$7:$BX$1843,"&lt;="&amp;BX1782),"")</f>
        <v/>
      </c>
      <c r="BJ1782" s="70" t="n">
        <f aca="false">IF(BI1782="",0,MAX(0,MIN(1,(IF(CG1782="L1",Parameter!$H$5,IF(CG1782="L23",Parameter!$H$6+Parameter!$H$7,Parameter!$H$5+Parameter!$H$6+Parameter!$H$7))-(BI1782-BD1782))/BD1782)))</f>
        <v>0</v>
      </c>
      <c r="BK1782" s="60" t="str">
        <f aca="false">IF(AJ1782&lt;=0,"",IF(CG1782="Aussen","Aussenlager",IF(CG1782="-","Nicht im Lift",IF(AP1782&gt;=1,"Lift",IF(AP1782&lt;=0,"Aussenlager","teilweise")))))</f>
        <v/>
      </c>
      <c r="BL1782" s="60" t="str">
        <f aca="false">IF(AT1782&lt;=0,"",IF(CG1782="Aussen","Aussenlager",IF(CG1782="-","Nicht im Lift",IF(AZ1782&gt;=1,"Lift",IF(AZ1782&lt;=0,"Aussenlager","teilweise")))))</f>
        <v/>
      </c>
      <c r="BM1782" s="60" t="str">
        <f aca="false">IF(BD1782&lt;=0,"",IF(CG1782="Aussen","Aussenlager",IF(CG1782="-","Nicht im Lift",IF(BJ1782&gt;=1,"Lift",IF(BJ1782&lt;=0,"Aussenlager","teilweise")))))</f>
        <v/>
      </c>
      <c r="BN1782" s="60" t="str">
        <f aca="false">IF(A1782="","",IF(BW1782=1,"Neu; ","")&amp;IF(AND(BW1782=0,BR1782&lt;0),"negativer Bestand (Export "&amp;BR1782&amp;"); ","")&amp;IF(J1782&lt;=0,"Kein Verbrauch; ","")&amp;IF(CR1782&gt;0,"Lift "&amp;W1782&amp;" lt. Liftbericht (Fach "&amp;X1782&amp;" Stk); ",IF(CB1782=1,"Gebinde geschätzt ("&amp;T1782&amp;"); ",IF(CA1782=1,"Lose – Tablare geschätzt; ","")))&amp;IF(H1782&gt;AW1782,"Überbestand "&amp;ROUND(H1782-AW1782,0)&amp;" Stk / CHF "&amp;ROUND((H1782-AW1782)*G1782,0)&amp;"; ","")&amp;IF(AND(CI1782=1,CJ1782&lt;CK1782),"MAX &lt; MB+LG; ","")&amp;IF(AND(CQ1782&gt;0,CP1782*10&gt;CQ1782),"zu hoch für Tablar; ","")&amp;IF(AND(BW1782=0,OR(CI1782=1,AB1782&lt;&gt;"",U1782&lt;&gt;"",V1782&lt;&gt;"",AC1782&lt;&gt;"")),"manuell übersteuert; ","")&amp;IF(AND(CA1782=0,R1782=0),"Gebinde unbekannt / Stellmass fehlt; ","")&amp;IF(AND(CA1782=0,N(V1782)&lt;=0,N(Q1782)&lt;=0),"Menge pro Gebinde fehlt (Ist = 1 Gebinde); ","")&amp;BV1782)</f>
        <v/>
      </c>
      <c r="BO1782" s="60"/>
      <c r="BP1782" s="60"/>
      <c r="BQ1782" s="67"/>
      <c r="BR1782" s="62" t="n">
        <f aca="false">N('Neue Artikel'!$D$43)</f>
        <v>0</v>
      </c>
      <c r="BS1782" s="62" t="n">
        <v>0</v>
      </c>
      <c r="BT1782" s="61" t="n">
        <v>0</v>
      </c>
      <c r="BU1782" s="62" t="n">
        <f aca="false">N('Neue Artikel'!$C$43)/Parameter!$B$18</f>
        <v>0</v>
      </c>
      <c r="BV1782" s="60"/>
      <c r="BW1782" s="65" t="n">
        <v>1</v>
      </c>
      <c r="BX1782" s="65" t="n">
        <v>1782</v>
      </c>
      <c r="BY1782" s="60" t="str">
        <f aca="false">IF(U1782&lt;&gt;"",UPPER(TRIM(U1782)),IF(CB1782=1,UPPER(VLOOKUP(T1782,Parameter!$I$27:$K$29,2,0)),IF(P1782="","LOSE",P1782)))</f>
        <v>LOSE</v>
      </c>
      <c r="BZ1782" s="62" t="n">
        <f aca="false">IF(BY1782="LOSE",1,IF(N(V1782)&gt;0,V1782,IF(CB1782=1,MAX(1,N(VLOOKUP(T1782,Parameter!$I$27:$K$29,3,0)),H1782,N(N1782)),IF(N(Q1782)&gt;0,Q1782,MAX(1,H1782)))))</f>
        <v>1</v>
      </c>
      <c r="CA1782" s="65" t="n">
        <f aca="false">IF(BY1782="LOSE",1,0)</f>
        <v>1</v>
      </c>
      <c r="CB1782" s="65" t="n">
        <f aca="false">IF(AND(U1782="",OR(P1782="",P1782="LOSE"),T1782&lt;&gt;"",N(S1782)&lt;=0,ISNUMBER(MATCH(T1782,Parameter!$I$27:$I$29,0))),1,0)</f>
        <v>0</v>
      </c>
      <c r="CC1782" s="65" t="n">
        <f aca="false">IF(CR1782&gt;0,INDEX(Parameter!$H$5:$H$7,W1782)/INDEX(Parameter!$E$5:$E$7,W1782),IF(AND(CA1782=0,N(IFERROR(VLOOKUP(BY1782,'Gebinde-Kategorie'!$A$5:$N$45,14,0),0))&gt;0),VLOOKUP(BY1782,'Gebinde-Kategorie'!$A$5:$N$45,14,0)*10+Parameter!$M$23,Parameter!$M$24))</f>
        <v>235</v>
      </c>
      <c r="CD1782" s="60" t="str">
        <f aca="false">IF(AND(Parameter!$B$19="Ja",E1782&lt;&gt;"",ISNUMBER(MATCH(E1782,Parameter!$I$35:$I$52,0))),VLOOKUP(E1782,Parameter!$I$35:$J$52,2,0),IFERROR(VLOOKUP(D1782,Parameter!$A$35:$C$64,2,0),"Nein"))</f>
        <v>2+3</v>
      </c>
      <c r="CE1782" s="64" t="n">
        <f aca="false">IF(CA1782=0,0,IF(N(S1782)&gt;0,S1782,IFERROR(VLOOKUP(D1782,Parameter!$A$35:$C$64,3,0)+0,0)))</f>
        <v>0.15</v>
      </c>
      <c r="CF1782" s="60" t="str">
        <f aca="false">IF(AB1782&lt;&gt;"",AB1782,AA1782)</f>
        <v/>
      </c>
      <c r="CG1782" s="60" t="str">
        <f aca="false">IF(OR(CF1782=1,CF1782=2,CF1782=3),IF(Parameter!$E$27="Ja","LIFT",IF(CF1782=1,"L1","L23")),IF(CF1782="Aussen","Aussen","-"))</f>
        <v>-</v>
      </c>
      <c r="CH1782" s="71" t="n">
        <f aca="false">IF(N(AC1782)&gt;0,AC1782,0)</f>
        <v>0</v>
      </c>
      <c r="CI1782" s="65" t="n">
        <f aca="false">IF(ISNUMBER(AF1782),1,0)</f>
        <v>0</v>
      </c>
      <c r="CJ1782" s="62" t="n">
        <f aca="false">N(AF1782)</f>
        <v>0</v>
      </c>
      <c r="CK1782" s="62" t="n">
        <f aca="false">N(M1782)+N(N1782)</f>
        <v>0</v>
      </c>
      <c r="CL1782" s="62" t="n">
        <f aca="false">N(M1782)</f>
        <v>0</v>
      </c>
      <c r="CM1782" s="62" t="n">
        <f aca="false">N(N1782)</f>
        <v>0</v>
      </c>
      <c r="CN1782" s="62" t="n">
        <f aca="false">ROUNDUP(H1782/BZ1782,0)</f>
        <v>0</v>
      </c>
      <c r="CO1782" s="62" t="n">
        <f aca="false">ROUNDUP(CJ1782/BZ1782,0)</f>
        <v>0</v>
      </c>
      <c r="CP1782" s="65" t="n">
        <f aca="false">IF(CA1782=1,0,IFERROR(VLOOKUP(BY1782,'Gebinde-Kategorie'!$A$5:$N$45,5,0)+0,0))</f>
        <v>0</v>
      </c>
      <c r="CQ1782" s="65" t="n">
        <f aca="false">IFERROR(IF(OR(CF1782=1,CF1782=2,CF1782=3),N(INDEX(Parameter!$I$5:$I$7,CF1782)),0),0)</f>
        <v>0</v>
      </c>
      <c r="CR1782" s="64" t="n">
        <f aca="false">IF(AND(Parameter!$B$21="Ja",ISNUMBER(W1782),N(X1782)&gt;0),IFERROR(N(INDEX(Parameter!$L$5:$L$7,W1782))*INDEX(Parameter!$E$5:$E$7,W1782)*X1782/SUMIFS($X$7:$X$1843,$W$7:$W$1843,W1782),0),0)</f>
        <v>0</v>
      </c>
      <c r="CS1782" s="62" t="str">
        <f aca="false">IF(AND(OR(CG1782="L1",CG1782="L23",CG1782="LIFT"),H1782&gt;0),CC1782*IF(CR1782&gt;0,CR1782*MAX(1,H1782/X1782),IF(CA1782=1,CE1782,IF(R1782&gt;0,CN1782/R1782,0))/MAX(0.1,N(Parameter!$M$21))),"")</f>
        <v/>
      </c>
      <c r="CT1782" s="64" t="str">
        <f aca="false">IF(CS1782="","",J1782/H1782)</f>
        <v/>
      </c>
      <c r="CU1782" s="62" t="str">
        <f aca="false">IF(CS1782="","",H1782*G1782)</f>
        <v/>
      </c>
      <c r="CV1782" s="63" t="str">
        <f aca="false">IF(CS1782="","",(CL1782+ROUNDUP(CL1782+MAX(CM1782,2*(J1782/MAX(0.1,N(Einkauf!$C$6))-CL1782)),0))/2)</f>
        <v/>
      </c>
      <c r="CW1782" s="62" t="str">
        <f aca="false">IF(CS1782="","",MAX(0,H1782-CV1782)*G1782)</f>
        <v/>
      </c>
      <c r="CX1782" s="62" t="str">
        <f aca="false">IF(CS1782="","",CS1782*MAX(0,1-CV1782/H1782))</f>
        <v/>
      </c>
      <c r="CY1782" s="64" t="str">
        <f aca="false">IF(CS1782="","",PERCENTRANK($CS$7:$CS$1843,CS1782)+PERCENTRANK($CU$7:$CU$1843,CU1782)+1-PERCENTRANK($CT$7:$CT$1843,CT1782))</f>
        <v/>
      </c>
      <c r="CZ1782" s="72" t="str">
        <f aca="false">IF(CS1782="","",CHOOSE(MATCH(Einkauf!$C$5,Parameter!$G$23:$G$27,0),CY1782,CS1782,CU1782,-CT1782,CW1782)+ROW()/1000000000)</f>
        <v/>
      </c>
    </row>
    <row r="1783" customFormat="false" ht="15" hidden="false" customHeight="false" outlineLevel="0" collapsed="false">
      <c r="A1783" s="60" t="str">
        <f aca="false">IF('Neue Artikel'!$A$44="","",'Neue Artikel'!$A$44&amp;"")</f>
        <v/>
      </c>
      <c r="B1783" s="60" t="str">
        <f aca="false">'Neue Artikel'!$B$44&amp;""</f>
        <v/>
      </c>
      <c r="C1783" s="60"/>
      <c r="D1783" s="60" t="s">
        <v>3057</v>
      </c>
      <c r="E1783" s="60"/>
      <c r="F1783" s="60"/>
      <c r="G1783" s="61" t="n">
        <f aca="false">N('Neue Artikel'!$G$44)</f>
        <v>0</v>
      </c>
      <c r="H1783" s="62" t="n">
        <f aca="false">MAX(0,IF(AND(Parameter!$B$21="Ja",ISNUMBER(Y1783)),Y1783,IF(Parameter!$B$20="Jahresanfang 2025 + Export",BS1783+BR1783,BR1783)))</f>
        <v>0</v>
      </c>
      <c r="I1783" s="62" t="n">
        <f aca="false">H1783*G1783</f>
        <v>0</v>
      </c>
      <c r="J1783" s="62" t="n">
        <f aca="false">BU1783*Parameter!$B$18</f>
        <v>0</v>
      </c>
      <c r="K1783" s="63"/>
      <c r="L1783" s="64"/>
      <c r="M1783" s="62" t="n">
        <f aca="false">N('Neue Artikel'!$E$44)</f>
        <v>0</v>
      </c>
      <c r="N1783" s="62" t="n">
        <f aca="false">N('Neue Artikel'!$F$44)</f>
        <v>0</v>
      </c>
      <c r="O1783" s="65"/>
      <c r="P1783" s="60" t="str">
        <f aca="false">IF('Neue Artikel'!$H$44="","LOSE",UPPER(TRIM('Neue Artikel'!$H$44)))</f>
        <v>LOSE</v>
      </c>
      <c r="Q1783" s="62" t="n">
        <f aca="false">N('Neue Artikel'!$I$44)</f>
        <v>0</v>
      </c>
      <c r="R1783" s="65" t="n">
        <f aca="false">IF(CA1783=1,0,IFERROR(VLOOKUP(BY1783,'Gebinde-Kategorie'!$A$5:$N$45,13,0)+0,0))</f>
        <v>0</v>
      </c>
      <c r="S1783" s="66"/>
      <c r="T1783" s="67"/>
      <c r="U1783" s="67"/>
      <c r="V1783" s="67"/>
      <c r="W1783" s="60"/>
      <c r="X1783" s="62"/>
      <c r="Y1783" s="62"/>
      <c r="Z1783" s="60"/>
      <c r="AA1783" s="60" t="str">
        <f aca="false">IF(A1783="","",IF(AND(Parameter!$B$21="Ja",ISNUMBER(W1783)),W1783,IF(AND(Parameter!$E$27="Ja",ISNUMBER(Z1783),CD1783&lt;&gt;"Nein"),Z1783,IF(CD1783="2+3",IF(ISNUMBER(SEARCH("grosser Artikel",BV1783)),2,IFERROR(VLOOKUP(BY1783,Parameter!$F$35:$G$64,2,0),2)),IF(OR(CD1783="Nein",CD1783=""),"-",CD1783)))))</f>
        <v/>
      </c>
      <c r="AB1783" s="60" t="str">
        <f aca="false">IF('Neue Artikel'!$J$44="","",'Neue Artikel'!$J$44)</f>
        <v/>
      </c>
      <c r="AC1783" s="68"/>
      <c r="AD1783" s="62" t="n">
        <f aca="false">AW1783</f>
        <v>0</v>
      </c>
      <c r="AE1783" s="62" t="n">
        <f aca="false">MAX(AW1783,H1783)</f>
        <v>0</v>
      </c>
      <c r="AF1783" s="69"/>
      <c r="AG1783" s="62" t="n">
        <f aca="false">IF(LEFT(Cockpit!$C$5,1)="A",H1783,IF(Parameter!$E$30="MAX-Bestand",IF(CI1783=1,CJ1783,IF(LEFT(Cockpit!$C$5,1)="B",AM1783,MAX(AM1783,H1783))),ROUNDUP(AK1783,0)))</f>
        <v>0</v>
      </c>
      <c r="AH1783" s="62" t="n">
        <f aca="false">IF(CA1783=1,0,ROUNDUP(AG1783/BZ1783,0))</f>
        <v>0</v>
      </c>
      <c r="AI1783" s="64" t="n">
        <f aca="false">IF(CR1783&gt;0,CR1783*MAX(1,AG1783/X1783),IF(CA1783=1,IF(AG1783&lt;=0,0,CE1783*MAX(1,IF(H1783&gt;0,AG1783/H1783,1))),IF(R1783&gt;0,AH1783/R1783,0))/MAX(0.1,N(Parameter!$M$21)))</f>
        <v>0</v>
      </c>
      <c r="AJ1783" s="62" t="n">
        <f aca="false">AI1783*CC1783</f>
        <v>0</v>
      </c>
      <c r="AK1783" s="63" t="n">
        <f aca="false">IF(LEFT(Cockpit!$C$5,1)="A",H1783,IF(CI1783=1,(CL1783+CJ1783)/2,IF(LEFT(Cockpit!$C$5,1)="B",(CL1783+AM1783)/2,MAX((CL1783+AM1783)/2,H1783))))</f>
        <v>0</v>
      </c>
      <c r="AL1783" s="62" t="n">
        <f aca="false">AK1783*G1783</f>
        <v>0</v>
      </c>
      <c r="AM1783" s="62" t="n">
        <f aca="false">ROUNDUP(CL1783+MAX(CM1783,2*(J1783/IF(CH1783&gt;0,CH1783,MAX(0.1,N(Cockpit!$C$6)))-CL1783)),0)</f>
        <v>0</v>
      </c>
      <c r="AN1783" s="63" t="n">
        <f aca="false">IF(AJ1783&gt;0,J1783/AJ1783,-1)</f>
        <v>-1</v>
      </c>
      <c r="AO1783" s="63" t="str">
        <f aca="false">IF(AND(OR(CG1783="L1",CG1783="L23",CG1783="LIFT"),AJ1783&gt;0),SUMIFS($AJ$7:$AJ$1843,$CG$7:$CG$1843,CG1783,$AN$7:$AN$1843,"&gt;"&amp;AN1783)+SUMIFS($AJ$7:$AJ$1843,$CG$7:$CG$1843,CG1783,$AN$7:$AN$1843,AN1783,$BX$7:$BX$1843,"&lt;="&amp;BX1783),"")</f>
        <v/>
      </c>
      <c r="AP1783" s="70" t="n">
        <f aca="false">IF(AO1783="",0,MAX(0,MIN(1,(IF(CG1783="L1",Parameter!$H$5,IF(CG1783="L23",Parameter!$H$6+Parameter!$H$7,Parameter!$H$5+Parameter!$H$6+Parameter!$H$7))-(AO1783-AJ1783))/AJ1783)))</f>
        <v>0</v>
      </c>
      <c r="AQ1783" s="62" t="n">
        <f aca="false">IF(LEFT(Cockpit!$I$5,1)="A",H1783,IF(Parameter!$E$30="MAX-Bestand",IF(CI1783=1,CJ1783,IF(LEFT(Cockpit!$I$5,1)="B",AW1783,MAX(AW1783,H1783))),ROUNDUP(AU1783,0)))</f>
        <v>0</v>
      </c>
      <c r="AR1783" s="62" t="n">
        <f aca="false">IF(CA1783=1,0,ROUNDUP(AQ1783/BZ1783,0))</f>
        <v>0</v>
      </c>
      <c r="AS1783" s="64" t="n">
        <f aca="false">IF(CR1783&gt;0,CR1783*MAX(1,AQ1783/X1783),IF(CA1783=1,IF(AQ1783&lt;=0,0,CE1783*MAX(1,IF(H1783&gt;0,AQ1783/H1783,1))),IF(R1783&gt;0,AR1783/R1783,0))/MAX(0.1,N(Parameter!$M$21)))</f>
        <v>0</v>
      </c>
      <c r="AT1783" s="62" t="n">
        <f aca="false">AS1783*CC1783</f>
        <v>0</v>
      </c>
      <c r="AU1783" s="63" t="n">
        <f aca="false">IF(LEFT(Cockpit!$I$5,1)="A",H1783,IF(CI1783=1,(CL1783+CJ1783)/2,IF(LEFT(Cockpit!$I$5,1)="B",(CL1783+AW1783)/2,MAX((CL1783+AW1783)/2,H1783))))</f>
        <v>0</v>
      </c>
      <c r="AV1783" s="62" t="n">
        <f aca="false">AU1783*G1783</f>
        <v>0</v>
      </c>
      <c r="AW1783" s="62" t="n">
        <f aca="false">ROUNDUP(CL1783+MAX(CM1783,2*(J1783/IF(CH1783&gt;0,CH1783,MAX(0.1,N(Cockpit!$I$6)))-CL1783)),0)</f>
        <v>0</v>
      </c>
      <c r="AX1783" s="63" t="n">
        <f aca="false">IF(AT1783&gt;0,J1783/AT1783,-1)</f>
        <v>-1</v>
      </c>
      <c r="AY1783" s="63" t="str">
        <f aca="false">IF(AND(OR(CG1783="L1",CG1783="L23",CG1783="LIFT"),AT1783&gt;0),SUMIFS($AT$7:$AT$1843,$CG$7:$CG$1843,CG1783,$AX$7:$AX$1843,"&gt;"&amp;AX1783)+SUMIFS($AT$7:$AT$1843,$CG$7:$CG$1843,CG1783,$AX$7:$AX$1843,AX1783,$BX$7:$BX$1843,"&lt;="&amp;BX1783),"")</f>
        <v/>
      </c>
      <c r="AZ1783" s="70" t="n">
        <f aca="false">IF(AY1783="",0,MAX(0,MIN(1,(IF(CG1783="L1",Parameter!$H$5,IF(CG1783="L23",Parameter!$H$6+Parameter!$H$7,Parameter!$H$5+Parameter!$H$6+Parameter!$H$7))-(AY1783-AT1783))/AT1783)))</f>
        <v>0</v>
      </c>
      <c r="BA1783" s="62" t="n">
        <f aca="false">IF(LEFT(Cockpit!$O$5,1)="A",H1783,IF(Parameter!$E$30="MAX-Bestand",IF(CI1783=1,CJ1783,IF(LEFT(Cockpit!$O$5,1)="B",BG1783,MAX(BG1783,H1783))),ROUNDUP(BE1783,0)))</f>
        <v>0</v>
      </c>
      <c r="BB1783" s="62" t="n">
        <f aca="false">IF(CA1783=1,0,ROUNDUP(BA1783/BZ1783,0))</f>
        <v>0</v>
      </c>
      <c r="BC1783" s="64" t="n">
        <f aca="false">IF(CR1783&gt;0,CR1783*MAX(1,BA1783/X1783),IF(CA1783=1,IF(BA1783&lt;=0,0,CE1783*MAX(1,IF(H1783&gt;0,BA1783/H1783,1))),IF(R1783&gt;0,BB1783/R1783,0))/MAX(0.1,N(Parameter!$M$21)))</f>
        <v>0</v>
      </c>
      <c r="BD1783" s="62" t="n">
        <f aca="false">BC1783*CC1783</f>
        <v>0</v>
      </c>
      <c r="BE1783" s="63" t="n">
        <f aca="false">IF(LEFT(Cockpit!$O$5,1)="A",H1783,IF(CI1783=1,(CL1783+CJ1783)/2,IF(LEFT(Cockpit!$O$5,1)="B",(CL1783+BG1783)/2,MAX((CL1783+BG1783)/2,H1783))))</f>
        <v>0</v>
      </c>
      <c r="BF1783" s="62" t="n">
        <f aca="false">BE1783*G1783</f>
        <v>0</v>
      </c>
      <c r="BG1783" s="62" t="n">
        <f aca="false">ROUNDUP(CL1783+MAX(CM1783,2*(J1783/IF(CH1783&gt;0,CH1783,MAX(0.1,N(Cockpit!$O$6)))-CL1783)),0)</f>
        <v>0</v>
      </c>
      <c r="BH1783" s="63" t="n">
        <f aca="false">IF(BD1783&gt;0,J1783/BD1783,-1)</f>
        <v>-1</v>
      </c>
      <c r="BI1783" s="63" t="str">
        <f aca="false">IF(AND(OR(CG1783="L1",CG1783="L23",CG1783="LIFT"),BD1783&gt;0),SUMIFS($BD$7:$BD$1843,$CG$7:$CG$1843,CG1783,$BH$7:$BH$1843,"&gt;"&amp;BH1783)+SUMIFS($BD$7:$BD$1843,$CG$7:$CG$1843,CG1783,$BH$7:$BH$1843,BH1783,$BX$7:$BX$1843,"&lt;="&amp;BX1783),"")</f>
        <v/>
      </c>
      <c r="BJ1783" s="70" t="n">
        <f aca="false">IF(BI1783="",0,MAX(0,MIN(1,(IF(CG1783="L1",Parameter!$H$5,IF(CG1783="L23",Parameter!$H$6+Parameter!$H$7,Parameter!$H$5+Parameter!$H$6+Parameter!$H$7))-(BI1783-BD1783))/BD1783)))</f>
        <v>0</v>
      </c>
      <c r="BK1783" s="60" t="str">
        <f aca="false">IF(AJ1783&lt;=0,"",IF(CG1783="Aussen","Aussenlager",IF(CG1783="-","Nicht im Lift",IF(AP1783&gt;=1,"Lift",IF(AP1783&lt;=0,"Aussenlager","teilweise")))))</f>
        <v/>
      </c>
      <c r="BL1783" s="60" t="str">
        <f aca="false">IF(AT1783&lt;=0,"",IF(CG1783="Aussen","Aussenlager",IF(CG1783="-","Nicht im Lift",IF(AZ1783&gt;=1,"Lift",IF(AZ1783&lt;=0,"Aussenlager","teilweise")))))</f>
        <v/>
      </c>
      <c r="BM1783" s="60" t="str">
        <f aca="false">IF(BD1783&lt;=0,"",IF(CG1783="Aussen","Aussenlager",IF(CG1783="-","Nicht im Lift",IF(BJ1783&gt;=1,"Lift",IF(BJ1783&lt;=0,"Aussenlager","teilweise")))))</f>
        <v/>
      </c>
      <c r="BN1783" s="60" t="str">
        <f aca="false">IF(A1783="","",IF(BW1783=1,"Neu; ","")&amp;IF(AND(BW1783=0,BR1783&lt;0),"negativer Bestand (Export "&amp;BR1783&amp;"); ","")&amp;IF(J1783&lt;=0,"Kein Verbrauch; ","")&amp;IF(CR1783&gt;0,"Lift "&amp;W1783&amp;" lt. Liftbericht (Fach "&amp;X1783&amp;" Stk); ",IF(CB1783=1,"Gebinde geschätzt ("&amp;T1783&amp;"); ",IF(CA1783=1,"Lose – Tablare geschätzt; ","")))&amp;IF(H1783&gt;AW1783,"Überbestand "&amp;ROUND(H1783-AW1783,0)&amp;" Stk / CHF "&amp;ROUND((H1783-AW1783)*G1783,0)&amp;"; ","")&amp;IF(AND(CI1783=1,CJ1783&lt;CK1783),"MAX &lt; MB+LG; ","")&amp;IF(AND(CQ1783&gt;0,CP1783*10&gt;CQ1783),"zu hoch für Tablar; ","")&amp;IF(AND(BW1783=0,OR(CI1783=1,AB1783&lt;&gt;"",U1783&lt;&gt;"",V1783&lt;&gt;"",AC1783&lt;&gt;"")),"manuell übersteuert; ","")&amp;IF(AND(CA1783=0,R1783=0),"Gebinde unbekannt / Stellmass fehlt; ","")&amp;IF(AND(CA1783=0,N(V1783)&lt;=0,N(Q1783)&lt;=0),"Menge pro Gebinde fehlt (Ist = 1 Gebinde); ","")&amp;BV1783)</f>
        <v/>
      </c>
      <c r="BO1783" s="60"/>
      <c r="BP1783" s="60"/>
      <c r="BQ1783" s="67"/>
      <c r="BR1783" s="62" t="n">
        <f aca="false">N('Neue Artikel'!$D$44)</f>
        <v>0</v>
      </c>
      <c r="BS1783" s="62" t="n">
        <v>0</v>
      </c>
      <c r="BT1783" s="61" t="n">
        <v>0</v>
      </c>
      <c r="BU1783" s="62" t="n">
        <f aca="false">N('Neue Artikel'!$C$44)/Parameter!$B$18</f>
        <v>0</v>
      </c>
      <c r="BV1783" s="60"/>
      <c r="BW1783" s="65" t="n">
        <v>1</v>
      </c>
      <c r="BX1783" s="65" t="n">
        <v>1783</v>
      </c>
      <c r="BY1783" s="60" t="str">
        <f aca="false">IF(U1783&lt;&gt;"",UPPER(TRIM(U1783)),IF(CB1783=1,UPPER(VLOOKUP(T1783,Parameter!$I$27:$K$29,2,0)),IF(P1783="","LOSE",P1783)))</f>
        <v>LOSE</v>
      </c>
      <c r="BZ1783" s="62" t="n">
        <f aca="false">IF(BY1783="LOSE",1,IF(N(V1783)&gt;0,V1783,IF(CB1783=1,MAX(1,N(VLOOKUP(T1783,Parameter!$I$27:$K$29,3,0)),H1783,N(N1783)),IF(N(Q1783)&gt;0,Q1783,MAX(1,H1783)))))</f>
        <v>1</v>
      </c>
      <c r="CA1783" s="65" t="n">
        <f aca="false">IF(BY1783="LOSE",1,0)</f>
        <v>1</v>
      </c>
      <c r="CB1783" s="65" t="n">
        <f aca="false">IF(AND(U1783="",OR(P1783="",P1783="LOSE"),T1783&lt;&gt;"",N(S1783)&lt;=0,ISNUMBER(MATCH(T1783,Parameter!$I$27:$I$29,0))),1,0)</f>
        <v>0</v>
      </c>
      <c r="CC1783" s="65" t="n">
        <f aca="false">IF(CR1783&gt;0,INDEX(Parameter!$H$5:$H$7,W1783)/INDEX(Parameter!$E$5:$E$7,W1783),IF(AND(CA1783=0,N(IFERROR(VLOOKUP(BY1783,'Gebinde-Kategorie'!$A$5:$N$45,14,0),0))&gt;0),VLOOKUP(BY1783,'Gebinde-Kategorie'!$A$5:$N$45,14,0)*10+Parameter!$M$23,Parameter!$M$24))</f>
        <v>235</v>
      </c>
      <c r="CD1783" s="60" t="str">
        <f aca="false">IF(AND(Parameter!$B$19="Ja",E1783&lt;&gt;"",ISNUMBER(MATCH(E1783,Parameter!$I$35:$I$52,0))),VLOOKUP(E1783,Parameter!$I$35:$J$52,2,0),IFERROR(VLOOKUP(D1783,Parameter!$A$35:$C$64,2,0),"Nein"))</f>
        <v>2+3</v>
      </c>
      <c r="CE1783" s="64" t="n">
        <f aca="false">IF(CA1783=0,0,IF(N(S1783)&gt;0,S1783,IFERROR(VLOOKUP(D1783,Parameter!$A$35:$C$64,3,0)+0,0)))</f>
        <v>0.15</v>
      </c>
      <c r="CF1783" s="60" t="str">
        <f aca="false">IF(AB1783&lt;&gt;"",AB1783,AA1783)</f>
        <v/>
      </c>
      <c r="CG1783" s="60" t="str">
        <f aca="false">IF(OR(CF1783=1,CF1783=2,CF1783=3),IF(Parameter!$E$27="Ja","LIFT",IF(CF1783=1,"L1","L23")),IF(CF1783="Aussen","Aussen","-"))</f>
        <v>-</v>
      </c>
      <c r="CH1783" s="71" t="n">
        <f aca="false">IF(N(AC1783)&gt;0,AC1783,0)</f>
        <v>0</v>
      </c>
      <c r="CI1783" s="65" t="n">
        <f aca="false">IF(ISNUMBER(AF1783),1,0)</f>
        <v>0</v>
      </c>
      <c r="CJ1783" s="62" t="n">
        <f aca="false">N(AF1783)</f>
        <v>0</v>
      </c>
      <c r="CK1783" s="62" t="n">
        <f aca="false">N(M1783)+N(N1783)</f>
        <v>0</v>
      </c>
      <c r="CL1783" s="62" t="n">
        <f aca="false">N(M1783)</f>
        <v>0</v>
      </c>
      <c r="CM1783" s="62" t="n">
        <f aca="false">N(N1783)</f>
        <v>0</v>
      </c>
      <c r="CN1783" s="62" t="n">
        <f aca="false">ROUNDUP(H1783/BZ1783,0)</f>
        <v>0</v>
      </c>
      <c r="CO1783" s="62" t="n">
        <f aca="false">ROUNDUP(CJ1783/BZ1783,0)</f>
        <v>0</v>
      </c>
      <c r="CP1783" s="65" t="n">
        <f aca="false">IF(CA1783=1,0,IFERROR(VLOOKUP(BY1783,'Gebinde-Kategorie'!$A$5:$N$45,5,0)+0,0))</f>
        <v>0</v>
      </c>
      <c r="CQ1783" s="65" t="n">
        <f aca="false">IFERROR(IF(OR(CF1783=1,CF1783=2,CF1783=3),N(INDEX(Parameter!$I$5:$I$7,CF1783)),0),0)</f>
        <v>0</v>
      </c>
      <c r="CR1783" s="64" t="n">
        <f aca="false">IF(AND(Parameter!$B$21="Ja",ISNUMBER(W1783),N(X1783)&gt;0),IFERROR(N(INDEX(Parameter!$L$5:$L$7,W1783))*INDEX(Parameter!$E$5:$E$7,W1783)*X1783/SUMIFS($X$7:$X$1843,$W$7:$W$1843,W1783),0),0)</f>
        <v>0</v>
      </c>
      <c r="CS1783" s="62" t="str">
        <f aca="false">IF(AND(OR(CG1783="L1",CG1783="L23",CG1783="LIFT"),H1783&gt;0),CC1783*IF(CR1783&gt;0,CR1783*MAX(1,H1783/X1783),IF(CA1783=1,CE1783,IF(R1783&gt;0,CN1783/R1783,0))/MAX(0.1,N(Parameter!$M$21))),"")</f>
        <v/>
      </c>
      <c r="CT1783" s="64" t="str">
        <f aca="false">IF(CS1783="","",J1783/H1783)</f>
        <v/>
      </c>
      <c r="CU1783" s="62" t="str">
        <f aca="false">IF(CS1783="","",H1783*G1783)</f>
        <v/>
      </c>
      <c r="CV1783" s="63" t="str">
        <f aca="false">IF(CS1783="","",(CL1783+ROUNDUP(CL1783+MAX(CM1783,2*(J1783/MAX(0.1,N(Einkauf!$C$6))-CL1783)),0))/2)</f>
        <v/>
      </c>
      <c r="CW1783" s="62" t="str">
        <f aca="false">IF(CS1783="","",MAX(0,H1783-CV1783)*G1783)</f>
        <v/>
      </c>
      <c r="CX1783" s="62" t="str">
        <f aca="false">IF(CS1783="","",CS1783*MAX(0,1-CV1783/H1783))</f>
        <v/>
      </c>
      <c r="CY1783" s="64" t="str">
        <f aca="false">IF(CS1783="","",PERCENTRANK($CS$7:$CS$1843,CS1783)+PERCENTRANK($CU$7:$CU$1843,CU1783)+1-PERCENTRANK($CT$7:$CT$1843,CT1783))</f>
        <v/>
      </c>
      <c r="CZ1783" s="72" t="str">
        <f aca="false">IF(CS1783="","",CHOOSE(MATCH(Einkauf!$C$5,Parameter!$G$23:$G$27,0),CY1783,CS1783,CU1783,-CT1783,CW1783)+ROW()/1000000000)</f>
        <v/>
      </c>
    </row>
    <row r="1784" customFormat="false" ht="15" hidden="false" customHeight="false" outlineLevel="0" collapsed="false">
      <c r="A1784" s="60" t="str">
        <f aca="false">IF('Neue Artikel'!$A$45="","",'Neue Artikel'!$A$45&amp;"")</f>
        <v/>
      </c>
      <c r="B1784" s="60" t="str">
        <f aca="false">'Neue Artikel'!$B$45&amp;""</f>
        <v/>
      </c>
      <c r="C1784" s="60"/>
      <c r="D1784" s="60" t="s">
        <v>3057</v>
      </c>
      <c r="E1784" s="60"/>
      <c r="F1784" s="60"/>
      <c r="G1784" s="61" t="n">
        <f aca="false">N('Neue Artikel'!$G$45)</f>
        <v>0</v>
      </c>
      <c r="H1784" s="62" t="n">
        <f aca="false">MAX(0,IF(AND(Parameter!$B$21="Ja",ISNUMBER(Y1784)),Y1784,IF(Parameter!$B$20="Jahresanfang 2025 + Export",BS1784+BR1784,BR1784)))</f>
        <v>0</v>
      </c>
      <c r="I1784" s="62" t="n">
        <f aca="false">H1784*G1784</f>
        <v>0</v>
      </c>
      <c r="J1784" s="62" t="n">
        <f aca="false">BU1784*Parameter!$B$18</f>
        <v>0</v>
      </c>
      <c r="K1784" s="63"/>
      <c r="L1784" s="64"/>
      <c r="M1784" s="62" t="n">
        <f aca="false">N('Neue Artikel'!$E$45)</f>
        <v>0</v>
      </c>
      <c r="N1784" s="62" t="n">
        <f aca="false">N('Neue Artikel'!$F$45)</f>
        <v>0</v>
      </c>
      <c r="O1784" s="65"/>
      <c r="P1784" s="60" t="str">
        <f aca="false">IF('Neue Artikel'!$H$45="","LOSE",UPPER(TRIM('Neue Artikel'!$H$45)))</f>
        <v>LOSE</v>
      </c>
      <c r="Q1784" s="62" t="n">
        <f aca="false">N('Neue Artikel'!$I$45)</f>
        <v>0</v>
      </c>
      <c r="R1784" s="65" t="n">
        <f aca="false">IF(CA1784=1,0,IFERROR(VLOOKUP(BY1784,'Gebinde-Kategorie'!$A$5:$N$45,13,0)+0,0))</f>
        <v>0</v>
      </c>
      <c r="S1784" s="66"/>
      <c r="T1784" s="67"/>
      <c r="U1784" s="67"/>
      <c r="V1784" s="67"/>
      <c r="W1784" s="60"/>
      <c r="X1784" s="62"/>
      <c r="Y1784" s="62"/>
      <c r="Z1784" s="60"/>
      <c r="AA1784" s="60" t="str">
        <f aca="false">IF(A1784="","",IF(AND(Parameter!$B$21="Ja",ISNUMBER(W1784)),W1784,IF(AND(Parameter!$E$27="Ja",ISNUMBER(Z1784),CD1784&lt;&gt;"Nein"),Z1784,IF(CD1784="2+3",IF(ISNUMBER(SEARCH("grosser Artikel",BV1784)),2,IFERROR(VLOOKUP(BY1784,Parameter!$F$35:$G$64,2,0),2)),IF(OR(CD1784="Nein",CD1784=""),"-",CD1784)))))</f>
        <v/>
      </c>
      <c r="AB1784" s="60" t="str">
        <f aca="false">IF('Neue Artikel'!$J$45="","",'Neue Artikel'!$J$45)</f>
        <v/>
      </c>
      <c r="AC1784" s="68"/>
      <c r="AD1784" s="62" t="n">
        <f aca="false">AW1784</f>
        <v>0</v>
      </c>
      <c r="AE1784" s="62" t="n">
        <f aca="false">MAX(AW1784,H1784)</f>
        <v>0</v>
      </c>
      <c r="AF1784" s="69"/>
      <c r="AG1784" s="62" t="n">
        <f aca="false">IF(LEFT(Cockpit!$C$5,1)="A",H1784,IF(Parameter!$E$30="MAX-Bestand",IF(CI1784=1,CJ1784,IF(LEFT(Cockpit!$C$5,1)="B",AM1784,MAX(AM1784,H1784))),ROUNDUP(AK1784,0)))</f>
        <v>0</v>
      </c>
      <c r="AH1784" s="62" t="n">
        <f aca="false">IF(CA1784=1,0,ROUNDUP(AG1784/BZ1784,0))</f>
        <v>0</v>
      </c>
      <c r="AI1784" s="64" t="n">
        <f aca="false">IF(CR1784&gt;0,CR1784*MAX(1,AG1784/X1784),IF(CA1784=1,IF(AG1784&lt;=0,0,CE1784*MAX(1,IF(H1784&gt;0,AG1784/H1784,1))),IF(R1784&gt;0,AH1784/R1784,0))/MAX(0.1,N(Parameter!$M$21)))</f>
        <v>0</v>
      </c>
      <c r="AJ1784" s="62" t="n">
        <f aca="false">AI1784*CC1784</f>
        <v>0</v>
      </c>
      <c r="AK1784" s="63" t="n">
        <f aca="false">IF(LEFT(Cockpit!$C$5,1)="A",H1784,IF(CI1784=1,(CL1784+CJ1784)/2,IF(LEFT(Cockpit!$C$5,1)="B",(CL1784+AM1784)/2,MAX((CL1784+AM1784)/2,H1784))))</f>
        <v>0</v>
      </c>
      <c r="AL1784" s="62" t="n">
        <f aca="false">AK1784*G1784</f>
        <v>0</v>
      </c>
      <c r="AM1784" s="62" t="n">
        <f aca="false">ROUNDUP(CL1784+MAX(CM1784,2*(J1784/IF(CH1784&gt;0,CH1784,MAX(0.1,N(Cockpit!$C$6)))-CL1784)),0)</f>
        <v>0</v>
      </c>
      <c r="AN1784" s="63" t="n">
        <f aca="false">IF(AJ1784&gt;0,J1784/AJ1784,-1)</f>
        <v>-1</v>
      </c>
      <c r="AO1784" s="63" t="str">
        <f aca="false">IF(AND(OR(CG1784="L1",CG1784="L23",CG1784="LIFT"),AJ1784&gt;0),SUMIFS($AJ$7:$AJ$1843,$CG$7:$CG$1843,CG1784,$AN$7:$AN$1843,"&gt;"&amp;AN1784)+SUMIFS($AJ$7:$AJ$1843,$CG$7:$CG$1843,CG1784,$AN$7:$AN$1843,AN1784,$BX$7:$BX$1843,"&lt;="&amp;BX1784),"")</f>
        <v/>
      </c>
      <c r="AP1784" s="70" t="n">
        <f aca="false">IF(AO1784="",0,MAX(0,MIN(1,(IF(CG1784="L1",Parameter!$H$5,IF(CG1784="L23",Parameter!$H$6+Parameter!$H$7,Parameter!$H$5+Parameter!$H$6+Parameter!$H$7))-(AO1784-AJ1784))/AJ1784)))</f>
        <v>0</v>
      </c>
      <c r="AQ1784" s="62" t="n">
        <f aca="false">IF(LEFT(Cockpit!$I$5,1)="A",H1784,IF(Parameter!$E$30="MAX-Bestand",IF(CI1784=1,CJ1784,IF(LEFT(Cockpit!$I$5,1)="B",AW1784,MAX(AW1784,H1784))),ROUNDUP(AU1784,0)))</f>
        <v>0</v>
      </c>
      <c r="AR1784" s="62" t="n">
        <f aca="false">IF(CA1784=1,0,ROUNDUP(AQ1784/BZ1784,0))</f>
        <v>0</v>
      </c>
      <c r="AS1784" s="64" t="n">
        <f aca="false">IF(CR1784&gt;0,CR1784*MAX(1,AQ1784/X1784),IF(CA1784=1,IF(AQ1784&lt;=0,0,CE1784*MAX(1,IF(H1784&gt;0,AQ1784/H1784,1))),IF(R1784&gt;0,AR1784/R1784,0))/MAX(0.1,N(Parameter!$M$21)))</f>
        <v>0</v>
      </c>
      <c r="AT1784" s="62" t="n">
        <f aca="false">AS1784*CC1784</f>
        <v>0</v>
      </c>
      <c r="AU1784" s="63" t="n">
        <f aca="false">IF(LEFT(Cockpit!$I$5,1)="A",H1784,IF(CI1784=1,(CL1784+CJ1784)/2,IF(LEFT(Cockpit!$I$5,1)="B",(CL1784+AW1784)/2,MAX((CL1784+AW1784)/2,H1784))))</f>
        <v>0</v>
      </c>
      <c r="AV1784" s="62" t="n">
        <f aca="false">AU1784*G1784</f>
        <v>0</v>
      </c>
      <c r="AW1784" s="62" t="n">
        <f aca="false">ROUNDUP(CL1784+MAX(CM1784,2*(J1784/IF(CH1784&gt;0,CH1784,MAX(0.1,N(Cockpit!$I$6)))-CL1784)),0)</f>
        <v>0</v>
      </c>
      <c r="AX1784" s="63" t="n">
        <f aca="false">IF(AT1784&gt;0,J1784/AT1784,-1)</f>
        <v>-1</v>
      </c>
      <c r="AY1784" s="63" t="str">
        <f aca="false">IF(AND(OR(CG1784="L1",CG1784="L23",CG1784="LIFT"),AT1784&gt;0),SUMIFS($AT$7:$AT$1843,$CG$7:$CG$1843,CG1784,$AX$7:$AX$1843,"&gt;"&amp;AX1784)+SUMIFS($AT$7:$AT$1843,$CG$7:$CG$1843,CG1784,$AX$7:$AX$1843,AX1784,$BX$7:$BX$1843,"&lt;="&amp;BX1784),"")</f>
        <v/>
      </c>
      <c r="AZ1784" s="70" t="n">
        <f aca="false">IF(AY1784="",0,MAX(0,MIN(1,(IF(CG1784="L1",Parameter!$H$5,IF(CG1784="L23",Parameter!$H$6+Parameter!$H$7,Parameter!$H$5+Parameter!$H$6+Parameter!$H$7))-(AY1784-AT1784))/AT1784)))</f>
        <v>0</v>
      </c>
      <c r="BA1784" s="62" t="n">
        <f aca="false">IF(LEFT(Cockpit!$O$5,1)="A",H1784,IF(Parameter!$E$30="MAX-Bestand",IF(CI1784=1,CJ1784,IF(LEFT(Cockpit!$O$5,1)="B",BG1784,MAX(BG1784,H1784))),ROUNDUP(BE1784,0)))</f>
        <v>0</v>
      </c>
      <c r="BB1784" s="62" t="n">
        <f aca="false">IF(CA1784=1,0,ROUNDUP(BA1784/BZ1784,0))</f>
        <v>0</v>
      </c>
      <c r="BC1784" s="64" t="n">
        <f aca="false">IF(CR1784&gt;0,CR1784*MAX(1,BA1784/X1784),IF(CA1784=1,IF(BA1784&lt;=0,0,CE1784*MAX(1,IF(H1784&gt;0,BA1784/H1784,1))),IF(R1784&gt;0,BB1784/R1784,0))/MAX(0.1,N(Parameter!$M$21)))</f>
        <v>0</v>
      </c>
      <c r="BD1784" s="62" t="n">
        <f aca="false">BC1784*CC1784</f>
        <v>0</v>
      </c>
      <c r="BE1784" s="63" t="n">
        <f aca="false">IF(LEFT(Cockpit!$O$5,1)="A",H1784,IF(CI1784=1,(CL1784+CJ1784)/2,IF(LEFT(Cockpit!$O$5,1)="B",(CL1784+BG1784)/2,MAX((CL1784+BG1784)/2,H1784))))</f>
        <v>0</v>
      </c>
      <c r="BF1784" s="62" t="n">
        <f aca="false">BE1784*G1784</f>
        <v>0</v>
      </c>
      <c r="BG1784" s="62" t="n">
        <f aca="false">ROUNDUP(CL1784+MAX(CM1784,2*(J1784/IF(CH1784&gt;0,CH1784,MAX(0.1,N(Cockpit!$O$6)))-CL1784)),0)</f>
        <v>0</v>
      </c>
      <c r="BH1784" s="63" t="n">
        <f aca="false">IF(BD1784&gt;0,J1784/BD1784,-1)</f>
        <v>-1</v>
      </c>
      <c r="BI1784" s="63" t="str">
        <f aca="false">IF(AND(OR(CG1784="L1",CG1784="L23",CG1784="LIFT"),BD1784&gt;0),SUMIFS($BD$7:$BD$1843,$CG$7:$CG$1843,CG1784,$BH$7:$BH$1843,"&gt;"&amp;BH1784)+SUMIFS($BD$7:$BD$1843,$CG$7:$CG$1843,CG1784,$BH$7:$BH$1843,BH1784,$BX$7:$BX$1843,"&lt;="&amp;BX1784),"")</f>
        <v/>
      </c>
      <c r="BJ1784" s="70" t="n">
        <f aca="false">IF(BI1784="",0,MAX(0,MIN(1,(IF(CG1784="L1",Parameter!$H$5,IF(CG1784="L23",Parameter!$H$6+Parameter!$H$7,Parameter!$H$5+Parameter!$H$6+Parameter!$H$7))-(BI1784-BD1784))/BD1784)))</f>
        <v>0</v>
      </c>
      <c r="BK1784" s="60" t="str">
        <f aca="false">IF(AJ1784&lt;=0,"",IF(CG1784="Aussen","Aussenlager",IF(CG1784="-","Nicht im Lift",IF(AP1784&gt;=1,"Lift",IF(AP1784&lt;=0,"Aussenlager","teilweise")))))</f>
        <v/>
      </c>
      <c r="BL1784" s="60" t="str">
        <f aca="false">IF(AT1784&lt;=0,"",IF(CG1784="Aussen","Aussenlager",IF(CG1784="-","Nicht im Lift",IF(AZ1784&gt;=1,"Lift",IF(AZ1784&lt;=0,"Aussenlager","teilweise")))))</f>
        <v/>
      </c>
      <c r="BM1784" s="60" t="str">
        <f aca="false">IF(BD1784&lt;=0,"",IF(CG1784="Aussen","Aussenlager",IF(CG1784="-","Nicht im Lift",IF(BJ1784&gt;=1,"Lift",IF(BJ1784&lt;=0,"Aussenlager","teilweise")))))</f>
        <v/>
      </c>
      <c r="BN1784" s="60" t="str">
        <f aca="false">IF(A1784="","",IF(BW1784=1,"Neu; ","")&amp;IF(AND(BW1784=0,BR1784&lt;0),"negativer Bestand (Export "&amp;BR1784&amp;"); ","")&amp;IF(J1784&lt;=0,"Kein Verbrauch; ","")&amp;IF(CR1784&gt;0,"Lift "&amp;W1784&amp;" lt. Liftbericht (Fach "&amp;X1784&amp;" Stk); ",IF(CB1784=1,"Gebinde geschätzt ("&amp;T1784&amp;"); ",IF(CA1784=1,"Lose – Tablare geschätzt; ","")))&amp;IF(H1784&gt;AW1784,"Überbestand "&amp;ROUND(H1784-AW1784,0)&amp;" Stk / CHF "&amp;ROUND((H1784-AW1784)*G1784,0)&amp;"; ","")&amp;IF(AND(CI1784=1,CJ1784&lt;CK1784),"MAX &lt; MB+LG; ","")&amp;IF(AND(CQ1784&gt;0,CP1784*10&gt;CQ1784),"zu hoch für Tablar; ","")&amp;IF(AND(BW1784=0,OR(CI1784=1,AB1784&lt;&gt;"",U1784&lt;&gt;"",V1784&lt;&gt;"",AC1784&lt;&gt;"")),"manuell übersteuert; ","")&amp;IF(AND(CA1784=0,R1784=0),"Gebinde unbekannt / Stellmass fehlt; ","")&amp;IF(AND(CA1784=0,N(V1784)&lt;=0,N(Q1784)&lt;=0),"Menge pro Gebinde fehlt (Ist = 1 Gebinde); ","")&amp;BV1784)</f>
        <v/>
      </c>
      <c r="BO1784" s="60"/>
      <c r="BP1784" s="60"/>
      <c r="BQ1784" s="67"/>
      <c r="BR1784" s="62" t="n">
        <f aca="false">N('Neue Artikel'!$D$45)</f>
        <v>0</v>
      </c>
      <c r="BS1784" s="62" t="n">
        <v>0</v>
      </c>
      <c r="BT1784" s="61" t="n">
        <v>0</v>
      </c>
      <c r="BU1784" s="62" t="n">
        <f aca="false">N('Neue Artikel'!$C$45)/Parameter!$B$18</f>
        <v>0</v>
      </c>
      <c r="BV1784" s="60"/>
      <c r="BW1784" s="65" t="n">
        <v>1</v>
      </c>
      <c r="BX1784" s="65" t="n">
        <v>1784</v>
      </c>
      <c r="BY1784" s="60" t="str">
        <f aca="false">IF(U1784&lt;&gt;"",UPPER(TRIM(U1784)),IF(CB1784=1,UPPER(VLOOKUP(T1784,Parameter!$I$27:$K$29,2,0)),IF(P1784="","LOSE",P1784)))</f>
        <v>LOSE</v>
      </c>
      <c r="BZ1784" s="62" t="n">
        <f aca="false">IF(BY1784="LOSE",1,IF(N(V1784)&gt;0,V1784,IF(CB1784=1,MAX(1,N(VLOOKUP(T1784,Parameter!$I$27:$K$29,3,0)),H1784,N(N1784)),IF(N(Q1784)&gt;0,Q1784,MAX(1,H1784)))))</f>
        <v>1</v>
      </c>
      <c r="CA1784" s="65" t="n">
        <f aca="false">IF(BY1784="LOSE",1,0)</f>
        <v>1</v>
      </c>
      <c r="CB1784" s="65" t="n">
        <f aca="false">IF(AND(U1784="",OR(P1784="",P1784="LOSE"),T1784&lt;&gt;"",N(S1784)&lt;=0,ISNUMBER(MATCH(T1784,Parameter!$I$27:$I$29,0))),1,0)</f>
        <v>0</v>
      </c>
      <c r="CC1784" s="65" t="n">
        <f aca="false">IF(CR1784&gt;0,INDEX(Parameter!$H$5:$H$7,W1784)/INDEX(Parameter!$E$5:$E$7,W1784),IF(AND(CA1784=0,N(IFERROR(VLOOKUP(BY1784,'Gebinde-Kategorie'!$A$5:$N$45,14,0),0))&gt;0),VLOOKUP(BY1784,'Gebinde-Kategorie'!$A$5:$N$45,14,0)*10+Parameter!$M$23,Parameter!$M$24))</f>
        <v>235</v>
      </c>
      <c r="CD1784" s="60" t="str">
        <f aca="false">IF(AND(Parameter!$B$19="Ja",E1784&lt;&gt;"",ISNUMBER(MATCH(E1784,Parameter!$I$35:$I$52,0))),VLOOKUP(E1784,Parameter!$I$35:$J$52,2,0),IFERROR(VLOOKUP(D1784,Parameter!$A$35:$C$64,2,0),"Nein"))</f>
        <v>2+3</v>
      </c>
      <c r="CE1784" s="64" t="n">
        <f aca="false">IF(CA1784=0,0,IF(N(S1784)&gt;0,S1784,IFERROR(VLOOKUP(D1784,Parameter!$A$35:$C$64,3,0)+0,0)))</f>
        <v>0.15</v>
      </c>
      <c r="CF1784" s="60" t="str">
        <f aca="false">IF(AB1784&lt;&gt;"",AB1784,AA1784)</f>
        <v/>
      </c>
      <c r="CG1784" s="60" t="str">
        <f aca="false">IF(OR(CF1784=1,CF1784=2,CF1784=3),IF(Parameter!$E$27="Ja","LIFT",IF(CF1784=1,"L1","L23")),IF(CF1784="Aussen","Aussen","-"))</f>
        <v>-</v>
      </c>
      <c r="CH1784" s="71" t="n">
        <f aca="false">IF(N(AC1784)&gt;0,AC1784,0)</f>
        <v>0</v>
      </c>
      <c r="CI1784" s="65" t="n">
        <f aca="false">IF(ISNUMBER(AF1784),1,0)</f>
        <v>0</v>
      </c>
      <c r="CJ1784" s="62" t="n">
        <f aca="false">N(AF1784)</f>
        <v>0</v>
      </c>
      <c r="CK1784" s="62" t="n">
        <f aca="false">N(M1784)+N(N1784)</f>
        <v>0</v>
      </c>
      <c r="CL1784" s="62" t="n">
        <f aca="false">N(M1784)</f>
        <v>0</v>
      </c>
      <c r="CM1784" s="62" t="n">
        <f aca="false">N(N1784)</f>
        <v>0</v>
      </c>
      <c r="CN1784" s="62" t="n">
        <f aca="false">ROUNDUP(H1784/BZ1784,0)</f>
        <v>0</v>
      </c>
      <c r="CO1784" s="62" t="n">
        <f aca="false">ROUNDUP(CJ1784/BZ1784,0)</f>
        <v>0</v>
      </c>
      <c r="CP1784" s="65" t="n">
        <f aca="false">IF(CA1784=1,0,IFERROR(VLOOKUP(BY1784,'Gebinde-Kategorie'!$A$5:$N$45,5,0)+0,0))</f>
        <v>0</v>
      </c>
      <c r="CQ1784" s="65" t="n">
        <f aca="false">IFERROR(IF(OR(CF1784=1,CF1784=2,CF1784=3),N(INDEX(Parameter!$I$5:$I$7,CF1784)),0),0)</f>
        <v>0</v>
      </c>
      <c r="CR1784" s="64" t="n">
        <f aca="false">IF(AND(Parameter!$B$21="Ja",ISNUMBER(W1784),N(X1784)&gt;0),IFERROR(N(INDEX(Parameter!$L$5:$L$7,W1784))*INDEX(Parameter!$E$5:$E$7,W1784)*X1784/SUMIFS($X$7:$X$1843,$W$7:$W$1843,W1784),0),0)</f>
        <v>0</v>
      </c>
      <c r="CS1784" s="62" t="str">
        <f aca="false">IF(AND(OR(CG1784="L1",CG1784="L23",CG1784="LIFT"),H1784&gt;0),CC1784*IF(CR1784&gt;0,CR1784*MAX(1,H1784/X1784),IF(CA1784=1,CE1784,IF(R1784&gt;0,CN1784/R1784,0))/MAX(0.1,N(Parameter!$M$21))),"")</f>
        <v/>
      </c>
      <c r="CT1784" s="64" t="str">
        <f aca="false">IF(CS1784="","",J1784/H1784)</f>
        <v/>
      </c>
      <c r="CU1784" s="62" t="str">
        <f aca="false">IF(CS1784="","",H1784*G1784)</f>
        <v/>
      </c>
      <c r="CV1784" s="63" t="str">
        <f aca="false">IF(CS1784="","",(CL1784+ROUNDUP(CL1784+MAX(CM1784,2*(J1784/MAX(0.1,N(Einkauf!$C$6))-CL1784)),0))/2)</f>
        <v/>
      </c>
      <c r="CW1784" s="62" t="str">
        <f aca="false">IF(CS1784="","",MAX(0,H1784-CV1784)*G1784)</f>
        <v/>
      </c>
      <c r="CX1784" s="62" t="str">
        <f aca="false">IF(CS1784="","",CS1784*MAX(0,1-CV1784/H1784))</f>
        <v/>
      </c>
      <c r="CY1784" s="64" t="str">
        <f aca="false">IF(CS1784="","",PERCENTRANK($CS$7:$CS$1843,CS1784)+PERCENTRANK($CU$7:$CU$1843,CU1784)+1-PERCENTRANK($CT$7:$CT$1843,CT1784))</f>
        <v/>
      </c>
      <c r="CZ1784" s="72" t="str">
        <f aca="false">IF(CS1784="","",CHOOSE(MATCH(Einkauf!$C$5,Parameter!$G$23:$G$27,0),CY1784,CS1784,CU1784,-CT1784,CW1784)+ROW()/1000000000)</f>
        <v/>
      </c>
    </row>
    <row r="1785" customFormat="false" ht="15" hidden="false" customHeight="false" outlineLevel="0" collapsed="false">
      <c r="A1785" s="60" t="str">
        <f aca="false">IF('Neue Artikel'!$A$46="","",'Neue Artikel'!$A$46&amp;"")</f>
        <v/>
      </c>
      <c r="B1785" s="60" t="str">
        <f aca="false">'Neue Artikel'!$B$46&amp;""</f>
        <v/>
      </c>
      <c r="C1785" s="60"/>
      <c r="D1785" s="60" t="s">
        <v>3057</v>
      </c>
      <c r="E1785" s="60"/>
      <c r="F1785" s="60"/>
      <c r="G1785" s="61" t="n">
        <f aca="false">N('Neue Artikel'!$G$46)</f>
        <v>0</v>
      </c>
      <c r="H1785" s="62" t="n">
        <f aca="false">MAX(0,IF(AND(Parameter!$B$21="Ja",ISNUMBER(Y1785)),Y1785,IF(Parameter!$B$20="Jahresanfang 2025 + Export",BS1785+BR1785,BR1785)))</f>
        <v>0</v>
      </c>
      <c r="I1785" s="62" t="n">
        <f aca="false">H1785*G1785</f>
        <v>0</v>
      </c>
      <c r="J1785" s="62" t="n">
        <f aca="false">BU1785*Parameter!$B$18</f>
        <v>0</v>
      </c>
      <c r="K1785" s="63"/>
      <c r="L1785" s="64"/>
      <c r="M1785" s="62" t="n">
        <f aca="false">N('Neue Artikel'!$E$46)</f>
        <v>0</v>
      </c>
      <c r="N1785" s="62" t="n">
        <f aca="false">N('Neue Artikel'!$F$46)</f>
        <v>0</v>
      </c>
      <c r="O1785" s="65"/>
      <c r="P1785" s="60" t="str">
        <f aca="false">IF('Neue Artikel'!$H$46="","LOSE",UPPER(TRIM('Neue Artikel'!$H$46)))</f>
        <v>LOSE</v>
      </c>
      <c r="Q1785" s="62" t="n">
        <f aca="false">N('Neue Artikel'!$I$46)</f>
        <v>0</v>
      </c>
      <c r="R1785" s="65" t="n">
        <f aca="false">IF(CA1785=1,0,IFERROR(VLOOKUP(BY1785,'Gebinde-Kategorie'!$A$5:$N$45,13,0)+0,0))</f>
        <v>0</v>
      </c>
      <c r="S1785" s="66"/>
      <c r="T1785" s="67"/>
      <c r="U1785" s="67"/>
      <c r="V1785" s="67"/>
      <c r="W1785" s="60"/>
      <c r="X1785" s="62"/>
      <c r="Y1785" s="62"/>
      <c r="Z1785" s="60"/>
      <c r="AA1785" s="60" t="str">
        <f aca="false">IF(A1785="","",IF(AND(Parameter!$B$21="Ja",ISNUMBER(W1785)),W1785,IF(AND(Parameter!$E$27="Ja",ISNUMBER(Z1785),CD1785&lt;&gt;"Nein"),Z1785,IF(CD1785="2+3",IF(ISNUMBER(SEARCH("grosser Artikel",BV1785)),2,IFERROR(VLOOKUP(BY1785,Parameter!$F$35:$G$64,2,0),2)),IF(OR(CD1785="Nein",CD1785=""),"-",CD1785)))))</f>
        <v/>
      </c>
      <c r="AB1785" s="60" t="str">
        <f aca="false">IF('Neue Artikel'!$J$46="","",'Neue Artikel'!$J$46)</f>
        <v/>
      </c>
      <c r="AC1785" s="68"/>
      <c r="AD1785" s="62" t="n">
        <f aca="false">AW1785</f>
        <v>0</v>
      </c>
      <c r="AE1785" s="62" t="n">
        <f aca="false">MAX(AW1785,H1785)</f>
        <v>0</v>
      </c>
      <c r="AF1785" s="69"/>
      <c r="AG1785" s="62" t="n">
        <f aca="false">IF(LEFT(Cockpit!$C$5,1)="A",H1785,IF(Parameter!$E$30="MAX-Bestand",IF(CI1785=1,CJ1785,IF(LEFT(Cockpit!$C$5,1)="B",AM1785,MAX(AM1785,H1785))),ROUNDUP(AK1785,0)))</f>
        <v>0</v>
      </c>
      <c r="AH1785" s="62" t="n">
        <f aca="false">IF(CA1785=1,0,ROUNDUP(AG1785/BZ1785,0))</f>
        <v>0</v>
      </c>
      <c r="AI1785" s="64" t="n">
        <f aca="false">IF(CR1785&gt;0,CR1785*MAX(1,AG1785/X1785),IF(CA1785=1,IF(AG1785&lt;=0,0,CE1785*MAX(1,IF(H1785&gt;0,AG1785/H1785,1))),IF(R1785&gt;0,AH1785/R1785,0))/MAX(0.1,N(Parameter!$M$21)))</f>
        <v>0</v>
      </c>
      <c r="AJ1785" s="62" t="n">
        <f aca="false">AI1785*CC1785</f>
        <v>0</v>
      </c>
      <c r="AK1785" s="63" t="n">
        <f aca="false">IF(LEFT(Cockpit!$C$5,1)="A",H1785,IF(CI1785=1,(CL1785+CJ1785)/2,IF(LEFT(Cockpit!$C$5,1)="B",(CL1785+AM1785)/2,MAX((CL1785+AM1785)/2,H1785))))</f>
        <v>0</v>
      </c>
      <c r="AL1785" s="62" t="n">
        <f aca="false">AK1785*G1785</f>
        <v>0</v>
      </c>
      <c r="AM1785" s="62" t="n">
        <f aca="false">ROUNDUP(CL1785+MAX(CM1785,2*(J1785/IF(CH1785&gt;0,CH1785,MAX(0.1,N(Cockpit!$C$6)))-CL1785)),0)</f>
        <v>0</v>
      </c>
      <c r="AN1785" s="63" t="n">
        <f aca="false">IF(AJ1785&gt;0,J1785/AJ1785,-1)</f>
        <v>-1</v>
      </c>
      <c r="AO1785" s="63" t="str">
        <f aca="false">IF(AND(OR(CG1785="L1",CG1785="L23",CG1785="LIFT"),AJ1785&gt;0),SUMIFS($AJ$7:$AJ$1843,$CG$7:$CG$1843,CG1785,$AN$7:$AN$1843,"&gt;"&amp;AN1785)+SUMIFS($AJ$7:$AJ$1843,$CG$7:$CG$1843,CG1785,$AN$7:$AN$1843,AN1785,$BX$7:$BX$1843,"&lt;="&amp;BX1785),"")</f>
        <v/>
      </c>
      <c r="AP1785" s="70" t="n">
        <f aca="false">IF(AO1785="",0,MAX(0,MIN(1,(IF(CG1785="L1",Parameter!$H$5,IF(CG1785="L23",Parameter!$H$6+Parameter!$H$7,Parameter!$H$5+Parameter!$H$6+Parameter!$H$7))-(AO1785-AJ1785))/AJ1785)))</f>
        <v>0</v>
      </c>
      <c r="AQ1785" s="62" t="n">
        <f aca="false">IF(LEFT(Cockpit!$I$5,1)="A",H1785,IF(Parameter!$E$30="MAX-Bestand",IF(CI1785=1,CJ1785,IF(LEFT(Cockpit!$I$5,1)="B",AW1785,MAX(AW1785,H1785))),ROUNDUP(AU1785,0)))</f>
        <v>0</v>
      </c>
      <c r="AR1785" s="62" t="n">
        <f aca="false">IF(CA1785=1,0,ROUNDUP(AQ1785/BZ1785,0))</f>
        <v>0</v>
      </c>
      <c r="AS1785" s="64" t="n">
        <f aca="false">IF(CR1785&gt;0,CR1785*MAX(1,AQ1785/X1785),IF(CA1785=1,IF(AQ1785&lt;=0,0,CE1785*MAX(1,IF(H1785&gt;0,AQ1785/H1785,1))),IF(R1785&gt;0,AR1785/R1785,0))/MAX(0.1,N(Parameter!$M$21)))</f>
        <v>0</v>
      </c>
      <c r="AT1785" s="62" t="n">
        <f aca="false">AS1785*CC1785</f>
        <v>0</v>
      </c>
      <c r="AU1785" s="63" t="n">
        <f aca="false">IF(LEFT(Cockpit!$I$5,1)="A",H1785,IF(CI1785=1,(CL1785+CJ1785)/2,IF(LEFT(Cockpit!$I$5,1)="B",(CL1785+AW1785)/2,MAX((CL1785+AW1785)/2,H1785))))</f>
        <v>0</v>
      </c>
      <c r="AV1785" s="62" t="n">
        <f aca="false">AU1785*G1785</f>
        <v>0</v>
      </c>
      <c r="AW1785" s="62" t="n">
        <f aca="false">ROUNDUP(CL1785+MAX(CM1785,2*(J1785/IF(CH1785&gt;0,CH1785,MAX(0.1,N(Cockpit!$I$6)))-CL1785)),0)</f>
        <v>0</v>
      </c>
      <c r="AX1785" s="63" t="n">
        <f aca="false">IF(AT1785&gt;0,J1785/AT1785,-1)</f>
        <v>-1</v>
      </c>
      <c r="AY1785" s="63" t="str">
        <f aca="false">IF(AND(OR(CG1785="L1",CG1785="L23",CG1785="LIFT"),AT1785&gt;0),SUMIFS($AT$7:$AT$1843,$CG$7:$CG$1843,CG1785,$AX$7:$AX$1843,"&gt;"&amp;AX1785)+SUMIFS($AT$7:$AT$1843,$CG$7:$CG$1843,CG1785,$AX$7:$AX$1843,AX1785,$BX$7:$BX$1843,"&lt;="&amp;BX1785),"")</f>
        <v/>
      </c>
      <c r="AZ1785" s="70" t="n">
        <f aca="false">IF(AY1785="",0,MAX(0,MIN(1,(IF(CG1785="L1",Parameter!$H$5,IF(CG1785="L23",Parameter!$H$6+Parameter!$H$7,Parameter!$H$5+Parameter!$H$6+Parameter!$H$7))-(AY1785-AT1785))/AT1785)))</f>
        <v>0</v>
      </c>
      <c r="BA1785" s="62" t="n">
        <f aca="false">IF(LEFT(Cockpit!$O$5,1)="A",H1785,IF(Parameter!$E$30="MAX-Bestand",IF(CI1785=1,CJ1785,IF(LEFT(Cockpit!$O$5,1)="B",BG1785,MAX(BG1785,H1785))),ROUNDUP(BE1785,0)))</f>
        <v>0</v>
      </c>
      <c r="BB1785" s="62" t="n">
        <f aca="false">IF(CA1785=1,0,ROUNDUP(BA1785/BZ1785,0))</f>
        <v>0</v>
      </c>
      <c r="BC1785" s="64" t="n">
        <f aca="false">IF(CR1785&gt;0,CR1785*MAX(1,BA1785/X1785),IF(CA1785=1,IF(BA1785&lt;=0,0,CE1785*MAX(1,IF(H1785&gt;0,BA1785/H1785,1))),IF(R1785&gt;0,BB1785/R1785,0))/MAX(0.1,N(Parameter!$M$21)))</f>
        <v>0</v>
      </c>
      <c r="BD1785" s="62" t="n">
        <f aca="false">BC1785*CC1785</f>
        <v>0</v>
      </c>
      <c r="BE1785" s="63" t="n">
        <f aca="false">IF(LEFT(Cockpit!$O$5,1)="A",H1785,IF(CI1785=1,(CL1785+CJ1785)/2,IF(LEFT(Cockpit!$O$5,1)="B",(CL1785+BG1785)/2,MAX((CL1785+BG1785)/2,H1785))))</f>
        <v>0</v>
      </c>
      <c r="BF1785" s="62" t="n">
        <f aca="false">BE1785*G1785</f>
        <v>0</v>
      </c>
      <c r="BG1785" s="62" t="n">
        <f aca="false">ROUNDUP(CL1785+MAX(CM1785,2*(J1785/IF(CH1785&gt;0,CH1785,MAX(0.1,N(Cockpit!$O$6)))-CL1785)),0)</f>
        <v>0</v>
      </c>
      <c r="BH1785" s="63" t="n">
        <f aca="false">IF(BD1785&gt;0,J1785/BD1785,-1)</f>
        <v>-1</v>
      </c>
      <c r="BI1785" s="63" t="str">
        <f aca="false">IF(AND(OR(CG1785="L1",CG1785="L23",CG1785="LIFT"),BD1785&gt;0),SUMIFS($BD$7:$BD$1843,$CG$7:$CG$1843,CG1785,$BH$7:$BH$1843,"&gt;"&amp;BH1785)+SUMIFS($BD$7:$BD$1843,$CG$7:$CG$1843,CG1785,$BH$7:$BH$1843,BH1785,$BX$7:$BX$1843,"&lt;="&amp;BX1785),"")</f>
        <v/>
      </c>
      <c r="BJ1785" s="70" t="n">
        <f aca="false">IF(BI1785="",0,MAX(0,MIN(1,(IF(CG1785="L1",Parameter!$H$5,IF(CG1785="L23",Parameter!$H$6+Parameter!$H$7,Parameter!$H$5+Parameter!$H$6+Parameter!$H$7))-(BI1785-BD1785))/BD1785)))</f>
        <v>0</v>
      </c>
      <c r="BK1785" s="60" t="str">
        <f aca="false">IF(AJ1785&lt;=0,"",IF(CG1785="Aussen","Aussenlager",IF(CG1785="-","Nicht im Lift",IF(AP1785&gt;=1,"Lift",IF(AP1785&lt;=0,"Aussenlager","teilweise")))))</f>
        <v/>
      </c>
      <c r="BL1785" s="60" t="str">
        <f aca="false">IF(AT1785&lt;=0,"",IF(CG1785="Aussen","Aussenlager",IF(CG1785="-","Nicht im Lift",IF(AZ1785&gt;=1,"Lift",IF(AZ1785&lt;=0,"Aussenlager","teilweise")))))</f>
        <v/>
      </c>
      <c r="BM1785" s="60" t="str">
        <f aca="false">IF(BD1785&lt;=0,"",IF(CG1785="Aussen","Aussenlager",IF(CG1785="-","Nicht im Lift",IF(BJ1785&gt;=1,"Lift",IF(BJ1785&lt;=0,"Aussenlager","teilweise")))))</f>
        <v/>
      </c>
      <c r="BN1785" s="60" t="str">
        <f aca="false">IF(A1785="","",IF(BW1785=1,"Neu; ","")&amp;IF(AND(BW1785=0,BR1785&lt;0),"negativer Bestand (Export "&amp;BR1785&amp;"); ","")&amp;IF(J1785&lt;=0,"Kein Verbrauch; ","")&amp;IF(CR1785&gt;0,"Lift "&amp;W1785&amp;" lt. Liftbericht (Fach "&amp;X1785&amp;" Stk); ",IF(CB1785=1,"Gebinde geschätzt ("&amp;T1785&amp;"); ",IF(CA1785=1,"Lose – Tablare geschätzt; ","")))&amp;IF(H1785&gt;AW1785,"Überbestand "&amp;ROUND(H1785-AW1785,0)&amp;" Stk / CHF "&amp;ROUND((H1785-AW1785)*G1785,0)&amp;"; ","")&amp;IF(AND(CI1785=1,CJ1785&lt;CK1785),"MAX &lt; MB+LG; ","")&amp;IF(AND(CQ1785&gt;0,CP1785*10&gt;CQ1785),"zu hoch für Tablar; ","")&amp;IF(AND(BW1785=0,OR(CI1785=1,AB1785&lt;&gt;"",U1785&lt;&gt;"",V1785&lt;&gt;"",AC1785&lt;&gt;"")),"manuell übersteuert; ","")&amp;IF(AND(CA1785=0,R1785=0),"Gebinde unbekannt / Stellmass fehlt; ","")&amp;IF(AND(CA1785=0,N(V1785)&lt;=0,N(Q1785)&lt;=0),"Menge pro Gebinde fehlt (Ist = 1 Gebinde); ","")&amp;BV1785)</f>
        <v/>
      </c>
      <c r="BO1785" s="60"/>
      <c r="BP1785" s="60"/>
      <c r="BQ1785" s="67"/>
      <c r="BR1785" s="62" t="n">
        <f aca="false">N('Neue Artikel'!$D$46)</f>
        <v>0</v>
      </c>
      <c r="BS1785" s="62" t="n">
        <v>0</v>
      </c>
      <c r="BT1785" s="61" t="n">
        <v>0</v>
      </c>
      <c r="BU1785" s="62" t="n">
        <f aca="false">N('Neue Artikel'!$C$46)/Parameter!$B$18</f>
        <v>0</v>
      </c>
      <c r="BV1785" s="60"/>
      <c r="BW1785" s="65" t="n">
        <v>1</v>
      </c>
      <c r="BX1785" s="65" t="n">
        <v>1785</v>
      </c>
      <c r="BY1785" s="60" t="str">
        <f aca="false">IF(U1785&lt;&gt;"",UPPER(TRIM(U1785)),IF(CB1785=1,UPPER(VLOOKUP(T1785,Parameter!$I$27:$K$29,2,0)),IF(P1785="","LOSE",P1785)))</f>
        <v>LOSE</v>
      </c>
      <c r="BZ1785" s="62" t="n">
        <f aca="false">IF(BY1785="LOSE",1,IF(N(V1785)&gt;0,V1785,IF(CB1785=1,MAX(1,N(VLOOKUP(T1785,Parameter!$I$27:$K$29,3,0)),H1785,N(N1785)),IF(N(Q1785)&gt;0,Q1785,MAX(1,H1785)))))</f>
        <v>1</v>
      </c>
      <c r="CA1785" s="65" t="n">
        <f aca="false">IF(BY1785="LOSE",1,0)</f>
        <v>1</v>
      </c>
      <c r="CB1785" s="65" t="n">
        <f aca="false">IF(AND(U1785="",OR(P1785="",P1785="LOSE"),T1785&lt;&gt;"",N(S1785)&lt;=0,ISNUMBER(MATCH(T1785,Parameter!$I$27:$I$29,0))),1,0)</f>
        <v>0</v>
      </c>
      <c r="CC1785" s="65" t="n">
        <f aca="false">IF(CR1785&gt;0,INDEX(Parameter!$H$5:$H$7,W1785)/INDEX(Parameter!$E$5:$E$7,W1785),IF(AND(CA1785=0,N(IFERROR(VLOOKUP(BY1785,'Gebinde-Kategorie'!$A$5:$N$45,14,0),0))&gt;0),VLOOKUP(BY1785,'Gebinde-Kategorie'!$A$5:$N$45,14,0)*10+Parameter!$M$23,Parameter!$M$24))</f>
        <v>235</v>
      </c>
      <c r="CD1785" s="60" t="str">
        <f aca="false">IF(AND(Parameter!$B$19="Ja",E1785&lt;&gt;"",ISNUMBER(MATCH(E1785,Parameter!$I$35:$I$52,0))),VLOOKUP(E1785,Parameter!$I$35:$J$52,2,0),IFERROR(VLOOKUP(D1785,Parameter!$A$35:$C$64,2,0),"Nein"))</f>
        <v>2+3</v>
      </c>
      <c r="CE1785" s="64" t="n">
        <f aca="false">IF(CA1785=0,0,IF(N(S1785)&gt;0,S1785,IFERROR(VLOOKUP(D1785,Parameter!$A$35:$C$64,3,0)+0,0)))</f>
        <v>0.15</v>
      </c>
      <c r="CF1785" s="60" t="str">
        <f aca="false">IF(AB1785&lt;&gt;"",AB1785,AA1785)</f>
        <v/>
      </c>
      <c r="CG1785" s="60" t="str">
        <f aca="false">IF(OR(CF1785=1,CF1785=2,CF1785=3),IF(Parameter!$E$27="Ja","LIFT",IF(CF1785=1,"L1","L23")),IF(CF1785="Aussen","Aussen","-"))</f>
        <v>-</v>
      </c>
      <c r="CH1785" s="71" t="n">
        <f aca="false">IF(N(AC1785)&gt;0,AC1785,0)</f>
        <v>0</v>
      </c>
      <c r="CI1785" s="65" t="n">
        <f aca="false">IF(ISNUMBER(AF1785),1,0)</f>
        <v>0</v>
      </c>
      <c r="CJ1785" s="62" t="n">
        <f aca="false">N(AF1785)</f>
        <v>0</v>
      </c>
      <c r="CK1785" s="62" t="n">
        <f aca="false">N(M1785)+N(N1785)</f>
        <v>0</v>
      </c>
      <c r="CL1785" s="62" t="n">
        <f aca="false">N(M1785)</f>
        <v>0</v>
      </c>
      <c r="CM1785" s="62" t="n">
        <f aca="false">N(N1785)</f>
        <v>0</v>
      </c>
      <c r="CN1785" s="62" t="n">
        <f aca="false">ROUNDUP(H1785/BZ1785,0)</f>
        <v>0</v>
      </c>
      <c r="CO1785" s="62" t="n">
        <f aca="false">ROUNDUP(CJ1785/BZ1785,0)</f>
        <v>0</v>
      </c>
      <c r="CP1785" s="65" t="n">
        <f aca="false">IF(CA1785=1,0,IFERROR(VLOOKUP(BY1785,'Gebinde-Kategorie'!$A$5:$N$45,5,0)+0,0))</f>
        <v>0</v>
      </c>
      <c r="CQ1785" s="65" t="n">
        <f aca="false">IFERROR(IF(OR(CF1785=1,CF1785=2,CF1785=3),N(INDEX(Parameter!$I$5:$I$7,CF1785)),0),0)</f>
        <v>0</v>
      </c>
      <c r="CR1785" s="64" t="n">
        <f aca="false">IF(AND(Parameter!$B$21="Ja",ISNUMBER(W1785),N(X1785)&gt;0),IFERROR(N(INDEX(Parameter!$L$5:$L$7,W1785))*INDEX(Parameter!$E$5:$E$7,W1785)*X1785/SUMIFS($X$7:$X$1843,$W$7:$W$1843,W1785),0),0)</f>
        <v>0</v>
      </c>
      <c r="CS1785" s="62" t="str">
        <f aca="false">IF(AND(OR(CG1785="L1",CG1785="L23",CG1785="LIFT"),H1785&gt;0),CC1785*IF(CR1785&gt;0,CR1785*MAX(1,H1785/X1785),IF(CA1785=1,CE1785,IF(R1785&gt;0,CN1785/R1785,0))/MAX(0.1,N(Parameter!$M$21))),"")</f>
        <v/>
      </c>
      <c r="CT1785" s="64" t="str">
        <f aca="false">IF(CS1785="","",J1785/H1785)</f>
        <v/>
      </c>
      <c r="CU1785" s="62" t="str">
        <f aca="false">IF(CS1785="","",H1785*G1785)</f>
        <v/>
      </c>
      <c r="CV1785" s="63" t="str">
        <f aca="false">IF(CS1785="","",(CL1785+ROUNDUP(CL1785+MAX(CM1785,2*(J1785/MAX(0.1,N(Einkauf!$C$6))-CL1785)),0))/2)</f>
        <v/>
      </c>
      <c r="CW1785" s="62" t="str">
        <f aca="false">IF(CS1785="","",MAX(0,H1785-CV1785)*G1785)</f>
        <v/>
      </c>
      <c r="CX1785" s="62" t="str">
        <f aca="false">IF(CS1785="","",CS1785*MAX(0,1-CV1785/H1785))</f>
        <v/>
      </c>
      <c r="CY1785" s="64" t="str">
        <f aca="false">IF(CS1785="","",PERCENTRANK($CS$7:$CS$1843,CS1785)+PERCENTRANK($CU$7:$CU$1843,CU1785)+1-PERCENTRANK($CT$7:$CT$1843,CT1785))</f>
        <v/>
      </c>
      <c r="CZ1785" s="72" t="str">
        <f aca="false">IF(CS1785="","",CHOOSE(MATCH(Einkauf!$C$5,Parameter!$G$23:$G$27,0),CY1785,CS1785,CU1785,-CT1785,CW1785)+ROW()/1000000000)</f>
        <v/>
      </c>
    </row>
    <row r="1786" customFormat="false" ht="15" hidden="false" customHeight="false" outlineLevel="0" collapsed="false">
      <c r="A1786" s="60" t="str">
        <f aca="false">IF('Neue Artikel'!$A$47="","",'Neue Artikel'!$A$47&amp;"")</f>
        <v/>
      </c>
      <c r="B1786" s="60" t="str">
        <f aca="false">'Neue Artikel'!$B$47&amp;""</f>
        <v/>
      </c>
      <c r="C1786" s="60"/>
      <c r="D1786" s="60" t="s">
        <v>3057</v>
      </c>
      <c r="E1786" s="60"/>
      <c r="F1786" s="60"/>
      <c r="G1786" s="61" t="n">
        <f aca="false">N('Neue Artikel'!$G$47)</f>
        <v>0</v>
      </c>
      <c r="H1786" s="62" t="n">
        <f aca="false">MAX(0,IF(AND(Parameter!$B$21="Ja",ISNUMBER(Y1786)),Y1786,IF(Parameter!$B$20="Jahresanfang 2025 + Export",BS1786+BR1786,BR1786)))</f>
        <v>0</v>
      </c>
      <c r="I1786" s="62" t="n">
        <f aca="false">H1786*G1786</f>
        <v>0</v>
      </c>
      <c r="J1786" s="62" t="n">
        <f aca="false">BU1786*Parameter!$B$18</f>
        <v>0</v>
      </c>
      <c r="K1786" s="63"/>
      <c r="L1786" s="64"/>
      <c r="M1786" s="62" t="n">
        <f aca="false">N('Neue Artikel'!$E$47)</f>
        <v>0</v>
      </c>
      <c r="N1786" s="62" t="n">
        <f aca="false">N('Neue Artikel'!$F$47)</f>
        <v>0</v>
      </c>
      <c r="O1786" s="65"/>
      <c r="P1786" s="60" t="str">
        <f aca="false">IF('Neue Artikel'!$H$47="","LOSE",UPPER(TRIM('Neue Artikel'!$H$47)))</f>
        <v>LOSE</v>
      </c>
      <c r="Q1786" s="62" t="n">
        <f aca="false">N('Neue Artikel'!$I$47)</f>
        <v>0</v>
      </c>
      <c r="R1786" s="65" t="n">
        <f aca="false">IF(CA1786=1,0,IFERROR(VLOOKUP(BY1786,'Gebinde-Kategorie'!$A$5:$N$45,13,0)+0,0))</f>
        <v>0</v>
      </c>
      <c r="S1786" s="66"/>
      <c r="T1786" s="67"/>
      <c r="U1786" s="67"/>
      <c r="V1786" s="67"/>
      <c r="W1786" s="60"/>
      <c r="X1786" s="62"/>
      <c r="Y1786" s="62"/>
      <c r="Z1786" s="60"/>
      <c r="AA1786" s="60" t="str">
        <f aca="false">IF(A1786="","",IF(AND(Parameter!$B$21="Ja",ISNUMBER(W1786)),W1786,IF(AND(Parameter!$E$27="Ja",ISNUMBER(Z1786),CD1786&lt;&gt;"Nein"),Z1786,IF(CD1786="2+3",IF(ISNUMBER(SEARCH("grosser Artikel",BV1786)),2,IFERROR(VLOOKUP(BY1786,Parameter!$F$35:$G$64,2,0),2)),IF(OR(CD1786="Nein",CD1786=""),"-",CD1786)))))</f>
        <v/>
      </c>
      <c r="AB1786" s="60" t="str">
        <f aca="false">IF('Neue Artikel'!$J$47="","",'Neue Artikel'!$J$47)</f>
        <v/>
      </c>
      <c r="AC1786" s="68"/>
      <c r="AD1786" s="62" t="n">
        <f aca="false">AW1786</f>
        <v>0</v>
      </c>
      <c r="AE1786" s="62" t="n">
        <f aca="false">MAX(AW1786,H1786)</f>
        <v>0</v>
      </c>
      <c r="AF1786" s="69"/>
      <c r="AG1786" s="62" t="n">
        <f aca="false">IF(LEFT(Cockpit!$C$5,1)="A",H1786,IF(Parameter!$E$30="MAX-Bestand",IF(CI1786=1,CJ1786,IF(LEFT(Cockpit!$C$5,1)="B",AM1786,MAX(AM1786,H1786))),ROUNDUP(AK1786,0)))</f>
        <v>0</v>
      </c>
      <c r="AH1786" s="62" t="n">
        <f aca="false">IF(CA1786=1,0,ROUNDUP(AG1786/BZ1786,0))</f>
        <v>0</v>
      </c>
      <c r="AI1786" s="64" t="n">
        <f aca="false">IF(CR1786&gt;0,CR1786*MAX(1,AG1786/X1786),IF(CA1786=1,IF(AG1786&lt;=0,0,CE1786*MAX(1,IF(H1786&gt;0,AG1786/H1786,1))),IF(R1786&gt;0,AH1786/R1786,0))/MAX(0.1,N(Parameter!$M$21)))</f>
        <v>0</v>
      </c>
      <c r="AJ1786" s="62" t="n">
        <f aca="false">AI1786*CC1786</f>
        <v>0</v>
      </c>
      <c r="AK1786" s="63" t="n">
        <f aca="false">IF(LEFT(Cockpit!$C$5,1)="A",H1786,IF(CI1786=1,(CL1786+CJ1786)/2,IF(LEFT(Cockpit!$C$5,1)="B",(CL1786+AM1786)/2,MAX((CL1786+AM1786)/2,H1786))))</f>
        <v>0</v>
      </c>
      <c r="AL1786" s="62" t="n">
        <f aca="false">AK1786*G1786</f>
        <v>0</v>
      </c>
      <c r="AM1786" s="62" t="n">
        <f aca="false">ROUNDUP(CL1786+MAX(CM1786,2*(J1786/IF(CH1786&gt;0,CH1786,MAX(0.1,N(Cockpit!$C$6)))-CL1786)),0)</f>
        <v>0</v>
      </c>
      <c r="AN1786" s="63" t="n">
        <f aca="false">IF(AJ1786&gt;0,J1786/AJ1786,-1)</f>
        <v>-1</v>
      </c>
      <c r="AO1786" s="63" t="str">
        <f aca="false">IF(AND(OR(CG1786="L1",CG1786="L23",CG1786="LIFT"),AJ1786&gt;0),SUMIFS($AJ$7:$AJ$1843,$CG$7:$CG$1843,CG1786,$AN$7:$AN$1843,"&gt;"&amp;AN1786)+SUMIFS($AJ$7:$AJ$1843,$CG$7:$CG$1843,CG1786,$AN$7:$AN$1843,AN1786,$BX$7:$BX$1843,"&lt;="&amp;BX1786),"")</f>
        <v/>
      </c>
      <c r="AP1786" s="70" t="n">
        <f aca="false">IF(AO1786="",0,MAX(0,MIN(1,(IF(CG1786="L1",Parameter!$H$5,IF(CG1786="L23",Parameter!$H$6+Parameter!$H$7,Parameter!$H$5+Parameter!$H$6+Parameter!$H$7))-(AO1786-AJ1786))/AJ1786)))</f>
        <v>0</v>
      </c>
      <c r="AQ1786" s="62" t="n">
        <f aca="false">IF(LEFT(Cockpit!$I$5,1)="A",H1786,IF(Parameter!$E$30="MAX-Bestand",IF(CI1786=1,CJ1786,IF(LEFT(Cockpit!$I$5,1)="B",AW1786,MAX(AW1786,H1786))),ROUNDUP(AU1786,0)))</f>
        <v>0</v>
      </c>
      <c r="AR1786" s="62" t="n">
        <f aca="false">IF(CA1786=1,0,ROUNDUP(AQ1786/BZ1786,0))</f>
        <v>0</v>
      </c>
      <c r="AS1786" s="64" t="n">
        <f aca="false">IF(CR1786&gt;0,CR1786*MAX(1,AQ1786/X1786),IF(CA1786=1,IF(AQ1786&lt;=0,0,CE1786*MAX(1,IF(H1786&gt;0,AQ1786/H1786,1))),IF(R1786&gt;0,AR1786/R1786,0))/MAX(0.1,N(Parameter!$M$21)))</f>
        <v>0</v>
      </c>
      <c r="AT1786" s="62" t="n">
        <f aca="false">AS1786*CC1786</f>
        <v>0</v>
      </c>
      <c r="AU1786" s="63" t="n">
        <f aca="false">IF(LEFT(Cockpit!$I$5,1)="A",H1786,IF(CI1786=1,(CL1786+CJ1786)/2,IF(LEFT(Cockpit!$I$5,1)="B",(CL1786+AW1786)/2,MAX((CL1786+AW1786)/2,H1786))))</f>
        <v>0</v>
      </c>
      <c r="AV1786" s="62" t="n">
        <f aca="false">AU1786*G1786</f>
        <v>0</v>
      </c>
      <c r="AW1786" s="62" t="n">
        <f aca="false">ROUNDUP(CL1786+MAX(CM1786,2*(J1786/IF(CH1786&gt;0,CH1786,MAX(0.1,N(Cockpit!$I$6)))-CL1786)),0)</f>
        <v>0</v>
      </c>
      <c r="AX1786" s="63" t="n">
        <f aca="false">IF(AT1786&gt;0,J1786/AT1786,-1)</f>
        <v>-1</v>
      </c>
      <c r="AY1786" s="63" t="str">
        <f aca="false">IF(AND(OR(CG1786="L1",CG1786="L23",CG1786="LIFT"),AT1786&gt;0),SUMIFS($AT$7:$AT$1843,$CG$7:$CG$1843,CG1786,$AX$7:$AX$1843,"&gt;"&amp;AX1786)+SUMIFS($AT$7:$AT$1843,$CG$7:$CG$1843,CG1786,$AX$7:$AX$1843,AX1786,$BX$7:$BX$1843,"&lt;="&amp;BX1786),"")</f>
        <v/>
      </c>
      <c r="AZ1786" s="70" t="n">
        <f aca="false">IF(AY1786="",0,MAX(0,MIN(1,(IF(CG1786="L1",Parameter!$H$5,IF(CG1786="L23",Parameter!$H$6+Parameter!$H$7,Parameter!$H$5+Parameter!$H$6+Parameter!$H$7))-(AY1786-AT1786))/AT1786)))</f>
        <v>0</v>
      </c>
      <c r="BA1786" s="62" t="n">
        <f aca="false">IF(LEFT(Cockpit!$O$5,1)="A",H1786,IF(Parameter!$E$30="MAX-Bestand",IF(CI1786=1,CJ1786,IF(LEFT(Cockpit!$O$5,1)="B",BG1786,MAX(BG1786,H1786))),ROUNDUP(BE1786,0)))</f>
        <v>0</v>
      </c>
      <c r="BB1786" s="62" t="n">
        <f aca="false">IF(CA1786=1,0,ROUNDUP(BA1786/BZ1786,0))</f>
        <v>0</v>
      </c>
      <c r="BC1786" s="64" t="n">
        <f aca="false">IF(CR1786&gt;0,CR1786*MAX(1,BA1786/X1786),IF(CA1786=1,IF(BA1786&lt;=0,0,CE1786*MAX(1,IF(H1786&gt;0,BA1786/H1786,1))),IF(R1786&gt;0,BB1786/R1786,0))/MAX(0.1,N(Parameter!$M$21)))</f>
        <v>0</v>
      </c>
      <c r="BD1786" s="62" t="n">
        <f aca="false">BC1786*CC1786</f>
        <v>0</v>
      </c>
      <c r="BE1786" s="63" t="n">
        <f aca="false">IF(LEFT(Cockpit!$O$5,1)="A",H1786,IF(CI1786=1,(CL1786+CJ1786)/2,IF(LEFT(Cockpit!$O$5,1)="B",(CL1786+BG1786)/2,MAX((CL1786+BG1786)/2,H1786))))</f>
        <v>0</v>
      </c>
      <c r="BF1786" s="62" t="n">
        <f aca="false">BE1786*G1786</f>
        <v>0</v>
      </c>
      <c r="BG1786" s="62" t="n">
        <f aca="false">ROUNDUP(CL1786+MAX(CM1786,2*(J1786/IF(CH1786&gt;0,CH1786,MAX(0.1,N(Cockpit!$O$6)))-CL1786)),0)</f>
        <v>0</v>
      </c>
      <c r="BH1786" s="63" t="n">
        <f aca="false">IF(BD1786&gt;0,J1786/BD1786,-1)</f>
        <v>-1</v>
      </c>
      <c r="BI1786" s="63" t="str">
        <f aca="false">IF(AND(OR(CG1786="L1",CG1786="L23",CG1786="LIFT"),BD1786&gt;0),SUMIFS($BD$7:$BD$1843,$CG$7:$CG$1843,CG1786,$BH$7:$BH$1843,"&gt;"&amp;BH1786)+SUMIFS($BD$7:$BD$1843,$CG$7:$CG$1843,CG1786,$BH$7:$BH$1843,BH1786,$BX$7:$BX$1843,"&lt;="&amp;BX1786),"")</f>
        <v/>
      </c>
      <c r="BJ1786" s="70" t="n">
        <f aca="false">IF(BI1786="",0,MAX(0,MIN(1,(IF(CG1786="L1",Parameter!$H$5,IF(CG1786="L23",Parameter!$H$6+Parameter!$H$7,Parameter!$H$5+Parameter!$H$6+Parameter!$H$7))-(BI1786-BD1786))/BD1786)))</f>
        <v>0</v>
      </c>
      <c r="BK1786" s="60" t="str">
        <f aca="false">IF(AJ1786&lt;=0,"",IF(CG1786="Aussen","Aussenlager",IF(CG1786="-","Nicht im Lift",IF(AP1786&gt;=1,"Lift",IF(AP1786&lt;=0,"Aussenlager","teilweise")))))</f>
        <v/>
      </c>
      <c r="BL1786" s="60" t="str">
        <f aca="false">IF(AT1786&lt;=0,"",IF(CG1786="Aussen","Aussenlager",IF(CG1786="-","Nicht im Lift",IF(AZ1786&gt;=1,"Lift",IF(AZ1786&lt;=0,"Aussenlager","teilweise")))))</f>
        <v/>
      </c>
      <c r="BM1786" s="60" t="str">
        <f aca="false">IF(BD1786&lt;=0,"",IF(CG1786="Aussen","Aussenlager",IF(CG1786="-","Nicht im Lift",IF(BJ1786&gt;=1,"Lift",IF(BJ1786&lt;=0,"Aussenlager","teilweise")))))</f>
        <v/>
      </c>
      <c r="BN1786" s="60" t="str">
        <f aca="false">IF(A1786="","",IF(BW1786=1,"Neu; ","")&amp;IF(AND(BW1786=0,BR1786&lt;0),"negativer Bestand (Export "&amp;BR1786&amp;"); ","")&amp;IF(J1786&lt;=0,"Kein Verbrauch; ","")&amp;IF(CR1786&gt;0,"Lift "&amp;W1786&amp;" lt. Liftbericht (Fach "&amp;X1786&amp;" Stk); ",IF(CB1786=1,"Gebinde geschätzt ("&amp;T1786&amp;"); ",IF(CA1786=1,"Lose – Tablare geschätzt; ","")))&amp;IF(H1786&gt;AW1786,"Überbestand "&amp;ROUND(H1786-AW1786,0)&amp;" Stk / CHF "&amp;ROUND((H1786-AW1786)*G1786,0)&amp;"; ","")&amp;IF(AND(CI1786=1,CJ1786&lt;CK1786),"MAX &lt; MB+LG; ","")&amp;IF(AND(CQ1786&gt;0,CP1786*10&gt;CQ1786),"zu hoch für Tablar; ","")&amp;IF(AND(BW1786=0,OR(CI1786=1,AB1786&lt;&gt;"",U1786&lt;&gt;"",V1786&lt;&gt;"",AC1786&lt;&gt;"")),"manuell übersteuert; ","")&amp;IF(AND(CA1786=0,R1786=0),"Gebinde unbekannt / Stellmass fehlt; ","")&amp;IF(AND(CA1786=0,N(V1786)&lt;=0,N(Q1786)&lt;=0),"Menge pro Gebinde fehlt (Ist = 1 Gebinde); ","")&amp;BV1786)</f>
        <v/>
      </c>
      <c r="BO1786" s="60"/>
      <c r="BP1786" s="60"/>
      <c r="BQ1786" s="67"/>
      <c r="BR1786" s="62" t="n">
        <f aca="false">N('Neue Artikel'!$D$47)</f>
        <v>0</v>
      </c>
      <c r="BS1786" s="62" t="n">
        <v>0</v>
      </c>
      <c r="BT1786" s="61" t="n">
        <v>0</v>
      </c>
      <c r="BU1786" s="62" t="n">
        <f aca="false">N('Neue Artikel'!$C$47)/Parameter!$B$18</f>
        <v>0</v>
      </c>
      <c r="BV1786" s="60"/>
      <c r="BW1786" s="65" t="n">
        <v>1</v>
      </c>
      <c r="BX1786" s="65" t="n">
        <v>1786</v>
      </c>
      <c r="BY1786" s="60" t="str">
        <f aca="false">IF(U1786&lt;&gt;"",UPPER(TRIM(U1786)),IF(CB1786=1,UPPER(VLOOKUP(T1786,Parameter!$I$27:$K$29,2,0)),IF(P1786="","LOSE",P1786)))</f>
        <v>LOSE</v>
      </c>
      <c r="BZ1786" s="62" t="n">
        <f aca="false">IF(BY1786="LOSE",1,IF(N(V1786)&gt;0,V1786,IF(CB1786=1,MAX(1,N(VLOOKUP(T1786,Parameter!$I$27:$K$29,3,0)),H1786,N(N1786)),IF(N(Q1786)&gt;0,Q1786,MAX(1,H1786)))))</f>
        <v>1</v>
      </c>
      <c r="CA1786" s="65" t="n">
        <f aca="false">IF(BY1786="LOSE",1,0)</f>
        <v>1</v>
      </c>
      <c r="CB1786" s="65" t="n">
        <f aca="false">IF(AND(U1786="",OR(P1786="",P1786="LOSE"),T1786&lt;&gt;"",N(S1786)&lt;=0,ISNUMBER(MATCH(T1786,Parameter!$I$27:$I$29,0))),1,0)</f>
        <v>0</v>
      </c>
      <c r="CC1786" s="65" t="n">
        <f aca="false">IF(CR1786&gt;0,INDEX(Parameter!$H$5:$H$7,W1786)/INDEX(Parameter!$E$5:$E$7,W1786),IF(AND(CA1786=0,N(IFERROR(VLOOKUP(BY1786,'Gebinde-Kategorie'!$A$5:$N$45,14,0),0))&gt;0),VLOOKUP(BY1786,'Gebinde-Kategorie'!$A$5:$N$45,14,0)*10+Parameter!$M$23,Parameter!$M$24))</f>
        <v>235</v>
      </c>
      <c r="CD1786" s="60" t="str">
        <f aca="false">IF(AND(Parameter!$B$19="Ja",E1786&lt;&gt;"",ISNUMBER(MATCH(E1786,Parameter!$I$35:$I$52,0))),VLOOKUP(E1786,Parameter!$I$35:$J$52,2,0),IFERROR(VLOOKUP(D1786,Parameter!$A$35:$C$64,2,0),"Nein"))</f>
        <v>2+3</v>
      </c>
      <c r="CE1786" s="64" t="n">
        <f aca="false">IF(CA1786=0,0,IF(N(S1786)&gt;0,S1786,IFERROR(VLOOKUP(D1786,Parameter!$A$35:$C$64,3,0)+0,0)))</f>
        <v>0.15</v>
      </c>
      <c r="CF1786" s="60" t="str">
        <f aca="false">IF(AB1786&lt;&gt;"",AB1786,AA1786)</f>
        <v/>
      </c>
      <c r="CG1786" s="60" t="str">
        <f aca="false">IF(OR(CF1786=1,CF1786=2,CF1786=3),IF(Parameter!$E$27="Ja","LIFT",IF(CF1786=1,"L1","L23")),IF(CF1786="Aussen","Aussen","-"))</f>
        <v>-</v>
      </c>
      <c r="CH1786" s="71" t="n">
        <f aca="false">IF(N(AC1786)&gt;0,AC1786,0)</f>
        <v>0</v>
      </c>
      <c r="CI1786" s="65" t="n">
        <f aca="false">IF(ISNUMBER(AF1786),1,0)</f>
        <v>0</v>
      </c>
      <c r="CJ1786" s="62" t="n">
        <f aca="false">N(AF1786)</f>
        <v>0</v>
      </c>
      <c r="CK1786" s="62" t="n">
        <f aca="false">N(M1786)+N(N1786)</f>
        <v>0</v>
      </c>
      <c r="CL1786" s="62" t="n">
        <f aca="false">N(M1786)</f>
        <v>0</v>
      </c>
      <c r="CM1786" s="62" t="n">
        <f aca="false">N(N1786)</f>
        <v>0</v>
      </c>
      <c r="CN1786" s="62" t="n">
        <f aca="false">ROUNDUP(H1786/BZ1786,0)</f>
        <v>0</v>
      </c>
      <c r="CO1786" s="62" t="n">
        <f aca="false">ROUNDUP(CJ1786/BZ1786,0)</f>
        <v>0</v>
      </c>
      <c r="CP1786" s="65" t="n">
        <f aca="false">IF(CA1786=1,0,IFERROR(VLOOKUP(BY1786,'Gebinde-Kategorie'!$A$5:$N$45,5,0)+0,0))</f>
        <v>0</v>
      </c>
      <c r="CQ1786" s="65" t="n">
        <f aca="false">IFERROR(IF(OR(CF1786=1,CF1786=2,CF1786=3),N(INDEX(Parameter!$I$5:$I$7,CF1786)),0),0)</f>
        <v>0</v>
      </c>
      <c r="CR1786" s="64" t="n">
        <f aca="false">IF(AND(Parameter!$B$21="Ja",ISNUMBER(W1786),N(X1786)&gt;0),IFERROR(N(INDEX(Parameter!$L$5:$L$7,W1786))*INDEX(Parameter!$E$5:$E$7,W1786)*X1786/SUMIFS($X$7:$X$1843,$W$7:$W$1843,W1786),0),0)</f>
        <v>0</v>
      </c>
      <c r="CS1786" s="62" t="str">
        <f aca="false">IF(AND(OR(CG1786="L1",CG1786="L23",CG1786="LIFT"),H1786&gt;0),CC1786*IF(CR1786&gt;0,CR1786*MAX(1,H1786/X1786),IF(CA1786=1,CE1786,IF(R1786&gt;0,CN1786/R1786,0))/MAX(0.1,N(Parameter!$M$21))),"")</f>
        <v/>
      </c>
      <c r="CT1786" s="64" t="str">
        <f aca="false">IF(CS1786="","",J1786/H1786)</f>
        <v/>
      </c>
      <c r="CU1786" s="62" t="str">
        <f aca="false">IF(CS1786="","",H1786*G1786)</f>
        <v/>
      </c>
      <c r="CV1786" s="63" t="str">
        <f aca="false">IF(CS1786="","",(CL1786+ROUNDUP(CL1786+MAX(CM1786,2*(J1786/MAX(0.1,N(Einkauf!$C$6))-CL1786)),0))/2)</f>
        <v/>
      </c>
      <c r="CW1786" s="62" t="str">
        <f aca="false">IF(CS1786="","",MAX(0,H1786-CV1786)*G1786)</f>
        <v/>
      </c>
      <c r="CX1786" s="62" t="str">
        <f aca="false">IF(CS1786="","",CS1786*MAX(0,1-CV1786/H1786))</f>
        <v/>
      </c>
      <c r="CY1786" s="64" t="str">
        <f aca="false">IF(CS1786="","",PERCENTRANK($CS$7:$CS$1843,CS1786)+PERCENTRANK($CU$7:$CU$1843,CU1786)+1-PERCENTRANK($CT$7:$CT$1843,CT1786))</f>
        <v/>
      </c>
      <c r="CZ1786" s="72" t="str">
        <f aca="false">IF(CS1786="","",CHOOSE(MATCH(Einkauf!$C$5,Parameter!$G$23:$G$27,0),CY1786,CS1786,CU1786,-CT1786,CW1786)+ROW()/1000000000)</f>
        <v/>
      </c>
    </row>
    <row r="1787" customFormat="false" ht="15" hidden="false" customHeight="false" outlineLevel="0" collapsed="false">
      <c r="A1787" s="60" t="str">
        <f aca="false">IF('Neue Artikel'!$A$48="","",'Neue Artikel'!$A$48&amp;"")</f>
        <v/>
      </c>
      <c r="B1787" s="60" t="str">
        <f aca="false">'Neue Artikel'!$B$48&amp;""</f>
        <v/>
      </c>
      <c r="C1787" s="60"/>
      <c r="D1787" s="60" t="s">
        <v>3057</v>
      </c>
      <c r="E1787" s="60"/>
      <c r="F1787" s="60"/>
      <c r="G1787" s="61" t="n">
        <f aca="false">N('Neue Artikel'!$G$48)</f>
        <v>0</v>
      </c>
      <c r="H1787" s="62" t="n">
        <f aca="false">MAX(0,IF(AND(Parameter!$B$21="Ja",ISNUMBER(Y1787)),Y1787,IF(Parameter!$B$20="Jahresanfang 2025 + Export",BS1787+BR1787,BR1787)))</f>
        <v>0</v>
      </c>
      <c r="I1787" s="62" t="n">
        <f aca="false">H1787*G1787</f>
        <v>0</v>
      </c>
      <c r="J1787" s="62" t="n">
        <f aca="false">BU1787*Parameter!$B$18</f>
        <v>0</v>
      </c>
      <c r="K1787" s="63"/>
      <c r="L1787" s="64"/>
      <c r="M1787" s="62" t="n">
        <f aca="false">N('Neue Artikel'!$E$48)</f>
        <v>0</v>
      </c>
      <c r="N1787" s="62" t="n">
        <f aca="false">N('Neue Artikel'!$F$48)</f>
        <v>0</v>
      </c>
      <c r="O1787" s="65"/>
      <c r="P1787" s="60" t="str">
        <f aca="false">IF('Neue Artikel'!$H$48="","LOSE",UPPER(TRIM('Neue Artikel'!$H$48)))</f>
        <v>LOSE</v>
      </c>
      <c r="Q1787" s="62" t="n">
        <f aca="false">N('Neue Artikel'!$I$48)</f>
        <v>0</v>
      </c>
      <c r="R1787" s="65" t="n">
        <f aca="false">IF(CA1787=1,0,IFERROR(VLOOKUP(BY1787,'Gebinde-Kategorie'!$A$5:$N$45,13,0)+0,0))</f>
        <v>0</v>
      </c>
      <c r="S1787" s="66"/>
      <c r="T1787" s="67"/>
      <c r="U1787" s="67"/>
      <c r="V1787" s="67"/>
      <c r="W1787" s="60"/>
      <c r="X1787" s="62"/>
      <c r="Y1787" s="62"/>
      <c r="Z1787" s="60"/>
      <c r="AA1787" s="60" t="str">
        <f aca="false">IF(A1787="","",IF(AND(Parameter!$B$21="Ja",ISNUMBER(W1787)),W1787,IF(AND(Parameter!$E$27="Ja",ISNUMBER(Z1787),CD1787&lt;&gt;"Nein"),Z1787,IF(CD1787="2+3",IF(ISNUMBER(SEARCH("grosser Artikel",BV1787)),2,IFERROR(VLOOKUP(BY1787,Parameter!$F$35:$G$64,2,0),2)),IF(OR(CD1787="Nein",CD1787=""),"-",CD1787)))))</f>
        <v/>
      </c>
      <c r="AB1787" s="60" t="str">
        <f aca="false">IF('Neue Artikel'!$J$48="","",'Neue Artikel'!$J$48)</f>
        <v/>
      </c>
      <c r="AC1787" s="68"/>
      <c r="AD1787" s="62" t="n">
        <f aca="false">AW1787</f>
        <v>0</v>
      </c>
      <c r="AE1787" s="62" t="n">
        <f aca="false">MAX(AW1787,H1787)</f>
        <v>0</v>
      </c>
      <c r="AF1787" s="69"/>
      <c r="AG1787" s="62" t="n">
        <f aca="false">IF(LEFT(Cockpit!$C$5,1)="A",H1787,IF(Parameter!$E$30="MAX-Bestand",IF(CI1787=1,CJ1787,IF(LEFT(Cockpit!$C$5,1)="B",AM1787,MAX(AM1787,H1787))),ROUNDUP(AK1787,0)))</f>
        <v>0</v>
      </c>
      <c r="AH1787" s="62" t="n">
        <f aca="false">IF(CA1787=1,0,ROUNDUP(AG1787/BZ1787,0))</f>
        <v>0</v>
      </c>
      <c r="AI1787" s="64" t="n">
        <f aca="false">IF(CR1787&gt;0,CR1787*MAX(1,AG1787/X1787),IF(CA1787=1,IF(AG1787&lt;=0,0,CE1787*MAX(1,IF(H1787&gt;0,AG1787/H1787,1))),IF(R1787&gt;0,AH1787/R1787,0))/MAX(0.1,N(Parameter!$M$21)))</f>
        <v>0</v>
      </c>
      <c r="AJ1787" s="62" t="n">
        <f aca="false">AI1787*CC1787</f>
        <v>0</v>
      </c>
      <c r="AK1787" s="63" t="n">
        <f aca="false">IF(LEFT(Cockpit!$C$5,1)="A",H1787,IF(CI1787=1,(CL1787+CJ1787)/2,IF(LEFT(Cockpit!$C$5,1)="B",(CL1787+AM1787)/2,MAX((CL1787+AM1787)/2,H1787))))</f>
        <v>0</v>
      </c>
      <c r="AL1787" s="62" t="n">
        <f aca="false">AK1787*G1787</f>
        <v>0</v>
      </c>
      <c r="AM1787" s="62" t="n">
        <f aca="false">ROUNDUP(CL1787+MAX(CM1787,2*(J1787/IF(CH1787&gt;0,CH1787,MAX(0.1,N(Cockpit!$C$6)))-CL1787)),0)</f>
        <v>0</v>
      </c>
      <c r="AN1787" s="63" t="n">
        <f aca="false">IF(AJ1787&gt;0,J1787/AJ1787,-1)</f>
        <v>-1</v>
      </c>
      <c r="AO1787" s="63" t="str">
        <f aca="false">IF(AND(OR(CG1787="L1",CG1787="L23",CG1787="LIFT"),AJ1787&gt;0),SUMIFS($AJ$7:$AJ$1843,$CG$7:$CG$1843,CG1787,$AN$7:$AN$1843,"&gt;"&amp;AN1787)+SUMIFS($AJ$7:$AJ$1843,$CG$7:$CG$1843,CG1787,$AN$7:$AN$1843,AN1787,$BX$7:$BX$1843,"&lt;="&amp;BX1787),"")</f>
        <v/>
      </c>
      <c r="AP1787" s="70" t="n">
        <f aca="false">IF(AO1787="",0,MAX(0,MIN(1,(IF(CG1787="L1",Parameter!$H$5,IF(CG1787="L23",Parameter!$H$6+Parameter!$H$7,Parameter!$H$5+Parameter!$H$6+Parameter!$H$7))-(AO1787-AJ1787))/AJ1787)))</f>
        <v>0</v>
      </c>
      <c r="AQ1787" s="62" t="n">
        <f aca="false">IF(LEFT(Cockpit!$I$5,1)="A",H1787,IF(Parameter!$E$30="MAX-Bestand",IF(CI1787=1,CJ1787,IF(LEFT(Cockpit!$I$5,1)="B",AW1787,MAX(AW1787,H1787))),ROUNDUP(AU1787,0)))</f>
        <v>0</v>
      </c>
      <c r="AR1787" s="62" t="n">
        <f aca="false">IF(CA1787=1,0,ROUNDUP(AQ1787/BZ1787,0))</f>
        <v>0</v>
      </c>
      <c r="AS1787" s="64" t="n">
        <f aca="false">IF(CR1787&gt;0,CR1787*MAX(1,AQ1787/X1787),IF(CA1787=1,IF(AQ1787&lt;=0,0,CE1787*MAX(1,IF(H1787&gt;0,AQ1787/H1787,1))),IF(R1787&gt;0,AR1787/R1787,0))/MAX(0.1,N(Parameter!$M$21)))</f>
        <v>0</v>
      </c>
      <c r="AT1787" s="62" t="n">
        <f aca="false">AS1787*CC1787</f>
        <v>0</v>
      </c>
      <c r="AU1787" s="63" t="n">
        <f aca="false">IF(LEFT(Cockpit!$I$5,1)="A",H1787,IF(CI1787=1,(CL1787+CJ1787)/2,IF(LEFT(Cockpit!$I$5,1)="B",(CL1787+AW1787)/2,MAX((CL1787+AW1787)/2,H1787))))</f>
        <v>0</v>
      </c>
      <c r="AV1787" s="62" t="n">
        <f aca="false">AU1787*G1787</f>
        <v>0</v>
      </c>
      <c r="AW1787" s="62" t="n">
        <f aca="false">ROUNDUP(CL1787+MAX(CM1787,2*(J1787/IF(CH1787&gt;0,CH1787,MAX(0.1,N(Cockpit!$I$6)))-CL1787)),0)</f>
        <v>0</v>
      </c>
      <c r="AX1787" s="63" t="n">
        <f aca="false">IF(AT1787&gt;0,J1787/AT1787,-1)</f>
        <v>-1</v>
      </c>
      <c r="AY1787" s="63" t="str">
        <f aca="false">IF(AND(OR(CG1787="L1",CG1787="L23",CG1787="LIFT"),AT1787&gt;0),SUMIFS($AT$7:$AT$1843,$CG$7:$CG$1843,CG1787,$AX$7:$AX$1843,"&gt;"&amp;AX1787)+SUMIFS($AT$7:$AT$1843,$CG$7:$CG$1843,CG1787,$AX$7:$AX$1843,AX1787,$BX$7:$BX$1843,"&lt;="&amp;BX1787),"")</f>
        <v/>
      </c>
      <c r="AZ1787" s="70" t="n">
        <f aca="false">IF(AY1787="",0,MAX(0,MIN(1,(IF(CG1787="L1",Parameter!$H$5,IF(CG1787="L23",Parameter!$H$6+Parameter!$H$7,Parameter!$H$5+Parameter!$H$6+Parameter!$H$7))-(AY1787-AT1787))/AT1787)))</f>
        <v>0</v>
      </c>
      <c r="BA1787" s="62" t="n">
        <f aca="false">IF(LEFT(Cockpit!$O$5,1)="A",H1787,IF(Parameter!$E$30="MAX-Bestand",IF(CI1787=1,CJ1787,IF(LEFT(Cockpit!$O$5,1)="B",BG1787,MAX(BG1787,H1787))),ROUNDUP(BE1787,0)))</f>
        <v>0</v>
      </c>
      <c r="BB1787" s="62" t="n">
        <f aca="false">IF(CA1787=1,0,ROUNDUP(BA1787/BZ1787,0))</f>
        <v>0</v>
      </c>
      <c r="BC1787" s="64" t="n">
        <f aca="false">IF(CR1787&gt;0,CR1787*MAX(1,BA1787/X1787),IF(CA1787=1,IF(BA1787&lt;=0,0,CE1787*MAX(1,IF(H1787&gt;0,BA1787/H1787,1))),IF(R1787&gt;0,BB1787/R1787,0))/MAX(0.1,N(Parameter!$M$21)))</f>
        <v>0</v>
      </c>
      <c r="BD1787" s="62" t="n">
        <f aca="false">BC1787*CC1787</f>
        <v>0</v>
      </c>
      <c r="BE1787" s="63" t="n">
        <f aca="false">IF(LEFT(Cockpit!$O$5,1)="A",H1787,IF(CI1787=1,(CL1787+CJ1787)/2,IF(LEFT(Cockpit!$O$5,1)="B",(CL1787+BG1787)/2,MAX((CL1787+BG1787)/2,H1787))))</f>
        <v>0</v>
      </c>
      <c r="BF1787" s="62" t="n">
        <f aca="false">BE1787*G1787</f>
        <v>0</v>
      </c>
      <c r="BG1787" s="62" t="n">
        <f aca="false">ROUNDUP(CL1787+MAX(CM1787,2*(J1787/IF(CH1787&gt;0,CH1787,MAX(0.1,N(Cockpit!$O$6)))-CL1787)),0)</f>
        <v>0</v>
      </c>
      <c r="BH1787" s="63" t="n">
        <f aca="false">IF(BD1787&gt;0,J1787/BD1787,-1)</f>
        <v>-1</v>
      </c>
      <c r="BI1787" s="63" t="str">
        <f aca="false">IF(AND(OR(CG1787="L1",CG1787="L23",CG1787="LIFT"),BD1787&gt;0),SUMIFS($BD$7:$BD$1843,$CG$7:$CG$1843,CG1787,$BH$7:$BH$1843,"&gt;"&amp;BH1787)+SUMIFS($BD$7:$BD$1843,$CG$7:$CG$1843,CG1787,$BH$7:$BH$1843,BH1787,$BX$7:$BX$1843,"&lt;="&amp;BX1787),"")</f>
        <v/>
      </c>
      <c r="BJ1787" s="70" t="n">
        <f aca="false">IF(BI1787="",0,MAX(0,MIN(1,(IF(CG1787="L1",Parameter!$H$5,IF(CG1787="L23",Parameter!$H$6+Parameter!$H$7,Parameter!$H$5+Parameter!$H$6+Parameter!$H$7))-(BI1787-BD1787))/BD1787)))</f>
        <v>0</v>
      </c>
      <c r="BK1787" s="60" t="str">
        <f aca="false">IF(AJ1787&lt;=0,"",IF(CG1787="Aussen","Aussenlager",IF(CG1787="-","Nicht im Lift",IF(AP1787&gt;=1,"Lift",IF(AP1787&lt;=0,"Aussenlager","teilweise")))))</f>
        <v/>
      </c>
      <c r="BL1787" s="60" t="str">
        <f aca="false">IF(AT1787&lt;=0,"",IF(CG1787="Aussen","Aussenlager",IF(CG1787="-","Nicht im Lift",IF(AZ1787&gt;=1,"Lift",IF(AZ1787&lt;=0,"Aussenlager","teilweise")))))</f>
        <v/>
      </c>
      <c r="BM1787" s="60" t="str">
        <f aca="false">IF(BD1787&lt;=0,"",IF(CG1787="Aussen","Aussenlager",IF(CG1787="-","Nicht im Lift",IF(BJ1787&gt;=1,"Lift",IF(BJ1787&lt;=0,"Aussenlager","teilweise")))))</f>
        <v/>
      </c>
      <c r="BN1787" s="60" t="str">
        <f aca="false">IF(A1787="","",IF(BW1787=1,"Neu; ","")&amp;IF(AND(BW1787=0,BR1787&lt;0),"negativer Bestand (Export "&amp;BR1787&amp;"); ","")&amp;IF(J1787&lt;=0,"Kein Verbrauch; ","")&amp;IF(CR1787&gt;0,"Lift "&amp;W1787&amp;" lt. Liftbericht (Fach "&amp;X1787&amp;" Stk); ",IF(CB1787=1,"Gebinde geschätzt ("&amp;T1787&amp;"); ",IF(CA1787=1,"Lose – Tablare geschätzt; ","")))&amp;IF(H1787&gt;AW1787,"Überbestand "&amp;ROUND(H1787-AW1787,0)&amp;" Stk / CHF "&amp;ROUND((H1787-AW1787)*G1787,0)&amp;"; ","")&amp;IF(AND(CI1787=1,CJ1787&lt;CK1787),"MAX &lt; MB+LG; ","")&amp;IF(AND(CQ1787&gt;0,CP1787*10&gt;CQ1787),"zu hoch für Tablar; ","")&amp;IF(AND(BW1787=0,OR(CI1787=1,AB1787&lt;&gt;"",U1787&lt;&gt;"",V1787&lt;&gt;"",AC1787&lt;&gt;"")),"manuell übersteuert; ","")&amp;IF(AND(CA1787=0,R1787=0),"Gebinde unbekannt / Stellmass fehlt; ","")&amp;IF(AND(CA1787=0,N(V1787)&lt;=0,N(Q1787)&lt;=0),"Menge pro Gebinde fehlt (Ist = 1 Gebinde); ","")&amp;BV1787)</f>
        <v/>
      </c>
      <c r="BO1787" s="60"/>
      <c r="BP1787" s="60"/>
      <c r="BQ1787" s="67"/>
      <c r="BR1787" s="62" t="n">
        <f aca="false">N('Neue Artikel'!$D$48)</f>
        <v>0</v>
      </c>
      <c r="BS1787" s="62" t="n">
        <v>0</v>
      </c>
      <c r="BT1787" s="61" t="n">
        <v>0</v>
      </c>
      <c r="BU1787" s="62" t="n">
        <f aca="false">N('Neue Artikel'!$C$48)/Parameter!$B$18</f>
        <v>0</v>
      </c>
      <c r="BV1787" s="60"/>
      <c r="BW1787" s="65" t="n">
        <v>1</v>
      </c>
      <c r="BX1787" s="65" t="n">
        <v>1787</v>
      </c>
      <c r="BY1787" s="60" t="str">
        <f aca="false">IF(U1787&lt;&gt;"",UPPER(TRIM(U1787)),IF(CB1787=1,UPPER(VLOOKUP(T1787,Parameter!$I$27:$K$29,2,0)),IF(P1787="","LOSE",P1787)))</f>
        <v>LOSE</v>
      </c>
      <c r="BZ1787" s="62" t="n">
        <f aca="false">IF(BY1787="LOSE",1,IF(N(V1787)&gt;0,V1787,IF(CB1787=1,MAX(1,N(VLOOKUP(T1787,Parameter!$I$27:$K$29,3,0)),H1787,N(N1787)),IF(N(Q1787)&gt;0,Q1787,MAX(1,H1787)))))</f>
        <v>1</v>
      </c>
      <c r="CA1787" s="65" t="n">
        <f aca="false">IF(BY1787="LOSE",1,0)</f>
        <v>1</v>
      </c>
      <c r="CB1787" s="65" t="n">
        <f aca="false">IF(AND(U1787="",OR(P1787="",P1787="LOSE"),T1787&lt;&gt;"",N(S1787)&lt;=0,ISNUMBER(MATCH(T1787,Parameter!$I$27:$I$29,0))),1,0)</f>
        <v>0</v>
      </c>
      <c r="CC1787" s="65" t="n">
        <f aca="false">IF(CR1787&gt;0,INDEX(Parameter!$H$5:$H$7,W1787)/INDEX(Parameter!$E$5:$E$7,W1787),IF(AND(CA1787=0,N(IFERROR(VLOOKUP(BY1787,'Gebinde-Kategorie'!$A$5:$N$45,14,0),0))&gt;0),VLOOKUP(BY1787,'Gebinde-Kategorie'!$A$5:$N$45,14,0)*10+Parameter!$M$23,Parameter!$M$24))</f>
        <v>235</v>
      </c>
      <c r="CD1787" s="60" t="str">
        <f aca="false">IF(AND(Parameter!$B$19="Ja",E1787&lt;&gt;"",ISNUMBER(MATCH(E1787,Parameter!$I$35:$I$52,0))),VLOOKUP(E1787,Parameter!$I$35:$J$52,2,0),IFERROR(VLOOKUP(D1787,Parameter!$A$35:$C$64,2,0),"Nein"))</f>
        <v>2+3</v>
      </c>
      <c r="CE1787" s="64" t="n">
        <f aca="false">IF(CA1787=0,0,IF(N(S1787)&gt;0,S1787,IFERROR(VLOOKUP(D1787,Parameter!$A$35:$C$64,3,0)+0,0)))</f>
        <v>0.15</v>
      </c>
      <c r="CF1787" s="60" t="str">
        <f aca="false">IF(AB1787&lt;&gt;"",AB1787,AA1787)</f>
        <v/>
      </c>
      <c r="CG1787" s="60" t="str">
        <f aca="false">IF(OR(CF1787=1,CF1787=2,CF1787=3),IF(Parameter!$E$27="Ja","LIFT",IF(CF1787=1,"L1","L23")),IF(CF1787="Aussen","Aussen","-"))</f>
        <v>-</v>
      </c>
      <c r="CH1787" s="71" t="n">
        <f aca="false">IF(N(AC1787)&gt;0,AC1787,0)</f>
        <v>0</v>
      </c>
      <c r="CI1787" s="65" t="n">
        <f aca="false">IF(ISNUMBER(AF1787),1,0)</f>
        <v>0</v>
      </c>
      <c r="CJ1787" s="62" t="n">
        <f aca="false">N(AF1787)</f>
        <v>0</v>
      </c>
      <c r="CK1787" s="62" t="n">
        <f aca="false">N(M1787)+N(N1787)</f>
        <v>0</v>
      </c>
      <c r="CL1787" s="62" t="n">
        <f aca="false">N(M1787)</f>
        <v>0</v>
      </c>
      <c r="CM1787" s="62" t="n">
        <f aca="false">N(N1787)</f>
        <v>0</v>
      </c>
      <c r="CN1787" s="62" t="n">
        <f aca="false">ROUNDUP(H1787/BZ1787,0)</f>
        <v>0</v>
      </c>
      <c r="CO1787" s="62" t="n">
        <f aca="false">ROUNDUP(CJ1787/BZ1787,0)</f>
        <v>0</v>
      </c>
      <c r="CP1787" s="65" t="n">
        <f aca="false">IF(CA1787=1,0,IFERROR(VLOOKUP(BY1787,'Gebinde-Kategorie'!$A$5:$N$45,5,0)+0,0))</f>
        <v>0</v>
      </c>
      <c r="CQ1787" s="65" t="n">
        <f aca="false">IFERROR(IF(OR(CF1787=1,CF1787=2,CF1787=3),N(INDEX(Parameter!$I$5:$I$7,CF1787)),0),0)</f>
        <v>0</v>
      </c>
      <c r="CR1787" s="64" t="n">
        <f aca="false">IF(AND(Parameter!$B$21="Ja",ISNUMBER(W1787),N(X1787)&gt;0),IFERROR(N(INDEX(Parameter!$L$5:$L$7,W1787))*INDEX(Parameter!$E$5:$E$7,W1787)*X1787/SUMIFS($X$7:$X$1843,$W$7:$W$1843,W1787),0),0)</f>
        <v>0</v>
      </c>
      <c r="CS1787" s="62" t="str">
        <f aca="false">IF(AND(OR(CG1787="L1",CG1787="L23",CG1787="LIFT"),H1787&gt;0),CC1787*IF(CR1787&gt;0,CR1787*MAX(1,H1787/X1787),IF(CA1787=1,CE1787,IF(R1787&gt;0,CN1787/R1787,0))/MAX(0.1,N(Parameter!$M$21))),"")</f>
        <v/>
      </c>
      <c r="CT1787" s="64" t="str">
        <f aca="false">IF(CS1787="","",J1787/H1787)</f>
        <v/>
      </c>
      <c r="CU1787" s="62" t="str">
        <f aca="false">IF(CS1787="","",H1787*G1787)</f>
        <v/>
      </c>
      <c r="CV1787" s="63" t="str">
        <f aca="false">IF(CS1787="","",(CL1787+ROUNDUP(CL1787+MAX(CM1787,2*(J1787/MAX(0.1,N(Einkauf!$C$6))-CL1787)),0))/2)</f>
        <v/>
      </c>
      <c r="CW1787" s="62" t="str">
        <f aca="false">IF(CS1787="","",MAX(0,H1787-CV1787)*G1787)</f>
        <v/>
      </c>
      <c r="CX1787" s="62" t="str">
        <f aca="false">IF(CS1787="","",CS1787*MAX(0,1-CV1787/H1787))</f>
        <v/>
      </c>
      <c r="CY1787" s="64" t="str">
        <f aca="false">IF(CS1787="","",PERCENTRANK($CS$7:$CS$1843,CS1787)+PERCENTRANK($CU$7:$CU$1843,CU1787)+1-PERCENTRANK($CT$7:$CT$1843,CT1787))</f>
        <v/>
      </c>
      <c r="CZ1787" s="72" t="str">
        <f aca="false">IF(CS1787="","",CHOOSE(MATCH(Einkauf!$C$5,Parameter!$G$23:$G$27,0),CY1787,CS1787,CU1787,-CT1787,CW1787)+ROW()/1000000000)</f>
        <v/>
      </c>
    </row>
    <row r="1788" customFormat="false" ht="15" hidden="false" customHeight="false" outlineLevel="0" collapsed="false">
      <c r="A1788" s="60" t="str">
        <f aca="false">IF('Neue Artikel'!$A$49="","",'Neue Artikel'!$A$49&amp;"")</f>
        <v/>
      </c>
      <c r="B1788" s="60" t="str">
        <f aca="false">'Neue Artikel'!$B$49&amp;""</f>
        <v/>
      </c>
      <c r="C1788" s="60"/>
      <c r="D1788" s="60" t="s">
        <v>3057</v>
      </c>
      <c r="E1788" s="60"/>
      <c r="F1788" s="60"/>
      <c r="G1788" s="61" t="n">
        <f aca="false">N('Neue Artikel'!$G$49)</f>
        <v>0</v>
      </c>
      <c r="H1788" s="62" t="n">
        <f aca="false">MAX(0,IF(AND(Parameter!$B$21="Ja",ISNUMBER(Y1788)),Y1788,IF(Parameter!$B$20="Jahresanfang 2025 + Export",BS1788+BR1788,BR1788)))</f>
        <v>0</v>
      </c>
      <c r="I1788" s="62" t="n">
        <f aca="false">H1788*G1788</f>
        <v>0</v>
      </c>
      <c r="J1788" s="62" t="n">
        <f aca="false">BU1788*Parameter!$B$18</f>
        <v>0</v>
      </c>
      <c r="K1788" s="63"/>
      <c r="L1788" s="64"/>
      <c r="M1788" s="62" t="n">
        <f aca="false">N('Neue Artikel'!$E$49)</f>
        <v>0</v>
      </c>
      <c r="N1788" s="62" t="n">
        <f aca="false">N('Neue Artikel'!$F$49)</f>
        <v>0</v>
      </c>
      <c r="O1788" s="65"/>
      <c r="P1788" s="60" t="str">
        <f aca="false">IF('Neue Artikel'!$H$49="","LOSE",UPPER(TRIM('Neue Artikel'!$H$49)))</f>
        <v>LOSE</v>
      </c>
      <c r="Q1788" s="62" t="n">
        <f aca="false">N('Neue Artikel'!$I$49)</f>
        <v>0</v>
      </c>
      <c r="R1788" s="65" t="n">
        <f aca="false">IF(CA1788=1,0,IFERROR(VLOOKUP(BY1788,'Gebinde-Kategorie'!$A$5:$N$45,13,0)+0,0))</f>
        <v>0</v>
      </c>
      <c r="S1788" s="66"/>
      <c r="T1788" s="67"/>
      <c r="U1788" s="67"/>
      <c r="V1788" s="67"/>
      <c r="W1788" s="60"/>
      <c r="X1788" s="62"/>
      <c r="Y1788" s="62"/>
      <c r="Z1788" s="60"/>
      <c r="AA1788" s="60" t="str">
        <f aca="false">IF(A1788="","",IF(AND(Parameter!$B$21="Ja",ISNUMBER(W1788)),W1788,IF(AND(Parameter!$E$27="Ja",ISNUMBER(Z1788),CD1788&lt;&gt;"Nein"),Z1788,IF(CD1788="2+3",IF(ISNUMBER(SEARCH("grosser Artikel",BV1788)),2,IFERROR(VLOOKUP(BY1788,Parameter!$F$35:$G$64,2,0),2)),IF(OR(CD1788="Nein",CD1788=""),"-",CD1788)))))</f>
        <v/>
      </c>
      <c r="AB1788" s="60" t="str">
        <f aca="false">IF('Neue Artikel'!$J$49="","",'Neue Artikel'!$J$49)</f>
        <v/>
      </c>
      <c r="AC1788" s="68"/>
      <c r="AD1788" s="62" t="n">
        <f aca="false">AW1788</f>
        <v>0</v>
      </c>
      <c r="AE1788" s="62" t="n">
        <f aca="false">MAX(AW1788,H1788)</f>
        <v>0</v>
      </c>
      <c r="AF1788" s="69"/>
      <c r="AG1788" s="62" t="n">
        <f aca="false">IF(LEFT(Cockpit!$C$5,1)="A",H1788,IF(Parameter!$E$30="MAX-Bestand",IF(CI1788=1,CJ1788,IF(LEFT(Cockpit!$C$5,1)="B",AM1788,MAX(AM1788,H1788))),ROUNDUP(AK1788,0)))</f>
        <v>0</v>
      </c>
      <c r="AH1788" s="62" t="n">
        <f aca="false">IF(CA1788=1,0,ROUNDUP(AG1788/BZ1788,0))</f>
        <v>0</v>
      </c>
      <c r="AI1788" s="64" t="n">
        <f aca="false">IF(CR1788&gt;0,CR1788*MAX(1,AG1788/X1788),IF(CA1788=1,IF(AG1788&lt;=0,0,CE1788*MAX(1,IF(H1788&gt;0,AG1788/H1788,1))),IF(R1788&gt;0,AH1788/R1788,0))/MAX(0.1,N(Parameter!$M$21)))</f>
        <v>0</v>
      </c>
      <c r="AJ1788" s="62" t="n">
        <f aca="false">AI1788*CC1788</f>
        <v>0</v>
      </c>
      <c r="AK1788" s="63" t="n">
        <f aca="false">IF(LEFT(Cockpit!$C$5,1)="A",H1788,IF(CI1788=1,(CL1788+CJ1788)/2,IF(LEFT(Cockpit!$C$5,1)="B",(CL1788+AM1788)/2,MAX((CL1788+AM1788)/2,H1788))))</f>
        <v>0</v>
      </c>
      <c r="AL1788" s="62" t="n">
        <f aca="false">AK1788*G1788</f>
        <v>0</v>
      </c>
      <c r="AM1788" s="62" t="n">
        <f aca="false">ROUNDUP(CL1788+MAX(CM1788,2*(J1788/IF(CH1788&gt;0,CH1788,MAX(0.1,N(Cockpit!$C$6)))-CL1788)),0)</f>
        <v>0</v>
      </c>
      <c r="AN1788" s="63" t="n">
        <f aca="false">IF(AJ1788&gt;0,J1788/AJ1788,-1)</f>
        <v>-1</v>
      </c>
      <c r="AO1788" s="63" t="str">
        <f aca="false">IF(AND(OR(CG1788="L1",CG1788="L23",CG1788="LIFT"),AJ1788&gt;0),SUMIFS($AJ$7:$AJ$1843,$CG$7:$CG$1843,CG1788,$AN$7:$AN$1843,"&gt;"&amp;AN1788)+SUMIFS($AJ$7:$AJ$1843,$CG$7:$CG$1843,CG1788,$AN$7:$AN$1843,AN1788,$BX$7:$BX$1843,"&lt;="&amp;BX1788),"")</f>
        <v/>
      </c>
      <c r="AP1788" s="70" t="n">
        <f aca="false">IF(AO1788="",0,MAX(0,MIN(1,(IF(CG1788="L1",Parameter!$H$5,IF(CG1788="L23",Parameter!$H$6+Parameter!$H$7,Parameter!$H$5+Parameter!$H$6+Parameter!$H$7))-(AO1788-AJ1788))/AJ1788)))</f>
        <v>0</v>
      </c>
      <c r="AQ1788" s="62" t="n">
        <f aca="false">IF(LEFT(Cockpit!$I$5,1)="A",H1788,IF(Parameter!$E$30="MAX-Bestand",IF(CI1788=1,CJ1788,IF(LEFT(Cockpit!$I$5,1)="B",AW1788,MAX(AW1788,H1788))),ROUNDUP(AU1788,0)))</f>
        <v>0</v>
      </c>
      <c r="AR1788" s="62" t="n">
        <f aca="false">IF(CA1788=1,0,ROUNDUP(AQ1788/BZ1788,0))</f>
        <v>0</v>
      </c>
      <c r="AS1788" s="64" t="n">
        <f aca="false">IF(CR1788&gt;0,CR1788*MAX(1,AQ1788/X1788),IF(CA1788=1,IF(AQ1788&lt;=0,0,CE1788*MAX(1,IF(H1788&gt;0,AQ1788/H1788,1))),IF(R1788&gt;0,AR1788/R1788,0))/MAX(0.1,N(Parameter!$M$21)))</f>
        <v>0</v>
      </c>
      <c r="AT1788" s="62" t="n">
        <f aca="false">AS1788*CC1788</f>
        <v>0</v>
      </c>
      <c r="AU1788" s="63" t="n">
        <f aca="false">IF(LEFT(Cockpit!$I$5,1)="A",H1788,IF(CI1788=1,(CL1788+CJ1788)/2,IF(LEFT(Cockpit!$I$5,1)="B",(CL1788+AW1788)/2,MAX((CL1788+AW1788)/2,H1788))))</f>
        <v>0</v>
      </c>
      <c r="AV1788" s="62" t="n">
        <f aca="false">AU1788*G1788</f>
        <v>0</v>
      </c>
      <c r="AW1788" s="62" t="n">
        <f aca="false">ROUNDUP(CL1788+MAX(CM1788,2*(J1788/IF(CH1788&gt;0,CH1788,MAX(0.1,N(Cockpit!$I$6)))-CL1788)),0)</f>
        <v>0</v>
      </c>
      <c r="AX1788" s="63" t="n">
        <f aca="false">IF(AT1788&gt;0,J1788/AT1788,-1)</f>
        <v>-1</v>
      </c>
      <c r="AY1788" s="63" t="str">
        <f aca="false">IF(AND(OR(CG1788="L1",CG1788="L23",CG1788="LIFT"),AT1788&gt;0),SUMIFS($AT$7:$AT$1843,$CG$7:$CG$1843,CG1788,$AX$7:$AX$1843,"&gt;"&amp;AX1788)+SUMIFS($AT$7:$AT$1843,$CG$7:$CG$1843,CG1788,$AX$7:$AX$1843,AX1788,$BX$7:$BX$1843,"&lt;="&amp;BX1788),"")</f>
        <v/>
      </c>
      <c r="AZ1788" s="70" t="n">
        <f aca="false">IF(AY1788="",0,MAX(0,MIN(1,(IF(CG1788="L1",Parameter!$H$5,IF(CG1788="L23",Parameter!$H$6+Parameter!$H$7,Parameter!$H$5+Parameter!$H$6+Parameter!$H$7))-(AY1788-AT1788))/AT1788)))</f>
        <v>0</v>
      </c>
      <c r="BA1788" s="62" t="n">
        <f aca="false">IF(LEFT(Cockpit!$O$5,1)="A",H1788,IF(Parameter!$E$30="MAX-Bestand",IF(CI1788=1,CJ1788,IF(LEFT(Cockpit!$O$5,1)="B",BG1788,MAX(BG1788,H1788))),ROUNDUP(BE1788,0)))</f>
        <v>0</v>
      </c>
      <c r="BB1788" s="62" t="n">
        <f aca="false">IF(CA1788=1,0,ROUNDUP(BA1788/BZ1788,0))</f>
        <v>0</v>
      </c>
      <c r="BC1788" s="64" t="n">
        <f aca="false">IF(CR1788&gt;0,CR1788*MAX(1,BA1788/X1788),IF(CA1788=1,IF(BA1788&lt;=0,0,CE1788*MAX(1,IF(H1788&gt;0,BA1788/H1788,1))),IF(R1788&gt;0,BB1788/R1788,0))/MAX(0.1,N(Parameter!$M$21)))</f>
        <v>0</v>
      </c>
      <c r="BD1788" s="62" t="n">
        <f aca="false">BC1788*CC1788</f>
        <v>0</v>
      </c>
      <c r="BE1788" s="63" t="n">
        <f aca="false">IF(LEFT(Cockpit!$O$5,1)="A",H1788,IF(CI1788=1,(CL1788+CJ1788)/2,IF(LEFT(Cockpit!$O$5,1)="B",(CL1788+BG1788)/2,MAX((CL1788+BG1788)/2,H1788))))</f>
        <v>0</v>
      </c>
      <c r="BF1788" s="62" t="n">
        <f aca="false">BE1788*G1788</f>
        <v>0</v>
      </c>
      <c r="BG1788" s="62" t="n">
        <f aca="false">ROUNDUP(CL1788+MAX(CM1788,2*(J1788/IF(CH1788&gt;0,CH1788,MAX(0.1,N(Cockpit!$O$6)))-CL1788)),0)</f>
        <v>0</v>
      </c>
      <c r="BH1788" s="63" t="n">
        <f aca="false">IF(BD1788&gt;0,J1788/BD1788,-1)</f>
        <v>-1</v>
      </c>
      <c r="BI1788" s="63" t="str">
        <f aca="false">IF(AND(OR(CG1788="L1",CG1788="L23",CG1788="LIFT"),BD1788&gt;0),SUMIFS($BD$7:$BD$1843,$CG$7:$CG$1843,CG1788,$BH$7:$BH$1843,"&gt;"&amp;BH1788)+SUMIFS($BD$7:$BD$1843,$CG$7:$CG$1843,CG1788,$BH$7:$BH$1843,BH1788,$BX$7:$BX$1843,"&lt;="&amp;BX1788),"")</f>
        <v/>
      </c>
      <c r="BJ1788" s="70" t="n">
        <f aca="false">IF(BI1788="",0,MAX(0,MIN(1,(IF(CG1788="L1",Parameter!$H$5,IF(CG1788="L23",Parameter!$H$6+Parameter!$H$7,Parameter!$H$5+Parameter!$H$6+Parameter!$H$7))-(BI1788-BD1788))/BD1788)))</f>
        <v>0</v>
      </c>
      <c r="BK1788" s="60" t="str">
        <f aca="false">IF(AJ1788&lt;=0,"",IF(CG1788="Aussen","Aussenlager",IF(CG1788="-","Nicht im Lift",IF(AP1788&gt;=1,"Lift",IF(AP1788&lt;=0,"Aussenlager","teilweise")))))</f>
        <v/>
      </c>
      <c r="BL1788" s="60" t="str">
        <f aca="false">IF(AT1788&lt;=0,"",IF(CG1788="Aussen","Aussenlager",IF(CG1788="-","Nicht im Lift",IF(AZ1788&gt;=1,"Lift",IF(AZ1788&lt;=0,"Aussenlager","teilweise")))))</f>
        <v/>
      </c>
      <c r="BM1788" s="60" t="str">
        <f aca="false">IF(BD1788&lt;=0,"",IF(CG1788="Aussen","Aussenlager",IF(CG1788="-","Nicht im Lift",IF(BJ1788&gt;=1,"Lift",IF(BJ1788&lt;=0,"Aussenlager","teilweise")))))</f>
        <v/>
      </c>
      <c r="BN1788" s="60" t="str">
        <f aca="false">IF(A1788="","",IF(BW1788=1,"Neu; ","")&amp;IF(AND(BW1788=0,BR1788&lt;0),"negativer Bestand (Export "&amp;BR1788&amp;"); ","")&amp;IF(J1788&lt;=0,"Kein Verbrauch; ","")&amp;IF(CR1788&gt;0,"Lift "&amp;W1788&amp;" lt. Liftbericht (Fach "&amp;X1788&amp;" Stk); ",IF(CB1788=1,"Gebinde geschätzt ("&amp;T1788&amp;"); ",IF(CA1788=1,"Lose – Tablare geschätzt; ","")))&amp;IF(H1788&gt;AW1788,"Überbestand "&amp;ROUND(H1788-AW1788,0)&amp;" Stk / CHF "&amp;ROUND((H1788-AW1788)*G1788,0)&amp;"; ","")&amp;IF(AND(CI1788=1,CJ1788&lt;CK1788),"MAX &lt; MB+LG; ","")&amp;IF(AND(CQ1788&gt;0,CP1788*10&gt;CQ1788),"zu hoch für Tablar; ","")&amp;IF(AND(BW1788=0,OR(CI1788=1,AB1788&lt;&gt;"",U1788&lt;&gt;"",V1788&lt;&gt;"",AC1788&lt;&gt;"")),"manuell übersteuert; ","")&amp;IF(AND(CA1788=0,R1788=0),"Gebinde unbekannt / Stellmass fehlt; ","")&amp;IF(AND(CA1788=0,N(V1788)&lt;=0,N(Q1788)&lt;=0),"Menge pro Gebinde fehlt (Ist = 1 Gebinde); ","")&amp;BV1788)</f>
        <v/>
      </c>
      <c r="BO1788" s="60"/>
      <c r="BP1788" s="60"/>
      <c r="BQ1788" s="67"/>
      <c r="BR1788" s="62" t="n">
        <f aca="false">N('Neue Artikel'!$D$49)</f>
        <v>0</v>
      </c>
      <c r="BS1788" s="62" t="n">
        <v>0</v>
      </c>
      <c r="BT1788" s="61" t="n">
        <v>0</v>
      </c>
      <c r="BU1788" s="62" t="n">
        <f aca="false">N('Neue Artikel'!$C$49)/Parameter!$B$18</f>
        <v>0</v>
      </c>
      <c r="BV1788" s="60"/>
      <c r="BW1788" s="65" t="n">
        <v>1</v>
      </c>
      <c r="BX1788" s="65" t="n">
        <v>1788</v>
      </c>
      <c r="BY1788" s="60" t="str">
        <f aca="false">IF(U1788&lt;&gt;"",UPPER(TRIM(U1788)),IF(CB1788=1,UPPER(VLOOKUP(T1788,Parameter!$I$27:$K$29,2,0)),IF(P1788="","LOSE",P1788)))</f>
        <v>LOSE</v>
      </c>
      <c r="BZ1788" s="62" t="n">
        <f aca="false">IF(BY1788="LOSE",1,IF(N(V1788)&gt;0,V1788,IF(CB1788=1,MAX(1,N(VLOOKUP(T1788,Parameter!$I$27:$K$29,3,0)),H1788,N(N1788)),IF(N(Q1788)&gt;0,Q1788,MAX(1,H1788)))))</f>
        <v>1</v>
      </c>
      <c r="CA1788" s="65" t="n">
        <f aca="false">IF(BY1788="LOSE",1,0)</f>
        <v>1</v>
      </c>
      <c r="CB1788" s="65" t="n">
        <f aca="false">IF(AND(U1788="",OR(P1788="",P1788="LOSE"),T1788&lt;&gt;"",N(S1788)&lt;=0,ISNUMBER(MATCH(T1788,Parameter!$I$27:$I$29,0))),1,0)</f>
        <v>0</v>
      </c>
      <c r="CC1788" s="65" t="n">
        <f aca="false">IF(CR1788&gt;0,INDEX(Parameter!$H$5:$H$7,W1788)/INDEX(Parameter!$E$5:$E$7,W1788),IF(AND(CA1788=0,N(IFERROR(VLOOKUP(BY1788,'Gebinde-Kategorie'!$A$5:$N$45,14,0),0))&gt;0),VLOOKUP(BY1788,'Gebinde-Kategorie'!$A$5:$N$45,14,0)*10+Parameter!$M$23,Parameter!$M$24))</f>
        <v>235</v>
      </c>
      <c r="CD1788" s="60" t="str">
        <f aca="false">IF(AND(Parameter!$B$19="Ja",E1788&lt;&gt;"",ISNUMBER(MATCH(E1788,Parameter!$I$35:$I$52,0))),VLOOKUP(E1788,Parameter!$I$35:$J$52,2,0),IFERROR(VLOOKUP(D1788,Parameter!$A$35:$C$64,2,0),"Nein"))</f>
        <v>2+3</v>
      </c>
      <c r="CE1788" s="64" t="n">
        <f aca="false">IF(CA1788=0,0,IF(N(S1788)&gt;0,S1788,IFERROR(VLOOKUP(D1788,Parameter!$A$35:$C$64,3,0)+0,0)))</f>
        <v>0.15</v>
      </c>
      <c r="CF1788" s="60" t="str">
        <f aca="false">IF(AB1788&lt;&gt;"",AB1788,AA1788)</f>
        <v/>
      </c>
      <c r="CG1788" s="60" t="str">
        <f aca="false">IF(OR(CF1788=1,CF1788=2,CF1788=3),IF(Parameter!$E$27="Ja","LIFT",IF(CF1788=1,"L1","L23")),IF(CF1788="Aussen","Aussen","-"))</f>
        <v>-</v>
      </c>
      <c r="CH1788" s="71" t="n">
        <f aca="false">IF(N(AC1788)&gt;0,AC1788,0)</f>
        <v>0</v>
      </c>
      <c r="CI1788" s="65" t="n">
        <f aca="false">IF(ISNUMBER(AF1788),1,0)</f>
        <v>0</v>
      </c>
      <c r="CJ1788" s="62" t="n">
        <f aca="false">N(AF1788)</f>
        <v>0</v>
      </c>
      <c r="CK1788" s="62" t="n">
        <f aca="false">N(M1788)+N(N1788)</f>
        <v>0</v>
      </c>
      <c r="CL1788" s="62" t="n">
        <f aca="false">N(M1788)</f>
        <v>0</v>
      </c>
      <c r="CM1788" s="62" t="n">
        <f aca="false">N(N1788)</f>
        <v>0</v>
      </c>
      <c r="CN1788" s="62" t="n">
        <f aca="false">ROUNDUP(H1788/BZ1788,0)</f>
        <v>0</v>
      </c>
      <c r="CO1788" s="62" t="n">
        <f aca="false">ROUNDUP(CJ1788/BZ1788,0)</f>
        <v>0</v>
      </c>
      <c r="CP1788" s="65" t="n">
        <f aca="false">IF(CA1788=1,0,IFERROR(VLOOKUP(BY1788,'Gebinde-Kategorie'!$A$5:$N$45,5,0)+0,0))</f>
        <v>0</v>
      </c>
      <c r="CQ1788" s="65" t="n">
        <f aca="false">IFERROR(IF(OR(CF1788=1,CF1788=2,CF1788=3),N(INDEX(Parameter!$I$5:$I$7,CF1788)),0),0)</f>
        <v>0</v>
      </c>
      <c r="CR1788" s="64" t="n">
        <f aca="false">IF(AND(Parameter!$B$21="Ja",ISNUMBER(W1788),N(X1788)&gt;0),IFERROR(N(INDEX(Parameter!$L$5:$L$7,W1788))*INDEX(Parameter!$E$5:$E$7,W1788)*X1788/SUMIFS($X$7:$X$1843,$W$7:$W$1843,W1788),0),0)</f>
        <v>0</v>
      </c>
      <c r="CS1788" s="62" t="str">
        <f aca="false">IF(AND(OR(CG1788="L1",CG1788="L23",CG1788="LIFT"),H1788&gt;0),CC1788*IF(CR1788&gt;0,CR1788*MAX(1,H1788/X1788),IF(CA1788=1,CE1788,IF(R1788&gt;0,CN1788/R1788,0))/MAX(0.1,N(Parameter!$M$21))),"")</f>
        <v/>
      </c>
      <c r="CT1788" s="64" t="str">
        <f aca="false">IF(CS1788="","",J1788/H1788)</f>
        <v/>
      </c>
      <c r="CU1788" s="62" t="str">
        <f aca="false">IF(CS1788="","",H1788*G1788)</f>
        <v/>
      </c>
      <c r="CV1788" s="63" t="str">
        <f aca="false">IF(CS1788="","",(CL1788+ROUNDUP(CL1788+MAX(CM1788,2*(J1788/MAX(0.1,N(Einkauf!$C$6))-CL1788)),0))/2)</f>
        <v/>
      </c>
      <c r="CW1788" s="62" t="str">
        <f aca="false">IF(CS1788="","",MAX(0,H1788-CV1788)*G1788)</f>
        <v/>
      </c>
      <c r="CX1788" s="62" t="str">
        <f aca="false">IF(CS1788="","",CS1788*MAX(0,1-CV1788/H1788))</f>
        <v/>
      </c>
      <c r="CY1788" s="64" t="str">
        <f aca="false">IF(CS1788="","",PERCENTRANK($CS$7:$CS$1843,CS1788)+PERCENTRANK($CU$7:$CU$1843,CU1788)+1-PERCENTRANK($CT$7:$CT$1843,CT1788))</f>
        <v/>
      </c>
      <c r="CZ1788" s="72" t="str">
        <f aca="false">IF(CS1788="","",CHOOSE(MATCH(Einkauf!$C$5,Parameter!$G$23:$G$27,0),CY1788,CS1788,CU1788,-CT1788,CW1788)+ROW()/1000000000)</f>
        <v/>
      </c>
    </row>
    <row r="1789" customFormat="false" ht="15" hidden="false" customHeight="false" outlineLevel="0" collapsed="false">
      <c r="A1789" s="60" t="str">
        <f aca="false">IF('Neue Artikel'!$A$50="","",'Neue Artikel'!$A$50&amp;"")</f>
        <v/>
      </c>
      <c r="B1789" s="60" t="str">
        <f aca="false">'Neue Artikel'!$B$50&amp;""</f>
        <v/>
      </c>
      <c r="C1789" s="60"/>
      <c r="D1789" s="60" t="s">
        <v>3057</v>
      </c>
      <c r="E1789" s="60"/>
      <c r="F1789" s="60"/>
      <c r="G1789" s="61" t="n">
        <f aca="false">N('Neue Artikel'!$G$50)</f>
        <v>0</v>
      </c>
      <c r="H1789" s="62" t="n">
        <f aca="false">MAX(0,IF(AND(Parameter!$B$21="Ja",ISNUMBER(Y1789)),Y1789,IF(Parameter!$B$20="Jahresanfang 2025 + Export",BS1789+BR1789,BR1789)))</f>
        <v>0</v>
      </c>
      <c r="I1789" s="62" t="n">
        <f aca="false">H1789*G1789</f>
        <v>0</v>
      </c>
      <c r="J1789" s="62" t="n">
        <f aca="false">BU1789*Parameter!$B$18</f>
        <v>0</v>
      </c>
      <c r="K1789" s="63"/>
      <c r="L1789" s="64"/>
      <c r="M1789" s="62" t="n">
        <f aca="false">N('Neue Artikel'!$E$50)</f>
        <v>0</v>
      </c>
      <c r="N1789" s="62" t="n">
        <f aca="false">N('Neue Artikel'!$F$50)</f>
        <v>0</v>
      </c>
      <c r="O1789" s="65"/>
      <c r="P1789" s="60" t="str">
        <f aca="false">IF('Neue Artikel'!$H$50="","LOSE",UPPER(TRIM('Neue Artikel'!$H$50)))</f>
        <v>LOSE</v>
      </c>
      <c r="Q1789" s="62" t="n">
        <f aca="false">N('Neue Artikel'!$I$50)</f>
        <v>0</v>
      </c>
      <c r="R1789" s="65" t="n">
        <f aca="false">IF(CA1789=1,0,IFERROR(VLOOKUP(BY1789,'Gebinde-Kategorie'!$A$5:$N$45,13,0)+0,0))</f>
        <v>0</v>
      </c>
      <c r="S1789" s="66"/>
      <c r="T1789" s="67"/>
      <c r="U1789" s="67"/>
      <c r="V1789" s="67"/>
      <c r="W1789" s="60"/>
      <c r="X1789" s="62"/>
      <c r="Y1789" s="62"/>
      <c r="Z1789" s="60"/>
      <c r="AA1789" s="60" t="str">
        <f aca="false">IF(A1789="","",IF(AND(Parameter!$B$21="Ja",ISNUMBER(W1789)),W1789,IF(AND(Parameter!$E$27="Ja",ISNUMBER(Z1789),CD1789&lt;&gt;"Nein"),Z1789,IF(CD1789="2+3",IF(ISNUMBER(SEARCH("grosser Artikel",BV1789)),2,IFERROR(VLOOKUP(BY1789,Parameter!$F$35:$G$64,2,0),2)),IF(OR(CD1789="Nein",CD1789=""),"-",CD1789)))))</f>
        <v/>
      </c>
      <c r="AB1789" s="60" t="str">
        <f aca="false">IF('Neue Artikel'!$J$50="","",'Neue Artikel'!$J$50)</f>
        <v/>
      </c>
      <c r="AC1789" s="68"/>
      <c r="AD1789" s="62" t="n">
        <f aca="false">AW1789</f>
        <v>0</v>
      </c>
      <c r="AE1789" s="62" t="n">
        <f aca="false">MAX(AW1789,H1789)</f>
        <v>0</v>
      </c>
      <c r="AF1789" s="69"/>
      <c r="AG1789" s="62" t="n">
        <f aca="false">IF(LEFT(Cockpit!$C$5,1)="A",H1789,IF(Parameter!$E$30="MAX-Bestand",IF(CI1789=1,CJ1789,IF(LEFT(Cockpit!$C$5,1)="B",AM1789,MAX(AM1789,H1789))),ROUNDUP(AK1789,0)))</f>
        <v>0</v>
      </c>
      <c r="AH1789" s="62" t="n">
        <f aca="false">IF(CA1789=1,0,ROUNDUP(AG1789/BZ1789,0))</f>
        <v>0</v>
      </c>
      <c r="AI1789" s="64" t="n">
        <f aca="false">IF(CR1789&gt;0,CR1789*MAX(1,AG1789/X1789),IF(CA1789=1,IF(AG1789&lt;=0,0,CE1789*MAX(1,IF(H1789&gt;0,AG1789/H1789,1))),IF(R1789&gt;0,AH1789/R1789,0))/MAX(0.1,N(Parameter!$M$21)))</f>
        <v>0</v>
      </c>
      <c r="AJ1789" s="62" t="n">
        <f aca="false">AI1789*CC1789</f>
        <v>0</v>
      </c>
      <c r="AK1789" s="63" t="n">
        <f aca="false">IF(LEFT(Cockpit!$C$5,1)="A",H1789,IF(CI1789=1,(CL1789+CJ1789)/2,IF(LEFT(Cockpit!$C$5,1)="B",(CL1789+AM1789)/2,MAX((CL1789+AM1789)/2,H1789))))</f>
        <v>0</v>
      </c>
      <c r="AL1789" s="62" t="n">
        <f aca="false">AK1789*G1789</f>
        <v>0</v>
      </c>
      <c r="AM1789" s="62" t="n">
        <f aca="false">ROUNDUP(CL1789+MAX(CM1789,2*(J1789/IF(CH1789&gt;0,CH1789,MAX(0.1,N(Cockpit!$C$6)))-CL1789)),0)</f>
        <v>0</v>
      </c>
      <c r="AN1789" s="63" t="n">
        <f aca="false">IF(AJ1789&gt;0,J1789/AJ1789,-1)</f>
        <v>-1</v>
      </c>
      <c r="AO1789" s="63" t="str">
        <f aca="false">IF(AND(OR(CG1789="L1",CG1789="L23",CG1789="LIFT"),AJ1789&gt;0),SUMIFS($AJ$7:$AJ$1843,$CG$7:$CG$1843,CG1789,$AN$7:$AN$1843,"&gt;"&amp;AN1789)+SUMIFS($AJ$7:$AJ$1843,$CG$7:$CG$1843,CG1789,$AN$7:$AN$1843,AN1789,$BX$7:$BX$1843,"&lt;="&amp;BX1789),"")</f>
        <v/>
      </c>
      <c r="AP1789" s="70" t="n">
        <f aca="false">IF(AO1789="",0,MAX(0,MIN(1,(IF(CG1789="L1",Parameter!$H$5,IF(CG1789="L23",Parameter!$H$6+Parameter!$H$7,Parameter!$H$5+Parameter!$H$6+Parameter!$H$7))-(AO1789-AJ1789))/AJ1789)))</f>
        <v>0</v>
      </c>
      <c r="AQ1789" s="62" t="n">
        <f aca="false">IF(LEFT(Cockpit!$I$5,1)="A",H1789,IF(Parameter!$E$30="MAX-Bestand",IF(CI1789=1,CJ1789,IF(LEFT(Cockpit!$I$5,1)="B",AW1789,MAX(AW1789,H1789))),ROUNDUP(AU1789,0)))</f>
        <v>0</v>
      </c>
      <c r="AR1789" s="62" t="n">
        <f aca="false">IF(CA1789=1,0,ROUNDUP(AQ1789/BZ1789,0))</f>
        <v>0</v>
      </c>
      <c r="AS1789" s="64" t="n">
        <f aca="false">IF(CR1789&gt;0,CR1789*MAX(1,AQ1789/X1789),IF(CA1789=1,IF(AQ1789&lt;=0,0,CE1789*MAX(1,IF(H1789&gt;0,AQ1789/H1789,1))),IF(R1789&gt;0,AR1789/R1789,0))/MAX(0.1,N(Parameter!$M$21)))</f>
        <v>0</v>
      </c>
      <c r="AT1789" s="62" t="n">
        <f aca="false">AS1789*CC1789</f>
        <v>0</v>
      </c>
      <c r="AU1789" s="63" t="n">
        <f aca="false">IF(LEFT(Cockpit!$I$5,1)="A",H1789,IF(CI1789=1,(CL1789+CJ1789)/2,IF(LEFT(Cockpit!$I$5,1)="B",(CL1789+AW1789)/2,MAX((CL1789+AW1789)/2,H1789))))</f>
        <v>0</v>
      </c>
      <c r="AV1789" s="62" t="n">
        <f aca="false">AU1789*G1789</f>
        <v>0</v>
      </c>
      <c r="AW1789" s="62" t="n">
        <f aca="false">ROUNDUP(CL1789+MAX(CM1789,2*(J1789/IF(CH1789&gt;0,CH1789,MAX(0.1,N(Cockpit!$I$6)))-CL1789)),0)</f>
        <v>0</v>
      </c>
      <c r="AX1789" s="63" t="n">
        <f aca="false">IF(AT1789&gt;0,J1789/AT1789,-1)</f>
        <v>-1</v>
      </c>
      <c r="AY1789" s="63" t="str">
        <f aca="false">IF(AND(OR(CG1789="L1",CG1789="L23",CG1789="LIFT"),AT1789&gt;0),SUMIFS($AT$7:$AT$1843,$CG$7:$CG$1843,CG1789,$AX$7:$AX$1843,"&gt;"&amp;AX1789)+SUMIFS($AT$7:$AT$1843,$CG$7:$CG$1843,CG1789,$AX$7:$AX$1843,AX1789,$BX$7:$BX$1843,"&lt;="&amp;BX1789),"")</f>
        <v/>
      </c>
      <c r="AZ1789" s="70" t="n">
        <f aca="false">IF(AY1789="",0,MAX(0,MIN(1,(IF(CG1789="L1",Parameter!$H$5,IF(CG1789="L23",Parameter!$H$6+Parameter!$H$7,Parameter!$H$5+Parameter!$H$6+Parameter!$H$7))-(AY1789-AT1789))/AT1789)))</f>
        <v>0</v>
      </c>
      <c r="BA1789" s="62" t="n">
        <f aca="false">IF(LEFT(Cockpit!$O$5,1)="A",H1789,IF(Parameter!$E$30="MAX-Bestand",IF(CI1789=1,CJ1789,IF(LEFT(Cockpit!$O$5,1)="B",BG1789,MAX(BG1789,H1789))),ROUNDUP(BE1789,0)))</f>
        <v>0</v>
      </c>
      <c r="BB1789" s="62" t="n">
        <f aca="false">IF(CA1789=1,0,ROUNDUP(BA1789/BZ1789,0))</f>
        <v>0</v>
      </c>
      <c r="BC1789" s="64" t="n">
        <f aca="false">IF(CR1789&gt;0,CR1789*MAX(1,BA1789/X1789),IF(CA1789=1,IF(BA1789&lt;=0,0,CE1789*MAX(1,IF(H1789&gt;0,BA1789/H1789,1))),IF(R1789&gt;0,BB1789/R1789,0))/MAX(0.1,N(Parameter!$M$21)))</f>
        <v>0</v>
      </c>
      <c r="BD1789" s="62" t="n">
        <f aca="false">BC1789*CC1789</f>
        <v>0</v>
      </c>
      <c r="BE1789" s="63" t="n">
        <f aca="false">IF(LEFT(Cockpit!$O$5,1)="A",H1789,IF(CI1789=1,(CL1789+CJ1789)/2,IF(LEFT(Cockpit!$O$5,1)="B",(CL1789+BG1789)/2,MAX((CL1789+BG1789)/2,H1789))))</f>
        <v>0</v>
      </c>
      <c r="BF1789" s="62" t="n">
        <f aca="false">BE1789*G1789</f>
        <v>0</v>
      </c>
      <c r="BG1789" s="62" t="n">
        <f aca="false">ROUNDUP(CL1789+MAX(CM1789,2*(J1789/IF(CH1789&gt;0,CH1789,MAX(0.1,N(Cockpit!$O$6)))-CL1789)),0)</f>
        <v>0</v>
      </c>
      <c r="BH1789" s="63" t="n">
        <f aca="false">IF(BD1789&gt;0,J1789/BD1789,-1)</f>
        <v>-1</v>
      </c>
      <c r="BI1789" s="63" t="str">
        <f aca="false">IF(AND(OR(CG1789="L1",CG1789="L23",CG1789="LIFT"),BD1789&gt;0),SUMIFS($BD$7:$BD$1843,$CG$7:$CG$1843,CG1789,$BH$7:$BH$1843,"&gt;"&amp;BH1789)+SUMIFS($BD$7:$BD$1843,$CG$7:$CG$1843,CG1789,$BH$7:$BH$1843,BH1789,$BX$7:$BX$1843,"&lt;="&amp;BX1789),"")</f>
        <v/>
      </c>
      <c r="BJ1789" s="70" t="n">
        <f aca="false">IF(BI1789="",0,MAX(0,MIN(1,(IF(CG1789="L1",Parameter!$H$5,IF(CG1789="L23",Parameter!$H$6+Parameter!$H$7,Parameter!$H$5+Parameter!$H$6+Parameter!$H$7))-(BI1789-BD1789))/BD1789)))</f>
        <v>0</v>
      </c>
      <c r="BK1789" s="60" t="str">
        <f aca="false">IF(AJ1789&lt;=0,"",IF(CG1789="Aussen","Aussenlager",IF(CG1789="-","Nicht im Lift",IF(AP1789&gt;=1,"Lift",IF(AP1789&lt;=0,"Aussenlager","teilweise")))))</f>
        <v/>
      </c>
      <c r="BL1789" s="60" t="str">
        <f aca="false">IF(AT1789&lt;=0,"",IF(CG1789="Aussen","Aussenlager",IF(CG1789="-","Nicht im Lift",IF(AZ1789&gt;=1,"Lift",IF(AZ1789&lt;=0,"Aussenlager","teilweise")))))</f>
        <v/>
      </c>
      <c r="BM1789" s="60" t="str">
        <f aca="false">IF(BD1789&lt;=0,"",IF(CG1789="Aussen","Aussenlager",IF(CG1789="-","Nicht im Lift",IF(BJ1789&gt;=1,"Lift",IF(BJ1789&lt;=0,"Aussenlager","teilweise")))))</f>
        <v/>
      </c>
      <c r="BN1789" s="60" t="str">
        <f aca="false">IF(A1789="","",IF(BW1789=1,"Neu; ","")&amp;IF(AND(BW1789=0,BR1789&lt;0),"negativer Bestand (Export "&amp;BR1789&amp;"); ","")&amp;IF(J1789&lt;=0,"Kein Verbrauch; ","")&amp;IF(CR1789&gt;0,"Lift "&amp;W1789&amp;" lt. Liftbericht (Fach "&amp;X1789&amp;" Stk); ",IF(CB1789=1,"Gebinde geschätzt ("&amp;T1789&amp;"); ",IF(CA1789=1,"Lose – Tablare geschätzt; ","")))&amp;IF(H1789&gt;AW1789,"Überbestand "&amp;ROUND(H1789-AW1789,0)&amp;" Stk / CHF "&amp;ROUND((H1789-AW1789)*G1789,0)&amp;"; ","")&amp;IF(AND(CI1789=1,CJ1789&lt;CK1789),"MAX &lt; MB+LG; ","")&amp;IF(AND(CQ1789&gt;0,CP1789*10&gt;CQ1789),"zu hoch für Tablar; ","")&amp;IF(AND(BW1789=0,OR(CI1789=1,AB1789&lt;&gt;"",U1789&lt;&gt;"",V1789&lt;&gt;"",AC1789&lt;&gt;"")),"manuell übersteuert; ","")&amp;IF(AND(CA1789=0,R1789=0),"Gebinde unbekannt / Stellmass fehlt; ","")&amp;IF(AND(CA1789=0,N(V1789)&lt;=0,N(Q1789)&lt;=0),"Menge pro Gebinde fehlt (Ist = 1 Gebinde); ","")&amp;BV1789)</f>
        <v/>
      </c>
      <c r="BO1789" s="60"/>
      <c r="BP1789" s="60"/>
      <c r="BQ1789" s="67"/>
      <c r="BR1789" s="62" t="n">
        <f aca="false">N('Neue Artikel'!$D$50)</f>
        <v>0</v>
      </c>
      <c r="BS1789" s="62" t="n">
        <v>0</v>
      </c>
      <c r="BT1789" s="61" t="n">
        <v>0</v>
      </c>
      <c r="BU1789" s="62" t="n">
        <f aca="false">N('Neue Artikel'!$C$50)/Parameter!$B$18</f>
        <v>0</v>
      </c>
      <c r="BV1789" s="60"/>
      <c r="BW1789" s="65" t="n">
        <v>1</v>
      </c>
      <c r="BX1789" s="65" t="n">
        <v>1789</v>
      </c>
      <c r="BY1789" s="60" t="str">
        <f aca="false">IF(U1789&lt;&gt;"",UPPER(TRIM(U1789)),IF(CB1789=1,UPPER(VLOOKUP(T1789,Parameter!$I$27:$K$29,2,0)),IF(P1789="","LOSE",P1789)))</f>
        <v>LOSE</v>
      </c>
      <c r="BZ1789" s="62" t="n">
        <f aca="false">IF(BY1789="LOSE",1,IF(N(V1789)&gt;0,V1789,IF(CB1789=1,MAX(1,N(VLOOKUP(T1789,Parameter!$I$27:$K$29,3,0)),H1789,N(N1789)),IF(N(Q1789)&gt;0,Q1789,MAX(1,H1789)))))</f>
        <v>1</v>
      </c>
      <c r="CA1789" s="65" t="n">
        <f aca="false">IF(BY1789="LOSE",1,0)</f>
        <v>1</v>
      </c>
      <c r="CB1789" s="65" t="n">
        <f aca="false">IF(AND(U1789="",OR(P1789="",P1789="LOSE"),T1789&lt;&gt;"",N(S1789)&lt;=0,ISNUMBER(MATCH(T1789,Parameter!$I$27:$I$29,0))),1,0)</f>
        <v>0</v>
      </c>
      <c r="CC1789" s="65" t="n">
        <f aca="false">IF(CR1789&gt;0,INDEX(Parameter!$H$5:$H$7,W1789)/INDEX(Parameter!$E$5:$E$7,W1789),IF(AND(CA1789=0,N(IFERROR(VLOOKUP(BY1789,'Gebinde-Kategorie'!$A$5:$N$45,14,0),0))&gt;0),VLOOKUP(BY1789,'Gebinde-Kategorie'!$A$5:$N$45,14,0)*10+Parameter!$M$23,Parameter!$M$24))</f>
        <v>235</v>
      </c>
      <c r="CD1789" s="60" t="str">
        <f aca="false">IF(AND(Parameter!$B$19="Ja",E1789&lt;&gt;"",ISNUMBER(MATCH(E1789,Parameter!$I$35:$I$52,0))),VLOOKUP(E1789,Parameter!$I$35:$J$52,2,0),IFERROR(VLOOKUP(D1789,Parameter!$A$35:$C$64,2,0),"Nein"))</f>
        <v>2+3</v>
      </c>
      <c r="CE1789" s="64" t="n">
        <f aca="false">IF(CA1789=0,0,IF(N(S1789)&gt;0,S1789,IFERROR(VLOOKUP(D1789,Parameter!$A$35:$C$64,3,0)+0,0)))</f>
        <v>0.15</v>
      </c>
      <c r="CF1789" s="60" t="str">
        <f aca="false">IF(AB1789&lt;&gt;"",AB1789,AA1789)</f>
        <v/>
      </c>
      <c r="CG1789" s="60" t="str">
        <f aca="false">IF(OR(CF1789=1,CF1789=2,CF1789=3),IF(Parameter!$E$27="Ja","LIFT",IF(CF1789=1,"L1","L23")),IF(CF1789="Aussen","Aussen","-"))</f>
        <v>-</v>
      </c>
      <c r="CH1789" s="71" t="n">
        <f aca="false">IF(N(AC1789)&gt;0,AC1789,0)</f>
        <v>0</v>
      </c>
      <c r="CI1789" s="65" t="n">
        <f aca="false">IF(ISNUMBER(AF1789),1,0)</f>
        <v>0</v>
      </c>
      <c r="CJ1789" s="62" t="n">
        <f aca="false">N(AF1789)</f>
        <v>0</v>
      </c>
      <c r="CK1789" s="62" t="n">
        <f aca="false">N(M1789)+N(N1789)</f>
        <v>0</v>
      </c>
      <c r="CL1789" s="62" t="n">
        <f aca="false">N(M1789)</f>
        <v>0</v>
      </c>
      <c r="CM1789" s="62" t="n">
        <f aca="false">N(N1789)</f>
        <v>0</v>
      </c>
      <c r="CN1789" s="62" t="n">
        <f aca="false">ROUNDUP(H1789/BZ1789,0)</f>
        <v>0</v>
      </c>
      <c r="CO1789" s="62" t="n">
        <f aca="false">ROUNDUP(CJ1789/BZ1789,0)</f>
        <v>0</v>
      </c>
      <c r="CP1789" s="65" t="n">
        <f aca="false">IF(CA1789=1,0,IFERROR(VLOOKUP(BY1789,'Gebinde-Kategorie'!$A$5:$N$45,5,0)+0,0))</f>
        <v>0</v>
      </c>
      <c r="CQ1789" s="65" t="n">
        <f aca="false">IFERROR(IF(OR(CF1789=1,CF1789=2,CF1789=3),N(INDEX(Parameter!$I$5:$I$7,CF1789)),0),0)</f>
        <v>0</v>
      </c>
      <c r="CR1789" s="64" t="n">
        <f aca="false">IF(AND(Parameter!$B$21="Ja",ISNUMBER(W1789),N(X1789)&gt;0),IFERROR(N(INDEX(Parameter!$L$5:$L$7,W1789))*INDEX(Parameter!$E$5:$E$7,W1789)*X1789/SUMIFS($X$7:$X$1843,$W$7:$W$1843,W1789),0),0)</f>
        <v>0</v>
      </c>
      <c r="CS1789" s="62" t="str">
        <f aca="false">IF(AND(OR(CG1789="L1",CG1789="L23",CG1789="LIFT"),H1789&gt;0),CC1789*IF(CR1789&gt;0,CR1789*MAX(1,H1789/X1789),IF(CA1789=1,CE1789,IF(R1789&gt;0,CN1789/R1789,0))/MAX(0.1,N(Parameter!$M$21))),"")</f>
        <v/>
      </c>
      <c r="CT1789" s="64" t="str">
        <f aca="false">IF(CS1789="","",J1789/H1789)</f>
        <v/>
      </c>
      <c r="CU1789" s="62" t="str">
        <f aca="false">IF(CS1789="","",H1789*G1789)</f>
        <v/>
      </c>
      <c r="CV1789" s="63" t="str">
        <f aca="false">IF(CS1789="","",(CL1789+ROUNDUP(CL1789+MAX(CM1789,2*(J1789/MAX(0.1,N(Einkauf!$C$6))-CL1789)),0))/2)</f>
        <v/>
      </c>
      <c r="CW1789" s="62" t="str">
        <f aca="false">IF(CS1789="","",MAX(0,H1789-CV1789)*G1789)</f>
        <v/>
      </c>
      <c r="CX1789" s="62" t="str">
        <f aca="false">IF(CS1789="","",CS1789*MAX(0,1-CV1789/H1789))</f>
        <v/>
      </c>
      <c r="CY1789" s="64" t="str">
        <f aca="false">IF(CS1789="","",PERCENTRANK($CS$7:$CS$1843,CS1789)+PERCENTRANK($CU$7:$CU$1843,CU1789)+1-PERCENTRANK($CT$7:$CT$1843,CT1789))</f>
        <v/>
      </c>
      <c r="CZ1789" s="72" t="str">
        <f aca="false">IF(CS1789="","",CHOOSE(MATCH(Einkauf!$C$5,Parameter!$G$23:$G$27,0),CY1789,CS1789,CU1789,-CT1789,CW1789)+ROW()/1000000000)</f>
        <v/>
      </c>
    </row>
    <row r="1790" customFormat="false" ht="15" hidden="false" customHeight="false" outlineLevel="0" collapsed="false">
      <c r="A1790" s="60" t="str">
        <f aca="false">IF('Neue Artikel'!$A$51="","",'Neue Artikel'!$A$51&amp;"")</f>
        <v/>
      </c>
      <c r="B1790" s="60" t="str">
        <f aca="false">'Neue Artikel'!$B$51&amp;""</f>
        <v/>
      </c>
      <c r="C1790" s="60"/>
      <c r="D1790" s="60" t="s">
        <v>3057</v>
      </c>
      <c r="E1790" s="60"/>
      <c r="F1790" s="60"/>
      <c r="G1790" s="61" t="n">
        <f aca="false">N('Neue Artikel'!$G$51)</f>
        <v>0</v>
      </c>
      <c r="H1790" s="62" t="n">
        <f aca="false">MAX(0,IF(AND(Parameter!$B$21="Ja",ISNUMBER(Y1790)),Y1790,IF(Parameter!$B$20="Jahresanfang 2025 + Export",BS1790+BR1790,BR1790)))</f>
        <v>0</v>
      </c>
      <c r="I1790" s="62" t="n">
        <f aca="false">H1790*G1790</f>
        <v>0</v>
      </c>
      <c r="J1790" s="62" t="n">
        <f aca="false">BU1790*Parameter!$B$18</f>
        <v>0</v>
      </c>
      <c r="K1790" s="63"/>
      <c r="L1790" s="64"/>
      <c r="M1790" s="62" t="n">
        <f aca="false">N('Neue Artikel'!$E$51)</f>
        <v>0</v>
      </c>
      <c r="N1790" s="62" t="n">
        <f aca="false">N('Neue Artikel'!$F$51)</f>
        <v>0</v>
      </c>
      <c r="O1790" s="65"/>
      <c r="P1790" s="60" t="str">
        <f aca="false">IF('Neue Artikel'!$H$51="","LOSE",UPPER(TRIM('Neue Artikel'!$H$51)))</f>
        <v>LOSE</v>
      </c>
      <c r="Q1790" s="62" t="n">
        <f aca="false">N('Neue Artikel'!$I$51)</f>
        <v>0</v>
      </c>
      <c r="R1790" s="65" t="n">
        <f aca="false">IF(CA1790=1,0,IFERROR(VLOOKUP(BY1790,'Gebinde-Kategorie'!$A$5:$N$45,13,0)+0,0))</f>
        <v>0</v>
      </c>
      <c r="S1790" s="66"/>
      <c r="T1790" s="67"/>
      <c r="U1790" s="67"/>
      <c r="V1790" s="67"/>
      <c r="W1790" s="60"/>
      <c r="X1790" s="62"/>
      <c r="Y1790" s="62"/>
      <c r="Z1790" s="60"/>
      <c r="AA1790" s="60" t="str">
        <f aca="false">IF(A1790="","",IF(AND(Parameter!$B$21="Ja",ISNUMBER(W1790)),W1790,IF(AND(Parameter!$E$27="Ja",ISNUMBER(Z1790),CD1790&lt;&gt;"Nein"),Z1790,IF(CD1790="2+3",IF(ISNUMBER(SEARCH("grosser Artikel",BV1790)),2,IFERROR(VLOOKUP(BY1790,Parameter!$F$35:$G$64,2,0),2)),IF(OR(CD1790="Nein",CD1790=""),"-",CD1790)))))</f>
        <v/>
      </c>
      <c r="AB1790" s="60" t="str">
        <f aca="false">IF('Neue Artikel'!$J$51="","",'Neue Artikel'!$J$51)</f>
        <v/>
      </c>
      <c r="AC1790" s="68"/>
      <c r="AD1790" s="62" t="n">
        <f aca="false">AW1790</f>
        <v>0</v>
      </c>
      <c r="AE1790" s="62" t="n">
        <f aca="false">MAX(AW1790,H1790)</f>
        <v>0</v>
      </c>
      <c r="AF1790" s="69"/>
      <c r="AG1790" s="62" t="n">
        <f aca="false">IF(LEFT(Cockpit!$C$5,1)="A",H1790,IF(Parameter!$E$30="MAX-Bestand",IF(CI1790=1,CJ1790,IF(LEFT(Cockpit!$C$5,1)="B",AM1790,MAX(AM1790,H1790))),ROUNDUP(AK1790,0)))</f>
        <v>0</v>
      </c>
      <c r="AH1790" s="62" t="n">
        <f aca="false">IF(CA1790=1,0,ROUNDUP(AG1790/BZ1790,0))</f>
        <v>0</v>
      </c>
      <c r="AI1790" s="64" t="n">
        <f aca="false">IF(CR1790&gt;0,CR1790*MAX(1,AG1790/X1790),IF(CA1790=1,IF(AG1790&lt;=0,0,CE1790*MAX(1,IF(H1790&gt;0,AG1790/H1790,1))),IF(R1790&gt;0,AH1790/R1790,0))/MAX(0.1,N(Parameter!$M$21)))</f>
        <v>0</v>
      </c>
      <c r="AJ1790" s="62" t="n">
        <f aca="false">AI1790*CC1790</f>
        <v>0</v>
      </c>
      <c r="AK1790" s="63" t="n">
        <f aca="false">IF(LEFT(Cockpit!$C$5,1)="A",H1790,IF(CI1790=1,(CL1790+CJ1790)/2,IF(LEFT(Cockpit!$C$5,1)="B",(CL1790+AM1790)/2,MAX((CL1790+AM1790)/2,H1790))))</f>
        <v>0</v>
      </c>
      <c r="AL1790" s="62" t="n">
        <f aca="false">AK1790*G1790</f>
        <v>0</v>
      </c>
      <c r="AM1790" s="62" t="n">
        <f aca="false">ROUNDUP(CL1790+MAX(CM1790,2*(J1790/IF(CH1790&gt;0,CH1790,MAX(0.1,N(Cockpit!$C$6)))-CL1790)),0)</f>
        <v>0</v>
      </c>
      <c r="AN1790" s="63" t="n">
        <f aca="false">IF(AJ1790&gt;0,J1790/AJ1790,-1)</f>
        <v>-1</v>
      </c>
      <c r="AO1790" s="63" t="str">
        <f aca="false">IF(AND(OR(CG1790="L1",CG1790="L23",CG1790="LIFT"),AJ1790&gt;0),SUMIFS($AJ$7:$AJ$1843,$CG$7:$CG$1843,CG1790,$AN$7:$AN$1843,"&gt;"&amp;AN1790)+SUMIFS($AJ$7:$AJ$1843,$CG$7:$CG$1843,CG1790,$AN$7:$AN$1843,AN1790,$BX$7:$BX$1843,"&lt;="&amp;BX1790),"")</f>
        <v/>
      </c>
      <c r="AP1790" s="70" t="n">
        <f aca="false">IF(AO1790="",0,MAX(0,MIN(1,(IF(CG1790="L1",Parameter!$H$5,IF(CG1790="L23",Parameter!$H$6+Parameter!$H$7,Parameter!$H$5+Parameter!$H$6+Parameter!$H$7))-(AO1790-AJ1790))/AJ1790)))</f>
        <v>0</v>
      </c>
      <c r="AQ1790" s="62" t="n">
        <f aca="false">IF(LEFT(Cockpit!$I$5,1)="A",H1790,IF(Parameter!$E$30="MAX-Bestand",IF(CI1790=1,CJ1790,IF(LEFT(Cockpit!$I$5,1)="B",AW1790,MAX(AW1790,H1790))),ROUNDUP(AU1790,0)))</f>
        <v>0</v>
      </c>
      <c r="AR1790" s="62" t="n">
        <f aca="false">IF(CA1790=1,0,ROUNDUP(AQ1790/BZ1790,0))</f>
        <v>0</v>
      </c>
      <c r="AS1790" s="64" t="n">
        <f aca="false">IF(CR1790&gt;0,CR1790*MAX(1,AQ1790/X1790),IF(CA1790=1,IF(AQ1790&lt;=0,0,CE1790*MAX(1,IF(H1790&gt;0,AQ1790/H1790,1))),IF(R1790&gt;0,AR1790/R1790,0))/MAX(0.1,N(Parameter!$M$21)))</f>
        <v>0</v>
      </c>
      <c r="AT1790" s="62" t="n">
        <f aca="false">AS1790*CC1790</f>
        <v>0</v>
      </c>
      <c r="AU1790" s="63" t="n">
        <f aca="false">IF(LEFT(Cockpit!$I$5,1)="A",H1790,IF(CI1790=1,(CL1790+CJ1790)/2,IF(LEFT(Cockpit!$I$5,1)="B",(CL1790+AW1790)/2,MAX((CL1790+AW1790)/2,H1790))))</f>
        <v>0</v>
      </c>
      <c r="AV1790" s="62" t="n">
        <f aca="false">AU1790*G1790</f>
        <v>0</v>
      </c>
      <c r="AW1790" s="62" t="n">
        <f aca="false">ROUNDUP(CL1790+MAX(CM1790,2*(J1790/IF(CH1790&gt;0,CH1790,MAX(0.1,N(Cockpit!$I$6)))-CL1790)),0)</f>
        <v>0</v>
      </c>
      <c r="AX1790" s="63" t="n">
        <f aca="false">IF(AT1790&gt;0,J1790/AT1790,-1)</f>
        <v>-1</v>
      </c>
      <c r="AY1790" s="63" t="str">
        <f aca="false">IF(AND(OR(CG1790="L1",CG1790="L23",CG1790="LIFT"),AT1790&gt;0),SUMIFS($AT$7:$AT$1843,$CG$7:$CG$1843,CG1790,$AX$7:$AX$1843,"&gt;"&amp;AX1790)+SUMIFS($AT$7:$AT$1843,$CG$7:$CG$1843,CG1790,$AX$7:$AX$1843,AX1790,$BX$7:$BX$1843,"&lt;="&amp;BX1790),"")</f>
        <v/>
      </c>
      <c r="AZ1790" s="70" t="n">
        <f aca="false">IF(AY1790="",0,MAX(0,MIN(1,(IF(CG1790="L1",Parameter!$H$5,IF(CG1790="L23",Parameter!$H$6+Parameter!$H$7,Parameter!$H$5+Parameter!$H$6+Parameter!$H$7))-(AY1790-AT1790))/AT1790)))</f>
        <v>0</v>
      </c>
      <c r="BA1790" s="62" t="n">
        <f aca="false">IF(LEFT(Cockpit!$O$5,1)="A",H1790,IF(Parameter!$E$30="MAX-Bestand",IF(CI1790=1,CJ1790,IF(LEFT(Cockpit!$O$5,1)="B",BG1790,MAX(BG1790,H1790))),ROUNDUP(BE1790,0)))</f>
        <v>0</v>
      </c>
      <c r="BB1790" s="62" t="n">
        <f aca="false">IF(CA1790=1,0,ROUNDUP(BA1790/BZ1790,0))</f>
        <v>0</v>
      </c>
      <c r="BC1790" s="64" t="n">
        <f aca="false">IF(CR1790&gt;0,CR1790*MAX(1,BA1790/X1790),IF(CA1790=1,IF(BA1790&lt;=0,0,CE1790*MAX(1,IF(H1790&gt;0,BA1790/H1790,1))),IF(R1790&gt;0,BB1790/R1790,0))/MAX(0.1,N(Parameter!$M$21)))</f>
        <v>0</v>
      </c>
      <c r="BD1790" s="62" t="n">
        <f aca="false">BC1790*CC1790</f>
        <v>0</v>
      </c>
      <c r="BE1790" s="63" t="n">
        <f aca="false">IF(LEFT(Cockpit!$O$5,1)="A",H1790,IF(CI1790=1,(CL1790+CJ1790)/2,IF(LEFT(Cockpit!$O$5,1)="B",(CL1790+BG1790)/2,MAX((CL1790+BG1790)/2,H1790))))</f>
        <v>0</v>
      </c>
      <c r="BF1790" s="62" t="n">
        <f aca="false">BE1790*G1790</f>
        <v>0</v>
      </c>
      <c r="BG1790" s="62" t="n">
        <f aca="false">ROUNDUP(CL1790+MAX(CM1790,2*(J1790/IF(CH1790&gt;0,CH1790,MAX(0.1,N(Cockpit!$O$6)))-CL1790)),0)</f>
        <v>0</v>
      </c>
      <c r="BH1790" s="63" t="n">
        <f aca="false">IF(BD1790&gt;0,J1790/BD1790,-1)</f>
        <v>-1</v>
      </c>
      <c r="BI1790" s="63" t="str">
        <f aca="false">IF(AND(OR(CG1790="L1",CG1790="L23",CG1790="LIFT"),BD1790&gt;0),SUMIFS($BD$7:$BD$1843,$CG$7:$CG$1843,CG1790,$BH$7:$BH$1843,"&gt;"&amp;BH1790)+SUMIFS($BD$7:$BD$1843,$CG$7:$CG$1843,CG1790,$BH$7:$BH$1843,BH1790,$BX$7:$BX$1843,"&lt;="&amp;BX1790),"")</f>
        <v/>
      </c>
      <c r="BJ1790" s="70" t="n">
        <f aca="false">IF(BI1790="",0,MAX(0,MIN(1,(IF(CG1790="L1",Parameter!$H$5,IF(CG1790="L23",Parameter!$H$6+Parameter!$H$7,Parameter!$H$5+Parameter!$H$6+Parameter!$H$7))-(BI1790-BD1790))/BD1790)))</f>
        <v>0</v>
      </c>
      <c r="BK1790" s="60" t="str">
        <f aca="false">IF(AJ1790&lt;=0,"",IF(CG1790="Aussen","Aussenlager",IF(CG1790="-","Nicht im Lift",IF(AP1790&gt;=1,"Lift",IF(AP1790&lt;=0,"Aussenlager","teilweise")))))</f>
        <v/>
      </c>
      <c r="BL1790" s="60" t="str">
        <f aca="false">IF(AT1790&lt;=0,"",IF(CG1790="Aussen","Aussenlager",IF(CG1790="-","Nicht im Lift",IF(AZ1790&gt;=1,"Lift",IF(AZ1790&lt;=0,"Aussenlager","teilweise")))))</f>
        <v/>
      </c>
      <c r="BM1790" s="60" t="str">
        <f aca="false">IF(BD1790&lt;=0,"",IF(CG1790="Aussen","Aussenlager",IF(CG1790="-","Nicht im Lift",IF(BJ1790&gt;=1,"Lift",IF(BJ1790&lt;=0,"Aussenlager","teilweise")))))</f>
        <v/>
      </c>
      <c r="BN1790" s="60" t="str">
        <f aca="false">IF(A1790="","",IF(BW1790=1,"Neu; ","")&amp;IF(AND(BW1790=0,BR1790&lt;0),"negativer Bestand (Export "&amp;BR1790&amp;"); ","")&amp;IF(J1790&lt;=0,"Kein Verbrauch; ","")&amp;IF(CR1790&gt;0,"Lift "&amp;W1790&amp;" lt. Liftbericht (Fach "&amp;X1790&amp;" Stk); ",IF(CB1790=1,"Gebinde geschätzt ("&amp;T1790&amp;"); ",IF(CA1790=1,"Lose – Tablare geschätzt; ","")))&amp;IF(H1790&gt;AW1790,"Überbestand "&amp;ROUND(H1790-AW1790,0)&amp;" Stk / CHF "&amp;ROUND((H1790-AW1790)*G1790,0)&amp;"; ","")&amp;IF(AND(CI1790=1,CJ1790&lt;CK1790),"MAX &lt; MB+LG; ","")&amp;IF(AND(CQ1790&gt;0,CP1790*10&gt;CQ1790),"zu hoch für Tablar; ","")&amp;IF(AND(BW1790=0,OR(CI1790=1,AB1790&lt;&gt;"",U1790&lt;&gt;"",V1790&lt;&gt;"",AC1790&lt;&gt;"")),"manuell übersteuert; ","")&amp;IF(AND(CA1790=0,R1790=0),"Gebinde unbekannt / Stellmass fehlt; ","")&amp;IF(AND(CA1790=0,N(V1790)&lt;=0,N(Q1790)&lt;=0),"Menge pro Gebinde fehlt (Ist = 1 Gebinde); ","")&amp;BV1790)</f>
        <v/>
      </c>
      <c r="BO1790" s="60"/>
      <c r="BP1790" s="60"/>
      <c r="BQ1790" s="67"/>
      <c r="BR1790" s="62" t="n">
        <f aca="false">N('Neue Artikel'!$D$51)</f>
        <v>0</v>
      </c>
      <c r="BS1790" s="62" t="n">
        <v>0</v>
      </c>
      <c r="BT1790" s="61" t="n">
        <v>0</v>
      </c>
      <c r="BU1790" s="62" t="n">
        <f aca="false">N('Neue Artikel'!$C$51)/Parameter!$B$18</f>
        <v>0</v>
      </c>
      <c r="BV1790" s="60"/>
      <c r="BW1790" s="65" t="n">
        <v>1</v>
      </c>
      <c r="BX1790" s="65" t="n">
        <v>1790</v>
      </c>
      <c r="BY1790" s="60" t="str">
        <f aca="false">IF(U1790&lt;&gt;"",UPPER(TRIM(U1790)),IF(CB1790=1,UPPER(VLOOKUP(T1790,Parameter!$I$27:$K$29,2,0)),IF(P1790="","LOSE",P1790)))</f>
        <v>LOSE</v>
      </c>
      <c r="BZ1790" s="62" t="n">
        <f aca="false">IF(BY1790="LOSE",1,IF(N(V1790)&gt;0,V1790,IF(CB1790=1,MAX(1,N(VLOOKUP(T1790,Parameter!$I$27:$K$29,3,0)),H1790,N(N1790)),IF(N(Q1790)&gt;0,Q1790,MAX(1,H1790)))))</f>
        <v>1</v>
      </c>
      <c r="CA1790" s="65" t="n">
        <f aca="false">IF(BY1790="LOSE",1,0)</f>
        <v>1</v>
      </c>
      <c r="CB1790" s="65" t="n">
        <f aca="false">IF(AND(U1790="",OR(P1790="",P1790="LOSE"),T1790&lt;&gt;"",N(S1790)&lt;=0,ISNUMBER(MATCH(T1790,Parameter!$I$27:$I$29,0))),1,0)</f>
        <v>0</v>
      </c>
      <c r="CC1790" s="65" t="n">
        <f aca="false">IF(CR1790&gt;0,INDEX(Parameter!$H$5:$H$7,W1790)/INDEX(Parameter!$E$5:$E$7,W1790),IF(AND(CA1790=0,N(IFERROR(VLOOKUP(BY1790,'Gebinde-Kategorie'!$A$5:$N$45,14,0),0))&gt;0),VLOOKUP(BY1790,'Gebinde-Kategorie'!$A$5:$N$45,14,0)*10+Parameter!$M$23,Parameter!$M$24))</f>
        <v>235</v>
      </c>
      <c r="CD1790" s="60" t="str">
        <f aca="false">IF(AND(Parameter!$B$19="Ja",E1790&lt;&gt;"",ISNUMBER(MATCH(E1790,Parameter!$I$35:$I$52,0))),VLOOKUP(E1790,Parameter!$I$35:$J$52,2,0),IFERROR(VLOOKUP(D1790,Parameter!$A$35:$C$64,2,0),"Nein"))</f>
        <v>2+3</v>
      </c>
      <c r="CE1790" s="64" t="n">
        <f aca="false">IF(CA1790=0,0,IF(N(S1790)&gt;0,S1790,IFERROR(VLOOKUP(D1790,Parameter!$A$35:$C$64,3,0)+0,0)))</f>
        <v>0.15</v>
      </c>
      <c r="CF1790" s="60" t="str">
        <f aca="false">IF(AB1790&lt;&gt;"",AB1790,AA1790)</f>
        <v/>
      </c>
      <c r="CG1790" s="60" t="str">
        <f aca="false">IF(OR(CF1790=1,CF1790=2,CF1790=3),IF(Parameter!$E$27="Ja","LIFT",IF(CF1790=1,"L1","L23")),IF(CF1790="Aussen","Aussen","-"))</f>
        <v>-</v>
      </c>
      <c r="CH1790" s="71" t="n">
        <f aca="false">IF(N(AC1790)&gt;0,AC1790,0)</f>
        <v>0</v>
      </c>
      <c r="CI1790" s="65" t="n">
        <f aca="false">IF(ISNUMBER(AF1790),1,0)</f>
        <v>0</v>
      </c>
      <c r="CJ1790" s="62" t="n">
        <f aca="false">N(AF1790)</f>
        <v>0</v>
      </c>
      <c r="CK1790" s="62" t="n">
        <f aca="false">N(M1790)+N(N1790)</f>
        <v>0</v>
      </c>
      <c r="CL1790" s="62" t="n">
        <f aca="false">N(M1790)</f>
        <v>0</v>
      </c>
      <c r="CM1790" s="62" t="n">
        <f aca="false">N(N1790)</f>
        <v>0</v>
      </c>
      <c r="CN1790" s="62" t="n">
        <f aca="false">ROUNDUP(H1790/BZ1790,0)</f>
        <v>0</v>
      </c>
      <c r="CO1790" s="62" t="n">
        <f aca="false">ROUNDUP(CJ1790/BZ1790,0)</f>
        <v>0</v>
      </c>
      <c r="CP1790" s="65" t="n">
        <f aca="false">IF(CA1790=1,0,IFERROR(VLOOKUP(BY1790,'Gebinde-Kategorie'!$A$5:$N$45,5,0)+0,0))</f>
        <v>0</v>
      </c>
      <c r="CQ1790" s="65" t="n">
        <f aca="false">IFERROR(IF(OR(CF1790=1,CF1790=2,CF1790=3),N(INDEX(Parameter!$I$5:$I$7,CF1790)),0),0)</f>
        <v>0</v>
      </c>
      <c r="CR1790" s="64" t="n">
        <f aca="false">IF(AND(Parameter!$B$21="Ja",ISNUMBER(W1790),N(X1790)&gt;0),IFERROR(N(INDEX(Parameter!$L$5:$L$7,W1790))*INDEX(Parameter!$E$5:$E$7,W1790)*X1790/SUMIFS($X$7:$X$1843,$W$7:$W$1843,W1790),0),0)</f>
        <v>0</v>
      </c>
      <c r="CS1790" s="62" t="str">
        <f aca="false">IF(AND(OR(CG1790="L1",CG1790="L23",CG1790="LIFT"),H1790&gt;0),CC1790*IF(CR1790&gt;0,CR1790*MAX(1,H1790/X1790),IF(CA1790=1,CE1790,IF(R1790&gt;0,CN1790/R1790,0))/MAX(0.1,N(Parameter!$M$21))),"")</f>
        <v/>
      </c>
      <c r="CT1790" s="64" t="str">
        <f aca="false">IF(CS1790="","",J1790/H1790)</f>
        <v/>
      </c>
      <c r="CU1790" s="62" t="str">
        <f aca="false">IF(CS1790="","",H1790*G1790)</f>
        <v/>
      </c>
      <c r="CV1790" s="63" t="str">
        <f aca="false">IF(CS1790="","",(CL1790+ROUNDUP(CL1790+MAX(CM1790,2*(J1790/MAX(0.1,N(Einkauf!$C$6))-CL1790)),0))/2)</f>
        <v/>
      </c>
      <c r="CW1790" s="62" t="str">
        <f aca="false">IF(CS1790="","",MAX(0,H1790-CV1790)*G1790)</f>
        <v/>
      </c>
      <c r="CX1790" s="62" t="str">
        <f aca="false">IF(CS1790="","",CS1790*MAX(0,1-CV1790/H1790))</f>
        <v/>
      </c>
      <c r="CY1790" s="64" t="str">
        <f aca="false">IF(CS1790="","",PERCENTRANK($CS$7:$CS$1843,CS1790)+PERCENTRANK($CU$7:$CU$1843,CU1790)+1-PERCENTRANK($CT$7:$CT$1843,CT1790))</f>
        <v/>
      </c>
      <c r="CZ1790" s="72" t="str">
        <f aca="false">IF(CS1790="","",CHOOSE(MATCH(Einkauf!$C$5,Parameter!$G$23:$G$27,0),CY1790,CS1790,CU1790,-CT1790,CW1790)+ROW()/1000000000)</f>
        <v/>
      </c>
    </row>
    <row r="1791" customFormat="false" ht="15" hidden="false" customHeight="false" outlineLevel="0" collapsed="false">
      <c r="A1791" s="60" t="str">
        <f aca="false">IF('Neue Artikel'!$A$52="","",'Neue Artikel'!$A$52&amp;"")</f>
        <v/>
      </c>
      <c r="B1791" s="60" t="str">
        <f aca="false">'Neue Artikel'!$B$52&amp;""</f>
        <v/>
      </c>
      <c r="C1791" s="60"/>
      <c r="D1791" s="60" t="s">
        <v>3057</v>
      </c>
      <c r="E1791" s="60"/>
      <c r="F1791" s="60"/>
      <c r="G1791" s="61" t="n">
        <f aca="false">N('Neue Artikel'!$G$52)</f>
        <v>0</v>
      </c>
      <c r="H1791" s="62" t="n">
        <f aca="false">MAX(0,IF(AND(Parameter!$B$21="Ja",ISNUMBER(Y1791)),Y1791,IF(Parameter!$B$20="Jahresanfang 2025 + Export",BS1791+BR1791,BR1791)))</f>
        <v>0</v>
      </c>
      <c r="I1791" s="62" t="n">
        <f aca="false">H1791*G1791</f>
        <v>0</v>
      </c>
      <c r="J1791" s="62" t="n">
        <f aca="false">BU1791*Parameter!$B$18</f>
        <v>0</v>
      </c>
      <c r="K1791" s="63"/>
      <c r="L1791" s="64"/>
      <c r="M1791" s="62" t="n">
        <f aca="false">N('Neue Artikel'!$E$52)</f>
        <v>0</v>
      </c>
      <c r="N1791" s="62" t="n">
        <f aca="false">N('Neue Artikel'!$F$52)</f>
        <v>0</v>
      </c>
      <c r="O1791" s="65"/>
      <c r="P1791" s="60" t="str">
        <f aca="false">IF('Neue Artikel'!$H$52="","LOSE",UPPER(TRIM('Neue Artikel'!$H$52)))</f>
        <v>LOSE</v>
      </c>
      <c r="Q1791" s="62" t="n">
        <f aca="false">N('Neue Artikel'!$I$52)</f>
        <v>0</v>
      </c>
      <c r="R1791" s="65" t="n">
        <f aca="false">IF(CA1791=1,0,IFERROR(VLOOKUP(BY1791,'Gebinde-Kategorie'!$A$5:$N$45,13,0)+0,0))</f>
        <v>0</v>
      </c>
      <c r="S1791" s="66"/>
      <c r="T1791" s="67"/>
      <c r="U1791" s="67"/>
      <c r="V1791" s="67"/>
      <c r="W1791" s="60"/>
      <c r="X1791" s="62"/>
      <c r="Y1791" s="62"/>
      <c r="Z1791" s="60"/>
      <c r="AA1791" s="60" t="str">
        <f aca="false">IF(A1791="","",IF(AND(Parameter!$B$21="Ja",ISNUMBER(W1791)),W1791,IF(AND(Parameter!$E$27="Ja",ISNUMBER(Z1791),CD1791&lt;&gt;"Nein"),Z1791,IF(CD1791="2+3",IF(ISNUMBER(SEARCH("grosser Artikel",BV1791)),2,IFERROR(VLOOKUP(BY1791,Parameter!$F$35:$G$64,2,0),2)),IF(OR(CD1791="Nein",CD1791=""),"-",CD1791)))))</f>
        <v/>
      </c>
      <c r="AB1791" s="60" t="str">
        <f aca="false">IF('Neue Artikel'!$J$52="","",'Neue Artikel'!$J$52)</f>
        <v/>
      </c>
      <c r="AC1791" s="68"/>
      <c r="AD1791" s="62" t="n">
        <f aca="false">AW1791</f>
        <v>0</v>
      </c>
      <c r="AE1791" s="62" t="n">
        <f aca="false">MAX(AW1791,H1791)</f>
        <v>0</v>
      </c>
      <c r="AF1791" s="69"/>
      <c r="AG1791" s="62" t="n">
        <f aca="false">IF(LEFT(Cockpit!$C$5,1)="A",H1791,IF(Parameter!$E$30="MAX-Bestand",IF(CI1791=1,CJ1791,IF(LEFT(Cockpit!$C$5,1)="B",AM1791,MAX(AM1791,H1791))),ROUNDUP(AK1791,0)))</f>
        <v>0</v>
      </c>
      <c r="AH1791" s="62" t="n">
        <f aca="false">IF(CA1791=1,0,ROUNDUP(AG1791/BZ1791,0))</f>
        <v>0</v>
      </c>
      <c r="AI1791" s="64" t="n">
        <f aca="false">IF(CR1791&gt;0,CR1791*MAX(1,AG1791/X1791),IF(CA1791=1,IF(AG1791&lt;=0,0,CE1791*MAX(1,IF(H1791&gt;0,AG1791/H1791,1))),IF(R1791&gt;0,AH1791/R1791,0))/MAX(0.1,N(Parameter!$M$21)))</f>
        <v>0</v>
      </c>
      <c r="AJ1791" s="62" t="n">
        <f aca="false">AI1791*CC1791</f>
        <v>0</v>
      </c>
      <c r="AK1791" s="63" t="n">
        <f aca="false">IF(LEFT(Cockpit!$C$5,1)="A",H1791,IF(CI1791=1,(CL1791+CJ1791)/2,IF(LEFT(Cockpit!$C$5,1)="B",(CL1791+AM1791)/2,MAX((CL1791+AM1791)/2,H1791))))</f>
        <v>0</v>
      </c>
      <c r="AL1791" s="62" t="n">
        <f aca="false">AK1791*G1791</f>
        <v>0</v>
      </c>
      <c r="AM1791" s="62" t="n">
        <f aca="false">ROUNDUP(CL1791+MAX(CM1791,2*(J1791/IF(CH1791&gt;0,CH1791,MAX(0.1,N(Cockpit!$C$6)))-CL1791)),0)</f>
        <v>0</v>
      </c>
      <c r="AN1791" s="63" t="n">
        <f aca="false">IF(AJ1791&gt;0,J1791/AJ1791,-1)</f>
        <v>-1</v>
      </c>
      <c r="AO1791" s="63" t="str">
        <f aca="false">IF(AND(OR(CG1791="L1",CG1791="L23",CG1791="LIFT"),AJ1791&gt;0),SUMIFS($AJ$7:$AJ$1843,$CG$7:$CG$1843,CG1791,$AN$7:$AN$1843,"&gt;"&amp;AN1791)+SUMIFS($AJ$7:$AJ$1843,$CG$7:$CG$1843,CG1791,$AN$7:$AN$1843,AN1791,$BX$7:$BX$1843,"&lt;="&amp;BX1791),"")</f>
        <v/>
      </c>
      <c r="AP1791" s="70" t="n">
        <f aca="false">IF(AO1791="",0,MAX(0,MIN(1,(IF(CG1791="L1",Parameter!$H$5,IF(CG1791="L23",Parameter!$H$6+Parameter!$H$7,Parameter!$H$5+Parameter!$H$6+Parameter!$H$7))-(AO1791-AJ1791))/AJ1791)))</f>
        <v>0</v>
      </c>
      <c r="AQ1791" s="62" t="n">
        <f aca="false">IF(LEFT(Cockpit!$I$5,1)="A",H1791,IF(Parameter!$E$30="MAX-Bestand",IF(CI1791=1,CJ1791,IF(LEFT(Cockpit!$I$5,1)="B",AW1791,MAX(AW1791,H1791))),ROUNDUP(AU1791,0)))</f>
        <v>0</v>
      </c>
      <c r="AR1791" s="62" t="n">
        <f aca="false">IF(CA1791=1,0,ROUNDUP(AQ1791/BZ1791,0))</f>
        <v>0</v>
      </c>
      <c r="AS1791" s="64" t="n">
        <f aca="false">IF(CR1791&gt;0,CR1791*MAX(1,AQ1791/X1791),IF(CA1791=1,IF(AQ1791&lt;=0,0,CE1791*MAX(1,IF(H1791&gt;0,AQ1791/H1791,1))),IF(R1791&gt;0,AR1791/R1791,0))/MAX(0.1,N(Parameter!$M$21)))</f>
        <v>0</v>
      </c>
      <c r="AT1791" s="62" t="n">
        <f aca="false">AS1791*CC1791</f>
        <v>0</v>
      </c>
      <c r="AU1791" s="63" t="n">
        <f aca="false">IF(LEFT(Cockpit!$I$5,1)="A",H1791,IF(CI1791=1,(CL1791+CJ1791)/2,IF(LEFT(Cockpit!$I$5,1)="B",(CL1791+AW1791)/2,MAX((CL1791+AW1791)/2,H1791))))</f>
        <v>0</v>
      </c>
      <c r="AV1791" s="62" t="n">
        <f aca="false">AU1791*G1791</f>
        <v>0</v>
      </c>
      <c r="AW1791" s="62" t="n">
        <f aca="false">ROUNDUP(CL1791+MAX(CM1791,2*(J1791/IF(CH1791&gt;0,CH1791,MAX(0.1,N(Cockpit!$I$6)))-CL1791)),0)</f>
        <v>0</v>
      </c>
      <c r="AX1791" s="63" t="n">
        <f aca="false">IF(AT1791&gt;0,J1791/AT1791,-1)</f>
        <v>-1</v>
      </c>
      <c r="AY1791" s="63" t="str">
        <f aca="false">IF(AND(OR(CG1791="L1",CG1791="L23",CG1791="LIFT"),AT1791&gt;0),SUMIFS($AT$7:$AT$1843,$CG$7:$CG$1843,CG1791,$AX$7:$AX$1843,"&gt;"&amp;AX1791)+SUMIFS($AT$7:$AT$1843,$CG$7:$CG$1843,CG1791,$AX$7:$AX$1843,AX1791,$BX$7:$BX$1843,"&lt;="&amp;BX1791),"")</f>
        <v/>
      </c>
      <c r="AZ1791" s="70" t="n">
        <f aca="false">IF(AY1791="",0,MAX(0,MIN(1,(IF(CG1791="L1",Parameter!$H$5,IF(CG1791="L23",Parameter!$H$6+Parameter!$H$7,Parameter!$H$5+Parameter!$H$6+Parameter!$H$7))-(AY1791-AT1791))/AT1791)))</f>
        <v>0</v>
      </c>
      <c r="BA1791" s="62" t="n">
        <f aca="false">IF(LEFT(Cockpit!$O$5,1)="A",H1791,IF(Parameter!$E$30="MAX-Bestand",IF(CI1791=1,CJ1791,IF(LEFT(Cockpit!$O$5,1)="B",BG1791,MAX(BG1791,H1791))),ROUNDUP(BE1791,0)))</f>
        <v>0</v>
      </c>
      <c r="BB1791" s="62" t="n">
        <f aca="false">IF(CA1791=1,0,ROUNDUP(BA1791/BZ1791,0))</f>
        <v>0</v>
      </c>
      <c r="BC1791" s="64" t="n">
        <f aca="false">IF(CR1791&gt;0,CR1791*MAX(1,BA1791/X1791),IF(CA1791=1,IF(BA1791&lt;=0,0,CE1791*MAX(1,IF(H1791&gt;0,BA1791/H1791,1))),IF(R1791&gt;0,BB1791/R1791,0))/MAX(0.1,N(Parameter!$M$21)))</f>
        <v>0</v>
      </c>
      <c r="BD1791" s="62" t="n">
        <f aca="false">BC1791*CC1791</f>
        <v>0</v>
      </c>
      <c r="BE1791" s="63" t="n">
        <f aca="false">IF(LEFT(Cockpit!$O$5,1)="A",H1791,IF(CI1791=1,(CL1791+CJ1791)/2,IF(LEFT(Cockpit!$O$5,1)="B",(CL1791+BG1791)/2,MAX((CL1791+BG1791)/2,H1791))))</f>
        <v>0</v>
      </c>
      <c r="BF1791" s="62" t="n">
        <f aca="false">BE1791*G1791</f>
        <v>0</v>
      </c>
      <c r="BG1791" s="62" t="n">
        <f aca="false">ROUNDUP(CL1791+MAX(CM1791,2*(J1791/IF(CH1791&gt;0,CH1791,MAX(0.1,N(Cockpit!$O$6)))-CL1791)),0)</f>
        <v>0</v>
      </c>
      <c r="BH1791" s="63" t="n">
        <f aca="false">IF(BD1791&gt;0,J1791/BD1791,-1)</f>
        <v>-1</v>
      </c>
      <c r="BI1791" s="63" t="str">
        <f aca="false">IF(AND(OR(CG1791="L1",CG1791="L23",CG1791="LIFT"),BD1791&gt;0),SUMIFS($BD$7:$BD$1843,$CG$7:$CG$1843,CG1791,$BH$7:$BH$1843,"&gt;"&amp;BH1791)+SUMIFS($BD$7:$BD$1843,$CG$7:$CG$1843,CG1791,$BH$7:$BH$1843,BH1791,$BX$7:$BX$1843,"&lt;="&amp;BX1791),"")</f>
        <v/>
      </c>
      <c r="BJ1791" s="70" t="n">
        <f aca="false">IF(BI1791="",0,MAX(0,MIN(1,(IF(CG1791="L1",Parameter!$H$5,IF(CG1791="L23",Parameter!$H$6+Parameter!$H$7,Parameter!$H$5+Parameter!$H$6+Parameter!$H$7))-(BI1791-BD1791))/BD1791)))</f>
        <v>0</v>
      </c>
      <c r="BK1791" s="60" t="str">
        <f aca="false">IF(AJ1791&lt;=0,"",IF(CG1791="Aussen","Aussenlager",IF(CG1791="-","Nicht im Lift",IF(AP1791&gt;=1,"Lift",IF(AP1791&lt;=0,"Aussenlager","teilweise")))))</f>
        <v/>
      </c>
      <c r="BL1791" s="60" t="str">
        <f aca="false">IF(AT1791&lt;=0,"",IF(CG1791="Aussen","Aussenlager",IF(CG1791="-","Nicht im Lift",IF(AZ1791&gt;=1,"Lift",IF(AZ1791&lt;=0,"Aussenlager","teilweise")))))</f>
        <v/>
      </c>
      <c r="BM1791" s="60" t="str">
        <f aca="false">IF(BD1791&lt;=0,"",IF(CG1791="Aussen","Aussenlager",IF(CG1791="-","Nicht im Lift",IF(BJ1791&gt;=1,"Lift",IF(BJ1791&lt;=0,"Aussenlager","teilweise")))))</f>
        <v/>
      </c>
      <c r="BN1791" s="60" t="str">
        <f aca="false">IF(A1791="","",IF(BW1791=1,"Neu; ","")&amp;IF(AND(BW1791=0,BR1791&lt;0),"negativer Bestand (Export "&amp;BR1791&amp;"); ","")&amp;IF(J1791&lt;=0,"Kein Verbrauch; ","")&amp;IF(CR1791&gt;0,"Lift "&amp;W1791&amp;" lt. Liftbericht (Fach "&amp;X1791&amp;" Stk); ",IF(CB1791=1,"Gebinde geschätzt ("&amp;T1791&amp;"); ",IF(CA1791=1,"Lose – Tablare geschätzt; ","")))&amp;IF(H1791&gt;AW1791,"Überbestand "&amp;ROUND(H1791-AW1791,0)&amp;" Stk / CHF "&amp;ROUND((H1791-AW1791)*G1791,0)&amp;"; ","")&amp;IF(AND(CI1791=1,CJ1791&lt;CK1791),"MAX &lt; MB+LG; ","")&amp;IF(AND(CQ1791&gt;0,CP1791*10&gt;CQ1791),"zu hoch für Tablar; ","")&amp;IF(AND(BW1791=0,OR(CI1791=1,AB1791&lt;&gt;"",U1791&lt;&gt;"",V1791&lt;&gt;"",AC1791&lt;&gt;"")),"manuell übersteuert; ","")&amp;IF(AND(CA1791=0,R1791=0),"Gebinde unbekannt / Stellmass fehlt; ","")&amp;IF(AND(CA1791=0,N(V1791)&lt;=0,N(Q1791)&lt;=0),"Menge pro Gebinde fehlt (Ist = 1 Gebinde); ","")&amp;BV1791)</f>
        <v/>
      </c>
      <c r="BO1791" s="60"/>
      <c r="BP1791" s="60"/>
      <c r="BQ1791" s="67"/>
      <c r="BR1791" s="62" t="n">
        <f aca="false">N('Neue Artikel'!$D$52)</f>
        <v>0</v>
      </c>
      <c r="BS1791" s="62" t="n">
        <v>0</v>
      </c>
      <c r="BT1791" s="61" t="n">
        <v>0</v>
      </c>
      <c r="BU1791" s="62" t="n">
        <f aca="false">N('Neue Artikel'!$C$52)/Parameter!$B$18</f>
        <v>0</v>
      </c>
      <c r="BV1791" s="60"/>
      <c r="BW1791" s="65" t="n">
        <v>1</v>
      </c>
      <c r="BX1791" s="65" t="n">
        <v>1791</v>
      </c>
      <c r="BY1791" s="60" t="str">
        <f aca="false">IF(U1791&lt;&gt;"",UPPER(TRIM(U1791)),IF(CB1791=1,UPPER(VLOOKUP(T1791,Parameter!$I$27:$K$29,2,0)),IF(P1791="","LOSE",P1791)))</f>
        <v>LOSE</v>
      </c>
      <c r="BZ1791" s="62" t="n">
        <f aca="false">IF(BY1791="LOSE",1,IF(N(V1791)&gt;0,V1791,IF(CB1791=1,MAX(1,N(VLOOKUP(T1791,Parameter!$I$27:$K$29,3,0)),H1791,N(N1791)),IF(N(Q1791)&gt;0,Q1791,MAX(1,H1791)))))</f>
        <v>1</v>
      </c>
      <c r="CA1791" s="65" t="n">
        <f aca="false">IF(BY1791="LOSE",1,0)</f>
        <v>1</v>
      </c>
      <c r="CB1791" s="65" t="n">
        <f aca="false">IF(AND(U1791="",OR(P1791="",P1791="LOSE"),T1791&lt;&gt;"",N(S1791)&lt;=0,ISNUMBER(MATCH(T1791,Parameter!$I$27:$I$29,0))),1,0)</f>
        <v>0</v>
      </c>
      <c r="CC1791" s="65" t="n">
        <f aca="false">IF(CR1791&gt;0,INDEX(Parameter!$H$5:$H$7,W1791)/INDEX(Parameter!$E$5:$E$7,W1791),IF(AND(CA1791=0,N(IFERROR(VLOOKUP(BY1791,'Gebinde-Kategorie'!$A$5:$N$45,14,0),0))&gt;0),VLOOKUP(BY1791,'Gebinde-Kategorie'!$A$5:$N$45,14,0)*10+Parameter!$M$23,Parameter!$M$24))</f>
        <v>235</v>
      </c>
      <c r="CD1791" s="60" t="str">
        <f aca="false">IF(AND(Parameter!$B$19="Ja",E1791&lt;&gt;"",ISNUMBER(MATCH(E1791,Parameter!$I$35:$I$52,0))),VLOOKUP(E1791,Parameter!$I$35:$J$52,2,0),IFERROR(VLOOKUP(D1791,Parameter!$A$35:$C$64,2,0),"Nein"))</f>
        <v>2+3</v>
      </c>
      <c r="CE1791" s="64" t="n">
        <f aca="false">IF(CA1791=0,0,IF(N(S1791)&gt;0,S1791,IFERROR(VLOOKUP(D1791,Parameter!$A$35:$C$64,3,0)+0,0)))</f>
        <v>0.15</v>
      </c>
      <c r="CF1791" s="60" t="str">
        <f aca="false">IF(AB1791&lt;&gt;"",AB1791,AA1791)</f>
        <v/>
      </c>
      <c r="CG1791" s="60" t="str">
        <f aca="false">IF(OR(CF1791=1,CF1791=2,CF1791=3),IF(Parameter!$E$27="Ja","LIFT",IF(CF1791=1,"L1","L23")),IF(CF1791="Aussen","Aussen","-"))</f>
        <v>-</v>
      </c>
      <c r="CH1791" s="71" t="n">
        <f aca="false">IF(N(AC1791)&gt;0,AC1791,0)</f>
        <v>0</v>
      </c>
      <c r="CI1791" s="65" t="n">
        <f aca="false">IF(ISNUMBER(AF1791),1,0)</f>
        <v>0</v>
      </c>
      <c r="CJ1791" s="62" t="n">
        <f aca="false">N(AF1791)</f>
        <v>0</v>
      </c>
      <c r="CK1791" s="62" t="n">
        <f aca="false">N(M1791)+N(N1791)</f>
        <v>0</v>
      </c>
      <c r="CL1791" s="62" t="n">
        <f aca="false">N(M1791)</f>
        <v>0</v>
      </c>
      <c r="CM1791" s="62" t="n">
        <f aca="false">N(N1791)</f>
        <v>0</v>
      </c>
      <c r="CN1791" s="62" t="n">
        <f aca="false">ROUNDUP(H1791/BZ1791,0)</f>
        <v>0</v>
      </c>
      <c r="CO1791" s="62" t="n">
        <f aca="false">ROUNDUP(CJ1791/BZ1791,0)</f>
        <v>0</v>
      </c>
      <c r="CP1791" s="65" t="n">
        <f aca="false">IF(CA1791=1,0,IFERROR(VLOOKUP(BY1791,'Gebinde-Kategorie'!$A$5:$N$45,5,0)+0,0))</f>
        <v>0</v>
      </c>
      <c r="CQ1791" s="65" t="n">
        <f aca="false">IFERROR(IF(OR(CF1791=1,CF1791=2,CF1791=3),N(INDEX(Parameter!$I$5:$I$7,CF1791)),0),0)</f>
        <v>0</v>
      </c>
      <c r="CR1791" s="64" t="n">
        <f aca="false">IF(AND(Parameter!$B$21="Ja",ISNUMBER(W1791),N(X1791)&gt;0),IFERROR(N(INDEX(Parameter!$L$5:$L$7,W1791))*INDEX(Parameter!$E$5:$E$7,W1791)*X1791/SUMIFS($X$7:$X$1843,$W$7:$W$1843,W1791),0),0)</f>
        <v>0</v>
      </c>
      <c r="CS1791" s="62" t="str">
        <f aca="false">IF(AND(OR(CG1791="L1",CG1791="L23",CG1791="LIFT"),H1791&gt;0),CC1791*IF(CR1791&gt;0,CR1791*MAX(1,H1791/X1791),IF(CA1791=1,CE1791,IF(R1791&gt;0,CN1791/R1791,0))/MAX(0.1,N(Parameter!$M$21))),"")</f>
        <v/>
      </c>
      <c r="CT1791" s="64" t="str">
        <f aca="false">IF(CS1791="","",J1791/H1791)</f>
        <v/>
      </c>
      <c r="CU1791" s="62" t="str">
        <f aca="false">IF(CS1791="","",H1791*G1791)</f>
        <v/>
      </c>
      <c r="CV1791" s="63" t="str">
        <f aca="false">IF(CS1791="","",(CL1791+ROUNDUP(CL1791+MAX(CM1791,2*(J1791/MAX(0.1,N(Einkauf!$C$6))-CL1791)),0))/2)</f>
        <v/>
      </c>
      <c r="CW1791" s="62" t="str">
        <f aca="false">IF(CS1791="","",MAX(0,H1791-CV1791)*G1791)</f>
        <v/>
      </c>
      <c r="CX1791" s="62" t="str">
        <f aca="false">IF(CS1791="","",CS1791*MAX(0,1-CV1791/H1791))</f>
        <v/>
      </c>
      <c r="CY1791" s="64" t="str">
        <f aca="false">IF(CS1791="","",PERCENTRANK($CS$7:$CS$1843,CS1791)+PERCENTRANK($CU$7:$CU$1843,CU1791)+1-PERCENTRANK($CT$7:$CT$1843,CT1791))</f>
        <v/>
      </c>
      <c r="CZ1791" s="72" t="str">
        <f aca="false">IF(CS1791="","",CHOOSE(MATCH(Einkauf!$C$5,Parameter!$G$23:$G$27,0),CY1791,CS1791,CU1791,-CT1791,CW1791)+ROW()/1000000000)</f>
        <v/>
      </c>
    </row>
    <row r="1792" customFormat="false" ht="15" hidden="false" customHeight="false" outlineLevel="0" collapsed="false">
      <c r="A1792" s="60" t="str">
        <f aca="false">IF('Neue Artikel'!$A$53="","",'Neue Artikel'!$A$53&amp;"")</f>
        <v/>
      </c>
      <c r="B1792" s="60" t="str">
        <f aca="false">'Neue Artikel'!$B$53&amp;""</f>
        <v/>
      </c>
      <c r="C1792" s="60"/>
      <c r="D1792" s="60" t="s">
        <v>3057</v>
      </c>
      <c r="E1792" s="60"/>
      <c r="F1792" s="60"/>
      <c r="G1792" s="61" t="n">
        <f aca="false">N('Neue Artikel'!$G$53)</f>
        <v>0</v>
      </c>
      <c r="H1792" s="62" t="n">
        <f aca="false">MAX(0,IF(AND(Parameter!$B$21="Ja",ISNUMBER(Y1792)),Y1792,IF(Parameter!$B$20="Jahresanfang 2025 + Export",BS1792+BR1792,BR1792)))</f>
        <v>0</v>
      </c>
      <c r="I1792" s="62" t="n">
        <f aca="false">H1792*G1792</f>
        <v>0</v>
      </c>
      <c r="J1792" s="62" t="n">
        <f aca="false">BU1792*Parameter!$B$18</f>
        <v>0</v>
      </c>
      <c r="K1792" s="63"/>
      <c r="L1792" s="64"/>
      <c r="M1792" s="62" t="n">
        <f aca="false">N('Neue Artikel'!$E$53)</f>
        <v>0</v>
      </c>
      <c r="N1792" s="62" t="n">
        <f aca="false">N('Neue Artikel'!$F$53)</f>
        <v>0</v>
      </c>
      <c r="O1792" s="65"/>
      <c r="P1792" s="60" t="str">
        <f aca="false">IF('Neue Artikel'!$H$53="","LOSE",UPPER(TRIM('Neue Artikel'!$H$53)))</f>
        <v>LOSE</v>
      </c>
      <c r="Q1792" s="62" t="n">
        <f aca="false">N('Neue Artikel'!$I$53)</f>
        <v>0</v>
      </c>
      <c r="R1792" s="65" t="n">
        <f aca="false">IF(CA1792=1,0,IFERROR(VLOOKUP(BY1792,'Gebinde-Kategorie'!$A$5:$N$45,13,0)+0,0))</f>
        <v>0</v>
      </c>
      <c r="S1792" s="66"/>
      <c r="T1792" s="67"/>
      <c r="U1792" s="67"/>
      <c r="V1792" s="67"/>
      <c r="W1792" s="60"/>
      <c r="X1792" s="62"/>
      <c r="Y1792" s="62"/>
      <c r="Z1792" s="60"/>
      <c r="AA1792" s="60" t="str">
        <f aca="false">IF(A1792="","",IF(AND(Parameter!$B$21="Ja",ISNUMBER(W1792)),W1792,IF(AND(Parameter!$E$27="Ja",ISNUMBER(Z1792),CD1792&lt;&gt;"Nein"),Z1792,IF(CD1792="2+3",IF(ISNUMBER(SEARCH("grosser Artikel",BV1792)),2,IFERROR(VLOOKUP(BY1792,Parameter!$F$35:$G$64,2,0),2)),IF(OR(CD1792="Nein",CD1792=""),"-",CD1792)))))</f>
        <v/>
      </c>
      <c r="AB1792" s="60" t="str">
        <f aca="false">IF('Neue Artikel'!$J$53="","",'Neue Artikel'!$J$53)</f>
        <v/>
      </c>
      <c r="AC1792" s="68"/>
      <c r="AD1792" s="62" t="n">
        <f aca="false">AW1792</f>
        <v>0</v>
      </c>
      <c r="AE1792" s="62" t="n">
        <f aca="false">MAX(AW1792,H1792)</f>
        <v>0</v>
      </c>
      <c r="AF1792" s="69"/>
      <c r="AG1792" s="62" t="n">
        <f aca="false">IF(LEFT(Cockpit!$C$5,1)="A",H1792,IF(Parameter!$E$30="MAX-Bestand",IF(CI1792=1,CJ1792,IF(LEFT(Cockpit!$C$5,1)="B",AM1792,MAX(AM1792,H1792))),ROUNDUP(AK1792,0)))</f>
        <v>0</v>
      </c>
      <c r="AH1792" s="62" t="n">
        <f aca="false">IF(CA1792=1,0,ROUNDUP(AG1792/BZ1792,0))</f>
        <v>0</v>
      </c>
      <c r="AI1792" s="64" t="n">
        <f aca="false">IF(CR1792&gt;0,CR1792*MAX(1,AG1792/X1792),IF(CA1792=1,IF(AG1792&lt;=0,0,CE1792*MAX(1,IF(H1792&gt;0,AG1792/H1792,1))),IF(R1792&gt;0,AH1792/R1792,0))/MAX(0.1,N(Parameter!$M$21)))</f>
        <v>0</v>
      </c>
      <c r="AJ1792" s="62" t="n">
        <f aca="false">AI1792*CC1792</f>
        <v>0</v>
      </c>
      <c r="AK1792" s="63" t="n">
        <f aca="false">IF(LEFT(Cockpit!$C$5,1)="A",H1792,IF(CI1792=1,(CL1792+CJ1792)/2,IF(LEFT(Cockpit!$C$5,1)="B",(CL1792+AM1792)/2,MAX((CL1792+AM1792)/2,H1792))))</f>
        <v>0</v>
      </c>
      <c r="AL1792" s="62" t="n">
        <f aca="false">AK1792*G1792</f>
        <v>0</v>
      </c>
      <c r="AM1792" s="62" t="n">
        <f aca="false">ROUNDUP(CL1792+MAX(CM1792,2*(J1792/IF(CH1792&gt;0,CH1792,MAX(0.1,N(Cockpit!$C$6)))-CL1792)),0)</f>
        <v>0</v>
      </c>
      <c r="AN1792" s="63" t="n">
        <f aca="false">IF(AJ1792&gt;0,J1792/AJ1792,-1)</f>
        <v>-1</v>
      </c>
      <c r="AO1792" s="63" t="str">
        <f aca="false">IF(AND(OR(CG1792="L1",CG1792="L23",CG1792="LIFT"),AJ1792&gt;0),SUMIFS($AJ$7:$AJ$1843,$CG$7:$CG$1843,CG1792,$AN$7:$AN$1843,"&gt;"&amp;AN1792)+SUMIFS($AJ$7:$AJ$1843,$CG$7:$CG$1843,CG1792,$AN$7:$AN$1843,AN1792,$BX$7:$BX$1843,"&lt;="&amp;BX1792),"")</f>
        <v/>
      </c>
      <c r="AP1792" s="70" t="n">
        <f aca="false">IF(AO1792="",0,MAX(0,MIN(1,(IF(CG1792="L1",Parameter!$H$5,IF(CG1792="L23",Parameter!$H$6+Parameter!$H$7,Parameter!$H$5+Parameter!$H$6+Parameter!$H$7))-(AO1792-AJ1792))/AJ1792)))</f>
        <v>0</v>
      </c>
      <c r="AQ1792" s="62" t="n">
        <f aca="false">IF(LEFT(Cockpit!$I$5,1)="A",H1792,IF(Parameter!$E$30="MAX-Bestand",IF(CI1792=1,CJ1792,IF(LEFT(Cockpit!$I$5,1)="B",AW1792,MAX(AW1792,H1792))),ROUNDUP(AU1792,0)))</f>
        <v>0</v>
      </c>
      <c r="AR1792" s="62" t="n">
        <f aca="false">IF(CA1792=1,0,ROUNDUP(AQ1792/BZ1792,0))</f>
        <v>0</v>
      </c>
      <c r="AS1792" s="64" t="n">
        <f aca="false">IF(CR1792&gt;0,CR1792*MAX(1,AQ1792/X1792),IF(CA1792=1,IF(AQ1792&lt;=0,0,CE1792*MAX(1,IF(H1792&gt;0,AQ1792/H1792,1))),IF(R1792&gt;0,AR1792/R1792,0))/MAX(0.1,N(Parameter!$M$21)))</f>
        <v>0</v>
      </c>
      <c r="AT1792" s="62" t="n">
        <f aca="false">AS1792*CC1792</f>
        <v>0</v>
      </c>
      <c r="AU1792" s="63" t="n">
        <f aca="false">IF(LEFT(Cockpit!$I$5,1)="A",H1792,IF(CI1792=1,(CL1792+CJ1792)/2,IF(LEFT(Cockpit!$I$5,1)="B",(CL1792+AW1792)/2,MAX((CL1792+AW1792)/2,H1792))))</f>
        <v>0</v>
      </c>
      <c r="AV1792" s="62" t="n">
        <f aca="false">AU1792*G1792</f>
        <v>0</v>
      </c>
      <c r="AW1792" s="62" t="n">
        <f aca="false">ROUNDUP(CL1792+MAX(CM1792,2*(J1792/IF(CH1792&gt;0,CH1792,MAX(0.1,N(Cockpit!$I$6)))-CL1792)),0)</f>
        <v>0</v>
      </c>
      <c r="AX1792" s="63" t="n">
        <f aca="false">IF(AT1792&gt;0,J1792/AT1792,-1)</f>
        <v>-1</v>
      </c>
      <c r="AY1792" s="63" t="str">
        <f aca="false">IF(AND(OR(CG1792="L1",CG1792="L23",CG1792="LIFT"),AT1792&gt;0),SUMIFS($AT$7:$AT$1843,$CG$7:$CG$1843,CG1792,$AX$7:$AX$1843,"&gt;"&amp;AX1792)+SUMIFS($AT$7:$AT$1843,$CG$7:$CG$1843,CG1792,$AX$7:$AX$1843,AX1792,$BX$7:$BX$1843,"&lt;="&amp;BX1792),"")</f>
        <v/>
      </c>
      <c r="AZ1792" s="70" t="n">
        <f aca="false">IF(AY1792="",0,MAX(0,MIN(1,(IF(CG1792="L1",Parameter!$H$5,IF(CG1792="L23",Parameter!$H$6+Parameter!$H$7,Parameter!$H$5+Parameter!$H$6+Parameter!$H$7))-(AY1792-AT1792))/AT1792)))</f>
        <v>0</v>
      </c>
      <c r="BA1792" s="62" t="n">
        <f aca="false">IF(LEFT(Cockpit!$O$5,1)="A",H1792,IF(Parameter!$E$30="MAX-Bestand",IF(CI1792=1,CJ1792,IF(LEFT(Cockpit!$O$5,1)="B",BG1792,MAX(BG1792,H1792))),ROUNDUP(BE1792,0)))</f>
        <v>0</v>
      </c>
      <c r="BB1792" s="62" t="n">
        <f aca="false">IF(CA1792=1,0,ROUNDUP(BA1792/BZ1792,0))</f>
        <v>0</v>
      </c>
      <c r="BC1792" s="64" t="n">
        <f aca="false">IF(CR1792&gt;0,CR1792*MAX(1,BA1792/X1792),IF(CA1792=1,IF(BA1792&lt;=0,0,CE1792*MAX(1,IF(H1792&gt;0,BA1792/H1792,1))),IF(R1792&gt;0,BB1792/R1792,0))/MAX(0.1,N(Parameter!$M$21)))</f>
        <v>0</v>
      </c>
      <c r="BD1792" s="62" t="n">
        <f aca="false">BC1792*CC1792</f>
        <v>0</v>
      </c>
      <c r="BE1792" s="63" t="n">
        <f aca="false">IF(LEFT(Cockpit!$O$5,1)="A",H1792,IF(CI1792=1,(CL1792+CJ1792)/2,IF(LEFT(Cockpit!$O$5,1)="B",(CL1792+BG1792)/2,MAX((CL1792+BG1792)/2,H1792))))</f>
        <v>0</v>
      </c>
      <c r="BF1792" s="62" t="n">
        <f aca="false">BE1792*G1792</f>
        <v>0</v>
      </c>
      <c r="BG1792" s="62" t="n">
        <f aca="false">ROUNDUP(CL1792+MAX(CM1792,2*(J1792/IF(CH1792&gt;0,CH1792,MAX(0.1,N(Cockpit!$O$6)))-CL1792)),0)</f>
        <v>0</v>
      </c>
      <c r="BH1792" s="63" t="n">
        <f aca="false">IF(BD1792&gt;0,J1792/BD1792,-1)</f>
        <v>-1</v>
      </c>
      <c r="BI1792" s="63" t="str">
        <f aca="false">IF(AND(OR(CG1792="L1",CG1792="L23",CG1792="LIFT"),BD1792&gt;0),SUMIFS($BD$7:$BD$1843,$CG$7:$CG$1843,CG1792,$BH$7:$BH$1843,"&gt;"&amp;BH1792)+SUMIFS($BD$7:$BD$1843,$CG$7:$CG$1843,CG1792,$BH$7:$BH$1843,BH1792,$BX$7:$BX$1843,"&lt;="&amp;BX1792),"")</f>
        <v/>
      </c>
      <c r="BJ1792" s="70" t="n">
        <f aca="false">IF(BI1792="",0,MAX(0,MIN(1,(IF(CG1792="L1",Parameter!$H$5,IF(CG1792="L23",Parameter!$H$6+Parameter!$H$7,Parameter!$H$5+Parameter!$H$6+Parameter!$H$7))-(BI1792-BD1792))/BD1792)))</f>
        <v>0</v>
      </c>
      <c r="BK1792" s="60" t="str">
        <f aca="false">IF(AJ1792&lt;=0,"",IF(CG1792="Aussen","Aussenlager",IF(CG1792="-","Nicht im Lift",IF(AP1792&gt;=1,"Lift",IF(AP1792&lt;=0,"Aussenlager","teilweise")))))</f>
        <v/>
      </c>
      <c r="BL1792" s="60" t="str">
        <f aca="false">IF(AT1792&lt;=0,"",IF(CG1792="Aussen","Aussenlager",IF(CG1792="-","Nicht im Lift",IF(AZ1792&gt;=1,"Lift",IF(AZ1792&lt;=0,"Aussenlager","teilweise")))))</f>
        <v/>
      </c>
      <c r="BM1792" s="60" t="str">
        <f aca="false">IF(BD1792&lt;=0,"",IF(CG1792="Aussen","Aussenlager",IF(CG1792="-","Nicht im Lift",IF(BJ1792&gt;=1,"Lift",IF(BJ1792&lt;=0,"Aussenlager","teilweise")))))</f>
        <v/>
      </c>
      <c r="BN1792" s="60" t="str">
        <f aca="false">IF(A1792="","",IF(BW1792=1,"Neu; ","")&amp;IF(AND(BW1792=0,BR1792&lt;0),"negativer Bestand (Export "&amp;BR1792&amp;"); ","")&amp;IF(J1792&lt;=0,"Kein Verbrauch; ","")&amp;IF(CR1792&gt;0,"Lift "&amp;W1792&amp;" lt. Liftbericht (Fach "&amp;X1792&amp;" Stk); ",IF(CB1792=1,"Gebinde geschätzt ("&amp;T1792&amp;"); ",IF(CA1792=1,"Lose – Tablare geschätzt; ","")))&amp;IF(H1792&gt;AW1792,"Überbestand "&amp;ROUND(H1792-AW1792,0)&amp;" Stk / CHF "&amp;ROUND((H1792-AW1792)*G1792,0)&amp;"; ","")&amp;IF(AND(CI1792=1,CJ1792&lt;CK1792),"MAX &lt; MB+LG; ","")&amp;IF(AND(CQ1792&gt;0,CP1792*10&gt;CQ1792),"zu hoch für Tablar; ","")&amp;IF(AND(BW1792=0,OR(CI1792=1,AB1792&lt;&gt;"",U1792&lt;&gt;"",V1792&lt;&gt;"",AC1792&lt;&gt;"")),"manuell übersteuert; ","")&amp;IF(AND(CA1792=0,R1792=0),"Gebinde unbekannt / Stellmass fehlt; ","")&amp;IF(AND(CA1792=0,N(V1792)&lt;=0,N(Q1792)&lt;=0),"Menge pro Gebinde fehlt (Ist = 1 Gebinde); ","")&amp;BV1792)</f>
        <v/>
      </c>
      <c r="BO1792" s="60"/>
      <c r="BP1792" s="60"/>
      <c r="BQ1792" s="67"/>
      <c r="BR1792" s="62" t="n">
        <f aca="false">N('Neue Artikel'!$D$53)</f>
        <v>0</v>
      </c>
      <c r="BS1792" s="62" t="n">
        <v>0</v>
      </c>
      <c r="BT1792" s="61" t="n">
        <v>0</v>
      </c>
      <c r="BU1792" s="62" t="n">
        <f aca="false">N('Neue Artikel'!$C$53)/Parameter!$B$18</f>
        <v>0</v>
      </c>
      <c r="BV1792" s="60"/>
      <c r="BW1792" s="65" t="n">
        <v>1</v>
      </c>
      <c r="BX1792" s="65" t="n">
        <v>1792</v>
      </c>
      <c r="BY1792" s="60" t="str">
        <f aca="false">IF(U1792&lt;&gt;"",UPPER(TRIM(U1792)),IF(CB1792=1,UPPER(VLOOKUP(T1792,Parameter!$I$27:$K$29,2,0)),IF(P1792="","LOSE",P1792)))</f>
        <v>LOSE</v>
      </c>
      <c r="BZ1792" s="62" t="n">
        <f aca="false">IF(BY1792="LOSE",1,IF(N(V1792)&gt;0,V1792,IF(CB1792=1,MAX(1,N(VLOOKUP(T1792,Parameter!$I$27:$K$29,3,0)),H1792,N(N1792)),IF(N(Q1792)&gt;0,Q1792,MAX(1,H1792)))))</f>
        <v>1</v>
      </c>
      <c r="CA1792" s="65" t="n">
        <f aca="false">IF(BY1792="LOSE",1,0)</f>
        <v>1</v>
      </c>
      <c r="CB1792" s="65" t="n">
        <f aca="false">IF(AND(U1792="",OR(P1792="",P1792="LOSE"),T1792&lt;&gt;"",N(S1792)&lt;=0,ISNUMBER(MATCH(T1792,Parameter!$I$27:$I$29,0))),1,0)</f>
        <v>0</v>
      </c>
      <c r="CC1792" s="65" t="n">
        <f aca="false">IF(CR1792&gt;0,INDEX(Parameter!$H$5:$H$7,W1792)/INDEX(Parameter!$E$5:$E$7,W1792),IF(AND(CA1792=0,N(IFERROR(VLOOKUP(BY1792,'Gebinde-Kategorie'!$A$5:$N$45,14,0),0))&gt;0),VLOOKUP(BY1792,'Gebinde-Kategorie'!$A$5:$N$45,14,0)*10+Parameter!$M$23,Parameter!$M$24))</f>
        <v>235</v>
      </c>
      <c r="CD1792" s="60" t="str">
        <f aca="false">IF(AND(Parameter!$B$19="Ja",E1792&lt;&gt;"",ISNUMBER(MATCH(E1792,Parameter!$I$35:$I$52,0))),VLOOKUP(E1792,Parameter!$I$35:$J$52,2,0),IFERROR(VLOOKUP(D1792,Parameter!$A$35:$C$64,2,0),"Nein"))</f>
        <v>2+3</v>
      </c>
      <c r="CE1792" s="64" t="n">
        <f aca="false">IF(CA1792=0,0,IF(N(S1792)&gt;0,S1792,IFERROR(VLOOKUP(D1792,Parameter!$A$35:$C$64,3,0)+0,0)))</f>
        <v>0.15</v>
      </c>
      <c r="CF1792" s="60" t="str">
        <f aca="false">IF(AB1792&lt;&gt;"",AB1792,AA1792)</f>
        <v/>
      </c>
      <c r="CG1792" s="60" t="str">
        <f aca="false">IF(OR(CF1792=1,CF1792=2,CF1792=3),IF(Parameter!$E$27="Ja","LIFT",IF(CF1792=1,"L1","L23")),IF(CF1792="Aussen","Aussen","-"))</f>
        <v>-</v>
      </c>
      <c r="CH1792" s="71" t="n">
        <f aca="false">IF(N(AC1792)&gt;0,AC1792,0)</f>
        <v>0</v>
      </c>
      <c r="CI1792" s="65" t="n">
        <f aca="false">IF(ISNUMBER(AF1792),1,0)</f>
        <v>0</v>
      </c>
      <c r="CJ1792" s="62" t="n">
        <f aca="false">N(AF1792)</f>
        <v>0</v>
      </c>
      <c r="CK1792" s="62" t="n">
        <f aca="false">N(M1792)+N(N1792)</f>
        <v>0</v>
      </c>
      <c r="CL1792" s="62" t="n">
        <f aca="false">N(M1792)</f>
        <v>0</v>
      </c>
      <c r="CM1792" s="62" t="n">
        <f aca="false">N(N1792)</f>
        <v>0</v>
      </c>
      <c r="CN1792" s="62" t="n">
        <f aca="false">ROUNDUP(H1792/BZ1792,0)</f>
        <v>0</v>
      </c>
      <c r="CO1792" s="62" t="n">
        <f aca="false">ROUNDUP(CJ1792/BZ1792,0)</f>
        <v>0</v>
      </c>
      <c r="CP1792" s="65" t="n">
        <f aca="false">IF(CA1792=1,0,IFERROR(VLOOKUP(BY1792,'Gebinde-Kategorie'!$A$5:$N$45,5,0)+0,0))</f>
        <v>0</v>
      </c>
      <c r="CQ1792" s="65" t="n">
        <f aca="false">IFERROR(IF(OR(CF1792=1,CF1792=2,CF1792=3),N(INDEX(Parameter!$I$5:$I$7,CF1792)),0),0)</f>
        <v>0</v>
      </c>
      <c r="CR1792" s="64" t="n">
        <f aca="false">IF(AND(Parameter!$B$21="Ja",ISNUMBER(W1792),N(X1792)&gt;0),IFERROR(N(INDEX(Parameter!$L$5:$L$7,W1792))*INDEX(Parameter!$E$5:$E$7,W1792)*X1792/SUMIFS($X$7:$X$1843,$W$7:$W$1843,W1792),0),0)</f>
        <v>0</v>
      </c>
      <c r="CS1792" s="62" t="str">
        <f aca="false">IF(AND(OR(CG1792="L1",CG1792="L23",CG1792="LIFT"),H1792&gt;0),CC1792*IF(CR1792&gt;0,CR1792*MAX(1,H1792/X1792),IF(CA1792=1,CE1792,IF(R1792&gt;0,CN1792/R1792,0))/MAX(0.1,N(Parameter!$M$21))),"")</f>
        <v/>
      </c>
      <c r="CT1792" s="64" t="str">
        <f aca="false">IF(CS1792="","",J1792/H1792)</f>
        <v/>
      </c>
      <c r="CU1792" s="62" t="str">
        <f aca="false">IF(CS1792="","",H1792*G1792)</f>
        <v/>
      </c>
      <c r="CV1792" s="63" t="str">
        <f aca="false">IF(CS1792="","",(CL1792+ROUNDUP(CL1792+MAX(CM1792,2*(J1792/MAX(0.1,N(Einkauf!$C$6))-CL1792)),0))/2)</f>
        <v/>
      </c>
      <c r="CW1792" s="62" t="str">
        <f aca="false">IF(CS1792="","",MAX(0,H1792-CV1792)*G1792)</f>
        <v/>
      </c>
      <c r="CX1792" s="62" t="str">
        <f aca="false">IF(CS1792="","",CS1792*MAX(0,1-CV1792/H1792))</f>
        <v/>
      </c>
      <c r="CY1792" s="64" t="str">
        <f aca="false">IF(CS1792="","",PERCENTRANK($CS$7:$CS$1843,CS1792)+PERCENTRANK($CU$7:$CU$1843,CU1792)+1-PERCENTRANK($CT$7:$CT$1843,CT1792))</f>
        <v/>
      </c>
      <c r="CZ1792" s="72" t="str">
        <f aca="false">IF(CS1792="","",CHOOSE(MATCH(Einkauf!$C$5,Parameter!$G$23:$G$27,0),CY1792,CS1792,CU1792,-CT1792,CW1792)+ROW()/1000000000)</f>
        <v/>
      </c>
    </row>
    <row r="1793" customFormat="false" ht="15" hidden="false" customHeight="false" outlineLevel="0" collapsed="false">
      <c r="A1793" s="60" t="str">
        <f aca="false">IF('Neue Artikel'!$A$54="","",'Neue Artikel'!$A$54&amp;"")</f>
        <v/>
      </c>
      <c r="B1793" s="60" t="str">
        <f aca="false">'Neue Artikel'!$B$54&amp;""</f>
        <v/>
      </c>
      <c r="C1793" s="60"/>
      <c r="D1793" s="60" t="s">
        <v>3057</v>
      </c>
      <c r="E1793" s="60"/>
      <c r="F1793" s="60"/>
      <c r="G1793" s="61" t="n">
        <f aca="false">N('Neue Artikel'!$G$54)</f>
        <v>0</v>
      </c>
      <c r="H1793" s="62" t="n">
        <f aca="false">MAX(0,IF(AND(Parameter!$B$21="Ja",ISNUMBER(Y1793)),Y1793,IF(Parameter!$B$20="Jahresanfang 2025 + Export",BS1793+BR1793,BR1793)))</f>
        <v>0</v>
      </c>
      <c r="I1793" s="62" t="n">
        <f aca="false">H1793*G1793</f>
        <v>0</v>
      </c>
      <c r="J1793" s="62" t="n">
        <f aca="false">BU1793*Parameter!$B$18</f>
        <v>0</v>
      </c>
      <c r="K1793" s="63"/>
      <c r="L1793" s="64"/>
      <c r="M1793" s="62" t="n">
        <f aca="false">N('Neue Artikel'!$E$54)</f>
        <v>0</v>
      </c>
      <c r="N1793" s="62" t="n">
        <f aca="false">N('Neue Artikel'!$F$54)</f>
        <v>0</v>
      </c>
      <c r="O1793" s="65"/>
      <c r="P1793" s="60" t="str">
        <f aca="false">IF('Neue Artikel'!$H$54="","LOSE",UPPER(TRIM('Neue Artikel'!$H$54)))</f>
        <v>LOSE</v>
      </c>
      <c r="Q1793" s="62" t="n">
        <f aca="false">N('Neue Artikel'!$I$54)</f>
        <v>0</v>
      </c>
      <c r="R1793" s="65" t="n">
        <f aca="false">IF(CA1793=1,0,IFERROR(VLOOKUP(BY1793,'Gebinde-Kategorie'!$A$5:$N$45,13,0)+0,0))</f>
        <v>0</v>
      </c>
      <c r="S1793" s="66"/>
      <c r="T1793" s="67"/>
      <c r="U1793" s="67"/>
      <c r="V1793" s="67"/>
      <c r="W1793" s="60"/>
      <c r="X1793" s="62"/>
      <c r="Y1793" s="62"/>
      <c r="Z1793" s="60"/>
      <c r="AA1793" s="60" t="str">
        <f aca="false">IF(A1793="","",IF(AND(Parameter!$B$21="Ja",ISNUMBER(W1793)),W1793,IF(AND(Parameter!$E$27="Ja",ISNUMBER(Z1793),CD1793&lt;&gt;"Nein"),Z1793,IF(CD1793="2+3",IF(ISNUMBER(SEARCH("grosser Artikel",BV1793)),2,IFERROR(VLOOKUP(BY1793,Parameter!$F$35:$G$64,2,0),2)),IF(OR(CD1793="Nein",CD1793=""),"-",CD1793)))))</f>
        <v/>
      </c>
      <c r="AB1793" s="60" t="str">
        <f aca="false">IF('Neue Artikel'!$J$54="","",'Neue Artikel'!$J$54)</f>
        <v/>
      </c>
      <c r="AC1793" s="68"/>
      <c r="AD1793" s="62" t="n">
        <f aca="false">AW1793</f>
        <v>0</v>
      </c>
      <c r="AE1793" s="62" t="n">
        <f aca="false">MAX(AW1793,H1793)</f>
        <v>0</v>
      </c>
      <c r="AF1793" s="69"/>
      <c r="AG1793" s="62" t="n">
        <f aca="false">IF(LEFT(Cockpit!$C$5,1)="A",H1793,IF(Parameter!$E$30="MAX-Bestand",IF(CI1793=1,CJ1793,IF(LEFT(Cockpit!$C$5,1)="B",AM1793,MAX(AM1793,H1793))),ROUNDUP(AK1793,0)))</f>
        <v>0</v>
      </c>
      <c r="AH1793" s="62" t="n">
        <f aca="false">IF(CA1793=1,0,ROUNDUP(AG1793/BZ1793,0))</f>
        <v>0</v>
      </c>
      <c r="AI1793" s="64" t="n">
        <f aca="false">IF(CR1793&gt;0,CR1793*MAX(1,AG1793/X1793),IF(CA1793=1,IF(AG1793&lt;=0,0,CE1793*MAX(1,IF(H1793&gt;0,AG1793/H1793,1))),IF(R1793&gt;0,AH1793/R1793,0))/MAX(0.1,N(Parameter!$M$21)))</f>
        <v>0</v>
      </c>
      <c r="AJ1793" s="62" t="n">
        <f aca="false">AI1793*CC1793</f>
        <v>0</v>
      </c>
      <c r="AK1793" s="63" t="n">
        <f aca="false">IF(LEFT(Cockpit!$C$5,1)="A",H1793,IF(CI1793=1,(CL1793+CJ1793)/2,IF(LEFT(Cockpit!$C$5,1)="B",(CL1793+AM1793)/2,MAX((CL1793+AM1793)/2,H1793))))</f>
        <v>0</v>
      </c>
      <c r="AL1793" s="62" t="n">
        <f aca="false">AK1793*G1793</f>
        <v>0</v>
      </c>
      <c r="AM1793" s="62" t="n">
        <f aca="false">ROUNDUP(CL1793+MAX(CM1793,2*(J1793/IF(CH1793&gt;0,CH1793,MAX(0.1,N(Cockpit!$C$6)))-CL1793)),0)</f>
        <v>0</v>
      </c>
      <c r="AN1793" s="63" t="n">
        <f aca="false">IF(AJ1793&gt;0,J1793/AJ1793,-1)</f>
        <v>-1</v>
      </c>
      <c r="AO1793" s="63" t="str">
        <f aca="false">IF(AND(OR(CG1793="L1",CG1793="L23",CG1793="LIFT"),AJ1793&gt;0),SUMIFS($AJ$7:$AJ$1843,$CG$7:$CG$1843,CG1793,$AN$7:$AN$1843,"&gt;"&amp;AN1793)+SUMIFS($AJ$7:$AJ$1843,$CG$7:$CG$1843,CG1793,$AN$7:$AN$1843,AN1793,$BX$7:$BX$1843,"&lt;="&amp;BX1793),"")</f>
        <v/>
      </c>
      <c r="AP1793" s="70" t="n">
        <f aca="false">IF(AO1793="",0,MAX(0,MIN(1,(IF(CG1793="L1",Parameter!$H$5,IF(CG1793="L23",Parameter!$H$6+Parameter!$H$7,Parameter!$H$5+Parameter!$H$6+Parameter!$H$7))-(AO1793-AJ1793))/AJ1793)))</f>
        <v>0</v>
      </c>
      <c r="AQ1793" s="62" t="n">
        <f aca="false">IF(LEFT(Cockpit!$I$5,1)="A",H1793,IF(Parameter!$E$30="MAX-Bestand",IF(CI1793=1,CJ1793,IF(LEFT(Cockpit!$I$5,1)="B",AW1793,MAX(AW1793,H1793))),ROUNDUP(AU1793,0)))</f>
        <v>0</v>
      </c>
      <c r="AR1793" s="62" t="n">
        <f aca="false">IF(CA1793=1,0,ROUNDUP(AQ1793/BZ1793,0))</f>
        <v>0</v>
      </c>
      <c r="AS1793" s="64" t="n">
        <f aca="false">IF(CR1793&gt;0,CR1793*MAX(1,AQ1793/X1793),IF(CA1793=1,IF(AQ1793&lt;=0,0,CE1793*MAX(1,IF(H1793&gt;0,AQ1793/H1793,1))),IF(R1793&gt;0,AR1793/R1793,0))/MAX(0.1,N(Parameter!$M$21)))</f>
        <v>0</v>
      </c>
      <c r="AT1793" s="62" t="n">
        <f aca="false">AS1793*CC1793</f>
        <v>0</v>
      </c>
      <c r="AU1793" s="63" t="n">
        <f aca="false">IF(LEFT(Cockpit!$I$5,1)="A",H1793,IF(CI1793=1,(CL1793+CJ1793)/2,IF(LEFT(Cockpit!$I$5,1)="B",(CL1793+AW1793)/2,MAX((CL1793+AW1793)/2,H1793))))</f>
        <v>0</v>
      </c>
      <c r="AV1793" s="62" t="n">
        <f aca="false">AU1793*G1793</f>
        <v>0</v>
      </c>
      <c r="AW1793" s="62" t="n">
        <f aca="false">ROUNDUP(CL1793+MAX(CM1793,2*(J1793/IF(CH1793&gt;0,CH1793,MAX(0.1,N(Cockpit!$I$6)))-CL1793)),0)</f>
        <v>0</v>
      </c>
      <c r="AX1793" s="63" t="n">
        <f aca="false">IF(AT1793&gt;0,J1793/AT1793,-1)</f>
        <v>-1</v>
      </c>
      <c r="AY1793" s="63" t="str">
        <f aca="false">IF(AND(OR(CG1793="L1",CG1793="L23",CG1793="LIFT"),AT1793&gt;0),SUMIFS($AT$7:$AT$1843,$CG$7:$CG$1843,CG1793,$AX$7:$AX$1843,"&gt;"&amp;AX1793)+SUMIFS($AT$7:$AT$1843,$CG$7:$CG$1843,CG1793,$AX$7:$AX$1843,AX1793,$BX$7:$BX$1843,"&lt;="&amp;BX1793),"")</f>
        <v/>
      </c>
      <c r="AZ1793" s="70" t="n">
        <f aca="false">IF(AY1793="",0,MAX(0,MIN(1,(IF(CG1793="L1",Parameter!$H$5,IF(CG1793="L23",Parameter!$H$6+Parameter!$H$7,Parameter!$H$5+Parameter!$H$6+Parameter!$H$7))-(AY1793-AT1793))/AT1793)))</f>
        <v>0</v>
      </c>
      <c r="BA1793" s="62" t="n">
        <f aca="false">IF(LEFT(Cockpit!$O$5,1)="A",H1793,IF(Parameter!$E$30="MAX-Bestand",IF(CI1793=1,CJ1793,IF(LEFT(Cockpit!$O$5,1)="B",BG1793,MAX(BG1793,H1793))),ROUNDUP(BE1793,0)))</f>
        <v>0</v>
      </c>
      <c r="BB1793" s="62" t="n">
        <f aca="false">IF(CA1793=1,0,ROUNDUP(BA1793/BZ1793,0))</f>
        <v>0</v>
      </c>
      <c r="BC1793" s="64" t="n">
        <f aca="false">IF(CR1793&gt;0,CR1793*MAX(1,BA1793/X1793),IF(CA1793=1,IF(BA1793&lt;=0,0,CE1793*MAX(1,IF(H1793&gt;0,BA1793/H1793,1))),IF(R1793&gt;0,BB1793/R1793,0))/MAX(0.1,N(Parameter!$M$21)))</f>
        <v>0</v>
      </c>
      <c r="BD1793" s="62" t="n">
        <f aca="false">BC1793*CC1793</f>
        <v>0</v>
      </c>
      <c r="BE1793" s="63" t="n">
        <f aca="false">IF(LEFT(Cockpit!$O$5,1)="A",H1793,IF(CI1793=1,(CL1793+CJ1793)/2,IF(LEFT(Cockpit!$O$5,1)="B",(CL1793+BG1793)/2,MAX((CL1793+BG1793)/2,H1793))))</f>
        <v>0</v>
      </c>
      <c r="BF1793" s="62" t="n">
        <f aca="false">BE1793*G1793</f>
        <v>0</v>
      </c>
      <c r="BG1793" s="62" t="n">
        <f aca="false">ROUNDUP(CL1793+MAX(CM1793,2*(J1793/IF(CH1793&gt;0,CH1793,MAX(0.1,N(Cockpit!$O$6)))-CL1793)),0)</f>
        <v>0</v>
      </c>
      <c r="BH1793" s="63" t="n">
        <f aca="false">IF(BD1793&gt;0,J1793/BD1793,-1)</f>
        <v>-1</v>
      </c>
      <c r="BI1793" s="63" t="str">
        <f aca="false">IF(AND(OR(CG1793="L1",CG1793="L23",CG1793="LIFT"),BD1793&gt;0),SUMIFS($BD$7:$BD$1843,$CG$7:$CG$1843,CG1793,$BH$7:$BH$1843,"&gt;"&amp;BH1793)+SUMIFS($BD$7:$BD$1843,$CG$7:$CG$1843,CG1793,$BH$7:$BH$1843,BH1793,$BX$7:$BX$1843,"&lt;="&amp;BX1793),"")</f>
        <v/>
      </c>
      <c r="BJ1793" s="70" t="n">
        <f aca="false">IF(BI1793="",0,MAX(0,MIN(1,(IF(CG1793="L1",Parameter!$H$5,IF(CG1793="L23",Parameter!$H$6+Parameter!$H$7,Parameter!$H$5+Parameter!$H$6+Parameter!$H$7))-(BI1793-BD1793))/BD1793)))</f>
        <v>0</v>
      </c>
      <c r="BK1793" s="60" t="str">
        <f aca="false">IF(AJ1793&lt;=0,"",IF(CG1793="Aussen","Aussenlager",IF(CG1793="-","Nicht im Lift",IF(AP1793&gt;=1,"Lift",IF(AP1793&lt;=0,"Aussenlager","teilweise")))))</f>
        <v/>
      </c>
      <c r="BL1793" s="60" t="str">
        <f aca="false">IF(AT1793&lt;=0,"",IF(CG1793="Aussen","Aussenlager",IF(CG1793="-","Nicht im Lift",IF(AZ1793&gt;=1,"Lift",IF(AZ1793&lt;=0,"Aussenlager","teilweise")))))</f>
        <v/>
      </c>
      <c r="BM1793" s="60" t="str">
        <f aca="false">IF(BD1793&lt;=0,"",IF(CG1793="Aussen","Aussenlager",IF(CG1793="-","Nicht im Lift",IF(BJ1793&gt;=1,"Lift",IF(BJ1793&lt;=0,"Aussenlager","teilweise")))))</f>
        <v/>
      </c>
      <c r="BN1793" s="60" t="str">
        <f aca="false">IF(A1793="","",IF(BW1793=1,"Neu; ","")&amp;IF(AND(BW1793=0,BR1793&lt;0),"negativer Bestand (Export "&amp;BR1793&amp;"); ","")&amp;IF(J1793&lt;=0,"Kein Verbrauch; ","")&amp;IF(CR1793&gt;0,"Lift "&amp;W1793&amp;" lt. Liftbericht (Fach "&amp;X1793&amp;" Stk); ",IF(CB1793=1,"Gebinde geschätzt ("&amp;T1793&amp;"); ",IF(CA1793=1,"Lose – Tablare geschätzt; ","")))&amp;IF(H1793&gt;AW1793,"Überbestand "&amp;ROUND(H1793-AW1793,0)&amp;" Stk / CHF "&amp;ROUND((H1793-AW1793)*G1793,0)&amp;"; ","")&amp;IF(AND(CI1793=1,CJ1793&lt;CK1793),"MAX &lt; MB+LG; ","")&amp;IF(AND(CQ1793&gt;0,CP1793*10&gt;CQ1793),"zu hoch für Tablar; ","")&amp;IF(AND(BW1793=0,OR(CI1793=1,AB1793&lt;&gt;"",U1793&lt;&gt;"",V1793&lt;&gt;"",AC1793&lt;&gt;"")),"manuell übersteuert; ","")&amp;IF(AND(CA1793=0,R1793=0),"Gebinde unbekannt / Stellmass fehlt; ","")&amp;IF(AND(CA1793=0,N(V1793)&lt;=0,N(Q1793)&lt;=0),"Menge pro Gebinde fehlt (Ist = 1 Gebinde); ","")&amp;BV1793)</f>
        <v/>
      </c>
      <c r="BO1793" s="60"/>
      <c r="BP1793" s="60"/>
      <c r="BQ1793" s="67"/>
      <c r="BR1793" s="62" t="n">
        <f aca="false">N('Neue Artikel'!$D$54)</f>
        <v>0</v>
      </c>
      <c r="BS1793" s="62" t="n">
        <v>0</v>
      </c>
      <c r="BT1793" s="61" t="n">
        <v>0</v>
      </c>
      <c r="BU1793" s="62" t="n">
        <f aca="false">N('Neue Artikel'!$C$54)/Parameter!$B$18</f>
        <v>0</v>
      </c>
      <c r="BV1793" s="60"/>
      <c r="BW1793" s="65" t="n">
        <v>1</v>
      </c>
      <c r="BX1793" s="65" t="n">
        <v>1793</v>
      </c>
      <c r="BY1793" s="60" t="str">
        <f aca="false">IF(U1793&lt;&gt;"",UPPER(TRIM(U1793)),IF(CB1793=1,UPPER(VLOOKUP(T1793,Parameter!$I$27:$K$29,2,0)),IF(P1793="","LOSE",P1793)))</f>
        <v>LOSE</v>
      </c>
      <c r="BZ1793" s="62" t="n">
        <f aca="false">IF(BY1793="LOSE",1,IF(N(V1793)&gt;0,V1793,IF(CB1793=1,MAX(1,N(VLOOKUP(T1793,Parameter!$I$27:$K$29,3,0)),H1793,N(N1793)),IF(N(Q1793)&gt;0,Q1793,MAX(1,H1793)))))</f>
        <v>1</v>
      </c>
      <c r="CA1793" s="65" t="n">
        <f aca="false">IF(BY1793="LOSE",1,0)</f>
        <v>1</v>
      </c>
      <c r="CB1793" s="65" t="n">
        <f aca="false">IF(AND(U1793="",OR(P1793="",P1793="LOSE"),T1793&lt;&gt;"",N(S1793)&lt;=0,ISNUMBER(MATCH(T1793,Parameter!$I$27:$I$29,0))),1,0)</f>
        <v>0</v>
      </c>
      <c r="CC1793" s="65" t="n">
        <f aca="false">IF(CR1793&gt;0,INDEX(Parameter!$H$5:$H$7,W1793)/INDEX(Parameter!$E$5:$E$7,W1793),IF(AND(CA1793=0,N(IFERROR(VLOOKUP(BY1793,'Gebinde-Kategorie'!$A$5:$N$45,14,0),0))&gt;0),VLOOKUP(BY1793,'Gebinde-Kategorie'!$A$5:$N$45,14,0)*10+Parameter!$M$23,Parameter!$M$24))</f>
        <v>235</v>
      </c>
      <c r="CD1793" s="60" t="str">
        <f aca="false">IF(AND(Parameter!$B$19="Ja",E1793&lt;&gt;"",ISNUMBER(MATCH(E1793,Parameter!$I$35:$I$52,0))),VLOOKUP(E1793,Parameter!$I$35:$J$52,2,0),IFERROR(VLOOKUP(D1793,Parameter!$A$35:$C$64,2,0),"Nein"))</f>
        <v>2+3</v>
      </c>
      <c r="CE1793" s="64" t="n">
        <f aca="false">IF(CA1793=0,0,IF(N(S1793)&gt;0,S1793,IFERROR(VLOOKUP(D1793,Parameter!$A$35:$C$64,3,0)+0,0)))</f>
        <v>0.15</v>
      </c>
      <c r="CF1793" s="60" t="str">
        <f aca="false">IF(AB1793&lt;&gt;"",AB1793,AA1793)</f>
        <v/>
      </c>
      <c r="CG1793" s="60" t="str">
        <f aca="false">IF(OR(CF1793=1,CF1793=2,CF1793=3),IF(Parameter!$E$27="Ja","LIFT",IF(CF1793=1,"L1","L23")),IF(CF1793="Aussen","Aussen","-"))</f>
        <v>-</v>
      </c>
      <c r="CH1793" s="71" t="n">
        <f aca="false">IF(N(AC1793)&gt;0,AC1793,0)</f>
        <v>0</v>
      </c>
      <c r="CI1793" s="65" t="n">
        <f aca="false">IF(ISNUMBER(AF1793),1,0)</f>
        <v>0</v>
      </c>
      <c r="CJ1793" s="62" t="n">
        <f aca="false">N(AF1793)</f>
        <v>0</v>
      </c>
      <c r="CK1793" s="62" t="n">
        <f aca="false">N(M1793)+N(N1793)</f>
        <v>0</v>
      </c>
      <c r="CL1793" s="62" t="n">
        <f aca="false">N(M1793)</f>
        <v>0</v>
      </c>
      <c r="CM1793" s="62" t="n">
        <f aca="false">N(N1793)</f>
        <v>0</v>
      </c>
      <c r="CN1793" s="62" t="n">
        <f aca="false">ROUNDUP(H1793/BZ1793,0)</f>
        <v>0</v>
      </c>
      <c r="CO1793" s="62" t="n">
        <f aca="false">ROUNDUP(CJ1793/BZ1793,0)</f>
        <v>0</v>
      </c>
      <c r="CP1793" s="65" t="n">
        <f aca="false">IF(CA1793=1,0,IFERROR(VLOOKUP(BY1793,'Gebinde-Kategorie'!$A$5:$N$45,5,0)+0,0))</f>
        <v>0</v>
      </c>
      <c r="CQ1793" s="65" t="n">
        <f aca="false">IFERROR(IF(OR(CF1793=1,CF1793=2,CF1793=3),N(INDEX(Parameter!$I$5:$I$7,CF1793)),0),0)</f>
        <v>0</v>
      </c>
      <c r="CR1793" s="64" t="n">
        <f aca="false">IF(AND(Parameter!$B$21="Ja",ISNUMBER(W1793),N(X1793)&gt;0),IFERROR(N(INDEX(Parameter!$L$5:$L$7,W1793))*INDEX(Parameter!$E$5:$E$7,W1793)*X1793/SUMIFS($X$7:$X$1843,$W$7:$W$1843,W1793),0),0)</f>
        <v>0</v>
      </c>
      <c r="CS1793" s="62" t="str">
        <f aca="false">IF(AND(OR(CG1793="L1",CG1793="L23",CG1793="LIFT"),H1793&gt;0),CC1793*IF(CR1793&gt;0,CR1793*MAX(1,H1793/X1793),IF(CA1793=1,CE1793,IF(R1793&gt;0,CN1793/R1793,0))/MAX(0.1,N(Parameter!$M$21))),"")</f>
        <v/>
      </c>
      <c r="CT1793" s="64" t="str">
        <f aca="false">IF(CS1793="","",J1793/H1793)</f>
        <v/>
      </c>
      <c r="CU1793" s="62" t="str">
        <f aca="false">IF(CS1793="","",H1793*G1793)</f>
        <v/>
      </c>
      <c r="CV1793" s="63" t="str">
        <f aca="false">IF(CS1793="","",(CL1793+ROUNDUP(CL1793+MAX(CM1793,2*(J1793/MAX(0.1,N(Einkauf!$C$6))-CL1793)),0))/2)</f>
        <v/>
      </c>
      <c r="CW1793" s="62" t="str">
        <f aca="false">IF(CS1793="","",MAX(0,H1793-CV1793)*G1793)</f>
        <v/>
      </c>
      <c r="CX1793" s="62" t="str">
        <f aca="false">IF(CS1793="","",CS1793*MAX(0,1-CV1793/H1793))</f>
        <v/>
      </c>
      <c r="CY1793" s="64" t="str">
        <f aca="false">IF(CS1793="","",PERCENTRANK($CS$7:$CS$1843,CS1793)+PERCENTRANK($CU$7:$CU$1843,CU1793)+1-PERCENTRANK($CT$7:$CT$1843,CT1793))</f>
        <v/>
      </c>
      <c r="CZ1793" s="72" t="str">
        <f aca="false">IF(CS1793="","",CHOOSE(MATCH(Einkauf!$C$5,Parameter!$G$23:$G$27,0),CY1793,CS1793,CU1793,-CT1793,CW1793)+ROW()/1000000000)</f>
        <v/>
      </c>
    </row>
    <row r="1794" customFormat="false" ht="15" hidden="false" customHeight="false" outlineLevel="0" collapsed="false">
      <c r="A1794" s="60" t="str">
        <f aca="false">IF('Neue Artikel'!$A$55="","",'Neue Artikel'!$A$55&amp;"")</f>
        <v/>
      </c>
      <c r="B1794" s="60" t="str">
        <f aca="false">'Neue Artikel'!$B$55&amp;""</f>
        <v/>
      </c>
      <c r="C1794" s="60"/>
      <c r="D1794" s="60" t="s">
        <v>3057</v>
      </c>
      <c r="E1794" s="60"/>
      <c r="F1794" s="60"/>
      <c r="G1794" s="61" t="n">
        <f aca="false">N('Neue Artikel'!$G$55)</f>
        <v>0</v>
      </c>
      <c r="H1794" s="62" t="n">
        <f aca="false">MAX(0,IF(AND(Parameter!$B$21="Ja",ISNUMBER(Y1794)),Y1794,IF(Parameter!$B$20="Jahresanfang 2025 + Export",BS1794+BR1794,BR1794)))</f>
        <v>0</v>
      </c>
      <c r="I1794" s="62" t="n">
        <f aca="false">H1794*G1794</f>
        <v>0</v>
      </c>
      <c r="J1794" s="62" t="n">
        <f aca="false">BU1794*Parameter!$B$18</f>
        <v>0</v>
      </c>
      <c r="K1794" s="63"/>
      <c r="L1794" s="64"/>
      <c r="M1794" s="62" t="n">
        <f aca="false">N('Neue Artikel'!$E$55)</f>
        <v>0</v>
      </c>
      <c r="N1794" s="62" t="n">
        <f aca="false">N('Neue Artikel'!$F$55)</f>
        <v>0</v>
      </c>
      <c r="O1794" s="65"/>
      <c r="P1794" s="60" t="str">
        <f aca="false">IF('Neue Artikel'!$H$55="","LOSE",UPPER(TRIM('Neue Artikel'!$H$55)))</f>
        <v>LOSE</v>
      </c>
      <c r="Q1794" s="62" t="n">
        <f aca="false">N('Neue Artikel'!$I$55)</f>
        <v>0</v>
      </c>
      <c r="R1794" s="65" t="n">
        <f aca="false">IF(CA1794=1,0,IFERROR(VLOOKUP(BY1794,'Gebinde-Kategorie'!$A$5:$N$45,13,0)+0,0))</f>
        <v>0</v>
      </c>
      <c r="S1794" s="66"/>
      <c r="T1794" s="67"/>
      <c r="U1794" s="67"/>
      <c r="V1794" s="67"/>
      <c r="W1794" s="60"/>
      <c r="X1794" s="62"/>
      <c r="Y1794" s="62"/>
      <c r="Z1794" s="60"/>
      <c r="AA1794" s="60" t="str">
        <f aca="false">IF(A1794="","",IF(AND(Parameter!$B$21="Ja",ISNUMBER(W1794)),W1794,IF(AND(Parameter!$E$27="Ja",ISNUMBER(Z1794),CD1794&lt;&gt;"Nein"),Z1794,IF(CD1794="2+3",IF(ISNUMBER(SEARCH("grosser Artikel",BV1794)),2,IFERROR(VLOOKUP(BY1794,Parameter!$F$35:$G$64,2,0),2)),IF(OR(CD1794="Nein",CD1794=""),"-",CD1794)))))</f>
        <v/>
      </c>
      <c r="AB1794" s="60" t="str">
        <f aca="false">IF('Neue Artikel'!$J$55="","",'Neue Artikel'!$J$55)</f>
        <v/>
      </c>
      <c r="AC1794" s="68"/>
      <c r="AD1794" s="62" t="n">
        <f aca="false">AW1794</f>
        <v>0</v>
      </c>
      <c r="AE1794" s="62" t="n">
        <f aca="false">MAX(AW1794,H1794)</f>
        <v>0</v>
      </c>
      <c r="AF1794" s="69"/>
      <c r="AG1794" s="62" t="n">
        <f aca="false">IF(LEFT(Cockpit!$C$5,1)="A",H1794,IF(Parameter!$E$30="MAX-Bestand",IF(CI1794=1,CJ1794,IF(LEFT(Cockpit!$C$5,1)="B",AM1794,MAX(AM1794,H1794))),ROUNDUP(AK1794,0)))</f>
        <v>0</v>
      </c>
      <c r="AH1794" s="62" t="n">
        <f aca="false">IF(CA1794=1,0,ROUNDUP(AG1794/BZ1794,0))</f>
        <v>0</v>
      </c>
      <c r="AI1794" s="64" t="n">
        <f aca="false">IF(CR1794&gt;0,CR1794*MAX(1,AG1794/X1794),IF(CA1794=1,IF(AG1794&lt;=0,0,CE1794*MAX(1,IF(H1794&gt;0,AG1794/H1794,1))),IF(R1794&gt;0,AH1794/R1794,0))/MAX(0.1,N(Parameter!$M$21)))</f>
        <v>0</v>
      </c>
      <c r="AJ1794" s="62" t="n">
        <f aca="false">AI1794*CC1794</f>
        <v>0</v>
      </c>
      <c r="AK1794" s="63" t="n">
        <f aca="false">IF(LEFT(Cockpit!$C$5,1)="A",H1794,IF(CI1794=1,(CL1794+CJ1794)/2,IF(LEFT(Cockpit!$C$5,1)="B",(CL1794+AM1794)/2,MAX((CL1794+AM1794)/2,H1794))))</f>
        <v>0</v>
      </c>
      <c r="AL1794" s="62" t="n">
        <f aca="false">AK1794*G1794</f>
        <v>0</v>
      </c>
      <c r="AM1794" s="62" t="n">
        <f aca="false">ROUNDUP(CL1794+MAX(CM1794,2*(J1794/IF(CH1794&gt;0,CH1794,MAX(0.1,N(Cockpit!$C$6)))-CL1794)),0)</f>
        <v>0</v>
      </c>
      <c r="AN1794" s="63" t="n">
        <f aca="false">IF(AJ1794&gt;0,J1794/AJ1794,-1)</f>
        <v>-1</v>
      </c>
      <c r="AO1794" s="63" t="str">
        <f aca="false">IF(AND(OR(CG1794="L1",CG1794="L23",CG1794="LIFT"),AJ1794&gt;0),SUMIFS($AJ$7:$AJ$1843,$CG$7:$CG$1843,CG1794,$AN$7:$AN$1843,"&gt;"&amp;AN1794)+SUMIFS($AJ$7:$AJ$1843,$CG$7:$CG$1843,CG1794,$AN$7:$AN$1843,AN1794,$BX$7:$BX$1843,"&lt;="&amp;BX1794),"")</f>
        <v/>
      </c>
      <c r="AP1794" s="70" t="n">
        <f aca="false">IF(AO1794="",0,MAX(0,MIN(1,(IF(CG1794="L1",Parameter!$H$5,IF(CG1794="L23",Parameter!$H$6+Parameter!$H$7,Parameter!$H$5+Parameter!$H$6+Parameter!$H$7))-(AO1794-AJ1794))/AJ1794)))</f>
        <v>0</v>
      </c>
      <c r="AQ1794" s="62" t="n">
        <f aca="false">IF(LEFT(Cockpit!$I$5,1)="A",H1794,IF(Parameter!$E$30="MAX-Bestand",IF(CI1794=1,CJ1794,IF(LEFT(Cockpit!$I$5,1)="B",AW1794,MAX(AW1794,H1794))),ROUNDUP(AU1794,0)))</f>
        <v>0</v>
      </c>
      <c r="AR1794" s="62" t="n">
        <f aca="false">IF(CA1794=1,0,ROUNDUP(AQ1794/BZ1794,0))</f>
        <v>0</v>
      </c>
      <c r="AS1794" s="64" t="n">
        <f aca="false">IF(CR1794&gt;0,CR1794*MAX(1,AQ1794/X1794),IF(CA1794=1,IF(AQ1794&lt;=0,0,CE1794*MAX(1,IF(H1794&gt;0,AQ1794/H1794,1))),IF(R1794&gt;0,AR1794/R1794,0))/MAX(0.1,N(Parameter!$M$21)))</f>
        <v>0</v>
      </c>
      <c r="AT1794" s="62" t="n">
        <f aca="false">AS1794*CC1794</f>
        <v>0</v>
      </c>
      <c r="AU1794" s="63" t="n">
        <f aca="false">IF(LEFT(Cockpit!$I$5,1)="A",H1794,IF(CI1794=1,(CL1794+CJ1794)/2,IF(LEFT(Cockpit!$I$5,1)="B",(CL1794+AW1794)/2,MAX((CL1794+AW1794)/2,H1794))))</f>
        <v>0</v>
      </c>
      <c r="AV1794" s="62" t="n">
        <f aca="false">AU1794*G1794</f>
        <v>0</v>
      </c>
      <c r="AW1794" s="62" t="n">
        <f aca="false">ROUNDUP(CL1794+MAX(CM1794,2*(J1794/IF(CH1794&gt;0,CH1794,MAX(0.1,N(Cockpit!$I$6)))-CL1794)),0)</f>
        <v>0</v>
      </c>
      <c r="AX1794" s="63" t="n">
        <f aca="false">IF(AT1794&gt;0,J1794/AT1794,-1)</f>
        <v>-1</v>
      </c>
      <c r="AY1794" s="63" t="str">
        <f aca="false">IF(AND(OR(CG1794="L1",CG1794="L23",CG1794="LIFT"),AT1794&gt;0),SUMIFS($AT$7:$AT$1843,$CG$7:$CG$1843,CG1794,$AX$7:$AX$1843,"&gt;"&amp;AX1794)+SUMIFS($AT$7:$AT$1843,$CG$7:$CG$1843,CG1794,$AX$7:$AX$1843,AX1794,$BX$7:$BX$1843,"&lt;="&amp;BX1794),"")</f>
        <v/>
      </c>
      <c r="AZ1794" s="70" t="n">
        <f aca="false">IF(AY1794="",0,MAX(0,MIN(1,(IF(CG1794="L1",Parameter!$H$5,IF(CG1794="L23",Parameter!$H$6+Parameter!$H$7,Parameter!$H$5+Parameter!$H$6+Parameter!$H$7))-(AY1794-AT1794))/AT1794)))</f>
        <v>0</v>
      </c>
      <c r="BA1794" s="62" t="n">
        <f aca="false">IF(LEFT(Cockpit!$O$5,1)="A",H1794,IF(Parameter!$E$30="MAX-Bestand",IF(CI1794=1,CJ1794,IF(LEFT(Cockpit!$O$5,1)="B",BG1794,MAX(BG1794,H1794))),ROUNDUP(BE1794,0)))</f>
        <v>0</v>
      </c>
      <c r="BB1794" s="62" t="n">
        <f aca="false">IF(CA1794=1,0,ROUNDUP(BA1794/BZ1794,0))</f>
        <v>0</v>
      </c>
      <c r="BC1794" s="64" t="n">
        <f aca="false">IF(CR1794&gt;0,CR1794*MAX(1,BA1794/X1794),IF(CA1794=1,IF(BA1794&lt;=0,0,CE1794*MAX(1,IF(H1794&gt;0,BA1794/H1794,1))),IF(R1794&gt;0,BB1794/R1794,0))/MAX(0.1,N(Parameter!$M$21)))</f>
        <v>0</v>
      </c>
      <c r="BD1794" s="62" t="n">
        <f aca="false">BC1794*CC1794</f>
        <v>0</v>
      </c>
      <c r="BE1794" s="63" t="n">
        <f aca="false">IF(LEFT(Cockpit!$O$5,1)="A",H1794,IF(CI1794=1,(CL1794+CJ1794)/2,IF(LEFT(Cockpit!$O$5,1)="B",(CL1794+BG1794)/2,MAX((CL1794+BG1794)/2,H1794))))</f>
        <v>0</v>
      </c>
      <c r="BF1794" s="62" t="n">
        <f aca="false">BE1794*G1794</f>
        <v>0</v>
      </c>
      <c r="BG1794" s="62" t="n">
        <f aca="false">ROUNDUP(CL1794+MAX(CM1794,2*(J1794/IF(CH1794&gt;0,CH1794,MAX(0.1,N(Cockpit!$O$6)))-CL1794)),0)</f>
        <v>0</v>
      </c>
      <c r="BH1794" s="63" t="n">
        <f aca="false">IF(BD1794&gt;0,J1794/BD1794,-1)</f>
        <v>-1</v>
      </c>
      <c r="BI1794" s="63" t="str">
        <f aca="false">IF(AND(OR(CG1794="L1",CG1794="L23",CG1794="LIFT"),BD1794&gt;0),SUMIFS($BD$7:$BD$1843,$CG$7:$CG$1843,CG1794,$BH$7:$BH$1843,"&gt;"&amp;BH1794)+SUMIFS($BD$7:$BD$1843,$CG$7:$CG$1843,CG1794,$BH$7:$BH$1843,BH1794,$BX$7:$BX$1843,"&lt;="&amp;BX1794),"")</f>
        <v/>
      </c>
      <c r="BJ1794" s="70" t="n">
        <f aca="false">IF(BI1794="",0,MAX(0,MIN(1,(IF(CG1794="L1",Parameter!$H$5,IF(CG1794="L23",Parameter!$H$6+Parameter!$H$7,Parameter!$H$5+Parameter!$H$6+Parameter!$H$7))-(BI1794-BD1794))/BD1794)))</f>
        <v>0</v>
      </c>
      <c r="BK1794" s="60" t="str">
        <f aca="false">IF(AJ1794&lt;=0,"",IF(CG1794="Aussen","Aussenlager",IF(CG1794="-","Nicht im Lift",IF(AP1794&gt;=1,"Lift",IF(AP1794&lt;=0,"Aussenlager","teilweise")))))</f>
        <v/>
      </c>
      <c r="BL1794" s="60" t="str">
        <f aca="false">IF(AT1794&lt;=0,"",IF(CG1794="Aussen","Aussenlager",IF(CG1794="-","Nicht im Lift",IF(AZ1794&gt;=1,"Lift",IF(AZ1794&lt;=0,"Aussenlager","teilweise")))))</f>
        <v/>
      </c>
      <c r="BM1794" s="60" t="str">
        <f aca="false">IF(BD1794&lt;=0,"",IF(CG1794="Aussen","Aussenlager",IF(CG1794="-","Nicht im Lift",IF(BJ1794&gt;=1,"Lift",IF(BJ1794&lt;=0,"Aussenlager","teilweise")))))</f>
        <v/>
      </c>
      <c r="BN1794" s="60" t="str">
        <f aca="false">IF(A1794="","",IF(BW1794=1,"Neu; ","")&amp;IF(AND(BW1794=0,BR1794&lt;0),"negativer Bestand (Export "&amp;BR1794&amp;"); ","")&amp;IF(J1794&lt;=0,"Kein Verbrauch; ","")&amp;IF(CR1794&gt;0,"Lift "&amp;W1794&amp;" lt. Liftbericht (Fach "&amp;X1794&amp;" Stk); ",IF(CB1794=1,"Gebinde geschätzt ("&amp;T1794&amp;"); ",IF(CA1794=1,"Lose – Tablare geschätzt; ","")))&amp;IF(H1794&gt;AW1794,"Überbestand "&amp;ROUND(H1794-AW1794,0)&amp;" Stk / CHF "&amp;ROUND((H1794-AW1794)*G1794,0)&amp;"; ","")&amp;IF(AND(CI1794=1,CJ1794&lt;CK1794),"MAX &lt; MB+LG; ","")&amp;IF(AND(CQ1794&gt;0,CP1794*10&gt;CQ1794),"zu hoch für Tablar; ","")&amp;IF(AND(BW1794=0,OR(CI1794=1,AB1794&lt;&gt;"",U1794&lt;&gt;"",V1794&lt;&gt;"",AC1794&lt;&gt;"")),"manuell übersteuert; ","")&amp;IF(AND(CA1794=0,R1794=0),"Gebinde unbekannt / Stellmass fehlt; ","")&amp;IF(AND(CA1794=0,N(V1794)&lt;=0,N(Q1794)&lt;=0),"Menge pro Gebinde fehlt (Ist = 1 Gebinde); ","")&amp;BV1794)</f>
        <v/>
      </c>
      <c r="BO1794" s="60"/>
      <c r="BP1794" s="60"/>
      <c r="BQ1794" s="67"/>
      <c r="BR1794" s="62" t="n">
        <f aca="false">N('Neue Artikel'!$D$55)</f>
        <v>0</v>
      </c>
      <c r="BS1794" s="62" t="n">
        <v>0</v>
      </c>
      <c r="BT1794" s="61" t="n">
        <v>0</v>
      </c>
      <c r="BU1794" s="62" t="n">
        <f aca="false">N('Neue Artikel'!$C$55)/Parameter!$B$18</f>
        <v>0</v>
      </c>
      <c r="BV1794" s="60"/>
      <c r="BW1794" s="65" t="n">
        <v>1</v>
      </c>
      <c r="BX1794" s="65" t="n">
        <v>1794</v>
      </c>
      <c r="BY1794" s="60" t="str">
        <f aca="false">IF(U1794&lt;&gt;"",UPPER(TRIM(U1794)),IF(CB1794=1,UPPER(VLOOKUP(T1794,Parameter!$I$27:$K$29,2,0)),IF(P1794="","LOSE",P1794)))</f>
        <v>LOSE</v>
      </c>
      <c r="BZ1794" s="62" t="n">
        <f aca="false">IF(BY1794="LOSE",1,IF(N(V1794)&gt;0,V1794,IF(CB1794=1,MAX(1,N(VLOOKUP(T1794,Parameter!$I$27:$K$29,3,0)),H1794,N(N1794)),IF(N(Q1794)&gt;0,Q1794,MAX(1,H1794)))))</f>
        <v>1</v>
      </c>
      <c r="CA1794" s="65" t="n">
        <f aca="false">IF(BY1794="LOSE",1,0)</f>
        <v>1</v>
      </c>
      <c r="CB1794" s="65" t="n">
        <f aca="false">IF(AND(U1794="",OR(P1794="",P1794="LOSE"),T1794&lt;&gt;"",N(S1794)&lt;=0,ISNUMBER(MATCH(T1794,Parameter!$I$27:$I$29,0))),1,0)</f>
        <v>0</v>
      </c>
      <c r="CC1794" s="65" t="n">
        <f aca="false">IF(CR1794&gt;0,INDEX(Parameter!$H$5:$H$7,W1794)/INDEX(Parameter!$E$5:$E$7,W1794),IF(AND(CA1794=0,N(IFERROR(VLOOKUP(BY1794,'Gebinde-Kategorie'!$A$5:$N$45,14,0),0))&gt;0),VLOOKUP(BY1794,'Gebinde-Kategorie'!$A$5:$N$45,14,0)*10+Parameter!$M$23,Parameter!$M$24))</f>
        <v>235</v>
      </c>
      <c r="CD1794" s="60" t="str">
        <f aca="false">IF(AND(Parameter!$B$19="Ja",E1794&lt;&gt;"",ISNUMBER(MATCH(E1794,Parameter!$I$35:$I$52,0))),VLOOKUP(E1794,Parameter!$I$35:$J$52,2,0),IFERROR(VLOOKUP(D1794,Parameter!$A$35:$C$64,2,0),"Nein"))</f>
        <v>2+3</v>
      </c>
      <c r="CE1794" s="64" t="n">
        <f aca="false">IF(CA1794=0,0,IF(N(S1794)&gt;0,S1794,IFERROR(VLOOKUP(D1794,Parameter!$A$35:$C$64,3,0)+0,0)))</f>
        <v>0.15</v>
      </c>
      <c r="CF1794" s="60" t="str">
        <f aca="false">IF(AB1794&lt;&gt;"",AB1794,AA1794)</f>
        <v/>
      </c>
      <c r="CG1794" s="60" t="str">
        <f aca="false">IF(OR(CF1794=1,CF1794=2,CF1794=3),IF(Parameter!$E$27="Ja","LIFT",IF(CF1794=1,"L1","L23")),IF(CF1794="Aussen","Aussen","-"))</f>
        <v>-</v>
      </c>
      <c r="CH1794" s="71" t="n">
        <f aca="false">IF(N(AC1794)&gt;0,AC1794,0)</f>
        <v>0</v>
      </c>
      <c r="CI1794" s="65" t="n">
        <f aca="false">IF(ISNUMBER(AF1794),1,0)</f>
        <v>0</v>
      </c>
      <c r="CJ1794" s="62" t="n">
        <f aca="false">N(AF1794)</f>
        <v>0</v>
      </c>
      <c r="CK1794" s="62" t="n">
        <f aca="false">N(M1794)+N(N1794)</f>
        <v>0</v>
      </c>
      <c r="CL1794" s="62" t="n">
        <f aca="false">N(M1794)</f>
        <v>0</v>
      </c>
      <c r="CM1794" s="62" t="n">
        <f aca="false">N(N1794)</f>
        <v>0</v>
      </c>
      <c r="CN1794" s="62" t="n">
        <f aca="false">ROUNDUP(H1794/BZ1794,0)</f>
        <v>0</v>
      </c>
      <c r="CO1794" s="62" t="n">
        <f aca="false">ROUNDUP(CJ1794/BZ1794,0)</f>
        <v>0</v>
      </c>
      <c r="CP1794" s="65" t="n">
        <f aca="false">IF(CA1794=1,0,IFERROR(VLOOKUP(BY1794,'Gebinde-Kategorie'!$A$5:$N$45,5,0)+0,0))</f>
        <v>0</v>
      </c>
      <c r="CQ1794" s="65" t="n">
        <f aca="false">IFERROR(IF(OR(CF1794=1,CF1794=2,CF1794=3),N(INDEX(Parameter!$I$5:$I$7,CF1794)),0),0)</f>
        <v>0</v>
      </c>
      <c r="CR1794" s="64" t="n">
        <f aca="false">IF(AND(Parameter!$B$21="Ja",ISNUMBER(W1794),N(X1794)&gt;0),IFERROR(N(INDEX(Parameter!$L$5:$L$7,W1794))*INDEX(Parameter!$E$5:$E$7,W1794)*X1794/SUMIFS($X$7:$X$1843,$W$7:$W$1843,W1794),0),0)</f>
        <v>0</v>
      </c>
      <c r="CS1794" s="62" t="str">
        <f aca="false">IF(AND(OR(CG1794="L1",CG1794="L23",CG1794="LIFT"),H1794&gt;0),CC1794*IF(CR1794&gt;0,CR1794*MAX(1,H1794/X1794),IF(CA1794=1,CE1794,IF(R1794&gt;0,CN1794/R1794,0))/MAX(0.1,N(Parameter!$M$21))),"")</f>
        <v/>
      </c>
      <c r="CT1794" s="64" t="str">
        <f aca="false">IF(CS1794="","",J1794/H1794)</f>
        <v/>
      </c>
      <c r="CU1794" s="62" t="str">
        <f aca="false">IF(CS1794="","",H1794*G1794)</f>
        <v/>
      </c>
      <c r="CV1794" s="63" t="str">
        <f aca="false">IF(CS1794="","",(CL1794+ROUNDUP(CL1794+MAX(CM1794,2*(J1794/MAX(0.1,N(Einkauf!$C$6))-CL1794)),0))/2)</f>
        <v/>
      </c>
      <c r="CW1794" s="62" t="str">
        <f aca="false">IF(CS1794="","",MAX(0,H1794-CV1794)*G1794)</f>
        <v/>
      </c>
      <c r="CX1794" s="62" t="str">
        <f aca="false">IF(CS1794="","",CS1794*MAX(0,1-CV1794/H1794))</f>
        <v/>
      </c>
      <c r="CY1794" s="64" t="str">
        <f aca="false">IF(CS1794="","",PERCENTRANK($CS$7:$CS$1843,CS1794)+PERCENTRANK($CU$7:$CU$1843,CU1794)+1-PERCENTRANK($CT$7:$CT$1843,CT1794))</f>
        <v/>
      </c>
      <c r="CZ1794" s="72" t="str">
        <f aca="false">IF(CS1794="","",CHOOSE(MATCH(Einkauf!$C$5,Parameter!$G$23:$G$27,0),CY1794,CS1794,CU1794,-CT1794,CW1794)+ROW()/1000000000)</f>
        <v/>
      </c>
    </row>
    <row r="1795" customFormat="false" ht="15" hidden="false" customHeight="false" outlineLevel="0" collapsed="false">
      <c r="A1795" s="60" t="str">
        <f aca="false">IF('Neue Artikel'!$A$56="","",'Neue Artikel'!$A$56&amp;"")</f>
        <v/>
      </c>
      <c r="B1795" s="60" t="str">
        <f aca="false">'Neue Artikel'!$B$56&amp;""</f>
        <v/>
      </c>
      <c r="C1795" s="60"/>
      <c r="D1795" s="60" t="s">
        <v>3057</v>
      </c>
      <c r="E1795" s="60"/>
      <c r="F1795" s="60"/>
      <c r="G1795" s="61" t="n">
        <f aca="false">N('Neue Artikel'!$G$56)</f>
        <v>0</v>
      </c>
      <c r="H1795" s="62" t="n">
        <f aca="false">MAX(0,IF(AND(Parameter!$B$21="Ja",ISNUMBER(Y1795)),Y1795,IF(Parameter!$B$20="Jahresanfang 2025 + Export",BS1795+BR1795,BR1795)))</f>
        <v>0</v>
      </c>
      <c r="I1795" s="62" t="n">
        <f aca="false">H1795*G1795</f>
        <v>0</v>
      </c>
      <c r="J1795" s="62" t="n">
        <f aca="false">BU1795*Parameter!$B$18</f>
        <v>0</v>
      </c>
      <c r="K1795" s="63"/>
      <c r="L1795" s="64"/>
      <c r="M1795" s="62" t="n">
        <f aca="false">N('Neue Artikel'!$E$56)</f>
        <v>0</v>
      </c>
      <c r="N1795" s="62" t="n">
        <f aca="false">N('Neue Artikel'!$F$56)</f>
        <v>0</v>
      </c>
      <c r="O1795" s="65"/>
      <c r="P1795" s="60" t="str">
        <f aca="false">IF('Neue Artikel'!$H$56="","LOSE",UPPER(TRIM('Neue Artikel'!$H$56)))</f>
        <v>LOSE</v>
      </c>
      <c r="Q1795" s="62" t="n">
        <f aca="false">N('Neue Artikel'!$I$56)</f>
        <v>0</v>
      </c>
      <c r="R1795" s="65" t="n">
        <f aca="false">IF(CA1795=1,0,IFERROR(VLOOKUP(BY1795,'Gebinde-Kategorie'!$A$5:$N$45,13,0)+0,0))</f>
        <v>0</v>
      </c>
      <c r="S1795" s="66"/>
      <c r="T1795" s="67"/>
      <c r="U1795" s="67"/>
      <c r="V1795" s="67"/>
      <c r="W1795" s="60"/>
      <c r="X1795" s="62"/>
      <c r="Y1795" s="62"/>
      <c r="Z1795" s="60"/>
      <c r="AA1795" s="60" t="str">
        <f aca="false">IF(A1795="","",IF(AND(Parameter!$B$21="Ja",ISNUMBER(W1795)),W1795,IF(AND(Parameter!$E$27="Ja",ISNUMBER(Z1795),CD1795&lt;&gt;"Nein"),Z1795,IF(CD1795="2+3",IF(ISNUMBER(SEARCH("grosser Artikel",BV1795)),2,IFERROR(VLOOKUP(BY1795,Parameter!$F$35:$G$64,2,0),2)),IF(OR(CD1795="Nein",CD1795=""),"-",CD1795)))))</f>
        <v/>
      </c>
      <c r="AB1795" s="60" t="str">
        <f aca="false">IF('Neue Artikel'!$J$56="","",'Neue Artikel'!$J$56)</f>
        <v/>
      </c>
      <c r="AC1795" s="68"/>
      <c r="AD1795" s="62" t="n">
        <f aca="false">AW1795</f>
        <v>0</v>
      </c>
      <c r="AE1795" s="62" t="n">
        <f aca="false">MAX(AW1795,H1795)</f>
        <v>0</v>
      </c>
      <c r="AF1795" s="69"/>
      <c r="AG1795" s="62" t="n">
        <f aca="false">IF(LEFT(Cockpit!$C$5,1)="A",H1795,IF(Parameter!$E$30="MAX-Bestand",IF(CI1795=1,CJ1795,IF(LEFT(Cockpit!$C$5,1)="B",AM1795,MAX(AM1795,H1795))),ROUNDUP(AK1795,0)))</f>
        <v>0</v>
      </c>
      <c r="AH1795" s="62" t="n">
        <f aca="false">IF(CA1795=1,0,ROUNDUP(AG1795/BZ1795,0))</f>
        <v>0</v>
      </c>
      <c r="AI1795" s="64" t="n">
        <f aca="false">IF(CR1795&gt;0,CR1795*MAX(1,AG1795/X1795),IF(CA1795=1,IF(AG1795&lt;=0,0,CE1795*MAX(1,IF(H1795&gt;0,AG1795/H1795,1))),IF(R1795&gt;0,AH1795/R1795,0))/MAX(0.1,N(Parameter!$M$21)))</f>
        <v>0</v>
      </c>
      <c r="AJ1795" s="62" t="n">
        <f aca="false">AI1795*CC1795</f>
        <v>0</v>
      </c>
      <c r="AK1795" s="63" t="n">
        <f aca="false">IF(LEFT(Cockpit!$C$5,1)="A",H1795,IF(CI1795=1,(CL1795+CJ1795)/2,IF(LEFT(Cockpit!$C$5,1)="B",(CL1795+AM1795)/2,MAX((CL1795+AM1795)/2,H1795))))</f>
        <v>0</v>
      </c>
      <c r="AL1795" s="62" t="n">
        <f aca="false">AK1795*G1795</f>
        <v>0</v>
      </c>
      <c r="AM1795" s="62" t="n">
        <f aca="false">ROUNDUP(CL1795+MAX(CM1795,2*(J1795/IF(CH1795&gt;0,CH1795,MAX(0.1,N(Cockpit!$C$6)))-CL1795)),0)</f>
        <v>0</v>
      </c>
      <c r="AN1795" s="63" t="n">
        <f aca="false">IF(AJ1795&gt;0,J1795/AJ1795,-1)</f>
        <v>-1</v>
      </c>
      <c r="AO1795" s="63" t="str">
        <f aca="false">IF(AND(OR(CG1795="L1",CG1795="L23",CG1795="LIFT"),AJ1795&gt;0),SUMIFS($AJ$7:$AJ$1843,$CG$7:$CG$1843,CG1795,$AN$7:$AN$1843,"&gt;"&amp;AN1795)+SUMIFS($AJ$7:$AJ$1843,$CG$7:$CG$1843,CG1795,$AN$7:$AN$1843,AN1795,$BX$7:$BX$1843,"&lt;="&amp;BX1795),"")</f>
        <v/>
      </c>
      <c r="AP1795" s="70" t="n">
        <f aca="false">IF(AO1795="",0,MAX(0,MIN(1,(IF(CG1795="L1",Parameter!$H$5,IF(CG1795="L23",Parameter!$H$6+Parameter!$H$7,Parameter!$H$5+Parameter!$H$6+Parameter!$H$7))-(AO1795-AJ1795))/AJ1795)))</f>
        <v>0</v>
      </c>
      <c r="AQ1795" s="62" t="n">
        <f aca="false">IF(LEFT(Cockpit!$I$5,1)="A",H1795,IF(Parameter!$E$30="MAX-Bestand",IF(CI1795=1,CJ1795,IF(LEFT(Cockpit!$I$5,1)="B",AW1795,MAX(AW1795,H1795))),ROUNDUP(AU1795,0)))</f>
        <v>0</v>
      </c>
      <c r="AR1795" s="62" t="n">
        <f aca="false">IF(CA1795=1,0,ROUNDUP(AQ1795/BZ1795,0))</f>
        <v>0</v>
      </c>
      <c r="AS1795" s="64" t="n">
        <f aca="false">IF(CR1795&gt;0,CR1795*MAX(1,AQ1795/X1795),IF(CA1795=1,IF(AQ1795&lt;=0,0,CE1795*MAX(1,IF(H1795&gt;0,AQ1795/H1795,1))),IF(R1795&gt;0,AR1795/R1795,0))/MAX(0.1,N(Parameter!$M$21)))</f>
        <v>0</v>
      </c>
      <c r="AT1795" s="62" t="n">
        <f aca="false">AS1795*CC1795</f>
        <v>0</v>
      </c>
      <c r="AU1795" s="63" t="n">
        <f aca="false">IF(LEFT(Cockpit!$I$5,1)="A",H1795,IF(CI1795=1,(CL1795+CJ1795)/2,IF(LEFT(Cockpit!$I$5,1)="B",(CL1795+AW1795)/2,MAX((CL1795+AW1795)/2,H1795))))</f>
        <v>0</v>
      </c>
      <c r="AV1795" s="62" t="n">
        <f aca="false">AU1795*G1795</f>
        <v>0</v>
      </c>
      <c r="AW1795" s="62" t="n">
        <f aca="false">ROUNDUP(CL1795+MAX(CM1795,2*(J1795/IF(CH1795&gt;0,CH1795,MAX(0.1,N(Cockpit!$I$6)))-CL1795)),0)</f>
        <v>0</v>
      </c>
      <c r="AX1795" s="63" t="n">
        <f aca="false">IF(AT1795&gt;0,J1795/AT1795,-1)</f>
        <v>-1</v>
      </c>
      <c r="AY1795" s="63" t="str">
        <f aca="false">IF(AND(OR(CG1795="L1",CG1795="L23",CG1795="LIFT"),AT1795&gt;0),SUMIFS($AT$7:$AT$1843,$CG$7:$CG$1843,CG1795,$AX$7:$AX$1843,"&gt;"&amp;AX1795)+SUMIFS($AT$7:$AT$1843,$CG$7:$CG$1843,CG1795,$AX$7:$AX$1843,AX1795,$BX$7:$BX$1843,"&lt;="&amp;BX1795),"")</f>
        <v/>
      </c>
      <c r="AZ1795" s="70" t="n">
        <f aca="false">IF(AY1795="",0,MAX(0,MIN(1,(IF(CG1795="L1",Parameter!$H$5,IF(CG1795="L23",Parameter!$H$6+Parameter!$H$7,Parameter!$H$5+Parameter!$H$6+Parameter!$H$7))-(AY1795-AT1795))/AT1795)))</f>
        <v>0</v>
      </c>
      <c r="BA1795" s="62" t="n">
        <f aca="false">IF(LEFT(Cockpit!$O$5,1)="A",H1795,IF(Parameter!$E$30="MAX-Bestand",IF(CI1795=1,CJ1795,IF(LEFT(Cockpit!$O$5,1)="B",BG1795,MAX(BG1795,H1795))),ROUNDUP(BE1795,0)))</f>
        <v>0</v>
      </c>
      <c r="BB1795" s="62" t="n">
        <f aca="false">IF(CA1795=1,0,ROUNDUP(BA1795/BZ1795,0))</f>
        <v>0</v>
      </c>
      <c r="BC1795" s="64" t="n">
        <f aca="false">IF(CR1795&gt;0,CR1795*MAX(1,BA1795/X1795),IF(CA1795=1,IF(BA1795&lt;=0,0,CE1795*MAX(1,IF(H1795&gt;0,BA1795/H1795,1))),IF(R1795&gt;0,BB1795/R1795,0))/MAX(0.1,N(Parameter!$M$21)))</f>
        <v>0</v>
      </c>
      <c r="BD1795" s="62" t="n">
        <f aca="false">BC1795*CC1795</f>
        <v>0</v>
      </c>
      <c r="BE1795" s="63" t="n">
        <f aca="false">IF(LEFT(Cockpit!$O$5,1)="A",H1795,IF(CI1795=1,(CL1795+CJ1795)/2,IF(LEFT(Cockpit!$O$5,1)="B",(CL1795+BG1795)/2,MAX((CL1795+BG1795)/2,H1795))))</f>
        <v>0</v>
      </c>
      <c r="BF1795" s="62" t="n">
        <f aca="false">BE1795*G1795</f>
        <v>0</v>
      </c>
      <c r="BG1795" s="62" t="n">
        <f aca="false">ROUNDUP(CL1795+MAX(CM1795,2*(J1795/IF(CH1795&gt;0,CH1795,MAX(0.1,N(Cockpit!$O$6)))-CL1795)),0)</f>
        <v>0</v>
      </c>
      <c r="BH1795" s="63" t="n">
        <f aca="false">IF(BD1795&gt;0,J1795/BD1795,-1)</f>
        <v>-1</v>
      </c>
      <c r="BI1795" s="63" t="str">
        <f aca="false">IF(AND(OR(CG1795="L1",CG1795="L23",CG1795="LIFT"),BD1795&gt;0),SUMIFS($BD$7:$BD$1843,$CG$7:$CG$1843,CG1795,$BH$7:$BH$1843,"&gt;"&amp;BH1795)+SUMIFS($BD$7:$BD$1843,$CG$7:$CG$1843,CG1795,$BH$7:$BH$1843,BH1795,$BX$7:$BX$1843,"&lt;="&amp;BX1795),"")</f>
        <v/>
      </c>
      <c r="BJ1795" s="70" t="n">
        <f aca="false">IF(BI1795="",0,MAX(0,MIN(1,(IF(CG1795="L1",Parameter!$H$5,IF(CG1795="L23",Parameter!$H$6+Parameter!$H$7,Parameter!$H$5+Parameter!$H$6+Parameter!$H$7))-(BI1795-BD1795))/BD1795)))</f>
        <v>0</v>
      </c>
      <c r="BK1795" s="60" t="str">
        <f aca="false">IF(AJ1795&lt;=0,"",IF(CG1795="Aussen","Aussenlager",IF(CG1795="-","Nicht im Lift",IF(AP1795&gt;=1,"Lift",IF(AP1795&lt;=0,"Aussenlager","teilweise")))))</f>
        <v/>
      </c>
      <c r="BL1795" s="60" t="str">
        <f aca="false">IF(AT1795&lt;=0,"",IF(CG1795="Aussen","Aussenlager",IF(CG1795="-","Nicht im Lift",IF(AZ1795&gt;=1,"Lift",IF(AZ1795&lt;=0,"Aussenlager","teilweise")))))</f>
        <v/>
      </c>
      <c r="BM1795" s="60" t="str">
        <f aca="false">IF(BD1795&lt;=0,"",IF(CG1795="Aussen","Aussenlager",IF(CG1795="-","Nicht im Lift",IF(BJ1795&gt;=1,"Lift",IF(BJ1795&lt;=0,"Aussenlager","teilweise")))))</f>
        <v/>
      </c>
      <c r="BN1795" s="60" t="str">
        <f aca="false">IF(A1795="","",IF(BW1795=1,"Neu; ","")&amp;IF(AND(BW1795=0,BR1795&lt;0),"negativer Bestand (Export "&amp;BR1795&amp;"); ","")&amp;IF(J1795&lt;=0,"Kein Verbrauch; ","")&amp;IF(CR1795&gt;0,"Lift "&amp;W1795&amp;" lt. Liftbericht (Fach "&amp;X1795&amp;" Stk); ",IF(CB1795=1,"Gebinde geschätzt ("&amp;T1795&amp;"); ",IF(CA1795=1,"Lose – Tablare geschätzt; ","")))&amp;IF(H1795&gt;AW1795,"Überbestand "&amp;ROUND(H1795-AW1795,0)&amp;" Stk / CHF "&amp;ROUND((H1795-AW1795)*G1795,0)&amp;"; ","")&amp;IF(AND(CI1795=1,CJ1795&lt;CK1795),"MAX &lt; MB+LG; ","")&amp;IF(AND(CQ1795&gt;0,CP1795*10&gt;CQ1795),"zu hoch für Tablar; ","")&amp;IF(AND(BW1795=0,OR(CI1795=1,AB1795&lt;&gt;"",U1795&lt;&gt;"",V1795&lt;&gt;"",AC1795&lt;&gt;"")),"manuell übersteuert; ","")&amp;IF(AND(CA1795=0,R1795=0),"Gebinde unbekannt / Stellmass fehlt; ","")&amp;IF(AND(CA1795=0,N(V1795)&lt;=0,N(Q1795)&lt;=0),"Menge pro Gebinde fehlt (Ist = 1 Gebinde); ","")&amp;BV1795)</f>
        <v/>
      </c>
      <c r="BO1795" s="60"/>
      <c r="BP1795" s="60"/>
      <c r="BQ1795" s="67"/>
      <c r="BR1795" s="62" t="n">
        <f aca="false">N('Neue Artikel'!$D$56)</f>
        <v>0</v>
      </c>
      <c r="BS1795" s="62" t="n">
        <v>0</v>
      </c>
      <c r="BT1795" s="61" t="n">
        <v>0</v>
      </c>
      <c r="BU1795" s="62" t="n">
        <f aca="false">N('Neue Artikel'!$C$56)/Parameter!$B$18</f>
        <v>0</v>
      </c>
      <c r="BV1795" s="60"/>
      <c r="BW1795" s="65" t="n">
        <v>1</v>
      </c>
      <c r="BX1795" s="65" t="n">
        <v>1795</v>
      </c>
      <c r="BY1795" s="60" t="str">
        <f aca="false">IF(U1795&lt;&gt;"",UPPER(TRIM(U1795)),IF(CB1795=1,UPPER(VLOOKUP(T1795,Parameter!$I$27:$K$29,2,0)),IF(P1795="","LOSE",P1795)))</f>
        <v>LOSE</v>
      </c>
      <c r="BZ1795" s="62" t="n">
        <f aca="false">IF(BY1795="LOSE",1,IF(N(V1795)&gt;0,V1795,IF(CB1795=1,MAX(1,N(VLOOKUP(T1795,Parameter!$I$27:$K$29,3,0)),H1795,N(N1795)),IF(N(Q1795)&gt;0,Q1795,MAX(1,H1795)))))</f>
        <v>1</v>
      </c>
      <c r="CA1795" s="65" t="n">
        <f aca="false">IF(BY1795="LOSE",1,0)</f>
        <v>1</v>
      </c>
      <c r="CB1795" s="65" t="n">
        <f aca="false">IF(AND(U1795="",OR(P1795="",P1795="LOSE"),T1795&lt;&gt;"",N(S1795)&lt;=0,ISNUMBER(MATCH(T1795,Parameter!$I$27:$I$29,0))),1,0)</f>
        <v>0</v>
      </c>
      <c r="CC1795" s="65" t="n">
        <f aca="false">IF(CR1795&gt;0,INDEX(Parameter!$H$5:$H$7,W1795)/INDEX(Parameter!$E$5:$E$7,W1795),IF(AND(CA1795=0,N(IFERROR(VLOOKUP(BY1795,'Gebinde-Kategorie'!$A$5:$N$45,14,0),0))&gt;0),VLOOKUP(BY1795,'Gebinde-Kategorie'!$A$5:$N$45,14,0)*10+Parameter!$M$23,Parameter!$M$24))</f>
        <v>235</v>
      </c>
      <c r="CD1795" s="60" t="str">
        <f aca="false">IF(AND(Parameter!$B$19="Ja",E1795&lt;&gt;"",ISNUMBER(MATCH(E1795,Parameter!$I$35:$I$52,0))),VLOOKUP(E1795,Parameter!$I$35:$J$52,2,0),IFERROR(VLOOKUP(D1795,Parameter!$A$35:$C$64,2,0),"Nein"))</f>
        <v>2+3</v>
      </c>
      <c r="CE1795" s="64" t="n">
        <f aca="false">IF(CA1795=0,0,IF(N(S1795)&gt;0,S1795,IFERROR(VLOOKUP(D1795,Parameter!$A$35:$C$64,3,0)+0,0)))</f>
        <v>0.15</v>
      </c>
      <c r="CF1795" s="60" t="str">
        <f aca="false">IF(AB1795&lt;&gt;"",AB1795,AA1795)</f>
        <v/>
      </c>
      <c r="CG1795" s="60" t="str">
        <f aca="false">IF(OR(CF1795=1,CF1795=2,CF1795=3),IF(Parameter!$E$27="Ja","LIFT",IF(CF1795=1,"L1","L23")),IF(CF1795="Aussen","Aussen","-"))</f>
        <v>-</v>
      </c>
      <c r="CH1795" s="71" t="n">
        <f aca="false">IF(N(AC1795)&gt;0,AC1795,0)</f>
        <v>0</v>
      </c>
      <c r="CI1795" s="65" t="n">
        <f aca="false">IF(ISNUMBER(AF1795),1,0)</f>
        <v>0</v>
      </c>
      <c r="CJ1795" s="62" t="n">
        <f aca="false">N(AF1795)</f>
        <v>0</v>
      </c>
      <c r="CK1795" s="62" t="n">
        <f aca="false">N(M1795)+N(N1795)</f>
        <v>0</v>
      </c>
      <c r="CL1795" s="62" t="n">
        <f aca="false">N(M1795)</f>
        <v>0</v>
      </c>
      <c r="CM1795" s="62" t="n">
        <f aca="false">N(N1795)</f>
        <v>0</v>
      </c>
      <c r="CN1795" s="62" t="n">
        <f aca="false">ROUNDUP(H1795/BZ1795,0)</f>
        <v>0</v>
      </c>
      <c r="CO1795" s="62" t="n">
        <f aca="false">ROUNDUP(CJ1795/BZ1795,0)</f>
        <v>0</v>
      </c>
      <c r="CP1795" s="65" t="n">
        <f aca="false">IF(CA1795=1,0,IFERROR(VLOOKUP(BY1795,'Gebinde-Kategorie'!$A$5:$N$45,5,0)+0,0))</f>
        <v>0</v>
      </c>
      <c r="CQ1795" s="65" t="n">
        <f aca="false">IFERROR(IF(OR(CF1795=1,CF1795=2,CF1795=3),N(INDEX(Parameter!$I$5:$I$7,CF1795)),0),0)</f>
        <v>0</v>
      </c>
      <c r="CR1795" s="64" t="n">
        <f aca="false">IF(AND(Parameter!$B$21="Ja",ISNUMBER(W1795),N(X1795)&gt;0),IFERROR(N(INDEX(Parameter!$L$5:$L$7,W1795))*INDEX(Parameter!$E$5:$E$7,W1795)*X1795/SUMIFS($X$7:$X$1843,$W$7:$W$1843,W1795),0),0)</f>
        <v>0</v>
      </c>
      <c r="CS1795" s="62" t="str">
        <f aca="false">IF(AND(OR(CG1795="L1",CG1795="L23",CG1795="LIFT"),H1795&gt;0),CC1795*IF(CR1795&gt;0,CR1795*MAX(1,H1795/X1795),IF(CA1795=1,CE1795,IF(R1795&gt;0,CN1795/R1795,0))/MAX(0.1,N(Parameter!$M$21))),"")</f>
        <v/>
      </c>
      <c r="CT1795" s="64" t="str">
        <f aca="false">IF(CS1795="","",J1795/H1795)</f>
        <v/>
      </c>
      <c r="CU1795" s="62" t="str">
        <f aca="false">IF(CS1795="","",H1795*G1795)</f>
        <v/>
      </c>
      <c r="CV1795" s="63" t="str">
        <f aca="false">IF(CS1795="","",(CL1795+ROUNDUP(CL1795+MAX(CM1795,2*(J1795/MAX(0.1,N(Einkauf!$C$6))-CL1795)),0))/2)</f>
        <v/>
      </c>
      <c r="CW1795" s="62" t="str">
        <f aca="false">IF(CS1795="","",MAX(0,H1795-CV1795)*G1795)</f>
        <v/>
      </c>
      <c r="CX1795" s="62" t="str">
        <f aca="false">IF(CS1795="","",CS1795*MAX(0,1-CV1795/H1795))</f>
        <v/>
      </c>
      <c r="CY1795" s="64" t="str">
        <f aca="false">IF(CS1795="","",PERCENTRANK($CS$7:$CS$1843,CS1795)+PERCENTRANK($CU$7:$CU$1843,CU1795)+1-PERCENTRANK($CT$7:$CT$1843,CT1795))</f>
        <v/>
      </c>
      <c r="CZ1795" s="72" t="str">
        <f aca="false">IF(CS1795="","",CHOOSE(MATCH(Einkauf!$C$5,Parameter!$G$23:$G$27,0),CY1795,CS1795,CU1795,-CT1795,CW1795)+ROW()/1000000000)</f>
        <v/>
      </c>
    </row>
    <row r="1796" customFormat="false" ht="15" hidden="false" customHeight="false" outlineLevel="0" collapsed="false">
      <c r="A1796" s="60" t="str">
        <f aca="false">IF('Neue Artikel'!$A$57="","",'Neue Artikel'!$A$57&amp;"")</f>
        <v/>
      </c>
      <c r="B1796" s="60" t="str">
        <f aca="false">'Neue Artikel'!$B$57&amp;""</f>
        <v/>
      </c>
      <c r="C1796" s="60"/>
      <c r="D1796" s="60" t="s">
        <v>3057</v>
      </c>
      <c r="E1796" s="60"/>
      <c r="F1796" s="60"/>
      <c r="G1796" s="61" t="n">
        <f aca="false">N('Neue Artikel'!$G$57)</f>
        <v>0</v>
      </c>
      <c r="H1796" s="62" t="n">
        <f aca="false">MAX(0,IF(AND(Parameter!$B$21="Ja",ISNUMBER(Y1796)),Y1796,IF(Parameter!$B$20="Jahresanfang 2025 + Export",BS1796+BR1796,BR1796)))</f>
        <v>0</v>
      </c>
      <c r="I1796" s="62" t="n">
        <f aca="false">H1796*G1796</f>
        <v>0</v>
      </c>
      <c r="J1796" s="62" t="n">
        <f aca="false">BU1796*Parameter!$B$18</f>
        <v>0</v>
      </c>
      <c r="K1796" s="63"/>
      <c r="L1796" s="64"/>
      <c r="M1796" s="62" t="n">
        <f aca="false">N('Neue Artikel'!$E$57)</f>
        <v>0</v>
      </c>
      <c r="N1796" s="62" t="n">
        <f aca="false">N('Neue Artikel'!$F$57)</f>
        <v>0</v>
      </c>
      <c r="O1796" s="65"/>
      <c r="P1796" s="60" t="str">
        <f aca="false">IF('Neue Artikel'!$H$57="","LOSE",UPPER(TRIM('Neue Artikel'!$H$57)))</f>
        <v>LOSE</v>
      </c>
      <c r="Q1796" s="62" t="n">
        <f aca="false">N('Neue Artikel'!$I$57)</f>
        <v>0</v>
      </c>
      <c r="R1796" s="65" t="n">
        <f aca="false">IF(CA1796=1,0,IFERROR(VLOOKUP(BY1796,'Gebinde-Kategorie'!$A$5:$N$45,13,0)+0,0))</f>
        <v>0</v>
      </c>
      <c r="S1796" s="66"/>
      <c r="T1796" s="67"/>
      <c r="U1796" s="67"/>
      <c r="V1796" s="67"/>
      <c r="W1796" s="60"/>
      <c r="X1796" s="62"/>
      <c r="Y1796" s="62"/>
      <c r="Z1796" s="60"/>
      <c r="AA1796" s="60" t="str">
        <f aca="false">IF(A1796="","",IF(AND(Parameter!$B$21="Ja",ISNUMBER(W1796)),W1796,IF(AND(Parameter!$E$27="Ja",ISNUMBER(Z1796),CD1796&lt;&gt;"Nein"),Z1796,IF(CD1796="2+3",IF(ISNUMBER(SEARCH("grosser Artikel",BV1796)),2,IFERROR(VLOOKUP(BY1796,Parameter!$F$35:$G$64,2,0),2)),IF(OR(CD1796="Nein",CD1796=""),"-",CD1796)))))</f>
        <v/>
      </c>
      <c r="AB1796" s="60" t="str">
        <f aca="false">IF('Neue Artikel'!$J$57="","",'Neue Artikel'!$J$57)</f>
        <v/>
      </c>
      <c r="AC1796" s="68"/>
      <c r="AD1796" s="62" t="n">
        <f aca="false">AW1796</f>
        <v>0</v>
      </c>
      <c r="AE1796" s="62" t="n">
        <f aca="false">MAX(AW1796,H1796)</f>
        <v>0</v>
      </c>
      <c r="AF1796" s="69"/>
      <c r="AG1796" s="62" t="n">
        <f aca="false">IF(LEFT(Cockpit!$C$5,1)="A",H1796,IF(Parameter!$E$30="MAX-Bestand",IF(CI1796=1,CJ1796,IF(LEFT(Cockpit!$C$5,1)="B",AM1796,MAX(AM1796,H1796))),ROUNDUP(AK1796,0)))</f>
        <v>0</v>
      </c>
      <c r="AH1796" s="62" t="n">
        <f aca="false">IF(CA1796=1,0,ROUNDUP(AG1796/BZ1796,0))</f>
        <v>0</v>
      </c>
      <c r="AI1796" s="64" t="n">
        <f aca="false">IF(CR1796&gt;0,CR1796*MAX(1,AG1796/X1796),IF(CA1796=1,IF(AG1796&lt;=0,0,CE1796*MAX(1,IF(H1796&gt;0,AG1796/H1796,1))),IF(R1796&gt;0,AH1796/R1796,0))/MAX(0.1,N(Parameter!$M$21)))</f>
        <v>0</v>
      </c>
      <c r="AJ1796" s="62" t="n">
        <f aca="false">AI1796*CC1796</f>
        <v>0</v>
      </c>
      <c r="AK1796" s="63" t="n">
        <f aca="false">IF(LEFT(Cockpit!$C$5,1)="A",H1796,IF(CI1796=1,(CL1796+CJ1796)/2,IF(LEFT(Cockpit!$C$5,1)="B",(CL1796+AM1796)/2,MAX((CL1796+AM1796)/2,H1796))))</f>
        <v>0</v>
      </c>
      <c r="AL1796" s="62" t="n">
        <f aca="false">AK1796*G1796</f>
        <v>0</v>
      </c>
      <c r="AM1796" s="62" t="n">
        <f aca="false">ROUNDUP(CL1796+MAX(CM1796,2*(J1796/IF(CH1796&gt;0,CH1796,MAX(0.1,N(Cockpit!$C$6)))-CL1796)),0)</f>
        <v>0</v>
      </c>
      <c r="AN1796" s="63" t="n">
        <f aca="false">IF(AJ1796&gt;0,J1796/AJ1796,-1)</f>
        <v>-1</v>
      </c>
      <c r="AO1796" s="63" t="str">
        <f aca="false">IF(AND(OR(CG1796="L1",CG1796="L23",CG1796="LIFT"),AJ1796&gt;0),SUMIFS($AJ$7:$AJ$1843,$CG$7:$CG$1843,CG1796,$AN$7:$AN$1843,"&gt;"&amp;AN1796)+SUMIFS($AJ$7:$AJ$1843,$CG$7:$CG$1843,CG1796,$AN$7:$AN$1843,AN1796,$BX$7:$BX$1843,"&lt;="&amp;BX1796),"")</f>
        <v/>
      </c>
      <c r="AP1796" s="70" t="n">
        <f aca="false">IF(AO1796="",0,MAX(0,MIN(1,(IF(CG1796="L1",Parameter!$H$5,IF(CG1796="L23",Parameter!$H$6+Parameter!$H$7,Parameter!$H$5+Parameter!$H$6+Parameter!$H$7))-(AO1796-AJ1796))/AJ1796)))</f>
        <v>0</v>
      </c>
      <c r="AQ1796" s="62" t="n">
        <f aca="false">IF(LEFT(Cockpit!$I$5,1)="A",H1796,IF(Parameter!$E$30="MAX-Bestand",IF(CI1796=1,CJ1796,IF(LEFT(Cockpit!$I$5,1)="B",AW1796,MAX(AW1796,H1796))),ROUNDUP(AU1796,0)))</f>
        <v>0</v>
      </c>
      <c r="AR1796" s="62" t="n">
        <f aca="false">IF(CA1796=1,0,ROUNDUP(AQ1796/BZ1796,0))</f>
        <v>0</v>
      </c>
      <c r="AS1796" s="64" t="n">
        <f aca="false">IF(CR1796&gt;0,CR1796*MAX(1,AQ1796/X1796),IF(CA1796=1,IF(AQ1796&lt;=0,0,CE1796*MAX(1,IF(H1796&gt;0,AQ1796/H1796,1))),IF(R1796&gt;0,AR1796/R1796,0))/MAX(0.1,N(Parameter!$M$21)))</f>
        <v>0</v>
      </c>
      <c r="AT1796" s="62" t="n">
        <f aca="false">AS1796*CC1796</f>
        <v>0</v>
      </c>
      <c r="AU1796" s="63" t="n">
        <f aca="false">IF(LEFT(Cockpit!$I$5,1)="A",H1796,IF(CI1796=1,(CL1796+CJ1796)/2,IF(LEFT(Cockpit!$I$5,1)="B",(CL1796+AW1796)/2,MAX((CL1796+AW1796)/2,H1796))))</f>
        <v>0</v>
      </c>
      <c r="AV1796" s="62" t="n">
        <f aca="false">AU1796*G1796</f>
        <v>0</v>
      </c>
      <c r="AW1796" s="62" t="n">
        <f aca="false">ROUNDUP(CL1796+MAX(CM1796,2*(J1796/IF(CH1796&gt;0,CH1796,MAX(0.1,N(Cockpit!$I$6)))-CL1796)),0)</f>
        <v>0</v>
      </c>
      <c r="AX1796" s="63" t="n">
        <f aca="false">IF(AT1796&gt;0,J1796/AT1796,-1)</f>
        <v>-1</v>
      </c>
      <c r="AY1796" s="63" t="str">
        <f aca="false">IF(AND(OR(CG1796="L1",CG1796="L23",CG1796="LIFT"),AT1796&gt;0),SUMIFS($AT$7:$AT$1843,$CG$7:$CG$1843,CG1796,$AX$7:$AX$1843,"&gt;"&amp;AX1796)+SUMIFS($AT$7:$AT$1843,$CG$7:$CG$1843,CG1796,$AX$7:$AX$1843,AX1796,$BX$7:$BX$1843,"&lt;="&amp;BX1796),"")</f>
        <v/>
      </c>
      <c r="AZ1796" s="70" t="n">
        <f aca="false">IF(AY1796="",0,MAX(0,MIN(1,(IF(CG1796="L1",Parameter!$H$5,IF(CG1796="L23",Parameter!$H$6+Parameter!$H$7,Parameter!$H$5+Parameter!$H$6+Parameter!$H$7))-(AY1796-AT1796))/AT1796)))</f>
        <v>0</v>
      </c>
      <c r="BA1796" s="62" t="n">
        <f aca="false">IF(LEFT(Cockpit!$O$5,1)="A",H1796,IF(Parameter!$E$30="MAX-Bestand",IF(CI1796=1,CJ1796,IF(LEFT(Cockpit!$O$5,1)="B",BG1796,MAX(BG1796,H1796))),ROUNDUP(BE1796,0)))</f>
        <v>0</v>
      </c>
      <c r="BB1796" s="62" t="n">
        <f aca="false">IF(CA1796=1,0,ROUNDUP(BA1796/BZ1796,0))</f>
        <v>0</v>
      </c>
      <c r="BC1796" s="64" t="n">
        <f aca="false">IF(CR1796&gt;0,CR1796*MAX(1,BA1796/X1796),IF(CA1796=1,IF(BA1796&lt;=0,0,CE1796*MAX(1,IF(H1796&gt;0,BA1796/H1796,1))),IF(R1796&gt;0,BB1796/R1796,0))/MAX(0.1,N(Parameter!$M$21)))</f>
        <v>0</v>
      </c>
      <c r="BD1796" s="62" t="n">
        <f aca="false">BC1796*CC1796</f>
        <v>0</v>
      </c>
      <c r="BE1796" s="63" t="n">
        <f aca="false">IF(LEFT(Cockpit!$O$5,1)="A",H1796,IF(CI1796=1,(CL1796+CJ1796)/2,IF(LEFT(Cockpit!$O$5,1)="B",(CL1796+BG1796)/2,MAX((CL1796+BG1796)/2,H1796))))</f>
        <v>0</v>
      </c>
      <c r="BF1796" s="62" t="n">
        <f aca="false">BE1796*G1796</f>
        <v>0</v>
      </c>
      <c r="BG1796" s="62" t="n">
        <f aca="false">ROUNDUP(CL1796+MAX(CM1796,2*(J1796/IF(CH1796&gt;0,CH1796,MAX(0.1,N(Cockpit!$O$6)))-CL1796)),0)</f>
        <v>0</v>
      </c>
      <c r="BH1796" s="63" t="n">
        <f aca="false">IF(BD1796&gt;0,J1796/BD1796,-1)</f>
        <v>-1</v>
      </c>
      <c r="BI1796" s="63" t="str">
        <f aca="false">IF(AND(OR(CG1796="L1",CG1796="L23",CG1796="LIFT"),BD1796&gt;0),SUMIFS($BD$7:$BD$1843,$CG$7:$CG$1843,CG1796,$BH$7:$BH$1843,"&gt;"&amp;BH1796)+SUMIFS($BD$7:$BD$1843,$CG$7:$CG$1843,CG1796,$BH$7:$BH$1843,BH1796,$BX$7:$BX$1843,"&lt;="&amp;BX1796),"")</f>
        <v/>
      </c>
      <c r="BJ1796" s="70" t="n">
        <f aca="false">IF(BI1796="",0,MAX(0,MIN(1,(IF(CG1796="L1",Parameter!$H$5,IF(CG1796="L23",Parameter!$H$6+Parameter!$H$7,Parameter!$H$5+Parameter!$H$6+Parameter!$H$7))-(BI1796-BD1796))/BD1796)))</f>
        <v>0</v>
      </c>
      <c r="BK1796" s="60" t="str">
        <f aca="false">IF(AJ1796&lt;=0,"",IF(CG1796="Aussen","Aussenlager",IF(CG1796="-","Nicht im Lift",IF(AP1796&gt;=1,"Lift",IF(AP1796&lt;=0,"Aussenlager","teilweise")))))</f>
        <v/>
      </c>
      <c r="BL1796" s="60" t="str">
        <f aca="false">IF(AT1796&lt;=0,"",IF(CG1796="Aussen","Aussenlager",IF(CG1796="-","Nicht im Lift",IF(AZ1796&gt;=1,"Lift",IF(AZ1796&lt;=0,"Aussenlager","teilweise")))))</f>
        <v/>
      </c>
      <c r="BM1796" s="60" t="str">
        <f aca="false">IF(BD1796&lt;=0,"",IF(CG1796="Aussen","Aussenlager",IF(CG1796="-","Nicht im Lift",IF(BJ1796&gt;=1,"Lift",IF(BJ1796&lt;=0,"Aussenlager","teilweise")))))</f>
        <v/>
      </c>
      <c r="BN1796" s="60" t="str">
        <f aca="false">IF(A1796="","",IF(BW1796=1,"Neu; ","")&amp;IF(AND(BW1796=0,BR1796&lt;0),"negativer Bestand (Export "&amp;BR1796&amp;"); ","")&amp;IF(J1796&lt;=0,"Kein Verbrauch; ","")&amp;IF(CR1796&gt;0,"Lift "&amp;W1796&amp;" lt. Liftbericht (Fach "&amp;X1796&amp;" Stk); ",IF(CB1796=1,"Gebinde geschätzt ("&amp;T1796&amp;"); ",IF(CA1796=1,"Lose – Tablare geschätzt; ","")))&amp;IF(H1796&gt;AW1796,"Überbestand "&amp;ROUND(H1796-AW1796,0)&amp;" Stk / CHF "&amp;ROUND((H1796-AW1796)*G1796,0)&amp;"; ","")&amp;IF(AND(CI1796=1,CJ1796&lt;CK1796),"MAX &lt; MB+LG; ","")&amp;IF(AND(CQ1796&gt;0,CP1796*10&gt;CQ1796),"zu hoch für Tablar; ","")&amp;IF(AND(BW1796=0,OR(CI1796=1,AB1796&lt;&gt;"",U1796&lt;&gt;"",V1796&lt;&gt;"",AC1796&lt;&gt;"")),"manuell übersteuert; ","")&amp;IF(AND(CA1796=0,R1796=0),"Gebinde unbekannt / Stellmass fehlt; ","")&amp;IF(AND(CA1796=0,N(V1796)&lt;=0,N(Q1796)&lt;=0),"Menge pro Gebinde fehlt (Ist = 1 Gebinde); ","")&amp;BV1796)</f>
        <v/>
      </c>
      <c r="BO1796" s="60"/>
      <c r="BP1796" s="60"/>
      <c r="BQ1796" s="67"/>
      <c r="BR1796" s="62" t="n">
        <f aca="false">N('Neue Artikel'!$D$57)</f>
        <v>0</v>
      </c>
      <c r="BS1796" s="62" t="n">
        <v>0</v>
      </c>
      <c r="BT1796" s="61" t="n">
        <v>0</v>
      </c>
      <c r="BU1796" s="62" t="n">
        <f aca="false">N('Neue Artikel'!$C$57)/Parameter!$B$18</f>
        <v>0</v>
      </c>
      <c r="BV1796" s="60"/>
      <c r="BW1796" s="65" t="n">
        <v>1</v>
      </c>
      <c r="BX1796" s="65" t="n">
        <v>1796</v>
      </c>
      <c r="BY1796" s="60" t="str">
        <f aca="false">IF(U1796&lt;&gt;"",UPPER(TRIM(U1796)),IF(CB1796=1,UPPER(VLOOKUP(T1796,Parameter!$I$27:$K$29,2,0)),IF(P1796="","LOSE",P1796)))</f>
        <v>LOSE</v>
      </c>
      <c r="BZ1796" s="62" t="n">
        <f aca="false">IF(BY1796="LOSE",1,IF(N(V1796)&gt;0,V1796,IF(CB1796=1,MAX(1,N(VLOOKUP(T1796,Parameter!$I$27:$K$29,3,0)),H1796,N(N1796)),IF(N(Q1796)&gt;0,Q1796,MAX(1,H1796)))))</f>
        <v>1</v>
      </c>
      <c r="CA1796" s="65" t="n">
        <f aca="false">IF(BY1796="LOSE",1,0)</f>
        <v>1</v>
      </c>
      <c r="CB1796" s="65" t="n">
        <f aca="false">IF(AND(U1796="",OR(P1796="",P1796="LOSE"),T1796&lt;&gt;"",N(S1796)&lt;=0,ISNUMBER(MATCH(T1796,Parameter!$I$27:$I$29,0))),1,0)</f>
        <v>0</v>
      </c>
      <c r="CC1796" s="65" t="n">
        <f aca="false">IF(CR1796&gt;0,INDEX(Parameter!$H$5:$H$7,W1796)/INDEX(Parameter!$E$5:$E$7,W1796),IF(AND(CA1796=0,N(IFERROR(VLOOKUP(BY1796,'Gebinde-Kategorie'!$A$5:$N$45,14,0),0))&gt;0),VLOOKUP(BY1796,'Gebinde-Kategorie'!$A$5:$N$45,14,0)*10+Parameter!$M$23,Parameter!$M$24))</f>
        <v>235</v>
      </c>
      <c r="CD1796" s="60" t="str">
        <f aca="false">IF(AND(Parameter!$B$19="Ja",E1796&lt;&gt;"",ISNUMBER(MATCH(E1796,Parameter!$I$35:$I$52,0))),VLOOKUP(E1796,Parameter!$I$35:$J$52,2,0),IFERROR(VLOOKUP(D1796,Parameter!$A$35:$C$64,2,0),"Nein"))</f>
        <v>2+3</v>
      </c>
      <c r="CE1796" s="64" t="n">
        <f aca="false">IF(CA1796=0,0,IF(N(S1796)&gt;0,S1796,IFERROR(VLOOKUP(D1796,Parameter!$A$35:$C$64,3,0)+0,0)))</f>
        <v>0.15</v>
      </c>
      <c r="CF1796" s="60" t="str">
        <f aca="false">IF(AB1796&lt;&gt;"",AB1796,AA1796)</f>
        <v/>
      </c>
      <c r="CG1796" s="60" t="str">
        <f aca="false">IF(OR(CF1796=1,CF1796=2,CF1796=3),IF(Parameter!$E$27="Ja","LIFT",IF(CF1796=1,"L1","L23")),IF(CF1796="Aussen","Aussen","-"))</f>
        <v>-</v>
      </c>
      <c r="CH1796" s="71" t="n">
        <f aca="false">IF(N(AC1796)&gt;0,AC1796,0)</f>
        <v>0</v>
      </c>
      <c r="CI1796" s="65" t="n">
        <f aca="false">IF(ISNUMBER(AF1796),1,0)</f>
        <v>0</v>
      </c>
      <c r="CJ1796" s="62" t="n">
        <f aca="false">N(AF1796)</f>
        <v>0</v>
      </c>
      <c r="CK1796" s="62" t="n">
        <f aca="false">N(M1796)+N(N1796)</f>
        <v>0</v>
      </c>
      <c r="CL1796" s="62" t="n">
        <f aca="false">N(M1796)</f>
        <v>0</v>
      </c>
      <c r="CM1796" s="62" t="n">
        <f aca="false">N(N1796)</f>
        <v>0</v>
      </c>
      <c r="CN1796" s="62" t="n">
        <f aca="false">ROUNDUP(H1796/BZ1796,0)</f>
        <v>0</v>
      </c>
      <c r="CO1796" s="62" t="n">
        <f aca="false">ROUNDUP(CJ1796/BZ1796,0)</f>
        <v>0</v>
      </c>
      <c r="CP1796" s="65" t="n">
        <f aca="false">IF(CA1796=1,0,IFERROR(VLOOKUP(BY1796,'Gebinde-Kategorie'!$A$5:$N$45,5,0)+0,0))</f>
        <v>0</v>
      </c>
      <c r="CQ1796" s="65" t="n">
        <f aca="false">IFERROR(IF(OR(CF1796=1,CF1796=2,CF1796=3),N(INDEX(Parameter!$I$5:$I$7,CF1796)),0),0)</f>
        <v>0</v>
      </c>
      <c r="CR1796" s="64" t="n">
        <f aca="false">IF(AND(Parameter!$B$21="Ja",ISNUMBER(W1796),N(X1796)&gt;0),IFERROR(N(INDEX(Parameter!$L$5:$L$7,W1796))*INDEX(Parameter!$E$5:$E$7,W1796)*X1796/SUMIFS($X$7:$X$1843,$W$7:$W$1843,W1796),0),0)</f>
        <v>0</v>
      </c>
      <c r="CS1796" s="62" t="str">
        <f aca="false">IF(AND(OR(CG1796="L1",CG1796="L23",CG1796="LIFT"),H1796&gt;0),CC1796*IF(CR1796&gt;0,CR1796*MAX(1,H1796/X1796),IF(CA1796=1,CE1796,IF(R1796&gt;0,CN1796/R1796,0))/MAX(0.1,N(Parameter!$M$21))),"")</f>
        <v/>
      </c>
      <c r="CT1796" s="64" t="str">
        <f aca="false">IF(CS1796="","",J1796/H1796)</f>
        <v/>
      </c>
      <c r="CU1796" s="62" t="str">
        <f aca="false">IF(CS1796="","",H1796*G1796)</f>
        <v/>
      </c>
      <c r="CV1796" s="63" t="str">
        <f aca="false">IF(CS1796="","",(CL1796+ROUNDUP(CL1796+MAX(CM1796,2*(J1796/MAX(0.1,N(Einkauf!$C$6))-CL1796)),0))/2)</f>
        <v/>
      </c>
      <c r="CW1796" s="62" t="str">
        <f aca="false">IF(CS1796="","",MAX(0,H1796-CV1796)*G1796)</f>
        <v/>
      </c>
      <c r="CX1796" s="62" t="str">
        <f aca="false">IF(CS1796="","",CS1796*MAX(0,1-CV1796/H1796))</f>
        <v/>
      </c>
      <c r="CY1796" s="64" t="str">
        <f aca="false">IF(CS1796="","",PERCENTRANK($CS$7:$CS$1843,CS1796)+PERCENTRANK($CU$7:$CU$1843,CU1796)+1-PERCENTRANK($CT$7:$CT$1843,CT1796))</f>
        <v/>
      </c>
      <c r="CZ1796" s="72" t="str">
        <f aca="false">IF(CS1796="","",CHOOSE(MATCH(Einkauf!$C$5,Parameter!$G$23:$G$27,0),CY1796,CS1796,CU1796,-CT1796,CW1796)+ROW()/1000000000)</f>
        <v/>
      </c>
    </row>
    <row r="1797" customFormat="false" ht="15" hidden="false" customHeight="false" outlineLevel="0" collapsed="false">
      <c r="A1797" s="60" t="str">
        <f aca="false">IF('Neue Artikel'!$A$58="","",'Neue Artikel'!$A$58&amp;"")</f>
        <v/>
      </c>
      <c r="B1797" s="60" t="str">
        <f aca="false">'Neue Artikel'!$B$58&amp;""</f>
        <v/>
      </c>
      <c r="C1797" s="60"/>
      <c r="D1797" s="60" t="s">
        <v>3057</v>
      </c>
      <c r="E1797" s="60"/>
      <c r="F1797" s="60"/>
      <c r="G1797" s="61" t="n">
        <f aca="false">N('Neue Artikel'!$G$58)</f>
        <v>0</v>
      </c>
      <c r="H1797" s="62" t="n">
        <f aca="false">MAX(0,IF(AND(Parameter!$B$21="Ja",ISNUMBER(Y1797)),Y1797,IF(Parameter!$B$20="Jahresanfang 2025 + Export",BS1797+BR1797,BR1797)))</f>
        <v>0</v>
      </c>
      <c r="I1797" s="62" t="n">
        <f aca="false">H1797*G1797</f>
        <v>0</v>
      </c>
      <c r="J1797" s="62" t="n">
        <f aca="false">BU1797*Parameter!$B$18</f>
        <v>0</v>
      </c>
      <c r="K1797" s="63"/>
      <c r="L1797" s="64"/>
      <c r="M1797" s="62" t="n">
        <f aca="false">N('Neue Artikel'!$E$58)</f>
        <v>0</v>
      </c>
      <c r="N1797" s="62" t="n">
        <f aca="false">N('Neue Artikel'!$F$58)</f>
        <v>0</v>
      </c>
      <c r="O1797" s="65"/>
      <c r="P1797" s="60" t="str">
        <f aca="false">IF('Neue Artikel'!$H$58="","LOSE",UPPER(TRIM('Neue Artikel'!$H$58)))</f>
        <v>LOSE</v>
      </c>
      <c r="Q1797" s="62" t="n">
        <f aca="false">N('Neue Artikel'!$I$58)</f>
        <v>0</v>
      </c>
      <c r="R1797" s="65" t="n">
        <f aca="false">IF(CA1797=1,0,IFERROR(VLOOKUP(BY1797,'Gebinde-Kategorie'!$A$5:$N$45,13,0)+0,0))</f>
        <v>0</v>
      </c>
      <c r="S1797" s="66"/>
      <c r="T1797" s="67"/>
      <c r="U1797" s="67"/>
      <c r="V1797" s="67"/>
      <c r="W1797" s="60"/>
      <c r="X1797" s="62"/>
      <c r="Y1797" s="62"/>
      <c r="Z1797" s="60"/>
      <c r="AA1797" s="60" t="str">
        <f aca="false">IF(A1797="","",IF(AND(Parameter!$B$21="Ja",ISNUMBER(W1797)),W1797,IF(AND(Parameter!$E$27="Ja",ISNUMBER(Z1797),CD1797&lt;&gt;"Nein"),Z1797,IF(CD1797="2+3",IF(ISNUMBER(SEARCH("grosser Artikel",BV1797)),2,IFERROR(VLOOKUP(BY1797,Parameter!$F$35:$G$64,2,0),2)),IF(OR(CD1797="Nein",CD1797=""),"-",CD1797)))))</f>
        <v/>
      </c>
      <c r="AB1797" s="60" t="str">
        <f aca="false">IF('Neue Artikel'!$J$58="","",'Neue Artikel'!$J$58)</f>
        <v/>
      </c>
      <c r="AC1797" s="68"/>
      <c r="AD1797" s="62" t="n">
        <f aca="false">AW1797</f>
        <v>0</v>
      </c>
      <c r="AE1797" s="62" t="n">
        <f aca="false">MAX(AW1797,H1797)</f>
        <v>0</v>
      </c>
      <c r="AF1797" s="69"/>
      <c r="AG1797" s="62" t="n">
        <f aca="false">IF(LEFT(Cockpit!$C$5,1)="A",H1797,IF(Parameter!$E$30="MAX-Bestand",IF(CI1797=1,CJ1797,IF(LEFT(Cockpit!$C$5,1)="B",AM1797,MAX(AM1797,H1797))),ROUNDUP(AK1797,0)))</f>
        <v>0</v>
      </c>
      <c r="AH1797" s="62" t="n">
        <f aca="false">IF(CA1797=1,0,ROUNDUP(AG1797/BZ1797,0))</f>
        <v>0</v>
      </c>
      <c r="AI1797" s="64" t="n">
        <f aca="false">IF(CR1797&gt;0,CR1797*MAX(1,AG1797/X1797),IF(CA1797=1,IF(AG1797&lt;=0,0,CE1797*MAX(1,IF(H1797&gt;0,AG1797/H1797,1))),IF(R1797&gt;0,AH1797/R1797,0))/MAX(0.1,N(Parameter!$M$21)))</f>
        <v>0</v>
      </c>
      <c r="AJ1797" s="62" t="n">
        <f aca="false">AI1797*CC1797</f>
        <v>0</v>
      </c>
      <c r="AK1797" s="63" t="n">
        <f aca="false">IF(LEFT(Cockpit!$C$5,1)="A",H1797,IF(CI1797=1,(CL1797+CJ1797)/2,IF(LEFT(Cockpit!$C$5,1)="B",(CL1797+AM1797)/2,MAX((CL1797+AM1797)/2,H1797))))</f>
        <v>0</v>
      </c>
      <c r="AL1797" s="62" t="n">
        <f aca="false">AK1797*G1797</f>
        <v>0</v>
      </c>
      <c r="AM1797" s="62" t="n">
        <f aca="false">ROUNDUP(CL1797+MAX(CM1797,2*(J1797/IF(CH1797&gt;0,CH1797,MAX(0.1,N(Cockpit!$C$6)))-CL1797)),0)</f>
        <v>0</v>
      </c>
      <c r="AN1797" s="63" t="n">
        <f aca="false">IF(AJ1797&gt;0,J1797/AJ1797,-1)</f>
        <v>-1</v>
      </c>
      <c r="AO1797" s="63" t="str">
        <f aca="false">IF(AND(OR(CG1797="L1",CG1797="L23",CG1797="LIFT"),AJ1797&gt;0),SUMIFS($AJ$7:$AJ$1843,$CG$7:$CG$1843,CG1797,$AN$7:$AN$1843,"&gt;"&amp;AN1797)+SUMIFS($AJ$7:$AJ$1843,$CG$7:$CG$1843,CG1797,$AN$7:$AN$1843,AN1797,$BX$7:$BX$1843,"&lt;="&amp;BX1797),"")</f>
        <v/>
      </c>
      <c r="AP1797" s="70" t="n">
        <f aca="false">IF(AO1797="",0,MAX(0,MIN(1,(IF(CG1797="L1",Parameter!$H$5,IF(CG1797="L23",Parameter!$H$6+Parameter!$H$7,Parameter!$H$5+Parameter!$H$6+Parameter!$H$7))-(AO1797-AJ1797))/AJ1797)))</f>
        <v>0</v>
      </c>
      <c r="AQ1797" s="62" t="n">
        <f aca="false">IF(LEFT(Cockpit!$I$5,1)="A",H1797,IF(Parameter!$E$30="MAX-Bestand",IF(CI1797=1,CJ1797,IF(LEFT(Cockpit!$I$5,1)="B",AW1797,MAX(AW1797,H1797))),ROUNDUP(AU1797,0)))</f>
        <v>0</v>
      </c>
      <c r="AR1797" s="62" t="n">
        <f aca="false">IF(CA1797=1,0,ROUNDUP(AQ1797/BZ1797,0))</f>
        <v>0</v>
      </c>
      <c r="AS1797" s="64" t="n">
        <f aca="false">IF(CR1797&gt;0,CR1797*MAX(1,AQ1797/X1797),IF(CA1797=1,IF(AQ1797&lt;=0,0,CE1797*MAX(1,IF(H1797&gt;0,AQ1797/H1797,1))),IF(R1797&gt;0,AR1797/R1797,0))/MAX(0.1,N(Parameter!$M$21)))</f>
        <v>0</v>
      </c>
      <c r="AT1797" s="62" t="n">
        <f aca="false">AS1797*CC1797</f>
        <v>0</v>
      </c>
      <c r="AU1797" s="63" t="n">
        <f aca="false">IF(LEFT(Cockpit!$I$5,1)="A",H1797,IF(CI1797=1,(CL1797+CJ1797)/2,IF(LEFT(Cockpit!$I$5,1)="B",(CL1797+AW1797)/2,MAX((CL1797+AW1797)/2,H1797))))</f>
        <v>0</v>
      </c>
      <c r="AV1797" s="62" t="n">
        <f aca="false">AU1797*G1797</f>
        <v>0</v>
      </c>
      <c r="AW1797" s="62" t="n">
        <f aca="false">ROUNDUP(CL1797+MAX(CM1797,2*(J1797/IF(CH1797&gt;0,CH1797,MAX(0.1,N(Cockpit!$I$6)))-CL1797)),0)</f>
        <v>0</v>
      </c>
      <c r="AX1797" s="63" t="n">
        <f aca="false">IF(AT1797&gt;0,J1797/AT1797,-1)</f>
        <v>-1</v>
      </c>
      <c r="AY1797" s="63" t="str">
        <f aca="false">IF(AND(OR(CG1797="L1",CG1797="L23",CG1797="LIFT"),AT1797&gt;0),SUMIFS($AT$7:$AT$1843,$CG$7:$CG$1843,CG1797,$AX$7:$AX$1843,"&gt;"&amp;AX1797)+SUMIFS($AT$7:$AT$1843,$CG$7:$CG$1843,CG1797,$AX$7:$AX$1843,AX1797,$BX$7:$BX$1843,"&lt;="&amp;BX1797),"")</f>
        <v/>
      </c>
      <c r="AZ1797" s="70" t="n">
        <f aca="false">IF(AY1797="",0,MAX(0,MIN(1,(IF(CG1797="L1",Parameter!$H$5,IF(CG1797="L23",Parameter!$H$6+Parameter!$H$7,Parameter!$H$5+Parameter!$H$6+Parameter!$H$7))-(AY1797-AT1797))/AT1797)))</f>
        <v>0</v>
      </c>
      <c r="BA1797" s="62" t="n">
        <f aca="false">IF(LEFT(Cockpit!$O$5,1)="A",H1797,IF(Parameter!$E$30="MAX-Bestand",IF(CI1797=1,CJ1797,IF(LEFT(Cockpit!$O$5,1)="B",BG1797,MAX(BG1797,H1797))),ROUNDUP(BE1797,0)))</f>
        <v>0</v>
      </c>
      <c r="BB1797" s="62" t="n">
        <f aca="false">IF(CA1797=1,0,ROUNDUP(BA1797/BZ1797,0))</f>
        <v>0</v>
      </c>
      <c r="BC1797" s="64" t="n">
        <f aca="false">IF(CR1797&gt;0,CR1797*MAX(1,BA1797/X1797),IF(CA1797=1,IF(BA1797&lt;=0,0,CE1797*MAX(1,IF(H1797&gt;0,BA1797/H1797,1))),IF(R1797&gt;0,BB1797/R1797,0))/MAX(0.1,N(Parameter!$M$21)))</f>
        <v>0</v>
      </c>
      <c r="BD1797" s="62" t="n">
        <f aca="false">BC1797*CC1797</f>
        <v>0</v>
      </c>
      <c r="BE1797" s="63" t="n">
        <f aca="false">IF(LEFT(Cockpit!$O$5,1)="A",H1797,IF(CI1797=1,(CL1797+CJ1797)/2,IF(LEFT(Cockpit!$O$5,1)="B",(CL1797+BG1797)/2,MAX((CL1797+BG1797)/2,H1797))))</f>
        <v>0</v>
      </c>
      <c r="BF1797" s="62" t="n">
        <f aca="false">BE1797*G1797</f>
        <v>0</v>
      </c>
      <c r="BG1797" s="62" t="n">
        <f aca="false">ROUNDUP(CL1797+MAX(CM1797,2*(J1797/IF(CH1797&gt;0,CH1797,MAX(0.1,N(Cockpit!$O$6)))-CL1797)),0)</f>
        <v>0</v>
      </c>
      <c r="BH1797" s="63" t="n">
        <f aca="false">IF(BD1797&gt;0,J1797/BD1797,-1)</f>
        <v>-1</v>
      </c>
      <c r="BI1797" s="63" t="str">
        <f aca="false">IF(AND(OR(CG1797="L1",CG1797="L23",CG1797="LIFT"),BD1797&gt;0),SUMIFS($BD$7:$BD$1843,$CG$7:$CG$1843,CG1797,$BH$7:$BH$1843,"&gt;"&amp;BH1797)+SUMIFS($BD$7:$BD$1843,$CG$7:$CG$1843,CG1797,$BH$7:$BH$1843,BH1797,$BX$7:$BX$1843,"&lt;="&amp;BX1797),"")</f>
        <v/>
      </c>
      <c r="BJ1797" s="70" t="n">
        <f aca="false">IF(BI1797="",0,MAX(0,MIN(1,(IF(CG1797="L1",Parameter!$H$5,IF(CG1797="L23",Parameter!$H$6+Parameter!$H$7,Parameter!$H$5+Parameter!$H$6+Parameter!$H$7))-(BI1797-BD1797))/BD1797)))</f>
        <v>0</v>
      </c>
      <c r="BK1797" s="60" t="str">
        <f aca="false">IF(AJ1797&lt;=0,"",IF(CG1797="Aussen","Aussenlager",IF(CG1797="-","Nicht im Lift",IF(AP1797&gt;=1,"Lift",IF(AP1797&lt;=0,"Aussenlager","teilweise")))))</f>
        <v/>
      </c>
      <c r="BL1797" s="60" t="str">
        <f aca="false">IF(AT1797&lt;=0,"",IF(CG1797="Aussen","Aussenlager",IF(CG1797="-","Nicht im Lift",IF(AZ1797&gt;=1,"Lift",IF(AZ1797&lt;=0,"Aussenlager","teilweise")))))</f>
        <v/>
      </c>
      <c r="BM1797" s="60" t="str">
        <f aca="false">IF(BD1797&lt;=0,"",IF(CG1797="Aussen","Aussenlager",IF(CG1797="-","Nicht im Lift",IF(BJ1797&gt;=1,"Lift",IF(BJ1797&lt;=0,"Aussenlager","teilweise")))))</f>
        <v/>
      </c>
      <c r="BN1797" s="60" t="str">
        <f aca="false">IF(A1797="","",IF(BW1797=1,"Neu; ","")&amp;IF(AND(BW1797=0,BR1797&lt;0),"negativer Bestand (Export "&amp;BR1797&amp;"); ","")&amp;IF(J1797&lt;=0,"Kein Verbrauch; ","")&amp;IF(CR1797&gt;0,"Lift "&amp;W1797&amp;" lt. Liftbericht (Fach "&amp;X1797&amp;" Stk); ",IF(CB1797=1,"Gebinde geschätzt ("&amp;T1797&amp;"); ",IF(CA1797=1,"Lose – Tablare geschätzt; ","")))&amp;IF(H1797&gt;AW1797,"Überbestand "&amp;ROUND(H1797-AW1797,0)&amp;" Stk / CHF "&amp;ROUND((H1797-AW1797)*G1797,0)&amp;"; ","")&amp;IF(AND(CI1797=1,CJ1797&lt;CK1797),"MAX &lt; MB+LG; ","")&amp;IF(AND(CQ1797&gt;0,CP1797*10&gt;CQ1797),"zu hoch für Tablar; ","")&amp;IF(AND(BW1797=0,OR(CI1797=1,AB1797&lt;&gt;"",U1797&lt;&gt;"",V1797&lt;&gt;"",AC1797&lt;&gt;"")),"manuell übersteuert; ","")&amp;IF(AND(CA1797=0,R1797=0),"Gebinde unbekannt / Stellmass fehlt; ","")&amp;IF(AND(CA1797=0,N(V1797)&lt;=0,N(Q1797)&lt;=0),"Menge pro Gebinde fehlt (Ist = 1 Gebinde); ","")&amp;BV1797)</f>
        <v/>
      </c>
      <c r="BO1797" s="60"/>
      <c r="BP1797" s="60"/>
      <c r="BQ1797" s="67"/>
      <c r="BR1797" s="62" t="n">
        <f aca="false">N('Neue Artikel'!$D$58)</f>
        <v>0</v>
      </c>
      <c r="BS1797" s="62" t="n">
        <v>0</v>
      </c>
      <c r="BT1797" s="61" t="n">
        <v>0</v>
      </c>
      <c r="BU1797" s="62" t="n">
        <f aca="false">N('Neue Artikel'!$C$58)/Parameter!$B$18</f>
        <v>0</v>
      </c>
      <c r="BV1797" s="60"/>
      <c r="BW1797" s="65" t="n">
        <v>1</v>
      </c>
      <c r="BX1797" s="65" t="n">
        <v>1797</v>
      </c>
      <c r="BY1797" s="60" t="str">
        <f aca="false">IF(U1797&lt;&gt;"",UPPER(TRIM(U1797)),IF(CB1797=1,UPPER(VLOOKUP(T1797,Parameter!$I$27:$K$29,2,0)),IF(P1797="","LOSE",P1797)))</f>
        <v>LOSE</v>
      </c>
      <c r="BZ1797" s="62" t="n">
        <f aca="false">IF(BY1797="LOSE",1,IF(N(V1797)&gt;0,V1797,IF(CB1797=1,MAX(1,N(VLOOKUP(T1797,Parameter!$I$27:$K$29,3,0)),H1797,N(N1797)),IF(N(Q1797)&gt;0,Q1797,MAX(1,H1797)))))</f>
        <v>1</v>
      </c>
      <c r="CA1797" s="65" t="n">
        <f aca="false">IF(BY1797="LOSE",1,0)</f>
        <v>1</v>
      </c>
      <c r="CB1797" s="65" t="n">
        <f aca="false">IF(AND(U1797="",OR(P1797="",P1797="LOSE"),T1797&lt;&gt;"",N(S1797)&lt;=0,ISNUMBER(MATCH(T1797,Parameter!$I$27:$I$29,0))),1,0)</f>
        <v>0</v>
      </c>
      <c r="CC1797" s="65" t="n">
        <f aca="false">IF(CR1797&gt;0,INDEX(Parameter!$H$5:$H$7,W1797)/INDEX(Parameter!$E$5:$E$7,W1797),IF(AND(CA1797=0,N(IFERROR(VLOOKUP(BY1797,'Gebinde-Kategorie'!$A$5:$N$45,14,0),0))&gt;0),VLOOKUP(BY1797,'Gebinde-Kategorie'!$A$5:$N$45,14,0)*10+Parameter!$M$23,Parameter!$M$24))</f>
        <v>235</v>
      </c>
      <c r="CD1797" s="60" t="str">
        <f aca="false">IF(AND(Parameter!$B$19="Ja",E1797&lt;&gt;"",ISNUMBER(MATCH(E1797,Parameter!$I$35:$I$52,0))),VLOOKUP(E1797,Parameter!$I$35:$J$52,2,0),IFERROR(VLOOKUP(D1797,Parameter!$A$35:$C$64,2,0),"Nein"))</f>
        <v>2+3</v>
      </c>
      <c r="CE1797" s="64" t="n">
        <f aca="false">IF(CA1797=0,0,IF(N(S1797)&gt;0,S1797,IFERROR(VLOOKUP(D1797,Parameter!$A$35:$C$64,3,0)+0,0)))</f>
        <v>0.15</v>
      </c>
      <c r="CF1797" s="60" t="str">
        <f aca="false">IF(AB1797&lt;&gt;"",AB1797,AA1797)</f>
        <v/>
      </c>
      <c r="CG1797" s="60" t="str">
        <f aca="false">IF(OR(CF1797=1,CF1797=2,CF1797=3),IF(Parameter!$E$27="Ja","LIFT",IF(CF1797=1,"L1","L23")),IF(CF1797="Aussen","Aussen","-"))</f>
        <v>-</v>
      </c>
      <c r="CH1797" s="71" t="n">
        <f aca="false">IF(N(AC1797)&gt;0,AC1797,0)</f>
        <v>0</v>
      </c>
      <c r="CI1797" s="65" t="n">
        <f aca="false">IF(ISNUMBER(AF1797),1,0)</f>
        <v>0</v>
      </c>
      <c r="CJ1797" s="62" t="n">
        <f aca="false">N(AF1797)</f>
        <v>0</v>
      </c>
      <c r="CK1797" s="62" t="n">
        <f aca="false">N(M1797)+N(N1797)</f>
        <v>0</v>
      </c>
      <c r="CL1797" s="62" t="n">
        <f aca="false">N(M1797)</f>
        <v>0</v>
      </c>
      <c r="CM1797" s="62" t="n">
        <f aca="false">N(N1797)</f>
        <v>0</v>
      </c>
      <c r="CN1797" s="62" t="n">
        <f aca="false">ROUNDUP(H1797/BZ1797,0)</f>
        <v>0</v>
      </c>
      <c r="CO1797" s="62" t="n">
        <f aca="false">ROUNDUP(CJ1797/BZ1797,0)</f>
        <v>0</v>
      </c>
      <c r="CP1797" s="65" t="n">
        <f aca="false">IF(CA1797=1,0,IFERROR(VLOOKUP(BY1797,'Gebinde-Kategorie'!$A$5:$N$45,5,0)+0,0))</f>
        <v>0</v>
      </c>
      <c r="CQ1797" s="65" t="n">
        <f aca="false">IFERROR(IF(OR(CF1797=1,CF1797=2,CF1797=3),N(INDEX(Parameter!$I$5:$I$7,CF1797)),0),0)</f>
        <v>0</v>
      </c>
      <c r="CR1797" s="64" t="n">
        <f aca="false">IF(AND(Parameter!$B$21="Ja",ISNUMBER(W1797),N(X1797)&gt;0),IFERROR(N(INDEX(Parameter!$L$5:$L$7,W1797))*INDEX(Parameter!$E$5:$E$7,W1797)*X1797/SUMIFS($X$7:$X$1843,$W$7:$W$1843,W1797),0),0)</f>
        <v>0</v>
      </c>
      <c r="CS1797" s="62" t="str">
        <f aca="false">IF(AND(OR(CG1797="L1",CG1797="L23",CG1797="LIFT"),H1797&gt;0),CC1797*IF(CR1797&gt;0,CR1797*MAX(1,H1797/X1797),IF(CA1797=1,CE1797,IF(R1797&gt;0,CN1797/R1797,0))/MAX(0.1,N(Parameter!$M$21))),"")</f>
        <v/>
      </c>
      <c r="CT1797" s="64" t="str">
        <f aca="false">IF(CS1797="","",J1797/H1797)</f>
        <v/>
      </c>
      <c r="CU1797" s="62" t="str">
        <f aca="false">IF(CS1797="","",H1797*G1797)</f>
        <v/>
      </c>
      <c r="CV1797" s="63" t="str">
        <f aca="false">IF(CS1797="","",(CL1797+ROUNDUP(CL1797+MAX(CM1797,2*(J1797/MAX(0.1,N(Einkauf!$C$6))-CL1797)),0))/2)</f>
        <v/>
      </c>
      <c r="CW1797" s="62" t="str">
        <f aca="false">IF(CS1797="","",MAX(0,H1797-CV1797)*G1797)</f>
        <v/>
      </c>
      <c r="CX1797" s="62" t="str">
        <f aca="false">IF(CS1797="","",CS1797*MAX(0,1-CV1797/H1797))</f>
        <v/>
      </c>
      <c r="CY1797" s="64" t="str">
        <f aca="false">IF(CS1797="","",PERCENTRANK($CS$7:$CS$1843,CS1797)+PERCENTRANK($CU$7:$CU$1843,CU1797)+1-PERCENTRANK($CT$7:$CT$1843,CT1797))</f>
        <v/>
      </c>
      <c r="CZ1797" s="72" t="str">
        <f aca="false">IF(CS1797="","",CHOOSE(MATCH(Einkauf!$C$5,Parameter!$G$23:$G$27,0),CY1797,CS1797,CU1797,-CT1797,CW1797)+ROW()/1000000000)</f>
        <v/>
      </c>
    </row>
    <row r="1798" customFormat="false" ht="15" hidden="false" customHeight="false" outlineLevel="0" collapsed="false">
      <c r="A1798" s="60" t="str">
        <f aca="false">IF('Neue Artikel'!$A$59="","",'Neue Artikel'!$A$59&amp;"")</f>
        <v/>
      </c>
      <c r="B1798" s="60" t="str">
        <f aca="false">'Neue Artikel'!$B$59&amp;""</f>
        <v/>
      </c>
      <c r="C1798" s="60"/>
      <c r="D1798" s="60" t="s">
        <v>3057</v>
      </c>
      <c r="E1798" s="60"/>
      <c r="F1798" s="60"/>
      <c r="G1798" s="61" t="n">
        <f aca="false">N('Neue Artikel'!$G$59)</f>
        <v>0</v>
      </c>
      <c r="H1798" s="62" t="n">
        <f aca="false">MAX(0,IF(AND(Parameter!$B$21="Ja",ISNUMBER(Y1798)),Y1798,IF(Parameter!$B$20="Jahresanfang 2025 + Export",BS1798+BR1798,BR1798)))</f>
        <v>0</v>
      </c>
      <c r="I1798" s="62" t="n">
        <f aca="false">H1798*G1798</f>
        <v>0</v>
      </c>
      <c r="J1798" s="62" t="n">
        <f aca="false">BU1798*Parameter!$B$18</f>
        <v>0</v>
      </c>
      <c r="K1798" s="63"/>
      <c r="L1798" s="64"/>
      <c r="M1798" s="62" t="n">
        <f aca="false">N('Neue Artikel'!$E$59)</f>
        <v>0</v>
      </c>
      <c r="N1798" s="62" t="n">
        <f aca="false">N('Neue Artikel'!$F$59)</f>
        <v>0</v>
      </c>
      <c r="O1798" s="65"/>
      <c r="P1798" s="60" t="str">
        <f aca="false">IF('Neue Artikel'!$H$59="","LOSE",UPPER(TRIM('Neue Artikel'!$H$59)))</f>
        <v>LOSE</v>
      </c>
      <c r="Q1798" s="62" t="n">
        <f aca="false">N('Neue Artikel'!$I$59)</f>
        <v>0</v>
      </c>
      <c r="R1798" s="65" t="n">
        <f aca="false">IF(CA1798=1,0,IFERROR(VLOOKUP(BY1798,'Gebinde-Kategorie'!$A$5:$N$45,13,0)+0,0))</f>
        <v>0</v>
      </c>
      <c r="S1798" s="66"/>
      <c r="T1798" s="67"/>
      <c r="U1798" s="67"/>
      <c r="V1798" s="67"/>
      <c r="W1798" s="60"/>
      <c r="X1798" s="62"/>
      <c r="Y1798" s="62"/>
      <c r="Z1798" s="60"/>
      <c r="AA1798" s="60" t="str">
        <f aca="false">IF(A1798="","",IF(AND(Parameter!$B$21="Ja",ISNUMBER(W1798)),W1798,IF(AND(Parameter!$E$27="Ja",ISNUMBER(Z1798),CD1798&lt;&gt;"Nein"),Z1798,IF(CD1798="2+3",IF(ISNUMBER(SEARCH("grosser Artikel",BV1798)),2,IFERROR(VLOOKUP(BY1798,Parameter!$F$35:$G$64,2,0),2)),IF(OR(CD1798="Nein",CD1798=""),"-",CD1798)))))</f>
        <v/>
      </c>
      <c r="AB1798" s="60" t="str">
        <f aca="false">IF('Neue Artikel'!$J$59="","",'Neue Artikel'!$J$59)</f>
        <v/>
      </c>
      <c r="AC1798" s="68"/>
      <c r="AD1798" s="62" t="n">
        <f aca="false">AW1798</f>
        <v>0</v>
      </c>
      <c r="AE1798" s="62" t="n">
        <f aca="false">MAX(AW1798,H1798)</f>
        <v>0</v>
      </c>
      <c r="AF1798" s="69"/>
      <c r="AG1798" s="62" t="n">
        <f aca="false">IF(LEFT(Cockpit!$C$5,1)="A",H1798,IF(Parameter!$E$30="MAX-Bestand",IF(CI1798=1,CJ1798,IF(LEFT(Cockpit!$C$5,1)="B",AM1798,MAX(AM1798,H1798))),ROUNDUP(AK1798,0)))</f>
        <v>0</v>
      </c>
      <c r="AH1798" s="62" t="n">
        <f aca="false">IF(CA1798=1,0,ROUNDUP(AG1798/BZ1798,0))</f>
        <v>0</v>
      </c>
      <c r="AI1798" s="64" t="n">
        <f aca="false">IF(CR1798&gt;0,CR1798*MAX(1,AG1798/X1798),IF(CA1798=1,IF(AG1798&lt;=0,0,CE1798*MAX(1,IF(H1798&gt;0,AG1798/H1798,1))),IF(R1798&gt;0,AH1798/R1798,0))/MAX(0.1,N(Parameter!$M$21)))</f>
        <v>0</v>
      </c>
      <c r="AJ1798" s="62" t="n">
        <f aca="false">AI1798*CC1798</f>
        <v>0</v>
      </c>
      <c r="AK1798" s="63" t="n">
        <f aca="false">IF(LEFT(Cockpit!$C$5,1)="A",H1798,IF(CI1798=1,(CL1798+CJ1798)/2,IF(LEFT(Cockpit!$C$5,1)="B",(CL1798+AM1798)/2,MAX((CL1798+AM1798)/2,H1798))))</f>
        <v>0</v>
      </c>
      <c r="AL1798" s="62" t="n">
        <f aca="false">AK1798*G1798</f>
        <v>0</v>
      </c>
      <c r="AM1798" s="62" t="n">
        <f aca="false">ROUNDUP(CL1798+MAX(CM1798,2*(J1798/IF(CH1798&gt;0,CH1798,MAX(0.1,N(Cockpit!$C$6)))-CL1798)),0)</f>
        <v>0</v>
      </c>
      <c r="AN1798" s="63" t="n">
        <f aca="false">IF(AJ1798&gt;0,J1798/AJ1798,-1)</f>
        <v>-1</v>
      </c>
      <c r="AO1798" s="63" t="str">
        <f aca="false">IF(AND(OR(CG1798="L1",CG1798="L23",CG1798="LIFT"),AJ1798&gt;0),SUMIFS($AJ$7:$AJ$1843,$CG$7:$CG$1843,CG1798,$AN$7:$AN$1843,"&gt;"&amp;AN1798)+SUMIFS($AJ$7:$AJ$1843,$CG$7:$CG$1843,CG1798,$AN$7:$AN$1843,AN1798,$BX$7:$BX$1843,"&lt;="&amp;BX1798),"")</f>
        <v/>
      </c>
      <c r="AP1798" s="70" t="n">
        <f aca="false">IF(AO1798="",0,MAX(0,MIN(1,(IF(CG1798="L1",Parameter!$H$5,IF(CG1798="L23",Parameter!$H$6+Parameter!$H$7,Parameter!$H$5+Parameter!$H$6+Parameter!$H$7))-(AO1798-AJ1798))/AJ1798)))</f>
        <v>0</v>
      </c>
      <c r="AQ1798" s="62" t="n">
        <f aca="false">IF(LEFT(Cockpit!$I$5,1)="A",H1798,IF(Parameter!$E$30="MAX-Bestand",IF(CI1798=1,CJ1798,IF(LEFT(Cockpit!$I$5,1)="B",AW1798,MAX(AW1798,H1798))),ROUNDUP(AU1798,0)))</f>
        <v>0</v>
      </c>
      <c r="AR1798" s="62" t="n">
        <f aca="false">IF(CA1798=1,0,ROUNDUP(AQ1798/BZ1798,0))</f>
        <v>0</v>
      </c>
      <c r="AS1798" s="64" t="n">
        <f aca="false">IF(CR1798&gt;0,CR1798*MAX(1,AQ1798/X1798),IF(CA1798=1,IF(AQ1798&lt;=0,0,CE1798*MAX(1,IF(H1798&gt;0,AQ1798/H1798,1))),IF(R1798&gt;0,AR1798/R1798,0))/MAX(0.1,N(Parameter!$M$21)))</f>
        <v>0</v>
      </c>
      <c r="AT1798" s="62" t="n">
        <f aca="false">AS1798*CC1798</f>
        <v>0</v>
      </c>
      <c r="AU1798" s="63" t="n">
        <f aca="false">IF(LEFT(Cockpit!$I$5,1)="A",H1798,IF(CI1798=1,(CL1798+CJ1798)/2,IF(LEFT(Cockpit!$I$5,1)="B",(CL1798+AW1798)/2,MAX((CL1798+AW1798)/2,H1798))))</f>
        <v>0</v>
      </c>
      <c r="AV1798" s="62" t="n">
        <f aca="false">AU1798*G1798</f>
        <v>0</v>
      </c>
      <c r="AW1798" s="62" t="n">
        <f aca="false">ROUNDUP(CL1798+MAX(CM1798,2*(J1798/IF(CH1798&gt;0,CH1798,MAX(0.1,N(Cockpit!$I$6)))-CL1798)),0)</f>
        <v>0</v>
      </c>
      <c r="AX1798" s="63" t="n">
        <f aca="false">IF(AT1798&gt;0,J1798/AT1798,-1)</f>
        <v>-1</v>
      </c>
      <c r="AY1798" s="63" t="str">
        <f aca="false">IF(AND(OR(CG1798="L1",CG1798="L23",CG1798="LIFT"),AT1798&gt;0),SUMIFS($AT$7:$AT$1843,$CG$7:$CG$1843,CG1798,$AX$7:$AX$1843,"&gt;"&amp;AX1798)+SUMIFS($AT$7:$AT$1843,$CG$7:$CG$1843,CG1798,$AX$7:$AX$1843,AX1798,$BX$7:$BX$1843,"&lt;="&amp;BX1798),"")</f>
        <v/>
      </c>
      <c r="AZ1798" s="70" t="n">
        <f aca="false">IF(AY1798="",0,MAX(0,MIN(1,(IF(CG1798="L1",Parameter!$H$5,IF(CG1798="L23",Parameter!$H$6+Parameter!$H$7,Parameter!$H$5+Parameter!$H$6+Parameter!$H$7))-(AY1798-AT1798))/AT1798)))</f>
        <v>0</v>
      </c>
      <c r="BA1798" s="62" t="n">
        <f aca="false">IF(LEFT(Cockpit!$O$5,1)="A",H1798,IF(Parameter!$E$30="MAX-Bestand",IF(CI1798=1,CJ1798,IF(LEFT(Cockpit!$O$5,1)="B",BG1798,MAX(BG1798,H1798))),ROUNDUP(BE1798,0)))</f>
        <v>0</v>
      </c>
      <c r="BB1798" s="62" t="n">
        <f aca="false">IF(CA1798=1,0,ROUNDUP(BA1798/BZ1798,0))</f>
        <v>0</v>
      </c>
      <c r="BC1798" s="64" t="n">
        <f aca="false">IF(CR1798&gt;0,CR1798*MAX(1,BA1798/X1798),IF(CA1798=1,IF(BA1798&lt;=0,0,CE1798*MAX(1,IF(H1798&gt;0,BA1798/H1798,1))),IF(R1798&gt;0,BB1798/R1798,0))/MAX(0.1,N(Parameter!$M$21)))</f>
        <v>0</v>
      </c>
      <c r="BD1798" s="62" t="n">
        <f aca="false">BC1798*CC1798</f>
        <v>0</v>
      </c>
      <c r="BE1798" s="63" t="n">
        <f aca="false">IF(LEFT(Cockpit!$O$5,1)="A",H1798,IF(CI1798=1,(CL1798+CJ1798)/2,IF(LEFT(Cockpit!$O$5,1)="B",(CL1798+BG1798)/2,MAX((CL1798+BG1798)/2,H1798))))</f>
        <v>0</v>
      </c>
      <c r="BF1798" s="62" t="n">
        <f aca="false">BE1798*G1798</f>
        <v>0</v>
      </c>
      <c r="BG1798" s="62" t="n">
        <f aca="false">ROUNDUP(CL1798+MAX(CM1798,2*(J1798/IF(CH1798&gt;0,CH1798,MAX(0.1,N(Cockpit!$O$6)))-CL1798)),0)</f>
        <v>0</v>
      </c>
      <c r="BH1798" s="63" t="n">
        <f aca="false">IF(BD1798&gt;0,J1798/BD1798,-1)</f>
        <v>-1</v>
      </c>
      <c r="BI1798" s="63" t="str">
        <f aca="false">IF(AND(OR(CG1798="L1",CG1798="L23",CG1798="LIFT"),BD1798&gt;0),SUMIFS($BD$7:$BD$1843,$CG$7:$CG$1843,CG1798,$BH$7:$BH$1843,"&gt;"&amp;BH1798)+SUMIFS($BD$7:$BD$1843,$CG$7:$CG$1843,CG1798,$BH$7:$BH$1843,BH1798,$BX$7:$BX$1843,"&lt;="&amp;BX1798),"")</f>
        <v/>
      </c>
      <c r="BJ1798" s="70" t="n">
        <f aca="false">IF(BI1798="",0,MAX(0,MIN(1,(IF(CG1798="L1",Parameter!$H$5,IF(CG1798="L23",Parameter!$H$6+Parameter!$H$7,Parameter!$H$5+Parameter!$H$6+Parameter!$H$7))-(BI1798-BD1798))/BD1798)))</f>
        <v>0</v>
      </c>
      <c r="BK1798" s="60" t="str">
        <f aca="false">IF(AJ1798&lt;=0,"",IF(CG1798="Aussen","Aussenlager",IF(CG1798="-","Nicht im Lift",IF(AP1798&gt;=1,"Lift",IF(AP1798&lt;=0,"Aussenlager","teilweise")))))</f>
        <v/>
      </c>
      <c r="BL1798" s="60" t="str">
        <f aca="false">IF(AT1798&lt;=0,"",IF(CG1798="Aussen","Aussenlager",IF(CG1798="-","Nicht im Lift",IF(AZ1798&gt;=1,"Lift",IF(AZ1798&lt;=0,"Aussenlager","teilweise")))))</f>
        <v/>
      </c>
      <c r="BM1798" s="60" t="str">
        <f aca="false">IF(BD1798&lt;=0,"",IF(CG1798="Aussen","Aussenlager",IF(CG1798="-","Nicht im Lift",IF(BJ1798&gt;=1,"Lift",IF(BJ1798&lt;=0,"Aussenlager","teilweise")))))</f>
        <v/>
      </c>
      <c r="BN1798" s="60" t="str">
        <f aca="false">IF(A1798="","",IF(BW1798=1,"Neu; ","")&amp;IF(AND(BW1798=0,BR1798&lt;0),"negativer Bestand (Export "&amp;BR1798&amp;"); ","")&amp;IF(J1798&lt;=0,"Kein Verbrauch; ","")&amp;IF(CR1798&gt;0,"Lift "&amp;W1798&amp;" lt. Liftbericht (Fach "&amp;X1798&amp;" Stk); ",IF(CB1798=1,"Gebinde geschätzt ("&amp;T1798&amp;"); ",IF(CA1798=1,"Lose – Tablare geschätzt; ","")))&amp;IF(H1798&gt;AW1798,"Überbestand "&amp;ROUND(H1798-AW1798,0)&amp;" Stk / CHF "&amp;ROUND((H1798-AW1798)*G1798,0)&amp;"; ","")&amp;IF(AND(CI1798=1,CJ1798&lt;CK1798),"MAX &lt; MB+LG; ","")&amp;IF(AND(CQ1798&gt;0,CP1798*10&gt;CQ1798),"zu hoch für Tablar; ","")&amp;IF(AND(BW1798=0,OR(CI1798=1,AB1798&lt;&gt;"",U1798&lt;&gt;"",V1798&lt;&gt;"",AC1798&lt;&gt;"")),"manuell übersteuert; ","")&amp;IF(AND(CA1798=0,R1798=0),"Gebinde unbekannt / Stellmass fehlt; ","")&amp;IF(AND(CA1798=0,N(V1798)&lt;=0,N(Q1798)&lt;=0),"Menge pro Gebinde fehlt (Ist = 1 Gebinde); ","")&amp;BV1798)</f>
        <v/>
      </c>
      <c r="BO1798" s="60"/>
      <c r="BP1798" s="60"/>
      <c r="BQ1798" s="67"/>
      <c r="BR1798" s="62" t="n">
        <f aca="false">N('Neue Artikel'!$D$59)</f>
        <v>0</v>
      </c>
      <c r="BS1798" s="62" t="n">
        <v>0</v>
      </c>
      <c r="BT1798" s="61" t="n">
        <v>0</v>
      </c>
      <c r="BU1798" s="62" t="n">
        <f aca="false">N('Neue Artikel'!$C$59)/Parameter!$B$18</f>
        <v>0</v>
      </c>
      <c r="BV1798" s="60"/>
      <c r="BW1798" s="65" t="n">
        <v>1</v>
      </c>
      <c r="BX1798" s="65" t="n">
        <v>1798</v>
      </c>
      <c r="BY1798" s="60" t="str">
        <f aca="false">IF(U1798&lt;&gt;"",UPPER(TRIM(U1798)),IF(CB1798=1,UPPER(VLOOKUP(T1798,Parameter!$I$27:$K$29,2,0)),IF(P1798="","LOSE",P1798)))</f>
        <v>LOSE</v>
      </c>
      <c r="BZ1798" s="62" t="n">
        <f aca="false">IF(BY1798="LOSE",1,IF(N(V1798)&gt;0,V1798,IF(CB1798=1,MAX(1,N(VLOOKUP(T1798,Parameter!$I$27:$K$29,3,0)),H1798,N(N1798)),IF(N(Q1798)&gt;0,Q1798,MAX(1,H1798)))))</f>
        <v>1</v>
      </c>
      <c r="CA1798" s="65" t="n">
        <f aca="false">IF(BY1798="LOSE",1,0)</f>
        <v>1</v>
      </c>
      <c r="CB1798" s="65" t="n">
        <f aca="false">IF(AND(U1798="",OR(P1798="",P1798="LOSE"),T1798&lt;&gt;"",N(S1798)&lt;=0,ISNUMBER(MATCH(T1798,Parameter!$I$27:$I$29,0))),1,0)</f>
        <v>0</v>
      </c>
      <c r="CC1798" s="65" t="n">
        <f aca="false">IF(CR1798&gt;0,INDEX(Parameter!$H$5:$H$7,W1798)/INDEX(Parameter!$E$5:$E$7,W1798),IF(AND(CA1798=0,N(IFERROR(VLOOKUP(BY1798,'Gebinde-Kategorie'!$A$5:$N$45,14,0),0))&gt;0),VLOOKUP(BY1798,'Gebinde-Kategorie'!$A$5:$N$45,14,0)*10+Parameter!$M$23,Parameter!$M$24))</f>
        <v>235</v>
      </c>
      <c r="CD1798" s="60" t="str">
        <f aca="false">IF(AND(Parameter!$B$19="Ja",E1798&lt;&gt;"",ISNUMBER(MATCH(E1798,Parameter!$I$35:$I$52,0))),VLOOKUP(E1798,Parameter!$I$35:$J$52,2,0),IFERROR(VLOOKUP(D1798,Parameter!$A$35:$C$64,2,0),"Nein"))</f>
        <v>2+3</v>
      </c>
      <c r="CE1798" s="64" t="n">
        <f aca="false">IF(CA1798=0,0,IF(N(S1798)&gt;0,S1798,IFERROR(VLOOKUP(D1798,Parameter!$A$35:$C$64,3,0)+0,0)))</f>
        <v>0.15</v>
      </c>
      <c r="CF1798" s="60" t="str">
        <f aca="false">IF(AB1798&lt;&gt;"",AB1798,AA1798)</f>
        <v/>
      </c>
      <c r="CG1798" s="60" t="str">
        <f aca="false">IF(OR(CF1798=1,CF1798=2,CF1798=3),IF(Parameter!$E$27="Ja","LIFT",IF(CF1798=1,"L1","L23")),IF(CF1798="Aussen","Aussen","-"))</f>
        <v>-</v>
      </c>
      <c r="CH1798" s="71" t="n">
        <f aca="false">IF(N(AC1798)&gt;0,AC1798,0)</f>
        <v>0</v>
      </c>
      <c r="CI1798" s="65" t="n">
        <f aca="false">IF(ISNUMBER(AF1798),1,0)</f>
        <v>0</v>
      </c>
      <c r="CJ1798" s="62" t="n">
        <f aca="false">N(AF1798)</f>
        <v>0</v>
      </c>
      <c r="CK1798" s="62" t="n">
        <f aca="false">N(M1798)+N(N1798)</f>
        <v>0</v>
      </c>
      <c r="CL1798" s="62" t="n">
        <f aca="false">N(M1798)</f>
        <v>0</v>
      </c>
      <c r="CM1798" s="62" t="n">
        <f aca="false">N(N1798)</f>
        <v>0</v>
      </c>
      <c r="CN1798" s="62" t="n">
        <f aca="false">ROUNDUP(H1798/BZ1798,0)</f>
        <v>0</v>
      </c>
      <c r="CO1798" s="62" t="n">
        <f aca="false">ROUNDUP(CJ1798/BZ1798,0)</f>
        <v>0</v>
      </c>
      <c r="CP1798" s="65" t="n">
        <f aca="false">IF(CA1798=1,0,IFERROR(VLOOKUP(BY1798,'Gebinde-Kategorie'!$A$5:$N$45,5,0)+0,0))</f>
        <v>0</v>
      </c>
      <c r="CQ1798" s="65" t="n">
        <f aca="false">IFERROR(IF(OR(CF1798=1,CF1798=2,CF1798=3),N(INDEX(Parameter!$I$5:$I$7,CF1798)),0),0)</f>
        <v>0</v>
      </c>
      <c r="CR1798" s="64" t="n">
        <f aca="false">IF(AND(Parameter!$B$21="Ja",ISNUMBER(W1798),N(X1798)&gt;0),IFERROR(N(INDEX(Parameter!$L$5:$L$7,W1798))*INDEX(Parameter!$E$5:$E$7,W1798)*X1798/SUMIFS($X$7:$X$1843,$W$7:$W$1843,W1798),0),0)</f>
        <v>0</v>
      </c>
      <c r="CS1798" s="62" t="str">
        <f aca="false">IF(AND(OR(CG1798="L1",CG1798="L23",CG1798="LIFT"),H1798&gt;0),CC1798*IF(CR1798&gt;0,CR1798*MAX(1,H1798/X1798),IF(CA1798=1,CE1798,IF(R1798&gt;0,CN1798/R1798,0))/MAX(0.1,N(Parameter!$M$21))),"")</f>
        <v/>
      </c>
      <c r="CT1798" s="64" t="str">
        <f aca="false">IF(CS1798="","",J1798/H1798)</f>
        <v/>
      </c>
      <c r="CU1798" s="62" t="str">
        <f aca="false">IF(CS1798="","",H1798*G1798)</f>
        <v/>
      </c>
      <c r="CV1798" s="63" t="str">
        <f aca="false">IF(CS1798="","",(CL1798+ROUNDUP(CL1798+MAX(CM1798,2*(J1798/MAX(0.1,N(Einkauf!$C$6))-CL1798)),0))/2)</f>
        <v/>
      </c>
      <c r="CW1798" s="62" t="str">
        <f aca="false">IF(CS1798="","",MAX(0,H1798-CV1798)*G1798)</f>
        <v/>
      </c>
      <c r="CX1798" s="62" t="str">
        <f aca="false">IF(CS1798="","",CS1798*MAX(0,1-CV1798/H1798))</f>
        <v/>
      </c>
      <c r="CY1798" s="64" t="str">
        <f aca="false">IF(CS1798="","",PERCENTRANK($CS$7:$CS$1843,CS1798)+PERCENTRANK($CU$7:$CU$1843,CU1798)+1-PERCENTRANK($CT$7:$CT$1843,CT1798))</f>
        <v/>
      </c>
      <c r="CZ1798" s="72" t="str">
        <f aca="false">IF(CS1798="","",CHOOSE(MATCH(Einkauf!$C$5,Parameter!$G$23:$G$27,0),CY1798,CS1798,CU1798,-CT1798,CW1798)+ROW()/1000000000)</f>
        <v/>
      </c>
    </row>
    <row r="1799" customFormat="false" ht="15" hidden="false" customHeight="false" outlineLevel="0" collapsed="false">
      <c r="A1799" s="60" t="str">
        <f aca="false">IF('Neue Artikel'!$A$60="","",'Neue Artikel'!$A$60&amp;"")</f>
        <v/>
      </c>
      <c r="B1799" s="60" t="str">
        <f aca="false">'Neue Artikel'!$B$60&amp;""</f>
        <v/>
      </c>
      <c r="C1799" s="60"/>
      <c r="D1799" s="60" t="s">
        <v>3057</v>
      </c>
      <c r="E1799" s="60"/>
      <c r="F1799" s="60"/>
      <c r="G1799" s="61" t="n">
        <f aca="false">N('Neue Artikel'!$G$60)</f>
        <v>0</v>
      </c>
      <c r="H1799" s="62" t="n">
        <f aca="false">MAX(0,IF(AND(Parameter!$B$21="Ja",ISNUMBER(Y1799)),Y1799,IF(Parameter!$B$20="Jahresanfang 2025 + Export",BS1799+BR1799,BR1799)))</f>
        <v>0</v>
      </c>
      <c r="I1799" s="62" t="n">
        <f aca="false">H1799*G1799</f>
        <v>0</v>
      </c>
      <c r="J1799" s="62" t="n">
        <f aca="false">BU1799*Parameter!$B$18</f>
        <v>0</v>
      </c>
      <c r="K1799" s="63"/>
      <c r="L1799" s="64"/>
      <c r="M1799" s="62" t="n">
        <f aca="false">N('Neue Artikel'!$E$60)</f>
        <v>0</v>
      </c>
      <c r="N1799" s="62" t="n">
        <f aca="false">N('Neue Artikel'!$F$60)</f>
        <v>0</v>
      </c>
      <c r="O1799" s="65"/>
      <c r="P1799" s="60" t="str">
        <f aca="false">IF('Neue Artikel'!$H$60="","LOSE",UPPER(TRIM('Neue Artikel'!$H$60)))</f>
        <v>LOSE</v>
      </c>
      <c r="Q1799" s="62" t="n">
        <f aca="false">N('Neue Artikel'!$I$60)</f>
        <v>0</v>
      </c>
      <c r="R1799" s="65" t="n">
        <f aca="false">IF(CA1799=1,0,IFERROR(VLOOKUP(BY1799,'Gebinde-Kategorie'!$A$5:$N$45,13,0)+0,0))</f>
        <v>0</v>
      </c>
      <c r="S1799" s="66"/>
      <c r="T1799" s="67"/>
      <c r="U1799" s="67"/>
      <c r="V1799" s="67"/>
      <c r="W1799" s="60"/>
      <c r="X1799" s="62"/>
      <c r="Y1799" s="62"/>
      <c r="Z1799" s="60"/>
      <c r="AA1799" s="60" t="str">
        <f aca="false">IF(A1799="","",IF(AND(Parameter!$B$21="Ja",ISNUMBER(W1799)),W1799,IF(AND(Parameter!$E$27="Ja",ISNUMBER(Z1799),CD1799&lt;&gt;"Nein"),Z1799,IF(CD1799="2+3",IF(ISNUMBER(SEARCH("grosser Artikel",BV1799)),2,IFERROR(VLOOKUP(BY1799,Parameter!$F$35:$G$64,2,0),2)),IF(OR(CD1799="Nein",CD1799=""),"-",CD1799)))))</f>
        <v/>
      </c>
      <c r="AB1799" s="60" t="str">
        <f aca="false">IF('Neue Artikel'!$J$60="","",'Neue Artikel'!$J$60)</f>
        <v/>
      </c>
      <c r="AC1799" s="68"/>
      <c r="AD1799" s="62" t="n">
        <f aca="false">AW1799</f>
        <v>0</v>
      </c>
      <c r="AE1799" s="62" t="n">
        <f aca="false">MAX(AW1799,H1799)</f>
        <v>0</v>
      </c>
      <c r="AF1799" s="69"/>
      <c r="AG1799" s="62" t="n">
        <f aca="false">IF(LEFT(Cockpit!$C$5,1)="A",H1799,IF(Parameter!$E$30="MAX-Bestand",IF(CI1799=1,CJ1799,IF(LEFT(Cockpit!$C$5,1)="B",AM1799,MAX(AM1799,H1799))),ROUNDUP(AK1799,0)))</f>
        <v>0</v>
      </c>
      <c r="AH1799" s="62" t="n">
        <f aca="false">IF(CA1799=1,0,ROUNDUP(AG1799/BZ1799,0))</f>
        <v>0</v>
      </c>
      <c r="AI1799" s="64" t="n">
        <f aca="false">IF(CR1799&gt;0,CR1799*MAX(1,AG1799/X1799),IF(CA1799=1,IF(AG1799&lt;=0,0,CE1799*MAX(1,IF(H1799&gt;0,AG1799/H1799,1))),IF(R1799&gt;0,AH1799/R1799,0))/MAX(0.1,N(Parameter!$M$21)))</f>
        <v>0</v>
      </c>
      <c r="AJ1799" s="62" t="n">
        <f aca="false">AI1799*CC1799</f>
        <v>0</v>
      </c>
      <c r="AK1799" s="63" t="n">
        <f aca="false">IF(LEFT(Cockpit!$C$5,1)="A",H1799,IF(CI1799=1,(CL1799+CJ1799)/2,IF(LEFT(Cockpit!$C$5,1)="B",(CL1799+AM1799)/2,MAX((CL1799+AM1799)/2,H1799))))</f>
        <v>0</v>
      </c>
      <c r="AL1799" s="62" t="n">
        <f aca="false">AK1799*G1799</f>
        <v>0</v>
      </c>
      <c r="AM1799" s="62" t="n">
        <f aca="false">ROUNDUP(CL1799+MAX(CM1799,2*(J1799/IF(CH1799&gt;0,CH1799,MAX(0.1,N(Cockpit!$C$6)))-CL1799)),0)</f>
        <v>0</v>
      </c>
      <c r="AN1799" s="63" t="n">
        <f aca="false">IF(AJ1799&gt;0,J1799/AJ1799,-1)</f>
        <v>-1</v>
      </c>
      <c r="AO1799" s="63" t="str">
        <f aca="false">IF(AND(OR(CG1799="L1",CG1799="L23",CG1799="LIFT"),AJ1799&gt;0),SUMIFS($AJ$7:$AJ$1843,$CG$7:$CG$1843,CG1799,$AN$7:$AN$1843,"&gt;"&amp;AN1799)+SUMIFS($AJ$7:$AJ$1843,$CG$7:$CG$1843,CG1799,$AN$7:$AN$1843,AN1799,$BX$7:$BX$1843,"&lt;="&amp;BX1799),"")</f>
        <v/>
      </c>
      <c r="AP1799" s="70" t="n">
        <f aca="false">IF(AO1799="",0,MAX(0,MIN(1,(IF(CG1799="L1",Parameter!$H$5,IF(CG1799="L23",Parameter!$H$6+Parameter!$H$7,Parameter!$H$5+Parameter!$H$6+Parameter!$H$7))-(AO1799-AJ1799))/AJ1799)))</f>
        <v>0</v>
      </c>
      <c r="AQ1799" s="62" t="n">
        <f aca="false">IF(LEFT(Cockpit!$I$5,1)="A",H1799,IF(Parameter!$E$30="MAX-Bestand",IF(CI1799=1,CJ1799,IF(LEFT(Cockpit!$I$5,1)="B",AW1799,MAX(AW1799,H1799))),ROUNDUP(AU1799,0)))</f>
        <v>0</v>
      </c>
      <c r="AR1799" s="62" t="n">
        <f aca="false">IF(CA1799=1,0,ROUNDUP(AQ1799/BZ1799,0))</f>
        <v>0</v>
      </c>
      <c r="AS1799" s="64" t="n">
        <f aca="false">IF(CR1799&gt;0,CR1799*MAX(1,AQ1799/X1799),IF(CA1799=1,IF(AQ1799&lt;=0,0,CE1799*MAX(1,IF(H1799&gt;0,AQ1799/H1799,1))),IF(R1799&gt;0,AR1799/R1799,0))/MAX(0.1,N(Parameter!$M$21)))</f>
        <v>0</v>
      </c>
      <c r="AT1799" s="62" t="n">
        <f aca="false">AS1799*CC1799</f>
        <v>0</v>
      </c>
      <c r="AU1799" s="63" t="n">
        <f aca="false">IF(LEFT(Cockpit!$I$5,1)="A",H1799,IF(CI1799=1,(CL1799+CJ1799)/2,IF(LEFT(Cockpit!$I$5,1)="B",(CL1799+AW1799)/2,MAX((CL1799+AW1799)/2,H1799))))</f>
        <v>0</v>
      </c>
      <c r="AV1799" s="62" t="n">
        <f aca="false">AU1799*G1799</f>
        <v>0</v>
      </c>
      <c r="AW1799" s="62" t="n">
        <f aca="false">ROUNDUP(CL1799+MAX(CM1799,2*(J1799/IF(CH1799&gt;0,CH1799,MAX(0.1,N(Cockpit!$I$6)))-CL1799)),0)</f>
        <v>0</v>
      </c>
      <c r="AX1799" s="63" t="n">
        <f aca="false">IF(AT1799&gt;0,J1799/AT1799,-1)</f>
        <v>-1</v>
      </c>
      <c r="AY1799" s="63" t="str">
        <f aca="false">IF(AND(OR(CG1799="L1",CG1799="L23",CG1799="LIFT"),AT1799&gt;0),SUMIFS($AT$7:$AT$1843,$CG$7:$CG$1843,CG1799,$AX$7:$AX$1843,"&gt;"&amp;AX1799)+SUMIFS($AT$7:$AT$1843,$CG$7:$CG$1843,CG1799,$AX$7:$AX$1843,AX1799,$BX$7:$BX$1843,"&lt;="&amp;BX1799),"")</f>
        <v/>
      </c>
      <c r="AZ1799" s="70" t="n">
        <f aca="false">IF(AY1799="",0,MAX(0,MIN(1,(IF(CG1799="L1",Parameter!$H$5,IF(CG1799="L23",Parameter!$H$6+Parameter!$H$7,Parameter!$H$5+Parameter!$H$6+Parameter!$H$7))-(AY1799-AT1799))/AT1799)))</f>
        <v>0</v>
      </c>
      <c r="BA1799" s="62" t="n">
        <f aca="false">IF(LEFT(Cockpit!$O$5,1)="A",H1799,IF(Parameter!$E$30="MAX-Bestand",IF(CI1799=1,CJ1799,IF(LEFT(Cockpit!$O$5,1)="B",BG1799,MAX(BG1799,H1799))),ROUNDUP(BE1799,0)))</f>
        <v>0</v>
      </c>
      <c r="BB1799" s="62" t="n">
        <f aca="false">IF(CA1799=1,0,ROUNDUP(BA1799/BZ1799,0))</f>
        <v>0</v>
      </c>
      <c r="BC1799" s="64" t="n">
        <f aca="false">IF(CR1799&gt;0,CR1799*MAX(1,BA1799/X1799),IF(CA1799=1,IF(BA1799&lt;=0,0,CE1799*MAX(1,IF(H1799&gt;0,BA1799/H1799,1))),IF(R1799&gt;0,BB1799/R1799,0))/MAX(0.1,N(Parameter!$M$21)))</f>
        <v>0</v>
      </c>
      <c r="BD1799" s="62" t="n">
        <f aca="false">BC1799*CC1799</f>
        <v>0</v>
      </c>
      <c r="BE1799" s="63" t="n">
        <f aca="false">IF(LEFT(Cockpit!$O$5,1)="A",H1799,IF(CI1799=1,(CL1799+CJ1799)/2,IF(LEFT(Cockpit!$O$5,1)="B",(CL1799+BG1799)/2,MAX((CL1799+BG1799)/2,H1799))))</f>
        <v>0</v>
      </c>
      <c r="BF1799" s="62" t="n">
        <f aca="false">BE1799*G1799</f>
        <v>0</v>
      </c>
      <c r="BG1799" s="62" t="n">
        <f aca="false">ROUNDUP(CL1799+MAX(CM1799,2*(J1799/IF(CH1799&gt;0,CH1799,MAX(0.1,N(Cockpit!$O$6)))-CL1799)),0)</f>
        <v>0</v>
      </c>
      <c r="BH1799" s="63" t="n">
        <f aca="false">IF(BD1799&gt;0,J1799/BD1799,-1)</f>
        <v>-1</v>
      </c>
      <c r="BI1799" s="63" t="str">
        <f aca="false">IF(AND(OR(CG1799="L1",CG1799="L23",CG1799="LIFT"),BD1799&gt;0),SUMIFS($BD$7:$BD$1843,$CG$7:$CG$1843,CG1799,$BH$7:$BH$1843,"&gt;"&amp;BH1799)+SUMIFS($BD$7:$BD$1843,$CG$7:$CG$1843,CG1799,$BH$7:$BH$1843,BH1799,$BX$7:$BX$1843,"&lt;="&amp;BX1799),"")</f>
        <v/>
      </c>
      <c r="BJ1799" s="70" t="n">
        <f aca="false">IF(BI1799="",0,MAX(0,MIN(1,(IF(CG1799="L1",Parameter!$H$5,IF(CG1799="L23",Parameter!$H$6+Parameter!$H$7,Parameter!$H$5+Parameter!$H$6+Parameter!$H$7))-(BI1799-BD1799))/BD1799)))</f>
        <v>0</v>
      </c>
      <c r="BK1799" s="60" t="str">
        <f aca="false">IF(AJ1799&lt;=0,"",IF(CG1799="Aussen","Aussenlager",IF(CG1799="-","Nicht im Lift",IF(AP1799&gt;=1,"Lift",IF(AP1799&lt;=0,"Aussenlager","teilweise")))))</f>
        <v/>
      </c>
      <c r="BL1799" s="60" t="str">
        <f aca="false">IF(AT1799&lt;=0,"",IF(CG1799="Aussen","Aussenlager",IF(CG1799="-","Nicht im Lift",IF(AZ1799&gt;=1,"Lift",IF(AZ1799&lt;=0,"Aussenlager","teilweise")))))</f>
        <v/>
      </c>
      <c r="BM1799" s="60" t="str">
        <f aca="false">IF(BD1799&lt;=0,"",IF(CG1799="Aussen","Aussenlager",IF(CG1799="-","Nicht im Lift",IF(BJ1799&gt;=1,"Lift",IF(BJ1799&lt;=0,"Aussenlager","teilweise")))))</f>
        <v/>
      </c>
      <c r="BN1799" s="60" t="str">
        <f aca="false">IF(A1799="","",IF(BW1799=1,"Neu; ","")&amp;IF(AND(BW1799=0,BR1799&lt;0),"negativer Bestand (Export "&amp;BR1799&amp;"); ","")&amp;IF(J1799&lt;=0,"Kein Verbrauch; ","")&amp;IF(CR1799&gt;0,"Lift "&amp;W1799&amp;" lt. Liftbericht (Fach "&amp;X1799&amp;" Stk); ",IF(CB1799=1,"Gebinde geschätzt ("&amp;T1799&amp;"); ",IF(CA1799=1,"Lose – Tablare geschätzt; ","")))&amp;IF(H1799&gt;AW1799,"Überbestand "&amp;ROUND(H1799-AW1799,0)&amp;" Stk / CHF "&amp;ROUND((H1799-AW1799)*G1799,0)&amp;"; ","")&amp;IF(AND(CI1799=1,CJ1799&lt;CK1799),"MAX &lt; MB+LG; ","")&amp;IF(AND(CQ1799&gt;0,CP1799*10&gt;CQ1799),"zu hoch für Tablar; ","")&amp;IF(AND(BW1799=0,OR(CI1799=1,AB1799&lt;&gt;"",U1799&lt;&gt;"",V1799&lt;&gt;"",AC1799&lt;&gt;"")),"manuell übersteuert; ","")&amp;IF(AND(CA1799=0,R1799=0),"Gebinde unbekannt / Stellmass fehlt; ","")&amp;IF(AND(CA1799=0,N(V1799)&lt;=0,N(Q1799)&lt;=0),"Menge pro Gebinde fehlt (Ist = 1 Gebinde); ","")&amp;BV1799)</f>
        <v/>
      </c>
      <c r="BO1799" s="60"/>
      <c r="BP1799" s="60"/>
      <c r="BQ1799" s="67"/>
      <c r="BR1799" s="62" t="n">
        <f aca="false">N('Neue Artikel'!$D$60)</f>
        <v>0</v>
      </c>
      <c r="BS1799" s="62" t="n">
        <v>0</v>
      </c>
      <c r="BT1799" s="61" t="n">
        <v>0</v>
      </c>
      <c r="BU1799" s="62" t="n">
        <f aca="false">N('Neue Artikel'!$C$60)/Parameter!$B$18</f>
        <v>0</v>
      </c>
      <c r="BV1799" s="60"/>
      <c r="BW1799" s="65" t="n">
        <v>1</v>
      </c>
      <c r="BX1799" s="65" t="n">
        <v>1799</v>
      </c>
      <c r="BY1799" s="60" t="str">
        <f aca="false">IF(U1799&lt;&gt;"",UPPER(TRIM(U1799)),IF(CB1799=1,UPPER(VLOOKUP(T1799,Parameter!$I$27:$K$29,2,0)),IF(P1799="","LOSE",P1799)))</f>
        <v>LOSE</v>
      </c>
      <c r="BZ1799" s="62" t="n">
        <f aca="false">IF(BY1799="LOSE",1,IF(N(V1799)&gt;0,V1799,IF(CB1799=1,MAX(1,N(VLOOKUP(T1799,Parameter!$I$27:$K$29,3,0)),H1799,N(N1799)),IF(N(Q1799)&gt;0,Q1799,MAX(1,H1799)))))</f>
        <v>1</v>
      </c>
      <c r="CA1799" s="65" t="n">
        <f aca="false">IF(BY1799="LOSE",1,0)</f>
        <v>1</v>
      </c>
      <c r="CB1799" s="65" t="n">
        <f aca="false">IF(AND(U1799="",OR(P1799="",P1799="LOSE"),T1799&lt;&gt;"",N(S1799)&lt;=0,ISNUMBER(MATCH(T1799,Parameter!$I$27:$I$29,0))),1,0)</f>
        <v>0</v>
      </c>
      <c r="CC1799" s="65" t="n">
        <f aca="false">IF(CR1799&gt;0,INDEX(Parameter!$H$5:$H$7,W1799)/INDEX(Parameter!$E$5:$E$7,W1799),IF(AND(CA1799=0,N(IFERROR(VLOOKUP(BY1799,'Gebinde-Kategorie'!$A$5:$N$45,14,0),0))&gt;0),VLOOKUP(BY1799,'Gebinde-Kategorie'!$A$5:$N$45,14,0)*10+Parameter!$M$23,Parameter!$M$24))</f>
        <v>235</v>
      </c>
      <c r="CD1799" s="60" t="str">
        <f aca="false">IF(AND(Parameter!$B$19="Ja",E1799&lt;&gt;"",ISNUMBER(MATCH(E1799,Parameter!$I$35:$I$52,0))),VLOOKUP(E1799,Parameter!$I$35:$J$52,2,0),IFERROR(VLOOKUP(D1799,Parameter!$A$35:$C$64,2,0),"Nein"))</f>
        <v>2+3</v>
      </c>
      <c r="CE1799" s="64" t="n">
        <f aca="false">IF(CA1799=0,0,IF(N(S1799)&gt;0,S1799,IFERROR(VLOOKUP(D1799,Parameter!$A$35:$C$64,3,0)+0,0)))</f>
        <v>0.15</v>
      </c>
      <c r="CF1799" s="60" t="str">
        <f aca="false">IF(AB1799&lt;&gt;"",AB1799,AA1799)</f>
        <v/>
      </c>
      <c r="CG1799" s="60" t="str">
        <f aca="false">IF(OR(CF1799=1,CF1799=2,CF1799=3),IF(Parameter!$E$27="Ja","LIFT",IF(CF1799=1,"L1","L23")),IF(CF1799="Aussen","Aussen","-"))</f>
        <v>-</v>
      </c>
      <c r="CH1799" s="71" t="n">
        <f aca="false">IF(N(AC1799)&gt;0,AC1799,0)</f>
        <v>0</v>
      </c>
      <c r="CI1799" s="65" t="n">
        <f aca="false">IF(ISNUMBER(AF1799),1,0)</f>
        <v>0</v>
      </c>
      <c r="CJ1799" s="62" t="n">
        <f aca="false">N(AF1799)</f>
        <v>0</v>
      </c>
      <c r="CK1799" s="62" t="n">
        <f aca="false">N(M1799)+N(N1799)</f>
        <v>0</v>
      </c>
      <c r="CL1799" s="62" t="n">
        <f aca="false">N(M1799)</f>
        <v>0</v>
      </c>
      <c r="CM1799" s="62" t="n">
        <f aca="false">N(N1799)</f>
        <v>0</v>
      </c>
      <c r="CN1799" s="62" t="n">
        <f aca="false">ROUNDUP(H1799/BZ1799,0)</f>
        <v>0</v>
      </c>
      <c r="CO1799" s="62" t="n">
        <f aca="false">ROUNDUP(CJ1799/BZ1799,0)</f>
        <v>0</v>
      </c>
      <c r="CP1799" s="65" t="n">
        <f aca="false">IF(CA1799=1,0,IFERROR(VLOOKUP(BY1799,'Gebinde-Kategorie'!$A$5:$N$45,5,0)+0,0))</f>
        <v>0</v>
      </c>
      <c r="CQ1799" s="65" t="n">
        <f aca="false">IFERROR(IF(OR(CF1799=1,CF1799=2,CF1799=3),N(INDEX(Parameter!$I$5:$I$7,CF1799)),0),0)</f>
        <v>0</v>
      </c>
      <c r="CR1799" s="64" t="n">
        <f aca="false">IF(AND(Parameter!$B$21="Ja",ISNUMBER(W1799),N(X1799)&gt;0),IFERROR(N(INDEX(Parameter!$L$5:$L$7,W1799))*INDEX(Parameter!$E$5:$E$7,W1799)*X1799/SUMIFS($X$7:$X$1843,$W$7:$W$1843,W1799),0),0)</f>
        <v>0</v>
      </c>
      <c r="CS1799" s="62" t="str">
        <f aca="false">IF(AND(OR(CG1799="L1",CG1799="L23",CG1799="LIFT"),H1799&gt;0),CC1799*IF(CR1799&gt;0,CR1799*MAX(1,H1799/X1799),IF(CA1799=1,CE1799,IF(R1799&gt;0,CN1799/R1799,0))/MAX(0.1,N(Parameter!$M$21))),"")</f>
        <v/>
      </c>
      <c r="CT1799" s="64" t="str">
        <f aca="false">IF(CS1799="","",J1799/H1799)</f>
        <v/>
      </c>
      <c r="CU1799" s="62" t="str">
        <f aca="false">IF(CS1799="","",H1799*G1799)</f>
        <v/>
      </c>
      <c r="CV1799" s="63" t="str">
        <f aca="false">IF(CS1799="","",(CL1799+ROUNDUP(CL1799+MAX(CM1799,2*(J1799/MAX(0.1,N(Einkauf!$C$6))-CL1799)),0))/2)</f>
        <v/>
      </c>
      <c r="CW1799" s="62" t="str">
        <f aca="false">IF(CS1799="","",MAX(0,H1799-CV1799)*G1799)</f>
        <v/>
      </c>
      <c r="CX1799" s="62" t="str">
        <f aca="false">IF(CS1799="","",CS1799*MAX(0,1-CV1799/H1799))</f>
        <v/>
      </c>
      <c r="CY1799" s="64" t="str">
        <f aca="false">IF(CS1799="","",PERCENTRANK($CS$7:$CS$1843,CS1799)+PERCENTRANK($CU$7:$CU$1843,CU1799)+1-PERCENTRANK($CT$7:$CT$1843,CT1799))</f>
        <v/>
      </c>
      <c r="CZ1799" s="72" t="str">
        <f aca="false">IF(CS1799="","",CHOOSE(MATCH(Einkauf!$C$5,Parameter!$G$23:$G$27,0),CY1799,CS1799,CU1799,-CT1799,CW1799)+ROW()/1000000000)</f>
        <v/>
      </c>
    </row>
    <row r="1800" customFormat="false" ht="15" hidden="false" customHeight="false" outlineLevel="0" collapsed="false">
      <c r="A1800" s="60" t="str">
        <f aca="false">IF('Neue Artikel'!$A$61="","",'Neue Artikel'!$A$61&amp;"")</f>
        <v/>
      </c>
      <c r="B1800" s="60" t="str">
        <f aca="false">'Neue Artikel'!$B$61&amp;""</f>
        <v/>
      </c>
      <c r="C1800" s="60"/>
      <c r="D1800" s="60" t="s">
        <v>3057</v>
      </c>
      <c r="E1800" s="60"/>
      <c r="F1800" s="60"/>
      <c r="G1800" s="61" t="n">
        <f aca="false">N('Neue Artikel'!$G$61)</f>
        <v>0</v>
      </c>
      <c r="H1800" s="62" t="n">
        <f aca="false">MAX(0,IF(AND(Parameter!$B$21="Ja",ISNUMBER(Y1800)),Y1800,IF(Parameter!$B$20="Jahresanfang 2025 + Export",BS1800+BR1800,BR1800)))</f>
        <v>0</v>
      </c>
      <c r="I1800" s="62" t="n">
        <f aca="false">H1800*G1800</f>
        <v>0</v>
      </c>
      <c r="J1800" s="62" t="n">
        <f aca="false">BU1800*Parameter!$B$18</f>
        <v>0</v>
      </c>
      <c r="K1800" s="63"/>
      <c r="L1800" s="64"/>
      <c r="M1800" s="62" t="n">
        <f aca="false">N('Neue Artikel'!$E$61)</f>
        <v>0</v>
      </c>
      <c r="N1800" s="62" t="n">
        <f aca="false">N('Neue Artikel'!$F$61)</f>
        <v>0</v>
      </c>
      <c r="O1800" s="65"/>
      <c r="P1800" s="60" t="str">
        <f aca="false">IF('Neue Artikel'!$H$61="","LOSE",UPPER(TRIM('Neue Artikel'!$H$61)))</f>
        <v>LOSE</v>
      </c>
      <c r="Q1800" s="62" t="n">
        <f aca="false">N('Neue Artikel'!$I$61)</f>
        <v>0</v>
      </c>
      <c r="R1800" s="65" t="n">
        <f aca="false">IF(CA1800=1,0,IFERROR(VLOOKUP(BY1800,'Gebinde-Kategorie'!$A$5:$N$45,13,0)+0,0))</f>
        <v>0</v>
      </c>
      <c r="S1800" s="66"/>
      <c r="T1800" s="67"/>
      <c r="U1800" s="67"/>
      <c r="V1800" s="67"/>
      <c r="W1800" s="60"/>
      <c r="X1800" s="62"/>
      <c r="Y1800" s="62"/>
      <c r="Z1800" s="60"/>
      <c r="AA1800" s="60" t="str">
        <f aca="false">IF(A1800="","",IF(AND(Parameter!$B$21="Ja",ISNUMBER(W1800)),W1800,IF(AND(Parameter!$E$27="Ja",ISNUMBER(Z1800),CD1800&lt;&gt;"Nein"),Z1800,IF(CD1800="2+3",IF(ISNUMBER(SEARCH("grosser Artikel",BV1800)),2,IFERROR(VLOOKUP(BY1800,Parameter!$F$35:$G$64,2,0),2)),IF(OR(CD1800="Nein",CD1800=""),"-",CD1800)))))</f>
        <v/>
      </c>
      <c r="AB1800" s="60" t="str">
        <f aca="false">IF('Neue Artikel'!$J$61="","",'Neue Artikel'!$J$61)</f>
        <v/>
      </c>
      <c r="AC1800" s="68"/>
      <c r="AD1800" s="62" t="n">
        <f aca="false">AW1800</f>
        <v>0</v>
      </c>
      <c r="AE1800" s="62" t="n">
        <f aca="false">MAX(AW1800,H1800)</f>
        <v>0</v>
      </c>
      <c r="AF1800" s="69"/>
      <c r="AG1800" s="62" t="n">
        <f aca="false">IF(LEFT(Cockpit!$C$5,1)="A",H1800,IF(Parameter!$E$30="MAX-Bestand",IF(CI1800=1,CJ1800,IF(LEFT(Cockpit!$C$5,1)="B",AM1800,MAX(AM1800,H1800))),ROUNDUP(AK1800,0)))</f>
        <v>0</v>
      </c>
      <c r="AH1800" s="62" t="n">
        <f aca="false">IF(CA1800=1,0,ROUNDUP(AG1800/BZ1800,0))</f>
        <v>0</v>
      </c>
      <c r="AI1800" s="64" t="n">
        <f aca="false">IF(CR1800&gt;0,CR1800*MAX(1,AG1800/X1800),IF(CA1800=1,IF(AG1800&lt;=0,0,CE1800*MAX(1,IF(H1800&gt;0,AG1800/H1800,1))),IF(R1800&gt;0,AH1800/R1800,0))/MAX(0.1,N(Parameter!$M$21)))</f>
        <v>0</v>
      </c>
      <c r="AJ1800" s="62" t="n">
        <f aca="false">AI1800*CC1800</f>
        <v>0</v>
      </c>
      <c r="AK1800" s="63" t="n">
        <f aca="false">IF(LEFT(Cockpit!$C$5,1)="A",H1800,IF(CI1800=1,(CL1800+CJ1800)/2,IF(LEFT(Cockpit!$C$5,1)="B",(CL1800+AM1800)/2,MAX((CL1800+AM1800)/2,H1800))))</f>
        <v>0</v>
      </c>
      <c r="AL1800" s="62" t="n">
        <f aca="false">AK1800*G1800</f>
        <v>0</v>
      </c>
      <c r="AM1800" s="62" t="n">
        <f aca="false">ROUNDUP(CL1800+MAX(CM1800,2*(J1800/IF(CH1800&gt;0,CH1800,MAX(0.1,N(Cockpit!$C$6)))-CL1800)),0)</f>
        <v>0</v>
      </c>
      <c r="AN1800" s="63" t="n">
        <f aca="false">IF(AJ1800&gt;0,J1800/AJ1800,-1)</f>
        <v>-1</v>
      </c>
      <c r="AO1800" s="63" t="str">
        <f aca="false">IF(AND(OR(CG1800="L1",CG1800="L23",CG1800="LIFT"),AJ1800&gt;0),SUMIFS($AJ$7:$AJ$1843,$CG$7:$CG$1843,CG1800,$AN$7:$AN$1843,"&gt;"&amp;AN1800)+SUMIFS($AJ$7:$AJ$1843,$CG$7:$CG$1843,CG1800,$AN$7:$AN$1843,AN1800,$BX$7:$BX$1843,"&lt;="&amp;BX1800),"")</f>
        <v/>
      </c>
      <c r="AP1800" s="70" t="n">
        <f aca="false">IF(AO1800="",0,MAX(0,MIN(1,(IF(CG1800="L1",Parameter!$H$5,IF(CG1800="L23",Parameter!$H$6+Parameter!$H$7,Parameter!$H$5+Parameter!$H$6+Parameter!$H$7))-(AO1800-AJ1800))/AJ1800)))</f>
        <v>0</v>
      </c>
      <c r="AQ1800" s="62" t="n">
        <f aca="false">IF(LEFT(Cockpit!$I$5,1)="A",H1800,IF(Parameter!$E$30="MAX-Bestand",IF(CI1800=1,CJ1800,IF(LEFT(Cockpit!$I$5,1)="B",AW1800,MAX(AW1800,H1800))),ROUNDUP(AU1800,0)))</f>
        <v>0</v>
      </c>
      <c r="AR1800" s="62" t="n">
        <f aca="false">IF(CA1800=1,0,ROUNDUP(AQ1800/BZ1800,0))</f>
        <v>0</v>
      </c>
      <c r="AS1800" s="64" t="n">
        <f aca="false">IF(CR1800&gt;0,CR1800*MAX(1,AQ1800/X1800),IF(CA1800=1,IF(AQ1800&lt;=0,0,CE1800*MAX(1,IF(H1800&gt;0,AQ1800/H1800,1))),IF(R1800&gt;0,AR1800/R1800,0))/MAX(0.1,N(Parameter!$M$21)))</f>
        <v>0</v>
      </c>
      <c r="AT1800" s="62" t="n">
        <f aca="false">AS1800*CC1800</f>
        <v>0</v>
      </c>
      <c r="AU1800" s="63" t="n">
        <f aca="false">IF(LEFT(Cockpit!$I$5,1)="A",H1800,IF(CI1800=1,(CL1800+CJ1800)/2,IF(LEFT(Cockpit!$I$5,1)="B",(CL1800+AW1800)/2,MAX((CL1800+AW1800)/2,H1800))))</f>
        <v>0</v>
      </c>
      <c r="AV1800" s="62" t="n">
        <f aca="false">AU1800*G1800</f>
        <v>0</v>
      </c>
      <c r="AW1800" s="62" t="n">
        <f aca="false">ROUNDUP(CL1800+MAX(CM1800,2*(J1800/IF(CH1800&gt;0,CH1800,MAX(0.1,N(Cockpit!$I$6)))-CL1800)),0)</f>
        <v>0</v>
      </c>
      <c r="AX1800" s="63" t="n">
        <f aca="false">IF(AT1800&gt;0,J1800/AT1800,-1)</f>
        <v>-1</v>
      </c>
      <c r="AY1800" s="63" t="str">
        <f aca="false">IF(AND(OR(CG1800="L1",CG1800="L23",CG1800="LIFT"),AT1800&gt;0),SUMIFS($AT$7:$AT$1843,$CG$7:$CG$1843,CG1800,$AX$7:$AX$1843,"&gt;"&amp;AX1800)+SUMIFS($AT$7:$AT$1843,$CG$7:$CG$1843,CG1800,$AX$7:$AX$1843,AX1800,$BX$7:$BX$1843,"&lt;="&amp;BX1800),"")</f>
        <v/>
      </c>
      <c r="AZ1800" s="70" t="n">
        <f aca="false">IF(AY1800="",0,MAX(0,MIN(1,(IF(CG1800="L1",Parameter!$H$5,IF(CG1800="L23",Parameter!$H$6+Parameter!$H$7,Parameter!$H$5+Parameter!$H$6+Parameter!$H$7))-(AY1800-AT1800))/AT1800)))</f>
        <v>0</v>
      </c>
      <c r="BA1800" s="62" t="n">
        <f aca="false">IF(LEFT(Cockpit!$O$5,1)="A",H1800,IF(Parameter!$E$30="MAX-Bestand",IF(CI1800=1,CJ1800,IF(LEFT(Cockpit!$O$5,1)="B",BG1800,MAX(BG1800,H1800))),ROUNDUP(BE1800,0)))</f>
        <v>0</v>
      </c>
      <c r="BB1800" s="62" t="n">
        <f aca="false">IF(CA1800=1,0,ROUNDUP(BA1800/BZ1800,0))</f>
        <v>0</v>
      </c>
      <c r="BC1800" s="64" t="n">
        <f aca="false">IF(CR1800&gt;0,CR1800*MAX(1,BA1800/X1800),IF(CA1800=1,IF(BA1800&lt;=0,0,CE1800*MAX(1,IF(H1800&gt;0,BA1800/H1800,1))),IF(R1800&gt;0,BB1800/R1800,0))/MAX(0.1,N(Parameter!$M$21)))</f>
        <v>0</v>
      </c>
      <c r="BD1800" s="62" t="n">
        <f aca="false">BC1800*CC1800</f>
        <v>0</v>
      </c>
      <c r="BE1800" s="63" t="n">
        <f aca="false">IF(LEFT(Cockpit!$O$5,1)="A",H1800,IF(CI1800=1,(CL1800+CJ1800)/2,IF(LEFT(Cockpit!$O$5,1)="B",(CL1800+BG1800)/2,MAX((CL1800+BG1800)/2,H1800))))</f>
        <v>0</v>
      </c>
      <c r="BF1800" s="62" t="n">
        <f aca="false">BE1800*G1800</f>
        <v>0</v>
      </c>
      <c r="BG1800" s="62" t="n">
        <f aca="false">ROUNDUP(CL1800+MAX(CM1800,2*(J1800/IF(CH1800&gt;0,CH1800,MAX(0.1,N(Cockpit!$O$6)))-CL1800)),0)</f>
        <v>0</v>
      </c>
      <c r="BH1800" s="63" t="n">
        <f aca="false">IF(BD1800&gt;0,J1800/BD1800,-1)</f>
        <v>-1</v>
      </c>
      <c r="BI1800" s="63" t="str">
        <f aca="false">IF(AND(OR(CG1800="L1",CG1800="L23",CG1800="LIFT"),BD1800&gt;0),SUMIFS($BD$7:$BD$1843,$CG$7:$CG$1843,CG1800,$BH$7:$BH$1843,"&gt;"&amp;BH1800)+SUMIFS($BD$7:$BD$1843,$CG$7:$CG$1843,CG1800,$BH$7:$BH$1843,BH1800,$BX$7:$BX$1843,"&lt;="&amp;BX1800),"")</f>
        <v/>
      </c>
      <c r="BJ1800" s="70" t="n">
        <f aca="false">IF(BI1800="",0,MAX(0,MIN(1,(IF(CG1800="L1",Parameter!$H$5,IF(CG1800="L23",Parameter!$H$6+Parameter!$H$7,Parameter!$H$5+Parameter!$H$6+Parameter!$H$7))-(BI1800-BD1800))/BD1800)))</f>
        <v>0</v>
      </c>
      <c r="BK1800" s="60" t="str">
        <f aca="false">IF(AJ1800&lt;=0,"",IF(CG1800="Aussen","Aussenlager",IF(CG1800="-","Nicht im Lift",IF(AP1800&gt;=1,"Lift",IF(AP1800&lt;=0,"Aussenlager","teilweise")))))</f>
        <v/>
      </c>
      <c r="BL1800" s="60" t="str">
        <f aca="false">IF(AT1800&lt;=0,"",IF(CG1800="Aussen","Aussenlager",IF(CG1800="-","Nicht im Lift",IF(AZ1800&gt;=1,"Lift",IF(AZ1800&lt;=0,"Aussenlager","teilweise")))))</f>
        <v/>
      </c>
      <c r="BM1800" s="60" t="str">
        <f aca="false">IF(BD1800&lt;=0,"",IF(CG1800="Aussen","Aussenlager",IF(CG1800="-","Nicht im Lift",IF(BJ1800&gt;=1,"Lift",IF(BJ1800&lt;=0,"Aussenlager","teilweise")))))</f>
        <v/>
      </c>
      <c r="BN1800" s="60" t="str">
        <f aca="false">IF(A1800="","",IF(BW1800=1,"Neu; ","")&amp;IF(AND(BW1800=0,BR1800&lt;0),"negativer Bestand (Export "&amp;BR1800&amp;"); ","")&amp;IF(J1800&lt;=0,"Kein Verbrauch; ","")&amp;IF(CR1800&gt;0,"Lift "&amp;W1800&amp;" lt. Liftbericht (Fach "&amp;X1800&amp;" Stk); ",IF(CB1800=1,"Gebinde geschätzt ("&amp;T1800&amp;"); ",IF(CA1800=1,"Lose – Tablare geschätzt; ","")))&amp;IF(H1800&gt;AW1800,"Überbestand "&amp;ROUND(H1800-AW1800,0)&amp;" Stk / CHF "&amp;ROUND((H1800-AW1800)*G1800,0)&amp;"; ","")&amp;IF(AND(CI1800=1,CJ1800&lt;CK1800),"MAX &lt; MB+LG; ","")&amp;IF(AND(CQ1800&gt;0,CP1800*10&gt;CQ1800),"zu hoch für Tablar; ","")&amp;IF(AND(BW1800=0,OR(CI1800=1,AB1800&lt;&gt;"",U1800&lt;&gt;"",V1800&lt;&gt;"",AC1800&lt;&gt;"")),"manuell übersteuert; ","")&amp;IF(AND(CA1800=0,R1800=0),"Gebinde unbekannt / Stellmass fehlt; ","")&amp;IF(AND(CA1800=0,N(V1800)&lt;=0,N(Q1800)&lt;=0),"Menge pro Gebinde fehlt (Ist = 1 Gebinde); ","")&amp;BV1800)</f>
        <v/>
      </c>
      <c r="BO1800" s="60"/>
      <c r="BP1800" s="60"/>
      <c r="BQ1800" s="67"/>
      <c r="BR1800" s="62" t="n">
        <f aca="false">N('Neue Artikel'!$D$61)</f>
        <v>0</v>
      </c>
      <c r="BS1800" s="62" t="n">
        <v>0</v>
      </c>
      <c r="BT1800" s="61" t="n">
        <v>0</v>
      </c>
      <c r="BU1800" s="62" t="n">
        <f aca="false">N('Neue Artikel'!$C$61)/Parameter!$B$18</f>
        <v>0</v>
      </c>
      <c r="BV1800" s="60"/>
      <c r="BW1800" s="65" t="n">
        <v>1</v>
      </c>
      <c r="BX1800" s="65" t="n">
        <v>1800</v>
      </c>
      <c r="BY1800" s="60" t="str">
        <f aca="false">IF(U1800&lt;&gt;"",UPPER(TRIM(U1800)),IF(CB1800=1,UPPER(VLOOKUP(T1800,Parameter!$I$27:$K$29,2,0)),IF(P1800="","LOSE",P1800)))</f>
        <v>LOSE</v>
      </c>
      <c r="BZ1800" s="62" t="n">
        <f aca="false">IF(BY1800="LOSE",1,IF(N(V1800)&gt;0,V1800,IF(CB1800=1,MAX(1,N(VLOOKUP(T1800,Parameter!$I$27:$K$29,3,0)),H1800,N(N1800)),IF(N(Q1800)&gt;0,Q1800,MAX(1,H1800)))))</f>
        <v>1</v>
      </c>
      <c r="CA1800" s="65" t="n">
        <f aca="false">IF(BY1800="LOSE",1,0)</f>
        <v>1</v>
      </c>
      <c r="CB1800" s="65" t="n">
        <f aca="false">IF(AND(U1800="",OR(P1800="",P1800="LOSE"),T1800&lt;&gt;"",N(S1800)&lt;=0,ISNUMBER(MATCH(T1800,Parameter!$I$27:$I$29,0))),1,0)</f>
        <v>0</v>
      </c>
      <c r="CC1800" s="65" t="n">
        <f aca="false">IF(CR1800&gt;0,INDEX(Parameter!$H$5:$H$7,W1800)/INDEX(Parameter!$E$5:$E$7,W1800),IF(AND(CA1800=0,N(IFERROR(VLOOKUP(BY1800,'Gebinde-Kategorie'!$A$5:$N$45,14,0),0))&gt;0),VLOOKUP(BY1800,'Gebinde-Kategorie'!$A$5:$N$45,14,0)*10+Parameter!$M$23,Parameter!$M$24))</f>
        <v>235</v>
      </c>
      <c r="CD1800" s="60" t="str">
        <f aca="false">IF(AND(Parameter!$B$19="Ja",E1800&lt;&gt;"",ISNUMBER(MATCH(E1800,Parameter!$I$35:$I$52,0))),VLOOKUP(E1800,Parameter!$I$35:$J$52,2,0),IFERROR(VLOOKUP(D1800,Parameter!$A$35:$C$64,2,0),"Nein"))</f>
        <v>2+3</v>
      </c>
      <c r="CE1800" s="64" t="n">
        <f aca="false">IF(CA1800=0,0,IF(N(S1800)&gt;0,S1800,IFERROR(VLOOKUP(D1800,Parameter!$A$35:$C$64,3,0)+0,0)))</f>
        <v>0.15</v>
      </c>
      <c r="CF1800" s="60" t="str">
        <f aca="false">IF(AB1800&lt;&gt;"",AB1800,AA1800)</f>
        <v/>
      </c>
      <c r="CG1800" s="60" t="str">
        <f aca="false">IF(OR(CF1800=1,CF1800=2,CF1800=3),IF(Parameter!$E$27="Ja","LIFT",IF(CF1800=1,"L1","L23")),IF(CF1800="Aussen","Aussen","-"))</f>
        <v>-</v>
      </c>
      <c r="CH1800" s="71" t="n">
        <f aca="false">IF(N(AC1800)&gt;0,AC1800,0)</f>
        <v>0</v>
      </c>
      <c r="CI1800" s="65" t="n">
        <f aca="false">IF(ISNUMBER(AF1800),1,0)</f>
        <v>0</v>
      </c>
      <c r="CJ1800" s="62" t="n">
        <f aca="false">N(AF1800)</f>
        <v>0</v>
      </c>
      <c r="CK1800" s="62" t="n">
        <f aca="false">N(M1800)+N(N1800)</f>
        <v>0</v>
      </c>
      <c r="CL1800" s="62" t="n">
        <f aca="false">N(M1800)</f>
        <v>0</v>
      </c>
      <c r="CM1800" s="62" t="n">
        <f aca="false">N(N1800)</f>
        <v>0</v>
      </c>
      <c r="CN1800" s="62" t="n">
        <f aca="false">ROUNDUP(H1800/BZ1800,0)</f>
        <v>0</v>
      </c>
      <c r="CO1800" s="62" t="n">
        <f aca="false">ROUNDUP(CJ1800/BZ1800,0)</f>
        <v>0</v>
      </c>
      <c r="CP1800" s="65" t="n">
        <f aca="false">IF(CA1800=1,0,IFERROR(VLOOKUP(BY1800,'Gebinde-Kategorie'!$A$5:$N$45,5,0)+0,0))</f>
        <v>0</v>
      </c>
      <c r="CQ1800" s="65" t="n">
        <f aca="false">IFERROR(IF(OR(CF1800=1,CF1800=2,CF1800=3),N(INDEX(Parameter!$I$5:$I$7,CF1800)),0),0)</f>
        <v>0</v>
      </c>
      <c r="CR1800" s="64" t="n">
        <f aca="false">IF(AND(Parameter!$B$21="Ja",ISNUMBER(W1800),N(X1800)&gt;0),IFERROR(N(INDEX(Parameter!$L$5:$L$7,W1800))*INDEX(Parameter!$E$5:$E$7,W1800)*X1800/SUMIFS($X$7:$X$1843,$W$7:$W$1843,W1800),0),0)</f>
        <v>0</v>
      </c>
      <c r="CS1800" s="62" t="str">
        <f aca="false">IF(AND(OR(CG1800="L1",CG1800="L23",CG1800="LIFT"),H1800&gt;0),CC1800*IF(CR1800&gt;0,CR1800*MAX(1,H1800/X1800),IF(CA1800=1,CE1800,IF(R1800&gt;0,CN1800/R1800,0))/MAX(0.1,N(Parameter!$M$21))),"")</f>
        <v/>
      </c>
      <c r="CT1800" s="64" t="str">
        <f aca="false">IF(CS1800="","",J1800/H1800)</f>
        <v/>
      </c>
      <c r="CU1800" s="62" t="str">
        <f aca="false">IF(CS1800="","",H1800*G1800)</f>
        <v/>
      </c>
      <c r="CV1800" s="63" t="str">
        <f aca="false">IF(CS1800="","",(CL1800+ROUNDUP(CL1800+MAX(CM1800,2*(J1800/MAX(0.1,N(Einkauf!$C$6))-CL1800)),0))/2)</f>
        <v/>
      </c>
      <c r="CW1800" s="62" t="str">
        <f aca="false">IF(CS1800="","",MAX(0,H1800-CV1800)*G1800)</f>
        <v/>
      </c>
      <c r="CX1800" s="62" t="str">
        <f aca="false">IF(CS1800="","",CS1800*MAX(0,1-CV1800/H1800))</f>
        <v/>
      </c>
      <c r="CY1800" s="64" t="str">
        <f aca="false">IF(CS1800="","",PERCENTRANK($CS$7:$CS$1843,CS1800)+PERCENTRANK($CU$7:$CU$1843,CU1800)+1-PERCENTRANK($CT$7:$CT$1843,CT1800))</f>
        <v/>
      </c>
      <c r="CZ1800" s="72" t="str">
        <f aca="false">IF(CS1800="","",CHOOSE(MATCH(Einkauf!$C$5,Parameter!$G$23:$G$27,0),CY1800,CS1800,CU1800,-CT1800,CW1800)+ROW()/1000000000)</f>
        <v/>
      </c>
    </row>
    <row r="1801" customFormat="false" ht="15" hidden="false" customHeight="false" outlineLevel="0" collapsed="false">
      <c r="A1801" s="60" t="str">
        <f aca="false">IF('Neue Artikel'!$A$62="","",'Neue Artikel'!$A$62&amp;"")</f>
        <v/>
      </c>
      <c r="B1801" s="60" t="str">
        <f aca="false">'Neue Artikel'!$B$62&amp;""</f>
        <v/>
      </c>
      <c r="C1801" s="60"/>
      <c r="D1801" s="60" t="s">
        <v>3057</v>
      </c>
      <c r="E1801" s="60"/>
      <c r="F1801" s="60"/>
      <c r="G1801" s="61" t="n">
        <f aca="false">N('Neue Artikel'!$G$62)</f>
        <v>0</v>
      </c>
      <c r="H1801" s="62" t="n">
        <f aca="false">MAX(0,IF(AND(Parameter!$B$21="Ja",ISNUMBER(Y1801)),Y1801,IF(Parameter!$B$20="Jahresanfang 2025 + Export",BS1801+BR1801,BR1801)))</f>
        <v>0</v>
      </c>
      <c r="I1801" s="62" t="n">
        <f aca="false">H1801*G1801</f>
        <v>0</v>
      </c>
      <c r="J1801" s="62" t="n">
        <f aca="false">BU1801*Parameter!$B$18</f>
        <v>0</v>
      </c>
      <c r="K1801" s="63"/>
      <c r="L1801" s="64"/>
      <c r="M1801" s="62" t="n">
        <f aca="false">N('Neue Artikel'!$E$62)</f>
        <v>0</v>
      </c>
      <c r="N1801" s="62" t="n">
        <f aca="false">N('Neue Artikel'!$F$62)</f>
        <v>0</v>
      </c>
      <c r="O1801" s="65"/>
      <c r="P1801" s="60" t="str">
        <f aca="false">IF('Neue Artikel'!$H$62="","LOSE",UPPER(TRIM('Neue Artikel'!$H$62)))</f>
        <v>LOSE</v>
      </c>
      <c r="Q1801" s="62" t="n">
        <f aca="false">N('Neue Artikel'!$I$62)</f>
        <v>0</v>
      </c>
      <c r="R1801" s="65" t="n">
        <f aca="false">IF(CA1801=1,0,IFERROR(VLOOKUP(BY1801,'Gebinde-Kategorie'!$A$5:$N$45,13,0)+0,0))</f>
        <v>0</v>
      </c>
      <c r="S1801" s="66"/>
      <c r="T1801" s="67"/>
      <c r="U1801" s="67"/>
      <c r="V1801" s="67"/>
      <c r="W1801" s="60"/>
      <c r="X1801" s="62"/>
      <c r="Y1801" s="62"/>
      <c r="Z1801" s="60"/>
      <c r="AA1801" s="60" t="str">
        <f aca="false">IF(A1801="","",IF(AND(Parameter!$B$21="Ja",ISNUMBER(W1801)),W1801,IF(AND(Parameter!$E$27="Ja",ISNUMBER(Z1801),CD1801&lt;&gt;"Nein"),Z1801,IF(CD1801="2+3",IF(ISNUMBER(SEARCH("grosser Artikel",BV1801)),2,IFERROR(VLOOKUP(BY1801,Parameter!$F$35:$G$64,2,0),2)),IF(OR(CD1801="Nein",CD1801=""),"-",CD1801)))))</f>
        <v/>
      </c>
      <c r="AB1801" s="60" t="str">
        <f aca="false">IF('Neue Artikel'!$J$62="","",'Neue Artikel'!$J$62)</f>
        <v/>
      </c>
      <c r="AC1801" s="68"/>
      <c r="AD1801" s="62" t="n">
        <f aca="false">AW1801</f>
        <v>0</v>
      </c>
      <c r="AE1801" s="62" t="n">
        <f aca="false">MAX(AW1801,H1801)</f>
        <v>0</v>
      </c>
      <c r="AF1801" s="69"/>
      <c r="AG1801" s="62" t="n">
        <f aca="false">IF(LEFT(Cockpit!$C$5,1)="A",H1801,IF(Parameter!$E$30="MAX-Bestand",IF(CI1801=1,CJ1801,IF(LEFT(Cockpit!$C$5,1)="B",AM1801,MAX(AM1801,H1801))),ROUNDUP(AK1801,0)))</f>
        <v>0</v>
      </c>
      <c r="AH1801" s="62" t="n">
        <f aca="false">IF(CA1801=1,0,ROUNDUP(AG1801/BZ1801,0))</f>
        <v>0</v>
      </c>
      <c r="AI1801" s="64" t="n">
        <f aca="false">IF(CR1801&gt;0,CR1801*MAX(1,AG1801/X1801),IF(CA1801=1,IF(AG1801&lt;=0,0,CE1801*MAX(1,IF(H1801&gt;0,AG1801/H1801,1))),IF(R1801&gt;0,AH1801/R1801,0))/MAX(0.1,N(Parameter!$M$21)))</f>
        <v>0</v>
      </c>
      <c r="AJ1801" s="62" t="n">
        <f aca="false">AI1801*CC1801</f>
        <v>0</v>
      </c>
      <c r="AK1801" s="63" t="n">
        <f aca="false">IF(LEFT(Cockpit!$C$5,1)="A",H1801,IF(CI1801=1,(CL1801+CJ1801)/2,IF(LEFT(Cockpit!$C$5,1)="B",(CL1801+AM1801)/2,MAX((CL1801+AM1801)/2,H1801))))</f>
        <v>0</v>
      </c>
      <c r="AL1801" s="62" t="n">
        <f aca="false">AK1801*G1801</f>
        <v>0</v>
      </c>
      <c r="AM1801" s="62" t="n">
        <f aca="false">ROUNDUP(CL1801+MAX(CM1801,2*(J1801/IF(CH1801&gt;0,CH1801,MAX(0.1,N(Cockpit!$C$6)))-CL1801)),0)</f>
        <v>0</v>
      </c>
      <c r="AN1801" s="63" t="n">
        <f aca="false">IF(AJ1801&gt;0,J1801/AJ1801,-1)</f>
        <v>-1</v>
      </c>
      <c r="AO1801" s="63" t="str">
        <f aca="false">IF(AND(OR(CG1801="L1",CG1801="L23",CG1801="LIFT"),AJ1801&gt;0),SUMIFS($AJ$7:$AJ$1843,$CG$7:$CG$1843,CG1801,$AN$7:$AN$1843,"&gt;"&amp;AN1801)+SUMIFS($AJ$7:$AJ$1843,$CG$7:$CG$1843,CG1801,$AN$7:$AN$1843,AN1801,$BX$7:$BX$1843,"&lt;="&amp;BX1801),"")</f>
        <v/>
      </c>
      <c r="AP1801" s="70" t="n">
        <f aca="false">IF(AO1801="",0,MAX(0,MIN(1,(IF(CG1801="L1",Parameter!$H$5,IF(CG1801="L23",Parameter!$H$6+Parameter!$H$7,Parameter!$H$5+Parameter!$H$6+Parameter!$H$7))-(AO1801-AJ1801))/AJ1801)))</f>
        <v>0</v>
      </c>
      <c r="AQ1801" s="62" t="n">
        <f aca="false">IF(LEFT(Cockpit!$I$5,1)="A",H1801,IF(Parameter!$E$30="MAX-Bestand",IF(CI1801=1,CJ1801,IF(LEFT(Cockpit!$I$5,1)="B",AW1801,MAX(AW1801,H1801))),ROUNDUP(AU1801,0)))</f>
        <v>0</v>
      </c>
      <c r="AR1801" s="62" t="n">
        <f aca="false">IF(CA1801=1,0,ROUNDUP(AQ1801/BZ1801,0))</f>
        <v>0</v>
      </c>
      <c r="AS1801" s="64" t="n">
        <f aca="false">IF(CR1801&gt;0,CR1801*MAX(1,AQ1801/X1801),IF(CA1801=1,IF(AQ1801&lt;=0,0,CE1801*MAX(1,IF(H1801&gt;0,AQ1801/H1801,1))),IF(R1801&gt;0,AR1801/R1801,0))/MAX(0.1,N(Parameter!$M$21)))</f>
        <v>0</v>
      </c>
      <c r="AT1801" s="62" t="n">
        <f aca="false">AS1801*CC1801</f>
        <v>0</v>
      </c>
      <c r="AU1801" s="63" t="n">
        <f aca="false">IF(LEFT(Cockpit!$I$5,1)="A",H1801,IF(CI1801=1,(CL1801+CJ1801)/2,IF(LEFT(Cockpit!$I$5,1)="B",(CL1801+AW1801)/2,MAX((CL1801+AW1801)/2,H1801))))</f>
        <v>0</v>
      </c>
      <c r="AV1801" s="62" t="n">
        <f aca="false">AU1801*G1801</f>
        <v>0</v>
      </c>
      <c r="AW1801" s="62" t="n">
        <f aca="false">ROUNDUP(CL1801+MAX(CM1801,2*(J1801/IF(CH1801&gt;0,CH1801,MAX(0.1,N(Cockpit!$I$6)))-CL1801)),0)</f>
        <v>0</v>
      </c>
      <c r="AX1801" s="63" t="n">
        <f aca="false">IF(AT1801&gt;0,J1801/AT1801,-1)</f>
        <v>-1</v>
      </c>
      <c r="AY1801" s="63" t="str">
        <f aca="false">IF(AND(OR(CG1801="L1",CG1801="L23",CG1801="LIFT"),AT1801&gt;0),SUMIFS($AT$7:$AT$1843,$CG$7:$CG$1843,CG1801,$AX$7:$AX$1843,"&gt;"&amp;AX1801)+SUMIFS($AT$7:$AT$1843,$CG$7:$CG$1843,CG1801,$AX$7:$AX$1843,AX1801,$BX$7:$BX$1843,"&lt;="&amp;BX1801),"")</f>
        <v/>
      </c>
      <c r="AZ1801" s="70" t="n">
        <f aca="false">IF(AY1801="",0,MAX(0,MIN(1,(IF(CG1801="L1",Parameter!$H$5,IF(CG1801="L23",Parameter!$H$6+Parameter!$H$7,Parameter!$H$5+Parameter!$H$6+Parameter!$H$7))-(AY1801-AT1801))/AT1801)))</f>
        <v>0</v>
      </c>
      <c r="BA1801" s="62" t="n">
        <f aca="false">IF(LEFT(Cockpit!$O$5,1)="A",H1801,IF(Parameter!$E$30="MAX-Bestand",IF(CI1801=1,CJ1801,IF(LEFT(Cockpit!$O$5,1)="B",BG1801,MAX(BG1801,H1801))),ROUNDUP(BE1801,0)))</f>
        <v>0</v>
      </c>
      <c r="BB1801" s="62" t="n">
        <f aca="false">IF(CA1801=1,0,ROUNDUP(BA1801/BZ1801,0))</f>
        <v>0</v>
      </c>
      <c r="BC1801" s="64" t="n">
        <f aca="false">IF(CR1801&gt;0,CR1801*MAX(1,BA1801/X1801),IF(CA1801=1,IF(BA1801&lt;=0,0,CE1801*MAX(1,IF(H1801&gt;0,BA1801/H1801,1))),IF(R1801&gt;0,BB1801/R1801,0))/MAX(0.1,N(Parameter!$M$21)))</f>
        <v>0</v>
      </c>
      <c r="BD1801" s="62" t="n">
        <f aca="false">BC1801*CC1801</f>
        <v>0</v>
      </c>
      <c r="BE1801" s="63" t="n">
        <f aca="false">IF(LEFT(Cockpit!$O$5,1)="A",H1801,IF(CI1801=1,(CL1801+CJ1801)/2,IF(LEFT(Cockpit!$O$5,1)="B",(CL1801+BG1801)/2,MAX((CL1801+BG1801)/2,H1801))))</f>
        <v>0</v>
      </c>
      <c r="BF1801" s="62" t="n">
        <f aca="false">BE1801*G1801</f>
        <v>0</v>
      </c>
      <c r="BG1801" s="62" t="n">
        <f aca="false">ROUNDUP(CL1801+MAX(CM1801,2*(J1801/IF(CH1801&gt;0,CH1801,MAX(0.1,N(Cockpit!$O$6)))-CL1801)),0)</f>
        <v>0</v>
      </c>
      <c r="BH1801" s="63" t="n">
        <f aca="false">IF(BD1801&gt;0,J1801/BD1801,-1)</f>
        <v>-1</v>
      </c>
      <c r="BI1801" s="63" t="str">
        <f aca="false">IF(AND(OR(CG1801="L1",CG1801="L23",CG1801="LIFT"),BD1801&gt;0),SUMIFS($BD$7:$BD$1843,$CG$7:$CG$1843,CG1801,$BH$7:$BH$1843,"&gt;"&amp;BH1801)+SUMIFS($BD$7:$BD$1843,$CG$7:$CG$1843,CG1801,$BH$7:$BH$1843,BH1801,$BX$7:$BX$1843,"&lt;="&amp;BX1801),"")</f>
        <v/>
      </c>
      <c r="BJ1801" s="70" t="n">
        <f aca="false">IF(BI1801="",0,MAX(0,MIN(1,(IF(CG1801="L1",Parameter!$H$5,IF(CG1801="L23",Parameter!$H$6+Parameter!$H$7,Parameter!$H$5+Parameter!$H$6+Parameter!$H$7))-(BI1801-BD1801))/BD1801)))</f>
        <v>0</v>
      </c>
      <c r="BK1801" s="60" t="str">
        <f aca="false">IF(AJ1801&lt;=0,"",IF(CG1801="Aussen","Aussenlager",IF(CG1801="-","Nicht im Lift",IF(AP1801&gt;=1,"Lift",IF(AP1801&lt;=0,"Aussenlager","teilweise")))))</f>
        <v/>
      </c>
      <c r="BL1801" s="60" t="str">
        <f aca="false">IF(AT1801&lt;=0,"",IF(CG1801="Aussen","Aussenlager",IF(CG1801="-","Nicht im Lift",IF(AZ1801&gt;=1,"Lift",IF(AZ1801&lt;=0,"Aussenlager","teilweise")))))</f>
        <v/>
      </c>
      <c r="BM1801" s="60" t="str">
        <f aca="false">IF(BD1801&lt;=0,"",IF(CG1801="Aussen","Aussenlager",IF(CG1801="-","Nicht im Lift",IF(BJ1801&gt;=1,"Lift",IF(BJ1801&lt;=0,"Aussenlager","teilweise")))))</f>
        <v/>
      </c>
      <c r="BN1801" s="60" t="str">
        <f aca="false">IF(A1801="","",IF(BW1801=1,"Neu; ","")&amp;IF(AND(BW1801=0,BR1801&lt;0),"negativer Bestand (Export "&amp;BR1801&amp;"); ","")&amp;IF(J1801&lt;=0,"Kein Verbrauch; ","")&amp;IF(CR1801&gt;0,"Lift "&amp;W1801&amp;" lt. Liftbericht (Fach "&amp;X1801&amp;" Stk); ",IF(CB1801=1,"Gebinde geschätzt ("&amp;T1801&amp;"); ",IF(CA1801=1,"Lose – Tablare geschätzt; ","")))&amp;IF(H1801&gt;AW1801,"Überbestand "&amp;ROUND(H1801-AW1801,0)&amp;" Stk / CHF "&amp;ROUND((H1801-AW1801)*G1801,0)&amp;"; ","")&amp;IF(AND(CI1801=1,CJ1801&lt;CK1801),"MAX &lt; MB+LG; ","")&amp;IF(AND(CQ1801&gt;0,CP1801*10&gt;CQ1801),"zu hoch für Tablar; ","")&amp;IF(AND(BW1801=0,OR(CI1801=1,AB1801&lt;&gt;"",U1801&lt;&gt;"",V1801&lt;&gt;"",AC1801&lt;&gt;"")),"manuell übersteuert; ","")&amp;IF(AND(CA1801=0,R1801=0),"Gebinde unbekannt / Stellmass fehlt; ","")&amp;IF(AND(CA1801=0,N(V1801)&lt;=0,N(Q1801)&lt;=0),"Menge pro Gebinde fehlt (Ist = 1 Gebinde); ","")&amp;BV1801)</f>
        <v/>
      </c>
      <c r="BO1801" s="60"/>
      <c r="BP1801" s="60"/>
      <c r="BQ1801" s="67"/>
      <c r="BR1801" s="62" t="n">
        <f aca="false">N('Neue Artikel'!$D$62)</f>
        <v>0</v>
      </c>
      <c r="BS1801" s="62" t="n">
        <v>0</v>
      </c>
      <c r="BT1801" s="61" t="n">
        <v>0</v>
      </c>
      <c r="BU1801" s="62" t="n">
        <f aca="false">N('Neue Artikel'!$C$62)/Parameter!$B$18</f>
        <v>0</v>
      </c>
      <c r="BV1801" s="60"/>
      <c r="BW1801" s="65" t="n">
        <v>1</v>
      </c>
      <c r="BX1801" s="65" t="n">
        <v>1801</v>
      </c>
      <c r="BY1801" s="60" t="str">
        <f aca="false">IF(U1801&lt;&gt;"",UPPER(TRIM(U1801)),IF(CB1801=1,UPPER(VLOOKUP(T1801,Parameter!$I$27:$K$29,2,0)),IF(P1801="","LOSE",P1801)))</f>
        <v>LOSE</v>
      </c>
      <c r="BZ1801" s="62" t="n">
        <f aca="false">IF(BY1801="LOSE",1,IF(N(V1801)&gt;0,V1801,IF(CB1801=1,MAX(1,N(VLOOKUP(T1801,Parameter!$I$27:$K$29,3,0)),H1801,N(N1801)),IF(N(Q1801)&gt;0,Q1801,MAX(1,H1801)))))</f>
        <v>1</v>
      </c>
      <c r="CA1801" s="65" t="n">
        <f aca="false">IF(BY1801="LOSE",1,0)</f>
        <v>1</v>
      </c>
      <c r="CB1801" s="65" t="n">
        <f aca="false">IF(AND(U1801="",OR(P1801="",P1801="LOSE"),T1801&lt;&gt;"",N(S1801)&lt;=0,ISNUMBER(MATCH(T1801,Parameter!$I$27:$I$29,0))),1,0)</f>
        <v>0</v>
      </c>
      <c r="CC1801" s="65" t="n">
        <f aca="false">IF(CR1801&gt;0,INDEX(Parameter!$H$5:$H$7,W1801)/INDEX(Parameter!$E$5:$E$7,W1801),IF(AND(CA1801=0,N(IFERROR(VLOOKUP(BY1801,'Gebinde-Kategorie'!$A$5:$N$45,14,0),0))&gt;0),VLOOKUP(BY1801,'Gebinde-Kategorie'!$A$5:$N$45,14,0)*10+Parameter!$M$23,Parameter!$M$24))</f>
        <v>235</v>
      </c>
      <c r="CD1801" s="60" t="str">
        <f aca="false">IF(AND(Parameter!$B$19="Ja",E1801&lt;&gt;"",ISNUMBER(MATCH(E1801,Parameter!$I$35:$I$52,0))),VLOOKUP(E1801,Parameter!$I$35:$J$52,2,0),IFERROR(VLOOKUP(D1801,Parameter!$A$35:$C$64,2,0),"Nein"))</f>
        <v>2+3</v>
      </c>
      <c r="CE1801" s="64" t="n">
        <f aca="false">IF(CA1801=0,0,IF(N(S1801)&gt;0,S1801,IFERROR(VLOOKUP(D1801,Parameter!$A$35:$C$64,3,0)+0,0)))</f>
        <v>0.15</v>
      </c>
      <c r="CF1801" s="60" t="str">
        <f aca="false">IF(AB1801&lt;&gt;"",AB1801,AA1801)</f>
        <v/>
      </c>
      <c r="CG1801" s="60" t="str">
        <f aca="false">IF(OR(CF1801=1,CF1801=2,CF1801=3),IF(Parameter!$E$27="Ja","LIFT",IF(CF1801=1,"L1","L23")),IF(CF1801="Aussen","Aussen","-"))</f>
        <v>-</v>
      </c>
      <c r="CH1801" s="71" t="n">
        <f aca="false">IF(N(AC1801)&gt;0,AC1801,0)</f>
        <v>0</v>
      </c>
      <c r="CI1801" s="65" t="n">
        <f aca="false">IF(ISNUMBER(AF1801),1,0)</f>
        <v>0</v>
      </c>
      <c r="CJ1801" s="62" t="n">
        <f aca="false">N(AF1801)</f>
        <v>0</v>
      </c>
      <c r="CK1801" s="62" t="n">
        <f aca="false">N(M1801)+N(N1801)</f>
        <v>0</v>
      </c>
      <c r="CL1801" s="62" t="n">
        <f aca="false">N(M1801)</f>
        <v>0</v>
      </c>
      <c r="CM1801" s="62" t="n">
        <f aca="false">N(N1801)</f>
        <v>0</v>
      </c>
      <c r="CN1801" s="62" t="n">
        <f aca="false">ROUNDUP(H1801/BZ1801,0)</f>
        <v>0</v>
      </c>
      <c r="CO1801" s="62" t="n">
        <f aca="false">ROUNDUP(CJ1801/BZ1801,0)</f>
        <v>0</v>
      </c>
      <c r="CP1801" s="65" t="n">
        <f aca="false">IF(CA1801=1,0,IFERROR(VLOOKUP(BY1801,'Gebinde-Kategorie'!$A$5:$N$45,5,0)+0,0))</f>
        <v>0</v>
      </c>
      <c r="CQ1801" s="65" t="n">
        <f aca="false">IFERROR(IF(OR(CF1801=1,CF1801=2,CF1801=3),N(INDEX(Parameter!$I$5:$I$7,CF1801)),0),0)</f>
        <v>0</v>
      </c>
      <c r="CR1801" s="64" t="n">
        <f aca="false">IF(AND(Parameter!$B$21="Ja",ISNUMBER(W1801),N(X1801)&gt;0),IFERROR(N(INDEX(Parameter!$L$5:$L$7,W1801))*INDEX(Parameter!$E$5:$E$7,W1801)*X1801/SUMIFS($X$7:$X$1843,$W$7:$W$1843,W1801),0),0)</f>
        <v>0</v>
      </c>
      <c r="CS1801" s="62" t="str">
        <f aca="false">IF(AND(OR(CG1801="L1",CG1801="L23",CG1801="LIFT"),H1801&gt;0),CC1801*IF(CR1801&gt;0,CR1801*MAX(1,H1801/X1801),IF(CA1801=1,CE1801,IF(R1801&gt;0,CN1801/R1801,0))/MAX(0.1,N(Parameter!$M$21))),"")</f>
        <v/>
      </c>
      <c r="CT1801" s="64" t="str">
        <f aca="false">IF(CS1801="","",J1801/H1801)</f>
        <v/>
      </c>
      <c r="CU1801" s="62" t="str">
        <f aca="false">IF(CS1801="","",H1801*G1801)</f>
        <v/>
      </c>
      <c r="CV1801" s="63" t="str">
        <f aca="false">IF(CS1801="","",(CL1801+ROUNDUP(CL1801+MAX(CM1801,2*(J1801/MAX(0.1,N(Einkauf!$C$6))-CL1801)),0))/2)</f>
        <v/>
      </c>
      <c r="CW1801" s="62" t="str">
        <f aca="false">IF(CS1801="","",MAX(0,H1801-CV1801)*G1801)</f>
        <v/>
      </c>
      <c r="CX1801" s="62" t="str">
        <f aca="false">IF(CS1801="","",CS1801*MAX(0,1-CV1801/H1801))</f>
        <v/>
      </c>
      <c r="CY1801" s="64" t="str">
        <f aca="false">IF(CS1801="","",PERCENTRANK($CS$7:$CS$1843,CS1801)+PERCENTRANK($CU$7:$CU$1843,CU1801)+1-PERCENTRANK($CT$7:$CT$1843,CT1801))</f>
        <v/>
      </c>
      <c r="CZ1801" s="72" t="str">
        <f aca="false">IF(CS1801="","",CHOOSE(MATCH(Einkauf!$C$5,Parameter!$G$23:$G$27,0),CY1801,CS1801,CU1801,-CT1801,CW1801)+ROW()/1000000000)</f>
        <v/>
      </c>
    </row>
    <row r="1802" customFormat="false" ht="15" hidden="false" customHeight="false" outlineLevel="0" collapsed="false">
      <c r="A1802" s="60" t="str">
        <f aca="false">IF('Neue Artikel'!$A$63="","",'Neue Artikel'!$A$63&amp;"")</f>
        <v/>
      </c>
      <c r="B1802" s="60" t="str">
        <f aca="false">'Neue Artikel'!$B$63&amp;""</f>
        <v/>
      </c>
      <c r="C1802" s="60"/>
      <c r="D1802" s="60" t="s">
        <v>3057</v>
      </c>
      <c r="E1802" s="60"/>
      <c r="F1802" s="60"/>
      <c r="G1802" s="61" t="n">
        <f aca="false">N('Neue Artikel'!$G$63)</f>
        <v>0</v>
      </c>
      <c r="H1802" s="62" t="n">
        <f aca="false">MAX(0,IF(AND(Parameter!$B$21="Ja",ISNUMBER(Y1802)),Y1802,IF(Parameter!$B$20="Jahresanfang 2025 + Export",BS1802+BR1802,BR1802)))</f>
        <v>0</v>
      </c>
      <c r="I1802" s="62" t="n">
        <f aca="false">H1802*G1802</f>
        <v>0</v>
      </c>
      <c r="J1802" s="62" t="n">
        <f aca="false">BU1802*Parameter!$B$18</f>
        <v>0</v>
      </c>
      <c r="K1802" s="63"/>
      <c r="L1802" s="64"/>
      <c r="M1802" s="62" t="n">
        <f aca="false">N('Neue Artikel'!$E$63)</f>
        <v>0</v>
      </c>
      <c r="N1802" s="62" t="n">
        <f aca="false">N('Neue Artikel'!$F$63)</f>
        <v>0</v>
      </c>
      <c r="O1802" s="65"/>
      <c r="P1802" s="60" t="str">
        <f aca="false">IF('Neue Artikel'!$H$63="","LOSE",UPPER(TRIM('Neue Artikel'!$H$63)))</f>
        <v>LOSE</v>
      </c>
      <c r="Q1802" s="62" t="n">
        <f aca="false">N('Neue Artikel'!$I$63)</f>
        <v>0</v>
      </c>
      <c r="R1802" s="65" t="n">
        <f aca="false">IF(CA1802=1,0,IFERROR(VLOOKUP(BY1802,'Gebinde-Kategorie'!$A$5:$N$45,13,0)+0,0))</f>
        <v>0</v>
      </c>
      <c r="S1802" s="66"/>
      <c r="T1802" s="67"/>
      <c r="U1802" s="67"/>
      <c r="V1802" s="67"/>
      <c r="W1802" s="60"/>
      <c r="X1802" s="62"/>
      <c r="Y1802" s="62"/>
      <c r="Z1802" s="60"/>
      <c r="AA1802" s="60" t="str">
        <f aca="false">IF(A1802="","",IF(AND(Parameter!$B$21="Ja",ISNUMBER(W1802)),W1802,IF(AND(Parameter!$E$27="Ja",ISNUMBER(Z1802),CD1802&lt;&gt;"Nein"),Z1802,IF(CD1802="2+3",IF(ISNUMBER(SEARCH("grosser Artikel",BV1802)),2,IFERROR(VLOOKUP(BY1802,Parameter!$F$35:$G$64,2,0),2)),IF(OR(CD1802="Nein",CD1802=""),"-",CD1802)))))</f>
        <v/>
      </c>
      <c r="AB1802" s="60" t="str">
        <f aca="false">IF('Neue Artikel'!$J$63="","",'Neue Artikel'!$J$63)</f>
        <v/>
      </c>
      <c r="AC1802" s="68"/>
      <c r="AD1802" s="62" t="n">
        <f aca="false">AW1802</f>
        <v>0</v>
      </c>
      <c r="AE1802" s="62" t="n">
        <f aca="false">MAX(AW1802,H1802)</f>
        <v>0</v>
      </c>
      <c r="AF1802" s="69"/>
      <c r="AG1802" s="62" t="n">
        <f aca="false">IF(LEFT(Cockpit!$C$5,1)="A",H1802,IF(Parameter!$E$30="MAX-Bestand",IF(CI1802=1,CJ1802,IF(LEFT(Cockpit!$C$5,1)="B",AM1802,MAX(AM1802,H1802))),ROUNDUP(AK1802,0)))</f>
        <v>0</v>
      </c>
      <c r="AH1802" s="62" t="n">
        <f aca="false">IF(CA1802=1,0,ROUNDUP(AG1802/BZ1802,0))</f>
        <v>0</v>
      </c>
      <c r="AI1802" s="64" t="n">
        <f aca="false">IF(CR1802&gt;0,CR1802*MAX(1,AG1802/X1802),IF(CA1802=1,IF(AG1802&lt;=0,0,CE1802*MAX(1,IF(H1802&gt;0,AG1802/H1802,1))),IF(R1802&gt;0,AH1802/R1802,0))/MAX(0.1,N(Parameter!$M$21)))</f>
        <v>0</v>
      </c>
      <c r="AJ1802" s="62" t="n">
        <f aca="false">AI1802*CC1802</f>
        <v>0</v>
      </c>
      <c r="AK1802" s="63" t="n">
        <f aca="false">IF(LEFT(Cockpit!$C$5,1)="A",H1802,IF(CI1802=1,(CL1802+CJ1802)/2,IF(LEFT(Cockpit!$C$5,1)="B",(CL1802+AM1802)/2,MAX((CL1802+AM1802)/2,H1802))))</f>
        <v>0</v>
      </c>
      <c r="AL1802" s="62" t="n">
        <f aca="false">AK1802*G1802</f>
        <v>0</v>
      </c>
      <c r="AM1802" s="62" t="n">
        <f aca="false">ROUNDUP(CL1802+MAX(CM1802,2*(J1802/IF(CH1802&gt;0,CH1802,MAX(0.1,N(Cockpit!$C$6)))-CL1802)),0)</f>
        <v>0</v>
      </c>
      <c r="AN1802" s="63" t="n">
        <f aca="false">IF(AJ1802&gt;0,J1802/AJ1802,-1)</f>
        <v>-1</v>
      </c>
      <c r="AO1802" s="63" t="str">
        <f aca="false">IF(AND(OR(CG1802="L1",CG1802="L23",CG1802="LIFT"),AJ1802&gt;0),SUMIFS($AJ$7:$AJ$1843,$CG$7:$CG$1843,CG1802,$AN$7:$AN$1843,"&gt;"&amp;AN1802)+SUMIFS($AJ$7:$AJ$1843,$CG$7:$CG$1843,CG1802,$AN$7:$AN$1843,AN1802,$BX$7:$BX$1843,"&lt;="&amp;BX1802),"")</f>
        <v/>
      </c>
      <c r="AP1802" s="70" t="n">
        <f aca="false">IF(AO1802="",0,MAX(0,MIN(1,(IF(CG1802="L1",Parameter!$H$5,IF(CG1802="L23",Parameter!$H$6+Parameter!$H$7,Parameter!$H$5+Parameter!$H$6+Parameter!$H$7))-(AO1802-AJ1802))/AJ1802)))</f>
        <v>0</v>
      </c>
      <c r="AQ1802" s="62" t="n">
        <f aca="false">IF(LEFT(Cockpit!$I$5,1)="A",H1802,IF(Parameter!$E$30="MAX-Bestand",IF(CI1802=1,CJ1802,IF(LEFT(Cockpit!$I$5,1)="B",AW1802,MAX(AW1802,H1802))),ROUNDUP(AU1802,0)))</f>
        <v>0</v>
      </c>
      <c r="AR1802" s="62" t="n">
        <f aca="false">IF(CA1802=1,0,ROUNDUP(AQ1802/BZ1802,0))</f>
        <v>0</v>
      </c>
      <c r="AS1802" s="64" t="n">
        <f aca="false">IF(CR1802&gt;0,CR1802*MAX(1,AQ1802/X1802),IF(CA1802=1,IF(AQ1802&lt;=0,0,CE1802*MAX(1,IF(H1802&gt;0,AQ1802/H1802,1))),IF(R1802&gt;0,AR1802/R1802,0))/MAX(0.1,N(Parameter!$M$21)))</f>
        <v>0</v>
      </c>
      <c r="AT1802" s="62" t="n">
        <f aca="false">AS1802*CC1802</f>
        <v>0</v>
      </c>
      <c r="AU1802" s="63" t="n">
        <f aca="false">IF(LEFT(Cockpit!$I$5,1)="A",H1802,IF(CI1802=1,(CL1802+CJ1802)/2,IF(LEFT(Cockpit!$I$5,1)="B",(CL1802+AW1802)/2,MAX((CL1802+AW1802)/2,H1802))))</f>
        <v>0</v>
      </c>
      <c r="AV1802" s="62" t="n">
        <f aca="false">AU1802*G1802</f>
        <v>0</v>
      </c>
      <c r="AW1802" s="62" t="n">
        <f aca="false">ROUNDUP(CL1802+MAX(CM1802,2*(J1802/IF(CH1802&gt;0,CH1802,MAX(0.1,N(Cockpit!$I$6)))-CL1802)),0)</f>
        <v>0</v>
      </c>
      <c r="AX1802" s="63" t="n">
        <f aca="false">IF(AT1802&gt;0,J1802/AT1802,-1)</f>
        <v>-1</v>
      </c>
      <c r="AY1802" s="63" t="str">
        <f aca="false">IF(AND(OR(CG1802="L1",CG1802="L23",CG1802="LIFT"),AT1802&gt;0),SUMIFS($AT$7:$AT$1843,$CG$7:$CG$1843,CG1802,$AX$7:$AX$1843,"&gt;"&amp;AX1802)+SUMIFS($AT$7:$AT$1843,$CG$7:$CG$1843,CG1802,$AX$7:$AX$1843,AX1802,$BX$7:$BX$1843,"&lt;="&amp;BX1802),"")</f>
        <v/>
      </c>
      <c r="AZ1802" s="70" t="n">
        <f aca="false">IF(AY1802="",0,MAX(0,MIN(1,(IF(CG1802="L1",Parameter!$H$5,IF(CG1802="L23",Parameter!$H$6+Parameter!$H$7,Parameter!$H$5+Parameter!$H$6+Parameter!$H$7))-(AY1802-AT1802))/AT1802)))</f>
        <v>0</v>
      </c>
      <c r="BA1802" s="62" t="n">
        <f aca="false">IF(LEFT(Cockpit!$O$5,1)="A",H1802,IF(Parameter!$E$30="MAX-Bestand",IF(CI1802=1,CJ1802,IF(LEFT(Cockpit!$O$5,1)="B",BG1802,MAX(BG1802,H1802))),ROUNDUP(BE1802,0)))</f>
        <v>0</v>
      </c>
      <c r="BB1802" s="62" t="n">
        <f aca="false">IF(CA1802=1,0,ROUNDUP(BA1802/BZ1802,0))</f>
        <v>0</v>
      </c>
      <c r="BC1802" s="64" t="n">
        <f aca="false">IF(CR1802&gt;0,CR1802*MAX(1,BA1802/X1802),IF(CA1802=1,IF(BA1802&lt;=0,0,CE1802*MAX(1,IF(H1802&gt;0,BA1802/H1802,1))),IF(R1802&gt;0,BB1802/R1802,0))/MAX(0.1,N(Parameter!$M$21)))</f>
        <v>0</v>
      </c>
      <c r="BD1802" s="62" t="n">
        <f aca="false">BC1802*CC1802</f>
        <v>0</v>
      </c>
      <c r="BE1802" s="63" t="n">
        <f aca="false">IF(LEFT(Cockpit!$O$5,1)="A",H1802,IF(CI1802=1,(CL1802+CJ1802)/2,IF(LEFT(Cockpit!$O$5,1)="B",(CL1802+BG1802)/2,MAX((CL1802+BG1802)/2,H1802))))</f>
        <v>0</v>
      </c>
      <c r="BF1802" s="62" t="n">
        <f aca="false">BE1802*G1802</f>
        <v>0</v>
      </c>
      <c r="BG1802" s="62" t="n">
        <f aca="false">ROUNDUP(CL1802+MAX(CM1802,2*(J1802/IF(CH1802&gt;0,CH1802,MAX(0.1,N(Cockpit!$O$6)))-CL1802)),0)</f>
        <v>0</v>
      </c>
      <c r="BH1802" s="63" t="n">
        <f aca="false">IF(BD1802&gt;0,J1802/BD1802,-1)</f>
        <v>-1</v>
      </c>
      <c r="BI1802" s="63" t="str">
        <f aca="false">IF(AND(OR(CG1802="L1",CG1802="L23",CG1802="LIFT"),BD1802&gt;0),SUMIFS($BD$7:$BD$1843,$CG$7:$CG$1843,CG1802,$BH$7:$BH$1843,"&gt;"&amp;BH1802)+SUMIFS($BD$7:$BD$1843,$CG$7:$CG$1843,CG1802,$BH$7:$BH$1843,BH1802,$BX$7:$BX$1843,"&lt;="&amp;BX1802),"")</f>
        <v/>
      </c>
      <c r="BJ1802" s="70" t="n">
        <f aca="false">IF(BI1802="",0,MAX(0,MIN(1,(IF(CG1802="L1",Parameter!$H$5,IF(CG1802="L23",Parameter!$H$6+Parameter!$H$7,Parameter!$H$5+Parameter!$H$6+Parameter!$H$7))-(BI1802-BD1802))/BD1802)))</f>
        <v>0</v>
      </c>
      <c r="BK1802" s="60" t="str">
        <f aca="false">IF(AJ1802&lt;=0,"",IF(CG1802="Aussen","Aussenlager",IF(CG1802="-","Nicht im Lift",IF(AP1802&gt;=1,"Lift",IF(AP1802&lt;=0,"Aussenlager","teilweise")))))</f>
        <v/>
      </c>
      <c r="BL1802" s="60" t="str">
        <f aca="false">IF(AT1802&lt;=0,"",IF(CG1802="Aussen","Aussenlager",IF(CG1802="-","Nicht im Lift",IF(AZ1802&gt;=1,"Lift",IF(AZ1802&lt;=0,"Aussenlager","teilweise")))))</f>
        <v/>
      </c>
      <c r="BM1802" s="60" t="str">
        <f aca="false">IF(BD1802&lt;=0,"",IF(CG1802="Aussen","Aussenlager",IF(CG1802="-","Nicht im Lift",IF(BJ1802&gt;=1,"Lift",IF(BJ1802&lt;=0,"Aussenlager","teilweise")))))</f>
        <v/>
      </c>
      <c r="BN1802" s="60" t="str">
        <f aca="false">IF(A1802="","",IF(BW1802=1,"Neu; ","")&amp;IF(AND(BW1802=0,BR1802&lt;0),"negativer Bestand (Export "&amp;BR1802&amp;"); ","")&amp;IF(J1802&lt;=0,"Kein Verbrauch; ","")&amp;IF(CR1802&gt;0,"Lift "&amp;W1802&amp;" lt. Liftbericht (Fach "&amp;X1802&amp;" Stk); ",IF(CB1802=1,"Gebinde geschätzt ("&amp;T1802&amp;"); ",IF(CA1802=1,"Lose – Tablare geschätzt; ","")))&amp;IF(H1802&gt;AW1802,"Überbestand "&amp;ROUND(H1802-AW1802,0)&amp;" Stk / CHF "&amp;ROUND((H1802-AW1802)*G1802,0)&amp;"; ","")&amp;IF(AND(CI1802=1,CJ1802&lt;CK1802),"MAX &lt; MB+LG; ","")&amp;IF(AND(CQ1802&gt;0,CP1802*10&gt;CQ1802),"zu hoch für Tablar; ","")&amp;IF(AND(BW1802=0,OR(CI1802=1,AB1802&lt;&gt;"",U1802&lt;&gt;"",V1802&lt;&gt;"",AC1802&lt;&gt;"")),"manuell übersteuert; ","")&amp;IF(AND(CA1802=0,R1802=0),"Gebinde unbekannt / Stellmass fehlt; ","")&amp;IF(AND(CA1802=0,N(V1802)&lt;=0,N(Q1802)&lt;=0),"Menge pro Gebinde fehlt (Ist = 1 Gebinde); ","")&amp;BV1802)</f>
        <v/>
      </c>
      <c r="BO1802" s="60"/>
      <c r="BP1802" s="60"/>
      <c r="BQ1802" s="67"/>
      <c r="BR1802" s="62" t="n">
        <f aca="false">N('Neue Artikel'!$D$63)</f>
        <v>0</v>
      </c>
      <c r="BS1802" s="62" t="n">
        <v>0</v>
      </c>
      <c r="BT1802" s="61" t="n">
        <v>0</v>
      </c>
      <c r="BU1802" s="62" t="n">
        <f aca="false">N('Neue Artikel'!$C$63)/Parameter!$B$18</f>
        <v>0</v>
      </c>
      <c r="BV1802" s="60"/>
      <c r="BW1802" s="65" t="n">
        <v>1</v>
      </c>
      <c r="BX1802" s="65" t="n">
        <v>1802</v>
      </c>
      <c r="BY1802" s="60" t="str">
        <f aca="false">IF(U1802&lt;&gt;"",UPPER(TRIM(U1802)),IF(CB1802=1,UPPER(VLOOKUP(T1802,Parameter!$I$27:$K$29,2,0)),IF(P1802="","LOSE",P1802)))</f>
        <v>LOSE</v>
      </c>
      <c r="BZ1802" s="62" t="n">
        <f aca="false">IF(BY1802="LOSE",1,IF(N(V1802)&gt;0,V1802,IF(CB1802=1,MAX(1,N(VLOOKUP(T1802,Parameter!$I$27:$K$29,3,0)),H1802,N(N1802)),IF(N(Q1802)&gt;0,Q1802,MAX(1,H1802)))))</f>
        <v>1</v>
      </c>
      <c r="CA1802" s="65" t="n">
        <f aca="false">IF(BY1802="LOSE",1,0)</f>
        <v>1</v>
      </c>
      <c r="CB1802" s="65" t="n">
        <f aca="false">IF(AND(U1802="",OR(P1802="",P1802="LOSE"),T1802&lt;&gt;"",N(S1802)&lt;=0,ISNUMBER(MATCH(T1802,Parameter!$I$27:$I$29,0))),1,0)</f>
        <v>0</v>
      </c>
      <c r="CC1802" s="65" t="n">
        <f aca="false">IF(CR1802&gt;0,INDEX(Parameter!$H$5:$H$7,W1802)/INDEX(Parameter!$E$5:$E$7,W1802),IF(AND(CA1802=0,N(IFERROR(VLOOKUP(BY1802,'Gebinde-Kategorie'!$A$5:$N$45,14,0),0))&gt;0),VLOOKUP(BY1802,'Gebinde-Kategorie'!$A$5:$N$45,14,0)*10+Parameter!$M$23,Parameter!$M$24))</f>
        <v>235</v>
      </c>
      <c r="CD1802" s="60" t="str">
        <f aca="false">IF(AND(Parameter!$B$19="Ja",E1802&lt;&gt;"",ISNUMBER(MATCH(E1802,Parameter!$I$35:$I$52,0))),VLOOKUP(E1802,Parameter!$I$35:$J$52,2,0),IFERROR(VLOOKUP(D1802,Parameter!$A$35:$C$64,2,0),"Nein"))</f>
        <v>2+3</v>
      </c>
      <c r="CE1802" s="64" t="n">
        <f aca="false">IF(CA1802=0,0,IF(N(S1802)&gt;0,S1802,IFERROR(VLOOKUP(D1802,Parameter!$A$35:$C$64,3,0)+0,0)))</f>
        <v>0.15</v>
      </c>
      <c r="CF1802" s="60" t="str">
        <f aca="false">IF(AB1802&lt;&gt;"",AB1802,AA1802)</f>
        <v/>
      </c>
      <c r="CG1802" s="60" t="str">
        <f aca="false">IF(OR(CF1802=1,CF1802=2,CF1802=3),IF(Parameter!$E$27="Ja","LIFT",IF(CF1802=1,"L1","L23")),IF(CF1802="Aussen","Aussen","-"))</f>
        <v>-</v>
      </c>
      <c r="CH1802" s="71" t="n">
        <f aca="false">IF(N(AC1802)&gt;0,AC1802,0)</f>
        <v>0</v>
      </c>
      <c r="CI1802" s="65" t="n">
        <f aca="false">IF(ISNUMBER(AF1802),1,0)</f>
        <v>0</v>
      </c>
      <c r="CJ1802" s="62" t="n">
        <f aca="false">N(AF1802)</f>
        <v>0</v>
      </c>
      <c r="CK1802" s="62" t="n">
        <f aca="false">N(M1802)+N(N1802)</f>
        <v>0</v>
      </c>
      <c r="CL1802" s="62" t="n">
        <f aca="false">N(M1802)</f>
        <v>0</v>
      </c>
      <c r="CM1802" s="62" t="n">
        <f aca="false">N(N1802)</f>
        <v>0</v>
      </c>
      <c r="CN1802" s="62" t="n">
        <f aca="false">ROUNDUP(H1802/BZ1802,0)</f>
        <v>0</v>
      </c>
      <c r="CO1802" s="62" t="n">
        <f aca="false">ROUNDUP(CJ1802/BZ1802,0)</f>
        <v>0</v>
      </c>
      <c r="CP1802" s="65" t="n">
        <f aca="false">IF(CA1802=1,0,IFERROR(VLOOKUP(BY1802,'Gebinde-Kategorie'!$A$5:$N$45,5,0)+0,0))</f>
        <v>0</v>
      </c>
      <c r="CQ1802" s="65" t="n">
        <f aca="false">IFERROR(IF(OR(CF1802=1,CF1802=2,CF1802=3),N(INDEX(Parameter!$I$5:$I$7,CF1802)),0),0)</f>
        <v>0</v>
      </c>
      <c r="CR1802" s="64" t="n">
        <f aca="false">IF(AND(Parameter!$B$21="Ja",ISNUMBER(W1802),N(X1802)&gt;0),IFERROR(N(INDEX(Parameter!$L$5:$L$7,W1802))*INDEX(Parameter!$E$5:$E$7,W1802)*X1802/SUMIFS($X$7:$X$1843,$W$7:$W$1843,W1802),0),0)</f>
        <v>0</v>
      </c>
      <c r="CS1802" s="62" t="str">
        <f aca="false">IF(AND(OR(CG1802="L1",CG1802="L23",CG1802="LIFT"),H1802&gt;0),CC1802*IF(CR1802&gt;0,CR1802*MAX(1,H1802/X1802),IF(CA1802=1,CE1802,IF(R1802&gt;0,CN1802/R1802,0))/MAX(0.1,N(Parameter!$M$21))),"")</f>
        <v/>
      </c>
      <c r="CT1802" s="64" t="str">
        <f aca="false">IF(CS1802="","",J1802/H1802)</f>
        <v/>
      </c>
      <c r="CU1802" s="62" t="str">
        <f aca="false">IF(CS1802="","",H1802*G1802)</f>
        <v/>
      </c>
      <c r="CV1802" s="63" t="str">
        <f aca="false">IF(CS1802="","",(CL1802+ROUNDUP(CL1802+MAX(CM1802,2*(J1802/MAX(0.1,N(Einkauf!$C$6))-CL1802)),0))/2)</f>
        <v/>
      </c>
      <c r="CW1802" s="62" t="str">
        <f aca="false">IF(CS1802="","",MAX(0,H1802-CV1802)*G1802)</f>
        <v/>
      </c>
      <c r="CX1802" s="62" t="str">
        <f aca="false">IF(CS1802="","",CS1802*MAX(0,1-CV1802/H1802))</f>
        <v/>
      </c>
      <c r="CY1802" s="64" t="str">
        <f aca="false">IF(CS1802="","",PERCENTRANK($CS$7:$CS$1843,CS1802)+PERCENTRANK($CU$7:$CU$1843,CU1802)+1-PERCENTRANK($CT$7:$CT$1843,CT1802))</f>
        <v/>
      </c>
      <c r="CZ1802" s="72" t="str">
        <f aca="false">IF(CS1802="","",CHOOSE(MATCH(Einkauf!$C$5,Parameter!$G$23:$G$27,0),CY1802,CS1802,CU1802,-CT1802,CW1802)+ROW()/1000000000)</f>
        <v/>
      </c>
    </row>
    <row r="1803" customFormat="false" ht="15" hidden="false" customHeight="false" outlineLevel="0" collapsed="false">
      <c r="A1803" s="60" t="str">
        <f aca="false">IF('Neue Artikel'!$A$64="","",'Neue Artikel'!$A$64&amp;"")</f>
        <v/>
      </c>
      <c r="B1803" s="60" t="str">
        <f aca="false">'Neue Artikel'!$B$64&amp;""</f>
        <v/>
      </c>
      <c r="C1803" s="60"/>
      <c r="D1803" s="60" t="s">
        <v>3057</v>
      </c>
      <c r="E1803" s="60"/>
      <c r="F1803" s="60"/>
      <c r="G1803" s="61" t="n">
        <f aca="false">N('Neue Artikel'!$G$64)</f>
        <v>0</v>
      </c>
      <c r="H1803" s="62" t="n">
        <f aca="false">MAX(0,IF(AND(Parameter!$B$21="Ja",ISNUMBER(Y1803)),Y1803,IF(Parameter!$B$20="Jahresanfang 2025 + Export",BS1803+BR1803,BR1803)))</f>
        <v>0</v>
      </c>
      <c r="I1803" s="62" t="n">
        <f aca="false">H1803*G1803</f>
        <v>0</v>
      </c>
      <c r="J1803" s="62" t="n">
        <f aca="false">BU1803*Parameter!$B$18</f>
        <v>0</v>
      </c>
      <c r="K1803" s="63"/>
      <c r="L1803" s="64"/>
      <c r="M1803" s="62" t="n">
        <f aca="false">N('Neue Artikel'!$E$64)</f>
        <v>0</v>
      </c>
      <c r="N1803" s="62" t="n">
        <f aca="false">N('Neue Artikel'!$F$64)</f>
        <v>0</v>
      </c>
      <c r="O1803" s="65"/>
      <c r="P1803" s="60" t="str">
        <f aca="false">IF('Neue Artikel'!$H$64="","LOSE",UPPER(TRIM('Neue Artikel'!$H$64)))</f>
        <v>LOSE</v>
      </c>
      <c r="Q1803" s="62" t="n">
        <f aca="false">N('Neue Artikel'!$I$64)</f>
        <v>0</v>
      </c>
      <c r="R1803" s="65" t="n">
        <f aca="false">IF(CA1803=1,0,IFERROR(VLOOKUP(BY1803,'Gebinde-Kategorie'!$A$5:$N$45,13,0)+0,0))</f>
        <v>0</v>
      </c>
      <c r="S1803" s="66"/>
      <c r="T1803" s="67"/>
      <c r="U1803" s="67"/>
      <c r="V1803" s="67"/>
      <c r="W1803" s="60"/>
      <c r="X1803" s="62"/>
      <c r="Y1803" s="62"/>
      <c r="Z1803" s="60"/>
      <c r="AA1803" s="60" t="str">
        <f aca="false">IF(A1803="","",IF(AND(Parameter!$B$21="Ja",ISNUMBER(W1803)),W1803,IF(AND(Parameter!$E$27="Ja",ISNUMBER(Z1803),CD1803&lt;&gt;"Nein"),Z1803,IF(CD1803="2+3",IF(ISNUMBER(SEARCH("grosser Artikel",BV1803)),2,IFERROR(VLOOKUP(BY1803,Parameter!$F$35:$G$64,2,0),2)),IF(OR(CD1803="Nein",CD1803=""),"-",CD1803)))))</f>
        <v/>
      </c>
      <c r="AB1803" s="60" t="str">
        <f aca="false">IF('Neue Artikel'!$J$64="","",'Neue Artikel'!$J$64)</f>
        <v/>
      </c>
      <c r="AC1803" s="68"/>
      <c r="AD1803" s="62" t="n">
        <f aca="false">AW1803</f>
        <v>0</v>
      </c>
      <c r="AE1803" s="62" t="n">
        <f aca="false">MAX(AW1803,H1803)</f>
        <v>0</v>
      </c>
      <c r="AF1803" s="69"/>
      <c r="AG1803" s="62" t="n">
        <f aca="false">IF(LEFT(Cockpit!$C$5,1)="A",H1803,IF(Parameter!$E$30="MAX-Bestand",IF(CI1803=1,CJ1803,IF(LEFT(Cockpit!$C$5,1)="B",AM1803,MAX(AM1803,H1803))),ROUNDUP(AK1803,0)))</f>
        <v>0</v>
      </c>
      <c r="AH1803" s="62" t="n">
        <f aca="false">IF(CA1803=1,0,ROUNDUP(AG1803/BZ1803,0))</f>
        <v>0</v>
      </c>
      <c r="AI1803" s="64" t="n">
        <f aca="false">IF(CR1803&gt;0,CR1803*MAX(1,AG1803/X1803),IF(CA1803=1,IF(AG1803&lt;=0,0,CE1803*MAX(1,IF(H1803&gt;0,AG1803/H1803,1))),IF(R1803&gt;0,AH1803/R1803,0))/MAX(0.1,N(Parameter!$M$21)))</f>
        <v>0</v>
      </c>
      <c r="AJ1803" s="62" t="n">
        <f aca="false">AI1803*CC1803</f>
        <v>0</v>
      </c>
      <c r="AK1803" s="63" t="n">
        <f aca="false">IF(LEFT(Cockpit!$C$5,1)="A",H1803,IF(CI1803=1,(CL1803+CJ1803)/2,IF(LEFT(Cockpit!$C$5,1)="B",(CL1803+AM1803)/2,MAX((CL1803+AM1803)/2,H1803))))</f>
        <v>0</v>
      </c>
      <c r="AL1803" s="62" t="n">
        <f aca="false">AK1803*G1803</f>
        <v>0</v>
      </c>
      <c r="AM1803" s="62" t="n">
        <f aca="false">ROUNDUP(CL1803+MAX(CM1803,2*(J1803/IF(CH1803&gt;0,CH1803,MAX(0.1,N(Cockpit!$C$6)))-CL1803)),0)</f>
        <v>0</v>
      </c>
      <c r="AN1803" s="63" t="n">
        <f aca="false">IF(AJ1803&gt;0,J1803/AJ1803,-1)</f>
        <v>-1</v>
      </c>
      <c r="AO1803" s="63" t="str">
        <f aca="false">IF(AND(OR(CG1803="L1",CG1803="L23",CG1803="LIFT"),AJ1803&gt;0),SUMIFS($AJ$7:$AJ$1843,$CG$7:$CG$1843,CG1803,$AN$7:$AN$1843,"&gt;"&amp;AN1803)+SUMIFS($AJ$7:$AJ$1843,$CG$7:$CG$1843,CG1803,$AN$7:$AN$1843,AN1803,$BX$7:$BX$1843,"&lt;="&amp;BX1803),"")</f>
        <v/>
      </c>
      <c r="AP1803" s="70" t="n">
        <f aca="false">IF(AO1803="",0,MAX(0,MIN(1,(IF(CG1803="L1",Parameter!$H$5,IF(CG1803="L23",Parameter!$H$6+Parameter!$H$7,Parameter!$H$5+Parameter!$H$6+Parameter!$H$7))-(AO1803-AJ1803))/AJ1803)))</f>
        <v>0</v>
      </c>
      <c r="AQ1803" s="62" t="n">
        <f aca="false">IF(LEFT(Cockpit!$I$5,1)="A",H1803,IF(Parameter!$E$30="MAX-Bestand",IF(CI1803=1,CJ1803,IF(LEFT(Cockpit!$I$5,1)="B",AW1803,MAX(AW1803,H1803))),ROUNDUP(AU1803,0)))</f>
        <v>0</v>
      </c>
      <c r="AR1803" s="62" t="n">
        <f aca="false">IF(CA1803=1,0,ROUNDUP(AQ1803/BZ1803,0))</f>
        <v>0</v>
      </c>
      <c r="AS1803" s="64" t="n">
        <f aca="false">IF(CR1803&gt;0,CR1803*MAX(1,AQ1803/X1803),IF(CA1803=1,IF(AQ1803&lt;=0,0,CE1803*MAX(1,IF(H1803&gt;0,AQ1803/H1803,1))),IF(R1803&gt;0,AR1803/R1803,0))/MAX(0.1,N(Parameter!$M$21)))</f>
        <v>0</v>
      </c>
      <c r="AT1803" s="62" t="n">
        <f aca="false">AS1803*CC1803</f>
        <v>0</v>
      </c>
      <c r="AU1803" s="63" t="n">
        <f aca="false">IF(LEFT(Cockpit!$I$5,1)="A",H1803,IF(CI1803=1,(CL1803+CJ1803)/2,IF(LEFT(Cockpit!$I$5,1)="B",(CL1803+AW1803)/2,MAX((CL1803+AW1803)/2,H1803))))</f>
        <v>0</v>
      </c>
      <c r="AV1803" s="62" t="n">
        <f aca="false">AU1803*G1803</f>
        <v>0</v>
      </c>
      <c r="AW1803" s="62" t="n">
        <f aca="false">ROUNDUP(CL1803+MAX(CM1803,2*(J1803/IF(CH1803&gt;0,CH1803,MAX(0.1,N(Cockpit!$I$6)))-CL1803)),0)</f>
        <v>0</v>
      </c>
      <c r="AX1803" s="63" t="n">
        <f aca="false">IF(AT1803&gt;0,J1803/AT1803,-1)</f>
        <v>-1</v>
      </c>
      <c r="AY1803" s="63" t="str">
        <f aca="false">IF(AND(OR(CG1803="L1",CG1803="L23",CG1803="LIFT"),AT1803&gt;0),SUMIFS($AT$7:$AT$1843,$CG$7:$CG$1843,CG1803,$AX$7:$AX$1843,"&gt;"&amp;AX1803)+SUMIFS($AT$7:$AT$1843,$CG$7:$CG$1843,CG1803,$AX$7:$AX$1843,AX1803,$BX$7:$BX$1843,"&lt;="&amp;BX1803),"")</f>
        <v/>
      </c>
      <c r="AZ1803" s="70" t="n">
        <f aca="false">IF(AY1803="",0,MAX(0,MIN(1,(IF(CG1803="L1",Parameter!$H$5,IF(CG1803="L23",Parameter!$H$6+Parameter!$H$7,Parameter!$H$5+Parameter!$H$6+Parameter!$H$7))-(AY1803-AT1803))/AT1803)))</f>
        <v>0</v>
      </c>
      <c r="BA1803" s="62" t="n">
        <f aca="false">IF(LEFT(Cockpit!$O$5,1)="A",H1803,IF(Parameter!$E$30="MAX-Bestand",IF(CI1803=1,CJ1803,IF(LEFT(Cockpit!$O$5,1)="B",BG1803,MAX(BG1803,H1803))),ROUNDUP(BE1803,0)))</f>
        <v>0</v>
      </c>
      <c r="BB1803" s="62" t="n">
        <f aca="false">IF(CA1803=1,0,ROUNDUP(BA1803/BZ1803,0))</f>
        <v>0</v>
      </c>
      <c r="BC1803" s="64" t="n">
        <f aca="false">IF(CR1803&gt;0,CR1803*MAX(1,BA1803/X1803),IF(CA1803=1,IF(BA1803&lt;=0,0,CE1803*MAX(1,IF(H1803&gt;0,BA1803/H1803,1))),IF(R1803&gt;0,BB1803/R1803,0))/MAX(0.1,N(Parameter!$M$21)))</f>
        <v>0</v>
      </c>
      <c r="BD1803" s="62" t="n">
        <f aca="false">BC1803*CC1803</f>
        <v>0</v>
      </c>
      <c r="BE1803" s="63" t="n">
        <f aca="false">IF(LEFT(Cockpit!$O$5,1)="A",H1803,IF(CI1803=1,(CL1803+CJ1803)/2,IF(LEFT(Cockpit!$O$5,1)="B",(CL1803+BG1803)/2,MAX((CL1803+BG1803)/2,H1803))))</f>
        <v>0</v>
      </c>
      <c r="BF1803" s="62" t="n">
        <f aca="false">BE1803*G1803</f>
        <v>0</v>
      </c>
      <c r="BG1803" s="62" t="n">
        <f aca="false">ROUNDUP(CL1803+MAX(CM1803,2*(J1803/IF(CH1803&gt;0,CH1803,MAX(0.1,N(Cockpit!$O$6)))-CL1803)),0)</f>
        <v>0</v>
      </c>
      <c r="BH1803" s="63" t="n">
        <f aca="false">IF(BD1803&gt;0,J1803/BD1803,-1)</f>
        <v>-1</v>
      </c>
      <c r="BI1803" s="63" t="str">
        <f aca="false">IF(AND(OR(CG1803="L1",CG1803="L23",CG1803="LIFT"),BD1803&gt;0),SUMIFS($BD$7:$BD$1843,$CG$7:$CG$1843,CG1803,$BH$7:$BH$1843,"&gt;"&amp;BH1803)+SUMIFS($BD$7:$BD$1843,$CG$7:$CG$1843,CG1803,$BH$7:$BH$1843,BH1803,$BX$7:$BX$1843,"&lt;="&amp;BX1803),"")</f>
        <v/>
      </c>
      <c r="BJ1803" s="70" t="n">
        <f aca="false">IF(BI1803="",0,MAX(0,MIN(1,(IF(CG1803="L1",Parameter!$H$5,IF(CG1803="L23",Parameter!$H$6+Parameter!$H$7,Parameter!$H$5+Parameter!$H$6+Parameter!$H$7))-(BI1803-BD1803))/BD1803)))</f>
        <v>0</v>
      </c>
      <c r="BK1803" s="60" t="str">
        <f aca="false">IF(AJ1803&lt;=0,"",IF(CG1803="Aussen","Aussenlager",IF(CG1803="-","Nicht im Lift",IF(AP1803&gt;=1,"Lift",IF(AP1803&lt;=0,"Aussenlager","teilweise")))))</f>
        <v/>
      </c>
      <c r="BL1803" s="60" t="str">
        <f aca="false">IF(AT1803&lt;=0,"",IF(CG1803="Aussen","Aussenlager",IF(CG1803="-","Nicht im Lift",IF(AZ1803&gt;=1,"Lift",IF(AZ1803&lt;=0,"Aussenlager","teilweise")))))</f>
        <v/>
      </c>
      <c r="BM1803" s="60" t="str">
        <f aca="false">IF(BD1803&lt;=0,"",IF(CG1803="Aussen","Aussenlager",IF(CG1803="-","Nicht im Lift",IF(BJ1803&gt;=1,"Lift",IF(BJ1803&lt;=0,"Aussenlager","teilweise")))))</f>
        <v/>
      </c>
      <c r="BN1803" s="60" t="str">
        <f aca="false">IF(A1803="","",IF(BW1803=1,"Neu; ","")&amp;IF(AND(BW1803=0,BR1803&lt;0),"negativer Bestand (Export "&amp;BR1803&amp;"); ","")&amp;IF(J1803&lt;=0,"Kein Verbrauch; ","")&amp;IF(CR1803&gt;0,"Lift "&amp;W1803&amp;" lt. Liftbericht (Fach "&amp;X1803&amp;" Stk); ",IF(CB1803=1,"Gebinde geschätzt ("&amp;T1803&amp;"); ",IF(CA1803=1,"Lose – Tablare geschätzt; ","")))&amp;IF(H1803&gt;AW1803,"Überbestand "&amp;ROUND(H1803-AW1803,0)&amp;" Stk / CHF "&amp;ROUND((H1803-AW1803)*G1803,0)&amp;"; ","")&amp;IF(AND(CI1803=1,CJ1803&lt;CK1803),"MAX &lt; MB+LG; ","")&amp;IF(AND(CQ1803&gt;0,CP1803*10&gt;CQ1803),"zu hoch für Tablar; ","")&amp;IF(AND(BW1803=0,OR(CI1803=1,AB1803&lt;&gt;"",U1803&lt;&gt;"",V1803&lt;&gt;"",AC1803&lt;&gt;"")),"manuell übersteuert; ","")&amp;IF(AND(CA1803=0,R1803=0),"Gebinde unbekannt / Stellmass fehlt; ","")&amp;IF(AND(CA1803=0,N(V1803)&lt;=0,N(Q1803)&lt;=0),"Menge pro Gebinde fehlt (Ist = 1 Gebinde); ","")&amp;BV1803)</f>
        <v/>
      </c>
      <c r="BO1803" s="60"/>
      <c r="BP1803" s="60"/>
      <c r="BQ1803" s="67"/>
      <c r="BR1803" s="62" t="n">
        <f aca="false">N('Neue Artikel'!$D$64)</f>
        <v>0</v>
      </c>
      <c r="BS1803" s="62" t="n">
        <v>0</v>
      </c>
      <c r="BT1803" s="61" t="n">
        <v>0</v>
      </c>
      <c r="BU1803" s="62" t="n">
        <f aca="false">N('Neue Artikel'!$C$64)/Parameter!$B$18</f>
        <v>0</v>
      </c>
      <c r="BV1803" s="60"/>
      <c r="BW1803" s="65" t="n">
        <v>1</v>
      </c>
      <c r="BX1803" s="65" t="n">
        <v>1803</v>
      </c>
      <c r="BY1803" s="60" t="str">
        <f aca="false">IF(U1803&lt;&gt;"",UPPER(TRIM(U1803)),IF(CB1803=1,UPPER(VLOOKUP(T1803,Parameter!$I$27:$K$29,2,0)),IF(P1803="","LOSE",P1803)))</f>
        <v>LOSE</v>
      </c>
      <c r="BZ1803" s="62" t="n">
        <f aca="false">IF(BY1803="LOSE",1,IF(N(V1803)&gt;0,V1803,IF(CB1803=1,MAX(1,N(VLOOKUP(T1803,Parameter!$I$27:$K$29,3,0)),H1803,N(N1803)),IF(N(Q1803)&gt;0,Q1803,MAX(1,H1803)))))</f>
        <v>1</v>
      </c>
      <c r="CA1803" s="65" t="n">
        <f aca="false">IF(BY1803="LOSE",1,0)</f>
        <v>1</v>
      </c>
      <c r="CB1803" s="65" t="n">
        <f aca="false">IF(AND(U1803="",OR(P1803="",P1803="LOSE"),T1803&lt;&gt;"",N(S1803)&lt;=0,ISNUMBER(MATCH(T1803,Parameter!$I$27:$I$29,0))),1,0)</f>
        <v>0</v>
      </c>
      <c r="CC1803" s="65" t="n">
        <f aca="false">IF(CR1803&gt;0,INDEX(Parameter!$H$5:$H$7,W1803)/INDEX(Parameter!$E$5:$E$7,W1803),IF(AND(CA1803=0,N(IFERROR(VLOOKUP(BY1803,'Gebinde-Kategorie'!$A$5:$N$45,14,0),0))&gt;0),VLOOKUP(BY1803,'Gebinde-Kategorie'!$A$5:$N$45,14,0)*10+Parameter!$M$23,Parameter!$M$24))</f>
        <v>235</v>
      </c>
      <c r="CD1803" s="60" t="str">
        <f aca="false">IF(AND(Parameter!$B$19="Ja",E1803&lt;&gt;"",ISNUMBER(MATCH(E1803,Parameter!$I$35:$I$52,0))),VLOOKUP(E1803,Parameter!$I$35:$J$52,2,0),IFERROR(VLOOKUP(D1803,Parameter!$A$35:$C$64,2,0),"Nein"))</f>
        <v>2+3</v>
      </c>
      <c r="CE1803" s="64" t="n">
        <f aca="false">IF(CA1803=0,0,IF(N(S1803)&gt;0,S1803,IFERROR(VLOOKUP(D1803,Parameter!$A$35:$C$64,3,0)+0,0)))</f>
        <v>0.15</v>
      </c>
      <c r="CF1803" s="60" t="str">
        <f aca="false">IF(AB1803&lt;&gt;"",AB1803,AA1803)</f>
        <v/>
      </c>
      <c r="CG1803" s="60" t="str">
        <f aca="false">IF(OR(CF1803=1,CF1803=2,CF1803=3),IF(Parameter!$E$27="Ja","LIFT",IF(CF1803=1,"L1","L23")),IF(CF1803="Aussen","Aussen","-"))</f>
        <v>-</v>
      </c>
      <c r="CH1803" s="71" t="n">
        <f aca="false">IF(N(AC1803)&gt;0,AC1803,0)</f>
        <v>0</v>
      </c>
      <c r="CI1803" s="65" t="n">
        <f aca="false">IF(ISNUMBER(AF1803),1,0)</f>
        <v>0</v>
      </c>
      <c r="CJ1803" s="62" t="n">
        <f aca="false">N(AF1803)</f>
        <v>0</v>
      </c>
      <c r="CK1803" s="62" t="n">
        <f aca="false">N(M1803)+N(N1803)</f>
        <v>0</v>
      </c>
      <c r="CL1803" s="62" t="n">
        <f aca="false">N(M1803)</f>
        <v>0</v>
      </c>
      <c r="CM1803" s="62" t="n">
        <f aca="false">N(N1803)</f>
        <v>0</v>
      </c>
      <c r="CN1803" s="62" t="n">
        <f aca="false">ROUNDUP(H1803/BZ1803,0)</f>
        <v>0</v>
      </c>
      <c r="CO1803" s="62" t="n">
        <f aca="false">ROUNDUP(CJ1803/BZ1803,0)</f>
        <v>0</v>
      </c>
      <c r="CP1803" s="65" t="n">
        <f aca="false">IF(CA1803=1,0,IFERROR(VLOOKUP(BY1803,'Gebinde-Kategorie'!$A$5:$N$45,5,0)+0,0))</f>
        <v>0</v>
      </c>
      <c r="CQ1803" s="65" t="n">
        <f aca="false">IFERROR(IF(OR(CF1803=1,CF1803=2,CF1803=3),N(INDEX(Parameter!$I$5:$I$7,CF1803)),0),0)</f>
        <v>0</v>
      </c>
      <c r="CR1803" s="64" t="n">
        <f aca="false">IF(AND(Parameter!$B$21="Ja",ISNUMBER(W1803),N(X1803)&gt;0),IFERROR(N(INDEX(Parameter!$L$5:$L$7,W1803))*INDEX(Parameter!$E$5:$E$7,W1803)*X1803/SUMIFS($X$7:$X$1843,$W$7:$W$1843,W1803),0),0)</f>
        <v>0</v>
      </c>
      <c r="CS1803" s="62" t="str">
        <f aca="false">IF(AND(OR(CG1803="L1",CG1803="L23",CG1803="LIFT"),H1803&gt;0),CC1803*IF(CR1803&gt;0,CR1803*MAX(1,H1803/X1803),IF(CA1803=1,CE1803,IF(R1803&gt;0,CN1803/R1803,0))/MAX(0.1,N(Parameter!$M$21))),"")</f>
        <v/>
      </c>
      <c r="CT1803" s="64" t="str">
        <f aca="false">IF(CS1803="","",J1803/H1803)</f>
        <v/>
      </c>
      <c r="CU1803" s="62" t="str">
        <f aca="false">IF(CS1803="","",H1803*G1803)</f>
        <v/>
      </c>
      <c r="CV1803" s="63" t="str">
        <f aca="false">IF(CS1803="","",(CL1803+ROUNDUP(CL1803+MAX(CM1803,2*(J1803/MAX(0.1,N(Einkauf!$C$6))-CL1803)),0))/2)</f>
        <v/>
      </c>
      <c r="CW1803" s="62" t="str">
        <f aca="false">IF(CS1803="","",MAX(0,H1803-CV1803)*G1803)</f>
        <v/>
      </c>
      <c r="CX1803" s="62" t="str">
        <f aca="false">IF(CS1803="","",CS1803*MAX(0,1-CV1803/H1803))</f>
        <v/>
      </c>
      <c r="CY1803" s="64" t="str">
        <f aca="false">IF(CS1803="","",PERCENTRANK($CS$7:$CS$1843,CS1803)+PERCENTRANK($CU$7:$CU$1843,CU1803)+1-PERCENTRANK($CT$7:$CT$1843,CT1803))</f>
        <v/>
      </c>
      <c r="CZ1803" s="72" t="str">
        <f aca="false">IF(CS1803="","",CHOOSE(MATCH(Einkauf!$C$5,Parameter!$G$23:$G$27,0),CY1803,CS1803,CU1803,-CT1803,CW1803)+ROW()/1000000000)</f>
        <v/>
      </c>
    </row>
    <row r="1804" customFormat="false" ht="15" hidden="false" customHeight="false" outlineLevel="0" collapsed="false">
      <c r="A1804" s="60" t="str">
        <f aca="false">IF('Neue Artikel'!$A$65="","",'Neue Artikel'!$A$65&amp;"")</f>
        <v/>
      </c>
      <c r="B1804" s="60" t="str">
        <f aca="false">'Neue Artikel'!$B$65&amp;""</f>
        <v/>
      </c>
      <c r="C1804" s="60"/>
      <c r="D1804" s="60" t="s">
        <v>3057</v>
      </c>
      <c r="E1804" s="60"/>
      <c r="F1804" s="60"/>
      <c r="G1804" s="61" t="n">
        <f aca="false">N('Neue Artikel'!$G$65)</f>
        <v>0</v>
      </c>
      <c r="H1804" s="62" t="n">
        <f aca="false">MAX(0,IF(AND(Parameter!$B$21="Ja",ISNUMBER(Y1804)),Y1804,IF(Parameter!$B$20="Jahresanfang 2025 + Export",BS1804+BR1804,BR1804)))</f>
        <v>0</v>
      </c>
      <c r="I1804" s="62" t="n">
        <f aca="false">H1804*G1804</f>
        <v>0</v>
      </c>
      <c r="J1804" s="62" t="n">
        <f aca="false">BU1804*Parameter!$B$18</f>
        <v>0</v>
      </c>
      <c r="K1804" s="63"/>
      <c r="L1804" s="64"/>
      <c r="M1804" s="62" t="n">
        <f aca="false">N('Neue Artikel'!$E$65)</f>
        <v>0</v>
      </c>
      <c r="N1804" s="62" t="n">
        <f aca="false">N('Neue Artikel'!$F$65)</f>
        <v>0</v>
      </c>
      <c r="O1804" s="65"/>
      <c r="P1804" s="60" t="str">
        <f aca="false">IF('Neue Artikel'!$H$65="","LOSE",UPPER(TRIM('Neue Artikel'!$H$65)))</f>
        <v>LOSE</v>
      </c>
      <c r="Q1804" s="62" t="n">
        <f aca="false">N('Neue Artikel'!$I$65)</f>
        <v>0</v>
      </c>
      <c r="R1804" s="65" t="n">
        <f aca="false">IF(CA1804=1,0,IFERROR(VLOOKUP(BY1804,'Gebinde-Kategorie'!$A$5:$N$45,13,0)+0,0))</f>
        <v>0</v>
      </c>
      <c r="S1804" s="66"/>
      <c r="T1804" s="67"/>
      <c r="U1804" s="67"/>
      <c r="V1804" s="67"/>
      <c r="W1804" s="60"/>
      <c r="X1804" s="62"/>
      <c r="Y1804" s="62"/>
      <c r="Z1804" s="60"/>
      <c r="AA1804" s="60" t="str">
        <f aca="false">IF(A1804="","",IF(AND(Parameter!$B$21="Ja",ISNUMBER(W1804)),W1804,IF(AND(Parameter!$E$27="Ja",ISNUMBER(Z1804),CD1804&lt;&gt;"Nein"),Z1804,IF(CD1804="2+3",IF(ISNUMBER(SEARCH("grosser Artikel",BV1804)),2,IFERROR(VLOOKUP(BY1804,Parameter!$F$35:$G$64,2,0),2)),IF(OR(CD1804="Nein",CD1804=""),"-",CD1804)))))</f>
        <v/>
      </c>
      <c r="AB1804" s="60" t="str">
        <f aca="false">IF('Neue Artikel'!$J$65="","",'Neue Artikel'!$J$65)</f>
        <v/>
      </c>
      <c r="AC1804" s="68"/>
      <c r="AD1804" s="62" t="n">
        <f aca="false">AW1804</f>
        <v>0</v>
      </c>
      <c r="AE1804" s="62" t="n">
        <f aca="false">MAX(AW1804,H1804)</f>
        <v>0</v>
      </c>
      <c r="AF1804" s="69"/>
      <c r="AG1804" s="62" t="n">
        <f aca="false">IF(LEFT(Cockpit!$C$5,1)="A",H1804,IF(Parameter!$E$30="MAX-Bestand",IF(CI1804=1,CJ1804,IF(LEFT(Cockpit!$C$5,1)="B",AM1804,MAX(AM1804,H1804))),ROUNDUP(AK1804,0)))</f>
        <v>0</v>
      </c>
      <c r="AH1804" s="62" t="n">
        <f aca="false">IF(CA1804=1,0,ROUNDUP(AG1804/BZ1804,0))</f>
        <v>0</v>
      </c>
      <c r="AI1804" s="64" t="n">
        <f aca="false">IF(CR1804&gt;0,CR1804*MAX(1,AG1804/X1804),IF(CA1804=1,IF(AG1804&lt;=0,0,CE1804*MAX(1,IF(H1804&gt;0,AG1804/H1804,1))),IF(R1804&gt;0,AH1804/R1804,0))/MAX(0.1,N(Parameter!$M$21)))</f>
        <v>0</v>
      </c>
      <c r="AJ1804" s="62" t="n">
        <f aca="false">AI1804*CC1804</f>
        <v>0</v>
      </c>
      <c r="AK1804" s="63" t="n">
        <f aca="false">IF(LEFT(Cockpit!$C$5,1)="A",H1804,IF(CI1804=1,(CL1804+CJ1804)/2,IF(LEFT(Cockpit!$C$5,1)="B",(CL1804+AM1804)/2,MAX((CL1804+AM1804)/2,H1804))))</f>
        <v>0</v>
      </c>
      <c r="AL1804" s="62" t="n">
        <f aca="false">AK1804*G1804</f>
        <v>0</v>
      </c>
      <c r="AM1804" s="62" t="n">
        <f aca="false">ROUNDUP(CL1804+MAX(CM1804,2*(J1804/IF(CH1804&gt;0,CH1804,MAX(0.1,N(Cockpit!$C$6)))-CL1804)),0)</f>
        <v>0</v>
      </c>
      <c r="AN1804" s="63" t="n">
        <f aca="false">IF(AJ1804&gt;0,J1804/AJ1804,-1)</f>
        <v>-1</v>
      </c>
      <c r="AO1804" s="63" t="str">
        <f aca="false">IF(AND(OR(CG1804="L1",CG1804="L23",CG1804="LIFT"),AJ1804&gt;0),SUMIFS($AJ$7:$AJ$1843,$CG$7:$CG$1843,CG1804,$AN$7:$AN$1843,"&gt;"&amp;AN1804)+SUMIFS($AJ$7:$AJ$1843,$CG$7:$CG$1843,CG1804,$AN$7:$AN$1843,AN1804,$BX$7:$BX$1843,"&lt;="&amp;BX1804),"")</f>
        <v/>
      </c>
      <c r="AP1804" s="70" t="n">
        <f aca="false">IF(AO1804="",0,MAX(0,MIN(1,(IF(CG1804="L1",Parameter!$H$5,IF(CG1804="L23",Parameter!$H$6+Parameter!$H$7,Parameter!$H$5+Parameter!$H$6+Parameter!$H$7))-(AO1804-AJ1804))/AJ1804)))</f>
        <v>0</v>
      </c>
      <c r="AQ1804" s="62" t="n">
        <f aca="false">IF(LEFT(Cockpit!$I$5,1)="A",H1804,IF(Parameter!$E$30="MAX-Bestand",IF(CI1804=1,CJ1804,IF(LEFT(Cockpit!$I$5,1)="B",AW1804,MAX(AW1804,H1804))),ROUNDUP(AU1804,0)))</f>
        <v>0</v>
      </c>
      <c r="AR1804" s="62" t="n">
        <f aca="false">IF(CA1804=1,0,ROUNDUP(AQ1804/BZ1804,0))</f>
        <v>0</v>
      </c>
      <c r="AS1804" s="64" t="n">
        <f aca="false">IF(CR1804&gt;0,CR1804*MAX(1,AQ1804/X1804),IF(CA1804=1,IF(AQ1804&lt;=0,0,CE1804*MAX(1,IF(H1804&gt;0,AQ1804/H1804,1))),IF(R1804&gt;0,AR1804/R1804,0))/MAX(0.1,N(Parameter!$M$21)))</f>
        <v>0</v>
      </c>
      <c r="AT1804" s="62" t="n">
        <f aca="false">AS1804*CC1804</f>
        <v>0</v>
      </c>
      <c r="AU1804" s="63" t="n">
        <f aca="false">IF(LEFT(Cockpit!$I$5,1)="A",H1804,IF(CI1804=1,(CL1804+CJ1804)/2,IF(LEFT(Cockpit!$I$5,1)="B",(CL1804+AW1804)/2,MAX((CL1804+AW1804)/2,H1804))))</f>
        <v>0</v>
      </c>
      <c r="AV1804" s="62" t="n">
        <f aca="false">AU1804*G1804</f>
        <v>0</v>
      </c>
      <c r="AW1804" s="62" t="n">
        <f aca="false">ROUNDUP(CL1804+MAX(CM1804,2*(J1804/IF(CH1804&gt;0,CH1804,MAX(0.1,N(Cockpit!$I$6)))-CL1804)),0)</f>
        <v>0</v>
      </c>
      <c r="AX1804" s="63" t="n">
        <f aca="false">IF(AT1804&gt;0,J1804/AT1804,-1)</f>
        <v>-1</v>
      </c>
      <c r="AY1804" s="63" t="str">
        <f aca="false">IF(AND(OR(CG1804="L1",CG1804="L23",CG1804="LIFT"),AT1804&gt;0),SUMIFS($AT$7:$AT$1843,$CG$7:$CG$1843,CG1804,$AX$7:$AX$1843,"&gt;"&amp;AX1804)+SUMIFS($AT$7:$AT$1843,$CG$7:$CG$1843,CG1804,$AX$7:$AX$1843,AX1804,$BX$7:$BX$1843,"&lt;="&amp;BX1804),"")</f>
        <v/>
      </c>
      <c r="AZ1804" s="70" t="n">
        <f aca="false">IF(AY1804="",0,MAX(0,MIN(1,(IF(CG1804="L1",Parameter!$H$5,IF(CG1804="L23",Parameter!$H$6+Parameter!$H$7,Parameter!$H$5+Parameter!$H$6+Parameter!$H$7))-(AY1804-AT1804))/AT1804)))</f>
        <v>0</v>
      </c>
      <c r="BA1804" s="62" t="n">
        <f aca="false">IF(LEFT(Cockpit!$O$5,1)="A",H1804,IF(Parameter!$E$30="MAX-Bestand",IF(CI1804=1,CJ1804,IF(LEFT(Cockpit!$O$5,1)="B",BG1804,MAX(BG1804,H1804))),ROUNDUP(BE1804,0)))</f>
        <v>0</v>
      </c>
      <c r="BB1804" s="62" t="n">
        <f aca="false">IF(CA1804=1,0,ROUNDUP(BA1804/BZ1804,0))</f>
        <v>0</v>
      </c>
      <c r="BC1804" s="64" t="n">
        <f aca="false">IF(CR1804&gt;0,CR1804*MAX(1,BA1804/X1804),IF(CA1804=1,IF(BA1804&lt;=0,0,CE1804*MAX(1,IF(H1804&gt;0,BA1804/H1804,1))),IF(R1804&gt;0,BB1804/R1804,0))/MAX(0.1,N(Parameter!$M$21)))</f>
        <v>0</v>
      </c>
      <c r="BD1804" s="62" t="n">
        <f aca="false">BC1804*CC1804</f>
        <v>0</v>
      </c>
      <c r="BE1804" s="63" t="n">
        <f aca="false">IF(LEFT(Cockpit!$O$5,1)="A",H1804,IF(CI1804=1,(CL1804+CJ1804)/2,IF(LEFT(Cockpit!$O$5,1)="B",(CL1804+BG1804)/2,MAX((CL1804+BG1804)/2,H1804))))</f>
        <v>0</v>
      </c>
      <c r="BF1804" s="62" t="n">
        <f aca="false">BE1804*G1804</f>
        <v>0</v>
      </c>
      <c r="BG1804" s="62" t="n">
        <f aca="false">ROUNDUP(CL1804+MAX(CM1804,2*(J1804/IF(CH1804&gt;0,CH1804,MAX(0.1,N(Cockpit!$O$6)))-CL1804)),0)</f>
        <v>0</v>
      </c>
      <c r="BH1804" s="63" t="n">
        <f aca="false">IF(BD1804&gt;0,J1804/BD1804,-1)</f>
        <v>-1</v>
      </c>
      <c r="BI1804" s="63" t="str">
        <f aca="false">IF(AND(OR(CG1804="L1",CG1804="L23",CG1804="LIFT"),BD1804&gt;0),SUMIFS($BD$7:$BD$1843,$CG$7:$CG$1843,CG1804,$BH$7:$BH$1843,"&gt;"&amp;BH1804)+SUMIFS($BD$7:$BD$1843,$CG$7:$CG$1843,CG1804,$BH$7:$BH$1843,BH1804,$BX$7:$BX$1843,"&lt;="&amp;BX1804),"")</f>
        <v/>
      </c>
      <c r="BJ1804" s="70" t="n">
        <f aca="false">IF(BI1804="",0,MAX(0,MIN(1,(IF(CG1804="L1",Parameter!$H$5,IF(CG1804="L23",Parameter!$H$6+Parameter!$H$7,Parameter!$H$5+Parameter!$H$6+Parameter!$H$7))-(BI1804-BD1804))/BD1804)))</f>
        <v>0</v>
      </c>
      <c r="BK1804" s="60" t="str">
        <f aca="false">IF(AJ1804&lt;=0,"",IF(CG1804="Aussen","Aussenlager",IF(CG1804="-","Nicht im Lift",IF(AP1804&gt;=1,"Lift",IF(AP1804&lt;=0,"Aussenlager","teilweise")))))</f>
        <v/>
      </c>
      <c r="BL1804" s="60" t="str">
        <f aca="false">IF(AT1804&lt;=0,"",IF(CG1804="Aussen","Aussenlager",IF(CG1804="-","Nicht im Lift",IF(AZ1804&gt;=1,"Lift",IF(AZ1804&lt;=0,"Aussenlager","teilweise")))))</f>
        <v/>
      </c>
      <c r="BM1804" s="60" t="str">
        <f aca="false">IF(BD1804&lt;=0,"",IF(CG1804="Aussen","Aussenlager",IF(CG1804="-","Nicht im Lift",IF(BJ1804&gt;=1,"Lift",IF(BJ1804&lt;=0,"Aussenlager","teilweise")))))</f>
        <v/>
      </c>
      <c r="BN1804" s="60" t="str">
        <f aca="false">IF(A1804="","",IF(BW1804=1,"Neu; ","")&amp;IF(AND(BW1804=0,BR1804&lt;0),"negativer Bestand (Export "&amp;BR1804&amp;"); ","")&amp;IF(J1804&lt;=0,"Kein Verbrauch; ","")&amp;IF(CR1804&gt;0,"Lift "&amp;W1804&amp;" lt. Liftbericht (Fach "&amp;X1804&amp;" Stk); ",IF(CB1804=1,"Gebinde geschätzt ("&amp;T1804&amp;"); ",IF(CA1804=1,"Lose – Tablare geschätzt; ","")))&amp;IF(H1804&gt;AW1804,"Überbestand "&amp;ROUND(H1804-AW1804,0)&amp;" Stk / CHF "&amp;ROUND((H1804-AW1804)*G1804,0)&amp;"; ","")&amp;IF(AND(CI1804=1,CJ1804&lt;CK1804),"MAX &lt; MB+LG; ","")&amp;IF(AND(CQ1804&gt;0,CP1804*10&gt;CQ1804),"zu hoch für Tablar; ","")&amp;IF(AND(BW1804=0,OR(CI1804=1,AB1804&lt;&gt;"",U1804&lt;&gt;"",V1804&lt;&gt;"",AC1804&lt;&gt;"")),"manuell übersteuert; ","")&amp;IF(AND(CA1804=0,R1804=0),"Gebinde unbekannt / Stellmass fehlt; ","")&amp;IF(AND(CA1804=0,N(V1804)&lt;=0,N(Q1804)&lt;=0),"Menge pro Gebinde fehlt (Ist = 1 Gebinde); ","")&amp;BV1804)</f>
        <v/>
      </c>
      <c r="BO1804" s="60"/>
      <c r="BP1804" s="60"/>
      <c r="BQ1804" s="67"/>
      <c r="BR1804" s="62" t="n">
        <f aca="false">N('Neue Artikel'!$D$65)</f>
        <v>0</v>
      </c>
      <c r="BS1804" s="62" t="n">
        <v>0</v>
      </c>
      <c r="BT1804" s="61" t="n">
        <v>0</v>
      </c>
      <c r="BU1804" s="62" t="n">
        <f aca="false">N('Neue Artikel'!$C$65)/Parameter!$B$18</f>
        <v>0</v>
      </c>
      <c r="BV1804" s="60"/>
      <c r="BW1804" s="65" t="n">
        <v>1</v>
      </c>
      <c r="BX1804" s="65" t="n">
        <v>1804</v>
      </c>
      <c r="BY1804" s="60" t="str">
        <f aca="false">IF(U1804&lt;&gt;"",UPPER(TRIM(U1804)),IF(CB1804=1,UPPER(VLOOKUP(T1804,Parameter!$I$27:$K$29,2,0)),IF(P1804="","LOSE",P1804)))</f>
        <v>LOSE</v>
      </c>
      <c r="BZ1804" s="62" t="n">
        <f aca="false">IF(BY1804="LOSE",1,IF(N(V1804)&gt;0,V1804,IF(CB1804=1,MAX(1,N(VLOOKUP(T1804,Parameter!$I$27:$K$29,3,0)),H1804,N(N1804)),IF(N(Q1804)&gt;0,Q1804,MAX(1,H1804)))))</f>
        <v>1</v>
      </c>
      <c r="CA1804" s="65" t="n">
        <f aca="false">IF(BY1804="LOSE",1,0)</f>
        <v>1</v>
      </c>
      <c r="CB1804" s="65" t="n">
        <f aca="false">IF(AND(U1804="",OR(P1804="",P1804="LOSE"),T1804&lt;&gt;"",N(S1804)&lt;=0,ISNUMBER(MATCH(T1804,Parameter!$I$27:$I$29,0))),1,0)</f>
        <v>0</v>
      </c>
      <c r="CC1804" s="65" t="n">
        <f aca="false">IF(CR1804&gt;0,INDEX(Parameter!$H$5:$H$7,W1804)/INDEX(Parameter!$E$5:$E$7,W1804),IF(AND(CA1804=0,N(IFERROR(VLOOKUP(BY1804,'Gebinde-Kategorie'!$A$5:$N$45,14,0),0))&gt;0),VLOOKUP(BY1804,'Gebinde-Kategorie'!$A$5:$N$45,14,0)*10+Parameter!$M$23,Parameter!$M$24))</f>
        <v>235</v>
      </c>
      <c r="CD1804" s="60" t="str">
        <f aca="false">IF(AND(Parameter!$B$19="Ja",E1804&lt;&gt;"",ISNUMBER(MATCH(E1804,Parameter!$I$35:$I$52,0))),VLOOKUP(E1804,Parameter!$I$35:$J$52,2,0),IFERROR(VLOOKUP(D1804,Parameter!$A$35:$C$64,2,0),"Nein"))</f>
        <v>2+3</v>
      </c>
      <c r="CE1804" s="64" t="n">
        <f aca="false">IF(CA1804=0,0,IF(N(S1804)&gt;0,S1804,IFERROR(VLOOKUP(D1804,Parameter!$A$35:$C$64,3,0)+0,0)))</f>
        <v>0.15</v>
      </c>
      <c r="CF1804" s="60" t="str">
        <f aca="false">IF(AB1804&lt;&gt;"",AB1804,AA1804)</f>
        <v/>
      </c>
      <c r="CG1804" s="60" t="str">
        <f aca="false">IF(OR(CF1804=1,CF1804=2,CF1804=3),IF(Parameter!$E$27="Ja","LIFT",IF(CF1804=1,"L1","L23")),IF(CF1804="Aussen","Aussen","-"))</f>
        <v>-</v>
      </c>
      <c r="CH1804" s="71" t="n">
        <f aca="false">IF(N(AC1804)&gt;0,AC1804,0)</f>
        <v>0</v>
      </c>
      <c r="CI1804" s="65" t="n">
        <f aca="false">IF(ISNUMBER(AF1804),1,0)</f>
        <v>0</v>
      </c>
      <c r="CJ1804" s="62" t="n">
        <f aca="false">N(AF1804)</f>
        <v>0</v>
      </c>
      <c r="CK1804" s="62" t="n">
        <f aca="false">N(M1804)+N(N1804)</f>
        <v>0</v>
      </c>
      <c r="CL1804" s="62" t="n">
        <f aca="false">N(M1804)</f>
        <v>0</v>
      </c>
      <c r="CM1804" s="62" t="n">
        <f aca="false">N(N1804)</f>
        <v>0</v>
      </c>
      <c r="CN1804" s="62" t="n">
        <f aca="false">ROUNDUP(H1804/BZ1804,0)</f>
        <v>0</v>
      </c>
      <c r="CO1804" s="62" t="n">
        <f aca="false">ROUNDUP(CJ1804/BZ1804,0)</f>
        <v>0</v>
      </c>
      <c r="CP1804" s="65" t="n">
        <f aca="false">IF(CA1804=1,0,IFERROR(VLOOKUP(BY1804,'Gebinde-Kategorie'!$A$5:$N$45,5,0)+0,0))</f>
        <v>0</v>
      </c>
      <c r="CQ1804" s="65" t="n">
        <f aca="false">IFERROR(IF(OR(CF1804=1,CF1804=2,CF1804=3),N(INDEX(Parameter!$I$5:$I$7,CF1804)),0),0)</f>
        <v>0</v>
      </c>
      <c r="CR1804" s="64" t="n">
        <f aca="false">IF(AND(Parameter!$B$21="Ja",ISNUMBER(W1804),N(X1804)&gt;0),IFERROR(N(INDEX(Parameter!$L$5:$L$7,W1804))*INDEX(Parameter!$E$5:$E$7,W1804)*X1804/SUMIFS($X$7:$X$1843,$W$7:$W$1843,W1804),0),0)</f>
        <v>0</v>
      </c>
      <c r="CS1804" s="62" t="str">
        <f aca="false">IF(AND(OR(CG1804="L1",CG1804="L23",CG1804="LIFT"),H1804&gt;0),CC1804*IF(CR1804&gt;0,CR1804*MAX(1,H1804/X1804),IF(CA1804=1,CE1804,IF(R1804&gt;0,CN1804/R1804,0))/MAX(0.1,N(Parameter!$M$21))),"")</f>
        <v/>
      </c>
      <c r="CT1804" s="64" t="str">
        <f aca="false">IF(CS1804="","",J1804/H1804)</f>
        <v/>
      </c>
      <c r="CU1804" s="62" t="str">
        <f aca="false">IF(CS1804="","",H1804*G1804)</f>
        <v/>
      </c>
      <c r="CV1804" s="63" t="str">
        <f aca="false">IF(CS1804="","",(CL1804+ROUNDUP(CL1804+MAX(CM1804,2*(J1804/MAX(0.1,N(Einkauf!$C$6))-CL1804)),0))/2)</f>
        <v/>
      </c>
      <c r="CW1804" s="62" t="str">
        <f aca="false">IF(CS1804="","",MAX(0,H1804-CV1804)*G1804)</f>
        <v/>
      </c>
      <c r="CX1804" s="62" t="str">
        <f aca="false">IF(CS1804="","",CS1804*MAX(0,1-CV1804/H1804))</f>
        <v/>
      </c>
      <c r="CY1804" s="64" t="str">
        <f aca="false">IF(CS1804="","",PERCENTRANK($CS$7:$CS$1843,CS1804)+PERCENTRANK($CU$7:$CU$1843,CU1804)+1-PERCENTRANK($CT$7:$CT$1843,CT1804))</f>
        <v/>
      </c>
      <c r="CZ1804" s="72" t="str">
        <f aca="false">IF(CS1804="","",CHOOSE(MATCH(Einkauf!$C$5,Parameter!$G$23:$G$27,0),CY1804,CS1804,CU1804,-CT1804,CW1804)+ROW()/1000000000)</f>
        <v/>
      </c>
    </row>
    <row r="1805" customFormat="false" ht="15" hidden="false" customHeight="false" outlineLevel="0" collapsed="false">
      <c r="A1805" s="60" t="str">
        <f aca="false">IF('Neue Artikel'!$A$66="","",'Neue Artikel'!$A$66&amp;"")</f>
        <v/>
      </c>
      <c r="B1805" s="60" t="str">
        <f aca="false">'Neue Artikel'!$B$66&amp;""</f>
        <v/>
      </c>
      <c r="C1805" s="60"/>
      <c r="D1805" s="60" t="s">
        <v>3057</v>
      </c>
      <c r="E1805" s="60"/>
      <c r="F1805" s="60"/>
      <c r="G1805" s="61" t="n">
        <f aca="false">N('Neue Artikel'!$G$66)</f>
        <v>0</v>
      </c>
      <c r="H1805" s="62" t="n">
        <f aca="false">MAX(0,IF(AND(Parameter!$B$21="Ja",ISNUMBER(Y1805)),Y1805,IF(Parameter!$B$20="Jahresanfang 2025 + Export",BS1805+BR1805,BR1805)))</f>
        <v>0</v>
      </c>
      <c r="I1805" s="62" t="n">
        <f aca="false">H1805*G1805</f>
        <v>0</v>
      </c>
      <c r="J1805" s="62" t="n">
        <f aca="false">BU1805*Parameter!$B$18</f>
        <v>0</v>
      </c>
      <c r="K1805" s="63"/>
      <c r="L1805" s="64"/>
      <c r="M1805" s="62" t="n">
        <f aca="false">N('Neue Artikel'!$E$66)</f>
        <v>0</v>
      </c>
      <c r="N1805" s="62" t="n">
        <f aca="false">N('Neue Artikel'!$F$66)</f>
        <v>0</v>
      </c>
      <c r="O1805" s="65"/>
      <c r="P1805" s="60" t="str">
        <f aca="false">IF('Neue Artikel'!$H$66="","LOSE",UPPER(TRIM('Neue Artikel'!$H$66)))</f>
        <v>LOSE</v>
      </c>
      <c r="Q1805" s="62" t="n">
        <f aca="false">N('Neue Artikel'!$I$66)</f>
        <v>0</v>
      </c>
      <c r="R1805" s="65" t="n">
        <f aca="false">IF(CA1805=1,0,IFERROR(VLOOKUP(BY1805,'Gebinde-Kategorie'!$A$5:$N$45,13,0)+0,0))</f>
        <v>0</v>
      </c>
      <c r="S1805" s="66"/>
      <c r="T1805" s="67"/>
      <c r="U1805" s="67"/>
      <c r="V1805" s="67"/>
      <c r="W1805" s="60"/>
      <c r="X1805" s="62"/>
      <c r="Y1805" s="62"/>
      <c r="Z1805" s="60"/>
      <c r="AA1805" s="60" t="str">
        <f aca="false">IF(A1805="","",IF(AND(Parameter!$B$21="Ja",ISNUMBER(W1805)),W1805,IF(AND(Parameter!$E$27="Ja",ISNUMBER(Z1805),CD1805&lt;&gt;"Nein"),Z1805,IF(CD1805="2+3",IF(ISNUMBER(SEARCH("grosser Artikel",BV1805)),2,IFERROR(VLOOKUP(BY1805,Parameter!$F$35:$G$64,2,0),2)),IF(OR(CD1805="Nein",CD1805=""),"-",CD1805)))))</f>
        <v/>
      </c>
      <c r="AB1805" s="60" t="str">
        <f aca="false">IF('Neue Artikel'!$J$66="","",'Neue Artikel'!$J$66)</f>
        <v/>
      </c>
      <c r="AC1805" s="68"/>
      <c r="AD1805" s="62" t="n">
        <f aca="false">AW1805</f>
        <v>0</v>
      </c>
      <c r="AE1805" s="62" t="n">
        <f aca="false">MAX(AW1805,H1805)</f>
        <v>0</v>
      </c>
      <c r="AF1805" s="69"/>
      <c r="AG1805" s="62" t="n">
        <f aca="false">IF(LEFT(Cockpit!$C$5,1)="A",H1805,IF(Parameter!$E$30="MAX-Bestand",IF(CI1805=1,CJ1805,IF(LEFT(Cockpit!$C$5,1)="B",AM1805,MAX(AM1805,H1805))),ROUNDUP(AK1805,0)))</f>
        <v>0</v>
      </c>
      <c r="AH1805" s="62" t="n">
        <f aca="false">IF(CA1805=1,0,ROUNDUP(AG1805/BZ1805,0))</f>
        <v>0</v>
      </c>
      <c r="AI1805" s="64" t="n">
        <f aca="false">IF(CR1805&gt;0,CR1805*MAX(1,AG1805/X1805),IF(CA1805=1,IF(AG1805&lt;=0,0,CE1805*MAX(1,IF(H1805&gt;0,AG1805/H1805,1))),IF(R1805&gt;0,AH1805/R1805,0))/MAX(0.1,N(Parameter!$M$21)))</f>
        <v>0</v>
      </c>
      <c r="AJ1805" s="62" t="n">
        <f aca="false">AI1805*CC1805</f>
        <v>0</v>
      </c>
      <c r="AK1805" s="63" t="n">
        <f aca="false">IF(LEFT(Cockpit!$C$5,1)="A",H1805,IF(CI1805=1,(CL1805+CJ1805)/2,IF(LEFT(Cockpit!$C$5,1)="B",(CL1805+AM1805)/2,MAX((CL1805+AM1805)/2,H1805))))</f>
        <v>0</v>
      </c>
      <c r="AL1805" s="62" t="n">
        <f aca="false">AK1805*G1805</f>
        <v>0</v>
      </c>
      <c r="AM1805" s="62" t="n">
        <f aca="false">ROUNDUP(CL1805+MAX(CM1805,2*(J1805/IF(CH1805&gt;0,CH1805,MAX(0.1,N(Cockpit!$C$6)))-CL1805)),0)</f>
        <v>0</v>
      </c>
      <c r="AN1805" s="63" t="n">
        <f aca="false">IF(AJ1805&gt;0,J1805/AJ1805,-1)</f>
        <v>-1</v>
      </c>
      <c r="AO1805" s="63" t="str">
        <f aca="false">IF(AND(OR(CG1805="L1",CG1805="L23",CG1805="LIFT"),AJ1805&gt;0),SUMIFS($AJ$7:$AJ$1843,$CG$7:$CG$1843,CG1805,$AN$7:$AN$1843,"&gt;"&amp;AN1805)+SUMIFS($AJ$7:$AJ$1843,$CG$7:$CG$1843,CG1805,$AN$7:$AN$1843,AN1805,$BX$7:$BX$1843,"&lt;="&amp;BX1805),"")</f>
        <v/>
      </c>
      <c r="AP1805" s="70" t="n">
        <f aca="false">IF(AO1805="",0,MAX(0,MIN(1,(IF(CG1805="L1",Parameter!$H$5,IF(CG1805="L23",Parameter!$H$6+Parameter!$H$7,Parameter!$H$5+Parameter!$H$6+Parameter!$H$7))-(AO1805-AJ1805))/AJ1805)))</f>
        <v>0</v>
      </c>
      <c r="AQ1805" s="62" t="n">
        <f aca="false">IF(LEFT(Cockpit!$I$5,1)="A",H1805,IF(Parameter!$E$30="MAX-Bestand",IF(CI1805=1,CJ1805,IF(LEFT(Cockpit!$I$5,1)="B",AW1805,MAX(AW1805,H1805))),ROUNDUP(AU1805,0)))</f>
        <v>0</v>
      </c>
      <c r="AR1805" s="62" t="n">
        <f aca="false">IF(CA1805=1,0,ROUNDUP(AQ1805/BZ1805,0))</f>
        <v>0</v>
      </c>
      <c r="AS1805" s="64" t="n">
        <f aca="false">IF(CR1805&gt;0,CR1805*MAX(1,AQ1805/X1805),IF(CA1805=1,IF(AQ1805&lt;=0,0,CE1805*MAX(1,IF(H1805&gt;0,AQ1805/H1805,1))),IF(R1805&gt;0,AR1805/R1805,0))/MAX(0.1,N(Parameter!$M$21)))</f>
        <v>0</v>
      </c>
      <c r="AT1805" s="62" t="n">
        <f aca="false">AS1805*CC1805</f>
        <v>0</v>
      </c>
      <c r="AU1805" s="63" t="n">
        <f aca="false">IF(LEFT(Cockpit!$I$5,1)="A",H1805,IF(CI1805=1,(CL1805+CJ1805)/2,IF(LEFT(Cockpit!$I$5,1)="B",(CL1805+AW1805)/2,MAX((CL1805+AW1805)/2,H1805))))</f>
        <v>0</v>
      </c>
      <c r="AV1805" s="62" t="n">
        <f aca="false">AU1805*G1805</f>
        <v>0</v>
      </c>
      <c r="AW1805" s="62" t="n">
        <f aca="false">ROUNDUP(CL1805+MAX(CM1805,2*(J1805/IF(CH1805&gt;0,CH1805,MAX(0.1,N(Cockpit!$I$6)))-CL1805)),0)</f>
        <v>0</v>
      </c>
      <c r="AX1805" s="63" t="n">
        <f aca="false">IF(AT1805&gt;0,J1805/AT1805,-1)</f>
        <v>-1</v>
      </c>
      <c r="AY1805" s="63" t="str">
        <f aca="false">IF(AND(OR(CG1805="L1",CG1805="L23",CG1805="LIFT"),AT1805&gt;0),SUMIFS($AT$7:$AT$1843,$CG$7:$CG$1843,CG1805,$AX$7:$AX$1843,"&gt;"&amp;AX1805)+SUMIFS($AT$7:$AT$1843,$CG$7:$CG$1843,CG1805,$AX$7:$AX$1843,AX1805,$BX$7:$BX$1843,"&lt;="&amp;BX1805),"")</f>
        <v/>
      </c>
      <c r="AZ1805" s="70" t="n">
        <f aca="false">IF(AY1805="",0,MAX(0,MIN(1,(IF(CG1805="L1",Parameter!$H$5,IF(CG1805="L23",Parameter!$H$6+Parameter!$H$7,Parameter!$H$5+Parameter!$H$6+Parameter!$H$7))-(AY1805-AT1805))/AT1805)))</f>
        <v>0</v>
      </c>
      <c r="BA1805" s="62" t="n">
        <f aca="false">IF(LEFT(Cockpit!$O$5,1)="A",H1805,IF(Parameter!$E$30="MAX-Bestand",IF(CI1805=1,CJ1805,IF(LEFT(Cockpit!$O$5,1)="B",BG1805,MAX(BG1805,H1805))),ROUNDUP(BE1805,0)))</f>
        <v>0</v>
      </c>
      <c r="BB1805" s="62" t="n">
        <f aca="false">IF(CA1805=1,0,ROUNDUP(BA1805/BZ1805,0))</f>
        <v>0</v>
      </c>
      <c r="BC1805" s="64" t="n">
        <f aca="false">IF(CR1805&gt;0,CR1805*MAX(1,BA1805/X1805),IF(CA1805=1,IF(BA1805&lt;=0,0,CE1805*MAX(1,IF(H1805&gt;0,BA1805/H1805,1))),IF(R1805&gt;0,BB1805/R1805,0))/MAX(0.1,N(Parameter!$M$21)))</f>
        <v>0</v>
      </c>
      <c r="BD1805" s="62" t="n">
        <f aca="false">BC1805*CC1805</f>
        <v>0</v>
      </c>
      <c r="BE1805" s="63" t="n">
        <f aca="false">IF(LEFT(Cockpit!$O$5,1)="A",H1805,IF(CI1805=1,(CL1805+CJ1805)/2,IF(LEFT(Cockpit!$O$5,1)="B",(CL1805+BG1805)/2,MAX((CL1805+BG1805)/2,H1805))))</f>
        <v>0</v>
      </c>
      <c r="BF1805" s="62" t="n">
        <f aca="false">BE1805*G1805</f>
        <v>0</v>
      </c>
      <c r="BG1805" s="62" t="n">
        <f aca="false">ROUNDUP(CL1805+MAX(CM1805,2*(J1805/IF(CH1805&gt;0,CH1805,MAX(0.1,N(Cockpit!$O$6)))-CL1805)),0)</f>
        <v>0</v>
      </c>
      <c r="BH1805" s="63" t="n">
        <f aca="false">IF(BD1805&gt;0,J1805/BD1805,-1)</f>
        <v>-1</v>
      </c>
      <c r="BI1805" s="63" t="str">
        <f aca="false">IF(AND(OR(CG1805="L1",CG1805="L23",CG1805="LIFT"),BD1805&gt;0),SUMIFS($BD$7:$BD$1843,$CG$7:$CG$1843,CG1805,$BH$7:$BH$1843,"&gt;"&amp;BH1805)+SUMIFS($BD$7:$BD$1843,$CG$7:$CG$1843,CG1805,$BH$7:$BH$1843,BH1805,$BX$7:$BX$1843,"&lt;="&amp;BX1805),"")</f>
        <v/>
      </c>
      <c r="BJ1805" s="70" t="n">
        <f aca="false">IF(BI1805="",0,MAX(0,MIN(1,(IF(CG1805="L1",Parameter!$H$5,IF(CG1805="L23",Parameter!$H$6+Parameter!$H$7,Parameter!$H$5+Parameter!$H$6+Parameter!$H$7))-(BI1805-BD1805))/BD1805)))</f>
        <v>0</v>
      </c>
      <c r="BK1805" s="60" t="str">
        <f aca="false">IF(AJ1805&lt;=0,"",IF(CG1805="Aussen","Aussenlager",IF(CG1805="-","Nicht im Lift",IF(AP1805&gt;=1,"Lift",IF(AP1805&lt;=0,"Aussenlager","teilweise")))))</f>
        <v/>
      </c>
      <c r="BL1805" s="60" t="str">
        <f aca="false">IF(AT1805&lt;=0,"",IF(CG1805="Aussen","Aussenlager",IF(CG1805="-","Nicht im Lift",IF(AZ1805&gt;=1,"Lift",IF(AZ1805&lt;=0,"Aussenlager","teilweise")))))</f>
        <v/>
      </c>
      <c r="BM1805" s="60" t="str">
        <f aca="false">IF(BD1805&lt;=0,"",IF(CG1805="Aussen","Aussenlager",IF(CG1805="-","Nicht im Lift",IF(BJ1805&gt;=1,"Lift",IF(BJ1805&lt;=0,"Aussenlager","teilweise")))))</f>
        <v/>
      </c>
      <c r="BN1805" s="60" t="str">
        <f aca="false">IF(A1805="","",IF(BW1805=1,"Neu; ","")&amp;IF(AND(BW1805=0,BR1805&lt;0),"negativer Bestand (Export "&amp;BR1805&amp;"); ","")&amp;IF(J1805&lt;=0,"Kein Verbrauch; ","")&amp;IF(CR1805&gt;0,"Lift "&amp;W1805&amp;" lt. Liftbericht (Fach "&amp;X1805&amp;" Stk); ",IF(CB1805=1,"Gebinde geschätzt ("&amp;T1805&amp;"); ",IF(CA1805=1,"Lose – Tablare geschätzt; ","")))&amp;IF(H1805&gt;AW1805,"Überbestand "&amp;ROUND(H1805-AW1805,0)&amp;" Stk / CHF "&amp;ROUND((H1805-AW1805)*G1805,0)&amp;"; ","")&amp;IF(AND(CI1805=1,CJ1805&lt;CK1805),"MAX &lt; MB+LG; ","")&amp;IF(AND(CQ1805&gt;0,CP1805*10&gt;CQ1805),"zu hoch für Tablar; ","")&amp;IF(AND(BW1805=0,OR(CI1805=1,AB1805&lt;&gt;"",U1805&lt;&gt;"",V1805&lt;&gt;"",AC1805&lt;&gt;"")),"manuell übersteuert; ","")&amp;IF(AND(CA1805=0,R1805=0),"Gebinde unbekannt / Stellmass fehlt; ","")&amp;IF(AND(CA1805=0,N(V1805)&lt;=0,N(Q1805)&lt;=0),"Menge pro Gebinde fehlt (Ist = 1 Gebinde); ","")&amp;BV1805)</f>
        <v/>
      </c>
      <c r="BO1805" s="60"/>
      <c r="BP1805" s="60"/>
      <c r="BQ1805" s="67"/>
      <c r="BR1805" s="62" t="n">
        <f aca="false">N('Neue Artikel'!$D$66)</f>
        <v>0</v>
      </c>
      <c r="BS1805" s="62" t="n">
        <v>0</v>
      </c>
      <c r="BT1805" s="61" t="n">
        <v>0</v>
      </c>
      <c r="BU1805" s="62" t="n">
        <f aca="false">N('Neue Artikel'!$C$66)/Parameter!$B$18</f>
        <v>0</v>
      </c>
      <c r="BV1805" s="60"/>
      <c r="BW1805" s="65" t="n">
        <v>1</v>
      </c>
      <c r="BX1805" s="65" t="n">
        <v>1805</v>
      </c>
      <c r="BY1805" s="60" t="str">
        <f aca="false">IF(U1805&lt;&gt;"",UPPER(TRIM(U1805)),IF(CB1805=1,UPPER(VLOOKUP(T1805,Parameter!$I$27:$K$29,2,0)),IF(P1805="","LOSE",P1805)))</f>
        <v>LOSE</v>
      </c>
      <c r="BZ1805" s="62" t="n">
        <f aca="false">IF(BY1805="LOSE",1,IF(N(V1805)&gt;0,V1805,IF(CB1805=1,MAX(1,N(VLOOKUP(T1805,Parameter!$I$27:$K$29,3,0)),H1805,N(N1805)),IF(N(Q1805)&gt;0,Q1805,MAX(1,H1805)))))</f>
        <v>1</v>
      </c>
      <c r="CA1805" s="65" t="n">
        <f aca="false">IF(BY1805="LOSE",1,0)</f>
        <v>1</v>
      </c>
      <c r="CB1805" s="65" t="n">
        <f aca="false">IF(AND(U1805="",OR(P1805="",P1805="LOSE"),T1805&lt;&gt;"",N(S1805)&lt;=0,ISNUMBER(MATCH(T1805,Parameter!$I$27:$I$29,0))),1,0)</f>
        <v>0</v>
      </c>
      <c r="CC1805" s="65" t="n">
        <f aca="false">IF(CR1805&gt;0,INDEX(Parameter!$H$5:$H$7,W1805)/INDEX(Parameter!$E$5:$E$7,W1805),IF(AND(CA1805=0,N(IFERROR(VLOOKUP(BY1805,'Gebinde-Kategorie'!$A$5:$N$45,14,0),0))&gt;0),VLOOKUP(BY1805,'Gebinde-Kategorie'!$A$5:$N$45,14,0)*10+Parameter!$M$23,Parameter!$M$24))</f>
        <v>235</v>
      </c>
      <c r="CD1805" s="60" t="str">
        <f aca="false">IF(AND(Parameter!$B$19="Ja",E1805&lt;&gt;"",ISNUMBER(MATCH(E1805,Parameter!$I$35:$I$52,0))),VLOOKUP(E1805,Parameter!$I$35:$J$52,2,0),IFERROR(VLOOKUP(D1805,Parameter!$A$35:$C$64,2,0),"Nein"))</f>
        <v>2+3</v>
      </c>
      <c r="CE1805" s="64" t="n">
        <f aca="false">IF(CA1805=0,0,IF(N(S1805)&gt;0,S1805,IFERROR(VLOOKUP(D1805,Parameter!$A$35:$C$64,3,0)+0,0)))</f>
        <v>0.15</v>
      </c>
      <c r="CF1805" s="60" t="str">
        <f aca="false">IF(AB1805&lt;&gt;"",AB1805,AA1805)</f>
        <v/>
      </c>
      <c r="CG1805" s="60" t="str">
        <f aca="false">IF(OR(CF1805=1,CF1805=2,CF1805=3),IF(Parameter!$E$27="Ja","LIFT",IF(CF1805=1,"L1","L23")),IF(CF1805="Aussen","Aussen","-"))</f>
        <v>-</v>
      </c>
      <c r="CH1805" s="71" t="n">
        <f aca="false">IF(N(AC1805)&gt;0,AC1805,0)</f>
        <v>0</v>
      </c>
      <c r="CI1805" s="65" t="n">
        <f aca="false">IF(ISNUMBER(AF1805),1,0)</f>
        <v>0</v>
      </c>
      <c r="CJ1805" s="62" t="n">
        <f aca="false">N(AF1805)</f>
        <v>0</v>
      </c>
      <c r="CK1805" s="62" t="n">
        <f aca="false">N(M1805)+N(N1805)</f>
        <v>0</v>
      </c>
      <c r="CL1805" s="62" t="n">
        <f aca="false">N(M1805)</f>
        <v>0</v>
      </c>
      <c r="CM1805" s="62" t="n">
        <f aca="false">N(N1805)</f>
        <v>0</v>
      </c>
      <c r="CN1805" s="62" t="n">
        <f aca="false">ROUNDUP(H1805/BZ1805,0)</f>
        <v>0</v>
      </c>
      <c r="CO1805" s="62" t="n">
        <f aca="false">ROUNDUP(CJ1805/BZ1805,0)</f>
        <v>0</v>
      </c>
      <c r="CP1805" s="65" t="n">
        <f aca="false">IF(CA1805=1,0,IFERROR(VLOOKUP(BY1805,'Gebinde-Kategorie'!$A$5:$N$45,5,0)+0,0))</f>
        <v>0</v>
      </c>
      <c r="CQ1805" s="65" t="n">
        <f aca="false">IFERROR(IF(OR(CF1805=1,CF1805=2,CF1805=3),N(INDEX(Parameter!$I$5:$I$7,CF1805)),0),0)</f>
        <v>0</v>
      </c>
      <c r="CR1805" s="64" t="n">
        <f aca="false">IF(AND(Parameter!$B$21="Ja",ISNUMBER(W1805),N(X1805)&gt;0),IFERROR(N(INDEX(Parameter!$L$5:$L$7,W1805))*INDEX(Parameter!$E$5:$E$7,W1805)*X1805/SUMIFS($X$7:$X$1843,$W$7:$W$1843,W1805),0),0)</f>
        <v>0</v>
      </c>
      <c r="CS1805" s="62" t="str">
        <f aca="false">IF(AND(OR(CG1805="L1",CG1805="L23",CG1805="LIFT"),H1805&gt;0),CC1805*IF(CR1805&gt;0,CR1805*MAX(1,H1805/X1805),IF(CA1805=1,CE1805,IF(R1805&gt;0,CN1805/R1805,0))/MAX(0.1,N(Parameter!$M$21))),"")</f>
        <v/>
      </c>
      <c r="CT1805" s="64" t="str">
        <f aca="false">IF(CS1805="","",J1805/H1805)</f>
        <v/>
      </c>
      <c r="CU1805" s="62" t="str">
        <f aca="false">IF(CS1805="","",H1805*G1805)</f>
        <v/>
      </c>
      <c r="CV1805" s="63" t="str">
        <f aca="false">IF(CS1805="","",(CL1805+ROUNDUP(CL1805+MAX(CM1805,2*(J1805/MAX(0.1,N(Einkauf!$C$6))-CL1805)),0))/2)</f>
        <v/>
      </c>
      <c r="CW1805" s="62" t="str">
        <f aca="false">IF(CS1805="","",MAX(0,H1805-CV1805)*G1805)</f>
        <v/>
      </c>
      <c r="CX1805" s="62" t="str">
        <f aca="false">IF(CS1805="","",CS1805*MAX(0,1-CV1805/H1805))</f>
        <v/>
      </c>
      <c r="CY1805" s="64" t="str">
        <f aca="false">IF(CS1805="","",PERCENTRANK($CS$7:$CS$1843,CS1805)+PERCENTRANK($CU$7:$CU$1843,CU1805)+1-PERCENTRANK($CT$7:$CT$1843,CT1805))</f>
        <v/>
      </c>
      <c r="CZ1805" s="72" t="str">
        <f aca="false">IF(CS1805="","",CHOOSE(MATCH(Einkauf!$C$5,Parameter!$G$23:$G$27,0),CY1805,CS1805,CU1805,-CT1805,CW1805)+ROW()/1000000000)</f>
        <v/>
      </c>
    </row>
    <row r="1806" customFormat="false" ht="15" hidden="false" customHeight="false" outlineLevel="0" collapsed="false">
      <c r="A1806" s="60" t="str">
        <f aca="false">IF('Neue Artikel'!$A$67="","",'Neue Artikel'!$A$67&amp;"")</f>
        <v/>
      </c>
      <c r="B1806" s="60" t="str">
        <f aca="false">'Neue Artikel'!$B$67&amp;""</f>
        <v/>
      </c>
      <c r="C1806" s="60"/>
      <c r="D1806" s="60" t="s">
        <v>3057</v>
      </c>
      <c r="E1806" s="60"/>
      <c r="F1806" s="60"/>
      <c r="G1806" s="61" t="n">
        <f aca="false">N('Neue Artikel'!$G$67)</f>
        <v>0</v>
      </c>
      <c r="H1806" s="62" t="n">
        <f aca="false">MAX(0,IF(AND(Parameter!$B$21="Ja",ISNUMBER(Y1806)),Y1806,IF(Parameter!$B$20="Jahresanfang 2025 + Export",BS1806+BR1806,BR1806)))</f>
        <v>0</v>
      </c>
      <c r="I1806" s="62" t="n">
        <f aca="false">H1806*G1806</f>
        <v>0</v>
      </c>
      <c r="J1806" s="62" t="n">
        <f aca="false">BU1806*Parameter!$B$18</f>
        <v>0</v>
      </c>
      <c r="K1806" s="63"/>
      <c r="L1806" s="64"/>
      <c r="M1806" s="62" t="n">
        <f aca="false">N('Neue Artikel'!$E$67)</f>
        <v>0</v>
      </c>
      <c r="N1806" s="62" t="n">
        <f aca="false">N('Neue Artikel'!$F$67)</f>
        <v>0</v>
      </c>
      <c r="O1806" s="65"/>
      <c r="P1806" s="60" t="str">
        <f aca="false">IF('Neue Artikel'!$H$67="","LOSE",UPPER(TRIM('Neue Artikel'!$H$67)))</f>
        <v>LOSE</v>
      </c>
      <c r="Q1806" s="62" t="n">
        <f aca="false">N('Neue Artikel'!$I$67)</f>
        <v>0</v>
      </c>
      <c r="R1806" s="65" t="n">
        <f aca="false">IF(CA1806=1,0,IFERROR(VLOOKUP(BY1806,'Gebinde-Kategorie'!$A$5:$N$45,13,0)+0,0))</f>
        <v>0</v>
      </c>
      <c r="S1806" s="66"/>
      <c r="T1806" s="67"/>
      <c r="U1806" s="67"/>
      <c r="V1806" s="67"/>
      <c r="W1806" s="60"/>
      <c r="X1806" s="62"/>
      <c r="Y1806" s="62"/>
      <c r="Z1806" s="60"/>
      <c r="AA1806" s="60" t="str">
        <f aca="false">IF(A1806="","",IF(AND(Parameter!$B$21="Ja",ISNUMBER(W1806)),W1806,IF(AND(Parameter!$E$27="Ja",ISNUMBER(Z1806),CD1806&lt;&gt;"Nein"),Z1806,IF(CD1806="2+3",IF(ISNUMBER(SEARCH("grosser Artikel",BV1806)),2,IFERROR(VLOOKUP(BY1806,Parameter!$F$35:$G$64,2,0),2)),IF(OR(CD1806="Nein",CD1806=""),"-",CD1806)))))</f>
        <v/>
      </c>
      <c r="AB1806" s="60" t="str">
        <f aca="false">IF('Neue Artikel'!$J$67="","",'Neue Artikel'!$J$67)</f>
        <v/>
      </c>
      <c r="AC1806" s="68"/>
      <c r="AD1806" s="62" t="n">
        <f aca="false">AW1806</f>
        <v>0</v>
      </c>
      <c r="AE1806" s="62" t="n">
        <f aca="false">MAX(AW1806,H1806)</f>
        <v>0</v>
      </c>
      <c r="AF1806" s="69"/>
      <c r="AG1806" s="62" t="n">
        <f aca="false">IF(LEFT(Cockpit!$C$5,1)="A",H1806,IF(Parameter!$E$30="MAX-Bestand",IF(CI1806=1,CJ1806,IF(LEFT(Cockpit!$C$5,1)="B",AM1806,MAX(AM1806,H1806))),ROUNDUP(AK1806,0)))</f>
        <v>0</v>
      </c>
      <c r="AH1806" s="62" t="n">
        <f aca="false">IF(CA1806=1,0,ROUNDUP(AG1806/BZ1806,0))</f>
        <v>0</v>
      </c>
      <c r="AI1806" s="64" t="n">
        <f aca="false">IF(CR1806&gt;0,CR1806*MAX(1,AG1806/X1806),IF(CA1806=1,IF(AG1806&lt;=0,0,CE1806*MAX(1,IF(H1806&gt;0,AG1806/H1806,1))),IF(R1806&gt;0,AH1806/R1806,0))/MAX(0.1,N(Parameter!$M$21)))</f>
        <v>0</v>
      </c>
      <c r="AJ1806" s="62" t="n">
        <f aca="false">AI1806*CC1806</f>
        <v>0</v>
      </c>
      <c r="AK1806" s="63" t="n">
        <f aca="false">IF(LEFT(Cockpit!$C$5,1)="A",H1806,IF(CI1806=1,(CL1806+CJ1806)/2,IF(LEFT(Cockpit!$C$5,1)="B",(CL1806+AM1806)/2,MAX((CL1806+AM1806)/2,H1806))))</f>
        <v>0</v>
      </c>
      <c r="AL1806" s="62" t="n">
        <f aca="false">AK1806*G1806</f>
        <v>0</v>
      </c>
      <c r="AM1806" s="62" t="n">
        <f aca="false">ROUNDUP(CL1806+MAX(CM1806,2*(J1806/IF(CH1806&gt;0,CH1806,MAX(0.1,N(Cockpit!$C$6)))-CL1806)),0)</f>
        <v>0</v>
      </c>
      <c r="AN1806" s="63" t="n">
        <f aca="false">IF(AJ1806&gt;0,J1806/AJ1806,-1)</f>
        <v>-1</v>
      </c>
      <c r="AO1806" s="63" t="str">
        <f aca="false">IF(AND(OR(CG1806="L1",CG1806="L23",CG1806="LIFT"),AJ1806&gt;0),SUMIFS($AJ$7:$AJ$1843,$CG$7:$CG$1843,CG1806,$AN$7:$AN$1843,"&gt;"&amp;AN1806)+SUMIFS($AJ$7:$AJ$1843,$CG$7:$CG$1843,CG1806,$AN$7:$AN$1843,AN1806,$BX$7:$BX$1843,"&lt;="&amp;BX1806),"")</f>
        <v/>
      </c>
      <c r="AP1806" s="70" t="n">
        <f aca="false">IF(AO1806="",0,MAX(0,MIN(1,(IF(CG1806="L1",Parameter!$H$5,IF(CG1806="L23",Parameter!$H$6+Parameter!$H$7,Parameter!$H$5+Parameter!$H$6+Parameter!$H$7))-(AO1806-AJ1806))/AJ1806)))</f>
        <v>0</v>
      </c>
      <c r="AQ1806" s="62" t="n">
        <f aca="false">IF(LEFT(Cockpit!$I$5,1)="A",H1806,IF(Parameter!$E$30="MAX-Bestand",IF(CI1806=1,CJ1806,IF(LEFT(Cockpit!$I$5,1)="B",AW1806,MAX(AW1806,H1806))),ROUNDUP(AU1806,0)))</f>
        <v>0</v>
      </c>
      <c r="AR1806" s="62" t="n">
        <f aca="false">IF(CA1806=1,0,ROUNDUP(AQ1806/BZ1806,0))</f>
        <v>0</v>
      </c>
      <c r="AS1806" s="64" t="n">
        <f aca="false">IF(CR1806&gt;0,CR1806*MAX(1,AQ1806/X1806),IF(CA1806=1,IF(AQ1806&lt;=0,0,CE1806*MAX(1,IF(H1806&gt;0,AQ1806/H1806,1))),IF(R1806&gt;0,AR1806/R1806,0))/MAX(0.1,N(Parameter!$M$21)))</f>
        <v>0</v>
      </c>
      <c r="AT1806" s="62" t="n">
        <f aca="false">AS1806*CC1806</f>
        <v>0</v>
      </c>
      <c r="AU1806" s="63" t="n">
        <f aca="false">IF(LEFT(Cockpit!$I$5,1)="A",H1806,IF(CI1806=1,(CL1806+CJ1806)/2,IF(LEFT(Cockpit!$I$5,1)="B",(CL1806+AW1806)/2,MAX((CL1806+AW1806)/2,H1806))))</f>
        <v>0</v>
      </c>
      <c r="AV1806" s="62" t="n">
        <f aca="false">AU1806*G1806</f>
        <v>0</v>
      </c>
      <c r="AW1806" s="62" t="n">
        <f aca="false">ROUNDUP(CL1806+MAX(CM1806,2*(J1806/IF(CH1806&gt;0,CH1806,MAX(0.1,N(Cockpit!$I$6)))-CL1806)),0)</f>
        <v>0</v>
      </c>
      <c r="AX1806" s="63" t="n">
        <f aca="false">IF(AT1806&gt;0,J1806/AT1806,-1)</f>
        <v>-1</v>
      </c>
      <c r="AY1806" s="63" t="str">
        <f aca="false">IF(AND(OR(CG1806="L1",CG1806="L23",CG1806="LIFT"),AT1806&gt;0),SUMIFS($AT$7:$AT$1843,$CG$7:$CG$1843,CG1806,$AX$7:$AX$1843,"&gt;"&amp;AX1806)+SUMIFS($AT$7:$AT$1843,$CG$7:$CG$1843,CG1806,$AX$7:$AX$1843,AX1806,$BX$7:$BX$1843,"&lt;="&amp;BX1806),"")</f>
        <v/>
      </c>
      <c r="AZ1806" s="70" t="n">
        <f aca="false">IF(AY1806="",0,MAX(0,MIN(1,(IF(CG1806="L1",Parameter!$H$5,IF(CG1806="L23",Parameter!$H$6+Parameter!$H$7,Parameter!$H$5+Parameter!$H$6+Parameter!$H$7))-(AY1806-AT1806))/AT1806)))</f>
        <v>0</v>
      </c>
      <c r="BA1806" s="62" t="n">
        <f aca="false">IF(LEFT(Cockpit!$O$5,1)="A",H1806,IF(Parameter!$E$30="MAX-Bestand",IF(CI1806=1,CJ1806,IF(LEFT(Cockpit!$O$5,1)="B",BG1806,MAX(BG1806,H1806))),ROUNDUP(BE1806,0)))</f>
        <v>0</v>
      </c>
      <c r="BB1806" s="62" t="n">
        <f aca="false">IF(CA1806=1,0,ROUNDUP(BA1806/BZ1806,0))</f>
        <v>0</v>
      </c>
      <c r="BC1806" s="64" t="n">
        <f aca="false">IF(CR1806&gt;0,CR1806*MAX(1,BA1806/X1806),IF(CA1806=1,IF(BA1806&lt;=0,0,CE1806*MAX(1,IF(H1806&gt;0,BA1806/H1806,1))),IF(R1806&gt;0,BB1806/R1806,0))/MAX(0.1,N(Parameter!$M$21)))</f>
        <v>0</v>
      </c>
      <c r="BD1806" s="62" t="n">
        <f aca="false">BC1806*CC1806</f>
        <v>0</v>
      </c>
      <c r="BE1806" s="63" t="n">
        <f aca="false">IF(LEFT(Cockpit!$O$5,1)="A",H1806,IF(CI1806=1,(CL1806+CJ1806)/2,IF(LEFT(Cockpit!$O$5,1)="B",(CL1806+BG1806)/2,MAX((CL1806+BG1806)/2,H1806))))</f>
        <v>0</v>
      </c>
      <c r="BF1806" s="62" t="n">
        <f aca="false">BE1806*G1806</f>
        <v>0</v>
      </c>
      <c r="BG1806" s="62" t="n">
        <f aca="false">ROUNDUP(CL1806+MAX(CM1806,2*(J1806/IF(CH1806&gt;0,CH1806,MAX(0.1,N(Cockpit!$O$6)))-CL1806)),0)</f>
        <v>0</v>
      </c>
      <c r="BH1806" s="63" t="n">
        <f aca="false">IF(BD1806&gt;0,J1806/BD1806,-1)</f>
        <v>-1</v>
      </c>
      <c r="BI1806" s="63" t="str">
        <f aca="false">IF(AND(OR(CG1806="L1",CG1806="L23",CG1806="LIFT"),BD1806&gt;0),SUMIFS($BD$7:$BD$1843,$CG$7:$CG$1843,CG1806,$BH$7:$BH$1843,"&gt;"&amp;BH1806)+SUMIFS($BD$7:$BD$1843,$CG$7:$CG$1843,CG1806,$BH$7:$BH$1843,BH1806,$BX$7:$BX$1843,"&lt;="&amp;BX1806),"")</f>
        <v/>
      </c>
      <c r="BJ1806" s="70" t="n">
        <f aca="false">IF(BI1806="",0,MAX(0,MIN(1,(IF(CG1806="L1",Parameter!$H$5,IF(CG1806="L23",Parameter!$H$6+Parameter!$H$7,Parameter!$H$5+Parameter!$H$6+Parameter!$H$7))-(BI1806-BD1806))/BD1806)))</f>
        <v>0</v>
      </c>
      <c r="BK1806" s="60" t="str">
        <f aca="false">IF(AJ1806&lt;=0,"",IF(CG1806="Aussen","Aussenlager",IF(CG1806="-","Nicht im Lift",IF(AP1806&gt;=1,"Lift",IF(AP1806&lt;=0,"Aussenlager","teilweise")))))</f>
        <v/>
      </c>
      <c r="BL1806" s="60" t="str">
        <f aca="false">IF(AT1806&lt;=0,"",IF(CG1806="Aussen","Aussenlager",IF(CG1806="-","Nicht im Lift",IF(AZ1806&gt;=1,"Lift",IF(AZ1806&lt;=0,"Aussenlager","teilweise")))))</f>
        <v/>
      </c>
      <c r="BM1806" s="60" t="str">
        <f aca="false">IF(BD1806&lt;=0,"",IF(CG1806="Aussen","Aussenlager",IF(CG1806="-","Nicht im Lift",IF(BJ1806&gt;=1,"Lift",IF(BJ1806&lt;=0,"Aussenlager","teilweise")))))</f>
        <v/>
      </c>
      <c r="BN1806" s="60" t="str">
        <f aca="false">IF(A1806="","",IF(BW1806=1,"Neu; ","")&amp;IF(AND(BW1806=0,BR1806&lt;0),"negativer Bestand (Export "&amp;BR1806&amp;"); ","")&amp;IF(J1806&lt;=0,"Kein Verbrauch; ","")&amp;IF(CR1806&gt;0,"Lift "&amp;W1806&amp;" lt. Liftbericht (Fach "&amp;X1806&amp;" Stk); ",IF(CB1806=1,"Gebinde geschätzt ("&amp;T1806&amp;"); ",IF(CA1806=1,"Lose – Tablare geschätzt; ","")))&amp;IF(H1806&gt;AW1806,"Überbestand "&amp;ROUND(H1806-AW1806,0)&amp;" Stk / CHF "&amp;ROUND((H1806-AW1806)*G1806,0)&amp;"; ","")&amp;IF(AND(CI1806=1,CJ1806&lt;CK1806),"MAX &lt; MB+LG; ","")&amp;IF(AND(CQ1806&gt;0,CP1806*10&gt;CQ1806),"zu hoch für Tablar; ","")&amp;IF(AND(BW1806=0,OR(CI1806=1,AB1806&lt;&gt;"",U1806&lt;&gt;"",V1806&lt;&gt;"",AC1806&lt;&gt;"")),"manuell übersteuert; ","")&amp;IF(AND(CA1806=0,R1806=0),"Gebinde unbekannt / Stellmass fehlt; ","")&amp;IF(AND(CA1806=0,N(V1806)&lt;=0,N(Q1806)&lt;=0),"Menge pro Gebinde fehlt (Ist = 1 Gebinde); ","")&amp;BV1806)</f>
        <v/>
      </c>
      <c r="BO1806" s="60"/>
      <c r="BP1806" s="60"/>
      <c r="BQ1806" s="67"/>
      <c r="BR1806" s="62" t="n">
        <f aca="false">N('Neue Artikel'!$D$67)</f>
        <v>0</v>
      </c>
      <c r="BS1806" s="62" t="n">
        <v>0</v>
      </c>
      <c r="BT1806" s="61" t="n">
        <v>0</v>
      </c>
      <c r="BU1806" s="62" t="n">
        <f aca="false">N('Neue Artikel'!$C$67)/Parameter!$B$18</f>
        <v>0</v>
      </c>
      <c r="BV1806" s="60"/>
      <c r="BW1806" s="65" t="n">
        <v>1</v>
      </c>
      <c r="BX1806" s="65" t="n">
        <v>1806</v>
      </c>
      <c r="BY1806" s="60" t="str">
        <f aca="false">IF(U1806&lt;&gt;"",UPPER(TRIM(U1806)),IF(CB1806=1,UPPER(VLOOKUP(T1806,Parameter!$I$27:$K$29,2,0)),IF(P1806="","LOSE",P1806)))</f>
        <v>LOSE</v>
      </c>
      <c r="BZ1806" s="62" t="n">
        <f aca="false">IF(BY1806="LOSE",1,IF(N(V1806)&gt;0,V1806,IF(CB1806=1,MAX(1,N(VLOOKUP(T1806,Parameter!$I$27:$K$29,3,0)),H1806,N(N1806)),IF(N(Q1806)&gt;0,Q1806,MAX(1,H1806)))))</f>
        <v>1</v>
      </c>
      <c r="CA1806" s="65" t="n">
        <f aca="false">IF(BY1806="LOSE",1,0)</f>
        <v>1</v>
      </c>
      <c r="CB1806" s="65" t="n">
        <f aca="false">IF(AND(U1806="",OR(P1806="",P1806="LOSE"),T1806&lt;&gt;"",N(S1806)&lt;=0,ISNUMBER(MATCH(T1806,Parameter!$I$27:$I$29,0))),1,0)</f>
        <v>0</v>
      </c>
      <c r="CC1806" s="65" t="n">
        <f aca="false">IF(CR1806&gt;0,INDEX(Parameter!$H$5:$H$7,W1806)/INDEX(Parameter!$E$5:$E$7,W1806),IF(AND(CA1806=0,N(IFERROR(VLOOKUP(BY1806,'Gebinde-Kategorie'!$A$5:$N$45,14,0),0))&gt;0),VLOOKUP(BY1806,'Gebinde-Kategorie'!$A$5:$N$45,14,0)*10+Parameter!$M$23,Parameter!$M$24))</f>
        <v>235</v>
      </c>
      <c r="CD1806" s="60" t="str">
        <f aca="false">IF(AND(Parameter!$B$19="Ja",E1806&lt;&gt;"",ISNUMBER(MATCH(E1806,Parameter!$I$35:$I$52,0))),VLOOKUP(E1806,Parameter!$I$35:$J$52,2,0),IFERROR(VLOOKUP(D1806,Parameter!$A$35:$C$64,2,0),"Nein"))</f>
        <v>2+3</v>
      </c>
      <c r="CE1806" s="64" t="n">
        <f aca="false">IF(CA1806=0,0,IF(N(S1806)&gt;0,S1806,IFERROR(VLOOKUP(D1806,Parameter!$A$35:$C$64,3,0)+0,0)))</f>
        <v>0.15</v>
      </c>
      <c r="CF1806" s="60" t="str">
        <f aca="false">IF(AB1806&lt;&gt;"",AB1806,AA1806)</f>
        <v/>
      </c>
      <c r="CG1806" s="60" t="str">
        <f aca="false">IF(OR(CF1806=1,CF1806=2,CF1806=3),IF(Parameter!$E$27="Ja","LIFT",IF(CF1806=1,"L1","L23")),IF(CF1806="Aussen","Aussen","-"))</f>
        <v>-</v>
      </c>
      <c r="CH1806" s="71" t="n">
        <f aca="false">IF(N(AC1806)&gt;0,AC1806,0)</f>
        <v>0</v>
      </c>
      <c r="CI1806" s="65" t="n">
        <f aca="false">IF(ISNUMBER(AF1806),1,0)</f>
        <v>0</v>
      </c>
      <c r="CJ1806" s="62" t="n">
        <f aca="false">N(AF1806)</f>
        <v>0</v>
      </c>
      <c r="CK1806" s="62" t="n">
        <f aca="false">N(M1806)+N(N1806)</f>
        <v>0</v>
      </c>
      <c r="CL1806" s="62" t="n">
        <f aca="false">N(M1806)</f>
        <v>0</v>
      </c>
      <c r="CM1806" s="62" t="n">
        <f aca="false">N(N1806)</f>
        <v>0</v>
      </c>
      <c r="CN1806" s="62" t="n">
        <f aca="false">ROUNDUP(H1806/BZ1806,0)</f>
        <v>0</v>
      </c>
      <c r="CO1806" s="62" t="n">
        <f aca="false">ROUNDUP(CJ1806/BZ1806,0)</f>
        <v>0</v>
      </c>
      <c r="CP1806" s="65" t="n">
        <f aca="false">IF(CA1806=1,0,IFERROR(VLOOKUP(BY1806,'Gebinde-Kategorie'!$A$5:$N$45,5,0)+0,0))</f>
        <v>0</v>
      </c>
      <c r="CQ1806" s="65" t="n">
        <f aca="false">IFERROR(IF(OR(CF1806=1,CF1806=2,CF1806=3),N(INDEX(Parameter!$I$5:$I$7,CF1806)),0),0)</f>
        <v>0</v>
      </c>
      <c r="CR1806" s="64" t="n">
        <f aca="false">IF(AND(Parameter!$B$21="Ja",ISNUMBER(W1806),N(X1806)&gt;0),IFERROR(N(INDEX(Parameter!$L$5:$L$7,W1806))*INDEX(Parameter!$E$5:$E$7,W1806)*X1806/SUMIFS($X$7:$X$1843,$W$7:$W$1843,W1806),0),0)</f>
        <v>0</v>
      </c>
      <c r="CS1806" s="62" t="str">
        <f aca="false">IF(AND(OR(CG1806="L1",CG1806="L23",CG1806="LIFT"),H1806&gt;0),CC1806*IF(CR1806&gt;0,CR1806*MAX(1,H1806/X1806),IF(CA1806=1,CE1806,IF(R1806&gt;0,CN1806/R1806,0))/MAX(0.1,N(Parameter!$M$21))),"")</f>
        <v/>
      </c>
      <c r="CT1806" s="64" t="str">
        <f aca="false">IF(CS1806="","",J1806/H1806)</f>
        <v/>
      </c>
      <c r="CU1806" s="62" t="str">
        <f aca="false">IF(CS1806="","",H1806*G1806)</f>
        <v/>
      </c>
      <c r="CV1806" s="63" t="str">
        <f aca="false">IF(CS1806="","",(CL1806+ROUNDUP(CL1806+MAX(CM1806,2*(J1806/MAX(0.1,N(Einkauf!$C$6))-CL1806)),0))/2)</f>
        <v/>
      </c>
      <c r="CW1806" s="62" t="str">
        <f aca="false">IF(CS1806="","",MAX(0,H1806-CV1806)*G1806)</f>
        <v/>
      </c>
      <c r="CX1806" s="62" t="str">
        <f aca="false">IF(CS1806="","",CS1806*MAX(0,1-CV1806/H1806))</f>
        <v/>
      </c>
      <c r="CY1806" s="64" t="str">
        <f aca="false">IF(CS1806="","",PERCENTRANK($CS$7:$CS$1843,CS1806)+PERCENTRANK($CU$7:$CU$1843,CU1806)+1-PERCENTRANK($CT$7:$CT$1843,CT1806))</f>
        <v/>
      </c>
      <c r="CZ1806" s="72" t="str">
        <f aca="false">IF(CS1806="","",CHOOSE(MATCH(Einkauf!$C$5,Parameter!$G$23:$G$27,0),CY1806,CS1806,CU1806,-CT1806,CW1806)+ROW()/1000000000)</f>
        <v/>
      </c>
    </row>
    <row r="1807" customFormat="false" ht="15" hidden="false" customHeight="false" outlineLevel="0" collapsed="false">
      <c r="A1807" s="60" t="str">
        <f aca="false">IF('Neue Artikel'!$A$68="","",'Neue Artikel'!$A$68&amp;"")</f>
        <v/>
      </c>
      <c r="B1807" s="60" t="str">
        <f aca="false">'Neue Artikel'!$B$68&amp;""</f>
        <v/>
      </c>
      <c r="C1807" s="60"/>
      <c r="D1807" s="60" t="s">
        <v>3057</v>
      </c>
      <c r="E1807" s="60"/>
      <c r="F1807" s="60"/>
      <c r="G1807" s="61" t="n">
        <f aca="false">N('Neue Artikel'!$G$68)</f>
        <v>0</v>
      </c>
      <c r="H1807" s="62" t="n">
        <f aca="false">MAX(0,IF(AND(Parameter!$B$21="Ja",ISNUMBER(Y1807)),Y1807,IF(Parameter!$B$20="Jahresanfang 2025 + Export",BS1807+BR1807,BR1807)))</f>
        <v>0</v>
      </c>
      <c r="I1807" s="62" t="n">
        <f aca="false">H1807*G1807</f>
        <v>0</v>
      </c>
      <c r="J1807" s="62" t="n">
        <f aca="false">BU1807*Parameter!$B$18</f>
        <v>0</v>
      </c>
      <c r="K1807" s="63"/>
      <c r="L1807" s="64"/>
      <c r="M1807" s="62" t="n">
        <f aca="false">N('Neue Artikel'!$E$68)</f>
        <v>0</v>
      </c>
      <c r="N1807" s="62" t="n">
        <f aca="false">N('Neue Artikel'!$F$68)</f>
        <v>0</v>
      </c>
      <c r="O1807" s="65"/>
      <c r="P1807" s="60" t="str">
        <f aca="false">IF('Neue Artikel'!$H$68="","LOSE",UPPER(TRIM('Neue Artikel'!$H$68)))</f>
        <v>LOSE</v>
      </c>
      <c r="Q1807" s="62" t="n">
        <f aca="false">N('Neue Artikel'!$I$68)</f>
        <v>0</v>
      </c>
      <c r="R1807" s="65" t="n">
        <f aca="false">IF(CA1807=1,0,IFERROR(VLOOKUP(BY1807,'Gebinde-Kategorie'!$A$5:$N$45,13,0)+0,0))</f>
        <v>0</v>
      </c>
      <c r="S1807" s="66"/>
      <c r="T1807" s="67"/>
      <c r="U1807" s="67"/>
      <c r="V1807" s="67"/>
      <c r="W1807" s="60"/>
      <c r="X1807" s="62"/>
      <c r="Y1807" s="62"/>
      <c r="Z1807" s="60"/>
      <c r="AA1807" s="60" t="str">
        <f aca="false">IF(A1807="","",IF(AND(Parameter!$B$21="Ja",ISNUMBER(W1807)),W1807,IF(AND(Parameter!$E$27="Ja",ISNUMBER(Z1807),CD1807&lt;&gt;"Nein"),Z1807,IF(CD1807="2+3",IF(ISNUMBER(SEARCH("grosser Artikel",BV1807)),2,IFERROR(VLOOKUP(BY1807,Parameter!$F$35:$G$64,2,0),2)),IF(OR(CD1807="Nein",CD1807=""),"-",CD1807)))))</f>
        <v/>
      </c>
      <c r="AB1807" s="60" t="str">
        <f aca="false">IF('Neue Artikel'!$J$68="","",'Neue Artikel'!$J$68)</f>
        <v/>
      </c>
      <c r="AC1807" s="68"/>
      <c r="AD1807" s="62" t="n">
        <f aca="false">AW1807</f>
        <v>0</v>
      </c>
      <c r="AE1807" s="62" t="n">
        <f aca="false">MAX(AW1807,H1807)</f>
        <v>0</v>
      </c>
      <c r="AF1807" s="69"/>
      <c r="AG1807" s="62" t="n">
        <f aca="false">IF(LEFT(Cockpit!$C$5,1)="A",H1807,IF(Parameter!$E$30="MAX-Bestand",IF(CI1807=1,CJ1807,IF(LEFT(Cockpit!$C$5,1)="B",AM1807,MAX(AM1807,H1807))),ROUNDUP(AK1807,0)))</f>
        <v>0</v>
      </c>
      <c r="AH1807" s="62" t="n">
        <f aca="false">IF(CA1807=1,0,ROUNDUP(AG1807/BZ1807,0))</f>
        <v>0</v>
      </c>
      <c r="AI1807" s="64" t="n">
        <f aca="false">IF(CR1807&gt;0,CR1807*MAX(1,AG1807/X1807),IF(CA1807=1,IF(AG1807&lt;=0,0,CE1807*MAX(1,IF(H1807&gt;0,AG1807/H1807,1))),IF(R1807&gt;0,AH1807/R1807,0))/MAX(0.1,N(Parameter!$M$21)))</f>
        <v>0</v>
      </c>
      <c r="AJ1807" s="62" t="n">
        <f aca="false">AI1807*CC1807</f>
        <v>0</v>
      </c>
      <c r="AK1807" s="63" t="n">
        <f aca="false">IF(LEFT(Cockpit!$C$5,1)="A",H1807,IF(CI1807=1,(CL1807+CJ1807)/2,IF(LEFT(Cockpit!$C$5,1)="B",(CL1807+AM1807)/2,MAX((CL1807+AM1807)/2,H1807))))</f>
        <v>0</v>
      </c>
      <c r="AL1807" s="62" t="n">
        <f aca="false">AK1807*G1807</f>
        <v>0</v>
      </c>
      <c r="AM1807" s="62" t="n">
        <f aca="false">ROUNDUP(CL1807+MAX(CM1807,2*(J1807/IF(CH1807&gt;0,CH1807,MAX(0.1,N(Cockpit!$C$6)))-CL1807)),0)</f>
        <v>0</v>
      </c>
      <c r="AN1807" s="63" t="n">
        <f aca="false">IF(AJ1807&gt;0,J1807/AJ1807,-1)</f>
        <v>-1</v>
      </c>
      <c r="AO1807" s="63" t="str">
        <f aca="false">IF(AND(OR(CG1807="L1",CG1807="L23",CG1807="LIFT"),AJ1807&gt;0),SUMIFS($AJ$7:$AJ$1843,$CG$7:$CG$1843,CG1807,$AN$7:$AN$1843,"&gt;"&amp;AN1807)+SUMIFS($AJ$7:$AJ$1843,$CG$7:$CG$1843,CG1807,$AN$7:$AN$1843,AN1807,$BX$7:$BX$1843,"&lt;="&amp;BX1807),"")</f>
        <v/>
      </c>
      <c r="AP1807" s="70" t="n">
        <f aca="false">IF(AO1807="",0,MAX(0,MIN(1,(IF(CG1807="L1",Parameter!$H$5,IF(CG1807="L23",Parameter!$H$6+Parameter!$H$7,Parameter!$H$5+Parameter!$H$6+Parameter!$H$7))-(AO1807-AJ1807))/AJ1807)))</f>
        <v>0</v>
      </c>
      <c r="AQ1807" s="62" t="n">
        <f aca="false">IF(LEFT(Cockpit!$I$5,1)="A",H1807,IF(Parameter!$E$30="MAX-Bestand",IF(CI1807=1,CJ1807,IF(LEFT(Cockpit!$I$5,1)="B",AW1807,MAX(AW1807,H1807))),ROUNDUP(AU1807,0)))</f>
        <v>0</v>
      </c>
      <c r="AR1807" s="62" t="n">
        <f aca="false">IF(CA1807=1,0,ROUNDUP(AQ1807/BZ1807,0))</f>
        <v>0</v>
      </c>
      <c r="AS1807" s="64" t="n">
        <f aca="false">IF(CR1807&gt;0,CR1807*MAX(1,AQ1807/X1807),IF(CA1807=1,IF(AQ1807&lt;=0,0,CE1807*MAX(1,IF(H1807&gt;0,AQ1807/H1807,1))),IF(R1807&gt;0,AR1807/R1807,0))/MAX(0.1,N(Parameter!$M$21)))</f>
        <v>0</v>
      </c>
      <c r="AT1807" s="62" t="n">
        <f aca="false">AS1807*CC1807</f>
        <v>0</v>
      </c>
      <c r="AU1807" s="63" t="n">
        <f aca="false">IF(LEFT(Cockpit!$I$5,1)="A",H1807,IF(CI1807=1,(CL1807+CJ1807)/2,IF(LEFT(Cockpit!$I$5,1)="B",(CL1807+AW1807)/2,MAX((CL1807+AW1807)/2,H1807))))</f>
        <v>0</v>
      </c>
      <c r="AV1807" s="62" t="n">
        <f aca="false">AU1807*G1807</f>
        <v>0</v>
      </c>
      <c r="AW1807" s="62" t="n">
        <f aca="false">ROUNDUP(CL1807+MAX(CM1807,2*(J1807/IF(CH1807&gt;0,CH1807,MAX(0.1,N(Cockpit!$I$6)))-CL1807)),0)</f>
        <v>0</v>
      </c>
      <c r="AX1807" s="63" t="n">
        <f aca="false">IF(AT1807&gt;0,J1807/AT1807,-1)</f>
        <v>-1</v>
      </c>
      <c r="AY1807" s="63" t="str">
        <f aca="false">IF(AND(OR(CG1807="L1",CG1807="L23",CG1807="LIFT"),AT1807&gt;0),SUMIFS($AT$7:$AT$1843,$CG$7:$CG$1843,CG1807,$AX$7:$AX$1843,"&gt;"&amp;AX1807)+SUMIFS($AT$7:$AT$1843,$CG$7:$CG$1843,CG1807,$AX$7:$AX$1843,AX1807,$BX$7:$BX$1843,"&lt;="&amp;BX1807),"")</f>
        <v/>
      </c>
      <c r="AZ1807" s="70" t="n">
        <f aca="false">IF(AY1807="",0,MAX(0,MIN(1,(IF(CG1807="L1",Parameter!$H$5,IF(CG1807="L23",Parameter!$H$6+Parameter!$H$7,Parameter!$H$5+Parameter!$H$6+Parameter!$H$7))-(AY1807-AT1807))/AT1807)))</f>
        <v>0</v>
      </c>
      <c r="BA1807" s="62" t="n">
        <f aca="false">IF(LEFT(Cockpit!$O$5,1)="A",H1807,IF(Parameter!$E$30="MAX-Bestand",IF(CI1807=1,CJ1807,IF(LEFT(Cockpit!$O$5,1)="B",BG1807,MAX(BG1807,H1807))),ROUNDUP(BE1807,0)))</f>
        <v>0</v>
      </c>
      <c r="BB1807" s="62" t="n">
        <f aca="false">IF(CA1807=1,0,ROUNDUP(BA1807/BZ1807,0))</f>
        <v>0</v>
      </c>
      <c r="BC1807" s="64" t="n">
        <f aca="false">IF(CR1807&gt;0,CR1807*MAX(1,BA1807/X1807),IF(CA1807=1,IF(BA1807&lt;=0,0,CE1807*MAX(1,IF(H1807&gt;0,BA1807/H1807,1))),IF(R1807&gt;0,BB1807/R1807,0))/MAX(0.1,N(Parameter!$M$21)))</f>
        <v>0</v>
      </c>
      <c r="BD1807" s="62" t="n">
        <f aca="false">BC1807*CC1807</f>
        <v>0</v>
      </c>
      <c r="BE1807" s="63" t="n">
        <f aca="false">IF(LEFT(Cockpit!$O$5,1)="A",H1807,IF(CI1807=1,(CL1807+CJ1807)/2,IF(LEFT(Cockpit!$O$5,1)="B",(CL1807+BG1807)/2,MAX((CL1807+BG1807)/2,H1807))))</f>
        <v>0</v>
      </c>
      <c r="BF1807" s="62" t="n">
        <f aca="false">BE1807*G1807</f>
        <v>0</v>
      </c>
      <c r="BG1807" s="62" t="n">
        <f aca="false">ROUNDUP(CL1807+MAX(CM1807,2*(J1807/IF(CH1807&gt;0,CH1807,MAX(0.1,N(Cockpit!$O$6)))-CL1807)),0)</f>
        <v>0</v>
      </c>
      <c r="BH1807" s="63" t="n">
        <f aca="false">IF(BD1807&gt;0,J1807/BD1807,-1)</f>
        <v>-1</v>
      </c>
      <c r="BI1807" s="63" t="str">
        <f aca="false">IF(AND(OR(CG1807="L1",CG1807="L23",CG1807="LIFT"),BD1807&gt;0),SUMIFS($BD$7:$BD$1843,$CG$7:$CG$1843,CG1807,$BH$7:$BH$1843,"&gt;"&amp;BH1807)+SUMIFS($BD$7:$BD$1843,$CG$7:$CG$1843,CG1807,$BH$7:$BH$1843,BH1807,$BX$7:$BX$1843,"&lt;="&amp;BX1807),"")</f>
        <v/>
      </c>
      <c r="BJ1807" s="70" t="n">
        <f aca="false">IF(BI1807="",0,MAX(0,MIN(1,(IF(CG1807="L1",Parameter!$H$5,IF(CG1807="L23",Parameter!$H$6+Parameter!$H$7,Parameter!$H$5+Parameter!$H$6+Parameter!$H$7))-(BI1807-BD1807))/BD1807)))</f>
        <v>0</v>
      </c>
      <c r="BK1807" s="60" t="str">
        <f aca="false">IF(AJ1807&lt;=0,"",IF(CG1807="Aussen","Aussenlager",IF(CG1807="-","Nicht im Lift",IF(AP1807&gt;=1,"Lift",IF(AP1807&lt;=0,"Aussenlager","teilweise")))))</f>
        <v/>
      </c>
      <c r="BL1807" s="60" t="str">
        <f aca="false">IF(AT1807&lt;=0,"",IF(CG1807="Aussen","Aussenlager",IF(CG1807="-","Nicht im Lift",IF(AZ1807&gt;=1,"Lift",IF(AZ1807&lt;=0,"Aussenlager","teilweise")))))</f>
        <v/>
      </c>
      <c r="BM1807" s="60" t="str">
        <f aca="false">IF(BD1807&lt;=0,"",IF(CG1807="Aussen","Aussenlager",IF(CG1807="-","Nicht im Lift",IF(BJ1807&gt;=1,"Lift",IF(BJ1807&lt;=0,"Aussenlager","teilweise")))))</f>
        <v/>
      </c>
      <c r="BN1807" s="60" t="str">
        <f aca="false">IF(A1807="","",IF(BW1807=1,"Neu; ","")&amp;IF(AND(BW1807=0,BR1807&lt;0),"negativer Bestand (Export "&amp;BR1807&amp;"); ","")&amp;IF(J1807&lt;=0,"Kein Verbrauch; ","")&amp;IF(CR1807&gt;0,"Lift "&amp;W1807&amp;" lt. Liftbericht (Fach "&amp;X1807&amp;" Stk); ",IF(CB1807=1,"Gebinde geschätzt ("&amp;T1807&amp;"); ",IF(CA1807=1,"Lose – Tablare geschätzt; ","")))&amp;IF(H1807&gt;AW1807,"Überbestand "&amp;ROUND(H1807-AW1807,0)&amp;" Stk / CHF "&amp;ROUND((H1807-AW1807)*G1807,0)&amp;"; ","")&amp;IF(AND(CI1807=1,CJ1807&lt;CK1807),"MAX &lt; MB+LG; ","")&amp;IF(AND(CQ1807&gt;0,CP1807*10&gt;CQ1807),"zu hoch für Tablar; ","")&amp;IF(AND(BW1807=0,OR(CI1807=1,AB1807&lt;&gt;"",U1807&lt;&gt;"",V1807&lt;&gt;"",AC1807&lt;&gt;"")),"manuell übersteuert; ","")&amp;IF(AND(CA1807=0,R1807=0),"Gebinde unbekannt / Stellmass fehlt; ","")&amp;IF(AND(CA1807=0,N(V1807)&lt;=0,N(Q1807)&lt;=0),"Menge pro Gebinde fehlt (Ist = 1 Gebinde); ","")&amp;BV1807)</f>
        <v/>
      </c>
      <c r="BO1807" s="60"/>
      <c r="BP1807" s="60"/>
      <c r="BQ1807" s="67"/>
      <c r="BR1807" s="62" t="n">
        <f aca="false">N('Neue Artikel'!$D$68)</f>
        <v>0</v>
      </c>
      <c r="BS1807" s="62" t="n">
        <v>0</v>
      </c>
      <c r="BT1807" s="61" t="n">
        <v>0</v>
      </c>
      <c r="BU1807" s="62" t="n">
        <f aca="false">N('Neue Artikel'!$C$68)/Parameter!$B$18</f>
        <v>0</v>
      </c>
      <c r="BV1807" s="60"/>
      <c r="BW1807" s="65" t="n">
        <v>1</v>
      </c>
      <c r="BX1807" s="65" t="n">
        <v>1807</v>
      </c>
      <c r="BY1807" s="60" t="str">
        <f aca="false">IF(U1807&lt;&gt;"",UPPER(TRIM(U1807)),IF(CB1807=1,UPPER(VLOOKUP(T1807,Parameter!$I$27:$K$29,2,0)),IF(P1807="","LOSE",P1807)))</f>
        <v>LOSE</v>
      </c>
      <c r="BZ1807" s="62" t="n">
        <f aca="false">IF(BY1807="LOSE",1,IF(N(V1807)&gt;0,V1807,IF(CB1807=1,MAX(1,N(VLOOKUP(T1807,Parameter!$I$27:$K$29,3,0)),H1807,N(N1807)),IF(N(Q1807)&gt;0,Q1807,MAX(1,H1807)))))</f>
        <v>1</v>
      </c>
      <c r="CA1807" s="65" t="n">
        <f aca="false">IF(BY1807="LOSE",1,0)</f>
        <v>1</v>
      </c>
      <c r="CB1807" s="65" t="n">
        <f aca="false">IF(AND(U1807="",OR(P1807="",P1807="LOSE"),T1807&lt;&gt;"",N(S1807)&lt;=0,ISNUMBER(MATCH(T1807,Parameter!$I$27:$I$29,0))),1,0)</f>
        <v>0</v>
      </c>
      <c r="CC1807" s="65" t="n">
        <f aca="false">IF(CR1807&gt;0,INDEX(Parameter!$H$5:$H$7,W1807)/INDEX(Parameter!$E$5:$E$7,W1807),IF(AND(CA1807=0,N(IFERROR(VLOOKUP(BY1807,'Gebinde-Kategorie'!$A$5:$N$45,14,0),0))&gt;0),VLOOKUP(BY1807,'Gebinde-Kategorie'!$A$5:$N$45,14,0)*10+Parameter!$M$23,Parameter!$M$24))</f>
        <v>235</v>
      </c>
      <c r="CD1807" s="60" t="str">
        <f aca="false">IF(AND(Parameter!$B$19="Ja",E1807&lt;&gt;"",ISNUMBER(MATCH(E1807,Parameter!$I$35:$I$52,0))),VLOOKUP(E1807,Parameter!$I$35:$J$52,2,0),IFERROR(VLOOKUP(D1807,Parameter!$A$35:$C$64,2,0),"Nein"))</f>
        <v>2+3</v>
      </c>
      <c r="CE1807" s="64" t="n">
        <f aca="false">IF(CA1807=0,0,IF(N(S1807)&gt;0,S1807,IFERROR(VLOOKUP(D1807,Parameter!$A$35:$C$64,3,0)+0,0)))</f>
        <v>0.15</v>
      </c>
      <c r="CF1807" s="60" t="str">
        <f aca="false">IF(AB1807&lt;&gt;"",AB1807,AA1807)</f>
        <v/>
      </c>
      <c r="CG1807" s="60" t="str">
        <f aca="false">IF(OR(CF1807=1,CF1807=2,CF1807=3),IF(Parameter!$E$27="Ja","LIFT",IF(CF1807=1,"L1","L23")),IF(CF1807="Aussen","Aussen","-"))</f>
        <v>-</v>
      </c>
      <c r="CH1807" s="71" t="n">
        <f aca="false">IF(N(AC1807)&gt;0,AC1807,0)</f>
        <v>0</v>
      </c>
      <c r="CI1807" s="65" t="n">
        <f aca="false">IF(ISNUMBER(AF1807),1,0)</f>
        <v>0</v>
      </c>
      <c r="CJ1807" s="62" t="n">
        <f aca="false">N(AF1807)</f>
        <v>0</v>
      </c>
      <c r="CK1807" s="62" t="n">
        <f aca="false">N(M1807)+N(N1807)</f>
        <v>0</v>
      </c>
      <c r="CL1807" s="62" t="n">
        <f aca="false">N(M1807)</f>
        <v>0</v>
      </c>
      <c r="CM1807" s="62" t="n">
        <f aca="false">N(N1807)</f>
        <v>0</v>
      </c>
      <c r="CN1807" s="62" t="n">
        <f aca="false">ROUNDUP(H1807/BZ1807,0)</f>
        <v>0</v>
      </c>
      <c r="CO1807" s="62" t="n">
        <f aca="false">ROUNDUP(CJ1807/BZ1807,0)</f>
        <v>0</v>
      </c>
      <c r="CP1807" s="65" t="n">
        <f aca="false">IF(CA1807=1,0,IFERROR(VLOOKUP(BY1807,'Gebinde-Kategorie'!$A$5:$N$45,5,0)+0,0))</f>
        <v>0</v>
      </c>
      <c r="CQ1807" s="65" t="n">
        <f aca="false">IFERROR(IF(OR(CF1807=1,CF1807=2,CF1807=3),N(INDEX(Parameter!$I$5:$I$7,CF1807)),0),0)</f>
        <v>0</v>
      </c>
      <c r="CR1807" s="64" t="n">
        <f aca="false">IF(AND(Parameter!$B$21="Ja",ISNUMBER(W1807),N(X1807)&gt;0),IFERROR(N(INDEX(Parameter!$L$5:$L$7,W1807))*INDEX(Parameter!$E$5:$E$7,W1807)*X1807/SUMIFS($X$7:$X$1843,$W$7:$W$1843,W1807),0),0)</f>
        <v>0</v>
      </c>
      <c r="CS1807" s="62" t="str">
        <f aca="false">IF(AND(OR(CG1807="L1",CG1807="L23",CG1807="LIFT"),H1807&gt;0),CC1807*IF(CR1807&gt;0,CR1807*MAX(1,H1807/X1807),IF(CA1807=1,CE1807,IF(R1807&gt;0,CN1807/R1807,0))/MAX(0.1,N(Parameter!$M$21))),"")</f>
        <v/>
      </c>
      <c r="CT1807" s="64" t="str">
        <f aca="false">IF(CS1807="","",J1807/H1807)</f>
        <v/>
      </c>
      <c r="CU1807" s="62" t="str">
        <f aca="false">IF(CS1807="","",H1807*G1807)</f>
        <v/>
      </c>
      <c r="CV1807" s="63" t="str">
        <f aca="false">IF(CS1807="","",(CL1807+ROUNDUP(CL1807+MAX(CM1807,2*(J1807/MAX(0.1,N(Einkauf!$C$6))-CL1807)),0))/2)</f>
        <v/>
      </c>
      <c r="CW1807" s="62" t="str">
        <f aca="false">IF(CS1807="","",MAX(0,H1807-CV1807)*G1807)</f>
        <v/>
      </c>
      <c r="CX1807" s="62" t="str">
        <f aca="false">IF(CS1807="","",CS1807*MAX(0,1-CV1807/H1807))</f>
        <v/>
      </c>
      <c r="CY1807" s="64" t="str">
        <f aca="false">IF(CS1807="","",PERCENTRANK($CS$7:$CS$1843,CS1807)+PERCENTRANK($CU$7:$CU$1843,CU1807)+1-PERCENTRANK($CT$7:$CT$1843,CT1807))</f>
        <v/>
      </c>
      <c r="CZ1807" s="72" t="str">
        <f aca="false">IF(CS1807="","",CHOOSE(MATCH(Einkauf!$C$5,Parameter!$G$23:$G$27,0),CY1807,CS1807,CU1807,-CT1807,CW1807)+ROW()/1000000000)</f>
        <v/>
      </c>
    </row>
    <row r="1808" customFormat="false" ht="15" hidden="false" customHeight="false" outlineLevel="0" collapsed="false">
      <c r="A1808" s="60" t="str">
        <f aca="false">IF('Neue Artikel'!$A$69="","",'Neue Artikel'!$A$69&amp;"")</f>
        <v/>
      </c>
      <c r="B1808" s="60" t="str">
        <f aca="false">'Neue Artikel'!$B$69&amp;""</f>
        <v/>
      </c>
      <c r="C1808" s="60"/>
      <c r="D1808" s="60" t="s">
        <v>3057</v>
      </c>
      <c r="E1808" s="60"/>
      <c r="F1808" s="60"/>
      <c r="G1808" s="61" t="n">
        <f aca="false">N('Neue Artikel'!$G$69)</f>
        <v>0</v>
      </c>
      <c r="H1808" s="62" t="n">
        <f aca="false">MAX(0,IF(AND(Parameter!$B$21="Ja",ISNUMBER(Y1808)),Y1808,IF(Parameter!$B$20="Jahresanfang 2025 + Export",BS1808+BR1808,BR1808)))</f>
        <v>0</v>
      </c>
      <c r="I1808" s="62" t="n">
        <f aca="false">H1808*G1808</f>
        <v>0</v>
      </c>
      <c r="J1808" s="62" t="n">
        <f aca="false">BU1808*Parameter!$B$18</f>
        <v>0</v>
      </c>
      <c r="K1808" s="63"/>
      <c r="L1808" s="64"/>
      <c r="M1808" s="62" t="n">
        <f aca="false">N('Neue Artikel'!$E$69)</f>
        <v>0</v>
      </c>
      <c r="N1808" s="62" t="n">
        <f aca="false">N('Neue Artikel'!$F$69)</f>
        <v>0</v>
      </c>
      <c r="O1808" s="65"/>
      <c r="P1808" s="60" t="str">
        <f aca="false">IF('Neue Artikel'!$H$69="","LOSE",UPPER(TRIM('Neue Artikel'!$H$69)))</f>
        <v>LOSE</v>
      </c>
      <c r="Q1808" s="62" t="n">
        <f aca="false">N('Neue Artikel'!$I$69)</f>
        <v>0</v>
      </c>
      <c r="R1808" s="65" t="n">
        <f aca="false">IF(CA1808=1,0,IFERROR(VLOOKUP(BY1808,'Gebinde-Kategorie'!$A$5:$N$45,13,0)+0,0))</f>
        <v>0</v>
      </c>
      <c r="S1808" s="66"/>
      <c r="T1808" s="67"/>
      <c r="U1808" s="67"/>
      <c r="V1808" s="67"/>
      <c r="W1808" s="60"/>
      <c r="X1808" s="62"/>
      <c r="Y1808" s="62"/>
      <c r="Z1808" s="60"/>
      <c r="AA1808" s="60" t="str">
        <f aca="false">IF(A1808="","",IF(AND(Parameter!$B$21="Ja",ISNUMBER(W1808)),W1808,IF(AND(Parameter!$E$27="Ja",ISNUMBER(Z1808),CD1808&lt;&gt;"Nein"),Z1808,IF(CD1808="2+3",IF(ISNUMBER(SEARCH("grosser Artikel",BV1808)),2,IFERROR(VLOOKUP(BY1808,Parameter!$F$35:$G$64,2,0),2)),IF(OR(CD1808="Nein",CD1808=""),"-",CD1808)))))</f>
        <v/>
      </c>
      <c r="AB1808" s="60" t="str">
        <f aca="false">IF('Neue Artikel'!$J$69="","",'Neue Artikel'!$J$69)</f>
        <v/>
      </c>
      <c r="AC1808" s="68"/>
      <c r="AD1808" s="62" t="n">
        <f aca="false">AW1808</f>
        <v>0</v>
      </c>
      <c r="AE1808" s="62" t="n">
        <f aca="false">MAX(AW1808,H1808)</f>
        <v>0</v>
      </c>
      <c r="AF1808" s="69"/>
      <c r="AG1808" s="62" t="n">
        <f aca="false">IF(LEFT(Cockpit!$C$5,1)="A",H1808,IF(Parameter!$E$30="MAX-Bestand",IF(CI1808=1,CJ1808,IF(LEFT(Cockpit!$C$5,1)="B",AM1808,MAX(AM1808,H1808))),ROUNDUP(AK1808,0)))</f>
        <v>0</v>
      </c>
      <c r="AH1808" s="62" t="n">
        <f aca="false">IF(CA1808=1,0,ROUNDUP(AG1808/BZ1808,0))</f>
        <v>0</v>
      </c>
      <c r="AI1808" s="64" t="n">
        <f aca="false">IF(CR1808&gt;0,CR1808*MAX(1,AG1808/X1808),IF(CA1808=1,IF(AG1808&lt;=0,0,CE1808*MAX(1,IF(H1808&gt;0,AG1808/H1808,1))),IF(R1808&gt;0,AH1808/R1808,0))/MAX(0.1,N(Parameter!$M$21)))</f>
        <v>0</v>
      </c>
      <c r="AJ1808" s="62" t="n">
        <f aca="false">AI1808*CC1808</f>
        <v>0</v>
      </c>
      <c r="AK1808" s="63" t="n">
        <f aca="false">IF(LEFT(Cockpit!$C$5,1)="A",H1808,IF(CI1808=1,(CL1808+CJ1808)/2,IF(LEFT(Cockpit!$C$5,1)="B",(CL1808+AM1808)/2,MAX((CL1808+AM1808)/2,H1808))))</f>
        <v>0</v>
      </c>
      <c r="AL1808" s="62" t="n">
        <f aca="false">AK1808*G1808</f>
        <v>0</v>
      </c>
      <c r="AM1808" s="62" t="n">
        <f aca="false">ROUNDUP(CL1808+MAX(CM1808,2*(J1808/IF(CH1808&gt;0,CH1808,MAX(0.1,N(Cockpit!$C$6)))-CL1808)),0)</f>
        <v>0</v>
      </c>
      <c r="AN1808" s="63" t="n">
        <f aca="false">IF(AJ1808&gt;0,J1808/AJ1808,-1)</f>
        <v>-1</v>
      </c>
      <c r="AO1808" s="63" t="str">
        <f aca="false">IF(AND(OR(CG1808="L1",CG1808="L23",CG1808="LIFT"),AJ1808&gt;0),SUMIFS($AJ$7:$AJ$1843,$CG$7:$CG$1843,CG1808,$AN$7:$AN$1843,"&gt;"&amp;AN1808)+SUMIFS($AJ$7:$AJ$1843,$CG$7:$CG$1843,CG1808,$AN$7:$AN$1843,AN1808,$BX$7:$BX$1843,"&lt;="&amp;BX1808),"")</f>
        <v/>
      </c>
      <c r="AP1808" s="70" t="n">
        <f aca="false">IF(AO1808="",0,MAX(0,MIN(1,(IF(CG1808="L1",Parameter!$H$5,IF(CG1808="L23",Parameter!$H$6+Parameter!$H$7,Parameter!$H$5+Parameter!$H$6+Parameter!$H$7))-(AO1808-AJ1808))/AJ1808)))</f>
        <v>0</v>
      </c>
      <c r="AQ1808" s="62" t="n">
        <f aca="false">IF(LEFT(Cockpit!$I$5,1)="A",H1808,IF(Parameter!$E$30="MAX-Bestand",IF(CI1808=1,CJ1808,IF(LEFT(Cockpit!$I$5,1)="B",AW1808,MAX(AW1808,H1808))),ROUNDUP(AU1808,0)))</f>
        <v>0</v>
      </c>
      <c r="AR1808" s="62" t="n">
        <f aca="false">IF(CA1808=1,0,ROUNDUP(AQ1808/BZ1808,0))</f>
        <v>0</v>
      </c>
      <c r="AS1808" s="64" t="n">
        <f aca="false">IF(CR1808&gt;0,CR1808*MAX(1,AQ1808/X1808),IF(CA1808=1,IF(AQ1808&lt;=0,0,CE1808*MAX(1,IF(H1808&gt;0,AQ1808/H1808,1))),IF(R1808&gt;0,AR1808/R1808,0))/MAX(0.1,N(Parameter!$M$21)))</f>
        <v>0</v>
      </c>
      <c r="AT1808" s="62" t="n">
        <f aca="false">AS1808*CC1808</f>
        <v>0</v>
      </c>
      <c r="AU1808" s="63" t="n">
        <f aca="false">IF(LEFT(Cockpit!$I$5,1)="A",H1808,IF(CI1808=1,(CL1808+CJ1808)/2,IF(LEFT(Cockpit!$I$5,1)="B",(CL1808+AW1808)/2,MAX((CL1808+AW1808)/2,H1808))))</f>
        <v>0</v>
      </c>
      <c r="AV1808" s="62" t="n">
        <f aca="false">AU1808*G1808</f>
        <v>0</v>
      </c>
      <c r="AW1808" s="62" t="n">
        <f aca="false">ROUNDUP(CL1808+MAX(CM1808,2*(J1808/IF(CH1808&gt;0,CH1808,MAX(0.1,N(Cockpit!$I$6)))-CL1808)),0)</f>
        <v>0</v>
      </c>
      <c r="AX1808" s="63" t="n">
        <f aca="false">IF(AT1808&gt;0,J1808/AT1808,-1)</f>
        <v>-1</v>
      </c>
      <c r="AY1808" s="63" t="str">
        <f aca="false">IF(AND(OR(CG1808="L1",CG1808="L23",CG1808="LIFT"),AT1808&gt;0),SUMIFS($AT$7:$AT$1843,$CG$7:$CG$1843,CG1808,$AX$7:$AX$1843,"&gt;"&amp;AX1808)+SUMIFS($AT$7:$AT$1843,$CG$7:$CG$1843,CG1808,$AX$7:$AX$1843,AX1808,$BX$7:$BX$1843,"&lt;="&amp;BX1808),"")</f>
        <v/>
      </c>
      <c r="AZ1808" s="70" t="n">
        <f aca="false">IF(AY1808="",0,MAX(0,MIN(1,(IF(CG1808="L1",Parameter!$H$5,IF(CG1808="L23",Parameter!$H$6+Parameter!$H$7,Parameter!$H$5+Parameter!$H$6+Parameter!$H$7))-(AY1808-AT1808))/AT1808)))</f>
        <v>0</v>
      </c>
      <c r="BA1808" s="62" t="n">
        <f aca="false">IF(LEFT(Cockpit!$O$5,1)="A",H1808,IF(Parameter!$E$30="MAX-Bestand",IF(CI1808=1,CJ1808,IF(LEFT(Cockpit!$O$5,1)="B",BG1808,MAX(BG1808,H1808))),ROUNDUP(BE1808,0)))</f>
        <v>0</v>
      </c>
      <c r="BB1808" s="62" t="n">
        <f aca="false">IF(CA1808=1,0,ROUNDUP(BA1808/BZ1808,0))</f>
        <v>0</v>
      </c>
      <c r="BC1808" s="64" t="n">
        <f aca="false">IF(CR1808&gt;0,CR1808*MAX(1,BA1808/X1808),IF(CA1808=1,IF(BA1808&lt;=0,0,CE1808*MAX(1,IF(H1808&gt;0,BA1808/H1808,1))),IF(R1808&gt;0,BB1808/R1808,0))/MAX(0.1,N(Parameter!$M$21)))</f>
        <v>0</v>
      </c>
      <c r="BD1808" s="62" t="n">
        <f aca="false">BC1808*CC1808</f>
        <v>0</v>
      </c>
      <c r="BE1808" s="63" t="n">
        <f aca="false">IF(LEFT(Cockpit!$O$5,1)="A",H1808,IF(CI1808=1,(CL1808+CJ1808)/2,IF(LEFT(Cockpit!$O$5,1)="B",(CL1808+BG1808)/2,MAX((CL1808+BG1808)/2,H1808))))</f>
        <v>0</v>
      </c>
      <c r="BF1808" s="62" t="n">
        <f aca="false">BE1808*G1808</f>
        <v>0</v>
      </c>
      <c r="BG1808" s="62" t="n">
        <f aca="false">ROUNDUP(CL1808+MAX(CM1808,2*(J1808/IF(CH1808&gt;0,CH1808,MAX(0.1,N(Cockpit!$O$6)))-CL1808)),0)</f>
        <v>0</v>
      </c>
      <c r="BH1808" s="63" t="n">
        <f aca="false">IF(BD1808&gt;0,J1808/BD1808,-1)</f>
        <v>-1</v>
      </c>
      <c r="BI1808" s="63" t="str">
        <f aca="false">IF(AND(OR(CG1808="L1",CG1808="L23",CG1808="LIFT"),BD1808&gt;0),SUMIFS($BD$7:$BD$1843,$CG$7:$CG$1843,CG1808,$BH$7:$BH$1843,"&gt;"&amp;BH1808)+SUMIFS($BD$7:$BD$1843,$CG$7:$CG$1843,CG1808,$BH$7:$BH$1843,BH1808,$BX$7:$BX$1843,"&lt;="&amp;BX1808),"")</f>
        <v/>
      </c>
      <c r="BJ1808" s="70" t="n">
        <f aca="false">IF(BI1808="",0,MAX(0,MIN(1,(IF(CG1808="L1",Parameter!$H$5,IF(CG1808="L23",Parameter!$H$6+Parameter!$H$7,Parameter!$H$5+Parameter!$H$6+Parameter!$H$7))-(BI1808-BD1808))/BD1808)))</f>
        <v>0</v>
      </c>
      <c r="BK1808" s="60" t="str">
        <f aca="false">IF(AJ1808&lt;=0,"",IF(CG1808="Aussen","Aussenlager",IF(CG1808="-","Nicht im Lift",IF(AP1808&gt;=1,"Lift",IF(AP1808&lt;=0,"Aussenlager","teilweise")))))</f>
        <v/>
      </c>
      <c r="BL1808" s="60" t="str">
        <f aca="false">IF(AT1808&lt;=0,"",IF(CG1808="Aussen","Aussenlager",IF(CG1808="-","Nicht im Lift",IF(AZ1808&gt;=1,"Lift",IF(AZ1808&lt;=0,"Aussenlager","teilweise")))))</f>
        <v/>
      </c>
      <c r="BM1808" s="60" t="str">
        <f aca="false">IF(BD1808&lt;=0,"",IF(CG1808="Aussen","Aussenlager",IF(CG1808="-","Nicht im Lift",IF(BJ1808&gt;=1,"Lift",IF(BJ1808&lt;=0,"Aussenlager","teilweise")))))</f>
        <v/>
      </c>
      <c r="BN1808" s="60" t="str">
        <f aca="false">IF(A1808="","",IF(BW1808=1,"Neu; ","")&amp;IF(AND(BW1808=0,BR1808&lt;0),"negativer Bestand (Export "&amp;BR1808&amp;"); ","")&amp;IF(J1808&lt;=0,"Kein Verbrauch; ","")&amp;IF(CR1808&gt;0,"Lift "&amp;W1808&amp;" lt. Liftbericht (Fach "&amp;X1808&amp;" Stk); ",IF(CB1808=1,"Gebinde geschätzt ("&amp;T1808&amp;"); ",IF(CA1808=1,"Lose – Tablare geschätzt; ","")))&amp;IF(H1808&gt;AW1808,"Überbestand "&amp;ROUND(H1808-AW1808,0)&amp;" Stk / CHF "&amp;ROUND((H1808-AW1808)*G1808,0)&amp;"; ","")&amp;IF(AND(CI1808=1,CJ1808&lt;CK1808),"MAX &lt; MB+LG; ","")&amp;IF(AND(CQ1808&gt;0,CP1808*10&gt;CQ1808),"zu hoch für Tablar; ","")&amp;IF(AND(BW1808=0,OR(CI1808=1,AB1808&lt;&gt;"",U1808&lt;&gt;"",V1808&lt;&gt;"",AC1808&lt;&gt;"")),"manuell übersteuert; ","")&amp;IF(AND(CA1808=0,R1808=0),"Gebinde unbekannt / Stellmass fehlt; ","")&amp;IF(AND(CA1808=0,N(V1808)&lt;=0,N(Q1808)&lt;=0),"Menge pro Gebinde fehlt (Ist = 1 Gebinde); ","")&amp;BV1808)</f>
        <v/>
      </c>
      <c r="BO1808" s="60"/>
      <c r="BP1808" s="60"/>
      <c r="BQ1808" s="67"/>
      <c r="BR1808" s="62" t="n">
        <f aca="false">N('Neue Artikel'!$D$69)</f>
        <v>0</v>
      </c>
      <c r="BS1808" s="62" t="n">
        <v>0</v>
      </c>
      <c r="BT1808" s="61" t="n">
        <v>0</v>
      </c>
      <c r="BU1808" s="62" t="n">
        <f aca="false">N('Neue Artikel'!$C$69)/Parameter!$B$18</f>
        <v>0</v>
      </c>
      <c r="BV1808" s="60"/>
      <c r="BW1808" s="65" t="n">
        <v>1</v>
      </c>
      <c r="BX1808" s="65" t="n">
        <v>1808</v>
      </c>
      <c r="BY1808" s="60" t="str">
        <f aca="false">IF(U1808&lt;&gt;"",UPPER(TRIM(U1808)),IF(CB1808=1,UPPER(VLOOKUP(T1808,Parameter!$I$27:$K$29,2,0)),IF(P1808="","LOSE",P1808)))</f>
        <v>LOSE</v>
      </c>
      <c r="BZ1808" s="62" t="n">
        <f aca="false">IF(BY1808="LOSE",1,IF(N(V1808)&gt;0,V1808,IF(CB1808=1,MAX(1,N(VLOOKUP(T1808,Parameter!$I$27:$K$29,3,0)),H1808,N(N1808)),IF(N(Q1808)&gt;0,Q1808,MAX(1,H1808)))))</f>
        <v>1</v>
      </c>
      <c r="CA1808" s="65" t="n">
        <f aca="false">IF(BY1808="LOSE",1,0)</f>
        <v>1</v>
      </c>
      <c r="CB1808" s="65" t="n">
        <f aca="false">IF(AND(U1808="",OR(P1808="",P1808="LOSE"),T1808&lt;&gt;"",N(S1808)&lt;=0,ISNUMBER(MATCH(T1808,Parameter!$I$27:$I$29,0))),1,0)</f>
        <v>0</v>
      </c>
      <c r="CC1808" s="65" t="n">
        <f aca="false">IF(CR1808&gt;0,INDEX(Parameter!$H$5:$H$7,W1808)/INDEX(Parameter!$E$5:$E$7,W1808),IF(AND(CA1808=0,N(IFERROR(VLOOKUP(BY1808,'Gebinde-Kategorie'!$A$5:$N$45,14,0),0))&gt;0),VLOOKUP(BY1808,'Gebinde-Kategorie'!$A$5:$N$45,14,0)*10+Parameter!$M$23,Parameter!$M$24))</f>
        <v>235</v>
      </c>
      <c r="CD1808" s="60" t="str">
        <f aca="false">IF(AND(Parameter!$B$19="Ja",E1808&lt;&gt;"",ISNUMBER(MATCH(E1808,Parameter!$I$35:$I$52,0))),VLOOKUP(E1808,Parameter!$I$35:$J$52,2,0),IFERROR(VLOOKUP(D1808,Parameter!$A$35:$C$64,2,0),"Nein"))</f>
        <v>2+3</v>
      </c>
      <c r="CE1808" s="64" t="n">
        <f aca="false">IF(CA1808=0,0,IF(N(S1808)&gt;0,S1808,IFERROR(VLOOKUP(D1808,Parameter!$A$35:$C$64,3,0)+0,0)))</f>
        <v>0.15</v>
      </c>
      <c r="CF1808" s="60" t="str">
        <f aca="false">IF(AB1808&lt;&gt;"",AB1808,AA1808)</f>
        <v/>
      </c>
      <c r="CG1808" s="60" t="str">
        <f aca="false">IF(OR(CF1808=1,CF1808=2,CF1808=3),IF(Parameter!$E$27="Ja","LIFT",IF(CF1808=1,"L1","L23")),IF(CF1808="Aussen","Aussen","-"))</f>
        <v>-</v>
      </c>
      <c r="CH1808" s="71" t="n">
        <f aca="false">IF(N(AC1808)&gt;0,AC1808,0)</f>
        <v>0</v>
      </c>
      <c r="CI1808" s="65" t="n">
        <f aca="false">IF(ISNUMBER(AF1808),1,0)</f>
        <v>0</v>
      </c>
      <c r="CJ1808" s="62" t="n">
        <f aca="false">N(AF1808)</f>
        <v>0</v>
      </c>
      <c r="CK1808" s="62" t="n">
        <f aca="false">N(M1808)+N(N1808)</f>
        <v>0</v>
      </c>
      <c r="CL1808" s="62" t="n">
        <f aca="false">N(M1808)</f>
        <v>0</v>
      </c>
      <c r="CM1808" s="62" t="n">
        <f aca="false">N(N1808)</f>
        <v>0</v>
      </c>
      <c r="CN1808" s="62" t="n">
        <f aca="false">ROUNDUP(H1808/BZ1808,0)</f>
        <v>0</v>
      </c>
      <c r="CO1808" s="62" t="n">
        <f aca="false">ROUNDUP(CJ1808/BZ1808,0)</f>
        <v>0</v>
      </c>
      <c r="CP1808" s="65" t="n">
        <f aca="false">IF(CA1808=1,0,IFERROR(VLOOKUP(BY1808,'Gebinde-Kategorie'!$A$5:$N$45,5,0)+0,0))</f>
        <v>0</v>
      </c>
      <c r="CQ1808" s="65" t="n">
        <f aca="false">IFERROR(IF(OR(CF1808=1,CF1808=2,CF1808=3),N(INDEX(Parameter!$I$5:$I$7,CF1808)),0),0)</f>
        <v>0</v>
      </c>
      <c r="CR1808" s="64" t="n">
        <f aca="false">IF(AND(Parameter!$B$21="Ja",ISNUMBER(W1808),N(X1808)&gt;0),IFERROR(N(INDEX(Parameter!$L$5:$L$7,W1808))*INDEX(Parameter!$E$5:$E$7,W1808)*X1808/SUMIFS($X$7:$X$1843,$W$7:$W$1843,W1808),0),0)</f>
        <v>0</v>
      </c>
      <c r="CS1808" s="62" t="str">
        <f aca="false">IF(AND(OR(CG1808="L1",CG1808="L23",CG1808="LIFT"),H1808&gt;0),CC1808*IF(CR1808&gt;0,CR1808*MAX(1,H1808/X1808),IF(CA1808=1,CE1808,IF(R1808&gt;0,CN1808/R1808,0))/MAX(0.1,N(Parameter!$M$21))),"")</f>
        <v/>
      </c>
      <c r="CT1808" s="64" t="str">
        <f aca="false">IF(CS1808="","",J1808/H1808)</f>
        <v/>
      </c>
      <c r="CU1808" s="62" t="str">
        <f aca="false">IF(CS1808="","",H1808*G1808)</f>
        <v/>
      </c>
      <c r="CV1808" s="63" t="str">
        <f aca="false">IF(CS1808="","",(CL1808+ROUNDUP(CL1808+MAX(CM1808,2*(J1808/MAX(0.1,N(Einkauf!$C$6))-CL1808)),0))/2)</f>
        <v/>
      </c>
      <c r="CW1808" s="62" t="str">
        <f aca="false">IF(CS1808="","",MAX(0,H1808-CV1808)*G1808)</f>
        <v/>
      </c>
      <c r="CX1808" s="62" t="str">
        <f aca="false">IF(CS1808="","",CS1808*MAX(0,1-CV1808/H1808))</f>
        <v/>
      </c>
      <c r="CY1808" s="64" t="str">
        <f aca="false">IF(CS1808="","",PERCENTRANK($CS$7:$CS$1843,CS1808)+PERCENTRANK($CU$7:$CU$1843,CU1808)+1-PERCENTRANK($CT$7:$CT$1843,CT1808))</f>
        <v/>
      </c>
      <c r="CZ1808" s="72" t="str">
        <f aca="false">IF(CS1808="","",CHOOSE(MATCH(Einkauf!$C$5,Parameter!$G$23:$G$27,0),CY1808,CS1808,CU1808,-CT1808,CW1808)+ROW()/1000000000)</f>
        <v/>
      </c>
    </row>
    <row r="1809" customFormat="false" ht="15" hidden="false" customHeight="false" outlineLevel="0" collapsed="false">
      <c r="A1809" s="60" t="str">
        <f aca="false">IF('Neue Artikel'!$A$70="","",'Neue Artikel'!$A$70&amp;"")</f>
        <v/>
      </c>
      <c r="B1809" s="60" t="str">
        <f aca="false">'Neue Artikel'!$B$70&amp;""</f>
        <v/>
      </c>
      <c r="C1809" s="60"/>
      <c r="D1809" s="60" t="s">
        <v>3057</v>
      </c>
      <c r="E1809" s="60"/>
      <c r="F1809" s="60"/>
      <c r="G1809" s="61" t="n">
        <f aca="false">N('Neue Artikel'!$G$70)</f>
        <v>0</v>
      </c>
      <c r="H1809" s="62" t="n">
        <f aca="false">MAX(0,IF(AND(Parameter!$B$21="Ja",ISNUMBER(Y1809)),Y1809,IF(Parameter!$B$20="Jahresanfang 2025 + Export",BS1809+BR1809,BR1809)))</f>
        <v>0</v>
      </c>
      <c r="I1809" s="62" t="n">
        <f aca="false">H1809*G1809</f>
        <v>0</v>
      </c>
      <c r="J1809" s="62" t="n">
        <f aca="false">BU1809*Parameter!$B$18</f>
        <v>0</v>
      </c>
      <c r="K1809" s="63"/>
      <c r="L1809" s="64"/>
      <c r="M1809" s="62" t="n">
        <f aca="false">N('Neue Artikel'!$E$70)</f>
        <v>0</v>
      </c>
      <c r="N1809" s="62" t="n">
        <f aca="false">N('Neue Artikel'!$F$70)</f>
        <v>0</v>
      </c>
      <c r="O1809" s="65"/>
      <c r="P1809" s="60" t="str">
        <f aca="false">IF('Neue Artikel'!$H$70="","LOSE",UPPER(TRIM('Neue Artikel'!$H$70)))</f>
        <v>LOSE</v>
      </c>
      <c r="Q1809" s="62" t="n">
        <f aca="false">N('Neue Artikel'!$I$70)</f>
        <v>0</v>
      </c>
      <c r="R1809" s="65" t="n">
        <f aca="false">IF(CA1809=1,0,IFERROR(VLOOKUP(BY1809,'Gebinde-Kategorie'!$A$5:$N$45,13,0)+0,0))</f>
        <v>0</v>
      </c>
      <c r="S1809" s="66"/>
      <c r="T1809" s="67"/>
      <c r="U1809" s="67"/>
      <c r="V1809" s="67"/>
      <c r="W1809" s="60"/>
      <c r="X1809" s="62"/>
      <c r="Y1809" s="62"/>
      <c r="Z1809" s="60"/>
      <c r="AA1809" s="60" t="str">
        <f aca="false">IF(A1809="","",IF(AND(Parameter!$B$21="Ja",ISNUMBER(W1809)),W1809,IF(AND(Parameter!$E$27="Ja",ISNUMBER(Z1809),CD1809&lt;&gt;"Nein"),Z1809,IF(CD1809="2+3",IF(ISNUMBER(SEARCH("grosser Artikel",BV1809)),2,IFERROR(VLOOKUP(BY1809,Parameter!$F$35:$G$64,2,0),2)),IF(OR(CD1809="Nein",CD1809=""),"-",CD1809)))))</f>
        <v/>
      </c>
      <c r="AB1809" s="60" t="str">
        <f aca="false">IF('Neue Artikel'!$J$70="","",'Neue Artikel'!$J$70)</f>
        <v/>
      </c>
      <c r="AC1809" s="68"/>
      <c r="AD1809" s="62" t="n">
        <f aca="false">AW1809</f>
        <v>0</v>
      </c>
      <c r="AE1809" s="62" t="n">
        <f aca="false">MAX(AW1809,H1809)</f>
        <v>0</v>
      </c>
      <c r="AF1809" s="69"/>
      <c r="AG1809" s="62" t="n">
        <f aca="false">IF(LEFT(Cockpit!$C$5,1)="A",H1809,IF(Parameter!$E$30="MAX-Bestand",IF(CI1809=1,CJ1809,IF(LEFT(Cockpit!$C$5,1)="B",AM1809,MAX(AM1809,H1809))),ROUNDUP(AK1809,0)))</f>
        <v>0</v>
      </c>
      <c r="AH1809" s="62" t="n">
        <f aca="false">IF(CA1809=1,0,ROUNDUP(AG1809/BZ1809,0))</f>
        <v>0</v>
      </c>
      <c r="AI1809" s="64" t="n">
        <f aca="false">IF(CR1809&gt;0,CR1809*MAX(1,AG1809/X1809),IF(CA1809=1,IF(AG1809&lt;=0,0,CE1809*MAX(1,IF(H1809&gt;0,AG1809/H1809,1))),IF(R1809&gt;0,AH1809/R1809,0))/MAX(0.1,N(Parameter!$M$21)))</f>
        <v>0</v>
      </c>
      <c r="AJ1809" s="62" t="n">
        <f aca="false">AI1809*CC1809</f>
        <v>0</v>
      </c>
      <c r="AK1809" s="63" t="n">
        <f aca="false">IF(LEFT(Cockpit!$C$5,1)="A",H1809,IF(CI1809=1,(CL1809+CJ1809)/2,IF(LEFT(Cockpit!$C$5,1)="B",(CL1809+AM1809)/2,MAX((CL1809+AM1809)/2,H1809))))</f>
        <v>0</v>
      </c>
      <c r="AL1809" s="62" t="n">
        <f aca="false">AK1809*G1809</f>
        <v>0</v>
      </c>
      <c r="AM1809" s="62" t="n">
        <f aca="false">ROUNDUP(CL1809+MAX(CM1809,2*(J1809/IF(CH1809&gt;0,CH1809,MAX(0.1,N(Cockpit!$C$6)))-CL1809)),0)</f>
        <v>0</v>
      </c>
      <c r="AN1809" s="63" t="n">
        <f aca="false">IF(AJ1809&gt;0,J1809/AJ1809,-1)</f>
        <v>-1</v>
      </c>
      <c r="AO1809" s="63" t="str">
        <f aca="false">IF(AND(OR(CG1809="L1",CG1809="L23",CG1809="LIFT"),AJ1809&gt;0),SUMIFS($AJ$7:$AJ$1843,$CG$7:$CG$1843,CG1809,$AN$7:$AN$1843,"&gt;"&amp;AN1809)+SUMIFS($AJ$7:$AJ$1843,$CG$7:$CG$1843,CG1809,$AN$7:$AN$1843,AN1809,$BX$7:$BX$1843,"&lt;="&amp;BX1809),"")</f>
        <v/>
      </c>
      <c r="AP1809" s="70" t="n">
        <f aca="false">IF(AO1809="",0,MAX(0,MIN(1,(IF(CG1809="L1",Parameter!$H$5,IF(CG1809="L23",Parameter!$H$6+Parameter!$H$7,Parameter!$H$5+Parameter!$H$6+Parameter!$H$7))-(AO1809-AJ1809))/AJ1809)))</f>
        <v>0</v>
      </c>
      <c r="AQ1809" s="62" t="n">
        <f aca="false">IF(LEFT(Cockpit!$I$5,1)="A",H1809,IF(Parameter!$E$30="MAX-Bestand",IF(CI1809=1,CJ1809,IF(LEFT(Cockpit!$I$5,1)="B",AW1809,MAX(AW1809,H1809))),ROUNDUP(AU1809,0)))</f>
        <v>0</v>
      </c>
      <c r="AR1809" s="62" t="n">
        <f aca="false">IF(CA1809=1,0,ROUNDUP(AQ1809/BZ1809,0))</f>
        <v>0</v>
      </c>
      <c r="AS1809" s="64" t="n">
        <f aca="false">IF(CR1809&gt;0,CR1809*MAX(1,AQ1809/X1809),IF(CA1809=1,IF(AQ1809&lt;=0,0,CE1809*MAX(1,IF(H1809&gt;0,AQ1809/H1809,1))),IF(R1809&gt;0,AR1809/R1809,0))/MAX(0.1,N(Parameter!$M$21)))</f>
        <v>0</v>
      </c>
      <c r="AT1809" s="62" t="n">
        <f aca="false">AS1809*CC1809</f>
        <v>0</v>
      </c>
      <c r="AU1809" s="63" t="n">
        <f aca="false">IF(LEFT(Cockpit!$I$5,1)="A",H1809,IF(CI1809=1,(CL1809+CJ1809)/2,IF(LEFT(Cockpit!$I$5,1)="B",(CL1809+AW1809)/2,MAX((CL1809+AW1809)/2,H1809))))</f>
        <v>0</v>
      </c>
      <c r="AV1809" s="62" t="n">
        <f aca="false">AU1809*G1809</f>
        <v>0</v>
      </c>
      <c r="AW1809" s="62" t="n">
        <f aca="false">ROUNDUP(CL1809+MAX(CM1809,2*(J1809/IF(CH1809&gt;0,CH1809,MAX(0.1,N(Cockpit!$I$6)))-CL1809)),0)</f>
        <v>0</v>
      </c>
      <c r="AX1809" s="63" t="n">
        <f aca="false">IF(AT1809&gt;0,J1809/AT1809,-1)</f>
        <v>-1</v>
      </c>
      <c r="AY1809" s="63" t="str">
        <f aca="false">IF(AND(OR(CG1809="L1",CG1809="L23",CG1809="LIFT"),AT1809&gt;0),SUMIFS($AT$7:$AT$1843,$CG$7:$CG$1843,CG1809,$AX$7:$AX$1843,"&gt;"&amp;AX1809)+SUMIFS($AT$7:$AT$1843,$CG$7:$CG$1843,CG1809,$AX$7:$AX$1843,AX1809,$BX$7:$BX$1843,"&lt;="&amp;BX1809),"")</f>
        <v/>
      </c>
      <c r="AZ1809" s="70" t="n">
        <f aca="false">IF(AY1809="",0,MAX(0,MIN(1,(IF(CG1809="L1",Parameter!$H$5,IF(CG1809="L23",Parameter!$H$6+Parameter!$H$7,Parameter!$H$5+Parameter!$H$6+Parameter!$H$7))-(AY1809-AT1809))/AT1809)))</f>
        <v>0</v>
      </c>
      <c r="BA1809" s="62" t="n">
        <f aca="false">IF(LEFT(Cockpit!$O$5,1)="A",H1809,IF(Parameter!$E$30="MAX-Bestand",IF(CI1809=1,CJ1809,IF(LEFT(Cockpit!$O$5,1)="B",BG1809,MAX(BG1809,H1809))),ROUNDUP(BE1809,0)))</f>
        <v>0</v>
      </c>
      <c r="BB1809" s="62" t="n">
        <f aca="false">IF(CA1809=1,0,ROUNDUP(BA1809/BZ1809,0))</f>
        <v>0</v>
      </c>
      <c r="BC1809" s="64" t="n">
        <f aca="false">IF(CR1809&gt;0,CR1809*MAX(1,BA1809/X1809),IF(CA1809=1,IF(BA1809&lt;=0,0,CE1809*MAX(1,IF(H1809&gt;0,BA1809/H1809,1))),IF(R1809&gt;0,BB1809/R1809,0))/MAX(0.1,N(Parameter!$M$21)))</f>
        <v>0</v>
      </c>
      <c r="BD1809" s="62" t="n">
        <f aca="false">BC1809*CC1809</f>
        <v>0</v>
      </c>
      <c r="BE1809" s="63" t="n">
        <f aca="false">IF(LEFT(Cockpit!$O$5,1)="A",H1809,IF(CI1809=1,(CL1809+CJ1809)/2,IF(LEFT(Cockpit!$O$5,1)="B",(CL1809+BG1809)/2,MAX((CL1809+BG1809)/2,H1809))))</f>
        <v>0</v>
      </c>
      <c r="BF1809" s="62" t="n">
        <f aca="false">BE1809*G1809</f>
        <v>0</v>
      </c>
      <c r="BG1809" s="62" t="n">
        <f aca="false">ROUNDUP(CL1809+MAX(CM1809,2*(J1809/IF(CH1809&gt;0,CH1809,MAX(0.1,N(Cockpit!$O$6)))-CL1809)),0)</f>
        <v>0</v>
      </c>
      <c r="BH1809" s="63" t="n">
        <f aca="false">IF(BD1809&gt;0,J1809/BD1809,-1)</f>
        <v>-1</v>
      </c>
      <c r="BI1809" s="63" t="str">
        <f aca="false">IF(AND(OR(CG1809="L1",CG1809="L23",CG1809="LIFT"),BD1809&gt;0),SUMIFS($BD$7:$BD$1843,$CG$7:$CG$1843,CG1809,$BH$7:$BH$1843,"&gt;"&amp;BH1809)+SUMIFS($BD$7:$BD$1843,$CG$7:$CG$1843,CG1809,$BH$7:$BH$1843,BH1809,$BX$7:$BX$1843,"&lt;="&amp;BX1809),"")</f>
        <v/>
      </c>
      <c r="BJ1809" s="70" t="n">
        <f aca="false">IF(BI1809="",0,MAX(0,MIN(1,(IF(CG1809="L1",Parameter!$H$5,IF(CG1809="L23",Parameter!$H$6+Parameter!$H$7,Parameter!$H$5+Parameter!$H$6+Parameter!$H$7))-(BI1809-BD1809))/BD1809)))</f>
        <v>0</v>
      </c>
      <c r="BK1809" s="60" t="str">
        <f aca="false">IF(AJ1809&lt;=0,"",IF(CG1809="Aussen","Aussenlager",IF(CG1809="-","Nicht im Lift",IF(AP1809&gt;=1,"Lift",IF(AP1809&lt;=0,"Aussenlager","teilweise")))))</f>
        <v/>
      </c>
      <c r="BL1809" s="60" t="str">
        <f aca="false">IF(AT1809&lt;=0,"",IF(CG1809="Aussen","Aussenlager",IF(CG1809="-","Nicht im Lift",IF(AZ1809&gt;=1,"Lift",IF(AZ1809&lt;=0,"Aussenlager","teilweise")))))</f>
        <v/>
      </c>
      <c r="BM1809" s="60" t="str">
        <f aca="false">IF(BD1809&lt;=0,"",IF(CG1809="Aussen","Aussenlager",IF(CG1809="-","Nicht im Lift",IF(BJ1809&gt;=1,"Lift",IF(BJ1809&lt;=0,"Aussenlager","teilweise")))))</f>
        <v/>
      </c>
      <c r="BN1809" s="60" t="str">
        <f aca="false">IF(A1809="","",IF(BW1809=1,"Neu; ","")&amp;IF(AND(BW1809=0,BR1809&lt;0),"negativer Bestand (Export "&amp;BR1809&amp;"); ","")&amp;IF(J1809&lt;=0,"Kein Verbrauch; ","")&amp;IF(CR1809&gt;0,"Lift "&amp;W1809&amp;" lt. Liftbericht (Fach "&amp;X1809&amp;" Stk); ",IF(CB1809=1,"Gebinde geschätzt ("&amp;T1809&amp;"); ",IF(CA1809=1,"Lose – Tablare geschätzt; ","")))&amp;IF(H1809&gt;AW1809,"Überbestand "&amp;ROUND(H1809-AW1809,0)&amp;" Stk / CHF "&amp;ROUND((H1809-AW1809)*G1809,0)&amp;"; ","")&amp;IF(AND(CI1809=1,CJ1809&lt;CK1809),"MAX &lt; MB+LG; ","")&amp;IF(AND(CQ1809&gt;0,CP1809*10&gt;CQ1809),"zu hoch für Tablar; ","")&amp;IF(AND(BW1809=0,OR(CI1809=1,AB1809&lt;&gt;"",U1809&lt;&gt;"",V1809&lt;&gt;"",AC1809&lt;&gt;"")),"manuell übersteuert; ","")&amp;IF(AND(CA1809=0,R1809=0),"Gebinde unbekannt / Stellmass fehlt; ","")&amp;IF(AND(CA1809=0,N(V1809)&lt;=0,N(Q1809)&lt;=0),"Menge pro Gebinde fehlt (Ist = 1 Gebinde); ","")&amp;BV1809)</f>
        <v/>
      </c>
      <c r="BO1809" s="60"/>
      <c r="BP1809" s="60"/>
      <c r="BQ1809" s="67"/>
      <c r="BR1809" s="62" t="n">
        <f aca="false">N('Neue Artikel'!$D$70)</f>
        <v>0</v>
      </c>
      <c r="BS1809" s="62" t="n">
        <v>0</v>
      </c>
      <c r="BT1809" s="61" t="n">
        <v>0</v>
      </c>
      <c r="BU1809" s="62" t="n">
        <f aca="false">N('Neue Artikel'!$C$70)/Parameter!$B$18</f>
        <v>0</v>
      </c>
      <c r="BV1809" s="60"/>
      <c r="BW1809" s="65" t="n">
        <v>1</v>
      </c>
      <c r="BX1809" s="65" t="n">
        <v>1809</v>
      </c>
      <c r="BY1809" s="60" t="str">
        <f aca="false">IF(U1809&lt;&gt;"",UPPER(TRIM(U1809)),IF(CB1809=1,UPPER(VLOOKUP(T1809,Parameter!$I$27:$K$29,2,0)),IF(P1809="","LOSE",P1809)))</f>
        <v>LOSE</v>
      </c>
      <c r="BZ1809" s="62" t="n">
        <f aca="false">IF(BY1809="LOSE",1,IF(N(V1809)&gt;0,V1809,IF(CB1809=1,MAX(1,N(VLOOKUP(T1809,Parameter!$I$27:$K$29,3,0)),H1809,N(N1809)),IF(N(Q1809)&gt;0,Q1809,MAX(1,H1809)))))</f>
        <v>1</v>
      </c>
      <c r="CA1809" s="65" t="n">
        <f aca="false">IF(BY1809="LOSE",1,0)</f>
        <v>1</v>
      </c>
      <c r="CB1809" s="65" t="n">
        <f aca="false">IF(AND(U1809="",OR(P1809="",P1809="LOSE"),T1809&lt;&gt;"",N(S1809)&lt;=0,ISNUMBER(MATCH(T1809,Parameter!$I$27:$I$29,0))),1,0)</f>
        <v>0</v>
      </c>
      <c r="CC1809" s="65" t="n">
        <f aca="false">IF(CR1809&gt;0,INDEX(Parameter!$H$5:$H$7,W1809)/INDEX(Parameter!$E$5:$E$7,W1809),IF(AND(CA1809=0,N(IFERROR(VLOOKUP(BY1809,'Gebinde-Kategorie'!$A$5:$N$45,14,0),0))&gt;0),VLOOKUP(BY1809,'Gebinde-Kategorie'!$A$5:$N$45,14,0)*10+Parameter!$M$23,Parameter!$M$24))</f>
        <v>235</v>
      </c>
      <c r="CD1809" s="60" t="str">
        <f aca="false">IF(AND(Parameter!$B$19="Ja",E1809&lt;&gt;"",ISNUMBER(MATCH(E1809,Parameter!$I$35:$I$52,0))),VLOOKUP(E1809,Parameter!$I$35:$J$52,2,0),IFERROR(VLOOKUP(D1809,Parameter!$A$35:$C$64,2,0),"Nein"))</f>
        <v>2+3</v>
      </c>
      <c r="CE1809" s="64" t="n">
        <f aca="false">IF(CA1809=0,0,IF(N(S1809)&gt;0,S1809,IFERROR(VLOOKUP(D1809,Parameter!$A$35:$C$64,3,0)+0,0)))</f>
        <v>0.15</v>
      </c>
      <c r="CF1809" s="60" t="str">
        <f aca="false">IF(AB1809&lt;&gt;"",AB1809,AA1809)</f>
        <v/>
      </c>
      <c r="CG1809" s="60" t="str">
        <f aca="false">IF(OR(CF1809=1,CF1809=2,CF1809=3),IF(Parameter!$E$27="Ja","LIFT",IF(CF1809=1,"L1","L23")),IF(CF1809="Aussen","Aussen","-"))</f>
        <v>-</v>
      </c>
      <c r="CH1809" s="71" t="n">
        <f aca="false">IF(N(AC1809)&gt;0,AC1809,0)</f>
        <v>0</v>
      </c>
      <c r="CI1809" s="65" t="n">
        <f aca="false">IF(ISNUMBER(AF1809),1,0)</f>
        <v>0</v>
      </c>
      <c r="CJ1809" s="62" t="n">
        <f aca="false">N(AF1809)</f>
        <v>0</v>
      </c>
      <c r="CK1809" s="62" t="n">
        <f aca="false">N(M1809)+N(N1809)</f>
        <v>0</v>
      </c>
      <c r="CL1809" s="62" t="n">
        <f aca="false">N(M1809)</f>
        <v>0</v>
      </c>
      <c r="CM1809" s="62" t="n">
        <f aca="false">N(N1809)</f>
        <v>0</v>
      </c>
      <c r="CN1809" s="62" t="n">
        <f aca="false">ROUNDUP(H1809/BZ1809,0)</f>
        <v>0</v>
      </c>
      <c r="CO1809" s="62" t="n">
        <f aca="false">ROUNDUP(CJ1809/BZ1809,0)</f>
        <v>0</v>
      </c>
      <c r="CP1809" s="65" t="n">
        <f aca="false">IF(CA1809=1,0,IFERROR(VLOOKUP(BY1809,'Gebinde-Kategorie'!$A$5:$N$45,5,0)+0,0))</f>
        <v>0</v>
      </c>
      <c r="CQ1809" s="65" t="n">
        <f aca="false">IFERROR(IF(OR(CF1809=1,CF1809=2,CF1809=3),N(INDEX(Parameter!$I$5:$I$7,CF1809)),0),0)</f>
        <v>0</v>
      </c>
      <c r="CR1809" s="64" t="n">
        <f aca="false">IF(AND(Parameter!$B$21="Ja",ISNUMBER(W1809),N(X1809)&gt;0),IFERROR(N(INDEX(Parameter!$L$5:$L$7,W1809))*INDEX(Parameter!$E$5:$E$7,W1809)*X1809/SUMIFS($X$7:$X$1843,$W$7:$W$1843,W1809),0),0)</f>
        <v>0</v>
      </c>
      <c r="CS1809" s="62" t="str">
        <f aca="false">IF(AND(OR(CG1809="L1",CG1809="L23",CG1809="LIFT"),H1809&gt;0),CC1809*IF(CR1809&gt;0,CR1809*MAX(1,H1809/X1809),IF(CA1809=1,CE1809,IF(R1809&gt;0,CN1809/R1809,0))/MAX(0.1,N(Parameter!$M$21))),"")</f>
        <v/>
      </c>
      <c r="CT1809" s="64" t="str">
        <f aca="false">IF(CS1809="","",J1809/H1809)</f>
        <v/>
      </c>
      <c r="CU1809" s="62" t="str">
        <f aca="false">IF(CS1809="","",H1809*G1809)</f>
        <v/>
      </c>
      <c r="CV1809" s="63" t="str">
        <f aca="false">IF(CS1809="","",(CL1809+ROUNDUP(CL1809+MAX(CM1809,2*(J1809/MAX(0.1,N(Einkauf!$C$6))-CL1809)),0))/2)</f>
        <v/>
      </c>
      <c r="CW1809" s="62" t="str">
        <f aca="false">IF(CS1809="","",MAX(0,H1809-CV1809)*G1809)</f>
        <v/>
      </c>
      <c r="CX1809" s="62" t="str">
        <f aca="false">IF(CS1809="","",CS1809*MAX(0,1-CV1809/H1809))</f>
        <v/>
      </c>
      <c r="CY1809" s="64" t="str">
        <f aca="false">IF(CS1809="","",PERCENTRANK($CS$7:$CS$1843,CS1809)+PERCENTRANK($CU$7:$CU$1843,CU1809)+1-PERCENTRANK($CT$7:$CT$1843,CT1809))</f>
        <v/>
      </c>
      <c r="CZ1809" s="72" t="str">
        <f aca="false">IF(CS1809="","",CHOOSE(MATCH(Einkauf!$C$5,Parameter!$G$23:$G$27,0),CY1809,CS1809,CU1809,-CT1809,CW1809)+ROW()/1000000000)</f>
        <v/>
      </c>
    </row>
    <row r="1810" customFormat="false" ht="15" hidden="false" customHeight="false" outlineLevel="0" collapsed="false">
      <c r="A1810" s="60" t="str">
        <f aca="false">IF('Neue Artikel'!$A$71="","",'Neue Artikel'!$A$71&amp;"")</f>
        <v/>
      </c>
      <c r="B1810" s="60" t="str">
        <f aca="false">'Neue Artikel'!$B$71&amp;""</f>
        <v/>
      </c>
      <c r="C1810" s="60"/>
      <c r="D1810" s="60" t="s">
        <v>3057</v>
      </c>
      <c r="E1810" s="60"/>
      <c r="F1810" s="60"/>
      <c r="G1810" s="61" t="n">
        <f aca="false">N('Neue Artikel'!$G$71)</f>
        <v>0</v>
      </c>
      <c r="H1810" s="62" t="n">
        <f aca="false">MAX(0,IF(AND(Parameter!$B$21="Ja",ISNUMBER(Y1810)),Y1810,IF(Parameter!$B$20="Jahresanfang 2025 + Export",BS1810+BR1810,BR1810)))</f>
        <v>0</v>
      </c>
      <c r="I1810" s="62" t="n">
        <f aca="false">H1810*G1810</f>
        <v>0</v>
      </c>
      <c r="J1810" s="62" t="n">
        <f aca="false">BU1810*Parameter!$B$18</f>
        <v>0</v>
      </c>
      <c r="K1810" s="63"/>
      <c r="L1810" s="64"/>
      <c r="M1810" s="62" t="n">
        <f aca="false">N('Neue Artikel'!$E$71)</f>
        <v>0</v>
      </c>
      <c r="N1810" s="62" t="n">
        <f aca="false">N('Neue Artikel'!$F$71)</f>
        <v>0</v>
      </c>
      <c r="O1810" s="65"/>
      <c r="P1810" s="60" t="str">
        <f aca="false">IF('Neue Artikel'!$H$71="","LOSE",UPPER(TRIM('Neue Artikel'!$H$71)))</f>
        <v>LOSE</v>
      </c>
      <c r="Q1810" s="62" t="n">
        <f aca="false">N('Neue Artikel'!$I$71)</f>
        <v>0</v>
      </c>
      <c r="R1810" s="65" t="n">
        <f aca="false">IF(CA1810=1,0,IFERROR(VLOOKUP(BY1810,'Gebinde-Kategorie'!$A$5:$N$45,13,0)+0,0))</f>
        <v>0</v>
      </c>
      <c r="S1810" s="66"/>
      <c r="T1810" s="67"/>
      <c r="U1810" s="67"/>
      <c r="V1810" s="67"/>
      <c r="W1810" s="60"/>
      <c r="X1810" s="62"/>
      <c r="Y1810" s="62"/>
      <c r="Z1810" s="60"/>
      <c r="AA1810" s="60" t="str">
        <f aca="false">IF(A1810="","",IF(AND(Parameter!$B$21="Ja",ISNUMBER(W1810)),W1810,IF(AND(Parameter!$E$27="Ja",ISNUMBER(Z1810),CD1810&lt;&gt;"Nein"),Z1810,IF(CD1810="2+3",IF(ISNUMBER(SEARCH("grosser Artikel",BV1810)),2,IFERROR(VLOOKUP(BY1810,Parameter!$F$35:$G$64,2,0),2)),IF(OR(CD1810="Nein",CD1810=""),"-",CD1810)))))</f>
        <v/>
      </c>
      <c r="AB1810" s="60" t="str">
        <f aca="false">IF('Neue Artikel'!$J$71="","",'Neue Artikel'!$J$71)</f>
        <v/>
      </c>
      <c r="AC1810" s="68"/>
      <c r="AD1810" s="62" t="n">
        <f aca="false">AW1810</f>
        <v>0</v>
      </c>
      <c r="AE1810" s="62" t="n">
        <f aca="false">MAX(AW1810,H1810)</f>
        <v>0</v>
      </c>
      <c r="AF1810" s="69"/>
      <c r="AG1810" s="62" t="n">
        <f aca="false">IF(LEFT(Cockpit!$C$5,1)="A",H1810,IF(Parameter!$E$30="MAX-Bestand",IF(CI1810=1,CJ1810,IF(LEFT(Cockpit!$C$5,1)="B",AM1810,MAX(AM1810,H1810))),ROUNDUP(AK1810,0)))</f>
        <v>0</v>
      </c>
      <c r="AH1810" s="62" t="n">
        <f aca="false">IF(CA1810=1,0,ROUNDUP(AG1810/BZ1810,0))</f>
        <v>0</v>
      </c>
      <c r="AI1810" s="64" t="n">
        <f aca="false">IF(CR1810&gt;0,CR1810*MAX(1,AG1810/X1810),IF(CA1810=1,IF(AG1810&lt;=0,0,CE1810*MAX(1,IF(H1810&gt;0,AG1810/H1810,1))),IF(R1810&gt;0,AH1810/R1810,0))/MAX(0.1,N(Parameter!$M$21)))</f>
        <v>0</v>
      </c>
      <c r="AJ1810" s="62" t="n">
        <f aca="false">AI1810*CC1810</f>
        <v>0</v>
      </c>
      <c r="AK1810" s="63" t="n">
        <f aca="false">IF(LEFT(Cockpit!$C$5,1)="A",H1810,IF(CI1810=1,(CL1810+CJ1810)/2,IF(LEFT(Cockpit!$C$5,1)="B",(CL1810+AM1810)/2,MAX((CL1810+AM1810)/2,H1810))))</f>
        <v>0</v>
      </c>
      <c r="AL1810" s="62" t="n">
        <f aca="false">AK1810*G1810</f>
        <v>0</v>
      </c>
      <c r="AM1810" s="62" t="n">
        <f aca="false">ROUNDUP(CL1810+MAX(CM1810,2*(J1810/IF(CH1810&gt;0,CH1810,MAX(0.1,N(Cockpit!$C$6)))-CL1810)),0)</f>
        <v>0</v>
      </c>
      <c r="AN1810" s="63" t="n">
        <f aca="false">IF(AJ1810&gt;0,J1810/AJ1810,-1)</f>
        <v>-1</v>
      </c>
      <c r="AO1810" s="63" t="str">
        <f aca="false">IF(AND(OR(CG1810="L1",CG1810="L23",CG1810="LIFT"),AJ1810&gt;0),SUMIFS($AJ$7:$AJ$1843,$CG$7:$CG$1843,CG1810,$AN$7:$AN$1843,"&gt;"&amp;AN1810)+SUMIFS($AJ$7:$AJ$1843,$CG$7:$CG$1843,CG1810,$AN$7:$AN$1843,AN1810,$BX$7:$BX$1843,"&lt;="&amp;BX1810),"")</f>
        <v/>
      </c>
      <c r="AP1810" s="70" t="n">
        <f aca="false">IF(AO1810="",0,MAX(0,MIN(1,(IF(CG1810="L1",Parameter!$H$5,IF(CG1810="L23",Parameter!$H$6+Parameter!$H$7,Parameter!$H$5+Parameter!$H$6+Parameter!$H$7))-(AO1810-AJ1810))/AJ1810)))</f>
        <v>0</v>
      </c>
      <c r="AQ1810" s="62" t="n">
        <f aca="false">IF(LEFT(Cockpit!$I$5,1)="A",H1810,IF(Parameter!$E$30="MAX-Bestand",IF(CI1810=1,CJ1810,IF(LEFT(Cockpit!$I$5,1)="B",AW1810,MAX(AW1810,H1810))),ROUNDUP(AU1810,0)))</f>
        <v>0</v>
      </c>
      <c r="AR1810" s="62" t="n">
        <f aca="false">IF(CA1810=1,0,ROUNDUP(AQ1810/BZ1810,0))</f>
        <v>0</v>
      </c>
      <c r="AS1810" s="64" t="n">
        <f aca="false">IF(CR1810&gt;0,CR1810*MAX(1,AQ1810/X1810),IF(CA1810=1,IF(AQ1810&lt;=0,0,CE1810*MAX(1,IF(H1810&gt;0,AQ1810/H1810,1))),IF(R1810&gt;0,AR1810/R1810,0))/MAX(0.1,N(Parameter!$M$21)))</f>
        <v>0</v>
      </c>
      <c r="AT1810" s="62" t="n">
        <f aca="false">AS1810*CC1810</f>
        <v>0</v>
      </c>
      <c r="AU1810" s="63" t="n">
        <f aca="false">IF(LEFT(Cockpit!$I$5,1)="A",H1810,IF(CI1810=1,(CL1810+CJ1810)/2,IF(LEFT(Cockpit!$I$5,1)="B",(CL1810+AW1810)/2,MAX((CL1810+AW1810)/2,H1810))))</f>
        <v>0</v>
      </c>
      <c r="AV1810" s="62" t="n">
        <f aca="false">AU1810*G1810</f>
        <v>0</v>
      </c>
      <c r="AW1810" s="62" t="n">
        <f aca="false">ROUNDUP(CL1810+MAX(CM1810,2*(J1810/IF(CH1810&gt;0,CH1810,MAX(0.1,N(Cockpit!$I$6)))-CL1810)),0)</f>
        <v>0</v>
      </c>
      <c r="AX1810" s="63" t="n">
        <f aca="false">IF(AT1810&gt;0,J1810/AT1810,-1)</f>
        <v>-1</v>
      </c>
      <c r="AY1810" s="63" t="str">
        <f aca="false">IF(AND(OR(CG1810="L1",CG1810="L23",CG1810="LIFT"),AT1810&gt;0),SUMIFS($AT$7:$AT$1843,$CG$7:$CG$1843,CG1810,$AX$7:$AX$1843,"&gt;"&amp;AX1810)+SUMIFS($AT$7:$AT$1843,$CG$7:$CG$1843,CG1810,$AX$7:$AX$1843,AX1810,$BX$7:$BX$1843,"&lt;="&amp;BX1810),"")</f>
        <v/>
      </c>
      <c r="AZ1810" s="70" t="n">
        <f aca="false">IF(AY1810="",0,MAX(0,MIN(1,(IF(CG1810="L1",Parameter!$H$5,IF(CG1810="L23",Parameter!$H$6+Parameter!$H$7,Parameter!$H$5+Parameter!$H$6+Parameter!$H$7))-(AY1810-AT1810))/AT1810)))</f>
        <v>0</v>
      </c>
      <c r="BA1810" s="62" t="n">
        <f aca="false">IF(LEFT(Cockpit!$O$5,1)="A",H1810,IF(Parameter!$E$30="MAX-Bestand",IF(CI1810=1,CJ1810,IF(LEFT(Cockpit!$O$5,1)="B",BG1810,MAX(BG1810,H1810))),ROUNDUP(BE1810,0)))</f>
        <v>0</v>
      </c>
      <c r="BB1810" s="62" t="n">
        <f aca="false">IF(CA1810=1,0,ROUNDUP(BA1810/BZ1810,0))</f>
        <v>0</v>
      </c>
      <c r="BC1810" s="64" t="n">
        <f aca="false">IF(CR1810&gt;0,CR1810*MAX(1,BA1810/X1810),IF(CA1810=1,IF(BA1810&lt;=0,0,CE1810*MAX(1,IF(H1810&gt;0,BA1810/H1810,1))),IF(R1810&gt;0,BB1810/R1810,0))/MAX(0.1,N(Parameter!$M$21)))</f>
        <v>0</v>
      </c>
      <c r="BD1810" s="62" t="n">
        <f aca="false">BC1810*CC1810</f>
        <v>0</v>
      </c>
      <c r="BE1810" s="63" t="n">
        <f aca="false">IF(LEFT(Cockpit!$O$5,1)="A",H1810,IF(CI1810=1,(CL1810+CJ1810)/2,IF(LEFT(Cockpit!$O$5,1)="B",(CL1810+BG1810)/2,MAX((CL1810+BG1810)/2,H1810))))</f>
        <v>0</v>
      </c>
      <c r="BF1810" s="62" t="n">
        <f aca="false">BE1810*G1810</f>
        <v>0</v>
      </c>
      <c r="BG1810" s="62" t="n">
        <f aca="false">ROUNDUP(CL1810+MAX(CM1810,2*(J1810/IF(CH1810&gt;0,CH1810,MAX(0.1,N(Cockpit!$O$6)))-CL1810)),0)</f>
        <v>0</v>
      </c>
      <c r="BH1810" s="63" t="n">
        <f aca="false">IF(BD1810&gt;0,J1810/BD1810,-1)</f>
        <v>-1</v>
      </c>
      <c r="BI1810" s="63" t="str">
        <f aca="false">IF(AND(OR(CG1810="L1",CG1810="L23",CG1810="LIFT"),BD1810&gt;0),SUMIFS($BD$7:$BD$1843,$CG$7:$CG$1843,CG1810,$BH$7:$BH$1843,"&gt;"&amp;BH1810)+SUMIFS($BD$7:$BD$1843,$CG$7:$CG$1843,CG1810,$BH$7:$BH$1843,BH1810,$BX$7:$BX$1843,"&lt;="&amp;BX1810),"")</f>
        <v/>
      </c>
      <c r="BJ1810" s="70" t="n">
        <f aca="false">IF(BI1810="",0,MAX(0,MIN(1,(IF(CG1810="L1",Parameter!$H$5,IF(CG1810="L23",Parameter!$H$6+Parameter!$H$7,Parameter!$H$5+Parameter!$H$6+Parameter!$H$7))-(BI1810-BD1810))/BD1810)))</f>
        <v>0</v>
      </c>
      <c r="BK1810" s="60" t="str">
        <f aca="false">IF(AJ1810&lt;=0,"",IF(CG1810="Aussen","Aussenlager",IF(CG1810="-","Nicht im Lift",IF(AP1810&gt;=1,"Lift",IF(AP1810&lt;=0,"Aussenlager","teilweise")))))</f>
        <v/>
      </c>
      <c r="BL1810" s="60" t="str">
        <f aca="false">IF(AT1810&lt;=0,"",IF(CG1810="Aussen","Aussenlager",IF(CG1810="-","Nicht im Lift",IF(AZ1810&gt;=1,"Lift",IF(AZ1810&lt;=0,"Aussenlager","teilweise")))))</f>
        <v/>
      </c>
      <c r="BM1810" s="60" t="str">
        <f aca="false">IF(BD1810&lt;=0,"",IF(CG1810="Aussen","Aussenlager",IF(CG1810="-","Nicht im Lift",IF(BJ1810&gt;=1,"Lift",IF(BJ1810&lt;=0,"Aussenlager","teilweise")))))</f>
        <v/>
      </c>
      <c r="BN1810" s="60" t="str">
        <f aca="false">IF(A1810="","",IF(BW1810=1,"Neu; ","")&amp;IF(AND(BW1810=0,BR1810&lt;0),"negativer Bestand (Export "&amp;BR1810&amp;"); ","")&amp;IF(J1810&lt;=0,"Kein Verbrauch; ","")&amp;IF(CR1810&gt;0,"Lift "&amp;W1810&amp;" lt. Liftbericht (Fach "&amp;X1810&amp;" Stk); ",IF(CB1810=1,"Gebinde geschätzt ("&amp;T1810&amp;"); ",IF(CA1810=1,"Lose – Tablare geschätzt; ","")))&amp;IF(H1810&gt;AW1810,"Überbestand "&amp;ROUND(H1810-AW1810,0)&amp;" Stk / CHF "&amp;ROUND((H1810-AW1810)*G1810,0)&amp;"; ","")&amp;IF(AND(CI1810=1,CJ1810&lt;CK1810),"MAX &lt; MB+LG; ","")&amp;IF(AND(CQ1810&gt;0,CP1810*10&gt;CQ1810),"zu hoch für Tablar; ","")&amp;IF(AND(BW1810=0,OR(CI1810=1,AB1810&lt;&gt;"",U1810&lt;&gt;"",V1810&lt;&gt;"",AC1810&lt;&gt;"")),"manuell übersteuert; ","")&amp;IF(AND(CA1810=0,R1810=0),"Gebinde unbekannt / Stellmass fehlt; ","")&amp;IF(AND(CA1810=0,N(V1810)&lt;=0,N(Q1810)&lt;=0),"Menge pro Gebinde fehlt (Ist = 1 Gebinde); ","")&amp;BV1810)</f>
        <v/>
      </c>
      <c r="BO1810" s="60"/>
      <c r="BP1810" s="60"/>
      <c r="BQ1810" s="67"/>
      <c r="BR1810" s="62" t="n">
        <f aca="false">N('Neue Artikel'!$D$71)</f>
        <v>0</v>
      </c>
      <c r="BS1810" s="62" t="n">
        <v>0</v>
      </c>
      <c r="BT1810" s="61" t="n">
        <v>0</v>
      </c>
      <c r="BU1810" s="62" t="n">
        <f aca="false">N('Neue Artikel'!$C$71)/Parameter!$B$18</f>
        <v>0</v>
      </c>
      <c r="BV1810" s="60"/>
      <c r="BW1810" s="65" t="n">
        <v>1</v>
      </c>
      <c r="BX1810" s="65" t="n">
        <v>1810</v>
      </c>
      <c r="BY1810" s="60" t="str">
        <f aca="false">IF(U1810&lt;&gt;"",UPPER(TRIM(U1810)),IF(CB1810=1,UPPER(VLOOKUP(T1810,Parameter!$I$27:$K$29,2,0)),IF(P1810="","LOSE",P1810)))</f>
        <v>LOSE</v>
      </c>
      <c r="BZ1810" s="62" t="n">
        <f aca="false">IF(BY1810="LOSE",1,IF(N(V1810)&gt;0,V1810,IF(CB1810=1,MAX(1,N(VLOOKUP(T1810,Parameter!$I$27:$K$29,3,0)),H1810,N(N1810)),IF(N(Q1810)&gt;0,Q1810,MAX(1,H1810)))))</f>
        <v>1</v>
      </c>
      <c r="CA1810" s="65" t="n">
        <f aca="false">IF(BY1810="LOSE",1,0)</f>
        <v>1</v>
      </c>
      <c r="CB1810" s="65" t="n">
        <f aca="false">IF(AND(U1810="",OR(P1810="",P1810="LOSE"),T1810&lt;&gt;"",N(S1810)&lt;=0,ISNUMBER(MATCH(T1810,Parameter!$I$27:$I$29,0))),1,0)</f>
        <v>0</v>
      </c>
      <c r="CC1810" s="65" t="n">
        <f aca="false">IF(CR1810&gt;0,INDEX(Parameter!$H$5:$H$7,W1810)/INDEX(Parameter!$E$5:$E$7,W1810),IF(AND(CA1810=0,N(IFERROR(VLOOKUP(BY1810,'Gebinde-Kategorie'!$A$5:$N$45,14,0),0))&gt;0),VLOOKUP(BY1810,'Gebinde-Kategorie'!$A$5:$N$45,14,0)*10+Parameter!$M$23,Parameter!$M$24))</f>
        <v>235</v>
      </c>
      <c r="CD1810" s="60" t="str">
        <f aca="false">IF(AND(Parameter!$B$19="Ja",E1810&lt;&gt;"",ISNUMBER(MATCH(E1810,Parameter!$I$35:$I$52,0))),VLOOKUP(E1810,Parameter!$I$35:$J$52,2,0),IFERROR(VLOOKUP(D1810,Parameter!$A$35:$C$64,2,0),"Nein"))</f>
        <v>2+3</v>
      </c>
      <c r="CE1810" s="64" t="n">
        <f aca="false">IF(CA1810=0,0,IF(N(S1810)&gt;0,S1810,IFERROR(VLOOKUP(D1810,Parameter!$A$35:$C$64,3,0)+0,0)))</f>
        <v>0.15</v>
      </c>
      <c r="CF1810" s="60" t="str">
        <f aca="false">IF(AB1810&lt;&gt;"",AB1810,AA1810)</f>
        <v/>
      </c>
      <c r="CG1810" s="60" t="str">
        <f aca="false">IF(OR(CF1810=1,CF1810=2,CF1810=3),IF(Parameter!$E$27="Ja","LIFT",IF(CF1810=1,"L1","L23")),IF(CF1810="Aussen","Aussen","-"))</f>
        <v>-</v>
      </c>
      <c r="CH1810" s="71" t="n">
        <f aca="false">IF(N(AC1810)&gt;0,AC1810,0)</f>
        <v>0</v>
      </c>
      <c r="CI1810" s="65" t="n">
        <f aca="false">IF(ISNUMBER(AF1810),1,0)</f>
        <v>0</v>
      </c>
      <c r="CJ1810" s="62" t="n">
        <f aca="false">N(AF1810)</f>
        <v>0</v>
      </c>
      <c r="CK1810" s="62" t="n">
        <f aca="false">N(M1810)+N(N1810)</f>
        <v>0</v>
      </c>
      <c r="CL1810" s="62" t="n">
        <f aca="false">N(M1810)</f>
        <v>0</v>
      </c>
      <c r="CM1810" s="62" t="n">
        <f aca="false">N(N1810)</f>
        <v>0</v>
      </c>
      <c r="CN1810" s="62" t="n">
        <f aca="false">ROUNDUP(H1810/BZ1810,0)</f>
        <v>0</v>
      </c>
      <c r="CO1810" s="62" t="n">
        <f aca="false">ROUNDUP(CJ1810/BZ1810,0)</f>
        <v>0</v>
      </c>
      <c r="CP1810" s="65" t="n">
        <f aca="false">IF(CA1810=1,0,IFERROR(VLOOKUP(BY1810,'Gebinde-Kategorie'!$A$5:$N$45,5,0)+0,0))</f>
        <v>0</v>
      </c>
      <c r="CQ1810" s="65" t="n">
        <f aca="false">IFERROR(IF(OR(CF1810=1,CF1810=2,CF1810=3),N(INDEX(Parameter!$I$5:$I$7,CF1810)),0),0)</f>
        <v>0</v>
      </c>
      <c r="CR1810" s="64" t="n">
        <f aca="false">IF(AND(Parameter!$B$21="Ja",ISNUMBER(W1810),N(X1810)&gt;0),IFERROR(N(INDEX(Parameter!$L$5:$L$7,W1810))*INDEX(Parameter!$E$5:$E$7,W1810)*X1810/SUMIFS($X$7:$X$1843,$W$7:$W$1843,W1810),0),0)</f>
        <v>0</v>
      </c>
      <c r="CS1810" s="62" t="str">
        <f aca="false">IF(AND(OR(CG1810="L1",CG1810="L23",CG1810="LIFT"),H1810&gt;0),CC1810*IF(CR1810&gt;0,CR1810*MAX(1,H1810/X1810),IF(CA1810=1,CE1810,IF(R1810&gt;0,CN1810/R1810,0))/MAX(0.1,N(Parameter!$M$21))),"")</f>
        <v/>
      </c>
      <c r="CT1810" s="64" t="str">
        <f aca="false">IF(CS1810="","",J1810/H1810)</f>
        <v/>
      </c>
      <c r="CU1810" s="62" t="str">
        <f aca="false">IF(CS1810="","",H1810*G1810)</f>
        <v/>
      </c>
      <c r="CV1810" s="63" t="str">
        <f aca="false">IF(CS1810="","",(CL1810+ROUNDUP(CL1810+MAX(CM1810,2*(J1810/MAX(0.1,N(Einkauf!$C$6))-CL1810)),0))/2)</f>
        <v/>
      </c>
      <c r="CW1810" s="62" t="str">
        <f aca="false">IF(CS1810="","",MAX(0,H1810-CV1810)*G1810)</f>
        <v/>
      </c>
      <c r="CX1810" s="62" t="str">
        <f aca="false">IF(CS1810="","",CS1810*MAX(0,1-CV1810/H1810))</f>
        <v/>
      </c>
      <c r="CY1810" s="64" t="str">
        <f aca="false">IF(CS1810="","",PERCENTRANK($CS$7:$CS$1843,CS1810)+PERCENTRANK($CU$7:$CU$1843,CU1810)+1-PERCENTRANK($CT$7:$CT$1843,CT1810))</f>
        <v/>
      </c>
      <c r="CZ1810" s="72" t="str">
        <f aca="false">IF(CS1810="","",CHOOSE(MATCH(Einkauf!$C$5,Parameter!$G$23:$G$27,0),CY1810,CS1810,CU1810,-CT1810,CW1810)+ROW()/1000000000)</f>
        <v/>
      </c>
    </row>
    <row r="1811" customFormat="false" ht="15" hidden="false" customHeight="false" outlineLevel="0" collapsed="false">
      <c r="A1811" s="60" t="str">
        <f aca="false">IF('Neue Artikel'!$A$72="","",'Neue Artikel'!$A$72&amp;"")</f>
        <v/>
      </c>
      <c r="B1811" s="60" t="str">
        <f aca="false">'Neue Artikel'!$B$72&amp;""</f>
        <v/>
      </c>
      <c r="C1811" s="60"/>
      <c r="D1811" s="60" t="s">
        <v>3057</v>
      </c>
      <c r="E1811" s="60"/>
      <c r="F1811" s="60"/>
      <c r="G1811" s="61" t="n">
        <f aca="false">N('Neue Artikel'!$G$72)</f>
        <v>0</v>
      </c>
      <c r="H1811" s="62" t="n">
        <f aca="false">MAX(0,IF(AND(Parameter!$B$21="Ja",ISNUMBER(Y1811)),Y1811,IF(Parameter!$B$20="Jahresanfang 2025 + Export",BS1811+BR1811,BR1811)))</f>
        <v>0</v>
      </c>
      <c r="I1811" s="62" t="n">
        <f aca="false">H1811*G1811</f>
        <v>0</v>
      </c>
      <c r="J1811" s="62" t="n">
        <f aca="false">BU1811*Parameter!$B$18</f>
        <v>0</v>
      </c>
      <c r="K1811" s="63"/>
      <c r="L1811" s="64"/>
      <c r="M1811" s="62" t="n">
        <f aca="false">N('Neue Artikel'!$E$72)</f>
        <v>0</v>
      </c>
      <c r="N1811" s="62" t="n">
        <f aca="false">N('Neue Artikel'!$F$72)</f>
        <v>0</v>
      </c>
      <c r="O1811" s="65"/>
      <c r="P1811" s="60" t="str">
        <f aca="false">IF('Neue Artikel'!$H$72="","LOSE",UPPER(TRIM('Neue Artikel'!$H$72)))</f>
        <v>LOSE</v>
      </c>
      <c r="Q1811" s="62" t="n">
        <f aca="false">N('Neue Artikel'!$I$72)</f>
        <v>0</v>
      </c>
      <c r="R1811" s="65" t="n">
        <f aca="false">IF(CA1811=1,0,IFERROR(VLOOKUP(BY1811,'Gebinde-Kategorie'!$A$5:$N$45,13,0)+0,0))</f>
        <v>0</v>
      </c>
      <c r="S1811" s="66"/>
      <c r="T1811" s="67"/>
      <c r="U1811" s="67"/>
      <c r="V1811" s="67"/>
      <c r="W1811" s="60"/>
      <c r="X1811" s="62"/>
      <c r="Y1811" s="62"/>
      <c r="Z1811" s="60"/>
      <c r="AA1811" s="60" t="str">
        <f aca="false">IF(A1811="","",IF(AND(Parameter!$B$21="Ja",ISNUMBER(W1811)),W1811,IF(AND(Parameter!$E$27="Ja",ISNUMBER(Z1811),CD1811&lt;&gt;"Nein"),Z1811,IF(CD1811="2+3",IF(ISNUMBER(SEARCH("grosser Artikel",BV1811)),2,IFERROR(VLOOKUP(BY1811,Parameter!$F$35:$G$64,2,0),2)),IF(OR(CD1811="Nein",CD1811=""),"-",CD1811)))))</f>
        <v/>
      </c>
      <c r="AB1811" s="60" t="str">
        <f aca="false">IF('Neue Artikel'!$J$72="","",'Neue Artikel'!$J$72)</f>
        <v/>
      </c>
      <c r="AC1811" s="68"/>
      <c r="AD1811" s="62" t="n">
        <f aca="false">AW1811</f>
        <v>0</v>
      </c>
      <c r="AE1811" s="62" t="n">
        <f aca="false">MAX(AW1811,H1811)</f>
        <v>0</v>
      </c>
      <c r="AF1811" s="69"/>
      <c r="AG1811" s="62" t="n">
        <f aca="false">IF(LEFT(Cockpit!$C$5,1)="A",H1811,IF(Parameter!$E$30="MAX-Bestand",IF(CI1811=1,CJ1811,IF(LEFT(Cockpit!$C$5,1)="B",AM1811,MAX(AM1811,H1811))),ROUNDUP(AK1811,0)))</f>
        <v>0</v>
      </c>
      <c r="AH1811" s="62" t="n">
        <f aca="false">IF(CA1811=1,0,ROUNDUP(AG1811/BZ1811,0))</f>
        <v>0</v>
      </c>
      <c r="AI1811" s="64" t="n">
        <f aca="false">IF(CR1811&gt;0,CR1811*MAX(1,AG1811/X1811),IF(CA1811=1,IF(AG1811&lt;=0,0,CE1811*MAX(1,IF(H1811&gt;0,AG1811/H1811,1))),IF(R1811&gt;0,AH1811/R1811,0))/MAX(0.1,N(Parameter!$M$21)))</f>
        <v>0</v>
      </c>
      <c r="AJ1811" s="62" t="n">
        <f aca="false">AI1811*CC1811</f>
        <v>0</v>
      </c>
      <c r="AK1811" s="63" t="n">
        <f aca="false">IF(LEFT(Cockpit!$C$5,1)="A",H1811,IF(CI1811=1,(CL1811+CJ1811)/2,IF(LEFT(Cockpit!$C$5,1)="B",(CL1811+AM1811)/2,MAX((CL1811+AM1811)/2,H1811))))</f>
        <v>0</v>
      </c>
      <c r="AL1811" s="62" t="n">
        <f aca="false">AK1811*G1811</f>
        <v>0</v>
      </c>
      <c r="AM1811" s="62" t="n">
        <f aca="false">ROUNDUP(CL1811+MAX(CM1811,2*(J1811/IF(CH1811&gt;0,CH1811,MAX(0.1,N(Cockpit!$C$6)))-CL1811)),0)</f>
        <v>0</v>
      </c>
      <c r="AN1811" s="63" t="n">
        <f aca="false">IF(AJ1811&gt;0,J1811/AJ1811,-1)</f>
        <v>-1</v>
      </c>
      <c r="AO1811" s="63" t="str">
        <f aca="false">IF(AND(OR(CG1811="L1",CG1811="L23",CG1811="LIFT"),AJ1811&gt;0),SUMIFS($AJ$7:$AJ$1843,$CG$7:$CG$1843,CG1811,$AN$7:$AN$1843,"&gt;"&amp;AN1811)+SUMIFS($AJ$7:$AJ$1843,$CG$7:$CG$1843,CG1811,$AN$7:$AN$1843,AN1811,$BX$7:$BX$1843,"&lt;="&amp;BX1811),"")</f>
        <v/>
      </c>
      <c r="AP1811" s="70" t="n">
        <f aca="false">IF(AO1811="",0,MAX(0,MIN(1,(IF(CG1811="L1",Parameter!$H$5,IF(CG1811="L23",Parameter!$H$6+Parameter!$H$7,Parameter!$H$5+Parameter!$H$6+Parameter!$H$7))-(AO1811-AJ1811))/AJ1811)))</f>
        <v>0</v>
      </c>
      <c r="AQ1811" s="62" t="n">
        <f aca="false">IF(LEFT(Cockpit!$I$5,1)="A",H1811,IF(Parameter!$E$30="MAX-Bestand",IF(CI1811=1,CJ1811,IF(LEFT(Cockpit!$I$5,1)="B",AW1811,MAX(AW1811,H1811))),ROUNDUP(AU1811,0)))</f>
        <v>0</v>
      </c>
      <c r="AR1811" s="62" t="n">
        <f aca="false">IF(CA1811=1,0,ROUNDUP(AQ1811/BZ1811,0))</f>
        <v>0</v>
      </c>
      <c r="AS1811" s="64" t="n">
        <f aca="false">IF(CR1811&gt;0,CR1811*MAX(1,AQ1811/X1811),IF(CA1811=1,IF(AQ1811&lt;=0,0,CE1811*MAX(1,IF(H1811&gt;0,AQ1811/H1811,1))),IF(R1811&gt;0,AR1811/R1811,0))/MAX(0.1,N(Parameter!$M$21)))</f>
        <v>0</v>
      </c>
      <c r="AT1811" s="62" t="n">
        <f aca="false">AS1811*CC1811</f>
        <v>0</v>
      </c>
      <c r="AU1811" s="63" t="n">
        <f aca="false">IF(LEFT(Cockpit!$I$5,1)="A",H1811,IF(CI1811=1,(CL1811+CJ1811)/2,IF(LEFT(Cockpit!$I$5,1)="B",(CL1811+AW1811)/2,MAX((CL1811+AW1811)/2,H1811))))</f>
        <v>0</v>
      </c>
      <c r="AV1811" s="62" t="n">
        <f aca="false">AU1811*G1811</f>
        <v>0</v>
      </c>
      <c r="AW1811" s="62" t="n">
        <f aca="false">ROUNDUP(CL1811+MAX(CM1811,2*(J1811/IF(CH1811&gt;0,CH1811,MAX(0.1,N(Cockpit!$I$6)))-CL1811)),0)</f>
        <v>0</v>
      </c>
      <c r="AX1811" s="63" t="n">
        <f aca="false">IF(AT1811&gt;0,J1811/AT1811,-1)</f>
        <v>-1</v>
      </c>
      <c r="AY1811" s="63" t="str">
        <f aca="false">IF(AND(OR(CG1811="L1",CG1811="L23",CG1811="LIFT"),AT1811&gt;0),SUMIFS($AT$7:$AT$1843,$CG$7:$CG$1843,CG1811,$AX$7:$AX$1843,"&gt;"&amp;AX1811)+SUMIFS($AT$7:$AT$1843,$CG$7:$CG$1843,CG1811,$AX$7:$AX$1843,AX1811,$BX$7:$BX$1843,"&lt;="&amp;BX1811),"")</f>
        <v/>
      </c>
      <c r="AZ1811" s="70" t="n">
        <f aca="false">IF(AY1811="",0,MAX(0,MIN(1,(IF(CG1811="L1",Parameter!$H$5,IF(CG1811="L23",Parameter!$H$6+Parameter!$H$7,Parameter!$H$5+Parameter!$H$6+Parameter!$H$7))-(AY1811-AT1811))/AT1811)))</f>
        <v>0</v>
      </c>
      <c r="BA1811" s="62" t="n">
        <f aca="false">IF(LEFT(Cockpit!$O$5,1)="A",H1811,IF(Parameter!$E$30="MAX-Bestand",IF(CI1811=1,CJ1811,IF(LEFT(Cockpit!$O$5,1)="B",BG1811,MAX(BG1811,H1811))),ROUNDUP(BE1811,0)))</f>
        <v>0</v>
      </c>
      <c r="BB1811" s="62" t="n">
        <f aca="false">IF(CA1811=1,0,ROUNDUP(BA1811/BZ1811,0))</f>
        <v>0</v>
      </c>
      <c r="BC1811" s="64" t="n">
        <f aca="false">IF(CR1811&gt;0,CR1811*MAX(1,BA1811/X1811),IF(CA1811=1,IF(BA1811&lt;=0,0,CE1811*MAX(1,IF(H1811&gt;0,BA1811/H1811,1))),IF(R1811&gt;0,BB1811/R1811,0))/MAX(0.1,N(Parameter!$M$21)))</f>
        <v>0</v>
      </c>
      <c r="BD1811" s="62" t="n">
        <f aca="false">BC1811*CC1811</f>
        <v>0</v>
      </c>
      <c r="BE1811" s="63" t="n">
        <f aca="false">IF(LEFT(Cockpit!$O$5,1)="A",H1811,IF(CI1811=1,(CL1811+CJ1811)/2,IF(LEFT(Cockpit!$O$5,1)="B",(CL1811+BG1811)/2,MAX((CL1811+BG1811)/2,H1811))))</f>
        <v>0</v>
      </c>
      <c r="BF1811" s="62" t="n">
        <f aca="false">BE1811*G1811</f>
        <v>0</v>
      </c>
      <c r="BG1811" s="62" t="n">
        <f aca="false">ROUNDUP(CL1811+MAX(CM1811,2*(J1811/IF(CH1811&gt;0,CH1811,MAX(0.1,N(Cockpit!$O$6)))-CL1811)),0)</f>
        <v>0</v>
      </c>
      <c r="BH1811" s="63" t="n">
        <f aca="false">IF(BD1811&gt;0,J1811/BD1811,-1)</f>
        <v>-1</v>
      </c>
      <c r="BI1811" s="63" t="str">
        <f aca="false">IF(AND(OR(CG1811="L1",CG1811="L23",CG1811="LIFT"),BD1811&gt;0),SUMIFS($BD$7:$BD$1843,$CG$7:$CG$1843,CG1811,$BH$7:$BH$1843,"&gt;"&amp;BH1811)+SUMIFS($BD$7:$BD$1843,$CG$7:$CG$1843,CG1811,$BH$7:$BH$1843,BH1811,$BX$7:$BX$1843,"&lt;="&amp;BX1811),"")</f>
        <v/>
      </c>
      <c r="BJ1811" s="70" t="n">
        <f aca="false">IF(BI1811="",0,MAX(0,MIN(1,(IF(CG1811="L1",Parameter!$H$5,IF(CG1811="L23",Parameter!$H$6+Parameter!$H$7,Parameter!$H$5+Parameter!$H$6+Parameter!$H$7))-(BI1811-BD1811))/BD1811)))</f>
        <v>0</v>
      </c>
      <c r="BK1811" s="60" t="str">
        <f aca="false">IF(AJ1811&lt;=0,"",IF(CG1811="Aussen","Aussenlager",IF(CG1811="-","Nicht im Lift",IF(AP1811&gt;=1,"Lift",IF(AP1811&lt;=0,"Aussenlager","teilweise")))))</f>
        <v/>
      </c>
      <c r="BL1811" s="60" t="str">
        <f aca="false">IF(AT1811&lt;=0,"",IF(CG1811="Aussen","Aussenlager",IF(CG1811="-","Nicht im Lift",IF(AZ1811&gt;=1,"Lift",IF(AZ1811&lt;=0,"Aussenlager","teilweise")))))</f>
        <v/>
      </c>
      <c r="BM1811" s="60" t="str">
        <f aca="false">IF(BD1811&lt;=0,"",IF(CG1811="Aussen","Aussenlager",IF(CG1811="-","Nicht im Lift",IF(BJ1811&gt;=1,"Lift",IF(BJ1811&lt;=0,"Aussenlager","teilweise")))))</f>
        <v/>
      </c>
      <c r="BN1811" s="60" t="str">
        <f aca="false">IF(A1811="","",IF(BW1811=1,"Neu; ","")&amp;IF(AND(BW1811=0,BR1811&lt;0),"negativer Bestand (Export "&amp;BR1811&amp;"); ","")&amp;IF(J1811&lt;=0,"Kein Verbrauch; ","")&amp;IF(CR1811&gt;0,"Lift "&amp;W1811&amp;" lt. Liftbericht (Fach "&amp;X1811&amp;" Stk); ",IF(CB1811=1,"Gebinde geschätzt ("&amp;T1811&amp;"); ",IF(CA1811=1,"Lose – Tablare geschätzt; ","")))&amp;IF(H1811&gt;AW1811,"Überbestand "&amp;ROUND(H1811-AW1811,0)&amp;" Stk / CHF "&amp;ROUND((H1811-AW1811)*G1811,0)&amp;"; ","")&amp;IF(AND(CI1811=1,CJ1811&lt;CK1811),"MAX &lt; MB+LG; ","")&amp;IF(AND(CQ1811&gt;0,CP1811*10&gt;CQ1811),"zu hoch für Tablar; ","")&amp;IF(AND(BW1811=0,OR(CI1811=1,AB1811&lt;&gt;"",U1811&lt;&gt;"",V1811&lt;&gt;"",AC1811&lt;&gt;"")),"manuell übersteuert; ","")&amp;IF(AND(CA1811=0,R1811=0),"Gebinde unbekannt / Stellmass fehlt; ","")&amp;IF(AND(CA1811=0,N(V1811)&lt;=0,N(Q1811)&lt;=0),"Menge pro Gebinde fehlt (Ist = 1 Gebinde); ","")&amp;BV1811)</f>
        <v/>
      </c>
      <c r="BO1811" s="60"/>
      <c r="BP1811" s="60"/>
      <c r="BQ1811" s="67"/>
      <c r="BR1811" s="62" t="n">
        <f aca="false">N('Neue Artikel'!$D$72)</f>
        <v>0</v>
      </c>
      <c r="BS1811" s="62" t="n">
        <v>0</v>
      </c>
      <c r="BT1811" s="61" t="n">
        <v>0</v>
      </c>
      <c r="BU1811" s="62" t="n">
        <f aca="false">N('Neue Artikel'!$C$72)/Parameter!$B$18</f>
        <v>0</v>
      </c>
      <c r="BV1811" s="60"/>
      <c r="BW1811" s="65" t="n">
        <v>1</v>
      </c>
      <c r="BX1811" s="65" t="n">
        <v>1811</v>
      </c>
      <c r="BY1811" s="60" t="str">
        <f aca="false">IF(U1811&lt;&gt;"",UPPER(TRIM(U1811)),IF(CB1811=1,UPPER(VLOOKUP(T1811,Parameter!$I$27:$K$29,2,0)),IF(P1811="","LOSE",P1811)))</f>
        <v>LOSE</v>
      </c>
      <c r="BZ1811" s="62" t="n">
        <f aca="false">IF(BY1811="LOSE",1,IF(N(V1811)&gt;0,V1811,IF(CB1811=1,MAX(1,N(VLOOKUP(T1811,Parameter!$I$27:$K$29,3,0)),H1811,N(N1811)),IF(N(Q1811)&gt;0,Q1811,MAX(1,H1811)))))</f>
        <v>1</v>
      </c>
      <c r="CA1811" s="65" t="n">
        <f aca="false">IF(BY1811="LOSE",1,0)</f>
        <v>1</v>
      </c>
      <c r="CB1811" s="65" t="n">
        <f aca="false">IF(AND(U1811="",OR(P1811="",P1811="LOSE"),T1811&lt;&gt;"",N(S1811)&lt;=0,ISNUMBER(MATCH(T1811,Parameter!$I$27:$I$29,0))),1,0)</f>
        <v>0</v>
      </c>
      <c r="CC1811" s="65" t="n">
        <f aca="false">IF(CR1811&gt;0,INDEX(Parameter!$H$5:$H$7,W1811)/INDEX(Parameter!$E$5:$E$7,W1811),IF(AND(CA1811=0,N(IFERROR(VLOOKUP(BY1811,'Gebinde-Kategorie'!$A$5:$N$45,14,0),0))&gt;0),VLOOKUP(BY1811,'Gebinde-Kategorie'!$A$5:$N$45,14,0)*10+Parameter!$M$23,Parameter!$M$24))</f>
        <v>235</v>
      </c>
      <c r="CD1811" s="60" t="str">
        <f aca="false">IF(AND(Parameter!$B$19="Ja",E1811&lt;&gt;"",ISNUMBER(MATCH(E1811,Parameter!$I$35:$I$52,0))),VLOOKUP(E1811,Parameter!$I$35:$J$52,2,0),IFERROR(VLOOKUP(D1811,Parameter!$A$35:$C$64,2,0),"Nein"))</f>
        <v>2+3</v>
      </c>
      <c r="CE1811" s="64" t="n">
        <f aca="false">IF(CA1811=0,0,IF(N(S1811)&gt;0,S1811,IFERROR(VLOOKUP(D1811,Parameter!$A$35:$C$64,3,0)+0,0)))</f>
        <v>0.15</v>
      </c>
      <c r="CF1811" s="60" t="str">
        <f aca="false">IF(AB1811&lt;&gt;"",AB1811,AA1811)</f>
        <v/>
      </c>
      <c r="CG1811" s="60" t="str">
        <f aca="false">IF(OR(CF1811=1,CF1811=2,CF1811=3),IF(Parameter!$E$27="Ja","LIFT",IF(CF1811=1,"L1","L23")),IF(CF1811="Aussen","Aussen","-"))</f>
        <v>-</v>
      </c>
      <c r="CH1811" s="71" t="n">
        <f aca="false">IF(N(AC1811)&gt;0,AC1811,0)</f>
        <v>0</v>
      </c>
      <c r="CI1811" s="65" t="n">
        <f aca="false">IF(ISNUMBER(AF1811),1,0)</f>
        <v>0</v>
      </c>
      <c r="CJ1811" s="62" t="n">
        <f aca="false">N(AF1811)</f>
        <v>0</v>
      </c>
      <c r="CK1811" s="62" t="n">
        <f aca="false">N(M1811)+N(N1811)</f>
        <v>0</v>
      </c>
      <c r="CL1811" s="62" t="n">
        <f aca="false">N(M1811)</f>
        <v>0</v>
      </c>
      <c r="CM1811" s="62" t="n">
        <f aca="false">N(N1811)</f>
        <v>0</v>
      </c>
      <c r="CN1811" s="62" t="n">
        <f aca="false">ROUNDUP(H1811/BZ1811,0)</f>
        <v>0</v>
      </c>
      <c r="CO1811" s="62" t="n">
        <f aca="false">ROUNDUP(CJ1811/BZ1811,0)</f>
        <v>0</v>
      </c>
      <c r="CP1811" s="65" t="n">
        <f aca="false">IF(CA1811=1,0,IFERROR(VLOOKUP(BY1811,'Gebinde-Kategorie'!$A$5:$N$45,5,0)+0,0))</f>
        <v>0</v>
      </c>
      <c r="CQ1811" s="65" t="n">
        <f aca="false">IFERROR(IF(OR(CF1811=1,CF1811=2,CF1811=3),N(INDEX(Parameter!$I$5:$I$7,CF1811)),0),0)</f>
        <v>0</v>
      </c>
      <c r="CR1811" s="64" t="n">
        <f aca="false">IF(AND(Parameter!$B$21="Ja",ISNUMBER(W1811),N(X1811)&gt;0),IFERROR(N(INDEX(Parameter!$L$5:$L$7,W1811))*INDEX(Parameter!$E$5:$E$7,W1811)*X1811/SUMIFS($X$7:$X$1843,$W$7:$W$1843,W1811),0),0)</f>
        <v>0</v>
      </c>
      <c r="CS1811" s="62" t="str">
        <f aca="false">IF(AND(OR(CG1811="L1",CG1811="L23",CG1811="LIFT"),H1811&gt;0),CC1811*IF(CR1811&gt;0,CR1811*MAX(1,H1811/X1811),IF(CA1811=1,CE1811,IF(R1811&gt;0,CN1811/R1811,0))/MAX(0.1,N(Parameter!$M$21))),"")</f>
        <v/>
      </c>
      <c r="CT1811" s="64" t="str">
        <f aca="false">IF(CS1811="","",J1811/H1811)</f>
        <v/>
      </c>
      <c r="CU1811" s="62" t="str">
        <f aca="false">IF(CS1811="","",H1811*G1811)</f>
        <v/>
      </c>
      <c r="CV1811" s="63" t="str">
        <f aca="false">IF(CS1811="","",(CL1811+ROUNDUP(CL1811+MAX(CM1811,2*(J1811/MAX(0.1,N(Einkauf!$C$6))-CL1811)),0))/2)</f>
        <v/>
      </c>
      <c r="CW1811" s="62" t="str">
        <f aca="false">IF(CS1811="","",MAX(0,H1811-CV1811)*G1811)</f>
        <v/>
      </c>
      <c r="CX1811" s="62" t="str">
        <f aca="false">IF(CS1811="","",CS1811*MAX(0,1-CV1811/H1811))</f>
        <v/>
      </c>
      <c r="CY1811" s="64" t="str">
        <f aca="false">IF(CS1811="","",PERCENTRANK($CS$7:$CS$1843,CS1811)+PERCENTRANK($CU$7:$CU$1843,CU1811)+1-PERCENTRANK($CT$7:$CT$1843,CT1811))</f>
        <v/>
      </c>
      <c r="CZ1811" s="72" t="str">
        <f aca="false">IF(CS1811="","",CHOOSE(MATCH(Einkauf!$C$5,Parameter!$G$23:$G$27,0),CY1811,CS1811,CU1811,-CT1811,CW1811)+ROW()/1000000000)</f>
        <v/>
      </c>
    </row>
    <row r="1812" customFormat="false" ht="15" hidden="false" customHeight="false" outlineLevel="0" collapsed="false">
      <c r="A1812" s="60" t="str">
        <f aca="false">IF('Neue Artikel'!$A$73="","",'Neue Artikel'!$A$73&amp;"")</f>
        <v/>
      </c>
      <c r="B1812" s="60" t="str">
        <f aca="false">'Neue Artikel'!$B$73&amp;""</f>
        <v/>
      </c>
      <c r="C1812" s="60"/>
      <c r="D1812" s="60" t="s">
        <v>3057</v>
      </c>
      <c r="E1812" s="60"/>
      <c r="F1812" s="60"/>
      <c r="G1812" s="61" t="n">
        <f aca="false">N('Neue Artikel'!$G$73)</f>
        <v>0</v>
      </c>
      <c r="H1812" s="62" t="n">
        <f aca="false">MAX(0,IF(AND(Parameter!$B$21="Ja",ISNUMBER(Y1812)),Y1812,IF(Parameter!$B$20="Jahresanfang 2025 + Export",BS1812+BR1812,BR1812)))</f>
        <v>0</v>
      </c>
      <c r="I1812" s="62" t="n">
        <f aca="false">H1812*G1812</f>
        <v>0</v>
      </c>
      <c r="J1812" s="62" t="n">
        <f aca="false">BU1812*Parameter!$B$18</f>
        <v>0</v>
      </c>
      <c r="K1812" s="63"/>
      <c r="L1812" s="64"/>
      <c r="M1812" s="62" t="n">
        <f aca="false">N('Neue Artikel'!$E$73)</f>
        <v>0</v>
      </c>
      <c r="N1812" s="62" t="n">
        <f aca="false">N('Neue Artikel'!$F$73)</f>
        <v>0</v>
      </c>
      <c r="O1812" s="65"/>
      <c r="P1812" s="60" t="str">
        <f aca="false">IF('Neue Artikel'!$H$73="","LOSE",UPPER(TRIM('Neue Artikel'!$H$73)))</f>
        <v>LOSE</v>
      </c>
      <c r="Q1812" s="62" t="n">
        <f aca="false">N('Neue Artikel'!$I$73)</f>
        <v>0</v>
      </c>
      <c r="R1812" s="65" t="n">
        <f aca="false">IF(CA1812=1,0,IFERROR(VLOOKUP(BY1812,'Gebinde-Kategorie'!$A$5:$N$45,13,0)+0,0))</f>
        <v>0</v>
      </c>
      <c r="S1812" s="66"/>
      <c r="T1812" s="67"/>
      <c r="U1812" s="67"/>
      <c r="V1812" s="67"/>
      <c r="W1812" s="60"/>
      <c r="X1812" s="62"/>
      <c r="Y1812" s="62"/>
      <c r="Z1812" s="60"/>
      <c r="AA1812" s="60" t="str">
        <f aca="false">IF(A1812="","",IF(AND(Parameter!$B$21="Ja",ISNUMBER(W1812)),W1812,IF(AND(Parameter!$E$27="Ja",ISNUMBER(Z1812),CD1812&lt;&gt;"Nein"),Z1812,IF(CD1812="2+3",IF(ISNUMBER(SEARCH("grosser Artikel",BV1812)),2,IFERROR(VLOOKUP(BY1812,Parameter!$F$35:$G$64,2,0),2)),IF(OR(CD1812="Nein",CD1812=""),"-",CD1812)))))</f>
        <v/>
      </c>
      <c r="AB1812" s="60" t="str">
        <f aca="false">IF('Neue Artikel'!$J$73="","",'Neue Artikel'!$J$73)</f>
        <v/>
      </c>
      <c r="AC1812" s="68"/>
      <c r="AD1812" s="62" t="n">
        <f aca="false">AW1812</f>
        <v>0</v>
      </c>
      <c r="AE1812" s="62" t="n">
        <f aca="false">MAX(AW1812,H1812)</f>
        <v>0</v>
      </c>
      <c r="AF1812" s="69"/>
      <c r="AG1812" s="62" t="n">
        <f aca="false">IF(LEFT(Cockpit!$C$5,1)="A",H1812,IF(Parameter!$E$30="MAX-Bestand",IF(CI1812=1,CJ1812,IF(LEFT(Cockpit!$C$5,1)="B",AM1812,MAX(AM1812,H1812))),ROUNDUP(AK1812,0)))</f>
        <v>0</v>
      </c>
      <c r="AH1812" s="62" t="n">
        <f aca="false">IF(CA1812=1,0,ROUNDUP(AG1812/BZ1812,0))</f>
        <v>0</v>
      </c>
      <c r="AI1812" s="64" t="n">
        <f aca="false">IF(CR1812&gt;0,CR1812*MAX(1,AG1812/X1812),IF(CA1812=1,IF(AG1812&lt;=0,0,CE1812*MAX(1,IF(H1812&gt;0,AG1812/H1812,1))),IF(R1812&gt;0,AH1812/R1812,0))/MAX(0.1,N(Parameter!$M$21)))</f>
        <v>0</v>
      </c>
      <c r="AJ1812" s="62" t="n">
        <f aca="false">AI1812*CC1812</f>
        <v>0</v>
      </c>
      <c r="AK1812" s="63" t="n">
        <f aca="false">IF(LEFT(Cockpit!$C$5,1)="A",H1812,IF(CI1812=1,(CL1812+CJ1812)/2,IF(LEFT(Cockpit!$C$5,1)="B",(CL1812+AM1812)/2,MAX((CL1812+AM1812)/2,H1812))))</f>
        <v>0</v>
      </c>
      <c r="AL1812" s="62" t="n">
        <f aca="false">AK1812*G1812</f>
        <v>0</v>
      </c>
      <c r="AM1812" s="62" t="n">
        <f aca="false">ROUNDUP(CL1812+MAX(CM1812,2*(J1812/IF(CH1812&gt;0,CH1812,MAX(0.1,N(Cockpit!$C$6)))-CL1812)),0)</f>
        <v>0</v>
      </c>
      <c r="AN1812" s="63" t="n">
        <f aca="false">IF(AJ1812&gt;0,J1812/AJ1812,-1)</f>
        <v>-1</v>
      </c>
      <c r="AO1812" s="63" t="str">
        <f aca="false">IF(AND(OR(CG1812="L1",CG1812="L23",CG1812="LIFT"),AJ1812&gt;0),SUMIFS($AJ$7:$AJ$1843,$CG$7:$CG$1843,CG1812,$AN$7:$AN$1843,"&gt;"&amp;AN1812)+SUMIFS($AJ$7:$AJ$1843,$CG$7:$CG$1843,CG1812,$AN$7:$AN$1843,AN1812,$BX$7:$BX$1843,"&lt;="&amp;BX1812),"")</f>
        <v/>
      </c>
      <c r="AP1812" s="70" t="n">
        <f aca="false">IF(AO1812="",0,MAX(0,MIN(1,(IF(CG1812="L1",Parameter!$H$5,IF(CG1812="L23",Parameter!$H$6+Parameter!$H$7,Parameter!$H$5+Parameter!$H$6+Parameter!$H$7))-(AO1812-AJ1812))/AJ1812)))</f>
        <v>0</v>
      </c>
      <c r="AQ1812" s="62" t="n">
        <f aca="false">IF(LEFT(Cockpit!$I$5,1)="A",H1812,IF(Parameter!$E$30="MAX-Bestand",IF(CI1812=1,CJ1812,IF(LEFT(Cockpit!$I$5,1)="B",AW1812,MAX(AW1812,H1812))),ROUNDUP(AU1812,0)))</f>
        <v>0</v>
      </c>
      <c r="AR1812" s="62" t="n">
        <f aca="false">IF(CA1812=1,0,ROUNDUP(AQ1812/BZ1812,0))</f>
        <v>0</v>
      </c>
      <c r="AS1812" s="64" t="n">
        <f aca="false">IF(CR1812&gt;0,CR1812*MAX(1,AQ1812/X1812),IF(CA1812=1,IF(AQ1812&lt;=0,0,CE1812*MAX(1,IF(H1812&gt;0,AQ1812/H1812,1))),IF(R1812&gt;0,AR1812/R1812,0))/MAX(0.1,N(Parameter!$M$21)))</f>
        <v>0</v>
      </c>
      <c r="AT1812" s="62" t="n">
        <f aca="false">AS1812*CC1812</f>
        <v>0</v>
      </c>
      <c r="AU1812" s="63" t="n">
        <f aca="false">IF(LEFT(Cockpit!$I$5,1)="A",H1812,IF(CI1812=1,(CL1812+CJ1812)/2,IF(LEFT(Cockpit!$I$5,1)="B",(CL1812+AW1812)/2,MAX((CL1812+AW1812)/2,H1812))))</f>
        <v>0</v>
      </c>
      <c r="AV1812" s="62" t="n">
        <f aca="false">AU1812*G1812</f>
        <v>0</v>
      </c>
      <c r="AW1812" s="62" t="n">
        <f aca="false">ROUNDUP(CL1812+MAX(CM1812,2*(J1812/IF(CH1812&gt;0,CH1812,MAX(0.1,N(Cockpit!$I$6)))-CL1812)),0)</f>
        <v>0</v>
      </c>
      <c r="AX1812" s="63" t="n">
        <f aca="false">IF(AT1812&gt;0,J1812/AT1812,-1)</f>
        <v>-1</v>
      </c>
      <c r="AY1812" s="63" t="str">
        <f aca="false">IF(AND(OR(CG1812="L1",CG1812="L23",CG1812="LIFT"),AT1812&gt;0),SUMIFS($AT$7:$AT$1843,$CG$7:$CG$1843,CG1812,$AX$7:$AX$1843,"&gt;"&amp;AX1812)+SUMIFS($AT$7:$AT$1843,$CG$7:$CG$1843,CG1812,$AX$7:$AX$1843,AX1812,$BX$7:$BX$1843,"&lt;="&amp;BX1812),"")</f>
        <v/>
      </c>
      <c r="AZ1812" s="70" t="n">
        <f aca="false">IF(AY1812="",0,MAX(0,MIN(1,(IF(CG1812="L1",Parameter!$H$5,IF(CG1812="L23",Parameter!$H$6+Parameter!$H$7,Parameter!$H$5+Parameter!$H$6+Parameter!$H$7))-(AY1812-AT1812))/AT1812)))</f>
        <v>0</v>
      </c>
      <c r="BA1812" s="62" t="n">
        <f aca="false">IF(LEFT(Cockpit!$O$5,1)="A",H1812,IF(Parameter!$E$30="MAX-Bestand",IF(CI1812=1,CJ1812,IF(LEFT(Cockpit!$O$5,1)="B",BG1812,MAX(BG1812,H1812))),ROUNDUP(BE1812,0)))</f>
        <v>0</v>
      </c>
      <c r="BB1812" s="62" t="n">
        <f aca="false">IF(CA1812=1,0,ROUNDUP(BA1812/BZ1812,0))</f>
        <v>0</v>
      </c>
      <c r="BC1812" s="64" t="n">
        <f aca="false">IF(CR1812&gt;0,CR1812*MAX(1,BA1812/X1812),IF(CA1812=1,IF(BA1812&lt;=0,0,CE1812*MAX(1,IF(H1812&gt;0,BA1812/H1812,1))),IF(R1812&gt;0,BB1812/R1812,0))/MAX(0.1,N(Parameter!$M$21)))</f>
        <v>0</v>
      </c>
      <c r="BD1812" s="62" t="n">
        <f aca="false">BC1812*CC1812</f>
        <v>0</v>
      </c>
      <c r="BE1812" s="63" t="n">
        <f aca="false">IF(LEFT(Cockpit!$O$5,1)="A",H1812,IF(CI1812=1,(CL1812+CJ1812)/2,IF(LEFT(Cockpit!$O$5,1)="B",(CL1812+BG1812)/2,MAX((CL1812+BG1812)/2,H1812))))</f>
        <v>0</v>
      </c>
      <c r="BF1812" s="62" t="n">
        <f aca="false">BE1812*G1812</f>
        <v>0</v>
      </c>
      <c r="BG1812" s="62" t="n">
        <f aca="false">ROUNDUP(CL1812+MAX(CM1812,2*(J1812/IF(CH1812&gt;0,CH1812,MAX(0.1,N(Cockpit!$O$6)))-CL1812)),0)</f>
        <v>0</v>
      </c>
      <c r="BH1812" s="63" t="n">
        <f aca="false">IF(BD1812&gt;0,J1812/BD1812,-1)</f>
        <v>-1</v>
      </c>
      <c r="BI1812" s="63" t="str">
        <f aca="false">IF(AND(OR(CG1812="L1",CG1812="L23",CG1812="LIFT"),BD1812&gt;0),SUMIFS($BD$7:$BD$1843,$CG$7:$CG$1843,CG1812,$BH$7:$BH$1843,"&gt;"&amp;BH1812)+SUMIFS($BD$7:$BD$1843,$CG$7:$CG$1843,CG1812,$BH$7:$BH$1843,BH1812,$BX$7:$BX$1843,"&lt;="&amp;BX1812),"")</f>
        <v/>
      </c>
      <c r="BJ1812" s="70" t="n">
        <f aca="false">IF(BI1812="",0,MAX(0,MIN(1,(IF(CG1812="L1",Parameter!$H$5,IF(CG1812="L23",Parameter!$H$6+Parameter!$H$7,Parameter!$H$5+Parameter!$H$6+Parameter!$H$7))-(BI1812-BD1812))/BD1812)))</f>
        <v>0</v>
      </c>
      <c r="BK1812" s="60" t="str">
        <f aca="false">IF(AJ1812&lt;=0,"",IF(CG1812="Aussen","Aussenlager",IF(CG1812="-","Nicht im Lift",IF(AP1812&gt;=1,"Lift",IF(AP1812&lt;=0,"Aussenlager","teilweise")))))</f>
        <v/>
      </c>
      <c r="BL1812" s="60" t="str">
        <f aca="false">IF(AT1812&lt;=0,"",IF(CG1812="Aussen","Aussenlager",IF(CG1812="-","Nicht im Lift",IF(AZ1812&gt;=1,"Lift",IF(AZ1812&lt;=0,"Aussenlager","teilweise")))))</f>
        <v/>
      </c>
      <c r="BM1812" s="60" t="str">
        <f aca="false">IF(BD1812&lt;=0,"",IF(CG1812="Aussen","Aussenlager",IF(CG1812="-","Nicht im Lift",IF(BJ1812&gt;=1,"Lift",IF(BJ1812&lt;=0,"Aussenlager","teilweise")))))</f>
        <v/>
      </c>
      <c r="BN1812" s="60" t="str">
        <f aca="false">IF(A1812="","",IF(BW1812=1,"Neu; ","")&amp;IF(AND(BW1812=0,BR1812&lt;0),"negativer Bestand (Export "&amp;BR1812&amp;"); ","")&amp;IF(J1812&lt;=0,"Kein Verbrauch; ","")&amp;IF(CR1812&gt;0,"Lift "&amp;W1812&amp;" lt. Liftbericht (Fach "&amp;X1812&amp;" Stk); ",IF(CB1812=1,"Gebinde geschätzt ("&amp;T1812&amp;"); ",IF(CA1812=1,"Lose – Tablare geschätzt; ","")))&amp;IF(H1812&gt;AW1812,"Überbestand "&amp;ROUND(H1812-AW1812,0)&amp;" Stk / CHF "&amp;ROUND((H1812-AW1812)*G1812,0)&amp;"; ","")&amp;IF(AND(CI1812=1,CJ1812&lt;CK1812),"MAX &lt; MB+LG; ","")&amp;IF(AND(CQ1812&gt;0,CP1812*10&gt;CQ1812),"zu hoch für Tablar; ","")&amp;IF(AND(BW1812=0,OR(CI1812=1,AB1812&lt;&gt;"",U1812&lt;&gt;"",V1812&lt;&gt;"",AC1812&lt;&gt;"")),"manuell übersteuert; ","")&amp;IF(AND(CA1812=0,R1812=0),"Gebinde unbekannt / Stellmass fehlt; ","")&amp;IF(AND(CA1812=0,N(V1812)&lt;=0,N(Q1812)&lt;=0),"Menge pro Gebinde fehlt (Ist = 1 Gebinde); ","")&amp;BV1812)</f>
        <v/>
      </c>
      <c r="BO1812" s="60"/>
      <c r="BP1812" s="60"/>
      <c r="BQ1812" s="67"/>
      <c r="BR1812" s="62" t="n">
        <f aca="false">N('Neue Artikel'!$D$73)</f>
        <v>0</v>
      </c>
      <c r="BS1812" s="62" t="n">
        <v>0</v>
      </c>
      <c r="BT1812" s="61" t="n">
        <v>0</v>
      </c>
      <c r="BU1812" s="62" t="n">
        <f aca="false">N('Neue Artikel'!$C$73)/Parameter!$B$18</f>
        <v>0</v>
      </c>
      <c r="BV1812" s="60"/>
      <c r="BW1812" s="65" t="n">
        <v>1</v>
      </c>
      <c r="BX1812" s="65" t="n">
        <v>1812</v>
      </c>
      <c r="BY1812" s="60" t="str">
        <f aca="false">IF(U1812&lt;&gt;"",UPPER(TRIM(U1812)),IF(CB1812=1,UPPER(VLOOKUP(T1812,Parameter!$I$27:$K$29,2,0)),IF(P1812="","LOSE",P1812)))</f>
        <v>LOSE</v>
      </c>
      <c r="BZ1812" s="62" t="n">
        <f aca="false">IF(BY1812="LOSE",1,IF(N(V1812)&gt;0,V1812,IF(CB1812=1,MAX(1,N(VLOOKUP(T1812,Parameter!$I$27:$K$29,3,0)),H1812,N(N1812)),IF(N(Q1812)&gt;0,Q1812,MAX(1,H1812)))))</f>
        <v>1</v>
      </c>
      <c r="CA1812" s="65" t="n">
        <f aca="false">IF(BY1812="LOSE",1,0)</f>
        <v>1</v>
      </c>
      <c r="CB1812" s="65" t="n">
        <f aca="false">IF(AND(U1812="",OR(P1812="",P1812="LOSE"),T1812&lt;&gt;"",N(S1812)&lt;=0,ISNUMBER(MATCH(T1812,Parameter!$I$27:$I$29,0))),1,0)</f>
        <v>0</v>
      </c>
      <c r="CC1812" s="65" t="n">
        <f aca="false">IF(CR1812&gt;0,INDEX(Parameter!$H$5:$H$7,W1812)/INDEX(Parameter!$E$5:$E$7,W1812),IF(AND(CA1812=0,N(IFERROR(VLOOKUP(BY1812,'Gebinde-Kategorie'!$A$5:$N$45,14,0),0))&gt;0),VLOOKUP(BY1812,'Gebinde-Kategorie'!$A$5:$N$45,14,0)*10+Parameter!$M$23,Parameter!$M$24))</f>
        <v>235</v>
      </c>
      <c r="CD1812" s="60" t="str">
        <f aca="false">IF(AND(Parameter!$B$19="Ja",E1812&lt;&gt;"",ISNUMBER(MATCH(E1812,Parameter!$I$35:$I$52,0))),VLOOKUP(E1812,Parameter!$I$35:$J$52,2,0),IFERROR(VLOOKUP(D1812,Parameter!$A$35:$C$64,2,0),"Nein"))</f>
        <v>2+3</v>
      </c>
      <c r="CE1812" s="64" t="n">
        <f aca="false">IF(CA1812=0,0,IF(N(S1812)&gt;0,S1812,IFERROR(VLOOKUP(D1812,Parameter!$A$35:$C$64,3,0)+0,0)))</f>
        <v>0.15</v>
      </c>
      <c r="CF1812" s="60" t="str">
        <f aca="false">IF(AB1812&lt;&gt;"",AB1812,AA1812)</f>
        <v/>
      </c>
      <c r="CG1812" s="60" t="str">
        <f aca="false">IF(OR(CF1812=1,CF1812=2,CF1812=3),IF(Parameter!$E$27="Ja","LIFT",IF(CF1812=1,"L1","L23")),IF(CF1812="Aussen","Aussen","-"))</f>
        <v>-</v>
      </c>
      <c r="CH1812" s="71" t="n">
        <f aca="false">IF(N(AC1812)&gt;0,AC1812,0)</f>
        <v>0</v>
      </c>
      <c r="CI1812" s="65" t="n">
        <f aca="false">IF(ISNUMBER(AF1812),1,0)</f>
        <v>0</v>
      </c>
      <c r="CJ1812" s="62" t="n">
        <f aca="false">N(AF1812)</f>
        <v>0</v>
      </c>
      <c r="CK1812" s="62" t="n">
        <f aca="false">N(M1812)+N(N1812)</f>
        <v>0</v>
      </c>
      <c r="CL1812" s="62" t="n">
        <f aca="false">N(M1812)</f>
        <v>0</v>
      </c>
      <c r="CM1812" s="62" t="n">
        <f aca="false">N(N1812)</f>
        <v>0</v>
      </c>
      <c r="CN1812" s="62" t="n">
        <f aca="false">ROUNDUP(H1812/BZ1812,0)</f>
        <v>0</v>
      </c>
      <c r="CO1812" s="62" t="n">
        <f aca="false">ROUNDUP(CJ1812/BZ1812,0)</f>
        <v>0</v>
      </c>
      <c r="CP1812" s="65" t="n">
        <f aca="false">IF(CA1812=1,0,IFERROR(VLOOKUP(BY1812,'Gebinde-Kategorie'!$A$5:$N$45,5,0)+0,0))</f>
        <v>0</v>
      </c>
      <c r="CQ1812" s="65" t="n">
        <f aca="false">IFERROR(IF(OR(CF1812=1,CF1812=2,CF1812=3),N(INDEX(Parameter!$I$5:$I$7,CF1812)),0),0)</f>
        <v>0</v>
      </c>
      <c r="CR1812" s="64" t="n">
        <f aca="false">IF(AND(Parameter!$B$21="Ja",ISNUMBER(W1812),N(X1812)&gt;0),IFERROR(N(INDEX(Parameter!$L$5:$L$7,W1812))*INDEX(Parameter!$E$5:$E$7,W1812)*X1812/SUMIFS($X$7:$X$1843,$W$7:$W$1843,W1812),0),0)</f>
        <v>0</v>
      </c>
      <c r="CS1812" s="62" t="str">
        <f aca="false">IF(AND(OR(CG1812="L1",CG1812="L23",CG1812="LIFT"),H1812&gt;0),CC1812*IF(CR1812&gt;0,CR1812*MAX(1,H1812/X1812),IF(CA1812=1,CE1812,IF(R1812&gt;0,CN1812/R1812,0))/MAX(0.1,N(Parameter!$M$21))),"")</f>
        <v/>
      </c>
      <c r="CT1812" s="64" t="str">
        <f aca="false">IF(CS1812="","",J1812/H1812)</f>
        <v/>
      </c>
      <c r="CU1812" s="62" t="str">
        <f aca="false">IF(CS1812="","",H1812*G1812)</f>
        <v/>
      </c>
      <c r="CV1812" s="63" t="str">
        <f aca="false">IF(CS1812="","",(CL1812+ROUNDUP(CL1812+MAX(CM1812,2*(J1812/MAX(0.1,N(Einkauf!$C$6))-CL1812)),0))/2)</f>
        <v/>
      </c>
      <c r="CW1812" s="62" t="str">
        <f aca="false">IF(CS1812="","",MAX(0,H1812-CV1812)*G1812)</f>
        <v/>
      </c>
      <c r="CX1812" s="62" t="str">
        <f aca="false">IF(CS1812="","",CS1812*MAX(0,1-CV1812/H1812))</f>
        <v/>
      </c>
      <c r="CY1812" s="64" t="str">
        <f aca="false">IF(CS1812="","",PERCENTRANK($CS$7:$CS$1843,CS1812)+PERCENTRANK($CU$7:$CU$1843,CU1812)+1-PERCENTRANK($CT$7:$CT$1843,CT1812))</f>
        <v/>
      </c>
      <c r="CZ1812" s="72" t="str">
        <f aca="false">IF(CS1812="","",CHOOSE(MATCH(Einkauf!$C$5,Parameter!$G$23:$G$27,0),CY1812,CS1812,CU1812,-CT1812,CW1812)+ROW()/1000000000)</f>
        <v/>
      </c>
    </row>
    <row r="1813" customFormat="false" ht="15" hidden="false" customHeight="false" outlineLevel="0" collapsed="false">
      <c r="A1813" s="60" t="str">
        <f aca="false">IF('Neue Artikel'!$A$74="","",'Neue Artikel'!$A$74&amp;"")</f>
        <v/>
      </c>
      <c r="B1813" s="60" t="str">
        <f aca="false">'Neue Artikel'!$B$74&amp;""</f>
        <v/>
      </c>
      <c r="C1813" s="60"/>
      <c r="D1813" s="60" t="s">
        <v>3057</v>
      </c>
      <c r="E1813" s="60"/>
      <c r="F1813" s="60"/>
      <c r="G1813" s="61" t="n">
        <f aca="false">N('Neue Artikel'!$G$74)</f>
        <v>0</v>
      </c>
      <c r="H1813" s="62" t="n">
        <f aca="false">MAX(0,IF(AND(Parameter!$B$21="Ja",ISNUMBER(Y1813)),Y1813,IF(Parameter!$B$20="Jahresanfang 2025 + Export",BS1813+BR1813,BR1813)))</f>
        <v>0</v>
      </c>
      <c r="I1813" s="62" t="n">
        <f aca="false">H1813*G1813</f>
        <v>0</v>
      </c>
      <c r="J1813" s="62" t="n">
        <f aca="false">BU1813*Parameter!$B$18</f>
        <v>0</v>
      </c>
      <c r="K1813" s="63"/>
      <c r="L1813" s="64"/>
      <c r="M1813" s="62" t="n">
        <f aca="false">N('Neue Artikel'!$E$74)</f>
        <v>0</v>
      </c>
      <c r="N1813" s="62" t="n">
        <f aca="false">N('Neue Artikel'!$F$74)</f>
        <v>0</v>
      </c>
      <c r="O1813" s="65"/>
      <c r="P1813" s="60" t="str">
        <f aca="false">IF('Neue Artikel'!$H$74="","LOSE",UPPER(TRIM('Neue Artikel'!$H$74)))</f>
        <v>LOSE</v>
      </c>
      <c r="Q1813" s="62" t="n">
        <f aca="false">N('Neue Artikel'!$I$74)</f>
        <v>0</v>
      </c>
      <c r="R1813" s="65" t="n">
        <f aca="false">IF(CA1813=1,0,IFERROR(VLOOKUP(BY1813,'Gebinde-Kategorie'!$A$5:$N$45,13,0)+0,0))</f>
        <v>0</v>
      </c>
      <c r="S1813" s="66"/>
      <c r="T1813" s="67"/>
      <c r="U1813" s="67"/>
      <c r="V1813" s="67"/>
      <c r="W1813" s="60"/>
      <c r="X1813" s="62"/>
      <c r="Y1813" s="62"/>
      <c r="Z1813" s="60"/>
      <c r="AA1813" s="60" t="str">
        <f aca="false">IF(A1813="","",IF(AND(Parameter!$B$21="Ja",ISNUMBER(W1813)),W1813,IF(AND(Parameter!$E$27="Ja",ISNUMBER(Z1813),CD1813&lt;&gt;"Nein"),Z1813,IF(CD1813="2+3",IF(ISNUMBER(SEARCH("grosser Artikel",BV1813)),2,IFERROR(VLOOKUP(BY1813,Parameter!$F$35:$G$64,2,0),2)),IF(OR(CD1813="Nein",CD1813=""),"-",CD1813)))))</f>
        <v/>
      </c>
      <c r="AB1813" s="60" t="str">
        <f aca="false">IF('Neue Artikel'!$J$74="","",'Neue Artikel'!$J$74)</f>
        <v/>
      </c>
      <c r="AC1813" s="68"/>
      <c r="AD1813" s="62" t="n">
        <f aca="false">AW1813</f>
        <v>0</v>
      </c>
      <c r="AE1813" s="62" t="n">
        <f aca="false">MAX(AW1813,H1813)</f>
        <v>0</v>
      </c>
      <c r="AF1813" s="69"/>
      <c r="AG1813" s="62" t="n">
        <f aca="false">IF(LEFT(Cockpit!$C$5,1)="A",H1813,IF(Parameter!$E$30="MAX-Bestand",IF(CI1813=1,CJ1813,IF(LEFT(Cockpit!$C$5,1)="B",AM1813,MAX(AM1813,H1813))),ROUNDUP(AK1813,0)))</f>
        <v>0</v>
      </c>
      <c r="AH1813" s="62" t="n">
        <f aca="false">IF(CA1813=1,0,ROUNDUP(AG1813/BZ1813,0))</f>
        <v>0</v>
      </c>
      <c r="AI1813" s="64" t="n">
        <f aca="false">IF(CR1813&gt;0,CR1813*MAX(1,AG1813/X1813),IF(CA1813=1,IF(AG1813&lt;=0,0,CE1813*MAX(1,IF(H1813&gt;0,AG1813/H1813,1))),IF(R1813&gt;0,AH1813/R1813,0))/MAX(0.1,N(Parameter!$M$21)))</f>
        <v>0</v>
      </c>
      <c r="AJ1813" s="62" t="n">
        <f aca="false">AI1813*CC1813</f>
        <v>0</v>
      </c>
      <c r="AK1813" s="63" t="n">
        <f aca="false">IF(LEFT(Cockpit!$C$5,1)="A",H1813,IF(CI1813=1,(CL1813+CJ1813)/2,IF(LEFT(Cockpit!$C$5,1)="B",(CL1813+AM1813)/2,MAX((CL1813+AM1813)/2,H1813))))</f>
        <v>0</v>
      </c>
      <c r="AL1813" s="62" t="n">
        <f aca="false">AK1813*G1813</f>
        <v>0</v>
      </c>
      <c r="AM1813" s="62" t="n">
        <f aca="false">ROUNDUP(CL1813+MAX(CM1813,2*(J1813/IF(CH1813&gt;0,CH1813,MAX(0.1,N(Cockpit!$C$6)))-CL1813)),0)</f>
        <v>0</v>
      </c>
      <c r="AN1813" s="63" t="n">
        <f aca="false">IF(AJ1813&gt;0,J1813/AJ1813,-1)</f>
        <v>-1</v>
      </c>
      <c r="AO1813" s="63" t="str">
        <f aca="false">IF(AND(OR(CG1813="L1",CG1813="L23",CG1813="LIFT"),AJ1813&gt;0),SUMIFS($AJ$7:$AJ$1843,$CG$7:$CG$1843,CG1813,$AN$7:$AN$1843,"&gt;"&amp;AN1813)+SUMIFS($AJ$7:$AJ$1843,$CG$7:$CG$1843,CG1813,$AN$7:$AN$1843,AN1813,$BX$7:$BX$1843,"&lt;="&amp;BX1813),"")</f>
        <v/>
      </c>
      <c r="AP1813" s="70" t="n">
        <f aca="false">IF(AO1813="",0,MAX(0,MIN(1,(IF(CG1813="L1",Parameter!$H$5,IF(CG1813="L23",Parameter!$H$6+Parameter!$H$7,Parameter!$H$5+Parameter!$H$6+Parameter!$H$7))-(AO1813-AJ1813))/AJ1813)))</f>
        <v>0</v>
      </c>
      <c r="AQ1813" s="62" t="n">
        <f aca="false">IF(LEFT(Cockpit!$I$5,1)="A",H1813,IF(Parameter!$E$30="MAX-Bestand",IF(CI1813=1,CJ1813,IF(LEFT(Cockpit!$I$5,1)="B",AW1813,MAX(AW1813,H1813))),ROUNDUP(AU1813,0)))</f>
        <v>0</v>
      </c>
      <c r="AR1813" s="62" t="n">
        <f aca="false">IF(CA1813=1,0,ROUNDUP(AQ1813/BZ1813,0))</f>
        <v>0</v>
      </c>
      <c r="AS1813" s="64" t="n">
        <f aca="false">IF(CR1813&gt;0,CR1813*MAX(1,AQ1813/X1813),IF(CA1813=1,IF(AQ1813&lt;=0,0,CE1813*MAX(1,IF(H1813&gt;0,AQ1813/H1813,1))),IF(R1813&gt;0,AR1813/R1813,0))/MAX(0.1,N(Parameter!$M$21)))</f>
        <v>0</v>
      </c>
      <c r="AT1813" s="62" t="n">
        <f aca="false">AS1813*CC1813</f>
        <v>0</v>
      </c>
      <c r="AU1813" s="63" t="n">
        <f aca="false">IF(LEFT(Cockpit!$I$5,1)="A",H1813,IF(CI1813=1,(CL1813+CJ1813)/2,IF(LEFT(Cockpit!$I$5,1)="B",(CL1813+AW1813)/2,MAX((CL1813+AW1813)/2,H1813))))</f>
        <v>0</v>
      </c>
      <c r="AV1813" s="62" t="n">
        <f aca="false">AU1813*G1813</f>
        <v>0</v>
      </c>
      <c r="AW1813" s="62" t="n">
        <f aca="false">ROUNDUP(CL1813+MAX(CM1813,2*(J1813/IF(CH1813&gt;0,CH1813,MAX(0.1,N(Cockpit!$I$6)))-CL1813)),0)</f>
        <v>0</v>
      </c>
      <c r="AX1813" s="63" t="n">
        <f aca="false">IF(AT1813&gt;0,J1813/AT1813,-1)</f>
        <v>-1</v>
      </c>
      <c r="AY1813" s="63" t="str">
        <f aca="false">IF(AND(OR(CG1813="L1",CG1813="L23",CG1813="LIFT"),AT1813&gt;0),SUMIFS($AT$7:$AT$1843,$CG$7:$CG$1843,CG1813,$AX$7:$AX$1843,"&gt;"&amp;AX1813)+SUMIFS($AT$7:$AT$1843,$CG$7:$CG$1843,CG1813,$AX$7:$AX$1843,AX1813,$BX$7:$BX$1843,"&lt;="&amp;BX1813),"")</f>
        <v/>
      </c>
      <c r="AZ1813" s="70" t="n">
        <f aca="false">IF(AY1813="",0,MAX(0,MIN(1,(IF(CG1813="L1",Parameter!$H$5,IF(CG1813="L23",Parameter!$H$6+Parameter!$H$7,Parameter!$H$5+Parameter!$H$6+Parameter!$H$7))-(AY1813-AT1813))/AT1813)))</f>
        <v>0</v>
      </c>
      <c r="BA1813" s="62" t="n">
        <f aca="false">IF(LEFT(Cockpit!$O$5,1)="A",H1813,IF(Parameter!$E$30="MAX-Bestand",IF(CI1813=1,CJ1813,IF(LEFT(Cockpit!$O$5,1)="B",BG1813,MAX(BG1813,H1813))),ROUNDUP(BE1813,0)))</f>
        <v>0</v>
      </c>
      <c r="BB1813" s="62" t="n">
        <f aca="false">IF(CA1813=1,0,ROUNDUP(BA1813/BZ1813,0))</f>
        <v>0</v>
      </c>
      <c r="BC1813" s="64" t="n">
        <f aca="false">IF(CR1813&gt;0,CR1813*MAX(1,BA1813/X1813),IF(CA1813=1,IF(BA1813&lt;=0,0,CE1813*MAX(1,IF(H1813&gt;0,BA1813/H1813,1))),IF(R1813&gt;0,BB1813/R1813,0))/MAX(0.1,N(Parameter!$M$21)))</f>
        <v>0</v>
      </c>
      <c r="BD1813" s="62" t="n">
        <f aca="false">BC1813*CC1813</f>
        <v>0</v>
      </c>
      <c r="BE1813" s="63" t="n">
        <f aca="false">IF(LEFT(Cockpit!$O$5,1)="A",H1813,IF(CI1813=1,(CL1813+CJ1813)/2,IF(LEFT(Cockpit!$O$5,1)="B",(CL1813+BG1813)/2,MAX((CL1813+BG1813)/2,H1813))))</f>
        <v>0</v>
      </c>
      <c r="BF1813" s="62" t="n">
        <f aca="false">BE1813*G1813</f>
        <v>0</v>
      </c>
      <c r="BG1813" s="62" t="n">
        <f aca="false">ROUNDUP(CL1813+MAX(CM1813,2*(J1813/IF(CH1813&gt;0,CH1813,MAX(0.1,N(Cockpit!$O$6)))-CL1813)),0)</f>
        <v>0</v>
      </c>
      <c r="BH1813" s="63" t="n">
        <f aca="false">IF(BD1813&gt;0,J1813/BD1813,-1)</f>
        <v>-1</v>
      </c>
      <c r="BI1813" s="63" t="str">
        <f aca="false">IF(AND(OR(CG1813="L1",CG1813="L23",CG1813="LIFT"),BD1813&gt;0),SUMIFS($BD$7:$BD$1843,$CG$7:$CG$1843,CG1813,$BH$7:$BH$1843,"&gt;"&amp;BH1813)+SUMIFS($BD$7:$BD$1843,$CG$7:$CG$1843,CG1813,$BH$7:$BH$1843,BH1813,$BX$7:$BX$1843,"&lt;="&amp;BX1813),"")</f>
        <v/>
      </c>
      <c r="BJ1813" s="70" t="n">
        <f aca="false">IF(BI1813="",0,MAX(0,MIN(1,(IF(CG1813="L1",Parameter!$H$5,IF(CG1813="L23",Parameter!$H$6+Parameter!$H$7,Parameter!$H$5+Parameter!$H$6+Parameter!$H$7))-(BI1813-BD1813))/BD1813)))</f>
        <v>0</v>
      </c>
      <c r="BK1813" s="60" t="str">
        <f aca="false">IF(AJ1813&lt;=0,"",IF(CG1813="Aussen","Aussenlager",IF(CG1813="-","Nicht im Lift",IF(AP1813&gt;=1,"Lift",IF(AP1813&lt;=0,"Aussenlager","teilweise")))))</f>
        <v/>
      </c>
      <c r="BL1813" s="60" t="str">
        <f aca="false">IF(AT1813&lt;=0,"",IF(CG1813="Aussen","Aussenlager",IF(CG1813="-","Nicht im Lift",IF(AZ1813&gt;=1,"Lift",IF(AZ1813&lt;=0,"Aussenlager","teilweise")))))</f>
        <v/>
      </c>
      <c r="BM1813" s="60" t="str">
        <f aca="false">IF(BD1813&lt;=0,"",IF(CG1813="Aussen","Aussenlager",IF(CG1813="-","Nicht im Lift",IF(BJ1813&gt;=1,"Lift",IF(BJ1813&lt;=0,"Aussenlager","teilweise")))))</f>
        <v/>
      </c>
      <c r="BN1813" s="60" t="str">
        <f aca="false">IF(A1813="","",IF(BW1813=1,"Neu; ","")&amp;IF(AND(BW1813=0,BR1813&lt;0),"negativer Bestand (Export "&amp;BR1813&amp;"); ","")&amp;IF(J1813&lt;=0,"Kein Verbrauch; ","")&amp;IF(CR1813&gt;0,"Lift "&amp;W1813&amp;" lt. Liftbericht (Fach "&amp;X1813&amp;" Stk); ",IF(CB1813=1,"Gebinde geschätzt ("&amp;T1813&amp;"); ",IF(CA1813=1,"Lose – Tablare geschätzt; ","")))&amp;IF(H1813&gt;AW1813,"Überbestand "&amp;ROUND(H1813-AW1813,0)&amp;" Stk / CHF "&amp;ROUND((H1813-AW1813)*G1813,0)&amp;"; ","")&amp;IF(AND(CI1813=1,CJ1813&lt;CK1813),"MAX &lt; MB+LG; ","")&amp;IF(AND(CQ1813&gt;0,CP1813*10&gt;CQ1813),"zu hoch für Tablar; ","")&amp;IF(AND(BW1813=0,OR(CI1813=1,AB1813&lt;&gt;"",U1813&lt;&gt;"",V1813&lt;&gt;"",AC1813&lt;&gt;"")),"manuell übersteuert; ","")&amp;IF(AND(CA1813=0,R1813=0),"Gebinde unbekannt / Stellmass fehlt; ","")&amp;IF(AND(CA1813=0,N(V1813)&lt;=0,N(Q1813)&lt;=0),"Menge pro Gebinde fehlt (Ist = 1 Gebinde); ","")&amp;BV1813)</f>
        <v/>
      </c>
      <c r="BO1813" s="60"/>
      <c r="BP1813" s="60"/>
      <c r="BQ1813" s="67"/>
      <c r="BR1813" s="62" t="n">
        <f aca="false">N('Neue Artikel'!$D$74)</f>
        <v>0</v>
      </c>
      <c r="BS1813" s="62" t="n">
        <v>0</v>
      </c>
      <c r="BT1813" s="61" t="n">
        <v>0</v>
      </c>
      <c r="BU1813" s="62" t="n">
        <f aca="false">N('Neue Artikel'!$C$74)/Parameter!$B$18</f>
        <v>0</v>
      </c>
      <c r="BV1813" s="60"/>
      <c r="BW1813" s="65" t="n">
        <v>1</v>
      </c>
      <c r="BX1813" s="65" t="n">
        <v>1813</v>
      </c>
      <c r="BY1813" s="60" t="str">
        <f aca="false">IF(U1813&lt;&gt;"",UPPER(TRIM(U1813)),IF(CB1813=1,UPPER(VLOOKUP(T1813,Parameter!$I$27:$K$29,2,0)),IF(P1813="","LOSE",P1813)))</f>
        <v>LOSE</v>
      </c>
      <c r="BZ1813" s="62" t="n">
        <f aca="false">IF(BY1813="LOSE",1,IF(N(V1813)&gt;0,V1813,IF(CB1813=1,MAX(1,N(VLOOKUP(T1813,Parameter!$I$27:$K$29,3,0)),H1813,N(N1813)),IF(N(Q1813)&gt;0,Q1813,MAX(1,H1813)))))</f>
        <v>1</v>
      </c>
      <c r="CA1813" s="65" t="n">
        <f aca="false">IF(BY1813="LOSE",1,0)</f>
        <v>1</v>
      </c>
      <c r="CB1813" s="65" t="n">
        <f aca="false">IF(AND(U1813="",OR(P1813="",P1813="LOSE"),T1813&lt;&gt;"",N(S1813)&lt;=0,ISNUMBER(MATCH(T1813,Parameter!$I$27:$I$29,0))),1,0)</f>
        <v>0</v>
      </c>
      <c r="CC1813" s="65" t="n">
        <f aca="false">IF(CR1813&gt;0,INDEX(Parameter!$H$5:$H$7,W1813)/INDEX(Parameter!$E$5:$E$7,W1813),IF(AND(CA1813=0,N(IFERROR(VLOOKUP(BY1813,'Gebinde-Kategorie'!$A$5:$N$45,14,0),0))&gt;0),VLOOKUP(BY1813,'Gebinde-Kategorie'!$A$5:$N$45,14,0)*10+Parameter!$M$23,Parameter!$M$24))</f>
        <v>235</v>
      </c>
      <c r="CD1813" s="60" t="str">
        <f aca="false">IF(AND(Parameter!$B$19="Ja",E1813&lt;&gt;"",ISNUMBER(MATCH(E1813,Parameter!$I$35:$I$52,0))),VLOOKUP(E1813,Parameter!$I$35:$J$52,2,0),IFERROR(VLOOKUP(D1813,Parameter!$A$35:$C$64,2,0),"Nein"))</f>
        <v>2+3</v>
      </c>
      <c r="CE1813" s="64" t="n">
        <f aca="false">IF(CA1813=0,0,IF(N(S1813)&gt;0,S1813,IFERROR(VLOOKUP(D1813,Parameter!$A$35:$C$64,3,0)+0,0)))</f>
        <v>0.15</v>
      </c>
      <c r="CF1813" s="60" t="str">
        <f aca="false">IF(AB1813&lt;&gt;"",AB1813,AA1813)</f>
        <v/>
      </c>
      <c r="CG1813" s="60" t="str">
        <f aca="false">IF(OR(CF1813=1,CF1813=2,CF1813=3),IF(Parameter!$E$27="Ja","LIFT",IF(CF1813=1,"L1","L23")),IF(CF1813="Aussen","Aussen","-"))</f>
        <v>-</v>
      </c>
      <c r="CH1813" s="71" t="n">
        <f aca="false">IF(N(AC1813)&gt;0,AC1813,0)</f>
        <v>0</v>
      </c>
      <c r="CI1813" s="65" t="n">
        <f aca="false">IF(ISNUMBER(AF1813),1,0)</f>
        <v>0</v>
      </c>
      <c r="CJ1813" s="62" t="n">
        <f aca="false">N(AF1813)</f>
        <v>0</v>
      </c>
      <c r="CK1813" s="62" t="n">
        <f aca="false">N(M1813)+N(N1813)</f>
        <v>0</v>
      </c>
      <c r="CL1813" s="62" t="n">
        <f aca="false">N(M1813)</f>
        <v>0</v>
      </c>
      <c r="CM1813" s="62" t="n">
        <f aca="false">N(N1813)</f>
        <v>0</v>
      </c>
      <c r="CN1813" s="62" t="n">
        <f aca="false">ROUNDUP(H1813/BZ1813,0)</f>
        <v>0</v>
      </c>
      <c r="CO1813" s="62" t="n">
        <f aca="false">ROUNDUP(CJ1813/BZ1813,0)</f>
        <v>0</v>
      </c>
      <c r="CP1813" s="65" t="n">
        <f aca="false">IF(CA1813=1,0,IFERROR(VLOOKUP(BY1813,'Gebinde-Kategorie'!$A$5:$N$45,5,0)+0,0))</f>
        <v>0</v>
      </c>
      <c r="CQ1813" s="65" t="n">
        <f aca="false">IFERROR(IF(OR(CF1813=1,CF1813=2,CF1813=3),N(INDEX(Parameter!$I$5:$I$7,CF1813)),0),0)</f>
        <v>0</v>
      </c>
      <c r="CR1813" s="64" t="n">
        <f aca="false">IF(AND(Parameter!$B$21="Ja",ISNUMBER(W1813),N(X1813)&gt;0),IFERROR(N(INDEX(Parameter!$L$5:$L$7,W1813))*INDEX(Parameter!$E$5:$E$7,W1813)*X1813/SUMIFS($X$7:$X$1843,$W$7:$W$1843,W1813),0),0)</f>
        <v>0</v>
      </c>
      <c r="CS1813" s="62" t="str">
        <f aca="false">IF(AND(OR(CG1813="L1",CG1813="L23",CG1813="LIFT"),H1813&gt;0),CC1813*IF(CR1813&gt;0,CR1813*MAX(1,H1813/X1813),IF(CA1813=1,CE1813,IF(R1813&gt;0,CN1813/R1813,0))/MAX(0.1,N(Parameter!$M$21))),"")</f>
        <v/>
      </c>
      <c r="CT1813" s="64" t="str">
        <f aca="false">IF(CS1813="","",J1813/H1813)</f>
        <v/>
      </c>
      <c r="CU1813" s="62" t="str">
        <f aca="false">IF(CS1813="","",H1813*G1813)</f>
        <v/>
      </c>
      <c r="CV1813" s="63" t="str">
        <f aca="false">IF(CS1813="","",(CL1813+ROUNDUP(CL1813+MAX(CM1813,2*(J1813/MAX(0.1,N(Einkauf!$C$6))-CL1813)),0))/2)</f>
        <v/>
      </c>
      <c r="CW1813" s="62" t="str">
        <f aca="false">IF(CS1813="","",MAX(0,H1813-CV1813)*G1813)</f>
        <v/>
      </c>
      <c r="CX1813" s="62" t="str">
        <f aca="false">IF(CS1813="","",CS1813*MAX(0,1-CV1813/H1813))</f>
        <v/>
      </c>
      <c r="CY1813" s="64" t="str">
        <f aca="false">IF(CS1813="","",PERCENTRANK($CS$7:$CS$1843,CS1813)+PERCENTRANK($CU$7:$CU$1843,CU1813)+1-PERCENTRANK($CT$7:$CT$1843,CT1813))</f>
        <v/>
      </c>
      <c r="CZ1813" s="72" t="str">
        <f aca="false">IF(CS1813="","",CHOOSE(MATCH(Einkauf!$C$5,Parameter!$G$23:$G$27,0),CY1813,CS1813,CU1813,-CT1813,CW1813)+ROW()/1000000000)</f>
        <v/>
      </c>
    </row>
    <row r="1814" customFormat="false" ht="15" hidden="false" customHeight="false" outlineLevel="0" collapsed="false">
      <c r="A1814" s="60" t="str">
        <f aca="false">IF('Neue Artikel'!$A$75="","",'Neue Artikel'!$A$75&amp;"")</f>
        <v/>
      </c>
      <c r="B1814" s="60" t="str">
        <f aca="false">'Neue Artikel'!$B$75&amp;""</f>
        <v/>
      </c>
      <c r="C1814" s="60"/>
      <c r="D1814" s="60" t="s">
        <v>3057</v>
      </c>
      <c r="E1814" s="60"/>
      <c r="F1814" s="60"/>
      <c r="G1814" s="61" t="n">
        <f aca="false">N('Neue Artikel'!$G$75)</f>
        <v>0</v>
      </c>
      <c r="H1814" s="62" t="n">
        <f aca="false">MAX(0,IF(AND(Parameter!$B$21="Ja",ISNUMBER(Y1814)),Y1814,IF(Parameter!$B$20="Jahresanfang 2025 + Export",BS1814+BR1814,BR1814)))</f>
        <v>0</v>
      </c>
      <c r="I1814" s="62" t="n">
        <f aca="false">H1814*G1814</f>
        <v>0</v>
      </c>
      <c r="J1814" s="62" t="n">
        <f aca="false">BU1814*Parameter!$B$18</f>
        <v>0</v>
      </c>
      <c r="K1814" s="63"/>
      <c r="L1814" s="64"/>
      <c r="M1814" s="62" t="n">
        <f aca="false">N('Neue Artikel'!$E$75)</f>
        <v>0</v>
      </c>
      <c r="N1814" s="62" t="n">
        <f aca="false">N('Neue Artikel'!$F$75)</f>
        <v>0</v>
      </c>
      <c r="O1814" s="65"/>
      <c r="P1814" s="60" t="str">
        <f aca="false">IF('Neue Artikel'!$H$75="","LOSE",UPPER(TRIM('Neue Artikel'!$H$75)))</f>
        <v>LOSE</v>
      </c>
      <c r="Q1814" s="62" t="n">
        <f aca="false">N('Neue Artikel'!$I$75)</f>
        <v>0</v>
      </c>
      <c r="R1814" s="65" t="n">
        <f aca="false">IF(CA1814=1,0,IFERROR(VLOOKUP(BY1814,'Gebinde-Kategorie'!$A$5:$N$45,13,0)+0,0))</f>
        <v>0</v>
      </c>
      <c r="S1814" s="66"/>
      <c r="T1814" s="67"/>
      <c r="U1814" s="67"/>
      <c r="V1814" s="67"/>
      <c r="W1814" s="60"/>
      <c r="X1814" s="62"/>
      <c r="Y1814" s="62"/>
      <c r="Z1814" s="60"/>
      <c r="AA1814" s="60" t="str">
        <f aca="false">IF(A1814="","",IF(AND(Parameter!$B$21="Ja",ISNUMBER(W1814)),W1814,IF(AND(Parameter!$E$27="Ja",ISNUMBER(Z1814),CD1814&lt;&gt;"Nein"),Z1814,IF(CD1814="2+3",IF(ISNUMBER(SEARCH("grosser Artikel",BV1814)),2,IFERROR(VLOOKUP(BY1814,Parameter!$F$35:$G$64,2,0),2)),IF(OR(CD1814="Nein",CD1814=""),"-",CD1814)))))</f>
        <v/>
      </c>
      <c r="AB1814" s="60" t="str">
        <f aca="false">IF('Neue Artikel'!$J$75="","",'Neue Artikel'!$J$75)</f>
        <v/>
      </c>
      <c r="AC1814" s="68"/>
      <c r="AD1814" s="62" t="n">
        <f aca="false">AW1814</f>
        <v>0</v>
      </c>
      <c r="AE1814" s="62" t="n">
        <f aca="false">MAX(AW1814,H1814)</f>
        <v>0</v>
      </c>
      <c r="AF1814" s="69"/>
      <c r="AG1814" s="62" t="n">
        <f aca="false">IF(LEFT(Cockpit!$C$5,1)="A",H1814,IF(Parameter!$E$30="MAX-Bestand",IF(CI1814=1,CJ1814,IF(LEFT(Cockpit!$C$5,1)="B",AM1814,MAX(AM1814,H1814))),ROUNDUP(AK1814,0)))</f>
        <v>0</v>
      </c>
      <c r="AH1814" s="62" t="n">
        <f aca="false">IF(CA1814=1,0,ROUNDUP(AG1814/BZ1814,0))</f>
        <v>0</v>
      </c>
      <c r="AI1814" s="64" t="n">
        <f aca="false">IF(CR1814&gt;0,CR1814*MAX(1,AG1814/X1814),IF(CA1814=1,IF(AG1814&lt;=0,0,CE1814*MAX(1,IF(H1814&gt;0,AG1814/H1814,1))),IF(R1814&gt;0,AH1814/R1814,0))/MAX(0.1,N(Parameter!$M$21)))</f>
        <v>0</v>
      </c>
      <c r="AJ1814" s="62" t="n">
        <f aca="false">AI1814*CC1814</f>
        <v>0</v>
      </c>
      <c r="AK1814" s="63" t="n">
        <f aca="false">IF(LEFT(Cockpit!$C$5,1)="A",H1814,IF(CI1814=1,(CL1814+CJ1814)/2,IF(LEFT(Cockpit!$C$5,1)="B",(CL1814+AM1814)/2,MAX((CL1814+AM1814)/2,H1814))))</f>
        <v>0</v>
      </c>
      <c r="AL1814" s="62" t="n">
        <f aca="false">AK1814*G1814</f>
        <v>0</v>
      </c>
      <c r="AM1814" s="62" t="n">
        <f aca="false">ROUNDUP(CL1814+MAX(CM1814,2*(J1814/IF(CH1814&gt;0,CH1814,MAX(0.1,N(Cockpit!$C$6)))-CL1814)),0)</f>
        <v>0</v>
      </c>
      <c r="AN1814" s="63" t="n">
        <f aca="false">IF(AJ1814&gt;0,J1814/AJ1814,-1)</f>
        <v>-1</v>
      </c>
      <c r="AO1814" s="63" t="str">
        <f aca="false">IF(AND(OR(CG1814="L1",CG1814="L23",CG1814="LIFT"),AJ1814&gt;0),SUMIFS($AJ$7:$AJ$1843,$CG$7:$CG$1843,CG1814,$AN$7:$AN$1843,"&gt;"&amp;AN1814)+SUMIFS($AJ$7:$AJ$1843,$CG$7:$CG$1843,CG1814,$AN$7:$AN$1843,AN1814,$BX$7:$BX$1843,"&lt;="&amp;BX1814),"")</f>
        <v/>
      </c>
      <c r="AP1814" s="70" t="n">
        <f aca="false">IF(AO1814="",0,MAX(0,MIN(1,(IF(CG1814="L1",Parameter!$H$5,IF(CG1814="L23",Parameter!$H$6+Parameter!$H$7,Parameter!$H$5+Parameter!$H$6+Parameter!$H$7))-(AO1814-AJ1814))/AJ1814)))</f>
        <v>0</v>
      </c>
      <c r="AQ1814" s="62" t="n">
        <f aca="false">IF(LEFT(Cockpit!$I$5,1)="A",H1814,IF(Parameter!$E$30="MAX-Bestand",IF(CI1814=1,CJ1814,IF(LEFT(Cockpit!$I$5,1)="B",AW1814,MAX(AW1814,H1814))),ROUNDUP(AU1814,0)))</f>
        <v>0</v>
      </c>
      <c r="AR1814" s="62" t="n">
        <f aca="false">IF(CA1814=1,0,ROUNDUP(AQ1814/BZ1814,0))</f>
        <v>0</v>
      </c>
      <c r="AS1814" s="64" t="n">
        <f aca="false">IF(CR1814&gt;0,CR1814*MAX(1,AQ1814/X1814),IF(CA1814=1,IF(AQ1814&lt;=0,0,CE1814*MAX(1,IF(H1814&gt;0,AQ1814/H1814,1))),IF(R1814&gt;0,AR1814/R1814,0))/MAX(0.1,N(Parameter!$M$21)))</f>
        <v>0</v>
      </c>
      <c r="AT1814" s="62" t="n">
        <f aca="false">AS1814*CC1814</f>
        <v>0</v>
      </c>
      <c r="AU1814" s="63" t="n">
        <f aca="false">IF(LEFT(Cockpit!$I$5,1)="A",H1814,IF(CI1814=1,(CL1814+CJ1814)/2,IF(LEFT(Cockpit!$I$5,1)="B",(CL1814+AW1814)/2,MAX((CL1814+AW1814)/2,H1814))))</f>
        <v>0</v>
      </c>
      <c r="AV1814" s="62" t="n">
        <f aca="false">AU1814*G1814</f>
        <v>0</v>
      </c>
      <c r="AW1814" s="62" t="n">
        <f aca="false">ROUNDUP(CL1814+MAX(CM1814,2*(J1814/IF(CH1814&gt;0,CH1814,MAX(0.1,N(Cockpit!$I$6)))-CL1814)),0)</f>
        <v>0</v>
      </c>
      <c r="AX1814" s="63" t="n">
        <f aca="false">IF(AT1814&gt;0,J1814/AT1814,-1)</f>
        <v>-1</v>
      </c>
      <c r="AY1814" s="63" t="str">
        <f aca="false">IF(AND(OR(CG1814="L1",CG1814="L23",CG1814="LIFT"),AT1814&gt;0),SUMIFS($AT$7:$AT$1843,$CG$7:$CG$1843,CG1814,$AX$7:$AX$1843,"&gt;"&amp;AX1814)+SUMIFS($AT$7:$AT$1843,$CG$7:$CG$1843,CG1814,$AX$7:$AX$1843,AX1814,$BX$7:$BX$1843,"&lt;="&amp;BX1814),"")</f>
        <v/>
      </c>
      <c r="AZ1814" s="70" t="n">
        <f aca="false">IF(AY1814="",0,MAX(0,MIN(1,(IF(CG1814="L1",Parameter!$H$5,IF(CG1814="L23",Parameter!$H$6+Parameter!$H$7,Parameter!$H$5+Parameter!$H$6+Parameter!$H$7))-(AY1814-AT1814))/AT1814)))</f>
        <v>0</v>
      </c>
      <c r="BA1814" s="62" t="n">
        <f aca="false">IF(LEFT(Cockpit!$O$5,1)="A",H1814,IF(Parameter!$E$30="MAX-Bestand",IF(CI1814=1,CJ1814,IF(LEFT(Cockpit!$O$5,1)="B",BG1814,MAX(BG1814,H1814))),ROUNDUP(BE1814,0)))</f>
        <v>0</v>
      </c>
      <c r="BB1814" s="62" t="n">
        <f aca="false">IF(CA1814=1,0,ROUNDUP(BA1814/BZ1814,0))</f>
        <v>0</v>
      </c>
      <c r="BC1814" s="64" t="n">
        <f aca="false">IF(CR1814&gt;0,CR1814*MAX(1,BA1814/X1814),IF(CA1814=1,IF(BA1814&lt;=0,0,CE1814*MAX(1,IF(H1814&gt;0,BA1814/H1814,1))),IF(R1814&gt;0,BB1814/R1814,0))/MAX(0.1,N(Parameter!$M$21)))</f>
        <v>0</v>
      </c>
      <c r="BD1814" s="62" t="n">
        <f aca="false">BC1814*CC1814</f>
        <v>0</v>
      </c>
      <c r="BE1814" s="63" t="n">
        <f aca="false">IF(LEFT(Cockpit!$O$5,1)="A",H1814,IF(CI1814=1,(CL1814+CJ1814)/2,IF(LEFT(Cockpit!$O$5,1)="B",(CL1814+BG1814)/2,MAX((CL1814+BG1814)/2,H1814))))</f>
        <v>0</v>
      </c>
      <c r="BF1814" s="62" t="n">
        <f aca="false">BE1814*G1814</f>
        <v>0</v>
      </c>
      <c r="BG1814" s="62" t="n">
        <f aca="false">ROUNDUP(CL1814+MAX(CM1814,2*(J1814/IF(CH1814&gt;0,CH1814,MAX(0.1,N(Cockpit!$O$6)))-CL1814)),0)</f>
        <v>0</v>
      </c>
      <c r="BH1814" s="63" t="n">
        <f aca="false">IF(BD1814&gt;0,J1814/BD1814,-1)</f>
        <v>-1</v>
      </c>
      <c r="BI1814" s="63" t="str">
        <f aca="false">IF(AND(OR(CG1814="L1",CG1814="L23",CG1814="LIFT"),BD1814&gt;0),SUMIFS($BD$7:$BD$1843,$CG$7:$CG$1843,CG1814,$BH$7:$BH$1843,"&gt;"&amp;BH1814)+SUMIFS($BD$7:$BD$1843,$CG$7:$CG$1843,CG1814,$BH$7:$BH$1843,BH1814,$BX$7:$BX$1843,"&lt;="&amp;BX1814),"")</f>
        <v/>
      </c>
      <c r="BJ1814" s="70" t="n">
        <f aca="false">IF(BI1814="",0,MAX(0,MIN(1,(IF(CG1814="L1",Parameter!$H$5,IF(CG1814="L23",Parameter!$H$6+Parameter!$H$7,Parameter!$H$5+Parameter!$H$6+Parameter!$H$7))-(BI1814-BD1814))/BD1814)))</f>
        <v>0</v>
      </c>
      <c r="BK1814" s="60" t="str">
        <f aca="false">IF(AJ1814&lt;=0,"",IF(CG1814="Aussen","Aussenlager",IF(CG1814="-","Nicht im Lift",IF(AP1814&gt;=1,"Lift",IF(AP1814&lt;=0,"Aussenlager","teilweise")))))</f>
        <v/>
      </c>
      <c r="BL1814" s="60" t="str">
        <f aca="false">IF(AT1814&lt;=0,"",IF(CG1814="Aussen","Aussenlager",IF(CG1814="-","Nicht im Lift",IF(AZ1814&gt;=1,"Lift",IF(AZ1814&lt;=0,"Aussenlager","teilweise")))))</f>
        <v/>
      </c>
      <c r="BM1814" s="60" t="str">
        <f aca="false">IF(BD1814&lt;=0,"",IF(CG1814="Aussen","Aussenlager",IF(CG1814="-","Nicht im Lift",IF(BJ1814&gt;=1,"Lift",IF(BJ1814&lt;=0,"Aussenlager","teilweise")))))</f>
        <v/>
      </c>
      <c r="BN1814" s="60" t="str">
        <f aca="false">IF(A1814="","",IF(BW1814=1,"Neu; ","")&amp;IF(AND(BW1814=0,BR1814&lt;0),"negativer Bestand (Export "&amp;BR1814&amp;"); ","")&amp;IF(J1814&lt;=0,"Kein Verbrauch; ","")&amp;IF(CR1814&gt;0,"Lift "&amp;W1814&amp;" lt. Liftbericht (Fach "&amp;X1814&amp;" Stk); ",IF(CB1814=1,"Gebinde geschätzt ("&amp;T1814&amp;"); ",IF(CA1814=1,"Lose – Tablare geschätzt; ","")))&amp;IF(H1814&gt;AW1814,"Überbestand "&amp;ROUND(H1814-AW1814,0)&amp;" Stk / CHF "&amp;ROUND((H1814-AW1814)*G1814,0)&amp;"; ","")&amp;IF(AND(CI1814=1,CJ1814&lt;CK1814),"MAX &lt; MB+LG; ","")&amp;IF(AND(CQ1814&gt;0,CP1814*10&gt;CQ1814),"zu hoch für Tablar; ","")&amp;IF(AND(BW1814=0,OR(CI1814=1,AB1814&lt;&gt;"",U1814&lt;&gt;"",V1814&lt;&gt;"",AC1814&lt;&gt;"")),"manuell übersteuert; ","")&amp;IF(AND(CA1814=0,R1814=0),"Gebinde unbekannt / Stellmass fehlt; ","")&amp;IF(AND(CA1814=0,N(V1814)&lt;=0,N(Q1814)&lt;=0),"Menge pro Gebinde fehlt (Ist = 1 Gebinde); ","")&amp;BV1814)</f>
        <v/>
      </c>
      <c r="BO1814" s="60"/>
      <c r="BP1814" s="60"/>
      <c r="BQ1814" s="67"/>
      <c r="BR1814" s="62" t="n">
        <f aca="false">N('Neue Artikel'!$D$75)</f>
        <v>0</v>
      </c>
      <c r="BS1814" s="62" t="n">
        <v>0</v>
      </c>
      <c r="BT1814" s="61" t="n">
        <v>0</v>
      </c>
      <c r="BU1814" s="62" t="n">
        <f aca="false">N('Neue Artikel'!$C$75)/Parameter!$B$18</f>
        <v>0</v>
      </c>
      <c r="BV1814" s="60"/>
      <c r="BW1814" s="65" t="n">
        <v>1</v>
      </c>
      <c r="BX1814" s="65" t="n">
        <v>1814</v>
      </c>
      <c r="BY1814" s="60" t="str">
        <f aca="false">IF(U1814&lt;&gt;"",UPPER(TRIM(U1814)),IF(CB1814=1,UPPER(VLOOKUP(T1814,Parameter!$I$27:$K$29,2,0)),IF(P1814="","LOSE",P1814)))</f>
        <v>LOSE</v>
      </c>
      <c r="BZ1814" s="62" t="n">
        <f aca="false">IF(BY1814="LOSE",1,IF(N(V1814)&gt;0,V1814,IF(CB1814=1,MAX(1,N(VLOOKUP(T1814,Parameter!$I$27:$K$29,3,0)),H1814,N(N1814)),IF(N(Q1814)&gt;0,Q1814,MAX(1,H1814)))))</f>
        <v>1</v>
      </c>
      <c r="CA1814" s="65" t="n">
        <f aca="false">IF(BY1814="LOSE",1,0)</f>
        <v>1</v>
      </c>
      <c r="CB1814" s="65" t="n">
        <f aca="false">IF(AND(U1814="",OR(P1814="",P1814="LOSE"),T1814&lt;&gt;"",N(S1814)&lt;=0,ISNUMBER(MATCH(T1814,Parameter!$I$27:$I$29,0))),1,0)</f>
        <v>0</v>
      </c>
      <c r="CC1814" s="65" t="n">
        <f aca="false">IF(CR1814&gt;0,INDEX(Parameter!$H$5:$H$7,W1814)/INDEX(Parameter!$E$5:$E$7,W1814),IF(AND(CA1814=0,N(IFERROR(VLOOKUP(BY1814,'Gebinde-Kategorie'!$A$5:$N$45,14,0),0))&gt;0),VLOOKUP(BY1814,'Gebinde-Kategorie'!$A$5:$N$45,14,0)*10+Parameter!$M$23,Parameter!$M$24))</f>
        <v>235</v>
      </c>
      <c r="CD1814" s="60" t="str">
        <f aca="false">IF(AND(Parameter!$B$19="Ja",E1814&lt;&gt;"",ISNUMBER(MATCH(E1814,Parameter!$I$35:$I$52,0))),VLOOKUP(E1814,Parameter!$I$35:$J$52,2,0),IFERROR(VLOOKUP(D1814,Parameter!$A$35:$C$64,2,0),"Nein"))</f>
        <v>2+3</v>
      </c>
      <c r="CE1814" s="64" t="n">
        <f aca="false">IF(CA1814=0,0,IF(N(S1814)&gt;0,S1814,IFERROR(VLOOKUP(D1814,Parameter!$A$35:$C$64,3,0)+0,0)))</f>
        <v>0.15</v>
      </c>
      <c r="CF1814" s="60" t="str">
        <f aca="false">IF(AB1814&lt;&gt;"",AB1814,AA1814)</f>
        <v/>
      </c>
      <c r="CG1814" s="60" t="str">
        <f aca="false">IF(OR(CF1814=1,CF1814=2,CF1814=3),IF(Parameter!$E$27="Ja","LIFT",IF(CF1814=1,"L1","L23")),IF(CF1814="Aussen","Aussen","-"))</f>
        <v>-</v>
      </c>
      <c r="CH1814" s="71" t="n">
        <f aca="false">IF(N(AC1814)&gt;0,AC1814,0)</f>
        <v>0</v>
      </c>
      <c r="CI1814" s="65" t="n">
        <f aca="false">IF(ISNUMBER(AF1814),1,0)</f>
        <v>0</v>
      </c>
      <c r="CJ1814" s="62" t="n">
        <f aca="false">N(AF1814)</f>
        <v>0</v>
      </c>
      <c r="CK1814" s="62" t="n">
        <f aca="false">N(M1814)+N(N1814)</f>
        <v>0</v>
      </c>
      <c r="CL1814" s="62" t="n">
        <f aca="false">N(M1814)</f>
        <v>0</v>
      </c>
      <c r="CM1814" s="62" t="n">
        <f aca="false">N(N1814)</f>
        <v>0</v>
      </c>
      <c r="CN1814" s="62" t="n">
        <f aca="false">ROUNDUP(H1814/BZ1814,0)</f>
        <v>0</v>
      </c>
      <c r="CO1814" s="62" t="n">
        <f aca="false">ROUNDUP(CJ1814/BZ1814,0)</f>
        <v>0</v>
      </c>
      <c r="CP1814" s="65" t="n">
        <f aca="false">IF(CA1814=1,0,IFERROR(VLOOKUP(BY1814,'Gebinde-Kategorie'!$A$5:$N$45,5,0)+0,0))</f>
        <v>0</v>
      </c>
      <c r="CQ1814" s="65" t="n">
        <f aca="false">IFERROR(IF(OR(CF1814=1,CF1814=2,CF1814=3),N(INDEX(Parameter!$I$5:$I$7,CF1814)),0),0)</f>
        <v>0</v>
      </c>
      <c r="CR1814" s="64" t="n">
        <f aca="false">IF(AND(Parameter!$B$21="Ja",ISNUMBER(W1814),N(X1814)&gt;0),IFERROR(N(INDEX(Parameter!$L$5:$L$7,W1814))*INDEX(Parameter!$E$5:$E$7,W1814)*X1814/SUMIFS($X$7:$X$1843,$W$7:$W$1843,W1814),0),0)</f>
        <v>0</v>
      </c>
      <c r="CS1814" s="62" t="str">
        <f aca="false">IF(AND(OR(CG1814="L1",CG1814="L23",CG1814="LIFT"),H1814&gt;0),CC1814*IF(CR1814&gt;0,CR1814*MAX(1,H1814/X1814),IF(CA1814=1,CE1814,IF(R1814&gt;0,CN1814/R1814,0))/MAX(0.1,N(Parameter!$M$21))),"")</f>
        <v/>
      </c>
      <c r="CT1814" s="64" t="str">
        <f aca="false">IF(CS1814="","",J1814/H1814)</f>
        <v/>
      </c>
      <c r="CU1814" s="62" t="str">
        <f aca="false">IF(CS1814="","",H1814*G1814)</f>
        <v/>
      </c>
      <c r="CV1814" s="63" t="str">
        <f aca="false">IF(CS1814="","",(CL1814+ROUNDUP(CL1814+MAX(CM1814,2*(J1814/MAX(0.1,N(Einkauf!$C$6))-CL1814)),0))/2)</f>
        <v/>
      </c>
      <c r="CW1814" s="62" t="str">
        <f aca="false">IF(CS1814="","",MAX(0,H1814-CV1814)*G1814)</f>
        <v/>
      </c>
      <c r="CX1814" s="62" t="str">
        <f aca="false">IF(CS1814="","",CS1814*MAX(0,1-CV1814/H1814))</f>
        <v/>
      </c>
      <c r="CY1814" s="64" t="str">
        <f aca="false">IF(CS1814="","",PERCENTRANK($CS$7:$CS$1843,CS1814)+PERCENTRANK($CU$7:$CU$1843,CU1814)+1-PERCENTRANK($CT$7:$CT$1843,CT1814))</f>
        <v/>
      </c>
      <c r="CZ1814" s="72" t="str">
        <f aca="false">IF(CS1814="","",CHOOSE(MATCH(Einkauf!$C$5,Parameter!$G$23:$G$27,0),CY1814,CS1814,CU1814,-CT1814,CW1814)+ROW()/1000000000)</f>
        <v/>
      </c>
    </row>
    <row r="1815" customFormat="false" ht="15" hidden="false" customHeight="false" outlineLevel="0" collapsed="false">
      <c r="A1815" s="60" t="str">
        <f aca="false">IF('Neue Artikel'!$A$76="","",'Neue Artikel'!$A$76&amp;"")</f>
        <v/>
      </c>
      <c r="B1815" s="60" t="str">
        <f aca="false">'Neue Artikel'!$B$76&amp;""</f>
        <v/>
      </c>
      <c r="C1815" s="60"/>
      <c r="D1815" s="60" t="s">
        <v>3057</v>
      </c>
      <c r="E1815" s="60"/>
      <c r="F1815" s="60"/>
      <c r="G1815" s="61" t="n">
        <f aca="false">N('Neue Artikel'!$G$76)</f>
        <v>0</v>
      </c>
      <c r="H1815" s="62" t="n">
        <f aca="false">MAX(0,IF(AND(Parameter!$B$21="Ja",ISNUMBER(Y1815)),Y1815,IF(Parameter!$B$20="Jahresanfang 2025 + Export",BS1815+BR1815,BR1815)))</f>
        <v>0</v>
      </c>
      <c r="I1815" s="62" t="n">
        <f aca="false">H1815*G1815</f>
        <v>0</v>
      </c>
      <c r="J1815" s="62" t="n">
        <f aca="false">BU1815*Parameter!$B$18</f>
        <v>0</v>
      </c>
      <c r="K1815" s="63"/>
      <c r="L1815" s="64"/>
      <c r="M1815" s="62" t="n">
        <f aca="false">N('Neue Artikel'!$E$76)</f>
        <v>0</v>
      </c>
      <c r="N1815" s="62" t="n">
        <f aca="false">N('Neue Artikel'!$F$76)</f>
        <v>0</v>
      </c>
      <c r="O1815" s="65"/>
      <c r="P1815" s="60" t="str">
        <f aca="false">IF('Neue Artikel'!$H$76="","LOSE",UPPER(TRIM('Neue Artikel'!$H$76)))</f>
        <v>LOSE</v>
      </c>
      <c r="Q1815" s="62" t="n">
        <f aca="false">N('Neue Artikel'!$I$76)</f>
        <v>0</v>
      </c>
      <c r="R1815" s="65" t="n">
        <f aca="false">IF(CA1815=1,0,IFERROR(VLOOKUP(BY1815,'Gebinde-Kategorie'!$A$5:$N$45,13,0)+0,0))</f>
        <v>0</v>
      </c>
      <c r="S1815" s="66"/>
      <c r="T1815" s="67"/>
      <c r="U1815" s="67"/>
      <c r="V1815" s="67"/>
      <c r="W1815" s="60"/>
      <c r="X1815" s="62"/>
      <c r="Y1815" s="62"/>
      <c r="Z1815" s="60"/>
      <c r="AA1815" s="60" t="str">
        <f aca="false">IF(A1815="","",IF(AND(Parameter!$B$21="Ja",ISNUMBER(W1815)),W1815,IF(AND(Parameter!$E$27="Ja",ISNUMBER(Z1815),CD1815&lt;&gt;"Nein"),Z1815,IF(CD1815="2+3",IF(ISNUMBER(SEARCH("grosser Artikel",BV1815)),2,IFERROR(VLOOKUP(BY1815,Parameter!$F$35:$G$64,2,0),2)),IF(OR(CD1815="Nein",CD1815=""),"-",CD1815)))))</f>
        <v/>
      </c>
      <c r="AB1815" s="60" t="str">
        <f aca="false">IF('Neue Artikel'!$J$76="","",'Neue Artikel'!$J$76)</f>
        <v/>
      </c>
      <c r="AC1815" s="68"/>
      <c r="AD1815" s="62" t="n">
        <f aca="false">AW1815</f>
        <v>0</v>
      </c>
      <c r="AE1815" s="62" t="n">
        <f aca="false">MAX(AW1815,H1815)</f>
        <v>0</v>
      </c>
      <c r="AF1815" s="69"/>
      <c r="AG1815" s="62" t="n">
        <f aca="false">IF(LEFT(Cockpit!$C$5,1)="A",H1815,IF(Parameter!$E$30="MAX-Bestand",IF(CI1815=1,CJ1815,IF(LEFT(Cockpit!$C$5,1)="B",AM1815,MAX(AM1815,H1815))),ROUNDUP(AK1815,0)))</f>
        <v>0</v>
      </c>
      <c r="AH1815" s="62" t="n">
        <f aca="false">IF(CA1815=1,0,ROUNDUP(AG1815/BZ1815,0))</f>
        <v>0</v>
      </c>
      <c r="AI1815" s="64" t="n">
        <f aca="false">IF(CR1815&gt;0,CR1815*MAX(1,AG1815/X1815),IF(CA1815=1,IF(AG1815&lt;=0,0,CE1815*MAX(1,IF(H1815&gt;0,AG1815/H1815,1))),IF(R1815&gt;0,AH1815/R1815,0))/MAX(0.1,N(Parameter!$M$21)))</f>
        <v>0</v>
      </c>
      <c r="AJ1815" s="62" t="n">
        <f aca="false">AI1815*CC1815</f>
        <v>0</v>
      </c>
      <c r="AK1815" s="63" t="n">
        <f aca="false">IF(LEFT(Cockpit!$C$5,1)="A",H1815,IF(CI1815=1,(CL1815+CJ1815)/2,IF(LEFT(Cockpit!$C$5,1)="B",(CL1815+AM1815)/2,MAX((CL1815+AM1815)/2,H1815))))</f>
        <v>0</v>
      </c>
      <c r="AL1815" s="62" t="n">
        <f aca="false">AK1815*G1815</f>
        <v>0</v>
      </c>
      <c r="AM1815" s="62" t="n">
        <f aca="false">ROUNDUP(CL1815+MAX(CM1815,2*(J1815/IF(CH1815&gt;0,CH1815,MAX(0.1,N(Cockpit!$C$6)))-CL1815)),0)</f>
        <v>0</v>
      </c>
      <c r="AN1815" s="63" t="n">
        <f aca="false">IF(AJ1815&gt;0,J1815/AJ1815,-1)</f>
        <v>-1</v>
      </c>
      <c r="AO1815" s="63" t="str">
        <f aca="false">IF(AND(OR(CG1815="L1",CG1815="L23",CG1815="LIFT"),AJ1815&gt;0),SUMIFS($AJ$7:$AJ$1843,$CG$7:$CG$1843,CG1815,$AN$7:$AN$1843,"&gt;"&amp;AN1815)+SUMIFS($AJ$7:$AJ$1843,$CG$7:$CG$1843,CG1815,$AN$7:$AN$1843,AN1815,$BX$7:$BX$1843,"&lt;="&amp;BX1815),"")</f>
        <v/>
      </c>
      <c r="AP1815" s="70" t="n">
        <f aca="false">IF(AO1815="",0,MAX(0,MIN(1,(IF(CG1815="L1",Parameter!$H$5,IF(CG1815="L23",Parameter!$H$6+Parameter!$H$7,Parameter!$H$5+Parameter!$H$6+Parameter!$H$7))-(AO1815-AJ1815))/AJ1815)))</f>
        <v>0</v>
      </c>
      <c r="AQ1815" s="62" t="n">
        <f aca="false">IF(LEFT(Cockpit!$I$5,1)="A",H1815,IF(Parameter!$E$30="MAX-Bestand",IF(CI1815=1,CJ1815,IF(LEFT(Cockpit!$I$5,1)="B",AW1815,MAX(AW1815,H1815))),ROUNDUP(AU1815,0)))</f>
        <v>0</v>
      </c>
      <c r="AR1815" s="62" t="n">
        <f aca="false">IF(CA1815=1,0,ROUNDUP(AQ1815/BZ1815,0))</f>
        <v>0</v>
      </c>
      <c r="AS1815" s="64" t="n">
        <f aca="false">IF(CR1815&gt;0,CR1815*MAX(1,AQ1815/X1815),IF(CA1815=1,IF(AQ1815&lt;=0,0,CE1815*MAX(1,IF(H1815&gt;0,AQ1815/H1815,1))),IF(R1815&gt;0,AR1815/R1815,0))/MAX(0.1,N(Parameter!$M$21)))</f>
        <v>0</v>
      </c>
      <c r="AT1815" s="62" t="n">
        <f aca="false">AS1815*CC1815</f>
        <v>0</v>
      </c>
      <c r="AU1815" s="63" t="n">
        <f aca="false">IF(LEFT(Cockpit!$I$5,1)="A",H1815,IF(CI1815=1,(CL1815+CJ1815)/2,IF(LEFT(Cockpit!$I$5,1)="B",(CL1815+AW1815)/2,MAX((CL1815+AW1815)/2,H1815))))</f>
        <v>0</v>
      </c>
      <c r="AV1815" s="62" t="n">
        <f aca="false">AU1815*G1815</f>
        <v>0</v>
      </c>
      <c r="AW1815" s="62" t="n">
        <f aca="false">ROUNDUP(CL1815+MAX(CM1815,2*(J1815/IF(CH1815&gt;0,CH1815,MAX(0.1,N(Cockpit!$I$6)))-CL1815)),0)</f>
        <v>0</v>
      </c>
      <c r="AX1815" s="63" t="n">
        <f aca="false">IF(AT1815&gt;0,J1815/AT1815,-1)</f>
        <v>-1</v>
      </c>
      <c r="AY1815" s="63" t="str">
        <f aca="false">IF(AND(OR(CG1815="L1",CG1815="L23",CG1815="LIFT"),AT1815&gt;0),SUMIFS($AT$7:$AT$1843,$CG$7:$CG$1843,CG1815,$AX$7:$AX$1843,"&gt;"&amp;AX1815)+SUMIFS($AT$7:$AT$1843,$CG$7:$CG$1843,CG1815,$AX$7:$AX$1843,AX1815,$BX$7:$BX$1843,"&lt;="&amp;BX1815),"")</f>
        <v/>
      </c>
      <c r="AZ1815" s="70" t="n">
        <f aca="false">IF(AY1815="",0,MAX(0,MIN(1,(IF(CG1815="L1",Parameter!$H$5,IF(CG1815="L23",Parameter!$H$6+Parameter!$H$7,Parameter!$H$5+Parameter!$H$6+Parameter!$H$7))-(AY1815-AT1815))/AT1815)))</f>
        <v>0</v>
      </c>
      <c r="BA1815" s="62" t="n">
        <f aca="false">IF(LEFT(Cockpit!$O$5,1)="A",H1815,IF(Parameter!$E$30="MAX-Bestand",IF(CI1815=1,CJ1815,IF(LEFT(Cockpit!$O$5,1)="B",BG1815,MAX(BG1815,H1815))),ROUNDUP(BE1815,0)))</f>
        <v>0</v>
      </c>
      <c r="BB1815" s="62" t="n">
        <f aca="false">IF(CA1815=1,0,ROUNDUP(BA1815/BZ1815,0))</f>
        <v>0</v>
      </c>
      <c r="BC1815" s="64" t="n">
        <f aca="false">IF(CR1815&gt;0,CR1815*MAX(1,BA1815/X1815),IF(CA1815=1,IF(BA1815&lt;=0,0,CE1815*MAX(1,IF(H1815&gt;0,BA1815/H1815,1))),IF(R1815&gt;0,BB1815/R1815,0))/MAX(0.1,N(Parameter!$M$21)))</f>
        <v>0</v>
      </c>
      <c r="BD1815" s="62" t="n">
        <f aca="false">BC1815*CC1815</f>
        <v>0</v>
      </c>
      <c r="BE1815" s="63" t="n">
        <f aca="false">IF(LEFT(Cockpit!$O$5,1)="A",H1815,IF(CI1815=1,(CL1815+CJ1815)/2,IF(LEFT(Cockpit!$O$5,1)="B",(CL1815+BG1815)/2,MAX((CL1815+BG1815)/2,H1815))))</f>
        <v>0</v>
      </c>
      <c r="BF1815" s="62" t="n">
        <f aca="false">BE1815*G1815</f>
        <v>0</v>
      </c>
      <c r="BG1815" s="62" t="n">
        <f aca="false">ROUNDUP(CL1815+MAX(CM1815,2*(J1815/IF(CH1815&gt;0,CH1815,MAX(0.1,N(Cockpit!$O$6)))-CL1815)),0)</f>
        <v>0</v>
      </c>
      <c r="BH1815" s="63" t="n">
        <f aca="false">IF(BD1815&gt;0,J1815/BD1815,-1)</f>
        <v>-1</v>
      </c>
      <c r="BI1815" s="63" t="str">
        <f aca="false">IF(AND(OR(CG1815="L1",CG1815="L23",CG1815="LIFT"),BD1815&gt;0),SUMIFS($BD$7:$BD$1843,$CG$7:$CG$1843,CG1815,$BH$7:$BH$1843,"&gt;"&amp;BH1815)+SUMIFS($BD$7:$BD$1843,$CG$7:$CG$1843,CG1815,$BH$7:$BH$1843,BH1815,$BX$7:$BX$1843,"&lt;="&amp;BX1815),"")</f>
        <v/>
      </c>
      <c r="BJ1815" s="70" t="n">
        <f aca="false">IF(BI1815="",0,MAX(0,MIN(1,(IF(CG1815="L1",Parameter!$H$5,IF(CG1815="L23",Parameter!$H$6+Parameter!$H$7,Parameter!$H$5+Parameter!$H$6+Parameter!$H$7))-(BI1815-BD1815))/BD1815)))</f>
        <v>0</v>
      </c>
      <c r="BK1815" s="60" t="str">
        <f aca="false">IF(AJ1815&lt;=0,"",IF(CG1815="Aussen","Aussenlager",IF(CG1815="-","Nicht im Lift",IF(AP1815&gt;=1,"Lift",IF(AP1815&lt;=0,"Aussenlager","teilweise")))))</f>
        <v/>
      </c>
      <c r="BL1815" s="60" t="str">
        <f aca="false">IF(AT1815&lt;=0,"",IF(CG1815="Aussen","Aussenlager",IF(CG1815="-","Nicht im Lift",IF(AZ1815&gt;=1,"Lift",IF(AZ1815&lt;=0,"Aussenlager","teilweise")))))</f>
        <v/>
      </c>
      <c r="BM1815" s="60" t="str">
        <f aca="false">IF(BD1815&lt;=0,"",IF(CG1815="Aussen","Aussenlager",IF(CG1815="-","Nicht im Lift",IF(BJ1815&gt;=1,"Lift",IF(BJ1815&lt;=0,"Aussenlager","teilweise")))))</f>
        <v/>
      </c>
      <c r="BN1815" s="60" t="str">
        <f aca="false">IF(A1815="","",IF(BW1815=1,"Neu; ","")&amp;IF(AND(BW1815=0,BR1815&lt;0),"negativer Bestand (Export "&amp;BR1815&amp;"); ","")&amp;IF(J1815&lt;=0,"Kein Verbrauch; ","")&amp;IF(CR1815&gt;0,"Lift "&amp;W1815&amp;" lt. Liftbericht (Fach "&amp;X1815&amp;" Stk); ",IF(CB1815=1,"Gebinde geschätzt ("&amp;T1815&amp;"); ",IF(CA1815=1,"Lose – Tablare geschätzt; ","")))&amp;IF(H1815&gt;AW1815,"Überbestand "&amp;ROUND(H1815-AW1815,0)&amp;" Stk / CHF "&amp;ROUND((H1815-AW1815)*G1815,0)&amp;"; ","")&amp;IF(AND(CI1815=1,CJ1815&lt;CK1815),"MAX &lt; MB+LG; ","")&amp;IF(AND(CQ1815&gt;0,CP1815*10&gt;CQ1815),"zu hoch für Tablar; ","")&amp;IF(AND(BW1815=0,OR(CI1815=1,AB1815&lt;&gt;"",U1815&lt;&gt;"",V1815&lt;&gt;"",AC1815&lt;&gt;"")),"manuell übersteuert; ","")&amp;IF(AND(CA1815=0,R1815=0),"Gebinde unbekannt / Stellmass fehlt; ","")&amp;IF(AND(CA1815=0,N(V1815)&lt;=0,N(Q1815)&lt;=0),"Menge pro Gebinde fehlt (Ist = 1 Gebinde); ","")&amp;BV1815)</f>
        <v/>
      </c>
      <c r="BO1815" s="60"/>
      <c r="BP1815" s="60"/>
      <c r="BQ1815" s="67"/>
      <c r="BR1815" s="62" t="n">
        <f aca="false">N('Neue Artikel'!$D$76)</f>
        <v>0</v>
      </c>
      <c r="BS1815" s="62" t="n">
        <v>0</v>
      </c>
      <c r="BT1815" s="61" t="n">
        <v>0</v>
      </c>
      <c r="BU1815" s="62" t="n">
        <f aca="false">N('Neue Artikel'!$C$76)/Parameter!$B$18</f>
        <v>0</v>
      </c>
      <c r="BV1815" s="60"/>
      <c r="BW1815" s="65" t="n">
        <v>1</v>
      </c>
      <c r="BX1815" s="65" t="n">
        <v>1815</v>
      </c>
      <c r="BY1815" s="60" t="str">
        <f aca="false">IF(U1815&lt;&gt;"",UPPER(TRIM(U1815)),IF(CB1815=1,UPPER(VLOOKUP(T1815,Parameter!$I$27:$K$29,2,0)),IF(P1815="","LOSE",P1815)))</f>
        <v>LOSE</v>
      </c>
      <c r="BZ1815" s="62" t="n">
        <f aca="false">IF(BY1815="LOSE",1,IF(N(V1815)&gt;0,V1815,IF(CB1815=1,MAX(1,N(VLOOKUP(T1815,Parameter!$I$27:$K$29,3,0)),H1815,N(N1815)),IF(N(Q1815)&gt;0,Q1815,MAX(1,H1815)))))</f>
        <v>1</v>
      </c>
      <c r="CA1815" s="65" t="n">
        <f aca="false">IF(BY1815="LOSE",1,0)</f>
        <v>1</v>
      </c>
      <c r="CB1815" s="65" t="n">
        <f aca="false">IF(AND(U1815="",OR(P1815="",P1815="LOSE"),T1815&lt;&gt;"",N(S1815)&lt;=0,ISNUMBER(MATCH(T1815,Parameter!$I$27:$I$29,0))),1,0)</f>
        <v>0</v>
      </c>
      <c r="CC1815" s="65" t="n">
        <f aca="false">IF(CR1815&gt;0,INDEX(Parameter!$H$5:$H$7,W1815)/INDEX(Parameter!$E$5:$E$7,W1815),IF(AND(CA1815=0,N(IFERROR(VLOOKUP(BY1815,'Gebinde-Kategorie'!$A$5:$N$45,14,0),0))&gt;0),VLOOKUP(BY1815,'Gebinde-Kategorie'!$A$5:$N$45,14,0)*10+Parameter!$M$23,Parameter!$M$24))</f>
        <v>235</v>
      </c>
      <c r="CD1815" s="60" t="str">
        <f aca="false">IF(AND(Parameter!$B$19="Ja",E1815&lt;&gt;"",ISNUMBER(MATCH(E1815,Parameter!$I$35:$I$52,0))),VLOOKUP(E1815,Parameter!$I$35:$J$52,2,0),IFERROR(VLOOKUP(D1815,Parameter!$A$35:$C$64,2,0),"Nein"))</f>
        <v>2+3</v>
      </c>
      <c r="CE1815" s="64" t="n">
        <f aca="false">IF(CA1815=0,0,IF(N(S1815)&gt;0,S1815,IFERROR(VLOOKUP(D1815,Parameter!$A$35:$C$64,3,0)+0,0)))</f>
        <v>0.15</v>
      </c>
      <c r="CF1815" s="60" t="str">
        <f aca="false">IF(AB1815&lt;&gt;"",AB1815,AA1815)</f>
        <v/>
      </c>
      <c r="CG1815" s="60" t="str">
        <f aca="false">IF(OR(CF1815=1,CF1815=2,CF1815=3),IF(Parameter!$E$27="Ja","LIFT",IF(CF1815=1,"L1","L23")),IF(CF1815="Aussen","Aussen","-"))</f>
        <v>-</v>
      </c>
      <c r="CH1815" s="71" t="n">
        <f aca="false">IF(N(AC1815)&gt;0,AC1815,0)</f>
        <v>0</v>
      </c>
      <c r="CI1815" s="65" t="n">
        <f aca="false">IF(ISNUMBER(AF1815),1,0)</f>
        <v>0</v>
      </c>
      <c r="CJ1815" s="62" t="n">
        <f aca="false">N(AF1815)</f>
        <v>0</v>
      </c>
      <c r="CK1815" s="62" t="n">
        <f aca="false">N(M1815)+N(N1815)</f>
        <v>0</v>
      </c>
      <c r="CL1815" s="62" t="n">
        <f aca="false">N(M1815)</f>
        <v>0</v>
      </c>
      <c r="CM1815" s="62" t="n">
        <f aca="false">N(N1815)</f>
        <v>0</v>
      </c>
      <c r="CN1815" s="62" t="n">
        <f aca="false">ROUNDUP(H1815/BZ1815,0)</f>
        <v>0</v>
      </c>
      <c r="CO1815" s="62" t="n">
        <f aca="false">ROUNDUP(CJ1815/BZ1815,0)</f>
        <v>0</v>
      </c>
      <c r="CP1815" s="65" t="n">
        <f aca="false">IF(CA1815=1,0,IFERROR(VLOOKUP(BY1815,'Gebinde-Kategorie'!$A$5:$N$45,5,0)+0,0))</f>
        <v>0</v>
      </c>
      <c r="CQ1815" s="65" t="n">
        <f aca="false">IFERROR(IF(OR(CF1815=1,CF1815=2,CF1815=3),N(INDEX(Parameter!$I$5:$I$7,CF1815)),0),0)</f>
        <v>0</v>
      </c>
      <c r="CR1815" s="64" t="n">
        <f aca="false">IF(AND(Parameter!$B$21="Ja",ISNUMBER(W1815),N(X1815)&gt;0),IFERROR(N(INDEX(Parameter!$L$5:$L$7,W1815))*INDEX(Parameter!$E$5:$E$7,W1815)*X1815/SUMIFS($X$7:$X$1843,$W$7:$W$1843,W1815),0),0)</f>
        <v>0</v>
      </c>
      <c r="CS1815" s="62" t="str">
        <f aca="false">IF(AND(OR(CG1815="L1",CG1815="L23",CG1815="LIFT"),H1815&gt;0),CC1815*IF(CR1815&gt;0,CR1815*MAX(1,H1815/X1815),IF(CA1815=1,CE1815,IF(R1815&gt;0,CN1815/R1815,0))/MAX(0.1,N(Parameter!$M$21))),"")</f>
        <v/>
      </c>
      <c r="CT1815" s="64" t="str">
        <f aca="false">IF(CS1815="","",J1815/H1815)</f>
        <v/>
      </c>
      <c r="CU1815" s="62" t="str">
        <f aca="false">IF(CS1815="","",H1815*G1815)</f>
        <v/>
      </c>
      <c r="CV1815" s="63" t="str">
        <f aca="false">IF(CS1815="","",(CL1815+ROUNDUP(CL1815+MAX(CM1815,2*(J1815/MAX(0.1,N(Einkauf!$C$6))-CL1815)),0))/2)</f>
        <v/>
      </c>
      <c r="CW1815" s="62" t="str">
        <f aca="false">IF(CS1815="","",MAX(0,H1815-CV1815)*G1815)</f>
        <v/>
      </c>
      <c r="CX1815" s="62" t="str">
        <f aca="false">IF(CS1815="","",CS1815*MAX(0,1-CV1815/H1815))</f>
        <v/>
      </c>
      <c r="CY1815" s="64" t="str">
        <f aca="false">IF(CS1815="","",PERCENTRANK($CS$7:$CS$1843,CS1815)+PERCENTRANK($CU$7:$CU$1843,CU1815)+1-PERCENTRANK($CT$7:$CT$1843,CT1815))</f>
        <v/>
      </c>
      <c r="CZ1815" s="72" t="str">
        <f aca="false">IF(CS1815="","",CHOOSE(MATCH(Einkauf!$C$5,Parameter!$G$23:$G$27,0),CY1815,CS1815,CU1815,-CT1815,CW1815)+ROW()/1000000000)</f>
        <v/>
      </c>
    </row>
    <row r="1816" customFormat="false" ht="15" hidden="false" customHeight="false" outlineLevel="0" collapsed="false">
      <c r="A1816" s="60" t="str">
        <f aca="false">IF('Neue Artikel'!$A$77="","",'Neue Artikel'!$A$77&amp;"")</f>
        <v/>
      </c>
      <c r="B1816" s="60" t="str">
        <f aca="false">'Neue Artikel'!$B$77&amp;""</f>
        <v/>
      </c>
      <c r="C1816" s="60"/>
      <c r="D1816" s="60" t="s">
        <v>3057</v>
      </c>
      <c r="E1816" s="60"/>
      <c r="F1816" s="60"/>
      <c r="G1816" s="61" t="n">
        <f aca="false">N('Neue Artikel'!$G$77)</f>
        <v>0</v>
      </c>
      <c r="H1816" s="62" t="n">
        <f aca="false">MAX(0,IF(AND(Parameter!$B$21="Ja",ISNUMBER(Y1816)),Y1816,IF(Parameter!$B$20="Jahresanfang 2025 + Export",BS1816+BR1816,BR1816)))</f>
        <v>0</v>
      </c>
      <c r="I1816" s="62" t="n">
        <f aca="false">H1816*G1816</f>
        <v>0</v>
      </c>
      <c r="J1816" s="62" t="n">
        <f aca="false">BU1816*Parameter!$B$18</f>
        <v>0</v>
      </c>
      <c r="K1816" s="63"/>
      <c r="L1816" s="64"/>
      <c r="M1816" s="62" t="n">
        <f aca="false">N('Neue Artikel'!$E$77)</f>
        <v>0</v>
      </c>
      <c r="N1816" s="62" t="n">
        <f aca="false">N('Neue Artikel'!$F$77)</f>
        <v>0</v>
      </c>
      <c r="O1816" s="65"/>
      <c r="P1816" s="60" t="str">
        <f aca="false">IF('Neue Artikel'!$H$77="","LOSE",UPPER(TRIM('Neue Artikel'!$H$77)))</f>
        <v>LOSE</v>
      </c>
      <c r="Q1816" s="62" t="n">
        <f aca="false">N('Neue Artikel'!$I$77)</f>
        <v>0</v>
      </c>
      <c r="R1816" s="65" t="n">
        <f aca="false">IF(CA1816=1,0,IFERROR(VLOOKUP(BY1816,'Gebinde-Kategorie'!$A$5:$N$45,13,0)+0,0))</f>
        <v>0</v>
      </c>
      <c r="S1816" s="66"/>
      <c r="T1816" s="67"/>
      <c r="U1816" s="67"/>
      <c r="V1816" s="67"/>
      <c r="W1816" s="60"/>
      <c r="X1816" s="62"/>
      <c r="Y1816" s="62"/>
      <c r="Z1816" s="60"/>
      <c r="AA1816" s="60" t="str">
        <f aca="false">IF(A1816="","",IF(AND(Parameter!$B$21="Ja",ISNUMBER(W1816)),W1816,IF(AND(Parameter!$E$27="Ja",ISNUMBER(Z1816),CD1816&lt;&gt;"Nein"),Z1816,IF(CD1816="2+3",IF(ISNUMBER(SEARCH("grosser Artikel",BV1816)),2,IFERROR(VLOOKUP(BY1816,Parameter!$F$35:$G$64,2,0),2)),IF(OR(CD1816="Nein",CD1816=""),"-",CD1816)))))</f>
        <v/>
      </c>
      <c r="AB1816" s="60" t="str">
        <f aca="false">IF('Neue Artikel'!$J$77="","",'Neue Artikel'!$J$77)</f>
        <v/>
      </c>
      <c r="AC1816" s="68"/>
      <c r="AD1816" s="62" t="n">
        <f aca="false">AW1816</f>
        <v>0</v>
      </c>
      <c r="AE1816" s="62" t="n">
        <f aca="false">MAX(AW1816,H1816)</f>
        <v>0</v>
      </c>
      <c r="AF1816" s="69"/>
      <c r="AG1816" s="62" t="n">
        <f aca="false">IF(LEFT(Cockpit!$C$5,1)="A",H1816,IF(Parameter!$E$30="MAX-Bestand",IF(CI1816=1,CJ1816,IF(LEFT(Cockpit!$C$5,1)="B",AM1816,MAX(AM1816,H1816))),ROUNDUP(AK1816,0)))</f>
        <v>0</v>
      </c>
      <c r="AH1816" s="62" t="n">
        <f aca="false">IF(CA1816=1,0,ROUNDUP(AG1816/BZ1816,0))</f>
        <v>0</v>
      </c>
      <c r="AI1816" s="64" t="n">
        <f aca="false">IF(CR1816&gt;0,CR1816*MAX(1,AG1816/X1816),IF(CA1816=1,IF(AG1816&lt;=0,0,CE1816*MAX(1,IF(H1816&gt;0,AG1816/H1816,1))),IF(R1816&gt;0,AH1816/R1816,0))/MAX(0.1,N(Parameter!$M$21)))</f>
        <v>0</v>
      </c>
      <c r="AJ1816" s="62" t="n">
        <f aca="false">AI1816*CC1816</f>
        <v>0</v>
      </c>
      <c r="AK1816" s="63" t="n">
        <f aca="false">IF(LEFT(Cockpit!$C$5,1)="A",H1816,IF(CI1816=1,(CL1816+CJ1816)/2,IF(LEFT(Cockpit!$C$5,1)="B",(CL1816+AM1816)/2,MAX((CL1816+AM1816)/2,H1816))))</f>
        <v>0</v>
      </c>
      <c r="AL1816" s="62" t="n">
        <f aca="false">AK1816*G1816</f>
        <v>0</v>
      </c>
      <c r="AM1816" s="62" t="n">
        <f aca="false">ROUNDUP(CL1816+MAX(CM1816,2*(J1816/IF(CH1816&gt;0,CH1816,MAX(0.1,N(Cockpit!$C$6)))-CL1816)),0)</f>
        <v>0</v>
      </c>
      <c r="AN1816" s="63" t="n">
        <f aca="false">IF(AJ1816&gt;0,J1816/AJ1816,-1)</f>
        <v>-1</v>
      </c>
      <c r="AO1816" s="63" t="str">
        <f aca="false">IF(AND(OR(CG1816="L1",CG1816="L23",CG1816="LIFT"),AJ1816&gt;0),SUMIFS($AJ$7:$AJ$1843,$CG$7:$CG$1843,CG1816,$AN$7:$AN$1843,"&gt;"&amp;AN1816)+SUMIFS($AJ$7:$AJ$1843,$CG$7:$CG$1843,CG1816,$AN$7:$AN$1843,AN1816,$BX$7:$BX$1843,"&lt;="&amp;BX1816),"")</f>
        <v/>
      </c>
      <c r="AP1816" s="70" t="n">
        <f aca="false">IF(AO1816="",0,MAX(0,MIN(1,(IF(CG1816="L1",Parameter!$H$5,IF(CG1816="L23",Parameter!$H$6+Parameter!$H$7,Parameter!$H$5+Parameter!$H$6+Parameter!$H$7))-(AO1816-AJ1816))/AJ1816)))</f>
        <v>0</v>
      </c>
      <c r="AQ1816" s="62" t="n">
        <f aca="false">IF(LEFT(Cockpit!$I$5,1)="A",H1816,IF(Parameter!$E$30="MAX-Bestand",IF(CI1816=1,CJ1816,IF(LEFT(Cockpit!$I$5,1)="B",AW1816,MAX(AW1816,H1816))),ROUNDUP(AU1816,0)))</f>
        <v>0</v>
      </c>
      <c r="AR1816" s="62" t="n">
        <f aca="false">IF(CA1816=1,0,ROUNDUP(AQ1816/BZ1816,0))</f>
        <v>0</v>
      </c>
      <c r="AS1816" s="64" t="n">
        <f aca="false">IF(CR1816&gt;0,CR1816*MAX(1,AQ1816/X1816),IF(CA1816=1,IF(AQ1816&lt;=0,0,CE1816*MAX(1,IF(H1816&gt;0,AQ1816/H1816,1))),IF(R1816&gt;0,AR1816/R1816,0))/MAX(0.1,N(Parameter!$M$21)))</f>
        <v>0</v>
      </c>
      <c r="AT1816" s="62" t="n">
        <f aca="false">AS1816*CC1816</f>
        <v>0</v>
      </c>
      <c r="AU1816" s="63" t="n">
        <f aca="false">IF(LEFT(Cockpit!$I$5,1)="A",H1816,IF(CI1816=1,(CL1816+CJ1816)/2,IF(LEFT(Cockpit!$I$5,1)="B",(CL1816+AW1816)/2,MAX((CL1816+AW1816)/2,H1816))))</f>
        <v>0</v>
      </c>
      <c r="AV1816" s="62" t="n">
        <f aca="false">AU1816*G1816</f>
        <v>0</v>
      </c>
      <c r="AW1816" s="62" t="n">
        <f aca="false">ROUNDUP(CL1816+MAX(CM1816,2*(J1816/IF(CH1816&gt;0,CH1816,MAX(0.1,N(Cockpit!$I$6)))-CL1816)),0)</f>
        <v>0</v>
      </c>
      <c r="AX1816" s="63" t="n">
        <f aca="false">IF(AT1816&gt;0,J1816/AT1816,-1)</f>
        <v>-1</v>
      </c>
      <c r="AY1816" s="63" t="str">
        <f aca="false">IF(AND(OR(CG1816="L1",CG1816="L23",CG1816="LIFT"),AT1816&gt;0),SUMIFS($AT$7:$AT$1843,$CG$7:$CG$1843,CG1816,$AX$7:$AX$1843,"&gt;"&amp;AX1816)+SUMIFS($AT$7:$AT$1843,$CG$7:$CG$1843,CG1816,$AX$7:$AX$1843,AX1816,$BX$7:$BX$1843,"&lt;="&amp;BX1816),"")</f>
        <v/>
      </c>
      <c r="AZ1816" s="70" t="n">
        <f aca="false">IF(AY1816="",0,MAX(0,MIN(1,(IF(CG1816="L1",Parameter!$H$5,IF(CG1816="L23",Parameter!$H$6+Parameter!$H$7,Parameter!$H$5+Parameter!$H$6+Parameter!$H$7))-(AY1816-AT1816))/AT1816)))</f>
        <v>0</v>
      </c>
      <c r="BA1816" s="62" t="n">
        <f aca="false">IF(LEFT(Cockpit!$O$5,1)="A",H1816,IF(Parameter!$E$30="MAX-Bestand",IF(CI1816=1,CJ1816,IF(LEFT(Cockpit!$O$5,1)="B",BG1816,MAX(BG1816,H1816))),ROUNDUP(BE1816,0)))</f>
        <v>0</v>
      </c>
      <c r="BB1816" s="62" t="n">
        <f aca="false">IF(CA1816=1,0,ROUNDUP(BA1816/BZ1816,0))</f>
        <v>0</v>
      </c>
      <c r="BC1816" s="64" t="n">
        <f aca="false">IF(CR1816&gt;0,CR1816*MAX(1,BA1816/X1816),IF(CA1816=1,IF(BA1816&lt;=0,0,CE1816*MAX(1,IF(H1816&gt;0,BA1816/H1816,1))),IF(R1816&gt;0,BB1816/R1816,0))/MAX(0.1,N(Parameter!$M$21)))</f>
        <v>0</v>
      </c>
      <c r="BD1816" s="62" t="n">
        <f aca="false">BC1816*CC1816</f>
        <v>0</v>
      </c>
      <c r="BE1816" s="63" t="n">
        <f aca="false">IF(LEFT(Cockpit!$O$5,1)="A",H1816,IF(CI1816=1,(CL1816+CJ1816)/2,IF(LEFT(Cockpit!$O$5,1)="B",(CL1816+BG1816)/2,MAX((CL1816+BG1816)/2,H1816))))</f>
        <v>0</v>
      </c>
      <c r="BF1816" s="62" t="n">
        <f aca="false">BE1816*G1816</f>
        <v>0</v>
      </c>
      <c r="BG1816" s="62" t="n">
        <f aca="false">ROUNDUP(CL1816+MAX(CM1816,2*(J1816/IF(CH1816&gt;0,CH1816,MAX(0.1,N(Cockpit!$O$6)))-CL1816)),0)</f>
        <v>0</v>
      </c>
      <c r="BH1816" s="63" t="n">
        <f aca="false">IF(BD1816&gt;0,J1816/BD1816,-1)</f>
        <v>-1</v>
      </c>
      <c r="BI1816" s="63" t="str">
        <f aca="false">IF(AND(OR(CG1816="L1",CG1816="L23",CG1816="LIFT"),BD1816&gt;0),SUMIFS($BD$7:$BD$1843,$CG$7:$CG$1843,CG1816,$BH$7:$BH$1843,"&gt;"&amp;BH1816)+SUMIFS($BD$7:$BD$1843,$CG$7:$CG$1843,CG1816,$BH$7:$BH$1843,BH1816,$BX$7:$BX$1843,"&lt;="&amp;BX1816),"")</f>
        <v/>
      </c>
      <c r="BJ1816" s="70" t="n">
        <f aca="false">IF(BI1816="",0,MAX(0,MIN(1,(IF(CG1816="L1",Parameter!$H$5,IF(CG1816="L23",Parameter!$H$6+Parameter!$H$7,Parameter!$H$5+Parameter!$H$6+Parameter!$H$7))-(BI1816-BD1816))/BD1816)))</f>
        <v>0</v>
      </c>
      <c r="BK1816" s="60" t="str">
        <f aca="false">IF(AJ1816&lt;=0,"",IF(CG1816="Aussen","Aussenlager",IF(CG1816="-","Nicht im Lift",IF(AP1816&gt;=1,"Lift",IF(AP1816&lt;=0,"Aussenlager","teilweise")))))</f>
        <v/>
      </c>
      <c r="BL1816" s="60" t="str">
        <f aca="false">IF(AT1816&lt;=0,"",IF(CG1816="Aussen","Aussenlager",IF(CG1816="-","Nicht im Lift",IF(AZ1816&gt;=1,"Lift",IF(AZ1816&lt;=0,"Aussenlager","teilweise")))))</f>
        <v/>
      </c>
      <c r="BM1816" s="60" t="str">
        <f aca="false">IF(BD1816&lt;=0,"",IF(CG1816="Aussen","Aussenlager",IF(CG1816="-","Nicht im Lift",IF(BJ1816&gt;=1,"Lift",IF(BJ1816&lt;=0,"Aussenlager","teilweise")))))</f>
        <v/>
      </c>
      <c r="BN1816" s="60" t="str">
        <f aca="false">IF(A1816="","",IF(BW1816=1,"Neu; ","")&amp;IF(AND(BW1816=0,BR1816&lt;0),"negativer Bestand (Export "&amp;BR1816&amp;"); ","")&amp;IF(J1816&lt;=0,"Kein Verbrauch; ","")&amp;IF(CR1816&gt;0,"Lift "&amp;W1816&amp;" lt. Liftbericht (Fach "&amp;X1816&amp;" Stk); ",IF(CB1816=1,"Gebinde geschätzt ("&amp;T1816&amp;"); ",IF(CA1816=1,"Lose – Tablare geschätzt; ","")))&amp;IF(H1816&gt;AW1816,"Überbestand "&amp;ROUND(H1816-AW1816,0)&amp;" Stk / CHF "&amp;ROUND((H1816-AW1816)*G1816,0)&amp;"; ","")&amp;IF(AND(CI1816=1,CJ1816&lt;CK1816),"MAX &lt; MB+LG; ","")&amp;IF(AND(CQ1816&gt;0,CP1816*10&gt;CQ1816),"zu hoch für Tablar; ","")&amp;IF(AND(BW1816=0,OR(CI1816=1,AB1816&lt;&gt;"",U1816&lt;&gt;"",V1816&lt;&gt;"",AC1816&lt;&gt;"")),"manuell übersteuert; ","")&amp;IF(AND(CA1816=0,R1816=0),"Gebinde unbekannt / Stellmass fehlt; ","")&amp;IF(AND(CA1816=0,N(V1816)&lt;=0,N(Q1816)&lt;=0),"Menge pro Gebinde fehlt (Ist = 1 Gebinde); ","")&amp;BV1816)</f>
        <v/>
      </c>
      <c r="BO1816" s="60"/>
      <c r="BP1816" s="60"/>
      <c r="BQ1816" s="67"/>
      <c r="BR1816" s="62" t="n">
        <f aca="false">N('Neue Artikel'!$D$77)</f>
        <v>0</v>
      </c>
      <c r="BS1816" s="62" t="n">
        <v>0</v>
      </c>
      <c r="BT1816" s="61" t="n">
        <v>0</v>
      </c>
      <c r="BU1816" s="62" t="n">
        <f aca="false">N('Neue Artikel'!$C$77)/Parameter!$B$18</f>
        <v>0</v>
      </c>
      <c r="BV1816" s="60"/>
      <c r="BW1816" s="65" t="n">
        <v>1</v>
      </c>
      <c r="BX1816" s="65" t="n">
        <v>1816</v>
      </c>
      <c r="BY1816" s="60" t="str">
        <f aca="false">IF(U1816&lt;&gt;"",UPPER(TRIM(U1816)),IF(CB1816=1,UPPER(VLOOKUP(T1816,Parameter!$I$27:$K$29,2,0)),IF(P1816="","LOSE",P1816)))</f>
        <v>LOSE</v>
      </c>
      <c r="BZ1816" s="62" t="n">
        <f aca="false">IF(BY1816="LOSE",1,IF(N(V1816)&gt;0,V1816,IF(CB1816=1,MAX(1,N(VLOOKUP(T1816,Parameter!$I$27:$K$29,3,0)),H1816,N(N1816)),IF(N(Q1816)&gt;0,Q1816,MAX(1,H1816)))))</f>
        <v>1</v>
      </c>
      <c r="CA1816" s="65" t="n">
        <f aca="false">IF(BY1816="LOSE",1,0)</f>
        <v>1</v>
      </c>
      <c r="CB1816" s="65" t="n">
        <f aca="false">IF(AND(U1816="",OR(P1816="",P1816="LOSE"),T1816&lt;&gt;"",N(S1816)&lt;=0,ISNUMBER(MATCH(T1816,Parameter!$I$27:$I$29,0))),1,0)</f>
        <v>0</v>
      </c>
      <c r="CC1816" s="65" t="n">
        <f aca="false">IF(CR1816&gt;0,INDEX(Parameter!$H$5:$H$7,W1816)/INDEX(Parameter!$E$5:$E$7,W1816),IF(AND(CA1816=0,N(IFERROR(VLOOKUP(BY1816,'Gebinde-Kategorie'!$A$5:$N$45,14,0),0))&gt;0),VLOOKUP(BY1816,'Gebinde-Kategorie'!$A$5:$N$45,14,0)*10+Parameter!$M$23,Parameter!$M$24))</f>
        <v>235</v>
      </c>
      <c r="CD1816" s="60" t="str">
        <f aca="false">IF(AND(Parameter!$B$19="Ja",E1816&lt;&gt;"",ISNUMBER(MATCH(E1816,Parameter!$I$35:$I$52,0))),VLOOKUP(E1816,Parameter!$I$35:$J$52,2,0),IFERROR(VLOOKUP(D1816,Parameter!$A$35:$C$64,2,0),"Nein"))</f>
        <v>2+3</v>
      </c>
      <c r="CE1816" s="64" t="n">
        <f aca="false">IF(CA1816=0,0,IF(N(S1816)&gt;0,S1816,IFERROR(VLOOKUP(D1816,Parameter!$A$35:$C$64,3,0)+0,0)))</f>
        <v>0.15</v>
      </c>
      <c r="CF1816" s="60" t="str">
        <f aca="false">IF(AB1816&lt;&gt;"",AB1816,AA1816)</f>
        <v/>
      </c>
      <c r="CG1816" s="60" t="str">
        <f aca="false">IF(OR(CF1816=1,CF1816=2,CF1816=3),IF(Parameter!$E$27="Ja","LIFT",IF(CF1816=1,"L1","L23")),IF(CF1816="Aussen","Aussen","-"))</f>
        <v>-</v>
      </c>
      <c r="CH1816" s="71" t="n">
        <f aca="false">IF(N(AC1816)&gt;0,AC1816,0)</f>
        <v>0</v>
      </c>
      <c r="CI1816" s="65" t="n">
        <f aca="false">IF(ISNUMBER(AF1816),1,0)</f>
        <v>0</v>
      </c>
      <c r="CJ1816" s="62" t="n">
        <f aca="false">N(AF1816)</f>
        <v>0</v>
      </c>
      <c r="CK1816" s="62" t="n">
        <f aca="false">N(M1816)+N(N1816)</f>
        <v>0</v>
      </c>
      <c r="CL1816" s="62" t="n">
        <f aca="false">N(M1816)</f>
        <v>0</v>
      </c>
      <c r="CM1816" s="62" t="n">
        <f aca="false">N(N1816)</f>
        <v>0</v>
      </c>
      <c r="CN1816" s="62" t="n">
        <f aca="false">ROUNDUP(H1816/BZ1816,0)</f>
        <v>0</v>
      </c>
      <c r="CO1816" s="62" t="n">
        <f aca="false">ROUNDUP(CJ1816/BZ1816,0)</f>
        <v>0</v>
      </c>
      <c r="CP1816" s="65" t="n">
        <f aca="false">IF(CA1816=1,0,IFERROR(VLOOKUP(BY1816,'Gebinde-Kategorie'!$A$5:$N$45,5,0)+0,0))</f>
        <v>0</v>
      </c>
      <c r="CQ1816" s="65" t="n">
        <f aca="false">IFERROR(IF(OR(CF1816=1,CF1816=2,CF1816=3),N(INDEX(Parameter!$I$5:$I$7,CF1816)),0),0)</f>
        <v>0</v>
      </c>
      <c r="CR1816" s="64" t="n">
        <f aca="false">IF(AND(Parameter!$B$21="Ja",ISNUMBER(W1816),N(X1816)&gt;0),IFERROR(N(INDEX(Parameter!$L$5:$L$7,W1816))*INDEX(Parameter!$E$5:$E$7,W1816)*X1816/SUMIFS($X$7:$X$1843,$W$7:$W$1843,W1816),0),0)</f>
        <v>0</v>
      </c>
      <c r="CS1816" s="62" t="str">
        <f aca="false">IF(AND(OR(CG1816="L1",CG1816="L23",CG1816="LIFT"),H1816&gt;0),CC1816*IF(CR1816&gt;0,CR1816*MAX(1,H1816/X1816),IF(CA1816=1,CE1816,IF(R1816&gt;0,CN1816/R1816,0))/MAX(0.1,N(Parameter!$M$21))),"")</f>
        <v/>
      </c>
      <c r="CT1816" s="64" t="str">
        <f aca="false">IF(CS1816="","",J1816/H1816)</f>
        <v/>
      </c>
      <c r="CU1816" s="62" t="str">
        <f aca="false">IF(CS1816="","",H1816*G1816)</f>
        <v/>
      </c>
      <c r="CV1816" s="63" t="str">
        <f aca="false">IF(CS1816="","",(CL1816+ROUNDUP(CL1816+MAX(CM1816,2*(J1816/MAX(0.1,N(Einkauf!$C$6))-CL1816)),0))/2)</f>
        <v/>
      </c>
      <c r="CW1816" s="62" t="str">
        <f aca="false">IF(CS1816="","",MAX(0,H1816-CV1816)*G1816)</f>
        <v/>
      </c>
      <c r="CX1816" s="62" t="str">
        <f aca="false">IF(CS1816="","",CS1816*MAX(0,1-CV1816/H1816))</f>
        <v/>
      </c>
      <c r="CY1816" s="64" t="str">
        <f aca="false">IF(CS1816="","",PERCENTRANK($CS$7:$CS$1843,CS1816)+PERCENTRANK($CU$7:$CU$1843,CU1816)+1-PERCENTRANK($CT$7:$CT$1843,CT1816))</f>
        <v/>
      </c>
      <c r="CZ1816" s="72" t="str">
        <f aca="false">IF(CS1816="","",CHOOSE(MATCH(Einkauf!$C$5,Parameter!$G$23:$G$27,0),CY1816,CS1816,CU1816,-CT1816,CW1816)+ROW()/1000000000)</f>
        <v/>
      </c>
    </row>
    <row r="1817" customFormat="false" ht="15" hidden="false" customHeight="false" outlineLevel="0" collapsed="false">
      <c r="A1817" s="60" t="str">
        <f aca="false">IF('Neue Artikel'!$A$78="","",'Neue Artikel'!$A$78&amp;"")</f>
        <v/>
      </c>
      <c r="B1817" s="60" t="str">
        <f aca="false">'Neue Artikel'!$B$78&amp;""</f>
        <v/>
      </c>
      <c r="C1817" s="60"/>
      <c r="D1817" s="60" t="s">
        <v>3057</v>
      </c>
      <c r="E1817" s="60"/>
      <c r="F1817" s="60"/>
      <c r="G1817" s="61" t="n">
        <f aca="false">N('Neue Artikel'!$G$78)</f>
        <v>0</v>
      </c>
      <c r="H1817" s="62" t="n">
        <f aca="false">MAX(0,IF(AND(Parameter!$B$21="Ja",ISNUMBER(Y1817)),Y1817,IF(Parameter!$B$20="Jahresanfang 2025 + Export",BS1817+BR1817,BR1817)))</f>
        <v>0</v>
      </c>
      <c r="I1817" s="62" t="n">
        <f aca="false">H1817*G1817</f>
        <v>0</v>
      </c>
      <c r="J1817" s="62" t="n">
        <f aca="false">BU1817*Parameter!$B$18</f>
        <v>0</v>
      </c>
      <c r="K1817" s="63"/>
      <c r="L1817" s="64"/>
      <c r="M1817" s="62" t="n">
        <f aca="false">N('Neue Artikel'!$E$78)</f>
        <v>0</v>
      </c>
      <c r="N1817" s="62" t="n">
        <f aca="false">N('Neue Artikel'!$F$78)</f>
        <v>0</v>
      </c>
      <c r="O1817" s="65"/>
      <c r="P1817" s="60" t="str">
        <f aca="false">IF('Neue Artikel'!$H$78="","LOSE",UPPER(TRIM('Neue Artikel'!$H$78)))</f>
        <v>LOSE</v>
      </c>
      <c r="Q1817" s="62" t="n">
        <f aca="false">N('Neue Artikel'!$I$78)</f>
        <v>0</v>
      </c>
      <c r="R1817" s="65" t="n">
        <f aca="false">IF(CA1817=1,0,IFERROR(VLOOKUP(BY1817,'Gebinde-Kategorie'!$A$5:$N$45,13,0)+0,0))</f>
        <v>0</v>
      </c>
      <c r="S1817" s="66"/>
      <c r="T1817" s="67"/>
      <c r="U1817" s="67"/>
      <c r="V1817" s="67"/>
      <c r="W1817" s="60"/>
      <c r="X1817" s="62"/>
      <c r="Y1817" s="62"/>
      <c r="Z1817" s="60"/>
      <c r="AA1817" s="60" t="str">
        <f aca="false">IF(A1817="","",IF(AND(Parameter!$B$21="Ja",ISNUMBER(W1817)),W1817,IF(AND(Parameter!$E$27="Ja",ISNUMBER(Z1817),CD1817&lt;&gt;"Nein"),Z1817,IF(CD1817="2+3",IF(ISNUMBER(SEARCH("grosser Artikel",BV1817)),2,IFERROR(VLOOKUP(BY1817,Parameter!$F$35:$G$64,2,0),2)),IF(OR(CD1817="Nein",CD1817=""),"-",CD1817)))))</f>
        <v/>
      </c>
      <c r="AB1817" s="60" t="str">
        <f aca="false">IF('Neue Artikel'!$J$78="","",'Neue Artikel'!$J$78)</f>
        <v/>
      </c>
      <c r="AC1817" s="68"/>
      <c r="AD1817" s="62" t="n">
        <f aca="false">AW1817</f>
        <v>0</v>
      </c>
      <c r="AE1817" s="62" t="n">
        <f aca="false">MAX(AW1817,H1817)</f>
        <v>0</v>
      </c>
      <c r="AF1817" s="69"/>
      <c r="AG1817" s="62" t="n">
        <f aca="false">IF(LEFT(Cockpit!$C$5,1)="A",H1817,IF(Parameter!$E$30="MAX-Bestand",IF(CI1817=1,CJ1817,IF(LEFT(Cockpit!$C$5,1)="B",AM1817,MAX(AM1817,H1817))),ROUNDUP(AK1817,0)))</f>
        <v>0</v>
      </c>
      <c r="AH1817" s="62" t="n">
        <f aca="false">IF(CA1817=1,0,ROUNDUP(AG1817/BZ1817,0))</f>
        <v>0</v>
      </c>
      <c r="AI1817" s="64" t="n">
        <f aca="false">IF(CR1817&gt;0,CR1817*MAX(1,AG1817/X1817),IF(CA1817=1,IF(AG1817&lt;=0,0,CE1817*MAX(1,IF(H1817&gt;0,AG1817/H1817,1))),IF(R1817&gt;0,AH1817/R1817,0))/MAX(0.1,N(Parameter!$M$21)))</f>
        <v>0</v>
      </c>
      <c r="AJ1817" s="62" t="n">
        <f aca="false">AI1817*CC1817</f>
        <v>0</v>
      </c>
      <c r="AK1817" s="63" t="n">
        <f aca="false">IF(LEFT(Cockpit!$C$5,1)="A",H1817,IF(CI1817=1,(CL1817+CJ1817)/2,IF(LEFT(Cockpit!$C$5,1)="B",(CL1817+AM1817)/2,MAX((CL1817+AM1817)/2,H1817))))</f>
        <v>0</v>
      </c>
      <c r="AL1817" s="62" t="n">
        <f aca="false">AK1817*G1817</f>
        <v>0</v>
      </c>
      <c r="AM1817" s="62" t="n">
        <f aca="false">ROUNDUP(CL1817+MAX(CM1817,2*(J1817/IF(CH1817&gt;0,CH1817,MAX(0.1,N(Cockpit!$C$6)))-CL1817)),0)</f>
        <v>0</v>
      </c>
      <c r="AN1817" s="63" t="n">
        <f aca="false">IF(AJ1817&gt;0,J1817/AJ1817,-1)</f>
        <v>-1</v>
      </c>
      <c r="AO1817" s="63" t="str">
        <f aca="false">IF(AND(OR(CG1817="L1",CG1817="L23",CG1817="LIFT"),AJ1817&gt;0),SUMIFS($AJ$7:$AJ$1843,$CG$7:$CG$1843,CG1817,$AN$7:$AN$1843,"&gt;"&amp;AN1817)+SUMIFS($AJ$7:$AJ$1843,$CG$7:$CG$1843,CG1817,$AN$7:$AN$1843,AN1817,$BX$7:$BX$1843,"&lt;="&amp;BX1817),"")</f>
        <v/>
      </c>
      <c r="AP1817" s="70" t="n">
        <f aca="false">IF(AO1817="",0,MAX(0,MIN(1,(IF(CG1817="L1",Parameter!$H$5,IF(CG1817="L23",Parameter!$H$6+Parameter!$H$7,Parameter!$H$5+Parameter!$H$6+Parameter!$H$7))-(AO1817-AJ1817))/AJ1817)))</f>
        <v>0</v>
      </c>
      <c r="AQ1817" s="62" t="n">
        <f aca="false">IF(LEFT(Cockpit!$I$5,1)="A",H1817,IF(Parameter!$E$30="MAX-Bestand",IF(CI1817=1,CJ1817,IF(LEFT(Cockpit!$I$5,1)="B",AW1817,MAX(AW1817,H1817))),ROUNDUP(AU1817,0)))</f>
        <v>0</v>
      </c>
      <c r="AR1817" s="62" t="n">
        <f aca="false">IF(CA1817=1,0,ROUNDUP(AQ1817/BZ1817,0))</f>
        <v>0</v>
      </c>
      <c r="AS1817" s="64" t="n">
        <f aca="false">IF(CR1817&gt;0,CR1817*MAX(1,AQ1817/X1817),IF(CA1817=1,IF(AQ1817&lt;=0,0,CE1817*MAX(1,IF(H1817&gt;0,AQ1817/H1817,1))),IF(R1817&gt;0,AR1817/R1817,0))/MAX(0.1,N(Parameter!$M$21)))</f>
        <v>0</v>
      </c>
      <c r="AT1817" s="62" t="n">
        <f aca="false">AS1817*CC1817</f>
        <v>0</v>
      </c>
      <c r="AU1817" s="63" t="n">
        <f aca="false">IF(LEFT(Cockpit!$I$5,1)="A",H1817,IF(CI1817=1,(CL1817+CJ1817)/2,IF(LEFT(Cockpit!$I$5,1)="B",(CL1817+AW1817)/2,MAX((CL1817+AW1817)/2,H1817))))</f>
        <v>0</v>
      </c>
      <c r="AV1817" s="62" t="n">
        <f aca="false">AU1817*G1817</f>
        <v>0</v>
      </c>
      <c r="AW1817" s="62" t="n">
        <f aca="false">ROUNDUP(CL1817+MAX(CM1817,2*(J1817/IF(CH1817&gt;0,CH1817,MAX(0.1,N(Cockpit!$I$6)))-CL1817)),0)</f>
        <v>0</v>
      </c>
      <c r="AX1817" s="63" t="n">
        <f aca="false">IF(AT1817&gt;0,J1817/AT1817,-1)</f>
        <v>-1</v>
      </c>
      <c r="AY1817" s="63" t="str">
        <f aca="false">IF(AND(OR(CG1817="L1",CG1817="L23",CG1817="LIFT"),AT1817&gt;0),SUMIFS($AT$7:$AT$1843,$CG$7:$CG$1843,CG1817,$AX$7:$AX$1843,"&gt;"&amp;AX1817)+SUMIFS($AT$7:$AT$1843,$CG$7:$CG$1843,CG1817,$AX$7:$AX$1843,AX1817,$BX$7:$BX$1843,"&lt;="&amp;BX1817),"")</f>
        <v/>
      </c>
      <c r="AZ1817" s="70" t="n">
        <f aca="false">IF(AY1817="",0,MAX(0,MIN(1,(IF(CG1817="L1",Parameter!$H$5,IF(CG1817="L23",Parameter!$H$6+Parameter!$H$7,Parameter!$H$5+Parameter!$H$6+Parameter!$H$7))-(AY1817-AT1817))/AT1817)))</f>
        <v>0</v>
      </c>
      <c r="BA1817" s="62" t="n">
        <f aca="false">IF(LEFT(Cockpit!$O$5,1)="A",H1817,IF(Parameter!$E$30="MAX-Bestand",IF(CI1817=1,CJ1817,IF(LEFT(Cockpit!$O$5,1)="B",BG1817,MAX(BG1817,H1817))),ROUNDUP(BE1817,0)))</f>
        <v>0</v>
      </c>
      <c r="BB1817" s="62" t="n">
        <f aca="false">IF(CA1817=1,0,ROUNDUP(BA1817/BZ1817,0))</f>
        <v>0</v>
      </c>
      <c r="BC1817" s="64" t="n">
        <f aca="false">IF(CR1817&gt;0,CR1817*MAX(1,BA1817/X1817),IF(CA1817=1,IF(BA1817&lt;=0,0,CE1817*MAX(1,IF(H1817&gt;0,BA1817/H1817,1))),IF(R1817&gt;0,BB1817/R1817,0))/MAX(0.1,N(Parameter!$M$21)))</f>
        <v>0</v>
      </c>
      <c r="BD1817" s="62" t="n">
        <f aca="false">BC1817*CC1817</f>
        <v>0</v>
      </c>
      <c r="BE1817" s="63" t="n">
        <f aca="false">IF(LEFT(Cockpit!$O$5,1)="A",H1817,IF(CI1817=1,(CL1817+CJ1817)/2,IF(LEFT(Cockpit!$O$5,1)="B",(CL1817+BG1817)/2,MAX((CL1817+BG1817)/2,H1817))))</f>
        <v>0</v>
      </c>
      <c r="BF1817" s="62" t="n">
        <f aca="false">BE1817*G1817</f>
        <v>0</v>
      </c>
      <c r="BG1817" s="62" t="n">
        <f aca="false">ROUNDUP(CL1817+MAX(CM1817,2*(J1817/IF(CH1817&gt;0,CH1817,MAX(0.1,N(Cockpit!$O$6)))-CL1817)),0)</f>
        <v>0</v>
      </c>
      <c r="BH1817" s="63" t="n">
        <f aca="false">IF(BD1817&gt;0,J1817/BD1817,-1)</f>
        <v>-1</v>
      </c>
      <c r="BI1817" s="63" t="str">
        <f aca="false">IF(AND(OR(CG1817="L1",CG1817="L23",CG1817="LIFT"),BD1817&gt;0),SUMIFS($BD$7:$BD$1843,$CG$7:$CG$1843,CG1817,$BH$7:$BH$1843,"&gt;"&amp;BH1817)+SUMIFS($BD$7:$BD$1843,$CG$7:$CG$1843,CG1817,$BH$7:$BH$1843,BH1817,$BX$7:$BX$1843,"&lt;="&amp;BX1817),"")</f>
        <v/>
      </c>
      <c r="BJ1817" s="70" t="n">
        <f aca="false">IF(BI1817="",0,MAX(0,MIN(1,(IF(CG1817="L1",Parameter!$H$5,IF(CG1817="L23",Parameter!$H$6+Parameter!$H$7,Parameter!$H$5+Parameter!$H$6+Parameter!$H$7))-(BI1817-BD1817))/BD1817)))</f>
        <v>0</v>
      </c>
      <c r="BK1817" s="60" t="str">
        <f aca="false">IF(AJ1817&lt;=0,"",IF(CG1817="Aussen","Aussenlager",IF(CG1817="-","Nicht im Lift",IF(AP1817&gt;=1,"Lift",IF(AP1817&lt;=0,"Aussenlager","teilweise")))))</f>
        <v/>
      </c>
      <c r="BL1817" s="60" t="str">
        <f aca="false">IF(AT1817&lt;=0,"",IF(CG1817="Aussen","Aussenlager",IF(CG1817="-","Nicht im Lift",IF(AZ1817&gt;=1,"Lift",IF(AZ1817&lt;=0,"Aussenlager","teilweise")))))</f>
        <v/>
      </c>
      <c r="BM1817" s="60" t="str">
        <f aca="false">IF(BD1817&lt;=0,"",IF(CG1817="Aussen","Aussenlager",IF(CG1817="-","Nicht im Lift",IF(BJ1817&gt;=1,"Lift",IF(BJ1817&lt;=0,"Aussenlager","teilweise")))))</f>
        <v/>
      </c>
      <c r="BN1817" s="60" t="str">
        <f aca="false">IF(A1817="","",IF(BW1817=1,"Neu; ","")&amp;IF(AND(BW1817=0,BR1817&lt;0),"negativer Bestand (Export "&amp;BR1817&amp;"); ","")&amp;IF(J1817&lt;=0,"Kein Verbrauch; ","")&amp;IF(CR1817&gt;0,"Lift "&amp;W1817&amp;" lt. Liftbericht (Fach "&amp;X1817&amp;" Stk); ",IF(CB1817=1,"Gebinde geschätzt ("&amp;T1817&amp;"); ",IF(CA1817=1,"Lose – Tablare geschätzt; ","")))&amp;IF(H1817&gt;AW1817,"Überbestand "&amp;ROUND(H1817-AW1817,0)&amp;" Stk / CHF "&amp;ROUND((H1817-AW1817)*G1817,0)&amp;"; ","")&amp;IF(AND(CI1817=1,CJ1817&lt;CK1817),"MAX &lt; MB+LG; ","")&amp;IF(AND(CQ1817&gt;0,CP1817*10&gt;CQ1817),"zu hoch für Tablar; ","")&amp;IF(AND(BW1817=0,OR(CI1817=1,AB1817&lt;&gt;"",U1817&lt;&gt;"",V1817&lt;&gt;"",AC1817&lt;&gt;"")),"manuell übersteuert; ","")&amp;IF(AND(CA1817=0,R1817=0),"Gebinde unbekannt / Stellmass fehlt; ","")&amp;IF(AND(CA1817=0,N(V1817)&lt;=0,N(Q1817)&lt;=0),"Menge pro Gebinde fehlt (Ist = 1 Gebinde); ","")&amp;BV1817)</f>
        <v/>
      </c>
      <c r="BO1817" s="60"/>
      <c r="BP1817" s="60"/>
      <c r="BQ1817" s="67"/>
      <c r="BR1817" s="62" t="n">
        <f aca="false">N('Neue Artikel'!$D$78)</f>
        <v>0</v>
      </c>
      <c r="BS1817" s="62" t="n">
        <v>0</v>
      </c>
      <c r="BT1817" s="61" t="n">
        <v>0</v>
      </c>
      <c r="BU1817" s="62" t="n">
        <f aca="false">N('Neue Artikel'!$C$78)/Parameter!$B$18</f>
        <v>0</v>
      </c>
      <c r="BV1817" s="60"/>
      <c r="BW1817" s="65" t="n">
        <v>1</v>
      </c>
      <c r="BX1817" s="65" t="n">
        <v>1817</v>
      </c>
      <c r="BY1817" s="60" t="str">
        <f aca="false">IF(U1817&lt;&gt;"",UPPER(TRIM(U1817)),IF(CB1817=1,UPPER(VLOOKUP(T1817,Parameter!$I$27:$K$29,2,0)),IF(P1817="","LOSE",P1817)))</f>
        <v>LOSE</v>
      </c>
      <c r="BZ1817" s="62" t="n">
        <f aca="false">IF(BY1817="LOSE",1,IF(N(V1817)&gt;0,V1817,IF(CB1817=1,MAX(1,N(VLOOKUP(T1817,Parameter!$I$27:$K$29,3,0)),H1817,N(N1817)),IF(N(Q1817)&gt;0,Q1817,MAX(1,H1817)))))</f>
        <v>1</v>
      </c>
      <c r="CA1817" s="65" t="n">
        <f aca="false">IF(BY1817="LOSE",1,0)</f>
        <v>1</v>
      </c>
      <c r="CB1817" s="65" t="n">
        <f aca="false">IF(AND(U1817="",OR(P1817="",P1817="LOSE"),T1817&lt;&gt;"",N(S1817)&lt;=0,ISNUMBER(MATCH(T1817,Parameter!$I$27:$I$29,0))),1,0)</f>
        <v>0</v>
      </c>
      <c r="CC1817" s="65" t="n">
        <f aca="false">IF(CR1817&gt;0,INDEX(Parameter!$H$5:$H$7,W1817)/INDEX(Parameter!$E$5:$E$7,W1817),IF(AND(CA1817=0,N(IFERROR(VLOOKUP(BY1817,'Gebinde-Kategorie'!$A$5:$N$45,14,0),0))&gt;0),VLOOKUP(BY1817,'Gebinde-Kategorie'!$A$5:$N$45,14,0)*10+Parameter!$M$23,Parameter!$M$24))</f>
        <v>235</v>
      </c>
      <c r="CD1817" s="60" t="str">
        <f aca="false">IF(AND(Parameter!$B$19="Ja",E1817&lt;&gt;"",ISNUMBER(MATCH(E1817,Parameter!$I$35:$I$52,0))),VLOOKUP(E1817,Parameter!$I$35:$J$52,2,0),IFERROR(VLOOKUP(D1817,Parameter!$A$35:$C$64,2,0),"Nein"))</f>
        <v>2+3</v>
      </c>
      <c r="CE1817" s="64" t="n">
        <f aca="false">IF(CA1817=0,0,IF(N(S1817)&gt;0,S1817,IFERROR(VLOOKUP(D1817,Parameter!$A$35:$C$64,3,0)+0,0)))</f>
        <v>0.15</v>
      </c>
      <c r="CF1817" s="60" t="str">
        <f aca="false">IF(AB1817&lt;&gt;"",AB1817,AA1817)</f>
        <v/>
      </c>
      <c r="CG1817" s="60" t="str">
        <f aca="false">IF(OR(CF1817=1,CF1817=2,CF1817=3),IF(Parameter!$E$27="Ja","LIFT",IF(CF1817=1,"L1","L23")),IF(CF1817="Aussen","Aussen","-"))</f>
        <v>-</v>
      </c>
      <c r="CH1817" s="71" t="n">
        <f aca="false">IF(N(AC1817)&gt;0,AC1817,0)</f>
        <v>0</v>
      </c>
      <c r="CI1817" s="65" t="n">
        <f aca="false">IF(ISNUMBER(AF1817),1,0)</f>
        <v>0</v>
      </c>
      <c r="CJ1817" s="62" t="n">
        <f aca="false">N(AF1817)</f>
        <v>0</v>
      </c>
      <c r="CK1817" s="62" t="n">
        <f aca="false">N(M1817)+N(N1817)</f>
        <v>0</v>
      </c>
      <c r="CL1817" s="62" t="n">
        <f aca="false">N(M1817)</f>
        <v>0</v>
      </c>
      <c r="CM1817" s="62" t="n">
        <f aca="false">N(N1817)</f>
        <v>0</v>
      </c>
      <c r="CN1817" s="62" t="n">
        <f aca="false">ROUNDUP(H1817/BZ1817,0)</f>
        <v>0</v>
      </c>
      <c r="CO1817" s="62" t="n">
        <f aca="false">ROUNDUP(CJ1817/BZ1817,0)</f>
        <v>0</v>
      </c>
      <c r="CP1817" s="65" t="n">
        <f aca="false">IF(CA1817=1,0,IFERROR(VLOOKUP(BY1817,'Gebinde-Kategorie'!$A$5:$N$45,5,0)+0,0))</f>
        <v>0</v>
      </c>
      <c r="CQ1817" s="65" t="n">
        <f aca="false">IFERROR(IF(OR(CF1817=1,CF1817=2,CF1817=3),N(INDEX(Parameter!$I$5:$I$7,CF1817)),0),0)</f>
        <v>0</v>
      </c>
      <c r="CR1817" s="64" t="n">
        <f aca="false">IF(AND(Parameter!$B$21="Ja",ISNUMBER(W1817),N(X1817)&gt;0),IFERROR(N(INDEX(Parameter!$L$5:$L$7,W1817))*INDEX(Parameter!$E$5:$E$7,W1817)*X1817/SUMIFS($X$7:$X$1843,$W$7:$W$1843,W1817),0),0)</f>
        <v>0</v>
      </c>
      <c r="CS1817" s="62" t="str">
        <f aca="false">IF(AND(OR(CG1817="L1",CG1817="L23",CG1817="LIFT"),H1817&gt;0),CC1817*IF(CR1817&gt;0,CR1817*MAX(1,H1817/X1817),IF(CA1817=1,CE1817,IF(R1817&gt;0,CN1817/R1817,0))/MAX(0.1,N(Parameter!$M$21))),"")</f>
        <v/>
      </c>
      <c r="CT1817" s="64" t="str">
        <f aca="false">IF(CS1817="","",J1817/H1817)</f>
        <v/>
      </c>
      <c r="CU1817" s="62" t="str">
        <f aca="false">IF(CS1817="","",H1817*G1817)</f>
        <v/>
      </c>
      <c r="CV1817" s="63" t="str">
        <f aca="false">IF(CS1817="","",(CL1817+ROUNDUP(CL1817+MAX(CM1817,2*(J1817/MAX(0.1,N(Einkauf!$C$6))-CL1817)),0))/2)</f>
        <v/>
      </c>
      <c r="CW1817" s="62" t="str">
        <f aca="false">IF(CS1817="","",MAX(0,H1817-CV1817)*G1817)</f>
        <v/>
      </c>
      <c r="CX1817" s="62" t="str">
        <f aca="false">IF(CS1817="","",CS1817*MAX(0,1-CV1817/H1817))</f>
        <v/>
      </c>
      <c r="CY1817" s="64" t="str">
        <f aca="false">IF(CS1817="","",PERCENTRANK($CS$7:$CS$1843,CS1817)+PERCENTRANK($CU$7:$CU$1843,CU1817)+1-PERCENTRANK($CT$7:$CT$1843,CT1817))</f>
        <v/>
      </c>
      <c r="CZ1817" s="72" t="str">
        <f aca="false">IF(CS1817="","",CHOOSE(MATCH(Einkauf!$C$5,Parameter!$G$23:$G$27,0),CY1817,CS1817,CU1817,-CT1817,CW1817)+ROW()/1000000000)</f>
        <v/>
      </c>
    </row>
    <row r="1818" customFormat="false" ht="15" hidden="false" customHeight="false" outlineLevel="0" collapsed="false">
      <c r="A1818" s="60" t="str">
        <f aca="false">IF('Neue Artikel'!$A$79="","",'Neue Artikel'!$A$79&amp;"")</f>
        <v/>
      </c>
      <c r="B1818" s="60" t="str">
        <f aca="false">'Neue Artikel'!$B$79&amp;""</f>
        <v/>
      </c>
      <c r="C1818" s="60"/>
      <c r="D1818" s="60" t="s">
        <v>3057</v>
      </c>
      <c r="E1818" s="60"/>
      <c r="F1818" s="60"/>
      <c r="G1818" s="61" t="n">
        <f aca="false">N('Neue Artikel'!$G$79)</f>
        <v>0</v>
      </c>
      <c r="H1818" s="62" t="n">
        <f aca="false">MAX(0,IF(AND(Parameter!$B$21="Ja",ISNUMBER(Y1818)),Y1818,IF(Parameter!$B$20="Jahresanfang 2025 + Export",BS1818+BR1818,BR1818)))</f>
        <v>0</v>
      </c>
      <c r="I1818" s="62" t="n">
        <f aca="false">H1818*G1818</f>
        <v>0</v>
      </c>
      <c r="J1818" s="62" t="n">
        <f aca="false">BU1818*Parameter!$B$18</f>
        <v>0</v>
      </c>
      <c r="K1818" s="63"/>
      <c r="L1818" s="64"/>
      <c r="M1818" s="62" t="n">
        <f aca="false">N('Neue Artikel'!$E$79)</f>
        <v>0</v>
      </c>
      <c r="N1818" s="62" t="n">
        <f aca="false">N('Neue Artikel'!$F$79)</f>
        <v>0</v>
      </c>
      <c r="O1818" s="65"/>
      <c r="P1818" s="60" t="str">
        <f aca="false">IF('Neue Artikel'!$H$79="","LOSE",UPPER(TRIM('Neue Artikel'!$H$79)))</f>
        <v>LOSE</v>
      </c>
      <c r="Q1818" s="62" t="n">
        <f aca="false">N('Neue Artikel'!$I$79)</f>
        <v>0</v>
      </c>
      <c r="R1818" s="65" t="n">
        <f aca="false">IF(CA1818=1,0,IFERROR(VLOOKUP(BY1818,'Gebinde-Kategorie'!$A$5:$N$45,13,0)+0,0))</f>
        <v>0</v>
      </c>
      <c r="S1818" s="66"/>
      <c r="T1818" s="67"/>
      <c r="U1818" s="67"/>
      <c r="V1818" s="67"/>
      <c r="W1818" s="60"/>
      <c r="X1818" s="62"/>
      <c r="Y1818" s="62"/>
      <c r="Z1818" s="60"/>
      <c r="AA1818" s="60" t="str">
        <f aca="false">IF(A1818="","",IF(AND(Parameter!$B$21="Ja",ISNUMBER(W1818)),W1818,IF(AND(Parameter!$E$27="Ja",ISNUMBER(Z1818),CD1818&lt;&gt;"Nein"),Z1818,IF(CD1818="2+3",IF(ISNUMBER(SEARCH("grosser Artikel",BV1818)),2,IFERROR(VLOOKUP(BY1818,Parameter!$F$35:$G$64,2,0),2)),IF(OR(CD1818="Nein",CD1818=""),"-",CD1818)))))</f>
        <v/>
      </c>
      <c r="AB1818" s="60" t="str">
        <f aca="false">IF('Neue Artikel'!$J$79="","",'Neue Artikel'!$J$79)</f>
        <v/>
      </c>
      <c r="AC1818" s="68"/>
      <c r="AD1818" s="62" t="n">
        <f aca="false">AW1818</f>
        <v>0</v>
      </c>
      <c r="AE1818" s="62" t="n">
        <f aca="false">MAX(AW1818,H1818)</f>
        <v>0</v>
      </c>
      <c r="AF1818" s="69"/>
      <c r="AG1818" s="62" t="n">
        <f aca="false">IF(LEFT(Cockpit!$C$5,1)="A",H1818,IF(Parameter!$E$30="MAX-Bestand",IF(CI1818=1,CJ1818,IF(LEFT(Cockpit!$C$5,1)="B",AM1818,MAX(AM1818,H1818))),ROUNDUP(AK1818,0)))</f>
        <v>0</v>
      </c>
      <c r="AH1818" s="62" t="n">
        <f aca="false">IF(CA1818=1,0,ROUNDUP(AG1818/BZ1818,0))</f>
        <v>0</v>
      </c>
      <c r="AI1818" s="64" t="n">
        <f aca="false">IF(CR1818&gt;0,CR1818*MAX(1,AG1818/X1818),IF(CA1818=1,IF(AG1818&lt;=0,0,CE1818*MAX(1,IF(H1818&gt;0,AG1818/H1818,1))),IF(R1818&gt;0,AH1818/R1818,0))/MAX(0.1,N(Parameter!$M$21)))</f>
        <v>0</v>
      </c>
      <c r="AJ1818" s="62" t="n">
        <f aca="false">AI1818*CC1818</f>
        <v>0</v>
      </c>
      <c r="AK1818" s="63" t="n">
        <f aca="false">IF(LEFT(Cockpit!$C$5,1)="A",H1818,IF(CI1818=1,(CL1818+CJ1818)/2,IF(LEFT(Cockpit!$C$5,1)="B",(CL1818+AM1818)/2,MAX((CL1818+AM1818)/2,H1818))))</f>
        <v>0</v>
      </c>
      <c r="AL1818" s="62" t="n">
        <f aca="false">AK1818*G1818</f>
        <v>0</v>
      </c>
      <c r="AM1818" s="62" t="n">
        <f aca="false">ROUNDUP(CL1818+MAX(CM1818,2*(J1818/IF(CH1818&gt;0,CH1818,MAX(0.1,N(Cockpit!$C$6)))-CL1818)),0)</f>
        <v>0</v>
      </c>
      <c r="AN1818" s="63" t="n">
        <f aca="false">IF(AJ1818&gt;0,J1818/AJ1818,-1)</f>
        <v>-1</v>
      </c>
      <c r="AO1818" s="63" t="str">
        <f aca="false">IF(AND(OR(CG1818="L1",CG1818="L23",CG1818="LIFT"),AJ1818&gt;0),SUMIFS($AJ$7:$AJ$1843,$CG$7:$CG$1843,CG1818,$AN$7:$AN$1843,"&gt;"&amp;AN1818)+SUMIFS($AJ$7:$AJ$1843,$CG$7:$CG$1843,CG1818,$AN$7:$AN$1843,AN1818,$BX$7:$BX$1843,"&lt;="&amp;BX1818),"")</f>
        <v/>
      </c>
      <c r="AP1818" s="70" t="n">
        <f aca="false">IF(AO1818="",0,MAX(0,MIN(1,(IF(CG1818="L1",Parameter!$H$5,IF(CG1818="L23",Parameter!$H$6+Parameter!$H$7,Parameter!$H$5+Parameter!$H$6+Parameter!$H$7))-(AO1818-AJ1818))/AJ1818)))</f>
        <v>0</v>
      </c>
      <c r="AQ1818" s="62" t="n">
        <f aca="false">IF(LEFT(Cockpit!$I$5,1)="A",H1818,IF(Parameter!$E$30="MAX-Bestand",IF(CI1818=1,CJ1818,IF(LEFT(Cockpit!$I$5,1)="B",AW1818,MAX(AW1818,H1818))),ROUNDUP(AU1818,0)))</f>
        <v>0</v>
      </c>
      <c r="AR1818" s="62" t="n">
        <f aca="false">IF(CA1818=1,0,ROUNDUP(AQ1818/BZ1818,0))</f>
        <v>0</v>
      </c>
      <c r="AS1818" s="64" t="n">
        <f aca="false">IF(CR1818&gt;0,CR1818*MAX(1,AQ1818/X1818),IF(CA1818=1,IF(AQ1818&lt;=0,0,CE1818*MAX(1,IF(H1818&gt;0,AQ1818/H1818,1))),IF(R1818&gt;0,AR1818/R1818,0))/MAX(0.1,N(Parameter!$M$21)))</f>
        <v>0</v>
      </c>
      <c r="AT1818" s="62" t="n">
        <f aca="false">AS1818*CC1818</f>
        <v>0</v>
      </c>
      <c r="AU1818" s="63" t="n">
        <f aca="false">IF(LEFT(Cockpit!$I$5,1)="A",H1818,IF(CI1818=1,(CL1818+CJ1818)/2,IF(LEFT(Cockpit!$I$5,1)="B",(CL1818+AW1818)/2,MAX((CL1818+AW1818)/2,H1818))))</f>
        <v>0</v>
      </c>
      <c r="AV1818" s="62" t="n">
        <f aca="false">AU1818*G1818</f>
        <v>0</v>
      </c>
      <c r="AW1818" s="62" t="n">
        <f aca="false">ROUNDUP(CL1818+MAX(CM1818,2*(J1818/IF(CH1818&gt;0,CH1818,MAX(0.1,N(Cockpit!$I$6)))-CL1818)),0)</f>
        <v>0</v>
      </c>
      <c r="AX1818" s="63" t="n">
        <f aca="false">IF(AT1818&gt;0,J1818/AT1818,-1)</f>
        <v>-1</v>
      </c>
      <c r="AY1818" s="63" t="str">
        <f aca="false">IF(AND(OR(CG1818="L1",CG1818="L23",CG1818="LIFT"),AT1818&gt;0),SUMIFS($AT$7:$AT$1843,$CG$7:$CG$1843,CG1818,$AX$7:$AX$1843,"&gt;"&amp;AX1818)+SUMIFS($AT$7:$AT$1843,$CG$7:$CG$1843,CG1818,$AX$7:$AX$1843,AX1818,$BX$7:$BX$1843,"&lt;="&amp;BX1818),"")</f>
        <v/>
      </c>
      <c r="AZ1818" s="70" t="n">
        <f aca="false">IF(AY1818="",0,MAX(0,MIN(1,(IF(CG1818="L1",Parameter!$H$5,IF(CG1818="L23",Parameter!$H$6+Parameter!$H$7,Parameter!$H$5+Parameter!$H$6+Parameter!$H$7))-(AY1818-AT1818))/AT1818)))</f>
        <v>0</v>
      </c>
      <c r="BA1818" s="62" t="n">
        <f aca="false">IF(LEFT(Cockpit!$O$5,1)="A",H1818,IF(Parameter!$E$30="MAX-Bestand",IF(CI1818=1,CJ1818,IF(LEFT(Cockpit!$O$5,1)="B",BG1818,MAX(BG1818,H1818))),ROUNDUP(BE1818,0)))</f>
        <v>0</v>
      </c>
      <c r="BB1818" s="62" t="n">
        <f aca="false">IF(CA1818=1,0,ROUNDUP(BA1818/BZ1818,0))</f>
        <v>0</v>
      </c>
      <c r="BC1818" s="64" t="n">
        <f aca="false">IF(CR1818&gt;0,CR1818*MAX(1,BA1818/X1818),IF(CA1818=1,IF(BA1818&lt;=0,0,CE1818*MAX(1,IF(H1818&gt;0,BA1818/H1818,1))),IF(R1818&gt;0,BB1818/R1818,0))/MAX(0.1,N(Parameter!$M$21)))</f>
        <v>0</v>
      </c>
      <c r="BD1818" s="62" t="n">
        <f aca="false">BC1818*CC1818</f>
        <v>0</v>
      </c>
      <c r="BE1818" s="63" t="n">
        <f aca="false">IF(LEFT(Cockpit!$O$5,1)="A",H1818,IF(CI1818=1,(CL1818+CJ1818)/2,IF(LEFT(Cockpit!$O$5,1)="B",(CL1818+BG1818)/2,MAX((CL1818+BG1818)/2,H1818))))</f>
        <v>0</v>
      </c>
      <c r="BF1818" s="62" t="n">
        <f aca="false">BE1818*G1818</f>
        <v>0</v>
      </c>
      <c r="BG1818" s="62" t="n">
        <f aca="false">ROUNDUP(CL1818+MAX(CM1818,2*(J1818/IF(CH1818&gt;0,CH1818,MAX(0.1,N(Cockpit!$O$6)))-CL1818)),0)</f>
        <v>0</v>
      </c>
      <c r="BH1818" s="63" t="n">
        <f aca="false">IF(BD1818&gt;0,J1818/BD1818,-1)</f>
        <v>-1</v>
      </c>
      <c r="BI1818" s="63" t="str">
        <f aca="false">IF(AND(OR(CG1818="L1",CG1818="L23",CG1818="LIFT"),BD1818&gt;0),SUMIFS($BD$7:$BD$1843,$CG$7:$CG$1843,CG1818,$BH$7:$BH$1843,"&gt;"&amp;BH1818)+SUMIFS($BD$7:$BD$1843,$CG$7:$CG$1843,CG1818,$BH$7:$BH$1843,BH1818,$BX$7:$BX$1843,"&lt;="&amp;BX1818),"")</f>
        <v/>
      </c>
      <c r="BJ1818" s="70" t="n">
        <f aca="false">IF(BI1818="",0,MAX(0,MIN(1,(IF(CG1818="L1",Parameter!$H$5,IF(CG1818="L23",Parameter!$H$6+Parameter!$H$7,Parameter!$H$5+Parameter!$H$6+Parameter!$H$7))-(BI1818-BD1818))/BD1818)))</f>
        <v>0</v>
      </c>
      <c r="BK1818" s="60" t="str">
        <f aca="false">IF(AJ1818&lt;=0,"",IF(CG1818="Aussen","Aussenlager",IF(CG1818="-","Nicht im Lift",IF(AP1818&gt;=1,"Lift",IF(AP1818&lt;=0,"Aussenlager","teilweise")))))</f>
        <v/>
      </c>
      <c r="BL1818" s="60" t="str">
        <f aca="false">IF(AT1818&lt;=0,"",IF(CG1818="Aussen","Aussenlager",IF(CG1818="-","Nicht im Lift",IF(AZ1818&gt;=1,"Lift",IF(AZ1818&lt;=0,"Aussenlager","teilweise")))))</f>
        <v/>
      </c>
      <c r="BM1818" s="60" t="str">
        <f aca="false">IF(BD1818&lt;=0,"",IF(CG1818="Aussen","Aussenlager",IF(CG1818="-","Nicht im Lift",IF(BJ1818&gt;=1,"Lift",IF(BJ1818&lt;=0,"Aussenlager","teilweise")))))</f>
        <v/>
      </c>
      <c r="BN1818" s="60" t="str">
        <f aca="false">IF(A1818="","",IF(BW1818=1,"Neu; ","")&amp;IF(AND(BW1818=0,BR1818&lt;0),"negativer Bestand (Export "&amp;BR1818&amp;"); ","")&amp;IF(J1818&lt;=0,"Kein Verbrauch; ","")&amp;IF(CR1818&gt;0,"Lift "&amp;W1818&amp;" lt. Liftbericht (Fach "&amp;X1818&amp;" Stk); ",IF(CB1818=1,"Gebinde geschätzt ("&amp;T1818&amp;"); ",IF(CA1818=1,"Lose – Tablare geschätzt; ","")))&amp;IF(H1818&gt;AW1818,"Überbestand "&amp;ROUND(H1818-AW1818,0)&amp;" Stk / CHF "&amp;ROUND((H1818-AW1818)*G1818,0)&amp;"; ","")&amp;IF(AND(CI1818=1,CJ1818&lt;CK1818),"MAX &lt; MB+LG; ","")&amp;IF(AND(CQ1818&gt;0,CP1818*10&gt;CQ1818),"zu hoch für Tablar; ","")&amp;IF(AND(BW1818=0,OR(CI1818=1,AB1818&lt;&gt;"",U1818&lt;&gt;"",V1818&lt;&gt;"",AC1818&lt;&gt;"")),"manuell übersteuert; ","")&amp;IF(AND(CA1818=0,R1818=0),"Gebinde unbekannt / Stellmass fehlt; ","")&amp;IF(AND(CA1818=0,N(V1818)&lt;=0,N(Q1818)&lt;=0),"Menge pro Gebinde fehlt (Ist = 1 Gebinde); ","")&amp;BV1818)</f>
        <v/>
      </c>
      <c r="BO1818" s="60"/>
      <c r="BP1818" s="60"/>
      <c r="BQ1818" s="67"/>
      <c r="BR1818" s="62" t="n">
        <f aca="false">N('Neue Artikel'!$D$79)</f>
        <v>0</v>
      </c>
      <c r="BS1818" s="62" t="n">
        <v>0</v>
      </c>
      <c r="BT1818" s="61" t="n">
        <v>0</v>
      </c>
      <c r="BU1818" s="62" t="n">
        <f aca="false">N('Neue Artikel'!$C$79)/Parameter!$B$18</f>
        <v>0</v>
      </c>
      <c r="BV1818" s="60"/>
      <c r="BW1818" s="65" t="n">
        <v>1</v>
      </c>
      <c r="BX1818" s="65" t="n">
        <v>1818</v>
      </c>
      <c r="BY1818" s="60" t="str">
        <f aca="false">IF(U1818&lt;&gt;"",UPPER(TRIM(U1818)),IF(CB1818=1,UPPER(VLOOKUP(T1818,Parameter!$I$27:$K$29,2,0)),IF(P1818="","LOSE",P1818)))</f>
        <v>LOSE</v>
      </c>
      <c r="BZ1818" s="62" t="n">
        <f aca="false">IF(BY1818="LOSE",1,IF(N(V1818)&gt;0,V1818,IF(CB1818=1,MAX(1,N(VLOOKUP(T1818,Parameter!$I$27:$K$29,3,0)),H1818,N(N1818)),IF(N(Q1818)&gt;0,Q1818,MAX(1,H1818)))))</f>
        <v>1</v>
      </c>
      <c r="CA1818" s="65" t="n">
        <f aca="false">IF(BY1818="LOSE",1,0)</f>
        <v>1</v>
      </c>
      <c r="CB1818" s="65" t="n">
        <f aca="false">IF(AND(U1818="",OR(P1818="",P1818="LOSE"),T1818&lt;&gt;"",N(S1818)&lt;=0,ISNUMBER(MATCH(T1818,Parameter!$I$27:$I$29,0))),1,0)</f>
        <v>0</v>
      </c>
      <c r="CC1818" s="65" t="n">
        <f aca="false">IF(CR1818&gt;0,INDEX(Parameter!$H$5:$H$7,W1818)/INDEX(Parameter!$E$5:$E$7,W1818),IF(AND(CA1818=0,N(IFERROR(VLOOKUP(BY1818,'Gebinde-Kategorie'!$A$5:$N$45,14,0),0))&gt;0),VLOOKUP(BY1818,'Gebinde-Kategorie'!$A$5:$N$45,14,0)*10+Parameter!$M$23,Parameter!$M$24))</f>
        <v>235</v>
      </c>
      <c r="CD1818" s="60" t="str">
        <f aca="false">IF(AND(Parameter!$B$19="Ja",E1818&lt;&gt;"",ISNUMBER(MATCH(E1818,Parameter!$I$35:$I$52,0))),VLOOKUP(E1818,Parameter!$I$35:$J$52,2,0),IFERROR(VLOOKUP(D1818,Parameter!$A$35:$C$64,2,0),"Nein"))</f>
        <v>2+3</v>
      </c>
      <c r="CE1818" s="64" t="n">
        <f aca="false">IF(CA1818=0,0,IF(N(S1818)&gt;0,S1818,IFERROR(VLOOKUP(D1818,Parameter!$A$35:$C$64,3,0)+0,0)))</f>
        <v>0.15</v>
      </c>
      <c r="CF1818" s="60" t="str">
        <f aca="false">IF(AB1818&lt;&gt;"",AB1818,AA1818)</f>
        <v/>
      </c>
      <c r="CG1818" s="60" t="str">
        <f aca="false">IF(OR(CF1818=1,CF1818=2,CF1818=3),IF(Parameter!$E$27="Ja","LIFT",IF(CF1818=1,"L1","L23")),IF(CF1818="Aussen","Aussen","-"))</f>
        <v>-</v>
      </c>
      <c r="CH1818" s="71" t="n">
        <f aca="false">IF(N(AC1818)&gt;0,AC1818,0)</f>
        <v>0</v>
      </c>
      <c r="CI1818" s="65" t="n">
        <f aca="false">IF(ISNUMBER(AF1818),1,0)</f>
        <v>0</v>
      </c>
      <c r="CJ1818" s="62" t="n">
        <f aca="false">N(AF1818)</f>
        <v>0</v>
      </c>
      <c r="CK1818" s="62" t="n">
        <f aca="false">N(M1818)+N(N1818)</f>
        <v>0</v>
      </c>
      <c r="CL1818" s="62" t="n">
        <f aca="false">N(M1818)</f>
        <v>0</v>
      </c>
      <c r="CM1818" s="62" t="n">
        <f aca="false">N(N1818)</f>
        <v>0</v>
      </c>
      <c r="CN1818" s="62" t="n">
        <f aca="false">ROUNDUP(H1818/BZ1818,0)</f>
        <v>0</v>
      </c>
      <c r="CO1818" s="62" t="n">
        <f aca="false">ROUNDUP(CJ1818/BZ1818,0)</f>
        <v>0</v>
      </c>
      <c r="CP1818" s="65" t="n">
        <f aca="false">IF(CA1818=1,0,IFERROR(VLOOKUP(BY1818,'Gebinde-Kategorie'!$A$5:$N$45,5,0)+0,0))</f>
        <v>0</v>
      </c>
      <c r="CQ1818" s="65" t="n">
        <f aca="false">IFERROR(IF(OR(CF1818=1,CF1818=2,CF1818=3),N(INDEX(Parameter!$I$5:$I$7,CF1818)),0),0)</f>
        <v>0</v>
      </c>
      <c r="CR1818" s="64" t="n">
        <f aca="false">IF(AND(Parameter!$B$21="Ja",ISNUMBER(W1818),N(X1818)&gt;0),IFERROR(N(INDEX(Parameter!$L$5:$L$7,W1818))*INDEX(Parameter!$E$5:$E$7,W1818)*X1818/SUMIFS($X$7:$X$1843,$W$7:$W$1843,W1818),0),0)</f>
        <v>0</v>
      </c>
      <c r="CS1818" s="62" t="str">
        <f aca="false">IF(AND(OR(CG1818="L1",CG1818="L23",CG1818="LIFT"),H1818&gt;0),CC1818*IF(CR1818&gt;0,CR1818*MAX(1,H1818/X1818),IF(CA1818=1,CE1818,IF(R1818&gt;0,CN1818/R1818,0))/MAX(0.1,N(Parameter!$M$21))),"")</f>
        <v/>
      </c>
      <c r="CT1818" s="64" t="str">
        <f aca="false">IF(CS1818="","",J1818/H1818)</f>
        <v/>
      </c>
      <c r="CU1818" s="62" t="str">
        <f aca="false">IF(CS1818="","",H1818*G1818)</f>
        <v/>
      </c>
      <c r="CV1818" s="63" t="str">
        <f aca="false">IF(CS1818="","",(CL1818+ROUNDUP(CL1818+MAX(CM1818,2*(J1818/MAX(0.1,N(Einkauf!$C$6))-CL1818)),0))/2)</f>
        <v/>
      </c>
      <c r="CW1818" s="62" t="str">
        <f aca="false">IF(CS1818="","",MAX(0,H1818-CV1818)*G1818)</f>
        <v/>
      </c>
      <c r="CX1818" s="62" t="str">
        <f aca="false">IF(CS1818="","",CS1818*MAX(0,1-CV1818/H1818))</f>
        <v/>
      </c>
      <c r="CY1818" s="64" t="str">
        <f aca="false">IF(CS1818="","",PERCENTRANK($CS$7:$CS$1843,CS1818)+PERCENTRANK($CU$7:$CU$1843,CU1818)+1-PERCENTRANK($CT$7:$CT$1843,CT1818))</f>
        <v/>
      </c>
      <c r="CZ1818" s="72" t="str">
        <f aca="false">IF(CS1818="","",CHOOSE(MATCH(Einkauf!$C$5,Parameter!$G$23:$G$27,0),CY1818,CS1818,CU1818,-CT1818,CW1818)+ROW()/1000000000)</f>
        <v/>
      </c>
    </row>
    <row r="1819" customFormat="false" ht="15" hidden="false" customHeight="false" outlineLevel="0" collapsed="false">
      <c r="A1819" s="60" t="str">
        <f aca="false">IF('Neue Artikel'!$A$80="","",'Neue Artikel'!$A$80&amp;"")</f>
        <v/>
      </c>
      <c r="B1819" s="60" t="str">
        <f aca="false">'Neue Artikel'!$B$80&amp;""</f>
        <v/>
      </c>
      <c r="C1819" s="60"/>
      <c r="D1819" s="60" t="s">
        <v>3057</v>
      </c>
      <c r="E1819" s="60"/>
      <c r="F1819" s="60"/>
      <c r="G1819" s="61" t="n">
        <f aca="false">N('Neue Artikel'!$G$80)</f>
        <v>0</v>
      </c>
      <c r="H1819" s="62" t="n">
        <f aca="false">MAX(0,IF(AND(Parameter!$B$21="Ja",ISNUMBER(Y1819)),Y1819,IF(Parameter!$B$20="Jahresanfang 2025 + Export",BS1819+BR1819,BR1819)))</f>
        <v>0</v>
      </c>
      <c r="I1819" s="62" t="n">
        <f aca="false">H1819*G1819</f>
        <v>0</v>
      </c>
      <c r="J1819" s="62" t="n">
        <f aca="false">BU1819*Parameter!$B$18</f>
        <v>0</v>
      </c>
      <c r="K1819" s="63"/>
      <c r="L1819" s="64"/>
      <c r="M1819" s="62" t="n">
        <f aca="false">N('Neue Artikel'!$E$80)</f>
        <v>0</v>
      </c>
      <c r="N1819" s="62" t="n">
        <f aca="false">N('Neue Artikel'!$F$80)</f>
        <v>0</v>
      </c>
      <c r="O1819" s="65"/>
      <c r="P1819" s="60" t="str">
        <f aca="false">IF('Neue Artikel'!$H$80="","LOSE",UPPER(TRIM('Neue Artikel'!$H$80)))</f>
        <v>LOSE</v>
      </c>
      <c r="Q1819" s="62" t="n">
        <f aca="false">N('Neue Artikel'!$I$80)</f>
        <v>0</v>
      </c>
      <c r="R1819" s="65" t="n">
        <f aca="false">IF(CA1819=1,0,IFERROR(VLOOKUP(BY1819,'Gebinde-Kategorie'!$A$5:$N$45,13,0)+0,0))</f>
        <v>0</v>
      </c>
      <c r="S1819" s="66"/>
      <c r="T1819" s="67"/>
      <c r="U1819" s="67"/>
      <c r="V1819" s="67"/>
      <c r="W1819" s="60"/>
      <c r="X1819" s="62"/>
      <c r="Y1819" s="62"/>
      <c r="Z1819" s="60"/>
      <c r="AA1819" s="60" t="str">
        <f aca="false">IF(A1819="","",IF(AND(Parameter!$B$21="Ja",ISNUMBER(W1819)),W1819,IF(AND(Parameter!$E$27="Ja",ISNUMBER(Z1819),CD1819&lt;&gt;"Nein"),Z1819,IF(CD1819="2+3",IF(ISNUMBER(SEARCH("grosser Artikel",BV1819)),2,IFERROR(VLOOKUP(BY1819,Parameter!$F$35:$G$64,2,0),2)),IF(OR(CD1819="Nein",CD1819=""),"-",CD1819)))))</f>
        <v/>
      </c>
      <c r="AB1819" s="60" t="str">
        <f aca="false">IF('Neue Artikel'!$J$80="","",'Neue Artikel'!$J$80)</f>
        <v/>
      </c>
      <c r="AC1819" s="68"/>
      <c r="AD1819" s="62" t="n">
        <f aca="false">AW1819</f>
        <v>0</v>
      </c>
      <c r="AE1819" s="62" t="n">
        <f aca="false">MAX(AW1819,H1819)</f>
        <v>0</v>
      </c>
      <c r="AF1819" s="69"/>
      <c r="AG1819" s="62" t="n">
        <f aca="false">IF(LEFT(Cockpit!$C$5,1)="A",H1819,IF(Parameter!$E$30="MAX-Bestand",IF(CI1819=1,CJ1819,IF(LEFT(Cockpit!$C$5,1)="B",AM1819,MAX(AM1819,H1819))),ROUNDUP(AK1819,0)))</f>
        <v>0</v>
      </c>
      <c r="AH1819" s="62" t="n">
        <f aca="false">IF(CA1819=1,0,ROUNDUP(AG1819/BZ1819,0))</f>
        <v>0</v>
      </c>
      <c r="AI1819" s="64" t="n">
        <f aca="false">IF(CR1819&gt;0,CR1819*MAX(1,AG1819/X1819),IF(CA1819=1,IF(AG1819&lt;=0,0,CE1819*MAX(1,IF(H1819&gt;0,AG1819/H1819,1))),IF(R1819&gt;0,AH1819/R1819,0))/MAX(0.1,N(Parameter!$M$21)))</f>
        <v>0</v>
      </c>
      <c r="AJ1819" s="62" t="n">
        <f aca="false">AI1819*CC1819</f>
        <v>0</v>
      </c>
      <c r="AK1819" s="63" t="n">
        <f aca="false">IF(LEFT(Cockpit!$C$5,1)="A",H1819,IF(CI1819=1,(CL1819+CJ1819)/2,IF(LEFT(Cockpit!$C$5,1)="B",(CL1819+AM1819)/2,MAX((CL1819+AM1819)/2,H1819))))</f>
        <v>0</v>
      </c>
      <c r="AL1819" s="62" t="n">
        <f aca="false">AK1819*G1819</f>
        <v>0</v>
      </c>
      <c r="AM1819" s="62" t="n">
        <f aca="false">ROUNDUP(CL1819+MAX(CM1819,2*(J1819/IF(CH1819&gt;0,CH1819,MAX(0.1,N(Cockpit!$C$6)))-CL1819)),0)</f>
        <v>0</v>
      </c>
      <c r="AN1819" s="63" t="n">
        <f aca="false">IF(AJ1819&gt;0,J1819/AJ1819,-1)</f>
        <v>-1</v>
      </c>
      <c r="AO1819" s="63" t="str">
        <f aca="false">IF(AND(OR(CG1819="L1",CG1819="L23",CG1819="LIFT"),AJ1819&gt;0),SUMIFS($AJ$7:$AJ$1843,$CG$7:$CG$1843,CG1819,$AN$7:$AN$1843,"&gt;"&amp;AN1819)+SUMIFS($AJ$7:$AJ$1843,$CG$7:$CG$1843,CG1819,$AN$7:$AN$1843,AN1819,$BX$7:$BX$1843,"&lt;="&amp;BX1819),"")</f>
        <v/>
      </c>
      <c r="AP1819" s="70" t="n">
        <f aca="false">IF(AO1819="",0,MAX(0,MIN(1,(IF(CG1819="L1",Parameter!$H$5,IF(CG1819="L23",Parameter!$H$6+Parameter!$H$7,Parameter!$H$5+Parameter!$H$6+Parameter!$H$7))-(AO1819-AJ1819))/AJ1819)))</f>
        <v>0</v>
      </c>
      <c r="AQ1819" s="62" t="n">
        <f aca="false">IF(LEFT(Cockpit!$I$5,1)="A",H1819,IF(Parameter!$E$30="MAX-Bestand",IF(CI1819=1,CJ1819,IF(LEFT(Cockpit!$I$5,1)="B",AW1819,MAX(AW1819,H1819))),ROUNDUP(AU1819,0)))</f>
        <v>0</v>
      </c>
      <c r="AR1819" s="62" t="n">
        <f aca="false">IF(CA1819=1,0,ROUNDUP(AQ1819/BZ1819,0))</f>
        <v>0</v>
      </c>
      <c r="AS1819" s="64" t="n">
        <f aca="false">IF(CR1819&gt;0,CR1819*MAX(1,AQ1819/X1819),IF(CA1819=1,IF(AQ1819&lt;=0,0,CE1819*MAX(1,IF(H1819&gt;0,AQ1819/H1819,1))),IF(R1819&gt;0,AR1819/R1819,0))/MAX(0.1,N(Parameter!$M$21)))</f>
        <v>0</v>
      </c>
      <c r="AT1819" s="62" t="n">
        <f aca="false">AS1819*CC1819</f>
        <v>0</v>
      </c>
      <c r="AU1819" s="63" t="n">
        <f aca="false">IF(LEFT(Cockpit!$I$5,1)="A",H1819,IF(CI1819=1,(CL1819+CJ1819)/2,IF(LEFT(Cockpit!$I$5,1)="B",(CL1819+AW1819)/2,MAX((CL1819+AW1819)/2,H1819))))</f>
        <v>0</v>
      </c>
      <c r="AV1819" s="62" t="n">
        <f aca="false">AU1819*G1819</f>
        <v>0</v>
      </c>
      <c r="AW1819" s="62" t="n">
        <f aca="false">ROUNDUP(CL1819+MAX(CM1819,2*(J1819/IF(CH1819&gt;0,CH1819,MAX(0.1,N(Cockpit!$I$6)))-CL1819)),0)</f>
        <v>0</v>
      </c>
      <c r="AX1819" s="63" t="n">
        <f aca="false">IF(AT1819&gt;0,J1819/AT1819,-1)</f>
        <v>-1</v>
      </c>
      <c r="AY1819" s="63" t="str">
        <f aca="false">IF(AND(OR(CG1819="L1",CG1819="L23",CG1819="LIFT"),AT1819&gt;0),SUMIFS($AT$7:$AT$1843,$CG$7:$CG$1843,CG1819,$AX$7:$AX$1843,"&gt;"&amp;AX1819)+SUMIFS($AT$7:$AT$1843,$CG$7:$CG$1843,CG1819,$AX$7:$AX$1843,AX1819,$BX$7:$BX$1843,"&lt;="&amp;BX1819),"")</f>
        <v/>
      </c>
      <c r="AZ1819" s="70" t="n">
        <f aca="false">IF(AY1819="",0,MAX(0,MIN(1,(IF(CG1819="L1",Parameter!$H$5,IF(CG1819="L23",Parameter!$H$6+Parameter!$H$7,Parameter!$H$5+Parameter!$H$6+Parameter!$H$7))-(AY1819-AT1819))/AT1819)))</f>
        <v>0</v>
      </c>
      <c r="BA1819" s="62" t="n">
        <f aca="false">IF(LEFT(Cockpit!$O$5,1)="A",H1819,IF(Parameter!$E$30="MAX-Bestand",IF(CI1819=1,CJ1819,IF(LEFT(Cockpit!$O$5,1)="B",BG1819,MAX(BG1819,H1819))),ROUNDUP(BE1819,0)))</f>
        <v>0</v>
      </c>
      <c r="BB1819" s="62" t="n">
        <f aca="false">IF(CA1819=1,0,ROUNDUP(BA1819/BZ1819,0))</f>
        <v>0</v>
      </c>
      <c r="BC1819" s="64" t="n">
        <f aca="false">IF(CR1819&gt;0,CR1819*MAX(1,BA1819/X1819),IF(CA1819=1,IF(BA1819&lt;=0,0,CE1819*MAX(1,IF(H1819&gt;0,BA1819/H1819,1))),IF(R1819&gt;0,BB1819/R1819,0))/MAX(0.1,N(Parameter!$M$21)))</f>
        <v>0</v>
      </c>
      <c r="BD1819" s="62" t="n">
        <f aca="false">BC1819*CC1819</f>
        <v>0</v>
      </c>
      <c r="BE1819" s="63" t="n">
        <f aca="false">IF(LEFT(Cockpit!$O$5,1)="A",H1819,IF(CI1819=1,(CL1819+CJ1819)/2,IF(LEFT(Cockpit!$O$5,1)="B",(CL1819+BG1819)/2,MAX((CL1819+BG1819)/2,H1819))))</f>
        <v>0</v>
      </c>
      <c r="BF1819" s="62" t="n">
        <f aca="false">BE1819*G1819</f>
        <v>0</v>
      </c>
      <c r="BG1819" s="62" t="n">
        <f aca="false">ROUNDUP(CL1819+MAX(CM1819,2*(J1819/IF(CH1819&gt;0,CH1819,MAX(0.1,N(Cockpit!$O$6)))-CL1819)),0)</f>
        <v>0</v>
      </c>
      <c r="BH1819" s="63" t="n">
        <f aca="false">IF(BD1819&gt;0,J1819/BD1819,-1)</f>
        <v>-1</v>
      </c>
      <c r="BI1819" s="63" t="str">
        <f aca="false">IF(AND(OR(CG1819="L1",CG1819="L23",CG1819="LIFT"),BD1819&gt;0),SUMIFS($BD$7:$BD$1843,$CG$7:$CG$1843,CG1819,$BH$7:$BH$1843,"&gt;"&amp;BH1819)+SUMIFS($BD$7:$BD$1843,$CG$7:$CG$1843,CG1819,$BH$7:$BH$1843,BH1819,$BX$7:$BX$1843,"&lt;="&amp;BX1819),"")</f>
        <v/>
      </c>
      <c r="BJ1819" s="70" t="n">
        <f aca="false">IF(BI1819="",0,MAX(0,MIN(1,(IF(CG1819="L1",Parameter!$H$5,IF(CG1819="L23",Parameter!$H$6+Parameter!$H$7,Parameter!$H$5+Parameter!$H$6+Parameter!$H$7))-(BI1819-BD1819))/BD1819)))</f>
        <v>0</v>
      </c>
      <c r="BK1819" s="60" t="str">
        <f aca="false">IF(AJ1819&lt;=0,"",IF(CG1819="Aussen","Aussenlager",IF(CG1819="-","Nicht im Lift",IF(AP1819&gt;=1,"Lift",IF(AP1819&lt;=0,"Aussenlager","teilweise")))))</f>
        <v/>
      </c>
      <c r="BL1819" s="60" t="str">
        <f aca="false">IF(AT1819&lt;=0,"",IF(CG1819="Aussen","Aussenlager",IF(CG1819="-","Nicht im Lift",IF(AZ1819&gt;=1,"Lift",IF(AZ1819&lt;=0,"Aussenlager","teilweise")))))</f>
        <v/>
      </c>
      <c r="BM1819" s="60" t="str">
        <f aca="false">IF(BD1819&lt;=0,"",IF(CG1819="Aussen","Aussenlager",IF(CG1819="-","Nicht im Lift",IF(BJ1819&gt;=1,"Lift",IF(BJ1819&lt;=0,"Aussenlager","teilweise")))))</f>
        <v/>
      </c>
      <c r="BN1819" s="60" t="str">
        <f aca="false">IF(A1819="","",IF(BW1819=1,"Neu; ","")&amp;IF(AND(BW1819=0,BR1819&lt;0),"negativer Bestand (Export "&amp;BR1819&amp;"); ","")&amp;IF(J1819&lt;=0,"Kein Verbrauch; ","")&amp;IF(CR1819&gt;0,"Lift "&amp;W1819&amp;" lt. Liftbericht (Fach "&amp;X1819&amp;" Stk); ",IF(CB1819=1,"Gebinde geschätzt ("&amp;T1819&amp;"); ",IF(CA1819=1,"Lose – Tablare geschätzt; ","")))&amp;IF(H1819&gt;AW1819,"Überbestand "&amp;ROUND(H1819-AW1819,0)&amp;" Stk / CHF "&amp;ROUND((H1819-AW1819)*G1819,0)&amp;"; ","")&amp;IF(AND(CI1819=1,CJ1819&lt;CK1819),"MAX &lt; MB+LG; ","")&amp;IF(AND(CQ1819&gt;0,CP1819*10&gt;CQ1819),"zu hoch für Tablar; ","")&amp;IF(AND(BW1819=0,OR(CI1819=1,AB1819&lt;&gt;"",U1819&lt;&gt;"",V1819&lt;&gt;"",AC1819&lt;&gt;"")),"manuell übersteuert; ","")&amp;IF(AND(CA1819=0,R1819=0),"Gebinde unbekannt / Stellmass fehlt; ","")&amp;IF(AND(CA1819=0,N(V1819)&lt;=0,N(Q1819)&lt;=0),"Menge pro Gebinde fehlt (Ist = 1 Gebinde); ","")&amp;BV1819)</f>
        <v/>
      </c>
      <c r="BO1819" s="60"/>
      <c r="BP1819" s="60"/>
      <c r="BQ1819" s="67"/>
      <c r="BR1819" s="62" t="n">
        <f aca="false">N('Neue Artikel'!$D$80)</f>
        <v>0</v>
      </c>
      <c r="BS1819" s="62" t="n">
        <v>0</v>
      </c>
      <c r="BT1819" s="61" t="n">
        <v>0</v>
      </c>
      <c r="BU1819" s="62" t="n">
        <f aca="false">N('Neue Artikel'!$C$80)/Parameter!$B$18</f>
        <v>0</v>
      </c>
      <c r="BV1819" s="60"/>
      <c r="BW1819" s="65" t="n">
        <v>1</v>
      </c>
      <c r="BX1819" s="65" t="n">
        <v>1819</v>
      </c>
      <c r="BY1819" s="60" t="str">
        <f aca="false">IF(U1819&lt;&gt;"",UPPER(TRIM(U1819)),IF(CB1819=1,UPPER(VLOOKUP(T1819,Parameter!$I$27:$K$29,2,0)),IF(P1819="","LOSE",P1819)))</f>
        <v>LOSE</v>
      </c>
      <c r="BZ1819" s="62" t="n">
        <f aca="false">IF(BY1819="LOSE",1,IF(N(V1819)&gt;0,V1819,IF(CB1819=1,MAX(1,N(VLOOKUP(T1819,Parameter!$I$27:$K$29,3,0)),H1819,N(N1819)),IF(N(Q1819)&gt;0,Q1819,MAX(1,H1819)))))</f>
        <v>1</v>
      </c>
      <c r="CA1819" s="65" t="n">
        <f aca="false">IF(BY1819="LOSE",1,0)</f>
        <v>1</v>
      </c>
      <c r="CB1819" s="65" t="n">
        <f aca="false">IF(AND(U1819="",OR(P1819="",P1819="LOSE"),T1819&lt;&gt;"",N(S1819)&lt;=0,ISNUMBER(MATCH(T1819,Parameter!$I$27:$I$29,0))),1,0)</f>
        <v>0</v>
      </c>
      <c r="CC1819" s="65" t="n">
        <f aca="false">IF(CR1819&gt;0,INDEX(Parameter!$H$5:$H$7,W1819)/INDEX(Parameter!$E$5:$E$7,W1819),IF(AND(CA1819=0,N(IFERROR(VLOOKUP(BY1819,'Gebinde-Kategorie'!$A$5:$N$45,14,0),0))&gt;0),VLOOKUP(BY1819,'Gebinde-Kategorie'!$A$5:$N$45,14,0)*10+Parameter!$M$23,Parameter!$M$24))</f>
        <v>235</v>
      </c>
      <c r="CD1819" s="60" t="str">
        <f aca="false">IF(AND(Parameter!$B$19="Ja",E1819&lt;&gt;"",ISNUMBER(MATCH(E1819,Parameter!$I$35:$I$52,0))),VLOOKUP(E1819,Parameter!$I$35:$J$52,2,0),IFERROR(VLOOKUP(D1819,Parameter!$A$35:$C$64,2,0),"Nein"))</f>
        <v>2+3</v>
      </c>
      <c r="CE1819" s="64" t="n">
        <f aca="false">IF(CA1819=0,0,IF(N(S1819)&gt;0,S1819,IFERROR(VLOOKUP(D1819,Parameter!$A$35:$C$64,3,0)+0,0)))</f>
        <v>0.15</v>
      </c>
      <c r="CF1819" s="60" t="str">
        <f aca="false">IF(AB1819&lt;&gt;"",AB1819,AA1819)</f>
        <v/>
      </c>
      <c r="CG1819" s="60" t="str">
        <f aca="false">IF(OR(CF1819=1,CF1819=2,CF1819=3),IF(Parameter!$E$27="Ja","LIFT",IF(CF1819=1,"L1","L23")),IF(CF1819="Aussen","Aussen","-"))</f>
        <v>-</v>
      </c>
      <c r="CH1819" s="71" t="n">
        <f aca="false">IF(N(AC1819)&gt;0,AC1819,0)</f>
        <v>0</v>
      </c>
      <c r="CI1819" s="65" t="n">
        <f aca="false">IF(ISNUMBER(AF1819),1,0)</f>
        <v>0</v>
      </c>
      <c r="CJ1819" s="62" t="n">
        <f aca="false">N(AF1819)</f>
        <v>0</v>
      </c>
      <c r="CK1819" s="62" t="n">
        <f aca="false">N(M1819)+N(N1819)</f>
        <v>0</v>
      </c>
      <c r="CL1819" s="62" t="n">
        <f aca="false">N(M1819)</f>
        <v>0</v>
      </c>
      <c r="CM1819" s="62" t="n">
        <f aca="false">N(N1819)</f>
        <v>0</v>
      </c>
      <c r="CN1819" s="62" t="n">
        <f aca="false">ROUNDUP(H1819/BZ1819,0)</f>
        <v>0</v>
      </c>
      <c r="CO1819" s="62" t="n">
        <f aca="false">ROUNDUP(CJ1819/BZ1819,0)</f>
        <v>0</v>
      </c>
      <c r="CP1819" s="65" t="n">
        <f aca="false">IF(CA1819=1,0,IFERROR(VLOOKUP(BY1819,'Gebinde-Kategorie'!$A$5:$N$45,5,0)+0,0))</f>
        <v>0</v>
      </c>
      <c r="CQ1819" s="65" t="n">
        <f aca="false">IFERROR(IF(OR(CF1819=1,CF1819=2,CF1819=3),N(INDEX(Parameter!$I$5:$I$7,CF1819)),0),0)</f>
        <v>0</v>
      </c>
      <c r="CR1819" s="64" t="n">
        <f aca="false">IF(AND(Parameter!$B$21="Ja",ISNUMBER(W1819),N(X1819)&gt;0),IFERROR(N(INDEX(Parameter!$L$5:$L$7,W1819))*INDEX(Parameter!$E$5:$E$7,W1819)*X1819/SUMIFS($X$7:$X$1843,$W$7:$W$1843,W1819),0),0)</f>
        <v>0</v>
      </c>
      <c r="CS1819" s="62" t="str">
        <f aca="false">IF(AND(OR(CG1819="L1",CG1819="L23",CG1819="LIFT"),H1819&gt;0),CC1819*IF(CR1819&gt;0,CR1819*MAX(1,H1819/X1819),IF(CA1819=1,CE1819,IF(R1819&gt;0,CN1819/R1819,0))/MAX(0.1,N(Parameter!$M$21))),"")</f>
        <v/>
      </c>
      <c r="CT1819" s="64" t="str">
        <f aca="false">IF(CS1819="","",J1819/H1819)</f>
        <v/>
      </c>
      <c r="CU1819" s="62" t="str">
        <f aca="false">IF(CS1819="","",H1819*G1819)</f>
        <v/>
      </c>
      <c r="CV1819" s="63" t="str">
        <f aca="false">IF(CS1819="","",(CL1819+ROUNDUP(CL1819+MAX(CM1819,2*(J1819/MAX(0.1,N(Einkauf!$C$6))-CL1819)),0))/2)</f>
        <v/>
      </c>
      <c r="CW1819" s="62" t="str">
        <f aca="false">IF(CS1819="","",MAX(0,H1819-CV1819)*G1819)</f>
        <v/>
      </c>
      <c r="CX1819" s="62" t="str">
        <f aca="false">IF(CS1819="","",CS1819*MAX(0,1-CV1819/H1819))</f>
        <v/>
      </c>
      <c r="CY1819" s="64" t="str">
        <f aca="false">IF(CS1819="","",PERCENTRANK($CS$7:$CS$1843,CS1819)+PERCENTRANK($CU$7:$CU$1843,CU1819)+1-PERCENTRANK($CT$7:$CT$1843,CT1819))</f>
        <v/>
      </c>
      <c r="CZ1819" s="72" t="str">
        <f aca="false">IF(CS1819="","",CHOOSE(MATCH(Einkauf!$C$5,Parameter!$G$23:$G$27,0),CY1819,CS1819,CU1819,-CT1819,CW1819)+ROW()/1000000000)</f>
        <v/>
      </c>
    </row>
    <row r="1820" customFormat="false" ht="15" hidden="false" customHeight="false" outlineLevel="0" collapsed="false">
      <c r="A1820" s="60" t="str">
        <f aca="false">IF('Neue Artikel'!$A$81="","",'Neue Artikel'!$A$81&amp;"")</f>
        <v/>
      </c>
      <c r="B1820" s="60" t="str">
        <f aca="false">'Neue Artikel'!$B$81&amp;""</f>
        <v/>
      </c>
      <c r="C1820" s="60"/>
      <c r="D1820" s="60" t="s">
        <v>3057</v>
      </c>
      <c r="E1820" s="60"/>
      <c r="F1820" s="60"/>
      <c r="G1820" s="61" t="n">
        <f aca="false">N('Neue Artikel'!$G$81)</f>
        <v>0</v>
      </c>
      <c r="H1820" s="62" t="n">
        <f aca="false">MAX(0,IF(AND(Parameter!$B$21="Ja",ISNUMBER(Y1820)),Y1820,IF(Parameter!$B$20="Jahresanfang 2025 + Export",BS1820+BR1820,BR1820)))</f>
        <v>0</v>
      </c>
      <c r="I1820" s="62" t="n">
        <f aca="false">H1820*G1820</f>
        <v>0</v>
      </c>
      <c r="J1820" s="62" t="n">
        <f aca="false">BU1820*Parameter!$B$18</f>
        <v>0</v>
      </c>
      <c r="K1820" s="63"/>
      <c r="L1820" s="64"/>
      <c r="M1820" s="62" t="n">
        <f aca="false">N('Neue Artikel'!$E$81)</f>
        <v>0</v>
      </c>
      <c r="N1820" s="62" t="n">
        <f aca="false">N('Neue Artikel'!$F$81)</f>
        <v>0</v>
      </c>
      <c r="O1820" s="65"/>
      <c r="P1820" s="60" t="str">
        <f aca="false">IF('Neue Artikel'!$H$81="","LOSE",UPPER(TRIM('Neue Artikel'!$H$81)))</f>
        <v>LOSE</v>
      </c>
      <c r="Q1820" s="62" t="n">
        <f aca="false">N('Neue Artikel'!$I$81)</f>
        <v>0</v>
      </c>
      <c r="R1820" s="65" t="n">
        <f aca="false">IF(CA1820=1,0,IFERROR(VLOOKUP(BY1820,'Gebinde-Kategorie'!$A$5:$N$45,13,0)+0,0))</f>
        <v>0</v>
      </c>
      <c r="S1820" s="66"/>
      <c r="T1820" s="67"/>
      <c r="U1820" s="67"/>
      <c r="V1820" s="67"/>
      <c r="W1820" s="60"/>
      <c r="X1820" s="62"/>
      <c r="Y1820" s="62"/>
      <c r="Z1820" s="60"/>
      <c r="AA1820" s="60" t="str">
        <f aca="false">IF(A1820="","",IF(AND(Parameter!$B$21="Ja",ISNUMBER(W1820)),W1820,IF(AND(Parameter!$E$27="Ja",ISNUMBER(Z1820),CD1820&lt;&gt;"Nein"),Z1820,IF(CD1820="2+3",IF(ISNUMBER(SEARCH("grosser Artikel",BV1820)),2,IFERROR(VLOOKUP(BY1820,Parameter!$F$35:$G$64,2,0),2)),IF(OR(CD1820="Nein",CD1820=""),"-",CD1820)))))</f>
        <v/>
      </c>
      <c r="AB1820" s="60" t="str">
        <f aca="false">IF('Neue Artikel'!$J$81="","",'Neue Artikel'!$J$81)</f>
        <v/>
      </c>
      <c r="AC1820" s="68"/>
      <c r="AD1820" s="62" t="n">
        <f aca="false">AW1820</f>
        <v>0</v>
      </c>
      <c r="AE1820" s="62" t="n">
        <f aca="false">MAX(AW1820,H1820)</f>
        <v>0</v>
      </c>
      <c r="AF1820" s="69"/>
      <c r="AG1820" s="62" t="n">
        <f aca="false">IF(LEFT(Cockpit!$C$5,1)="A",H1820,IF(Parameter!$E$30="MAX-Bestand",IF(CI1820=1,CJ1820,IF(LEFT(Cockpit!$C$5,1)="B",AM1820,MAX(AM1820,H1820))),ROUNDUP(AK1820,0)))</f>
        <v>0</v>
      </c>
      <c r="AH1820" s="62" t="n">
        <f aca="false">IF(CA1820=1,0,ROUNDUP(AG1820/BZ1820,0))</f>
        <v>0</v>
      </c>
      <c r="AI1820" s="64" t="n">
        <f aca="false">IF(CR1820&gt;0,CR1820*MAX(1,AG1820/X1820),IF(CA1820=1,IF(AG1820&lt;=0,0,CE1820*MAX(1,IF(H1820&gt;0,AG1820/H1820,1))),IF(R1820&gt;0,AH1820/R1820,0))/MAX(0.1,N(Parameter!$M$21)))</f>
        <v>0</v>
      </c>
      <c r="AJ1820" s="62" t="n">
        <f aca="false">AI1820*CC1820</f>
        <v>0</v>
      </c>
      <c r="AK1820" s="63" t="n">
        <f aca="false">IF(LEFT(Cockpit!$C$5,1)="A",H1820,IF(CI1820=1,(CL1820+CJ1820)/2,IF(LEFT(Cockpit!$C$5,1)="B",(CL1820+AM1820)/2,MAX((CL1820+AM1820)/2,H1820))))</f>
        <v>0</v>
      </c>
      <c r="AL1820" s="62" t="n">
        <f aca="false">AK1820*G1820</f>
        <v>0</v>
      </c>
      <c r="AM1820" s="62" t="n">
        <f aca="false">ROUNDUP(CL1820+MAX(CM1820,2*(J1820/IF(CH1820&gt;0,CH1820,MAX(0.1,N(Cockpit!$C$6)))-CL1820)),0)</f>
        <v>0</v>
      </c>
      <c r="AN1820" s="63" t="n">
        <f aca="false">IF(AJ1820&gt;0,J1820/AJ1820,-1)</f>
        <v>-1</v>
      </c>
      <c r="AO1820" s="63" t="str">
        <f aca="false">IF(AND(OR(CG1820="L1",CG1820="L23",CG1820="LIFT"),AJ1820&gt;0),SUMIFS($AJ$7:$AJ$1843,$CG$7:$CG$1843,CG1820,$AN$7:$AN$1843,"&gt;"&amp;AN1820)+SUMIFS($AJ$7:$AJ$1843,$CG$7:$CG$1843,CG1820,$AN$7:$AN$1843,AN1820,$BX$7:$BX$1843,"&lt;="&amp;BX1820),"")</f>
        <v/>
      </c>
      <c r="AP1820" s="70" t="n">
        <f aca="false">IF(AO1820="",0,MAX(0,MIN(1,(IF(CG1820="L1",Parameter!$H$5,IF(CG1820="L23",Parameter!$H$6+Parameter!$H$7,Parameter!$H$5+Parameter!$H$6+Parameter!$H$7))-(AO1820-AJ1820))/AJ1820)))</f>
        <v>0</v>
      </c>
      <c r="AQ1820" s="62" t="n">
        <f aca="false">IF(LEFT(Cockpit!$I$5,1)="A",H1820,IF(Parameter!$E$30="MAX-Bestand",IF(CI1820=1,CJ1820,IF(LEFT(Cockpit!$I$5,1)="B",AW1820,MAX(AW1820,H1820))),ROUNDUP(AU1820,0)))</f>
        <v>0</v>
      </c>
      <c r="AR1820" s="62" t="n">
        <f aca="false">IF(CA1820=1,0,ROUNDUP(AQ1820/BZ1820,0))</f>
        <v>0</v>
      </c>
      <c r="AS1820" s="64" t="n">
        <f aca="false">IF(CR1820&gt;0,CR1820*MAX(1,AQ1820/X1820),IF(CA1820=1,IF(AQ1820&lt;=0,0,CE1820*MAX(1,IF(H1820&gt;0,AQ1820/H1820,1))),IF(R1820&gt;0,AR1820/R1820,0))/MAX(0.1,N(Parameter!$M$21)))</f>
        <v>0</v>
      </c>
      <c r="AT1820" s="62" t="n">
        <f aca="false">AS1820*CC1820</f>
        <v>0</v>
      </c>
      <c r="AU1820" s="63" t="n">
        <f aca="false">IF(LEFT(Cockpit!$I$5,1)="A",H1820,IF(CI1820=1,(CL1820+CJ1820)/2,IF(LEFT(Cockpit!$I$5,1)="B",(CL1820+AW1820)/2,MAX((CL1820+AW1820)/2,H1820))))</f>
        <v>0</v>
      </c>
      <c r="AV1820" s="62" t="n">
        <f aca="false">AU1820*G1820</f>
        <v>0</v>
      </c>
      <c r="AW1820" s="62" t="n">
        <f aca="false">ROUNDUP(CL1820+MAX(CM1820,2*(J1820/IF(CH1820&gt;0,CH1820,MAX(0.1,N(Cockpit!$I$6)))-CL1820)),0)</f>
        <v>0</v>
      </c>
      <c r="AX1820" s="63" t="n">
        <f aca="false">IF(AT1820&gt;0,J1820/AT1820,-1)</f>
        <v>-1</v>
      </c>
      <c r="AY1820" s="63" t="str">
        <f aca="false">IF(AND(OR(CG1820="L1",CG1820="L23",CG1820="LIFT"),AT1820&gt;0),SUMIFS($AT$7:$AT$1843,$CG$7:$CG$1843,CG1820,$AX$7:$AX$1843,"&gt;"&amp;AX1820)+SUMIFS($AT$7:$AT$1843,$CG$7:$CG$1843,CG1820,$AX$7:$AX$1843,AX1820,$BX$7:$BX$1843,"&lt;="&amp;BX1820),"")</f>
        <v/>
      </c>
      <c r="AZ1820" s="70" t="n">
        <f aca="false">IF(AY1820="",0,MAX(0,MIN(1,(IF(CG1820="L1",Parameter!$H$5,IF(CG1820="L23",Parameter!$H$6+Parameter!$H$7,Parameter!$H$5+Parameter!$H$6+Parameter!$H$7))-(AY1820-AT1820))/AT1820)))</f>
        <v>0</v>
      </c>
      <c r="BA1820" s="62" t="n">
        <f aca="false">IF(LEFT(Cockpit!$O$5,1)="A",H1820,IF(Parameter!$E$30="MAX-Bestand",IF(CI1820=1,CJ1820,IF(LEFT(Cockpit!$O$5,1)="B",BG1820,MAX(BG1820,H1820))),ROUNDUP(BE1820,0)))</f>
        <v>0</v>
      </c>
      <c r="BB1820" s="62" t="n">
        <f aca="false">IF(CA1820=1,0,ROUNDUP(BA1820/BZ1820,0))</f>
        <v>0</v>
      </c>
      <c r="BC1820" s="64" t="n">
        <f aca="false">IF(CR1820&gt;0,CR1820*MAX(1,BA1820/X1820),IF(CA1820=1,IF(BA1820&lt;=0,0,CE1820*MAX(1,IF(H1820&gt;0,BA1820/H1820,1))),IF(R1820&gt;0,BB1820/R1820,0))/MAX(0.1,N(Parameter!$M$21)))</f>
        <v>0</v>
      </c>
      <c r="BD1820" s="62" t="n">
        <f aca="false">BC1820*CC1820</f>
        <v>0</v>
      </c>
      <c r="BE1820" s="63" t="n">
        <f aca="false">IF(LEFT(Cockpit!$O$5,1)="A",H1820,IF(CI1820=1,(CL1820+CJ1820)/2,IF(LEFT(Cockpit!$O$5,1)="B",(CL1820+BG1820)/2,MAX((CL1820+BG1820)/2,H1820))))</f>
        <v>0</v>
      </c>
      <c r="BF1820" s="62" t="n">
        <f aca="false">BE1820*G1820</f>
        <v>0</v>
      </c>
      <c r="BG1820" s="62" t="n">
        <f aca="false">ROUNDUP(CL1820+MAX(CM1820,2*(J1820/IF(CH1820&gt;0,CH1820,MAX(0.1,N(Cockpit!$O$6)))-CL1820)),0)</f>
        <v>0</v>
      </c>
      <c r="BH1820" s="63" t="n">
        <f aca="false">IF(BD1820&gt;0,J1820/BD1820,-1)</f>
        <v>-1</v>
      </c>
      <c r="BI1820" s="63" t="str">
        <f aca="false">IF(AND(OR(CG1820="L1",CG1820="L23",CG1820="LIFT"),BD1820&gt;0),SUMIFS($BD$7:$BD$1843,$CG$7:$CG$1843,CG1820,$BH$7:$BH$1843,"&gt;"&amp;BH1820)+SUMIFS($BD$7:$BD$1843,$CG$7:$CG$1843,CG1820,$BH$7:$BH$1843,BH1820,$BX$7:$BX$1843,"&lt;="&amp;BX1820),"")</f>
        <v/>
      </c>
      <c r="BJ1820" s="70" t="n">
        <f aca="false">IF(BI1820="",0,MAX(0,MIN(1,(IF(CG1820="L1",Parameter!$H$5,IF(CG1820="L23",Parameter!$H$6+Parameter!$H$7,Parameter!$H$5+Parameter!$H$6+Parameter!$H$7))-(BI1820-BD1820))/BD1820)))</f>
        <v>0</v>
      </c>
      <c r="BK1820" s="60" t="str">
        <f aca="false">IF(AJ1820&lt;=0,"",IF(CG1820="Aussen","Aussenlager",IF(CG1820="-","Nicht im Lift",IF(AP1820&gt;=1,"Lift",IF(AP1820&lt;=0,"Aussenlager","teilweise")))))</f>
        <v/>
      </c>
      <c r="BL1820" s="60" t="str">
        <f aca="false">IF(AT1820&lt;=0,"",IF(CG1820="Aussen","Aussenlager",IF(CG1820="-","Nicht im Lift",IF(AZ1820&gt;=1,"Lift",IF(AZ1820&lt;=0,"Aussenlager","teilweise")))))</f>
        <v/>
      </c>
      <c r="BM1820" s="60" t="str">
        <f aca="false">IF(BD1820&lt;=0,"",IF(CG1820="Aussen","Aussenlager",IF(CG1820="-","Nicht im Lift",IF(BJ1820&gt;=1,"Lift",IF(BJ1820&lt;=0,"Aussenlager","teilweise")))))</f>
        <v/>
      </c>
      <c r="BN1820" s="60" t="str">
        <f aca="false">IF(A1820="","",IF(BW1820=1,"Neu; ","")&amp;IF(AND(BW1820=0,BR1820&lt;0),"negativer Bestand (Export "&amp;BR1820&amp;"); ","")&amp;IF(J1820&lt;=0,"Kein Verbrauch; ","")&amp;IF(CR1820&gt;0,"Lift "&amp;W1820&amp;" lt. Liftbericht (Fach "&amp;X1820&amp;" Stk); ",IF(CB1820=1,"Gebinde geschätzt ("&amp;T1820&amp;"); ",IF(CA1820=1,"Lose – Tablare geschätzt; ","")))&amp;IF(H1820&gt;AW1820,"Überbestand "&amp;ROUND(H1820-AW1820,0)&amp;" Stk / CHF "&amp;ROUND((H1820-AW1820)*G1820,0)&amp;"; ","")&amp;IF(AND(CI1820=1,CJ1820&lt;CK1820),"MAX &lt; MB+LG; ","")&amp;IF(AND(CQ1820&gt;0,CP1820*10&gt;CQ1820),"zu hoch für Tablar; ","")&amp;IF(AND(BW1820=0,OR(CI1820=1,AB1820&lt;&gt;"",U1820&lt;&gt;"",V1820&lt;&gt;"",AC1820&lt;&gt;"")),"manuell übersteuert; ","")&amp;IF(AND(CA1820=0,R1820=0),"Gebinde unbekannt / Stellmass fehlt; ","")&amp;IF(AND(CA1820=0,N(V1820)&lt;=0,N(Q1820)&lt;=0),"Menge pro Gebinde fehlt (Ist = 1 Gebinde); ","")&amp;BV1820)</f>
        <v/>
      </c>
      <c r="BO1820" s="60"/>
      <c r="BP1820" s="60"/>
      <c r="BQ1820" s="67"/>
      <c r="BR1820" s="62" t="n">
        <f aca="false">N('Neue Artikel'!$D$81)</f>
        <v>0</v>
      </c>
      <c r="BS1820" s="62" t="n">
        <v>0</v>
      </c>
      <c r="BT1820" s="61" t="n">
        <v>0</v>
      </c>
      <c r="BU1820" s="62" t="n">
        <f aca="false">N('Neue Artikel'!$C$81)/Parameter!$B$18</f>
        <v>0</v>
      </c>
      <c r="BV1820" s="60"/>
      <c r="BW1820" s="65" t="n">
        <v>1</v>
      </c>
      <c r="BX1820" s="65" t="n">
        <v>1820</v>
      </c>
      <c r="BY1820" s="60" t="str">
        <f aca="false">IF(U1820&lt;&gt;"",UPPER(TRIM(U1820)),IF(CB1820=1,UPPER(VLOOKUP(T1820,Parameter!$I$27:$K$29,2,0)),IF(P1820="","LOSE",P1820)))</f>
        <v>LOSE</v>
      </c>
      <c r="BZ1820" s="62" t="n">
        <f aca="false">IF(BY1820="LOSE",1,IF(N(V1820)&gt;0,V1820,IF(CB1820=1,MAX(1,N(VLOOKUP(T1820,Parameter!$I$27:$K$29,3,0)),H1820,N(N1820)),IF(N(Q1820)&gt;0,Q1820,MAX(1,H1820)))))</f>
        <v>1</v>
      </c>
      <c r="CA1820" s="65" t="n">
        <f aca="false">IF(BY1820="LOSE",1,0)</f>
        <v>1</v>
      </c>
      <c r="CB1820" s="65" t="n">
        <f aca="false">IF(AND(U1820="",OR(P1820="",P1820="LOSE"),T1820&lt;&gt;"",N(S1820)&lt;=0,ISNUMBER(MATCH(T1820,Parameter!$I$27:$I$29,0))),1,0)</f>
        <v>0</v>
      </c>
      <c r="CC1820" s="65" t="n">
        <f aca="false">IF(CR1820&gt;0,INDEX(Parameter!$H$5:$H$7,W1820)/INDEX(Parameter!$E$5:$E$7,W1820),IF(AND(CA1820=0,N(IFERROR(VLOOKUP(BY1820,'Gebinde-Kategorie'!$A$5:$N$45,14,0),0))&gt;0),VLOOKUP(BY1820,'Gebinde-Kategorie'!$A$5:$N$45,14,0)*10+Parameter!$M$23,Parameter!$M$24))</f>
        <v>235</v>
      </c>
      <c r="CD1820" s="60" t="str">
        <f aca="false">IF(AND(Parameter!$B$19="Ja",E1820&lt;&gt;"",ISNUMBER(MATCH(E1820,Parameter!$I$35:$I$52,0))),VLOOKUP(E1820,Parameter!$I$35:$J$52,2,0),IFERROR(VLOOKUP(D1820,Parameter!$A$35:$C$64,2,0),"Nein"))</f>
        <v>2+3</v>
      </c>
      <c r="CE1820" s="64" t="n">
        <f aca="false">IF(CA1820=0,0,IF(N(S1820)&gt;0,S1820,IFERROR(VLOOKUP(D1820,Parameter!$A$35:$C$64,3,0)+0,0)))</f>
        <v>0.15</v>
      </c>
      <c r="CF1820" s="60" t="str">
        <f aca="false">IF(AB1820&lt;&gt;"",AB1820,AA1820)</f>
        <v/>
      </c>
      <c r="CG1820" s="60" t="str">
        <f aca="false">IF(OR(CF1820=1,CF1820=2,CF1820=3),IF(Parameter!$E$27="Ja","LIFT",IF(CF1820=1,"L1","L23")),IF(CF1820="Aussen","Aussen","-"))</f>
        <v>-</v>
      </c>
      <c r="CH1820" s="71" t="n">
        <f aca="false">IF(N(AC1820)&gt;0,AC1820,0)</f>
        <v>0</v>
      </c>
      <c r="CI1820" s="65" t="n">
        <f aca="false">IF(ISNUMBER(AF1820),1,0)</f>
        <v>0</v>
      </c>
      <c r="CJ1820" s="62" t="n">
        <f aca="false">N(AF1820)</f>
        <v>0</v>
      </c>
      <c r="CK1820" s="62" t="n">
        <f aca="false">N(M1820)+N(N1820)</f>
        <v>0</v>
      </c>
      <c r="CL1820" s="62" t="n">
        <f aca="false">N(M1820)</f>
        <v>0</v>
      </c>
      <c r="CM1820" s="62" t="n">
        <f aca="false">N(N1820)</f>
        <v>0</v>
      </c>
      <c r="CN1820" s="62" t="n">
        <f aca="false">ROUNDUP(H1820/BZ1820,0)</f>
        <v>0</v>
      </c>
      <c r="CO1820" s="62" t="n">
        <f aca="false">ROUNDUP(CJ1820/BZ1820,0)</f>
        <v>0</v>
      </c>
      <c r="CP1820" s="65" t="n">
        <f aca="false">IF(CA1820=1,0,IFERROR(VLOOKUP(BY1820,'Gebinde-Kategorie'!$A$5:$N$45,5,0)+0,0))</f>
        <v>0</v>
      </c>
      <c r="CQ1820" s="65" t="n">
        <f aca="false">IFERROR(IF(OR(CF1820=1,CF1820=2,CF1820=3),N(INDEX(Parameter!$I$5:$I$7,CF1820)),0),0)</f>
        <v>0</v>
      </c>
      <c r="CR1820" s="64" t="n">
        <f aca="false">IF(AND(Parameter!$B$21="Ja",ISNUMBER(W1820),N(X1820)&gt;0),IFERROR(N(INDEX(Parameter!$L$5:$L$7,W1820))*INDEX(Parameter!$E$5:$E$7,W1820)*X1820/SUMIFS($X$7:$X$1843,$W$7:$W$1843,W1820),0),0)</f>
        <v>0</v>
      </c>
      <c r="CS1820" s="62" t="str">
        <f aca="false">IF(AND(OR(CG1820="L1",CG1820="L23",CG1820="LIFT"),H1820&gt;0),CC1820*IF(CR1820&gt;0,CR1820*MAX(1,H1820/X1820),IF(CA1820=1,CE1820,IF(R1820&gt;0,CN1820/R1820,0))/MAX(0.1,N(Parameter!$M$21))),"")</f>
        <v/>
      </c>
      <c r="CT1820" s="64" t="str">
        <f aca="false">IF(CS1820="","",J1820/H1820)</f>
        <v/>
      </c>
      <c r="CU1820" s="62" t="str">
        <f aca="false">IF(CS1820="","",H1820*G1820)</f>
        <v/>
      </c>
      <c r="CV1820" s="63" t="str">
        <f aca="false">IF(CS1820="","",(CL1820+ROUNDUP(CL1820+MAX(CM1820,2*(J1820/MAX(0.1,N(Einkauf!$C$6))-CL1820)),0))/2)</f>
        <v/>
      </c>
      <c r="CW1820" s="62" t="str">
        <f aca="false">IF(CS1820="","",MAX(0,H1820-CV1820)*G1820)</f>
        <v/>
      </c>
      <c r="CX1820" s="62" t="str">
        <f aca="false">IF(CS1820="","",CS1820*MAX(0,1-CV1820/H1820))</f>
        <v/>
      </c>
      <c r="CY1820" s="64" t="str">
        <f aca="false">IF(CS1820="","",PERCENTRANK($CS$7:$CS$1843,CS1820)+PERCENTRANK($CU$7:$CU$1843,CU1820)+1-PERCENTRANK($CT$7:$CT$1843,CT1820))</f>
        <v/>
      </c>
      <c r="CZ1820" s="72" t="str">
        <f aca="false">IF(CS1820="","",CHOOSE(MATCH(Einkauf!$C$5,Parameter!$G$23:$G$27,0),CY1820,CS1820,CU1820,-CT1820,CW1820)+ROW()/1000000000)</f>
        <v/>
      </c>
    </row>
    <row r="1821" customFormat="false" ht="15" hidden="false" customHeight="false" outlineLevel="0" collapsed="false">
      <c r="A1821" s="60" t="str">
        <f aca="false">IF('Neue Artikel'!$A$82="","",'Neue Artikel'!$A$82&amp;"")</f>
        <v/>
      </c>
      <c r="B1821" s="60" t="str">
        <f aca="false">'Neue Artikel'!$B$82&amp;""</f>
        <v/>
      </c>
      <c r="C1821" s="60"/>
      <c r="D1821" s="60" t="s">
        <v>3057</v>
      </c>
      <c r="E1821" s="60"/>
      <c r="F1821" s="60"/>
      <c r="G1821" s="61" t="n">
        <f aca="false">N('Neue Artikel'!$G$82)</f>
        <v>0</v>
      </c>
      <c r="H1821" s="62" t="n">
        <f aca="false">MAX(0,IF(AND(Parameter!$B$21="Ja",ISNUMBER(Y1821)),Y1821,IF(Parameter!$B$20="Jahresanfang 2025 + Export",BS1821+BR1821,BR1821)))</f>
        <v>0</v>
      </c>
      <c r="I1821" s="62" t="n">
        <f aca="false">H1821*G1821</f>
        <v>0</v>
      </c>
      <c r="J1821" s="62" t="n">
        <f aca="false">BU1821*Parameter!$B$18</f>
        <v>0</v>
      </c>
      <c r="K1821" s="63"/>
      <c r="L1821" s="64"/>
      <c r="M1821" s="62" t="n">
        <f aca="false">N('Neue Artikel'!$E$82)</f>
        <v>0</v>
      </c>
      <c r="N1821" s="62" t="n">
        <f aca="false">N('Neue Artikel'!$F$82)</f>
        <v>0</v>
      </c>
      <c r="O1821" s="65"/>
      <c r="P1821" s="60" t="str">
        <f aca="false">IF('Neue Artikel'!$H$82="","LOSE",UPPER(TRIM('Neue Artikel'!$H$82)))</f>
        <v>LOSE</v>
      </c>
      <c r="Q1821" s="62" t="n">
        <f aca="false">N('Neue Artikel'!$I$82)</f>
        <v>0</v>
      </c>
      <c r="R1821" s="65" t="n">
        <f aca="false">IF(CA1821=1,0,IFERROR(VLOOKUP(BY1821,'Gebinde-Kategorie'!$A$5:$N$45,13,0)+0,0))</f>
        <v>0</v>
      </c>
      <c r="S1821" s="66"/>
      <c r="T1821" s="67"/>
      <c r="U1821" s="67"/>
      <c r="V1821" s="67"/>
      <c r="W1821" s="60"/>
      <c r="X1821" s="62"/>
      <c r="Y1821" s="62"/>
      <c r="Z1821" s="60"/>
      <c r="AA1821" s="60" t="str">
        <f aca="false">IF(A1821="","",IF(AND(Parameter!$B$21="Ja",ISNUMBER(W1821)),W1821,IF(AND(Parameter!$E$27="Ja",ISNUMBER(Z1821),CD1821&lt;&gt;"Nein"),Z1821,IF(CD1821="2+3",IF(ISNUMBER(SEARCH("grosser Artikel",BV1821)),2,IFERROR(VLOOKUP(BY1821,Parameter!$F$35:$G$64,2,0),2)),IF(OR(CD1821="Nein",CD1821=""),"-",CD1821)))))</f>
        <v/>
      </c>
      <c r="AB1821" s="60" t="str">
        <f aca="false">IF('Neue Artikel'!$J$82="","",'Neue Artikel'!$J$82)</f>
        <v/>
      </c>
      <c r="AC1821" s="68"/>
      <c r="AD1821" s="62" t="n">
        <f aca="false">AW1821</f>
        <v>0</v>
      </c>
      <c r="AE1821" s="62" t="n">
        <f aca="false">MAX(AW1821,H1821)</f>
        <v>0</v>
      </c>
      <c r="AF1821" s="69"/>
      <c r="AG1821" s="62" t="n">
        <f aca="false">IF(LEFT(Cockpit!$C$5,1)="A",H1821,IF(Parameter!$E$30="MAX-Bestand",IF(CI1821=1,CJ1821,IF(LEFT(Cockpit!$C$5,1)="B",AM1821,MAX(AM1821,H1821))),ROUNDUP(AK1821,0)))</f>
        <v>0</v>
      </c>
      <c r="AH1821" s="62" t="n">
        <f aca="false">IF(CA1821=1,0,ROUNDUP(AG1821/BZ1821,0))</f>
        <v>0</v>
      </c>
      <c r="AI1821" s="64" t="n">
        <f aca="false">IF(CR1821&gt;0,CR1821*MAX(1,AG1821/X1821),IF(CA1821=1,IF(AG1821&lt;=0,0,CE1821*MAX(1,IF(H1821&gt;0,AG1821/H1821,1))),IF(R1821&gt;0,AH1821/R1821,0))/MAX(0.1,N(Parameter!$M$21)))</f>
        <v>0</v>
      </c>
      <c r="AJ1821" s="62" t="n">
        <f aca="false">AI1821*CC1821</f>
        <v>0</v>
      </c>
      <c r="AK1821" s="63" t="n">
        <f aca="false">IF(LEFT(Cockpit!$C$5,1)="A",H1821,IF(CI1821=1,(CL1821+CJ1821)/2,IF(LEFT(Cockpit!$C$5,1)="B",(CL1821+AM1821)/2,MAX((CL1821+AM1821)/2,H1821))))</f>
        <v>0</v>
      </c>
      <c r="AL1821" s="62" t="n">
        <f aca="false">AK1821*G1821</f>
        <v>0</v>
      </c>
      <c r="AM1821" s="62" t="n">
        <f aca="false">ROUNDUP(CL1821+MAX(CM1821,2*(J1821/IF(CH1821&gt;0,CH1821,MAX(0.1,N(Cockpit!$C$6)))-CL1821)),0)</f>
        <v>0</v>
      </c>
      <c r="AN1821" s="63" t="n">
        <f aca="false">IF(AJ1821&gt;0,J1821/AJ1821,-1)</f>
        <v>-1</v>
      </c>
      <c r="AO1821" s="63" t="str">
        <f aca="false">IF(AND(OR(CG1821="L1",CG1821="L23",CG1821="LIFT"),AJ1821&gt;0),SUMIFS($AJ$7:$AJ$1843,$CG$7:$CG$1843,CG1821,$AN$7:$AN$1843,"&gt;"&amp;AN1821)+SUMIFS($AJ$7:$AJ$1843,$CG$7:$CG$1843,CG1821,$AN$7:$AN$1843,AN1821,$BX$7:$BX$1843,"&lt;="&amp;BX1821),"")</f>
        <v/>
      </c>
      <c r="AP1821" s="70" t="n">
        <f aca="false">IF(AO1821="",0,MAX(0,MIN(1,(IF(CG1821="L1",Parameter!$H$5,IF(CG1821="L23",Parameter!$H$6+Parameter!$H$7,Parameter!$H$5+Parameter!$H$6+Parameter!$H$7))-(AO1821-AJ1821))/AJ1821)))</f>
        <v>0</v>
      </c>
      <c r="AQ1821" s="62" t="n">
        <f aca="false">IF(LEFT(Cockpit!$I$5,1)="A",H1821,IF(Parameter!$E$30="MAX-Bestand",IF(CI1821=1,CJ1821,IF(LEFT(Cockpit!$I$5,1)="B",AW1821,MAX(AW1821,H1821))),ROUNDUP(AU1821,0)))</f>
        <v>0</v>
      </c>
      <c r="AR1821" s="62" t="n">
        <f aca="false">IF(CA1821=1,0,ROUNDUP(AQ1821/BZ1821,0))</f>
        <v>0</v>
      </c>
      <c r="AS1821" s="64" t="n">
        <f aca="false">IF(CR1821&gt;0,CR1821*MAX(1,AQ1821/X1821),IF(CA1821=1,IF(AQ1821&lt;=0,0,CE1821*MAX(1,IF(H1821&gt;0,AQ1821/H1821,1))),IF(R1821&gt;0,AR1821/R1821,0))/MAX(0.1,N(Parameter!$M$21)))</f>
        <v>0</v>
      </c>
      <c r="AT1821" s="62" t="n">
        <f aca="false">AS1821*CC1821</f>
        <v>0</v>
      </c>
      <c r="AU1821" s="63" t="n">
        <f aca="false">IF(LEFT(Cockpit!$I$5,1)="A",H1821,IF(CI1821=1,(CL1821+CJ1821)/2,IF(LEFT(Cockpit!$I$5,1)="B",(CL1821+AW1821)/2,MAX((CL1821+AW1821)/2,H1821))))</f>
        <v>0</v>
      </c>
      <c r="AV1821" s="62" t="n">
        <f aca="false">AU1821*G1821</f>
        <v>0</v>
      </c>
      <c r="AW1821" s="62" t="n">
        <f aca="false">ROUNDUP(CL1821+MAX(CM1821,2*(J1821/IF(CH1821&gt;0,CH1821,MAX(0.1,N(Cockpit!$I$6)))-CL1821)),0)</f>
        <v>0</v>
      </c>
      <c r="AX1821" s="63" t="n">
        <f aca="false">IF(AT1821&gt;0,J1821/AT1821,-1)</f>
        <v>-1</v>
      </c>
      <c r="AY1821" s="63" t="str">
        <f aca="false">IF(AND(OR(CG1821="L1",CG1821="L23",CG1821="LIFT"),AT1821&gt;0),SUMIFS($AT$7:$AT$1843,$CG$7:$CG$1843,CG1821,$AX$7:$AX$1843,"&gt;"&amp;AX1821)+SUMIFS($AT$7:$AT$1843,$CG$7:$CG$1843,CG1821,$AX$7:$AX$1843,AX1821,$BX$7:$BX$1843,"&lt;="&amp;BX1821),"")</f>
        <v/>
      </c>
      <c r="AZ1821" s="70" t="n">
        <f aca="false">IF(AY1821="",0,MAX(0,MIN(1,(IF(CG1821="L1",Parameter!$H$5,IF(CG1821="L23",Parameter!$H$6+Parameter!$H$7,Parameter!$H$5+Parameter!$H$6+Parameter!$H$7))-(AY1821-AT1821))/AT1821)))</f>
        <v>0</v>
      </c>
      <c r="BA1821" s="62" t="n">
        <f aca="false">IF(LEFT(Cockpit!$O$5,1)="A",H1821,IF(Parameter!$E$30="MAX-Bestand",IF(CI1821=1,CJ1821,IF(LEFT(Cockpit!$O$5,1)="B",BG1821,MAX(BG1821,H1821))),ROUNDUP(BE1821,0)))</f>
        <v>0</v>
      </c>
      <c r="BB1821" s="62" t="n">
        <f aca="false">IF(CA1821=1,0,ROUNDUP(BA1821/BZ1821,0))</f>
        <v>0</v>
      </c>
      <c r="BC1821" s="64" t="n">
        <f aca="false">IF(CR1821&gt;0,CR1821*MAX(1,BA1821/X1821),IF(CA1821=1,IF(BA1821&lt;=0,0,CE1821*MAX(1,IF(H1821&gt;0,BA1821/H1821,1))),IF(R1821&gt;0,BB1821/R1821,0))/MAX(0.1,N(Parameter!$M$21)))</f>
        <v>0</v>
      </c>
      <c r="BD1821" s="62" t="n">
        <f aca="false">BC1821*CC1821</f>
        <v>0</v>
      </c>
      <c r="BE1821" s="63" t="n">
        <f aca="false">IF(LEFT(Cockpit!$O$5,1)="A",H1821,IF(CI1821=1,(CL1821+CJ1821)/2,IF(LEFT(Cockpit!$O$5,1)="B",(CL1821+BG1821)/2,MAX((CL1821+BG1821)/2,H1821))))</f>
        <v>0</v>
      </c>
      <c r="BF1821" s="62" t="n">
        <f aca="false">BE1821*G1821</f>
        <v>0</v>
      </c>
      <c r="BG1821" s="62" t="n">
        <f aca="false">ROUNDUP(CL1821+MAX(CM1821,2*(J1821/IF(CH1821&gt;0,CH1821,MAX(0.1,N(Cockpit!$O$6)))-CL1821)),0)</f>
        <v>0</v>
      </c>
      <c r="BH1821" s="63" t="n">
        <f aca="false">IF(BD1821&gt;0,J1821/BD1821,-1)</f>
        <v>-1</v>
      </c>
      <c r="BI1821" s="63" t="str">
        <f aca="false">IF(AND(OR(CG1821="L1",CG1821="L23",CG1821="LIFT"),BD1821&gt;0),SUMIFS($BD$7:$BD$1843,$CG$7:$CG$1843,CG1821,$BH$7:$BH$1843,"&gt;"&amp;BH1821)+SUMIFS($BD$7:$BD$1843,$CG$7:$CG$1843,CG1821,$BH$7:$BH$1843,BH1821,$BX$7:$BX$1843,"&lt;="&amp;BX1821),"")</f>
        <v/>
      </c>
      <c r="BJ1821" s="70" t="n">
        <f aca="false">IF(BI1821="",0,MAX(0,MIN(1,(IF(CG1821="L1",Parameter!$H$5,IF(CG1821="L23",Parameter!$H$6+Parameter!$H$7,Parameter!$H$5+Parameter!$H$6+Parameter!$H$7))-(BI1821-BD1821))/BD1821)))</f>
        <v>0</v>
      </c>
      <c r="BK1821" s="60" t="str">
        <f aca="false">IF(AJ1821&lt;=0,"",IF(CG1821="Aussen","Aussenlager",IF(CG1821="-","Nicht im Lift",IF(AP1821&gt;=1,"Lift",IF(AP1821&lt;=0,"Aussenlager","teilweise")))))</f>
        <v/>
      </c>
      <c r="BL1821" s="60" t="str">
        <f aca="false">IF(AT1821&lt;=0,"",IF(CG1821="Aussen","Aussenlager",IF(CG1821="-","Nicht im Lift",IF(AZ1821&gt;=1,"Lift",IF(AZ1821&lt;=0,"Aussenlager","teilweise")))))</f>
        <v/>
      </c>
      <c r="BM1821" s="60" t="str">
        <f aca="false">IF(BD1821&lt;=0,"",IF(CG1821="Aussen","Aussenlager",IF(CG1821="-","Nicht im Lift",IF(BJ1821&gt;=1,"Lift",IF(BJ1821&lt;=0,"Aussenlager","teilweise")))))</f>
        <v/>
      </c>
      <c r="BN1821" s="60" t="str">
        <f aca="false">IF(A1821="","",IF(BW1821=1,"Neu; ","")&amp;IF(AND(BW1821=0,BR1821&lt;0),"negativer Bestand (Export "&amp;BR1821&amp;"); ","")&amp;IF(J1821&lt;=0,"Kein Verbrauch; ","")&amp;IF(CR1821&gt;0,"Lift "&amp;W1821&amp;" lt. Liftbericht (Fach "&amp;X1821&amp;" Stk); ",IF(CB1821=1,"Gebinde geschätzt ("&amp;T1821&amp;"); ",IF(CA1821=1,"Lose – Tablare geschätzt; ","")))&amp;IF(H1821&gt;AW1821,"Überbestand "&amp;ROUND(H1821-AW1821,0)&amp;" Stk / CHF "&amp;ROUND((H1821-AW1821)*G1821,0)&amp;"; ","")&amp;IF(AND(CI1821=1,CJ1821&lt;CK1821),"MAX &lt; MB+LG; ","")&amp;IF(AND(CQ1821&gt;0,CP1821*10&gt;CQ1821),"zu hoch für Tablar; ","")&amp;IF(AND(BW1821=0,OR(CI1821=1,AB1821&lt;&gt;"",U1821&lt;&gt;"",V1821&lt;&gt;"",AC1821&lt;&gt;"")),"manuell übersteuert; ","")&amp;IF(AND(CA1821=0,R1821=0),"Gebinde unbekannt / Stellmass fehlt; ","")&amp;IF(AND(CA1821=0,N(V1821)&lt;=0,N(Q1821)&lt;=0),"Menge pro Gebinde fehlt (Ist = 1 Gebinde); ","")&amp;BV1821)</f>
        <v/>
      </c>
      <c r="BO1821" s="60"/>
      <c r="BP1821" s="60"/>
      <c r="BQ1821" s="67"/>
      <c r="BR1821" s="62" t="n">
        <f aca="false">N('Neue Artikel'!$D$82)</f>
        <v>0</v>
      </c>
      <c r="BS1821" s="62" t="n">
        <v>0</v>
      </c>
      <c r="BT1821" s="61" t="n">
        <v>0</v>
      </c>
      <c r="BU1821" s="62" t="n">
        <f aca="false">N('Neue Artikel'!$C$82)/Parameter!$B$18</f>
        <v>0</v>
      </c>
      <c r="BV1821" s="60"/>
      <c r="BW1821" s="65" t="n">
        <v>1</v>
      </c>
      <c r="BX1821" s="65" t="n">
        <v>1821</v>
      </c>
      <c r="BY1821" s="60" t="str">
        <f aca="false">IF(U1821&lt;&gt;"",UPPER(TRIM(U1821)),IF(CB1821=1,UPPER(VLOOKUP(T1821,Parameter!$I$27:$K$29,2,0)),IF(P1821="","LOSE",P1821)))</f>
        <v>LOSE</v>
      </c>
      <c r="BZ1821" s="62" t="n">
        <f aca="false">IF(BY1821="LOSE",1,IF(N(V1821)&gt;0,V1821,IF(CB1821=1,MAX(1,N(VLOOKUP(T1821,Parameter!$I$27:$K$29,3,0)),H1821,N(N1821)),IF(N(Q1821)&gt;0,Q1821,MAX(1,H1821)))))</f>
        <v>1</v>
      </c>
      <c r="CA1821" s="65" t="n">
        <f aca="false">IF(BY1821="LOSE",1,0)</f>
        <v>1</v>
      </c>
      <c r="CB1821" s="65" t="n">
        <f aca="false">IF(AND(U1821="",OR(P1821="",P1821="LOSE"),T1821&lt;&gt;"",N(S1821)&lt;=0,ISNUMBER(MATCH(T1821,Parameter!$I$27:$I$29,0))),1,0)</f>
        <v>0</v>
      </c>
      <c r="CC1821" s="65" t="n">
        <f aca="false">IF(CR1821&gt;0,INDEX(Parameter!$H$5:$H$7,W1821)/INDEX(Parameter!$E$5:$E$7,W1821),IF(AND(CA1821=0,N(IFERROR(VLOOKUP(BY1821,'Gebinde-Kategorie'!$A$5:$N$45,14,0),0))&gt;0),VLOOKUP(BY1821,'Gebinde-Kategorie'!$A$5:$N$45,14,0)*10+Parameter!$M$23,Parameter!$M$24))</f>
        <v>235</v>
      </c>
      <c r="CD1821" s="60" t="str">
        <f aca="false">IF(AND(Parameter!$B$19="Ja",E1821&lt;&gt;"",ISNUMBER(MATCH(E1821,Parameter!$I$35:$I$52,0))),VLOOKUP(E1821,Parameter!$I$35:$J$52,2,0),IFERROR(VLOOKUP(D1821,Parameter!$A$35:$C$64,2,0),"Nein"))</f>
        <v>2+3</v>
      </c>
      <c r="CE1821" s="64" t="n">
        <f aca="false">IF(CA1821=0,0,IF(N(S1821)&gt;0,S1821,IFERROR(VLOOKUP(D1821,Parameter!$A$35:$C$64,3,0)+0,0)))</f>
        <v>0.15</v>
      </c>
      <c r="CF1821" s="60" t="str">
        <f aca="false">IF(AB1821&lt;&gt;"",AB1821,AA1821)</f>
        <v/>
      </c>
      <c r="CG1821" s="60" t="str">
        <f aca="false">IF(OR(CF1821=1,CF1821=2,CF1821=3),IF(Parameter!$E$27="Ja","LIFT",IF(CF1821=1,"L1","L23")),IF(CF1821="Aussen","Aussen","-"))</f>
        <v>-</v>
      </c>
      <c r="CH1821" s="71" t="n">
        <f aca="false">IF(N(AC1821)&gt;0,AC1821,0)</f>
        <v>0</v>
      </c>
      <c r="CI1821" s="65" t="n">
        <f aca="false">IF(ISNUMBER(AF1821),1,0)</f>
        <v>0</v>
      </c>
      <c r="CJ1821" s="62" t="n">
        <f aca="false">N(AF1821)</f>
        <v>0</v>
      </c>
      <c r="CK1821" s="62" t="n">
        <f aca="false">N(M1821)+N(N1821)</f>
        <v>0</v>
      </c>
      <c r="CL1821" s="62" t="n">
        <f aca="false">N(M1821)</f>
        <v>0</v>
      </c>
      <c r="CM1821" s="62" t="n">
        <f aca="false">N(N1821)</f>
        <v>0</v>
      </c>
      <c r="CN1821" s="62" t="n">
        <f aca="false">ROUNDUP(H1821/BZ1821,0)</f>
        <v>0</v>
      </c>
      <c r="CO1821" s="62" t="n">
        <f aca="false">ROUNDUP(CJ1821/BZ1821,0)</f>
        <v>0</v>
      </c>
      <c r="CP1821" s="65" t="n">
        <f aca="false">IF(CA1821=1,0,IFERROR(VLOOKUP(BY1821,'Gebinde-Kategorie'!$A$5:$N$45,5,0)+0,0))</f>
        <v>0</v>
      </c>
      <c r="CQ1821" s="65" t="n">
        <f aca="false">IFERROR(IF(OR(CF1821=1,CF1821=2,CF1821=3),N(INDEX(Parameter!$I$5:$I$7,CF1821)),0),0)</f>
        <v>0</v>
      </c>
      <c r="CR1821" s="64" t="n">
        <f aca="false">IF(AND(Parameter!$B$21="Ja",ISNUMBER(W1821),N(X1821)&gt;0),IFERROR(N(INDEX(Parameter!$L$5:$L$7,W1821))*INDEX(Parameter!$E$5:$E$7,W1821)*X1821/SUMIFS($X$7:$X$1843,$W$7:$W$1843,W1821),0),0)</f>
        <v>0</v>
      </c>
      <c r="CS1821" s="62" t="str">
        <f aca="false">IF(AND(OR(CG1821="L1",CG1821="L23",CG1821="LIFT"),H1821&gt;0),CC1821*IF(CR1821&gt;0,CR1821*MAX(1,H1821/X1821),IF(CA1821=1,CE1821,IF(R1821&gt;0,CN1821/R1821,0))/MAX(0.1,N(Parameter!$M$21))),"")</f>
        <v/>
      </c>
      <c r="CT1821" s="64" t="str">
        <f aca="false">IF(CS1821="","",J1821/H1821)</f>
        <v/>
      </c>
      <c r="CU1821" s="62" t="str">
        <f aca="false">IF(CS1821="","",H1821*G1821)</f>
        <v/>
      </c>
      <c r="CV1821" s="63" t="str">
        <f aca="false">IF(CS1821="","",(CL1821+ROUNDUP(CL1821+MAX(CM1821,2*(J1821/MAX(0.1,N(Einkauf!$C$6))-CL1821)),0))/2)</f>
        <v/>
      </c>
      <c r="CW1821" s="62" t="str">
        <f aca="false">IF(CS1821="","",MAX(0,H1821-CV1821)*G1821)</f>
        <v/>
      </c>
      <c r="CX1821" s="62" t="str">
        <f aca="false">IF(CS1821="","",CS1821*MAX(0,1-CV1821/H1821))</f>
        <v/>
      </c>
      <c r="CY1821" s="64" t="str">
        <f aca="false">IF(CS1821="","",PERCENTRANK($CS$7:$CS$1843,CS1821)+PERCENTRANK($CU$7:$CU$1843,CU1821)+1-PERCENTRANK($CT$7:$CT$1843,CT1821))</f>
        <v/>
      </c>
      <c r="CZ1821" s="72" t="str">
        <f aca="false">IF(CS1821="","",CHOOSE(MATCH(Einkauf!$C$5,Parameter!$G$23:$G$27,0),CY1821,CS1821,CU1821,-CT1821,CW1821)+ROW()/1000000000)</f>
        <v/>
      </c>
    </row>
    <row r="1822" customFormat="false" ht="15" hidden="false" customHeight="false" outlineLevel="0" collapsed="false">
      <c r="A1822" s="60" t="str">
        <f aca="false">IF('Neue Artikel'!$A$83="","",'Neue Artikel'!$A$83&amp;"")</f>
        <v/>
      </c>
      <c r="B1822" s="60" t="str">
        <f aca="false">'Neue Artikel'!$B$83&amp;""</f>
        <v/>
      </c>
      <c r="C1822" s="60"/>
      <c r="D1822" s="60" t="s">
        <v>3057</v>
      </c>
      <c r="E1822" s="60"/>
      <c r="F1822" s="60"/>
      <c r="G1822" s="61" t="n">
        <f aca="false">N('Neue Artikel'!$G$83)</f>
        <v>0</v>
      </c>
      <c r="H1822" s="62" t="n">
        <f aca="false">MAX(0,IF(AND(Parameter!$B$21="Ja",ISNUMBER(Y1822)),Y1822,IF(Parameter!$B$20="Jahresanfang 2025 + Export",BS1822+BR1822,BR1822)))</f>
        <v>0</v>
      </c>
      <c r="I1822" s="62" t="n">
        <f aca="false">H1822*G1822</f>
        <v>0</v>
      </c>
      <c r="J1822" s="62" t="n">
        <f aca="false">BU1822*Parameter!$B$18</f>
        <v>0</v>
      </c>
      <c r="K1822" s="63"/>
      <c r="L1822" s="64"/>
      <c r="M1822" s="62" t="n">
        <f aca="false">N('Neue Artikel'!$E$83)</f>
        <v>0</v>
      </c>
      <c r="N1822" s="62" t="n">
        <f aca="false">N('Neue Artikel'!$F$83)</f>
        <v>0</v>
      </c>
      <c r="O1822" s="65"/>
      <c r="P1822" s="60" t="str">
        <f aca="false">IF('Neue Artikel'!$H$83="","LOSE",UPPER(TRIM('Neue Artikel'!$H$83)))</f>
        <v>LOSE</v>
      </c>
      <c r="Q1822" s="62" t="n">
        <f aca="false">N('Neue Artikel'!$I$83)</f>
        <v>0</v>
      </c>
      <c r="R1822" s="65" t="n">
        <f aca="false">IF(CA1822=1,0,IFERROR(VLOOKUP(BY1822,'Gebinde-Kategorie'!$A$5:$N$45,13,0)+0,0))</f>
        <v>0</v>
      </c>
      <c r="S1822" s="66"/>
      <c r="T1822" s="67"/>
      <c r="U1822" s="67"/>
      <c r="V1822" s="67"/>
      <c r="W1822" s="60"/>
      <c r="X1822" s="62"/>
      <c r="Y1822" s="62"/>
      <c r="Z1822" s="60"/>
      <c r="AA1822" s="60" t="str">
        <f aca="false">IF(A1822="","",IF(AND(Parameter!$B$21="Ja",ISNUMBER(W1822)),W1822,IF(AND(Parameter!$E$27="Ja",ISNUMBER(Z1822),CD1822&lt;&gt;"Nein"),Z1822,IF(CD1822="2+3",IF(ISNUMBER(SEARCH("grosser Artikel",BV1822)),2,IFERROR(VLOOKUP(BY1822,Parameter!$F$35:$G$64,2,0),2)),IF(OR(CD1822="Nein",CD1822=""),"-",CD1822)))))</f>
        <v/>
      </c>
      <c r="AB1822" s="60" t="str">
        <f aca="false">IF('Neue Artikel'!$J$83="","",'Neue Artikel'!$J$83)</f>
        <v/>
      </c>
      <c r="AC1822" s="68"/>
      <c r="AD1822" s="62" t="n">
        <f aca="false">AW1822</f>
        <v>0</v>
      </c>
      <c r="AE1822" s="62" t="n">
        <f aca="false">MAX(AW1822,H1822)</f>
        <v>0</v>
      </c>
      <c r="AF1822" s="69"/>
      <c r="AG1822" s="62" t="n">
        <f aca="false">IF(LEFT(Cockpit!$C$5,1)="A",H1822,IF(Parameter!$E$30="MAX-Bestand",IF(CI1822=1,CJ1822,IF(LEFT(Cockpit!$C$5,1)="B",AM1822,MAX(AM1822,H1822))),ROUNDUP(AK1822,0)))</f>
        <v>0</v>
      </c>
      <c r="AH1822" s="62" t="n">
        <f aca="false">IF(CA1822=1,0,ROUNDUP(AG1822/BZ1822,0))</f>
        <v>0</v>
      </c>
      <c r="AI1822" s="64" t="n">
        <f aca="false">IF(CR1822&gt;0,CR1822*MAX(1,AG1822/X1822),IF(CA1822=1,IF(AG1822&lt;=0,0,CE1822*MAX(1,IF(H1822&gt;0,AG1822/H1822,1))),IF(R1822&gt;0,AH1822/R1822,0))/MAX(0.1,N(Parameter!$M$21)))</f>
        <v>0</v>
      </c>
      <c r="AJ1822" s="62" t="n">
        <f aca="false">AI1822*CC1822</f>
        <v>0</v>
      </c>
      <c r="AK1822" s="63" t="n">
        <f aca="false">IF(LEFT(Cockpit!$C$5,1)="A",H1822,IF(CI1822=1,(CL1822+CJ1822)/2,IF(LEFT(Cockpit!$C$5,1)="B",(CL1822+AM1822)/2,MAX((CL1822+AM1822)/2,H1822))))</f>
        <v>0</v>
      </c>
      <c r="AL1822" s="62" t="n">
        <f aca="false">AK1822*G1822</f>
        <v>0</v>
      </c>
      <c r="AM1822" s="62" t="n">
        <f aca="false">ROUNDUP(CL1822+MAX(CM1822,2*(J1822/IF(CH1822&gt;0,CH1822,MAX(0.1,N(Cockpit!$C$6)))-CL1822)),0)</f>
        <v>0</v>
      </c>
      <c r="AN1822" s="63" t="n">
        <f aca="false">IF(AJ1822&gt;0,J1822/AJ1822,-1)</f>
        <v>-1</v>
      </c>
      <c r="AO1822" s="63" t="str">
        <f aca="false">IF(AND(OR(CG1822="L1",CG1822="L23",CG1822="LIFT"),AJ1822&gt;0),SUMIFS($AJ$7:$AJ$1843,$CG$7:$CG$1843,CG1822,$AN$7:$AN$1843,"&gt;"&amp;AN1822)+SUMIFS($AJ$7:$AJ$1843,$CG$7:$CG$1843,CG1822,$AN$7:$AN$1843,AN1822,$BX$7:$BX$1843,"&lt;="&amp;BX1822),"")</f>
        <v/>
      </c>
      <c r="AP1822" s="70" t="n">
        <f aca="false">IF(AO1822="",0,MAX(0,MIN(1,(IF(CG1822="L1",Parameter!$H$5,IF(CG1822="L23",Parameter!$H$6+Parameter!$H$7,Parameter!$H$5+Parameter!$H$6+Parameter!$H$7))-(AO1822-AJ1822))/AJ1822)))</f>
        <v>0</v>
      </c>
      <c r="AQ1822" s="62" t="n">
        <f aca="false">IF(LEFT(Cockpit!$I$5,1)="A",H1822,IF(Parameter!$E$30="MAX-Bestand",IF(CI1822=1,CJ1822,IF(LEFT(Cockpit!$I$5,1)="B",AW1822,MAX(AW1822,H1822))),ROUNDUP(AU1822,0)))</f>
        <v>0</v>
      </c>
      <c r="AR1822" s="62" t="n">
        <f aca="false">IF(CA1822=1,0,ROUNDUP(AQ1822/BZ1822,0))</f>
        <v>0</v>
      </c>
      <c r="AS1822" s="64" t="n">
        <f aca="false">IF(CR1822&gt;0,CR1822*MAX(1,AQ1822/X1822),IF(CA1822=1,IF(AQ1822&lt;=0,0,CE1822*MAX(1,IF(H1822&gt;0,AQ1822/H1822,1))),IF(R1822&gt;0,AR1822/R1822,0))/MAX(0.1,N(Parameter!$M$21)))</f>
        <v>0</v>
      </c>
      <c r="AT1822" s="62" t="n">
        <f aca="false">AS1822*CC1822</f>
        <v>0</v>
      </c>
      <c r="AU1822" s="63" t="n">
        <f aca="false">IF(LEFT(Cockpit!$I$5,1)="A",H1822,IF(CI1822=1,(CL1822+CJ1822)/2,IF(LEFT(Cockpit!$I$5,1)="B",(CL1822+AW1822)/2,MAX((CL1822+AW1822)/2,H1822))))</f>
        <v>0</v>
      </c>
      <c r="AV1822" s="62" t="n">
        <f aca="false">AU1822*G1822</f>
        <v>0</v>
      </c>
      <c r="AW1822" s="62" t="n">
        <f aca="false">ROUNDUP(CL1822+MAX(CM1822,2*(J1822/IF(CH1822&gt;0,CH1822,MAX(0.1,N(Cockpit!$I$6)))-CL1822)),0)</f>
        <v>0</v>
      </c>
      <c r="AX1822" s="63" t="n">
        <f aca="false">IF(AT1822&gt;0,J1822/AT1822,-1)</f>
        <v>-1</v>
      </c>
      <c r="AY1822" s="63" t="str">
        <f aca="false">IF(AND(OR(CG1822="L1",CG1822="L23",CG1822="LIFT"),AT1822&gt;0),SUMIFS($AT$7:$AT$1843,$CG$7:$CG$1843,CG1822,$AX$7:$AX$1843,"&gt;"&amp;AX1822)+SUMIFS($AT$7:$AT$1843,$CG$7:$CG$1843,CG1822,$AX$7:$AX$1843,AX1822,$BX$7:$BX$1843,"&lt;="&amp;BX1822),"")</f>
        <v/>
      </c>
      <c r="AZ1822" s="70" t="n">
        <f aca="false">IF(AY1822="",0,MAX(0,MIN(1,(IF(CG1822="L1",Parameter!$H$5,IF(CG1822="L23",Parameter!$H$6+Parameter!$H$7,Parameter!$H$5+Parameter!$H$6+Parameter!$H$7))-(AY1822-AT1822))/AT1822)))</f>
        <v>0</v>
      </c>
      <c r="BA1822" s="62" t="n">
        <f aca="false">IF(LEFT(Cockpit!$O$5,1)="A",H1822,IF(Parameter!$E$30="MAX-Bestand",IF(CI1822=1,CJ1822,IF(LEFT(Cockpit!$O$5,1)="B",BG1822,MAX(BG1822,H1822))),ROUNDUP(BE1822,0)))</f>
        <v>0</v>
      </c>
      <c r="BB1822" s="62" t="n">
        <f aca="false">IF(CA1822=1,0,ROUNDUP(BA1822/BZ1822,0))</f>
        <v>0</v>
      </c>
      <c r="BC1822" s="64" t="n">
        <f aca="false">IF(CR1822&gt;0,CR1822*MAX(1,BA1822/X1822),IF(CA1822=1,IF(BA1822&lt;=0,0,CE1822*MAX(1,IF(H1822&gt;0,BA1822/H1822,1))),IF(R1822&gt;0,BB1822/R1822,0))/MAX(0.1,N(Parameter!$M$21)))</f>
        <v>0</v>
      </c>
      <c r="BD1822" s="62" t="n">
        <f aca="false">BC1822*CC1822</f>
        <v>0</v>
      </c>
      <c r="BE1822" s="63" t="n">
        <f aca="false">IF(LEFT(Cockpit!$O$5,1)="A",H1822,IF(CI1822=1,(CL1822+CJ1822)/2,IF(LEFT(Cockpit!$O$5,1)="B",(CL1822+BG1822)/2,MAX((CL1822+BG1822)/2,H1822))))</f>
        <v>0</v>
      </c>
      <c r="BF1822" s="62" t="n">
        <f aca="false">BE1822*G1822</f>
        <v>0</v>
      </c>
      <c r="BG1822" s="62" t="n">
        <f aca="false">ROUNDUP(CL1822+MAX(CM1822,2*(J1822/IF(CH1822&gt;0,CH1822,MAX(0.1,N(Cockpit!$O$6)))-CL1822)),0)</f>
        <v>0</v>
      </c>
      <c r="BH1822" s="63" t="n">
        <f aca="false">IF(BD1822&gt;0,J1822/BD1822,-1)</f>
        <v>-1</v>
      </c>
      <c r="BI1822" s="63" t="str">
        <f aca="false">IF(AND(OR(CG1822="L1",CG1822="L23",CG1822="LIFT"),BD1822&gt;0),SUMIFS($BD$7:$BD$1843,$CG$7:$CG$1843,CG1822,$BH$7:$BH$1843,"&gt;"&amp;BH1822)+SUMIFS($BD$7:$BD$1843,$CG$7:$CG$1843,CG1822,$BH$7:$BH$1843,BH1822,$BX$7:$BX$1843,"&lt;="&amp;BX1822),"")</f>
        <v/>
      </c>
      <c r="BJ1822" s="70" t="n">
        <f aca="false">IF(BI1822="",0,MAX(0,MIN(1,(IF(CG1822="L1",Parameter!$H$5,IF(CG1822="L23",Parameter!$H$6+Parameter!$H$7,Parameter!$H$5+Parameter!$H$6+Parameter!$H$7))-(BI1822-BD1822))/BD1822)))</f>
        <v>0</v>
      </c>
      <c r="BK1822" s="60" t="str">
        <f aca="false">IF(AJ1822&lt;=0,"",IF(CG1822="Aussen","Aussenlager",IF(CG1822="-","Nicht im Lift",IF(AP1822&gt;=1,"Lift",IF(AP1822&lt;=0,"Aussenlager","teilweise")))))</f>
        <v/>
      </c>
      <c r="BL1822" s="60" t="str">
        <f aca="false">IF(AT1822&lt;=0,"",IF(CG1822="Aussen","Aussenlager",IF(CG1822="-","Nicht im Lift",IF(AZ1822&gt;=1,"Lift",IF(AZ1822&lt;=0,"Aussenlager","teilweise")))))</f>
        <v/>
      </c>
      <c r="BM1822" s="60" t="str">
        <f aca="false">IF(BD1822&lt;=0,"",IF(CG1822="Aussen","Aussenlager",IF(CG1822="-","Nicht im Lift",IF(BJ1822&gt;=1,"Lift",IF(BJ1822&lt;=0,"Aussenlager","teilweise")))))</f>
        <v/>
      </c>
      <c r="BN1822" s="60" t="str">
        <f aca="false">IF(A1822="","",IF(BW1822=1,"Neu; ","")&amp;IF(AND(BW1822=0,BR1822&lt;0),"negativer Bestand (Export "&amp;BR1822&amp;"); ","")&amp;IF(J1822&lt;=0,"Kein Verbrauch; ","")&amp;IF(CR1822&gt;0,"Lift "&amp;W1822&amp;" lt. Liftbericht (Fach "&amp;X1822&amp;" Stk); ",IF(CB1822=1,"Gebinde geschätzt ("&amp;T1822&amp;"); ",IF(CA1822=1,"Lose – Tablare geschätzt; ","")))&amp;IF(H1822&gt;AW1822,"Überbestand "&amp;ROUND(H1822-AW1822,0)&amp;" Stk / CHF "&amp;ROUND((H1822-AW1822)*G1822,0)&amp;"; ","")&amp;IF(AND(CI1822=1,CJ1822&lt;CK1822),"MAX &lt; MB+LG; ","")&amp;IF(AND(CQ1822&gt;0,CP1822*10&gt;CQ1822),"zu hoch für Tablar; ","")&amp;IF(AND(BW1822=0,OR(CI1822=1,AB1822&lt;&gt;"",U1822&lt;&gt;"",V1822&lt;&gt;"",AC1822&lt;&gt;"")),"manuell übersteuert; ","")&amp;IF(AND(CA1822=0,R1822=0),"Gebinde unbekannt / Stellmass fehlt; ","")&amp;IF(AND(CA1822=0,N(V1822)&lt;=0,N(Q1822)&lt;=0),"Menge pro Gebinde fehlt (Ist = 1 Gebinde); ","")&amp;BV1822)</f>
        <v/>
      </c>
      <c r="BO1822" s="60"/>
      <c r="BP1822" s="60"/>
      <c r="BQ1822" s="67"/>
      <c r="BR1822" s="62" t="n">
        <f aca="false">N('Neue Artikel'!$D$83)</f>
        <v>0</v>
      </c>
      <c r="BS1822" s="62" t="n">
        <v>0</v>
      </c>
      <c r="BT1822" s="61" t="n">
        <v>0</v>
      </c>
      <c r="BU1822" s="62" t="n">
        <f aca="false">N('Neue Artikel'!$C$83)/Parameter!$B$18</f>
        <v>0</v>
      </c>
      <c r="BV1822" s="60"/>
      <c r="BW1822" s="65" t="n">
        <v>1</v>
      </c>
      <c r="BX1822" s="65" t="n">
        <v>1822</v>
      </c>
      <c r="BY1822" s="60" t="str">
        <f aca="false">IF(U1822&lt;&gt;"",UPPER(TRIM(U1822)),IF(CB1822=1,UPPER(VLOOKUP(T1822,Parameter!$I$27:$K$29,2,0)),IF(P1822="","LOSE",P1822)))</f>
        <v>LOSE</v>
      </c>
      <c r="BZ1822" s="62" t="n">
        <f aca="false">IF(BY1822="LOSE",1,IF(N(V1822)&gt;0,V1822,IF(CB1822=1,MAX(1,N(VLOOKUP(T1822,Parameter!$I$27:$K$29,3,0)),H1822,N(N1822)),IF(N(Q1822)&gt;0,Q1822,MAX(1,H1822)))))</f>
        <v>1</v>
      </c>
      <c r="CA1822" s="65" t="n">
        <f aca="false">IF(BY1822="LOSE",1,0)</f>
        <v>1</v>
      </c>
      <c r="CB1822" s="65" t="n">
        <f aca="false">IF(AND(U1822="",OR(P1822="",P1822="LOSE"),T1822&lt;&gt;"",N(S1822)&lt;=0,ISNUMBER(MATCH(T1822,Parameter!$I$27:$I$29,0))),1,0)</f>
        <v>0</v>
      </c>
      <c r="CC1822" s="65" t="n">
        <f aca="false">IF(CR1822&gt;0,INDEX(Parameter!$H$5:$H$7,W1822)/INDEX(Parameter!$E$5:$E$7,W1822),IF(AND(CA1822=0,N(IFERROR(VLOOKUP(BY1822,'Gebinde-Kategorie'!$A$5:$N$45,14,0),0))&gt;0),VLOOKUP(BY1822,'Gebinde-Kategorie'!$A$5:$N$45,14,0)*10+Parameter!$M$23,Parameter!$M$24))</f>
        <v>235</v>
      </c>
      <c r="CD1822" s="60" t="str">
        <f aca="false">IF(AND(Parameter!$B$19="Ja",E1822&lt;&gt;"",ISNUMBER(MATCH(E1822,Parameter!$I$35:$I$52,0))),VLOOKUP(E1822,Parameter!$I$35:$J$52,2,0),IFERROR(VLOOKUP(D1822,Parameter!$A$35:$C$64,2,0),"Nein"))</f>
        <v>2+3</v>
      </c>
      <c r="CE1822" s="64" t="n">
        <f aca="false">IF(CA1822=0,0,IF(N(S1822)&gt;0,S1822,IFERROR(VLOOKUP(D1822,Parameter!$A$35:$C$64,3,0)+0,0)))</f>
        <v>0.15</v>
      </c>
      <c r="CF1822" s="60" t="str">
        <f aca="false">IF(AB1822&lt;&gt;"",AB1822,AA1822)</f>
        <v/>
      </c>
      <c r="CG1822" s="60" t="str">
        <f aca="false">IF(OR(CF1822=1,CF1822=2,CF1822=3),IF(Parameter!$E$27="Ja","LIFT",IF(CF1822=1,"L1","L23")),IF(CF1822="Aussen","Aussen","-"))</f>
        <v>-</v>
      </c>
      <c r="CH1822" s="71" t="n">
        <f aca="false">IF(N(AC1822)&gt;0,AC1822,0)</f>
        <v>0</v>
      </c>
      <c r="CI1822" s="65" t="n">
        <f aca="false">IF(ISNUMBER(AF1822),1,0)</f>
        <v>0</v>
      </c>
      <c r="CJ1822" s="62" t="n">
        <f aca="false">N(AF1822)</f>
        <v>0</v>
      </c>
      <c r="CK1822" s="62" t="n">
        <f aca="false">N(M1822)+N(N1822)</f>
        <v>0</v>
      </c>
      <c r="CL1822" s="62" t="n">
        <f aca="false">N(M1822)</f>
        <v>0</v>
      </c>
      <c r="CM1822" s="62" t="n">
        <f aca="false">N(N1822)</f>
        <v>0</v>
      </c>
      <c r="CN1822" s="62" t="n">
        <f aca="false">ROUNDUP(H1822/BZ1822,0)</f>
        <v>0</v>
      </c>
      <c r="CO1822" s="62" t="n">
        <f aca="false">ROUNDUP(CJ1822/BZ1822,0)</f>
        <v>0</v>
      </c>
      <c r="CP1822" s="65" t="n">
        <f aca="false">IF(CA1822=1,0,IFERROR(VLOOKUP(BY1822,'Gebinde-Kategorie'!$A$5:$N$45,5,0)+0,0))</f>
        <v>0</v>
      </c>
      <c r="CQ1822" s="65" t="n">
        <f aca="false">IFERROR(IF(OR(CF1822=1,CF1822=2,CF1822=3),N(INDEX(Parameter!$I$5:$I$7,CF1822)),0),0)</f>
        <v>0</v>
      </c>
      <c r="CR1822" s="64" t="n">
        <f aca="false">IF(AND(Parameter!$B$21="Ja",ISNUMBER(W1822),N(X1822)&gt;0),IFERROR(N(INDEX(Parameter!$L$5:$L$7,W1822))*INDEX(Parameter!$E$5:$E$7,W1822)*X1822/SUMIFS($X$7:$X$1843,$W$7:$W$1843,W1822),0),0)</f>
        <v>0</v>
      </c>
      <c r="CS1822" s="62" t="str">
        <f aca="false">IF(AND(OR(CG1822="L1",CG1822="L23",CG1822="LIFT"),H1822&gt;0),CC1822*IF(CR1822&gt;0,CR1822*MAX(1,H1822/X1822),IF(CA1822=1,CE1822,IF(R1822&gt;0,CN1822/R1822,0))/MAX(0.1,N(Parameter!$M$21))),"")</f>
        <v/>
      </c>
      <c r="CT1822" s="64" t="str">
        <f aca="false">IF(CS1822="","",J1822/H1822)</f>
        <v/>
      </c>
      <c r="CU1822" s="62" t="str">
        <f aca="false">IF(CS1822="","",H1822*G1822)</f>
        <v/>
      </c>
      <c r="CV1822" s="63" t="str">
        <f aca="false">IF(CS1822="","",(CL1822+ROUNDUP(CL1822+MAX(CM1822,2*(J1822/MAX(0.1,N(Einkauf!$C$6))-CL1822)),0))/2)</f>
        <v/>
      </c>
      <c r="CW1822" s="62" t="str">
        <f aca="false">IF(CS1822="","",MAX(0,H1822-CV1822)*G1822)</f>
        <v/>
      </c>
      <c r="CX1822" s="62" t="str">
        <f aca="false">IF(CS1822="","",CS1822*MAX(0,1-CV1822/H1822))</f>
        <v/>
      </c>
      <c r="CY1822" s="64" t="str">
        <f aca="false">IF(CS1822="","",PERCENTRANK($CS$7:$CS$1843,CS1822)+PERCENTRANK($CU$7:$CU$1843,CU1822)+1-PERCENTRANK($CT$7:$CT$1843,CT1822))</f>
        <v/>
      </c>
      <c r="CZ1822" s="72" t="str">
        <f aca="false">IF(CS1822="","",CHOOSE(MATCH(Einkauf!$C$5,Parameter!$G$23:$G$27,0),CY1822,CS1822,CU1822,-CT1822,CW1822)+ROW()/1000000000)</f>
        <v/>
      </c>
    </row>
    <row r="1823" customFormat="false" ht="15" hidden="false" customHeight="false" outlineLevel="0" collapsed="false">
      <c r="A1823" s="60" t="str">
        <f aca="false">IF('Neue Artikel'!$A$84="","",'Neue Artikel'!$A$84&amp;"")</f>
        <v/>
      </c>
      <c r="B1823" s="60" t="str">
        <f aca="false">'Neue Artikel'!$B$84&amp;""</f>
        <v/>
      </c>
      <c r="C1823" s="60"/>
      <c r="D1823" s="60" t="s">
        <v>3057</v>
      </c>
      <c r="E1823" s="60"/>
      <c r="F1823" s="60"/>
      <c r="G1823" s="61" t="n">
        <f aca="false">N('Neue Artikel'!$G$84)</f>
        <v>0</v>
      </c>
      <c r="H1823" s="62" t="n">
        <f aca="false">MAX(0,IF(AND(Parameter!$B$21="Ja",ISNUMBER(Y1823)),Y1823,IF(Parameter!$B$20="Jahresanfang 2025 + Export",BS1823+BR1823,BR1823)))</f>
        <v>0</v>
      </c>
      <c r="I1823" s="62" t="n">
        <f aca="false">H1823*G1823</f>
        <v>0</v>
      </c>
      <c r="J1823" s="62" t="n">
        <f aca="false">BU1823*Parameter!$B$18</f>
        <v>0</v>
      </c>
      <c r="K1823" s="63"/>
      <c r="L1823" s="64"/>
      <c r="M1823" s="62" t="n">
        <f aca="false">N('Neue Artikel'!$E$84)</f>
        <v>0</v>
      </c>
      <c r="N1823" s="62" t="n">
        <f aca="false">N('Neue Artikel'!$F$84)</f>
        <v>0</v>
      </c>
      <c r="O1823" s="65"/>
      <c r="P1823" s="60" t="str">
        <f aca="false">IF('Neue Artikel'!$H$84="","LOSE",UPPER(TRIM('Neue Artikel'!$H$84)))</f>
        <v>LOSE</v>
      </c>
      <c r="Q1823" s="62" t="n">
        <f aca="false">N('Neue Artikel'!$I$84)</f>
        <v>0</v>
      </c>
      <c r="R1823" s="65" t="n">
        <f aca="false">IF(CA1823=1,0,IFERROR(VLOOKUP(BY1823,'Gebinde-Kategorie'!$A$5:$N$45,13,0)+0,0))</f>
        <v>0</v>
      </c>
      <c r="S1823" s="66"/>
      <c r="T1823" s="67"/>
      <c r="U1823" s="67"/>
      <c r="V1823" s="67"/>
      <c r="W1823" s="60"/>
      <c r="X1823" s="62"/>
      <c r="Y1823" s="62"/>
      <c r="Z1823" s="60"/>
      <c r="AA1823" s="60" t="str">
        <f aca="false">IF(A1823="","",IF(AND(Parameter!$B$21="Ja",ISNUMBER(W1823)),W1823,IF(AND(Parameter!$E$27="Ja",ISNUMBER(Z1823),CD1823&lt;&gt;"Nein"),Z1823,IF(CD1823="2+3",IF(ISNUMBER(SEARCH("grosser Artikel",BV1823)),2,IFERROR(VLOOKUP(BY1823,Parameter!$F$35:$G$64,2,0),2)),IF(OR(CD1823="Nein",CD1823=""),"-",CD1823)))))</f>
        <v/>
      </c>
      <c r="AB1823" s="60" t="str">
        <f aca="false">IF('Neue Artikel'!$J$84="","",'Neue Artikel'!$J$84)</f>
        <v/>
      </c>
      <c r="AC1823" s="68"/>
      <c r="AD1823" s="62" t="n">
        <f aca="false">AW1823</f>
        <v>0</v>
      </c>
      <c r="AE1823" s="62" t="n">
        <f aca="false">MAX(AW1823,H1823)</f>
        <v>0</v>
      </c>
      <c r="AF1823" s="69"/>
      <c r="AG1823" s="62" t="n">
        <f aca="false">IF(LEFT(Cockpit!$C$5,1)="A",H1823,IF(Parameter!$E$30="MAX-Bestand",IF(CI1823=1,CJ1823,IF(LEFT(Cockpit!$C$5,1)="B",AM1823,MAX(AM1823,H1823))),ROUNDUP(AK1823,0)))</f>
        <v>0</v>
      </c>
      <c r="AH1823" s="62" t="n">
        <f aca="false">IF(CA1823=1,0,ROUNDUP(AG1823/BZ1823,0))</f>
        <v>0</v>
      </c>
      <c r="AI1823" s="64" t="n">
        <f aca="false">IF(CR1823&gt;0,CR1823*MAX(1,AG1823/X1823),IF(CA1823=1,IF(AG1823&lt;=0,0,CE1823*MAX(1,IF(H1823&gt;0,AG1823/H1823,1))),IF(R1823&gt;0,AH1823/R1823,0))/MAX(0.1,N(Parameter!$M$21)))</f>
        <v>0</v>
      </c>
      <c r="AJ1823" s="62" t="n">
        <f aca="false">AI1823*CC1823</f>
        <v>0</v>
      </c>
      <c r="AK1823" s="63" t="n">
        <f aca="false">IF(LEFT(Cockpit!$C$5,1)="A",H1823,IF(CI1823=1,(CL1823+CJ1823)/2,IF(LEFT(Cockpit!$C$5,1)="B",(CL1823+AM1823)/2,MAX((CL1823+AM1823)/2,H1823))))</f>
        <v>0</v>
      </c>
      <c r="AL1823" s="62" t="n">
        <f aca="false">AK1823*G1823</f>
        <v>0</v>
      </c>
      <c r="AM1823" s="62" t="n">
        <f aca="false">ROUNDUP(CL1823+MAX(CM1823,2*(J1823/IF(CH1823&gt;0,CH1823,MAX(0.1,N(Cockpit!$C$6)))-CL1823)),0)</f>
        <v>0</v>
      </c>
      <c r="AN1823" s="63" t="n">
        <f aca="false">IF(AJ1823&gt;0,J1823/AJ1823,-1)</f>
        <v>-1</v>
      </c>
      <c r="AO1823" s="63" t="str">
        <f aca="false">IF(AND(OR(CG1823="L1",CG1823="L23",CG1823="LIFT"),AJ1823&gt;0),SUMIFS($AJ$7:$AJ$1843,$CG$7:$CG$1843,CG1823,$AN$7:$AN$1843,"&gt;"&amp;AN1823)+SUMIFS($AJ$7:$AJ$1843,$CG$7:$CG$1843,CG1823,$AN$7:$AN$1843,AN1823,$BX$7:$BX$1843,"&lt;="&amp;BX1823),"")</f>
        <v/>
      </c>
      <c r="AP1823" s="70" t="n">
        <f aca="false">IF(AO1823="",0,MAX(0,MIN(1,(IF(CG1823="L1",Parameter!$H$5,IF(CG1823="L23",Parameter!$H$6+Parameter!$H$7,Parameter!$H$5+Parameter!$H$6+Parameter!$H$7))-(AO1823-AJ1823))/AJ1823)))</f>
        <v>0</v>
      </c>
      <c r="AQ1823" s="62" t="n">
        <f aca="false">IF(LEFT(Cockpit!$I$5,1)="A",H1823,IF(Parameter!$E$30="MAX-Bestand",IF(CI1823=1,CJ1823,IF(LEFT(Cockpit!$I$5,1)="B",AW1823,MAX(AW1823,H1823))),ROUNDUP(AU1823,0)))</f>
        <v>0</v>
      </c>
      <c r="AR1823" s="62" t="n">
        <f aca="false">IF(CA1823=1,0,ROUNDUP(AQ1823/BZ1823,0))</f>
        <v>0</v>
      </c>
      <c r="AS1823" s="64" t="n">
        <f aca="false">IF(CR1823&gt;0,CR1823*MAX(1,AQ1823/X1823),IF(CA1823=1,IF(AQ1823&lt;=0,0,CE1823*MAX(1,IF(H1823&gt;0,AQ1823/H1823,1))),IF(R1823&gt;0,AR1823/R1823,0))/MAX(0.1,N(Parameter!$M$21)))</f>
        <v>0</v>
      </c>
      <c r="AT1823" s="62" t="n">
        <f aca="false">AS1823*CC1823</f>
        <v>0</v>
      </c>
      <c r="AU1823" s="63" t="n">
        <f aca="false">IF(LEFT(Cockpit!$I$5,1)="A",H1823,IF(CI1823=1,(CL1823+CJ1823)/2,IF(LEFT(Cockpit!$I$5,1)="B",(CL1823+AW1823)/2,MAX((CL1823+AW1823)/2,H1823))))</f>
        <v>0</v>
      </c>
      <c r="AV1823" s="62" t="n">
        <f aca="false">AU1823*G1823</f>
        <v>0</v>
      </c>
      <c r="AW1823" s="62" t="n">
        <f aca="false">ROUNDUP(CL1823+MAX(CM1823,2*(J1823/IF(CH1823&gt;0,CH1823,MAX(0.1,N(Cockpit!$I$6)))-CL1823)),0)</f>
        <v>0</v>
      </c>
      <c r="AX1823" s="63" t="n">
        <f aca="false">IF(AT1823&gt;0,J1823/AT1823,-1)</f>
        <v>-1</v>
      </c>
      <c r="AY1823" s="63" t="str">
        <f aca="false">IF(AND(OR(CG1823="L1",CG1823="L23",CG1823="LIFT"),AT1823&gt;0),SUMIFS($AT$7:$AT$1843,$CG$7:$CG$1843,CG1823,$AX$7:$AX$1843,"&gt;"&amp;AX1823)+SUMIFS($AT$7:$AT$1843,$CG$7:$CG$1843,CG1823,$AX$7:$AX$1843,AX1823,$BX$7:$BX$1843,"&lt;="&amp;BX1823),"")</f>
        <v/>
      </c>
      <c r="AZ1823" s="70" t="n">
        <f aca="false">IF(AY1823="",0,MAX(0,MIN(1,(IF(CG1823="L1",Parameter!$H$5,IF(CG1823="L23",Parameter!$H$6+Parameter!$H$7,Parameter!$H$5+Parameter!$H$6+Parameter!$H$7))-(AY1823-AT1823))/AT1823)))</f>
        <v>0</v>
      </c>
      <c r="BA1823" s="62" t="n">
        <f aca="false">IF(LEFT(Cockpit!$O$5,1)="A",H1823,IF(Parameter!$E$30="MAX-Bestand",IF(CI1823=1,CJ1823,IF(LEFT(Cockpit!$O$5,1)="B",BG1823,MAX(BG1823,H1823))),ROUNDUP(BE1823,0)))</f>
        <v>0</v>
      </c>
      <c r="BB1823" s="62" t="n">
        <f aca="false">IF(CA1823=1,0,ROUNDUP(BA1823/BZ1823,0))</f>
        <v>0</v>
      </c>
      <c r="BC1823" s="64" t="n">
        <f aca="false">IF(CR1823&gt;0,CR1823*MAX(1,BA1823/X1823),IF(CA1823=1,IF(BA1823&lt;=0,0,CE1823*MAX(1,IF(H1823&gt;0,BA1823/H1823,1))),IF(R1823&gt;0,BB1823/R1823,0))/MAX(0.1,N(Parameter!$M$21)))</f>
        <v>0</v>
      </c>
      <c r="BD1823" s="62" t="n">
        <f aca="false">BC1823*CC1823</f>
        <v>0</v>
      </c>
      <c r="BE1823" s="63" t="n">
        <f aca="false">IF(LEFT(Cockpit!$O$5,1)="A",H1823,IF(CI1823=1,(CL1823+CJ1823)/2,IF(LEFT(Cockpit!$O$5,1)="B",(CL1823+BG1823)/2,MAX((CL1823+BG1823)/2,H1823))))</f>
        <v>0</v>
      </c>
      <c r="BF1823" s="62" t="n">
        <f aca="false">BE1823*G1823</f>
        <v>0</v>
      </c>
      <c r="BG1823" s="62" t="n">
        <f aca="false">ROUNDUP(CL1823+MAX(CM1823,2*(J1823/IF(CH1823&gt;0,CH1823,MAX(0.1,N(Cockpit!$O$6)))-CL1823)),0)</f>
        <v>0</v>
      </c>
      <c r="BH1823" s="63" t="n">
        <f aca="false">IF(BD1823&gt;0,J1823/BD1823,-1)</f>
        <v>-1</v>
      </c>
      <c r="BI1823" s="63" t="str">
        <f aca="false">IF(AND(OR(CG1823="L1",CG1823="L23",CG1823="LIFT"),BD1823&gt;0),SUMIFS($BD$7:$BD$1843,$CG$7:$CG$1843,CG1823,$BH$7:$BH$1843,"&gt;"&amp;BH1823)+SUMIFS($BD$7:$BD$1843,$CG$7:$CG$1843,CG1823,$BH$7:$BH$1843,BH1823,$BX$7:$BX$1843,"&lt;="&amp;BX1823),"")</f>
        <v/>
      </c>
      <c r="BJ1823" s="70" t="n">
        <f aca="false">IF(BI1823="",0,MAX(0,MIN(1,(IF(CG1823="L1",Parameter!$H$5,IF(CG1823="L23",Parameter!$H$6+Parameter!$H$7,Parameter!$H$5+Parameter!$H$6+Parameter!$H$7))-(BI1823-BD1823))/BD1823)))</f>
        <v>0</v>
      </c>
      <c r="BK1823" s="60" t="str">
        <f aca="false">IF(AJ1823&lt;=0,"",IF(CG1823="Aussen","Aussenlager",IF(CG1823="-","Nicht im Lift",IF(AP1823&gt;=1,"Lift",IF(AP1823&lt;=0,"Aussenlager","teilweise")))))</f>
        <v/>
      </c>
      <c r="BL1823" s="60" t="str">
        <f aca="false">IF(AT1823&lt;=0,"",IF(CG1823="Aussen","Aussenlager",IF(CG1823="-","Nicht im Lift",IF(AZ1823&gt;=1,"Lift",IF(AZ1823&lt;=0,"Aussenlager","teilweise")))))</f>
        <v/>
      </c>
      <c r="BM1823" s="60" t="str">
        <f aca="false">IF(BD1823&lt;=0,"",IF(CG1823="Aussen","Aussenlager",IF(CG1823="-","Nicht im Lift",IF(BJ1823&gt;=1,"Lift",IF(BJ1823&lt;=0,"Aussenlager","teilweise")))))</f>
        <v/>
      </c>
      <c r="BN1823" s="60" t="str">
        <f aca="false">IF(A1823="","",IF(BW1823=1,"Neu; ","")&amp;IF(AND(BW1823=0,BR1823&lt;0),"negativer Bestand (Export "&amp;BR1823&amp;"); ","")&amp;IF(J1823&lt;=0,"Kein Verbrauch; ","")&amp;IF(CR1823&gt;0,"Lift "&amp;W1823&amp;" lt. Liftbericht (Fach "&amp;X1823&amp;" Stk); ",IF(CB1823=1,"Gebinde geschätzt ("&amp;T1823&amp;"); ",IF(CA1823=1,"Lose – Tablare geschätzt; ","")))&amp;IF(H1823&gt;AW1823,"Überbestand "&amp;ROUND(H1823-AW1823,0)&amp;" Stk / CHF "&amp;ROUND((H1823-AW1823)*G1823,0)&amp;"; ","")&amp;IF(AND(CI1823=1,CJ1823&lt;CK1823),"MAX &lt; MB+LG; ","")&amp;IF(AND(CQ1823&gt;0,CP1823*10&gt;CQ1823),"zu hoch für Tablar; ","")&amp;IF(AND(BW1823=0,OR(CI1823=1,AB1823&lt;&gt;"",U1823&lt;&gt;"",V1823&lt;&gt;"",AC1823&lt;&gt;"")),"manuell übersteuert; ","")&amp;IF(AND(CA1823=0,R1823=0),"Gebinde unbekannt / Stellmass fehlt; ","")&amp;IF(AND(CA1823=0,N(V1823)&lt;=0,N(Q1823)&lt;=0),"Menge pro Gebinde fehlt (Ist = 1 Gebinde); ","")&amp;BV1823)</f>
        <v/>
      </c>
      <c r="BO1823" s="60"/>
      <c r="BP1823" s="60"/>
      <c r="BQ1823" s="67"/>
      <c r="BR1823" s="62" t="n">
        <f aca="false">N('Neue Artikel'!$D$84)</f>
        <v>0</v>
      </c>
      <c r="BS1823" s="62" t="n">
        <v>0</v>
      </c>
      <c r="BT1823" s="61" t="n">
        <v>0</v>
      </c>
      <c r="BU1823" s="62" t="n">
        <f aca="false">N('Neue Artikel'!$C$84)/Parameter!$B$18</f>
        <v>0</v>
      </c>
      <c r="BV1823" s="60"/>
      <c r="BW1823" s="65" t="n">
        <v>1</v>
      </c>
      <c r="BX1823" s="65" t="n">
        <v>1823</v>
      </c>
      <c r="BY1823" s="60" t="str">
        <f aca="false">IF(U1823&lt;&gt;"",UPPER(TRIM(U1823)),IF(CB1823=1,UPPER(VLOOKUP(T1823,Parameter!$I$27:$K$29,2,0)),IF(P1823="","LOSE",P1823)))</f>
        <v>LOSE</v>
      </c>
      <c r="BZ1823" s="62" t="n">
        <f aca="false">IF(BY1823="LOSE",1,IF(N(V1823)&gt;0,V1823,IF(CB1823=1,MAX(1,N(VLOOKUP(T1823,Parameter!$I$27:$K$29,3,0)),H1823,N(N1823)),IF(N(Q1823)&gt;0,Q1823,MAX(1,H1823)))))</f>
        <v>1</v>
      </c>
      <c r="CA1823" s="65" t="n">
        <f aca="false">IF(BY1823="LOSE",1,0)</f>
        <v>1</v>
      </c>
      <c r="CB1823" s="65" t="n">
        <f aca="false">IF(AND(U1823="",OR(P1823="",P1823="LOSE"),T1823&lt;&gt;"",N(S1823)&lt;=0,ISNUMBER(MATCH(T1823,Parameter!$I$27:$I$29,0))),1,0)</f>
        <v>0</v>
      </c>
      <c r="CC1823" s="65" t="n">
        <f aca="false">IF(CR1823&gt;0,INDEX(Parameter!$H$5:$H$7,W1823)/INDEX(Parameter!$E$5:$E$7,W1823),IF(AND(CA1823=0,N(IFERROR(VLOOKUP(BY1823,'Gebinde-Kategorie'!$A$5:$N$45,14,0),0))&gt;0),VLOOKUP(BY1823,'Gebinde-Kategorie'!$A$5:$N$45,14,0)*10+Parameter!$M$23,Parameter!$M$24))</f>
        <v>235</v>
      </c>
      <c r="CD1823" s="60" t="str">
        <f aca="false">IF(AND(Parameter!$B$19="Ja",E1823&lt;&gt;"",ISNUMBER(MATCH(E1823,Parameter!$I$35:$I$52,0))),VLOOKUP(E1823,Parameter!$I$35:$J$52,2,0),IFERROR(VLOOKUP(D1823,Parameter!$A$35:$C$64,2,0),"Nein"))</f>
        <v>2+3</v>
      </c>
      <c r="CE1823" s="64" t="n">
        <f aca="false">IF(CA1823=0,0,IF(N(S1823)&gt;0,S1823,IFERROR(VLOOKUP(D1823,Parameter!$A$35:$C$64,3,0)+0,0)))</f>
        <v>0.15</v>
      </c>
      <c r="CF1823" s="60" t="str">
        <f aca="false">IF(AB1823&lt;&gt;"",AB1823,AA1823)</f>
        <v/>
      </c>
      <c r="CG1823" s="60" t="str">
        <f aca="false">IF(OR(CF1823=1,CF1823=2,CF1823=3),IF(Parameter!$E$27="Ja","LIFT",IF(CF1823=1,"L1","L23")),IF(CF1823="Aussen","Aussen","-"))</f>
        <v>-</v>
      </c>
      <c r="CH1823" s="71" t="n">
        <f aca="false">IF(N(AC1823)&gt;0,AC1823,0)</f>
        <v>0</v>
      </c>
      <c r="CI1823" s="65" t="n">
        <f aca="false">IF(ISNUMBER(AF1823),1,0)</f>
        <v>0</v>
      </c>
      <c r="CJ1823" s="62" t="n">
        <f aca="false">N(AF1823)</f>
        <v>0</v>
      </c>
      <c r="CK1823" s="62" t="n">
        <f aca="false">N(M1823)+N(N1823)</f>
        <v>0</v>
      </c>
      <c r="CL1823" s="62" t="n">
        <f aca="false">N(M1823)</f>
        <v>0</v>
      </c>
      <c r="CM1823" s="62" t="n">
        <f aca="false">N(N1823)</f>
        <v>0</v>
      </c>
      <c r="CN1823" s="62" t="n">
        <f aca="false">ROUNDUP(H1823/BZ1823,0)</f>
        <v>0</v>
      </c>
      <c r="CO1823" s="62" t="n">
        <f aca="false">ROUNDUP(CJ1823/BZ1823,0)</f>
        <v>0</v>
      </c>
      <c r="CP1823" s="65" t="n">
        <f aca="false">IF(CA1823=1,0,IFERROR(VLOOKUP(BY1823,'Gebinde-Kategorie'!$A$5:$N$45,5,0)+0,0))</f>
        <v>0</v>
      </c>
      <c r="CQ1823" s="65" t="n">
        <f aca="false">IFERROR(IF(OR(CF1823=1,CF1823=2,CF1823=3),N(INDEX(Parameter!$I$5:$I$7,CF1823)),0),0)</f>
        <v>0</v>
      </c>
      <c r="CR1823" s="64" t="n">
        <f aca="false">IF(AND(Parameter!$B$21="Ja",ISNUMBER(W1823),N(X1823)&gt;0),IFERROR(N(INDEX(Parameter!$L$5:$L$7,W1823))*INDEX(Parameter!$E$5:$E$7,W1823)*X1823/SUMIFS($X$7:$X$1843,$W$7:$W$1843,W1823),0),0)</f>
        <v>0</v>
      </c>
      <c r="CS1823" s="62" t="str">
        <f aca="false">IF(AND(OR(CG1823="L1",CG1823="L23",CG1823="LIFT"),H1823&gt;0),CC1823*IF(CR1823&gt;0,CR1823*MAX(1,H1823/X1823),IF(CA1823=1,CE1823,IF(R1823&gt;0,CN1823/R1823,0))/MAX(0.1,N(Parameter!$M$21))),"")</f>
        <v/>
      </c>
      <c r="CT1823" s="64" t="str">
        <f aca="false">IF(CS1823="","",J1823/H1823)</f>
        <v/>
      </c>
      <c r="CU1823" s="62" t="str">
        <f aca="false">IF(CS1823="","",H1823*G1823)</f>
        <v/>
      </c>
      <c r="CV1823" s="63" t="str">
        <f aca="false">IF(CS1823="","",(CL1823+ROUNDUP(CL1823+MAX(CM1823,2*(J1823/MAX(0.1,N(Einkauf!$C$6))-CL1823)),0))/2)</f>
        <v/>
      </c>
      <c r="CW1823" s="62" t="str">
        <f aca="false">IF(CS1823="","",MAX(0,H1823-CV1823)*G1823)</f>
        <v/>
      </c>
      <c r="CX1823" s="62" t="str">
        <f aca="false">IF(CS1823="","",CS1823*MAX(0,1-CV1823/H1823))</f>
        <v/>
      </c>
      <c r="CY1823" s="64" t="str">
        <f aca="false">IF(CS1823="","",PERCENTRANK($CS$7:$CS$1843,CS1823)+PERCENTRANK($CU$7:$CU$1843,CU1823)+1-PERCENTRANK($CT$7:$CT$1843,CT1823))</f>
        <v/>
      </c>
      <c r="CZ1823" s="72" t="str">
        <f aca="false">IF(CS1823="","",CHOOSE(MATCH(Einkauf!$C$5,Parameter!$G$23:$G$27,0),CY1823,CS1823,CU1823,-CT1823,CW1823)+ROW()/1000000000)</f>
        <v/>
      </c>
    </row>
    <row r="1824" customFormat="false" ht="15" hidden="false" customHeight="false" outlineLevel="0" collapsed="false">
      <c r="A1824" s="60" t="str">
        <f aca="false">IF('Neue Artikel'!$A$85="","",'Neue Artikel'!$A$85&amp;"")</f>
        <v/>
      </c>
      <c r="B1824" s="60" t="str">
        <f aca="false">'Neue Artikel'!$B$85&amp;""</f>
        <v/>
      </c>
      <c r="C1824" s="60"/>
      <c r="D1824" s="60" t="s">
        <v>3057</v>
      </c>
      <c r="E1824" s="60"/>
      <c r="F1824" s="60"/>
      <c r="G1824" s="61" t="n">
        <f aca="false">N('Neue Artikel'!$G$85)</f>
        <v>0</v>
      </c>
      <c r="H1824" s="62" t="n">
        <f aca="false">MAX(0,IF(AND(Parameter!$B$21="Ja",ISNUMBER(Y1824)),Y1824,IF(Parameter!$B$20="Jahresanfang 2025 + Export",BS1824+BR1824,BR1824)))</f>
        <v>0</v>
      </c>
      <c r="I1824" s="62" t="n">
        <f aca="false">H1824*G1824</f>
        <v>0</v>
      </c>
      <c r="J1824" s="62" t="n">
        <f aca="false">BU1824*Parameter!$B$18</f>
        <v>0</v>
      </c>
      <c r="K1824" s="63"/>
      <c r="L1824" s="64"/>
      <c r="M1824" s="62" t="n">
        <f aca="false">N('Neue Artikel'!$E$85)</f>
        <v>0</v>
      </c>
      <c r="N1824" s="62" t="n">
        <f aca="false">N('Neue Artikel'!$F$85)</f>
        <v>0</v>
      </c>
      <c r="O1824" s="65"/>
      <c r="P1824" s="60" t="str">
        <f aca="false">IF('Neue Artikel'!$H$85="","LOSE",UPPER(TRIM('Neue Artikel'!$H$85)))</f>
        <v>LOSE</v>
      </c>
      <c r="Q1824" s="62" t="n">
        <f aca="false">N('Neue Artikel'!$I$85)</f>
        <v>0</v>
      </c>
      <c r="R1824" s="65" t="n">
        <f aca="false">IF(CA1824=1,0,IFERROR(VLOOKUP(BY1824,'Gebinde-Kategorie'!$A$5:$N$45,13,0)+0,0))</f>
        <v>0</v>
      </c>
      <c r="S1824" s="66"/>
      <c r="T1824" s="67"/>
      <c r="U1824" s="67"/>
      <c r="V1824" s="67"/>
      <c r="W1824" s="60"/>
      <c r="X1824" s="62"/>
      <c r="Y1824" s="62"/>
      <c r="Z1824" s="60"/>
      <c r="AA1824" s="60" t="str">
        <f aca="false">IF(A1824="","",IF(AND(Parameter!$B$21="Ja",ISNUMBER(W1824)),W1824,IF(AND(Parameter!$E$27="Ja",ISNUMBER(Z1824),CD1824&lt;&gt;"Nein"),Z1824,IF(CD1824="2+3",IF(ISNUMBER(SEARCH("grosser Artikel",BV1824)),2,IFERROR(VLOOKUP(BY1824,Parameter!$F$35:$G$64,2,0),2)),IF(OR(CD1824="Nein",CD1824=""),"-",CD1824)))))</f>
        <v/>
      </c>
      <c r="AB1824" s="60" t="str">
        <f aca="false">IF('Neue Artikel'!$J$85="","",'Neue Artikel'!$J$85)</f>
        <v/>
      </c>
      <c r="AC1824" s="68"/>
      <c r="AD1824" s="62" t="n">
        <f aca="false">AW1824</f>
        <v>0</v>
      </c>
      <c r="AE1824" s="62" t="n">
        <f aca="false">MAX(AW1824,H1824)</f>
        <v>0</v>
      </c>
      <c r="AF1824" s="69"/>
      <c r="AG1824" s="62" t="n">
        <f aca="false">IF(LEFT(Cockpit!$C$5,1)="A",H1824,IF(Parameter!$E$30="MAX-Bestand",IF(CI1824=1,CJ1824,IF(LEFT(Cockpit!$C$5,1)="B",AM1824,MAX(AM1824,H1824))),ROUNDUP(AK1824,0)))</f>
        <v>0</v>
      </c>
      <c r="AH1824" s="62" t="n">
        <f aca="false">IF(CA1824=1,0,ROUNDUP(AG1824/BZ1824,0))</f>
        <v>0</v>
      </c>
      <c r="AI1824" s="64" t="n">
        <f aca="false">IF(CR1824&gt;0,CR1824*MAX(1,AG1824/X1824),IF(CA1824=1,IF(AG1824&lt;=0,0,CE1824*MAX(1,IF(H1824&gt;0,AG1824/H1824,1))),IF(R1824&gt;0,AH1824/R1824,0))/MAX(0.1,N(Parameter!$M$21)))</f>
        <v>0</v>
      </c>
      <c r="AJ1824" s="62" t="n">
        <f aca="false">AI1824*CC1824</f>
        <v>0</v>
      </c>
      <c r="AK1824" s="63" t="n">
        <f aca="false">IF(LEFT(Cockpit!$C$5,1)="A",H1824,IF(CI1824=1,(CL1824+CJ1824)/2,IF(LEFT(Cockpit!$C$5,1)="B",(CL1824+AM1824)/2,MAX((CL1824+AM1824)/2,H1824))))</f>
        <v>0</v>
      </c>
      <c r="AL1824" s="62" t="n">
        <f aca="false">AK1824*G1824</f>
        <v>0</v>
      </c>
      <c r="AM1824" s="62" t="n">
        <f aca="false">ROUNDUP(CL1824+MAX(CM1824,2*(J1824/IF(CH1824&gt;0,CH1824,MAX(0.1,N(Cockpit!$C$6)))-CL1824)),0)</f>
        <v>0</v>
      </c>
      <c r="AN1824" s="63" t="n">
        <f aca="false">IF(AJ1824&gt;0,J1824/AJ1824,-1)</f>
        <v>-1</v>
      </c>
      <c r="AO1824" s="63" t="str">
        <f aca="false">IF(AND(OR(CG1824="L1",CG1824="L23",CG1824="LIFT"),AJ1824&gt;0),SUMIFS($AJ$7:$AJ$1843,$CG$7:$CG$1843,CG1824,$AN$7:$AN$1843,"&gt;"&amp;AN1824)+SUMIFS($AJ$7:$AJ$1843,$CG$7:$CG$1843,CG1824,$AN$7:$AN$1843,AN1824,$BX$7:$BX$1843,"&lt;="&amp;BX1824),"")</f>
        <v/>
      </c>
      <c r="AP1824" s="70" t="n">
        <f aca="false">IF(AO1824="",0,MAX(0,MIN(1,(IF(CG1824="L1",Parameter!$H$5,IF(CG1824="L23",Parameter!$H$6+Parameter!$H$7,Parameter!$H$5+Parameter!$H$6+Parameter!$H$7))-(AO1824-AJ1824))/AJ1824)))</f>
        <v>0</v>
      </c>
      <c r="AQ1824" s="62" t="n">
        <f aca="false">IF(LEFT(Cockpit!$I$5,1)="A",H1824,IF(Parameter!$E$30="MAX-Bestand",IF(CI1824=1,CJ1824,IF(LEFT(Cockpit!$I$5,1)="B",AW1824,MAX(AW1824,H1824))),ROUNDUP(AU1824,0)))</f>
        <v>0</v>
      </c>
      <c r="AR1824" s="62" t="n">
        <f aca="false">IF(CA1824=1,0,ROUNDUP(AQ1824/BZ1824,0))</f>
        <v>0</v>
      </c>
      <c r="AS1824" s="64" t="n">
        <f aca="false">IF(CR1824&gt;0,CR1824*MAX(1,AQ1824/X1824),IF(CA1824=1,IF(AQ1824&lt;=0,0,CE1824*MAX(1,IF(H1824&gt;0,AQ1824/H1824,1))),IF(R1824&gt;0,AR1824/R1824,0))/MAX(0.1,N(Parameter!$M$21)))</f>
        <v>0</v>
      </c>
      <c r="AT1824" s="62" t="n">
        <f aca="false">AS1824*CC1824</f>
        <v>0</v>
      </c>
      <c r="AU1824" s="63" t="n">
        <f aca="false">IF(LEFT(Cockpit!$I$5,1)="A",H1824,IF(CI1824=1,(CL1824+CJ1824)/2,IF(LEFT(Cockpit!$I$5,1)="B",(CL1824+AW1824)/2,MAX((CL1824+AW1824)/2,H1824))))</f>
        <v>0</v>
      </c>
      <c r="AV1824" s="62" t="n">
        <f aca="false">AU1824*G1824</f>
        <v>0</v>
      </c>
      <c r="AW1824" s="62" t="n">
        <f aca="false">ROUNDUP(CL1824+MAX(CM1824,2*(J1824/IF(CH1824&gt;0,CH1824,MAX(0.1,N(Cockpit!$I$6)))-CL1824)),0)</f>
        <v>0</v>
      </c>
      <c r="AX1824" s="63" t="n">
        <f aca="false">IF(AT1824&gt;0,J1824/AT1824,-1)</f>
        <v>-1</v>
      </c>
      <c r="AY1824" s="63" t="str">
        <f aca="false">IF(AND(OR(CG1824="L1",CG1824="L23",CG1824="LIFT"),AT1824&gt;0),SUMIFS($AT$7:$AT$1843,$CG$7:$CG$1843,CG1824,$AX$7:$AX$1843,"&gt;"&amp;AX1824)+SUMIFS($AT$7:$AT$1843,$CG$7:$CG$1843,CG1824,$AX$7:$AX$1843,AX1824,$BX$7:$BX$1843,"&lt;="&amp;BX1824),"")</f>
        <v/>
      </c>
      <c r="AZ1824" s="70" t="n">
        <f aca="false">IF(AY1824="",0,MAX(0,MIN(1,(IF(CG1824="L1",Parameter!$H$5,IF(CG1824="L23",Parameter!$H$6+Parameter!$H$7,Parameter!$H$5+Parameter!$H$6+Parameter!$H$7))-(AY1824-AT1824))/AT1824)))</f>
        <v>0</v>
      </c>
      <c r="BA1824" s="62" t="n">
        <f aca="false">IF(LEFT(Cockpit!$O$5,1)="A",H1824,IF(Parameter!$E$30="MAX-Bestand",IF(CI1824=1,CJ1824,IF(LEFT(Cockpit!$O$5,1)="B",BG1824,MAX(BG1824,H1824))),ROUNDUP(BE1824,0)))</f>
        <v>0</v>
      </c>
      <c r="BB1824" s="62" t="n">
        <f aca="false">IF(CA1824=1,0,ROUNDUP(BA1824/BZ1824,0))</f>
        <v>0</v>
      </c>
      <c r="BC1824" s="64" t="n">
        <f aca="false">IF(CR1824&gt;0,CR1824*MAX(1,BA1824/X1824),IF(CA1824=1,IF(BA1824&lt;=0,0,CE1824*MAX(1,IF(H1824&gt;0,BA1824/H1824,1))),IF(R1824&gt;0,BB1824/R1824,0))/MAX(0.1,N(Parameter!$M$21)))</f>
        <v>0</v>
      </c>
      <c r="BD1824" s="62" t="n">
        <f aca="false">BC1824*CC1824</f>
        <v>0</v>
      </c>
      <c r="BE1824" s="63" t="n">
        <f aca="false">IF(LEFT(Cockpit!$O$5,1)="A",H1824,IF(CI1824=1,(CL1824+CJ1824)/2,IF(LEFT(Cockpit!$O$5,1)="B",(CL1824+BG1824)/2,MAX((CL1824+BG1824)/2,H1824))))</f>
        <v>0</v>
      </c>
      <c r="BF1824" s="62" t="n">
        <f aca="false">BE1824*G1824</f>
        <v>0</v>
      </c>
      <c r="BG1824" s="62" t="n">
        <f aca="false">ROUNDUP(CL1824+MAX(CM1824,2*(J1824/IF(CH1824&gt;0,CH1824,MAX(0.1,N(Cockpit!$O$6)))-CL1824)),0)</f>
        <v>0</v>
      </c>
      <c r="BH1824" s="63" t="n">
        <f aca="false">IF(BD1824&gt;0,J1824/BD1824,-1)</f>
        <v>-1</v>
      </c>
      <c r="BI1824" s="63" t="str">
        <f aca="false">IF(AND(OR(CG1824="L1",CG1824="L23",CG1824="LIFT"),BD1824&gt;0),SUMIFS($BD$7:$BD$1843,$CG$7:$CG$1843,CG1824,$BH$7:$BH$1843,"&gt;"&amp;BH1824)+SUMIFS($BD$7:$BD$1843,$CG$7:$CG$1843,CG1824,$BH$7:$BH$1843,BH1824,$BX$7:$BX$1843,"&lt;="&amp;BX1824),"")</f>
        <v/>
      </c>
      <c r="BJ1824" s="70" t="n">
        <f aca="false">IF(BI1824="",0,MAX(0,MIN(1,(IF(CG1824="L1",Parameter!$H$5,IF(CG1824="L23",Parameter!$H$6+Parameter!$H$7,Parameter!$H$5+Parameter!$H$6+Parameter!$H$7))-(BI1824-BD1824))/BD1824)))</f>
        <v>0</v>
      </c>
      <c r="BK1824" s="60" t="str">
        <f aca="false">IF(AJ1824&lt;=0,"",IF(CG1824="Aussen","Aussenlager",IF(CG1824="-","Nicht im Lift",IF(AP1824&gt;=1,"Lift",IF(AP1824&lt;=0,"Aussenlager","teilweise")))))</f>
        <v/>
      </c>
      <c r="BL1824" s="60" t="str">
        <f aca="false">IF(AT1824&lt;=0,"",IF(CG1824="Aussen","Aussenlager",IF(CG1824="-","Nicht im Lift",IF(AZ1824&gt;=1,"Lift",IF(AZ1824&lt;=0,"Aussenlager","teilweise")))))</f>
        <v/>
      </c>
      <c r="BM1824" s="60" t="str">
        <f aca="false">IF(BD1824&lt;=0,"",IF(CG1824="Aussen","Aussenlager",IF(CG1824="-","Nicht im Lift",IF(BJ1824&gt;=1,"Lift",IF(BJ1824&lt;=0,"Aussenlager","teilweise")))))</f>
        <v/>
      </c>
      <c r="BN1824" s="60" t="str">
        <f aca="false">IF(A1824="","",IF(BW1824=1,"Neu; ","")&amp;IF(AND(BW1824=0,BR1824&lt;0),"negativer Bestand (Export "&amp;BR1824&amp;"); ","")&amp;IF(J1824&lt;=0,"Kein Verbrauch; ","")&amp;IF(CR1824&gt;0,"Lift "&amp;W1824&amp;" lt. Liftbericht (Fach "&amp;X1824&amp;" Stk); ",IF(CB1824=1,"Gebinde geschätzt ("&amp;T1824&amp;"); ",IF(CA1824=1,"Lose – Tablare geschätzt; ","")))&amp;IF(H1824&gt;AW1824,"Überbestand "&amp;ROUND(H1824-AW1824,0)&amp;" Stk / CHF "&amp;ROUND((H1824-AW1824)*G1824,0)&amp;"; ","")&amp;IF(AND(CI1824=1,CJ1824&lt;CK1824),"MAX &lt; MB+LG; ","")&amp;IF(AND(CQ1824&gt;0,CP1824*10&gt;CQ1824),"zu hoch für Tablar; ","")&amp;IF(AND(BW1824=0,OR(CI1824=1,AB1824&lt;&gt;"",U1824&lt;&gt;"",V1824&lt;&gt;"",AC1824&lt;&gt;"")),"manuell übersteuert; ","")&amp;IF(AND(CA1824=0,R1824=0),"Gebinde unbekannt / Stellmass fehlt; ","")&amp;IF(AND(CA1824=0,N(V1824)&lt;=0,N(Q1824)&lt;=0),"Menge pro Gebinde fehlt (Ist = 1 Gebinde); ","")&amp;BV1824)</f>
        <v/>
      </c>
      <c r="BO1824" s="60"/>
      <c r="BP1824" s="60"/>
      <c r="BQ1824" s="67"/>
      <c r="BR1824" s="62" t="n">
        <f aca="false">N('Neue Artikel'!$D$85)</f>
        <v>0</v>
      </c>
      <c r="BS1824" s="62" t="n">
        <v>0</v>
      </c>
      <c r="BT1824" s="61" t="n">
        <v>0</v>
      </c>
      <c r="BU1824" s="62" t="n">
        <f aca="false">N('Neue Artikel'!$C$85)/Parameter!$B$18</f>
        <v>0</v>
      </c>
      <c r="BV1824" s="60"/>
      <c r="BW1824" s="65" t="n">
        <v>1</v>
      </c>
      <c r="BX1824" s="65" t="n">
        <v>1824</v>
      </c>
      <c r="BY1824" s="60" t="str">
        <f aca="false">IF(U1824&lt;&gt;"",UPPER(TRIM(U1824)),IF(CB1824=1,UPPER(VLOOKUP(T1824,Parameter!$I$27:$K$29,2,0)),IF(P1824="","LOSE",P1824)))</f>
        <v>LOSE</v>
      </c>
      <c r="BZ1824" s="62" t="n">
        <f aca="false">IF(BY1824="LOSE",1,IF(N(V1824)&gt;0,V1824,IF(CB1824=1,MAX(1,N(VLOOKUP(T1824,Parameter!$I$27:$K$29,3,0)),H1824,N(N1824)),IF(N(Q1824)&gt;0,Q1824,MAX(1,H1824)))))</f>
        <v>1</v>
      </c>
      <c r="CA1824" s="65" t="n">
        <f aca="false">IF(BY1824="LOSE",1,0)</f>
        <v>1</v>
      </c>
      <c r="CB1824" s="65" t="n">
        <f aca="false">IF(AND(U1824="",OR(P1824="",P1824="LOSE"),T1824&lt;&gt;"",N(S1824)&lt;=0,ISNUMBER(MATCH(T1824,Parameter!$I$27:$I$29,0))),1,0)</f>
        <v>0</v>
      </c>
      <c r="CC1824" s="65" t="n">
        <f aca="false">IF(CR1824&gt;0,INDEX(Parameter!$H$5:$H$7,W1824)/INDEX(Parameter!$E$5:$E$7,W1824),IF(AND(CA1824=0,N(IFERROR(VLOOKUP(BY1824,'Gebinde-Kategorie'!$A$5:$N$45,14,0),0))&gt;0),VLOOKUP(BY1824,'Gebinde-Kategorie'!$A$5:$N$45,14,0)*10+Parameter!$M$23,Parameter!$M$24))</f>
        <v>235</v>
      </c>
      <c r="CD1824" s="60" t="str">
        <f aca="false">IF(AND(Parameter!$B$19="Ja",E1824&lt;&gt;"",ISNUMBER(MATCH(E1824,Parameter!$I$35:$I$52,0))),VLOOKUP(E1824,Parameter!$I$35:$J$52,2,0),IFERROR(VLOOKUP(D1824,Parameter!$A$35:$C$64,2,0),"Nein"))</f>
        <v>2+3</v>
      </c>
      <c r="CE1824" s="64" t="n">
        <f aca="false">IF(CA1824=0,0,IF(N(S1824)&gt;0,S1824,IFERROR(VLOOKUP(D1824,Parameter!$A$35:$C$64,3,0)+0,0)))</f>
        <v>0.15</v>
      </c>
      <c r="CF1824" s="60" t="str">
        <f aca="false">IF(AB1824&lt;&gt;"",AB1824,AA1824)</f>
        <v/>
      </c>
      <c r="CG1824" s="60" t="str">
        <f aca="false">IF(OR(CF1824=1,CF1824=2,CF1824=3),IF(Parameter!$E$27="Ja","LIFT",IF(CF1824=1,"L1","L23")),IF(CF1824="Aussen","Aussen","-"))</f>
        <v>-</v>
      </c>
      <c r="CH1824" s="71" t="n">
        <f aca="false">IF(N(AC1824)&gt;0,AC1824,0)</f>
        <v>0</v>
      </c>
      <c r="CI1824" s="65" t="n">
        <f aca="false">IF(ISNUMBER(AF1824),1,0)</f>
        <v>0</v>
      </c>
      <c r="CJ1824" s="62" t="n">
        <f aca="false">N(AF1824)</f>
        <v>0</v>
      </c>
      <c r="CK1824" s="62" t="n">
        <f aca="false">N(M1824)+N(N1824)</f>
        <v>0</v>
      </c>
      <c r="CL1824" s="62" t="n">
        <f aca="false">N(M1824)</f>
        <v>0</v>
      </c>
      <c r="CM1824" s="62" t="n">
        <f aca="false">N(N1824)</f>
        <v>0</v>
      </c>
      <c r="CN1824" s="62" t="n">
        <f aca="false">ROUNDUP(H1824/BZ1824,0)</f>
        <v>0</v>
      </c>
      <c r="CO1824" s="62" t="n">
        <f aca="false">ROUNDUP(CJ1824/BZ1824,0)</f>
        <v>0</v>
      </c>
      <c r="CP1824" s="65" t="n">
        <f aca="false">IF(CA1824=1,0,IFERROR(VLOOKUP(BY1824,'Gebinde-Kategorie'!$A$5:$N$45,5,0)+0,0))</f>
        <v>0</v>
      </c>
      <c r="CQ1824" s="65" t="n">
        <f aca="false">IFERROR(IF(OR(CF1824=1,CF1824=2,CF1824=3),N(INDEX(Parameter!$I$5:$I$7,CF1824)),0),0)</f>
        <v>0</v>
      </c>
      <c r="CR1824" s="64" t="n">
        <f aca="false">IF(AND(Parameter!$B$21="Ja",ISNUMBER(W1824),N(X1824)&gt;0),IFERROR(N(INDEX(Parameter!$L$5:$L$7,W1824))*INDEX(Parameter!$E$5:$E$7,W1824)*X1824/SUMIFS($X$7:$X$1843,$W$7:$W$1843,W1824),0),0)</f>
        <v>0</v>
      </c>
      <c r="CS1824" s="62" t="str">
        <f aca="false">IF(AND(OR(CG1824="L1",CG1824="L23",CG1824="LIFT"),H1824&gt;0),CC1824*IF(CR1824&gt;0,CR1824*MAX(1,H1824/X1824),IF(CA1824=1,CE1824,IF(R1824&gt;0,CN1824/R1824,0))/MAX(0.1,N(Parameter!$M$21))),"")</f>
        <v/>
      </c>
      <c r="CT1824" s="64" t="str">
        <f aca="false">IF(CS1824="","",J1824/H1824)</f>
        <v/>
      </c>
      <c r="CU1824" s="62" t="str">
        <f aca="false">IF(CS1824="","",H1824*G1824)</f>
        <v/>
      </c>
      <c r="CV1824" s="63" t="str">
        <f aca="false">IF(CS1824="","",(CL1824+ROUNDUP(CL1824+MAX(CM1824,2*(J1824/MAX(0.1,N(Einkauf!$C$6))-CL1824)),0))/2)</f>
        <v/>
      </c>
      <c r="CW1824" s="62" t="str">
        <f aca="false">IF(CS1824="","",MAX(0,H1824-CV1824)*G1824)</f>
        <v/>
      </c>
      <c r="CX1824" s="62" t="str">
        <f aca="false">IF(CS1824="","",CS1824*MAX(0,1-CV1824/H1824))</f>
        <v/>
      </c>
      <c r="CY1824" s="64" t="str">
        <f aca="false">IF(CS1824="","",PERCENTRANK($CS$7:$CS$1843,CS1824)+PERCENTRANK($CU$7:$CU$1843,CU1824)+1-PERCENTRANK($CT$7:$CT$1843,CT1824))</f>
        <v/>
      </c>
      <c r="CZ1824" s="72" t="str">
        <f aca="false">IF(CS1824="","",CHOOSE(MATCH(Einkauf!$C$5,Parameter!$G$23:$G$27,0),CY1824,CS1824,CU1824,-CT1824,CW1824)+ROW()/1000000000)</f>
        <v/>
      </c>
    </row>
    <row r="1825" customFormat="false" ht="15" hidden="false" customHeight="false" outlineLevel="0" collapsed="false">
      <c r="A1825" s="60" t="str">
        <f aca="false">IF('Neue Artikel'!$A$86="","",'Neue Artikel'!$A$86&amp;"")</f>
        <v/>
      </c>
      <c r="B1825" s="60" t="str">
        <f aca="false">'Neue Artikel'!$B$86&amp;""</f>
        <v/>
      </c>
      <c r="C1825" s="60"/>
      <c r="D1825" s="60" t="s">
        <v>3057</v>
      </c>
      <c r="E1825" s="60"/>
      <c r="F1825" s="60"/>
      <c r="G1825" s="61" t="n">
        <f aca="false">N('Neue Artikel'!$G$86)</f>
        <v>0</v>
      </c>
      <c r="H1825" s="62" t="n">
        <f aca="false">MAX(0,IF(AND(Parameter!$B$21="Ja",ISNUMBER(Y1825)),Y1825,IF(Parameter!$B$20="Jahresanfang 2025 + Export",BS1825+BR1825,BR1825)))</f>
        <v>0</v>
      </c>
      <c r="I1825" s="62" t="n">
        <f aca="false">H1825*G1825</f>
        <v>0</v>
      </c>
      <c r="J1825" s="62" t="n">
        <f aca="false">BU1825*Parameter!$B$18</f>
        <v>0</v>
      </c>
      <c r="K1825" s="63"/>
      <c r="L1825" s="64"/>
      <c r="M1825" s="62" t="n">
        <f aca="false">N('Neue Artikel'!$E$86)</f>
        <v>0</v>
      </c>
      <c r="N1825" s="62" t="n">
        <f aca="false">N('Neue Artikel'!$F$86)</f>
        <v>0</v>
      </c>
      <c r="O1825" s="65"/>
      <c r="P1825" s="60" t="str">
        <f aca="false">IF('Neue Artikel'!$H$86="","LOSE",UPPER(TRIM('Neue Artikel'!$H$86)))</f>
        <v>LOSE</v>
      </c>
      <c r="Q1825" s="62" t="n">
        <f aca="false">N('Neue Artikel'!$I$86)</f>
        <v>0</v>
      </c>
      <c r="R1825" s="65" t="n">
        <f aca="false">IF(CA1825=1,0,IFERROR(VLOOKUP(BY1825,'Gebinde-Kategorie'!$A$5:$N$45,13,0)+0,0))</f>
        <v>0</v>
      </c>
      <c r="S1825" s="66"/>
      <c r="T1825" s="67"/>
      <c r="U1825" s="67"/>
      <c r="V1825" s="67"/>
      <c r="W1825" s="60"/>
      <c r="X1825" s="62"/>
      <c r="Y1825" s="62"/>
      <c r="Z1825" s="60"/>
      <c r="AA1825" s="60" t="str">
        <f aca="false">IF(A1825="","",IF(AND(Parameter!$B$21="Ja",ISNUMBER(W1825)),W1825,IF(AND(Parameter!$E$27="Ja",ISNUMBER(Z1825),CD1825&lt;&gt;"Nein"),Z1825,IF(CD1825="2+3",IF(ISNUMBER(SEARCH("grosser Artikel",BV1825)),2,IFERROR(VLOOKUP(BY1825,Parameter!$F$35:$G$64,2,0),2)),IF(OR(CD1825="Nein",CD1825=""),"-",CD1825)))))</f>
        <v/>
      </c>
      <c r="AB1825" s="60" t="str">
        <f aca="false">IF('Neue Artikel'!$J$86="","",'Neue Artikel'!$J$86)</f>
        <v/>
      </c>
      <c r="AC1825" s="68"/>
      <c r="AD1825" s="62" t="n">
        <f aca="false">AW1825</f>
        <v>0</v>
      </c>
      <c r="AE1825" s="62" t="n">
        <f aca="false">MAX(AW1825,H1825)</f>
        <v>0</v>
      </c>
      <c r="AF1825" s="69"/>
      <c r="AG1825" s="62" t="n">
        <f aca="false">IF(LEFT(Cockpit!$C$5,1)="A",H1825,IF(Parameter!$E$30="MAX-Bestand",IF(CI1825=1,CJ1825,IF(LEFT(Cockpit!$C$5,1)="B",AM1825,MAX(AM1825,H1825))),ROUNDUP(AK1825,0)))</f>
        <v>0</v>
      </c>
      <c r="AH1825" s="62" t="n">
        <f aca="false">IF(CA1825=1,0,ROUNDUP(AG1825/BZ1825,0))</f>
        <v>0</v>
      </c>
      <c r="AI1825" s="64" t="n">
        <f aca="false">IF(CR1825&gt;0,CR1825*MAX(1,AG1825/X1825),IF(CA1825=1,IF(AG1825&lt;=0,0,CE1825*MAX(1,IF(H1825&gt;0,AG1825/H1825,1))),IF(R1825&gt;0,AH1825/R1825,0))/MAX(0.1,N(Parameter!$M$21)))</f>
        <v>0</v>
      </c>
      <c r="AJ1825" s="62" t="n">
        <f aca="false">AI1825*CC1825</f>
        <v>0</v>
      </c>
      <c r="AK1825" s="63" t="n">
        <f aca="false">IF(LEFT(Cockpit!$C$5,1)="A",H1825,IF(CI1825=1,(CL1825+CJ1825)/2,IF(LEFT(Cockpit!$C$5,1)="B",(CL1825+AM1825)/2,MAX((CL1825+AM1825)/2,H1825))))</f>
        <v>0</v>
      </c>
      <c r="AL1825" s="62" t="n">
        <f aca="false">AK1825*G1825</f>
        <v>0</v>
      </c>
      <c r="AM1825" s="62" t="n">
        <f aca="false">ROUNDUP(CL1825+MAX(CM1825,2*(J1825/IF(CH1825&gt;0,CH1825,MAX(0.1,N(Cockpit!$C$6)))-CL1825)),0)</f>
        <v>0</v>
      </c>
      <c r="AN1825" s="63" t="n">
        <f aca="false">IF(AJ1825&gt;0,J1825/AJ1825,-1)</f>
        <v>-1</v>
      </c>
      <c r="AO1825" s="63" t="str">
        <f aca="false">IF(AND(OR(CG1825="L1",CG1825="L23",CG1825="LIFT"),AJ1825&gt;0),SUMIFS($AJ$7:$AJ$1843,$CG$7:$CG$1843,CG1825,$AN$7:$AN$1843,"&gt;"&amp;AN1825)+SUMIFS($AJ$7:$AJ$1843,$CG$7:$CG$1843,CG1825,$AN$7:$AN$1843,AN1825,$BX$7:$BX$1843,"&lt;="&amp;BX1825),"")</f>
        <v/>
      </c>
      <c r="AP1825" s="70" t="n">
        <f aca="false">IF(AO1825="",0,MAX(0,MIN(1,(IF(CG1825="L1",Parameter!$H$5,IF(CG1825="L23",Parameter!$H$6+Parameter!$H$7,Parameter!$H$5+Parameter!$H$6+Parameter!$H$7))-(AO1825-AJ1825))/AJ1825)))</f>
        <v>0</v>
      </c>
      <c r="AQ1825" s="62" t="n">
        <f aca="false">IF(LEFT(Cockpit!$I$5,1)="A",H1825,IF(Parameter!$E$30="MAX-Bestand",IF(CI1825=1,CJ1825,IF(LEFT(Cockpit!$I$5,1)="B",AW1825,MAX(AW1825,H1825))),ROUNDUP(AU1825,0)))</f>
        <v>0</v>
      </c>
      <c r="AR1825" s="62" t="n">
        <f aca="false">IF(CA1825=1,0,ROUNDUP(AQ1825/BZ1825,0))</f>
        <v>0</v>
      </c>
      <c r="AS1825" s="64" t="n">
        <f aca="false">IF(CR1825&gt;0,CR1825*MAX(1,AQ1825/X1825),IF(CA1825=1,IF(AQ1825&lt;=0,0,CE1825*MAX(1,IF(H1825&gt;0,AQ1825/H1825,1))),IF(R1825&gt;0,AR1825/R1825,0))/MAX(0.1,N(Parameter!$M$21)))</f>
        <v>0</v>
      </c>
      <c r="AT1825" s="62" t="n">
        <f aca="false">AS1825*CC1825</f>
        <v>0</v>
      </c>
      <c r="AU1825" s="63" t="n">
        <f aca="false">IF(LEFT(Cockpit!$I$5,1)="A",H1825,IF(CI1825=1,(CL1825+CJ1825)/2,IF(LEFT(Cockpit!$I$5,1)="B",(CL1825+AW1825)/2,MAX((CL1825+AW1825)/2,H1825))))</f>
        <v>0</v>
      </c>
      <c r="AV1825" s="62" t="n">
        <f aca="false">AU1825*G1825</f>
        <v>0</v>
      </c>
      <c r="AW1825" s="62" t="n">
        <f aca="false">ROUNDUP(CL1825+MAX(CM1825,2*(J1825/IF(CH1825&gt;0,CH1825,MAX(0.1,N(Cockpit!$I$6)))-CL1825)),0)</f>
        <v>0</v>
      </c>
      <c r="AX1825" s="63" t="n">
        <f aca="false">IF(AT1825&gt;0,J1825/AT1825,-1)</f>
        <v>-1</v>
      </c>
      <c r="AY1825" s="63" t="str">
        <f aca="false">IF(AND(OR(CG1825="L1",CG1825="L23",CG1825="LIFT"),AT1825&gt;0),SUMIFS($AT$7:$AT$1843,$CG$7:$CG$1843,CG1825,$AX$7:$AX$1843,"&gt;"&amp;AX1825)+SUMIFS($AT$7:$AT$1843,$CG$7:$CG$1843,CG1825,$AX$7:$AX$1843,AX1825,$BX$7:$BX$1843,"&lt;="&amp;BX1825),"")</f>
        <v/>
      </c>
      <c r="AZ1825" s="70" t="n">
        <f aca="false">IF(AY1825="",0,MAX(0,MIN(1,(IF(CG1825="L1",Parameter!$H$5,IF(CG1825="L23",Parameter!$H$6+Parameter!$H$7,Parameter!$H$5+Parameter!$H$6+Parameter!$H$7))-(AY1825-AT1825))/AT1825)))</f>
        <v>0</v>
      </c>
      <c r="BA1825" s="62" t="n">
        <f aca="false">IF(LEFT(Cockpit!$O$5,1)="A",H1825,IF(Parameter!$E$30="MAX-Bestand",IF(CI1825=1,CJ1825,IF(LEFT(Cockpit!$O$5,1)="B",BG1825,MAX(BG1825,H1825))),ROUNDUP(BE1825,0)))</f>
        <v>0</v>
      </c>
      <c r="BB1825" s="62" t="n">
        <f aca="false">IF(CA1825=1,0,ROUNDUP(BA1825/BZ1825,0))</f>
        <v>0</v>
      </c>
      <c r="BC1825" s="64" t="n">
        <f aca="false">IF(CR1825&gt;0,CR1825*MAX(1,BA1825/X1825),IF(CA1825=1,IF(BA1825&lt;=0,0,CE1825*MAX(1,IF(H1825&gt;0,BA1825/H1825,1))),IF(R1825&gt;0,BB1825/R1825,0))/MAX(0.1,N(Parameter!$M$21)))</f>
        <v>0</v>
      </c>
      <c r="BD1825" s="62" t="n">
        <f aca="false">BC1825*CC1825</f>
        <v>0</v>
      </c>
      <c r="BE1825" s="63" t="n">
        <f aca="false">IF(LEFT(Cockpit!$O$5,1)="A",H1825,IF(CI1825=1,(CL1825+CJ1825)/2,IF(LEFT(Cockpit!$O$5,1)="B",(CL1825+BG1825)/2,MAX((CL1825+BG1825)/2,H1825))))</f>
        <v>0</v>
      </c>
      <c r="BF1825" s="62" t="n">
        <f aca="false">BE1825*G1825</f>
        <v>0</v>
      </c>
      <c r="BG1825" s="62" t="n">
        <f aca="false">ROUNDUP(CL1825+MAX(CM1825,2*(J1825/IF(CH1825&gt;0,CH1825,MAX(0.1,N(Cockpit!$O$6)))-CL1825)),0)</f>
        <v>0</v>
      </c>
      <c r="BH1825" s="63" t="n">
        <f aca="false">IF(BD1825&gt;0,J1825/BD1825,-1)</f>
        <v>-1</v>
      </c>
      <c r="BI1825" s="63" t="str">
        <f aca="false">IF(AND(OR(CG1825="L1",CG1825="L23",CG1825="LIFT"),BD1825&gt;0),SUMIFS($BD$7:$BD$1843,$CG$7:$CG$1843,CG1825,$BH$7:$BH$1843,"&gt;"&amp;BH1825)+SUMIFS($BD$7:$BD$1843,$CG$7:$CG$1843,CG1825,$BH$7:$BH$1843,BH1825,$BX$7:$BX$1843,"&lt;="&amp;BX1825),"")</f>
        <v/>
      </c>
      <c r="BJ1825" s="70" t="n">
        <f aca="false">IF(BI1825="",0,MAX(0,MIN(1,(IF(CG1825="L1",Parameter!$H$5,IF(CG1825="L23",Parameter!$H$6+Parameter!$H$7,Parameter!$H$5+Parameter!$H$6+Parameter!$H$7))-(BI1825-BD1825))/BD1825)))</f>
        <v>0</v>
      </c>
      <c r="BK1825" s="60" t="str">
        <f aca="false">IF(AJ1825&lt;=0,"",IF(CG1825="Aussen","Aussenlager",IF(CG1825="-","Nicht im Lift",IF(AP1825&gt;=1,"Lift",IF(AP1825&lt;=0,"Aussenlager","teilweise")))))</f>
        <v/>
      </c>
      <c r="BL1825" s="60" t="str">
        <f aca="false">IF(AT1825&lt;=0,"",IF(CG1825="Aussen","Aussenlager",IF(CG1825="-","Nicht im Lift",IF(AZ1825&gt;=1,"Lift",IF(AZ1825&lt;=0,"Aussenlager","teilweise")))))</f>
        <v/>
      </c>
      <c r="BM1825" s="60" t="str">
        <f aca="false">IF(BD1825&lt;=0,"",IF(CG1825="Aussen","Aussenlager",IF(CG1825="-","Nicht im Lift",IF(BJ1825&gt;=1,"Lift",IF(BJ1825&lt;=0,"Aussenlager","teilweise")))))</f>
        <v/>
      </c>
      <c r="BN1825" s="60" t="str">
        <f aca="false">IF(A1825="","",IF(BW1825=1,"Neu; ","")&amp;IF(AND(BW1825=0,BR1825&lt;0),"negativer Bestand (Export "&amp;BR1825&amp;"); ","")&amp;IF(J1825&lt;=0,"Kein Verbrauch; ","")&amp;IF(CR1825&gt;0,"Lift "&amp;W1825&amp;" lt. Liftbericht (Fach "&amp;X1825&amp;" Stk); ",IF(CB1825=1,"Gebinde geschätzt ("&amp;T1825&amp;"); ",IF(CA1825=1,"Lose – Tablare geschätzt; ","")))&amp;IF(H1825&gt;AW1825,"Überbestand "&amp;ROUND(H1825-AW1825,0)&amp;" Stk / CHF "&amp;ROUND((H1825-AW1825)*G1825,0)&amp;"; ","")&amp;IF(AND(CI1825=1,CJ1825&lt;CK1825),"MAX &lt; MB+LG; ","")&amp;IF(AND(CQ1825&gt;0,CP1825*10&gt;CQ1825),"zu hoch für Tablar; ","")&amp;IF(AND(BW1825=0,OR(CI1825=1,AB1825&lt;&gt;"",U1825&lt;&gt;"",V1825&lt;&gt;"",AC1825&lt;&gt;"")),"manuell übersteuert; ","")&amp;IF(AND(CA1825=0,R1825=0),"Gebinde unbekannt / Stellmass fehlt; ","")&amp;IF(AND(CA1825=0,N(V1825)&lt;=0,N(Q1825)&lt;=0),"Menge pro Gebinde fehlt (Ist = 1 Gebinde); ","")&amp;BV1825)</f>
        <v/>
      </c>
      <c r="BO1825" s="60"/>
      <c r="BP1825" s="60"/>
      <c r="BQ1825" s="67"/>
      <c r="BR1825" s="62" t="n">
        <f aca="false">N('Neue Artikel'!$D$86)</f>
        <v>0</v>
      </c>
      <c r="BS1825" s="62" t="n">
        <v>0</v>
      </c>
      <c r="BT1825" s="61" t="n">
        <v>0</v>
      </c>
      <c r="BU1825" s="62" t="n">
        <f aca="false">N('Neue Artikel'!$C$86)/Parameter!$B$18</f>
        <v>0</v>
      </c>
      <c r="BV1825" s="60"/>
      <c r="BW1825" s="65" t="n">
        <v>1</v>
      </c>
      <c r="BX1825" s="65" t="n">
        <v>1825</v>
      </c>
      <c r="BY1825" s="60" t="str">
        <f aca="false">IF(U1825&lt;&gt;"",UPPER(TRIM(U1825)),IF(CB1825=1,UPPER(VLOOKUP(T1825,Parameter!$I$27:$K$29,2,0)),IF(P1825="","LOSE",P1825)))</f>
        <v>LOSE</v>
      </c>
      <c r="BZ1825" s="62" t="n">
        <f aca="false">IF(BY1825="LOSE",1,IF(N(V1825)&gt;0,V1825,IF(CB1825=1,MAX(1,N(VLOOKUP(T1825,Parameter!$I$27:$K$29,3,0)),H1825,N(N1825)),IF(N(Q1825)&gt;0,Q1825,MAX(1,H1825)))))</f>
        <v>1</v>
      </c>
      <c r="CA1825" s="65" t="n">
        <f aca="false">IF(BY1825="LOSE",1,0)</f>
        <v>1</v>
      </c>
      <c r="CB1825" s="65" t="n">
        <f aca="false">IF(AND(U1825="",OR(P1825="",P1825="LOSE"),T1825&lt;&gt;"",N(S1825)&lt;=0,ISNUMBER(MATCH(T1825,Parameter!$I$27:$I$29,0))),1,0)</f>
        <v>0</v>
      </c>
      <c r="CC1825" s="65" t="n">
        <f aca="false">IF(CR1825&gt;0,INDEX(Parameter!$H$5:$H$7,W1825)/INDEX(Parameter!$E$5:$E$7,W1825),IF(AND(CA1825=0,N(IFERROR(VLOOKUP(BY1825,'Gebinde-Kategorie'!$A$5:$N$45,14,0),0))&gt;0),VLOOKUP(BY1825,'Gebinde-Kategorie'!$A$5:$N$45,14,0)*10+Parameter!$M$23,Parameter!$M$24))</f>
        <v>235</v>
      </c>
      <c r="CD1825" s="60" t="str">
        <f aca="false">IF(AND(Parameter!$B$19="Ja",E1825&lt;&gt;"",ISNUMBER(MATCH(E1825,Parameter!$I$35:$I$52,0))),VLOOKUP(E1825,Parameter!$I$35:$J$52,2,0),IFERROR(VLOOKUP(D1825,Parameter!$A$35:$C$64,2,0),"Nein"))</f>
        <v>2+3</v>
      </c>
      <c r="CE1825" s="64" t="n">
        <f aca="false">IF(CA1825=0,0,IF(N(S1825)&gt;0,S1825,IFERROR(VLOOKUP(D1825,Parameter!$A$35:$C$64,3,0)+0,0)))</f>
        <v>0.15</v>
      </c>
      <c r="CF1825" s="60" t="str">
        <f aca="false">IF(AB1825&lt;&gt;"",AB1825,AA1825)</f>
        <v/>
      </c>
      <c r="CG1825" s="60" t="str">
        <f aca="false">IF(OR(CF1825=1,CF1825=2,CF1825=3),IF(Parameter!$E$27="Ja","LIFT",IF(CF1825=1,"L1","L23")),IF(CF1825="Aussen","Aussen","-"))</f>
        <v>-</v>
      </c>
      <c r="CH1825" s="71" t="n">
        <f aca="false">IF(N(AC1825)&gt;0,AC1825,0)</f>
        <v>0</v>
      </c>
      <c r="CI1825" s="65" t="n">
        <f aca="false">IF(ISNUMBER(AF1825),1,0)</f>
        <v>0</v>
      </c>
      <c r="CJ1825" s="62" t="n">
        <f aca="false">N(AF1825)</f>
        <v>0</v>
      </c>
      <c r="CK1825" s="62" t="n">
        <f aca="false">N(M1825)+N(N1825)</f>
        <v>0</v>
      </c>
      <c r="CL1825" s="62" t="n">
        <f aca="false">N(M1825)</f>
        <v>0</v>
      </c>
      <c r="CM1825" s="62" t="n">
        <f aca="false">N(N1825)</f>
        <v>0</v>
      </c>
      <c r="CN1825" s="62" t="n">
        <f aca="false">ROUNDUP(H1825/BZ1825,0)</f>
        <v>0</v>
      </c>
      <c r="CO1825" s="62" t="n">
        <f aca="false">ROUNDUP(CJ1825/BZ1825,0)</f>
        <v>0</v>
      </c>
      <c r="CP1825" s="65" t="n">
        <f aca="false">IF(CA1825=1,0,IFERROR(VLOOKUP(BY1825,'Gebinde-Kategorie'!$A$5:$N$45,5,0)+0,0))</f>
        <v>0</v>
      </c>
      <c r="CQ1825" s="65" t="n">
        <f aca="false">IFERROR(IF(OR(CF1825=1,CF1825=2,CF1825=3),N(INDEX(Parameter!$I$5:$I$7,CF1825)),0),0)</f>
        <v>0</v>
      </c>
      <c r="CR1825" s="64" t="n">
        <f aca="false">IF(AND(Parameter!$B$21="Ja",ISNUMBER(W1825),N(X1825)&gt;0),IFERROR(N(INDEX(Parameter!$L$5:$L$7,W1825))*INDEX(Parameter!$E$5:$E$7,W1825)*X1825/SUMIFS($X$7:$X$1843,$W$7:$W$1843,W1825),0),0)</f>
        <v>0</v>
      </c>
      <c r="CS1825" s="62" t="str">
        <f aca="false">IF(AND(OR(CG1825="L1",CG1825="L23",CG1825="LIFT"),H1825&gt;0),CC1825*IF(CR1825&gt;0,CR1825*MAX(1,H1825/X1825),IF(CA1825=1,CE1825,IF(R1825&gt;0,CN1825/R1825,0))/MAX(0.1,N(Parameter!$M$21))),"")</f>
        <v/>
      </c>
      <c r="CT1825" s="64" t="str">
        <f aca="false">IF(CS1825="","",J1825/H1825)</f>
        <v/>
      </c>
      <c r="CU1825" s="62" t="str">
        <f aca="false">IF(CS1825="","",H1825*G1825)</f>
        <v/>
      </c>
      <c r="CV1825" s="63" t="str">
        <f aca="false">IF(CS1825="","",(CL1825+ROUNDUP(CL1825+MAX(CM1825,2*(J1825/MAX(0.1,N(Einkauf!$C$6))-CL1825)),0))/2)</f>
        <v/>
      </c>
      <c r="CW1825" s="62" t="str">
        <f aca="false">IF(CS1825="","",MAX(0,H1825-CV1825)*G1825)</f>
        <v/>
      </c>
      <c r="CX1825" s="62" t="str">
        <f aca="false">IF(CS1825="","",CS1825*MAX(0,1-CV1825/H1825))</f>
        <v/>
      </c>
      <c r="CY1825" s="64" t="str">
        <f aca="false">IF(CS1825="","",PERCENTRANK($CS$7:$CS$1843,CS1825)+PERCENTRANK($CU$7:$CU$1843,CU1825)+1-PERCENTRANK($CT$7:$CT$1843,CT1825))</f>
        <v/>
      </c>
      <c r="CZ1825" s="72" t="str">
        <f aca="false">IF(CS1825="","",CHOOSE(MATCH(Einkauf!$C$5,Parameter!$G$23:$G$27,0),CY1825,CS1825,CU1825,-CT1825,CW1825)+ROW()/1000000000)</f>
        <v/>
      </c>
    </row>
    <row r="1826" customFormat="false" ht="15" hidden="false" customHeight="false" outlineLevel="0" collapsed="false">
      <c r="A1826" s="60" t="str">
        <f aca="false">IF('Neue Artikel'!$A$87="","",'Neue Artikel'!$A$87&amp;"")</f>
        <v/>
      </c>
      <c r="B1826" s="60" t="str">
        <f aca="false">'Neue Artikel'!$B$87&amp;""</f>
        <v/>
      </c>
      <c r="C1826" s="60"/>
      <c r="D1826" s="60" t="s">
        <v>3057</v>
      </c>
      <c r="E1826" s="60"/>
      <c r="F1826" s="60"/>
      <c r="G1826" s="61" t="n">
        <f aca="false">N('Neue Artikel'!$G$87)</f>
        <v>0</v>
      </c>
      <c r="H1826" s="62" t="n">
        <f aca="false">MAX(0,IF(AND(Parameter!$B$21="Ja",ISNUMBER(Y1826)),Y1826,IF(Parameter!$B$20="Jahresanfang 2025 + Export",BS1826+BR1826,BR1826)))</f>
        <v>0</v>
      </c>
      <c r="I1826" s="62" t="n">
        <f aca="false">H1826*G1826</f>
        <v>0</v>
      </c>
      <c r="J1826" s="62" t="n">
        <f aca="false">BU1826*Parameter!$B$18</f>
        <v>0</v>
      </c>
      <c r="K1826" s="63"/>
      <c r="L1826" s="64"/>
      <c r="M1826" s="62" t="n">
        <f aca="false">N('Neue Artikel'!$E$87)</f>
        <v>0</v>
      </c>
      <c r="N1826" s="62" t="n">
        <f aca="false">N('Neue Artikel'!$F$87)</f>
        <v>0</v>
      </c>
      <c r="O1826" s="65"/>
      <c r="P1826" s="60" t="str">
        <f aca="false">IF('Neue Artikel'!$H$87="","LOSE",UPPER(TRIM('Neue Artikel'!$H$87)))</f>
        <v>LOSE</v>
      </c>
      <c r="Q1826" s="62" t="n">
        <f aca="false">N('Neue Artikel'!$I$87)</f>
        <v>0</v>
      </c>
      <c r="R1826" s="65" t="n">
        <f aca="false">IF(CA1826=1,0,IFERROR(VLOOKUP(BY1826,'Gebinde-Kategorie'!$A$5:$N$45,13,0)+0,0))</f>
        <v>0</v>
      </c>
      <c r="S1826" s="66"/>
      <c r="T1826" s="67"/>
      <c r="U1826" s="67"/>
      <c r="V1826" s="67"/>
      <c r="W1826" s="60"/>
      <c r="X1826" s="62"/>
      <c r="Y1826" s="62"/>
      <c r="Z1826" s="60"/>
      <c r="AA1826" s="60" t="str">
        <f aca="false">IF(A1826="","",IF(AND(Parameter!$B$21="Ja",ISNUMBER(W1826)),W1826,IF(AND(Parameter!$E$27="Ja",ISNUMBER(Z1826),CD1826&lt;&gt;"Nein"),Z1826,IF(CD1826="2+3",IF(ISNUMBER(SEARCH("grosser Artikel",BV1826)),2,IFERROR(VLOOKUP(BY1826,Parameter!$F$35:$G$64,2,0),2)),IF(OR(CD1826="Nein",CD1826=""),"-",CD1826)))))</f>
        <v/>
      </c>
      <c r="AB1826" s="60" t="str">
        <f aca="false">IF('Neue Artikel'!$J$87="","",'Neue Artikel'!$J$87)</f>
        <v/>
      </c>
      <c r="AC1826" s="68"/>
      <c r="AD1826" s="62" t="n">
        <f aca="false">AW1826</f>
        <v>0</v>
      </c>
      <c r="AE1826" s="62" t="n">
        <f aca="false">MAX(AW1826,H1826)</f>
        <v>0</v>
      </c>
      <c r="AF1826" s="69"/>
      <c r="AG1826" s="62" t="n">
        <f aca="false">IF(LEFT(Cockpit!$C$5,1)="A",H1826,IF(Parameter!$E$30="MAX-Bestand",IF(CI1826=1,CJ1826,IF(LEFT(Cockpit!$C$5,1)="B",AM1826,MAX(AM1826,H1826))),ROUNDUP(AK1826,0)))</f>
        <v>0</v>
      </c>
      <c r="AH1826" s="62" t="n">
        <f aca="false">IF(CA1826=1,0,ROUNDUP(AG1826/BZ1826,0))</f>
        <v>0</v>
      </c>
      <c r="AI1826" s="64" t="n">
        <f aca="false">IF(CR1826&gt;0,CR1826*MAX(1,AG1826/X1826),IF(CA1826=1,IF(AG1826&lt;=0,0,CE1826*MAX(1,IF(H1826&gt;0,AG1826/H1826,1))),IF(R1826&gt;0,AH1826/R1826,0))/MAX(0.1,N(Parameter!$M$21)))</f>
        <v>0</v>
      </c>
      <c r="AJ1826" s="62" t="n">
        <f aca="false">AI1826*CC1826</f>
        <v>0</v>
      </c>
      <c r="AK1826" s="63" t="n">
        <f aca="false">IF(LEFT(Cockpit!$C$5,1)="A",H1826,IF(CI1826=1,(CL1826+CJ1826)/2,IF(LEFT(Cockpit!$C$5,1)="B",(CL1826+AM1826)/2,MAX((CL1826+AM1826)/2,H1826))))</f>
        <v>0</v>
      </c>
      <c r="AL1826" s="62" t="n">
        <f aca="false">AK1826*G1826</f>
        <v>0</v>
      </c>
      <c r="AM1826" s="62" t="n">
        <f aca="false">ROUNDUP(CL1826+MAX(CM1826,2*(J1826/IF(CH1826&gt;0,CH1826,MAX(0.1,N(Cockpit!$C$6)))-CL1826)),0)</f>
        <v>0</v>
      </c>
      <c r="AN1826" s="63" t="n">
        <f aca="false">IF(AJ1826&gt;0,J1826/AJ1826,-1)</f>
        <v>-1</v>
      </c>
      <c r="AO1826" s="63" t="str">
        <f aca="false">IF(AND(OR(CG1826="L1",CG1826="L23",CG1826="LIFT"),AJ1826&gt;0),SUMIFS($AJ$7:$AJ$1843,$CG$7:$CG$1843,CG1826,$AN$7:$AN$1843,"&gt;"&amp;AN1826)+SUMIFS($AJ$7:$AJ$1843,$CG$7:$CG$1843,CG1826,$AN$7:$AN$1843,AN1826,$BX$7:$BX$1843,"&lt;="&amp;BX1826),"")</f>
        <v/>
      </c>
      <c r="AP1826" s="70" t="n">
        <f aca="false">IF(AO1826="",0,MAX(0,MIN(1,(IF(CG1826="L1",Parameter!$H$5,IF(CG1826="L23",Parameter!$H$6+Parameter!$H$7,Parameter!$H$5+Parameter!$H$6+Parameter!$H$7))-(AO1826-AJ1826))/AJ1826)))</f>
        <v>0</v>
      </c>
      <c r="AQ1826" s="62" t="n">
        <f aca="false">IF(LEFT(Cockpit!$I$5,1)="A",H1826,IF(Parameter!$E$30="MAX-Bestand",IF(CI1826=1,CJ1826,IF(LEFT(Cockpit!$I$5,1)="B",AW1826,MAX(AW1826,H1826))),ROUNDUP(AU1826,0)))</f>
        <v>0</v>
      </c>
      <c r="AR1826" s="62" t="n">
        <f aca="false">IF(CA1826=1,0,ROUNDUP(AQ1826/BZ1826,0))</f>
        <v>0</v>
      </c>
      <c r="AS1826" s="64" t="n">
        <f aca="false">IF(CR1826&gt;0,CR1826*MAX(1,AQ1826/X1826),IF(CA1826=1,IF(AQ1826&lt;=0,0,CE1826*MAX(1,IF(H1826&gt;0,AQ1826/H1826,1))),IF(R1826&gt;0,AR1826/R1826,0))/MAX(0.1,N(Parameter!$M$21)))</f>
        <v>0</v>
      </c>
      <c r="AT1826" s="62" t="n">
        <f aca="false">AS1826*CC1826</f>
        <v>0</v>
      </c>
      <c r="AU1826" s="63" t="n">
        <f aca="false">IF(LEFT(Cockpit!$I$5,1)="A",H1826,IF(CI1826=1,(CL1826+CJ1826)/2,IF(LEFT(Cockpit!$I$5,1)="B",(CL1826+AW1826)/2,MAX((CL1826+AW1826)/2,H1826))))</f>
        <v>0</v>
      </c>
      <c r="AV1826" s="62" t="n">
        <f aca="false">AU1826*G1826</f>
        <v>0</v>
      </c>
      <c r="AW1826" s="62" t="n">
        <f aca="false">ROUNDUP(CL1826+MAX(CM1826,2*(J1826/IF(CH1826&gt;0,CH1826,MAX(0.1,N(Cockpit!$I$6)))-CL1826)),0)</f>
        <v>0</v>
      </c>
      <c r="AX1826" s="63" t="n">
        <f aca="false">IF(AT1826&gt;0,J1826/AT1826,-1)</f>
        <v>-1</v>
      </c>
      <c r="AY1826" s="63" t="str">
        <f aca="false">IF(AND(OR(CG1826="L1",CG1826="L23",CG1826="LIFT"),AT1826&gt;0),SUMIFS($AT$7:$AT$1843,$CG$7:$CG$1843,CG1826,$AX$7:$AX$1843,"&gt;"&amp;AX1826)+SUMIFS($AT$7:$AT$1843,$CG$7:$CG$1843,CG1826,$AX$7:$AX$1843,AX1826,$BX$7:$BX$1843,"&lt;="&amp;BX1826),"")</f>
        <v/>
      </c>
      <c r="AZ1826" s="70" t="n">
        <f aca="false">IF(AY1826="",0,MAX(0,MIN(1,(IF(CG1826="L1",Parameter!$H$5,IF(CG1826="L23",Parameter!$H$6+Parameter!$H$7,Parameter!$H$5+Parameter!$H$6+Parameter!$H$7))-(AY1826-AT1826))/AT1826)))</f>
        <v>0</v>
      </c>
      <c r="BA1826" s="62" t="n">
        <f aca="false">IF(LEFT(Cockpit!$O$5,1)="A",H1826,IF(Parameter!$E$30="MAX-Bestand",IF(CI1826=1,CJ1826,IF(LEFT(Cockpit!$O$5,1)="B",BG1826,MAX(BG1826,H1826))),ROUNDUP(BE1826,0)))</f>
        <v>0</v>
      </c>
      <c r="BB1826" s="62" t="n">
        <f aca="false">IF(CA1826=1,0,ROUNDUP(BA1826/BZ1826,0))</f>
        <v>0</v>
      </c>
      <c r="BC1826" s="64" t="n">
        <f aca="false">IF(CR1826&gt;0,CR1826*MAX(1,BA1826/X1826),IF(CA1826=1,IF(BA1826&lt;=0,0,CE1826*MAX(1,IF(H1826&gt;0,BA1826/H1826,1))),IF(R1826&gt;0,BB1826/R1826,0))/MAX(0.1,N(Parameter!$M$21)))</f>
        <v>0</v>
      </c>
      <c r="BD1826" s="62" t="n">
        <f aca="false">BC1826*CC1826</f>
        <v>0</v>
      </c>
      <c r="BE1826" s="63" t="n">
        <f aca="false">IF(LEFT(Cockpit!$O$5,1)="A",H1826,IF(CI1826=1,(CL1826+CJ1826)/2,IF(LEFT(Cockpit!$O$5,1)="B",(CL1826+BG1826)/2,MAX((CL1826+BG1826)/2,H1826))))</f>
        <v>0</v>
      </c>
      <c r="BF1826" s="62" t="n">
        <f aca="false">BE1826*G1826</f>
        <v>0</v>
      </c>
      <c r="BG1826" s="62" t="n">
        <f aca="false">ROUNDUP(CL1826+MAX(CM1826,2*(J1826/IF(CH1826&gt;0,CH1826,MAX(0.1,N(Cockpit!$O$6)))-CL1826)),0)</f>
        <v>0</v>
      </c>
      <c r="BH1826" s="63" t="n">
        <f aca="false">IF(BD1826&gt;0,J1826/BD1826,-1)</f>
        <v>-1</v>
      </c>
      <c r="BI1826" s="63" t="str">
        <f aca="false">IF(AND(OR(CG1826="L1",CG1826="L23",CG1826="LIFT"),BD1826&gt;0),SUMIFS($BD$7:$BD$1843,$CG$7:$CG$1843,CG1826,$BH$7:$BH$1843,"&gt;"&amp;BH1826)+SUMIFS($BD$7:$BD$1843,$CG$7:$CG$1843,CG1826,$BH$7:$BH$1843,BH1826,$BX$7:$BX$1843,"&lt;="&amp;BX1826),"")</f>
        <v/>
      </c>
      <c r="BJ1826" s="70" t="n">
        <f aca="false">IF(BI1826="",0,MAX(0,MIN(1,(IF(CG1826="L1",Parameter!$H$5,IF(CG1826="L23",Parameter!$H$6+Parameter!$H$7,Parameter!$H$5+Parameter!$H$6+Parameter!$H$7))-(BI1826-BD1826))/BD1826)))</f>
        <v>0</v>
      </c>
      <c r="BK1826" s="60" t="str">
        <f aca="false">IF(AJ1826&lt;=0,"",IF(CG1826="Aussen","Aussenlager",IF(CG1826="-","Nicht im Lift",IF(AP1826&gt;=1,"Lift",IF(AP1826&lt;=0,"Aussenlager","teilweise")))))</f>
        <v/>
      </c>
      <c r="BL1826" s="60" t="str">
        <f aca="false">IF(AT1826&lt;=0,"",IF(CG1826="Aussen","Aussenlager",IF(CG1826="-","Nicht im Lift",IF(AZ1826&gt;=1,"Lift",IF(AZ1826&lt;=0,"Aussenlager","teilweise")))))</f>
        <v/>
      </c>
      <c r="BM1826" s="60" t="str">
        <f aca="false">IF(BD1826&lt;=0,"",IF(CG1826="Aussen","Aussenlager",IF(CG1826="-","Nicht im Lift",IF(BJ1826&gt;=1,"Lift",IF(BJ1826&lt;=0,"Aussenlager","teilweise")))))</f>
        <v/>
      </c>
      <c r="BN1826" s="60" t="str">
        <f aca="false">IF(A1826="","",IF(BW1826=1,"Neu; ","")&amp;IF(AND(BW1826=0,BR1826&lt;0),"negativer Bestand (Export "&amp;BR1826&amp;"); ","")&amp;IF(J1826&lt;=0,"Kein Verbrauch; ","")&amp;IF(CR1826&gt;0,"Lift "&amp;W1826&amp;" lt. Liftbericht (Fach "&amp;X1826&amp;" Stk); ",IF(CB1826=1,"Gebinde geschätzt ("&amp;T1826&amp;"); ",IF(CA1826=1,"Lose – Tablare geschätzt; ","")))&amp;IF(H1826&gt;AW1826,"Überbestand "&amp;ROUND(H1826-AW1826,0)&amp;" Stk / CHF "&amp;ROUND((H1826-AW1826)*G1826,0)&amp;"; ","")&amp;IF(AND(CI1826=1,CJ1826&lt;CK1826),"MAX &lt; MB+LG; ","")&amp;IF(AND(CQ1826&gt;0,CP1826*10&gt;CQ1826),"zu hoch für Tablar; ","")&amp;IF(AND(BW1826=0,OR(CI1826=1,AB1826&lt;&gt;"",U1826&lt;&gt;"",V1826&lt;&gt;"",AC1826&lt;&gt;"")),"manuell übersteuert; ","")&amp;IF(AND(CA1826=0,R1826=0),"Gebinde unbekannt / Stellmass fehlt; ","")&amp;IF(AND(CA1826=0,N(V1826)&lt;=0,N(Q1826)&lt;=0),"Menge pro Gebinde fehlt (Ist = 1 Gebinde); ","")&amp;BV1826)</f>
        <v/>
      </c>
      <c r="BO1826" s="60"/>
      <c r="BP1826" s="60"/>
      <c r="BQ1826" s="67"/>
      <c r="BR1826" s="62" t="n">
        <f aca="false">N('Neue Artikel'!$D$87)</f>
        <v>0</v>
      </c>
      <c r="BS1826" s="62" t="n">
        <v>0</v>
      </c>
      <c r="BT1826" s="61" t="n">
        <v>0</v>
      </c>
      <c r="BU1826" s="62" t="n">
        <f aca="false">N('Neue Artikel'!$C$87)/Parameter!$B$18</f>
        <v>0</v>
      </c>
      <c r="BV1826" s="60"/>
      <c r="BW1826" s="65" t="n">
        <v>1</v>
      </c>
      <c r="BX1826" s="65" t="n">
        <v>1826</v>
      </c>
      <c r="BY1826" s="60" t="str">
        <f aca="false">IF(U1826&lt;&gt;"",UPPER(TRIM(U1826)),IF(CB1826=1,UPPER(VLOOKUP(T1826,Parameter!$I$27:$K$29,2,0)),IF(P1826="","LOSE",P1826)))</f>
        <v>LOSE</v>
      </c>
      <c r="BZ1826" s="62" t="n">
        <f aca="false">IF(BY1826="LOSE",1,IF(N(V1826)&gt;0,V1826,IF(CB1826=1,MAX(1,N(VLOOKUP(T1826,Parameter!$I$27:$K$29,3,0)),H1826,N(N1826)),IF(N(Q1826)&gt;0,Q1826,MAX(1,H1826)))))</f>
        <v>1</v>
      </c>
      <c r="CA1826" s="65" t="n">
        <f aca="false">IF(BY1826="LOSE",1,0)</f>
        <v>1</v>
      </c>
      <c r="CB1826" s="65" t="n">
        <f aca="false">IF(AND(U1826="",OR(P1826="",P1826="LOSE"),T1826&lt;&gt;"",N(S1826)&lt;=0,ISNUMBER(MATCH(T1826,Parameter!$I$27:$I$29,0))),1,0)</f>
        <v>0</v>
      </c>
      <c r="CC1826" s="65" t="n">
        <f aca="false">IF(CR1826&gt;0,INDEX(Parameter!$H$5:$H$7,W1826)/INDEX(Parameter!$E$5:$E$7,W1826),IF(AND(CA1826=0,N(IFERROR(VLOOKUP(BY1826,'Gebinde-Kategorie'!$A$5:$N$45,14,0),0))&gt;0),VLOOKUP(BY1826,'Gebinde-Kategorie'!$A$5:$N$45,14,0)*10+Parameter!$M$23,Parameter!$M$24))</f>
        <v>235</v>
      </c>
      <c r="CD1826" s="60" t="str">
        <f aca="false">IF(AND(Parameter!$B$19="Ja",E1826&lt;&gt;"",ISNUMBER(MATCH(E1826,Parameter!$I$35:$I$52,0))),VLOOKUP(E1826,Parameter!$I$35:$J$52,2,0),IFERROR(VLOOKUP(D1826,Parameter!$A$35:$C$64,2,0),"Nein"))</f>
        <v>2+3</v>
      </c>
      <c r="CE1826" s="64" t="n">
        <f aca="false">IF(CA1826=0,0,IF(N(S1826)&gt;0,S1826,IFERROR(VLOOKUP(D1826,Parameter!$A$35:$C$64,3,0)+0,0)))</f>
        <v>0.15</v>
      </c>
      <c r="CF1826" s="60" t="str">
        <f aca="false">IF(AB1826&lt;&gt;"",AB1826,AA1826)</f>
        <v/>
      </c>
      <c r="CG1826" s="60" t="str">
        <f aca="false">IF(OR(CF1826=1,CF1826=2,CF1826=3),IF(Parameter!$E$27="Ja","LIFT",IF(CF1826=1,"L1","L23")),IF(CF1826="Aussen","Aussen","-"))</f>
        <v>-</v>
      </c>
      <c r="CH1826" s="71" t="n">
        <f aca="false">IF(N(AC1826)&gt;0,AC1826,0)</f>
        <v>0</v>
      </c>
      <c r="CI1826" s="65" t="n">
        <f aca="false">IF(ISNUMBER(AF1826),1,0)</f>
        <v>0</v>
      </c>
      <c r="CJ1826" s="62" t="n">
        <f aca="false">N(AF1826)</f>
        <v>0</v>
      </c>
      <c r="CK1826" s="62" t="n">
        <f aca="false">N(M1826)+N(N1826)</f>
        <v>0</v>
      </c>
      <c r="CL1826" s="62" t="n">
        <f aca="false">N(M1826)</f>
        <v>0</v>
      </c>
      <c r="CM1826" s="62" t="n">
        <f aca="false">N(N1826)</f>
        <v>0</v>
      </c>
      <c r="CN1826" s="62" t="n">
        <f aca="false">ROUNDUP(H1826/BZ1826,0)</f>
        <v>0</v>
      </c>
      <c r="CO1826" s="62" t="n">
        <f aca="false">ROUNDUP(CJ1826/BZ1826,0)</f>
        <v>0</v>
      </c>
      <c r="CP1826" s="65" t="n">
        <f aca="false">IF(CA1826=1,0,IFERROR(VLOOKUP(BY1826,'Gebinde-Kategorie'!$A$5:$N$45,5,0)+0,0))</f>
        <v>0</v>
      </c>
      <c r="CQ1826" s="65" t="n">
        <f aca="false">IFERROR(IF(OR(CF1826=1,CF1826=2,CF1826=3),N(INDEX(Parameter!$I$5:$I$7,CF1826)),0),0)</f>
        <v>0</v>
      </c>
      <c r="CR1826" s="64" t="n">
        <f aca="false">IF(AND(Parameter!$B$21="Ja",ISNUMBER(W1826),N(X1826)&gt;0),IFERROR(N(INDEX(Parameter!$L$5:$L$7,W1826))*INDEX(Parameter!$E$5:$E$7,W1826)*X1826/SUMIFS($X$7:$X$1843,$W$7:$W$1843,W1826),0),0)</f>
        <v>0</v>
      </c>
      <c r="CS1826" s="62" t="str">
        <f aca="false">IF(AND(OR(CG1826="L1",CG1826="L23",CG1826="LIFT"),H1826&gt;0),CC1826*IF(CR1826&gt;0,CR1826*MAX(1,H1826/X1826),IF(CA1826=1,CE1826,IF(R1826&gt;0,CN1826/R1826,0))/MAX(0.1,N(Parameter!$M$21))),"")</f>
        <v/>
      </c>
      <c r="CT1826" s="64" t="str">
        <f aca="false">IF(CS1826="","",J1826/H1826)</f>
        <v/>
      </c>
      <c r="CU1826" s="62" t="str">
        <f aca="false">IF(CS1826="","",H1826*G1826)</f>
        <v/>
      </c>
      <c r="CV1826" s="63" t="str">
        <f aca="false">IF(CS1826="","",(CL1826+ROUNDUP(CL1826+MAX(CM1826,2*(J1826/MAX(0.1,N(Einkauf!$C$6))-CL1826)),0))/2)</f>
        <v/>
      </c>
      <c r="CW1826" s="62" t="str">
        <f aca="false">IF(CS1826="","",MAX(0,H1826-CV1826)*G1826)</f>
        <v/>
      </c>
      <c r="CX1826" s="62" t="str">
        <f aca="false">IF(CS1826="","",CS1826*MAX(0,1-CV1826/H1826))</f>
        <v/>
      </c>
      <c r="CY1826" s="64" t="str">
        <f aca="false">IF(CS1826="","",PERCENTRANK($CS$7:$CS$1843,CS1826)+PERCENTRANK($CU$7:$CU$1843,CU1826)+1-PERCENTRANK($CT$7:$CT$1843,CT1826))</f>
        <v/>
      </c>
      <c r="CZ1826" s="72" t="str">
        <f aca="false">IF(CS1826="","",CHOOSE(MATCH(Einkauf!$C$5,Parameter!$G$23:$G$27,0),CY1826,CS1826,CU1826,-CT1826,CW1826)+ROW()/1000000000)</f>
        <v/>
      </c>
    </row>
    <row r="1827" customFormat="false" ht="15" hidden="false" customHeight="false" outlineLevel="0" collapsed="false">
      <c r="A1827" s="60" t="str">
        <f aca="false">IF('Neue Artikel'!$A$88="","",'Neue Artikel'!$A$88&amp;"")</f>
        <v/>
      </c>
      <c r="B1827" s="60" t="str">
        <f aca="false">'Neue Artikel'!$B$88&amp;""</f>
        <v/>
      </c>
      <c r="C1827" s="60"/>
      <c r="D1827" s="60" t="s">
        <v>3057</v>
      </c>
      <c r="E1827" s="60"/>
      <c r="F1827" s="60"/>
      <c r="G1827" s="61" t="n">
        <f aca="false">N('Neue Artikel'!$G$88)</f>
        <v>0</v>
      </c>
      <c r="H1827" s="62" t="n">
        <f aca="false">MAX(0,IF(AND(Parameter!$B$21="Ja",ISNUMBER(Y1827)),Y1827,IF(Parameter!$B$20="Jahresanfang 2025 + Export",BS1827+BR1827,BR1827)))</f>
        <v>0</v>
      </c>
      <c r="I1827" s="62" t="n">
        <f aca="false">H1827*G1827</f>
        <v>0</v>
      </c>
      <c r="J1827" s="62" t="n">
        <f aca="false">BU1827*Parameter!$B$18</f>
        <v>0</v>
      </c>
      <c r="K1827" s="63"/>
      <c r="L1827" s="64"/>
      <c r="M1827" s="62" t="n">
        <f aca="false">N('Neue Artikel'!$E$88)</f>
        <v>0</v>
      </c>
      <c r="N1827" s="62" t="n">
        <f aca="false">N('Neue Artikel'!$F$88)</f>
        <v>0</v>
      </c>
      <c r="O1827" s="65"/>
      <c r="P1827" s="60" t="str">
        <f aca="false">IF('Neue Artikel'!$H$88="","LOSE",UPPER(TRIM('Neue Artikel'!$H$88)))</f>
        <v>LOSE</v>
      </c>
      <c r="Q1827" s="62" t="n">
        <f aca="false">N('Neue Artikel'!$I$88)</f>
        <v>0</v>
      </c>
      <c r="R1827" s="65" t="n">
        <f aca="false">IF(CA1827=1,0,IFERROR(VLOOKUP(BY1827,'Gebinde-Kategorie'!$A$5:$N$45,13,0)+0,0))</f>
        <v>0</v>
      </c>
      <c r="S1827" s="66"/>
      <c r="T1827" s="67"/>
      <c r="U1827" s="67"/>
      <c r="V1827" s="67"/>
      <c r="W1827" s="60"/>
      <c r="X1827" s="62"/>
      <c r="Y1827" s="62"/>
      <c r="Z1827" s="60"/>
      <c r="AA1827" s="60" t="str">
        <f aca="false">IF(A1827="","",IF(AND(Parameter!$B$21="Ja",ISNUMBER(W1827)),W1827,IF(AND(Parameter!$E$27="Ja",ISNUMBER(Z1827),CD1827&lt;&gt;"Nein"),Z1827,IF(CD1827="2+3",IF(ISNUMBER(SEARCH("grosser Artikel",BV1827)),2,IFERROR(VLOOKUP(BY1827,Parameter!$F$35:$G$64,2,0),2)),IF(OR(CD1827="Nein",CD1827=""),"-",CD1827)))))</f>
        <v/>
      </c>
      <c r="AB1827" s="60" t="str">
        <f aca="false">IF('Neue Artikel'!$J$88="","",'Neue Artikel'!$J$88)</f>
        <v/>
      </c>
      <c r="AC1827" s="68"/>
      <c r="AD1827" s="62" t="n">
        <f aca="false">AW1827</f>
        <v>0</v>
      </c>
      <c r="AE1827" s="62" t="n">
        <f aca="false">MAX(AW1827,H1827)</f>
        <v>0</v>
      </c>
      <c r="AF1827" s="69"/>
      <c r="AG1827" s="62" t="n">
        <f aca="false">IF(LEFT(Cockpit!$C$5,1)="A",H1827,IF(Parameter!$E$30="MAX-Bestand",IF(CI1827=1,CJ1827,IF(LEFT(Cockpit!$C$5,1)="B",AM1827,MAX(AM1827,H1827))),ROUNDUP(AK1827,0)))</f>
        <v>0</v>
      </c>
      <c r="AH1827" s="62" t="n">
        <f aca="false">IF(CA1827=1,0,ROUNDUP(AG1827/BZ1827,0))</f>
        <v>0</v>
      </c>
      <c r="AI1827" s="64" t="n">
        <f aca="false">IF(CR1827&gt;0,CR1827*MAX(1,AG1827/X1827),IF(CA1827=1,IF(AG1827&lt;=0,0,CE1827*MAX(1,IF(H1827&gt;0,AG1827/H1827,1))),IF(R1827&gt;0,AH1827/R1827,0))/MAX(0.1,N(Parameter!$M$21)))</f>
        <v>0</v>
      </c>
      <c r="AJ1827" s="62" t="n">
        <f aca="false">AI1827*CC1827</f>
        <v>0</v>
      </c>
      <c r="AK1827" s="63" t="n">
        <f aca="false">IF(LEFT(Cockpit!$C$5,1)="A",H1827,IF(CI1827=1,(CL1827+CJ1827)/2,IF(LEFT(Cockpit!$C$5,1)="B",(CL1827+AM1827)/2,MAX((CL1827+AM1827)/2,H1827))))</f>
        <v>0</v>
      </c>
      <c r="AL1827" s="62" t="n">
        <f aca="false">AK1827*G1827</f>
        <v>0</v>
      </c>
      <c r="AM1827" s="62" t="n">
        <f aca="false">ROUNDUP(CL1827+MAX(CM1827,2*(J1827/IF(CH1827&gt;0,CH1827,MAX(0.1,N(Cockpit!$C$6)))-CL1827)),0)</f>
        <v>0</v>
      </c>
      <c r="AN1827" s="63" t="n">
        <f aca="false">IF(AJ1827&gt;0,J1827/AJ1827,-1)</f>
        <v>-1</v>
      </c>
      <c r="AO1827" s="63" t="str">
        <f aca="false">IF(AND(OR(CG1827="L1",CG1827="L23",CG1827="LIFT"),AJ1827&gt;0),SUMIFS($AJ$7:$AJ$1843,$CG$7:$CG$1843,CG1827,$AN$7:$AN$1843,"&gt;"&amp;AN1827)+SUMIFS($AJ$7:$AJ$1843,$CG$7:$CG$1843,CG1827,$AN$7:$AN$1843,AN1827,$BX$7:$BX$1843,"&lt;="&amp;BX1827),"")</f>
        <v/>
      </c>
      <c r="AP1827" s="70" t="n">
        <f aca="false">IF(AO1827="",0,MAX(0,MIN(1,(IF(CG1827="L1",Parameter!$H$5,IF(CG1827="L23",Parameter!$H$6+Parameter!$H$7,Parameter!$H$5+Parameter!$H$6+Parameter!$H$7))-(AO1827-AJ1827))/AJ1827)))</f>
        <v>0</v>
      </c>
      <c r="AQ1827" s="62" t="n">
        <f aca="false">IF(LEFT(Cockpit!$I$5,1)="A",H1827,IF(Parameter!$E$30="MAX-Bestand",IF(CI1827=1,CJ1827,IF(LEFT(Cockpit!$I$5,1)="B",AW1827,MAX(AW1827,H1827))),ROUNDUP(AU1827,0)))</f>
        <v>0</v>
      </c>
      <c r="AR1827" s="62" t="n">
        <f aca="false">IF(CA1827=1,0,ROUNDUP(AQ1827/BZ1827,0))</f>
        <v>0</v>
      </c>
      <c r="AS1827" s="64" t="n">
        <f aca="false">IF(CR1827&gt;0,CR1827*MAX(1,AQ1827/X1827),IF(CA1827=1,IF(AQ1827&lt;=0,0,CE1827*MAX(1,IF(H1827&gt;0,AQ1827/H1827,1))),IF(R1827&gt;0,AR1827/R1827,0))/MAX(0.1,N(Parameter!$M$21)))</f>
        <v>0</v>
      </c>
      <c r="AT1827" s="62" t="n">
        <f aca="false">AS1827*CC1827</f>
        <v>0</v>
      </c>
      <c r="AU1827" s="63" t="n">
        <f aca="false">IF(LEFT(Cockpit!$I$5,1)="A",H1827,IF(CI1827=1,(CL1827+CJ1827)/2,IF(LEFT(Cockpit!$I$5,1)="B",(CL1827+AW1827)/2,MAX((CL1827+AW1827)/2,H1827))))</f>
        <v>0</v>
      </c>
      <c r="AV1827" s="62" t="n">
        <f aca="false">AU1827*G1827</f>
        <v>0</v>
      </c>
      <c r="AW1827" s="62" t="n">
        <f aca="false">ROUNDUP(CL1827+MAX(CM1827,2*(J1827/IF(CH1827&gt;0,CH1827,MAX(0.1,N(Cockpit!$I$6)))-CL1827)),0)</f>
        <v>0</v>
      </c>
      <c r="AX1827" s="63" t="n">
        <f aca="false">IF(AT1827&gt;0,J1827/AT1827,-1)</f>
        <v>-1</v>
      </c>
      <c r="AY1827" s="63" t="str">
        <f aca="false">IF(AND(OR(CG1827="L1",CG1827="L23",CG1827="LIFT"),AT1827&gt;0),SUMIFS($AT$7:$AT$1843,$CG$7:$CG$1843,CG1827,$AX$7:$AX$1843,"&gt;"&amp;AX1827)+SUMIFS($AT$7:$AT$1843,$CG$7:$CG$1843,CG1827,$AX$7:$AX$1843,AX1827,$BX$7:$BX$1843,"&lt;="&amp;BX1827),"")</f>
        <v/>
      </c>
      <c r="AZ1827" s="70" t="n">
        <f aca="false">IF(AY1827="",0,MAX(0,MIN(1,(IF(CG1827="L1",Parameter!$H$5,IF(CG1827="L23",Parameter!$H$6+Parameter!$H$7,Parameter!$H$5+Parameter!$H$6+Parameter!$H$7))-(AY1827-AT1827))/AT1827)))</f>
        <v>0</v>
      </c>
      <c r="BA1827" s="62" t="n">
        <f aca="false">IF(LEFT(Cockpit!$O$5,1)="A",H1827,IF(Parameter!$E$30="MAX-Bestand",IF(CI1827=1,CJ1827,IF(LEFT(Cockpit!$O$5,1)="B",BG1827,MAX(BG1827,H1827))),ROUNDUP(BE1827,0)))</f>
        <v>0</v>
      </c>
      <c r="BB1827" s="62" t="n">
        <f aca="false">IF(CA1827=1,0,ROUNDUP(BA1827/BZ1827,0))</f>
        <v>0</v>
      </c>
      <c r="BC1827" s="64" t="n">
        <f aca="false">IF(CR1827&gt;0,CR1827*MAX(1,BA1827/X1827),IF(CA1827=1,IF(BA1827&lt;=0,0,CE1827*MAX(1,IF(H1827&gt;0,BA1827/H1827,1))),IF(R1827&gt;0,BB1827/R1827,0))/MAX(0.1,N(Parameter!$M$21)))</f>
        <v>0</v>
      </c>
      <c r="BD1827" s="62" t="n">
        <f aca="false">BC1827*CC1827</f>
        <v>0</v>
      </c>
      <c r="BE1827" s="63" t="n">
        <f aca="false">IF(LEFT(Cockpit!$O$5,1)="A",H1827,IF(CI1827=1,(CL1827+CJ1827)/2,IF(LEFT(Cockpit!$O$5,1)="B",(CL1827+BG1827)/2,MAX((CL1827+BG1827)/2,H1827))))</f>
        <v>0</v>
      </c>
      <c r="BF1827" s="62" t="n">
        <f aca="false">BE1827*G1827</f>
        <v>0</v>
      </c>
      <c r="BG1827" s="62" t="n">
        <f aca="false">ROUNDUP(CL1827+MAX(CM1827,2*(J1827/IF(CH1827&gt;0,CH1827,MAX(0.1,N(Cockpit!$O$6)))-CL1827)),0)</f>
        <v>0</v>
      </c>
      <c r="BH1827" s="63" t="n">
        <f aca="false">IF(BD1827&gt;0,J1827/BD1827,-1)</f>
        <v>-1</v>
      </c>
      <c r="BI1827" s="63" t="str">
        <f aca="false">IF(AND(OR(CG1827="L1",CG1827="L23",CG1827="LIFT"),BD1827&gt;0),SUMIFS($BD$7:$BD$1843,$CG$7:$CG$1843,CG1827,$BH$7:$BH$1843,"&gt;"&amp;BH1827)+SUMIFS($BD$7:$BD$1843,$CG$7:$CG$1843,CG1827,$BH$7:$BH$1843,BH1827,$BX$7:$BX$1843,"&lt;="&amp;BX1827),"")</f>
        <v/>
      </c>
      <c r="BJ1827" s="70" t="n">
        <f aca="false">IF(BI1827="",0,MAX(0,MIN(1,(IF(CG1827="L1",Parameter!$H$5,IF(CG1827="L23",Parameter!$H$6+Parameter!$H$7,Parameter!$H$5+Parameter!$H$6+Parameter!$H$7))-(BI1827-BD1827))/BD1827)))</f>
        <v>0</v>
      </c>
      <c r="BK1827" s="60" t="str">
        <f aca="false">IF(AJ1827&lt;=0,"",IF(CG1827="Aussen","Aussenlager",IF(CG1827="-","Nicht im Lift",IF(AP1827&gt;=1,"Lift",IF(AP1827&lt;=0,"Aussenlager","teilweise")))))</f>
        <v/>
      </c>
      <c r="BL1827" s="60" t="str">
        <f aca="false">IF(AT1827&lt;=0,"",IF(CG1827="Aussen","Aussenlager",IF(CG1827="-","Nicht im Lift",IF(AZ1827&gt;=1,"Lift",IF(AZ1827&lt;=0,"Aussenlager","teilweise")))))</f>
        <v/>
      </c>
      <c r="BM1827" s="60" t="str">
        <f aca="false">IF(BD1827&lt;=0,"",IF(CG1827="Aussen","Aussenlager",IF(CG1827="-","Nicht im Lift",IF(BJ1827&gt;=1,"Lift",IF(BJ1827&lt;=0,"Aussenlager","teilweise")))))</f>
        <v/>
      </c>
      <c r="BN1827" s="60" t="str">
        <f aca="false">IF(A1827="","",IF(BW1827=1,"Neu; ","")&amp;IF(AND(BW1827=0,BR1827&lt;0),"negativer Bestand (Export "&amp;BR1827&amp;"); ","")&amp;IF(J1827&lt;=0,"Kein Verbrauch; ","")&amp;IF(CR1827&gt;0,"Lift "&amp;W1827&amp;" lt. Liftbericht (Fach "&amp;X1827&amp;" Stk); ",IF(CB1827=1,"Gebinde geschätzt ("&amp;T1827&amp;"); ",IF(CA1827=1,"Lose – Tablare geschätzt; ","")))&amp;IF(H1827&gt;AW1827,"Überbestand "&amp;ROUND(H1827-AW1827,0)&amp;" Stk / CHF "&amp;ROUND((H1827-AW1827)*G1827,0)&amp;"; ","")&amp;IF(AND(CI1827=1,CJ1827&lt;CK1827),"MAX &lt; MB+LG; ","")&amp;IF(AND(CQ1827&gt;0,CP1827*10&gt;CQ1827),"zu hoch für Tablar; ","")&amp;IF(AND(BW1827=0,OR(CI1827=1,AB1827&lt;&gt;"",U1827&lt;&gt;"",V1827&lt;&gt;"",AC1827&lt;&gt;"")),"manuell übersteuert; ","")&amp;IF(AND(CA1827=0,R1827=0),"Gebinde unbekannt / Stellmass fehlt; ","")&amp;IF(AND(CA1827=0,N(V1827)&lt;=0,N(Q1827)&lt;=0),"Menge pro Gebinde fehlt (Ist = 1 Gebinde); ","")&amp;BV1827)</f>
        <v/>
      </c>
      <c r="BO1827" s="60"/>
      <c r="BP1827" s="60"/>
      <c r="BQ1827" s="67"/>
      <c r="BR1827" s="62" t="n">
        <f aca="false">N('Neue Artikel'!$D$88)</f>
        <v>0</v>
      </c>
      <c r="BS1827" s="62" t="n">
        <v>0</v>
      </c>
      <c r="BT1827" s="61" t="n">
        <v>0</v>
      </c>
      <c r="BU1827" s="62" t="n">
        <f aca="false">N('Neue Artikel'!$C$88)/Parameter!$B$18</f>
        <v>0</v>
      </c>
      <c r="BV1827" s="60"/>
      <c r="BW1827" s="65" t="n">
        <v>1</v>
      </c>
      <c r="BX1827" s="65" t="n">
        <v>1827</v>
      </c>
      <c r="BY1827" s="60" t="str">
        <f aca="false">IF(U1827&lt;&gt;"",UPPER(TRIM(U1827)),IF(CB1827=1,UPPER(VLOOKUP(T1827,Parameter!$I$27:$K$29,2,0)),IF(P1827="","LOSE",P1827)))</f>
        <v>LOSE</v>
      </c>
      <c r="BZ1827" s="62" t="n">
        <f aca="false">IF(BY1827="LOSE",1,IF(N(V1827)&gt;0,V1827,IF(CB1827=1,MAX(1,N(VLOOKUP(T1827,Parameter!$I$27:$K$29,3,0)),H1827,N(N1827)),IF(N(Q1827)&gt;0,Q1827,MAX(1,H1827)))))</f>
        <v>1</v>
      </c>
      <c r="CA1827" s="65" t="n">
        <f aca="false">IF(BY1827="LOSE",1,0)</f>
        <v>1</v>
      </c>
      <c r="CB1827" s="65" t="n">
        <f aca="false">IF(AND(U1827="",OR(P1827="",P1827="LOSE"),T1827&lt;&gt;"",N(S1827)&lt;=0,ISNUMBER(MATCH(T1827,Parameter!$I$27:$I$29,0))),1,0)</f>
        <v>0</v>
      </c>
      <c r="CC1827" s="65" t="n">
        <f aca="false">IF(CR1827&gt;0,INDEX(Parameter!$H$5:$H$7,W1827)/INDEX(Parameter!$E$5:$E$7,W1827),IF(AND(CA1827=0,N(IFERROR(VLOOKUP(BY1827,'Gebinde-Kategorie'!$A$5:$N$45,14,0),0))&gt;0),VLOOKUP(BY1827,'Gebinde-Kategorie'!$A$5:$N$45,14,0)*10+Parameter!$M$23,Parameter!$M$24))</f>
        <v>235</v>
      </c>
      <c r="CD1827" s="60" t="str">
        <f aca="false">IF(AND(Parameter!$B$19="Ja",E1827&lt;&gt;"",ISNUMBER(MATCH(E1827,Parameter!$I$35:$I$52,0))),VLOOKUP(E1827,Parameter!$I$35:$J$52,2,0),IFERROR(VLOOKUP(D1827,Parameter!$A$35:$C$64,2,0),"Nein"))</f>
        <v>2+3</v>
      </c>
      <c r="CE1827" s="64" t="n">
        <f aca="false">IF(CA1827=0,0,IF(N(S1827)&gt;0,S1827,IFERROR(VLOOKUP(D1827,Parameter!$A$35:$C$64,3,0)+0,0)))</f>
        <v>0.15</v>
      </c>
      <c r="CF1827" s="60" t="str">
        <f aca="false">IF(AB1827&lt;&gt;"",AB1827,AA1827)</f>
        <v/>
      </c>
      <c r="CG1827" s="60" t="str">
        <f aca="false">IF(OR(CF1827=1,CF1827=2,CF1827=3),IF(Parameter!$E$27="Ja","LIFT",IF(CF1827=1,"L1","L23")),IF(CF1827="Aussen","Aussen","-"))</f>
        <v>-</v>
      </c>
      <c r="CH1827" s="71" t="n">
        <f aca="false">IF(N(AC1827)&gt;0,AC1827,0)</f>
        <v>0</v>
      </c>
      <c r="CI1827" s="65" t="n">
        <f aca="false">IF(ISNUMBER(AF1827),1,0)</f>
        <v>0</v>
      </c>
      <c r="CJ1827" s="62" t="n">
        <f aca="false">N(AF1827)</f>
        <v>0</v>
      </c>
      <c r="CK1827" s="62" t="n">
        <f aca="false">N(M1827)+N(N1827)</f>
        <v>0</v>
      </c>
      <c r="CL1827" s="62" t="n">
        <f aca="false">N(M1827)</f>
        <v>0</v>
      </c>
      <c r="CM1827" s="62" t="n">
        <f aca="false">N(N1827)</f>
        <v>0</v>
      </c>
      <c r="CN1827" s="62" t="n">
        <f aca="false">ROUNDUP(H1827/BZ1827,0)</f>
        <v>0</v>
      </c>
      <c r="CO1827" s="62" t="n">
        <f aca="false">ROUNDUP(CJ1827/BZ1827,0)</f>
        <v>0</v>
      </c>
      <c r="CP1827" s="65" t="n">
        <f aca="false">IF(CA1827=1,0,IFERROR(VLOOKUP(BY1827,'Gebinde-Kategorie'!$A$5:$N$45,5,0)+0,0))</f>
        <v>0</v>
      </c>
      <c r="CQ1827" s="65" t="n">
        <f aca="false">IFERROR(IF(OR(CF1827=1,CF1827=2,CF1827=3),N(INDEX(Parameter!$I$5:$I$7,CF1827)),0),0)</f>
        <v>0</v>
      </c>
      <c r="CR1827" s="64" t="n">
        <f aca="false">IF(AND(Parameter!$B$21="Ja",ISNUMBER(W1827),N(X1827)&gt;0),IFERROR(N(INDEX(Parameter!$L$5:$L$7,W1827))*INDEX(Parameter!$E$5:$E$7,W1827)*X1827/SUMIFS($X$7:$X$1843,$W$7:$W$1843,W1827),0),0)</f>
        <v>0</v>
      </c>
      <c r="CS1827" s="62" t="str">
        <f aca="false">IF(AND(OR(CG1827="L1",CG1827="L23",CG1827="LIFT"),H1827&gt;0),CC1827*IF(CR1827&gt;0,CR1827*MAX(1,H1827/X1827),IF(CA1827=1,CE1827,IF(R1827&gt;0,CN1827/R1827,0))/MAX(0.1,N(Parameter!$M$21))),"")</f>
        <v/>
      </c>
      <c r="CT1827" s="64" t="str">
        <f aca="false">IF(CS1827="","",J1827/H1827)</f>
        <v/>
      </c>
      <c r="CU1827" s="62" t="str">
        <f aca="false">IF(CS1827="","",H1827*G1827)</f>
        <v/>
      </c>
      <c r="CV1827" s="63" t="str">
        <f aca="false">IF(CS1827="","",(CL1827+ROUNDUP(CL1827+MAX(CM1827,2*(J1827/MAX(0.1,N(Einkauf!$C$6))-CL1827)),0))/2)</f>
        <v/>
      </c>
      <c r="CW1827" s="62" t="str">
        <f aca="false">IF(CS1827="","",MAX(0,H1827-CV1827)*G1827)</f>
        <v/>
      </c>
      <c r="CX1827" s="62" t="str">
        <f aca="false">IF(CS1827="","",CS1827*MAX(0,1-CV1827/H1827))</f>
        <v/>
      </c>
      <c r="CY1827" s="64" t="str">
        <f aca="false">IF(CS1827="","",PERCENTRANK($CS$7:$CS$1843,CS1827)+PERCENTRANK($CU$7:$CU$1843,CU1827)+1-PERCENTRANK($CT$7:$CT$1843,CT1827))</f>
        <v/>
      </c>
      <c r="CZ1827" s="72" t="str">
        <f aca="false">IF(CS1827="","",CHOOSE(MATCH(Einkauf!$C$5,Parameter!$G$23:$G$27,0),CY1827,CS1827,CU1827,-CT1827,CW1827)+ROW()/1000000000)</f>
        <v/>
      </c>
    </row>
    <row r="1828" customFormat="false" ht="15" hidden="false" customHeight="false" outlineLevel="0" collapsed="false">
      <c r="A1828" s="60" t="str">
        <f aca="false">IF('Neue Artikel'!$A$89="","",'Neue Artikel'!$A$89&amp;"")</f>
        <v/>
      </c>
      <c r="B1828" s="60" t="str">
        <f aca="false">'Neue Artikel'!$B$89&amp;""</f>
        <v/>
      </c>
      <c r="C1828" s="60"/>
      <c r="D1828" s="60" t="s">
        <v>3057</v>
      </c>
      <c r="E1828" s="60"/>
      <c r="F1828" s="60"/>
      <c r="G1828" s="61" t="n">
        <f aca="false">N('Neue Artikel'!$G$89)</f>
        <v>0</v>
      </c>
      <c r="H1828" s="62" t="n">
        <f aca="false">MAX(0,IF(AND(Parameter!$B$21="Ja",ISNUMBER(Y1828)),Y1828,IF(Parameter!$B$20="Jahresanfang 2025 + Export",BS1828+BR1828,BR1828)))</f>
        <v>0</v>
      </c>
      <c r="I1828" s="62" t="n">
        <f aca="false">H1828*G1828</f>
        <v>0</v>
      </c>
      <c r="J1828" s="62" t="n">
        <f aca="false">BU1828*Parameter!$B$18</f>
        <v>0</v>
      </c>
      <c r="K1828" s="63"/>
      <c r="L1828" s="64"/>
      <c r="M1828" s="62" t="n">
        <f aca="false">N('Neue Artikel'!$E$89)</f>
        <v>0</v>
      </c>
      <c r="N1828" s="62" t="n">
        <f aca="false">N('Neue Artikel'!$F$89)</f>
        <v>0</v>
      </c>
      <c r="O1828" s="65"/>
      <c r="P1828" s="60" t="str">
        <f aca="false">IF('Neue Artikel'!$H$89="","LOSE",UPPER(TRIM('Neue Artikel'!$H$89)))</f>
        <v>LOSE</v>
      </c>
      <c r="Q1828" s="62" t="n">
        <f aca="false">N('Neue Artikel'!$I$89)</f>
        <v>0</v>
      </c>
      <c r="R1828" s="65" t="n">
        <f aca="false">IF(CA1828=1,0,IFERROR(VLOOKUP(BY1828,'Gebinde-Kategorie'!$A$5:$N$45,13,0)+0,0))</f>
        <v>0</v>
      </c>
      <c r="S1828" s="66"/>
      <c r="T1828" s="67"/>
      <c r="U1828" s="67"/>
      <c r="V1828" s="67"/>
      <c r="W1828" s="60"/>
      <c r="X1828" s="62"/>
      <c r="Y1828" s="62"/>
      <c r="Z1828" s="60"/>
      <c r="AA1828" s="60" t="str">
        <f aca="false">IF(A1828="","",IF(AND(Parameter!$B$21="Ja",ISNUMBER(W1828)),W1828,IF(AND(Parameter!$E$27="Ja",ISNUMBER(Z1828),CD1828&lt;&gt;"Nein"),Z1828,IF(CD1828="2+3",IF(ISNUMBER(SEARCH("grosser Artikel",BV1828)),2,IFERROR(VLOOKUP(BY1828,Parameter!$F$35:$G$64,2,0),2)),IF(OR(CD1828="Nein",CD1828=""),"-",CD1828)))))</f>
        <v/>
      </c>
      <c r="AB1828" s="60" t="str">
        <f aca="false">IF('Neue Artikel'!$J$89="","",'Neue Artikel'!$J$89)</f>
        <v/>
      </c>
      <c r="AC1828" s="68"/>
      <c r="AD1828" s="62" t="n">
        <f aca="false">AW1828</f>
        <v>0</v>
      </c>
      <c r="AE1828" s="62" t="n">
        <f aca="false">MAX(AW1828,H1828)</f>
        <v>0</v>
      </c>
      <c r="AF1828" s="69"/>
      <c r="AG1828" s="62" t="n">
        <f aca="false">IF(LEFT(Cockpit!$C$5,1)="A",H1828,IF(Parameter!$E$30="MAX-Bestand",IF(CI1828=1,CJ1828,IF(LEFT(Cockpit!$C$5,1)="B",AM1828,MAX(AM1828,H1828))),ROUNDUP(AK1828,0)))</f>
        <v>0</v>
      </c>
      <c r="AH1828" s="62" t="n">
        <f aca="false">IF(CA1828=1,0,ROUNDUP(AG1828/BZ1828,0))</f>
        <v>0</v>
      </c>
      <c r="AI1828" s="64" t="n">
        <f aca="false">IF(CR1828&gt;0,CR1828*MAX(1,AG1828/X1828),IF(CA1828=1,IF(AG1828&lt;=0,0,CE1828*MAX(1,IF(H1828&gt;0,AG1828/H1828,1))),IF(R1828&gt;0,AH1828/R1828,0))/MAX(0.1,N(Parameter!$M$21)))</f>
        <v>0</v>
      </c>
      <c r="AJ1828" s="62" t="n">
        <f aca="false">AI1828*CC1828</f>
        <v>0</v>
      </c>
      <c r="AK1828" s="63" t="n">
        <f aca="false">IF(LEFT(Cockpit!$C$5,1)="A",H1828,IF(CI1828=1,(CL1828+CJ1828)/2,IF(LEFT(Cockpit!$C$5,1)="B",(CL1828+AM1828)/2,MAX((CL1828+AM1828)/2,H1828))))</f>
        <v>0</v>
      </c>
      <c r="AL1828" s="62" t="n">
        <f aca="false">AK1828*G1828</f>
        <v>0</v>
      </c>
      <c r="AM1828" s="62" t="n">
        <f aca="false">ROUNDUP(CL1828+MAX(CM1828,2*(J1828/IF(CH1828&gt;0,CH1828,MAX(0.1,N(Cockpit!$C$6)))-CL1828)),0)</f>
        <v>0</v>
      </c>
      <c r="AN1828" s="63" t="n">
        <f aca="false">IF(AJ1828&gt;0,J1828/AJ1828,-1)</f>
        <v>-1</v>
      </c>
      <c r="AO1828" s="63" t="str">
        <f aca="false">IF(AND(OR(CG1828="L1",CG1828="L23",CG1828="LIFT"),AJ1828&gt;0),SUMIFS($AJ$7:$AJ$1843,$CG$7:$CG$1843,CG1828,$AN$7:$AN$1843,"&gt;"&amp;AN1828)+SUMIFS($AJ$7:$AJ$1843,$CG$7:$CG$1843,CG1828,$AN$7:$AN$1843,AN1828,$BX$7:$BX$1843,"&lt;="&amp;BX1828),"")</f>
        <v/>
      </c>
      <c r="AP1828" s="70" t="n">
        <f aca="false">IF(AO1828="",0,MAX(0,MIN(1,(IF(CG1828="L1",Parameter!$H$5,IF(CG1828="L23",Parameter!$H$6+Parameter!$H$7,Parameter!$H$5+Parameter!$H$6+Parameter!$H$7))-(AO1828-AJ1828))/AJ1828)))</f>
        <v>0</v>
      </c>
      <c r="AQ1828" s="62" t="n">
        <f aca="false">IF(LEFT(Cockpit!$I$5,1)="A",H1828,IF(Parameter!$E$30="MAX-Bestand",IF(CI1828=1,CJ1828,IF(LEFT(Cockpit!$I$5,1)="B",AW1828,MAX(AW1828,H1828))),ROUNDUP(AU1828,0)))</f>
        <v>0</v>
      </c>
      <c r="AR1828" s="62" t="n">
        <f aca="false">IF(CA1828=1,0,ROUNDUP(AQ1828/BZ1828,0))</f>
        <v>0</v>
      </c>
      <c r="AS1828" s="64" t="n">
        <f aca="false">IF(CR1828&gt;0,CR1828*MAX(1,AQ1828/X1828),IF(CA1828=1,IF(AQ1828&lt;=0,0,CE1828*MAX(1,IF(H1828&gt;0,AQ1828/H1828,1))),IF(R1828&gt;0,AR1828/R1828,0))/MAX(0.1,N(Parameter!$M$21)))</f>
        <v>0</v>
      </c>
      <c r="AT1828" s="62" t="n">
        <f aca="false">AS1828*CC1828</f>
        <v>0</v>
      </c>
      <c r="AU1828" s="63" t="n">
        <f aca="false">IF(LEFT(Cockpit!$I$5,1)="A",H1828,IF(CI1828=1,(CL1828+CJ1828)/2,IF(LEFT(Cockpit!$I$5,1)="B",(CL1828+AW1828)/2,MAX((CL1828+AW1828)/2,H1828))))</f>
        <v>0</v>
      </c>
      <c r="AV1828" s="62" t="n">
        <f aca="false">AU1828*G1828</f>
        <v>0</v>
      </c>
      <c r="AW1828" s="62" t="n">
        <f aca="false">ROUNDUP(CL1828+MAX(CM1828,2*(J1828/IF(CH1828&gt;0,CH1828,MAX(0.1,N(Cockpit!$I$6)))-CL1828)),0)</f>
        <v>0</v>
      </c>
      <c r="AX1828" s="63" t="n">
        <f aca="false">IF(AT1828&gt;0,J1828/AT1828,-1)</f>
        <v>-1</v>
      </c>
      <c r="AY1828" s="63" t="str">
        <f aca="false">IF(AND(OR(CG1828="L1",CG1828="L23",CG1828="LIFT"),AT1828&gt;0),SUMIFS($AT$7:$AT$1843,$CG$7:$CG$1843,CG1828,$AX$7:$AX$1843,"&gt;"&amp;AX1828)+SUMIFS($AT$7:$AT$1843,$CG$7:$CG$1843,CG1828,$AX$7:$AX$1843,AX1828,$BX$7:$BX$1843,"&lt;="&amp;BX1828),"")</f>
        <v/>
      </c>
      <c r="AZ1828" s="70" t="n">
        <f aca="false">IF(AY1828="",0,MAX(0,MIN(1,(IF(CG1828="L1",Parameter!$H$5,IF(CG1828="L23",Parameter!$H$6+Parameter!$H$7,Parameter!$H$5+Parameter!$H$6+Parameter!$H$7))-(AY1828-AT1828))/AT1828)))</f>
        <v>0</v>
      </c>
      <c r="BA1828" s="62" t="n">
        <f aca="false">IF(LEFT(Cockpit!$O$5,1)="A",H1828,IF(Parameter!$E$30="MAX-Bestand",IF(CI1828=1,CJ1828,IF(LEFT(Cockpit!$O$5,1)="B",BG1828,MAX(BG1828,H1828))),ROUNDUP(BE1828,0)))</f>
        <v>0</v>
      </c>
      <c r="BB1828" s="62" t="n">
        <f aca="false">IF(CA1828=1,0,ROUNDUP(BA1828/BZ1828,0))</f>
        <v>0</v>
      </c>
      <c r="BC1828" s="64" t="n">
        <f aca="false">IF(CR1828&gt;0,CR1828*MAX(1,BA1828/X1828),IF(CA1828=1,IF(BA1828&lt;=0,0,CE1828*MAX(1,IF(H1828&gt;0,BA1828/H1828,1))),IF(R1828&gt;0,BB1828/R1828,0))/MAX(0.1,N(Parameter!$M$21)))</f>
        <v>0</v>
      </c>
      <c r="BD1828" s="62" t="n">
        <f aca="false">BC1828*CC1828</f>
        <v>0</v>
      </c>
      <c r="BE1828" s="63" t="n">
        <f aca="false">IF(LEFT(Cockpit!$O$5,1)="A",H1828,IF(CI1828=1,(CL1828+CJ1828)/2,IF(LEFT(Cockpit!$O$5,1)="B",(CL1828+BG1828)/2,MAX((CL1828+BG1828)/2,H1828))))</f>
        <v>0</v>
      </c>
      <c r="BF1828" s="62" t="n">
        <f aca="false">BE1828*G1828</f>
        <v>0</v>
      </c>
      <c r="BG1828" s="62" t="n">
        <f aca="false">ROUNDUP(CL1828+MAX(CM1828,2*(J1828/IF(CH1828&gt;0,CH1828,MAX(0.1,N(Cockpit!$O$6)))-CL1828)),0)</f>
        <v>0</v>
      </c>
      <c r="BH1828" s="63" t="n">
        <f aca="false">IF(BD1828&gt;0,J1828/BD1828,-1)</f>
        <v>-1</v>
      </c>
      <c r="BI1828" s="63" t="str">
        <f aca="false">IF(AND(OR(CG1828="L1",CG1828="L23",CG1828="LIFT"),BD1828&gt;0),SUMIFS($BD$7:$BD$1843,$CG$7:$CG$1843,CG1828,$BH$7:$BH$1843,"&gt;"&amp;BH1828)+SUMIFS($BD$7:$BD$1843,$CG$7:$CG$1843,CG1828,$BH$7:$BH$1843,BH1828,$BX$7:$BX$1843,"&lt;="&amp;BX1828),"")</f>
        <v/>
      </c>
      <c r="BJ1828" s="70" t="n">
        <f aca="false">IF(BI1828="",0,MAX(0,MIN(1,(IF(CG1828="L1",Parameter!$H$5,IF(CG1828="L23",Parameter!$H$6+Parameter!$H$7,Parameter!$H$5+Parameter!$H$6+Parameter!$H$7))-(BI1828-BD1828))/BD1828)))</f>
        <v>0</v>
      </c>
      <c r="BK1828" s="60" t="str">
        <f aca="false">IF(AJ1828&lt;=0,"",IF(CG1828="Aussen","Aussenlager",IF(CG1828="-","Nicht im Lift",IF(AP1828&gt;=1,"Lift",IF(AP1828&lt;=0,"Aussenlager","teilweise")))))</f>
        <v/>
      </c>
      <c r="BL1828" s="60" t="str">
        <f aca="false">IF(AT1828&lt;=0,"",IF(CG1828="Aussen","Aussenlager",IF(CG1828="-","Nicht im Lift",IF(AZ1828&gt;=1,"Lift",IF(AZ1828&lt;=0,"Aussenlager","teilweise")))))</f>
        <v/>
      </c>
      <c r="BM1828" s="60" t="str">
        <f aca="false">IF(BD1828&lt;=0,"",IF(CG1828="Aussen","Aussenlager",IF(CG1828="-","Nicht im Lift",IF(BJ1828&gt;=1,"Lift",IF(BJ1828&lt;=0,"Aussenlager","teilweise")))))</f>
        <v/>
      </c>
      <c r="BN1828" s="60" t="str">
        <f aca="false">IF(A1828="","",IF(BW1828=1,"Neu; ","")&amp;IF(AND(BW1828=0,BR1828&lt;0),"negativer Bestand (Export "&amp;BR1828&amp;"); ","")&amp;IF(J1828&lt;=0,"Kein Verbrauch; ","")&amp;IF(CR1828&gt;0,"Lift "&amp;W1828&amp;" lt. Liftbericht (Fach "&amp;X1828&amp;" Stk); ",IF(CB1828=1,"Gebinde geschätzt ("&amp;T1828&amp;"); ",IF(CA1828=1,"Lose – Tablare geschätzt; ","")))&amp;IF(H1828&gt;AW1828,"Überbestand "&amp;ROUND(H1828-AW1828,0)&amp;" Stk / CHF "&amp;ROUND((H1828-AW1828)*G1828,0)&amp;"; ","")&amp;IF(AND(CI1828=1,CJ1828&lt;CK1828),"MAX &lt; MB+LG; ","")&amp;IF(AND(CQ1828&gt;0,CP1828*10&gt;CQ1828),"zu hoch für Tablar; ","")&amp;IF(AND(BW1828=0,OR(CI1828=1,AB1828&lt;&gt;"",U1828&lt;&gt;"",V1828&lt;&gt;"",AC1828&lt;&gt;"")),"manuell übersteuert; ","")&amp;IF(AND(CA1828=0,R1828=0),"Gebinde unbekannt / Stellmass fehlt; ","")&amp;IF(AND(CA1828=0,N(V1828)&lt;=0,N(Q1828)&lt;=0),"Menge pro Gebinde fehlt (Ist = 1 Gebinde); ","")&amp;BV1828)</f>
        <v/>
      </c>
      <c r="BO1828" s="60"/>
      <c r="BP1828" s="60"/>
      <c r="BQ1828" s="67"/>
      <c r="BR1828" s="62" t="n">
        <f aca="false">N('Neue Artikel'!$D$89)</f>
        <v>0</v>
      </c>
      <c r="BS1828" s="62" t="n">
        <v>0</v>
      </c>
      <c r="BT1828" s="61" t="n">
        <v>0</v>
      </c>
      <c r="BU1828" s="62" t="n">
        <f aca="false">N('Neue Artikel'!$C$89)/Parameter!$B$18</f>
        <v>0</v>
      </c>
      <c r="BV1828" s="60"/>
      <c r="BW1828" s="65" t="n">
        <v>1</v>
      </c>
      <c r="BX1828" s="65" t="n">
        <v>1828</v>
      </c>
      <c r="BY1828" s="60" t="str">
        <f aca="false">IF(U1828&lt;&gt;"",UPPER(TRIM(U1828)),IF(CB1828=1,UPPER(VLOOKUP(T1828,Parameter!$I$27:$K$29,2,0)),IF(P1828="","LOSE",P1828)))</f>
        <v>LOSE</v>
      </c>
      <c r="BZ1828" s="62" t="n">
        <f aca="false">IF(BY1828="LOSE",1,IF(N(V1828)&gt;0,V1828,IF(CB1828=1,MAX(1,N(VLOOKUP(T1828,Parameter!$I$27:$K$29,3,0)),H1828,N(N1828)),IF(N(Q1828)&gt;0,Q1828,MAX(1,H1828)))))</f>
        <v>1</v>
      </c>
      <c r="CA1828" s="65" t="n">
        <f aca="false">IF(BY1828="LOSE",1,0)</f>
        <v>1</v>
      </c>
      <c r="CB1828" s="65" t="n">
        <f aca="false">IF(AND(U1828="",OR(P1828="",P1828="LOSE"),T1828&lt;&gt;"",N(S1828)&lt;=0,ISNUMBER(MATCH(T1828,Parameter!$I$27:$I$29,0))),1,0)</f>
        <v>0</v>
      </c>
      <c r="CC1828" s="65" t="n">
        <f aca="false">IF(CR1828&gt;0,INDEX(Parameter!$H$5:$H$7,W1828)/INDEX(Parameter!$E$5:$E$7,W1828),IF(AND(CA1828=0,N(IFERROR(VLOOKUP(BY1828,'Gebinde-Kategorie'!$A$5:$N$45,14,0),0))&gt;0),VLOOKUP(BY1828,'Gebinde-Kategorie'!$A$5:$N$45,14,0)*10+Parameter!$M$23,Parameter!$M$24))</f>
        <v>235</v>
      </c>
      <c r="CD1828" s="60" t="str">
        <f aca="false">IF(AND(Parameter!$B$19="Ja",E1828&lt;&gt;"",ISNUMBER(MATCH(E1828,Parameter!$I$35:$I$52,0))),VLOOKUP(E1828,Parameter!$I$35:$J$52,2,0),IFERROR(VLOOKUP(D1828,Parameter!$A$35:$C$64,2,0),"Nein"))</f>
        <v>2+3</v>
      </c>
      <c r="CE1828" s="64" t="n">
        <f aca="false">IF(CA1828=0,0,IF(N(S1828)&gt;0,S1828,IFERROR(VLOOKUP(D1828,Parameter!$A$35:$C$64,3,0)+0,0)))</f>
        <v>0.15</v>
      </c>
      <c r="CF1828" s="60" t="str">
        <f aca="false">IF(AB1828&lt;&gt;"",AB1828,AA1828)</f>
        <v/>
      </c>
      <c r="CG1828" s="60" t="str">
        <f aca="false">IF(OR(CF1828=1,CF1828=2,CF1828=3),IF(Parameter!$E$27="Ja","LIFT",IF(CF1828=1,"L1","L23")),IF(CF1828="Aussen","Aussen","-"))</f>
        <v>-</v>
      </c>
      <c r="CH1828" s="71" t="n">
        <f aca="false">IF(N(AC1828)&gt;0,AC1828,0)</f>
        <v>0</v>
      </c>
      <c r="CI1828" s="65" t="n">
        <f aca="false">IF(ISNUMBER(AF1828),1,0)</f>
        <v>0</v>
      </c>
      <c r="CJ1828" s="62" t="n">
        <f aca="false">N(AF1828)</f>
        <v>0</v>
      </c>
      <c r="CK1828" s="62" t="n">
        <f aca="false">N(M1828)+N(N1828)</f>
        <v>0</v>
      </c>
      <c r="CL1828" s="62" t="n">
        <f aca="false">N(M1828)</f>
        <v>0</v>
      </c>
      <c r="CM1828" s="62" t="n">
        <f aca="false">N(N1828)</f>
        <v>0</v>
      </c>
      <c r="CN1828" s="62" t="n">
        <f aca="false">ROUNDUP(H1828/BZ1828,0)</f>
        <v>0</v>
      </c>
      <c r="CO1828" s="62" t="n">
        <f aca="false">ROUNDUP(CJ1828/BZ1828,0)</f>
        <v>0</v>
      </c>
      <c r="CP1828" s="65" t="n">
        <f aca="false">IF(CA1828=1,0,IFERROR(VLOOKUP(BY1828,'Gebinde-Kategorie'!$A$5:$N$45,5,0)+0,0))</f>
        <v>0</v>
      </c>
      <c r="CQ1828" s="65" t="n">
        <f aca="false">IFERROR(IF(OR(CF1828=1,CF1828=2,CF1828=3),N(INDEX(Parameter!$I$5:$I$7,CF1828)),0),0)</f>
        <v>0</v>
      </c>
      <c r="CR1828" s="64" t="n">
        <f aca="false">IF(AND(Parameter!$B$21="Ja",ISNUMBER(W1828),N(X1828)&gt;0),IFERROR(N(INDEX(Parameter!$L$5:$L$7,W1828))*INDEX(Parameter!$E$5:$E$7,W1828)*X1828/SUMIFS($X$7:$X$1843,$W$7:$W$1843,W1828),0),0)</f>
        <v>0</v>
      </c>
      <c r="CS1828" s="62" t="str">
        <f aca="false">IF(AND(OR(CG1828="L1",CG1828="L23",CG1828="LIFT"),H1828&gt;0),CC1828*IF(CR1828&gt;0,CR1828*MAX(1,H1828/X1828),IF(CA1828=1,CE1828,IF(R1828&gt;0,CN1828/R1828,0))/MAX(0.1,N(Parameter!$M$21))),"")</f>
        <v/>
      </c>
      <c r="CT1828" s="64" t="str">
        <f aca="false">IF(CS1828="","",J1828/H1828)</f>
        <v/>
      </c>
      <c r="CU1828" s="62" t="str">
        <f aca="false">IF(CS1828="","",H1828*G1828)</f>
        <v/>
      </c>
      <c r="CV1828" s="63" t="str">
        <f aca="false">IF(CS1828="","",(CL1828+ROUNDUP(CL1828+MAX(CM1828,2*(J1828/MAX(0.1,N(Einkauf!$C$6))-CL1828)),0))/2)</f>
        <v/>
      </c>
      <c r="CW1828" s="62" t="str">
        <f aca="false">IF(CS1828="","",MAX(0,H1828-CV1828)*G1828)</f>
        <v/>
      </c>
      <c r="CX1828" s="62" t="str">
        <f aca="false">IF(CS1828="","",CS1828*MAX(0,1-CV1828/H1828))</f>
        <v/>
      </c>
      <c r="CY1828" s="64" t="str">
        <f aca="false">IF(CS1828="","",PERCENTRANK($CS$7:$CS$1843,CS1828)+PERCENTRANK($CU$7:$CU$1843,CU1828)+1-PERCENTRANK($CT$7:$CT$1843,CT1828))</f>
        <v/>
      </c>
      <c r="CZ1828" s="72" t="str">
        <f aca="false">IF(CS1828="","",CHOOSE(MATCH(Einkauf!$C$5,Parameter!$G$23:$G$27,0),CY1828,CS1828,CU1828,-CT1828,CW1828)+ROW()/1000000000)</f>
        <v/>
      </c>
    </row>
    <row r="1829" customFormat="false" ht="15" hidden="false" customHeight="false" outlineLevel="0" collapsed="false">
      <c r="A1829" s="60" t="str">
        <f aca="false">IF('Neue Artikel'!$A$90="","",'Neue Artikel'!$A$90&amp;"")</f>
        <v/>
      </c>
      <c r="B1829" s="60" t="str">
        <f aca="false">'Neue Artikel'!$B$90&amp;""</f>
        <v/>
      </c>
      <c r="C1829" s="60"/>
      <c r="D1829" s="60" t="s">
        <v>3057</v>
      </c>
      <c r="E1829" s="60"/>
      <c r="F1829" s="60"/>
      <c r="G1829" s="61" t="n">
        <f aca="false">N('Neue Artikel'!$G$90)</f>
        <v>0</v>
      </c>
      <c r="H1829" s="62" t="n">
        <f aca="false">MAX(0,IF(AND(Parameter!$B$21="Ja",ISNUMBER(Y1829)),Y1829,IF(Parameter!$B$20="Jahresanfang 2025 + Export",BS1829+BR1829,BR1829)))</f>
        <v>0</v>
      </c>
      <c r="I1829" s="62" t="n">
        <f aca="false">H1829*G1829</f>
        <v>0</v>
      </c>
      <c r="J1829" s="62" t="n">
        <f aca="false">BU1829*Parameter!$B$18</f>
        <v>0</v>
      </c>
      <c r="K1829" s="63"/>
      <c r="L1829" s="64"/>
      <c r="M1829" s="62" t="n">
        <f aca="false">N('Neue Artikel'!$E$90)</f>
        <v>0</v>
      </c>
      <c r="N1829" s="62" t="n">
        <f aca="false">N('Neue Artikel'!$F$90)</f>
        <v>0</v>
      </c>
      <c r="O1829" s="65"/>
      <c r="P1829" s="60" t="str">
        <f aca="false">IF('Neue Artikel'!$H$90="","LOSE",UPPER(TRIM('Neue Artikel'!$H$90)))</f>
        <v>LOSE</v>
      </c>
      <c r="Q1829" s="62" t="n">
        <f aca="false">N('Neue Artikel'!$I$90)</f>
        <v>0</v>
      </c>
      <c r="R1829" s="65" t="n">
        <f aca="false">IF(CA1829=1,0,IFERROR(VLOOKUP(BY1829,'Gebinde-Kategorie'!$A$5:$N$45,13,0)+0,0))</f>
        <v>0</v>
      </c>
      <c r="S1829" s="66"/>
      <c r="T1829" s="67"/>
      <c r="U1829" s="67"/>
      <c r="V1829" s="67"/>
      <c r="W1829" s="60"/>
      <c r="X1829" s="62"/>
      <c r="Y1829" s="62"/>
      <c r="Z1829" s="60"/>
      <c r="AA1829" s="60" t="str">
        <f aca="false">IF(A1829="","",IF(AND(Parameter!$B$21="Ja",ISNUMBER(W1829)),W1829,IF(AND(Parameter!$E$27="Ja",ISNUMBER(Z1829),CD1829&lt;&gt;"Nein"),Z1829,IF(CD1829="2+3",IF(ISNUMBER(SEARCH("grosser Artikel",BV1829)),2,IFERROR(VLOOKUP(BY1829,Parameter!$F$35:$G$64,2,0),2)),IF(OR(CD1829="Nein",CD1829=""),"-",CD1829)))))</f>
        <v/>
      </c>
      <c r="AB1829" s="60" t="str">
        <f aca="false">IF('Neue Artikel'!$J$90="","",'Neue Artikel'!$J$90)</f>
        <v/>
      </c>
      <c r="AC1829" s="68"/>
      <c r="AD1829" s="62" t="n">
        <f aca="false">AW1829</f>
        <v>0</v>
      </c>
      <c r="AE1829" s="62" t="n">
        <f aca="false">MAX(AW1829,H1829)</f>
        <v>0</v>
      </c>
      <c r="AF1829" s="69"/>
      <c r="AG1829" s="62" t="n">
        <f aca="false">IF(LEFT(Cockpit!$C$5,1)="A",H1829,IF(Parameter!$E$30="MAX-Bestand",IF(CI1829=1,CJ1829,IF(LEFT(Cockpit!$C$5,1)="B",AM1829,MAX(AM1829,H1829))),ROUNDUP(AK1829,0)))</f>
        <v>0</v>
      </c>
      <c r="AH1829" s="62" t="n">
        <f aca="false">IF(CA1829=1,0,ROUNDUP(AG1829/BZ1829,0))</f>
        <v>0</v>
      </c>
      <c r="AI1829" s="64" t="n">
        <f aca="false">IF(CR1829&gt;0,CR1829*MAX(1,AG1829/X1829),IF(CA1829=1,IF(AG1829&lt;=0,0,CE1829*MAX(1,IF(H1829&gt;0,AG1829/H1829,1))),IF(R1829&gt;0,AH1829/R1829,0))/MAX(0.1,N(Parameter!$M$21)))</f>
        <v>0</v>
      </c>
      <c r="AJ1829" s="62" t="n">
        <f aca="false">AI1829*CC1829</f>
        <v>0</v>
      </c>
      <c r="AK1829" s="63" t="n">
        <f aca="false">IF(LEFT(Cockpit!$C$5,1)="A",H1829,IF(CI1829=1,(CL1829+CJ1829)/2,IF(LEFT(Cockpit!$C$5,1)="B",(CL1829+AM1829)/2,MAX((CL1829+AM1829)/2,H1829))))</f>
        <v>0</v>
      </c>
      <c r="AL1829" s="62" t="n">
        <f aca="false">AK1829*G1829</f>
        <v>0</v>
      </c>
      <c r="AM1829" s="62" t="n">
        <f aca="false">ROUNDUP(CL1829+MAX(CM1829,2*(J1829/IF(CH1829&gt;0,CH1829,MAX(0.1,N(Cockpit!$C$6)))-CL1829)),0)</f>
        <v>0</v>
      </c>
      <c r="AN1829" s="63" t="n">
        <f aca="false">IF(AJ1829&gt;0,J1829/AJ1829,-1)</f>
        <v>-1</v>
      </c>
      <c r="AO1829" s="63" t="str">
        <f aca="false">IF(AND(OR(CG1829="L1",CG1829="L23",CG1829="LIFT"),AJ1829&gt;0),SUMIFS($AJ$7:$AJ$1843,$CG$7:$CG$1843,CG1829,$AN$7:$AN$1843,"&gt;"&amp;AN1829)+SUMIFS($AJ$7:$AJ$1843,$CG$7:$CG$1843,CG1829,$AN$7:$AN$1843,AN1829,$BX$7:$BX$1843,"&lt;="&amp;BX1829),"")</f>
        <v/>
      </c>
      <c r="AP1829" s="70" t="n">
        <f aca="false">IF(AO1829="",0,MAX(0,MIN(1,(IF(CG1829="L1",Parameter!$H$5,IF(CG1829="L23",Parameter!$H$6+Parameter!$H$7,Parameter!$H$5+Parameter!$H$6+Parameter!$H$7))-(AO1829-AJ1829))/AJ1829)))</f>
        <v>0</v>
      </c>
      <c r="AQ1829" s="62" t="n">
        <f aca="false">IF(LEFT(Cockpit!$I$5,1)="A",H1829,IF(Parameter!$E$30="MAX-Bestand",IF(CI1829=1,CJ1829,IF(LEFT(Cockpit!$I$5,1)="B",AW1829,MAX(AW1829,H1829))),ROUNDUP(AU1829,0)))</f>
        <v>0</v>
      </c>
      <c r="AR1829" s="62" t="n">
        <f aca="false">IF(CA1829=1,0,ROUNDUP(AQ1829/BZ1829,0))</f>
        <v>0</v>
      </c>
      <c r="AS1829" s="64" t="n">
        <f aca="false">IF(CR1829&gt;0,CR1829*MAX(1,AQ1829/X1829),IF(CA1829=1,IF(AQ1829&lt;=0,0,CE1829*MAX(1,IF(H1829&gt;0,AQ1829/H1829,1))),IF(R1829&gt;0,AR1829/R1829,0))/MAX(0.1,N(Parameter!$M$21)))</f>
        <v>0</v>
      </c>
      <c r="AT1829" s="62" t="n">
        <f aca="false">AS1829*CC1829</f>
        <v>0</v>
      </c>
      <c r="AU1829" s="63" t="n">
        <f aca="false">IF(LEFT(Cockpit!$I$5,1)="A",H1829,IF(CI1829=1,(CL1829+CJ1829)/2,IF(LEFT(Cockpit!$I$5,1)="B",(CL1829+AW1829)/2,MAX((CL1829+AW1829)/2,H1829))))</f>
        <v>0</v>
      </c>
      <c r="AV1829" s="62" t="n">
        <f aca="false">AU1829*G1829</f>
        <v>0</v>
      </c>
      <c r="AW1829" s="62" t="n">
        <f aca="false">ROUNDUP(CL1829+MAX(CM1829,2*(J1829/IF(CH1829&gt;0,CH1829,MAX(0.1,N(Cockpit!$I$6)))-CL1829)),0)</f>
        <v>0</v>
      </c>
      <c r="AX1829" s="63" t="n">
        <f aca="false">IF(AT1829&gt;0,J1829/AT1829,-1)</f>
        <v>-1</v>
      </c>
      <c r="AY1829" s="63" t="str">
        <f aca="false">IF(AND(OR(CG1829="L1",CG1829="L23",CG1829="LIFT"),AT1829&gt;0),SUMIFS($AT$7:$AT$1843,$CG$7:$CG$1843,CG1829,$AX$7:$AX$1843,"&gt;"&amp;AX1829)+SUMIFS($AT$7:$AT$1843,$CG$7:$CG$1843,CG1829,$AX$7:$AX$1843,AX1829,$BX$7:$BX$1843,"&lt;="&amp;BX1829),"")</f>
        <v/>
      </c>
      <c r="AZ1829" s="70" t="n">
        <f aca="false">IF(AY1829="",0,MAX(0,MIN(1,(IF(CG1829="L1",Parameter!$H$5,IF(CG1829="L23",Parameter!$H$6+Parameter!$H$7,Parameter!$H$5+Parameter!$H$6+Parameter!$H$7))-(AY1829-AT1829))/AT1829)))</f>
        <v>0</v>
      </c>
      <c r="BA1829" s="62" t="n">
        <f aca="false">IF(LEFT(Cockpit!$O$5,1)="A",H1829,IF(Parameter!$E$30="MAX-Bestand",IF(CI1829=1,CJ1829,IF(LEFT(Cockpit!$O$5,1)="B",BG1829,MAX(BG1829,H1829))),ROUNDUP(BE1829,0)))</f>
        <v>0</v>
      </c>
      <c r="BB1829" s="62" t="n">
        <f aca="false">IF(CA1829=1,0,ROUNDUP(BA1829/BZ1829,0))</f>
        <v>0</v>
      </c>
      <c r="BC1829" s="64" t="n">
        <f aca="false">IF(CR1829&gt;0,CR1829*MAX(1,BA1829/X1829),IF(CA1829=1,IF(BA1829&lt;=0,0,CE1829*MAX(1,IF(H1829&gt;0,BA1829/H1829,1))),IF(R1829&gt;0,BB1829/R1829,0))/MAX(0.1,N(Parameter!$M$21)))</f>
        <v>0</v>
      </c>
      <c r="BD1829" s="62" t="n">
        <f aca="false">BC1829*CC1829</f>
        <v>0</v>
      </c>
      <c r="BE1829" s="63" t="n">
        <f aca="false">IF(LEFT(Cockpit!$O$5,1)="A",H1829,IF(CI1829=1,(CL1829+CJ1829)/2,IF(LEFT(Cockpit!$O$5,1)="B",(CL1829+BG1829)/2,MAX((CL1829+BG1829)/2,H1829))))</f>
        <v>0</v>
      </c>
      <c r="BF1829" s="62" t="n">
        <f aca="false">BE1829*G1829</f>
        <v>0</v>
      </c>
      <c r="BG1829" s="62" t="n">
        <f aca="false">ROUNDUP(CL1829+MAX(CM1829,2*(J1829/IF(CH1829&gt;0,CH1829,MAX(0.1,N(Cockpit!$O$6)))-CL1829)),0)</f>
        <v>0</v>
      </c>
      <c r="BH1829" s="63" t="n">
        <f aca="false">IF(BD1829&gt;0,J1829/BD1829,-1)</f>
        <v>-1</v>
      </c>
      <c r="BI1829" s="63" t="str">
        <f aca="false">IF(AND(OR(CG1829="L1",CG1829="L23",CG1829="LIFT"),BD1829&gt;0),SUMIFS($BD$7:$BD$1843,$CG$7:$CG$1843,CG1829,$BH$7:$BH$1843,"&gt;"&amp;BH1829)+SUMIFS($BD$7:$BD$1843,$CG$7:$CG$1843,CG1829,$BH$7:$BH$1843,BH1829,$BX$7:$BX$1843,"&lt;="&amp;BX1829),"")</f>
        <v/>
      </c>
      <c r="BJ1829" s="70" t="n">
        <f aca="false">IF(BI1829="",0,MAX(0,MIN(1,(IF(CG1829="L1",Parameter!$H$5,IF(CG1829="L23",Parameter!$H$6+Parameter!$H$7,Parameter!$H$5+Parameter!$H$6+Parameter!$H$7))-(BI1829-BD1829))/BD1829)))</f>
        <v>0</v>
      </c>
      <c r="BK1829" s="60" t="str">
        <f aca="false">IF(AJ1829&lt;=0,"",IF(CG1829="Aussen","Aussenlager",IF(CG1829="-","Nicht im Lift",IF(AP1829&gt;=1,"Lift",IF(AP1829&lt;=0,"Aussenlager","teilweise")))))</f>
        <v/>
      </c>
      <c r="BL1829" s="60" t="str">
        <f aca="false">IF(AT1829&lt;=0,"",IF(CG1829="Aussen","Aussenlager",IF(CG1829="-","Nicht im Lift",IF(AZ1829&gt;=1,"Lift",IF(AZ1829&lt;=0,"Aussenlager","teilweise")))))</f>
        <v/>
      </c>
      <c r="BM1829" s="60" t="str">
        <f aca="false">IF(BD1829&lt;=0,"",IF(CG1829="Aussen","Aussenlager",IF(CG1829="-","Nicht im Lift",IF(BJ1829&gt;=1,"Lift",IF(BJ1829&lt;=0,"Aussenlager","teilweise")))))</f>
        <v/>
      </c>
      <c r="BN1829" s="60" t="str">
        <f aca="false">IF(A1829="","",IF(BW1829=1,"Neu; ","")&amp;IF(AND(BW1829=0,BR1829&lt;0),"negativer Bestand (Export "&amp;BR1829&amp;"); ","")&amp;IF(J1829&lt;=0,"Kein Verbrauch; ","")&amp;IF(CR1829&gt;0,"Lift "&amp;W1829&amp;" lt. Liftbericht (Fach "&amp;X1829&amp;" Stk); ",IF(CB1829=1,"Gebinde geschätzt ("&amp;T1829&amp;"); ",IF(CA1829=1,"Lose – Tablare geschätzt; ","")))&amp;IF(H1829&gt;AW1829,"Überbestand "&amp;ROUND(H1829-AW1829,0)&amp;" Stk / CHF "&amp;ROUND((H1829-AW1829)*G1829,0)&amp;"; ","")&amp;IF(AND(CI1829=1,CJ1829&lt;CK1829),"MAX &lt; MB+LG; ","")&amp;IF(AND(CQ1829&gt;0,CP1829*10&gt;CQ1829),"zu hoch für Tablar; ","")&amp;IF(AND(BW1829=0,OR(CI1829=1,AB1829&lt;&gt;"",U1829&lt;&gt;"",V1829&lt;&gt;"",AC1829&lt;&gt;"")),"manuell übersteuert; ","")&amp;IF(AND(CA1829=0,R1829=0),"Gebinde unbekannt / Stellmass fehlt; ","")&amp;IF(AND(CA1829=0,N(V1829)&lt;=0,N(Q1829)&lt;=0),"Menge pro Gebinde fehlt (Ist = 1 Gebinde); ","")&amp;BV1829)</f>
        <v/>
      </c>
      <c r="BO1829" s="60"/>
      <c r="BP1829" s="60"/>
      <c r="BQ1829" s="67"/>
      <c r="BR1829" s="62" t="n">
        <f aca="false">N('Neue Artikel'!$D$90)</f>
        <v>0</v>
      </c>
      <c r="BS1829" s="62" t="n">
        <v>0</v>
      </c>
      <c r="BT1829" s="61" t="n">
        <v>0</v>
      </c>
      <c r="BU1829" s="62" t="n">
        <f aca="false">N('Neue Artikel'!$C$90)/Parameter!$B$18</f>
        <v>0</v>
      </c>
      <c r="BV1829" s="60"/>
      <c r="BW1829" s="65" t="n">
        <v>1</v>
      </c>
      <c r="BX1829" s="65" t="n">
        <v>1829</v>
      </c>
      <c r="BY1829" s="60" t="str">
        <f aca="false">IF(U1829&lt;&gt;"",UPPER(TRIM(U1829)),IF(CB1829=1,UPPER(VLOOKUP(T1829,Parameter!$I$27:$K$29,2,0)),IF(P1829="","LOSE",P1829)))</f>
        <v>LOSE</v>
      </c>
      <c r="BZ1829" s="62" t="n">
        <f aca="false">IF(BY1829="LOSE",1,IF(N(V1829)&gt;0,V1829,IF(CB1829=1,MAX(1,N(VLOOKUP(T1829,Parameter!$I$27:$K$29,3,0)),H1829,N(N1829)),IF(N(Q1829)&gt;0,Q1829,MAX(1,H1829)))))</f>
        <v>1</v>
      </c>
      <c r="CA1829" s="65" t="n">
        <f aca="false">IF(BY1829="LOSE",1,0)</f>
        <v>1</v>
      </c>
      <c r="CB1829" s="65" t="n">
        <f aca="false">IF(AND(U1829="",OR(P1829="",P1829="LOSE"),T1829&lt;&gt;"",N(S1829)&lt;=0,ISNUMBER(MATCH(T1829,Parameter!$I$27:$I$29,0))),1,0)</f>
        <v>0</v>
      </c>
      <c r="CC1829" s="65" t="n">
        <f aca="false">IF(CR1829&gt;0,INDEX(Parameter!$H$5:$H$7,W1829)/INDEX(Parameter!$E$5:$E$7,W1829),IF(AND(CA1829=0,N(IFERROR(VLOOKUP(BY1829,'Gebinde-Kategorie'!$A$5:$N$45,14,0),0))&gt;0),VLOOKUP(BY1829,'Gebinde-Kategorie'!$A$5:$N$45,14,0)*10+Parameter!$M$23,Parameter!$M$24))</f>
        <v>235</v>
      </c>
      <c r="CD1829" s="60" t="str">
        <f aca="false">IF(AND(Parameter!$B$19="Ja",E1829&lt;&gt;"",ISNUMBER(MATCH(E1829,Parameter!$I$35:$I$52,0))),VLOOKUP(E1829,Parameter!$I$35:$J$52,2,0),IFERROR(VLOOKUP(D1829,Parameter!$A$35:$C$64,2,0),"Nein"))</f>
        <v>2+3</v>
      </c>
      <c r="CE1829" s="64" t="n">
        <f aca="false">IF(CA1829=0,0,IF(N(S1829)&gt;0,S1829,IFERROR(VLOOKUP(D1829,Parameter!$A$35:$C$64,3,0)+0,0)))</f>
        <v>0.15</v>
      </c>
      <c r="CF1829" s="60" t="str">
        <f aca="false">IF(AB1829&lt;&gt;"",AB1829,AA1829)</f>
        <v/>
      </c>
      <c r="CG1829" s="60" t="str">
        <f aca="false">IF(OR(CF1829=1,CF1829=2,CF1829=3),IF(Parameter!$E$27="Ja","LIFT",IF(CF1829=1,"L1","L23")),IF(CF1829="Aussen","Aussen","-"))</f>
        <v>-</v>
      </c>
      <c r="CH1829" s="71" t="n">
        <f aca="false">IF(N(AC1829)&gt;0,AC1829,0)</f>
        <v>0</v>
      </c>
      <c r="CI1829" s="65" t="n">
        <f aca="false">IF(ISNUMBER(AF1829),1,0)</f>
        <v>0</v>
      </c>
      <c r="CJ1829" s="62" t="n">
        <f aca="false">N(AF1829)</f>
        <v>0</v>
      </c>
      <c r="CK1829" s="62" t="n">
        <f aca="false">N(M1829)+N(N1829)</f>
        <v>0</v>
      </c>
      <c r="CL1829" s="62" t="n">
        <f aca="false">N(M1829)</f>
        <v>0</v>
      </c>
      <c r="CM1829" s="62" t="n">
        <f aca="false">N(N1829)</f>
        <v>0</v>
      </c>
      <c r="CN1829" s="62" t="n">
        <f aca="false">ROUNDUP(H1829/BZ1829,0)</f>
        <v>0</v>
      </c>
      <c r="CO1829" s="62" t="n">
        <f aca="false">ROUNDUP(CJ1829/BZ1829,0)</f>
        <v>0</v>
      </c>
      <c r="CP1829" s="65" t="n">
        <f aca="false">IF(CA1829=1,0,IFERROR(VLOOKUP(BY1829,'Gebinde-Kategorie'!$A$5:$N$45,5,0)+0,0))</f>
        <v>0</v>
      </c>
      <c r="CQ1829" s="65" t="n">
        <f aca="false">IFERROR(IF(OR(CF1829=1,CF1829=2,CF1829=3),N(INDEX(Parameter!$I$5:$I$7,CF1829)),0),0)</f>
        <v>0</v>
      </c>
      <c r="CR1829" s="64" t="n">
        <f aca="false">IF(AND(Parameter!$B$21="Ja",ISNUMBER(W1829),N(X1829)&gt;0),IFERROR(N(INDEX(Parameter!$L$5:$L$7,W1829))*INDEX(Parameter!$E$5:$E$7,W1829)*X1829/SUMIFS($X$7:$X$1843,$W$7:$W$1843,W1829),0),0)</f>
        <v>0</v>
      </c>
      <c r="CS1829" s="62" t="str">
        <f aca="false">IF(AND(OR(CG1829="L1",CG1829="L23",CG1829="LIFT"),H1829&gt;0),CC1829*IF(CR1829&gt;0,CR1829*MAX(1,H1829/X1829),IF(CA1829=1,CE1829,IF(R1829&gt;0,CN1829/R1829,0))/MAX(0.1,N(Parameter!$M$21))),"")</f>
        <v/>
      </c>
      <c r="CT1829" s="64" t="str">
        <f aca="false">IF(CS1829="","",J1829/H1829)</f>
        <v/>
      </c>
      <c r="CU1829" s="62" t="str">
        <f aca="false">IF(CS1829="","",H1829*G1829)</f>
        <v/>
      </c>
      <c r="CV1829" s="63" t="str">
        <f aca="false">IF(CS1829="","",(CL1829+ROUNDUP(CL1829+MAX(CM1829,2*(J1829/MAX(0.1,N(Einkauf!$C$6))-CL1829)),0))/2)</f>
        <v/>
      </c>
      <c r="CW1829" s="62" t="str">
        <f aca="false">IF(CS1829="","",MAX(0,H1829-CV1829)*G1829)</f>
        <v/>
      </c>
      <c r="CX1829" s="62" t="str">
        <f aca="false">IF(CS1829="","",CS1829*MAX(0,1-CV1829/H1829))</f>
        <v/>
      </c>
      <c r="CY1829" s="64" t="str">
        <f aca="false">IF(CS1829="","",PERCENTRANK($CS$7:$CS$1843,CS1829)+PERCENTRANK($CU$7:$CU$1843,CU1829)+1-PERCENTRANK($CT$7:$CT$1843,CT1829))</f>
        <v/>
      </c>
      <c r="CZ1829" s="72" t="str">
        <f aca="false">IF(CS1829="","",CHOOSE(MATCH(Einkauf!$C$5,Parameter!$G$23:$G$27,0),CY1829,CS1829,CU1829,-CT1829,CW1829)+ROW()/1000000000)</f>
        <v/>
      </c>
    </row>
    <row r="1830" customFormat="false" ht="15" hidden="false" customHeight="false" outlineLevel="0" collapsed="false">
      <c r="A1830" s="60" t="str">
        <f aca="false">IF('Neue Artikel'!$A$91="","",'Neue Artikel'!$A$91&amp;"")</f>
        <v/>
      </c>
      <c r="B1830" s="60" t="str">
        <f aca="false">'Neue Artikel'!$B$91&amp;""</f>
        <v/>
      </c>
      <c r="C1830" s="60"/>
      <c r="D1830" s="60" t="s">
        <v>3057</v>
      </c>
      <c r="E1830" s="60"/>
      <c r="F1830" s="60"/>
      <c r="G1830" s="61" t="n">
        <f aca="false">N('Neue Artikel'!$G$91)</f>
        <v>0</v>
      </c>
      <c r="H1830" s="62" t="n">
        <f aca="false">MAX(0,IF(AND(Parameter!$B$21="Ja",ISNUMBER(Y1830)),Y1830,IF(Parameter!$B$20="Jahresanfang 2025 + Export",BS1830+BR1830,BR1830)))</f>
        <v>0</v>
      </c>
      <c r="I1830" s="62" t="n">
        <f aca="false">H1830*G1830</f>
        <v>0</v>
      </c>
      <c r="J1830" s="62" t="n">
        <f aca="false">BU1830*Parameter!$B$18</f>
        <v>0</v>
      </c>
      <c r="K1830" s="63"/>
      <c r="L1830" s="64"/>
      <c r="M1830" s="62" t="n">
        <f aca="false">N('Neue Artikel'!$E$91)</f>
        <v>0</v>
      </c>
      <c r="N1830" s="62" t="n">
        <f aca="false">N('Neue Artikel'!$F$91)</f>
        <v>0</v>
      </c>
      <c r="O1830" s="65"/>
      <c r="P1830" s="60" t="str">
        <f aca="false">IF('Neue Artikel'!$H$91="","LOSE",UPPER(TRIM('Neue Artikel'!$H$91)))</f>
        <v>LOSE</v>
      </c>
      <c r="Q1830" s="62" t="n">
        <f aca="false">N('Neue Artikel'!$I$91)</f>
        <v>0</v>
      </c>
      <c r="R1830" s="65" t="n">
        <f aca="false">IF(CA1830=1,0,IFERROR(VLOOKUP(BY1830,'Gebinde-Kategorie'!$A$5:$N$45,13,0)+0,0))</f>
        <v>0</v>
      </c>
      <c r="S1830" s="66"/>
      <c r="T1830" s="67"/>
      <c r="U1830" s="67"/>
      <c r="V1830" s="67"/>
      <c r="W1830" s="60"/>
      <c r="X1830" s="62"/>
      <c r="Y1830" s="62"/>
      <c r="Z1830" s="60"/>
      <c r="AA1830" s="60" t="str">
        <f aca="false">IF(A1830="","",IF(AND(Parameter!$B$21="Ja",ISNUMBER(W1830)),W1830,IF(AND(Parameter!$E$27="Ja",ISNUMBER(Z1830),CD1830&lt;&gt;"Nein"),Z1830,IF(CD1830="2+3",IF(ISNUMBER(SEARCH("grosser Artikel",BV1830)),2,IFERROR(VLOOKUP(BY1830,Parameter!$F$35:$G$64,2,0),2)),IF(OR(CD1830="Nein",CD1830=""),"-",CD1830)))))</f>
        <v/>
      </c>
      <c r="AB1830" s="60" t="str">
        <f aca="false">IF('Neue Artikel'!$J$91="","",'Neue Artikel'!$J$91)</f>
        <v/>
      </c>
      <c r="AC1830" s="68"/>
      <c r="AD1830" s="62" t="n">
        <f aca="false">AW1830</f>
        <v>0</v>
      </c>
      <c r="AE1830" s="62" t="n">
        <f aca="false">MAX(AW1830,H1830)</f>
        <v>0</v>
      </c>
      <c r="AF1830" s="69"/>
      <c r="AG1830" s="62" t="n">
        <f aca="false">IF(LEFT(Cockpit!$C$5,1)="A",H1830,IF(Parameter!$E$30="MAX-Bestand",IF(CI1830=1,CJ1830,IF(LEFT(Cockpit!$C$5,1)="B",AM1830,MAX(AM1830,H1830))),ROUNDUP(AK1830,0)))</f>
        <v>0</v>
      </c>
      <c r="AH1830" s="62" t="n">
        <f aca="false">IF(CA1830=1,0,ROUNDUP(AG1830/BZ1830,0))</f>
        <v>0</v>
      </c>
      <c r="AI1830" s="64" t="n">
        <f aca="false">IF(CR1830&gt;0,CR1830*MAX(1,AG1830/X1830),IF(CA1830=1,IF(AG1830&lt;=0,0,CE1830*MAX(1,IF(H1830&gt;0,AG1830/H1830,1))),IF(R1830&gt;0,AH1830/R1830,0))/MAX(0.1,N(Parameter!$M$21)))</f>
        <v>0</v>
      </c>
      <c r="AJ1830" s="62" t="n">
        <f aca="false">AI1830*CC1830</f>
        <v>0</v>
      </c>
      <c r="AK1830" s="63" t="n">
        <f aca="false">IF(LEFT(Cockpit!$C$5,1)="A",H1830,IF(CI1830=1,(CL1830+CJ1830)/2,IF(LEFT(Cockpit!$C$5,1)="B",(CL1830+AM1830)/2,MAX((CL1830+AM1830)/2,H1830))))</f>
        <v>0</v>
      </c>
      <c r="AL1830" s="62" t="n">
        <f aca="false">AK1830*G1830</f>
        <v>0</v>
      </c>
      <c r="AM1830" s="62" t="n">
        <f aca="false">ROUNDUP(CL1830+MAX(CM1830,2*(J1830/IF(CH1830&gt;0,CH1830,MAX(0.1,N(Cockpit!$C$6)))-CL1830)),0)</f>
        <v>0</v>
      </c>
      <c r="AN1830" s="63" t="n">
        <f aca="false">IF(AJ1830&gt;0,J1830/AJ1830,-1)</f>
        <v>-1</v>
      </c>
      <c r="AO1830" s="63" t="str">
        <f aca="false">IF(AND(OR(CG1830="L1",CG1830="L23",CG1830="LIFT"),AJ1830&gt;0),SUMIFS($AJ$7:$AJ$1843,$CG$7:$CG$1843,CG1830,$AN$7:$AN$1843,"&gt;"&amp;AN1830)+SUMIFS($AJ$7:$AJ$1843,$CG$7:$CG$1843,CG1830,$AN$7:$AN$1843,AN1830,$BX$7:$BX$1843,"&lt;="&amp;BX1830),"")</f>
        <v/>
      </c>
      <c r="AP1830" s="70" t="n">
        <f aca="false">IF(AO1830="",0,MAX(0,MIN(1,(IF(CG1830="L1",Parameter!$H$5,IF(CG1830="L23",Parameter!$H$6+Parameter!$H$7,Parameter!$H$5+Parameter!$H$6+Parameter!$H$7))-(AO1830-AJ1830))/AJ1830)))</f>
        <v>0</v>
      </c>
      <c r="AQ1830" s="62" t="n">
        <f aca="false">IF(LEFT(Cockpit!$I$5,1)="A",H1830,IF(Parameter!$E$30="MAX-Bestand",IF(CI1830=1,CJ1830,IF(LEFT(Cockpit!$I$5,1)="B",AW1830,MAX(AW1830,H1830))),ROUNDUP(AU1830,0)))</f>
        <v>0</v>
      </c>
      <c r="AR1830" s="62" t="n">
        <f aca="false">IF(CA1830=1,0,ROUNDUP(AQ1830/BZ1830,0))</f>
        <v>0</v>
      </c>
      <c r="AS1830" s="64" t="n">
        <f aca="false">IF(CR1830&gt;0,CR1830*MAX(1,AQ1830/X1830),IF(CA1830=1,IF(AQ1830&lt;=0,0,CE1830*MAX(1,IF(H1830&gt;0,AQ1830/H1830,1))),IF(R1830&gt;0,AR1830/R1830,0))/MAX(0.1,N(Parameter!$M$21)))</f>
        <v>0</v>
      </c>
      <c r="AT1830" s="62" t="n">
        <f aca="false">AS1830*CC1830</f>
        <v>0</v>
      </c>
      <c r="AU1830" s="63" t="n">
        <f aca="false">IF(LEFT(Cockpit!$I$5,1)="A",H1830,IF(CI1830=1,(CL1830+CJ1830)/2,IF(LEFT(Cockpit!$I$5,1)="B",(CL1830+AW1830)/2,MAX((CL1830+AW1830)/2,H1830))))</f>
        <v>0</v>
      </c>
      <c r="AV1830" s="62" t="n">
        <f aca="false">AU1830*G1830</f>
        <v>0</v>
      </c>
      <c r="AW1830" s="62" t="n">
        <f aca="false">ROUNDUP(CL1830+MAX(CM1830,2*(J1830/IF(CH1830&gt;0,CH1830,MAX(0.1,N(Cockpit!$I$6)))-CL1830)),0)</f>
        <v>0</v>
      </c>
      <c r="AX1830" s="63" t="n">
        <f aca="false">IF(AT1830&gt;0,J1830/AT1830,-1)</f>
        <v>-1</v>
      </c>
      <c r="AY1830" s="63" t="str">
        <f aca="false">IF(AND(OR(CG1830="L1",CG1830="L23",CG1830="LIFT"),AT1830&gt;0),SUMIFS($AT$7:$AT$1843,$CG$7:$CG$1843,CG1830,$AX$7:$AX$1843,"&gt;"&amp;AX1830)+SUMIFS($AT$7:$AT$1843,$CG$7:$CG$1843,CG1830,$AX$7:$AX$1843,AX1830,$BX$7:$BX$1843,"&lt;="&amp;BX1830),"")</f>
        <v/>
      </c>
      <c r="AZ1830" s="70" t="n">
        <f aca="false">IF(AY1830="",0,MAX(0,MIN(1,(IF(CG1830="L1",Parameter!$H$5,IF(CG1830="L23",Parameter!$H$6+Parameter!$H$7,Parameter!$H$5+Parameter!$H$6+Parameter!$H$7))-(AY1830-AT1830))/AT1830)))</f>
        <v>0</v>
      </c>
      <c r="BA1830" s="62" t="n">
        <f aca="false">IF(LEFT(Cockpit!$O$5,1)="A",H1830,IF(Parameter!$E$30="MAX-Bestand",IF(CI1830=1,CJ1830,IF(LEFT(Cockpit!$O$5,1)="B",BG1830,MAX(BG1830,H1830))),ROUNDUP(BE1830,0)))</f>
        <v>0</v>
      </c>
      <c r="BB1830" s="62" t="n">
        <f aca="false">IF(CA1830=1,0,ROUNDUP(BA1830/BZ1830,0))</f>
        <v>0</v>
      </c>
      <c r="BC1830" s="64" t="n">
        <f aca="false">IF(CR1830&gt;0,CR1830*MAX(1,BA1830/X1830),IF(CA1830=1,IF(BA1830&lt;=0,0,CE1830*MAX(1,IF(H1830&gt;0,BA1830/H1830,1))),IF(R1830&gt;0,BB1830/R1830,0))/MAX(0.1,N(Parameter!$M$21)))</f>
        <v>0</v>
      </c>
      <c r="BD1830" s="62" t="n">
        <f aca="false">BC1830*CC1830</f>
        <v>0</v>
      </c>
      <c r="BE1830" s="63" t="n">
        <f aca="false">IF(LEFT(Cockpit!$O$5,1)="A",H1830,IF(CI1830=1,(CL1830+CJ1830)/2,IF(LEFT(Cockpit!$O$5,1)="B",(CL1830+BG1830)/2,MAX((CL1830+BG1830)/2,H1830))))</f>
        <v>0</v>
      </c>
      <c r="BF1830" s="62" t="n">
        <f aca="false">BE1830*G1830</f>
        <v>0</v>
      </c>
      <c r="BG1830" s="62" t="n">
        <f aca="false">ROUNDUP(CL1830+MAX(CM1830,2*(J1830/IF(CH1830&gt;0,CH1830,MAX(0.1,N(Cockpit!$O$6)))-CL1830)),0)</f>
        <v>0</v>
      </c>
      <c r="BH1830" s="63" t="n">
        <f aca="false">IF(BD1830&gt;0,J1830/BD1830,-1)</f>
        <v>-1</v>
      </c>
      <c r="BI1830" s="63" t="str">
        <f aca="false">IF(AND(OR(CG1830="L1",CG1830="L23",CG1830="LIFT"),BD1830&gt;0),SUMIFS($BD$7:$BD$1843,$CG$7:$CG$1843,CG1830,$BH$7:$BH$1843,"&gt;"&amp;BH1830)+SUMIFS($BD$7:$BD$1843,$CG$7:$CG$1843,CG1830,$BH$7:$BH$1843,BH1830,$BX$7:$BX$1843,"&lt;="&amp;BX1830),"")</f>
        <v/>
      </c>
      <c r="BJ1830" s="70" t="n">
        <f aca="false">IF(BI1830="",0,MAX(0,MIN(1,(IF(CG1830="L1",Parameter!$H$5,IF(CG1830="L23",Parameter!$H$6+Parameter!$H$7,Parameter!$H$5+Parameter!$H$6+Parameter!$H$7))-(BI1830-BD1830))/BD1830)))</f>
        <v>0</v>
      </c>
      <c r="BK1830" s="60" t="str">
        <f aca="false">IF(AJ1830&lt;=0,"",IF(CG1830="Aussen","Aussenlager",IF(CG1830="-","Nicht im Lift",IF(AP1830&gt;=1,"Lift",IF(AP1830&lt;=0,"Aussenlager","teilweise")))))</f>
        <v/>
      </c>
      <c r="BL1830" s="60" t="str">
        <f aca="false">IF(AT1830&lt;=0,"",IF(CG1830="Aussen","Aussenlager",IF(CG1830="-","Nicht im Lift",IF(AZ1830&gt;=1,"Lift",IF(AZ1830&lt;=0,"Aussenlager","teilweise")))))</f>
        <v/>
      </c>
      <c r="BM1830" s="60" t="str">
        <f aca="false">IF(BD1830&lt;=0,"",IF(CG1830="Aussen","Aussenlager",IF(CG1830="-","Nicht im Lift",IF(BJ1830&gt;=1,"Lift",IF(BJ1830&lt;=0,"Aussenlager","teilweise")))))</f>
        <v/>
      </c>
      <c r="BN1830" s="60" t="str">
        <f aca="false">IF(A1830="","",IF(BW1830=1,"Neu; ","")&amp;IF(AND(BW1830=0,BR1830&lt;0),"negativer Bestand (Export "&amp;BR1830&amp;"); ","")&amp;IF(J1830&lt;=0,"Kein Verbrauch; ","")&amp;IF(CR1830&gt;0,"Lift "&amp;W1830&amp;" lt. Liftbericht (Fach "&amp;X1830&amp;" Stk); ",IF(CB1830=1,"Gebinde geschätzt ("&amp;T1830&amp;"); ",IF(CA1830=1,"Lose – Tablare geschätzt; ","")))&amp;IF(H1830&gt;AW1830,"Überbestand "&amp;ROUND(H1830-AW1830,0)&amp;" Stk / CHF "&amp;ROUND((H1830-AW1830)*G1830,0)&amp;"; ","")&amp;IF(AND(CI1830=1,CJ1830&lt;CK1830),"MAX &lt; MB+LG; ","")&amp;IF(AND(CQ1830&gt;0,CP1830*10&gt;CQ1830),"zu hoch für Tablar; ","")&amp;IF(AND(BW1830=0,OR(CI1830=1,AB1830&lt;&gt;"",U1830&lt;&gt;"",V1830&lt;&gt;"",AC1830&lt;&gt;"")),"manuell übersteuert; ","")&amp;IF(AND(CA1830=0,R1830=0),"Gebinde unbekannt / Stellmass fehlt; ","")&amp;IF(AND(CA1830=0,N(V1830)&lt;=0,N(Q1830)&lt;=0),"Menge pro Gebinde fehlt (Ist = 1 Gebinde); ","")&amp;BV1830)</f>
        <v/>
      </c>
      <c r="BO1830" s="60"/>
      <c r="BP1830" s="60"/>
      <c r="BQ1830" s="67"/>
      <c r="BR1830" s="62" t="n">
        <f aca="false">N('Neue Artikel'!$D$91)</f>
        <v>0</v>
      </c>
      <c r="BS1830" s="62" t="n">
        <v>0</v>
      </c>
      <c r="BT1830" s="61" t="n">
        <v>0</v>
      </c>
      <c r="BU1830" s="62" t="n">
        <f aca="false">N('Neue Artikel'!$C$91)/Parameter!$B$18</f>
        <v>0</v>
      </c>
      <c r="BV1830" s="60"/>
      <c r="BW1830" s="65" t="n">
        <v>1</v>
      </c>
      <c r="BX1830" s="65" t="n">
        <v>1830</v>
      </c>
      <c r="BY1830" s="60" t="str">
        <f aca="false">IF(U1830&lt;&gt;"",UPPER(TRIM(U1830)),IF(CB1830=1,UPPER(VLOOKUP(T1830,Parameter!$I$27:$K$29,2,0)),IF(P1830="","LOSE",P1830)))</f>
        <v>LOSE</v>
      </c>
      <c r="BZ1830" s="62" t="n">
        <f aca="false">IF(BY1830="LOSE",1,IF(N(V1830)&gt;0,V1830,IF(CB1830=1,MAX(1,N(VLOOKUP(T1830,Parameter!$I$27:$K$29,3,0)),H1830,N(N1830)),IF(N(Q1830)&gt;0,Q1830,MAX(1,H1830)))))</f>
        <v>1</v>
      </c>
      <c r="CA1830" s="65" t="n">
        <f aca="false">IF(BY1830="LOSE",1,0)</f>
        <v>1</v>
      </c>
      <c r="CB1830" s="65" t="n">
        <f aca="false">IF(AND(U1830="",OR(P1830="",P1830="LOSE"),T1830&lt;&gt;"",N(S1830)&lt;=0,ISNUMBER(MATCH(T1830,Parameter!$I$27:$I$29,0))),1,0)</f>
        <v>0</v>
      </c>
      <c r="CC1830" s="65" t="n">
        <f aca="false">IF(CR1830&gt;0,INDEX(Parameter!$H$5:$H$7,W1830)/INDEX(Parameter!$E$5:$E$7,W1830),IF(AND(CA1830=0,N(IFERROR(VLOOKUP(BY1830,'Gebinde-Kategorie'!$A$5:$N$45,14,0),0))&gt;0),VLOOKUP(BY1830,'Gebinde-Kategorie'!$A$5:$N$45,14,0)*10+Parameter!$M$23,Parameter!$M$24))</f>
        <v>235</v>
      </c>
      <c r="CD1830" s="60" t="str">
        <f aca="false">IF(AND(Parameter!$B$19="Ja",E1830&lt;&gt;"",ISNUMBER(MATCH(E1830,Parameter!$I$35:$I$52,0))),VLOOKUP(E1830,Parameter!$I$35:$J$52,2,0),IFERROR(VLOOKUP(D1830,Parameter!$A$35:$C$64,2,0),"Nein"))</f>
        <v>2+3</v>
      </c>
      <c r="CE1830" s="64" t="n">
        <f aca="false">IF(CA1830=0,0,IF(N(S1830)&gt;0,S1830,IFERROR(VLOOKUP(D1830,Parameter!$A$35:$C$64,3,0)+0,0)))</f>
        <v>0.15</v>
      </c>
      <c r="CF1830" s="60" t="str">
        <f aca="false">IF(AB1830&lt;&gt;"",AB1830,AA1830)</f>
        <v/>
      </c>
      <c r="CG1830" s="60" t="str">
        <f aca="false">IF(OR(CF1830=1,CF1830=2,CF1830=3),IF(Parameter!$E$27="Ja","LIFT",IF(CF1830=1,"L1","L23")),IF(CF1830="Aussen","Aussen","-"))</f>
        <v>-</v>
      </c>
      <c r="CH1830" s="71" t="n">
        <f aca="false">IF(N(AC1830)&gt;0,AC1830,0)</f>
        <v>0</v>
      </c>
      <c r="CI1830" s="65" t="n">
        <f aca="false">IF(ISNUMBER(AF1830),1,0)</f>
        <v>0</v>
      </c>
      <c r="CJ1830" s="62" t="n">
        <f aca="false">N(AF1830)</f>
        <v>0</v>
      </c>
      <c r="CK1830" s="62" t="n">
        <f aca="false">N(M1830)+N(N1830)</f>
        <v>0</v>
      </c>
      <c r="CL1830" s="62" t="n">
        <f aca="false">N(M1830)</f>
        <v>0</v>
      </c>
      <c r="CM1830" s="62" t="n">
        <f aca="false">N(N1830)</f>
        <v>0</v>
      </c>
      <c r="CN1830" s="62" t="n">
        <f aca="false">ROUNDUP(H1830/BZ1830,0)</f>
        <v>0</v>
      </c>
      <c r="CO1830" s="62" t="n">
        <f aca="false">ROUNDUP(CJ1830/BZ1830,0)</f>
        <v>0</v>
      </c>
      <c r="CP1830" s="65" t="n">
        <f aca="false">IF(CA1830=1,0,IFERROR(VLOOKUP(BY1830,'Gebinde-Kategorie'!$A$5:$N$45,5,0)+0,0))</f>
        <v>0</v>
      </c>
      <c r="CQ1830" s="65" t="n">
        <f aca="false">IFERROR(IF(OR(CF1830=1,CF1830=2,CF1830=3),N(INDEX(Parameter!$I$5:$I$7,CF1830)),0),0)</f>
        <v>0</v>
      </c>
      <c r="CR1830" s="64" t="n">
        <f aca="false">IF(AND(Parameter!$B$21="Ja",ISNUMBER(W1830),N(X1830)&gt;0),IFERROR(N(INDEX(Parameter!$L$5:$L$7,W1830))*INDEX(Parameter!$E$5:$E$7,W1830)*X1830/SUMIFS($X$7:$X$1843,$W$7:$W$1843,W1830),0),0)</f>
        <v>0</v>
      </c>
      <c r="CS1830" s="62" t="str">
        <f aca="false">IF(AND(OR(CG1830="L1",CG1830="L23",CG1830="LIFT"),H1830&gt;0),CC1830*IF(CR1830&gt;0,CR1830*MAX(1,H1830/X1830),IF(CA1830=1,CE1830,IF(R1830&gt;0,CN1830/R1830,0))/MAX(0.1,N(Parameter!$M$21))),"")</f>
        <v/>
      </c>
      <c r="CT1830" s="64" t="str">
        <f aca="false">IF(CS1830="","",J1830/H1830)</f>
        <v/>
      </c>
      <c r="CU1830" s="62" t="str">
        <f aca="false">IF(CS1830="","",H1830*G1830)</f>
        <v/>
      </c>
      <c r="CV1830" s="63" t="str">
        <f aca="false">IF(CS1830="","",(CL1830+ROUNDUP(CL1830+MAX(CM1830,2*(J1830/MAX(0.1,N(Einkauf!$C$6))-CL1830)),0))/2)</f>
        <v/>
      </c>
      <c r="CW1830" s="62" t="str">
        <f aca="false">IF(CS1830="","",MAX(0,H1830-CV1830)*G1830)</f>
        <v/>
      </c>
      <c r="CX1830" s="62" t="str">
        <f aca="false">IF(CS1830="","",CS1830*MAX(0,1-CV1830/H1830))</f>
        <v/>
      </c>
      <c r="CY1830" s="64" t="str">
        <f aca="false">IF(CS1830="","",PERCENTRANK($CS$7:$CS$1843,CS1830)+PERCENTRANK($CU$7:$CU$1843,CU1830)+1-PERCENTRANK($CT$7:$CT$1843,CT1830))</f>
        <v/>
      </c>
      <c r="CZ1830" s="72" t="str">
        <f aca="false">IF(CS1830="","",CHOOSE(MATCH(Einkauf!$C$5,Parameter!$G$23:$G$27,0),CY1830,CS1830,CU1830,-CT1830,CW1830)+ROW()/1000000000)</f>
        <v/>
      </c>
    </row>
    <row r="1831" customFormat="false" ht="15" hidden="false" customHeight="false" outlineLevel="0" collapsed="false">
      <c r="A1831" s="60" t="str">
        <f aca="false">IF('Neue Artikel'!$A$92="","",'Neue Artikel'!$A$92&amp;"")</f>
        <v/>
      </c>
      <c r="B1831" s="60" t="str">
        <f aca="false">'Neue Artikel'!$B$92&amp;""</f>
        <v/>
      </c>
      <c r="C1831" s="60"/>
      <c r="D1831" s="60" t="s">
        <v>3057</v>
      </c>
      <c r="E1831" s="60"/>
      <c r="F1831" s="60"/>
      <c r="G1831" s="61" t="n">
        <f aca="false">N('Neue Artikel'!$G$92)</f>
        <v>0</v>
      </c>
      <c r="H1831" s="62" t="n">
        <f aca="false">MAX(0,IF(AND(Parameter!$B$21="Ja",ISNUMBER(Y1831)),Y1831,IF(Parameter!$B$20="Jahresanfang 2025 + Export",BS1831+BR1831,BR1831)))</f>
        <v>0</v>
      </c>
      <c r="I1831" s="62" t="n">
        <f aca="false">H1831*G1831</f>
        <v>0</v>
      </c>
      <c r="J1831" s="62" t="n">
        <f aca="false">BU1831*Parameter!$B$18</f>
        <v>0</v>
      </c>
      <c r="K1831" s="63"/>
      <c r="L1831" s="64"/>
      <c r="M1831" s="62" t="n">
        <f aca="false">N('Neue Artikel'!$E$92)</f>
        <v>0</v>
      </c>
      <c r="N1831" s="62" t="n">
        <f aca="false">N('Neue Artikel'!$F$92)</f>
        <v>0</v>
      </c>
      <c r="O1831" s="65"/>
      <c r="P1831" s="60" t="str">
        <f aca="false">IF('Neue Artikel'!$H$92="","LOSE",UPPER(TRIM('Neue Artikel'!$H$92)))</f>
        <v>LOSE</v>
      </c>
      <c r="Q1831" s="62" t="n">
        <f aca="false">N('Neue Artikel'!$I$92)</f>
        <v>0</v>
      </c>
      <c r="R1831" s="65" t="n">
        <f aca="false">IF(CA1831=1,0,IFERROR(VLOOKUP(BY1831,'Gebinde-Kategorie'!$A$5:$N$45,13,0)+0,0))</f>
        <v>0</v>
      </c>
      <c r="S1831" s="66"/>
      <c r="T1831" s="67"/>
      <c r="U1831" s="67"/>
      <c r="V1831" s="67"/>
      <c r="W1831" s="60"/>
      <c r="X1831" s="62"/>
      <c r="Y1831" s="62"/>
      <c r="Z1831" s="60"/>
      <c r="AA1831" s="60" t="str">
        <f aca="false">IF(A1831="","",IF(AND(Parameter!$B$21="Ja",ISNUMBER(W1831)),W1831,IF(AND(Parameter!$E$27="Ja",ISNUMBER(Z1831),CD1831&lt;&gt;"Nein"),Z1831,IF(CD1831="2+3",IF(ISNUMBER(SEARCH("grosser Artikel",BV1831)),2,IFERROR(VLOOKUP(BY1831,Parameter!$F$35:$G$64,2,0),2)),IF(OR(CD1831="Nein",CD1831=""),"-",CD1831)))))</f>
        <v/>
      </c>
      <c r="AB1831" s="60" t="str">
        <f aca="false">IF('Neue Artikel'!$J$92="","",'Neue Artikel'!$J$92)</f>
        <v/>
      </c>
      <c r="AC1831" s="68"/>
      <c r="AD1831" s="62" t="n">
        <f aca="false">AW1831</f>
        <v>0</v>
      </c>
      <c r="AE1831" s="62" t="n">
        <f aca="false">MAX(AW1831,H1831)</f>
        <v>0</v>
      </c>
      <c r="AF1831" s="69"/>
      <c r="AG1831" s="62" t="n">
        <f aca="false">IF(LEFT(Cockpit!$C$5,1)="A",H1831,IF(Parameter!$E$30="MAX-Bestand",IF(CI1831=1,CJ1831,IF(LEFT(Cockpit!$C$5,1)="B",AM1831,MAX(AM1831,H1831))),ROUNDUP(AK1831,0)))</f>
        <v>0</v>
      </c>
      <c r="AH1831" s="62" t="n">
        <f aca="false">IF(CA1831=1,0,ROUNDUP(AG1831/BZ1831,0))</f>
        <v>0</v>
      </c>
      <c r="AI1831" s="64" t="n">
        <f aca="false">IF(CR1831&gt;0,CR1831*MAX(1,AG1831/X1831),IF(CA1831=1,IF(AG1831&lt;=0,0,CE1831*MAX(1,IF(H1831&gt;0,AG1831/H1831,1))),IF(R1831&gt;0,AH1831/R1831,0))/MAX(0.1,N(Parameter!$M$21)))</f>
        <v>0</v>
      </c>
      <c r="AJ1831" s="62" t="n">
        <f aca="false">AI1831*CC1831</f>
        <v>0</v>
      </c>
      <c r="AK1831" s="63" t="n">
        <f aca="false">IF(LEFT(Cockpit!$C$5,1)="A",H1831,IF(CI1831=1,(CL1831+CJ1831)/2,IF(LEFT(Cockpit!$C$5,1)="B",(CL1831+AM1831)/2,MAX((CL1831+AM1831)/2,H1831))))</f>
        <v>0</v>
      </c>
      <c r="AL1831" s="62" t="n">
        <f aca="false">AK1831*G1831</f>
        <v>0</v>
      </c>
      <c r="AM1831" s="62" t="n">
        <f aca="false">ROUNDUP(CL1831+MAX(CM1831,2*(J1831/IF(CH1831&gt;0,CH1831,MAX(0.1,N(Cockpit!$C$6)))-CL1831)),0)</f>
        <v>0</v>
      </c>
      <c r="AN1831" s="63" t="n">
        <f aca="false">IF(AJ1831&gt;0,J1831/AJ1831,-1)</f>
        <v>-1</v>
      </c>
      <c r="AO1831" s="63" t="str">
        <f aca="false">IF(AND(OR(CG1831="L1",CG1831="L23",CG1831="LIFT"),AJ1831&gt;0),SUMIFS($AJ$7:$AJ$1843,$CG$7:$CG$1843,CG1831,$AN$7:$AN$1843,"&gt;"&amp;AN1831)+SUMIFS($AJ$7:$AJ$1843,$CG$7:$CG$1843,CG1831,$AN$7:$AN$1843,AN1831,$BX$7:$BX$1843,"&lt;="&amp;BX1831),"")</f>
        <v/>
      </c>
      <c r="AP1831" s="70" t="n">
        <f aca="false">IF(AO1831="",0,MAX(0,MIN(1,(IF(CG1831="L1",Parameter!$H$5,IF(CG1831="L23",Parameter!$H$6+Parameter!$H$7,Parameter!$H$5+Parameter!$H$6+Parameter!$H$7))-(AO1831-AJ1831))/AJ1831)))</f>
        <v>0</v>
      </c>
      <c r="AQ1831" s="62" t="n">
        <f aca="false">IF(LEFT(Cockpit!$I$5,1)="A",H1831,IF(Parameter!$E$30="MAX-Bestand",IF(CI1831=1,CJ1831,IF(LEFT(Cockpit!$I$5,1)="B",AW1831,MAX(AW1831,H1831))),ROUNDUP(AU1831,0)))</f>
        <v>0</v>
      </c>
      <c r="AR1831" s="62" t="n">
        <f aca="false">IF(CA1831=1,0,ROUNDUP(AQ1831/BZ1831,0))</f>
        <v>0</v>
      </c>
      <c r="AS1831" s="64" t="n">
        <f aca="false">IF(CR1831&gt;0,CR1831*MAX(1,AQ1831/X1831),IF(CA1831=1,IF(AQ1831&lt;=0,0,CE1831*MAX(1,IF(H1831&gt;0,AQ1831/H1831,1))),IF(R1831&gt;0,AR1831/R1831,0))/MAX(0.1,N(Parameter!$M$21)))</f>
        <v>0</v>
      </c>
      <c r="AT1831" s="62" t="n">
        <f aca="false">AS1831*CC1831</f>
        <v>0</v>
      </c>
      <c r="AU1831" s="63" t="n">
        <f aca="false">IF(LEFT(Cockpit!$I$5,1)="A",H1831,IF(CI1831=1,(CL1831+CJ1831)/2,IF(LEFT(Cockpit!$I$5,1)="B",(CL1831+AW1831)/2,MAX((CL1831+AW1831)/2,H1831))))</f>
        <v>0</v>
      </c>
      <c r="AV1831" s="62" t="n">
        <f aca="false">AU1831*G1831</f>
        <v>0</v>
      </c>
      <c r="AW1831" s="62" t="n">
        <f aca="false">ROUNDUP(CL1831+MAX(CM1831,2*(J1831/IF(CH1831&gt;0,CH1831,MAX(0.1,N(Cockpit!$I$6)))-CL1831)),0)</f>
        <v>0</v>
      </c>
      <c r="AX1831" s="63" t="n">
        <f aca="false">IF(AT1831&gt;0,J1831/AT1831,-1)</f>
        <v>-1</v>
      </c>
      <c r="AY1831" s="63" t="str">
        <f aca="false">IF(AND(OR(CG1831="L1",CG1831="L23",CG1831="LIFT"),AT1831&gt;0),SUMIFS($AT$7:$AT$1843,$CG$7:$CG$1843,CG1831,$AX$7:$AX$1843,"&gt;"&amp;AX1831)+SUMIFS($AT$7:$AT$1843,$CG$7:$CG$1843,CG1831,$AX$7:$AX$1843,AX1831,$BX$7:$BX$1843,"&lt;="&amp;BX1831),"")</f>
        <v/>
      </c>
      <c r="AZ1831" s="70" t="n">
        <f aca="false">IF(AY1831="",0,MAX(0,MIN(1,(IF(CG1831="L1",Parameter!$H$5,IF(CG1831="L23",Parameter!$H$6+Parameter!$H$7,Parameter!$H$5+Parameter!$H$6+Parameter!$H$7))-(AY1831-AT1831))/AT1831)))</f>
        <v>0</v>
      </c>
      <c r="BA1831" s="62" t="n">
        <f aca="false">IF(LEFT(Cockpit!$O$5,1)="A",H1831,IF(Parameter!$E$30="MAX-Bestand",IF(CI1831=1,CJ1831,IF(LEFT(Cockpit!$O$5,1)="B",BG1831,MAX(BG1831,H1831))),ROUNDUP(BE1831,0)))</f>
        <v>0</v>
      </c>
      <c r="BB1831" s="62" t="n">
        <f aca="false">IF(CA1831=1,0,ROUNDUP(BA1831/BZ1831,0))</f>
        <v>0</v>
      </c>
      <c r="BC1831" s="64" t="n">
        <f aca="false">IF(CR1831&gt;0,CR1831*MAX(1,BA1831/X1831),IF(CA1831=1,IF(BA1831&lt;=0,0,CE1831*MAX(1,IF(H1831&gt;0,BA1831/H1831,1))),IF(R1831&gt;0,BB1831/R1831,0))/MAX(0.1,N(Parameter!$M$21)))</f>
        <v>0</v>
      </c>
      <c r="BD1831" s="62" t="n">
        <f aca="false">BC1831*CC1831</f>
        <v>0</v>
      </c>
      <c r="BE1831" s="63" t="n">
        <f aca="false">IF(LEFT(Cockpit!$O$5,1)="A",H1831,IF(CI1831=1,(CL1831+CJ1831)/2,IF(LEFT(Cockpit!$O$5,1)="B",(CL1831+BG1831)/2,MAX((CL1831+BG1831)/2,H1831))))</f>
        <v>0</v>
      </c>
      <c r="BF1831" s="62" t="n">
        <f aca="false">BE1831*G1831</f>
        <v>0</v>
      </c>
      <c r="BG1831" s="62" t="n">
        <f aca="false">ROUNDUP(CL1831+MAX(CM1831,2*(J1831/IF(CH1831&gt;0,CH1831,MAX(0.1,N(Cockpit!$O$6)))-CL1831)),0)</f>
        <v>0</v>
      </c>
      <c r="BH1831" s="63" t="n">
        <f aca="false">IF(BD1831&gt;0,J1831/BD1831,-1)</f>
        <v>-1</v>
      </c>
      <c r="BI1831" s="63" t="str">
        <f aca="false">IF(AND(OR(CG1831="L1",CG1831="L23",CG1831="LIFT"),BD1831&gt;0),SUMIFS($BD$7:$BD$1843,$CG$7:$CG$1843,CG1831,$BH$7:$BH$1843,"&gt;"&amp;BH1831)+SUMIFS($BD$7:$BD$1843,$CG$7:$CG$1843,CG1831,$BH$7:$BH$1843,BH1831,$BX$7:$BX$1843,"&lt;="&amp;BX1831),"")</f>
        <v/>
      </c>
      <c r="BJ1831" s="70" t="n">
        <f aca="false">IF(BI1831="",0,MAX(0,MIN(1,(IF(CG1831="L1",Parameter!$H$5,IF(CG1831="L23",Parameter!$H$6+Parameter!$H$7,Parameter!$H$5+Parameter!$H$6+Parameter!$H$7))-(BI1831-BD1831))/BD1831)))</f>
        <v>0</v>
      </c>
      <c r="BK1831" s="60" t="str">
        <f aca="false">IF(AJ1831&lt;=0,"",IF(CG1831="Aussen","Aussenlager",IF(CG1831="-","Nicht im Lift",IF(AP1831&gt;=1,"Lift",IF(AP1831&lt;=0,"Aussenlager","teilweise")))))</f>
        <v/>
      </c>
      <c r="BL1831" s="60" t="str">
        <f aca="false">IF(AT1831&lt;=0,"",IF(CG1831="Aussen","Aussenlager",IF(CG1831="-","Nicht im Lift",IF(AZ1831&gt;=1,"Lift",IF(AZ1831&lt;=0,"Aussenlager","teilweise")))))</f>
        <v/>
      </c>
      <c r="BM1831" s="60" t="str">
        <f aca="false">IF(BD1831&lt;=0,"",IF(CG1831="Aussen","Aussenlager",IF(CG1831="-","Nicht im Lift",IF(BJ1831&gt;=1,"Lift",IF(BJ1831&lt;=0,"Aussenlager","teilweise")))))</f>
        <v/>
      </c>
      <c r="BN1831" s="60" t="str">
        <f aca="false">IF(A1831="","",IF(BW1831=1,"Neu; ","")&amp;IF(AND(BW1831=0,BR1831&lt;0),"negativer Bestand (Export "&amp;BR1831&amp;"); ","")&amp;IF(J1831&lt;=0,"Kein Verbrauch; ","")&amp;IF(CR1831&gt;0,"Lift "&amp;W1831&amp;" lt. Liftbericht (Fach "&amp;X1831&amp;" Stk); ",IF(CB1831=1,"Gebinde geschätzt ("&amp;T1831&amp;"); ",IF(CA1831=1,"Lose – Tablare geschätzt; ","")))&amp;IF(H1831&gt;AW1831,"Überbestand "&amp;ROUND(H1831-AW1831,0)&amp;" Stk / CHF "&amp;ROUND((H1831-AW1831)*G1831,0)&amp;"; ","")&amp;IF(AND(CI1831=1,CJ1831&lt;CK1831),"MAX &lt; MB+LG; ","")&amp;IF(AND(CQ1831&gt;0,CP1831*10&gt;CQ1831),"zu hoch für Tablar; ","")&amp;IF(AND(BW1831=0,OR(CI1831=1,AB1831&lt;&gt;"",U1831&lt;&gt;"",V1831&lt;&gt;"",AC1831&lt;&gt;"")),"manuell übersteuert; ","")&amp;IF(AND(CA1831=0,R1831=0),"Gebinde unbekannt / Stellmass fehlt; ","")&amp;IF(AND(CA1831=0,N(V1831)&lt;=0,N(Q1831)&lt;=0),"Menge pro Gebinde fehlt (Ist = 1 Gebinde); ","")&amp;BV1831)</f>
        <v/>
      </c>
      <c r="BO1831" s="60"/>
      <c r="BP1831" s="60"/>
      <c r="BQ1831" s="67"/>
      <c r="BR1831" s="62" t="n">
        <f aca="false">N('Neue Artikel'!$D$92)</f>
        <v>0</v>
      </c>
      <c r="BS1831" s="62" t="n">
        <v>0</v>
      </c>
      <c r="BT1831" s="61" t="n">
        <v>0</v>
      </c>
      <c r="BU1831" s="62" t="n">
        <f aca="false">N('Neue Artikel'!$C$92)/Parameter!$B$18</f>
        <v>0</v>
      </c>
      <c r="BV1831" s="60"/>
      <c r="BW1831" s="65" t="n">
        <v>1</v>
      </c>
      <c r="BX1831" s="65" t="n">
        <v>1831</v>
      </c>
      <c r="BY1831" s="60" t="str">
        <f aca="false">IF(U1831&lt;&gt;"",UPPER(TRIM(U1831)),IF(CB1831=1,UPPER(VLOOKUP(T1831,Parameter!$I$27:$K$29,2,0)),IF(P1831="","LOSE",P1831)))</f>
        <v>LOSE</v>
      </c>
      <c r="BZ1831" s="62" t="n">
        <f aca="false">IF(BY1831="LOSE",1,IF(N(V1831)&gt;0,V1831,IF(CB1831=1,MAX(1,N(VLOOKUP(T1831,Parameter!$I$27:$K$29,3,0)),H1831,N(N1831)),IF(N(Q1831)&gt;0,Q1831,MAX(1,H1831)))))</f>
        <v>1</v>
      </c>
      <c r="CA1831" s="65" t="n">
        <f aca="false">IF(BY1831="LOSE",1,0)</f>
        <v>1</v>
      </c>
      <c r="CB1831" s="65" t="n">
        <f aca="false">IF(AND(U1831="",OR(P1831="",P1831="LOSE"),T1831&lt;&gt;"",N(S1831)&lt;=0,ISNUMBER(MATCH(T1831,Parameter!$I$27:$I$29,0))),1,0)</f>
        <v>0</v>
      </c>
      <c r="CC1831" s="65" t="n">
        <f aca="false">IF(CR1831&gt;0,INDEX(Parameter!$H$5:$H$7,W1831)/INDEX(Parameter!$E$5:$E$7,W1831),IF(AND(CA1831=0,N(IFERROR(VLOOKUP(BY1831,'Gebinde-Kategorie'!$A$5:$N$45,14,0),0))&gt;0),VLOOKUP(BY1831,'Gebinde-Kategorie'!$A$5:$N$45,14,0)*10+Parameter!$M$23,Parameter!$M$24))</f>
        <v>235</v>
      </c>
      <c r="CD1831" s="60" t="str">
        <f aca="false">IF(AND(Parameter!$B$19="Ja",E1831&lt;&gt;"",ISNUMBER(MATCH(E1831,Parameter!$I$35:$I$52,0))),VLOOKUP(E1831,Parameter!$I$35:$J$52,2,0),IFERROR(VLOOKUP(D1831,Parameter!$A$35:$C$64,2,0),"Nein"))</f>
        <v>2+3</v>
      </c>
      <c r="CE1831" s="64" t="n">
        <f aca="false">IF(CA1831=0,0,IF(N(S1831)&gt;0,S1831,IFERROR(VLOOKUP(D1831,Parameter!$A$35:$C$64,3,0)+0,0)))</f>
        <v>0.15</v>
      </c>
      <c r="CF1831" s="60" t="str">
        <f aca="false">IF(AB1831&lt;&gt;"",AB1831,AA1831)</f>
        <v/>
      </c>
      <c r="CG1831" s="60" t="str">
        <f aca="false">IF(OR(CF1831=1,CF1831=2,CF1831=3),IF(Parameter!$E$27="Ja","LIFT",IF(CF1831=1,"L1","L23")),IF(CF1831="Aussen","Aussen","-"))</f>
        <v>-</v>
      </c>
      <c r="CH1831" s="71" t="n">
        <f aca="false">IF(N(AC1831)&gt;0,AC1831,0)</f>
        <v>0</v>
      </c>
      <c r="CI1831" s="65" t="n">
        <f aca="false">IF(ISNUMBER(AF1831),1,0)</f>
        <v>0</v>
      </c>
      <c r="CJ1831" s="62" t="n">
        <f aca="false">N(AF1831)</f>
        <v>0</v>
      </c>
      <c r="CK1831" s="62" t="n">
        <f aca="false">N(M1831)+N(N1831)</f>
        <v>0</v>
      </c>
      <c r="CL1831" s="62" t="n">
        <f aca="false">N(M1831)</f>
        <v>0</v>
      </c>
      <c r="CM1831" s="62" t="n">
        <f aca="false">N(N1831)</f>
        <v>0</v>
      </c>
      <c r="CN1831" s="62" t="n">
        <f aca="false">ROUNDUP(H1831/BZ1831,0)</f>
        <v>0</v>
      </c>
      <c r="CO1831" s="62" t="n">
        <f aca="false">ROUNDUP(CJ1831/BZ1831,0)</f>
        <v>0</v>
      </c>
      <c r="CP1831" s="65" t="n">
        <f aca="false">IF(CA1831=1,0,IFERROR(VLOOKUP(BY1831,'Gebinde-Kategorie'!$A$5:$N$45,5,0)+0,0))</f>
        <v>0</v>
      </c>
      <c r="CQ1831" s="65" t="n">
        <f aca="false">IFERROR(IF(OR(CF1831=1,CF1831=2,CF1831=3),N(INDEX(Parameter!$I$5:$I$7,CF1831)),0),0)</f>
        <v>0</v>
      </c>
      <c r="CR1831" s="64" t="n">
        <f aca="false">IF(AND(Parameter!$B$21="Ja",ISNUMBER(W1831),N(X1831)&gt;0),IFERROR(N(INDEX(Parameter!$L$5:$L$7,W1831))*INDEX(Parameter!$E$5:$E$7,W1831)*X1831/SUMIFS($X$7:$X$1843,$W$7:$W$1843,W1831),0),0)</f>
        <v>0</v>
      </c>
      <c r="CS1831" s="62" t="str">
        <f aca="false">IF(AND(OR(CG1831="L1",CG1831="L23",CG1831="LIFT"),H1831&gt;0),CC1831*IF(CR1831&gt;0,CR1831*MAX(1,H1831/X1831),IF(CA1831=1,CE1831,IF(R1831&gt;0,CN1831/R1831,0))/MAX(0.1,N(Parameter!$M$21))),"")</f>
        <v/>
      </c>
      <c r="CT1831" s="64" t="str">
        <f aca="false">IF(CS1831="","",J1831/H1831)</f>
        <v/>
      </c>
      <c r="CU1831" s="62" t="str">
        <f aca="false">IF(CS1831="","",H1831*G1831)</f>
        <v/>
      </c>
      <c r="CV1831" s="63" t="str">
        <f aca="false">IF(CS1831="","",(CL1831+ROUNDUP(CL1831+MAX(CM1831,2*(J1831/MAX(0.1,N(Einkauf!$C$6))-CL1831)),0))/2)</f>
        <v/>
      </c>
      <c r="CW1831" s="62" t="str">
        <f aca="false">IF(CS1831="","",MAX(0,H1831-CV1831)*G1831)</f>
        <v/>
      </c>
      <c r="CX1831" s="62" t="str">
        <f aca="false">IF(CS1831="","",CS1831*MAX(0,1-CV1831/H1831))</f>
        <v/>
      </c>
      <c r="CY1831" s="64" t="str">
        <f aca="false">IF(CS1831="","",PERCENTRANK($CS$7:$CS$1843,CS1831)+PERCENTRANK($CU$7:$CU$1843,CU1831)+1-PERCENTRANK($CT$7:$CT$1843,CT1831))</f>
        <v/>
      </c>
      <c r="CZ1831" s="72" t="str">
        <f aca="false">IF(CS1831="","",CHOOSE(MATCH(Einkauf!$C$5,Parameter!$G$23:$G$27,0),CY1831,CS1831,CU1831,-CT1831,CW1831)+ROW()/1000000000)</f>
        <v/>
      </c>
    </row>
    <row r="1832" customFormat="false" ht="15" hidden="false" customHeight="false" outlineLevel="0" collapsed="false">
      <c r="A1832" s="60" t="str">
        <f aca="false">IF('Neue Artikel'!$A$93="","",'Neue Artikel'!$A$93&amp;"")</f>
        <v/>
      </c>
      <c r="B1832" s="60" t="str">
        <f aca="false">'Neue Artikel'!$B$93&amp;""</f>
        <v/>
      </c>
      <c r="C1832" s="60"/>
      <c r="D1832" s="60" t="s">
        <v>3057</v>
      </c>
      <c r="E1832" s="60"/>
      <c r="F1832" s="60"/>
      <c r="G1832" s="61" t="n">
        <f aca="false">N('Neue Artikel'!$G$93)</f>
        <v>0</v>
      </c>
      <c r="H1832" s="62" t="n">
        <f aca="false">MAX(0,IF(AND(Parameter!$B$21="Ja",ISNUMBER(Y1832)),Y1832,IF(Parameter!$B$20="Jahresanfang 2025 + Export",BS1832+BR1832,BR1832)))</f>
        <v>0</v>
      </c>
      <c r="I1832" s="62" t="n">
        <f aca="false">H1832*G1832</f>
        <v>0</v>
      </c>
      <c r="J1832" s="62" t="n">
        <f aca="false">BU1832*Parameter!$B$18</f>
        <v>0</v>
      </c>
      <c r="K1832" s="63"/>
      <c r="L1832" s="64"/>
      <c r="M1832" s="62" t="n">
        <f aca="false">N('Neue Artikel'!$E$93)</f>
        <v>0</v>
      </c>
      <c r="N1832" s="62" t="n">
        <f aca="false">N('Neue Artikel'!$F$93)</f>
        <v>0</v>
      </c>
      <c r="O1832" s="65"/>
      <c r="P1832" s="60" t="str">
        <f aca="false">IF('Neue Artikel'!$H$93="","LOSE",UPPER(TRIM('Neue Artikel'!$H$93)))</f>
        <v>LOSE</v>
      </c>
      <c r="Q1832" s="62" t="n">
        <f aca="false">N('Neue Artikel'!$I$93)</f>
        <v>0</v>
      </c>
      <c r="R1832" s="65" t="n">
        <f aca="false">IF(CA1832=1,0,IFERROR(VLOOKUP(BY1832,'Gebinde-Kategorie'!$A$5:$N$45,13,0)+0,0))</f>
        <v>0</v>
      </c>
      <c r="S1832" s="66"/>
      <c r="T1832" s="67"/>
      <c r="U1832" s="67"/>
      <c r="V1832" s="67"/>
      <c r="W1832" s="60"/>
      <c r="X1832" s="62"/>
      <c r="Y1832" s="62"/>
      <c r="Z1832" s="60"/>
      <c r="AA1832" s="60" t="str">
        <f aca="false">IF(A1832="","",IF(AND(Parameter!$B$21="Ja",ISNUMBER(W1832)),W1832,IF(AND(Parameter!$E$27="Ja",ISNUMBER(Z1832),CD1832&lt;&gt;"Nein"),Z1832,IF(CD1832="2+3",IF(ISNUMBER(SEARCH("grosser Artikel",BV1832)),2,IFERROR(VLOOKUP(BY1832,Parameter!$F$35:$G$64,2,0),2)),IF(OR(CD1832="Nein",CD1832=""),"-",CD1832)))))</f>
        <v/>
      </c>
      <c r="AB1832" s="60" t="str">
        <f aca="false">IF('Neue Artikel'!$J$93="","",'Neue Artikel'!$J$93)</f>
        <v/>
      </c>
      <c r="AC1832" s="68"/>
      <c r="AD1832" s="62" t="n">
        <f aca="false">AW1832</f>
        <v>0</v>
      </c>
      <c r="AE1832" s="62" t="n">
        <f aca="false">MAX(AW1832,H1832)</f>
        <v>0</v>
      </c>
      <c r="AF1832" s="69"/>
      <c r="AG1832" s="62" t="n">
        <f aca="false">IF(LEFT(Cockpit!$C$5,1)="A",H1832,IF(Parameter!$E$30="MAX-Bestand",IF(CI1832=1,CJ1832,IF(LEFT(Cockpit!$C$5,1)="B",AM1832,MAX(AM1832,H1832))),ROUNDUP(AK1832,0)))</f>
        <v>0</v>
      </c>
      <c r="AH1832" s="62" t="n">
        <f aca="false">IF(CA1832=1,0,ROUNDUP(AG1832/BZ1832,0))</f>
        <v>0</v>
      </c>
      <c r="AI1832" s="64" t="n">
        <f aca="false">IF(CR1832&gt;0,CR1832*MAX(1,AG1832/X1832),IF(CA1832=1,IF(AG1832&lt;=0,0,CE1832*MAX(1,IF(H1832&gt;0,AG1832/H1832,1))),IF(R1832&gt;0,AH1832/R1832,0))/MAX(0.1,N(Parameter!$M$21)))</f>
        <v>0</v>
      </c>
      <c r="AJ1832" s="62" t="n">
        <f aca="false">AI1832*CC1832</f>
        <v>0</v>
      </c>
      <c r="AK1832" s="63" t="n">
        <f aca="false">IF(LEFT(Cockpit!$C$5,1)="A",H1832,IF(CI1832=1,(CL1832+CJ1832)/2,IF(LEFT(Cockpit!$C$5,1)="B",(CL1832+AM1832)/2,MAX((CL1832+AM1832)/2,H1832))))</f>
        <v>0</v>
      </c>
      <c r="AL1832" s="62" t="n">
        <f aca="false">AK1832*G1832</f>
        <v>0</v>
      </c>
      <c r="AM1832" s="62" t="n">
        <f aca="false">ROUNDUP(CL1832+MAX(CM1832,2*(J1832/IF(CH1832&gt;0,CH1832,MAX(0.1,N(Cockpit!$C$6)))-CL1832)),0)</f>
        <v>0</v>
      </c>
      <c r="AN1832" s="63" t="n">
        <f aca="false">IF(AJ1832&gt;0,J1832/AJ1832,-1)</f>
        <v>-1</v>
      </c>
      <c r="AO1832" s="63" t="str">
        <f aca="false">IF(AND(OR(CG1832="L1",CG1832="L23",CG1832="LIFT"),AJ1832&gt;0),SUMIFS($AJ$7:$AJ$1843,$CG$7:$CG$1843,CG1832,$AN$7:$AN$1843,"&gt;"&amp;AN1832)+SUMIFS($AJ$7:$AJ$1843,$CG$7:$CG$1843,CG1832,$AN$7:$AN$1843,AN1832,$BX$7:$BX$1843,"&lt;="&amp;BX1832),"")</f>
        <v/>
      </c>
      <c r="AP1832" s="70" t="n">
        <f aca="false">IF(AO1832="",0,MAX(0,MIN(1,(IF(CG1832="L1",Parameter!$H$5,IF(CG1832="L23",Parameter!$H$6+Parameter!$H$7,Parameter!$H$5+Parameter!$H$6+Parameter!$H$7))-(AO1832-AJ1832))/AJ1832)))</f>
        <v>0</v>
      </c>
      <c r="AQ1832" s="62" t="n">
        <f aca="false">IF(LEFT(Cockpit!$I$5,1)="A",H1832,IF(Parameter!$E$30="MAX-Bestand",IF(CI1832=1,CJ1832,IF(LEFT(Cockpit!$I$5,1)="B",AW1832,MAX(AW1832,H1832))),ROUNDUP(AU1832,0)))</f>
        <v>0</v>
      </c>
      <c r="AR1832" s="62" t="n">
        <f aca="false">IF(CA1832=1,0,ROUNDUP(AQ1832/BZ1832,0))</f>
        <v>0</v>
      </c>
      <c r="AS1832" s="64" t="n">
        <f aca="false">IF(CR1832&gt;0,CR1832*MAX(1,AQ1832/X1832),IF(CA1832=1,IF(AQ1832&lt;=0,0,CE1832*MAX(1,IF(H1832&gt;0,AQ1832/H1832,1))),IF(R1832&gt;0,AR1832/R1832,0))/MAX(0.1,N(Parameter!$M$21)))</f>
        <v>0</v>
      </c>
      <c r="AT1832" s="62" t="n">
        <f aca="false">AS1832*CC1832</f>
        <v>0</v>
      </c>
      <c r="AU1832" s="63" t="n">
        <f aca="false">IF(LEFT(Cockpit!$I$5,1)="A",H1832,IF(CI1832=1,(CL1832+CJ1832)/2,IF(LEFT(Cockpit!$I$5,1)="B",(CL1832+AW1832)/2,MAX((CL1832+AW1832)/2,H1832))))</f>
        <v>0</v>
      </c>
      <c r="AV1832" s="62" t="n">
        <f aca="false">AU1832*G1832</f>
        <v>0</v>
      </c>
      <c r="AW1832" s="62" t="n">
        <f aca="false">ROUNDUP(CL1832+MAX(CM1832,2*(J1832/IF(CH1832&gt;0,CH1832,MAX(0.1,N(Cockpit!$I$6)))-CL1832)),0)</f>
        <v>0</v>
      </c>
      <c r="AX1832" s="63" t="n">
        <f aca="false">IF(AT1832&gt;0,J1832/AT1832,-1)</f>
        <v>-1</v>
      </c>
      <c r="AY1832" s="63" t="str">
        <f aca="false">IF(AND(OR(CG1832="L1",CG1832="L23",CG1832="LIFT"),AT1832&gt;0),SUMIFS($AT$7:$AT$1843,$CG$7:$CG$1843,CG1832,$AX$7:$AX$1843,"&gt;"&amp;AX1832)+SUMIFS($AT$7:$AT$1843,$CG$7:$CG$1843,CG1832,$AX$7:$AX$1843,AX1832,$BX$7:$BX$1843,"&lt;="&amp;BX1832),"")</f>
        <v/>
      </c>
      <c r="AZ1832" s="70" t="n">
        <f aca="false">IF(AY1832="",0,MAX(0,MIN(1,(IF(CG1832="L1",Parameter!$H$5,IF(CG1832="L23",Parameter!$H$6+Parameter!$H$7,Parameter!$H$5+Parameter!$H$6+Parameter!$H$7))-(AY1832-AT1832))/AT1832)))</f>
        <v>0</v>
      </c>
      <c r="BA1832" s="62" t="n">
        <f aca="false">IF(LEFT(Cockpit!$O$5,1)="A",H1832,IF(Parameter!$E$30="MAX-Bestand",IF(CI1832=1,CJ1832,IF(LEFT(Cockpit!$O$5,1)="B",BG1832,MAX(BG1832,H1832))),ROUNDUP(BE1832,0)))</f>
        <v>0</v>
      </c>
      <c r="BB1832" s="62" t="n">
        <f aca="false">IF(CA1832=1,0,ROUNDUP(BA1832/BZ1832,0))</f>
        <v>0</v>
      </c>
      <c r="BC1832" s="64" t="n">
        <f aca="false">IF(CR1832&gt;0,CR1832*MAX(1,BA1832/X1832),IF(CA1832=1,IF(BA1832&lt;=0,0,CE1832*MAX(1,IF(H1832&gt;0,BA1832/H1832,1))),IF(R1832&gt;0,BB1832/R1832,0))/MAX(0.1,N(Parameter!$M$21)))</f>
        <v>0</v>
      </c>
      <c r="BD1832" s="62" t="n">
        <f aca="false">BC1832*CC1832</f>
        <v>0</v>
      </c>
      <c r="BE1832" s="63" t="n">
        <f aca="false">IF(LEFT(Cockpit!$O$5,1)="A",H1832,IF(CI1832=1,(CL1832+CJ1832)/2,IF(LEFT(Cockpit!$O$5,1)="B",(CL1832+BG1832)/2,MAX((CL1832+BG1832)/2,H1832))))</f>
        <v>0</v>
      </c>
      <c r="BF1832" s="62" t="n">
        <f aca="false">BE1832*G1832</f>
        <v>0</v>
      </c>
      <c r="BG1832" s="62" t="n">
        <f aca="false">ROUNDUP(CL1832+MAX(CM1832,2*(J1832/IF(CH1832&gt;0,CH1832,MAX(0.1,N(Cockpit!$O$6)))-CL1832)),0)</f>
        <v>0</v>
      </c>
      <c r="BH1832" s="63" t="n">
        <f aca="false">IF(BD1832&gt;0,J1832/BD1832,-1)</f>
        <v>-1</v>
      </c>
      <c r="BI1832" s="63" t="str">
        <f aca="false">IF(AND(OR(CG1832="L1",CG1832="L23",CG1832="LIFT"),BD1832&gt;0),SUMIFS($BD$7:$BD$1843,$CG$7:$CG$1843,CG1832,$BH$7:$BH$1843,"&gt;"&amp;BH1832)+SUMIFS($BD$7:$BD$1843,$CG$7:$CG$1843,CG1832,$BH$7:$BH$1843,BH1832,$BX$7:$BX$1843,"&lt;="&amp;BX1832),"")</f>
        <v/>
      </c>
      <c r="BJ1832" s="70" t="n">
        <f aca="false">IF(BI1832="",0,MAX(0,MIN(1,(IF(CG1832="L1",Parameter!$H$5,IF(CG1832="L23",Parameter!$H$6+Parameter!$H$7,Parameter!$H$5+Parameter!$H$6+Parameter!$H$7))-(BI1832-BD1832))/BD1832)))</f>
        <v>0</v>
      </c>
      <c r="BK1832" s="60" t="str">
        <f aca="false">IF(AJ1832&lt;=0,"",IF(CG1832="Aussen","Aussenlager",IF(CG1832="-","Nicht im Lift",IF(AP1832&gt;=1,"Lift",IF(AP1832&lt;=0,"Aussenlager","teilweise")))))</f>
        <v/>
      </c>
      <c r="BL1832" s="60" t="str">
        <f aca="false">IF(AT1832&lt;=0,"",IF(CG1832="Aussen","Aussenlager",IF(CG1832="-","Nicht im Lift",IF(AZ1832&gt;=1,"Lift",IF(AZ1832&lt;=0,"Aussenlager","teilweise")))))</f>
        <v/>
      </c>
      <c r="BM1832" s="60" t="str">
        <f aca="false">IF(BD1832&lt;=0,"",IF(CG1832="Aussen","Aussenlager",IF(CG1832="-","Nicht im Lift",IF(BJ1832&gt;=1,"Lift",IF(BJ1832&lt;=0,"Aussenlager","teilweise")))))</f>
        <v/>
      </c>
      <c r="BN1832" s="60" t="str">
        <f aca="false">IF(A1832="","",IF(BW1832=1,"Neu; ","")&amp;IF(AND(BW1832=0,BR1832&lt;0),"negativer Bestand (Export "&amp;BR1832&amp;"); ","")&amp;IF(J1832&lt;=0,"Kein Verbrauch; ","")&amp;IF(CR1832&gt;0,"Lift "&amp;W1832&amp;" lt. Liftbericht (Fach "&amp;X1832&amp;" Stk); ",IF(CB1832=1,"Gebinde geschätzt ("&amp;T1832&amp;"); ",IF(CA1832=1,"Lose – Tablare geschätzt; ","")))&amp;IF(H1832&gt;AW1832,"Überbestand "&amp;ROUND(H1832-AW1832,0)&amp;" Stk / CHF "&amp;ROUND((H1832-AW1832)*G1832,0)&amp;"; ","")&amp;IF(AND(CI1832=1,CJ1832&lt;CK1832),"MAX &lt; MB+LG; ","")&amp;IF(AND(CQ1832&gt;0,CP1832*10&gt;CQ1832),"zu hoch für Tablar; ","")&amp;IF(AND(BW1832=0,OR(CI1832=1,AB1832&lt;&gt;"",U1832&lt;&gt;"",V1832&lt;&gt;"",AC1832&lt;&gt;"")),"manuell übersteuert; ","")&amp;IF(AND(CA1832=0,R1832=0),"Gebinde unbekannt / Stellmass fehlt; ","")&amp;IF(AND(CA1832=0,N(V1832)&lt;=0,N(Q1832)&lt;=0),"Menge pro Gebinde fehlt (Ist = 1 Gebinde); ","")&amp;BV1832)</f>
        <v/>
      </c>
      <c r="BO1832" s="60"/>
      <c r="BP1832" s="60"/>
      <c r="BQ1832" s="67"/>
      <c r="BR1832" s="62" t="n">
        <f aca="false">N('Neue Artikel'!$D$93)</f>
        <v>0</v>
      </c>
      <c r="BS1832" s="62" t="n">
        <v>0</v>
      </c>
      <c r="BT1832" s="61" t="n">
        <v>0</v>
      </c>
      <c r="BU1832" s="62" t="n">
        <f aca="false">N('Neue Artikel'!$C$93)/Parameter!$B$18</f>
        <v>0</v>
      </c>
      <c r="BV1832" s="60"/>
      <c r="BW1832" s="65" t="n">
        <v>1</v>
      </c>
      <c r="BX1832" s="65" t="n">
        <v>1832</v>
      </c>
      <c r="BY1832" s="60" t="str">
        <f aca="false">IF(U1832&lt;&gt;"",UPPER(TRIM(U1832)),IF(CB1832=1,UPPER(VLOOKUP(T1832,Parameter!$I$27:$K$29,2,0)),IF(P1832="","LOSE",P1832)))</f>
        <v>LOSE</v>
      </c>
      <c r="BZ1832" s="62" t="n">
        <f aca="false">IF(BY1832="LOSE",1,IF(N(V1832)&gt;0,V1832,IF(CB1832=1,MAX(1,N(VLOOKUP(T1832,Parameter!$I$27:$K$29,3,0)),H1832,N(N1832)),IF(N(Q1832)&gt;0,Q1832,MAX(1,H1832)))))</f>
        <v>1</v>
      </c>
      <c r="CA1832" s="65" t="n">
        <f aca="false">IF(BY1832="LOSE",1,0)</f>
        <v>1</v>
      </c>
      <c r="CB1832" s="65" t="n">
        <f aca="false">IF(AND(U1832="",OR(P1832="",P1832="LOSE"),T1832&lt;&gt;"",N(S1832)&lt;=0,ISNUMBER(MATCH(T1832,Parameter!$I$27:$I$29,0))),1,0)</f>
        <v>0</v>
      </c>
      <c r="CC1832" s="65" t="n">
        <f aca="false">IF(CR1832&gt;0,INDEX(Parameter!$H$5:$H$7,W1832)/INDEX(Parameter!$E$5:$E$7,W1832),IF(AND(CA1832=0,N(IFERROR(VLOOKUP(BY1832,'Gebinde-Kategorie'!$A$5:$N$45,14,0),0))&gt;0),VLOOKUP(BY1832,'Gebinde-Kategorie'!$A$5:$N$45,14,0)*10+Parameter!$M$23,Parameter!$M$24))</f>
        <v>235</v>
      </c>
      <c r="CD1832" s="60" t="str">
        <f aca="false">IF(AND(Parameter!$B$19="Ja",E1832&lt;&gt;"",ISNUMBER(MATCH(E1832,Parameter!$I$35:$I$52,0))),VLOOKUP(E1832,Parameter!$I$35:$J$52,2,0),IFERROR(VLOOKUP(D1832,Parameter!$A$35:$C$64,2,0),"Nein"))</f>
        <v>2+3</v>
      </c>
      <c r="CE1832" s="64" t="n">
        <f aca="false">IF(CA1832=0,0,IF(N(S1832)&gt;0,S1832,IFERROR(VLOOKUP(D1832,Parameter!$A$35:$C$64,3,0)+0,0)))</f>
        <v>0.15</v>
      </c>
      <c r="CF1832" s="60" t="str">
        <f aca="false">IF(AB1832&lt;&gt;"",AB1832,AA1832)</f>
        <v/>
      </c>
      <c r="CG1832" s="60" t="str">
        <f aca="false">IF(OR(CF1832=1,CF1832=2,CF1832=3),IF(Parameter!$E$27="Ja","LIFT",IF(CF1832=1,"L1","L23")),IF(CF1832="Aussen","Aussen","-"))</f>
        <v>-</v>
      </c>
      <c r="CH1832" s="71" t="n">
        <f aca="false">IF(N(AC1832)&gt;0,AC1832,0)</f>
        <v>0</v>
      </c>
      <c r="CI1832" s="65" t="n">
        <f aca="false">IF(ISNUMBER(AF1832),1,0)</f>
        <v>0</v>
      </c>
      <c r="CJ1832" s="62" t="n">
        <f aca="false">N(AF1832)</f>
        <v>0</v>
      </c>
      <c r="CK1832" s="62" t="n">
        <f aca="false">N(M1832)+N(N1832)</f>
        <v>0</v>
      </c>
      <c r="CL1832" s="62" t="n">
        <f aca="false">N(M1832)</f>
        <v>0</v>
      </c>
      <c r="CM1832" s="62" t="n">
        <f aca="false">N(N1832)</f>
        <v>0</v>
      </c>
      <c r="CN1832" s="62" t="n">
        <f aca="false">ROUNDUP(H1832/BZ1832,0)</f>
        <v>0</v>
      </c>
      <c r="CO1832" s="62" t="n">
        <f aca="false">ROUNDUP(CJ1832/BZ1832,0)</f>
        <v>0</v>
      </c>
      <c r="CP1832" s="65" t="n">
        <f aca="false">IF(CA1832=1,0,IFERROR(VLOOKUP(BY1832,'Gebinde-Kategorie'!$A$5:$N$45,5,0)+0,0))</f>
        <v>0</v>
      </c>
      <c r="CQ1832" s="65" t="n">
        <f aca="false">IFERROR(IF(OR(CF1832=1,CF1832=2,CF1832=3),N(INDEX(Parameter!$I$5:$I$7,CF1832)),0),0)</f>
        <v>0</v>
      </c>
      <c r="CR1832" s="64" t="n">
        <f aca="false">IF(AND(Parameter!$B$21="Ja",ISNUMBER(W1832),N(X1832)&gt;0),IFERROR(N(INDEX(Parameter!$L$5:$L$7,W1832))*INDEX(Parameter!$E$5:$E$7,W1832)*X1832/SUMIFS($X$7:$X$1843,$W$7:$W$1843,W1832),0),0)</f>
        <v>0</v>
      </c>
      <c r="CS1832" s="62" t="str">
        <f aca="false">IF(AND(OR(CG1832="L1",CG1832="L23",CG1832="LIFT"),H1832&gt;0),CC1832*IF(CR1832&gt;0,CR1832*MAX(1,H1832/X1832),IF(CA1832=1,CE1832,IF(R1832&gt;0,CN1832/R1832,0))/MAX(0.1,N(Parameter!$M$21))),"")</f>
        <v/>
      </c>
      <c r="CT1832" s="64" t="str">
        <f aca="false">IF(CS1832="","",J1832/H1832)</f>
        <v/>
      </c>
      <c r="CU1832" s="62" t="str">
        <f aca="false">IF(CS1832="","",H1832*G1832)</f>
        <v/>
      </c>
      <c r="CV1832" s="63" t="str">
        <f aca="false">IF(CS1832="","",(CL1832+ROUNDUP(CL1832+MAX(CM1832,2*(J1832/MAX(0.1,N(Einkauf!$C$6))-CL1832)),0))/2)</f>
        <v/>
      </c>
      <c r="CW1832" s="62" t="str">
        <f aca="false">IF(CS1832="","",MAX(0,H1832-CV1832)*G1832)</f>
        <v/>
      </c>
      <c r="CX1832" s="62" t="str">
        <f aca="false">IF(CS1832="","",CS1832*MAX(0,1-CV1832/H1832))</f>
        <v/>
      </c>
      <c r="CY1832" s="64" t="str">
        <f aca="false">IF(CS1832="","",PERCENTRANK($CS$7:$CS$1843,CS1832)+PERCENTRANK($CU$7:$CU$1843,CU1832)+1-PERCENTRANK($CT$7:$CT$1843,CT1832))</f>
        <v/>
      </c>
      <c r="CZ1832" s="72" t="str">
        <f aca="false">IF(CS1832="","",CHOOSE(MATCH(Einkauf!$C$5,Parameter!$G$23:$G$27,0),CY1832,CS1832,CU1832,-CT1832,CW1832)+ROW()/1000000000)</f>
        <v/>
      </c>
    </row>
    <row r="1833" customFormat="false" ht="15" hidden="false" customHeight="false" outlineLevel="0" collapsed="false">
      <c r="A1833" s="60" t="str">
        <f aca="false">IF('Neue Artikel'!$A$94="","",'Neue Artikel'!$A$94&amp;"")</f>
        <v/>
      </c>
      <c r="B1833" s="60" t="str">
        <f aca="false">'Neue Artikel'!$B$94&amp;""</f>
        <v/>
      </c>
      <c r="C1833" s="60"/>
      <c r="D1833" s="60" t="s">
        <v>3057</v>
      </c>
      <c r="E1833" s="60"/>
      <c r="F1833" s="60"/>
      <c r="G1833" s="61" t="n">
        <f aca="false">N('Neue Artikel'!$G$94)</f>
        <v>0</v>
      </c>
      <c r="H1833" s="62" t="n">
        <f aca="false">MAX(0,IF(AND(Parameter!$B$21="Ja",ISNUMBER(Y1833)),Y1833,IF(Parameter!$B$20="Jahresanfang 2025 + Export",BS1833+BR1833,BR1833)))</f>
        <v>0</v>
      </c>
      <c r="I1833" s="62" t="n">
        <f aca="false">H1833*G1833</f>
        <v>0</v>
      </c>
      <c r="J1833" s="62" t="n">
        <f aca="false">BU1833*Parameter!$B$18</f>
        <v>0</v>
      </c>
      <c r="K1833" s="63"/>
      <c r="L1833" s="64"/>
      <c r="M1833" s="62" t="n">
        <f aca="false">N('Neue Artikel'!$E$94)</f>
        <v>0</v>
      </c>
      <c r="N1833" s="62" t="n">
        <f aca="false">N('Neue Artikel'!$F$94)</f>
        <v>0</v>
      </c>
      <c r="O1833" s="65"/>
      <c r="P1833" s="60" t="str">
        <f aca="false">IF('Neue Artikel'!$H$94="","LOSE",UPPER(TRIM('Neue Artikel'!$H$94)))</f>
        <v>LOSE</v>
      </c>
      <c r="Q1833" s="62" t="n">
        <f aca="false">N('Neue Artikel'!$I$94)</f>
        <v>0</v>
      </c>
      <c r="R1833" s="65" t="n">
        <f aca="false">IF(CA1833=1,0,IFERROR(VLOOKUP(BY1833,'Gebinde-Kategorie'!$A$5:$N$45,13,0)+0,0))</f>
        <v>0</v>
      </c>
      <c r="S1833" s="66"/>
      <c r="T1833" s="67"/>
      <c r="U1833" s="67"/>
      <c r="V1833" s="67"/>
      <c r="W1833" s="60"/>
      <c r="X1833" s="62"/>
      <c r="Y1833" s="62"/>
      <c r="Z1833" s="60"/>
      <c r="AA1833" s="60" t="str">
        <f aca="false">IF(A1833="","",IF(AND(Parameter!$B$21="Ja",ISNUMBER(W1833)),W1833,IF(AND(Parameter!$E$27="Ja",ISNUMBER(Z1833),CD1833&lt;&gt;"Nein"),Z1833,IF(CD1833="2+3",IF(ISNUMBER(SEARCH("grosser Artikel",BV1833)),2,IFERROR(VLOOKUP(BY1833,Parameter!$F$35:$G$64,2,0),2)),IF(OR(CD1833="Nein",CD1833=""),"-",CD1833)))))</f>
        <v/>
      </c>
      <c r="AB1833" s="60" t="str">
        <f aca="false">IF('Neue Artikel'!$J$94="","",'Neue Artikel'!$J$94)</f>
        <v/>
      </c>
      <c r="AC1833" s="68"/>
      <c r="AD1833" s="62" t="n">
        <f aca="false">AW1833</f>
        <v>0</v>
      </c>
      <c r="AE1833" s="62" t="n">
        <f aca="false">MAX(AW1833,H1833)</f>
        <v>0</v>
      </c>
      <c r="AF1833" s="69"/>
      <c r="AG1833" s="62" t="n">
        <f aca="false">IF(LEFT(Cockpit!$C$5,1)="A",H1833,IF(Parameter!$E$30="MAX-Bestand",IF(CI1833=1,CJ1833,IF(LEFT(Cockpit!$C$5,1)="B",AM1833,MAX(AM1833,H1833))),ROUNDUP(AK1833,0)))</f>
        <v>0</v>
      </c>
      <c r="AH1833" s="62" t="n">
        <f aca="false">IF(CA1833=1,0,ROUNDUP(AG1833/BZ1833,0))</f>
        <v>0</v>
      </c>
      <c r="AI1833" s="64" t="n">
        <f aca="false">IF(CR1833&gt;0,CR1833*MAX(1,AG1833/X1833),IF(CA1833=1,IF(AG1833&lt;=0,0,CE1833*MAX(1,IF(H1833&gt;0,AG1833/H1833,1))),IF(R1833&gt;0,AH1833/R1833,0))/MAX(0.1,N(Parameter!$M$21)))</f>
        <v>0</v>
      </c>
      <c r="AJ1833" s="62" t="n">
        <f aca="false">AI1833*CC1833</f>
        <v>0</v>
      </c>
      <c r="AK1833" s="63" t="n">
        <f aca="false">IF(LEFT(Cockpit!$C$5,1)="A",H1833,IF(CI1833=1,(CL1833+CJ1833)/2,IF(LEFT(Cockpit!$C$5,1)="B",(CL1833+AM1833)/2,MAX((CL1833+AM1833)/2,H1833))))</f>
        <v>0</v>
      </c>
      <c r="AL1833" s="62" t="n">
        <f aca="false">AK1833*G1833</f>
        <v>0</v>
      </c>
      <c r="AM1833" s="62" t="n">
        <f aca="false">ROUNDUP(CL1833+MAX(CM1833,2*(J1833/IF(CH1833&gt;0,CH1833,MAX(0.1,N(Cockpit!$C$6)))-CL1833)),0)</f>
        <v>0</v>
      </c>
      <c r="AN1833" s="63" t="n">
        <f aca="false">IF(AJ1833&gt;0,J1833/AJ1833,-1)</f>
        <v>-1</v>
      </c>
      <c r="AO1833" s="63" t="str">
        <f aca="false">IF(AND(OR(CG1833="L1",CG1833="L23",CG1833="LIFT"),AJ1833&gt;0),SUMIFS($AJ$7:$AJ$1843,$CG$7:$CG$1843,CG1833,$AN$7:$AN$1843,"&gt;"&amp;AN1833)+SUMIFS($AJ$7:$AJ$1843,$CG$7:$CG$1843,CG1833,$AN$7:$AN$1843,AN1833,$BX$7:$BX$1843,"&lt;="&amp;BX1833),"")</f>
        <v/>
      </c>
      <c r="AP1833" s="70" t="n">
        <f aca="false">IF(AO1833="",0,MAX(0,MIN(1,(IF(CG1833="L1",Parameter!$H$5,IF(CG1833="L23",Parameter!$H$6+Parameter!$H$7,Parameter!$H$5+Parameter!$H$6+Parameter!$H$7))-(AO1833-AJ1833))/AJ1833)))</f>
        <v>0</v>
      </c>
      <c r="AQ1833" s="62" t="n">
        <f aca="false">IF(LEFT(Cockpit!$I$5,1)="A",H1833,IF(Parameter!$E$30="MAX-Bestand",IF(CI1833=1,CJ1833,IF(LEFT(Cockpit!$I$5,1)="B",AW1833,MAX(AW1833,H1833))),ROUNDUP(AU1833,0)))</f>
        <v>0</v>
      </c>
      <c r="AR1833" s="62" t="n">
        <f aca="false">IF(CA1833=1,0,ROUNDUP(AQ1833/BZ1833,0))</f>
        <v>0</v>
      </c>
      <c r="AS1833" s="64" t="n">
        <f aca="false">IF(CR1833&gt;0,CR1833*MAX(1,AQ1833/X1833),IF(CA1833=1,IF(AQ1833&lt;=0,0,CE1833*MAX(1,IF(H1833&gt;0,AQ1833/H1833,1))),IF(R1833&gt;0,AR1833/R1833,0))/MAX(0.1,N(Parameter!$M$21)))</f>
        <v>0</v>
      </c>
      <c r="AT1833" s="62" t="n">
        <f aca="false">AS1833*CC1833</f>
        <v>0</v>
      </c>
      <c r="AU1833" s="63" t="n">
        <f aca="false">IF(LEFT(Cockpit!$I$5,1)="A",H1833,IF(CI1833=1,(CL1833+CJ1833)/2,IF(LEFT(Cockpit!$I$5,1)="B",(CL1833+AW1833)/2,MAX((CL1833+AW1833)/2,H1833))))</f>
        <v>0</v>
      </c>
      <c r="AV1833" s="62" t="n">
        <f aca="false">AU1833*G1833</f>
        <v>0</v>
      </c>
      <c r="AW1833" s="62" t="n">
        <f aca="false">ROUNDUP(CL1833+MAX(CM1833,2*(J1833/IF(CH1833&gt;0,CH1833,MAX(0.1,N(Cockpit!$I$6)))-CL1833)),0)</f>
        <v>0</v>
      </c>
      <c r="AX1833" s="63" t="n">
        <f aca="false">IF(AT1833&gt;0,J1833/AT1833,-1)</f>
        <v>-1</v>
      </c>
      <c r="AY1833" s="63" t="str">
        <f aca="false">IF(AND(OR(CG1833="L1",CG1833="L23",CG1833="LIFT"),AT1833&gt;0),SUMIFS($AT$7:$AT$1843,$CG$7:$CG$1843,CG1833,$AX$7:$AX$1843,"&gt;"&amp;AX1833)+SUMIFS($AT$7:$AT$1843,$CG$7:$CG$1843,CG1833,$AX$7:$AX$1843,AX1833,$BX$7:$BX$1843,"&lt;="&amp;BX1833),"")</f>
        <v/>
      </c>
      <c r="AZ1833" s="70" t="n">
        <f aca="false">IF(AY1833="",0,MAX(0,MIN(1,(IF(CG1833="L1",Parameter!$H$5,IF(CG1833="L23",Parameter!$H$6+Parameter!$H$7,Parameter!$H$5+Parameter!$H$6+Parameter!$H$7))-(AY1833-AT1833))/AT1833)))</f>
        <v>0</v>
      </c>
      <c r="BA1833" s="62" t="n">
        <f aca="false">IF(LEFT(Cockpit!$O$5,1)="A",H1833,IF(Parameter!$E$30="MAX-Bestand",IF(CI1833=1,CJ1833,IF(LEFT(Cockpit!$O$5,1)="B",BG1833,MAX(BG1833,H1833))),ROUNDUP(BE1833,0)))</f>
        <v>0</v>
      </c>
      <c r="BB1833" s="62" t="n">
        <f aca="false">IF(CA1833=1,0,ROUNDUP(BA1833/BZ1833,0))</f>
        <v>0</v>
      </c>
      <c r="BC1833" s="64" t="n">
        <f aca="false">IF(CR1833&gt;0,CR1833*MAX(1,BA1833/X1833),IF(CA1833=1,IF(BA1833&lt;=0,0,CE1833*MAX(1,IF(H1833&gt;0,BA1833/H1833,1))),IF(R1833&gt;0,BB1833/R1833,0))/MAX(0.1,N(Parameter!$M$21)))</f>
        <v>0</v>
      </c>
      <c r="BD1833" s="62" t="n">
        <f aca="false">BC1833*CC1833</f>
        <v>0</v>
      </c>
      <c r="BE1833" s="63" t="n">
        <f aca="false">IF(LEFT(Cockpit!$O$5,1)="A",H1833,IF(CI1833=1,(CL1833+CJ1833)/2,IF(LEFT(Cockpit!$O$5,1)="B",(CL1833+BG1833)/2,MAX((CL1833+BG1833)/2,H1833))))</f>
        <v>0</v>
      </c>
      <c r="BF1833" s="62" t="n">
        <f aca="false">BE1833*G1833</f>
        <v>0</v>
      </c>
      <c r="BG1833" s="62" t="n">
        <f aca="false">ROUNDUP(CL1833+MAX(CM1833,2*(J1833/IF(CH1833&gt;0,CH1833,MAX(0.1,N(Cockpit!$O$6)))-CL1833)),0)</f>
        <v>0</v>
      </c>
      <c r="BH1833" s="63" t="n">
        <f aca="false">IF(BD1833&gt;0,J1833/BD1833,-1)</f>
        <v>-1</v>
      </c>
      <c r="BI1833" s="63" t="str">
        <f aca="false">IF(AND(OR(CG1833="L1",CG1833="L23",CG1833="LIFT"),BD1833&gt;0),SUMIFS($BD$7:$BD$1843,$CG$7:$CG$1843,CG1833,$BH$7:$BH$1843,"&gt;"&amp;BH1833)+SUMIFS($BD$7:$BD$1843,$CG$7:$CG$1843,CG1833,$BH$7:$BH$1843,BH1833,$BX$7:$BX$1843,"&lt;="&amp;BX1833),"")</f>
        <v/>
      </c>
      <c r="BJ1833" s="70" t="n">
        <f aca="false">IF(BI1833="",0,MAX(0,MIN(1,(IF(CG1833="L1",Parameter!$H$5,IF(CG1833="L23",Parameter!$H$6+Parameter!$H$7,Parameter!$H$5+Parameter!$H$6+Parameter!$H$7))-(BI1833-BD1833))/BD1833)))</f>
        <v>0</v>
      </c>
      <c r="BK1833" s="60" t="str">
        <f aca="false">IF(AJ1833&lt;=0,"",IF(CG1833="Aussen","Aussenlager",IF(CG1833="-","Nicht im Lift",IF(AP1833&gt;=1,"Lift",IF(AP1833&lt;=0,"Aussenlager","teilweise")))))</f>
        <v/>
      </c>
      <c r="BL1833" s="60" t="str">
        <f aca="false">IF(AT1833&lt;=0,"",IF(CG1833="Aussen","Aussenlager",IF(CG1833="-","Nicht im Lift",IF(AZ1833&gt;=1,"Lift",IF(AZ1833&lt;=0,"Aussenlager","teilweise")))))</f>
        <v/>
      </c>
      <c r="BM1833" s="60" t="str">
        <f aca="false">IF(BD1833&lt;=0,"",IF(CG1833="Aussen","Aussenlager",IF(CG1833="-","Nicht im Lift",IF(BJ1833&gt;=1,"Lift",IF(BJ1833&lt;=0,"Aussenlager","teilweise")))))</f>
        <v/>
      </c>
      <c r="BN1833" s="60" t="str">
        <f aca="false">IF(A1833="","",IF(BW1833=1,"Neu; ","")&amp;IF(AND(BW1833=0,BR1833&lt;0),"negativer Bestand (Export "&amp;BR1833&amp;"); ","")&amp;IF(J1833&lt;=0,"Kein Verbrauch; ","")&amp;IF(CR1833&gt;0,"Lift "&amp;W1833&amp;" lt. Liftbericht (Fach "&amp;X1833&amp;" Stk); ",IF(CB1833=1,"Gebinde geschätzt ("&amp;T1833&amp;"); ",IF(CA1833=1,"Lose – Tablare geschätzt; ","")))&amp;IF(H1833&gt;AW1833,"Überbestand "&amp;ROUND(H1833-AW1833,0)&amp;" Stk / CHF "&amp;ROUND((H1833-AW1833)*G1833,0)&amp;"; ","")&amp;IF(AND(CI1833=1,CJ1833&lt;CK1833),"MAX &lt; MB+LG; ","")&amp;IF(AND(CQ1833&gt;0,CP1833*10&gt;CQ1833),"zu hoch für Tablar; ","")&amp;IF(AND(BW1833=0,OR(CI1833=1,AB1833&lt;&gt;"",U1833&lt;&gt;"",V1833&lt;&gt;"",AC1833&lt;&gt;"")),"manuell übersteuert; ","")&amp;IF(AND(CA1833=0,R1833=0),"Gebinde unbekannt / Stellmass fehlt; ","")&amp;IF(AND(CA1833=0,N(V1833)&lt;=0,N(Q1833)&lt;=0),"Menge pro Gebinde fehlt (Ist = 1 Gebinde); ","")&amp;BV1833)</f>
        <v/>
      </c>
      <c r="BO1833" s="60"/>
      <c r="BP1833" s="60"/>
      <c r="BQ1833" s="67"/>
      <c r="BR1833" s="62" t="n">
        <f aca="false">N('Neue Artikel'!$D$94)</f>
        <v>0</v>
      </c>
      <c r="BS1833" s="62" t="n">
        <v>0</v>
      </c>
      <c r="BT1833" s="61" t="n">
        <v>0</v>
      </c>
      <c r="BU1833" s="62" t="n">
        <f aca="false">N('Neue Artikel'!$C$94)/Parameter!$B$18</f>
        <v>0</v>
      </c>
      <c r="BV1833" s="60"/>
      <c r="BW1833" s="65" t="n">
        <v>1</v>
      </c>
      <c r="BX1833" s="65" t="n">
        <v>1833</v>
      </c>
      <c r="BY1833" s="60" t="str">
        <f aca="false">IF(U1833&lt;&gt;"",UPPER(TRIM(U1833)),IF(CB1833=1,UPPER(VLOOKUP(T1833,Parameter!$I$27:$K$29,2,0)),IF(P1833="","LOSE",P1833)))</f>
        <v>LOSE</v>
      </c>
      <c r="BZ1833" s="62" t="n">
        <f aca="false">IF(BY1833="LOSE",1,IF(N(V1833)&gt;0,V1833,IF(CB1833=1,MAX(1,N(VLOOKUP(T1833,Parameter!$I$27:$K$29,3,0)),H1833,N(N1833)),IF(N(Q1833)&gt;0,Q1833,MAX(1,H1833)))))</f>
        <v>1</v>
      </c>
      <c r="CA1833" s="65" t="n">
        <f aca="false">IF(BY1833="LOSE",1,0)</f>
        <v>1</v>
      </c>
      <c r="CB1833" s="65" t="n">
        <f aca="false">IF(AND(U1833="",OR(P1833="",P1833="LOSE"),T1833&lt;&gt;"",N(S1833)&lt;=0,ISNUMBER(MATCH(T1833,Parameter!$I$27:$I$29,0))),1,0)</f>
        <v>0</v>
      </c>
      <c r="CC1833" s="65" t="n">
        <f aca="false">IF(CR1833&gt;0,INDEX(Parameter!$H$5:$H$7,W1833)/INDEX(Parameter!$E$5:$E$7,W1833),IF(AND(CA1833=0,N(IFERROR(VLOOKUP(BY1833,'Gebinde-Kategorie'!$A$5:$N$45,14,0),0))&gt;0),VLOOKUP(BY1833,'Gebinde-Kategorie'!$A$5:$N$45,14,0)*10+Parameter!$M$23,Parameter!$M$24))</f>
        <v>235</v>
      </c>
      <c r="CD1833" s="60" t="str">
        <f aca="false">IF(AND(Parameter!$B$19="Ja",E1833&lt;&gt;"",ISNUMBER(MATCH(E1833,Parameter!$I$35:$I$52,0))),VLOOKUP(E1833,Parameter!$I$35:$J$52,2,0),IFERROR(VLOOKUP(D1833,Parameter!$A$35:$C$64,2,0),"Nein"))</f>
        <v>2+3</v>
      </c>
      <c r="CE1833" s="64" t="n">
        <f aca="false">IF(CA1833=0,0,IF(N(S1833)&gt;0,S1833,IFERROR(VLOOKUP(D1833,Parameter!$A$35:$C$64,3,0)+0,0)))</f>
        <v>0.15</v>
      </c>
      <c r="CF1833" s="60" t="str">
        <f aca="false">IF(AB1833&lt;&gt;"",AB1833,AA1833)</f>
        <v/>
      </c>
      <c r="CG1833" s="60" t="str">
        <f aca="false">IF(OR(CF1833=1,CF1833=2,CF1833=3),IF(Parameter!$E$27="Ja","LIFT",IF(CF1833=1,"L1","L23")),IF(CF1833="Aussen","Aussen","-"))</f>
        <v>-</v>
      </c>
      <c r="CH1833" s="71" t="n">
        <f aca="false">IF(N(AC1833)&gt;0,AC1833,0)</f>
        <v>0</v>
      </c>
      <c r="CI1833" s="65" t="n">
        <f aca="false">IF(ISNUMBER(AF1833),1,0)</f>
        <v>0</v>
      </c>
      <c r="CJ1833" s="62" t="n">
        <f aca="false">N(AF1833)</f>
        <v>0</v>
      </c>
      <c r="CK1833" s="62" t="n">
        <f aca="false">N(M1833)+N(N1833)</f>
        <v>0</v>
      </c>
      <c r="CL1833" s="62" t="n">
        <f aca="false">N(M1833)</f>
        <v>0</v>
      </c>
      <c r="CM1833" s="62" t="n">
        <f aca="false">N(N1833)</f>
        <v>0</v>
      </c>
      <c r="CN1833" s="62" t="n">
        <f aca="false">ROUNDUP(H1833/BZ1833,0)</f>
        <v>0</v>
      </c>
      <c r="CO1833" s="62" t="n">
        <f aca="false">ROUNDUP(CJ1833/BZ1833,0)</f>
        <v>0</v>
      </c>
      <c r="CP1833" s="65" t="n">
        <f aca="false">IF(CA1833=1,0,IFERROR(VLOOKUP(BY1833,'Gebinde-Kategorie'!$A$5:$N$45,5,0)+0,0))</f>
        <v>0</v>
      </c>
      <c r="CQ1833" s="65" t="n">
        <f aca="false">IFERROR(IF(OR(CF1833=1,CF1833=2,CF1833=3),N(INDEX(Parameter!$I$5:$I$7,CF1833)),0),0)</f>
        <v>0</v>
      </c>
      <c r="CR1833" s="64" t="n">
        <f aca="false">IF(AND(Parameter!$B$21="Ja",ISNUMBER(W1833),N(X1833)&gt;0),IFERROR(N(INDEX(Parameter!$L$5:$L$7,W1833))*INDEX(Parameter!$E$5:$E$7,W1833)*X1833/SUMIFS($X$7:$X$1843,$W$7:$W$1843,W1833),0),0)</f>
        <v>0</v>
      </c>
      <c r="CS1833" s="62" t="str">
        <f aca="false">IF(AND(OR(CG1833="L1",CG1833="L23",CG1833="LIFT"),H1833&gt;0),CC1833*IF(CR1833&gt;0,CR1833*MAX(1,H1833/X1833),IF(CA1833=1,CE1833,IF(R1833&gt;0,CN1833/R1833,0))/MAX(0.1,N(Parameter!$M$21))),"")</f>
        <v/>
      </c>
      <c r="CT1833" s="64" t="str">
        <f aca="false">IF(CS1833="","",J1833/H1833)</f>
        <v/>
      </c>
      <c r="CU1833" s="62" t="str">
        <f aca="false">IF(CS1833="","",H1833*G1833)</f>
        <v/>
      </c>
      <c r="CV1833" s="63" t="str">
        <f aca="false">IF(CS1833="","",(CL1833+ROUNDUP(CL1833+MAX(CM1833,2*(J1833/MAX(0.1,N(Einkauf!$C$6))-CL1833)),0))/2)</f>
        <v/>
      </c>
      <c r="CW1833" s="62" t="str">
        <f aca="false">IF(CS1833="","",MAX(0,H1833-CV1833)*G1833)</f>
        <v/>
      </c>
      <c r="CX1833" s="62" t="str">
        <f aca="false">IF(CS1833="","",CS1833*MAX(0,1-CV1833/H1833))</f>
        <v/>
      </c>
      <c r="CY1833" s="64" t="str">
        <f aca="false">IF(CS1833="","",PERCENTRANK($CS$7:$CS$1843,CS1833)+PERCENTRANK($CU$7:$CU$1843,CU1833)+1-PERCENTRANK($CT$7:$CT$1843,CT1833))</f>
        <v/>
      </c>
      <c r="CZ1833" s="72" t="str">
        <f aca="false">IF(CS1833="","",CHOOSE(MATCH(Einkauf!$C$5,Parameter!$G$23:$G$27,0),CY1833,CS1833,CU1833,-CT1833,CW1833)+ROW()/1000000000)</f>
        <v/>
      </c>
    </row>
    <row r="1834" customFormat="false" ht="15" hidden="false" customHeight="false" outlineLevel="0" collapsed="false">
      <c r="A1834" s="60" t="str">
        <f aca="false">IF('Neue Artikel'!$A$95="","",'Neue Artikel'!$A$95&amp;"")</f>
        <v/>
      </c>
      <c r="B1834" s="60" t="str">
        <f aca="false">'Neue Artikel'!$B$95&amp;""</f>
        <v/>
      </c>
      <c r="C1834" s="60"/>
      <c r="D1834" s="60" t="s">
        <v>3057</v>
      </c>
      <c r="E1834" s="60"/>
      <c r="F1834" s="60"/>
      <c r="G1834" s="61" t="n">
        <f aca="false">N('Neue Artikel'!$G$95)</f>
        <v>0</v>
      </c>
      <c r="H1834" s="62" t="n">
        <f aca="false">MAX(0,IF(AND(Parameter!$B$21="Ja",ISNUMBER(Y1834)),Y1834,IF(Parameter!$B$20="Jahresanfang 2025 + Export",BS1834+BR1834,BR1834)))</f>
        <v>0</v>
      </c>
      <c r="I1834" s="62" t="n">
        <f aca="false">H1834*G1834</f>
        <v>0</v>
      </c>
      <c r="J1834" s="62" t="n">
        <f aca="false">BU1834*Parameter!$B$18</f>
        <v>0</v>
      </c>
      <c r="K1834" s="63"/>
      <c r="L1834" s="64"/>
      <c r="M1834" s="62" t="n">
        <f aca="false">N('Neue Artikel'!$E$95)</f>
        <v>0</v>
      </c>
      <c r="N1834" s="62" t="n">
        <f aca="false">N('Neue Artikel'!$F$95)</f>
        <v>0</v>
      </c>
      <c r="O1834" s="65"/>
      <c r="P1834" s="60" t="str">
        <f aca="false">IF('Neue Artikel'!$H$95="","LOSE",UPPER(TRIM('Neue Artikel'!$H$95)))</f>
        <v>LOSE</v>
      </c>
      <c r="Q1834" s="62" t="n">
        <f aca="false">N('Neue Artikel'!$I$95)</f>
        <v>0</v>
      </c>
      <c r="R1834" s="65" t="n">
        <f aca="false">IF(CA1834=1,0,IFERROR(VLOOKUP(BY1834,'Gebinde-Kategorie'!$A$5:$N$45,13,0)+0,0))</f>
        <v>0</v>
      </c>
      <c r="S1834" s="66"/>
      <c r="T1834" s="67"/>
      <c r="U1834" s="67"/>
      <c r="V1834" s="67"/>
      <c r="W1834" s="60"/>
      <c r="X1834" s="62"/>
      <c r="Y1834" s="62"/>
      <c r="Z1834" s="60"/>
      <c r="AA1834" s="60" t="str">
        <f aca="false">IF(A1834="","",IF(AND(Parameter!$B$21="Ja",ISNUMBER(W1834)),W1834,IF(AND(Parameter!$E$27="Ja",ISNUMBER(Z1834),CD1834&lt;&gt;"Nein"),Z1834,IF(CD1834="2+3",IF(ISNUMBER(SEARCH("grosser Artikel",BV1834)),2,IFERROR(VLOOKUP(BY1834,Parameter!$F$35:$G$64,2,0),2)),IF(OR(CD1834="Nein",CD1834=""),"-",CD1834)))))</f>
        <v/>
      </c>
      <c r="AB1834" s="60" t="str">
        <f aca="false">IF('Neue Artikel'!$J$95="","",'Neue Artikel'!$J$95)</f>
        <v/>
      </c>
      <c r="AC1834" s="68"/>
      <c r="AD1834" s="62" t="n">
        <f aca="false">AW1834</f>
        <v>0</v>
      </c>
      <c r="AE1834" s="62" t="n">
        <f aca="false">MAX(AW1834,H1834)</f>
        <v>0</v>
      </c>
      <c r="AF1834" s="69"/>
      <c r="AG1834" s="62" t="n">
        <f aca="false">IF(LEFT(Cockpit!$C$5,1)="A",H1834,IF(Parameter!$E$30="MAX-Bestand",IF(CI1834=1,CJ1834,IF(LEFT(Cockpit!$C$5,1)="B",AM1834,MAX(AM1834,H1834))),ROUNDUP(AK1834,0)))</f>
        <v>0</v>
      </c>
      <c r="AH1834" s="62" t="n">
        <f aca="false">IF(CA1834=1,0,ROUNDUP(AG1834/BZ1834,0))</f>
        <v>0</v>
      </c>
      <c r="AI1834" s="64" t="n">
        <f aca="false">IF(CR1834&gt;0,CR1834*MAX(1,AG1834/X1834),IF(CA1834=1,IF(AG1834&lt;=0,0,CE1834*MAX(1,IF(H1834&gt;0,AG1834/H1834,1))),IF(R1834&gt;0,AH1834/R1834,0))/MAX(0.1,N(Parameter!$M$21)))</f>
        <v>0</v>
      </c>
      <c r="AJ1834" s="62" t="n">
        <f aca="false">AI1834*CC1834</f>
        <v>0</v>
      </c>
      <c r="AK1834" s="63" t="n">
        <f aca="false">IF(LEFT(Cockpit!$C$5,1)="A",H1834,IF(CI1834=1,(CL1834+CJ1834)/2,IF(LEFT(Cockpit!$C$5,1)="B",(CL1834+AM1834)/2,MAX((CL1834+AM1834)/2,H1834))))</f>
        <v>0</v>
      </c>
      <c r="AL1834" s="62" t="n">
        <f aca="false">AK1834*G1834</f>
        <v>0</v>
      </c>
      <c r="AM1834" s="62" t="n">
        <f aca="false">ROUNDUP(CL1834+MAX(CM1834,2*(J1834/IF(CH1834&gt;0,CH1834,MAX(0.1,N(Cockpit!$C$6)))-CL1834)),0)</f>
        <v>0</v>
      </c>
      <c r="AN1834" s="63" t="n">
        <f aca="false">IF(AJ1834&gt;0,J1834/AJ1834,-1)</f>
        <v>-1</v>
      </c>
      <c r="AO1834" s="63" t="str">
        <f aca="false">IF(AND(OR(CG1834="L1",CG1834="L23",CG1834="LIFT"),AJ1834&gt;0),SUMIFS($AJ$7:$AJ$1843,$CG$7:$CG$1843,CG1834,$AN$7:$AN$1843,"&gt;"&amp;AN1834)+SUMIFS($AJ$7:$AJ$1843,$CG$7:$CG$1843,CG1834,$AN$7:$AN$1843,AN1834,$BX$7:$BX$1843,"&lt;="&amp;BX1834),"")</f>
        <v/>
      </c>
      <c r="AP1834" s="70" t="n">
        <f aca="false">IF(AO1834="",0,MAX(0,MIN(1,(IF(CG1834="L1",Parameter!$H$5,IF(CG1834="L23",Parameter!$H$6+Parameter!$H$7,Parameter!$H$5+Parameter!$H$6+Parameter!$H$7))-(AO1834-AJ1834))/AJ1834)))</f>
        <v>0</v>
      </c>
      <c r="AQ1834" s="62" t="n">
        <f aca="false">IF(LEFT(Cockpit!$I$5,1)="A",H1834,IF(Parameter!$E$30="MAX-Bestand",IF(CI1834=1,CJ1834,IF(LEFT(Cockpit!$I$5,1)="B",AW1834,MAX(AW1834,H1834))),ROUNDUP(AU1834,0)))</f>
        <v>0</v>
      </c>
      <c r="AR1834" s="62" t="n">
        <f aca="false">IF(CA1834=1,0,ROUNDUP(AQ1834/BZ1834,0))</f>
        <v>0</v>
      </c>
      <c r="AS1834" s="64" t="n">
        <f aca="false">IF(CR1834&gt;0,CR1834*MAX(1,AQ1834/X1834),IF(CA1834=1,IF(AQ1834&lt;=0,0,CE1834*MAX(1,IF(H1834&gt;0,AQ1834/H1834,1))),IF(R1834&gt;0,AR1834/R1834,0))/MAX(0.1,N(Parameter!$M$21)))</f>
        <v>0</v>
      </c>
      <c r="AT1834" s="62" t="n">
        <f aca="false">AS1834*CC1834</f>
        <v>0</v>
      </c>
      <c r="AU1834" s="63" t="n">
        <f aca="false">IF(LEFT(Cockpit!$I$5,1)="A",H1834,IF(CI1834=1,(CL1834+CJ1834)/2,IF(LEFT(Cockpit!$I$5,1)="B",(CL1834+AW1834)/2,MAX((CL1834+AW1834)/2,H1834))))</f>
        <v>0</v>
      </c>
      <c r="AV1834" s="62" t="n">
        <f aca="false">AU1834*G1834</f>
        <v>0</v>
      </c>
      <c r="AW1834" s="62" t="n">
        <f aca="false">ROUNDUP(CL1834+MAX(CM1834,2*(J1834/IF(CH1834&gt;0,CH1834,MAX(0.1,N(Cockpit!$I$6)))-CL1834)),0)</f>
        <v>0</v>
      </c>
      <c r="AX1834" s="63" t="n">
        <f aca="false">IF(AT1834&gt;0,J1834/AT1834,-1)</f>
        <v>-1</v>
      </c>
      <c r="AY1834" s="63" t="str">
        <f aca="false">IF(AND(OR(CG1834="L1",CG1834="L23",CG1834="LIFT"),AT1834&gt;0),SUMIFS($AT$7:$AT$1843,$CG$7:$CG$1843,CG1834,$AX$7:$AX$1843,"&gt;"&amp;AX1834)+SUMIFS($AT$7:$AT$1843,$CG$7:$CG$1843,CG1834,$AX$7:$AX$1843,AX1834,$BX$7:$BX$1843,"&lt;="&amp;BX1834),"")</f>
        <v/>
      </c>
      <c r="AZ1834" s="70" t="n">
        <f aca="false">IF(AY1834="",0,MAX(0,MIN(1,(IF(CG1834="L1",Parameter!$H$5,IF(CG1834="L23",Parameter!$H$6+Parameter!$H$7,Parameter!$H$5+Parameter!$H$6+Parameter!$H$7))-(AY1834-AT1834))/AT1834)))</f>
        <v>0</v>
      </c>
      <c r="BA1834" s="62" t="n">
        <f aca="false">IF(LEFT(Cockpit!$O$5,1)="A",H1834,IF(Parameter!$E$30="MAX-Bestand",IF(CI1834=1,CJ1834,IF(LEFT(Cockpit!$O$5,1)="B",BG1834,MAX(BG1834,H1834))),ROUNDUP(BE1834,0)))</f>
        <v>0</v>
      </c>
      <c r="BB1834" s="62" t="n">
        <f aca="false">IF(CA1834=1,0,ROUNDUP(BA1834/BZ1834,0))</f>
        <v>0</v>
      </c>
      <c r="BC1834" s="64" t="n">
        <f aca="false">IF(CR1834&gt;0,CR1834*MAX(1,BA1834/X1834),IF(CA1834=1,IF(BA1834&lt;=0,0,CE1834*MAX(1,IF(H1834&gt;0,BA1834/H1834,1))),IF(R1834&gt;0,BB1834/R1834,0))/MAX(0.1,N(Parameter!$M$21)))</f>
        <v>0</v>
      </c>
      <c r="BD1834" s="62" t="n">
        <f aca="false">BC1834*CC1834</f>
        <v>0</v>
      </c>
      <c r="BE1834" s="63" t="n">
        <f aca="false">IF(LEFT(Cockpit!$O$5,1)="A",H1834,IF(CI1834=1,(CL1834+CJ1834)/2,IF(LEFT(Cockpit!$O$5,1)="B",(CL1834+BG1834)/2,MAX((CL1834+BG1834)/2,H1834))))</f>
        <v>0</v>
      </c>
      <c r="BF1834" s="62" t="n">
        <f aca="false">BE1834*G1834</f>
        <v>0</v>
      </c>
      <c r="BG1834" s="62" t="n">
        <f aca="false">ROUNDUP(CL1834+MAX(CM1834,2*(J1834/IF(CH1834&gt;0,CH1834,MAX(0.1,N(Cockpit!$O$6)))-CL1834)),0)</f>
        <v>0</v>
      </c>
      <c r="BH1834" s="63" t="n">
        <f aca="false">IF(BD1834&gt;0,J1834/BD1834,-1)</f>
        <v>-1</v>
      </c>
      <c r="BI1834" s="63" t="str">
        <f aca="false">IF(AND(OR(CG1834="L1",CG1834="L23",CG1834="LIFT"),BD1834&gt;0),SUMIFS($BD$7:$BD$1843,$CG$7:$CG$1843,CG1834,$BH$7:$BH$1843,"&gt;"&amp;BH1834)+SUMIFS($BD$7:$BD$1843,$CG$7:$CG$1843,CG1834,$BH$7:$BH$1843,BH1834,$BX$7:$BX$1843,"&lt;="&amp;BX1834),"")</f>
        <v/>
      </c>
      <c r="BJ1834" s="70" t="n">
        <f aca="false">IF(BI1834="",0,MAX(0,MIN(1,(IF(CG1834="L1",Parameter!$H$5,IF(CG1834="L23",Parameter!$H$6+Parameter!$H$7,Parameter!$H$5+Parameter!$H$6+Parameter!$H$7))-(BI1834-BD1834))/BD1834)))</f>
        <v>0</v>
      </c>
      <c r="BK1834" s="60" t="str">
        <f aca="false">IF(AJ1834&lt;=0,"",IF(CG1834="Aussen","Aussenlager",IF(CG1834="-","Nicht im Lift",IF(AP1834&gt;=1,"Lift",IF(AP1834&lt;=0,"Aussenlager","teilweise")))))</f>
        <v/>
      </c>
      <c r="BL1834" s="60" t="str">
        <f aca="false">IF(AT1834&lt;=0,"",IF(CG1834="Aussen","Aussenlager",IF(CG1834="-","Nicht im Lift",IF(AZ1834&gt;=1,"Lift",IF(AZ1834&lt;=0,"Aussenlager","teilweise")))))</f>
        <v/>
      </c>
      <c r="BM1834" s="60" t="str">
        <f aca="false">IF(BD1834&lt;=0,"",IF(CG1834="Aussen","Aussenlager",IF(CG1834="-","Nicht im Lift",IF(BJ1834&gt;=1,"Lift",IF(BJ1834&lt;=0,"Aussenlager","teilweise")))))</f>
        <v/>
      </c>
      <c r="BN1834" s="60" t="str">
        <f aca="false">IF(A1834="","",IF(BW1834=1,"Neu; ","")&amp;IF(AND(BW1834=0,BR1834&lt;0),"negativer Bestand (Export "&amp;BR1834&amp;"); ","")&amp;IF(J1834&lt;=0,"Kein Verbrauch; ","")&amp;IF(CR1834&gt;0,"Lift "&amp;W1834&amp;" lt. Liftbericht (Fach "&amp;X1834&amp;" Stk); ",IF(CB1834=1,"Gebinde geschätzt ("&amp;T1834&amp;"); ",IF(CA1834=1,"Lose – Tablare geschätzt; ","")))&amp;IF(H1834&gt;AW1834,"Überbestand "&amp;ROUND(H1834-AW1834,0)&amp;" Stk / CHF "&amp;ROUND((H1834-AW1834)*G1834,0)&amp;"; ","")&amp;IF(AND(CI1834=1,CJ1834&lt;CK1834),"MAX &lt; MB+LG; ","")&amp;IF(AND(CQ1834&gt;0,CP1834*10&gt;CQ1834),"zu hoch für Tablar; ","")&amp;IF(AND(BW1834=0,OR(CI1834=1,AB1834&lt;&gt;"",U1834&lt;&gt;"",V1834&lt;&gt;"",AC1834&lt;&gt;"")),"manuell übersteuert; ","")&amp;IF(AND(CA1834=0,R1834=0),"Gebinde unbekannt / Stellmass fehlt; ","")&amp;IF(AND(CA1834=0,N(V1834)&lt;=0,N(Q1834)&lt;=0),"Menge pro Gebinde fehlt (Ist = 1 Gebinde); ","")&amp;BV1834)</f>
        <v/>
      </c>
      <c r="BO1834" s="60"/>
      <c r="BP1834" s="60"/>
      <c r="BQ1834" s="67"/>
      <c r="BR1834" s="62" t="n">
        <f aca="false">N('Neue Artikel'!$D$95)</f>
        <v>0</v>
      </c>
      <c r="BS1834" s="62" t="n">
        <v>0</v>
      </c>
      <c r="BT1834" s="61" t="n">
        <v>0</v>
      </c>
      <c r="BU1834" s="62" t="n">
        <f aca="false">N('Neue Artikel'!$C$95)/Parameter!$B$18</f>
        <v>0</v>
      </c>
      <c r="BV1834" s="60"/>
      <c r="BW1834" s="65" t="n">
        <v>1</v>
      </c>
      <c r="BX1834" s="65" t="n">
        <v>1834</v>
      </c>
      <c r="BY1834" s="60" t="str">
        <f aca="false">IF(U1834&lt;&gt;"",UPPER(TRIM(U1834)),IF(CB1834=1,UPPER(VLOOKUP(T1834,Parameter!$I$27:$K$29,2,0)),IF(P1834="","LOSE",P1834)))</f>
        <v>LOSE</v>
      </c>
      <c r="BZ1834" s="62" t="n">
        <f aca="false">IF(BY1834="LOSE",1,IF(N(V1834)&gt;0,V1834,IF(CB1834=1,MAX(1,N(VLOOKUP(T1834,Parameter!$I$27:$K$29,3,0)),H1834,N(N1834)),IF(N(Q1834)&gt;0,Q1834,MAX(1,H1834)))))</f>
        <v>1</v>
      </c>
      <c r="CA1834" s="65" t="n">
        <f aca="false">IF(BY1834="LOSE",1,0)</f>
        <v>1</v>
      </c>
      <c r="CB1834" s="65" t="n">
        <f aca="false">IF(AND(U1834="",OR(P1834="",P1834="LOSE"),T1834&lt;&gt;"",N(S1834)&lt;=0,ISNUMBER(MATCH(T1834,Parameter!$I$27:$I$29,0))),1,0)</f>
        <v>0</v>
      </c>
      <c r="CC1834" s="65" t="n">
        <f aca="false">IF(CR1834&gt;0,INDEX(Parameter!$H$5:$H$7,W1834)/INDEX(Parameter!$E$5:$E$7,W1834),IF(AND(CA1834=0,N(IFERROR(VLOOKUP(BY1834,'Gebinde-Kategorie'!$A$5:$N$45,14,0),0))&gt;0),VLOOKUP(BY1834,'Gebinde-Kategorie'!$A$5:$N$45,14,0)*10+Parameter!$M$23,Parameter!$M$24))</f>
        <v>235</v>
      </c>
      <c r="CD1834" s="60" t="str">
        <f aca="false">IF(AND(Parameter!$B$19="Ja",E1834&lt;&gt;"",ISNUMBER(MATCH(E1834,Parameter!$I$35:$I$52,0))),VLOOKUP(E1834,Parameter!$I$35:$J$52,2,0),IFERROR(VLOOKUP(D1834,Parameter!$A$35:$C$64,2,0),"Nein"))</f>
        <v>2+3</v>
      </c>
      <c r="CE1834" s="64" t="n">
        <f aca="false">IF(CA1834=0,0,IF(N(S1834)&gt;0,S1834,IFERROR(VLOOKUP(D1834,Parameter!$A$35:$C$64,3,0)+0,0)))</f>
        <v>0.15</v>
      </c>
      <c r="CF1834" s="60" t="str">
        <f aca="false">IF(AB1834&lt;&gt;"",AB1834,AA1834)</f>
        <v/>
      </c>
      <c r="CG1834" s="60" t="str">
        <f aca="false">IF(OR(CF1834=1,CF1834=2,CF1834=3),IF(Parameter!$E$27="Ja","LIFT",IF(CF1834=1,"L1","L23")),IF(CF1834="Aussen","Aussen","-"))</f>
        <v>-</v>
      </c>
      <c r="CH1834" s="71" t="n">
        <f aca="false">IF(N(AC1834)&gt;0,AC1834,0)</f>
        <v>0</v>
      </c>
      <c r="CI1834" s="65" t="n">
        <f aca="false">IF(ISNUMBER(AF1834),1,0)</f>
        <v>0</v>
      </c>
      <c r="CJ1834" s="62" t="n">
        <f aca="false">N(AF1834)</f>
        <v>0</v>
      </c>
      <c r="CK1834" s="62" t="n">
        <f aca="false">N(M1834)+N(N1834)</f>
        <v>0</v>
      </c>
      <c r="CL1834" s="62" t="n">
        <f aca="false">N(M1834)</f>
        <v>0</v>
      </c>
      <c r="CM1834" s="62" t="n">
        <f aca="false">N(N1834)</f>
        <v>0</v>
      </c>
      <c r="CN1834" s="62" t="n">
        <f aca="false">ROUNDUP(H1834/BZ1834,0)</f>
        <v>0</v>
      </c>
      <c r="CO1834" s="62" t="n">
        <f aca="false">ROUNDUP(CJ1834/BZ1834,0)</f>
        <v>0</v>
      </c>
      <c r="CP1834" s="65" t="n">
        <f aca="false">IF(CA1834=1,0,IFERROR(VLOOKUP(BY1834,'Gebinde-Kategorie'!$A$5:$N$45,5,0)+0,0))</f>
        <v>0</v>
      </c>
      <c r="CQ1834" s="65" t="n">
        <f aca="false">IFERROR(IF(OR(CF1834=1,CF1834=2,CF1834=3),N(INDEX(Parameter!$I$5:$I$7,CF1834)),0),0)</f>
        <v>0</v>
      </c>
      <c r="CR1834" s="64" t="n">
        <f aca="false">IF(AND(Parameter!$B$21="Ja",ISNUMBER(W1834),N(X1834)&gt;0),IFERROR(N(INDEX(Parameter!$L$5:$L$7,W1834))*INDEX(Parameter!$E$5:$E$7,W1834)*X1834/SUMIFS($X$7:$X$1843,$W$7:$W$1843,W1834),0),0)</f>
        <v>0</v>
      </c>
      <c r="CS1834" s="62" t="str">
        <f aca="false">IF(AND(OR(CG1834="L1",CG1834="L23",CG1834="LIFT"),H1834&gt;0),CC1834*IF(CR1834&gt;0,CR1834*MAX(1,H1834/X1834),IF(CA1834=1,CE1834,IF(R1834&gt;0,CN1834/R1834,0))/MAX(0.1,N(Parameter!$M$21))),"")</f>
        <v/>
      </c>
      <c r="CT1834" s="64" t="str">
        <f aca="false">IF(CS1834="","",J1834/H1834)</f>
        <v/>
      </c>
      <c r="CU1834" s="62" t="str">
        <f aca="false">IF(CS1834="","",H1834*G1834)</f>
        <v/>
      </c>
      <c r="CV1834" s="63" t="str">
        <f aca="false">IF(CS1834="","",(CL1834+ROUNDUP(CL1834+MAX(CM1834,2*(J1834/MAX(0.1,N(Einkauf!$C$6))-CL1834)),0))/2)</f>
        <v/>
      </c>
      <c r="CW1834" s="62" t="str">
        <f aca="false">IF(CS1834="","",MAX(0,H1834-CV1834)*G1834)</f>
        <v/>
      </c>
      <c r="CX1834" s="62" t="str">
        <f aca="false">IF(CS1834="","",CS1834*MAX(0,1-CV1834/H1834))</f>
        <v/>
      </c>
      <c r="CY1834" s="64" t="str">
        <f aca="false">IF(CS1834="","",PERCENTRANK($CS$7:$CS$1843,CS1834)+PERCENTRANK($CU$7:$CU$1843,CU1834)+1-PERCENTRANK($CT$7:$CT$1843,CT1834))</f>
        <v/>
      </c>
      <c r="CZ1834" s="72" t="str">
        <f aca="false">IF(CS1834="","",CHOOSE(MATCH(Einkauf!$C$5,Parameter!$G$23:$G$27,0),CY1834,CS1834,CU1834,-CT1834,CW1834)+ROW()/1000000000)</f>
        <v/>
      </c>
    </row>
    <row r="1835" customFormat="false" ht="15" hidden="false" customHeight="false" outlineLevel="0" collapsed="false">
      <c r="A1835" s="60" t="str">
        <f aca="false">IF('Neue Artikel'!$A$96="","",'Neue Artikel'!$A$96&amp;"")</f>
        <v/>
      </c>
      <c r="B1835" s="60" t="str">
        <f aca="false">'Neue Artikel'!$B$96&amp;""</f>
        <v/>
      </c>
      <c r="C1835" s="60"/>
      <c r="D1835" s="60" t="s">
        <v>3057</v>
      </c>
      <c r="E1835" s="60"/>
      <c r="F1835" s="60"/>
      <c r="G1835" s="61" t="n">
        <f aca="false">N('Neue Artikel'!$G$96)</f>
        <v>0</v>
      </c>
      <c r="H1835" s="62" t="n">
        <f aca="false">MAX(0,IF(AND(Parameter!$B$21="Ja",ISNUMBER(Y1835)),Y1835,IF(Parameter!$B$20="Jahresanfang 2025 + Export",BS1835+BR1835,BR1835)))</f>
        <v>0</v>
      </c>
      <c r="I1835" s="62" t="n">
        <f aca="false">H1835*G1835</f>
        <v>0</v>
      </c>
      <c r="J1835" s="62" t="n">
        <f aca="false">BU1835*Parameter!$B$18</f>
        <v>0</v>
      </c>
      <c r="K1835" s="63"/>
      <c r="L1835" s="64"/>
      <c r="M1835" s="62" t="n">
        <f aca="false">N('Neue Artikel'!$E$96)</f>
        <v>0</v>
      </c>
      <c r="N1835" s="62" t="n">
        <f aca="false">N('Neue Artikel'!$F$96)</f>
        <v>0</v>
      </c>
      <c r="O1835" s="65"/>
      <c r="P1835" s="60" t="str">
        <f aca="false">IF('Neue Artikel'!$H$96="","LOSE",UPPER(TRIM('Neue Artikel'!$H$96)))</f>
        <v>LOSE</v>
      </c>
      <c r="Q1835" s="62" t="n">
        <f aca="false">N('Neue Artikel'!$I$96)</f>
        <v>0</v>
      </c>
      <c r="R1835" s="65" t="n">
        <f aca="false">IF(CA1835=1,0,IFERROR(VLOOKUP(BY1835,'Gebinde-Kategorie'!$A$5:$N$45,13,0)+0,0))</f>
        <v>0</v>
      </c>
      <c r="S1835" s="66"/>
      <c r="T1835" s="67"/>
      <c r="U1835" s="67"/>
      <c r="V1835" s="67"/>
      <c r="W1835" s="60"/>
      <c r="X1835" s="62"/>
      <c r="Y1835" s="62"/>
      <c r="Z1835" s="60"/>
      <c r="AA1835" s="60" t="str">
        <f aca="false">IF(A1835="","",IF(AND(Parameter!$B$21="Ja",ISNUMBER(W1835)),W1835,IF(AND(Parameter!$E$27="Ja",ISNUMBER(Z1835),CD1835&lt;&gt;"Nein"),Z1835,IF(CD1835="2+3",IF(ISNUMBER(SEARCH("grosser Artikel",BV1835)),2,IFERROR(VLOOKUP(BY1835,Parameter!$F$35:$G$64,2,0),2)),IF(OR(CD1835="Nein",CD1835=""),"-",CD1835)))))</f>
        <v/>
      </c>
      <c r="AB1835" s="60" t="str">
        <f aca="false">IF('Neue Artikel'!$J$96="","",'Neue Artikel'!$J$96)</f>
        <v/>
      </c>
      <c r="AC1835" s="68"/>
      <c r="AD1835" s="62" t="n">
        <f aca="false">AW1835</f>
        <v>0</v>
      </c>
      <c r="AE1835" s="62" t="n">
        <f aca="false">MAX(AW1835,H1835)</f>
        <v>0</v>
      </c>
      <c r="AF1835" s="69"/>
      <c r="AG1835" s="62" t="n">
        <f aca="false">IF(LEFT(Cockpit!$C$5,1)="A",H1835,IF(Parameter!$E$30="MAX-Bestand",IF(CI1835=1,CJ1835,IF(LEFT(Cockpit!$C$5,1)="B",AM1835,MAX(AM1835,H1835))),ROUNDUP(AK1835,0)))</f>
        <v>0</v>
      </c>
      <c r="AH1835" s="62" t="n">
        <f aca="false">IF(CA1835=1,0,ROUNDUP(AG1835/BZ1835,0))</f>
        <v>0</v>
      </c>
      <c r="AI1835" s="64" t="n">
        <f aca="false">IF(CR1835&gt;0,CR1835*MAX(1,AG1835/X1835),IF(CA1835=1,IF(AG1835&lt;=0,0,CE1835*MAX(1,IF(H1835&gt;0,AG1835/H1835,1))),IF(R1835&gt;0,AH1835/R1835,0))/MAX(0.1,N(Parameter!$M$21)))</f>
        <v>0</v>
      </c>
      <c r="AJ1835" s="62" t="n">
        <f aca="false">AI1835*CC1835</f>
        <v>0</v>
      </c>
      <c r="AK1835" s="63" t="n">
        <f aca="false">IF(LEFT(Cockpit!$C$5,1)="A",H1835,IF(CI1835=1,(CL1835+CJ1835)/2,IF(LEFT(Cockpit!$C$5,1)="B",(CL1835+AM1835)/2,MAX((CL1835+AM1835)/2,H1835))))</f>
        <v>0</v>
      </c>
      <c r="AL1835" s="62" t="n">
        <f aca="false">AK1835*G1835</f>
        <v>0</v>
      </c>
      <c r="AM1835" s="62" t="n">
        <f aca="false">ROUNDUP(CL1835+MAX(CM1835,2*(J1835/IF(CH1835&gt;0,CH1835,MAX(0.1,N(Cockpit!$C$6)))-CL1835)),0)</f>
        <v>0</v>
      </c>
      <c r="AN1835" s="63" t="n">
        <f aca="false">IF(AJ1835&gt;0,J1835/AJ1835,-1)</f>
        <v>-1</v>
      </c>
      <c r="AO1835" s="63" t="str">
        <f aca="false">IF(AND(OR(CG1835="L1",CG1835="L23",CG1835="LIFT"),AJ1835&gt;0),SUMIFS($AJ$7:$AJ$1843,$CG$7:$CG$1843,CG1835,$AN$7:$AN$1843,"&gt;"&amp;AN1835)+SUMIFS($AJ$7:$AJ$1843,$CG$7:$CG$1843,CG1835,$AN$7:$AN$1843,AN1835,$BX$7:$BX$1843,"&lt;="&amp;BX1835),"")</f>
        <v/>
      </c>
      <c r="AP1835" s="70" t="n">
        <f aca="false">IF(AO1835="",0,MAX(0,MIN(1,(IF(CG1835="L1",Parameter!$H$5,IF(CG1835="L23",Parameter!$H$6+Parameter!$H$7,Parameter!$H$5+Parameter!$H$6+Parameter!$H$7))-(AO1835-AJ1835))/AJ1835)))</f>
        <v>0</v>
      </c>
      <c r="AQ1835" s="62" t="n">
        <f aca="false">IF(LEFT(Cockpit!$I$5,1)="A",H1835,IF(Parameter!$E$30="MAX-Bestand",IF(CI1835=1,CJ1835,IF(LEFT(Cockpit!$I$5,1)="B",AW1835,MAX(AW1835,H1835))),ROUNDUP(AU1835,0)))</f>
        <v>0</v>
      </c>
      <c r="AR1835" s="62" t="n">
        <f aca="false">IF(CA1835=1,0,ROUNDUP(AQ1835/BZ1835,0))</f>
        <v>0</v>
      </c>
      <c r="AS1835" s="64" t="n">
        <f aca="false">IF(CR1835&gt;0,CR1835*MAX(1,AQ1835/X1835),IF(CA1835=1,IF(AQ1835&lt;=0,0,CE1835*MAX(1,IF(H1835&gt;0,AQ1835/H1835,1))),IF(R1835&gt;0,AR1835/R1835,0))/MAX(0.1,N(Parameter!$M$21)))</f>
        <v>0</v>
      </c>
      <c r="AT1835" s="62" t="n">
        <f aca="false">AS1835*CC1835</f>
        <v>0</v>
      </c>
      <c r="AU1835" s="63" t="n">
        <f aca="false">IF(LEFT(Cockpit!$I$5,1)="A",H1835,IF(CI1835=1,(CL1835+CJ1835)/2,IF(LEFT(Cockpit!$I$5,1)="B",(CL1835+AW1835)/2,MAX((CL1835+AW1835)/2,H1835))))</f>
        <v>0</v>
      </c>
      <c r="AV1835" s="62" t="n">
        <f aca="false">AU1835*G1835</f>
        <v>0</v>
      </c>
      <c r="AW1835" s="62" t="n">
        <f aca="false">ROUNDUP(CL1835+MAX(CM1835,2*(J1835/IF(CH1835&gt;0,CH1835,MAX(0.1,N(Cockpit!$I$6)))-CL1835)),0)</f>
        <v>0</v>
      </c>
      <c r="AX1835" s="63" t="n">
        <f aca="false">IF(AT1835&gt;0,J1835/AT1835,-1)</f>
        <v>-1</v>
      </c>
      <c r="AY1835" s="63" t="str">
        <f aca="false">IF(AND(OR(CG1835="L1",CG1835="L23",CG1835="LIFT"),AT1835&gt;0),SUMIFS($AT$7:$AT$1843,$CG$7:$CG$1843,CG1835,$AX$7:$AX$1843,"&gt;"&amp;AX1835)+SUMIFS($AT$7:$AT$1843,$CG$7:$CG$1843,CG1835,$AX$7:$AX$1843,AX1835,$BX$7:$BX$1843,"&lt;="&amp;BX1835),"")</f>
        <v/>
      </c>
      <c r="AZ1835" s="70" t="n">
        <f aca="false">IF(AY1835="",0,MAX(0,MIN(1,(IF(CG1835="L1",Parameter!$H$5,IF(CG1835="L23",Parameter!$H$6+Parameter!$H$7,Parameter!$H$5+Parameter!$H$6+Parameter!$H$7))-(AY1835-AT1835))/AT1835)))</f>
        <v>0</v>
      </c>
      <c r="BA1835" s="62" t="n">
        <f aca="false">IF(LEFT(Cockpit!$O$5,1)="A",H1835,IF(Parameter!$E$30="MAX-Bestand",IF(CI1835=1,CJ1835,IF(LEFT(Cockpit!$O$5,1)="B",BG1835,MAX(BG1835,H1835))),ROUNDUP(BE1835,0)))</f>
        <v>0</v>
      </c>
      <c r="BB1835" s="62" t="n">
        <f aca="false">IF(CA1835=1,0,ROUNDUP(BA1835/BZ1835,0))</f>
        <v>0</v>
      </c>
      <c r="BC1835" s="64" t="n">
        <f aca="false">IF(CR1835&gt;0,CR1835*MAX(1,BA1835/X1835),IF(CA1835=1,IF(BA1835&lt;=0,0,CE1835*MAX(1,IF(H1835&gt;0,BA1835/H1835,1))),IF(R1835&gt;0,BB1835/R1835,0))/MAX(0.1,N(Parameter!$M$21)))</f>
        <v>0</v>
      </c>
      <c r="BD1835" s="62" t="n">
        <f aca="false">BC1835*CC1835</f>
        <v>0</v>
      </c>
      <c r="BE1835" s="63" t="n">
        <f aca="false">IF(LEFT(Cockpit!$O$5,1)="A",H1835,IF(CI1835=1,(CL1835+CJ1835)/2,IF(LEFT(Cockpit!$O$5,1)="B",(CL1835+BG1835)/2,MAX((CL1835+BG1835)/2,H1835))))</f>
        <v>0</v>
      </c>
      <c r="BF1835" s="62" t="n">
        <f aca="false">BE1835*G1835</f>
        <v>0</v>
      </c>
      <c r="BG1835" s="62" t="n">
        <f aca="false">ROUNDUP(CL1835+MAX(CM1835,2*(J1835/IF(CH1835&gt;0,CH1835,MAX(0.1,N(Cockpit!$O$6)))-CL1835)),0)</f>
        <v>0</v>
      </c>
      <c r="BH1835" s="63" t="n">
        <f aca="false">IF(BD1835&gt;0,J1835/BD1835,-1)</f>
        <v>-1</v>
      </c>
      <c r="BI1835" s="63" t="str">
        <f aca="false">IF(AND(OR(CG1835="L1",CG1835="L23",CG1835="LIFT"),BD1835&gt;0),SUMIFS($BD$7:$BD$1843,$CG$7:$CG$1843,CG1835,$BH$7:$BH$1843,"&gt;"&amp;BH1835)+SUMIFS($BD$7:$BD$1843,$CG$7:$CG$1843,CG1835,$BH$7:$BH$1843,BH1835,$BX$7:$BX$1843,"&lt;="&amp;BX1835),"")</f>
        <v/>
      </c>
      <c r="BJ1835" s="70" t="n">
        <f aca="false">IF(BI1835="",0,MAX(0,MIN(1,(IF(CG1835="L1",Parameter!$H$5,IF(CG1835="L23",Parameter!$H$6+Parameter!$H$7,Parameter!$H$5+Parameter!$H$6+Parameter!$H$7))-(BI1835-BD1835))/BD1835)))</f>
        <v>0</v>
      </c>
      <c r="BK1835" s="60" t="str">
        <f aca="false">IF(AJ1835&lt;=0,"",IF(CG1835="Aussen","Aussenlager",IF(CG1835="-","Nicht im Lift",IF(AP1835&gt;=1,"Lift",IF(AP1835&lt;=0,"Aussenlager","teilweise")))))</f>
        <v/>
      </c>
      <c r="BL1835" s="60" t="str">
        <f aca="false">IF(AT1835&lt;=0,"",IF(CG1835="Aussen","Aussenlager",IF(CG1835="-","Nicht im Lift",IF(AZ1835&gt;=1,"Lift",IF(AZ1835&lt;=0,"Aussenlager","teilweise")))))</f>
        <v/>
      </c>
      <c r="BM1835" s="60" t="str">
        <f aca="false">IF(BD1835&lt;=0,"",IF(CG1835="Aussen","Aussenlager",IF(CG1835="-","Nicht im Lift",IF(BJ1835&gt;=1,"Lift",IF(BJ1835&lt;=0,"Aussenlager","teilweise")))))</f>
        <v/>
      </c>
      <c r="BN1835" s="60" t="str">
        <f aca="false">IF(A1835="","",IF(BW1835=1,"Neu; ","")&amp;IF(AND(BW1835=0,BR1835&lt;0),"negativer Bestand (Export "&amp;BR1835&amp;"); ","")&amp;IF(J1835&lt;=0,"Kein Verbrauch; ","")&amp;IF(CR1835&gt;0,"Lift "&amp;W1835&amp;" lt. Liftbericht (Fach "&amp;X1835&amp;" Stk); ",IF(CB1835=1,"Gebinde geschätzt ("&amp;T1835&amp;"); ",IF(CA1835=1,"Lose – Tablare geschätzt; ","")))&amp;IF(H1835&gt;AW1835,"Überbestand "&amp;ROUND(H1835-AW1835,0)&amp;" Stk / CHF "&amp;ROUND((H1835-AW1835)*G1835,0)&amp;"; ","")&amp;IF(AND(CI1835=1,CJ1835&lt;CK1835),"MAX &lt; MB+LG; ","")&amp;IF(AND(CQ1835&gt;0,CP1835*10&gt;CQ1835),"zu hoch für Tablar; ","")&amp;IF(AND(BW1835=0,OR(CI1835=1,AB1835&lt;&gt;"",U1835&lt;&gt;"",V1835&lt;&gt;"",AC1835&lt;&gt;"")),"manuell übersteuert; ","")&amp;IF(AND(CA1835=0,R1835=0),"Gebinde unbekannt / Stellmass fehlt; ","")&amp;IF(AND(CA1835=0,N(V1835)&lt;=0,N(Q1835)&lt;=0),"Menge pro Gebinde fehlt (Ist = 1 Gebinde); ","")&amp;BV1835)</f>
        <v/>
      </c>
      <c r="BO1835" s="60"/>
      <c r="BP1835" s="60"/>
      <c r="BQ1835" s="67"/>
      <c r="BR1835" s="62" t="n">
        <f aca="false">N('Neue Artikel'!$D$96)</f>
        <v>0</v>
      </c>
      <c r="BS1835" s="62" t="n">
        <v>0</v>
      </c>
      <c r="BT1835" s="61" t="n">
        <v>0</v>
      </c>
      <c r="BU1835" s="62" t="n">
        <f aca="false">N('Neue Artikel'!$C$96)/Parameter!$B$18</f>
        <v>0</v>
      </c>
      <c r="BV1835" s="60"/>
      <c r="BW1835" s="65" t="n">
        <v>1</v>
      </c>
      <c r="BX1835" s="65" t="n">
        <v>1835</v>
      </c>
      <c r="BY1835" s="60" t="str">
        <f aca="false">IF(U1835&lt;&gt;"",UPPER(TRIM(U1835)),IF(CB1835=1,UPPER(VLOOKUP(T1835,Parameter!$I$27:$K$29,2,0)),IF(P1835="","LOSE",P1835)))</f>
        <v>LOSE</v>
      </c>
      <c r="BZ1835" s="62" t="n">
        <f aca="false">IF(BY1835="LOSE",1,IF(N(V1835)&gt;0,V1835,IF(CB1835=1,MAX(1,N(VLOOKUP(T1835,Parameter!$I$27:$K$29,3,0)),H1835,N(N1835)),IF(N(Q1835)&gt;0,Q1835,MAX(1,H1835)))))</f>
        <v>1</v>
      </c>
      <c r="CA1835" s="65" t="n">
        <f aca="false">IF(BY1835="LOSE",1,0)</f>
        <v>1</v>
      </c>
      <c r="CB1835" s="65" t="n">
        <f aca="false">IF(AND(U1835="",OR(P1835="",P1835="LOSE"),T1835&lt;&gt;"",N(S1835)&lt;=0,ISNUMBER(MATCH(T1835,Parameter!$I$27:$I$29,0))),1,0)</f>
        <v>0</v>
      </c>
      <c r="CC1835" s="65" t="n">
        <f aca="false">IF(CR1835&gt;0,INDEX(Parameter!$H$5:$H$7,W1835)/INDEX(Parameter!$E$5:$E$7,W1835),IF(AND(CA1835=0,N(IFERROR(VLOOKUP(BY1835,'Gebinde-Kategorie'!$A$5:$N$45,14,0),0))&gt;0),VLOOKUP(BY1835,'Gebinde-Kategorie'!$A$5:$N$45,14,0)*10+Parameter!$M$23,Parameter!$M$24))</f>
        <v>235</v>
      </c>
      <c r="CD1835" s="60" t="str">
        <f aca="false">IF(AND(Parameter!$B$19="Ja",E1835&lt;&gt;"",ISNUMBER(MATCH(E1835,Parameter!$I$35:$I$52,0))),VLOOKUP(E1835,Parameter!$I$35:$J$52,2,0),IFERROR(VLOOKUP(D1835,Parameter!$A$35:$C$64,2,0),"Nein"))</f>
        <v>2+3</v>
      </c>
      <c r="CE1835" s="64" t="n">
        <f aca="false">IF(CA1835=0,0,IF(N(S1835)&gt;0,S1835,IFERROR(VLOOKUP(D1835,Parameter!$A$35:$C$64,3,0)+0,0)))</f>
        <v>0.15</v>
      </c>
      <c r="CF1835" s="60" t="str">
        <f aca="false">IF(AB1835&lt;&gt;"",AB1835,AA1835)</f>
        <v/>
      </c>
      <c r="CG1835" s="60" t="str">
        <f aca="false">IF(OR(CF1835=1,CF1835=2,CF1835=3),IF(Parameter!$E$27="Ja","LIFT",IF(CF1835=1,"L1","L23")),IF(CF1835="Aussen","Aussen","-"))</f>
        <v>-</v>
      </c>
      <c r="CH1835" s="71" t="n">
        <f aca="false">IF(N(AC1835)&gt;0,AC1835,0)</f>
        <v>0</v>
      </c>
      <c r="CI1835" s="65" t="n">
        <f aca="false">IF(ISNUMBER(AF1835),1,0)</f>
        <v>0</v>
      </c>
      <c r="CJ1835" s="62" t="n">
        <f aca="false">N(AF1835)</f>
        <v>0</v>
      </c>
      <c r="CK1835" s="62" t="n">
        <f aca="false">N(M1835)+N(N1835)</f>
        <v>0</v>
      </c>
      <c r="CL1835" s="62" t="n">
        <f aca="false">N(M1835)</f>
        <v>0</v>
      </c>
      <c r="CM1835" s="62" t="n">
        <f aca="false">N(N1835)</f>
        <v>0</v>
      </c>
      <c r="CN1835" s="62" t="n">
        <f aca="false">ROUNDUP(H1835/BZ1835,0)</f>
        <v>0</v>
      </c>
      <c r="CO1835" s="62" t="n">
        <f aca="false">ROUNDUP(CJ1835/BZ1835,0)</f>
        <v>0</v>
      </c>
      <c r="CP1835" s="65" t="n">
        <f aca="false">IF(CA1835=1,0,IFERROR(VLOOKUP(BY1835,'Gebinde-Kategorie'!$A$5:$N$45,5,0)+0,0))</f>
        <v>0</v>
      </c>
      <c r="CQ1835" s="65" t="n">
        <f aca="false">IFERROR(IF(OR(CF1835=1,CF1835=2,CF1835=3),N(INDEX(Parameter!$I$5:$I$7,CF1835)),0),0)</f>
        <v>0</v>
      </c>
      <c r="CR1835" s="64" t="n">
        <f aca="false">IF(AND(Parameter!$B$21="Ja",ISNUMBER(W1835),N(X1835)&gt;0),IFERROR(N(INDEX(Parameter!$L$5:$L$7,W1835))*INDEX(Parameter!$E$5:$E$7,W1835)*X1835/SUMIFS($X$7:$X$1843,$W$7:$W$1843,W1835),0),0)</f>
        <v>0</v>
      </c>
      <c r="CS1835" s="62" t="str">
        <f aca="false">IF(AND(OR(CG1835="L1",CG1835="L23",CG1835="LIFT"),H1835&gt;0),CC1835*IF(CR1835&gt;0,CR1835*MAX(1,H1835/X1835),IF(CA1835=1,CE1835,IF(R1835&gt;0,CN1835/R1835,0))/MAX(0.1,N(Parameter!$M$21))),"")</f>
        <v/>
      </c>
      <c r="CT1835" s="64" t="str">
        <f aca="false">IF(CS1835="","",J1835/H1835)</f>
        <v/>
      </c>
      <c r="CU1835" s="62" t="str">
        <f aca="false">IF(CS1835="","",H1835*G1835)</f>
        <v/>
      </c>
      <c r="CV1835" s="63" t="str">
        <f aca="false">IF(CS1835="","",(CL1835+ROUNDUP(CL1835+MAX(CM1835,2*(J1835/MAX(0.1,N(Einkauf!$C$6))-CL1835)),0))/2)</f>
        <v/>
      </c>
      <c r="CW1835" s="62" t="str">
        <f aca="false">IF(CS1835="","",MAX(0,H1835-CV1835)*G1835)</f>
        <v/>
      </c>
      <c r="CX1835" s="62" t="str">
        <f aca="false">IF(CS1835="","",CS1835*MAX(0,1-CV1835/H1835))</f>
        <v/>
      </c>
      <c r="CY1835" s="64" t="str">
        <f aca="false">IF(CS1835="","",PERCENTRANK($CS$7:$CS$1843,CS1835)+PERCENTRANK($CU$7:$CU$1843,CU1835)+1-PERCENTRANK($CT$7:$CT$1843,CT1835))</f>
        <v/>
      </c>
      <c r="CZ1835" s="72" t="str">
        <f aca="false">IF(CS1835="","",CHOOSE(MATCH(Einkauf!$C$5,Parameter!$G$23:$G$27,0),CY1835,CS1835,CU1835,-CT1835,CW1835)+ROW()/1000000000)</f>
        <v/>
      </c>
    </row>
    <row r="1836" customFormat="false" ht="15" hidden="false" customHeight="false" outlineLevel="0" collapsed="false">
      <c r="A1836" s="60" t="str">
        <f aca="false">IF('Neue Artikel'!$A$97="","",'Neue Artikel'!$A$97&amp;"")</f>
        <v/>
      </c>
      <c r="B1836" s="60" t="str">
        <f aca="false">'Neue Artikel'!$B$97&amp;""</f>
        <v/>
      </c>
      <c r="C1836" s="60"/>
      <c r="D1836" s="60" t="s">
        <v>3057</v>
      </c>
      <c r="E1836" s="60"/>
      <c r="F1836" s="60"/>
      <c r="G1836" s="61" t="n">
        <f aca="false">N('Neue Artikel'!$G$97)</f>
        <v>0</v>
      </c>
      <c r="H1836" s="62" t="n">
        <f aca="false">MAX(0,IF(AND(Parameter!$B$21="Ja",ISNUMBER(Y1836)),Y1836,IF(Parameter!$B$20="Jahresanfang 2025 + Export",BS1836+BR1836,BR1836)))</f>
        <v>0</v>
      </c>
      <c r="I1836" s="62" t="n">
        <f aca="false">H1836*G1836</f>
        <v>0</v>
      </c>
      <c r="J1836" s="62" t="n">
        <f aca="false">BU1836*Parameter!$B$18</f>
        <v>0</v>
      </c>
      <c r="K1836" s="63"/>
      <c r="L1836" s="64"/>
      <c r="M1836" s="62" t="n">
        <f aca="false">N('Neue Artikel'!$E$97)</f>
        <v>0</v>
      </c>
      <c r="N1836" s="62" t="n">
        <f aca="false">N('Neue Artikel'!$F$97)</f>
        <v>0</v>
      </c>
      <c r="O1836" s="65"/>
      <c r="P1836" s="60" t="str">
        <f aca="false">IF('Neue Artikel'!$H$97="","LOSE",UPPER(TRIM('Neue Artikel'!$H$97)))</f>
        <v>LOSE</v>
      </c>
      <c r="Q1836" s="62" t="n">
        <f aca="false">N('Neue Artikel'!$I$97)</f>
        <v>0</v>
      </c>
      <c r="R1836" s="65" t="n">
        <f aca="false">IF(CA1836=1,0,IFERROR(VLOOKUP(BY1836,'Gebinde-Kategorie'!$A$5:$N$45,13,0)+0,0))</f>
        <v>0</v>
      </c>
      <c r="S1836" s="66"/>
      <c r="T1836" s="67"/>
      <c r="U1836" s="67"/>
      <c r="V1836" s="67"/>
      <c r="W1836" s="60"/>
      <c r="X1836" s="62"/>
      <c r="Y1836" s="62"/>
      <c r="Z1836" s="60"/>
      <c r="AA1836" s="60" t="str">
        <f aca="false">IF(A1836="","",IF(AND(Parameter!$B$21="Ja",ISNUMBER(W1836)),W1836,IF(AND(Parameter!$E$27="Ja",ISNUMBER(Z1836),CD1836&lt;&gt;"Nein"),Z1836,IF(CD1836="2+3",IF(ISNUMBER(SEARCH("grosser Artikel",BV1836)),2,IFERROR(VLOOKUP(BY1836,Parameter!$F$35:$G$64,2,0),2)),IF(OR(CD1836="Nein",CD1836=""),"-",CD1836)))))</f>
        <v/>
      </c>
      <c r="AB1836" s="60" t="str">
        <f aca="false">IF('Neue Artikel'!$J$97="","",'Neue Artikel'!$J$97)</f>
        <v/>
      </c>
      <c r="AC1836" s="68"/>
      <c r="AD1836" s="62" t="n">
        <f aca="false">AW1836</f>
        <v>0</v>
      </c>
      <c r="AE1836" s="62" t="n">
        <f aca="false">MAX(AW1836,H1836)</f>
        <v>0</v>
      </c>
      <c r="AF1836" s="69"/>
      <c r="AG1836" s="62" t="n">
        <f aca="false">IF(LEFT(Cockpit!$C$5,1)="A",H1836,IF(Parameter!$E$30="MAX-Bestand",IF(CI1836=1,CJ1836,IF(LEFT(Cockpit!$C$5,1)="B",AM1836,MAX(AM1836,H1836))),ROUNDUP(AK1836,0)))</f>
        <v>0</v>
      </c>
      <c r="AH1836" s="62" t="n">
        <f aca="false">IF(CA1836=1,0,ROUNDUP(AG1836/BZ1836,0))</f>
        <v>0</v>
      </c>
      <c r="AI1836" s="64" t="n">
        <f aca="false">IF(CR1836&gt;0,CR1836*MAX(1,AG1836/X1836),IF(CA1836=1,IF(AG1836&lt;=0,0,CE1836*MAX(1,IF(H1836&gt;0,AG1836/H1836,1))),IF(R1836&gt;0,AH1836/R1836,0))/MAX(0.1,N(Parameter!$M$21)))</f>
        <v>0</v>
      </c>
      <c r="AJ1836" s="62" t="n">
        <f aca="false">AI1836*CC1836</f>
        <v>0</v>
      </c>
      <c r="AK1836" s="63" t="n">
        <f aca="false">IF(LEFT(Cockpit!$C$5,1)="A",H1836,IF(CI1836=1,(CL1836+CJ1836)/2,IF(LEFT(Cockpit!$C$5,1)="B",(CL1836+AM1836)/2,MAX((CL1836+AM1836)/2,H1836))))</f>
        <v>0</v>
      </c>
      <c r="AL1836" s="62" t="n">
        <f aca="false">AK1836*G1836</f>
        <v>0</v>
      </c>
      <c r="AM1836" s="62" t="n">
        <f aca="false">ROUNDUP(CL1836+MAX(CM1836,2*(J1836/IF(CH1836&gt;0,CH1836,MAX(0.1,N(Cockpit!$C$6)))-CL1836)),0)</f>
        <v>0</v>
      </c>
      <c r="AN1836" s="63" t="n">
        <f aca="false">IF(AJ1836&gt;0,J1836/AJ1836,-1)</f>
        <v>-1</v>
      </c>
      <c r="AO1836" s="63" t="str">
        <f aca="false">IF(AND(OR(CG1836="L1",CG1836="L23",CG1836="LIFT"),AJ1836&gt;0),SUMIFS($AJ$7:$AJ$1843,$CG$7:$CG$1843,CG1836,$AN$7:$AN$1843,"&gt;"&amp;AN1836)+SUMIFS($AJ$7:$AJ$1843,$CG$7:$CG$1843,CG1836,$AN$7:$AN$1843,AN1836,$BX$7:$BX$1843,"&lt;="&amp;BX1836),"")</f>
        <v/>
      </c>
      <c r="AP1836" s="70" t="n">
        <f aca="false">IF(AO1836="",0,MAX(0,MIN(1,(IF(CG1836="L1",Parameter!$H$5,IF(CG1836="L23",Parameter!$H$6+Parameter!$H$7,Parameter!$H$5+Parameter!$H$6+Parameter!$H$7))-(AO1836-AJ1836))/AJ1836)))</f>
        <v>0</v>
      </c>
      <c r="AQ1836" s="62" t="n">
        <f aca="false">IF(LEFT(Cockpit!$I$5,1)="A",H1836,IF(Parameter!$E$30="MAX-Bestand",IF(CI1836=1,CJ1836,IF(LEFT(Cockpit!$I$5,1)="B",AW1836,MAX(AW1836,H1836))),ROUNDUP(AU1836,0)))</f>
        <v>0</v>
      </c>
      <c r="AR1836" s="62" t="n">
        <f aca="false">IF(CA1836=1,0,ROUNDUP(AQ1836/BZ1836,0))</f>
        <v>0</v>
      </c>
      <c r="AS1836" s="64" t="n">
        <f aca="false">IF(CR1836&gt;0,CR1836*MAX(1,AQ1836/X1836),IF(CA1836=1,IF(AQ1836&lt;=0,0,CE1836*MAX(1,IF(H1836&gt;0,AQ1836/H1836,1))),IF(R1836&gt;0,AR1836/R1836,0))/MAX(0.1,N(Parameter!$M$21)))</f>
        <v>0</v>
      </c>
      <c r="AT1836" s="62" t="n">
        <f aca="false">AS1836*CC1836</f>
        <v>0</v>
      </c>
      <c r="AU1836" s="63" t="n">
        <f aca="false">IF(LEFT(Cockpit!$I$5,1)="A",H1836,IF(CI1836=1,(CL1836+CJ1836)/2,IF(LEFT(Cockpit!$I$5,1)="B",(CL1836+AW1836)/2,MAX((CL1836+AW1836)/2,H1836))))</f>
        <v>0</v>
      </c>
      <c r="AV1836" s="62" t="n">
        <f aca="false">AU1836*G1836</f>
        <v>0</v>
      </c>
      <c r="AW1836" s="62" t="n">
        <f aca="false">ROUNDUP(CL1836+MAX(CM1836,2*(J1836/IF(CH1836&gt;0,CH1836,MAX(0.1,N(Cockpit!$I$6)))-CL1836)),0)</f>
        <v>0</v>
      </c>
      <c r="AX1836" s="63" t="n">
        <f aca="false">IF(AT1836&gt;0,J1836/AT1836,-1)</f>
        <v>-1</v>
      </c>
      <c r="AY1836" s="63" t="str">
        <f aca="false">IF(AND(OR(CG1836="L1",CG1836="L23",CG1836="LIFT"),AT1836&gt;0),SUMIFS($AT$7:$AT$1843,$CG$7:$CG$1843,CG1836,$AX$7:$AX$1843,"&gt;"&amp;AX1836)+SUMIFS($AT$7:$AT$1843,$CG$7:$CG$1843,CG1836,$AX$7:$AX$1843,AX1836,$BX$7:$BX$1843,"&lt;="&amp;BX1836),"")</f>
        <v/>
      </c>
      <c r="AZ1836" s="70" t="n">
        <f aca="false">IF(AY1836="",0,MAX(0,MIN(1,(IF(CG1836="L1",Parameter!$H$5,IF(CG1836="L23",Parameter!$H$6+Parameter!$H$7,Parameter!$H$5+Parameter!$H$6+Parameter!$H$7))-(AY1836-AT1836))/AT1836)))</f>
        <v>0</v>
      </c>
      <c r="BA1836" s="62" t="n">
        <f aca="false">IF(LEFT(Cockpit!$O$5,1)="A",H1836,IF(Parameter!$E$30="MAX-Bestand",IF(CI1836=1,CJ1836,IF(LEFT(Cockpit!$O$5,1)="B",BG1836,MAX(BG1836,H1836))),ROUNDUP(BE1836,0)))</f>
        <v>0</v>
      </c>
      <c r="BB1836" s="62" t="n">
        <f aca="false">IF(CA1836=1,0,ROUNDUP(BA1836/BZ1836,0))</f>
        <v>0</v>
      </c>
      <c r="BC1836" s="64" t="n">
        <f aca="false">IF(CR1836&gt;0,CR1836*MAX(1,BA1836/X1836),IF(CA1836=1,IF(BA1836&lt;=0,0,CE1836*MAX(1,IF(H1836&gt;0,BA1836/H1836,1))),IF(R1836&gt;0,BB1836/R1836,0))/MAX(0.1,N(Parameter!$M$21)))</f>
        <v>0</v>
      </c>
      <c r="BD1836" s="62" t="n">
        <f aca="false">BC1836*CC1836</f>
        <v>0</v>
      </c>
      <c r="BE1836" s="63" t="n">
        <f aca="false">IF(LEFT(Cockpit!$O$5,1)="A",H1836,IF(CI1836=1,(CL1836+CJ1836)/2,IF(LEFT(Cockpit!$O$5,1)="B",(CL1836+BG1836)/2,MAX((CL1836+BG1836)/2,H1836))))</f>
        <v>0</v>
      </c>
      <c r="BF1836" s="62" t="n">
        <f aca="false">BE1836*G1836</f>
        <v>0</v>
      </c>
      <c r="BG1836" s="62" t="n">
        <f aca="false">ROUNDUP(CL1836+MAX(CM1836,2*(J1836/IF(CH1836&gt;0,CH1836,MAX(0.1,N(Cockpit!$O$6)))-CL1836)),0)</f>
        <v>0</v>
      </c>
      <c r="BH1836" s="63" t="n">
        <f aca="false">IF(BD1836&gt;0,J1836/BD1836,-1)</f>
        <v>-1</v>
      </c>
      <c r="BI1836" s="63" t="str">
        <f aca="false">IF(AND(OR(CG1836="L1",CG1836="L23",CG1836="LIFT"),BD1836&gt;0),SUMIFS($BD$7:$BD$1843,$CG$7:$CG$1843,CG1836,$BH$7:$BH$1843,"&gt;"&amp;BH1836)+SUMIFS($BD$7:$BD$1843,$CG$7:$CG$1843,CG1836,$BH$7:$BH$1843,BH1836,$BX$7:$BX$1843,"&lt;="&amp;BX1836),"")</f>
        <v/>
      </c>
      <c r="BJ1836" s="70" t="n">
        <f aca="false">IF(BI1836="",0,MAX(0,MIN(1,(IF(CG1836="L1",Parameter!$H$5,IF(CG1836="L23",Parameter!$H$6+Parameter!$H$7,Parameter!$H$5+Parameter!$H$6+Parameter!$H$7))-(BI1836-BD1836))/BD1836)))</f>
        <v>0</v>
      </c>
      <c r="BK1836" s="60" t="str">
        <f aca="false">IF(AJ1836&lt;=0,"",IF(CG1836="Aussen","Aussenlager",IF(CG1836="-","Nicht im Lift",IF(AP1836&gt;=1,"Lift",IF(AP1836&lt;=0,"Aussenlager","teilweise")))))</f>
        <v/>
      </c>
      <c r="BL1836" s="60" t="str">
        <f aca="false">IF(AT1836&lt;=0,"",IF(CG1836="Aussen","Aussenlager",IF(CG1836="-","Nicht im Lift",IF(AZ1836&gt;=1,"Lift",IF(AZ1836&lt;=0,"Aussenlager","teilweise")))))</f>
        <v/>
      </c>
      <c r="BM1836" s="60" t="str">
        <f aca="false">IF(BD1836&lt;=0,"",IF(CG1836="Aussen","Aussenlager",IF(CG1836="-","Nicht im Lift",IF(BJ1836&gt;=1,"Lift",IF(BJ1836&lt;=0,"Aussenlager","teilweise")))))</f>
        <v/>
      </c>
      <c r="BN1836" s="60" t="str">
        <f aca="false">IF(A1836="","",IF(BW1836=1,"Neu; ","")&amp;IF(AND(BW1836=0,BR1836&lt;0),"negativer Bestand (Export "&amp;BR1836&amp;"); ","")&amp;IF(J1836&lt;=0,"Kein Verbrauch; ","")&amp;IF(CR1836&gt;0,"Lift "&amp;W1836&amp;" lt. Liftbericht (Fach "&amp;X1836&amp;" Stk); ",IF(CB1836=1,"Gebinde geschätzt ("&amp;T1836&amp;"); ",IF(CA1836=1,"Lose – Tablare geschätzt; ","")))&amp;IF(H1836&gt;AW1836,"Überbestand "&amp;ROUND(H1836-AW1836,0)&amp;" Stk / CHF "&amp;ROUND((H1836-AW1836)*G1836,0)&amp;"; ","")&amp;IF(AND(CI1836=1,CJ1836&lt;CK1836),"MAX &lt; MB+LG; ","")&amp;IF(AND(CQ1836&gt;0,CP1836*10&gt;CQ1836),"zu hoch für Tablar; ","")&amp;IF(AND(BW1836=0,OR(CI1836=1,AB1836&lt;&gt;"",U1836&lt;&gt;"",V1836&lt;&gt;"",AC1836&lt;&gt;"")),"manuell übersteuert; ","")&amp;IF(AND(CA1836=0,R1836=0),"Gebinde unbekannt / Stellmass fehlt; ","")&amp;IF(AND(CA1836=0,N(V1836)&lt;=0,N(Q1836)&lt;=0),"Menge pro Gebinde fehlt (Ist = 1 Gebinde); ","")&amp;BV1836)</f>
        <v/>
      </c>
      <c r="BO1836" s="60"/>
      <c r="BP1836" s="60"/>
      <c r="BQ1836" s="67"/>
      <c r="BR1836" s="62" t="n">
        <f aca="false">N('Neue Artikel'!$D$97)</f>
        <v>0</v>
      </c>
      <c r="BS1836" s="62" t="n">
        <v>0</v>
      </c>
      <c r="BT1836" s="61" t="n">
        <v>0</v>
      </c>
      <c r="BU1836" s="62" t="n">
        <f aca="false">N('Neue Artikel'!$C$97)/Parameter!$B$18</f>
        <v>0</v>
      </c>
      <c r="BV1836" s="60"/>
      <c r="BW1836" s="65" t="n">
        <v>1</v>
      </c>
      <c r="BX1836" s="65" t="n">
        <v>1836</v>
      </c>
      <c r="BY1836" s="60" t="str">
        <f aca="false">IF(U1836&lt;&gt;"",UPPER(TRIM(U1836)),IF(CB1836=1,UPPER(VLOOKUP(T1836,Parameter!$I$27:$K$29,2,0)),IF(P1836="","LOSE",P1836)))</f>
        <v>LOSE</v>
      </c>
      <c r="BZ1836" s="62" t="n">
        <f aca="false">IF(BY1836="LOSE",1,IF(N(V1836)&gt;0,V1836,IF(CB1836=1,MAX(1,N(VLOOKUP(T1836,Parameter!$I$27:$K$29,3,0)),H1836,N(N1836)),IF(N(Q1836)&gt;0,Q1836,MAX(1,H1836)))))</f>
        <v>1</v>
      </c>
      <c r="CA1836" s="65" t="n">
        <f aca="false">IF(BY1836="LOSE",1,0)</f>
        <v>1</v>
      </c>
      <c r="CB1836" s="65" t="n">
        <f aca="false">IF(AND(U1836="",OR(P1836="",P1836="LOSE"),T1836&lt;&gt;"",N(S1836)&lt;=0,ISNUMBER(MATCH(T1836,Parameter!$I$27:$I$29,0))),1,0)</f>
        <v>0</v>
      </c>
      <c r="CC1836" s="65" t="n">
        <f aca="false">IF(CR1836&gt;0,INDEX(Parameter!$H$5:$H$7,W1836)/INDEX(Parameter!$E$5:$E$7,W1836),IF(AND(CA1836=0,N(IFERROR(VLOOKUP(BY1836,'Gebinde-Kategorie'!$A$5:$N$45,14,0),0))&gt;0),VLOOKUP(BY1836,'Gebinde-Kategorie'!$A$5:$N$45,14,0)*10+Parameter!$M$23,Parameter!$M$24))</f>
        <v>235</v>
      </c>
      <c r="CD1836" s="60" t="str">
        <f aca="false">IF(AND(Parameter!$B$19="Ja",E1836&lt;&gt;"",ISNUMBER(MATCH(E1836,Parameter!$I$35:$I$52,0))),VLOOKUP(E1836,Parameter!$I$35:$J$52,2,0),IFERROR(VLOOKUP(D1836,Parameter!$A$35:$C$64,2,0),"Nein"))</f>
        <v>2+3</v>
      </c>
      <c r="CE1836" s="64" t="n">
        <f aca="false">IF(CA1836=0,0,IF(N(S1836)&gt;0,S1836,IFERROR(VLOOKUP(D1836,Parameter!$A$35:$C$64,3,0)+0,0)))</f>
        <v>0.15</v>
      </c>
      <c r="CF1836" s="60" t="str">
        <f aca="false">IF(AB1836&lt;&gt;"",AB1836,AA1836)</f>
        <v/>
      </c>
      <c r="CG1836" s="60" t="str">
        <f aca="false">IF(OR(CF1836=1,CF1836=2,CF1836=3),IF(Parameter!$E$27="Ja","LIFT",IF(CF1836=1,"L1","L23")),IF(CF1836="Aussen","Aussen","-"))</f>
        <v>-</v>
      </c>
      <c r="CH1836" s="71" t="n">
        <f aca="false">IF(N(AC1836)&gt;0,AC1836,0)</f>
        <v>0</v>
      </c>
      <c r="CI1836" s="65" t="n">
        <f aca="false">IF(ISNUMBER(AF1836),1,0)</f>
        <v>0</v>
      </c>
      <c r="CJ1836" s="62" t="n">
        <f aca="false">N(AF1836)</f>
        <v>0</v>
      </c>
      <c r="CK1836" s="62" t="n">
        <f aca="false">N(M1836)+N(N1836)</f>
        <v>0</v>
      </c>
      <c r="CL1836" s="62" t="n">
        <f aca="false">N(M1836)</f>
        <v>0</v>
      </c>
      <c r="CM1836" s="62" t="n">
        <f aca="false">N(N1836)</f>
        <v>0</v>
      </c>
      <c r="CN1836" s="62" t="n">
        <f aca="false">ROUNDUP(H1836/BZ1836,0)</f>
        <v>0</v>
      </c>
      <c r="CO1836" s="62" t="n">
        <f aca="false">ROUNDUP(CJ1836/BZ1836,0)</f>
        <v>0</v>
      </c>
      <c r="CP1836" s="65" t="n">
        <f aca="false">IF(CA1836=1,0,IFERROR(VLOOKUP(BY1836,'Gebinde-Kategorie'!$A$5:$N$45,5,0)+0,0))</f>
        <v>0</v>
      </c>
      <c r="CQ1836" s="65" t="n">
        <f aca="false">IFERROR(IF(OR(CF1836=1,CF1836=2,CF1836=3),N(INDEX(Parameter!$I$5:$I$7,CF1836)),0),0)</f>
        <v>0</v>
      </c>
      <c r="CR1836" s="64" t="n">
        <f aca="false">IF(AND(Parameter!$B$21="Ja",ISNUMBER(W1836),N(X1836)&gt;0),IFERROR(N(INDEX(Parameter!$L$5:$L$7,W1836))*INDEX(Parameter!$E$5:$E$7,W1836)*X1836/SUMIFS($X$7:$X$1843,$W$7:$W$1843,W1836),0),0)</f>
        <v>0</v>
      </c>
      <c r="CS1836" s="62" t="str">
        <f aca="false">IF(AND(OR(CG1836="L1",CG1836="L23",CG1836="LIFT"),H1836&gt;0),CC1836*IF(CR1836&gt;0,CR1836*MAX(1,H1836/X1836),IF(CA1836=1,CE1836,IF(R1836&gt;0,CN1836/R1836,0))/MAX(0.1,N(Parameter!$M$21))),"")</f>
        <v/>
      </c>
      <c r="CT1836" s="64" t="str">
        <f aca="false">IF(CS1836="","",J1836/H1836)</f>
        <v/>
      </c>
      <c r="CU1836" s="62" t="str">
        <f aca="false">IF(CS1836="","",H1836*G1836)</f>
        <v/>
      </c>
      <c r="CV1836" s="63" t="str">
        <f aca="false">IF(CS1836="","",(CL1836+ROUNDUP(CL1836+MAX(CM1836,2*(J1836/MAX(0.1,N(Einkauf!$C$6))-CL1836)),0))/2)</f>
        <v/>
      </c>
      <c r="CW1836" s="62" t="str">
        <f aca="false">IF(CS1836="","",MAX(0,H1836-CV1836)*G1836)</f>
        <v/>
      </c>
      <c r="CX1836" s="62" t="str">
        <f aca="false">IF(CS1836="","",CS1836*MAX(0,1-CV1836/H1836))</f>
        <v/>
      </c>
      <c r="CY1836" s="64" t="str">
        <f aca="false">IF(CS1836="","",PERCENTRANK($CS$7:$CS$1843,CS1836)+PERCENTRANK($CU$7:$CU$1843,CU1836)+1-PERCENTRANK($CT$7:$CT$1843,CT1836))</f>
        <v/>
      </c>
      <c r="CZ1836" s="72" t="str">
        <f aca="false">IF(CS1836="","",CHOOSE(MATCH(Einkauf!$C$5,Parameter!$G$23:$G$27,0),CY1836,CS1836,CU1836,-CT1836,CW1836)+ROW()/1000000000)</f>
        <v/>
      </c>
    </row>
    <row r="1837" customFormat="false" ht="15" hidden="false" customHeight="false" outlineLevel="0" collapsed="false">
      <c r="A1837" s="60" t="str">
        <f aca="false">IF('Neue Artikel'!$A$98="","",'Neue Artikel'!$A$98&amp;"")</f>
        <v/>
      </c>
      <c r="B1837" s="60" t="str">
        <f aca="false">'Neue Artikel'!$B$98&amp;""</f>
        <v/>
      </c>
      <c r="C1837" s="60"/>
      <c r="D1837" s="60" t="s">
        <v>3057</v>
      </c>
      <c r="E1837" s="60"/>
      <c r="F1837" s="60"/>
      <c r="G1837" s="61" t="n">
        <f aca="false">N('Neue Artikel'!$G$98)</f>
        <v>0</v>
      </c>
      <c r="H1837" s="62" t="n">
        <f aca="false">MAX(0,IF(AND(Parameter!$B$21="Ja",ISNUMBER(Y1837)),Y1837,IF(Parameter!$B$20="Jahresanfang 2025 + Export",BS1837+BR1837,BR1837)))</f>
        <v>0</v>
      </c>
      <c r="I1837" s="62" t="n">
        <f aca="false">H1837*G1837</f>
        <v>0</v>
      </c>
      <c r="J1837" s="62" t="n">
        <f aca="false">BU1837*Parameter!$B$18</f>
        <v>0</v>
      </c>
      <c r="K1837" s="63"/>
      <c r="L1837" s="64"/>
      <c r="M1837" s="62" t="n">
        <f aca="false">N('Neue Artikel'!$E$98)</f>
        <v>0</v>
      </c>
      <c r="N1837" s="62" t="n">
        <f aca="false">N('Neue Artikel'!$F$98)</f>
        <v>0</v>
      </c>
      <c r="O1837" s="65"/>
      <c r="P1837" s="60" t="str">
        <f aca="false">IF('Neue Artikel'!$H$98="","LOSE",UPPER(TRIM('Neue Artikel'!$H$98)))</f>
        <v>LOSE</v>
      </c>
      <c r="Q1837" s="62" t="n">
        <f aca="false">N('Neue Artikel'!$I$98)</f>
        <v>0</v>
      </c>
      <c r="R1837" s="65" t="n">
        <f aca="false">IF(CA1837=1,0,IFERROR(VLOOKUP(BY1837,'Gebinde-Kategorie'!$A$5:$N$45,13,0)+0,0))</f>
        <v>0</v>
      </c>
      <c r="S1837" s="66"/>
      <c r="T1837" s="67"/>
      <c r="U1837" s="67"/>
      <c r="V1837" s="67"/>
      <c r="W1837" s="60"/>
      <c r="X1837" s="62"/>
      <c r="Y1837" s="62"/>
      <c r="Z1837" s="60"/>
      <c r="AA1837" s="60" t="str">
        <f aca="false">IF(A1837="","",IF(AND(Parameter!$B$21="Ja",ISNUMBER(W1837)),W1837,IF(AND(Parameter!$E$27="Ja",ISNUMBER(Z1837),CD1837&lt;&gt;"Nein"),Z1837,IF(CD1837="2+3",IF(ISNUMBER(SEARCH("grosser Artikel",BV1837)),2,IFERROR(VLOOKUP(BY1837,Parameter!$F$35:$G$64,2,0),2)),IF(OR(CD1837="Nein",CD1837=""),"-",CD1837)))))</f>
        <v/>
      </c>
      <c r="AB1837" s="60" t="str">
        <f aca="false">IF('Neue Artikel'!$J$98="","",'Neue Artikel'!$J$98)</f>
        <v/>
      </c>
      <c r="AC1837" s="68"/>
      <c r="AD1837" s="62" t="n">
        <f aca="false">AW1837</f>
        <v>0</v>
      </c>
      <c r="AE1837" s="62" t="n">
        <f aca="false">MAX(AW1837,H1837)</f>
        <v>0</v>
      </c>
      <c r="AF1837" s="69"/>
      <c r="AG1837" s="62" t="n">
        <f aca="false">IF(LEFT(Cockpit!$C$5,1)="A",H1837,IF(Parameter!$E$30="MAX-Bestand",IF(CI1837=1,CJ1837,IF(LEFT(Cockpit!$C$5,1)="B",AM1837,MAX(AM1837,H1837))),ROUNDUP(AK1837,0)))</f>
        <v>0</v>
      </c>
      <c r="AH1837" s="62" t="n">
        <f aca="false">IF(CA1837=1,0,ROUNDUP(AG1837/BZ1837,0))</f>
        <v>0</v>
      </c>
      <c r="AI1837" s="64" t="n">
        <f aca="false">IF(CR1837&gt;0,CR1837*MAX(1,AG1837/X1837),IF(CA1837=1,IF(AG1837&lt;=0,0,CE1837*MAX(1,IF(H1837&gt;0,AG1837/H1837,1))),IF(R1837&gt;0,AH1837/R1837,0))/MAX(0.1,N(Parameter!$M$21)))</f>
        <v>0</v>
      </c>
      <c r="AJ1837" s="62" t="n">
        <f aca="false">AI1837*CC1837</f>
        <v>0</v>
      </c>
      <c r="AK1837" s="63" t="n">
        <f aca="false">IF(LEFT(Cockpit!$C$5,1)="A",H1837,IF(CI1837=1,(CL1837+CJ1837)/2,IF(LEFT(Cockpit!$C$5,1)="B",(CL1837+AM1837)/2,MAX((CL1837+AM1837)/2,H1837))))</f>
        <v>0</v>
      </c>
      <c r="AL1837" s="62" t="n">
        <f aca="false">AK1837*G1837</f>
        <v>0</v>
      </c>
      <c r="AM1837" s="62" t="n">
        <f aca="false">ROUNDUP(CL1837+MAX(CM1837,2*(J1837/IF(CH1837&gt;0,CH1837,MAX(0.1,N(Cockpit!$C$6)))-CL1837)),0)</f>
        <v>0</v>
      </c>
      <c r="AN1837" s="63" t="n">
        <f aca="false">IF(AJ1837&gt;0,J1837/AJ1837,-1)</f>
        <v>-1</v>
      </c>
      <c r="AO1837" s="63" t="str">
        <f aca="false">IF(AND(OR(CG1837="L1",CG1837="L23",CG1837="LIFT"),AJ1837&gt;0),SUMIFS($AJ$7:$AJ$1843,$CG$7:$CG$1843,CG1837,$AN$7:$AN$1843,"&gt;"&amp;AN1837)+SUMIFS($AJ$7:$AJ$1843,$CG$7:$CG$1843,CG1837,$AN$7:$AN$1843,AN1837,$BX$7:$BX$1843,"&lt;="&amp;BX1837),"")</f>
        <v/>
      </c>
      <c r="AP1837" s="70" t="n">
        <f aca="false">IF(AO1837="",0,MAX(0,MIN(1,(IF(CG1837="L1",Parameter!$H$5,IF(CG1837="L23",Parameter!$H$6+Parameter!$H$7,Parameter!$H$5+Parameter!$H$6+Parameter!$H$7))-(AO1837-AJ1837))/AJ1837)))</f>
        <v>0</v>
      </c>
      <c r="AQ1837" s="62" t="n">
        <f aca="false">IF(LEFT(Cockpit!$I$5,1)="A",H1837,IF(Parameter!$E$30="MAX-Bestand",IF(CI1837=1,CJ1837,IF(LEFT(Cockpit!$I$5,1)="B",AW1837,MAX(AW1837,H1837))),ROUNDUP(AU1837,0)))</f>
        <v>0</v>
      </c>
      <c r="AR1837" s="62" t="n">
        <f aca="false">IF(CA1837=1,0,ROUNDUP(AQ1837/BZ1837,0))</f>
        <v>0</v>
      </c>
      <c r="AS1837" s="64" t="n">
        <f aca="false">IF(CR1837&gt;0,CR1837*MAX(1,AQ1837/X1837),IF(CA1837=1,IF(AQ1837&lt;=0,0,CE1837*MAX(1,IF(H1837&gt;0,AQ1837/H1837,1))),IF(R1837&gt;0,AR1837/R1837,0))/MAX(0.1,N(Parameter!$M$21)))</f>
        <v>0</v>
      </c>
      <c r="AT1837" s="62" t="n">
        <f aca="false">AS1837*CC1837</f>
        <v>0</v>
      </c>
      <c r="AU1837" s="63" t="n">
        <f aca="false">IF(LEFT(Cockpit!$I$5,1)="A",H1837,IF(CI1837=1,(CL1837+CJ1837)/2,IF(LEFT(Cockpit!$I$5,1)="B",(CL1837+AW1837)/2,MAX((CL1837+AW1837)/2,H1837))))</f>
        <v>0</v>
      </c>
      <c r="AV1837" s="62" t="n">
        <f aca="false">AU1837*G1837</f>
        <v>0</v>
      </c>
      <c r="AW1837" s="62" t="n">
        <f aca="false">ROUNDUP(CL1837+MAX(CM1837,2*(J1837/IF(CH1837&gt;0,CH1837,MAX(0.1,N(Cockpit!$I$6)))-CL1837)),0)</f>
        <v>0</v>
      </c>
      <c r="AX1837" s="63" t="n">
        <f aca="false">IF(AT1837&gt;0,J1837/AT1837,-1)</f>
        <v>-1</v>
      </c>
      <c r="AY1837" s="63" t="str">
        <f aca="false">IF(AND(OR(CG1837="L1",CG1837="L23",CG1837="LIFT"),AT1837&gt;0),SUMIFS($AT$7:$AT$1843,$CG$7:$CG$1843,CG1837,$AX$7:$AX$1843,"&gt;"&amp;AX1837)+SUMIFS($AT$7:$AT$1843,$CG$7:$CG$1843,CG1837,$AX$7:$AX$1843,AX1837,$BX$7:$BX$1843,"&lt;="&amp;BX1837),"")</f>
        <v/>
      </c>
      <c r="AZ1837" s="70" t="n">
        <f aca="false">IF(AY1837="",0,MAX(0,MIN(1,(IF(CG1837="L1",Parameter!$H$5,IF(CG1837="L23",Parameter!$H$6+Parameter!$H$7,Parameter!$H$5+Parameter!$H$6+Parameter!$H$7))-(AY1837-AT1837))/AT1837)))</f>
        <v>0</v>
      </c>
      <c r="BA1837" s="62" t="n">
        <f aca="false">IF(LEFT(Cockpit!$O$5,1)="A",H1837,IF(Parameter!$E$30="MAX-Bestand",IF(CI1837=1,CJ1837,IF(LEFT(Cockpit!$O$5,1)="B",BG1837,MAX(BG1837,H1837))),ROUNDUP(BE1837,0)))</f>
        <v>0</v>
      </c>
      <c r="BB1837" s="62" t="n">
        <f aca="false">IF(CA1837=1,0,ROUNDUP(BA1837/BZ1837,0))</f>
        <v>0</v>
      </c>
      <c r="BC1837" s="64" t="n">
        <f aca="false">IF(CR1837&gt;0,CR1837*MAX(1,BA1837/X1837),IF(CA1837=1,IF(BA1837&lt;=0,0,CE1837*MAX(1,IF(H1837&gt;0,BA1837/H1837,1))),IF(R1837&gt;0,BB1837/R1837,0))/MAX(0.1,N(Parameter!$M$21)))</f>
        <v>0</v>
      </c>
      <c r="BD1837" s="62" t="n">
        <f aca="false">BC1837*CC1837</f>
        <v>0</v>
      </c>
      <c r="BE1837" s="63" t="n">
        <f aca="false">IF(LEFT(Cockpit!$O$5,1)="A",H1837,IF(CI1837=1,(CL1837+CJ1837)/2,IF(LEFT(Cockpit!$O$5,1)="B",(CL1837+BG1837)/2,MAX((CL1837+BG1837)/2,H1837))))</f>
        <v>0</v>
      </c>
      <c r="BF1837" s="62" t="n">
        <f aca="false">BE1837*G1837</f>
        <v>0</v>
      </c>
      <c r="BG1837" s="62" t="n">
        <f aca="false">ROUNDUP(CL1837+MAX(CM1837,2*(J1837/IF(CH1837&gt;0,CH1837,MAX(0.1,N(Cockpit!$O$6)))-CL1837)),0)</f>
        <v>0</v>
      </c>
      <c r="BH1837" s="63" t="n">
        <f aca="false">IF(BD1837&gt;0,J1837/BD1837,-1)</f>
        <v>-1</v>
      </c>
      <c r="BI1837" s="63" t="str">
        <f aca="false">IF(AND(OR(CG1837="L1",CG1837="L23",CG1837="LIFT"),BD1837&gt;0),SUMIFS($BD$7:$BD$1843,$CG$7:$CG$1843,CG1837,$BH$7:$BH$1843,"&gt;"&amp;BH1837)+SUMIFS($BD$7:$BD$1843,$CG$7:$CG$1843,CG1837,$BH$7:$BH$1843,BH1837,$BX$7:$BX$1843,"&lt;="&amp;BX1837),"")</f>
        <v/>
      </c>
      <c r="BJ1837" s="70" t="n">
        <f aca="false">IF(BI1837="",0,MAX(0,MIN(1,(IF(CG1837="L1",Parameter!$H$5,IF(CG1837="L23",Parameter!$H$6+Parameter!$H$7,Parameter!$H$5+Parameter!$H$6+Parameter!$H$7))-(BI1837-BD1837))/BD1837)))</f>
        <v>0</v>
      </c>
      <c r="BK1837" s="60" t="str">
        <f aca="false">IF(AJ1837&lt;=0,"",IF(CG1837="Aussen","Aussenlager",IF(CG1837="-","Nicht im Lift",IF(AP1837&gt;=1,"Lift",IF(AP1837&lt;=0,"Aussenlager","teilweise")))))</f>
        <v/>
      </c>
      <c r="BL1837" s="60" t="str">
        <f aca="false">IF(AT1837&lt;=0,"",IF(CG1837="Aussen","Aussenlager",IF(CG1837="-","Nicht im Lift",IF(AZ1837&gt;=1,"Lift",IF(AZ1837&lt;=0,"Aussenlager","teilweise")))))</f>
        <v/>
      </c>
      <c r="BM1837" s="60" t="str">
        <f aca="false">IF(BD1837&lt;=0,"",IF(CG1837="Aussen","Aussenlager",IF(CG1837="-","Nicht im Lift",IF(BJ1837&gt;=1,"Lift",IF(BJ1837&lt;=0,"Aussenlager","teilweise")))))</f>
        <v/>
      </c>
      <c r="BN1837" s="60" t="str">
        <f aca="false">IF(A1837="","",IF(BW1837=1,"Neu; ","")&amp;IF(AND(BW1837=0,BR1837&lt;0),"negativer Bestand (Export "&amp;BR1837&amp;"); ","")&amp;IF(J1837&lt;=0,"Kein Verbrauch; ","")&amp;IF(CR1837&gt;0,"Lift "&amp;W1837&amp;" lt. Liftbericht (Fach "&amp;X1837&amp;" Stk); ",IF(CB1837=1,"Gebinde geschätzt ("&amp;T1837&amp;"); ",IF(CA1837=1,"Lose – Tablare geschätzt; ","")))&amp;IF(H1837&gt;AW1837,"Überbestand "&amp;ROUND(H1837-AW1837,0)&amp;" Stk / CHF "&amp;ROUND((H1837-AW1837)*G1837,0)&amp;"; ","")&amp;IF(AND(CI1837=1,CJ1837&lt;CK1837),"MAX &lt; MB+LG; ","")&amp;IF(AND(CQ1837&gt;0,CP1837*10&gt;CQ1837),"zu hoch für Tablar; ","")&amp;IF(AND(BW1837=0,OR(CI1837=1,AB1837&lt;&gt;"",U1837&lt;&gt;"",V1837&lt;&gt;"",AC1837&lt;&gt;"")),"manuell übersteuert; ","")&amp;IF(AND(CA1837=0,R1837=0),"Gebinde unbekannt / Stellmass fehlt; ","")&amp;IF(AND(CA1837=0,N(V1837)&lt;=0,N(Q1837)&lt;=0),"Menge pro Gebinde fehlt (Ist = 1 Gebinde); ","")&amp;BV1837)</f>
        <v/>
      </c>
      <c r="BO1837" s="60"/>
      <c r="BP1837" s="60"/>
      <c r="BQ1837" s="67"/>
      <c r="BR1837" s="62" t="n">
        <f aca="false">N('Neue Artikel'!$D$98)</f>
        <v>0</v>
      </c>
      <c r="BS1837" s="62" t="n">
        <v>0</v>
      </c>
      <c r="BT1837" s="61" t="n">
        <v>0</v>
      </c>
      <c r="BU1837" s="62" t="n">
        <f aca="false">N('Neue Artikel'!$C$98)/Parameter!$B$18</f>
        <v>0</v>
      </c>
      <c r="BV1837" s="60"/>
      <c r="BW1837" s="65" t="n">
        <v>1</v>
      </c>
      <c r="BX1837" s="65" t="n">
        <v>1837</v>
      </c>
      <c r="BY1837" s="60" t="str">
        <f aca="false">IF(U1837&lt;&gt;"",UPPER(TRIM(U1837)),IF(CB1837=1,UPPER(VLOOKUP(T1837,Parameter!$I$27:$K$29,2,0)),IF(P1837="","LOSE",P1837)))</f>
        <v>LOSE</v>
      </c>
      <c r="BZ1837" s="62" t="n">
        <f aca="false">IF(BY1837="LOSE",1,IF(N(V1837)&gt;0,V1837,IF(CB1837=1,MAX(1,N(VLOOKUP(T1837,Parameter!$I$27:$K$29,3,0)),H1837,N(N1837)),IF(N(Q1837)&gt;0,Q1837,MAX(1,H1837)))))</f>
        <v>1</v>
      </c>
      <c r="CA1837" s="65" t="n">
        <f aca="false">IF(BY1837="LOSE",1,0)</f>
        <v>1</v>
      </c>
      <c r="CB1837" s="65" t="n">
        <f aca="false">IF(AND(U1837="",OR(P1837="",P1837="LOSE"),T1837&lt;&gt;"",N(S1837)&lt;=0,ISNUMBER(MATCH(T1837,Parameter!$I$27:$I$29,0))),1,0)</f>
        <v>0</v>
      </c>
      <c r="CC1837" s="65" t="n">
        <f aca="false">IF(CR1837&gt;0,INDEX(Parameter!$H$5:$H$7,W1837)/INDEX(Parameter!$E$5:$E$7,W1837),IF(AND(CA1837=0,N(IFERROR(VLOOKUP(BY1837,'Gebinde-Kategorie'!$A$5:$N$45,14,0),0))&gt;0),VLOOKUP(BY1837,'Gebinde-Kategorie'!$A$5:$N$45,14,0)*10+Parameter!$M$23,Parameter!$M$24))</f>
        <v>235</v>
      </c>
      <c r="CD1837" s="60" t="str">
        <f aca="false">IF(AND(Parameter!$B$19="Ja",E1837&lt;&gt;"",ISNUMBER(MATCH(E1837,Parameter!$I$35:$I$52,0))),VLOOKUP(E1837,Parameter!$I$35:$J$52,2,0),IFERROR(VLOOKUP(D1837,Parameter!$A$35:$C$64,2,0),"Nein"))</f>
        <v>2+3</v>
      </c>
      <c r="CE1837" s="64" t="n">
        <f aca="false">IF(CA1837=0,0,IF(N(S1837)&gt;0,S1837,IFERROR(VLOOKUP(D1837,Parameter!$A$35:$C$64,3,0)+0,0)))</f>
        <v>0.15</v>
      </c>
      <c r="CF1837" s="60" t="str">
        <f aca="false">IF(AB1837&lt;&gt;"",AB1837,AA1837)</f>
        <v/>
      </c>
      <c r="CG1837" s="60" t="str">
        <f aca="false">IF(OR(CF1837=1,CF1837=2,CF1837=3),IF(Parameter!$E$27="Ja","LIFT",IF(CF1837=1,"L1","L23")),IF(CF1837="Aussen","Aussen","-"))</f>
        <v>-</v>
      </c>
      <c r="CH1837" s="71" t="n">
        <f aca="false">IF(N(AC1837)&gt;0,AC1837,0)</f>
        <v>0</v>
      </c>
      <c r="CI1837" s="65" t="n">
        <f aca="false">IF(ISNUMBER(AF1837),1,0)</f>
        <v>0</v>
      </c>
      <c r="CJ1837" s="62" t="n">
        <f aca="false">N(AF1837)</f>
        <v>0</v>
      </c>
      <c r="CK1837" s="62" t="n">
        <f aca="false">N(M1837)+N(N1837)</f>
        <v>0</v>
      </c>
      <c r="CL1837" s="62" t="n">
        <f aca="false">N(M1837)</f>
        <v>0</v>
      </c>
      <c r="CM1837" s="62" t="n">
        <f aca="false">N(N1837)</f>
        <v>0</v>
      </c>
      <c r="CN1837" s="62" t="n">
        <f aca="false">ROUNDUP(H1837/BZ1837,0)</f>
        <v>0</v>
      </c>
      <c r="CO1837" s="62" t="n">
        <f aca="false">ROUNDUP(CJ1837/BZ1837,0)</f>
        <v>0</v>
      </c>
      <c r="CP1837" s="65" t="n">
        <f aca="false">IF(CA1837=1,0,IFERROR(VLOOKUP(BY1837,'Gebinde-Kategorie'!$A$5:$N$45,5,0)+0,0))</f>
        <v>0</v>
      </c>
      <c r="CQ1837" s="65" t="n">
        <f aca="false">IFERROR(IF(OR(CF1837=1,CF1837=2,CF1837=3),N(INDEX(Parameter!$I$5:$I$7,CF1837)),0),0)</f>
        <v>0</v>
      </c>
      <c r="CR1837" s="64" t="n">
        <f aca="false">IF(AND(Parameter!$B$21="Ja",ISNUMBER(W1837),N(X1837)&gt;0),IFERROR(N(INDEX(Parameter!$L$5:$L$7,W1837))*INDEX(Parameter!$E$5:$E$7,W1837)*X1837/SUMIFS($X$7:$X$1843,$W$7:$W$1843,W1837),0),0)</f>
        <v>0</v>
      </c>
      <c r="CS1837" s="62" t="str">
        <f aca="false">IF(AND(OR(CG1837="L1",CG1837="L23",CG1837="LIFT"),H1837&gt;0),CC1837*IF(CR1837&gt;0,CR1837*MAX(1,H1837/X1837),IF(CA1837=1,CE1837,IF(R1837&gt;0,CN1837/R1837,0))/MAX(0.1,N(Parameter!$M$21))),"")</f>
        <v/>
      </c>
      <c r="CT1837" s="64" t="str">
        <f aca="false">IF(CS1837="","",J1837/H1837)</f>
        <v/>
      </c>
      <c r="CU1837" s="62" t="str">
        <f aca="false">IF(CS1837="","",H1837*G1837)</f>
        <v/>
      </c>
      <c r="CV1837" s="63" t="str">
        <f aca="false">IF(CS1837="","",(CL1837+ROUNDUP(CL1837+MAX(CM1837,2*(J1837/MAX(0.1,N(Einkauf!$C$6))-CL1837)),0))/2)</f>
        <v/>
      </c>
      <c r="CW1837" s="62" t="str">
        <f aca="false">IF(CS1837="","",MAX(0,H1837-CV1837)*G1837)</f>
        <v/>
      </c>
      <c r="CX1837" s="62" t="str">
        <f aca="false">IF(CS1837="","",CS1837*MAX(0,1-CV1837/H1837))</f>
        <v/>
      </c>
      <c r="CY1837" s="64" t="str">
        <f aca="false">IF(CS1837="","",PERCENTRANK($CS$7:$CS$1843,CS1837)+PERCENTRANK($CU$7:$CU$1843,CU1837)+1-PERCENTRANK($CT$7:$CT$1843,CT1837))</f>
        <v/>
      </c>
      <c r="CZ1837" s="72" t="str">
        <f aca="false">IF(CS1837="","",CHOOSE(MATCH(Einkauf!$C$5,Parameter!$G$23:$G$27,0),CY1837,CS1837,CU1837,-CT1837,CW1837)+ROW()/1000000000)</f>
        <v/>
      </c>
    </row>
    <row r="1838" customFormat="false" ht="15" hidden="false" customHeight="false" outlineLevel="0" collapsed="false">
      <c r="A1838" s="60" t="str">
        <f aca="false">IF('Neue Artikel'!$A$99="","",'Neue Artikel'!$A$99&amp;"")</f>
        <v/>
      </c>
      <c r="B1838" s="60" t="str">
        <f aca="false">'Neue Artikel'!$B$99&amp;""</f>
        <v/>
      </c>
      <c r="C1838" s="60"/>
      <c r="D1838" s="60" t="s">
        <v>3057</v>
      </c>
      <c r="E1838" s="60"/>
      <c r="F1838" s="60"/>
      <c r="G1838" s="61" t="n">
        <f aca="false">N('Neue Artikel'!$G$99)</f>
        <v>0</v>
      </c>
      <c r="H1838" s="62" t="n">
        <f aca="false">MAX(0,IF(AND(Parameter!$B$21="Ja",ISNUMBER(Y1838)),Y1838,IF(Parameter!$B$20="Jahresanfang 2025 + Export",BS1838+BR1838,BR1838)))</f>
        <v>0</v>
      </c>
      <c r="I1838" s="62" t="n">
        <f aca="false">H1838*G1838</f>
        <v>0</v>
      </c>
      <c r="J1838" s="62" t="n">
        <f aca="false">BU1838*Parameter!$B$18</f>
        <v>0</v>
      </c>
      <c r="K1838" s="63"/>
      <c r="L1838" s="64"/>
      <c r="M1838" s="62" t="n">
        <f aca="false">N('Neue Artikel'!$E$99)</f>
        <v>0</v>
      </c>
      <c r="N1838" s="62" t="n">
        <f aca="false">N('Neue Artikel'!$F$99)</f>
        <v>0</v>
      </c>
      <c r="O1838" s="65"/>
      <c r="P1838" s="60" t="str">
        <f aca="false">IF('Neue Artikel'!$H$99="","LOSE",UPPER(TRIM('Neue Artikel'!$H$99)))</f>
        <v>LOSE</v>
      </c>
      <c r="Q1838" s="62" t="n">
        <f aca="false">N('Neue Artikel'!$I$99)</f>
        <v>0</v>
      </c>
      <c r="R1838" s="65" t="n">
        <f aca="false">IF(CA1838=1,0,IFERROR(VLOOKUP(BY1838,'Gebinde-Kategorie'!$A$5:$N$45,13,0)+0,0))</f>
        <v>0</v>
      </c>
      <c r="S1838" s="66"/>
      <c r="T1838" s="67"/>
      <c r="U1838" s="67"/>
      <c r="V1838" s="67"/>
      <c r="W1838" s="60"/>
      <c r="X1838" s="62"/>
      <c r="Y1838" s="62"/>
      <c r="Z1838" s="60"/>
      <c r="AA1838" s="60" t="str">
        <f aca="false">IF(A1838="","",IF(AND(Parameter!$B$21="Ja",ISNUMBER(W1838)),W1838,IF(AND(Parameter!$E$27="Ja",ISNUMBER(Z1838),CD1838&lt;&gt;"Nein"),Z1838,IF(CD1838="2+3",IF(ISNUMBER(SEARCH("grosser Artikel",BV1838)),2,IFERROR(VLOOKUP(BY1838,Parameter!$F$35:$G$64,2,0),2)),IF(OR(CD1838="Nein",CD1838=""),"-",CD1838)))))</f>
        <v/>
      </c>
      <c r="AB1838" s="60" t="str">
        <f aca="false">IF('Neue Artikel'!$J$99="","",'Neue Artikel'!$J$99)</f>
        <v/>
      </c>
      <c r="AC1838" s="68"/>
      <c r="AD1838" s="62" t="n">
        <f aca="false">AW1838</f>
        <v>0</v>
      </c>
      <c r="AE1838" s="62" t="n">
        <f aca="false">MAX(AW1838,H1838)</f>
        <v>0</v>
      </c>
      <c r="AF1838" s="69"/>
      <c r="AG1838" s="62" t="n">
        <f aca="false">IF(LEFT(Cockpit!$C$5,1)="A",H1838,IF(Parameter!$E$30="MAX-Bestand",IF(CI1838=1,CJ1838,IF(LEFT(Cockpit!$C$5,1)="B",AM1838,MAX(AM1838,H1838))),ROUNDUP(AK1838,0)))</f>
        <v>0</v>
      </c>
      <c r="AH1838" s="62" t="n">
        <f aca="false">IF(CA1838=1,0,ROUNDUP(AG1838/BZ1838,0))</f>
        <v>0</v>
      </c>
      <c r="AI1838" s="64" t="n">
        <f aca="false">IF(CR1838&gt;0,CR1838*MAX(1,AG1838/X1838),IF(CA1838=1,IF(AG1838&lt;=0,0,CE1838*MAX(1,IF(H1838&gt;0,AG1838/H1838,1))),IF(R1838&gt;0,AH1838/R1838,0))/MAX(0.1,N(Parameter!$M$21)))</f>
        <v>0</v>
      </c>
      <c r="AJ1838" s="62" t="n">
        <f aca="false">AI1838*CC1838</f>
        <v>0</v>
      </c>
      <c r="AK1838" s="63" t="n">
        <f aca="false">IF(LEFT(Cockpit!$C$5,1)="A",H1838,IF(CI1838=1,(CL1838+CJ1838)/2,IF(LEFT(Cockpit!$C$5,1)="B",(CL1838+AM1838)/2,MAX((CL1838+AM1838)/2,H1838))))</f>
        <v>0</v>
      </c>
      <c r="AL1838" s="62" t="n">
        <f aca="false">AK1838*G1838</f>
        <v>0</v>
      </c>
      <c r="AM1838" s="62" t="n">
        <f aca="false">ROUNDUP(CL1838+MAX(CM1838,2*(J1838/IF(CH1838&gt;0,CH1838,MAX(0.1,N(Cockpit!$C$6)))-CL1838)),0)</f>
        <v>0</v>
      </c>
      <c r="AN1838" s="63" t="n">
        <f aca="false">IF(AJ1838&gt;0,J1838/AJ1838,-1)</f>
        <v>-1</v>
      </c>
      <c r="AO1838" s="63" t="str">
        <f aca="false">IF(AND(OR(CG1838="L1",CG1838="L23",CG1838="LIFT"),AJ1838&gt;0),SUMIFS($AJ$7:$AJ$1843,$CG$7:$CG$1843,CG1838,$AN$7:$AN$1843,"&gt;"&amp;AN1838)+SUMIFS($AJ$7:$AJ$1843,$CG$7:$CG$1843,CG1838,$AN$7:$AN$1843,AN1838,$BX$7:$BX$1843,"&lt;="&amp;BX1838),"")</f>
        <v/>
      </c>
      <c r="AP1838" s="70" t="n">
        <f aca="false">IF(AO1838="",0,MAX(0,MIN(1,(IF(CG1838="L1",Parameter!$H$5,IF(CG1838="L23",Parameter!$H$6+Parameter!$H$7,Parameter!$H$5+Parameter!$H$6+Parameter!$H$7))-(AO1838-AJ1838))/AJ1838)))</f>
        <v>0</v>
      </c>
      <c r="AQ1838" s="62" t="n">
        <f aca="false">IF(LEFT(Cockpit!$I$5,1)="A",H1838,IF(Parameter!$E$30="MAX-Bestand",IF(CI1838=1,CJ1838,IF(LEFT(Cockpit!$I$5,1)="B",AW1838,MAX(AW1838,H1838))),ROUNDUP(AU1838,0)))</f>
        <v>0</v>
      </c>
      <c r="AR1838" s="62" t="n">
        <f aca="false">IF(CA1838=1,0,ROUNDUP(AQ1838/BZ1838,0))</f>
        <v>0</v>
      </c>
      <c r="AS1838" s="64" t="n">
        <f aca="false">IF(CR1838&gt;0,CR1838*MAX(1,AQ1838/X1838),IF(CA1838=1,IF(AQ1838&lt;=0,0,CE1838*MAX(1,IF(H1838&gt;0,AQ1838/H1838,1))),IF(R1838&gt;0,AR1838/R1838,0))/MAX(0.1,N(Parameter!$M$21)))</f>
        <v>0</v>
      </c>
      <c r="AT1838" s="62" t="n">
        <f aca="false">AS1838*CC1838</f>
        <v>0</v>
      </c>
      <c r="AU1838" s="63" t="n">
        <f aca="false">IF(LEFT(Cockpit!$I$5,1)="A",H1838,IF(CI1838=1,(CL1838+CJ1838)/2,IF(LEFT(Cockpit!$I$5,1)="B",(CL1838+AW1838)/2,MAX((CL1838+AW1838)/2,H1838))))</f>
        <v>0</v>
      </c>
      <c r="AV1838" s="62" t="n">
        <f aca="false">AU1838*G1838</f>
        <v>0</v>
      </c>
      <c r="AW1838" s="62" t="n">
        <f aca="false">ROUNDUP(CL1838+MAX(CM1838,2*(J1838/IF(CH1838&gt;0,CH1838,MAX(0.1,N(Cockpit!$I$6)))-CL1838)),0)</f>
        <v>0</v>
      </c>
      <c r="AX1838" s="63" t="n">
        <f aca="false">IF(AT1838&gt;0,J1838/AT1838,-1)</f>
        <v>-1</v>
      </c>
      <c r="AY1838" s="63" t="str">
        <f aca="false">IF(AND(OR(CG1838="L1",CG1838="L23",CG1838="LIFT"),AT1838&gt;0),SUMIFS($AT$7:$AT$1843,$CG$7:$CG$1843,CG1838,$AX$7:$AX$1843,"&gt;"&amp;AX1838)+SUMIFS($AT$7:$AT$1843,$CG$7:$CG$1843,CG1838,$AX$7:$AX$1843,AX1838,$BX$7:$BX$1843,"&lt;="&amp;BX1838),"")</f>
        <v/>
      </c>
      <c r="AZ1838" s="70" t="n">
        <f aca="false">IF(AY1838="",0,MAX(0,MIN(1,(IF(CG1838="L1",Parameter!$H$5,IF(CG1838="L23",Parameter!$H$6+Parameter!$H$7,Parameter!$H$5+Parameter!$H$6+Parameter!$H$7))-(AY1838-AT1838))/AT1838)))</f>
        <v>0</v>
      </c>
      <c r="BA1838" s="62" t="n">
        <f aca="false">IF(LEFT(Cockpit!$O$5,1)="A",H1838,IF(Parameter!$E$30="MAX-Bestand",IF(CI1838=1,CJ1838,IF(LEFT(Cockpit!$O$5,1)="B",BG1838,MAX(BG1838,H1838))),ROUNDUP(BE1838,0)))</f>
        <v>0</v>
      </c>
      <c r="BB1838" s="62" t="n">
        <f aca="false">IF(CA1838=1,0,ROUNDUP(BA1838/BZ1838,0))</f>
        <v>0</v>
      </c>
      <c r="BC1838" s="64" t="n">
        <f aca="false">IF(CR1838&gt;0,CR1838*MAX(1,BA1838/X1838),IF(CA1838=1,IF(BA1838&lt;=0,0,CE1838*MAX(1,IF(H1838&gt;0,BA1838/H1838,1))),IF(R1838&gt;0,BB1838/R1838,0))/MAX(0.1,N(Parameter!$M$21)))</f>
        <v>0</v>
      </c>
      <c r="BD1838" s="62" t="n">
        <f aca="false">BC1838*CC1838</f>
        <v>0</v>
      </c>
      <c r="BE1838" s="63" t="n">
        <f aca="false">IF(LEFT(Cockpit!$O$5,1)="A",H1838,IF(CI1838=1,(CL1838+CJ1838)/2,IF(LEFT(Cockpit!$O$5,1)="B",(CL1838+BG1838)/2,MAX((CL1838+BG1838)/2,H1838))))</f>
        <v>0</v>
      </c>
      <c r="BF1838" s="62" t="n">
        <f aca="false">BE1838*G1838</f>
        <v>0</v>
      </c>
      <c r="BG1838" s="62" t="n">
        <f aca="false">ROUNDUP(CL1838+MAX(CM1838,2*(J1838/IF(CH1838&gt;0,CH1838,MAX(0.1,N(Cockpit!$O$6)))-CL1838)),0)</f>
        <v>0</v>
      </c>
      <c r="BH1838" s="63" t="n">
        <f aca="false">IF(BD1838&gt;0,J1838/BD1838,-1)</f>
        <v>-1</v>
      </c>
      <c r="BI1838" s="63" t="str">
        <f aca="false">IF(AND(OR(CG1838="L1",CG1838="L23",CG1838="LIFT"),BD1838&gt;0),SUMIFS($BD$7:$BD$1843,$CG$7:$CG$1843,CG1838,$BH$7:$BH$1843,"&gt;"&amp;BH1838)+SUMIFS($BD$7:$BD$1843,$CG$7:$CG$1843,CG1838,$BH$7:$BH$1843,BH1838,$BX$7:$BX$1843,"&lt;="&amp;BX1838),"")</f>
        <v/>
      </c>
      <c r="BJ1838" s="70" t="n">
        <f aca="false">IF(BI1838="",0,MAX(0,MIN(1,(IF(CG1838="L1",Parameter!$H$5,IF(CG1838="L23",Parameter!$H$6+Parameter!$H$7,Parameter!$H$5+Parameter!$H$6+Parameter!$H$7))-(BI1838-BD1838))/BD1838)))</f>
        <v>0</v>
      </c>
      <c r="BK1838" s="60" t="str">
        <f aca="false">IF(AJ1838&lt;=0,"",IF(CG1838="Aussen","Aussenlager",IF(CG1838="-","Nicht im Lift",IF(AP1838&gt;=1,"Lift",IF(AP1838&lt;=0,"Aussenlager","teilweise")))))</f>
        <v/>
      </c>
      <c r="BL1838" s="60" t="str">
        <f aca="false">IF(AT1838&lt;=0,"",IF(CG1838="Aussen","Aussenlager",IF(CG1838="-","Nicht im Lift",IF(AZ1838&gt;=1,"Lift",IF(AZ1838&lt;=0,"Aussenlager","teilweise")))))</f>
        <v/>
      </c>
      <c r="BM1838" s="60" t="str">
        <f aca="false">IF(BD1838&lt;=0,"",IF(CG1838="Aussen","Aussenlager",IF(CG1838="-","Nicht im Lift",IF(BJ1838&gt;=1,"Lift",IF(BJ1838&lt;=0,"Aussenlager","teilweise")))))</f>
        <v/>
      </c>
      <c r="BN1838" s="60" t="str">
        <f aca="false">IF(A1838="","",IF(BW1838=1,"Neu; ","")&amp;IF(AND(BW1838=0,BR1838&lt;0),"negativer Bestand (Export "&amp;BR1838&amp;"); ","")&amp;IF(J1838&lt;=0,"Kein Verbrauch; ","")&amp;IF(CR1838&gt;0,"Lift "&amp;W1838&amp;" lt. Liftbericht (Fach "&amp;X1838&amp;" Stk); ",IF(CB1838=1,"Gebinde geschätzt ("&amp;T1838&amp;"); ",IF(CA1838=1,"Lose – Tablare geschätzt; ","")))&amp;IF(H1838&gt;AW1838,"Überbestand "&amp;ROUND(H1838-AW1838,0)&amp;" Stk / CHF "&amp;ROUND((H1838-AW1838)*G1838,0)&amp;"; ","")&amp;IF(AND(CI1838=1,CJ1838&lt;CK1838),"MAX &lt; MB+LG; ","")&amp;IF(AND(CQ1838&gt;0,CP1838*10&gt;CQ1838),"zu hoch für Tablar; ","")&amp;IF(AND(BW1838=0,OR(CI1838=1,AB1838&lt;&gt;"",U1838&lt;&gt;"",V1838&lt;&gt;"",AC1838&lt;&gt;"")),"manuell übersteuert; ","")&amp;IF(AND(CA1838=0,R1838=0),"Gebinde unbekannt / Stellmass fehlt; ","")&amp;IF(AND(CA1838=0,N(V1838)&lt;=0,N(Q1838)&lt;=0),"Menge pro Gebinde fehlt (Ist = 1 Gebinde); ","")&amp;BV1838)</f>
        <v/>
      </c>
      <c r="BO1838" s="60"/>
      <c r="BP1838" s="60"/>
      <c r="BQ1838" s="67"/>
      <c r="BR1838" s="62" t="n">
        <f aca="false">N('Neue Artikel'!$D$99)</f>
        <v>0</v>
      </c>
      <c r="BS1838" s="62" t="n">
        <v>0</v>
      </c>
      <c r="BT1838" s="61" t="n">
        <v>0</v>
      </c>
      <c r="BU1838" s="62" t="n">
        <f aca="false">N('Neue Artikel'!$C$99)/Parameter!$B$18</f>
        <v>0</v>
      </c>
      <c r="BV1838" s="60"/>
      <c r="BW1838" s="65" t="n">
        <v>1</v>
      </c>
      <c r="BX1838" s="65" t="n">
        <v>1838</v>
      </c>
      <c r="BY1838" s="60" t="str">
        <f aca="false">IF(U1838&lt;&gt;"",UPPER(TRIM(U1838)),IF(CB1838=1,UPPER(VLOOKUP(T1838,Parameter!$I$27:$K$29,2,0)),IF(P1838="","LOSE",P1838)))</f>
        <v>LOSE</v>
      </c>
      <c r="BZ1838" s="62" t="n">
        <f aca="false">IF(BY1838="LOSE",1,IF(N(V1838)&gt;0,V1838,IF(CB1838=1,MAX(1,N(VLOOKUP(T1838,Parameter!$I$27:$K$29,3,0)),H1838,N(N1838)),IF(N(Q1838)&gt;0,Q1838,MAX(1,H1838)))))</f>
        <v>1</v>
      </c>
      <c r="CA1838" s="65" t="n">
        <f aca="false">IF(BY1838="LOSE",1,0)</f>
        <v>1</v>
      </c>
      <c r="CB1838" s="65" t="n">
        <f aca="false">IF(AND(U1838="",OR(P1838="",P1838="LOSE"),T1838&lt;&gt;"",N(S1838)&lt;=0,ISNUMBER(MATCH(T1838,Parameter!$I$27:$I$29,0))),1,0)</f>
        <v>0</v>
      </c>
      <c r="CC1838" s="65" t="n">
        <f aca="false">IF(CR1838&gt;0,INDEX(Parameter!$H$5:$H$7,W1838)/INDEX(Parameter!$E$5:$E$7,W1838),IF(AND(CA1838=0,N(IFERROR(VLOOKUP(BY1838,'Gebinde-Kategorie'!$A$5:$N$45,14,0),0))&gt;0),VLOOKUP(BY1838,'Gebinde-Kategorie'!$A$5:$N$45,14,0)*10+Parameter!$M$23,Parameter!$M$24))</f>
        <v>235</v>
      </c>
      <c r="CD1838" s="60" t="str">
        <f aca="false">IF(AND(Parameter!$B$19="Ja",E1838&lt;&gt;"",ISNUMBER(MATCH(E1838,Parameter!$I$35:$I$52,0))),VLOOKUP(E1838,Parameter!$I$35:$J$52,2,0),IFERROR(VLOOKUP(D1838,Parameter!$A$35:$C$64,2,0),"Nein"))</f>
        <v>2+3</v>
      </c>
      <c r="CE1838" s="64" t="n">
        <f aca="false">IF(CA1838=0,0,IF(N(S1838)&gt;0,S1838,IFERROR(VLOOKUP(D1838,Parameter!$A$35:$C$64,3,0)+0,0)))</f>
        <v>0.15</v>
      </c>
      <c r="CF1838" s="60" t="str">
        <f aca="false">IF(AB1838&lt;&gt;"",AB1838,AA1838)</f>
        <v/>
      </c>
      <c r="CG1838" s="60" t="str">
        <f aca="false">IF(OR(CF1838=1,CF1838=2,CF1838=3),IF(Parameter!$E$27="Ja","LIFT",IF(CF1838=1,"L1","L23")),IF(CF1838="Aussen","Aussen","-"))</f>
        <v>-</v>
      </c>
      <c r="CH1838" s="71" t="n">
        <f aca="false">IF(N(AC1838)&gt;0,AC1838,0)</f>
        <v>0</v>
      </c>
      <c r="CI1838" s="65" t="n">
        <f aca="false">IF(ISNUMBER(AF1838),1,0)</f>
        <v>0</v>
      </c>
      <c r="CJ1838" s="62" t="n">
        <f aca="false">N(AF1838)</f>
        <v>0</v>
      </c>
      <c r="CK1838" s="62" t="n">
        <f aca="false">N(M1838)+N(N1838)</f>
        <v>0</v>
      </c>
      <c r="CL1838" s="62" t="n">
        <f aca="false">N(M1838)</f>
        <v>0</v>
      </c>
      <c r="CM1838" s="62" t="n">
        <f aca="false">N(N1838)</f>
        <v>0</v>
      </c>
      <c r="CN1838" s="62" t="n">
        <f aca="false">ROUNDUP(H1838/BZ1838,0)</f>
        <v>0</v>
      </c>
      <c r="CO1838" s="62" t="n">
        <f aca="false">ROUNDUP(CJ1838/BZ1838,0)</f>
        <v>0</v>
      </c>
      <c r="CP1838" s="65" t="n">
        <f aca="false">IF(CA1838=1,0,IFERROR(VLOOKUP(BY1838,'Gebinde-Kategorie'!$A$5:$N$45,5,0)+0,0))</f>
        <v>0</v>
      </c>
      <c r="CQ1838" s="65" t="n">
        <f aca="false">IFERROR(IF(OR(CF1838=1,CF1838=2,CF1838=3),N(INDEX(Parameter!$I$5:$I$7,CF1838)),0),0)</f>
        <v>0</v>
      </c>
      <c r="CR1838" s="64" t="n">
        <f aca="false">IF(AND(Parameter!$B$21="Ja",ISNUMBER(W1838),N(X1838)&gt;0),IFERROR(N(INDEX(Parameter!$L$5:$L$7,W1838))*INDEX(Parameter!$E$5:$E$7,W1838)*X1838/SUMIFS($X$7:$X$1843,$W$7:$W$1843,W1838),0),0)</f>
        <v>0</v>
      </c>
      <c r="CS1838" s="62" t="str">
        <f aca="false">IF(AND(OR(CG1838="L1",CG1838="L23",CG1838="LIFT"),H1838&gt;0),CC1838*IF(CR1838&gt;0,CR1838*MAX(1,H1838/X1838),IF(CA1838=1,CE1838,IF(R1838&gt;0,CN1838/R1838,0))/MAX(0.1,N(Parameter!$M$21))),"")</f>
        <v/>
      </c>
      <c r="CT1838" s="64" t="str">
        <f aca="false">IF(CS1838="","",J1838/H1838)</f>
        <v/>
      </c>
      <c r="CU1838" s="62" t="str">
        <f aca="false">IF(CS1838="","",H1838*G1838)</f>
        <v/>
      </c>
      <c r="CV1838" s="63" t="str">
        <f aca="false">IF(CS1838="","",(CL1838+ROUNDUP(CL1838+MAX(CM1838,2*(J1838/MAX(0.1,N(Einkauf!$C$6))-CL1838)),0))/2)</f>
        <v/>
      </c>
      <c r="CW1838" s="62" t="str">
        <f aca="false">IF(CS1838="","",MAX(0,H1838-CV1838)*G1838)</f>
        <v/>
      </c>
      <c r="CX1838" s="62" t="str">
        <f aca="false">IF(CS1838="","",CS1838*MAX(0,1-CV1838/H1838))</f>
        <v/>
      </c>
      <c r="CY1838" s="64" t="str">
        <f aca="false">IF(CS1838="","",PERCENTRANK($CS$7:$CS$1843,CS1838)+PERCENTRANK($CU$7:$CU$1843,CU1838)+1-PERCENTRANK($CT$7:$CT$1843,CT1838))</f>
        <v/>
      </c>
      <c r="CZ1838" s="72" t="str">
        <f aca="false">IF(CS1838="","",CHOOSE(MATCH(Einkauf!$C$5,Parameter!$G$23:$G$27,0),CY1838,CS1838,CU1838,-CT1838,CW1838)+ROW()/1000000000)</f>
        <v/>
      </c>
    </row>
    <row r="1839" customFormat="false" ht="15" hidden="false" customHeight="false" outlineLevel="0" collapsed="false">
      <c r="A1839" s="60" t="str">
        <f aca="false">IF('Neue Artikel'!$A$100="","",'Neue Artikel'!$A$100&amp;"")</f>
        <v/>
      </c>
      <c r="B1839" s="60" t="str">
        <f aca="false">'Neue Artikel'!$B$100&amp;""</f>
        <v/>
      </c>
      <c r="C1839" s="60"/>
      <c r="D1839" s="60" t="s">
        <v>3057</v>
      </c>
      <c r="E1839" s="60"/>
      <c r="F1839" s="60"/>
      <c r="G1839" s="61" t="n">
        <f aca="false">N('Neue Artikel'!$G$100)</f>
        <v>0</v>
      </c>
      <c r="H1839" s="62" t="n">
        <f aca="false">MAX(0,IF(AND(Parameter!$B$21="Ja",ISNUMBER(Y1839)),Y1839,IF(Parameter!$B$20="Jahresanfang 2025 + Export",BS1839+BR1839,BR1839)))</f>
        <v>0</v>
      </c>
      <c r="I1839" s="62" t="n">
        <f aca="false">H1839*G1839</f>
        <v>0</v>
      </c>
      <c r="J1839" s="62" t="n">
        <f aca="false">BU1839*Parameter!$B$18</f>
        <v>0</v>
      </c>
      <c r="K1839" s="63"/>
      <c r="L1839" s="64"/>
      <c r="M1839" s="62" t="n">
        <f aca="false">N('Neue Artikel'!$E$100)</f>
        <v>0</v>
      </c>
      <c r="N1839" s="62" t="n">
        <f aca="false">N('Neue Artikel'!$F$100)</f>
        <v>0</v>
      </c>
      <c r="O1839" s="65"/>
      <c r="P1839" s="60" t="str">
        <f aca="false">IF('Neue Artikel'!$H$100="","LOSE",UPPER(TRIM('Neue Artikel'!$H$100)))</f>
        <v>LOSE</v>
      </c>
      <c r="Q1839" s="62" t="n">
        <f aca="false">N('Neue Artikel'!$I$100)</f>
        <v>0</v>
      </c>
      <c r="R1839" s="65" t="n">
        <f aca="false">IF(CA1839=1,0,IFERROR(VLOOKUP(BY1839,'Gebinde-Kategorie'!$A$5:$N$45,13,0)+0,0))</f>
        <v>0</v>
      </c>
      <c r="S1839" s="66"/>
      <c r="T1839" s="67"/>
      <c r="U1839" s="67"/>
      <c r="V1839" s="67"/>
      <c r="W1839" s="60"/>
      <c r="X1839" s="62"/>
      <c r="Y1839" s="62"/>
      <c r="Z1839" s="60"/>
      <c r="AA1839" s="60" t="str">
        <f aca="false">IF(A1839="","",IF(AND(Parameter!$B$21="Ja",ISNUMBER(W1839)),W1839,IF(AND(Parameter!$E$27="Ja",ISNUMBER(Z1839),CD1839&lt;&gt;"Nein"),Z1839,IF(CD1839="2+3",IF(ISNUMBER(SEARCH("grosser Artikel",BV1839)),2,IFERROR(VLOOKUP(BY1839,Parameter!$F$35:$G$64,2,0),2)),IF(OR(CD1839="Nein",CD1839=""),"-",CD1839)))))</f>
        <v/>
      </c>
      <c r="AB1839" s="60" t="str">
        <f aca="false">IF('Neue Artikel'!$J$100="","",'Neue Artikel'!$J$100)</f>
        <v/>
      </c>
      <c r="AC1839" s="68"/>
      <c r="AD1839" s="62" t="n">
        <f aca="false">AW1839</f>
        <v>0</v>
      </c>
      <c r="AE1839" s="62" t="n">
        <f aca="false">MAX(AW1839,H1839)</f>
        <v>0</v>
      </c>
      <c r="AF1839" s="69"/>
      <c r="AG1839" s="62" t="n">
        <f aca="false">IF(LEFT(Cockpit!$C$5,1)="A",H1839,IF(Parameter!$E$30="MAX-Bestand",IF(CI1839=1,CJ1839,IF(LEFT(Cockpit!$C$5,1)="B",AM1839,MAX(AM1839,H1839))),ROUNDUP(AK1839,0)))</f>
        <v>0</v>
      </c>
      <c r="AH1839" s="62" t="n">
        <f aca="false">IF(CA1839=1,0,ROUNDUP(AG1839/BZ1839,0))</f>
        <v>0</v>
      </c>
      <c r="AI1839" s="64" t="n">
        <f aca="false">IF(CR1839&gt;0,CR1839*MAX(1,AG1839/X1839),IF(CA1839=1,IF(AG1839&lt;=0,0,CE1839*MAX(1,IF(H1839&gt;0,AG1839/H1839,1))),IF(R1839&gt;0,AH1839/R1839,0))/MAX(0.1,N(Parameter!$M$21)))</f>
        <v>0</v>
      </c>
      <c r="AJ1839" s="62" t="n">
        <f aca="false">AI1839*CC1839</f>
        <v>0</v>
      </c>
      <c r="AK1839" s="63" t="n">
        <f aca="false">IF(LEFT(Cockpit!$C$5,1)="A",H1839,IF(CI1839=1,(CL1839+CJ1839)/2,IF(LEFT(Cockpit!$C$5,1)="B",(CL1839+AM1839)/2,MAX((CL1839+AM1839)/2,H1839))))</f>
        <v>0</v>
      </c>
      <c r="AL1839" s="62" t="n">
        <f aca="false">AK1839*G1839</f>
        <v>0</v>
      </c>
      <c r="AM1839" s="62" t="n">
        <f aca="false">ROUNDUP(CL1839+MAX(CM1839,2*(J1839/IF(CH1839&gt;0,CH1839,MAX(0.1,N(Cockpit!$C$6)))-CL1839)),0)</f>
        <v>0</v>
      </c>
      <c r="AN1839" s="63" t="n">
        <f aca="false">IF(AJ1839&gt;0,J1839/AJ1839,-1)</f>
        <v>-1</v>
      </c>
      <c r="AO1839" s="63" t="str">
        <f aca="false">IF(AND(OR(CG1839="L1",CG1839="L23",CG1839="LIFT"),AJ1839&gt;0),SUMIFS($AJ$7:$AJ$1843,$CG$7:$CG$1843,CG1839,$AN$7:$AN$1843,"&gt;"&amp;AN1839)+SUMIFS($AJ$7:$AJ$1843,$CG$7:$CG$1843,CG1839,$AN$7:$AN$1843,AN1839,$BX$7:$BX$1843,"&lt;="&amp;BX1839),"")</f>
        <v/>
      </c>
      <c r="AP1839" s="70" t="n">
        <f aca="false">IF(AO1839="",0,MAX(0,MIN(1,(IF(CG1839="L1",Parameter!$H$5,IF(CG1839="L23",Parameter!$H$6+Parameter!$H$7,Parameter!$H$5+Parameter!$H$6+Parameter!$H$7))-(AO1839-AJ1839))/AJ1839)))</f>
        <v>0</v>
      </c>
      <c r="AQ1839" s="62" t="n">
        <f aca="false">IF(LEFT(Cockpit!$I$5,1)="A",H1839,IF(Parameter!$E$30="MAX-Bestand",IF(CI1839=1,CJ1839,IF(LEFT(Cockpit!$I$5,1)="B",AW1839,MAX(AW1839,H1839))),ROUNDUP(AU1839,0)))</f>
        <v>0</v>
      </c>
      <c r="AR1839" s="62" t="n">
        <f aca="false">IF(CA1839=1,0,ROUNDUP(AQ1839/BZ1839,0))</f>
        <v>0</v>
      </c>
      <c r="AS1839" s="64" t="n">
        <f aca="false">IF(CR1839&gt;0,CR1839*MAX(1,AQ1839/X1839),IF(CA1839=1,IF(AQ1839&lt;=0,0,CE1839*MAX(1,IF(H1839&gt;0,AQ1839/H1839,1))),IF(R1839&gt;0,AR1839/R1839,0))/MAX(0.1,N(Parameter!$M$21)))</f>
        <v>0</v>
      </c>
      <c r="AT1839" s="62" t="n">
        <f aca="false">AS1839*CC1839</f>
        <v>0</v>
      </c>
      <c r="AU1839" s="63" t="n">
        <f aca="false">IF(LEFT(Cockpit!$I$5,1)="A",H1839,IF(CI1839=1,(CL1839+CJ1839)/2,IF(LEFT(Cockpit!$I$5,1)="B",(CL1839+AW1839)/2,MAX((CL1839+AW1839)/2,H1839))))</f>
        <v>0</v>
      </c>
      <c r="AV1839" s="62" t="n">
        <f aca="false">AU1839*G1839</f>
        <v>0</v>
      </c>
      <c r="AW1839" s="62" t="n">
        <f aca="false">ROUNDUP(CL1839+MAX(CM1839,2*(J1839/IF(CH1839&gt;0,CH1839,MAX(0.1,N(Cockpit!$I$6)))-CL1839)),0)</f>
        <v>0</v>
      </c>
      <c r="AX1839" s="63" t="n">
        <f aca="false">IF(AT1839&gt;0,J1839/AT1839,-1)</f>
        <v>-1</v>
      </c>
      <c r="AY1839" s="63" t="str">
        <f aca="false">IF(AND(OR(CG1839="L1",CG1839="L23",CG1839="LIFT"),AT1839&gt;0),SUMIFS($AT$7:$AT$1843,$CG$7:$CG$1843,CG1839,$AX$7:$AX$1843,"&gt;"&amp;AX1839)+SUMIFS($AT$7:$AT$1843,$CG$7:$CG$1843,CG1839,$AX$7:$AX$1843,AX1839,$BX$7:$BX$1843,"&lt;="&amp;BX1839),"")</f>
        <v/>
      </c>
      <c r="AZ1839" s="70" t="n">
        <f aca="false">IF(AY1839="",0,MAX(0,MIN(1,(IF(CG1839="L1",Parameter!$H$5,IF(CG1839="L23",Parameter!$H$6+Parameter!$H$7,Parameter!$H$5+Parameter!$H$6+Parameter!$H$7))-(AY1839-AT1839))/AT1839)))</f>
        <v>0</v>
      </c>
      <c r="BA1839" s="62" t="n">
        <f aca="false">IF(LEFT(Cockpit!$O$5,1)="A",H1839,IF(Parameter!$E$30="MAX-Bestand",IF(CI1839=1,CJ1839,IF(LEFT(Cockpit!$O$5,1)="B",BG1839,MAX(BG1839,H1839))),ROUNDUP(BE1839,0)))</f>
        <v>0</v>
      </c>
      <c r="BB1839" s="62" t="n">
        <f aca="false">IF(CA1839=1,0,ROUNDUP(BA1839/BZ1839,0))</f>
        <v>0</v>
      </c>
      <c r="BC1839" s="64" t="n">
        <f aca="false">IF(CR1839&gt;0,CR1839*MAX(1,BA1839/X1839),IF(CA1839=1,IF(BA1839&lt;=0,0,CE1839*MAX(1,IF(H1839&gt;0,BA1839/H1839,1))),IF(R1839&gt;0,BB1839/R1839,0))/MAX(0.1,N(Parameter!$M$21)))</f>
        <v>0</v>
      </c>
      <c r="BD1839" s="62" t="n">
        <f aca="false">BC1839*CC1839</f>
        <v>0</v>
      </c>
      <c r="BE1839" s="63" t="n">
        <f aca="false">IF(LEFT(Cockpit!$O$5,1)="A",H1839,IF(CI1839=1,(CL1839+CJ1839)/2,IF(LEFT(Cockpit!$O$5,1)="B",(CL1839+BG1839)/2,MAX((CL1839+BG1839)/2,H1839))))</f>
        <v>0</v>
      </c>
      <c r="BF1839" s="62" t="n">
        <f aca="false">BE1839*G1839</f>
        <v>0</v>
      </c>
      <c r="BG1839" s="62" t="n">
        <f aca="false">ROUNDUP(CL1839+MAX(CM1839,2*(J1839/IF(CH1839&gt;0,CH1839,MAX(0.1,N(Cockpit!$O$6)))-CL1839)),0)</f>
        <v>0</v>
      </c>
      <c r="BH1839" s="63" t="n">
        <f aca="false">IF(BD1839&gt;0,J1839/BD1839,-1)</f>
        <v>-1</v>
      </c>
      <c r="BI1839" s="63" t="str">
        <f aca="false">IF(AND(OR(CG1839="L1",CG1839="L23",CG1839="LIFT"),BD1839&gt;0),SUMIFS($BD$7:$BD$1843,$CG$7:$CG$1843,CG1839,$BH$7:$BH$1843,"&gt;"&amp;BH1839)+SUMIFS($BD$7:$BD$1843,$CG$7:$CG$1843,CG1839,$BH$7:$BH$1843,BH1839,$BX$7:$BX$1843,"&lt;="&amp;BX1839),"")</f>
        <v/>
      </c>
      <c r="BJ1839" s="70" t="n">
        <f aca="false">IF(BI1839="",0,MAX(0,MIN(1,(IF(CG1839="L1",Parameter!$H$5,IF(CG1839="L23",Parameter!$H$6+Parameter!$H$7,Parameter!$H$5+Parameter!$H$6+Parameter!$H$7))-(BI1839-BD1839))/BD1839)))</f>
        <v>0</v>
      </c>
      <c r="BK1839" s="60" t="str">
        <f aca="false">IF(AJ1839&lt;=0,"",IF(CG1839="Aussen","Aussenlager",IF(CG1839="-","Nicht im Lift",IF(AP1839&gt;=1,"Lift",IF(AP1839&lt;=0,"Aussenlager","teilweise")))))</f>
        <v/>
      </c>
      <c r="BL1839" s="60" t="str">
        <f aca="false">IF(AT1839&lt;=0,"",IF(CG1839="Aussen","Aussenlager",IF(CG1839="-","Nicht im Lift",IF(AZ1839&gt;=1,"Lift",IF(AZ1839&lt;=0,"Aussenlager","teilweise")))))</f>
        <v/>
      </c>
      <c r="BM1839" s="60" t="str">
        <f aca="false">IF(BD1839&lt;=0,"",IF(CG1839="Aussen","Aussenlager",IF(CG1839="-","Nicht im Lift",IF(BJ1839&gt;=1,"Lift",IF(BJ1839&lt;=0,"Aussenlager","teilweise")))))</f>
        <v/>
      </c>
      <c r="BN1839" s="60" t="str">
        <f aca="false">IF(A1839="","",IF(BW1839=1,"Neu; ","")&amp;IF(AND(BW1839=0,BR1839&lt;0),"negativer Bestand (Export "&amp;BR1839&amp;"); ","")&amp;IF(J1839&lt;=0,"Kein Verbrauch; ","")&amp;IF(CR1839&gt;0,"Lift "&amp;W1839&amp;" lt. Liftbericht (Fach "&amp;X1839&amp;" Stk); ",IF(CB1839=1,"Gebinde geschätzt ("&amp;T1839&amp;"); ",IF(CA1839=1,"Lose – Tablare geschätzt; ","")))&amp;IF(H1839&gt;AW1839,"Überbestand "&amp;ROUND(H1839-AW1839,0)&amp;" Stk / CHF "&amp;ROUND((H1839-AW1839)*G1839,0)&amp;"; ","")&amp;IF(AND(CI1839=1,CJ1839&lt;CK1839),"MAX &lt; MB+LG; ","")&amp;IF(AND(CQ1839&gt;0,CP1839*10&gt;CQ1839),"zu hoch für Tablar; ","")&amp;IF(AND(BW1839=0,OR(CI1839=1,AB1839&lt;&gt;"",U1839&lt;&gt;"",V1839&lt;&gt;"",AC1839&lt;&gt;"")),"manuell übersteuert; ","")&amp;IF(AND(CA1839=0,R1839=0),"Gebinde unbekannt / Stellmass fehlt; ","")&amp;IF(AND(CA1839=0,N(V1839)&lt;=0,N(Q1839)&lt;=0),"Menge pro Gebinde fehlt (Ist = 1 Gebinde); ","")&amp;BV1839)</f>
        <v/>
      </c>
      <c r="BO1839" s="60"/>
      <c r="BP1839" s="60"/>
      <c r="BQ1839" s="67"/>
      <c r="BR1839" s="62" t="n">
        <f aca="false">N('Neue Artikel'!$D$100)</f>
        <v>0</v>
      </c>
      <c r="BS1839" s="62" t="n">
        <v>0</v>
      </c>
      <c r="BT1839" s="61" t="n">
        <v>0</v>
      </c>
      <c r="BU1839" s="62" t="n">
        <f aca="false">N('Neue Artikel'!$C$100)/Parameter!$B$18</f>
        <v>0</v>
      </c>
      <c r="BV1839" s="60"/>
      <c r="BW1839" s="65" t="n">
        <v>1</v>
      </c>
      <c r="BX1839" s="65" t="n">
        <v>1839</v>
      </c>
      <c r="BY1839" s="60" t="str">
        <f aca="false">IF(U1839&lt;&gt;"",UPPER(TRIM(U1839)),IF(CB1839=1,UPPER(VLOOKUP(T1839,Parameter!$I$27:$K$29,2,0)),IF(P1839="","LOSE",P1839)))</f>
        <v>LOSE</v>
      </c>
      <c r="BZ1839" s="62" t="n">
        <f aca="false">IF(BY1839="LOSE",1,IF(N(V1839)&gt;0,V1839,IF(CB1839=1,MAX(1,N(VLOOKUP(T1839,Parameter!$I$27:$K$29,3,0)),H1839,N(N1839)),IF(N(Q1839)&gt;0,Q1839,MAX(1,H1839)))))</f>
        <v>1</v>
      </c>
      <c r="CA1839" s="65" t="n">
        <f aca="false">IF(BY1839="LOSE",1,0)</f>
        <v>1</v>
      </c>
      <c r="CB1839" s="65" t="n">
        <f aca="false">IF(AND(U1839="",OR(P1839="",P1839="LOSE"),T1839&lt;&gt;"",N(S1839)&lt;=0,ISNUMBER(MATCH(T1839,Parameter!$I$27:$I$29,0))),1,0)</f>
        <v>0</v>
      </c>
      <c r="CC1839" s="65" t="n">
        <f aca="false">IF(CR1839&gt;0,INDEX(Parameter!$H$5:$H$7,W1839)/INDEX(Parameter!$E$5:$E$7,W1839),IF(AND(CA1839=0,N(IFERROR(VLOOKUP(BY1839,'Gebinde-Kategorie'!$A$5:$N$45,14,0),0))&gt;0),VLOOKUP(BY1839,'Gebinde-Kategorie'!$A$5:$N$45,14,0)*10+Parameter!$M$23,Parameter!$M$24))</f>
        <v>235</v>
      </c>
      <c r="CD1839" s="60" t="str">
        <f aca="false">IF(AND(Parameter!$B$19="Ja",E1839&lt;&gt;"",ISNUMBER(MATCH(E1839,Parameter!$I$35:$I$52,0))),VLOOKUP(E1839,Parameter!$I$35:$J$52,2,0),IFERROR(VLOOKUP(D1839,Parameter!$A$35:$C$64,2,0),"Nein"))</f>
        <v>2+3</v>
      </c>
      <c r="CE1839" s="64" t="n">
        <f aca="false">IF(CA1839=0,0,IF(N(S1839)&gt;0,S1839,IFERROR(VLOOKUP(D1839,Parameter!$A$35:$C$64,3,0)+0,0)))</f>
        <v>0.15</v>
      </c>
      <c r="CF1839" s="60" t="str">
        <f aca="false">IF(AB1839&lt;&gt;"",AB1839,AA1839)</f>
        <v/>
      </c>
      <c r="CG1839" s="60" t="str">
        <f aca="false">IF(OR(CF1839=1,CF1839=2,CF1839=3),IF(Parameter!$E$27="Ja","LIFT",IF(CF1839=1,"L1","L23")),IF(CF1839="Aussen","Aussen","-"))</f>
        <v>-</v>
      </c>
      <c r="CH1839" s="71" t="n">
        <f aca="false">IF(N(AC1839)&gt;0,AC1839,0)</f>
        <v>0</v>
      </c>
      <c r="CI1839" s="65" t="n">
        <f aca="false">IF(ISNUMBER(AF1839),1,0)</f>
        <v>0</v>
      </c>
      <c r="CJ1839" s="62" t="n">
        <f aca="false">N(AF1839)</f>
        <v>0</v>
      </c>
      <c r="CK1839" s="62" t="n">
        <f aca="false">N(M1839)+N(N1839)</f>
        <v>0</v>
      </c>
      <c r="CL1839" s="62" t="n">
        <f aca="false">N(M1839)</f>
        <v>0</v>
      </c>
      <c r="CM1839" s="62" t="n">
        <f aca="false">N(N1839)</f>
        <v>0</v>
      </c>
      <c r="CN1839" s="62" t="n">
        <f aca="false">ROUNDUP(H1839/BZ1839,0)</f>
        <v>0</v>
      </c>
      <c r="CO1839" s="62" t="n">
        <f aca="false">ROUNDUP(CJ1839/BZ1839,0)</f>
        <v>0</v>
      </c>
      <c r="CP1839" s="65" t="n">
        <f aca="false">IF(CA1839=1,0,IFERROR(VLOOKUP(BY1839,'Gebinde-Kategorie'!$A$5:$N$45,5,0)+0,0))</f>
        <v>0</v>
      </c>
      <c r="CQ1839" s="65" t="n">
        <f aca="false">IFERROR(IF(OR(CF1839=1,CF1839=2,CF1839=3),N(INDEX(Parameter!$I$5:$I$7,CF1839)),0),0)</f>
        <v>0</v>
      </c>
      <c r="CR1839" s="64" t="n">
        <f aca="false">IF(AND(Parameter!$B$21="Ja",ISNUMBER(W1839),N(X1839)&gt;0),IFERROR(N(INDEX(Parameter!$L$5:$L$7,W1839))*INDEX(Parameter!$E$5:$E$7,W1839)*X1839/SUMIFS($X$7:$X$1843,$W$7:$W$1843,W1839),0),0)</f>
        <v>0</v>
      </c>
      <c r="CS1839" s="62" t="str">
        <f aca="false">IF(AND(OR(CG1839="L1",CG1839="L23",CG1839="LIFT"),H1839&gt;0),CC1839*IF(CR1839&gt;0,CR1839*MAX(1,H1839/X1839),IF(CA1839=1,CE1839,IF(R1839&gt;0,CN1839/R1839,0))/MAX(0.1,N(Parameter!$M$21))),"")</f>
        <v/>
      </c>
      <c r="CT1839" s="64" t="str">
        <f aca="false">IF(CS1839="","",J1839/H1839)</f>
        <v/>
      </c>
      <c r="CU1839" s="62" t="str">
        <f aca="false">IF(CS1839="","",H1839*G1839)</f>
        <v/>
      </c>
      <c r="CV1839" s="63" t="str">
        <f aca="false">IF(CS1839="","",(CL1839+ROUNDUP(CL1839+MAX(CM1839,2*(J1839/MAX(0.1,N(Einkauf!$C$6))-CL1839)),0))/2)</f>
        <v/>
      </c>
      <c r="CW1839" s="62" t="str">
        <f aca="false">IF(CS1839="","",MAX(0,H1839-CV1839)*G1839)</f>
        <v/>
      </c>
      <c r="CX1839" s="62" t="str">
        <f aca="false">IF(CS1839="","",CS1839*MAX(0,1-CV1839/H1839))</f>
        <v/>
      </c>
      <c r="CY1839" s="64" t="str">
        <f aca="false">IF(CS1839="","",PERCENTRANK($CS$7:$CS$1843,CS1839)+PERCENTRANK($CU$7:$CU$1843,CU1839)+1-PERCENTRANK($CT$7:$CT$1843,CT1839))</f>
        <v/>
      </c>
      <c r="CZ1839" s="72" t="str">
        <f aca="false">IF(CS1839="","",CHOOSE(MATCH(Einkauf!$C$5,Parameter!$G$23:$G$27,0),CY1839,CS1839,CU1839,-CT1839,CW1839)+ROW()/1000000000)</f>
        <v/>
      </c>
    </row>
    <row r="1840" customFormat="false" ht="15" hidden="false" customHeight="false" outlineLevel="0" collapsed="false">
      <c r="A1840" s="60" t="str">
        <f aca="false">IF('Neue Artikel'!$A$101="","",'Neue Artikel'!$A$101&amp;"")</f>
        <v/>
      </c>
      <c r="B1840" s="60" t="str">
        <f aca="false">'Neue Artikel'!$B$101&amp;""</f>
        <v/>
      </c>
      <c r="C1840" s="60"/>
      <c r="D1840" s="60" t="s">
        <v>3057</v>
      </c>
      <c r="E1840" s="60"/>
      <c r="F1840" s="60"/>
      <c r="G1840" s="61" t="n">
        <f aca="false">N('Neue Artikel'!$G$101)</f>
        <v>0</v>
      </c>
      <c r="H1840" s="62" t="n">
        <f aca="false">MAX(0,IF(AND(Parameter!$B$21="Ja",ISNUMBER(Y1840)),Y1840,IF(Parameter!$B$20="Jahresanfang 2025 + Export",BS1840+BR1840,BR1840)))</f>
        <v>0</v>
      </c>
      <c r="I1840" s="62" t="n">
        <f aca="false">H1840*G1840</f>
        <v>0</v>
      </c>
      <c r="J1840" s="62" t="n">
        <f aca="false">BU1840*Parameter!$B$18</f>
        <v>0</v>
      </c>
      <c r="K1840" s="63"/>
      <c r="L1840" s="64"/>
      <c r="M1840" s="62" t="n">
        <f aca="false">N('Neue Artikel'!$E$101)</f>
        <v>0</v>
      </c>
      <c r="N1840" s="62" t="n">
        <f aca="false">N('Neue Artikel'!$F$101)</f>
        <v>0</v>
      </c>
      <c r="O1840" s="65"/>
      <c r="P1840" s="60" t="str">
        <f aca="false">IF('Neue Artikel'!$H$101="","LOSE",UPPER(TRIM('Neue Artikel'!$H$101)))</f>
        <v>LOSE</v>
      </c>
      <c r="Q1840" s="62" t="n">
        <f aca="false">N('Neue Artikel'!$I$101)</f>
        <v>0</v>
      </c>
      <c r="R1840" s="65" t="n">
        <f aca="false">IF(CA1840=1,0,IFERROR(VLOOKUP(BY1840,'Gebinde-Kategorie'!$A$5:$N$45,13,0)+0,0))</f>
        <v>0</v>
      </c>
      <c r="S1840" s="66"/>
      <c r="T1840" s="67"/>
      <c r="U1840" s="67"/>
      <c r="V1840" s="67"/>
      <c r="W1840" s="60"/>
      <c r="X1840" s="62"/>
      <c r="Y1840" s="62"/>
      <c r="Z1840" s="60"/>
      <c r="AA1840" s="60" t="str">
        <f aca="false">IF(A1840="","",IF(AND(Parameter!$B$21="Ja",ISNUMBER(W1840)),W1840,IF(AND(Parameter!$E$27="Ja",ISNUMBER(Z1840),CD1840&lt;&gt;"Nein"),Z1840,IF(CD1840="2+3",IF(ISNUMBER(SEARCH("grosser Artikel",BV1840)),2,IFERROR(VLOOKUP(BY1840,Parameter!$F$35:$G$64,2,0),2)),IF(OR(CD1840="Nein",CD1840=""),"-",CD1840)))))</f>
        <v/>
      </c>
      <c r="AB1840" s="60" t="str">
        <f aca="false">IF('Neue Artikel'!$J$101="","",'Neue Artikel'!$J$101)</f>
        <v/>
      </c>
      <c r="AC1840" s="68"/>
      <c r="AD1840" s="62" t="n">
        <f aca="false">AW1840</f>
        <v>0</v>
      </c>
      <c r="AE1840" s="62" t="n">
        <f aca="false">MAX(AW1840,H1840)</f>
        <v>0</v>
      </c>
      <c r="AF1840" s="69"/>
      <c r="AG1840" s="62" t="n">
        <f aca="false">IF(LEFT(Cockpit!$C$5,1)="A",H1840,IF(Parameter!$E$30="MAX-Bestand",IF(CI1840=1,CJ1840,IF(LEFT(Cockpit!$C$5,1)="B",AM1840,MAX(AM1840,H1840))),ROUNDUP(AK1840,0)))</f>
        <v>0</v>
      </c>
      <c r="AH1840" s="62" t="n">
        <f aca="false">IF(CA1840=1,0,ROUNDUP(AG1840/BZ1840,0))</f>
        <v>0</v>
      </c>
      <c r="AI1840" s="64" t="n">
        <f aca="false">IF(CR1840&gt;0,CR1840*MAX(1,AG1840/X1840),IF(CA1840=1,IF(AG1840&lt;=0,0,CE1840*MAX(1,IF(H1840&gt;0,AG1840/H1840,1))),IF(R1840&gt;0,AH1840/R1840,0))/MAX(0.1,N(Parameter!$M$21)))</f>
        <v>0</v>
      </c>
      <c r="AJ1840" s="62" t="n">
        <f aca="false">AI1840*CC1840</f>
        <v>0</v>
      </c>
      <c r="AK1840" s="63" t="n">
        <f aca="false">IF(LEFT(Cockpit!$C$5,1)="A",H1840,IF(CI1840=1,(CL1840+CJ1840)/2,IF(LEFT(Cockpit!$C$5,1)="B",(CL1840+AM1840)/2,MAX((CL1840+AM1840)/2,H1840))))</f>
        <v>0</v>
      </c>
      <c r="AL1840" s="62" t="n">
        <f aca="false">AK1840*G1840</f>
        <v>0</v>
      </c>
      <c r="AM1840" s="62" t="n">
        <f aca="false">ROUNDUP(CL1840+MAX(CM1840,2*(J1840/IF(CH1840&gt;0,CH1840,MAX(0.1,N(Cockpit!$C$6)))-CL1840)),0)</f>
        <v>0</v>
      </c>
      <c r="AN1840" s="63" t="n">
        <f aca="false">IF(AJ1840&gt;0,J1840/AJ1840,-1)</f>
        <v>-1</v>
      </c>
      <c r="AO1840" s="63" t="str">
        <f aca="false">IF(AND(OR(CG1840="L1",CG1840="L23",CG1840="LIFT"),AJ1840&gt;0),SUMIFS($AJ$7:$AJ$1843,$CG$7:$CG$1843,CG1840,$AN$7:$AN$1843,"&gt;"&amp;AN1840)+SUMIFS($AJ$7:$AJ$1843,$CG$7:$CG$1843,CG1840,$AN$7:$AN$1843,AN1840,$BX$7:$BX$1843,"&lt;="&amp;BX1840),"")</f>
        <v/>
      </c>
      <c r="AP1840" s="70" t="n">
        <f aca="false">IF(AO1840="",0,MAX(0,MIN(1,(IF(CG1840="L1",Parameter!$H$5,IF(CG1840="L23",Parameter!$H$6+Parameter!$H$7,Parameter!$H$5+Parameter!$H$6+Parameter!$H$7))-(AO1840-AJ1840))/AJ1840)))</f>
        <v>0</v>
      </c>
      <c r="AQ1840" s="62" t="n">
        <f aca="false">IF(LEFT(Cockpit!$I$5,1)="A",H1840,IF(Parameter!$E$30="MAX-Bestand",IF(CI1840=1,CJ1840,IF(LEFT(Cockpit!$I$5,1)="B",AW1840,MAX(AW1840,H1840))),ROUNDUP(AU1840,0)))</f>
        <v>0</v>
      </c>
      <c r="AR1840" s="62" t="n">
        <f aca="false">IF(CA1840=1,0,ROUNDUP(AQ1840/BZ1840,0))</f>
        <v>0</v>
      </c>
      <c r="AS1840" s="64" t="n">
        <f aca="false">IF(CR1840&gt;0,CR1840*MAX(1,AQ1840/X1840),IF(CA1840=1,IF(AQ1840&lt;=0,0,CE1840*MAX(1,IF(H1840&gt;0,AQ1840/H1840,1))),IF(R1840&gt;0,AR1840/R1840,0))/MAX(0.1,N(Parameter!$M$21)))</f>
        <v>0</v>
      </c>
      <c r="AT1840" s="62" t="n">
        <f aca="false">AS1840*CC1840</f>
        <v>0</v>
      </c>
      <c r="AU1840" s="63" t="n">
        <f aca="false">IF(LEFT(Cockpit!$I$5,1)="A",H1840,IF(CI1840=1,(CL1840+CJ1840)/2,IF(LEFT(Cockpit!$I$5,1)="B",(CL1840+AW1840)/2,MAX((CL1840+AW1840)/2,H1840))))</f>
        <v>0</v>
      </c>
      <c r="AV1840" s="62" t="n">
        <f aca="false">AU1840*G1840</f>
        <v>0</v>
      </c>
      <c r="AW1840" s="62" t="n">
        <f aca="false">ROUNDUP(CL1840+MAX(CM1840,2*(J1840/IF(CH1840&gt;0,CH1840,MAX(0.1,N(Cockpit!$I$6)))-CL1840)),0)</f>
        <v>0</v>
      </c>
      <c r="AX1840" s="63" t="n">
        <f aca="false">IF(AT1840&gt;0,J1840/AT1840,-1)</f>
        <v>-1</v>
      </c>
      <c r="AY1840" s="63" t="str">
        <f aca="false">IF(AND(OR(CG1840="L1",CG1840="L23",CG1840="LIFT"),AT1840&gt;0),SUMIFS($AT$7:$AT$1843,$CG$7:$CG$1843,CG1840,$AX$7:$AX$1843,"&gt;"&amp;AX1840)+SUMIFS($AT$7:$AT$1843,$CG$7:$CG$1843,CG1840,$AX$7:$AX$1843,AX1840,$BX$7:$BX$1843,"&lt;="&amp;BX1840),"")</f>
        <v/>
      </c>
      <c r="AZ1840" s="70" t="n">
        <f aca="false">IF(AY1840="",0,MAX(0,MIN(1,(IF(CG1840="L1",Parameter!$H$5,IF(CG1840="L23",Parameter!$H$6+Parameter!$H$7,Parameter!$H$5+Parameter!$H$6+Parameter!$H$7))-(AY1840-AT1840))/AT1840)))</f>
        <v>0</v>
      </c>
      <c r="BA1840" s="62" t="n">
        <f aca="false">IF(LEFT(Cockpit!$O$5,1)="A",H1840,IF(Parameter!$E$30="MAX-Bestand",IF(CI1840=1,CJ1840,IF(LEFT(Cockpit!$O$5,1)="B",BG1840,MAX(BG1840,H1840))),ROUNDUP(BE1840,0)))</f>
        <v>0</v>
      </c>
      <c r="BB1840" s="62" t="n">
        <f aca="false">IF(CA1840=1,0,ROUNDUP(BA1840/BZ1840,0))</f>
        <v>0</v>
      </c>
      <c r="BC1840" s="64" t="n">
        <f aca="false">IF(CR1840&gt;0,CR1840*MAX(1,BA1840/X1840),IF(CA1840=1,IF(BA1840&lt;=0,0,CE1840*MAX(1,IF(H1840&gt;0,BA1840/H1840,1))),IF(R1840&gt;0,BB1840/R1840,0))/MAX(0.1,N(Parameter!$M$21)))</f>
        <v>0</v>
      </c>
      <c r="BD1840" s="62" t="n">
        <f aca="false">BC1840*CC1840</f>
        <v>0</v>
      </c>
      <c r="BE1840" s="63" t="n">
        <f aca="false">IF(LEFT(Cockpit!$O$5,1)="A",H1840,IF(CI1840=1,(CL1840+CJ1840)/2,IF(LEFT(Cockpit!$O$5,1)="B",(CL1840+BG1840)/2,MAX((CL1840+BG1840)/2,H1840))))</f>
        <v>0</v>
      </c>
      <c r="BF1840" s="62" t="n">
        <f aca="false">BE1840*G1840</f>
        <v>0</v>
      </c>
      <c r="BG1840" s="62" t="n">
        <f aca="false">ROUNDUP(CL1840+MAX(CM1840,2*(J1840/IF(CH1840&gt;0,CH1840,MAX(0.1,N(Cockpit!$O$6)))-CL1840)),0)</f>
        <v>0</v>
      </c>
      <c r="BH1840" s="63" t="n">
        <f aca="false">IF(BD1840&gt;0,J1840/BD1840,-1)</f>
        <v>-1</v>
      </c>
      <c r="BI1840" s="63" t="str">
        <f aca="false">IF(AND(OR(CG1840="L1",CG1840="L23",CG1840="LIFT"),BD1840&gt;0),SUMIFS($BD$7:$BD$1843,$CG$7:$CG$1843,CG1840,$BH$7:$BH$1843,"&gt;"&amp;BH1840)+SUMIFS($BD$7:$BD$1843,$CG$7:$CG$1843,CG1840,$BH$7:$BH$1843,BH1840,$BX$7:$BX$1843,"&lt;="&amp;BX1840),"")</f>
        <v/>
      </c>
      <c r="BJ1840" s="70" t="n">
        <f aca="false">IF(BI1840="",0,MAX(0,MIN(1,(IF(CG1840="L1",Parameter!$H$5,IF(CG1840="L23",Parameter!$H$6+Parameter!$H$7,Parameter!$H$5+Parameter!$H$6+Parameter!$H$7))-(BI1840-BD1840))/BD1840)))</f>
        <v>0</v>
      </c>
      <c r="BK1840" s="60" t="str">
        <f aca="false">IF(AJ1840&lt;=0,"",IF(CG1840="Aussen","Aussenlager",IF(CG1840="-","Nicht im Lift",IF(AP1840&gt;=1,"Lift",IF(AP1840&lt;=0,"Aussenlager","teilweise")))))</f>
        <v/>
      </c>
      <c r="BL1840" s="60" t="str">
        <f aca="false">IF(AT1840&lt;=0,"",IF(CG1840="Aussen","Aussenlager",IF(CG1840="-","Nicht im Lift",IF(AZ1840&gt;=1,"Lift",IF(AZ1840&lt;=0,"Aussenlager","teilweise")))))</f>
        <v/>
      </c>
      <c r="BM1840" s="60" t="str">
        <f aca="false">IF(BD1840&lt;=0,"",IF(CG1840="Aussen","Aussenlager",IF(CG1840="-","Nicht im Lift",IF(BJ1840&gt;=1,"Lift",IF(BJ1840&lt;=0,"Aussenlager","teilweise")))))</f>
        <v/>
      </c>
      <c r="BN1840" s="60" t="str">
        <f aca="false">IF(A1840="","",IF(BW1840=1,"Neu; ","")&amp;IF(AND(BW1840=0,BR1840&lt;0),"negativer Bestand (Export "&amp;BR1840&amp;"); ","")&amp;IF(J1840&lt;=0,"Kein Verbrauch; ","")&amp;IF(CR1840&gt;0,"Lift "&amp;W1840&amp;" lt. Liftbericht (Fach "&amp;X1840&amp;" Stk); ",IF(CB1840=1,"Gebinde geschätzt ("&amp;T1840&amp;"); ",IF(CA1840=1,"Lose – Tablare geschätzt; ","")))&amp;IF(H1840&gt;AW1840,"Überbestand "&amp;ROUND(H1840-AW1840,0)&amp;" Stk / CHF "&amp;ROUND((H1840-AW1840)*G1840,0)&amp;"; ","")&amp;IF(AND(CI1840=1,CJ1840&lt;CK1840),"MAX &lt; MB+LG; ","")&amp;IF(AND(CQ1840&gt;0,CP1840*10&gt;CQ1840),"zu hoch für Tablar; ","")&amp;IF(AND(BW1840=0,OR(CI1840=1,AB1840&lt;&gt;"",U1840&lt;&gt;"",V1840&lt;&gt;"",AC1840&lt;&gt;"")),"manuell übersteuert; ","")&amp;IF(AND(CA1840=0,R1840=0),"Gebinde unbekannt / Stellmass fehlt; ","")&amp;IF(AND(CA1840=0,N(V1840)&lt;=0,N(Q1840)&lt;=0),"Menge pro Gebinde fehlt (Ist = 1 Gebinde); ","")&amp;BV1840)</f>
        <v/>
      </c>
      <c r="BO1840" s="60"/>
      <c r="BP1840" s="60"/>
      <c r="BQ1840" s="67"/>
      <c r="BR1840" s="62" t="n">
        <f aca="false">N('Neue Artikel'!$D$101)</f>
        <v>0</v>
      </c>
      <c r="BS1840" s="62" t="n">
        <v>0</v>
      </c>
      <c r="BT1840" s="61" t="n">
        <v>0</v>
      </c>
      <c r="BU1840" s="62" t="n">
        <f aca="false">N('Neue Artikel'!$C$101)/Parameter!$B$18</f>
        <v>0</v>
      </c>
      <c r="BV1840" s="60"/>
      <c r="BW1840" s="65" t="n">
        <v>1</v>
      </c>
      <c r="BX1840" s="65" t="n">
        <v>1840</v>
      </c>
      <c r="BY1840" s="60" t="str">
        <f aca="false">IF(U1840&lt;&gt;"",UPPER(TRIM(U1840)),IF(CB1840=1,UPPER(VLOOKUP(T1840,Parameter!$I$27:$K$29,2,0)),IF(P1840="","LOSE",P1840)))</f>
        <v>LOSE</v>
      </c>
      <c r="BZ1840" s="62" t="n">
        <f aca="false">IF(BY1840="LOSE",1,IF(N(V1840)&gt;0,V1840,IF(CB1840=1,MAX(1,N(VLOOKUP(T1840,Parameter!$I$27:$K$29,3,0)),H1840,N(N1840)),IF(N(Q1840)&gt;0,Q1840,MAX(1,H1840)))))</f>
        <v>1</v>
      </c>
      <c r="CA1840" s="65" t="n">
        <f aca="false">IF(BY1840="LOSE",1,0)</f>
        <v>1</v>
      </c>
      <c r="CB1840" s="65" t="n">
        <f aca="false">IF(AND(U1840="",OR(P1840="",P1840="LOSE"),T1840&lt;&gt;"",N(S1840)&lt;=0,ISNUMBER(MATCH(T1840,Parameter!$I$27:$I$29,0))),1,0)</f>
        <v>0</v>
      </c>
      <c r="CC1840" s="65" t="n">
        <f aca="false">IF(CR1840&gt;0,INDEX(Parameter!$H$5:$H$7,W1840)/INDEX(Parameter!$E$5:$E$7,W1840),IF(AND(CA1840=0,N(IFERROR(VLOOKUP(BY1840,'Gebinde-Kategorie'!$A$5:$N$45,14,0),0))&gt;0),VLOOKUP(BY1840,'Gebinde-Kategorie'!$A$5:$N$45,14,0)*10+Parameter!$M$23,Parameter!$M$24))</f>
        <v>235</v>
      </c>
      <c r="CD1840" s="60" t="str">
        <f aca="false">IF(AND(Parameter!$B$19="Ja",E1840&lt;&gt;"",ISNUMBER(MATCH(E1840,Parameter!$I$35:$I$52,0))),VLOOKUP(E1840,Parameter!$I$35:$J$52,2,0),IFERROR(VLOOKUP(D1840,Parameter!$A$35:$C$64,2,0),"Nein"))</f>
        <v>2+3</v>
      </c>
      <c r="CE1840" s="64" t="n">
        <f aca="false">IF(CA1840=0,0,IF(N(S1840)&gt;0,S1840,IFERROR(VLOOKUP(D1840,Parameter!$A$35:$C$64,3,0)+0,0)))</f>
        <v>0.15</v>
      </c>
      <c r="CF1840" s="60" t="str">
        <f aca="false">IF(AB1840&lt;&gt;"",AB1840,AA1840)</f>
        <v/>
      </c>
      <c r="CG1840" s="60" t="str">
        <f aca="false">IF(OR(CF1840=1,CF1840=2,CF1840=3),IF(Parameter!$E$27="Ja","LIFT",IF(CF1840=1,"L1","L23")),IF(CF1840="Aussen","Aussen","-"))</f>
        <v>-</v>
      </c>
      <c r="CH1840" s="71" t="n">
        <f aca="false">IF(N(AC1840)&gt;0,AC1840,0)</f>
        <v>0</v>
      </c>
      <c r="CI1840" s="65" t="n">
        <f aca="false">IF(ISNUMBER(AF1840),1,0)</f>
        <v>0</v>
      </c>
      <c r="CJ1840" s="62" t="n">
        <f aca="false">N(AF1840)</f>
        <v>0</v>
      </c>
      <c r="CK1840" s="62" t="n">
        <f aca="false">N(M1840)+N(N1840)</f>
        <v>0</v>
      </c>
      <c r="CL1840" s="62" t="n">
        <f aca="false">N(M1840)</f>
        <v>0</v>
      </c>
      <c r="CM1840" s="62" t="n">
        <f aca="false">N(N1840)</f>
        <v>0</v>
      </c>
      <c r="CN1840" s="62" t="n">
        <f aca="false">ROUNDUP(H1840/BZ1840,0)</f>
        <v>0</v>
      </c>
      <c r="CO1840" s="62" t="n">
        <f aca="false">ROUNDUP(CJ1840/BZ1840,0)</f>
        <v>0</v>
      </c>
      <c r="CP1840" s="65" t="n">
        <f aca="false">IF(CA1840=1,0,IFERROR(VLOOKUP(BY1840,'Gebinde-Kategorie'!$A$5:$N$45,5,0)+0,0))</f>
        <v>0</v>
      </c>
      <c r="CQ1840" s="65" t="n">
        <f aca="false">IFERROR(IF(OR(CF1840=1,CF1840=2,CF1840=3),N(INDEX(Parameter!$I$5:$I$7,CF1840)),0),0)</f>
        <v>0</v>
      </c>
      <c r="CR1840" s="64" t="n">
        <f aca="false">IF(AND(Parameter!$B$21="Ja",ISNUMBER(W1840),N(X1840)&gt;0),IFERROR(N(INDEX(Parameter!$L$5:$L$7,W1840))*INDEX(Parameter!$E$5:$E$7,W1840)*X1840/SUMIFS($X$7:$X$1843,$W$7:$W$1843,W1840),0),0)</f>
        <v>0</v>
      </c>
      <c r="CS1840" s="62" t="str">
        <f aca="false">IF(AND(OR(CG1840="L1",CG1840="L23",CG1840="LIFT"),H1840&gt;0),CC1840*IF(CR1840&gt;0,CR1840*MAX(1,H1840/X1840),IF(CA1840=1,CE1840,IF(R1840&gt;0,CN1840/R1840,0))/MAX(0.1,N(Parameter!$M$21))),"")</f>
        <v/>
      </c>
      <c r="CT1840" s="64" t="str">
        <f aca="false">IF(CS1840="","",J1840/H1840)</f>
        <v/>
      </c>
      <c r="CU1840" s="62" t="str">
        <f aca="false">IF(CS1840="","",H1840*G1840)</f>
        <v/>
      </c>
      <c r="CV1840" s="63" t="str">
        <f aca="false">IF(CS1840="","",(CL1840+ROUNDUP(CL1840+MAX(CM1840,2*(J1840/MAX(0.1,N(Einkauf!$C$6))-CL1840)),0))/2)</f>
        <v/>
      </c>
      <c r="CW1840" s="62" t="str">
        <f aca="false">IF(CS1840="","",MAX(0,H1840-CV1840)*G1840)</f>
        <v/>
      </c>
      <c r="CX1840" s="62" t="str">
        <f aca="false">IF(CS1840="","",CS1840*MAX(0,1-CV1840/H1840))</f>
        <v/>
      </c>
      <c r="CY1840" s="64" t="str">
        <f aca="false">IF(CS1840="","",PERCENTRANK($CS$7:$CS$1843,CS1840)+PERCENTRANK($CU$7:$CU$1843,CU1840)+1-PERCENTRANK($CT$7:$CT$1843,CT1840))</f>
        <v/>
      </c>
      <c r="CZ1840" s="72" t="str">
        <f aca="false">IF(CS1840="","",CHOOSE(MATCH(Einkauf!$C$5,Parameter!$G$23:$G$27,0),CY1840,CS1840,CU1840,-CT1840,CW1840)+ROW()/1000000000)</f>
        <v/>
      </c>
    </row>
    <row r="1841" customFormat="false" ht="15" hidden="false" customHeight="false" outlineLevel="0" collapsed="false">
      <c r="A1841" s="60" t="str">
        <f aca="false">IF('Neue Artikel'!$A$102="","",'Neue Artikel'!$A$102&amp;"")</f>
        <v/>
      </c>
      <c r="B1841" s="60" t="str">
        <f aca="false">'Neue Artikel'!$B$102&amp;""</f>
        <v/>
      </c>
      <c r="C1841" s="60"/>
      <c r="D1841" s="60" t="s">
        <v>3057</v>
      </c>
      <c r="E1841" s="60"/>
      <c r="F1841" s="60"/>
      <c r="G1841" s="61" t="n">
        <f aca="false">N('Neue Artikel'!$G$102)</f>
        <v>0</v>
      </c>
      <c r="H1841" s="62" t="n">
        <f aca="false">MAX(0,IF(AND(Parameter!$B$21="Ja",ISNUMBER(Y1841)),Y1841,IF(Parameter!$B$20="Jahresanfang 2025 + Export",BS1841+BR1841,BR1841)))</f>
        <v>0</v>
      </c>
      <c r="I1841" s="62" t="n">
        <f aca="false">H1841*G1841</f>
        <v>0</v>
      </c>
      <c r="J1841" s="62" t="n">
        <f aca="false">BU1841*Parameter!$B$18</f>
        <v>0</v>
      </c>
      <c r="K1841" s="63"/>
      <c r="L1841" s="64"/>
      <c r="M1841" s="62" t="n">
        <f aca="false">N('Neue Artikel'!$E$102)</f>
        <v>0</v>
      </c>
      <c r="N1841" s="62" t="n">
        <f aca="false">N('Neue Artikel'!$F$102)</f>
        <v>0</v>
      </c>
      <c r="O1841" s="65"/>
      <c r="P1841" s="60" t="str">
        <f aca="false">IF('Neue Artikel'!$H$102="","LOSE",UPPER(TRIM('Neue Artikel'!$H$102)))</f>
        <v>LOSE</v>
      </c>
      <c r="Q1841" s="62" t="n">
        <f aca="false">N('Neue Artikel'!$I$102)</f>
        <v>0</v>
      </c>
      <c r="R1841" s="65" t="n">
        <f aca="false">IF(CA1841=1,0,IFERROR(VLOOKUP(BY1841,'Gebinde-Kategorie'!$A$5:$N$45,13,0)+0,0))</f>
        <v>0</v>
      </c>
      <c r="S1841" s="66"/>
      <c r="T1841" s="67"/>
      <c r="U1841" s="67"/>
      <c r="V1841" s="67"/>
      <c r="W1841" s="60"/>
      <c r="X1841" s="62"/>
      <c r="Y1841" s="62"/>
      <c r="Z1841" s="60"/>
      <c r="AA1841" s="60" t="str">
        <f aca="false">IF(A1841="","",IF(AND(Parameter!$B$21="Ja",ISNUMBER(W1841)),W1841,IF(AND(Parameter!$E$27="Ja",ISNUMBER(Z1841),CD1841&lt;&gt;"Nein"),Z1841,IF(CD1841="2+3",IF(ISNUMBER(SEARCH("grosser Artikel",BV1841)),2,IFERROR(VLOOKUP(BY1841,Parameter!$F$35:$G$64,2,0),2)),IF(OR(CD1841="Nein",CD1841=""),"-",CD1841)))))</f>
        <v/>
      </c>
      <c r="AB1841" s="60" t="str">
        <f aca="false">IF('Neue Artikel'!$J$102="","",'Neue Artikel'!$J$102)</f>
        <v/>
      </c>
      <c r="AC1841" s="68"/>
      <c r="AD1841" s="62" t="n">
        <f aca="false">AW1841</f>
        <v>0</v>
      </c>
      <c r="AE1841" s="62" t="n">
        <f aca="false">MAX(AW1841,H1841)</f>
        <v>0</v>
      </c>
      <c r="AF1841" s="69"/>
      <c r="AG1841" s="62" t="n">
        <f aca="false">IF(LEFT(Cockpit!$C$5,1)="A",H1841,IF(Parameter!$E$30="MAX-Bestand",IF(CI1841=1,CJ1841,IF(LEFT(Cockpit!$C$5,1)="B",AM1841,MAX(AM1841,H1841))),ROUNDUP(AK1841,0)))</f>
        <v>0</v>
      </c>
      <c r="AH1841" s="62" t="n">
        <f aca="false">IF(CA1841=1,0,ROUNDUP(AG1841/BZ1841,0))</f>
        <v>0</v>
      </c>
      <c r="AI1841" s="64" t="n">
        <f aca="false">IF(CR1841&gt;0,CR1841*MAX(1,AG1841/X1841),IF(CA1841=1,IF(AG1841&lt;=0,0,CE1841*MAX(1,IF(H1841&gt;0,AG1841/H1841,1))),IF(R1841&gt;0,AH1841/R1841,0))/MAX(0.1,N(Parameter!$M$21)))</f>
        <v>0</v>
      </c>
      <c r="AJ1841" s="62" t="n">
        <f aca="false">AI1841*CC1841</f>
        <v>0</v>
      </c>
      <c r="AK1841" s="63" t="n">
        <f aca="false">IF(LEFT(Cockpit!$C$5,1)="A",H1841,IF(CI1841=1,(CL1841+CJ1841)/2,IF(LEFT(Cockpit!$C$5,1)="B",(CL1841+AM1841)/2,MAX((CL1841+AM1841)/2,H1841))))</f>
        <v>0</v>
      </c>
      <c r="AL1841" s="62" t="n">
        <f aca="false">AK1841*G1841</f>
        <v>0</v>
      </c>
      <c r="AM1841" s="62" t="n">
        <f aca="false">ROUNDUP(CL1841+MAX(CM1841,2*(J1841/IF(CH1841&gt;0,CH1841,MAX(0.1,N(Cockpit!$C$6)))-CL1841)),0)</f>
        <v>0</v>
      </c>
      <c r="AN1841" s="63" t="n">
        <f aca="false">IF(AJ1841&gt;0,J1841/AJ1841,-1)</f>
        <v>-1</v>
      </c>
      <c r="AO1841" s="63" t="str">
        <f aca="false">IF(AND(OR(CG1841="L1",CG1841="L23",CG1841="LIFT"),AJ1841&gt;0),SUMIFS($AJ$7:$AJ$1843,$CG$7:$CG$1843,CG1841,$AN$7:$AN$1843,"&gt;"&amp;AN1841)+SUMIFS($AJ$7:$AJ$1843,$CG$7:$CG$1843,CG1841,$AN$7:$AN$1843,AN1841,$BX$7:$BX$1843,"&lt;="&amp;BX1841),"")</f>
        <v/>
      </c>
      <c r="AP1841" s="70" t="n">
        <f aca="false">IF(AO1841="",0,MAX(0,MIN(1,(IF(CG1841="L1",Parameter!$H$5,IF(CG1841="L23",Parameter!$H$6+Parameter!$H$7,Parameter!$H$5+Parameter!$H$6+Parameter!$H$7))-(AO1841-AJ1841))/AJ1841)))</f>
        <v>0</v>
      </c>
      <c r="AQ1841" s="62" t="n">
        <f aca="false">IF(LEFT(Cockpit!$I$5,1)="A",H1841,IF(Parameter!$E$30="MAX-Bestand",IF(CI1841=1,CJ1841,IF(LEFT(Cockpit!$I$5,1)="B",AW1841,MAX(AW1841,H1841))),ROUNDUP(AU1841,0)))</f>
        <v>0</v>
      </c>
      <c r="AR1841" s="62" t="n">
        <f aca="false">IF(CA1841=1,0,ROUNDUP(AQ1841/BZ1841,0))</f>
        <v>0</v>
      </c>
      <c r="AS1841" s="64" t="n">
        <f aca="false">IF(CR1841&gt;0,CR1841*MAX(1,AQ1841/X1841),IF(CA1841=1,IF(AQ1841&lt;=0,0,CE1841*MAX(1,IF(H1841&gt;0,AQ1841/H1841,1))),IF(R1841&gt;0,AR1841/R1841,0))/MAX(0.1,N(Parameter!$M$21)))</f>
        <v>0</v>
      </c>
      <c r="AT1841" s="62" t="n">
        <f aca="false">AS1841*CC1841</f>
        <v>0</v>
      </c>
      <c r="AU1841" s="63" t="n">
        <f aca="false">IF(LEFT(Cockpit!$I$5,1)="A",H1841,IF(CI1841=1,(CL1841+CJ1841)/2,IF(LEFT(Cockpit!$I$5,1)="B",(CL1841+AW1841)/2,MAX((CL1841+AW1841)/2,H1841))))</f>
        <v>0</v>
      </c>
      <c r="AV1841" s="62" t="n">
        <f aca="false">AU1841*G1841</f>
        <v>0</v>
      </c>
      <c r="AW1841" s="62" t="n">
        <f aca="false">ROUNDUP(CL1841+MAX(CM1841,2*(J1841/IF(CH1841&gt;0,CH1841,MAX(0.1,N(Cockpit!$I$6)))-CL1841)),0)</f>
        <v>0</v>
      </c>
      <c r="AX1841" s="63" t="n">
        <f aca="false">IF(AT1841&gt;0,J1841/AT1841,-1)</f>
        <v>-1</v>
      </c>
      <c r="AY1841" s="63" t="str">
        <f aca="false">IF(AND(OR(CG1841="L1",CG1841="L23",CG1841="LIFT"),AT1841&gt;0),SUMIFS($AT$7:$AT$1843,$CG$7:$CG$1843,CG1841,$AX$7:$AX$1843,"&gt;"&amp;AX1841)+SUMIFS($AT$7:$AT$1843,$CG$7:$CG$1843,CG1841,$AX$7:$AX$1843,AX1841,$BX$7:$BX$1843,"&lt;="&amp;BX1841),"")</f>
        <v/>
      </c>
      <c r="AZ1841" s="70" t="n">
        <f aca="false">IF(AY1841="",0,MAX(0,MIN(1,(IF(CG1841="L1",Parameter!$H$5,IF(CG1841="L23",Parameter!$H$6+Parameter!$H$7,Parameter!$H$5+Parameter!$H$6+Parameter!$H$7))-(AY1841-AT1841))/AT1841)))</f>
        <v>0</v>
      </c>
      <c r="BA1841" s="62" t="n">
        <f aca="false">IF(LEFT(Cockpit!$O$5,1)="A",H1841,IF(Parameter!$E$30="MAX-Bestand",IF(CI1841=1,CJ1841,IF(LEFT(Cockpit!$O$5,1)="B",BG1841,MAX(BG1841,H1841))),ROUNDUP(BE1841,0)))</f>
        <v>0</v>
      </c>
      <c r="BB1841" s="62" t="n">
        <f aca="false">IF(CA1841=1,0,ROUNDUP(BA1841/BZ1841,0))</f>
        <v>0</v>
      </c>
      <c r="BC1841" s="64" t="n">
        <f aca="false">IF(CR1841&gt;0,CR1841*MAX(1,BA1841/X1841),IF(CA1841=1,IF(BA1841&lt;=0,0,CE1841*MAX(1,IF(H1841&gt;0,BA1841/H1841,1))),IF(R1841&gt;0,BB1841/R1841,0))/MAX(0.1,N(Parameter!$M$21)))</f>
        <v>0</v>
      </c>
      <c r="BD1841" s="62" t="n">
        <f aca="false">BC1841*CC1841</f>
        <v>0</v>
      </c>
      <c r="BE1841" s="63" t="n">
        <f aca="false">IF(LEFT(Cockpit!$O$5,1)="A",H1841,IF(CI1841=1,(CL1841+CJ1841)/2,IF(LEFT(Cockpit!$O$5,1)="B",(CL1841+BG1841)/2,MAX((CL1841+BG1841)/2,H1841))))</f>
        <v>0</v>
      </c>
      <c r="BF1841" s="62" t="n">
        <f aca="false">BE1841*G1841</f>
        <v>0</v>
      </c>
      <c r="BG1841" s="62" t="n">
        <f aca="false">ROUNDUP(CL1841+MAX(CM1841,2*(J1841/IF(CH1841&gt;0,CH1841,MAX(0.1,N(Cockpit!$O$6)))-CL1841)),0)</f>
        <v>0</v>
      </c>
      <c r="BH1841" s="63" t="n">
        <f aca="false">IF(BD1841&gt;0,J1841/BD1841,-1)</f>
        <v>-1</v>
      </c>
      <c r="BI1841" s="63" t="str">
        <f aca="false">IF(AND(OR(CG1841="L1",CG1841="L23",CG1841="LIFT"),BD1841&gt;0),SUMIFS($BD$7:$BD$1843,$CG$7:$CG$1843,CG1841,$BH$7:$BH$1843,"&gt;"&amp;BH1841)+SUMIFS($BD$7:$BD$1843,$CG$7:$CG$1843,CG1841,$BH$7:$BH$1843,BH1841,$BX$7:$BX$1843,"&lt;="&amp;BX1841),"")</f>
        <v/>
      </c>
      <c r="BJ1841" s="70" t="n">
        <f aca="false">IF(BI1841="",0,MAX(0,MIN(1,(IF(CG1841="L1",Parameter!$H$5,IF(CG1841="L23",Parameter!$H$6+Parameter!$H$7,Parameter!$H$5+Parameter!$H$6+Parameter!$H$7))-(BI1841-BD1841))/BD1841)))</f>
        <v>0</v>
      </c>
      <c r="BK1841" s="60" t="str">
        <f aca="false">IF(AJ1841&lt;=0,"",IF(CG1841="Aussen","Aussenlager",IF(CG1841="-","Nicht im Lift",IF(AP1841&gt;=1,"Lift",IF(AP1841&lt;=0,"Aussenlager","teilweise")))))</f>
        <v/>
      </c>
      <c r="BL1841" s="60" t="str">
        <f aca="false">IF(AT1841&lt;=0,"",IF(CG1841="Aussen","Aussenlager",IF(CG1841="-","Nicht im Lift",IF(AZ1841&gt;=1,"Lift",IF(AZ1841&lt;=0,"Aussenlager","teilweise")))))</f>
        <v/>
      </c>
      <c r="BM1841" s="60" t="str">
        <f aca="false">IF(BD1841&lt;=0,"",IF(CG1841="Aussen","Aussenlager",IF(CG1841="-","Nicht im Lift",IF(BJ1841&gt;=1,"Lift",IF(BJ1841&lt;=0,"Aussenlager","teilweise")))))</f>
        <v/>
      </c>
      <c r="BN1841" s="60" t="str">
        <f aca="false">IF(A1841="","",IF(BW1841=1,"Neu; ","")&amp;IF(AND(BW1841=0,BR1841&lt;0),"negativer Bestand (Export "&amp;BR1841&amp;"); ","")&amp;IF(J1841&lt;=0,"Kein Verbrauch; ","")&amp;IF(CR1841&gt;0,"Lift "&amp;W1841&amp;" lt. Liftbericht (Fach "&amp;X1841&amp;" Stk); ",IF(CB1841=1,"Gebinde geschätzt ("&amp;T1841&amp;"); ",IF(CA1841=1,"Lose – Tablare geschätzt; ","")))&amp;IF(H1841&gt;AW1841,"Überbestand "&amp;ROUND(H1841-AW1841,0)&amp;" Stk / CHF "&amp;ROUND((H1841-AW1841)*G1841,0)&amp;"; ","")&amp;IF(AND(CI1841=1,CJ1841&lt;CK1841),"MAX &lt; MB+LG; ","")&amp;IF(AND(CQ1841&gt;0,CP1841*10&gt;CQ1841),"zu hoch für Tablar; ","")&amp;IF(AND(BW1841=0,OR(CI1841=1,AB1841&lt;&gt;"",U1841&lt;&gt;"",V1841&lt;&gt;"",AC1841&lt;&gt;"")),"manuell übersteuert; ","")&amp;IF(AND(CA1841=0,R1841=0),"Gebinde unbekannt / Stellmass fehlt; ","")&amp;IF(AND(CA1841=0,N(V1841)&lt;=0,N(Q1841)&lt;=0),"Menge pro Gebinde fehlt (Ist = 1 Gebinde); ","")&amp;BV1841)</f>
        <v/>
      </c>
      <c r="BO1841" s="60"/>
      <c r="BP1841" s="60"/>
      <c r="BQ1841" s="67"/>
      <c r="BR1841" s="62" t="n">
        <f aca="false">N('Neue Artikel'!$D$102)</f>
        <v>0</v>
      </c>
      <c r="BS1841" s="62" t="n">
        <v>0</v>
      </c>
      <c r="BT1841" s="61" t="n">
        <v>0</v>
      </c>
      <c r="BU1841" s="62" t="n">
        <f aca="false">N('Neue Artikel'!$C$102)/Parameter!$B$18</f>
        <v>0</v>
      </c>
      <c r="BV1841" s="60"/>
      <c r="BW1841" s="65" t="n">
        <v>1</v>
      </c>
      <c r="BX1841" s="65" t="n">
        <v>1841</v>
      </c>
      <c r="BY1841" s="60" t="str">
        <f aca="false">IF(U1841&lt;&gt;"",UPPER(TRIM(U1841)),IF(CB1841=1,UPPER(VLOOKUP(T1841,Parameter!$I$27:$K$29,2,0)),IF(P1841="","LOSE",P1841)))</f>
        <v>LOSE</v>
      </c>
      <c r="BZ1841" s="62" t="n">
        <f aca="false">IF(BY1841="LOSE",1,IF(N(V1841)&gt;0,V1841,IF(CB1841=1,MAX(1,N(VLOOKUP(T1841,Parameter!$I$27:$K$29,3,0)),H1841,N(N1841)),IF(N(Q1841)&gt;0,Q1841,MAX(1,H1841)))))</f>
        <v>1</v>
      </c>
      <c r="CA1841" s="65" t="n">
        <f aca="false">IF(BY1841="LOSE",1,0)</f>
        <v>1</v>
      </c>
      <c r="CB1841" s="65" t="n">
        <f aca="false">IF(AND(U1841="",OR(P1841="",P1841="LOSE"),T1841&lt;&gt;"",N(S1841)&lt;=0,ISNUMBER(MATCH(T1841,Parameter!$I$27:$I$29,0))),1,0)</f>
        <v>0</v>
      </c>
      <c r="CC1841" s="65" t="n">
        <f aca="false">IF(CR1841&gt;0,INDEX(Parameter!$H$5:$H$7,W1841)/INDEX(Parameter!$E$5:$E$7,W1841),IF(AND(CA1841=0,N(IFERROR(VLOOKUP(BY1841,'Gebinde-Kategorie'!$A$5:$N$45,14,0),0))&gt;0),VLOOKUP(BY1841,'Gebinde-Kategorie'!$A$5:$N$45,14,0)*10+Parameter!$M$23,Parameter!$M$24))</f>
        <v>235</v>
      </c>
      <c r="CD1841" s="60" t="str">
        <f aca="false">IF(AND(Parameter!$B$19="Ja",E1841&lt;&gt;"",ISNUMBER(MATCH(E1841,Parameter!$I$35:$I$52,0))),VLOOKUP(E1841,Parameter!$I$35:$J$52,2,0),IFERROR(VLOOKUP(D1841,Parameter!$A$35:$C$64,2,0),"Nein"))</f>
        <v>2+3</v>
      </c>
      <c r="CE1841" s="64" t="n">
        <f aca="false">IF(CA1841=0,0,IF(N(S1841)&gt;0,S1841,IFERROR(VLOOKUP(D1841,Parameter!$A$35:$C$64,3,0)+0,0)))</f>
        <v>0.15</v>
      </c>
      <c r="CF1841" s="60" t="str">
        <f aca="false">IF(AB1841&lt;&gt;"",AB1841,AA1841)</f>
        <v/>
      </c>
      <c r="CG1841" s="60" t="str">
        <f aca="false">IF(OR(CF1841=1,CF1841=2,CF1841=3),IF(Parameter!$E$27="Ja","LIFT",IF(CF1841=1,"L1","L23")),IF(CF1841="Aussen","Aussen","-"))</f>
        <v>-</v>
      </c>
      <c r="CH1841" s="71" t="n">
        <f aca="false">IF(N(AC1841)&gt;0,AC1841,0)</f>
        <v>0</v>
      </c>
      <c r="CI1841" s="65" t="n">
        <f aca="false">IF(ISNUMBER(AF1841),1,0)</f>
        <v>0</v>
      </c>
      <c r="CJ1841" s="62" t="n">
        <f aca="false">N(AF1841)</f>
        <v>0</v>
      </c>
      <c r="CK1841" s="62" t="n">
        <f aca="false">N(M1841)+N(N1841)</f>
        <v>0</v>
      </c>
      <c r="CL1841" s="62" t="n">
        <f aca="false">N(M1841)</f>
        <v>0</v>
      </c>
      <c r="CM1841" s="62" t="n">
        <f aca="false">N(N1841)</f>
        <v>0</v>
      </c>
      <c r="CN1841" s="62" t="n">
        <f aca="false">ROUNDUP(H1841/BZ1841,0)</f>
        <v>0</v>
      </c>
      <c r="CO1841" s="62" t="n">
        <f aca="false">ROUNDUP(CJ1841/BZ1841,0)</f>
        <v>0</v>
      </c>
      <c r="CP1841" s="65" t="n">
        <f aca="false">IF(CA1841=1,0,IFERROR(VLOOKUP(BY1841,'Gebinde-Kategorie'!$A$5:$N$45,5,0)+0,0))</f>
        <v>0</v>
      </c>
      <c r="CQ1841" s="65" t="n">
        <f aca="false">IFERROR(IF(OR(CF1841=1,CF1841=2,CF1841=3),N(INDEX(Parameter!$I$5:$I$7,CF1841)),0),0)</f>
        <v>0</v>
      </c>
      <c r="CR1841" s="64" t="n">
        <f aca="false">IF(AND(Parameter!$B$21="Ja",ISNUMBER(W1841),N(X1841)&gt;0),IFERROR(N(INDEX(Parameter!$L$5:$L$7,W1841))*INDEX(Parameter!$E$5:$E$7,W1841)*X1841/SUMIFS($X$7:$X$1843,$W$7:$W$1843,W1841),0),0)</f>
        <v>0</v>
      </c>
      <c r="CS1841" s="62" t="str">
        <f aca="false">IF(AND(OR(CG1841="L1",CG1841="L23",CG1841="LIFT"),H1841&gt;0),CC1841*IF(CR1841&gt;0,CR1841*MAX(1,H1841/X1841),IF(CA1841=1,CE1841,IF(R1841&gt;0,CN1841/R1841,0))/MAX(0.1,N(Parameter!$M$21))),"")</f>
        <v/>
      </c>
      <c r="CT1841" s="64" t="str">
        <f aca="false">IF(CS1841="","",J1841/H1841)</f>
        <v/>
      </c>
      <c r="CU1841" s="62" t="str">
        <f aca="false">IF(CS1841="","",H1841*G1841)</f>
        <v/>
      </c>
      <c r="CV1841" s="63" t="str">
        <f aca="false">IF(CS1841="","",(CL1841+ROUNDUP(CL1841+MAX(CM1841,2*(J1841/MAX(0.1,N(Einkauf!$C$6))-CL1841)),0))/2)</f>
        <v/>
      </c>
      <c r="CW1841" s="62" t="str">
        <f aca="false">IF(CS1841="","",MAX(0,H1841-CV1841)*G1841)</f>
        <v/>
      </c>
      <c r="CX1841" s="62" t="str">
        <f aca="false">IF(CS1841="","",CS1841*MAX(0,1-CV1841/H1841))</f>
        <v/>
      </c>
      <c r="CY1841" s="64" t="str">
        <f aca="false">IF(CS1841="","",PERCENTRANK($CS$7:$CS$1843,CS1841)+PERCENTRANK($CU$7:$CU$1843,CU1841)+1-PERCENTRANK($CT$7:$CT$1843,CT1841))</f>
        <v/>
      </c>
      <c r="CZ1841" s="72" t="str">
        <f aca="false">IF(CS1841="","",CHOOSE(MATCH(Einkauf!$C$5,Parameter!$G$23:$G$27,0),CY1841,CS1841,CU1841,-CT1841,CW1841)+ROW()/1000000000)</f>
        <v/>
      </c>
    </row>
    <row r="1842" customFormat="false" ht="15" hidden="false" customHeight="false" outlineLevel="0" collapsed="false">
      <c r="A1842" s="60" t="str">
        <f aca="false">IF('Neue Artikel'!$A$103="","",'Neue Artikel'!$A$103&amp;"")</f>
        <v/>
      </c>
      <c r="B1842" s="60" t="str">
        <f aca="false">'Neue Artikel'!$B$103&amp;""</f>
        <v/>
      </c>
      <c r="C1842" s="60"/>
      <c r="D1842" s="60" t="s">
        <v>3057</v>
      </c>
      <c r="E1842" s="60"/>
      <c r="F1842" s="60"/>
      <c r="G1842" s="61" t="n">
        <f aca="false">N('Neue Artikel'!$G$103)</f>
        <v>0</v>
      </c>
      <c r="H1842" s="62" t="n">
        <f aca="false">MAX(0,IF(AND(Parameter!$B$21="Ja",ISNUMBER(Y1842)),Y1842,IF(Parameter!$B$20="Jahresanfang 2025 + Export",BS1842+BR1842,BR1842)))</f>
        <v>0</v>
      </c>
      <c r="I1842" s="62" t="n">
        <f aca="false">H1842*G1842</f>
        <v>0</v>
      </c>
      <c r="J1842" s="62" t="n">
        <f aca="false">BU1842*Parameter!$B$18</f>
        <v>0</v>
      </c>
      <c r="K1842" s="63"/>
      <c r="L1842" s="64"/>
      <c r="M1842" s="62" t="n">
        <f aca="false">N('Neue Artikel'!$E$103)</f>
        <v>0</v>
      </c>
      <c r="N1842" s="62" t="n">
        <f aca="false">N('Neue Artikel'!$F$103)</f>
        <v>0</v>
      </c>
      <c r="O1842" s="65"/>
      <c r="P1842" s="60" t="str">
        <f aca="false">IF('Neue Artikel'!$H$103="","LOSE",UPPER(TRIM('Neue Artikel'!$H$103)))</f>
        <v>LOSE</v>
      </c>
      <c r="Q1842" s="62" t="n">
        <f aca="false">N('Neue Artikel'!$I$103)</f>
        <v>0</v>
      </c>
      <c r="R1842" s="65" t="n">
        <f aca="false">IF(CA1842=1,0,IFERROR(VLOOKUP(BY1842,'Gebinde-Kategorie'!$A$5:$N$45,13,0)+0,0))</f>
        <v>0</v>
      </c>
      <c r="S1842" s="66"/>
      <c r="T1842" s="67"/>
      <c r="U1842" s="67"/>
      <c r="V1842" s="67"/>
      <c r="W1842" s="60"/>
      <c r="X1842" s="62"/>
      <c r="Y1842" s="62"/>
      <c r="Z1842" s="60"/>
      <c r="AA1842" s="60" t="str">
        <f aca="false">IF(A1842="","",IF(AND(Parameter!$B$21="Ja",ISNUMBER(W1842)),W1842,IF(AND(Parameter!$E$27="Ja",ISNUMBER(Z1842),CD1842&lt;&gt;"Nein"),Z1842,IF(CD1842="2+3",IF(ISNUMBER(SEARCH("grosser Artikel",BV1842)),2,IFERROR(VLOOKUP(BY1842,Parameter!$F$35:$G$64,2,0),2)),IF(OR(CD1842="Nein",CD1842=""),"-",CD1842)))))</f>
        <v/>
      </c>
      <c r="AB1842" s="60" t="str">
        <f aca="false">IF('Neue Artikel'!$J$103="","",'Neue Artikel'!$J$103)</f>
        <v/>
      </c>
      <c r="AC1842" s="68"/>
      <c r="AD1842" s="62" t="n">
        <f aca="false">AW1842</f>
        <v>0</v>
      </c>
      <c r="AE1842" s="62" t="n">
        <f aca="false">MAX(AW1842,H1842)</f>
        <v>0</v>
      </c>
      <c r="AF1842" s="69"/>
      <c r="AG1842" s="62" t="n">
        <f aca="false">IF(LEFT(Cockpit!$C$5,1)="A",H1842,IF(Parameter!$E$30="MAX-Bestand",IF(CI1842=1,CJ1842,IF(LEFT(Cockpit!$C$5,1)="B",AM1842,MAX(AM1842,H1842))),ROUNDUP(AK1842,0)))</f>
        <v>0</v>
      </c>
      <c r="AH1842" s="62" t="n">
        <f aca="false">IF(CA1842=1,0,ROUNDUP(AG1842/BZ1842,0))</f>
        <v>0</v>
      </c>
      <c r="AI1842" s="64" t="n">
        <f aca="false">IF(CR1842&gt;0,CR1842*MAX(1,AG1842/X1842),IF(CA1842=1,IF(AG1842&lt;=0,0,CE1842*MAX(1,IF(H1842&gt;0,AG1842/H1842,1))),IF(R1842&gt;0,AH1842/R1842,0))/MAX(0.1,N(Parameter!$M$21)))</f>
        <v>0</v>
      </c>
      <c r="AJ1842" s="62" t="n">
        <f aca="false">AI1842*CC1842</f>
        <v>0</v>
      </c>
      <c r="AK1842" s="63" t="n">
        <f aca="false">IF(LEFT(Cockpit!$C$5,1)="A",H1842,IF(CI1842=1,(CL1842+CJ1842)/2,IF(LEFT(Cockpit!$C$5,1)="B",(CL1842+AM1842)/2,MAX((CL1842+AM1842)/2,H1842))))</f>
        <v>0</v>
      </c>
      <c r="AL1842" s="62" t="n">
        <f aca="false">AK1842*G1842</f>
        <v>0</v>
      </c>
      <c r="AM1842" s="62" t="n">
        <f aca="false">ROUNDUP(CL1842+MAX(CM1842,2*(J1842/IF(CH1842&gt;0,CH1842,MAX(0.1,N(Cockpit!$C$6)))-CL1842)),0)</f>
        <v>0</v>
      </c>
      <c r="AN1842" s="63" t="n">
        <f aca="false">IF(AJ1842&gt;0,J1842/AJ1842,-1)</f>
        <v>-1</v>
      </c>
      <c r="AO1842" s="63" t="str">
        <f aca="false">IF(AND(OR(CG1842="L1",CG1842="L23",CG1842="LIFT"),AJ1842&gt;0),SUMIFS($AJ$7:$AJ$1843,$CG$7:$CG$1843,CG1842,$AN$7:$AN$1843,"&gt;"&amp;AN1842)+SUMIFS($AJ$7:$AJ$1843,$CG$7:$CG$1843,CG1842,$AN$7:$AN$1843,AN1842,$BX$7:$BX$1843,"&lt;="&amp;BX1842),"")</f>
        <v/>
      </c>
      <c r="AP1842" s="70" t="n">
        <f aca="false">IF(AO1842="",0,MAX(0,MIN(1,(IF(CG1842="L1",Parameter!$H$5,IF(CG1842="L23",Parameter!$H$6+Parameter!$H$7,Parameter!$H$5+Parameter!$H$6+Parameter!$H$7))-(AO1842-AJ1842))/AJ1842)))</f>
        <v>0</v>
      </c>
      <c r="AQ1842" s="62" t="n">
        <f aca="false">IF(LEFT(Cockpit!$I$5,1)="A",H1842,IF(Parameter!$E$30="MAX-Bestand",IF(CI1842=1,CJ1842,IF(LEFT(Cockpit!$I$5,1)="B",AW1842,MAX(AW1842,H1842))),ROUNDUP(AU1842,0)))</f>
        <v>0</v>
      </c>
      <c r="AR1842" s="62" t="n">
        <f aca="false">IF(CA1842=1,0,ROUNDUP(AQ1842/BZ1842,0))</f>
        <v>0</v>
      </c>
      <c r="AS1842" s="64" t="n">
        <f aca="false">IF(CR1842&gt;0,CR1842*MAX(1,AQ1842/X1842),IF(CA1842=1,IF(AQ1842&lt;=0,0,CE1842*MAX(1,IF(H1842&gt;0,AQ1842/H1842,1))),IF(R1842&gt;0,AR1842/R1842,0))/MAX(0.1,N(Parameter!$M$21)))</f>
        <v>0</v>
      </c>
      <c r="AT1842" s="62" t="n">
        <f aca="false">AS1842*CC1842</f>
        <v>0</v>
      </c>
      <c r="AU1842" s="63" t="n">
        <f aca="false">IF(LEFT(Cockpit!$I$5,1)="A",H1842,IF(CI1842=1,(CL1842+CJ1842)/2,IF(LEFT(Cockpit!$I$5,1)="B",(CL1842+AW1842)/2,MAX((CL1842+AW1842)/2,H1842))))</f>
        <v>0</v>
      </c>
      <c r="AV1842" s="62" t="n">
        <f aca="false">AU1842*G1842</f>
        <v>0</v>
      </c>
      <c r="AW1842" s="62" t="n">
        <f aca="false">ROUNDUP(CL1842+MAX(CM1842,2*(J1842/IF(CH1842&gt;0,CH1842,MAX(0.1,N(Cockpit!$I$6)))-CL1842)),0)</f>
        <v>0</v>
      </c>
      <c r="AX1842" s="63" t="n">
        <f aca="false">IF(AT1842&gt;0,J1842/AT1842,-1)</f>
        <v>-1</v>
      </c>
      <c r="AY1842" s="63" t="str">
        <f aca="false">IF(AND(OR(CG1842="L1",CG1842="L23",CG1842="LIFT"),AT1842&gt;0),SUMIFS($AT$7:$AT$1843,$CG$7:$CG$1843,CG1842,$AX$7:$AX$1843,"&gt;"&amp;AX1842)+SUMIFS($AT$7:$AT$1843,$CG$7:$CG$1843,CG1842,$AX$7:$AX$1843,AX1842,$BX$7:$BX$1843,"&lt;="&amp;BX1842),"")</f>
        <v/>
      </c>
      <c r="AZ1842" s="70" t="n">
        <f aca="false">IF(AY1842="",0,MAX(0,MIN(1,(IF(CG1842="L1",Parameter!$H$5,IF(CG1842="L23",Parameter!$H$6+Parameter!$H$7,Parameter!$H$5+Parameter!$H$6+Parameter!$H$7))-(AY1842-AT1842))/AT1842)))</f>
        <v>0</v>
      </c>
      <c r="BA1842" s="62" t="n">
        <f aca="false">IF(LEFT(Cockpit!$O$5,1)="A",H1842,IF(Parameter!$E$30="MAX-Bestand",IF(CI1842=1,CJ1842,IF(LEFT(Cockpit!$O$5,1)="B",BG1842,MAX(BG1842,H1842))),ROUNDUP(BE1842,0)))</f>
        <v>0</v>
      </c>
      <c r="BB1842" s="62" t="n">
        <f aca="false">IF(CA1842=1,0,ROUNDUP(BA1842/BZ1842,0))</f>
        <v>0</v>
      </c>
      <c r="BC1842" s="64" t="n">
        <f aca="false">IF(CR1842&gt;0,CR1842*MAX(1,BA1842/X1842),IF(CA1842=1,IF(BA1842&lt;=0,0,CE1842*MAX(1,IF(H1842&gt;0,BA1842/H1842,1))),IF(R1842&gt;0,BB1842/R1842,0))/MAX(0.1,N(Parameter!$M$21)))</f>
        <v>0</v>
      </c>
      <c r="BD1842" s="62" t="n">
        <f aca="false">BC1842*CC1842</f>
        <v>0</v>
      </c>
      <c r="BE1842" s="63" t="n">
        <f aca="false">IF(LEFT(Cockpit!$O$5,1)="A",H1842,IF(CI1842=1,(CL1842+CJ1842)/2,IF(LEFT(Cockpit!$O$5,1)="B",(CL1842+BG1842)/2,MAX((CL1842+BG1842)/2,H1842))))</f>
        <v>0</v>
      </c>
      <c r="BF1842" s="62" t="n">
        <f aca="false">BE1842*G1842</f>
        <v>0</v>
      </c>
      <c r="BG1842" s="62" t="n">
        <f aca="false">ROUNDUP(CL1842+MAX(CM1842,2*(J1842/IF(CH1842&gt;0,CH1842,MAX(0.1,N(Cockpit!$O$6)))-CL1842)),0)</f>
        <v>0</v>
      </c>
      <c r="BH1842" s="63" t="n">
        <f aca="false">IF(BD1842&gt;0,J1842/BD1842,-1)</f>
        <v>-1</v>
      </c>
      <c r="BI1842" s="63" t="str">
        <f aca="false">IF(AND(OR(CG1842="L1",CG1842="L23",CG1842="LIFT"),BD1842&gt;0),SUMIFS($BD$7:$BD$1843,$CG$7:$CG$1843,CG1842,$BH$7:$BH$1843,"&gt;"&amp;BH1842)+SUMIFS($BD$7:$BD$1843,$CG$7:$CG$1843,CG1842,$BH$7:$BH$1843,BH1842,$BX$7:$BX$1843,"&lt;="&amp;BX1842),"")</f>
        <v/>
      </c>
      <c r="BJ1842" s="70" t="n">
        <f aca="false">IF(BI1842="",0,MAX(0,MIN(1,(IF(CG1842="L1",Parameter!$H$5,IF(CG1842="L23",Parameter!$H$6+Parameter!$H$7,Parameter!$H$5+Parameter!$H$6+Parameter!$H$7))-(BI1842-BD1842))/BD1842)))</f>
        <v>0</v>
      </c>
      <c r="BK1842" s="60" t="str">
        <f aca="false">IF(AJ1842&lt;=0,"",IF(CG1842="Aussen","Aussenlager",IF(CG1842="-","Nicht im Lift",IF(AP1842&gt;=1,"Lift",IF(AP1842&lt;=0,"Aussenlager","teilweise")))))</f>
        <v/>
      </c>
      <c r="BL1842" s="60" t="str">
        <f aca="false">IF(AT1842&lt;=0,"",IF(CG1842="Aussen","Aussenlager",IF(CG1842="-","Nicht im Lift",IF(AZ1842&gt;=1,"Lift",IF(AZ1842&lt;=0,"Aussenlager","teilweise")))))</f>
        <v/>
      </c>
      <c r="BM1842" s="60" t="str">
        <f aca="false">IF(BD1842&lt;=0,"",IF(CG1842="Aussen","Aussenlager",IF(CG1842="-","Nicht im Lift",IF(BJ1842&gt;=1,"Lift",IF(BJ1842&lt;=0,"Aussenlager","teilweise")))))</f>
        <v/>
      </c>
      <c r="BN1842" s="60" t="str">
        <f aca="false">IF(A1842="","",IF(BW1842=1,"Neu; ","")&amp;IF(AND(BW1842=0,BR1842&lt;0),"negativer Bestand (Export "&amp;BR1842&amp;"); ","")&amp;IF(J1842&lt;=0,"Kein Verbrauch; ","")&amp;IF(CR1842&gt;0,"Lift "&amp;W1842&amp;" lt. Liftbericht (Fach "&amp;X1842&amp;" Stk); ",IF(CB1842=1,"Gebinde geschätzt ("&amp;T1842&amp;"); ",IF(CA1842=1,"Lose – Tablare geschätzt; ","")))&amp;IF(H1842&gt;AW1842,"Überbestand "&amp;ROUND(H1842-AW1842,0)&amp;" Stk / CHF "&amp;ROUND((H1842-AW1842)*G1842,0)&amp;"; ","")&amp;IF(AND(CI1842=1,CJ1842&lt;CK1842),"MAX &lt; MB+LG; ","")&amp;IF(AND(CQ1842&gt;0,CP1842*10&gt;CQ1842),"zu hoch für Tablar; ","")&amp;IF(AND(BW1842=0,OR(CI1842=1,AB1842&lt;&gt;"",U1842&lt;&gt;"",V1842&lt;&gt;"",AC1842&lt;&gt;"")),"manuell übersteuert; ","")&amp;IF(AND(CA1842=0,R1842=0),"Gebinde unbekannt / Stellmass fehlt; ","")&amp;IF(AND(CA1842=0,N(V1842)&lt;=0,N(Q1842)&lt;=0),"Menge pro Gebinde fehlt (Ist = 1 Gebinde); ","")&amp;BV1842)</f>
        <v/>
      </c>
      <c r="BO1842" s="60"/>
      <c r="BP1842" s="60"/>
      <c r="BQ1842" s="67"/>
      <c r="BR1842" s="62" t="n">
        <f aca="false">N('Neue Artikel'!$D$103)</f>
        <v>0</v>
      </c>
      <c r="BS1842" s="62" t="n">
        <v>0</v>
      </c>
      <c r="BT1842" s="61" t="n">
        <v>0</v>
      </c>
      <c r="BU1842" s="62" t="n">
        <f aca="false">N('Neue Artikel'!$C$103)/Parameter!$B$18</f>
        <v>0</v>
      </c>
      <c r="BV1842" s="60"/>
      <c r="BW1842" s="65" t="n">
        <v>1</v>
      </c>
      <c r="BX1842" s="65" t="n">
        <v>1842</v>
      </c>
      <c r="BY1842" s="60" t="str">
        <f aca="false">IF(U1842&lt;&gt;"",UPPER(TRIM(U1842)),IF(CB1842=1,UPPER(VLOOKUP(T1842,Parameter!$I$27:$K$29,2,0)),IF(P1842="","LOSE",P1842)))</f>
        <v>LOSE</v>
      </c>
      <c r="BZ1842" s="62" t="n">
        <f aca="false">IF(BY1842="LOSE",1,IF(N(V1842)&gt;0,V1842,IF(CB1842=1,MAX(1,N(VLOOKUP(T1842,Parameter!$I$27:$K$29,3,0)),H1842,N(N1842)),IF(N(Q1842)&gt;0,Q1842,MAX(1,H1842)))))</f>
        <v>1</v>
      </c>
      <c r="CA1842" s="65" t="n">
        <f aca="false">IF(BY1842="LOSE",1,0)</f>
        <v>1</v>
      </c>
      <c r="CB1842" s="65" t="n">
        <f aca="false">IF(AND(U1842="",OR(P1842="",P1842="LOSE"),T1842&lt;&gt;"",N(S1842)&lt;=0,ISNUMBER(MATCH(T1842,Parameter!$I$27:$I$29,0))),1,0)</f>
        <v>0</v>
      </c>
      <c r="CC1842" s="65" t="n">
        <f aca="false">IF(CR1842&gt;0,INDEX(Parameter!$H$5:$H$7,W1842)/INDEX(Parameter!$E$5:$E$7,W1842),IF(AND(CA1842=0,N(IFERROR(VLOOKUP(BY1842,'Gebinde-Kategorie'!$A$5:$N$45,14,0),0))&gt;0),VLOOKUP(BY1842,'Gebinde-Kategorie'!$A$5:$N$45,14,0)*10+Parameter!$M$23,Parameter!$M$24))</f>
        <v>235</v>
      </c>
      <c r="CD1842" s="60" t="str">
        <f aca="false">IF(AND(Parameter!$B$19="Ja",E1842&lt;&gt;"",ISNUMBER(MATCH(E1842,Parameter!$I$35:$I$52,0))),VLOOKUP(E1842,Parameter!$I$35:$J$52,2,0),IFERROR(VLOOKUP(D1842,Parameter!$A$35:$C$64,2,0),"Nein"))</f>
        <v>2+3</v>
      </c>
      <c r="CE1842" s="64" t="n">
        <f aca="false">IF(CA1842=0,0,IF(N(S1842)&gt;0,S1842,IFERROR(VLOOKUP(D1842,Parameter!$A$35:$C$64,3,0)+0,0)))</f>
        <v>0.15</v>
      </c>
      <c r="CF1842" s="60" t="str">
        <f aca="false">IF(AB1842&lt;&gt;"",AB1842,AA1842)</f>
        <v/>
      </c>
      <c r="CG1842" s="60" t="str">
        <f aca="false">IF(OR(CF1842=1,CF1842=2,CF1842=3),IF(Parameter!$E$27="Ja","LIFT",IF(CF1842=1,"L1","L23")),IF(CF1842="Aussen","Aussen","-"))</f>
        <v>-</v>
      </c>
      <c r="CH1842" s="71" t="n">
        <f aca="false">IF(N(AC1842)&gt;0,AC1842,0)</f>
        <v>0</v>
      </c>
      <c r="CI1842" s="65" t="n">
        <f aca="false">IF(ISNUMBER(AF1842),1,0)</f>
        <v>0</v>
      </c>
      <c r="CJ1842" s="62" t="n">
        <f aca="false">N(AF1842)</f>
        <v>0</v>
      </c>
      <c r="CK1842" s="62" t="n">
        <f aca="false">N(M1842)+N(N1842)</f>
        <v>0</v>
      </c>
      <c r="CL1842" s="62" t="n">
        <f aca="false">N(M1842)</f>
        <v>0</v>
      </c>
      <c r="CM1842" s="62" t="n">
        <f aca="false">N(N1842)</f>
        <v>0</v>
      </c>
      <c r="CN1842" s="62" t="n">
        <f aca="false">ROUNDUP(H1842/BZ1842,0)</f>
        <v>0</v>
      </c>
      <c r="CO1842" s="62" t="n">
        <f aca="false">ROUNDUP(CJ1842/BZ1842,0)</f>
        <v>0</v>
      </c>
      <c r="CP1842" s="65" t="n">
        <f aca="false">IF(CA1842=1,0,IFERROR(VLOOKUP(BY1842,'Gebinde-Kategorie'!$A$5:$N$45,5,0)+0,0))</f>
        <v>0</v>
      </c>
      <c r="CQ1842" s="65" t="n">
        <f aca="false">IFERROR(IF(OR(CF1842=1,CF1842=2,CF1842=3),N(INDEX(Parameter!$I$5:$I$7,CF1842)),0),0)</f>
        <v>0</v>
      </c>
      <c r="CR1842" s="64" t="n">
        <f aca="false">IF(AND(Parameter!$B$21="Ja",ISNUMBER(W1842),N(X1842)&gt;0),IFERROR(N(INDEX(Parameter!$L$5:$L$7,W1842))*INDEX(Parameter!$E$5:$E$7,W1842)*X1842/SUMIFS($X$7:$X$1843,$W$7:$W$1843,W1842),0),0)</f>
        <v>0</v>
      </c>
      <c r="CS1842" s="62" t="str">
        <f aca="false">IF(AND(OR(CG1842="L1",CG1842="L23",CG1842="LIFT"),H1842&gt;0),CC1842*IF(CR1842&gt;0,CR1842*MAX(1,H1842/X1842),IF(CA1842=1,CE1842,IF(R1842&gt;0,CN1842/R1842,0))/MAX(0.1,N(Parameter!$M$21))),"")</f>
        <v/>
      </c>
      <c r="CT1842" s="64" t="str">
        <f aca="false">IF(CS1842="","",J1842/H1842)</f>
        <v/>
      </c>
      <c r="CU1842" s="62" t="str">
        <f aca="false">IF(CS1842="","",H1842*G1842)</f>
        <v/>
      </c>
      <c r="CV1842" s="63" t="str">
        <f aca="false">IF(CS1842="","",(CL1842+ROUNDUP(CL1842+MAX(CM1842,2*(J1842/MAX(0.1,N(Einkauf!$C$6))-CL1842)),0))/2)</f>
        <v/>
      </c>
      <c r="CW1842" s="62" t="str">
        <f aca="false">IF(CS1842="","",MAX(0,H1842-CV1842)*G1842)</f>
        <v/>
      </c>
      <c r="CX1842" s="62" t="str">
        <f aca="false">IF(CS1842="","",CS1842*MAX(0,1-CV1842/H1842))</f>
        <v/>
      </c>
      <c r="CY1842" s="64" t="str">
        <f aca="false">IF(CS1842="","",PERCENTRANK($CS$7:$CS$1843,CS1842)+PERCENTRANK($CU$7:$CU$1843,CU1842)+1-PERCENTRANK($CT$7:$CT$1843,CT1842))</f>
        <v/>
      </c>
      <c r="CZ1842" s="72" t="str">
        <f aca="false">IF(CS1842="","",CHOOSE(MATCH(Einkauf!$C$5,Parameter!$G$23:$G$27,0),CY1842,CS1842,CU1842,-CT1842,CW1842)+ROW()/1000000000)</f>
        <v/>
      </c>
    </row>
    <row r="1843" customFormat="false" ht="15" hidden="false" customHeight="false" outlineLevel="0" collapsed="false">
      <c r="A1843" s="60" t="str">
        <f aca="false">IF('Neue Artikel'!$A$104="","",'Neue Artikel'!$A$104&amp;"")</f>
        <v/>
      </c>
      <c r="B1843" s="60" t="str">
        <f aca="false">'Neue Artikel'!$B$104&amp;""</f>
        <v/>
      </c>
      <c r="C1843" s="60"/>
      <c r="D1843" s="60" t="s">
        <v>3057</v>
      </c>
      <c r="E1843" s="60"/>
      <c r="F1843" s="60"/>
      <c r="G1843" s="61" t="n">
        <f aca="false">N('Neue Artikel'!$G$104)</f>
        <v>0</v>
      </c>
      <c r="H1843" s="62" t="n">
        <f aca="false">MAX(0,IF(AND(Parameter!$B$21="Ja",ISNUMBER(Y1843)),Y1843,IF(Parameter!$B$20="Jahresanfang 2025 + Export",BS1843+BR1843,BR1843)))</f>
        <v>0</v>
      </c>
      <c r="I1843" s="62" t="n">
        <f aca="false">H1843*G1843</f>
        <v>0</v>
      </c>
      <c r="J1843" s="62" t="n">
        <f aca="false">BU1843*Parameter!$B$18</f>
        <v>0</v>
      </c>
      <c r="K1843" s="63"/>
      <c r="L1843" s="64"/>
      <c r="M1843" s="62" t="n">
        <f aca="false">N('Neue Artikel'!$E$104)</f>
        <v>0</v>
      </c>
      <c r="N1843" s="62" t="n">
        <f aca="false">N('Neue Artikel'!$F$104)</f>
        <v>0</v>
      </c>
      <c r="O1843" s="65"/>
      <c r="P1843" s="60" t="str">
        <f aca="false">IF('Neue Artikel'!$H$104="","LOSE",UPPER(TRIM('Neue Artikel'!$H$104)))</f>
        <v>LOSE</v>
      </c>
      <c r="Q1843" s="62" t="n">
        <f aca="false">N('Neue Artikel'!$I$104)</f>
        <v>0</v>
      </c>
      <c r="R1843" s="65" t="n">
        <f aca="false">IF(CA1843=1,0,IFERROR(VLOOKUP(BY1843,'Gebinde-Kategorie'!$A$5:$N$45,13,0)+0,0))</f>
        <v>0</v>
      </c>
      <c r="S1843" s="66"/>
      <c r="T1843" s="67"/>
      <c r="U1843" s="67"/>
      <c r="V1843" s="67"/>
      <c r="W1843" s="60"/>
      <c r="X1843" s="62"/>
      <c r="Y1843" s="62"/>
      <c r="Z1843" s="60"/>
      <c r="AA1843" s="60" t="str">
        <f aca="false">IF(A1843="","",IF(AND(Parameter!$B$21="Ja",ISNUMBER(W1843)),W1843,IF(AND(Parameter!$E$27="Ja",ISNUMBER(Z1843),CD1843&lt;&gt;"Nein"),Z1843,IF(CD1843="2+3",IF(ISNUMBER(SEARCH("grosser Artikel",BV1843)),2,IFERROR(VLOOKUP(BY1843,Parameter!$F$35:$G$64,2,0),2)),IF(OR(CD1843="Nein",CD1843=""),"-",CD1843)))))</f>
        <v/>
      </c>
      <c r="AB1843" s="60" t="str">
        <f aca="false">IF('Neue Artikel'!$J$104="","",'Neue Artikel'!$J$104)</f>
        <v/>
      </c>
      <c r="AC1843" s="68"/>
      <c r="AD1843" s="62" t="n">
        <f aca="false">AW1843</f>
        <v>0</v>
      </c>
      <c r="AE1843" s="62" t="n">
        <f aca="false">MAX(AW1843,H1843)</f>
        <v>0</v>
      </c>
      <c r="AF1843" s="69"/>
      <c r="AG1843" s="62" t="n">
        <f aca="false">IF(LEFT(Cockpit!$C$5,1)="A",H1843,IF(Parameter!$E$30="MAX-Bestand",IF(CI1843=1,CJ1843,IF(LEFT(Cockpit!$C$5,1)="B",AM1843,MAX(AM1843,H1843))),ROUNDUP(AK1843,0)))</f>
        <v>0</v>
      </c>
      <c r="AH1843" s="62" t="n">
        <f aca="false">IF(CA1843=1,0,ROUNDUP(AG1843/BZ1843,0))</f>
        <v>0</v>
      </c>
      <c r="AI1843" s="64" t="n">
        <f aca="false">IF(CR1843&gt;0,CR1843*MAX(1,AG1843/X1843),IF(CA1843=1,IF(AG1843&lt;=0,0,CE1843*MAX(1,IF(H1843&gt;0,AG1843/H1843,1))),IF(R1843&gt;0,AH1843/R1843,0))/MAX(0.1,N(Parameter!$M$21)))</f>
        <v>0</v>
      </c>
      <c r="AJ1843" s="62" t="n">
        <f aca="false">AI1843*CC1843</f>
        <v>0</v>
      </c>
      <c r="AK1843" s="63" t="n">
        <f aca="false">IF(LEFT(Cockpit!$C$5,1)="A",H1843,IF(CI1843=1,(CL1843+CJ1843)/2,IF(LEFT(Cockpit!$C$5,1)="B",(CL1843+AM1843)/2,MAX((CL1843+AM1843)/2,H1843))))</f>
        <v>0</v>
      </c>
      <c r="AL1843" s="62" t="n">
        <f aca="false">AK1843*G1843</f>
        <v>0</v>
      </c>
      <c r="AM1843" s="62" t="n">
        <f aca="false">ROUNDUP(CL1843+MAX(CM1843,2*(J1843/IF(CH1843&gt;0,CH1843,MAX(0.1,N(Cockpit!$C$6)))-CL1843)),0)</f>
        <v>0</v>
      </c>
      <c r="AN1843" s="63" t="n">
        <f aca="false">IF(AJ1843&gt;0,J1843/AJ1843,-1)</f>
        <v>-1</v>
      </c>
      <c r="AO1843" s="63" t="str">
        <f aca="false">IF(AND(OR(CG1843="L1",CG1843="L23",CG1843="LIFT"),AJ1843&gt;0),SUMIFS($AJ$7:$AJ$1843,$CG$7:$CG$1843,CG1843,$AN$7:$AN$1843,"&gt;"&amp;AN1843)+SUMIFS($AJ$7:$AJ$1843,$CG$7:$CG$1843,CG1843,$AN$7:$AN$1843,AN1843,$BX$7:$BX$1843,"&lt;="&amp;BX1843),"")</f>
        <v/>
      </c>
      <c r="AP1843" s="70" t="n">
        <f aca="false">IF(AO1843="",0,MAX(0,MIN(1,(IF(CG1843="L1",Parameter!$H$5,IF(CG1843="L23",Parameter!$H$6+Parameter!$H$7,Parameter!$H$5+Parameter!$H$6+Parameter!$H$7))-(AO1843-AJ1843))/AJ1843)))</f>
        <v>0</v>
      </c>
      <c r="AQ1843" s="62" t="n">
        <f aca="false">IF(LEFT(Cockpit!$I$5,1)="A",H1843,IF(Parameter!$E$30="MAX-Bestand",IF(CI1843=1,CJ1843,IF(LEFT(Cockpit!$I$5,1)="B",AW1843,MAX(AW1843,H1843))),ROUNDUP(AU1843,0)))</f>
        <v>0</v>
      </c>
      <c r="AR1843" s="62" t="n">
        <f aca="false">IF(CA1843=1,0,ROUNDUP(AQ1843/BZ1843,0))</f>
        <v>0</v>
      </c>
      <c r="AS1843" s="64" t="n">
        <f aca="false">IF(CR1843&gt;0,CR1843*MAX(1,AQ1843/X1843),IF(CA1843=1,IF(AQ1843&lt;=0,0,CE1843*MAX(1,IF(H1843&gt;0,AQ1843/H1843,1))),IF(R1843&gt;0,AR1843/R1843,0))/MAX(0.1,N(Parameter!$M$21)))</f>
        <v>0</v>
      </c>
      <c r="AT1843" s="62" t="n">
        <f aca="false">AS1843*CC1843</f>
        <v>0</v>
      </c>
      <c r="AU1843" s="63" t="n">
        <f aca="false">IF(LEFT(Cockpit!$I$5,1)="A",H1843,IF(CI1843=1,(CL1843+CJ1843)/2,IF(LEFT(Cockpit!$I$5,1)="B",(CL1843+AW1843)/2,MAX((CL1843+AW1843)/2,H1843))))</f>
        <v>0</v>
      </c>
      <c r="AV1843" s="62" t="n">
        <f aca="false">AU1843*G1843</f>
        <v>0</v>
      </c>
      <c r="AW1843" s="62" t="n">
        <f aca="false">ROUNDUP(CL1843+MAX(CM1843,2*(J1843/IF(CH1843&gt;0,CH1843,MAX(0.1,N(Cockpit!$I$6)))-CL1843)),0)</f>
        <v>0</v>
      </c>
      <c r="AX1843" s="63" t="n">
        <f aca="false">IF(AT1843&gt;0,J1843/AT1843,-1)</f>
        <v>-1</v>
      </c>
      <c r="AY1843" s="63" t="str">
        <f aca="false">IF(AND(OR(CG1843="L1",CG1843="L23",CG1843="LIFT"),AT1843&gt;0),SUMIFS($AT$7:$AT$1843,$CG$7:$CG$1843,CG1843,$AX$7:$AX$1843,"&gt;"&amp;AX1843)+SUMIFS($AT$7:$AT$1843,$CG$7:$CG$1843,CG1843,$AX$7:$AX$1843,AX1843,$BX$7:$BX$1843,"&lt;="&amp;BX1843),"")</f>
        <v/>
      </c>
      <c r="AZ1843" s="70" t="n">
        <f aca="false">IF(AY1843="",0,MAX(0,MIN(1,(IF(CG1843="L1",Parameter!$H$5,IF(CG1843="L23",Parameter!$H$6+Parameter!$H$7,Parameter!$H$5+Parameter!$H$6+Parameter!$H$7))-(AY1843-AT1843))/AT1843)))</f>
        <v>0</v>
      </c>
      <c r="BA1843" s="62" t="n">
        <f aca="false">IF(LEFT(Cockpit!$O$5,1)="A",H1843,IF(Parameter!$E$30="MAX-Bestand",IF(CI1843=1,CJ1843,IF(LEFT(Cockpit!$O$5,1)="B",BG1843,MAX(BG1843,H1843))),ROUNDUP(BE1843,0)))</f>
        <v>0</v>
      </c>
      <c r="BB1843" s="62" t="n">
        <f aca="false">IF(CA1843=1,0,ROUNDUP(BA1843/BZ1843,0))</f>
        <v>0</v>
      </c>
      <c r="BC1843" s="64" t="n">
        <f aca="false">IF(CR1843&gt;0,CR1843*MAX(1,BA1843/X1843),IF(CA1843=1,IF(BA1843&lt;=0,0,CE1843*MAX(1,IF(H1843&gt;0,BA1843/H1843,1))),IF(R1843&gt;0,BB1843/R1843,0))/MAX(0.1,N(Parameter!$M$21)))</f>
        <v>0</v>
      </c>
      <c r="BD1843" s="62" t="n">
        <f aca="false">BC1843*CC1843</f>
        <v>0</v>
      </c>
      <c r="BE1843" s="63" t="n">
        <f aca="false">IF(LEFT(Cockpit!$O$5,1)="A",H1843,IF(CI1843=1,(CL1843+CJ1843)/2,IF(LEFT(Cockpit!$O$5,1)="B",(CL1843+BG1843)/2,MAX((CL1843+BG1843)/2,H1843))))</f>
        <v>0</v>
      </c>
      <c r="BF1843" s="62" t="n">
        <f aca="false">BE1843*G1843</f>
        <v>0</v>
      </c>
      <c r="BG1843" s="62" t="n">
        <f aca="false">ROUNDUP(CL1843+MAX(CM1843,2*(J1843/IF(CH1843&gt;0,CH1843,MAX(0.1,N(Cockpit!$O$6)))-CL1843)),0)</f>
        <v>0</v>
      </c>
      <c r="BH1843" s="63" t="n">
        <f aca="false">IF(BD1843&gt;0,J1843/BD1843,-1)</f>
        <v>-1</v>
      </c>
      <c r="BI1843" s="63" t="str">
        <f aca="false">IF(AND(OR(CG1843="L1",CG1843="L23",CG1843="LIFT"),BD1843&gt;0),SUMIFS($BD$7:$BD$1843,$CG$7:$CG$1843,CG1843,$BH$7:$BH$1843,"&gt;"&amp;BH1843)+SUMIFS($BD$7:$BD$1843,$CG$7:$CG$1843,CG1843,$BH$7:$BH$1843,BH1843,$BX$7:$BX$1843,"&lt;="&amp;BX1843),"")</f>
        <v/>
      </c>
      <c r="BJ1843" s="70" t="n">
        <f aca="false">IF(BI1843="",0,MAX(0,MIN(1,(IF(CG1843="L1",Parameter!$H$5,IF(CG1843="L23",Parameter!$H$6+Parameter!$H$7,Parameter!$H$5+Parameter!$H$6+Parameter!$H$7))-(BI1843-BD1843))/BD1843)))</f>
        <v>0</v>
      </c>
      <c r="BK1843" s="60" t="str">
        <f aca="false">IF(AJ1843&lt;=0,"",IF(CG1843="Aussen","Aussenlager",IF(CG1843="-","Nicht im Lift",IF(AP1843&gt;=1,"Lift",IF(AP1843&lt;=0,"Aussenlager","teilweise")))))</f>
        <v/>
      </c>
      <c r="BL1843" s="60" t="str">
        <f aca="false">IF(AT1843&lt;=0,"",IF(CG1843="Aussen","Aussenlager",IF(CG1843="-","Nicht im Lift",IF(AZ1843&gt;=1,"Lift",IF(AZ1843&lt;=0,"Aussenlager","teilweise")))))</f>
        <v/>
      </c>
      <c r="BM1843" s="60" t="str">
        <f aca="false">IF(BD1843&lt;=0,"",IF(CG1843="Aussen","Aussenlager",IF(CG1843="-","Nicht im Lift",IF(BJ1843&gt;=1,"Lift",IF(BJ1843&lt;=0,"Aussenlager","teilweise")))))</f>
        <v/>
      </c>
      <c r="BN1843" s="60" t="str">
        <f aca="false">IF(A1843="","",IF(BW1843=1,"Neu; ","")&amp;IF(AND(BW1843=0,BR1843&lt;0),"negativer Bestand (Export "&amp;BR1843&amp;"); ","")&amp;IF(J1843&lt;=0,"Kein Verbrauch; ","")&amp;IF(CR1843&gt;0,"Lift "&amp;W1843&amp;" lt. Liftbericht (Fach "&amp;X1843&amp;" Stk); ",IF(CB1843=1,"Gebinde geschätzt ("&amp;T1843&amp;"); ",IF(CA1843=1,"Lose – Tablare geschätzt; ","")))&amp;IF(H1843&gt;AW1843,"Überbestand "&amp;ROUND(H1843-AW1843,0)&amp;" Stk / CHF "&amp;ROUND((H1843-AW1843)*G1843,0)&amp;"; ","")&amp;IF(AND(CI1843=1,CJ1843&lt;CK1843),"MAX &lt; MB+LG; ","")&amp;IF(AND(CQ1843&gt;0,CP1843*10&gt;CQ1843),"zu hoch für Tablar; ","")&amp;IF(AND(BW1843=0,OR(CI1843=1,AB1843&lt;&gt;"",U1843&lt;&gt;"",V1843&lt;&gt;"",AC1843&lt;&gt;"")),"manuell übersteuert; ","")&amp;IF(AND(CA1843=0,R1843=0),"Gebinde unbekannt / Stellmass fehlt; ","")&amp;IF(AND(CA1843=0,N(V1843)&lt;=0,N(Q1843)&lt;=0),"Menge pro Gebinde fehlt (Ist = 1 Gebinde); ","")&amp;BV1843)</f>
        <v/>
      </c>
      <c r="BO1843" s="60"/>
      <c r="BP1843" s="60"/>
      <c r="BQ1843" s="67"/>
      <c r="BR1843" s="62" t="n">
        <f aca="false">N('Neue Artikel'!$D$104)</f>
        <v>0</v>
      </c>
      <c r="BS1843" s="62" t="n">
        <v>0</v>
      </c>
      <c r="BT1843" s="61" t="n">
        <v>0</v>
      </c>
      <c r="BU1843" s="62" t="n">
        <f aca="false">N('Neue Artikel'!$C$104)/Parameter!$B$18</f>
        <v>0</v>
      </c>
      <c r="BV1843" s="60"/>
      <c r="BW1843" s="65" t="n">
        <v>1</v>
      </c>
      <c r="BX1843" s="65" t="n">
        <v>1843</v>
      </c>
      <c r="BY1843" s="60" t="str">
        <f aca="false">IF(U1843&lt;&gt;"",UPPER(TRIM(U1843)),IF(CB1843=1,UPPER(VLOOKUP(T1843,Parameter!$I$27:$K$29,2,0)),IF(P1843="","LOSE",P1843)))</f>
        <v>LOSE</v>
      </c>
      <c r="BZ1843" s="62" t="n">
        <f aca="false">IF(BY1843="LOSE",1,IF(N(V1843)&gt;0,V1843,IF(CB1843=1,MAX(1,N(VLOOKUP(T1843,Parameter!$I$27:$K$29,3,0)),H1843,N(N1843)),IF(N(Q1843)&gt;0,Q1843,MAX(1,H1843)))))</f>
        <v>1</v>
      </c>
      <c r="CA1843" s="65" t="n">
        <f aca="false">IF(BY1843="LOSE",1,0)</f>
        <v>1</v>
      </c>
      <c r="CB1843" s="65" t="n">
        <f aca="false">IF(AND(U1843="",OR(P1843="",P1843="LOSE"),T1843&lt;&gt;"",N(S1843)&lt;=0,ISNUMBER(MATCH(T1843,Parameter!$I$27:$I$29,0))),1,0)</f>
        <v>0</v>
      </c>
      <c r="CC1843" s="65" t="n">
        <f aca="false">IF(CR1843&gt;0,INDEX(Parameter!$H$5:$H$7,W1843)/INDEX(Parameter!$E$5:$E$7,W1843),IF(AND(CA1843=0,N(IFERROR(VLOOKUP(BY1843,'Gebinde-Kategorie'!$A$5:$N$45,14,0),0))&gt;0),VLOOKUP(BY1843,'Gebinde-Kategorie'!$A$5:$N$45,14,0)*10+Parameter!$M$23,Parameter!$M$24))</f>
        <v>235</v>
      </c>
      <c r="CD1843" s="60" t="str">
        <f aca="false">IF(AND(Parameter!$B$19="Ja",E1843&lt;&gt;"",ISNUMBER(MATCH(E1843,Parameter!$I$35:$I$52,0))),VLOOKUP(E1843,Parameter!$I$35:$J$52,2,0),IFERROR(VLOOKUP(D1843,Parameter!$A$35:$C$64,2,0),"Nein"))</f>
        <v>2+3</v>
      </c>
      <c r="CE1843" s="64" t="n">
        <f aca="false">IF(CA1843=0,0,IF(N(S1843)&gt;0,S1843,IFERROR(VLOOKUP(D1843,Parameter!$A$35:$C$64,3,0)+0,0)))</f>
        <v>0.15</v>
      </c>
      <c r="CF1843" s="60" t="str">
        <f aca="false">IF(AB1843&lt;&gt;"",AB1843,AA1843)</f>
        <v/>
      </c>
      <c r="CG1843" s="60" t="str">
        <f aca="false">IF(OR(CF1843=1,CF1843=2,CF1843=3),IF(Parameter!$E$27="Ja","LIFT",IF(CF1843=1,"L1","L23")),IF(CF1843="Aussen","Aussen","-"))</f>
        <v>-</v>
      </c>
      <c r="CH1843" s="71" t="n">
        <f aca="false">IF(N(AC1843)&gt;0,AC1843,0)</f>
        <v>0</v>
      </c>
      <c r="CI1843" s="65" t="n">
        <f aca="false">IF(ISNUMBER(AF1843),1,0)</f>
        <v>0</v>
      </c>
      <c r="CJ1843" s="62" t="n">
        <f aca="false">N(AF1843)</f>
        <v>0</v>
      </c>
      <c r="CK1843" s="62" t="n">
        <f aca="false">N(M1843)+N(N1843)</f>
        <v>0</v>
      </c>
      <c r="CL1843" s="62" t="n">
        <f aca="false">N(M1843)</f>
        <v>0</v>
      </c>
      <c r="CM1843" s="62" t="n">
        <f aca="false">N(N1843)</f>
        <v>0</v>
      </c>
      <c r="CN1843" s="62" t="n">
        <f aca="false">ROUNDUP(H1843/BZ1843,0)</f>
        <v>0</v>
      </c>
      <c r="CO1843" s="62" t="n">
        <f aca="false">ROUNDUP(CJ1843/BZ1843,0)</f>
        <v>0</v>
      </c>
      <c r="CP1843" s="65" t="n">
        <f aca="false">IF(CA1843=1,0,IFERROR(VLOOKUP(BY1843,'Gebinde-Kategorie'!$A$5:$N$45,5,0)+0,0))</f>
        <v>0</v>
      </c>
      <c r="CQ1843" s="65" t="n">
        <f aca="false">IFERROR(IF(OR(CF1843=1,CF1843=2,CF1843=3),N(INDEX(Parameter!$I$5:$I$7,CF1843)),0),0)</f>
        <v>0</v>
      </c>
      <c r="CR1843" s="64" t="n">
        <f aca="false">IF(AND(Parameter!$B$21="Ja",ISNUMBER(W1843),N(X1843)&gt;0),IFERROR(N(INDEX(Parameter!$L$5:$L$7,W1843))*INDEX(Parameter!$E$5:$E$7,W1843)*X1843/SUMIFS($X$7:$X$1843,$W$7:$W$1843,W1843),0),0)</f>
        <v>0</v>
      </c>
      <c r="CS1843" s="62" t="str">
        <f aca="false">IF(AND(OR(CG1843="L1",CG1843="L23",CG1843="LIFT"),H1843&gt;0),CC1843*IF(CR1843&gt;0,CR1843*MAX(1,H1843/X1843),IF(CA1843=1,CE1843,IF(R1843&gt;0,CN1843/R1843,0))/MAX(0.1,N(Parameter!$M$21))),"")</f>
        <v/>
      </c>
      <c r="CT1843" s="64" t="str">
        <f aca="false">IF(CS1843="","",J1843/H1843)</f>
        <v/>
      </c>
      <c r="CU1843" s="62" t="str">
        <f aca="false">IF(CS1843="","",H1843*G1843)</f>
        <v/>
      </c>
      <c r="CV1843" s="63" t="str">
        <f aca="false">IF(CS1843="","",(CL1843+ROUNDUP(CL1843+MAX(CM1843,2*(J1843/MAX(0.1,N(Einkauf!$C$6))-CL1843)),0))/2)</f>
        <v/>
      </c>
      <c r="CW1843" s="62" t="str">
        <f aca="false">IF(CS1843="","",MAX(0,H1843-CV1843)*G1843)</f>
        <v/>
      </c>
      <c r="CX1843" s="62" t="str">
        <f aca="false">IF(CS1843="","",CS1843*MAX(0,1-CV1843/H1843))</f>
        <v/>
      </c>
      <c r="CY1843" s="64" t="str">
        <f aca="false">IF(CS1843="","",PERCENTRANK($CS$7:$CS$1843,CS1843)+PERCENTRANK($CU$7:$CU$1843,CU1843)+1-PERCENTRANK($CT$7:$CT$1843,CT1843))</f>
        <v/>
      </c>
      <c r="CZ1843" s="72" t="str">
        <f aca="false">IF(CS1843="","",CHOOSE(MATCH(Einkauf!$C$5,Parameter!$G$23:$G$27,0),CY1843,CS1843,CU1843,-CT1843,CW1843)+ROW()/1000000000)</f>
        <v/>
      </c>
    </row>
  </sheetData>
  <autoFilter ref="A6:BQ1843"/>
  <conditionalFormatting sqref="BK7:BK1843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L7:BL1843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M7:BM1843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N7:BN1843">
    <cfRule type="expression" priority="11" aboveAverage="0" equalAverage="0" bottom="0" percent="0" rank="0" text="" dxfId="1">
      <formula>ISNUMBER(SEARCH("zu hoch",BN7))</formula>
    </cfRule>
    <cfRule type="expression" priority="12" aboveAverage="0" equalAverage="0" bottom="0" percent="0" rank="0" text="" dxfId="2">
      <formula>ISNUMBER(SEARCH("Überbestand",BN7))</formula>
    </cfRule>
  </conditionalFormatting>
  <dataValidations count="2">
    <dataValidation allowBlank="true" errorStyle="stop" operator="between" showDropDown="false" showErrorMessage="false" showInputMessage="false" sqref="AB7:AB1743" type="list">
      <formula1>"1,2,3,Aussen"</formula1>
      <formula2>0</formula2>
    </dataValidation>
    <dataValidation allowBlank="true" errorStyle="stop" operator="between" showDropDown="false" showErrorMessage="false" showInputMessage="false" sqref="T7:T1843" type="list">
      <formula1>Parameter!$I$27:$I$29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41" t="s">
        <v>3058</v>
      </c>
      <c r="Z1" s="40" t="s">
        <v>3059</v>
      </c>
    </row>
    <row r="2" customFormat="false" ht="15" hidden="false" customHeight="false" outlineLevel="0" collapsed="false">
      <c r="A2" s="42" t="s">
        <v>3060</v>
      </c>
    </row>
    <row r="3" customFormat="false" ht="15" hidden="false" customHeight="false" outlineLevel="0" collapsed="false">
      <c r="A3" s="53" t="s">
        <v>3061</v>
      </c>
    </row>
    <row r="4" customFormat="false" ht="35.05" hidden="false" customHeight="false" outlineLevel="0" collapsed="false">
      <c r="A4" s="58" t="s">
        <v>62</v>
      </c>
      <c r="B4" s="58" t="s">
        <v>3062</v>
      </c>
      <c r="C4" s="58" t="s">
        <v>3063</v>
      </c>
      <c r="D4" s="58" t="s">
        <v>106</v>
      </c>
      <c r="E4" s="58" t="s">
        <v>3064</v>
      </c>
      <c r="F4" s="58" t="s">
        <v>3065</v>
      </c>
      <c r="G4" s="58" t="s">
        <v>3066</v>
      </c>
      <c r="H4" s="58" t="s">
        <v>13</v>
      </c>
      <c r="I4" s="58" t="s">
        <v>3067</v>
      </c>
      <c r="J4" s="58" t="s">
        <v>3068</v>
      </c>
      <c r="K4" s="58" t="s">
        <v>3069</v>
      </c>
      <c r="L4" s="58" t="s">
        <v>3070</v>
      </c>
    </row>
    <row r="5" customFormat="false" ht="15" hidden="false" customHeight="false" outlineLevel="0" collapsed="false">
      <c r="A5" s="14" t="n">
        <v>1</v>
      </c>
      <c r="B5" s="73" t="s">
        <v>16</v>
      </c>
      <c r="C5" s="73" t="s">
        <v>3071</v>
      </c>
      <c r="D5" s="73" t="s">
        <v>207</v>
      </c>
      <c r="E5" s="74" t="n">
        <v>50</v>
      </c>
      <c r="F5" s="75" t="n">
        <v>4060</v>
      </c>
      <c r="G5" s="75" t="n">
        <v>857</v>
      </c>
      <c r="H5" s="75" t="n">
        <v>11900</v>
      </c>
      <c r="I5" s="75"/>
      <c r="J5" s="76" t="n">
        <f aca="false">F5*G5/1000000</f>
        <v>3.47942</v>
      </c>
      <c r="K5" s="12" t="n">
        <f aca="false">E5*J5</f>
        <v>173.971</v>
      </c>
      <c r="L5" s="77" t="n">
        <v>0.85</v>
      </c>
    </row>
    <row r="6" customFormat="false" ht="15" hidden="false" customHeight="false" outlineLevel="0" collapsed="false">
      <c r="A6" s="14" t="n">
        <v>2</v>
      </c>
      <c r="B6" s="73" t="s">
        <v>17</v>
      </c>
      <c r="C6" s="73" t="s">
        <v>3072</v>
      </c>
      <c r="D6" s="73" t="s">
        <v>3073</v>
      </c>
      <c r="E6" s="74" t="n">
        <v>50</v>
      </c>
      <c r="F6" s="75" t="n">
        <v>4060</v>
      </c>
      <c r="G6" s="75" t="n">
        <v>857</v>
      </c>
      <c r="H6" s="75" t="n">
        <v>11900</v>
      </c>
      <c r="I6" s="75"/>
      <c r="J6" s="76" t="n">
        <f aca="false">F6*G6/1000000</f>
        <v>3.47942</v>
      </c>
      <c r="K6" s="12" t="n">
        <f aca="false">E6*J6</f>
        <v>173.971</v>
      </c>
      <c r="L6" s="77"/>
    </row>
    <row r="7" customFormat="false" ht="15" hidden="false" customHeight="false" outlineLevel="0" collapsed="false">
      <c r="A7" s="14" t="n">
        <v>3</v>
      </c>
      <c r="B7" s="73" t="s">
        <v>18</v>
      </c>
      <c r="C7" s="73" t="s">
        <v>3074</v>
      </c>
      <c r="D7" s="73" t="s">
        <v>3075</v>
      </c>
      <c r="E7" s="74" t="n">
        <v>50</v>
      </c>
      <c r="F7" s="75" t="n">
        <v>4060</v>
      </c>
      <c r="G7" s="75" t="n">
        <v>857</v>
      </c>
      <c r="H7" s="75" t="n">
        <v>11900</v>
      </c>
      <c r="I7" s="75"/>
      <c r="J7" s="76" t="n">
        <f aca="false">F7*G7/1000000</f>
        <v>3.47942</v>
      </c>
      <c r="K7" s="12" t="n">
        <f aca="false">E7*J7</f>
        <v>173.971</v>
      </c>
      <c r="L7" s="77"/>
    </row>
    <row r="8" customFormat="false" ht="15" hidden="false" customHeight="false" outlineLevel="0" collapsed="false">
      <c r="A8" s="14" t="s">
        <v>40</v>
      </c>
      <c r="E8" s="78" t="n">
        <f aca="false">SUM(E5:E7)</f>
        <v>150</v>
      </c>
      <c r="H8" s="15" t="n">
        <f aca="false">SUM(H5:H7)</f>
        <v>35700</v>
      </c>
      <c r="K8" s="16" t="n">
        <f aca="false">SUM(K5:K7)</f>
        <v>521.913</v>
      </c>
    </row>
    <row r="10" customFormat="false" ht="15" hidden="false" customHeight="false" outlineLevel="0" collapsed="false">
      <c r="A10" s="53" t="s">
        <v>3076</v>
      </c>
      <c r="I10" s="53" t="s">
        <v>3077</v>
      </c>
    </row>
    <row r="11" customFormat="false" ht="15" hidden="false" customHeight="false" outlineLevel="0" collapsed="false">
      <c r="A11" s="21" t="s">
        <v>3078</v>
      </c>
      <c r="B11" s="77" t="n">
        <v>0.85</v>
      </c>
      <c r="C11" s="42" t="s">
        <v>3079</v>
      </c>
      <c r="I11" s="21" t="s">
        <v>3080</v>
      </c>
      <c r="M11" s="79" t="n">
        <v>747814.699999999</v>
      </c>
    </row>
    <row r="12" customFormat="false" ht="15" hidden="false" customHeight="false" outlineLevel="0" collapsed="false">
      <c r="A12" s="21" t="s">
        <v>3081</v>
      </c>
      <c r="B12" s="77" t="n">
        <v>1</v>
      </c>
      <c r="I12" s="21" t="s">
        <v>3082</v>
      </c>
      <c r="M12" s="79" t="n">
        <f aca="false">SUM(Artikel!$BT$7:$BT$1843)</f>
        <v>68525.75</v>
      </c>
    </row>
    <row r="13" customFormat="false" ht="15" hidden="false" customHeight="false" outlineLevel="0" collapsed="false">
      <c r="I13" s="21" t="s">
        <v>3083</v>
      </c>
      <c r="M13" s="79" t="n">
        <f aca="false">SUMIFS(Artikel!$BT$7:$BT$1843,Artikel!$BR$7:$BR$1843,"&gt;0")</f>
        <v>1331182.63</v>
      </c>
    </row>
    <row r="14" customFormat="false" ht="15" hidden="false" customHeight="false" outlineLevel="0" collapsed="false">
      <c r="A14" s="53" t="s">
        <v>3084</v>
      </c>
      <c r="I14" s="21" t="s">
        <v>3085</v>
      </c>
      <c r="M14" s="79" t="n">
        <f aca="false">SUM(Artikel!$I$7:$I$1843)</f>
        <v>3451046.21423</v>
      </c>
    </row>
    <row r="15" customFormat="false" ht="15" hidden="false" customHeight="false" outlineLevel="0" collapsed="false">
      <c r="A15" s="21" t="s">
        <v>3086</v>
      </c>
      <c r="B15" s="80" t="n">
        <v>45658</v>
      </c>
      <c r="C15" s="42" t="s">
        <v>3087</v>
      </c>
      <c r="I15" s="21" t="s">
        <v>3088</v>
      </c>
      <c r="M15" s="25" t="n">
        <f aca="false">COUNTIFS(Artikel!$BR$7:$BR$1843,"&lt;0",Artikel!$BW$7:$BW$1843,0)</f>
        <v>711</v>
      </c>
    </row>
    <row r="16" customFormat="false" ht="15" hidden="false" customHeight="false" outlineLevel="0" collapsed="false">
      <c r="A16" s="21" t="s">
        <v>3089</v>
      </c>
      <c r="B16" s="80" t="n">
        <v>46022</v>
      </c>
      <c r="I16" s="21" t="s">
        <v>3090</v>
      </c>
      <c r="M16" s="25" t="n">
        <f aca="false">COUNTIFS(Artikel!$BW$7:$BW$1843,0)</f>
        <v>1737</v>
      </c>
    </row>
    <row r="17" customFormat="false" ht="15" hidden="false" customHeight="false" outlineLevel="0" collapsed="false">
      <c r="A17" s="21" t="s">
        <v>3091</v>
      </c>
      <c r="B17" s="81" t="n">
        <f aca="false">MAX(1,(YEAR(B16)-YEAR(B15))*12+MONTH(B16)-MONTH(B15)+1)</f>
        <v>12</v>
      </c>
      <c r="I17" s="21" t="s">
        <v>3092</v>
      </c>
      <c r="M17" s="21" t="str">
        <f aca="false">COUNT(Artikel!$W$7:$W$1843)&amp;" / "&amp;COUNTIFS(Artikel!$W$7:$W$1843,"&gt;0",Artikel!$BV$7:$BV$1843,"nur im Liftbericht*")</f>
        <v>48 / 1</v>
      </c>
    </row>
    <row r="18" customFormat="false" ht="15" hidden="false" customHeight="false" outlineLevel="0" collapsed="false">
      <c r="A18" s="21" t="s">
        <v>3093</v>
      </c>
      <c r="B18" s="76" t="n">
        <f aca="false">12/B17</f>
        <v>1</v>
      </c>
      <c r="I18" s="21" t="s">
        <v>3094</v>
      </c>
      <c r="M18" s="28" t="n">
        <f aca="false">Szenarien!C5</f>
        <v>0.920582232893157</v>
      </c>
    </row>
    <row r="19" customFormat="false" ht="15" hidden="false" customHeight="false" outlineLevel="0" collapsed="false">
      <c r="A19" s="53" t="s">
        <v>3095</v>
      </c>
      <c r="B19" s="73" t="s">
        <v>3096</v>
      </c>
      <c r="C19" s="42" t="s">
        <v>3097</v>
      </c>
      <c r="I19" s="21" t="s">
        <v>3098</v>
      </c>
      <c r="M19" s="25" t="n">
        <f aca="false">COUNTIFS(Artikel!$BV$7:$BV$1843,"nur im Artikelstamm*")</f>
        <v>272</v>
      </c>
    </row>
    <row r="20" customFormat="false" ht="15" hidden="false" customHeight="false" outlineLevel="0" collapsed="false">
      <c r="A20" s="53" t="s">
        <v>3099</v>
      </c>
      <c r="B20" s="73" t="s">
        <v>3100</v>
      </c>
      <c r="C20" s="42" t="s">
        <v>3101</v>
      </c>
      <c r="I20" s="53" t="s">
        <v>3102</v>
      </c>
    </row>
    <row r="21" customFormat="false" ht="15" hidden="false" customHeight="false" outlineLevel="0" collapsed="false">
      <c r="A21" s="53" t="s">
        <v>3103</v>
      </c>
      <c r="B21" s="73" t="s">
        <v>3096</v>
      </c>
      <c r="C21" s="42" t="s">
        <v>3104</v>
      </c>
      <c r="I21" s="21" t="s">
        <v>3105</v>
      </c>
      <c r="M21" s="77" t="n">
        <v>1</v>
      </c>
    </row>
    <row r="22" customFormat="false" ht="15" hidden="false" customHeight="false" outlineLevel="0" collapsed="false">
      <c r="A22" s="53" t="s">
        <v>3106</v>
      </c>
      <c r="D22" s="53" t="s">
        <v>3107</v>
      </c>
      <c r="G22" s="53" t="s">
        <v>3108</v>
      </c>
      <c r="I22" s="21" t="s">
        <v>3109</v>
      </c>
      <c r="M22" s="74" t="n">
        <v>2</v>
      </c>
    </row>
    <row r="23" customFormat="false" ht="15" hidden="false" customHeight="false" outlineLevel="0" collapsed="false">
      <c r="A23" s="82" t="n">
        <v>2</v>
      </c>
      <c r="D23" s="21" t="s">
        <v>6</v>
      </c>
      <c r="G23" s="21" t="s">
        <v>51</v>
      </c>
      <c r="I23" s="21" t="s">
        <v>3110</v>
      </c>
      <c r="M23" s="74" t="n">
        <v>35</v>
      </c>
    </row>
    <row r="24" customFormat="false" ht="15" hidden="false" customHeight="false" outlineLevel="0" collapsed="false">
      <c r="A24" s="82" t="n">
        <v>2.5</v>
      </c>
      <c r="D24" s="21" t="s">
        <v>8</v>
      </c>
      <c r="G24" s="21" t="s">
        <v>3111</v>
      </c>
      <c r="I24" s="21" t="s">
        <v>3112</v>
      </c>
      <c r="M24" s="74" t="n">
        <v>235</v>
      </c>
    </row>
    <row r="25" customFormat="false" ht="15" hidden="false" customHeight="false" outlineLevel="0" collapsed="false">
      <c r="A25" s="82" t="n">
        <v>3</v>
      </c>
      <c r="D25" s="21" t="s">
        <v>7</v>
      </c>
      <c r="G25" s="21" t="s">
        <v>3113</v>
      </c>
      <c r="I25" s="53" t="s">
        <v>3114</v>
      </c>
    </row>
    <row r="26" customFormat="false" ht="23.85" hidden="false" customHeight="false" outlineLevel="0" collapsed="false">
      <c r="A26" s="82" t="n">
        <v>3.5</v>
      </c>
      <c r="G26" s="21" t="s">
        <v>3115</v>
      </c>
      <c r="I26" s="58" t="s">
        <v>3116</v>
      </c>
      <c r="J26" s="58" t="s">
        <v>3117</v>
      </c>
      <c r="K26" s="58" t="s">
        <v>116</v>
      </c>
      <c r="L26" s="58" t="s">
        <v>3118</v>
      </c>
    </row>
    <row r="27" customFormat="false" ht="15" hidden="false" customHeight="false" outlineLevel="0" collapsed="false">
      <c r="A27" s="82" t="n">
        <v>4</v>
      </c>
      <c r="D27" s="5" t="s">
        <v>3119</v>
      </c>
      <c r="E27" s="73" t="s">
        <v>3096</v>
      </c>
      <c r="G27" s="21" t="s">
        <v>3120</v>
      </c>
      <c r="I27" s="14" t="s">
        <v>317</v>
      </c>
      <c r="J27" s="73" t="s">
        <v>344</v>
      </c>
      <c r="K27" s="74" t="n">
        <v>20</v>
      </c>
      <c r="L27" s="42" t="s">
        <v>3121</v>
      </c>
    </row>
    <row r="28" customFormat="false" ht="15" hidden="false" customHeight="false" outlineLevel="0" collapsed="false">
      <c r="A28" s="82" t="n">
        <v>5</v>
      </c>
      <c r="D28" s="42" t="s">
        <v>3122</v>
      </c>
      <c r="I28" s="14" t="s">
        <v>221</v>
      </c>
      <c r="J28" s="73" t="s">
        <v>228</v>
      </c>
      <c r="K28" s="74" t="n">
        <v>4</v>
      </c>
      <c r="L28" s="42" t="s">
        <v>3123</v>
      </c>
    </row>
    <row r="29" customFormat="false" ht="15" hidden="false" customHeight="false" outlineLevel="0" collapsed="false">
      <c r="A29" s="82" t="n">
        <v>6</v>
      </c>
      <c r="I29" s="14" t="s">
        <v>231</v>
      </c>
      <c r="J29" s="73" t="s">
        <v>265</v>
      </c>
      <c r="K29" s="74" t="n">
        <v>2</v>
      </c>
      <c r="L29" s="42" t="s">
        <v>3124</v>
      </c>
    </row>
    <row r="30" customFormat="false" ht="15" hidden="false" customHeight="false" outlineLevel="0" collapsed="false">
      <c r="A30" s="82" t="n">
        <v>8</v>
      </c>
      <c r="D30" s="5" t="s">
        <v>3125</v>
      </c>
      <c r="E30" s="73" t="s">
        <v>111</v>
      </c>
      <c r="I30" s="42" t="s">
        <v>3126</v>
      </c>
    </row>
    <row r="31" customFormat="false" ht="15" hidden="false" customHeight="false" outlineLevel="0" collapsed="false">
      <c r="D31" s="42" t="s">
        <v>3127</v>
      </c>
    </row>
    <row r="32" customFormat="false" ht="15" hidden="false" customHeight="false" outlineLevel="0" collapsed="false">
      <c r="A32" s="53" t="s">
        <v>3128</v>
      </c>
      <c r="F32" s="53" t="s">
        <v>3129</v>
      </c>
      <c r="I32" s="53" t="s">
        <v>3130</v>
      </c>
    </row>
    <row r="33" customFormat="false" ht="15" hidden="false" customHeight="false" outlineLevel="0" collapsed="false">
      <c r="A33" s="42" t="s">
        <v>3131</v>
      </c>
      <c r="F33" s="42" t="s">
        <v>3132</v>
      </c>
    </row>
    <row r="34" customFormat="false" ht="15" hidden="false" customHeight="false" outlineLevel="0" collapsed="false">
      <c r="A34" s="58" t="s">
        <v>106</v>
      </c>
      <c r="B34" s="58" t="s">
        <v>62</v>
      </c>
      <c r="C34" s="58" t="s">
        <v>3133</v>
      </c>
      <c r="F34" s="43" t="s">
        <v>63</v>
      </c>
      <c r="G34" s="43" t="s">
        <v>62</v>
      </c>
      <c r="I34" s="43" t="s">
        <v>107</v>
      </c>
      <c r="J34" s="43" t="s">
        <v>62</v>
      </c>
    </row>
    <row r="35" customFormat="false" ht="15" hidden="false" customHeight="false" outlineLevel="0" collapsed="false">
      <c r="A35" s="73" t="s">
        <v>207</v>
      </c>
      <c r="B35" s="83" t="n">
        <v>1</v>
      </c>
      <c r="C35" s="84" t="n">
        <v>1</v>
      </c>
      <c r="F35" s="73" t="s">
        <v>443</v>
      </c>
      <c r="G35" s="83" t="n">
        <v>3</v>
      </c>
      <c r="I35" s="73" t="s">
        <v>208</v>
      </c>
      <c r="J35" s="83" t="n">
        <v>1</v>
      </c>
    </row>
    <row r="36" customFormat="false" ht="15" hidden="false" customHeight="false" outlineLevel="0" collapsed="false">
      <c r="A36" s="73" t="s">
        <v>226</v>
      </c>
      <c r="B36" s="83" t="s">
        <v>3134</v>
      </c>
      <c r="C36" s="84" t="n">
        <v>0.03</v>
      </c>
      <c r="F36" s="73" t="s">
        <v>468</v>
      </c>
      <c r="G36" s="83" t="n">
        <v>3</v>
      </c>
      <c r="I36" s="73" t="s">
        <v>227</v>
      </c>
      <c r="J36" s="83" t="s">
        <v>3134</v>
      </c>
    </row>
    <row r="37" customFormat="false" ht="15" hidden="false" customHeight="false" outlineLevel="0" collapsed="false">
      <c r="A37" s="73" t="s">
        <v>215</v>
      </c>
      <c r="B37" s="83" t="s">
        <v>3134</v>
      </c>
      <c r="C37" s="84" t="n">
        <v>0.15</v>
      </c>
      <c r="F37" s="73" t="s">
        <v>463</v>
      </c>
      <c r="G37" s="83" t="n">
        <v>3</v>
      </c>
      <c r="I37" s="73" t="s">
        <v>215</v>
      </c>
      <c r="J37" s="83" t="s">
        <v>3135</v>
      </c>
    </row>
    <row r="38" customFormat="false" ht="15" hidden="false" customHeight="false" outlineLevel="0" collapsed="false">
      <c r="A38" s="73" t="s">
        <v>3057</v>
      </c>
      <c r="B38" s="83" t="s">
        <v>3134</v>
      </c>
      <c r="C38" s="84" t="n">
        <v>0.15</v>
      </c>
      <c r="F38" s="73" t="s">
        <v>518</v>
      </c>
      <c r="G38" s="83" t="n">
        <v>3</v>
      </c>
      <c r="I38" s="73" t="s">
        <v>3136</v>
      </c>
      <c r="J38" s="83" t="s">
        <v>3135</v>
      </c>
    </row>
    <row r="39" customFormat="false" ht="15" hidden="false" customHeight="false" outlineLevel="0" collapsed="false">
      <c r="A39" s="73" t="s">
        <v>1037</v>
      </c>
      <c r="B39" s="83" t="s">
        <v>3135</v>
      </c>
      <c r="C39" s="84" t="n">
        <v>0.15</v>
      </c>
      <c r="F39" s="73" t="s">
        <v>370</v>
      </c>
      <c r="G39" s="83" t="n">
        <v>3</v>
      </c>
      <c r="I39" s="73" t="s">
        <v>1521</v>
      </c>
      <c r="J39" s="83" t="s">
        <v>3135</v>
      </c>
    </row>
    <row r="40" customFormat="false" ht="15" hidden="false" customHeight="false" outlineLevel="0" collapsed="false">
      <c r="A40" s="73" t="s">
        <v>395</v>
      </c>
      <c r="B40" s="83" t="s">
        <v>3135</v>
      </c>
      <c r="C40" s="84" t="n">
        <v>0.15</v>
      </c>
      <c r="F40" s="73" t="s">
        <v>344</v>
      </c>
      <c r="G40" s="83" t="n">
        <v>3</v>
      </c>
      <c r="I40" s="73" t="s">
        <v>507</v>
      </c>
      <c r="J40" s="83" t="s">
        <v>3135</v>
      </c>
    </row>
    <row r="41" customFormat="false" ht="15" hidden="false" customHeight="false" outlineLevel="0" collapsed="false">
      <c r="A41" s="73" t="s">
        <v>892</v>
      </c>
      <c r="B41" s="83" t="s">
        <v>3135</v>
      </c>
      <c r="C41" s="84" t="n">
        <v>0.15</v>
      </c>
      <c r="F41" s="73" t="s">
        <v>275</v>
      </c>
      <c r="G41" s="83" t="n">
        <v>3</v>
      </c>
      <c r="I41" s="73" t="s">
        <v>412</v>
      </c>
      <c r="J41" s="83" t="s">
        <v>3135</v>
      </c>
    </row>
    <row r="42" customFormat="false" ht="15" hidden="false" customHeight="false" outlineLevel="0" collapsed="false">
      <c r="A42" s="73" t="s">
        <v>1381</v>
      </c>
      <c r="B42" s="83" t="s">
        <v>3135</v>
      </c>
      <c r="C42" s="84" t="n">
        <v>0.15</v>
      </c>
      <c r="F42" s="73" t="s">
        <v>228</v>
      </c>
      <c r="G42" s="83" t="n">
        <v>2</v>
      </c>
      <c r="I42" s="73" t="s">
        <v>1450</v>
      </c>
      <c r="J42" s="83" t="s">
        <v>3135</v>
      </c>
    </row>
    <row r="43" customFormat="false" ht="15" hidden="false" customHeight="false" outlineLevel="0" collapsed="false">
      <c r="A43" s="73" t="s">
        <v>1514</v>
      </c>
      <c r="B43" s="83" t="s">
        <v>3135</v>
      </c>
      <c r="C43" s="84" t="n">
        <v>0.15</v>
      </c>
      <c r="F43" s="73" t="s">
        <v>335</v>
      </c>
      <c r="G43" s="83" t="n">
        <v>2</v>
      </c>
      <c r="I43" s="73" t="s">
        <v>2460</v>
      </c>
      <c r="J43" s="83" t="s">
        <v>3135</v>
      </c>
    </row>
    <row r="44" customFormat="false" ht="15" hidden="false" customHeight="false" outlineLevel="0" collapsed="false">
      <c r="A44" s="73" t="s">
        <v>3137</v>
      </c>
      <c r="B44" s="83" t="s">
        <v>3135</v>
      </c>
      <c r="C44" s="84" t="n">
        <v>0.15</v>
      </c>
      <c r="F44" s="73" t="s">
        <v>268</v>
      </c>
      <c r="G44" s="83" t="n">
        <v>2</v>
      </c>
      <c r="I44" s="73" t="s">
        <v>2290</v>
      </c>
      <c r="J44" s="83" t="s">
        <v>3135</v>
      </c>
    </row>
    <row r="45" customFormat="false" ht="15" hidden="false" customHeight="false" outlineLevel="0" collapsed="false">
      <c r="A45" s="73" t="s">
        <v>3138</v>
      </c>
      <c r="B45" s="83" t="s">
        <v>3135</v>
      </c>
      <c r="C45" s="84" t="n">
        <v>0.15</v>
      </c>
      <c r="F45" s="73" t="s">
        <v>216</v>
      </c>
      <c r="G45" s="83" t="n">
        <v>2</v>
      </c>
      <c r="I45" s="73"/>
      <c r="J45" s="83"/>
    </row>
    <row r="46" customFormat="false" ht="15" hidden="false" customHeight="false" outlineLevel="0" collapsed="false">
      <c r="A46" s="73" t="s">
        <v>3139</v>
      </c>
      <c r="B46" s="83" t="s">
        <v>3135</v>
      </c>
      <c r="C46" s="84" t="n">
        <v>0.15</v>
      </c>
      <c r="F46" s="73" t="s">
        <v>301</v>
      </c>
      <c r="G46" s="83" t="n">
        <v>2</v>
      </c>
      <c r="I46" s="73"/>
      <c r="J46" s="83"/>
    </row>
    <row r="47" customFormat="false" ht="15" hidden="false" customHeight="false" outlineLevel="0" collapsed="false">
      <c r="A47" s="73" t="s">
        <v>3140</v>
      </c>
      <c r="B47" s="83" t="s">
        <v>3135</v>
      </c>
      <c r="C47" s="84" t="n">
        <v>0.15</v>
      </c>
      <c r="F47" s="73" t="s">
        <v>3141</v>
      </c>
      <c r="G47" s="83" t="n">
        <v>2</v>
      </c>
      <c r="I47" s="73"/>
      <c r="J47" s="83"/>
    </row>
    <row r="48" customFormat="false" ht="15" hidden="false" customHeight="false" outlineLevel="0" collapsed="false">
      <c r="A48" s="73" t="s">
        <v>3142</v>
      </c>
      <c r="B48" s="83" t="s">
        <v>3135</v>
      </c>
      <c r="C48" s="84" t="n">
        <v>0.15</v>
      </c>
      <c r="F48" s="73" t="s">
        <v>265</v>
      </c>
      <c r="G48" s="83" t="n">
        <v>2</v>
      </c>
      <c r="I48" s="73"/>
      <c r="J48" s="83"/>
    </row>
    <row r="49" customFormat="false" ht="15" hidden="false" customHeight="false" outlineLevel="0" collapsed="false">
      <c r="A49" s="73" t="s">
        <v>1430</v>
      </c>
      <c r="B49" s="83" t="s">
        <v>3135</v>
      </c>
      <c r="C49" s="84" t="n">
        <v>0.15</v>
      </c>
      <c r="F49" s="73" t="s">
        <v>390</v>
      </c>
      <c r="G49" s="83" t="n">
        <v>2</v>
      </c>
      <c r="I49" s="73"/>
      <c r="J49" s="83"/>
    </row>
    <row r="50" customFormat="false" ht="15" hidden="false" customHeight="false" outlineLevel="0" collapsed="false">
      <c r="A50" s="73"/>
      <c r="B50" s="83"/>
      <c r="C50" s="84"/>
      <c r="F50" s="73" t="s">
        <v>3143</v>
      </c>
      <c r="G50" s="83" t="n">
        <v>2</v>
      </c>
      <c r="I50" s="73"/>
      <c r="J50" s="83"/>
    </row>
    <row r="51" customFormat="false" ht="15" hidden="false" customHeight="false" outlineLevel="0" collapsed="false">
      <c r="A51" s="73"/>
      <c r="B51" s="83"/>
      <c r="C51" s="84"/>
      <c r="F51" s="73" t="s">
        <v>3144</v>
      </c>
      <c r="G51" s="83" t="n">
        <v>2</v>
      </c>
      <c r="I51" s="73"/>
      <c r="J51" s="83"/>
    </row>
    <row r="52" customFormat="false" ht="15" hidden="false" customHeight="false" outlineLevel="0" collapsed="false">
      <c r="A52" s="73"/>
      <c r="B52" s="83"/>
      <c r="C52" s="84"/>
      <c r="F52" s="73" t="s">
        <v>3145</v>
      </c>
      <c r="G52" s="83" t="n">
        <v>2</v>
      </c>
      <c r="I52" s="73"/>
      <c r="J52" s="83"/>
    </row>
    <row r="53" customFormat="false" ht="15" hidden="false" customHeight="false" outlineLevel="0" collapsed="false">
      <c r="A53" s="73"/>
      <c r="B53" s="83"/>
      <c r="C53" s="84"/>
      <c r="F53" s="73" t="s">
        <v>3146</v>
      </c>
      <c r="G53" s="83" t="n">
        <v>2</v>
      </c>
    </row>
    <row r="54" customFormat="false" ht="15" hidden="false" customHeight="false" outlineLevel="0" collapsed="false">
      <c r="A54" s="73"/>
      <c r="B54" s="83"/>
      <c r="C54" s="84"/>
      <c r="F54" s="73" t="s">
        <v>3147</v>
      </c>
      <c r="G54" s="83" t="n">
        <v>2</v>
      </c>
    </row>
    <row r="55" customFormat="false" ht="15" hidden="false" customHeight="false" outlineLevel="0" collapsed="false">
      <c r="A55" s="73"/>
      <c r="B55" s="83"/>
      <c r="C55" s="84"/>
      <c r="F55" s="73" t="s">
        <v>3148</v>
      </c>
      <c r="G55" s="83" t="n">
        <v>2</v>
      </c>
    </row>
    <row r="56" customFormat="false" ht="15" hidden="false" customHeight="false" outlineLevel="0" collapsed="false">
      <c r="A56" s="73"/>
      <c r="B56" s="83"/>
      <c r="C56" s="84"/>
      <c r="F56" s="73" t="s">
        <v>3149</v>
      </c>
      <c r="G56" s="83" t="n">
        <v>2</v>
      </c>
    </row>
    <row r="57" customFormat="false" ht="15" hidden="false" customHeight="false" outlineLevel="0" collapsed="false">
      <c r="A57" s="73"/>
      <c r="B57" s="83"/>
      <c r="C57" s="84"/>
      <c r="F57" s="73" t="s">
        <v>210</v>
      </c>
      <c r="G57" s="83" t="n">
        <v>2</v>
      </c>
    </row>
    <row r="58" customFormat="false" ht="15" hidden="false" customHeight="false" outlineLevel="0" collapsed="false">
      <c r="A58" s="73"/>
      <c r="B58" s="83"/>
      <c r="C58" s="84"/>
      <c r="F58" s="73"/>
      <c r="G58" s="83"/>
    </row>
    <row r="59" customFormat="false" ht="15" hidden="false" customHeight="false" outlineLevel="0" collapsed="false">
      <c r="A59" s="73"/>
      <c r="B59" s="83"/>
      <c r="C59" s="84"/>
      <c r="F59" s="73"/>
      <c r="G59" s="83"/>
    </row>
    <row r="60" customFormat="false" ht="15" hidden="false" customHeight="false" outlineLevel="0" collapsed="false">
      <c r="A60" s="73"/>
      <c r="B60" s="83"/>
      <c r="C60" s="84"/>
      <c r="F60" s="73"/>
      <c r="G60" s="83"/>
    </row>
    <row r="61" customFormat="false" ht="15" hidden="false" customHeight="false" outlineLevel="0" collapsed="false">
      <c r="A61" s="73"/>
      <c r="B61" s="83"/>
      <c r="C61" s="84"/>
      <c r="F61" s="73"/>
      <c r="G61" s="83"/>
    </row>
    <row r="62" customFormat="false" ht="15" hidden="false" customHeight="false" outlineLevel="0" collapsed="false">
      <c r="A62" s="73"/>
      <c r="B62" s="83"/>
      <c r="C62" s="84"/>
      <c r="F62" s="73"/>
      <c r="G62" s="83"/>
    </row>
    <row r="63" customFormat="false" ht="15" hidden="false" customHeight="false" outlineLevel="0" collapsed="false">
      <c r="A63" s="73"/>
      <c r="B63" s="83"/>
      <c r="C63" s="84"/>
      <c r="F63" s="73"/>
      <c r="G63" s="83"/>
    </row>
    <row r="64" customFormat="false" ht="15" hidden="false" customHeight="false" outlineLevel="0" collapsed="false">
      <c r="A64" s="73"/>
      <c r="B64" s="83"/>
      <c r="C64" s="84"/>
      <c r="F64" s="73"/>
      <c r="G64" s="83"/>
    </row>
  </sheetData>
  <dataValidations count="10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19" type="list">
      <formula1>"Ja,Nein"</formula1>
      <formula2>0</formula2>
    </dataValidation>
    <dataValidation allowBlank="true" errorStyle="stop" operator="between" showDropDown="false" showErrorMessage="false" showInputMessage="false" sqref="J35:J52" type="list">
      <formula1>"1,2,3,2+3,Nein"</formula1>
      <formula2>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  <dataValidation allowBlank="false" errorStyle="stop" operator="between" showDropDown="false" showErrorMessage="false" showInputMessage="false" sqref="E27" type="list">
      <formula1>"Ja,Nein"</formula1>
      <formula2>0</formula2>
    </dataValidation>
    <dataValidation allowBlank="false" errorStyle="stop" operator="between" showDropDown="false" showErrorMessage="false" showInputMessage="false" sqref="E30" type="list">
      <formula1>"Ø-Bestand,MAX-Bestand"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41" t="s">
        <v>3150</v>
      </c>
    </row>
    <row r="2" customFormat="false" ht="15" hidden="false" customHeight="false" outlineLevel="0" collapsed="false">
      <c r="A2" s="42" t="s">
        <v>3151</v>
      </c>
    </row>
    <row r="3" customFormat="false" ht="15" hidden="false" customHeight="false" outlineLevel="0" collapsed="false">
      <c r="A3" s="3" t="s">
        <v>3152</v>
      </c>
    </row>
    <row r="4" customFormat="false" ht="42" hidden="false" customHeight="true" outlineLevel="0" collapsed="false">
      <c r="A4" s="58" t="s">
        <v>104</v>
      </c>
      <c r="B4" s="58" t="s">
        <v>61</v>
      </c>
      <c r="C4" s="58" t="s">
        <v>3153</v>
      </c>
      <c r="D4" s="58" t="s">
        <v>64</v>
      </c>
      <c r="E4" s="58" t="s">
        <v>112</v>
      </c>
      <c r="F4" s="58" t="s">
        <v>113</v>
      </c>
      <c r="G4" s="58" t="s">
        <v>109</v>
      </c>
      <c r="H4" s="58" t="s">
        <v>3154</v>
      </c>
      <c r="I4" s="58" t="s">
        <v>116</v>
      </c>
      <c r="J4" s="58" t="s">
        <v>3155</v>
      </c>
    </row>
    <row r="5" customFormat="false" ht="15" hidden="false" customHeight="false" outlineLevel="0" collapsed="false">
      <c r="A5" s="73"/>
      <c r="B5" s="73"/>
      <c r="C5" s="73"/>
      <c r="D5" s="73"/>
      <c r="E5" s="73"/>
      <c r="F5" s="73"/>
      <c r="G5" s="73"/>
      <c r="H5" s="73"/>
      <c r="I5" s="73"/>
      <c r="J5" s="73"/>
    </row>
    <row r="6" customFormat="false" ht="15" hidden="false" customHeight="false" outlineLevel="0" collapsed="false">
      <c r="A6" s="73"/>
      <c r="B6" s="73"/>
      <c r="C6" s="73"/>
      <c r="D6" s="73"/>
      <c r="E6" s="73"/>
      <c r="F6" s="73"/>
      <c r="G6" s="73"/>
      <c r="H6" s="73"/>
      <c r="I6" s="73"/>
      <c r="J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3"/>
      <c r="G8" s="73"/>
      <c r="H8" s="73"/>
      <c r="I8" s="73"/>
      <c r="J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3"/>
      <c r="G9" s="73"/>
      <c r="H9" s="73"/>
      <c r="I9" s="73"/>
      <c r="J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3"/>
      <c r="G10" s="73"/>
      <c r="H10" s="73"/>
      <c r="I10" s="73"/>
      <c r="J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3"/>
      <c r="G11" s="73"/>
      <c r="H11" s="73"/>
      <c r="I11" s="73"/>
      <c r="J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3"/>
      <c r="G13" s="73"/>
      <c r="H13" s="73"/>
      <c r="I13" s="73"/>
      <c r="J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3"/>
      <c r="G14" s="73"/>
      <c r="H14" s="73"/>
      <c r="I14" s="73"/>
      <c r="J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3"/>
      <c r="G15" s="73"/>
      <c r="H15" s="73"/>
      <c r="I15" s="73"/>
      <c r="J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3"/>
      <c r="G16" s="73"/>
      <c r="H16" s="73"/>
      <c r="I16" s="73"/>
      <c r="J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3"/>
      <c r="G17" s="73"/>
      <c r="H17" s="73"/>
      <c r="I17" s="73"/>
      <c r="J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3"/>
      <c r="G19" s="73"/>
      <c r="H19" s="73"/>
      <c r="I19" s="73"/>
      <c r="J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3"/>
      <c r="G20" s="73"/>
      <c r="H20" s="73"/>
      <c r="I20" s="73"/>
      <c r="J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3"/>
      <c r="G21" s="73"/>
      <c r="H21" s="73"/>
      <c r="I21" s="73"/>
      <c r="J21" s="73"/>
    </row>
    <row r="22" customFormat="false" ht="15" hidden="false" customHeight="false" outlineLevel="0" collapsed="false">
      <c r="A22" s="73"/>
      <c r="B22" s="73"/>
      <c r="C22" s="73"/>
      <c r="D22" s="73"/>
      <c r="E22" s="73"/>
      <c r="F22" s="73"/>
      <c r="G22" s="73"/>
      <c r="H22" s="73"/>
      <c r="I22" s="73"/>
      <c r="J22" s="73"/>
    </row>
    <row r="23" customFormat="false" ht="15" hidden="false" customHeight="false" outlineLevel="0" collapsed="false">
      <c r="A23" s="73"/>
      <c r="B23" s="73"/>
      <c r="C23" s="73"/>
      <c r="D23" s="73"/>
      <c r="E23" s="73"/>
      <c r="F23" s="73"/>
      <c r="G23" s="73"/>
      <c r="H23" s="73"/>
      <c r="I23" s="73"/>
      <c r="J23" s="73"/>
    </row>
    <row r="24" customFormat="false" ht="15" hidden="false" customHeight="fals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</row>
    <row r="25" customFormat="false" ht="15" hidden="false" customHeight="false" outlineLevel="0" collapsed="false">
      <c r="A25" s="73"/>
      <c r="B25" s="73"/>
      <c r="C25" s="73"/>
      <c r="D25" s="73"/>
      <c r="E25" s="73"/>
      <c r="F25" s="73"/>
      <c r="G25" s="73"/>
      <c r="H25" s="73"/>
      <c r="I25" s="73"/>
      <c r="J25" s="73"/>
    </row>
    <row r="26" customFormat="false" ht="15" hidden="false" customHeight="false" outlineLevel="0" collapsed="false">
      <c r="A26" s="73"/>
      <c r="B26" s="73"/>
      <c r="C26" s="73"/>
      <c r="D26" s="73"/>
      <c r="E26" s="73"/>
      <c r="F26" s="73"/>
      <c r="G26" s="73"/>
      <c r="H26" s="73"/>
      <c r="I26" s="73"/>
      <c r="J26" s="73"/>
    </row>
    <row r="27" customFormat="false" ht="15" hidden="false" customHeight="false" outlineLevel="0" collapsed="false">
      <c r="A27" s="73"/>
      <c r="B27" s="73"/>
      <c r="C27" s="73"/>
      <c r="D27" s="73"/>
      <c r="E27" s="73"/>
      <c r="F27" s="73"/>
      <c r="G27" s="73"/>
      <c r="H27" s="73"/>
      <c r="I27" s="73"/>
      <c r="J27" s="73"/>
    </row>
    <row r="28" customFormat="false" ht="15" hidden="false" customHeight="false" outlineLevel="0" collapsed="false">
      <c r="A28" s="73"/>
      <c r="B28" s="73"/>
      <c r="C28" s="73"/>
      <c r="D28" s="73"/>
      <c r="E28" s="73"/>
      <c r="F28" s="73"/>
      <c r="G28" s="73"/>
      <c r="H28" s="73"/>
      <c r="I28" s="73"/>
      <c r="J28" s="73"/>
    </row>
    <row r="29" customFormat="false" ht="15" hidden="false" customHeight="false" outlineLevel="0" collapsed="false">
      <c r="A29" s="73"/>
      <c r="B29" s="73"/>
      <c r="C29" s="73"/>
      <c r="D29" s="73"/>
      <c r="E29" s="73"/>
      <c r="F29" s="73"/>
      <c r="G29" s="73"/>
      <c r="H29" s="73"/>
      <c r="I29" s="73"/>
      <c r="J29" s="73"/>
    </row>
    <row r="30" customFormat="false" ht="15" hidden="false" customHeight="fals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</row>
    <row r="31" customFormat="false" ht="15" hidden="false" customHeight="false" outlineLevel="0" collapsed="false">
      <c r="A31" s="73"/>
      <c r="B31" s="73"/>
      <c r="C31" s="73"/>
      <c r="D31" s="73"/>
      <c r="E31" s="73"/>
      <c r="F31" s="73"/>
      <c r="G31" s="73"/>
      <c r="H31" s="73"/>
      <c r="I31" s="73"/>
      <c r="J31" s="73"/>
    </row>
    <row r="32" customFormat="false" ht="15" hidden="false" customHeight="false" outlineLevel="0" collapsed="false">
      <c r="A32" s="73"/>
      <c r="B32" s="73"/>
      <c r="C32" s="73"/>
      <c r="D32" s="73"/>
      <c r="E32" s="73"/>
      <c r="F32" s="73"/>
      <c r="G32" s="73"/>
      <c r="H32" s="73"/>
      <c r="I32" s="73"/>
      <c r="J32" s="73"/>
    </row>
    <row r="33" customFormat="false" ht="15" hidden="false" customHeight="false" outlineLevel="0" collapsed="false">
      <c r="A33" s="73"/>
      <c r="B33" s="73"/>
      <c r="C33" s="73"/>
      <c r="D33" s="73"/>
      <c r="E33" s="73"/>
      <c r="F33" s="73"/>
      <c r="G33" s="73"/>
      <c r="H33" s="73"/>
      <c r="I33" s="73"/>
      <c r="J33" s="73"/>
    </row>
    <row r="34" customFormat="false" ht="15" hidden="false" customHeight="false" outlineLevel="0" collapsed="false">
      <c r="A34" s="73"/>
      <c r="B34" s="73"/>
      <c r="C34" s="73"/>
      <c r="D34" s="73"/>
      <c r="E34" s="73"/>
      <c r="F34" s="73"/>
      <c r="G34" s="73"/>
      <c r="H34" s="73"/>
      <c r="I34" s="73"/>
      <c r="J34" s="73"/>
    </row>
    <row r="35" customFormat="false" ht="15" hidden="false" customHeight="false" outlineLevel="0" collapsed="false">
      <c r="A35" s="73"/>
      <c r="B35" s="73"/>
      <c r="C35" s="73"/>
      <c r="D35" s="73"/>
      <c r="E35" s="73"/>
      <c r="F35" s="73"/>
      <c r="G35" s="73"/>
      <c r="H35" s="73"/>
      <c r="I35" s="73"/>
      <c r="J35" s="73"/>
    </row>
    <row r="36" customFormat="false" ht="15" hidden="false" customHeight="false" outlineLevel="0" collapsed="false">
      <c r="A36" s="73"/>
      <c r="B36" s="73"/>
      <c r="C36" s="73"/>
      <c r="D36" s="73"/>
      <c r="E36" s="73"/>
      <c r="F36" s="73"/>
      <c r="G36" s="73"/>
      <c r="H36" s="73"/>
      <c r="I36" s="73"/>
      <c r="J36" s="73"/>
    </row>
    <row r="37" customFormat="false" ht="15" hidden="false" customHeight="fals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</row>
    <row r="38" customFormat="false" ht="15" hidden="false" customHeight="false" outlineLevel="0" collapsed="false">
      <c r="A38" s="73"/>
      <c r="B38" s="73"/>
      <c r="C38" s="73"/>
      <c r="D38" s="73"/>
      <c r="E38" s="73"/>
      <c r="F38" s="73"/>
      <c r="G38" s="73"/>
      <c r="H38" s="73"/>
      <c r="I38" s="73"/>
      <c r="J38" s="73"/>
    </row>
    <row r="39" customFormat="false" ht="15" hidden="false" customHeight="false" outlineLevel="0" collapsed="false">
      <c r="A39" s="73"/>
      <c r="B39" s="73"/>
      <c r="C39" s="73"/>
      <c r="D39" s="73"/>
      <c r="E39" s="73"/>
      <c r="F39" s="73"/>
      <c r="G39" s="73"/>
      <c r="H39" s="73"/>
      <c r="I39" s="73"/>
      <c r="J39" s="73"/>
    </row>
    <row r="40" customFormat="false" ht="15" hidden="false" customHeight="false" outlineLevel="0" collapsed="false">
      <c r="A40" s="73"/>
      <c r="B40" s="73"/>
      <c r="C40" s="73"/>
      <c r="D40" s="73"/>
      <c r="E40" s="73"/>
      <c r="F40" s="73"/>
      <c r="G40" s="73"/>
      <c r="H40" s="73"/>
      <c r="I40" s="73"/>
      <c r="J40" s="73"/>
    </row>
    <row r="41" customFormat="false" ht="15" hidden="false" customHeight="false" outlineLevel="0" collapsed="false">
      <c r="A41" s="73"/>
      <c r="B41" s="73"/>
      <c r="C41" s="73"/>
      <c r="D41" s="73"/>
      <c r="E41" s="73"/>
      <c r="F41" s="73"/>
      <c r="G41" s="73"/>
      <c r="H41" s="73"/>
      <c r="I41" s="73"/>
      <c r="J41" s="73"/>
    </row>
    <row r="42" customFormat="false" ht="15" hidden="false" customHeight="false" outlineLevel="0" collapsed="false">
      <c r="A42" s="73"/>
      <c r="B42" s="73"/>
      <c r="C42" s="73"/>
      <c r="D42" s="73"/>
      <c r="E42" s="73"/>
      <c r="F42" s="73"/>
      <c r="G42" s="73"/>
      <c r="H42" s="73"/>
      <c r="I42" s="73"/>
      <c r="J42" s="73"/>
    </row>
    <row r="43" customFormat="false" ht="15" hidden="false" customHeight="fals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</row>
    <row r="44" customFormat="false" ht="15" hidden="false" customHeight="false" outlineLevel="0" collapsed="false">
      <c r="A44" s="73"/>
      <c r="B44" s="73"/>
      <c r="C44" s="73"/>
      <c r="D44" s="73"/>
      <c r="E44" s="73"/>
      <c r="F44" s="73"/>
      <c r="G44" s="73"/>
      <c r="H44" s="73"/>
      <c r="I44" s="73"/>
      <c r="J44" s="73"/>
    </row>
    <row r="45" customFormat="false" ht="15" hidden="false" customHeight="false" outlineLevel="0" collapsed="false">
      <c r="A45" s="73"/>
      <c r="B45" s="73"/>
      <c r="C45" s="73"/>
      <c r="D45" s="73"/>
      <c r="E45" s="73"/>
      <c r="F45" s="73"/>
      <c r="G45" s="73"/>
      <c r="H45" s="73"/>
      <c r="I45" s="73"/>
      <c r="J45" s="73"/>
    </row>
    <row r="46" customFormat="false" ht="15" hidden="false" customHeight="false" outlineLevel="0" collapsed="false">
      <c r="A46" s="73"/>
      <c r="B46" s="73"/>
      <c r="C46" s="73"/>
      <c r="D46" s="73"/>
      <c r="E46" s="73"/>
      <c r="F46" s="73"/>
      <c r="G46" s="73"/>
      <c r="H46" s="73"/>
      <c r="I46" s="73"/>
      <c r="J46" s="73"/>
    </row>
    <row r="47" customFormat="false" ht="15" hidden="false" customHeight="fals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</row>
    <row r="48" customFormat="false" ht="15" hidden="false" customHeight="false" outlineLevel="0" collapsed="false">
      <c r="A48" s="73"/>
      <c r="B48" s="73"/>
      <c r="C48" s="73"/>
      <c r="D48" s="73"/>
      <c r="E48" s="73"/>
      <c r="F48" s="73"/>
      <c r="G48" s="73"/>
      <c r="H48" s="73"/>
      <c r="I48" s="73"/>
      <c r="J48" s="73"/>
    </row>
    <row r="49" customFormat="false" ht="15" hidden="false" customHeight="false" outlineLevel="0" collapsed="false">
      <c r="A49" s="73"/>
      <c r="B49" s="73"/>
      <c r="C49" s="73"/>
      <c r="D49" s="73"/>
      <c r="E49" s="73"/>
      <c r="F49" s="73"/>
      <c r="G49" s="73"/>
      <c r="H49" s="73"/>
      <c r="I49" s="73"/>
      <c r="J49" s="73"/>
    </row>
    <row r="50" customFormat="false" ht="15" hidden="false" customHeight="false" outlineLevel="0" collapsed="false">
      <c r="A50" s="73"/>
      <c r="B50" s="73"/>
      <c r="C50" s="73"/>
      <c r="D50" s="73"/>
      <c r="E50" s="73"/>
      <c r="F50" s="73"/>
      <c r="G50" s="73"/>
      <c r="H50" s="73"/>
      <c r="I50" s="73"/>
      <c r="J50" s="73"/>
    </row>
    <row r="51" customFormat="false" ht="15" hidden="false" customHeight="false" outlineLevel="0" collapsed="false">
      <c r="A51" s="73"/>
      <c r="B51" s="73"/>
      <c r="C51" s="73"/>
      <c r="D51" s="73"/>
      <c r="E51" s="73"/>
      <c r="F51" s="73"/>
      <c r="G51" s="73"/>
      <c r="H51" s="73"/>
      <c r="I51" s="73"/>
      <c r="J51" s="73"/>
    </row>
    <row r="52" customFormat="false" ht="15" hidden="false" customHeight="false" outlineLevel="0" collapsed="false">
      <c r="A52" s="73"/>
      <c r="B52" s="73"/>
      <c r="C52" s="73"/>
      <c r="D52" s="73"/>
      <c r="E52" s="73"/>
      <c r="F52" s="73"/>
      <c r="G52" s="73"/>
      <c r="H52" s="73"/>
      <c r="I52" s="73"/>
      <c r="J52" s="73"/>
    </row>
    <row r="53" customFormat="false" ht="15" hidden="false" customHeight="false" outlineLevel="0" collapsed="false">
      <c r="A53" s="73"/>
      <c r="B53" s="73"/>
      <c r="C53" s="73"/>
      <c r="D53" s="73"/>
      <c r="E53" s="73"/>
      <c r="F53" s="73"/>
      <c r="G53" s="73"/>
      <c r="H53" s="73"/>
      <c r="I53" s="73"/>
      <c r="J53" s="73"/>
    </row>
    <row r="54" customFormat="false" ht="15" hidden="false" customHeight="fals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</row>
    <row r="55" customFormat="false" ht="15" hidden="false" customHeight="fals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</row>
    <row r="56" customFormat="false" ht="15" hidden="false" customHeight="fals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</row>
    <row r="57" customFormat="false" ht="15" hidden="false" customHeight="fals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</row>
    <row r="58" customFormat="false" ht="15" hidden="false" customHeight="false" outlineLevel="0" collapsed="false">
      <c r="A58" s="73"/>
      <c r="B58" s="73"/>
      <c r="C58" s="73"/>
      <c r="D58" s="73"/>
      <c r="E58" s="73"/>
      <c r="F58" s="73"/>
      <c r="G58" s="73"/>
      <c r="H58" s="73"/>
      <c r="I58" s="73"/>
      <c r="J58" s="73"/>
    </row>
    <row r="59" customFormat="false" ht="15" hidden="false" customHeight="false" outlineLevel="0" collapsed="false">
      <c r="A59" s="73"/>
      <c r="B59" s="73"/>
      <c r="C59" s="73"/>
      <c r="D59" s="73"/>
      <c r="E59" s="73"/>
      <c r="F59" s="73"/>
      <c r="G59" s="73"/>
      <c r="H59" s="73"/>
      <c r="I59" s="73"/>
      <c r="J59" s="73"/>
    </row>
    <row r="60" customFormat="false" ht="15" hidden="false" customHeight="false" outlineLevel="0" collapsed="false">
      <c r="A60" s="73"/>
      <c r="B60" s="73"/>
      <c r="C60" s="73"/>
      <c r="D60" s="73"/>
      <c r="E60" s="73"/>
      <c r="F60" s="73"/>
      <c r="G60" s="73"/>
      <c r="H60" s="73"/>
      <c r="I60" s="73"/>
      <c r="J60" s="73"/>
    </row>
    <row r="61" customFormat="false" ht="15" hidden="false" customHeight="false" outlineLevel="0" collapsed="false">
      <c r="A61" s="73"/>
      <c r="B61" s="73"/>
      <c r="C61" s="73"/>
      <c r="D61" s="73"/>
      <c r="E61" s="73"/>
      <c r="F61" s="73"/>
      <c r="G61" s="73"/>
      <c r="H61" s="73"/>
      <c r="I61" s="73"/>
      <c r="J61" s="73"/>
    </row>
    <row r="62" customFormat="false" ht="15" hidden="false" customHeight="fals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</row>
    <row r="63" customFormat="false" ht="15" hidden="false" customHeight="fals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</row>
    <row r="64" customFormat="false" ht="15" hidden="false" customHeight="fals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</row>
    <row r="65" customFormat="false" ht="15" hidden="false" customHeight="fals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</row>
    <row r="66" customFormat="false" ht="15" hidden="false" customHeight="false" outlineLevel="0" collapsed="false">
      <c r="A66" s="73"/>
      <c r="B66" s="73"/>
      <c r="C66" s="73"/>
      <c r="D66" s="73"/>
      <c r="E66" s="73"/>
      <c r="F66" s="73"/>
      <c r="G66" s="73"/>
      <c r="H66" s="73"/>
      <c r="I66" s="73"/>
      <c r="J66" s="73"/>
    </row>
    <row r="67" customFormat="false" ht="15" hidden="false" customHeight="false" outlineLevel="0" collapsed="false">
      <c r="A67" s="73"/>
      <c r="B67" s="73"/>
      <c r="C67" s="73"/>
      <c r="D67" s="73"/>
      <c r="E67" s="73"/>
      <c r="F67" s="73"/>
      <c r="G67" s="73"/>
      <c r="H67" s="73"/>
      <c r="I67" s="73"/>
      <c r="J67" s="73"/>
    </row>
    <row r="68" customFormat="false" ht="15" hidden="false" customHeight="false" outlineLevel="0" collapsed="false">
      <c r="A68" s="73"/>
      <c r="B68" s="73"/>
      <c r="C68" s="73"/>
      <c r="D68" s="73"/>
      <c r="E68" s="73"/>
      <c r="F68" s="73"/>
      <c r="G68" s="73"/>
      <c r="H68" s="73"/>
      <c r="I68" s="73"/>
      <c r="J68" s="73"/>
    </row>
    <row r="69" customFormat="false" ht="15" hidden="false" customHeight="false" outlineLevel="0" collapsed="false">
      <c r="A69" s="73"/>
      <c r="B69" s="73"/>
      <c r="C69" s="73"/>
      <c r="D69" s="73"/>
      <c r="E69" s="73"/>
      <c r="F69" s="73"/>
      <c r="G69" s="73"/>
      <c r="H69" s="73"/>
      <c r="I69" s="73"/>
      <c r="J69" s="73"/>
    </row>
    <row r="70" customFormat="false" ht="15" hidden="false" customHeight="false" outlineLevel="0" collapsed="false">
      <c r="A70" s="73"/>
      <c r="B70" s="73"/>
      <c r="C70" s="73"/>
      <c r="D70" s="73"/>
      <c r="E70" s="73"/>
      <c r="F70" s="73"/>
      <c r="G70" s="73"/>
      <c r="H70" s="73"/>
      <c r="I70" s="73"/>
      <c r="J70" s="73"/>
    </row>
    <row r="71" customFormat="false" ht="15" hidden="false" customHeight="false" outlineLevel="0" collapsed="false">
      <c r="A71" s="73"/>
      <c r="B71" s="73"/>
      <c r="C71" s="73"/>
      <c r="D71" s="73"/>
      <c r="E71" s="73"/>
      <c r="F71" s="73"/>
      <c r="G71" s="73"/>
      <c r="H71" s="73"/>
      <c r="I71" s="73"/>
      <c r="J71" s="73"/>
    </row>
    <row r="72" customFormat="false" ht="15" hidden="false" customHeight="false" outlineLevel="0" collapsed="false">
      <c r="A72" s="73"/>
      <c r="B72" s="73"/>
      <c r="C72" s="73"/>
      <c r="D72" s="73"/>
      <c r="E72" s="73"/>
      <c r="F72" s="73"/>
      <c r="G72" s="73"/>
      <c r="H72" s="73"/>
      <c r="I72" s="73"/>
      <c r="J72" s="73"/>
    </row>
    <row r="73" customFormat="false" ht="15" hidden="false" customHeight="false" outlineLevel="0" collapsed="false">
      <c r="A73" s="73"/>
      <c r="B73" s="73"/>
      <c r="C73" s="73"/>
      <c r="D73" s="73"/>
      <c r="E73" s="73"/>
      <c r="F73" s="73"/>
      <c r="G73" s="73"/>
      <c r="H73" s="73"/>
      <c r="I73" s="73"/>
      <c r="J73" s="73"/>
    </row>
    <row r="74" customFormat="false" ht="15" hidden="false" customHeight="false" outlineLevel="0" collapsed="false">
      <c r="A74" s="73"/>
      <c r="B74" s="73"/>
      <c r="C74" s="73"/>
      <c r="D74" s="73"/>
      <c r="E74" s="73"/>
      <c r="F74" s="73"/>
      <c r="G74" s="73"/>
      <c r="H74" s="73"/>
      <c r="I74" s="73"/>
      <c r="J74" s="73"/>
    </row>
    <row r="75" customFormat="false" ht="15" hidden="false" customHeight="false" outlineLevel="0" collapsed="false">
      <c r="A75" s="73"/>
      <c r="B75" s="73"/>
      <c r="C75" s="73"/>
      <c r="D75" s="73"/>
      <c r="E75" s="73"/>
      <c r="F75" s="73"/>
      <c r="G75" s="73"/>
      <c r="H75" s="73"/>
      <c r="I75" s="73"/>
      <c r="J75" s="73"/>
    </row>
    <row r="76" customFormat="false" ht="15" hidden="false" customHeight="false" outlineLevel="0" collapsed="false">
      <c r="A76" s="73"/>
      <c r="B76" s="73"/>
      <c r="C76" s="73"/>
      <c r="D76" s="73"/>
      <c r="E76" s="73"/>
      <c r="F76" s="73"/>
      <c r="G76" s="73"/>
      <c r="H76" s="73"/>
      <c r="I76" s="73"/>
      <c r="J76" s="73"/>
    </row>
    <row r="77" customFormat="false" ht="15" hidden="false" customHeight="false" outlineLevel="0" collapsed="false">
      <c r="A77" s="73"/>
      <c r="B77" s="73"/>
      <c r="C77" s="73"/>
      <c r="D77" s="73"/>
      <c r="E77" s="73"/>
      <c r="F77" s="73"/>
      <c r="G77" s="73"/>
      <c r="H77" s="73"/>
      <c r="I77" s="73"/>
      <c r="J77" s="73"/>
    </row>
    <row r="78" customFormat="false" ht="15" hidden="false" customHeight="false" outlineLevel="0" collapsed="false">
      <c r="A78" s="73"/>
      <c r="B78" s="73"/>
      <c r="C78" s="73"/>
      <c r="D78" s="73"/>
      <c r="E78" s="73"/>
      <c r="F78" s="73"/>
      <c r="G78" s="73"/>
      <c r="H78" s="73"/>
      <c r="I78" s="73"/>
      <c r="J78" s="73"/>
    </row>
    <row r="79" customFormat="false" ht="15" hidden="false" customHeight="false" outlineLevel="0" collapsed="false">
      <c r="A79" s="73"/>
      <c r="B79" s="73"/>
      <c r="C79" s="73"/>
      <c r="D79" s="73"/>
      <c r="E79" s="73"/>
      <c r="F79" s="73"/>
      <c r="G79" s="73"/>
      <c r="H79" s="73"/>
      <c r="I79" s="73"/>
      <c r="J79" s="73"/>
    </row>
    <row r="80" customFormat="false" ht="15" hidden="false" customHeight="false" outlineLevel="0" collapsed="false">
      <c r="A80" s="73"/>
      <c r="B80" s="73"/>
      <c r="C80" s="73"/>
      <c r="D80" s="73"/>
      <c r="E80" s="73"/>
      <c r="F80" s="73"/>
      <c r="G80" s="73"/>
      <c r="H80" s="73"/>
      <c r="I80" s="73"/>
      <c r="J80" s="73"/>
    </row>
    <row r="81" customFormat="false" ht="15" hidden="false" customHeight="false" outlineLevel="0" collapsed="false">
      <c r="A81" s="73"/>
      <c r="B81" s="73"/>
      <c r="C81" s="73"/>
      <c r="D81" s="73"/>
      <c r="E81" s="73"/>
      <c r="F81" s="73"/>
      <c r="G81" s="73"/>
      <c r="H81" s="73"/>
      <c r="I81" s="73"/>
      <c r="J81" s="73"/>
    </row>
    <row r="82" customFormat="false" ht="15" hidden="false" customHeight="false" outlineLevel="0" collapsed="false">
      <c r="A82" s="73"/>
      <c r="B82" s="73"/>
      <c r="C82" s="73"/>
      <c r="D82" s="73"/>
      <c r="E82" s="73"/>
      <c r="F82" s="73"/>
      <c r="G82" s="73"/>
      <c r="H82" s="73"/>
      <c r="I82" s="73"/>
      <c r="J82" s="73"/>
    </row>
    <row r="83" customFormat="false" ht="15" hidden="false" customHeight="false" outlineLevel="0" collapsed="false">
      <c r="A83" s="73"/>
      <c r="B83" s="73"/>
      <c r="C83" s="73"/>
      <c r="D83" s="73"/>
      <c r="E83" s="73"/>
      <c r="F83" s="73"/>
      <c r="G83" s="73"/>
      <c r="H83" s="73"/>
      <c r="I83" s="73"/>
      <c r="J83" s="73"/>
    </row>
    <row r="84" customFormat="false" ht="15" hidden="false" customHeight="false" outlineLevel="0" collapsed="false">
      <c r="A84" s="73"/>
      <c r="B84" s="73"/>
      <c r="C84" s="73"/>
      <c r="D84" s="73"/>
      <c r="E84" s="73"/>
      <c r="F84" s="73"/>
      <c r="G84" s="73"/>
      <c r="H84" s="73"/>
      <c r="I84" s="73"/>
      <c r="J84" s="73"/>
    </row>
    <row r="85" customFormat="false" ht="15" hidden="false" customHeight="false" outlineLevel="0" collapsed="false">
      <c r="A85" s="73"/>
      <c r="B85" s="73"/>
      <c r="C85" s="73"/>
      <c r="D85" s="73"/>
      <c r="E85" s="73"/>
      <c r="F85" s="73"/>
      <c r="G85" s="73"/>
      <c r="H85" s="73"/>
      <c r="I85" s="73"/>
      <c r="J85" s="73"/>
    </row>
    <row r="86" customFormat="false" ht="15" hidden="false" customHeight="false" outlineLevel="0" collapsed="false">
      <c r="A86" s="73"/>
      <c r="B86" s="73"/>
      <c r="C86" s="73"/>
      <c r="D86" s="73"/>
      <c r="E86" s="73"/>
      <c r="F86" s="73"/>
      <c r="G86" s="73"/>
      <c r="H86" s="73"/>
      <c r="I86" s="73"/>
      <c r="J86" s="73"/>
    </row>
    <row r="87" customFormat="false" ht="15" hidden="false" customHeight="false" outlineLevel="0" collapsed="false">
      <c r="A87" s="73"/>
      <c r="B87" s="73"/>
      <c r="C87" s="73"/>
      <c r="D87" s="73"/>
      <c r="E87" s="73"/>
      <c r="F87" s="73"/>
      <c r="G87" s="73"/>
      <c r="H87" s="73"/>
      <c r="I87" s="73"/>
      <c r="J87" s="73"/>
    </row>
    <row r="88" customFormat="false" ht="15" hidden="false" customHeight="false" outlineLevel="0" collapsed="false">
      <c r="A88" s="73"/>
      <c r="B88" s="73"/>
      <c r="C88" s="73"/>
      <c r="D88" s="73"/>
      <c r="E88" s="73"/>
      <c r="F88" s="73"/>
      <c r="G88" s="73"/>
      <c r="H88" s="73"/>
      <c r="I88" s="73"/>
      <c r="J88" s="73"/>
    </row>
    <row r="89" customFormat="false" ht="15" hidden="false" customHeight="false" outlineLevel="0" collapsed="false">
      <c r="A89" s="73"/>
      <c r="B89" s="73"/>
      <c r="C89" s="73"/>
      <c r="D89" s="73"/>
      <c r="E89" s="73"/>
      <c r="F89" s="73"/>
      <c r="G89" s="73"/>
      <c r="H89" s="73"/>
      <c r="I89" s="73"/>
      <c r="J89" s="73"/>
    </row>
    <row r="90" customFormat="false" ht="15" hidden="false" customHeight="false" outlineLevel="0" collapsed="false">
      <c r="A90" s="73"/>
      <c r="B90" s="73"/>
      <c r="C90" s="73"/>
      <c r="D90" s="73"/>
      <c r="E90" s="73"/>
      <c r="F90" s="73"/>
      <c r="G90" s="73"/>
      <c r="H90" s="73"/>
      <c r="I90" s="73"/>
      <c r="J90" s="73"/>
    </row>
    <row r="91" customFormat="false" ht="15" hidden="false" customHeight="false" outlineLevel="0" collapsed="false">
      <c r="A91" s="73"/>
      <c r="B91" s="73"/>
      <c r="C91" s="73"/>
      <c r="D91" s="73"/>
      <c r="E91" s="73"/>
      <c r="F91" s="73"/>
      <c r="G91" s="73"/>
      <c r="H91" s="73"/>
      <c r="I91" s="73"/>
      <c r="J91" s="73"/>
    </row>
    <row r="92" customFormat="false" ht="15" hidden="false" customHeight="false" outlineLevel="0" collapsed="false">
      <c r="A92" s="73"/>
      <c r="B92" s="73"/>
      <c r="C92" s="73"/>
      <c r="D92" s="73"/>
      <c r="E92" s="73"/>
      <c r="F92" s="73"/>
      <c r="G92" s="73"/>
      <c r="H92" s="73"/>
      <c r="I92" s="73"/>
      <c r="J92" s="73"/>
    </row>
    <row r="93" customFormat="false" ht="15" hidden="false" customHeight="false" outlineLevel="0" collapsed="false">
      <c r="A93" s="73"/>
      <c r="B93" s="73"/>
      <c r="C93" s="73"/>
      <c r="D93" s="73"/>
      <c r="E93" s="73"/>
      <c r="F93" s="73"/>
      <c r="G93" s="73"/>
      <c r="H93" s="73"/>
      <c r="I93" s="73"/>
      <c r="J93" s="73"/>
    </row>
    <row r="94" customFormat="false" ht="15" hidden="false" customHeight="false" outlineLevel="0" collapsed="false">
      <c r="A94" s="73"/>
      <c r="B94" s="73"/>
      <c r="C94" s="73"/>
      <c r="D94" s="73"/>
      <c r="E94" s="73"/>
      <c r="F94" s="73"/>
      <c r="G94" s="73"/>
      <c r="H94" s="73"/>
      <c r="I94" s="73"/>
      <c r="J94" s="73"/>
    </row>
    <row r="95" customFormat="false" ht="15" hidden="false" customHeight="false" outlineLevel="0" collapsed="false">
      <c r="A95" s="73"/>
      <c r="B95" s="73"/>
      <c r="C95" s="73"/>
      <c r="D95" s="73"/>
      <c r="E95" s="73"/>
      <c r="F95" s="73"/>
      <c r="G95" s="73"/>
      <c r="H95" s="73"/>
      <c r="I95" s="73"/>
      <c r="J95" s="73"/>
    </row>
    <row r="96" customFormat="false" ht="15" hidden="false" customHeight="false" outlineLevel="0" collapsed="false">
      <c r="A96" s="73"/>
      <c r="B96" s="73"/>
      <c r="C96" s="73"/>
      <c r="D96" s="73"/>
      <c r="E96" s="73"/>
      <c r="F96" s="73"/>
      <c r="G96" s="73"/>
      <c r="H96" s="73"/>
      <c r="I96" s="73"/>
      <c r="J96" s="73"/>
    </row>
    <row r="97" customFormat="false" ht="15" hidden="false" customHeight="false" outlineLevel="0" collapsed="false">
      <c r="A97" s="73"/>
      <c r="B97" s="73"/>
      <c r="C97" s="73"/>
      <c r="D97" s="73"/>
      <c r="E97" s="73"/>
      <c r="F97" s="73"/>
      <c r="G97" s="73"/>
      <c r="H97" s="73"/>
      <c r="I97" s="73"/>
      <c r="J97" s="73"/>
    </row>
    <row r="98" customFormat="false" ht="15" hidden="false" customHeight="false" outlineLevel="0" collapsed="false">
      <c r="A98" s="73"/>
      <c r="B98" s="73"/>
      <c r="C98" s="73"/>
      <c r="D98" s="73"/>
      <c r="E98" s="73"/>
      <c r="F98" s="73"/>
      <c r="G98" s="73"/>
      <c r="H98" s="73"/>
      <c r="I98" s="73"/>
      <c r="J98" s="73"/>
    </row>
    <row r="99" customFormat="false" ht="15" hidden="false" customHeight="false" outlineLevel="0" collapsed="false">
      <c r="A99" s="73"/>
      <c r="B99" s="73"/>
      <c r="C99" s="73"/>
      <c r="D99" s="73"/>
      <c r="E99" s="73"/>
      <c r="F99" s="73"/>
      <c r="G99" s="73"/>
      <c r="H99" s="73"/>
      <c r="I99" s="73"/>
      <c r="J99" s="73"/>
    </row>
    <row r="100" customFormat="false" ht="15" hidden="false" customHeight="false" outlineLevel="0" collapsed="false">
      <c r="A100" s="73"/>
      <c r="B100" s="73"/>
      <c r="C100" s="73"/>
      <c r="D100" s="73"/>
      <c r="E100" s="73"/>
      <c r="F100" s="73"/>
      <c r="G100" s="73"/>
      <c r="H100" s="73"/>
      <c r="I100" s="73"/>
      <c r="J100" s="73"/>
    </row>
    <row r="101" customFormat="false" ht="15" hidden="false" customHeight="false" outlineLevel="0" collapsed="false">
      <c r="A101" s="73"/>
      <c r="B101" s="73"/>
      <c r="C101" s="73"/>
      <c r="D101" s="73"/>
      <c r="E101" s="73"/>
      <c r="F101" s="73"/>
      <c r="G101" s="73"/>
      <c r="H101" s="73"/>
      <c r="I101" s="73"/>
      <c r="J101" s="73"/>
    </row>
    <row r="102" customFormat="false" ht="15" hidden="false" customHeight="false" outlineLevel="0" collapsed="false">
      <c r="A102" s="73"/>
      <c r="B102" s="73"/>
      <c r="C102" s="73"/>
      <c r="D102" s="73"/>
      <c r="E102" s="73"/>
      <c r="F102" s="73"/>
      <c r="G102" s="73"/>
      <c r="H102" s="73"/>
      <c r="I102" s="73"/>
      <c r="J102" s="73"/>
    </row>
    <row r="103" customFormat="false" ht="15" hidden="false" customHeight="false" outlineLevel="0" collapsed="false">
      <c r="A103" s="73"/>
      <c r="B103" s="73"/>
      <c r="C103" s="73"/>
      <c r="D103" s="73"/>
      <c r="E103" s="73"/>
      <c r="F103" s="73"/>
      <c r="G103" s="73"/>
      <c r="H103" s="73"/>
      <c r="I103" s="73"/>
      <c r="J103" s="73"/>
    </row>
    <row r="104" customFormat="false" ht="15" hidden="false" customHeight="fals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  <c r="J104" s="73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7.35" hidden="false" customHeight="false" outlineLevel="0" collapsed="false">
      <c r="A1" s="41" t="s">
        <v>3156</v>
      </c>
    </row>
    <row r="2" customFormat="false" ht="15" hidden="false" customHeight="false" outlineLevel="0" collapsed="false">
      <c r="A2" s="42" t="s">
        <v>3157</v>
      </c>
    </row>
    <row r="3" customFormat="false" ht="15" hidden="false" customHeight="false" outlineLevel="0" collapsed="false">
      <c r="A3" s="56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58" t="s">
        <v>63</v>
      </c>
      <c r="B4" s="58" t="s">
        <v>61</v>
      </c>
      <c r="C4" s="58" t="s">
        <v>3158</v>
      </c>
      <c r="D4" s="58" t="s">
        <v>3159</v>
      </c>
      <c r="E4" s="58" t="s">
        <v>3160</v>
      </c>
      <c r="F4" s="58" t="s">
        <v>3161</v>
      </c>
      <c r="G4" s="58" t="s">
        <v>3162</v>
      </c>
      <c r="H4" s="58" t="s">
        <v>3163</v>
      </c>
      <c r="I4" s="58" t="s">
        <v>3164</v>
      </c>
      <c r="J4" s="58" t="s">
        <v>3165</v>
      </c>
      <c r="K4" s="58" t="s">
        <v>3166</v>
      </c>
      <c r="L4" s="58" t="s">
        <v>3167</v>
      </c>
      <c r="M4" s="58" t="s">
        <v>3168</v>
      </c>
      <c r="N4" s="58" t="s">
        <v>3169</v>
      </c>
    </row>
    <row r="5" customFormat="false" ht="15" hidden="false" customHeight="false" outlineLevel="0" collapsed="false">
      <c r="A5" s="73" t="s">
        <v>443</v>
      </c>
      <c r="B5" s="73" t="s">
        <v>3170</v>
      </c>
      <c r="C5" s="82" t="n">
        <v>8.7</v>
      </c>
      <c r="D5" s="82" t="n">
        <v>9.4</v>
      </c>
      <c r="E5" s="82" t="n">
        <v>8</v>
      </c>
      <c r="F5" s="85" t="n">
        <f aca="false">IF(A5="","",C5*D5/10000)</f>
        <v>0.008178</v>
      </c>
      <c r="G5" s="85" t="n">
        <f aca="false">IF(A5="","",C5*D5*E5/1000000)</f>
        <v>0.00065424</v>
      </c>
      <c r="H5" s="74" t="n">
        <v>87</v>
      </c>
      <c r="I5" s="74" t="n">
        <v>94</v>
      </c>
      <c r="J5" s="74" t="n">
        <v>1</v>
      </c>
      <c r="K5" s="81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74" t="n">
        <v>280</v>
      </c>
      <c r="M5" s="78" t="n">
        <f aca="false">IF(A5="","",IF(N(L5)&gt;0,L5,N(K5)))</f>
        <v>280</v>
      </c>
      <c r="N5" s="74" t="n">
        <v>12</v>
      </c>
    </row>
    <row r="6" customFormat="false" ht="15" hidden="false" customHeight="false" outlineLevel="0" collapsed="false">
      <c r="A6" s="73" t="s">
        <v>468</v>
      </c>
      <c r="B6" s="73" t="s">
        <v>3171</v>
      </c>
      <c r="C6" s="82" t="n">
        <v>17.8</v>
      </c>
      <c r="D6" s="82" t="n">
        <v>9.4</v>
      </c>
      <c r="E6" s="82" t="n">
        <v>8</v>
      </c>
      <c r="F6" s="85" t="n">
        <f aca="false">IF(A6="","",C6*D6/10000)</f>
        <v>0.016732</v>
      </c>
      <c r="G6" s="85" t="n">
        <f aca="false">IF(A6="","",C6*D6*E6/1000000)</f>
        <v>0.00133856</v>
      </c>
      <c r="H6" s="74" t="n">
        <v>178</v>
      </c>
      <c r="I6" s="74" t="n">
        <v>94</v>
      </c>
      <c r="J6" s="74" t="n">
        <v>1</v>
      </c>
      <c r="K6" s="81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74" t="n">
        <v>140</v>
      </c>
      <c r="M6" s="78" t="n">
        <f aca="false">IF(A6="","",IF(N(L6)&gt;0,L6,N(K6)))</f>
        <v>140</v>
      </c>
      <c r="N6" s="74" t="n">
        <v>12</v>
      </c>
    </row>
    <row r="7" customFormat="false" ht="15" hidden="false" customHeight="false" outlineLevel="0" collapsed="false">
      <c r="A7" s="73" t="s">
        <v>463</v>
      </c>
      <c r="B7" s="73" t="s">
        <v>3172</v>
      </c>
      <c r="C7" s="82" t="n">
        <v>17.7</v>
      </c>
      <c r="D7" s="82" t="n">
        <v>13.6</v>
      </c>
      <c r="E7" s="82" t="n">
        <v>8</v>
      </c>
      <c r="F7" s="85" t="n">
        <f aca="false">IF(A7="","",C7*D7/10000)</f>
        <v>0.024072</v>
      </c>
      <c r="G7" s="85" t="n">
        <f aca="false">IF(A7="","",C7*D7*E7/1000000)</f>
        <v>0.00192576</v>
      </c>
      <c r="H7" s="74" t="n">
        <v>177</v>
      </c>
      <c r="I7" s="74" t="n">
        <v>136</v>
      </c>
      <c r="J7" s="74" t="n">
        <v>1</v>
      </c>
      <c r="K7" s="81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74" t="n">
        <v>104</v>
      </c>
      <c r="M7" s="78" t="n">
        <f aca="false">IF(A7="","",IF(N(L7)&gt;0,L7,N(K7)))</f>
        <v>104</v>
      </c>
      <c r="N7" s="74" t="n">
        <v>12</v>
      </c>
    </row>
    <row r="8" customFormat="false" ht="15" hidden="false" customHeight="false" outlineLevel="0" collapsed="false">
      <c r="A8" s="73" t="s">
        <v>518</v>
      </c>
      <c r="B8" s="73" t="s">
        <v>3173</v>
      </c>
      <c r="C8" s="82" t="n">
        <v>35.8</v>
      </c>
      <c r="D8" s="82" t="n">
        <v>13.6</v>
      </c>
      <c r="E8" s="82" t="n">
        <v>8</v>
      </c>
      <c r="F8" s="85" t="n">
        <f aca="false">IF(A8="","",C8*D8/10000)</f>
        <v>0.048688</v>
      </c>
      <c r="G8" s="85" t="n">
        <f aca="false">IF(A8="","",C8*D8*E8/1000000)</f>
        <v>0.00389504</v>
      </c>
      <c r="H8" s="74" t="n">
        <v>358</v>
      </c>
      <c r="I8" s="74" t="n">
        <v>136</v>
      </c>
      <c r="J8" s="74" t="n">
        <v>1</v>
      </c>
      <c r="K8" s="81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74" t="n">
        <v>52</v>
      </c>
      <c r="M8" s="78" t="n">
        <f aca="false">IF(A8="","",IF(N(L8)&gt;0,L8,N(K8)))</f>
        <v>52</v>
      </c>
      <c r="N8" s="74" t="n">
        <v>12</v>
      </c>
    </row>
    <row r="9" customFormat="false" ht="15" hidden="false" customHeight="false" outlineLevel="0" collapsed="false">
      <c r="A9" s="73" t="s">
        <v>370</v>
      </c>
      <c r="B9" s="73" t="s">
        <v>3174</v>
      </c>
      <c r="C9" s="82" t="n">
        <v>27</v>
      </c>
      <c r="D9" s="82" t="n">
        <v>17</v>
      </c>
      <c r="E9" s="82" t="n">
        <v>11</v>
      </c>
      <c r="F9" s="85" t="n">
        <f aca="false">IF(A9="","",C9*D9/10000)</f>
        <v>0.0459</v>
      </c>
      <c r="G9" s="85" t="n">
        <f aca="false">IF(A9="","",C9*D9*E9/1000000)</f>
        <v>0.005049</v>
      </c>
      <c r="H9" s="74" t="n">
        <v>300</v>
      </c>
      <c r="I9" s="74" t="n">
        <v>200</v>
      </c>
      <c r="J9" s="74" t="n">
        <v>1</v>
      </c>
      <c r="K9" s="81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74" t="n">
        <v>52</v>
      </c>
      <c r="M9" s="78" t="n">
        <f aca="false">IF(A9="","",IF(N(L9)&gt;0,L9,N(K9)))</f>
        <v>52</v>
      </c>
      <c r="N9" s="74" t="n">
        <v>12</v>
      </c>
    </row>
    <row r="10" customFormat="false" ht="15" hidden="false" customHeight="false" outlineLevel="0" collapsed="false">
      <c r="A10" s="73" t="s">
        <v>344</v>
      </c>
      <c r="B10" s="73" t="s">
        <v>3175</v>
      </c>
      <c r="C10" s="82" t="n">
        <v>37</v>
      </c>
      <c r="D10" s="82" t="n">
        <v>27</v>
      </c>
      <c r="E10" s="82" t="n">
        <v>11</v>
      </c>
      <c r="F10" s="85" t="n">
        <f aca="false">IF(A10="","",C10*D10/10000)</f>
        <v>0.0999</v>
      </c>
      <c r="G10" s="85" t="n">
        <f aca="false">IF(A10="","",C10*D10*E10/1000000)</f>
        <v>0.010989</v>
      </c>
      <c r="H10" s="74" t="n">
        <v>400</v>
      </c>
      <c r="I10" s="74" t="n">
        <v>300</v>
      </c>
      <c r="J10" s="74" t="n">
        <v>1</v>
      </c>
      <c r="K10" s="81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74" t="n">
        <v>26</v>
      </c>
      <c r="M10" s="78" t="n">
        <f aca="false">IF(A10="","",IF(N(L10)&gt;0,L10,N(K10)))</f>
        <v>26</v>
      </c>
      <c r="N10" s="74" t="n">
        <v>12</v>
      </c>
    </row>
    <row r="11" customFormat="false" ht="15" hidden="false" customHeight="false" outlineLevel="0" collapsed="false">
      <c r="A11" s="73" t="s">
        <v>275</v>
      </c>
      <c r="B11" s="73" t="s">
        <v>3176</v>
      </c>
      <c r="C11" s="82" t="n">
        <v>37</v>
      </c>
      <c r="D11" s="82" t="n">
        <v>27</v>
      </c>
      <c r="E11" s="82" t="n">
        <v>21</v>
      </c>
      <c r="F11" s="85" t="n">
        <f aca="false">IF(A11="","",C11*D11/10000)</f>
        <v>0.0999</v>
      </c>
      <c r="G11" s="85" t="n">
        <f aca="false">IF(A11="","",C11*D11*E11/1000000)</f>
        <v>0.020979</v>
      </c>
      <c r="H11" s="74" t="n">
        <v>400</v>
      </c>
      <c r="I11" s="74" t="n">
        <v>300</v>
      </c>
      <c r="J11" s="74" t="n">
        <v>1</v>
      </c>
      <c r="K11" s="81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74" t="n">
        <v>26</v>
      </c>
      <c r="M11" s="78" t="n">
        <f aca="false">IF(A11="","",IF(N(L11)&gt;0,L11,N(K11)))</f>
        <v>26</v>
      </c>
      <c r="N11" s="74" t="n">
        <v>21</v>
      </c>
    </row>
    <row r="12" customFormat="false" ht="15" hidden="false" customHeight="false" outlineLevel="0" collapsed="false">
      <c r="A12" s="73" t="s">
        <v>228</v>
      </c>
      <c r="B12" s="73" t="s">
        <v>3177</v>
      </c>
      <c r="C12" s="82" t="n">
        <v>57</v>
      </c>
      <c r="D12" s="82" t="n">
        <v>37</v>
      </c>
      <c r="E12" s="82" t="n">
        <v>11</v>
      </c>
      <c r="F12" s="85" t="n">
        <f aca="false">IF(A12="","",C12*D12/10000)</f>
        <v>0.2109</v>
      </c>
      <c r="G12" s="85" t="n">
        <f aca="false">IF(A12="","",C12*D12*E12/1000000)</f>
        <v>0.023199</v>
      </c>
      <c r="H12" s="74" t="n">
        <v>600</v>
      </c>
      <c r="I12" s="74" t="n">
        <v>400</v>
      </c>
      <c r="J12" s="74" t="n">
        <v>1</v>
      </c>
      <c r="K12" s="81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74" t="n">
        <v>12</v>
      </c>
      <c r="M12" s="78" t="n">
        <f aca="false">IF(A12="","",IF(N(L12)&gt;0,L12,N(K12)))</f>
        <v>12</v>
      </c>
      <c r="N12" s="74" t="n">
        <v>11</v>
      </c>
    </row>
    <row r="13" customFormat="false" ht="15" hidden="false" customHeight="false" outlineLevel="0" collapsed="false">
      <c r="A13" s="73" t="s">
        <v>335</v>
      </c>
      <c r="B13" s="73" t="s">
        <v>3178</v>
      </c>
      <c r="C13" s="82" t="n">
        <v>57</v>
      </c>
      <c r="D13" s="82" t="n">
        <v>37</v>
      </c>
      <c r="E13" s="82" t="n">
        <v>21</v>
      </c>
      <c r="F13" s="85" t="n">
        <f aca="false">IF(A13="","",C13*D13/10000)</f>
        <v>0.2109</v>
      </c>
      <c r="G13" s="85" t="n">
        <f aca="false">IF(A13="","",C13*D13*E13/1000000)</f>
        <v>0.044289</v>
      </c>
      <c r="H13" s="74" t="n">
        <v>600</v>
      </c>
      <c r="I13" s="74" t="n">
        <v>400</v>
      </c>
      <c r="J13" s="74" t="n">
        <v>1</v>
      </c>
      <c r="K13" s="81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74" t="n">
        <v>12</v>
      </c>
      <c r="M13" s="78" t="n">
        <f aca="false">IF(A13="","",IF(N(L13)&gt;0,L13,N(K13)))</f>
        <v>12</v>
      </c>
      <c r="N13" s="74" t="n">
        <v>21</v>
      </c>
    </row>
    <row r="14" customFormat="false" ht="15" hidden="false" customHeight="false" outlineLevel="0" collapsed="false">
      <c r="A14" s="73" t="s">
        <v>268</v>
      </c>
      <c r="B14" s="73" t="s">
        <v>3179</v>
      </c>
      <c r="C14" s="82" t="n">
        <v>57</v>
      </c>
      <c r="D14" s="82" t="n">
        <v>37</v>
      </c>
      <c r="E14" s="82" t="n">
        <v>31</v>
      </c>
      <c r="F14" s="85" t="n">
        <f aca="false">IF(A14="","",C14*D14/10000)</f>
        <v>0.2109</v>
      </c>
      <c r="G14" s="85" t="n">
        <f aca="false">IF(A14="","",C14*D14*E14/1000000)</f>
        <v>0.065379</v>
      </c>
      <c r="H14" s="74" t="n">
        <v>600</v>
      </c>
      <c r="I14" s="74" t="n">
        <v>400</v>
      </c>
      <c r="J14" s="74" t="n">
        <v>1</v>
      </c>
      <c r="K14" s="81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74" t="n">
        <v>12</v>
      </c>
      <c r="M14" s="78" t="n">
        <f aca="false">IF(A14="","",IF(N(L14)&gt;0,L14,N(K14)))</f>
        <v>12</v>
      </c>
      <c r="N14" s="74" t="n">
        <v>31</v>
      </c>
    </row>
    <row r="15" customFormat="false" ht="15" hidden="false" customHeight="false" outlineLevel="0" collapsed="false">
      <c r="A15" s="73" t="s">
        <v>216</v>
      </c>
      <c r="B15" s="73" t="s">
        <v>3180</v>
      </c>
      <c r="C15" s="82" t="n">
        <v>80</v>
      </c>
      <c r="D15" s="82" t="n">
        <v>60</v>
      </c>
      <c r="E15" s="82" t="n">
        <v>20</v>
      </c>
      <c r="F15" s="85" t="n">
        <f aca="false">IF(A15="","",C15*D15/10000)</f>
        <v>0.48</v>
      </c>
      <c r="G15" s="85" t="n">
        <f aca="false">IF(A15="","",C15*D15*E15/1000000)</f>
        <v>0.096</v>
      </c>
      <c r="H15" s="74" t="n">
        <v>800</v>
      </c>
      <c r="I15" s="74" t="n">
        <v>600</v>
      </c>
      <c r="J15" s="74" t="n">
        <v>1</v>
      </c>
      <c r="K15" s="81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74" t="n">
        <v>6</v>
      </c>
      <c r="M15" s="78" t="n">
        <f aca="false">IF(A15="","",IF(N(L15)&gt;0,L15,N(K15)))</f>
        <v>6</v>
      </c>
      <c r="N15" s="74" t="n">
        <v>20</v>
      </c>
    </row>
    <row r="16" customFormat="false" ht="15" hidden="false" customHeight="false" outlineLevel="0" collapsed="false">
      <c r="A16" s="73" t="s">
        <v>301</v>
      </c>
      <c r="B16" s="73" t="s">
        <v>3181</v>
      </c>
      <c r="C16" s="82" t="n">
        <v>80</v>
      </c>
      <c r="D16" s="82" t="n">
        <v>60</v>
      </c>
      <c r="E16" s="82" t="n">
        <v>40</v>
      </c>
      <c r="F16" s="85" t="n">
        <f aca="false">IF(A16="","",C16*D16/10000)</f>
        <v>0.48</v>
      </c>
      <c r="G16" s="85" t="n">
        <f aca="false">IF(A16="","",C16*D16*E16/1000000)</f>
        <v>0.192</v>
      </c>
      <c r="H16" s="74" t="n">
        <v>800</v>
      </c>
      <c r="I16" s="74" t="n">
        <v>600</v>
      </c>
      <c r="J16" s="74" t="n">
        <v>1</v>
      </c>
      <c r="K16" s="81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74" t="n">
        <v>6</v>
      </c>
      <c r="M16" s="78" t="n">
        <f aca="false">IF(A16="","",IF(N(L16)&gt;0,L16,N(K16)))</f>
        <v>6</v>
      </c>
      <c r="N16" s="74" t="n">
        <v>40</v>
      </c>
    </row>
    <row r="17" customFormat="false" ht="15" hidden="false" customHeight="false" outlineLevel="0" collapsed="false">
      <c r="A17" s="73" t="s">
        <v>3141</v>
      </c>
      <c r="B17" s="73" t="s">
        <v>3182</v>
      </c>
      <c r="C17" s="82" t="n">
        <v>80</v>
      </c>
      <c r="D17" s="82" t="n">
        <v>60</v>
      </c>
      <c r="E17" s="82" t="n">
        <v>60</v>
      </c>
      <c r="F17" s="85" t="n">
        <f aca="false">IF(A17="","",C17*D17/10000)</f>
        <v>0.48</v>
      </c>
      <c r="G17" s="85" t="n">
        <f aca="false">IF(A17="","",C17*D17*E17/1000000)</f>
        <v>0.288</v>
      </c>
      <c r="H17" s="74" t="n">
        <v>800</v>
      </c>
      <c r="I17" s="74" t="n">
        <v>600</v>
      </c>
      <c r="J17" s="74" t="n">
        <v>1</v>
      </c>
      <c r="K17" s="81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74" t="n">
        <v>6</v>
      </c>
      <c r="M17" s="78" t="n">
        <f aca="false">IF(A17="","",IF(N(L17)&gt;0,L17,N(K17)))</f>
        <v>6</v>
      </c>
      <c r="N17" s="74" t="n">
        <v>60</v>
      </c>
    </row>
    <row r="18" customFormat="false" ht="15" hidden="false" customHeight="false" outlineLevel="0" collapsed="false">
      <c r="A18" s="73" t="s">
        <v>265</v>
      </c>
      <c r="B18" s="73" t="s">
        <v>3183</v>
      </c>
      <c r="C18" s="82" t="n">
        <v>120</v>
      </c>
      <c r="D18" s="82" t="n">
        <v>80</v>
      </c>
      <c r="E18" s="82" t="n">
        <v>20</v>
      </c>
      <c r="F18" s="85" t="n">
        <f aca="false">IF(A18="","",C18*D18/10000)</f>
        <v>0.96</v>
      </c>
      <c r="G18" s="85" t="n">
        <f aca="false">IF(A18="","",C18*D18*E18/1000000)</f>
        <v>0.192</v>
      </c>
      <c r="H18" s="74" t="n">
        <v>1200</v>
      </c>
      <c r="I18" s="74" t="n">
        <v>800</v>
      </c>
      <c r="J18" s="74" t="n">
        <v>1</v>
      </c>
      <c r="K18" s="81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74" t="n">
        <v>4</v>
      </c>
      <c r="M18" s="78" t="n">
        <f aca="false">IF(A18="","",IF(N(L18)&gt;0,L18,N(K18)))</f>
        <v>4</v>
      </c>
      <c r="N18" s="74" t="n">
        <v>20</v>
      </c>
    </row>
    <row r="19" customFormat="false" ht="15" hidden="false" customHeight="false" outlineLevel="0" collapsed="false">
      <c r="A19" s="73" t="s">
        <v>390</v>
      </c>
      <c r="B19" s="73" t="s">
        <v>3184</v>
      </c>
      <c r="C19" s="82" t="n">
        <v>120</v>
      </c>
      <c r="D19" s="82" t="n">
        <v>80</v>
      </c>
      <c r="E19" s="82" t="n">
        <v>40</v>
      </c>
      <c r="F19" s="85" t="n">
        <f aca="false">IF(A19="","",C19*D19/10000)</f>
        <v>0.96</v>
      </c>
      <c r="G19" s="85" t="n">
        <f aca="false">IF(A19="","",C19*D19*E19/1000000)</f>
        <v>0.384</v>
      </c>
      <c r="H19" s="74" t="n">
        <v>1200</v>
      </c>
      <c r="I19" s="74" t="n">
        <v>800</v>
      </c>
      <c r="J19" s="74" t="n">
        <v>1</v>
      </c>
      <c r="K19" s="81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74" t="n">
        <v>4</v>
      </c>
      <c r="M19" s="78" t="n">
        <f aca="false">IF(A19="","",IF(N(L19)&gt;0,L19,N(K19)))</f>
        <v>4</v>
      </c>
      <c r="N19" s="74" t="n">
        <v>40</v>
      </c>
    </row>
    <row r="20" customFormat="false" ht="15" hidden="false" customHeight="false" outlineLevel="0" collapsed="false">
      <c r="A20" s="73" t="s">
        <v>3143</v>
      </c>
      <c r="B20" s="73" t="s">
        <v>3185</v>
      </c>
      <c r="C20" s="82" t="n">
        <v>120</v>
      </c>
      <c r="D20" s="82" t="n">
        <v>80</v>
      </c>
      <c r="E20" s="82" t="n">
        <v>60</v>
      </c>
      <c r="F20" s="85" t="n">
        <f aca="false">IF(A20="","",C20*D20/10000)</f>
        <v>0.96</v>
      </c>
      <c r="G20" s="85" t="n">
        <f aca="false">IF(A20="","",C20*D20*E20/1000000)</f>
        <v>0.576</v>
      </c>
      <c r="H20" s="74" t="n">
        <v>1200</v>
      </c>
      <c r="I20" s="74" t="n">
        <v>800</v>
      </c>
      <c r="J20" s="74" t="n">
        <v>1</v>
      </c>
      <c r="K20" s="81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74" t="n">
        <v>4</v>
      </c>
      <c r="M20" s="78" t="n">
        <f aca="false">IF(A20="","",IF(N(L20)&gt;0,L20,N(K20)))</f>
        <v>4</v>
      </c>
      <c r="N20" s="74" t="n">
        <v>60</v>
      </c>
    </row>
    <row r="21" customFormat="false" ht="15" hidden="false" customHeight="false" outlineLevel="0" collapsed="false">
      <c r="A21" s="73" t="s">
        <v>3144</v>
      </c>
      <c r="B21" s="73" t="s">
        <v>3186</v>
      </c>
      <c r="C21" s="82" t="n">
        <v>120</v>
      </c>
      <c r="D21" s="82" t="n">
        <v>80</v>
      </c>
      <c r="E21" s="82" t="n">
        <v>20</v>
      </c>
      <c r="F21" s="85" t="n">
        <f aca="false">IF(A21="","",C21*D21/10000)</f>
        <v>0.96</v>
      </c>
      <c r="G21" s="85" t="n">
        <f aca="false">IF(A21="","",C21*D21*E21/1000000)</f>
        <v>0.192</v>
      </c>
      <c r="H21" s="74" t="n">
        <v>1200</v>
      </c>
      <c r="I21" s="74" t="n">
        <v>800</v>
      </c>
      <c r="J21" s="74" t="n">
        <v>1</v>
      </c>
      <c r="K21" s="81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74"/>
      <c r="M21" s="78" t="n">
        <f aca="false">IF(A21="","",IF(N(L21)&gt;0,L21,N(K21)))</f>
        <v>3</v>
      </c>
      <c r="N21" s="74" t="n">
        <v>20</v>
      </c>
    </row>
    <row r="22" customFormat="false" ht="15" hidden="false" customHeight="false" outlineLevel="0" collapsed="false">
      <c r="A22" s="73" t="s">
        <v>3145</v>
      </c>
      <c r="B22" s="73" t="s">
        <v>3187</v>
      </c>
      <c r="C22" s="82" t="n">
        <v>120</v>
      </c>
      <c r="D22" s="82" t="n">
        <v>80</v>
      </c>
      <c r="E22" s="82" t="n">
        <v>40</v>
      </c>
      <c r="F22" s="85" t="n">
        <f aca="false">IF(A22="","",C22*D22/10000)</f>
        <v>0.96</v>
      </c>
      <c r="G22" s="85" t="n">
        <f aca="false">IF(A22="","",C22*D22*E22/1000000)</f>
        <v>0.384</v>
      </c>
      <c r="H22" s="74" t="n">
        <v>1200</v>
      </c>
      <c r="I22" s="74" t="n">
        <v>800</v>
      </c>
      <c r="J22" s="74" t="n">
        <v>1</v>
      </c>
      <c r="K22" s="81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74"/>
      <c r="M22" s="78" t="n">
        <f aca="false">IF(A22="","",IF(N(L22)&gt;0,L22,N(K22)))</f>
        <v>3</v>
      </c>
      <c r="N22" s="74" t="n">
        <v>40</v>
      </c>
    </row>
    <row r="23" customFormat="false" ht="15" hidden="false" customHeight="false" outlineLevel="0" collapsed="false">
      <c r="A23" s="73" t="s">
        <v>3146</v>
      </c>
      <c r="B23" s="73" t="s">
        <v>3188</v>
      </c>
      <c r="C23" s="82" t="n">
        <v>120</v>
      </c>
      <c r="D23" s="82" t="n">
        <v>80</v>
      </c>
      <c r="E23" s="82" t="n">
        <v>80</v>
      </c>
      <c r="F23" s="85" t="n">
        <f aca="false">IF(A23="","",C23*D23/10000)</f>
        <v>0.96</v>
      </c>
      <c r="G23" s="85" t="n">
        <f aca="false">IF(A23="","",C23*D23*E23/1000000)</f>
        <v>0.768</v>
      </c>
      <c r="H23" s="74" t="n">
        <v>1200</v>
      </c>
      <c r="I23" s="74" t="n">
        <v>800</v>
      </c>
      <c r="J23" s="74" t="n">
        <v>1</v>
      </c>
      <c r="K23" s="81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74"/>
      <c r="M23" s="78" t="n">
        <f aca="false">IF(A23="","",IF(N(L23)&gt;0,L23,N(K23)))</f>
        <v>3</v>
      </c>
      <c r="N23" s="74" t="n">
        <v>80</v>
      </c>
    </row>
    <row r="24" customFormat="false" ht="15" hidden="false" customHeight="false" outlineLevel="0" collapsed="false">
      <c r="A24" s="73" t="s">
        <v>3147</v>
      </c>
      <c r="B24" s="73" t="s">
        <v>3189</v>
      </c>
      <c r="C24" s="82" t="n">
        <v>120</v>
      </c>
      <c r="D24" s="82" t="n">
        <v>80</v>
      </c>
      <c r="E24" s="82" t="n">
        <v>120</v>
      </c>
      <c r="F24" s="85" t="n">
        <f aca="false">IF(A24="","",C24*D24/10000)</f>
        <v>0.96</v>
      </c>
      <c r="G24" s="85" t="n">
        <f aca="false">IF(A24="","",C24*D24*E24/1000000)</f>
        <v>1.152</v>
      </c>
      <c r="H24" s="74" t="n">
        <v>1200</v>
      </c>
      <c r="I24" s="74" t="n">
        <v>800</v>
      </c>
      <c r="J24" s="74" t="n">
        <v>1</v>
      </c>
      <c r="K24" s="81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74"/>
      <c r="M24" s="78" t="n">
        <f aca="false">IF(A24="","",IF(N(L24)&gt;0,L24,N(K24)))</f>
        <v>3</v>
      </c>
      <c r="N24" s="74" t="n">
        <v>120</v>
      </c>
    </row>
    <row r="25" customFormat="false" ht="15" hidden="false" customHeight="false" outlineLevel="0" collapsed="false">
      <c r="A25" s="73" t="s">
        <v>3148</v>
      </c>
      <c r="B25" s="73" t="s">
        <v>3190</v>
      </c>
      <c r="C25" s="82" t="n">
        <v>120</v>
      </c>
      <c r="D25" s="82" t="n">
        <v>80</v>
      </c>
      <c r="E25" s="82" t="n">
        <v>160</v>
      </c>
      <c r="F25" s="85" t="n">
        <f aca="false">IF(A25="","",C25*D25/10000)</f>
        <v>0.96</v>
      </c>
      <c r="G25" s="85" t="n">
        <f aca="false">IF(A25="","",C25*D25*E25/1000000)</f>
        <v>1.536</v>
      </c>
      <c r="H25" s="74" t="n">
        <v>1200</v>
      </c>
      <c r="I25" s="74" t="n">
        <v>800</v>
      </c>
      <c r="J25" s="74" t="n">
        <v>1</v>
      </c>
      <c r="K25" s="81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74"/>
      <c r="M25" s="78" t="n">
        <f aca="false">IF(A25="","",IF(N(L25)&gt;0,L25,N(K25)))</f>
        <v>3</v>
      </c>
      <c r="N25" s="74" t="n">
        <v>160</v>
      </c>
    </row>
    <row r="26" customFormat="false" ht="15" hidden="false" customHeight="false" outlineLevel="0" collapsed="false">
      <c r="A26" s="73" t="s">
        <v>3149</v>
      </c>
      <c r="B26" s="73" t="s">
        <v>3191</v>
      </c>
      <c r="C26" s="82" t="n">
        <v>120</v>
      </c>
      <c r="D26" s="82" t="n">
        <v>80</v>
      </c>
      <c r="E26" s="82" t="n">
        <v>200</v>
      </c>
      <c r="F26" s="85" t="n">
        <f aca="false">IF(A26="","",C26*D26/10000)</f>
        <v>0.96</v>
      </c>
      <c r="G26" s="85" t="n">
        <f aca="false">IF(A26="","",C26*D26*E26/1000000)</f>
        <v>1.92</v>
      </c>
      <c r="H26" s="74" t="n">
        <v>1200</v>
      </c>
      <c r="I26" s="74" t="n">
        <v>800</v>
      </c>
      <c r="J26" s="74" t="n">
        <v>1</v>
      </c>
      <c r="K26" s="81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74"/>
      <c r="M26" s="78" t="n">
        <f aca="false">IF(A26="","",IF(N(L26)&gt;0,L26,N(K26)))</f>
        <v>3</v>
      </c>
      <c r="N26" s="74" t="n">
        <v>200</v>
      </c>
    </row>
    <row r="27" customFormat="false" ht="15" hidden="false" customHeight="false" outlineLevel="0" collapsed="false">
      <c r="A27" s="73"/>
      <c r="B27" s="73"/>
      <c r="C27" s="82"/>
      <c r="D27" s="82"/>
      <c r="E27" s="82"/>
      <c r="F27" s="85" t="str">
        <f aca="false">IF(A27="","",C27*D27/10000)</f>
        <v/>
      </c>
      <c r="G27" s="85" t="str">
        <f aca="false">IF(A27="","",C27*D27*E27/1000000)</f>
        <v/>
      </c>
      <c r="H27" s="74"/>
      <c r="I27" s="74"/>
      <c r="J27" s="74"/>
      <c r="K27" s="81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74"/>
      <c r="M27" s="78" t="str">
        <f aca="false">IF(A27="","",IF(N(L27)&gt;0,L27,N(K27)))</f>
        <v/>
      </c>
      <c r="N27" s="74"/>
    </row>
    <row r="28" customFormat="false" ht="15" hidden="false" customHeight="false" outlineLevel="0" collapsed="false">
      <c r="A28" s="73"/>
      <c r="B28" s="73"/>
      <c r="C28" s="82"/>
      <c r="D28" s="82"/>
      <c r="E28" s="82"/>
      <c r="F28" s="85" t="str">
        <f aca="false">IF(A28="","",C28*D28/10000)</f>
        <v/>
      </c>
      <c r="G28" s="85" t="str">
        <f aca="false">IF(A28="","",C28*D28*E28/1000000)</f>
        <v/>
      </c>
      <c r="H28" s="74"/>
      <c r="I28" s="74"/>
      <c r="J28" s="74"/>
      <c r="K28" s="81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74"/>
      <c r="M28" s="78" t="str">
        <f aca="false">IF(A28="","",IF(N(L28)&gt;0,L28,N(K28)))</f>
        <v/>
      </c>
      <c r="N28" s="74"/>
    </row>
    <row r="29" customFormat="false" ht="15" hidden="false" customHeight="false" outlineLevel="0" collapsed="false">
      <c r="A29" s="73"/>
      <c r="B29" s="73"/>
      <c r="C29" s="82"/>
      <c r="D29" s="82"/>
      <c r="E29" s="82"/>
      <c r="F29" s="85" t="str">
        <f aca="false">IF(A29="","",C29*D29/10000)</f>
        <v/>
      </c>
      <c r="G29" s="85" t="str">
        <f aca="false">IF(A29="","",C29*D29*E29/1000000)</f>
        <v/>
      </c>
      <c r="H29" s="74"/>
      <c r="I29" s="74"/>
      <c r="J29" s="74"/>
      <c r="K29" s="81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74"/>
      <c r="M29" s="78" t="str">
        <f aca="false">IF(A29="","",IF(N(L29)&gt;0,L29,N(K29)))</f>
        <v/>
      </c>
      <c r="N29" s="74"/>
    </row>
    <row r="30" customFormat="false" ht="15" hidden="false" customHeight="false" outlineLevel="0" collapsed="false">
      <c r="A30" s="73"/>
      <c r="B30" s="73"/>
      <c r="C30" s="82"/>
      <c r="D30" s="82"/>
      <c r="E30" s="82"/>
      <c r="F30" s="85" t="str">
        <f aca="false">IF(A30="","",C30*D30/10000)</f>
        <v/>
      </c>
      <c r="G30" s="85" t="str">
        <f aca="false">IF(A30="","",C30*D30*E30/1000000)</f>
        <v/>
      </c>
      <c r="H30" s="74"/>
      <c r="I30" s="74"/>
      <c r="J30" s="74"/>
      <c r="K30" s="81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74"/>
      <c r="M30" s="78" t="str">
        <f aca="false">IF(A30="","",IF(N(L30)&gt;0,L30,N(K30)))</f>
        <v/>
      </c>
      <c r="N30" s="74"/>
    </row>
    <row r="31" customFormat="false" ht="15" hidden="false" customHeight="false" outlineLevel="0" collapsed="false">
      <c r="A31" s="73"/>
      <c r="B31" s="73"/>
      <c r="C31" s="82"/>
      <c r="D31" s="82"/>
      <c r="E31" s="82"/>
      <c r="F31" s="85" t="str">
        <f aca="false">IF(A31="","",C31*D31/10000)</f>
        <v/>
      </c>
      <c r="G31" s="85" t="str">
        <f aca="false">IF(A31="","",C31*D31*E31/1000000)</f>
        <v/>
      </c>
      <c r="H31" s="74"/>
      <c r="I31" s="74"/>
      <c r="J31" s="74"/>
      <c r="K31" s="81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74"/>
      <c r="M31" s="78" t="str">
        <f aca="false">IF(A31="","",IF(N(L31)&gt;0,L31,N(K31)))</f>
        <v/>
      </c>
      <c r="N31" s="74"/>
    </row>
    <row r="32" customFormat="false" ht="15" hidden="false" customHeight="false" outlineLevel="0" collapsed="false">
      <c r="A32" s="73"/>
      <c r="B32" s="73"/>
      <c r="C32" s="82"/>
      <c r="D32" s="82"/>
      <c r="E32" s="82"/>
      <c r="F32" s="85" t="str">
        <f aca="false">IF(A32="","",C32*D32/10000)</f>
        <v/>
      </c>
      <c r="G32" s="85" t="str">
        <f aca="false">IF(A32="","",C32*D32*E32/1000000)</f>
        <v/>
      </c>
      <c r="H32" s="74"/>
      <c r="I32" s="74"/>
      <c r="J32" s="74"/>
      <c r="K32" s="81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74"/>
      <c r="M32" s="78" t="str">
        <f aca="false">IF(A32="","",IF(N(L32)&gt;0,L32,N(K32)))</f>
        <v/>
      </c>
      <c r="N32" s="74"/>
    </row>
    <row r="33" customFormat="false" ht="15" hidden="false" customHeight="false" outlineLevel="0" collapsed="false">
      <c r="A33" s="73"/>
      <c r="B33" s="73"/>
      <c r="C33" s="82"/>
      <c r="D33" s="82"/>
      <c r="E33" s="82"/>
      <c r="F33" s="85" t="str">
        <f aca="false">IF(A33="","",C33*D33/10000)</f>
        <v/>
      </c>
      <c r="G33" s="85" t="str">
        <f aca="false">IF(A33="","",C33*D33*E33/1000000)</f>
        <v/>
      </c>
      <c r="H33" s="74"/>
      <c r="I33" s="74"/>
      <c r="J33" s="74"/>
      <c r="K33" s="81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74"/>
      <c r="M33" s="78" t="str">
        <f aca="false">IF(A33="","",IF(N(L33)&gt;0,L33,N(K33)))</f>
        <v/>
      </c>
      <c r="N33" s="74"/>
    </row>
    <row r="34" customFormat="false" ht="15" hidden="false" customHeight="false" outlineLevel="0" collapsed="false">
      <c r="A34" s="73"/>
      <c r="B34" s="73"/>
      <c r="C34" s="82"/>
      <c r="D34" s="82"/>
      <c r="E34" s="82"/>
      <c r="F34" s="85" t="str">
        <f aca="false">IF(A34="","",C34*D34/10000)</f>
        <v/>
      </c>
      <c r="G34" s="85" t="str">
        <f aca="false">IF(A34="","",C34*D34*E34/1000000)</f>
        <v/>
      </c>
      <c r="H34" s="74"/>
      <c r="I34" s="74"/>
      <c r="J34" s="74"/>
      <c r="K34" s="81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74"/>
      <c r="M34" s="78" t="str">
        <f aca="false">IF(A34="","",IF(N(L34)&gt;0,L34,N(K34)))</f>
        <v/>
      </c>
      <c r="N34" s="74"/>
    </row>
    <row r="35" customFormat="false" ht="15" hidden="false" customHeight="false" outlineLevel="0" collapsed="false">
      <c r="A35" s="73"/>
      <c r="B35" s="73"/>
      <c r="C35" s="82"/>
      <c r="D35" s="82"/>
      <c r="E35" s="82"/>
      <c r="F35" s="85" t="str">
        <f aca="false">IF(A35="","",C35*D35/10000)</f>
        <v/>
      </c>
      <c r="G35" s="85" t="str">
        <f aca="false">IF(A35="","",C35*D35*E35/1000000)</f>
        <v/>
      </c>
      <c r="H35" s="74"/>
      <c r="I35" s="74"/>
      <c r="J35" s="74"/>
      <c r="K35" s="81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74"/>
      <c r="M35" s="78" t="str">
        <f aca="false">IF(A35="","",IF(N(L35)&gt;0,L35,N(K35)))</f>
        <v/>
      </c>
      <c r="N35" s="74"/>
    </row>
    <row r="36" customFormat="false" ht="15" hidden="false" customHeight="false" outlineLevel="0" collapsed="false">
      <c r="A36" s="73"/>
      <c r="B36" s="73"/>
      <c r="C36" s="82"/>
      <c r="D36" s="82"/>
      <c r="E36" s="82"/>
      <c r="F36" s="85" t="str">
        <f aca="false">IF(A36="","",C36*D36/10000)</f>
        <v/>
      </c>
      <c r="G36" s="85" t="str">
        <f aca="false">IF(A36="","",C36*D36*E36/1000000)</f>
        <v/>
      </c>
      <c r="H36" s="74"/>
      <c r="I36" s="74"/>
      <c r="J36" s="74"/>
      <c r="K36" s="81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74"/>
      <c r="M36" s="78" t="str">
        <f aca="false">IF(A36="","",IF(N(L36)&gt;0,L36,N(K36)))</f>
        <v/>
      </c>
      <c r="N36" s="74"/>
    </row>
    <row r="37" customFormat="false" ht="15" hidden="false" customHeight="false" outlineLevel="0" collapsed="false">
      <c r="A37" s="73"/>
      <c r="B37" s="73"/>
      <c r="C37" s="82"/>
      <c r="D37" s="82"/>
      <c r="E37" s="82"/>
      <c r="F37" s="85" t="str">
        <f aca="false">IF(A37="","",C37*D37/10000)</f>
        <v/>
      </c>
      <c r="G37" s="85" t="str">
        <f aca="false">IF(A37="","",C37*D37*E37/1000000)</f>
        <v/>
      </c>
      <c r="H37" s="74"/>
      <c r="I37" s="74"/>
      <c r="J37" s="74"/>
      <c r="K37" s="81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74"/>
      <c r="M37" s="78" t="str">
        <f aca="false">IF(A37="","",IF(N(L37)&gt;0,L37,N(K37)))</f>
        <v/>
      </c>
      <c r="N37" s="74"/>
    </row>
    <row r="38" customFormat="false" ht="15" hidden="false" customHeight="false" outlineLevel="0" collapsed="false">
      <c r="A38" s="73"/>
      <c r="B38" s="73"/>
      <c r="C38" s="82"/>
      <c r="D38" s="82"/>
      <c r="E38" s="82"/>
      <c r="F38" s="85" t="str">
        <f aca="false">IF(A38="","",C38*D38/10000)</f>
        <v/>
      </c>
      <c r="G38" s="85" t="str">
        <f aca="false">IF(A38="","",C38*D38*E38/1000000)</f>
        <v/>
      </c>
      <c r="H38" s="74"/>
      <c r="I38" s="74"/>
      <c r="J38" s="74"/>
      <c r="K38" s="81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74"/>
      <c r="M38" s="78" t="str">
        <f aca="false">IF(A38="","",IF(N(L38)&gt;0,L38,N(K38)))</f>
        <v/>
      </c>
      <c r="N38" s="74"/>
    </row>
    <row r="39" customFormat="false" ht="15" hidden="false" customHeight="false" outlineLevel="0" collapsed="false">
      <c r="A39" s="73"/>
      <c r="B39" s="73"/>
      <c r="C39" s="82"/>
      <c r="D39" s="82"/>
      <c r="E39" s="82"/>
      <c r="F39" s="85" t="str">
        <f aca="false">IF(A39="","",C39*D39/10000)</f>
        <v/>
      </c>
      <c r="G39" s="85" t="str">
        <f aca="false">IF(A39="","",C39*D39*E39/1000000)</f>
        <v/>
      </c>
      <c r="H39" s="74"/>
      <c r="I39" s="74"/>
      <c r="J39" s="74"/>
      <c r="K39" s="81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74"/>
      <c r="M39" s="78" t="str">
        <f aca="false">IF(A39="","",IF(N(L39)&gt;0,L39,N(K39)))</f>
        <v/>
      </c>
      <c r="N39" s="74"/>
    </row>
    <row r="40" customFormat="false" ht="15" hidden="false" customHeight="false" outlineLevel="0" collapsed="false">
      <c r="A40" s="73"/>
      <c r="B40" s="73"/>
      <c r="C40" s="82"/>
      <c r="D40" s="82"/>
      <c r="E40" s="82"/>
      <c r="F40" s="85" t="str">
        <f aca="false">IF(A40="","",C40*D40/10000)</f>
        <v/>
      </c>
      <c r="G40" s="85" t="str">
        <f aca="false">IF(A40="","",C40*D40*E40/1000000)</f>
        <v/>
      </c>
      <c r="H40" s="74"/>
      <c r="I40" s="74"/>
      <c r="J40" s="74"/>
      <c r="K40" s="81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74"/>
      <c r="M40" s="78" t="str">
        <f aca="false">IF(A40="","",IF(N(L40)&gt;0,L40,N(K40)))</f>
        <v/>
      </c>
      <c r="N40" s="74"/>
    </row>
    <row r="41" customFormat="false" ht="15" hidden="false" customHeight="false" outlineLevel="0" collapsed="false">
      <c r="A41" s="73"/>
      <c r="B41" s="73"/>
      <c r="C41" s="82"/>
      <c r="D41" s="82"/>
      <c r="E41" s="82"/>
      <c r="F41" s="85" t="str">
        <f aca="false">IF(A41="","",C41*D41/10000)</f>
        <v/>
      </c>
      <c r="G41" s="85" t="str">
        <f aca="false">IF(A41="","",C41*D41*E41/1000000)</f>
        <v/>
      </c>
      <c r="H41" s="74"/>
      <c r="I41" s="74"/>
      <c r="J41" s="74"/>
      <c r="K41" s="81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74"/>
      <c r="M41" s="78" t="str">
        <f aca="false">IF(A41="","",IF(N(L41)&gt;0,L41,N(K41)))</f>
        <v/>
      </c>
      <c r="N41" s="74"/>
    </row>
    <row r="42" customFormat="false" ht="15" hidden="false" customHeight="false" outlineLevel="0" collapsed="false">
      <c r="A42" s="73"/>
      <c r="B42" s="73"/>
      <c r="C42" s="82"/>
      <c r="D42" s="82"/>
      <c r="E42" s="82"/>
      <c r="F42" s="85" t="str">
        <f aca="false">IF(A42="","",C42*D42/10000)</f>
        <v/>
      </c>
      <c r="G42" s="85" t="str">
        <f aca="false">IF(A42="","",C42*D42*E42/1000000)</f>
        <v/>
      </c>
      <c r="H42" s="74"/>
      <c r="I42" s="74"/>
      <c r="J42" s="74"/>
      <c r="K42" s="81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74"/>
      <c r="M42" s="78" t="str">
        <f aca="false">IF(A42="","",IF(N(L42)&gt;0,L42,N(K42)))</f>
        <v/>
      </c>
      <c r="N42" s="74"/>
    </row>
    <row r="43" customFormat="false" ht="15" hidden="false" customHeight="false" outlineLevel="0" collapsed="false">
      <c r="A43" s="73"/>
      <c r="B43" s="73"/>
      <c r="C43" s="82"/>
      <c r="D43" s="82"/>
      <c r="E43" s="82"/>
      <c r="F43" s="85" t="str">
        <f aca="false">IF(A43="","",C43*D43/10000)</f>
        <v/>
      </c>
      <c r="G43" s="85" t="str">
        <f aca="false">IF(A43="","",C43*D43*E43/1000000)</f>
        <v/>
      </c>
      <c r="H43" s="74"/>
      <c r="I43" s="74"/>
      <c r="J43" s="74"/>
      <c r="K43" s="81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74"/>
      <c r="M43" s="78" t="str">
        <f aca="false">IF(A43="","",IF(N(L43)&gt;0,L43,N(K43)))</f>
        <v/>
      </c>
      <c r="N43" s="74"/>
    </row>
    <row r="44" customFormat="false" ht="15" hidden="false" customHeight="false" outlineLevel="0" collapsed="false">
      <c r="A44" s="73"/>
      <c r="B44" s="73"/>
      <c r="C44" s="82"/>
      <c r="D44" s="82"/>
      <c r="E44" s="82"/>
      <c r="F44" s="85" t="str">
        <f aca="false">IF(A44="","",C44*D44/10000)</f>
        <v/>
      </c>
      <c r="G44" s="85" t="str">
        <f aca="false">IF(A44="","",C44*D44*E44/1000000)</f>
        <v/>
      </c>
      <c r="H44" s="74"/>
      <c r="I44" s="74"/>
      <c r="J44" s="74"/>
      <c r="K44" s="81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74"/>
      <c r="M44" s="78" t="str">
        <f aca="false">IF(A44="","",IF(N(L44)&gt;0,L44,N(K44)))</f>
        <v/>
      </c>
      <c r="N44" s="74"/>
    </row>
    <row r="45" customFormat="false" ht="15" hidden="false" customHeight="false" outlineLevel="0" collapsed="false">
      <c r="A45" s="73"/>
      <c r="B45" s="73"/>
      <c r="C45" s="82"/>
      <c r="D45" s="82"/>
      <c r="E45" s="82"/>
      <c r="F45" s="85" t="str">
        <f aca="false">IF(A45="","",C45*D45/10000)</f>
        <v/>
      </c>
      <c r="G45" s="85" t="str">
        <f aca="false">IF(A45="","",C45*D45*E45/1000000)</f>
        <v/>
      </c>
      <c r="H45" s="74"/>
      <c r="I45" s="74"/>
      <c r="J45" s="74"/>
      <c r="K45" s="81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74"/>
      <c r="M45" s="78" t="str">
        <f aca="false">IF(A45="","",IF(N(L45)&gt;0,L45,N(K45)))</f>
        <v/>
      </c>
      <c r="N45" s="7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41" t="s">
        <v>3192</v>
      </c>
    </row>
    <row r="2" customFormat="false" ht="15" hidden="false" customHeight="false" outlineLevel="0" collapsed="false">
      <c r="A2" s="42" t="s">
        <v>3193</v>
      </c>
    </row>
    <row r="4" customFormat="false" ht="30" hidden="false" customHeight="true" outlineLevel="0" collapsed="false">
      <c r="A4" s="58" t="s">
        <v>62</v>
      </c>
      <c r="B4" s="58" t="s">
        <v>60</v>
      </c>
      <c r="C4" s="58" t="s">
        <v>61</v>
      </c>
      <c r="D4" s="58" t="s">
        <v>3194</v>
      </c>
      <c r="E4" s="58" t="s">
        <v>3195</v>
      </c>
      <c r="F4" s="58" t="s">
        <v>3196</v>
      </c>
      <c r="G4" s="58" t="s">
        <v>3197</v>
      </c>
      <c r="H4" s="58" t="s">
        <v>3198</v>
      </c>
      <c r="I4" s="58" t="s">
        <v>3199</v>
      </c>
    </row>
    <row r="5" customFormat="false" ht="15" hidden="false" customHeight="false" outlineLevel="0" collapsed="false">
      <c r="A5" s="10" t="n">
        <v>1</v>
      </c>
      <c r="B5" s="10" t="s">
        <v>555</v>
      </c>
      <c r="C5" s="10" t="s">
        <v>556</v>
      </c>
      <c r="D5" s="10" t="n">
        <v>4</v>
      </c>
      <c r="E5" s="10" t="n">
        <v>2</v>
      </c>
      <c r="F5" s="10" t="s">
        <v>215</v>
      </c>
      <c r="G5" s="10" t="n">
        <v>0</v>
      </c>
      <c r="H5" s="10" t="n">
        <v>3</v>
      </c>
      <c r="I5" s="76" t="n">
        <f aca="false">SUMIFS(Artikel!$CR$7:$CR$1843,Artikel!$A$7:$A$1843,B5)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1054</v>
      </c>
      <c r="C6" s="10" t="s">
        <v>1055</v>
      </c>
      <c r="D6" s="10" t="n">
        <v>2</v>
      </c>
      <c r="E6" s="10" t="n">
        <v>0</v>
      </c>
      <c r="F6" s="10" t="s">
        <v>215</v>
      </c>
      <c r="G6" s="10" t="n">
        <v>0</v>
      </c>
      <c r="H6" s="10" t="n">
        <v>2</v>
      </c>
      <c r="I6" s="76" t="n">
        <f aca="false">SUMIFS(Artikel!$CR$7:$CR$1843,Artikel!$A$7:$A$1843,B6)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2433</v>
      </c>
      <c r="C7" s="10" t="s">
        <v>2434</v>
      </c>
      <c r="D7" s="10" t="n">
        <v>3</v>
      </c>
      <c r="E7" s="10" t="n">
        <v>1</v>
      </c>
      <c r="F7" s="10" t="s">
        <v>215</v>
      </c>
      <c r="G7" s="10" t="n">
        <v>-1</v>
      </c>
      <c r="H7" s="10" t="n">
        <v>1</v>
      </c>
      <c r="I7" s="76" t="n">
        <f aca="false">SUMIFS(Artikel!$CR$7:$CR$1843,Artikel!$A$7:$A$1843,B7)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2799</v>
      </c>
      <c r="C8" s="10" t="s">
        <v>409</v>
      </c>
      <c r="D8" s="10" t="n">
        <v>2</v>
      </c>
      <c r="E8" s="10" t="n">
        <v>2</v>
      </c>
      <c r="F8" s="10" t="s">
        <v>3200</v>
      </c>
      <c r="G8" s="10"/>
      <c r="H8" s="10"/>
      <c r="I8" s="76" t="n">
        <f aca="false">SUMIFS(Artikel!$CR$7:$CR$1843,Artikel!$A$7:$A$1843,B8)</f>
        <v>0.160075329566855</v>
      </c>
    </row>
    <row r="9" customFormat="false" ht="15" hidden="false" customHeight="false" outlineLevel="0" collapsed="false">
      <c r="A9" s="10" t="n">
        <v>1</v>
      </c>
      <c r="B9" s="10" t="s">
        <v>511</v>
      </c>
      <c r="C9" s="10" t="s">
        <v>3201</v>
      </c>
      <c r="D9" s="10" t="n">
        <v>2</v>
      </c>
      <c r="E9" s="10" t="n">
        <v>1</v>
      </c>
      <c r="F9" s="10" t="s">
        <v>207</v>
      </c>
      <c r="G9" s="10" t="n">
        <v>0</v>
      </c>
      <c r="H9" s="10" t="n">
        <v>1</v>
      </c>
      <c r="I9" s="76" t="n">
        <f aca="false">SUMIFS(Artikel!$CR$7:$CR$1843,Artikel!$A$7:$A$1843,B9)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408</v>
      </c>
      <c r="C10" s="10" t="s">
        <v>409</v>
      </c>
      <c r="D10" s="10" t="n">
        <v>20</v>
      </c>
      <c r="E10" s="10" t="n">
        <v>10</v>
      </c>
      <c r="F10" s="10" t="s">
        <v>215</v>
      </c>
      <c r="G10" s="10" t="n">
        <v>10</v>
      </c>
      <c r="H10" s="10" t="n">
        <v>20</v>
      </c>
      <c r="I10" s="76" t="n">
        <f aca="false">SUMIFS(Artikel!$CR$7:$CR$1843,Artikel!$A$7:$A$1843,B10)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2602</v>
      </c>
      <c r="C11" s="10" t="s">
        <v>3202</v>
      </c>
      <c r="D11" s="10" t="n">
        <v>11</v>
      </c>
      <c r="E11" s="10" t="n">
        <v>8</v>
      </c>
      <c r="F11" s="10" t="s">
        <v>207</v>
      </c>
      <c r="G11" s="10" t="n">
        <v>-4</v>
      </c>
      <c r="H11" s="10" t="n">
        <v>-4</v>
      </c>
      <c r="I11" s="76" t="n">
        <f aca="false">SUMIFS(Artikel!$CR$7:$CR$1843,Artikel!$A$7:$A$1843,B11)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232</v>
      </c>
      <c r="C12" s="10" t="s">
        <v>3202</v>
      </c>
      <c r="D12" s="10" t="n">
        <v>20</v>
      </c>
      <c r="E12" s="10" t="n">
        <v>5</v>
      </c>
      <c r="F12" s="10" t="s">
        <v>207</v>
      </c>
      <c r="G12" s="10" t="n">
        <v>12</v>
      </c>
      <c r="H12" s="10" t="n">
        <v>15</v>
      </c>
      <c r="I12" s="76" t="n">
        <f aca="false">SUMIFS(Artikel!$CR$7:$CR$1843,Artikel!$A$7:$A$1843,B12)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2465</v>
      </c>
      <c r="C13" s="10" t="s">
        <v>409</v>
      </c>
      <c r="D13" s="10" t="n">
        <v>2</v>
      </c>
      <c r="E13" s="10" t="n">
        <v>1</v>
      </c>
      <c r="F13" s="10" t="s">
        <v>207</v>
      </c>
      <c r="G13" s="10" t="n">
        <v>-2</v>
      </c>
      <c r="H13" s="10" t="n">
        <v>1</v>
      </c>
      <c r="I13" s="76" t="n">
        <f aca="false">SUMIFS(Artikel!$CR$7:$CR$1843,Artikel!$A$7:$A$1843,B13)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2143</v>
      </c>
      <c r="C14" s="10" t="s">
        <v>3203</v>
      </c>
      <c r="D14" s="10" t="n">
        <v>14</v>
      </c>
      <c r="E14" s="10" t="n">
        <v>5</v>
      </c>
      <c r="F14" s="10" t="s">
        <v>215</v>
      </c>
      <c r="G14" s="10" t="n">
        <v>-2</v>
      </c>
      <c r="H14" s="10" t="n">
        <v>7</v>
      </c>
      <c r="I14" s="76" t="n">
        <f aca="false">SUMIFS(Artikel!$CR$7:$CR$1843,Artikel!$A$7:$A$1843,B14)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204</v>
      </c>
      <c r="C15" s="10" t="s">
        <v>3202</v>
      </c>
      <c r="D15" s="10" t="n">
        <v>22</v>
      </c>
      <c r="E15" s="10" t="n">
        <v>18</v>
      </c>
      <c r="F15" s="10" t="s">
        <v>207</v>
      </c>
      <c r="G15" s="10" t="n">
        <v>20</v>
      </c>
      <c r="H15" s="10" t="n">
        <v>27</v>
      </c>
      <c r="I15" s="76" t="n">
        <f aca="false">SUMIFS(Artikel!$CR$7:$CR$1843,Artikel!$A$7:$A$1843,B15)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2212</v>
      </c>
      <c r="C16" s="10" t="s">
        <v>339</v>
      </c>
      <c r="D16" s="10" t="n">
        <v>35</v>
      </c>
      <c r="E16" s="10" t="n">
        <v>16</v>
      </c>
      <c r="F16" s="10" t="s">
        <v>207</v>
      </c>
      <c r="G16" s="10" t="n">
        <v>-3</v>
      </c>
      <c r="H16" s="10" t="n">
        <v>18</v>
      </c>
      <c r="I16" s="76" t="n">
        <f aca="false">SUMIFS(Artikel!$CR$7:$CR$1843,Artikel!$A$7:$A$1843,B16)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2551</v>
      </c>
      <c r="C17" s="10" t="s">
        <v>3202</v>
      </c>
      <c r="D17" s="10" t="n">
        <v>3</v>
      </c>
      <c r="E17" s="10" t="n">
        <v>1</v>
      </c>
      <c r="F17" s="10" t="s">
        <v>207</v>
      </c>
      <c r="G17" s="10" t="n">
        <v>-3</v>
      </c>
      <c r="H17" s="10" t="n">
        <v>1</v>
      </c>
      <c r="I17" s="76" t="n">
        <f aca="false">SUMIFS(Artikel!$CR$7:$CR$1843,Artikel!$A$7:$A$1843,B17)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719</v>
      </c>
      <c r="C18" s="10" t="s">
        <v>409</v>
      </c>
      <c r="D18" s="10" t="n">
        <v>1</v>
      </c>
      <c r="E18" s="10" t="n">
        <v>1</v>
      </c>
      <c r="F18" s="10" t="s">
        <v>215</v>
      </c>
      <c r="G18" s="10" t="n">
        <v>1</v>
      </c>
      <c r="H18" s="10" t="n">
        <v>1</v>
      </c>
      <c r="I18" s="76" t="n">
        <f aca="false">SUMIFS(Artikel!$CR$7:$CR$1843,Artikel!$A$7:$A$1843,B18)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2421</v>
      </c>
      <c r="C19" s="10" t="s">
        <v>3204</v>
      </c>
      <c r="D19" s="10" t="n">
        <v>18</v>
      </c>
      <c r="E19" s="10" t="n">
        <v>11</v>
      </c>
      <c r="F19" s="10" t="s">
        <v>215</v>
      </c>
      <c r="G19" s="10" t="n">
        <v>-8</v>
      </c>
      <c r="H19" s="10" t="n">
        <v>11</v>
      </c>
      <c r="I19" s="76" t="n">
        <f aca="false">SUMIFS(Artikel!$CR$7:$CR$1843,Artikel!$A$7:$A$1843,B19)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2880</v>
      </c>
      <c r="C20" s="10" t="s">
        <v>3205</v>
      </c>
      <c r="D20" s="10" t="n">
        <v>1</v>
      </c>
      <c r="E20" s="10" t="n">
        <v>1</v>
      </c>
      <c r="F20" s="10" t="s">
        <v>3200</v>
      </c>
      <c r="G20" s="10"/>
      <c r="H20" s="10"/>
      <c r="I20" s="76" t="n">
        <f aca="false">SUMIFS(Artikel!$CR$7:$CR$1843,Artikel!$A$7:$A$1843,B20)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294</v>
      </c>
      <c r="C21" s="10" t="s">
        <v>295</v>
      </c>
      <c r="D21" s="10" t="n">
        <v>34</v>
      </c>
      <c r="E21" s="10" t="n">
        <v>19</v>
      </c>
      <c r="F21" s="10" t="s">
        <v>207</v>
      </c>
      <c r="G21" s="10" t="n">
        <v>7</v>
      </c>
      <c r="H21" s="10" t="n">
        <v>25</v>
      </c>
      <c r="I21" s="76" t="n">
        <f aca="false">SUMIFS(Artikel!$CR$7:$CR$1843,Artikel!$A$7:$A$1843,B21)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2539</v>
      </c>
      <c r="C22" s="10" t="s">
        <v>295</v>
      </c>
      <c r="D22" s="10" t="n">
        <v>10</v>
      </c>
      <c r="E22" s="10" t="n">
        <v>7</v>
      </c>
      <c r="F22" s="10" t="s">
        <v>215</v>
      </c>
      <c r="G22" s="10" t="n">
        <v>-5</v>
      </c>
      <c r="H22" s="10" t="n">
        <v>7</v>
      </c>
      <c r="I22" s="76" t="n">
        <f aca="false">SUMIFS(Artikel!$CR$7:$CR$1843,Artikel!$A$7:$A$1843,B22)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2413</v>
      </c>
      <c r="C23" s="10" t="s">
        <v>2414</v>
      </c>
      <c r="D23" s="10" t="n">
        <v>15</v>
      </c>
      <c r="E23" s="10" t="n">
        <v>7</v>
      </c>
      <c r="F23" s="10" t="s">
        <v>207</v>
      </c>
      <c r="G23" s="10" t="n">
        <v>0</v>
      </c>
      <c r="H23" s="10" t="n">
        <v>31</v>
      </c>
      <c r="I23" s="76" t="n">
        <f aca="false">SUMIFS(Artikel!$CR$7:$CR$1843,Artikel!$A$7:$A$1843,B23)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251</v>
      </c>
      <c r="C24" s="10" t="s">
        <v>252</v>
      </c>
      <c r="D24" s="10" t="n">
        <v>22</v>
      </c>
      <c r="E24" s="10" t="n">
        <v>16</v>
      </c>
      <c r="F24" s="10" t="s">
        <v>207</v>
      </c>
      <c r="G24" s="10" t="n">
        <v>7</v>
      </c>
      <c r="H24" s="10" t="n">
        <v>10</v>
      </c>
      <c r="I24" s="76" t="n">
        <f aca="false">SUMIFS(Artikel!$CR$7:$CR$1843,Artikel!$A$7:$A$1843,B24)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261</v>
      </c>
      <c r="C25" s="10" t="s">
        <v>262</v>
      </c>
      <c r="D25" s="10" t="n">
        <v>12</v>
      </c>
      <c r="E25" s="10" t="n">
        <v>9</v>
      </c>
      <c r="F25" s="10" t="s">
        <v>207</v>
      </c>
      <c r="G25" s="10" t="n">
        <v>5</v>
      </c>
      <c r="H25" s="10" t="n">
        <v>5</v>
      </c>
      <c r="I25" s="76" t="n">
        <f aca="false">SUMIFS(Artikel!$CR$7:$CR$1843,Artikel!$A$7:$A$1843,B25)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282</v>
      </c>
      <c r="C26" s="10" t="s">
        <v>283</v>
      </c>
      <c r="D26" s="10" t="n">
        <v>10</v>
      </c>
      <c r="E26" s="10" t="n">
        <v>8</v>
      </c>
      <c r="F26" s="10" t="s">
        <v>207</v>
      </c>
      <c r="G26" s="10" t="n">
        <v>3</v>
      </c>
      <c r="H26" s="10" t="n">
        <v>10</v>
      </c>
      <c r="I26" s="76" t="n">
        <f aca="false">SUMIFS(Artikel!$CR$7:$CR$1843,Artikel!$A$7:$A$1843,B26)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2900</v>
      </c>
      <c r="C27" s="10" t="s">
        <v>2426</v>
      </c>
      <c r="D27" s="10" t="n">
        <v>4</v>
      </c>
      <c r="E27" s="10" t="n">
        <v>3</v>
      </c>
      <c r="F27" s="10" t="s">
        <v>3200</v>
      </c>
      <c r="G27" s="10"/>
      <c r="H27" s="10"/>
      <c r="I27" s="76" t="n">
        <f aca="false">SUMIFS(Artikel!$CR$7:$CR$1843,Artikel!$A$7:$A$1843,B27)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690</v>
      </c>
      <c r="C28" s="10" t="s">
        <v>339</v>
      </c>
      <c r="D28" s="10" t="n">
        <v>16</v>
      </c>
      <c r="E28" s="10" t="n">
        <v>9</v>
      </c>
      <c r="F28" s="10" t="s">
        <v>207</v>
      </c>
      <c r="G28" s="10" t="n">
        <v>3</v>
      </c>
      <c r="H28" s="10" t="n">
        <v>9</v>
      </c>
      <c r="I28" s="76" t="n">
        <f aca="false">SUMIFS(Artikel!$CR$7:$CR$1843,Artikel!$A$7:$A$1843,B28)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338</v>
      </c>
      <c r="C29" s="10" t="s">
        <v>339</v>
      </c>
      <c r="D29" s="10" t="n">
        <v>36</v>
      </c>
      <c r="E29" s="10" t="n">
        <v>34</v>
      </c>
      <c r="F29" s="10" t="s">
        <v>207</v>
      </c>
      <c r="G29" s="10" t="n">
        <v>29</v>
      </c>
      <c r="H29" s="10" t="n">
        <v>34</v>
      </c>
      <c r="I29" s="76" t="n">
        <f aca="false">SUMIFS(Artikel!$CR$7:$CR$1843,Artikel!$A$7:$A$1843,B29)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2380</v>
      </c>
      <c r="C30" s="10" t="s">
        <v>295</v>
      </c>
      <c r="D30" s="10" t="n">
        <v>1</v>
      </c>
      <c r="E30" s="10" t="n">
        <v>1</v>
      </c>
      <c r="F30" s="10" t="s">
        <v>215</v>
      </c>
      <c r="G30" s="10" t="n">
        <v>-1</v>
      </c>
      <c r="H30" s="10" t="n">
        <v>1</v>
      </c>
      <c r="I30" s="76" t="n">
        <f aca="false">SUMIFS(Artikel!$CR$7:$CR$1843,Artikel!$A$7:$A$1843,B30)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2911</v>
      </c>
      <c r="C31" s="10" t="s">
        <v>409</v>
      </c>
      <c r="D31" s="10" t="n">
        <v>1</v>
      </c>
      <c r="E31" s="10" t="n">
        <v>1</v>
      </c>
      <c r="F31" s="10" t="s">
        <v>3200</v>
      </c>
      <c r="G31" s="10"/>
      <c r="H31" s="10"/>
      <c r="I31" s="76" t="n">
        <f aca="false">SUMIFS(Artikel!$CR$7:$CR$1843,Artikel!$A$7:$A$1843,B31)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693</v>
      </c>
      <c r="C32" s="10" t="s">
        <v>409</v>
      </c>
      <c r="D32" s="10" t="n">
        <v>1</v>
      </c>
      <c r="E32" s="10" t="n">
        <v>1</v>
      </c>
      <c r="F32" s="10" t="s">
        <v>215</v>
      </c>
      <c r="G32" s="10" t="n">
        <v>1</v>
      </c>
      <c r="H32" s="10" t="n">
        <v>1</v>
      </c>
      <c r="I32" s="76" t="n">
        <f aca="false">SUMIFS(Artikel!$CR$7:$CR$1843,Artikel!$A$7:$A$1843,B32)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2912</v>
      </c>
      <c r="C33" s="10" t="s">
        <v>409</v>
      </c>
      <c r="D33" s="10" t="n">
        <v>1</v>
      </c>
      <c r="E33" s="10" t="n">
        <v>1</v>
      </c>
      <c r="F33" s="10" t="s">
        <v>3200</v>
      </c>
      <c r="G33" s="10"/>
      <c r="H33" s="10"/>
      <c r="I33" s="76" t="n">
        <f aca="false">SUMIFS(Artikel!$CR$7:$CR$1843,Artikel!$A$7:$A$1843,B33)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2425</v>
      </c>
      <c r="C34" s="10" t="s">
        <v>2426</v>
      </c>
      <c r="D34" s="10" t="n">
        <v>1</v>
      </c>
      <c r="E34" s="10" t="n">
        <v>0</v>
      </c>
      <c r="F34" s="10" t="s">
        <v>207</v>
      </c>
      <c r="G34" s="10" t="n">
        <v>-2</v>
      </c>
      <c r="H34" s="10" t="n">
        <v>0</v>
      </c>
      <c r="I34" s="76" t="n">
        <f aca="false">SUMIFS(Artikel!$CR$7:$CR$1843,Artikel!$A$7:$A$1843,B34)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2498</v>
      </c>
      <c r="C35" s="10" t="s">
        <v>295</v>
      </c>
      <c r="D35" s="10" t="n">
        <v>6</v>
      </c>
      <c r="E35" s="10" t="n">
        <v>0</v>
      </c>
      <c r="F35" s="10" t="s">
        <v>207</v>
      </c>
      <c r="G35" s="10" t="n">
        <v>-3</v>
      </c>
      <c r="H35" s="10" t="n">
        <v>0</v>
      </c>
      <c r="I35" s="76" t="n">
        <f aca="false">SUMIFS(Artikel!$CR$7:$CR$1843,Artikel!$A$7:$A$1843,B35)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2598</v>
      </c>
      <c r="C36" s="10" t="s">
        <v>2426</v>
      </c>
      <c r="D36" s="10" t="n">
        <v>13</v>
      </c>
      <c r="E36" s="10" t="n">
        <v>10</v>
      </c>
      <c r="F36" s="10" t="s">
        <v>207</v>
      </c>
      <c r="G36" s="10" t="n">
        <v>-24</v>
      </c>
      <c r="H36" s="10" t="n">
        <v>-24</v>
      </c>
      <c r="I36" s="76" t="n">
        <f aca="false">SUMIFS(Artikel!$CR$7:$CR$1843,Artikel!$A$7:$A$1843,B36)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2579</v>
      </c>
      <c r="C37" s="10" t="s">
        <v>2426</v>
      </c>
      <c r="D37" s="10" t="n">
        <v>13</v>
      </c>
      <c r="E37" s="10" t="n">
        <v>6</v>
      </c>
      <c r="F37" s="10" t="s">
        <v>207</v>
      </c>
      <c r="G37" s="10" t="n">
        <v>-3</v>
      </c>
      <c r="H37" s="10" t="n">
        <v>-3</v>
      </c>
      <c r="I37" s="76" t="n">
        <f aca="false">SUMIFS(Artikel!$CR$7:$CR$1843,Artikel!$A$7:$A$1843,B37)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2439</v>
      </c>
      <c r="C38" s="10" t="s">
        <v>248</v>
      </c>
      <c r="D38" s="10" t="n">
        <v>1</v>
      </c>
      <c r="E38" s="10" t="n">
        <v>1</v>
      </c>
      <c r="F38" s="10" t="s">
        <v>215</v>
      </c>
      <c r="G38" s="10" t="n">
        <v>-1</v>
      </c>
      <c r="H38" s="10" t="n">
        <v>9</v>
      </c>
      <c r="I38" s="76" t="n">
        <f aca="false">SUMIFS(Artikel!$CR$7:$CR$1843,Artikel!$A$7:$A$1843,B38)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247</v>
      </c>
      <c r="C39" s="10" t="s">
        <v>248</v>
      </c>
      <c r="D39" s="10" t="n">
        <v>10</v>
      </c>
      <c r="E39" s="10" t="n">
        <v>0</v>
      </c>
      <c r="F39" s="10" t="s">
        <v>207</v>
      </c>
      <c r="G39" s="10" t="n">
        <v>5</v>
      </c>
      <c r="H39" s="10" t="n">
        <v>11</v>
      </c>
      <c r="I39" s="76" t="n">
        <f aca="false">SUMIFS(Artikel!$CR$7:$CR$1843,Artikel!$A$7:$A$1843,B39)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2427</v>
      </c>
      <c r="C40" s="10" t="s">
        <v>2426</v>
      </c>
      <c r="D40" s="10" t="n">
        <v>10</v>
      </c>
      <c r="E40" s="10" t="n">
        <v>9</v>
      </c>
      <c r="F40" s="10" t="s">
        <v>207</v>
      </c>
      <c r="G40" s="10" t="n">
        <v>-1</v>
      </c>
      <c r="H40" s="10" t="n">
        <v>9</v>
      </c>
      <c r="I40" s="76" t="n">
        <f aca="false">SUMIFS(Artikel!$CR$7:$CR$1843,Artikel!$A$7:$A$1843,B40)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2526</v>
      </c>
      <c r="C41" s="10" t="s">
        <v>2426</v>
      </c>
      <c r="D41" s="10" t="n">
        <v>6</v>
      </c>
      <c r="E41" s="10" t="n">
        <v>6</v>
      </c>
      <c r="F41" s="10" t="s">
        <v>207</v>
      </c>
      <c r="G41" s="10" t="n">
        <v>-2</v>
      </c>
      <c r="H41" s="10" t="n">
        <v>6</v>
      </c>
      <c r="I41" s="76" t="n">
        <f aca="false">SUMIFS(Artikel!$CR$7:$CR$1843,Artikel!$A$7:$A$1843,B41)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3055</v>
      </c>
      <c r="C42" s="10" t="s">
        <v>409</v>
      </c>
      <c r="D42" s="10" t="n">
        <v>2</v>
      </c>
      <c r="E42" s="10" t="n">
        <v>2</v>
      </c>
      <c r="F42" s="10" t="s">
        <v>3200</v>
      </c>
      <c r="G42" s="10"/>
      <c r="H42" s="10"/>
      <c r="I42" s="76" t="n">
        <f aca="false">SUMIFS(Artikel!$CR$7:$CR$1843,Artikel!$A$7:$A$1843,B42)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503</v>
      </c>
      <c r="C43" s="10" t="s">
        <v>3203</v>
      </c>
      <c r="D43" s="10" t="n">
        <v>8</v>
      </c>
      <c r="E43" s="10" t="n">
        <v>8</v>
      </c>
      <c r="F43" s="10" t="s">
        <v>207</v>
      </c>
      <c r="G43" s="10" t="n">
        <v>8</v>
      </c>
      <c r="H43" s="10" t="n">
        <v>8</v>
      </c>
      <c r="I43" s="76" t="n">
        <f aca="false">SUMIFS(Artikel!$CR$7:$CR$1843,Artikel!$A$7:$A$1843,B43)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2588</v>
      </c>
      <c r="C44" s="10" t="s">
        <v>2589</v>
      </c>
      <c r="D44" s="10" t="n">
        <v>29</v>
      </c>
      <c r="E44" s="10" t="n">
        <v>9</v>
      </c>
      <c r="F44" s="10" t="s">
        <v>207</v>
      </c>
      <c r="G44" s="10" t="n">
        <v>-8</v>
      </c>
      <c r="H44" s="10" t="n">
        <v>-8</v>
      </c>
      <c r="I44" s="76" t="n">
        <f aca="false">SUMIFS(Artikel!$CR$7:$CR$1843,Artikel!$A$7:$A$1843,B44)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2568</v>
      </c>
      <c r="C45" s="10" t="s">
        <v>2569</v>
      </c>
      <c r="D45" s="10" t="n">
        <v>20</v>
      </c>
      <c r="E45" s="10" t="n">
        <v>8</v>
      </c>
      <c r="F45" s="10" t="s">
        <v>207</v>
      </c>
      <c r="G45" s="10" t="n">
        <v>-6</v>
      </c>
      <c r="H45" s="10" t="n">
        <v>-6</v>
      </c>
      <c r="I45" s="76" t="n">
        <f aca="false">SUMIFS(Artikel!$CR$7:$CR$1843,Artikel!$A$7:$A$1843,B45)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2256</v>
      </c>
      <c r="C46" s="10" t="s">
        <v>3203</v>
      </c>
      <c r="D46" s="10" t="n">
        <v>22</v>
      </c>
      <c r="E46" s="10" t="n">
        <v>8</v>
      </c>
      <c r="F46" s="10" t="s">
        <v>215</v>
      </c>
      <c r="G46" s="10" t="n">
        <v>-3</v>
      </c>
      <c r="H46" s="10" t="n">
        <v>12</v>
      </c>
      <c r="I46" s="76" t="n">
        <f aca="false">SUMIFS(Artikel!$CR$7:$CR$1843,Artikel!$A$7:$A$1843,B46)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709</v>
      </c>
      <c r="C47" s="10" t="s">
        <v>3204</v>
      </c>
      <c r="D47" s="10" t="n">
        <v>22</v>
      </c>
      <c r="E47" s="10" t="n">
        <v>13</v>
      </c>
      <c r="F47" s="10" t="s">
        <v>207</v>
      </c>
      <c r="G47" s="10" t="n">
        <v>2</v>
      </c>
      <c r="H47" s="10" t="n">
        <v>13</v>
      </c>
      <c r="I47" s="76" t="n">
        <f aca="false">SUMIFS(Artikel!$CR$7:$CR$1843,Artikel!$A$7:$A$1843,B47)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293</v>
      </c>
      <c r="C48" s="10" t="s">
        <v>248</v>
      </c>
      <c r="D48" s="10" t="n">
        <v>6</v>
      </c>
      <c r="E48" s="10" t="n">
        <v>5</v>
      </c>
      <c r="F48" s="10" t="s">
        <v>215</v>
      </c>
      <c r="G48" s="10" t="n">
        <v>3</v>
      </c>
      <c r="H48" s="10" t="n">
        <v>6</v>
      </c>
      <c r="I48" s="76" t="n">
        <f aca="false">SUMIFS(Artikel!$CR$7:$CR$1843,Artikel!$A$7:$A$1843,B48)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2540</v>
      </c>
      <c r="C49" s="10" t="s">
        <v>2574</v>
      </c>
      <c r="D49" s="10" t="n">
        <v>11</v>
      </c>
      <c r="E49" s="10" t="n">
        <v>0</v>
      </c>
      <c r="F49" s="10" t="s">
        <v>207</v>
      </c>
      <c r="G49" s="10" t="n">
        <v>-4</v>
      </c>
      <c r="H49" s="10" t="n">
        <v>3</v>
      </c>
      <c r="I49" s="76" t="n">
        <f aca="false">SUMIFS(Artikel!$CR$7:$CR$1843,Artikel!$A$7:$A$1843,B49)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330</v>
      </c>
      <c r="C50" s="10" t="s">
        <v>3206</v>
      </c>
      <c r="D50" s="10" t="n">
        <v>16</v>
      </c>
      <c r="E50" s="10" t="n">
        <v>3</v>
      </c>
      <c r="F50" s="10" t="s">
        <v>207</v>
      </c>
      <c r="G50" s="10" t="n">
        <v>5</v>
      </c>
      <c r="H50" s="10" t="n">
        <v>5</v>
      </c>
      <c r="I50" s="76" t="n">
        <f aca="false">SUMIFS(Artikel!$CR$7:$CR$1843,Artikel!$A$7:$A$1843,B50)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326</v>
      </c>
      <c r="C51" s="10" t="s">
        <v>295</v>
      </c>
      <c r="D51" s="10" t="n">
        <v>8</v>
      </c>
      <c r="E51" s="10" t="n">
        <v>4</v>
      </c>
      <c r="F51" s="10" t="s">
        <v>215</v>
      </c>
      <c r="G51" s="10" t="n">
        <v>5</v>
      </c>
      <c r="H51" s="10" t="n">
        <v>5</v>
      </c>
      <c r="I51" s="76" t="n">
        <f aca="false">SUMIFS(Artikel!$CR$7:$CR$1843,Artikel!$A$7:$A$1843,B51)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396</v>
      </c>
      <c r="C52" s="10" t="s">
        <v>397</v>
      </c>
      <c r="D52" s="10" t="n">
        <v>4</v>
      </c>
      <c r="E52" s="10" t="n">
        <v>2</v>
      </c>
      <c r="F52" s="10" t="s">
        <v>215</v>
      </c>
      <c r="G52" s="10" t="n">
        <v>5</v>
      </c>
      <c r="H52" s="10" t="n">
        <v>5</v>
      </c>
      <c r="I52" s="76" t="n">
        <f aca="false">SUMIFS(Artikel!$CR$7:$CR$1843,Artikel!$A$7:$A$1843,B52)</f>
        <v>0.32015065913371</v>
      </c>
    </row>
    <row r="53" customFormat="false" ht="15" hidden="false" customHeight="false" outlineLevel="0" collapsed="false">
      <c r="C53" s="5" t="s">
        <v>40</v>
      </c>
      <c r="D53" s="5" t="n">
        <f aca="false">SUM(D5:D52)</f>
        <v>531</v>
      </c>
      <c r="E53" s="5" t="n">
        <f aca="false">SUM(E5:E52)</f>
        <v>293</v>
      </c>
      <c r="I53" s="86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87" t="s">
        <v>3207</v>
      </c>
    </row>
    <row r="2" customFormat="false" ht="15" hidden="false" customHeight="false" outlineLevel="0" collapsed="false">
      <c r="A2" s="88" t="s">
        <v>3208</v>
      </c>
    </row>
    <row r="3" customFormat="false" ht="15" hidden="false" customHeight="false" outlineLevel="0" collapsed="false">
      <c r="A3" s="89" t="s">
        <v>3209</v>
      </c>
    </row>
    <row r="4" customFormat="false" ht="15" hidden="false" customHeight="false" outlineLevel="0" collapsed="false">
      <c r="A4" s="89" t="s">
        <v>3210</v>
      </c>
    </row>
    <row r="5" customFormat="false" ht="15" hidden="false" customHeight="false" outlineLevel="0" collapsed="false">
      <c r="A5" s="89" t="s">
        <v>3211</v>
      </c>
    </row>
    <row r="6" customFormat="false" ht="15" hidden="false" customHeight="false" outlineLevel="0" collapsed="false">
      <c r="A6" s="89" t="s">
        <v>3212</v>
      </c>
    </row>
    <row r="7" customFormat="false" ht="15" hidden="false" customHeight="false" outlineLevel="0" collapsed="false">
      <c r="A7" s="88" t="s">
        <v>3213</v>
      </c>
    </row>
    <row r="8" customFormat="false" ht="23.85" hidden="false" customHeight="false" outlineLevel="0" collapsed="false">
      <c r="A8" s="89" t="s">
        <v>3214</v>
      </c>
    </row>
    <row r="9" customFormat="false" ht="15" hidden="false" customHeight="false" outlineLevel="0" collapsed="false">
      <c r="A9" s="88" t="s">
        <v>3215</v>
      </c>
    </row>
    <row r="10" customFormat="false" ht="35.05" hidden="false" customHeight="false" outlineLevel="0" collapsed="false">
      <c r="A10" s="89" t="s">
        <v>3216</v>
      </c>
    </row>
    <row r="11" customFormat="false" ht="15" hidden="false" customHeight="false" outlineLevel="0" collapsed="false">
      <c r="A11" s="88" t="s">
        <v>3217</v>
      </c>
    </row>
    <row r="12" customFormat="false" ht="23.85" hidden="false" customHeight="false" outlineLevel="0" collapsed="false">
      <c r="A12" s="89" t="s">
        <v>3218</v>
      </c>
    </row>
    <row r="13" customFormat="false" ht="15" hidden="false" customHeight="false" outlineLevel="0" collapsed="false">
      <c r="A13" s="88" t="s">
        <v>3219</v>
      </c>
    </row>
    <row r="14" customFormat="false" ht="35.05" hidden="false" customHeight="false" outlineLevel="0" collapsed="false">
      <c r="A14" s="89" t="s">
        <v>3220</v>
      </c>
    </row>
    <row r="15" customFormat="false" ht="15" hidden="false" customHeight="false" outlineLevel="0" collapsed="false">
      <c r="A15" s="88" t="s">
        <v>3221</v>
      </c>
    </row>
    <row r="16" customFormat="false" ht="15" hidden="false" customHeight="false" outlineLevel="0" collapsed="false">
      <c r="A16" s="89" t="s">
        <v>3222</v>
      </c>
    </row>
    <row r="17" customFormat="false" ht="23.85" hidden="false" customHeight="false" outlineLevel="0" collapsed="false">
      <c r="A17" s="89" t="s">
        <v>3223</v>
      </c>
    </row>
    <row r="18" customFormat="false" ht="15" hidden="false" customHeight="false" outlineLevel="0" collapsed="false">
      <c r="A18" s="89" t="s">
        <v>3224</v>
      </c>
    </row>
    <row r="19" customFormat="false" ht="23.85" hidden="false" customHeight="false" outlineLevel="0" collapsed="false">
      <c r="A19" s="89" t="s">
        <v>3225</v>
      </c>
    </row>
    <row r="20" customFormat="false" ht="15" hidden="false" customHeight="false" outlineLevel="0" collapsed="false">
      <c r="A20" s="89" t="s">
        <v>3226</v>
      </c>
    </row>
    <row r="21" customFormat="false" ht="15" hidden="false" customHeight="false" outlineLevel="0" collapsed="false">
      <c r="A21" s="88" t="s">
        <v>3227</v>
      </c>
    </row>
    <row r="22" customFormat="false" ht="15" hidden="false" customHeight="false" outlineLevel="0" collapsed="false">
      <c r="A22" s="89" t="s">
        <v>3228</v>
      </c>
    </row>
    <row r="23" customFormat="false" ht="15" hidden="false" customHeight="false" outlineLevel="0" collapsed="false">
      <c r="A23" s="89" t="s">
        <v>3229</v>
      </c>
    </row>
    <row r="24" customFormat="false" ht="23.85" hidden="false" customHeight="false" outlineLevel="0" collapsed="false">
      <c r="A24" s="89" t="s">
        <v>3230</v>
      </c>
    </row>
    <row r="25" customFormat="false" ht="23.85" hidden="false" customHeight="false" outlineLevel="0" collapsed="false">
      <c r="A25" s="89" t="s">
        <v>3231</v>
      </c>
    </row>
    <row r="26" customFormat="false" ht="23.85" hidden="false" customHeight="false" outlineLevel="0" collapsed="false">
      <c r="A26" s="89" t="s">
        <v>3232</v>
      </c>
    </row>
    <row r="27" customFormat="false" ht="15" hidden="false" customHeight="false" outlineLevel="0" collapsed="false">
      <c r="A27" s="89" t="s">
        <v>3233</v>
      </c>
    </row>
    <row r="28" customFormat="false" ht="23.85" hidden="false" customHeight="false" outlineLevel="0" collapsed="false">
      <c r="A28" s="89" t="s">
        <v>3234</v>
      </c>
    </row>
    <row r="29" customFormat="false" ht="15" hidden="false" customHeight="false" outlineLevel="0" collapsed="false">
      <c r="A29" s="88" t="s">
        <v>165</v>
      </c>
    </row>
    <row r="30" customFormat="false" ht="23.85" hidden="false" customHeight="false" outlineLevel="0" collapsed="false">
      <c r="A30" s="89" t="s">
        <v>3235</v>
      </c>
    </row>
    <row r="31" customFormat="false" ht="15" hidden="false" customHeight="false" outlineLevel="0" collapsed="false">
      <c r="A31" s="88" t="s">
        <v>3236</v>
      </c>
    </row>
    <row r="32" customFormat="false" ht="23.85" hidden="false" customHeight="false" outlineLevel="0" collapsed="false">
      <c r="A32" s="89" t="s">
        <v>3237</v>
      </c>
    </row>
    <row r="33" customFormat="false" ht="15" hidden="false" customHeight="false" outlineLevel="0" collapsed="false">
      <c r="A33" s="89" t="s">
        <v>3238</v>
      </c>
    </row>
    <row r="34" customFormat="false" ht="15" hidden="false" customHeight="false" outlineLevel="0" collapsed="false">
      <c r="A34" s="89" t="s">
        <v>3239</v>
      </c>
    </row>
    <row r="35" customFormat="false" ht="15" hidden="false" customHeight="false" outlineLevel="0" collapsed="false">
      <c r="A35" s="89" t="s">
        <v>3240</v>
      </c>
    </row>
    <row r="36" customFormat="false" ht="15" hidden="false" customHeight="false" outlineLevel="0" collapsed="false">
      <c r="A36" s="89" t="s">
        <v>3241</v>
      </c>
    </row>
    <row r="37" customFormat="false" ht="15" hidden="false" customHeight="false" outlineLevel="0" collapsed="false">
      <c r="A37" s="89" t="s">
        <v>3242</v>
      </c>
    </row>
    <row r="38" customFormat="false" ht="15" hidden="false" customHeight="false" outlineLevel="0" collapsed="false">
      <c r="A38" s="89" t="s">
        <v>3243</v>
      </c>
    </row>
    <row r="39" customFormat="false" ht="15" hidden="false" customHeight="false" outlineLevel="0" collapsed="false">
      <c r="A39" s="88" t="s">
        <v>3244</v>
      </c>
    </row>
    <row r="40" customFormat="false" ht="23.85" hidden="false" customHeight="false" outlineLevel="0" collapsed="false">
      <c r="A40" s="89" t="s">
        <v>3245</v>
      </c>
    </row>
    <row r="41" customFormat="false" ht="15" hidden="false" customHeight="false" outlineLevel="0" collapsed="false">
      <c r="A41" s="88" t="s">
        <v>3246</v>
      </c>
    </row>
    <row r="42" customFormat="false" ht="15" hidden="false" customHeight="false" outlineLevel="0" collapsed="false">
      <c r="A42" s="89" t="s">
        <v>3247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2026-10-06T06:22:05Z</dcterms:created>
  <dc:creator>openpyxl</dc:creator>
  <dc:description/>
  <dc:language>en-US</dc:language>
  <cp:lastModifiedBy/>
  <dcterms:modified xsi:type="dcterms:W3CDTF">2026-10-06T06:22:26Z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